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联动表-2026.9.14\"/>
    </mc:Choice>
  </mc:AlternateContent>
  <bookViews>
    <workbookView windowWidth="27945" windowHeight="12375" tabRatio="949" firstSheet="1" activeTab="5"/>
  </bookViews>
  <sheets>
    <sheet name="主页" sheetId="1" r:id="rId1"/>
    <sheet name="使用说明" sheetId="2" r:id="rId2"/>
    <sheet name="基础资料" sheetId="3" r:id="rId3"/>
    <sheet name="对接源_01水果筐数" sheetId="4" r:id="rId4"/>
    <sheet name="周转筐出入库明细" sheetId="6" r:id="rId5"/>
    <sheet name="包装物料出入库明细" sheetId="5" r:id="rId6"/>
    <sheet name="客户自备加工筐明细" sheetId="7" r:id="rId7"/>
    <sheet name="次果筐明细" sheetId="8" r:id="rId8"/>
    <sheet name="物料库存结余" sheetId="9" r:id="rId9"/>
    <sheet name="筐子库存汇总" sheetId="10" r:id="rId10"/>
    <sheet name="筐子往来汇总" sheetId="11" r:id="rId11"/>
    <sheet name="筐子采购汇总" sheetId="12" r:id="rId12"/>
    <sheet name="筐子销售汇总" sheetId="13" r:id="rId13"/>
    <sheet name="自备筐汇总" sheetId="14" r:id="rId14"/>
    <sheet name="次果筐汇总" sheetId="15" r:id="rId15"/>
    <sheet name="押金汇总" sheetId="16" r:id="rId16"/>
    <sheet name="客户领用物料汇总" sheetId="17" r:id="rId17"/>
    <sheet name="实盘库存盘点" sheetId="18" r:id="rId18"/>
    <sheet name="收入结算汇总" sheetId="19" r:id="rId19"/>
    <sheet name="对账明细接口" sheetId="20" r:id="rId20"/>
    <sheet name="财务取数接口" sheetId="21" r:id="rId21"/>
    <sheet name="字段对照" sheetId="22" r:id="rId22"/>
    <sheet name="_自动清单" sheetId="23" state="hidden" r:id="rId23"/>
  </sheets>
  <externalReferences>
    <externalReference r:id="rId24"/>
  </externalReferences>
  <definedNames>
    <definedName name="_xlnm._FilterDatabase" localSheetId="4" hidden="1">周转筐出入库明细!$A$3:$W$2004</definedName>
    <definedName name="_xlnm._FilterDatabase" localSheetId="5" hidden="1">包装物料出入库明细!$A$3:$R$2003</definedName>
    <definedName name="_xlnm._FilterDatabase" localSheetId="6" hidden="1">客户自备加工筐明细!$A$3:$L$1203</definedName>
    <definedName name="_xlnm._FilterDatabase" localSheetId="7" hidden="1">次果筐明细!$A$3:$P$603</definedName>
    <definedName name="_xlnm.Print_Area" localSheetId="0">主页!$A$1:$D$46</definedName>
    <definedName name="_xlnm.Print_Titles" localSheetId="1">使用说明!$1:$3</definedName>
    <definedName name="_xlnm.Print_Titles" localSheetId="2">基础资料!$1:$3</definedName>
    <definedName name="_xlnm.Print_Titles" localSheetId="5">包装物料出入库明细!$1:$3</definedName>
    <definedName name="_xlnm.Print_Titles" localSheetId="4">周转筐出入库明细!$1:$3</definedName>
    <definedName name="_xlnm.Print_Titles" localSheetId="6">客户自备加工筐明细!$1:$3</definedName>
    <definedName name="_xlnm.Print_Titles" localSheetId="7">次果筐明细!$1:$3</definedName>
    <definedName name="_xlnm.Print_Area" localSheetId="9">筐子库存汇总!$A$1:$M$20</definedName>
    <definedName name="_xlnm.Print_Area" localSheetId="10">筐子往来汇总!$A$1:$AW$16</definedName>
    <definedName name="_xlnm.Print_Area" localSheetId="14">次果筐汇总!$A$1:$V$14</definedName>
    <definedName name="_xlnm.Print_Area" localSheetId="15">押金汇总!$A$1:$K$16</definedName>
    <definedName name="_xlnm.Print_Titles" localSheetId="20">财务取数接口!$1:$3</definedName>
    <definedName name="_xlnm.Print_Titles" localSheetId="21">字段对照!$1:$3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M78" authorId="0">
      <text>
        <r>
          <rPr>
            <sz val="12"/>
            <rFont val="宋体"/>
            <charset val="134"/>
          </rPr>
          <t>司机电话：
15199776331
李新团</t>
        </r>
      </text>
    </comment>
  </commentList>
</comments>
</file>

<file path=xl/sharedStrings.xml><?xml version="1.0" encoding="utf-8"?>
<sst xmlns="http://schemas.openxmlformats.org/spreadsheetml/2006/main" count="1827" uniqueCount="693">
  <si>
    <t>02　物 料 与 周 转 物 台 账</t>
  </si>
  <si>
    <t>包装物料 / 公司周转筐 / 客户自备筐 / 次果筐与托盘　｜　逐笔对账请到《04 综合查询对账单》　｜　点蓝色表名跳转</t>
  </si>
  <si>
    <t>一、日常录入（每天要填的表）</t>
  </si>
  <si>
    <t>序号</t>
  </si>
  <si>
    <t>子表名称</t>
  </si>
  <si>
    <t>用途说明</t>
  </si>
  <si>
    <t>属性</t>
  </si>
  <si>
    <t>包装物料出入库明细</t>
  </si>
  <si>
    <t>物料进出与销售；计价数量和合计金额自动算</t>
  </si>
  <si>
    <t>手工录入</t>
  </si>
  <si>
    <t>周转筐出入库明细</t>
  </si>
  <si>
    <t>公司筐的采购、发出、客户退回、卖断；剩余库存按类型自动滚动；含收退押金</t>
  </si>
  <si>
    <t>客户自备筐明细</t>
  </si>
  <si>
    <t>客户自己带来的筐子，表外备查</t>
  </si>
  <si>
    <t>次果筐明细</t>
  </si>
  <si>
    <t>次果筐与托盘合并在这一张；含押金与退款情况</t>
  </si>
  <si>
    <t>实盘库存盘点</t>
  </si>
  <si>
    <t>只在右半边录实盘数量，左半边账面数与盘盈盘亏全自动</t>
  </si>
  <si>
    <t>半自动</t>
  </si>
  <si>
    <t>二、库存与往来（全部自动，不用填）</t>
  </si>
  <si>
    <t>物料库存结余</t>
  </si>
  <si>
    <t>按物料看期初/采购/退回/领用/销售与剩余库存、库存金额</t>
  </si>
  <si>
    <t>全自动</t>
  </si>
  <si>
    <t>筐子库存汇总</t>
  </si>
  <si>
    <t>公司每种筐子还剩多少、客户手上多少、公司筐总量</t>
  </si>
  <si>
    <t>筐子往来汇总</t>
  </si>
  <si>
    <t>按客户/供应商看发出、退回、采购三组，已含01册带出带回的筐数</t>
  </si>
  <si>
    <t>筐子销售汇总</t>
  </si>
  <si>
    <t>卖断给客户的筐子数量、金额、已收未收</t>
  </si>
  <si>
    <t>自备筐汇总</t>
  </si>
  <si>
    <t>客户自备筐进出与结存，联动01册成品出库带走的自备筐</t>
  </si>
  <si>
    <t>次果筐汇总</t>
  </si>
  <si>
    <t>次果筐/托盘按客户的出库、退回、未回与押金</t>
  </si>
  <si>
    <t>押金汇总</t>
  </si>
  <si>
    <t>每家客户收了多少、退了多少、还欠客户多少押金</t>
  </si>
  <si>
    <t>客户领用物料汇总</t>
  </si>
  <si>
    <t>按客户看各物料领用量、退回量、净领用与销售应收</t>
  </si>
  <si>
    <t>收入结算汇总</t>
  </si>
  <si>
    <t>筐子销售、物料销售两项收入 ＋ 押金专区 ＋ 期末存货</t>
  </si>
  <si>
    <t>三、对接与码表</t>
  </si>
  <si>
    <t>对接源_01水果筐数</t>
  </si>
  <si>
    <t>跨文件取《01 水果进销存台账》的筐子进出数，断链自动切备份</t>
  </si>
  <si>
    <t>财务取数接口</t>
  </si>
  <si>
    <t>给《03 财务账套》按月取数用</t>
  </si>
  <si>
    <t>基础资料</t>
  </si>
  <si>
    <t>物料、筐子类型、托盘类型、客户、供应商等下拉选项来源</t>
  </si>
  <si>
    <t>码表</t>
  </si>
  <si>
    <t>字段对照</t>
  </si>
  <si>
    <t>原有 Excel 字段 → 本册字段的对照表，存档备查</t>
  </si>
  <si>
    <t>说明</t>
  </si>
  <si>
    <t>图例：浅绿＝公式自动生成，请勿覆盖　｜　浅蓝＝需要手工录入　｜　浅黄＝码表/规则，偶尔维护</t>
  </si>
  <si>
    <t>物料与周转物台账  使 用 说 明</t>
  </si>
  <si>
    <t>替代原《2025年包装物料出入库明细》《2025年筐子出入库明细》及《杨威威杨元威黄红梅》筐子部分</t>
  </si>
  <si>
    <t>一、六条业务线，六张明细表</t>
  </si>
  <si>
    <t>① 包装物料（气泡垫、无纺布、香梨网、苹果网、纸垫板…）→【包装物料出入库明细】</t>
  </si>
  <si>
    <t>② 公司周转筐（一次性筐/杂周转筐/新周转筐/白周转筐）发放与回收 →【周转筐出入库明细】</t>
  </si>
  <si>
    <t>③ 筐子卖给客户 →【筐子销售明细】（不再走②，避免重复冲减库存）</t>
  </si>
  <si>
    <t>④ 客户自己带来的筐子 →【客户自备筐明细】</t>
  </si>
  <si>
    <t>⑤ 拉次果专用的租借筐 →【次果筐明细】（含应收使用费）</t>
  </si>
  <si>
    <t>⑥ 托盘 →【托盘出入库明细】</t>
  </si>
  <si>
    <t>二、关键约定</t>
  </si>
  <si>
    <t>· 客户随原料车带回来的公司筐子，请在【周转筐出入库明细】登记为“退回数量”，归还者填客户名。</t>
  </si>
  <si>
    <t>　这样【筐子往来汇总】的“未回库数量＝发出−退回”就是完整的，不用再去水果册对数。</t>
  </si>
  <si>
    <t>· 筐子卖断（不再收回）的走【筐子销售明细】；只是借出的走【周转筐出入库明细】。</t>
  </si>
  <si>
    <t>· 【周转筐出入库明细】的“剩余库存”是公司全部筐子的滚动结存（与原表口径一致，不分类型），</t>
  </si>
  <si>
    <t>　分类型的结果看【筐子往来汇总】。</t>
  </si>
  <si>
    <t>· 物料“合计金额＝计价数量×单价”，单价留空时自动取【基础资料】的参考单价。</t>
  </si>
  <si>
    <t>三、和另外两册的关系</t>
  </si>
  <si>
    <t>《01 水果进销存台账》：水果明细里的“筐子类型/随货筐数”只作对照，筐子数量以本册为准。</t>
  </si>
  <si>
    <t>《03 财务账套与报表》：本册【收入结算汇总】→ 财务册【业务收入结算表】；</t>
  </si>
  <si>
    <t>　物料与周转筐的期末库存金额 → 财务册 1403 原材料、1407 周转材料 科目。</t>
  </si>
  <si>
    <t>四、汇总表怎么用</t>
  </si>
  <si>
    <t>★所有带"汇总"字样的表都改成全自动了：物料种类、客户、筐子类型的列头，全部从明细表自动去重生成，一个字都不用填。</t>
  </si>
  <si>
    <t>　新增物料或客户时，只要在明细表正常录一笔，汇总表就会自动多出这一行/这一列，不需要再去汇总表里补录。</t>
  </si>
  <si>
    <t>五、本次升级新增的功能</t>
  </si>
  <si>
    <t>① 【主页】：所有子表的索引，点蓝色表名直接跳转。</t>
  </si>
  <si>
    <t>② 【实盘库存盘点】：左半边账面库存（包装物料/周转筐/托盘三类）自动生成；只在右半边录实盘数量，</t>
  </si>
  <si>
    <t>　　盘盈、盘亏、盘平和盈亏率全部自动算，没盘的显示"未盘点"。</t>
  </si>
  <si>
    <t>③ 【物料筐子对账单】：第 3 行选往来单位、填起止日期，上面自动出汇总，下面自动列出每一笔物料、</t>
  </si>
  <si>
    <t>　　周转筐、筐子销售、自备筐、次果筐、托盘的往来记录，可以直接打印给客户或供应商签字。</t>
  </si>
  <si>
    <t>④ 【财务取数接口】的计量单位和往来单位清单也改成自动生成了。</t>
  </si>
  <si>
    <t>⑤ 新增隐藏表【_自动清单】：自动去重引擎，各汇总表靠它取数，请不要删除或取消隐藏后修改。</t>
  </si>
  <si>
    <t>⑥ 【物料库存结余】从 30 行扩到 50 行，合计行随之移到第 54 行，引用它的两处公式已同步改好。</t>
  </si>
  <si>
    <t>★ 本次改版要点</t>
  </si>
  <si>
    <t>① 筐子销售、托盘都并进来了：筐子卖断填【周转筐出入库明细】的"销售数量"；托盘并入【次果筐明细】，类型列可选托盘。</t>
  </si>
  <si>
    <t>② 押金：周转筐在【周转筐出入库明细】填收/退押金，次果筐托盘在【次果筐明细】填。押金按负债口径——</t>
  </si>
  <si>
    <t>　　收到不算收入，退回冲减，余额是"还欠客户的钱"，看【押金汇总】。只有客户不退筐、押金转赔偿时才转收入。</t>
  </si>
  <si>
    <t>③ 已按要求取消"包装物料领用""次果筐使用费""托盘租赁费"三个收入项，【收入结算汇总】里只剩筐子销售和物料销售。</t>
  </si>
  <si>
    <t>④ 【筐子库存汇总】是新表：一眼看清公司每种筐子还剩多少、客户手上还有多少、公司筐总量是多少。</t>
  </si>
  <si>
    <t>⑤ 【筐子往来汇总】表头改成和明细一致的三组（发出／退回／采购入库），并且把《01 水果台账》三张明细</t>
  </si>
  <si>
    <t>　　带出带回的筐数也算进来了，未回库＝（本册发出＋01册带走）−（本册退回＋01册带回）。</t>
  </si>
  <si>
    <t>⑥ 【对接源_01水果筐数】是跨文件取数表：本册必须和《01 水果进销存台账模板.xlsx》放同一个文件夹。</t>
  </si>
  <si>
    <t>　　打开时如提示"是否更新链接"请点【更新】；断链会自动切到应急备份，并在表里红字提示。</t>
  </si>
  <si>
    <t>⑦ 逐笔对账搬到《04 综合查询对账单》了，本册不再有对账单。</t>
  </si>
  <si>
    <t>★ 几个常见疑问</t>
  </si>
  <si>
    <t>· 周转筐有两种以上类型怎么算？——【筐子往来汇总】前 4 个类型各占一列，其余自动归到"其他"列，</t>
  </si>
  <si>
    <t>　合计不会漏。要看全部类型的明细，去【筐子库存汇总】，那张是一个类型一行。</t>
  </si>
  <si>
    <t>· 客户带货入库和空筐入库怎么分？——用"业务类型"分：随货带回的公司筐选"客户退回入库"；</t>
  </si>
  <si>
    <t>　客户自己的筐存进来选【客户自备筐明细】登记。空筐采购进来选"采购入库"。</t>
  </si>
  <si>
    <t>· 【客户领用物料汇总】含不含退回？——含。"领用合计"是发出去的，"客户退回合计"是退回来的，</t>
  </si>
  <si>
    <t>　"净领用"＝两者相减，才是客户真正用掉的。</t>
  </si>
  <si>
    <t>★ 本 次 更 新（2026-09）</t>
  </si>
  <si>
    <t>1、【自备筐汇总】口径扩大：＝【客户自备加工筐明细】＋《01》原料入库带回、原料出库带走、成品出库带走中筐子类型以「自备」开头的随货筐数。入库合计＝C＋D，出库合计＝E＋J＋K，剩余在库＝入库合计−出库合计。</t>
  </si>
  <si>
    <t>2、【筐子往来汇总】V/W 两列只取《01》里筐子类型不以「自备」开头的（即公司筐）；【筐子库存汇总】也不再统计自备类型。</t>
  </si>
  <si>
    <t>3、筐子类型下拉已统一加「公司…／自备…」前缀，见【基础资料】B 列。</t>
  </si>
  <si>
    <t>4、【对账明细接口】新增 N～S 列（筐子类型、发出筐数、退回筐数、入库筐数、车牌号、筐子归属），供《04》的分类对账单取数，请勿改动结构。</t>
  </si>
  <si>
    <t>★ 本 次 更 新（2026-09 · 第三版）</t>
  </si>
  <si>
    <t>1、【筐子往来汇总】重建为 5 种公司筐（一次性/杂周转/新周转/白周转/红周转）分列：发出、退回、采购入库、销售各 5 列＋合计，再加《01》的 原料入库／原料出库／成品出库 各 5 列，最后是未回库 5 列＋合计。01 册三张明细按「筐子类型」一一对应取数，不再混在一起。</t>
  </si>
  <si>
    <t>2、新增【筐子采购汇总】：按供应商汇总【周转筐出入库明细】里业务类型＝「采购入库」的数量、金额、已付与未付。</t>
  </si>
  <si>
    <t>3、所有汇总界面第 2 行右边新增「开始日期／结束日期」，留空＝不限时间。</t>
  </si>
  <si>
    <t>4、「退回数量」「退押金」「客户退回入库」「随货回库」等一律显示为红色负数（录入仍填正数），未回库数量＝发出＋退回（负）＋随货回库（负），可以直接相加。</t>
  </si>
  <si>
    <t>★ 修 正 记 录（2026-09 · 第四版）</t>
  </si>
  <si>
    <t>1、修正【对接源_01水果筐数】：原来 B 列（客户/货主）被写死指向 01 的第 4 行，导致整列都显示同一个客户、下面全是空白。现在 300 行逐行一一对应，取数正常。</t>
  </si>
  <si>
    <t>2、因为上面这个错，【筐子往来汇总】里 AA～AO 的「01册原料入库/原料出库/成品出库」全都取不到数，现在已恢复。实测：王照雪 01册随货回库 −1173，马锦祥 −357，未回库合计分别是 33 和 805。</t>
  </si>
  <si>
    <t>3、【财务取数接口】重建成 24 个月：起始年月自动跟《01 水果台账》的 E2 一致（要单独设定就在本表 E2 填）。原来那个「年份」格被日期筛选覆盖过，所以年月一直显示 2025 年，现在已彻底改掉。</t>
  </si>
  <si>
    <t>★ 本 次 修 正（2026-09 · 第八版）</t>
  </si>
  <si>
    <t>1、【筐子/托盘库存汇总】期初库存原来被起止日期过滤掉了（期初行本来就没填日期），现在期初列不受日期限制；原「报损/调拨」列改成「其他入库（调拨等）」，不再重复扣期初。实测：公司一次性筐 期初 69,840 − 发出 2,040 ＝ 在库 67,800。</t>
  </si>
  <si>
    <t>2、【包装物料出入库明细】计价数量改成 入库＋出库−退回，退回自动冲减金额，不会再重复收款；退回数量照常填正数，显示成红色负数。</t>
  </si>
  <si>
    <t>3、【客户自备筐汇总】按筐子类型重建：自备一次性筐／自备杂周转筐 各自一列，涵盖 随原料入库、自备加工筐入库、随原料出库、随成品出库、退还空筐、剩余在库。客户名单同时取本册明细和《01》里带自备筐的客户，不会再空白。</t>
  </si>
  <si>
    <t>4、【财务取数接口】第四块改成每家客户两行：筐子销售款 / 物料销售款，供《03 往来对账单》分项显示。</t>
  </si>
  <si>
    <t>基 础 资 料（下拉选项来源 + 物料价目表，可自行增删）</t>
  </si>
  <si>
    <t>★ 右侧“物料价目表”的参考单价是明细表自动带价的依据，价格调整请直接改这里</t>
  </si>
  <si>
    <t>物料种类</t>
  </si>
  <si>
    <t>筐子类型</t>
  </si>
  <si>
    <t>托盘类型</t>
  </si>
  <si>
    <t>客户/领取人</t>
  </si>
  <si>
    <t>供应商</t>
  </si>
  <si>
    <t>物料业务类型</t>
  </si>
  <si>
    <t>筐子业务类型</t>
  </si>
  <si>
    <t>装卸方式</t>
  </si>
  <si>
    <t>核查结果</t>
  </si>
  <si>
    <t>结算方式</t>
  </si>
  <si>
    <t>收/付款状态</t>
  </si>
  <si>
    <t>筐子用途</t>
  </si>
  <si>
    <t>物料名称</t>
  </si>
  <si>
    <t>规格</t>
  </si>
  <si>
    <t>计量单位</t>
  </si>
  <si>
    <t>库存阈值</t>
  </si>
  <si>
    <t>数量</t>
  </si>
  <si>
    <t>气泡垫</t>
  </si>
  <si>
    <t>公司一次性筐</t>
  </si>
  <si>
    <t>大托盘</t>
  </si>
  <si>
    <t>聂新平</t>
  </si>
  <si>
    <t>鑫旺塑业</t>
  </si>
  <si>
    <t>期初库存</t>
  </si>
  <si>
    <t>依力</t>
  </si>
  <si>
    <t>1</t>
  </si>
  <si>
    <t>现金</t>
  </si>
  <si>
    <t>已收讫</t>
  </si>
  <si>
    <t>拉次果</t>
  </si>
  <si>
    <t>*1000</t>
  </si>
  <si>
    <t>片</t>
  </si>
  <si>
    <t>充足</t>
  </si>
  <si>
    <t>无纺布</t>
  </si>
  <si>
    <t>公司杂周转筐</t>
  </si>
  <si>
    <t>王照雪</t>
  </si>
  <si>
    <t>华鑫塑业</t>
  </si>
  <si>
    <t>采购入库</t>
  </si>
  <si>
    <t>叉车</t>
  </si>
  <si>
    <t>待核对</t>
  </si>
  <si>
    <t>银行转账</t>
  </si>
  <si>
    <t>部分收款</t>
  </si>
  <si>
    <t>拉原料</t>
  </si>
  <si>
    <t>*400</t>
  </si>
  <si>
    <t>个</t>
  </si>
  <si>
    <t>正常</t>
  </si>
  <si>
    <t>香梨网</t>
  </si>
  <si>
    <t>公司新周转筐</t>
  </si>
  <si>
    <t>伍元虎</t>
  </si>
  <si>
    <t>全修塑业</t>
  </si>
  <si>
    <t>退回入库</t>
  </si>
  <si>
    <t>自卸</t>
  </si>
  <si>
    <t>异常</t>
  </si>
  <si>
    <t>微信</t>
  </si>
  <si>
    <t>未收款</t>
  </si>
  <si>
    <t>拉扎伤果</t>
  </si>
  <si>
    <t>*包</t>
  </si>
  <si>
    <t>包</t>
  </si>
  <si>
    <t>不足</t>
  </si>
  <si>
    <t>苹果网</t>
  </si>
  <si>
    <t>公司白周转筐</t>
  </si>
  <si>
    <t>麦麦提</t>
  </si>
  <si>
    <t>新顺发泡网</t>
  </si>
  <si>
    <t>领用出库</t>
  </si>
  <si>
    <t>自装</t>
  </si>
  <si>
    <t>支付宝</t>
  </si>
  <si>
    <t>无需收款</t>
  </si>
  <si>
    <t>租筐退回</t>
  </si>
  <si>
    <t>纸垫板</t>
  </si>
  <si>
    <t>公司红周转筐</t>
  </si>
  <si>
    <t>热合曼</t>
  </si>
  <si>
    <t>武宁气泡垫</t>
  </si>
  <si>
    <t>销售出库</t>
  </si>
  <si>
    <t>快递</t>
  </si>
  <si>
    <t>承兑汇票</t>
  </si>
  <si>
    <t>已付款</t>
  </si>
  <si>
    <t>原筐出库</t>
  </si>
  <si>
    <t>*100张</t>
  </si>
  <si>
    <t>张</t>
  </si>
  <si>
    <t>香梨纸</t>
  </si>
  <si>
    <t>自备一次性筐</t>
  </si>
  <si>
    <t>王灵云</t>
  </si>
  <si>
    <t>果然鲜自用</t>
  </si>
  <si>
    <t>筐厂</t>
  </si>
  <si>
    <t>抵账</t>
  </si>
  <si>
    <t>部分付款</t>
  </si>
  <si>
    <t>粉碎加工</t>
  </si>
  <si>
    <t>*捆</t>
  </si>
  <si>
    <t>捆</t>
  </si>
  <si>
    <t>苹果纸</t>
  </si>
  <si>
    <t>自备杂周转筐</t>
  </si>
  <si>
    <t>马锦祥</t>
  </si>
  <si>
    <t>报损</t>
  </si>
  <si>
    <t>自提</t>
  </si>
  <si>
    <t>赊销挂账</t>
  </si>
  <si>
    <t>未付款</t>
  </si>
  <si>
    <t>购买次果</t>
  </si>
  <si>
    <t>保温棉</t>
  </si>
  <si>
    <t>*两卷/套</t>
  </si>
  <si>
    <t>套</t>
  </si>
  <si>
    <t>贾建国</t>
  </si>
  <si>
    <t>调拨</t>
  </si>
  <si>
    <t>无</t>
  </si>
  <si>
    <t>预收冲抵</t>
  </si>
  <si>
    <t>无需付款</t>
  </si>
  <si>
    <t>退回</t>
  </si>
  <si>
    <t>塑料布</t>
  </si>
  <si>
    <t>*张</t>
  </si>
  <si>
    <t>荆建君</t>
  </si>
  <si>
    <t>其他</t>
  </si>
  <si>
    <t>五合板0.5</t>
  </si>
  <si>
    <t>*块</t>
  </si>
  <si>
    <t>块</t>
  </si>
  <si>
    <t>艾合买提</t>
  </si>
  <si>
    <t>五合板0.3</t>
  </si>
  <si>
    <t>王浩</t>
  </si>
  <si>
    <t>打包带</t>
  </si>
  <si>
    <t>*卷</t>
  </si>
  <si>
    <t>卷</t>
  </si>
  <si>
    <t>电商/主播</t>
  </si>
  <si>
    <t>封口袋</t>
  </si>
  <si>
    <t>吐尔逊</t>
  </si>
  <si>
    <t>打包器</t>
  </si>
  <si>
    <t>张艺</t>
  </si>
  <si>
    <t>胶带</t>
  </si>
  <si>
    <t>*30卷</t>
  </si>
  <si>
    <t>郭勇义</t>
  </si>
  <si>
    <t>保鲜膜</t>
  </si>
  <si>
    <t>王庆文</t>
  </si>
  <si>
    <t>保鲜袋</t>
  </si>
  <si>
    <t>果然鲜</t>
  </si>
  <si>
    <t>一级标签</t>
  </si>
  <si>
    <t>努尔敦</t>
  </si>
  <si>
    <t>副特标签</t>
  </si>
  <si>
    <t>吐尔洪</t>
  </si>
  <si>
    <t>香梨标签</t>
  </si>
  <si>
    <t>冷煤/氟利昂</t>
  </si>
  <si>
    <t>*瓶</t>
  </si>
  <si>
    <t>瓶</t>
  </si>
  <si>
    <t>新周转筐</t>
  </si>
  <si>
    <t>*个</t>
  </si>
  <si>
    <t>杂筐/一次性</t>
  </si>
  <si>
    <t>对 接 源 · 01 水 果 台 账 筐 数（跨文件自动取数 · 断链时自动改用应急备份）</t>
  </si>
  <si>
    <t>有效行数</t>
  </si>
  <si>
    <t>链接探针</t>
  </si>
  <si>
    <t>一、实 际 使 用 值（链接正常＝自动取数；链接断了自动切到右边备份）</t>
  </si>
  <si>
    <t>二、应 急 备 份 区（手工粘贴数值）</t>
  </si>
  <si>
    <t>状态</t>
  </si>
  <si>
    <t>备份行数</t>
  </si>
  <si>
    <t>源行</t>
  </si>
  <si>
    <t>客户/货主</t>
  </si>
  <si>
    <t>原料入库带回筐数</t>
  </si>
  <si>
    <t>原料出库带走筐数</t>
  </si>
  <si>
    <t>成品出库带走筐数</t>
  </si>
  <si>
    <t>发出合计</t>
  </si>
  <si>
    <t>收回合计</t>
  </si>
  <si>
    <t>备份-客户</t>
  </si>
  <si>
    <t>备份-类型</t>
  </si>
  <si>
    <t>备份-入库带回</t>
  </si>
  <si>
    <t>备份-出库带走</t>
  </si>
  <si>
    <t>备份-成品带走</t>
  </si>
  <si>
    <t>备份-发出合计</t>
  </si>
  <si>
    <t>有效</t>
  </si>
  <si>
    <t>累计</t>
  </si>
  <si>
    <t>链接可用</t>
  </si>
  <si>
    <t>当前取数来源</t>
  </si>
  <si>
    <t>应急备份区怎么用：链接正常时选中 B5:G304 → 复制 → 在 I5 上右键"选择性粘贴 → 数值"。以后万一断链，本表自动改用这份备份，筐子往来汇总照样能出，只是不是最新数。</t>
  </si>
  <si>
    <t>周 转 筐 出 / 入 库 明 细 表</t>
  </si>
  <si>
    <t>★"剩余库存"已改为按筐子类型分别滚动结存＝该类型的 期初＋采购入库＋客户退回入库 − 发出出库 − 销售出库，不再是不分类型的总数。押金：收押金/退押金按实收实退填，押金余额在【押金汇总】看</t>
  </si>
  <si>
    <t>日期</t>
  </si>
  <si>
    <t>供应商/客户</t>
  </si>
  <si>
    <t>票据单号</t>
  </si>
  <si>
    <t>业务类型</t>
  </si>
  <si>
    <t>入库数量</t>
  </si>
  <si>
    <t>退回数量(显示为负)</t>
  </si>
  <si>
    <t>出库数量</t>
  </si>
  <si>
    <t>销售数量</t>
  </si>
  <si>
    <t>剩余库存</t>
  </si>
  <si>
    <t>车牌号</t>
  </si>
  <si>
    <t>装卸</t>
  </si>
  <si>
    <t>采购/销售单价</t>
  </si>
  <si>
    <t>采购/销售金额</t>
  </si>
  <si>
    <t>收付款状态</t>
  </si>
  <si>
    <t>收押金</t>
  </si>
  <si>
    <t>退押金
(显示为负)</t>
  </si>
  <si>
    <t>押金结清</t>
  </si>
  <si>
    <t>备注</t>
  </si>
  <si>
    <t>NO:0001015</t>
  </si>
  <si>
    <t>-</t>
  </si>
  <si>
    <t>豫L*88X19</t>
  </si>
  <si>
    <t>NO:0001022</t>
  </si>
  <si>
    <t>NO:0001031</t>
  </si>
  <si>
    <t>NO:0001037</t>
  </si>
  <si>
    <t>NO:0000721</t>
  </si>
  <si>
    <t>NO:0001057</t>
  </si>
  <si>
    <t>新Q*67674</t>
  </si>
  <si>
    <t>NO:0001061</t>
  </si>
  <si>
    <t>新N*K7V85</t>
  </si>
  <si>
    <t>NO:0000742</t>
  </si>
  <si>
    <t>新N*D1W48</t>
  </si>
  <si>
    <t>NO:0000744</t>
  </si>
  <si>
    <t>新N*X8S48</t>
  </si>
  <si>
    <t>NO:2745225</t>
  </si>
  <si>
    <t>NO:0001067</t>
  </si>
  <si>
    <t>NO:0000745</t>
  </si>
  <si>
    <t>NO:2745241</t>
  </si>
  <si>
    <t>NO:0001068</t>
  </si>
  <si>
    <t>NO:0000746</t>
  </si>
  <si>
    <t>新A*G0554</t>
  </si>
  <si>
    <t>NO:2745242</t>
  </si>
  <si>
    <t>NO:0001069</t>
  </si>
  <si>
    <t>NO:0000747</t>
  </si>
  <si>
    <t>新N*49209</t>
  </si>
  <si>
    <t>NO:2745243</t>
  </si>
  <si>
    <t>NO:0001072</t>
  </si>
  <si>
    <t>是</t>
  </si>
  <si>
    <t>NO:0000748</t>
  </si>
  <si>
    <t>NO:2745244</t>
  </si>
  <si>
    <t>NO:0001074</t>
  </si>
  <si>
    <t>NO:0000749</t>
  </si>
  <si>
    <t>新F*75240</t>
  </si>
  <si>
    <t>NO:2745245</t>
  </si>
  <si>
    <t>NO:0001075</t>
  </si>
  <si>
    <t>NO:0000750</t>
  </si>
  <si>
    <t>豫A*2737K</t>
  </si>
  <si>
    <t>NO:2745247</t>
  </si>
  <si>
    <t>NO:0001077</t>
  </si>
  <si>
    <t>NO:0001076</t>
  </si>
  <si>
    <t>NO:0000751</t>
  </si>
  <si>
    <t>NO:2745248</t>
  </si>
  <si>
    <t>NO:0001078</t>
  </si>
  <si>
    <t>NO:0000753</t>
  </si>
  <si>
    <t>NO:2745249</t>
  </si>
  <si>
    <t>NO:0001079</t>
  </si>
  <si>
    <t>NO:0001086</t>
  </si>
  <si>
    <t>新M*79997</t>
  </si>
  <si>
    <t>NO:0001087</t>
  </si>
  <si>
    <t>新N*56508</t>
  </si>
  <si>
    <t>NO:0000755</t>
  </si>
  <si>
    <t>NO:2745250</t>
  </si>
  <si>
    <t>NO:0001089</t>
  </si>
  <si>
    <t>NO:0000759</t>
  </si>
  <si>
    <t>NO:2745251</t>
  </si>
  <si>
    <t>NO:0001090</t>
  </si>
  <si>
    <t>NO:0001092</t>
  </si>
  <si>
    <t>豫Q*H5591</t>
  </si>
  <si>
    <t>NO:0001094</t>
  </si>
  <si>
    <t>NO:000761</t>
  </si>
  <si>
    <t>装扎伤退回</t>
  </si>
  <si>
    <t>NO:0001098</t>
  </si>
  <si>
    <t>NO:0001099</t>
  </si>
  <si>
    <t>新M*87613</t>
  </si>
  <si>
    <t>NO:0000763</t>
  </si>
  <si>
    <t>NO:2745254</t>
  </si>
  <si>
    <t>NO:0000765</t>
  </si>
  <si>
    <t>NO:0017201</t>
  </si>
  <si>
    <t>NO:0000766</t>
  </si>
  <si>
    <t>NO:0017203</t>
  </si>
  <si>
    <t>NO:0001102</t>
  </si>
  <si>
    <t>NO:0001105</t>
  </si>
  <si>
    <t>NO:0001106</t>
  </si>
  <si>
    <t>NO:0001107</t>
  </si>
  <si>
    <t>NO:0000771</t>
  </si>
  <si>
    <t>NO:0017204</t>
  </si>
  <si>
    <t>NO:0001108</t>
  </si>
  <si>
    <t>NO:0000774</t>
  </si>
  <si>
    <t>NO:0017205</t>
  </si>
  <si>
    <t>NO:0001110</t>
  </si>
  <si>
    <t>NO:0000778</t>
  </si>
  <si>
    <t>NO:0017207</t>
  </si>
  <si>
    <t>NO:0001113</t>
  </si>
  <si>
    <t>NO:0000784</t>
  </si>
  <si>
    <t>NO:0017209</t>
  </si>
  <si>
    <t>NO:0001114</t>
  </si>
  <si>
    <t>NO:0001115</t>
  </si>
  <si>
    <t>NO:0001116</t>
  </si>
  <si>
    <t>NO:0001118</t>
  </si>
  <si>
    <t>NO:0000785</t>
  </si>
  <si>
    <t>NO:0017211</t>
  </si>
  <si>
    <t>NO:0001120</t>
  </si>
  <si>
    <t>NO:0000788</t>
  </si>
  <si>
    <t>NO:0017212</t>
  </si>
  <si>
    <t>NO:0001122</t>
  </si>
  <si>
    <t>NO:0000789</t>
  </si>
  <si>
    <t>NO:0000792</t>
  </si>
  <si>
    <t>NO:0000795</t>
  </si>
  <si>
    <t>NO:0017213</t>
  </si>
  <si>
    <t>NO:0001125</t>
  </si>
  <si>
    <t>新A*G0555</t>
  </si>
  <si>
    <t>NO:0000798</t>
  </si>
  <si>
    <t>NO:0017215</t>
  </si>
  <si>
    <t>NO:0001129</t>
  </si>
  <si>
    <t>NO:0001130</t>
  </si>
  <si>
    <t>NO:0001131</t>
  </si>
  <si>
    <t>NO:0000853</t>
  </si>
  <si>
    <t>NO:0017217</t>
  </si>
  <si>
    <t>NO:0001135</t>
  </si>
  <si>
    <t>NO:0001137</t>
  </si>
  <si>
    <t>新N*53045</t>
  </si>
  <si>
    <t>李现东</t>
  </si>
  <si>
    <t>NO:0001140</t>
  </si>
  <si>
    <t>包 装 物 料 出 入 库 明 细 表</t>
  </si>
  <si>
    <t>★ 计价数量＝入库＋出库−退回（退回自动冲减，不会重复收款）；合计金额＝计价数量×单价。「退回数量」照常填正数，显示成红色负数。</t>
  </si>
  <si>
    <r>
      <rPr>
        <b/>
        <sz val="10"/>
        <color rgb="FFFFFFFF"/>
        <rFont val="宋体"/>
        <charset val="134"/>
      </rPr>
      <t>计价数量</t>
    </r>
    <r>
      <rPr>
        <b/>
        <sz val="10"/>
        <color rgb="FFFFFFFF"/>
        <rFont val="Noto Sans CJK SC"/>
        <charset val="134"/>
      </rPr>
      <t xml:space="preserve">
(</t>
    </r>
    <r>
      <rPr>
        <b/>
        <sz val="10"/>
        <color rgb="FFFFFFFF"/>
        <rFont val="宋体"/>
        <charset val="134"/>
      </rPr>
      <t>退回已冲减</t>
    </r>
    <r>
      <rPr>
        <b/>
        <sz val="10"/>
        <color rgb="FFFFFFFF"/>
        <rFont val="Noto Sans CJK SC"/>
        <charset val="134"/>
      </rPr>
      <t>)</t>
    </r>
  </si>
  <si>
    <t>单价</t>
  </si>
  <si>
    <t>合计金额</t>
  </si>
  <si>
    <t>收/付款
状态</t>
  </si>
  <si>
    <t>NO:0000743</t>
  </si>
  <si>
    <t>新Q*48887</t>
  </si>
  <si>
    <t>12#</t>
  </si>
  <si>
    <t>新A*G0544</t>
  </si>
  <si>
    <t>NO:0001070</t>
  </si>
  <si>
    <t>NO:0001071</t>
  </si>
  <si>
    <t>NO:0001080</t>
  </si>
  <si>
    <t>NO:0001084</t>
  </si>
  <si>
    <t>新N*FJ0676</t>
  </si>
  <si>
    <t>NO:0000760</t>
  </si>
  <si>
    <t>NO:0001100</t>
  </si>
  <si>
    <t>NO:0000777</t>
  </si>
  <si>
    <t>皖L*SD929</t>
  </si>
  <si>
    <t>NO:0000779</t>
  </si>
  <si>
    <t>皖L*KW876</t>
  </si>
  <si>
    <t>NO:0001117</t>
  </si>
  <si>
    <t>新N*Z0305</t>
  </si>
  <si>
    <t>NO:0001121</t>
  </si>
  <si>
    <t>NO:0000791</t>
  </si>
  <si>
    <t>NO:0001126</t>
  </si>
  <si>
    <t>NO:0001132</t>
  </si>
  <si>
    <t>NO:0001133</t>
  </si>
  <si>
    <t>NO:0000856</t>
  </si>
  <si>
    <t>新N*2698H</t>
  </si>
  <si>
    <t>客 户 自 备 加 工 筐 出 / 入 库 明 细 表</t>
  </si>
  <si>
    <t>客户自己带来的筐子，表外备查，不进公司资产。★随成品出库带走的自备筐，会从《01 水果进销存台账》的【筐子进出接口】自动带过来，见【自备筐汇总】右侧两列</t>
  </si>
  <si>
    <t>客户姓名</t>
  </si>
  <si>
    <t>用途</t>
  </si>
  <si>
    <t>次 果 筐 子 明 细 表</t>
  </si>
  <si>
    <t>★次果筐/托盘合并在这一张表：类型列可选筐子类型，也可选托盘类型。业务类型区分出库/退回；押金按实收填，退款情况填已退金额，押金余额在【押金汇总】看</t>
  </si>
  <si>
    <t>客户</t>
  </si>
  <si>
    <t>筐子/托盘类型</t>
  </si>
  <si>
    <t>承运人车牌号(出)</t>
  </si>
  <si>
    <t>押金金额</t>
  </si>
  <si>
    <t>退款情况（显示为负）</t>
  </si>
  <si>
    <t>应收使用费</t>
  </si>
  <si>
    <t>使用费收款状态</t>
  </si>
  <si>
    <t>物 料 库 存 结 余 表（全自动）</t>
  </si>
  <si>
    <t>★ 全自动。填右边【开始日期／结束日期】即可按区间统计（留空＝不限时间）。明细表始终全显示。</t>
  </si>
  <si>
    <t>开始日期</t>
  </si>
  <si>
    <t>结束日期</t>
  </si>
  <si>
    <t>参考单价</t>
  </si>
  <si>
    <t>客户退回入库（显示为负）</t>
  </si>
  <si>
    <t>其他减少</t>
  </si>
  <si>
    <t>库存金额</t>
  </si>
  <si>
    <t>库存状态</t>
  </si>
  <si>
    <t>合计</t>
  </si>
  <si>
    <t>筐 子 / 托 盘 库 存 汇 总（公司自有筐子还剩多少 · 全自动）</t>
  </si>
  <si>
    <t>★ 全自动：只统计公司自有筐子/托盘。「期初库存」是建账初始数，不受起止日期影响；其余各列按右边起止日期统计（留空＝不限时间）。筐子类型以「自备」开头的是客户自备筐，不计公司资产，请看【自备筐汇总】。</t>
  </si>
  <si>
    <t>筐子 / 托盘类型</t>
  </si>
  <si>
    <r>
      <rPr>
        <b/>
        <sz val="10"/>
        <color rgb="FFFFFFFF"/>
        <rFont val="宋体"/>
        <charset val="134"/>
      </rPr>
      <t xml:space="preserve">期初库存
</t>
    </r>
    <r>
      <rPr>
        <b/>
        <sz val="10"/>
        <color rgb="FFFFFFFF"/>
        <rFont val="Noto Sans CJK SC"/>
        <charset val="134"/>
      </rPr>
      <t>(</t>
    </r>
    <r>
      <rPr>
        <b/>
        <sz val="10"/>
        <color rgb="FFFFFFFF"/>
        <rFont val="宋体"/>
        <charset val="134"/>
      </rPr>
      <t>不受日期限制）</t>
    </r>
  </si>
  <si>
    <t>发出出库</t>
  </si>
  <si>
    <t>其他入库（调拨等）</t>
  </si>
  <si>
    <t>公司在库结存</t>
  </si>
  <si>
    <r>
      <rPr>
        <b/>
        <sz val="10"/>
        <color rgb="FFFFFFFF"/>
        <rFont val="宋体"/>
        <charset val="134"/>
      </rPr>
      <t>客户未回库</t>
    </r>
    <r>
      <rPr>
        <b/>
        <sz val="10"/>
        <color rgb="FFFFFFFF"/>
        <rFont val="Noto Sans CJK SC"/>
        <charset val="134"/>
      </rPr>
      <t xml:space="preserve">
(</t>
    </r>
    <r>
      <rPr>
        <b/>
        <sz val="10"/>
        <color rgb="FFFFFFFF"/>
        <rFont val="宋体"/>
        <charset val="134"/>
      </rPr>
      <t>本册</t>
    </r>
    <r>
      <rPr>
        <b/>
        <sz val="10"/>
        <color rgb="FFFFFFFF"/>
        <rFont val="Noto Sans CJK SC"/>
        <charset val="134"/>
      </rPr>
      <t>)</t>
    </r>
  </si>
  <si>
    <r>
      <rPr>
        <b/>
        <sz val="10"/>
        <color rgb="FFFFFFFF"/>
        <rFont val="宋体"/>
        <charset val="134"/>
      </rPr>
      <t>客户未回库</t>
    </r>
    <r>
      <rPr>
        <b/>
        <sz val="10"/>
        <color rgb="FFFFFFFF"/>
        <rFont val="Noto Sans CJK SC"/>
        <charset val="134"/>
      </rPr>
      <t xml:space="preserve">
(01</t>
    </r>
    <r>
      <rPr>
        <b/>
        <sz val="10"/>
        <color rgb="FFFFFFFF"/>
        <rFont val="宋体"/>
        <charset val="134"/>
      </rPr>
      <t>水果册</t>
    </r>
    <r>
      <rPr>
        <b/>
        <sz val="10"/>
        <color rgb="FFFFFFFF"/>
        <rFont val="Noto Sans CJK SC"/>
        <charset val="134"/>
      </rPr>
      <t>·</t>
    </r>
    <r>
      <rPr>
        <b/>
        <sz val="10"/>
        <color rgb="FFFFFFFF"/>
        <rFont val="宋体"/>
        <charset val="134"/>
      </rPr>
      <t>公司筐</t>
    </r>
    <r>
      <rPr>
        <b/>
        <sz val="10"/>
        <color rgb="FFFFFFFF"/>
        <rFont val="Noto Sans CJK SC"/>
        <charset val="134"/>
      </rPr>
      <t>)</t>
    </r>
  </si>
  <si>
    <t>公司筐总量</t>
  </si>
  <si>
    <t>筐 子 往 来 汇 总（按客户 / 供应商 · 全自动）</t>
  </si>
  <si>
    <t>★ 全自动。C～Z 列来自本册【周转筐出入库明细】，可按右边起止日期筛选；AA～AO 列来自《01 水果台账》的【筐子进出接口】（区间在 01 册里设）。退回与随货回库显示为负数。</t>
  </si>
  <si>
    <t>客户 / 供应商</t>
  </si>
  <si>
    <t>退回合计</t>
  </si>
  <si>
    <t>采购入库合计</t>
  </si>
  <si>
    <t>销售数量合计</t>
  </si>
  <si>
    <t>未回库合计</t>
  </si>
  <si>
    <t>筐 子 采 购 汇 总（按供应商 · 取自【周转筐出入库明细】业务类型＝采购入库）</t>
  </si>
  <si>
    <t>★ 全自动：按供应商汇总【周转筐出入库明细】里业务类型＝「采购入库」的数量与金额。已付金额＝收付款状态为「已付款」的部分。</t>
  </si>
  <si>
    <t>其他类型</t>
  </si>
  <si>
    <t>合计数量</t>
  </si>
  <si>
    <t>采购金额</t>
  </si>
  <si>
    <t>已付金额</t>
  </si>
  <si>
    <t>未付金额</t>
  </si>
  <si>
    <t>筐 子 销 售 汇 总（卖断给客户的筐子 · 全自动）</t>
  </si>
  <si>
    <t>销售金额</t>
  </si>
  <si>
    <t>已收金额</t>
  </si>
  <si>
    <t>未收金额</t>
  </si>
  <si>
    <t>客 户 自 备 筐 汇 总（表外备查 · 按筐子类型分列 · 全自动）</t>
  </si>
  <si>
    <t>★ 全自动 · 表外备查。「随原料入库/出库/成品出库」来自《01 水果台账》按筐子类型精确对应；「自备加工筐入库/退还空筐」来自本册【客户自备加工筐明细】。出库类显示为红色负数，剩余在库＝各列直接相加。</t>
  </si>
  <si>
    <t>剩余合计</t>
  </si>
  <si>
    <t>次 果 筐 / 托 盘 汇 总（按客户 · 全自动）</t>
  </si>
  <si>
    <t>出库其他</t>
  </si>
  <si>
    <t>出库合计</t>
  </si>
  <si>
    <t>退回其他（显示为负）</t>
  </si>
  <si>
    <t>退回合计（显示为负）</t>
  </si>
  <si>
    <t>未回合计</t>
  </si>
  <si>
    <t>已收使用费</t>
  </si>
  <si>
    <t>未收使用费</t>
  </si>
  <si>
    <t>退押金（显示为负）</t>
  </si>
  <si>
    <t>押金余额</t>
  </si>
  <si>
    <t>押 金 汇 总（周转筐 ＋ 次果筐 / 托盘 · 全自动）</t>
  </si>
  <si>
    <t>周转筐收押金</t>
  </si>
  <si>
    <t>周转筐退押金（显示为负）</t>
  </si>
  <si>
    <t>次果筐收押金</t>
  </si>
  <si>
    <t>次果筐退押金（显示为负）</t>
  </si>
  <si>
    <t>收押金合计</t>
  </si>
  <si>
    <t>退押金合计（显示为负）</t>
  </si>
  <si>
    <t>押金余额(应退客户)</t>
  </si>
  <si>
    <t>结清状态</t>
  </si>
  <si>
    <t>客 户 领 用 物 料 汇 总（含退回 · 全自动）</t>
  </si>
  <si>
    <t>领取人 / 客户</t>
  </si>
  <si>
    <t>其他物料</t>
  </si>
  <si>
    <t>领用合计</t>
  </si>
  <si>
    <t>客户退回合计（显示为负）</t>
  </si>
  <si>
    <t>净领用</t>
  </si>
  <si>
    <t>销售应收金额</t>
  </si>
  <si>
    <t>实 盘 库 存 盘 点 表（包装物料 / 筐子 / 托盘）</t>
  </si>
  <si>
    <t>左侧【账面库存】全部自动生成；只在右侧【实盘录入】区录入实际盘点数量，盘盈/盘亏/盘平自动生成</t>
  </si>
  <si>
    <t>一、账 面 库 存（自动生成 · 勿改）</t>
  </si>
  <si>
    <t>类别</t>
  </si>
  <si>
    <t>名称</t>
  </si>
  <si>
    <t>单位</t>
  </si>
  <si>
    <t>账面结存</t>
  </si>
  <si>
    <t>实盘数量</t>
  </si>
  <si>
    <t>盘盈盘亏</t>
  </si>
  <si>
    <t>盈亏率</t>
  </si>
  <si>
    <t>物 料 与 周 转 物  收 入 / 结 算 汇 总（→ 对接《03 财务账套与报表》）</t>
  </si>
  <si>
    <t>一、应 收 业 务 收 入</t>
  </si>
  <si>
    <t>收入项目</t>
  </si>
  <si>
    <t>应收金额</t>
  </si>
  <si>
    <t>对应会计科目</t>
  </si>
  <si>
    <t>筐子销售收入</t>
  </si>
  <si>
    <t>5051 其他业务收入—筐子租售</t>
  </si>
  <si>
    <t>物料销售收入</t>
  </si>
  <si>
    <t>5052 其他业务收入—物料销售</t>
  </si>
  <si>
    <t>小计</t>
  </si>
  <si>
    <t>二、押 金（负债，不计收入）</t>
  </si>
  <si>
    <t>押金项目</t>
  </si>
  <si>
    <t>收押金金额</t>
  </si>
  <si>
    <t>退押金金额</t>
  </si>
  <si>
    <t>押金余额(应退)</t>
  </si>
  <si>
    <t>周转筐押金</t>
  </si>
  <si>
    <t>2241 其他应付款—押金（收到不确认收入，退回时冲减）</t>
  </si>
  <si>
    <t>次果筐 / 托盘押金</t>
  </si>
  <si>
    <t>押金小计</t>
  </si>
  <si>
    <t>押金余额是"还欠客户的钱"，在资产负债表进其他应付款</t>
  </si>
  <si>
    <t>三、期 末 存 货（→ 财务册资产负债表"存货"项目）</t>
  </si>
  <si>
    <t>存货项目</t>
  </si>
  <si>
    <t>金额</t>
  </si>
  <si>
    <t/>
  </si>
  <si>
    <t>包装物料库存</t>
  </si>
  <si>
    <t>1403 原材料—包装物料</t>
  </si>
  <si>
    <t>公司筐子在库结存</t>
  </si>
  <si>
    <t>1407 周转材料—周转筐托盘（数量×采购单价）</t>
  </si>
  <si>
    <t>客户手上未回库的公司筐</t>
  </si>
  <si>
    <t>1407 周转材料（仍属公司资产，与上一行相加是公司筐总量）</t>
  </si>
  <si>
    <t>客户自备筐结存（表外备查）</t>
  </si>
  <si>
    <t>不进资产，仅备查</t>
  </si>
  <si>
    <t>对 账 明 细 接 口（全自动 · 供《04 综合查询对账单》取数，请勿改动结构）</t>
  </si>
  <si>
    <t>有效笔数</t>
  </si>
  <si>
    <t>往来单位</t>
  </si>
  <si>
    <t>业务类别</t>
  </si>
  <si>
    <t>品名</t>
  </si>
  <si>
    <t>规格/等级</t>
  </si>
  <si>
    <t>重量KG</t>
  </si>
  <si>
    <t>收付状态</t>
  </si>
  <si>
    <t>发出筐数</t>
  </si>
  <si>
    <t>退回筐数</t>
  </si>
  <si>
    <t>入库筐数</t>
  </si>
  <si>
    <t>筐子归属</t>
  </si>
  <si>
    <t>财 务 取 数 接 口（全自动 · 24 个月 · 请勿改动结构）</t>
  </si>
  <si>
    <t>往来单位数</t>
  </si>
  <si>
    <t>起始年月(实际)</t>
  </si>
  <si>
    <t>★「起始年月」自动跟《01 水果台账》一致；要单独设定就在 E2 手工填（填了以 E2 为准）。</t>
  </si>
  <si>
    <t>起始年月(可留空)</t>
  </si>
  <si>
    <t>实际采用</t>
  </si>
  <si>
    <t>年月</t>
  </si>
  <si>
    <t>项目</t>
  </si>
  <si>
    <t>计费数量</t>
  </si>
  <si>
    <t>含税单价</t>
  </si>
  <si>
    <t>价税合计金额</t>
  </si>
  <si>
    <t>筐子销售</t>
  </si>
  <si>
    <t>物料销售</t>
  </si>
  <si>
    <t>押金收取</t>
  </si>
  <si>
    <t>押金退还</t>
  </si>
  <si>
    <t>二、成 本 与 存 货（采购入库）</t>
  </si>
  <si>
    <t>包装物料采购入库</t>
  </si>
  <si>
    <t>周转筐托盘采购入库</t>
  </si>
  <si>
    <t>三、期 末 存 货 与 结 存</t>
  </si>
  <si>
    <t>包装物料期末库存</t>
  </si>
  <si>
    <t>公司筐子期末总量</t>
  </si>
  <si>
    <t>四、按 客 户 往 来（→ 财务册往来款 · 每家两行：筐子销售款 / 物料销售款）</t>
  </si>
  <si>
    <t>应收发生额</t>
  </si>
  <si>
    <t>应付发生额</t>
  </si>
  <si>
    <t>（备用）</t>
  </si>
  <si>
    <t>应收合计</t>
  </si>
  <si>
    <t>原 表 字 段 → 新 模 板 对 照 表</t>
  </si>
  <si>
    <t>原有登记字段全部保留，★为新增字段</t>
  </si>
  <si>
    <t>原文件</t>
  </si>
  <si>
    <t>原工作表</t>
  </si>
  <si>
    <t>原登记字段</t>
  </si>
  <si>
    <t>本册去向工作表</t>
  </si>
  <si>
    <t>2025年包装物料出入库明细.xlsx</t>
  </si>
  <si>
    <t>物料出入库明细</t>
  </si>
  <si>
    <t>日期、种类、供应商、票据单号、入库数量、出库数量、退回数量、单价/元、合计金额、领取人、车牌号、核查结果、备注</t>
  </si>
  <si>
    <t>★新增：规格、计量单位、业务类型、计价数量、参考单价、收款状态</t>
  </si>
  <si>
    <t>同上</t>
  </si>
  <si>
    <t>客户领用物料出库汇总</t>
  </si>
  <si>
    <t>领取人 × 19 种物料交叉表、核查结果、备注</t>
  </si>
  <si>
    <t>全部自动生成，并新增销售应收/已收/未收金额</t>
  </si>
  <si>
    <t>库存结余</t>
  </si>
  <si>
    <t>品种、入库数量、出库数量、退回数量、剩余库存、库存状态</t>
  </si>
  <si>
    <t>★新增：期初/采购/退回分列、库存金额（供财务取数）</t>
  </si>
  <si>
    <t>2025年筐子出入库明细.xlsx</t>
  </si>
  <si>
    <t>序号、日期、供应商、筐子类型、票据单号、期初库存、入库数量、退回数量、出库数量、剩余库存、领用者(出库)、承运人车牌号、归还者(入库)、承运人车牌号、装卸、核查结果、备注</t>
  </si>
  <si>
    <t>★新增：业务类型；期初/剩余库存改为公式滚动计算</t>
  </si>
  <si>
    <t>筐子汇总(自动)</t>
  </si>
  <si>
    <t>客户、发出数量(4类)、退回数量(4类)、入库总数(香梨/苹果/西梅)、公司筐子回库总数、剩余可发、公司筐未回库、自备筐入/出/剩余、核查结果、备注</t>
  </si>
  <si>
    <t>随货回库筐改为在明细表登记“退回数量”，汇总口径更清晰</t>
  </si>
  <si>
    <t>销售筐子明细 / 销售汇总(自动)</t>
  </si>
  <si>
    <t>日期、筐子类型、票据单号、销售数量、单价、金额、领用者、承运人车牌号、核查结果、备注</t>
  </si>
  <si>
    <t>筐子销售明细 / 筐子销售汇总</t>
  </si>
  <si>
    <t>★新增：结算方式、收款状态、已收/未收金额</t>
  </si>
  <si>
    <t>客户自备原料筐出入库明细 / 自备原料筐汇总(自动)</t>
  </si>
  <si>
    <t>序号、日期、类型、票据单号、客户姓名、入库数量、承运人车牌号、出库数量、承运人车牌号、装卸、核查结果、备注</t>
  </si>
  <si>
    <t>客户自备筐明细 / 自备筐汇总</t>
  </si>
  <si>
    <t>★新增：用途</t>
  </si>
  <si>
    <t>客户自备加工筐明细及汇总</t>
  </si>
  <si>
    <t>日期、时间、客户、筐子类型、数量、车牌号、备注；入库总数/一次性黑筐/一次性白筐/自备原料筐/自备加工筐/退还自备筐/出库总数/剩余库存</t>
  </si>
  <si>
    <t>并入自备筐一张表，用“筐子类型”区分黑筐/白筐/加工筐</t>
  </si>
  <si>
    <t>次果筐子明细 / 次果筐子汇总(自动)</t>
  </si>
  <si>
    <t>日期、类型、票据单号、出库数量、领用者、承运人车牌号、退回数量、归还者、承运人车牌号、装卸、应收使用费、核查结果、用途、备注</t>
  </si>
  <si>
    <t>次果筐明细 / 次果筐汇总</t>
  </si>
  <si>
    <t>★新增：收款状态、已收金额</t>
  </si>
  <si>
    <t>托盘出入库明细 / 托盘汇总(自动)</t>
  </si>
  <si>
    <t>日期、类型、票据单号、入库数量、归还者、承运人车牌号、出库数量、领用者、承运人车牌号、核查结果、备注</t>
  </si>
  <si>
    <t>托盘出入库明细 / 托盘汇总</t>
  </si>
  <si>
    <t>★新增：应收租赁费、收款状态</t>
  </si>
  <si>
    <t>杨威威杨元威黄红梅.xlsx</t>
  </si>
  <si>
    <t>杨元威 / 杨威威(2) / 黄红梅（筐子部分）</t>
  </si>
  <si>
    <t>日期、筐子类型、票据单号、出库数量、领用者(出库)、承运人车牌号、备注；入库数量、归还者(入库)</t>
  </si>
  <si>
    <t>三个人不再单独建表，领用者/归还者填姓名即可，汇总自动分人</t>
  </si>
  <si>
    <t>杨元威+杨威威筐子汇总</t>
  </si>
  <si>
    <t>日期、票据单号、存放人、确认出库人、筐子类型、数量；发筐子/退回/入库/未回库汇总</t>
  </si>
  <si>
    <t>自动按人汇总，无需再手工统计</t>
  </si>
  <si>
    <t>本表由公式自动维护，供各汇总表取数，请勿手工修改、删除或取消隐藏后编辑。</t>
  </si>
  <si>
    <t>首次</t>
  </si>
  <si>
    <t>物料种类(紧凑)</t>
  </si>
  <si>
    <t>规格(紧凑)</t>
  </si>
  <si>
    <t>单位(紧凑)</t>
  </si>
  <si>
    <t>物料对方</t>
  </si>
  <si>
    <t>物料对方(紧凑)</t>
  </si>
  <si>
    <t>周转筐类型</t>
  </si>
  <si>
    <t>周转筐类型(紧凑)</t>
  </si>
  <si>
    <t>周转筐对方</t>
  </si>
  <si>
    <t>周转筐对方(紧凑)</t>
  </si>
  <si>
    <t>自备筐类型</t>
  </si>
  <si>
    <t>自备筐类型(紧凑)</t>
  </si>
  <si>
    <t>自备筐客户</t>
  </si>
  <si>
    <t>自备筐客户(紧凑)</t>
  </si>
  <si>
    <t>次果筐类型</t>
  </si>
  <si>
    <t>次果筐类型(紧凑)</t>
  </si>
  <si>
    <t>次果筐客户</t>
  </si>
  <si>
    <t>次果筐客户(紧凑)</t>
  </si>
  <si>
    <t>01册筐客户</t>
  </si>
  <si>
    <t>01册筐客户(紧凑)</t>
  </si>
  <si>
    <t>01册筐型</t>
  </si>
  <si>
    <t>01册筐型(紧凑)</t>
  </si>
  <si>
    <t>全部筐型</t>
  </si>
  <si>
    <t>全部筐型(紧凑)</t>
  </si>
  <si>
    <t>往来单位(紧凑)</t>
  </si>
  <si>
    <t>筐子往来客户</t>
  </si>
  <si>
    <t>筐子往来客户(紧凑)</t>
  </si>
  <si>
    <t>物料次数</t>
  </si>
  <si>
    <t>客户或供应商</t>
  </si>
  <si>
    <t>对账命中</t>
  </si>
  <si>
    <t>采购供应商</t>
  </si>
  <si>
    <t>采购供应商(紧凑)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</si>
</sst>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#,##0;[Red]\-#,##0;\-"/>
    <numFmt numFmtId="178" formatCode="#,##0.00;[Red]\-#,##0.00;\-"/>
    <numFmt numFmtId="179" formatCode="0.0%"/>
    <numFmt numFmtId="180" formatCode="[Red]\-#,##0;[Red]\-#,##0;\-"/>
    <numFmt numFmtId="181" formatCode="[Red]\-#,##0.00;[Red]\-#,##0.00;\-"/>
    <numFmt numFmtId="182" formatCode="yyyy/mm/dd"/>
  </numFmts>
  <fonts count="66">
    <font>
      <sz val="11"/>
      <color theme="1"/>
      <name val="Calibri"/>
      <charset val="1"/>
    </font>
    <font>
      <b/>
      <sz val="9"/>
      <color rgb="FF1F4E79"/>
      <name val="宋体"/>
      <charset val="134"/>
    </font>
    <font>
      <b/>
      <sz val="14"/>
      <color rgb="FFFFFFFF"/>
      <name val="Noto Sans CJK SC"/>
      <charset val="134"/>
    </font>
    <font>
      <sz val="9"/>
      <color rgb="FF808080"/>
      <name val="Noto Sans CJK SC"/>
      <charset val="134"/>
    </font>
    <font>
      <b/>
      <sz val="10"/>
      <color rgb="FFFFFFFF"/>
      <name val="Noto Sans CJK SC"/>
      <charset val="134"/>
    </font>
    <font>
      <sz val="10"/>
      <name val="宋体"/>
      <charset val="1"/>
    </font>
    <font>
      <sz val="10"/>
      <name val="Noto Sans CJK SC"/>
      <charset val="134"/>
    </font>
    <font>
      <sz val="9"/>
      <color rgb="FF808080"/>
      <name val="宋体"/>
      <charset val="134"/>
    </font>
    <font>
      <b/>
      <sz val="10"/>
      <color rgb="FF006100"/>
      <name val="宋体"/>
      <charset val="134"/>
    </font>
    <font>
      <sz val="8"/>
      <color rgb="FFBFBFBF"/>
      <name val="宋体"/>
      <charset val="134"/>
    </font>
    <font>
      <b/>
      <sz val="9"/>
      <color rgb="FF833C00"/>
      <name val="宋体"/>
      <charset val="134"/>
    </font>
    <font>
      <b/>
      <sz val="10"/>
      <color rgb="FF1F4E79"/>
      <name val="宋体"/>
      <charset val="134"/>
    </font>
    <font>
      <sz val="9"/>
      <color rgb="FF595959"/>
      <name val="宋体"/>
      <charset val="134"/>
    </font>
    <font>
      <sz val="9"/>
      <color rgb="FF006100"/>
      <name val="宋体"/>
      <charset val="134"/>
    </font>
    <font>
      <sz val="9"/>
      <color rgb="FF1F4E79"/>
      <name val="宋体"/>
      <charset val="134"/>
    </font>
    <font>
      <sz val="10"/>
      <color rgb="FF006100"/>
      <name val="宋体"/>
      <charset val="134"/>
    </font>
    <font>
      <sz val="10"/>
      <color rgb="FF1F4E79"/>
      <name val="宋体"/>
      <charset val="134"/>
    </font>
    <font>
      <b/>
      <sz val="10"/>
      <color rgb="FF7F6000"/>
      <name val="宋体"/>
      <charset val="134"/>
    </font>
    <font>
      <sz val="10"/>
      <color rgb="FF000000"/>
      <name val="宋体"/>
      <charset val="134"/>
    </font>
    <font>
      <sz val="9"/>
      <color rgb="FF7F6000"/>
      <name val="宋体"/>
      <charset val="134"/>
    </font>
    <font>
      <b/>
      <sz val="10"/>
      <color rgb="FFFFFFFF"/>
      <name val="宋体"/>
      <charset val="134"/>
    </font>
    <font>
      <sz val="10"/>
      <color rgb="FFC00000"/>
      <name val="宋体"/>
      <charset val="134"/>
    </font>
    <font>
      <b/>
      <sz val="10"/>
      <color rgb="FF000000"/>
      <name val="宋体"/>
      <charset val="134"/>
    </font>
    <font>
      <sz val="10"/>
      <color rgb="FF006100"/>
      <name val="宋体"/>
      <charset val="1"/>
    </font>
    <font>
      <sz val="10"/>
      <name val="宋体"/>
      <charset val="134"/>
    </font>
    <font>
      <b/>
      <sz val="14"/>
      <color rgb="FFFFFFFF"/>
      <name val="宋体"/>
      <charset val="134"/>
    </font>
    <font>
      <sz val="11"/>
      <color theme="5" tint="-0.5"/>
      <name val="Calibri"/>
      <charset val="1"/>
    </font>
    <font>
      <b/>
      <sz val="10"/>
      <color theme="5" tint="-0.5"/>
      <name val="宋体"/>
      <charset val="134"/>
    </font>
    <font>
      <b/>
      <sz val="10"/>
      <color rgb="FFFF0000"/>
      <name val="宋体"/>
      <charset val="134"/>
    </font>
    <font>
      <sz val="10"/>
      <color theme="5" tint="-0.5"/>
      <name val="宋体"/>
      <charset val="1"/>
    </font>
    <font>
      <sz val="11"/>
      <color theme="2" tint="-0.9"/>
      <name val="Calibri"/>
      <charset val="1"/>
    </font>
    <font>
      <b/>
      <sz val="10"/>
      <color theme="2" tint="-0.9"/>
      <name val="宋体"/>
      <charset val="134"/>
    </font>
    <font>
      <sz val="10"/>
      <color theme="2" tint="-0.9"/>
      <name val="宋体"/>
      <charset val="1"/>
    </font>
    <font>
      <b/>
      <sz val="10"/>
      <color rgb="FF595959"/>
      <name val="Noto Sans CJK SC"/>
      <charset val="134"/>
    </font>
    <font>
      <sz val="8"/>
      <color rgb="FF006100"/>
      <name val="宋体"/>
      <charset val="134"/>
    </font>
    <font>
      <sz val="10"/>
      <color rgb="FF7F6000"/>
      <name val="Noto Sans CJK SC"/>
      <charset val="134"/>
    </font>
    <font>
      <sz val="10"/>
      <color rgb="FF0000FF"/>
      <name val="宋体"/>
      <charset val="1"/>
    </font>
    <font>
      <b/>
      <sz val="11"/>
      <color rgb="FF1F4E79"/>
      <name val="Noto Sans CJK SC"/>
      <charset val="134"/>
    </font>
    <font>
      <b/>
      <sz val="11"/>
      <color rgb="FF1F4E79"/>
      <name val="宋体"/>
      <charset val="134"/>
    </font>
    <font>
      <sz val="10"/>
      <color rgb="FF1F3864"/>
      <name val="宋体"/>
      <charset val="134"/>
    </font>
    <font>
      <b/>
      <sz val="9"/>
      <color rgb="FF1F4E79"/>
      <name val="Noto Sans CJK SC"/>
      <charset val="134"/>
    </font>
    <font>
      <sz val="9"/>
      <color rgb="FF000000"/>
      <name val="宋体"/>
      <charset val="134"/>
    </font>
    <font>
      <b/>
      <u/>
      <sz val="10"/>
      <color rgb="FF0563C1"/>
      <name val="宋体"/>
      <charset val="134"/>
    </font>
    <font>
      <sz val="10"/>
      <color rgb="FF595959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rgb="FFBF8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4" fillId="0" borderId="0"/>
    <xf numFmtId="44" fontId="44" fillId="0" borderId="0"/>
    <xf numFmtId="9" fontId="44" fillId="0" borderId="0"/>
    <xf numFmtId="41" fontId="44" fillId="0" borderId="0"/>
    <xf numFmtId="42" fontId="44" fillId="0" borderId="0"/>
    <xf numFmtId="0" fontId="45" fillId="0" borderId="0">
      <alignment vertical="center"/>
    </xf>
    <xf numFmtId="0" fontId="46" fillId="0" borderId="0">
      <alignment vertical="center"/>
    </xf>
    <xf numFmtId="0" fontId="47" fillId="16" borderId="4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51" fillId="0" borderId="5">
      <alignment vertical="center"/>
    </xf>
    <xf numFmtId="0" fontId="52" fillId="0" borderId="5">
      <alignment vertical="center"/>
    </xf>
    <xf numFmtId="0" fontId="53" fillId="0" borderId="6">
      <alignment vertical="center"/>
    </xf>
    <xf numFmtId="0" fontId="53" fillId="0" borderId="0">
      <alignment vertical="center"/>
    </xf>
    <xf numFmtId="0" fontId="54" fillId="17" borderId="7">
      <alignment vertical="center"/>
    </xf>
    <xf numFmtId="0" fontId="55" fillId="7" borderId="8">
      <alignment vertical="center"/>
    </xf>
    <xf numFmtId="0" fontId="56" fillId="7" borderId="7">
      <alignment vertical="center"/>
    </xf>
    <xf numFmtId="0" fontId="57" fillId="18" borderId="9">
      <alignment vertical="center"/>
    </xf>
    <xf numFmtId="0" fontId="58" fillId="0" borderId="10">
      <alignment vertical="center"/>
    </xf>
    <xf numFmtId="0" fontId="59" fillId="0" borderId="11">
      <alignment vertical="center"/>
    </xf>
    <xf numFmtId="0" fontId="60" fillId="19" borderId="0">
      <alignment vertical="center"/>
    </xf>
    <xf numFmtId="0" fontId="61" fillId="20" borderId="0">
      <alignment vertical="center"/>
    </xf>
    <xf numFmtId="0" fontId="62" fillId="21" borderId="0">
      <alignment vertical="center"/>
    </xf>
    <xf numFmtId="0" fontId="63" fillId="22" borderId="0">
      <alignment vertical="center"/>
    </xf>
    <xf numFmtId="0" fontId="64" fillId="23" borderId="0">
      <alignment vertical="center"/>
    </xf>
    <xf numFmtId="0" fontId="64" fillId="24" borderId="0">
      <alignment vertical="center"/>
    </xf>
    <xf numFmtId="0" fontId="63" fillId="25" borderId="0">
      <alignment vertical="center"/>
    </xf>
    <xf numFmtId="0" fontId="63" fillId="26" borderId="0">
      <alignment vertical="center"/>
    </xf>
    <xf numFmtId="0" fontId="64" fillId="27" borderId="0">
      <alignment vertical="center"/>
    </xf>
    <xf numFmtId="0" fontId="64" fillId="28" borderId="0">
      <alignment vertical="center"/>
    </xf>
    <xf numFmtId="0" fontId="63" fillId="29" borderId="0">
      <alignment vertical="center"/>
    </xf>
    <xf numFmtId="0" fontId="63" fillId="30" borderId="0">
      <alignment vertical="center"/>
    </xf>
    <xf numFmtId="0" fontId="64" fillId="31" borderId="0">
      <alignment vertical="center"/>
    </xf>
    <xf numFmtId="0" fontId="64" fillId="32" borderId="0">
      <alignment vertical="center"/>
    </xf>
    <xf numFmtId="0" fontId="63" fillId="33" borderId="0">
      <alignment vertical="center"/>
    </xf>
    <xf numFmtId="0" fontId="63" fillId="34" borderId="0">
      <alignment vertical="center"/>
    </xf>
    <xf numFmtId="0" fontId="64" fillId="35" borderId="0">
      <alignment vertical="center"/>
    </xf>
    <xf numFmtId="0" fontId="64" fillId="36" borderId="0">
      <alignment vertical="center"/>
    </xf>
    <xf numFmtId="0" fontId="63" fillId="37" borderId="0">
      <alignment vertical="center"/>
    </xf>
    <xf numFmtId="0" fontId="63" fillId="38" borderId="0">
      <alignment vertical="center"/>
    </xf>
    <xf numFmtId="0" fontId="64" fillId="39" borderId="0">
      <alignment vertical="center"/>
    </xf>
    <xf numFmtId="0" fontId="64" fillId="40" borderId="0">
      <alignment vertical="center"/>
    </xf>
    <xf numFmtId="0" fontId="63" fillId="41" borderId="0">
      <alignment vertical="center"/>
    </xf>
    <xf numFmtId="0" fontId="63" fillId="42" borderId="0">
      <alignment vertical="center"/>
    </xf>
    <xf numFmtId="0" fontId="64" fillId="43" borderId="0">
      <alignment vertical="center"/>
    </xf>
    <xf numFmtId="0" fontId="64" fillId="44" borderId="0">
      <alignment vertical="center"/>
    </xf>
    <xf numFmtId="0" fontId="63" fillId="45" borderId="0">
      <alignment vertical="center"/>
    </xf>
  </cellStyleXfs>
  <cellXfs count="12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176" fontId="9" fillId="0" borderId="0" xfId="0" applyNumberFormat="1" applyFont="1"/>
    <xf numFmtId="0" fontId="7" fillId="0" borderId="0" xfId="0" applyFont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57" fontId="11" fillId="6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176" fontId="14" fillId="6" borderId="1" xfId="0" applyNumberFormat="1" applyFont="1" applyFill="1" applyBorder="1" applyAlignment="1">
      <alignment horizontal="center" vertical="center"/>
    </xf>
    <xf numFmtId="57" fontId="9" fillId="0" borderId="0" xfId="0" applyNumberFormat="1" applyFont="1"/>
    <xf numFmtId="0" fontId="4" fillId="9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57" fontId="15" fillId="8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77" fontId="15" fillId="8" borderId="1" xfId="0" applyNumberFormat="1" applyFont="1" applyFill="1" applyBorder="1" applyAlignment="1">
      <alignment horizontal="center" vertical="center"/>
    </xf>
    <xf numFmtId="178" fontId="15" fillId="8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176" fontId="9" fillId="8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178" fontId="15" fillId="8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/>
    </xf>
    <xf numFmtId="178" fontId="4" fillId="9" borderId="1" xfId="0" applyNumberFormat="1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177" fontId="17" fillId="10" borderId="1" xfId="0" applyNumberFormat="1" applyFont="1" applyFill="1" applyBorder="1" applyAlignment="1">
      <alignment horizontal="center" vertical="center"/>
    </xf>
    <xf numFmtId="178" fontId="17" fillId="10" borderId="1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14" fontId="15" fillId="8" borderId="1" xfId="0" applyNumberFormat="1" applyFont="1" applyFill="1" applyBorder="1" applyAlignment="1">
      <alignment horizontal="center" vertical="center"/>
    </xf>
    <xf numFmtId="177" fontId="15" fillId="8" borderId="1" xfId="0" applyNumberFormat="1" applyFont="1" applyFill="1" applyBorder="1" applyAlignment="1">
      <alignment horizontal="right" vertical="center"/>
    </xf>
    <xf numFmtId="177" fontId="13" fillId="8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177" fontId="17" fillId="10" borderId="1" xfId="0" applyNumberFormat="1" applyFont="1" applyFill="1" applyBorder="1" applyAlignment="1">
      <alignment horizontal="right" vertical="center"/>
    </xf>
    <xf numFmtId="178" fontId="17" fillId="10" borderId="1" xfId="0" applyNumberFormat="1" applyFont="1" applyFill="1" applyBorder="1" applyAlignment="1">
      <alignment horizontal="right" vertical="center"/>
    </xf>
    <xf numFmtId="0" fontId="4" fillId="11" borderId="0" xfId="0" applyFont="1" applyFill="1" applyAlignment="1">
      <alignment horizontal="left" vertical="center"/>
    </xf>
    <xf numFmtId="0" fontId="15" fillId="8" borderId="1" xfId="0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179" fontId="15" fillId="8" borderId="1" xfId="0" applyNumberFormat="1" applyFont="1" applyFill="1" applyBorder="1" applyAlignment="1">
      <alignment horizontal="right" vertical="center"/>
    </xf>
    <xf numFmtId="0" fontId="20" fillId="9" borderId="1" xfId="0" applyFont="1" applyFill="1" applyBorder="1" applyAlignment="1">
      <alignment horizontal="center" vertical="center"/>
    </xf>
    <xf numFmtId="177" fontId="20" fillId="9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176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80" fontId="21" fillId="8" borderId="1" xfId="0" applyNumberFormat="1" applyFont="1" applyFill="1" applyBorder="1" applyAlignment="1">
      <alignment horizontal="center" vertical="center"/>
    </xf>
    <xf numFmtId="177" fontId="20" fillId="9" borderId="1" xfId="0" applyNumberFormat="1" applyFont="1" applyFill="1" applyBorder="1" applyAlignment="1">
      <alignment horizontal="center" vertical="center"/>
    </xf>
    <xf numFmtId="180" fontId="21" fillId="9" borderId="1" xfId="0" applyNumberFormat="1" applyFont="1" applyFill="1" applyBorder="1" applyAlignment="1">
      <alignment horizontal="center" vertical="center"/>
    </xf>
    <xf numFmtId="178" fontId="20" fillId="9" borderId="1" xfId="0" applyNumberFormat="1" applyFont="1" applyFill="1" applyBorder="1" applyAlignment="1">
      <alignment horizontal="center" vertical="center"/>
    </xf>
    <xf numFmtId="181" fontId="21" fillId="8" borderId="1" xfId="0" applyNumberFormat="1" applyFont="1" applyFill="1" applyBorder="1" applyAlignment="1">
      <alignment horizontal="center" vertical="center"/>
    </xf>
    <xf numFmtId="181" fontId="21" fillId="9" borderId="1" xfId="0" applyNumberFormat="1" applyFont="1" applyFill="1" applyBorder="1" applyAlignment="1">
      <alignment horizontal="center" vertical="center"/>
    </xf>
    <xf numFmtId="180" fontId="21" fillId="8" borderId="1" xfId="0" applyNumberFormat="1" applyFont="1" applyFill="1" applyBorder="1" applyAlignment="1">
      <alignment horizontal="right" vertical="center"/>
    </xf>
    <xf numFmtId="181" fontId="21" fillId="8" borderId="1" xfId="0" applyNumberFormat="1" applyFont="1" applyFill="1" applyBorder="1" applyAlignment="1">
      <alignment horizontal="right" vertical="center"/>
    </xf>
    <xf numFmtId="180" fontId="21" fillId="9" borderId="1" xfId="0" applyNumberFormat="1" applyFont="1" applyFill="1" applyBorder="1" applyAlignment="1">
      <alignment horizontal="right" vertical="center"/>
    </xf>
    <xf numFmtId="178" fontId="20" fillId="9" borderId="1" xfId="0" applyNumberFormat="1" applyFont="1" applyFill="1" applyBorder="1" applyAlignment="1">
      <alignment horizontal="right" vertical="center"/>
    </xf>
    <xf numFmtId="181" fontId="21" fillId="9" borderId="1" xfId="0" applyNumberFormat="1" applyFont="1" applyFill="1" applyBorder="1" applyAlignment="1">
      <alignment horizontal="right" vertical="center"/>
    </xf>
    <xf numFmtId="177" fontId="21" fillId="8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77" fontId="22" fillId="5" borderId="1" xfId="0" applyNumberFormat="1" applyFont="1" applyFill="1" applyBorder="1" applyAlignment="1">
      <alignment horizontal="center" vertical="center"/>
    </xf>
    <xf numFmtId="178" fontId="22" fillId="5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77" fontId="21" fillId="5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left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right" vertical="center"/>
    </xf>
    <xf numFmtId="181" fontId="21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177" fontId="29" fillId="0" borderId="1" xfId="0" applyNumberFormat="1" applyFont="1" applyBorder="1" applyAlignment="1">
      <alignment horizontal="center" vertical="center"/>
    </xf>
    <xf numFmtId="180" fontId="2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 wrapText="1"/>
    </xf>
    <xf numFmtId="177" fontId="32" fillId="0" borderId="1" xfId="0" applyNumberFormat="1" applyFont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33" fillId="7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7" fontId="16" fillId="6" borderId="1" xfId="0" applyNumberFormat="1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35" fillId="10" borderId="0" xfId="0" applyFont="1" applyFill="1" applyAlignment="1">
      <alignment horizontal="left" vertical="center"/>
    </xf>
    <xf numFmtId="177" fontId="36" fillId="0" borderId="1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4" fillId="14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40" fillId="7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43" fillId="7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name val="宋体"/>
        <scheme val="none"/>
        <b val="1"/>
        <sz val="10"/>
        <color rgb="FFC00000"/>
      </font>
      <fill>
        <patternFill patternType="solid">
          <fgColor rgb="FFFFC7CE"/>
          <bgColor rgb="FFFFC7CE"/>
        </patternFill>
      </fill>
    </dxf>
    <dxf>
      <font>
        <b val="1"/>
        <color rgb="FFC00000"/>
      </font>
    </dxf>
    <dxf>
      <font>
        <b val="1"/>
        <color rgb="FF0070C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DC3E6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入库吨位汇总"/>
      <sheetName val="成品出库吨位汇总"/>
      <sheetName val="果然鲜销售明细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B4" t="str">
            <v>聂新平</v>
          </cell>
          <cell r="C4" t="str">
            <v>自备一次性筐</v>
          </cell>
          <cell r="D4">
            <v>11421</v>
          </cell>
          <cell r="E4">
            <v>10143</v>
          </cell>
          <cell r="F4">
            <v>1260</v>
          </cell>
          <cell r="G4">
            <v>11403</v>
          </cell>
        </row>
        <row r="5">
          <cell r="B5" t="str">
            <v>王照雪</v>
          </cell>
          <cell r="C5" t="str">
            <v>公司杂周转筐</v>
          </cell>
          <cell r="D5">
            <v>1670</v>
          </cell>
          <cell r="E5">
            <v>1</v>
          </cell>
          <cell r="F5">
            <v>4</v>
          </cell>
          <cell r="G5">
            <v>5</v>
          </cell>
        </row>
        <row r="6">
          <cell r="B6" t="str">
            <v>伍元虎</v>
          </cell>
          <cell r="C6" t="str">
            <v>自备一次性筐</v>
          </cell>
          <cell r="D6">
            <v>87</v>
          </cell>
          <cell r="E6">
            <v>87</v>
          </cell>
          <cell r="F6">
            <v>0</v>
          </cell>
          <cell r="G6">
            <v>87</v>
          </cell>
        </row>
        <row r="7">
          <cell r="B7" t="str">
            <v>王照雪</v>
          </cell>
          <cell r="C7" t="str">
            <v>自备一次性筐</v>
          </cell>
          <cell r="D7">
            <v>422</v>
          </cell>
          <cell r="E7">
            <v>422</v>
          </cell>
          <cell r="F7">
            <v>0</v>
          </cell>
          <cell r="G7">
            <v>422</v>
          </cell>
        </row>
        <row r="8">
          <cell r="B8" t="str">
            <v>马锦祥</v>
          </cell>
          <cell r="C8" t="str">
            <v>自备一次性筐</v>
          </cell>
          <cell r="D8">
            <v>68</v>
          </cell>
          <cell r="E8">
            <v>2</v>
          </cell>
          <cell r="F8">
            <v>0</v>
          </cell>
          <cell r="G8">
            <v>2</v>
          </cell>
        </row>
        <row r="9">
          <cell r="B9" t="str">
            <v>马锦祥</v>
          </cell>
          <cell r="C9" t="str">
            <v>公司杂周转筐</v>
          </cell>
          <cell r="D9">
            <v>1900</v>
          </cell>
          <cell r="E9">
            <v>0</v>
          </cell>
          <cell r="F9">
            <v>0</v>
          </cell>
          <cell r="G9">
            <v>0</v>
          </cell>
        </row>
        <row r="10">
          <cell r="B10" t="str">
            <v>麦麦提</v>
          </cell>
          <cell r="C10" t="str">
            <v>公司红周转筐</v>
          </cell>
          <cell r="D10">
            <v>2537</v>
          </cell>
          <cell r="E10">
            <v>0</v>
          </cell>
          <cell r="F10">
            <v>0</v>
          </cell>
          <cell r="G10">
            <v>0</v>
          </cell>
        </row>
        <row r="11">
          <cell r="B11" t="str">
            <v>吐尔洪</v>
          </cell>
          <cell r="C11" t="str">
            <v>公司红周转筐</v>
          </cell>
          <cell r="D11">
            <v>1195</v>
          </cell>
          <cell r="E11">
            <v>0</v>
          </cell>
          <cell r="F11">
            <v>0</v>
          </cell>
          <cell r="G11">
            <v>0</v>
          </cell>
        </row>
        <row r="12">
          <cell r="B12" t="str">
            <v>热合曼</v>
          </cell>
          <cell r="C12" t="str">
            <v>公司红周转筐</v>
          </cell>
          <cell r="D12">
            <v>1521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贾建国</v>
          </cell>
          <cell r="C13" t="str">
            <v>自备一次性筐</v>
          </cell>
          <cell r="D13">
            <v>832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贾建国</v>
          </cell>
          <cell r="C14" t="str">
            <v>自备杂周转筐</v>
          </cell>
          <cell r="D14">
            <v>354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王灵云</v>
          </cell>
          <cell r="C15" t="str">
            <v>公司红周转筐</v>
          </cell>
          <cell r="D15">
            <v>1037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杨艳玲</v>
          </cell>
          <cell r="C16" t="str">
            <v>自备一次性筐</v>
          </cell>
          <cell r="D16">
            <v>104</v>
          </cell>
          <cell r="E16">
            <v>0</v>
          </cell>
          <cell r="F16">
            <v>0</v>
          </cell>
          <cell r="G16">
            <v>0</v>
          </cell>
        </row>
        <row r="17">
          <cell r="B17" t="str">
            <v>荆建君</v>
          </cell>
          <cell r="C17" t="str">
            <v>公司红周转筐</v>
          </cell>
          <cell r="D17">
            <v>1216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贾建国</v>
          </cell>
          <cell r="C18" t="str">
            <v>公司新周转筐</v>
          </cell>
          <cell r="D18">
            <v>74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王照雪</v>
          </cell>
          <cell r="C19" t="str">
            <v>公司一次性筐</v>
          </cell>
          <cell r="D19">
            <v>543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努尔敦</v>
          </cell>
          <cell r="C20" t="str">
            <v>公司红周转筐</v>
          </cell>
          <cell r="D20">
            <v>1290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王浩</v>
          </cell>
          <cell r="C21" t="str">
            <v>公司一次性筐</v>
          </cell>
          <cell r="D21">
            <v>1184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贾建国</v>
          </cell>
          <cell r="C22" t="str">
            <v>公司一次性筐</v>
          </cell>
          <cell r="D22">
            <v>5</v>
          </cell>
          <cell r="E22">
            <v>0</v>
          </cell>
          <cell r="F22">
            <v>0</v>
          </cell>
          <cell r="G22">
            <v>0</v>
          </cell>
        </row>
        <row r="23">
          <cell r="B23" t="str">
            <v>电商/主播</v>
          </cell>
          <cell r="C23" t="str">
            <v>纸箱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 t="str">
            <v>伍元虎</v>
          </cell>
          <cell r="C24" t="str">
            <v>公司一次性筐</v>
          </cell>
          <cell r="D24">
            <v>0</v>
          </cell>
          <cell r="E24">
            <v>0</v>
          </cell>
          <cell r="F24">
            <v>113</v>
          </cell>
          <cell r="G24">
            <v>113</v>
          </cell>
        </row>
        <row r="25">
          <cell r="B25" t="str">
            <v>王照雪</v>
          </cell>
          <cell r="C25" t="str">
            <v>纸箱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D32"/>
  <sheetViews>
    <sheetView showGridLines="0" workbookViewId="0">
      <pane ySplit="3" topLeftCell="A10" activePane="bottomLeft" state="frozen"/>
      <selection/>
      <selection pane="bottomLeft" activeCell="A3" sqref="A3:D3"/>
    </sheetView>
  </sheetViews>
  <sheetFormatPr defaultColWidth="9" defaultRowHeight="15" outlineLevelCol="3"/>
  <cols>
    <col min="1" max="1" width="5" customWidth="1"/>
    <col min="2" max="2" width="24" customWidth="1"/>
    <col min="3" max="3" width="62" customWidth="1"/>
    <col min="4" max="4" width="16" customWidth="1"/>
  </cols>
  <sheetData>
    <row r="1" ht="38" customHeight="1" spans="1:4">
      <c r="A1" s="7" t="s">
        <v>0</v>
      </c>
    </row>
    <row r="2" ht="18" customHeight="1" spans="1:4">
      <c r="A2" s="12" t="s">
        <v>1</v>
      </c>
    </row>
    <row r="3" ht="24" customHeight="1" spans="1:4">
      <c r="A3" s="118" t="str">
        <f>IF(N(对接源_01水果筐数!$S$1)=0,"联动状态：★★ 01 水果台账的筐数没接进来 —— 请打开【对接源_01水果筐数】按提示修复链接",IF(N(对接源_01水果筐数!$S$4)=0,"联动状态：⚠ 正在用【应急备份】的筐数（不是实时数），共 "&amp;N(对接源_01水果筐数!$S$1)&amp;" 行，请尽快修复链接","联动状态：✔ 正常 —— 已从《01 水果进销存台账》自动接入 "&amp;N(对接源_01水果筐数!$S$1)&amp;" 行筐子进出数据"))</f>
        <v>联动状态：✔ 正常 —— 已从《01 水果进销存台账》自动接入 22 行筐子进出数据</v>
      </c>
    </row>
    <row r="5" ht="24" customHeight="1" spans="1:4">
      <c r="A5" s="36" t="s">
        <v>2</v>
      </c>
    </row>
    <row r="6" ht="20" customHeight="1" spans="1:4">
      <c r="A6" s="119" t="s">
        <v>3</v>
      </c>
      <c r="B6" s="119" t="s">
        <v>4</v>
      </c>
      <c r="C6" s="119" t="s">
        <v>5</v>
      </c>
      <c r="D6" s="119" t="s">
        <v>6</v>
      </c>
    </row>
    <row r="7" ht="19" customHeight="1" spans="1:4">
      <c r="A7" s="120">
        <v>1</v>
      </c>
      <c r="B7" s="121" t="s">
        <v>7</v>
      </c>
      <c r="C7" s="122" t="s">
        <v>8</v>
      </c>
      <c r="D7" s="123" t="s">
        <v>9</v>
      </c>
    </row>
    <row r="8" ht="19" customHeight="1" spans="1:4">
      <c r="A8" s="120">
        <v>2</v>
      </c>
      <c r="B8" s="121" t="s">
        <v>10</v>
      </c>
      <c r="C8" s="122" t="s">
        <v>11</v>
      </c>
      <c r="D8" s="123" t="s">
        <v>9</v>
      </c>
    </row>
    <row r="9" ht="19" customHeight="1" spans="1:4">
      <c r="A9" s="120">
        <v>3</v>
      </c>
      <c r="B9" s="121" t="s">
        <v>12</v>
      </c>
      <c r="C9" s="122" t="s">
        <v>13</v>
      </c>
      <c r="D9" s="123" t="s">
        <v>9</v>
      </c>
    </row>
    <row r="10" ht="19" customHeight="1" spans="1:4">
      <c r="A10" s="120">
        <v>4</v>
      </c>
      <c r="B10" s="121" t="s">
        <v>14</v>
      </c>
      <c r="C10" s="122" t="s">
        <v>15</v>
      </c>
      <c r="D10" s="123" t="s">
        <v>9</v>
      </c>
    </row>
    <row r="11" ht="19" customHeight="1" spans="1:4">
      <c r="A11" s="120">
        <v>5</v>
      </c>
      <c r="B11" s="121" t="s">
        <v>16</v>
      </c>
      <c r="C11" s="122" t="s">
        <v>17</v>
      </c>
      <c r="D11" s="22" t="s">
        <v>18</v>
      </c>
    </row>
    <row r="13" ht="24" customHeight="1" spans="1:4">
      <c r="A13" s="36" t="s">
        <v>19</v>
      </c>
    </row>
    <row r="14" ht="20" customHeight="1" spans="1:4">
      <c r="A14" s="119" t="s">
        <v>3</v>
      </c>
      <c r="B14" s="119" t="s">
        <v>4</v>
      </c>
      <c r="C14" s="119" t="s">
        <v>5</v>
      </c>
      <c r="D14" s="119" t="s">
        <v>6</v>
      </c>
    </row>
    <row r="15" ht="19" customHeight="1" spans="1:4">
      <c r="A15" s="120">
        <v>6</v>
      </c>
      <c r="B15" s="121" t="s">
        <v>20</v>
      </c>
      <c r="C15" s="122" t="s">
        <v>21</v>
      </c>
      <c r="D15" s="22" t="s">
        <v>22</v>
      </c>
    </row>
    <row r="16" ht="19" customHeight="1" spans="1:4">
      <c r="A16" s="120">
        <v>7</v>
      </c>
      <c r="B16" s="121" t="s">
        <v>23</v>
      </c>
      <c r="C16" s="122" t="s">
        <v>24</v>
      </c>
      <c r="D16" s="22" t="s">
        <v>22</v>
      </c>
    </row>
    <row r="17" ht="19" customHeight="1" spans="1:4">
      <c r="A17" s="120">
        <v>8</v>
      </c>
      <c r="B17" s="121" t="s">
        <v>25</v>
      </c>
      <c r="C17" s="122" t="s">
        <v>26</v>
      </c>
      <c r="D17" s="22" t="s">
        <v>22</v>
      </c>
    </row>
    <row r="18" ht="19" customHeight="1" spans="1:4">
      <c r="A18" s="120">
        <v>9</v>
      </c>
      <c r="B18" s="121" t="s">
        <v>27</v>
      </c>
      <c r="C18" s="122" t="s">
        <v>28</v>
      </c>
      <c r="D18" s="22" t="s">
        <v>22</v>
      </c>
    </row>
    <row r="19" ht="19" customHeight="1" spans="1:4">
      <c r="A19" s="120">
        <v>10</v>
      </c>
      <c r="B19" s="121" t="s">
        <v>29</v>
      </c>
      <c r="C19" s="122" t="s">
        <v>30</v>
      </c>
      <c r="D19" s="22" t="s">
        <v>22</v>
      </c>
    </row>
    <row r="20" ht="19" customHeight="1" spans="1:4">
      <c r="A20" s="120">
        <v>11</v>
      </c>
      <c r="B20" s="121" t="s">
        <v>31</v>
      </c>
      <c r="C20" s="122" t="s">
        <v>32</v>
      </c>
      <c r="D20" s="22" t="s">
        <v>22</v>
      </c>
    </row>
    <row r="21" ht="19" customHeight="1" spans="1:4">
      <c r="A21" s="120">
        <v>12</v>
      </c>
      <c r="B21" s="121" t="s">
        <v>33</v>
      </c>
      <c r="C21" s="122" t="s">
        <v>34</v>
      </c>
      <c r="D21" s="22" t="s">
        <v>22</v>
      </c>
    </row>
    <row r="22" ht="19" customHeight="1" spans="1:4">
      <c r="A22" s="120">
        <v>13</v>
      </c>
      <c r="B22" s="121" t="s">
        <v>35</v>
      </c>
      <c r="C22" s="122" t="s">
        <v>36</v>
      </c>
      <c r="D22" s="22" t="s">
        <v>22</v>
      </c>
    </row>
    <row r="23" ht="19" customHeight="1" spans="1:4">
      <c r="A23" s="120">
        <v>14</v>
      </c>
      <c r="B23" s="121" t="s">
        <v>37</v>
      </c>
      <c r="C23" s="122" t="s">
        <v>38</v>
      </c>
      <c r="D23" s="22" t="s">
        <v>22</v>
      </c>
    </row>
    <row r="25" ht="24" customHeight="1" spans="1:4">
      <c r="A25" s="36" t="s">
        <v>39</v>
      </c>
    </row>
    <row r="26" ht="20" customHeight="1" spans="1:4">
      <c r="A26" s="119" t="s">
        <v>3</v>
      </c>
      <c r="B26" s="119" t="s">
        <v>4</v>
      </c>
      <c r="C26" s="119" t="s">
        <v>5</v>
      </c>
      <c r="D26" s="119" t="s">
        <v>6</v>
      </c>
    </row>
    <row r="27" ht="19" customHeight="1" spans="1:4">
      <c r="A27" s="120">
        <v>15</v>
      </c>
      <c r="B27" s="121" t="s">
        <v>40</v>
      </c>
      <c r="C27" s="122" t="s">
        <v>41</v>
      </c>
      <c r="D27" s="22" t="s">
        <v>22</v>
      </c>
    </row>
    <row r="28" ht="19" customHeight="1" spans="1:4">
      <c r="A28" s="120">
        <v>16</v>
      </c>
      <c r="B28" s="121" t="s">
        <v>42</v>
      </c>
      <c r="C28" s="122" t="s">
        <v>43</v>
      </c>
      <c r="D28" s="22" t="s">
        <v>22</v>
      </c>
    </row>
    <row r="29" ht="19" customHeight="1" spans="1:4">
      <c r="A29" s="120">
        <v>17</v>
      </c>
      <c r="B29" s="121" t="s">
        <v>44</v>
      </c>
      <c r="C29" s="122" t="s">
        <v>45</v>
      </c>
      <c r="D29" s="124" t="s">
        <v>46</v>
      </c>
    </row>
    <row r="30" ht="19" customHeight="1" spans="1:4">
      <c r="A30" s="120">
        <v>18</v>
      </c>
      <c r="B30" s="121" t="s">
        <v>47</v>
      </c>
      <c r="C30" s="122" t="s">
        <v>48</v>
      </c>
      <c r="D30" s="124" t="s">
        <v>49</v>
      </c>
    </row>
    <row r="32" ht="20" customHeight="1" spans="1:4">
      <c r="A32" s="125" t="s">
        <v>50</v>
      </c>
    </row>
  </sheetData>
  <mergeCells count="7">
    <mergeCell ref="A1:D1"/>
    <mergeCell ref="A2:D2"/>
    <mergeCell ref="A3:D3"/>
    <mergeCell ref="A5:D5"/>
    <mergeCell ref="A13:D13"/>
    <mergeCell ref="A25:D25"/>
    <mergeCell ref="A32:D32"/>
  </mergeCells>
  <conditionalFormatting sqref="A3">
    <cfRule type="expression" dxfId="0" priority="1">
      <formula>OR(N(对接源_01水果筐数!$S$1)=0,N(对接源_01水果筐数!$S$4)=0)</formula>
    </cfRule>
  </conditionalFormatting>
  <hyperlinks>
    <hyperlink ref="B7" location="'包装物料出入库明细'!A1" display="包装物料出入库明细"/>
    <hyperlink ref="B8" location="'周转筐出入库明细'!A1" display="周转筐出入库明细"/>
    <hyperlink ref="B9" location="'客户自备筐明细'!A1" display="客户自备筐明细"/>
    <hyperlink ref="B10" location="'次果筐明细'!A1" display="次果筐明细"/>
    <hyperlink ref="B11" location="'实盘库存盘点'!A1" display="实盘库存盘点"/>
    <hyperlink ref="B15" location="'物料库存结余'!A1" display="物料库存结余"/>
    <hyperlink ref="B16" location="'筐子库存汇总'!A1" display="筐子库存汇总"/>
    <hyperlink ref="B17" location="'筐子往来汇总'!A1" display="筐子往来汇总"/>
    <hyperlink ref="B18" location="'筐子销售汇总'!A1" display="筐子销售汇总"/>
    <hyperlink ref="B19" location="'自备筐汇总'!A1" display="自备筐汇总"/>
    <hyperlink ref="B20" location="'次果筐汇总'!A1" display="次果筐汇总"/>
    <hyperlink ref="B21" location="'押金汇总'!A1" display="押金汇总"/>
    <hyperlink ref="B22" location="'客户领用物料汇总'!A1" display="客户领用物料汇总"/>
    <hyperlink ref="B23" location="'收入结算汇总'!A1" display="收入结算汇总"/>
    <hyperlink ref="B27" location="'对接源_01水果筐数'!A1" display="对接源_01水果筐数"/>
    <hyperlink ref="B28" location="'财务取数接口'!A1" display="财务取数接口"/>
    <hyperlink ref="B29" location="'基础资料'!A1" display="基础资料"/>
    <hyperlink ref="B30" location="'字段对照'!A1" display="字段对照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88"/>
  <sheetViews>
    <sheetView showGridLines="0" topLeftCell="A62" workbookViewId="0">
      <selection activeCell="A82" sqref="A82:H82"/>
    </sheetView>
  </sheetViews>
  <sheetFormatPr defaultColWidth="8.67619047619048" defaultRowHeight="15" outlineLevelCol="7"/>
  <cols>
    <col min="1" max="1" width="4" customWidth="1"/>
    <col min="2" max="2" width="16" customWidth="1"/>
    <col min="3" max="8" width="22" customWidth="1"/>
  </cols>
  <sheetData>
    <row r="1" ht="30" customHeight="1" spans="1:2">
      <c r="A1" s="2" t="s">
        <v>51</v>
      </c>
    </row>
    <row r="2" ht="18" customHeight="1" spans="1:2">
      <c r="A2" s="3" t="s">
        <v>52</v>
      </c>
    </row>
    <row r="4" ht="17.15" customHeight="1" spans="1:2">
      <c r="B4" s="109" t="s">
        <v>53</v>
      </c>
    </row>
    <row r="5" spans="1:2">
      <c r="B5" s="110"/>
    </row>
    <row r="6" spans="1:2">
      <c r="B6" s="111" t="s">
        <v>54</v>
      </c>
    </row>
    <row r="7" spans="1:2">
      <c r="B7" s="111" t="s">
        <v>55</v>
      </c>
    </row>
    <row r="8" spans="1:2">
      <c r="B8" s="111" t="s">
        <v>56</v>
      </c>
    </row>
    <row r="9" spans="1:2">
      <c r="B9" s="111" t="s">
        <v>57</v>
      </c>
    </row>
    <row r="10" spans="1:2">
      <c r="B10" s="111" t="s">
        <v>58</v>
      </c>
    </row>
    <row r="11" spans="1:2">
      <c r="B11" s="111" t="s">
        <v>59</v>
      </c>
    </row>
    <row r="12" spans="1:2">
      <c r="B12" s="110"/>
    </row>
    <row r="13" ht="17.15" customHeight="1" spans="1:2">
      <c r="B13" s="109" t="s">
        <v>60</v>
      </c>
    </row>
    <row r="14" spans="1:2">
      <c r="B14" s="110"/>
    </row>
    <row r="15" spans="1:2">
      <c r="B15" s="110" t="s">
        <v>61</v>
      </c>
    </row>
    <row r="16" spans="1:2">
      <c r="B16" s="111" t="s">
        <v>62</v>
      </c>
    </row>
    <row r="17" spans="2:2">
      <c r="B17" s="110" t="s">
        <v>63</v>
      </c>
    </row>
    <row r="18" spans="2:2">
      <c r="B18" s="110" t="s">
        <v>64</v>
      </c>
    </row>
    <row r="19" spans="2:2">
      <c r="B19" s="111" t="s">
        <v>65</v>
      </c>
    </row>
    <row r="20" spans="2:2">
      <c r="B20" s="110" t="s">
        <v>66</v>
      </c>
    </row>
    <row r="21" spans="2:2">
      <c r="B21" s="110"/>
    </row>
    <row r="22" ht="17.15" customHeight="1" spans="2:2">
      <c r="B22" s="109" t="s">
        <v>67</v>
      </c>
    </row>
    <row r="23" spans="2:2">
      <c r="B23" s="110"/>
    </row>
    <row r="24" spans="2:2">
      <c r="B24" s="111" t="s">
        <v>68</v>
      </c>
    </row>
    <row r="25" spans="2:2">
      <c r="B25" s="111" t="s">
        <v>69</v>
      </c>
    </row>
    <row r="26" spans="2:2">
      <c r="B26" s="111" t="s">
        <v>70</v>
      </c>
    </row>
    <row r="27" spans="2:2">
      <c r="B27" s="110"/>
    </row>
    <row r="28" ht="17.15" customHeight="1" spans="2:2">
      <c r="B28" s="109" t="s">
        <v>71</v>
      </c>
    </row>
    <row r="29" spans="2:2">
      <c r="B29" s="110"/>
    </row>
    <row r="30" spans="2:2">
      <c r="B30" s="111" t="s">
        <v>72</v>
      </c>
    </row>
    <row r="31" ht="18" customHeight="1" spans="2:2">
      <c r="B31" s="112" t="s">
        <v>73</v>
      </c>
    </row>
    <row r="33" ht="18" customHeight="1" spans="2:2">
      <c r="B33" s="113" t="s">
        <v>74</v>
      </c>
    </row>
    <row r="35" ht="18" customHeight="1" spans="2:2">
      <c r="B35" s="112" t="s">
        <v>75</v>
      </c>
    </row>
    <row r="36" ht="18" customHeight="1" spans="2:2">
      <c r="B36" s="112" t="s">
        <v>76</v>
      </c>
    </row>
    <row r="37" ht="18" customHeight="1" spans="2:2">
      <c r="B37" s="112" t="s">
        <v>77</v>
      </c>
    </row>
    <row r="38" ht="18" customHeight="1" spans="2:2">
      <c r="B38" s="112" t="s">
        <v>78</v>
      </c>
    </row>
    <row r="39" ht="18" customHeight="1" spans="2:2">
      <c r="B39" s="112" t="s">
        <v>79</v>
      </c>
    </row>
    <row r="40" ht="18" customHeight="1" spans="2:2">
      <c r="B40" s="112" t="s">
        <v>80</v>
      </c>
    </row>
    <row r="41" ht="18" customHeight="1" spans="2:2">
      <c r="B41" s="114" t="s">
        <v>81</v>
      </c>
    </row>
    <row r="43" ht="18" customHeight="1" spans="2:2">
      <c r="B43" s="112" t="s">
        <v>82</v>
      </c>
    </row>
    <row r="45" ht="18" customHeight="1" spans="2:2">
      <c r="B45" s="113" t="s">
        <v>83</v>
      </c>
    </row>
    <row r="47" ht="18" customHeight="1" spans="2:2">
      <c r="B47" s="112" t="s">
        <v>84</v>
      </c>
    </row>
    <row r="48" ht="18" customHeight="1" spans="2:2">
      <c r="B48" s="112" t="s">
        <v>85</v>
      </c>
    </row>
    <row r="49" ht="18" customHeight="1" spans="2:2">
      <c r="B49" s="112" t="s">
        <v>86</v>
      </c>
    </row>
    <row r="50" ht="18" customHeight="1" spans="2:2">
      <c r="B50" s="112" t="s">
        <v>87</v>
      </c>
    </row>
    <row r="51" ht="18" customHeight="1" spans="2:2">
      <c r="B51" s="112" t="s">
        <v>88</v>
      </c>
    </row>
    <row r="52" ht="18" customHeight="1" spans="2:2">
      <c r="B52" s="112" t="s">
        <v>89</v>
      </c>
    </row>
    <row r="53" ht="18" customHeight="1" spans="2:2">
      <c r="B53" s="112" t="s">
        <v>90</v>
      </c>
    </row>
    <row r="54" ht="18" customHeight="1" spans="2:2">
      <c r="B54" s="112" t="s">
        <v>91</v>
      </c>
    </row>
    <row r="55" ht="18" customHeight="1" spans="2:2">
      <c r="B55" s="114" t="s">
        <v>92</v>
      </c>
    </row>
    <row r="56" ht="18" customHeight="1" spans="2:2">
      <c r="B56" s="112" t="s">
        <v>93</v>
      </c>
    </row>
    <row r="58" ht="18" customHeight="1" spans="2:2">
      <c r="B58" s="113" t="s">
        <v>94</v>
      </c>
    </row>
    <row r="60" ht="18" customHeight="1" spans="2:2">
      <c r="B60" s="112" t="s">
        <v>95</v>
      </c>
    </row>
    <row r="61" ht="18" customHeight="1" spans="2:2">
      <c r="B61" s="112" t="s">
        <v>96</v>
      </c>
    </row>
    <row r="62" ht="18" customHeight="1" spans="2:2">
      <c r="B62" s="112" t="s">
        <v>97</v>
      </c>
    </row>
    <row r="63" ht="18" customHeight="1" spans="2:2">
      <c r="B63" s="112" t="s">
        <v>98</v>
      </c>
    </row>
    <row r="64" ht="18" customHeight="1" spans="2:2">
      <c r="B64" s="112" t="s">
        <v>99</v>
      </c>
    </row>
    <row r="65" ht="18" customHeight="1" spans="1:2">
      <c r="B65" s="112" t="s">
        <v>100</v>
      </c>
    </row>
    <row r="67" ht="20" customHeight="1" spans="1:2">
      <c r="A67" s="36" t="s">
        <v>101</v>
      </c>
    </row>
    <row r="68" ht="30" customHeight="1" spans="1:2">
      <c r="A68" s="115" t="s">
        <v>102</v>
      </c>
    </row>
    <row r="69" ht="30" customHeight="1" spans="1:2">
      <c r="A69" s="115" t="s">
        <v>103</v>
      </c>
    </row>
    <row r="70" ht="30" customHeight="1" spans="1:2">
      <c r="A70" s="115" t="s">
        <v>104</v>
      </c>
    </row>
    <row r="71" ht="30" customHeight="1" spans="1:2">
      <c r="A71" s="115" t="s">
        <v>105</v>
      </c>
    </row>
    <row r="73" ht="20" customHeight="1" spans="1:2">
      <c r="A73" s="36" t="s">
        <v>106</v>
      </c>
    </row>
    <row r="74" ht="32" customHeight="1" spans="1:2">
      <c r="A74" s="115" t="s">
        <v>107</v>
      </c>
    </row>
    <row r="75" ht="32" customHeight="1" spans="1:2">
      <c r="A75" s="115" t="s">
        <v>108</v>
      </c>
    </row>
    <row r="76" ht="32" customHeight="1" spans="1:2">
      <c r="A76" s="115" t="s">
        <v>109</v>
      </c>
    </row>
    <row r="77" ht="32" customHeight="1" spans="1:2">
      <c r="A77" s="115" t="s">
        <v>110</v>
      </c>
    </row>
    <row r="79" ht="20" customHeight="1" spans="1:2">
      <c r="A79" s="116" t="s">
        <v>111</v>
      </c>
    </row>
    <row r="80" ht="30" customHeight="1" spans="1:2">
      <c r="A80" s="115" t="s">
        <v>112</v>
      </c>
    </row>
    <row r="81" ht="30" customHeight="1" spans="1:1">
      <c r="A81" s="115" t="s">
        <v>113</v>
      </c>
    </row>
    <row r="82" ht="30" customHeight="1" spans="1:1">
      <c r="A82" s="115" t="s">
        <v>114</v>
      </c>
    </row>
    <row r="84" ht="20" customHeight="1" spans="1:1">
      <c r="A84" s="117" t="s">
        <v>115</v>
      </c>
    </row>
    <row r="85" ht="34" customHeight="1" spans="1:1">
      <c r="A85" s="115" t="s">
        <v>116</v>
      </c>
    </row>
    <row r="86" ht="34" customHeight="1" spans="1:1">
      <c r="A86" s="115" t="s">
        <v>117</v>
      </c>
    </row>
    <row r="87" ht="34" customHeight="1" spans="1:1">
      <c r="A87" s="115" t="s">
        <v>118</v>
      </c>
    </row>
    <row r="88" ht="34" customHeight="1" spans="1:1">
      <c r="A88" s="115" t="s">
        <v>119</v>
      </c>
    </row>
  </sheetData>
  <mergeCells count="76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3:H33"/>
    <mergeCell ref="B35:H35"/>
    <mergeCell ref="B36:H36"/>
    <mergeCell ref="B37:H37"/>
    <mergeCell ref="B38:H38"/>
    <mergeCell ref="B39:H39"/>
    <mergeCell ref="B40:H40"/>
    <mergeCell ref="B41:H41"/>
    <mergeCell ref="B43:H43"/>
    <mergeCell ref="B45:H45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8:H58"/>
    <mergeCell ref="B60:H60"/>
    <mergeCell ref="B61:H61"/>
    <mergeCell ref="B62:H62"/>
    <mergeCell ref="B63:H63"/>
    <mergeCell ref="B64:H64"/>
    <mergeCell ref="B65:H65"/>
    <mergeCell ref="A67:H67"/>
    <mergeCell ref="A68:H68"/>
    <mergeCell ref="A69:H69"/>
    <mergeCell ref="A70:H70"/>
    <mergeCell ref="A71:H71"/>
    <mergeCell ref="A73:H73"/>
    <mergeCell ref="A74:H74"/>
    <mergeCell ref="A75:H75"/>
    <mergeCell ref="A76:H76"/>
    <mergeCell ref="A77:H77"/>
    <mergeCell ref="A79:H79"/>
    <mergeCell ref="A80:H80"/>
    <mergeCell ref="A81:H81"/>
    <mergeCell ref="A82:H82"/>
    <mergeCell ref="A84:H84"/>
    <mergeCell ref="A85:H85"/>
    <mergeCell ref="A86:H86"/>
    <mergeCell ref="A87:H87"/>
    <mergeCell ref="A88:H88"/>
  </mergeCells>
  <pageMargins left="0.3" right="0.3" top="0.4" bottom="0.4" header="0.511811023622047" footer="0.5"/>
  <pageSetup paperSize="9" fitToHeight="0" orientation="portrait" horizontalDpi="300" verticalDpi="300"/>
  <headerFooter>
    <oddFooter>&amp;L&amp;A&amp;R第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03"/>
  <sheetViews>
    <sheetView showGridLines="0" workbookViewId="0">
      <pane ySplit="3" topLeftCell="A4" activePane="bottomLeft" state="frozen"/>
      <selection/>
      <selection pane="bottomLeft" activeCell="D23" sqref="D23"/>
    </sheetView>
  </sheetViews>
  <sheetFormatPr defaultColWidth="8.67619047619048" defaultRowHeight="15"/>
  <cols>
    <col min="1" max="12" width="14" customWidth="1"/>
    <col min="13" max="13" width="3" customWidth="1"/>
    <col min="14" max="14" width="14" customWidth="1"/>
    <col min="15" max="15" width="12" customWidth="1"/>
    <col min="16" max="16" width="11" customWidth="1"/>
    <col min="17" max="17" width="3" customWidth="1"/>
    <col min="18" max="18" width="12" customWidth="1"/>
    <col min="19" max="19" width="10" customWidth="1"/>
  </cols>
  <sheetData>
    <row r="1" ht="30" customHeight="1" spans="1:19">
      <c r="A1" s="2" t="s">
        <v>120</v>
      </c>
    </row>
    <row r="2" ht="18" customHeight="1" spans="1:19">
      <c r="A2" s="3" t="s">
        <v>121</v>
      </c>
    </row>
    <row r="3" ht="33.75" customHeight="1" spans="1:19">
      <c r="A3" s="4" t="s">
        <v>122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  <c r="K3" s="76" t="s">
        <v>132</v>
      </c>
      <c r="L3" s="4" t="s">
        <v>133</v>
      </c>
      <c r="M3" s="4"/>
      <c r="N3" s="4" t="s">
        <v>134</v>
      </c>
      <c r="O3" s="4" t="s">
        <v>135</v>
      </c>
      <c r="P3" s="4" t="s">
        <v>136</v>
      </c>
      <c r="Q3" s="4"/>
      <c r="R3" s="4" t="s">
        <v>137</v>
      </c>
      <c r="S3" s="4" t="s">
        <v>138</v>
      </c>
    </row>
    <row r="4" ht="15.75" customHeight="1" spans="1:19">
      <c r="A4" s="79" t="s">
        <v>139</v>
      </c>
      <c r="B4" s="84" t="s">
        <v>140</v>
      </c>
      <c r="C4" s="79" t="s">
        <v>141</v>
      </c>
      <c r="D4" s="84" t="s">
        <v>142</v>
      </c>
      <c r="E4" s="79" t="s">
        <v>143</v>
      </c>
      <c r="F4" s="79" t="s">
        <v>144</v>
      </c>
      <c r="G4" s="79" t="s">
        <v>144</v>
      </c>
      <c r="H4" s="84" t="s">
        <v>145</v>
      </c>
      <c r="I4" s="80" t="s">
        <v>146</v>
      </c>
      <c r="J4" s="79" t="s">
        <v>147</v>
      </c>
      <c r="K4" s="79" t="s">
        <v>148</v>
      </c>
      <c r="L4" s="79" t="s">
        <v>149</v>
      </c>
      <c r="N4" s="79" t="s">
        <v>139</v>
      </c>
      <c r="O4" s="80" t="s">
        <v>150</v>
      </c>
      <c r="P4" s="79" t="s">
        <v>151</v>
      </c>
      <c r="R4" s="79" t="s">
        <v>152</v>
      </c>
      <c r="S4" s="108">
        <v>5000</v>
      </c>
    </row>
    <row r="5" ht="15.75" customHeight="1" spans="1:19">
      <c r="A5" s="79" t="s">
        <v>153</v>
      </c>
      <c r="B5" s="84" t="s">
        <v>154</v>
      </c>
      <c r="C5" s="79"/>
      <c r="D5" s="79" t="s">
        <v>155</v>
      </c>
      <c r="E5" s="84" t="s">
        <v>156</v>
      </c>
      <c r="F5" s="79" t="s">
        <v>157</v>
      </c>
      <c r="G5" s="79" t="s">
        <v>157</v>
      </c>
      <c r="H5" s="79" t="s">
        <v>158</v>
      </c>
      <c r="I5" s="79" t="s">
        <v>159</v>
      </c>
      <c r="J5" s="79" t="s">
        <v>160</v>
      </c>
      <c r="K5" s="79" t="s">
        <v>161</v>
      </c>
      <c r="L5" s="79" t="s">
        <v>162</v>
      </c>
      <c r="N5" s="79" t="s">
        <v>153</v>
      </c>
      <c r="O5" s="80" t="s">
        <v>163</v>
      </c>
      <c r="P5" s="79" t="s">
        <v>164</v>
      </c>
      <c r="R5" s="79" t="s">
        <v>165</v>
      </c>
      <c r="S5" s="108">
        <v>50</v>
      </c>
    </row>
    <row r="6" ht="15.75" customHeight="1" spans="1:19">
      <c r="A6" s="79" t="s">
        <v>166</v>
      </c>
      <c r="B6" s="84" t="s">
        <v>167</v>
      </c>
      <c r="C6" s="79"/>
      <c r="D6" s="84" t="s">
        <v>168</v>
      </c>
      <c r="E6" s="84" t="s">
        <v>169</v>
      </c>
      <c r="F6" s="84" t="s">
        <v>170</v>
      </c>
      <c r="G6" s="84" t="s">
        <v>170</v>
      </c>
      <c r="H6" s="79" t="s">
        <v>171</v>
      </c>
      <c r="I6" s="79" t="s">
        <v>172</v>
      </c>
      <c r="J6" s="79" t="s">
        <v>173</v>
      </c>
      <c r="K6" s="79" t="s">
        <v>174</v>
      </c>
      <c r="L6" s="79" t="s">
        <v>175</v>
      </c>
      <c r="N6" s="79" t="s">
        <v>166</v>
      </c>
      <c r="O6" s="80" t="s">
        <v>176</v>
      </c>
      <c r="P6" s="79" t="s">
        <v>177</v>
      </c>
      <c r="R6" s="79" t="s">
        <v>178</v>
      </c>
      <c r="S6" s="108">
        <v>0</v>
      </c>
    </row>
    <row r="7" ht="15.75" customHeight="1" spans="1:19">
      <c r="A7" s="79" t="s">
        <v>179</v>
      </c>
      <c r="B7" s="84" t="s">
        <v>180</v>
      </c>
      <c r="C7" s="80"/>
      <c r="D7" s="79" t="s">
        <v>181</v>
      </c>
      <c r="E7" s="84" t="s">
        <v>182</v>
      </c>
      <c r="F7" s="84" t="s">
        <v>183</v>
      </c>
      <c r="G7" s="84" t="s">
        <v>183</v>
      </c>
      <c r="H7" s="79" t="s">
        <v>184</v>
      </c>
      <c r="I7" s="80"/>
      <c r="J7" s="79" t="s">
        <v>185</v>
      </c>
      <c r="K7" s="79" t="s">
        <v>186</v>
      </c>
      <c r="L7" s="79" t="s">
        <v>187</v>
      </c>
      <c r="N7" s="79" t="s">
        <v>179</v>
      </c>
      <c r="O7" s="80" t="s">
        <v>176</v>
      </c>
      <c r="P7" s="79" t="s">
        <v>177</v>
      </c>
    </row>
    <row r="8" ht="15.75" customHeight="1" spans="1:19">
      <c r="A8" s="79" t="s">
        <v>188</v>
      </c>
      <c r="B8" s="84" t="s">
        <v>189</v>
      </c>
      <c r="C8" s="80"/>
      <c r="D8" s="79" t="s">
        <v>190</v>
      </c>
      <c r="E8" s="84" t="s">
        <v>191</v>
      </c>
      <c r="F8" s="79" t="s">
        <v>192</v>
      </c>
      <c r="G8" s="79" t="s">
        <v>192</v>
      </c>
      <c r="H8" s="79" t="s">
        <v>193</v>
      </c>
      <c r="I8" s="80"/>
      <c r="J8" s="79" t="s">
        <v>194</v>
      </c>
      <c r="K8" s="84" t="s">
        <v>195</v>
      </c>
      <c r="L8" s="79" t="s">
        <v>196</v>
      </c>
      <c r="N8" s="79" t="s">
        <v>188</v>
      </c>
      <c r="O8" s="80" t="s">
        <v>197</v>
      </c>
      <c r="P8" s="79" t="s">
        <v>198</v>
      </c>
    </row>
    <row r="9" ht="15.75" customHeight="1" spans="1:19">
      <c r="A9" s="79" t="s">
        <v>199</v>
      </c>
      <c r="B9" s="84" t="s">
        <v>200</v>
      </c>
      <c r="C9" s="80"/>
      <c r="D9" s="79" t="s">
        <v>201</v>
      </c>
      <c r="E9" s="79"/>
      <c r="F9" s="84" t="s">
        <v>202</v>
      </c>
      <c r="G9" s="84" t="s">
        <v>202</v>
      </c>
      <c r="H9" s="79" t="s">
        <v>203</v>
      </c>
      <c r="I9" s="80"/>
      <c r="J9" s="79" t="s">
        <v>204</v>
      </c>
      <c r="K9" s="84" t="s">
        <v>205</v>
      </c>
      <c r="L9" s="84" t="s">
        <v>206</v>
      </c>
      <c r="N9" s="79" t="s">
        <v>199</v>
      </c>
      <c r="O9" s="80" t="s">
        <v>207</v>
      </c>
      <c r="P9" s="79" t="s">
        <v>208</v>
      </c>
    </row>
    <row r="10" ht="15.75" customHeight="1" spans="1:19">
      <c r="A10" s="84" t="s">
        <v>209</v>
      </c>
      <c r="B10" s="84" t="s">
        <v>210</v>
      </c>
      <c r="C10" s="80"/>
      <c r="D10" s="79" t="s">
        <v>211</v>
      </c>
      <c r="E10" s="79"/>
      <c r="F10" s="79" t="s">
        <v>212</v>
      </c>
      <c r="G10" s="79" t="s">
        <v>212</v>
      </c>
      <c r="H10" s="79" t="s">
        <v>213</v>
      </c>
      <c r="I10" s="80"/>
      <c r="J10" s="79" t="s">
        <v>214</v>
      </c>
      <c r="K10" s="84" t="s">
        <v>215</v>
      </c>
      <c r="L10" s="79" t="s">
        <v>216</v>
      </c>
      <c r="N10" s="79" t="s">
        <v>217</v>
      </c>
      <c r="O10" s="80" t="s">
        <v>218</v>
      </c>
      <c r="P10" s="79" t="s">
        <v>219</v>
      </c>
    </row>
    <row r="11" ht="15.75" customHeight="1" spans="1:19">
      <c r="A11" s="79" t="s">
        <v>217</v>
      </c>
      <c r="B11" s="84"/>
      <c r="C11" s="80"/>
      <c r="D11" s="79" t="s">
        <v>220</v>
      </c>
      <c r="E11" s="80"/>
      <c r="F11" s="79" t="s">
        <v>221</v>
      </c>
      <c r="G11" s="79" t="s">
        <v>221</v>
      </c>
      <c r="H11" s="79" t="s">
        <v>222</v>
      </c>
      <c r="I11" s="80"/>
      <c r="J11" s="79" t="s">
        <v>223</v>
      </c>
      <c r="K11" s="84" t="s">
        <v>224</v>
      </c>
      <c r="L11" s="79" t="s">
        <v>225</v>
      </c>
      <c r="N11" s="79" t="s">
        <v>226</v>
      </c>
      <c r="O11" s="80" t="s">
        <v>227</v>
      </c>
      <c r="P11" s="79" t="s">
        <v>198</v>
      </c>
    </row>
    <row r="12" ht="15.75" customHeight="1" spans="1:19">
      <c r="A12" s="79" t="s">
        <v>226</v>
      </c>
      <c r="B12" s="79"/>
      <c r="C12" s="80"/>
      <c r="D12" s="79" t="s">
        <v>228</v>
      </c>
      <c r="E12" s="80"/>
      <c r="F12" s="80"/>
      <c r="G12" s="80"/>
      <c r="H12" s="80"/>
      <c r="I12" s="80"/>
      <c r="J12" s="80"/>
      <c r="K12" s="80"/>
      <c r="L12" s="79" t="s">
        <v>229</v>
      </c>
      <c r="N12" s="79" t="s">
        <v>230</v>
      </c>
      <c r="O12" s="80" t="s">
        <v>231</v>
      </c>
      <c r="P12" s="79" t="s">
        <v>232</v>
      </c>
    </row>
    <row r="13" ht="15.75" customHeight="1" spans="1:19">
      <c r="A13" s="79" t="s">
        <v>230</v>
      </c>
      <c r="B13" s="79"/>
      <c r="C13" s="80"/>
      <c r="D13" s="80" t="s">
        <v>233</v>
      </c>
      <c r="E13" s="80"/>
      <c r="F13" s="80"/>
      <c r="G13" s="80"/>
      <c r="H13" s="80"/>
      <c r="I13" s="80"/>
      <c r="J13" s="80"/>
      <c r="K13" s="80"/>
      <c r="L13" s="80"/>
      <c r="N13" s="79" t="s">
        <v>234</v>
      </c>
      <c r="O13" s="80" t="s">
        <v>231</v>
      </c>
      <c r="P13" s="79" t="s">
        <v>232</v>
      </c>
    </row>
    <row r="14" ht="15.75" customHeight="1" spans="1:19">
      <c r="A14" s="79" t="s">
        <v>234</v>
      </c>
      <c r="B14" s="79"/>
      <c r="C14" s="80"/>
      <c r="D14" s="84" t="s">
        <v>235</v>
      </c>
      <c r="E14" s="80"/>
      <c r="F14" s="80"/>
      <c r="G14" s="80"/>
      <c r="H14" s="80"/>
      <c r="I14" s="80"/>
      <c r="J14" s="80"/>
      <c r="K14" s="80"/>
      <c r="L14" s="80"/>
      <c r="N14" s="79" t="s">
        <v>236</v>
      </c>
      <c r="O14" s="80" t="s">
        <v>237</v>
      </c>
      <c r="P14" s="79" t="s">
        <v>238</v>
      </c>
    </row>
    <row r="15" ht="15.75" customHeight="1" spans="1:19">
      <c r="A15" s="79" t="s">
        <v>236</v>
      </c>
      <c r="B15" s="79"/>
      <c r="C15" s="80"/>
      <c r="D15" s="84" t="s">
        <v>239</v>
      </c>
      <c r="E15" s="80"/>
      <c r="F15" s="80"/>
      <c r="G15" s="80"/>
      <c r="H15" s="80"/>
      <c r="I15" s="80"/>
      <c r="J15" s="80"/>
      <c r="K15" s="80"/>
      <c r="L15" s="80"/>
      <c r="N15" s="79" t="s">
        <v>240</v>
      </c>
      <c r="O15" s="80"/>
      <c r="P15" s="79" t="s">
        <v>164</v>
      </c>
    </row>
    <row r="16" ht="15.75" customHeight="1" spans="1:19">
      <c r="A16" s="79" t="s">
        <v>240</v>
      </c>
      <c r="C16" s="80"/>
      <c r="D16" s="84" t="s">
        <v>241</v>
      </c>
      <c r="E16" s="80"/>
      <c r="F16" s="80"/>
      <c r="G16" s="80"/>
      <c r="H16" s="80"/>
      <c r="I16" s="80"/>
      <c r="J16" s="80"/>
      <c r="K16" s="80"/>
      <c r="L16" s="80"/>
      <c r="N16" s="79" t="s">
        <v>242</v>
      </c>
      <c r="O16" s="80"/>
      <c r="P16" s="79" t="s">
        <v>164</v>
      </c>
    </row>
    <row r="17" ht="15.75" customHeight="1" spans="1:16">
      <c r="A17" s="79" t="s">
        <v>242</v>
      </c>
      <c r="C17" s="80"/>
      <c r="D17" s="84" t="s">
        <v>243</v>
      </c>
      <c r="E17" s="80"/>
      <c r="F17" s="80"/>
      <c r="G17" s="80"/>
      <c r="H17" s="80"/>
      <c r="I17" s="80"/>
      <c r="J17" s="80"/>
      <c r="K17" s="80"/>
      <c r="L17" s="80"/>
      <c r="N17" s="79" t="s">
        <v>244</v>
      </c>
      <c r="O17" s="80" t="s">
        <v>245</v>
      </c>
      <c r="P17" s="79" t="s">
        <v>238</v>
      </c>
    </row>
    <row r="18" ht="15.75" customHeight="1" spans="1:16">
      <c r="A18" s="79" t="s">
        <v>244</v>
      </c>
      <c r="B18" s="79"/>
      <c r="C18" s="80"/>
      <c r="D18" s="84" t="s">
        <v>246</v>
      </c>
      <c r="E18" s="80"/>
      <c r="F18" s="80"/>
      <c r="G18" s="80"/>
      <c r="H18" s="80"/>
      <c r="I18" s="80"/>
      <c r="J18" s="80"/>
      <c r="K18" s="80"/>
      <c r="L18" s="80"/>
      <c r="N18" s="79" t="s">
        <v>247</v>
      </c>
      <c r="O18" s="80"/>
      <c r="P18" s="79" t="s">
        <v>238</v>
      </c>
    </row>
    <row r="19" ht="15.75" customHeight="1" spans="1:16">
      <c r="A19" s="79" t="s">
        <v>247</v>
      </c>
      <c r="B19" s="79"/>
      <c r="C19" s="80"/>
      <c r="D19" s="84" t="s">
        <v>248</v>
      </c>
      <c r="E19" s="80"/>
      <c r="F19" s="80"/>
      <c r="G19" s="80"/>
      <c r="H19" s="80"/>
      <c r="I19" s="80"/>
      <c r="J19" s="80"/>
      <c r="K19" s="80"/>
      <c r="L19" s="80"/>
      <c r="N19" s="79" t="s">
        <v>249</v>
      </c>
      <c r="O19" s="80"/>
      <c r="P19" s="79" t="s">
        <v>164</v>
      </c>
    </row>
    <row r="20" ht="15.75" customHeight="1" spans="1:16">
      <c r="A20" s="79" t="s">
        <v>249</v>
      </c>
      <c r="B20" s="79"/>
      <c r="C20" s="80"/>
      <c r="D20" s="84" t="s">
        <v>250</v>
      </c>
      <c r="E20" s="80"/>
      <c r="F20" s="80"/>
      <c r="G20" s="80"/>
      <c r="H20" s="80"/>
      <c r="I20" s="80"/>
      <c r="J20" s="80"/>
      <c r="K20" s="80"/>
      <c r="L20" s="80"/>
      <c r="N20" s="79" t="s">
        <v>251</v>
      </c>
      <c r="O20" s="80"/>
      <c r="P20" s="79" t="s">
        <v>198</v>
      </c>
    </row>
    <row r="21" ht="15.75" customHeight="1" spans="1:16">
      <c r="A21" s="79" t="s">
        <v>251</v>
      </c>
      <c r="B21" s="79"/>
      <c r="C21" s="80"/>
      <c r="D21" s="84" t="s">
        <v>252</v>
      </c>
      <c r="E21" s="80"/>
      <c r="F21" s="80"/>
      <c r="G21" s="80"/>
      <c r="H21" s="80"/>
      <c r="I21" s="80"/>
      <c r="J21" s="80"/>
      <c r="K21" s="80"/>
      <c r="L21" s="80"/>
      <c r="N21" s="79" t="s">
        <v>253</v>
      </c>
      <c r="O21" s="80"/>
      <c r="P21" s="79" t="s">
        <v>198</v>
      </c>
    </row>
    <row r="22" ht="15.75" customHeight="1" spans="1:16">
      <c r="A22" s="79" t="s">
        <v>253</v>
      </c>
      <c r="B22" s="79"/>
      <c r="C22" s="80"/>
      <c r="D22" s="84" t="s">
        <v>254</v>
      </c>
      <c r="E22" s="80"/>
      <c r="F22" s="80"/>
      <c r="G22" s="80"/>
      <c r="H22" s="80"/>
      <c r="I22" s="80"/>
      <c r="J22" s="80"/>
      <c r="K22" s="80"/>
      <c r="L22" s="80"/>
      <c r="N22" s="79" t="s">
        <v>255</v>
      </c>
      <c r="O22" s="80"/>
      <c r="P22" s="79" t="s">
        <v>198</v>
      </c>
    </row>
    <row r="23" ht="15.75" customHeight="1" spans="1:16">
      <c r="A23" s="79" t="s">
        <v>255</v>
      </c>
      <c r="B23" s="79"/>
      <c r="C23" s="80"/>
      <c r="D23" s="79"/>
      <c r="E23" s="80"/>
      <c r="F23" s="80"/>
      <c r="G23" s="80"/>
      <c r="H23" s="80"/>
      <c r="I23" s="80"/>
      <c r="J23" s="80"/>
      <c r="K23" s="80"/>
      <c r="L23" s="80"/>
      <c r="N23" s="79" t="s">
        <v>256</v>
      </c>
      <c r="O23" s="80" t="s">
        <v>257</v>
      </c>
      <c r="P23" s="79" t="s">
        <v>258</v>
      </c>
    </row>
    <row r="24" ht="15.75" customHeight="1" spans="1:16">
      <c r="A24" s="79" t="s">
        <v>256</v>
      </c>
      <c r="B24" s="79"/>
      <c r="C24" s="80"/>
      <c r="D24" s="79"/>
      <c r="E24" s="80"/>
      <c r="F24" s="80"/>
      <c r="G24" s="80"/>
      <c r="H24" s="80"/>
      <c r="I24" s="80"/>
      <c r="J24" s="80"/>
      <c r="K24" s="80"/>
      <c r="L24" s="80"/>
      <c r="N24" s="79" t="s">
        <v>259</v>
      </c>
      <c r="O24" s="80" t="s">
        <v>260</v>
      </c>
      <c r="P24" s="79" t="s">
        <v>164</v>
      </c>
    </row>
    <row r="25" ht="15.75" customHeight="1" spans="1:16">
      <c r="A25" s="84" t="s">
        <v>167</v>
      </c>
      <c r="B25" s="79"/>
      <c r="C25" s="80"/>
      <c r="D25" s="79"/>
      <c r="E25" s="80"/>
      <c r="F25" s="80"/>
      <c r="G25" s="80"/>
      <c r="H25" s="80"/>
      <c r="I25" s="80"/>
      <c r="J25" s="80"/>
      <c r="K25" s="80"/>
      <c r="L25" s="80"/>
      <c r="N25" s="79" t="s">
        <v>261</v>
      </c>
      <c r="O25" s="80" t="s">
        <v>260</v>
      </c>
      <c r="P25" s="79" t="s">
        <v>164</v>
      </c>
    </row>
    <row r="26" ht="15.75" customHeight="1" spans="1:16">
      <c r="A26" s="84" t="s">
        <v>154</v>
      </c>
      <c r="B26" s="79"/>
      <c r="C26" s="80"/>
      <c r="D26" s="79"/>
      <c r="E26" s="80"/>
      <c r="F26" s="80"/>
      <c r="G26" s="80"/>
      <c r="H26" s="80"/>
      <c r="I26" s="80"/>
      <c r="J26" s="80"/>
      <c r="K26" s="80"/>
      <c r="L26" s="80"/>
      <c r="N26" s="80"/>
      <c r="O26" s="80"/>
      <c r="P26" s="80"/>
    </row>
    <row r="27" ht="15.75" customHeight="1" spans="1:16">
      <c r="A27" s="80" t="s">
        <v>140</v>
      </c>
      <c r="B27" s="80"/>
      <c r="C27" s="80"/>
      <c r="D27" s="79"/>
      <c r="E27" s="80"/>
      <c r="F27" s="80"/>
      <c r="G27" s="80"/>
      <c r="H27" s="80"/>
      <c r="I27" s="80"/>
      <c r="J27" s="80"/>
      <c r="K27" s="80"/>
      <c r="L27" s="80"/>
      <c r="N27" s="80"/>
      <c r="O27" s="80"/>
      <c r="P27" s="80"/>
    </row>
    <row r="28" ht="15.75" customHeight="1" spans="1:16">
      <c r="A28" s="80" t="s">
        <v>180</v>
      </c>
      <c r="B28" s="80"/>
      <c r="C28" s="80"/>
      <c r="D28" s="79"/>
      <c r="E28" s="80"/>
      <c r="F28" s="80"/>
      <c r="G28" s="80"/>
      <c r="H28" s="80"/>
      <c r="I28" s="80"/>
      <c r="J28" s="80"/>
      <c r="K28" s="80"/>
      <c r="L28" s="80"/>
      <c r="N28" s="80"/>
      <c r="O28" s="80"/>
      <c r="P28" s="80"/>
    </row>
    <row r="29" ht="15.75" customHeight="1" spans="1:16">
      <c r="A29" s="80" t="s">
        <v>189</v>
      </c>
      <c r="B29" s="80"/>
      <c r="C29" s="80"/>
      <c r="D29" s="79"/>
      <c r="E29" s="80"/>
      <c r="F29" s="80"/>
      <c r="G29" s="80"/>
      <c r="H29" s="80"/>
      <c r="I29" s="80"/>
      <c r="J29" s="80"/>
      <c r="K29" s="80"/>
      <c r="L29" s="80"/>
      <c r="N29" s="80"/>
      <c r="O29" s="80"/>
      <c r="P29" s="80"/>
    </row>
    <row r="30" ht="15.75" customHeight="1" spans="1:16">
      <c r="A30" s="80"/>
      <c r="B30" s="80"/>
      <c r="C30" s="80"/>
      <c r="D30" s="79"/>
      <c r="E30" s="80"/>
      <c r="F30" s="80"/>
      <c r="G30" s="80"/>
      <c r="H30" s="80"/>
      <c r="I30" s="80"/>
      <c r="J30" s="80"/>
      <c r="K30" s="80"/>
      <c r="L30" s="80"/>
      <c r="N30" s="80"/>
      <c r="O30" s="80"/>
      <c r="P30" s="80"/>
    </row>
    <row r="31" ht="15.75" customHeight="1" spans="1:16">
      <c r="A31" s="80"/>
      <c r="B31" s="80"/>
      <c r="C31" s="80"/>
      <c r="D31" s="79"/>
      <c r="E31" s="80"/>
      <c r="F31" s="80"/>
      <c r="G31" s="80"/>
      <c r="H31" s="80"/>
      <c r="I31" s="80"/>
      <c r="J31" s="80"/>
      <c r="K31" s="80"/>
      <c r="L31" s="80"/>
      <c r="N31" s="80"/>
      <c r="O31" s="80"/>
      <c r="P31" s="80"/>
    </row>
    <row r="32" ht="15.75" customHeight="1" spans="1:16">
      <c r="A32" s="80"/>
      <c r="B32" s="80"/>
      <c r="C32" s="80"/>
      <c r="D32" s="79"/>
      <c r="E32" s="80"/>
      <c r="F32" s="80"/>
      <c r="G32" s="80"/>
      <c r="H32" s="80"/>
      <c r="I32" s="80"/>
      <c r="J32" s="80"/>
      <c r="K32" s="80"/>
      <c r="L32" s="80"/>
      <c r="N32" s="80"/>
      <c r="O32" s="80"/>
      <c r="P32" s="80"/>
    </row>
    <row r="33" ht="15.75" customHeight="1" spans="1:16">
      <c r="A33" s="80"/>
      <c r="B33" s="80"/>
      <c r="C33" s="80"/>
      <c r="D33" s="79"/>
      <c r="E33" s="80"/>
      <c r="F33" s="80"/>
      <c r="G33" s="80"/>
      <c r="H33" s="80"/>
      <c r="I33" s="80"/>
      <c r="J33" s="80"/>
      <c r="K33" s="80"/>
      <c r="L33" s="80"/>
      <c r="N33" s="80"/>
      <c r="O33" s="80"/>
      <c r="P33" s="80"/>
    </row>
    <row r="34" ht="15.75" customHeight="1" spans="1:16">
      <c r="A34" s="80"/>
      <c r="B34" s="80"/>
      <c r="C34" s="80"/>
      <c r="D34" s="79"/>
      <c r="E34" s="80"/>
      <c r="F34" s="80"/>
      <c r="G34" s="80"/>
      <c r="H34" s="80"/>
      <c r="I34" s="80"/>
      <c r="J34" s="80"/>
      <c r="K34" s="80"/>
      <c r="L34" s="80"/>
      <c r="N34" s="80"/>
      <c r="O34" s="80"/>
      <c r="P34" s="80"/>
    </row>
    <row r="35" ht="15.75" customHeight="1" spans="1:16">
      <c r="A35" s="80"/>
      <c r="B35" s="80"/>
      <c r="C35" s="80"/>
      <c r="D35" s="79"/>
      <c r="E35" s="80"/>
      <c r="F35" s="80"/>
      <c r="G35" s="80"/>
      <c r="H35" s="80"/>
      <c r="I35" s="80"/>
      <c r="J35" s="80"/>
      <c r="K35" s="80"/>
      <c r="L35" s="80"/>
    </row>
    <row r="36" ht="15.75" customHeight="1" spans="1:16">
      <c r="A36" s="80"/>
      <c r="B36" s="80"/>
      <c r="C36" s="80"/>
      <c r="D36" s="79"/>
      <c r="E36" s="80"/>
      <c r="F36" s="80"/>
      <c r="G36" s="80"/>
      <c r="H36" s="80"/>
      <c r="I36" s="80"/>
      <c r="J36" s="80"/>
      <c r="K36" s="80"/>
      <c r="L36" s="80"/>
    </row>
    <row r="37" ht="15.75" customHeight="1" spans="1:16">
      <c r="A37" s="80"/>
      <c r="B37" s="80"/>
      <c r="C37" s="80"/>
      <c r="D37" s="79"/>
      <c r="E37" s="80"/>
      <c r="F37" s="80"/>
      <c r="G37" s="80"/>
      <c r="H37" s="80"/>
      <c r="I37" s="80"/>
      <c r="J37" s="80"/>
      <c r="K37" s="80"/>
      <c r="L37" s="80"/>
    </row>
    <row r="38" ht="15.75" customHeight="1" spans="1:16">
      <c r="A38" s="80"/>
      <c r="B38" s="80"/>
      <c r="C38" s="80"/>
      <c r="D38" s="79"/>
      <c r="E38" s="80"/>
      <c r="F38" s="80"/>
      <c r="G38" s="80"/>
      <c r="H38" s="80"/>
      <c r="I38" s="80"/>
      <c r="J38" s="80"/>
      <c r="K38" s="80"/>
      <c r="L38" s="80"/>
    </row>
    <row r="39" ht="15.75" customHeight="1" spans="1:16">
      <c r="A39" s="80"/>
      <c r="B39" s="80"/>
      <c r="C39" s="80"/>
      <c r="D39" s="79"/>
      <c r="E39" s="80"/>
      <c r="F39" s="80"/>
      <c r="G39" s="80"/>
      <c r="H39" s="80"/>
      <c r="I39" s="80"/>
      <c r="J39" s="80"/>
      <c r="K39" s="80"/>
      <c r="L39" s="80"/>
    </row>
    <row r="40" ht="15.75" customHeight="1" spans="1:16">
      <c r="A40" s="80"/>
      <c r="B40" s="80"/>
      <c r="C40" s="80"/>
      <c r="D40" s="79"/>
      <c r="E40" s="80"/>
      <c r="F40" s="80"/>
      <c r="G40" s="80"/>
      <c r="H40" s="80"/>
      <c r="I40" s="80"/>
      <c r="J40" s="80"/>
      <c r="K40" s="80"/>
      <c r="L40" s="80"/>
    </row>
    <row r="41" ht="15.75" customHeight="1" spans="1:16">
      <c r="A41" s="80"/>
      <c r="B41" s="80"/>
      <c r="C41" s="80"/>
      <c r="D41" s="79"/>
      <c r="E41" s="80"/>
      <c r="F41" s="80"/>
      <c r="G41" s="80"/>
      <c r="H41" s="80"/>
      <c r="I41" s="80"/>
      <c r="J41" s="80"/>
      <c r="K41" s="80"/>
      <c r="L41" s="80"/>
    </row>
    <row r="42" ht="15.75" customHeight="1" spans="1:16">
      <c r="A42" s="80"/>
      <c r="B42" s="80"/>
      <c r="C42" s="80"/>
      <c r="D42" s="79"/>
      <c r="E42" s="80"/>
      <c r="F42" s="80"/>
      <c r="G42" s="80"/>
      <c r="H42" s="80"/>
      <c r="I42" s="80"/>
      <c r="J42" s="80"/>
      <c r="K42" s="80"/>
      <c r="L42" s="80"/>
    </row>
    <row r="43" ht="15.75" customHeight="1" spans="1:16">
      <c r="A43" s="80"/>
      <c r="B43" s="80"/>
      <c r="C43" s="80"/>
      <c r="D43" s="79"/>
      <c r="E43" s="80"/>
      <c r="F43" s="80"/>
      <c r="G43" s="80"/>
      <c r="H43" s="80"/>
      <c r="I43" s="80"/>
      <c r="J43" s="80"/>
      <c r="K43" s="80"/>
      <c r="L43" s="80"/>
    </row>
    <row r="44" ht="15.75" customHeight="1" spans="1:16">
      <c r="A44" s="80"/>
      <c r="B44" s="80"/>
      <c r="C44" s="80"/>
      <c r="D44" s="79"/>
      <c r="E44" s="80"/>
      <c r="F44" s="80"/>
      <c r="G44" s="80"/>
      <c r="H44" s="80"/>
      <c r="I44" s="80"/>
      <c r="J44" s="80"/>
      <c r="K44" s="80"/>
      <c r="L44" s="80"/>
    </row>
    <row r="45" ht="15.75" customHeight="1" spans="1:16">
      <c r="A45" s="80"/>
      <c r="B45" s="80"/>
      <c r="C45" s="80"/>
      <c r="D45" s="79"/>
      <c r="E45" s="80"/>
      <c r="F45" s="80"/>
      <c r="G45" s="80"/>
      <c r="H45" s="80"/>
      <c r="I45" s="80"/>
      <c r="J45" s="80"/>
      <c r="K45" s="80"/>
      <c r="L45" s="80"/>
    </row>
    <row r="46" ht="15.75" customHeight="1" spans="1:16">
      <c r="A46" s="80"/>
      <c r="B46" s="80"/>
      <c r="C46" s="80"/>
      <c r="D46" s="79"/>
      <c r="E46" s="80"/>
      <c r="F46" s="80"/>
      <c r="G46" s="80"/>
      <c r="H46" s="80"/>
      <c r="I46" s="80"/>
      <c r="J46" s="80"/>
      <c r="K46" s="80"/>
      <c r="L46" s="80"/>
    </row>
    <row r="47" ht="15.75" customHeight="1" spans="1:16">
      <c r="A47" s="80"/>
      <c r="B47" s="80"/>
      <c r="C47" s="80"/>
      <c r="D47" s="79"/>
      <c r="E47" s="80"/>
      <c r="F47" s="80"/>
      <c r="G47" s="80"/>
      <c r="H47" s="80"/>
      <c r="I47" s="80"/>
      <c r="J47" s="80"/>
      <c r="K47" s="80"/>
      <c r="L47" s="80"/>
    </row>
    <row r="48" ht="15.75" customHeight="1" spans="1:16">
      <c r="A48" s="80"/>
      <c r="B48" s="80"/>
      <c r="C48" s="80"/>
      <c r="D48" s="79"/>
      <c r="E48" s="80"/>
      <c r="F48" s="80"/>
      <c r="G48" s="80"/>
      <c r="H48" s="80"/>
      <c r="I48" s="80"/>
      <c r="J48" s="80"/>
      <c r="K48" s="80"/>
      <c r="L48" s="80"/>
    </row>
    <row r="49" ht="15.75" customHeight="1" spans="1:12">
      <c r="A49" s="80"/>
      <c r="B49" s="80"/>
      <c r="C49" s="80"/>
      <c r="D49" s="79"/>
      <c r="E49" s="80"/>
      <c r="F49" s="80"/>
      <c r="G49" s="80"/>
      <c r="H49" s="80"/>
      <c r="I49" s="80"/>
      <c r="J49" s="80"/>
      <c r="K49" s="80"/>
      <c r="L49" s="80"/>
    </row>
    <row r="50" ht="15.75" customHeight="1" spans="1:12">
      <c r="A50" s="80"/>
      <c r="B50" s="80"/>
      <c r="C50" s="80"/>
      <c r="D50" s="79"/>
      <c r="E50" s="80"/>
      <c r="F50" s="80"/>
      <c r="G50" s="80"/>
      <c r="H50" s="80"/>
      <c r="I50" s="80"/>
      <c r="J50" s="80"/>
      <c r="K50" s="80"/>
      <c r="L50" s="80"/>
    </row>
    <row r="51" ht="15.75" customHeight="1" spans="1:12">
      <c r="A51" s="80"/>
      <c r="B51" s="80"/>
      <c r="C51" s="80"/>
      <c r="D51" s="79"/>
      <c r="E51" s="80"/>
      <c r="F51" s="80"/>
      <c r="G51" s="80"/>
      <c r="H51" s="80"/>
      <c r="I51" s="80"/>
      <c r="J51" s="80"/>
      <c r="K51" s="80"/>
      <c r="L51" s="80"/>
    </row>
    <row r="52" ht="15.75" customHeight="1" spans="1:12">
      <c r="A52" s="80"/>
      <c r="B52" s="80"/>
      <c r="C52" s="80"/>
      <c r="D52" s="79"/>
      <c r="E52" s="80"/>
      <c r="F52" s="80"/>
      <c r="G52" s="80"/>
      <c r="H52" s="80"/>
      <c r="I52" s="80"/>
      <c r="J52" s="80"/>
      <c r="K52" s="80"/>
      <c r="L52" s="80"/>
    </row>
    <row r="53" ht="15.75" customHeight="1" spans="1:12">
      <c r="A53" s="80"/>
      <c r="B53" s="80"/>
      <c r="C53" s="80"/>
      <c r="D53" s="79"/>
      <c r="E53" s="80"/>
      <c r="F53" s="80"/>
      <c r="G53" s="80"/>
      <c r="H53" s="80"/>
      <c r="I53" s="80"/>
      <c r="J53" s="80"/>
      <c r="K53" s="80"/>
      <c r="L53" s="80"/>
    </row>
    <row r="54" ht="15.75" customHeight="1" spans="1:12">
      <c r="A54" s="80"/>
      <c r="B54" s="80"/>
      <c r="C54" s="80"/>
      <c r="D54" s="79"/>
      <c r="E54" s="80"/>
      <c r="F54" s="80"/>
      <c r="G54" s="80"/>
      <c r="H54" s="80"/>
      <c r="I54" s="80"/>
      <c r="J54" s="80"/>
      <c r="K54" s="80"/>
      <c r="L54" s="80"/>
    </row>
    <row r="55" ht="15.75" customHeight="1" spans="1:12">
      <c r="A55" s="80"/>
      <c r="B55" s="80"/>
      <c r="C55" s="80"/>
      <c r="D55" s="79"/>
      <c r="E55" s="80"/>
      <c r="F55" s="80"/>
      <c r="G55" s="80"/>
      <c r="H55" s="80"/>
      <c r="I55" s="80"/>
      <c r="J55" s="80"/>
      <c r="K55" s="80"/>
      <c r="L55" s="80"/>
    </row>
    <row r="56" ht="15.75" customHeight="1" spans="1:12">
      <c r="A56" s="80"/>
      <c r="B56" s="80"/>
      <c r="C56" s="80"/>
      <c r="D56" s="79"/>
      <c r="E56" s="80"/>
      <c r="F56" s="80"/>
      <c r="G56" s="80"/>
      <c r="H56" s="80"/>
      <c r="I56" s="80"/>
      <c r="J56" s="80"/>
      <c r="K56" s="80"/>
      <c r="L56" s="80"/>
    </row>
    <row r="57" ht="15.75" customHeight="1" spans="1:12">
      <c r="A57" s="80"/>
      <c r="B57" s="80"/>
      <c r="C57" s="80"/>
      <c r="D57" s="79"/>
      <c r="E57" s="80"/>
      <c r="F57" s="80"/>
      <c r="G57" s="80"/>
      <c r="H57" s="80"/>
      <c r="I57" s="80"/>
      <c r="J57" s="80"/>
      <c r="K57" s="80"/>
      <c r="L57" s="80"/>
    </row>
    <row r="58" ht="15.75" customHeight="1" spans="1:12">
      <c r="A58" s="80"/>
      <c r="B58" s="80"/>
      <c r="C58" s="80"/>
      <c r="D58" s="79"/>
      <c r="E58" s="80"/>
      <c r="F58" s="80"/>
      <c r="G58" s="80"/>
      <c r="H58" s="80"/>
      <c r="I58" s="80"/>
      <c r="J58" s="80"/>
      <c r="K58" s="80"/>
      <c r="L58" s="80"/>
    </row>
    <row r="59" ht="15.75" customHeight="1" spans="1:12">
      <c r="A59" s="80"/>
      <c r="B59" s="80"/>
      <c r="C59" s="80"/>
      <c r="D59" s="79"/>
      <c r="E59" s="80"/>
      <c r="F59" s="80"/>
      <c r="G59" s="80"/>
      <c r="H59" s="80"/>
      <c r="I59" s="80"/>
      <c r="J59" s="80"/>
      <c r="K59" s="80"/>
      <c r="L59" s="80"/>
    </row>
    <row r="60" ht="15.75" customHeight="1" spans="1:12">
      <c r="A60" s="80"/>
      <c r="B60" s="80"/>
      <c r="C60" s="80"/>
      <c r="D60" s="79"/>
      <c r="E60" s="80"/>
      <c r="F60" s="80"/>
      <c r="G60" s="80"/>
      <c r="H60" s="80"/>
      <c r="I60" s="80"/>
      <c r="J60" s="80"/>
      <c r="K60" s="80"/>
      <c r="L60" s="80"/>
    </row>
    <row r="61" ht="15.75" customHeight="1" spans="1:12">
      <c r="A61" s="80"/>
      <c r="B61" s="80"/>
      <c r="C61" s="80"/>
      <c r="D61" s="79"/>
      <c r="E61" s="80"/>
      <c r="F61" s="80"/>
      <c r="G61" s="80"/>
      <c r="H61" s="80"/>
      <c r="I61" s="80"/>
      <c r="J61" s="80"/>
      <c r="K61" s="80"/>
      <c r="L61" s="80"/>
    </row>
    <row r="62" ht="15.75" customHeight="1" spans="1:12">
      <c r="A62" s="80"/>
      <c r="B62" s="80"/>
      <c r="C62" s="80"/>
      <c r="D62" s="79"/>
      <c r="E62" s="80"/>
      <c r="F62" s="80"/>
      <c r="G62" s="80"/>
      <c r="H62" s="80"/>
      <c r="I62" s="80"/>
      <c r="J62" s="80"/>
      <c r="K62" s="80"/>
      <c r="L62" s="80"/>
    </row>
    <row r="63" ht="15.75" customHeight="1" spans="1:12">
      <c r="A63" s="80"/>
      <c r="B63" s="80"/>
      <c r="C63" s="80"/>
      <c r="D63" s="79"/>
      <c r="E63" s="80"/>
      <c r="F63" s="80"/>
      <c r="G63" s="80"/>
      <c r="H63" s="80"/>
      <c r="I63" s="80"/>
      <c r="J63" s="80"/>
      <c r="K63" s="80"/>
      <c r="L63" s="80"/>
    </row>
    <row r="64" ht="15.75" customHeight="1" spans="1:12">
      <c r="A64" s="80"/>
      <c r="B64" s="80"/>
      <c r="C64" s="80"/>
      <c r="D64" s="79"/>
      <c r="E64" s="80"/>
      <c r="F64" s="80"/>
      <c r="G64" s="80"/>
      <c r="H64" s="80"/>
      <c r="I64" s="80"/>
      <c r="J64" s="80"/>
      <c r="K64" s="80"/>
      <c r="L64" s="80"/>
    </row>
    <row r="65" ht="15.75" customHeight="1" spans="1:12">
      <c r="A65" s="80"/>
      <c r="B65" s="80"/>
      <c r="C65" s="80"/>
      <c r="D65" s="79"/>
      <c r="E65" s="80"/>
      <c r="F65" s="80"/>
      <c r="G65" s="80"/>
      <c r="H65" s="80"/>
      <c r="I65" s="80"/>
      <c r="J65" s="80"/>
      <c r="K65" s="80"/>
      <c r="L65" s="80"/>
    </row>
    <row r="66" ht="15.75" customHeight="1" spans="1:12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ht="15.75" customHeight="1" spans="1:12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ht="15.75" customHeight="1" spans="1:12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ht="15.75" customHeight="1" spans="1:12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ht="15.75" customHeight="1" spans="1:12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ht="15.75" customHeight="1" spans="1:12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ht="15.75" customHeight="1" spans="1:1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ht="15.75" customHeight="1" spans="1:12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</row>
    <row r="74" ht="15.75" customHeight="1" spans="1:12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ht="15.75" customHeight="1" spans="1:12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</row>
    <row r="76" ht="15.75" customHeight="1" spans="1:12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ht="15.75" customHeight="1" spans="1:12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ht="15.75" customHeight="1" spans="1:12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ht="15.75" customHeight="1" spans="1:12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ht="15.75" customHeight="1" spans="1:12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ht="15.75" customHeight="1" spans="1:12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</row>
    <row r="82" ht="15.75" customHeight="1" spans="1:1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ht="15.75" customHeight="1" spans="1:12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</row>
    <row r="84" ht="15.75" customHeight="1" spans="1:12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ht="15.75" customHeight="1" spans="1:12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ht="15.75" customHeight="1" spans="1:12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</row>
    <row r="87" ht="15.75" customHeight="1" spans="1:12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</row>
    <row r="88" ht="15.75" customHeight="1" spans="1:12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</row>
    <row r="89" ht="15.75" customHeight="1" spans="1:12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</row>
    <row r="90" ht="15.75" customHeight="1" spans="1:12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</row>
    <row r="91" ht="15.75" customHeight="1" spans="1:12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</row>
    <row r="92" ht="15.75" customHeight="1" spans="1:1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</row>
    <row r="93" ht="15.75" customHeight="1" spans="1:12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</row>
    <row r="94" ht="15.75" customHeight="1" spans="1:12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</row>
    <row r="95" ht="15.75" customHeight="1" spans="1:12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</row>
    <row r="96" ht="15.75" customHeight="1" spans="1:12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</row>
    <row r="97" ht="15.75" customHeight="1" spans="1:12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</row>
    <row r="98" ht="15.75" customHeight="1" spans="1:12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</row>
    <row r="99" ht="15.75" customHeight="1" spans="1:12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</row>
    <row r="100" ht="15.75" customHeight="1" spans="1:12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</row>
    <row r="101" ht="15.75" customHeight="1" spans="1:12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</row>
    <row r="102" ht="15.75" customHeight="1" spans="1:1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</row>
    <row r="103" ht="15.75" customHeight="1" spans="1:12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</row>
  </sheetData>
  <mergeCells count="2">
    <mergeCell ref="A1:S1"/>
    <mergeCell ref="A2:S2"/>
  </mergeCell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S306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H6" sqref="H6"/>
    </sheetView>
  </sheetViews>
  <sheetFormatPr defaultColWidth="9" defaultRowHeight="15"/>
  <cols>
    <col min="1" max="1" width="6" customWidth="1"/>
    <col min="2" max="2" width="15" customWidth="1"/>
    <col min="3" max="3" width="14" customWidth="1"/>
    <col min="4" max="6" width="16" customWidth="1"/>
    <col min="7" max="8" width="12" customWidth="1"/>
    <col min="9" max="9" width="14" customWidth="1"/>
    <col min="10" max="14" width="13" customWidth="1"/>
    <col min="15" max="16" width="6" customWidth="1"/>
    <col min="17" max="17" width="2" customWidth="1"/>
    <col min="18" max="18" width="13" customWidth="1"/>
    <col min="19" max="19" width="62" customWidth="1"/>
  </cols>
  <sheetData>
    <row r="1" ht="30" customHeight="1" spans="1:19">
      <c r="A1" s="7" t="s">
        <v>262</v>
      </c>
      <c r="R1" s="98" t="s">
        <v>263</v>
      </c>
      <c r="S1" s="99">
        <f>MAX($P$5:$P$304)</f>
        <v>22</v>
      </c>
    </row>
    <row r="2" ht="18" customHeight="1" spans="1:19">
      <c r="A2" s="100" t="str">
        <f>IF($S$4=1,"✔ 链接正常，已自动取到 "&amp;$S$1&amp;" 行　｜　本表 1:1 对应《01 水果进销存台账模板》的【筐子进出接口】，两个文件必须放在同一个文件夹，文件名也不要改","★★ 链接没接上！当前取数来源："&amp;$S$5&amp;"　→ 请看本表右边 R6 格的修复说明（往右拉一屏）")</f>
        <v>✔ 链接正常，已自动取到 22 行　｜　本表 1:1 对应《01 水果进销存台账模板》的【筐子进出接口】，两个文件必须放在同一个文件夹，文件名也不要改</v>
      </c>
      <c r="R2" s="98" t="s">
        <v>264</v>
      </c>
      <c r="S2" s="99" t="str">
        <f>IFERROR(IF([1]筐子进出接口!$C$4=0,"未更新",[1]筐子进出接口!$C$4),"断开")</f>
        <v>自备一次性筐</v>
      </c>
    </row>
    <row r="3" ht="20" customHeight="1" spans="1:19">
      <c r="A3" s="36" t="s">
        <v>265</v>
      </c>
      <c r="I3" s="101" t="s">
        <v>266</v>
      </c>
      <c r="O3" s="102" t="s">
        <v>267</v>
      </c>
      <c r="R3" s="98" t="s">
        <v>268</v>
      </c>
      <c r="S3" s="99">
        <f>COUNTIF($J$5:$J$304,"?*")</f>
        <v>0</v>
      </c>
    </row>
    <row r="4" ht="30" customHeight="1" spans="1:19">
      <c r="A4" s="21" t="s">
        <v>269</v>
      </c>
      <c r="B4" s="21" t="s">
        <v>270</v>
      </c>
      <c r="C4" s="21" t="s">
        <v>123</v>
      </c>
      <c r="D4" s="21" t="s">
        <v>271</v>
      </c>
      <c r="E4" s="21" t="s">
        <v>272</v>
      </c>
      <c r="F4" s="21" t="s">
        <v>273</v>
      </c>
      <c r="G4" s="21" t="s">
        <v>274</v>
      </c>
      <c r="H4" s="21" t="s">
        <v>275</v>
      </c>
      <c r="I4" s="21" t="s">
        <v>276</v>
      </c>
      <c r="J4" s="21" t="s">
        <v>277</v>
      </c>
      <c r="K4" s="21" t="s">
        <v>278</v>
      </c>
      <c r="L4" s="21" t="s">
        <v>279</v>
      </c>
      <c r="M4" s="21" t="s">
        <v>280</v>
      </c>
      <c r="N4" s="21" t="s">
        <v>281</v>
      </c>
      <c r="O4" s="21" t="s">
        <v>282</v>
      </c>
      <c r="P4" s="21" t="s">
        <v>283</v>
      </c>
      <c r="R4" s="98" t="s">
        <v>284</v>
      </c>
      <c r="S4" s="99">
        <f>IF(OR($S$2="断开",$S$2="未更新"),0,1)</f>
        <v>1</v>
      </c>
    </row>
    <row r="5" spans="1:19">
      <c r="A5" s="103">
        <v>4</v>
      </c>
      <c r="B5" s="37" t="str">
        <f>IF($S$4=0,IF($I5="","",$I5),IFERROR(IF([1]筐子进出接口!$B$4=0,"",[1]筐子进出接口!$B$4),""))</f>
        <v>聂新平</v>
      </c>
      <c r="C5" s="37" t="str">
        <f>IF($S$4=0,IF($J5="","",$J5),IFERROR(IF([1]筐子进出接口!$C$4=0,"",[1]筐子进出接口!$C$4),""))</f>
        <v>自备一次性筐</v>
      </c>
      <c r="D5" s="25">
        <f>IF($S$4=0,IF($K5="","",$K5),IFERROR(IF([1]筐子进出接口!$D$4=0,"",[1]筐子进出接口!$D$4),""))</f>
        <v>11421</v>
      </c>
      <c r="E5" s="25">
        <f>IF($S$4=0,IF($L5="","",$L5),IFERROR(IF([1]筐子进出接口!$E$4=0,"",[1]筐子进出接口!$E$4),""))</f>
        <v>10143</v>
      </c>
      <c r="F5" s="25">
        <f>IF($S$4=0,IF($M5="","",$M5),IFERROR(IF([1]筐子进出接口!$F$4=0,"",[1]筐子进出接口!$F$4),""))</f>
        <v>1260</v>
      </c>
      <c r="G5" s="25">
        <f>IF($S$4=0,IF($N5="","",$N5),IFERROR(IF([1]筐子进出接口!$G$4=0,"",[1]筐子进出接口!$G$4),""))</f>
        <v>11403</v>
      </c>
      <c r="H5" s="25">
        <f t="shared" ref="H5:H68" si="0">IF($B5="","",N($D5))</f>
        <v>11421</v>
      </c>
      <c r="I5" s="27"/>
      <c r="J5" s="27"/>
      <c r="K5" s="104"/>
      <c r="L5" s="104"/>
      <c r="M5" s="104"/>
      <c r="N5" s="104"/>
      <c r="O5" s="105">
        <f t="shared" ref="O5:O68" si="1">IF(AND($B5&lt;&gt;"",$C5&lt;&gt;""),1,0)</f>
        <v>1</v>
      </c>
      <c r="P5" s="105">
        <f t="shared" ref="P5:P68" si="2">N(P4)+$O5</f>
        <v>1</v>
      </c>
      <c r="R5" s="98" t="s">
        <v>285</v>
      </c>
      <c r="S5" s="99" t="str">
        <f>IF($S$4=1,"自动（跨文件链接）",IF($S$3&gt;0,"应急备份","无数据"))</f>
        <v>自动（跨文件链接）</v>
      </c>
    </row>
    <row r="6" spans="1:19">
      <c r="A6" s="103">
        <v>5</v>
      </c>
      <c r="B6" s="37" t="str">
        <f>IF($S$4=0,IF($I6="","",$I6),IFERROR(IF([1]筐子进出接口!$B$5=0,"",[1]筐子进出接口!$B$5),""))</f>
        <v>王照雪</v>
      </c>
      <c r="C6" s="37" t="str">
        <f>IF($S$4=0,IF($J6="","",$J6),IFERROR(IF([1]筐子进出接口!$C$5=0,"",[1]筐子进出接口!$C$5),""))</f>
        <v>公司杂周转筐</v>
      </c>
      <c r="D6" s="25">
        <f>IF($S$4=0,IF($K6="","",$K6),IFERROR(IF([1]筐子进出接口!$D$5=0,"",[1]筐子进出接口!$D$5),""))</f>
        <v>1670</v>
      </c>
      <c r="E6" s="25">
        <f>IF($S$4=0,IF($L6="","",$L6),IFERROR(IF([1]筐子进出接口!$E$5=0,"",[1]筐子进出接口!$E$5),""))</f>
        <v>1</v>
      </c>
      <c r="F6" s="25">
        <f>IF($S$4=0,IF($M6="","",$M6),IFERROR(IF([1]筐子进出接口!$F$5=0,"",[1]筐子进出接口!$F$5),""))</f>
        <v>4</v>
      </c>
      <c r="G6" s="25">
        <f>IF($S$4=0,IF($N6="","",$N6),IFERROR(IF([1]筐子进出接口!$G$5=0,"",[1]筐子进出接口!$G$5),""))</f>
        <v>5</v>
      </c>
      <c r="H6" s="25">
        <f t="shared" si="0"/>
        <v>1670</v>
      </c>
      <c r="I6" s="27"/>
      <c r="J6" s="27"/>
      <c r="K6" s="104"/>
      <c r="L6" s="104"/>
      <c r="M6" s="104"/>
      <c r="N6" s="104"/>
      <c r="O6" s="105">
        <f t="shared" si="1"/>
        <v>1</v>
      </c>
      <c r="P6" s="105">
        <f t="shared" si="2"/>
        <v>2</v>
      </c>
      <c r="R6" s="106" t="str">
        <f>IF($S$2="断开",IF($S$3&gt;0,"✘ 链接已断开，正在用【应急备份区】的 "&amp;$S$3&amp;" 行数据。修复：菜单【数据】→【编辑链接】→【更改源】，重新指向《01_水果进销存台账模板.xlsx》","✘ 链接已断开，且应急备份区是空的，筐子往来汇总里不会包含 01 水果台账带出带回的筐数。修复：菜单【数据】→【编辑链接】→【更改源】，重新指向《01_水果进销存台账模板.xlsx》"),IF($S$2="未更新",IF($S$3&gt;0,"★ 链接还没更新，或那个文件被改名、挪走了。正在用【应急备份区】的 "&amp;$S$3&amp;" 行数据。修复：【数据】→【编辑链接】→先点【立即更新值】；还取不到数就点【更改源】重新指向《01_水果进销存台账模板.xlsx》","★ 链接还没更新，或那个文件被改名、挪走了，且没有应急备份。修复：【数据】→【编辑链接】→先点【立即更新值】；还取不到数就点【更改源】重新指向《01_水果进销存台账模板.xlsx》"),"✔ 链接正常，已自动取到 "&amp;$S$1&amp;" 行。备份区现有 "&amp;$S$3&amp;" 行。建议每月底把 B5:G304 复制→选择性粘贴【数值】到 I5，作为断链时的兜底"))</f>
        <v>✔ 链接正常，已自动取到 22 行。备份区现有 0 行。建议每月底把 B5:G304 复制→选择性粘贴【数值】到 I5，作为断链时的兜底</v>
      </c>
    </row>
    <row r="7" spans="1:19">
      <c r="A7" s="103">
        <v>6</v>
      </c>
      <c r="B7" s="37" t="str">
        <f>IF($S$4=0,IF($I7="","",$I7),IFERROR(IF([1]筐子进出接口!$B$6=0,"",[1]筐子进出接口!$B$6),""))</f>
        <v>伍元虎</v>
      </c>
      <c r="C7" s="37" t="str">
        <f>IF($S$4=0,IF($J7="","",$J7),IFERROR(IF([1]筐子进出接口!$C$6=0,"",[1]筐子进出接口!$C$6),""))</f>
        <v>自备一次性筐</v>
      </c>
      <c r="D7" s="25">
        <f>IF($S$4=0,IF($K7="","",$K7),IFERROR(IF([1]筐子进出接口!$D$6=0,"",[1]筐子进出接口!$D$6),""))</f>
        <v>87</v>
      </c>
      <c r="E7" s="25">
        <f>IF($S$4=0,IF($L7="","",$L7),IFERROR(IF([1]筐子进出接口!$E$6=0,"",[1]筐子进出接口!$E$6),""))</f>
        <v>87</v>
      </c>
      <c r="F7" s="25" t="str">
        <f>IF($S$4=0,IF($M7="","",$M7),IFERROR(IF([1]筐子进出接口!$F$6=0,"",[1]筐子进出接口!$F$6),""))</f>
        <v/>
      </c>
      <c r="G7" s="25">
        <f>IF($S$4=0,IF($N7="","",$N7),IFERROR(IF([1]筐子进出接口!$G$6=0,"",[1]筐子进出接口!$G$6),""))</f>
        <v>87</v>
      </c>
      <c r="H7" s="25">
        <f t="shared" si="0"/>
        <v>87</v>
      </c>
      <c r="I7" s="27"/>
      <c r="J7" s="27"/>
      <c r="K7" s="104"/>
      <c r="L7" s="104"/>
      <c r="M7" s="104"/>
      <c r="N7" s="104"/>
      <c r="O7" s="105">
        <f t="shared" si="1"/>
        <v>1</v>
      </c>
      <c r="P7" s="105">
        <f t="shared" si="2"/>
        <v>3</v>
      </c>
    </row>
    <row r="8" spans="1:19">
      <c r="A8" s="103">
        <v>7</v>
      </c>
      <c r="B8" s="37" t="str">
        <f>IF($S$4=0,IF($I8="","",$I8),IFERROR(IF([1]筐子进出接口!$B$7=0,"",[1]筐子进出接口!$B$7),""))</f>
        <v>王照雪</v>
      </c>
      <c r="C8" s="37" t="str">
        <f>IF($S$4=0,IF($J8="","",$J8),IFERROR(IF([1]筐子进出接口!$C$7=0,"",[1]筐子进出接口!$C$7),""))</f>
        <v>自备一次性筐</v>
      </c>
      <c r="D8" s="25">
        <f>IF($S$4=0,IF($K8="","",$K8),IFERROR(IF([1]筐子进出接口!$D$7=0,"",[1]筐子进出接口!$D$7),""))</f>
        <v>422</v>
      </c>
      <c r="E8" s="25">
        <f>IF($S$4=0,IF($L8="","",$L8),IFERROR(IF([1]筐子进出接口!$E$7=0,"",[1]筐子进出接口!$E$7),""))</f>
        <v>422</v>
      </c>
      <c r="F8" s="25" t="str">
        <f>IF($S$4=0,IF($M8="","",$M8),IFERROR(IF([1]筐子进出接口!$F$7=0,"",[1]筐子进出接口!$F$7),""))</f>
        <v/>
      </c>
      <c r="G8" s="25">
        <f>IF($S$4=0,IF($N8="","",$N8),IFERROR(IF([1]筐子进出接口!$G$7=0,"",[1]筐子进出接口!$G$7),""))</f>
        <v>422</v>
      </c>
      <c r="H8" s="25">
        <f t="shared" si="0"/>
        <v>422</v>
      </c>
      <c r="I8" s="27"/>
      <c r="J8" s="27"/>
      <c r="K8" s="104"/>
      <c r="L8" s="104"/>
      <c r="M8" s="104"/>
      <c r="N8" s="104"/>
      <c r="O8" s="105">
        <f t="shared" si="1"/>
        <v>1</v>
      </c>
      <c r="P8" s="105">
        <f t="shared" si="2"/>
        <v>4</v>
      </c>
    </row>
    <row r="9" spans="1:19">
      <c r="A9" s="103">
        <v>8</v>
      </c>
      <c r="B9" s="37" t="str">
        <f>IF($S$4=0,IF($I9="","",$I9),IFERROR(IF([1]筐子进出接口!$B$8=0,"",[1]筐子进出接口!$B$8),""))</f>
        <v>马锦祥</v>
      </c>
      <c r="C9" s="37" t="str">
        <f>IF($S$4=0,IF($J9="","",$J9),IFERROR(IF([1]筐子进出接口!$C$8=0,"",[1]筐子进出接口!$C$8),""))</f>
        <v>自备一次性筐</v>
      </c>
      <c r="D9" s="25">
        <f>IF($S$4=0,IF($K9="","",$K9),IFERROR(IF([1]筐子进出接口!$D$8=0,"",[1]筐子进出接口!$D$8),""))</f>
        <v>68</v>
      </c>
      <c r="E9" s="25">
        <f>IF($S$4=0,IF($L9="","",$L9),IFERROR(IF([1]筐子进出接口!$E$8=0,"",[1]筐子进出接口!$E$8),""))</f>
        <v>2</v>
      </c>
      <c r="F9" s="25" t="str">
        <f>IF($S$4=0,IF($M9="","",$M9),IFERROR(IF([1]筐子进出接口!$F$8=0,"",[1]筐子进出接口!$F$8),""))</f>
        <v/>
      </c>
      <c r="G9" s="25">
        <f>IF($S$4=0,IF($N9="","",$N9),IFERROR(IF([1]筐子进出接口!$G$8=0,"",[1]筐子进出接口!$G$8),""))</f>
        <v>2</v>
      </c>
      <c r="H9" s="25">
        <f t="shared" si="0"/>
        <v>68</v>
      </c>
      <c r="I9" s="27"/>
      <c r="J9" s="27"/>
      <c r="K9" s="104"/>
      <c r="L9" s="104"/>
      <c r="M9" s="104"/>
      <c r="N9" s="104"/>
      <c r="O9" s="105">
        <f t="shared" si="1"/>
        <v>1</v>
      </c>
      <c r="P9" s="105">
        <f t="shared" si="2"/>
        <v>5</v>
      </c>
    </row>
    <row r="10" spans="1:19">
      <c r="A10" s="103">
        <v>9</v>
      </c>
      <c r="B10" s="37" t="str">
        <f>IF($S$4=0,IF($I10="","",$I10),IFERROR(IF([1]筐子进出接口!$B$9=0,"",[1]筐子进出接口!$B$9),""))</f>
        <v>马锦祥</v>
      </c>
      <c r="C10" s="37" t="str">
        <f>IF($S$4=0,IF($J10="","",$J10),IFERROR(IF([1]筐子进出接口!$C$9=0,"",[1]筐子进出接口!$C$9),""))</f>
        <v>公司杂周转筐</v>
      </c>
      <c r="D10" s="25">
        <f>IF($S$4=0,IF($K10="","",$K10),IFERROR(IF([1]筐子进出接口!$D$9=0,"",[1]筐子进出接口!$D$9),""))</f>
        <v>1900</v>
      </c>
      <c r="E10" s="25" t="str">
        <f>IF($S$4=0,IF($L10="","",$L10),IFERROR(IF([1]筐子进出接口!$E$9=0,"",[1]筐子进出接口!$E$9),""))</f>
        <v/>
      </c>
      <c r="F10" s="25" t="str">
        <f>IF($S$4=0,IF($M10="","",$M10),IFERROR(IF([1]筐子进出接口!$F$9=0,"",[1]筐子进出接口!$F$9),""))</f>
        <v/>
      </c>
      <c r="G10" s="25" t="str">
        <f>IF($S$4=0,IF($N10="","",$N10),IFERROR(IF([1]筐子进出接口!$G$9=0,"",[1]筐子进出接口!$G$9),""))</f>
        <v/>
      </c>
      <c r="H10" s="25">
        <f t="shared" si="0"/>
        <v>1900</v>
      </c>
      <c r="I10" s="27"/>
      <c r="J10" s="27"/>
      <c r="K10" s="104"/>
      <c r="L10" s="104"/>
      <c r="M10" s="104"/>
      <c r="N10" s="104"/>
      <c r="O10" s="105">
        <f t="shared" si="1"/>
        <v>1</v>
      </c>
      <c r="P10" s="105">
        <f t="shared" si="2"/>
        <v>6</v>
      </c>
    </row>
    <row r="11" spans="1:19">
      <c r="A11" s="103">
        <v>10</v>
      </c>
      <c r="B11" s="37" t="str">
        <f>IF($S$4=0,IF($I11="","",$I11),IFERROR(IF([1]筐子进出接口!$B$10=0,"",[1]筐子进出接口!$B$10),""))</f>
        <v>麦麦提</v>
      </c>
      <c r="C11" s="37" t="str">
        <f>IF($S$4=0,IF($J11="","",$J11),IFERROR(IF([1]筐子进出接口!$C$10=0,"",[1]筐子进出接口!$C$10),""))</f>
        <v>公司红周转筐</v>
      </c>
      <c r="D11" s="25">
        <f>IF($S$4=0,IF($K11="","",$K11),IFERROR(IF([1]筐子进出接口!$D$10=0,"",[1]筐子进出接口!$D$10),""))</f>
        <v>2537</v>
      </c>
      <c r="E11" s="25" t="str">
        <f>IF($S$4=0,IF($L11="","",$L11),IFERROR(IF([1]筐子进出接口!$E$10=0,"",[1]筐子进出接口!$E$10),""))</f>
        <v/>
      </c>
      <c r="F11" s="25" t="str">
        <f>IF($S$4=0,IF($M11="","",$M11),IFERROR(IF([1]筐子进出接口!$F$10=0,"",[1]筐子进出接口!$F$10),""))</f>
        <v/>
      </c>
      <c r="G11" s="25" t="str">
        <f>IF($S$4=0,IF($N11="","",$N11),IFERROR(IF([1]筐子进出接口!$G$10=0,"",[1]筐子进出接口!$G$10),""))</f>
        <v/>
      </c>
      <c r="H11" s="25">
        <f t="shared" si="0"/>
        <v>2537</v>
      </c>
      <c r="I11" s="27"/>
      <c r="J11" s="27"/>
      <c r="K11" s="104"/>
      <c r="L11" s="104"/>
      <c r="M11" s="104"/>
      <c r="N11" s="104"/>
      <c r="O11" s="105">
        <f t="shared" si="1"/>
        <v>1</v>
      </c>
      <c r="P11" s="105">
        <f t="shared" si="2"/>
        <v>7</v>
      </c>
    </row>
    <row r="12" spans="1:19">
      <c r="A12" s="103">
        <v>11</v>
      </c>
      <c r="B12" s="37" t="str">
        <f>IF($S$4=0,IF($I12="","",$I12),IFERROR(IF([1]筐子进出接口!$B$11=0,"",[1]筐子进出接口!$B$11),""))</f>
        <v>吐尔洪</v>
      </c>
      <c r="C12" s="37" t="str">
        <f>IF($S$4=0,IF($J12="","",$J12),IFERROR(IF([1]筐子进出接口!$C$11=0,"",[1]筐子进出接口!$C$11),""))</f>
        <v>公司红周转筐</v>
      </c>
      <c r="D12" s="25">
        <f>IF($S$4=0,IF($K12="","",$K12),IFERROR(IF([1]筐子进出接口!$D$11=0,"",[1]筐子进出接口!$D$11),""))</f>
        <v>1195</v>
      </c>
      <c r="E12" s="25" t="str">
        <f>IF($S$4=0,IF($L12="","",$L12),IFERROR(IF([1]筐子进出接口!$E$11=0,"",[1]筐子进出接口!$E$11),""))</f>
        <v/>
      </c>
      <c r="F12" s="25" t="str">
        <f>IF($S$4=0,IF($M12="","",$M12),IFERROR(IF([1]筐子进出接口!$F$11=0,"",[1]筐子进出接口!$F$11),""))</f>
        <v/>
      </c>
      <c r="G12" s="25" t="str">
        <f>IF($S$4=0,IF($N12="","",$N12),IFERROR(IF([1]筐子进出接口!$G$11=0,"",[1]筐子进出接口!$G$11),""))</f>
        <v/>
      </c>
      <c r="H12" s="25">
        <f t="shared" si="0"/>
        <v>1195</v>
      </c>
      <c r="I12" s="27"/>
      <c r="J12" s="27"/>
      <c r="K12" s="104"/>
      <c r="L12" s="104"/>
      <c r="M12" s="104"/>
      <c r="N12" s="104"/>
      <c r="O12" s="105">
        <f t="shared" si="1"/>
        <v>1</v>
      </c>
      <c r="P12" s="105">
        <f t="shared" si="2"/>
        <v>8</v>
      </c>
    </row>
    <row r="13" spans="1:19">
      <c r="A13" s="103">
        <v>12</v>
      </c>
      <c r="B13" s="37" t="str">
        <f>IF($S$4=0,IF($I13="","",$I13),IFERROR(IF([1]筐子进出接口!$B$12=0,"",[1]筐子进出接口!$B$12),""))</f>
        <v>热合曼</v>
      </c>
      <c r="C13" s="37" t="str">
        <f>IF($S$4=0,IF($J13="","",$J13),IFERROR(IF([1]筐子进出接口!$C$12=0,"",[1]筐子进出接口!$C$12),""))</f>
        <v>公司红周转筐</v>
      </c>
      <c r="D13" s="25">
        <f>IF($S$4=0,IF($K13="","",$K13),IFERROR(IF([1]筐子进出接口!$D$12=0,"",[1]筐子进出接口!$D$12),""))</f>
        <v>1521</v>
      </c>
      <c r="E13" s="25" t="str">
        <f>IF($S$4=0,IF($L13="","",$L13),IFERROR(IF([1]筐子进出接口!$E$12=0,"",[1]筐子进出接口!$E$12),""))</f>
        <v/>
      </c>
      <c r="F13" s="25" t="str">
        <f>IF($S$4=0,IF($M13="","",$M13),IFERROR(IF([1]筐子进出接口!$F$12=0,"",[1]筐子进出接口!$F$12),""))</f>
        <v/>
      </c>
      <c r="G13" s="25" t="str">
        <f>IF($S$4=0,IF($N13="","",$N13),IFERROR(IF([1]筐子进出接口!$G$12=0,"",[1]筐子进出接口!$G$12),""))</f>
        <v/>
      </c>
      <c r="H13" s="25">
        <f t="shared" si="0"/>
        <v>1521</v>
      </c>
      <c r="I13" s="27"/>
      <c r="J13" s="27"/>
      <c r="K13" s="104"/>
      <c r="L13" s="104"/>
      <c r="M13" s="104"/>
      <c r="N13" s="104"/>
      <c r="O13" s="105">
        <f t="shared" si="1"/>
        <v>1</v>
      </c>
      <c r="P13" s="105">
        <f t="shared" si="2"/>
        <v>9</v>
      </c>
    </row>
    <row r="14" spans="1:19">
      <c r="A14" s="103">
        <v>13</v>
      </c>
      <c r="B14" s="37" t="str">
        <f>IF($S$4=0,IF($I14="","",$I14),IFERROR(IF([1]筐子进出接口!$B$13=0,"",[1]筐子进出接口!$B$13),""))</f>
        <v>贾建国</v>
      </c>
      <c r="C14" s="37" t="str">
        <f>IF($S$4=0,IF($J14="","",$J14),IFERROR(IF([1]筐子进出接口!$C$13=0,"",[1]筐子进出接口!$C$13),""))</f>
        <v>自备一次性筐</v>
      </c>
      <c r="D14" s="25">
        <f>IF($S$4=0,IF($K14="","",$K14),IFERROR(IF([1]筐子进出接口!$D$13=0,"",[1]筐子进出接口!$D$13),""))</f>
        <v>832</v>
      </c>
      <c r="E14" s="25" t="str">
        <f>IF($S$4=0,IF($L14="","",$L14),IFERROR(IF([1]筐子进出接口!$E$13=0,"",[1]筐子进出接口!$E$13),""))</f>
        <v/>
      </c>
      <c r="F14" s="25" t="str">
        <f>IF($S$4=0,IF($M14="","",$M14),IFERROR(IF([1]筐子进出接口!$F$13=0,"",[1]筐子进出接口!$F$13),""))</f>
        <v/>
      </c>
      <c r="G14" s="25" t="str">
        <f>IF($S$4=0,IF($N14="","",$N14),IFERROR(IF([1]筐子进出接口!$G$13=0,"",[1]筐子进出接口!$G$13),""))</f>
        <v/>
      </c>
      <c r="H14" s="25">
        <f t="shared" si="0"/>
        <v>832</v>
      </c>
      <c r="I14" s="27"/>
      <c r="J14" s="27"/>
      <c r="K14" s="104"/>
      <c r="L14" s="104"/>
      <c r="M14" s="104"/>
      <c r="N14" s="104"/>
      <c r="O14" s="105">
        <f t="shared" si="1"/>
        <v>1</v>
      </c>
      <c r="P14" s="105">
        <f t="shared" si="2"/>
        <v>10</v>
      </c>
    </row>
    <row r="15" spans="1:19">
      <c r="A15" s="103">
        <v>14</v>
      </c>
      <c r="B15" s="37" t="str">
        <f>IF($S$4=0,IF($I15="","",$I15),IFERROR(IF([1]筐子进出接口!$B$14=0,"",[1]筐子进出接口!$B$14),""))</f>
        <v>贾建国</v>
      </c>
      <c r="C15" s="37" t="str">
        <f>IF($S$4=0,IF($J15="","",$J15),IFERROR(IF([1]筐子进出接口!$C$14=0,"",[1]筐子进出接口!$C$14),""))</f>
        <v>自备杂周转筐</v>
      </c>
      <c r="D15" s="25">
        <f>IF($S$4=0,IF($K15="","",$K15),IFERROR(IF([1]筐子进出接口!$D$14=0,"",[1]筐子进出接口!$D$14),""))</f>
        <v>354</v>
      </c>
      <c r="E15" s="25" t="str">
        <f>IF($S$4=0,IF($L15="","",$L15),IFERROR(IF([1]筐子进出接口!$E$14=0,"",[1]筐子进出接口!$E$14),""))</f>
        <v/>
      </c>
      <c r="F15" s="25" t="str">
        <f>IF($S$4=0,IF($M15="","",$M15),IFERROR(IF([1]筐子进出接口!$F$14=0,"",[1]筐子进出接口!$F$14),""))</f>
        <v/>
      </c>
      <c r="G15" s="25" t="str">
        <f>IF($S$4=0,IF($N15="","",$N15),IFERROR(IF([1]筐子进出接口!$G$14=0,"",[1]筐子进出接口!$G$14),""))</f>
        <v/>
      </c>
      <c r="H15" s="25">
        <f t="shared" si="0"/>
        <v>354</v>
      </c>
      <c r="I15" s="27"/>
      <c r="J15" s="27"/>
      <c r="K15" s="104"/>
      <c r="L15" s="104"/>
      <c r="M15" s="104"/>
      <c r="N15" s="104"/>
      <c r="O15" s="105">
        <f t="shared" si="1"/>
        <v>1</v>
      </c>
      <c r="P15" s="105">
        <f t="shared" si="2"/>
        <v>11</v>
      </c>
    </row>
    <row r="16" spans="1:19">
      <c r="A16" s="103">
        <v>15</v>
      </c>
      <c r="B16" s="37" t="str">
        <f>IF($S$4=0,IF($I16="","",$I16),IFERROR(IF([1]筐子进出接口!$B$15=0,"",[1]筐子进出接口!$B$15),""))</f>
        <v>王灵云</v>
      </c>
      <c r="C16" s="37" t="str">
        <f>IF($S$4=0,IF($J16="","",$J16),IFERROR(IF([1]筐子进出接口!$C$15=0,"",[1]筐子进出接口!$C$15),""))</f>
        <v>公司红周转筐</v>
      </c>
      <c r="D16" s="25">
        <f>IF($S$4=0,IF($K16="","",$K16),IFERROR(IF([1]筐子进出接口!$D$15=0,"",[1]筐子进出接口!$D$15),""))</f>
        <v>1037</v>
      </c>
      <c r="E16" s="25" t="str">
        <f>IF($S$4=0,IF($L16="","",$L16),IFERROR(IF([1]筐子进出接口!$E$15=0,"",[1]筐子进出接口!$E$15),""))</f>
        <v/>
      </c>
      <c r="F16" s="25" t="str">
        <f>IF($S$4=0,IF($M16="","",$M16),IFERROR(IF([1]筐子进出接口!$F$15=0,"",[1]筐子进出接口!$F$15),""))</f>
        <v/>
      </c>
      <c r="G16" s="25" t="str">
        <f>IF($S$4=0,IF($N16="","",$N16),IFERROR(IF([1]筐子进出接口!$G$15=0,"",[1]筐子进出接口!$G$15),""))</f>
        <v/>
      </c>
      <c r="H16" s="25">
        <f t="shared" si="0"/>
        <v>1037</v>
      </c>
      <c r="I16" s="27"/>
      <c r="J16" s="27"/>
      <c r="K16" s="104"/>
      <c r="L16" s="104"/>
      <c r="M16" s="104"/>
      <c r="N16" s="104"/>
      <c r="O16" s="105">
        <f t="shared" si="1"/>
        <v>1</v>
      </c>
      <c r="P16" s="105">
        <f t="shared" si="2"/>
        <v>12</v>
      </c>
    </row>
    <row r="17" spans="1:16">
      <c r="A17" s="103">
        <v>16</v>
      </c>
      <c r="B17" s="37" t="str">
        <f>IF($S$4=0,IF($I17="","",$I17),IFERROR(IF([1]筐子进出接口!$B$16=0,"",[1]筐子进出接口!$B$16),""))</f>
        <v>杨艳玲</v>
      </c>
      <c r="C17" s="37" t="str">
        <f>IF($S$4=0,IF($J17="","",$J17),IFERROR(IF([1]筐子进出接口!$C$16=0,"",[1]筐子进出接口!$C$16),""))</f>
        <v>自备一次性筐</v>
      </c>
      <c r="D17" s="25">
        <f>IF($S$4=0,IF($K17="","",$K17),IFERROR(IF([1]筐子进出接口!$D$16=0,"",[1]筐子进出接口!$D$16),""))</f>
        <v>104</v>
      </c>
      <c r="E17" s="25" t="str">
        <f>IF($S$4=0,IF($L17="","",$L17),IFERROR(IF([1]筐子进出接口!$E$16=0,"",[1]筐子进出接口!$E$16),""))</f>
        <v/>
      </c>
      <c r="F17" s="25" t="str">
        <f>IF($S$4=0,IF($M17="","",$M17),IFERROR(IF([1]筐子进出接口!$F$16=0,"",[1]筐子进出接口!$F$16),""))</f>
        <v/>
      </c>
      <c r="G17" s="25" t="str">
        <f>IF($S$4=0,IF($N17="","",$N17),IFERROR(IF([1]筐子进出接口!$G$16=0,"",[1]筐子进出接口!$G$16),""))</f>
        <v/>
      </c>
      <c r="H17" s="25">
        <f t="shared" si="0"/>
        <v>104</v>
      </c>
      <c r="I17" s="27"/>
      <c r="J17" s="27"/>
      <c r="K17" s="104"/>
      <c r="L17" s="104"/>
      <c r="M17" s="104"/>
      <c r="N17" s="104"/>
      <c r="O17" s="105">
        <f t="shared" si="1"/>
        <v>1</v>
      </c>
      <c r="P17" s="105">
        <f t="shared" si="2"/>
        <v>13</v>
      </c>
    </row>
    <row r="18" spans="1:16">
      <c r="A18" s="103">
        <v>17</v>
      </c>
      <c r="B18" s="37" t="str">
        <f>IF($S$4=0,IF($I18="","",$I18),IFERROR(IF([1]筐子进出接口!$B$17=0,"",[1]筐子进出接口!$B$17),""))</f>
        <v>荆建君</v>
      </c>
      <c r="C18" s="37" t="str">
        <f>IF($S$4=0,IF($J18="","",$J18),IFERROR(IF([1]筐子进出接口!$C$17=0,"",[1]筐子进出接口!$C$17),""))</f>
        <v>公司红周转筐</v>
      </c>
      <c r="D18" s="25">
        <f>IF($S$4=0,IF($K18="","",$K18),IFERROR(IF([1]筐子进出接口!$D$17=0,"",[1]筐子进出接口!$D$17),""))</f>
        <v>1216</v>
      </c>
      <c r="E18" s="25" t="str">
        <f>IF($S$4=0,IF($L18="","",$L18),IFERROR(IF([1]筐子进出接口!$E$17=0,"",[1]筐子进出接口!$E$17),""))</f>
        <v/>
      </c>
      <c r="F18" s="25" t="str">
        <f>IF($S$4=0,IF($M18="","",$M18),IFERROR(IF([1]筐子进出接口!$F$17=0,"",[1]筐子进出接口!$F$17),""))</f>
        <v/>
      </c>
      <c r="G18" s="25" t="str">
        <f>IF($S$4=0,IF($N18="","",$N18),IFERROR(IF([1]筐子进出接口!$G$17=0,"",[1]筐子进出接口!$G$17),""))</f>
        <v/>
      </c>
      <c r="H18" s="25">
        <f t="shared" si="0"/>
        <v>1216</v>
      </c>
      <c r="I18" s="27"/>
      <c r="J18" s="27"/>
      <c r="K18" s="104"/>
      <c r="L18" s="104"/>
      <c r="M18" s="104"/>
      <c r="N18" s="104"/>
      <c r="O18" s="105">
        <f t="shared" si="1"/>
        <v>1</v>
      </c>
      <c r="P18" s="105">
        <f t="shared" si="2"/>
        <v>14</v>
      </c>
    </row>
    <row r="19" spans="1:16">
      <c r="A19" s="103">
        <v>18</v>
      </c>
      <c r="B19" s="37" t="str">
        <f>IF($S$4=0,IF($I19="","",$I19),IFERROR(IF([1]筐子进出接口!$B$18=0,"",[1]筐子进出接口!$B$18),""))</f>
        <v>贾建国</v>
      </c>
      <c r="C19" s="37" t="str">
        <f>IF($S$4=0,IF($J19="","",$J19),IFERROR(IF([1]筐子进出接口!$C$18=0,"",[1]筐子进出接口!$C$18),""))</f>
        <v>公司新周转筐</v>
      </c>
      <c r="D19" s="25">
        <f>IF($S$4=0,IF($K19="","",$K19),IFERROR(IF([1]筐子进出接口!$D$18=0,"",[1]筐子进出接口!$D$18),""))</f>
        <v>74</v>
      </c>
      <c r="E19" s="25" t="str">
        <f>IF($S$4=0,IF($L19="","",$L19),IFERROR(IF([1]筐子进出接口!$E$18=0,"",[1]筐子进出接口!$E$18),""))</f>
        <v/>
      </c>
      <c r="F19" s="25" t="str">
        <f>IF($S$4=0,IF($M19="","",$M19),IFERROR(IF([1]筐子进出接口!$F$18=0,"",[1]筐子进出接口!$F$18),""))</f>
        <v/>
      </c>
      <c r="G19" s="25" t="str">
        <f>IF($S$4=0,IF($N19="","",$N19),IFERROR(IF([1]筐子进出接口!$G$18=0,"",[1]筐子进出接口!$G$18),""))</f>
        <v/>
      </c>
      <c r="H19" s="25">
        <f t="shared" si="0"/>
        <v>74</v>
      </c>
      <c r="I19" s="27"/>
      <c r="J19" s="27"/>
      <c r="K19" s="104"/>
      <c r="L19" s="104"/>
      <c r="M19" s="104"/>
      <c r="N19" s="104"/>
      <c r="O19" s="105">
        <f t="shared" si="1"/>
        <v>1</v>
      </c>
      <c r="P19" s="105">
        <f t="shared" si="2"/>
        <v>15</v>
      </c>
    </row>
    <row r="20" spans="1:16">
      <c r="A20" s="103">
        <v>19</v>
      </c>
      <c r="B20" s="37" t="str">
        <f>IF($S$4=0,IF($I20="","",$I20),IFERROR(IF([1]筐子进出接口!$B$19=0,"",[1]筐子进出接口!$B$19),""))</f>
        <v>王照雪</v>
      </c>
      <c r="C20" s="37" t="str">
        <f>IF($S$4=0,IF($J20="","",$J20),IFERROR(IF([1]筐子进出接口!$C$19=0,"",[1]筐子进出接口!$C$19),""))</f>
        <v>公司一次性筐</v>
      </c>
      <c r="D20" s="25">
        <f>IF($S$4=0,IF($K20="","",$K20),IFERROR(IF([1]筐子进出接口!$D$19=0,"",[1]筐子进出接口!$D$19),""))</f>
        <v>543</v>
      </c>
      <c r="E20" s="25" t="str">
        <f>IF($S$4=0,IF($L20="","",$L20),IFERROR(IF([1]筐子进出接口!$E$19=0,"",[1]筐子进出接口!$E$19),""))</f>
        <v/>
      </c>
      <c r="F20" s="25" t="str">
        <f>IF($S$4=0,IF($M20="","",$M20),IFERROR(IF([1]筐子进出接口!$F$19=0,"",[1]筐子进出接口!$F$19),""))</f>
        <v/>
      </c>
      <c r="G20" s="25" t="str">
        <f>IF($S$4=0,IF($N20="","",$N20),IFERROR(IF([1]筐子进出接口!$G$19=0,"",[1]筐子进出接口!$G$19),""))</f>
        <v/>
      </c>
      <c r="H20" s="25">
        <f t="shared" si="0"/>
        <v>543</v>
      </c>
      <c r="I20" s="27"/>
      <c r="J20" s="27"/>
      <c r="K20" s="104"/>
      <c r="L20" s="104"/>
      <c r="M20" s="104"/>
      <c r="N20" s="104"/>
      <c r="O20" s="105">
        <f t="shared" si="1"/>
        <v>1</v>
      </c>
      <c r="P20" s="105">
        <f t="shared" si="2"/>
        <v>16</v>
      </c>
    </row>
    <row r="21" spans="1:16">
      <c r="A21" s="103">
        <v>20</v>
      </c>
      <c r="B21" s="37" t="str">
        <f>IF($S$4=0,IF($I21="","",$I21),IFERROR(IF([1]筐子进出接口!$B$20=0,"",[1]筐子进出接口!$B$20),""))</f>
        <v>努尔敦</v>
      </c>
      <c r="C21" s="37" t="str">
        <f>IF($S$4=0,IF($J21="","",$J21),IFERROR(IF([1]筐子进出接口!$C$20=0,"",[1]筐子进出接口!$C$20),""))</f>
        <v>公司红周转筐</v>
      </c>
      <c r="D21" s="25">
        <f>IF($S$4=0,IF($K21="","",$K21),IFERROR(IF([1]筐子进出接口!$D$20=0,"",[1]筐子进出接口!$D$20),""))</f>
        <v>1290</v>
      </c>
      <c r="E21" s="25" t="str">
        <f>IF($S$4=0,IF($L21="","",$L21),IFERROR(IF([1]筐子进出接口!$E$20=0,"",[1]筐子进出接口!$E$20),""))</f>
        <v/>
      </c>
      <c r="F21" s="25" t="str">
        <f>IF($S$4=0,IF($M21="","",$M21),IFERROR(IF([1]筐子进出接口!$F$20=0,"",[1]筐子进出接口!$F$20),""))</f>
        <v/>
      </c>
      <c r="G21" s="25" t="str">
        <f>IF($S$4=0,IF($N21="","",$N21),IFERROR(IF([1]筐子进出接口!$G$20=0,"",[1]筐子进出接口!$G$20),""))</f>
        <v/>
      </c>
      <c r="H21" s="25">
        <f t="shared" si="0"/>
        <v>1290</v>
      </c>
      <c r="I21" s="27"/>
      <c r="J21" s="27"/>
      <c r="K21" s="104"/>
      <c r="L21" s="104"/>
      <c r="M21" s="104"/>
      <c r="N21" s="104"/>
      <c r="O21" s="105">
        <f t="shared" si="1"/>
        <v>1</v>
      </c>
      <c r="P21" s="105">
        <f t="shared" si="2"/>
        <v>17</v>
      </c>
    </row>
    <row r="22" spans="1:16">
      <c r="A22" s="103">
        <v>21</v>
      </c>
      <c r="B22" s="37" t="str">
        <f>IF($S$4=0,IF($I22="","",$I22),IFERROR(IF([1]筐子进出接口!$B$21=0,"",[1]筐子进出接口!$B$21),""))</f>
        <v>王浩</v>
      </c>
      <c r="C22" s="37" t="str">
        <f>IF($S$4=0,IF($J22="","",$J22),IFERROR(IF([1]筐子进出接口!$C$21=0,"",[1]筐子进出接口!$C$21),""))</f>
        <v>公司一次性筐</v>
      </c>
      <c r="D22" s="25">
        <f>IF($S$4=0,IF($K22="","",$K22),IFERROR(IF([1]筐子进出接口!$D$21=0,"",[1]筐子进出接口!$D$21),""))</f>
        <v>1184</v>
      </c>
      <c r="E22" s="25" t="str">
        <f>IF($S$4=0,IF($L22="","",$L22),IFERROR(IF([1]筐子进出接口!$E$21=0,"",[1]筐子进出接口!$E$21),""))</f>
        <v/>
      </c>
      <c r="F22" s="25" t="str">
        <f>IF($S$4=0,IF($M22="","",$M22),IFERROR(IF([1]筐子进出接口!$F$21=0,"",[1]筐子进出接口!$F$21),""))</f>
        <v/>
      </c>
      <c r="G22" s="25" t="str">
        <f>IF($S$4=0,IF($N22="","",$N22),IFERROR(IF([1]筐子进出接口!$G$21=0,"",[1]筐子进出接口!$G$21),""))</f>
        <v/>
      </c>
      <c r="H22" s="25">
        <f t="shared" si="0"/>
        <v>1184</v>
      </c>
      <c r="I22" s="27"/>
      <c r="J22" s="27"/>
      <c r="K22" s="104"/>
      <c r="L22" s="104"/>
      <c r="M22" s="104"/>
      <c r="N22" s="104"/>
      <c r="O22" s="105">
        <f t="shared" si="1"/>
        <v>1</v>
      </c>
      <c r="P22" s="105">
        <f t="shared" si="2"/>
        <v>18</v>
      </c>
    </row>
    <row r="23" spans="1:16">
      <c r="A23" s="103">
        <v>22</v>
      </c>
      <c r="B23" s="37" t="str">
        <f>IF($S$4=0,IF($I23="","",$I23),IFERROR(IF([1]筐子进出接口!$B$22=0,"",[1]筐子进出接口!$B$22),""))</f>
        <v>贾建国</v>
      </c>
      <c r="C23" s="37" t="str">
        <f>IF($S$4=0,IF($J23="","",$J23),IFERROR(IF([1]筐子进出接口!$C$22=0,"",[1]筐子进出接口!$C$22),""))</f>
        <v>公司一次性筐</v>
      </c>
      <c r="D23" s="25">
        <f>IF($S$4=0,IF($K23="","",$K23),IFERROR(IF([1]筐子进出接口!$D$22=0,"",[1]筐子进出接口!$D$22),""))</f>
        <v>5</v>
      </c>
      <c r="E23" s="25" t="str">
        <f>IF($S$4=0,IF($L23="","",$L23),IFERROR(IF([1]筐子进出接口!$E$22=0,"",[1]筐子进出接口!$E$22),""))</f>
        <v/>
      </c>
      <c r="F23" s="25" t="str">
        <f>IF($S$4=0,IF($M23="","",$M23),IFERROR(IF([1]筐子进出接口!$F$22=0,"",[1]筐子进出接口!$F$22),""))</f>
        <v/>
      </c>
      <c r="G23" s="25" t="str">
        <f>IF($S$4=0,IF($N23="","",$N23),IFERROR(IF([1]筐子进出接口!$G$22=0,"",[1]筐子进出接口!$G$22),""))</f>
        <v/>
      </c>
      <c r="H23" s="25">
        <f t="shared" si="0"/>
        <v>5</v>
      </c>
      <c r="I23" s="27"/>
      <c r="J23" s="27"/>
      <c r="K23" s="104"/>
      <c r="L23" s="104"/>
      <c r="M23" s="104"/>
      <c r="N23" s="104"/>
      <c r="O23" s="105">
        <f t="shared" si="1"/>
        <v>1</v>
      </c>
      <c r="P23" s="105">
        <f t="shared" si="2"/>
        <v>19</v>
      </c>
    </row>
    <row r="24" spans="1:16">
      <c r="A24" s="103">
        <v>23</v>
      </c>
      <c r="B24" s="37" t="str">
        <f>IF($S$4=0,IF($I24="","",$I24),IFERROR(IF([1]筐子进出接口!$B$23=0,"",[1]筐子进出接口!$B$23),""))</f>
        <v>电商/主播</v>
      </c>
      <c r="C24" s="37" t="str">
        <f>IF($S$4=0,IF($J24="","",$J24),IFERROR(IF([1]筐子进出接口!$C$23=0,"",[1]筐子进出接口!$C$23),""))</f>
        <v>纸箱</v>
      </c>
      <c r="D24" s="25" t="str">
        <f>IF($S$4=0,IF($K24="","",$K24),IFERROR(IF([1]筐子进出接口!$D$23=0,"",[1]筐子进出接口!$D$23),""))</f>
        <v/>
      </c>
      <c r="E24" s="25" t="str">
        <f>IF($S$4=0,IF($L24="","",$L24),IFERROR(IF([1]筐子进出接口!$E$23=0,"",[1]筐子进出接口!$E$23),""))</f>
        <v/>
      </c>
      <c r="F24" s="25" t="str">
        <f>IF($S$4=0,IF($M24="","",$M24),IFERROR(IF([1]筐子进出接口!$F$23=0,"",[1]筐子进出接口!$F$23),""))</f>
        <v/>
      </c>
      <c r="G24" s="25" t="str">
        <f>IF($S$4=0,IF($N24="","",$N24),IFERROR(IF([1]筐子进出接口!$G$23=0,"",[1]筐子进出接口!$G$23),""))</f>
        <v/>
      </c>
      <c r="H24" s="25">
        <f t="shared" si="0"/>
        <v>0</v>
      </c>
      <c r="I24" s="27"/>
      <c r="J24" s="27"/>
      <c r="K24" s="104"/>
      <c r="L24" s="104"/>
      <c r="M24" s="104"/>
      <c r="N24" s="104"/>
      <c r="O24" s="105">
        <f t="shared" si="1"/>
        <v>1</v>
      </c>
      <c r="P24" s="105">
        <f t="shared" si="2"/>
        <v>20</v>
      </c>
    </row>
    <row r="25" spans="1:16">
      <c r="A25" s="103">
        <v>24</v>
      </c>
      <c r="B25" s="37" t="str">
        <f>IF($S$4=0,IF($I25="","",$I25),IFERROR(IF([1]筐子进出接口!$B$24=0,"",[1]筐子进出接口!$B$24),""))</f>
        <v>伍元虎</v>
      </c>
      <c r="C25" s="37" t="str">
        <f>IF($S$4=0,IF($J25="","",$J25),IFERROR(IF([1]筐子进出接口!$C$24=0,"",[1]筐子进出接口!$C$24),""))</f>
        <v>公司一次性筐</v>
      </c>
      <c r="D25" s="25" t="str">
        <f>IF($S$4=0,IF($K25="","",$K25),IFERROR(IF([1]筐子进出接口!$D$24=0,"",[1]筐子进出接口!$D$24),""))</f>
        <v/>
      </c>
      <c r="E25" s="25" t="str">
        <f>IF($S$4=0,IF($L25="","",$L25),IFERROR(IF([1]筐子进出接口!$E$24=0,"",[1]筐子进出接口!$E$24),""))</f>
        <v/>
      </c>
      <c r="F25" s="25">
        <f>IF($S$4=0,IF($M25="","",$M25),IFERROR(IF([1]筐子进出接口!$F$24=0,"",[1]筐子进出接口!$F$24),""))</f>
        <v>113</v>
      </c>
      <c r="G25" s="25">
        <f>IF($S$4=0,IF($N25="","",$N25),IFERROR(IF([1]筐子进出接口!$G$24=0,"",[1]筐子进出接口!$G$24),""))</f>
        <v>113</v>
      </c>
      <c r="H25" s="25">
        <f t="shared" si="0"/>
        <v>0</v>
      </c>
      <c r="I25" s="27"/>
      <c r="J25" s="27"/>
      <c r="K25" s="104"/>
      <c r="L25" s="104"/>
      <c r="M25" s="104"/>
      <c r="N25" s="104"/>
      <c r="O25" s="105">
        <f t="shared" si="1"/>
        <v>1</v>
      </c>
      <c r="P25" s="105">
        <f t="shared" si="2"/>
        <v>21</v>
      </c>
    </row>
    <row r="26" spans="1:16">
      <c r="A26" s="103">
        <v>25</v>
      </c>
      <c r="B26" s="37" t="str">
        <f>IF($S$4=0,IF($I26="","",$I26),IFERROR(IF([1]筐子进出接口!$B$25=0,"",[1]筐子进出接口!$B$25),""))</f>
        <v>王照雪</v>
      </c>
      <c r="C26" s="37" t="str">
        <f>IF($S$4=0,IF($J26="","",$J26),IFERROR(IF([1]筐子进出接口!$C$25=0,"",[1]筐子进出接口!$C$25),""))</f>
        <v>纸箱</v>
      </c>
      <c r="D26" s="25" t="str">
        <f>IF($S$4=0,IF($K26="","",$K26),IFERROR(IF([1]筐子进出接口!$D$25=0,"",[1]筐子进出接口!$D$25),""))</f>
        <v/>
      </c>
      <c r="E26" s="25" t="str">
        <f>IF($S$4=0,IF($L26="","",$L26),IFERROR(IF([1]筐子进出接口!$E$25=0,"",[1]筐子进出接口!$E$25),""))</f>
        <v/>
      </c>
      <c r="F26" s="25" t="str">
        <f>IF($S$4=0,IF($M26="","",$M26),IFERROR(IF([1]筐子进出接口!$F$25=0,"",[1]筐子进出接口!$F$25),""))</f>
        <v/>
      </c>
      <c r="G26" s="25" t="str">
        <f>IF($S$4=0,IF($N26="","",$N26),IFERROR(IF([1]筐子进出接口!$G$25=0,"",[1]筐子进出接口!$G$25),""))</f>
        <v/>
      </c>
      <c r="H26" s="25">
        <f t="shared" si="0"/>
        <v>0</v>
      </c>
      <c r="I26" s="27"/>
      <c r="J26" s="27"/>
      <c r="K26" s="104"/>
      <c r="L26" s="104"/>
      <c r="M26" s="104"/>
      <c r="N26" s="104"/>
      <c r="O26" s="105">
        <f t="shared" si="1"/>
        <v>1</v>
      </c>
      <c r="P26" s="105">
        <f t="shared" si="2"/>
        <v>22</v>
      </c>
    </row>
    <row r="27" spans="1:16">
      <c r="A27" s="103">
        <v>26</v>
      </c>
      <c r="B27" s="37" t="str">
        <f>IF($S$4=0,IF($I27="","",$I27),IFERROR(IF([1]筐子进出接口!$B$26=0,"",[1]筐子进出接口!$B$26),""))</f>
        <v/>
      </c>
      <c r="C27" s="37" t="str">
        <f>IF($S$4=0,IF($J27="","",$J27),IFERROR(IF([1]筐子进出接口!$C$26=0,"",[1]筐子进出接口!$C$26),""))</f>
        <v/>
      </c>
      <c r="D27" s="25" t="str">
        <f>IF($S$4=0,IF($K27="","",$K27),IFERROR(IF([1]筐子进出接口!$D$26=0,"",[1]筐子进出接口!$D$26),""))</f>
        <v/>
      </c>
      <c r="E27" s="25" t="str">
        <f>IF($S$4=0,IF($L27="","",$L27),IFERROR(IF([1]筐子进出接口!$E$26=0,"",[1]筐子进出接口!$E$26),""))</f>
        <v/>
      </c>
      <c r="F27" s="25" t="str">
        <f>IF($S$4=0,IF($M27="","",$M27),IFERROR(IF([1]筐子进出接口!$F$26=0,"",[1]筐子进出接口!$F$26),""))</f>
        <v/>
      </c>
      <c r="G27" s="25" t="str">
        <f>IF($S$4=0,IF($N27="","",$N27),IFERROR(IF([1]筐子进出接口!$G$26=0,"",[1]筐子进出接口!$G$26),""))</f>
        <v/>
      </c>
      <c r="H27" s="25" t="str">
        <f t="shared" si="0"/>
        <v/>
      </c>
      <c r="I27" s="27"/>
      <c r="J27" s="27"/>
      <c r="K27" s="104"/>
      <c r="L27" s="104"/>
      <c r="M27" s="104"/>
      <c r="N27" s="104"/>
      <c r="O27" s="105">
        <f t="shared" si="1"/>
        <v>0</v>
      </c>
      <c r="P27" s="105">
        <f t="shared" si="2"/>
        <v>22</v>
      </c>
    </row>
    <row r="28" spans="1:16">
      <c r="A28" s="103">
        <v>27</v>
      </c>
      <c r="B28" s="37" t="str">
        <f>IF($S$4=0,IF($I28="","",$I28),IFERROR(IF([1]筐子进出接口!$B$27=0,"",[1]筐子进出接口!$B$27),""))</f>
        <v/>
      </c>
      <c r="C28" s="37" t="str">
        <f>IF($S$4=0,IF($J28="","",$J28),IFERROR(IF([1]筐子进出接口!$C$27=0,"",[1]筐子进出接口!$C$27),""))</f>
        <v/>
      </c>
      <c r="D28" s="25" t="str">
        <f>IF($S$4=0,IF($K28="","",$K28),IFERROR(IF([1]筐子进出接口!$D$27=0,"",[1]筐子进出接口!$D$27),""))</f>
        <v/>
      </c>
      <c r="E28" s="25" t="str">
        <f>IF($S$4=0,IF($L28="","",$L28),IFERROR(IF([1]筐子进出接口!$E$27=0,"",[1]筐子进出接口!$E$27),""))</f>
        <v/>
      </c>
      <c r="F28" s="25" t="str">
        <f>IF($S$4=0,IF($M28="","",$M28),IFERROR(IF([1]筐子进出接口!$F$27=0,"",[1]筐子进出接口!$F$27),""))</f>
        <v/>
      </c>
      <c r="G28" s="25" t="str">
        <f>IF($S$4=0,IF($N28="","",$N28),IFERROR(IF([1]筐子进出接口!$G$27=0,"",[1]筐子进出接口!$G$27),""))</f>
        <v/>
      </c>
      <c r="H28" s="25" t="str">
        <f t="shared" si="0"/>
        <v/>
      </c>
      <c r="I28" s="27"/>
      <c r="J28" s="27"/>
      <c r="K28" s="104"/>
      <c r="L28" s="104"/>
      <c r="M28" s="104"/>
      <c r="N28" s="104"/>
      <c r="O28" s="105">
        <f t="shared" si="1"/>
        <v>0</v>
      </c>
      <c r="P28" s="105">
        <f t="shared" si="2"/>
        <v>22</v>
      </c>
    </row>
    <row r="29" spans="1:16">
      <c r="A29" s="103">
        <v>28</v>
      </c>
      <c r="B29" s="37" t="str">
        <f>IF($S$4=0,IF($I29="","",$I29),IFERROR(IF([1]筐子进出接口!$B$28=0,"",[1]筐子进出接口!$B$28),""))</f>
        <v/>
      </c>
      <c r="C29" s="37" t="str">
        <f>IF($S$4=0,IF($J29="","",$J29),IFERROR(IF([1]筐子进出接口!$C$28=0,"",[1]筐子进出接口!$C$28),""))</f>
        <v/>
      </c>
      <c r="D29" s="25" t="str">
        <f>IF($S$4=0,IF($K29="","",$K29),IFERROR(IF([1]筐子进出接口!$D$28=0,"",[1]筐子进出接口!$D$28),""))</f>
        <v/>
      </c>
      <c r="E29" s="25" t="str">
        <f>IF($S$4=0,IF($L29="","",$L29),IFERROR(IF([1]筐子进出接口!$E$28=0,"",[1]筐子进出接口!$E$28),""))</f>
        <v/>
      </c>
      <c r="F29" s="25" t="str">
        <f>IF($S$4=0,IF($M29="","",$M29),IFERROR(IF([1]筐子进出接口!$F$28=0,"",[1]筐子进出接口!$F$28),""))</f>
        <v/>
      </c>
      <c r="G29" s="25" t="str">
        <f>IF($S$4=0,IF($N29="","",$N29),IFERROR(IF([1]筐子进出接口!$G$28=0,"",[1]筐子进出接口!$G$28),""))</f>
        <v/>
      </c>
      <c r="H29" s="25" t="str">
        <f t="shared" si="0"/>
        <v/>
      </c>
      <c r="I29" s="27"/>
      <c r="J29" s="27"/>
      <c r="K29" s="104"/>
      <c r="L29" s="104"/>
      <c r="M29" s="104"/>
      <c r="N29" s="104"/>
      <c r="O29" s="105">
        <f t="shared" si="1"/>
        <v>0</v>
      </c>
      <c r="P29" s="105">
        <f t="shared" si="2"/>
        <v>22</v>
      </c>
    </row>
    <row r="30" spans="1:16">
      <c r="A30" s="103">
        <v>29</v>
      </c>
      <c r="B30" s="37" t="str">
        <f>IF($S$4=0,IF($I30="","",$I30),IFERROR(IF([1]筐子进出接口!$B$29=0,"",[1]筐子进出接口!$B$29),""))</f>
        <v/>
      </c>
      <c r="C30" s="37" t="str">
        <f>IF($S$4=0,IF($J30="","",$J30),IFERROR(IF([1]筐子进出接口!$C$29=0,"",[1]筐子进出接口!$C$29),""))</f>
        <v/>
      </c>
      <c r="D30" s="25" t="str">
        <f>IF($S$4=0,IF($K30="","",$K30),IFERROR(IF([1]筐子进出接口!$D$29=0,"",[1]筐子进出接口!$D$29),""))</f>
        <v/>
      </c>
      <c r="E30" s="25" t="str">
        <f>IF($S$4=0,IF($L30="","",$L30),IFERROR(IF([1]筐子进出接口!$E$29=0,"",[1]筐子进出接口!$E$29),""))</f>
        <v/>
      </c>
      <c r="F30" s="25" t="str">
        <f>IF($S$4=0,IF($M30="","",$M30),IFERROR(IF([1]筐子进出接口!$F$29=0,"",[1]筐子进出接口!$F$29),""))</f>
        <v/>
      </c>
      <c r="G30" s="25" t="str">
        <f>IF($S$4=0,IF($N30="","",$N30),IFERROR(IF([1]筐子进出接口!$G$29=0,"",[1]筐子进出接口!$G$29),""))</f>
        <v/>
      </c>
      <c r="H30" s="25" t="str">
        <f t="shared" si="0"/>
        <v/>
      </c>
      <c r="I30" s="27"/>
      <c r="J30" s="27"/>
      <c r="K30" s="104"/>
      <c r="L30" s="104"/>
      <c r="M30" s="104"/>
      <c r="N30" s="104"/>
      <c r="O30" s="105">
        <f t="shared" si="1"/>
        <v>0</v>
      </c>
      <c r="P30" s="105">
        <f t="shared" si="2"/>
        <v>22</v>
      </c>
    </row>
    <row r="31" spans="1:16">
      <c r="A31" s="103">
        <v>30</v>
      </c>
      <c r="B31" s="37" t="str">
        <f>IF($S$4=0,IF($I31="","",$I31),IFERROR(IF([1]筐子进出接口!$B$30=0,"",[1]筐子进出接口!$B$30),""))</f>
        <v/>
      </c>
      <c r="C31" s="37" t="str">
        <f>IF($S$4=0,IF($J31="","",$J31),IFERROR(IF([1]筐子进出接口!$C$30=0,"",[1]筐子进出接口!$C$30),""))</f>
        <v/>
      </c>
      <c r="D31" s="25" t="str">
        <f>IF($S$4=0,IF($K31="","",$K31),IFERROR(IF([1]筐子进出接口!$D$30=0,"",[1]筐子进出接口!$D$30),""))</f>
        <v/>
      </c>
      <c r="E31" s="25" t="str">
        <f>IF($S$4=0,IF($L31="","",$L31),IFERROR(IF([1]筐子进出接口!$E$30=0,"",[1]筐子进出接口!$E$30),""))</f>
        <v/>
      </c>
      <c r="F31" s="25" t="str">
        <f>IF($S$4=0,IF($M31="","",$M31),IFERROR(IF([1]筐子进出接口!$F$30=0,"",[1]筐子进出接口!$F$30),""))</f>
        <v/>
      </c>
      <c r="G31" s="25" t="str">
        <f>IF($S$4=0,IF($N31="","",$N31),IFERROR(IF([1]筐子进出接口!$G$30=0,"",[1]筐子进出接口!$G$30),""))</f>
        <v/>
      </c>
      <c r="H31" s="25" t="str">
        <f t="shared" si="0"/>
        <v/>
      </c>
      <c r="I31" s="27"/>
      <c r="J31" s="27"/>
      <c r="K31" s="104"/>
      <c r="L31" s="104"/>
      <c r="M31" s="104"/>
      <c r="N31" s="104"/>
      <c r="O31" s="105">
        <f t="shared" si="1"/>
        <v>0</v>
      </c>
      <c r="P31" s="105">
        <f t="shared" si="2"/>
        <v>22</v>
      </c>
    </row>
    <row r="32" spans="1:16">
      <c r="A32" s="103">
        <v>31</v>
      </c>
      <c r="B32" s="37" t="str">
        <f>IF($S$4=0,IF($I32="","",$I32),IFERROR(IF([1]筐子进出接口!$B$31=0,"",[1]筐子进出接口!$B$31),""))</f>
        <v/>
      </c>
      <c r="C32" s="37" t="str">
        <f>IF($S$4=0,IF($J32="","",$J32),IFERROR(IF([1]筐子进出接口!$C$31=0,"",[1]筐子进出接口!$C$31),""))</f>
        <v/>
      </c>
      <c r="D32" s="25" t="str">
        <f>IF($S$4=0,IF($K32="","",$K32),IFERROR(IF([1]筐子进出接口!$D$31=0,"",[1]筐子进出接口!$D$31),""))</f>
        <v/>
      </c>
      <c r="E32" s="25" t="str">
        <f>IF($S$4=0,IF($L32="","",$L32),IFERROR(IF([1]筐子进出接口!$E$31=0,"",[1]筐子进出接口!$E$31),""))</f>
        <v/>
      </c>
      <c r="F32" s="25" t="str">
        <f>IF($S$4=0,IF($M32="","",$M32),IFERROR(IF([1]筐子进出接口!$F$31=0,"",[1]筐子进出接口!$F$31),""))</f>
        <v/>
      </c>
      <c r="G32" s="25" t="str">
        <f>IF($S$4=0,IF($N32="","",$N32),IFERROR(IF([1]筐子进出接口!$G$31=0,"",[1]筐子进出接口!$G$31),""))</f>
        <v/>
      </c>
      <c r="H32" s="25" t="str">
        <f t="shared" si="0"/>
        <v/>
      </c>
      <c r="I32" s="27"/>
      <c r="J32" s="27"/>
      <c r="K32" s="104"/>
      <c r="L32" s="104"/>
      <c r="M32" s="104"/>
      <c r="N32" s="104"/>
      <c r="O32" s="105">
        <f t="shared" si="1"/>
        <v>0</v>
      </c>
      <c r="P32" s="105">
        <f t="shared" si="2"/>
        <v>22</v>
      </c>
    </row>
    <row r="33" spans="1:16">
      <c r="A33" s="103">
        <v>32</v>
      </c>
      <c r="B33" s="37" t="str">
        <f>IF($S$4=0,IF($I33="","",$I33),IFERROR(IF([1]筐子进出接口!$B$32=0,"",[1]筐子进出接口!$B$32),""))</f>
        <v/>
      </c>
      <c r="C33" s="37" t="str">
        <f>IF($S$4=0,IF($J33="","",$J33),IFERROR(IF([1]筐子进出接口!$C$32=0,"",[1]筐子进出接口!$C$32),""))</f>
        <v/>
      </c>
      <c r="D33" s="25" t="str">
        <f>IF($S$4=0,IF($K33="","",$K33),IFERROR(IF([1]筐子进出接口!$D$32=0,"",[1]筐子进出接口!$D$32),""))</f>
        <v/>
      </c>
      <c r="E33" s="25" t="str">
        <f>IF($S$4=0,IF($L33="","",$L33),IFERROR(IF([1]筐子进出接口!$E$32=0,"",[1]筐子进出接口!$E$32),""))</f>
        <v/>
      </c>
      <c r="F33" s="25" t="str">
        <f>IF($S$4=0,IF($M33="","",$M33),IFERROR(IF([1]筐子进出接口!$F$32=0,"",[1]筐子进出接口!$F$32),""))</f>
        <v/>
      </c>
      <c r="G33" s="25" t="str">
        <f>IF($S$4=0,IF($N33="","",$N33),IFERROR(IF([1]筐子进出接口!$G$32=0,"",[1]筐子进出接口!$G$32),""))</f>
        <v/>
      </c>
      <c r="H33" s="25" t="str">
        <f t="shared" si="0"/>
        <v/>
      </c>
      <c r="I33" s="27"/>
      <c r="J33" s="27"/>
      <c r="K33" s="104"/>
      <c r="L33" s="104"/>
      <c r="M33" s="104"/>
      <c r="N33" s="104"/>
      <c r="O33" s="105">
        <f t="shared" si="1"/>
        <v>0</v>
      </c>
      <c r="P33" s="105">
        <f t="shared" si="2"/>
        <v>22</v>
      </c>
    </row>
    <row r="34" spans="1:16">
      <c r="A34" s="103">
        <v>33</v>
      </c>
      <c r="B34" s="37" t="str">
        <f>IF($S$4=0,IF($I34="","",$I34),IFERROR(IF([1]筐子进出接口!$B$33=0,"",[1]筐子进出接口!$B$33),""))</f>
        <v/>
      </c>
      <c r="C34" s="37" t="str">
        <f>IF($S$4=0,IF($J34="","",$J34),IFERROR(IF([1]筐子进出接口!$C$33=0,"",[1]筐子进出接口!$C$33),""))</f>
        <v/>
      </c>
      <c r="D34" s="25" t="str">
        <f>IF($S$4=0,IF($K34="","",$K34),IFERROR(IF([1]筐子进出接口!$D$33=0,"",[1]筐子进出接口!$D$33),""))</f>
        <v/>
      </c>
      <c r="E34" s="25" t="str">
        <f>IF($S$4=0,IF($L34="","",$L34),IFERROR(IF([1]筐子进出接口!$E$33=0,"",[1]筐子进出接口!$E$33),""))</f>
        <v/>
      </c>
      <c r="F34" s="25" t="str">
        <f>IF($S$4=0,IF($M34="","",$M34),IFERROR(IF([1]筐子进出接口!$F$33=0,"",[1]筐子进出接口!$F$33),""))</f>
        <v/>
      </c>
      <c r="G34" s="25" t="str">
        <f>IF($S$4=0,IF($N34="","",$N34),IFERROR(IF([1]筐子进出接口!$G$33=0,"",[1]筐子进出接口!$G$33),""))</f>
        <v/>
      </c>
      <c r="H34" s="25" t="str">
        <f t="shared" si="0"/>
        <v/>
      </c>
      <c r="I34" s="27"/>
      <c r="J34" s="27"/>
      <c r="K34" s="104"/>
      <c r="L34" s="104"/>
      <c r="M34" s="104"/>
      <c r="N34" s="104"/>
      <c r="O34" s="105">
        <f t="shared" si="1"/>
        <v>0</v>
      </c>
      <c r="P34" s="105">
        <f t="shared" si="2"/>
        <v>22</v>
      </c>
    </row>
    <row r="35" spans="1:16">
      <c r="A35" s="103">
        <v>34</v>
      </c>
      <c r="B35" s="37" t="str">
        <f>IF($S$4=0,IF($I35="","",$I35),IFERROR(IF([1]筐子进出接口!$B$34=0,"",[1]筐子进出接口!$B$34),""))</f>
        <v/>
      </c>
      <c r="C35" s="37" t="str">
        <f>IF($S$4=0,IF($J35="","",$J35),IFERROR(IF([1]筐子进出接口!$C$34=0,"",[1]筐子进出接口!$C$34),""))</f>
        <v/>
      </c>
      <c r="D35" s="25" t="str">
        <f>IF($S$4=0,IF($K35="","",$K35),IFERROR(IF([1]筐子进出接口!$D$34=0,"",[1]筐子进出接口!$D$34),""))</f>
        <v/>
      </c>
      <c r="E35" s="25" t="str">
        <f>IF($S$4=0,IF($L35="","",$L35),IFERROR(IF([1]筐子进出接口!$E$34=0,"",[1]筐子进出接口!$E$34),""))</f>
        <v/>
      </c>
      <c r="F35" s="25" t="str">
        <f>IF($S$4=0,IF($M35="","",$M35),IFERROR(IF([1]筐子进出接口!$F$34=0,"",[1]筐子进出接口!$F$34),""))</f>
        <v/>
      </c>
      <c r="G35" s="25" t="str">
        <f>IF($S$4=0,IF($N35="","",$N35),IFERROR(IF([1]筐子进出接口!$G$34=0,"",[1]筐子进出接口!$G$34),""))</f>
        <v/>
      </c>
      <c r="H35" s="25" t="str">
        <f t="shared" si="0"/>
        <v/>
      </c>
      <c r="I35" s="27"/>
      <c r="J35" s="27"/>
      <c r="K35" s="104"/>
      <c r="L35" s="104"/>
      <c r="M35" s="104"/>
      <c r="N35" s="104"/>
      <c r="O35" s="105">
        <f t="shared" si="1"/>
        <v>0</v>
      </c>
      <c r="P35" s="105">
        <f t="shared" si="2"/>
        <v>22</v>
      </c>
    </row>
    <row r="36" spans="1:16">
      <c r="A36" s="103">
        <v>35</v>
      </c>
      <c r="B36" s="37" t="str">
        <f>IF($S$4=0,IF($I36="","",$I36),IFERROR(IF([1]筐子进出接口!$B$35=0,"",[1]筐子进出接口!$B$35),""))</f>
        <v/>
      </c>
      <c r="C36" s="37" t="str">
        <f>IF($S$4=0,IF($J36="","",$J36),IFERROR(IF([1]筐子进出接口!$C$35=0,"",[1]筐子进出接口!$C$35),""))</f>
        <v/>
      </c>
      <c r="D36" s="25" t="str">
        <f>IF($S$4=0,IF($K36="","",$K36),IFERROR(IF([1]筐子进出接口!$D$35=0,"",[1]筐子进出接口!$D$35),""))</f>
        <v/>
      </c>
      <c r="E36" s="25" t="str">
        <f>IF($S$4=0,IF($L36="","",$L36),IFERROR(IF([1]筐子进出接口!$E$35=0,"",[1]筐子进出接口!$E$35),""))</f>
        <v/>
      </c>
      <c r="F36" s="25" t="str">
        <f>IF($S$4=0,IF($M36="","",$M36),IFERROR(IF([1]筐子进出接口!$F$35=0,"",[1]筐子进出接口!$F$35),""))</f>
        <v/>
      </c>
      <c r="G36" s="25" t="str">
        <f>IF($S$4=0,IF($N36="","",$N36),IFERROR(IF([1]筐子进出接口!$G$35=0,"",[1]筐子进出接口!$G$35),""))</f>
        <v/>
      </c>
      <c r="H36" s="25" t="str">
        <f t="shared" si="0"/>
        <v/>
      </c>
      <c r="I36" s="27"/>
      <c r="J36" s="27"/>
      <c r="K36" s="104"/>
      <c r="L36" s="104"/>
      <c r="M36" s="104"/>
      <c r="N36" s="104"/>
      <c r="O36" s="105">
        <f t="shared" si="1"/>
        <v>0</v>
      </c>
      <c r="P36" s="105">
        <f t="shared" si="2"/>
        <v>22</v>
      </c>
    </row>
    <row r="37" spans="1:16">
      <c r="A37" s="103">
        <v>36</v>
      </c>
      <c r="B37" s="37" t="str">
        <f>IF($S$4=0,IF($I37="","",$I37),IFERROR(IF([1]筐子进出接口!$B$36=0,"",[1]筐子进出接口!$B$36),""))</f>
        <v/>
      </c>
      <c r="C37" s="37" t="str">
        <f>IF($S$4=0,IF($J37="","",$J37),IFERROR(IF([1]筐子进出接口!$C$36=0,"",[1]筐子进出接口!$C$36),""))</f>
        <v/>
      </c>
      <c r="D37" s="25" t="str">
        <f>IF($S$4=0,IF($K37="","",$K37),IFERROR(IF([1]筐子进出接口!$D$36=0,"",[1]筐子进出接口!$D$36),""))</f>
        <v/>
      </c>
      <c r="E37" s="25" t="str">
        <f>IF($S$4=0,IF($L37="","",$L37),IFERROR(IF([1]筐子进出接口!$E$36=0,"",[1]筐子进出接口!$E$36),""))</f>
        <v/>
      </c>
      <c r="F37" s="25" t="str">
        <f>IF($S$4=0,IF($M37="","",$M37),IFERROR(IF([1]筐子进出接口!$F$36=0,"",[1]筐子进出接口!$F$36),""))</f>
        <v/>
      </c>
      <c r="G37" s="25" t="str">
        <f>IF($S$4=0,IF($N37="","",$N37),IFERROR(IF([1]筐子进出接口!$G$36=0,"",[1]筐子进出接口!$G$36),""))</f>
        <v/>
      </c>
      <c r="H37" s="25" t="str">
        <f t="shared" si="0"/>
        <v/>
      </c>
      <c r="I37" s="27"/>
      <c r="J37" s="27"/>
      <c r="K37" s="104"/>
      <c r="L37" s="104"/>
      <c r="M37" s="104"/>
      <c r="N37" s="104"/>
      <c r="O37" s="105">
        <f t="shared" si="1"/>
        <v>0</v>
      </c>
      <c r="P37" s="105">
        <f t="shared" si="2"/>
        <v>22</v>
      </c>
    </row>
    <row r="38" spans="1:16">
      <c r="A38" s="103">
        <v>37</v>
      </c>
      <c r="B38" s="37" t="str">
        <f>IF($S$4=0,IF($I38="","",$I38),IFERROR(IF([1]筐子进出接口!$B$37=0,"",[1]筐子进出接口!$B$37),""))</f>
        <v/>
      </c>
      <c r="C38" s="37" t="str">
        <f>IF($S$4=0,IF($J38="","",$J38),IFERROR(IF([1]筐子进出接口!$C$37=0,"",[1]筐子进出接口!$C$37),""))</f>
        <v/>
      </c>
      <c r="D38" s="25" t="str">
        <f>IF($S$4=0,IF($K38="","",$K38),IFERROR(IF([1]筐子进出接口!$D$37=0,"",[1]筐子进出接口!$D$37),""))</f>
        <v/>
      </c>
      <c r="E38" s="25" t="str">
        <f>IF($S$4=0,IF($L38="","",$L38),IFERROR(IF([1]筐子进出接口!$E$37=0,"",[1]筐子进出接口!$E$37),""))</f>
        <v/>
      </c>
      <c r="F38" s="25" t="str">
        <f>IF($S$4=0,IF($M38="","",$M38),IFERROR(IF([1]筐子进出接口!$F$37=0,"",[1]筐子进出接口!$F$37),""))</f>
        <v/>
      </c>
      <c r="G38" s="25" t="str">
        <f>IF($S$4=0,IF($N38="","",$N38),IFERROR(IF([1]筐子进出接口!$G$37=0,"",[1]筐子进出接口!$G$37),""))</f>
        <v/>
      </c>
      <c r="H38" s="25" t="str">
        <f t="shared" si="0"/>
        <v/>
      </c>
      <c r="I38" s="27"/>
      <c r="J38" s="27"/>
      <c r="K38" s="104"/>
      <c r="L38" s="104"/>
      <c r="M38" s="104"/>
      <c r="N38" s="104"/>
      <c r="O38" s="105">
        <f t="shared" si="1"/>
        <v>0</v>
      </c>
      <c r="P38" s="105">
        <f t="shared" si="2"/>
        <v>22</v>
      </c>
    </row>
    <row r="39" spans="1:16">
      <c r="A39" s="103">
        <v>38</v>
      </c>
      <c r="B39" s="37" t="str">
        <f>IF($S$4=0,IF($I39="","",$I39),IFERROR(IF([1]筐子进出接口!$B$38=0,"",[1]筐子进出接口!$B$38),""))</f>
        <v/>
      </c>
      <c r="C39" s="37" t="str">
        <f>IF($S$4=0,IF($J39="","",$J39),IFERROR(IF([1]筐子进出接口!$C$38=0,"",[1]筐子进出接口!$C$38),""))</f>
        <v/>
      </c>
      <c r="D39" s="25" t="str">
        <f>IF($S$4=0,IF($K39="","",$K39),IFERROR(IF([1]筐子进出接口!$D$38=0,"",[1]筐子进出接口!$D$38),""))</f>
        <v/>
      </c>
      <c r="E39" s="25" t="str">
        <f>IF($S$4=0,IF($L39="","",$L39),IFERROR(IF([1]筐子进出接口!$E$38=0,"",[1]筐子进出接口!$E$38),""))</f>
        <v/>
      </c>
      <c r="F39" s="25" t="str">
        <f>IF($S$4=0,IF($M39="","",$M39),IFERROR(IF([1]筐子进出接口!$F$38=0,"",[1]筐子进出接口!$F$38),""))</f>
        <v/>
      </c>
      <c r="G39" s="25" t="str">
        <f>IF($S$4=0,IF($N39="","",$N39),IFERROR(IF([1]筐子进出接口!$G$38=0,"",[1]筐子进出接口!$G$38),""))</f>
        <v/>
      </c>
      <c r="H39" s="25" t="str">
        <f t="shared" si="0"/>
        <v/>
      </c>
      <c r="I39" s="27"/>
      <c r="J39" s="27"/>
      <c r="K39" s="104"/>
      <c r="L39" s="104"/>
      <c r="M39" s="104"/>
      <c r="N39" s="104"/>
      <c r="O39" s="105">
        <f t="shared" si="1"/>
        <v>0</v>
      </c>
      <c r="P39" s="105">
        <f t="shared" si="2"/>
        <v>22</v>
      </c>
    </row>
    <row r="40" spans="1:16">
      <c r="A40" s="103">
        <v>39</v>
      </c>
      <c r="B40" s="37" t="str">
        <f>IF($S$4=0,IF($I40="","",$I40),IFERROR(IF([1]筐子进出接口!$B$39=0,"",[1]筐子进出接口!$B$39),""))</f>
        <v/>
      </c>
      <c r="C40" s="37" t="str">
        <f>IF($S$4=0,IF($J40="","",$J40),IFERROR(IF([1]筐子进出接口!$C$39=0,"",[1]筐子进出接口!$C$39),""))</f>
        <v/>
      </c>
      <c r="D40" s="25" t="str">
        <f>IF($S$4=0,IF($K40="","",$K40),IFERROR(IF([1]筐子进出接口!$D$39=0,"",[1]筐子进出接口!$D$39),""))</f>
        <v/>
      </c>
      <c r="E40" s="25" t="str">
        <f>IF($S$4=0,IF($L40="","",$L40),IFERROR(IF([1]筐子进出接口!$E$39=0,"",[1]筐子进出接口!$E$39),""))</f>
        <v/>
      </c>
      <c r="F40" s="25" t="str">
        <f>IF($S$4=0,IF($M40="","",$M40),IFERROR(IF([1]筐子进出接口!$F$39=0,"",[1]筐子进出接口!$F$39),""))</f>
        <v/>
      </c>
      <c r="G40" s="25" t="str">
        <f>IF($S$4=0,IF($N40="","",$N40),IFERROR(IF([1]筐子进出接口!$G$39=0,"",[1]筐子进出接口!$G$39),""))</f>
        <v/>
      </c>
      <c r="H40" s="25" t="str">
        <f t="shared" si="0"/>
        <v/>
      </c>
      <c r="I40" s="27"/>
      <c r="J40" s="27"/>
      <c r="K40" s="104"/>
      <c r="L40" s="104"/>
      <c r="M40" s="104"/>
      <c r="N40" s="104"/>
      <c r="O40" s="105">
        <f t="shared" si="1"/>
        <v>0</v>
      </c>
      <c r="P40" s="105">
        <f t="shared" si="2"/>
        <v>22</v>
      </c>
    </row>
    <row r="41" spans="1:16">
      <c r="A41" s="103">
        <v>40</v>
      </c>
      <c r="B41" s="37" t="str">
        <f>IF($S$4=0,IF($I41="","",$I41),IFERROR(IF([1]筐子进出接口!$B$40=0,"",[1]筐子进出接口!$B$40),""))</f>
        <v/>
      </c>
      <c r="C41" s="37" t="str">
        <f>IF($S$4=0,IF($J41="","",$J41),IFERROR(IF([1]筐子进出接口!$C$40=0,"",[1]筐子进出接口!$C$40),""))</f>
        <v/>
      </c>
      <c r="D41" s="25" t="str">
        <f>IF($S$4=0,IF($K41="","",$K41),IFERROR(IF([1]筐子进出接口!$D$40=0,"",[1]筐子进出接口!$D$40),""))</f>
        <v/>
      </c>
      <c r="E41" s="25" t="str">
        <f>IF($S$4=0,IF($L41="","",$L41),IFERROR(IF([1]筐子进出接口!$E$40=0,"",[1]筐子进出接口!$E$40),""))</f>
        <v/>
      </c>
      <c r="F41" s="25" t="str">
        <f>IF($S$4=0,IF($M41="","",$M41),IFERROR(IF([1]筐子进出接口!$F$40=0,"",[1]筐子进出接口!$F$40),""))</f>
        <v/>
      </c>
      <c r="G41" s="25" t="str">
        <f>IF($S$4=0,IF($N41="","",$N41),IFERROR(IF([1]筐子进出接口!$G$40=0,"",[1]筐子进出接口!$G$40),""))</f>
        <v/>
      </c>
      <c r="H41" s="25" t="str">
        <f t="shared" si="0"/>
        <v/>
      </c>
      <c r="I41" s="27"/>
      <c r="J41" s="27"/>
      <c r="K41" s="104"/>
      <c r="L41" s="104"/>
      <c r="M41" s="104"/>
      <c r="N41" s="104"/>
      <c r="O41" s="105">
        <f t="shared" si="1"/>
        <v>0</v>
      </c>
      <c r="P41" s="105">
        <f t="shared" si="2"/>
        <v>22</v>
      </c>
    </row>
    <row r="42" spans="1:16">
      <c r="A42" s="103">
        <v>41</v>
      </c>
      <c r="B42" s="37" t="str">
        <f>IF($S$4=0,IF($I42="","",$I42),IFERROR(IF([1]筐子进出接口!$B$41=0,"",[1]筐子进出接口!$B$41),""))</f>
        <v/>
      </c>
      <c r="C42" s="37" t="str">
        <f>IF($S$4=0,IF($J42="","",$J42),IFERROR(IF([1]筐子进出接口!$C$41=0,"",[1]筐子进出接口!$C$41),""))</f>
        <v/>
      </c>
      <c r="D42" s="25" t="str">
        <f>IF($S$4=0,IF($K42="","",$K42),IFERROR(IF([1]筐子进出接口!$D$41=0,"",[1]筐子进出接口!$D$41),""))</f>
        <v/>
      </c>
      <c r="E42" s="25" t="str">
        <f>IF($S$4=0,IF($L42="","",$L42),IFERROR(IF([1]筐子进出接口!$E$41=0,"",[1]筐子进出接口!$E$41),""))</f>
        <v/>
      </c>
      <c r="F42" s="25" t="str">
        <f>IF($S$4=0,IF($M42="","",$M42),IFERROR(IF([1]筐子进出接口!$F$41=0,"",[1]筐子进出接口!$F$41),""))</f>
        <v/>
      </c>
      <c r="G42" s="25" t="str">
        <f>IF($S$4=0,IF($N42="","",$N42),IFERROR(IF([1]筐子进出接口!$G$41=0,"",[1]筐子进出接口!$G$41),""))</f>
        <v/>
      </c>
      <c r="H42" s="25" t="str">
        <f t="shared" si="0"/>
        <v/>
      </c>
      <c r="I42" s="27"/>
      <c r="J42" s="27"/>
      <c r="K42" s="104"/>
      <c r="L42" s="104"/>
      <c r="M42" s="104"/>
      <c r="N42" s="104"/>
      <c r="O42" s="105">
        <f t="shared" si="1"/>
        <v>0</v>
      </c>
      <c r="P42" s="105">
        <f t="shared" si="2"/>
        <v>22</v>
      </c>
    </row>
    <row r="43" spans="1:16">
      <c r="A43" s="103">
        <v>42</v>
      </c>
      <c r="B43" s="37" t="str">
        <f>IF($S$4=0,IF($I43="","",$I43),IFERROR(IF([1]筐子进出接口!$B$42=0,"",[1]筐子进出接口!$B$42),""))</f>
        <v/>
      </c>
      <c r="C43" s="37" t="str">
        <f>IF($S$4=0,IF($J43="","",$J43),IFERROR(IF([1]筐子进出接口!$C$42=0,"",[1]筐子进出接口!$C$42),""))</f>
        <v/>
      </c>
      <c r="D43" s="25" t="str">
        <f>IF($S$4=0,IF($K43="","",$K43),IFERROR(IF([1]筐子进出接口!$D$42=0,"",[1]筐子进出接口!$D$42),""))</f>
        <v/>
      </c>
      <c r="E43" s="25" t="str">
        <f>IF($S$4=0,IF($L43="","",$L43),IFERROR(IF([1]筐子进出接口!$E$42=0,"",[1]筐子进出接口!$E$42),""))</f>
        <v/>
      </c>
      <c r="F43" s="25" t="str">
        <f>IF($S$4=0,IF($M43="","",$M43),IFERROR(IF([1]筐子进出接口!$F$42=0,"",[1]筐子进出接口!$F$42),""))</f>
        <v/>
      </c>
      <c r="G43" s="25" t="str">
        <f>IF($S$4=0,IF($N43="","",$N43),IFERROR(IF([1]筐子进出接口!$G$42=0,"",[1]筐子进出接口!$G$42),""))</f>
        <v/>
      </c>
      <c r="H43" s="25" t="str">
        <f t="shared" si="0"/>
        <v/>
      </c>
      <c r="I43" s="27"/>
      <c r="J43" s="27"/>
      <c r="K43" s="104"/>
      <c r="L43" s="104"/>
      <c r="M43" s="104"/>
      <c r="N43" s="104"/>
      <c r="O43" s="105">
        <f t="shared" si="1"/>
        <v>0</v>
      </c>
      <c r="P43" s="105">
        <f t="shared" si="2"/>
        <v>22</v>
      </c>
    </row>
    <row r="44" spans="1:16">
      <c r="A44" s="103">
        <v>43</v>
      </c>
      <c r="B44" s="37" t="str">
        <f>IF($S$4=0,IF($I44="","",$I44),IFERROR(IF([1]筐子进出接口!$B$43=0,"",[1]筐子进出接口!$B$43),""))</f>
        <v/>
      </c>
      <c r="C44" s="37" t="str">
        <f>IF($S$4=0,IF($J44="","",$J44),IFERROR(IF([1]筐子进出接口!$C$43=0,"",[1]筐子进出接口!$C$43),""))</f>
        <v/>
      </c>
      <c r="D44" s="25" t="str">
        <f>IF($S$4=0,IF($K44="","",$K44),IFERROR(IF([1]筐子进出接口!$D$43=0,"",[1]筐子进出接口!$D$43),""))</f>
        <v/>
      </c>
      <c r="E44" s="25" t="str">
        <f>IF($S$4=0,IF($L44="","",$L44),IFERROR(IF([1]筐子进出接口!$E$43=0,"",[1]筐子进出接口!$E$43),""))</f>
        <v/>
      </c>
      <c r="F44" s="25" t="str">
        <f>IF($S$4=0,IF($M44="","",$M44),IFERROR(IF([1]筐子进出接口!$F$43=0,"",[1]筐子进出接口!$F$43),""))</f>
        <v/>
      </c>
      <c r="G44" s="25" t="str">
        <f>IF($S$4=0,IF($N44="","",$N44),IFERROR(IF([1]筐子进出接口!$G$43=0,"",[1]筐子进出接口!$G$43),""))</f>
        <v/>
      </c>
      <c r="H44" s="25" t="str">
        <f t="shared" si="0"/>
        <v/>
      </c>
      <c r="I44" s="27"/>
      <c r="J44" s="27"/>
      <c r="K44" s="104"/>
      <c r="L44" s="104"/>
      <c r="M44" s="104"/>
      <c r="N44" s="104"/>
      <c r="O44" s="105">
        <f t="shared" si="1"/>
        <v>0</v>
      </c>
      <c r="P44" s="105">
        <f t="shared" si="2"/>
        <v>22</v>
      </c>
    </row>
    <row r="45" spans="1:16">
      <c r="A45" s="103">
        <v>44</v>
      </c>
      <c r="B45" s="37" t="str">
        <f>IF($S$4=0,IF($I45="","",$I45),IFERROR(IF([1]筐子进出接口!$B$44=0,"",[1]筐子进出接口!$B$44),""))</f>
        <v/>
      </c>
      <c r="C45" s="37" t="str">
        <f>IF($S$4=0,IF($J45="","",$J45),IFERROR(IF([1]筐子进出接口!$C$44=0,"",[1]筐子进出接口!$C$44),""))</f>
        <v/>
      </c>
      <c r="D45" s="25" t="str">
        <f>IF($S$4=0,IF($K45="","",$K45),IFERROR(IF([1]筐子进出接口!$D$44=0,"",[1]筐子进出接口!$D$44),""))</f>
        <v/>
      </c>
      <c r="E45" s="25" t="str">
        <f>IF($S$4=0,IF($L45="","",$L45),IFERROR(IF([1]筐子进出接口!$E$44=0,"",[1]筐子进出接口!$E$44),""))</f>
        <v/>
      </c>
      <c r="F45" s="25" t="str">
        <f>IF($S$4=0,IF($M45="","",$M45),IFERROR(IF([1]筐子进出接口!$F$44=0,"",[1]筐子进出接口!$F$44),""))</f>
        <v/>
      </c>
      <c r="G45" s="25" t="str">
        <f>IF($S$4=0,IF($N45="","",$N45),IFERROR(IF([1]筐子进出接口!$G$44=0,"",[1]筐子进出接口!$G$44),""))</f>
        <v/>
      </c>
      <c r="H45" s="25" t="str">
        <f t="shared" si="0"/>
        <v/>
      </c>
      <c r="I45" s="27"/>
      <c r="J45" s="27"/>
      <c r="K45" s="104"/>
      <c r="L45" s="104"/>
      <c r="M45" s="104"/>
      <c r="N45" s="104"/>
      <c r="O45" s="105">
        <f t="shared" si="1"/>
        <v>0</v>
      </c>
      <c r="P45" s="105">
        <f t="shared" si="2"/>
        <v>22</v>
      </c>
    </row>
    <row r="46" spans="1:16">
      <c r="A46" s="103">
        <v>45</v>
      </c>
      <c r="B46" s="37" t="str">
        <f>IF($S$4=0,IF($I46="","",$I46),IFERROR(IF([1]筐子进出接口!$B$45=0,"",[1]筐子进出接口!$B$45),""))</f>
        <v/>
      </c>
      <c r="C46" s="37" t="str">
        <f>IF($S$4=0,IF($J46="","",$J46),IFERROR(IF([1]筐子进出接口!$C$45=0,"",[1]筐子进出接口!$C$45),""))</f>
        <v/>
      </c>
      <c r="D46" s="25" t="str">
        <f>IF($S$4=0,IF($K46="","",$K46),IFERROR(IF([1]筐子进出接口!$D$45=0,"",[1]筐子进出接口!$D$45),""))</f>
        <v/>
      </c>
      <c r="E46" s="25" t="str">
        <f>IF($S$4=0,IF($L46="","",$L46),IFERROR(IF([1]筐子进出接口!$E$45=0,"",[1]筐子进出接口!$E$45),""))</f>
        <v/>
      </c>
      <c r="F46" s="25" t="str">
        <f>IF($S$4=0,IF($M46="","",$M46),IFERROR(IF([1]筐子进出接口!$F$45=0,"",[1]筐子进出接口!$F$45),""))</f>
        <v/>
      </c>
      <c r="G46" s="25" t="str">
        <f>IF($S$4=0,IF($N46="","",$N46),IFERROR(IF([1]筐子进出接口!$G$45=0,"",[1]筐子进出接口!$G$45),""))</f>
        <v/>
      </c>
      <c r="H46" s="25" t="str">
        <f t="shared" si="0"/>
        <v/>
      </c>
      <c r="I46" s="27"/>
      <c r="J46" s="27"/>
      <c r="K46" s="104"/>
      <c r="L46" s="104"/>
      <c r="M46" s="104"/>
      <c r="N46" s="104"/>
      <c r="O46" s="105">
        <f t="shared" si="1"/>
        <v>0</v>
      </c>
      <c r="P46" s="105">
        <f t="shared" si="2"/>
        <v>22</v>
      </c>
    </row>
    <row r="47" spans="1:16">
      <c r="A47" s="103">
        <v>46</v>
      </c>
      <c r="B47" s="37" t="str">
        <f>IF($S$4=0,IF($I47="","",$I47),IFERROR(IF([1]筐子进出接口!$B$46=0,"",[1]筐子进出接口!$B$46),""))</f>
        <v/>
      </c>
      <c r="C47" s="37" t="str">
        <f>IF($S$4=0,IF($J47="","",$J47),IFERROR(IF([1]筐子进出接口!$C$46=0,"",[1]筐子进出接口!$C$46),""))</f>
        <v/>
      </c>
      <c r="D47" s="25" t="str">
        <f>IF($S$4=0,IF($K47="","",$K47),IFERROR(IF([1]筐子进出接口!$D$46=0,"",[1]筐子进出接口!$D$46),""))</f>
        <v/>
      </c>
      <c r="E47" s="25" t="str">
        <f>IF($S$4=0,IF($L47="","",$L47),IFERROR(IF([1]筐子进出接口!$E$46=0,"",[1]筐子进出接口!$E$46),""))</f>
        <v/>
      </c>
      <c r="F47" s="25" t="str">
        <f>IF($S$4=0,IF($M47="","",$M47),IFERROR(IF([1]筐子进出接口!$F$46=0,"",[1]筐子进出接口!$F$46),""))</f>
        <v/>
      </c>
      <c r="G47" s="25" t="str">
        <f>IF($S$4=0,IF($N47="","",$N47),IFERROR(IF([1]筐子进出接口!$G$46=0,"",[1]筐子进出接口!$G$46),""))</f>
        <v/>
      </c>
      <c r="H47" s="25" t="str">
        <f t="shared" si="0"/>
        <v/>
      </c>
      <c r="I47" s="27"/>
      <c r="J47" s="27"/>
      <c r="K47" s="104"/>
      <c r="L47" s="104"/>
      <c r="M47" s="104"/>
      <c r="N47" s="104"/>
      <c r="O47" s="105">
        <f t="shared" si="1"/>
        <v>0</v>
      </c>
      <c r="P47" s="105">
        <f t="shared" si="2"/>
        <v>22</v>
      </c>
    </row>
    <row r="48" spans="1:16">
      <c r="A48" s="103">
        <v>47</v>
      </c>
      <c r="B48" s="37" t="str">
        <f>IF($S$4=0,IF($I48="","",$I48),IFERROR(IF([1]筐子进出接口!$B$47=0,"",[1]筐子进出接口!$B$47),""))</f>
        <v/>
      </c>
      <c r="C48" s="37" t="str">
        <f>IF($S$4=0,IF($J48="","",$J48),IFERROR(IF([1]筐子进出接口!$C$47=0,"",[1]筐子进出接口!$C$47),""))</f>
        <v/>
      </c>
      <c r="D48" s="25" t="str">
        <f>IF($S$4=0,IF($K48="","",$K48),IFERROR(IF([1]筐子进出接口!$D$47=0,"",[1]筐子进出接口!$D$47),""))</f>
        <v/>
      </c>
      <c r="E48" s="25" t="str">
        <f>IF($S$4=0,IF($L48="","",$L48),IFERROR(IF([1]筐子进出接口!$E$47=0,"",[1]筐子进出接口!$E$47),""))</f>
        <v/>
      </c>
      <c r="F48" s="25" t="str">
        <f>IF($S$4=0,IF($M48="","",$M48),IFERROR(IF([1]筐子进出接口!$F$47=0,"",[1]筐子进出接口!$F$47),""))</f>
        <v/>
      </c>
      <c r="G48" s="25" t="str">
        <f>IF($S$4=0,IF($N48="","",$N48),IFERROR(IF([1]筐子进出接口!$G$47=0,"",[1]筐子进出接口!$G$47),""))</f>
        <v/>
      </c>
      <c r="H48" s="25" t="str">
        <f t="shared" si="0"/>
        <v/>
      </c>
      <c r="I48" s="27"/>
      <c r="J48" s="27"/>
      <c r="K48" s="104"/>
      <c r="L48" s="104"/>
      <c r="M48" s="104"/>
      <c r="N48" s="104"/>
      <c r="O48" s="105">
        <f t="shared" si="1"/>
        <v>0</v>
      </c>
      <c r="P48" s="105">
        <f t="shared" si="2"/>
        <v>22</v>
      </c>
    </row>
    <row r="49" spans="1:16">
      <c r="A49" s="103">
        <v>48</v>
      </c>
      <c r="B49" s="37" t="str">
        <f>IF($S$4=0,IF($I49="","",$I49),IFERROR(IF([1]筐子进出接口!$B$48=0,"",[1]筐子进出接口!$B$48),""))</f>
        <v/>
      </c>
      <c r="C49" s="37" t="str">
        <f>IF($S$4=0,IF($J49="","",$J49),IFERROR(IF([1]筐子进出接口!$C$48=0,"",[1]筐子进出接口!$C$48),""))</f>
        <v/>
      </c>
      <c r="D49" s="25" t="str">
        <f>IF($S$4=0,IF($K49="","",$K49),IFERROR(IF([1]筐子进出接口!$D$48=0,"",[1]筐子进出接口!$D$48),""))</f>
        <v/>
      </c>
      <c r="E49" s="25" t="str">
        <f>IF($S$4=0,IF($L49="","",$L49),IFERROR(IF([1]筐子进出接口!$E$48=0,"",[1]筐子进出接口!$E$48),""))</f>
        <v/>
      </c>
      <c r="F49" s="25" t="str">
        <f>IF($S$4=0,IF($M49="","",$M49),IFERROR(IF([1]筐子进出接口!$F$48=0,"",[1]筐子进出接口!$F$48),""))</f>
        <v/>
      </c>
      <c r="G49" s="25" t="str">
        <f>IF($S$4=0,IF($N49="","",$N49),IFERROR(IF([1]筐子进出接口!$G$48=0,"",[1]筐子进出接口!$G$48),""))</f>
        <v/>
      </c>
      <c r="H49" s="25" t="str">
        <f t="shared" si="0"/>
        <v/>
      </c>
      <c r="I49" s="27"/>
      <c r="J49" s="27"/>
      <c r="K49" s="104"/>
      <c r="L49" s="104"/>
      <c r="M49" s="104"/>
      <c r="N49" s="104"/>
      <c r="O49" s="105">
        <f t="shared" si="1"/>
        <v>0</v>
      </c>
      <c r="P49" s="105">
        <f t="shared" si="2"/>
        <v>22</v>
      </c>
    </row>
    <row r="50" spans="1:16">
      <c r="A50" s="103">
        <v>49</v>
      </c>
      <c r="B50" s="37" t="str">
        <f>IF($S$4=0,IF($I50="","",$I50),IFERROR(IF([1]筐子进出接口!$B$49=0,"",[1]筐子进出接口!$B$49),""))</f>
        <v/>
      </c>
      <c r="C50" s="37" t="str">
        <f>IF($S$4=0,IF($J50="","",$J50),IFERROR(IF([1]筐子进出接口!$C$49=0,"",[1]筐子进出接口!$C$49),""))</f>
        <v/>
      </c>
      <c r="D50" s="25" t="str">
        <f>IF($S$4=0,IF($K50="","",$K50),IFERROR(IF([1]筐子进出接口!$D$49=0,"",[1]筐子进出接口!$D$49),""))</f>
        <v/>
      </c>
      <c r="E50" s="25" t="str">
        <f>IF($S$4=0,IF($L50="","",$L50),IFERROR(IF([1]筐子进出接口!$E$49=0,"",[1]筐子进出接口!$E$49),""))</f>
        <v/>
      </c>
      <c r="F50" s="25" t="str">
        <f>IF($S$4=0,IF($M50="","",$M50),IFERROR(IF([1]筐子进出接口!$F$49=0,"",[1]筐子进出接口!$F$49),""))</f>
        <v/>
      </c>
      <c r="G50" s="25" t="str">
        <f>IF($S$4=0,IF($N50="","",$N50),IFERROR(IF([1]筐子进出接口!$G$49=0,"",[1]筐子进出接口!$G$49),""))</f>
        <v/>
      </c>
      <c r="H50" s="25" t="str">
        <f t="shared" si="0"/>
        <v/>
      </c>
      <c r="I50" s="27"/>
      <c r="J50" s="27"/>
      <c r="K50" s="104"/>
      <c r="L50" s="104"/>
      <c r="M50" s="104"/>
      <c r="N50" s="104"/>
      <c r="O50" s="105">
        <f t="shared" si="1"/>
        <v>0</v>
      </c>
      <c r="P50" s="105">
        <f t="shared" si="2"/>
        <v>22</v>
      </c>
    </row>
    <row r="51" spans="1:16">
      <c r="A51" s="103">
        <v>50</v>
      </c>
      <c r="B51" s="37" t="str">
        <f>IF($S$4=0,IF($I51="","",$I51),IFERROR(IF([1]筐子进出接口!$B$50=0,"",[1]筐子进出接口!$B$50),""))</f>
        <v/>
      </c>
      <c r="C51" s="37" t="str">
        <f>IF($S$4=0,IF($J51="","",$J51),IFERROR(IF([1]筐子进出接口!$C$50=0,"",[1]筐子进出接口!$C$50),""))</f>
        <v/>
      </c>
      <c r="D51" s="25" t="str">
        <f>IF($S$4=0,IF($K51="","",$K51),IFERROR(IF([1]筐子进出接口!$D$50=0,"",[1]筐子进出接口!$D$50),""))</f>
        <v/>
      </c>
      <c r="E51" s="25" t="str">
        <f>IF($S$4=0,IF($L51="","",$L51),IFERROR(IF([1]筐子进出接口!$E$50=0,"",[1]筐子进出接口!$E$50),""))</f>
        <v/>
      </c>
      <c r="F51" s="25" t="str">
        <f>IF($S$4=0,IF($M51="","",$M51),IFERROR(IF([1]筐子进出接口!$F$50=0,"",[1]筐子进出接口!$F$50),""))</f>
        <v/>
      </c>
      <c r="G51" s="25" t="str">
        <f>IF($S$4=0,IF($N51="","",$N51),IFERROR(IF([1]筐子进出接口!$G$50=0,"",[1]筐子进出接口!$G$50),""))</f>
        <v/>
      </c>
      <c r="H51" s="25" t="str">
        <f t="shared" si="0"/>
        <v/>
      </c>
      <c r="I51" s="27"/>
      <c r="J51" s="27"/>
      <c r="K51" s="104"/>
      <c r="L51" s="104"/>
      <c r="M51" s="104"/>
      <c r="N51" s="104"/>
      <c r="O51" s="105">
        <f t="shared" si="1"/>
        <v>0</v>
      </c>
      <c r="P51" s="105">
        <f t="shared" si="2"/>
        <v>22</v>
      </c>
    </row>
    <row r="52" spans="1:16">
      <c r="A52" s="103">
        <v>51</v>
      </c>
      <c r="B52" s="37" t="str">
        <f>IF($S$4=0,IF($I52="","",$I52),IFERROR(IF([1]筐子进出接口!$B$51=0,"",[1]筐子进出接口!$B$51),""))</f>
        <v/>
      </c>
      <c r="C52" s="37" t="str">
        <f>IF($S$4=0,IF($J52="","",$J52),IFERROR(IF([1]筐子进出接口!$C$51=0,"",[1]筐子进出接口!$C$51),""))</f>
        <v/>
      </c>
      <c r="D52" s="25" t="str">
        <f>IF($S$4=0,IF($K52="","",$K52),IFERROR(IF([1]筐子进出接口!$D$51=0,"",[1]筐子进出接口!$D$51),""))</f>
        <v/>
      </c>
      <c r="E52" s="25" t="str">
        <f>IF($S$4=0,IF($L52="","",$L52),IFERROR(IF([1]筐子进出接口!$E$51=0,"",[1]筐子进出接口!$E$51),""))</f>
        <v/>
      </c>
      <c r="F52" s="25" t="str">
        <f>IF($S$4=0,IF($M52="","",$M52),IFERROR(IF([1]筐子进出接口!$F$51=0,"",[1]筐子进出接口!$F$51),""))</f>
        <v/>
      </c>
      <c r="G52" s="25" t="str">
        <f>IF($S$4=0,IF($N52="","",$N52),IFERROR(IF([1]筐子进出接口!$G$51=0,"",[1]筐子进出接口!$G$51),""))</f>
        <v/>
      </c>
      <c r="H52" s="25" t="str">
        <f t="shared" si="0"/>
        <v/>
      </c>
      <c r="I52" s="27"/>
      <c r="J52" s="27"/>
      <c r="K52" s="104"/>
      <c r="L52" s="104"/>
      <c r="M52" s="104"/>
      <c r="N52" s="104"/>
      <c r="O52" s="105">
        <f t="shared" si="1"/>
        <v>0</v>
      </c>
      <c r="P52" s="105">
        <f t="shared" si="2"/>
        <v>22</v>
      </c>
    </row>
    <row r="53" spans="1:16">
      <c r="A53" s="103">
        <v>52</v>
      </c>
      <c r="B53" s="37" t="str">
        <f>IF($S$4=0,IF($I53="","",$I53),IFERROR(IF([1]筐子进出接口!$B$52=0,"",[1]筐子进出接口!$B$52),""))</f>
        <v/>
      </c>
      <c r="C53" s="37" t="str">
        <f>IF($S$4=0,IF($J53="","",$J53),IFERROR(IF([1]筐子进出接口!$C$52=0,"",[1]筐子进出接口!$C$52),""))</f>
        <v/>
      </c>
      <c r="D53" s="25" t="str">
        <f>IF($S$4=0,IF($K53="","",$K53),IFERROR(IF([1]筐子进出接口!$D$52=0,"",[1]筐子进出接口!$D$52),""))</f>
        <v/>
      </c>
      <c r="E53" s="25" t="str">
        <f>IF($S$4=0,IF($L53="","",$L53),IFERROR(IF([1]筐子进出接口!$E$52=0,"",[1]筐子进出接口!$E$52),""))</f>
        <v/>
      </c>
      <c r="F53" s="25" t="str">
        <f>IF($S$4=0,IF($M53="","",$M53),IFERROR(IF([1]筐子进出接口!$F$52=0,"",[1]筐子进出接口!$F$52),""))</f>
        <v/>
      </c>
      <c r="G53" s="25" t="str">
        <f>IF($S$4=0,IF($N53="","",$N53),IFERROR(IF([1]筐子进出接口!$G$52=0,"",[1]筐子进出接口!$G$52),""))</f>
        <v/>
      </c>
      <c r="H53" s="25" t="str">
        <f t="shared" si="0"/>
        <v/>
      </c>
      <c r="I53" s="27"/>
      <c r="J53" s="27"/>
      <c r="K53" s="104"/>
      <c r="L53" s="104"/>
      <c r="M53" s="104"/>
      <c r="N53" s="104"/>
      <c r="O53" s="105">
        <f t="shared" si="1"/>
        <v>0</v>
      </c>
      <c r="P53" s="105">
        <f t="shared" si="2"/>
        <v>22</v>
      </c>
    </row>
    <row r="54" spans="1:16">
      <c r="A54" s="103">
        <v>53</v>
      </c>
      <c r="B54" s="37" t="str">
        <f>IF($S$4=0,IF($I54="","",$I54),IFERROR(IF([1]筐子进出接口!$B$53=0,"",[1]筐子进出接口!$B$53),""))</f>
        <v/>
      </c>
      <c r="C54" s="37" t="str">
        <f>IF($S$4=0,IF($J54="","",$J54),IFERROR(IF([1]筐子进出接口!$C$53=0,"",[1]筐子进出接口!$C$53),""))</f>
        <v/>
      </c>
      <c r="D54" s="25" t="str">
        <f>IF($S$4=0,IF($K54="","",$K54),IFERROR(IF([1]筐子进出接口!$D$53=0,"",[1]筐子进出接口!$D$53),""))</f>
        <v/>
      </c>
      <c r="E54" s="25" t="str">
        <f>IF($S$4=0,IF($L54="","",$L54),IFERROR(IF([1]筐子进出接口!$E$53=0,"",[1]筐子进出接口!$E$53),""))</f>
        <v/>
      </c>
      <c r="F54" s="25" t="str">
        <f>IF($S$4=0,IF($M54="","",$M54),IFERROR(IF([1]筐子进出接口!$F$53=0,"",[1]筐子进出接口!$F$53),""))</f>
        <v/>
      </c>
      <c r="G54" s="25" t="str">
        <f>IF($S$4=0,IF($N54="","",$N54),IFERROR(IF([1]筐子进出接口!$G$53=0,"",[1]筐子进出接口!$G$53),""))</f>
        <v/>
      </c>
      <c r="H54" s="25" t="str">
        <f t="shared" si="0"/>
        <v/>
      </c>
      <c r="I54" s="27"/>
      <c r="J54" s="27"/>
      <c r="K54" s="104"/>
      <c r="L54" s="104"/>
      <c r="M54" s="104"/>
      <c r="N54" s="104"/>
      <c r="O54" s="105">
        <f t="shared" si="1"/>
        <v>0</v>
      </c>
      <c r="P54" s="105">
        <f t="shared" si="2"/>
        <v>22</v>
      </c>
    </row>
    <row r="55" spans="1:16">
      <c r="A55" s="103">
        <v>54</v>
      </c>
      <c r="B55" s="37" t="str">
        <f>IF($S$4=0,IF($I55="","",$I55),IFERROR(IF([1]筐子进出接口!$B$54=0,"",[1]筐子进出接口!$B$54),""))</f>
        <v/>
      </c>
      <c r="C55" s="37" t="str">
        <f>IF($S$4=0,IF($J55="","",$J55),IFERROR(IF([1]筐子进出接口!$C$54=0,"",[1]筐子进出接口!$C$54),""))</f>
        <v/>
      </c>
      <c r="D55" s="25" t="str">
        <f>IF($S$4=0,IF($K55="","",$K55),IFERROR(IF([1]筐子进出接口!$D$54=0,"",[1]筐子进出接口!$D$54),""))</f>
        <v/>
      </c>
      <c r="E55" s="25" t="str">
        <f>IF($S$4=0,IF($L55="","",$L55),IFERROR(IF([1]筐子进出接口!$E$54=0,"",[1]筐子进出接口!$E$54),""))</f>
        <v/>
      </c>
      <c r="F55" s="25" t="str">
        <f>IF($S$4=0,IF($M55="","",$M55),IFERROR(IF([1]筐子进出接口!$F$54=0,"",[1]筐子进出接口!$F$54),""))</f>
        <v/>
      </c>
      <c r="G55" s="25" t="str">
        <f>IF($S$4=0,IF($N55="","",$N55),IFERROR(IF([1]筐子进出接口!$G$54=0,"",[1]筐子进出接口!$G$54),""))</f>
        <v/>
      </c>
      <c r="H55" s="25" t="str">
        <f t="shared" si="0"/>
        <v/>
      </c>
      <c r="I55" s="27"/>
      <c r="J55" s="27"/>
      <c r="K55" s="104"/>
      <c r="L55" s="104"/>
      <c r="M55" s="104"/>
      <c r="N55" s="104"/>
      <c r="O55" s="105">
        <f t="shared" si="1"/>
        <v>0</v>
      </c>
      <c r="P55" s="105">
        <f t="shared" si="2"/>
        <v>22</v>
      </c>
    </row>
    <row r="56" spans="1:16">
      <c r="A56" s="103">
        <v>55</v>
      </c>
      <c r="B56" s="37" t="str">
        <f>IF($S$4=0,IF($I56="","",$I56),IFERROR(IF([1]筐子进出接口!$B$55=0,"",[1]筐子进出接口!$B$55),""))</f>
        <v/>
      </c>
      <c r="C56" s="37" t="str">
        <f>IF($S$4=0,IF($J56="","",$J56),IFERROR(IF([1]筐子进出接口!$C$55=0,"",[1]筐子进出接口!$C$55),""))</f>
        <v/>
      </c>
      <c r="D56" s="25" t="str">
        <f>IF($S$4=0,IF($K56="","",$K56),IFERROR(IF([1]筐子进出接口!$D$55=0,"",[1]筐子进出接口!$D$55),""))</f>
        <v/>
      </c>
      <c r="E56" s="25" t="str">
        <f>IF($S$4=0,IF($L56="","",$L56),IFERROR(IF([1]筐子进出接口!$E$55=0,"",[1]筐子进出接口!$E$55),""))</f>
        <v/>
      </c>
      <c r="F56" s="25" t="str">
        <f>IF($S$4=0,IF($M56="","",$M56),IFERROR(IF([1]筐子进出接口!$F$55=0,"",[1]筐子进出接口!$F$55),""))</f>
        <v/>
      </c>
      <c r="G56" s="25" t="str">
        <f>IF($S$4=0,IF($N56="","",$N56),IFERROR(IF([1]筐子进出接口!$G$55=0,"",[1]筐子进出接口!$G$55),""))</f>
        <v/>
      </c>
      <c r="H56" s="25" t="str">
        <f t="shared" si="0"/>
        <v/>
      </c>
      <c r="I56" s="27"/>
      <c r="J56" s="27"/>
      <c r="K56" s="104"/>
      <c r="L56" s="104"/>
      <c r="M56" s="104"/>
      <c r="N56" s="104"/>
      <c r="O56" s="105">
        <f t="shared" si="1"/>
        <v>0</v>
      </c>
      <c r="P56" s="105">
        <f t="shared" si="2"/>
        <v>22</v>
      </c>
    </row>
    <row r="57" spans="1:16">
      <c r="A57" s="103">
        <v>56</v>
      </c>
      <c r="B57" s="37" t="str">
        <f>IF($S$4=0,IF($I57="","",$I57),IFERROR(IF([1]筐子进出接口!$B$56=0,"",[1]筐子进出接口!$B$56),""))</f>
        <v/>
      </c>
      <c r="C57" s="37" t="str">
        <f>IF($S$4=0,IF($J57="","",$J57),IFERROR(IF([1]筐子进出接口!$C$56=0,"",[1]筐子进出接口!$C$56),""))</f>
        <v/>
      </c>
      <c r="D57" s="25" t="str">
        <f>IF($S$4=0,IF($K57="","",$K57),IFERROR(IF([1]筐子进出接口!$D$56=0,"",[1]筐子进出接口!$D$56),""))</f>
        <v/>
      </c>
      <c r="E57" s="25" t="str">
        <f>IF($S$4=0,IF($L57="","",$L57),IFERROR(IF([1]筐子进出接口!$E$56=0,"",[1]筐子进出接口!$E$56),""))</f>
        <v/>
      </c>
      <c r="F57" s="25" t="str">
        <f>IF($S$4=0,IF($M57="","",$M57),IFERROR(IF([1]筐子进出接口!$F$56=0,"",[1]筐子进出接口!$F$56),""))</f>
        <v/>
      </c>
      <c r="G57" s="25" t="str">
        <f>IF($S$4=0,IF($N57="","",$N57),IFERROR(IF([1]筐子进出接口!$G$56=0,"",[1]筐子进出接口!$G$56),""))</f>
        <v/>
      </c>
      <c r="H57" s="25" t="str">
        <f t="shared" si="0"/>
        <v/>
      </c>
      <c r="I57" s="27"/>
      <c r="J57" s="27"/>
      <c r="K57" s="104"/>
      <c r="L57" s="104"/>
      <c r="M57" s="104"/>
      <c r="N57" s="104"/>
      <c r="O57" s="105">
        <f t="shared" si="1"/>
        <v>0</v>
      </c>
      <c r="P57" s="105">
        <f t="shared" si="2"/>
        <v>22</v>
      </c>
    </row>
    <row r="58" spans="1:16">
      <c r="A58" s="103">
        <v>57</v>
      </c>
      <c r="B58" s="37" t="str">
        <f>IF($S$4=0,IF($I58="","",$I58),IFERROR(IF([1]筐子进出接口!$B$57=0,"",[1]筐子进出接口!$B$57),""))</f>
        <v/>
      </c>
      <c r="C58" s="37" t="str">
        <f>IF($S$4=0,IF($J58="","",$J58),IFERROR(IF([1]筐子进出接口!$C$57=0,"",[1]筐子进出接口!$C$57),""))</f>
        <v/>
      </c>
      <c r="D58" s="25" t="str">
        <f>IF($S$4=0,IF($K58="","",$K58),IFERROR(IF([1]筐子进出接口!$D$57=0,"",[1]筐子进出接口!$D$57),""))</f>
        <v/>
      </c>
      <c r="E58" s="25" t="str">
        <f>IF($S$4=0,IF($L58="","",$L58),IFERROR(IF([1]筐子进出接口!$E$57=0,"",[1]筐子进出接口!$E$57),""))</f>
        <v/>
      </c>
      <c r="F58" s="25" t="str">
        <f>IF($S$4=0,IF($M58="","",$M58),IFERROR(IF([1]筐子进出接口!$F$57=0,"",[1]筐子进出接口!$F$57),""))</f>
        <v/>
      </c>
      <c r="G58" s="25" t="str">
        <f>IF($S$4=0,IF($N58="","",$N58),IFERROR(IF([1]筐子进出接口!$G$57=0,"",[1]筐子进出接口!$G$57),""))</f>
        <v/>
      </c>
      <c r="H58" s="25" t="str">
        <f t="shared" si="0"/>
        <v/>
      </c>
      <c r="I58" s="27"/>
      <c r="J58" s="27"/>
      <c r="K58" s="104"/>
      <c r="L58" s="104"/>
      <c r="M58" s="104"/>
      <c r="N58" s="104"/>
      <c r="O58" s="105">
        <f t="shared" si="1"/>
        <v>0</v>
      </c>
      <c r="P58" s="105">
        <f t="shared" si="2"/>
        <v>22</v>
      </c>
    </row>
    <row r="59" spans="1:16">
      <c r="A59" s="103">
        <v>58</v>
      </c>
      <c r="B59" s="37" t="str">
        <f>IF($S$4=0,IF($I59="","",$I59),IFERROR(IF([1]筐子进出接口!$B$58=0,"",[1]筐子进出接口!$B$58),""))</f>
        <v/>
      </c>
      <c r="C59" s="37" t="str">
        <f>IF($S$4=0,IF($J59="","",$J59),IFERROR(IF([1]筐子进出接口!$C$58=0,"",[1]筐子进出接口!$C$58),""))</f>
        <v/>
      </c>
      <c r="D59" s="25" t="str">
        <f>IF($S$4=0,IF($K59="","",$K59),IFERROR(IF([1]筐子进出接口!$D$58=0,"",[1]筐子进出接口!$D$58),""))</f>
        <v/>
      </c>
      <c r="E59" s="25" t="str">
        <f>IF($S$4=0,IF($L59="","",$L59),IFERROR(IF([1]筐子进出接口!$E$58=0,"",[1]筐子进出接口!$E$58),""))</f>
        <v/>
      </c>
      <c r="F59" s="25" t="str">
        <f>IF($S$4=0,IF($M59="","",$M59),IFERROR(IF([1]筐子进出接口!$F$58=0,"",[1]筐子进出接口!$F$58),""))</f>
        <v/>
      </c>
      <c r="G59" s="25" t="str">
        <f>IF($S$4=0,IF($N59="","",$N59),IFERROR(IF([1]筐子进出接口!$G$58=0,"",[1]筐子进出接口!$G$58),""))</f>
        <v/>
      </c>
      <c r="H59" s="25" t="str">
        <f t="shared" si="0"/>
        <v/>
      </c>
      <c r="I59" s="27"/>
      <c r="J59" s="27"/>
      <c r="K59" s="104"/>
      <c r="L59" s="104"/>
      <c r="M59" s="104"/>
      <c r="N59" s="104"/>
      <c r="O59" s="105">
        <f t="shared" si="1"/>
        <v>0</v>
      </c>
      <c r="P59" s="105">
        <f t="shared" si="2"/>
        <v>22</v>
      </c>
    </row>
    <row r="60" spans="1:16">
      <c r="A60" s="103">
        <v>59</v>
      </c>
      <c r="B60" s="37" t="str">
        <f>IF($S$4=0,IF($I60="","",$I60),IFERROR(IF([1]筐子进出接口!$B$59=0,"",[1]筐子进出接口!$B$59),""))</f>
        <v/>
      </c>
      <c r="C60" s="37" t="str">
        <f>IF($S$4=0,IF($J60="","",$J60),IFERROR(IF([1]筐子进出接口!$C$59=0,"",[1]筐子进出接口!$C$59),""))</f>
        <v/>
      </c>
      <c r="D60" s="25" t="str">
        <f>IF($S$4=0,IF($K60="","",$K60),IFERROR(IF([1]筐子进出接口!$D$59=0,"",[1]筐子进出接口!$D$59),""))</f>
        <v/>
      </c>
      <c r="E60" s="25" t="str">
        <f>IF($S$4=0,IF($L60="","",$L60),IFERROR(IF([1]筐子进出接口!$E$59=0,"",[1]筐子进出接口!$E$59),""))</f>
        <v/>
      </c>
      <c r="F60" s="25" t="str">
        <f>IF($S$4=0,IF($M60="","",$M60),IFERROR(IF([1]筐子进出接口!$F$59=0,"",[1]筐子进出接口!$F$59),""))</f>
        <v/>
      </c>
      <c r="G60" s="25" t="str">
        <f>IF($S$4=0,IF($N60="","",$N60),IFERROR(IF([1]筐子进出接口!$G$59=0,"",[1]筐子进出接口!$G$59),""))</f>
        <v/>
      </c>
      <c r="H60" s="25" t="str">
        <f t="shared" si="0"/>
        <v/>
      </c>
      <c r="I60" s="27"/>
      <c r="J60" s="27"/>
      <c r="K60" s="104"/>
      <c r="L60" s="104"/>
      <c r="M60" s="104"/>
      <c r="N60" s="104"/>
      <c r="O60" s="105">
        <f t="shared" si="1"/>
        <v>0</v>
      </c>
      <c r="P60" s="105">
        <f t="shared" si="2"/>
        <v>22</v>
      </c>
    </row>
    <row r="61" spans="1:16">
      <c r="A61" s="103">
        <v>60</v>
      </c>
      <c r="B61" s="37" t="str">
        <f>IF($S$4=0,IF($I61="","",$I61),IFERROR(IF([1]筐子进出接口!$B$60=0,"",[1]筐子进出接口!$B$60),""))</f>
        <v/>
      </c>
      <c r="C61" s="37" t="str">
        <f>IF($S$4=0,IF($J61="","",$J61),IFERROR(IF([1]筐子进出接口!$C$60=0,"",[1]筐子进出接口!$C$60),""))</f>
        <v/>
      </c>
      <c r="D61" s="25" t="str">
        <f>IF($S$4=0,IF($K61="","",$K61),IFERROR(IF([1]筐子进出接口!$D$60=0,"",[1]筐子进出接口!$D$60),""))</f>
        <v/>
      </c>
      <c r="E61" s="25" t="str">
        <f>IF($S$4=0,IF($L61="","",$L61),IFERROR(IF([1]筐子进出接口!$E$60=0,"",[1]筐子进出接口!$E$60),""))</f>
        <v/>
      </c>
      <c r="F61" s="25" t="str">
        <f>IF($S$4=0,IF($M61="","",$M61),IFERROR(IF([1]筐子进出接口!$F$60=0,"",[1]筐子进出接口!$F$60),""))</f>
        <v/>
      </c>
      <c r="G61" s="25" t="str">
        <f>IF($S$4=0,IF($N61="","",$N61),IFERROR(IF([1]筐子进出接口!$G$60=0,"",[1]筐子进出接口!$G$60),""))</f>
        <v/>
      </c>
      <c r="H61" s="25" t="str">
        <f t="shared" si="0"/>
        <v/>
      </c>
      <c r="I61" s="27"/>
      <c r="J61" s="27"/>
      <c r="K61" s="104"/>
      <c r="L61" s="104"/>
      <c r="M61" s="104"/>
      <c r="N61" s="104"/>
      <c r="O61" s="105">
        <f t="shared" si="1"/>
        <v>0</v>
      </c>
      <c r="P61" s="105">
        <f t="shared" si="2"/>
        <v>22</v>
      </c>
    </row>
    <row r="62" spans="1:16">
      <c r="A62" s="103">
        <v>61</v>
      </c>
      <c r="B62" s="37" t="str">
        <f>IF($S$4=0,IF($I62="","",$I62),IFERROR(IF([1]筐子进出接口!$B$61=0,"",[1]筐子进出接口!$B$61),""))</f>
        <v/>
      </c>
      <c r="C62" s="37" t="str">
        <f>IF($S$4=0,IF($J62="","",$J62),IFERROR(IF([1]筐子进出接口!$C$61=0,"",[1]筐子进出接口!$C$61),""))</f>
        <v/>
      </c>
      <c r="D62" s="25" t="str">
        <f>IF($S$4=0,IF($K62="","",$K62),IFERROR(IF([1]筐子进出接口!$D$61=0,"",[1]筐子进出接口!$D$61),""))</f>
        <v/>
      </c>
      <c r="E62" s="25" t="str">
        <f>IF($S$4=0,IF($L62="","",$L62),IFERROR(IF([1]筐子进出接口!$E$61=0,"",[1]筐子进出接口!$E$61),""))</f>
        <v/>
      </c>
      <c r="F62" s="25" t="str">
        <f>IF($S$4=0,IF($M62="","",$M62),IFERROR(IF([1]筐子进出接口!$F$61=0,"",[1]筐子进出接口!$F$61),""))</f>
        <v/>
      </c>
      <c r="G62" s="25" t="str">
        <f>IF($S$4=0,IF($N62="","",$N62),IFERROR(IF([1]筐子进出接口!$G$61=0,"",[1]筐子进出接口!$G$61),""))</f>
        <v/>
      </c>
      <c r="H62" s="25" t="str">
        <f t="shared" si="0"/>
        <v/>
      </c>
      <c r="I62" s="27"/>
      <c r="J62" s="27"/>
      <c r="K62" s="104"/>
      <c r="L62" s="104"/>
      <c r="M62" s="104"/>
      <c r="N62" s="104"/>
      <c r="O62" s="105">
        <f t="shared" si="1"/>
        <v>0</v>
      </c>
      <c r="P62" s="105">
        <f t="shared" si="2"/>
        <v>22</v>
      </c>
    </row>
    <row r="63" spans="1:16">
      <c r="A63" s="103">
        <v>62</v>
      </c>
      <c r="B63" s="37" t="str">
        <f>IF($S$4=0,IF($I63="","",$I63),IFERROR(IF([1]筐子进出接口!$B$62=0,"",[1]筐子进出接口!$B$62),""))</f>
        <v/>
      </c>
      <c r="C63" s="37" t="str">
        <f>IF($S$4=0,IF($J63="","",$J63),IFERROR(IF([1]筐子进出接口!$C$62=0,"",[1]筐子进出接口!$C$62),""))</f>
        <v/>
      </c>
      <c r="D63" s="25" t="str">
        <f>IF($S$4=0,IF($K63="","",$K63),IFERROR(IF([1]筐子进出接口!$D$62=0,"",[1]筐子进出接口!$D$62),""))</f>
        <v/>
      </c>
      <c r="E63" s="25" t="str">
        <f>IF($S$4=0,IF($L63="","",$L63),IFERROR(IF([1]筐子进出接口!$E$62=0,"",[1]筐子进出接口!$E$62),""))</f>
        <v/>
      </c>
      <c r="F63" s="25" t="str">
        <f>IF($S$4=0,IF($M63="","",$M63),IFERROR(IF([1]筐子进出接口!$F$62=0,"",[1]筐子进出接口!$F$62),""))</f>
        <v/>
      </c>
      <c r="G63" s="25" t="str">
        <f>IF($S$4=0,IF($N63="","",$N63),IFERROR(IF([1]筐子进出接口!$G$62=0,"",[1]筐子进出接口!$G$62),""))</f>
        <v/>
      </c>
      <c r="H63" s="25" t="str">
        <f t="shared" si="0"/>
        <v/>
      </c>
      <c r="I63" s="27"/>
      <c r="J63" s="27"/>
      <c r="K63" s="104"/>
      <c r="L63" s="104"/>
      <c r="M63" s="104"/>
      <c r="N63" s="104"/>
      <c r="O63" s="105">
        <f t="shared" si="1"/>
        <v>0</v>
      </c>
      <c r="P63" s="105">
        <f t="shared" si="2"/>
        <v>22</v>
      </c>
    </row>
    <row r="64" spans="1:16">
      <c r="A64" s="103">
        <v>63</v>
      </c>
      <c r="B64" s="37" t="str">
        <f>IF($S$4=0,IF($I64="","",$I64),IFERROR(IF([1]筐子进出接口!$B$63=0,"",[1]筐子进出接口!$B$63),""))</f>
        <v/>
      </c>
      <c r="C64" s="37" t="str">
        <f>IF($S$4=0,IF($J64="","",$J64),IFERROR(IF([1]筐子进出接口!$C$63=0,"",[1]筐子进出接口!$C$63),""))</f>
        <v/>
      </c>
      <c r="D64" s="25" t="str">
        <f>IF($S$4=0,IF($K64="","",$K64),IFERROR(IF([1]筐子进出接口!$D$63=0,"",[1]筐子进出接口!$D$63),""))</f>
        <v/>
      </c>
      <c r="E64" s="25" t="str">
        <f>IF($S$4=0,IF($L64="","",$L64),IFERROR(IF([1]筐子进出接口!$E$63=0,"",[1]筐子进出接口!$E$63),""))</f>
        <v/>
      </c>
      <c r="F64" s="25" t="str">
        <f>IF($S$4=0,IF($M64="","",$M64),IFERROR(IF([1]筐子进出接口!$F$63=0,"",[1]筐子进出接口!$F$63),""))</f>
        <v/>
      </c>
      <c r="G64" s="25" t="str">
        <f>IF($S$4=0,IF($N64="","",$N64),IFERROR(IF([1]筐子进出接口!$G$63=0,"",[1]筐子进出接口!$G$63),""))</f>
        <v/>
      </c>
      <c r="H64" s="25" t="str">
        <f t="shared" si="0"/>
        <v/>
      </c>
      <c r="I64" s="27"/>
      <c r="J64" s="27"/>
      <c r="K64" s="104"/>
      <c r="L64" s="104"/>
      <c r="M64" s="104"/>
      <c r="N64" s="104"/>
      <c r="O64" s="105">
        <f t="shared" si="1"/>
        <v>0</v>
      </c>
      <c r="P64" s="105">
        <f t="shared" si="2"/>
        <v>22</v>
      </c>
    </row>
    <row r="65" spans="1:16">
      <c r="A65" s="103">
        <v>64</v>
      </c>
      <c r="B65" s="37" t="str">
        <f>IF($S$4=0,IF($I65="","",$I65),IFERROR(IF([1]筐子进出接口!$B$64=0,"",[1]筐子进出接口!$B$64),""))</f>
        <v/>
      </c>
      <c r="C65" s="37" t="str">
        <f>IF($S$4=0,IF($J65="","",$J65),IFERROR(IF([1]筐子进出接口!$C$64=0,"",[1]筐子进出接口!$C$64),""))</f>
        <v/>
      </c>
      <c r="D65" s="25" t="str">
        <f>IF($S$4=0,IF($K65="","",$K65),IFERROR(IF([1]筐子进出接口!$D$64=0,"",[1]筐子进出接口!$D$64),""))</f>
        <v/>
      </c>
      <c r="E65" s="25" t="str">
        <f>IF($S$4=0,IF($L65="","",$L65),IFERROR(IF([1]筐子进出接口!$E$64=0,"",[1]筐子进出接口!$E$64),""))</f>
        <v/>
      </c>
      <c r="F65" s="25" t="str">
        <f>IF($S$4=0,IF($M65="","",$M65),IFERROR(IF([1]筐子进出接口!$F$64=0,"",[1]筐子进出接口!$F$64),""))</f>
        <v/>
      </c>
      <c r="G65" s="25" t="str">
        <f>IF($S$4=0,IF($N65="","",$N65),IFERROR(IF([1]筐子进出接口!$G$64=0,"",[1]筐子进出接口!$G$64),""))</f>
        <v/>
      </c>
      <c r="H65" s="25" t="str">
        <f t="shared" si="0"/>
        <v/>
      </c>
      <c r="I65" s="27"/>
      <c r="J65" s="27"/>
      <c r="K65" s="104"/>
      <c r="L65" s="104"/>
      <c r="M65" s="104"/>
      <c r="N65" s="104"/>
      <c r="O65" s="105">
        <f t="shared" si="1"/>
        <v>0</v>
      </c>
      <c r="P65" s="105">
        <f t="shared" si="2"/>
        <v>22</v>
      </c>
    </row>
    <row r="66" spans="1:16">
      <c r="A66" s="103">
        <v>65</v>
      </c>
      <c r="B66" s="37" t="str">
        <f>IF($S$4=0,IF($I66="","",$I66),IFERROR(IF([1]筐子进出接口!$B$65=0,"",[1]筐子进出接口!$B$65),""))</f>
        <v/>
      </c>
      <c r="C66" s="37" t="str">
        <f>IF($S$4=0,IF($J66="","",$J66),IFERROR(IF([1]筐子进出接口!$C$65=0,"",[1]筐子进出接口!$C$65),""))</f>
        <v/>
      </c>
      <c r="D66" s="25" t="str">
        <f>IF($S$4=0,IF($K66="","",$K66),IFERROR(IF([1]筐子进出接口!$D$65=0,"",[1]筐子进出接口!$D$65),""))</f>
        <v/>
      </c>
      <c r="E66" s="25" t="str">
        <f>IF($S$4=0,IF($L66="","",$L66),IFERROR(IF([1]筐子进出接口!$E$65=0,"",[1]筐子进出接口!$E$65),""))</f>
        <v/>
      </c>
      <c r="F66" s="25" t="str">
        <f>IF($S$4=0,IF($M66="","",$M66),IFERROR(IF([1]筐子进出接口!$F$65=0,"",[1]筐子进出接口!$F$65),""))</f>
        <v/>
      </c>
      <c r="G66" s="25" t="str">
        <f>IF($S$4=0,IF($N66="","",$N66),IFERROR(IF([1]筐子进出接口!$G$65=0,"",[1]筐子进出接口!$G$65),""))</f>
        <v/>
      </c>
      <c r="H66" s="25" t="str">
        <f t="shared" si="0"/>
        <v/>
      </c>
      <c r="I66" s="27"/>
      <c r="J66" s="27"/>
      <c r="K66" s="104"/>
      <c r="L66" s="104"/>
      <c r="M66" s="104"/>
      <c r="N66" s="104"/>
      <c r="O66" s="105">
        <f t="shared" si="1"/>
        <v>0</v>
      </c>
      <c r="P66" s="105">
        <f t="shared" si="2"/>
        <v>22</v>
      </c>
    </row>
    <row r="67" spans="1:16">
      <c r="A67" s="103">
        <v>66</v>
      </c>
      <c r="B67" s="37" t="str">
        <f>IF($S$4=0,IF($I67="","",$I67),IFERROR(IF([1]筐子进出接口!$B$66=0,"",[1]筐子进出接口!$B$66),""))</f>
        <v/>
      </c>
      <c r="C67" s="37" t="str">
        <f>IF($S$4=0,IF($J67="","",$J67),IFERROR(IF([1]筐子进出接口!$C$66=0,"",[1]筐子进出接口!$C$66),""))</f>
        <v/>
      </c>
      <c r="D67" s="25" t="str">
        <f>IF($S$4=0,IF($K67="","",$K67),IFERROR(IF([1]筐子进出接口!$D$66=0,"",[1]筐子进出接口!$D$66),""))</f>
        <v/>
      </c>
      <c r="E67" s="25" t="str">
        <f>IF($S$4=0,IF($L67="","",$L67),IFERROR(IF([1]筐子进出接口!$E$66=0,"",[1]筐子进出接口!$E$66),""))</f>
        <v/>
      </c>
      <c r="F67" s="25" t="str">
        <f>IF($S$4=0,IF($M67="","",$M67),IFERROR(IF([1]筐子进出接口!$F$66=0,"",[1]筐子进出接口!$F$66),""))</f>
        <v/>
      </c>
      <c r="G67" s="25" t="str">
        <f>IF($S$4=0,IF($N67="","",$N67),IFERROR(IF([1]筐子进出接口!$G$66=0,"",[1]筐子进出接口!$G$66),""))</f>
        <v/>
      </c>
      <c r="H67" s="25" t="str">
        <f t="shared" si="0"/>
        <v/>
      </c>
      <c r="I67" s="27"/>
      <c r="J67" s="27"/>
      <c r="K67" s="104"/>
      <c r="L67" s="104"/>
      <c r="M67" s="104"/>
      <c r="N67" s="104"/>
      <c r="O67" s="105">
        <f t="shared" si="1"/>
        <v>0</v>
      </c>
      <c r="P67" s="105">
        <f t="shared" si="2"/>
        <v>22</v>
      </c>
    </row>
    <row r="68" spans="1:16">
      <c r="A68" s="103">
        <v>67</v>
      </c>
      <c r="B68" s="37" t="str">
        <f>IF($S$4=0,IF($I68="","",$I68),IFERROR(IF([1]筐子进出接口!$B$67=0,"",[1]筐子进出接口!$B$67),""))</f>
        <v/>
      </c>
      <c r="C68" s="37" t="str">
        <f>IF($S$4=0,IF($J68="","",$J68),IFERROR(IF([1]筐子进出接口!$C$67=0,"",[1]筐子进出接口!$C$67),""))</f>
        <v/>
      </c>
      <c r="D68" s="25" t="str">
        <f>IF($S$4=0,IF($K68="","",$K68),IFERROR(IF([1]筐子进出接口!$D$67=0,"",[1]筐子进出接口!$D$67),""))</f>
        <v/>
      </c>
      <c r="E68" s="25" t="str">
        <f>IF($S$4=0,IF($L68="","",$L68),IFERROR(IF([1]筐子进出接口!$E$67=0,"",[1]筐子进出接口!$E$67),""))</f>
        <v/>
      </c>
      <c r="F68" s="25" t="str">
        <f>IF($S$4=0,IF($M68="","",$M68),IFERROR(IF([1]筐子进出接口!$F$67=0,"",[1]筐子进出接口!$F$67),""))</f>
        <v/>
      </c>
      <c r="G68" s="25" t="str">
        <f>IF($S$4=0,IF($N68="","",$N68),IFERROR(IF([1]筐子进出接口!$G$67=0,"",[1]筐子进出接口!$G$67),""))</f>
        <v/>
      </c>
      <c r="H68" s="25" t="str">
        <f t="shared" si="0"/>
        <v/>
      </c>
      <c r="I68" s="27"/>
      <c r="J68" s="27"/>
      <c r="K68" s="104"/>
      <c r="L68" s="104"/>
      <c r="M68" s="104"/>
      <c r="N68" s="104"/>
      <c r="O68" s="105">
        <f t="shared" si="1"/>
        <v>0</v>
      </c>
      <c r="P68" s="105">
        <f t="shared" si="2"/>
        <v>22</v>
      </c>
    </row>
    <row r="69" spans="1:16">
      <c r="A69" s="103">
        <v>68</v>
      </c>
      <c r="B69" s="37" t="str">
        <f>IF($S$4=0,IF($I69="","",$I69),IFERROR(IF([1]筐子进出接口!$B$68=0,"",[1]筐子进出接口!$B$68),""))</f>
        <v/>
      </c>
      <c r="C69" s="37" t="str">
        <f>IF($S$4=0,IF($J69="","",$J69),IFERROR(IF([1]筐子进出接口!$C$68=0,"",[1]筐子进出接口!$C$68),""))</f>
        <v/>
      </c>
      <c r="D69" s="25" t="str">
        <f>IF($S$4=0,IF($K69="","",$K69),IFERROR(IF([1]筐子进出接口!$D$68=0,"",[1]筐子进出接口!$D$68),""))</f>
        <v/>
      </c>
      <c r="E69" s="25" t="str">
        <f>IF($S$4=0,IF($L69="","",$L69),IFERROR(IF([1]筐子进出接口!$E$68=0,"",[1]筐子进出接口!$E$68),""))</f>
        <v/>
      </c>
      <c r="F69" s="25" t="str">
        <f>IF($S$4=0,IF($M69="","",$M69),IFERROR(IF([1]筐子进出接口!$F$68=0,"",[1]筐子进出接口!$F$68),""))</f>
        <v/>
      </c>
      <c r="G69" s="25" t="str">
        <f>IF($S$4=0,IF($N69="","",$N69),IFERROR(IF([1]筐子进出接口!$G$68=0,"",[1]筐子进出接口!$G$68),""))</f>
        <v/>
      </c>
      <c r="H69" s="25" t="str">
        <f t="shared" ref="H69:H132" si="3">IF($B69="","",N($D69))</f>
        <v/>
      </c>
      <c r="I69" s="27"/>
      <c r="J69" s="27"/>
      <c r="K69" s="104"/>
      <c r="L69" s="104"/>
      <c r="M69" s="104"/>
      <c r="N69" s="104"/>
      <c r="O69" s="105">
        <f t="shared" ref="O69:O132" si="4">IF(AND($B69&lt;&gt;"",$C69&lt;&gt;""),1,0)</f>
        <v>0</v>
      </c>
      <c r="P69" s="105">
        <f t="shared" ref="P69:P132" si="5">N(P68)+$O69</f>
        <v>22</v>
      </c>
    </row>
    <row r="70" spans="1:16">
      <c r="A70" s="103">
        <v>69</v>
      </c>
      <c r="B70" s="37" t="str">
        <f>IF($S$4=0,IF($I70="","",$I70),IFERROR(IF([1]筐子进出接口!$B$69=0,"",[1]筐子进出接口!$B$69),""))</f>
        <v/>
      </c>
      <c r="C70" s="37" t="str">
        <f>IF($S$4=0,IF($J70="","",$J70),IFERROR(IF([1]筐子进出接口!$C$69=0,"",[1]筐子进出接口!$C$69),""))</f>
        <v/>
      </c>
      <c r="D70" s="25" t="str">
        <f>IF($S$4=0,IF($K70="","",$K70),IFERROR(IF([1]筐子进出接口!$D$69=0,"",[1]筐子进出接口!$D$69),""))</f>
        <v/>
      </c>
      <c r="E70" s="25" t="str">
        <f>IF($S$4=0,IF($L70="","",$L70),IFERROR(IF([1]筐子进出接口!$E$69=0,"",[1]筐子进出接口!$E$69),""))</f>
        <v/>
      </c>
      <c r="F70" s="25" t="str">
        <f>IF($S$4=0,IF($M70="","",$M70),IFERROR(IF([1]筐子进出接口!$F$69=0,"",[1]筐子进出接口!$F$69),""))</f>
        <v/>
      </c>
      <c r="G70" s="25" t="str">
        <f>IF($S$4=0,IF($N70="","",$N70),IFERROR(IF([1]筐子进出接口!$G$69=0,"",[1]筐子进出接口!$G$69),""))</f>
        <v/>
      </c>
      <c r="H70" s="25" t="str">
        <f t="shared" si="3"/>
        <v/>
      </c>
      <c r="I70" s="27"/>
      <c r="J70" s="27"/>
      <c r="K70" s="104"/>
      <c r="L70" s="104"/>
      <c r="M70" s="104"/>
      <c r="N70" s="104"/>
      <c r="O70" s="105">
        <f t="shared" si="4"/>
        <v>0</v>
      </c>
      <c r="P70" s="105">
        <f t="shared" si="5"/>
        <v>22</v>
      </c>
    </row>
    <row r="71" spans="1:16">
      <c r="A71" s="103">
        <v>70</v>
      </c>
      <c r="B71" s="37" t="str">
        <f>IF($S$4=0,IF($I71="","",$I71),IFERROR(IF([1]筐子进出接口!$B$70=0,"",[1]筐子进出接口!$B$70),""))</f>
        <v/>
      </c>
      <c r="C71" s="37" t="str">
        <f>IF($S$4=0,IF($J71="","",$J71),IFERROR(IF([1]筐子进出接口!$C$70=0,"",[1]筐子进出接口!$C$70),""))</f>
        <v/>
      </c>
      <c r="D71" s="25" t="str">
        <f>IF($S$4=0,IF($K71="","",$K71),IFERROR(IF([1]筐子进出接口!$D$70=0,"",[1]筐子进出接口!$D$70),""))</f>
        <v/>
      </c>
      <c r="E71" s="25" t="str">
        <f>IF($S$4=0,IF($L71="","",$L71),IFERROR(IF([1]筐子进出接口!$E$70=0,"",[1]筐子进出接口!$E$70),""))</f>
        <v/>
      </c>
      <c r="F71" s="25" t="str">
        <f>IF($S$4=0,IF($M71="","",$M71),IFERROR(IF([1]筐子进出接口!$F$70=0,"",[1]筐子进出接口!$F$70),""))</f>
        <v/>
      </c>
      <c r="G71" s="25" t="str">
        <f>IF($S$4=0,IF($N71="","",$N71),IFERROR(IF([1]筐子进出接口!$G$70=0,"",[1]筐子进出接口!$G$70),""))</f>
        <v/>
      </c>
      <c r="H71" s="25" t="str">
        <f t="shared" si="3"/>
        <v/>
      </c>
      <c r="I71" s="27"/>
      <c r="J71" s="27"/>
      <c r="K71" s="104"/>
      <c r="L71" s="104"/>
      <c r="M71" s="104"/>
      <c r="N71" s="104"/>
      <c r="O71" s="105">
        <f t="shared" si="4"/>
        <v>0</v>
      </c>
      <c r="P71" s="105">
        <f t="shared" si="5"/>
        <v>22</v>
      </c>
    </row>
    <row r="72" spans="1:16">
      <c r="A72" s="103">
        <v>71</v>
      </c>
      <c r="B72" s="37" t="str">
        <f>IF($S$4=0,IF($I72="","",$I72),IFERROR(IF([1]筐子进出接口!$B$71=0,"",[1]筐子进出接口!$B$71),""))</f>
        <v/>
      </c>
      <c r="C72" s="37" t="str">
        <f>IF($S$4=0,IF($J72="","",$J72),IFERROR(IF([1]筐子进出接口!$C$71=0,"",[1]筐子进出接口!$C$71),""))</f>
        <v/>
      </c>
      <c r="D72" s="25" t="str">
        <f>IF($S$4=0,IF($K72="","",$K72),IFERROR(IF([1]筐子进出接口!$D$71=0,"",[1]筐子进出接口!$D$71),""))</f>
        <v/>
      </c>
      <c r="E72" s="25" t="str">
        <f>IF($S$4=0,IF($L72="","",$L72),IFERROR(IF([1]筐子进出接口!$E$71=0,"",[1]筐子进出接口!$E$71),""))</f>
        <v/>
      </c>
      <c r="F72" s="25" t="str">
        <f>IF($S$4=0,IF($M72="","",$M72),IFERROR(IF([1]筐子进出接口!$F$71=0,"",[1]筐子进出接口!$F$71),""))</f>
        <v/>
      </c>
      <c r="G72" s="25" t="str">
        <f>IF($S$4=0,IF($N72="","",$N72),IFERROR(IF([1]筐子进出接口!$G$71=0,"",[1]筐子进出接口!$G$71),""))</f>
        <v/>
      </c>
      <c r="H72" s="25" t="str">
        <f t="shared" si="3"/>
        <v/>
      </c>
      <c r="I72" s="27"/>
      <c r="J72" s="27"/>
      <c r="K72" s="104"/>
      <c r="L72" s="104"/>
      <c r="M72" s="104"/>
      <c r="N72" s="104"/>
      <c r="O72" s="105">
        <f t="shared" si="4"/>
        <v>0</v>
      </c>
      <c r="P72" s="105">
        <f t="shared" si="5"/>
        <v>22</v>
      </c>
    </row>
    <row r="73" spans="1:16">
      <c r="A73" s="103">
        <v>72</v>
      </c>
      <c r="B73" s="37" t="str">
        <f>IF($S$4=0,IF($I73="","",$I73),IFERROR(IF([1]筐子进出接口!$B$72=0,"",[1]筐子进出接口!$B$72),""))</f>
        <v/>
      </c>
      <c r="C73" s="37" t="str">
        <f>IF($S$4=0,IF($J73="","",$J73),IFERROR(IF([1]筐子进出接口!$C$72=0,"",[1]筐子进出接口!$C$72),""))</f>
        <v/>
      </c>
      <c r="D73" s="25" t="str">
        <f>IF($S$4=0,IF($K73="","",$K73),IFERROR(IF([1]筐子进出接口!$D$72=0,"",[1]筐子进出接口!$D$72),""))</f>
        <v/>
      </c>
      <c r="E73" s="25" t="str">
        <f>IF($S$4=0,IF($L73="","",$L73),IFERROR(IF([1]筐子进出接口!$E$72=0,"",[1]筐子进出接口!$E$72),""))</f>
        <v/>
      </c>
      <c r="F73" s="25" t="str">
        <f>IF($S$4=0,IF($M73="","",$M73),IFERROR(IF([1]筐子进出接口!$F$72=0,"",[1]筐子进出接口!$F$72),""))</f>
        <v/>
      </c>
      <c r="G73" s="25" t="str">
        <f>IF($S$4=0,IF($N73="","",$N73),IFERROR(IF([1]筐子进出接口!$G$72=0,"",[1]筐子进出接口!$G$72),""))</f>
        <v/>
      </c>
      <c r="H73" s="25" t="str">
        <f t="shared" si="3"/>
        <v/>
      </c>
      <c r="I73" s="27"/>
      <c r="J73" s="27"/>
      <c r="K73" s="104"/>
      <c r="L73" s="104"/>
      <c r="M73" s="104"/>
      <c r="N73" s="104"/>
      <c r="O73" s="105">
        <f t="shared" si="4"/>
        <v>0</v>
      </c>
      <c r="P73" s="105">
        <f t="shared" si="5"/>
        <v>22</v>
      </c>
    </row>
    <row r="74" spans="1:16">
      <c r="A74" s="103">
        <v>73</v>
      </c>
      <c r="B74" s="37" t="str">
        <f>IF($S$4=0,IF($I74="","",$I74),IFERROR(IF([1]筐子进出接口!$B$73=0,"",[1]筐子进出接口!$B$73),""))</f>
        <v/>
      </c>
      <c r="C74" s="37" t="str">
        <f>IF($S$4=0,IF($J74="","",$J74),IFERROR(IF([1]筐子进出接口!$C$73=0,"",[1]筐子进出接口!$C$73),""))</f>
        <v/>
      </c>
      <c r="D74" s="25" t="str">
        <f>IF($S$4=0,IF($K74="","",$K74),IFERROR(IF([1]筐子进出接口!$D$73=0,"",[1]筐子进出接口!$D$73),""))</f>
        <v/>
      </c>
      <c r="E74" s="25" t="str">
        <f>IF($S$4=0,IF($L74="","",$L74),IFERROR(IF([1]筐子进出接口!$E$73=0,"",[1]筐子进出接口!$E$73),""))</f>
        <v/>
      </c>
      <c r="F74" s="25" t="str">
        <f>IF($S$4=0,IF($M74="","",$M74),IFERROR(IF([1]筐子进出接口!$F$73=0,"",[1]筐子进出接口!$F$73),""))</f>
        <v/>
      </c>
      <c r="G74" s="25" t="str">
        <f>IF($S$4=0,IF($N74="","",$N74),IFERROR(IF([1]筐子进出接口!$G$73=0,"",[1]筐子进出接口!$G$73),""))</f>
        <v/>
      </c>
      <c r="H74" s="25" t="str">
        <f t="shared" si="3"/>
        <v/>
      </c>
      <c r="I74" s="27"/>
      <c r="J74" s="27"/>
      <c r="K74" s="104"/>
      <c r="L74" s="104"/>
      <c r="M74" s="104"/>
      <c r="N74" s="104"/>
      <c r="O74" s="105">
        <f t="shared" si="4"/>
        <v>0</v>
      </c>
      <c r="P74" s="105">
        <f t="shared" si="5"/>
        <v>22</v>
      </c>
    </row>
    <row r="75" spans="1:16">
      <c r="A75" s="103">
        <v>74</v>
      </c>
      <c r="B75" s="37" t="str">
        <f>IF($S$4=0,IF($I75="","",$I75),IFERROR(IF([1]筐子进出接口!$B$74=0,"",[1]筐子进出接口!$B$74),""))</f>
        <v/>
      </c>
      <c r="C75" s="37" t="str">
        <f>IF($S$4=0,IF($J75="","",$J75),IFERROR(IF([1]筐子进出接口!$C$74=0,"",[1]筐子进出接口!$C$74),""))</f>
        <v/>
      </c>
      <c r="D75" s="25" t="str">
        <f>IF($S$4=0,IF($K75="","",$K75),IFERROR(IF([1]筐子进出接口!$D$74=0,"",[1]筐子进出接口!$D$74),""))</f>
        <v/>
      </c>
      <c r="E75" s="25" t="str">
        <f>IF($S$4=0,IF($L75="","",$L75),IFERROR(IF([1]筐子进出接口!$E$74=0,"",[1]筐子进出接口!$E$74),""))</f>
        <v/>
      </c>
      <c r="F75" s="25" t="str">
        <f>IF($S$4=0,IF($M75="","",$M75),IFERROR(IF([1]筐子进出接口!$F$74=0,"",[1]筐子进出接口!$F$74),""))</f>
        <v/>
      </c>
      <c r="G75" s="25" t="str">
        <f>IF($S$4=0,IF($N75="","",$N75),IFERROR(IF([1]筐子进出接口!$G$74=0,"",[1]筐子进出接口!$G$74),""))</f>
        <v/>
      </c>
      <c r="H75" s="25" t="str">
        <f t="shared" si="3"/>
        <v/>
      </c>
      <c r="I75" s="27"/>
      <c r="J75" s="27"/>
      <c r="K75" s="104"/>
      <c r="L75" s="104"/>
      <c r="M75" s="104"/>
      <c r="N75" s="104"/>
      <c r="O75" s="105">
        <f t="shared" si="4"/>
        <v>0</v>
      </c>
      <c r="P75" s="105">
        <f t="shared" si="5"/>
        <v>22</v>
      </c>
    </row>
    <row r="76" spans="1:16">
      <c r="A76" s="103">
        <v>75</v>
      </c>
      <c r="B76" s="37" t="str">
        <f>IF($S$4=0,IF($I76="","",$I76),IFERROR(IF([1]筐子进出接口!$B$75=0,"",[1]筐子进出接口!$B$75),""))</f>
        <v/>
      </c>
      <c r="C76" s="37" t="str">
        <f>IF($S$4=0,IF($J76="","",$J76),IFERROR(IF([1]筐子进出接口!$C$75=0,"",[1]筐子进出接口!$C$75),""))</f>
        <v/>
      </c>
      <c r="D76" s="25" t="str">
        <f>IF($S$4=0,IF($K76="","",$K76),IFERROR(IF([1]筐子进出接口!$D$75=0,"",[1]筐子进出接口!$D$75),""))</f>
        <v/>
      </c>
      <c r="E76" s="25" t="str">
        <f>IF($S$4=0,IF($L76="","",$L76),IFERROR(IF([1]筐子进出接口!$E$75=0,"",[1]筐子进出接口!$E$75),""))</f>
        <v/>
      </c>
      <c r="F76" s="25" t="str">
        <f>IF($S$4=0,IF($M76="","",$M76),IFERROR(IF([1]筐子进出接口!$F$75=0,"",[1]筐子进出接口!$F$75),""))</f>
        <v/>
      </c>
      <c r="G76" s="25" t="str">
        <f>IF($S$4=0,IF($N76="","",$N76),IFERROR(IF([1]筐子进出接口!$G$75=0,"",[1]筐子进出接口!$G$75),""))</f>
        <v/>
      </c>
      <c r="H76" s="25" t="str">
        <f t="shared" si="3"/>
        <v/>
      </c>
      <c r="I76" s="27"/>
      <c r="J76" s="27"/>
      <c r="K76" s="104"/>
      <c r="L76" s="104"/>
      <c r="M76" s="104"/>
      <c r="N76" s="104"/>
      <c r="O76" s="105">
        <f t="shared" si="4"/>
        <v>0</v>
      </c>
      <c r="P76" s="105">
        <f t="shared" si="5"/>
        <v>22</v>
      </c>
    </row>
    <row r="77" spans="1:16">
      <c r="A77" s="103">
        <v>76</v>
      </c>
      <c r="B77" s="37" t="str">
        <f>IF($S$4=0,IF($I77="","",$I77),IFERROR(IF([1]筐子进出接口!$B$76=0,"",[1]筐子进出接口!$B$76),""))</f>
        <v/>
      </c>
      <c r="C77" s="37" t="str">
        <f>IF($S$4=0,IF($J77="","",$J77),IFERROR(IF([1]筐子进出接口!$C$76=0,"",[1]筐子进出接口!$C$76),""))</f>
        <v/>
      </c>
      <c r="D77" s="25" t="str">
        <f>IF($S$4=0,IF($K77="","",$K77),IFERROR(IF([1]筐子进出接口!$D$76=0,"",[1]筐子进出接口!$D$76),""))</f>
        <v/>
      </c>
      <c r="E77" s="25" t="str">
        <f>IF($S$4=0,IF($L77="","",$L77),IFERROR(IF([1]筐子进出接口!$E$76=0,"",[1]筐子进出接口!$E$76),""))</f>
        <v/>
      </c>
      <c r="F77" s="25" t="str">
        <f>IF($S$4=0,IF($M77="","",$M77),IFERROR(IF([1]筐子进出接口!$F$76=0,"",[1]筐子进出接口!$F$76),""))</f>
        <v/>
      </c>
      <c r="G77" s="25" t="str">
        <f>IF($S$4=0,IF($N77="","",$N77),IFERROR(IF([1]筐子进出接口!$G$76=0,"",[1]筐子进出接口!$G$76),""))</f>
        <v/>
      </c>
      <c r="H77" s="25" t="str">
        <f t="shared" si="3"/>
        <v/>
      </c>
      <c r="I77" s="27"/>
      <c r="J77" s="27"/>
      <c r="K77" s="104"/>
      <c r="L77" s="104"/>
      <c r="M77" s="104"/>
      <c r="N77" s="104"/>
      <c r="O77" s="105">
        <f t="shared" si="4"/>
        <v>0</v>
      </c>
      <c r="P77" s="105">
        <f t="shared" si="5"/>
        <v>22</v>
      </c>
    </row>
    <row r="78" spans="1:16">
      <c r="A78" s="103">
        <v>77</v>
      </c>
      <c r="B78" s="37" t="str">
        <f>IF($S$4=0,IF($I78="","",$I78),IFERROR(IF([1]筐子进出接口!$B$77=0,"",[1]筐子进出接口!$B$77),""))</f>
        <v/>
      </c>
      <c r="C78" s="37" t="str">
        <f>IF($S$4=0,IF($J78="","",$J78),IFERROR(IF([1]筐子进出接口!$C$77=0,"",[1]筐子进出接口!$C$77),""))</f>
        <v/>
      </c>
      <c r="D78" s="25" t="str">
        <f>IF($S$4=0,IF($K78="","",$K78),IFERROR(IF([1]筐子进出接口!$D$77=0,"",[1]筐子进出接口!$D$77),""))</f>
        <v/>
      </c>
      <c r="E78" s="25" t="str">
        <f>IF($S$4=0,IF($L78="","",$L78),IFERROR(IF([1]筐子进出接口!$E$77=0,"",[1]筐子进出接口!$E$77),""))</f>
        <v/>
      </c>
      <c r="F78" s="25" t="str">
        <f>IF($S$4=0,IF($M78="","",$M78),IFERROR(IF([1]筐子进出接口!$F$77=0,"",[1]筐子进出接口!$F$77),""))</f>
        <v/>
      </c>
      <c r="G78" s="25" t="str">
        <f>IF($S$4=0,IF($N78="","",$N78),IFERROR(IF([1]筐子进出接口!$G$77=0,"",[1]筐子进出接口!$G$77),""))</f>
        <v/>
      </c>
      <c r="H78" s="25" t="str">
        <f t="shared" si="3"/>
        <v/>
      </c>
      <c r="I78" s="27"/>
      <c r="J78" s="27"/>
      <c r="K78" s="104"/>
      <c r="L78" s="104"/>
      <c r="M78" s="104"/>
      <c r="N78" s="104"/>
      <c r="O78" s="105">
        <f t="shared" si="4"/>
        <v>0</v>
      </c>
      <c r="P78" s="105">
        <f t="shared" si="5"/>
        <v>22</v>
      </c>
    </row>
    <row r="79" spans="1:16">
      <c r="A79" s="103">
        <v>78</v>
      </c>
      <c r="B79" s="37" t="str">
        <f>IF($S$4=0,IF($I79="","",$I79),IFERROR(IF([1]筐子进出接口!$B$78=0,"",[1]筐子进出接口!$B$78),""))</f>
        <v/>
      </c>
      <c r="C79" s="37" t="str">
        <f>IF($S$4=0,IF($J79="","",$J79),IFERROR(IF([1]筐子进出接口!$C$78=0,"",[1]筐子进出接口!$C$78),""))</f>
        <v/>
      </c>
      <c r="D79" s="25" t="str">
        <f>IF($S$4=0,IF($K79="","",$K79),IFERROR(IF([1]筐子进出接口!$D$78=0,"",[1]筐子进出接口!$D$78),""))</f>
        <v/>
      </c>
      <c r="E79" s="25" t="str">
        <f>IF($S$4=0,IF($L79="","",$L79),IFERROR(IF([1]筐子进出接口!$E$78=0,"",[1]筐子进出接口!$E$78),""))</f>
        <v/>
      </c>
      <c r="F79" s="25" t="str">
        <f>IF($S$4=0,IF($M79="","",$M79),IFERROR(IF([1]筐子进出接口!$F$78=0,"",[1]筐子进出接口!$F$78),""))</f>
        <v/>
      </c>
      <c r="G79" s="25" t="str">
        <f>IF($S$4=0,IF($N79="","",$N79),IFERROR(IF([1]筐子进出接口!$G$78=0,"",[1]筐子进出接口!$G$78),""))</f>
        <v/>
      </c>
      <c r="H79" s="25" t="str">
        <f t="shared" si="3"/>
        <v/>
      </c>
      <c r="I79" s="27"/>
      <c r="J79" s="27"/>
      <c r="K79" s="104"/>
      <c r="L79" s="104"/>
      <c r="M79" s="104"/>
      <c r="N79" s="104"/>
      <c r="O79" s="105">
        <f t="shared" si="4"/>
        <v>0</v>
      </c>
      <c r="P79" s="105">
        <f t="shared" si="5"/>
        <v>22</v>
      </c>
    </row>
    <row r="80" spans="1:16">
      <c r="A80" s="103">
        <v>79</v>
      </c>
      <c r="B80" s="37" t="str">
        <f>IF($S$4=0,IF($I80="","",$I80),IFERROR(IF([1]筐子进出接口!$B$79=0,"",[1]筐子进出接口!$B$79),""))</f>
        <v/>
      </c>
      <c r="C80" s="37" t="str">
        <f>IF($S$4=0,IF($J80="","",$J80),IFERROR(IF([1]筐子进出接口!$C$79=0,"",[1]筐子进出接口!$C$79),""))</f>
        <v/>
      </c>
      <c r="D80" s="25" t="str">
        <f>IF($S$4=0,IF($K80="","",$K80),IFERROR(IF([1]筐子进出接口!$D$79=0,"",[1]筐子进出接口!$D$79),""))</f>
        <v/>
      </c>
      <c r="E80" s="25" t="str">
        <f>IF($S$4=0,IF($L80="","",$L80),IFERROR(IF([1]筐子进出接口!$E$79=0,"",[1]筐子进出接口!$E$79),""))</f>
        <v/>
      </c>
      <c r="F80" s="25" t="str">
        <f>IF($S$4=0,IF($M80="","",$M80),IFERROR(IF([1]筐子进出接口!$F$79=0,"",[1]筐子进出接口!$F$79),""))</f>
        <v/>
      </c>
      <c r="G80" s="25" t="str">
        <f>IF($S$4=0,IF($N80="","",$N80),IFERROR(IF([1]筐子进出接口!$G$79=0,"",[1]筐子进出接口!$G$79),""))</f>
        <v/>
      </c>
      <c r="H80" s="25" t="str">
        <f t="shared" si="3"/>
        <v/>
      </c>
      <c r="I80" s="27"/>
      <c r="J80" s="27"/>
      <c r="K80" s="104"/>
      <c r="L80" s="104"/>
      <c r="M80" s="104"/>
      <c r="N80" s="104"/>
      <c r="O80" s="105">
        <f t="shared" si="4"/>
        <v>0</v>
      </c>
      <c r="P80" s="105">
        <f t="shared" si="5"/>
        <v>22</v>
      </c>
    </row>
    <row r="81" spans="1:16">
      <c r="A81" s="103">
        <v>80</v>
      </c>
      <c r="B81" s="37" t="str">
        <f>IF($S$4=0,IF($I81="","",$I81),IFERROR(IF([1]筐子进出接口!$B$80=0,"",[1]筐子进出接口!$B$80),""))</f>
        <v/>
      </c>
      <c r="C81" s="37" t="str">
        <f>IF($S$4=0,IF($J81="","",$J81),IFERROR(IF([1]筐子进出接口!$C$80=0,"",[1]筐子进出接口!$C$80),""))</f>
        <v/>
      </c>
      <c r="D81" s="25" t="str">
        <f>IF($S$4=0,IF($K81="","",$K81),IFERROR(IF([1]筐子进出接口!$D$80=0,"",[1]筐子进出接口!$D$80),""))</f>
        <v/>
      </c>
      <c r="E81" s="25" t="str">
        <f>IF($S$4=0,IF($L81="","",$L81),IFERROR(IF([1]筐子进出接口!$E$80=0,"",[1]筐子进出接口!$E$80),""))</f>
        <v/>
      </c>
      <c r="F81" s="25" t="str">
        <f>IF($S$4=0,IF($M81="","",$M81),IFERROR(IF([1]筐子进出接口!$F$80=0,"",[1]筐子进出接口!$F$80),""))</f>
        <v/>
      </c>
      <c r="G81" s="25" t="str">
        <f>IF($S$4=0,IF($N81="","",$N81),IFERROR(IF([1]筐子进出接口!$G$80=0,"",[1]筐子进出接口!$G$80),""))</f>
        <v/>
      </c>
      <c r="H81" s="25" t="str">
        <f t="shared" si="3"/>
        <v/>
      </c>
      <c r="I81" s="27"/>
      <c r="J81" s="27"/>
      <c r="K81" s="104"/>
      <c r="L81" s="104"/>
      <c r="M81" s="104"/>
      <c r="N81" s="104"/>
      <c r="O81" s="105">
        <f t="shared" si="4"/>
        <v>0</v>
      </c>
      <c r="P81" s="105">
        <f t="shared" si="5"/>
        <v>22</v>
      </c>
    </row>
    <row r="82" spans="1:16">
      <c r="A82" s="103">
        <v>81</v>
      </c>
      <c r="B82" s="37" t="str">
        <f>IF($S$4=0,IF($I82="","",$I82),IFERROR(IF([1]筐子进出接口!$B$81=0,"",[1]筐子进出接口!$B$81),""))</f>
        <v/>
      </c>
      <c r="C82" s="37" t="str">
        <f>IF($S$4=0,IF($J82="","",$J82),IFERROR(IF([1]筐子进出接口!$C$81=0,"",[1]筐子进出接口!$C$81),""))</f>
        <v/>
      </c>
      <c r="D82" s="25" t="str">
        <f>IF($S$4=0,IF($K82="","",$K82),IFERROR(IF([1]筐子进出接口!$D$81=0,"",[1]筐子进出接口!$D$81),""))</f>
        <v/>
      </c>
      <c r="E82" s="25" t="str">
        <f>IF($S$4=0,IF($L82="","",$L82),IFERROR(IF([1]筐子进出接口!$E$81=0,"",[1]筐子进出接口!$E$81),""))</f>
        <v/>
      </c>
      <c r="F82" s="25" t="str">
        <f>IF($S$4=0,IF($M82="","",$M82),IFERROR(IF([1]筐子进出接口!$F$81=0,"",[1]筐子进出接口!$F$81),""))</f>
        <v/>
      </c>
      <c r="G82" s="25" t="str">
        <f>IF($S$4=0,IF($N82="","",$N82),IFERROR(IF([1]筐子进出接口!$G$81=0,"",[1]筐子进出接口!$G$81),""))</f>
        <v/>
      </c>
      <c r="H82" s="25" t="str">
        <f t="shared" si="3"/>
        <v/>
      </c>
      <c r="I82" s="27"/>
      <c r="J82" s="27"/>
      <c r="K82" s="104"/>
      <c r="L82" s="104"/>
      <c r="M82" s="104"/>
      <c r="N82" s="104"/>
      <c r="O82" s="105">
        <f t="shared" si="4"/>
        <v>0</v>
      </c>
      <c r="P82" s="105">
        <f t="shared" si="5"/>
        <v>22</v>
      </c>
    </row>
    <row r="83" spans="1:16">
      <c r="A83" s="103">
        <v>82</v>
      </c>
      <c r="B83" s="37" t="str">
        <f>IF($S$4=0,IF($I83="","",$I83),IFERROR(IF([1]筐子进出接口!$B$82=0,"",[1]筐子进出接口!$B$82),""))</f>
        <v/>
      </c>
      <c r="C83" s="37" t="str">
        <f>IF($S$4=0,IF($J83="","",$J83),IFERROR(IF([1]筐子进出接口!$C$82=0,"",[1]筐子进出接口!$C$82),""))</f>
        <v/>
      </c>
      <c r="D83" s="25" t="str">
        <f>IF($S$4=0,IF($K83="","",$K83),IFERROR(IF([1]筐子进出接口!$D$82=0,"",[1]筐子进出接口!$D$82),""))</f>
        <v/>
      </c>
      <c r="E83" s="25" t="str">
        <f>IF($S$4=0,IF($L83="","",$L83),IFERROR(IF([1]筐子进出接口!$E$82=0,"",[1]筐子进出接口!$E$82),""))</f>
        <v/>
      </c>
      <c r="F83" s="25" t="str">
        <f>IF($S$4=0,IF($M83="","",$M83),IFERROR(IF([1]筐子进出接口!$F$82=0,"",[1]筐子进出接口!$F$82),""))</f>
        <v/>
      </c>
      <c r="G83" s="25" t="str">
        <f>IF($S$4=0,IF($N83="","",$N83),IFERROR(IF([1]筐子进出接口!$G$82=0,"",[1]筐子进出接口!$G$82),""))</f>
        <v/>
      </c>
      <c r="H83" s="25" t="str">
        <f t="shared" si="3"/>
        <v/>
      </c>
      <c r="I83" s="27"/>
      <c r="J83" s="27"/>
      <c r="K83" s="104"/>
      <c r="L83" s="104"/>
      <c r="M83" s="104"/>
      <c r="N83" s="104"/>
      <c r="O83" s="105">
        <f t="shared" si="4"/>
        <v>0</v>
      </c>
      <c r="P83" s="105">
        <f t="shared" si="5"/>
        <v>22</v>
      </c>
    </row>
    <row r="84" spans="1:16">
      <c r="A84" s="103">
        <v>83</v>
      </c>
      <c r="B84" s="37" t="str">
        <f>IF($S$4=0,IF($I84="","",$I84),IFERROR(IF([1]筐子进出接口!$B$83=0,"",[1]筐子进出接口!$B$83),""))</f>
        <v/>
      </c>
      <c r="C84" s="37" t="str">
        <f>IF($S$4=0,IF($J84="","",$J84),IFERROR(IF([1]筐子进出接口!$C$83=0,"",[1]筐子进出接口!$C$83),""))</f>
        <v/>
      </c>
      <c r="D84" s="25" t="str">
        <f>IF($S$4=0,IF($K84="","",$K84),IFERROR(IF([1]筐子进出接口!$D$83=0,"",[1]筐子进出接口!$D$83),""))</f>
        <v/>
      </c>
      <c r="E84" s="25" t="str">
        <f>IF($S$4=0,IF($L84="","",$L84),IFERROR(IF([1]筐子进出接口!$E$83=0,"",[1]筐子进出接口!$E$83),""))</f>
        <v/>
      </c>
      <c r="F84" s="25" t="str">
        <f>IF($S$4=0,IF($M84="","",$M84),IFERROR(IF([1]筐子进出接口!$F$83=0,"",[1]筐子进出接口!$F$83),""))</f>
        <v/>
      </c>
      <c r="G84" s="25" t="str">
        <f>IF($S$4=0,IF($N84="","",$N84),IFERROR(IF([1]筐子进出接口!$G$83=0,"",[1]筐子进出接口!$G$83),""))</f>
        <v/>
      </c>
      <c r="H84" s="25" t="str">
        <f t="shared" si="3"/>
        <v/>
      </c>
      <c r="I84" s="27"/>
      <c r="J84" s="27"/>
      <c r="K84" s="104"/>
      <c r="L84" s="104"/>
      <c r="M84" s="104"/>
      <c r="N84" s="104"/>
      <c r="O84" s="105">
        <f t="shared" si="4"/>
        <v>0</v>
      </c>
      <c r="P84" s="105">
        <f t="shared" si="5"/>
        <v>22</v>
      </c>
    </row>
    <row r="85" spans="1:16">
      <c r="A85" s="103">
        <v>84</v>
      </c>
      <c r="B85" s="37" t="str">
        <f>IF($S$4=0,IF($I85="","",$I85),IFERROR(IF([1]筐子进出接口!$B$84=0,"",[1]筐子进出接口!$B$84),""))</f>
        <v/>
      </c>
      <c r="C85" s="37" t="str">
        <f>IF($S$4=0,IF($J85="","",$J85),IFERROR(IF([1]筐子进出接口!$C$84=0,"",[1]筐子进出接口!$C$84),""))</f>
        <v/>
      </c>
      <c r="D85" s="25" t="str">
        <f>IF($S$4=0,IF($K85="","",$K85),IFERROR(IF([1]筐子进出接口!$D$84=0,"",[1]筐子进出接口!$D$84),""))</f>
        <v/>
      </c>
      <c r="E85" s="25" t="str">
        <f>IF($S$4=0,IF($L85="","",$L85),IFERROR(IF([1]筐子进出接口!$E$84=0,"",[1]筐子进出接口!$E$84),""))</f>
        <v/>
      </c>
      <c r="F85" s="25" t="str">
        <f>IF($S$4=0,IF($M85="","",$M85),IFERROR(IF([1]筐子进出接口!$F$84=0,"",[1]筐子进出接口!$F$84),""))</f>
        <v/>
      </c>
      <c r="G85" s="25" t="str">
        <f>IF($S$4=0,IF($N85="","",$N85),IFERROR(IF([1]筐子进出接口!$G$84=0,"",[1]筐子进出接口!$G$84),""))</f>
        <v/>
      </c>
      <c r="H85" s="25" t="str">
        <f t="shared" si="3"/>
        <v/>
      </c>
      <c r="I85" s="27"/>
      <c r="J85" s="27"/>
      <c r="K85" s="104"/>
      <c r="L85" s="104"/>
      <c r="M85" s="104"/>
      <c r="N85" s="104"/>
      <c r="O85" s="105">
        <f t="shared" si="4"/>
        <v>0</v>
      </c>
      <c r="P85" s="105">
        <f t="shared" si="5"/>
        <v>22</v>
      </c>
    </row>
    <row r="86" spans="1:16">
      <c r="A86" s="103">
        <v>85</v>
      </c>
      <c r="B86" s="37" t="str">
        <f>IF($S$4=0,IF($I86="","",$I86),IFERROR(IF([1]筐子进出接口!$B$85=0,"",[1]筐子进出接口!$B$85),""))</f>
        <v/>
      </c>
      <c r="C86" s="37" t="str">
        <f>IF($S$4=0,IF($J86="","",$J86),IFERROR(IF([1]筐子进出接口!$C$85=0,"",[1]筐子进出接口!$C$85),""))</f>
        <v/>
      </c>
      <c r="D86" s="25" t="str">
        <f>IF($S$4=0,IF($K86="","",$K86),IFERROR(IF([1]筐子进出接口!$D$85=0,"",[1]筐子进出接口!$D$85),""))</f>
        <v/>
      </c>
      <c r="E86" s="25" t="str">
        <f>IF($S$4=0,IF($L86="","",$L86),IFERROR(IF([1]筐子进出接口!$E$85=0,"",[1]筐子进出接口!$E$85),""))</f>
        <v/>
      </c>
      <c r="F86" s="25" t="str">
        <f>IF($S$4=0,IF($M86="","",$M86),IFERROR(IF([1]筐子进出接口!$F$85=0,"",[1]筐子进出接口!$F$85),""))</f>
        <v/>
      </c>
      <c r="G86" s="25" t="str">
        <f>IF($S$4=0,IF($N86="","",$N86),IFERROR(IF([1]筐子进出接口!$G$85=0,"",[1]筐子进出接口!$G$85),""))</f>
        <v/>
      </c>
      <c r="H86" s="25" t="str">
        <f t="shared" si="3"/>
        <v/>
      </c>
      <c r="I86" s="27"/>
      <c r="J86" s="27"/>
      <c r="K86" s="104"/>
      <c r="L86" s="104"/>
      <c r="M86" s="104"/>
      <c r="N86" s="104"/>
      <c r="O86" s="105">
        <f t="shared" si="4"/>
        <v>0</v>
      </c>
      <c r="P86" s="105">
        <f t="shared" si="5"/>
        <v>22</v>
      </c>
    </row>
    <row r="87" spans="1:16">
      <c r="A87" s="103">
        <v>86</v>
      </c>
      <c r="B87" s="37" t="str">
        <f>IF($S$4=0,IF($I87="","",$I87),IFERROR(IF([1]筐子进出接口!$B$86=0,"",[1]筐子进出接口!$B$86),""))</f>
        <v/>
      </c>
      <c r="C87" s="37" t="str">
        <f>IF($S$4=0,IF($J87="","",$J87),IFERROR(IF([1]筐子进出接口!$C$86=0,"",[1]筐子进出接口!$C$86),""))</f>
        <v/>
      </c>
      <c r="D87" s="25" t="str">
        <f>IF($S$4=0,IF($K87="","",$K87),IFERROR(IF([1]筐子进出接口!$D$86=0,"",[1]筐子进出接口!$D$86),""))</f>
        <v/>
      </c>
      <c r="E87" s="25" t="str">
        <f>IF($S$4=0,IF($L87="","",$L87),IFERROR(IF([1]筐子进出接口!$E$86=0,"",[1]筐子进出接口!$E$86),""))</f>
        <v/>
      </c>
      <c r="F87" s="25" t="str">
        <f>IF($S$4=0,IF($M87="","",$M87),IFERROR(IF([1]筐子进出接口!$F$86=0,"",[1]筐子进出接口!$F$86),""))</f>
        <v/>
      </c>
      <c r="G87" s="25" t="str">
        <f>IF($S$4=0,IF($N87="","",$N87),IFERROR(IF([1]筐子进出接口!$G$86=0,"",[1]筐子进出接口!$G$86),""))</f>
        <v/>
      </c>
      <c r="H87" s="25" t="str">
        <f t="shared" si="3"/>
        <v/>
      </c>
      <c r="I87" s="27"/>
      <c r="J87" s="27"/>
      <c r="K87" s="104"/>
      <c r="L87" s="104"/>
      <c r="M87" s="104"/>
      <c r="N87" s="104"/>
      <c r="O87" s="105">
        <f t="shared" si="4"/>
        <v>0</v>
      </c>
      <c r="P87" s="105">
        <f t="shared" si="5"/>
        <v>22</v>
      </c>
    </row>
    <row r="88" spans="1:16">
      <c r="A88" s="103">
        <v>87</v>
      </c>
      <c r="B88" s="37" t="str">
        <f>IF($S$4=0,IF($I88="","",$I88),IFERROR(IF([1]筐子进出接口!$B$87=0,"",[1]筐子进出接口!$B$87),""))</f>
        <v/>
      </c>
      <c r="C88" s="37" t="str">
        <f>IF($S$4=0,IF($J88="","",$J88),IFERROR(IF([1]筐子进出接口!$C$87=0,"",[1]筐子进出接口!$C$87),""))</f>
        <v/>
      </c>
      <c r="D88" s="25" t="str">
        <f>IF($S$4=0,IF($K88="","",$K88),IFERROR(IF([1]筐子进出接口!$D$87=0,"",[1]筐子进出接口!$D$87),""))</f>
        <v/>
      </c>
      <c r="E88" s="25" t="str">
        <f>IF($S$4=0,IF($L88="","",$L88),IFERROR(IF([1]筐子进出接口!$E$87=0,"",[1]筐子进出接口!$E$87),""))</f>
        <v/>
      </c>
      <c r="F88" s="25" t="str">
        <f>IF($S$4=0,IF($M88="","",$M88),IFERROR(IF([1]筐子进出接口!$F$87=0,"",[1]筐子进出接口!$F$87),""))</f>
        <v/>
      </c>
      <c r="G88" s="25" t="str">
        <f>IF($S$4=0,IF($N88="","",$N88),IFERROR(IF([1]筐子进出接口!$G$87=0,"",[1]筐子进出接口!$G$87),""))</f>
        <v/>
      </c>
      <c r="H88" s="25" t="str">
        <f t="shared" si="3"/>
        <v/>
      </c>
      <c r="I88" s="27"/>
      <c r="J88" s="27"/>
      <c r="K88" s="104"/>
      <c r="L88" s="104"/>
      <c r="M88" s="104"/>
      <c r="N88" s="104"/>
      <c r="O88" s="105">
        <f t="shared" si="4"/>
        <v>0</v>
      </c>
      <c r="P88" s="105">
        <f t="shared" si="5"/>
        <v>22</v>
      </c>
    </row>
    <row r="89" spans="1:16">
      <c r="A89" s="103">
        <v>88</v>
      </c>
      <c r="B89" s="37" t="str">
        <f>IF($S$4=0,IF($I89="","",$I89),IFERROR(IF([1]筐子进出接口!$B$88=0,"",[1]筐子进出接口!$B$88),""))</f>
        <v/>
      </c>
      <c r="C89" s="37" t="str">
        <f>IF($S$4=0,IF($J89="","",$J89),IFERROR(IF([1]筐子进出接口!$C$88=0,"",[1]筐子进出接口!$C$88),""))</f>
        <v/>
      </c>
      <c r="D89" s="25" t="str">
        <f>IF($S$4=0,IF($K89="","",$K89),IFERROR(IF([1]筐子进出接口!$D$88=0,"",[1]筐子进出接口!$D$88),""))</f>
        <v/>
      </c>
      <c r="E89" s="25" t="str">
        <f>IF($S$4=0,IF($L89="","",$L89),IFERROR(IF([1]筐子进出接口!$E$88=0,"",[1]筐子进出接口!$E$88),""))</f>
        <v/>
      </c>
      <c r="F89" s="25" t="str">
        <f>IF($S$4=0,IF($M89="","",$M89),IFERROR(IF([1]筐子进出接口!$F$88=0,"",[1]筐子进出接口!$F$88),""))</f>
        <v/>
      </c>
      <c r="G89" s="25" t="str">
        <f>IF($S$4=0,IF($N89="","",$N89),IFERROR(IF([1]筐子进出接口!$G$88=0,"",[1]筐子进出接口!$G$88),""))</f>
        <v/>
      </c>
      <c r="H89" s="25" t="str">
        <f t="shared" si="3"/>
        <v/>
      </c>
      <c r="I89" s="27"/>
      <c r="J89" s="27"/>
      <c r="K89" s="104"/>
      <c r="L89" s="104"/>
      <c r="M89" s="104"/>
      <c r="N89" s="104"/>
      <c r="O89" s="105">
        <f t="shared" si="4"/>
        <v>0</v>
      </c>
      <c r="P89" s="105">
        <f t="shared" si="5"/>
        <v>22</v>
      </c>
    </row>
    <row r="90" spans="1:16">
      <c r="A90" s="103">
        <v>89</v>
      </c>
      <c r="B90" s="37" t="str">
        <f>IF($S$4=0,IF($I90="","",$I90),IFERROR(IF([1]筐子进出接口!$B$89=0,"",[1]筐子进出接口!$B$89),""))</f>
        <v/>
      </c>
      <c r="C90" s="37" t="str">
        <f>IF($S$4=0,IF($J90="","",$J90),IFERROR(IF([1]筐子进出接口!$C$89=0,"",[1]筐子进出接口!$C$89),""))</f>
        <v/>
      </c>
      <c r="D90" s="25" t="str">
        <f>IF($S$4=0,IF($K90="","",$K90),IFERROR(IF([1]筐子进出接口!$D$89=0,"",[1]筐子进出接口!$D$89),""))</f>
        <v/>
      </c>
      <c r="E90" s="25" t="str">
        <f>IF($S$4=0,IF($L90="","",$L90),IFERROR(IF([1]筐子进出接口!$E$89=0,"",[1]筐子进出接口!$E$89),""))</f>
        <v/>
      </c>
      <c r="F90" s="25" t="str">
        <f>IF($S$4=0,IF($M90="","",$M90),IFERROR(IF([1]筐子进出接口!$F$89=0,"",[1]筐子进出接口!$F$89),""))</f>
        <v/>
      </c>
      <c r="G90" s="25" t="str">
        <f>IF($S$4=0,IF($N90="","",$N90),IFERROR(IF([1]筐子进出接口!$G$89=0,"",[1]筐子进出接口!$G$89),""))</f>
        <v/>
      </c>
      <c r="H90" s="25" t="str">
        <f t="shared" si="3"/>
        <v/>
      </c>
      <c r="I90" s="27"/>
      <c r="J90" s="27"/>
      <c r="K90" s="104"/>
      <c r="L90" s="104"/>
      <c r="M90" s="104"/>
      <c r="N90" s="104"/>
      <c r="O90" s="105">
        <f t="shared" si="4"/>
        <v>0</v>
      </c>
      <c r="P90" s="105">
        <f t="shared" si="5"/>
        <v>22</v>
      </c>
    </row>
    <row r="91" spans="1:16">
      <c r="A91" s="103">
        <v>90</v>
      </c>
      <c r="B91" s="37" t="str">
        <f>IF($S$4=0,IF($I91="","",$I91),IFERROR(IF([1]筐子进出接口!$B$90=0,"",[1]筐子进出接口!$B$90),""))</f>
        <v/>
      </c>
      <c r="C91" s="37" t="str">
        <f>IF($S$4=0,IF($J91="","",$J91),IFERROR(IF([1]筐子进出接口!$C$90=0,"",[1]筐子进出接口!$C$90),""))</f>
        <v/>
      </c>
      <c r="D91" s="25" t="str">
        <f>IF($S$4=0,IF($K91="","",$K91),IFERROR(IF([1]筐子进出接口!$D$90=0,"",[1]筐子进出接口!$D$90),""))</f>
        <v/>
      </c>
      <c r="E91" s="25" t="str">
        <f>IF($S$4=0,IF($L91="","",$L91),IFERROR(IF([1]筐子进出接口!$E$90=0,"",[1]筐子进出接口!$E$90),""))</f>
        <v/>
      </c>
      <c r="F91" s="25" t="str">
        <f>IF($S$4=0,IF($M91="","",$M91),IFERROR(IF([1]筐子进出接口!$F$90=0,"",[1]筐子进出接口!$F$90),""))</f>
        <v/>
      </c>
      <c r="G91" s="25" t="str">
        <f>IF($S$4=0,IF($N91="","",$N91),IFERROR(IF([1]筐子进出接口!$G$90=0,"",[1]筐子进出接口!$G$90),""))</f>
        <v/>
      </c>
      <c r="H91" s="25" t="str">
        <f t="shared" si="3"/>
        <v/>
      </c>
      <c r="I91" s="27"/>
      <c r="J91" s="27"/>
      <c r="K91" s="104"/>
      <c r="L91" s="104"/>
      <c r="M91" s="104"/>
      <c r="N91" s="104"/>
      <c r="O91" s="105">
        <f t="shared" si="4"/>
        <v>0</v>
      </c>
      <c r="P91" s="105">
        <f t="shared" si="5"/>
        <v>22</v>
      </c>
    </row>
    <row r="92" spans="1:16">
      <c r="A92" s="103">
        <v>91</v>
      </c>
      <c r="B92" s="37" t="str">
        <f>IF($S$4=0,IF($I92="","",$I92),IFERROR(IF([1]筐子进出接口!$B$91=0,"",[1]筐子进出接口!$B$91),""))</f>
        <v/>
      </c>
      <c r="C92" s="37" t="str">
        <f>IF($S$4=0,IF($J92="","",$J92),IFERROR(IF([1]筐子进出接口!$C$91=0,"",[1]筐子进出接口!$C$91),""))</f>
        <v/>
      </c>
      <c r="D92" s="25" t="str">
        <f>IF($S$4=0,IF($K92="","",$K92),IFERROR(IF([1]筐子进出接口!$D$91=0,"",[1]筐子进出接口!$D$91),""))</f>
        <v/>
      </c>
      <c r="E92" s="25" t="str">
        <f>IF($S$4=0,IF($L92="","",$L92),IFERROR(IF([1]筐子进出接口!$E$91=0,"",[1]筐子进出接口!$E$91),""))</f>
        <v/>
      </c>
      <c r="F92" s="25" t="str">
        <f>IF($S$4=0,IF($M92="","",$M92),IFERROR(IF([1]筐子进出接口!$F$91=0,"",[1]筐子进出接口!$F$91),""))</f>
        <v/>
      </c>
      <c r="G92" s="25" t="str">
        <f>IF($S$4=0,IF($N92="","",$N92),IFERROR(IF([1]筐子进出接口!$G$91=0,"",[1]筐子进出接口!$G$91),""))</f>
        <v/>
      </c>
      <c r="H92" s="25" t="str">
        <f t="shared" si="3"/>
        <v/>
      </c>
      <c r="I92" s="27"/>
      <c r="J92" s="27"/>
      <c r="K92" s="104"/>
      <c r="L92" s="104"/>
      <c r="M92" s="104"/>
      <c r="N92" s="104"/>
      <c r="O92" s="105">
        <f t="shared" si="4"/>
        <v>0</v>
      </c>
      <c r="P92" s="105">
        <f t="shared" si="5"/>
        <v>22</v>
      </c>
    </row>
    <row r="93" spans="1:16">
      <c r="A93" s="103">
        <v>92</v>
      </c>
      <c r="B93" s="37" t="str">
        <f>IF($S$4=0,IF($I93="","",$I93),IFERROR(IF([1]筐子进出接口!$B$92=0,"",[1]筐子进出接口!$B$92),""))</f>
        <v/>
      </c>
      <c r="C93" s="37" t="str">
        <f>IF($S$4=0,IF($J93="","",$J93),IFERROR(IF([1]筐子进出接口!$C$92=0,"",[1]筐子进出接口!$C$92),""))</f>
        <v/>
      </c>
      <c r="D93" s="25" t="str">
        <f>IF($S$4=0,IF($K93="","",$K93),IFERROR(IF([1]筐子进出接口!$D$92=0,"",[1]筐子进出接口!$D$92),""))</f>
        <v/>
      </c>
      <c r="E93" s="25" t="str">
        <f>IF($S$4=0,IF($L93="","",$L93),IFERROR(IF([1]筐子进出接口!$E$92=0,"",[1]筐子进出接口!$E$92),""))</f>
        <v/>
      </c>
      <c r="F93" s="25" t="str">
        <f>IF($S$4=0,IF($M93="","",$M93),IFERROR(IF([1]筐子进出接口!$F$92=0,"",[1]筐子进出接口!$F$92),""))</f>
        <v/>
      </c>
      <c r="G93" s="25" t="str">
        <f>IF($S$4=0,IF($N93="","",$N93),IFERROR(IF([1]筐子进出接口!$G$92=0,"",[1]筐子进出接口!$G$92),""))</f>
        <v/>
      </c>
      <c r="H93" s="25" t="str">
        <f t="shared" si="3"/>
        <v/>
      </c>
      <c r="I93" s="27"/>
      <c r="J93" s="27"/>
      <c r="K93" s="104"/>
      <c r="L93" s="104"/>
      <c r="M93" s="104"/>
      <c r="N93" s="104"/>
      <c r="O93" s="105">
        <f t="shared" si="4"/>
        <v>0</v>
      </c>
      <c r="P93" s="105">
        <f t="shared" si="5"/>
        <v>22</v>
      </c>
    </row>
    <row r="94" spans="1:16">
      <c r="A94" s="103">
        <v>93</v>
      </c>
      <c r="B94" s="37" t="str">
        <f>IF($S$4=0,IF($I94="","",$I94),IFERROR(IF([1]筐子进出接口!$B$93=0,"",[1]筐子进出接口!$B$93),""))</f>
        <v/>
      </c>
      <c r="C94" s="37" t="str">
        <f>IF($S$4=0,IF($J94="","",$J94),IFERROR(IF([1]筐子进出接口!$C$93=0,"",[1]筐子进出接口!$C$93),""))</f>
        <v/>
      </c>
      <c r="D94" s="25" t="str">
        <f>IF($S$4=0,IF($K94="","",$K94),IFERROR(IF([1]筐子进出接口!$D$93=0,"",[1]筐子进出接口!$D$93),""))</f>
        <v/>
      </c>
      <c r="E94" s="25" t="str">
        <f>IF($S$4=0,IF($L94="","",$L94),IFERROR(IF([1]筐子进出接口!$E$93=0,"",[1]筐子进出接口!$E$93),""))</f>
        <v/>
      </c>
      <c r="F94" s="25" t="str">
        <f>IF($S$4=0,IF($M94="","",$M94),IFERROR(IF([1]筐子进出接口!$F$93=0,"",[1]筐子进出接口!$F$93),""))</f>
        <v/>
      </c>
      <c r="G94" s="25" t="str">
        <f>IF($S$4=0,IF($N94="","",$N94),IFERROR(IF([1]筐子进出接口!$G$93=0,"",[1]筐子进出接口!$G$93),""))</f>
        <v/>
      </c>
      <c r="H94" s="25" t="str">
        <f t="shared" si="3"/>
        <v/>
      </c>
      <c r="I94" s="27"/>
      <c r="J94" s="27"/>
      <c r="K94" s="104"/>
      <c r="L94" s="104"/>
      <c r="M94" s="104"/>
      <c r="N94" s="104"/>
      <c r="O94" s="105">
        <f t="shared" si="4"/>
        <v>0</v>
      </c>
      <c r="P94" s="105">
        <f t="shared" si="5"/>
        <v>22</v>
      </c>
    </row>
    <row r="95" spans="1:16">
      <c r="A95" s="103">
        <v>94</v>
      </c>
      <c r="B95" s="37" t="str">
        <f>IF($S$4=0,IF($I95="","",$I95),IFERROR(IF([1]筐子进出接口!$B$94=0,"",[1]筐子进出接口!$B$94),""))</f>
        <v/>
      </c>
      <c r="C95" s="37" t="str">
        <f>IF($S$4=0,IF($J95="","",$J95),IFERROR(IF([1]筐子进出接口!$C$94=0,"",[1]筐子进出接口!$C$94),""))</f>
        <v/>
      </c>
      <c r="D95" s="25" t="str">
        <f>IF($S$4=0,IF($K95="","",$K95),IFERROR(IF([1]筐子进出接口!$D$94=0,"",[1]筐子进出接口!$D$94),""))</f>
        <v/>
      </c>
      <c r="E95" s="25" t="str">
        <f>IF($S$4=0,IF($L95="","",$L95),IFERROR(IF([1]筐子进出接口!$E$94=0,"",[1]筐子进出接口!$E$94),""))</f>
        <v/>
      </c>
      <c r="F95" s="25" t="str">
        <f>IF($S$4=0,IF($M95="","",$M95),IFERROR(IF([1]筐子进出接口!$F$94=0,"",[1]筐子进出接口!$F$94),""))</f>
        <v/>
      </c>
      <c r="G95" s="25" t="str">
        <f>IF($S$4=0,IF($N95="","",$N95),IFERROR(IF([1]筐子进出接口!$G$94=0,"",[1]筐子进出接口!$G$94),""))</f>
        <v/>
      </c>
      <c r="H95" s="25" t="str">
        <f t="shared" si="3"/>
        <v/>
      </c>
      <c r="I95" s="27"/>
      <c r="J95" s="27"/>
      <c r="K95" s="104"/>
      <c r="L95" s="104"/>
      <c r="M95" s="104"/>
      <c r="N95" s="104"/>
      <c r="O95" s="105">
        <f t="shared" si="4"/>
        <v>0</v>
      </c>
      <c r="P95" s="105">
        <f t="shared" si="5"/>
        <v>22</v>
      </c>
    </row>
    <row r="96" spans="1:16">
      <c r="A96" s="103">
        <v>95</v>
      </c>
      <c r="B96" s="37" t="str">
        <f>IF($S$4=0,IF($I96="","",$I96),IFERROR(IF([1]筐子进出接口!$B$95=0,"",[1]筐子进出接口!$B$95),""))</f>
        <v/>
      </c>
      <c r="C96" s="37" t="str">
        <f>IF($S$4=0,IF($J96="","",$J96),IFERROR(IF([1]筐子进出接口!$C$95=0,"",[1]筐子进出接口!$C$95),""))</f>
        <v/>
      </c>
      <c r="D96" s="25" t="str">
        <f>IF($S$4=0,IF($K96="","",$K96),IFERROR(IF([1]筐子进出接口!$D$95=0,"",[1]筐子进出接口!$D$95),""))</f>
        <v/>
      </c>
      <c r="E96" s="25" t="str">
        <f>IF($S$4=0,IF($L96="","",$L96),IFERROR(IF([1]筐子进出接口!$E$95=0,"",[1]筐子进出接口!$E$95),""))</f>
        <v/>
      </c>
      <c r="F96" s="25" t="str">
        <f>IF($S$4=0,IF($M96="","",$M96),IFERROR(IF([1]筐子进出接口!$F$95=0,"",[1]筐子进出接口!$F$95),""))</f>
        <v/>
      </c>
      <c r="G96" s="25" t="str">
        <f>IF($S$4=0,IF($N96="","",$N96),IFERROR(IF([1]筐子进出接口!$G$95=0,"",[1]筐子进出接口!$G$95),""))</f>
        <v/>
      </c>
      <c r="H96" s="25" t="str">
        <f t="shared" si="3"/>
        <v/>
      </c>
      <c r="I96" s="27"/>
      <c r="J96" s="27"/>
      <c r="K96" s="104"/>
      <c r="L96" s="104"/>
      <c r="M96" s="104"/>
      <c r="N96" s="104"/>
      <c r="O96" s="105">
        <f t="shared" si="4"/>
        <v>0</v>
      </c>
      <c r="P96" s="105">
        <f t="shared" si="5"/>
        <v>22</v>
      </c>
    </row>
    <row r="97" spans="1:16">
      <c r="A97" s="103">
        <v>96</v>
      </c>
      <c r="B97" s="37" t="str">
        <f>IF($S$4=0,IF($I97="","",$I97),IFERROR(IF([1]筐子进出接口!$B$96=0,"",[1]筐子进出接口!$B$96),""))</f>
        <v/>
      </c>
      <c r="C97" s="37" t="str">
        <f>IF($S$4=0,IF($J97="","",$J97),IFERROR(IF([1]筐子进出接口!$C$96=0,"",[1]筐子进出接口!$C$96),""))</f>
        <v/>
      </c>
      <c r="D97" s="25" t="str">
        <f>IF($S$4=0,IF($K97="","",$K97),IFERROR(IF([1]筐子进出接口!$D$96=0,"",[1]筐子进出接口!$D$96),""))</f>
        <v/>
      </c>
      <c r="E97" s="25" t="str">
        <f>IF($S$4=0,IF($L97="","",$L97),IFERROR(IF([1]筐子进出接口!$E$96=0,"",[1]筐子进出接口!$E$96),""))</f>
        <v/>
      </c>
      <c r="F97" s="25" t="str">
        <f>IF($S$4=0,IF($M97="","",$M97),IFERROR(IF([1]筐子进出接口!$F$96=0,"",[1]筐子进出接口!$F$96),""))</f>
        <v/>
      </c>
      <c r="G97" s="25" t="str">
        <f>IF($S$4=0,IF($N97="","",$N97),IFERROR(IF([1]筐子进出接口!$G$96=0,"",[1]筐子进出接口!$G$96),""))</f>
        <v/>
      </c>
      <c r="H97" s="25" t="str">
        <f t="shared" si="3"/>
        <v/>
      </c>
      <c r="I97" s="27"/>
      <c r="J97" s="27"/>
      <c r="K97" s="104"/>
      <c r="L97" s="104"/>
      <c r="M97" s="104"/>
      <c r="N97" s="104"/>
      <c r="O97" s="105">
        <f t="shared" si="4"/>
        <v>0</v>
      </c>
      <c r="P97" s="105">
        <f t="shared" si="5"/>
        <v>22</v>
      </c>
    </row>
    <row r="98" spans="1:16">
      <c r="A98" s="103">
        <v>97</v>
      </c>
      <c r="B98" s="37" t="str">
        <f>IF($S$4=0,IF($I98="","",$I98),IFERROR(IF([1]筐子进出接口!$B$97=0,"",[1]筐子进出接口!$B$97),""))</f>
        <v/>
      </c>
      <c r="C98" s="37" t="str">
        <f>IF($S$4=0,IF($J98="","",$J98),IFERROR(IF([1]筐子进出接口!$C$97=0,"",[1]筐子进出接口!$C$97),""))</f>
        <v/>
      </c>
      <c r="D98" s="25" t="str">
        <f>IF($S$4=0,IF($K98="","",$K98),IFERROR(IF([1]筐子进出接口!$D$97=0,"",[1]筐子进出接口!$D$97),""))</f>
        <v/>
      </c>
      <c r="E98" s="25" t="str">
        <f>IF($S$4=0,IF($L98="","",$L98),IFERROR(IF([1]筐子进出接口!$E$97=0,"",[1]筐子进出接口!$E$97),""))</f>
        <v/>
      </c>
      <c r="F98" s="25" t="str">
        <f>IF($S$4=0,IF($M98="","",$M98),IFERROR(IF([1]筐子进出接口!$F$97=0,"",[1]筐子进出接口!$F$97),""))</f>
        <v/>
      </c>
      <c r="G98" s="25" t="str">
        <f>IF($S$4=0,IF($N98="","",$N98),IFERROR(IF([1]筐子进出接口!$G$97=0,"",[1]筐子进出接口!$G$97),""))</f>
        <v/>
      </c>
      <c r="H98" s="25" t="str">
        <f t="shared" si="3"/>
        <v/>
      </c>
      <c r="I98" s="27"/>
      <c r="J98" s="27"/>
      <c r="K98" s="104"/>
      <c r="L98" s="104"/>
      <c r="M98" s="104"/>
      <c r="N98" s="104"/>
      <c r="O98" s="105">
        <f t="shared" si="4"/>
        <v>0</v>
      </c>
      <c r="P98" s="105">
        <f t="shared" si="5"/>
        <v>22</v>
      </c>
    </row>
    <row r="99" spans="1:16">
      <c r="A99" s="103">
        <v>98</v>
      </c>
      <c r="B99" s="37" t="str">
        <f>IF($S$4=0,IF($I99="","",$I99),IFERROR(IF([1]筐子进出接口!$B$98=0,"",[1]筐子进出接口!$B$98),""))</f>
        <v/>
      </c>
      <c r="C99" s="37" t="str">
        <f>IF($S$4=0,IF($J99="","",$J99),IFERROR(IF([1]筐子进出接口!$C$98=0,"",[1]筐子进出接口!$C$98),""))</f>
        <v/>
      </c>
      <c r="D99" s="25" t="str">
        <f>IF($S$4=0,IF($K99="","",$K99),IFERROR(IF([1]筐子进出接口!$D$98=0,"",[1]筐子进出接口!$D$98),""))</f>
        <v/>
      </c>
      <c r="E99" s="25" t="str">
        <f>IF($S$4=0,IF($L99="","",$L99),IFERROR(IF([1]筐子进出接口!$E$98=0,"",[1]筐子进出接口!$E$98),""))</f>
        <v/>
      </c>
      <c r="F99" s="25" t="str">
        <f>IF($S$4=0,IF($M99="","",$M99),IFERROR(IF([1]筐子进出接口!$F$98=0,"",[1]筐子进出接口!$F$98),""))</f>
        <v/>
      </c>
      <c r="G99" s="25" t="str">
        <f>IF($S$4=0,IF($N99="","",$N99),IFERROR(IF([1]筐子进出接口!$G$98=0,"",[1]筐子进出接口!$G$98),""))</f>
        <v/>
      </c>
      <c r="H99" s="25" t="str">
        <f t="shared" si="3"/>
        <v/>
      </c>
      <c r="I99" s="27"/>
      <c r="J99" s="27"/>
      <c r="K99" s="104"/>
      <c r="L99" s="104"/>
      <c r="M99" s="104"/>
      <c r="N99" s="104"/>
      <c r="O99" s="105">
        <f t="shared" si="4"/>
        <v>0</v>
      </c>
      <c r="P99" s="105">
        <f t="shared" si="5"/>
        <v>22</v>
      </c>
    </row>
    <row r="100" spans="1:16">
      <c r="A100" s="103">
        <v>99</v>
      </c>
      <c r="B100" s="37" t="str">
        <f>IF($S$4=0,IF($I100="","",$I100),IFERROR(IF([1]筐子进出接口!$B$99=0,"",[1]筐子进出接口!$B$99),""))</f>
        <v/>
      </c>
      <c r="C100" s="37" t="str">
        <f>IF($S$4=0,IF($J100="","",$J100),IFERROR(IF([1]筐子进出接口!$C$99=0,"",[1]筐子进出接口!$C$99),""))</f>
        <v/>
      </c>
      <c r="D100" s="25" t="str">
        <f>IF($S$4=0,IF($K100="","",$K100),IFERROR(IF([1]筐子进出接口!$D$99=0,"",[1]筐子进出接口!$D$99),""))</f>
        <v/>
      </c>
      <c r="E100" s="25" t="str">
        <f>IF($S$4=0,IF($L100="","",$L100),IFERROR(IF([1]筐子进出接口!$E$99=0,"",[1]筐子进出接口!$E$99),""))</f>
        <v/>
      </c>
      <c r="F100" s="25" t="str">
        <f>IF($S$4=0,IF($M100="","",$M100),IFERROR(IF([1]筐子进出接口!$F$99=0,"",[1]筐子进出接口!$F$99),""))</f>
        <v/>
      </c>
      <c r="G100" s="25" t="str">
        <f>IF($S$4=0,IF($N100="","",$N100),IFERROR(IF([1]筐子进出接口!$G$99=0,"",[1]筐子进出接口!$G$99),""))</f>
        <v/>
      </c>
      <c r="H100" s="25" t="str">
        <f t="shared" si="3"/>
        <v/>
      </c>
      <c r="I100" s="27"/>
      <c r="J100" s="27"/>
      <c r="K100" s="104"/>
      <c r="L100" s="104"/>
      <c r="M100" s="104"/>
      <c r="N100" s="104"/>
      <c r="O100" s="105">
        <f t="shared" si="4"/>
        <v>0</v>
      </c>
      <c r="P100" s="105">
        <f t="shared" si="5"/>
        <v>22</v>
      </c>
    </row>
    <row r="101" spans="1:16">
      <c r="A101" s="103">
        <v>100</v>
      </c>
      <c r="B101" s="37" t="str">
        <f>IF($S$4=0,IF($I101="","",$I101),IFERROR(IF([1]筐子进出接口!$B$100=0,"",[1]筐子进出接口!$B$100),""))</f>
        <v/>
      </c>
      <c r="C101" s="37" t="str">
        <f>IF($S$4=0,IF($J101="","",$J101),IFERROR(IF([1]筐子进出接口!$C$100=0,"",[1]筐子进出接口!$C$100),""))</f>
        <v/>
      </c>
      <c r="D101" s="25" t="str">
        <f>IF($S$4=0,IF($K101="","",$K101),IFERROR(IF([1]筐子进出接口!$D$100=0,"",[1]筐子进出接口!$D$100),""))</f>
        <v/>
      </c>
      <c r="E101" s="25" t="str">
        <f>IF($S$4=0,IF($L101="","",$L101),IFERROR(IF([1]筐子进出接口!$E$100=0,"",[1]筐子进出接口!$E$100),""))</f>
        <v/>
      </c>
      <c r="F101" s="25" t="str">
        <f>IF($S$4=0,IF($M101="","",$M101),IFERROR(IF([1]筐子进出接口!$F$100=0,"",[1]筐子进出接口!$F$100),""))</f>
        <v/>
      </c>
      <c r="G101" s="25" t="str">
        <f>IF($S$4=0,IF($N101="","",$N101),IFERROR(IF([1]筐子进出接口!$G$100=0,"",[1]筐子进出接口!$G$100),""))</f>
        <v/>
      </c>
      <c r="H101" s="25" t="str">
        <f t="shared" si="3"/>
        <v/>
      </c>
      <c r="I101" s="27"/>
      <c r="J101" s="27"/>
      <c r="K101" s="104"/>
      <c r="L101" s="104"/>
      <c r="M101" s="104"/>
      <c r="N101" s="104"/>
      <c r="O101" s="105">
        <f t="shared" si="4"/>
        <v>0</v>
      </c>
      <c r="P101" s="105">
        <f t="shared" si="5"/>
        <v>22</v>
      </c>
    </row>
    <row r="102" spans="1:16">
      <c r="A102" s="103">
        <v>101</v>
      </c>
      <c r="B102" s="37" t="str">
        <f>IF($S$4=0,IF($I102="","",$I102),IFERROR(IF([1]筐子进出接口!$B$101=0,"",[1]筐子进出接口!$B$101),""))</f>
        <v/>
      </c>
      <c r="C102" s="37" t="str">
        <f>IF($S$4=0,IF($J102="","",$J102),IFERROR(IF([1]筐子进出接口!$C$101=0,"",[1]筐子进出接口!$C$101),""))</f>
        <v/>
      </c>
      <c r="D102" s="25" t="str">
        <f>IF($S$4=0,IF($K102="","",$K102),IFERROR(IF([1]筐子进出接口!$D$101=0,"",[1]筐子进出接口!$D$101),""))</f>
        <v/>
      </c>
      <c r="E102" s="25" t="str">
        <f>IF($S$4=0,IF($L102="","",$L102),IFERROR(IF([1]筐子进出接口!$E$101=0,"",[1]筐子进出接口!$E$101),""))</f>
        <v/>
      </c>
      <c r="F102" s="25" t="str">
        <f>IF($S$4=0,IF($M102="","",$M102),IFERROR(IF([1]筐子进出接口!$F$101=0,"",[1]筐子进出接口!$F$101),""))</f>
        <v/>
      </c>
      <c r="G102" s="25" t="str">
        <f>IF($S$4=0,IF($N102="","",$N102),IFERROR(IF([1]筐子进出接口!$G$101=0,"",[1]筐子进出接口!$G$101),""))</f>
        <v/>
      </c>
      <c r="H102" s="25" t="str">
        <f t="shared" si="3"/>
        <v/>
      </c>
      <c r="I102" s="27"/>
      <c r="J102" s="27"/>
      <c r="K102" s="104"/>
      <c r="L102" s="104"/>
      <c r="M102" s="104"/>
      <c r="N102" s="104"/>
      <c r="O102" s="105">
        <f t="shared" si="4"/>
        <v>0</v>
      </c>
      <c r="P102" s="105">
        <f t="shared" si="5"/>
        <v>22</v>
      </c>
    </row>
    <row r="103" spans="1:16">
      <c r="A103" s="103">
        <v>102</v>
      </c>
      <c r="B103" s="37" t="str">
        <f>IF($S$4=0,IF($I103="","",$I103),IFERROR(IF([1]筐子进出接口!$B$102=0,"",[1]筐子进出接口!$B$102),""))</f>
        <v/>
      </c>
      <c r="C103" s="37" t="str">
        <f>IF($S$4=0,IF($J103="","",$J103),IFERROR(IF([1]筐子进出接口!$C$102=0,"",[1]筐子进出接口!$C$102),""))</f>
        <v/>
      </c>
      <c r="D103" s="25" t="str">
        <f>IF($S$4=0,IF($K103="","",$K103),IFERROR(IF([1]筐子进出接口!$D$102=0,"",[1]筐子进出接口!$D$102),""))</f>
        <v/>
      </c>
      <c r="E103" s="25" t="str">
        <f>IF($S$4=0,IF($L103="","",$L103),IFERROR(IF([1]筐子进出接口!$E$102=0,"",[1]筐子进出接口!$E$102),""))</f>
        <v/>
      </c>
      <c r="F103" s="25" t="str">
        <f>IF($S$4=0,IF($M103="","",$M103),IFERROR(IF([1]筐子进出接口!$F$102=0,"",[1]筐子进出接口!$F$102),""))</f>
        <v/>
      </c>
      <c r="G103" s="25" t="str">
        <f>IF($S$4=0,IF($N103="","",$N103),IFERROR(IF([1]筐子进出接口!$G$102=0,"",[1]筐子进出接口!$G$102),""))</f>
        <v/>
      </c>
      <c r="H103" s="25" t="str">
        <f t="shared" si="3"/>
        <v/>
      </c>
      <c r="I103" s="27"/>
      <c r="J103" s="27"/>
      <c r="K103" s="104"/>
      <c r="L103" s="104"/>
      <c r="M103" s="104"/>
      <c r="N103" s="104"/>
      <c r="O103" s="105">
        <f t="shared" si="4"/>
        <v>0</v>
      </c>
      <c r="P103" s="105">
        <f t="shared" si="5"/>
        <v>22</v>
      </c>
    </row>
    <row r="104" spans="1:16">
      <c r="A104" s="103">
        <v>103</v>
      </c>
      <c r="B104" s="37" t="str">
        <f>IF($S$4=0,IF($I104="","",$I104),IFERROR(IF([1]筐子进出接口!$B$103=0,"",[1]筐子进出接口!$B$103),""))</f>
        <v/>
      </c>
      <c r="C104" s="37" t="str">
        <f>IF($S$4=0,IF($J104="","",$J104),IFERROR(IF([1]筐子进出接口!$C$103=0,"",[1]筐子进出接口!$C$103),""))</f>
        <v/>
      </c>
      <c r="D104" s="25" t="str">
        <f>IF($S$4=0,IF($K104="","",$K104),IFERROR(IF([1]筐子进出接口!$D$103=0,"",[1]筐子进出接口!$D$103),""))</f>
        <v/>
      </c>
      <c r="E104" s="25" t="str">
        <f>IF($S$4=0,IF($L104="","",$L104),IFERROR(IF([1]筐子进出接口!$E$103=0,"",[1]筐子进出接口!$E$103),""))</f>
        <v/>
      </c>
      <c r="F104" s="25" t="str">
        <f>IF($S$4=0,IF($M104="","",$M104),IFERROR(IF([1]筐子进出接口!$F$103=0,"",[1]筐子进出接口!$F$103),""))</f>
        <v/>
      </c>
      <c r="G104" s="25" t="str">
        <f>IF($S$4=0,IF($N104="","",$N104),IFERROR(IF([1]筐子进出接口!$G$103=0,"",[1]筐子进出接口!$G$103),""))</f>
        <v/>
      </c>
      <c r="H104" s="25" t="str">
        <f t="shared" si="3"/>
        <v/>
      </c>
      <c r="I104" s="27"/>
      <c r="J104" s="27"/>
      <c r="K104" s="104"/>
      <c r="L104" s="104"/>
      <c r="M104" s="104"/>
      <c r="N104" s="104"/>
      <c r="O104" s="105">
        <f t="shared" si="4"/>
        <v>0</v>
      </c>
      <c r="P104" s="105">
        <f t="shared" si="5"/>
        <v>22</v>
      </c>
    </row>
    <row r="105" spans="1:16">
      <c r="A105" s="103">
        <v>104</v>
      </c>
      <c r="B105" s="37" t="str">
        <f>IF($S$4=0,IF($I105="","",$I105),IFERROR(IF([1]筐子进出接口!$B$104=0,"",[1]筐子进出接口!$B$104),""))</f>
        <v/>
      </c>
      <c r="C105" s="37" t="str">
        <f>IF($S$4=0,IF($J105="","",$J105),IFERROR(IF([1]筐子进出接口!$C$104=0,"",[1]筐子进出接口!$C$104),""))</f>
        <v/>
      </c>
      <c r="D105" s="25" t="str">
        <f>IF($S$4=0,IF($K105="","",$K105),IFERROR(IF([1]筐子进出接口!$D$104=0,"",[1]筐子进出接口!$D$104),""))</f>
        <v/>
      </c>
      <c r="E105" s="25" t="str">
        <f>IF($S$4=0,IF($L105="","",$L105),IFERROR(IF([1]筐子进出接口!$E$104=0,"",[1]筐子进出接口!$E$104),""))</f>
        <v/>
      </c>
      <c r="F105" s="25" t="str">
        <f>IF($S$4=0,IF($M105="","",$M105),IFERROR(IF([1]筐子进出接口!$F$104=0,"",[1]筐子进出接口!$F$104),""))</f>
        <v/>
      </c>
      <c r="G105" s="25" t="str">
        <f>IF($S$4=0,IF($N105="","",$N105),IFERROR(IF([1]筐子进出接口!$G$104=0,"",[1]筐子进出接口!$G$104),""))</f>
        <v/>
      </c>
      <c r="H105" s="25" t="str">
        <f t="shared" si="3"/>
        <v/>
      </c>
      <c r="I105" s="27"/>
      <c r="J105" s="27"/>
      <c r="K105" s="104"/>
      <c r="L105" s="104"/>
      <c r="M105" s="104"/>
      <c r="N105" s="104"/>
      <c r="O105" s="105">
        <f t="shared" si="4"/>
        <v>0</v>
      </c>
      <c r="P105" s="105">
        <f t="shared" si="5"/>
        <v>22</v>
      </c>
    </row>
    <row r="106" spans="1:16">
      <c r="A106" s="103">
        <v>105</v>
      </c>
      <c r="B106" s="37" t="str">
        <f>IF($S$4=0,IF($I106="","",$I106),IFERROR(IF([1]筐子进出接口!$B$105=0,"",[1]筐子进出接口!$B$105),""))</f>
        <v/>
      </c>
      <c r="C106" s="37" t="str">
        <f>IF($S$4=0,IF($J106="","",$J106),IFERROR(IF([1]筐子进出接口!$C$105=0,"",[1]筐子进出接口!$C$105),""))</f>
        <v/>
      </c>
      <c r="D106" s="25" t="str">
        <f>IF($S$4=0,IF($K106="","",$K106),IFERROR(IF([1]筐子进出接口!$D$105=0,"",[1]筐子进出接口!$D$105),""))</f>
        <v/>
      </c>
      <c r="E106" s="25" t="str">
        <f>IF($S$4=0,IF($L106="","",$L106),IFERROR(IF([1]筐子进出接口!$E$105=0,"",[1]筐子进出接口!$E$105),""))</f>
        <v/>
      </c>
      <c r="F106" s="25" t="str">
        <f>IF($S$4=0,IF($M106="","",$M106),IFERROR(IF([1]筐子进出接口!$F$105=0,"",[1]筐子进出接口!$F$105),""))</f>
        <v/>
      </c>
      <c r="G106" s="25" t="str">
        <f>IF($S$4=0,IF($N106="","",$N106),IFERROR(IF([1]筐子进出接口!$G$105=0,"",[1]筐子进出接口!$G$105),""))</f>
        <v/>
      </c>
      <c r="H106" s="25" t="str">
        <f t="shared" si="3"/>
        <v/>
      </c>
      <c r="I106" s="27"/>
      <c r="J106" s="27"/>
      <c r="K106" s="104"/>
      <c r="L106" s="104"/>
      <c r="M106" s="104"/>
      <c r="N106" s="104"/>
      <c r="O106" s="105">
        <f t="shared" si="4"/>
        <v>0</v>
      </c>
      <c r="P106" s="105">
        <f t="shared" si="5"/>
        <v>22</v>
      </c>
    </row>
    <row r="107" spans="1:16">
      <c r="A107" s="103">
        <v>106</v>
      </c>
      <c r="B107" s="37" t="str">
        <f>IF($S$4=0,IF($I107="","",$I107),IFERROR(IF([1]筐子进出接口!$B$106=0,"",[1]筐子进出接口!$B$106),""))</f>
        <v/>
      </c>
      <c r="C107" s="37" t="str">
        <f>IF($S$4=0,IF($J107="","",$J107),IFERROR(IF([1]筐子进出接口!$C$106=0,"",[1]筐子进出接口!$C$106),""))</f>
        <v/>
      </c>
      <c r="D107" s="25" t="str">
        <f>IF($S$4=0,IF($K107="","",$K107),IFERROR(IF([1]筐子进出接口!$D$106=0,"",[1]筐子进出接口!$D$106),""))</f>
        <v/>
      </c>
      <c r="E107" s="25" t="str">
        <f>IF($S$4=0,IF($L107="","",$L107),IFERROR(IF([1]筐子进出接口!$E$106=0,"",[1]筐子进出接口!$E$106),""))</f>
        <v/>
      </c>
      <c r="F107" s="25" t="str">
        <f>IF($S$4=0,IF($M107="","",$M107),IFERROR(IF([1]筐子进出接口!$F$106=0,"",[1]筐子进出接口!$F$106),""))</f>
        <v/>
      </c>
      <c r="G107" s="25" t="str">
        <f>IF($S$4=0,IF($N107="","",$N107),IFERROR(IF([1]筐子进出接口!$G$106=0,"",[1]筐子进出接口!$G$106),""))</f>
        <v/>
      </c>
      <c r="H107" s="25" t="str">
        <f t="shared" si="3"/>
        <v/>
      </c>
      <c r="I107" s="27"/>
      <c r="J107" s="27"/>
      <c r="K107" s="104"/>
      <c r="L107" s="104"/>
      <c r="M107" s="104"/>
      <c r="N107" s="104"/>
      <c r="O107" s="105">
        <f t="shared" si="4"/>
        <v>0</v>
      </c>
      <c r="P107" s="105">
        <f t="shared" si="5"/>
        <v>22</v>
      </c>
    </row>
    <row r="108" spans="1:16">
      <c r="A108" s="103">
        <v>107</v>
      </c>
      <c r="B108" s="37" t="str">
        <f>IF($S$4=0,IF($I108="","",$I108),IFERROR(IF([1]筐子进出接口!$B$107=0,"",[1]筐子进出接口!$B$107),""))</f>
        <v/>
      </c>
      <c r="C108" s="37" t="str">
        <f>IF($S$4=0,IF($J108="","",$J108),IFERROR(IF([1]筐子进出接口!$C$107=0,"",[1]筐子进出接口!$C$107),""))</f>
        <v/>
      </c>
      <c r="D108" s="25" t="str">
        <f>IF($S$4=0,IF($K108="","",$K108),IFERROR(IF([1]筐子进出接口!$D$107=0,"",[1]筐子进出接口!$D$107),""))</f>
        <v/>
      </c>
      <c r="E108" s="25" t="str">
        <f>IF($S$4=0,IF($L108="","",$L108),IFERROR(IF([1]筐子进出接口!$E$107=0,"",[1]筐子进出接口!$E$107),""))</f>
        <v/>
      </c>
      <c r="F108" s="25" t="str">
        <f>IF($S$4=0,IF($M108="","",$M108),IFERROR(IF([1]筐子进出接口!$F$107=0,"",[1]筐子进出接口!$F$107),""))</f>
        <v/>
      </c>
      <c r="G108" s="25" t="str">
        <f>IF($S$4=0,IF($N108="","",$N108),IFERROR(IF([1]筐子进出接口!$G$107=0,"",[1]筐子进出接口!$G$107),""))</f>
        <v/>
      </c>
      <c r="H108" s="25" t="str">
        <f t="shared" si="3"/>
        <v/>
      </c>
      <c r="I108" s="27"/>
      <c r="J108" s="27"/>
      <c r="K108" s="104"/>
      <c r="L108" s="104"/>
      <c r="M108" s="104"/>
      <c r="N108" s="104"/>
      <c r="O108" s="105">
        <f t="shared" si="4"/>
        <v>0</v>
      </c>
      <c r="P108" s="105">
        <f t="shared" si="5"/>
        <v>22</v>
      </c>
    </row>
    <row r="109" spans="1:16">
      <c r="A109" s="103">
        <v>108</v>
      </c>
      <c r="B109" s="37" t="str">
        <f>IF($S$4=0,IF($I109="","",$I109),IFERROR(IF([1]筐子进出接口!$B$108=0,"",[1]筐子进出接口!$B$108),""))</f>
        <v/>
      </c>
      <c r="C109" s="37" t="str">
        <f>IF($S$4=0,IF($J109="","",$J109),IFERROR(IF([1]筐子进出接口!$C$108=0,"",[1]筐子进出接口!$C$108),""))</f>
        <v/>
      </c>
      <c r="D109" s="25" t="str">
        <f>IF($S$4=0,IF($K109="","",$K109),IFERROR(IF([1]筐子进出接口!$D$108=0,"",[1]筐子进出接口!$D$108),""))</f>
        <v/>
      </c>
      <c r="E109" s="25" t="str">
        <f>IF($S$4=0,IF($L109="","",$L109),IFERROR(IF([1]筐子进出接口!$E$108=0,"",[1]筐子进出接口!$E$108),""))</f>
        <v/>
      </c>
      <c r="F109" s="25" t="str">
        <f>IF($S$4=0,IF($M109="","",$M109),IFERROR(IF([1]筐子进出接口!$F$108=0,"",[1]筐子进出接口!$F$108),""))</f>
        <v/>
      </c>
      <c r="G109" s="25" t="str">
        <f>IF($S$4=0,IF($N109="","",$N109),IFERROR(IF([1]筐子进出接口!$G$108=0,"",[1]筐子进出接口!$G$108),""))</f>
        <v/>
      </c>
      <c r="H109" s="25" t="str">
        <f t="shared" si="3"/>
        <v/>
      </c>
      <c r="I109" s="27"/>
      <c r="J109" s="27"/>
      <c r="K109" s="104"/>
      <c r="L109" s="104"/>
      <c r="M109" s="104"/>
      <c r="N109" s="104"/>
      <c r="O109" s="105">
        <f t="shared" si="4"/>
        <v>0</v>
      </c>
      <c r="P109" s="105">
        <f t="shared" si="5"/>
        <v>22</v>
      </c>
    </row>
    <row r="110" spans="1:16">
      <c r="A110" s="103">
        <v>109</v>
      </c>
      <c r="B110" s="37" t="str">
        <f>IF($S$4=0,IF($I110="","",$I110),IFERROR(IF([1]筐子进出接口!$B$109=0,"",[1]筐子进出接口!$B$109),""))</f>
        <v/>
      </c>
      <c r="C110" s="37" t="str">
        <f>IF($S$4=0,IF($J110="","",$J110),IFERROR(IF([1]筐子进出接口!$C$109=0,"",[1]筐子进出接口!$C$109),""))</f>
        <v/>
      </c>
      <c r="D110" s="25" t="str">
        <f>IF($S$4=0,IF($K110="","",$K110),IFERROR(IF([1]筐子进出接口!$D$109=0,"",[1]筐子进出接口!$D$109),""))</f>
        <v/>
      </c>
      <c r="E110" s="25" t="str">
        <f>IF($S$4=0,IF($L110="","",$L110),IFERROR(IF([1]筐子进出接口!$E$109=0,"",[1]筐子进出接口!$E$109),""))</f>
        <v/>
      </c>
      <c r="F110" s="25" t="str">
        <f>IF($S$4=0,IF($M110="","",$M110),IFERROR(IF([1]筐子进出接口!$F$109=0,"",[1]筐子进出接口!$F$109),""))</f>
        <v/>
      </c>
      <c r="G110" s="25" t="str">
        <f>IF($S$4=0,IF($N110="","",$N110),IFERROR(IF([1]筐子进出接口!$G$109=0,"",[1]筐子进出接口!$G$109),""))</f>
        <v/>
      </c>
      <c r="H110" s="25" t="str">
        <f t="shared" si="3"/>
        <v/>
      </c>
      <c r="I110" s="27"/>
      <c r="J110" s="27"/>
      <c r="K110" s="104"/>
      <c r="L110" s="104"/>
      <c r="M110" s="104"/>
      <c r="N110" s="104"/>
      <c r="O110" s="105">
        <f t="shared" si="4"/>
        <v>0</v>
      </c>
      <c r="P110" s="105">
        <f t="shared" si="5"/>
        <v>22</v>
      </c>
    </row>
    <row r="111" spans="1:16">
      <c r="A111" s="103">
        <v>110</v>
      </c>
      <c r="B111" s="37" t="str">
        <f>IF($S$4=0,IF($I111="","",$I111),IFERROR(IF([1]筐子进出接口!$B$110=0,"",[1]筐子进出接口!$B$110),""))</f>
        <v/>
      </c>
      <c r="C111" s="37" t="str">
        <f>IF($S$4=0,IF($J111="","",$J111),IFERROR(IF([1]筐子进出接口!$C$110=0,"",[1]筐子进出接口!$C$110),""))</f>
        <v/>
      </c>
      <c r="D111" s="25" t="str">
        <f>IF($S$4=0,IF($K111="","",$K111),IFERROR(IF([1]筐子进出接口!$D$110=0,"",[1]筐子进出接口!$D$110),""))</f>
        <v/>
      </c>
      <c r="E111" s="25" t="str">
        <f>IF($S$4=0,IF($L111="","",$L111),IFERROR(IF([1]筐子进出接口!$E$110=0,"",[1]筐子进出接口!$E$110),""))</f>
        <v/>
      </c>
      <c r="F111" s="25" t="str">
        <f>IF($S$4=0,IF($M111="","",$M111),IFERROR(IF([1]筐子进出接口!$F$110=0,"",[1]筐子进出接口!$F$110),""))</f>
        <v/>
      </c>
      <c r="G111" s="25" t="str">
        <f>IF($S$4=0,IF($N111="","",$N111),IFERROR(IF([1]筐子进出接口!$G$110=0,"",[1]筐子进出接口!$G$110),""))</f>
        <v/>
      </c>
      <c r="H111" s="25" t="str">
        <f t="shared" si="3"/>
        <v/>
      </c>
      <c r="I111" s="27"/>
      <c r="J111" s="27"/>
      <c r="K111" s="104"/>
      <c r="L111" s="104"/>
      <c r="M111" s="104"/>
      <c r="N111" s="104"/>
      <c r="O111" s="105">
        <f t="shared" si="4"/>
        <v>0</v>
      </c>
      <c r="P111" s="105">
        <f t="shared" si="5"/>
        <v>22</v>
      </c>
    </row>
    <row r="112" spans="1:16">
      <c r="A112" s="103">
        <v>111</v>
      </c>
      <c r="B112" s="37" t="str">
        <f>IF($S$4=0,IF($I112="","",$I112),IFERROR(IF([1]筐子进出接口!$B$111=0,"",[1]筐子进出接口!$B$111),""))</f>
        <v/>
      </c>
      <c r="C112" s="37" t="str">
        <f>IF($S$4=0,IF($J112="","",$J112),IFERROR(IF([1]筐子进出接口!$C$111=0,"",[1]筐子进出接口!$C$111),""))</f>
        <v/>
      </c>
      <c r="D112" s="25" t="str">
        <f>IF($S$4=0,IF($K112="","",$K112),IFERROR(IF([1]筐子进出接口!$D$111=0,"",[1]筐子进出接口!$D$111),""))</f>
        <v/>
      </c>
      <c r="E112" s="25" t="str">
        <f>IF($S$4=0,IF($L112="","",$L112),IFERROR(IF([1]筐子进出接口!$E$111=0,"",[1]筐子进出接口!$E$111),""))</f>
        <v/>
      </c>
      <c r="F112" s="25" t="str">
        <f>IF($S$4=0,IF($M112="","",$M112),IFERROR(IF([1]筐子进出接口!$F$111=0,"",[1]筐子进出接口!$F$111),""))</f>
        <v/>
      </c>
      <c r="G112" s="25" t="str">
        <f>IF($S$4=0,IF($N112="","",$N112),IFERROR(IF([1]筐子进出接口!$G$111=0,"",[1]筐子进出接口!$G$111),""))</f>
        <v/>
      </c>
      <c r="H112" s="25" t="str">
        <f t="shared" si="3"/>
        <v/>
      </c>
      <c r="I112" s="27"/>
      <c r="J112" s="27"/>
      <c r="K112" s="104"/>
      <c r="L112" s="104"/>
      <c r="M112" s="104"/>
      <c r="N112" s="104"/>
      <c r="O112" s="105">
        <f t="shared" si="4"/>
        <v>0</v>
      </c>
      <c r="P112" s="105">
        <f t="shared" si="5"/>
        <v>22</v>
      </c>
    </row>
    <row r="113" spans="1:16">
      <c r="A113" s="103">
        <v>112</v>
      </c>
      <c r="B113" s="37" t="str">
        <f>IF($S$4=0,IF($I113="","",$I113),IFERROR(IF([1]筐子进出接口!$B$112=0,"",[1]筐子进出接口!$B$112),""))</f>
        <v/>
      </c>
      <c r="C113" s="37" t="str">
        <f>IF($S$4=0,IF($J113="","",$J113),IFERROR(IF([1]筐子进出接口!$C$112=0,"",[1]筐子进出接口!$C$112),""))</f>
        <v/>
      </c>
      <c r="D113" s="25" t="str">
        <f>IF($S$4=0,IF($K113="","",$K113),IFERROR(IF([1]筐子进出接口!$D$112=0,"",[1]筐子进出接口!$D$112),""))</f>
        <v/>
      </c>
      <c r="E113" s="25" t="str">
        <f>IF($S$4=0,IF($L113="","",$L113),IFERROR(IF([1]筐子进出接口!$E$112=0,"",[1]筐子进出接口!$E$112),""))</f>
        <v/>
      </c>
      <c r="F113" s="25" t="str">
        <f>IF($S$4=0,IF($M113="","",$M113),IFERROR(IF([1]筐子进出接口!$F$112=0,"",[1]筐子进出接口!$F$112),""))</f>
        <v/>
      </c>
      <c r="G113" s="25" t="str">
        <f>IF($S$4=0,IF($N113="","",$N113),IFERROR(IF([1]筐子进出接口!$G$112=0,"",[1]筐子进出接口!$G$112),""))</f>
        <v/>
      </c>
      <c r="H113" s="25" t="str">
        <f t="shared" si="3"/>
        <v/>
      </c>
      <c r="I113" s="27"/>
      <c r="J113" s="27"/>
      <c r="K113" s="104"/>
      <c r="L113" s="104"/>
      <c r="M113" s="104"/>
      <c r="N113" s="104"/>
      <c r="O113" s="105">
        <f t="shared" si="4"/>
        <v>0</v>
      </c>
      <c r="P113" s="105">
        <f t="shared" si="5"/>
        <v>22</v>
      </c>
    </row>
    <row r="114" spans="1:16">
      <c r="A114" s="103">
        <v>113</v>
      </c>
      <c r="B114" s="37" t="str">
        <f>IF($S$4=0,IF($I114="","",$I114),IFERROR(IF([1]筐子进出接口!$B$113=0,"",[1]筐子进出接口!$B$113),""))</f>
        <v/>
      </c>
      <c r="C114" s="37" t="str">
        <f>IF($S$4=0,IF($J114="","",$J114),IFERROR(IF([1]筐子进出接口!$C$113=0,"",[1]筐子进出接口!$C$113),""))</f>
        <v/>
      </c>
      <c r="D114" s="25" t="str">
        <f>IF($S$4=0,IF($K114="","",$K114),IFERROR(IF([1]筐子进出接口!$D$113=0,"",[1]筐子进出接口!$D$113),""))</f>
        <v/>
      </c>
      <c r="E114" s="25" t="str">
        <f>IF($S$4=0,IF($L114="","",$L114),IFERROR(IF([1]筐子进出接口!$E$113=0,"",[1]筐子进出接口!$E$113),""))</f>
        <v/>
      </c>
      <c r="F114" s="25" t="str">
        <f>IF($S$4=0,IF($M114="","",$M114),IFERROR(IF([1]筐子进出接口!$F$113=0,"",[1]筐子进出接口!$F$113),""))</f>
        <v/>
      </c>
      <c r="G114" s="25" t="str">
        <f>IF($S$4=0,IF($N114="","",$N114),IFERROR(IF([1]筐子进出接口!$G$113=0,"",[1]筐子进出接口!$G$113),""))</f>
        <v/>
      </c>
      <c r="H114" s="25" t="str">
        <f t="shared" si="3"/>
        <v/>
      </c>
      <c r="I114" s="27"/>
      <c r="J114" s="27"/>
      <c r="K114" s="104"/>
      <c r="L114" s="104"/>
      <c r="M114" s="104"/>
      <c r="N114" s="104"/>
      <c r="O114" s="105">
        <f t="shared" si="4"/>
        <v>0</v>
      </c>
      <c r="P114" s="105">
        <f t="shared" si="5"/>
        <v>22</v>
      </c>
    </row>
    <row r="115" spans="1:16">
      <c r="A115" s="103">
        <v>114</v>
      </c>
      <c r="B115" s="37" t="str">
        <f>IF($S$4=0,IF($I115="","",$I115),IFERROR(IF([1]筐子进出接口!$B$114=0,"",[1]筐子进出接口!$B$114),""))</f>
        <v/>
      </c>
      <c r="C115" s="37" t="str">
        <f>IF($S$4=0,IF($J115="","",$J115),IFERROR(IF([1]筐子进出接口!$C$114=0,"",[1]筐子进出接口!$C$114),""))</f>
        <v/>
      </c>
      <c r="D115" s="25" t="str">
        <f>IF($S$4=0,IF($K115="","",$K115),IFERROR(IF([1]筐子进出接口!$D$114=0,"",[1]筐子进出接口!$D$114),""))</f>
        <v/>
      </c>
      <c r="E115" s="25" t="str">
        <f>IF($S$4=0,IF($L115="","",$L115),IFERROR(IF([1]筐子进出接口!$E$114=0,"",[1]筐子进出接口!$E$114),""))</f>
        <v/>
      </c>
      <c r="F115" s="25" t="str">
        <f>IF($S$4=0,IF($M115="","",$M115),IFERROR(IF([1]筐子进出接口!$F$114=0,"",[1]筐子进出接口!$F$114),""))</f>
        <v/>
      </c>
      <c r="G115" s="25" t="str">
        <f>IF($S$4=0,IF($N115="","",$N115),IFERROR(IF([1]筐子进出接口!$G$114=0,"",[1]筐子进出接口!$G$114),""))</f>
        <v/>
      </c>
      <c r="H115" s="25" t="str">
        <f t="shared" si="3"/>
        <v/>
      </c>
      <c r="I115" s="27"/>
      <c r="J115" s="27"/>
      <c r="K115" s="104"/>
      <c r="L115" s="104"/>
      <c r="M115" s="104"/>
      <c r="N115" s="104"/>
      <c r="O115" s="105">
        <f t="shared" si="4"/>
        <v>0</v>
      </c>
      <c r="P115" s="105">
        <f t="shared" si="5"/>
        <v>22</v>
      </c>
    </row>
    <row r="116" spans="1:16">
      <c r="A116" s="103">
        <v>115</v>
      </c>
      <c r="B116" s="37" t="str">
        <f>IF($S$4=0,IF($I116="","",$I116),IFERROR(IF([1]筐子进出接口!$B$115=0,"",[1]筐子进出接口!$B$115),""))</f>
        <v/>
      </c>
      <c r="C116" s="37" t="str">
        <f>IF($S$4=0,IF($J116="","",$J116),IFERROR(IF([1]筐子进出接口!$C$115=0,"",[1]筐子进出接口!$C$115),""))</f>
        <v/>
      </c>
      <c r="D116" s="25" t="str">
        <f>IF($S$4=0,IF($K116="","",$K116),IFERROR(IF([1]筐子进出接口!$D$115=0,"",[1]筐子进出接口!$D$115),""))</f>
        <v/>
      </c>
      <c r="E116" s="25" t="str">
        <f>IF($S$4=0,IF($L116="","",$L116),IFERROR(IF([1]筐子进出接口!$E$115=0,"",[1]筐子进出接口!$E$115),""))</f>
        <v/>
      </c>
      <c r="F116" s="25" t="str">
        <f>IF($S$4=0,IF($M116="","",$M116),IFERROR(IF([1]筐子进出接口!$F$115=0,"",[1]筐子进出接口!$F$115),""))</f>
        <v/>
      </c>
      <c r="G116" s="25" t="str">
        <f>IF($S$4=0,IF($N116="","",$N116),IFERROR(IF([1]筐子进出接口!$G$115=0,"",[1]筐子进出接口!$G$115),""))</f>
        <v/>
      </c>
      <c r="H116" s="25" t="str">
        <f t="shared" si="3"/>
        <v/>
      </c>
      <c r="I116" s="27"/>
      <c r="J116" s="27"/>
      <c r="K116" s="104"/>
      <c r="L116" s="104"/>
      <c r="M116" s="104"/>
      <c r="N116" s="104"/>
      <c r="O116" s="105">
        <f t="shared" si="4"/>
        <v>0</v>
      </c>
      <c r="P116" s="105">
        <f t="shared" si="5"/>
        <v>22</v>
      </c>
    </row>
    <row r="117" spans="1:16">
      <c r="A117" s="103">
        <v>116</v>
      </c>
      <c r="B117" s="37" t="str">
        <f>IF($S$4=0,IF($I117="","",$I117),IFERROR(IF([1]筐子进出接口!$B$116=0,"",[1]筐子进出接口!$B$116),""))</f>
        <v/>
      </c>
      <c r="C117" s="37" t="str">
        <f>IF($S$4=0,IF($J117="","",$J117),IFERROR(IF([1]筐子进出接口!$C$116=0,"",[1]筐子进出接口!$C$116),""))</f>
        <v/>
      </c>
      <c r="D117" s="25" t="str">
        <f>IF($S$4=0,IF($K117="","",$K117),IFERROR(IF([1]筐子进出接口!$D$116=0,"",[1]筐子进出接口!$D$116),""))</f>
        <v/>
      </c>
      <c r="E117" s="25" t="str">
        <f>IF($S$4=0,IF($L117="","",$L117),IFERROR(IF([1]筐子进出接口!$E$116=0,"",[1]筐子进出接口!$E$116),""))</f>
        <v/>
      </c>
      <c r="F117" s="25" t="str">
        <f>IF($S$4=0,IF($M117="","",$M117),IFERROR(IF([1]筐子进出接口!$F$116=0,"",[1]筐子进出接口!$F$116),""))</f>
        <v/>
      </c>
      <c r="G117" s="25" t="str">
        <f>IF($S$4=0,IF($N117="","",$N117),IFERROR(IF([1]筐子进出接口!$G$116=0,"",[1]筐子进出接口!$G$116),""))</f>
        <v/>
      </c>
      <c r="H117" s="25" t="str">
        <f t="shared" si="3"/>
        <v/>
      </c>
      <c r="I117" s="27"/>
      <c r="J117" s="27"/>
      <c r="K117" s="104"/>
      <c r="L117" s="104"/>
      <c r="M117" s="104"/>
      <c r="N117" s="104"/>
      <c r="O117" s="105">
        <f t="shared" si="4"/>
        <v>0</v>
      </c>
      <c r="P117" s="105">
        <f t="shared" si="5"/>
        <v>22</v>
      </c>
    </row>
    <row r="118" spans="1:16">
      <c r="A118" s="103">
        <v>117</v>
      </c>
      <c r="B118" s="37" t="str">
        <f>IF($S$4=0,IF($I118="","",$I118),IFERROR(IF([1]筐子进出接口!$B$117=0,"",[1]筐子进出接口!$B$117),""))</f>
        <v/>
      </c>
      <c r="C118" s="37" t="str">
        <f>IF($S$4=0,IF($J118="","",$J118),IFERROR(IF([1]筐子进出接口!$C$117=0,"",[1]筐子进出接口!$C$117),""))</f>
        <v/>
      </c>
      <c r="D118" s="25" t="str">
        <f>IF($S$4=0,IF($K118="","",$K118),IFERROR(IF([1]筐子进出接口!$D$117=0,"",[1]筐子进出接口!$D$117),""))</f>
        <v/>
      </c>
      <c r="E118" s="25" t="str">
        <f>IF($S$4=0,IF($L118="","",$L118),IFERROR(IF([1]筐子进出接口!$E$117=0,"",[1]筐子进出接口!$E$117),""))</f>
        <v/>
      </c>
      <c r="F118" s="25" t="str">
        <f>IF($S$4=0,IF($M118="","",$M118),IFERROR(IF([1]筐子进出接口!$F$117=0,"",[1]筐子进出接口!$F$117),""))</f>
        <v/>
      </c>
      <c r="G118" s="25" t="str">
        <f>IF($S$4=0,IF($N118="","",$N118),IFERROR(IF([1]筐子进出接口!$G$117=0,"",[1]筐子进出接口!$G$117),""))</f>
        <v/>
      </c>
      <c r="H118" s="25" t="str">
        <f t="shared" si="3"/>
        <v/>
      </c>
      <c r="I118" s="27"/>
      <c r="J118" s="27"/>
      <c r="K118" s="104"/>
      <c r="L118" s="104"/>
      <c r="M118" s="104"/>
      <c r="N118" s="104"/>
      <c r="O118" s="105">
        <f t="shared" si="4"/>
        <v>0</v>
      </c>
      <c r="P118" s="105">
        <f t="shared" si="5"/>
        <v>22</v>
      </c>
    </row>
    <row r="119" spans="1:16">
      <c r="A119" s="103">
        <v>118</v>
      </c>
      <c r="B119" s="37" t="str">
        <f>IF($S$4=0,IF($I119="","",$I119),IFERROR(IF([1]筐子进出接口!$B$118=0,"",[1]筐子进出接口!$B$118),""))</f>
        <v/>
      </c>
      <c r="C119" s="37" t="str">
        <f>IF($S$4=0,IF($J119="","",$J119),IFERROR(IF([1]筐子进出接口!$C$118=0,"",[1]筐子进出接口!$C$118),""))</f>
        <v/>
      </c>
      <c r="D119" s="25" t="str">
        <f>IF($S$4=0,IF($K119="","",$K119),IFERROR(IF([1]筐子进出接口!$D$118=0,"",[1]筐子进出接口!$D$118),""))</f>
        <v/>
      </c>
      <c r="E119" s="25" t="str">
        <f>IF($S$4=0,IF($L119="","",$L119),IFERROR(IF([1]筐子进出接口!$E$118=0,"",[1]筐子进出接口!$E$118),""))</f>
        <v/>
      </c>
      <c r="F119" s="25" t="str">
        <f>IF($S$4=0,IF($M119="","",$M119),IFERROR(IF([1]筐子进出接口!$F$118=0,"",[1]筐子进出接口!$F$118),""))</f>
        <v/>
      </c>
      <c r="G119" s="25" t="str">
        <f>IF($S$4=0,IF($N119="","",$N119),IFERROR(IF([1]筐子进出接口!$G$118=0,"",[1]筐子进出接口!$G$118),""))</f>
        <v/>
      </c>
      <c r="H119" s="25" t="str">
        <f t="shared" si="3"/>
        <v/>
      </c>
      <c r="I119" s="27"/>
      <c r="J119" s="27"/>
      <c r="K119" s="104"/>
      <c r="L119" s="104"/>
      <c r="M119" s="104"/>
      <c r="N119" s="104"/>
      <c r="O119" s="105">
        <f t="shared" si="4"/>
        <v>0</v>
      </c>
      <c r="P119" s="105">
        <f t="shared" si="5"/>
        <v>22</v>
      </c>
    </row>
    <row r="120" spans="1:16">
      <c r="A120" s="103">
        <v>119</v>
      </c>
      <c r="B120" s="37" t="str">
        <f>IF($S$4=0,IF($I120="","",$I120),IFERROR(IF([1]筐子进出接口!$B$119=0,"",[1]筐子进出接口!$B$119),""))</f>
        <v/>
      </c>
      <c r="C120" s="37" t="str">
        <f>IF($S$4=0,IF($J120="","",$J120),IFERROR(IF([1]筐子进出接口!$C$119=0,"",[1]筐子进出接口!$C$119),""))</f>
        <v/>
      </c>
      <c r="D120" s="25" t="str">
        <f>IF($S$4=0,IF($K120="","",$K120),IFERROR(IF([1]筐子进出接口!$D$119=0,"",[1]筐子进出接口!$D$119),""))</f>
        <v/>
      </c>
      <c r="E120" s="25" t="str">
        <f>IF($S$4=0,IF($L120="","",$L120),IFERROR(IF([1]筐子进出接口!$E$119=0,"",[1]筐子进出接口!$E$119),""))</f>
        <v/>
      </c>
      <c r="F120" s="25" t="str">
        <f>IF($S$4=0,IF($M120="","",$M120),IFERROR(IF([1]筐子进出接口!$F$119=0,"",[1]筐子进出接口!$F$119),""))</f>
        <v/>
      </c>
      <c r="G120" s="25" t="str">
        <f>IF($S$4=0,IF($N120="","",$N120),IFERROR(IF([1]筐子进出接口!$G$119=0,"",[1]筐子进出接口!$G$119),""))</f>
        <v/>
      </c>
      <c r="H120" s="25" t="str">
        <f t="shared" si="3"/>
        <v/>
      </c>
      <c r="I120" s="27"/>
      <c r="J120" s="27"/>
      <c r="K120" s="104"/>
      <c r="L120" s="104"/>
      <c r="M120" s="104"/>
      <c r="N120" s="104"/>
      <c r="O120" s="105">
        <f t="shared" si="4"/>
        <v>0</v>
      </c>
      <c r="P120" s="105">
        <f t="shared" si="5"/>
        <v>22</v>
      </c>
    </row>
    <row r="121" spans="1:16">
      <c r="A121" s="103">
        <v>120</v>
      </c>
      <c r="B121" s="37" t="str">
        <f>IF($S$4=0,IF($I121="","",$I121),IFERROR(IF([1]筐子进出接口!$B$120=0,"",[1]筐子进出接口!$B$120),""))</f>
        <v/>
      </c>
      <c r="C121" s="37" t="str">
        <f>IF($S$4=0,IF($J121="","",$J121),IFERROR(IF([1]筐子进出接口!$C$120=0,"",[1]筐子进出接口!$C$120),""))</f>
        <v/>
      </c>
      <c r="D121" s="25" t="str">
        <f>IF($S$4=0,IF($K121="","",$K121),IFERROR(IF([1]筐子进出接口!$D$120=0,"",[1]筐子进出接口!$D$120),""))</f>
        <v/>
      </c>
      <c r="E121" s="25" t="str">
        <f>IF($S$4=0,IF($L121="","",$L121),IFERROR(IF([1]筐子进出接口!$E$120=0,"",[1]筐子进出接口!$E$120),""))</f>
        <v/>
      </c>
      <c r="F121" s="25" t="str">
        <f>IF($S$4=0,IF($M121="","",$M121),IFERROR(IF([1]筐子进出接口!$F$120=0,"",[1]筐子进出接口!$F$120),""))</f>
        <v/>
      </c>
      <c r="G121" s="25" t="str">
        <f>IF($S$4=0,IF($N121="","",$N121),IFERROR(IF([1]筐子进出接口!$G$120=0,"",[1]筐子进出接口!$G$120),""))</f>
        <v/>
      </c>
      <c r="H121" s="25" t="str">
        <f t="shared" si="3"/>
        <v/>
      </c>
      <c r="I121" s="27"/>
      <c r="J121" s="27"/>
      <c r="K121" s="104"/>
      <c r="L121" s="104"/>
      <c r="M121" s="104"/>
      <c r="N121" s="104"/>
      <c r="O121" s="105">
        <f t="shared" si="4"/>
        <v>0</v>
      </c>
      <c r="P121" s="105">
        <f t="shared" si="5"/>
        <v>22</v>
      </c>
    </row>
    <row r="122" spans="1:16">
      <c r="A122" s="103">
        <v>121</v>
      </c>
      <c r="B122" s="37" t="str">
        <f>IF($S$4=0,IF($I122="","",$I122),IFERROR(IF([1]筐子进出接口!$B$121=0,"",[1]筐子进出接口!$B$121),""))</f>
        <v/>
      </c>
      <c r="C122" s="37" t="str">
        <f>IF($S$4=0,IF($J122="","",$J122),IFERROR(IF([1]筐子进出接口!$C$121=0,"",[1]筐子进出接口!$C$121),""))</f>
        <v/>
      </c>
      <c r="D122" s="25" t="str">
        <f>IF($S$4=0,IF($K122="","",$K122),IFERROR(IF([1]筐子进出接口!$D$121=0,"",[1]筐子进出接口!$D$121),""))</f>
        <v/>
      </c>
      <c r="E122" s="25" t="str">
        <f>IF($S$4=0,IF($L122="","",$L122),IFERROR(IF([1]筐子进出接口!$E$121=0,"",[1]筐子进出接口!$E$121),""))</f>
        <v/>
      </c>
      <c r="F122" s="25" t="str">
        <f>IF($S$4=0,IF($M122="","",$M122),IFERROR(IF([1]筐子进出接口!$F$121=0,"",[1]筐子进出接口!$F$121),""))</f>
        <v/>
      </c>
      <c r="G122" s="25" t="str">
        <f>IF($S$4=0,IF($N122="","",$N122),IFERROR(IF([1]筐子进出接口!$G$121=0,"",[1]筐子进出接口!$G$121),""))</f>
        <v/>
      </c>
      <c r="H122" s="25" t="str">
        <f t="shared" si="3"/>
        <v/>
      </c>
      <c r="I122" s="27"/>
      <c r="J122" s="27"/>
      <c r="K122" s="104"/>
      <c r="L122" s="104"/>
      <c r="M122" s="104"/>
      <c r="N122" s="104"/>
      <c r="O122" s="105">
        <f t="shared" si="4"/>
        <v>0</v>
      </c>
      <c r="P122" s="105">
        <f t="shared" si="5"/>
        <v>22</v>
      </c>
    </row>
    <row r="123" spans="1:16">
      <c r="A123" s="103">
        <v>122</v>
      </c>
      <c r="B123" s="37" t="str">
        <f>IF($S$4=0,IF($I123="","",$I123),IFERROR(IF([1]筐子进出接口!$B$122=0,"",[1]筐子进出接口!$B$122),""))</f>
        <v/>
      </c>
      <c r="C123" s="37" t="str">
        <f>IF($S$4=0,IF($J123="","",$J123),IFERROR(IF([1]筐子进出接口!$C$122=0,"",[1]筐子进出接口!$C$122),""))</f>
        <v/>
      </c>
      <c r="D123" s="25" t="str">
        <f>IF($S$4=0,IF($K123="","",$K123),IFERROR(IF([1]筐子进出接口!$D$122=0,"",[1]筐子进出接口!$D$122),""))</f>
        <v/>
      </c>
      <c r="E123" s="25" t="str">
        <f>IF($S$4=0,IF($L123="","",$L123),IFERROR(IF([1]筐子进出接口!$E$122=0,"",[1]筐子进出接口!$E$122),""))</f>
        <v/>
      </c>
      <c r="F123" s="25" t="str">
        <f>IF($S$4=0,IF($M123="","",$M123),IFERROR(IF([1]筐子进出接口!$F$122=0,"",[1]筐子进出接口!$F$122),""))</f>
        <v/>
      </c>
      <c r="G123" s="25" t="str">
        <f>IF($S$4=0,IF($N123="","",$N123),IFERROR(IF([1]筐子进出接口!$G$122=0,"",[1]筐子进出接口!$G$122),""))</f>
        <v/>
      </c>
      <c r="H123" s="25" t="str">
        <f t="shared" si="3"/>
        <v/>
      </c>
      <c r="I123" s="27"/>
      <c r="J123" s="27"/>
      <c r="K123" s="104"/>
      <c r="L123" s="104"/>
      <c r="M123" s="104"/>
      <c r="N123" s="104"/>
      <c r="O123" s="105">
        <f t="shared" si="4"/>
        <v>0</v>
      </c>
      <c r="P123" s="105">
        <f t="shared" si="5"/>
        <v>22</v>
      </c>
    </row>
    <row r="124" spans="1:16">
      <c r="A124" s="103">
        <v>123</v>
      </c>
      <c r="B124" s="37" t="str">
        <f>IF($S$4=0,IF($I124="","",$I124),IFERROR(IF([1]筐子进出接口!$B$123=0,"",[1]筐子进出接口!$B$123),""))</f>
        <v/>
      </c>
      <c r="C124" s="37" t="str">
        <f>IF($S$4=0,IF($J124="","",$J124),IFERROR(IF([1]筐子进出接口!$C$123=0,"",[1]筐子进出接口!$C$123),""))</f>
        <v/>
      </c>
      <c r="D124" s="25" t="str">
        <f>IF($S$4=0,IF($K124="","",$K124),IFERROR(IF([1]筐子进出接口!$D$123=0,"",[1]筐子进出接口!$D$123),""))</f>
        <v/>
      </c>
      <c r="E124" s="25" t="str">
        <f>IF($S$4=0,IF($L124="","",$L124),IFERROR(IF([1]筐子进出接口!$E$123=0,"",[1]筐子进出接口!$E$123),""))</f>
        <v/>
      </c>
      <c r="F124" s="25" t="str">
        <f>IF($S$4=0,IF($M124="","",$M124),IFERROR(IF([1]筐子进出接口!$F$123=0,"",[1]筐子进出接口!$F$123),""))</f>
        <v/>
      </c>
      <c r="G124" s="25" t="str">
        <f>IF($S$4=0,IF($N124="","",$N124),IFERROR(IF([1]筐子进出接口!$G$123=0,"",[1]筐子进出接口!$G$123),""))</f>
        <v/>
      </c>
      <c r="H124" s="25" t="str">
        <f t="shared" si="3"/>
        <v/>
      </c>
      <c r="I124" s="27"/>
      <c r="J124" s="27"/>
      <c r="K124" s="104"/>
      <c r="L124" s="104"/>
      <c r="M124" s="104"/>
      <c r="N124" s="104"/>
      <c r="O124" s="105">
        <f t="shared" si="4"/>
        <v>0</v>
      </c>
      <c r="P124" s="105">
        <f t="shared" si="5"/>
        <v>22</v>
      </c>
    </row>
    <row r="125" spans="1:16">
      <c r="A125" s="103">
        <v>124</v>
      </c>
      <c r="B125" s="37" t="str">
        <f>IF($S$4=0,IF($I125="","",$I125),IFERROR(IF([1]筐子进出接口!$B$124=0,"",[1]筐子进出接口!$B$124),""))</f>
        <v/>
      </c>
      <c r="C125" s="37" t="str">
        <f>IF($S$4=0,IF($J125="","",$J125),IFERROR(IF([1]筐子进出接口!$C$124=0,"",[1]筐子进出接口!$C$124),""))</f>
        <v/>
      </c>
      <c r="D125" s="25" t="str">
        <f>IF($S$4=0,IF($K125="","",$K125),IFERROR(IF([1]筐子进出接口!$D$124=0,"",[1]筐子进出接口!$D$124),""))</f>
        <v/>
      </c>
      <c r="E125" s="25" t="str">
        <f>IF($S$4=0,IF($L125="","",$L125),IFERROR(IF([1]筐子进出接口!$E$124=0,"",[1]筐子进出接口!$E$124),""))</f>
        <v/>
      </c>
      <c r="F125" s="25" t="str">
        <f>IF($S$4=0,IF($M125="","",$M125),IFERROR(IF([1]筐子进出接口!$F$124=0,"",[1]筐子进出接口!$F$124),""))</f>
        <v/>
      </c>
      <c r="G125" s="25" t="str">
        <f>IF($S$4=0,IF($N125="","",$N125),IFERROR(IF([1]筐子进出接口!$G$124=0,"",[1]筐子进出接口!$G$124),""))</f>
        <v/>
      </c>
      <c r="H125" s="25" t="str">
        <f t="shared" si="3"/>
        <v/>
      </c>
      <c r="I125" s="27"/>
      <c r="J125" s="27"/>
      <c r="K125" s="104"/>
      <c r="L125" s="104"/>
      <c r="M125" s="104"/>
      <c r="N125" s="104"/>
      <c r="O125" s="105">
        <f t="shared" si="4"/>
        <v>0</v>
      </c>
      <c r="P125" s="105">
        <f t="shared" si="5"/>
        <v>22</v>
      </c>
    </row>
    <row r="126" spans="1:16">
      <c r="A126" s="103">
        <v>125</v>
      </c>
      <c r="B126" s="37" t="str">
        <f>IF($S$4=0,IF($I126="","",$I126),IFERROR(IF([1]筐子进出接口!$B$125=0,"",[1]筐子进出接口!$B$125),""))</f>
        <v/>
      </c>
      <c r="C126" s="37" t="str">
        <f>IF($S$4=0,IF($J126="","",$J126),IFERROR(IF([1]筐子进出接口!$C$125=0,"",[1]筐子进出接口!$C$125),""))</f>
        <v/>
      </c>
      <c r="D126" s="25" t="str">
        <f>IF($S$4=0,IF($K126="","",$K126),IFERROR(IF([1]筐子进出接口!$D$125=0,"",[1]筐子进出接口!$D$125),""))</f>
        <v/>
      </c>
      <c r="E126" s="25" t="str">
        <f>IF($S$4=0,IF($L126="","",$L126),IFERROR(IF([1]筐子进出接口!$E$125=0,"",[1]筐子进出接口!$E$125),""))</f>
        <v/>
      </c>
      <c r="F126" s="25" t="str">
        <f>IF($S$4=0,IF($M126="","",$M126),IFERROR(IF([1]筐子进出接口!$F$125=0,"",[1]筐子进出接口!$F$125),""))</f>
        <v/>
      </c>
      <c r="G126" s="25" t="str">
        <f>IF($S$4=0,IF($N126="","",$N126),IFERROR(IF([1]筐子进出接口!$G$125=0,"",[1]筐子进出接口!$G$125),""))</f>
        <v/>
      </c>
      <c r="H126" s="25" t="str">
        <f t="shared" si="3"/>
        <v/>
      </c>
      <c r="I126" s="27"/>
      <c r="J126" s="27"/>
      <c r="K126" s="104"/>
      <c r="L126" s="104"/>
      <c r="M126" s="104"/>
      <c r="N126" s="104"/>
      <c r="O126" s="105">
        <f t="shared" si="4"/>
        <v>0</v>
      </c>
      <c r="P126" s="105">
        <f t="shared" si="5"/>
        <v>22</v>
      </c>
    </row>
    <row r="127" spans="1:16">
      <c r="A127" s="103">
        <v>126</v>
      </c>
      <c r="B127" s="37" t="str">
        <f>IF($S$4=0,IF($I127="","",$I127),IFERROR(IF([1]筐子进出接口!$B$126=0,"",[1]筐子进出接口!$B$126),""))</f>
        <v/>
      </c>
      <c r="C127" s="37" t="str">
        <f>IF($S$4=0,IF($J127="","",$J127),IFERROR(IF([1]筐子进出接口!$C$126=0,"",[1]筐子进出接口!$C$126),""))</f>
        <v/>
      </c>
      <c r="D127" s="25" t="str">
        <f>IF($S$4=0,IF($K127="","",$K127),IFERROR(IF([1]筐子进出接口!$D$126=0,"",[1]筐子进出接口!$D$126),""))</f>
        <v/>
      </c>
      <c r="E127" s="25" t="str">
        <f>IF($S$4=0,IF($L127="","",$L127),IFERROR(IF([1]筐子进出接口!$E$126=0,"",[1]筐子进出接口!$E$126),""))</f>
        <v/>
      </c>
      <c r="F127" s="25" t="str">
        <f>IF($S$4=0,IF($M127="","",$M127),IFERROR(IF([1]筐子进出接口!$F$126=0,"",[1]筐子进出接口!$F$126),""))</f>
        <v/>
      </c>
      <c r="G127" s="25" t="str">
        <f>IF($S$4=0,IF($N127="","",$N127),IFERROR(IF([1]筐子进出接口!$G$126=0,"",[1]筐子进出接口!$G$126),""))</f>
        <v/>
      </c>
      <c r="H127" s="25" t="str">
        <f t="shared" si="3"/>
        <v/>
      </c>
      <c r="I127" s="27"/>
      <c r="J127" s="27"/>
      <c r="K127" s="104"/>
      <c r="L127" s="104"/>
      <c r="M127" s="104"/>
      <c r="N127" s="104"/>
      <c r="O127" s="105">
        <f t="shared" si="4"/>
        <v>0</v>
      </c>
      <c r="P127" s="105">
        <f t="shared" si="5"/>
        <v>22</v>
      </c>
    </row>
    <row r="128" spans="1:16">
      <c r="A128" s="103">
        <v>127</v>
      </c>
      <c r="B128" s="37" t="str">
        <f>IF($S$4=0,IF($I128="","",$I128),IFERROR(IF([1]筐子进出接口!$B$127=0,"",[1]筐子进出接口!$B$127),""))</f>
        <v/>
      </c>
      <c r="C128" s="37" t="str">
        <f>IF($S$4=0,IF($J128="","",$J128),IFERROR(IF([1]筐子进出接口!$C$127=0,"",[1]筐子进出接口!$C$127),""))</f>
        <v/>
      </c>
      <c r="D128" s="25" t="str">
        <f>IF($S$4=0,IF($K128="","",$K128),IFERROR(IF([1]筐子进出接口!$D$127=0,"",[1]筐子进出接口!$D$127),""))</f>
        <v/>
      </c>
      <c r="E128" s="25" t="str">
        <f>IF($S$4=0,IF($L128="","",$L128),IFERROR(IF([1]筐子进出接口!$E$127=0,"",[1]筐子进出接口!$E$127),""))</f>
        <v/>
      </c>
      <c r="F128" s="25" t="str">
        <f>IF($S$4=0,IF($M128="","",$M128),IFERROR(IF([1]筐子进出接口!$F$127=0,"",[1]筐子进出接口!$F$127),""))</f>
        <v/>
      </c>
      <c r="G128" s="25" t="str">
        <f>IF($S$4=0,IF($N128="","",$N128),IFERROR(IF([1]筐子进出接口!$G$127=0,"",[1]筐子进出接口!$G$127),""))</f>
        <v/>
      </c>
      <c r="H128" s="25" t="str">
        <f t="shared" si="3"/>
        <v/>
      </c>
      <c r="I128" s="27"/>
      <c r="J128" s="27"/>
      <c r="K128" s="104"/>
      <c r="L128" s="104"/>
      <c r="M128" s="104"/>
      <c r="N128" s="104"/>
      <c r="O128" s="105">
        <f t="shared" si="4"/>
        <v>0</v>
      </c>
      <c r="P128" s="105">
        <f t="shared" si="5"/>
        <v>22</v>
      </c>
    </row>
    <row r="129" spans="1:16">
      <c r="A129" s="103">
        <v>128</v>
      </c>
      <c r="B129" s="37" t="str">
        <f>IF($S$4=0,IF($I129="","",$I129),IFERROR(IF([1]筐子进出接口!$B$128=0,"",[1]筐子进出接口!$B$128),""))</f>
        <v/>
      </c>
      <c r="C129" s="37" t="str">
        <f>IF($S$4=0,IF($J129="","",$J129),IFERROR(IF([1]筐子进出接口!$C$128=0,"",[1]筐子进出接口!$C$128),""))</f>
        <v/>
      </c>
      <c r="D129" s="25" t="str">
        <f>IF($S$4=0,IF($K129="","",$K129),IFERROR(IF([1]筐子进出接口!$D$128=0,"",[1]筐子进出接口!$D$128),""))</f>
        <v/>
      </c>
      <c r="E129" s="25" t="str">
        <f>IF($S$4=0,IF($L129="","",$L129),IFERROR(IF([1]筐子进出接口!$E$128=0,"",[1]筐子进出接口!$E$128),""))</f>
        <v/>
      </c>
      <c r="F129" s="25" t="str">
        <f>IF($S$4=0,IF($M129="","",$M129),IFERROR(IF([1]筐子进出接口!$F$128=0,"",[1]筐子进出接口!$F$128),""))</f>
        <v/>
      </c>
      <c r="G129" s="25" t="str">
        <f>IF($S$4=0,IF($N129="","",$N129),IFERROR(IF([1]筐子进出接口!$G$128=0,"",[1]筐子进出接口!$G$128),""))</f>
        <v/>
      </c>
      <c r="H129" s="25" t="str">
        <f t="shared" si="3"/>
        <v/>
      </c>
      <c r="I129" s="27"/>
      <c r="J129" s="27"/>
      <c r="K129" s="104"/>
      <c r="L129" s="104"/>
      <c r="M129" s="104"/>
      <c r="N129" s="104"/>
      <c r="O129" s="105">
        <f t="shared" si="4"/>
        <v>0</v>
      </c>
      <c r="P129" s="105">
        <f t="shared" si="5"/>
        <v>22</v>
      </c>
    </row>
    <row r="130" spans="1:16">
      <c r="A130" s="103">
        <v>129</v>
      </c>
      <c r="B130" s="37" t="str">
        <f>IF($S$4=0,IF($I130="","",$I130),IFERROR(IF([1]筐子进出接口!$B$129=0,"",[1]筐子进出接口!$B$129),""))</f>
        <v/>
      </c>
      <c r="C130" s="37" t="str">
        <f>IF($S$4=0,IF($J130="","",$J130),IFERROR(IF([1]筐子进出接口!$C$129=0,"",[1]筐子进出接口!$C$129),""))</f>
        <v/>
      </c>
      <c r="D130" s="25" t="str">
        <f>IF($S$4=0,IF($K130="","",$K130),IFERROR(IF([1]筐子进出接口!$D$129=0,"",[1]筐子进出接口!$D$129),""))</f>
        <v/>
      </c>
      <c r="E130" s="25" t="str">
        <f>IF($S$4=0,IF($L130="","",$L130),IFERROR(IF([1]筐子进出接口!$E$129=0,"",[1]筐子进出接口!$E$129),""))</f>
        <v/>
      </c>
      <c r="F130" s="25" t="str">
        <f>IF($S$4=0,IF($M130="","",$M130),IFERROR(IF([1]筐子进出接口!$F$129=0,"",[1]筐子进出接口!$F$129),""))</f>
        <v/>
      </c>
      <c r="G130" s="25" t="str">
        <f>IF($S$4=0,IF($N130="","",$N130),IFERROR(IF([1]筐子进出接口!$G$129=0,"",[1]筐子进出接口!$G$129),""))</f>
        <v/>
      </c>
      <c r="H130" s="25" t="str">
        <f t="shared" si="3"/>
        <v/>
      </c>
      <c r="I130" s="27"/>
      <c r="J130" s="27"/>
      <c r="K130" s="104"/>
      <c r="L130" s="104"/>
      <c r="M130" s="104"/>
      <c r="N130" s="104"/>
      <c r="O130" s="105">
        <f t="shared" si="4"/>
        <v>0</v>
      </c>
      <c r="P130" s="105">
        <f t="shared" si="5"/>
        <v>22</v>
      </c>
    </row>
    <row r="131" spans="1:16">
      <c r="A131" s="103">
        <v>130</v>
      </c>
      <c r="B131" s="37" t="str">
        <f>IF($S$4=0,IF($I131="","",$I131),IFERROR(IF([1]筐子进出接口!$B$130=0,"",[1]筐子进出接口!$B$130),""))</f>
        <v/>
      </c>
      <c r="C131" s="37" t="str">
        <f>IF($S$4=0,IF($J131="","",$J131),IFERROR(IF([1]筐子进出接口!$C$130=0,"",[1]筐子进出接口!$C$130),""))</f>
        <v/>
      </c>
      <c r="D131" s="25" t="str">
        <f>IF($S$4=0,IF($K131="","",$K131),IFERROR(IF([1]筐子进出接口!$D$130=0,"",[1]筐子进出接口!$D$130),""))</f>
        <v/>
      </c>
      <c r="E131" s="25" t="str">
        <f>IF($S$4=0,IF($L131="","",$L131),IFERROR(IF([1]筐子进出接口!$E$130=0,"",[1]筐子进出接口!$E$130),""))</f>
        <v/>
      </c>
      <c r="F131" s="25" t="str">
        <f>IF($S$4=0,IF($M131="","",$M131),IFERROR(IF([1]筐子进出接口!$F$130=0,"",[1]筐子进出接口!$F$130),""))</f>
        <v/>
      </c>
      <c r="G131" s="25" t="str">
        <f>IF($S$4=0,IF($N131="","",$N131),IFERROR(IF([1]筐子进出接口!$G$130=0,"",[1]筐子进出接口!$G$130),""))</f>
        <v/>
      </c>
      <c r="H131" s="25" t="str">
        <f t="shared" si="3"/>
        <v/>
      </c>
      <c r="I131" s="27"/>
      <c r="J131" s="27"/>
      <c r="K131" s="104"/>
      <c r="L131" s="104"/>
      <c r="M131" s="104"/>
      <c r="N131" s="104"/>
      <c r="O131" s="105">
        <f t="shared" si="4"/>
        <v>0</v>
      </c>
      <c r="P131" s="105">
        <f t="shared" si="5"/>
        <v>22</v>
      </c>
    </row>
    <row r="132" spans="1:16">
      <c r="A132" s="103">
        <v>131</v>
      </c>
      <c r="B132" s="37" t="str">
        <f>IF($S$4=0,IF($I132="","",$I132),IFERROR(IF([1]筐子进出接口!$B$131=0,"",[1]筐子进出接口!$B$131),""))</f>
        <v/>
      </c>
      <c r="C132" s="37" t="str">
        <f>IF($S$4=0,IF($J132="","",$J132),IFERROR(IF([1]筐子进出接口!$C$131=0,"",[1]筐子进出接口!$C$131),""))</f>
        <v/>
      </c>
      <c r="D132" s="25" t="str">
        <f>IF($S$4=0,IF($K132="","",$K132),IFERROR(IF([1]筐子进出接口!$D$131=0,"",[1]筐子进出接口!$D$131),""))</f>
        <v/>
      </c>
      <c r="E132" s="25" t="str">
        <f>IF($S$4=0,IF($L132="","",$L132),IFERROR(IF([1]筐子进出接口!$E$131=0,"",[1]筐子进出接口!$E$131),""))</f>
        <v/>
      </c>
      <c r="F132" s="25" t="str">
        <f>IF($S$4=0,IF($M132="","",$M132),IFERROR(IF([1]筐子进出接口!$F$131=0,"",[1]筐子进出接口!$F$131),""))</f>
        <v/>
      </c>
      <c r="G132" s="25" t="str">
        <f>IF($S$4=0,IF($N132="","",$N132),IFERROR(IF([1]筐子进出接口!$G$131=0,"",[1]筐子进出接口!$G$131),""))</f>
        <v/>
      </c>
      <c r="H132" s="25" t="str">
        <f t="shared" si="3"/>
        <v/>
      </c>
      <c r="I132" s="27"/>
      <c r="J132" s="27"/>
      <c r="K132" s="104"/>
      <c r="L132" s="104"/>
      <c r="M132" s="104"/>
      <c r="N132" s="104"/>
      <c r="O132" s="105">
        <f t="shared" si="4"/>
        <v>0</v>
      </c>
      <c r="P132" s="105">
        <f t="shared" si="5"/>
        <v>22</v>
      </c>
    </row>
    <row r="133" spans="1:16">
      <c r="A133" s="103">
        <v>132</v>
      </c>
      <c r="B133" s="37" t="str">
        <f>IF($S$4=0,IF($I133="","",$I133),IFERROR(IF([1]筐子进出接口!$B$132=0,"",[1]筐子进出接口!$B$132),""))</f>
        <v/>
      </c>
      <c r="C133" s="37" t="str">
        <f>IF($S$4=0,IF($J133="","",$J133),IFERROR(IF([1]筐子进出接口!$C$132=0,"",[1]筐子进出接口!$C$132),""))</f>
        <v/>
      </c>
      <c r="D133" s="25" t="str">
        <f>IF($S$4=0,IF($K133="","",$K133),IFERROR(IF([1]筐子进出接口!$D$132=0,"",[1]筐子进出接口!$D$132),""))</f>
        <v/>
      </c>
      <c r="E133" s="25" t="str">
        <f>IF($S$4=0,IF($L133="","",$L133),IFERROR(IF([1]筐子进出接口!$E$132=0,"",[1]筐子进出接口!$E$132),""))</f>
        <v/>
      </c>
      <c r="F133" s="25" t="str">
        <f>IF($S$4=0,IF($M133="","",$M133),IFERROR(IF([1]筐子进出接口!$F$132=0,"",[1]筐子进出接口!$F$132),""))</f>
        <v/>
      </c>
      <c r="G133" s="25" t="str">
        <f>IF($S$4=0,IF($N133="","",$N133),IFERROR(IF([1]筐子进出接口!$G$132=0,"",[1]筐子进出接口!$G$132),""))</f>
        <v/>
      </c>
      <c r="H133" s="25" t="str">
        <f t="shared" ref="H133:H196" si="6">IF($B133="","",N($D133))</f>
        <v/>
      </c>
      <c r="I133" s="27"/>
      <c r="J133" s="27"/>
      <c r="K133" s="104"/>
      <c r="L133" s="104"/>
      <c r="M133" s="104"/>
      <c r="N133" s="104"/>
      <c r="O133" s="105">
        <f t="shared" ref="O133:O196" si="7">IF(AND($B133&lt;&gt;"",$C133&lt;&gt;""),1,0)</f>
        <v>0</v>
      </c>
      <c r="P133" s="105">
        <f t="shared" ref="P133:P196" si="8">N(P132)+$O133</f>
        <v>22</v>
      </c>
    </row>
    <row r="134" spans="1:16">
      <c r="A134" s="103">
        <v>133</v>
      </c>
      <c r="B134" s="37" t="str">
        <f>IF($S$4=0,IF($I134="","",$I134),IFERROR(IF([1]筐子进出接口!$B$133=0,"",[1]筐子进出接口!$B$133),""))</f>
        <v/>
      </c>
      <c r="C134" s="37" t="str">
        <f>IF($S$4=0,IF($J134="","",$J134),IFERROR(IF([1]筐子进出接口!$C$133=0,"",[1]筐子进出接口!$C$133),""))</f>
        <v/>
      </c>
      <c r="D134" s="25" t="str">
        <f>IF($S$4=0,IF($K134="","",$K134),IFERROR(IF([1]筐子进出接口!$D$133=0,"",[1]筐子进出接口!$D$133),""))</f>
        <v/>
      </c>
      <c r="E134" s="25" t="str">
        <f>IF($S$4=0,IF($L134="","",$L134),IFERROR(IF([1]筐子进出接口!$E$133=0,"",[1]筐子进出接口!$E$133),""))</f>
        <v/>
      </c>
      <c r="F134" s="25" t="str">
        <f>IF($S$4=0,IF($M134="","",$M134),IFERROR(IF([1]筐子进出接口!$F$133=0,"",[1]筐子进出接口!$F$133),""))</f>
        <v/>
      </c>
      <c r="G134" s="25" t="str">
        <f>IF($S$4=0,IF($N134="","",$N134),IFERROR(IF([1]筐子进出接口!$G$133=0,"",[1]筐子进出接口!$G$133),""))</f>
        <v/>
      </c>
      <c r="H134" s="25" t="str">
        <f t="shared" si="6"/>
        <v/>
      </c>
      <c r="I134" s="27"/>
      <c r="J134" s="27"/>
      <c r="K134" s="104"/>
      <c r="L134" s="104"/>
      <c r="M134" s="104"/>
      <c r="N134" s="104"/>
      <c r="O134" s="105">
        <f t="shared" si="7"/>
        <v>0</v>
      </c>
      <c r="P134" s="105">
        <f t="shared" si="8"/>
        <v>22</v>
      </c>
    </row>
    <row r="135" spans="1:16">
      <c r="A135" s="103">
        <v>134</v>
      </c>
      <c r="B135" s="37" t="str">
        <f>IF($S$4=0,IF($I135="","",$I135),IFERROR(IF([1]筐子进出接口!$B$134=0,"",[1]筐子进出接口!$B$134),""))</f>
        <v/>
      </c>
      <c r="C135" s="37" t="str">
        <f>IF($S$4=0,IF($J135="","",$J135),IFERROR(IF([1]筐子进出接口!$C$134=0,"",[1]筐子进出接口!$C$134),""))</f>
        <v/>
      </c>
      <c r="D135" s="25" t="str">
        <f>IF($S$4=0,IF($K135="","",$K135),IFERROR(IF([1]筐子进出接口!$D$134=0,"",[1]筐子进出接口!$D$134),""))</f>
        <v/>
      </c>
      <c r="E135" s="25" t="str">
        <f>IF($S$4=0,IF($L135="","",$L135),IFERROR(IF([1]筐子进出接口!$E$134=0,"",[1]筐子进出接口!$E$134),""))</f>
        <v/>
      </c>
      <c r="F135" s="25" t="str">
        <f>IF($S$4=0,IF($M135="","",$M135),IFERROR(IF([1]筐子进出接口!$F$134=0,"",[1]筐子进出接口!$F$134),""))</f>
        <v/>
      </c>
      <c r="G135" s="25" t="str">
        <f>IF($S$4=0,IF($N135="","",$N135),IFERROR(IF([1]筐子进出接口!$G$134=0,"",[1]筐子进出接口!$G$134),""))</f>
        <v/>
      </c>
      <c r="H135" s="25" t="str">
        <f t="shared" si="6"/>
        <v/>
      </c>
      <c r="I135" s="27"/>
      <c r="J135" s="27"/>
      <c r="K135" s="104"/>
      <c r="L135" s="104"/>
      <c r="M135" s="104"/>
      <c r="N135" s="104"/>
      <c r="O135" s="105">
        <f t="shared" si="7"/>
        <v>0</v>
      </c>
      <c r="P135" s="105">
        <f t="shared" si="8"/>
        <v>22</v>
      </c>
    </row>
    <row r="136" spans="1:16">
      <c r="A136" s="103">
        <v>135</v>
      </c>
      <c r="B136" s="37" t="str">
        <f>IF($S$4=0,IF($I136="","",$I136),IFERROR(IF([1]筐子进出接口!$B$135=0,"",[1]筐子进出接口!$B$135),""))</f>
        <v/>
      </c>
      <c r="C136" s="37" t="str">
        <f>IF($S$4=0,IF($J136="","",$J136),IFERROR(IF([1]筐子进出接口!$C$135=0,"",[1]筐子进出接口!$C$135),""))</f>
        <v/>
      </c>
      <c r="D136" s="25" t="str">
        <f>IF($S$4=0,IF($K136="","",$K136),IFERROR(IF([1]筐子进出接口!$D$135=0,"",[1]筐子进出接口!$D$135),""))</f>
        <v/>
      </c>
      <c r="E136" s="25" t="str">
        <f>IF($S$4=0,IF($L136="","",$L136),IFERROR(IF([1]筐子进出接口!$E$135=0,"",[1]筐子进出接口!$E$135),""))</f>
        <v/>
      </c>
      <c r="F136" s="25" t="str">
        <f>IF($S$4=0,IF($M136="","",$M136),IFERROR(IF([1]筐子进出接口!$F$135=0,"",[1]筐子进出接口!$F$135),""))</f>
        <v/>
      </c>
      <c r="G136" s="25" t="str">
        <f>IF($S$4=0,IF($N136="","",$N136),IFERROR(IF([1]筐子进出接口!$G$135=0,"",[1]筐子进出接口!$G$135),""))</f>
        <v/>
      </c>
      <c r="H136" s="25" t="str">
        <f t="shared" si="6"/>
        <v/>
      </c>
      <c r="I136" s="27"/>
      <c r="J136" s="27"/>
      <c r="K136" s="104"/>
      <c r="L136" s="104"/>
      <c r="M136" s="104"/>
      <c r="N136" s="104"/>
      <c r="O136" s="105">
        <f t="shared" si="7"/>
        <v>0</v>
      </c>
      <c r="P136" s="105">
        <f t="shared" si="8"/>
        <v>22</v>
      </c>
    </row>
    <row r="137" spans="1:16">
      <c r="A137" s="103">
        <v>136</v>
      </c>
      <c r="B137" s="37" t="str">
        <f>IF($S$4=0,IF($I137="","",$I137),IFERROR(IF([1]筐子进出接口!$B$136=0,"",[1]筐子进出接口!$B$136),""))</f>
        <v/>
      </c>
      <c r="C137" s="37" t="str">
        <f>IF($S$4=0,IF($J137="","",$J137),IFERROR(IF([1]筐子进出接口!$C$136=0,"",[1]筐子进出接口!$C$136),""))</f>
        <v/>
      </c>
      <c r="D137" s="25" t="str">
        <f>IF($S$4=0,IF($K137="","",$K137),IFERROR(IF([1]筐子进出接口!$D$136=0,"",[1]筐子进出接口!$D$136),""))</f>
        <v/>
      </c>
      <c r="E137" s="25" t="str">
        <f>IF($S$4=0,IF($L137="","",$L137),IFERROR(IF([1]筐子进出接口!$E$136=0,"",[1]筐子进出接口!$E$136),""))</f>
        <v/>
      </c>
      <c r="F137" s="25" t="str">
        <f>IF($S$4=0,IF($M137="","",$M137),IFERROR(IF([1]筐子进出接口!$F$136=0,"",[1]筐子进出接口!$F$136),""))</f>
        <v/>
      </c>
      <c r="G137" s="25" t="str">
        <f>IF($S$4=0,IF($N137="","",$N137),IFERROR(IF([1]筐子进出接口!$G$136=0,"",[1]筐子进出接口!$G$136),""))</f>
        <v/>
      </c>
      <c r="H137" s="25" t="str">
        <f t="shared" si="6"/>
        <v/>
      </c>
      <c r="I137" s="27"/>
      <c r="J137" s="27"/>
      <c r="K137" s="104"/>
      <c r="L137" s="104"/>
      <c r="M137" s="104"/>
      <c r="N137" s="104"/>
      <c r="O137" s="105">
        <f t="shared" si="7"/>
        <v>0</v>
      </c>
      <c r="P137" s="105">
        <f t="shared" si="8"/>
        <v>22</v>
      </c>
    </row>
    <row r="138" spans="1:16">
      <c r="A138" s="103">
        <v>137</v>
      </c>
      <c r="B138" s="37" t="str">
        <f>IF($S$4=0,IF($I138="","",$I138),IFERROR(IF([1]筐子进出接口!$B$137=0,"",[1]筐子进出接口!$B$137),""))</f>
        <v/>
      </c>
      <c r="C138" s="37" t="str">
        <f>IF($S$4=0,IF($J138="","",$J138),IFERROR(IF([1]筐子进出接口!$C$137=0,"",[1]筐子进出接口!$C$137),""))</f>
        <v/>
      </c>
      <c r="D138" s="25" t="str">
        <f>IF($S$4=0,IF($K138="","",$K138),IFERROR(IF([1]筐子进出接口!$D$137=0,"",[1]筐子进出接口!$D$137),""))</f>
        <v/>
      </c>
      <c r="E138" s="25" t="str">
        <f>IF($S$4=0,IF($L138="","",$L138),IFERROR(IF([1]筐子进出接口!$E$137=0,"",[1]筐子进出接口!$E$137),""))</f>
        <v/>
      </c>
      <c r="F138" s="25" t="str">
        <f>IF($S$4=0,IF($M138="","",$M138),IFERROR(IF([1]筐子进出接口!$F$137=0,"",[1]筐子进出接口!$F$137),""))</f>
        <v/>
      </c>
      <c r="G138" s="25" t="str">
        <f>IF($S$4=0,IF($N138="","",$N138),IFERROR(IF([1]筐子进出接口!$G$137=0,"",[1]筐子进出接口!$G$137),""))</f>
        <v/>
      </c>
      <c r="H138" s="25" t="str">
        <f t="shared" si="6"/>
        <v/>
      </c>
      <c r="I138" s="27"/>
      <c r="J138" s="27"/>
      <c r="K138" s="104"/>
      <c r="L138" s="104"/>
      <c r="M138" s="104"/>
      <c r="N138" s="104"/>
      <c r="O138" s="105">
        <f t="shared" si="7"/>
        <v>0</v>
      </c>
      <c r="P138" s="105">
        <f t="shared" si="8"/>
        <v>22</v>
      </c>
    </row>
    <row r="139" spans="1:16">
      <c r="A139" s="103">
        <v>138</v>
      </c>
      <c r="B139" s="37" t="str">
        <f>IF($S$4=0,IF($I139="","",$I139),IFERROR(IF([1]筐子进出接口!$B$138=0,"",[1]筐子进出接口!$B$138),""))</f>
        <v/>
      </c>
      <c r="C139" s="37" t="str">
        <f>IF($S$4=0,IF($J139="","",$J139),IFERROR(IF([1]筐子进出接口!$C$138=0,"",[1]筐子进出接口!$C$138),""))</f>
        <v/>
      </c>
      <c r="D139" s="25" t="str">
        <f>IF($S$4=0,IF($K139="","",$K139),IFERROR(IF([1]筐子进出接口!$D$138=0,"",[1]筐子进出接口!$D$138),""))</f>
        <v/>
      </c>
      <c r="E139" s="25" t="str">
        <f>IF($S$4=0,IF($L139="","",$L139),IFERROR(IF([1]筐子进出接口!$E$138=0,"",[1]筐子进出接口!$E$138),""))</f>
        <v/>
      </c>
      <c r="F139" s="25" t="str">
        <f>IF($S$4=0,IF($M139="","",$M139),IFERROR(IF([1]筐子进出接口!$F$138=0,"",[1]筐子进出接口!$F$138),""))</f>
        <v/>
      </c>
      <c r="G139" s="25" t="str">
        <f>IF($S$4=0,IF($N139="","",$N139),IFERROR(IF([1]筐子进出接口!$G$138=0,"",[1]筐子进出接口!$G$138),""))</f>
        <v/>
      </c>
      <c r="H139" s="25" t="str">
        <f t="shared" si="6"/>
        <v/>
      </c>
      <c r="I139" s="27"/>
      <c r="J139" s="27"/>
      <c r="K139" s="104"/>
      <c r="L139" s="104"/>
      <c r="M139" s="104"/>
      <c r="N139" s="104"/>
      <c r="O139" s="105">
        <f t="shared" si="7"/>
        <v>0</v>
      </c>
      <c r="P139" s="105">
        <f t="shared" si="8"/>
        <v>22</v>
      </c>
    </row>
    <row r="140" spans="1:16">
      <c r="A140" s="103">
        <v>139</v>
      </c>
      <c r="B140" s="37" t="str">
        <f>IF($S$4=0,IF($I140="","",$I140),IFERROR(IF([1]筐子进出接口!$B$139=0,"",[1]筐子进出接口!$B$139),""))</f>
        <v/>
      </c>
      <c r="C140" s="37" t="str">
        <f>IF($S$4=0,IF($J140="","",$J140),IFERROR(IF([1]筐子进出接口!$C$139=0,"",[1]筐子进出接口!$C$139),""))</f>
        <v/>
      </c>
      <c r="D140" s="25" t="str">
        <f>IF($S$4=0,IF($K140="","",$K140),IFERROR(IF([1]筐子进出接口!$D$139=0,"",[1]筐子进出接口!$D$139),""))</f>
        <v/>
      </c>
      <c r="E140" s="25" t="str">
        <f>IF($S$4=0,IF($L140="","",$L140),IFERROR(IF([1]筐子进出接口!$E$139=0,"",[1]筐子进出接口!$E$139),""))</f>
        <v/>
      </c>
      <c r="F140" s="25" t="str">
        <f>IF($S$4=0,IF($M140="","",$M140),IFERROR(IF([1]筐子进出接口!$F$139=0,"",[1]筐子进出接口!$F$139),""))</f>
        <v/>
      </c>
      <c r="G140" s="25" t="str">
        <f>IF($S$4=0,IF($N140="","",$N140),IFERROR(IF([1]筐子进出接口!$G$139=0,"",[1]筐子进出接口!$G$139),""))</f>
        <v/>
      </c>
      <c r="H140" s="25" t="str">
        <f t="shared" si="6"/>
        <v/>
      </c>
      <c r="I140" s="27"/>
      <c r="J140" s="27"/>
      <c r="K140" s="104"/>
      <c r="L140" s="104"/>
      <c r="M140" s="104"/>
      <c r="N140" s="104"/>
      <c r="O140" s="105">
        <f t="shared" si="7"/>
        <v>0</v>
      </c>
      <c r="P140" s="105">
        <f t="shared" si="8"/>
        <v>22</v>
      </c>
    </row>
    <row r="141" spans="1:16">
      <c r="A141" s="103">
        <v>140</v>
      </c>
      <c r="B141" s="37" t="str">
        <f>IF($S$4=0,IF($I141="","",$I141),IFERROR(IF([1]筐子进出接口!$B$140=0,"",[1]筐子进出接口!$B$140),""))</f>
        <v/>
      </c>
      <c r="C141" s="37" t="str">
        <f>IF($S$4=0,IF($J141="","",$J141),IFERROR(IF([1]筐子进出接口!$C$140=0,"",[1]筐子进出接口!$C$140),""))</f>
        <v/>
      </c>
      <c r="D141" s="25" t="str">
        <f>IF($S$4=0,IF($K141="","",$K141),IFERROR(IF([1]筐子进出接口!$D$140=0,"",[1]筐子进出接口!$D$140),""))</f>
        <v/>
      </c>
      <c r="E141" s="25" t="str">
        <f>IF($S$4=0,IF($L141="","",$L141),IFERROR(IF([1]筐子进出接口!$E$140=0,"",[1]筐子进出接口!$E$140),""))</f>
        <v/>
      </c>
      <c r="F141" s="25" t="str">
        <f>IF($S$4=0,IF($M141="","",$M141),IFERROR(IF([1]筐子进出接口!$F$140=0,"",[1]筐子进出接口!$F$140),""))</f>
        <v/>
      </c>
      <c r="G141" s="25" t="str">
        <f>IF($S$4=0,IF($N141="","",$N141),IFERROR(IF([1]筐子进出接口!$G$140=0,"",[1]筐子进出接口!$G$140),""))</f>
        <v/>
      </c>
      <c r="H141" s="25" t="str">
        <f t="shared" si="6"/>
        <v/>
      </c>
      <c r="I141" s="27"/>
      <c r="J141" s="27"/>
      <c r="K141" s="104"/>
      <c r="L141" s="104"/>
      <c r="M141" s="104"/>
      <c r="N141" s="104"/>
      <c r="O141" s="105">
        <f t="shared" si="7"/>
        <v>0</v>
      </c>
      <c r="P141" s="105">
        <f t="shared" si="8"/>
        <v>22</v>
      </c>
    </row>
    <row r="142" spans="1:16">
      <c r="A142" s="103">
        <v>141</v>
      </c>
      <c r="B142" s="37" t="str">
        <f>IF($S$4=0,IF($I142="","",$I142),IFERROR(IF([1]筐子进出接口!$B$141=0,"",[1]筐子进出接口!$B$141),""))</f>
        <v/>
      </c>
      <c r="C142" s="37" t="str">
        <f>IF($S$4=0,IF($J142="","",$J142),IFERROR(IF([1]筐子进出接口!$C$141=0,"",[1]筐子进出接口!$C$141),""))</f>
        <v/>
      </c>
      <c r="D142" s="25" t="str">
        <f>IF($S$4=0,IF($K142="","",$K142),IFERROR(IF([1]筐子进出接口!$D$141=0,"",[1]筐子进出接口!$D$141),""))</f>
        <v/>
      </c>
      <c r="E142" s="25" t="str">
        <f>IF($S$4=0,IF($L142="","",$L142),IFERROR(IF([1]筐子进出接口!$E$141=0,"",[1]筐子进出接口!$E$141),""))</f>
        <v/>
      </c>
      <c r="F142" s="25" t="str">
        <f>IF($S$4=0,IF($M142="","",$M142),IFERROR(IF([1]筐子进出接口!$F$141=0,"",[1]筐子进出接口!$F$141),""))</f>
        <v/>
      </c>
      <c r="G142" s="25" t="str">
        <f>IF($S$4=0,IF($N142="","",$N142),IFERROR(IF([1]筐子进出接口!$G$141=0,"",[1]筐子进出接口!$G$141),""))</f>
        <v/>
      </c>
      <c r="H142" s="25" t="str">
        <f t="shared" si="6"/>
        <v/>
      </c>
      <c r="I142" s="27"/>
      <c r="J142" s="27"/>
      <c r="K142" s="104"/>
      <c r="L142" s="104"/>
      <c r="M142" s="104"/>
      <c r="N142" s="104"/>
      <c r="O142" s="105">
        <f t="shared" si="7"/>
        <v>0</v>
      </c>
      <c r="P142" s="105">
        <f t="shared" si="8"/>
        <v>22</v>
      </c>
    </row>
    <row r="143" spans="1:16">
      <c r="A143" s="103">
        <v>142</v>
      </c>
      <c r="B143" s="37" t="str">
        <f>IF($S$4=0,IF($I143="","",$I143),IFERROR(IF([1]筐子进出接口!$B$142=0,"",[1]筐子进出接口!$B$142),""))</f>
        <v/>
      </c>
      <c r="C143" s="37" t="str">
        <f>IF($S$4=0,IF($J143="","",$J143),IFERROR(IF([1]筐子进出接口!$C$142=0,"",[1]筐子进出接口!$C$142),""))</f>
        <v/>
      </c>
      <c r="D143" s="25" t="str">
        <f>IF($S$4=0,IF($K143="","",$K143),IFERROR(IF([1]筐子进出接口!$D$142=0,"",[1]筐子进出接口!$D$142),""))</f>
        <v/>
      </c>
      <c r="E143" s="25" t="str">
        <f>IF($S$4=0,IF($L143="","",$L143),IFERROR(IF([1]筐子进出接口!$E$142=0,"",[1]筐子进出接口!$E$142),""))</f>
        <v/>
      </c>
      <c r="F143" s="25" t="str">
        <f>IF($S$4=0,IF($M143="","",$M143),IFERROR(IF([1]筐子进出接口!$F$142=0,"",[1]筐子进出接口!$F$142),""))</f>
        <v/>
      </c>
      <c r="G143" s="25" t="str">
        <f>IF($S$4=0,IF($N143="","",$N143),IFERROR(IF([1]筐子进出接口!$G$142=0,"",[1]筐子进出接口!$G$142),""))</f>
        <v/>
      </c>
      <c r="H143" s="25" t="str">
        <f t="shared" si="6"/>
        <v/>
      </c>
      <c r="I143" s="27"/>
      <c r="J143" s="27"/>
      <c r="K143" s="104"/>
      <c r="L143" s="104"/>
      <c r="M143" s="104"/>
      <c r="N143" s="104"/>
      <c r="O143" s="105">
        <f t="shared" si="7"/>
        <v>0</v>
      </c>
      <c r="P143" s="105">
        <f t="shared" si="8"/>
        <v>22</v>
      </c>
    </row>
    <row r="144" spans="1:16">
      <c r="A144" s="103">
        <v>143</v>
      </c>
      <c r="B144" s="37" t="str">
        <f>IF($S$4=0,IF($I144="","",$I144),IFERROR(IF([1]筐子进出接口!$B$143=0,"",[1]筐子进出接口!$B$143),""))</f>
        <v/>
      </c>
      <c r="C144" s="37" t="str">
        <f>IF($S$4=0,IF($J144="","",$J144),IFERROR(IF([1]筐子进出接口!$C$143=0,"",[1]筐子进出接口!$C$143),""))</f>
        <v/>
      </c>
      <c r="D144" s="25" t="str">
        <f>IF($S$4=0,IF($K144="","",$K144),IFERROR(IF([1]筐子进出接口!$D$143=0,"",[1]筐子进出接口!$D$143),""))</f>
        <v/>
      </c>
      <c r="E144" s="25" t="str">
        <f>IF($S$4=0,IF($L144="","",$L144),IFERROR(IF([1]筐子进出接口!$E$143=0,"",[1]筐子进出接口!$E$143),""))</f>
        <v/>
      </c>
      <c r="F144" s="25" t="str">
        <f>IF($S$4=0,IF($M144="","",$M144),IFERROR(IF([1]筐子进出接口!$F$143=0,"",[1]筐子进出接口!$F$143),""))</f>
        <v/>
      </c>
      <c r="G144" s="25" t="str">
        <f>IF($S$4=0,IF($N144="","",$N144),IFERROR(IF([1]筐子进出接口!$G$143=0,"",[1]筐子进出接口!$G$143),""))</f>
        <v/>
      </c>
      <c r="H144" s="25" t="str">
        <f t="shared" si="6"/>
        <v/>
      </c>
      <c r="I144" s="27"/>
      <c r="J144" s="27"/>
      <c r="K144" s="104"/>
      <c r="L144" s="104"/>
      <c r="M144" s="104"/>
      <c r="N144" s="104"/>
      <c r="O144" s="105">
        <f t="shared" si="7"/>
        <v>0</v>
      </c>
      <c r="P144" s="105">
        <f t="shared" si="8"/>
        <v>22</v>
      </c>
    </row>
    <row r="145" spans="1:16">
      <c r="A145" s="103">
        <v>144</v>
      </c>
      <c r="B145" s="37" t="str">
        <f>IF($S$4=0,IF($I145="","",$I145),IFERROR(IF([1]筐子进出接口!$B$144=0,"",[1]筐子进出接口!$B$144),""))</f>
        <v/>
      </c>
      <c r="C145" s="37" t="str">
        <f>IF($S$4=0,IF($J145="","",$J145),IFERROR(IF([1]筐子进出接口!$C$144=0,"",[1]筐子进出接口!$C$144),""))</f>
        <v/>
      </c>
      <c r="D145" s="25" t="str">
        <f>IF($S$4=0,IF($K145="","",$K145),IFERROR(IF([1]筐子进出接口!$D$144=0,"",[1]筐子进出接口!$D$144),""))</f>
        <v/>
      </c>
      <c r="E145" s="25" t="str">
        <f>IF($S$4=0,IF($L145="","",$L145),IFERROR(IF([1]筐子进出接口!$E$144=0,"",[1]筐子进出接口!$E$144),""))</f>
        <v/>
      </c>
      <c r="F145" s="25" t="str">
        <f>IF($S$4=0,IF($M145="","",$M145),IFERROR(IF([1]筐子进出接口!$F$144=0,"",[1]筐子进出接口!$F$144),""))</f>
        <v/>
      </c>
      <c r="G145" s="25" t="str">
        <f>IF($S$4=0,IF($N145="","",$N145),IFERROR(IF([1]筐子进出接口!$G$144=0,"",[1]筐子进出接口!$G$144),""))</f>
        <v/>
      </c>
      <c r="H145" s="25" t="str">
        <f t="shared" si="6"/>
        <v/>
      </c>
      <c r="I145" s="27"/>
      <c r="J145" s="27"/>
      <c r="K145" s="104"/>
      <c r="L145" s="104"/>
      <c r="M145" s="104"/>
      <c r="N145" s="104"/>
      <c r="O145" s="105">
        <f t="shared" si="7"/>
        <v>0</v>
      </c>
      <c r="P145" s="105">
        <f t="shared" si="8"/>
        <v>22</v>
      </c>
    </row>
    <row r="146" spans="1:16">
      <c r="A146" s="103">
        <v>145</v>
      </c>
      <c r="B146" s="37" t="str">
        <f>IF($S$4=0,IF($I146="","",$I146),IFERROR(IF([1]筐子进出接口!$B$145=0,"",[1]筐子进出接口!$B$145),""))</f>
        <v/>
      </c>
      <c r="C146" s="37" t="str">
        <f>IF($S$4=0,IF($J146="","",$J146),IFERROR(IF([1]筐子进出接口!$C$145=0,"",[1]筐子进出接口!$C$145),""))</f>
        <v/>
      </c>
      <c r="D146" s="25" t="str">
        <f>IF($S$4=0,IF($K146="","",$K146),IFERROR(IF([1]筐子进出接口!$D$145=0,"",[1]筐子进出接口!$D$145),""))</f>
        <v/>
      </c>
      <c r="E146" s="25" t="str">
        <f>IF($S$4=0,IF($L146="","",$L146),IFERROR(IF([1]筐子进出接口!$E$145=0,"",[1]筐子进出接口!$E$145),""))</f>
        <v/>
      </c>
      <c r="F146" s="25" t="str">
        <f>IF($S$4=0,IF($M146="","",$M146),IFERROR(IF([1]筐子进出接口!$F$145=0,"",[1]筐子进出接口!$F$145),""))</f>
        <v/>
      </c>
      <c r="G146" s="25" t="str">
        <f>IF($S$4=0,IF($N146="","",$N146),IFERROR(IF([1]筐子进出接口!$G$145=0,"",[1]筐子进出接口!$G$145),""))</f>
        <v/>
      </c>
      <c r="H146" s="25" t="str">
        <f t="shared" si="6"/>
        <v/>
      </c>
      <c r="I146" s="27"/>
      <c r="J146" s="27"/>
      <c r="K146" s="104"/>
      <c r="L146" s="104"/>
      <c r="M146" s="104"/>
      <c r="N146" s="104"/>
      <c r="O146" s="105">
        <f t="shared" si="7"/>
        <v>0</v>
      </c>
      <c r="P146" s="105">
        <f t="shared" si="8"/>
        <v>22</v>
      </c>
    </row>
    <row r="147" spans="1:16">
      <c r="A147" s="103">
        <v>146</v>
      </c>
      <c r="B147" s="37" t="str">
        <f>IF($S$4=0,IF($I147="","",$I147),IFERROR(IF([1]筐子进出接口!$B$146=0,"",[1]筐子进出接口!$B$146),""))</f>
        <v/>
      </c>
      <c r="C147" s="37" t="str">
        <f>IF($S$4=0,IF($J147="","",$J147),IFERROR(IF([1]筐子进出接口!$C$146=0,"",[1]筐子进出接口!$C$146),""))</f>
        <v/>
      </c>
      <c r="D147" s="25" t="str">
        <f>IF($S$4=0,IF($K147="","",$K147),IFERROR(IF([1]筐子进出接口!$D$146=0,"",[1]筐子进出接口!$D$146),""))</f>
        <v/>
      </c>
      <c r="E147" s="25" t="str">
        <f>IF($S$4=0,IF($L147="","",$L147),IFERROR(IF([1]筐子进出接口!$E$146=0,"",[1]筐子进出接口!$E$146),""))</f>
        <v/>
      </c>
      <c r="F147" s="25" t="str">
        <f>IF($S$4=0,IF($M147="","",$M147),IFERROR(IF([1]筐子进出接口!$F$146=0,"",[1]筐子进出接口!$F$146),""))</f>
        <v/>
      </c>
      <c r="G147" s="25" t="str">
        <f>IF($S$4=0,IF($N147="","",$N147),IFERROR(IF([1]筐子进出接口!$G$146=0,"",[1]筐子进出接口!$G$146),""))</f>
        <v/>
      </c>
      <c r="H147" s="25" t="str">
        <f t="shared" si="6"/>
        <v/>
      </c>
      <c r="I147" s="27"/>
      <c r="J147" s="27"/>
      <c r="K147" s="104"/>
      <c r="L147" s="104"/>
      <c r="M147" s="104"/>
      <c r="N147" s="104"/>
      <c r="O147" s="105">
        <f t="shared" si="7"/>
        <v>0</v>
      </c>
      <c r="P147" s="105">
        <f t="shared" si="8"/>
        <v>22</v>
      </c>
    </row>
    <row r="148" spans="1:16">
      <c r="A148" s="103">
        <v>147</v>
      </c>
      <c r="B148" s="37" t="str">
        <f>IF($S$4=0,IF($I148="","",$I148),IFERROR(IF([1]筐子进出接口!$B$147=0,"",[1]筐子进出接口!$B$147),""))</f>
        <v/>
      </c>
      <c r="C148" s="37" t="str">
        <f>IF($S$4=0,IF($J148="","",$J148),IFERROR(IF([1]筐子进出接口!$C$147=0,"",[1]筐子进出接口!$C$147),""))</f>
        <v/>
      </c>
      <c r="D148" s="25" t="str">
        <f>IF($S$4=0,IF($K148="","",$K148),IFERROR(IF([1]筐子进出接口!$D$147=0,"",[1]筐子进出接口!$D$147),""))</f>
        <v/>
      </c>
      <c r="E148" s="25" t="str">
        <f>IF($S$4=0,IF($L148="","",$L148),IFERROR(IF([1]筐子进出接口!$E$147=0,"",[1]筐子进出接口!$E$147),""))</f>
        <v/>
      </c>
      <c r="F148" s="25" t="str">
        <f>IF($S$4=0,IF($M148="","",$M148),IFERROR(IF([1]筐子进出接口!$F$147=0,"",[1]筐子进出接口!$F$147),""))</f>
        <v/>
      </c>
      <c r="G148" s="25" t="str">
        <f>IF($S$4=0,IF($N148="","",$N148),IFERROR(IF([1]筐子进出接口!$G$147=0,"",[1]筐子进出接口!$G$147),""))</f>
        <v/>
      </c>
      <c r="H148" s="25" t="str">
        <f t="shared" si="6"/>
        <v/>
      </c>
      <c r="I148" s="27"/>
      <c r="J148" s="27"/>
      <c r="K148" s="104"/>
      <c r="L148" s="104"/>
      <c r="M148" s="104"/>
      <c r="N148" s="104"/>
      <c r="O148" s="105">
        <f t="shared" si="7"/>
        <v>0</v>
      </c>
      <c r="P148" s="105">
        <f t="shared" si="8"/>
        <v>22</v>
      </c>
    </row>
    <row r="149" spans="1:16">
      <c r="A149" s="103">
        <v>148</v>
      </c>
      <c r="B149" s="37" t="str">
        <f>IF($S$4=0,IF($I149="","",$I149),IFERROR(IF([1]筐子进出接口!$B$148=0,"",[1]筐子进出接口!$B$148),""))</f>
        <v/>
      </c>
      <c r="C149" s="37" t="str">
        <f>IF($S$4=0,IF($J149="","",$J149),IFERROR(IF([1]筐子进出接口!$C$148=0,"",[1]筐子进出接口!$C$148),""))</f>
        <v/>
      </c>
      <c r="D149" s="25" t="str">
        <f>IF($S$4=0,IF($K149="","",$K149),IFERROR(IF([1]筐子进出接口!$D$148=0,"",[1]筐子进出接口!$D$148),""))</f>
        <v/>
      </c>
      <c r="E149" s="25" t="str">
        <f>IF($S$4=0,IF($L149="","",$L149),IFERROR(IF([1]筐子进出接口!$E$148=0,"",[1]筐子进出接口!$E$148),""))</f>
        <v/>
      </c>
      <c r="F149" s="25" t="str">
        <f>IF($S$4=0,IF($M149="","",$M149),IFERROR(IF([1]筐子进出接口!$F$148=0,"",[1]筐子进出接口!$F$148),""))</f>
        <v/>
      </c>
      <c r="G149" s="25" t="str">
        <f>IF($S$4=0,IF($N149="","",$N149),IFERROR(IF([1]筐子进出接口!$G$148=0,"",[1]筐子进出接口!$G$148),""))</f>
        <v/>
      </c>
      <c r="H149" s="25" t="str">
        <f t="shared" si="6"/>
        <v/>
      </c>
      <c r="I149" s="27"/>
      <c r="J149" s="27"/>
      <c r="K149" s="104"/>
      <c r="L149" s="104"/>
      <c r="M149" s="104"/>
      <c r="N149" s="104"/>
      <c r="O149" s="105">
        <f t="shared" si="7"/>
        <v>0</v>
      </c>
      <c r="P149" s="105">
        <f t="shared" si="8"/>
        <v>22</v>
      </c>
    </row>
    <row r="150" spans="1:16">
      <c r="A150" s="103">
        <v>149</v>
      </c>
      <c r="B150" s="37" t="str">
        <f>IF($S$4=0,IF($I150="","",$I150),IFERROR(IF([1]筐子进出接口!$B$149=0,"",[1]筐子进出接口!$B$149),""))</f>
        <v/>
      </c>
      <c r="C150" s="37" t="str">
        <f>IF($S$4=0,IF($J150="","",$J150),IFERROR(IF([1]筐子进出接口!$C$149=0,"",[1]筐子进出接口!$C$149),""))</f>
        <v/>
      </c>
      <c r="D150" s="25" t="str">
        <f>IF($S$4=0,IF($K150="","",$K150),IFERROR(IF([1]筐子进出接口!$D$149=0,"",[1]筐子进出接口!$D$149),""))</f>
        <v/>
      </c>
      <c r="E150" s="25" t="str">
        <f>IF($S$4=0,IF($L150="","",$L150),IFERROR(IF([1]筐子进出接口!$E$149=0,"",[1]筐子进出接口!$E$149),""))</f>
        <v/>
      </c>
      <c r="F150" s="25" t="str">
        <f>IF($S$4=0,IF($M150="","",$M150),IFERROR(IF([1]筐子进出接口!$F$149=0,"",[1]筐子进出接口!$F$149),""))</f>
        <v/>
      </c>
      <c r="G150" s="25" t="str">
        <f>IF($S$4=0,IF($N150="","",$N150),IFERROR(IF([1]筐子进出接口!$G$149=0,"",[1]筐子进出接口!$G$149),""))</f>
        <v/>
      </c>
      <c r="H150" s="25" t="str">
        <f t="shared" si="6"/>
        <v/>
      </c>
      <c r="I150" s="27"/>
      <c r="J150" s="27"/>
      <c r="K150" s="104"/>
      <c r="L150" s="104"/>
      <c r="M150" s="104"/>
      <c r="N150" s="104"/>
      <c r="O150" s="105">
        <f t="shared" si="7"/>
        <v>0</v>
      </c>
      <c r="P150" s="105">
        <f t="shared" si="8"/>
        <v>22</v>
      </c>
    </row>
    <row r="151" spans="1:16">
      <c r="A151" s="103">
        <v>150</v>
      </c>
      <c r="B151" s="37" t="str">
        <f>IF($S$4=0,IF($I151="","",$I151),IFERROR(IF([1]筐子进出接口!$B$150=0,"",[1]筐子进出接口!$B$150),""))</f>
        <v/>
      </c>
      <c r="C151" s="37" t="str">
        <f>IF($S$4=0,IF($J151="","",$J151),IFERROR(IF([1]筐子进出接口!$C$150=0,"",[1]筐子进出接口!$C$150),""))</f>
        <v/>
      </c>
      <c r="D151" s="25" t="str">
        <f>IF($S$4=0,IF($K151="","",$K151),IFERROR(IF([1]筐子进出接口!$D$150=0,"",[1]筐子进出接口!$D$150),""))</f>
        <v/>
      </c>
      <c r="E151" s="25" t="str">
        <f>IF($S$4=0,IF($L151="","",$L151),IFERROR(IF([1]筐子进出接口!$E$150=0,"",[1]筐子进出接口!$E$150),""))</f>
        <v/>
      </c>
      <c r="F151" s="25" t="str">
        <f>IF($S$4=0,IF($M151="","",$M151),IFERROR(IF([1]筐子进出接口!$F$150=0,"",[1]筐子进出接口!$F$150),""))</f>
        <v/>
      </c>
      <c r="G151" s="25" t="str">
        <f>IF($S$4=0,IF($N151="","",$N151),IFERROR(IF([1]筐子进出接口!$G$150=0,"",[1]筐子进出接口!$G$150),""))</f>
        <v/>
      </c>
      <c r="H151" s="25" t="str">
        <f t="shared" si="6"/>
        <v/>
      </c>
      <c r="I151" s="27"/>
      <c r="J151" s="27"/>
      <c r="K151" s="104"/>
      <c r="L151" s="104"/>
      <c r="M151" s="104"/>
      <c r="N151" s="104"/>
      <c r="O151" s="105">
        <f t="shared" si="7"/>
        <v>0</v>
      </c>
      <c r="P151" s="105">
        <f t="shared" si="8"/>
        <v>22</v>
      </c>
    </row>
    <row r="152" spans="1:16">
      <c r="A152" s="103">
        <v>151</v>
      </c>
      <c r="B152" s="37" t="str">
        <f>IF($S$4=0,IF($I152="","",$I152),IFERROR(IF([1]筐子进出接口!$B$151=0,"",[1]筐子进出接口!$B$151),""))</f>
        <v/>
      </c>
      <c r="C152" s="37" t="str">
        <f>IF($S$4=0,IF($J152="","",$J152),IFERROR(IF([1]筐子进出接口!$C$151=0,"",[1]筐子进出接口!$C$151),""))</f>
        <v/>
      </c>
      <c r="D152" s="25" t="str">
        <f>IF($S$4=0,IF($K152="","",$K152),IFERROR(IF([1]筐子进出接口!$D$151=0,"",[1]筐子进出接口!$D$151),""))</f>
        <v/>
      </c>
      <c r="E152" s="25" t="str">
        <f>IF($S$4=0,IF($L152="","",$L152),IFERROR(IF([1]筐子进出接口!$E$151=0,"",[1]筐子进出接口!$E$151),""))</f>
        <v/>
      </c>
      <c r="F152" s="25" t="str">
        <f>IF($S$4=0,IF($M152="","",$M152),IFERROR(IF([1]筐子进出接口!$F$151=0,"",[1]筐子进出接口!$F$151),""))</f>
        <v/>
      </c>
      <c r="G152" s="25" t="str">
        <f>IF($S$4=0,IF($N152="","",$N152),IFERROR(IF([1]筐子进出接口!$G$151=0,"",[1]筐子进出接口!$G$151),""))</f>
        <v/>
      </c>
      <c r="H152" s="25" t="str">
        <f t="shared" si="6"/>
        <v/>
      </c>
      <c r="I152" s="27"/>
      <c r="J152" s="27"/>
      <c r="K152" s="104"/>
      <c r="L152" s="104"/>
      <c r="M152" s="104"/>
      <c r="N152" s="104"/>
      <c r="O152" s="105">
        <f t="shared" si="7"/>
        <v>0</v>
      </c>
      <c r="P152" s="105">
        <f t="shared" si="8"/>
        <v>22</v>
      </c>
    </row>
    <row r="153" spans="1:16">
      <c r="A153" s="103">
        <v>152</v>
      </c>
      <c r="B153" s="37" t="str">
        <f>IF($S$4=0,IF($I153="","",$I153),IFERROR(IF([1]筐子进出接口!$B$152=0,"",[1]筐子进出接口!$B$152),""))</f>
        <v/>
      </c>
      <c r="C153" s="37" t="str">
        <f>IF($S$4=0,IF($J153="","",$J153),IFERROR(IF([1]筐子进出接口!$C$152=0,"",[1]筐子进出接口!$C$152),""))</f>
        <v/>
      </c>
      <c r="D153" s="25" t="str">
        <f>IF($S$4=0,IF($K153="","",$K153),IFERROR(IF([1]筐子进出接口!$D$152=0,"",[1]筐子进出接口!$D$152),""))</f>
        <v/>
      </c>
      <c r="E153" s="25" t="str">
        <f>IF($S$4=0,IF($L153="","",$L153),IFERROR(IF([1]筐子进出接口!$E$152=0,"",[1]筐子进出接口!$E$152),""))</f>
        <v/>
      </c>
      <c r="F153" s="25" t="str">
        <f>IF($S$4=0,IF($M153="","",$M153),IFERROR(IF([1]筐子进出接口!$F$152=0,"",[1]筐子进出接口!$F$152),""))</f>
        <v/>
      </c>
      <c r="G153" s="25" t="str">
        <f>IF($S$4=0,IF($N153="","",$N153),IFERROR(IF([1]筐子进出接口!$G$152=0,"",[1]筐子进出接口!$G$152),""))</f>
        <v/>
      </c>
      <c r="H153" s="25" t="str">
        <f t="shared" si="6"/>
        <v/>
      </c>
      <c r="I153" s="27"/>
      <c r="J153" s="27"/>
      <c r="K153" s="104"/>
      <c r="L153" s="104"/>
      <c r="M153" s="104"/>
      <c r="N153" s="104"/>
      <c r="O153" s="105">
        <f t="shared" si="7"/>
        <v>0</v>
      </c>
      <c r="P153" s="105">
        <f t="shared" si="8"/>
        <v>22</v>
      </c>
    </row>
    <row r="154" spans="1:16">
      <c r="A154" s="103">
        <v>153</v>
      </c>
      <c r="B154" s="37" t="str">
        <f>IF($S$4=0,IF($I154="","",$I154),IFERROR(IF([1]筐子进出接口!$B$153=0,"",[1]筐子进出接口!$B$153),""))</f>
        <v/>
      </c>
      <c r="C154" s="37" t="str">
        <f>IF($S$4=0,IF($J154="","",$J154),IFERROR(IF([1]筐子进出接口!$C$153=0,"",[1]筐子进出接口!$C$153),""))</f>
        <v/>
      </c>
      <c r="D154" s="25" t="str">
        <f>IF($S$4=0,IF($K154="","",$K154),IFERROR(IF([1]筐子进出接口!$D$153=0,"",[1]筐子进出接口!$D$153),""))</f>
        <v/>
      </c>
      <c r="E154" s="25" t="str">
        <f>IF($S$4=0,IF($L154="","",$L154),IFERROR(IF([1]筐子进出接口!$E$153=0,"",[1]筐子进出接口!$E$153),""))</f>
        <v/>
      </c>
      <c r="F154" s="25" t="str">
        <f>IF($S$4=0,IF($M154="","",$M154),IFERROR(IF([1]筐子进出接口!$F$153=0,"",[1]筐子进出接口!$F$153),""))</f>
        <v/>
      </c>
      <c r="G154" s="25" t="str">
        <f>IF($S$4=0,IF($N154="","",$N154),IFERROR(IF([1]筐子进出接口!$G$153=0,"",[1]筐子进出接口!$G$153),""))</f>
        <v/>
      </c>
      <c r="H154" s="25" t="str">
        <f t="shared" si="6"/>
        <v/>
      </c>
      <c r="I154" s="27"/>
      <c r="J154" s="27"/>
      <c r="K154" s="104"/>
      <c r="L154" s="104"/>
      <c r="M154" s="104"/>
      <c r="N154" s="104"/>
      <c r="O154" s="105">
        <f t="shared" si="7"/>
        <v>0</v>
      </c>
      <c r="P154" s="105">
        <f t="shared" si="8"/>
        <v>22</v>
      </c>
    </row>
    <row r="155" spans="1:16">
      <c r="A155" s="103">
        <v>154</v>
      </c>
      <c r="B155" s="37" t="str">
        <f>IF($S$4=0,IF($I155="","",$I155),IFERROR(IF([1]筐子进出接口!$B$154=0,"",[1]筐子进出接口!$B$154),""))</f>
        <v/>
      </c>
      <c r="C155" s="37" t="str">
        <f>IF($S$4=0,IF($J155="","",$J155),IFERROR(IF([1]筐子进出接口!$C$154=0,"",[1]筐子进出接口!$C$154),""))</f>
        <v/>
      </c>
      <c r="D155" s="25" t="str">
        <f>IF($S$4=0,IF($K155="","",$K155),IFERROR(IF([1]筐子进出接口!$D$154=0,"",[1]筐子进出接口!$D$154),""))</f>
        <v/>
      </c>
      <c r="E155" s="25" t="str">
        <f>IF($S$4=0,IF($L155="","",$L155),IFERROR(IF([1]筐子进出接口!$E$154=0,"",[1]筐子进出接口!$E$154),""))</f>
        <v/>
      </c>
      <c r="F155" s="25" t="str">
        <f>IF($S$4=0,IF($M155="","",$M155),IFERROR(IF([1]筐子进出接口!$F$154=0,"",[1]筐子进出接口!$F$154),""))</f>
        <v/>
      </c>
      <c r="G155" s="25" t="str">
        <f>IF($S$4=0,IF($N155="","",$N155),IFERROR(IF([1]筐子进出接口!$G$154=0,"",[1]筐子进出接口!$G$154),""))</f>
        <v/>
      </c>
      <c r="H155" s="25" t="str">
        <f t="shared" si="6"/>
        <v/>
      </c>
      <c r="I155" s="27"/>
      <c r="J155" s="27"/>
      <c r="K155" s="104"/>
      <c r="L155" s="104"/>
      <c r="M155" s="104"/>
      <c r="N155" s="104"/>
      <c r="O155" s="105">
        <f t="shared" si="7"/>
        <v>0</v>
      </c>
      <c r="P155" s="105">
        <f t="shared" si="8"/>
        <v>22</v>
      </c>
    </row>
    <row r="156" spans="1:16">
      <c r="A156" s="103">
        <v>155</v>
      </c>
      <c r="B156" s="37" t="str">
        <f>IF($S$4=0,IF($I156="","",$I156),IFERROR(IF([1]筐子进出接口!$B$155=0,"",[1]筐子进出接口!$B$155),""))</f>
        <v/>
      </c>
      <c r="C156" s="37" t="str">
        <f>IF($S$4=0,IF($J156="","",$J156),IFERROR(IF([1]筐子进出接口!$C$155=0,"",[1]筐子进出接口!$C$155),""))</f>
        <v/>
      </c>
      <c r="D156" s="25" t="str">
        <f>IF($S$4=0,IF($K156="","",$K156),IFERROR(IF([1]筐子进出接口!$D$155=0,"",[1]筐子进出接口!$D$155),""))</f>
        <v/>
      </c>
      <c r="E156" s="25" t="str">
        <f>IF($S$4=0,IF($L156="","",$L156),IFERROR(IF([1]筐子进出接口!$E$155=0,"",[1]筐子进出接口!$E$155),""))</f>
        <v/>
      </c>
      <c r="F156" s="25" t="str">
        <f>IF($S$4=0,IF($M156="","",$M156),IFERROR(IF([1]筐子进出接口!$F$155=0,"",[1]筐子进出接口!$F$155),""))</f>
        <v/>
      </c>
      <c r="G156" s="25" t="str">
        <f>IF($S$4=0,IF($N156="","",$N156),IFERROR(IF([1]筐子进出接口!$G$155=0,"",[1]筐子进出接口!$G$155),""))</f>
        <v/>
      </c>
      <c r="H156" s="25" t="str">
        <f t="shared" si="6"/>
        <v/>
      </c>
      <c r="I156" s="27"/>
      <c r="J156" s="27"/>
      <c r="K156" s="104"/>
      <c r="L156" s="104"/>
      <c r="M156" s="104"/>
      <c r="N156" s="104"/>
      <c r="O156" s="105">
        <f t="shared" si="7"/>
        <v>0</v>
      </c>
      <c r="P156" s="105">
        <f t="shared" si="8"/>
        <v>22</v>
      </c>
    </row>
    <row r="157" spans="1:16">
      <c r="A157" s="103">
        <v>156</v>
      </c>
      <c r="B157" s="37" t="str">
        <f>IF($S$4=0,IF($I157="","",$I157),IFERROR(IF([1]筐子进出接口!$B$156=0,"",[1]筐子进出接口!$B$156),""))</f>
        <v/>
      </c>
      <c r="C157" s="37" t="str">
        <f>IF($S$4=0,IF($J157="","",$J157),IFERROR(IF([1]筐子进出接口!$C$156=0,"",[1]筐子进出接口!$C$156),""))</f>
        <v/>
      </c>
      <c r="D157" s="25" t="str">
        <f>IF($S$4=0,IF($K157="","",$K157),IFERROR(IF([1]筐子进出接口!$D$156=0,"",[1]筐子进出接口!$D$156),""))</f>
        <v/>
      </c>
      <c r="E157" s="25" t="str">
        <f>IF($S$4=0,IF($L157="","",$L157),IFERROR(IF([1]筐子进出接口!$E$156=0,"",[1]筐子进出接口!$E$156),""))</f>
        <v/>
      </c>
      <c r="F157" s="25" t="str">
        <f>IF($S$4=0,IF($M157="","",$M157),IFERROR(IF([1]筐子进出接口!$F$156=0,"",[1]筐子进出接口!$F$156),""))</f>
        <v/>
      </c>
      <c r="G157" s="25" t="str">
        <f>IF($S$4=0,IF($N157="","",$N157),IFERROR(IF([1]筐子进出接口!$G$156=0,"",[1]筐子进出接口!$G$156),""))</f>
        <v/>
      </c>
      <c r="H157" s="25" t="str">
        <f t="shared" si="6"/>
        <v/>
      </c>
      <c r="I157" s="27"/>
      <c r="J157" s="27"/>
      <c r="K157" s="104"/>
      <c r="L157" s="104"/>
      <c r="M157" s="104"/>
      <c r="N157" s="104"/>
      <c r="O157" s="105">
        <f t="shared" si="7"/>
        <v>0</v>
      </c>
      <c r="P157" s="105">
        <f t="shared" si="8"/>
        <v>22</v>
      </c>
    </row>
    <row r="158" spans="1:16">
      <c r="A158" s="103">
        <v>157</v>
      </c>
      <c r="B158" s="37" t="str">
        <f>IF($S$4=0,IF($I158="","",$I158),IFERROR(IF([1]筐子进出接口!$B$157=0,"",[1]筐子进出接口!$B$157),""))</f>
        <v/>
      </c>
      <c r="C158" s="37" t="str">
        <f>IF($S$4=0,IF($J158="","",$J158),IFERROR(IF([1]筐子进出接口!$C$157=0,"",[1]筐子进出接口!$C$157),""))</f>
        <v/>
      </c>
      <c r="D158" s="25" t="str">
        <f>IF($S$4=0,IF($K158="","",$K158),IFERROR(IF([1]筐子进出接口!$D$157=0,"",[1]筐子进出接口!$D$157),""))</f>
        <v/>
      </c>
      <c r="E158" s="25" t="str">
        <f>IF($S$4=0,IF($L158="","",$L158),IFERROR(IF([1]筐子进出接口!$E$157=0,"",[1]筐子进出接口!$E$157),""))</f>
        <v/>
      </c>
      <c r="F158" s="25" t="str">
        <f>IF($S$4=0,IF($M158="","",$M158),IFERROR(IF([1]筐子进出接口!$F$157=0,"",[1]筐子进出接口!$F$157),""))</f>
        <v/>
      </c>
      <c r="G158" s="25" t="str">
        <f>IF($S$4=0,IF($N158="","",$N158),IFERROR(IF([1]筐子进出接口!$G$157=0,"",[1]筐子进出接口!$G$157),""))</f>
        <v/>
      </c>
      <c r="H158" s="25" t="str">
        <f t="shared" si="6"/>
        <v/>
      </c>
      <c r="I158" s="27"/>
      <c r="J158" s="27"/>
      <c r="K158" s="104"/>
      <c r="L158" s="104"/>
      <c r="M158" s="104"/>
      <c r="N158" s="104"/>
      <c r="O158" s="105">
        <f t="shared" si="7"/>
        <v>0</v>
      </c>
      <c r="P158" s="105">
        <f t="shared" si="8"/>
        <v>22</v>
      </c>
    </row>
    <row r="159" spans="1:16">
      <c r="A159" s="103">
        <v>158</v>
      </c>
      <c r="B159" s="37" t="str">
        <f>IF($S$4=0,IF($I159="","",$I159),IFERROR(IF([1]筐子进出接口!$B$158=0,"",[1]筐子进出接口!$B$158),""))</f>
        <v/>
      </c>
      <c r="C159" s="37" t="str">
        <f>IF($S$4=0,IF($J159="","",$J159),IFERROR(IF([1]筐子进出接口!$C$158=0,"",[1]筐子进出接口!$C$158),""))</f>
        <v/>
      </c>
      <c r="D159" s="25" t="str">
        <f>IF($S$4=0,IF($K159="","",$K159),IFERROR(IF([1]筐子进出接口!$D$158=0,"",[1]筐子进出接口!$D$158),""))</f>
        <v/>
      </c>
      <c r="E159" s="25" t="str">
        <f>IF($S$4=0,IF($L159="","",$L159),IFERROR(IF([1]筐子进出接口!$E$158=0,"",[1]筐子进出接口!$E$158),""))</f>
        <v/>
      </c>
      <c r="F159" s="25" t="str">
        <f>IF($S$4=0,IF($M159="","",$M159),IFERROR(IF([1]筐子进出接口!$F$158=0,"",[1]筐子进出接口!$F$158),""))</f>
        <v/>
      </c>
      <c r="G159" s="25" t="str">
        <f>IF($S$4=0,IF($N159="","",$N159),IFERROR(IF([1]筐子进出接口!$G$158=0,"",[1]筐子进出接口!$G$158),""))</f>
        <v/>
      </c>
      <c r="H159" s="25" t="str">
        <f t="shared" si="6"/>
        <v/>
      </c>
      <c r="I159" s="27"/>
      <c r="J159" s="27"/>
      <c r="K159" s="104"/>
      <c r="L159" s="104"/>
      <c r="M159" s="104"/>
      <c r="N159" s="104"/>
      <c r="O159" s="105">
        <f t="shared" si="7"/>
        <v>0</v>
      </c>
      <c r="P159" s="105">
        <f t="shared" si="8"/>
        <v>22</v>
      </c>
    </row>
    <row r="160" spans="1:16">
      <c r="A160" s="103">
        <v>159</v>
      </c>
      <c r="B160" s="37" t="str">
        <f>IF($S$4=0,IF($I160="","",$I160),IFERROR(IF([1]筐子进出接口!$B$159=0,"",[1]筐子进出接口!$B$159),""))</f>
        <v/>
      </c>
      <c r="C160" s="37" t="str">
        <f>IF($S$4=0,IF($J160="","",$J160),IFERROR(IF([1]筐子进出接口!$C$159=0,"",[1]筐子进出接口!$C$159),""))</f>
        <v/>
      </c>
      <c r="D160" s="25" t="str">
        <f>IF($S$4=0,IF($K160="","",$K160),IFERROR(IF([1]筐子进出接口!$D$159=0,"",[1]筐子进出接口!$D$159),""))</f>
        <v/>
      </c>
      <c r="E160" s="25" t="str">
        <f>IF($S$4=0,IF($L160="","",$L160),IFERROR(IF([1]筐子进出接口!$E$159=0,"",[1]筐子进出接口!$E$159),""))</f>
        <v/>
      </c>
      <c r="F160" s="25" t="str">
        <f>IF($S$4=0,IF($M160="","",$M160),IFERROR(IF([1]筐子进出接口!$F$159=0,"",[1]筐子进出接口!$F$159),""))</f>
        <v/>
      </c>
      <c r="G160" s="25" t="str">
        <f>IF($S$4=0,IF($N160="","",$N160),IFERROR(IF([1]筐子进出接口!$G$159=0,"",[1]筐子进出接口!$G$159),""))</f>
        <v/>
      </c>
      <c r="H160" s="25" t="str">
        <f t="shared" si="6"/>
        <v/>
      </c>
      <c r="I160" s="27"/>
      <c r="J160" s="27"/>
      <c r="K160" s="104"/>
      <c r="L160" s="104"/>
      <c r="M160" s="104"/>
      <c r="N160" s="104"/>
      <c r="O160" s="105">
        <f t="shared" si="7"/>
        <v>0</v>
      </c>
      <c r="P160" s="105">
        <f t="shared" si="8"/>
        <v>22</v>
      </c>
    </row>
    <row r="161" spans="1:16">
      <c r="A161" s="103">
        <v>160</v>
      </c>
      <c r="B161" s="37" t="str">
        <f>IF($S$4=0,IF($I161="","",$I161),IFERROR(IF([1]筐子进出接口!$B$160=0,"",[1]筐子进出接口!$B$160),""))</f>
        <v/>
      </c>
      <c r="C161" s="37" t="str">
        <f>IF($S$4=0,IF($J161="","",$J161),IFERROR(IF([1]筐子进出接口!$C$160=0,"",[1]筐子进出接口!$C$160),""))</f>
        <v/>
      </c>
      <c r="D161" s="25" t="str">
        <f>IF($S$4=0,IF($K161="","",$K161),IFERROR(IF([1]筐子进出接口!$D$160=0,"",[1]筐子进出接口!$D$160),""))</f>
        <v/>
      </c>
      <c r="E161" s="25" t="str">
        <f>IF($S$4=0,IF($L161="","",$L161),IFERROR(IF([1]筐子进出接口!$E$160=0,"",[1]筐子进出接口!$E$160),""))</f>
        <v/>
      </c>
      <c r="F161" s="25" t="str">
        <f>IF($S$4=0,IF($M161="","",$M161),IFERROR(IF([1]筐子进出接口!$F$160=0,"",[1]筐子进出接口!$F$160),""))</f>
        <v/>
      </c>
      <c r="G161" s="25" t="str">
        <f>IF($S$4=0,IF($N161="","",$N161),IFERROR(IF([1]筐子进出接口!$G$160=0,"",[1]筐子进出接口!$G$160),""))</f>
        <v/>
      </c>
      <c r="H161" s="25" t="str">
        <f t="shared" si="6"/>
        <v/>
      </c>
      <c r="I161" s="27"/>
      <c r="J161" s="27"/>
      <c r="K161" s="104"/>
      <c r="L161" s="104"/>
      <c r="M161" s="104"/>
      <c r="N161" s="104"/>
      <c r="O161" s="105">
        <f t="shared" si="7"/>
        <v>0</v>
      </c>
      <c r="P161" s="105">
        <f t="shared" si="8"/>
        <v>22</v>
      </c>
    </row>
    <row r="162" spans="1:16">
      <c r="A162" s="103">
        <v>161</v>
      </c>
      <c r="B162" s="37" t="str">
        <f>IF($S$4=0,IF($I162="","",$I162),IFERROR(IF([1]筐子进出接口!$B$161=0,"",[1]筐子进出接口!$B$161),""))</f>
        <v/>
      </c>
      <c r="C162" s="37" t="str">
        <f>IF($S$4=0,IF($J162="","",$J162),IFERROR(IF([1]筐子进出接口!$C$161=0,"",[1]筐子进出接口!$C$161),""))</f>
        <v/>
      </c>
      <c r="D162" s="25" t="str">
        <f>IF($S$4=0,IF($K162="","",$K162),IFERROR(IF([1]筐子进出接口!$D$161=0,"",[1]筐子进出接口!$D$161),""))</f>
        <v/>
      </c>
      <c r="E162" s="25" t="str">
        <f>IF($S$4=0,IF($L162="","",$L162),IFERROR(IF([1]筐子进出接口!$E$161=0,"",[1]筐子进出接口!$E$161),""))</f>
        <v/>
      </c>
      <c r="F162" s="25" t="str">
        <f>IF($S$4=0,IF($M162="","",$M162),IFERROR(IF([1]筐子进出接口!$F$161=0,"",[1]筐子进出接口!$F$161),""))</f>
        <v/>
      </c>
      <c r="G162" s="25" t="str">
        <f>IF($S$4=0,IF($N162="","",$N162),IFERROR(IF([1]筐子进出接口!$G$161=0,"",[1]筐子进出接口!$G$161),""))</f>
        <v/>
      </c>
      <c r="H162" s="25" t="str">
        <f t="shared" si="6"/>
        <v/>
      </c>
      <c r="I162" s="27"/>
      <c r="J162" s="27"/>
      <c r="K162" s="104"/>
      <c r="L162" s="104"/>
      <c r="M162" s="104"/>
      <c r="N162" s="104"/>
      <c r="O162" s="105">
        <f t="shared" si="7"/>
        <v>0</v>
      </c>
      <c r="P162" s="105">
        <f t="shared" si="8"/>
        <v>22</v>
      </c>
    </row>
    <row r="163" spans="1:16">
      <c r="A163" s="103">
        <v>162</v>
      </c>
      <c r="B163" s="37" t="str">
        <f>IF($S$4=0,IF($I163="","",$I163),IFERROR(IF([1]筐子进出接口!$B$162=0,"",[1]筐子进出接口!$B$162),""))</f>
        <v/>
      </c>
      <c r="C163" s="37" t="str">
        <f>IF($S$4=0,IF($J163="","",$J163),IFERROR(IF([1]筐子进出接口!$C$162=0,"",[1]筐子进出接口!$C$162),""))</f>
        <v/>
      </c>
      <c r="D163" s="25" t="str">
        <f>IF($S$4=0,IF($K163="","",$K163),IFERROR(IF([1]筐子进出接口!$D$162=0,"",[1]筐子进出接口!$D$162),""))</f>
        <v/>
      </c>
      <c r="E163" s="25" t="str">
        <f>IF($S$4=0,IF($L163="","",$L163),IFERROR(IF([1]筐子进出接口!$E$162=0,"",[1]筐子进出接口!$E$162),""))</f>
        <v/>
      </c>
      <c r="F163" s="25" t="str">
        <f>IF($S$4=0,IF($M163="","",$M163),IFERROR(IF([1]筐子进出接口!$F$162=0,"",[1]筐子进出接口!$F$162),""))</f>
        <v/>
      </c>
      <c r="G163" s="25" t="str">
        <f>IF($S$4=0,IF($N163="","",$N163),IFERROR(IF([1]筐子进出接口!$G$162=0,"",[1]筐子进出接口!$G$162),""))</f>
        <v/>
      </c>
      <c r="H163" s="25" t="str">
        <f t="shared" si="6"/>
        <v/>
      </c>
      <c r="I163" s="27"/>
      <c r="J163" s="27"/>
      <c r="K163" s="104"/>
      <c r="L163" s="104"/>
      <c r="M163" s="104"/>
      <c r="N163" s="104"/>
      <c r="O163" s="105">
        <f t="shared" si="7"/>
        <v>0</v>
      </c>
      <c r="P163" s="105">
        <f t="shared" si="8"/>
        <v>22</v>
      </c>
    </row>
    <row r="164" spans="1:16">
      <c r="A164" s="103">
        <v>163</v>
      </c>
      <c r="B164" s="37" t="str">
        <f>IF($S$4=0,IF($I164="","",$I164),IFERROR(IF([1]筐子进出接口!$B$163=0,"",[1]筐子进出接口!$B$163),""))</f>
        <v/>
      </c>
      <c r="C164" s="37" t="str">
        <f>IF($S$4=0,IF($J164="","",$J164),IFERROR(IF([1]筐子进出接口!$C$163=0,"",[1]筐子进出接口!$C$163),""))</f>
        <v/>
      </c>
      <c r="D164" s="25" t="str">
        <f>IF($S$4=0,IF($K164="","",$K164),IFERROR(IF([1]筐子进出接口!$D$163=0,"",[1]筐子进出接口!$D$163),""))</f>
        <v/>
      </c>
      <c r="E164" s="25" t="str">
        <f>IF($S$4=0,IF($L164="","",$L164),IFERROR(IF([1]筐子进出接口!$E$163=0,"",[1]筐子进出接口!$E$163),""))</f>
        <v/>
      </c>
      <c r="F164" s="25" t="str">
        <f>IF($S$4=0,IF($M164="","",$M164),IFERROR(IF([1]筐子进出接口!$F$163=0,"",[1]筐子进出接口!$F$163),""))</f>
        <v/>
      </c>
      <c r="G164" s="25" t="str">
        <f>IF($S$4=0,IF($N164="","",$N164),IFERROR(IF([1]筐子进出接口!$G$163=0,"",[1]筐子进出接口!$G$163),""))</f>
        <v/>
      </c>
      <c r="H164" s="25" t="str">
        <f t="shared" si="6"/>
        <v/>
      </c>
      <c r="I164" s="27"/>
      <c r="J164" s="27"/>
      <c r="K164" s="104"/>
      <c r="L164" s="104"/>
      <c r="M164" s="104"/>
      <c r="N164" s="104"/>
      <c r="O164" s="105">
        <f t="shared" si="7"/>
        <v>0</v>
      </c>
      <c r="P164" s="105">
        <f t="shared" si="8"/>
        <v>22</v>
      </c>
    </row>
    <row r="165" spans="1:16">
      <c r="A165" s="103">
        <v>164</v>
      </c>
      <c r="B165" s="37" t="str">
        <f>IF($S$4=0,IF($I165="","",$I165),IFERROR(IF([1]筐子进出接口!$B$164=0,"",[1]筐子进出接口!$B$164),""))</f>
        <v/>
      </c>
      <c r="C165" s="37" t="str">
        <f>IF($S$4=0,IF($J165="","",$J165),IFERROR(IF([1]筐子进出接口!$C$164=0,"",[1]筐子进出接口!$C$164),""))</f>
        <v/>
      </c>
      <c r="D165" s="25" t="str">
        <f>IF($S$4=0,IF($K165="","",$K165),IFERROR(IF([1]筐子进出接口!$D$164=0,"",[1]筐子进出接口!$D$164),""))</f>
        <v/>
      </c>
      <c r="E165" s="25" t="str">
        <f>IF($S$4=0,IF($L165="","",$L165),IFERROR(IF([1]筐子进出接口!$E$164=0,"",[1]筐子进出接口!$E$164),""))</f>
        <v/>
      </c>
      <c r="F165" s="25" t="str">
        <f>IF($S$4=0,IF($M165="","",$M165),IFERROR(IF([1]筐子进出接口!$F$164=0,"",[1]筐子进出接口!$F$164),""))</f>
        <v/>
      </c>
      <c r="G165" s="25" t="str">
        <f>IF($S$4=0,IF($N165="","",$N165),IFERROR(IF([1]筐子进出接口!$G$164=0,"",[1]筐子进出接口!$G$164),""))</f>
        <v/>
      </c>
      <c r="H165" s="25" t="str">
        <f t="shared" si="6"/>
        <v/>
      </c>
      <c r="I165" s="27"/>
      <c r="J165" s="27"/>
      <c r="K165" s="104"/>
      <c r="L165" s="104"/>
      <c r="M165" s="104"/>
      <c r="N165" s="104"/>
      <c r="O165" s="105">
        <f t="shared" si="7"/>
        <v>0</v>
      </c>
      <c r="P165" s="105">
        <f t="shared" si="8"/>
        <v>22</v>
      </c>
    </row>
    <row r="166" spans="1:16">
      <c r="A166" s="103">
        <v>165</v>
      </c>
      <c r="B166" s="37" t="str">
        <f>IF($S$4=0,IF($I166="","",$I166),IFERROR(IF([1]筐子进出接口!$B$165=0,"",[1]筐子进出接口!$B$165),""))</f>
        <v/>
      </c>
      <c r="C166" s="37" t="str">
        <f>IF($S$4=0,IF($J166="","",$J166),IFERROR(IF([1]筐子进出接口!$C$165=0,"",[1]筐子进出接口!$C$165),""))</f>
        <v/>
      </c>
      <c r="D166" s="25" t="str">
        <f>IF($S$4=0,IF($K166="","",$K166),IFERROR(IF([1]筐子进出接口!$D$165=0,"",[1]筐子进出接口!$D$165),""))</f>
        <v/>
      </c>
      <c r="E166" s="25" t="str">
        <f>IF($S$4=0,IF($L166="","",$L166),IFERROR(IF([1]筐子进出接口!$E$165=0,"",[1]筐子进出接口!$E$165),""))</f>
        <v/>
      </c>
      <c r="F166" s="25" t="str">
        <f>IF($S$4=0,IF($M166="","",$M166),IFERROR(IF([1]筐子进出接口!$F$165=0,"",[1]筐子进出接口!$F$165),""))</f>
        <v/>
      </c>
      <c r="G166" s="25" t="str">
        <f>IF($S$4=0,IF($N166="","",$N166),IFERROR(IF([1]筐子进出接口!$G$165=0,"",[1]筐子进出接口!$G$165),""))</f>
        <v/>
      </c>
      <c r="H166" s="25" t="str">
        <f t="shared" si="6"/>
        <v/>
      </c>
      <c r="I166" s="27"/>
      <c r="J166" s="27"/>
      <c r="K166" s="104"/>
      <c r="L166" s="104"/>
      <c r="M166" s="104"/>
      <c r="N166" s="104"/>
      <c r="O166" s="105">
        <f t="shared" si="7"/>
        <v>0</v>
      </c>
      <c r="P166" s="105">
        <f t="shared" si="8"/>
        <v>22</v>
      </c>
    </row>
    <row r="167" spans="1:16">
      <c r="A167" s="103">
        <v>166</v>
      </c>
      <c r="B167" s="37" t="str">
        <f>IF($S$4=0,IF($I167="","",$I167),IFERROR(IF([1]筐子进出接口!$B$166=0,"",[1]筐子进出接口!$B$166),""))</f>
        <v/>
      </c>
      <c r="C167" s="37" t="str">
        <f>IF($S$4=0,IF($J167="","",$J167),IFERROR(IF([1]筐子进出接口!$C$166=0,"",[1]筐子进出接口!$C$166),""))</f>
        <v/>
      </c>
      <c r="D167" s="25" t="str">
        <f>IF($S$4=0,IF($K167="","",$K167),IFERROR(IF([1]筐子进出接口!$D$166=0,"",[1]筐子进出接口!$D$166),""))</f>
        <v/>
      </c>
      <c r="E167" s="25" t="str">
        <f>IF($S$4=0,IF($L167="","",$L167),IFERROR(IF([1]筐子进出接口!$E$166=0,"",[1]筐子进出接口!$E$166),""))</f>
        <v/>
      </c>
      <c r="F167" s="25" t="str">
        <f>IF($S$4=0,IF($M167="","",$M167),IFERROR(IF([1]筐子进出接口!$F$166=0,"",[1]筐子进出接口!$F$166),""))</f>
        <v/>
      </c>
      <c r="G167" s="25" t="str">
        <f>IF($S$4=0,IF($N167="","",$N167),IFERROR(IF([1]筐子进出接口!$G$166=0,"",[1]筐子进出接口!$G$166),""))</f>
        <v/>
      </c>
      <c r="H167" s="25" t="str">
        <f t="shared" si="6"/>
        <v/>
      </c>
      <c r="I167" s="27"/>
      <c r="J167" s="27"/>
      <c r="K167" s="104"/>
      <c r="L167" s="104"/>
      <c r="M167" s="104"/>
      <c r="N167" s="104"/>
      <c r="O167" s="105">
        <f t="shared" si="7"/>
        <v>0</v>
      </c>
      <c r="P167" s="105">
        <f t="shared" si="8"/>
        <v>22</v>
      </c>
    </row>
    <row r="168" spans="1:16">
      <c r="A168" s="103">
        <v>167</v>
      </c>
      <c r="B168" s="37" t="str">
        <f>IF($S$4=0,IF($I168="","",$I168),IFERROR(IF([1]筐子进出接口!$B$167=0,"",[1]筐子进出接口!$B$167),""))</f>
        <v/>
      </c>
      <c r="C168" s="37" t="str">
        <f>IF($S$4=0,IF($J168="","",$J168),IFERROR(IF([1]筐子进出接口!$C$167=0,"",[1]筐子进出接口!$C$167),""))</f>
        <v/>
      </c>
      <c r="D168" s="25" t="str">
        <f>IF($S$4=0,IF($K168="","",$K168),IFERROR(IF([1]筐子进出接口!$D$167=0,"",[1]筐子进出接口!$D$167),""))</f>
        <v/>
      </c>
      <c r="E168" s="25" t="str">
        <f>IF($S$4=0,IF($L168="","",$L168),IFERROR(IF([1]筐子进出接口!$E$167=0,"",[1]筐子进出接口!$E$167),""))</f>
        <v/>
      </c>
      <c r="F168" s="25" t="str">
        <f>IF($S$4=0,IF($M168="","",$M168),IFERROR(IF([1]筐子进出接口!$F$167=0,"",[1]筐子进出接口!$F$167),""))</f>
        <v/>
      </c>
      <c r="G168" s="25" t="str">
        <f>IF($S$4=0,IF($N168="","",$N168),IFERROR(IF([1]筐子进出接口!$G$167=0,"",[1]筐子进出接口!$G$167),""))</f>
        <v/>
      </c>
      <c r="H168" s="25" t="str">
        <f t="shared" si="6"/>
        <v/>
      </c>
      <c r="I168" s="27"/>
      <c r="J168" s="27"/>
      <c r="K168" s="104"/>
      <c r="L168" s="104"/>
      <c r="M168" s="104"/>
      <c r="N168" s="104"/>
      <c r="O168" s="105">
        <f t="shared" si="7"/>
        <v>0</v>
      </c>
      <c r="P168" s="105">
        <f t="shared" si="8"/>
        <v>22</v>
      </c>
    </row>
    <row r="169" spans="1:16">
      <c r="A169" s="103">
        <v>168</v>
      </c>
      <c r="B169" s="37" t="str">
        <f>IF($S$4=0,IF($I169="","",$I169),IFERROR(IF([1]筐子进出接口!$B$168=0,"",[1]筐子进出接口!$B$168),""))</f>
        <v/>
      </c>
      <c r="C169" s="37" t="str">
        <f>IF($S$4=0,IF($J169="","",$J169),IFERROR(IF([1]筐子进出接口!$C$168=0,"",[1]筐子进出接口!$C$168),""))</f>
        <v/>
      </c>
      <c r="D169" s="25" t="str">
        <f>IF($S$4=0,IF($K169="","",$K169),IFERROR(IF([1]筐子进出接口!$D$168=0,"",[1]筐子进出接口!$D$168),""))</f>
        <v/>
      </c>
      <c r="E169" s="25" t="str">
        <f>IF($S$4=0,IF($L169="","",$L169),IFERROR(IF([1]筐子进出接口!$E$168=0,"",[1]筐子进出接口!$E$168),""))</f>
        <v/>
      </c>
      <c r="F169" s="25" t="str">
        <f>IF($S$4=0,IF($M169="","",$M169),IFERROR(IF([1]筐子进出接口!$F$168=0,"",[1]筐子进出接口!$F$168),""))</f>
        <v/>
      </c>
      <c r="G169" s="25" t="str">
        <f>IF($S$4=0,IF($N169="","",$N169),IFERROR(IF([1]筐子进出接口!$G$168=0,"",[1]筐子进出接口!$G$168),""))</f>
        <v/>
      </c>
      <c r="H169" s="25" t="str">
        <f t="shared" si="6"/>
        <v/>
      </c>
      <c r="I169" s="27"/>
      <c r="J169" s="27"/>
      <c r="K169" s="104"/>
      <c r="L169" s="104"/>
      <c r="M169" s="104"/>
      <c r="N169" s="104"/>
      <c r="O169" s="105">
        <f t="shared" si="7"/>
        <v>0</v>
      </c>
      <c r="P169" s="105">
        <f t="shared" si="8"/>
        <v>22</v>
      </c>
    </row>
    <row r="170" spans="1:16">
      <c r="A170" s="103">
        <v>169</v>
      </c>
      <c r="B170" s="37" t="str">
        <f>IF($S$4=0,IF($I170="","",$I170),IFERROR(IF([1]筐子进出接口!$B$169=0,"",[1]筐子进出接口!$B$169),""))</f>
        <v/>
      </c>
      <c r="C170" s="37" t="str">
        <f>IF($S$4=0,IF($J170="","",$J170),IFERROR(IF([1]筐子进出接口!$C$169=0,"",[1]筐子进出接口!$C$169),""))</f>
        <v/>
      </c>
      <c r="D170" s="25" t="str">
        <f>IF($S$4=0,IF($K170="","",$K170),IFERROR(IF([1]筐子进出接口!$D$169=0,"",[1]筐子进出接口!$D$169),""))</f>
        <v/>
      </c>
      <c r="E170" s="25" t="str">
        <f>IF($S$4=0,IF($L170="","",$L170),IFERROR(IF([1]筐子进出接口!$E$169=0,"",[1]筐子进出接口!$E$169),""))</f>
        <v/>
      </c>
      <c r="F170" s="25" t="str">
        <f>IF($S$4=0,IF($M170="","",$M170),IFERROR(IF([1]筐子进出接口!$F$169=0,"",[1]筐子进出接口!$F$169),""))</f>
        <v/>
      </c>
      <c r="G170" s="25" t="str">
        <f>IF($S$4=0,IF($N170="","",$N170),IFERROR(IF([1]筐子进出接口!$G$169=0,"",[1]筐子进出接口!$G$169),""))</f>
        <v/>
      </c>
      <c r="H170" s="25" t="str">
        <f t="shared" si="6"/>
        <v/>
      </c>
      <c r="I170" s="27"/>
      <c r="J170" s="27"/>
      <c r="K170" s="104"/>
      <c r="L170" s="104"/>
      <c r="M170" s="104"/>
      <c r="N170" s="104"/>
      <c r="O170" s="105">
        <f t="shared" si="7"/>
        <v>0</v>
      </c>
      <c r="P170" s="105">
        <f t="shared" si="8"/>
        <v>22</v>
      </c>
    </row>
    <row r="171" spans="1:16">
      <c r="A171" s="103">
        <v>170</v>
      </c>
      <c r="B171" s="37" t="str">
        <f>IF($S$4=0,IF($I171="","",$I171),IFERROR(IF([1]筐子进出接口!$B$170=0,"",[1]筐子进出接口!$B$170),""))</f>
        <v/>
      </c>
      <c r="C171" s="37" t="str">
        <f>IF($S$4=0,IF($J171="","",$J171),IFERROR(IF([1]筐子进出接口!$C$170=0,"",[1]筐子进出接口!$C$170),""))</f>
        <v/>
      </c>
      <c r="D171" s="25" t="str">
        <f>IF($S$4=0,IF($K171="","",$K171),IFERROR(IF([1]筐子进出接口!$D$170=0,"",[1]筐子进出接口!$D$170),""))</f>
        <v/>
      </c>
      <c r="E171" s="25" t="str">
        <f>IF($S$4=0,IF($L171="","",$L171),IFERROR(IF([1]筐子进出接口!$E$170=0,"",[1]筐子进出接口!$E$170),""))</f>
        <v/>
      </c>
      <c r="F171" s="25" t="str">
        <f>IF($S$4=0,IF($M171="","",$M171),IFERROR(IF([1]筐子进出接口!$F$170=0,"",[1]筐子进出接口!$F$170),""))</f>
        <v/>
      </c>
      <c r="G171" s="25" t="str">
        <f>IF($S$4=0,IF($N171="","",$N171),IFERROR(IF([1]筐子进出接口!$G$170=0,"",[1]筐子进出接口!$G$170),""))</f>
        <v/>
      </c>
      <c r="H171" s="25" t="str">
        <f t="shared" si="6"/>
        <v/>
      </c>
      <c r="I171" s="27"/>
      <c r="J171" s="27"/>
      <c r="K171" s="104"/>
      <c r="L171" s="104"/>
      <c r="M171" s="104"/>
      <c r="N171" s="104"/>
      <c r="O171" s="105">
        <f t="shared" si="7"/>
        <v>0</v>
      </c>
      <c r="P171" s="105">
        <f t="shared" si="8"/>
        <v>22</v>
      </c>
    </row>
    <row r="172" spans="1:16">
      <c r="A172" s="103">
        <v>171</v>
      </c>
      <c r="B172" s="37" t="str">
        <f>IF($S$4=0,IF($I172="","",$I172),IFERROR(IF([1]筐子进出接口!$B$171=0,"",[1]筐子进出接口!$B$171),""))</f>
        <v/>
      </c>
      <c r="C172" s="37" t="str">
        <f>IF($S$4=0,IF($J172="","",$J172),IFERROR(IF([1]筐子进出接口!$C$171=0,"",[1]筐子进出接口!$C$171),""))</f>
        <v/>
      </c>
      <c r="D172" s="25" t="str">
        <f>IF($S$4=0,IF($K172="","",$K172),IFERROR(IF([1]筐子进出接口!$D$171=0,"",[1]筐子进出接口!$D$171),""))</f>
        <v/>
      </c>
      <c r="E172" s="25" t="str">
        <f>IF($S$4=0,IF($L172="","",$L172),IFERROR(IF([1]筐子进出接口!$E$171=0,"",[1]筐子进出接口!$E$171),""))</f>
        <v/>
      </c>
      <c r="F172" s="25" t="str">
        <f>IF($S$4=0,IF($M172="","",$M172),IFERROR(IF([1]筐子进出接口!$F$171=0,"",[1]筐子进出接口!$F$171),""))</f>
        <v/>
      </c>
      <c r="G172" s="25" t="str">
        <f>IF($S$4=0,IF($N172="","",$N172),IFERROR(IF([1]筐子进出接口!$G$171=0,"",[1]筐子进出接口!$G$171),""))</f>
        <v/>
      </c>
      <c r="H172" s="25" t="str">
        <f t="shared" si="6"/>
        <v/>
      </c>
      <c r="I172" s="27"/>
      <c r="J172" s="27"/>
      <c r="K172" s="104"/>
      <c r="L172" s="104"/>
      <c r="M172" s="104"/>
      <c r="N172" s="104"/>
      <c r="O172" s="105">
        <f t="shared" si="7"/>
        <v>0</v>
      </c>
      <c r="P172" s="105">
        <f t="shared" si="8"/>
        <v>22</v>
      </c>
    </row>
    <row r="173" spans="1:16">
      <c r="A173" s="103">
        <v>172</v>
      </c>
      <c r="B173" s="37" t="str">
        <f>IF($S$4=0,IF($I173="","",$I173),IFERROR(IF([1]筐子进出接口!$B$172=0,"",[1]筐子进出接口!$B$172),""))</f>
        <v/>
      </c>
      <c r="C173" s="37" t="str">
        <f>IF($S$4=0,IF($J173="","",$J173),IFERROR(IF([1]筐子进出接口!$C$172=0,"",[1]筐子进出接口!$C$172),""))</f>
        <v/>
      </c>
      <c r="D173" s="25" t="str">
        <f>IF($S$4=0,IF($K173="","",$K173),IFERROR(IF([1]筐子进出接口!$D$172=0,"",[1]筐子进出接口!$D$172),""))</f>
        <v/>
      </c>
      <c r="E173" s="25" t="str">
        <f>IF($S$4=0,IF($L173="","",$L173),IFERROR(IF([1]筐子进出接口!$E$172=0,"",[1]筐子进出接口!$E$172),""))</f>
        <v/>
      </c>
      <c r="F173" s="25" t="str">
        <f>IF($S$4=0,IF($M173="","",$M173),IFERROR(IF([1]筐子进出接口!$F$172=0,"",[1]筐子进出接口!$F$172),""))</f>
        <v/>
      </c>
      <c r="G173" s="25" t="str">
        <f>IF($S$4=0,IF($N173="","",$N173),IFERROR(IF([1]筐子进出接口!$G$172=0,"",[1]筐子进出接口!$G$172),""))</f>
        <v/>
      </c>
      <c r="H173" s="25" t="str">
        <f t="shared" si="6"/>
        <v/>
      </c>
      <c r="I173" s="27"/>
      <c r="J173" s="27"/>
      <c r="K173" s="104"/>
      <c r="L173" s="104"/>
      <c r="M173" s="104"/>
      <c r="N173" s="104"/>
      <c r="O173" s="105">
        <f t="shared" si="7"/>
        <v>0</v>
      </c>
      <c r="P173" s="105">
        <f t="shared" si="8"/>
        <v>22</v>
      </c>
    </row>
    <row r="174" spans="1:16">
      <c r="A174" s="103">
        <v>173</v>
      </c>
      <c r="B174" s="37" t="str">
        <f>IF($S$4=0,IF($I174="","",$I174),IFERROR(IF([1]筐子进出接口!$B$173=0,"",[1]筐子进出接口!$B$173),""))</f>
        <v/>
      </c>
      <c r="C174" s="37" t="str">
        <f>IF($S$4=0,IF($J174="","",$J174),IFERROR(IF([1]筐子进出接口!$C$173=0,"",[1]筐子进出接口!$C$173),""))</f>
        <v/>
      </c>
      <c r="D174" s="25" t="str">
        <f>IF($S$4=0,IF($K174="","",$K174),IFERROR(IF([1]筐子进出接口!$D$173=0,"",[1]筐子进出接口!$D$173),""))</f>
        <v/>
      </c>
      <c r="E174" s="25" t="str">
        <f>IF($S$4=0,IF($L174="","",$L174),IFERROR(IF([1]筐子进出接口!$E$173=0,"",[1]筐子进出接口!$E$173),""))</f>
        <v/>
      </c>
      <c r="F174" s="25" t="str">
        <f>IF($S$4=0,IF($M174="","",$M174),IFERROR(IF([1]筐子进出接口!$F$173=0,"",[1]筐子进出接口!$F$173),""))</f>
        <v/>
      </c>
      <c r="G174" s="25" t="str">
        <f>IF($S$4=0,IF($N174="","",$N174),IFERROR(IF([1]筐子进出接口!$G$173=0,"",[1]筐子进出接口!$G$173),""))</f>
        <v/>
      </c>
      <c r="H174" s="25" t="str">
        <f t="shared" si="6"/>
        <v/>
      </c>
      <c r="I174" s="27"/>
      <c r="J174" s="27"/>
      <c r="K174" s="104"/>
      <c r="L174" s="104"/>
      <c r="M174" s="104"/>
      <c r="N174" s="104"/>
      <c r="O174" s="105">
        <f t="shared" si="7"/>
        <v>0</v>
      </c>
      <c r="P174" s="105">
        <f t="shared" si="8"/>
        <v>22</v>
      </c>
    </row>
    <row r="175" spans="1:16">
      <c r="A175" s="103">
        <v>174</v>
      </c>
      <c r="B175" s="37" t="str">
        <f>IF($S$4=0,IF($I175="","",$I175),IFERROR(IF([1]筐子进出接口!$B$174=0,"",[1]筐子进出接口!$B$174),""))</f>
        <v/>
      </c>
      <c r="C175" s="37" t="str">
        <f>IF($S$4=0,IF($J175="","",$J175),IFERROR(IF([1]筐子进出接口!$C$174=0,"",[1]筐子进出接口!$C$174),""))</f>
        <v/>
      </c>
      <c r="D175" s="25" t="str">
        <f>IF($S$4=0,IF($K175="","",$K175),IFERROR(IF([1]筐子进出接口!$D$174=0,"",[1]筐子进出接口!$D$174),""))</f>
        <v/>
      </c>
      <c r="E175" s="25" t="str">
        <f>IF($S$4=0,IF($L175="","",$L175),IFERROR(IF([1]筐子进出接口!$E$174=0,"",[1]筐子进出接口!$E$174),""))</f>
        <v/>
      </c>
      <c r="F175" s="25" t="str">
        <f>IF($S$4=0,IF($M175="","",$M175),IFERROR(IF([1]筐子进出接口!$F$174=0,"",[1]筐子进出接口!$F$174),""))</f>
        <v/>
      </c>
      <c r="G175" s="25" t="str">
        <f>IF($S$4=0,IF($N175="","",$N175),IFERROR(IF([1]筐子进出接口!$G$174=0,"",[1]筐子进出接口!$G$174),""))</f>
        <v/>
      </c>
      <c r="H175" s="25" t="str">
        <f t="shared" si="6"/>
        <v/>
      </c>
      <c r="I175" s="27"/>
      <c r="J175" s="27"/>
      <c r="K175" s="104"/>
      <c r="L175" s="104"/>
      <c r="M175" s="104"/>
      <c r="N175" s="104"/>
      <c r="O175" s="105">
        <f t="shared" si="7"/>
        <v>0</v>
      </c>
      <c r="P175" s="105">
        <f t="shared" si="8"/>
        <v>22</v>
      </c>
    </row>
    <row r="176" spans="1:16">
      <c r="A176" s="103">
        <v>175</v>
      </c>
      <c r="B176" s="37" t="str">
        <f>IF($S$4=0,IF($I176="","",$I176),IFERROR(IF([1]筐子进出接口!$B$175=0,"",[1]筐子进出接口!$B$175),""))</f>
        <v/>
      </c>
      <c r="C176" s="37" t="str">
        <f>IF($S$4=0,IF($J176="","",$J176),IFERROR(IF([1]筐子进出接口!$C$175=0,"",[1]筐子进出接口!$C$175),""))</f>
        <v/>
      </c>
      <c r="D176" s="25" t="str">
        <f>IF($S$4=0,IF($K176="","",$K176),IFERROR(IF([1]筐子进出接口!$D$175=0,"",[1]筐子进出接口!$D$175),""))</f>
        <v/>
      </c>
      <c r="E176" s="25" t="str">
        <f>IF($S$4=0,IF($L176="","",$L176),IFERROR(IF([1]筐子进出接口!$E$175=0,"",[1]筐子进出接口!$E$175),""))</f>
        <v/>
      </c>
      <c r="F176" s="25" t="str">
        <f>IF($S$4=0,IF($M176="","",$M176),IFERROR(IF([1]筐子进出接口!$F$175=0,"",[1]筐子进出接口!$F$175),""))</f>
        <v/>
      </c>
      <c r="G176" s="25" t="str">
        <f>IF($S$4=0,IF($N176="","",$N176),IFERROR(IF([1]筐子进出接口!$G$175=0,"",[1]筐子进出接口!$G$175),""))</f>
        <v/>
      </c>
      <c r="H176" s="25" t="str">
        <f t="shared" si="6"/>
        <v/>
      </c>
      <c r="I176" s="27"/>
      <c r="J176" s="27"/>
      <c r="K176" s="104"/>
      <c r="L176" s="104"/>
      <c r="M176" s="104"/>
      <c r="N176" s="104"/>
      <c r="O176" s="105">
        <f t="shared" si="7"/>
        <v>0</v>
      </c>
      <c r="P176" s="105">
        <f t="shared" si="8"/>
        <v>22</v>
      </c>
    </row>
    <row r="177" spans="1:16">
      <c r="A177" s="103">
        <v>176</v>
      </c>
      <c r="B177" s="37" t="str">
        <f>IF($S$4=0,IF($I177="","",$I177),IFERROR(IF([1]筐子进出接口!$B$176=0,"",[1]筐子进出接口!$B$176),""))</f>
        <v/>
      </c>
      <c r="C177" s="37" t="str">
        <f>IF($S$4=0,IF($J177="","",$J177),IFERROR(IF([1]筐子进出接口!$C$176=0,"",[1]筐子进出接口!$C$176),""))</f>
        <v/>
      </c>
      <c r="D177" s="25" t="str">
        <f>IF($S$4=0,IF($K177="","",$K177),IFERROR(IF([1]筐子进出接口!$D$176=0,"",[1]筐子进出接口!$D$176),""))</f>
        <v/>
      </c>
      <c r="E177" s="25" t="str">
        <f>IF($S$4=0,IF($L177="","",$L177),IFERROR(IF([1]筐子进出接口!$E$176=0,"",[1]筐子进出接口!$E$176),""))</f>
        <v/>
      </c>
      <c r="F177" s="25" t="str">
        <f>IF($S$4=0,IF($M177="","",$M177),IFERROR(IF([1]筐子进出接口!$F$176=0,"",[1]筐子进出接口!$F$176),""))</f>
        <v/>
      </c>
      <c r="G177" s="25" t="str">
        <f>IF($S$4=0,IF($N177="","",$N177),IFERROR(IF([1]筐子进出接口!$G$176=0,"",[1]筐子进出接口!$G$176),""))</f>
        <v/>
      </c>
      <c r="H177" s="25" t="str">
        <f t="shared" si="6"/>
        <v/>
      </c>
      <c r="I177" s="27"/>
      <c r="J177" s="27"/>
      <c r="K177" s="104"/>
      <c r="L177" s="104"/>
      <c r="M177" s="104"/>
      <c r="N177" s="104"/>
      <c r="O177" s="105">
        <f t="shared" si="7"/>
        <v>0</v>
      </c>
      <c r="P177" s="105">
        <f t="shared" si="8"/>
        <v>22</v>
      </c>
    </row>
    <row r="178" spans="1:16">
      <c r="A178" s="103">
        <v>177</v>
      </c>
      <c r="B178" s="37" t="str">
        <f>IF($S$4=0,IF($I178="","",$I178),IFERROR(IF([1]筐子进出接口!$B$177=0,"",[1]筐子进出接口!$B$177),""))</f>
        <v/>
      </c>
      <c r="C178" s="37" t="str">
        <f>IF($S$4=0,IF($J178="","",$J178),IFERROR(IF([1]筐子进出接口!$C$177=0,"",[1]筐子进出接口!$C$177),""))</f>
        <v/>
      </c>
      <c r="D178" s="25" t="str">
        <f>IF($S$4=0,IF($K178="","",$K178),IFERROR(IF([1]筐子进出接口!$D$177=0,"",[1]筐子进出接口!$D$177),""))</f>
        <v/>
      </c>
      <c r="E178" s="25" t="str">
        <f>IF($S$4=0,IF($L178="","",$L178),IFERROR(IF([1]筐子进出接口!$E$177=0,"",[1]筐子进出接口!$E$177),""))</f>
        <v/>
      </c>
      <c r="F178" s="25" t="str">
        <f>IF($S$4=0,IF($M178="","",$M178),IFERROR(IF([1]筐子进出接口!$F$177=0,"",[1]筐子进出接口!$F$177),""))</f>
        <v/>
      </c>
      <c r="G178" s="25" t="str">
        <f>IF($S$4=0,IF($N178="","",$N178),IFERROR(IF([1]筐子进出接口!$G$177=0,"",[1]筐子进出接口!$G$177),""))</f>
        <v/>
      </c>
      <c r="H178" s="25" t="str">
        <f t="shared" si="6"/>
        <v/>
      </c>
      <c r="I178" s="27"/>
      <c r="J178" s="27"/>
      <c r="K178" s="104"/>
      <c r="L178" s="104"/>
      <c r="M178" s="104"/>
      <c r="N178" s="104"/>
      <c r="O178" s="105">
        <f t="shared" si="7"/>
        <v>0</v>
      </c>
      <c r="P178" s="105">
        <f t="shared" si="8"/>
        <v>22</v>
      </c>
    </row>
    <row r="179" spans="1:16">
      <c r="A179" s="103">
        <v>178</v>
      </c>
      <c r="B179" s="37" t="str">
        <f>IF($S$4=0,IF($I179="","",$I179),IFERROR(IF([1]筐子进出接口!$B$178=0,"",[1]筐子进出接口!$B$178),""))</f>
        <v/>
      </c>
      <c r="C179" s="37" t="str">
        <f>IF($S$4=0,IF($J179="","",$J179),IFERROR(IF([1]筐子进出接口!$C$178=0,"",[1]筐子进出接口!$C$178),""))</f>
        <v/>
      </c>
      <c r="D179" s="25" t="str">
        <f>IF($S$4=0,IF($K179="","",$K179),IFERROR(IF([1]筐子进出接口!$D$178=0,"",[1]筐子进出接口!$D$178),""))</f>
        <v/>
      </c>
      <c r="E179" s="25" t="str">
        <f>IF($S$4=0,IF($L179="","",$L179),IFERROR(IF([1]筐子进出接口!$E$178=0,"",[1]筐子进出接口!$E$178),""))</f>
        <v/>
      </c>
      <c r="F179" s="25" t="str">
        <f>IF($S$4=0,IF($M179="","",$M179),IFERROR(IF([1]筐子进出接口!$F$178=0,"",[1]筐子进出接口!$F$178),""))</f>
        <v/>
      </c>
      <c r="G179" s="25" t="str">
        <f>IF($S$4=0,IF($N179="","",$N179),IFERROR(IF([1]筐子进出接口!$G$178=0,"",[1]筐子进出接口!$G$178),""))</f>
        <v/>
      </c>
      <c r="H179" s="25" t="str">
        <f t="shared" si="6"/>
        <v/>
      </c>
      <c r="I179" s="27"/>
      <c r="J179" s="27"/>
      <c r="K179" s="104"/>
      <c r="L179" s="104"/>
      <c r="M179" s="104"/>
      <c r="N179" s="104"/>
      <c r="O179" s="105">
        <f t="shared" si="7"/>
        <v>0</v>
      </c>
      <c r="P179" s="105">
        <f t="shared" si="8"/>
        <v>22</v>
      </c>
    </row>
    <row r="180" spans="1:16">
      <c r="A180" s="103">
        <v>179</v>
      </c>
      <c r="B180" s="37" t="str">
        <f>IF($S$4=0,IF($I180="","",$I180),IFERROR(IF([1]筐子进出接口!$B$179=0,"",[1]筐子进出接口!$B$179),""))</f>
        <v/>
      </c>
      <c r="C180" s="37" t="str">
        <f>IF($S$4=0,IF($J180="","",$J180),IFERROR(IF([1]筐子进出接口!$C$179=0,"",[1]筐子进出接口!$C$179),""))</f>
        <v/>
      </c>
      <c r="D180" s="25" t="str">
        <f>IF($S$4=0,IF($K180="","",$K180),IFERROR(IF([1]筐子进出接口!$D$179=0,"",[1]筐子进出接口!$D$179),""))</f>
        <v/>
      </c>
      <c r="E180" s="25" t="str">
        <f>IF($S$4=0,IF($L180="","",$L180),IFERROR(IF([1]筐子进出接口!$E$179=0,"",[1]筐子进出接口!$E$179),""))</f>
        <v/>
      </c>
      <c r="F180" s="25" t="str">
        <f>IF($S$4=0,IF($M180="","",$M180),IFERROR(IF([1]筐子进出接口!$F$179=0,"",[1]筐子进出接口!$F$179),""))</f>
        <v/>
      </c>
      <c r="G180" s="25" t="str">
        <f>IF($S$4=0,IF($N180="","",$N180),IFERROR(IF([1]筐子进出接口!$G$179=0,"",[1]筐子进出接口!$G$179),""))</f>
        <v/>
      </c>
      <c r="H180" s="25" t="str">
        <f t="shared" si="6"/>
        <v/>
      </c>
      <c r="I180" s="27"/>
      <c r="J180" s="27"/>
      <c r="K180" s="104"/>
      <c r="L180" s="104"/>
      <c r="M180" s="104"/>
      <c r="N180" s="104"/>
      <c r="O180" s="105">
        <f t="shared" si="7"/>
        <v>0</v>
      </c>
      <c r="P180" s="105">
        <f t="shared" si="8"/>
        <v>22</v>
      </c>
    </row>
    <row r="181" spans="1:16">
      <c r="A181" s="103">
        <v>180</v>
      </c>
      <c r="B181" s="37" t="str">
        <f>IF($S$4=0,IF($I181="","",$I181),IFERROR(IF([1]筐子进出接口!$B$180=0,"",[1]筐子进出接口!$B$180),""))</f>
        <v/>
      </c>
      <c r="C181" s="37" t="str">
        <f>IF($S$4=0,IF($J181="","",$J181),IFERROR(IF([1]筐子进出接口!$C$180=0,"",[1]筐子进出接口!$C$180),""))</f>
        <v/>
      </c>
      <c r="D181" s="25" t="str">
        <f>IF($S$4=0,IF($K181="","",$K181),IFERROR(IF([1]筐子进出接口!$D$180=0,"",[1]筐子进出接口!$D$180),""))</f>
        <v/>
      </c>
      <c r="E181" s="25" t="str">
        <f>IF($S$4=0,IF($L181="","",$L181),IFERROR(IF([1]筐子进出接口!$E$180=0,"",[1]筐子进出接口!$E$180),""))</f>
        <v/>
      </c>
      <c r="F181" s="25" t="str">
        <f>IF($S$4=0,IF($M181="","",$M181),IFERROR(IF([1]筐子进出接口!$F$180=0,"",[1]筐子进出接口!$F$180),""))</f>
        <v/>
      </c>
      <c r="G181" s="25" t="str">
        <f>IF($S$4=0,IF($N181="","",$N181),IFERROR(IF([1]筐子进出接口!$G$180=0,"",[1]筐子进出接口!$G$180),""))</f>
        <v/>
      </c>
      <c r="H181" s="25" t="str">
        <f t="shared" si="6"/>
        <v/>
      </c>
      <c r="I181" s="27"/>
      <c r="J181" s="27"/>
      <c r="K181" s="104"/>
      <c r="L181" s="104"/>
      <c r="M181" s="104"/>
      <c r="N181" s="104"/>
      <c r="O181" s="105">
        <f t="shared" si="7"/>
        <v>0</v>
      </c>
      <c r="P181" s="105">
        <f t="shared" si="8"/>
        <v>22</v>
      </c>
    </row>
    <row r="182" spans="1:16">
      <c r="A182" s="103">
        <v>181</v>
      </c>
      <c r="B182" s="37" t="str">
        <f>IF($S$4=0,IF($I182="","",$I182),IFERROR(IF([1]筐子进出接口!$B$181=0,"",[1]筐子进出接口!$B$181),""))</f>
        <v/>
      </c>
      <c r="C182" s="37" t="str">
        <f>IF($S$4=0,IF($J182="","",$J182),IFERROR(IF([1]筐子进出接口!$C$181=0,"",[1]筐子进出接口!$C$181),""))</f>
        <v/>
      </c>
      <c r="D182" s="25" t="str">
        <f>IF($S$4=0,IF($K182="","",$K182),IFERROR(IF([1]筐子进出接口!$D$181=0,"",[1]筐子进出接口!$D$181),""))</f>
        <v/>
      </c>
      <c r="E182" s="25" t="str">
        <f>IF($S$4=0,IF($L182="","",$L182),IFERROR(IF([1]筐子进出接口!$E$181=0,"",[1]筐子进出接口!$E$181),""))</f>
        <v/>
      </c>
      <c r="F182" s="25" t="str">
        <f>IF($S$4=0,IF($M182="","",$M182),IFERROR(IF([1]筐子进出接口!$F$181=0,"",[1]筐子进出接口!$F$181),""))</f>
        <v/>
      </c>
      <c r="G182" s="25" t="str">
        <f>IF($S$4=0,IF($N182="","",$N182),IFERROR(IF([1]筐子进出接口!$G$181=0,"",[1]筐子进出接口!$G$181),""))</f>
        <v/>
      </c>
      <c r="H182" s="25" t="str">
        <f t="shared" si="6"/>
        <v/>
      </c>
      <c r="I182" s="27"/>
      <c r="J182" s="27"/>
      <c r="K182" s="104"/>
      <c r="L182" s="104"/>
      <c r="M182" s="104"/>
      <c r="N182" s="104"/>
      <c r="O182" s="105">
        <f t="shared" si="7"/>
        <v>0</v>
      </c>
      <c r="P182" s="105">
        <f t="shared" si="8"/>
        <v>22</v>
      </c>
    </row>
    <row r="183" spans="1:16">
      <c r="A183" s="103">
        <v>182</v>
      </c>
      <c r="B183" s="37" t="str">
        <f>IF($S$4=0,IF($I183="","",$I183),IFERROR(IF([1]筐子进出接口!$B$182=0,"",[1]筐子进出接口!$B$182),""))</f>
        <v/>
      </c>
      <c r="C183" s="37" t="str">
        <f>IF($S$4=0,IF($J183="","",$J183),IFERROR(IF([1]筐子进出接口!$C$182=0,"",[1]筐子进出接口!$C$182),""))</f>
        <v/>
      </c>
      <c r="D183" s="25" t="str">
        <f>IF($S$4=0,IF($K183="","",$K183),IFERROR(IF([1]筐子进出接口!$D$182=0,"",[1]筐子进出接口!$D$182),""))</f>
        <v/>
      </c>
      <c r="E183" s="25" t="str">
        <f>IF($S$4=0,IF($L183="","",$L183),IFERROR(IF([1]筐子进出接口!$E$182=0,"",[1]筐子进出接口!$E$182),""))</f>
        <v/>
      </c>
      <c r="F183" s="25" t="str">
        <f>IF($S$4=0,IF($M183="","",$M183),IFERROR(IF([1]筐子进出接口!$F$182=0,"",[1]筐子进出接口!$F$182),""))</f>
        <v/>
      </c>
      <c r="G183" s="25" t="str">
        <f>IF($S$4=0,IF($N183="","",$N183),IFERROR(IF([1]筐子进出接口!$G$182=0,"",[1]筐子进出接口!$G$182),""))</f>
        <v/>
      </c>
      <c r="H183" s="25" t="str">
        <f t="shared" si="6"/>
        <v/>
      </c>
      <c r="I183" s="27"/>
      <c r="J183" s="27"/>
      <c r="K183" s="104"/>
      <c r="L183" s="104"/>
      <c r="M183" s="104"/>
      <c r="N183" s="104"/>
      <c r="O183" s="105">
        <f t="shared" si="7"/>
        <v>0</v>
      </c>
      <c r="P183" s="105">
        <f t="shared" si="8"/>
        <v>22</v>
      </c>
    </row>
    <row r="184" spans="1:16">
      <c r="A184" s="103">
        <v>183</v>
      </c>
      <c r="B184" s="37" t="str">
        <f>IF($S$4=0,IF($I184="","",$I184),IFERROR(IF([1]筐子进出接口!$B$183=0,"",[1]筐子进出接口!$B$183),""))</f>
        <v/>
      </c>
      <c r="C184" s="37" t="str">
        <f>IF($S$4=0,IF($J184="","",$J184),IFERROR(IF([1]筐子进出接口!$C$183=0,"",[1]筐子进出接口!$C$183),""))</f>
        <v/>
      </c>
      <c r="D184" s="25" t="str">
        <f>IF($S$4=0,IF($K184="","",$K184),IFERROR(IF([1]筐子进出接口!$D$183=0,"",[1]筐子进出接口!$D$183),""))</f>
        <v/>
      </c>
      <c r="E184" s="25" t="str">
        <f>IF($S$4=0,IF($L184="","",$L184),IFERROR(IF([1]筐子进出接口!$E$183=0,"",[1]筐子进出接口!$E$183),""))</f>
        <v/>
      </c>
      <c r="F184" s="25" t="str">
        <f>IF($S$4=0,IF($M184="","",$M184),IFERROR(IF([1]筐子进出接口!$F$183=0,"",[1]筐子进出接口!$F$183),""))</f>
        <v/>
      </c>
      <c r="G184" s="25" t="str">
        <f>IF($S$4=0,IF($N184="","",$N184),IFERROR(IF([1]筐子进出接口!$G$183=0,"",[1]筐子进出接口!$G$183),""))</f>
        <v/>
      </c>
      <c r="H184" s="25" t="str">
        <f t="shared" si="6"/>
        <v/>
      </c>
      <c r="I184" s="27"/>
      <c r="J184" s="27"/>
      <c r="K184" s="104"/>
      <c r="L184" s="104"/>
      <c r="M184" s="104"/>
      <c r="N184" s="104"/>
      <c r="O184" s="105">
        <f t="shared" si="7"/>
        <v>0</v>
      </c>
      <c r="P184" s="105">
        <f t="shared" si="8"/>
        <v>22</v>
      </c>
    </row>
    <row r="185" spans="1:16">
      <c r="A185" s="103">
        <v>184</v>
      </c>
      <c r="B185" s="37" t="str">
        <f>IF($S$4=0,IF($I185="","",$I185),IFERROR(IF([1]筐子进出接口!$B$184=0,"",[1]筐子进出接口!$B$184),""))</f>
        <v/>
      </c>
      <c r="C185" s="37" t="str">
        <f>IF($S$4=0,IF($J185="","",$J185),IFERROR(IF([1]筐子进出接口!$C$184=0,"",[1]筐子进出接口!$C$184),""))</f>
        <v/>
      </c>
      <c r="D185" s="25" t="str">
        <f>IF($S$4=0,IF($K185="","",$K185),IFERROR(IF([1]筐子进出接口!$D$184=0,"",[1]筐子进出接口!$D$184),""))</f>
        <v/>
      </c>
      <c r="E185" s="25" t="str">
        <f>IF($S$4=0,IF($L185="","",$L185),IFERROR(IF([1]筐子进出接口!$E$184=0,"",[1]筐子进出接口!$E$184),""))</f>
        <v/>
      </c>
      <c r="F185" s="25" t="str">
        <f>IF($S$4=0,IF($M185="","",$M185),IFERROR(IF([1]筐子进出接口!$F$184=0,"",[1]筐子进出接口!$F$184),""))</f>
        <v/>
      </c>
      <c r="G185" s="25" t="str">
        <f>IF($S$4=0,IF($N185="","",$N185),IFERROR(IF([1]筐子进出接口!$G$184=0,"",[1]筐子进出接口!$G$184),""))</f>
        <v/>
      </c>
      <c r="H185" s="25" t="str">
        <f t="shared" si="6"/>
        <v/>
      </c>
      <c r="I185" s="27"/>
      <c r="J185" s="27"/>
      <c r="K185" s="104"/>
      <c r="L185" s="104"/>
      <c r="M185" s="104"/>
      <c r="N185" s="104"/>
      <c r="O185" s="105">
        <f t="shared" si="7"/>
        <v>0</v>
      </c>
      <c r="P185" s="105">
        <f t="shared" si="8"/>
        <v>22</v>
      </c>
    </row>
    <row r="186" spans="1:16">
      <c r="A186" s="103">
        <v>185</v>
      </c>
      <c r="B186" s="37" t="str">
        <f>IF($S$4=0,IF($I186="","",$I186),IFERROR(IF([1]筐子进出接口!$B$185=0,"",[1]筐子进出接口!$B$185),""))</f>
        <v/>
      </c>
      <c r="C186" s="37" t="str">
        <f>IF($S$4=0,IF($J186="","",$J186),IFERROR(IF([1]筐子进出接口!$C$185=0,"",[1]筐子进出接口!$C$185),""))</f>
        <v/>
      </c>
      <c r="D186" s="25" t="str">
        <f>IF($S$4=0,IF($K186="","",$K186),IFERROR(IF([1]筐子进出接口!$D$185=0,"",[1]筐子进出接口!$D$185),""))</f>
        <v/>
      </c>
      <c r="E186" s="25" t="str">
        <f>IF($S$4=0,IF($L186="","",$L186),IFERROR(IF([1]筐子进出接口!$E$185=0,"",[1]筐子进出接口!$E$185),""))</f>
        <v/>
      </c>
      <c r="F186" s="25" t="str">
        <f>IF($S$4=0,IF($M186="","",$M186),IFERROR(IF([1]筐子进出接口!$F$185=0,"",[1]筐子进出接口!$F$185),""))</f>
        <v/>
      </c>
      <c r="G186" s="25" t="str">
        <f>IF($S$4=0,IF($N186="","",$N186),IFERROR(IF([1]筐子进出接口!$G$185=0,"",[1]筐子进出接口!$G$185),""))</f>
        <v/>
      </c>
      <c r="H186" s="25" t="str">
        <f t="shared" si="6"/>
        <v/>
      </c>
      <c r="I186" s="27"/>
      <c r="J186" s="27"/>
      <c r="K186" s="104"/>
      <c r="L186" s="104"/>
      <c r="M186" s="104"/>
      <c r="N186" s="104"/>
      <c r="O186" s="105">
        <f t="shared" si="7"/>
        <v>0</v>
      </c>
      <c r="P186" s="105">
        <f t="shared" si="8"/>
        <v>22</v>
      </c>
    </row>
    <row r="187" spans="1:16">
      <c r="A187" s="103">
        <v>186</v>
      </c>
      <c r="B187" s="37" t="str">
        <f>IF($S$4=0,IF($I187="","",$I187),IFERROR(IF([1]筐子进出接口!$B$186=0,"",[1]筐子进出接口!$B$186),""))</f>
        <v/>
      </c>
      <c r="C187" s="37" t="str">
        <f>IF($S$4=0,IF($J187="","",$J187),IFERROR(IF([1]筐子进出接口!$C$186=0,"",[1]筐子进出接口!$C$186),""))</f>
        <v/>
      </c>
      <c r="D187" s="25" t="str">
        <f>IF($S$4=0,IF($K187="","",$K187),IFERROR(IF([1]筐子进出接口!$D$186=0,"",[1]筐子进出接口!$D$186),""))</f>
        <v/>
      </c>
      <c r="E187" s="25" t="str">
        <f>IF($S$4=0,IF($L187="","",$L187),IFERROR(IF([1]筐子进出接口!$E$186=0,"",[1]筐子进出接口!$E$186),""))</f>
        <v/>
      </c>
      <c r="F187" s="25" t="str">
        <f>IF($S$4=0,IF($M187="","",$M187),IFERROR(IF([1]筐子进出接口!$F$186=0,"",[1]筐子进出接口!$F$186),""))</f>
        <v/>
      </c>
      <c r="G187" s="25" t="str">
        <f>IF($S$4=0,IF($N187="","",$N187),IFERROR(IF([1]筐子进出接口!$G$186=0,"",[1]筐子进出接口!$G$186),""))</f>
        <v/>
      </c>
      <c r="H187" s="25" t="str">
        <f t="shared" si="6"/>
        <v/>
      </c>
      <c r="I187" s="27"/>
      <c r="J187" s="27"/>
      <c r="K187" s="104"/>
      <c r="L187" s="104"/>
      <c r="M187" s="104"/>
      <c r="N187" s="104"/>
      <c r="O187" s="105">
        <f t="shared" si="7"/>
        <v>0</v>
      </c>
      <c r="P187" s="105">
        <f t="shared" si="8"/>
        <v>22</v>
      </c>
    </row>
    <row r="188" spans="1:16">
      <c r="A188" s="103">
        <v>187</v>
      </c>
      <c r="B188" s="37" t="str">
        <f>IF($S$4=0,IF($I188="","",$I188),IFERROR(IF([1]筐子进出接口!$B$187=0,"",[1]筐子进出接口!$B$187),""))</f>
        <v/>
      </c>
      <c r="C188" s="37" t="str">
        <f>IF($S$4=0,IF($J188="","",$J188),IFERROR(IF([1]筐子进出接口!$C$187=0,"",[1]筐子进出接口!$C$187),""))</f>
        <v/>
      </c>
      <c r="D188" s="25" t="str">
        <f>IF($S$4=0,IF($K188="","",$K188),IFERROR(IF([1]筐子进出接口!$D$187=0,"",[1]筐子进出接口!$D$187),""))</f>
        <v/>
      </c>
      <c r="E188" s="25" t="str">
        <f>IF($S$4=0,IF($L188="","",$L188),IFERROR(IF([1]筐子进出接口!$E$187=0,"",[1]筐子进出接口!$E$187),""))</f>
        <v/>
      </c>
      <c r="F188" s="25" t="str">
        <f>IF($S$4=0,IF($M188="","",$M188),IFERROR(IF([1]筐子进出接口!$F$187=0,"",[1]筐子进出接口!$F$187),""))</f>
        <v/>
      </c>
      <c r="G188" s="25" t="str">
        <f>IF($S$4=0,IF($N188="","",$N188),IFERROR(IF([1]筐子进出接口!$G$187=0,"",[1]筐子进出接口!$G$187),""))</f>
        <v/>
      </c>
      <c r="H188" s="25" t="str">
        <f t="shared" si="6"/>
        <v/>
      </c>
      <c r="I188" s="27"/>
      <c r="J188" s="27"/>
      <c r="K188" s="104"/>
      <c r="L188" s="104"/>
      <c r="M188" s="104"/>
      <c r="N188" s="104"/>
      <c r="O188" s="105">
        <f t="shared" si="7"/>
        <v>0</v>
      </c>
      <c r="P188" s="105">
        <f t="shared" si="8"/>
        <v>22</v>
      </c>
    </row>
    <row r="189" spans="1:16">
      <c r="A189" s="103">
        <v>188</v>
      </c>
      <c r="B189" s="37" t="str">
        <f>IF($S$4=0,IF($I189="","",$I189),IFERROR(IF([1]筐子进出接口!$B$188=0,"",[1]筐子进出接口!$B$188),""))</f>
        <v/>
      </c>
      <c r="C189" s="37" t="str">
        <f>IF($S$4=0,IF($J189="","",$J189),IFERROR(IF([1]筐子进出接口!$C$188=0,"",[1]筐子进出接口!$C$188),""))</f>
        <v/>
      </c>
      <c r="D189" s="25" t="str">
        <f>IF($S$4=0,IF($K189="","",$K189),IFERROR(IF([1]筐子进出接口!$D$188=0,"",[1]筐子进出接口!$D$188),""))</f>
        <v/>
      </c>
      <c r="E189" s="25" t="str">
        <f>IF($S$4=0,IF($L189="","",$L189),IFERROR(IF([1]筐子进出接口!$E$188=0,"",[1]筐子进出接口!$E$188),""))</f>
        <v/>
      </c>
      <c r="F189" s="25" t="str">
        <f>IF($S$4=0,IF($M189="","",$M189),IFERROR(IF([1]筐子进出接口!$F$188=0,"",[1]筐子进出接口!$F$188),""))</f>
        <v/>
      </c>
      <c r="G189" s="25" t="str">
        <f>IF($S$4=0,IF($N189="","",$N189),IFERROR(IF([1]筐子进出接口!$G$188=0,"",[1]筐子进出接口!$G$188),""))</f>
        <v/>
      </c>
      <c r="H189" s="25" t="str">
        <f t="shared" si="6"/>
        <v/>
      </c>
      <c r="I189" s="27"/>
      <c r="J189" s="27"/>
      <c r="K189" s="104"/>
      <c r="L189" s="104"/>
      <c r="M189" s="104"/>
      <c r="N189" s="104"/>
      <c r="O189" s="105">
        <f t="shared" si="7"/>
        <v>0</v>
      </c>
      <c r="P189" s="105">
        <f t="shared" si="8"/>
        <v>22</v>
      </c>
    </row>
    <row r="190" spans="1:16">
      <c r="A190" s="103">
        <v>189</v>
      </c>
      <c r="B190" s="37" t="str">
        <f>IF($S$4=0,IF($I190="","",$I190),IFERROR(IF([1]筐子进出接口!$B$189=0,"",[1]筐子进出接口!$B$189),""))</f>
        <v/>
      </c>
      <c r="C190" s="37" t="str">
        <f>IF($S$4=0,IF($J190="","",$J190),IFERROR(IF([1]筐子进出接口!$C$189=0,"",[1]筐子进出接口!$C$189),""))</f>
        <v/>
      </c>
      <c r="D190" s="25" t="str">
        <f>IF($S$4=0,IF($K190="","",$K190),IFERROR(IF([1]筐子进出接口!$D$189=0,"",[1]筐子进出接口!$D$189),""))</f>
        <v/>
      </c>
      <c r="E190" s="25" t="str">
        <f>IF($S$4=0,IF($L190="","",$L190),IFERROR(IF([1]筐子进出接口!$E$189=0,"",[1]筐子进出接口!$E$189),""))</f>
        <v/>
      </c>
      <c r="F190" s="25" t="str">
        <f>IF($S$4=0,IF($M190="","",$M190),IFERROR(IF([1]筐子进出接口!$F$189=0,"",[1]筐子进出接口!$F$189),""))</f>
        <v/>
      </c>
      <c r="G190" s="25" t="str">
        <f>IF($S$4=0,IF($N190="","",$N190),IFERROR(IF([1]筐子进出接口!$G$189=0,"",[1]筐子进出接口!$G$189),""))</f>
        <v/>
      </c>
      <c r="H190" s="25" t="str">
        <f t="shared" si="6"/>
        <v/>
      </c>
      <c r="I190" s="27"/>
      <c r="J190" s="27"/>
      <c r="K190" s="104"/>
      <c r="L190" s="104"/>
      <c r="M190" s="104"/>
      <c r="N190" s="104"/>
      <c r="O190" s="105">
        <f t="shared" si="7"/>
        <v>0</v>
      </c>
      <c r="P190" s="105">
        <f t="shared" si="8"/>
        <v>22</v>
      </c>
    </row>
    <row r="191" spans="1:16">
      <c r="A191" s="103">
        <v>190</v>
      </c>
      <c r="B191" s="37" t="str">
        <f>IF($S$4=0,IF($I191="","",$I191),IFERROR(IF([1]筐子进出接口!$B$190=0,"",[1]筐子进出接口!$B$190),""))</f>
        <v/>
      </c>
      <c r="C191" s="37" t="str">
        <f>IF($S$4=0,IF($J191="","",$J191),IFERROR(IF([1]筐子进出接口!$C$190=0,"",[1]筐子进出接口!$C$190),""))</f>
        <v/>
      </c>
      <c r="D191" s="25" t="str">
        <f>IF($S$4=0,IF($K191="","",$K191),IFERROR(IF([1]筐子进出接口!$D$190=0,"",[1]筐子进出接口!$D$190),""))</f>
        <v/>
      </c>
      <c r="E191" s="25" t="str">
        <f>IF($S$4=0,IF($L191="","",$L191),IFERROR(IF([1]筐子进出接口!$E$190=0,"",[1]筐子进出接口!$E$190),""))</f>
        <v/>
      </c>
      <c r="F191" s="25" t="str">
        <f>IF($S$4=0,IF($M191="","",$M191),IFERROR(IF([1]筐子进出接口!$F$190=0,"",[1]筐子进出接口!$F$190),""))</f>
        <v/>
      </c>
      <c r="G191" s="25" t="str">
        <f>IF($S$4=0,IF($N191="","",$N191),IFERROR(IF([1]筐子进出接口!$G$190=0,"",[1]筐子进出接口!$G$190),""))</f>
        <v/>
      </c>
      <c r="H191" s="25" t="str">
        <f t="shared" si="6"/>
        <v/>
      </c>
      <c r="I191" s="27"/>
      <c r="J191" s="27"/>
      <c r="K191" s="104"/>
      <c r="L191" s="104"/>
      <c r="M191" s="104"/>
      <c r="N191" s="104"/>
      <c r="O191" s="105">
        <f t="shared" si="7"/>
        <v>0</v>
      </c>
      <c r="P191" s="105">
        <f t="shared" si="8"/>
        <v>22</v>
      </c>
    </row>
    <row r="192" spans="1:16">
      <c r="A192" s="103">
        <v>191</v>
      </c>
      <c r="B192" s="37" t="str">
        <f>IF($S$4=0,IF($I192="","",$I192),IFERROR(IF([1]筐子进出接口!$B$191=0,"",[1]筐子进出接口!$B$191),""))</f>
        <v/>
      </c>
      <c r="C192" s="37" t="str">
        <f>IF($S$4=0,IF($J192="","",$J192),IFERROR(IF([1]筐子进出接口!$C$191=0,"",[1]筐子进出接口!$C$191),""))</f>
        <v/>
      </c>
      <c r="D192" s="25" t="str">
        <f>IF($S$4=0,IF($K192="","",$K192),IFERROR(IF([1]筐子进出接口!$D$191=0,"",[1]筐子进出接口!$D$191),""))</f>
        <v/>
      </c>
      <c r="E192" s="25" t="str">
        <f>IF($S$4=0,IF($L192="","",$L192),IFERROR(IF([1]筐子进出接口!$E$191=0,"",[1]筐子进出接口!$E$191),""))</f>
        <v/>
      </c>
      <c r="F192" s="25" t="str">
        <f>IF($S$4=0,IF($M192="","",$M192),IFERROR(IF([1]筐子进出接口!$F$191=0,"",[1]筐子进出接口!$F$191),""))</f>
        <v/>
      </c>
      <c r="G192" s="25" t="str">
        <f>IF($S$4=0,IF($N192="","",$N192),IFERROR(IF([1]筐子进出接口!$G$191=0,"",[1]筐子进出接口!$G$191),""))</f>
        <v/>
      </c>
      <c r="H192" s="25" t="str">
        <f t="shared" si="6"/>
        <v/>
      </c>
      <c r="I192" s="27"/>
      <c r="J192" s="27"/>
      <c r="K192" s="104"/>
      <c r="L192" s="104"/>
      <c r="M192" s="104"/>
      <c r="N192" s="104"/>
      <c r="O192" s="105">
        <f t="shared" si="7"/>
        <v>0</v>
      </c>
      <c r="P192" s="105">
        <f t="shared" si="8"/>
        <v>22</v>
      </c>
    </row>
    <row r="193" spans="1:16">
      <c r="A193" s="103">
        <v>192</v>
      </c>
      <c r="B193" s="37" t="str">
        <f>IF($S$4=0,IF($I193="","",$I193),IFERROR(IF([1]筐子进出接口!$B$192=0,"",[1]筐子进出接口!$B$192),""))</f>
        <v/>
      </c>
      <c r="C193" s="37" t="str">
        <f>IF($S$4=0,IF($J193="","",$J193),IFERROR(IF([1]筐子进出接口!$C$192=0,"",[1]筐子进出接口!$C$192),""))</f>
        <v/>
      </c>
      <c r="D193" s="25" t="str">
        <f>IF($S$4=0,IF($K193="","",$K193),IFERROR(IF([1]筐子进出接口!$D$192=0,"",[1]筐子进出接口!$D$192),""))</f>
        <v/>
      </c>
      <c r="E193" s="25" t="str">
        <f>IF($S$4=0,IF($L193="","",$L193),IFERROR(IF([1]筐子进出接口!$E$192=0,"",[1]筐子进出接口!$E$192),""))</f>
        <v/>
      </c>
      <c r="F193" s="25" t="str">
        <f>IF($S$4=0,IF($M193="","",$M193),IFERROR(IF([1]筐子进出接口!$F$192=0,"",[1]筐子进出接口!$F$192),""))</f>
        <v/>
      </c>
      <c r="G193" s="25" t="str">
        <f>IF($S$4=0,IF($N193="","",$N193),IFERROR(IF([1]筐子进出接口!$G$192=0,"",[1]筐子进出接口!$G$192),""))</f>
        <v/>
      </c>
      <c r="H193" s="25" t="str">
        <f t="shared" si="6"/>
        <v/>
      </c>
      <c r="I193" s="27"/>
      <c r="J193" s="27"/>
      <c r="K193" s="104"/>
      <c r="L193" s="104"/>
      <c r="M193" s="104"/>
      <c r="N193" s="104"/>
      <c r="O193" s="105">
        <f t="shared" si="7"/>
        <v>0</v>
      </c>
      <c r="P193" s="105">
        <f t="shared" si="8"/>
        <v>22</v>
      </c>
    </row>
    <row r="194" spans="1:16">
      <c r="A194" s="103">
        <v>193</v>
      </c>
      <c r="B194" s="37" t="str">
        <f>IF($S$4=0,IF($I194="","",$I194),IFERROR(IF([1]筐子进出接口!$B$193=0,"",[1]筐子进出接口!$B$193),""))</f>
        <v/>
      </c>
      <c r="C194" s="37" t="str">
        <f>IF($S$4=0,IF($J194="","",$J194),IFERROR(IF([1]筐子进出接口!$C$193=0,"",[1]筐子进出接口!$C$193),""))</f>
        <v/>
      </c>
      <c r="D194" s="25" t="str">
        <f>IF($S$4=0,IF($K194="","",$K194),IFERROR(IF([1]筐子进出接口!$D$193=0,"",[1]筐子进出接口!$D$193),""))</f>
        <v/>
      </c>
      <c r="E194" s="25" t="str">
        <f>IF($S$4=0,IF($L194="","",$L194),IFERROR(IF([1]筐子进出接口!$E$193=0,"",[1]筐子进出接口!$E$193),""))</f>
        <v/>
      </c>
      <c r="F194" s="25" t="str">
        <f>IF($S$4=0,IF($M194="","",$M194),IFERROR(IF([1]筐子进出接口!$F$193=0,"",[1]筐子进出接口!$F$193),""))</f>
        <v/>
      </c>
      <c r="G194" s="25" t="str">
        <f>IF($S$4=0,IF($N194="","",$N194),IFERROR(IF([1]筐子进出接口!$G$193=0,"",[1]筐子进出接口!$G$193),""))</f>
        <v/>
      </c>
      <c r="H194" s="25" t="str">
        <f t="shared" si="6"/>
        <v/>
      </c>
      <c r="I194" s="27"/>
      <c r="J194" s="27"/>
      <c r="K194" s="104"/>
      <c r="L194" s="104"/>
      <c r="M194" s="104"/>
      <c r="N194" s="104"/>
      <c r="O194" s="105">
        <f t="shared" si="7"/>
        <v>0</v>
      </c>
      <c r="P194" s="105">
        <f t="shared" si="8"/>
        <v>22</v>
      </c>
    </row>
    <row r="195" spans="1:16">
      <c r="A195" s="103">
        <v>194</v>
      </c>
      <c r="B195" s="37" t="str">
        <f>IF($S$4=0,IF($I195="","",$I195),IFERROR(IF([1]筐子进出接口!$B$194=0,"",[1]筐子进出接口!$B$194),""))</f>
        <v/>
      </c>
      <c r="C195" s="37" t="str">
        <f>IF($S$4=0,IF($J195="","",$J195),IFERROR(IF([1]筐子进出接口!$C$194=0,"",[1]筐子进出接口!$C$194),""))</f>
        <v/>
      </c>
      <c r="D195" s="25" t="str">
        <f>IF($S$4=0,IF($K195="","",$K195),IFERROR(IF([1]筐子进出接口!$D$194=0,"",[1]筐子进出接口!$D$194),""))</f>
        <v/>
      </c>
      <c r="E195" s="25" t="str">
        <f>IF($S$4=0,IF($L195="","",$L195),IFERROR(IF([1]筐子进出接口!$E$194=0,"",[1]筐子进出接口!$E$194),""))</f>
        <v/>
      </c>
      <c r="F195" s="25" t="str">
        <f>IF($S$4=0,IF($M195="","",$M195),IFERROR(IF([1]筐子进出接口!$F$194=0,"",[1]筐子进出接口!$F$194),""))</f>
        <v/>
      </c>
      <c r="G195" s="25" t="str">
        <f>IF($S$4=0,IF($N195="","",$N195),IFERROR(IF([1]筐子进出接口!$G$194=0,"",[1]筐子进出接口!$G$194),""))</f>
        <v/>
      </c>
      <c r="H195" s="25" t="str">
        <f t="shared" si="6"/>
        <v/>
      </c>
      <c r="I195" s="27"/>
      <c r="J195" s="27"/>
      <c r="K195" s="104"/>
      <c r="L195" s="104"/>
      <c r="M195" s="104"/>
      <c r="N195" s="104"/>
      <c r="O195" s="105">
        <f t="shared" si="7"/>
        <v>0</v>
      </c>
      <c r="P195" s="105">
        <f t="shared" si="8"/>
        <v>22</v>
      </c>
    </row>
    <row r="196" spans="1:16">
      <c r="A196" s="103">
        <v>195</v>
      </c>
      <c r="B196" s="37" t="str">
        <f>IF($S$4=0,IF($I196="","",$I196),IFERROR(IF([1]筐子进出接口!$B$195=0,"",[1]筐子进出接口!$B$195),""))</f>
        <v/>
      </c>
      <c r="C196" s="37" t="str">
        <f>IF($S$4=0,IF($J196="","",$J196),IFERROR(IF([1]筐子进出接口!$C$195=0,"",[1]筐子进出接口!$C$195),""))</f>
        <v/>
      </c>
      <c r="D196" s="25" t="str">
        <f>IF($S$4=0,IF($K196="","",$K196),IFERROR(IF([1]筐子进出接口!$D$195=0,"",[1]筐子进出接口!$D$195),""))</f>
        <v/>
      </c>
      <c r="E196" s="25" t="str">
        <f>IF($S$4=0,IF($L196="","",$L196),IFERROR(IF([1]筐子进出接口!$E$195=0,"",[1]筐子进出接口!$E$195),""))</f>
        <v/>
      </c>
      <c r="F196" s="25" t="str">
        <f>IF($S$4=0,IF($M196="","",$M196),IFERROR(IF([1]筐子进出接口!$F$195=0,"",[1]筐子进出接口!$F$195),""))</f>
        <v/>
      </c>
      <c r="G196" s="25" t="str">
        <f>IF($S$4=0,IF($N196="","",$N196),IFERROR(IF([1]筐子进出接口!$G$195=0,"",[1]筐子进出接口!$G$195),""))</f>
        <v/>
      </c>
      <c r="H196" s="25" t="str">
        <f t="shared" si="6"/>
        <v/>
      </c>
      <c r="I196" s="27"/>
      <c r="J196" s="27"/>
      <c r="K196" s="104"/>
      <c r="L196" s="104"/>
      <c r="M196" s="104"/>
      <c r="N196" s="104"/>
      <c r="O196" s="105">
        <f t="shared" si="7"/>
        <v>0</v>
      </c>
      <c r="P196" s="105">
        <f t="shared" si="8"/>
        <v>22</v>
      </c>
    </row>
    <row r="197" spans="1:16">
      <c r="A197" s="103">
        <v>196</v>
      </c>
      <c r="B197" s="37" t="str">
        <f>IF($S$4=0,IF($I197="","",$I197),IFERROR(IF([1]筐子进出接口!$B$196=0,"",[1]筐子进出接口!$B$196),""))</f>
        <v/>
      </c>
      <c r="C197" s="37" t="str">
        <f>IF($S$4=0,IF($J197="","",$J197),IFERROR(IF([1]筐子进出接口!$C$196=0,"",[1]筐子进出接口!$C$196),""))</f>
        <v/>
      </c>
      <c r="D197" s="25" t="str">
        <f>IF($S$4=0,IF($K197="","",$K197),IFERROR(IF([1]筐子进出接口!$D$196=0,"",[1]筐子进出接口!$D$196),""))</f>
        <v/>
      </c>
      <c r="E197" s="25" t="str">
        <f>IF($S$4=0,IF($L197="","",$L197),IFERROR(IF([1]筐子进出接口!$E$196=0,"",[1]筐子进出接口!$E$196),""))</f>
        <v/>
      </c>
      <c r="F197" s="25" t="str">
        <f>IF($S$4=0,IF($M197="","",$M197),IFERROR(IF([1]筐子进出接口!$F$196=0,"",[1]筐子进出接口!$F$196),""))</f>
        <v/>
      </c>
      <c r="G197" s="25" t="str">
        <f>IF($S$4=0,IF($N197="","",$N197),IFERROR(IF([1]筐子进出接口!$G$196=0,"",[1]筐子进出接口!$G$196),""))</f>
        <v/>
      </c>
      <c r="H197" s="25" t="str">
        <f t="shared" ref="H197:H260" si="9">IF($B197="","",N($D197))</f>
        <v/>
      </c>
      <c r="I197" s="27"/>
      <c r="J197" s="27"/>
      <c r="K197" s="104"/>
      <c r="L197" s="104"/>
      <c r="M197" s="104"/>
      <c r="N197" s="104"/>
      <c r="O197" s="105">
        <f t="shared" ref="O197:O260" si="10">IF(AND($B197&lt;&gt;"",$C197&lt;&gt;""),1,0)</f>
        <v>0</v>
      </c>
      <c r="P197" s="105">
        <f t="shared" ref="P197:P260" si="11">N(P196)+$O197</f>
        <v>22</v>
      </c>
    </row>
    <row r="198" spans="1:16">
      <c r="A198" s="103">
        <v>197</v>
      </c>
      <c r="B198" s="37" t="str">
        <f>IF($S$4=0,IF($I198="","",$I198),IFERROR(IF([1]筐子进出接口!$B$197=0,"",[1]筐子进出接口!$B$197),""))</f>
        <v/>
      </c>
      <c r="C198" s="37" t="str">
        <f>IF($S$4=0,IF($J198="","",$J198),IFERROR(IF([1]筐子进出接口!$C$197=0,"",[1]筐子进出接口!$C$197),""))</f>
        <v/>
      </c>
      <c r="D198" s="25" t="str">
        <f>IF($S$4=0,IF($K198="","",$K198),IFERROR(IF([1]筐子进出接口!$D$197=0,"",[1]筐子进出接口!$D$197),""))</f>
        <v/>
      </c>
      <c r="E198" s="25" t="str">
        <f>IF($S$4=0,IF($L198="","",$L198),IFERROR(IF([1]筐子进出接口!$E$197=0,"",[1]筐子进出接口!$E$197),""))</f>
        <v/>
      </c>
      <c r="F198" s="25" t="str">
        <f>IF($S$4=0,IF($M198="","",$M198),IFERROR(IF([1]筐子进出接口!$F$197=0,"",[1]筐子进出接口!$F$197),""))</f>
        <v/>
      </c>
      <c r="G198" s="25" t="str">
        <f>IF($S$4=0,IF($N198="","",$N198),IFERROR(IF([1]筐子进出接口!$G$197=0,"",[1]筐子进出接口!$G$197),""))</f>
        <v/>
      </c>
      <c r="H198" s="25" t="str">
        <f t="shared" si="9"/>
        <v/>
      </c>
      <c r="I198" s="27"/>
      <c r="J198" s="27"/>
      <c r="K198" s="104"/>
      <c r="L198" s="104"/>
      <c r="M198" s="104"/>
      <c r="N198" s="104"/>
      <c r="O198" s="105">
        <f t="shared" si="10"/>
        <v>0</v>
      </c>
      <c r="P198" s="105">
        <f t="shared" si="11"/>
        <v>22</v>
      </c>
    </row>
    <row r="199" spans="1:16">
      <c r="A199" s="103">
        <v>198</v>
      </c>
      <c r="B199" s="37" t="str">
        <f>IF($S$4=0,IF($I199="","",$I199),IFERROR(IF([1]筐子进出接口!$B$198=0,"",[1]筐子进出接口!$B$198),""))</f>
        <v/>
      </c>
      <c r="C199" s="37" t="str">
        <f>IF($S$4=0,IF($J199="","",$J199),IFERROR(IF([1]筐子进出接口!$C$198=0,"",[1]筐子进出接口!$C$198),""))</f>
        <v/>
      </c>
      <c r="D199" s="25" t="str">
        <f>IF($S$4=0,IF($K199="","",$K199),IFERROR(IF([1]筐子进出接口!$D$198=0,"",[1]筐子进出接口!$D$198),""))</f>
        <v/>
      </c>
      <c r="E199" s="25" t="str">
        <f>IF($S$4=0,IF($L199="","",$L199),IFERROR(IF([1]筐子进出接口!$E$198=0,"",[1]筐子进出接口!$E$198),""))</f>
        <v/>
      </c>
      <c r="F199" s="25" t="str">
        <f>IF($S$4=0,IF($M199="","",$M199),IFERROR(IF([1]筐子进出接口!$F$198=0,"",[1]筐子进出接口!$F$198),""))</f>
        <v/>
      </c>
      <c r="G199" s="25" t="str">
        <f>IF($S$4=0,IF($N199="","",$N199),IFERROR(IF([1]筐子进出接口!$G$198=0,"",[1]筐子进出接口!$G$198),""))</f>
        <v/>
      </c>
      <c r="H199" s="25" t="str">
        <f t="shared" si="9"/>
        <v/>
      </c>
      <c r="I199" s="27"/>
      <c r="J199" s="27"/>
      <c r="K199" s="104"/>
      <c r="L199" s="104"/>
      <c r="M199" s="104"/>
      <c r="N199" s="104"/>
      <c r="O199" s="105">
        <f t="shared" si="10"/>
        <v>0</v>
      </c>
      <c r="P199" s="105">
        <f t="shared" si="11"/>
        <v>22</v>
      </c>
    </row>
    <row r="200" spans="1:16">
      <c r="A200" s="103">
        <v>199</v>
      </c>
      <c r="B200" s="37" t="str">
        <f>IF($S$4=0,IF($I200="","",$I200),IFERROR(IF([1]筐子进出接口!$B$199=0,"",[1]筐子进出接口!$B$199),""))</f>
        <v/>
      </c>
      <c r="C200" s="37" t="str">
        <f>IF($S$4=0,IF($J200="","",$J200),IFERROR(IF([1]筐子进出接口!$C$199=0,"",[1]筐子进出接口!$C$199),""))</f>
        <v/>
      </c>
      <c r="D200" s="25" t="str">
        <f>IF($S$4=0,IF($K200="","",$K200),IFERROR(IF([1]筐子进出接口!$D$199=0,"",[1]筐子进出接口!$D$199),""))</f>
        <v/>
      </c>
      <c r="E200" s="25" t="str">
        <f>IF($S$4=0,IF($L200="","",$L200),IFERROR(IF([1]筐子进出接口!$E$199=0,"",[1]筐子进出接口!$E$199),""))</f>
        <v/>
      </c>
      <c r="F200" s="25" t="str">
        <f>IF($S$4=0,IF($M200="","",$M200),IFERROR(IF([1]筐子进出接口!$F$199=0,"",[1]筐子进出接口!$F$199),""))</f>
        <v/>
      </c>
      <c r="G200" s="25" t="str">
        <f>IF($S$4=0,IF($N200="","",$N200),IFERROR(IF([1]筐子进出接口!$G$199=0,"",[1]筐子进出接口!$G$199),""))</f>
        <v/>
      </c>
      <c r="H200" s="25" t="str">
        <f t="shared" si="9"/>
        <v/>
      </c>
      <c r="I200" s="27"/>
      <c r="J200" s="27"/>
      <c r="K200" s="104"/>
      <c r="L200" s="104"/>
      <c r="M200" s="104"/>
      <c r="N200" s="104"/>
      <c r="O200" s="105">
        <f t="shared" si="10"/>
        <v>0</v>
      </c>
      <c r="P200" s="105">
        <f t="shared" si="11"/>
        <v>22</v>
      </c>
    </row>
    <row r="201" spans="1:16">
      <c r="A201" s="103">
        <v>200</v>
      </c>
      <c r="B201" s="37" t="str">
        <f>IF($S$4=0,IF($I201="","",$I201),IFERROR(IF([1]筐子进出接口!$B$200=0,"",[1]筐子进出接口!$B$200),""))</f>
        <v/>
      </c>
      <c r="C201" s="37" t="str">
        <f>IF($S$4=0,IF($J201="","",$J201),IFERROR(IF([1]筐子进出接口!$C$200=0,"",[1]筐子进出接口!$C$200),""))</f>
        <v/>
      </c>
      <c r="D201" s="25" t="str">
        <f>IF($S$4=0,IF($K201="","",$K201),IFERROR(IF([1]筐子进出接口!$D$200=0,"",[1]筐子进出接口!$D$200),""))</f>
        <v/>
      </c>
      <c r="E201" s="25" t="str">
        <f>IF($S$4=0,IF($L201="","",$L201),IFERROR(IF([1]筐子进出接口!$E$200=0,"",[1]筐子进出接口!$E$200),""))</f>
        <v/>
      </c>
      <c r="F201" s="25" t="str">
        <f>IF($S$4=0,IF($M201="","",$M201),IFERROR(IF([1]筐子进出接口!$F$200=0,"",[1]筐子进出接口!$F$200),""))</f>
        <v/>
      </c>
      <c r="G201" s="25" t="str">
        <f>IF($S$4=0,IF($N201="","",$N201),IFERROR(IF([1]筐子进出接口!$G$200=0,"",[1]筐子进出接口!$G$200),""))</f>
        <v/>
      </c>
      <c r="H201" s="25" t="str">
        <f t="shared" si="9"/>
        <v/>
      </c>
      <c r="I201" s="27"/>
      <c r="J201" s="27"/>
      <c r="K201" s="104"/>
      <c r="L201" s="104"/>
      <c r="M201" s="104"/>
      <c r="N201" s="104"/>
      <c r="O201" s="105">
        <f t="shared" si="10"/>
        <v>0</v>
      </c>
      <c r="P201" s="105">
        <f t="shared" si="11"/>
        <v>22</v>
      </c>
    </row>
    <row r="202" spans="1:16">
      <c r="A202" s="103">
        <v>201</v>
      </c>
      <c r="B202" s="37" t="str">
        <f>IF($S$4=0,IF($I202="","",$I202),IFERROR(IF([1]筐子进出接口!$B$201=0,"",[1]筐子进出接口!$B$201),""))</f>
        <v/>
      </c>
      <c r="C202" s="37" t="str">
        <f>IF($S$4=0,IF($J202="","",$J202),IFERROR(IF([1]筐子进出接口!$C$201=0,"",[1]筐子进出接口!$C$201),""))</f>
        <v/>
      </c>
      <c r="D202" s="25" t="str">
        <f>IF($S$4=0,IF($K202="","",$K202),IFERROR(IF([1]筐子进出接口!$D$201=0,"",[1]筐子进出接口!$D$201),""))</f>
        <v/>
      </c>
      <c r="E202" s="25" t="str">
        <f>IF($S$4=0,IF($L202="","",$L202),IFERROR(IF([1]筐子进出接口!$E$201=0,"",[1]筐子进出接口!$E$201),""))</f>
        <v/>
      </c>
      <c r="F202" s="25" t="str">
        <f>IF($S$4=0,IF($M202="","",$M202),IFERROR(IF([1]筐子进出接口!$F$201=0,"",[1]筐子进出接口!$F$201),""))</f>
        <v/>
      </c>
      <c r="G202" s="25" t="str">
        <f>IF($S$4=0,IF($N202="","",$N202),IFERROR(IF([1]筐子进出接口!$G$201=0,"",[1]筐子进出接口!$G$201),""))</f>
        <v/>
      </c>
      <c r="H202" s="25" t="str">
        <f t="shared" si="9"/>
        <v/>
      </c>
      <c r="I202" s="27"/>
      <c r="J202" s="27"/>
      <c r="K202" s="104"/>
      <c r="L202" s="104"/>
      <c r="M202" s="104"/>
      <c r="N202" s="104"/>
      <c r="O202" s="105">
        <f t="shared" si="10"/>
        <v>0</v>
      </c>
      <c r="P202" s="105">
        <f t="shared" si="11"/>
        <v>22</v>
      </c>
    </row>
    <row r="203" spans="1:16">
      <c r="A203" s="103">
        <v>202</v>
      </c>
      <c r="B203" s="37" t="str">
        <f>IF($S$4=0,IF($I203="","",$I203),IFERROR(IF([1]筐子进出接口!$B$202=0,"",[1]筐子进出接口!$B$202),""))</f>
        <v/>
      </c>
      <c r="C203" s="37" t="str">
        <f>IF($S$4=0,IF($J203="","",$J203),IFERROR(IF([1]筐子进出接口!$C$202=0,"",[1]筐子进出接口!$C$202),""))</f>
        <v/>
      </c>
      <c r="D203" s="25" t="str">
        <f>IF($S$4=0,IF($K203="","",$K203),IFERROR(IF([1]筐子进出接口!$D$202=0,"",[1]筐子进出接口!$D$202),""))</f>
        <v/>
      </c>
      <c r="E203" s="25" t="str">
        <f>IF($S$4=0,IF($L203="","",$L203),IFERROR(IF([1]筐子进出接口!$E$202=0,"",[1]筐子进出接口!$E$202),""))</f>
        <v/>
      </c>
      <c r="F203" s="25" t="str">
        <f>IF($S$4=0,IF($M203="","",$M203),IFERROR(IF([1]筐子进出接口!$F$202=0,"",[1]筐子进出接口!$F$202),""))</f>
        <v/>
      </c>
      <c r="G203" s="25" t="str">
        <f>IF($S$4=0,IF($N203="","",$N203),IFERROR(IF([1]筐子进出接口!$G$202=0,"",[1]筐子进出接口!$G$202),""))</f>
        <v/>
      </c>
      <c r="H203" s="25" t="str">
        <f t="shared" si="9"/>
        <v/>
      </c>
      <c r="I203" s="27"/>
      <c r="J203" s="27"/>
      <c r="K203" s="104"/>
      <c r="L203" s="104"/>
      <c r="M203" s="104"/>
      <c r="N203" s="104"/>
      <c r="O203" s="105">
        <f t="shared" si="10"/>
        <v>0</v>
      </c>
      <c r="P203" s="105">
        <f t="shared" si="11"/>
        <v>22</v>
      </c>
    </row>
    <row r="204" spans="1:16">
      <c r="A204" s="103">
        <v>203</v>
      </c>
      <c r="B204" s="37" t="str">
        <f>IF($S$4=0,IF($I204="","",$I204),IFERROR(IF([1]筐子进出接口!$B$203=0,"",[1]筐子进出接口!$B$203),""))</f>
        <v/>
      </c>
      <c r="C204" s="37" t="str">
        <f>IF($S$4=0,IF($J204="","",$J204),IFERROR(IF([1]筐子进出接口!$C$203=0,"",[1]筐子进出接口!$C$203),""))</f>
        <v/>
      </c>
      <c r="D204" s="25" t="str">
        <f>IF($S$4=0,IF($K204="","",$K204),IFERROR(IF([1]筐子进出接口!$D$203=0,"",[1]筐子进出接口!$D$203),""))</f>
        <v/>
      </c>
      <c r="E204" s="25" t="str">
        <f>IF($S$4=0,IF($L204="","",$L204),IFERROR(IF([1]筐子进出接口!$E$203=0,"",[1]筐子进出接口!$E$203),""))</f>
        <v/>
      </c>
      <c r="F204" s="25" t="str">
        <f>IF($S$4=0,IF($M204="","",$M204),IFERROR(IF([1]筐子进出接口!$F$203=0,"",[1]筐子进出接口!$F$203),""))</f>
        <v/>
      </c>
      <c r="G204" s="25" t="str">
        <f>IF($S$4=0,IF($N204="","",$N204),IFERROR(IF([1]筐子进出接口!$G$203=0,"",[1]筐子进出接口!$G$203),""))</f>
        <v/>
      </c>
      <c r="H204" s="25" t="str">
        <f t="shared" si="9"/>
        <v/>
      </c>
      <c r="I204" s="27"/>
      <c r="J204" s="27"/>
      <c r="K204" s="104"/>
      <c r="L204" s="104"/>
      <c r="M204" s="104"/>
      <c r="N204" s="104"/>
      <c r="O204" s="105">
        <f t="shared" si="10"/>
        <v>0</v>
      </c>
      <c r="P204" s="105">
        <f t="shared" si="11"/>
        <v>22</v>
      </c>
    </row>
    <row r="205" spans="1:16">
      <c r="A205" s="103">
        <v>204</v>
      </c>
      <c r="B205" s="37" t="str">
        <f>IF($S$4=0,IF($I205="","",$I205),IFERROR(IF([1]筐子进出接口!$B$204=0,"",[1]筐子进出接口!$B$204),""))</f>
        <v/>
      </c>
      <c r="C205" s="37" t="str">
        <f>IF($S$4=0,IF($J205="","",$J205),IFERROR(IF([1]筐子进出接口!$C$204=0,"",[1]筐子进出接口!$C$204),""))</f>
        <v/>
      </c>
      <c r="D205" s="25" t="str">
        <f>IF($S$4=0,IF($K205="","",$K205),IFERROR(IF([1]筐子进出接口!$D$204=0,"",[1]筐子进出接口!$D$204),""))</f>
        <v/>
      </c>
      <c r="E205" s="25" t="str">
        <f>IF($S$4=0,IF($L205="","",$L205),IFERROR(IF([1]筐子进出接口!$E$204=0,"",[1]筐子进出接口!$E$204),""))</f>
        <v/>
      </c>
      <c r="F205" s="25" t="str">
        <f>IF($S$4=0,IF($M205="","",$M205),IFERROR(IF([1]筐子进出接口!$F$204=0,"",[1]筐子进出接口!$F$204),""))</f>
        <v/>
      </c>
      <c r="G205" s="25" t="str">
        <f>IF($S$4=0,IF($N205="","",$N205),IFERROR(IF([1]筐子进出接口!$G$204=0,"",[1]筐子进出接口!$G$204),""))</f>
        <v/>
      </c>
      <c r="H205" s="25" t="str">
        <f t="shared" si="9"/>
        <v/>
      </c>
      <c r="I205" s="27"/>
      <c r="J205" s="27"/>
      <c r="K205" s="104"/>
      <c r="L205" s="104"/>
      <c r="M205" s="104"/>
      <c r="N205" s="104"/>
      <c r="O205" s="105">
        <f t="shared" si="10"/>
        <v>0</v>
      </c>
      <c r="P205" s="105">
        <f t="shared" si="11"/>
        <v>22</v>
      </c>
    </row>
    <row r="206" spans="1:16">
      <c r="A206" s="103">
        <v>205</v>
      </c>
      <c r="B206" s="37" t="str">
        <f>IF($S$4=0,IF($I206="","",$I206),IFERROR(IF([1]筐子进出接口!$B$205=0,"",[1]筐子进出接口!$B$205),""))</f>
        <v/>
      </c>
      <c r="C206" s="37" t="str">
        <f>IF($S$4=0,IF($J206="","",$J206),IFERROR(IF([1]筐子进出接口!$C$205=0,"",[1]筐子进出接口!$C$205),""))</f>
        <v/>
      </c>
      <c r="D206" s="25" t="str">
        <f>IF($S$4=0,IF($K206="","",$K206),IFERROR(IF([1]筐子进出接口!$D$205=0,"",[1]筐子进出接口!$D$205),""))</f>
        <v/>
      </c>
      <c r="E206" s="25" t="str">
        <f>IF($S$4=0,IF($L206="","",$L206),IFERROR(IF([1]筐子进出接口!$E$205=0,"",[1]筐子进出接口!$E$205),""))</f>
        <v/>
      </c>
      <c r="F206" s="25" t="str">
        <f>IF($S$4=0,IF($M206="","",$M206),IFERROR(IF([1]筐子进出接口!$F$205=0,"",[1]筐子进出接口!$F$205),""))</f>
        <v/>
      </c>
      <c r="G206" s="25" t="str">
        <f>IF($S$4=0,IF($N206="","",$N206),IFERROR(IF([1]筐子进出接口!$G$205=0,"",[1]筐子进出接口!$G$205),""))</f>
        <v/>
      </c>
      <c r="H206" s="25" t="str">
        <f t="shared" si="9"/>
        <v/>
      </c>
      <c r="I206" s="27"/>
      <c r="J206" s="27"/>
      <c r="K206" s="104"/>
      <c r="L206" s="104"/>
      <c r="M206" s="104"/>
      <c r="N206" s="104"/>
      <c r="O206" s="105">
        <f t="shared" si="10"/>
        <v>0</v>
      </c>
      <c r="P206" s="105">
        <f t="shared" si="11"/>
        <v>22</v>
      </c>
    </row>
    <row r="207" spans="1:16">
      <c r="A207" s="103">
        <v>206</v>
      </c>
      <c r="B207" s="37" t="str">
        <f>IF($S$4=0,IF($I207="","",$I207),IFERROR(IF([1]筐子进出接口!$B$206=0,"",[1]筐子进出接口!$B$206),""))</f>
        <v/>
      </c>
      <c r="C207" s="37" t="str">
        <f>IF($S$4=0,IF($J207="","",$J207),IFERROR(IF([1]筐子进出接口!$C$206=0,"",[1]筐子进出接口!$C$206),""))</f>
        <v/>
      </c>
      <c r="D207" s="25" t="str">
        <f>IF($S$4=0,IF($K207="","",$K207),IFERROR(IF([1]筐子进出接口!$D$206=0,"",[1]筐子进出接口!$D$206),""))</f>
        <v/>
      </c>
      <c r="E207" s="25" t="str">
        <f>IF($S$4=0,IF($L207="","",$L207),IFERROR(IF([1]筐子进出接口!$E$206=0,"",[1]筐子进出接口!$E$206),""))</f>
        <v/>
      </c>
      <c r="F207" s="25" t="str">
        <f>IF($S$4=0,IF($M207="","",$M207),IFERROR(IF([1]筐子进出接口!$F$206=0,"",[1]筐子进出接口!$F$206),""))</f>
        <v/>
      </c>
      <c r="G207" s="25" t="str">
        <f>IF($S$4=0,IF($N207="","",$N207),IFERROR(IF([1]筐子进出接口!$G$206=0,"",[1]筐子进出接口!$G$206),""))</f>
        <v/>
      </c>
      <c r="H207" s="25" t="str">
        <f t="shared" si="9"/>
        <v/>
      </c>
      <c r="I207" s="27"/>
      <c r="J207" s="27"/>
      <c r="K207" s="104"/>
      <c r="L207" s="104"/>
      <c r="M207" s="104"/>
      <c r="N207" s="104"/>
      <c r="O207" s="105">
        <f t="shared" si="10"/>
        <v>0</v>
      </c>
      <c r="P207" s="105">
        <f t="shared" si="11"/>
        <v>22</v>
      </c>
    </row>
    <row r="208" spans="1:16">
      <c r="A208" s="103">
        <v>207</v>
      </c>
      <c r="B208" s="37" t="str">
        <f>IF($S$4=0,IF($I208="","",$I208),IFERROR(IF([1]筐子进出接口!$B$207=0,"",[1]筐子进出接口!$B$207),""))</f>
        <v/>
      </c>
      <c r="C208" s="37" t="str">
        <f>IF($S$4=0,IF($J208="","",$J208),IFERROR(IF([1]筐子进出接口!$C$207=0,"",[1]筐子进出接口!$C$207),""))</f>
        <v/>
      </c>
      <c r="D208" s="25" t="str">
        <f>IF($S$4=0,IF($K208="","",$K208),IFERROR(IF([1]筐子进出接口!$D$207=0,"",[1]筐子进出接口!$D$207),""))</f>
        <v/>
      </c>
      <c r="E208" s="25" t="str">
        <f>IF($S$4=0,IF($L208="","",$L208),IFERROR(IF([1]筐子进出接口!$E$207=0,"",[1]筐子进出接口!$E$207),""))</f>
        <v/>
      </c>
      <c r="F208" s="25" t="str">
        <f>IF($S$4=0,IF($M208="","",$M208),IFERROR(IF([1]筐子进出接口!$F$207=0,"",[1]筐子进出接口!$F$207),""))</f>
        <v/>
      </c>
      <c r="G208" s="25" t="str">
        <f>IF($S$4=0,IF($N208="","",$N208),IFERROR(IF([1]筐子进出接口!$G$207=0,"",[1]筐子进出接口!$G$207),""))</f>
        <v/>
      </c>
      <c r="H208" s="25" t="str">
        <f t="shared" si="9"/>
        <v/>
      </c>
      <c r="I208" s="27"/>
      <c r="J208" s="27"/>
      <c r="K208" s="104"/>
      <c r="L208" s="104"/>
      <c r="M208" s="104"/>
      <c r="N208" s="104"/>
      <c r="O208" s="105">
        <f t="shared" si="10"/>
        <v>0</v>
      </c>
      <c r="P208" s="105">
        <f t="shared" si="11"/>
        <v>22</v>
      </c>
    </row>
    <row r="209" spans="1:16">
      <c r="A209" s="103">
        <v>208</v>
      </c>
      <c r="B209" s="37" t="str">
        <f>IF($S$4=0,IF($I209="","",$I209),IFERROR(IF([1]筐子进出接口!$B$208=0,"",[1]筐子进出接口!$B$208),""))</f>
        <v/>
      </c>
      <c r="C209" s="37" t="str">
        <f>IF($S$4=0,IF($J209="","",$J209),IFERROR(IF([1]筐子进出接口!$C$208=0,"",[1]筐子进出接口!$C$208),""))</f>
        <v/>
      </c>
      <c r="D209" s="25" t="str">
        <f>IF($S$4=0,IF($K209="","",$K209),IFERROR(IF([1]筐子进出接口!$D$208=0,"",[1]筐子进出接口!$D$208),""))</f>
        <v/>
      </c>
      <c r="E209" s="25" t="str">
        <f>IF($S$4=0,IF($L209="","",$L209),IFERROR(IF([1]筐子进出接口!$E$208=0,"",[1]筐子进出接口!$E$208),""))</f>
        <v/>
      </c>
      <c r="F209" s="25" t="str">
        <f>IF($S$4=0,IF($M209="","",$M209),IFERROR(IF([1]筐子进出接口!$F$208=0,"",[1]筐子进出接口!$F$208),""))</f>
        <v/>
      </c>
      <c r="G209" s="25" t="str">
        <f>IF($S$4=0,IF($N209="","",$N209),IFERROR(IF([1]筐子进出接口!$G$208=0,"",[1]筐子进出接口!$G$208),""))</f>
        <v/>
      </c>
      <c r="H209" s="25" t="str">
        <f t="shared" si="9"/>
        <v/>
      </c>
      <c r="I209" s="27"/>
      <c r="J209" s="27"/>
      <c r="K209" s="104"/>
      <c r="L209" s="104"/>
      <c r="M209" s="104"/>
      <c r="N209" s="104"/>
      <c r="O209" s="105">
        <f t="shared" si="10"/>
        <v>0</v>
      </c>
      <c r="P209" s="105">
        <f t="shared" si="11"/>
        <v>22</v>
      </c>
    </row>
    <row r="210" spans="1:16">
      <c r="A210" s="103">
        <v>209</v>
      </c>
      <c r="B210" s="37" t="str">
        <f>IF($S$4=0,IF($I210="","",$I210),IFERROR(IF([1]筐子进出接口!$B$209=0,"",[1]筐子进出接口!$B$209),""))</f>
        <v/>
      </c>
      <c r="C210" s="37" t="str">
        <f>IF($S$4=0,IF($J210="","",$J210),IFERROR(IF([1]筐子进出接口!$C$209=0,"",[1]筐子进出接口!$C$209),""))</f>
        <v/>
      </c>
      <c r="D210" s="25" t="str">
        <f>IF($S$4=0,IF($K210="","",$K210),IFERROR(IF([1]筐子进出接口!$D$209=0,"",[1]筐子进出接口!$D$209),""))</f>
        <v/>
      </c>
      <c r="E210" s="25" t="str">
        <f>IF($S$4=0,IF($L210="","",$L210),IFERROR(IF([1]筐子进出接口!$E$209=0,"",[1]筐子进出接口!$E$209),""))</f>
        <v/>
      </c>
      <c r="F210" s="25" t="str">
        <f>IF($S$4=0,IF($M210="","",$M210),IFERROR(IF([1]筐子进出接口!$F$209=0,"",[1]筐子进出接口!$F$209),""))</f>
        <v/>
      </c>
      <c r="G210" s="25" t="str">
        <f>IF($S$4=0,IF($N210="","",$N210),IFERROR(IF([1]筐子进出接口!$G$209=0,"",[1]筐子进出接口!$G$209),""))</f>
        <v/>
      </c>
      <c r="H210" s="25" t="str">
        <f t="shared" si="9"/>
        <v/>
      </c>
      <c r="I210" s="27"/>
      <c r="J210" s="27"/>
      <c r="K210" s="104"/>
      <c r="L210" s="104"/>
      <c r="M210" s="104"/>
      <c r="N210" s="104"/>
      <c r="O210" s="105">
        <f t="shared" si="10"/>
        <v>0</v>
      </c>
      <c r="P210" s="105">
        <f t="shared" si="11"/>
        <v>22</v>
      </c>
    </row>
    <row r="211" spans="1:16">
      <c r="A211" s="103">
        <v>210</v>
      </c>
      <c r="B211" s="37" t="str">
        <f>IF($S$4=0,IF($I211="","",$I211),IFERROR(IF([1]筐子进出接口!$B$210=0,"",[1]筐子进出接口!$B$210),""))</f>
        <v/>
      </c>
      <c r="C211" s="37" t="str">
        <f>IF($S$4=0,IF($J211="","",$J211),IFERROR(IF([1]筐子进出接口!$C$210=0,"",[1]筐子进出接口!$C$210),""))</f>
        <v/>
      </c>
      <c r="D211" s="25" t="str">
        <f>IF($S$4=0,IF($K211="","",$K211),IFERROR(IF([1]筐子进出接口!$D$210=0,"",[1]筐子进出接口!$D$210),""))</f>
        <v/>
      </c>
      <c r="E211" s="25" t="str">
        <f>IF($S$4=0,IF($L211="","",$L211),IFERROR(IF([1]筐子进出接口!$E$210=0,"",[1]筐子进出接口!$E$210),""))</f>
        <v/>
      </c>
      <c r="F211" s="25" t="str">
        <f>IF($S$4=0,IF($M211="","",$M211),IFERROR(IF([1]筐子进出接口!$F$210=0,"",[1]筐子进出接口!$F$210),""))</f>
        <v/>
      </c>
      <c r="G211" s="25" t="str">
        <f>IF($S$4=0,IF($N211="","",$N211),IFERROR(IF([1]筐子进出接口!$G$210=0,"",[1]筐子进出接口!$G$210),""))</f>
        <v/>
      </c>
      <c r="H211" s="25" t="str">
        <f t="shared" si="9"/>
        <v/>
      </c>
      <c r="I211" s="27"/>
      <c r="J211" s="27"/>
      <c r="K211" s="104"/>
      <c r="L211" s="104"/>
      <c r="M211" s="104"/>
      <c r="N211" s="104"/>
      <c r="O211" s="105">
        <f t="shared" si="10"/>
        <v>0</v>
      </c>
      <c r="P211" s="105">
        <f t="shared" si="11"/>
        <v>22</v>
      </c>
    </row>
    <row r="212" spans="1:16">
      <c r="A212" s="103">
        <v>211</v>
      </c>
      <c r="B212" s="37" t="str">
        <f>IF($S$4=0,IF($I212="","",$I212),IFERROR(IF([1]筐子进出接口!$B$211=0,"",[1]筐子进出接口!$B$211),""))</f>
        <v/>
      </c>
      <c r="C212" s="37" t="str">
        <f>IF($S$4=0,IF($J212="","",$J212),IFERROR(IF([1]筐子进出接口!$C$211=0,"",[1]筐子进出接口!$C$211),""))</f>
        <v/>
      </c>
      <c r="D212" s="25" t="str">
        <f>IF($S$4=0,IF($K212="","",$K212),IFERROR(IF([1]筐子进出接口!$D$211=0,"",[1]筐子进出接口!$D$211),""))</f>
        <v/>
      </c>
      <c r="E212" s="25" t="str">
        <f>IF($S$4=0,IF($L212="","",$L212),IFERROR(IF([1]筐子进出接口!$E$211=0,"",[1]筐子进出接口!$E$211),""))</f>
        <v/>
      </c>
      <c r="F212" s="25" t="str">
        <f>IF($S$4=0,IF($M212="","",$M212),IFERROR(IF([1]筐子进出接口!$F$211=0,"",[1]筐子进出接口!$F$211),""))</f>
        <v/>
      </c>
      <c r="G212" s="25" t="str">
        <f>IF($S$4=0,IF($N212="","",$N212),IFERROR(IF([1]筐子进出接口!$G$211=0,"",[1]筐子进出接口!$G$211),""))</f>
        <v/>
      </c>
      <c r="H212" s="25" t="str">
        <f t="shared" si="9"/>
        <v/>
      </c>
      <c r="I212" s="27"/>
      <c r="J212" s="27"/>
      <c r="K212" s="104"/>
      <c r="L212" s="104"/>
      <c r="M212" s="104"/>
      <c r="N212" s="104"/>
      <c r="O212" s="105">
        <f t="shared" si="10"/>
        <v>0</v>
      </c>
      <c r="P212" s="105">
        <f t="shared" si="11"/>
        <v>22</v>
      </c>
    </row>
    <row r="213" spans="1:16">
      <c r="A213" s="103">
        <v>212</v>
      </c>
      <c r="B213" s="37" t="str">
        <f>IF($S$4=0,IF($I213="","",$I213),IFERROR(IF([1]筐子进出接口!$B$212=0,"",[1]筐子进出接口!$B$212),""))</f>
        <v/>
      </c>
      <c r="C213" s="37" t="str">
        <f>IF($S$4=0,IF($J213="","",$J213),IFERROR(IF([1]筐子进出接口!$C$212=0,"",[1]筐子进出接口!$C$212),""))</f>
        <v/>
      </c>
      <c r="D213" s="25" t="str">
        <f>IF($S$4=0,IF($K213="","",$K213),IFERROR(IF([1]筐子进出接口!$D$212=0,"",[1]筐子进出接口!$D$212),""))</f>
        <v/>
      </c>
      <c r="E213" s="25" t="str">
        <f>IF($S$4=0,IF($L213="","",$L213),IFERROR(IF([1]筐子进出接口!$E$212=0,"",[1]筐子进出接口!$E$212),""))</f>
        <v/>
      </c>
      <c r="F213" s="25" t="str">
        <f>IF($S$4=0,IF($M213="","",$M213),IFERROR(IF([1]筐子进出接口!$F$212=0,"",[1]筐子进出接口!$F$212),""))</f>
        <v/>
      </c>
      <c r="G213" s="25" t="str">
        <f>IF($S$4=0,IF($N213="","",$N213),IFERROR(IF([1]筐子进出接口!$G$212=0,"",[1]筐子进出接口!$G$212),""))</f>
        <v/>
      </c>
      <c r="H213" s="25" t="str">
        <f t="shared" si="9"/>
        <v/>
      </c>
      <c r="I213" s="27"/>
      <c r="J213" s="27"/>
      <c r="K213" s="104"/>
      <c r="L213" s="104"/>
      <c r="M213" s="104"/>
      <c r="N213" s="104"/>
      <c r="O213" s="105">
        <f t="shared" si="10"/>
        <v>0</v>
      </c>
      <c r="P213" s="105">
        <f t="shared" si="11"/>
        <v>22</v>
      </c>
    </row>
    <row r="214" spans="1:16">
      <c r="A214" s="103">
        <v>213</v>
      </c>
      <c r="B214" s="37" t="str">
        <f>IF($S$4=0,IF($I214="","",$I214),IFERROR(IF([1]筐子进出接口!$B$213=0,"",[1]筐子进出接口!$B$213),""))</f>
        <v/>
      </c>
      <c r="C214" s="37" t="str">
        <f>IF($S$4=0,IF($J214="","",$J214),IFERROR(IF([1]筐子进出接口!$C$213=0,"",[1]筐子进出接口!$C$213),""))</f>
        <v/>
      </c>
      <c r="D214" s="25" t="str">
        <f>IF($S$4=0,IF($K214="","",$K214),IFERROR(IF([1]筐子进出接口!$D$213=0,"",[1]筐子进出接口!$D$213),""))</f>
        <v/>
      </c>
      <c r="E214" s="25" t="str">
        <f>IF($S$4=0,IF($L214="","",$L214),IFERROR(IF([1]筐子进出接口!$E$213=0,"",[1]筐子进出接口!$E$213),""))</f>
        <v/>
      </c>
      <c r="F214" s="25" t="str">
        <f>IF($S$4=0,IF($M214="","",$M214),IFERROR(IF([1]筐子进出接口!$F$213=0,"",[1]筐子进出接口!$F$213),""))</f>
        <v/>
      </c>
      <c r="G214" s="25" t="str">
        <f>IF($S$4=0,IF($N214="","",$N214),IFERROR(IF([1]筐子进出接口!$G$213=0,"",[1]筐子进出接口!$G$213),""))</f>
        <v/>
      </c>
      <c r="H214" s="25" t="str">
        <f t="shared" si="9"/>
        <v/>
      </c>
      <c r="I214" s="27"/>
      <c r="J214" s="27"/>
      <c r="K214" s="104"/>
      <c r="L214" s="104"/>
      <c r="M214" s="104"/>
      <c r="N214" s="104"/>
      <c r="O214" s="105">
        <f t="shared" si="10"/>
        <v>0</v>
      </c>
      <c r="P214" s="105">
        <f t="shared" si="11"/>
        <v>22</v>
      </c>
    </row>
    <row r="215" spans="1:16">
      <c r="A215" s="103">
        <v>214</v>
      </c>
      <c r="B215" s="37" t="str">
        <f>IF($S$4=0,IF($I215="","",$I215),IFERROR(IF([1]筐子进出接口!$B$214=0,"",[1]筐子进出接口!$B$214),""))</f>
        <v/>
      </c>
      <c r="C215" s="37" t="str">
        <f>IF($S$4=0,IF($J215="","",$J215),IFERROR(IF([1]筐子进出接口!$C$214=0,"",[1]筐子进出接口!$C$214),""))</f>
        <v/>
      </c>
      <c r="D215" s="25" t="str">
        <f>IF($S$4=0,IF($K215="","",$K215),IFERROR(IF([1]筐子进出接口!$D$214=0,"",[1]筐子进出接口!$D$214),""))</f>
        <v/>
      </c>
      <c r="E215" s="25" t="str">
        <f>IF($S$4=0,IF($L215="","",$L215),IFERROR(IF([1]筐子进出接口!$E$214=0,"",[1]筐子进出接口!$E$214),""))</f>
        <v/>
      </c>
      <c r="F215" s="25" t="str">
        <f>IF($S$4=0,IF($M215="","",$M215),IFERROR(IF([1]筐子进出接口!$F$214=0,"",[1]筐子进出接口!$F$214),""))</f>
        <v/>
      </c>
      <c r="G215" s="25" t="str">
        <f>IF($S$4=0,IF($N215="","",$N215),IFERROR(IF([1]筐子进出接口!$G$214=0,"",[1]筐子进出接口!$G$214),""))</f>
        <v/>
      </c>
      <c r="H215" s="25" t="str">
        <f t="shared" si="9"/>
        <v/>
      </c>
      <c r="I215" s="27"/>
      <c r="J215" s="27"/>
      <c r="K215" s="104"/>
      <c r="L215" s="104"/>
      <c r="M215" s="104"/>
      <c r="N215" s="104"/>
      <c r="O215" s="105">
        <f t="shared" si="10"/>
        <v>0</v>
      </c>
      <c r="P215" s="105">
        <f t="shared" si="11"/>
        <v>22</v>
      </c>
    </row>
    <row r="216" spans="1:16">
      <c r="A216" s="103">
        <v>215</v>
      </c>
      <c r="B216" s="37" t="str">
        <f>IF($S$4=0,IF($I216="","",$I216),IFERROR(IF([1]筐子进出接口!$B$215=0,"",[1]筐子进出接口!$B$215),""))</f>
        <v/>
      </c>
      <c r="C216" s="37" t="str">
        <f>IF($S$4=0,IF($J216="","",$J216),IFERROR(IF([1]筐子进出接口!$C$215=0,"",[1]筐子进出接口!$C$215),""))</f>
        <v/>
      </c>
      <c r="D216" s="25" t="str">
        <f>IF($S$4=0,IF($K216="","",$K216),IFERROR(IF([1]筐子进出接口!$D$215=0,"",[1]筐子进出接口!$D$215),""))</f>
        <v/>
      </c>
      <c r="E216" s="25" t="str">
        <f>IF($S$4=0,IF($L216="","",$L216),IFERROR(IF([1]筐子进出接口!$E$215=0,"",[1]筐子进出接口!$E$215),""))</f>
        <v/>
      </c>
      <c r="F216" s="25" t="str">
        <f>IF($S$4=0,IF($M216="","",$M216),IFERROR(IF([1]筐子进出接口!$F$215=0,"",[1]筐子进出接口!$F$215),""))</f>
        <v/>
      </c>
      <c r="G216" s="25" t="str">
        <f>IF($S$4=0,IF($N216="","",$N216),IFERROR(IF([1]筐子进出接口!$G$215=0,"",[1]筐子进出接口!$G$215),""))</f>
        <v/>
      </c>
      <c r="H216" s="25" t="str">
        <f t="shared" si="9"/>
        <v/>
      </c>
      <c r="I216" s="27"/>
      <c r="J216" s="27"/>
      <c r="K216" s="104"/>
      <c r="L216" s="104"/>
      <c r="M216" s="104"/>
      <c r="N216" s="104"/>
      <c r="O216" s="105">
        <f t="shared" si="10"/>
        <v>0</v>
      </c>
      <c r="P216" s="105">
        <f t="shared" si="11"/>
        <v>22</v>
      </c>
    </row>
    <row r="217" spans="1:16">
      <c r="A217" s="103">
        <v>216</v>
      </c>
      <c r="B217" s="37" t="str">
        <f>IF($S$4=0,IF($I217="","",$I217),IFERROR(IF([1]筐子进出接口!$B$216=0,"",[1]筐子进出接口!$B$216),""))</f>
        <v/>
      </c>
      <c r="C217" s="37" t="str">
        <f>IF($S$4=0,IF($J217="","",$J217),IFERROR(IF([1]筐子进出接口!$C$216=0,"",[1]筐子进出接口!$C$216),""))</f>
        <v/>
      </c>
      <c r="D217" s="25" t="str">
        <f>IF($S$4=0,IF($K217="","",$K217),IFERROR(IF([1]筐子进出接口!$D$216=0,"",[1]筐子进出接口!$D$216),""))</f>
        <v/>
      </c>
      <c r="E217" s="25" t="str">
        <f>IF($S$4=0,IF($L217="","",$L217),IFERROR(IF([1]筐子进出接口!$E$216=0,"",[1]筐子进出接口!$E$216),""))</f>
        <v/>
      </c>
      <c r="F217" s="25" t="str">
        <f>IF($S$4=0,IF($M217="","",$M217),IFERROR(IF([1]筐子进出接口!$F$216=0,"",[1]筐子进出接口!$F$216),""))</f>
        <v/>
      </c>
      <c r="G217" s="25" t="str">
        <f>IF($S$4=0,IF($N217="","",$N217),IFERROR(IF([1]筐子进出接口!$G$216=0,"",[1]筐子进出接口!$G$216),""))</f>
        <v/>
      </c>
      <c r="H217" s="25" t="str">
        <f t="shared" si="9"/>
        <v/>
      </c>
      <c r="I217" s="27"/>
      <c r="J217" s="27"/>
      <c r="K217" s="104"/>
      <c r="L217" s="104"/>
      <c r="M217" s="104"/>
      <c r="N217" s="104"/>
      <c r="O217" s="105">
        <f t="shared" si="10"/>
        <v>0</v>
      </c>
      <c r="P217" s="105">
        <f t="shared" si="11"/>
        <v>22</v>
      </c>
    </row>
    <row r="218" spans="1:16">
      <c r="A218" s="103">
        <v>217</v>
      </c>
      <c r="B218" s="37" t="str">
        <f>IF($S$4=0,IF($I218="","",$I218),IFERROR(IF([1]筐子进出接口!$B$217=0,"",[1]筐子进出接口!$B$217),""))</f>
        <v/>
      </c>
      <c r="C218" s="37" t="str">
        <f>IF($S$4=0,IF($J218="","",$J218),IFERROR(IF([1]筐子进出接口!$C$217=0,"",[1]筐子进出接口!$C$217),""))</f>
        <v/>
      </c>
      <c r="D218" s="25" t="str">
        <f>IF($S$4=0,IF($K218="","",$K218),IFERROR(IF([1]筐子进出接口!$D$217=0,"",[1]筐子进出接口!$D$217),""))</f>
        <v/>
      </c>
      <c r="E218" s="25" t="str">
        <f>IF($S$4=0,IF($L218="","",$L218),IFERROR(IF([1]筐子进出接口!$E$217=0,"",[1]筐子进出接口!$E$217),""))</f>
        <v/>
      </c>
      <c r="F218" s="25" t="str">
        <f>IF($S$4=0,IF($M218="","",$M218),IFERROR(IF([1]筐子进出接口!$F$217=0,"",[1]筐子进出接口!$F$217),""))</f>
        <v/>
      </c>
      <c r="G218" s="25" t="str">
        <f>IF($S$4=0,IF($N218="","",$N218),IFERROR(IF([1]筐子进出接口!$G$217=0,"",[1]筐子进出接口!$G$217),""))</f>
        <v/>
      </c>
      <c r="H218" s="25" t="str">
        <f t="shared" si="9"/>
        <v/>
      </c>
      <c r="I218" s="27"/>
      <c r="J218" s="27"/>
      <c r="K218" s="104"/>
      <c r="L218" s="104"/>
      <c r="M218" s="104"/>
      <c r="N218" s="104"/>
      <c r="O218" s="105">
        <f t="shared" si="10"/>
        <v>0</v>
      </c>
      <c r="P218" s="105">
        <f t="shared" si="11"/>
        <v>22</v>
      </c>
    </row>
    <row r="219" spans="1:16">
      <c r="A219" s="103">
        <v>218</v>
      </c>
      <c r="B219" s="37" t="str">
        <f>IF($S$4=0,IF($I219="","",$I219),IFERROR(IF([1]筐子进出接口!$B$218=0,"",[1]筐子进出接口!$B$218),""))</f>
        <v/>
      </c>
      <c r="C219" s="37" t="str">
        <f>IF($S$4=0,IF($J219="","",$J219),IFERROR(IF([1]筐子进出接口!$C$218=0,"",[1]筐子进出接口!$C$218),""))</f>
        <v/>
      </c>
      <c r="D219" s="25" t="str">
        <f>IF($S$4=0,IF($K219="","",$K219),IFERROR(IF([1]筐子进出接口!$D$218=0,"",[1]筐子进出接口!$D$218),""))</f>
        <v/>
      </c>
      <c r="E219" s="25" t="str">
        <f>IF($S$4=0,IF($L219="","",$L219),IFERROR(IF([1]筐子进出接口!$E$218=0,"",[1]筐子进出接口!$E$218),""))</f>
        <v/>
      </c>
      <c r="F219" s="25" t="str">
        <f>IF($S$4=0,IF($M219="","",$M219),IFERROR(IF([1]筐子进出接口!$F$218=0,"",[1]筐子进出接口!$F$218),""))</f>
        <v/>
      </c>
      <c r="G219" s="25" t="str">
        <f>IF($S$4=0,IF($N219="","",$N219),IFERROR(IF([1]筐子进出接口!$G$218=0,"",[1]筐子进出接口!$G$218),""))</f>
        <v/>
      </c>
      <c r="H219" s="25" t="str">
        <f t="shared" si="9"/>
        <v/>
      </c>
      <c r="I219" s="27"/>
      <c r="J219" s="27"/>
      <c r="K219" s="104"/>
      <c r="L219" s="104"/>
      <c r="M219" s="104"/>
      <c r="N219" s="104"/>
      <c r="O219" s="105">
        <f t="shared" si="10"/>
        <v>0</v>
      </c>
      <c r="P219" s="105">
        <f t="shared" si="11"/>
        <v>22</v>
      </c>
    </row>
    <row r="220" spans="1:16">
      <c r="A220" s="103">
        <v>219</v>
      </c>
      <c r="B220" s="37" t="str">
        <f>IF($S$4=0,IF($I220="","",$I220),IFERROR(IF([1]筐子进出接口!$B$219=0,"",[1]筐子进出接口!$B$219),""))</f>
        <v/>
      </c>
      <c r="C220" s="37" t="str">
        <f>IF($S$4=0,IF($J220="","",$J220),IFERROR(IF([1]筐子进出接口!$C$219=0,"",[1]筐子进出接口!$C$219),""))</f>
        <v/>
      </c>
      <c r="D220" s="25" t="str">
        <f>IF($S$4=0,IF($K220="","",$K220),IFERROR(IF([1]筐子进出接口!$D$219=0,"",[1]筐子进出接口!$D$219),""))</f>
        <v/>
      </c>
      <c r="E220" s="25" t="str">
        <f>IF($S$4=0,IF($L220="","",$L220),IFERROR(IF([1]筐子进出接口!$E$219=0,"",[1]筐子进出接口!$E$219),""))</f>
        <v/>
      </c>
      <c r="F220" s="25" t="str">
        <f>IF($S$4=0,IF($M220="","",$M220),IFERROR(IF([1]筐子进出接口!$F$219=0,"",[1]筐子进出接口!$F$219),""))</f>
        <v/>
      </c>
      <c r="G220" s="25" t="str">
        <f>IF($S$4=0,IF($N220="","",$N220),IFERROR(IF([1]筐子进出接口!$G$219=0,"",[1]筐子进出接口!$G$219),""))</f>
        <v/>
      </c>
      <c r="H220" s="25" t="str">
        <f t="shared" si="9"/>
        <v/>
      </c>
      <c r="I220" s="27"/>
      <c r="J220" s="27"/>
      <c r="K220" s="104"/>
      <c r="L220" s="104"/>
      <c r="M220" s="104"/>
      <c r="N220" s="104"/>
      <c r="O220" s="105">
        <f t="shared" si="10"/>
        <v>0</v>
      </c>
      <c r="P220" s="105">
        <f t="shared" si="11"/>
        <v>22</v>
      </c>
    </row>
    <row r="221" spans="1:16">
      <c r="A221" s="103">
        <v>220</v>
      </c>
      <c r="B221" s="37" t="str">
        <f>IF($S$4=0,IF($I221="","",$I221),IFERROR(IF([1]筐子进出接口!$B$220=0,"",[1]筐子进出接口!$B$220),""))</f>
        <v/>
      </c>
      <c r="C221" s="37" t="str">
        <f>IF($S$4=0,IF($J221="","",$J221),IFERROR(IF([1]筐子进出接口!$C$220=0,"",[1]筐子进出接口!$C$220),""))</f>
        <v/>
      </c>
      <c r="D221" s="25" t="str">
        <f>IF($S$4=0,IF($K221="","",$K221),IFERROR(IF([1]筐子进出接口!$D$220=0,"",[1]筐子进出接口!$D$220),""))</f>
        <v/>
      </c>
      <c r="E221" s="25" t="str">
        <f>IF($S$4=0,IF($L221="","",$L221),IFERROR(IF([1]筐子进出接口!$E$220=0,"",[1]筐子进出接口!$E$220),""))</f>
        <v/>
      </c>
      <c r="F221" s="25" t="str">
        <f>IF($S$4=0,IF($M221="","",$M221),IFERROR(IF([1]筐子进出接口!$F$220=0,"",[1]筐子进出接口!$F$220),""))</f>
        <v/>
      </c>
      <c r="G221" s="25" t="str">
        <f>IF($S$4=0,IF($N221="","",$N221),IFERROR(IF([1]筐子进出接口!$G$220=0,"",[1]筐子进出接口!$G$220),""))</f>
        <v/>
      </c>
      <c r="H221" s="25" t="str">
        <f t="shared" si="9"/>
        <v/>
      </c>
      <c r="I221" s="27"/>
      <c r="J221" s="27"/>
      <c r="K221" s="104"/>
      <c r="L221" s="104"/>
      <c r="M221" s="104"/>
      <c r="N221" s="104"/>
      <c r="O221" s="105">
        <f t="shared" si="10"/>
        <v>0</v>
      </c>
      <c r="P221" s="105">
        <f t="shared" si="11"/>
        <v>22</v>
      </c>
    </row>
    <row r="222" spans="1:16">
      <c r="A222" s="103">
        <v>221</v>
      </c>
      <c r="B222" s="37" t="str">
        <f>IF($S$4=0,IF($I222="","",$I222),IFERROR(IF([1]筐子进出接口!$B$221=0,"",[1]筐子进出接口!$B$221),""))</f>
        <v/>
      </c>
      <c r="C222" s="37" t="str">
        <f>IF($S$4=0,IF($J222="","",$J222),IFERROR(IF([1]筐子进出接口!$C$221=0,"",[1]筐子进出接口!$C$221),""))</f>
        <v/>
      </c>
      <c r="D222" s="25" t="str">
        <f>IF($S$4=0,IF($K222="","",$K222),IFERROR(IF([1]筐子进出接口!$D$221=0,"",[1]筐子进出接口!$D$221),""))</f>
        <v/>
      </c>
      <c r="E222" s="25" t="str">
        <f>IF($S$4=0,IF($L222="","",$L222),IFERROR(IF([1]筐子进出接口!$E$221=0,"",[1]筐子进出接口!$E$221),""))</f>
        <v/>
      </c>
      <c r="F222" s="25" t="str">
        <f>IF($S$4=0,IF($M222="","",$M222),IFERROR(IF([1]筐子进出接口!$F$221=0,"",[1]筐子进出接口!$F$221),""))</f>
        <v/>
      </c>
      <c r="G222" s="25" t="str">
        <f>IF($S$4=0,IF($N222="","",$N222),IFERROR(IF([1]筐子进出接口!$G$221=0,"",[1]筐子进出接口!$G$221),""))</f>
        <v/>
      </c>
      <c r="H222" s="25" t="str">
        <f t="shared" si="9"/>
        <v/>
      </c>
      <c r="I222" s="27"/>
      <c r="J222" s="27"/>
      <c r="K222" s="104"/>
      <c r="L222" s="104"/>
      <c r="M222" s="104"/>
      <c r="N222" s="104"/>
      <c r="O222" s="105">
        <f t="shared" si="10"/>
        <v>0</v>
      </c>
      <c r="P222" s="105">
        <f t="shared" si="11"/>
        <v>22</v>
      </c>
    </row>
    <row r="223" spans="1:16">
      <c r="A223" s="103">
        <v>222</v>
      </c>
      <c r="B223" s="37" t="str">
        <f>IF($S$4=0,IF($I223="","",$I223),IFERROR(IF([1]筐子进出接口!$B$222=0,"",[1]筐子进出接口!$B$222),""))</f>
        <v/>
      </c>
      <c r="C223" s="37" t="str">
        <f>IF($S$4=0,IF($J223="","",$J223),IFERROR(IF([1]筐子进出接口!$C$222=0,"",[1]筐子进出接口!$C$222),""))</f>
        <v/>
      </c>
      <c r="D223" s="25" t="str">
        <f>IF($S$4=0,IF($K223="","",$K223),IFERROR(IF([1]筐子进出接口!$D$222=0,"",[1]筐子进出接口!$D$222),""))</f>
        <v/>
      </c>
      <c r="E223" s="25" t="str">
        <f>IF($S$4=0,IF($L223="","",$L223),IFERROR(IF([1]筐子进出接口!$E$222=0,"",[1]筐子进出接口!$E$222),""))</f>
        <v/>
      </c>
      <c r="F223" s="25" t="str">
        <f>IF($S$4=0,IF($M223="","",$M223),IFERROR(IF([1]筐子进出接口!$F$222=0,"",[1]筐子进出接口!$F$222),""))</f>
        <v/>
      </c>
      <c r="G223" s="25" t="str">
        <f>IF($S$4=0,IF($N223="","",$N223),IFERROR(IF([1]筐子进出接口!$G$222=0,"",[1]筐子进出接口!$G$222),""))</f>
        <v/>
      </c>
      <c r="H223" s="25" t="str">
        <f t="shared" si="9"/>
        <v/>
      </c>
      <c r="I223" s="27"/>
      <c r="J223" s="27"/>
      <c r="K223" s="104"/>
      <c r="L223" s="104"/>
      <c r="M223" s="104"/>
      <c r="N223" s="104"/>
      <c r="O223" s="105">
        <f t="shared" si="10"/>
        <v>0</v>
      </c>
      <c r="P223" s="105">
        <f t="shared" si="11"/>
        <v>22</v>
      </c>
    </row>
    <row r="224" spans="1:16">
      <c r="A224" s="103">
        <v>223</v>
      </c>
      <c r="B224" s="37" t="str">
        <f>IF($S$4=0,IF($I224="","",$I224),IFERROR(IF([1]筐子进出接口!$B$223=0,"",[1]筐子进出接口!$B$223),""))</f>
        <v/>
      </c>
      <c r="C224" s="37" t="str">
        <f>IF($S$4=0,IF($J224="","",$J224),IFERROR(IF([1]筐子进出接口!$C$223=0,"",[1]筐子进出接口!$C$223),""))</f>
        <v/>
      </c>
      <c r="D224" s="25" t="str">
        <f>IF($S$4=0,IF($K224="","",$K224),IFERROR(IF([1]筐子进出接口!$D$223=0,"",[1]筐子进出接口!$D$223),""))</f>
        <v/>
      </c>
      <c r="E224" s="25" t="str">
        <f>IF($S$4=0,IF($L224="","",$L224),IFERROR(IF([1]筐子进出接口!$E$223=0,"",[1]筐子进出接口!$E$223),""))</f>
        <v/>
      </c>
      <c r="F224" s="25" t="str">
        <f>IF($S$4=0,IF($M224="","",$M224),IFERROR(IF([1]筐子进出接口!$F$223=0,"",[1]筐子进出接口!$F$223),""))</f>
        <v/>
      </c>
      <c r="G224" s="25" t="str">
        <f>IF($S$4=0,IF($N224="","",$N224),IFERROR(IF([1]筐子进出接口!$G$223=0,"",[1]筐子进出接口!$G$223),""))</f>
        <v/>
      </c>
      <c r="H224" s="25" t="str">
        <f t="shared" si="9"/>
        <v/>
      </c>
      <c r="I224" s="27"/>
      <c r="J224" s="27"/>
      <c r="K224" s="104"/>
      <c r="L224" s="104"/>
      <c r="M224" s="104"/>
      <c r="N224" s="104"/>
      <c r="O224" s="105">
        <f t="shared" si="10"/>
        <v>0</v>
      </c>
      <c r="P224" s="105">
        <f t="shared" si="11"/>
        <v>22</v>
      </c>
    </row>
    <row r="225" spans="1:16">
      <c r="A225" s="103">
        <v>224</v>
      </c>
      <c r="B225" s="37" t="str">
        <f>IF($S$4=0,IF($I225="","",$I225),IFERROR(IF([1]筐子进出接口!$B$224=0,"",[1]筐子进出接口!$B$224),""))</f>
        <v/>
      </c>
      <c r="C225" s="37" t="str">
        <f>IF($S$4=0,IF($J225="","",$J225),IFERROR(IF([1]筐子进出接口!$C$224=0,"",[1]筐子进出接口!$C$224),""))</f>
        <v/>
      </c>
      <c r="D225" s="25" t="str">
        <f>IF($S$4=0,IF($K225="","",$K225),IFERROR(IF([1]筐子进出接口!$D$224=0,"",[1]筐子进出接口!$D$224),""))</f>
        <v/>
      </c>
      <c r="E225" s="25" t="str">
        <f>IF($S$4=0,IF($L225="","",$L225),IFERROR(IF([1]筐子进出接口!$E$224=0,"",[1]筐子进出接口!$E$224),""))</f>
        <v/>
      </c>
      <c r="F225" s="25" t="str">
        <f>IF($S$4=0,IF($M225="","",$M225),IFERROR(IF([1]筐子进出接口!$F$224=0,"",[1]筐子进出接口!$F$224),""))</f>
        <v/>
      </c>
      <c r="G225" s="25" t="str">
        <f>IF($S$4=0,IF($N225="","",$N225),IFERROR(IF([1]筐子进出接口!$G$224=0,"",[1]筐子进出接口!$G$224),""))</f>
        <v/>
      </c>
      <c r="H225" s="25" t="str">
        <f t="shared" si="9"/>
        <v/>
      </c>
      <c r="I225" s="27"/>
      <c r="J225" s="27"/>
      <c r="K225" s="104"/>
      <c r="L225" s="104"/>
      <c r="M225" s="104"/>
      <c r="N225" s="104"/>
      <c r="O225" s="105">
        <f t="shared" si="10"/>
        <v>0</v>
      </c>
      <c r="P225" s="105">
        <f t="shared" si="11"/>
        <v>22</v>
      </c>
    </row>
    <row r="226" spans="1:16">
      <c r="A226" s="103">
        <v>225</v>
      </c>
      <c r="B226" s="37" t="str">
        <f>IF($S$4=0,IF($I226="","",$I226),IFERROR(IF([1]筐子进出接口!$B$225=0,"",[1]筐子进出接口!$B$225),""))</f>
        <v/>
      </c>
      <c r="C226" s="37" t="str">
        <f>IF($S$4=0,IF($J226="","",$J226),IFERROR(IF([1]筐子进出接口!$C$225=0,"",[1]筐子进出接口!$C$225),""))</f>
        <v/>
      </c>
      <c r="D226" s="25" t="str">
        <f>IF($S$4=0,IF($K226="","",$K226),IFERROR(IF([1]筐子进出接口!$D$225=0,"",[1]筐子进出接口!$D$225),""))</f>
        <v/>
      </c>
      <c r="E226" s="25" t="str">
        <f>IF($S$4=0,IF($L226="","",$L226),IFERROR(IF([1]筐子进出接口!$E$225=0,"",[1]筐子进出接口!$E$225),""))</f>
        <v/>
      </c>
      <c r="F226" s="25" t="str">
        <f>IF($S$4=0,IF($M226="","",$M226),IFERROR(IF([1]筐子进出接口!$F$225=0,"",[1]筐子进出接口!$F$225),""))</f>
        <v/>
      </c>
      <c r="G226" s="25" t="str">
        <f>IF($S$4=0,IF($N226="","",$N226),IFERROR(IF([1]筐子进出接口!$G$225=0,"",[1]筐子进出接口!$G$225),""))</f>
        <v/>
      </c>
      <c r="H226" s="25" t="str">
        <f t="shared" si="9"/>
        <v/>
      </c>
      <c r="I226" s="27"/>
      <c r="J226" s="27"/>
      <c r="K226" s="104"/>
      <c r="L226" s="104"/>
      <c r="M226" s="104"/>
      <c r="N226" s="104"/>
      <c r="O226" s="105">
        <f t="shared" si="10"/>
        <v>0</v>
      </c>
      <c r="P226" s="105">
        <f t="shared" si="11"/>
        <v>22</v>
      </c>
    </row>
    <row r="227" spans="1:16">
      <c r="A227" s="103">
        <v>226</v>
      </c>
      <c r="B227" s="37" t="str">
        <f>IF($S$4=0,IF($I227="","",$I227),IFERROR(IF([1]筐子进出接口!$B$226=0,"",[1]筐子进出接口!$B$226),""))</f>
        <v/>
      </c>
      <c r="C227" s="37" t="str">
        <f>IF($S$4=0,IF($J227="","",$J227),IFERROR(IF([1]筐子进出接口!$C$226=0,"",[1]筐子进出接口!$C$226),""))</f>
        <v/>
      </c>
      <c r="D227" s="25" t="str">
        <f>IF($S$4=0,IF($K227="","",$K227),IFERROR(IF([1]筐子进出接口!$D$226=0,"",[1]筐子进出接口!$D$226),""))</f>
        <v/>
      </c>
      <c r="E227" s="25" t="str">
        <f>IF($S$4=0,IF($L227="","",$L227),IFERROR(IF([1]筐子进出接口!$E$226=0,"",[1]筐子进出接口!$E$226),""))</f>
        <v/>
      </c>
      <c r="F227" s="25" t="str">
        <f>IF($S$4=0,IF($M227="","",$M227),IFERROR(IF([1]筐子进出接口!$F$226=0,"",[1]筐子进出接口!$F$226),""))</f>
        <v/>
      </c>
      <c r="G227" s="25" t="str">
        <f>IF($S$4=0,IF($N227="","",$N227),IFERROR(IF([1]筐子进出接口!$G$226=0,"",[1]筐子进出接口!$G$226),""))</f>
        <v/>
      </c>
      <c r="H227" s="25" t="str">
        <f t="shared" si="9"/>
        <v/>
      </c>
      <c r="I227" s="27"/>
      <c r="J227" s="27"/>
      <c r="K227" s="104"/>
      <c r="L227" s="104"/>
      <c r="M227" s="104"/>
      <c r="N227" s="104"/>
      <c r="O227" s="105">
        <f t="shared" si="10"/>
        <v>0</v>
      </c>
      <c r="P227" s="105">
        <f t="shared" si="11"/>
        <v>22</v>
      </c>
    </row>
    <row r="228" spans="1:16">
      <c r="A228" s="103">
        <v>227</v>
      </c>
      <c r="B228" s="37" t="str">
        <f>IF($S$4=0,IF($I228="","",$I228),IFERROR(IF([1]筐子进出接口!$B$227=0,"",[1]筐子进出接口!$B$227),""))</f>
        <v/>
      </c>
      <c r="C228" s="37" t="str">
        <f>IF($S$4=0,IF($J228="","",$J228),IFERROR(IF([1]筐子进出接口!$C$227=0,"",[1]筐子进出接口!$C$227),""))</f>
        <v/>
      </c>
      <c r="D228" s="25" t="str">
        <f>IF($S$4=0,IF($K228="","",$K228),IFERROR(IF([1]筐子进出接口!$D$227=0,"",[1]筐子进出接口!$D$227),""))</f>
        <v/>
      </c>
      <c r="E228" s="25" t="str">
        <f>IF($S$4=0,IF($L228="","",$L228),IFERROR(IF([1]筐子进出接口!$E$227=0,"",[1]筐子进出接口!$E$227),""))</f>
        <v/>
      </c>
      <c r="F228" s="25" t="str">
        <f>IF($S$4=0,IF($M228="","",$M228),IFERROR(IF([1]筐子进出接口!$F$227=0,"",[1]筐子进出接口!$F$227),""))</f>
        <v/>
      </c>
      <c r="G228" s="25" t="str">
        <f>IF($S$4=0,IF($N228="","",$N228),IFERROR(IF([1]筐子进出接口!$G$227=0,"",[1]筐子进出接口!$G$227),""))</f>
        <v/>
      </c>
      <c r="H228" s="25" t="str">
        <f t="shared" si="9"/>
        <v/>
      </c>
      <c r="I228" s="27"/>
      <c r="J228" s="27"/>
      <c r="K228" s="104"/>
      <c r="L228" s="104"/>
      <c r="M228" s="104"/>
      <c r="N228" s="104"/>
      <c r="O228" s="105">
        <f t="shared" si="10"/>
        <v>0</v>
      </c>
      <c r="P228" s="105">
        <f t="shared" si="11"/>
        <v>22</v>
      </c>
    </row>
    <row r="229" spans="1:16">
      <c r="A229" s="103">
        <v>228</v>
      </c>
      <c r="B229" s="37" t="str">
        <f>IF($S$4=0,IF($I229="","",$I229),IFERROR(IF([1]筐子进出接口!$B$228=0,"",[1]筐子进出接口!$B$228),""))</f>
        <v/>
      </c>
      <c r="C229" s="37" t="str">
        <f>IF($S$4=0,IF($J229="","",$J229),IFERROR(IF([1]筐子进出接口!$C$228=0,"",[1]筐子进出接口!$C$228),""))</f>
        <v/>
      </c>
      <c r="D229" s="25" t="str">
        <f>IF($S$4=0,IF($K229="","",$K229),IFERROR(IF([1]筐子进出接口!$D$228=0,"",[1]筐子进出接口!$D$228),""))</f>
        <v/>
      </c>
      <c r="E229" s="25" t="str">
        <f>IF($S$4=0,IF($L229="","",$L229),IFERROR(IF([1]筐子进出接口!$E$228=0,"",[1]筐子进出接口!$E$228),""))</f>
        <v/>
      </c>
      <c r="F229" s="25" t="str">
        <f>IF($S$4=0,IF($M229="","",$M229),IFERROR(IF([1]筐子进出接口!$F$228=0,"",[1]筐子进出接口!$F$228),""))</f>
        <v/>
      </c>
      <c r="G229" s="25" t="str">
        <f>IF($S$4=0,IF($N229="","",$N229),IFERROR(IF([1]筐子进出接口!$G$228=0,"",[1]筐子进出接口!$G$228),""))</f>
        <v/>
      </c>
      <c r="H229" s="25" t="str">
        <f t="shared" si="9"/>
        <v/>
      </c>
      <c r="I229" s="27"/>
      <c r="J229" s="27"/>
      <c r="K229" s="104"/>
      <c r="L229" s="104"/>
      <c r="M229" s="104"/>
      <c r="N229" s="104"/>
      <c r="O229" s="105">
        <f t="shared" si="10"/>
        <v>0</v>
      </c>
      <c r="P229" s="105">
        <f t="shared" si="11"/>
        <v>22</v>
      </c>
    </row>
    <row r="230" spans="1:16">
      <c r="A230" s="103">
        <v>229</v>
      </c>
      <c r="B230" s="37" t="str">
        <f>IF($S$4=0,IF($I230="","",$I230),IFERROR(IF([1]筐子进出接口!$B$229=0,"",[1]筐子进出接口!$B$229),""))</f>
        <v/>
      </c>
      <c r="C230" s="37" t="str">
        <f>IF($S$4=0,IF($J230="","",$J230),IFERROR(IF([1]筐子进出接口!$C$229=0,"",[1]筐子进出接口!$C$229),""))</f>
        <v/>
      </c>
      <c r="D230" s="25" t="str">
        <f>IF($S$4=0,IF($K230="","",$K230),IFERROR(IF([1]筐子进出接口!$D$229=0,"",[1]筐子进出接口!$D$229),""))</f>
        <v/>
      </c>
      <c r="E230" s="25" t="str">
        <f>IF($S$4=0,IF($L230="","",$L230),IFERROR(IF([1]筐子进出接口!$E$229=0,"",[1]筐子进出接口!$E$229),""))</f>
        <v/>
      </c>
      <c r="F230" s="25" t="str">
        <f>IF($S$4=0,IF($M230="","",$M230),IFERROR(IF([1]筐子进出接口!$F$229=0,"",[1]筐子进出接口!$F$229),""))</f>
        <v/>
      </c>
      <c r="G230" s="25" t="str">
        <f>IF($S$4=0,IF($N230="","",$N230),IFERROR(IF([1]筐子进出接口!$G$229=0,"",[1]筐子进出接口!$G$229),""))</f>
        <v/>
      </c>
      <c r="H230" s="25" t="str">
        <f t="shared" si="9"/>
        <v/>
      </c>
      <c r="I230" s="27"/>
      <c r="J230" s="27"/>
      <c r="K230" s="104"/>
      <c r="L230" s="104"/>
      <c r="M230" s="104"/>
      <c r="N230" s="104"/>
      <c r="O230" s="105">
        <f t="shared" si="10"/>
        <v>0</v>
      </c>
      <c r="P230" s="105">
        <f t="shared" si="11"/>
        <v>22</v>
      </c>
    </row>
    <row r="231" spans="1:16">
      <c r="A231" s="103">
        <v>230</v>
      </c>
      <c r="B231" s="37" t="str">
        <f>IF($S$4=0,IF($I231="","",$I231),IFERROR(IF([1]筐子进出接口!$B$230=0,"",[1]筐子进出接口!$B$230),""))</f>
        <v/>
      </c>
      <c r="C231" s="37" t="str">
        <f>IF($S$4=0,IF($J231="","",$J231),IFERROR(IF([1]筐子进出接口!$C$230=0,"",[1]筐子进出接口!$C$230),""))</f>
        <v/>
      </c>
      <c r="D231" s="25" t="str">
        <f>IF($S$4=0,IF($K231="","",$K231),IFERROR(IF([1]筐子进出接口!$D$230=0,"",[1]筐子进出接口!$D$230),""))</f>
        <v/>
      </c>
      <c r="E231" s="25" t="str">
        <f>IF($S$4=0,IF($L231="","",$L231),IFERROR(IF([1]筐子进出接口!$E$230=0,"",[1]筐子进出接口!$E$230),""))</f>
        <v/>
      </c>
      <c r="F231" s="25" t="str">
        <f>IF($S$4=0,IF($M231="","",$M231),IFERROR(IF([1]筐子进出接口!$F$230=0,"",[1]筐子进出接口!$F$230),""))</f>
        <v/>
      </c>
      <c r="G231" s="25" t="str">
        <f>IF($S$4=0,IF($N231="","",$N231),IFERROR(IF([1]筐子进出接口!$G$230=0,"",[1]筐子进出接口!$G$230),""))</f>
        <v/>
      </c>
      <c r="H231" s="25" t="str">
        <f t="shared" si="9"/>
        <v/>
      </c>
      <c r="I231" s="27"/>
      <c r="J231" s="27"/>
      <c r="K231" s="104"/>
      <c r="L231" s="104"/>
      <c r="M231" s="104"/>
      <c r="N231" s="104"/>
      <c r="O231" s="105">
        <f t="shared" si="10"/>
        <v>0</v>
      </c>
      <c r="P231" s="105">
        <f t="shared" si="11"/>
        <v>22</v>
      </c>
    </row>
    <row r="232" spans="1:16">
      <c r="A232" s="103">
        <v>231</v>
      </c>
      <c r="B232" s="37" t="str">
        <f>IF($S$4=0,IF($I232="","",$I232),IFERROR(IF([1]筐子进出接口!$B$231=0,"",[1]筐子进出接口!$B$231),""))</f>
        <v/>
      </c>
      <c r="C232" s="37" t="str">
        <f>IF($S$4=0,IF($J232="","",$J232),IFERROR(IF([1]筐子进出接口!$C$231=0,"",[1]筐子进出接口!$C$231),""))</f>
        <v/>
      </c>
      <c r="D232" s="25" t="str">
        <f>IF($S$4=0,IF($K232="","",$K232),IFERROR(IF([1]筐子进出接口!$D$231=0,"",[1]筐子进出接口!$D$231),""))</f>
        <v/>
      </c>
      <c r="E232" s="25" t="str">
        <f>IF($S$4=0,IF($L232="","",$L232),IFERROR(IF([1]筐子进出接口!$E$231=0,"",[1]筐子进出接口!$E$231),""))</f>
        <v/>
      </c>
      <c r="F232" s="25" t="str">
        <f>IF($S$4=0,IF($M232="","",$M232),IFERROR(IF([1]筐子进出接口!$F$231=0,"",[1]筐子进出接口!$F$231),""))</f>
        <v/>
      </c>
      <c r="G232" s="25" t="str">
        <f>IF($S$4=0,IF($N232="","",$N232),IFERROR(IF([1]筐子进出接口!$G$231=0,"",[1]筐子进出接口!$G$231),""))</f>
        <v/>
      </c>
      <c r="H232" s="25" t="str">
        <f t="shared" si="9"/>
        <v/>
      </c>
      <c r="I232" s="27"/>
      <c r="J232" s="27"/>
      <c r="K232" s="104"/>
      <c r="L232" s="104"/>
      <c r="M232" s="104"/>
      <c r="N232" s="104"/>
      <c r="O232" s="105">
        <f t="shared" si="10"/>
        <v>0</v>
      </c>
      <c r="P232" s="105">
        <f t="shared" si="11"/>
        <v>22</v>
      </c>
    </row>
    <row r="233" spans="1:16">
      <c r="A233" s="103">
        <v>232</v>
      </c>
      <c r="B233" s="37" t="str">
        <f>IF($S$4=0,IF($I233="","",$I233),IFERROR(IF([1]筐子进出接口!$B$232=0,"",[1]筐子进出接口!$B$232),""))</f>
        <v/>
      </c>
      <c r="C233" s="37" t="str">
        <f>IF($S$4=0,IF($J233="","",$J233),IFERROR(IF([1]筐子进出接口!$C$232=0,"",[1]筐子进出接口!$C$232),""))</f>
        <v/>
      </c>
      <c r="D233" s="25" t="str">
        <f>IF($S$4=0,IF($K233="","",$K233),IFERROR(IF([1]筐子进出接口!$D$232=0,"",[1]筐子进出接口!$D$232),""))</f>
        <v/>
      </c>
      <c r="E233" s="25" t="str">
        <f>IF($S$4=0,IF($L233="","",$L233),IFERROR(IF([1]筐子进出接口!$E$232=0,"",[1]筐子进出接口!$E$232),""))</f>
        <v/>
      </c>
      <c r="F233" s="25" t="str">
        <f>IF($S$4=0,IF($M233="","",$M233),IFERROR(IF([1]筐子进出接口!$F$232=0,"",[1]筐子进出接口!$F$232),""))</f>
        <v/>
      </c>
      <c r="G233" s="25" t="str">
        <f>IF($S$4=0,IF($N233="","",$N233),IFERROR(IF([1]筐子进出接口!$G$232=0,"",[1]筐子进出接口!$G$232),""))</f>
        <v/>
      </c>
      <c r="H233" s="25" t="str">
        <f t="shared" si="9"/>
        <v/>
      </c>
      <c r="I233" s="27"/>
      <c r="J233" s="27"/>
      <c r="K233" s="104"/>
      <c r="L233" s="104"/>
      <c r="M233" s="104"/>
      <c r="N233" s="104"/>
      <c r="O233" s="105">
        <f t="shared" si="10"/>
        <v>0</v>
      </c>
      <c r="P233" s="105">
        <f t="shared" si="11"/>
        <v>22</v>
      </c>
    </row>
    <row r="234" spans="1:16">
      <c r="A234" s="103">
        <v>233</v>
      </c>
      <c r="B234" s="37" t="str">
        <f>IF($S$4=0,IF($I234="","",$I234),IFERROR(IF([1]筐子进出接口!$B$233=0,"",[1]筐子进出接口!$B$233),""))</f>
        <v/>
      </c>
      <c r="C234" s="37" t="str">
        <f>IF($S$4=0,IF($J234="","",$J234),IFERROR(IF([1]筐子进出接口!$C$233=0,"",[1]筐子进出接口!$C$233),""))</f>
        <v/>
      </c>
      <c r="D234" s="25" t="str">
        <f>IF($S$4=0,IF($K234="","",$K234),IFERROR(IF([1]筐子进出接口!$D$233=0,"",[1]筐子进出接口!$D$233),""))</f>
        <v/>
      </c>
      <c r="E234" s="25" t="str">
        <f>IF($S$4=0,IF($L234="","",$L234),IFERROR(IF([1]筐子进出接口!$E$233=0,"",[1]筐子进出接口!$E$233),""))</f>
        <v/>
      </c>
      <c r="F234" s="25" t="str">
        <f>IF($S$4=0,IF($M234="","",$M234),IFERROR(IF([1]筐子进出接口!$F$233=0,"",[1]筐子进出接口!$F$233),""))</f>
        <v/>
      </c>
      <c r="G234" s="25" t="str">
        <f>IF($S$4=0,IF($N234="","",$N234),IFERROR(IF([1]筐子进出接口!$G$233=0,"",[1]筐子进出接口!$G$233),""))</f>
        <v/>
      </c>
      <c r="H234" s="25" t="str">
        <f t="shared" si="9"/>
        <v/>
      </c>
      <c r="I234" s="27"/>
      <c r="J234" s="27"/>
      <c r="K234" s="104"/>
      <c r="L234" s="104"/>
      <c r="M234" s="104"/>
      <c r="N234" s="104"/>
      <c r="O234" s="105">
        <f t="shared" si="10"/>
        <v>0</v>
      </c>
      <c r="P234" s="105">
        <f t="shared" si="11"/>
        <v>22</v>
      </c>
    </row>
    <row r="235" spans="1:16">
      <c r="A235" s="103">
        <v>234</v>
      </c>
      <c r="B235" s="37" t="str">
        <f>IF($S$4=0,IF($I235="","",$I235),IFERROR(IF([1]筐子进出接口!$B$234=0,"",[1]筐子进出接口!$B$234),""))</f>
        <v/>
      </c>
      <c r="C235" s="37" t="str">
        <f>IF($S$4=0,IF($J235="","",$J235),IFERROR(IF([1]筐子进出接口!$C$234=0,"",[1]筐子进出接口!$C$234),""))</f>
        <v/>
      </c>
      <c r="D235" s="25" t="str">
        <f>IF($S$4=0,IF($K235="","",$K235),IFERROR(IF([1]筐子进出接口!$D$234=0,"",[1]筐子进出接口!$D$234),""))</f>
        <v/>
      </c>
      <c r="E235" s="25" t="str">
        <f>IF($S$4=0,IF($L235="","",$L235),IFERROR(IF([1]筐子进出接口!$E$234=0,"",[1]筐子进出接口!$E$234),""))</f>
        <v/>
      </c>
      <c r="F235" s="25" t="str">
        <f>IF($S$4=0,IF($M235="","",$M235),IFERROR(IF([1]筐子进出接口!$F$234=0,"",[1]筐子进出接口!$F$234),""))</f>
        <v/>
      </c>
      <c r="G235" s="25" t="str">
        <f>IF($S$4=0,IF($N235="","",$N235),IFERROR(IF([1]筐子进出接口!$G$234=0,"",[1]筐子进出接口!$G$234),""))</f>
        <v/>
      </c>
      <c r="H235" s="25" t="str">
        <f t="shared" si="9"/>
        <v/>
      </c>
      <c r="I235" s="27"/>
      <c r="J235" s="27"/>
      <c r="K235" s="104"/>
      <c r="L235" s="104"/>
      <c r="M235" s="104"/>
      <c r="N235" s="104"/>
      <c r="O235" s="105">
        <f t="shared" si="10"/>
        <v>0</v>
      </c>
      <c r="P235" s="105">
        <f t="shared" si="11"/>
        <v>22</v>
      </c>
    </row>
    <row r="236" spans="1:16">
      <c r="A236" s="103">
        <v>235</v>
      </c>
      <c r="B236" s="37" t="str">
        <f>IF($S$4=0,IF($I236="","",$I236),IFERROR(IF([1]筐子进出接口!$B$235=0,"",[1]筐子进出接口!$B$235),""))</f>
        <v/>
      </c>
      <c r="C236" s="37" t="str">
        <f>IF($S$4=0,IF($J236="","",$J236),IFERROR(IF([1]筐子进出接口!$C$235=0,"",[1]筐子进出接口!$C$235),""))</f>
        <v/>
      </c>
      <c r="D236" s="25" t="str">
        <f>IF($S$4=0,IF($K236="","",$K236),IFERROR(IF([1]筐子进出接口!$D$235=0,"",[1]筐子进出接口!$D$235),""))</f>
        <v/>
      </c>
      <c r="E236" s="25" t="str">
        <f>IF($S$4=0,IF($L236="","",$L236),IFERROR(IF([1]筐子进出接口!$E$235=0,"",[1]筐子进出接口!$E$235),""))</f>
        <v/>
      </c>
      <c r="F236" s="25" t="str">
        <f>IF($S$4=0,IF($M236="","",$M236),IFERROR(IF([1]筐子进出接口!$F$235=0,"",[1]筐子进出接口!$F$235),""))</f>
        <v/>
      </c>
      <c r="G236" s="25" t="str">
        <f>IF($S$4=0,IF($N236="","",$N236),IFERROR(IF([1]筐子进出接口!$G$235=0,"",[1]筐子进出接口!$G$235),""))</f>
        <v/>
      </c>
      <c r="H236" s="25" t="str">
        <f t="shared" si="9"/>
        <v/>
      </c>
      <c r="I236" s="27"/>
      <c r="J236" s="27"/>
      <c r="K236" s="104"/>
      <c r="L236" s="104"/>
      <c r="M236" s="104"/>
      <c r="N236" s="104"/>
      <c r="O236" s="105">
        <f t="shared" si="10"/>
        <v>0</v>
      </c>
      <c r="P236" s="105">
        <f t="shared" si="11"/>
        <v>22</v>
      </c>
    </row>
    <row r="237" spans="1:16">
      <c r="A237" s="103">
        <v>236</v>
      </c>
      <c r="B237" s="37" t="str">
        <f>IF($S$4=0,IF($I237="","",$I237),IFERROR(IF([1]筐子进出接口!$B$236=0,"",[1]筐子进出接口!$B$236),""))</f>
        <v/>
      </c>
      <c r="C237" s="37" t="str">
        <f>IF($S$4=0,IF($J237="","",$J237),IFERROR(IF([1]筐子进出接口!$C$236=0,"",[1]筐子进出接口!$C$236),""))</f>
        <v/>
      </c>
      <c r="D237" s="25" t="str">
        <f>IF($S$4=0,IF($K237="","",$K237),IFERROR(IF([1]筐子进出接口!$D$236=0,"",[1]筐子进出接口!$D$236),""))</f>
        <v/>
      </c>
      <c r="E237" s="25" t="str">
        <f>IF($S$4=0,IF($L237="","",$L237),IFERROR(IF([1]筐子进出接口!$E$236=0,"",[1]筐子进出接口!$E$236),""))</f>
        <v/>
      </c>
      <c r="F237" s="25" t="str">
        <f>IF($S$4=0,IF($M237="","",$M237),IFERROR(IF([1]筐子进出接口!$F$236=0,"",[1]筐子进出接口!$F$236),""))</f>
        <v/>
      </c>
      <c r="G237" s="25" t="str">
        <f>IF($S$4=0,IF($N237="","",$N237),IFERROR(IF([1]筐子进出接口!$G$236=0,"",[1]筐子进出接口!$G$236),""))</f>
        <v/>
      </c>
      <c r="H237" s="25" t="str">
        <f t="shared" si="9"/>
        <v/>
      </c>
      <c r="I237" s="27"/>
      <c r="J237" s="27"/>
      <c r="K237" s="104"/>
      <c r="L237" s="104"/>
      <c r="M237" s="104"/>
      <c r="N237" s="104"/>
      <c r="O237" s="105">
        <f t="shared" si="10"/>
        <v>0</v>
      </c>
      <c r="P237" s="105">
        <f t="shared" si="11"/>
        <v>22</v>
      </c>
    </row>
    <row r="238" spans="1:16">
      <c r="A238" s="103">
        <v>237</v>
      </c>
      <c r="B238" s="37" t="str">
        <f>IF($S$4=0,IF($I238="","",$I238),IFERROR(IF([1]筐子进出接口!$B$237=0,"",[1]筐子进出接口!$B$237),""))</f>
        <v/>
      </c>
      <c r="C238" s="37" t="str">
        <f>IF($S$4=0,IF($J238="","",$J238),IFERROR(IF([1]筐子进出接口!$C$237=0,"",[1]筐子进出接口!$C$237),""))</f>
        <v/>
      </c>
      <c r="D238" s="25" t="str">
        <f>IF($S$4=0,IF($K238="","",$K238),IFERROR(IF([1]筐子进出接口!$D$237=0,"",[1]筐子进出接口!$D$237),""))</f>
        <v/>
      </c>
      <c r="E238" s="25" t="str">
        <f>IF($S$4=0,IF($L238="","",$L238),IFERROR(IF([1]筐子进出接口!$E$237=0,"",[1]筐子进出接口!$E$237),""))</f>
        <v/>
      </c>
      <c r="F238" s="25" t="str">
        <f>IF($S$4=0,IF($M238="","",$M238),IFERROR(IF([1]筐子进出接口!$F$237=0,"",[1]筐子进出接口!$F$237),""))</f>
        <v/>
      </c>
      <c r="G238" s="25" t="str">
        <f>IF($S$4=0,IF($N238="","",$N238),IFERROR(IF([1]筐子进出接口!$G$237=0,"",[1]筐子进出接口!$G$237),""))</f>
        <v/>
      </c>
      <c r="H238" s="25" t="str">
        <f t="shared" si="9"/>
        <v/>
      </c>
      <c r="I238" s="27"/>
      <c r="J238" s="27"/>
      <c r="K238" s="104"/>
      <c r="L238" s="104"/>
      <c r="M238" s="104"/>
      <c r="N238" s="104"/>
      <c r="O238" s="105">
        <f t="shared" si="10"/>
        <v>0</v>
      </c>
      <c r="P238" s="105">
        <f t="shared" si="11"/>
        <v>22</v>
      </c>
    </row>
    <row r="239" spans="1:16">
      <c r="A239" s="103">
        <v>238</v>
      </c>
      <c r="B239" s="37" t="str">
        <f>IF($S$4=0,IF($I239="","",$I239),IFERROR(IF([1]筐子进出接口!$B$238=0,"",[1]筐子进出接口!$B$238),""))</f>
        <v/>
      </c>
      <c r="C239" s="37" t="str">
        <f>IF($S$4=0,IF($J239="","",$J239),IFERROR(IF([1]筐子进出接口!$C$238=0,"",[1]筐子进出接口!$C$238),""))</f>
        <v/>
      </c>
      <c r="D239" s="25" t="str">
        <f>IF($S$4=0,IF($K239="","",$K239),IFERROR(IF([1]筐子进出接口!$D$238=0,"",[1]筐子进出接口!$D$238),""))</f>
        <v/>
      </c>
      <c r="E239" s="25" t="str">
        <f>IF($S$4=0,IF($L239="","",$L239),IFERROR(IF([1]筐子进出接口!$E$238=0,"",[1]筐子进出接口!$E$238),""))</f>
        <v/>
      </c>
      <c r="F239" s="25" t="str">
        <f>IF($S$4=0,IF($M239="","",$M239),IFERROR(IF([1]筐子进出接口!$F$238=0,"",[1]筐子进出接口!$F$238),""))</f>
        <v/>
      </c>
      <c r="G239" s="25" t="str">
        <f>IF($S$4=0,IF($N239="","",$N239),IFERROR(IF([1]筐子进出接口!$G$238=0,"",[1]筐子进出接口!$G$238),""))</f>
        <v/>
      </c>
      <c r="H239" s="25" t="str">
        <f t="shared" si="9"/>
        <v/>
      </c>
      <c r="I239" s="27"/>
      <c r="J239" s="27"/>
      <c r="K239" s="104"/>
      <c r="L239" s="104"/>
      <c r="M239" s="104"/>
      <c r="N239" s="104"/>
      <c r="O239" s="105">
        <f t="shared" si="10"/>
        <v>0</v>
      </c>
      <c r="P239" s="105">
        <f t="shared" si="11"/>
        <v>22</v>
      </c>
    </row>
    <row r="240" spans="1:16">
      <c r="A240" s="103">
        <v>239</v>
      </c>
      <c r="B240" s="37" t="str">
        <f>IF($S$4=0,IF($I240="","",$I240),IFERROR(IF([1]筐子进出接口!$B$239=0,"",[1]筐子进出接口!$B$239),""))</f>
        <v/>
      </c>
      <c r="C240" s="37" t="str">
        <f>IF($S$4=0,IF($J240="","",$J240),IFERROR(IF([1]筐子进出接口!$C$239=0,"",[1]筐子进出接口!$C$239),""))</f>
        <v/>
      </c>
      <c r="D240" s="25" t="str">
        <f>IF($S$4=0,IF($K240="","",$K240),IFERROR(IF([1]筐子进出接口!$D$239=0,"",[1]筐子进出接口!$D$239),""))</f>
        <v/>
      </c>
      <c r="E240" s="25" t="str">
        <f>IF($S$4=0,IF($L240="","",$L240),IFERROR(IF([1]筐子进出接口!$E$239=0,"",[1]筐子进出接口!$E$239),""))</f>
        <v/>
      </c>
      <c r="F240" s="25" t="str">
        <f>IF($S$4=0,IF($M240="","",$M240),IFERROR(IF([1]筐子进出接口!$F$239=0,"",[1]筐子进出接口!$F$239),""))</f>
        <v/>
      </c>
      <c r="G240" s="25" t="str">
        <f>IF($S$4=0,IF($N240="","",$N240),IFERROR(IF([1]筐子进出接口!$G$239=0,"",[1]筐子进出接口!$G$239),""))</f>
        <v/>
      </c>
      <c r="H240" s="25" t="str">
        <f t="shared" si="9"/>
        <v/>
      </c>
      <c r="I240" s="27"/>
      <c r="J240" s="27"/>
      <c r="K240" s="104"/>
      <c r="L240" s="104"/>
      <c r="M240" s="104"/>
      <c r="N240" s="104"/>
      <c r="O240" s="105">
        <f t="shared" si="10"/>
        <v>0</v>
      </c>
      <c r="P240" s="105">
        <f t="shared" si="11"/>
        <v>22</v>
      </c>
    </row>
    <row r="241" spans="1:16">
      <c r="A241" s="103">
        <v>240</v>
      </c>
      <c r="B241" s="37" t="str">
        <f>IF($S$4=0,IF($I241="","",$I241),IFERROR(IF([1]筐子进出接口!$B$240=0,"",[1]筐子进出接口!$B$240),""))</f>
        <v/>
      </c>
      <c r="C241" s="37" t="str">
        <f>IF($S$4=0,IF($J241="","",$J241),IFERROR(IF([1]筐子进出接口!$C$240=0,"",[1]筐子进出接口!$C$240),""))</f>
        <v/>
      </c>
      <c r="D241" s="25" t="str">
        <f>IF($S$4=0,IF($K241="","",$K241),IFERROR(IF([1]筐子进出接口!$D$240=0,"",[1]筐子进出接口!$D$240),""))</f>
        <v/>
      </c>
      <c r="E241" s="25" t="str">
        <f>IF($S$4=0,IF($L241="","",$L241),IFERROR(IF([1]筐子进出接口!$E$240=0,"",[1]筐子进出接口!$E$240),""))</f>
        <v/>
      </c>
      <c r="F241" s="25" t="str">
        <f>IF($S$4=0,IF($M241="","",$M241),IFERROR(IF([1]筐子进出接口!$F$240=0,"",[1]筐子进出接口!$F$240),""))</f>
        <v/>
      </c>
      <c r="G241" s="25" t="str">
        <f>IF($S$4=0,IF($N241="","",$N241),IFERROR(IF([1]筐子进出接口!$G$240=0,"",[1]筐子进出接口!$G$240),""))</f>
        <v/>
      </c>
      <c r="H241" s="25" t="str">
        <f t="shared" si="9"/>
        <v/>
      </c>
      <c r="I241" s="27"/>
      <c r="J241" s="27"/>
      <c r="K241" s="104"/>
      <c r="L241" s="104"/>
      <c r="M241" s="104"/>
      <c r="N241" s="104"/>
      <c r="O241" s="105">
        <f t="shared" si="10"/>
        <v>0</v>
      </c>
      <c r="P241" s="105">
        <f t="shared" si="11"/>
        <v>22</v>
      </c>
    </row>
    <row r="242" spans="1:16">
      <c r="A242" s="103">
        <v>241</v>
      </c>
      <c r="B242" s="37" t="str">
        <f>IF($S$4=0,IF($I242="","",$I242),IFERROR(IF([1]筐子进出接口!$B$241=0,"",[1]筐子进出接口!$B$241),""))</f>
        <v/>
      </c>
      <c r="C242" s="37" t="str">
        <f>IF($S$4=0,IF($J242="","",$J242),IFERROR(IF([1]筐子进出接口!$C$241=0,"",[1]筐子进出接口!$C$241),""))</f>
        <v/>
      </c>
      <c r="D242" s="25" t="str">
        <f>IF($S$4=0,IF($K242="","",$K242),IFERROR(IF([1]筐子进出接口!$D$241=0,"",[1]筐子进出接口!$D$241),""))</f>
        <v/>
      </c>
      <c r="E242" s="25" t="str">
        <f>IF($S$4=0,IF($L242="","",$L242),IFERROR(IF([1]筐子进出接口!$E$241=0,"",[1]筐子进出接口!$E$241),""))</f>
        <v/>
      </c>
      <c r="F242" s="25" t="str">
        <f>IF($S$4=0,IF($M242="","",$M242),IFERROR(IF([1]筐子进出接口!$F$241=0,"",[1]筐子进出接口!$F$241),""))</f>
        <v/>
      </c>
      <c r="G242" s="25" t="str">
        <f>IF($S$4=0,IF($N242="","",$N242),IFERROR(IF([1]筐子进出接口!$G$241=0,"",[1]筐子进出接口!$G$241),""))</f>
        <v/>
      </c>
      <c r="H242" s="25" t="str">
        <f t="shared" si="9"/>
        <v/>
      </c>
      <c r="I242" s="27"/>
      <c r="J242" s="27"/>
      <c r="K242" s="104"/>
      <c r="L242" s="104"/>
      <c r="M242" s="104"/>
      <c r="N242" s="104"/>
      <c r="O242" s="105">
        <f t="shared" si="10"/>
        <v>0</v>
      </c>
      <c r="P242" s="105">
        <f t="shared" si="11"/>
        <v>22</v>
      </c>
    </row>
    <row r="243" spans="1:16">
      <c r="A243" s="103">
        <v>242</v>
      </c>
      <c r="B243" s="37" t="str">
        <f>IF($S$4=0,IF($I243="","",$I243),IFERROR(IF([1]筐子进出接口!$B$242=0,"",[1]筐子进出接口!$B$242),""))</f>
        <v/>
      </c>
      <c r="C243" s="37" t="str">
        <f>IF($S$4=0,IF($J243="","",$J243),IFERROR(IF([1]筐子进出接口!$C$242=0,"",[1]筐子进出接口!$C$242),""))</f>
        <v/>
      </c>
      <c r="D243" s="25" t="str">
        <f>IF($S$4=0,IF($K243="","",$K243),IFERROR(IF([1]筐子进出接口!$D$242=0,"",[1]筐子进出接口!$D$242),""))</f>
        <v/>
      </c>
      <c r="E243" s="25" t="str">
        <f>IF($S$4=0,IF($L243="","",$L243),IFERROR(IF([1]筐子进出接口!$E$242=0,"",[1]筐子进出接口!$E$242),""))</f>
        <v/>
      </c>
      <c r="F243" s="25" t="str">
        <f>IF($S$4=0,IF($M243="","",$M243),IFERROR(IF([1]筐子进出接口!$F$242=0,"",[1]筐子进出接口!$F$242),""))</f>
        <v/>
      </c>
      <c r="G243" s="25" t="str">
        <f>IF($S$4=0,IF($N243="","",$N243),IFERROR(IF([1]筐子进出接口!$G$242=0,"",[1]筐子进出接口!$G$242),""))</f>
        <v/>
      </c>
      <c r="H243" s="25" t="str">
        <f t="shared" si="9"/>
        <v/>
      </c>
      <c r="I243" s="27"/>
      <c r="J243" s="27"/>
      <c r="K243" s="104"/>
      <c r="L243" s="104"/>
      <c r="M243" s="104"/>
      <c r="N243" s="104"/>
      <c r="O243" s="105">
        <f t="shared" si="10"/>
        <v>0</v>
      </c>
      <c r="P243" s="105">
        <f t="shared" si="11"/>
        <v>22</v>
      </c>
    </row>
    <row r="244" spans="1:16">
      <c r="A244" s="103">
        <v>243</v>
      </c>
      <c r="B244" s="37" t="str">
        <f>IF($S$4=0,IF($I244="","",$I244),IFERROR(IF([1]筐子进出接口!$B$243=0,"",[1]筐子进出接口!$B$243),""))</f>
        <v/>
      </c>
      <c r="C244" s="37" t="str">
        <f>IF($S$4=0,IF($J244="","",$J244),IFERROR(IF([1]筐子进出接口!$C$243=0,"",[1]筐子进出接口!$C$243),""))</f>
        <v/>
      </c>
      <c r="D244" s="25" t="str">
        <f>IF($S$4=0,IF($K244="","",$K244),IFERROR(IF([1]筐子进出接口!$D$243=0,"",[1]筐子进出接口!$D$243),""))</f>
        <v/>
      </c>
      <c r="E244" s="25" t="str">
        <f>IF($S$4=0,IF($L244="","",$L244),IFERROR(IF([1]筐子进出接口!$E$243=0,"",[1]筐子进出接口!$E$243),""))</f>
        <v/>
      </c>
      <c r="F244" s="25" t="str">
        <f>IF($S$4=0,IF($M244="","",$M244),IFERROR(IF([1]筐子进出接口!$F$243=0,"",[1]筐子进出接口!$F$243),""))</f>
        <v/>
      </c>
      <c r="G244" s="25" t="str">
        <f>IF($S$4=0,IF($N244="","",$N244),IFERROR(IF([1]筐子进出接口!$G$243=0,"",[1]筐子进出接口!$G$243),""))</f>
        <v/>
      </c>
      <c r="H244" s="25" t="str">
        <f t="shared" si="9"/>
        <v/>
      </c>
      <c r="I244" s="27"/>
      <c r="J244" s="27"/>
      <c r="K244" s="104"/>
      <c r="L244" s="104"/>
      <c r="M244" s="104"/>
      <c r="N244" s="104"/>
      <c r="O244" s="105">
        <f t="shared" si="10"/>
        <v>0</v>
      </c>
      <c r="P244" s="105">
        <f t="shared" si="11"/>
        <v>22</v>
      </c>
    </row>
    <row r="245" spans="1:16">
      <c r="A245" s="103">
        <v>244</v>
      </c>
      <c r="B245" s="37" t="str">
        <f>IF($S$4=0,IF($I245="","",$I245),IFERROR(IF([1]筐子进出接口!$B$244=0,"",[1]筐子进出接口!$B$244),""))</f>
        <v/>
      </c>
      <c r="C245" s="37" t="str">
        <f>IF($S$4=0,IF($J245="","",$J245),IFERROR(IF([1]筐子进出接口!$C$244=0,"",[1]筐子进出接口!$C$244),""))</f>
        <v/>
      </c>
      <c r="D245" s="25" t="str">
        <f>IF($S$4=0,IF($K245="","",$K245),IFERROR(IF([1]筐子进出接口!$D$244=0,"",[1]筐子进出接口!$D$244),""))</f>
        <v/>
      </c>
      <c r="E245" s="25" t="str">
        <f>IF($S$4=0,IF($L245="","",$L245),IFERROR(IF([1]筐子进出接口!$E$244=0,"",[1]筐子进出接口!$E$244),""))</f>
        <v/>
      </c>
      <c r="F245" s="25" t="str">
        <f>IF($S$4=0,IF($M245="","",$M245),IFERROR(IF([1]筐子进出接口!$F$244=0,"",[1]筐子进出接口!$F$244),""))</f>
        <v/>
      </c>
      <c r="G245" s="25" t="str">
        <f>IF($S$4=0,IF($N245="","",$N245),IFERROR(IF([1]筐子进出接口!$G$244=0,"",[1]筐子进出接口!$G$244),""))</f>
        <v/>
      </c>
      <c r="H245" s="25" t="str">
        <f t="shared" si="9"/>
        <v/>
      </c>
      <c r="I245" s="27"/>
      <c r="J245" s="27"/>
      <c r="K245" s="104"/>
      <c r="L245" s="104"/>
      <c r="M245" s="104"/>
      <c r="N245" s="104"/>
      <c r="O245" s="105">
        <f t="shared" si="10"/>
        <v>0</v>
      </c>
      <c r="P245" s="105">
        <f t="shared" si="11"/>
        <v>22</v>
      </c>
    </row>
    <row r="246" spans="1:16">
      <c r="A246" s="103">
        <v>245</v>
      </c>
      <c r="B246" s="37" t="str">
        <f>IF($S$4=0,IF($I246="","",$I246),IFERROR(IF([1]筐子进出接口!$B$245=0,"",[1]筐子进出接口!$B$245),""))</f>
        <v/>
      </c>
      <c r="C246" s="37" t="str">
        <f>IF($S$4=0,IF($J246="","",$J246),IFERROR(IF([1]筐子进出接口!$C$245=0,"",[1]筐子进出接口!$C$245),""))</f>
        <v/>
      </c>
      <c r="D246" s="25" t="str">
        <f>IF($S$4=0,IF($K246="","",$K246),IFERROR(IF([1]筐子进出接口!$D$245=0,"",[1]筐子进出接口!$D$245),""))</f>
        <v/>
      </c>
      <c r="E246" s="25" t="str">
        <f>IF($S$4=0,IF($L246="","",$L246),IFERROR(IF([1]筐子进出接口!$E$245=0,"",[1]筐子进出接口!$E$245),""))</f>
        <v/>
      </c>
      <c r="F246" s="25" t="str">
        <f>IF($S$4=0,IF($M246="","",$M246),IFERROR(IF([1]筐子进出接口!$F$245=0,"",[1]筐子进出接口!$F$245),""))</f>
        <v/>
      </c>
      <c r="G246" s="25" t="str">
        <f>IF($S$4=0,IF($N246="","",$N246),IFERROR(IF([1]筐子进出接口!$G$245=0,"",[1]筐子进出接口!$G$245),""))</f>
        <v/>
      </c>
      <c r="H246" s="25" t="str">
        <f t="shared" si="9"/>
        <v/>
      </c>
      <c r="I246" s="27"/>
      <c r="J246" s="27"/>
      <c r="K246" s="104"/>
      <c r="L246" s="104"/>
      <c r="M246" s="104"/>
      <c r="N246" s="104"/>
      <c r="O246" s="105">
        <f t="shared" si="10"/>
        <v>0</v>
      </c>
      <c r="P246" s="105">
        <f t="shared" si="11"/>
        <v>22</v>
      </c>
    </row>
    <row r="247" spans="1:16">
      <c r="A247" s="103">
        <v>246</v>
      </c>
      <c r="B247" s="37" t="str">
        <f>IF($S$4=0,IF($I247="","",$I247),IFERROR(IF([1]筐子进出接口!$B$246=0,"",[1]筐子进出接口!$B$246),""))</f>
        <v/>
      </c>
      <c r="C247" s="37" t="str">
        <f>IF($S$4=0,IF($J247="","",$J247),IFERROR(IF([1]筐子进出接口!$C$246=0,"",[1]筐子进出接口!$C$246),""))</f>
        <v/>
      </c>
      <c r="D247" s="25" t="str">
        <f>IF($S$4=0,IF($K247="","",$K247),IFERROR(IF([1]筐子进出接口!$D$246=0,"",[1]筐子进出接口!$D$246),""))</f>
        <v/>
      </c>
      <c r="E247" s="25" t="str">
        <f>IF($S$4=0,IF($L247="","",$L247),IFERROR(IF([1]筐子进出接口!$E$246=0,"",[1]筐子进出接口!$E$246),""))</f>
        <v/>
      </c>
      <c r="F247" s="25" t="str">
        <f>IF($S$4=0,IF($M247="","",$M247),IFERROR(IF([1]筐子进出接口!$F$246=0,"",[1]筐子进出接口!$F$246),""))</f>
        <v/>
      </c>
      <c r="G247" s="25" t="str">
        <f>IF($S$4=0,IF($N247="","",$N247),IFERROR(IF([1]筐子进出接口!$G$246=0,"",[1]筐子进出接口!$G$246),""))</f>
        <v/>
      </c>
      <c r="H247" s="25" t="str">
        <f t="shared" si="9"/>
        <v/>
      </c>
      <c r="I247" s="27"/>
      <c r="J247" s="27"/>
      <c r="K247" s="104"/>
      <c r="L247" s="104"/>
      <c r="M247" s="104"/>
      <c r="N247" s="104"/>
      <c r="O247" s="105">
        <f t="shared" si="10"/>
        <v>0</v>
      </c>
      <c r="P247" s="105">
        <f t="shared" si="11"/>
        <v>22</v>
      </c>
    </row>
    <row r="248" spans="1:16">
      <c r="A248" s="103">
        <v>247</v>
      </c>
      <c r="B248" s="37" t="str">
        <f>IF($S$4=0,IF($I248="","",$I248),IFERROR(IF([1]筐子进出接口!$B$247=0,"",[1]筐子进出接口!$B$247),""))</f>
        <v/>
      </c>
      <c r="C248" s="37" t="str">
        <f>IF($S$4=0,IF($J248="","",$J248),IFERROR(IF([1]筐子进出接口!$C$247=0,"",[1]筐子进出接口!$C$247),""))</f>
        <v/>
      </c>
      <c r="D248" s="25" t="str">
        <f>IF($S$4=0,IF($K248="","",$K248),IFERROR(IF([1]筐子进出接口!$D$247=0,"",[1]筐子进出接口!$D$247),""))</f>
        <v/>
      </c>
      <c r="E248" s="25" t="str">
        <f>IF($S$4=0,IF($L248="","",$L248),IFERROR(IF([1]筐子进出接口!$E$247=0,"",[1]筐子进出接口!$E$247),""))</f>
        <v/>
      </c>
      <c r="F248" s="25" t="str">
        <f>IF($S$4=0,IF($M248="","",$M248),IFERROR(IF([1]筐子进出接口!$F$247=0,"",[1]筐子进出接口!$F$247),""))</f>
        <v/>
      </c>
      <c r="G248" s="25" t="str">
        <f>IF($S$4=0,IF($N248="","",$N248),IFERROR(IF([1]筐子进出接口!$G$247=0,"",[1]筐子进出接口!$G$247),""))</f>
        <v/>
      </c>
      <c r="H248" s="25" t="str">
        <f t="shared" si="9"/>
        <v/>
      </c>
      <c r="I248" s="27"/>
      <c r="J248" s="27"/>
      <c r="K248" s="104"/>
      <c r="L248" s="104"/>
      <c r="M248" s="104"/>
      <c r="N248" s="104"/>
      <c r="O248" s="105">
        <f t="shared" si="10"/>
        <v>0</v>
      </c>
      <c r="P248" s="105">
        <f t="shared" si="11"/>
        <v>22</v>
      </c>
    </row>
    <row r="249" spans="1:16">
      <c r="A249" s="103">
        <v>248</v>
      </c>
      <c r="B249" s="37" t="str">
        <f>IF($S$4=0,IF($I249="","",$I249),IFERROR(IF([1]筐子进出接口!$B$248=0,"",[1]筐子进出接口!$B$248),""))</f>
        <v/>
      </c>
      <c r="C249" s="37" t="str">
        <f>IF($S$4=0,IF($J249="","",$J249),IFERROR(IF([1]筐子进出接口!$C$248=0,"",[1]筐子进出接口!$C$248),""))</f>
        <v/>
      </c>
      <c r="D249" s="25" t="str">
        <f>IF($S$4=0,IF($K249="","",$K249),IFERROR(IF([1]筐子进出接口!$D$248=0,"",[1]筐子进出接口!$D$248),""))</f>
        <v/>
      </c>
      <c r="E249" s="25" t="str">
        <f>IF($S$4=0,IF($L249="","",$L249),IFERROR(IF([1]筐子进出接口!$E$248=0,"",[1]筐子进出接口!$E$248),""))</f>
        <v/>
      </c>
      <c r="F249" s="25" t="str">
        <f>IF($S$4=0,IF($M249="","",$M249),IFERROR(IF([1]筐子进出接口!$F$248=0,"",[1]筐子进出接口!$F$248),""))</f>
        <v/>
      </c>
      <c r="G249" s="25" t="str">
        <f>IF($S$4=0,IF($N249="","",$N249),IFERROR(IF([1]筐子进出接口!$G$248=0,"",[1]筐子进出接口!$G$248),""))</f>
        <v/>
      </c>
      <c r="H249" s="25" t="str">
        <f t="shared" si="9"/>
        <v/>
      </c>
      <c r="I249" s="27"/>
      <c r="J249" s="27"/>
      <c r="K249" s="104"/>
      <c r="L249" s="104"/>
      <c r="M249" s="104"/>
      <c r="N249" s="104"/>
      <c r="O249" s="105">
        <f t="shared" si="10"/>
        <v>0</v>
      </c>
      <c r="P249" s="105">
        <f t="shared" si="11"/>
        <v>22</v>
      </c>
    </row>
    <row r="250" spans="1:16">
      <c r="A250" s="103">
        <v>249</v>
      </c>
      <c r="B250" s="37" t="str">
        <f>IF($S$4=0,IF($I250="","",$I250),IFERROR(IF([1]筐子进出接口!$B$249=0,"",[1]筐子进出接口!$B$249),""))</f>
        <v/>
      </c>
      <c r="C250" s="37" t="str">
        <f>IF($S$4=0,IF($J250="","",$J250),IFERROR(IF([1]筐子进出接口!$C$249=0,"",[1]筐子进出接口!$C$249),""))</f>
        <v/>
      </c>
      <c r="D250" s="25" t="str">
        <f>IF($S$4=0,IF($K250="","",$K250),IFERROR(IF([1]筐子进出接口!$D$249=0,"",[1]筐子进出接口!$D$249),""))</f>
        <v/>
      </c>
      <c r="E250" s="25" t="str">
        <f>IF($S$4=0,IF($L250="","",$L250),IFERROR(IF([1]筐子进出接口!$E$249=0,"",[1]筐子进出接口!$E$249),""))</f>
        <v/>
      </c>
      <c r="F250" s="25" t="str">
        <f>IF($S$4=0,IF($M250="","",$M250),IFERROR(IF([1]筐子进出接口!$F$249=0,"",[1]筐子进出接口!$F$249),""))</f>
        <v/>
      </c>
      <c r="G250" s="25" t="str">
        <f>IF($S$4=0,IF($N250="","",$N250),IFERROR(IF([1]筐子进出接口!$G$249=0,"",[1]筐子进出接口!$G$249),""))</f>
        <v/>
      </c>
      <c r="H250" s="25" t="str">
        <f t="shared" si="9"/>
        <v/>
      </c>
      <c r="I250" s="27"/>
      <c r="J250" s="27"/>
      <c r="K250" s="104"/>
      <c r="L250" s="104"/>
      <c r="M250" s="104"/>
      <c r="N250" s="104"/>
      <c r="O250" s="105">
        <f t="shared" si="10"/>
        <v>0</v>
      </c>
      <c r="P250" s="105">
        <f t="shared" si="11"/>
        <v>22</v>
      </c>
    </row>
    <row r="251" spans="1:16">
      <c r="A251" s="103">
        <v>250</v>
      </c>
      <c r="B251" s="37" t="str">
        <f>IF($S$4=0,IF($I251="","",$I251),IFERROR(IF([1]筐子进出接口!$B$250=0,"",[1]筐子进出接口!$B$250),""))</f>
        <v/>
      </c>
      <c r="C251" s="37" t="str">
        <f>IF($S$4=0,IF($J251="","",$J251),IFERROR(IF([1]筐子进出接口!$C$250=0,"",[1]筐子进出接口!$C$250),""))</f>
        <v/>
      </c>
      <c r="D251" s="25" t="str">
        <f>IF($S$4=0,IF($K251="","",$K251),IFERROR(IF([1]筐子进出接口!$D$250=0,"",[1]筐子进出接口!$D$250),""))</f>
        <v/>
      </c>
      <c r="E251" s="25" t="str">
        <f>IF($S$4=0,IF($L251="","",$L251),IFERROR(IF([1]筐子进出接口!$E$250=0,"",[1]筐子进出接口!$E$250),""))</f>
        <v/>
      </c>
      <c r="F251" s="25" t="str">
        <f>IF($S$4=0,IF($M251="","",$M251),IFERROR(IF([1]筐子进出接口!$F$250=0,"",[1]筐子进出接口!$F$250),""))</f>
        <v/>
      </c>
      <c r="G251" s="25" t="str">
        <f>IF($S$4=0,IF($N251="","",$N251),IFERROR(IF([1]筐子进出接口!$G$250=0,"",[1]筐子进出接口!$G$250),""))</f>
        <v/>
      </c>
      <c r="H251" s="25" t="str">
        <f t="shared" si="9"/>
        <v/>
      </c>
      <c r="I251" s="27"/>
      <c r="J251" s="27"/>
      <c r="K251" s="104"/>
      <c r="L251" s="104"/>
      <c r="M251" s="104"/>
      <c r="N251" s="104"/>
      <c r="O251" s="105">
        <f t="shared" si="10"/>
        <v>0</v>
      </c>
      <c r="P251" s="105">
        <f t="shared" si="11"/>
        <v>22</v>
      </c>
    </row>
    <row r="252" spans="1:16">
      <c r="A252" s="103">
        <v>251</v>
      </c>
      <c r="B252" s="37" t="str">
        <f>IF($S$4=0,IF($I252="","",$I252),IFERROR(IF([1]筐子进出接口!$B$251=0,"",[1]筐子进出接口!$B$251),""))</f>
        <v/>
      </c>
      <c r="C252" s="37" t="str">
        <f>IF($S$4=0,IF($J252="","",$J252),IFERROR(IF([1]筐子进出接口!$C$251=0,"",[1]筐子进出接口!$C$251),""))</f>
        <v/>
      </c>
      <c r="D252" s="25" t="str">
        <f>IF($S$4=0,IF($K252="","",$K252),IFERROR(IF([1]筐子进出接口!$D$251=0,"",[1]筐子进出接口!$D$251),""))</f>
        <v/>
      </c>
      <c r="E252" s="25" t="str">
        <f>IF($S$4=0,IF($L252="","",$L252),IFERROR(IF([1]筐子进出接口!$E$251=0,"",[1]筐子进出接口!$E$251),""))</f>
        <v/>
      </c>
      <c r="F252" s="25" t="str">
        <f>IF($S$4=0,IF($M252="","",$M252),IFERROR(IF([1]筐子进出接口!$F$251=0,"",[1]筐子进出接口!$F$251),""))</f>
        <v/>
      </c>
      <c r="G252" s="25" t="str">
        <f>IF($S$4=0,IF($N252="","",$N252),IFERROR(IF([1]筐子进出接口!$G$251=0,"",[1]筐子进出接口!$G$251),""))</f>
        <v/>
      </c>
      <c r="H252" s="25" t="str">
        <f t="shared" si="9"/>
        <v/>
      </c>
      <c r="I252" s="27"/>
      <c r="J252" s="27"/>
      <c r="K252" s="104"/>
      <c r="L252" s="104"/>
      <c r="M252" s="104"/>
      <c r="N252" s="104"/>
      <c r="O252" s="105">
        <f t="shared" si="10"/>
        <v>0</v>
      </c>
      <c r="P252" s="105">
        <f t="shared" si="11"/>
        <v>22</v>
      </c>
    </row>
    <row r="253" spans="1:16">
      <c r="A253" s="103">
        <v>252</v>
      </c>
      <c r="B253" s="37" t="str">
        <f>IF($S$4=0,IF($I253="","",$I253),IFERROR(IF([1]筐子进出接口!$B$252=0,"",[1]筐子进出接口!$B$252),""))</f>
        <v/>
      </c>
      <c r="C253" s="37" t="str">
        <f>IF($S$4=0,IF($J253="","",$J253),IFERROR(IF([1]筐子进出接口!$C$252=0,"",[1]筐子进出接口!$C$252),""))</f>
        <v/>
      </c>
      <c r="D253" s="25" t="str">
        <f>IF($S$4=0,IF($K253="","",$K253),IFERROR(IF([1]筐子进出接口!$D$252=0,"",[1]筐子进出接口!$D$252),""))</f>
        <v/>
      </c>
      <c r="E253" s="25" t="str">
        <f>IF($S$4=0,IF($L253="","",$L253),IFERROR(IF([1]筐子进出接口!$E$252=0,"",[1]筐子进出接口!$E$252),""))</f>
        <v/>
      </c>
      <c r="F253" s="25" t="str">
        <f>IF($S$4=0,IF($M253="","",$M253),IFERROR(IF([1]筐子进出接口!$F$252=0,"",[1]筐子进出接口!$F$252),""))</f>
        <v/>
      </c>
      <c r="G253" s="25" t="str">
        <f>IF($S$4=0,IF($N253="","",$N253),IFERROR(IF([1]筐子进出接口!$G$252=0,"",[1]筐子进出接口!$G$252),""))</f>
        <v/>
      </c>
      <c r="H253" s="25" t="str">
        <f t="shared" si="9"/>
        <v/>
      </c>
      <c r="I253" s="27"/>
      <c r="J253" s="27"/>
      <c r="K253" s="104"/>
      <c r="L253" s="104"/>
      <c r="M253" s="104"/>
      <c r="N253" s="104"/>
      <c r="O253" s="105">
        <f t="shared" si="10"/>
        <v>0</v>
      </c>
      <c r="P253" s="105">
        <f t="shared" si="11"/>
        <v>22</v>
      </c>
    </row>
    <row r="254" spans="1:16">
      <c r="A254" s="103">
        <v>253</v>
      </c>
      <c r="B254" s="37" t="str">
        <f>IF($S$4=0,IF($I254="","",$I254),IFERROR(IF([1]筐子进出接口!$B$253=0,"",[1]筐子进出接口!$B$253),""))</f>
        <v/>
      </c>
      <c r="C254" s="37" t="str">
        <f>IF($S$4=0,IF($J254="","",$J254),IFERROR(IF([1]筐子进出接口!$C$253=0,"",[1]筐子进出接口!$C$253),""))</f>
        <v/>
      </c>
      <c r="D254" s="25" t="str">
        <f>IF($S$4=0,IF($K254="","",$K254),IFERROR(IF([1]筐子进出接口!$D$253=0,"",[1]筐子进出接口!$D$253),""))</f>
        <v/>
      </c>
      <c r="E254" s="25" t="str">
        <f>IF($S$4=0,IF($L254="","",$L254),IFERROR(IF([1]筐子进出接口!$E$253=0,"",[1]筐子进出接口!$E$253),""))</f>
        <v/>
      </c>
      <c r="F254" s="25" t="str">
        <f>IF($S$4=0,IF($M254="","",$M254),IFERROR(IF([1]筐子进出接口!$F$253=0,"",[1]筐子进出接口!$F$253),""))</f>
        <v/>
      </c>
      <c r="G254" s="25" t="str">
        <f>IF($S$4=0,IF($N254="","",$N254),IFERROR(IF([1]筐子进出接口!$G$253=0,"",[1]筐子进出接口!$G$253),""))</f>
        <v/>
      </c>
      <c r="H254" s="25" t="str">
        <f t="shared" si="9"/>
        <v/>
      </c>
      <c r="I254" s="27"/>
      <c r="J254" s="27"/>
      <c r="K254" s="104"/>
      <c r="L254" s="104"/>
      <c r="M254" s="104"/>
      <c r="N254" s="104"/>
      <c r="O254" s="105">
        <f t="shared" si="10"/>
        <v>0</v>
      </c>
      <c r="P254" s="105">
        <f t="shared" si="11"/>
        <v>22</v>
      </c>
    </row>
    <row r="255" spans="1:16">
      <c r="A255" s="103">
        <v>254</v>
      </c>
      <c r="B255" s="37" t="str">
        <f>IF($S$4=0,IF($I255="","",$I255),IFERROR(IF([1]筐子进出接口!$B$254=0,"",[1]筐子进出接口!$B$254),""))</f>
        <v/>
      </c>
      <c r="C255" s="37" t="str">
        <f>IF($S$4=0,IF($J255="","",$J255),IFERROR(IF([1]筐子进出接口!$C$254=0,"",[1]筐子进出接口!$C$254),""))</f>
        <v/>
      </c>
      <c r="D255" s="25" t="str">
        <f>IF($S$4=0,IF($K255="","",$K255),IFERROR(IF([1]筐子进出接口!$D$254=0,"",[1]筐子进出接口!$D$254),""))</f>
        <v/>
      </c>
      <c r="E255" s="25" t="str">
        <f>IF($S$4=0,IF($L255="","",$L255),IFERROR(IF([1]筐子进出接口!$E$254=0,"",[1]筐子进出接口!$E$254),""))</f>
        <v/>
      </c>
      <c r="F255" s="25" t="str">
        <f>IF($S$4=0,IF($M255="","",$M255),IFERROR(IF([1]筐子进出接口!$F$254=0,"",[1]筐子进出接口!$F$254),""))</f>
        <v/>
      </c>
      <c r="G255" s="25" t="str">
        <f>IF($S$4=0,IF($N255="","",$N255),IFERROR(IF([1]筐子进出接口!$G$254=0,"",[1]筐子进出接口!$G$254),""))</f>
        <v/>
      </c>
      <c r="H255" s="25" t="str">
        <f t="shared" si="9"/>
        <v/>
      </c>
      <c r="I255" s="27"/>
      <c r="J255" s="27"/>
      <c r="K255" s="104"/>
      <c r="L255" s="104"/>
      <c r="M255" s="104"/>
      <c r="N255" s="104"/>
      <c r="O255" s="105">
        <f t="shared" si="10"/>
        <v>0</v>
      </c>
      <c r="P255" s="105">
        <f t="shared" si="11"/>
        <v>22</v>
      </c>
    </row>
    <row r="256" spans="1:16">
      <c r="A256" s="103">
        <v>255</v>
      </c>
      <c r="B256" s="37" t="str">
        <f>IF($S$4=0,IF($I256="","",$I256),IFERROR(IF([1]筐子进出接口!$B$255=0,"",[1]筐子进出接口!$B$255),""))</f>
        <v/>
      </c>
      <c r="C256" s="37" t="str">
        <f>IF($S$4=0,IF($J256="","",$J256),IFERROR(IF([1]筐子进出接口!$C$255=0,"",[1]筐子进出接口!$C$255),""))</f>
        <v/>
      </c>
      <c r="D256" s="25" t="str">
        <f>IF($S$4=0,IF($K256="","",$K256),IFERROR(IF([1]筐子进出接口!$D$255=0,"",[1]筐子进出接口!$D$255),""))</f>
        <v/>
      </c>
      <c r="E256" s="25" t="str">
        <f>IF($S$4=0,IF($L256="","",$L256),IFERROR(IF([1]筐子进出接口!$E$255=0,"",[1]筐子进出接口!$E$255),""))</f>
        <v/>
      </c>
      <c r="F256" s="25" t="str">
        <f>IF($S$4=0,IF($M256="","",$M256),IFERROR(IF([1]筐子进出接口!$F$255=0,"",[1]筐子进出接口!$F$255),""))</f>
        <v/>
      </c>
      <c r="G256" s="25" t="str">
        <f>IF($S$4=0,IF($N256="","",$N256),IFERROR(IF([1]筐子进出接口!$G$255=0,"",[1]筐子进出接口!$G$255),""))</f>
        <v/>
      </c>
      <c r="H256" s="25" t="str">
        <f t="shared" si="9"/>
        <v/>
      </c>
      <c r="I256" s="27"/>
      <c r="J256" s="27"/>
      <c r="K256" s="104"/>
      <c r="L256" s="104"/>
      <c r="M256" s="104"/>
      <c r="N256" s="104"/>
      <c r="O256" s="105">
        <f t="shared" si="10"/>
        <v>0</v>
      </c>
      <c r="P256" s="105">
        <f t="shared" si="11"/>
        <v>22</v>
      </c>
    </row>
    <row r="257" spans="1:16">
      <c r="A257" s="103">
        <v>256</v>
      </c>
      <c r="B257" s="37" t="str">
        <f>IF($S$4=0,IF($I257="","",$I257),IFERROR(IF([1]筐子进出接口!$B$256=0,"",[1]筐子进出接口!$B$256),""))</f>
        <v/>
      </c>
      <c r="C257" s="37" t="str">
        <f>IF($S$4=0,IF($J257="","",$J257),IFERROR(IF([1]筐子进出接口!$C$256=0,"",[1]筐子进出接口!$C$256),""))</f>
        <v/>
      </c>
      <c r="D257" s="25" t="str">
        <f>IF($S$4=0,IF($K257="","",$K257),IFERROR(IF([1]筐子进出接口!$D$256=0,"",[1]筐子进出接口!$D$256),""))</f>
        <v/>
      </c>
      <c r="E257" s="25" t="str">
        <f>IF($S$4=0,IF($L257="","",$L257),IFERROR(IF([1]筐子进出接口!$E$256=0,"",[1]筐子进出接口!$E$256),""))</f>
        <v/>
      </c>
      <c r="F257" s="25" t="str">
        <f>IF($S$4=0,IF($M257="","",$M257),IFERROR(IF([1]筐子进出接口!$F$256=0,"",[1]筐子进出接口!$F$256),""))</f>
        <v/>
      </c>
      <c r="G257" s="25" t="str">
        <f>IF($S$4=0,IF($N257="","",$N257),IFERROR(IF([1]筐子进出接口!$G$256=0,"",[1]筐子进出接口!$G$256),""))</f>
        <v/>
      </c>
      <c r="H257" s="25" t="str">
        <f t="shared" si="9"/>
        <v/>
      </c>
      <c r="I257" s="27"/>
      <c r="J257" s="27"/>
      <c r="K257" s="104"/>
      <c r="L257" s="104"/>
      <c r="M257" s="104"/>
      <c r="N257" s="104"/>
      <c r="O257" s="105">
        <f t="shared" si="10"/>
        <v>0</v>
      </c>
      <c r="P257" s="105">
        <f t="shared" si="11"/>
        <v>22</v>
      </c>
    </row>
    <row r="258" spans="1:16">
      <c r="A258" s="103">
        <v>257</v>
      </c>
      <c r="B258" s="37" t="str">
        <f>IF($S$4=0,IF($I258="","",$I258),IFERROR(IF([1]筐子进出接口!$B$257=0,"",[1]筐子进出接口!$B$257),""))</f>
        <v/>
      </c>
      <c r="C258" s="37" t="str">
        <f>IF($S$4=0,IF($J258="","",$J258),IFERROR(IF([1]筐子进出接口!$C$257=0,"",[1]筐子进出接口!$C$257),""))</f>
        <v/>
      </c>
      <c r="D258" s="25" t="str">
        <f>IF($S$4=0,IF($K258="","",$K258),IFERROR(IF([1]筐子进出接口!$D$257=0,"",[1]筐子进出接口!$D$257),""))</f>
        <v/>
      </c>
      <c r="E258" s="25" t="str">
        <f>IF($S$4=0,IF($L258="","",$L258),IFERROR(IF([1]筐子进出接口!$E$257=0,"",[1]筐子进出接口!$E$257),""))</f>
        <v/>
      </c>
      <c r="F258" s="25" t="str">
        <f>IF($S$4=0,IF($M258="","",$M258),IFERROR(IF([1]筐子进出接口!$F$257=0,"",[1]筐子进出接口!$F$257),""))</f>
        <v/>
      </c>
      <c r="G258" s="25" t="str">
        <f>IF($S$4=0,IF($N258="","",$N258),IFERROR(IF([1]筐子进出接口!$G$257=0,"",[1]筐子进出接口!$G$257),""))</f>
        <v/>
      </c>
      <c r="H258" s="25" t="str">
        <f t="shared" si="9"/>
        <v/>
      </c>
      <c r="I258" s="27"/>
      <c r="J258" s="27"/>
      <c r="K258" s="104"/>
      <c r="L258" s="104"/>
      <c r="M258" s="104"/>
      <c r="N258" s="104"/>
      <c r="O258" s="105">
        <f t="shared" si="10"/>
        <v>0</v>
      </c>
      <c r="P258" s="105">
        <f t="shared" si="11"/>
        <v>22</v>
      </c>
    </row>
    <row r="259" spans="1:16">
      <c r="A259" s="103">
        <v>258</v>
      </c>
      <c r="B259" s="37" t="str">
        <f>IF($S$4=0,IF($I259="","",$I259),IFERROR(IF([1]筐子进出接口!$B$258=0,"",[1]筐子进出接口!$B$258),""))</f>
        <v/>
      </c>
      <c r="C259" s="37" t="str">
        <f>IF($S$4=0,IF($J259="","",$J259),IFERROR(IF([1]筐子进出接口!$C$258=0,"",[1]筐子进出接口!$C$258),""))</f>
        <v/>
      </c>
      <c r="D259" s="25" t="str">
        <f>IF($S$4=0,IF($K259="","",$K259),IFERROR(IF([1]筐子进出接口!$D$258=0,"",[1]筐子进出接口!$D$258),""))</f>
        <v/>
      </c>
      <c r="E259" s="25" t="str">
        <f>IF($S$4=0,IF($L259="","",$L259),IFERROR(IF([1]筐子进出接口!$E$258=0,"",[1]筐子进出接口!$E$258),""))</f>
        <v/>
      </c>
      <c r="F259" s="25" t="str">
        <f>IF($S$4=0,IF($M259="","",$M259),IFERROR(IF([1]筐子进出接口!$F$258=0,"",[1]筐子进出接口!$F$258),""))</f>
        <v/>
      </c>
      <c r="G259" s="25" t="str">
        <f>IF($S$4=0,IF($N259="","",$N259),IFERROR(IF([1]筐子进出接口!$G$258=0,"",[1]筐子进出接口!$G$258),""))</f>
        <v/>
      </c>
      <c r="H259" s="25" t="str">
        <f t="shared" si="9"/>
        <v/>
      </c>
      <c r="I259" s="27"/>
      <c r="J259" s="27"/>
      <c r="K259" s="104"/>
      <c r="L259" s="104"/>
      <c r="M259" s="104"/>
      <c r="N259" s="104"/>
      <c r="O259" s="105">
        <f t="shared" si="10"/>
        <v>0</v>
      </c>
      <c r="P259" s="105">
        <f t="shared" si="11"/>
        <v>22</v>
      </c>
    </row>
    <row r="260" spans="1:16">
      <c r="A260" s="103">
        <v>259</v>
      </c>
      <c r="B260" s="37" t="str">
        <f>IF($S$4=0,IF($I260="","",$I260),IFERROR(IF([1]筐子进出接口!$B$259=0,"",[1]筐子进出接口!$B$259),""))</f>
        <v/>
      </c>
      <c r="C260" s="37" t="str">
        <f>IF($S$4=0,IF($J260="","",$J260),IFERROR(IF([1]筐子进出接口!$C$259=0,"",[1]筐子进出接口!$C$259),""))</f>
        <v/>
      </c>
      <c r="D260" s="25" t="str">
        <f>IF($S$4=0,IF($K260="","",$K260),IFERROR(IF([1]筐子进出接口!$D$259=0,"",[1]筐子进出接口!$D$259),""))</f>
        <v/>
      </c>
      <c r="E260" s="25" t="str">
        <f>IF($S$4=0,IF($L260="","",$L260),IFERROR(IF([1]筐子进出接口!$E$259=0,"",[1]筐子进出接口!$E$259),""))</f>
        <v/>
      </c>
      <c r="F260" s="25" t="str">
        <f>IF($S$4=0,IF($M260="","",$M260),IFERROR(IF([1]筐子进出接口!$F$259=0,"",[1]筐子进出接口!$F$259),""))</f>
        <v/>
      </c>
      <c r="G260" s="25" t="str">
        <f>IF($S$4=0,IF($N260="","",$N260),IFERROR(IF([1]筐子进出接口!$G$259=0,"",[1]筐子进出接口!$G$259),""))</f>
        <v/>
      </c>
      <c r="H260" s="25" t="str">
        <f t="shared" si="9"/>
        <v/>
      </c>
      <c r="I260" s="27"/>
      <c r="J260" s="27"/>
      <c r="K260" s="104"/>
      <c r="L260" s="104"/>
      <c r="M260" s="104"/>
      <c r="N260" s="104"/>
      <c r="O260" s="105">
        <f t="shared" si="10"/>
        <v>0</v>
      </c>
      <c r="P260" s="105">
        <f t="shared" si="11"/>
        <v>22</v>
      </c>
    </row>
    <row r="261" spans="1:16">
      <c r="A261" s="103">
        <v>260</v>
      </c>
      <c r="B261" s="37" t="str">
        <f>IF($S$4=0,IF($I261="","",$I261),IFERROR(IF([1]筐子进出接口!$B$260=0,"",[1]筐子进出接口!$B$260),""))</f>
        <v/>
      </c>
      <c r="C261" s="37" t="str">
        <f>IF($S$4=0,IF($J261="","",$J261),IFERROR(IF([1]筐子进出接口!$C$260=0,"",[1]筐子进出接口!$C$260),""))</f>
        <v/>
      </c>
      <c r="D261" s="25" t="str">
        <f>IF($S$4=0,IF($K261="","",$K261),IFERROR(IF([1]筐子进出接口!$D$260=0,"",[1]筐子进出接口!$D$260),""))</f>
        <v/>
      </c>
      <c r="E261" s="25" t="str">
        <f>IF($S$4=0,IF($L261="","",$L261),IFERROR(IF([1]筐子进出接口!$E$260=0,"",[1]筐子进出接口!$E$260),""))</f>
        <v/>
      </c>
      <c r="F261" s="25" t="str">
        <f>IF($S$4=0,IF($M261="","",$M261),IFERROR(IF([1]筐子进出接口!$F$260=0,"",[1]筐子进出接口!$F$260),""))</f>
        <v/>
      </c>
      <c r="G261" s="25" t="str">
        <f>IF($S$4=0,IF($N261="","",$N261),IFERROR(IF([1]筐子进出接口!$G$260=0,"",[1]筐子进出接口!$G$260),""))</f>
        <v/>
      </c>
      <c r="H261" s="25" t="str">
        <f t="shared" ref="H261:H304" si="12">IF($B261="","",N($D261))</f>
        <v/>
      </c>
      <c r="I261" s="27"/>
      <c r="J261" s="27"/>
      <c r="K261" s="104"/>
      <c r="L261" s="104"/>
      <c r="M261" s="104"/>
      <c r="N261" s="104"/>
      <c r="O261" s="105">
        <f t="shared" ref="O261:O304" si="13">IF(AND($B261&lt;&gt;"",$C261&lt;&gt;""),1,0)</f>
        <v>0</v>
      </c>
      <c r="P261" s="105">
        <f t="shared" ref="P261:P304" si="14">N(P260)+$O261</f>
        <v>22</v>
      </c>
    </row>
    <row r="262" spans="1:16">
      <c r="A262" s="103">
        <v>261</v>
      </c>
      <c r="B262" s="37" t="str">
        <f>IF($S$4=0,IF($I262="","",$I262),IFERROR(IF([1]筐子进出接口!$B$261=0,"",[1]筐子进出接口!$B$261),""))</f>
        <v/>
      </c>
      <c r="C262" s="37" t="str">
        <f>IF($S$4=0,IF($J262="","",$J262),IFERROR(IF([1]筐子进出接口!$C$261=0,"",[1]筐子进出接口!$C$261),""))</f>
        <v/>
      </c>
      <c r="D262" s="25" t="str">
        <f>IF($S$4=0,IF($K262="","",$K262),IFERROR(IF([1]筐子进出接口!$D$261=0,"",[1]筐子进出接口!$D$261),""))</f>
        <v/>
      </c>
      <c r="E262" s="25" t="str">
        <f>IF($S$4=0,IF($L262="","",$L262),IFERROR(IF([1]筐子进出接口!$E$261=0,"",[1]筐子进出接口!$E$261),""))</f>
        <v/>
      </c>
      <c r="F262" s="25" t="str">
        <f>IF($S$4=0,IF($M262="","",$M262),IFERROR(IF([1]筐子进出接口!$F$261=0,"",[1]筐子进出接口!$F$261),""))</f>
        <v/>
      </c>
      <c r="G262" s="25" t="str">
        <f>IF($S$4=0,IF($N262="","",$N262),IFERROR(IF([1]筐子进出接口!$G$261=0,"",[1]筐子进出接口!$G$261),""))</f>
        <v/>
      </c>
      <c r="H262" s="25" t="str">
        <f t="shared" si="12"/>
        <v/>
      </c>
      <c r="I262" s="27"/>
      <c r="J262" s="27"/>
      <c r="K262" s="104"/>
      <c r="L262" s="104"/>
      <c r="M262" s="104"/>
      <c r="N262" s="104"/>
      <c r="O262" s="105">
        <f t="shared" si="13"/>
        <v>0</v>
      </c>
      <c r="P262" s="105">
        <f t="shared" si="14"/>
        <v>22</v>
      </c>
    </row>
    <row r="263" spans="1:16">
      <c r="A263" s="103">
        <v>262</v>
      </c>
      <c r="B263" s="37" t="str">
        <f>IF($S$4=0,IF($I263="","",$I263),IFERROR(IF([1]筐子进出接口!$B$262=0,"",[1]筐子进出接口!$B$262),""))</f>
        <v/>
      </c>
      <c r="C263" s="37" t="str">
        <f>IF($S$4=0,IF($J263="","",$J263),IFERROR(IF([1]筐子进出接口!$C$262=0,"",[1]筐子进出接口!$C$262),""))</f>
        <v/>
      </c>
      <c r="D263" s="25" t="str">
        <f>IF($S$4=0,IF($K263="","",$K263),IFERROR(IF([1]筐子进出接口!$D$262=0,"",[1]筐子进出接口!$D$262),""))</f>
        <v/>
      </c>
      <c r="E263" s="25" t="str">
        <f>IF($S$4=0,IF($L263="","",$L263),IFERROR(IF([1]筐子进出接口!$E$262=0,"",[1]筐子进出接口!$E$262),""))</f>
        <v/>
      </c>
      <c r="F263" s="25" t="str">
        <f>IF($S$4=0,IF($M263="","",$M263),IFERROR(IF([1]筐子进出接口!$F$262=0,"",[1]筐子进出接口!$F$262),""))</f>
        <v/>
      </c>
      <c r="G263" s="25" t="str">
        <f>IF($S$4=0,IF($N263="","",$N263),IFERROR(IF([1]筐子进出接口!$G$262=0,"",[1]筐子进出接口!$G$262),""))</f>
        <v/>
      </c>
      <c r="H263" s="25" t="str">
        <f t="shared" si="12"/>
        <v/>
      </c>
      <c r="I263" s="27"/>
      <c r="J263" s="27"/>
      <c r="K263" s="104"/>
      <c r="L263" s="104"/>
      <c r="M263" s="104"/>
      <c r="N263" s="104"/>
      <c r="O263" s="105">
        <f t="shared" si="13"/>
        <v>0</v>
      </c>
      <c r="P263" s="105">
        <f t="shared" si="14"/>
        <v>22</v>
      </c>
    </row>
    <row r="264" spans="1:16">
      <c r="A264" s="103">
        <v>263</v>
      </c>
      <c r="B264" s="37" t="str">
        <f>IF($S$4=0,IF($I264="","",$I264),IFERROR(IF([1]筐子进出接口!$B$263=0,"",[1]筐子进出接口!$B$263),""))</f>
        <v/>
      </c>
      <c r="C264" s="37" t="str">
        <f>IF($S$4=0,IF($J264="","",$J264),IFERROR(IF([1]筐子进出接口!$C$263=0,"",[1]筐子进出接口!$C$263),""))</f>
        <v/>
      </c>
      <c r="D264" s="25" t="str">
        <f>IF($S$4=0,IF($K264="","",$K264),IFERROR(IF([1]筐子进出接口!$D$263=0,"",[1]筐子进出接口!$D$263),""))</f>
        <v/>
      </c>
      <c r="E264" s="25" t="str">
        <f>IF($S$4=0,IF($L264="","",$L264),IFERROR(IF([1]筐子进出接口!$E$263=0,"",[1]筐子进出接口!$E$263),""))</f>
        <v/>
      </c>
      <c r="F264" s="25" t="str">
        <f>IF($S$4=0,IF($M264="","",$M264),IFERROR(IF([1]筐子进出接口!$F$263=0,"",[1]筐子进出接口!$F$263),""))</f>
        <v/>
      </c>
      <c r="G264" s="25" t="str">
        <f>IF($S$4=0,IF($N264="","",$N264),IFERROR(IF([1]筐子进出接口!$G$263=0,"",[1]筐子进出接口!$G$263),""))</f>
        <v/>
      </c>
      <c r="H264" s="25" t="str">
        <f t="shared" si="12"/>
        <v/>
      </c>
      <c r="I264" s="27"/>
      <c r="J264" s="27"/>
      <c r="K264" s="104"/>
      <c r="L264" s="104"/>
      <c r="M264" s="104"/>
      <c r="N264" s="104"/>
      <c r="O264" s="105">
        <f t="shared" si="13"/>
        <v>0</v>
      </c>
      <c r="P264" s="105">
        <f t="shared" si="14"/>
        <v>22</v>
      </c>
    </row>
    <row r="265" spans="1:16">
      <c r="A265" s="103">
        <v>264</v>
      </c>
      <c r="B265" s="37" t="str">
        <f>IF($S$4=0,IF($I265="","",$I265),IFERROR(IF([1]筐子进出接口!$B$264=0,"",[1]筐子进出接口!$B$264),""))</f>
        <v/>
      </c>
      <c r="C265" s="37" t="str">
        <f>IF($S$4=0,IF($J265="","",$J265),IFERROR(IF([1]筐子进出接口!$C$264=0,"",[1]筐子进出接口!$C$264),""))</f>
        <v/>
      </c>
      <c r="D265" s="25" t="str">
        <f>IF($S$4=0,IF($K265="","",$K265),IFERROR(IF([1]筐子进出接口!$D$264=0,"",[1]筐子进出接口!$D$264),""))</f>
        <v/>
      </c>
      <c r="E265" s="25" t="str">
        <f>IF($S$4=0,IF($L265="","",$L265),IFERROR(IF([1]筐子进出接口!$E$264=0,"",[1]筐子进出接口!$E$264),""))</f>
        <v/>
      </c>
      <c r="F265" s="25" t="str">
        <f>IF($S$4=0,IF($M265="","",$M265),IFERROR(IF([1]筐子进出接口!$F$264=0,"",[1]筐子进出接口!$F$264),""))</f>
        <v/>
      </c>
      <c r="G265" s="25" t="str">
        <f>IF($S$4=0,IF($N265="","",$N265),IFERROR(IF([1]筐子进出接口!$G$264=0,"",[1]筐子进出接口!$G$264),""))</f>
        <v/>
      </c>
      <c r="H265" s="25" t="str">
        <f t="shared" si="12"/>
        <v/>
      </c>
      <c r="I265" s="27"/>
      <c r="J265" s="27"/>
      <c r="K265" s="104"/>
      <c r="L265" s="104"/>
      <c r="M265" s="104"/>
      <c r="N265" s="104"/>
      <c r="O265" s="105">
        <f t="shared" si="13"/>
        <v>0</v>
      </c>
      <c r="P265" s="105">
        <f t="shared" si="14"/>
        <v>22</v>
      </c>
    </row>
    <row r="266" spans="1:16">
      <c r="A266" s="103">
        <v>265</v>
      </c>
      <c r="B266" s="37" t="str">
        <f>IF($S$4=0,IF($I266="","",$I266),IFERROR(IF([1]筐子进出接口!$B$265=0,"",[1]筐子进出接口!$B$265),""))</f>
        <v/>
      </c>
      <c r="C266" s="37" t="str">
        <f>IF($S$4=0,IF($J266="","",$J266),IFERROR(IF([1]筐子进出接口!$C$265=0,"",[1]筐子进出接口!$C$265),""))</f>
        <v/>
      </c>
      <c r="D266" s="25" t="str">
        <f>IF($S$4=0,IF($K266="","",$K266),IFERROR(IF([1]筐子进出接口!$D$265=0,"",[1]筐子进出接口!$D$265),""))</f>
        <v/>
      </c>
      <c r="E266" s="25" t="str">
        <f>IF($S$4=0,IF($L266="","",$L266),IFERROR(IF([1]筐子进出接口!$E$265=0,"",[1]筐子进出接口!$E$265),""))</f>
        <v/>
      </c>
      <c r="F266" s="25" t="str">
        <f>IF($S$4=0,IF($M266="","",$M266),IFERROR(IF([1]筐子进出接口!$F$265=0,"",[1]筐子进出接口!$F$265),""))</f>
        <v/>
      </c>
      <c r="G266" s="25" t="str">
        <f>IF($S$4=0,IF($N266="","",$N266),IFERROR(IF([1]筐子进出接口!$G$265=0,"",[1]筐子进出接口!$G$265),""))</f>
        <v/>
      </c>
      <c r="H266" s="25" t="str">
        <f t="shared" si="12"/>
        <v/>
      </c>
      <c r="I266" s="27"/>
      <c r="J266" s="27"/>
      <c r="K266" s="104"/>
      <c r="L266" s="104"/>
      <c r="M266" s="104"/>
      <c r="N266" s="104"/>
      <c r="O266" s="105">
        <f t="shared" si="13"/>
        <v>0</v>
      </c>
      <c r="P266" s="105">
        <f t="shared" si="14"/>
        <v>22</v>
      </c>
    </row>
    <row r="267" spans="1:16">
      <c r="A267" s="103">
        <v>266</v>
      </c>
      <c r="B267" s="37" t="str">
        <f>IF($S$4=0,IF($I267="","",$I267),IFERROR(IF([1]筐子进出接口!$B$266=0,"",[1]筐子进出接口!$B$266),""))</f>
        <v/>
      </c>
      <c r="C267" s="37" t="str">
        <f>IF($S$4=0,IF($J267="","",$J267),IFERROR(IF([1]筐子进出接口!$C$266=0,"",[1]筐子进出接口!$C$266),""))</f>
        <v/>
      </c>
      <c r="D267" s="25" t="str">
        <f>IF($S$4=0,IF($K267="","",$K267),IFERROR(IF([1]筐子进出接口!$D$266=0,"",[1]筐子进出接口!$D$266),""))</f>
        <v/>
      </c>
      <c r="E267" s="25" t="str">
        <f>IF($S$4=0,IF($L267="","",$L267),IFERROR(IF([1]筐子进出接口!$E$266=0,"",[1]筐子进出接口!$E$266),""))</f>
        <v/>
      </c>
      <c r="F267" s="25" t="str">
        <f>IF($S$4=0,IF($M267="","",$M267),IFERROR(IF([1]筐子进出接口!$F$266=0,"",[1]筐子进出接口!$F$266),""))</f>
        <v/>
      </c>
      <c r="G267" s="25" t="str">
        <f>IF($S$4=0,IF($N267="","",$N267),IFERROR(IF([1]筐子进出接口!$G$266=0,"",[1]筐子进出接口!$G$266),""))</f>
        <v/>
      </c>
      <c r="H267" s="25" t="str">
        <f t="shared" si="12"/>
        <v/>
      </c>
      <c r="I267" s="27"/>
      <c r="J267" s="27"/>
      <c r="K267" s="104"/>
      <c r="L267" s="104"/>
      <c r="M267" s="104"/>
      <c r="N267" s="104"/>
      <c r="O267" s="105">
        <f t="shared" si="13"/>
        <v>0</v>
      </c>
      <c r="P267" s="105">
        <f t="shared" si="14"/>
        <v>22</v>
      </c>
    </row>
    <row r="268" spans="1:16">
      <c r="A268" s="103">
        <v>267</v>
      </c>
      <c r="B268" s="37" t="str">
        <f>IF($S$4=0,IF($I268="","",$I268),IFERROR(IF([1]筐子进出接口!$B$267=0,"",[1]筐子进出接口!$B$267),""))</f>
        <v/>
      </c>
      <c r="C268" s="37" t="str">
        <f>IF($S$4=0,IF($J268="","",$J268),IFERROR(IF([1]筐子进出接口!$C$267=0,"",[1]筐子进出接口!$C$267),""))</f>
        <v/>
      </c>
      <c r="D268" s="25" t="str">
        <f>IF($S$4=0,IF($K268="","",$K268),IFERROR(IF([1]筐子进出接口!$D$267=0,"",[1]筐子进出接口!$D$267),""))</f>
        <v/>
      </c>
      <c r="E268" s="25" t="str">
        <f>IF($S$4=0,IF($L268="","",$L268),IFERROR(IF([1]筐子进出接口!$E$267=0,"",[1]筐子进出接口!$E$267),""))</f>
        <v/>
      </c>
      <c r="F268" s="25" t="str">
        <f>IF($S$4=0,IF($M268="","",$M268),IFERROR(IF([1]筐子进出接口!$F$267=0,"",[1]筐子进出接口!$F$267),""))</f>
        <v/>
      </c>
      <c r="G268" s="25" t="str">
        <f>IF($S$4=0,IF($N268="","",$N268),IFERROR(IF([1]筐子进出接口!$G$267=0,"",[1]筐子进出接口!$G$267),""))</f>
        <v/>
      </c>
      <c r="H268" s="25" t="str">
        <f t="shared" si="12"/>
        <v/>
      </c>
      <c r="I268" s="27"/>
      <c r="J268" s="27"/>
      <c r="K268" s="104"/>
      <c r="L268" s="104"/>
      <c r="M268" s="104"/>
      <c r="N268" s="104"/>
      <c r="O268" s="105">
        <f t="shared" si="13"/>
        <v>0</v>
      </c>
      <c r="P268" s="105">
        <f t="shared" si="14"/>
        <v>22</v>
      </c>
    </row>
    <row r="269" spans="1:16">
      <c r="A269" s="103">
        <v>268</v>
      </c>
      <c r="B269" s="37" t="str">
        <f>IF($S$4=0,IF($I269="","",$I269),IFERROR(IF([1]筐子进出接口!$B$268=0,"",[1]筐子进出接口!$B$268),""))</f>
        <v/>
      </c>
      <c r="C269" s="37" t="str">
        <f>IF($S$4=0,IF($J269="","",$J269),IFERROR(IF([1]筐子进出接口!$C$268=0,"",[1]筐子进出接口!$C$268),""))</f>
        <v/>
      </c>
      <c r="D269" s="25" t="str">
        <f>IF($S$4=0,IF($K269="","",$K269),IFERROR(IF([1]筐子进出接口!$D$268=0,"",[1]筐子进出接口!$D$268),""))</f>
        <v/>
      </c>
      <c r="E269" s="25" t="str">
        <f>IF($S$4=0,IF($L269="","",$L269),IFERROR(IF([1]筐子进出接口!$E$268=0,"",[1]筐子进出接口!$E$268),""))</f>
        <v/>
      </c>
      <c r="F269" s="25" t="str">
        <f>IF($S$4=0,IF($M269="","",$M269),IFERROR(IF([1]筐子进出接口!$F$268=0,"",[1]筐子进出接口!$F$268),""))</f>
        <v/>
      </c>
      <c r="G269" s="25" t="str">
        <f>IF($S$4=0,IF($N269="","",$N269),IFERROR(IF([1]筐子进出接口!$G$268=0,"",[1]筐子进出接口!$G$268),""))</f>
        <v/>
      </c>
      <c r="H269" s="25" t="str">
        <f t="shared" si="12"/>
        <v/>
      </c>
      <c r="I269" s="27"/>
      <c r="J269" s="27"/>
      <c r="K269" s="104"/>
      <c r="L269" s="104"/>
      <c r="M269" s="104"/>
      <c r="N269" s="104"/>
      <c r="O269" s="105">
        <f t="shared" si="13"/>
        <v>0</v>
      </c>
      <c r="P269" s="105">
        <f t="shared" si="14"/>
        <v>22</v>
      </c>
    </row>
    <row r="270" spans="1:16">
      <c r="A270" s="103">
        <v>269</v>
      </c>
      <c r="B270" s="37" t="str">
        <f>IF($S$4=0,IF($I270="","",$I270),IFERROR(IF([1]筐子进出接口!$B$269=0,"",[1]筐子进出接口!$B$269),""))</f>
        <v/>
      </c>
      <c r="C270" s="37" t="str">
        <f>IF($S$4=0,IF($J270="","",$J270),IFERROR(IF([1]筐子进出接口!$C$269=0,"",[1]筐子进出接口!$C$269),""))</f>
        <v/>
      </c>
      <c r="D270" s="25" t="str">
        <f>IF($S$4=0,IF($K270="","",$K270),IFERROR(IF([1]筐子进出接口!$D$269=0,"",[1]筐子进出接口!$D$269),""))</f>
        <v/>
      </c>
      <c r="E270" s="25" t="str">
        <f>IF($S$4=0,IF($L270="","",$L270),IFERROR(IF([1]筐子进出接口!$E$269=0,"",[1]筐子进出接口!$E$269),""))</f>
        <v/>
      </c>
      <c r="F270" s="25" t="str">
        <f>IF($S$4=0,IF($M270="","",$M270),IFERROR(IF([1]筐子进出接口!$F$269=0,"",[1]筐子进出接口!$F$269),""))</f>
        <v/>
      </c>
      <c r="G270" s="25" t="str">
        <f>IF($S$4=0,IF($N270="","",$N270),IFERROR(IF([1]筐子进出接口!$G$269=0,"",[1]筐子进出接口!$G$269),""))</f>
        <v/>
      </c>
      <c r="H270" s="25" t="str">
        <f t="shared" si="12"/>
        <v/>
      </c>
      <c r="I270" s="27"/>
      <c r="J270" s="27"/>
      <c r="K270" s="104"/>
      <c r="L270" s="104"/>
      <c r="M270" s="104"/>
      <c r="N270" s="104"/>
      <c r="O270" s="105">
        <f t="shared" si="13"/>
        <v>0</v>
      </c>
      <c r="P270" s="105">
        <f t="shared" si="14"/>
        <v>22</v>
      </c>
    </row>
    <row r="271" spans="1:16">
      <c r="A271" s="103">
        <v>270</v>
      </c>
      <c r="B271" s="37" t="str">
        <f>IF($S$4=0,IF($I271="","",$I271),IFERROR(IF([1]筐子进出接口!$B$270=0,"",[1]筐子进出接口!$B$270),""))</f>
        <v/>
      </c>
      <c r="C271" s="37" t="str">
        <f>IF($S$4=0,IF($J271="","",$J271),IFERROR(IF([1]筐子进出接口!$C$270=0,"",[1]筐子进出接口!$C$270),""))</f>
        <v/>
      </c>
      <c r="D271" s="25" t="str">
        <f>IF($S$4=0,IF($K271="","",$K271),IFERROR(IF([1]筐子进出接口!$D$270=0,"",[1]筐子进出接口!$D$270),""))</f>
        <v/>
      </c>
      <c r="E271" s="25" t="str">
        <f>IF($S$4=0,IF($L271="","",$L271),IFERROR(IF([1]筐子进出接口!$E$270=0,"",[1]筐子进出接口!$E$270),""))</f>
        <v/>
      </c>
      <c r="F271" s="25" t="str">
        <f>IF($S$4=0,IF($M271="","",$M271),IFERROR(IF([1]筐子进出接口!$F$270=0,"",[1]筐子进出接口!$F$270),""))</f>
        <v/>
      </c>
      <c r="G271" s="25" t="str">
        <f>IF($S$4=0,IF($N271="","",$N271),IFERROR(IF([1]筐子进出接口!$G$270=0,"",[1]筐子进出接口!$G$270),""))</f>
        <v/>
      </c>
      <c r="H271" s="25" t="str">
        <f t="shared" si="12"/>
        <v/>
      </c>
      <c r="I271" s="27"/>
      <c r="J271" s="27"/>
      <c r="K271" s="104"/>
      <c r="L271" s="104"/>
      <c r="M271" s="104"/>
      <c r="N271" s="104"/>
      <c r="O271" s="105">
        <f t="shared" si="13"/>
        <v>0</v>
      </c>
      <c r="P271" s="105">
        <f t="shared" si="14"/>
        <v>22</v>
      </c>
    </row>
    <row r="272" spans="1:16">
      <c r="A272" s="103">
        <v>271</v>
      </c>
      <c r="B272" s="37" t="str">
        <f>IF($S$4=0,IF($I272="","",$I272),IFERROR(IF([1]筐子进出接口!$B$271=0,"",[1]筐子进出接口!$B$271),""))</f>
        <v/>
      </c>
      <c r="C272" s="37" t="str">
        <f>IF($S$4=0,IF($J272="","",$J272),IFERROR(IF([1]筐子进出接口!$C$271=0,"",[1]筐子进出接口!$C$271),""))</f>
        <v/>
      </c>
      <c r="D272" s="25" t="str">
        <f>IF($S$4=0,IF($K272="","",$K272),IFERROR(IF([1]筐子进出接口!$D$271=0,"",[1]筐子进出接口!$D$271),""))</f>
        <v/>
      </c>
      <c r="E272" s="25" t="str">
        <f>IF($S$4=0,IF($L272="","",$L272),IFERROR(IF([1]筐子进出接口!$E$271=0,"",[1]筐子进出接口!$E$271),""))</f>
        <v/>
      </c>
      <c r="F272" s="25" t="str">
        <f>IF($S$4=0,IF($M272="","",$M272),IFERROR(IF([1]筐子进出接口!$F$271=0,"",[1]筐子进出接口!$F$271),""))</f>
        <v/>
      </c>
      <c r="G272" s="25" t="str">
        <f>IF($S$4=0,IF($N272="","",$N272),IFERROR(IF([1]筐子进出接口!$G$271=0,"",[1]筐子进出接口!$G$271),""))</f>
        <v/>
      </c>
      <c r="H272" s="25" t="str">
        <f t="shared" si="12"/>
        <v/>
      </c>
      <c r="I272" s="27"/>
      <c r="J272" s="27"/>
      <c r="K272" s="104"/>
      <c r="L272" s="104"/>
      <c r="M272" s="104"/>
      <c r="N272" s="104"/>
      <c r="O272" s="105">
        <f t="shared" si="13"/>
        <v>0</v>
      </c>
      <c r="P272" s="105">
        <f t="shared" si="14"/>
        <v>22</v>
      </c>
    </row>
    <row r="273" spans="1:16">
      <c r="A273" s="103">
        <v>272</v>
      </c>
      <c r="B273" s="37" t="str">
        <f>IF($S$4=0,IF($I273="","",$I273),IFERROR(IF([1]筐子进出接口!$B$272=0,"",[1]筐子进出接口!$B$272),""))</f>
        <v/>
      </c>
      <c r="C273" s="37" t="str">
        <f>IF($S$4=0,IF($J273="","",$J273),IFERROR(IF([1]筐子进出接口!$C$272=0,"",[1]筐子进出接口!$C$272),""))</f>
        <v/>
      </c>
      <c r="D273" s="25" t="str">
        <f>IF($S$4=0,IF($K273="","",$K273),IFERROR(IF([1]筐子进出接口!$D$272=0,"",[1]筐子进出接口!$D$272),""))</f>
        <v/>
      </c>
      <c r="E273" s="25" t="str">
        <f>IF($S$4=0,IF($L273="","",$L273),IFERROR(IF([1]筐子进出接口!$E$272=0,"",[1]筐子进出接口!$E$272),""))</f>
        <v/>
      </c>
      <c r="F273" s="25" t="str">
        <f>IF($S$4=0,IF($M273="","",$M273),IFERROR(IF([1]筐子进出接口!$F$272=0,"",[1]筐子进出接口!$F$272),""))</f>
        <v/>
      </c>
      <c r="G273" s="25" t="str">
        <f>IF($S$4=0,IF($N273="","",$N273),IFERROR(IF([1]筐子进出接口!$G$272=0,"",[1]筐子进出接口!$G$272),""))</f>
        <v/>
      </c>
      <c r="H273" s="25" t="str">
        <f t="shared" si="12"/>
        <v/>
      </c>
      <c r="I273" s="27"/>
      <c r="J273" s="27"/>
      <c r="K273" s="104"/>
      <c r="L273" s="104"/>
      <c r="M273" s="104"/>
      <c r="N273" s="104"/>
      <c r="O273" s="105">
        <f t="shared" si="13"/>
        <v>0</v>
      </c>
      <c r="P273" s="105">
        <f t="shared" si="14"/>
        <v>22</v>
      </c>
    </row>
    <row r="274" spans="1:16">
      <c r="A274" s="103">
        <v>273</v>
      </c>
      <c r="B274" s="37" t="str">
        <f>IF($S$4=0,IF($I274="","",$I274),IFERROR(IF([1]筐子进出接口!$B$273=0,"",[1]筐子进出接口!$B$273),""))</f>
        <v/>
      </c>
      <c r="C274" s="37" t="str">
        <f>IF($S$4=0,IF($J274="","",$J274),IFERROR(IF([1]筐子进出接口!$C$273=0,"",[1]筐子进出接口!$C$273),""))</f>
        <v/>
      </c>
      <c r="D274" s="25" t="str">
        <f>IF($S$4=0,IF($K274="","",$K274),IFERROR(IF([1]筐子进出接口!$D$273=0,"",[1]筐子进出接口!$D$273),""))</f>
        <v/>
      </c>
      <c r="E274" s="25" t="str">
        <f>IF($S$4=0,IF($L274="","",$L274),IFERROR(IF([1]筐子进出接口!$E$273=0,"",[1]筐子进出接口!$E$273),""))</f>
        <v/>
      </c>
      <c r="F274" s="25" t="str">
        <f>IF($S$4=0,IF($M274="","",$M274),IFERROR(IF([1]筐子进出接口!$F$273=0,"",[1]筐子进出接口!$F$273),""))</f>
        <v/>
      </c>
      <c r="G274" s="25" t="str">
        <f>IF($S$4=0,IF($N274="","",$N274),IFERROR(IF([1]筐子进出接口!$G$273=0,"",[1]筐子进出接口!$G$273),""))</f>
        <v/>
      </c>
      <c r="H274" s="25" t="str">
        <f t="shared" si="12"/>
        <v/>
      </c>
      <c r="I274" s="27"/>
      <c r="J274" s="27"/>
      <c r="K274" s="104"/>
      <c r="L274" s="104"/>
      <c r="M274" s="104"/>
      <c r="N274" s="104"/>
      <c r="O274" s="105">
        <f t="shared" si="13"/>
        <v>0</v>
      </c>
      <c r="P274" s="105">
        <f t="shared" si="14"/>
        <v>22</v>
      </c>
    </row>
    <row r="275" spans="1:16">
      <c r="A275" s="103">
        <v>274</v>
      </c>
      <c r="B275" s="37" t="str">
        <f>IF($S$4=0,IF($I275="","",$I275),IFERROR(IF([1]筐子进出接口!$B$274=0,"",[1]筐子进出接口!$B$274),""))</f>
        <v/>
      </c>
      <c r="C275" s="37" t="str">
        <f>IF($S$4=0,IF($J275="","",$J275),IFERROR(IF([1]筐子进出接口!$C$274=0,"",[1]筐子进出接口!$C$274),""))</f>
        <v/>
      </c>
      <c r="D275" s="25" t="str">
        <f>IF($S$4=0,IF($K275="","",$K275),IFERROR(IF([1]筐子进出接口!$D$274=0,"",[1]筐子进出接口!$D$274),""))</f>
        <v/>
      </c>
      <c r="E275" s="25" t="str">
        <f>IF($S$4=0,IF($L275="","",$L275),IFERROR(IF([1]筐子进出接口!$E$274=0,"",[1]筐子进出接口!$E$274),""))</f>
        <v/>
      </c>
      <c r="F275" s="25" t="str">
        <f>IF($S$4=0,IF($M275="","",$M275),IFERROR(IF([1]筐子进出接口!$F$274=0,"",[1]筐子进出接口!$F$274),""))</f>
        <v/>
      </c>
      <c r="G275" s="25" t="str">
        <f>IF($S$4=0,IF($N275="","",$N275),IFERROR(IF([1]筐子进出接口!$G$274=0,"",[1]筐子进出接口!$G$274),""))</f>
        <v/>
      </c>
      <c r="H275" s="25" t="str">
        <f t="shared" si="12"/>
        <v/>
      </c>
      <c r="I275" s="27"/>
      <c r="J275" s="27"/>
      <c r="K275" s="104"/>
      <c r="L275" s="104"/>
      <c r="M275" s="104"/>
      <c r="N275" s="104"/>
      <c r="O275" s="105">
        <f t="shared" si="13"/>
        <v>0</v>
      </c>
      <c r="P275" s="105">
        <f t="shared" si="14"/>
        <v>22</v>
      </c>
    </row>
    <row r="276" spans="1:16">
      <c r="A276" s="103">
        <v>275</v>
      </c>
      <c r="B276" s="37" t="str">
        <f>IF($S$4=0,IF($I276="","",$I276),IFERROR(IF([1]筐子进出接口!$B$275=0,"",[1]筐子进出接口!$B$275),""))</f>
        <v/>
      </c>
      <c r="C276" s="37" t="str">
        <f>IF($S$4=0,IF($J276="","",$J276),IFERROR(IF([1]筐子进出接口!$C$275=0,"",[1]筐子进出接口!$C$275),""))</f>
        <v/>
      </c>
      <c r="D276" s="25" t="str">
        <f>IF($S$4=0,IF($K276="","",$K276),IFERROR(IF([1]筐子进出接口!$D$275=0,"",[1]筐子进出接口!$D$275),""))</f>
        <v/>
      </c>
      <c r="E276" s="25" t="str">
        <f>IF($S$4=0,IF($L276="","",$L276),IFERROR(IF([1]筐子进出接口!$E$275=0,"",[1]筐子进出接口!$E$275),""))</f>
        <v/>
      </c>
      <c r="F276" s="25" t="str">
        <f>IF($S$4=0,IF($M276="","",$M276),IFERROR(IF([1]筐子进出接口!$F$275=0,"",[1]筐子进出接口!$F$275),""))</f>
        <v/>
      </c>
      <c r="G276" s="25" t="str">
        <f>IF($S$4=0,IF($N276="","",$N276),IFERROR(IF([1]筐子进出接口!$G$275=0,"",[1]筐子进出接口!$G$275),""))</f>
        <v/>
      </c>
      <c r="H276" s="25" t="str">
        <f t="shared" si="12"/>
        <v/>
      </c>
      <c r="I276" s="27"/>
      <c r="J276" s="27"/>
      <c r="K276" s="104"/>
      <c r="L276" s="104"/>
      <c r="M276" s="104"/>
      <c r="N276" s="104"/>
      <c r="O276" s="105">
        <f t="shared" si="13"/>
        <v>0</v>
      </c>
      <c r="P276" s="105">
        <f t="shared" si="14"/>
        <v>22</v>
      </c>
    </row>
    <row r="277" spans="1:16">
      <c r="A277" s="103">
        <v>276</v>
      </c>
      <c r="B277" s="37" t="str">
        <f>IF($S$4=0,IF($I277="","",$I277),IFERROR(IF([1]筐子进出接口!$B$276=0,"",[1]筐子进出接口!$B$276),""))</f>
        <v/>
      </c>
      <c r="C277" s="37" t="str">
        <f>IF($S$4=0,IF($J277="","",$J277),IFERROR(IF([1]筐子进出接口!$C$276=0,"",[1]筐子进出接口!$C$276),""))</f>
        <v/>
      </c>
      <c r="D277" s="25" t="str">
        <f>IF($S$4=0,IF($K277="","",$K277),IFERROR(IF([1]筐子进出接口!$D$276=0,"",[1]筐子进出接口!$D$276),""))</f>
        <v/>
      </c>
      <c r="E277" s="25" t="str">
        <f>IF($S$4=0,IF($L277="","",$L277),IFERROR(IF([1]筐子进出接口!$E$276=0,"",[1]筐子进出接口!$E$276),""))</f>
        <v/>
      </c>
      <c r="F277" s="25" t="str">
        <f>IF($S$4=0,IF($M277="","",$M277),IFERROR(IF([1]筐子进出接口!$F$276=0,"",[1]筐子进出接口!$F$276),""))</f>
        <v/>
      </c>
      <c r="G277" s="25" t="str">
        <f>IF($S$4=0,IF($N277="","",$N277),IFERROR(IF([1]筐子进出接口!$G$276=0,"",[1]筐子进出接口!$G$276),""))</f>
        <v/>
      </c>
      <c r="H277" s="25" t="str">
        <f t="shared" si="12"/>
        <v/>
      </c>
      <c r="I277" s="27"/>
      <c r="J277" s="27"/>
      <c r="K277" s="104"/>
      <c r="L277" s="104"/>
      <c r="M277" s="104"/>
      <c r="N277" s="104"/>
      <c r="O277" s="105">
        <f t="shared" si="13"/>
        <v>0</v>
      </c>
      <c r="P277" s="105">
        <f t="shared" si="14"/>
        <v>22</v>
      </c>
    </row>
    <row r="278" spans="1:16">
      <c r="A278" s="103">
        <v>277</v>
      </c>
      <c r="B278" s="37" t="str">
        <f>IF($S$4=0,IF($I278="","",$I278),IFERROR(IF([1]筐子进出接口!$B$277=0,"",[1]筐子进出接口!$B$277),""))</f>
        <v/>
      </c>
      <c r="C278" s="37" t="str">
        <f>IF($S$4=0,IF($J278="","",$J278),IFERROR(IF([1]筐子进出接口!$C$277=0,"",[1]筐子进出接口!$C$277),""))</f>
        <v/>
      </c>
      <c r="D278" s="25" t="str">
        <f>IF($S$4=0,IF($K278="","",$K278),IFERROR(IF([1]筐子进出接口!$D$277=0,"",[1]筐子进出接口!$D$277),""))</f>
        <v/>
      </c>
      <c r="E278" s="25" t="str">
        <f>IF($S$4=0,IF($L278="","",$L278),IFERROR(IF([1]筐子进出接口!$E$277=0,"",[1]筐子进出接口!$E$277),""))</f>
        <v/>
      </c>
      <c r="F278" s="25" t="str">
        <f>IF($S$4=0,IF($M278="","",$M278),IFERROR(IF([1]筐子进出接口!$F$277=0,"",[1]筐子进出接口!$F$277),""))</f>
        <v/>
      </c>
      <c r="G278" s="25" t="str">
        <f>IF($S$4=0,IF($N278="","",$N278),IFERROR(IF([1]筐子进出接口!$G$277=0,"",[1]筐子进出接口!$G$277),""))</f>
        <v/>
      </c>
      <c r="H278" s="25" t="str">
        <f t="shared" si="12"/>
        <v/>
      </c>
      <c r="I278" s="27"/>
      <c r="J278" s="27"/>
      <c r="K278" s="104"/>
      <c r="L278" s="104"/>
      <c r="M278" s="104"/>
      <c r="N278" s="104"/>
      <c r="O278" s="105">
        <f t="shared" si="13"/>
        <v>0</v>
      </c>
      <c r="P278" s="105">
        <f t="shared" si="14"/>
        <v>22</v>
      </c>
    </row>
    <row r="279" spans="1:16">
      <c r="A279" s="103">
        <v>278</v>
      </c>
      <c r="B279" s="37" t="str">
        <f>IF($S$4=0,IF($I279="","",$I279),IFERROR(IF([1]筐子进出接口!$B$278=0,"",[1]筐子进出接口!$B$278),""))</f>
        <v/>
      </c>
      <c r="C279" s="37" t="str">
        <f>IF($S$4=0,IF($J279="","",$J279),IFERROR(IF([1]筐子进出接口!$C$278=0,"",[1]筐子进出接口!$C$278),""))</f>
        <v/>
      </c>
      <c r="D279" s="25" t="str">
        <f>IF($S$4=0,IF($K279="","",$K279),IFERROR(IF([1]筐子进出接口!$D$278=0,"",[1]筐子进出接口!$D$278),""))</f>
        <v/>
      </c>
      <c r="E279" s="25" t="str">
        <f>IF($S$4=0,IF($L279="","",$L279),IFERROR(IF([1]筐子进出接口!$E$278=0,"",[1]筐子进出接口!$E$278),""))</f>
        <v/>
      </c>
      <c r="F279" s="25" t="str">
        <f>IF($S$4=0,IF($M279="","",$M279),IFERROR(IF([1]筐子进出接口!$F$278=0,"",[1]筐子进出接口!$F$278),""))</f>
        <v/>
      </c>
      <c r="G279" s="25" t="str">
        <f>IF($S$4=0,IF($N279="","",$N279),IFERROR(IF([1]筐子进出接口!$G$278=0,"",[1]筐子进出接口!$G$278),""))</f>
        <v/>
      </c>
      <c r="H279" s="25" t="str">
        <f t="shared" si="12"/>
        <v/>
      </c>
      <c r="I279" s="27"/>
      <c r="J279" s="27"/>
      <c r="K279" s="104"/>
      <c r="L279" s="104"/>
      <c r="M279" s="104"/>
      <c r="N279" s="104"/>
      <c r="O279" s="105">
        <f t="shared" si="13"/>
        <v>0</v>
      </c>
      <c r="P279" s="105">
        <f t="shared" si="14"/>
        <v>22</v>
      </c>
    </row>
    <row r="280" spans="1:16">
      <c r="A280" s="103">
        <v>279</v>
      </c>
      <c r="B280" s="37" t="str">
        <f>IF($S$4=0,IF($I280="","",$I280),IFERROR(IF([1]筐子进出接口!$B$279=0,"",[1]筐子进出接口!$B$279),""))</f>
        <v/>
      </c>
      <c r="C280" s="37" t="str">
        <f>IF($S$4=0,IF($J280="","",$J280),IFERROR(IF([1]筐子进出接口!$C$279=0,"",[1]筐子进出接口!$C$279),""))</f>
        <v/>
      </c>
      <c r="D280" s="25" t="str">
        <f>IF($S$4=0,IF($K280="","",$K280),IFERROR(IF([1]筐子进出接口!$D$279=0,"",[1]筐子进出接口!$D$279),""))</f>
        <v/>
      </c>
      <c r="E280" s="25" t="str">
        <f>IF($S$4=0,IF($L280="","",$L280),IFERROR(IF([1]筐子进出接口!$E$279=0,"",[1]筐子进出接口!$E$279),""))</f>
        <v/>
      </c>
      <c r="F280" s="25" t="str">
        <f>IF($S$4=0,IF($M280="","",$M280),IFERROR(IF([1]筐子进出接口!$F$279=0,"",[1]筐子进出接口!$F$279),""))</f>
        <v/>
      </c>
      <c r="G280" s="25" t="str">
        <f>IF($S$4=0,IF($N280="","",$N280),IFERROR(IF([1]筐子进出接口!$G$279=0,"",[1]筐子进出接口!$G$279),""))</f>
        <v/>
      </c>
      <c r="H280" s="25" t="str">
        <f t="shared" si="12"/>
        <v/>
      </c>
      <c r="I280" s="27"/>
      <c r="J280" s="27"/>
      <c r="K280" s="104"/>
      <c r="L280" s="104"/>
      <c r="M280" s="104"/>
      <c r="N280" s="104"/>
      <c r="O280" s="105">
        <f t="shared" si="13"/>
        <v>0</v>
      </c>
      <c r="P280" s="105">
        <f t="shared" si="14"/>
        <v>22</v>
      </c>
    </row>
    <row r="281" spans="1:16">
      <c r="A281" s="103">
        <v>280</v>
      </c>
      <c r="B281" s="37" t="str">
        <f>IF($S$4=0,IF($I281="","",$I281),IFERROR(IF([1]筐子进出接口!$B$280=0,"",[1]筐子进出接口!$B$280),""))</f>
        <v/>
      </c>
      <c r="C281" s="37" t="str">
        <f>IF($S$4=0,IF($J281="","",$J281),IFERROR(IF([1]筐子进出接口!$C$280=0,"",[1]筐子进出接口!$C$280),""))</f>
        <v/>
      </c>
      <c r="D281" s="25" t="str">
        <f>IF($S$4=0,IF($K281="","",$K281),IFERROR(IF([1]筐子进出接口!$D$280=0,"",[1]筐子进出接口!$D$280),""))</f>
        <v/>
      </c>
      <c r="E281" s="25" t="str">
        <f>IF($S$4=0,IF($L281="","",$L281),IFERROR(IF([1]筐子进出接口!$E$280=0,"",[1]筐子进出接口!$E$280),""))</f>
        <v/>
      </c>
      <c r="F281" s="25" t="str">
        <f>IF($S$4=0,IF($M281="","",$M281),IFERROR(IF([1]筐子进出接口!$F$280=0,"",[1]筐子进出接口!$F$280),""))</f>
        <v/>
      </c>
      <c r="G281" s="25" t="str">
        <f>IF($S$4=0,IF($N281="","",$N281),IFERROR(IF([1]筐子进出接口!$G$280=0,"",[1]筐子进出接口!$G$280),""))</f>
        <v/>
      </c>
      <c r="H281" s="25" t="str">
        <f t="shared" si="12"/>
        <v/>
      </c>
      <c r="I281" s="27"/>
      <c r="J281" s="27"/>
      <c r="K281" s="104"/>
      <c r="L281" s="104"/>
      <c r="M281" s="104"/>
      <c r="N281" s="104"/>
      <c r="O281" s="105">
        <f t="shared" si="13"/>
        <v>0</v>
      </c>
      <c r="P281" s="105">
        <f t="shared" si="14"/>
        <v>22</v>
      </c>
    </row>
    <row r="282" spans="1:16">
      <c r="A282" s="103">
        <v>281</v>
      </c>
      <c r="B282" s="37" t="str">
        <f>IF($S$4=0,IF($I282="","",$I282),IFERROR(IF([1]筐子进出接口!$B$281=0,"",[1]筐子进出接口!$B$281),""))</f>
        <v/>
      </c>
      <c r="C282" s="37" t="str">
        <f>IF($S$4=0,IF($J282="","",$J282),IFERROR(IF([1]筐子进出接口!$C$281=0,"",[1]筐子进出接口!$C$281),""))</f>
        <v/>
      </c>
      <c r="D282" s="25" t="str">
        <f>IF($S$4=0,IF($K282="","",$K282),IFERROR(IF([1]筐子进出接口!$D$281=0,"",[1]筐子进出接口!$D$281),""))</f>
        <v/>
      </c>
      <c r="E282" s="25" t="str">
        <f>IF($S$4=0,IF($L282="","",$L282),IFERROR(IF([1]筐子进出接口!$E$281=0,"",[1]筐子进出接口!$E$281),""))</f>
        <v/>
      </c>
      <c r="F282" s="25" t="str">
        <f>IF($S$4=0,IF($M282="","",$M282),IFERROR(IF([1]筐子进出接口!$F$281=0,"",[1]筐子进出接口!$F$281),""))</f>
        <v/>
      </c>
      <c r="G282" s="25" t="str">
        <f>IF($S$4=0,IF($N282="","",$N282),IFERROR(IF([1]筐子进出接口!$G$281=0,"",[1]筐子进出接口!$G$281),""))</f>
        <v/>
      </c>
      <c r="H282" s="25" t="str">
        <f t="shared" si="12"/>
        <v/>
      </c>
      <c r="I282" s="27"/>
      <c r="J282" s="27"/>
      <c r="K282" s="104"/>
      <c r="L282" s="104"/>
      <c r="M282" s="104"/>
      <c r="N282" s="104"/>
      <c r="O282" s="105">
        <f t="shared" si="13"/>
        <v>0</v>
      </c>
      <c r="P282" s="105">
        <f t="shared" si="14"/>
        <v>22</v>
      </c>
    </row>
    <row r="283" spans="1:16">
      <c r="A283" s="103">
        <v>282</v>
      </c>
      <c r="B283" s="37" t="str">
        <f>IF($S$4=0,IF($I283="","",$I283),IFERROR(IF([1]筐子进出接口!$B$282=0,"",[1]筐子进出接口!$B$282),""))</f>
        <v/>
      </c>
      <c r="C283" s="37" t="str">
        <f>IF($S$4=0,IF($J283="","",$J283),IFERROR(IF([1]筐子进出接口!$C$282=0,"",[1]筐子进出接口!$C$282),""))</f>
        <v/>
      </c>
      <c r="D283" s="25" t="str">
        <f>IF($S$4=0,IF($K283="","",$K283),IFERROR(IF([1]筐子进出接口!$D$282=0,"",[1]筐子进出接口!$D$282),""))</f>
        <v/>
      </c>
      <c r="E283" s="25" t="str">
        <f>IF($S$4=0,IF($L283="","",$L283),IFERROR(IF([1]筐子进出接口!$E$282=0,"",[1]筐子进出接口!$E$282),""))</f>
        <v/>
      </c>
      <c r="F283" s="25" t="str">
        <f>IF($S$4=0,IF($M283="","",$M283),IFERROR(IF([1]筐子进出接口!$F$282=0,"",[1]筐子进出接口!$F$282),""))</f>
        <v/>
      </c>
      <c r="G283" s="25" t="str">
        <f>IF($S$4=0,IF($N283="","",$N283),IFERROR(IF([1]筐子进出接口!$G$282=0,"",[1]筐子进出接口!$G$282),""))</f>
        <v/>
      </c>
      <c r="H283" s="25" t="str">
        <f t="shared" si="12"/>
        <v/>
      </c>
      <c r="I283" s="27"/>
      <c r="J283" s="27"/>
      <c r="K283" s="104"/>
      <c r="L283" s="104"/>
      <c r="M283" s="104"/>
      <c r="N283" s="104"/>
      <c r="O283" s="105">
        <f t="shared" si="13"/>
        <v>0</v>
      </c>
      <c r="P283" s="105">
        <f t="shared" si="14"/>
        <v>22</v>
      </c>
    </row>
    <row r="284" spans="1:16">
      <c r="A284" s="103">
        <v>283</v>
      </c>
      <c r="B284" s="37" t="str">
        <f>IF($S$4=0,IF($I284="","",$I284),IFERROR(IF([1]筐子进出接口!$B$283=0,"",[1]筐子进出接口!$B$283),""))</f>
        <v/>
      </c>
      <c r="C284" s="37" t="str">
        <f>IF($S$4=0,IF($J284="","",$J284),IFERROR(IF([1]筐子进出接口!$C$283=0,"",[1]筐子进出接口!$C$283),""))</f>
        <v/>
      </c>
      <c r="D284" s="25" t="str">
        <f>IF($S$4=0,IF($K284="","",$K284),IFERROR(IF([1]筐子进出接口!$D$283=0,"",[1]筐子进出接口!$D$283),""))</f>
        <v/>
      </c>
      <c r="E284" s="25" t="str">
        <f>IF($S$4=0,IF($L284="","",$L284),IFERROR(IF([1]筐子进出接口!$E$283=0,"",[1]筐子进出接口!$E$283),""))</f>
        <v/>
      </c>
      <c r="F284" s="25" t="str">
        <f>IF($S$4=0,IF($M284="","",$M284),IFERROR(IF([1]筐子进出接口!$F$283=0,"",[1]筐子进出接口!$F$283),""))</f>
        <v/>
      </c>
      <c r="G284" s="25" t="str">
        <f>IF($S$4=0,IF($N284="","",$N284),IFERROR(IF([1]筐子进出接口!$G$283=0,"",[1]筐子进出接口!$G$283),""))</f>
        <v/>
      </c>
      <c r="H284" s="25" t="str">
        <f t="shared" si="12"/>
        <v/>
      </c>
      <c r="I284" s="27"/>
      <c r="J284" s="27"/>
      <c r="K284" s="104"/>
      <c r="L284" s="104"/>
      <c r="M284" s="104"/>
      <c r="N284" s="104"/>
      <c r="O284" s="105">
        <f t="shared" si="13"/>
        <v>0</v>
      </c>
      <c r="P284" s="105">
        <f t="shared" si="14"/>
        <v>22</v>
      </c>
    </row>
    <row r="285" spans="1:16">
      <c r="A285" s="103">
        <v>284</v>
      </c>
      <c r="B285" s="37" t="str">
        <f>IF($S$4=0,IF($I285="","",$I285),IFERROR(IF([1]筐子进出接口!$B$284=0,"",[1]筐子进出接口!$B$284),""))</f>
        <v/>
      </c>
      <c r="C285" s="37" t="str">
        <f>IF($S$4=0,IF($J285="","",$J285),IFERROR(IF([1]筐子进出接口!$C$284=0,"",[1]筐子进出接口!$C$284),""))</f>
        <v/>
      </c>
      <c r="D285" s="25" t="str">
        <f>IF($S$4=0,IF($K285="","",$K285),IFERROR(IF([1]筐子进出接口!$D$284=0,"",[1]筐子进出接口!$D$284),""))</f>
        <v/>
      </c>
      <c r="E285" s="25" t="str">
        <f>IF($S$4=0,IF($L285="","",$L285),IFERROR(IF([1]筐子进出接口!$E$284=0,"",[1]筐子进出接口!$E$284),""))</f>
        <v/>
      </c>
      <c r="F285" s="25" t="str">
        <f>IF($S$4=0,IF($M285="","",$M285),IFERROR(IF([1]筐子进出接口!$F$284=0,"",[1]筐子进出接口!$F$284),""))</f>
        <v/>
      </c>
      <c r="G285" s="25" t="str">
        <f>IF($S$4=0,IF($N285="","",$N285),IFERROR(IF([1]筐子进出接口!$G$284=0,"",[1]筐子进出接口!$G$284),""))</f>
        <v/>
      </c>
      <c r="H285" s="25" t="str">
        <f t="shared" si="12"/>
        <v/>
      </c>
      <c r="I285" s="27"/>
      <c r="J285" s="27"/>
      <c r="K285" s="104"/>
      <c r="L285" s="104"/>
      <c r="M285" s="104"/>
      <c r="N285" s="104"/>
      <c r="O285" s="105">
        <f t="shared" si="13"/>
        <v>0</v>
      </c>
      <c r="P285" s="105">
        <f t="shared" si="14"/>
        <v>22</v>
      </c>
    </row>
    <row r="286" spans="1:16">
      <c r="A286" s="103">
        <v>285</v>
      </c>
      <c r="B286" s="37" t="str">
        <f>IF($S$4=0,IF($I286="","",$I286),IFERROR(IF([1]筐子进出接口!$B$285=0,"",[1]筐子进出接口!$B$285),""))</f>
        <v/>
      </c>
      <c r="C286" s="37" t="str">
        <f>IF($S$4=0,IF($J286="","",$J286),IFERROR(IF([1]筐子进出接口!$C$285=0,"",[1]筐子进出接口!$C$285),""))</f>
        <v/>
      </c>
      <c r="D286" s="25" t="str">
        <f>IF($S$4=0,IF($K286="","",$K286),IFERROR(IF([1]筐子进出接口!$D$285=0,"",[1]筐子进出接口!$D$285),""))</f>
        <v/>
      </c>
      <c r="E286" s="25" t="str">
        <f>IF($S$4=0,IF($L286="","",$L286),IFERROR(IF([1]筐子进出接口!$E$285=0,"",[1]筐子进出接口!$E$285),""))</f>
        <v/>
      </c>
      <c r="F286" s="25" t="str">
        <f>IF($S$4=0,IF($M286="","",$M286),IFERROR(IF([1]筐子进出接口!$F$285=0,"",[1]筐子进出接口!$F$285),""))</f>
        <v/>
      </c>
      <c r="G286" s="25" t="str">
        <f>IF($S$4=0,IF($N286="","",$N286),IFERROR(IF([1]筐子进出接口!$G$285=0,"",[1]筐子进出接口!$G$285),""))</f>
        <v/>
      </c>
      <c r="H286" s="25" t="str">
        <f t="shared" si="12"/>
        <v/>
      </c>
      <c r="I286" s="27"/>
      <c r="J286" s="27"/>
      <c r="K286" s="104"/>
      <c r="L286" s="104"/>
      <c r="M286" s="104"/>
      <c r="N286" s="104"/>
      <c r="O286" s="105">
        <f t="shared" si="13"/>
        <v>0</v>
      </c>
      <c r="P286" s="105">
        <f t="shared" si="14"/>
        <v>22</v>
      </c>
    </row>
    <row r="287" spans="1:16">
      <c r="A287" s="103">
        <v>286</v>
      </c>
      <c r="B287" s="37" t="str">
        <f>IF($S$4=0,IF($I287="","",$I287),IFERROR(IF([1]筐子进出接口!$B$286=0,"",[1]筐子进出接口!$B$286),""))</f>
        <v/>
      </c>
      <c r="C287" s="37" t="str">
        <f>IF($S$4=0,IF($J287="","",$J287),IFERROR(IF([1]筐子进出接口!$C$286=0,"",[1]筐子进出接口!$C$286),""))</f>
        <v/>
      </c>
      <c r="D287" s="25" t="str">
        <f>IF($S$4=0,IF($K287="","",$K287),IFERROR(IF([1]筐子进出接口!$D$286=0,"",[1]筐子进出接口!$D$286),""))</f>
        <v/>
      </c>
      <c r="E287" s="25" t="str">
        <f>IF($S$4=0,IF($L287="","",$L287),IFERROR(IF([1]筐子进出接口!$E$286=0,"",[1]筐子进出接口!$E$286),""))</f>
        <v/>
      </c>
      <c r="F287" s="25" t="str">
        <f>IF($S$4=0,IF($M287="","",$M287),IFERROR(IF([1]筐子进出接口!$F$286=0,"",[1]筐子进出接口!$F$286),""))</f>
        <v/>
      </c>
      <c r="G287" s="25" t="str">
        <f>IF($S$4=0,IF($N287="","",$N287),IFERROR(IF([1]筐子进出接口!$G$286=0,"",[1]筐子进出接口!$G$286),""))</f>
        <v/>
      </c>
      <c r="H287" s="25" t="str">
        <f t="shared" si="12"/>
        <v/>
      </c>
      <c r="I287" s="27"/>
      <c r="J287" s="27"/>
      <c r="K287" s="104"/>
      <c r="L287" s="104"/>
      <c r="M287" s="104"/>
      <c r="N287" s="104"/>
      <c r="O287" s="105">
        <f t="shared" si="13"/>
        <v>0</v>
      </c>
      <c r="P287" s="105">
        <f t="shared" si="14"/>
        <v>22</v>
      </c>
    </row>
    <row r="288" spans="1:16">
      <c r="A288" s="103">
        <v>287</v>
      </c>
      <c r="B288" s="37" t="str">
        <f>IF($S$4=0,IF($I288="","",$I288),IFERROR(IF([1]筐子进出接口!$B$287=0,"",[1]筐子进出接口!$B$287),""))</f>
        <v/>
      </c>
      <c r="C288" s="37" t="str">
        <f>IF($S$4=0,IF($J288="","",$J288),IFERROR(IF([1]筐子进出接口!$C$287=0,"",[1]筐子进出接口!$C$287),""))</f>
        <v/>
      </c>
      <c r="D288" s="25" t="str">
        <f>IF($S$4=0,IF($K288="","",$K288),IFERROR(IF([1]筐子进出接口!$D$287=0,"",[1]筐子进出接口!$D$287),""))</f>
        <v/>
      </c>
      <c r="E288" s="25" t="str">
        <f>IF($S$4=0,IF($L288="","",$L288),IFERROR(IF([1]筐子进出接口!$E$287=0,"",[1]筐子进出接口!$E$287),""))</f>
        <v/>
      </c>
      <c r="F288" s="25" t="str">
        <f>IF($S$4=0,IF($M288="","",$M288),IFERROR(IF([1]筐子进出接口!$F$287=0,"",[1]筐子进出接口!$F$287),""))</f>
        <v/>
      </c>
      <c r="G288" s="25" t="str">
        <f>IF($S$4=0,IF($N288="","",$N288),IFERROR(IF([1]筐子进出接口!$G$287=0,"",[1]筐子进出接口!$G$287),""))</f>
        <v/>
      </c>
      <c r="H288" s="25" t="str">
        <f t="shared" si="12"/>
        <v/>
      </c>
      <c r="I288" s="27"/>
      <c r="J288" s="27"/>
      <c r="K288" s="104"/>
      <c r="L288" s="104"/>
      <c r="M288" s="104"/>
      <c r="N288" s="104"/>
      <c r="O288" s="105">
        <f t="shared" si="13"/>
        <v>0</v>
      </c>
      <c r="P288" s="105">
        <f t="shared" si="14"/>
        <v>22</v>
      </c>
    </row>
    <row r="289" spans="1:16">
      <c r="A289" s="103">
        <v>288</v>
      </c>
      <c r="B289" s="37" t="str">
        <f>IF($S$4=0,IF($I289="","",$I289),IFERROR(IF([1]筐子进出接口!$B$288=0,"",[1]筐子进出接口!$B$288),""))</f>
        <v/>
      </c>
      <c r="C289" s="37" t="str">
        <f>IF($S$4=0,IF($J289="","",$J289),IFERROR(IF([1]筐子进出接口!$C$288=0,"",[1]筐子进出接口!$C$288),""))</f>
        <v/>
      </c>
      <c r="D289" s="25" t="str">
        <f>IF($S$4=0,IF($K289="","",$K289),IFERROR(IF([1]筐子进出接口!$D$288=0,"",[1]筐子进出接口!$D$288),""))</f>
        <v/>
      </c>
      <c r="E289" s="25" t="str">
        <f>IF($S$4=0,IF($L289="","",$L289),IFERROR(IF([1]筐子进出接口!$E$288=0,"",[1]筐子进出接口!$E$288),""))</f>
        <v/>
      </c>
      <c r="F289" s="25" t="str">
        <f>IF($S$4=0,IF($M289="","",$M289),IFERROR(IF([1]筐子进出接口!$F$288=0,"",[1]筐子进出接口!$F$288),""))</f>
        <v/>
      </c>
      <c r="G289" s="25" t="str">
        <f>IF($S$4=0,IF($N289="","",$N289),IFERROR(IF([1]筐子进出接口!$G$288=0,"",[1]筐子进出接口!$G$288),""))</f>
        <v/>
      </c>
      <c r="H289" s="25" t="str">
        <f t="shared" si="12"/>
        <v/>
      </c>
      <c r="I289" s="27"/>
      <c r="J289" s="27"/>
      <c r="K289" s="104"/>
      <c r="L289" s="104"/>
      <c r="M289" s="104"/>
      <c r="N289" s="104"/>
      <c r="O289" s="105">
        <f t="shared" si="13"/>
        <v>0</v>
      </c>
      <c r="P289" s="105">
        <f t="shared" si="14"/>
        <v>22</v>
      </c>
    </row>
    <row r="290" spans="1:16">
      <c r="A290" s="103">
        <v>289</v>
      </c>
      <c r="B290" s="37" t="str">
        <f>IF($S$4=0,IF($I290="","",$I290),IFERROR(IF([1]筐子进出接口!$B$289=0,"",[1]筐子进出接口!$B$289),""))</f>
        <v/>
      </c>
      <c r="C290" s="37" t="str">
        <f>IF($S$4=0,IF($J290="","",$J290),IFERROR(IF([1]筐子进出接口!$C$289=0,"",[1]筐子进出接口!$C$289),""))</f>
        <v/>
      </c>
      <c r="D290" s="25" t="str">
        <f>IF($S$4=0,IF($K290="","",$K290),IFERROR(IF([1]筐子进出接口!$D$289=0,"",[1]筐子进出接口!$D$289),""))</f>
        <v/>
      </c>
      <c r="E290" s="25" t="str">
        <f>IF($S$4=0,IF($L290="","",$L290),IFERROR(IF([1]筐子进出接口!$E$289=0,"",[1]筐子进出接口!$E$289),""))</f>
        <v/>
      </c>
      <c r="F290" s="25" t="str">
        <f>IF($S$4=0,IF($M290="","",$M290),IFERROR(IF([1]筐子进出接口!$F$289=0,"",[1]筐子进出接口!$F$289),""))</f>
        <v/>
      </c>
      <c r="G290" s="25" t="str">
        <f>IF($S$4=0,IF($N290="","",$N290),IFERROR(IF([1]筐子进出接口!$G$289=0,"",[1]筐子进出接口!$G$289),""))</f>
        <v/>
      </c>
      <c r="H290" s="25" t="str">
        <f t="shared" si="12"/>
        <v/>
      </c>
      <c r="I290" s="27"/>
      <c r="J290" s="27"/>
      <c r="K290" s="104"/>
      <c r="L290" s="104"/>
      <c r="M290" s="104"/>
      <c r="N290" s="104"/>
      <c r="O290" s="105">
        <f t="shared" si="13"/>
        <v>0</v>
      </c>
      <c r="P290" s="105">
        <f t="shared" si="14"/>
        <v>22</v>
      </c>
    </row>
    <row r="291" spans="1:16">
      <c r="A291" s="103">
        <v>290</v>
      </c>
      <c r="B291" s="37" t="str">
        <f>IF($S$4=0,IF($I291="","",$I291),IFERROR(IF([1]筐子进出接口!$B$290=0,"",[1]筐子进出接口!$B$290),""))</f>
        <v/>
      </c>
      <c r="C291" s="37" t="str">
        <f>IF($S$4=0,IF($J291="","",$J291),IFERROR(IF([1]筐子进出接口!$C$290=0,"",[1]筐子进出接口!$C$290),""))</f>
        <v/>
      </c>
      <c r="D291" s="25" t="str">
        <f>IF($S$4=0,IF($K291="","",$K291),IFERROR(IF([1]筐子进出接口!$D$290=0,"",[1]筐子进出接口!$D$290),""))</f>
        <v/>
      </c>
      <c r="E291" s="25" t="str">
        <f>IF($S$4=0,IF($L291="","",$L291),IFERROR(IF([1]筐子进出接口!$E$290=0,"",[1]筐子进出接口!$E$290),""))</f>
        <v/>
      </c>
      <c r="F291" s="25" t="str">
        <f>IF($S$4=0,IF($M291="","",$M291),IFERROR(IF([1]筐子进出接口!$F$290=0,"",[1]筐子进出接口!$F$290),""))</f>
        <v/>
      </c>
      <c r="G291" s="25" t="str">
        <f>IF($S$4=0,IF($N291="","",$N291),IFERROR(IF([1]筐子进出接口!$G$290=0,"",[1]筐子进出接口!$G$290),""))</f>
        <v/>
      </c>
      <c r="H291" s="25" t="str">
        <f t="shared" si="12"/>
        <v/>
      </c>
      <c r="I291" s="27"/>
      <c r="J291" s="27"/>
      <c r="K291" s="104"/>
      <c r="L291" s="104"/>
      <c r="M291" s="104"/>
      <c r="N291" s="104"/>
      <c r="O291" s="105">
        <f t="shared" si="13"/>
        <v>0</v>
      </c>
      <c r="P291" s="105">
        <f t="shared" si="14"/>
        <v>22</v>
      </c>
    </row>
    <row r="292" spans="1:16">
      <c r="A292" s="103">
        <v>291</v>
      </c>
      <c r="B292" s="37" t="str">
        <f>IF($S$4=0,IF($I292="","",$I292),IFERROR(IF([1]筐子进出接口!$B$291=0,"",[1]筐子进出接口!$B$291),""))</f>
        <v/>
      </c>
      <c r="C292" s="37" t="str">
        <f>IF($S$4=0,IF($J292="","",$J292),IFERROR(IF([1]筐子进出接口!$C$291=0,"",[1]筐子进出接口!$C$291),""))</f>
        <v/>
      </c>
      <c r="D292" s="25" t="str">
        <f>IF($S$4=0,IF($K292="","",$K292),IFERROR(IF([1]筐子进出接口!$D$291=0,"",[1]筐子进出接口!$D$291),""))</f>
        <v/>
      </c>
      <c r="E292" s="25" t="str">
        <f>IF($S$4=0,IF($L292="","",$L292),IFERROR(IF([1]筐子进出接口!$E$291=0,"",[1]筐子进出接口!$E$291),""))</f>
        <v/>
      </c>
      <c r="F292" s="25" t="str">
        <f>IF($S$4=0,IF($M292="","",$M292),IFERROR(IF([1]筐子进出接口!$F$291=0,"",[1]筐子进出接口!$F$291),""))</f>
        <v/>
      </c>
      <c r="G292" s="25" t="str">
        <f>IF($S$4=0,IF($N292="","",$N292),IFERROR(IF([1]筐子进出接口!$G$291=0,"",[1]筐子进出接口!$G$291),""))</f>
        <v/>
      </c>
      <c r="H292" s="25" t="str">
        <f t="shared" si="12"/>
        <v/>
      </c>
      <c r="I292" s="27"/>
      <c r="J292" s="27"/>
      <c r="K292" s="104"/>
      <c r="L292" s="104"/>
      <c r="M292" s="104"/>
      <c r="N292" s="104"/>
      <c r="O292" s="105">
        <f t="shared" si="13"/>
        <v>0</v>
      </c>
      <c r="P292" s="105">
        <f t="shared" si="14"/>
        <v>22</v>
      </c>
    </row>
    <row r="293" spans="1:16">
      <c r="A293" s="103">
        <v>292</v>
      </c>
      <c r="B293" s="37" t="str">
        <f>IF($S$4=0,IF($I293="","",$I293),IFERROR(IF([1]筐子进出接口!$B$292=0,"",[1]筐子进出接口!$B$292),""))</f>
        <v/>
      </c>
      <c r="C293" s="37" t="str">
        <f>IF($S$4=0,IF($J293="","",$J293),IFERROR(IF([1]筐子进出接口!$C$292=0,"",[1]筐子进出接口!$C$292),""))</f>
        <v/>
      </c>
      <c r="D293" s="25" t="str">
        <f>IF($S$4=0,IF($K293="","",$K293),IFERROR(IF([1]筐子进出接口!$D$292=0,"",[1]筐子进出接口!$D$292),""))</f>
        <v/>
      </c>
      <c r="E293" s="25" t="str">
        <f>IF($S$4=0,IF($L293="","",$L293),IFERROR(IF([1]筐子进出接口!$E$292=0,"",[1]筐子进出接口!$E$292),""))</f>
        <v/>
      </c>
      <c r="F293" s="25" t="str">
        <f>IF($S$4=0,IF($M293="","",$M293),IFERROR(IF([1]筐子进出接口!$F$292=0,"",[1]筐子进出接口!$F$292),""))</f>
        <v/>
      </c>
      <c r="G293" s="25" t="str">
        <f>IF($S$4=0,IF($N293="","",$N293),IFERROR(IF([1]筐子进出接口!$G$292=0,"",[1]筐子进出接口!$G$292),""))</f>
        <v/>
      </c>
      <c r="H293" s="25" t="str">
        <f t="shared" si="12"/>
        <v/>
      </c>
      <c r="I293" s="27"/>
      <c r="J293" s="27"/>
      <c r="K293" s="104"/>
      <c r="L293" s="104"/>
      <c r="M293" s="104"/>
      <c r="N293" s="104"/>
      <c r="O293" s="105">
        <f t="shared" si="13"/>
        <v>0</v>
      </c>
      <c r="P293" s="105">
        <f t="shared" si="14"/>
        <v>22</v>
      </c>
    </row>
    <row r="294" spans="1:16">
      <c r="A294" s="103">
        <v>293</v>
      </c>
      <c r="B294" s="37" t="str">
        <f>IF($S$4=0,IF($I294="","",$I294),IFERROR(IF([1]筐子进出接口!$B$293=0,"",[1]筐子进出接口!$B$293),""))</f>
        <v/>
      </c>
      <c r="C294" s="37" t="str">
        <f>IF($S$4=0,IF($J294="","",$J294),IFERROR(IF([1]筐子进出接口!$C$293=0,"",[1]筐子进出接口!$C$293),""))</f>
        <v/>
      </c>
      <c r="D294" s="25" t="str">
        <f>IF($S$4=0,IF($K294="","",$K294),IFERROR(IF([1]筐子进出接口!$D$293=0,"",[1]筐子进出接口!$D$293),""))</f>
        <v/>
      </c>
      <c r="E294" s="25" t="str">
        <f>IF($S$4=0,IF($L294="","",$L294),IFERROR(IF([1]筐子进出接口!$E$293=0,"",[1]筐子进出接口!$E$293),""))</f>
        <v/>
      </c>
      <c r="F294" s="25" t="str">
        <f>IF($S$4=0,IF($M294="","",$M294),IFERROR(IF([1]筐子进出接口!$F$293=0,"",[1]筐子进出接口!$F$293),""))</f>
        <v/>
      </c>
      <c r="G294" s="25" t="str">
        <f>IF($S$4=0,IF($N294="","",$N294),IFERROR(IF([1]筐子进出接口!$G$293=0,"",[1]筐子进出接口!$G$293),""))</f>
        <v/>
      </c>
      <c r="H294" s="25" t="str">
        <f t="shared" si="12"/>
        <v/>
      </c>
      <c r="I294" s="27"/>
      <c r="J294" s="27"/>
      <c r="K294" s="104"/>
      <c r="L294" s="104"/>
      <c r="M294" s="104"/>
      <c r="N294" s="104"/>
      <c r="O294" s="105">
        <f t="shared" si="13"/>
        <v>0</v>
      </c>
      <c r="P294" s="105">
        <f t="shared" si="14"/>
        <v>22</v>
      </c>
    </row>
    <row r="295" spans="1:16">
      <c r="A295" s="103">
        <v>294</v>
      </c>
      <c r="B295" s="37" t="str">
        <f>IF($S$4=0,IF($I295="","",$I295),IFERROR(IF([1]筐子进出接口!$B$294=0,"",[1]筐子进出接口!$B$294),""))</f>
        <v/>
      </c>
      <c r="C295" s="37" t="str">
        <f>IF($S$4=0,IF($J295="","",$J295),IFERROR(IF([1]筐子进出接口!$C$294=0,"",[1]筐子进出接口!$C$294),""))</f>
        <v/>
      </c>
      <c r="D295" s="25" t="str">
        <f>IF($S$4=0,IF($K295="","",$K295),IFERROR(IF([1]筐子进出接口!$D$294=0,"",[1]筐子进出接口!$D$294),""))</f>
        <v/>
      </c>
      <c r="E295" s="25" t="str">
        <f>IF($S$4=0,IF($L295="","",$L295),IFERROR(IF([1]筐子进出接口!$E$294=0,"",[1]筐子进出接口!$E$294),""))</f>
        <v/>
      </c>
      <c r="F295" s="25" t="str">
        <f>IF($S$4=0,IF($M295="","",$M295),IFERROR(IF([1]筐子进出接口!$F$294=0,"",[1]筐子进出接口!$F$294),""))</f>
        <v/>
      </c>
      <c r="G295" s="25" t="str">
        <f>IF($S$4=0,IF($N295="","",$N295),IFERROR(IF([1]筐子进出接口!$G$294=0,"",[1]筐子进出接口!$G$294),""))</f>
        <v/>
      </c>
      <c r="H295" s="25" t="str">
        <f t="shared" si="12"/>
        <v/>
      </c>
      <c r="I295" s="27"/>
      <c r="J295" s="27"/>
      <c r="K295" s="104"/>
      <c r="L295" s="104"/>
      <c r="M295" s="104"/>
      <c r="N295" s="104"/>
      <c r="O295" s="105">
        <f t="shared" si="13"/>
        <v>0</v>
      </c>
      <c r="P295" s="105">
        <f t="shared" si="14"/>
        <v>22</v>
      </c>
    </row>
    <row r="296" spans="1:16">
      <c r="A296" s="103">
        <v>295</v>
      </c>
      <c r="B296" s="37" t="str">
        <f>IF($S$4=0,IF($I296="","",$I296),IFERROR(IF([1]筐子进出接口!$B$295=0,"",[1]筐子进出接口!$B$295),""))</f>
        <v/>
      </c>
      <c r="C296" s="37" t="str">
        <f>IF($S$4=0,IF($J296="","",$J296),IFERROR(IF([1]筐子进出接口!$C$295=0,"",[1]筐子进出接口!$C$295),""))</f>
        <v/>
      </c>
      <c r="D296" s="25" t="str">
        <f>IF($S$4=0,IF($K296="","",$K296),IFERROR(IF([1]筐子进出接口!$D$295=0,"",[1]筐子进出接口!$D$295),""))</f>
        <v/>
      </c>
      <c r="E296" s="25" t="str">
        <f>IF($S$4=0,IF($L296="","",$L296),IFERROR(IF([1]筐子进出接口!$E$295=0,"",[1]筐子进出接口!$E$295),""))</f>
        <v/>
      </c>
      <c r="F296" s="25" t="str">
        <f>IF($S$4=0,IF($M296="","",$M296),IFERROR(IF([1]筐子进出接口!$F$295=0,"",[1]筐子进出接口!$F$295),""))</f>
        <v/>
      </c>
      <c r="G296" s="25" t="str">
        <f>IF($S$4=0,IF($N296="","",$N296),IFERROR(IF([1]筐子进出接口!$G$295=0,"",[1]筐子进出接口!$G$295),""))</f>
        <v/>
      </c>
      <c r="H296" s="25" t="str">
        <f t="shared" si="12"/>
        <v/>
      </c>
      <c r="I296" s="27"/>
      <c r="J296" s="27"/>
      <c r="K296" s="104"/>
      <c r="L296" s="104"/>
      <c r="M296" s="104"/>
      <c r="N296" s="104"/>
      <c r="O296" s="105">
        <f t="shared" si="13"/>
        <v>0</v>
      </c>
      <c r="P296" s="105">
        <f t="shared" si="14"/>
        <v>22</v>
      </c>
    </row>
    <row r="297" spans="1:16">
      <c r="A297" s="103">
        <v>296</v>
      </c>
      <c r="B297" s="37" t="str">
        <f>IF($S$4=0,IF($I297="","",$I297),IFERROR(IF([1]筐子进出接口!$B$296=0,"",[1]筐子进出接口!$B$296),""))</f>
        <v/>
      </c>
      <c r="C297" s="37" t="str">
        <f>IF($S$4=0,IF($J297="","",$J297),IFERROR(IF([1]筐子进出接口!$C$296=0,"",[1]筐子进出接口!$C$296),""))</f>
        <v/>
      </c>
      <c r="D297" s="25" t="str">
        <f>IF($S$4=0,IF($K297="","",$K297),IFERROR(IF([1]筐子进出接口!$D$296=0,"",[1]筐子进出接口!$D$296),""))</f>
        <v/>
      </c>
      <c r="E297" s="25" t="str">
        <f>IF($S$4=0,IF($L297="","",$L297),IFERROR(IF([1]筐子进出接口!$E$296=0,"",[1]筐子进出接口!$E$296),""))</f>
        <v/>
      </c>
      <c r="F297" s="25" t="str">
        <f>IF($S$4=0,IF($M297="","",$M297),IFERROR(IF([1]筐子进出接口!$F$296=0,"",[1]筐子进出接口!$F$296),""))</f>
        <v/>
      </c>
      <c r="G297" s="25" t="str">
        <f>IF($S$4=0,IF($N297="","",$N297),IFERROR(IF([1]筐子进出接口!$G$296=0,"",[1]筐子进出接口!$G$296),""))</f>
        <v/>
      </c>
      <c r="H297" s="25" t="str">
        <f t="shared" si="12"/>
        <v/>
      </c>
      <c r="I297" s="27"/>
      <c r="J297" s="27"/>
      <c r="K297" s="104"/>
      <c r="L297" s="104"/>
      <c r="M297" s="104"/>
      <c r="N297" s="104"/>
      <c r="O297" s="105">
        <f t="shared" si="13"/>
        <v>0</v>
      </c>
      <c r="P297" s="105">
        <f t="shared" si="14"/>
        <v>22</v>
      </c>
    </row>
    <row r="298" spans="1:16">
      <c r="A298" s="103">
        <v>297</v>
      </c>
      <c r="B298" s="37" t="str">
        <f>IF($S$4=0,IF($I298="","",$I298),IFERROR(IF([1]筐子进出接口!$B$297=0,"",[1]筐子进出接口!$B$297),""))</f>
        <v/>
      </c>
      <c r="C298" s="37" t="str">
        <f>IF($S$4=0,IF($J298="","",$J298),IFERROR(IF([1]筐子进出接口!$C$297=0,"",[1]筐子进出接口!$C$297),""))</f>
        <v/>
      </c>
      <c r="D298" s="25" t="str">
        <f>IF($S$4=0,IF($K298="","",$K298),IFERROR(IF([1]筐子进出接口!$D$297=0,"",[1]筐子进出接口!$D$297),""))</f>
        <v/>
      </c>
      <c r="E298" s="25" t="str">
        <f>IF($S$4=0,IF($L298="","",$L298),IFERROR(IF([1]筐子进出接口!$E$297=0,"",[1]筐子进出接口!$E$297),""))</f>
        <v/>
      </c>
      <c r="F298" s="25" t="str">
        <f>IF($S$4=0,IF($M298="","",$M298),IFERROR(IF([1]筐子进出接口!$F$297=0,"",[1]筐子进出接口!$F$297),""))</f>
        <v/>
      </c>
      <c r="G298" s="25" t="str">
        <f>IF($S$4=0,IF($N298="","",$N298),IFERROR(IF([1]筐子进出接口!$G$297=0,"",[1]筐子进出接口!$G$297),""))</f>
        <v/>
      </c>
      <c r="H298" s="25" t="str">
        <f t="shared" si="12"/>
        <v/>
      </c>
      <c r="I298" s="27"/>
      <c r="J298" s="27"/>
      <c r="K298" s="104"/>
      <c r="L298" s="104"/>
      <c r="M298" s="104"/>
      <c r="N298" s="104"/>
      <c r="O298" s="105">
        <f t="shared" si="13"/>
        <v>0</v>
      </c>
      <c r="P298" s="105">
        <f t="shared" si="14"/>
        <v>22</v>
      </c>
    </row>
    <row r="299" spans="1:16">
      <c r="A299" s="103">
        <v>298</v>
      </c>
      <c r="B299" s="37" t="str">
        <f>IF($S$4=0,IF($I299="","",$I299),IFERROR(IF([1]筐子进出接口!$B$298=0,"",[1]筐子进出接口!$B$298),""))</f>
        <v/>
      </c>
      <c r="C299" s="37" t="str">
        <f>IF($S$4=0,IF($J299="","",$J299),IFERROR(IF([1]筐子进出接口!$C$298=0,"",[1]筐子进出接口!$C$298),""))</f>
        <v/>
      </c>
      <c r="D299" s="25" t="str">
        <f>IF($S$4=0,IF($K299="","",$K299),IFERROR(IF([1]筐子进出接口!$D$298=0,"",[1]筐子进出接口!$D$298),""))</f>
        <v/>
      </c>
      <c r="E299" s="25" t="str">
        <f>IF($S$4=0,IF($L299="","",$L299),IFERROR(IF([1]筐子进出接口!$E$298=0,"",[1]筐子进出接口!$E$298),""))</f>
        <v/>
      </c>
      <c r="F299" s="25" t="str">
        <f>IF($S$4=0,IF($M299="","",$M299),IFERROR(IF([1]筐子进出接口!$F$298=0,"",[1]筐子进出接口!$F$298),""))</f>
        <v/>
      </c>
      <c r="G299" s="25" t="str">
        <f>IF($S$4=0,IF($N299="","",$N299),IFERROR(IF([1]筐子进出接口!$G$298=0,"",[1]筐子进出接口!$G$298),""))</f>
        <v/>
      </c>
      <c r="H299" s="25" t="str">
        <f t="shared" si="12"/>
        <v/>
      </c>
      <c r="I299" s="27"/>
      <c r="J299" s="27"/>
      <c r="K299" s="104"/>
      <c r="L299" s="104"/>
      <c r="M299" s="104"/>
      <c r="N299" s="104"/>
      <c r="O299" s="105">
        <f t="shared" si="13"/>
        <v>0</v>
      </c>
      <c r="P299" s="105">
        <f t="shared" si="14"/>
        <v>22</v>
      </c>
    </row>
    <row r="300" spans="1:16">
      <c r="A300" s="103">
        <v>299</v>
      </c>
      <c r="B300" s="37" t="str">
        <f>IF($S$4=0,IF($I300="","",$I300),IFERROR(IF([1]筐子进出接口!$B$299=0,"",[1]筐子进出接口!$B$299),""))</f>
        <v/>
      </c>
      <c r="C300" s="37" t="str">
        <f>IF($S$4=0,IF($J300="","",$J300),IFERROR(IF([1]筐子进出接口!$C$299=0,"",[1]筐子进出接口!$C$299),""))</f>
        <v/>
      </c>
      <c r="D300" s="25" t="str">
        <f>IF($S$4=0,IF($K300="","",$K300),IFERROR(IF([1]筐子进出接口!$D$299=0,"",[1]筐子进出接口!$D$299),""))</f>
        <v/>
      </c>
      <c r="E300" s="25" t="str">
        <f>IF($S$4=0,IF($L300="","",$L300),IFERROR(IF([1]筐子进出接口!$E$299=0,"",[1]筐子进出接口!$E$299),""))</f>
        <v/>
      </c>
      <c r="F300" s="25" t="str">
        <f>IF($S$4=0,IF($M300="","",$M300),IFERROR(IF([1]筐子进出接口!$F$299=0,"",[1]筐子进出接口!$F$299),""))</f>
        <v/>
      </c>
      <c r="G300" s="25" t="str">
        <f>IF($S$4=0,IF($N300="","",$N300),IFERROR(IF([1]筐子进出接口!$G$299=0,"",[1]筐子进出接口!$G$299),""))</f>
        <v/>
      </c>
      <c r="H300" s="25" t="str">
        <f t="shared" si="12"/>
        <v/>
      </c>
      <c r="I300" s="27"/>
      <c r="J300" s="27"/>
      <c r="K300" s="104"/>
      <c r="L300" s="104"/>
      <c r="M300" s="104"/>
      <c r="N300" s="104"/>
      <c r="O300" s="105">
        <f t="shared" si="13"/>
        <v>0</v>
      </c>
      <c r="P300" s="105">
        <f t="shared" si="14"/>
        <v>22</v>
      </c>
    </row>
    <row r="301" spans="1:16">
      <c r="A301" s="103">
        <v>300</v>
      </c>
      <c r="B301" s="37" t="str">
        <f>IF($S$4=0,IF($I301="","",$I301),IFERROR(IF([1]筐子进出接口!$B$300=0,"",[1]筐子进出接口!$B$300),""))</f>
        <v/>
      </c>
      <c r="C301" s="37" t="str">
        <f>IF($S$4=0,IF($J301="","",$J301),IFERROR(IF([1]筐子进出接口!$C$300=0,"",[1]筐子进出接口!$C$300),""))</f>
        <v/>
      </c>
      <c r="D301" s="25" t="str">
        <f>IF($S$4=0,IF($K301="","",$K301),IFERROR(IF([1]筐子进出接口!$D$300=0,"",[1]筐子进出接口!$D$300),""))</f>
        <v/>
      </c>
      <c r="E301" s="25" t="str">
        <f>IF($S$4=0,IF($L301="","",$L301),IFERROR(IF([1]筐子进出接口!$E$300=0,"",[1]筐子进出接口!$E$300),""))</f>
        <v/>
      </c>
      <c r="F301" s="25" t="str">
        <f>IF($S$4=0,IF($M301="","",$M301),IFERROR(IF([1]筐子进出接口!$F$300=0,"",[1]筐子进出接口!$F$300),""))</f>
        <v/>
      </c>
      <c r="G301" s="25" t="str">
        <f>IF($S$4=0,IF($N301="","",$N301),IFERROR(IF([1]筐子进出接口!$G$300=0,"",[1]筐子进出接口!$G$300),""))</f>
        <v/>
      </c>
      <c r="H301" s="25" t="str">
        <f t="shared" si="12"/>
        <v/>
      </c>
      <c r="I301" s="27"/>
      <c r="J301" s="27"/>
      <c r="K301" s="104"/>
      <c r="L301" s="104"/>
      <c r="M301" s="104"/>
      <c r="N301" s="104"/>
      <c r="O301" s="105">
        <f t="shared" si="13"/>
        <v>0</v>
      </c>
      <c r="P301" s="105">
        <f t="shared" si="14"/>
        <v>22</v>
      </c>
    </row>
    <row r="302" spans="1:16">
      <c r="A302" s="103">
        <v>301</v>
      </c>
      <c r="B302" s="37" t="str">
        <f>IF($S$4=0,IF($I302="","",$I302),IFERROR(IF([1]筐子进出接口!$B$301=0,"",[1]筐子进出接口!$B$301),""))</f>
        <v/>
      </c>
      <c r="C302" s="37" t="str">
        <f>IF($S$4=0,IF($J302="","",$J302),IFERROR(IF([1]筐子进出接口!$C$301=0,"",[1]筐子进出接口!$C$301),""))</f>
        <v/>
      </c>
      <c r="D302" s="25" t="str">
        <f>IF($S$4=0,IF($K302="","",$K302),IFERROR(IF([1]筐子进出接口!$D$301=0,"",[1]筐子进出接口!$D$301),""))</f>
        <v/>
      </c>
      <c r="E302" s="25" t="str">
        <f>IF($S$4=0,IF($L302="","",$L302),IFERROR(IF([1]筐子进出接口!$E$301=0,"",[1]筐子进出接口!$E$301),""))</f>
        <v/>
      </c>
      <c r="F302" s="25" t="str">
        <f>IF($S$4=0,IF($M302="","",$M302),IFERROR(IF([1]筐子进出接口!$F$301=0,"",[1]筐子进出接口!$F$301),""))</f>
        <v/>
      </c>
      <c r="G302" s="25" t="str">
        <f>IF($S$4=0,IF($N302="","",$N302),IFERROR(IF([1]筐子进出接口!$G$301=0,"",[1]筐子进出接口!$G$301),""))</f>
        <v/>
      </c>
      <c r="H302" s="25" t="str">
        <f t="shared" si="12"/>
        <v/>
      </c>
      <c r="I302" s="27"/>
      <c r="J302" s="27"/>
      <c r="K302" s="104"/>
      <c r="L302" s="104"/>
      <c r="M302" s="104"/>
      <c r="N302" s="104"/>
      <c r="O302" s="105">
        <f t="shared" si="13"/>
        <v>0</v>
      </c>
      <c r="P302" s="105">
        <f t="shared" si="14"/>
        <v>22</v>
      </c>
    </row>
    <row r="303" spans="1:16">
      <c r="A303" s="103">
        <v>302</v>
      </c>
      <c r="B303" s="37" t="str">
        <f>IF($S$4=0,IF($I303="","",$I303),IFERROR(IF([1]筐子进出接口!$B$302=0,"",[1]筐子进出接口!$B$302),""))</f>
        <v/>
      </c>
      <c r="C303" s="37" t="str">
        <f>IF($S$4=0,IF($J303="","",$J303),IFERROR(IF([1]筐子进出接口!$C$302=0,"",[1]筐子进出接口!$C$302),""))</f>
        <v/>
      </c>
      <c r="D303" s="25" t="str">
        <f>IF($S$4=0,IF($K303="","",$K303),IFERROR(IF([1]筐子进出接口!$D$302=0,"",[1]筐子进出接口!$D$302),""))</f>
        <v/>
      </c>
      <c r="E303" s="25" t="str">
        <f>IF($S$4=0,IF($L303="","",$L303),IFERROR(IF([1]筐子进出接口!$E$302=0,"",[1]筐子进出接口!$E$302),""))</f>
        <v/>
      </c>
      <c r="F303" s="25" t="str">
        <f>IF($S$4=0,IF($M303="","",$M303),IFERROR(IF([1]筐子进出接口!$F$302=0,"",[1]筐子进出接口!$F$302),""))</f>
        <v/>
      </c>
      <c r="G303" s="25" t="str">
        <f>IF($S$4=0,IF($N303="","",$N303),IFERROR(IF([1]筐子进出接口!$G$302=0,"",[1]筐子进出接口!$G$302),""))</f>
        <v/>
      </c>
      <c r="H303" s="25" t="str">
        <f t="shared" si="12"/>
        <v/>
      </c>
      <c r="I303" s="27"/>
      <c r="J303" s="27"/>
      <c r="K303" s="104"/>
      <c r="L303" s="104"/>
      <c r="M303" s="104"/>
      <c r="N303" s="104"/>
      <c r="O303" s="105">
        <f t="shared" si="13"/>
        <v>0</v>
      </c>
      <c r="P303" s="105">
        <f t="shared" si="14"/>
        <v>22</v>
      </c>
    </row>
    <row r="304" spans="1:16">
      <c r="A304" s="103">
        <v>303</v>
      </c>
      <c r="B304" s="37" t="str">
        <f>IF($S$4=0,IF($I304="","",$I304),IFERROR(IF([1]筐子进出接口!$B$303=0,"",[1]筐子进出接口!$B$303),""))</f>
        <v/>
      </c>
      <c r="C304" s="37" t="str">
        <f>IF($S$4=0,IF($J304="","",$J304),IFERROR(IF([1]筐子进出接口!$C$303=0,"",[1]筐子进出接口!$C$303),""))</f>
        <v/>
      </c>
      <c r="D304" s="25" t="str">
        <f>IF($S$4=0,IF($K304="","",$K304),IFERROR(IF([1]筐子进出接口!$D$303=0,"",[1]筐子进出接口!$D$303),""))</f>
        <v/>
      </c>
      <c r="E304" s="25" t="str">
        <f>IF($S$4=0,IF($L304="","",$L304),IFERROR(IF([1]筐子进出接口!$E$303=0,"",[1]筐子进出接口!$E$303),""))</f>
        <v/>
      </c>
      <c r="F304" s="25" t="str">
        <f>IF($S$4=0,IF($M304="","",$M304),IFERROR(IF([1]筐子进出接口!$F$303=0,"",[1]筐子进出接口!$F$303),""))</f>
        <v/>
      </c>
      <c r="G304" s="25" t="str">
        <f>IF($S$4=0,IF($N304="","",$N304),IFERROR(IF([1]筐子进出接口!$G$303=0,"",[1]筐子进出接口!$G$303),""))</f>
        <v/>
      </c>
      <c r="H304" s="25" t="str">
        <f t="shared" si="12"/>
        <v/>
      </c>
      <c r="I304" s="27"/>
      <c r="J304" s="27"/>
      <c r="K304" s="104"/>
      <c r="L304" s="104"/>
      <c r="M304" s="104"/>
      <c r="N304" s="104"/>
      <c r="O304" s="105">
        <f t="shared" si="13"/>
        <v>0</v>
      </c>
      <c r="P304" s="105">
        <f t="shared" si="14"/>
        <v>22</v>
      </c>
    </row>
    <row r="306" ht="22" customHeight="1" spans="1:1">
      <c r="A306" s="107" t="s">
        <v>286</v>
      </c>
    </row>
  </sheetData>
  <mergeCells count="7">
    <mergeCell ref="A1:P1"/>
    <mergeCell ref="A2:P2"/>
    <mergeCell ref="A3:H3"/>
    <mergeCell ref="I3:N3"/>
    <mergeCell ref="O3:P3"/>
    <mergeCell ref="A306:P306"/>
    <mergeCell ref="R6:S9"/>
  </mergeCells>
  <conditionalFormatting sqref="A2">
    <cfRule type="expression" dxfId="0" priority="1">
      <formula>$S$4=0</formula>
    </cfRule>
  </conditionalFormatting>
  <conditionalFormatting sqref="R6">
    <cfRule type="expression" dxfId="0" priority="2">
      <formula>$S$4=0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5"/>
    <pageSetUpPr fitToPage="1"/>
  </sheetPr>
  <dimension ref="A1:W2004"/>
  <sheetViews>
    <sheetView showGridLines="0" zoomScale="110" zoomScaleNormal="110" workbookViewId="0">
      <pane xSplit="4" ySplit="3" topLeftCell="E66" activePane="bottomRight" state="frozen"/>
      <selection/>
      <selection pane="topRight"/>
      <selection pane="bottomLeft"/>
      <selection pane="bottomRight" activeCell="W81" sqref="W81"/>
    </sheetView>
  </sheetViews>
  <sheetFormatPr defaultColWidth="8.67619047619048" defaultRowHeight="15"/>
  <cols>
    <col min="1" max="1" width="6" style="53" customWidth="1"/>
    <col min="2" max="3" width="12" style="53" customWidth="1"/>
    <col min="4" max="6" width="13" style="53" customWidth="1"/>
    <col min="7" max="8" width="11" style="53" customWidth="1"/>
    <col min="9" max="9" width="11.952380952381" style="53" customWidth="1"/>
    <col min="10" max="10" width="11" style="95" customWidth="1"/>
    <col min="11" max="12" width="11" style="53" customWidth="1"/>
    <col min="13" max="13" width="15" style="53" customWidth="1"/>
    <col min="14" max="14" width="9" style="53" customWidth="1"/>
    <col min="15" max="15" width="11" style="53" customWidth="1"/>
    <col min="16" max="16" width="13" style="53" customWidth="1"/>
    <col min="17" max="17" width="14.4285714285714" style="53" customWidth="1"/>
    <col min="18" max="18" width="15" style="53" hidden="1" customWidth="1"/>
    <col min="19" max="19" width="9.71428571428571" style="53" hidden="1" customWidth="1"/>
    <col min="20" max="20" width="11.5714285714286" style="53" hidden="1" customWidth="1"/>
    <col min="21" max="21" width="10.7142857142857" style="53" hidden="1" customWidth="1"/>
    <col min="22" max="22" width="9" style="53" customWidth="1"/>
    <col min="23" max="23" width="16.7142857142857" style="53" customWidth="1"/>
    <col min="24" max="16384" width="8.67619047619048" style="53"/>
  </cols>
  <sheetData>
    <row r="1" ht="30" customHeight="1" spans="1:23">
      <c r="A1" s="2" t="s">
        <v>287</v>
      </c>
    </row>
    <row r="2" ht="18" customHeight="1" spans="1:23">
      <c r="A2" s="86" t="s">
        <v>288</v>
      </c>
    </row>
    <row r="3" ht="33.75" customHeight="1" spans="1:23">
      <c r="A3" s="4" t="s">
        <v>3</v>
      </c>
      <c r="B3" s="4" t="s">
        <v>289</v>
      </c>
      <c r="C3" s="76" t="s">
        <v>290</v>
      </c>
      <c r="D3" s="4" t="s">
        <v>123</v>
      </c>
      <c r="E3" s="4" t="s">
        <v>291</v>
      </c>
      <c r="F3" s="4" t="s">
        <v>292</v>
      </c>
      <c r="G3" s="4" t="s">
        <v>144</v>
      </c>
      <c r="H3" s="4" t="s">
        <v>293</v>
      </c>
      <c r="I3" s="91" t="s">
        <v>294</v>
      </c>
      <c r="J3" s="96" t="s">
        <v>295</v>
      </c>
      <c r="K3" s="76" t="s">
        <v>296</v>
      </c>
      <c r="L3" s="4" t="s">
        <v>297</v>
      </c>
      <c r="M3" s="76" t="s">
        <v>298</v>
      </c>
      <c r="N3" s="4" t="s">
        <v>299</v>
      </c>
      <c r="O3" s="76" t="s">
        <v>300</v>
      </c>
      <c r="P3" s="76" t="s">
        <v>301</v>
      </c>
      <c r="Q3" s="76" t="s">
        <v>302</v>
      </c>
      <c r="R3" s="76" t="s">
        <v>131</v>
      </c>
      <c r="S3" s="76" t="s">
        <v>303</v>
      </c>
      <c r="T3" s="76" t="s">
        <v>304</v>
      </c>
      <c r="U3" s="76" t="s">
        <v>305</v>
      </c>
      <c r="V3" s="4" t="s">
        <v>130</v>
      </c>
      <c r="W3" s="4" t="s">
        <v>306</v>
      </c>
    </row>
    <row r="4" ht="18" customHeight="1" spans="1:23">
      <c r="A4" s="87">
        <f t="shared" ref="A4:A67" si="0">IF($D4="","",ROW()-3)</f>
        <v>1</v>
      </c>
      <c r="B4" s="78"/>
      <c r="C4" s="80"/>
      <c r="D4" s="79" t="s">
        <v>140</v>
      </c>
      <c r="E4" s="80"/>
      <c r="F4" s="79" t="s">
        <v>144</v>
      </c>
      <c r="G4" s="25">
        <f t="shared" ref="G4:G67" si="1">IF($D4="","",N($L4)-N($H4)-N($I4)+N($J4)+N($K4))</f>
        <v>0</v>
      </c>
      <c r="H4" s="88">
        <v>69840</v>
      </c>
      <c r="I4" s="93">
        <v>0</v>
      </c>
      <c r="J4" s="97">
        <v>0</v>
      </c>
      <c r="K4" s="88">
        <v>0</v>
      </c>
      <c r="L4" s="25">
        <f>IF($D4="","",SUMIFS($H$4:$H4,$D$4:$D4,$D4)+SUMIFS($I$4:$I4,$D$4:$D4,$D4)-SUMIFS($J$4:$J4,$D$4:$D4,$D4)-SUMIFS($K$4:$K4,$D$4:$D4,$D4))</f>
        <v>69840</v>
      </c>
      <c r="M4" s="80"/>
      <c r="N4" s="80"/>
      <c r="O4" s="94"/>
      <c r="P4" s="26">
        <f t="shared" ref="P4:P67" si="2">IF($D4="","",ROUND((N($H4)+N($K4))*N($O4),2))</f>
        <v>0</v>
      </c>
      <c r="Q4" s="80"/>
      <c r="R4" s="80"/>
      <c r="S4" s="80"/>
      <c r="T4" s="82"/>
      <c r="U4" s="80"/>
      <c r="V4" s="80"/>
      <c r="W4" s="80"/>
    </row>
    <row r="5" ht="18" customHeight="1" spans="1:23">
      <c r="A5" s="87">
        <f t="shared" si="0"/>
        <v>2</v>
      </c>
      <c r="B5" s="78"/>
      <c r="C5" s="80"/>
      <c r="D5" s="79" t="s">
        <v>154</v>
      </c>
      <c r="E5" s="80"/>
      <c r="F5" s="79" t="s">
        <v>144</v>
      </c>
      <c r="G5" s="25">
        <f t="shared" si="1"/>
        <v>0</v>
      </c>
      <c r="H5" s="88">
        <v>35928</v>
      </c>
      <c r="I5" s="93">
        <v>0</v>
      </c>
      <c r="J5" s="97">
        <v>0</v>
      </c>
      <c r="K5" s="88">
        <v>0</v>
      </c>
      <c r="L5" s="25">
        <f>IF($D5="","",SUMIFS($H$4:$H5,$D$4:$D5,$D5)+SUMIFS($I$4:$I5,$D$4:$D5,$D5)-SUMIFS($J$4:$J5,$D$4:$D5,$D5)-SUMIFS($K$4:$K5,$D$4:$D5,$D5))</f>
        <v>35928</v>
      </c>
      <c r="M5" s="80"/>
      <c r="N5" s="80"/>
      <c r="O5" s="94"/>
      <c r="P5" s="26">
        <f t="shared" si="2"/>
        <v>0</v>
      </c>
      <c r="Q5" s="80"/>
      <c r="R5" s="80"/>
      <c r="S5" s="80"/>
      <c r="T5" s="82"/>
      <c r="U5" s="80"/>
      <c r="V5" s="80"/>
      <c r="W5" s="80"/>
    </row>
    <row r="6" ht="18" customHeight="1" spans="1:23">
      <c r="A6" s="87">
        <f t="shared" si="0"/>
        <v>3</v>
      </c>
      <c r="B6" s="78"/>
      <c r="C6" s="80"/>
      <c r="D6" s="79" t="s">
        <v>167</v>
      </c>
      <c r="E6" s="80"/>
      <c r="F6" s="79" t="s">
        <v>144</v>
      </c>
      <c r="G6" s="25">
        <f t="shared" si="1"/>
        <v>0</v>
      </c>
      <c r="H6" s="88">
        <v>58032</v>
      </c>
      <c r="I6" s="93">
        <v>0</v>
      </c>
      <c r="J6" s="97">
        <v>0</v>
      </c>
      <c r="K6" s="88">
        <v>0</v>
      </c>
      <c r="L6" s="25">
        <f>IF($D6="","",SUMIFS($H$4:$H6,$D$4:$D6,$D6)+SUMIFS($I$4:$I6,$D$4:$D6,$D6)-SUMIFS($J$4:$J6,$D$4:$D6,$D6)-SUMIFS($K$4:$K6,$D$4:$D6,$D6))</f>
        <v>58032</v>
      </c>
      <c r="M6" s="80"/>
      <c r="N6" s="80"/>
      <c r="O6" s="94"/>
      <c r="P6" s="26">
        <f t="shared" si="2"/>
        <v>0</v>
      </c>
      <c r="Q6" s="80"/>
      <c r="R6" s="80"/>
      <c r="S6" s="80"/>
      <c r="T6" s="82"/>
      <c r="U6" s="80"/>
      <c r="V6" s="80"/>
      <c r="W6" s="80"/>
    </row>
    <row r="7" ht="18" customHeight="1" spans="1:23">
      <c r="A7" s="87">
        <f t="shared" si="0"/>
        <v>4</v>
      </c>
      <c r="B7" s="78"/>
      <c r="C7" s="80"/>
      <c r="D7" s="79" t="s">
        <v>180</v>
      </c>
      <c r="E7" s="80"/>
      <c r="F7" s="79" t="s">
        <v>144</v>
      </c>
      <c r="G7" s="25">
        <f t="shared" si="1"/>
        <v>0</v>
      </c>
      <c r="H7" s="88">
        <v>13968</v>
      </c>
      <c r="I7" s="93">
        <v>0</v>
      </c>
      <c r="J7" s="97">
        <v>0</v>
      </c>
      <c r="K7" s="88">
        <v>0</v>
      </c>
      <c r="L7" s="25">
        <f>IF($D7="","",SUMIFS($H$4:$H7,$D$4:$D7,$D7)+SUMIFS($I$4:$I7,$D$4:$D7,$D7)-SUMIFS($J$4:$J7,$D$4:$D7,$D7)-SUMIFS($K$4:$K7,$D$4:$D7,$D7))</f>
        <v>13968</v>
      </c>
      <c r="M7" s="80"/>
      <c r="N7" s="80"/>
      <c r="O7" s="94"/>
      <c r="P7" s="26">
        <f t="shared" si="2"/>
        <v>0</v>
      </c>
      <c r="Q7" s="80"/>
      <c r="R7" s="80"/>
      <c r="S7" s="80"/>
      <c r="T7" s="82"/>
      <c r="U7" s="80"/>
      <c r="V7" s="80"/>
      <c r="W7" s="80"/>
    </row>
    <row r="8" ht="18" customHeight="1" spans="1:23">
      <c r="A8" s="87">
        <f t="shared" si="0"/>
        <v>5</v>
      </c>
      <c r="B8" s="78">
        <v>46245</v>
      </c>
      <c r="C8" s="80" t="s">
        <v>155</v>
      </c>
      <c r="D8" s="79" t="s">
        <v>154</v>
      </c>
      <c r="E8" s="80" t="s">
        <v>307</v>
      </c>
      <c r="F8" s="79" t="s">
        <v>183</v>
      </c>
      <c r="G8" s="25">
        <f t="shared" si="1"/>
        <v>35928</v>
      </c>
      <c r="H8" s="88" t="s">
        <v>308</v>
      </c>
      <c r="I8" s="93" t="s">
        <v>308</v>
      </c>
      <c r="J8" s="97">
        <v>351</v>
      </c>
      <c r="K8" s="88" t="s">
        <v>308</v>
      </c>
      <c r="L8" s="25">
        <f>IF($D8="","",SUMIFS($H$4:$H8,$D$4:$D8,$D8)+SUMIFS($I$4:$I8,$D$4:$D8,$D8)-SUMIFS($J$4:$J8,$D$4:$D8,$D8)-SUMIFS($K$4:$K8,$D$4:$D8,$D8))</f>
        <v>35577</v>
      </c>
      <c r="M8" s="80" t="s">
        <v>309</v>
      </c>
      <c r="N8" s="79" t="s">
        <v>145</v>
      </c>
      <c r="O8" s="94"/>
      <c r="P8" s="26">
        <f t="shared" si="2"/>
        <v>0</v>
      </c>
      <c r="Q8" s="80"/>
      <c r="R8" s="80"/>
      <c r="S8" s="80"/>
      <c r="T8" s="82"/>
      <c r="U8" s="80"/>
      <c r="V8" s="80"/>
      <c r="W8" s="80"/>
    </row>
    <row r="9" ht="18" customHeight="1" spans="1:23">
      <c r="A9" s="87">
        <f t="shared" si="0"/>
        <v>6</v>
      </c>
      <c r="B9" s="78">
        <v>46255</v>
      </c>
      <c r="C9" s="79" t="s">
        <v>155</v>
      </c>
      <c r="D9" s="79" t="s">
        <v>154</v>
      </c>
      <c r="E9" s="80" t="s">
        <v>310</v>
      </c>
      <c r="F9" s="79" t="s">
        <v>183</v>
      </c>
      <c r="G9" s="25">
        <f t="shared" si="1"/>
        <v>35577</v>
      </c>
      <c r="H9" s="88" t="s">
        <v>308</v>
      </c>
      <c r="I9" s="93" t="s">
        <v>308</v>
      </c>
      <c r="J9" s="97">
        <v>432</v>
      </c>
      <c r="K9" s="88" t="s">
        <v>308</v>
      </c>
      <c r="L9" s="25">
        <f>IF($D9="","",SUMIFS($H$4:$H9,$D$4:$D9,$D9)+SUMIFS($I$4:$I9,$D$4:$D9,$D9)-SUMIFS($J$4:$J9,$D$4:$D9,$D9)-SUMIFS($K$4:$K9,$D$4:$D9,$D9))</f>
        <v>35145</v>
      </c>
      <c r="M9" s="79" t="s">
        <v>309</v>
      </c>
      <c r="N9" s="79" t="s">
        <v>145</v>
      </c>
      <c r="O9" s="94"/>
      <c r="P9" s="26">
        <f t="shared" si="2"/>
        <v>0</v>
      </c>
      <c r="Q9" s="79"/>
      <c r="R9" s="79"/>
      <c r="S9" s="79"/>
      <c r="T9" s="82"/>
      <c r="U9" s="79"/>
      <c r="V9" s="80"/>
      <c r="W9" s="80"/>
    </row>
    <row r="10" ht="18" customHeight="1" spans="1:23">
      <c r="A10" s="87">
        <f t="shared" si="0"/>
        <v>7</v>
      </c>
      <c r="B10" s="78">
        <v>46258</v>
      </c>
      <c r="C10" s="80" t="s">
        <v>155</v>
      </c>
      <c r="D10" s="79" t="s">
        <v>154</v>
      </c>
      <c r="E10" s="80" t="s">
        <v>311</v>
      </c>
      <c r="F10" s="79" t="s">
        <v>183</v>
      </c>
      <c r="G10" s="25">
        <f t="shared" si="1"/>
        <v>35145</v>
      </c>
      <c r="H10" s="88" t="s">
        <v>308</v>
      </c>
      <c r="I10" s="93" t="s">
        <v>308</v>
      </c>
      <c r="J10" s="97">
        <v>282</v>
      </c>
      <c r="K10" s="88" t="s">
        <v>308</v>
      </c>
      <c r="L10" s="25">
        <f>IF($D10="","",SUMIFS($H$4:$H10,$D$4:$D10,$D10)+SUMIFS($I$4:$I10,$D$4:$D10,$D10)-SUMIFS($J$4:$J10,$D$4:$D10,$D10)-SUMIFS($K$4:$K10,$D$4:$D10,$D10))</f>
        <v>34863</v>
      </c>
      <c r="M10" s="80" t="s">
        <v>309</v>
      </c>
      <c r="N10" s="79" t="s">
        <v>145</v>
      </c>
      <c r="O10" s="94"/>
      <c r="P10" s="26">
        <f t="shared" si="2"/>
        <v>0</v>
      </c>
      <c r="Q10" s="80"/>
      <c r="R10" s="80"/>
      <c r="S10" s="80"/>
      <c r="T10" s="82"/>
      <c r="U10" s="80"/>
      <c r="V10" s="80"/>
      <c r="W10" s="80"/>
    </row>
    <row r="11" ht="18" customHeight="1" spans="1:23">
      <c r="A11" s="87">
        <f t="shared" si="0"/>
        <v>8</v>
      </c>
      <c r="B11" s="78">
        <v>46260</v>
      </c>
      <c r="C11" s="80" t="s">
        <v>155</v>
      </c>
      <c r="D11" s="79" t="s">
        <v>154</v>
      </c>
      <c r="E11" s="80" t="s">
        <v>312</v>
      </c>
      <c r="F11" s="79" t="s">
        <v>183</v>
      </c>
      <c r="G11" s="25">
        <f t="shared" si="1"/>
        <v>34863</v>
      </c>
      <c r="H11" s="88" t="s">
        <v>308</v>
      </c>
      <c r="I11" s="93" t="s">
        <v>308</v>
      </c>
      <c r="J11" s="97">
        <v>144</v>
      </c>
      <c r="K11" s="88" t="s">
        <v>308</v>
      </c>
      <c r="L11" s="25">
        <f>IF($D11="","",SUMIFS($H$4:$H11,$D$4:$D11,$D11)+SUMIFS($I$4:$I11,$D$4:$D11,$D11)-SUMIFS($J$4:$J11,$D$4:$D11,$D11)-SUMIFS($K$4:$K11,$D$4:$D11,$D11))</f>
        <v>34719</v>
      </c>
      <c r="M11" s="80" t="s">
        <v>309</v>
      </c>
      <c r="N11" s="79" t="s">
        <v>145</v>
      </c>
      <c r="O11" s="94"/>
      <c r="P11" s="26">
        <f t="shared" si="2"/>
        <v>0</v>
      </c>
      <c r="Q11" s="80"/>
      <c r="R11" s="80"/>
      <c r="S11" s="80"/>
      <c r="T11" s="82"/>
      <c r="U11" s="80"/>
      <c r="V11" s="80"/>
      <c r="W11" s="80"/>
    </row>
    <row r="12" ht="18" customHeight="1" spans="1:23">
      <c r="A12" s="87">
        <f t="shared" si="0"/>
        <v>9</v>
      </c>
      <c r="B12" s="78">
        <v>46258</v>
      </c>
      <c r="C12" s="80" t="s">
        <v>155</v>
      </c>
      <c r="D12" s="79" t="s">
        <v>154</v>
      </c>
      <c r="E12" s="80" t="s">
        <v>313</v>
      </c>
      <c r="F12" s="79" t="s">
        <v>170</v>
      </c>
      <c r="G12" s="25">
        <f t="shared" si="1"/>
        <v>34719</v>
      </c>
      <c r="H12" s="88" t="s">
        <v>308</v>
      </c>
      <c r="I12" s="93">
        <v>4</v>
      </c>
      <c r="J12" s="97" t="s">
        <v>308</v>
      </c>
      <c r="K12" s="88" t="s">
        <v>308</v>
      </c>
      <c r="L12" s="25">
        <f>IF($D12="","",SUMIFS($H$4:$H12,$D$4:$D12,$D12)+SUMIFS($I$4:$I12,$D$4:$D12,$D12)-SUMIFS($J$4:$J12,$D$4:$D12,$D12)-SUMIFS($K$4:$K12,$D$4:$D12,$D12))</f>
        <v>34723</v>
      </c>
      <c r="M12" s="79" t="s">
        <v>309</v>
      </c>
      <c r="N12" s="79" t="s">
        <v>145</v>
      </c>
      <c r="O12" s="94"/>
      <c r="P12" s="26">
        <f t="shared" si="2"/>
        <v>0</v>
      </c>
      <c r="Q12" s="79"/>
      <c r="R12" s="79"/>
      <c r="S12" s="79"/>
      <c r="T12" s="82"/>
      <c r="U12" s="79"/>
      <c r="V12" s="80"/>
      <c r="W12" s="80"/>
    </row>
    <row r="13" ht="18" customHeight="1" spans="1:23">
      <c r="A13" s="87">
        <f t="shared" si="0"/>
        <v>10</v>
      </c>
      <c r="B13" s="78">
        <v>46265</v>
      </c>
      <c r="C13" s="80" t="s">
        <v>235</v>
      </c>
      <c r="D13" s="79" t="s">
        <v>140</v>
      </c>
      <c r="E13" s="80" t="s">
        <v>314</v>
      </c>
      <c r="F13" s="79" t="s">
        <v>183</v>
      </c>
      <c r="G13" s="25">
        <f t="shared" si="1"/>
        <v>69840</v>
      </c>
      <c r="H13" s="88" t="s">
        <v>308</v>
      </c>
      <c r="I13" s="93" t="s">
        <v>308</v>
      </c>
      <c r="J13" s="97">
        <v>2040</v>
      </c>
      <c r="K13" s="88" t="s">
        <v>308</v>
      </c>
      <c r="L13" s="25">
        <f>IF($D13="","",SUMIFS($H$4:$H13,$D$4:$D13,$D13)+SUMIFS($I$4:$I13,$D$4:$D13,$D13)-SUMIFS($J$4:$J13,$D$4:$D13,$D13)-SUMIFS($K$4:$K13,$D$4:$D13,$D13))</f>
        <v>67800</v>
      </c>
      <c r="M13" s="80" t="s">
        <v>315</v>
      </c>
      <c r="N13" s="79" t="s">
        <v>145</v>
      </c>
      <c r="O13" s="94"/>
      <c r="P13" s="26">
        <f t="shared" si="2"/>
        <v>0</v>
      </c>
      <c r="Q13" s="80"/>
      <c r="R13" s="80"/>
      <c r="S13" s="80"/>
      <c r="T13" s="82"/>
      <c r="U13" s="80"/>
      <c r="V13" s="80"/>
      <c r="W13" s="80"/>
    </row>
    <row r="14" ht="18" customHeight="1" spans="1:23">
      <c r="A14" s="87">
        <f t="shared" si="0"/>
        <v>11</v>
      </c>
      <c r="B14" s="78">
        <v>46266</v>
      </c>
      <c r="C14" s="80" t="s">
        <v>211</v>
      </c>
      <c r="D14" s="79" t="s">
        <v>154</v>
      </c>
      <c r="E14" s="80" t="s">
        <v>316</v>
      </c>
      <c r="F14" s="79" t="s">
        <v>183</v>
      </c>
      <c r="G14" s="25">
        <f t="shared" si="1"/>
        <v>34723</v>
      </c>
      <c r="H14" s="88" t="s">
        <v>308</v>
      </c>
      <c r="I14" s="93" t="s">
        <v>308</v>
      </c>
      <c r="J14" s="97">
        <v>588</v>
      </c>
      <c r="K14" s="88" t="s">
        <v>308</v>
      </c>
      <c r="L14" s="25">
        <f>IF($D14="","",SUMIFS($H$4:$H14,$D$4:$D14,$D14)+SUMIFS($I$4:$I14,$D$4:$D14,$D14)-SUMIFS($J$4:$J14,$D$4:$D14,$D14)-SUMIFS($K$4:$K14,$D$4:$D14,$D14))</f>
        <v>34135</v>
      </c>
      <c r="M14" s="80" t="s">
        <v>317</v>
      </c>
      <c r="N14" s="79" t="s">
        <v>145</v>
      </c>
      <c r="O14" s="94"/>
      <c r="P14" s="26">
        <f t="shared" si="2"/>
        <v>0</v>
      </c>
      <c r="Q14" s="80"/>
      <c r="R14" s="80"/>
      <c r="S14" s="80"/>
      <c r="T14" s="82"/>
      <c r="U14" s="80"/>
      <c r="V14" s="80"/>
      <c r="W14" s="80"/>
    </row>
    <row r="15" ht="18" customHeight="1" spans="1:23">
      <c r="A15" s="87">
        <f t="shared" si="0"/>
        <v>12</v>
      </c>
      <c r="B15" s="78">
        <v>46266</v>
      </c>
      <c r="C15" s="80" t="s">
        <v>155</v>
      </c>
      <c r="D15" s="79" t="s">
        <v>154</v>
      </c>
      <c r="E15" s="80" t="s">
        <v>318</v>
      </c>
      <c r="F15" s="79" t="s">
        <v>170</v>
      </c>
      <c r="G15" s="25">
        <f t="shared" si="1"/>
        <v>34135</v>
      </c>
      <c r="H15" s="88" t="s">
        <v>308</v>
      </c>
      <c r="I15" s="93">
        <v>30</v>
      </c>
      <c r="J15" s="97" t="s">
        <v>308</v>
      </c>
      <c r="K15" s="88" t="s">
        <v>308</v>
      </c>
      <c r="L15" s="25">
        <f>IF($D15="","",SUMIFS($H$4:$H15,$D$4:$D15,$D15)+SUMIFS($I$4:$I15,$D$4:$D15,$D15)-SUMIFS($J$4:$J15,$D$4:$D15,$D15)-SUMIFS($K$4:$K15,$D$4:$D15,$D15))</f>
        <v>34165</v>
      </c>
      <c r="M15" s="79" t="s">
        <v>319</v>
      </c>
      <c r="N15" s="79" t="s">
        <v>145</v>
      </c>
      <c r="O15" s="94"/>
      <c r="P15" s="26">
        <f t="shared" si="2"/>
        <v>0</v>
      </c>
      <c r="Q15" s="79"/>
      <c r="R15" s="79"/>
      <c r="S15" s="79"/>
      <c r="T15" s="82"/>
      <c r="U15" s="79"/>
      <c r="V15" s="80"/>
      <c r="W15" s="80"/>
    </row>
    <row r="16" ht="18" customHeight="1" spans="1:23">
      <c r="A16" s="87">
        <f t="shared" si="0"/>
        <v>13</v>
      </c>
      <c r="B16" s="78">
        <v>46267</v>
      </c>
      <c r="C16" s="80" t="s">
        <v>169</v>
      </c>
      <c r="D16" s="79" t="s">
        <v>189</v>
      </c>
      <c r="E16" s="80" t="s">
        <v>320</v>
      </c>
      <c r="F16" s="79" t="s">
        <v>157</v>
      </c>
      <c r="G16" s="25">
        <f t="shared" si="1"/>
        <v>0</v>
      </c>
      <c r="H16" s="88">
        <v>315</v>
      </c>
      <c r="I16" s="93" t="s">
        <v>308</v>
      </c>
      <c r="J16" s="97" t="s">
        <v>308</v>
      </c>
      <c r="K16" s="88" t="s">
        <v>308</v>
      </c>
      <c r="L16" s="25">
        <f>IF($D16="","",SUMIFS($H$4:$H16,$D$4:$D16,$D16)+SUMIFS($I$4:$I16,$D$4:$D16,$D16)-SUMIFS($J$4:$J16,$D$4:$D16,$D16)-SUMIFS($K$4:$K16,$D$4:$D16,$D16))</f>
        <v>315</v>
      </c>
      <c r="M16" s="79" t="s">
        <v>321</v>
      </c>
      <c r="N16" s="79" t="s">
        <v>203</v>
      </c>
      <c r="O16" s="94">
        <v>10</v>
      </c>
      <c r="P16" s="26">
        <f t="shared" si="2"/>
        <v>3150</v>
      </c>
      <c r="Q16" s="79" t="s">
        <v>215</v>
      </c>
      <c r="R16" s="79"/>
      <c r="S16" s="79"/>
      <c r="T16" s="82"/>
      <c r="U16" s="79"/>
      <c r="V16" s="80"/>
      <c r="W16" s="80" t="s">
        <v>322</v>
      </c>
    </row>
    <row r="17" ht="18" customHeight="1" spans="1:23">
      <c r="A17" s="87">
        <f t="shared" si="0"/>
        <v>14</v>
      </c>
      <c r="B17" s="78">
        <v>46267</v>
      </c>
      <c r="C17" s="80" t="s">
        <v>254</v>
      </c>
      <c r="D17" s="79" t="s">
        <v>189</v>
      </c>
      <c r="E17" s="80" t="s">
        <v>323</v>
      </c>
      <c r="F17" s="79" t="s">
        <v>183</v>
      </c>
      <c r="G17" s="25">
        <f t="shared" si="1"/>
        <v>315</v>
      </c>
      <c r="H17" s="88" t="s">
        <v>308</v>
      </c>
      <c r="I17" s="93" t="s">
        <v>308</v>
      </c>
      <c r="J17" s="97">
        <v>315</v>
      </c>
      <c r="K17" s="88" t="s">
        <v>308</v>
      </c>
      <c r="L17" s="25">
        <f>IF($D17="","",SUMIFS($H$4:$H17,$D$4:$D17,$D17)+SUMIFS($I$4:$I17,$D$4:$D17,$D17)-SUMIFS($J$4:$J17,$D$4:$D17,$D17)-SUMIFS($K$4:$K17,$D$4:$D17,$D17))</f>
        <v>0</v>
      </c>
      <c r="M17" s="79" t="s">
        <v>321</v>
      </c>
      <c r="N17" s="79" t="s">
        <v>203</v>
      </c>
      <c r="O17" s="94"/>
      <c r="P17" s="26">
        <f t="shared" si="2"/>
        <v>0</v>
      </c>
      <c r="Q17" s="79"/>
      <c r="R17" s="79"/>
      <c r="S17" s="79"/>
      <c r="T17" s="82"/>
      <c r="U17" s="79"/>
      <c r="V17" s="80"/>
      <c r="W17" s="80"/>
    </row>
    <row r="18" ht="18" customHeight="1" spans="1:23">
      <c r="A18" s="87">
        <f t="shared" si="0"/>
        <v>15</v>
      </c>
      <c r="B18" s="78">
        <v>46268</v>
      </c>
      <c r="C18" s="80" t="s">
        <v>169</v>
      </c>
      <c r="D18" s="79" t="s">
        <v>189</v>
      </c>
      <c r="E18" s="80" t="s">
        <v>324</v>
      </c>
      <c r="F18" s="79" t="s">
        <v>157</v>
      </c>
      <c r="G18" s="25">
        <f t="shared" si="1"/>
        <v>0</v>
      </c>
      <c r="H18" s="88">
        <v>315</v>
      </c>
      <c r="I18" s="93" t="s">
        <v>308</v>
      </c>
      <c r="J18" s="97" t="s">
        <v>308</v>
      </c>
      <c r="K18" s="88" t="s">
        <v>308</v>
      </c>
      <c r="L18" s="25">
        <f>IF($D18="","",SUMIFS($H$4:$H18,$D$4:$D18,$D18)+SUMIFS($I$4:$I18,$D$4:$D18,$D18)-SUMIFS($J$4:$J18,$D$4:$D18,$D18)-SUMIFS($K$4:$K18,$D$4:$D18,$D18))</f>
        <v>315</v>
      </c>
      <c r="M18" s="79" t="s">
        <v>321</v>
      </c>
      <c r="N18" s="79" t="s">
        <v>203</v>
      </c>
      <c r="O18" s="94">
        <v>10</v>
      </c>
      <c r="P18" s="26">
        <f t="shared" si="2"/>
        <v>3150</v>
      </c>
      <c r="Q18" s="79" t="s">
        <v>215</v>
      </c>
      <c r="R18" s="79"/>
      <c r="S18" s="79"/>
      <c r="T18" s="82"/>
      <c r="U18" s="79"/>
      <c r="V18" s="80"/>
      <c r="W18" s="80" t="s">
        <v>325</v>
      </c>
    </row>
    <row r="19" ht="18" customHeight="1" spans="1:23">
      <c r="A19" s="87">
        <f t="shared" si="0"/>
        <v>16</v>
      </c>
      <c r="B19" s="78">
        <v>46268</v>
      </c>
      <c r="C19" s="80" t="s">
        <v>254</v>
      </c>
      <c r="D19" s="79" t="s">
        <v>189</v>
      </c>
      <c r="E19" s="80" t="s">
        <v>326</v>
      </c>
      <c r="F19" s="79" t="s">
        <v>183</v>
      </c>
      <c r="G19" s="25">
        <f t="shared" si="1"/>
        <v>315</v>
      </c>
      <c r="H19" s="88" t="s">
        <v>308</v>
      </c>
      <c r="I19" s="93" t="s">
        <v>308</v>
      </c>
      <c r="J19" s="97">
        <v>315</v>
      </c>
      <c r="K19" s="88" t="s">
        <v>308</v>
      </c>
      <c r="L19" s="25">
        <f>IF($D19="","",SUMIFS($H$4:$H19,$D$4:$D19,$D19)+SUMIFS($I$4:$I19,$D$4:$D19,$D19)-SUMIFS($J$4:$J19,$D$4:$D19,$D19)-SUMIFS($K$4:$K19,$D$4:$D19,$D19))</f>
        <v>0</v>
      </c>
      <c r="M19" s="79" t="s">
        <v>321</v>
      </c>
      <c r="N19" s="79" t="s">
        <v>203</v>
      </c>
      <c r="O19" s="94"/>
      <c r="P19" s="26">
        <f t="shared" si="2"/>
        <v>0</v>
      </c>
      <c r="Q19" s="79"/>
      <c r="R19" s="79"/>
      <c r="S19" s="79"/>
      <c r="T19" s="82"/>
      <c r="U19" s="79"/>
      <c r="V19" s="80"/>
      <c r="W19" s="80"/>
    </row>
    <row r="20" ht="18" customHeight="1" spans="1:23">
      <c r="A20" s="87">
        <f t="shared" si="0"/>
        <v>17</v>
      </c>
      <c r="B20" s="78">
        <v>46268</v>
      </c>
      <c r="C20" s="80" t="s">
        <v>169</v>
      </c>
      <c r="D20" s="79" t="s">
        <v>189</v>
      </c>
      <c r="E20" s="80" t="s">
        <v>327</v>
      </c>
      <c r="F20" s="79" t="s">
        <v>157</v>
      </c>
      <c r="G20" s="25">
        <f t="shared" si="1"/>
        <v>0</v>
      </c>
      <c r="H20" s="88">
        <v>846</v>
      </c>
      <c r="I20" s="93" t="s">
        <v>308</v>
      </c>
      <c r="J20" s="97" t="s">
        <v>308</v>
      </c>
      <c r="K20" s="88" t="s">
        <v>308</v>
      </c>
      <c r="L20" s="25">
        <f>IF($D20="","",SUMIFS($H$4:$H20,$D$4:$D20,$D20)+SUMIFS($I$4:$I20,$D$4:$D20,$D20)-SUMIFS($J$4:$J20,$D$4:$D20,$D20)-SUMIFS($K$4:$K20,$D$4:$D20,$D20))</f>
        <v>846</v>
      </c>
      <c r="M20" s="80" t="s">
        <v>328</v>
      </c>
      <c r="N20" s="80" t="s">
        <v>203</v>
      </c>
      <c r="O20" s="94">
        <v>10</v>
      </c>
      <c r="P20" s="26">
        <f t="shared" si="2"/>
        <v>8460</v>
      </c>
      <c r="Q20" s="80" t="s">
        <v>215</v>
      </c>
      <c r="R20" s="80"/>
      <c r="S20" s="80"/>
      <c r="T20" s="82"/>
      <c r="U20" s="80"/>
      <c r="V20" s="80"/>
      <c r="W20" s="80" t="s">
        <v>329</v>
      </c>
    </row>
    <row r="21" ht="18" customHeight="1" spans="1:23">
      <c r="A21" s="87">
        <f t="shared" si="0"/>
        <v>18</v>
      </c>
      <c r="B21" s="78">
        <v>46268</v>
      </c>
      <c r="C21" s="80" t="s">
        <v>190</v>
      </c>
      <c r="D21" s="79" t="s">
        <v>189</v>
      </c>
      <c r="E21" s="80" t="s">
        <v>330</v>
      </c>
      <c r="F21" s="79" t="s">
        <v>183</v>
      </c>
      <c r="G21" s="25">
        <f t="shared" si="1"/>
        <v>846</v>
      </c>
      <c r="H21" s="88" t="s">
        <v>308</v>
      </c>
      <c r="I21" s="93" t="s">
        <v>308</v>
      </c>
      <c r="J21" s="97">
        <v>846</v>
      </c>
      <c r="K21" s="88" t="s">
        <v>308</v>
      </c>
      <c r="L21" s="25">
        <f>IF($D21="","",SUMIFS($H$4:$H21,$D$4:$D21,$D21)+SUMIFS($I$4:$I21,$D$4:$D21,$D21)-SUMIFS($J$4:$J21,$D$4:$D21,$D21)-SUMIFS($K$4:$K21,$D$4:$D21,$D21))</f>
        <v>0</v>
      </c>
      <c r="M21" s="80" t="s">
        <v>328</v>
      </c>
      <c r="N21" s="80" t="s">
        <v>203</v>
      </c>
      <c r="O21" s="94"/>
      <c r="P21" s="26">
        <f t="shared" si="2"/>
        <v>0</v>
      </c>
      <c r="Q21" s="80"/>
      <c r="R21" s="80"/>
      <c r="S21" s="80"/>
      <c r="T21" s="82"/>
      <c r="U21" s="80"/>
      <c r="V21" s="80"/>
      <c r="W21" s="80"/>
    </row>
    <row r="22" ht="18" customHeight="1" spans="1:23">
      <c r="A22" s="87">
        <f t="shared" si="0"/>
        <v>19</v>
      </c>
      <c r="B22" s="78">
        <v>46268</v>
      </c>
      <c r="C22" s="80" t="s">
        <v>169</v>
      </c>
      <c r="D22" s="79" t="s">
        <v>189</v>
      </c>
      <c r="E22" s="80" t="s">
        <v>331</v>
      </c>
      <c r="F22" s="79" t="s">
        <v>157</v>
      </c>
      <c r="G22" s="25">
        <f t="shared" si="1"/>
        <v>0</v>
      </c>
      <c r="H22" s="88">
        <v>960</v>
      </c>
      <c r="I22" s="93" t="s">
        <v>308</v>
      </c>
      <c r="J22" s="97" t="s">
        <v>308</v>
      </c>
      <c r="K22" s="88" t="s">
        <v>308</v>
      </c>
      <c r="L22" s="25">
        <f>IF($D22="","",SUMIFS($H$4:$H22,$D$4:$D22,$D22)+SUMIFS($I$4:$I22,$D$4:$D22,$D22)-SUMIFS($J$4:$J22,$D$4:$D22,$D22)-SUMIFS($K$4:$K22,$D$4:$D22,$D22))</f>
        <v>960</v>
      </c>
      <c r="M22" s="80" t="s">
        <v>332</v>
      </c>
      <c r="N22" s="80" t="s">
        <v>203</v>
      </c>
      <c r="O22" s="94">
        <v>10</v>
      </c>
      <c r="P22" s="26">
        <f t="shared" si="2"/>
        <v>9600</v>
      </c>
      <c r="Q22" s="80" t="s">
        <v>215</v>
      </c>
      <c r="R22" s="80"/>
      <c r="S22" s="80"/>
      <c r="T22" s="82"/>
      <c r="U22" s="80"/>
      <c r="V22" s="80"/>
      <c r="W22" s="80" t="s">
        <v>333</v>
      </c>
    </row>
    <row r="23" ht="18" customHeight="1" spans="1:23">
      <c r="A23" s="87">
        <f t="shared" si="0"/>
        <v>20</v>
      </c>
      <c r="B23" s="78">
        <v>46268</v>
      </c>
      <c r="C23" s="80" t="s">
        <v>201</v>
      </c>
      <c r="D23" s="79" t="s">
        <v>189</v>
      </c>
      <c r="E23" s="80" t="s">
        <v>334</v>
      </c>
      <c r="F23" s="79" t="s">
        <v>183</v>
      </c>
      <c r="G23" s="25">
        <f t="shared" si="1"/>
        <v>960</v>
      </c>
      <c r="H23" s="88" t="s">
        <v>308</v>
      </c>
      <c r="I23" s="93" t="s">
        <v>308</v>
      </c>
      <c r="J23" s="97">
        <v>960</v>
      </c>
      <c r="K23" s="88" t="s">
        <v>308</v>
      </c>
      <c r="L23" s="25">
        <f>IF($D23="","",SUMIFS($H$4:$H23,$D$4:$D23,$D23)+SUMIFS($I$4:$I23,$D$4:$D23,$D23)-SUMIFS($J$4:$J23,$D$4:$D23,$D23)-SUMIFS($K$4:$K23,$D$4:$D23,$D23))</f>
        <v>0</v>
      </c>
      <c r="M23" s="80" t="s">
        <v>332</v>
      </c>
      <c r="N23" s="80" t="s">
        <v>203</v>
      </c>
      <c r="O23" s="94"/>
      <c r="P23" s="26">
        <f t="shared" si="2"/>
        <v>0</v>
      </c>
      <c r="Q23" s="80"/>
      <c r="R23" s="80"/>
      <c r="S23" s="80">
        <v>3000</v>
      </c>
      <c r="T23" s="82">
        <v>3000</v>
      </c>
      <c r="U23" s="80" t="s">
        <v>335</v>
      </c>
      <c r="V23" s="80"/>
      <c r="W23" s="80"/>
    </row>
    <row r="24" ht="18" customHeight="1" spans="1:23">
      <c r="A24" s="87">
        <f t="shared" si="0"/>
        <v>21</v>
      </c>
      <c r="B24" s="78">
        <v>46268</v>
      </c>
      <c r="C24" s="80" t="s">
        <v>169</v>
      </c>
      <c r="D24" s="79" t="s">
        <v>189</v>
      </c>
      <c r="E24" s="80" t="s">
        <v>336</v>
      </c>
      <c r="F24" s="79" t="s">
        <v>157</v>
      </c>
      <c r="G24" s="25">
        <f t="shared" si="1"/>
        <v>0</v>
      </c>
      <c r="H24" s="88">
        <v>846</v>
      </c>
      <c r="I24" s="93" t="s">
        <v>308</v>
      </c>
      <c r="J24" s="97" t="s">
        <v>308</v>
      </c>
      <c r="K24" s="88" t="s">
        <v>308</v>
      </c>
      <c r="L24" s="25">
        <f>IF($D24="","",SUMIFS($H$4:$H24,$D$4:$D24,$D24)+SUMIFS($I$4:$I24,$D$4:$D24,$D24)-SUMIFS($J$4:$J24,$D$4:$D24,$D24)-SUMIFS($K$4:$K24,$D$4:$D24,$D24))</f>
        <v>846</v>
      </c>
      <c r="M24" s="80" t="s">
        <v>328</v>
      </c>
      <c r="N24" s="80" t="s">
        <v>203</v>
      </c>
      <c r="O24" s="94">
        <v>10</v>
      </c>
      <c r="P24" s="26">
        <f t="shared" si="2"/>
        <v>8460</v>
      </c>
      <c r="Q24" s="80" t="s">
        <v>215</v>
      </c>
      <c r="R24" s="80"/>
      <c r="S24" s="80"/>
      <c r="T24" s="82"/>
      <c r="U24" s="80"/>
      <c r="V24" s="80"/>
      <c r="W24" s="80" t="s">
        <v>337</v>
      </c>
    </row>
    <row r="25" ht="18" customHeight="1" spans="1:23">
      <c r="A25" s="87">
        <f t="shared" si="0"/>
        <v>22</v>
      </c>
      <c r="B25" s="78">
        <v>46268</v>
      </c>
      <c r="C25" s="80" t="s">
        <v>181</v>
      </c>
      <c r="D25" s="79" t="s">
        <v>189</v>
      </c>
      <c r="E25" s="80" t="s">
        <v>338</v>
      </c>
      <c r="F25" s="79" t="s">
        <v>183</v>
      </c>
      <c r="G25" s="25">
        <f t="shared" si="1"/>
        <v>846</v>
      </c>
      <c r="H25" s="88" t="s">
        <v>308</v>
      </c>
      <c r="I25" s="93" t="s">
        <v>308</v>
      </c>
      <c r="J25" s="97">
        <v>846</v>
      </c>
      <c r="K25" s="88" t="s">
        <v>308</v>
      </c>
      <c r="L25" s="25">
        <f>IF($D25="","",SUMIFS($H$4:$H25,$D$4:$D25,$D25)+SUMIFS($I$4:$I25,$D$4:$D25,$D25)-SUMIFS($J$4:$J25,$D$4:$D25,$D25)-SUMIFS($K$4:$K25,$D$4:$D25,$D25))</f>
        <v>0</v>
      </c>
      <c r="M25" s="80" t="s">
        <v>328</v>
      </c>
      <c r="N25" s="80" t="s">
        <v>203</v>
      </c>
      <c r="O25" s="94"/>
      <c r="P25" s="26">
        <f t="shared" si="2"/>
        <v>0</v>
      </c>
      <c r="Q25" s="80"/>
      <c r="R25" s="80"/>
      <c r="S25" s="80"/>
      <c r="T25" s="82"/>
      <c r="U25" s="80"/>
      <c r="V25" s="80"/>
      <c r="W25" s="80"/>
    </row>
    <row r="26" ht="18" customHeight="1" spans="1:23">
      <c r="A26" s="87">
        <f t="shared" si="0"/>
        <v>23</v>
      </c>
      <c r="B26" s="78">
        <v>46268</v>
      </c>
      <c r="C26" s="80" t="s">
        <v>169</v>
      </c>
      <c r="D26" s="79" t="s">
        <v>189</v>
      </c>
      <c r="E26" s="80" t="s">
        <v>339</v>
      </c>
      <c r="F26" s="79" t="s">
        <v>157</v>
      </c>
      <c r="G26" s="25">
        <f t="shared" si="1"/>
        <v>0</v>
      </c>
      <c r="H26" s="88">
        <v>936</v>
      </c>
      <c r="I26" s="93" t="s">
        <v>308</v>
      </c>
      <c r="J26" s="97" t="s">
        <v>308</v>
      </c>
      <c r="K26" s="88" t="s">
        <v>308</v>
      </c>
      <c r="L26" s="25">
        <f>IF($D26="","",SUMIFS($H$4:$H26,$D$4:$D26,$D26)+SUMIFS($I$4:$I26,$D$4:$D26,$D26)-SUMIFS($J$4:$J26,$D$4:$D26,$D26)-SUMIFS($K$4:$K26,$D$4:$D26,$D26))</f>
        <v>936</v>
      </c>
      <c r="M26" s="80" t="s">
        <v>340</v>
      </c>
      <c r="N26" s="80" t="s">
        <v>203</v>
      </c>
      <c r="O26" s="94">
        <v>10</v>
      </c>
      <c r="P26" s="26">
        <f t="shared" si="2"/>
        <v>9360</v>
      </c>
      <c r="Q26" s="80" t="s">
        <v>215</v>
      </c>
      <c r="R26" s="80"/>
      <c r="S26" s="80"/>
      <c r="T26" s="82"/>
      <c r="U26" s="80"/>
      <c r="V26" s="80"/>
      <c r="W26" s="80" t="s">
        <v>341</v>
      </c>
    </row>
    <row r="27" ht="18" customHeight="1" spans="1:23">
      <c r="A27" s="87">
        <f t="shared" si="0"/>
        <v>24</v>
      </c>
      <c r="B27" s="78">
        <v>46268</v>
      </c>
      <c r="C27" s="80" t="s">
        <v>252</v>
      </c>
      <c r="D27" s="79" t="s">
        <v>189</v>
      </c>
      <c r="E27" s="80" t="s">
        <v>342</v>
      </c>
      <c r="F27" s="79" t="s">
        <v>183</v>
      </c>
      <c r="G27" s="25">
        <f t="shared" si="1"/>
        <v>936</v>
      </c>
      <c r="H27" s="88" t="s">
        <v>308</v>
      </c>
      <c r="I27" s="93" t="s">
        <v>308</v>
      </c>
      <c r="J27" s="97">
        <v>936</v>
      </c>
      <c r="K27" s="88" t="s">
        <v>308</v>
      </c>
      <c r="L27" s="25">
        <f>IF($D27="","",SUMIFS($H$4:$H27,$D$4:$D27,$D27)+SUMIFS($I$4:$I27,$D$4:$D27,$D27)-SUMIFS($J$4:$J27,$D$4:$D27,$D27)-SUMIFS($K$4:$K27,$D$4:$D27,$D27))</f>
        <v>0</v>
      </c>
      <c r="M27" s="80" t="s">
        <v>340</v>
      </c>
      <c r="N27" s="80" t="s">
        <v>203</v>
      </c>
      <c r="O27" s="94"/>
      <c r="P27" s="26">
        <f t="shared" si="2"/>
        <v>0</v>
      </c>
      <c r="Q27" s="80"/>
      <c r="R27" s="80"/>
      <c r="S27" s="80"/>
      <c r="T27" s="82"/>
      <c r="U27" s="80"/>
      <c r="V27" s="80"/>
      <c r="W27" s="80"/>
    </row>
    <row r="28" ht="18" customHeight="1" spans="1:23">
      <c r="A28" s="87">
        <f t="shared" si="0"/>
        <v>25</v>
      </c>
      <c r="B28" s="78">
        <v>46269</v>
      </c>
      <c r="C28" s="80" t="s">
        <v>169</v>
      </c>
      <c r="D28" s="79" t="s">
        <v>189</v>
      </c>
      <c r="E28" s="80" t="s">
        <v>343</v>
      </c>
      <c r="F28" s="79" t="s">
        <v>157</v>
      </c>
      <c r="G28" s="25">
        <f t="shared" si="1"/>
        <v>0</v>
      </c>
      <c r="H28" s="88">
        <v>960</v>
      </c>
      <c r="I28" s="93" t="s">
        <v>308</v>
      </c>
      <c r="J28" s="97" t="s">
        <v>308</v>
      </c>
      <c r="K28" s="88" t="s">
        <v>308</v>
      </c>
      <c r="L28" s="25">
        <f>IF($D28="","",SUMIFS($H$4:$H28,$D$4:$D28,$D28)+SUMIFS($I$4:$I28,$D$4:$D28,$D28)-SUMIFS($J$4:$J28,$D$4:$D28,$D28)-SUMIFS($K$4:$K28,$D$4:$D28,$D28))</f>
        <v>960</v>
      </c>
      <c r="M28" s="80" t="s">
        <v>344</v>
      </c>
      <c r="N28" s="80" t="s">
        <v>203</v>
      </c>
      <c r="O28" s="94">
        <v>10</v>
      </c>
      <c r="P28" s="26">
        <f t="shared" si="2"/>
        <v>9600</v>
      </c>
      <c r="Q28" s="80" t="s">
        <v>215</v>
      </c>
      <c r="R28" s="80"/>
      <c r="S28" s="80"/>
      <c r="T28" s="82"/>
      <c r="U28" s="80"/>
      <c r="V28" s="80"/>
      <c r="W28" s="80" t="s">
        <v>345</v>
      </c>
    </row>
    <row r="29" ht="18" customHeight="1" spans="1:23">
      <c r="A29" s="87">
        <f t="shared" si="0"/>
        <v>26</v>
      </c>
      <c r="B29" s="78">
        <v>46269</v>
      </c>
      <c r="C29" s="80" t="s">
        <v>228</v>
      </c>
      <c r="D29" s="79" t="s">
        <v>189</v>
      </c>
      <c r="E29" s="80" t="s">
        <v>346</v>
      </c>
      <c r="F29" s="79" t="s">
        <v>183</v>
      </c>
      <c r="G29" s="25">
        <f t="shared" si="1"/>
        <v>960</v>
      </c>
      <c r="H29" s="88" t="s">
        <v>308</v>
      </c>
      <c r="I29" s="93" t="s">
        <v>308</v>
      </c>
      <c r="J29" s="97">
        <v>960</v>
      </c>
      <c r="K29" s="88" t="s">
        <v>308</v>
      </c>
      <c r="L29" s="25">
        <f>IF($D29="","",SUMIFS($H$4:$H29,$D$4:$D29,$D29)+SUMIFS($I$4:$I29,$D$4:$D29,$D29)-SUMIFS($J$4:$J29,$D$4:$D29,$D29)-SUMIFS($K$4:$K29,$D$4:$D29,$D29))</f>
        <v>0</v>
      </c>
      <c r="M29" s="80" t="s">
        <v>344</v>
      </c>
      <c r="N29" s="80" t="s">
        <v>203</v>
      </c>
      <c r="O29" s="94"/>
      <c r="P29" s="26">
        <f t="shared" si="2"/>
        <v>0</v>
      </c>
      <c r="Q29" s="80"/>
      <c r="R29" s="80"/>
      <c r="S29" s="80"/>
      <c r="T29" s="82"/>
      <c r="U29" s="80"/>
      <c r="V29" s="80"/>
      <c r="W29" s="80"/>
    </row>
    <row r="30" ht="18" customHeight="1" spans="1:23">
      <c r="A30" s="87">
        <f t="shared" si="0"/>
        <v>27</v>
      </c>
      <c r="B30" s="78">
        <v>46269</v>
      </c>
      <c r="C30" s="80" t="s">
        <v>211</v>
      </c>
      <c r="D30" s="79" t="s">
        <v>154</v>
      </c>
      <c r="E30" s="80" t="s">
        <v>347</v>
      </c>
      <c r="F30" s="79" t="s">
        <v>183</v>
      </c>
      <c r="G30" s="25">
        <f t="shared" si="1"/>
        <v>34165</v>
      </c>
      <c r="H30" s="88" t="s">
        <v>308</v>
      </c>
      <c r="I30" s="93" t="s">
        <v>308</v>
      </c>
      <c r="J30" s="97">
        <v>574</v>
      </c>
      <c r="K30" s="88" t="s">
        <v>308</v>
      </c>
      <c r="L30" s="25">
        <f>IF($D30="","",SUMIFS($H$4:$H30,$D$4:$D30,$D30)+SUMIFS($I$4:$I30,$D$4:$D30,$D30)-SUMIFS($J$4:$J30,$D$4:$D30,$D30)-SUMIFS($K$4:$K30,$D$4:$D30,$D30))</f>
        <v>33591</v>
      </c>
      <c r="M30" s="80" t="s">
        <v>317</v>
      </c>
      <c r="N30" s="80" t="s">
        <v>145</v>
      </c>
      <c r="O30" s="94"/>
      <c r="P30" s="26">
        <f t="shared" si="2"/>
        <v>0</v>
      </c>
      <c r="Q30" s="80"/>
      <c r="R30" s="80"/>
      <c r="S30" s="80"/>
      <c r="T30" s="82"/>
      <c r="U30" s="80"/>
      <c r="V30" s="80"/>
      <c r="W30" s="80"/>
    </row>
    <row r="31" ht="18" customHeight="1" spans="1:23">
      <c r="A31" s="87">
        <f t="shared" si="0"/>
        <v>28</v>
      </c>
      <c r="B31" s="78">
        <v>46269</v>
      </c>
      <c r="C31" s="80" t="s">
        <v>169</v>
      </c>
      <c r="D31" s="79" t="s">
        <v>189</v>
      </c>
      <c r="E31" s="80" t="s">
        <v>348</v>
      </c>
      <c r="F31" s="79" t="s">
        <v>157</v>
      </c>
      <c r="G31" s="25">
        <f t="shared" si="1"/>
        <v>0</v>
      </c>
      <c r="H31" s="88">
        <v>936</v>
      </c>
      <c r="I31" s="93" t="s">
        <v>308</v>
      </c>
      <c r="J31" s="97" t="s">
        <v>308</v>
      </c>
      <c r="K31" s="88" t="s">
        <v>308</v>
      </c>
      <c r="L31" s="25">
        <f>IF($D31="","",SUMIFS($H$4:$H31,$D$4:$D31,$D31)+SUMIFS($I$4:$I31,$D$4:$D31,$D31)-SUMIFS($J$4:$J31,$D$4:$D31,$D31)-SUMIFS($K$4:$K31,$D$4:$D31,$D31))</f>
        <v>936</v>
      </c>
      <c r="M31" s="80" t="s">
        <v>340</v>
      </c>
      <c r="N31" s="80" t="s">
        <v>203</v>
      </c>
      <c r="O31" s="94">
        <v>10</v>
      </c>
      <c r="P31" s="26">
        <f t="shared" si="2"/>
        <v>9360</v>
      </c>
      <c r="Q31" s="80" t="s">
        <v>215</v>
      </c>
      <c r="R31" s="80"/>
      <c r="S31" s="80"/>
      <c r="T31" s="82"/>
      <c r="U31" s="80"/>
      <c r="V31" s="80"/>
      <c r="W31" s="80" t="s">
        <v>349</v>
      </c>
    </row>
    <row r="32" ht="18" customHeight="1" spans="1:23">
      <c r="A32" s="87">
        <f t="shared" si="0"/>
        <v>29</v>
      </c>
      <c r="B32" s="78">
        <v>46269</v>
      </c>
      <c r="C32" s="80" t="s">
        <v>252</v>
      </c>
      <c r="D32" s="79" t="s">
        <v>189</v>
      </c>
      <c r="E32" s="80" t="s">
        <v>350</v>
      </c>
      <c r="F32" s="79" t="s">
        <v>183</v>
      </c>
      <c r="G32" s="25">
        <f t="shared" si="1"/>
        <v>936</v>
      </c>
      <c r="H32" s="88" t="s">
        <v>308</v>
      </c>
      <c r="I32" s="93" t="s">
        <v>308</v>
      </c>
      <c r="J32" s="97">
        <v>936</v>
      </c>
      <c r="K32" s="88" t="s">
        <v>308</v>
      </c>
      <c r="L32" s="25">
        <f>IF($D32="","",SUMIFS($H$4:$H32,$D$4:$D32,$D32)+SUMIFS($I$4:$I32,$D$4:$D32,$D32)-SUMIFS($J$4:$J32,$D$4:$D32,$D32)-SUMIFS($K$4:$K32,$D$4:$D32,$D32))</f>
        <v>0</v>
      </c>
      <c r="M32" s="80" t="s">
        <v>340</v>
      </c>
      <c r="N32" s="80" t="s">
        <v>203</v>
      </c>
      <c r="O32" s="94"/>
      <c r="P32" s="26">
        <f t="shared" si="2"/>
        <v>0</v>
      </c>
      <c r="Q32" s="80"/>
      <c r="R32" s="80"/>
      <c r="S32" s="80"/>
      <c r="T32" s="82"/>
      <c r="U32" s="80"/>
      <c r="V32" s="80"/>
      <c r="W32" s="80"/>
    </row>
    <row r="33" ht="18" customHeight="1" spans="1:23">
      <c r="A33" s="87">
        <f t="shared" si="0"/>
        <v>30</v>
      </c>
      <c r="B33" s="78">
        <v>46269</v>
      </c>
      <c r="C33" s="80" t="s">
        <v>169</v>
      </c>
      <c r="D33" s="79" t="s">
        <v>189</v>
      </c>
      <c r="E33" s="80" t="s">
        <v>351</v>
      </c>
      <c r="F33" s="79" t="s">
        <v>157</v>
      </c>
      <c r="G33" s="25">
        <f t="shared" si="1"/>
        <v>0</v>
      </c>
      <c r="H33" s="88">
        <v>582</v>
      </c>
      <c r="I33" s="93" t="s">
        <v>308</v>
      </c>
      <c r="J33" s="97" t="s">
        <v>308</v>
      </c>
      <c r="K33" s="88" t="s">
        <v>308</v>
      </c>
      <c r="L33" s="25">
        <f>IF($D33="","",SUMIFS($H$4:$H33,$D$4:$D33,$D33)+SUMIFS($I$4:$I33,$D$4:$D33,$D33)-SUMIFS($J$4:$J33,$D$4:$D33,$D33)-SUMIFS($K$4:$K33,$D$4:$D33,$D33))</f>
        <v>582</v>
      </c>
      <c r="M33" s="80" t="s">
        <v>344</v>
      </c>
      <c r="N33" s="80" t="s">
        <v>203</v>
      </c>
      <c r="O33" s="94">
        <v>10</v>
      </c>
      <c r="P33" s="26">
        <f t="shared" si="2"/>
        <v>5820</v>
      </c>
      <c r="Q33" s="80" t="s">
        <v>215</v>
      </c>
      <c r="R33" s="80"/>
      <c r="S33" s="80"/>
      <c r="T33" s="82"/>
      <c r="U33" s="80"/>
      <c r="V33" s="80"/>
      <c r="W33" s="80" t="s">
        <v>352</v>
      </c>
    </row>
    <row r="34" ht="18" customHeight="1" spans="1:23">
      <c r="A34" s="87">
        <f t="shared" si="0"/>
        <v>31</v>
      </c>
      <c r="B34" s="78">
        <v>46269</v>
      </c>
      <c r="C34" s="80" t="s">
        <v>228</v>
      </c>
      <c r="D34" s="79" t="s">
        <v>189</v>
      </c>
      <c r="E34" s="80" t="s">
        <v>353</v>
      </c>
      <c r="F34" s="79" t="s">
        <v>183</v>
      </c>
      <c r="G34" s="25">
        <f t="shared" si="1"/>
        <v>582</v>
      </c>
      <c r="H34" s="88" t="s">
        <v>308</v>
      </c>
      <c r="I34" s="93" t="s">
        <v>308</v>
      </c>
      <c r="J34" s="97">
        <v>582</v>
      </c>
      <c r="K34" s="88" t="s">
        <v>308</v>
      </c>
      <c r="L34" s="25">
        <f>IF($D34="","",SUMIFS($H$4:$H34,$D$4:$D34,$D34)+SUMIFS($I$4:$I34,$D$4:$D34,$D34)-SUMIFS($J$4:$J34,$D$4:$D34,$D34)-SUMIFS($K$4:$K34,$D$4:$D34,$D34))</f>
        <v>0</v>
      </c>
      <c r="M34" s="80" t="s">
        <v>344</v>
      </c>
      <c r="N34" s="80" t="s">
        <v>203</v>
      </c>
      <c r="O34" s="94"/>
      <c r="P34" s="26">
        <f t="shared" si="2"/>
        <v>0</v>
      </c>
      <c r="Q34" s="80"/>
      <c r="R34" s="80"/>
      <c r="S34" s="80"/>
      <c r="T34" s="82"/>
      <c r="U34" s="80"/>
      <c r="V34" s="80"/>
      <c r="W34" s="80"/>
    </row>
    <row r="35" ht="18" customHeight="1" spans="1:23">
      <c r="A35" s="87">
        <f t="shared" si="0"/>
        <v>32</v>
      </c>
      <c r="B35" s="78">
        <v>46270</v>
      </c>
      <c r="C35" s="80" t="s">
        <v>235</v>
      </c>
      <c r="D35" s="79" t="s">
        <v>140</v>
      </c>
      <c r="E35" s="80" t="s">
        <v>354</v>
      </c>
      <c r="F35" s="79" t="s">
        <v>183</v>
      </c>
      <c r="G35" s="25">
        <f t="shared" si="1"/>
        <v>67800</v>
      </c>
      <c r="H35" s="88" t="s">
        <v>308</v>
      </c>
      <c r="I35" s="93" t="s">
        <v>308</v>
      </c>
      <c r="J35" s="97">
        <v>1320</v>
      </c>
      <c r="K35" s="88" t="s">
        <v>308</v>
      </c>
      <c r="L35" s="25">
        <f>IF($D35="","",SUMIFS($H$4:$H35,$D$4:$D35,$D35)+SUMIFS($I$4:$I35,$D$4:$D35,$D35)-SUMIFS($J$4:$J35,$D$4:$D35,$D35)-SUMIFS($K$4:$K35,$D$4:$D35,$D35))</f>
        <v>66480</v>
      </c>
      <c r="M35" s="80" t="s">
        <v>355</v>
      </c>
      <c r="N35" s="80" t="s">
        <v>145</v>
      </c>
      <c r="O35" s="94"/>
      <c r="P35" s="26">
        <f t="shared" si="2"/>
        <v>0</v>
      </c>
      <c r="Q35" s="80"/>
      <c r="R35" s="80"/>
      <c r="S35" s="80"/>
      <c r="T35" s="82"/>
      <c r="U35" s="80"/>
      <c r="V35" s="80"/>
      <c r="W35" s="80"/>
    </row>
    <row r="36" ht="18" customHeight="1" spans="1:23">
      <c r="A36" s="87">
        <f t="shared" si="0"/>
        <v>33</v>
      </c>
      <c r="B36" s="78">
        <v>46271</v>
      </c>
      <c r="C36" s="80" t="s">
        <v>220</v>
      </c>
      <c r="D36" s="79" t="s">
        <v>167</v>
      </c>
      <c r="E36" s="80" t="s">
        <v>356</v>
      </c>
      <c r="F36" s="79" t="s">
        <v>183</v>
      </c>
      <c r="G36" s="25">
        <f t="shared" si="1"/>
        <v>58032</v>
      </c>
      <c r="H36" s="88" t="s">
        <v>308</v>
      </c>
      <c r="I36" s="93" t="s">
        <v>308</v>
      </c>
      <c r="J36" s="97">
        <v>252</v>
      </c>
      <c r="K36" s="88" t="s">
        <v>308</v>
      </c>
      <c r="L36" s="25">
        <f>IF($D36="","",SUMIFS($H$4:$H36,$D$4:$D36,$D36)+SUMIFS($I$4:$I36,$D$4:$D36,$D36)-SUMIFS($J$4:$J36,$D$4:$D36,$D36)-SUMIFS($K$4:$K36,$D$4:$D36,$D36))</f>
        <v>57780</v>
      </c>
      <c r="M36" s="80" t="s">
        <v>357</v>
      </c>
      <c r="N36" s="80" t="s">
        <v>145</v>
      </c>
      <c r="O36" s="94"/>
      <c r="P36" s="26">
        <f t="shared" si="2"/>
        <v>0</v>
      </c>
      <c r="Q36" s="80"/>
      <c r="R36" s="80"/>
      <c r="S36" s="80"/>
      <c r="T36" s="82"/>
      <c r="U36" s="80"/>
      <c r="V36" s="80"/>
      <c r="W36" s="80"/>
    </row>
    <row r="37" ht="18" customHeight="1" spans="1:23">
      <c r="A37" s="87">
        <f t="shared" si="0"/>
        <v>34</v>
      </c>
      <c r="B37" s="78">
        <v>46272</v>
      </c>
      <c r="C37" s="80" t="s">
        <v>169</v>
      </c>
      <c r="D37" s="79" t="s">
        <v>189</v>
      </c>
      <c r="E37" s="80" t="s">
        <v>358</v>
      </c>
      <c r="F37" s="79" t="s">
        <v>157</v>
      </c>
      <c r="G37" s="25">
        <f t="shared" si="1"/>
        <v>0</v>
      </c>
      <c r="H37" s="88">
        <v>846</v>
      </c>
      <c r="I37" s="93" t="s">
        <v>308</v>
      </c>
      <c r="J37" s="97" t="s">
        <v>308</v>
      </c>
      <c r="K37" s="88" t="s">
        <v>308</v>
      </c>
      <c r="L37" s="25">
        <f>IF($D37="","",SUMIFS($H$4:$H37,$D$4:$D37,$D37)+SUMIFS($I$4:$I37,$D$4:$D37,$D37)-SUMIFS($J$4:$J37,$D$4:$D37,$D37)-SUMIFS($K$4:$K37,$D$4:$D37,$D37))</f>
        <v>846</v>
      </c>
      <c r="M37" s="80" t="s">
        <v>328</v>
      </c>
      <c r="N37" s="80" t="s">
        <v>203</v>
      </c>
      <c r="O37" s="94">
        <v>10</v>
      </c>
      <c r="P37" s="26">
        <f t="shared" si="2"/>
        <v>8460</v>
      </c>
      <c r="Q37" s="80" t="s">
        <v>215</v>
      </c>
      <c r="R37" s="80"/>
      <c r="S37" s="80"/>
      <c r="T37" s="82"/>
      <c r="U37" s="80"/>
      <c r="V37" s="80"/>
      <c r="W37" s="80" t="s">
        <v>359</v>
      </c>
    </row>
    <row r="38" ht="18" customHeight="1" spans="1:23">
      <c r="A38" s="87">
        <f t="shared" si="0"/>
        <v>35</v>
      </c>
      <c r="B38" s="78">
        <v>46272</v>
      </c>
      <c r="C38" s="80" t="s">
        <v>181</v>
      </c>
      <c r="D38" s="79" t="s">
        <v>189</v>
      </c>
      <c r="E38" s="80" t="s">
        <v>360</v>
      </c>
      <c r="F38" s="79" t="s">
        <v>183</v>
      </c>
      <c r="G38" s="25">
        <f t="shared" si="1"/>
        <v>846</v>
      </c>
      <c r="H38" s="88" t="s">
        <v>308</v>
      </c>
      <c r="I38" s="93" t="s">
        <v>308</v>
      </c>
      <c r="J38" s="97">
        <v>846</v>
      </c>
      <c r="K38" s="88" t="s">
        <v>308</v>
      </c>
      <c r="L38" s="25">
        <f>IF($D38="","",SUMIFS($H$4:$H38,$D$4:$D38,$D38)+SUMIFS($I$4:$I38,$D$4:$D38,$D38)-SUMIFS($J$4:$J38,$D$4:$D38,$D38)-SUMIFS($K$4:$K38,$D$4:$D38,$D38))</f>
        <v>0</v>
      </c>
      <c r="M38" s="80" t="s">
        <v>328</v>
      </c>
      <c r="N38" s="80" t="s">
        <v>203</v>
      </c>
      <c r="O38" s="94"/>
      <c r="P38" s="26">
        <f t="shared" si="2"/>
        <v>0</v>
      </c>
      <c r="Q38" s="80"/>
      <c r="R38" s="80"/>
      <c r="S38" s="80"/>
      <c r="T38" s="82"/>
      <c r="U38" s="80"/>
      <c r="V38" s="80"/>
      <c r="W38" s="80"/>
    </row>
    <row r="39" ht="18" customHeight="1" spans="1:23">
      <c r="A39" s="87">
        <f t="shared" si="0"/>
        <v>36</v>
      </c>
      <c r="B39" s="78">
        <v>46272</v>
      </c>
      <c r="C39" s="80" t="s">
        <v>169</v>
      </c>
      <c r="D39" s="79" t="s">
        <v>189</v>
      </c>
      <c r="E39" s="80" t="s">
        <v>361</v>
      </c>
      <c r="F39" s="79" t="s">
        <v>157</v>
      </c>
      <c r="G39" s="25">
        <f t="shared" si="1"/>
        <v>0</v>
      </c>
      <c r="H39" s="88">
        <v>846</v>
      </c>
      <c r="I39" s="93" t="s">
        <v>308</v>
      </c>
      <c r="J39" s="97" t="s">
        <v>308</v>
      </c>
      <c r="K39" s="88" t="s">
        <v>308</v>
      </c>
      <c r="L39" s="25">
        <f>IF($D39="","",SUMIFS($H$4:$H39,$D$4:$D39,$D39)+SUMIFS($I$4:$I39,$D$4:$D39,$D39)-SUMIFS($J$4:$J39,$D$4:$D39,$D39)-SUMIFS($K$4:$K39,$D$4:$D39,$D39))</f>
        <v>846</v>
      </c>
      <c r="M39" s="80" t="s">
        <v>328</v>
      </c>
      <c r="N39" s="80" t="s">
        <v>203</v>
      </c>
      <c r="O39" s="94">
        <v>10</v>
      </c>
      <c r="P39" s="26">
        <f t="shared" si="2"/>
        <v>8460</v>
      </c>
      <c r="Q39" s="80" t="s">
        <v>215</v>
      </c>
      <c r="R39" s="80"/>
      <c r="S39" s="80"/>
      <c r="T39" s="82"/>
      <c r="U39" s="80"/>
      <c r="V39" s="80"/>
      <c r="W39" s="80" t="s">
        <v>362</v>
      </c>
    </row>
    <row r="40" ht="18" customHeight="1" spans="1:23">
      <c r="A40" s="87">
        <f t="shared" si="0"/>
        <v>37</v>
      </c>
      <c r="B40" s="78">
        <v>46272</v>
      </c>
      <c r="C40" s="80" t="s">
        <v>211</v>
      </c>
      <c r="D40" s="79" t="s">
        <v>154</v>
      </c>
      <c r="E40" s="80" t="s">
        <v>363</v>
      </c>
      <c r="F40" s="79" t="s">
        <v>183</v>
      </c>
      <c r="G40" s="25">
        <f t="shared" si="1"/>
        <v>33591</v>
      </c>
      <c r="H40" s="88" t="s">
        <v>308</v>
      </c>
      <c r="I40" s="93" t="s">
        <v>308</v>
      </c>
      <c r="J40" s="97">
        <v>588</v>
      </c>
      <c r="K40" s="88" t="s">
        <v>308</v>
      </c>
      <c r="L40" s="25">
        <f>IF($D40="","",SUMIFS($H$4:$H40,$D$4:$D40,$D40)+SUMIFS($I$4:$I40,$D$4:$D40,$D40)-SUMIFS($J$4:$J40,$D$4:$D40,$D40)-SUMIFS($K$4:$K40,$D$4:$D40,$D40))</f>
        <v>33003</v>
      </c>
      <c r="M40" s="80" t="s">
        <v>317</v>
      </c>
      <c r="N40" s="80" t="s">
        <v>145</v>
      </c>
      <c r="O40" s="94"/>
      <c r="P40" s="26">
        <f t="shared" si="2"/>
        <v>0</v>
      </c>
      <c r="Q40" s="80"/>
      <c r="R40" s="80"/>
      <c r="S40" s="80"/>
      <c r="T40" s="82"/>
      <c r="U40" s="80"/>
      <c r="V40" s="80"/>
      <c r="W40" s="80"/>
    </row>
    <row r="41" ht="18" customHeight="1" spans="1:23">
      <c r="A41" s="87">
        <f t="shared" si="0"/>
        <v>38</v>
      </c>
      <c r="B41" s="78">
        <v>46272</v>
      </c>
      <c r="C41" s="80" t="s">
        <v>220</v>
      </c>
      <c r="D41" s="79" t="s">
        <v>167</v>
      </c>
      <c r="E41" s="80" t="s">
        <v>364</v>
      </c>
      <c r="F41" s="79" t="s">
        <v>183</v>
      </c>
      <c r="G41" s="25">
        <f t="shared" si="1"/>
        <v>57780</v>
      </c>
      <c r="H41" s="88" t="s">
        <v>308</v>
      </c>
      <c r="I41" s="93" t="s">
        <v>308</v>
      </c>
      <c r="J41" s="97">
        <v>759</v>
      </c>
      <c r="K41" s="88" t="s">
        <v>308</v>
      </c>
      <c r="L41" s="25">
        <f>IF($D41="","",SUMIFS($H$4:$H41,$D$4:$D41,$D41)+SUMIFS($I$4:$I41,$D$4:$D41,$D41)-SUMIFS($J$4:$J41,$D$4:$D41,$D41)-SUMIFS($K$4:$K41,$D$4:$D41,$D41))</f>
        <v>57021</v>
      </c>
      <c r="M41" s="80" t="s">
        <v>365</v>
      </c>
      <c r="N41" s="80" t="s">
        <v>145</v>
      </c>
      <c r="O41" s="94"/>
      <c r="P41" s="26">
        <f t="shared" si="2"/>
        <v>0</v>
      </c>
      <c r="Q41" s="80"/>
      <c r="R41" s="80"/>
      <c r="S41" s="80"/>
      <c r="T41" s="82"/>
      <c r="U41" s="80"/>
      <c r="V41" s="80"/>
      <c r="W41" s="80"/>
    </row>
    <row r="42" ht="18" customHeight="1" spans="1:23">
      <c r="A42" s="87">
        <f t="shared" si="0"/>
        <v>39</v>
      </c>
      <c r="B42" s="78">
        <v>46272</v>
      </c>
      <c r="C42" s="80" t="s">
        <v>190</v>
      </c>
      <c r="D42" s="79" t="s">
        <v>189</v>
      </c>
      <c r="E42" s="80" t="s">
        <v>366</v>
      </c>
      <c r="F42" s="79" t="s">
        <v>183</v>
      </c>
      <c r="G42" s="25">
        <f t="shared" si="1"/>
        <v>846</v>
      </c>
      <c r="H42" s="88" t="s">
        <v>308</v>
      </c>
      <c r="I42" s="93" t="s">
        <v>308</v>
      </c>
      <c r="J42" s="97">
        <v>846</v>
      </c>
      <c r="K42" s="88" t="s">
        <v>308</v>
      </c>
      <c r="L42" s="25">
        <f>IF($D42="","",SUMIFS($H$4:$H42,$D$4:$D42,$D42)+SUMIFS($I$4:$I42,$D$4:$D42,$D42)-SUMIFS($J$4:$J42,$D$4:$D42,$D42)-SUMIFS($K$4:$K42,$D$4:$D42,$D42))</f>
        <v>0</v>
      </c>
      <c r="M42" s="80" t="s">
        <v>328</v>
      </c>
      <c r="N42" s="80" t="s">
        <v>203</v>
      </c>
      <c r="O42" s="94"/>
      <c r="P42" s="26">
        <f t="shared" si="2"/>
        <v>0</v>
      </c>
      <c r="Q42" s="80"/>
      <c r="R42" s="80"/>
      <c r="S42" s="80"/>
      <c r="T42" s="82"/>
      <c r="U42" s="80"/>
      <c r="V42" s="80"/>
      <c r="W42" s="80"/>
    </row>
    <row r="43" ht="18" customHeight="1" spans="1:23">
      <c r="A43" s="87">
        <f t="shared" si="0"/>
        <v>40</v>
      </c>
      <c r="B43" s="78">
        <v>46273</v>
      </c>
      <c r="C43" s="80" t="s">
        <v>155</v>
      </c>
      <c r="D43" s="79" t="s">
        <v>154</v>
      </c>
      <c r="E43" s="80" t="s">
        <v>367</v>
      </c>
      <c r="F43" s="79" t="s">
        <v>170</v>
      </c>
      <c r="G43" s="25">
        <f t="shared" si="1"/>
        <v>33003</v>
      </c>
      <c r="H43" s="88">
        <v>0</v>
      </c>
      <c r="I43" s="93">
        <v>2</v>
      </c>
      <c r="J43" s="97">
        <v>0</v>
      </c>
      <c r="K43" s="88">
        <v>0</v>
      </c>
      <c r="L43" s="25">
        <f>IF($D43="","",SUMIFS($H$4:$H43,$D$4:$D43,$D43)+SUMIFS($I$4:$I43,$D$4:$D43,$D43)-SUMIFS($J$4:$J43,$D$4:$D43,$D43)-SUMIFS($K$4:$K43,$D$4:$D43,$D43))</f>
        <v>33005</v>
      </c>
      <c r="M43" s="80"/>
      <c r="N43" s="80" t="s">
        <v>171</v>
      </c>
      <c r="O43" s="94"/>
      <c r="P43" s="26">
        <f t="shared" si="2"/>
        <v>0</v>
      </c>
      <c r="Q43" s="80"/>
      <c r="R43" s="80"/>
      <c r="S43" s="80"/>
      <c r="T43" s="82"/>
      <c r="U43" s="80"/>
      <c r="V43" s="80"/>
      <c r="W43" s="80" t="s">
        <v>368</v>
      </c>
    </row>
    <row r="44" ht="18" customHeight="1" spans="1:23">
      <c r="A44" s="87">
        <f t="shared" si="0"/>
        <v>41</v>
      </c>
      <c r="B44" s="78">
        <v>46274</v>
      </c>
      <c r="C44" s="80" t="s">
        <v>155</v>
      </c>
      <c r="D44" s="79" t="s">
        <v>140</v>
      </c>
      <c r="E44" s="80" t="s">
        <v>369</v>
      </c>
      <c r="F44" s="79" t="s">
        <v>183</v>
      </c>
      <c r="G44" s="25">
        <f t="shared" si="1"/>
        <v>66480</v>
      </c>
      <c r="H44" s="88" t="s">
        <v>308</v>
      </c>
      <c r="I44" s="93" t="s">
        <v>308</v>
      </c>
      <c r="J44" s="97">
        <v>423</v>
      </c>
      <c r="K44" s="88" t="s">
        <v>308</v>
      </c>
      <c r="L44" s="25">
        <f>IF($D44="","",SUMIFS($H$4:$H44,$D$4:$D44,$D44)+SUMIFS($I$4:$I44,$D$4:$D44,$D44)-SUMIFS($J$4:$J44,$D$4:$D44,$D44)-SUMIFS($K$4:$K44,$D$4:$D44,$D44))</f>
        <v>66057</v>
      </c>
      <c r="M44" s="80" t="s">
        <v>309</v>
      </c>
      <c r="N44" s="80" t="s">
        <v>145</v>
      </c>
      <c r="O44" s="94"/>
      <c r="P44" s="26">
        <f t="shared" si="2"/>
        <v>0</v>
      </c>
      <c r="Q44" s="80"/>
      <c r="R44" s="80"/>
      <c r="S44" s="80"/>
      <c r="T44" s="82"/>
      <c r="U44" s="80"/>
      <c r="V44" s="80"/>
      <c r="W44" s="80"/>
    </row>
    <row r="45" ht="18" customHeight="1" spans="1:23">
      <c r="A45" s="87">
        <f t="shared" si="0"/>
        <v>42</v>
      </c>
      <c r="B45" s="78">
        <v>46274</v>
      </c>
      <c r="C45" s="80" t="s">
        <v>241</v>
      </c>
      <c r="D45" s="79" t="s">
        <v>140</v>
      </c>
      <c r="E45" s="80" t="s">
        <v>370</v>
      </c>
      <c r="F45" s="79" t="s">
        <v>183</v>
      </c>
      <c r="G45" s="25">
        <f t="shared" si="1"/>
        <v>66057</v>
      </c>
      <c r="H45" s="88" t="s">
        <v>308</v>
      </c>
      <c r="I45" s="93" t="s">
        <v>308</v>
      </c>
      <c r="J45" s="97">
        <v>1008</v>
      </c>
      <c r="K45" s="88" t="s">
        <v>308</v>
      </c>
      <c r="L45" s="25">
        <f>IF($D45="","",SUMIFS($H$4:$H45,$D$4:$D45,$D45)+SUMIFS($I$4:$I45,$D$4:$D45,$D45)-SUMIFS($J$4:$J45,$D$4:$D45,$D45)-SUMIFS($K$4:$K45,$D$4:$D45,$D45))</f>
        <v>65049</v>
      </c>
      <c r="M45" s="80" t="s">
        <v>371</v>
      </c>
      <c r="N45" s="80" t="s">
        <v>145</v>
      </c>
      <c r="O45" s="94"/>
      <c r="P45" s="26">
        <f t="shared" si="2"/>
        <v>0</v>
      </c>
      <c r="Q45" s="80"/>
      <c r="R45" s="80"/>
      <c r="S45" s="80"/>
      <c r="T45" s="82"/>
      <c r="U45" s="80"/>
      <c r="V45" s="80"/>
      <c r="W45" s="80"/>
    </row>
    <row r="46" ht="18" customHeight="1" spans="1:23">
      <c r="A46" s="87">
        <f t="shared" si="0"/>
        <v>43</v>
      </c>
      <c r="B46" s="78">
        <v>46274</v>
      </c>
      <c r="C46" s="80" t="s">
        <v>169</v>
      </c>
      <c r="D46" s="79" t="s">
        <v>189</v>
      </c>
      <c r="E46" s="80" t="s">
        <v>372</v>
      </c>
      <c r="F46" s="79" t="s">
        <v>157</v>
      </c>
      <c r="G46" s="25">
        <f t="shared" si="1"/>
        <v>0</v>
      </c>
      <c r="H46" s="88">
        <v>378</v>
      </c>
      <c r="I46" s="93">
        <v>0</v>
      </c>
      <c r="J46" s="97">
        <v>0</v>
      </c>
      <c r="K46" s="88">
        <v>0</v>
      </c>
      <c r="L46" s="25">
        <f>IF($D46="","",SUMIFS($H$4:$H46,$D$4:$D46,$D46)+SUMIFS($I$4:$I46,$D$4:$D46,$D46)-SUMIFS($J$4:$J46,$D$4:$D46,$D46)-SUMIFS($K$4:$K46,$D$4:$D46,$D46))</f>
        <v>378</v>
      </c>
      <c r="M46" s="80" t="s">
        <v>321</v>
      </c>
      <c r="N46" s="80" t="s">
        <v>203</v>
      </c>
      <c r="O46" s="94">
        <v>10</v>
      </c>
      <c r="P46" s="26">
        <f t="shared" si="2"/>
        <v>3780</v>
      </c>
      <c r="Q46" s="80" t="s">
        <v>215</v>
      </c>
      <c r="R46" s="80"/>
      <c r="S46" s="80"/>
      <c r="T46" s="82"/>
      <c r="U46" s="80"/>
      <c r="V46" s="80"/>
      <c r="W46" s="80" t="s">
        <v>373</v>
      </c>
    </row>
    <row r="47" ht="18" customHeight="1" spans="1:23">
      <c r="A47" s="87">
        <f t="shared" si="0"/>
        <v>44</v>
      </c>
      <c r="B47" s="78">
        <v>46274</v>
      </c>
      <c r="C47" s="80" t="s">
        <v>169</v>
      </c>
      <c r="D47" s="79" t="s">
        <v>189</v>
      </c>
      <c r="E47" s="80" t="s">
        <v>374</v>
      </c>
      <c r="F47" s="79" t="s">
        <v>157</v>
      </c>
      <c r="G47" s="25">
        <f t="shared" si="1"/>
        <v>378</v>
      </c>
      <c r="H47" s="88">
        <v>759</v>
      </c>
      <c r="I47" s="93">
        <v>0</v>
      </c>
      <c r="J47" s="97">
        <v>0</v>
      </c>
      <c r="K47" s="88">
        <v>0</v>
      </c>
      <c r="L47" s="25">
        <f>IF($D47="","",SUMIFS($H$4:$H47,$D$4:$D47,$D47)+SUMIFS($I$4:$I47,$D$4:$D47,$D47)-SUMIFS($J$4:$J47,$D$4:$D47,$D47)-SUMIFS($K$4:$K47,$D$4:$D47,$D47))</f>
        <v>1137</v>
      </c>
      <c r="M47" s="80" t="s">
        <v>344</v>
      </c>
      <c r="N47" s="80" t="s">
        <v>203</v>
      </c>
      <c r="O47" s="94">
        <v>10</v>
      </c>
      <c r="P47" s="26">
        <f t="shared" si="2"/>
        <v>7590</v>
      </c>
      <c r="Q47" s="80" t="s">
        <v>215</v>
      </c>
      <c r="R47" s="80"/>
      <c r="S47" s="80"/>
      <c r="T47" s="82"/>
      <c r="U47" s="80"/>
      <c r="V47" s="80"/>
      <c r="W47" s="80" t="s">
        <v>375</v>
      </c>
    </row>
    <row r="48" ht="18" customHeight="1" spans="1:23">
      <c r="A48" s="87">
        <f t="shared" si="0"/>
        <v>45</v>
      </c>
      <c r="B48" s="78">
        <v>46274</v>
      </c>
      <c r="C48" s="80" t="s">
        <v>169</v>
      </c>
      <c r="D48" s="79" t="s">
        <v>189</v>
      </c>
      <c r="E48" s="80" t="s">
        <v>376</v>
      </c>
      <c r="F48" s="79" t="s">
        <v>157</v>
      </c>
      <c r="G48" s="25">
        <f t="shared" si="1"/>
        <v>1137</v>
      </c>
      <c r="H48" s="88">
        <v>846</v>
      </c>
      <c r="I48" s="93">
        <v>0</v>
      </c>
      <c r="J48" s="97">
        <v>0</v>
      </c>
      <c r="K48" s="88">
        <v>0</v>
      </c>
      <c r="L48" s="25">
        <f>IF($D48="","",SUMIFS($H$4:$H48,$D$4:$D48,$D48)+SUMIFS($I$4:$I48,$D$4:$D48,$D48)-SUMIFS($J$4:$J48,$D$4:$D48,$D48)-SUMIFS($K$4:$K48,$D$4:$D48,$D48))</f>
        <v>1983</v>
      </c>
      <c r="M48" s="80" t="s">
        <v>328</v>
      </c>
      <c r="N48" s="80" t="s">
        <v>203</v>
      </c>
      <c r="O48" s="94">
        <v>10</v>
      </c>
      <c r="P48" s="26">
        <f t="shared" si="2"/>
        <v>8460</v>
      </c>
      <c r="Q48" s="80" t="s">
        <v>215</v>
      </c>
      <c r="R48" s="80"/>
      <c r="S48" s="80"/>
      <c r="T48" s="82"/>
      <c r="U48" s="80"/>
      <c r="V48" s="80"/>
      <c r="W48" s="80" t="s">
        <v>377</v>
      </c>
    </row>
    <row r="49" ht="18" customHeight="1" spans="1:23">
      <c r="A49" s="87">
        <f t="shared" si="0"/>
        <v>46</v>
      </c>
      <c r="B49" s="78">
        <v>46274</v>
      </c>
      <c r="C49" s="80" t="s">
        <v>254</v>
      </c>
      <c r="D49" s="79" t="s">
        <v>189</v>
      </c>
      <c r="E49" s="80" t="s">
        <v>378</v>
      </c>
      <c r="F49" s="79" t="s">
        <v>183</v>
      </c>
      <c r="G49" s="25">
        <f t="shared" si="1"/>
        <v>1983</v>
      </c>
      <c r="H49" s="88">
        <v>0</v>
      </c>
      <c r="I49" s="93">
        <v>0</v>
      </c>
      <c r="J49" s="97">
        <v>378</v>
      </c>
      <c r="K49" s="88">
        <v>0</v>
      </c>
      <c r="L49" s="25">
        <f>IF($D49="","",SUMIFS($H$4:$H49,$D$4:$D49,$D49)+SUMIFS($I$4:$I49,$D$4:$D49,$D49)-SUMIFS($J$4:$J49,$D$4:$D49,$D49)-SUMIFS($K$4:$K49,$D$4:$D49,$D49))</f>
        <v>1605</v>
      </c>
      <c r="M49" s="80" t="s">
        <v>321</v>
      </c>
      <c r="N49" s="80" t="s">
        <v>203</v>
      </c>
      <c r="O49" s="94"/>
      <c r="P49" s="26">
        <f t="shared" si="2"/>
        <v>0</v>
      </c>
      <c r="Q49" s="80"/>
      <c r="R49" s="80"/>
      <c r="S49" s="80"/>
      <c r="T49" s="82"/>
      <c r="U49" s="80"/>
      <c r="V49" s="80"/>
      <c r="W49" s="80"/>
    </row>
    <row r="50" ht="18" customHeight="1" spans="1:23">
      <c r="A50" s="87">
        <f t="shared" si="0"/>
        <v>47</v>
      </c>
      <c r="B50" s="78">
        <v>46274</v>
      </c>
      <c r="C50" s="80" t="s">
        <v>228</v>
      </c>
      <c r="D50" s="79" t="s">
        <v>189</v>
      </c>
      <c r="E50" s="80" t="s">
        <v>379</v>
      </c>
      <c r="F50" s="79" t="s">
        <v>183</v>
      </c>
      <c r="G50" s="25">
        <f t="shared" si="1"/>
        <v>1605</v>
      </c>
      <c r="H50" s="88">
        <v>0</v>
      </c>
      <c r="I50" s="93">
        <v>0</v>
      </c>
      <c r="J50" s="97">
        <v>759</v>
      </c>
      <c r="K50" s="88">
        <v>0</v>
      </c>
      <c r="L50" s="25">
        <f>IF($D50="","",SUMIFS($H$4:$H50,$D$4:$D50,$D50)+SUMIFS($I$4:$I50,$D$4:$D50,$D50)-SUMIFS($J$4:$J50,$D$4:$D50,$D50)-SUMIFS($K$4:$K50,$D$4:$D50,$D50))</f>
        <v>846</v>
      </c>
      <c r="M50" s="80" t="s">
        <v>344</v>
      </c>
      <c r="N50" s="80" t="s">
        <v>203</v>
      </c>
      <c r="O50" s="94"/>
      <c r="P50" s="26">
        <f t="shared" si="2"/>
        <v>0</v>
      </c>
      <c r="Q50" s="80"/>
      <c r="R50" s="80"/>
      <c r="S50" s="80"/>
      <c r="T50" s="82"/>
      <c r="U50" s="80"/>
      <c r="V50" s="80"/>
      <c r="W50" s="80"/>
    </row>
    <row r="51" ht="18" customHeight="1" spans="1:23">
      <c r="A51" s="87">
        <f t="shared" si="0"/>
        <v>48</v>
      </c>
      <c r="B51" s="78">
        <v>46274</v>
      </c>
      <c r="C51" s="80" t="s">
        <v>181</v>
      </c>
      <c r="D51" s="79" t="s">
        <v>189</v>
      </c>
      <c r="E51" s="80" t="s">
        <v>380</v>
      </c>
      <c r="F51" s="79" t="s">
        <v>183</v>
      </c>
      <c r="G51" s="25">
        <f t="shared" si="1"/>
        <v>846</v>
      </c>
      <c r="H51" s="88">
        <v>0</v>
      </c>
      <c r="I51" s="93">
        <v>0</v>
      </c>
      <c r="J51" s="97">
        <v>846</v>
      </c>
      <c r="K51" s="88">
        <v>0</v>
      </c>
      <c r="L51" s="25">
        <f>IF($D51="","",SUMIFS($H$4:$H51,$D$4:$D51,$D51)+SUMIFS($I$4:$I51,$D$4:$D51,$D51)-SUMIFS($J$4:$J51,$D$4:$D51,$D51)-SUMIFS($K$4:$K51,$D$4:$D51,$D51))</f>
        <v>0</v>
      </c>
      <c r="M51" s="80" t="s">
        <v>328</v>
      </c>
      <c r="N51" s="80" t="s">
        <v>203</v>
      </c>
      <c r="O51" s="94"/>
      <c r="P51" s="26">
        <f t="shared" si="2"/>
        <v>0</v>
      </c>
      <c r="Q51" s="80"/>
      <c r="R51" s="80"/>
      <c r="S51" s="80"/>
      <c r="T51" s="82"/>
      <c r="U51" s="80"/>
      <c r="V51" s="80"/>
      <c r="W51" s="80"/>
    </row>
    <row r="52" ht="18" customHeight="1" spans="1:23">
      <c r="A52" s="87">
        <f t="shared" si="0"/>
        <v>49</v>
      </c>
      <c r="B52" s="78">
        <v>46275</v>
      </c>
      <c r="C52" s="80" t="s">
        <v>155</v>
      </c>
      <c r="D52" s="79" t="s">
        <v>140</v>
      </c>
      <c r="E52" s="80" t="s">
        <v>381</v>
      </c>
      <c r="F52" s="79" t="s">
        <v>183</v>
      </c>
      <c r="G52" s="25">
        <f t="shared" si="1"/>
        <v>65049</v>
      </c>
      <c r="H52" s="88">
        <v>0</v>
      </c>
      <c r="I52" s="93">
        <v>0</v>
      </c>
      <c r="J52" s="97">
        <v>423</v>
      </c>
      <c r="K52" s="88">
        <v>0</v>
      </c>
      <c r="L52" s="25">
        <f>IF($D52="","",SUMIFS($H$4:$H52,$D$4:$D52,$D52)+SUMIFS($I$4:$I52,$D$4:$D52,$D52)-SUMIFS($J$4:$J52,$D$4:$D52,$D52)-SUMIFS($K$4:$K52,$D$4:$D52,$D52))</f>
        <v>64626</v>
      </c>
      <c r="M52" s="80" t="s">
        <v>309</v>
      </c>
      <c r="N52" s="80" t="s">
        <v>145</v>
      </c>
      <c r="O52" s="94"/>
      <c r="P52" s="26">
        <f t="shared" si="2"/>
        <v>0</v>
      </c>
      <c r="Q52" s="80"/>
      <c r="R52" s="80"/>
      <c r="S52" s="80"/>
      <c r="T52" s="82"/>
      <c r="U52" s="80"/>
      <c r="V52" s="80"/>
      <c r="W52" s="80"/>
    </row>
    <row r="53" ht="18" customHeight="1" spans="1:23">
      <c r="A53" s="87">
        <f t="shared" si="0"/>
        <v>50</v>
      </c>
      <c r="B53" s="78">
        <v>46275</v>
      </c>
      <c r="C53" s="80" t="s">
        <v>169</v>
      </c>
      <c r="D53" s="79" t="s">
        <v>189</v>
      </c>
      <c r="E53" s="80" t="s">
        <v>382</v>
      </c>
      <c r="F53" s="79" t="s">
        <v>157</v>
      </c>
      <c r="G53" s="25">
        <f t="shared" si="1"/>
        <v>0</v>
      </c>
      <c r="H53" s="88">
        <v>960</v>
      </c>
      <c r="I53" s="93">
        <v>0</v>
      </c>
      <c r="J53" s="97">
        <v>0</v>
      </c>
      <c r="K53" s="88">
        <v>0</v>
      </c>
      <c r="L53" s="25">
        <f>IF($D53="","",SUMIFS($H$4:$H53,$D$4:$D53,$D53)+SUMIFS($I$4:$I53,$D$4:$D53,$D53)-SUMIFS($J$4:$J53,$D$4:$D53,$D53)-SUMIFS($K$4:$K53,$D$4:$D53,$D53))</f>
        <v>960</v>
      </c>
      <c r="M53" s="80" t="s">
        <v>332</v>
      </c>
      <c r="N53" s="80" t="s">
        <v>203</v>
      </c>
      <c r="O53" s="94">
        <v>10</v>
      </c>
      <c r="P53" s="26">
        <f t="shared" si="2"/>
        <v>9600</v>
      </c>
      <c r="Q53" s="80" t="s">
        <v>215</v>
      </c>
      <c r="R53" s="80"/>
      <c r="S53" s="80"/>
      <c r="T53" s="82"/>
      <c r="U53" s="80"/>
      <c r="V53" s="80"/>
      <c r="W53" s="80" t="s">
        <v>383</v>
      </c>
    </row>
    <row r="54" ht="18" customHeight="1" spans="1:23">
      <c r="A54" s="87">
        <f t="shared" si="0"/>
        <v>51</v>
      </c>
      <c r="B54" s="78">
        <v>46275</v>
      </c>
      <c r="C54" s="80" t="s">
        <v>201</v>
      </c>
      <c r="D54" s="79" t="s">
        <v>189</v>
      </c>
      <c r="E54" s="80" t="s">
        <v>384</v>
      </c>
      <c r="F54" s="79" t="s">
        <v>183</v>
      </c>
      <c r="G54" s="25">
        <f t="shared" si="1"/>
        <v>960</v>
      </c>
      <c r="H54" s="88">
        <v>0</v>
      </c>
      <c r="I54" s="93">
        <v>0</v>
      </c>
      <c r="J54" s="97">
        <v>960</v>
      </c>
      <c r="K54" s="88">
        <v>0</v>
      </c>
      <c r="L54" s="25">
        <f>IF($D54="","",SUMIFS($H$4:$H54,$D$4:$D54,$D54)+SUMIFS($I$4:$I54,$D$4:$D54,$D54)-SUMIFS($J$4:$J54,$D$4:$D54,$D54)-SUMIFS($K$4:$K54,$D$4:$D54,$D54))</f>
        <v>0</v>
      </c>
      <c r="M54" s="80" t="s">
        <v>332</v>
      </c>
      <c r="N54" s="80" t="s">
        <v>203</v>
      </c>
      <c r="O54" s="94"/>
      <c r="P54" s="26">
        <f t="shared" si="2"/>
        <v>0</v>
      </c>
      <c r="Q54" s="80"/>
      <c r="R54" s="80"/>
      <c r="S54" s="80"/>
      <c r="T54" s="82"/>
      <c r="U54" s="80"/>
      <c r="V54" s="80"/>
      <c r="W54" s="80"/>
    </row>
    <row r="55" ht="18" customHeight="1" spans="1:23">
      <c r="A55" s="87">
        <f t="shared" si="0"/>
        <v>52</v>
      </c>
      <c r="B55" s="78">
        <v>46275</v>
      </c>
      <c r="C55" s="80" t="s">
        <v>169</v>
      </c>
      <c r="D55" s="79" t="s">
        <v>189</v>
      </c>
      <c r="E55" s="80" t="s">
        <v>385</v>
      </c>
      <c r="F55" s="79" t="s">
        <v>157</v>
      </c>
      <c r="G55" s="25">
        <f t="shared" si="1"/>
        <v>0</v>
      </c>
      <c r="H55" s="88">
        <v>369</v>
      </c>
      <c r="I55" s="93">
        <v>0</v>
      </c>
      <c r="J55" s="97">
        <v>0</v>
      </c>
      <c r="K55" s="88">
        <v>0</v>
      </c>
      <c r="L55" s="25">
        <f>IF($D55="","",SUMIFS($H$4:$H55,$D$4:$D55,$D55)+SUMIFS($I$4:$I55,$D$4:$D55,$D55)-SUMIFS($J$4:$J55,$D$4:$D55,$D55)-SUMIFS($K$4:$K55,$D$4:$D55,$D55))</f>
        <v>369</v>
      </c>
      <c r="M55" s="80" t="s">
        <v>321</v>
      </c>
      <c r="N55" s="80" t="s">
        <v>203</v>
      </c>
      <c r="O55" s="94">
        <v>10</v>
      </c>
      <c r="P55" s="26">
        <f t="shared" si="2"/>
        <v>3690</v>
      </c>
      <c r="Q55" s="80" t="s">
        <v>215</v>
      </c>
      <c r="R55" s="80"/>
      <c r="S55" s="80"/>
      <c r="T55" s="82"/>
      <c r="U55" s="80"/>
      <c r="V55" s="80"/>
      <c r="W55" s="80" t="s">
        <v>386</v>
      </c>
    </row>
    <row r="56" ht="18" customHeight="1" spans="1:23">
      <c r="A56" s="87">
        <f t="shared" si="0"/>
        <v>53</v>
      </c>
      <c r="B56" s="78">
        <v>46275</v>
      </c>
      <c r="C56" s="80" t="s">
        <v>254</v>
      </c>
      <c r="D56" s="79" t="s">
        <v>189</v>
      </c>
      <c r="E56" s="80" t="s">
        <v>387</v>
      </c>
      <c r="F56" s="79" t="s">
        <v>183</v>
      </c>
      <c r="G56" s="25">
        <f t="shared" si="1"/>
        <v>369</v>
      </c>
      <c r="H56" s="88">
        <v>0</v>
      </c>
      <c r="I56" s="93">
        <v>0</v>
      </c>
      <c r="J56" s="97">
        <v>369</v>
      </c>
      <c r="K56" s="88">
        <v>0</v>
      </c>
      <c r="L56" s="25">
        <f>IF($D56="","",SUMIFS($H$4:$H56,$D$4:$D56,$D56)+SUMIFS($I$4:$I56,$D$4:$D56,$D56)-SUMIFS($J$4:$J56,$D$4:$D56,$D56)-SUMIFS($K$4:$K56,$D$4:$D56,$D56))</f>
        <v>0</v>
      </c>
      <c r="M56" s="80" t="s">
        <v>321</v>
      </c>
      <c r="N56" s="80" t="s">
        <v>203</v>
      </c>
      <c r="O56" s="94"/>
      <c r="P56" s="26">
        <f t="shared" si="2"/>
        <v>0</v>
      </c>
      <c r="Q56" s="80"/>
      <c r="R56" s="80"/>
      <c r="S56" s="80"/>
      <c r="T56" s="82"/>
      <c r="U56" s="80"/>
      <c r="V56" s="80"/>
      <c r="W56" s="80"/>
    </row>
    <row r="57" ht="18" customHeight="1" spans="1:23">
      <c r="A57" s="87">
        <f t="shared" si="0"/>
        <v>54</v>
      </c>
      <c r="B57" s="78">
        <v>46276</v>
      </c>
      <c r="C57" s="80" t="s">
        <v>169</v>
      </c>
      <c r="D57" s="79" t="s">
        <v>189</v>
      </c>
      <c r="E57" s="80" t="s">
        <v>388</v>
      </c>
      <c r="F57" s="79" t="s">
        <v>157</v>
      </c>
      <c r="G57" s="25">
        <f t="shared" si="1"/>
        <v>0</v>
      </c>
      <c r="H57" s="88">
        <v>846</v>
      </c>
      <c r="I57" s="93">
        <v>0</v>
      </c>
      <c r="J57" s="97">
        <v>0</v>
      </c>
      <c r="K57" s="88">
        <v>0</v>
      </c>
      <c r="L57" s="25">
        <f>IF($D57="","",SUMIFS($H$4:$H57,$D$4:$D57,$D57)+SUMIFS($I$4:$I57,$D$4:$D57,$D57)-SUMIFS($J$4:$J57,$D$4:$D57,$D57)-SUMIFS($K$4:$K57,$D$4:$D57,$D57))</f>
        <v>846</v>
      </c>
      <c r="M57" s="80" t="s">
        <v>328</v>
      </c>
      <c r="N57" s="80" t="s">
        <v>203</v>
      </c>
      <c r="O57" s="94">
        <v>10</v>
      </c>
      <c r="P57" s="26">
        <f t="shared" si="2"/>
        <v>8460</v>
      </c>
      <c r="Q57" s="80" t="s">
        <v>215</v>
      </c>
      <c r="R57" s="80"/>
      <c r="S57" s="80"/>
      <c r="T57" s="82"/>
      <c r="U57" s="80"/>
      <c r="V57" s="80"/>
      <c r="W57" s="80" t="s">
        <v>389</v>
      </c>
    </row>
    <row r="58" ht="18" customHeight="1" spans="1:23">
      <c r="A58" s="87">
        <f t="shared" si="0"/>
        <v>55</v>
      </c>
      <c r="B58" s="78">
        <v>46276</v>
      </c>
      <c r="C58" s="80" t="s">
        <v>181</v>
      </c>
      <c r="D58" s="79" t="s">
        <v>189</v>
      </c>
      <c r="E58" s="80" t="s">
        <v>390</v>
      </c>
      <c r="F58" s="79" t="s">
        <v>183</v>
      </c>
      <c r="G58" s="25">
        <f t="shared" si="1"/>
        <v>846</v>
      </c>
      <c r="H58" s="88">
        <v>0</v>
      </c>
      <c r="I58" s="93">
        <v>0</v>
      </c>
      <c r="J58" s="97">
        <v>846</v>
      </c>
      <c r="K58" s="88">
        <v>0</v>
      </c>
      <c r="L58" s="25">
        <f>IF($D58="","",SUMIFS($H$4:$H58,$D$4:$D58,$D58)+SUMIFS($I$4:$I58,$D$4:$D58,$D58)-SUMIFS($J$4:$J58,$D$4:$D58,$D58)-SUMIFS($K$4:$K58,$D$4:$D58,$D58))</f>
        <v>0</v>
      </c>
      <c r="M58" s="80" t="s">
        <v>328</v>
      </c>
      <c r="N58" s="80" t="s">
        <v>203</v>
      </c>
      <c r="O58" s="94"/>
      <c r="P58" s="26">
        <f t="shared" si="2"/>
        <v>0</v>
      </c>
      <c r="Q58" s="80"/>
      <c r="R58" s="80"/>
      <c r="S58" s="80"/>
      <c r="T58" s="82"/>
      <c r="U58" s="80"/>
      <c r="V58" s="80"/>
      <c r="W58" s="80"/>
    </row>
    <row r="59" ht="18" customHeight="1" spans="1:23">
      <c r="A59" s="87">
        <f t="shared" si="0"/>
        <v>56</v>
      </c>
      <c r="B59" s="78">
        <v>46276</v>
      </c>
      <c r="C59" s="80" t="s">
        <v>169</v>
      </c>
      <c r="D59" s="79" t="s">
        <v>189</v>
      </c>
      <c r="E59" s="80" t="s">
        <v>391</v>
      </c>
      <c r="F59" s="79" t="s">
        <v>157</v>
      </c>
      <c r="G59" s="25">
        <f t="shared" si="1"/>
        <v>0</v>
      </c>
      <c r="H59" s="88">
        <v>936</v>
      </c>
      <c r="I59" s="93">
        <v>0</v>
      </c>
      <c r="J59" s="97">
        <v>0</v>
      </c>
      <c r="K59" s="88">
        <v>0</v>
      </c>
      <c r="L59" s="25">
        <f>IF($D59="","",SUMIFS($H$4:$H59,$D$4:$D59,$D59)+SUMIFS($I$4:$I59,$D$4:$D59,$D59)-SUMIFS($J$4:$J59,$D$4:$D59,$D59)-SUMIFS($K$4:$K59,$D$4:$D59,$D59))</f>
        <v>936</v>
      </c>
      <c r="M59" s="80" t="s">
        <v>340</v>
      </c>
      <c r="N59" s="80" t="s">
        <v>203</v>
      </c>
      <c r="O59" s="94">
        <v>10</v>
      </c>
      <c r="P59" s="26">
        <f t="shared" si="2"/>
        <v>9360</v>
      </c>
      <c r="Q59" s="80" t="s">
        <v>215</v>
      </c>
      <c r="R59" s="80"/>
      <c r="S59" s="80"/>
      <c r="T59" s="82"/>
      <c r="U59" s="80"/>
      <c r="V59" s="80"/>
      <c r="W59" s="80" t="s">
        <v>392</v>
      </c>
    </row>
    <row r="60" ht="18" customHeight="1" spans="1:23">
      <c r="A60" s="87">
        <f t="shared" si="0"/>
        <v>57</v>
      </c>
      <c r="B60" s="78">
        <v>46276</v>
      </c>
      <c r="C60" s="80" t="s">
        <v>211</v>
      </c>
      <c r="D60" s="79" t="s">
        <v>154</v>
      </c>
      <c r="E60" s="80" t="s">
        <v>393</v>
      </c>
      <c r="F60" s="79" t="s">
        <v>183</v>
      </c>
      <c r="G60" s="25">
        <f t="shared" si="1"/>
        <v>33005</v>
      </c>
      <c r="H60" s="88">
        <v>0</v>
      </c>
      <c r="I60" s="93">
        <v>0</v>
      </c>
      <c r="J60" s="97">
        <v>588</v>
      </c>
      <c r="K60" s="88">
        <v>0</v>
      </c>
      <c r="L60" s="25">
        <f>IF($D60="","",SUMIFS($H$4:$H60,$D$4:$D60,$D60)+SUMIFS($I$4:$I60,$D$4:$D60,$D60)-SUMIFS($J$4:$J60,$D$4:$D60,$D60)-SUMIFS($K$4:$K60,$D$4:$D60,$D60))</f>
        <v>32417</v>
      </c>
      <c r="M60" s="80" t="s">
        <v>317</v>
      </c>
      <c r="N60" s="80" t="s">
        <v>145</v>
      </c>
      <c r="O60" s="94"/>
      <c r="P60" s="26">
        <f t="shared" si="2"/>
        <v>0</v>
      </c>
      <c r="Q60" s="80"/>
      <c r="R60" s="80"/>
      <c r="S60" s="80"/>
      <c r="T60" s="82"/>
      <c r="U60" s="80"/>
      <c r="V60" s="80"/>
      <c r="W60" s="80"/>
    </row>
    <row r="61" ht="18" customHeight="1" spans="1:23">
      <c r="A61" s="87">
        <f t="shared" si="0"/>
        <v>58</v>
      </c>
      <c r="B61" s="78">
        <v>46276</v>
      </c>
      <c r="C61" s="80" t="s">
        <v>155</v>
      </c>
      <c r="D61" s="79" t="s">
        <v>154</v>
      </c>
      <c r="E61" s="80" t="s">
        <v>394</v>
      </c>
      <c r="F61" s="79" t="s">
        <v>183</v>
      </c>
      <c r="G61" s="25">
        <f t="shared" si="1"/>
        <v>32417</v>
      </c>
      <c r="H61" s="88">
        <v>0</v>
      </c>
      <c r="I61" s="93">
        <v>0</v>
      </c>
      <c r="J61" s="97">
        <v>213</v>
      </c>
      <c r="K61" s="88">
        <v>0</v>
      </c>
      <c r="L61" s="25">
        <f>IF($D61="","",SUMIFS($H$4:$H61,$D$4:$D61,$D61)+SUMIFS($I$4:$I61,$D$4:$D61,$D61)-SUMIFS($J$4:$J61,$D$4:$D61,$D61)-SUMIFS($K$4:$K61,$D$4:$D61,$D61))</f>
        <v>32204</v>
      </c>
      <c r="M61" s="80" t="s">
        <v>309</v>
      </c>
      <c r="N61" s="80" t="s">
        <v>145</v>
      </c>
      <c r="O61" s="94"/>
      <c r="P61" s="26">
        <f t="shared" si="2"/>
        <v>0</v>
      </c>
      <c r="Q61" s="80"/>
      <c r="R61" s="80"/>
      <c r="S61" s="80"/>
      <c r="T61" s="82"/>
      <c r="U61" s="80"/>
      <c r="V61" s="80"/>
      <c r="W61" s="80"/>
    </row>
    <row r="62" ht="18" customHeight="1" spans="1:23">
      <c r="A62" s="87">
        <f t="shared" si="0"/>
        <v>59</v>
      </c>
      <c r="B62" s="78">
        <v>46276</v>
      </c>
      <c r="C62" s="80" t="s">
        <v>155</v>
      </c>
      <c r="D62" s="79" t="s">
        <v>154</v>
      </c>
      <c r="E62" s="80" t="s">
        <v>395</v>
      </c>
      <c r="F62" s="79" t="s">
        <v>183</v>
      </c>
      <c r="G62" s="25">
        <f t="shared" si="1"/>
        <v>32204</v>
      </c>
      <c r="H62" s="88">
        <v>0</v>
      </c>
      <c r="I62" s="93">
        <v>0</v>
      </c>
      <c r="J62" s="97">
        <v>423</v>
      </c>
      <c r="K62" s="88">
        <v>0</v>
      </c>
      <c r="L62" s="25">
        <f>IF($D62="","",SUMIFS($H$4:$H62,$D$4:$D62,$D62)+SUMIFS($I$4:$I62,$D$4:$D62,$D62)-SUMIFS($J$4:$J62,$D$4:$D62,$D62)-SUMIFS($K$4:$K62,$D$4:$D62,$D62))</f>
        <v>31781</v>
      </c>
      <c r="M62" s="80" t="s">
        <v>309</v>
      </c>
      <c r="N62" s="80" t="s">
        <v>145</v>
      </c>
      <c r="O62" s="94"/>
      <c r="P62" s="26">
        <f t="shared" si="2"/>
        <v>0</v>
      </c>
      <c r="Q62" s="80"/>
      <c r="R62" s="80"/>
      <c r="S62" s="80"/>
      <c r="T62" s="82"/>
      <c r="U62" s="80"/>
      <c r="V62" s="80"/>
      <c r="W62" s="80"/>
    </row>
    <row r="63" ht="18" customHeight="1" spans="1:23">
      <c r="A63" s="87">
        <f t="shared" si="0"/>
        <v>60</v>
      </c>
      <c r="B63" s="78">
        <v>46276</v>
      </c>
      <c r="C63" s="80" t="s">
        <v>252</v>
      </c>
      <c r="D63" s="79" t="s">
        <v>189</v>
      </c>
      <c r="E63" s="80" t="s">
        <v>396</v>
      </c>
      <c r="F63" s="79" t="s">
        <v>183</v>
      </c>
      <c r="G63" s="25">
        <f t="shared" si="1"/>
        <v>936</v>
      </c>
      <c r="H63" s="88">
        <v>0</v>
      </c>
      <c r="I63" s="93">
        <v>0</v>
      </c>
      <c r="J63" s="97">
        <v>936</v>
      </c>
      <c r="K63" s="88">
        <v>0</v>
      </c>
      <c r="L63" s="25">
        <f>IF($D63="","",SUMIFS($H$4:$H63,$D$4:$D63,$D63)+SUMIFS($I$4:$I63,$D$4:$D63,$D63)-SUMIFS($J$4:$J63,$D$4:$D63,$D63)-SUMIFS($K$4:$K63,$D$4:$D63,$D63))</f>
        <v>0</v>
      </c>
      <c r="M63" s="80" t="s">
        <v>340</v>
      </c>
      <c r="N63" s="80" t="s">
        <v>203</v>
      </c>
      <c r="O63" s="94"/>
      <c r="P63" s="26">
        <f t="shared" si="2"/>
        <v>0</v>
      </c>
      <c r="Q63" s="80"/>
      <c r="R63" s="80"/>
      <c r="S63" s="80"/>
      <c r="T63" s="82"/>
      <c r="U63" s="80"/>
      <c r="V63" s="80"/>
      <c r="W63" s="80"/>
    </row>
    <row r="64" ht="18" customHeight="1" spans="1:23">
      <c r="A64" s="87">
        <f t="shared" si="0"/>
        <v>61</v>
      </c>
      <c r="B64" s="78">
        <v>46276</v>
      </c>
      <c r="C64" s="80" t="s">
        <v>169</v>
      </c>
      <c r="D64" s="79" t="s">
        <v>189</v>
      </c>
      <c r="E64" s="80" t="s">
        <v>397</v>
      </c>
      <c r="F64" s="79" t="s">
        <v>157</v>
      </c>
      <c r="G64" s="25">
        <f t="shared" si="1"/>
        <v>0</v>
      </c>
      <c r="H64" s="88">
        <v>846</v>
      </c>
      <c r="I64" s="93">
        <v>0</v>
      </c>
      <c r="J64" s="97">
        <v>0</v>
      </c>
      <c r="K64" s="88">
        <v>0</v>
      </c>
      <c r="L64" s="25">
        <f>IF($D64="","",SUMIFS($H$4:$H64,$D$4:$D64,$D64)+SUMIFS($I$4:$I64,$D$4:$D64,$D64)-SUMIFS($J$4:$J64,$D$4:$D64,$D64)-SUMIFS($K$4:$K64,$D$4:$D64,$D64))</f>
        <v>846</v>
      </c>
      <c r="M64" s="80" t="s">
        <v>328</v>
      </c>
      <c r="N64" s="80" t="s">
        <v>203</v>
      </c>
      <c r="O64" s="94">
        <v>10</v>
      </c>
      <c r="P64" s="26">
        <f t="shared" si="2"/>
        <v>8460</v>
      </c>
      <c r="Q64" s="80" t="s">
        <v>215</v>
      </c>
      <c r="R64" s="80"/>
      <c r="S64" s="80"/>
      <c r="T64" s="82"/>
      <c r="U64" s="80"/>
      <c r="V64" s="80"/>
      <c r="W64" s="80" t="s">
        <v>398</v>
      </c>
    </row>
    <row r="65" ht="18" customHeight="1" spans="1:23">
      <c r="A65" s="87">
        <f t="shared" si="0"/>
        <v>62</v>
      </c>
      <c r="B65" s="78">
        <v>46276</v>
      </c>
      <c r="C65" s="80" t="s">
        <v>190</v>
      </c>
      <c r="D65" s="79" t="s">
        <v>189</v>
      </c>
      <c r="E65" s="80" t="s">
        <v>399</v>
      </c>
      <c r="F65" s="79" t="s">
        <v>183</v>
      </c>
      <c r="G65" s="25">
        <f t="shared" si="1"/>
        <v>846</v>
      </c>
      <c r="H65" s="88">
        <v>0</v>
      </c>
      <c r="I65" s="93">
        <v>0</v>
      </c>
      <c r="J65" s="97">
        <v>846</v>
      </c>
      <c r="K65" s="88">
        <v>0</v>
      </c>
      <c r="L65" s="25">
        <f>IF($D65="","",SUMIFS($H$4:$H65,$D$4:$D65,$D65)+SUMIFS($I$4:$I65,$D$4:$D65,$D65)-SUMIFS($J$4:$J65,$D$4:$D65,$D65)-SUMIFS($K$4:$K65,$D$4:$D65,$D65))</f>
        <v>0</v>
      </c>
      <c r="M65" s="80" t="s">
        <v>328</v>
      </c>
      <c r="N65" s="80" t="s">
        <v>203</v>
      </c>
      <c r="O65" s="94"/>
      <c r="P65" s="26">
        <f t="shared" si="2"/>
        <v>0</v>
      </c>
      <c r="Q65" s="80"/>
      <c r="R65" s="80"/>
      <c r="S65" s="80"/>
      <c r="T65" s="82"/>
      <c r="U65" s="80"/>
      <c r="V65" s="80"/>
      <c r="W65" s="80"/>
    </row>
    <row r="66" ht="18" customHeight="1" spans="1:23">
      <c r="A66" s="87">
        <f t="shared" si="0"/>
        <v>63</v>
      </c>
      <c r="B66" s="78">
        <v>46276</v>
      </c>
      <c r="C66" s="80" t="s">
        <v>169</v>
      </c>
      <c r="D66" s="79" t="s">
        <v>189</v>
      </c>
      <c r="E66" s="80" t="s">
        <v>400</v>
      </c>
      <c r="F66" s="79" t="s">
        <v>157</v>
      </c>
      <c r="G66" s="25">
        <f t="shared" si="1"/>
        <v>0</v>
      </c>
      <c r="H66" s="88">
        <v>378</v>
      </c>
      <c r="I66" s="93">
        <v>0</v>
      </c>
      <c r="J66" s="97">
        <v>0</v>
      </c>
      <c r="K66" s="88">
        <v>0</v>
      </c>
      <c r="L66" s="25">
        <f>IF($D66="","",SUMIFS($H$4:$H66,$D$4:$D66,$D66)+SUMIFS($I$4:$I66,$D$4:$D66,$D66)-SUMIFS($J$4:$J66,$D$4:$D66,$D66)-SUMIFS($K$4:$K66,$D$4:$D66,$D66))</f>
        <v>378</v>
      </c>
      <c r="M66" s="80" t="s">
        <v>321</v>
      </c>
      <c r="N66" s="80" t="s">
        <v>203</v>
      </c>
      <c r="O66" s="94">
        <v>10</v>
      </c>
      <c r="P66" s="26">
        <f t="shared" si="2"/>
        <v>3780</v>
      </c>
      <c r="Q66" s="80" t="s">
        <v>215</v>
      </c>
      <c r="R66" s="80"/>
      <c r="S66" s="80"/>
      <c r="T66" s="82"/>
      <c r="U66" s="80"/>
      <c r="V66" s="80"/>
      <c r="W66" s="80" t="s">
        <v>401</v>
      </c>
    </row>
    <row r="67" ht="18" customHeight="1" spans="1:23">
      <c r="A67" s="87">
        <f t="shared" si="0"/>
        <v>64</v>
      </c>
      <c r="B67" s="78">
        <v>46276</v>
      </c>
      <c r="C67" s="80" t="s">
        <v>254</v>
      </c>
      <c r="D67" s="79" t="s">
        <v>189</v>
      </c>
      <c r="E67" s="80" t="s">
        <v>402</v>
      </c>
      <c r="F67" s="79" t="s">
        <v>183</v>
      </c>
      <c r="G67" s="25">
        <f t="shared" si="1"/>
        <v>378</v>
      </c>
      <c r="H67" s="88">
        <v>0</v>
      </c>
      <c r="I67" s="93">
        <v>0</v>
      </c>
      <c r="J67" s="97">
        <v>378</v>
      </c>
      <c r="K67" s="88">
        <v>0</v>
      </c>
      <c r="L67" s="25">
        <f>IF($D67="","",SUMIFS($H$4:$H67,$D$4:$D67,$D67)+SUMIFS($I$4:$I67,$D$4:$D67,$D67)-SUMIFS($J$4:$J67,$D$4:$D67,$D67)-SUMIFS($K$4:$K67,$D$4:$D67,$D67))</f>
        <v>0</v>
      </c>
      <c r="M67" s="80" t="s">
        <v>321</v>
      </c>
      <c r="N67" s="80" t="s">
        <v>203</v>
      </c>
      <c r="O67" s="94"/>
      <c r="P67" s="26">
        <f t="shared" si="2"/>
        <v>0</v>
      </c>
      <c r="Q67" s="80"/>
      <c r="R67" s="80"/>
      <c r="S67" s="80"/>
      <c r="T67" s="82"/>
      <c r="U67" s="80"/>
      <c r="V67" s="80"/>
      <c r="W67" s="80"/>
    </row>
    <row r="68" ht="18" customHeight="1" spans="1:23">
      <c r="A68" s="87">
        <f>IF($D68="","",ROW()-3)</f>
        <v>65</v>
      </c>
      <c r="B68" s="78">
        <v>46277</v>
      </c>
      <c r="C68" s="80" t="s">
        <v>155</v>
      </c>
      <c r="D68" s="79" t="s">
        <v>140</v>
      </c>
      <c r="E68" s="80" t="s">
        <v>403</v>
      </c>
      <c r="F68" s="79" t="s">
        <v>170</v>
      </c>
      <c r="G68" s="25">
        <f>IF($D68="","",N($L68)-N($H68)-N($I68)+N($J68)+N($K68))</f>
        <v>64626</v>
      </c>
      <c r="H68" s="88">
        <v>0</v>
      </c>
      <c r="I68" s="93">
        <v>1</v>
      </c>
      <c r="J68" s="97">
        <v>0</v>
      </c>
      <c r="K68" s="88">
        <v>0</v>
      </c>
      <c r="L68" s="25">
        <f>IF($D68="","",SUMIFS($H$4:$H68,$D$4:$D68,$D68)+SUMIFS($I$4:$I68,$D$4:$D68,$D68)-SUMIFS($J$4:$J68,$D$4:$D68,$D68)-SUMIFS($K$4:$K68,$D$4:$D68,$D68))</f>
        <v>64627</v>
      </c>
      <c r="M68" s="80" t="s">
        <v>309</v>
      </c>
      <c r="N68" s="80" t="s">
        <v>145</v>
      </c>
      <c r="O68" s="94"/>
      <c r="P68" s="26">
        <f>IF($D68="","",ROUND((N($H68)+N($K68))*N($O68),2))</f>
        <v>0</v>
      </c>
      <c r="Q68" s="80"/>
      <c r="R68" s="80"/>
      <c r="S68" s="80"/>
      <c r="T68" s="82"/>
      <c r="U68" s="80"/>
      <c r="V68" s="80"/>
      <c r="W68" s="80"/>
    </row>
    <row r="69" ht="18" customHeight="1" spans="1:23">
      <c r="A69" s="87">
        <f t="shared" ref="A69:A132" si="3">IF($D69="","",ROW()-3)</f>
        <v>66</v>
      </c>
      <c r="B69" s="78">
        <v>46277</v>
      </c>
      <c r="C69" s="80" t="s">
        <v>155</v>
      </c>
      <c r="D69" s="79" t="s">
        <v>154</v>
      </c>
      <c r="E69" s="80" t="s">
        <v>404</v>
      </c>
      <c r="F69" s="79" t="s">
        <v>170</v>
      </c>
      <c r="G69" s="25">
        <f t="shared" ref="G69:G132" si="4">IF($D69="","",N($L69)-N($H69)-N($I69)+N($J69)+N($K69))</f>
        <v>31781</v>
      </c>
      <c r="H69" s="88">
        <v>0</v>
      </c>
      <c r="I69" s="93">
        <v>45</v>
      </c>
      <c r="J69" s="97">
        <v>0</v>
      </c>
      <c r="K69" s="88">
        <v>0</v>
      </c>
      <c r="L69" s="25">
        <f>IF($D69="","",SUMIFS($H$4:$H69,$D$4:$D69,$D69)+SUMIFS($I$4:$I69,$D$4:$D69,$D69)-SUMIFS($J$4:$J69,$D$4:$D69,$D69)-SUMIFS($K$4:$K69,$D$4:$D69,$D69))</f>
        <v>31826</v>
      </c>
      <c r="M69" s="80" t="s">
        <v>309</v>
      </c>
      <c r="N69" s="80" t="s">
        <v>145</v>
      </c>
      <c r="O69" s="94"/>
      <c r="P69" s="26">
        <f t="shared" ref="P69:P132" si="5">IF($D69="","",ROUND((N($H69)+N($K69))*N($O69),2))</f>
        <v>0</v>
      </c>
      <c r="Q69" s="80"/>
      <c r="R69" s="80"/>
      <c r="S69" s="80"/>
      <c r="T69" s="82"/>
      <c r="U69" s="80"/>
      <c r="V69" s="80"/>
      <c r="W69" s="80"/>
    </row>
    <row r="70" ht="18" customHeight="1" spans="1:23">
      <c r="A70" s="87">
        <f t="shared" si="3"/>
        <v>67</v>
      </c>
      <c r="B70" s="78">
        <v>46277</v>
      </c>
      <c r="C70" s="80" t="s">
        <v>169</v>
      </c>
      <c r="D70" s="79" t="s">
        <v>189</v>
      </c>
      <c r="E70" s="80" t="s">
        <v>405</v>
      </c>
      <c r="F70" s="79" t="s">
        <v>157</v>
      </c>
      <c r="G70" s="25">
        <f t="shared" si="4"/>
        <v>0</v>
      </c>
      <c r="H70" s="88">
        <v>846</v>
      </c>
      <c r="I70" s="93">
        <v>0</v>
      </c>
      <c r="J70" s="97">
        <v>0</v>
      </c>
      <c r="K70" s="88">
        <v>0</v>
      </c>
      <c r="L70" s="25">
        <f>IF($D70="","",SUMIFS($H$4:$H70,$D$4:$D70,$D70)+SUMIFS($I$4:$I70,$D$4:$D70,$D70)-SUMIFS($J$4:$J70,$D$4:$D70,$D70)-SUMIFS($K$4:$K70,$D$4:$D70,$D70))</f>
        <v>846</v>
      </c>
      <c r="M70" s="80" t="s">
        <v>328</v>
      </c>
      <c r="N70" s="80" t="s">
        <v>203</v>
      </c>
      <c r="O70" s="94">
        <v>10</v>
      </c>
      <c r="P70" s="26">
        <f t="shared" si="5"/>
        <v>8460</v>
      </c>
      <c r="Q70" s="80" t="s">
        <v>215</v>
      </c>
      <c r="R70" s="80"/>
      <c r="S70" s="80"/>
      <c r="T70" s="82"/>
      <c r="U70" s="80"/>
      <c r="V70" s="80"/>
      <c r="W70" s="80" t="s">
        <v>406</v>
      </c>
    </row>
    <row r="71" ht="18" customHeight="1" spans="1:23">
      <c r="A71" s="87">
        <f t="shared" si="3"/>
        <v>68</v>
      </c>
      <c r="B71" s="78">
        <v>46277</v>
      </c>
      <c r="C71" s="80" t="s">
        <v>181</v>
      </c>
      <c r="D71" s="79" t="s">
        <v>189</v>
      </c>
      <c r="E71" s="80" t="s">
        <v>407</v>
      </c>
      <c r="F71" s="79" t="s">
        <v>183</v>
      </c>
      <c r="G71" s="25">
        <f t="shared" si="4"/>
        <v>846</v>
      </c>
      <c r="H71" s="88">
        <v>0</v>
      </c>
      <c r="I71" s="93">
        <v>0</v>
      </c>
      <c r="J71" s="97">
        <v>846</v>
      </c>
      <c r="K71" s="88">
        <v>0</v>
      </c>
      <c r="L71" s="25">
        <f>IF($D71="","",SUMIFS($H$4:$H71,$D$4:$D71,$D71)+SUMIFS($I$4:$I71,$D$4:$D71,$D71)-SUMIFS($J$4:$J71,$D$4:$D71,$D71)-SUMIFS($K$4:$K71,$D$4:$D71,$D71))</f>
        <v>0</v>
      </c>
      <c r="M71" s="80" t="s">
        <v>408</v>
      </c>
      <c r="N71" s="80" t="s">
        <v>203</v>
      </c>
      <c r="O71" s="94"/>
      <c r="P71" s="26">
        <f t="shared" si="5"/>
        <v>0</v>
      </c>
      <c r="Q71" s="80"/>
      <c r="R71" s="80"/>
      <c r="S71" s="80"/>
      <c r="T71" s="82"/>
      <c r="U71" s="80"/>
      <c r="V71" s="80"/>
      <c r="W71" s="80"/>
    </row>
    <row r="72" ht="18" customHeight="1" spans="1:23">
      <c r="A72" s="87">
        <f t="shared" si="3"/>
        <v>69</v>
      </c>
      <c r="B72" s="78">
        <v>46278</v>
      </c>
      <c r="C72" s="80" t="s">
        <v>169</v>
      </c>
      <c r="D72" s="79" t="s">
        <v>189</v>
      </c>
      <c r="E72" s="80" t="s">
        <v>409</v>
      </c>
      <c r="F72" s="79" t="s">
        <v>157</v>
      </c>
      <c r="G72" s="25">
        <f t="shared" si="4"/>
        <v>0</v>
      </c>
      <c r="H72" s="88">
        <v>960</v>
      </c>
      <c r="I72" s="93">
        <v>0</v>
      </c>
      <c r="J72" s="97">
        <v>0</v>
      </c>
      <c r="K72" s="88">
        <v>0</v>
      </c>
      <c r="L72" s="25">
        <f>IF($D72="","",SUMIFS($H$4:$H72,$D$4:$D72,$D72)+SUMIFS($I$4:$I72,$D$4:$D72,$D72)-SUMIFS($J$4:$J72,$D$4:$D72,$D72)-SUMIFS($K$4:$K72,$D$4:$D72,$D72))</f>
        <v>960</v>
      </c>
      <c r="M72" s="80" t="s">
        <v>332</v>
      </c>
      <c r="N72" s="80" t="s">
        <v>203</v>
      </c>
      <c r="O72" s="94">
        <v>10</v>
      </c>
      <c r="P72" s="26">
        <f t="shared" si="5"/>
        <v>9600</v>
      </c>
      <c r="Q72" s="80" t="s">
        <v>215</v>
      </c>
      <c r="R72" s="80"/>
      <c r="S72" s="80"/>
      <c r="T72" s="82"/>
      <c r="U72" s="80"/>
      <c r="V72" s="80"/>
      <c r="W72" s="80" t="s">
        <v>410</v>
      </c>
    </row>
    <row r="73" ht="18" customHeight="1" spans="1:23">
      <c r="A73" s="87">
        <f t="shared" si="3"/>
        <v>70</v>
      </c>
      <c r="B73" s="78">
        <v>46278</v>
      </c>
      <c r="C73" s="80" t="s">
        <v>155</v>
      </c>
      <c r="D73" s="79" t="s">
        <v>154</v>
      </c>
      <c r="E73" s="80" t="s">
        <v>411</v>
      </c>
      <c r="F73" s="79" t="s">
        <v>183</v>
      </c>
      <c r="G73" s="25">
        <f t="shared" si="4"/>
        <v>31826</v>
      </c>
      <c r="H73" s="88">
        <v>0</v>
      </c>
      <c r="I73" s="93">
        <v>0</v>
      </c>
      <c r="J73" s="97">
        <v>423</v>
      </c>
      <c r="K73" s="88">
        <v>0</v>
      </c>
      <c r="L73" s="25">
        <f>IF($D73="","",SUMIFS($H$4:$H73,$D$4:$D73,$D73)+SUMIFS($I$4:$I73,$D$4:$D73,$D73)-SUMIFS($J$4:$J73,$D$4:$D73,$D73)-SUMIFS($K$4:$K73,$D$4:$D73,$D73))</f>
        <v>31403</v>
      </c>
      <c r="M73" s="80" t="s">
        <v>309</v>
      </c>
      <c r="N73" s="80" t="s">
        <v>145</v>
      </c>
      <c r="O73" s="94"/>
      <c r="P73" s="26">
        <f t="shared" si="5"/>
        <v>0</v>
      </c>
      <c r="Q73" s="80"/>
      <c r="R73" s="80"/>
      <c r="S73" s="80"/>
      <c r="T73" s="82"/>
      <c r="U73" s="80"/>
      <c r="V73" s="80"/>
      <c r="W73" s="80"/>
    </row>
    <row r="74" ht="18" customHeight="1" spans="1:23">
      <c r="A74" s="87">
        <f t="shared" si="3"/>
        <v>71</v>
      </c>
      <c r="B74" s="78">
        <v>46278</v>
      </c>
      <c r="C74" s="80" t="s">
        <v>201</v>
      </c>
      <c r="D74" s="79" t="s">
        <v>189</v>
      </c>
      <c r="E74" s="80" t="s">
        <v>412</v>
      </c>
      <c r="F74" s="79" t="s">
        <v>183</v>
      </c>
      <c r="G74" s="25">
        <f t="shared" si="4"/>
        <v>960</v>
      </c>
      <c r="H74" s="88">
        <v>0</v>
      </c>
      <c r="I74" s="93"/>
      <c r="J74" s="97"/>
      <c r="K74" s="88">
        <v>960</v>
      </c>
      <c r="L74" s="25">
        <f>IF($D74="","",SUMIFS($H$4:$H74,$D$4:$D74,$D74)+SUMIFS($I$4:$I74,$D$4:$D74,$D74)-SUMIFS($J$4:$J74,$D$4:$D74,$D74)-SUMIFS($K$4:$K74,$D$4:$D74,$D74))</f>
        <v>0</v>
      </c>
      <c r="M74" s="80" t="s">
        <v>332</v>
      </c>
      <c r="N74" s="80" t="s">
        <v>203</v>
      </c>
      <c r="O74" s="94"/>
      <c r="P74" s="26">
        <f t="shared" si="5"/>
        <v>0</v>
      </c>
      <c r="Q74" s="80"/>
      <c r="R74" s="80"/>
      <c r="S74" s="80"/>
      <c r="T74" s="82"/>
      <c r="U74" s="80"/>
      <c r="V74" s="80"/>
      <c r="W74" s="80"/>
    </row>
    <row r="75" ht="18" customHeight="1" spans="1:23">
      <c r="A75" s="87">
        <f t="shared" si="3"/>
        <v>72</v>
      </c>
      <c r="B75" s="78">
        <v>46278</v>
      </c>
      <c r="C75" s="80" t="s">
        <v>211</v>
      </c>
      <c r="D75" s="79" t="s">
        <v>154</v>
      </c>
      <c r="E75" s="80" t="s">
        <v>413</v>
      </c>
      <c r="F75" s="79" t="s">
        <v>183</v>
      </c>
      <c r="G75" s="25">
        <f t="shared" si="4"/>
        <v>31403</v>
      </c>
      <c r="H75" s="88">
        <v>0</v>
      </c>
      <c r="I75" s="93">
        <v>0</v>
      </c>
      <c r="J75" s="97">
        <v>588</v>
      </c>
      <c r="K75" s="88">
        <v>0</v>
      </c>
      <c r="L75" s="25">
        <f>IF($D75="","",SUMIFS($H$4:$H75,$D$4:$D75,$D75)+SUMIFS($I$4:$I75,$D$4:$D75,$D75)-SUMIFS($J$4:$J75,$D$4:$D75,$D75)-SUMIFS($K$4:$K75,$D$4:$D75,$D75))</f>
        <v>30815</v>
      </c>
      <c r="M75" s="80" t="s">
        <v>317</v>
      </c>
      <c r="N75" s="80" t="s">
        <v>145</v>
      </c>
      <c r="O75" s="94"/>
      <c r="P75" s="26">
        <f t="shared" si="5"/>
        <v>0</v>
      </c>
      <c r="Q75" s="80"/>
      <c r="R75" s="80"/>
      <c r="S75" s="80"/>
      <c r="T75" s="82"/>
      <c r="U75" s="80"/>
      <c r="V75" s="80"/>
      <c r="W75" s="80"/>
    </row>
    <row r="76" ht="18" customHeight="1" spans="1:23">
      <c r="A76" s="87">
        <f t="shared" si="3"/>
        <v>73</v>
      </c>
      <c r="B76" s="78">
        <v>46278</v>
      </c>
      <c r="C76" s="80" t="s">
        <v>169</v>
      </c>
      <c r="D76" s="79" t="s">
        <v>189</v>
      </c>
      <c r="E76" s="80" t="s">
        <v>414</v>
      </c>
      <c r="F76" s="79" t="s">
        <v>157</v>
      </c>
      <c r="G76" s="25">
        <f t="shared" si="4"/>
        <v>0</v>
      </c>
      <c r="H76" s="88">
        <v>960</v>
      </c>
      <c r="I76" s="93">
        <v>0</v>
      </c>
      <c r="J76" s="97">
        <v>0</v>
      </c>
      <c r="K76" s="88">
        <v>0</v>
      </c>
      <c r="L76" s="25">
        <f>IF($D76="","",SUMIFS($H$4:$H76,$D$4:$D76,$D76)+SUMIFS($I$4:$I76,$D$4:$D76,$D76)-SUMIFS($J$4:$J76,$D$4:$D76,$D76)-SUMIFS($K$4:$K76,$D$4:$D76,$D76))</f>
        <v>960</v>
      </c>
      <c r="M76" s="80" t="s">
        <v>332</v>
      </c>
      <c r="N76" s="80" t="s">
        <v>203</v>
      </c>
      <c r="O76" s="94">
        <v>10</v>
      </c>
      <c r="P76" s="26">
        <f t="shared" si="5"/>
        <v>9600</v>
      </c>
      <c r="Q76" s="80" t="s">
        <v>215</v>
      </c>
      <c r="R76" s="80"/>
      <c r="S76" s="80"/>
      <c r="T76" s="82"/>
      <c r="U76" s="80"/>
      <c r="V76" s="80"/>
      <c r="W76" s="80" t="s">
        <v>415</v>
      </c>
    </row>
    <row r="77" ht="18" customHeight="1" spans="1:23">
      <c r="A77" s="87">
        <f t="shared" si="3"/>
        <v>74</v>
      </c>
      <c r="B77" s="78">
        <v>46278</v>
      </c>
      <c r="C77" s="80" t="s">
        <v>201</v>
      </c>
      <c r="D77" s="79" t="s">
        <v>189</v>
      </c>
      <c r="E77" s="80" t="s">
        <v>416</v>
      </c>
      <c r="F77" s="79" t="s">
        <v>183</v>
      </c>
      <c r="G77" s="25">
        <f t="shared" si="4"/>
        <v>960</v>
      </c>
      <c r="H77" s="88">
        <v>0</v>
      </c>
      <c r="I77" s="93">
        <v>0</v>
      </c>
      <c r="J77" s="97">
        <v>960</v>
      </c>
      <c r="K77" s="88">
        <v>0</v>
      </c>
      <c r="L77" s="25">
        <f>IF($D77="","",SUMIFS($H$4:$H77,$D$4:$D77,$D77)+SUMIFS($I$4:$I77,$D$4:$D77,$D77)-SUMIFS($J$4:$J77,$D$4:$D77,$D77)-SUMIFS($K$4:$K77,$D$4:$D77,$D77))</f>
        <v>0</v>
      </c>
      <c r="M77" s="80" t="s">
        <v>332</v>
      </c>
      <c r="N77" s="80" t="s">
        <v>203</v>
      </c>
      <c r="O77" s="94"/>
      <c r="P77" s="26">
        <f t="shared" si="5"/>
        <v>0</v>
      </c>
      <c r="Q77" s="80"/>
      <c r="R77" s="80"/>
      <c r="S77" s="80"/>
      <c r="T77" s="82"/>
      <c r="U77" s="80"/>
      <c r="V77" s="80"/>
      <c r="W77" s="80"/>
    </row>
    <row r="78" ht="18" customHeight="1" spans="1:23">
      <c r="A78" s="87">
        <f t="shared" si="3"/>
        <v>75</v>
      </c>
      <c r="B78" s="78">
        <v>46278</v>
      </c>
      <c r="C78" s="80" t="s">
        <v>155</v>
      </c>
      <c r="D78" s="79" t="s">
        <v>154</v>
      </c>
      <c r="E78" s="80" t="s">
        <v>417</v>
      </c>
      <c r="F78" s="79" t="s">
        <v>183</v>
      </c>
      <c r="G78" s="25">
        <f t="shared" si="4"/>
        <v>30815</v>
      </c>
      <c r="H78" s="88">
        <v>0</v>
      </c>
      <c r="I78" s="93">
        <v>0</v>
      </c>
      <c r="J78" s="97">
        <v>711</v>
      </c>
      <c r="K78" s="88">
        <v>0</v>
      </c>
      <c r="L78" s="25">
        <f>IF($D78="","",SUMIFS($H$4:$H78,$D$4:$D78,$D78)+SUMIFS($I$4:$I78,$D$4:$D78,$D78)-SUMIFS($J$4:$J78,$D$4:$D78,$D78)-SUMIFS($K$4:$K78,$D$4:$D78,$D78))</f>
        <v>30104</v>
      </c>
      <c r="M78" s="80" t="s">
        <v>418</v>
      </c>
      <c r="N78" s="80" t="s">
        <v>145</v>
      </c>
      <c r="O78" s="94"/>
      <c r="P78" s="26">
        <f t="shared" si="5"/>
        <v>0</v>
      </c>
      <c r="Q78" s="80"/>
      <c r="R78" s="80"/>
      <c r="S78" s="80"/>
      <c r="T78" s="82"/>
      <c r="U78" s="80"/>
      <c r="V78" s="80"/>
      <c r="W78" s="80" t="s">
        <v>419</v>
      </c>
    </row>
    <row r="79" ht="18" customHeight="1" spans="1:23">
      <c r="A79" s="87">
        <f t="shared" si="3"/>
        <v>76</v>
      </c>
      <c r="B79" s="78">
        <v>46279</v>
      </c>
      <c r="C79" s="80" t="s">
        <v>155</v>
      </c>
      <c r="D79" s="79" t="s">
        <v>154</v>
      </c>
      <c r="E79" s="80" t="s">
        <v>420</v>
      </c>
      <c r="F79" s="79" t="s">
        <v>183</v>
      </c>
      <c r="G79" s="25">
        <f t="shared" si="4"/>
        <v>30104</v>
      </c>
      <c r="H79" s="88">
        <v>0</v>
      </c>
      <c r="I79" s="93">
        <v>0</v>
      </c>
      <c r="J79" s="97">
        <v>702</v>
      </c>
      <c r="K79" s="88">
        <v>0</v>
      </c>
      <c r="L79" s="25">
        <f>IF($D79="","",SUMIFS($H$4:$H79,$D$4:$D79,$D79)+SUMIFS($I$4:$I79,$D$4:$D79,$D79)-SUMIFS($J$4:$J79,$D$4:$D79,$D79)-SUMIFS($K$4:$K79,$D$4:$D79,$D79))</f>
        <v>29402</v>
      </c>
      <c r="M79" s="80" t="s">
        <v>418</v>
      </c>
      <c r="N79" s="80" t="s">
        <v>145</v>
      </c>
      <c r="O79" s="94"/>
      <c r="P79" s="26">
        <f t="shared" si="5"/>
        <v>0</v>
      </c>
      <c r="Q79" s="80"/>
      <c r="R79" s="80"/>
      <c r="S79" s="80"/>
      <c r="T79" s="82"/>
      <c r="U79" s="80"/>
      <c r="V79" s="80"/>
      <c r="W79" s="80" t="s">
        <v>419</v>
      </c>
    </row>
    <row r="80" ht="18" customHeight="1" spans="1:23">
      <c r="A80" s="87" t="str">
        <f t="shared" si="3"/>
        <v/>
      </c>
      <c r="B80" s="78"/>
      <c r="C80" s="80"/>
      <c r="D80" s="79"/>
      <c r="E80" s="80"/>
      <c r="F80" s="79"/>
      <c r="G80" s="25" t="str">
        <f t="shared" si="4"/>
        <v/>
      </c>
      <c r="H80" s="88"/>
      <c r="I80" s="93"/>
      <c r="J80" s="97"/>
      <c r="K80" s="88"/>
      <c r="L80" s="25" t="str">
        <f>IF($D80="","",SUMIFS($H$4:$H80,$D$4:$D80,$D80)+SUMIFS($I$4:$I80,$D$4:$D80,$D80)-SUMIFS($J$4:$J80,$D$4:$D80,$D80)-SUMIFS($K$4:$K80,$D$4:$D80,$D80))</f>
        <v/>
      </c>
      <c r="M80" s="80"/>
      <c r="N80" s="80"/>
      <c r="O80" s="94"/>
      <c r="P80" s="26" t="str">
        <f t="shared" si="5"/>
        <v/>
      </c>
      <c r="Q80" s="80"/>
      <c r="R80" s="80"/>
      <c r="S80" s="80"/>
      <c r="T80" s="82"/>
      <c r="U80" s="80"/>
      <c r="V80" s="80"/>
      <c r="W80" s="80"/>
    </row>
    <row r="81" ht="18" customHeight="1" spans="1:23">
      <c r="A81" s="87" t="str">
        <f t="shared" si="3"/>
        <v/>
      </c>
      <c r="B81" s="78"/>
      <c r="C81" s="80"/>
      <c r="D81" s="79"/>
      <c r="E81" s="80"/>
      <c r="F81" s="79"/>
      <c r="G81" s="25" t="str">
        <f t="shared" si="4"/>
        <v/>
      </c>
      <c r="H81" s="88"/>
      <c r="I81" s="93"/>
      <c r="J81" s="97"/>
      <c r="K81" s="88"/>
      <c r="L81" s="25" t="str">
        <f>IF($D81="","",SUMIFS($H$4:$H81,$D$4:$D81,$D81)+SUMIFS($I$4:$I81,$D$4:$D81,$D81)-SUMIFS($J$4:$J81,$D$4:$D81,$D81)-SUMIFS($K$4:$K81,$D$4:$D81,$D81))</f>
        <v/>
      </c>
      <c r="M81" s="80"/>
      <c r="N81" s="80"/>
      <c r="O81" s="94"/>
      <c r="P81" s="26" t="str">
        <f t="shared" si="5"/>
        <v/>
      </c>
      <c r="Q81" s="80"/>
      <c r="R81" s="80"/>
      <c r="S81" s="80"/>
      <c r="T81" s="82"/>
      <c r="U81" s="80"/>
      <c r="V81" s="80"/>
      <c r="W81" s="80"/>
    </row>
    <row r="82" ht="18" customHeight="1" spans="1:23">
      <c r="A82" s="87" t="str">
        <f t="shared" si="3"/>
        <v/>
      </c>
      <c r="B82" s="78"/>
      <c r="C82" s="80"/>
      <c r="D82" s="79"/>
      <c r="E82" s="80"/>
      <c r="F82" s="79"/>
      <c r="G82" s="25" t="str">
        <f t="shared" si="4"/>
        <v/>
      </c>
      <c r="H82" s="88"/>
      <c r="I82" s="93"/>
      <c r="J82" s="97"/>
      <c r="K82" s="88"/>
      <c r="L82" s="25" t="str">
        <f>IF($D82="","",SUMIFS($H$4:$H82,$D$4:$D82,$D82)+SUMIFS($I$4:$I82,$D$4:$D82,$D82)-SUMIFS($J$4:$J82,$D$4:$D82,$D82)-SUMIFS($K$4:$K82,$D$4:$D82,$D82))</f>
        <v/>
      </c>
      <c r="M82" s="80"/>
      <c r="N82" s="80"/>
      <c r="O82" s="94"/>
      <c r="P82" s="26" t="str">
        <f t="shared" si="5"/>
        <v/>
      </c>
      <c r="Q82" s="80"/>
      <c r="R82" s="80"/>
      <c r="S82" s="80"/>
      <c r="T82" s="82"/>
      <c r="U82" s="80"/>
      <c r="V82" s="80"/>
      <c r="W82" s="80"/>
    </row>
    <row r="83" ht="18" customHeight="1" spans="1:23">
      <c r="A83" s="87" t="str">
        <f t="shared" si="3"/>
        <v/>
      </c>
      <c r="B83" s="78"/>
      <c r="C83" s="80"/>
      <c r="D83" s="79"/>
      <c r="E83" s="80"/>
      <c r="F83" s="79"/>
      <c r="G83" s="25" t="str">
        <f t="shared" si="4"/>
        <v/>
      </c>
      <c r="H83" s="88"/>
      <c r="I83" s="93"/>
      <c r="J83" s="97"/>
      <c r="K83" s="88"/>
      <c r="L83" s="25" t="str">
        <f>IF($D83="","",SUMIFS($H$4:$H83,$D$4:$D83,$D83)+SUMIFS($I$4:$I83,$D$4:$D83,$D83)-SUMIFS($J$4:$J83,$D$4:$D83,$D83)-SUMIFS($K$4:$K83,$D$4:$D83,$D83))</f>
        <v/>
      </c>
      <c r="M83" s="80"/>
      <c r="N83" s="80"/>
      <c r="O83" s="94"/>
      <c r="P83" s="26" t="str">
        <f t="shared" si="5"/>
        <v/>
      </c>
      <c r="Q83" s="80"/>
      <c r="R83" s="80"/>
      <c r="S83" s="80"/>
      <c r="T83" s="82"/>
      <c r="U83" s="80"/>
      <c r="V83" s="80"/>
      <c r="W83" s="80"/>
    </row>
    <row r="84" ht="18" customHeight="1" spans="1:23">
      <c r="A84" s="87" t="str">
        <f t="shared" si="3"/>
        <v/>
      </c>
      <c r="B84" s="78"/>
      <c r="C84" s="80"/>
      <c r="D84" s="79"/>
      <c r="E84" s="80"/>
      <c r="F84" s="79"/>
      <c r="G84" s="25" t="str">
        <f t="shared" si="4"/>
        <v/>
      </c>
      <c r="H84" s="88"/>
      <c r="I84" s="93"/>
      <c r="J84" s="97"/>
      <c r="K84" s="88"/>
      <c r="L84" s="25" t="str">
        <f>IF($D84="","",SUMIFS($H$4:$H84,$D$4:$D84,$D84)+SUMIFS($I$4:$I84,$D$4:$D84,$D84)-SUMIFS($J$4:$J84,$D$4:$D84,$D84)-SUMIFS($K$4:$K84,$D$4:$D84,$D84))</f>
        <v/>
      </c>
      <c r="M84" s="80"/>
      <c r="N84" s="80"/>
      <c r="O84" s="94"/>
      <c r="P84" s="26" t="str">
        <f t="shared" si="5"/>
        <v/>
      </c>
      <c r="Q84" s="80"/>
      <c r="R84" s="80"/>
      <c r="S84" s="80"/>
      <c r="T84" s="82"/>
      <c r="U84" s="80"/>
      <c r="V84" s="80"/>
      <c r="W84" s="80"/>
    </row>
    <row r="85" ht="18" customHeight="1" spans="1:23">
      <c r="A85" s="87" t="str">
        <f t="shared" si="3"/>
        <v/>
      </c>
      <c r="B85" s="78"/>
      <c r="C85" s="80"/>
      <c r="D85" s="79"/>
      <c r="E85" s="80"/>
      <c r="F85" s="79"/>
      <c r="G85" s="25" t="str">
        <f t="shared" si="4"/>
        <v/>
      </c>
      <c r="H85" s="88"/>
      <c r="I85" s="93"/>
      <c r="J85" s="97"/>
      <c r="K85" s="88"/>
      <c r="L85" s="25" t="str">
        <f>IF($D85="","",SUMIFS($H$4:$H85,$D$4:$D85,$D85)+SUMIFS($I$4:$I85,$D$4:$D85,$D85)-SUMIFS($J$4:$J85,$D$4:$D85,$D85)-SUMIFS($K$4:$K85,$D$4:$D85,$D85))</f>
        <v/>
      </c>
      <c r="M85" s="80"/>
      <c r="N85" s="80"/>
      <c r="O85" s="94"/>
      <c r="P85" s="26" t="str">
        <f t="shared" si="5"/>
        <v/>
      </c>
      <c r="Q85" s="80"/>
      <c r="R85" s="80"/>
      <c r="S85" s="80"/>
      <c r="T85" s="82"/>
      <c r="U85" s="80"/>
      <c r="V85" s="80"/>
      <c r="W85" s="80"/>
    </row>
    <row r="86" ht="18" customHeight="1" spans="1:23">
      <c r="A86" s="87" t="str">
        <f t="shared" si="3"/>
        <v/>
      </c>
      <c r="B86" s="78"/>
      <c r="C86" s="80"/>
      <c r="D86" s="79"/>
      <c r="E86" s="80"/>
      <c r="F86" s="79"/>
      <c r="G86" s="25" t="str">
        <f t="shared" si="4"/>
        <v/>
      </c>
      <c r="H86" s="88"/>
      <c r="I86" s="93"/>
      <c r="J86" s="97"/>
      <c r="K86" s="88"/>
      <c r="L86" s="25" t="str">
        <f>IF($D86="","",SUMIFS($H$4:$H86,$D$4:$D86,$D86)+SUMIFS($I$4:$I86,$D$4:$D86,$D86)-SUMIFS($J$4:$J86,$D$4:$D86,$D86)-SUMIFS($K$4:$K86,$D$4:$D86,$D86))</f>
        <v/>
      </c>
      <c r="M86" s="80"/>
      <c r="N86" s="80"/>
      <c r="O86" s="94"/>
      <c r="P86" s="26" t="str">
        <f t="shared" si="5"/>
        <v/>
      </c>
      <c r="Q86" s="80"/>
      <c r="R86" s="80"/>
      <c r="S86" s="80"/>
      <c r="T86" s="82"/>
      <c r="U86" s="80"/>
      <c r="V86" s="80"/>
      <c r="W86" s="80"/>
    </row>
    <row r="87" ht="18" customHeight="1" spans="1:23">
      <c r="A87" s="87" t="str">
        <f t="shared" si="3"/>
        <v/>
      </c>
      <c r="B87" s="78"/>
      <c r="C87" s="80"/>
      <c r="D87" s="79"/>
      <c r="E87" s="80"/>
      <c r="F87" s="79"/>
      <c r="G87" s="25" t="str">
        <f t="shared" si="4"/>
        <v/>
      </c>
      <c r="H87" s="88"/>
      <c r="I87" s="93"/>
      <c r="J87" s="97"/>
      <c r="K87" s="88"/>
      <c r="L87" s="25" t="str">
        <f>IF($D87="","",SUMIFS($H$4:$H87,$D$4:$D87,$D87)+SUMIFS($I$4:$I87,$D$4:$D87,$D87)-SUMIFS($J$4:$J87,$D$4:$D87,$D87)-SUMIFS($K$4:$K87,$D$4:$D87,$D87))</f>
        <v/>
      </c>
      <c r="M87" s="80"/>
      <c r="N87" s="80"/>
      <c r="O87" s="94"/>
      <c r="P87" s="26" t="str">
        <f t="shared" si="5"/>
        <v/>
      </c>
      <c r="Q87" s="80"/>
      <c r="R87" s="80"/>
      <c r="S87" s="80"/>
      <c r="T87" s="82"/>
      <c r="U87" s="80"/>
      <c r="V87" s="80"/>
      <c r="W87" s="80"/>
    </row>
    <row r="88" ht="18" customHeight="1" spans="1:23">
      <c r="A88" s="87" t="str">
        <f t="shared" si="3"/>
        <v/>
      </c>
      <c r="B88" s="78"/>
      <c r="C88" s="80"/>
      <c r="D88" s="79"/>
      <c r="E88" s="80"/>
      <c r="F88" s="79"/>
      <c r="G88" s="25" t="str">
        <f t="shared" si="4"/>
        <v/>
      </c>
      <c r="H88" s="88"/>
      <c r="I88" s="93"/>
      <c r="J88" s="97"/>
      <c r="K88" s="88"/>
      <c r="L88" s="25" t="str">
        <f>IF($D88="","",SUMIFS($H$4:$H88,$D$4:$D88,$D88)+SUMIFS($I$4:$I88,$D$4:$D88,$D88)-SUMIFS($J$4:$J88,$D$4:$D88,$D88)-SUMIFS($K$4:$K88,$D$4:$D88,$D88))</f>
        <v/>
      </c>
      <c r="M88" s="80"/>
      <c r="N88" s="80"/>
      <c r="O88" s="94"/>
      <c r="P88" s="26" t="str">
        <f t="shared" si="5"/>
        <v/>
      </c>
      <c r="Q88" s="80"/>
      <c r="R88" s="80"/>
      <c r="S88" s="80"/>
      <c r="T88" s="82"/>
      <c r="U88" s="80"/>
      <c r="V88" s="80"/>
      <c r="W88" s="80"/>
    </row>
    <row r="89" ht="18" customHeight="1" spans="1:23">
      <c r="A89" s="87" t="str">
        <f t="shared" si="3"/>
        <v/>
      </c>
      <c r="B89" s="78"/>
      <c r="C89" s="80"/>
      <c r="D89" s="79"/>
      <c r="E89" s="80"/>
      <c r="F89" s="79"/>
      <c r="G89" s="25" t="str">
        <f t="shared" si="4"/>
        <v/>
      </c>
      <c r="H89" s="88"/>
      <c r="I89" s="93"/>
      <c r="J89" s="97"/>
      <c r="K89" s="88"/>
      <c r="L89" s="25" t="str">
        <f>IF($D89="","",SUMIFS($H$4:$H89,$D$4:$D89,$D89)+SUMIFS($I$4:$I89,$D$4:$D89,$D89)-SUMIFS($J$4:$J89,$D$4:$D89,$D89)-SUMIFS($K$4:$K89,$D$4:$D89,$D89))</f>
        <v/>
      </c>
      <c r="M89" s="80"/>
      <c r="N89" s="80"/>
      <c r="O89" s="94"/>
      <c r="P89" s="26" t="str">
        <f t="shared" si="5"/>
        <v/>
      </c>
      <c r="Q89" s="80"/>
      <c r="R89" s="80"/>
      <c r="S89" s="80"/>
      <c r="T89" s="82"/>
      <c r="U89" s="80"/>
      <c r="V89" s="80"/>
      <c r="W89" s="80"/>
    </row>
    <row r="90" ht="18" customHeight="1" spans="1:23">
      <c r="A90" s="87" t="str">
        <f t="shared" si="3"/>
        <v/>
      </c>
      <c r="B90" s="78"/>
      <c r="C90" s="80"/>
      <c r="D90" s="79"/>
      <c r="E90" s="80"/>
      <c r="F90" s="79"/>
      <c r="G90" s="25" t="str">
        <f t="shared" si="4"/>
        <v/>
      </c>
      <c r="H90" s="88"/>
      <c r="I90" s="93"/>
      <c r="J90" s="97"/>
      <c r="K90" s="88"/>
      <c r="L90" s="25" t="str">
        <f>IF($D90="","",SUMIFS($H$4:$H90,$D$4:$D90,$D90)+SUMIFS($I$4:$I90,$D$4:$D90,$D90)-SUMIFS($J$4:$J90,$D$4:$D90,$D90)-SUMIFS($K$4:$K90,$D$4:$D90,$D90))</f>
        <v/>
      </c>
      <c r="M90" s="80"/>
      <c r="N90" s="80"/>
      <c r="O90" s="94"/>
      <c r="P90" s="26" t="str">
        <f t="shared" si="5"/>
        <v/>
      </c>
      <c r="Q90" s="80"/>
      <c r="R90" s="80"/>
      <c r="S90" s="80"/>
      <c r="T90" s="82"/>
      <c r="U90" s="80"/>
      <c r="V90" s="80"/>
      <c r="W90" s="80"/>
    </row>
    <row r="91" ht="18" customHeight="1" spans="1:23">
      <c r="A91" s="87" t="str">
        <f t="shared" si="3"/>
        <v/>
      </c>
      <c r="B91" s="78"/>
      <c r="C91" s="80"/>
      <c r="D91" s="79"/>
      <c r="E91" s="80"/>
      <c r="F91" s="79"/>
      <c r="G91" s="25" t="str">
        <f t="shared" si="4"/>
        <v/>
      </c>
      <c r="H91" s="88"/>
      <c r="I91" s="93"/>
      <c r="J91" s="97"/>
      <c r="K91" s="88"/>
      <c r="L91" s="25" t="str">
        <f>IF($D91="","",SUMIFS($H$4:$H91,$D$4:$D91,$D91)+SUMIFS($I$4:$I91,$D$4:$D91,$D91)-SUMIFS($J$4:$J91,$D$4:$D91,$D91)-SUMIFS($K$4:$K91,$D$4:$D91,$D91))</f>
        <v/>
      </c>
      <c r="M91" s="80"/>
      <c r="N91" s="80"/>
      <c r="O91" s="94"/>
      <c r="P91" s="26" t="str">
        <f t="shared" si="5"/>
        <v/>
      </c>
      <c r="Q91" s="80"/>
      <c r="R91" s="80"/>
      <c r="S91" s="80"/>
      <c r="T91" s="82"/>
      <c r="U91" s="80"/>
      <c r="V91" s="80"/>
      <c r="W91" s="80"/>
    </row>
    <row r="92" ht="18" customHeight="1" spans="1:23">
      <c r="A92" s="87" t="str">
        <f t="shared" si="3"/>
        <v/>
      </c>
      <c r="B92" s="78"/>
      <c r="C92" s="80"/>
      <c r="D92" s="79"/>
      <c r="E92" s="80"/>
      <c r="F92" s="79"/>
      <c r="G92" s="25" t="str">
        <f t="shared" si="4"/>
        <v/>
      </c>
      <c r="H92" s="88"/>
      <c r="I92" s="93"/>
      <c r="J92" s="97"/>
      <c r="K92" s="88"/>
      <c r="L92" s="25" t="str">
        <f>IF($D92="","",SUMIFS($H$4:$H92,$D$4:$D92,$D92)+SUMIFS($I$4:$I92,$D$4:$D92,$D92)-SUMIFS($J$4:$J92,$D$4:$D92,$D92)-SUMIFS($K$4:$K92,$D$4:$D92,$D92))</f>
        <v/>
      </c>
      <c r="M92" s="80"/>
      <c r="N92" s="80"/>
      <c r="O92" s="94"/>
      <c r="P92" s="26" t="str">
        <f t="shared" si="5"/>
        <v/>
      </c>
      <c r="Q92" s="80"/>
      <c r="R92" s="80"/>
      <c r="S92" s="80"/>
      <c r="T92" s="82"/>
      <c r="U92" s="80"/>
      <c r="V92" s="80"/>
      <c r="W92" s="80"/>
    </row>
    <row r="93" ht="18" customHeight="1" spans="1:23">
      <c r="A93" s="87" t="str">
        <f t="shared" si="3"/>
        <v/>
      </c>
      <c r="B93" s="78"/>
      <c r="C93" s="80"/>
      <c r="D93" s="79"/>
      <c r="E93" s="80"/>
      <c r="F93" s="79"/>
      <c r="G93" s="25" t="str">
        <f t="shared" si="4"/>
        <v/>
      </c>
      <c r="H93" s="88"/>
      <c r="I93" s="93"/>
      <c r="J93" s="97"/>
      <c r="K93" s="88"/>
      <c r="L93" s="25" t="str">
        <f>IF($D93="","",SUMIFS($H$4:$H93,$D$4:$D93,$D93)+SUMIFS($I$4:$I93,$D$4:$D93,$D93)-SUMIFS($J$4:$J93,$D$4:$D93,$D93)-SUMIFS($K$4:$K93,$D$4:$D93,$D93))</f>
        <v/>
      </c>
      <c r="M93" s="80"/>
      <c r="N93" s="80"/>
      <c r="O93" s="94"/>
      <c r="P93" s="26" t="str">
        <f t="shared" si="5"/>
        <v/>
      </c>
      <c r="Q93" s="80"/>
      <c r="R93" s="80"/>
      <c r="S93" s="80"/>
      <c r="T93" s="82"/>
      <c r="U93" s="80"/>
      <c r="V93" s="80"/>
      <c r="W93" s="80"/>
    </row>
    <row r="94" ht="18" customHeight="1" spans="1:23">
      <c r="A94" s="87" t="str">
        <f t="shared" si="3"/>
        <v/>
      </c>
      <c r="B94" s="78"/>
      <c r="C94" s="80"/>
      <c r="D94" s="79"/>
      <c r="E94" s="80"/>
      <c r="F94" s="79"/>
      <c r="G94" s="25" t="str">
        <f t="shared" si="4"/>
        <v/>
      </c>
      <c r="H94" s="88"/>
      <c r="I94" s="93"/>
      <c r="J94" s="97"/>
      <c r="K94" s="88"/>
      <c r="L94" s="25" t="str">
        <f>IF($D94="","",SUMIFS($H$4:$H94,$D$4:$D94,$D94)+SUMIFS($I$4:$I94,$D$4:$D94,$D94)-SUMIFS($J$4:$J94,$D$4:$D94,$D94)-SUMIFS($K$4:$K94,$D$4:$D94,$D94))</f>
        <v/>
      </c>
      <c r="M94" s="80"/>
      <c r="N94" s="80"/>
      <c r="O94" s="94"/>
      <c r="P94" s="26" t="str">
        <f t="shared" si="5"/>
        <v/>
      </c>
      <c r="Q94" s="80"/>
      <c r="R94" s="80"/>
      <c r="S94" s="80"/>
      <c r="T94" s="82"/>
      <c r="U94" s="80"/>
      <c r="V94" s="80"/>
      <c r="W94" s="80"/>
    </row>
    <row r="95" ht="18" customHeight="1" spans="1:23">
      <c r="A95" s="87" t="str">
        <f t="shared" si="3"/>
        <v/>
      </c>
      <c r="B95" s="78"/>
      <c r="C95" s="80"/>
      <c r="D95" s="79"/>
      <c r="E95" s="80"/>
      <c r="F95" s="79"/>
      <c r="G95" s="25" t="str">
        <f t="shared" si="4"/>
        <v/>
      </c>
      <c r="H95" s="88"/>
      <c r="I95" s="93"/>
      <c r="J95" s="97"/>
      <c r="K95" s="88"/>
      <c r="L95" s="25" t="str">
        <f>IF($D95="","",SUMIFS($H$4:$H95,$D$4:$D95,$D95)+SUMIFS($I$4:$I95,$D$4:$D95,$D95)-SUMIFS($J$4:$J95,$D$4:$D95,$D95)-SUMIFS($K$4:$K95,$D$4:$D95,$D95))</f>
        <v/>
      </c>
      <c r="M95" s="80"/>
      <c r="N95" s="80"/>
      <c r="O95" s="94"/>
      <c r="P95" s="26" t="str">
        <f t="shared" si="5"/>
        <v/>
      </c>
      <c r="Q95" s="80"/>
      <c r="R95" s="80"/>
      <c r="S95" s="80"/>
      <c r="T95" s="82"/>
      <c r="U95" s="80"/>
      <c r="V95" s="80"/>
      <c r="W95" s="80"/>
    </row>
    <row r="96" ht="18" customHeight="1" spans="1:23">
      <c r="A96" s="87" t="str">
        <f t="shared" si="3"/>
        <v/>
      </c>
      <c r="B96" s="78"/>
      <c r="C96" s="80"/>
      <c r="D96" s="79"/>
      <c r="E96" s="80"/>
      <c r="F96" s="79"/>
      <c r="G96" s="25" t="str">
        <f t="shared" si="4"/>
        <v/>
      </c>
      <c r="H96" s="88"/>
      <c r="I96" s="93"/>
      <c r="J96" s="97"/>
      <c r="K96" s="88"/>
      <c r="L96" s="25" t="str">
        <f>IF($D96="","",SUMIFS($H$4:$H96,$D$4:$D96,$D96)+SUMIFS($I$4:$I96,$D$4:$D96,$D96)-SUMIFS($J$4:$J96,$D$4:$D96,$D96)-SUMIFS($K$4:$K96,$D$4:$D96,$D96))</f>
        <v/>
      </c>
      <c r="M96" s="80"/>
      <c r="N96" s="80"/>
      <c r="O96" s="94"/>
      <c r="P96" s="26" t="str">
        <f t="shared" si="5"/>
        <v/>
      </c>
      <c r="Q96" s="80"/>
      <c r="R96" s="80"/>
      <c r="S96" s="80"/>
      <c r="T96" s="82"/>
      <c r="U96" s="80"/>
      <c r="V96" s="80"/>
      <c r="W96" s="80"/>
    </row>
    <row r="97" ht="18" customHeight="1" spans="1:23">
      <c r="A97" s="87" t="str">
        <f t="shared" si="3"/>
        <v/>
      </c>
      <c r="B97" s="78"/>
      <c r="C97" s="80"/>
      <c r="D97" s="79"/>
      <c r="E97" s="80"/>
      <c r="F97" s="79"/>
      <c r="G97" s="25" t="str">
        <f t="shared" si="4"/>
        <v/>
      </c>
      <c r="H97" s="88"/>
      <c r="I97" s="93"/>
      <c r="J97" s="97"/>
      <c r="K97" s="88"/>
      <c r="L97" s="25" t="str">
        <f>IF($D97="","",SUMIFS($H$4:$H97,$D$4:$D97,$D97)+SUMIFS($I$4:$I97,$D$4:$D97,$D97)-SUMIFS($J$4:$J97,$D$4:$D97,$D97)-SUMIFS($K$4:$K97,$D$4:$D97,$D97))</f>
        <v/>
      </c>
      <c r="M97" s="80"/>
      <c r="N97" s="80"/>
      <c r="O97" s="94"/>
      <c r="P97" s="26" t="str">
        <f t="shared" si="5"/>
        <v/>
      </c>
      <c r="Q97" s="80"/>
      <c r="R97" s="80"/>
      <c r="S97" s="80"/>
      <c r="T97" s="82"/>
      <c r="U97" s="80"/>
      <c r="V97" s="80"/>
      <c r="W97" s="80"/>
    </row>
    <row r="98" ht="18" customHeight="1" spans="1:23">
      <c r="A98" s="87" t="str">
        <f t="shared" si="3"/>
        <v/>
      </c>
      <c r="B98" s="78"/>
      <c r="C98" s="80"/>
      <c r="D98" s="79"/>
      <c r="E98" s="80"/>
      <c r="F98" s="79"/>
      <c r="G98" s="25" t="str">
        <f t="shared" si="4"/>
        <v/>
      </c>
      <c r="H98" s="88"/>
      <c r="I98" s="93"/>
      <c r="J98" s="97"/>
      <c r="K98" s="88"/>
      <c r="L98" s="25" t="str">
        <f>IF($D98="","",SUMIFS($H$4:$H98,$D$4:$D98,$D98)+SUMIFS($I$4:$I98,$D$4:$D98,$D98)-SUMIFS($J$4:$J98,$D$4:$D98,$D98)-SUMIFS($K$4:$K98,$D$4:$D98,$D98))</f>
        <v/>
      </c>
      <c r="M98" s="80"/>
      <c r="N98" s="80"/>
      <c r="O98" s="94"/>
      <c r="P98" s="26" t="str">
        <f t="shared" si="5"/>
        <v/>
      </c>
      <c r="Q98" s="80"/>
      <c r="R98" s="80"/>
      <c r="S98" s="80"/>
      <c r="T98" s="82"/>
      <c r="U98" s="80"/>
      <c r="V98" s="80"/>
      <c r="W98" s="80"/>
    </row>
    <row r="99" ht="18" customHeight="1" spans="1:23">
      <c r="A99" s="87" t="str">
        <f t="shared" si="3"/>
        <v/>
      </c>
      <c r="B99" s="78"/>
      <c r="C99" s="80"/>
      <c r="D99" s="79"/>
      <c r="E99" s="80"/>
      <c r="F99" s="79"/>
      <c r="G99" s="25" t="str">
        <f t="shared" si="4"/>
        <v/>
      </c>
      <c r="H99" s="88"/>
      <c r="I99" s="93"/>
      <c r="J99" s="97"/>
      <c r="K99" s="88"/>
      <c r="L99" s="25" t="str">
        <f>IF($D99="","",SUMIFS($H$4:$H99,$D$4:$D99,$D99)+SUMIFS($I$4:$I99,$D$4:$D99,$D99)-SUMIFS($J$4:$J99,$D$4:$D99,$D99)-SUMIFS($K$4:$K99,$D$4:$D99,$D99))</f>
        <v/>
      </c>
      <c r="M99" s="80"/>
      <c r="N99" s="80"/>
      <c r="O99" s="94"/>
      <c r="P99" s="26" t="str">
        <f t="shared" si="5"/>
        <v/>
      </c>
      <c r="Q99" s="80"/>
      <c r="R99" s="80"/>
      <c r="S99" s="80"/>
      <c r="T99" s="82"/>
      <c r="U99" s="80"/>
      <c r="V99" s="80"/>
      <c r="W99" s="80"/>
    </row>
    <row r="100" ht="18" customHeight="1" spans="1:23">
      <c r="A100" s="87" t="str">
        <f t="shared" si="3"/>
        <v/>
      </c>
      <c r="B100" s="78"/>
      <c r="C100" s="80"/>
      <c r="D100" s="79"/>
      <c r="E100" s="80"/>
      <c r="F100" s="79"/>
      <c r="G100" s="25" t="str">
        <f t="shared" si="4"/>
        <v/>
      </c>
      <c r="H100" s="88"/>
      <c r="I100" s="93"/>
      <c r="J100" s="97"/>
      <c r="K100" s="88"/>
      <c r="L100" s="25" t="str">
        <f>IF($D100="","",SUMIFS($H$4:$H100,$D$4:$D100,$D100)+SUMIFS($I$4:$I100,$D$4:$D100,$D100)-SUMIFS($J$4:$J100,$D$4:$D100,$D100)-SUMIFS($K$4:$K100,$D$4:$D100,$D100))</f>
        <v/>
      </c>
      <c r="M100" s="80"/>
      <c r="N100" s="80"/>
      <c r="O100" s="94"/>
      <c r="P100" s="26" t="str">
        <f t="shared" si="5"/>
        <v/>
      </c>
      <c r="Q100" s="80"/>
      <c r="R100" s="80"/>
      <c r="S100" s="80"/>
      <c r="T100" s="82"/>
      <c r="U100" s="80"/>
      <c r="V100" s="80"/>
      <c r="W100" s="80"/>
    </row>
    <row r="101" ht="18" customHeight="1" spans="1:23">
      <c r="A101" s="87" t="str">
        <f t="shared" si="3"/>
        <v/>
      </c>
      <c r="B101" s="78"/>
      <c r="C101" s="80"/>
      <c r="D101" s="79"/>
      <c r="E101" s="80"/>
      <c r="F101" s="79"/>
      <c r="G101" s="25" t="str">
        <f t="shared" si="4"/>
        <v/>
      </c>
      <c r="H101" s="88"/>
      <c r="I101" s="93"/>
      <c r="J101" s="97"/>
      <c r="K101" s="88"/>
      <c r="L101" s="25" t="str">
        <f>IF($D101="","",SUMIFS($H$4:$H101,$D$4:$D101,$D101)+SUMIFS($I$4:$I101,$D$4:$D101,$D101)-SUMIFS($J$4:$J101,$D$4:$D101,$D101)-SUMIFS($K$4:$K101,$D$4:$D101,$D101))</f>
        <v/>
      </c>
      <c r="M101" s="80"/>
      <c r="N101" s="80"/>
      <c r="O101" s="94"/>
      <c r="P101" s="26" t="str">
        <f t="shared" si="5"/>
        <v/>
      </c>
      <c r="Q101" s="80"/>
      <c r="R101" s="80"/>
      <c r="S101" s="80"/>
      <c r="T101" s="82"/>
      <c r="U101" s="80"/>
      <c r="V101" s="80"/>
      <c r="W101" s="80"/>
    </row>
    <row r="102" ht="18" customHeight="1" spans="1:23">
      <c r="A102" s="87" t="str">
        <f t="shared" si="3"/>
        <v/>
      </c>
      <c r="B102" s="78"/>
      <c r="C102" s="80"/>
      <c r="D102" s="79"/>
      <c r="E102" s="80"/>
      <c r="F102" s="79"/>
      <c r="G102" s="25" t="str">
        <f t="shared" si="4"/>
        <v/>
      </c>
      <c r="H102" s="88"/>
      <c r="I102" s="93"/>
      <c r="J102" s="97"/>
      <c r="K102" s="88"/>
      <c r="L102" s="25" t="str">
        <f>IF($D102="","",SUMIFS($H$4:$H102,$D$4:$D102,$D102)+SUMIFS($I$4:$I102,$D$4:$D102,$D102)-SUMIFS($J$4:$J102,$D$4:$D102,$D102)-SUMIFS($K$4:$K102,$D$4:$D102,$D102))</f>
        <v/>
      </c>
      <c r="M102" s="80"/>
      <c r="N102" s="80"/>
      <c r="O102" s="94"/>
      <c r="P102" s="26" t="str">
        <f t="shared" si="5"/>
        <v/>
      </c>
      <c r="Q102" s="80"/>
      <c r="R102" s="80"/>
      <c r="S102" s="80"/>
      <c r="T102" s="82"/>
      <c r="U102" s="80"/>
      <c r="V102" s="80"/>
      <c r="W102" s="80"/>
    </row>
    <row r="103" ht="18" customHeight="1" spans="1:23">
      <c r="A103" s="87" t="str">
        <f t="shared" si="3"/>
        <v/>
      </c>
      <c r="B103" s="78"/>
      <c r="C103" s="80"/>
      <c r="D103" s="79"/>
      <c r="E103" s="80"/>
      <c r="F103" s="79"/>
      <c r="G103" s="25" t="str">
        <f t="shared" si="4"/>
        <v/>
      </c>
      <c r="H103" s="88"/>
      <c r="I103" s="93"/>
      <c r="J103" s="97"/>
      <c r="K103" s="88"/>
      <c r="L103" s="25" t="str">
        <f>IF($D103="","",SUMIFS($H$4:$H103,$D$4:$D103,$D103)+SUMIFS($I$4:$I103,$D$4:$D103,$D103)-SUMIFS($J$4:$J103,$D$4:$D103,$D103)-SUMIFS($K$4:$K103,$D$4:$D103,$D103))</f>
        <v/>
      </c>
      <c r="M103" s="80"/>
      <c r="N103" s="80"/>
      <c r="O103" s="94"/>
      <c r="P103" s="26" t="str">
        <f t="shared" si="5"/>
        <v/>
      </c>
      <c r="Q103" s="80"/>
      <c r="R103" s="80"/>
      <c r="S103" s="80"/>
      <c r="T103" s="82"/>
      <c r="U103" s="80"/>
      <c r="V103" s="80"/>
      <c r="W103" s="80"/>
    </row>
    <row r="104" ht="18" customHeight="1" spans="1:23">
      <c r="A104" s="87" t="str">
        <f t="shared" si="3"/>
        <v/>
      </c>
      <c r="B104" s="78"/>
      <c r="C104" s="80"/>
      <c r="D104" s="79"/>
      <c r="E104" s="80"/>
      <c r="F104" s="79"/>
      <c r="G104" s="25" t="str">
        <f t="shared" si="4"/>
        <v/>
      </c>
      <c r="H104" s="88"/>
      <c r="I104" s="93"/>
      <c r="J104" s="97"/>
      <c r="K104" s="88"/>
      <c r="L104" s="25" t="str">
        <f>IF($D104="","",SUMIFS($H$4:$H104,$D$4:$D104,$D104)+SUMIFS($I$4:$I104,$D$4:$D104,$D104)-SUMIFS($J$4:$J104,$D$4:$D104,$D104)-SUMIFS($K$4:$K104,$D$4:$D104,$D104))</f>
        <v/>
      </c>
      <c r="M104" s="80"/>
      <c r="N104" s="80"/>
      <c r="O104" s="94"/>
      <c r="P104" s="26" t="str">
        <f t="shared" si="5"/>
        <v/>
      </c>
      <c r="Q104" s="80"/>
      <c r="R104" s="80"/>
      <c r="S104" s="80"/>
      <c r="T104" s="82"/>
      <c r="U104" s="80"/>
      <c r="V104" s="80"/>
      <c r="W104" s="80"/>
    </row>
    <row r="105" ht="18" customHeight="1" spans="1:23">
      <c r="A105" s="87" t="str">
        <f t="shared" si="3"/>
        <v/>
      </c>
      <c r="B105" s="78"/>
      <c r="C105" s="80"/>
      <c r="D105" s="79"/>
      <c r="E105" s="80"/>
      <c r="F105" s="79"/>
      <c r="G105" s="25" t="str">
        <f t="shared" si="4"/>
        <v/>
      </c>
      <c r="H105" s="88"/>
      <c r="I105" s="93"/>
      <c r="J105" s="97"/>
      <c r="K105" s="88"/>
      <c r="L105" s="25" t="str">
        <f>IF($D105="","",SUMIFS($H$4:$H105,$D$4:$D105,$D105)+SUMIFS($I$4:$I105,$D$4:$D105,$D105)-SUMIFS($J$4:$J105,$D$4:$D105,$D105)-SUMIFS($K$4:$K105,$D$4:$D105,$D105))</f>
        <v/>
      </c>
      <c r="M105" s="80"/>
      <c r="N105" s="80"/>
      <c r="O105" s="94"/>
      <c r="P105" s="26" t="str">
        <f t="shared" si="5"/>
        <v/>
      </c>
      <c r="Q105" s="80"/>
      <c r="R105" s="80"/>
      <c r="S105" s="80"/>
      <c r="T105" s="82"/>
      <c r="U105" s="80"/>
      <c r="V105" s="80"/>
      <c r="W105" s="80"/>
    </row>
    <row r="106" ht="18" customHeight="1" spans="1:23">
      <c r="A106" s="87" t="str">
        <f t="shared" si="3"/>
        <v/>
      </c>
      <c r="B106" s="78"/>
      <c r="C106" s="80"/>
      <c r="D106" s="79"/>
      <c r="E106" s="80"/>
      <c r="F106" s="79"/>
      <c r="G106" s="25" t="str">
        <f t="shared" si="4"/>
        <v/>
      </c>
      <c r="H106" s="88"/>
      <c r="I106" s="93"/>
      <c r="J106" s="97"/>
      <c r="K106" s="88"/>
      <c r="L106" s="25" t="str">
        <f>IF($D106="","",SUMIFS($H$4:$H106,$D$4:$D106,$D106)+SUMIFS($I$4:$I106,$D$4:$D106,$D106)-SUMIFS($J$4:$J106,$D$4:$D106,$D106)-SUMIFS($K$4:$K106,$D$4:$D106,$D106))</f>
        <v/>
      </c>
      <c r="M106" s="80"/>
      <c r="N106" s="80"/>
      <c r="O106" s="94"/>
      <c r="P106" s="26" t="str">
        <f t="shared" si="5"/>
        <v/>
      </c>
      <c r="Q106" s="80"/>
      <c r="R106" s="80"/>
      <c r="S106" s="80"/>
      <c r="T106" s="82"/>
      <c r="U106" s="80"/>
      <c r="V106" s="80"/>
      <c r="W106" s="80"/>
    </row>
    <row r="107" ht="18" customHeight="1" spans="1:23">
      <c r="A107" s="87" t="str">
        <f t="shared" si="3"/>
        <v/>
      </c>
      <c r="B107" s="78"/>
      <c r="C107" s="80"/>
      <c r="D107" s="79"/>
      <c r="E107" s="80"/>
      <c r="F107" s="79"/>
      <c r="G107" s="25" t="str">
        <f t="shared" si="4"/>
        <v/>
      </c>
      <c r="H107" s="88"/>
      <c r="I107" s="93"/>
      <c r="J107" s="97"/>
      <c r="K107" s="88"/>
      <c r="L107" s="25" t="str">
        <f>IF($D107="","",SUMIFS($H$4:$H107,$D$4:$D107,$D107)+SUMIFS($I$4:$I107,$D$4:$D107,$D107)-SUMIFS($J$4:$J107,$D$4:$D107,$D107)-SUMIFS($K$4:$K107,$D$4:$D107,$D107))</f>
        <v/>
      </c>
      <c r="M107" s="80"/>
      <c r="N107" s="80"/>
      <c r="O107" s="94"/>
      <c r="P107" s="26" t="str">
        <f t="shared" si="5"/>
        <v/>
      </c>
      <c r="Q107" s="80"/>
      <c r="R107" s="80"/>
      <c r="S107" s="80"/>
      <c r="T107" s="82"/>
      <c r="U107" s="80"/>
      <c r="V107" s="80"/>
      <c r="W107" s="80"/>
    </row>
    <row r="108" ht="18" customHeight="1" spans="1:23">
      <c r="A108" s="87" t="str">
        <f t="shared" si="3"/>
        <v/>
      </c>
      <c r="B108" s="78"/>
      <c r="C108" s="80"/>
      <c r="D108" s="79"/>
      <c r="E108" s="80"/>
      <c r="F108" s="79"/>
      <c r="G108" s="25" t="str">
        <f t="shared" si="4"/>
        <v/>
      </c>
      <c r="H108" s="88"/>
      <c r="I108" s="93"/>
      <c r="J108" s="97"/>
      <c r="K108" s="88"/>
      <c r="L108" s="25" t="str">
        <f>IF($D108="","",SUMIFS($H$4:$H108,$D$4:$D108,$D108)+SUMIFS($I$4:$I108,$D$4:$D108,$D108)-SUMIFS($J$4:$J108,$D$4:$D108,$D108)-SUMIFS($K$4:$K108,$D$4:$D108,$D108))</f>
        <v/>
      </c>
      <c r="M108" s="80"/>
      <c r="N108" s="80"/>
      <c r="O108" s="94"/>
      <c r="P108" s="26" t="str">
        <f t="shared" si="5"/>
        <v/>
      </c>
      <c r="Q108" s="80"/>
      <c r="R108" s="80"/>
      <c r="S108" s="80"/>
      <c r="T108" s="82"/>
      <c r="U108" s="80"/>
      <c r="V108" s="80"/>
      <c r="W108" s="80"/>
    </row>
    <row r="109" ht="18" customHeight="1" spans="1:23">
      <c r="A109" s="87" t="str">
        <f t="shared" si="3"/>
        <v/>
      </c>
      <c r="B109" s="78"/>
      <c r="C109" s="80"/>
      <c r="D109" s="79"/>
      <c r="E109" s="80"/>
      <c r="F109" s="79"/>
      <c r="G109" s="25" t="str">
        <f t="shared" si="4"/>
        <v/>
      </c>
      <c r="H109" s="88"/>
      <c r="I109" s="93"/>
      <c r="J109" s="97"/>
      <c r="K109" s="88"/>
      <c r="L109" s="25" t="str">
        <f>IF($D109="","",SUMIFS($H$4:$H109,$D$4:$D109,$D109)+SUMIFS($I$4:$I109,$D$4:$D109,$D109)-SUMIFS($J$4:$J109,$D$4:$D109,$D109)-SUMIFS($K$4:$K109,$D$4:$D109,$D109))</f>
        <v/>
      </c>
      <c r="M109" s="80"/>
      <c r="N109" s="80"/>
      <c r="O109" s="94"/>
      <c r="P109" s="26" t="str">
        <f t="shared" si="5"/>
        <v/>
      </c>
      <c r="Q109" s="80"/>
      <c r="R109" s="80"/>
      <c r="S109" s="80"/>
      <c r="T109" s="82"/>
      <c r="U109" s="80"/>
      <c r="V109" s="80"/>
      <c r="W109" s="80"/>
    </row>
    <row r="110" ht="18" customHeight="1" spans="1:23">
      <c r="A110" s="87" t="str">
        <f t="shared" si="3"/>
        <v/>
      </c>
      <c r="B110" s="78"/>
      <c r="C110" s="80"/>
      <c r="D110" s="79"/>
      <c r="E110" s="80"/>
      <c r="F110" s="79"/>
      <c r="G110" s="25" t="str">
        <f t="shared" si="4"/>
        <v/>
      </c>
      <c r="H110" s="88"/>
      <c r="I110" s="93"/>
      <c r="J110" s="97"/>
      <c r="K110" s="88"/>
      <c r="L110" s="25" t="str">
        <f>IF($D110="","",SUMIFS($H$4:$H110,$D$4:$D110,$D110)+SUMIFS($I$4:$I110,$D$4:$D110,$D110)-SUMIFS($J$4:$J110,$D$4:$D110,$D110)-SUMIFS($K$4:$K110,$D$4:$D110,$D110))</f>
        <v/>
      </c>
      <c r="M110" s="80"/>
      <c r="N110" s="80"/>
      <c r="O110" s="94"/>
      <c r="P110" s="26" t="str">
        <f t="shared" si="5"/>
        <v/>
      </c>
      <c r="Q110" s="80"/>
      <c r="R110" s="80"/>
      <c r="S110" s="80"/>
      <c r="T110" s="82"/>
      <c r="U110" s="80"/>
      <c r="V110" s="80"/>
      <c r="W110" s="80"/>
    </row>
    <row r="111" ht="18" customHeight="1" spans="1:23">
      <c r="A111" s="87" t="str">
        <f t="shared" si="3"/>
        <v/>
      </c>
      <c r="B111" s="78"/>
      <c r="C111" s="80"/>
      <c r="D111" s="79"/>
      <c r="E111" s="80"/>
      <c r="F111" s="79"/>
      <c r="G111" s="25" t="str">
        <f t="shared" si="4"/>
        <v/>
      </c>
      <c r="H111" s="88"/>
      <c r="I111" s="93"/>
      <c r="J111" s="97"/>
      <c r="K111" s="88"/>
      <c r="L111" s="25" t="str">
        <f>IF($D111="","",SUMIFS($H$4:$H111,$D$4:$D111,$D111)+SUMIFS($I$4:$I111,$D$4:$D111,$D111)-SUMIFS($J$4:$J111,$D$4:$D111,$D111)-SUMIFS($K$4:$K111,$D$4:$D111,$D111))</f>
        <v/>
      </c>
      <c r="M111" s="80"/>
      <c r="N111" s="80"/>
      <c r="O111" s="94"/>
      <c r="P111" s="26" t="str">
        <f t="shared" si="5"/>
        <v/>
      </c>
      <c r="Q111" s="80"/>
      <c r="R111" s="80"/>
      <c r="S111" s="80"/>
      <c r="T111" s="82"/>
      <c r="U111" s="80"/>
      <c r="V111" s="80"/>
      <c r="W111" s="80"/>
    </row>
    <row r="112" ht="18" customHeight="1" spans="1:23">
      <c r="A112" s="87" t="str">
        <f t="shared" si="3"/>
        <v/>
      </c>
      <c r="B112" s="78"/>
      <c r="C112" s="80"/>
      <c r="D112" s="79"/>
      <c r="E112" s="80"/>
      <c r="F112" s="79"/>
      <c r="G112" s="25" t="str">
        <f t="shared" si="4"/>
        <v/>
      </c>
      <c r="H112" s="88"/>
      <c r="I112" s="93"/>
      <c r="J112" s="97"/>
      <c r="K112" s="88"/>
      <c r="L112" s="25" t="str">
        <f>IF($D112="","",SUMIFS($H$4:$H112,$D$4:$D112,$D112)+SUMIFS($I$4:$I112,$D$4:$D112,$D112)-SUMIFS($J$4:$J112,$D$4:$D112,$D112)-SUMIFS($K$4:$K112,$D$4:$D112,$D112))</f>
        <v/>
      </c>
      <c r="M112" s="80"/>
      <c r="N112" s="80"/>
      <c r="O112" s="94"/>
      <c r="P112" s="26" t="str">
        <f t="shared" si="5"/>
        <v/>
      </c>
      <c r="Q112" s="80"/>
      <c r="R112" s="80"/>
      <c r="S112" s="80"/>
      <c r="T112" s="82"/>
      <c r="U112" s="80"/>
      <c r="V112" s="80"/>
      <c r="W112" s="80"/>
    </row>
    <row r="113" ht="18" customHeight="1" spans="1:23">
      <c r="A113" s="87" t="str">
        <f t="shared" si="3"/>
        <v/>
      </c>
      <c r="B113" s="78"/>
      <c r="C113" s="80"/>
      <c r="D113" s="79"/>
      <c r="E113" s="80"/>
      <c r="F113" s="79"/>
      <c r="G113" s="25" t="str">
        <f t="shared" si="4"/>
        <v/>
      </c>
      <c r="H113" s="88"/>
      <c r="I113" s="93"/>
      <c r="J113" s="97"/>
      <c r="K113" s="88"/>
      <c r="L113" s="25" t="str">
        <f>IF($D113="","",SUMIFS($H$4:$H113,$D$4:$D113,$D113)+SUMIFS($I$4:$I113,$D$4:$D113,$D113)-SUMIFS($J$4:$J113,$D$4:$D113,$D113)-SUMIFS($K$4:$K113,$D$4:$D113,$D113))</f>
        <v/>
      </c>
      <c r="M113" s="80"/>
      <c r="N113" s="80"/>
      <c r="O113" s="94"/>
      <c r="P113" s="26" t="str">
        <f t="shared" si="5"/>
        <v/>
      </c>
      <c r="Q113" s="80"/>
      <c r="R113" s="80"/>
      <c r="S113" s="80"/>
      <c r="T113" s="82"/>
      <c r="U113" s="80"/>
      <c r="V113" s="80"/>
      <c r="W113" s="80"/>
    </row>
    <row r="114" ht="18" customHeight="1" spans="1:23">
      <c r="A114" s="87" t="str">
        <f t="shared" si="3"/>
        <v/>
      </c>
      <c r="B114" s="78"/>
      <c r="C114" s="80"/>
      <c r="D114" s="79"/>
      <c r="E114" s="80"/>
      <c r="F114" s="79"/>
      <c r="G114" s="25" t="str">
        <f t="shared" si="4"/>
        <v/>
      </c>
      <c r="H114" s="88"/>
      <c r="I114" s="93"/>
      <c r="J114" s="97"/>
      <c r="K114" s="88"/>
      <c r="L114" s="25" t="str">
        <f>IF($D114="","",SUMIFS($H$4:$H114,$D$4:$D114,$D114)+SUMIFS($I$4:$I114,$D$4:$D114,$D114)-SUMIFS($J$4:$J114,$D$4:$D114,$D114)-SUMIFS($K$4:$K114,$D$4:$D114,$D114))</f>
        <v/>
      </c>
      <c r="M114" s="80"/>
      <c r="N114" s="80"/>
      <c r="O114" s="94"/>
      <c r="P114" s="26" t="str">
        <f t="shared" si="5"/>
        <v/>
      </c>
      <c r="Q114" s="80"/>
      <c r="R114" s="80"/>
      <c r="S114" s="80"/>
      <c r="T114" s="82"/>
      <c r="U114" s="80"/>
      <c r="V114" s="80"/>
      <c r="W114" s="80"/>
    </row>
    <row r="115" ht="18" customHeight="1" spans="1:23">
      <c r="A115" s="87" t="str">
        <f t="shared" si="3"/>
        <v/>
      </c>
      <c r="B115" s="78"/>
      <c r="C115" s="80"/>
      <c r="D115" s="79"/>
      <c r="E115" s="80"/>
      <c r="F115" s="79"/>
      <c r="G115" s="25" t="str">
        <f t="shared" si="4"/>
        <v/>
      </c>
      <c r="H115" s="88"/>
      <c r="I115" s="93"/>
      <c r="J115" s="97"/>
      <c r="K115" s="88"/>
      <c r="L115" s="25" t="str">
        <f>IF($D115="","",SUMIFS($H$4:$H115,$D$4:$D115,$D115)+SUMIFS($I$4:$I115,$D$4:$D115,$D115)-SUMIFS($J$4:$J115,$D$4:$D115,$D115)-SUMIFS($K$4:$K115,$D$4:$D115,$D115))</f>
        <v/>
      </c>
      <c r="M115" s="80"/>
      <c r="N115" s="80"/>
      <c r="O115" s="94"/>
      <c r="P115" s="26" t="str">
        <f t="shared" si="5"/>
        <v/>
      </c>
      <c r="Q115" s="80"/>
      <c r="R115" s="80"/>
      <c r="S115" s="80"/>
      <c r="T115" s="82"/>
      <c r="U115" s="80"/>
      <c r="V115" s="80"/>
      <c r="W115" s="80"/>
    </row>
    <row r="116" ht="18" customHeight="1" spans="1:23">
      <c r="A116" s="87" t="str">
        <f t="shared" si="3"/>
        <v/>
      </c>
      <c r="B116" s="78"/>
      <c r="C116" s="80"/>
      <c r="D116" s="79"/>
      <c r="E116" s="80"/>
      <c r="F116" s="79"/>
      <c r="G116" s="25" t="str">
        <f t="shared" si="4"/>
        <v/>
      </c>
      <c r="H116" s="88"/>
      <c r="I116" s="93"/>
      <c r="J116" s="97"/>
      <c r="K116" s="88"/>
      <c r="L116" s="25" t="str">
        <f>IF($D116="","",SUMIFS($H$4:$H116,$D$4:$D116,$D116)+SUMIFS($I$4:$I116,$D$4:$D116,$D116)-SUMIFS($J$4:$J116,$D$4:$D116,$D116)-SUMIFS($K$4:$K116,$D$4:$D116,$D116))</f>
        <v/>
      </c>
      <c r="M116" s="80"/>
      <c r="N116" s="80"/>
      <c r="O116" s="94"/>
      <c r="P116" s="26" t="str">
        <f t="shared" si="5"/>
        <v/>
      </c>
      <c r="Q116" s="80"/>
      <c r="R116" s="80"/>
      <c r="S116" s="80"/>
      <c r="T116" s="82"/>
      <c r="U116" s="80"/>
      <c r="V116" s="80"/>
      <c r="W116" s="80"/>
    </row>
    <row r="117" ht="18" customHeight="1" spans="1:23">
      <c r="A117" s="87" t="str">
        <f t="shared" si="3"/>
        <v/>
      </c>
      <c r="B117" s="78"/>
      <c r="C117" s="80"/>
      <c r="D117" s="79"/>
      <c r="E117" s="80"/>
      <c r="F117" s="79"/>
      <c r="G117" s="25" t="str">
        <f t="shared" si="4"/>
        <v/>
      </c>
      <c r="H117" s="88"/>
      <c r="I117" s="93"/>
      <c r="J117" s="97"/>
      <c r="K117" s="88"/>
      <c r="L117" s="25" t="str">
        <f>IF($D117="","",SUMIFS($H$4:$H117,$D$4:$D117,$D117)+SUMIFS($I$4:$I117,$D$4:$D117,$D117)-SUMIFS($J$4:$J117,$D$4:$D117,$D117)-SUMIFS($K$4:$K117,$D$4:$D117,$D117))</f>
        <v/>
      </c>
      <c r="M117" s="80"/>
      <c r="N117" s="80"/>
      <c r="O117" s="94"/>
      <c r="P117" s="26" t="str">
        <f t="shared" si="5"/>
        <v/>
      </c>
      <c r="Q117" s="80"/>
      <c r="R117" s="80"/>
      <c r="S117" s="80"/>
      <c r="T117" s="82"/>
      <c r="U117" s="80"/>
      <c r="V117" s="80"/>
      <c r="W117" s="80"/>
    </row>
    <row r="118" ht="18" customHeight="1" spans="1:23">
      <c r="A118" s="87" t="str">
        <f t="shared" si="3"/>
        <v/>
      </c>
      <c r="B118" s="78"/>
      <c r="C118" s="80"/>
      <c r="D118" s="79"/>
      <c r="E118" s="80"/>
      <c r="F118" s="79"/>
      <c r="G118" s="25" t="str">
        <f t="shared" si="4"/>
        <v/>
      </c>
      <c r="H118" s="88"/>
      <c r="I118" s="93"/>
      <c r="J118" s="97"/>
      <c r="K118" s="88"/>
      <c r="L118" s="25" t="str">
        <f>IF($D118="","",SUMIFS($H$4:$H118,$D$4:$D118,$D118)+SUMIFS($I$4:$I118,$D$4:$D118,$D118)-SUMIFS($J$4:$J118,$D$4:$D118,$D118)-SUMIFS($K$4:$K118,$D$4:$D118,$D118))</f>
        <v/>
      </c>
      <c r="M118" s="80"/>
      <c r="N118" s="80"/>
      <c r="O118" s="94"/>
      <c r="P118" s="26" t="str">
        <f t="shared" si="5"/>
        <v/>
      </c>
      <c r="Q118" s="80"/>
      <c r="R118" s="80"/>
      <c r="S118" s="80"/>
      <c r="T118" s="82"/>
      <c r="U118" s="80"/>
      <c r="V118" s="80"/>
      <c r="W118" s="80"/>
    </row>
    <row r="119" ht="18" customHeight="1" spans="1:23">
      <c r="A119" s="87" t="str">
        <f t="shared" si="3"/>
        <v/>
      </c>
      <c r="B119" s="78"/>
      <c r="C119" s="80"/>
      <c r="D119" s="79"/>
      <c r="E119" s="80"/>
      <c r="F119" s="79"/>
      <c r="G119" s="25" t="str">
        <f t="shared" si="4"/>
        <v/>
      </c>
      <c r="H119" s="88"/>
      <c r="I119" s="93"/>
      <c r="J119" s="97"/>
      <c r="K119" s="88"/>
      <c r="L119" s="25" t="str">
        <f>IF($D119="","",SUMIFS($H$4:$H119,$D$4:$D119,$D119)+SUMIFS($I$4:$I119,$D$4:$D119,$D119)-SUMIFS($J$4:$J119,$D$4:$D119,$D119)-SUMIFS($K$4:$K119,$D$4:$D119,$D119))</f>
        <v/>
      </c>
      <c r="M119" s="80"/>
      <c r="N119" s="80"/>
      <c r="O119" s="94"/>
      <c r="P119" s="26" t="str">
        <f t="shared" si="5"/>
        <v/>
      </c>
      <c r="Q119" s="80"/>
      <c r="R119" s="80"/>
      <c r="S119" s="80"/>
      <c r="T119" s="82"/>
      <c r="U119" s="80"/>
      <c r="V119" s="80"/>
      <c r="W119" s="80"/>
    </row>
    <row r="120" ht="18" customHeight="1" spans="1:23">
      <c r="A120" s="87" t="str">
        <f t="shared" si="3"/>
        <v/>
      </c>
      <c r="B120" s="78"/>
      <c r="C120" s="80"/>
      <c r="D120" s="79"/>
      <c r="E120" s="80"/>
      <c r="F120" s="79"/>
      <c r="G120" s="25" t="str">
        <f t="shared" si="4"/>
        <v/>
      </c>
      <c r="H120" s="88"/>
      <c r="I120" s="93"/>
      <c r="J120" s="97"/>
      <c r="K120" s="88"/>
      <c r="L120" s="25" t="str">
        <f>IF($D120="","",SUMIFS($H$4:$H120,$D$4:$D120,$D120)+SUMIFS($I$4:$I120,$D$4:$D120,$D120)-SUMIFS($J$4:$J120,$D$4:$D120,$D120)-SUMIFS($K$4:$K120,$D$4:$D120,$D120))</f>
        <v/>
      </c>
      <c r="M120" s="80"/>
      <c r="N120" s="80"/>
      <c r="O120" s="94"/>
      <c r="P120" s="26" t="str">
        <f t="shared" si="5"/>
        <v/>
      </c>
      <c r="Q120" s="80"/>
      <c r="R120" s="80"/>
      <c r="S120" s="80"/>
      <c r="T120" s="82"/>
      <c r="U120" s="80"/>
      <c r="V120" s="80"/>
      <c r="W120" s="80"/>
    </row>
    <row r="121" ht="18" customHeight="1" spans="1:23">
      <c r="A121" s="87" t="str">
        <f t="shared" si="3"/>
        <v/>
      </c>
      <c r="B121" s="78"/>
      <c r="C121" s="80"/>
      <c r="D121" s="79"/>
      <c r="E121" s="80"/>
      <c r="F121" s="79"/>
      <c r="G121" s="25" t="str">
        <f t="shared" si="4"/>
        <v/>
      </c>
      <c r="H121" s="88"/>
      <c r="I121" s="93"/>
      <c r="J121" s="97"/>
      <c r="K121" s="88"/>
      <c r="L121" s="25" t="str">
        <f>IF($D121="","",SUMIFS($H$4:$H121,$D$4:$D121,$D121)+SUMIFS($I$4:$I121,$D$4:$D121,$D121)-SUMIFS($J$4:$J121,$D$4:$D121,$D121)-SUMIFS($K$4:$K121,$D$4:$D121,$D121))</f>
        <v/>
      </c>
      <c r="M121" s="80"/>
      <c r="N121" s="80"/>
      <c r="O121" s="94"/>
      <c r="P121" s="26" t="str">
        <f t="shared" si="5"/>
        <v/>
      </c>
      <c r="Q121" s="80"/>
      <c r="R121" s="80"/>
      <c r="S121" s="80"/>
      <c r="T121" s="82"/>
      <c r="U121" s="80"/>
      <c r="V121" s="80"/>
      <c r="W121" s="80"/>
    </row>
    <row r="122" ht="18" customHeight="1" spans="1:23">
      <c r="A122" s="87" t="str">
        <f t="shared" si="3"/>
        <v/>
      </c>
      <c r="B122" s="78"/>
      <c r="C122" s="80"/>
      <c r="D122" s="79"/>
      <c r="E122" s="80"/>
      <c r="F122" s="79"/>
      <c r="G122" s="25" t="str">
        <f t="shared" si="4"/>
        <v/>
      </c>
      <c r="H122" s="88"/>
      <c r="I122" s="93"/>
      <c r="J122" s="97"/>
      <c r="K122" s="88"/>
      <c r="L122" s="25" t="str">
        <f>IF($D122="","",SUMIFS($H$4:$H122,$D$4:$D122,$D122)+SUMIFS($I$4:$I122,$D$4:$D122,$D122)-SUMIFS($J$4:$J122,$D$4:$D122,$D122)-SUMIFS($K$4:$K122,$D$4:$D122,$D122))</f>
        <v/>
      </c>
      <c r="M122" s="80"/>
      <c r="N122" s="80"/>
      <c r="O122" s="94"/>
      <c r="P122" s="26" t="str">
        <f t="shared" si="5"/>
        <v/>
      </c>
      <c r="Q122" s="80"/>
      <c r="R122" s="80"/>
      <c r="S122" s="80"/>
      <c r="T122" s="82"/>
      <c r="U122" s="80"/>
      <c r="V122" s="80"/>
      <c r="W122" s="80"/>
    </row>
    <row r="123" ht="18" customHeight="1" spans="1:23">
      <c r="A123" s="87" t="str">
        <f t="shared" si="3"/>
        <v/>
      </c>
      <c r="B123" s="78"/>
      <c r="C123" s="80"/>
      <c r="D123" s="79"/>
      <c r="E123" s="80"/>
      <c r="F123" s="79"/>
      <c r="G123" s="25" t="str">
        <f t="shared" si="4"/>
        <v/>
      </c>
      <c r="H123" s="88"/>
      <c r="I123" s="93"/>
      <c r="J123" s="97"/>
      <c r="K123" s="88"/>
      <c r="L123" s="25" t="str">
        <f>IF($D123="","",SUMIFS($H$4:$H123,$D$4:$D123,$D123)+SUMIFS($I$4:$I123,$D$4:$D123,$D123)-SUMIFS($J$4:$J123,$D$4:$D123,$D123)-SUMIFS($K$4:$K123,$D$4:$D123,$D123))</f>
        <v/>
      </c>
      <c r="M123" s="80"/>
      <c r="N123" s="80"/>
      <c r="O123" s="94"/>
      <c r="P123" s="26" t="str">
        <f t="shared" si="5"/>
        <v/>
      </c>
      <c r="Q123" s="80"/>
      <c r="R123" s="80"/>
      <c r="S123" s="80"/>
      <c r="T123" s="82"/>
      <c r="U123" s="80"/>
      <c r="V123" s="80"/>
      <c r="W123" s="80"/>
    </row>
    <row r="124" ht="18" customHeight="1" spans="1:23">
      <c r="A124" s="87" t="str">
        <f t="shared" si="3"/>
        <v/>
      </c>
      <c r="B124" s="78"/>
      <c r="C124" s="80"/>
      <c r="D124" s="79"/>
      <c r="E124" s="80"/>
      <c r="F124" s="79"/>
      <c r="G124" s="25" t="str">
        <f t="shared" si="4"/>
        <v/>
      </c>
      <c r="H124" s="88"/>
      <c r="I124" s="93"/>
      <c r="J124" s="97"/>
      <c r="K124" s="88"/>
      <c r="L124" s="25" t="str">
        <f>IF($D124="","",SUMIFS($H$4:$H124,$D$4:$D124,$D124)+SUMIFS($I$4:$I124,$D$4:$D124,$D124)-SUMIFS($J$4:$J124,$D$4:$D124,$D124)-SUMIFS($K$4:$K124,$D$4:$D124,$D124))</f>
        <v/>
      </c>
      <c r="M124" s="80"/>
      <c r="N124" s="80"/>
      <c r="O124" s="94"/>
      <c r="P124" s="26" t="str">
        <f t="shared" si="5"/>
        <v/>
      </c>
      <c r="Q124" s="80"/>
      <c r="R124" s="80"/>
      <c r="S124" s="80"/>
      <c r="T124" s="82"/>
      <c r="U124" s="80"/>
      <c r="V124" s="80"/>
      <c r="W124" s="80"/>
    </row>
    <row r="125" ht="18" customHeight="1" spans="1:23">
      <c r="A125" s="87" t="str">
        <f t="shared" si="3"/>
        <v/>
      </c>
      <c r="B125" s="78"/>
      <c r="C125" s="80"/>
      <c r="D125" s="79"/>
      <c r="E125" s="80"/>
      <c r="F125" s="79"/>
      <c r="G125" s="25" t="str">
        <f t="shared" si="4"/>
        <v/>
      </c>
      <c r="H125" s="88"/>
      <c r="I125" s="93"/>
      <c r="J125" s="97"/>
      <c r="K125" s="88"/>
      <c r="L125" s="25" t="str">
        <f>IF($D125="","",SUMIFS($H$4:$H125,$D$4:$D125,$D125)+SUMIFS($I$4:$I125,$D$4:$D125,$D125)-SUMIFS($J$4:$J125,$D$4:$D125,$D125)-SUMIFS($K$4:$K125,$D$4:$D125,$D125))</f>
        <v/>
      </c>
      <c r="M125" s="80"/>
      <c r="N125" s="80"/>
      <c r="O125" s="94"/>
      <c r="P125" s="26" t="str">
        <f t="shared" si="5"/>
        <v/>
      </c>
      <c r="Q125" s="80"/>
      <c r="R125" s="80"/>
      <c r="S125" s="80"/>
      <c r="T125" s="82"/>
      <c r="U125" s="80"/>
      <c r="V125" s="80"/>
      <c r="W125" s="80"/>
    </row>
    <row r="126" ht="18" customHeight="1" spans="1:23">
      <c r="A126" s="87" t="str">
        <f t="shared" si="3"/>
        <v/>
      </c>
      <c r="B126" s="78"/>
      <c r="C126" s="80"/>
      <c r="D126" s="79"/>
      <c r="E126" s="80"/>
      <c r="F126" s="79"/>
      <c r="G126" s="25" t="str">
        <f t="shared" si="4"/>
        <v/>
      </c>
      <c r="H126" s="88"/>
      <c r="I126" s="93"/>
      <c r="J126" s="97"/>
      <c r="K126" s="88"/>
      <c r="L126" s="25" t="str">
        <f>IF($D126="","",SUMIFS($H$4:$H126,$D$4:$D126,$D126)+SUMIFS($I$4:$I126,$D$4:$D126,$D126)-SUMIFS($J$4:$J126,$D$4:$D126,$D126)-SUMIFS($K$4:$K126,$D$4:$D126,$D126))</f>
        <v/>
      </c>
      <c r="M126" s="80"/>
      <c r="N126" s="80"/>
      <c r="O126" s="94"/>
      <c r="P126" s="26" t="str">
        <f t="shared" si="5"/>
        <v/>
      </c>
      <c r="Q126" s="80"/>
      <c r="R126" s="80"/>
      <c r="S126" s="80"/>
      <c r="T126" s="82"/>
      <c r="U126" s="80"/>
      <c r="V126" s="80"/>
      <c r="W126" s="80"/>
    </row>
    <row r="127" ht="18" customHeight="1" spans="1:23">
      <c r="A127" s="87" t="str">
        <f t="shared" si="3"/>
        <v/>
      </c>
      <c r="B127" s="78"/>
      <c r="C127" s="80"/>
      <c r="D127" s="79"/>
      <c r="E127" s="80"/>
      <c r="F127" s="79"/>
      <c r="G127" s="25" t="str">
        <f t="shared" si="4"/>
        <v/>
      </c>
      <c r="H127" s="88"/>
      <c r="I127" s="93"/>
      <c r="J127" s="97"/>
      <c r="K127" s="88"/>
      <c r="L127" s="25" t="str">
        <f>IF($D127="","",SUMIFS($H$4:$H127,$D$4:$D127,$D127)+SUMIFS($I$4:$I127,$D$4:$D127,$D127)-SUMIFS($J$4:$J127,$D$4:$D127,$D127)-SUMIFS($K$4:$K127,$D$4:$D127,$D127))</f>
        <v/>
      </c>
      <c r="M127" s="80"/>
      <c r="N127" s="80"/>
      <c r="O127" s="94"/>
      <c r="P127" s="26" t="str">
        <f t="shared" si="5"/>
        <v/>
      </c>
      <c r="Q127" s="80"/>
      <c r="R127" s="80"/>
      <c r="S127" s="80"/>
      <c r="T127" s="82"/>
      <c r="U127" s="80"/>
      <c r="V127" s="80"/>
      <c r="W127" s="80"/>
    </row>
    <row r="128" ht="18" customHeight="1" spans="1:23">
      <c r="A128" s="87" t="str">
        <f t="shared" si="3"/>
        <v/>
      </c>
      <c r="B128" s="78"/>
      <c r="C128" s="80"/>
      <c r="D128" s="79"/>
      <c r="E128" s="80"/>
      <c r="F128" s="79"/>
      <c r="G128" s="25" t="str">
        <f t="shared" si="4"/>
        <v/>
      </c>
      <c r="H128" s="88"/>
      <c r="I128" s="93"/>
      <c r="J128" s="97"/>
      <c r="K128" s="88"/>
      <c r="L128" s="25" t="str">
        <f>IF($D128="","",SUMIFS($H$4:$H128,$D$4:$D128,$D128)+SUMIFS($I$4:$I128,$D$4:$D128,$D128)-SUMIFS($J$4:$J128,$D$4:$D128,$D128)-SUMIFS($K$4:$K128,$D$4:$D128,$D128))</f>
        <v/>
      </c>
      <c r="M128" s="80"/>
      <c r="N128" s="80"/>
      <c r="O128" s="94"/>
      <c r="P128" s="26" t="str">
        <f t="shared" si="5"/>
        <v/>
      </c>
      <c r="Q128" s="80"/>
      <c r="R128" s="80"/>
      <c r="S128" s="80"/>
      <c r="T128" s="82"/>
      <c r="U128" s="80"/>
      <c r="V128" s="80"/>
      <c r="W128" s="80"/>
    </row>
    <row r="129" ht="18" customHeight="1" spans="1:23">
      <c r="A129" s="87" t="str">
        <f t="shared" si="3"/>
        <v/>
      </c>
      <c r="B129" s="78"/>
      <c r="C129" s="80"/>
      <c r="D129" s="79"/>
      <c r="E129" s="80"/>
      <c r="F129" s="79"/>
      <c r="G129" s="25" t="str">
        <f t="shared" si="4"/>
        <v/>
      </c>
      <c r="H129" s="88"/>
      <c r="I129" s="93"/>
      <c r="J129" s="97"/>
      <c r="K129" s="88"/>
      <c r="L129" s="25" t="str">
        <f>IF($D129="","",SUMIFS($H$4:$H129,$D$4:$D129,$D129)+SUMIFS($I$4:$I129,$D$4:$D129,$D129)-SUMIFS($J$4:$J129,$D$4:$D129,$D129)-SUMIFS($K$4:$K129,$D$4:$D129,$D129))</f>
        <v/>
      </c>
      <c r="M129" s="80"/>
      <c r="N129" s="80"/>
      <c r="O129" s="94"/>
      <c r="P129" s="26" t="str">
        <f t="shared" si="5"/>
        <v/>
      </c>
      <c r="Q129" s="80"/>
      <c r="R129" s="80"/>
      <c r="S129" s="80"/>
      <c r="T129" s="82"/>
      <c r="U129" s="80"/>
      <c r="V129" s="80"/>
      <c r="W129" s="80"/>
    </row>
    <row r="130" ht="18" customHeight="1" spans="1:23">
      <c r="A130" s="87" t="str">
        <f t="shared" si="3"/>
        <v/>
      </c>
      <c r="B130" s="78"/>
      <c r="C130" s="80"/>
      <c r="D130" s="79"/>
      <c r="E130" s="80"/>
      <c r="F130" s="79"/>
      <c r="G130" s="25" t="str">
        <f t="shared" si="4"/>
        <v/>
      </c>
      <c r="H130" s="88"/>
      <c r="I130" s="93"/>
      <c r="J130" s="97"/>
      <c r="K130" s="88"/>
      <c r="L130" s="25" t="str">
        <f>IF($D130="","",SUMIFS($H$4:$H130,$D$4:$D130,$D130)+SUMIFS($I$4:$I130,$D$4:$D130,$D130)-SUMIFS($J$4:$J130,$D$4:$D130,$D130)-SUMIFS($K$4:$K130,$D$4:$D130,$D130))</f>
        <v/>
      </c>
      <c r="M130" s="80"/>
      <c r="N130" s="80"/>
      <c r="O130" s="94"/>
      <c r="P130" s="26" t="str">
        <f t="shared" si="5"/>
        <v/>
      </c>
      <c r="Q130" s="80"/>
      <c r="R130" s="80"/>
      <c r="S130" s="80"/>
      <c r="T130" s="82"/>
      <c r="U130" s="80"/>
      <c r="V130" s="80"/>
      <c r="W130" s="80"/>
    </row>
    <row r="131" ht="18" customHeight="1" spans="1:23">
      <c r="A131" s="87" t="str">
        <f t="shared" si="3"/>
        <v/>
      </c>
      <c r="B131" s="78"/>
      <c r="C131" s="80"/>
      <c r="D131" s="79"/>
      <c r="E131" s="80"/>
      <c r="F131" s="79"/>
      <c r="G131" s="25" t="str">
        <f t="shared" si="4"/>
        <v/>
      </c>
      <c r="H131" s="88"/>
      <c r="I131" s="93"/>
      <c r="J131" s="97"/>
      <c r="K131" s="88"/>
      <c r="L131" s="25" t="str">
        <f>IF($D131="","",SUMIFS($H$4:$H131,$D$4:$D131,$D131)+SUMIFS($I$4:$I131,$D$4:$D131,$D131)-SUMIFS($J$4:$J131,$D$4:$D131,$D131)-SUMIFS($K$4:$K131,$D$4:$D131,$D131))</f>
        <v/>
      </c>
      <c r="M131" s="80"/>
      <c r="N131" s="80"/>
      <c r="O131" s="94"/>
      <c r="P131" s="26" t="str">
        <f t="shared" si="5"/>
        <v/>
      </c>
      <c r="Q131" s="80"/>
      <c r="R131" s="80"/>
      <c r="S131" s="80"/>
      <c r="T131" s="82"/>
      <c r="U131" s="80"/>
      <c r="V131" s="80"/>
      <c r="W131" s="80"/>
    </row>
    <row r="132" ht="18" customHeight="1" spans="1:23">
      <c r="A132" s="87" t="str">
        <f t="shared" si="3"/>
        <v/>
      </c>
      <c r="B132" s="78"/>
      <c r="C132" s="80"/>
      <c r="D132" s="79"/>
      <c r="E132" s="80"/>
      <c r="F132" s="79"/>
      <c r="G132" s="25" t="str">
        <f t="shared" si="4"/>
        <v/>
      </c>
      <c r="H132" s="88"/>
      <c r="I132" s="93"/>
      <c r="J132" s="97"/>
      <c r="K132" s="88"/>
      <c r="L132" s="25" t="str">
        <f>IF($D132="","",SUMIFS($H$4:$H132,$D$4:$D132,$D132)+SUMIFS($I$4:$I132,$D$4:$D132,$D132)-SUMIFS($J$4:$J132,$D$4:$D132,$D132)-SUMIFS($K$4:$K132,$D$4:$D132,$D132))</f>
        <v/>
      </c>
      <c r="M132" s="80"/>
      <c r="N132" s="80"/>
      <c r="O132" s="94"/>
      <c r="P132" s="26" t="str">
        <f t="shared" si="5"/>
        <v/>
      </c>
      <c r="Q132" s="80"/>
      <c r="R132" s="80"/>
      <c r="S132" s="80"/>
      <c r="T132" s="82"/>
      <c r="U132" s="80"/>
      <c r="V132" s="80"/>
      <c r="W132" s="80"/>
    </row>
    <row r="133" ht="18" customHeight="1" spans="1:23">
      <c r="A133" s="87" t="str">
        <f t="shared" ref="A133:A196" si="6">IF($D133="","",ROW()-3)</f>
        <v/>
      </c>
      <c r="B133" s="78"/>
      <c r="C133" s="80"/>
      <c r="D133" s="79"/>
      <c r="E133" s="80"/>
      <c r="F133" s="79"/>
      <c r="G133" s="25" t="str">
        <f t="shared" ref="G133:G196" si="7">IF($D133="","",N($L133)-N($H133)-N($I133)+N($J133)+N($K133))</f>
        <v/>
      </c>
      <c r="H133" s="88"/>
      <c r="I133" s="93"/>
      <c r="J133" s="97"/>
      <c r="K133" s="88"/>
      <c r="L133" s="25" t="str">
        <f>IF($D133="","",SUMIFS($H$4:$H133,$D$4:$D133,$D133)+SUMIFS($I$4:$I133,$D$4:$D133,$D133)-SUMIFS($J$4:$J133,$D$4:$D133,$D133)-SUMIFS($K$4:$K133,$D$4:$D133,$D133))</f>
        <v/>
      </c>
      <c r="M133" s="80"/>
      <c r="N133" s="80"/>
      <c r="O133" s="94"/>
      <c r="P133" s="26" t="str">
        <f t="shared" ref="P133:P196" si="8">IF($D133="","",ROUND((N($H133)+N($K133))*N($O133),2))</f>
        <v/>
      </c>
      <c r="Q133" s="80"/>
      <c r="R133" s="80"/>
      <c r="S133" s="80"/>
      <c r="T133" s="82"/>
      <c r="U133" s="80"/>
      <c r="V133" s="80"/>
      <c r="W133" s="80"/>
    </row>
    <row r="134" ht="18" customHeight="1" spans="1:23">
      <c r="A134" s="87" t="str">
        <f t="shared" si="6"/>
        <v/>
      </c>
      <c r="B134" s="78"/>
      <c r="C134" s="80"/>
      <c r="D134" s="79"/>
      <c r="E134" s="80"/>
      <c r="F134" s="79"/>
      <c r="G134" s="25" t="str">
        <f t="shared" si="7"/>
        <v/>
      </c>
      <c r="H134" s="88"/>
      <c r="I134" s="93"/>
      <c r="J134" s="97"/>
      <c r="K134" s="88"/>
      <c r="L134" s="25" t="str">
        <f>IF($D134="","",SUMIFS($H$4:$H134,$D$4:$D134,$D134)+SUMIFS($I$4:$I134,$D$4:$D134,$D134)-SUMIFS($J$4:$J134,$D$4:$D134,$D134)-SUMIFS($K$4:$K134,$D$4:$D134,$D134))</f>
        <v/>
      </c>
      <c r="M134" s="80"/>
      <c r="N134" s="80"/>
      <c r="O134" s="94"/>
      <c r="P134" s="26" t="str">
        <f t="shared" si="8"/>
        <v/>
      </c>
      <c r="Q134" s="80"/>
      <c r="R134" s="80"/>
      <c r="S134" s="80"/>
      <c r="T134" s="82"/>
      <c r="U134" s="80"/>
      <c r="V134" s="80"/>
      <c r="W134" s="80"/>
    </row>
    <row r="135" ht="18" customHeight="1" spans="1:23">
      <c r="A135" s="87" t="str">
        <f t="shared" si="6"/>
        <v/>
      </c>
      <c r="B135" s="78"/>
      <c r="C135" s="80"/>
      <c r="D135" s="79"/>
      <c r="E135" s="80"/>
      <c r="F135" s="79"/>
      <c r="G135" s="25" t="str">
        <f t="shared" si="7"/>
        <v/>
      </c>
      <c r="H135" s="88"/>
      <c r="I135" s="93"/>
      <c r="J135" s="97"/>
      <c r="K135" s="88"/>
      <c r="L135" s="25" t="str">
        <f>IF($D135="","",SUMIFS($H$4:$H135,$D$4:$D135,$D135)+SUMIFS($I$4:$I135,$D$4:$D135,$D135)-SUMIFS($J$4:$J135,$D$4:$D135,$D135)-SUMIFS($K$4:$K135,$D$4:$D135,$D135))</f>
        <v/>
      </c>
      <c r="M135" s="80"/>
      <c r="N135" s="80"/>
      <c r="O135" s="94"/>
      <c r="P135" s="26" t="str">
        <f t="shared" si="8"/>
        <v/>
      </c>
      <c r="Q135" s="80"/>
      <c r="R135" s="80"/>
      <c r="S135" s="80"/>
      <c r="T135" s="82"/>
      <c r="U135" s="80"/>
      <c r="V135" s="80"/>
      <c r="W135" s="80"/>
    </row>
    <row r="136" ht="18" customHeight="1" spans="1:23">
      <c r="A136" s="87" t="str">
        <f t="shared" si="6"/>
        <v/>
      </c>
      <c r="B136" s="78"/>
      <c r="C136" s="80"/>
      <c r="D136" s="79"/>
      <c r="E136" s="80"/>
      <c r="F136" s="79"/>
      <c r="G136" s="25" t="str">
        <f t="shared" si="7"/>
        <v/>
      </c>
      <c r="H136" s="88"/>
      <c r="I136" s="93"/>
      <c r="J136" s="97"/>
      <c r="K136" s="88"/>
      <c r="L136" s="25" t="str">
        <f>IF($D136="","",SUMIFS($H$4:$H136,$D$4:$D136,$D136)+SUMIFS($I$4:$I136,$D$4:$D136,$D136)-SUMIFS($J$4:$J136,$D$4:$D136,$D136)-SUMIFS($K$4:$K136,$D$4:$D136,$D136))</f>
        <v/>
      </c>
      <c r="M136" s="80"/>
      <c r="N136" s="80"/>
      <c r="O136" s="94"/>
      <c r="P136" s="26" t="str">
        <f t="shared" si="8"/>
        <v/>
      </c>
      <c r="Q136" s="80"/>
      <c r="R136" s="80"/>
      <c r="S136" s="80"/>
      <c r="T136" s="82"/>
      <c r="U136" s="80"/>
      <c r="V136" s="80"/>
      <c r="W136" s="80"/>
    </row>
    <row r="137" ht="18" customHeight="1" spans="1:23">
      <c r="A137" s="87" t="str">
        <f t="shared" si="6"/>
        <v/>
      </c>
      <c r="B137" s="78"/>
      <c r="C137" s="80"/>
      <c r="D137" s="79"/>
      <c r="E137" s="80"/>
      <c r="F137" s="79"/>
      <c r="G137" s="25" t="str">
        <f t="shared" si="7"/>
        <v/>
      </c>
      <c r="H137" s="88"/>
      <c r="I137" s="93"/>
      <c r="J137" s="97"/>
      <c r="K137" s="88"/>
      <c r="L137" s="25" t="str">
        <f>IF($D137="","",SUMIFS($H$4:$H137,$D$4:$D137,$D137)+SUMIFS($I$4:$I137,$D$4:$D137,$D137)-SUMIFS($J$4:$J137,$D$4:$D137,$D137)-SUMIFS($K$4:$K137,$D$4:$D137,$D137))</f>
        <v/>
      </c>
      <c r="M137" s="80"/>
      <c r="N137" s="80"/>
      <c r="O137" s="94"/>
      <c r="P137" s="26" t="str">
        <f t="shared" si="8"/>
        <v/>
      </c>
      <c r="Q137" s="80"/>
      <c r="R137" s="80"/>
      <c r="S137" s="80"/>
      <c r="T137" s="82"/>
      <c r="U137" s="80"/>
      <c r="V137" s="80"/>
      <c r="W137" s="80"/>
    </row>
    <row r="138" ht="18" customHeight="1" spans="1:23">
      <c r="A138" s="87" t="str">
        <f t="shared" si="6"/>
        <v/>
      </c>
      <c r="B138" s="78"/>
      <c r="C138" s="80"/>
      <c r="D138" s="79"/>
      <c r="E138" s="80"/>
      <c r="F138" s="79"/>
      <c r="G138" s="25" t="str">
        <f t="shared" si="7"/>
        <v/>
      </c>
      <c r="H138" s="88"/>
      <c r="I138" s="93"/>
      <c r="J138" s="97"/>
      <c r="K138" s="88"/>
      <c r="L138" s="25" t="str">
        <f>IF($D138="","",SUMIFS($H$4:$H138,$D$4:$D138,$D138)+SUMIFS($I$4:$I138,$D$4:$D138,$D138)-SUMIFS($J$4:$J138,$D$4:$D138,$D138)-SUMIFS($K$4:$K138,$D$4:$D138,$D138))</f>
        <v/>
      </c>
      <c r="M138" s="80"/>
      <c r="N138" s="80"/>
      <c r="O138" s="94"/>
      <c r="P138" s="26" t="str">
        <f t="shared" si="8"/>
        <v/>
      </c>
      <c r="Q138" s="80"/>
      <c r="R138" s="80"/>
      <c r="S138" s="80"/>
      <c r="T138" s="82"/>
      <c r="U138" s="80"/>
      <c r="V138" s="80"/>
      <c r="W138" s="80"/>
    </row>
    <row r="139" ht="18" customHeight="1" spans="1:23">
      <c r="A139" s="87" t="str">
        <f t="shared" si="6"/>
        <v/>
      </c>
      <c r="B139" s="78"/>
      <c r="C139" s="80"/>
      <c r="D139" s="79"/>
      <c r="E139" s="80"/>
      <c r="F139" s="79"/>
      <c r="G139" s="25" t="str">
        <f t="shared" si="7"/>
        <v/>
      </c>
      <c r="H139" s="88"/>
      <c r="I139" s="93"/>
      <c r="J139" s="97"/>
      <c r="K139" s="88"/>
      <c r="L139" s="25" t="str">
        <f>IF($D139="","",SUMIFS($H$4:$H139,$D$4:$D139,$D139)+SUMIFS($I$4:$I139,$D$4:$D139,$D139)-SUMIFS($J$4:$J139,$D$4:$D139,$D139)-SUMIFS($K$4:$K139,$D$4:$D139,$D139))</f>
        <v/>
      </c>
      <c r="M139" s="80"/>
      <c r="N139" s="80"/>
      <c r="O139" s="94"/>
      <c r="P139" s="26" t="str">
        <f t="shared" si="8"/>
        <v/>
      </c>
      <c r="Q139" s="80"/>
      <c r="R139" s="80"/>
      <c r="S139" s="80"/>
      <c r="T139" s="82"/>
      <c r="U139" s="80"/>
      <c r="V139" s="80"/>
      <c r="W139" s="80"/>
    </row>
    <row r="140" ht="18" customHeight="1" spans="1:23">
      <c r="A140" s="87" t="str">
        <f t="shared" si="6"/>
        <v/>
      </c>
      <c r="B140" s="78"/>
      <c r="C140" s="80"/>
      <c r="D140" s="79"/>
      <c r="E140" s="80"/>
      <c r="F140" s="79"/>
      <c r="G140" s="25" t="str">
        <f t="shared" si="7"/>
        <v/>
      </c>
      <c r="H140" s="88"/>
      <c r="I140" s="93"/>
      <c r="J140" s="97"/>
      <c r="K140" s="88"/>
      <c r="L140" s="25" t="str">
        <f>IF($D140="","",SUMIFS($H$4:$H140,$D$4:$D140,$D140)+SUMIFS($I$4:$I140,$D$4:$D140,$D140)-SUMIFS($J$4:$J140,$D$4:$D140,$D140)-SUMIFS($K$4:$K140,$D$4:$D140,$D140))</f>
        <v/>
      </c>
      <c r="M140" s="80"/>
      <c r="N140" s="80"/>
      <c r="O140" s="94"/>
      <c r="P140" s="26" t="str">
        <f t="shared" si="8"/>
        <v/>
      </c>
      <c r="Q140" s="80"/>
      <c r="R140" s="80"/>
      <c r="S140" s="80"/>
      <c r="T140" s="82"/>
      <c r="U140" s="80"/>
      <c r="V140" s="80"/>
      <c r="W140" s="80"/>
    </row>
    <row r="141" ht="18" customHeight="1" spans="1:23">
      <c r="A141" s="87" t="str">
        <f t="shared" si="6"/>
        <v/>
      </c>
      <c r="B141" s="78"/>
      <c r="C141" s="80"/>
      <c r="D141" s="79"/>
      <c r="E141" s="80"/>
      <c r="F141" s="79"/>
      <c r="G141" s="25" t="str">
        <f t="shared" si="7"/>
        <v/>
      </c>
      <c r="H141" s="88"/>
      <c r="I141" s="93"/>
      <c r="J141" s="97"/>
      <c r="K141" s="88"/>
      <c r="L141" s="25" t="str">
        <f>IF($D141="","",SUMIFS($H$4:$H141,$D$4:$D141,$D141)+SUMIFS($I$4:$I141,$D$4:$D141,$D141)-SUMIFS($J$4:$J141,$D$4:$D141,$D141)-SUMIFS($K$4:$K141,$D$4:$D141,$D141))</f>
        <v/>
      </c>
      <c r="M141" s="80"/>
      <c r="N141" s="80"/>
      <c r="O141" s="94"/>
      <c r="P141" s="26" t="str">
        <f t="shared" si="8"/>
        <v/>
      </c>
      <c r="Q141" s="80"/>
      <c r="R141" s="80"/>
      <c r="S141" s="80"/>
      <c r="T141" s="82"/>
      <c r="U141" s="80"/>
      <c r="V141" s="80"/>
      <c r="W141" s="80"/>
    </row>
    <row r="142" ht="18" customHeight="1" spans="1:23">
      <c r="A142" s="87" t="str">
        <f t="shared" si="6"/>
        <v/>
      </c>
      <c r="B142" s="78"/>
      <c r="C142" s="80"/>
      <c r="D142" s="79"/>
      <c r="E142" s="80"/>
      <c r="F142" s="79"/>
      <c r="G142" s="25" t="str">
        <f t="shared" si="7"/>
        <v/>
      </c>
      <c r="H142" s="88"/>
      <c r="I142" s="93"/>
      <c r="J142" s="97"/>
      <c r="K142" s="88"/>
      <c r="L142" s="25" t="str">
        <f>IF($D142="","",SUMIFS($H$4:$H142,$D$4:$D142,$D142)+SUMIFS($I$4:$I142,$D$4:$D142,$D142)-SUMIFS($J$4:$J142,$D$4:$D142,$D142)-SUMIFS($K$4:$K142,$D$4:$D142,$D142))</f>
        <v/>
      </c>
      <c r="M142" s="80"/>
      <c r="N142" s="80"/>
      <c r="O142" s="94"/>
      <c r="P142" s="26" t="str">
        <f t="shared" si="8"/>
        <v/>
      </c>
      <c r="Q142" s="80"/>
      <c r="R142" s="80"/>
      <c r="S142" s="80"/>
      <c r="T142" s="82"/>
      <c r="U142" s="80"/>
      <c r="V142" s="80"/>
      <c r="W142" s="80"/>
    </row>
    <row r="143" ht="18" customHeight="1" spans="1:23">
      <c r="A143" s="87" t="str">
        <f t="shared" si="6"/>
        <v/>
      </c>
      <c r="B143" s="78"/>
      <c r="C143" s="80"/>
      <c r="D143" s="79"/>
      <c r="E143" s="80"/>
      <c r="F143" s="79"/>
      <c r="G143" s="25" t="str">
        <f t="shared" si="7"/>
        <v/>
      </c>
      <c r="H143" s="88"/>
      <c r="I143" s="93"/>
      <c r="J143" s="97"/>
      <c r="K143" s="88"/>
      <c r="L143" s="25" t="str">
        <f>IF($D143="","",SUMIFS($H$4:$H143,$D$4:$D143,$D143)+SUMIFS($I$4:$I143,$D$4:$D143,$D143)-SUMIFS($J$4:$J143,$D$4:$D143,$D143)-SUMIFS($K$4:$K143,$D$4:$D143,$D143))</f>
        <v/>
      </c>
      <c r="M143" s="80"/>
      <c r="N143" s="80"/>
      <c r="O143" s="94"/>
      <c r="P143" s="26" t="str">
        <f t="shared" si="8"/>
        <v/>
      </c>
      <c r="Q143" s="80"/>
      <c r="R143" s="80"/>
      <c r="S143" s="80"/>
      <c r="T143" s="82"/>
      <c r="U143" s="80"/>
      <c r="V143" s="80"/>
      <c r="W143" s="80"/>
    </row>
    <row r="144" ht="18" customHeight="1" spans="1:23">
      <c r="A144" s="87" t="str">
        <f t="shared" si="6"/>
        <v/>
      </c>
      <c r="B144" s="78"/>
      <c r="C144" s="80"/>
      <c r="D144" s="79"/>
      <c r="E144" s="80"/>
      <c r="F144" s="79"/>
      <c r="G144" s="25" t="str">
        <f t="shared" si="7"/>
        <v/>
      </c>
      <c r="H144" s="88"/>
      <c r="I144" s="93"/>
      <c r="J144" s="97"/>
      <c r="K144" s="88"/>
      <c r="L144" s="25" t="str">
        <f>IF($D144="","",SUMIFS($H$4:$H144,$D$4:$D144,$D144)+SUMIFS($I$4:$I144,$D$4:$D144,$D144)-SUMIFS($J$4:$J144,$D$4:$D144,$D144)-SUMIFS($K$4:$K144,$D$4:$D144,$D144))</f>
        <v/>
      </c>
      <c r="M144" s="80"/>
      <c r="N144" s="80"/>
      <c r="O144" s="94"/>
      <c r="P144" s="26" t="str">
        <f t="shared" si="8"/>
        <v/>
      </c>
      <c r="Q144" s="80"/>
      <c r="R144" s="80"/>
      <c r="S144" s="80"/>
      <c r="T144" s="82"/>
      <c r="U144" s="80"/>
      <c r="V144" s="80"/>
      <c r="W144" s="80"/>
    </row>
    <row r="145" ht="18" customHeight="1" spans="1:23">
      <c r="A145" s="87" t="str">
        <f t="shared" si="6"/>
        <v/>
      </c>
      <c r="B145" s="78"/>
      <c r="C145" s="80"/>
      <c r="D145" s="79"/>
      <c r="E145" s="80"/>
      <c r="F145" s="79"/>
      <c r="G145" s="25" t="str">
        <f t="shared" si="7"/>
        <v/>
      </c>
      <c r="H145" s="88"/>
      <c r="I145" s="93"/>
      <c r="J145" s="97"/>
      <c r="K145" s="88"/>
      <c r="L145" s="25" t="str">
        <f>IF($D145="","",SUMIFS($H$4:$H145,$D$4:$D145,$D145)+SUMIFS($I$4:$I145,$D$4:$D145,$D145)-SUMIFS($J$4:$J145,$D$4:$D145,$D145)-SUMIFS($K$4:$K145,$D$4:$D145,$D145))</f>
        <v/>
      </c>
      <c r="M145" s="80"/>
      <c r="N145" s="80"/>
      <c r="O145" s="94"/>
      <c r="P145" s="26" t="str">
        <f t="shared" si="8"/>
        <v/>
      </c>
      <c r="Q145" s="80"/>
      <c r="R145" s="80"/>
      <c r="S145" s="80"/>
      <c r="T145" s="82"/>
      <c r="U145" s="80"/>
      <c r="V145" s="80"/>
      <c r="W145" s="80"/>
    </row>
    <row r="146" ht="18" customHeight="1" spans="1:23">
      <c r="A146" s="87" t="str">
        <f t="shared" si="6"/>
        <v/>
      </c>
      <c r="B146" s="78"/>
      <c r="C146" s="80"/>
      <c r="D146" s="79"/>
      <c r="E146" s="80"/>
      <c r="F146" s="79"/>
      <c r="G146" s="25" t="str">
        <f t="shared" si="7"/>
        <v/>
      </c>
      <c r="H146" s="88"/>
      <c r="I146" s="93"/>
      <c r="J146" s="97"/>
      <c r="K146" s="88"/>
      <c r="L146" s="25" t="str">
        <f>IF($D146="","",SUMIFS($H$4:$H146,$D$4:$D146,$D146)+SUMIFS($I$4:$I146,$D$4:$D146,$D146)-SUMIFS($J$4:$J146,$D$4:$D146,$D146)-SUMIFS($K$4:$K146,$D$4:$D146,$D146))</f>
        <v/>
      </c>
      <c r="M146" s="80"/>
      <c r="N146" s="80"/>
      <c r="O146" s="94"/>
      <c r="P146" s="26" t="str">
        <f t="shared" si="8"/>
        <v/>
      </c>
      <c r="Q146" s="80"/>
      <c r="R146" s="80"/>
      <c r="S146" s="80"/>
      <c r="T146" s="82"/>
      <c r="U146" s="80"/>
      <c r="V146" s="80"/>
      <c r="W146" s="80"/>
    </row>
    <row r="147" ht="18" customHeight="1" spans="1:23">
      <c r="A147" s="87" t="str">
        <f t="shared" si="6"/>
        <v/>
      </c>
      <c r="B147" s="78"/>
      <c r="C147" s="80"/>
      <c r="D147" s="79"/>
      <c r="E147" s="80"/>
      <c r="F147" s="79"/>
      <c r="G147" s="25" t="str">
        <f t="shared" si="7"/>
        <v/>
      </c>
      <c r="H147" s="88"/>
      <c r="I147" s="93"/>
      <c r="J147" s="97"/>
      <c r="K147" s="88"/>
      <c r="L147" s="25" t="str">
        <f>IF($D147="","",SUMIFS($H$4:$H147,$D$4:$D147,$D147)+SUMIFS($I$4:$I147,$D$4:$D147,$D147)-SUMIFS($J$4:$J147,$D$4:$D147,$D147)-SUMIFS($K$4:$K147,$D$4:$D147,$D147))</f>
        <v/>
      </c>
      <c r="M147" s="80"/>
      <c r="N147" s="80"/>
      <c r="O147" s="94"/>
      <c r="P147" s="26" t="str">
        <f t="shared" si="8"/>
        <v/>
      </c>
      <c r="Q147" s="80"/>
      <c r="R147" s="80"/>
      <c r="S147" s="80"/>
      <c r="T147" s="82"/>
      <c r="U147" s="80"/>
      <c r="V147" s="80"/>
      <c r="W147" s="80"/>
    </row>
    <row r="148" ht="18" customHeight="1" spans="1:23">
      <c r="A148" s="87" t="str">
        <f t="shared" si="6"/>
        <v/>
      </c>
      <c r="B148" s="78"/>
      <c r="C148" s="80"/>
      <c r="D148" s="79"/>
      <c r="E148" s="80"/>
      <c r="F148" s="79"/>
      <c r="G148" s="25" t="str">
        <f t="shared" si="7"/>
        <v/>
      </c>
      <c r="H148" s="88"/>
      <c r="I148" s="93"/>
      <c r="J148" s="97"/>
      <c r="K148" s="88"/>
      <c r="L148" s="25" t="str">
        <f>IF($D148="","",SUMIFS($H$4:$H148,$D$4:$D148,$D148)+SUMIFS($I$4:$I148,$D$4:$D148,$D148)-SUMIFS($J$4:$J148,$D$4:$D148,$D148)-SUMIFS($K$4:$K148,$D$4:$D148,$D148))</f>
        <v/>
      </c>
      <c r="M148" s="80"/>
      <c r="N148" s="80"/>
      <c r="O148" s="94"/>
      <c r="P148" s="26" t="str">
        <f t="shared" si="8"/>
        <v/>
      </c>
      <c r="Q148" s="80"/>
      <c r="R148" s="80"/>
      <c r="S148" s="80"/>
      <c r="T148" s="82"/>
      <c r="U148" s="80"/>
      <c r="V148" s="80"/>
      <c r="W148" s="80"/>
    </row>
    <row r="149" ht="18" customHeight="1" spans="1:23">
      <c r="A149" s="87" t="str">
        <f t="shared" si="6"/>
        <v/>
      </c>
      <c r="B149" s="78"/>
      <c r="C149" s="80"/>
      <c r="D149" s="79"/>
      <c r="E149" s="80"/>
      <c r="F149" s="79"/>
      <c r="G149" s="25" t="str">
        <f t="shared" si="7"/>
        <v/>
      </c>
      <c r="H149" s="88"/>
      <c r="I149" s="93"/>
      <c r="J149" s="97"/>
      <c r="K149" s="88"/>
      <c r="L149" s="25" t="str">
        <f>IF($D149="","",SUMIFS($H$4:$H149,$D$4:$D149,$D149)+SUMIFS($I$4:$I149,$D$4:$D149,$D149)-SUMIFS($J$4:$J149,$D$4:$D149,$D149)-SUMIFS($K$4:$K149,$D$4:$D149,$D149))</f>
        <v/>
      </c>
      <c r="M149" s="80"/>
      <c r="N149" s="80"/>
      <c r="O149" s="94"/>
      <c r="P149" s="26" t="str">
        <f t="shared" si="8"/>
        <v/>
      </c>
      <c r="Q149" s="80"/>
      <c r="R149" s="80"/>
      <c r="S149" s="80"/>
      <c r="T149" s="82"/>
      <c r="U149" s="80"/>
      <c r="V149" s="80"/>
      <c r="W149" s="80"/>
    </row>
    <row r="150" ht="18" customHeight="1" spans="1:23">
      <c r="A150" s="87" t="str">
        <f t="shared" si="6"/>
        <v/>
      </c>
      <c r="B150" s="78"/>
      <c r="C150" s="80"/>
      <c r="D150" s="79"/>
      <c r="E150" s="80"/>
      <c r="F150" s="79"/>
      <c r="G150" s="25" t="str">
        <f t="shared" si="7"/>
        <v/>
      </c>
      <c r="H150" s="88"/>
      <c r="I150" s="93"/>
      <c r="J150" s="97"/>
      <c r="K150" s="88"/>
      <c r="L150" s="25" t="str">
        <f>IF($D150="","",SUMIFS($H$4:$H150,$D$4:$D150,$D150)+SUMIFS($I$4:$I150,$D$4:$D150,$D150)-SUMIFS($J$4:$J150,$D$4:$D150,$D150)-SUMIFS($K$4:$K150,$D$4:$D150,$D150))</f>
        <v/>
      </c>
      <c r="M150" s="80"/>
      <c r="N150" s="80"/>
      <c r="O150" s="94"/>
      <c r="P150" s="26" t="str">
        <f t="shared" si="8"/>
        <v/>
      </c>
      <c r="Q150" s="80"/>
      <c r="R150" s="80"/>
      <c r="S150" s="80"/>
      <c r="T150" s="82"/>
      <c r="U150" s="80"/>
      <c r="V150" s="80"/>
      <c r="W150" s="80"/>
    </row>
    <row r="151" ht="18" customHeight="1" spans="1:23">
      <c r="A151" s="87" t="str">
        <f t="shared" si="6"/>
        <v/>
      </c>
      <c r="B151" s="78"/>
      <c r="C151" s="80"/>
      <c r="D151" s="79"/>
      <c r="E151" s="80"/>
      <c r="F151" s="79"/>
      <c r="G151" s="25" t="str">
        <f t="shared" si="7"/>
        <v/>
      </c>
      <c r="H151" s="88"/>
      <c r="I151" s="93"/>
      <c r="J151" s="97"/>
      <c r="K151" s="88"/>
      <c r="L151" s="25" t="str">
        <f>IF($D151="","",SUMIFS($H$4:$H151,$D$4:$D151,$D151)+SUMIFS($I$4:$I151,$D$4:$D151,$D151)-SUMIFS($J$4:$J151,$D$4:$D151,$D151)-SUMIFS($K$4:$K151,$D$4:$D151,$D151))</f>
        <v/>
      </c>
      <c r="M151" s="80"/>
      <c r="N151" s="80"/>
      <c r="O151" s="94"/>
      <c r="P151" s="26" t="str">
        <f t="shared" si="8"/>
        <v/>
      </c>
      <c r="Q151" s="80"/>
      <c r="R151" s="80"/>
      <c r="S151" s="80"/>
      <c r="T151" s="82"/>
      <c r="U151" s="80"/>
      <c r="V151" s="80"/>
      <c r="W151" s="80"/>
    </row>
    <row r="152" ht="18" customHeight="1" spans="1:23">
      <c r="A152" s="87" t="str">
        <f t="shared" si="6"/>
        <v/>
      </c>
      <c r="B152" s="78"/>
      <c r="C152" s="80"/>
      <c r="D152" s="79"/>
      <c r="E152" s="80"/>
      <c r="F152" s="79"/>
      <c r="G152" s="25" t="str">
        <f t="shared" si="7"/>
        <v/>
      </c>
      <c r="H152" s="88"/>
      <c r="I152" s="93"/>
      <c r="J152" s="97"/>
      <c r="K152" s="88"/>
      <c r="L152" s="25" t="str">
        <f>IF($D152="","",SUMIFS($H$4:$H152,$D$4:$D152,$D152)+SUMIFS($I$4:$I152,$D$4:$D152,$D152)-SUMIFS($J$4:$J152,$D$4:$D152,$D152)-SUMIFS($K$4:$K152,$D$4:$D152,$D152))</f>
        <v/>
      </c>
      <c r="M152" s="80"/>
      <c r="N152" s="80"/>
      <c r="O152" s="94"/>
      <c r="P152" s="26" t="str">
        <f t="shared" si="8"/>
        <v/>
      </c>
      <c r="Q152" s="80"/>
      <c r="R152" s="80"/>
      <c r="S152" s="80"/>
      <c r="T152" s="82"/>
      <c r="U152" s="80"/>
      <c r="V152" s="80"/>
      <c r="W152" s="80"/>
    </row>
    <row r="153" ht="18" customHeight="1" spans="1:23">
      <c r="A153" s="87" t="str">
        <f t="shared" si="6"/>
        <v/>
      </c>
      <c r="B153" s="78"/>
      <c r="C153" s="80"/>
      <c r="D153" s="79"/>
      <c r="E153" s="80"/>
      <c r="F153" s="79"/>
      <c r="G153" s="25" t="str">
        <f t="shared" si="7"/>
        <v/>
      </c>
      <c r="H153" s="88"/>
      <c r="I153" s="93"/>
      <c r="J153" s="97"/>
      <c r="K153" s="88"/>
      <c r="L153" s="25" t="str">
        <f>IF($D153="","",SUMIFS($H$4:$H153,$D$4:$D153,$D153)+SUMIFS($I$4:$I153,$D$4:$D153,$D153)-SUMIFS($J$4:$J153,$D$4:$D153,$D153)-SUMIFS($K$4:$K153,$D$4:$D153,$D153))</f>
        <v/>
      </c>
      <c r="M153" s="80"/>
      <c r="N153" s="80"/>
      <c r="O153" s="94"/>
      <c r="P153" s="26" t="str">
        <f t="shared" si="8"/>
        <v/>
      </c>
      <c r="Q153" s="80"/>
      <c r="R153" s="80"/>
      <c r="S153" s="80"/>
      <c r="T153" s="82"/>
      <c r="U153" s="80"/>
      <c r="V153" s="80"/>
      <c r="W153" s="80"/>
    </row>
    <row r="154" ht="18" customHeight="1" spans="1:23">
      <c r="A154" s="87" t="str">
        <f t="shared" si="6"/>
        <v/>
      </c>
      <c r="B154" s="78"/>
      <c r="C154" s="80"/>
      <c r="D154" s="79"/>
      <c r="E154" s="80"/>
      <c r="F154" s="79"/>
      <c r="G154" s="25" t="str">
        <f t="shared" si="7"/>
        <v/>
      </c>
      <c r="H154" s="88"/>
      <c r="I154" s="93"/>
      <c r="J154" s="97"/>
      <c r="K154" s="88"/>
      <c r="L154" s="25" t="str">
        <f>IF($D154="","",SUMIFS($H$4:$H154,$D$4:$D154,$D154)+SUMIFS($I$4:$I154,$D$4:$D154,$D154)-SUMIFS($J$4:$J154,$D$4:$D154,$D154)-SUMIFS($K$4:$K154,$D$4:$D154,$D154))</f>
        <v/>
      </c>
      <c r="M154" s="80"/>
      <c r="N154" s="80"/>
      <c r="O154" s="94"/>
      <c r="P154" s="26" t="str">
        <f t="shared" si="8"/>
        <v/>
      </c>
      <c r="Q154" s="80"/>
      <c r="R154" s="80"/>
      <c r="S154" s="80"/>
      <c r="T154" s="82"/>
      <c r="U154" s="80"/>
      <c r="V154" s="80"/>
      <c r="W154" s="80"/>
    </row>
    <row r="155" ht="18" customHeight="1" spans="1:23">
      <c r="A155" s="87" t="str">
        <f t="shared" si="6"/>
        <v/>
      </c>
      <c r="B155" s="78"/>
      <c r="C155" s="80"/>
      <c r="D155" s="79"/>
      <c r="E155" s="80"/>
      <c r="F155" s="79"/>
      <c r="G155" s="25" t="str">
        <f t="shared" si="7"/>
        <v/>
      </c>
      <c r="H155" s="88"/>
      <c r="I155" s="93"/>
      <c r="J155" s="97"/>
      <c r="K155" s="88"/>
      <c r="L155" s="25" t="str">
        <f>IF($D155="","",SUMIFS($H$4:$H155,$D$4:$D155,$D155)+SUMIFS($I$4:$I155,$D$4:$D155,$D155)-SUMIFS($J$4:$J155,$D$4:$D155,$D155)-SUMIFS($K$4:$K155,$D$4:$D155,$D155))</f>
        <v/>
      </c>
      <c r="M155" s="80"/>
      <c r="N155" s="80"/>
      <c r="O155" s="94"/>
      <c r="P155" s="26" t="str">
        <f t="shared" si="8"/>
        <v/>
      </c>
      <c r="Q155" s="80"/>
      <c r="R155" s="80"/>
      <c r="S155" s="80"/>
      <c r="T155" s="82"/>
      <c r="U155" s="80"/>
      <c r="V155" s="80"/>
      <c r="W155" s="80"/>
    </row>
    <row r="156" ht="18" customHeight="1" spans="1:23">
      <c r="A156" s="87" t="str">
        <f t="shared" si="6"/>
        <v/>
      </c>
      <c r="B156" s="78"/>
      <c r="C156" s="80"/>
      <c r="D156" s="79"/>
      <c r="E156" s="80"/>
      <c r="F156" s="79"/>
      <c r="G156" s="25" t="str">
        <f t="shared" si="7"/>
        <v/>
      </c>
      <c r="H156" s="88"/>
      <c r="I156" s="93"/>
      <c r="J156" s="97"/>
      <c r="K156" s="88"/>
      <c r="L156" s="25" t="str">
        <f>IF($D156="","",SUMIFS($H$4:$H156,$D$4:$D156,$D156)+SUMIFS($I$4:$I156,$D$4:$D156,$D156)-SUMIFS($J$4:$J156,$D$4:$D156,$D156)-SUMIFS($K$4:$K156,$D$4:$D156,$D156))</f>
        <v/>
      </c>
      <c r="M156" s="80"/>
      <c r="N156" s="80"/>
      <c r="O156" s="94"/>
      <c r="P156" s="26" t="str">
        <f t="shared" si="8"/>
        <v/>
      </c>
      <c r="Q156" s="80"/>
      <c r="R156" s="80"/>
      <c r="S156" s="80"/>
      <c r="T156" s="82"/>
      <c r="U156" s="80"/>
      <c r="V156" s="80"/>
      <c r="W156" s="80"/>
    </row>
    <row r="157" ht="18" customHeight="1" spans="1:23">
      <c r="A157" s="87" t="str">
        <f t="shared" si="6"/>
        <v/>
      </c>
      <c r="B157" s="78"/>
      <c r="C157" s="80"/>
      <c r="D157" s="79"/>
      <c r="E157" s="80"/>
      <c r="F157" s="79"/>
      <c r="G157" s="25" t="str">
        <f t="shared" si="7"/>
        <v/>
      </c>
      <c r="H157" s="88"/>
      <c r="I157" s="93"/>
      <c r="J157" s="97"/>
      <c r="K157" s="88"/>
      <c r="L157" s="25" t="str">
        <f>IF($D157="","",SUMIFS($H$4:$H157,$D$4:$D157,$D157)+SUMIFS($I$4:$I157,$D$4:$D157,$D157)-SUMIFS($J$4:$J157,$D$4:$D157,$D157)-SUMIFS($K$4:$K157,$D$4:$D157,$D157))</f>
        <v/>
      </c>
      <c r="M157" s="80"/>
      <c r="N157" s="80"/>
      <c r="O157" s="94"/>
      <c r="P157" s="26" t="str">
        <f t="shared" si="8"/>
        <v/>
      </c>
      <c r="Q157" s="80"/>
      <c r="R157" s="80"/>
      <c r="S157" s="80"/>
      <c r="T157" s="82"/>
      <c r="U157" s="80"/>
      <c r="V157" s="80"/>
      <c r="W157" s="80"/>
    </row>
    <row r="158" ht="18" customHeight="1" spans="1:23">
      <c r="A158" s="87" t="str">
        <f t="shared" si="6"/>
        <v/>
      </c>
      <c r="B158" s="78"/>
      <c r="C158" s="80"/>
      <c r="D158" s="79"/>
      <c r="E158" s="80"/>
      <c r="F158" s="79"/>
      <c r="G158" s="25" t="str">
        <f t="shared" si="7"/>
        <v/>
      </c>
      <c r="H158" s="88"/>
      <c r="I158" s="93"/>
      <c r="J158" s="97"/>
      <c r="K158" s="88"/>
      <c r="L158" s="25" t="str">
        <f>IF($D158="","",SUMIFS($H$4:$H158,$D$4:$D158,$D158)+SUMIFS($I$4:$I158,$D$4:$D158,$D158)-SUMIFS($J$4:$J158,$D$4:$D158,$D158)-SUMIFS($K$4:$K158,$D$4:$D158,$D158))</f>
        <v/>
      </c>
      <c r="M158" s="80"/>
      <c r="N158" s="80"/>
      <c r="O158" s="94"/>
      <c r="P158" s="26" t="str">
        <f t="shared" si="8"/>
        <v/>
      </c>
      <c r="Q158" s="80"/>
      <c r="R158" s="80"/>
      <c r="S158" s="80"/>
      <c r="T158" s="82"/>
      <c r="U158" s="80"/>
      <c r="V158" s="80"/>
      <c r="W158" s="80"/>
    </row>
    <row r="159" ht="18" customHeight="1" spans="1:23">
      <c r="A159" s="87" t="str">
        <f t="shared" si="6"/>
        <v/>
      </c>
      <c r="B159" s="78"/>
      <c r="C159" s="80"/>
      <c r="D159" s="79"/>
      <c r="E159" s="80"/>
      <c r="F159" s="79"/>
      <c r="G159" s="25" t="str">
        <f t="shared" si="7"/>
        <v/>
      </c>
      <c r="H159" s="88"/>
      <c r="I159" s="93"/>
      <c r="J159" s="97"/>
      <c r="K159" s="88"/>
      <c r="L159" s="25" t="str">
        <f>IF($D159="","",SUMIFS($H$4:$H159,$D$4:$D159,$D159)+SUMIFS($I$4:$I159,$D$4:$D159,$D159)-SUMIFS($J$4:$J159,$D$4:$D159,$D159)-SUMIFS($K$4:$K159,$D$4:$D159,$D159))</f>
        <v/>
      </c>
      <c r="M159" s="80"/>
      <c r="N159" s="80"/>
      <c r="O159" s="94"/>
      <c r="P159" s="26" t="str">
        <f t="shared" si="8"/>
        <v/>
      </c>
      <c r="Q159" s="80"/>
      <c r="R159" s="80"/>
      <c r="S159" s="80"/>
      <c r="T159" s="82"/>
      <c r="U159" s="80"/>
      <c r="V159" s="80"/>
      <c r="W159" s="80"/>
    </row>
    <row r="160" ht="18" customHeight="1" spans="1:23">
      <c r="A160" s="87" t="str">
        <f t="shared" si="6"/>
        <v/>
      </c>
      <c r="B160" s="78"/>
      <c r="C160" s="80"/>
      <c r="D160" s="79"/>
      <c r="E160" s="80"/>
      <c r="F160" s="79"/>
      <c r="G160" s="25" t="str">
        <f t="shared" si="7"/>
        <v/>
      </c>
      <c r="H160" s="88"/>
      <c r="I160" s="93"/>
      <c r="J160" s="97"/>
      <c r="K160" s="88"/>
      <c r="L160" s="25" t="str">
        <f>IF($D160="","",SUMIFS($H$4:$H160,$D$4:$D160,$D160)+SUMIFS($I$4:$I160,$D$4:$D160,$D160)-SUMIFS($J$4:$J160,$D$4:$D160,$D160)-SUMIFS($K$4:$K160,$D$4:$D160,$D160))</f>
        <v/>
      </c>
      <c r="M160" s="80"/>
      <c r="N160" s="80"/>
      <c r="O160" s="94"/>
      <c r="P160" s="26" t="str">
        <f t="shared" si="8"/>
        <v/>
      </c>
      <c r="Q160" s="80"/>
      <c r="R160" s="80"/>
      <c r="S160" s="80"/>
      <c r="T160" s="82"/>
      <c r="U160" s="80"/>
      <c r="V160" s="80"/>
      <c r="W160" s="80"/>
    </row>
    <row r="161" ht="18" customHeight="1" spans="1:23">
      <c r="A161" s="87" t="str">
        <f t="shared" si="6"/>
        <v/>
      </c>
      <c r="B161" s="78"/>
      <c r="C161" s="80"/>
      <c r="D161" s="79"/>
      <c r="E161" s="80"/>
      <c r="F161" s="79"/>
      <c r="G161" s="25" t="str">
        <f t="shared" si="7"/>
        <v/>
      </c>
      <c r="H161" s="88"/>
      <c r="I161" s="93"/>
      <c r="J161" s="97"/>
      <c r="K161" s="88"/>
      <c r="L161" s="25" t="str">
        <f>IF($D161="","",SUMIFS($H$4:$H161,$D$4:$D161,$D161)+SUMIFS($I$4:$I161,$D$4:$D161,$D161)-SUMIFS($J$4:$J161,$D$4:$D161,$D161)-SUMIFS($K$4:$K161,$D$4:$D161,$D161))</f>
        <v/>
      </c>
      <c r="M161" s="80"/>
      <c r="N161" s="80"/>
      <c r="O161" s="94"/>
      <c r="P161" s="26" t="str">
        <f t="shared" si="8"/>
        <v/>
      </c>
      <c r="Q161" s="80"/>
      <c r="R161" s="80"/>
      <c r="S161" s="80"/>
      <c r="T161" s="82"/>
      <c r="U161" s="80"/>
      <c r="V161" s="80"/>
      <c r="W161" s="80"/>
    </row>
    <row r="162" ht="18" customHeight="1" spans="1:23">
      <c r="A162" s="87" t="str">
        <f t="shared" si="6"/>
        <v/>
      </c>
      <c r="B162" s="78"/>
      <c r="C162" s="80"/>
      <c r="D162" s="79"/>
      <c r="E162" s="80"/>
      <c r="F162" s="79"/>
      <c r="G162" s="25" t="str">
        <f t="shared" si="7"/>
        <v/>
      </c>
      <c r="H162" s="88"/>
      <c r="I162" s="93"/>
      <c r="J162" s="97"/>
      <c r="K162" s="88"/>
      <c r="L162" s="25" t="str">
        <f>IF($D162="","",SUMIFS($H$4:$H162,$D$4:$D162,$D162)+SUMIFS($I$4:$I162,$D$4:$D162,$D162)-SUMIFS($J$4:$J162,$D$4:$D162,$D162)-SUMIFS($K$4:$K162,$D$4:$D162,$D162))</f>
        <v/>
      </c>
      <c r="M162" s="80"/>
      <c r="N162" s="80"/>
      <c r="O162" s="94"/>
      <c r="P162" s="26" t="str">
        <f t="shared" si="8"/>
        <v/>
      </c>
      <c r="Q162" s="80"/>
      <c r="R162" s="80"/>
      <c r="S162" s="80"/>
      <c r="T162" s="82"/>
      <c r="U162" s="80"/>
      <c r="V162" s="80"/>
      <c r="W162" s="80"/>
    </row>
    <row r="163" ht="18" customHeight="1" spans="1:23">
      <c r="A163" s="87" t="str">
        <f t="shared" si="6"/>
        <v/>
      </c>
      <c r="B163" s="78"/>
      <c r="C163" s="80"/>
      <c r="D163" s="79"/>
      <c r="E163" s="80"/>
      <c r="F163" s="79"/>
      <c r="G163" s="25" t="str">
        <f t="shared" si="7"/>
        <v/>
      </c>
      <c r="H163" s="88"/>
      <c r="I163" s="93"/>
      <c r="J163" s="97"/>
      <c r="K163" s="88"/>
      <c r="L163" s="25" t="str">
        <f>IF($D163="","",SUMIFS($H$4:$H163,$D$4:$D163,$D163)+SUMIFS($I$4:$I163,$D$4:$D163,$D163)-SUMIFS($J$4:$J163,$D$4:$D163,$D163)-SUMIFS($K$4:$K163,$D$4:$D163,$D163))</f>
        <v/>
      </c>
      <c r="M163" s="80"/>
      <c r="N163" s="80"/>
      <c r="O163" s="94"/>
      <c r="P163" s="26" t="str">
        <f t="shared" si="8"/>
        <v/>
      </c>
      <c r="Q163" s="80"/>
      <c r="R163" s="80"/>
      <c r="S163" s="80"/>
      <c r="T163" s="82"/>
      <c r="U163" s="80"/>
      <c r="V163" s="80"/>
      <c r="W163" s="80"/>
    </row>
    <row r="164" ht="18" customHeight="1" spans="1:23">
      <c r="A164" s="87" t="str">
        <f t="shared" si="6"/>
        <v/>
      </c>
      <c r="B164" s="78"/>
      <c r="C164" s="80"/>
      <c r="D164" s="79"/>
      <c r="E164" s="80"/>
      <c r="F164" s="79"/>
      <c r="G164" s="25" t="str">
        <f t="shared" si="7"/>
        <v/>
      </c>
      <c r="H164" s="88"/>
      <c r="I164" s="93"/>
      <c r="J164" s="97"/>
      <c r="K164" s="88"/>
      <c r="L164" s="25" t="str">
        <f>IF($D164="","",SUMIFS($H$4:$H164,$D$4:$D164,$D164)+SUMIFS($I$4:$I164,$D$4:$D164,$D164)-SUMIFS($J$4:$J164,$D$4:$D164,$D164)-SUMIFS($K$4:$K164,$D$4:$D164,$D164))</f>
        <v/>
      </c>
      <c r="M164" s="80"/>
      <c r="N164" s="80"/>
      <c r="O164" s="94"/>
      <c r="P164" s="26" t="str">
        <f t="shared" si="8"/>
        <v/>
      </c>
      <c r="Q164" s="80"/>
      <c r="R164" s="80"/>
      <c r="S164" s="80"/>
      <c r="T164" s="82"/>
      <c r="U164" s="80"/>
      <c r="V164" s="80"/>
      <c r="W164" s="80"/>
    </row>
    <row r="165" ht="18" customHeight="1" spans="1:23">
      <c r="A165" s="87" t="str">
        <f t="shared" si="6"/>
        <v/>
      </c>
      <c r="B165" s="78"/>
      <c r="C165" s="80"/>
      <c r="D165" s="79"/>
      <c r="E165" s="80"/>
      <c r="F165" s="79"/>
      <c r="G165" s="25" t="str">
        <f t="shared" si="7"/>
        <v/>
      </c>
      <c r="H165" s="88"/>
      <c r="I165" s="93"/>
      <c r="J165" s="97"/>
      <c r="K165" s="88"/>
      <c r="L165" s="25" t="str">
        <f>IF($D165="","",SUMIFS($H$4:$H165,$D$4:$D165,$D165)+SUMIFS($I$4:$I165,$D$4:$D165,$D165)-SUMIFS($J$4:$J165,$D$4:$D165,$D165)-SUMIFS($K$4:$K165,$D$4:$D165,$D165))</f>
        <v/>
      </c>
      <c r="M165" s="80"/>
      <c r="N165" s="80"/>
      <c r="O165" s="94"/>
      <c r="P165" s="26" t="str">
        <f t="shared" si="8"/>
        <v/>
      </c>
      <c r="Q165" s="80"/>
      <c r="R165" s="80"/>
      <c r="S165" s="80"/>
      <c r="T165" s="82"/>
      <c r="U165" s="80"/>
      <c r="V165" s="80"/>
      <c r="W165" s="80"/>
    </row>
    <row r="166" ht="18" customHeight="1" spans="1:23">
      <c r="A166" s="87" t="str">
        <f t="shared" si="6"/>
        <v/>
      </c>
      <c r="B166" s="78"/>
      <c r="C166" s="80"/>
      <c r="D166" s="79"/>
      <c r="E166" s="80"/>
      <c r="F166" s="79"/>
      <c r="G166" s="25" t="str">
        <f t="shared" si="7"/>
        <v/>
      </c>
      <c r="H166" s="88"/>
      <c r="I166" s="93"/>
      <c r="J166" s="97"/>
      <c r="K166" s="88"/>
      <c r="L166" s="25" t="str">
        <f>IF($D166="","",SUMIFS($H$4:$H166,$D$4:$D166,$D166)+SUMIFS($I$4:$I166,$D$4:$D166,$D166)-SUMIFS($J$4:$J166,$D$4:$D166,$D166)-SUMIFS($K$4:$K166,$D$4:$D166,$D166))</f>
        <v/>
      </c>
      <c r="M166" s="80"/>
      <c r="N166" s="80"/>
      <c r="O166" s="94"/>
      <c r="P166" s="26" t="str">
        <f t="shared" si="8"/>
        <v/>
      </c>
      <c r="Q166" s="80"/>
      <c r="R166" s="80"/>
      <c r="S166" s="80"/>
      <c r="T166" s="82"/>
      <c r="U166" s="80"/>
      <c r="V166" s="80"/>
      <c r="W166" s="80"/>
    </row>
    <row r="167" ht="18" customHeight="1" spans="1:23">
      <c r="A167" s="87" t="str">
        <f t="shared" si="6"/>
        <v/>
      </c>
      <c r="B167" s="78"/>
      <c r="C167" s="80"/>
      <c r="D167" s="79"/>
      <c r="E167" s="80"/>
      <c r="F167" s="79"/>
      <c r="G167" s="25" t="str">
        <f t="shared" si="7"/>
        <v/>
      </c>
      <c r="H167" s="88"/>
      <c r="I167" s="93"/>
      <c r="J167" s="97"/>
      <c r="K167" s="88"/>
      <c r="L167" s="25" t="str">
        <f>IF($D167="","",SUMIFS($H$4:$H167,$D$4:$D167,$D167)+SUMIFS($I$4:$I167,$D$4:$D167,$D167)-SUMIFS($J$4:$J167,$D$4:$D167,$D167)-SUMIFS($K$4:$K167,$D$4:$D167,$D167))</f>
        <v/>
      </c>
      <c r="M167" s="80"/>
      <c r="N167" s="80"/>
      <c r="O167" s="94"/>
      <c r="P167" s="26" t="str">
        <f t="shared" si="8"/>
        <v/>
      </c>
      <c r="Q167" s="80"/>
      <c r="R167" s="80"/>
      <c r="S167" s="80"/>
      <c r="T167" s="82"/>
      <c r="U167" s="80"/>
      <c r="V167" s="80"/>
      <c r="W167" s="80"/>
    </row>
    <row r="168" ht="18" customHeight="1" spans="1:23">
      <c r="A168" s="87" t="str">
        <f t="shared" si="6"/>
        <v/>
      </c>
      <c r="B168" s="78"/>
      <c r="C168" s="80"/>
      <c r="D168" s="79"/>
      <c r="E168" s="80"/>
      <c r="F168" s="79"/>
      <c r="G168" s="25" t="str">
        <f t="shared" si="7"/>
        <v/>
      </c>
      <c r="H168" s="88"/>
      <c r="I168" s="93"/>
      <c r="J168" s="97"/>
      <c r="K168" s="88"/>
      <c r="L168" s="25" t="str">
        <f>IF($D168="","",SUMIFS($H$4:$H168,$D$4:$D168,$D168)+SUMIFS($I$4:$I168,$D$4:$D168,$D168)-SUMIFS($J$4:$J168,$D$4:$D168,$D168)-SUMIFS($K$4:$K168,$D$4:$D168,$D168))</f>
        <v/>
      </c>
      <c r="M168" s="80"/>
      <c r="N168" s="80"/>
      <c r="O168" s="94"/>
      <c r="P168" s="26" t="str">
        <f t="shared" si="8"/>
        <v/>
      </c>
      <c r="Q168" s="80"/>
      <c r="R168" s="80"/>
      <c r="S168" s="80"/>
      <c r="T168" s="82"/>
      <c r="U168" s="80"/>
      <c r="V168" s="80"/>
      <c r="W168" s="80"/>
    </row>
    <row r="169" ht="18" customHeight="1" spans="1:23">
      <c r="A169" s="87" t="str">
        <f t="shared" si="6"/>
        <v/>
      </c>
      <c r="B169" s="78"/>
      <c r="C169" s="80"/>
      <c r="D169" s="79"/>
      <c r="E169" s="80"/>
      <c r="F169" s="79"/>
      <c r="G169" s="25" t="str">
        <f t="shared" si="7"/>
        <v/>
      </c>
      <c r="H169" s="88"/>
      <c r="I169" s="93"/>
      <c r="J169" s="97"/>
      <c r="K169" s="88"/>
      <c r="L169" s="25" t="str">
        <f>IF($D169="","",SUMIFS($H$4:$H169,$D$4:$D169,$D169)+SUMIFS($I$4:$I169,$D$4:$D169,$D169)-SUMIFS($J$4:$J169,$D$4:$D169,$D169)-SUMIFS($K$4:$K169,$D$4:$D169,$D169))</f>
        <v/>
      </c>
      <c r="M169" s="80"/>
      <c r="N169" s="80"/>
      <c r="O169" s="94"/>
      <c r="P169" s="26" t="str">
        <f t="shared" si="8"/>
        <v/>
      </c>
      <c r="Q169" s="80"/>
      <c r="R169" s="80"/>
      <c r="S169" s="80"/>
      <c r="T169" s="82"/>
      <c r="U169" s="80"/>
      <c r="V169" s="80"/>
      <c r="W169" s="80"/>
    </row>
    <row r="170" ht="18" customHeight="1" spans="1:23">
      <c r="A170" s="87" t="str">
        <f t="shared" si="6"/>
        <v/>
      </c>
      <c r="B170" s="78"/>
      <c r="C170" s="80"/>
      <c r="D170" s="79"/>
      <c r="E170" s="80"/>
      <c r="F170" s="79"/>
      <c r="G170" s="25" t="str">
        <f t="shared" si="7"/>
        <v/>
      </c>
      <c r="H170" s="88"/>
      <c r="I170" s="93"/>
      <c r="J170" s="97"/>
      <c r="K170" s="88"/>
      <c r="L170" s="25" t="str">
        <f>IF($D170="","",SUMIFS($H$4:$H170,$D$4:$D170,$D170)+SUMIFS($I$4:$I170,$D$4:$D170,$D170)-SUMIFS($J$4:$J170,$D$4:$D170,$D170)-SUMIFS($K$4:$K170,$D$4:$D170,$D170))</f>
        <v/>
      </c>
      <c r="M170" s="80"/>
      <c r="N170" s="80"/>
      <c r="O170" s="94"/>
      <c r="P170" s="26" t="str">
        <f t="shared" si="8"/>
        <v/>
      </c>
      <c r="Q170" s="80"/>
      <c r="R170" s="80"/>
      <c r="S170" s="80"/>
      <c r="T170" s="82"/>
      <c r="U170" s="80"/>
      <c r="V170" s="80"/>
      <c r="W170" s="80"/>
    </row>
    <row r="171" ht="18" customHeight="1" spans="1:23">
      <c r="A171" s="87" t="str">
        <f t="shared" si="6"/>
        <v/>
      </c>
      <c r="B171" s="78"/>
      <c r="C171" s="80"/>
      <c r="D171" s="79"/>
      <c r="E171" s="80"/>
      <c r="F171" s="79"/>
      <c r="G171" s="25" t="str">
        <f t="shared" si="7"/>
        <v/>
      </c>
      <c r="H171" s="88"/>
      <c r="I171" s="93"/>
      <c r="J171" s="97"/>
      <c r="K171" s="88"/>
      <c r="L171" s="25" t="str">
        <f>IF($D171="","",SUMIFS($H$4:$H171,$D$4:$D171,$D171)+SUMIFS($I$4:$I171,$D$4:$D171,$D171)-SUMIFS($J$4:$J171,$D$4:$D171,$D171)-SUMIFS($K$4:$K171,$D$4:$D171,$D171))</f>
        <v/>
      </c>
      <c r="M171" s="80"/>
      <c r="N171" s="80"/>
      <c r="O171" s="94"/>
      <c r="P171" s="26" t="str">
        <f t="shared" si="8"/>
        <v/>
      </c>
      <c r="Q171" s="80"/>
      <c r="R171" s="80"/>
      <c r="S171" s="80"/>
      <c r="T171" s="82"/>
      <c r="U171" s="80"/>
      <c r="V171" s="80"/>
      <c r="W171" s="80"/>
    </row>
    <row r="172" ht="18" customHeight="1" spans="1:23">
      <c r="A172" s="87" t="str">
        <f t="shared" si="6"/>
        <v/>
      </c>
      <c r="B172" s="78"/>
      <c r="C172" s="80"/>
      <c r="D172" s="79"/>
      <c r="E172" s="80"/>
      <c r="F172" s="79"/>
      <c r="G172" s="25" t="str">
        <f t="shared" si="7"/>
        <v/>
      </c>
      <c r="H172" s="88"/>
      <c r="I172" s="93"/>
      <c r="J172" s="97"/>
      <c r="K172" s="88"/>
      <c r="L172" s="25" t="str">
        <f>IF($D172="","",SUMIFS($H$4:$H172,$D$4:$D172,$D172)+SUMIFS($I$4:$I172,$D$4:$D172,$D172)-SUMIFS($J$4:$J172,$D$4:$D172,$D172)-SUMIFS($K$4:$K172,$D$4:$D172,$D172))</f>
        <v/>
      </c>
      <c r="M172" s="80"/>
      <c r="N172" s="80"/>
      <c r="O172" s="94"/>
      <c r="P172" s="26" t="str">
        <f t="shared" si="8"/>
        <v/>
      </c>
      <c r="Q172" s="80"/>
      <c r="R172" s="80"/>
      <c r="S172" s="80"/>
      <c r="T172" s="82"/>
      <c r="U172" s="80"/>
      <c r="V172" s="80"/>
      <c r="W172" s="80"/>
    </row>
    <row r="173" ht="18" customHeight="1" spans="1:23">
      <c r="A173" s="87" t="str">
        <f t="shared" si="6"/>
        <v/>
      </c>
      <c r="B173" s="78"/>
      <c r="C173" s="80"/>
      <c r="D173" s="79"/>
      <c r="E173" s="80"/>
      <c r="F173" s="79"/>
      <c r="G173" s="25" t="str">
        <f t="shared" si="7"/>
        <v/>
      </c>
      <c r="H173" s="88"/>
      <c r="I173" s="93"/>
      <c r="J173" s="97"/>
      <c r="K173" s="88"/>
      <c r="L173" s="25" t="str">
        <f>IF($D173="","",SUMIFS($H$4:$H173,$D$4:$D173,$D173)+SUMIFS($I$4:$I173,$D$4:$D173,$D173)-SUMIFS($J$4:$J173,$D$4:$D173,$D173)-SUMIFS($K$4:$K173,$D$4:$D173,$D173))</f>
        <v/>
      </c>
      <c r="M173" s="80"/>
      <c r="N173" s="80"/>
      <c r="O173" s="94"/>
      <c r="P173" s="26" t="str">
        <f t="shared" si="8"/>
        <v/>
      </c>
      <c r="Q173" s="80"/>
      <c r="R173" s="80"/>
      <c r="S173" s="80"/>
      <c r="T173" s="82"/>
      <c r="U173" s="80"/>
      <c r="V173" s="80"/>
      <c r="W173" s="80"/>
    </row>
    <row r="174" ht="18" customHeight="1" spans="1:23">
      <c r="A174" s="87" t="str">
        <f t="shared" si="6"/>
        <v/>
      </c>
      <c r="B174" s="78"/>
      <c r="C174" s="80"/>
      <c r="D174" s="79"/>
      <c r="E174" s="80"/>
      <c r="F174" s="79"/>
      <c r="G174" s="25" t="str">
        <f t="shared" si="7"/>
        <v/>
      </c>
      <c r="H174" s="88"/>
      <c r="I174" s="93"/>
      <c r="J174" s="97"/>
      <c r="K174" s="88"/>
      <c r="L174" s="25" t="str">
        <f>IF($D174="","",SUMIFS($H$4:$H174,$D$4:$D174,$D174)+SUMIFS($I$4:$I174,$D$4:$D174,$D174)-SUMIFS($J$4:$J174,$D$4:$D174,$D174)-SUMIFS($K$4:$K174,$D$4:$D174,$D174))</f>
        <v/>
      </c>
      <c r="M174" s="80"/>
      <c r="N174" s="80"/>
      <c r="O174" s="94"/>
      <c r="P174" s="26" t="str">
        <f t="shared" si="8"/>
        <v/>
      </c>
      <c r="Q174" s="80"/>
      <c r="R174" s="80"/>
      <c r="S174" s="80"/>
      <c r="T174" s="82"/>
      <c r="U174" s="80"/>
      <c r="V174" s="80"/>
      <c r="W174" s="80"/>
    </row>
    <row r="175" ht="18" customHeight="1" spans="1:23">
      <c r="A175" s="87" t="str">
        <f t="shared" si="6"/>
        <v/>
      </c>
      <c r="B175" s="78"/>
      <c r="C175" s="80"/>
      <c r="D175" s="79"/>
      <c r="E175" s="80"/>
      <c r="F175" s="79"/>
      <c r="G175" s="25" t="str">
        <f t="shared" si="7"/>
        <v/>
      </c>
      <c r="H175" s="88"/>
      <c r="I175" s="93"/>
      <c r="J175" s="97"/>
      <c r="K175" s="88"/>
      <c r="L175" s="25" t="str">
        <f>IF($D175="","",SUMIFS($H$4:$H175,$D$4:$D175,$D175)+SUMIFS($I$4:$I175,$D$4:$D175,$D175)-SUMIFS($J$4:$J175,$D$4:$D175,$D175)-SUMIFS($K$4:$K175,$D$4:$D175,$D175))</f>
        <v/>
      </c>
      <c r="M175" s="80"/>
      <c r="N175" s="80"/>
      <c r="O175" s="94"/>
      <c r="P175" s="26" t="str">
        <f t="shared" si="8"/>
        <v/>
      </c>
      <c r="Q175" s="80"/>
      <c r="R175" s="80"/>
      <c r="S175" s="80"/>
      <c r="T175" s="82"/>
      <c r="U175" s="80"/>
      <c r="V175" s="80"/>
      <c r="W175" s="80"/>
    </row>
    <row r="176" ht="18" customHeight="1" spans="1:23">
      <c r="A176" s="87" t="str">
        <f t="shared" si="6"/>
        <v/>
      </c>
      <c r="B176" s="78"/>
      <c r="C176" s="80"/>
      <c r="D176" s="79"/>
      <c r="E176" s="80"/>
      <c r="F176" s="79"/>
      <c r="G176" s="25" t="str">
        <f t="shared" si="7"/>
        <v/>
      </c>
      <c r="H176" s="88"/>
      <c r="I176" s="93"/>
      <c r="J176" s="97"/>
      <c r="K176" s="88"/>
      <c r="L176" s="25" t="str">
        <f>IF($D176="","",SUMIFS($H$4:$H176,$D$4:$D176,$D176)+SUMIFS($I$4:$I176,$D$4:$D176,$D176)-SUMIFS($J$4:$J176,$D$4:$D176,$D176)-SUMIFS($K$4:$K176,$D$4:$D176,$D176))</f>
        <v/>
      </c>
      <c r="M176" s="80"/>
      <c r="N176" s="80"/>
      <c r="O176" s="94"/>
      <c r="P176" s="26" t="str">
        <f t="shared" si="8"/>
        <v/>
      </c>
      <c r="Q176" s="80"/>
      <c r="R176" s="80"/>
      <c r="S176" s="80"/>
      <c r="T176" s="82"/>
      <c r="U176" s="80"/>
      <c r="V176" s="80"/>
      <c r="W176" s="80"/>
    </row>
    <row r="177" ht="18" customHeight="1" spans="1:23">
      <c r="A177" s="87" t="str">
        <f t="shared" si="6"/>
        <v/>
      </c>
      <c r="B177" s="78"/>
      <c r="C177" s="80"/>
      <c r="D177" s="79"/>
      <c r="E177" s="80"/>
      <c r="F177" s="79"/>
      <c r="G177" s="25" t="str">
        <f t="shared" si="7"/>
        <v/>
      </c>
      <c r="H177" s="88"/>
      <c r="I177" s="93"/>
      <c r="J177" s="97"/>
      <c r="K177" s="88"/>
      <c r="L177" s="25" t="str">
        <f>IF($D177="","",SUMIFS($H$4:$H177,$D$4:$D177,$D177)+SUMIFS($I$4:$I177,$D$4:$D177,$D177)-SUMIFS($J$4:$J177,$D$4:$D177,$D177)-SUMIFS($K$4:$K177,$D$4:$D177,$D177))</f>
        <v/>
      </c>
      <c r="M177" s="80"/>
      <c r="N177" s="80"/>
      <c r="O177" s="94"/>
      <c r="P177" s="26" t="str">
        <f t="shared" si="8"/>
        <v/>
      </c>
      <c r="Q177" s="80"/>
      <c r="R177" s="80"/>
      <c r="S177" s="80"/>
      <c r="T177" s="82"/>
      <c r="U177" s="80"/>
      <c r="V177" s="80"/>
      <c r="W177" s="80"/>
    </row>
    <row r="178" ht="18" customHeight="1" spans="1:23">
      <c r="A178" s="87" t="str">
        <f t="shared" si="6"/>
        <v/>
      </c>
      <c r="B178" s="78"/>
      <c r="C178" s="80"/>
      <c r="D178" s="79"/>
      <c r="E178" s="80"/>
      <c r="F178" s="79"/>
      <c r="G178" s="25" t="str">
        <f t="shared" si="7"/>
        <v/>
      </c>
      <c r="H178" s="88"/>
      <c r="I178" s="93"/>
      <c r="J178" s="97"/>
      <c r="K178" s="88"/>
      <c r="L178" s="25" t="str">
        <f>IF($D178="","",SUMIFS($H$4:$H178,$D$4:$D178,$D178)+SUMIFS($I$4:$I178,$D$4:$D178,$D178)-SUMIFS($J$4:$J178,$D$4:$D178,$D178)-SUMIFS($K$4:$K178,$D$4:$D178,$D178))</f>
        <v/>
      </c>
      <c r="M178" s="80"/>
      <c r="N178" s="80"/>
      <c r="O178" s="94"/>
      <c r="P178" s="26" t="str">
        <f t="shared" si="8"/>
        <v/>
      </c>
      <c r="Q178" s="80"/>
      <c r="R178" s="80"/>
      <c r="S178" s="80"/>
      <c r="T178" s="82"/>
      <c r="U178" s="80"/>
      <c r="V178" s="80"/>
      <c r="W178" s="80"/>
    </row>
    <row r="179" ht="18" customHeight="1" spans="1:23">
      <c r="A179" s="87" t="str">
        <f t="shared" si="6"/>
        <v/>
      </c>
      <c r="B179" s="78"/>
      <c r="C179" s="80"/>
      <c r="D179" s="79"/>
      <c r="E179" s="80"/>
      <c r="F179" s="79"/>
      <c r="G179" s="25" t="str">
        <f t="shared" si="7"/>
        <v/>
      </c>
      <c r="H179" s="88"/>
      <c r="I179" s="93"/>
      <c r="J179" s="97"/>
      <c r="K179" s="88"/>
      <c r="L179" s="25" t="str">
        <f>IF($D179="","",SUMIFS($H$4:$H179,$D$4:$D179,$D179)+SUMIFS($I$4:$I179,$D$4:$D179,$D179)-SUMIFS($J$4:$J179,$D$4:$D179,$D179)-SUMIFS($K$4:$K179,$D$4:$D179,$D179))</f>
        <v/>
      </c>
      <c r="M179" s="80"/>
      <c r="N179" s="80"/>
      <c r="O179" s="94"/>
      <c r="P179" s="26" t="str">
        <f t="shared" si="8"/>
        <v/>
      </c>
      <c r="Q179" s="80"/>
      <c r="R179" s="80"/>
      <c r="S179" s="80"/>
      <c r="T179" s="82"/>
      <c r="U179" s="80"/>
      <c r="V179" s="80"/>
      <c r="W179" s="80"/>
    </row>
    <row r="180" ht="18" customHeight="1" spans="1:23">
      <c r="A180" s="87" t="str">
        <f t="shared" si="6"/>
        <v/>
      </c>
      <c r="B180" s="78"/>
      <c r="C180" s="80"/>
      <c r="D180" s="79"/>
      <c r="E180" s="80"/>
      <c r="F180" s="79"/>
      <c r="G180" s="25" t="str">
        <f t="shared" si="7"/>
        <v/>
      </c>
      <c r="H180" s="88"/>
      <c r="I180" s="93"/>
      <c r="J180" s="97"/>
      <c r="K180" s="88"/>
      <c r="L180" s="25" t="str">
        <f>IF($D180="","",SUMIFS($H$4:$H180,$D$4:$D180,$D180)+SUMIFS($I$4:$I180,$D$4:$D180,$D180)-SUMIFS($J$4:$J180,$D$4:$D180,$D180)-SUMIFS($K$4:$K180,$D$4:$D180,$D180))</f>
        <v/>
      </c>
      <c r="M180" s="80"/>
      <c r="N180" s="80"/>
      <c r="O180" s="94"/>
      <c r="P180" s="26" t="str">
        <f t="shared" si="8"/>
        <v/>
      </c>
      <c r="Q180" s="80"/>
      <c r="R180" s="80"/>
      <c r="S180" s="80"/>
      <c r="T180" s="82"/>
      <c r="U180" s="80"/>
      <c r="V180" s="80"/>
      <c r="W180" s="80"/>
    </row>
    <row r="181" ht="18" customHeight="1" spans="1:23">
      <c r="A181" s="87" t="str">
        <f t="shared" si="6"/>
        <v/>
      </c>
      <c r="B181" s="78"/>
      <c r="C181" s="80"/>
      <c r="D181" s="79"/>
      <c r="E181" s="80"/>
      <c r="F181" s="79"/>
      <c r="G181" s="25" t="str">
        <f t="shared" si="7"/>
        <v/>
      </c>
      <c r="H181" s="88"/>
      <c r="I181" s="93"/>
      <c r="J181" s="97"/>
      <c r="K181" s="88"/>
      <c r="L181" s="25" t="str">
        <f>IF($D181="","",SUMIFS($H$4:$H181,$D$4:$D181,$D181)+SUMIFS($I$4:$I181,$D$4:$D181,$D181)-SUMIFS($J$4:$J181,$D$4:$D181,$D181)-SUMIFS($K$4:$K181,$D$4:$D181,$D181))</f>
        <v/>
      </c>
      <c r="M181" s="80"/>
      <c r="N181" s="80"/>
      <c r="O181" s="94"/>
      <c r="P181" s="26" t="str">
        <f t="shared" si="8"/>
        <v/>
      </c>
      <c r="Q181" s="80"/>
      <c r="R181" s="80"/>
      <c r="S181" s="80"/>
      <c r="T181" s="82"/>
      <c r="U181" s="80"/>
      <c r="V181" s="80"/>
      <c r="W181" s="80"/>
    </row>
    <row r="182" ht="18" customHeight="1" spans="1:23">
      <c r="A182" s="87" t="str">
        <f t="shared" si="6"/>
        <v/>
      </c>
      <c r="B182" s="78"/>
      <c r="C182" s="80"/>
      <c r="D182" s="79"/>
      <c r="E182" s="80"/>
      <c r="F182" s="79"/>
      <c r="G182" s="25" t="str">
        <f t="shared" si="7"/>
        <v/>
      </c>
      <c r="H182" s="88"/>
      <c r="I182" s="93"/>
      <c r="J182" s="97"/>
      <c r="K182" s="88"/>
      <c r="L182" s="25" t="str">
        <f>IF($D182="","",SUMIFS($H$4:$H182,$D$4:$D182,$D182)+SUMIFS($I$4:$I182,$D$4:$D182,$D182)-SUMIFS($J$4:$J182,$D$4:$D182,$D182)-SUMIFS($K$4:$K182,$D$4:$D182,$D182))</f>
        <v/>
      </c>
      <c r="M182" s="80"/>
      <c r="N182" s="80"/>
      <c r="O182" s="94"/>
      <c r="P182" s="26" t="str">
        <f t="shared" si="8"/>
        <v/>
      </c>
      <c r="Q182" s="80"/>
      <c r="R182" s="80"/>
      <c r="S182" s="80"/>
      <c r="T182" s="82"/>
      <c r="U182" s="80"/>
      <c r="V182" s="80"/>
      <c r="W182" s="80"/>
    </row>
    <row r="183" ht="18" customHeight="1" spans="1:23">
      <c r="A183" s="87" t="str">
        <f t="shared" si="6"/>
        <v/>
      </c>
      <c r="B183" s="78"/>
      <c r="C183" s="80"/>
      <c r="D183" s="79"/>
      <c r="E183" s="80"/>
      <c r="F183" s="79"/>
      <c r="G183" s="25" t="str">
        <f t="shared" si="7"/>
        <v/>
      </c>
      <c r="H183" s="88"/>
      <c r="I183" s="93"/>
      <c r="J183" s="97"/>
      <c r="K183" s="88"/>
      <c r="L183" s="25" t="str">
        <f>IF($D183="","",SUMIFS($H$4:$H183,$D$4:$D183,$D183)+SUMIFS($I$4:$I183,$D$4:$D183,$D183)-SUMIFS($J$4:$J183,$D$4:$D183,$D183)-SUMIFS($K$4:$K183,$D$4:$D183,$D183))</f>
        <v/>
      </c>
      <c r="M183" s="80"/>
      <c r="N183" s="80"/>
      <c r="O183" s="94"/>
      <c r="P183" s="26" t="str">
        <f t="shared" si="8"/>
        <v/>
      </c>
      <c r="Q183" s="80"/>
      <c r="R183" s="80"/>
      <c r="S183" s="80"/>
      <c r="T183" s="82"/>
      <c r="U183" s="80"/>
      <c r="V183" s="80"/>
      <c r="W183" s="80"/>
    </row>
    <row r="184" ht="18" customHeight="1" spans="1:23">
      <c r="A184" s="87" t="str">
        <f t="shared" si="6"/>
        <v/>
      </c>
      <c r="B184" s="78"/>
      <c r="C184" s="80"/>
      <c r="D184" s="79"/>
      <c r="E184" s="80"/>
      <c r="F184" s="79"/>
      <c r="G184" s="25" t="str">
        <f t="shared" si="7"/>
        <v/>
      </c>
      <c r="H184" s="88"/>
      <c r="I184" s="93"/>
      <c r="J184" s="97"/>
      <c r="K184" s="88"/>
      <c r="L184" s="25" t="str">
        <f>IF($D184="","",SUMIFS($H$4:$H184,$D$4:$D184,$D184)+SUMIFS($I$4:$I184,$D$4:$D184,$D184)-SUMIFS($J$4:$J184,$D$4:$D184,$D184)-SUMIFS($K$4:$K184,$D$4:$D184,$D184))</f>
        <v/>
      </c>
      <c r="M184" s="80"/>
      <c r="N184" s="80"/>
      <c r="O184" s="94"/>
      <c r="P184" s="26" t="str">
        <f t="shared" si="8"/>
        <v/>
      </c>
      <c r="Q184" s="80"/>
      <c r="R184" s="80"/>
      <c r="S184" s="80"/>
      <c r="T184" s="82"/>
      <c r="U184" s="80"/>
      <c r="V184" s="80"/>
      <c r="W184" s="80"/>
    </row>
    <row r="185" ht="18" customHeight="1" spans="1:23">
      <c r="A185" s="87" t="str">
        <f t="shared" si="6"/>
        <v/>
      </c>
      <c r="B185" s="78"/>
      <c r="C185" s="80"/>
      <c r="D185" s="79"/>
      <c r="E185" s="80"/>
      <c r="F185" s="79"/>
      <c r="G185" s="25" t="str">
        <f t="shared" si="7"/>
        <v/>
      </c>
      <c r="H185" s="88"/>
      <c r="I185" s="93"/>
      <c r="J185" s="97"/>
      <c r="K185" s="88"/>
      <c r="L185" s="25" t="str">
        <f>IF($D185="","",SUMIFS($H$4:$H185,$D$4:$D185,$D185)+SUMIFS($I$4:$I185,$D$4:$D185,$D185)-SUMIFS($J$4:$J185,$D$4:$D185,$D185)-SUMIFS($K$4:$K185,$D$4:$D185,$D185))</f>
        <v/>
      </c>
      <c r="M185" s="80"/>
      <c r="N185" s="80"/>
      <c r="O185" s="94"/>
      <c r="P185" s="26" t="str">
        <f t="shared" si="8"/>
        <v/>
      </c>
      <c r="Q185" s="80"/>
      <c r="R185" s="80"/>
      <c r="S185" s="80"/>
      <c r="T185" s="82"/>
      <c r="U185" s="80"/>
      <c r="V185" s="80"/>
      <c r="W185" s="80"/>
    </row>
    <row r="186" ht="18" customHeight="1" spans="1:23">
      <c r="A186" s="87" t="str">
        <f t="shared" si="6"/>
        <v/>
      </c>
      <c r="B186" s="78"/>
      <c r="C186" s="80"/>
      <c r="D186" s="79"/>
      <c r="E186" s="80"/>
      <c r="F186" s="79"/>
      <c r="G186" s="25" t="str">
        <f t="shared" si="7"/>
        <v/>
      </c>
      <c r="H186" s="88"/>
      <c r="I186" s="93"/>
      <c r="J186" s="97"/>
      <c r="K186" s="88"/>
      <c r="L186" s="25" t="str">
        <f>IF($D186="","",SUMIFS($H$4:$H186,$D$4:$D186,$D186)+SUMIFS($I$4:$I186,$D$4:$D186,$D186)-SUMIFS($J$4:$J186,$D$4:$D186,$D186)-SUMIFS($K$4:$K186,$D$4:$D186,$D186))</f>
        <v/>
      </c>
      <c r="M186" s="80"/>
      <c r="N186" s="80"/>
      <c r="O186" s="94"/>
      <c r="P186" s="26" t="str">
        <f t="shared" si="8"/>
        <v/>
      </c>
      <c r="Q186" s="80"/>
      <c r="R186" s="80"/>
      <c r="S186" s="80"/>
      <c r="T186" s="82"/>
      <c r="U186" s="80"/>
      <c r="V186" s="80"/>
      <c r="W186" s="80"/>
    </row>
    <row r="187" ht="18" customHeight="1" spans="1:23">
      <c r="A187" s="87" t="str">
        <f t="shared" si="6"/>
        <v/>
      </c>
      <c r="B187" s="78"/>
      <c r="C187" s="80"/>
      <c r="D187" s="79"/>
      <c r="E187" s="80"/>
      <c r="F187" s="79"/>
      <c r="G187" s="25" t="str">
        <f t="shared" si="7"/>
        <v/>
      </c>
      <c r="H187" s="88"/>
      <c r="I187" s="93"/>
      <c r="J187" s="97"/>
      <c r="K187" s="88"/>
      <c r="L187" s="25" t="str">
        <f>IF($D187="","",SUMIFS($H$4:$H187,$D$4:$D187,$D187)+SUMIFS($I$4:$I187,$D$4:$D187,$D187)-SUMIFS($J$4:$J187,$D$4:$D187,$D187)-SUMIFS($K$4:$K187,$D$4:$D187,$D187))</f>
        <v/>
      </c>
      <c r="M187" s="80"/>
      <c r="N187" s="80"/>
      <c r="O187" s="94"/>
      <c r="P187" s="26" t="str">
        <f t="shared" si="8"/>
        <v/>
      </c>
      <c r="Q187" s="80"/>
      <c r="R187" s="80"/>
      <c r="S187" s="80"/>
      <c r="T187" s="82"/>
      <c r="U187" s="80"/>
      <c r="V187" s="80"/>
      <c r="W187" s="80"/>
    </row>
    <row r="188" ht="18" customHeight="1" spans="1:23">
      <c r="A188" s="87" t="str">
        <f t="shared" si="6"/>
        <v/>
      </c>
      <c r="B188" s="78"/>
      <c r="C188" s="80"/>
      <c r="D188" s="79"/>
      <c r="E188" s="80"/>
      <c r="F188" s="79"/>
      <c r="G188" s="25" t="str">
        <f t="shared" si="7"/>
        <v/>
      </c>
      <c r="H188" s="88"/>
      <c r="I188" s="93"/>
      <c r="J188" s="97"/>
      <c r="K188" s="88"/>
      <c r="L188" s="25" t="str">
        <f>IF($D188="","",SUMIFS($H$4:$H188,$D$4:$D188,$D188)+SUMIFS($I$4:$I188,$D$4:$D188,$D188)-SUMIFS($J$4:$J188,$D$4:$D188,$D188)-SUMIFS($K$4:$K188,$D$4:$D188,$D188))</f>
        <v/>
      </c>
      <c r="M188" s="80"/>
      <c r="N188" s="80"/>
      <c r="O188" s="94"/>
      <c r="P188" s="26" t="str">
        <f t="shared" si="8"/>
        <v/>
      </c>
      <c r="Q188" s="80"/>
      <c r="R188" s="80"/>
      <c r="S188" s="80"/>
      <c r="T188" s="82"/>
      <c r="U188" s="80"/>
      <c r="V188" s="80"/>
      <c r="W188" s="80"/>
    </row>
    <row r="189" ht="18" customHeight="1" spans="1:23">
      <c r="A189" s="87" t="str">
        <f t="shared" si="6"/>
        <v/>
      </c>
      <c r="B189" s="78"/>
      <c r="C189" s="80"/>
      <c r="D189" s="79"/>
      <c r="E189" s="80"/>
      <c r="F189" s="79"/>
      <c r="G189" s="25" t="str">
        <f t="shared" si="7"/>
        <v/>
      </c>
      <c r="H189" s="88"/>
      <c r="I189" s="93"/>
      <c r="J189" s="97"/>
      <c r="K189" s="88"/>
      <c r="L189" s="25" t="str">
        <f>IF($D189="","",SUMIFS($H$4:$H189,$D$4:$D189,$D189)+SUMIFS($I$4:$I189,$D$4:$D189,$D189)-SUMIFS($J$4:$J189,$D$4:$D189,$D189)-SUMIFS($K$4:$K189,$D$4:$D189,$D189))</f>
        <v/>
      </c>
      <c r="M189" s="80"/>
      <c r="N189" s="80"/>
      <c r="O189" s="94"/>
      <c r="P189" s="26" t="str">
        <f t="shared" si="8"/>
        <v/>
      </c>
      <c r="Q189" s="80"/>
      <c r="R189" s="80"/>
      <c r="S189" s="80"/>
      <c r="T189" s="82"/>
      <c r="U189" s="80"/>
      <c r="V189" s="80"/>
      <c r="W189" s="80"/>
    </row>
    <row r="190" ht="18" customHeight="1" spans="1:23">
      <c r="A190" s="87" t="str">
        <f t="shared" si="6"/>
        <v/>
      </c>
      <c r="B190" s="78"/>
      <c r="C190" s="80"/>
      <c r="D190" s="79"/>
      <c r="E190" s="80"/>
      <c r="F190" s="79"/>
      <c r="G190" s="25" t="str">
        <f t="shared" si="7"/>
        <v/>
      </c>
      <c r="H190" s="88"/>
      <c r="I190" s="93"/>
      <c r="J190" s="97"/>
      <c r="K190" s="88"/>
      <c r="L190" s="25" t="str">
        <f>IF($D190="","",SUMIFS($H$4:$H190,$D$4:$D190,$D190)+SUMIFS($I$4:$I190,$D$4:$D190,$D190)-SUMIFS($J$4:$J190,$D$4:$D190,$D190)-SUMIFS($K$4:$K190,$D$4:$D190,$D190))</f>
        <v/>
      </c>
      <c r="M190" s="80"/>
      <c r="N190" s="80"/>
      <c r="O190" s="94"/>
      <c r="P190" s="26" t="str">
        <f t="shared" si="8"/>
        <v/>
      </c>
      <c r="Q190" s="80"/>
      <c r="R190" s="80"/>
      <c r="S190" s="80"/>
      <c r="T190" s="82"/>
      <c r="U190" s="80"/>
      <c r="V190" s="80"/>
      <c r="W190" s="80"/>
    </row>
    <row r="191" ht="18" customHeight="1" spans="1:23">
      <c r="A191" s="87" t="str">
        <f t="shared" si="6"/>
        <v/>
      </c>
      <c r="B191" s="78"/>
      <c r="C191" s="80"/>
      <c r="D191" s="79"/>
      <c r="E191" s="80"/>
      <c r="F191" s="79"/>
      <c r="G191" s="25" t="str">
        <f t="shared" si="7"/>
        <v/>
      </c>
      <c r="H191" s="88"/>
      <c r="I191" s="93"/>
      <c r="J191" s="97"/>
      <c r="K191" s="88"/>
      <c r="L191" s="25" t="str">
        <f>IF($D191="","",SUMIFS($H$4:$H191,$D$4:$D191,$D191)+SUMIFS($I$4:$I191,$D$4:$D191,$D191)-SUMIFS($J$4:$J191,$D$4:$D191,$D191)-SUMIFS($K$4:$K191,$D$4:$D191,$D191))</f>
        <v/>
      </c>
      <c r="M191" s="80"/>
      <c r="N191" s="80"/>
      <c r="O191" s="94"/>
      <c r="P191" s="26" t="str">
        <f t="shared" si="8"/>
        <v/>
      </c>
      <c r="Q191" s="80"/>
      <c r="R191" s="80"/>
      <c r="S191" s="80"/>
      <c r="T191" s="82"/>
      <c r="U191" s="80"/>
      <c r="V191" s="80"/>
      <c r="W191" s="80"/>
    </row>
    <row r="192" ht="18" customHeight="1" spans="1:23">
      <c r="A192" s="87" t="str">
        <f t="shared" si="6"/>
        <v/>
      </c>
      <c r="B192" s="78"/>
      <c r="C192" s="80"/>
      <c r="D192" s="79"/>
      <c r="E192" s="80"/>
      <c r="F192" s="79"/>
      <c r="G192" s="25" t="str">
        <f t="shared" si="7"/>
        <v/>
      </c>
      <c r="H192" s="88"/>
      <c r="I192" s="93"/>
      <c r="J192" s="97"/>
      <c r="K192" s="88"/>
      <c r="L192" s="25" t="str">
        <f>IF($D192="","",SUMIFS($H$4:$H192,$D$4:$D192,$D192)+SUMIFS($I$4:$I192,$D$4:$D192,$D192)-SUMIFS($J$4:$J192,$D$4:$D192,$D192)-SUMIFS($K$4:$K192,$D$4:$D192,$D192))</f>
        <v/>
      </c>
      <c r="M192" s="80"/>
      <c r="N192" s="80"/>
      <c r="O192" s="94"/>
      <c r="P192" s="26" t="str">
        <f t="shared" si="8"/>
        <v/>
      </c>
      <c r="Q192" s="80"/>
      <c r="R192" s="80"/>
      <c r="S192" s="80"/>
      <c r="T192" s="82"/>
      <c r="U192" s="80"/>
      <c r="V192" s="80"/>
      <c r="W192" s="80"/>
    </row>
    <row r="193" ht="18" customHeight="1" spans="1:23">
      <c r="A193" s="87" t="str">
        <f t="shared" si="6"/>
        <v/>
      </c>
      <c r="B193" s="78"/>
      <c r="C193" s="80"/>
      <c r="D193" s="79"/>
      <c r="E193" s="80"/>
      <c r="F193" s="79"/>
      <c r="G193" s="25" t="str">
        <f t="shared" si="7"/>
        <v/>
      </c>
      <c r="H193" s="88"/>
      <c r="I193" s="93"/>
      <c r="J193" s="97"/>
      <c r="K193" s="88"/>
      <c r="L193" s="25" t="str">
        <f>IF($D193="","",SUMIFS($H$4:$H193,$D$4:$D193,$D193)+SUMIFS($I$4:$I193,$D$4:$D193,$D193)-SUMIFS($J$4:$J193,$D$4:$D193,$D193)-SUMIFS($K$4:$K193,$D$4:$D193,$D193))</f>
        <v/>
      </c>
      <c r="M193" s="80"/>
      <c r="N193" s="80"/>
      <c r="O193" s="94"/>
      <c r="P193" s="26" t="str">
        <f t="shared" si="8"/>
        <v/>
      </c>
      <c r="Q193" s="80"/>
      <c r="R193" s="80"/>
      <c r="S193" s="80"/>
      <c r="T193" s="82"/>
      <c r="U193" s="80"/>
      <c r="V193" s="80"/>
      <c r="W193" s="80"/>
    </row>
    <row r="194" ht="18" customHeight="1" spans="1:23">
      <c r="A194" s="87" t="str">
        <f t="shared" si="6"/>
        <v/>
      </c>
      <c r="B194" s="78"/>
      <c r="C194" s="80"/>
      <c r="D194" s="79"/>
      <c r="E194" s="80"/>
      <c r="F194" s="79"/>
      <c r="G194" s="25" t="str">
        <f t="shared" si="7"/>
        <v/>
      </c>
      <c r="H194" s="88"/>
      <c r="I194" s="93"/>
      <c r="J194" s="97"/>
      <c r="K194" s="88"/>
      <c r="L194" s="25" t="str">
        <f>IF($D194="","",SUMIFS($H$4:$H194,$D$4:$D194,$D194)+SUMIFS($I$4:$I194,$D$4:$D194,$D194)-SUMIFS($J$4:$J194,$D$4:$D194,$D194)-SUMIFS($K$4:$K194,$D$4:$D194,$D194))</f>
        <v/>
      </c>
      <c r="M194" s="80"/>
      <c r="N194" s="80"/>
      <c r="O194" s="94"/>
      <c r="P194" s="26" t="str">
        <f t="shared" si="8"/>
        <v/>
      </c>
      <c r="Q194" s="80"/>
      <c r="R194" s="80"/>
      <c r="S194" s="80"/>
      <c r="T194" s="82"/>
      <c r="U194" s="80"/>
      <c r="V194" s="80"/>
      <c r="W194" s="80"/>
    </row>
    <row r="195" ht="18" customHeight="1" spans="1:23">
      <c r="A195" s="87" t="str">
        <f t="shared" si="6"/>
        <v/>
      </c>
      <c r="B195" s="78"/>
      <c r="C195" s="80"/>
      <c r="D195" s="79"/>
      <c r="E195" s="80"/>
      <c r="F195" s="79"/>
      <c r="G195" s="25" t="str">
        <f t="shared" si="7"/>
        <v/>
      </c>
      <c r="H195" s="88"/>
      <c r="I195" s="93"/>
      <c r="J195" s="97"/>
      <c r="K195" s="88"/>
      <c r="L195" s="25" t="str">
        <f>IF($D195="","",SUMIFS($H$4:$H195,$D$4:$D195,$D195)+SUMIFS($I$4:$I195,$D$4:$D195,$D195)-SUMIFS($J$4:$J195,$D$4:$D195,$D195)-SUMIFS($K$4:$K195,$D$4:$D195,$D195))</f>
        <v/>
      </c>
      <c r="M195" s="80"/>
      <c r="N195" s="80"/>
      <c r="O195" s="94"/>
      <c r="P195" s="26" t="str">
        <f t="shared" si="8"/>
        <v/>
      </c>
      <c r="Q195" s="80"/>
      <c r="R195" s="80"/>
      <c r="S195" s="80"/>
      <c r="T195" s="82"/>
      <c r="U195" s="80"/>
      <c r="V195" s="80"/>
      <c r="W195" s="80"/>
    </row>
    <row r="196" ht="18" customHeight="1" spans="1:23">
      <c r="A196" s="87" t="str">
        <f t="shared" si="6"/>
        <v/>
      </c>
      <c r="B196" s="78"/>
      <c r="C196" s="80"/>
      <c r="D196" s="79"/>
      <c r="E196" s="80"/>
      <c r="F196" s="79"/>
      <c r="G196" s="25" t="str">
        <f t="shared" si="7"/>
        <v/>
      </c>
      <c r="H196" s="88"/>
      <c r="I196" s="93"/>
      <c r="J196" s="97"/>
      <c r="K196" s="88"/>
      <c r="L196" s="25" t="str">
        <f>IF($D196="","",SUMIFS($H$4:$H196,$D$4:$D196,$D196)+SUMIFS($I$4:$I196,$D$4:$D196,$D196)-SUMIFS($J$4:$J196,$D$4:$D196,$D196)-SUMIFS($K$4:$K196,$D$4:$D196,$D196))</f>
        <v/>
      </c>
      <c r="M196" s="80"/>
      <c r="N196" s="80"/>
      <c r="O196" s="94"/>
      <c r="P196" s="26" t="str">
        <f t="shared" si="8"/>
        <v/>
      </c>
      <c r="Q196" s="80"/>
      <c r="R196" s="80"/>
      <c r="S196" s="80"/>
      <c r="T196" s="82"/>
      <c r="U196" s="80"/>
      <c r="V196" s="80"/>
      <c r="W196" s="80"/>
    </row>
    <row r="197" ht="18" customHeight="1" spans="1:23">
      <c r="A197" s="87" t="str">
        <f t="shared" ref="A197:A260" si="9">IF($D197="","",ROW()-3)</f>
        <v/>
      </c>
      <c r="B197" s="78"/>
      <c r="C197" s="80"/>
      <c r="D197" s="79"/>
      <c r="E197" s="80"/>
      <c r="F197" s="79"/>
      <c r="G197" s="25" t="str">
        <f t="shared" ref="G197:G260" si="10">IF($D197="","",N($L197)-N($H197)-N($I197)+N($J197)+N($K197))</f>
        <v/>
      </c>
      <c r="H197" s="88"/>
      <c r="I197" s="93"/>
      <c r="J197" s="97"/>
      <c r="K197" s="88"/>
      <c r="L197" s="25" t="str">
        <f>IF($D197="","",SUMIFS($H$4:$H197,$D$4:$D197,$D197)+SUMIFS($I$4:$I197,$D$4:$D197,$D197)-SUMIFS($J$4:$J197,$D$4:$D197,$D197)-SUMIFS($K$4:$K197,$D$4:$D197,$D197))</f>
        <v/>
      </c>
      <c r="M197" s="80"/>
      <c r="N197" s="80"/>
      <c r="O197" s="94"/>
      <c r="P197" s="26" t="str">
        <f t="shared" ref="P197:P260" si="11">IF($D197="","",ROUND((N($H197)+N($K197))*N($O197),2))</f>
        <v/>
      </c>
      <c r="Q197" s="80"/>
      <c r="R197" s="80"/>
      <c r="S197" s="80"/>
      <c r="T197" s="82"/>
      <c r="U197" s="80"/>
      <c r="V197" s="80"/>
      <c r="W197" s="80"/>
    </row>
    <row r="198" ht="18" customHeight="1" spans="1:23">
      <c r="A198" s="87" t="str">
        <f t="shared" si="9"/>
        <v/>
      </c>
      <c r="B198" s="78"/>
      <c r="C198" s="80"/>
      <c r="D198" s="79"/>
      <c r="E198" s="80"/>
      <c r="F198" s="79"/>
      <c r="G198" s="25" t="str">
        <f t="shared" si="10"/>
        <v/>
      </c>
      <c r="H198" s="88"/>
      <c r="I198" s="93"/>
      <c r="J198" s="97"/>
      <c r="K198" s="88"/>
      <c r="L198" s="25" t="str">
        <f>IF($D198="","",SUMIFS($H$4:$H198,$D$4:$D198,$D198)+SUMIFS($I$4:$I198,$D$4:$D198,$D198)-SUMIFS($J$4:$J198,$D$4:$D198,$D198)-SUMIFS($K$4:$K198,$D$4:$D198,$D198))</f>
        <v/>
      </c>
      <c r="M198" s="80"/>
      <c r="N198" s="80"/>
      <c r="O198" s="94"/>
      <c r="P198" s="26" t="str">
        <f t="shared" si="11"/>
        <v/>
      </c>
      <c r="Q198" s="80"/>
      <c r="R198" s="80"/>
      <c r="S198" s="80"/>
      <c r="T198" s="82"/>
      <c r="U198" s="80"/>
      <c r="V198" s="80"/>
      <c r="W198" s="80"/>
    </row>
    <row r="199" ht="18" customHeight="1" spans="1:23">
      <c r="A199" s="87" t="str">
        <f t="shared" si="9"/>
        <v/>
      </c>
      <c r="B199" s="78"/>
      <c r="C199" s="80"/>
      <c r="D199" s="79"/>
      <c r="E199" s="80"/>
      <c r="F199" s="79"/>
      <c r="G199" s="25" t="str">
        <f t="shared" si="10"/>
        <v/>
      </c>
      <c r="H199" s="88"/>
      <c r="I199" s="93"/>
      <c r="J199" s="97"/>
      <c r="K199" s="88"/>
      <c r="L199" s="25" t="str">
        <f>IF($D199="","",SUMIFS($H$4:$H199,$D$4:$D199,$D199)+SUMIFS($I$4:$I199,$D$4:$D199,$D199)-SUMIFS($J$4:$J199,$D$4:$D199,$D199)-SUMIFS($K$4:$K199,$D$4:$D199,$D199))</f>
        <v/>
      </c>
      <c r="M199" s="80"/>
      <c r="N199" s="80"/>
      <c r="O199" s="94"/>
      <c r="P199" s="26" t="str">
        <f t="shared" si="11"/>
        <v/>
      </c>
      <c r="Q199" s="80"/>
      <c r="R199" s="80"/>
      <c r="S199" s="80"/>
      <c r="T199" s="82"/>
      <c r="U199" s="80"/>
      <c r="V199" s="80"/>
      <c r="W199" s="80"/>
    </row>
    <row r="200" ht="18" customHeight="1" spans="1:23">
      <c r="A200" s="87" t="str">
        <f t="shared" si="9"/>
        <v/>
      </c>
      <c r="B200" s="78"/>
      <c r="C200" s="80"/>
      <c r="D200" s="79"/>
      <c r="E200" s="80"/>
      <c r="F200" s="79"/>
      <c r="G200" s="25" t="str">
        <f t="shared" si="10"/>
        <v/>
      </c>
      <c r="H200" s="88"/>
      <c r="I200" s="93"/>
      <c r="J200" s="97"/>
      <c r="K200" s="88"/>
      <c r="L200" s="25" t="str">
        <f>IF($D200="","",SUMIFS($H$4:$H200,$D$4:$D200,$D200)+SUMIFS($I$4:$I200,$D$4:$D200,$D200)-SUMIFS($J$4:$J200,$D$4:$D200,$D200)-SUMIFS($K$4:$K200,$D$4:$D200,$D200))</f>
        <v/>
      </c>
      <c r="M200" s="80"/>
      <c r="N200" s="80"/>
      <c r="O200" s="94"/>
      <c r="P200" s="26" t="str">
        <f t="shared" si="11"/>
        <v/>
      </c>
      <c r="Q200" s="80"/>
      <c r="R200" s="80"/>
      <c r="S200" s="80"/>
      <c r="T200" s="82"/>
      <c r="U200" s="80"/>
      <c r="V200" s="80"/>
      <c r="W200" s="80"/>
    </row>
    <row r="201" ht="18" customHeight="1" spans="1:23">
      <c r="A201" s="87" t="str">
        <f t="shared" si="9"/>
        <v/>
      </c>
      <c r="B201" s="78"/>
      <c r="C201" s="80"/>
      <c r="D201" s="79"/>
      <c r="E201" s="80"/>
      <c r="F201" s="79"/>
      <c r="G201" s="25" t="str">
        <f t="shared" si="10"/>
        <v/>
      </c>
      <c r="H201" s="88"/>
      <c r="I201" s="93"/>
      <c r="J201" s="97"/>
      <c r="K201" s="88"/>
      <c r="L201" s="25" t="str">
        <f>IF($D201="","",SUMIFS($H$4:$H201,$D$4:$D201,$D201)+SUMIFS($I$4:$I201,$D$4:$D201,$D201)-SUMIFS($J$4:$J201,$D$4:$D201,$D201)-SUMIFS($K$4:$K201,$D$4:$D201,$D201))</f>
        <v/>
      </c>
      <c r="M201" s="80"/>
      <c r="N201" s="80"/>
      <c r="O201" s="94"/>
      <c r="P201" s="26" t="str">
        <f t="shared" si="11"/>
        <v/>
      </c>
      <c r="Q201" s="80"/>
      <c r="R201" s="80"/>
      <c r="S201" s="80"/>
      <c r="T201" s="82"/>
      <c r="U201" s="80"/>
      <c r="V201" s="80"/>
      <c r="W201" s="80"/>
    </row>
    <row r="202" ht="18" customHeight="1" spans="1:23">
      <c r="A202" s="87" t="str">
        <f t="shared" si="9"/>
        <v/>
      </c>
      <c r="B202" s="78"/>
      <c r="C202" s="80"/>
      <c r="D202" s="79"/>
      <c r="E202" s="80"/>
      <c r="F202" s="79"/>
      <c r="G202" s="25" t="str">
        <f t="shared" si="10"/>
        <v/>
      </c>
      <c r="H202" s="88"/>
      <c r="I202" s="93"/>
      <c r="J202" s="97"/>
      <c r="K202" s="88"/>
      <c r="L202" s="25" t="str">
        <f>IF($D202="","",SUMIFS($H$4:$H202,$D$4:$D202,$D202)+SUMIFS($I$4:$I202,$D$4:$D202,$D202)-SUMIFS($J$4:$J202,$D$4:$D202,$D202)-SUMIFS($K$4:$K202,$D$4:$D202,$D202))</f>
        <v/>
      </c>
      <c r="M202" s="80"/>
      <c r="N202" s="80"/>
      <c r="O202" s="94"/>
      <c r="P202" s="26" t="str">
        <f t="shared" si="11"/>
        <v/>
      </c>
      <c r="Q202" s="80"/>
      <c r="R202" s="80"/>
      <c r="S202" s="80"/>
      <c r="T202" s="82"/>
      <c r="U202" s="80"/>
      <c r="V202" s="80"/>
      <c r="W202" s="80"/>
    </row>
    <row r="203" ht="18" customHeight="1" spans="1:23">
      <c r="A203" s="87" t="str">
        <f t="shared" si="9"/>
        <v/>
      </c>
      <c r="B203" s="78"/>
      <c r="C203" s="80"/>
      <c r="D203" s="79"/>
      <c r="E203" s="80"/>
      <c r="F203" s="79"/>
      <c r="G203" s="25" t="str">
        <f t="shared" si="10"/>
        <v/>
      </c>
      <c r="H203" s="88"/>
      <c r="I203" s="93"/>
      <c r="J203" s="97"/>
      <c r="K203" s="88"/>
      <c r="L203" s="25" t="str">
        <f>IF($D203="","",SUMIFS($H$4:$H203,$D$4:$D203,$D203)+SUMIFS($I$4:$I203,$D$4:$D203,$D203)-SUMIFS($J$4:$J203,$D$4:$D203,$D203)-SUMIFS($K$4:$K203,$D$4:$D203,$D203))</f>
        <v/>
      </c>
      <c r="M203" s="80"/>
      <c r="N203" s="80"/>
      <c r="O203" s="94"/>
      <c r="P203" s="26" t="str">
        <f t="shared" si="11"/>
        <v/>
      </c>
      <c r="Q203" s="80"/>
      <c r="R203" s="80"/>
      <c r="S203" s="80"/>
      <c r="T203" s="82"/>
      <c r="U203" s="80"/>
      <c r="V203" s="80"/>
      <c r="W203" s="80"/>
    </row>
    <row r="204" ht="18" customHeight="1" spans="1:23">
      <c r="A204" s="87" t="str">
        <f t="shared" si="9"/>
        <v/>
      </c>
      <c r="B204" s="78"/>
      <c r="C204" s="80"/>
      <c r="D204" s="79"/>
      <c r="E204" s="80"/>
      <c r="F204" s="79"/>
      <c r="G204" s="25" t="str">
        <f t="shared" si="10"/>
        <v/>
      </c>
      <c r="H204" s="88"/>
      <c r="I204" s="93"/>
      <c r="J204" s="97"/>
      <c r="K204" s="88"/>
      <c r="L204" s="25" t="str">
        <f>IF($D204="","",SUMIFS($H$4:$H204,$D$4:$D204,$D204)+SUMIFS($I$4:$I204,$D$4:$D204,$D204)-SUMIFS($J$4:$J204,$D$4:$D204,$D204)-SUMIFS($K$4:$K204,$D$4:$D204,$D204))</f>
        <v/>
      </c>
      <c r="M204" s="80"/>
      <c r="N204" s="80"/>
      <c r="O204" s="94"/>
      <c r="P204" s="26" t="str">
        <f t="shared" si="11"/>
        <v/>
      </c>
      <c r="Q204" s="80"/>
      <c r="R204" s="80"/>
      <c r="S204" s="80"/>
      <c r="T204" s="82"/>
      <c r="U204" s="80"/>
      <c r="V204" s="80"/>
      <c r="W204" s="80"/>
    </row>
    <row r="205" ht="18" customHeight="1" spans="1:23">
      <c r="A205" s="87" t="str">
        <f t="shared" si="9"/>
        <v/>
      </c>
      <c r="B205" s="78"/>
      <c r="C205" s="80"/>
      <c r="D205" s="79"/>
      <c r="E205" s="80"/>
      <c r="F205" s="79"/>
      <c r="G205" s="25" t="str">
        <f t="shared" si="10"/>
        <v/>
      </c>
      <c r="H205" s="88"/>
      <c r="I205" s="93"/>
      <c r="J205" s="97"/>
      <c r="K205" s="88"/>
      <c r="L205" s="25" t="str">
        <f>IF($D205="","",SUMIFS($H$4:$H205,$D$4:$D205,$D205)+SUMIFS($I$4:$I205,$D$4:$D205,$D205)-SUMIFS($J$4:$J205,$D$4:$D205,$D205)-SUMIFS($K$4:$K205,$D$4:$D205,$D205))</f>
        <v/>
      </c>
      <c r="M205" s="80"/>
      <c r="N205" s="80"/>
      <c r="O205" s="94"/>
      <c r="P205" s="26" t="str">
        <f t="shared" si="11"/>
        <v/>
      </c>
      <c r="Q205" s="80"/>
      <c r="R205" s="80"/>
      <c r="S205" s="80"/>
      <c r="T205" s="82"/>
      <c r="U205" s="80"/>
      <c r="V205" s="80"/>
      <c r="W205" s="80"/>
    </row>
    <row r="206" ht="18" customHeight="1" spans="1:23">
      <c r="A206" s="87" t="str">
        <f t="shared" si="9"/>
        <v/>
      </c>
      <c r="B206" s="78"/>
      <c r="C206" s="80"/>
      <c r="D206" s="79"/>
      <c r="E206" s="80"/>
      <c r="F206" s="79"/>
      <c r="G206" s="25" t="str">
        <f t="shared" si="10"/>
        <v/>
      </c>
      <c r="H206" s="88"/>
      <c r="I206" s="93"/>
      <c r="J206" s="97"/>
      <c r="K206" s="88"/>
      <c r="L206" s="25" t="str">
        <f>IF($D206="","",SUMIFS($H$4:$H206,$D$4:$D206,$D206)+SUMIFS($I$4:$I206,$D$4:$D206,$D206)-SUMIFS($J$4:$J206,$D$4:$D206,$D206)-SUMIFS($K$4:$K206,$D$4:$D206,$D206))</f>
        <v/>
      </c>
      <c r="M206" s="80"/>
      <c r="N206" s="80"/>
      <c r="O206" s="94"/>
      <c r="P206" s="26" t="str">
        <f t="shared" si="11"/>
        <v/>
      </c>
      <c r="Q206" s="80"/>
      <c r="R206" s="80"/>
      <c r="S206" s="80"/>
      <c r="T206" s="82"/>
      <c r="U206" s="80"/>
      <c r="V206" s="80"/>
      <c r="W206" s="80"/>
    </row>
    <row r="207" ht="18" customHeight="1" spans="1:23">
      <c r="A207" s="87" t="str">
        <f t="shared" si="9"/>
        <v/>
      </c>
      <c r="B207" s="78"/>
      <c r="C207" s="80"/>
      <c r="D207" s="79"/>
      <c r="E207" s="80"/>
      <c r="F207" s="79"/>
      <c r="G207" s="25" t="str">
        <f t="shared" si="10"/>
        <v/>
      </c>
      <c r="H207" s="88"/>
      <c r="I207" s="93"/>
      <c r="J207" s="97"/>
      <c r="K207" s="88"/>
      <c r="L207" s="25" t="str">
        <f>IF($D207="","",SUMIFS($H$4:$H207,$D$4:$D207,$D207)+SUMIFS($I$4:$I207,$D$4:$D207,$D207)-SUMIFS($J$4:$J207,$D$4:$D207,$D207)-SUMIFS($K$4:$K207,$D$4:$D207,$D207))</f>
        <v/>
      </c>
      <c r="M207" s="80"/>
      <c r="N207" s="80"/>
      <c r="O207" s="94"/>
      <c r="P207" s="26" t="str">
        <f t="shared" si="11"/>
        <v/>
      </c>
      <c r="Q207" s="80"/>
      <c r="R207" s="80"/>
      <c r="S207" s="80"/>
      <c r="T207" s="82"/>
      <c r="U207" s="80"/>
      <c r="V207" s="80"/>
      <c r="W207" s="80"/>
    </row>
    <row r="208" ht="18" customHeight="1" spans="1:23">
      <c r="A208" s="87" t="str">
        <f t="shared" si="9"/>
        <v/>
      </c>
      <c r="B208" s="78"/>
      <c r="C208" s="80"/>
      <c r="D208" s="79"/>
      <c r="E208" s="80"/>
      <c r="F208" s="79"/>
      <c r="G208" s="25" t="str">
        <f t="shared" si="10"/>
        <v/>
      </c>
      <c r="H208" s="88"/>
      <c r="I208" s="93"/>
      <c r="J208" s="97"/>
      <c r="K208" s="88"/>
      <c r="L208" s="25" t="str">
        <f>IF($D208="","",SUMIFS($H$4:$H208,$D$4:$D208,$D208)+SUMIFS($I$4:$I208,$D$4:$D208,$D208)-SUMIFS($J$4:$J208,$D$4:$D208,$D208)-SUMIFS($K$4:$K208,$D$4:$D208,$D208))</f>
        <v/>
      </c>
      <c r="M208" s="80"/>
      <c r="N208" s="80"/>
      <c r="O208" s="94"/>
      <c r="P208" s="26" t="str">
        <f t="shared" si="11"/>
        <v/>
      </c>
      <c r="Q208" s="80"/>
      <c r="R208" s="80"/>
      <c r="S208" s="80"/>
      <c r="T208" s="82"/>
      <c r="U208" s="80"/>
      <c r="V208" s="80"/>
      <c r="W208" s="80"/>
    </row>
    <row r="209" ht="18" customHeight="1" spans="1:23">
      <c r="A209" s="87" t="str">
        <f t="shared" si="9"/>
        <v/>
      </c>
      <c r="B209" s="78"/>
      <c r="C209" s="80"/>
      <c r="D209" s="79"/>
      <c r="E209" s="80"/>
      <c r="F209" s="79"/>
      <c r="G209" s="25" t="str">
        <f t="shared" si="10"/>
        <v/>
      </c>
      <c r="H209" s="88"/>
      <c r="I209" s="93"/>
      <c r="J209" s="97"/>
      <c r="K209" s="88"/>
      <c r="L209" s="25" t="str">
        <f>IF($D209="","",SUMIFS($H$4:$H209,$D$4:$D209,$D209)+SUMIFS($I$4:$I209,$D$4:$D209,$D209)-SUMIFS($J$4:$J209,$D$4:$D209,$D209)-SUMIFS($K$4:$K209,$D$4:$D209,$D209))</f>
        <v/>
      </c>
      <c r="M209" s="80"/>
      <c r="N209" s="80"/>
      <c r="O209" s="94"/>
      <c r="P209" s="26" t="str">
        <f t="shared" si="11"/>
        <v/>
      </c>
      <c r="Q209" s="80"/>
      <c r="R209" s="80"/>
      <c r="S209" s="80"/>
      <c r="T209" s="82"/>
      <c r="U209" s="80"/>
      <c r="V209" s="80"/>
      <c r="W209" s="80"/>
    </row>
    <row r="210" ht="18" customHeight="1" spans="1:23">
      <c r="A210" s="87" t="str">
        <f t="shared" si="9"/>
        <v/>
      </c>
      <c r="B210" s="78"/>
      <c r="C210" s="80"/>
      <c r="D210" s="79"/>
      <c r="E210" s="80"/>
      <c r="F210" s="79"/>
      <c r="G210" s="25" t="str">
        <f t="shared" si="10"/>
        <v/>
      </c>
      <c r="H210" s="88"/>
      <c r="I210" s="93"/>
      <c r="J210" s="97"/>
      <c r="K210" s="88"/>
      <c r="L210" s="25" t="str">
        <f>IF($D210="","",SUMIFS($H$4:$H210,$D$4:$D210,$D210)+SUMIFS($I$4:$I210,$D$4:$D210,$D210)-SUMIFS($J$4:$J210,$D$4:$D210,$D210)-SUMIFS($K$4:$K210,$D$4:$D210,$D210))</f>
        <v/>
      </c>
      <c r="M210" s="80"/>
      <c r="N210" s="80"/>
      <c r="O210" s="94"/>
      <c r="P210" s="26" t="str">
        <f t="shared" si="11"/>
        <v/>
      </c>
      <c r="Q210" s="80"/>
      <c r="R210" s="80"/>
      <c r="S210" s="80"/>
      <c r="T210" s="82"/>
      <c r="U210" s="80"/>
      <c r="V210" s="80"/>
      <c r="W210" s="80"/>
    </row>
    <row r="211" ht="18" customHeight="1" spans="1:23">
      <c r="A211" s="87" t="str">
        <f t="shared" si="9"/>
        <v/>
      </c>
      <c r="B211" s="78"/>
      <c r="C211" s="80"/>
      <c r="D211" s="79"/>
      <c r="E211" s="80"/>
      <c r="F211" s="79"/>
      <c r="G211" s="25" t="str">
        <f t="shared" si="10"/>
        <v/>
      </c>
      <c r="H211" s="88"/>
      <c r="I211" s="93"/>
      <c r="J211" s="97"/>
      <c r="K211" s="88"/>
      <c r="L211" s="25" t="str">
        <f>IF($D211="","",SUMIFS($H$4:$H211,$D$4:$D211,$D211)+SUMIFS($I$4:$I211,$D$4:$D211,$D211)-SUMIFS($J$4:$J211,$D$4:$D211,$D211)-SUMIFS($K$4:$K211,$D$4:$D211,$D211))</f>
        <v/>
      </c>
      <c r="M211" s="80"/>
      <c r="N211" s="80"/>
      <c r="O211" s="94"/>
      <c r="P211" s="26" t="str">
        <f t="shared" si="11"/>
        <v/>
      </c>
      <c r="Q211" s="80"/>
      <c r="R211" s="80"/>
      <c r="S211" s="80"/>
      <c r="T211" s="82"/>
      <c r="U211" s="80"/>
      <c r="V211" s="80"/>
      <c r="W211" s="80"/>
    </row>
    <row r="212" ht="18" customHeight="1" spans="1:23">
      <c r="A212" s="87" t="str">
        <f t="shared" si="9"/>
        <v/>
      </c>
      <c r="B212" s="78"/>
      <c r="C212" s="80"/>
      <c r="D212" s="79"/>
      <c r="E212" s="80"/>
      <c r="F212" s="79"/>
      <c r="G212" s="25" t="str">
        <f t="shared" si="10"/>
        <v/>
      </c>
      <c r="H212" s="88"/>
      <c r="I212" s="93"/>
      <c r="J212" s="97"/>
      <c r="K212" s="88"/>
      <c r="L212" s="25" t="str">
        <f>IF($D212="","",SUMIFS($H$4:$H212,$D$4:$D212,$D212)+SUMIFS($I$4:$I212,$D$4:$D212,$D212)-SUMIFS($J$4:$J212,$D$4:$D212,$D212)-SUMIFS($K$4:$K212,$D$4:$D212,$D212))</f>
        <v/>
      </c>
      <c r="M212" s="80"/>
      <c r="N212" s="80"/>
      <c r="O212" s="94"/>
      <c r="P212" s="26" t="str">
        <f t="shared" si="11"/>
        <v/>
      </c>
      <c r="Q212" s="80"/>
      <c r="R212" s="80"/>
      <c r="S212" s="80"/>
      <c r="T212" s="82"/>
      <c r="U212" s="80"/>
      <c r="V212" s="80"/>
      <c r="W212" s="80"/>
    </row>
    <row r="213" ht="18" customHeight="1" spans="1:23">
      <c r="A213" s="87" t="str">
        <f t="shared" si="9"/>
        <v/>
      </c>
      <c r="B213" s="78"/>
      <c r="C213" s="80"/>
      <c r="D213" s="79"/>
      <c r="E213" s="80"/>
      <c r="F213" s="79"/>
      <c r="G213" s="25" t="str">
        <f t="shared" si="10"/>
        <v/>
      </c>
      <c r="H213" s="88"/>
      <c r="I213" s="93"/>
      <c r="J213" s="97"/>
      <c r="K213" s="88"/>
      <c r="L213" s="25" t="str">
        <f>IF($D213="","",SUMIFS($H$4:$H213,$D$4:$D213,$D213)+SUMIFS($I$4:$I213,$D$4:$D213,$D213)-SUMIFS($J$4:$J213,$D$4:$D213,$D213)-SUMIFS($K$4:$K213,$D$4:$D213,$D213))</f>
        <v/>
      </c>
      <c r="M213" s="80"/>
      <c r="N213" s="80"/>
      <c r="O213" s="94"/>
      <c r="P213" s="26" t="str">
        <f t="shared" si="11"/>
        <v/>
      </c>
      <c r="Q213" s="80"/>
      <c r="R213" s="80"/>
      <c r="S213" s="80"/>
      <c r="T213" s="82"/>
      <c r="U213" s="80"/>
      <c r="V213" s="80"/>
      <c r="W213" s="80"/>
    </row>
    <row r="214" ht="18" customHeight="1" spans="1:23">
      <c r="A214" s="87" t="str">
        <f t="shared" si="9"/>
        <v/>
      </c>
      <c r="B214" s="78"/>
      <c r="C214" s="80"/>
      <c r="D214" s="79"/>
      <c r="E214" s="80"/>
      <c r="F214" s="79"/>
      <c r="G214" s="25" t="str">
        <f t="shared" si="10"/>
        <v/>
      </c>
      <c r="H214" s="88"/>
      <c r="I214" s="93"/>
      <c r="J214" s="97"/>
      <c r="K214" s="88"/>
      <c r="L214" s="25" t="str">
        <f>IF($D214="","",SUMIFS($H$4:$H214,$D$4:$D214,$D214)+SUMIFS($I$4:$I214,$D$4:$D214,$D214)-SUMIFS($J$4:$J214,$D$4:$D214,$D214)-SUMIFS($K$4:$K214,$D$4:$D214,$D214))</f>
        <v/>
      </c>
      <c r="M214" s="80"/>
      <c r="N214" s="80"/>
      <c r="O214" s="94"/>
      <c r="P214" s="26" t="str">
        <f t="shared" si="11"/>
        <v/>
      </c>
      <c r="Q214" s="80"/>
      <c r="R214" s="80"/>
      <c r="S214" s="80"/>
      <c r="T214" s="82"/>
      <c r="U214" s="80"/>
      <c r="V214" s="80"/>
      <c r="W214" s="80"/>
    </row>
    <row r="215" ht="18" customHeight="1" spans="1:23">
      <c r="A215" s="87" t="str">
        <f t="shared" si="9"/>
        <v/>
      </c>
      <c r="B215" s="78"/>
      <c r="C215" s="80"/>
      <c r="D215" s="79"/>
      <c r="E215" s="80"/>
      <c r="F215" s="79"/>
      <c r="G215" s="25" t="str">
        <f t="shared" si="10"/>
        <v/>
      </c>
      <c r="H215" s="88"/>
      <c r="I215" s="93"/>
      <c r="J215" s="97"/>
      <c r="K215" s="88"/>
      <c r="L215" s="25" t="str">
        <f>IF($D215="","",SUMIFS($H$4:$H215,$D$4:$D215,$D215)+SUMIFS($I$4:$I215,$D$4:$D215,$D215)-SUMIFS($J$4:$J215,$D$4:$D215,$D215)-SUMIFS($K$4:$K215,$D$4:$D215,$D215))</f>
        <v/>
      </c>
      <c r="M215" s="80"/>
      <c r="N215" s="80"/>
      <c r="O215" s="94"/>
      <c r="P215" s="26" t="str">
        <f t="shared" si="11"/>
        <v/>
      </c>
      <c r="Q215" s="80"/>
      <c r="R215" s="80"/>
      <c r="S215" s="80"/>
      <c r="T215" s="82"/>
      <c r="U215" s="80"/>
      <c r="V215" s="80"/>
      <c r="W215" s="80"/>
    </row>
    <row r="216" ht="18" customHeight="1" spans="1:23">
      <c r="A216" s="87" t="str">
        <f t="shared" si="9"/>
        <v/>
      </c>
      <c r="B216" s="78"/>
      <c r="C216" s="80"/>
      <c r="D216" s="79"/>
      <c r="E216" s="80"/>
      <c r="F216" s="79"/>
      <c r="G216" s="25" t="str">
        <f t="shared" si="10"/>
        <v/>
      </c>
      <c r="H216" s="88"/>
      <c r="I216" s="93"/>
      <c r="J216" s="97"/>
      <c r="K216" s="88"/>
      <c r="L216" s="25" t="str">
        <f>IF($D216="","",SUMIFS($H$4:$H216,$D$4:$D216,$D216)+SUMIFS($I$4:$I216,$D$4:$D216,$D216)-SUMIFS($J$4:$J216,$D$4:$D216,$D216)-SUMIFS($K$4:$K216,$D$4:$D216,$D216))</f>
        <v/>
      </c>
      <c r="M216" s="80"/>
      <c r="N216" s="80"/>
      <c r="O216" s="94"/>
      <c r="P216" s="26" t="str">
        <f t="shared" si="11"/>
        <v/>
      </c>
      <c r="Q216" s="80"/>
      <c r="R216" s="80"/>
      <c r="S216" s="80"/>
      <c r="T216" s="82"/>
      <c r="U216" s="80"/>
      <c r="V216" s="80"/>
      <c r="W216" s="80"/>
    </row>
    <row r="217" ht="18" customHeight="1" spans="1:23">
      <c r="A217" s="87" t="str">
        <f t="shared" si="9"/>
        <v/>
      </c>
      <c r="B217" s="78"/>
      <c r="C217" s="80"/>
      <c r="D217" s="79"/>
      <c r="E217" s="80"/>
      <c r="F217" s="79"/>
      <c r="G217" s="25" t="str">
        <f t="shared" si="10"/>
        <v/>
      </c>
      <c r="H217" s="88"/>
      <c r="I217" s="93"/>
      <c r="J217" s="97"/>
      <c r="K217" s="88"/>
      <c r="L217" s="25" t="str">
        <f>IF($D217="","",SUMIFS($H$4:$H217,$D$4:$D217,$D217)+SUMIFS($I$4:$I217,$D$4:$D217,$D217)-SUMIFS($J$4:$J217,$D$4:$D217,$D217)-SUMIFS($K$4:$K217,$D$4:$D217,$D217))</f>
        <v/>
      </c>
      <c r="M217" s="80"/>
      <c r="N217" s="80"/>
      <c r="O217" s="94"/>
      <c r="P217" s="26" t="str">
        <f t="shared" si="11"/>
        <v/>
      </c>
      <c r="Q217" s="80"/>
      <c r="R217" s="80"/>
      <c r="S217" s="80"/>
      <c r="T217" s="82"/>
      <c r="U217" s="80"/>
      <c r="V217" s="80"/>
      <c r="W217" s="80"/>
    </row>
    <row r="218" ht="18" customHeight="1" spans="1:23">
      <c r="A218" s="87" t="str">
        <f t="shared" si="9"/>
        <v/>
      </c>
      <c r="B218" s="78"/>
      <c r="C218" s="80"/>
      <c r="D218" s="79"/>
      <c r="E218" s="80"/>
      <c r="F218" s="79"/>
      <c r="G218" s="25" t="str">
        <f t="shared" si="10"/>
        <v/>
      </c>
      <c r="H218" s="88"/>
      <c r="I218" s="93"/>
      <c r="J218" s="97"/>
      <c r="K218" s="88"/>
      <c r="L218" s="25" t="str">
        <f>IF($D218="","",SUMIFS($H$4:$H218,$D$4:$D218,$D218)+SUMIFS($I$4:$I218,$D$4:$D218,$D218)-SUMIFS($J$4:$J218,$D$4:$D218,$D218)-SUMIFS($K$4:$K218,$D$4:$D218,$D218))</f>
        <v/>
      </c>
      <c r="M218" s="80"/>
      <c r="N218" s="80"/>
      <c r="O218" s="94"/>
      <c r="P218" s="26" t="str">
        <f t="shared" si="11"/>
        <v/>
      </c>
      <c r="Q218" s="80"/>
      <c r="R218" s="80"/>
      <c r="S218" s="80"/>
      <c r="T218" s="82"/>
      <c r="U218" s="80"/>
      <c r="V218" s="80"/>
      <c r="W218" s="80"/>
    </row>
    <row r="219" ht="18" customHeight="1" spans="1:23">
      <c r="A219" s="87" t="str">
        <f t="shared" si="9"/>
        <v/>
      </c>
      <c r="B219" s="78"/>
      <c r="C219" s="80"/>
      <c r="D219" s="79"/>
      <c r="E219" s="80"/>
      <c r="F219" s="79"/>
      <c r="G219" s="25" t="str">
        <f t="shared" si="10"/>
        <v/>
      </c>
      <c r="H219" s="88"/>
      <c r="I219" s="93"/>
      <c r="J219" s="97"/>
      <c r="K219" s="88"/>
      <c r="L219" s="25" t="str">
        <f>IF($D219="","",SUMIFS($H$4:$H219,$D$4:$D219,$D219)+SUMIFS($I$4:$I219,$D$4:$D219,$D219)-SUMIFS($J$4:$J219,$D$4:$D219,$D219)-SUMIFS($K$4:$K219,$D$4:$D219,$D219))</f>
        <v/>
      </c>
      <c r="M219" s="80"/>
      <c r="N219" s="80"/>
      <c r="O219" s="94"/>
      <c r="P219" s="26" t="str">
        <f t="shared" si="11"/>
        <v/>
      </c>
      <c r="Q219" s="80"/>
      <c r="R219" s="80"/>
      <c r="S219" s="80"/>
      <c r="T219" s="82"/>
      <c r="U219" s="80"/>
      <c r="V219" s="80"/>
      <c r="W219" s="80"/>
    </row>
    <row r="220" ht="18" customHeight="1" spans="1:23">
      <c r="A220" s="87" t="str">
        <f t="shared" si="9"/>
        <v/>
      </c>
      <c r="B220" s="78"/>
      <c r="C220" s="80"/>
      <c r="D220" s="79"/>
      <c r="E220" s="80"/>
      <c r="F220" s="79"/>
      <c r="G220" s="25" t="str">
        <f t="shared" si="10"/>
        <v/>
      </c>
      <c r="H220" s="88"/>
      <c r="I220" s="93"/>
      <c r="J220" s="97"/>
      <c r="K220" s="88"/>
      <c r="L220" s="25" t="str">
        <f>IF($D220="","",SUMIFS($H$4:$H220,$D$4:$D220,$D220)+SUMIFS($I$4:$I220,$D$4:$D220,$D220)-SUMIFS($J$4:$J220,$D$4:$D220,$D220)-SUMIFS($K$4:$K220,$D$4:$D220,$D220))</f>
        <v/>
      </c>
      <c r="M220" s="80"/>
      <c r="N220" s="80"/>
      <c r="O220" s="94"/>
      <c r="P220" s="26" t="str">
        <f t="shared" si="11"/>
        <v/>
      </c>
      <c r="Q220" s="80"/>
      <c r="R220" s="80"/>
      <c r="S220" s="80"/>
      <c r="T220" s="82"/>
      <c r="U220" s="80"/>
      <c r="V220" s="80"/>
      <c r="W220" s="80"/>
    </row>
    <row r="221" ht="18" customHeight="1" spans="1:23">
      <c r="A221" s="87" t="str">
        <f t="shared" si="9"/>
        <v/>
      </c>
      <c r="B221" s="78"/>
      <c r="C221" s="80"/>
      <c r="D221" s="79"/>
      <c r="E221" s="80"/>
      <c r="F221" s="79"/>
      <c r="G221" s="25" t="str">
        <f t="shared" si="10"/>
        <v/>
      </c>
      <c r="H221" s="88"/>
      <c r="I221" s="93"/>
      <c r="J221" s="97"/>
      <c r="K221" s="88"/>
      <c r="L221" s="25" t="str">
        <f>IF($D221="","",SUMIFS($H$4:$H221,$D$4:$D221,$D221)+SUMIFS($I$4:$I221,$D$4:$D221,$D221)-SUMIFS($J$4:$J221,$D$4:$D221,$D221)-SUMIFS($K$4:$K221,$D$4:$D221,$D221))</f>
        <v/>
      </c>
      <c r="M221" s="80"/>
      <c r="N221" s="80"/>
      <c r="O221" s="94"/>
      <c r="P221" s="26" t="str">
        <f t="shared" si="11"/>
        <v/>
      </c>
      <c r="Q221" s="80"/>
      <c r="R221" s="80"/>
      <c r="S221" s="80"/>
      <c r="T221" s="82"/>
      <c r="U221" s="80"/>
      <c r="V221" s="80"/>
      <c r="W221" s="80"/>
    </row>
    <row r="222" ht="18" customHeight="1" spans="1:23">
      <c r="A222" s="87" t="str">
        <f t="shared" si="9"/>
        <v/>
      </c>
      <c r="B222" s="78"/>
      <c r="C222" s="80"/>
      <c r="D222" s="79"/>
      <c r="E222" s="80"/>
      <c r="F222" s="79"/>
      <c r="G222" s="25" t="str">
        <f t="shared" si="10"/>
        <v/>
      </c>
      <c r="H222" s="88"/>
      <c r="I222" s="93"/>
      <c r="J222" s="97"/>
      <c r="K222" s="88"/>
      <c r="L222" s="25" t="str">
        <f>IF($D222="","",SUMIFS($H$4:$H222,$D$4:$D222,$D222)+SUMIFS($I$4:$I222,$D$4:$D222,$D222)-SUMIFS($J$4:$J222,$D$4:$D222,$D222)-SUMIFS($K$4:$K222,$D$4:$D222,$D222))</f>
        <v/>
      </c>
      <c r="M222" s="80"/>
      <c r="N222" s="80"/>
      <c r="O222" s="94"/>
      <c r="P222" s="26" t="str">
        <f t="shared" si="11"/>
        <v/>
      </c>
      <c r="Q222" s="80"/>
      <c r="R222" s="80"/>
      <c r="S222" s="80"/>
      <c r="T222" s="82"/>
      <c r="U222" s="80"/>
      <c r="V222" s="80"/>
      <c r="W222" s="80"/>
    </row>
    <row r="223" ht="18" customHeight="1" spans="1:23">
      <c r="A223" s="87" t="str">
        <f t="shared" si="9"/>
        <v/>
      </c>
      <c r="B223" s="78"/>
      <c r="C223" s="80"/>
      <c r="D223" s="79"/>
      <c r="E223" s="80"/>
      <c r="F223" s="79"/>
      <c r="G223" s="25" t="str">
        <f t="shared" si="10"/>
        <v/>
      </c>
      <c r="H223" s="88"/>
      <c r="I223" s="93"/>
      <c r="J223" s="97"/>
      <c r="K223" s="88"/>
      <c r="L223" s="25" t="str">
        <f>IF($D223="","",SUMIFS($H$4:$H223,$D$4:$D223,$D223)+SUMIFS($I$4:$I223,$D$4:$D223,$D223)-SUMIFS($J$4:$J223,$D$4:$D223,$D223)-SUMIFS($K$4:$K223,$D$4:$D223,$D223))</f>
        <v/>
      </c>
      <c r="M223" s="80"/>
      <c r="N223" s="80"/>
      <c r="O223" s="94"/>
      <c r="P223" s="26" t="str">
        <f t="shared" si="11"/>
        <v/>
      </c>
      <c r="Q223" s="80"/>
      <c r="R223" s="80"/>
      <c r="S223" s="80"/>
      <c r="T223" s="82"/>
      <c r="U223" s="80"/>
      <c r="V223" s="80"/>
      <c r="W223" s="80"/>
    </row>
    <row r="224" ht="18" customHeight="1" spans="1:23">
      <c r="A224" s="87" t="str">
        <f t="shared" si="9"/>
        <v/>
      </c>
      <c r="B224" s="78"/>
      <c r="C224" s="80"/>
      <c r="D224" s="79"/>
      <c r="E224" s="80"/>
      <c r="F224" s="79"/>
      <c r="G224" s="25" t="str">
        <f t="shared" si="10"/>
        <v/>
      </c>
      <c r="H224" s="88"/>
      <c r="I224" s="93"/>
      <c r="J224" s="97"/>
      <c r="K224" s="88"/>
      <c r="L224" s="25" t="str">
        <f>IF($D224="","",SUMIFS($H$4:$H224,$D$4:$D224,$D224)+SUMIFS($I$4:$I224,$D$4:$D224,$D224)-SUMIFS($J$4:$J224,$D$4:$D224,$D224)-SUMIFS($K$4:$K224,$D$4:$D224,$D224))</f>
        <v/>
      </c>
      <c r="M224" s="80"/>
      <c r="N224" s="80"/>
      <c r="O224" s="94"/>
      <c r="P224" s="26" t="str">
        <f t="shared" si="11"/>
        <v/>
      </c>
      <c r="Q224" s="80"/>
      <c r="R224" s="80"/>
      <c r="S224" s="80"/>
      <c r="T224" s="82"/>
      <c r="U224" s="80"/>
      <c r="V224" s="80"/>
      <c r="W224" s="80"/>
    </row>
    <row r="225" ht="18" customHeight="1" spans="1:23">
      <c r="A225" s="87" t="str">
        <f t="shared" si="9"/>
        <v/>
      </c>
      <c r="B225" s="78"/>
      <c r="C225" s="80"/>
      <c r="D225" s="79"/>
      <c r="E225" s="80"/>
      <c r="F225" s="79"/>
      <c r="G225" s="25" t="str">
        <f t="shared" si="10"/>
        <v/>
      </c>
      <c r="H225" s="88"/>
      <c r="I225" s="93"/>
      <c r="J225" s="97"/>
      <c r="K225" s="88"/>
      <c r="L225" s="25" t="str">
        <f>IF($D225="","",SUMIFS($H$4:$H225,$D$4:$D225,$D225)+SUMIFS($I$4:$I225,$D$4:$D225,$D225)-SUMIFS($J$4:$J225,$D$4:$D225,$D225)-SUMIFS($K$4:$K225,$D$4:$D225,$D225))</f>
        <v/>
      </c>
      <c r="M225" s="80"/>
      <c r="N225" s="80"/>
      <c r="O225" s="94"/>
      <c r="P225" s="26" t="str">
        <f t="shared" si="11"/>
        <v/>
      </c>
      <c r="Q225" s="80"/>
      <c r="R225" s="80"/>
      <c r="S225" s="80"/>
      <c r="T225" s="82"/>
      <c r="U225" s="80"/>
      <c r="V225" s="80"/>
      <c r="W225" s="80"/>
    </row>
    <row r="226" ht="18" customHeight="1" spans="1:23">
      <c r="A226" s="87" t="str">
        <f t="shared" si="9"/>
        <v/>
      </c>
      <c r="B226" s="78"/>
      <c r="C226" s="80"/>
      <c r="D226" s="79"/>
      <c r="E226" s="80"/>
      <c r="F226" s="79"/>
      <c r="G226" s="25" t="str">
        <f t="shared" si="10"/>
        <v/>
      </c>
      <c r="H226" s="88"/>
      <c r="I226" s="93"/>
      <c r="J226" s="97"/>
      <c r="K226" s="88"/>
      <c r="L226" s="25" t="str">
        <f>IF($D226="","",SUMIFS($H$4:$H226,$D$4:$D226,$D226)+SUMIFS($I$4:$I226,$D$4:$D226,$D226)-SUMIFS($J$4:$J226,$D$4:$D226,$D226)-SUMIFS($K$4:$K226,$D$4:$D226,$D226))</f>
        <v/>
      </c>
      <c r="M226" s="80"/>
      <c r="N226" s="80"/>
      <c r="O226" s="94"/>
      <c r="P226" s="26" t="str">
        <f t="shared" si="11"/>
        <v/>
      </c>
      <c r="Q226" s="80"/>
      <c r="R226" s="80"/>
      <c r="S226" s="80"/>
      <c r="T226" s="82"/>
      <c r="U226" s="80"/>
      <c r="V226" s="80"/>
      <c r="W226" s="80"/>
    </row>
    <row r="227" ht="18" customHeight="1" spans="1:23">
      <c r="A227" s="87" t="str">
        <f t="shared" si="9"/>
        <v/>
      </c>
      <c r="B227" s="78"/>
      <c r="C227" s="80"/>
      <c r="D227" s="79"/>
      <c r="E227" s="80"/>
      <c r="F227" s="79"/>
      <c r="G227" s="25" t="str">
        <f t="shared" si="10"/>
        <v/>
      </c>
      <c r="H227" s="88"/>
      <c r="I227" s="93"/>
      <c r="J227" s="97"/>
      <c r="K227" s="88"/>
      <c r="L227" s="25" t="str">
        <f>IF($D227="","",SUMIFS($H$4:$H227,$D$4:$D227,$D227)+SUMIFS($I$4:$I227,$D$4:$D227,$D227)-SUMIFS($J$4:$J227,$D$4:$D227,$D227)-SUMIFS($K$4:$K227,$D$4:$D227,$D227))</f>
        <v/>
      </c>
      <c r="M227" s="80"/>
      <c r="N227" s="80"/>
      <c r="O227" s="94"/>
      <c r="P227" s="26" t="str">
        <f t="shared" si="11"/>
        <v/>
      </c>
      <c r="Q227" s="80"/>
      <c r="R227" s="80"/>
      <c r="S227" s="80"/>
      <c r="T227" s="82"/>
      <c r="U227" s="80"/>
      <c r="V227" s="80"/>
      <c r="W227" s="80"/>
    </row>
    <row r="228" ht="18" customHeight="1" spans="1:23">
      <c r="A228" s="87" t="str">
        <f t="shared" si="9"/>
        <v/>
      </c>
      <c r="B228" s="78"/>
      <c r="C228" s="80"/>
      <c r="D228" s="79"/>
      <c r="E228" s="80"/>
      <c r="F228" s="79"/>
      <c r="G228" s="25" t="str">
        <f t="shared" si="10"/>
        <v/>
      </c>
      <c r="H228" s="88"/>
      <c r="I228" s="93"/>
      <c r="J228" s="97"/>
      <c r="K228" s="88"/>
      <c r="L228" s="25" t="str">
        <f>IF($D228="","",SUMIFS($H$4:$H228,$D$4:$D228,$D228)+SUMIFS($I$4:$I228,$D$4:$D228,$D228)-SUMIFS($J$4:$J228,$D$4:$D228,$D228)-SUMIFS($K$4:$K228,$D$4:$D228,$D228))</f>
        <v/>
      </c>
      <c r="M228" s="80"/>
      <c r="N228" s="80"/>
      <c r="O228" s="94"/>
      <c r="P228" s="26" t="str">
        <f t="shared" si="11"/>
        <v/>
      </c>
      <c r="Q228" s="80"/>
      <c r="R228" s="80"/>
      <c r="S228" s="80"/>
      <c r="T228" s="82"/>
      <c r="U228" s="80"/>
      <c r="V228" s="80"/>
      <c r="W228" s="80"/>
    </row>
    <row r="229" ht="18" customHeight="1" spans="1:23">
      <c r="A229" s="87" t="str">
        <f t="shared" si="9"/>
        <v/>
      </c>
      <c r="B229" s="78"/>
      <c r="C229" s="80"/>
      <c r="D229" s="79"/>
      <c r="E229" s="80"/>
      <c r="F229" s="79"/>
      <c r="G229" s="25" t="str">
        <f t="shared" si="10"/>
        <v/>
      </c>
      <c r="H229" s="88"/>
      <c r="I229" s="93"/>
      <c r="J229" s="97"/>
      <c r="K229" s="88"/>
      <c r="L229" s="25" t="str">
        <f>IF($D229="","",SUMIFS($H$4:$H229,$D$4:$D229,$D229)+SUMIFS($I$4:$I229,$D$4:$D229,$D229)-SUMIFS($J$4:$J229,$D$4:$D229,$D229)-SUMIFS($K$4:$K229,$D$4:$D229,$D229))</f>
        <v/>
      </c>
      <c r="M229" s="80"/>
      <c r="N229" s="80"/>
      <c r="O229" s="94"/>
      <c r="P229" s="26" t="str">
        <f t="shared" si="11"/>
        <v/>
      </c>
      <c r="Q229" s="80"/>
      <c r="R229" s="80"/>
      <c r="S229" s="80"/>
      <c r="T229" s="82"/>
      <c r="U229" s="80"/>
      <c r="V229" s="80"/>
      <c r="W229" s="80"/>
    </row>
    <row r="230" ht="18" customHeight="1" spans="1:23">
      <c r="A230" s="87" t="str">
        <f t="shared" si="9"/>
        <v/>
      </c>
      <c r="B230" s="78"/>
      <c r="C230" s="80"/>
      <c r="D230" s="79"/>
      <c r="E230" s="80"/>
      <c r="F230" s="79"/>
      <c r="G230" s="25" t="str">
        <f t="shared" si="10"/>
        <v/>
      </c>
      <c r="H230" s="88"/>
      <c r="I230" s="93"/>
      <c r="J230" s="97"/>
      <c r="K230" s="88"/>
      <c r="L230" s="25" t="str">
        <f>IF($D230="","",SUMIFS($H$4:$H230,$D$4:$D230,$D230)+SUMIFS($I$4:$I230,$D$4:$D230,$D230)-SUMIFS($J$4:$J230,$D$4:$D230,$D230)-SUMIFS($K$4:$K230,$D$4:$D230,$D230))</f>
        <v/>
      </c>
      <c r="M230" s="80"/>
      <c r="N230" s="80"/>
      <c r="O230" s="94"/>
      <c r="P230" s="26" t="str">
        <f t="shared" si="11"/>
        <v/>
      </c>
      <c r="Q230" s="80"/>
      <c r="R230" s="80"/>
      <c r="S230" s="80"/>
      <c r="T230" s="82"/>
      <c r="U230" s="80"/>
      <c r="V230" s="80"/>
      <c r="W230" s="80"/>
    </row>
    <row r="231" ht="18" customHeight="1" spans="1:23">
      <c r="A231" s="87" t="str">
        <f t="shared" si="9"/>
        <v/>
      </c>
      <c r="B231" s="78"/>
      <c r="C231" s="80"/>
      <c r="D231" s="79"/>
      <c r="E231" s="80"/>
      <c r="F231" s="79"/>
      <c r="G231" s="25" t="str">
        <f t="shared" si="10"/>
        <v/>
      </c>
      <c r="H231" s="88"/>
      <c r="I231" s="93"/>
      <c r="J231" s="97"/>
      <c r="K231" s="88"/>
      <c r="L231" s="25" t="str">
        <f>IF($D231="","",SUMIFS($H$4:$H231,$D$4:$D231,$D231)+SUMIFS($I$4:$I231,$D$4:$D231,$D231)-SUMIFS($J$4:$J231,$D$4:$D231,$D231)-SUMIFS($K$4:$K231,$D$4:$D231,$D231))</f>
        <v/>
      </c>
      <c r="M231" s="80"/>
      <c r="N231" s="80"/>
      <c r="O231" s="94"/>
      <c r="P231" s="26" t="str">
        <f t="shared" si="11"/>
        <v/>
      </c>
      <c r="Q231" s="80"/>
      <c r="R231" s="80"/>
      <c r="S231" s="80"/>
      <c r="T231" s="82"/>
      <c r="U231" s="80"/>
      <c r="V231" s="80"/>
      <c r="W231" s="80"/>
    </row>
    <row r="232" ht="18" customHeight="1" spans="1:23">
      <c r="A232" s="87" t="str">
        <f t="shared" si="9"/>
        <v/>
      </c>
      <c r="B232" s="78"/>
      <c r="C232" s="80"/>
      <c r="D232" s="79"/>
      <c r="E232" s="80"/>
      <c r="F232" s="79"/>
      <c r="G232" s="25" t="str">
        <f t="shared" si="10"/>
        <v/>
      </c>
      <c r="H232" s="88"/>
      <c r="I232" s="93"/>
      <c r="J232" s="97"/>
      <c r="K232" s="88"/>
      <c r="L232" s="25" t="str">
        <f>IF($D232="","",SUMIFS($H$4:$H232,$D$4:$D232,$D232)+SUMIFS($I$4:$I232,$D$4:$D232,$D232)-SUMIFS($J$4:$J232,$D$4:$D232,$D232)-SUMIFS($K$4:$K232,$D$4:$D232,$D232))</f>
        <v/>
      </c>
      <c r="M232" s="80"/>
      <c r="N232" s="80"/>
      <c r="O232" s="94"/>
      <c r="P232" s="26" t="str">
        <f t="shared" si="11"/>
        <v/>
      </c>
      <c r="Q232" s="80"/>
      <c r="R232" s="80"/>
      <c r="S232" s="80"/>
      <c r="T232" s="82"/>
      <c r="U232" s="80"/>
      <c r="V232" s="80"/>
      <c r="W232" s="80"/>
    </row>
    <row r="233" ht="18" customHeight="1" spans="1:23">
      <c r="A233" s="87" t="str">
        <f t="shared" si="9"/>
        <v/>
      </c>
      <c r="B233" s="78"/>
      <c r="C233" s="80"/>
      <c r="D233" s="79"/>
      <c r="E233" s="80"/>
      <c r="F233" s="79"/>
      <c r="G233" s="25" t="str">
        <f t="shared" si="10"/>
        <v/>
      </c>
      <c r="H233" s="88"/>
      <c r="I233" s="93"/>
      <c r="J233" s="97"/>
      <c r="K233" s="88"/>
      <c r="L233" s="25" t="str">
        <f>IF($D233="","",SUMIFS($H$4:$H233,$D$4:$D233,$D233)+SUMIFS($I$4:$I233,$D$4:$D233,$D233)-SUMIFS($J$4:$J233,$D$4:$D233,$D233)-SUMIFS($K$4:$K233,$D$4:$D233,$D233))</f>
        <v/>
      </c>
      <c r="M233" s="80"/>
      <c r="N233" s="80"/>
      <c r="O233" s="94"/>
      <c r="P233" s="26" t="str">
        <f t="shared" si="11"/>
        <v/>
      </c>
      <c r="Q233" s="80"/>
      <c r="R233" s="80"/>
      <c r="S233" s="80"/>
      <c r="T233" s="82"/>
      <c r="U233" s="80"/>
      <c r="V233" s="80"/>
      <c r="W233" s="80"/>
    </row>
    <row r="234" ht="18" customHeight="1" spans="1:23">
      <c r="A234" s="87" t="str">
        <f t="shared" si="9"/>
        <v/>
      </c>
      <c r="B234" s="78"/>
      <c r="C234" s="80"/>
      <c r="D234" s="79"/>
      <c r="E234" s="80"/>
      <c r="F234" s="79"/>
      <c r="G234" s="25" t="str">
        <f t="shared" si="10"/>
        <v/>
      </c>
      <c r="H234" s="88"/>
      <c r="I234" s="93"/>
      <c r="J234" s="97"/>
      <c r="K234" s="88"/>
      <c r="L234" s="25" t="str">
        <f>IF($D234="","",SUMIFS($H$4:$H234,$D$4:$D234,$D234)+SUMIFS($I$4:$I234,$D$4:$D234,$D234)-SUMIFS($J$4:$J234,$D$4:$D234,$D234)-SUMIFS($K$4:$K234,$D$4:$D234,$D234))</f>
        <v/>
      </c>
      <c r="M234" s="80"/>
      <c r="N234" s="80"/>
      <c r="O234" s="94"/>
      <c r="P234" s="26" t="str">
        <f t="shared" si="11"/>
        <v/>
      </c>
      <c r="Q234" s="80"/>
      <c r="R234" s="80"/>
      <c r="S234" s="80"/>
      <c r="T234" s="82"/>
      <c r="U234" s="80"/>
      <c r="V234" s="80"/>
      <c r="W234" s="80"/>
    </row>
    <row r="235" ht="18" customHeight="1" spans="1:23">
      <c r="A235" s="87" t="str">
        <f t="shared" si="9"/>
        <v/>
      </c>
      <c r="B235" s="78"/>
      <c r="C235" s="80"/>
      <c r="D235" s="79"/>
      <c r="E235" s="80"/>
      <c r="F235" s="79"/>
      <c r="G235" s="25" t="str">
        <f t="shared" si="10"/>
        <v/>
      </c>
      <c r="H235" s="88"/>
      <c r="I235" s="93"/>
      <c r="J235" s="97"/>
      <c r="K235" s="88"/>
      <c r="L235" s="25" t="str">
        <f>IF($D235="","",SUMIFS($H$4:$H235,$D$4:$D235,$D235)+SUMIFS($I$4:$I235,$D$4:$D235,$D235)-SUMIFS($J$4:$J235,$D$4:$D235,$D235)-SUMIFS($K$4:$K235,$D$4:$D235,$D235))</f>
        <v/>
      </c>
      <c r="M235" s="80"/>
      <c r="N235" s="80"/>
      <c r="O235" s="94"/>
      <c r="P235" s="26" t="str">
        <f t="shared" si="11"/>
        <v/>
      </c>
      <c r="Q235" s="80"/>
      <c r="R235" s="80"/>
      <c r="S235" s="80"/>
      <c r="T235" s="82"/>
      <c r="U235" s="80"/>
      <c r="V235" s="80"/>
      <c r="W235" s="80"/>
    </row>
    <row r="236" ht="18" customHeight="1" spans="1:23">
      <c r="A236" s="87" t="str">
        <f t="shared" si="9"/>
        <v/>
      </c>
      <c r="B236" s="78"/>
      <c r="C236" s="80"/>
      <c r="D236" s="79"/>
      <c r="E236" s="80"/>
      <c r="F236" s="79"/>
      <c r="G236" s="25" t="str">
        <f t="shared" si="10"/>
        <v/>
      </c>
      <c r="H236" s="88"/>
      <c r="I236" s="93"/>
      <c r="J236" s="97"/>
      <c r="K236" s="88"/>
      <c r="L236" s="25" t="str">
        <f>IF($D236="","",SUMIFS($H$4:$H236,$D$4:$D236,$D236)+SUMIFS($I$4:$I236,$D$4:$D236,$D236)-SUMIFS($J$4:$J236,$D$4:$D236,$D236)-SUMIFS($K$4:$K236,$D$4:$D236,$D236))</f>
        <v/>
      </c>
      <c r="M236" s="80"/>
      <c r="N236" s="80"/>
      <c r="O236" s="94"/>
      <c r="P236" s="26" t="str">
        <f t="shared" si="11"/>
        <v/>
      </c>
      <c r="Q236" s="80"/>
      <c r="R236" s="80"/>
      <c r="S236" s="80"/>
      <c r="T236" s="82"/>
      <c r="U236" s="80"/>
      <c r="V236" s="80"/>
      <c r="W236" s="80"/>
    </row>
    <row r="237" ht="18" customHeight="1" spans="1:23">
      <c r="A237" s="87" t="str">
        <f t="shared" si="9"/>
        <v/>
      </c>
      <c r="B237" s="78"/>
      <c r="C237" s="80"/>
      <c r="D237" s="79"/>
      <c r="E237" s="80"/>
      <c r="F237" s="79"/>
      <c r="G237" s="25" t="str">
        <f t="shared" si="10"/>
        <v/>
      </c>
      <c r="H237" s="88"/>
      <c r="I237" s="93"/>
      <c r="J237" s="97"/>
      <c r="K237" s="88"/>
      <c r="L237" s="25" t="str">
        <f>IF($D237="","",SUMIFS($H$4:$H237,$D$4:$D237,$D237)+SUMIFS($I$4:$I237,$D$4:$D237,$D237)-SUMIFS($J$4:$J237,$D$4:$D237,$D237)-SUMIFS($K$4:$K237,$D$4:$D237,$D237))</f>
        <v/>
      </c>
      <c r="M237" s="80"/>
      <c r="N237" s="80"/>
      <c r="O237" s="94"/>
      <c r="P237" s="26" t="str">
        <f t="shared" si="11"/>
        <v/>
      </c>
      <c r="Q237" s="80"/>
      <c r="R237" s="80"/>
      <c r="S237" s="80"/>
      <c r="T237" s="82"/>
      <c r="U237" s="80"/>
      <c r="V237" s="80"/>
      <c r="W237" s="80"/>
    </row>
    <row r="238" ht="18" customHeight="1" spans="1:23">
      <c r="A238" s="87" t="str">
        <f t="shared" si="9"/>
        <v/>
      </c>
      <c r="B238" s="78"/>
      <c r="C238" s="80"/>
      <c r="D238" s="79"/>
      <c r="E238" s="80"/>
      <c r="F238" s="79"/>
      <c r="G238" s="25" t="str">
        <f t="shared" si="10"/>
        <v/>
      </c>
      <c r="H238" s="88"/>
      <c r="I238" s="93"/>
      <c r="J238" s="97"/>
      <c r="K238" s="88"/>
      <c r="L238" s="25" t="str">
        <f>IF($D238="","",SUMIFS($H$4:$H238,$D$4:$D238,$D238)+SUMIFS($I$4:$I238,$D$4:$D238,$D238)-SUMIFS($J$4:$J238,$D$4:$D238,$D238)-SUMIFS($K$4:$K238,$D$4:$D238,$D238))</f>
        <v/>
      </c>
      <c r="M238" s="80"/>
      <c r="N238" s="80"/>
      <c r="O238" s="94"/>
      <c r="P238" s="26" t="str">
        <f t="shared" si="11"/>
        <v/>
      </c>
      <c r="Q238" s="80"/>
      <c r="R238" s="80"/>
      <c r="S238" s="80"/>
      <c r="T238" s="82"/>
      <c r="U238" s="80"/>
      <c r="V238" s="80"/>
      <c r="W238" s="80"/>
    </row>
    <row r="239" ht="18" customHeight="1" spans="1:23">
      <c r="A239" s="87" t="str">
        <f t="shared" si="9"/>
        <v/>
      </c>
      <c r="B239" s="78"/>
      <c r="C239" s="80"/>
      <c r="D239" s="79"/>
      <c r="E239" s="80"/>
      <c r="F239" s="79"/>
      <c r="G239" s="25" t="str">
        <f t="shared" si="10"/>
        <v/>
      </c>
      <c r="H239" s="88"/>
      <c r="I239" s="93"/>
      <c r="J239" s="97"/>
      <c r="K239" s="88"/>
      <c r="L239" s="25" t="str">
        <f>IF($D239="","",SUMIFS($H$4:$H239,$D$4:$D239,$D239)+SUMIFS($I$4:$I239,$D$4:$D239,$D239)-SUMIFS($J$4:$J239,$D$4:$D239,$D239)-SUMIFS($K$4:$K239,$D$4:$D239,$D239))</f>
        <v/>
      </c>
      <c r="M239" s="80"/>
      <c r="N239" s="80"/>
      <c r="O239" s="94"/>
      <c r="P239" s="26" t="str">
        <f t="shared" si="11"/>
        <v/>
      </c>
      <c r="Q239" s="80"/>
      <c r="R239" s="80"/>
      <c r="S239" s="80"/>
      <c r="T239" s="82"/>
      <c r="U239" s="80"/>
      <c r="V239" s="80"/>
      <c r="W239" s="80"/>
    </row>
    <row r="240" ht="18" customHeight="1" spans="1:23">
      <c r="A240" s="87" t="str">
        <f t="shared" si="9"/>
        <v/>
      </c>
      <c r="B240" s="78"/>
      <c r="C240" s="80"/>
      <c r="D240" s="79"/>
      <c r="E240" s="80"/>
      <c r="F240" s="79"/>
      <c r="G240" s="25" t="str">
        <f t="shared" si="10"/>
        <v/>
      </c>
      <c r="H240" s="88"/>
      <c r="I240" s="93"/>
      <c r="J240" s="97"/>
      <c r="K240" s="88"/>
      <c r="L240" s="25" t="str">
        <f>IF($D240="","",SUMIFS($H$4:$H240,$D$4:$D240,$D240)+SUMIFS($I$4:$I240,$D$4:$D240,$D240)-SUMIFS($J$4:$J240,$D$4:$D240,$D240)-SUMIFS($K$4:$K240,$D$4:$D240,$D240))</f>
        <v/>
      </c>
      <c r="M240" s="80"/>
      <c r="N240" s="80"/>
      <c r="O240" s="94"/>
      <c r="P240" s="26" t="str">
        <f t="shared" si="11"/>
        <v/>
      </c>
      <c r="Q240" s="80"/>
      <c r="R240" s="80"/>
      <c r="S240" s="80"/>
      <c r="T240" s="82"/>
      <c r="U240" s="80"/>
      <c r="V240" s="80"/>
      <c r="W240" s="80"/>
    </row>
    <row r="241" ht="18" customHeight="1" spans="1:23">
      <c r="A241" s="87" t="str">
        <f t="shared" si="9"/>
        <v/>
      </c>
      <c r="B241" s="78"/>
      <c r="C241" s="80"/>
      <c r="D241" s="79"/>
      <c r="E241" s="80"/>
      <c r="F241" s="79"/>
      <c r="G241" s="25" t="str">
        <f t="shared" si="10"/>
        <v/>
      </c>
      <c r="H241" s="88"/>
      <c r="I241" s="93"/>
      <c r="J241" s="97"/>
      <c r="K241" s="88"/>
      <c r="L241" s="25" t="str">
        <f>IF($D241="","",SUMIFS($H$4:$H241,$D$4:$D241,$D241)+SUMIFS($I$4:$I241,$D$4:$D241,$D241)-SUMIFS($J$4:$J241,$D$4:$D241,$D241)-SUMIFS($K$4:$K241,$D$4:$D241,$D241))</f>
        <v/>
      </c>
      <c r="M241" s="80"/>
      <c r="N241" s="80"/>
      <c r="O241" s="94"/>
      <c r="P241" s="26" t="str">
        <f t="shared" si="11"/>
        <v/>
      </c>
      <c r="Q241" s="80"/>
      <c r="R241" s="80"/>
      <c r="S241" s="80"/>
      <c r="T241" s="82"/>
      <c r="U241" s="80"/>
      <c r="V241" s="80"/>
      <c r="W241" s="80"/>
    </row>
    <row r="242" ht="18" customHeight="1" spans="1:23">
      <c r="A242" s="87" t="str">
        <f t="shared" si="9"/>
        <v/>
      </c>
      <c r="B242" s="78"/>
      <c r="C242" s="80"/>
      <c r="D242" s="79"/>
      <c r="E242" s="80"/>
      <c r="F242" s="79"/>
      <c r="G242" s="25" t="str">
        <f t="shared" si="10"/>
        <v/>
      </c>
      <c r="H242" s="88"/>
      <c r="I242" s="93"/>
      <c r="J242" s="97"/>
      <c r="K242" s="88"/>
      <c r="L242" s="25" t="str">
        <f>IF($D242="","",SUMIFS($H$4:$H242,$D$4:$D242,$D242)+SUMIFS($I$4:$I242,$D$4:$D242,$D242)-SUMIFS($J$4:$J242,$D$4:$D242,$D242)-SUMIFS($K$4:$K242,$D$4:$D242,$D242))</f>
        <v/>
      </c>
      <c r="M242" s="80"/>
      <c r="N242" s="80"/>
      <c r="O242" s="94"/>
      <c r="P242" s="26" t="str">
        <f t="shared" si="11"/>
        <v/>
      </c>
      <c r="Q242" s="80"/>
      <c r="R242" s="80"/>
      <c r="S242" s="80"/>
      <c r="T242" s="82"/>
      <c r="U242" s="80"/>
      <c r="V242" s="80"/>
      <c r="W242" s="80"/>
    </row>
    <row r="243" ht="18" customHeight="1" spans="1:23">
      <c r="A243" s="87" t="str">
        <f t="shared" si="9"/>
        <v/>
      </c>
      <c r="B243" s="78"/>
      <c r="C243" s="80"/>
      <c r="D243" s="79"/>
      <c r="E243" s="80"/>
      <c r="F243" s="79"/>
      <c r="G243" s="25" t="str">
        <f t="shared" si="10"/>
        <v/>
      </c>
      <c r="H243" s="88"/>
      <c r="I243" s="93"/>
      <c r="J243" s="97"/>
      <c r="K243" s="88"/>
      <c r="L243" s="25" t="str">
        <f>IF($D243="","",SUMIFS($H$4:$H243,$D$4:$D243,$D243)+SUMIFS($I$4:$I243,$D$4:$D243,$D243)-SUMIFS($J$4:$J243,$D$4:$D243,$D243)-SUMIFS($K$4:$K243,$D$4:$D243,$D243))</f>
        <v/>
      </c>
      <c r="M243" s="80"/>
      <c r="N243" s="80"/>
      <c r="O243" s="94"/>
      <c r="P243" s="26" t="str">
        <f t="shared" si="11"/>
        <v/>
      </c>
      <c r="Q243" s="80"/>
      <c r="R243" s="80"/>
      <c r="S243" s="80"/>
      <c r="T243" s="82"/>
      <c r="U243" s="80"/>
      <c r="V243" s="80"/>
      <c r="W243" s="80"/>
    </row>
    <row r="244" ht="18" customHeight="1" spans="1:23">
      <c r="A244" s="87" t="str">
        <f t="shared" si="9"/>
        <v/>
      </c>
      <c r="B244" s="78"/>
      <c r="C244" s="80"/>
      <c r="D244" s="79"/>
      <c r="E244" s="80"/>
      <c r="F244" s="79"/>
      <c r="G244" s="25" t="str">
        <f t="shared" si="10"/>
        <v/>
      </c>
      <c r="H244" s="88"/>
      <c r="I244" s="93"/>
      <c r="J244" s="97"/>
      <c r="K244" s="88"/>
      <c r="L244" s="25" t="str">
        <f>IF($D244="","",SUMIFS($H$4:$H244,$D$4:$D244,$D244)+SUMIFS($I$4:$I244,$D$4:$D244,$D244)-SUMIFS($J$4:$J244,$D$4:$D244,$D244)-SUMIFS($K$4:$K244,$D$4:$D244,$D244))</f>
        <v/>
      </c>
      <c r="M244" s="80"/>
      <c r="N244" s="80"/>
      <c r="O244" s="94"/>
      <c r="P244" s="26" t="str">
        <f t="shared" si="11"/>
        <v/>
      </c>
      <c r="Q244" s="80"/>
      <c r="R244" s="80"/>
      <c r="S244" s="80"/>
      <c r="T244" s="82"/>
      <c r="U244" s="80"/>
      <c r="V244" s="80"/>
      <c r="W244" s="80"/>
    </row>
    <row r="245" ht="18" customHeight="1" spans="1:23">
      <c r="A245" s="87" t="str">
        <f t="shared" si="9"/>
        <v/>
      </c>
      <c r="B245" s="78"/>
      <c r="C245" s="80"/>
      <c r="D245" s="79"/>
      <c r="E245" s="80"/>
      <c r="F245" s="79"/>
      <c r="G245" s="25" t="str">
        <f t="shared" si="10"/>
        <v/>
      </c>
      <c r="H245" s="88"/>
      <c r="I245" s="93"/>
      <c r="J245" s="97"/>
      <c r="K245" s="88"/>
      <c r="L245" s="25" t="str">
        <f>IF($D245="","",SUMIFS($H$4:$H245,$D$4:$D245,$D245)+SUMIFS($I$4:$I245,$D$4:$D245,$D245)-SUMIFS($J$4:$J245,$D$4:$D245,$D245)-SUMIFS($K$4:$K245,$D$4:$D245,$D245))</f>
        <v/>
      </c>
      <c r="M245" s="80"/>
      <c r="N245" s="80"/>
      <c r="O245" s="94"/>
      <c r="P245" s="26" t="str">
        <f t="shared" si="11"/>
        <v/>
      </c>
      <c r="Q245" s="80"/>
      <c r="R245" s="80"/>
      <c r="S245" s="80"/>
      <c r="T245" s="82"/>
      <c r="U245" s="80"/>
      <c r="V245" s="80"/>
      <c r="W245" s="80"/>
    </row>
    <row r="246" ht="18" customHeight="1" spans="1:23">
      <c r="A246" s="87" t="str">
        <f t="shared" si="9"/>
        <v/>
      </c>
      <c r="B246" s="78"/>
      <c r="C246" s="80"/>
      <c r="D246" s="79"/>
      <c r="E246" s="80"/>
      <c r="F246" s="79"/>
      <c r="G246" s="25" t="str">
        <f t="shared" si="10"/>
        <v/>
      </c>
      <c r="H246" s="88"/>
      <c r="I246" s="93"/>
      <c r="J246" s="97"/>
      <c r="K246" s="88"/>
      <c r="L246" s="25" t="str">
        <f>IF($D246="","",SUMIFS($H$4:$H246,$D$4:$D246,$D246)+SUMIFS($I$4:$I246,$D$4:$D246,$D246)-SUMIFS($J$4:$J246,$D$4:$D246,$D246)-SUMIFS($K$4:$K246,$D$4:$D246,$D246))</f>
        <v/>
      </c>
      <c r="M246" s="80"/>
      <c r="N246" s="80"/>
      <c r="O246" s="94"/>
      <c r="P246" s="26" t="str">
        <f t="shared" si="11"/>
        <v/>
      </c>
      <c r="Q246" s="80"/>
      <c r="R246" s="80"/>
      <c r="S246" s="80"/>
      <c r="T246" s="82"/>
      <c r="U246" s="80"/>
      <c r="V246" s="80"/>
      <c r="W246" s="80"/>
    </row>
    <row r="247" ht="18" customHeight="1" spans="1:23">
      <c r="A247" s="87" t="str">
        <f t="shared" si="9"/>
        <v/>
      </c>
      <c r="B247" s="78"/>
      <c r="C247" s="80"/>
      <c r="D247" s="79"/>
      <c r="E247" s="80"/>
      <c r="F247" s="79"/>
      <c r="G247" s="25" t="str">
        <f t="shared" si="10"/>
        <v/>
      </c>
      <c r="H247" s="88"/>
      <c r="I247" s="93"/>
      <c r="J247" s="97"/>
      <c r="K247" s="88"/>
      <c r="L247" s="25" t="str">
        <f>IF($D247="","",SUMIFS($H$4:$H247,$D$4:$D247,$D247)+SUMIFS($I$4:$I247,$D$4:$D247,$D247)-SUMIFS($J$4:$J247,$D$4:$D247,$D247)-SUMIFS($K$4:$K247,$D$4:$D247,$D247))</f>
        <v/>
      </c>
      <c r="M247" s="80"/>
      <c r="N247" s="80"/>
      <c r="O247" s="94"/>
      <c r="P247" s="26" t="str">
        <f t="shared" si="11"/>
        <v/>
      </c>
      <c r="Q247" s="80"/>
      <c r="R247" s="80"/>
      <c r="S247" s="80"/>
      <c r="T247" s="82"/>
      <c r="U247" s="80"/>
      <c r="V247" s="80"/>
      <c r="W247" s="80"/>
    </row>
    <row r="248" ht="18" customHeight="1" spans="1:23">
      <c r="A248" s="87" t="str">
        <f t="shared" si="9"/>
        <v/>
      </c>
      <c r="B248" s="78"/>
      <c r="C248" s="80"/>
      <c r="D248" s="79"/>
      <c r="E248" s="80"/>
      <c r="F248" s="79"/>
      <c r="G248" s="25" t="str">
        <f t="shared" si="10"/>
        <v/>
      </c>
      <c r="H248" s="88"/>
      <c r="I248" s="93"/>
      <c r="J248" s="97"/>
      <c r="K248" s="88"/>
      <c r="L248" s="25" t="str">
        <f>IF($D248="","",SUMIFS($H$4:$H248,$D$4:$D248,$D248)+SUMIFS($I$4:$I248,$D$4:$D248,$D248)-SUMIFS($J$4:$J248,$D$4:$D248,$D248)-SUMIFS($K$4:$K248,$D$4:$D248,$D248))</f>
        <v/>
      </c>
      <c r="M248" s="80"/>
      <c r="N248" s="80"/>
      <c r="O248" s="94"/>
      <c r="P248" s="26" t="str">
        <f t="shared" si="11"/>
        <v/>
      </c>
      <c r="Q248" s="80"/>
      <c r="R248" s="80"/>
      <c r="S248" s="80"/>
      <c r="T248" s="82"/>
      <c r="U248" s="80"/>
      <c r="V248" s="80"/>
      <c r="W248" s="80"/>
    </row>
    <row r="249" ht="18" customHeight="1" spans="1:23">
      <c r="A249" s="87" t="str">
        <f t="shared" si="9"/>
        <v/>
      </c>
      <c r="B249" s="78"/>
      <c r="C249" s="80"/>
      <c r="D249" s="79"/>
      <c r="E249" s="80"/>
      <c r="F249" s="79"/>
      <c r="G249" s="25" t="str">
        <f t="shared" si="10"/>
        <v/>
      </c>
      <c r="H249" s="88"/>
      <c r="I249" s="93"/>
      <c r="J249" s="97"/>
      <c r="K249" s="88"/>
      <c r="L249" s="25" t="str">
        <f>IF($D249="","",SUMIFS($H$4:$H249,$D$4:$D249,$D249)+SUMIFS($I$4:$I249,$D$4:$D249,$D249)-SUMIFS($J$4:$J249,$D$4:$D249,$D249)-SUMIFS($K$4:$K249,$D$4:$D249,$D249))</f>
        <v/>
      </c>
      <c r="M249" s="80"/>
      <c r="N249" s="80"/>
      <c r="O249" s="94"/>
      <c r="P249" s="26" t="str">
        <f t="shared" si="11"/>
        <v/>
      </c>
      <c r="Q249" s="80"/>
      <c r="R249" s="80"/>
      <c r="S249" s="80"/>
      <c r="T249" s="82"/>
      <c r="U249" s="80"/>
      <c r="V249" s="80"/>
      <c r="W249" s="80"/>
    </row>
    <row r="250" ht="18" customHeight="1" spans="1:23">
      <c r="A250" s="87" t="str">
        <f t="shared" si="9"/>
        <v/>
      </c>
      <c r="B250" s="78"/>
      <c r="C250" s="80"/>
      <c r="D250" s="79"/>
      <c r="E250" s="80"/>
      <c r="F250" s="79"/>
      <c r="G250" s="25" t="str">
        <f t="shared" si="10"/>
        <v/>
      </c>
      <c r="H250" s="88"/>
      <c r="I250" s="93"/>
      <c r="J250" s="97"/>
      <c r="K250" s="88"/>
      <c r="L250" s="25" t="str">
        <f>IF($D250="","",SUMIFS($H$4:$H250,$D$4:$D250,$D250)+SUMIFS($I$4:$I250,$D$4:$D250,$D250)-SUMIFS($J$4:$J250,$D$4:$D250,$D250)-SUMIFS($K$4:$K250,$D$4:$D250,$D250))</f>
        <v/>
      </c>
      <c r="M250" s="80"/>
      <c r="N250" s="80"/>
      <c r="O250" s="94"/>
      <c r="P250" s="26" t="str">
        <f t="shared" si="11"/>
        <v/>
      </c>
      <c r="Q250" s="80"/>
      <c r="R250" s="80"/>
      <c r="S250" s="80"/>
      <c r="T250" s="82"/>
      <c r="U250" s="80"/>
      <c r="V250" s="80"/>
      <c r="W250" s="80"/>
    </row>
    <row r="251" ht="18" customHeight="1" spans="1:23">
      <c r="A251" s="87" t="str">
        <f t="shared" si="9"/>
        <v/>
      </c>
      <c r="B251" s="78"/>
      <c r="C251" s="80"/>
      <c r="D251" s="79"/>
      <c r="E251" s="80"/>
      <c r="F251" s="79"/>
      <c r="G251" s="25" t="str">
        <f t="shared" si="10"/>
        <v/>
      </c>
      <c r="H251" s="88"/>
      <c r="I251" s="93"/>
      <c r="J251" s="97"/>
      <c r="K251" s="88"/>
      <c r="L251" s="25" t="str">
        <f>IF($D251="","",SUMIFS($H$4:$H251,$D$4:$D251,$D251)+SUMIFS($I$4:$I251,$D$4:$D251,$D251)-SUMIFS($J$4:$J251,$D$4:$D251,$D251)-SUMIFS($K$4:$K251,$D$4:$D251,$D251))</f>
        <v/>
      </c>
      <c r="M251" s="80"/>
      <c r="N251" s="80"/>
      <c r="O251" s="94"/>
      <c r="P251" s="26" t="str">
        <f t="shared" si="11"/>
        <v/>
      </c>
      <c r="Q251" s="80"/>
      <c r="R251" s="80"/>
      <c r="S251" s="80"/>
      <c r="T251" s="82"/>
      <c r="U251" s="80"/>
      <c r="V251" s="80"/>
      <c r="W251" s="80"/>
    </row>
    <row r="252" ht="18" customHeight="1" spans="1:23">
      <c r="A252" s="87" t="str">
        <f t="shared" si="9"/>
        <v/>
      </c>
      <c r="B252" s="78"/>
      <c r="C252" s="80"/>
      <c r="D252" s="79"/>
      <c r="E252" s="80"/>
      <c r="F252" s="79"/>
      <c r="G252" s="25" t="str">
        <f t="shared" si="10"/>
        <v/>
      </c>
      <c r="H252" s="88"/>
      <c r="I252" s="93"/>
      <c r="J252" s="97"/>
      <c r="K252" s="88"/>
      <c r="L252" s="25" t="str">
        <f>IF($D252="","",SUMIFS($H$4:$H252,$D$4:$D252,$D252)+SUMIFS($I$4:$I252,$D$4:$D252,$D252)-SUMIFS($J$4:$J252,$D$4:$D252,$D252)-SUMIFS($K$4:$K252,$D$4:$D252,$D252))</f>
        <v/>
      </c>
      <c r="M252" s="80"/>
      <c r="N252" s="80"/>
      <c r="O252" s="94"/>
      <c r="P252" s="26" t="str">
        <f t="shared" si="11"/>
        <v/>
      </c>
      <c r="Q252" s="80"/>
      <c r="R252" s="80"/>
      <c r="S252" s="80"/>
      <c r="T252" s="82"/>
      <c r="U252" s="80"/>
      <c r="V252" s="80"/>
      <c r="W252" s="80"/>
    </row>
    <row r="253" ht="18" customHeight="1" spans="1:23">
      <c r="A253" s="87" t="str">
        <f t="shared" si="9"/>
        <v/>
      </c>
      <c r="B253" s="78"/>
      <c r="C253" s="80"/>
      <c r="D253" s="79"/>
      <c r="E253" s="80"/>
      <c r="F253" s="79"/>
      <c r="G253" s="25" t="str">
        <f t="shared" si="10"/>
        <v/>
      </c>
      <c r="H253" s="88"/>
      <c r="I253" s="93"/>
      <c r="J253" s="97"/>
      <c r="K253" s="88"/>
      <c r="L253" s="25" t="str">
        <f>IF($D253="","",SUMIFS($H$4:$H253,$D$4:$D253,$D253)+SUMIFS($I$4:$I253,$D$4:$D253,$D253)-SUMIFS($J$4:$J253,$D$4:$D253,$D253)-SUMIFS($K$4:$K253,$D$4:$D253,$D253))</f>
        <v/>
      </c>
      <c r="M253" s="80"/>
      <c r="N253" s="80"/>
      <c r="O253" s="94"/>
      <c r="P253" s="26" t="str">
        <f t="shared" si="11"/>
        <v/>
      </c>
      <c r="Q253" s="80"/>
      <c r="R253" s="80"/>
      <c r="S253" s="80"/>
      <c r="T253" s="82"/>
      <c r="U253" s="80"/>
      <c r="V253" s="80"/>
      <c r="W253" s="80"/>
    </row>
    <row r="254" ht="18" customHeight="1" spans="1:23">
      <c r="A254" s="87" t="str">
        <f t="shared" si="9"/>
        <v/>
      </c>
      <c r="B254" s="78"/>
      <c r="C254" s="80"/>
      <c r="D254" s="79"/>
      <c r="E254" s="80"/>
      <c r="F254" s="79"/>
      <c r="G254" s="25" t="str">
        <f t="shared" si="10"/>
        <v/>
      </c>
      <c r="H254" s="88"/>
      <c r="I254" s="93"/>
      <c r="J254" s="97"/>
      <c r="K254" s="88"/>
      <c r="L254" s="25" t="str">
        <f>IF($D254="","",SUMIFS($H$4:$H254,$D$4:$D254,$D254)+SUMIFS($I$4:$I254,$D$4:$D254,$D254)-SUMIFS($J$4:$J254,$D$4:$D254,$D254)-SUMIFS($K$4:$K254,$D$4:$D254,$D254))</f>
        <v/>
      </c>
      <c r="M254" s="80"/>
      <c r="N254" s="80"/>
      <c r="O254" s="94"/>
      <c r="P254" s="26" t="str">
        <f t="shared" si="11"/>
        <v/>
      </c>
      <c r="Q254" s="80"/>
      <c r="R254" s="80"/>
      <c r="S254" s="80"/>
      <c r="T254" s="82"/>
      <c r="U254" s="80"/>
      <c r="V254" s="80"/>
      <c r="W254" s="80"/>
    </row>
    <row r="255" ht="18" customHeight="1" spans="1:23">
      <c r="A255" s="87" t="str">
        <f t="shared" si="9"/>
        <v/>
      </c>
      <c r="B255" s="78"/>
      <c r="C255" s="80"/>
      <c r="D255" s="79"/>
      <c r="E255" s="80"/>
      <c r="F255" s="79"/>
      <c r="G255" s="25" t="str">
        <f t="shared" si="10"/>
        <v/>
      </c>
      <c r="H255" s="88"/>
      <c r="I255" s="93"/>
      <c r="J255" s="97"/>
      <c r="K255" s="88"/>
      <c r="L255" s="25" t="str">
        <f>IF($D255="","",SUMIFS($H$4:$H255,$D$4:$D255,$D255)+SUMIFS($I$4:$I255,$D$4:$D255,$D255)-SUMIFS($J$4:$J255,$D$4:$D255,$D255)-SUMIFS($K$4:$K255,$D$4:$D255,$D255))</f>
        <v/>
      </c>
      <c r="M255" s="80"/>
      <c r="N255" s="80"/>
      <c r="O255" s="94"/>
      <c r="P255" s="26" t="str">
        <f t="shared" si="11"/>
        <v/>
      </c>
      <c r="Q255" s="80"/>
      <c r="R255" s="80"/>
      <c r="S255" s="80"/>
      <c r="T255" s="82"/>
      <c r="U255" s="80"/>
      <c r="V255" s="80"/>
      <c r="W255" s="80"/>
    </row>
    <row r="256" ht="18" customHeight="1" spans="1:23">
      <c r="A256" s="87" t="str">
        <f t="shared" si="9"/>
        <v/>
      </c>
      <c r="B256" s="78"/>
      <c r="C256" s="80"/>
      <c r="D256" s="79"/>
      <c r="E256" s="80"/>
      <c r="F256" s="79"/>
      <c r="G256" s="25" t="str">
        <f t="shared" si="10"/>
        <v/>
      </c>
      <c r="H256" s="88"/>
      <c r="I256" s="93"/>
      <c r="J256" s="97"/>
      <c r="K256" s="88"/>
      <c r="L256" s="25" t="str">
        <f>IF($D256="","",SUMIFS($H$4:$H256,$D$4:$D256,$D256)+SUMIFS($I$4:$I256,$D$4:$D256,$D256)-SUMIFS($J$4:$J256,$D$4:$D256,$D256)-SUMIFS($K$4:$K256,$D$4:$D256,$D256))</f>
        <v/>
      </c>
      <c r="M256" s="80"/>
      <c r="N256" s="80"/>
      <c r="O256" s="94"/>
      <c r="P256" s="26" t="str">
        <f t="shared" si="11"/>
        <v/>
      </c>
      <c r="Q256" s="80"/>
      <c r="R256" s="80"/>
      <c r="S256" s="80"/>
      <c r="T256" s="82"/>
      <c r="U256" s="80"/>
      <c r="V256" s="80"/>
      <c r="W256" s="80"/>
    </row>
    <row r="257" ht="18" customHeight="1" spans="1:23">
      <c r="A257" s="87" t="str">
        <f t="shared" si="9"/>
        <v/>
      </c>
      <c r="B257" s="78"/>
      <c r="C257" s="80"/>
      <c r="D257" s="79"/>
      <c r="E257" s="80"/>
      <c r="F257" s="79"/>
      <c r="G257" s="25" t="str">
        <f t="shared" si="10"/>
        <v/>
      </c>
      <c r="H257" s="88"/>
      <c r="I257" s="93"/>
      <c r="J257" s="97"/>
      <c r="K257" s="88"/>
      <c r="L257" s="25" t="str">
        <f>IF($D257="","",SUMIFS($H$4:$H257,$D$4:$D257,$D257)+SUMIFS($I$4:$I257,$D$4:$D257,$D257)-SUMIFS($J$4:$J257,$D$4:$D257,$D257)-SUMIFS($K$4:$K257,$D$4:$D257,$D257))</f>
        <v/>
      </c>
      <c r="M257" s="80"/>
      <c r="N257" s="80"/>
      <c r="O257" s="94"/>
      <c r="P257" s="26" t="str">
        <f t="shared" si="11"/>
        <v/>
      </c>
      <c r="Q257" s="80"/>
      <c r="R257" s="80"/>
      <c r="S257" s="80"/>
      <c r="T257" s="82"/>
      <c r="U257" s="80"/>
      <c r="V257" s="80"/>
      <c r="W257" s="80"/>
    </row>
    <row r="258" ht="18" customHeight="1" spans="1:23">
      <c r="A258" s="87" t="str">
        <f t="shared" si="9"/>
        <v/>
      </c>
      <c r="B258" s="78"/>
      <c r="C258" s="80"/>
      <c r="D258" s="79"/>
      <c r="E258" s="80"/>
      <c r="F258" s="79"/>
      <c r="G258" s="25" t="str">
        <f t="shared" si="10"/>
        <v/>
      </c>
      <c r="H258" s="88"/>
      <c r="I258" s="93"/>
      <c r="J258" s="97"/>
      <c r="K258" s="88"/>
      <c r="L258" s="25" t="str">
        <f>IF($D258="","",SUMIFS($H$4:$H258,$D$4:$D258,$D258)+SUMIFS($I$4:$I258,$D$4:$D258,$D258)-SUMIFS($J$4:$J258,$D$4:$D258,$D258)-SUMIFS($K$4:$K258,$D$4:$D258,$D258))</f>
        <v/>
      </c>
      <c r="M258" s="80"/>
      <c r="N258" s="80"/>
      <c r="O258" s="94"/>
      <c r="P258" s="26" t="str">
        <f t="shared" si="11"/>
        <v/>
      </c>
      <c r="Q258" s="80"/>
      <c r="R258" s="80"/>
      <c r="S258" s="80"/>
      <c r="T258" s="82"/>
      <c r="U258" s="80"/>
      <c r="V258" s="80"/>
      <c r="W258" s="80"/>
    </row>
    <row r="259" ht="18" customHeight="1" spans="1:23">
      <c r="A259" s="87" t="str">
        <f t="shared" si="9"/>
        <v/>
      </c>
      <c r="B259" s="78"/>
      <c r="C259" s="80"/>
      <c r="D259" s="79"/>
      <c r="E259" s="80"/>
      <c r="F259" s="79"/>
      <c r="G259" s="25" t="str">
        <f t="shared" si="10"/>
        <v/>
      </c>
      <c r="H259" s="88"/>
      <c r="I259" s="93"/>
      <c r="J259" s="97"/>
      <c r="K259" s="88"/>
      <c r="L259" s="25" t="str">
        <f>IF($D259="","",SUMIFS($H$4:$H259,$D$4:$D259,$D259)+SUMIFS($I$4:$I259,$D$4:$D259,$D259)-SUMIFS($J$4:$J259,$D$4:$D259,$D259)-SUMIFS($K$4:$K259,$D$4:$D259,$D259))</f>
        <v/>
      </c>
      <c r="M259" s="80"/>
      <c r="N259" s="80"/>
      <c r="O259" s="94"/>
      <c r="P259" s="26" t="str">
        <f t="shared" si="11"/>
        <v/>
      </c>
      <c r="Q259" s="80"/>
      <c r="R259" s="80"/>
      <c r="S259" s="80"/>
      <c r="T259" s="82"/>
      <c r="U259" s="80"/>
      <c r="V259" s="80"/>
      <c r="W259" s="80"/>
    </row>
    <row r="260" ht="18" customHeight="1" spans="1:23">
      <c r="A260" s="87" t="str">
        <f t="shared" si="9"/>
        <v/>
      </c>
      <c r="B260" s="78"/>
      <c r="C260" s="80"/>
      <c r="D260" s="79"/>
      <c r="E260" s="80"/>
      <c r="F260" s="79"/>
      <c r="G260" s="25" t="str">
        <f t="shared" si="10"/>
        <v/>
      </c>
      <c r="H260" s="88"/>
      <c r="I260" s="93"/>
      <c r="J260" s="97"/>
      <c r="K260" s="88"/>
      <c r="L260" s="25" t="str">
        <f>IF($D260="","",SUMIFS($H$4:$H260,$D$4:$D260,$D260)+SUMIFS($I$4:$I260,$D$4:$D260,$D260)-SUMIFS($J$4:$J260,$D$4:$D260,$D260)-SUMIFS($K$4:$K260,$D$4:$D260,$D260))</f>
        <v/>
      </c>
      <c r="M260" s="80"/>
      <c r="N260" s="80"/>
      <c r="O260" s="94"/>
      <c r="P260" s="26" t="str">
        <f t="shared" si="11"/>
        <v/>
      </c>
      <c r="Q260" s="80"/>
      <c r="R260" s="80"/>
      <c r="S260" s="80"/>
      <c r="T260" s="82"/>
      <c r="U260" s="80"/>
      <c r="V260" s="80"/>
      <c r="W260" s="80"/>
    </row>
    <row r="261" ht="18" customHeight="1" spans="1:23">
      <c r="A261" s="87" t="str">
        <f t="shared" ref="A261:A324" si="12">IF($D261="","",ROW()-3)</f>
        <v/>
      </c>
      <c r="B261" s="78"/>
      <c r="C261" s="80"/>
      <c r="D261" s="79"/>
      <c r="E261" s="80"/>
      <c r="F261" s="79"/>
      <c r="G261" s="25" t="str">
        <f t="shared" ref="G261:G324" si="13">IF($D261="","",N($L261)-N($H261)-N($I261)+N($J261)+N($K261))</f>
        <v/>
      </c>
      <c r="H261" s="88"/>
      <c r="I261" s="93"/>
      <c r="J261" s="97"/>
      <c r="K261" s="88"/>
      <c r="L261" s="25" t="str">
        <f>IF($D261="","",SUMIFS($H$4:$H261,$D$4:$D261,$D261)+SUMIFS($I$4:$I261,$D$4:$D261,$D261)-SUMIFS($J$4:$J261,$D$4:$D261,$D261)-SUMIFS($K$4:$K261,$D$4:$D261,$D261))</f>
        <v/>
      </c>
      <c r="M261" s="80"/>
      <c r="N261" s="80"/>
      <c r="O261" s="94"/>
      <c r="P261" s="26" t="str">
        <f t="shared" ref="P261:P324" si="14">IF($D261="","",ROUND((N($H261)+N($K261))*N($O261),2))</f>
        <v/>
      </c>
      <c r="Q261" s="80"/>
      <c r="R261" s="80"/>
      <c r="S261" s="80"/>
      <c r="T261" s="82"/>
      <c r="U261" s="80"/>
      <c r="V261" s="80"/>
      <c r="W261" s="80"/>
    </row>
    <row r="262" ht="18" customHeight="1" spans="1:23">
      <c r="A262" s="87" t="str">
        <f t="shared" si="12"/>
        <v/>
      </c>
      <c r="B262" s="78"/>
      <c r="C262" s="80"/>
      <c r="D262" s="79"/>
      <c r="E262" s="80"/>
      <c r="F262" s="79"/>
      <c r="G262" s="25" t="str">
        <f t="shared" si="13"/>
        <v/>
      </c>
      <c r="H262" s="88"/>
      <c r="I262" s="93"/>
      <c r="J262" s="97"/>
      <c r="K262" s="88"/>
      <c r="L262" s="25" t="str">
        <f>IF($D262="","",SUMIFS($H$4:$H262,$D$4:$D262,$D262)+SUMIFS($I$4:$I262,$D$4:$D262,$D262)-SUMIFS($J$4:$J262,$D$4:$D262,$D262)-SUMIFS($K$4:$K262,$D$4:$D262,$D262))</f>
        <v/>
      </c>
      <c r="M262" s="80"/>
      <c r="N262" s="80"/>
      <c r="O262" s="94"/>
      <c r="P262" s="26" t="str">
        <f t="shared" si="14"/>
        <v/>
      </c>
      <c r="Q262" s="80"/>
      <c r="R262" s="80"/>
      <c r="S262" s="80"/>
      <c r="T262" s="82"/>
      <c r="U262" s="80"/>
      <c r="V262" s="80"/>
      <c r="W262" s="80"/>
    </row>
    <row r="263" ht="18" customHeight="1" spans="1:23">
      <c r="A263" s="87" t="str">
        <f t="shared" si="12"/>
        <v/>
      </c>
      <c r="B263" s="78"/>
      <c r="C263" s="80"/>
      <c r="D263" s="79"/>
      <c r="E263" s="80"/>
      <c r="F263" s="79"/>
      <c r="G263" s="25" t="str">
        <f t="shared" si="13"/>
        <v/>
      </c>
      <c r="H263" s="88"/>
      <c r="I263" s="93"/>
      <c r="J263" s="97"/>
      <c r="K263" s="88"/>
      <c r="L263" s="25" t="str">
        <f>IF($D263="","",SUMIFS($H$4:$H263,$D$4:$D263,$D263)+SUMIFS($I$4:$I263,$D$4:$D263,$D263)-SUMIFS($J$4:$J263,$D$4:$D263,$D263)-SUMIFS($K$4:$K263,$D$4:$D263,$D263))</f>
        <v/>
      </c>
      <c r="M263" s="80"/>
      <c r="N263" s="80"/>
      <c r="O263" s="94"/>
      <c r="P263" s="26" t="str">
        <f t="shared" si="14"/>
        <v/>
      </c>
      <c r="Q263" s="80"/>
      <c r="R263" s="80"/>
      <c r="S263" s="80"/>
      <c r="T263" s="82"/>
      <c r="U263" s="80"/>
      <c r="V263" s="80"/>
      <c r="W263" s="80"/>
    </row>
    <row r="264" ht="18" customHeight="1" spans="1:23">
      <c r="A264" s="87" t="str">
        <f t="shared" si="12"/>
        <v/>
      </c>
      <c r="B264" s="78"/>
      <c r="C264" s="80"/>
      <c r="D264" s="79"/>
      <c r="E264" s="80"/>
      <c r="F264" s="79"/>
      <c r="G264" s="25" t="str">
        <f t="shared" si="13"/>
        <v/>
      </c>
      <c r="H264" s="88"/>
      <c r="I264" s="93"/>
      <c r="J264" s="97"/>
      <c r="K264" s="88"/>
      <c r="L264" s="25" t="str">
        <f>IF($D264="","",SUMIFS($H$4:$H264,$D$4:$D264,$D264)+SUMIFS($I$4:$I264,$D$4:$D264,$D264)-SUMIFS($J$4:$J264,$D$4:$D264,$D264)-SUMIFS($K$4:$K264,$D$4:$D264,$D264))</f>
        <v/>
      </c>
      <c r="M264" s="80"/>
      <c r="N264" s="80"/>
      <c r="O264" s="94"/>
      <c r="P264" s="26" t="str">
        <f t="shared" si="14"/>
        <v/>
      </c>
      <c r="Q264" s="80"/>
      <c r="R264" s="80"/>
      <c r="S264" s="80"/>
      <c r="T264" s="82"/>
      <c r="U264" s="80"/>
      <c r="V264" s="80"/>
      <c r="W264" s="80"/>
    </row>
    <row r="265" ht="18" customHeight="1" spans="1:23">
      <c r="A265" s="87" t="str">
        <f t="shared" si="12"/>
        <v/>
      </c>
      <c r="B265" s="78"/>
      <c r="C265" s="80"/>
      <c r="D265" s="79"/>
      <c r="E265" s="80"/>
      <c r="F265" s="79"/>
      <c r="G265" s="25" t="str">
        <f t="shared" si="13"/>
        <v/>
      </c>
      <c r="H265" s="88"/>
      <c r="I265" s="93"/>
      <c r="J265" s="97"/>
      <c r="K265" s="88"/>
      <c r="L265" s="25" t="str">
        <f>IF($D265="","",SUMIFS($H$4:$H265,$D$4:$D265,$D265)+SUMIFS($I$4:$I265,$D$4:$D265,$D265)-SUMIFS($J$4:$J265,$D$4:$D265,$D265)-SUMIFS($K$4:$K265,$D$4:$D265,$D265))</f>
        <v/>
      </c>
      <c r="M265" s="80"/>
      <c r="N265" s="80"/>
      <c r="O265" s="94"/>
      <c r="P265" s="26" t="str">
        <f t="shared" si="14"/>
        <v/>
      </c>
      <c r="Q265" s="80"/>
      <c r="R265" s="80"/>
      <c r="S265" s="80"/>
      <c r="T265" s="82"/>
      <c r="U265" s="80"/>
      <c r="V265" s="80"/>
      <c r="W265" s="80"/>
    </row>
    <row r="266" ht="18" customHeight="1" spans="1:23">
      <c r="A266" s="87" t="str">
        <f t="shared" si="12"/>
        <v/>
      </c>
      <c r="B266" s="78"/>
      <c r="C266" s="80"/>
      <c r="D266" s="79"/>
      <c r="E266" s="80"/>
      <c r="F266" s="79"/>
      <c r="G266" s="25" t="str">
        <f t="shared" si="13"/>
        <v/>
      </c>
      <c r="H266" s="88"/>
      <c r="I266" s="93"/>
      <c r="J266" s="97"/>
      <c r="K266" s="88"/>
      <c r="L266" s="25" t="str">
        <f>IF($D266="","",SUMIFS($H$4:$H266,$D$4:$D266,$D266)+SUMIFS($I$4:$I266,$D$4:$D266,$D266)-SUMIFS($J$4:$J266,$D$4:$D266,$D266)-SUMIFS($K$4:$K266,$D$4:$D266,$D266))</f>
        <v/>
      </c>
      <c r="M266" s="80"/>
      <c r="N266" s="80"/>
      <c r="O266" s="94"/>
      <c r="P266" s="26" t="str">
        <f t="shared" si="14"/>
        <v/>
      </c>
      <c r="Q266" s="80"/>
      <c r="R266" s="80"/>
      <c r="S266" s="80"/>
      <c r="T266" s="82"/>
      <c r="U266" s="80"/>
      <c r="V266" s="80"/>
      <c r="W266" s="80"/>
    </row>
    <row r="267" ht="18" customHeight="1" spans="1:23">
      <c r="A267" s="87" t="str">
        <f t="shared" si="12"/>
        <v/>
      </c>
      <c r="B267" s="78"/>
      <c r="C267" s="80"/>
      <c r="D267" s="79"/>
      <c r="E267" s="80"/>
      <c r="F267" s="79"/>
      <c r="G267" s="25" t="str">
        <f t="shared" si="13"/>
        <v/>
      </c>
      <c r="H267" s="88"/>
      <c r="I267" s="93"/>
      <c r="J267" s="97"/>
      <c r="K267" s="88"/>
      <c r="L267" s="25" t="str">
        <f>IF($D267="","",SUMIFS($H$4:$H267,$D$4:$D267,$D267)+SUMIFS($I$4:$I267,$D$4:$D267,$D267)-SUMIFS($J$4:$J267,$D$4:$D267,$D267)-SUMIFS($K$4:$K267,$D$4:$D267,$D267))</f>
        <v/>
      </c>
      <c r="M267" s="80"/>
      <c r="N267" s="80"/>
      <c r="O267" s="94"/>
      <c r="P267" s="26" t="str">
        <f t="shared" si="14"/>
        <v/>
      </c>
      <c r="Q267" s="80"/>
      <c r="R267" s="80"/>
      <c r="S267" s="80"/>
      <c r="T267" s="82"/>
      <c r="U267" s="80"/>
      <c r="V267" s="80"/>
      <c r="W267" s="80"/>
    </row>
    <row r="268" ht="18" customHeight="1" spans="1:23">
      <c r="A268" s="87" t="str">
        <f t="shared" si="12"/>
        <v/>
      </c>
      <c r="B268" s="78"/>
      <c r="C268" s="80"/>
      <c r="D268" s="79"/>
      <c r="E268" s="80"/>
      <c r="F268" s="79"/>
      <c r="G268" s="25" t="str">
        <f t="shared" si="13"/>
        <v/>
      </c>
      <c r="H268" s="88"/>
      <c r="I268" s="93"/>
      <c r="J268" s="97"/>
      <c r="K268" s="88"/>
      <c r="L268" s="25" t="str">
        <f>IF($D268="","",SUMIFS($H$4:$H268,$D$4:$D268,$D268)+SUMIFS($I$4:$I268,$D$4:$D268,$D268)-SUMIFS($J$4:$J268,$D$4:$D268,$D268)-SUMIFS($K$4:$K268,$D$4:$D268,$D268))</f>
        <v/>
      </c>
      <c r="M268" s="80"/>
      <c r="N268" s="80"/>
      <c r="O268" s="94"/>
      <c r="P268" s="26" t="str">
        <f t="shared" si="14"/>
        <v/>
      </c>
      <c r="Q268" s="80"/>
      <c r="R268" s="80"/>
      <c r="S268" s="80"/>
      <c r="T268" s="82"/>
      <c r="U268" s="80"/>
      <c r="V268" s="80"/>
      <c r="W268" s="80"/>
    </row>
    <row r="269" ht="18" customHeight="1" spans="1:23">
      <c r="A269" s="87" t="str">
        <f t="shared" si="12"/>
        <v/>
      </c>
      <c r="B269" s="78"/>
      <c r="C269" s="80"/>
      <c r="D269" s="79"/>
      <c r="E269" s="80"/>
      <c r="F269" s="79"/>
      <c r="G269" s="25" t="str">
        <f t="shared" si="13"/>
        <v/>
      </c>
      <c r="H269" s="88"/>
      <c r="I269" s="93"/>
      <c r="J269" s="97"/>
      <c r="K269" s="88"/>
      <c r="L269" s="25" t="str">
        <f>IF($D269="","",SUMIFS($H$4:$H269,$D$4:$D269,$D269)+SUMIFS($I$4:$I269,$D$4:$D269,$D269)-SUMIFS($J$4:$J269,$D$4:$D269,$D269)-SUMIFS($K$4:$K269,$D$4:$D269,$D269))</f>
        <v/>
      </c>
      <c r="M269" s="80"/>
      <c r="N269" s="80"/>
      <c r="O269" s="94"/>
      <c r="P269" s="26" t="str">
        <f t="shared" si="14"/>
        <v/>
      </c>
      <c r="Q269" s="80"/>
      <c r="R269" s="80"/>
      <c r="S269" s="80"/>
      <c r="T269" s="82"/>
      <c r="U269" s="80"/>
      <c r="V269" s="80"/>
      <c r="W269" s="80"/>
    </row>
    <row r="270" ht="18" customHeight="1" spans="1:23">
      <c r="A270" s="87" t="str">
        <f t="shared" si="12"/>
        <v/>
      </c>
      <c r="B270" s="78"/>
      <c r="C270" s="80"/>
      <c r="D270" s="79"/>
      <c r="E270" s="80"/>
      <c r="F270" s="79"/>
      <c r="G270" s="25" t="str">
        <f t="shared" si="13"/>
        <v/>
      </c>
      <c r="H270" s="88"/>
      <c r="I270" s="93"/>
      <c r="J270" s="97"/>
      <c r="K270" s="88"/>
      <c r="L270" s="25" t="str">
        <f>IF($D270="","",SUMIFS($H$4:$H270,$D$4:$D270,$D270)+SUMIFS($I$4:$I270,$D$4:$D270,$D270)-SUMIFS($J$4:$J270,$D$4:$D270,$D270)-SUMIFS($K$4:$K270,$D$4:$D270,$D270))</f>
        <v/>
      </c>
      <c r="M270" s="80"/>
      <c r="N270" s="80"/>
      <c r="O270" s="94"/>
      <c r="P270" s="26" t="str">
        <f t="shared" si="14"/>
        <v/>
      </c>
      <c r="Q270" s="80"/>
      <c r="R270" s="80"/>
      <c r="S270" s="80"/>
      <c r="T270" s="82"/>
      <c r="U270" s="80"/>
      <c r="V270" s="80"/>
      <c r="W270" s="80"/>
    </row>
    <row r="271" ht="18" customHeight="1" spans="1:23">
      <c r="A271" s="87" t="str">
        <f t="shared" si="12"/>
        <v/>
      </c>
      <c r="B271" s="78"/>
      <c r="C271" s="80"/>
      <c r="D271" s="79"/>
      <c r="E271" s="80"/>
      <c r="F271" s="79"/>
      <c r="G271" s="25" t="str">
        <f t="shared" si="13"/>
        <v/>
      </c>
      <c r="H271" s="88"/>
      <c r="I271" s="93"/>
      <c r="J271" s="97"/>
      <c r="K271" s="88"/>
      <c r="L271" s="25" t="str">
        <f>IF($D271="","",SUMIFS($H$4:$H271,$D$4:$D271,$D271)+SUMIFS($I$4:$I271,$D$4:$D271,$D271)-SUMIFS($J$4:$J271,$D$4:$D271,$D271)-SUMIFS($K$4:$K271,$D$4:$D271,$D271))</f>
        <v/>
      </c>
      <c r="M271" s="80"/>
      <c r="N271" s="80"/>
      <c r="O271" s="94"/>
      <c r="P271" s="26" t="str">
        <f t="shared" si="14"/>
        <v/>
      </c>
      <c r="Q271" s="80"/>
      <c r="R271" s="80"/>
      <c r="S271" s="80"/>
      <c r="T271" s="82"/>
      <c r="U271" s="80"/>
      <c r="V271" s="80"/>
      <c r="W271" s="80"/>
    </row>
    <row r="272" ht="18" customHeight="1" spans="1:23">
      <c r="A272" s="87" t="str">
        <f t="shared" si="12"/>
        <v/>
      </c>
      <c r="B272" s="78"/>
      <c r="C272" s="80"/>
      <c r="D272" s="79"/>
      <c r="E272" s="80"/>
      <c r="F272" s="79"/>
      <c r="G272" s="25" t="str">
        <f t="shared" si="13"/>
        <v/>
      </c>
      <c r="H272" s="88"/>
      <c r="I272" s="93"/>
      <c r="J272" s="97"/>
      <c r="K272" s="88"/>
      <c r="L272" s="25" t="str">
        <f>IF($D272="","",SUMIFS($H$4:$H272,$D$4:$D272,$D272)+SUMIFS($I$4:$I272,$D$4:$D272,$D272)-SUMIFS($J$4:$J272,$D$4:$D272,$D272)-SUMIFS($K$4:$K272,$D$4:$D272,$D272))</f>
        <v/>
      </c>
      <c r="M272" s="80"/>
      <c r="N272" s="80"/>
      <c r="O272" s="94"/>
      <c r="P272" s="26" t="str">
        <f t="shared" si="14"/>
        <v/>
      </c>
      <c r="Q272" s="80"/>
      <c r="R272" s="80"/>
      <c r="S272" s="80"/>
      <c r="T272" s="82"/>
      <c r="U272" s="80"/>
      <c r="V272" s="80"/>
      <c r="W272" s="80"/>
    </row>
    <row r="273" ht="18" customHeight="1" spans="1:23">
      <c r="A273" s="87" t="str">
        <f t="shared" si="12"/>
        <v/>
      </c>
      <c r="B273" s="78"/>
      <c r="C273" s="80"/>
      <c r="D273" s="79"/>
      <c r="E273" s="80"/>
      <c r="F273" s="79"/>
      <c r="G273" s="25" t="str">
        <f t="shared" si="13"/>
        <v/>
      </c>
      <c r="H273" s="88"/>
      <c r="I273" s="93"/>
      <c r="J273" s="97"/>
      <c r="K273" s="88"/>
      <c r="L273" s="25" t="str">
        <f>IF($D273="","",SUMIFS($H$4:$H273,$D$4:$D273,$D273)+SUMIFS($I$4:$I273,$D$4:$D273,$D273)-SUMIFS($J$4:$J273,$D$4:$D273,$D273)-SUMIFS($K$4:$K273,$D$4:$D273,$D273))</f>
        <v/>
      </c>
      <c r="M273" s="80"/>
      <c r="N273" s="80"/>
      <c r="O273" s="94"/>
      <c r="P273" s="26" t="str">
        <f t="shared" si="14"/>
        <v/>
      </c>
      <c r="Q273" s="80"/>
      <c r="R273" s="80"/>
      <c r="S273" s="80"/>
      <c r="T273" s="82"/>
      <c r="U273" s="80"/>
      <c r="V273" s="80"/>
      <c r="W273" s="80"/>
    </row>
    <row r="274" ht="18" customHeight="1" spans="1:23">
      <c r="A274" s="87" t="str">
        <f t="shared" si="12"/>
        <v/>
      </c>
      <c r="B274" s="78"/>
      <c r="C274" s="80"/>
      <c r="D274" s="79"/>
      <c r="E274" s="80"/>
      <c r="F274" s="79"/>
      <c r="G274" s="25" t="str">
        <f t="shared" si="13"/>
        <v/>
      </c>
      <c r="H274" s="88"/>
      <c r="I274" s="93"/>
      <c r="J274" s="97"/>
      <c r="K274" s="88"/>
      <c r="L274" s="25" t="str">
        <f>IF($D274="","",SUMIFS($H$4:$H274,$D$4:$D274,$D274)+SUMIFS($I$4:$I274,$D$4:$D274,$D274)-SUMIFS($J$4:$J274,$D$4:$D274,$D274)-SUMIFS($K$4:$K274,$D$4:$D274,$D274))</f>
        <v/>
      </c>
      <c r="M274" s="80"/>
      <c r="N274" s="80"/>
      <c r="O274" s="94"/>
      <c r="P274" s="26" t="str">
        <f t="shared" si="14"/>
        <v/>
      </c>
      <c r="Q274" s="80"/>
      <c r="R274" s="80"/>
      <c r="S274" s="80"/>
      <c r="T274" s="82"/>
      <c r="U274" s="80"/>
      <c r="V274" s="80"/>
      <c r="W274" s="80"/>
    </row>
    <row r="275" ht="18" customHeight="1" spans="1:23">
      <c r="A275" s="87" t="str">
        <f t="shared" si="12"/>
        <v/>
      </c>
      <c r="B275" s="78"/>
      <c r="C275" s="80"/>
      <c r="D275" s="79"/>
      <c r="E275" s="80"/>
      <c r="F275" s="79"/>
      <c r="G275" s="25" t="str">
        <f t="shared" si="13"/>
        <v/>
      </c>
      <c r="H275" s="88"/>
      <c r="I275" s="93"/>
      <c r="J275" s="97"/>
      <c r="K275" s="88"/>
      <c r="L275" s="25" t="str">
        <f>IF($D275="","",SUMIFS($H$4:$H275,$D$4:$D275,$D275)+SUMIFS($I$4:$I275,$D$4:$D275,$D275)-SUMIFS($J$4:$J275,$D$4:$D275,$D275)-SUMIFS($K$4:$K275,$D$4:$D275,$D275))</f>
        <v/>
      </c>
      <c r="M275" s="80"/>
      <c r="N275" s="80"/>
      <c r="O275" s="94"/>
      <c r="P275" s="26" t="str">
        <f t="shared" si="14"/>
        <v/>
      </c>
      <c r="Q275" s="80"/>
      <c r="R275" s="80"/>
      <c r="S275" s="80"/>
      <c r="T275" s="82"/>
      <c r="U275" s="80"/>
      <c r="V275" s="80"/>
      <c r="W275" s="80"/>
    </row>
    <row r="276" ht="18" customHeight="1" spans="1:23">
      <c r="A276" s="87" t="str">
        <f t="shared" si="12"/>
        <v/>
      </c>
      <c r="B276" s="78"/>
      <c r="C276" s="80"/>
      <c r="D276" s="79"/>
      <c r="E276" s="80"/>
      <c r="F276" s="79"/>
      <c r="G276" s="25" t="str">
        <f t="shared" si="13"/>
        <v/>
      </c>
      <c r="H276" s="88"/>
      <c r="I276" s="93"/>
      <c r="J276" s="97"/>
      <c r="K276" s="88"/>
      <c r="L276" s="25" t="str">
        <f>IF($D276="","",SUMIFS($H$4:$H276,$D$4:$D276,$D276)+SUMIFS($I$4:$I276,$D$4:$D276,$D276)-SUMIFS($J$4:$J276,$D$4:$D276,$D276)-SUMIFS($K$4:$K276,$D$4:$D276,$D276))</f>
        <v/>
      </c>
      <c r="M276" s="80"/>
      <c r="N276" s="80"/>
      <c r="O276" s="94"/>
      <c r="P276" s="26" t="str">
        <f t="shared" si="14"/>
        <v/>
      </c>
      <c r="Q276" s="80"/>
      <c r="R276" s="80"/>
      <c r="S276" s="80"/>
      <c r="T276" s="82"/>
      <c r="U276" s="80"/>
      <c r="V276" s="80"/>
      <c r="W276" s="80"/>
    </row>
    <row r="277" ht="18" customHeight="1" spans="1:23">
      <c r="A277" s="87" t="str">
        <f t="shared" si="12"/>
        <v/>
      </c>
      <c r="B277" s="78"/>
      <c r="C277" s="80"/>
      <c r="D277" s="79"/>
      <c r="E277" s="80"/>
      <c r="F277" s="79"/>
      <c r="G277" s="25" t="str">
        <f t="shared" si="13"/>
        <v/>
      </c>
      <c r="H277" s="88"/>
      <c r="I277" s="93"/>
      <c r="J277" s="97"/>
      <c r="K277" s="88"/>
      <c r="L277" s="25" t="str">
        <f>IF($D277="","",SUMIFS($H$4:$H277,$D$4:$D277,$D277)+SUMIFS($I$4:$I277,$D$4:$D277,$D277)-SUMIFS($J$4:$J277,$D$4:$D277,$D277)-SUMIFS($K$4:$K277,$D$4:$D277,$D277))</f>
        <v/>
      </c>
      <c r="M277" s="80"/>
      <c r="N277" s="80"/>
      <c r="O277" s="94"/>
      <c r="P277" s="26" t="str">
        <f t="shared" si="14"/>
        <v/>
      </c>
      <c r="Q277" s="80"/>
      <c r="R277" s="80"/>
      <c r="S277" s="80"/>
      <c r="T277" s="82"/>
      <c r="U277" s="80"/>
      <c r="V277" s="80"/>
      <c r="W277" s="80"/>
    </row>
    <row r="278" ht="18" customHeight="1" spans="1:23">
      <c r="A278" s="87" t="str">
        <f t="shared" si="12"/>
        <v/>
      </c>
      <c r="B278" s="78"/>
      <c r="C278" s="80"/>
      <c r="D278" s="79"/>
      <c r="E278" s="80"/>
      <c r="F278" s="79"/>
      <c r="G278" s="25" t="str">
        <f t="shared" si="13"/>
        <v/>
      </c>
      <c r="H278" s="88"/>
      <c r="I278" s="93"/>
      <c r="J278" s="97"/>
      <c r="K278" s="88"/>
      <c r="L278" s="25" t="str">
        <f>IF($D278="","",SUMIFS($H$4:$H278,$D$4:$D278,$D278)+SUMIFS($I$4:$I278,$D$4:$D278,$D278)-SUMIFS($J$4:$J278,$D$4:$D278,$D278)-SUMIFS($K$4:$K278,$D$4:$D278,$D278))</f>
        <v/>
      </c>
      <c r="M278" s="80"/>
      <c r="N278" s="80"/>
      <c r="O278" s="94"/>
      <c r="P278" s="26" t="str">
        <f t="shared" si="14"/>
        <v/>
      </c>
      <c r="Q278" s="80"/>
      <c r="R278" s="80"/>
      <c r="S278" s="80"/>
      <c r="T278" s="82"/>
      <c r="U278" s="80"/>
      <c r="V278" s="80"/>
      <c r="W278" s="80"/>
    </row>
    <row r="279" ht="18" customHeight="1" spans="1:23">
      <c r="A279" s="87" t="str">
        <f t="shared" si="12"/>
        <v/>
      </c>
      <c r="B279" s="78"/>
      <c r="C279" s="80"/>
      <c r="D279" s="79"/>
      <c r="E279" s="80"/>
      <c r="F279" s="79"/>
      <c r="G279" s="25" t="str">
        <f t="shared" si="13"/>
        <v/>
      </c>
      <c r="H279" s="88"/>
      <c r="I279" s="93"/>
      <c r="J279" s="97"/>
      <c r="K279" s="88"/>
      <c r="L279" s="25" t="str">
        <f>IF($D279="","",SUMIFS($H$4:$H279,$D$4:$D279,$D279)+SUMIFS($I$4:$I279,$D$4:$D279,$D279)-SUMIFS($J$4:$J279,$D$4:$D279,$D279)-SUMIFS($K$4:$K279,$D$4:$D279,$D279))</f>
        <v/>
      </c>
      <c r="M279" s="80"/>
      <c r="N279" s="80"/>
      <c r="O279" s="94"/>
      <c r="P279" s="26" t="str">
        <f t="shared" si="14"/>
        <v/>
      </c>
      <c r="Q279" s="80"/>
      <c r="R279" s="80"/>
      <c r="S279" s="80"/>
      <c r="T279" s="82"/>
      <c r="U279" s="80"/>
      <c r="V279" s="80"/>
      <c r="W279" s="80"/>
    </row>
    <row r="280" ht="18" customHeight="1" spans="1:23">
      <c r="A280" s="87" t="str">
        <f t="shared" si="12"/>
        <v/>
      </c>
      <c r="B280" s="78"/>
      <c r="C280" s="80"/>
      <c r="D280" s="79"/>
      <c r="E280" s="80"/>
      <c r="F280" s="79"/>
      <c r="G280" s="25" t="str">
        <f t="shared" si="13"/>
        <v/>
      </c>
      <c r="H280" s="88"/>
      <c r="I280" s="93"/>
      <c r="J280" s="97"/>
      <c r="K280" s="88"/>
      <c r="L280" s="25" t="str">
        <f>IF($D280="","",SUMIFS($H$4:$H280,$D$4:$D280,$D280)+SUMIFS($I$4:$I280,$D$4:$D280,$D280)-SUMIFS($J$4:$J280,$D$4:$D280,$D280)-SUMIFS($K$4:$K280,$D$4:$D280,$D280))</f>
        <v/>
      </c>
      <c r="M280" s="80"/>
      <c r="N280" s="80"/>
      <c r="O280" s="94"/>
      <c r="P280" s="26" t="str">
        <f t="shared" si="14"/>
        <v/>
      </c>
      <c r="Q280" s="80"/>
      <c r="R280" s="80"/>
      <c r="S280" s="80"/>
      <c r="T280" s="82"/>
      <c r="U280" s="80"/>
      <c r="V280" s="80"/>
      <c r="W280" s="80"/>
    </row>
    <row r="281" ht="18" customHeight="1" spans="1:23">
      <c r="A281" s="87" t="str">
        <f t="shared" si="12"/>
        <v/>
      </c>
      <c r="B281" s="78"/>
      <c r="C281" s="80"/>
      <c r="D281" s="79"/>
      <c r="E281" s="80"/>
      <c r="F281" s="79"/>
      <c r="G281" s="25" t="str">
        <f t="shared" si="13"/>
        <v/>
      </c>
      <c r="H281" s="88"/>
      <c r="I281" s="93"/>
      <c r="J281" s="97"/>
      <c r="K281" s="88"/>
      <c r="L281" s="25" t="str">
        <f>IF($D281="","",SUMIFS($H$4:$H281,$D$4:$D281,$D281)+SUMIFS($I$4:$I281,$D$4:$D281,$D281)-SUMIFS($J$4:$J281,$D$4:$D281,$D281)-SUMIFS($K$4:$K281,$D$4:$D281,$D281))</f>
        <v/>
      </c>
      <c r="M281" s="80"/>
      <c r="N281" s="80"/>
      <c r="O281" s="94"/>
      <c r="P281" s="26" t="str">
        <f t="shared" si="14"/>
        <v/>
      </c>
      <c r="Q281" s="80"/>
      <c r="R281" s="80"/>
      <c r="S281" s="80"/>
      <c r="T281" s="82"/>
      <c r="U281" s="80"/>
      <c r="V281" s="80"/>
      <c r="W281" s="80"/>
    </row>
    <row r="282" ht="18" customHeight="1" spans="1:23">
      <c r="A282" s="87" t="str">
        <f t="shared" si="12"/>
        <v/>
      </c>
      <c r="B282" s="78"/>
      <c r="C282" s="80"/>
      <c r="D282" s="79"/>
      <c r="E282" s="80"/>
      <c r="F282" s="79"/>
      <c r="G282" s="25" t="str">
        <f t="shared" si="13"/>
        <v/>
      </c>
      <c r="H282" s="88"/>
      <c r="I282" s="93"/>
      <c r="J282" s="97"/>
      <c r="K282" s="88"/>
      <c r="L282" s="25" t="str">
        <f>IF($D282="","",SUMIFS($H$4:$H282,$D$4:$D282,$D282)+SUMIFS($I$4:$I282,$D$4:$D282,$D282)-SUMIFS($J$4:$J282,$D$4:$D282,$D282)-SUMIFS($K$4:$K282,$D$4:$D282,$D282))</f>
        <v/>
      </c>
      <c r="M282" s="80"/>
      <c r="N282" s="80"/>
      <c r="O282" s="94"/>
      <c r="P282" s="26" t="str">
        <f t="shared" si="14"/>
        <v/>
      </c>
      <c r="Q282" s="80"/>
      <c r="R282" s="80"/>
      <c r="S282" s="80"/>
      <c r="T282" s="82"/>
      <c r="U282" s="80"/>
      <c r="V282" s="80"/>
      <c r="W282" s="80"/>
    </row>
    <row r="283" ht="18" customHeight="1" spans="1:23">
      <c r="A283" s="87" t="str">
        <f t="shared" si="12"/>
        <v/>
      </c>
      <c r="B283" s="78"/>
      <c r="C283" s="80"/>
      <c r="D283" s="79"/>
      <c r="E283" s="80"/>
      <c r="F283" s="79"/>
      <c r="G283" s="25" t="str">
        <f t="shared" si="13"/>
        <v/>
      </c>
      <c r="H283" s="88"/>
      <c r="I283" s="93"/>
      <c r="J283" s="97"/>
      <c r="K283" s="88"/>
      <c r="L283" s="25" t="str">
        <f>IF($D283="","",SUMIFS($H$4:$H283,$D$4:$D283,$D283)+SUMIFS($I$4:$I283,$D$4:$D283,$D283)-SUMIFS($J$4:$J283,$D$4:$D283,$D283)-SUMIFS($K$4:$K283,$D$4:$D283,$D283))</f>
        <v/>
      </c>
      <c r="M283" s="80"/>
      <c r="N283" s="80"/>
      <c r="O283" s="94"/>
      <c r="P283" s="26" t="str">
        <f t="shared" si="14"/>
        <v/>
      </c>
      <c r="Q283" s="80"/>
      <c r="R283" s="80"/>
      <c r="S283" s="80"/>
      <c r="T283" s="82"/>
      <c r="U283" s="80"/>
      <c r="V283" s="80"/>
      <c r="W283" s="80"/>
    </row>
    <row r="284" ht="18" customHeight="1" spans="1:23">
      <c r="A284" s="87" t="str">
        <f t="shared" si="12"/>
        <v/>
      </c>
      <c r="B284" s="78"/>
      <c r="C284" s="80"/>
      <c r="D284" s="79"/>
      <c r="E284" s="80"/>
      <c r="F284" s="79"/>
      <c r="G284" s="25" t="str">
        <f t="shared" si="13"/>
        <v/>
      </c>
      <c r="H284" s="88"/>
      <c r="I284" s="93"/>
      <c r="J284" s="97"/>
      <c r="K284" s="88"/>
      <c r="L284" s="25" t="str">
        <f>IF($D284="","",SUMIFS($H$4:$H284,$D$4:$D284,$D284)+SUMIFS($I$4:$I284,$D$4:$D284,$D284)-SUMIFS($J$4:$J284,$D$4:$D284,$D284)-SUMIFS($K$4:$K284,$D$4:$D284,$D284))</f>
        <v/>
      </c>
      <c r="M284" s="80"/>
      <c r="N284" s="80"/>
      <c r="O284" s="94"/>
      <c r="P284" s="26" t="str">
        <f t="shared" si="14"/>
        <v/>
      </c>
      <c r="Q284" s="80"/>
      <c r="R284" s="80"/>
      <c r="S284" s="80"/>
      <c r="T284" s="82"/>
      <c r="U284" s="80"/>
      <c r="V284" s="80"/>
      <c r="W284" s="80"/>
    </row>
    <row r="285" ht="18" customHeight="1" spans="1:23">
      <c r="A285" s="87" t="str">
        <f t="shared" si="12"/>
        <v/>
      </c>
      <c r="B285" s="78"/>
      <c r="C285" s="80"/>
      <c r="D285" s="79"/>
      <c r="E285" s="80"/>
      <c r="F285" s="79"/>
      <c r="G285" s="25" t="str">
        <f t="shared" si="13"/>
        <v/>
      </c>
      <c r="H285" s="88"/>
      <c r="I285" s="93"/>
      <c r="J285" s="97"/>
      <c r="K285" s="88"/>
      <c r="L285" s="25" t="str">
        <f>IF($D285="","",SUMIFS($H$4:$H285,$D$4:$D285,$D285)+SUMIFS($I$4:$I285,$D$4:$D285,$D285)-SUMIFS($J$4:$J285,$D$4:$D285,$D285)-SUMIFS($K$4:$K285,$D$4:$D285,$D285))</f>
        <v/>
      </c>
      <c r="M285" s="80"/>
      <c r="N285" s="80"/>
      <c r="O285" s="94"/>
      <c r="P285" s="26" t="str">
        <f t="shared" si="14"/>
        <v/>
      </c>
      <c r="Q285" s="80"/>
      <c r="R285" s="80"/>
      <c r="S285" s="80"/>
      <c r="T285" s="82"/>
      <c r="U285" s="80"/>
      <c r="V285" s="80"/>
      <c r="W285" s="80"/>
    </row>
    <row r="286" ht="18" customHeight="1" spans="1:23">
      <c r="A286" s="87" t="str">
        <f t="shared" si="12"/>
        <v/>
      </c>
      <c r="B286" s="78"/>
      <c r="C286" s="80"/>
      <c r="D286" s="79"/>
      <c r="E286" s="80"/>
      <c r="F286" s="79"/>
      <c r="G286" s="25" t="str">
        <f t="shared" si="13"/>
        <v/>
      </c>
      <c r="H286" s="88"/>
      <c r="I286" s="93"/>
      <c r="J286" s="97"/>
      <c r="K286" s="88"/>
      <c r="L286" s="25" t="str">
        <f>IF($D286="","",SUMIFS($H$4:$H286,$D$4:$D286,$D286)+SUMIFS($I$4:$I286,$D$4:$D286,$D286)-SUMIFS($J$4:$J286,$D$4:$D286,$D286)-SUMIFS($K$4:$K286,$D$4:$D286,$D286))</f>
        <v/>
      </c>
      <c r="M286" s="80"/>
      <c r="N286" s="80"/>
      <c r="O286" s="94"/>
      <c r="P286" s="26" t="str">
        <f t="shared" si="14"/>
        <v/>
      </c>
      <c r="Q286" s="80"/>
      <c r="R286" s="80"/>
      <c r="S286" s="80"/>
      <c r="T286" s="82"/>
      <c r="U286" s="80"/>
      <c r="V286" s="80"/>
      <c r="W286" s="80"/>
    </row>
    <row r="287" ht="18" customHeight="1" spans="1:23">
      <c r="A287" s="87" t="str">
        <f t="shared" si="12"/>
        <v/>
      </c>
      <c r="B287" s="78"/>
      <c r="C287" s="80"/>
      <c r="D287" s="79"/>
      <c r="E287" s="80"/>
      <c r="F287" s="79"/>
      <c r="G287" s="25" t="str">
        <f t="shared" si="13"/>
        <v/>
      </c>
      <c r="H287" s="88"/>
      <c r="I287" s="93"/>
      <c r="J287" s="97"/>
      <c r="K287" s="88"/>
      <c r="L287" s="25" t="str">
        <f>IF($D287="","",SUMIFS($H$4:$H287,$D$4:$D287,$D287)+SUMIFS($I$4:$I287,$D$4:$D287,$D287)-SUMIFS($J$4:$J287,$D$4:$D287,$D287)-SUMIFS($K$4:$K287,$D$4:$D287,$D287))</f>
        <v/>
      </c>
      <c r="M287" s="80"/>
      <c r="N287" s="80"/>
      <c r="O287" s="94"/>
      <c r="P287" s="26" t="str">
        <f t="shared" si="14"/>
        <v/>
      </c>
      <c r="Q287" s="80"/>
      <c r="R287" s="80"/>
      <c r="S287" s="80"/>
      <c r="T287" s="82"/>
      <c r="U287" s="80"/>
      <c r="V287" s="80"/>
      <c r="W287" s="80"/>
    </row>
    <row r="288" ht="18" customHeight="1" spans="1:23">
      <c r="A288" s="87" t="str">
        <f t="shared" si="12"/>
        <v/>
      </c>
      <c r="B288" s="78"/>
      <c r="C288" s="80"/>
      <c r="D288" s="79"/>
      <c r="E288" s="80"/>
      <c r="F288" s="79"/>
      <c r="G288" s="25" t="str">
        <f t="shared" si="13"/>
        <v/>
      </c>
      <c r="H288" s="88"/>
      <c r="I288" s="93"/>
      <c r="J288" s="97"/>
      <c r="K288" s="88"/>
      <c r="L288" s="25" t="str">
        <f>IF($D288="","",SUMIFS($H$4:$H288,$D$4:$D288,$D288)+SUMIFS($I$4:$I288,$D$4:$D288,$D288)-SUMIFS($J$4:$J288,$D$4:$D288,$D288)-SUMIFS($K$4:$K288,$D$4:$D288,$D288))</f>
        <v/>
      </c>
      <c r="M288" s="80"/>
      <c r="N288" s="80"/>
      <c r="O288" s="94"/>
      <c r="P288" s="26" t="str">
        <f t="shared" si="14"/>
        <v/>
      </c>
      <c r="Q288" s="80"/>
      <c r="R288" s="80"/>
      <c r="S288" s="80"/>
      <c r="T288" s="82"/>
      <c r="U288" s="80"/>
      <c r="V288" s="80"/>
      <c r="W288" s="80"/>
    </row>
    <row r="289" ht="18" customHeight="1" spans="1:23">
      <c r="A289" s="87" t="str">
        <f t="shared" si="12"/>
        <v/>
      </c>
      <c r="B289" s="78"/>
      <c r="C289" s="80"/>
      <c r="D289" s="79"/>
      <c r="E289" s="80"/>
      <c r="F289" s="79"/>
      <c r="G289" s="25" t="str">
        <f t="shared" si="13"/>
        <v/>
      </c>
      <c r="H289" s="88"/>
      <c r="I289" s="93"/>
      <c r="J289" s="97"/>
      <c r="K289" s="88"/>
      <c r="L289" s="25" t="str">
        <f>IF($D289="","",SUMIFS($H$4:$H289,$D$4:$D289,$D289)+SUMIFS($I$4:$I289,$D$4:$D289,$D289)-SUMIFS($J$4:$J289,$D$4:$D289,$D289)-SUMIFS($K$4:$K289,$D$4:$D289,$D289))</f>
        <v/>
      </c>
      <c r="M289" s="80"/>
      <c r="N289" s="80"/>
      <c r="O289" s="94"/>
      <c r="P289" s="26" t="str">
        <f t="shared" si="14"/>
        <v/>
      </c>
      <c r="Q289" s="80"/>
      <c r="R289" s="80"/>
      <c r="S289" s="80"/>
      <c r="T289" s="82"/>
      <c r="U289" s="80"/>
      <c r="V289" s="80"/>
      <c r="W289" s="80"/>
    </row>
    <row r="290" ht="18" customHeight="1" spans="1:23">
      <c r="A290" s="87" t="str">
        <f t="shared" si="12"/>
        <v/>
      </c>
      <c r="B290" s="78"/>
      <c r="C290" s="80"/>
      <c r="D290" s="79"/>
      <c r="E290" s="80"/>
      <c r="F290" s="79"/>
      <c r="G290" s="25" t="str">
        <f t="shared" si="13"/>
        <v/>
      </c>
      <c r="H290" s="88"/>
      <c r="I290" s="93"/>
      <c r="J290" s="97"/>
      <c r="K290" s="88"/>
      <c r="L290" s="25" t="str">
        <f>IF($D290="","",SUMIFS($H$4:$H290,$D$4:$D290,$D290)+SUMIFS($I$4:$I290,$D$4:$D290,$D290)-SUMIFS($J$4:$J290,$D$4:$D290,$D290)-SUMIFS($K$4:$K290,$D$4:$D290,$D290))</f>
        <v/>
      </c>
      <c r="M290" s="80"/>
      <c r="N290" s="80"/>
      <c r="O290" s="94"/>
      <c r="P290" s="26" t="str">
        <f t="shared" si="14"/>
        <v/>
      </c>
      <c r="Q290" s="80"/>
      <c r="R290" s="80"/>
      <c r="S290" s="80"/>
      <c r="T290" s="82"/>
      <c r="U290" s="80"/>
      <c r="V290" s="80"/>
      <c r="W290" s="80"/>
    </row>
    <row r="291" ht="18" customHeight="1" spans="1:23">
      <c r="A291" s="87" t="str">
        <f t="shared" si="12"/>
        <v/>
      </c>
      <c r="B291" s="78"/>
      <c r="C291" s="80"/>
      <c r="D291" s="79"/>
      <c r="E291" s="80"/>
      <c r="F291" s="79"/>
      <c r="G291" s="25" t="str">
        <f t="shared" si="13"/>
        <v/>
      </c>
      <c r="H291" s="88"/>
      <c r="I291" s="93"/>
      <c r="J291" s="97"/>
      <c r="K291" s="88"/>
      <c r="L291" s="25" t="str">
        <f>IF($D291="","",SUMIFS($H$4:$H291,$D$4:$D291,$D291)+SUMIFS($I$4:$I291,$D$4:$D291,$D291)-SUMIFS($J$4:$J291,$D$4:$D291,$D291)-SUMIFS($K$4:$K291,$D$4:$D291,$D291))</f>
        <v/>
      </c>
      <c r="M291" s="80"/>
      <c r="N291" s="80"/>
      <c r="O291" s="94"/>
      <c r="P291" s="26" t="str">
        <f t="shared" si="14"/>
        <v/>
      </c>
      <c r="Q291" s="80"/>
      <c r="R291" s="80"/>
      <c r="S291" s="80"/>
      <c r="T291" s="82"/>
      <c r="U291" s="80"/>
      <c r="V291" s="80"/>
      <c r="W291" s="80"/>
    </row>
    <row r="292" ht="18" customHeight="1" spans="1:23">
      <c r="A292" s="87" t="str">
        <f t="shared" si="12"/>
        <v/>
      </c>
      <c r="B292" s="78"/>
      <c r="C292" s="80"/>
      <c r="D292" s="79"/>
      <c r="E292" s="80"/>
      <c r="F292" s="79"/>
      <c r="G292" s="25" t="str">
        <f t="shared" si="13"/>
        <v/>
      </c>
      <c r="H292" s="88"/>
      <c r="I292" s="93"/>
      <c r="J292" s="97"/>
      <c r="K292" s="88"/>
      <c r="L292" s="25" t="str">
        <f>IF($D292="","",SUMIFS($H$4:$H292,$D$4:$D292,$D292)+SUMIFS($I$4:$I292,$D$4:$D292,$D292)-SUMIFS($J$4:$J292,$D$4:$D292,$D292)-SUMIFS($K$4:$K292,$D$4:$D292,$D292))</f>
        <v/>
      </c>
      <c r="M292" s="80"/>
      <c r="N292" s="80"/>
      <c r="O292" s="94"/>
      <c r="P292" s="26" t="str">
        <f t="shared" si="14"/>
        <v/>
      </c>
      <c r="Q292" s="80"/>
      <c r="R292" s="80"/>
      <c r="S292" s="80"/>
      <c r="T292" s="82"/>
      <c r="U292" s="80"/>
      <c r="V292" s="80"/>
      <c r="W292" s="80"/>
    </row>
    <row r="293" ht="18" customHeight="1" spans="1:23">
      <c r="A293" s="87" t="str">
        <f t="shared" si="12"/>
        <v/>
      </c>
      <c r="B293" s="78"/>
      <c r="C293" s="80"/>
      <c r="D293" s="79"/>
      <c r="E293" s="80"/>
      <c r="F293" s="79"/>
      <c r="G293" s="25" t="str">
        <f t="shared" si="13"/>
        <v/>
      </c>
      <c r="H293" s="88"/>
      <c r="I293" s="93"/>
      <c r="J293" s="97"/>
      <c r="K293" s="88"/>
      <c r="L293" s="25" t="str">
        <f>IF($D293="","",SUMIFS($H$4:$H293,$D$4:$D293,$D293)+SUMIFS($I$4:$I293,$D$4:$D293,$D293)-SUMIFS($J$4:$J293,$D$4:$D293,$D293)-SUMIFS($K$4:$K293,$D$4:$D293,$D293))</f>
        <v/>
      </c>
      <c r="M293" s="80"/>
      <c r="N293" s="80"/>
      <c r="O293" s="94"/>
      <c r="P293" s="26" t="str">
        <f t="shared" si="14"/>
        <v/>
      </c>
      <c r="Q293" s="80"/>
      <c r="R293" s="80"/>
      <c r="S293" s="80"/>
      <c r="T293" s="82"/>
      <c r="U293" s="80"/>
      <c r="V293" s="80"/>
      <c r="W293" s="80"/>
    </row>
    <row r="294" ht="18" customHeight="1" spans="1:23">
      <c r="A294" s="87" t="str">
        <f t="shared" si="12"/>
        <v/>
      </c>
      <c r="B294" s="78"/>
      <c r="C294" s="80"/>
      <c r="D294" s="79"/>
      <c r="E294" s="80"/>
      <c r="F294" s="79"/>
      <c r="G294" s="25" t="str">
        <f t="shared" si="13"/>
        <v/>
      </c>
      <c r="H294" s="88"/>
      <c r="I294" s="93"/>
      <c r="J294" s="97"/>
      <c r="K294" s="88"/>
      <c r="L294" s="25" t="str">
        <f>IF($D294="","",SUMIFS($H$4:$H294,$D$4:$D294,$D294)+SUMIFS($I$4:$I294,$D$4:$D294,$D294)-SUMIFS($J$4:$J294,$D$4:$D294,$D294)-SUMIFS($K$4:$K294,$D$4:$D294,$D294))</f>
        <v/>
      </c>
      <c r="M294" s="80"/>
      <c r="N294" s="80"/>
      <c r="O294" s="94"/>
      <c r="P294" s="26" t="str">
        <f t="shared" si="14"/>
        <v/>
      </c>
      <c r="Q294" s="80"/>
      <c r="R294" s="80"/>
      <c r="S294" s="80"/>
      <c r="T294" s="82"/>
      <c r="U294" s="80"/>
      <c r="V294" s="80"/>
      <c r="W294" s="80"/>
    </row>
    <row r="295" ht="18" customHeight="1" spans="1:23">
      <c r="A295" s="87" t="str">
        <f t="shared" si="12"/>
        <v/>
      </c>
      <c r="B295" s="78"/>
      <c r="C295" s="80"/>
      <c r="D295" s="79"/>
      <c r="E295" s="80"/>
      <c r="F295" s="79"/>
      <c r="G295" s="25" t="str">
        <f t="shared" si="13"/>
        <v/>
      </c>
      <c r="H295" s="88"/>
      <c r="I295" s="93"/>
      <c r="J295" s="97"/>
      <c r="K295" s="88"/>
      <c r="L295" s="25" t="str">
        <f>IF($D295="","",SUMIFS($H$4:$H295,$D$4:$D295,$D295)+SUMIFS($I$4:$I295,$D$4:$D295,$D295)-SUMIFS($J$4:$J295,$D$4:$D295,$D295)-SUMIFS($K$4:$K295,$D$4:$D295,$D295))</f>
        <v/>
      </c>
      <c r="M295" s="80"/>
      <c r="N295" s="80"/>
      <c r="O295" s="94"/>
      <c r="P295" s="26" t="str">
        <f t="shared" si="14"/>
        <v/>
      </c>
      <c r="Q295" s="80"/>
      <c r="R295" s="80"/>
      <c r="S295" s="80"/>
      <c r="T295" s="82"/>
      <c r="U295" s="80"/>
      <c r="V295" s="80"/>
      <c r="W295" s="80"/>
    </row>
    <row r="296" ht="18" customHeight="1" spans="1:23">
      <c r="A296" s="87" t="str">
        <f t="shared" si="12"/>
        <v/>
      </c>
      <c r="B296" s="78"/>
      <c r="C296" s="80"/>
      <c r="D296" s="79"/>
      <c r="E296" s="80"/>
      <c r="F296" s="79"/>
      <c r="G296" s="25" t="str">
        <f t="shared" si="13"/>
        <v/>
      </c>
      <c r="H296" s="88"/>
      <c r="I296" s="93"/>
      <c r="J296" s="97"/>
      <c r="K296" s="88"/>
      <c r="L296" s="25" t="str">
        <f>IF($D296="","",SUMIFS($H$4:$H296,$D$4:$D296,$D296)+SUMIFS($I$4:$I296,$D$4:$D296,$D296)-SUMIFS($J$4:$J296,$D$4:$D296,$D296)-SUMIFS($K$4:$K296,$D$4:$D296,$D296))</f>
        <v/>
      </c>
      <c r="M296" s="80"/>
      <c r="N296" s="80"/>
      <c r="O296" s="94"/>
      <c r="P296" s="26" t="str">
        <f t="shared" si="14"/>
        <v/>
      </c>
      <c r="Q296" s="80"/>
      <c r="R296" s="80"/>
      <c r="S296" s="80"/>
      <c r="T296" s="82"/>
      <c r="U296" s="80"/>
      <c r="V296" s="80"/>
      <c r="W296" s="80"/>
    </row>
    <row r="297" ht="18" customHeight="1" spans="1:23">
      <c r="A297" s="87" t="str">
        <f t="shared" si="12"/>
        <v/>
      </c>
      <c r="B297" s="78"/>
      <c r="C297" s="80"/>
      <c r="D297" s="79"/>
      <c r="E297" s="80"/>
      <c r="F297" s="79"/>
      <c r="G297" s="25" t="str">
        <f t="shared" si="13"/>
        <v/>
      </c>
      <c r="H297" s="88"/>
      <c r="I297" s="93"/>
      <c r="J297" s="97"/>
      <c r="K297" s="88"/>
      <c r="L297" s="25" t="str">
        <f>IF($D297="","",SUMIFS($H$4:$H297,$D$4:$D297,$D297)+SUMIFS($I$4:$I297,$D$4:$D297,$D297)-SUMIFS($J$4:$J297,$D$4:$D297,$D297)-SUMIFS($K$4:$K297,$D$4:$D297,$D297))</f>
        <v/>
      </c>
      <c r="M297" s="80"/>
      <c r="N297" s="80"/>
      <c r="O297" s="94"/>
      <c r="P297" s="26" t="str">
        <f t="shared" si="14"/>
        <v/>
      </c>
      <c r="Q297" s="80"/>
      <c r="R297" s="80"/>
      <c r="S297" s="80"/>
      <c r="T297" s="82"/>
      <c r="U297" s="80"/>
      <c r="V297" s="80"/>
      <c r="W297" s="80"/>
    </row>
    <row r="298" ht="18" customHeight="1" spans="1:23">
      <c r="A298" s="87" t="str">
        <f t="shared" si="12"/>
        <v/>
      </c>
      <c r="B298" s="78"/>
      <c r="C298" s="80"/>
      <c r="D298" s="79"/>
      <c r="E298" s="80"/>
      <c r="F298" s="79"/>
      <c r="G298" s="25" t="str">
        <f t="shared" si="13"/>
        <v/>
      </c>
      <c r="H298" s="88"/>
      <c r="I298" s="93"/>
      <c r="J298" s="97"/>
      <c r="K298" s="88"/>
      <c r="L298" s="25" t="str">
        <f>IF($D298="","",SUMIFS($H$4:$H298,$D$4:$D298,$D298)+SUMIFS($I$4:$I298,$D$4:$D298,$D298)-SUMIFS($J$4:$J298,$D$4:$D298,$D298)-SUMIFS($K$4:$K298,$D$4:$D298,$D298))</f>
        <v/>
      </c>
      <c r="M298" s="80"/>
      <c r="N298" s="80"/>
      <c r="O298" s="94"/>
      <c r="P298" s="26" t="str">
        <f t="shared" si="14"/>
        <v/>
      </c>
      <c r="Q298" s="80"/>
      <c r="R298" s="80"/>
      <c r="S298" s="80"/>
      <c r="T298" s="82"/>
      <c r="U298" s="80"/>
      <c r="V298" s="80"/>
      <c r="W298" s="80"/>
    </row>
    <row r="299" ht="18" customHeight="1" spans="1:23">
      <c r="A299" s="87" t="str">
        <f t="shared" si="12"/>
        <v/>
      </c>
      <c r="B299" s="78"/>
      <c r="C299" s="80"/>
      <c r="D299" s="79"/>
      <c r="E299" s="80"/>
      <c r="F299" s="79"/>
      <c r="G299" s="25" t="str">
        <f t="shared" si="13"/>
        <v/>
      </c>
      <c r="H299" s="88"/>
      <c r="I299" s="93"/>
      <c r="J299" s="97"/>
      <c r="K299" s="88"/>
      <c r="L299" s="25" t="str">
        <f>IF($D299="","",SUMIFS($H$4:$H299,$D$4:$D299,$D299)+SUMIFS($I$4:$I299,$D$4:$D299,$D299)-SUMIFS($J$4:$J299,$D$4:$D299,$D299)-SUMIFS($K$4:$K299,$D$4:$D299,$D299))</f>
        <v/>
      </c>
      <c r="M299" s="80"/>
      <c r="N299" s="80"/>
      <c r="O299" s="94"/>
      <c r="P299" s="26" t="str">
        <f t="shared" si="14"/>
        <v/>
      </c>
      <c r="Q299" s="80"/>
      <c r="R299" s="80"/>
      <c r="S299" s="80"/>
      <c r="T299" s="82"/>
      <c r="U299" s="80"/>
      <c r="V299" s="80"/>
      <c r="W299" s="80"/>
    </row>
    <row r="300" ht="18" customHeight="1" spans="1:23">
      <c r="A300" s="87" t="str">
        <f t="shared" si="12"/>
        <v/>
      </c>
      <c r="B300" s="78"/>
      <c r="C300" s="80"/>
      <c r="D300" s="79"/>
      <c r="E300" s="80"/>
      <c r="F300" s="79"/>
      <c r="G300" s="25" t="str">
        <f t="shared" si="13"/>
        <v/>
      </c>
      <c r="H300" s="88"/>
      <c r="I300" s="93"/>
      <c r="J300" s="97"/>
      <c r="K300" s="88"/>
      <c r="L300" s="25" t="str">
        <f>IF($D300="","",SUMIFS($H$4:$H300,$D$4:$D300,$D300)+SUMIFS($I$4:$I300,$D$4:$D300,$D300)-SUMIFS($J$4:$J300,$D$4:$D300,$D300)-SUMIFS($K$4:$K300,$D$4:$D300,$D300))</f>
        <v/>
      </c>
      <c r="M300" s="80"/>
      <c r="N300" s="80"/>
      <c r="O300" s="94"/>
      <c r="P300" s="26" t="str">
        <f t="shared" si="14"/>
        <v/>
      </c>
      <c r="Q300" s="80"/>
      <c r="R300" s="80"/>
      <c r="S300" s="80"/>
      <c r="T300" s="82"/>
      <c r="U300" s="80"/>
      <c r="V300" s="80"/>
      <c r="W300" s="80"/>
    </row>
    <row r="301" ht="18" customHeight="1" spans="1:23">
      <c r="A301" s="87" t="str">
        <f t="shared" si="12"/>
        <v/>
      </c>
      <c r="B301" s="78"/>
      <c r="C301" s="80"/>
      <c r="D301" s="79"/>
      <c r="E301" s="80"/>
      <c r="F301" s="79"/>
      <c r="G301" s="25" t="str">
        <f t="shared" si="13"/>
        <v/>
      </c>
      <c r="H301" s="88"/>
      <c r="I301" s="93"/>
      <c r="J301" s="97"/>
      <c r="K301" s="88"/>
      <c r="L301" s="25" t="str">
        <f>IF($D301="","",SUMIFS($H$4:$H301,$D$4:$D301,$D301)+SUMIFS($I$4:$I301,$D$4:$D301,$D301)-SUMIFS($J$4:$J301,$D$4:$D301,$D301)-SUMIFS($K$4:$K301,$D$4:$D301,$D301))</f>
        <v/>
      </c>
      <c r="M301" s="80"/>
      <c r="N301" s="80"/>
      <c r="O301" s="94"/>
      <c r="P301" s="26" t="str">
        <f t="shared" si="14"/>
        <v/>
      </c>
      <c r="Q301" s="80"/>
      <c r="R301" s="80"/>
      <c r="S301" s="80"/>
      <c r="T301" s="82"/>
      <c r="U301" s="80"/>
      <c r="V301" s="80"/>
      <c r="W301" s="80"/>
    </row>
    <row r="302" ht="18" customHeight="1" spans="1:23">
      <c r="A302" s="87" t="str">
        <f t="shared" si="12"/>
        <v/>
      </c>
      <c r="B302" s="78"/>
      <c r="C302" s="80"/>
      <c r="D302" s="79"/>
      <c r="E302" s="80"/>
      <c r="F302" s="79"/>
      <c r="G302" s="25" t="str">
        <f t="shared" si="13"/>
        <v/>
      </c>
      <c r="H302" s="88"/>
      <c r="I302" s="93"/>
      <c r="J302" s="97"/>
      <c r="K302" s="88"/>
      <c r="L302" s="25" t="str">
        <f>IF($D302="","",SUMIFS($H$4:$H302,$D$4:$D302,$D302)+SUMIFS($I$4:$I302,$D$4:$D302,$D302)-SUMIFS($J$4:$J302,$D$4:$D302,$D302)-SUMIFS($K$4:$K302,$D$4:$D302,$D302))</f>
        <v/>
      </c>
      <c r="M302" s="80"/>
      <c r="N302" s="80"/>
      <c r="O302" s="94"/>
      <c r="P302" s="26" t="str">
        <f t="shared" si="14"/>
        <v/>
      </c>
      <c r="Q302" s="80"/>
      <c r="R302" s="80"/>
      <c r="S302" s="80"/>
      <c r="T302" s="82"/>
      <c r="U302" s="80"/>
      <c r="V302" s="80"/>
      <c r="W302" s="80"/>
    </row>
    <row r="303" ht="18" customHeight="1" spans="1:23">
      <c r="A303" s="87" t="str">
        <f t="shared" si="12"/>
        <v/>
      </c>
      <c r="B303" s="78"/>
      <c r="C303" s="80"/>
      <c r="D303" s="79"/>
      <c r="E303" s="80"/>
      <c r="F303" s="79"/>
      <c r="G303" s="25" t="str">
        <f t="shared" si="13"/>
        <v/>
      </c>
      <c r="H303" s="88"/>
      <c r="I303" s="93"/>
      <c r="J303" s="97"/>
      <c r="K303" s="88"/>
      <c r="L303" s="25" t="str">
        <f>IF($D303="","",SUMIFS($H$4:$H303,$D$4:$D303,$D303)+SUMIFS($I$4:$I303,$D$4:$D303,$D303)-SUMIFS($J$4:$J303,$D$4:$D303,$D303)-SUMIFS($K$4:$K303,$D$4:$D303,$D303))</f>
        <v/>
      </c>
      <c r="M303" s="80"/>
      <c r="N303" s="80"/>
      <c r="O303" s="94"/>
      <c r="P303" s="26" t="str">
        <f t="shared" si="14"/>
        <v/>
      </c>
      <c r="Q303" s="80"/>
      <c r="R303" s="80"/>
      <c r="S303" s="80"/>
      <c r="T303" s="82"/>
      <c r="U303" s="80"/>
      <c r="V303" s="80"/>
      <c r="W303" s="80"/>
    </row>
    <row r="304" ht="18" customHeight="1" spans="1:23">
      <c r="A304" s="87" t="str">
        <f t="shared" si="12"/>
        <v/>
      </c>
      <c r="B304" s="78"/>
      <c r="C304" s="80"/>
      <c r="D304" s="79"/>
      <c r="E304" s="80"/>
      <c r="F304" s="79"/>
      <c r="G304" s="25" t="str">
        <f t="shared" si="13"/>
        <v/>
      </c>
      <c r="H304" s="88"/>
      <c r="I304" s="93"/>
      <c r="J304" s="97"/>
      <c r="K304" s="88"/>
      <c r="L304" s="25" t="str">
        <f>IF($D304="","",SUMIFS($H$4:$H304,$D$4:$D304,$D304)+SUMIFS($I$4:$I304,$D$4:$D304,$D304)-SUMIFS($J$4:$J304,$D$4:$D304,$D304)-SUMIFS($K$4:$K304,$D$4:$D304,$D304))</f>
        <v/>
      </c>
      <c r="M304" s="80"/>
      <c r="N304" s="80"/>
      <c r="O304" s="94"/>
      <c r="P304" s="26" t="str">
        <f t="shared" si="14"/>
        <v/>
      </c>
      <c r="Q304" s="80"/>
      <c r="R304" s="80"/>
      <c r="S304" s="80"/>
      <c r="T304" s="82"/>
      <c r="U304" s="80"/>
      <c r="V304" s="80"/>
      <c r="W304" s="80"/>
    </row>
    <row r="305" ht="18" customHeight="1" spans="1:23">
      <c r="A305" s="87" t="str">
        <f t="shared" si="12"/>
        <v/>
      </c>
      <c r="B305" s="78"/>
      <c r="C305" s="80"/>
      <c r="D305" s="79"/>
      <c r="E305" s="80"/>
      <c r="F305" s="79"/>
      <c r="G305" s="25" t="str">
        <f t="shared" si="13"/>
        <v/>
      </c>
      <c r="H305" s="88"/>
      <c r="I305" s="93"/>
      <c r="J305" s="97"/>
      <c r="K305" s="88"/>
      <c r="L305" s="25" t="str">
        <f>IF($D305="","",SUMIFS($H$4:$H305,$D$4:$D305,$D305)+SUMIFS($I$4:$I305,$D$4:$D305,$D305)-SUMIFS($J$4:$J305,$D$4:$D305,$D305)-SUMIFS($K$4:$K305,$D$4:$D305,$D305))</f>
        <v/>
      </c>
      <c r="M305" s="80"/>
      <c r="N305" s="80"/>
      <c r="O305" s="94"/>
      <c r="P305" s="26" t="str">
        <f t="shared" si="14"/>
        <v/>
      </c>
      <c r="Q305" s="80"/>
      <c r="R305" s="80"/>
      <c r="S305" s="80"/>
      <c r="T305" s="82"/>
      <c r="U305" s="80"/>
      <c r="V305" s="80"/>
      <c r="W305" s="80"/>
    </row>
    <row r="306" ht="18" customHeight="1" spans="1:23">
      <c r="A306" s="87" t="str">
        <f t="shared" si="12"/>
        <v/>
      </c>
      <c r="B306" s="78"/>
      <c r="C306" s="80"/>
      <c r="D306" s="79"/>
      <c r="E306" s="80"/>
      <c r="F306" s="79"/>
      <c r="G306" s="25" t="str">
        <f t="shared" si="13"/>
        <v/>
      </c>
      <c r="H306" s="88"/>
      <c r="I306" s="93"/>
      <c r="J306" s="97"/>
      <c r="K306" s="88"/>
      <c r="L306" s="25" t="str">
        <f>IF($D306="","",SUMIFS($H$4:$H306,$D$4:$D306,$D306)+SUMIFS($I$4:$I306,$D$4:$D306,$D306)-SUMIFS($J$4:$J306,$D$4:$D306,$D306)-SUMIFS($K$4:$K306,$D$4:$D306,$D306))</f>
        <v/>
      </c>
      <c r="M306" s="80"/>
      <c r="N306" s="80"/>
      <c r="O306" s="94"/>
      <c r="P306" s="26" t="str">
        <f t="shared" si="14"/>
        <v/>
      </c>
      <c r="Q306" s="80"/>
      <c r="R306" s="80"/>
      <c r="S306" s="80"/>
      <c r="T306" s="82"/>
      <c r="U306" s="80"/>
      <c r="V306" s="80"/>
      <c r="W306" s="80"/>
    </row>
    <row r="307" ht="18" customHeight="1" spans="1:23">
      <c r="A307" s="87" t="str">
        <f t="shared" si="12"/>
        <v/>
      </c>
      <c r="B307" s="78"/>
      <c r="C307" s="80"/>
      <c r="D307" s="79"/>
      <c r="E307" s="80"/>
      <c r="F307" s="79"/>
      <c r="G307" s="25" t="str">
        <f t="shared" si="13"/>
        <v/>
      </c>
      <c r="H307" s="88"/>
      <c r="I307" s="93"/>
      <c r="J307" s="97"/>
      <c r="K307" s="88"/>
      <c r="L307" s="25" t="str">
        <f>IF($D307="","",SUMIFS($H$4:$H307,$D$4:$D307,$D307)+SUMIFS($I$4:$I307,$D$4:$D307,$D307)-SUMIFS($J$4:$J307,$D$4:$D307,$D307)-SUMIFS($K$4:$K307,$D$4:$D307,$D307))</f>
        <v/>
      </c>
      <c r="M307" s="80"/>
      <c r="N307" s="80"/>
      <c r="O307" s="94"/>
      <c r="P307" s="26" t="str">
        <f t="shared" si="14"/>
        <v/>
      </c>
      <c r="Q307" s="80"/>
      <c r="R307" s="80"/>
      <c r="S307" s="80"/>
      <c r="T307" s="82"/>
      <c r="U307" s="80"/>
      <c r="V307" s="80"/>
      <c r="W307" s="80"/>
    </row>
    <row r="308" ht="18" customHeight="1" spans="1:23">
      <c r="A308" s="87" t="str">
        <f t="shared" si="12"/>
        <v/>
      </c>
      <c r="B308" s="78"/>
      <c r="C308" s="80"/>
      <c r="D308" s="79"/>
      <c r="E308" s="80"/>
      <c r="F308" s="79"/>
      <c r="G308" s="25" t="str">
        <f t="shared" si="13"/>
        <v/>
      </c>
      <c r="H308" s="88"/>
      <c r="I308" s="93"/>
      <c r="J308" s="97"/>
      <c r="K308" s="88"/>
      <c r="L308" s="25" t="str">
        <f>IF($D308="","",SUMIFS($H$4:$H308,$D$4:$D308,$D308)+SUMIFS($I$4:$I308,$D$4:$D308,$D308)-SUMIFS($J$4:$J308,$D$4:$D308,$D308)-SUMIFS($K$4:$K308,$D$4:$D308,$D308))</f>
        <v/>
      </c>
      <c r="M308" s="80"/>
      <c r="N308" s="80"/>
      <c r="O308" s="94"/>
      <c r="P308" s="26" t="str">
        <f t="shared" si="14"/>
        <v/>
      </c>
      <c r="Q308" s="80"/>
      <c r="R308" s="80"/>
      <c r="S308" s="80"/>
      <c r="T308" s="82"/>
      <c r="U308" s="80"/>
      <c r="V308" s="80"/>
      <c r="W308" s="80"/>
    </row>
    <row r="309" ht="18" customHeight="1" spans="1:23">
      <c r="A309" s="87" t="str">
        <f t="shared" si="12"/>
        <v/>
      </c>
      <c r="B309" s="78"/>
      <c r="C309" s="80"/>
      <c r="D309" s="79"/>
      <c r="E309" s="80"/>
      <c r="F309" s="79"/>
      <c r="G309" s="25" t="str">
        <f t="shared" si="13"/>
        <v/>
      </c>
      <c r="H309" s="88"/>
      <c r="I309" s="93"/>
      <c r="J309" s="97"/>
      <c r="K309" s="88"/>
      <c r="L309" s="25" t="str">
        <f>IF($D309="","",SUMIFS($H$4:$H309,$D$4:$D309,$D309)+SUMIFS($I$4:$I309,$D$4:$D309,$D309)-SUMIFS($J$4:$J309,$D$4:$D309,$D309)-SUMIFS($K$4:$K309,$D$4:$D309,$D309))</f>
        <v/>
      </c>
      <c r="M309" s="80"/>
      <c r="N309" s="80"/>
      <c r="O309" s="94"/>
      <c r="P309" s="26" t="str">
        <f t="shared" si="14"/>
        <v/>
      </c>
      <c r="Q309" s="80"/>
      <c r="R309" s="80"/>
      <c r="S309" s="80"/>
      <c r="T309" s="82"/>
      <c r="U309" s="80"/>
      <c r="V309" s="80"/>
      <c r="W309" s="80"/>
    </row>
    <row r="310" ht="18" customHeight="1" spans="1:23">
      <c r="A310" s="87" t="str">
        <f t="shared" si="12"/>
        <v/>
      </c>
      <c r="B310" s="78"/>
      <c r="C310" s="80"/>
      <c r="D310" s="79"/>
      <c r="E310" s="80"/>
      <c r="F310" s="79"/>
      <c r="G310" s="25" t="str">
        <f t="shared" si="13"/>
        <v/>
      </c>
      <c r="H310" s="88"/>
      <c r="I310" s="93"/>
      <c r="J310" s="97"/>
      <c r="K310" s="88"/>
      <c r="L310" s="25" t="str">
        <f>IF($D310="","",SUMIFS($H$4:$H310,$D$4:$D310,$D310)+SUMIFS($I$4:$I310,$D$4:$D310,$D310)-SUMIFS($J$4:$J310,$D$4:$D310,$D310)-SUMIFS($K$4:$K310,$D$4:$D310,$D310))</f>
        <v/>
      </c>
      <c r="M310" s="80"/>
      <c r="N310" s="80"/>
      <c r="O310" s="94"/>
      <c r="P310" s="26" t="str">
        <f t="shared" si="14"/>
        <v/>
      </c>
      <c r="Q310" s="80"/>
      <c r="R310" s="80"/>
      <c r="S310" s="80"/>
      <c r="T310" s="82"/>
      <c r="U310" s="80"/>
      <c r="V310" s="80"/>
      <c r="W310" s="80"/>
    </row>
    <row r="311" ht="18" customHeight="1" spans="1:23">
      <c r="A311" s="87" t="str">
        <f t="shared" si="12"/>
        <v/>
      </c>
      <c r="B311" s="78"/>
      <c r="C311" s="80"/>
      <c r="D311" s="79"/>
      <c r="E311" s="80"/>
      <c r="F311" s="79"/>
      <c r="G311" s="25" t="str">
        <f t="shared" si="13"/>
        <v/>
      </c>
      <c r="H311" s="88"/>
      <c r="I311" s="93"/>
      <c r="J311" s="97"/>
      <c r="K311" s="88"/>
      <c r="L311" s="25" t="str">
        <f>IF($D311="","",SUMIFS($H$4:$H311,$D$4:$D311,$D311)+SUMIFS($I$4:$I311,$D$4:$D311,$D311)-SUMIFS($J$4:$J311,$D$4:$D311,$D311)-SUMIFS($K$4:$K311,$D$4:$D311,$D311))</f>
        <v/>
      </c>
      <c r="M311" s="80"/>
      <c r="N311" s="80"/>
      <c r="O311" s="94"/>
      <c r="P311" s="26" t="str">
        <f t="shared" si="14"/>
        <v/>
      </c>
      <c r="Q311" s="80"/>
      <c r="R311" s="80"/>
      <c r="S311" s="80"/>
      <c r="T311" s="82"/>
      <c r="U311" s="80"/>
      <c r="V311" s="80"/>
      <c r="W311" s="80"/>
    </row>
    <row r="312" ht="18" customHeight="1" spans="1:23">
      <c r="A312" s="87" t="str">
        <f t="shared" si="12"/>
        <v/>
      </c>
      <c r="B312" s="78"/>
      <c r="C312" s="80"/>
      <c r="D312" s="79"/>
      <c r="E312" s="80"/>
      <c r="F312" s="79"/>
      <c r="G312" s="25" t="str">
        <f t="shared" si="13"/>
        <v/>
      </c>
      <c r="H312" s="88"/>
      <c r="I312" s="93"/>
      <c r="J312" s="97"/>
      <c r="K312" s="88"/>
      <c r="L312" s="25" t="str">
        <f>IF($D312="","",SUMIFS($H$4:$H312,$D$4:$D312,$D312)+SUMIFS($I$4:$I312,$D$4:$D312,$D312)-SUMIFS($J$4:$J312,$D$4:$D312,$D312)-SUMIFS($K$4:$K312,$D$4:$D312,$D312))</f>
        <v/>
      </c>
      <c r="M312" s="80"/>
      <c r="N312" s="80"/>
      <c r="O312" s="94"/>
      <c r="P312" s="26" t="str">
        <f t="shared" si="14"/>
        <v/>
      </c>
      <c r="Q312" s="80"/>
      <c r="R312" s="80"/>
      <c r="S312" s="80"/>
      <c r="T312" s="82"/>
      <c r="U312" s="80"/>
      <c r="V312" s="80"/>
      <c r="W312" s="80"/>
    </row>
    <row r="313" ht="18" customHeight="1" spans="1:23">
      <c r="A313" s="87" t="str">
        <f t="shared" si="12"/>
        <v/>
      </c>
      <c r="B313" s="78"/>
      <c r="C313" s="80"/>
      <c r="D313" s="79"/>
      <c r="E313" s="80"/>
      <c r="F313" s="79"/>
      <c r="G313" s="25" t="str">
        <f t="shared" si="13"/>
        <v/>
      </c>
      <c r="H313" s="88"/>
      <c r="I313" s="93"/>
      <c r="J313" s="97"/>
      <c r="K313" s="88"/>
      <c r="L313" s="25" t="str">
        <f>IF($D313="","",SUMIFS($H$4:$H313,$D$4:$D313,$D313)+SUMIFS($I$4:$I313,$D$4:$D313,$D313)-SUMIFS($J$4:$J313,$D$4:$D313,$D313)-SUMIFS($K$4:$K313,$D$4:$D313,$D313))</f>
        <v/>
      </c>
      <c r="M313" s="80"/>
      <c r="N313" s="80"/>
      <c r="O313" s="94"/>
      <c r="P313" s="26" t="str">
        <f t="shared" si="14"/>
        <v/>
      </c>
      <c r="Q313" s="80"/>
      <c r="R313" s="80"/>
      <c r="S313" s="80"/>
      <c r="T313" s="82"/>
      <c r="U313" s="80"/>
      <c r="V313" s="80"/>
      <c r="W313" s="80"/>
    </row>
    <row r="314" ht="18" customHeight="1" spans="1:23">
      <c r="A314" s="87" t="str">
        <f t="shared" si="12"/>
        <v/>
      </c>
      <c r="B314" s="78"/>
      <c r="C314" s="80"/>
      <c r="D314" s="79"/>
      <c r="E314" s="80"/>
      <c r="F314" s="79"/>
      <c r="G314" s="25" t="str">
        <f t="shared" si="13"/>
        <v/>
      </c>
      <c r="H314" s="88"/>
      <c r="I314" s="93"/>
      <c r="J314" s="97"/>
      <c r="K314" s="88"/>
      <c r="L314" s="25" t="str">
        <f>IF($D314="","",SUMIFS($H$4:$H314,$D$4:$D314,$D314)+SUMIFS($I$4:$I314,$D$4:$D314,$D314)-SUMIFS($J$4:$J314,$D$4:$D314,$D314)-SUMIFS($K$4:$K314,$D$4:$D314,$D314))</f>
        <v/>
      </c>
      <c r="M314" s="80"/>
      <c r="N314" s="80"/>
      <c r="O314" s="94"/>
      <c r="P314" s="26" t="str">
        <f t="shared" si="14"/>
        <v/>
      </c>
      <c r="Q314" s="80"/>
      <c r="R314" s="80"/>
      <c r="S314" s="80"/>
      <c r="T314" s="82"/>
      <c r="U314" s="80"/>
      <c r="V314" s="80"/>
      <c r="W314" s="80"/>
    </row>
    <row r="315" ht="18" customHeight="1" spans="1:23">
      <c r="A315" s="87" t="str">
        <f t="shared" si="12"/>
        <v/>
      </c>
      <c r="B315" s="78"/>
      <c r="C315" s="80"/>
      <c r="D315" s="79"/>
      <c r="E315" s="80"/>
      <c r="F315" s="79"/>
      <c r="G315" s="25" t="str">
        <f t="shared" si="13"/>
        <v/>
      </c>
      <c r="H315" s="88"/>
      <c r="I315" s="93"/>
      <c r="J315" s="97"/>
      <c r="K315" s="88"/>
      <c r="L315" s="25" t="str">
        <f>IF($D315="","",SUMIFS($H$4:$H315,$D$4:$D315,$D315)+SUMIFS($I$4:$I315,$D$4:$D315,$D315)-SUMIFS($J$4:$J315,$D$4:$D315,$D315)-SUMIFS($K$4:$K315,$D$4:$D315,$D315))</f>
        <v/>
      </c>
      <c r="M315" s="80"/>
      <c r="N315" s="80"/>
      <c r="O315" s="94"/>
      <c r="P315" s="26" t="str">
        <f t="shared" si="14"/>
        <v/>
      </c>
      <c r="Q315" s="80"/>
      <c r="R315" s="80"/>
      <c r="S315" s="80"/>
      <c r="T315" s="82"/>
      <c r="U315" s="80"/>
      <c r="V315" s="80"/>
      <c r="W315" s="80"/>
    </row>
    <row r="316" ht="18" customHeight="1" spans="1:23">
      <c r="A316" s="87" t="str">
        <f t="shared" si="12"/>
        <v/>
      </c>
      <c r="B316" s="78"/>
      <c r="C316" s="80"/>
      <c r="D316" s="79"/>
      <c r="E316" s="80"/>
      <c r="F316" s="79"/>
      <c r="G316" s="25" t="str">
        <f t="shared" si="13"/>
        <v/>
      </c>
      <c r="H316" s="88"/>
      <c r="I316" s="93"/>
      <c r="J316" s="97"/>
      <c r="K316" s="88"/>
      <c r="L316" s="25" t="str">
        <f>IF($D316="","",SUMIFS($H$4:$H316,$D$4:$D316,$D316)+SUMIFS($I$4:$I316,$D$4:$D316,$D316)-SUMIFS($J$4:$J316,$D$4:$D316,$D316)-SUMIFS($K$4:$K316,$D$4:$D316,$D316))</f>
        <v/>
      </c>
      <c r="M316" s="80"/>
      <c r="N316" s="80"/>
      <c r="O316" s="94"/>
      <c r="P316" s="26" t="str">
        <f t="shared" si="14"/>
        <v/>
      </c>
      <c r="Q316" s="80"/>
      <c r="R316" s="80"/>
      <c r="S316" s="80"/>
      <c r="T316" s="82"/>
      <c r="U316" s="80"/>
      <c r="V316" s="80"/>
      <c r="W316" s="80"/>
    </row>
    <row r="317" ht="18" customHeight="1" spans="1:23">
      <c r="A317" s="87" t="str">
        <f t="shared" si="12"/>
        <v/>
      </c>
      <c r="B317" s="78"/>
      <c r="C317" s="80"/>
      <c r="D317" s="79"/>
      <c r="E317" s="80"/>
      <c r="F317" s="79"/>
      <c r="G317" s="25" t="str">
        <f t="shared" si="13"/>
        <v/>
      </c>
      <c r="H317" s="88"/>
      <c r="I317" s="93"/>
      <c r="J317" s="97"/>
      <c r="K317" s="88"/>
      <c r="L317" s="25" t="str">
        <f>IF($D317="","",SUMIFS($H$4:$H317,$D$4:$D317,$D317)+SUMIFS($I$4:$I317,$D$4:$D317,$D317)-SUMIFS($J$4:$J317,$D$4:$D317,$D317)-SUMIFS($K$4:$K317,$D$4:$D317,$D317))</f>
        <v/>
      </c>
      <c r="M317" s="80"/>
      <c r="N317" s="80"/>
      <c r="O317" s="94"/>
      <c r="P317" s="26" t="str">
        <f t="shared" si="14"/>
        <v/>
      </c>
      <c r="Q317" s="80"/>
      <c r="R317" s="80"/>
      <c r="S317" s="80"/>
      <c r="T317" s="82"/>
      <c r="U317" s="80"/>
      <c r="V317" s="80"/>
      <c r="W317" s="80"/>
    </row>
    <row r="318" ht="18" customHeight="1" spans="1:23">
      <c r="A318" s="87" t="str">
        <f t="shared" si="12"/>
        <v/>
      </c>
      <c r="B318" s="78"/>
      <c r="C318" s="80"/>
      <c r="D318" s="79"/>
      <c r="E318" s="80"/>
      <c r="F318" s="79"/>
      <c r="G318" s="25" t="str">
        <f t="shared" si="13"/>
        <v/>
      </c>
      <c r="H318" s="88"/>
      <c r="I318" s="93"/>
      <c r="J318" s="97"/>
      <c r="K318" s="88"/>
      <c r="L318" s="25" t="str">
        <f>IF($D318="","",SUMIFS($H$4:$H318,$D$4:$D318,$D318)+SUMIFS($I$4:$I318,$D$4:$D318,$D318)-SUMIFS($J$4:$J318,$D$4:$D318,$D318)-SUMIFS($K$4:$K318,$D$4:$D318,$D318))</f>
        <v/>
      </c>
      <c r="M318" s="80"/>
      <c r="N318" s="80"/>
      <c r="O318" s="94"/>
      <c r="P318" s="26" t="str">
        <f t="shared" si="14"/>
        <v/>
      </c>
      <c r="Q318" s="80"/>
      <c r="R318" s="80"/>
      <c r="S318" s="80"/>
      <c r="T318" s="82"/>
      <c r="U318" s="80"/>
      <c r="V318" s="80"/>
      <c r="W318" s="80"/>
    </row>
    <row r="319" ht="18" customHeight="1" spans="1:23">
      <c r="A319" s="87" t="str">
        <f t="shared" si="12"/>
        <v/>
      </c>
      <c r="B319" s="78"/>
      <c r="C319" s="80"/>
      <c r="D319" s="79"/>
      <c r="E319" s="80"/>
      <c r="F319" s="79"/>
      <c r="G319" s="25" t="str">
        <f t="shared" si="13"/>
        <v/>
      </c>
      <c r="H319" s="88"/>
      <c r="I319" s="93"/>
      <c r="J319" s="97"/>
      <c r="K319" s="88"/>
      <c r="L319" s="25" t="str">
        <f>IF($D319="","",SUMIFS($H$4:$H319,$D$4:$D319,$D319)+SUMIFS($I$4:$I319,$D$4:$D319,$D319)-SUMIFS($J$4:$J319,$D$4:$D319,$D319)-SUMIFS($K$4:$K319,$D$4:$D319,$D319))</f>
        <v/>
      </c>
      <c r="M319" s="80"/>
      <c r="N319" s="80"/>
      <c r="O319" s="94"/>
      <c r="P319" s="26" t="str">
        <f t="shared" si="14"/>
        <v/>
      </c>
      <c r="Q319" s="80"/>
      <c r="R319" s="80"/>
      <c r="S319" s="80"/>
      <c r="T319" s="82"/>
      <c r="U319" s="80"/>
      <c r="V319" s="80"/>
      <c r="W319" s="80"/>
    </row>
    <row r="320" ht="18" customHeight="1" spans="1:23">
      <c r="A320" s="87" t="str">
        <f t="shared" si="12"/>
        <v/>
      </c>
      <c r="B320" s="78"/>
      <c r="C320" s="80"/>
      <c r="D320" s="79"/>
      <c r="E320" s="80"/>
      <c r="F320" s="79"/>
      <c r="G320" s="25" t="str">
        <f t="shared" si="13"/>
        <v/>
      </c>
      <c r="H320" s="88"/>
      <c r="I320" s="93"/>
      <c r="J320" s="97"/>
      <c r="K320" s="88"/>
      <c r="L320" s="25" t="str">
        <f>IF($D320="","",SUMIFS($H$4:$H320,$D$4:$D320,$D320)+SUMIFS($I$4:$I320,$D$4:$D320,$D320)-SUMIFS($J$4:$J320,$D$4:$D320,$D320)-SUMIFS($K$4:$K320,$D$4:$D320,$D320))</f>
        <v/>
      </c>
      <c r="M320" s="80"/>
      <c r="N320" s="80"/>
      <c r="O320" s="94"/>
      <c r="P320" s="26" t="str">
        <f t="shared" si="14"/>
        <v/>
      </c>
      <c r="Q320" s="80"/>
      <c r="R320" s="80"/>
      <c r="S320" s="80"/>
      <c r="T320" s="82"/>
      <c r="U320" s="80"/>
      <c r="V320" s="80"/>
      <c r="W320" s="80"/>
    </row>
    <row r="321" ht="18" customHeight="1" spans="1:23">
      <c r="A321" s="87" t="str">
        <f t="shared" si="12"/>
        <v/>
      </c>
      <c r="B321" s="78"/>
      <c r="C321" s="80"/>
      <c r="D321" s="79"/>
      <c r="E321" s="80"/>
      <c r="F321" s="79"/>
      <c r="G321" s="25" t="str">
        <f t="shared" si="13"/>
        <v/>
      </c>
      <c r="H321" s="88"/>
      <c r="I321" s="93"/>
      <c r="J321" s="97"/>
      <c r="K321" s="88"/>
      <c r="L321" s="25" t="str">
        <f>IF($D321="","",SUMIFS($H$4:$H321,$D$4:$D321,$D321)+SUMIFS($I$4:$I321,$D$4:$D321,$D321)-SUMIFS($J$4:$J321,$D$4:$D321,$D321)-SUMIFS($K$4:$K321,$D$4:$D321,$D321))</f>
        <v/>
      </c>
      <c r="M321" s="80"/>
      <c r="N321" s="80"/>
      <c r="O321" s="94"/>
      <c r="P321" s="26" t="str">
        <f t="shared" si="14"/>
        <v/>
      </c>
      <c r="Q321" s="80"/>
      <c r="R321" s="80"/>
      <c r="S321" s="80"/>
      <c r="T321" s="82"/>
      <c r="U321" s="80"/>
      <c r="V321" s="80"/>
      <c r="W321" s="80"/>
    </row>
    <row r="322" ht="18" customHeight="1" spans="1:23">
      <c r="A322" s="87" t="str">
        <f t="shared" si="12"/>
        <v/>
      </c>
      <c r="B322" s="78"/>
      <c r="C322" s="80"/>
      <c r="D322" s="79"/>
      <c r="E322" s="80"/>
      <c r="F322" s="79"/>
      <c r="G322" s="25" t="str">
        <f t="shared" si="13"/>
        <v/>
      </c>
      <c r="H322" s="88"/>
      <c r="I322" s="93"/>
      <c r="J322" s="97"/>
      <c r="K322" s="88"/>
      <c r="L322" s="25" t="str">
        <f>IF($D322="","",SUMIFS($H$4:$H322,$D$4:$D322,$D322)+SUMIFS($I$4:$I322,$D$4:$D322,$D322)-SUMIFS($J$4:$J322,$D$4:$D322,$D322)-SUMIFS($K$4:$K322,$D$4:$D322,$D322))</f>
        <v/>
      </c>
      <c r="M322" s="80"/>
      <c r="N322" s="80"/>
      <c r="O322" s="94"/>
      <c r="P322" s="26" t="str">
        <f t="shared" si="14"/>
        <v/>
      </c>
      <c r="Q322" s="80"/>
      <c r="R322" s="80"/>
      <c r="S322" s="80"/>
      <c r="T322" s="82"/>
      <c r="U322" s="80"/>
      <c r="V322" s="80"/>
      <c r="W322" s="80"/>
    </row>
    <row r="323" ht="18" customHeight="1" spans="1:23">
      <c r="A323" s="87" t="str">
        <f t="shared" si="12"/>
        <v/>
      </c>
      <c r="B323" s="78"/>
      <c r="C323" s="80"/>
      <c r="D323" s="79"/>
      <c r="E323" s="80"/>
      <c r="F323" s="79"/>
      <c r="G323" s="25" t="str">
        <f t="shared" si="13"/>
        <v/>
      </c>
      <c r="H323" s="88"/>
      <c r="I323" s="93"/>
      <c r="J323" s="97"/>
      <c r="K323" s="88"/>
      <c r="L323" s="25" t="str">
        <f>IF($D323="","",SUMIFS($H$4:$H323,$D$4:$D323,$D323)+SUMIFS($I$4:$I323,$D$4:$D323,$D323)-SUMIFS($J$4:$J323,$D$4:$D323,$D323)-SUMIFS($K$4:$K323,$D$4:$D323,$D323))</f>
        <v/>
      </c>
      <c r="M323" s="80"/>
      <c r="N323" s="80"/>
      <c r="O323" s="94"/>
      <c r="P323" s="26" t="str">
        <f t="shared" si="14"/>
        <v/>
      </c>
      <c r="Q323" s="80"/>
      <c r="R323" s="80"/>
      <c r="S323" s="80"/>
      <c r="T323" s="82"/>
      <c r="U323" s="80"/>
      <c r="V323" s="80"/>
      <c r="W323" s="80"/>
    </row>
    <row r="324" ht="18" customHeight="1" spans="1:23">
      <c r="A324" s="87" t="str">
        <f t="shared" si="12"/>
        <v/>
      </c>
      <c r="B324" s="78"/>
      <c r="C324" s="80"/>
      <c r="D324" s="79"/>
      <c r="E324" s="80"/>
      <c r="F324" s="79"/>
      <c r="G324" s="25" t="str">
        <f t="shared" si="13"/>
        <v/>
      </c>
      <c r="H324" s="88"/>
      <c r="I324" s="93"/>
      <c r="J324" s="97"/>
      <c r="K324" s="88"/>
      <c r="L324" s="25" t="str">
        <f>IF($D324="","",SUMIFS($H$4:$H324,$D$4:$D324,$D324)+SUMIFS($I$4:$I324,$D$4:$D324,$D324)-SUMIFS($J$4:$J324,$D$4:$D324,$D324)-SUMIFS($K$4:$K324,$D$4:$D324,$D324))</f>
        <v/>
      </c>
      <c r="M324" s="80"/>
      <c r="N324" s="80"/>
      <c r="O324" s="94"/>
      <c r="P324" s="26" t="str">
        <f t="shared" si="14"/>
        <v/>
      </c>
      <c r="Q324" s="80"/>
      <c r="R324" s="80"/>
      <c r="S324" s="80"/>
      <c r="T324" s="82"/>
      <c r="U324" s="80"/>
      <c r="V324" s="80"/>
      <c r="W324" s="80"/>
    </row>
    <row r="325" ht="18" customHeight="1" spans="1:23">
      <c r="A325" s="87" t="str">
        <f t="shared" ref="A325:A388" si="15">IF($D325="","",ROW()-3)</f>
        <v/>
      </c>
      <c r="B325" s="78"/>
      <c r="C325" s="80"/>
      <c r="D325" s="79"/>
      <c r="E325" s="80"/>
      <c r="F325" s="79"/>
      <c r="G325" s="25" t="str">
        <f t="shared" ref="G325:G388" si="16">IF($D325="","",N($L325)-N($H325)-N($I325)+N($J325)+N($K325))</f>
        <v/>
      </c>
      <c r="H325" s="88"/>
      <c r="I325" s="93"/>
      <c r="J325" s="97"/>
      <c r="K325" s="88"/>
      <c r="L325" s="25" t="str">
        <f>IF($D325="","",SUMIFS($H$4:$H325,$D$4:$D325,$D325)+SUMIFS($I$4:$I325,$D$4:$D325,$D325)-SUMIFS($J$4:$J325,$D$4:$D325,$D325)-SUMIFS($K$4:$K325,$D$4:$D325,$D325))</f>
        <v/>
      </c>
      <c r="M325" s="80"/>
      <c r="N325" s="80"/>
      <c r="O325" s="94"/>
      <c r="P325" s="26" t="str">
        <f t="shared" ref="P325:P388" si="17">IF($D325="","",ROUND((N($H325)+N($K325))*N($O325),2))</f>
        <v/>
      </c>
      <c r="Q325" s="80"/>
      <c r="R325" s="80"/>
      <c r="S325" s="80"/>
      <c r="T325" s="82"/>
      <c r="U325" s="80"/>
      <c r="V325" s="80"/>
      <c r="W325" s="80"/>
    </row>
    <row r="326" ht="18" customHeight="1" spans="1:23">
      <c r="A326" s="87" t="str">
        <f t="shared" si="15"/>
        <v/>
      </c>
      <c r="B326" s="78"/>
      <c r="C326" s="80"/>
      <c r="D326" s="79"/>
      <c r="E326" s="80"/>
      <c r="F326" s="79"/>
      <c r="G326" s="25" t="str">
        <f t="shared" si="16"/>
        <v/>
      </c>
      <c r="H326" s="88"/>
      <c r="I326" s="93"/>
      <c r="J326" s="97"/>
      <c r="K326" s="88"/>
      <c r="L326" s="25" t="str">
        <f>IF($D326="","",SUMIFS($H$4:$H326,$D$4:$D326,$D326)+SUMIFS($I$4:$I326,$D$4:$D326,$D326)-SUMIFS($J$4:$J326,$D$4:$D326,$D326)-SUMIFS($K$4:$K326,$D$4:$D326,$D326))</f>
        <v/>
      </c>
      <c r="M326" s="80"/>
      <c r="N326" s="80"/>
      <c r="O326" s="94"/>
      <c r="P326" s="26" t="str">
        <f t="shared" si="17"/>
        <v/>
      </c>
      <c r="Q326" s="80"/>
      <c r="R326" s="80"/>
      <c r="S326" s="80"/>
      <c r="T326" s="82"/>
      <c r="U326" s="80"/>
      <c r="V326" s="80"/>
      <c r="W326" s="80"/>
    </row>
    <row r="327" ht="18" customHeight="1" spans="1:23">
      <c r="A327" s="87" t="str">
        <f t="shared" si="15"/>
        <v/>
      </c>
      <c r="B327" s="78"/>
      <c r="C327" s="80"/>
      <c r="D327" s="79"/>
      <c r="E327" s="80"/>
      <c r="F327" s="79"/>
      <c r="G327" s="25" t="str">
        <f t="shared" si="16"/>
        <v/>
      </c>
      <c r="H327" s="88"/>
      <c r="I327" s="93"/>
      <c r="J327" s="97"/>
      <c r="K327" s="88"/>
      <c r="L327" s="25" t="str">
        <f>IF($D327="","",SUMIFS($H$4:$H327,$D$4:$D327,$D327)+SUMIFS($I$4:$I327,$D$4:$D327,$D327)-SUMIFS($J$4:$J327,$D$4:$D327,$D327)-SUMIFS($K$4:$K327,$D$4:$D327,$D327))</f>
        <v/>
      </c>
      <c r="M327" s="80"/>
      <c r="N327" s="80"/>
      <c r="O327" s="94"/>
      <c r="P327" s="26" t="str">
        <f t="shared" si="17"/>
        <v/>
      </c>
      <c r="Q327" s="80"/>
      <c r="R327" s="80"/>
      <c r="S327" s="80"/>
      <c r="T327" s="82"/>
      <c r="U327" s="80"/>
      <c r="V327" s="80"/>
      <c r="W327" s="80"/>
    </row>
    <row r="328" ht="18" customHeight="1" spans="1:23">
      <c r="A328" s="87" t="str">
        <f t="shared" si="15"/>
        <v/>
      </c>
      <c r="B328" s="78"/>
      <c r="C328" s="80"/>
      <c r="D328" s="79"/>
      <c r="E328" s="80"/>
      <c r="F328" s="79"/>
      <c r="G328" s="25" t="str">
        <f t="shared" si="16"/>
        <v/>
      </c>
      <c r="H328" s="88"/>
      <c r="I328" s="93"/>
      <c r="J328" s="97"/>
      <c r="K328" s="88"/>
      <c r="L328" s="25" t="str">
        <f>IF($D328="","",SUMIFS($H$4:$H328,$D$4:$D328,$D328)+SUMIFS($I$4:$I328,$D$4:$D328,$D328)-SUMIFS($J$4:$J328,$D$4:$D328,$D328)-SUMIFS($K$4:$K328,$D$4:$D328,$D328))</f>
        <v/>
      </c>
      <c r="M328" s="80"/>
      <c r="N328" s="80"/>
      <c r="O328" s="94"/>
      <c r="P328" s="26" t="str">
        <f t="shared" si="17"/>
        <v/>
      </c>
      <c r="Q328" s="80"/>
      <c r="R328" s="80"/>
      <c r="S328" s="80"/>
      <c r="T328" s="82"/>
      <c r="U328" s="80"/>
      <c r="V328" s="80"/>
      <c r="W328" s="80"/>
    </row>
    <row r="329" ht="18" customHeight="1" spans="1:23">
      <c r="A329" s="87" t="str">
        <f t="shared" si="15"/>
        <v/>
      </c>
      <c r="B329" s="78"/>
      <c r="C329" s="80"/>
      <c r="D329" s="79"/>
      <c r="E329" s="80"/>
      <c r="F329" s="79"/>
      <c r="G329" s="25" t="str">
        <f t="shared" si="16"/>
        <v/>
      </c>
      <c r="H329" s="88"/>
      <c r="I329" s="93"/>
      <c r="J329" s="97"/>
      <c r="K329" s="88"/>
      <c r="L329" s="25" t="str">
        <f>IF($D329="","",SUMIFS($H$4:$H329,$D$4:$D329,$D329)+SUMIFS($I$4:$I329,$D$4:$D329,$D329)-SUMIFS($J$4:$J329,$D$4:$D329,$D329)-SUMIFS($K$4:$K329,$D$4:$D329,$D329))</f>
        <v/>
      </c>
      <c r="M329" s="80"/>
      <c r="N329" s="80"/>
      <c r="O329" s="94"/>
      <c r="P329" s="26" t="str">
        <f t="shared" si="17"/>
        <v/>
      </c>
      <c r="Q329" s="80"/>
      <c r="R329" s="80"/>
      <c r="S329" s="80"/>
      <c r="T329" s="82"/>
      <c r="U329" s="80"/>
      <c r="V329" s="80"/>
      <c r="W329" s="80"/>
    </row>
    <row r="330" ht="18" customHeight="1" spans="1:23">
      <c r="A330" s="87" t="str">
        <f t="shared" si="15"/>
        <v/>
      </c>
      <c r="B330" s="78"/>
      <c r="C330" s="80"/>
      <c r="D330" s="79"/>
      <c r="E330" s="80"/>
      <c r="F330" s="79"/>
      <c r="G330" s="25" t="str">
        <f t="shared" si="16"/>
        <v/>
      </c>
      <c r="H330" s="88"/>
      <c r="I330" s="93"/>
      <c r="J330" s="97"/>
      <c r="K330" s="88"/>
      <c r="L330" s="25" t="str">
        <f>IF($D330="","",SUMIFS($H$4:$H330,$D$4:$D330,$D330)+SUMIFS($I$4:$I330,$D$4:$D330,$D330)-SUMIFS($J$4:$J330,$D$4:$D330,$D330)-SUMIFS($K$4:$K330,$D$4:$D330,$D330))</f>
        <v/>
      </c>
      <c r="M330" s="80"/>
      <c r="N330" s="80"/>
      <c r="O330" s="94"/>
      <c r="P330" s="26" t="str">
        <f t="shared" si="17"/>
        <v/>
      </c>
      <c r="Q330" s="80"/>
      <c r="R330" s="80"/>
      <c r="S330" s="80"/>
      <c r="T330" s="82"/>
      <c r="U330" s="80"/>
      <c r="V330" s="80"/>
      <c r="W330" s="80"/>
    </row>
    <row r="331" ht="18" customHeight="1" spans="1:23">
      <c r="A331" s="87" t="str">
        <f t="shared" si="15"/>
        <v/>
      </c>
      <c r="B331" s="78"/>
      <c r="C331" s="80"/>
      <c r="D331" s="79"/>
      <c r="E331" s="80"/>
      <c r="F331" s="79"/>
      <c r="G331" s="25" t="str">
        <f t="shared" si="16"/>
        <v/>
      </c>
      <c r="H331" s="88"/>
      <c r="I331" s="93"/>
      <c r="J331" s="97"/>
      <c r="K331" s="88"/>
      <c r="L331" s="25" t="str">
        <f>IF($D331="","",SUMIFS($H$4:$H331,$D$4:$D331,$D331)+SUMIFS($I$4:$I331,$D$4:$D331,$D331)-SUMIFS($J$4:$J331,$D$4:$D331,$D331)-SUMIFS($K$4:$K331,$D$4:$D331,$D331))</f>
        <v/>
      </c>
      <c r="M331" s="80"/>
      <c r="N331" s="80"/>
      <c r="O331" s="94"/>
      <c r="P331" s="26" t="str">
        <f t="shared" si="17"/>
        <v/>
      </c>
      <c r="Q331" s="80"/>
      <c r="R331" s="80"/>
      <c r="S331" s="80"/>
      <c r="T331" s="82"/>
      <c r="U331" s="80"/>
      <c r="V331" s="80"/>
      <c r="W331" s="80"/>
    </row>
    <row r="332" ht="18" customHeight="1" spans="1:23">
      <c r="A332" s="87" t="str">
        <f t="shared" si="15"/>
        <v/>
      </c>
      <c r="B332" s="78"/>
      <c r="C332" s="80"/>
      <c r="D332" s="79"/>
      <c r="E332" s="80"/>
      <c r="F332" s="79"/>
      <c r="G332" s="25" t="str">
        <f t="shared" si="16"/>
        <v/>
      </c>
      <c r="H332" s="88"/>
      <c r="I332" s="93"/>
      <c r="J332" s="97"/>
      <c r="K332" s="88"/>
      <c r="L332" s="25" t="str">
        <f>IF($D332="","",SUMIFS($H$4:$H332,$D$4:$D332,$D332)+SUMIFS($I$4:$I332,$D$4:$D332,$D332)-SUMIFS($J$4:$J332,$D$4:$D332,$D332)-SUMIFS($K$4:$K332,$D$4:$D332,$D332))</f>
        <v/>
      </c>
      <c r="M332" s="80"/>
      <c r="N332" s="80"/>
      <c r="O332" s="94"/>
      <c r="P332" s="26" t="str">
        <f t="shared" si="17"/>
        <v/>
      </c>
      <c r="Q332" s="80"/>
      <c r="R332" s="80"/>
      <c r="S332" s="80"/>
      <c r="T332" s="82"/>
      <c r="U332" s="80"/>
      <c r="V332" s="80"/>
      <c r="W332" s="80"/>
    </row>
    <row r="333" ht="18" customHeight="1" spans="1:23">
      <c r="A333" s="87" t="str">
        <f t="shared" si="15"/>
        <v/>
      </c>
      <c r="B333" s="78"/>
      <c r="C333" s="80"/>
      <c r="D333" s="79"/>
      <c r="E333" s="80"/>
      <c r="F333" s="79"/>
      <c r="G333" s="25" t="str">
        <f t="shared" si="16"/>
        <v/>
      </c>
      <c r="H333" s="88"/>
      <c r="I333" s="93"/>
      <c r="J333" s="97"/>
      <c r="K333" s="88"/>
      <c r="L333" s="25" t="str">
        <f>IF($D333="","",SUMIFS($H$4:$H333,$D$4:$D333,$D333)+SUMIFS($I$4:$I333,$D$4:$D333,$D333)-SUMIFS($J$4:$J333,$D$4:$D333,$D333)-SUMIFS($K$4:$K333,$D$4:$D333,$D333))</f>
        <v/>
      </c>
      <c r="M333" s="80"/>
      <c r="N333" s="80"/>
      <c r="O333" s="94"/>
      <c r="P333" s="26" t="str">
        <f t="shared" si="17"/>
        <v/>
      </c>
      <c r="Q333" s="80"/>
      <c r="R333" s="80"/>
      <c r="S333" s="80"/>
      <c r="T333" s="82"/>
      <c r="U333" s="80"/>
      <c r="V333" s="80"/>
      <c r="W333" s="80"/>
    </row>
    <row r="334" ht="18" customHeight="1" spans="1:23">
      <c r="A334" s="87" t="str">
        <f t="shared" si="15"/>
        <v/>
      </c>
      <c r="B334" s="78"/>
      <c r="C334" s="80"/>
      <c r="D334" s="79"/>
      <c r="E334" s="80"/>
      <c r="F334" s="79"/>
      <c r="G334" s="25" t="str">
        <f t="shared" si="16"/>
        <v/>
      </c>
      <c r="H334" s="88"/>
      <c r="I334" s="93"/>
      <c r="J334" s="97"/>
      <c r="K334" s="88"/>
      <c r="L334" s="25" t="str">
        <f>IF($D334="","",SUMIFS($H$4:$H334,$D$4:$D334,$D334)+SUMIFS($I$4:$I334,$D$4:$D334,$D334)-SUMIFS($J$4:$J334,$D$4:$D334,$D334)-SUMIFS($K$4:$K334,$D$4:$D334,$D334))</f>
        <v/>
      </c>
      <c r="M334" s="80"/>
      <c r="N334" s="80"/>
      <c r="O334" s="94"/>
      <c r="P334" s="26" t="str">
        <f t="shared" si="17"/>
        <v/>
      </c>
      <c r="Q334" s="80"/>
      <c r="R334" s="80"/>
      <c r="S334" s="80"/>
      <c r="T334" s="82"/>
      <c r="U334" s="80"/>
      <c r="V334" s="80"/>
      <c r="W334" s="80"/>
    </row>
    <row r="335" ht="18" customHeight="1" spans="1:23">
      <c r="A335" s="87" t="str">
        <f t="shared" si="15"/>
        <v/>
      </c>
      <c r="B335" s="78"/>
      <c r="C335" s="80"/>
      <c r="D335" s="79"/>
      <c r="E335" s="80"/>
      <c r="F335" s="79"/>
      <c r="G335" s="25" t="str">
        <f t="shared" si="16"/>
        <v/>
      </c>
      <c r="H335" s="88"/>
      <c r="I335" s="93"/>
      <c r="J335" s="97"/>
      <c r="K335" s="88"/>
      <c r="L335" s="25" t="str">
        <f>IF($D335="","",SUMIFS($H$4:$H335,$D$4:$D335,$D335)+SUMIFS($I$4:$I335,$D$4:$D335,$D335)-SUMIFS($J$4:$J335,$D$4:$D335,$D335)-SUMIFS($K$4:$K335,$D$4:$D335,$D335))</f>
        <v/>
      </c>
      <c r="M335" s="80"/>
      <c r="N335" s="80"/>
      <c r="O335" s="94"/>
      <c r="P335" s="26" t="str">
        <f t="shared" si="17"/>
        <v/>
      </c>
      <c r="Q335" s="80"/>
      <c r="R335" s="80"/>
      <c r="S335" s="80"/>
      <c r="T335" s="82"/>
      <c r="U335" s="80"/>
      <c r="V335" s="80"/>
      <c r="W335" s="80"/>
    </row>
    <row r="336" ht="18" customHeight="1" spans="1:23">
      <c r="A336" s="87" t="str">
        <f t="shared" si="15"/>
        <v/>
      </c>
      <c r="B336" s="78"/>
      <c r="C336" s="80"/>
      <c r="D336" s="79"/>
      <c r="E336" s="80"/>
      <c r="F336" s="79"/>
      <c r="G336" s="25" t="str">
        <f t="shared" si="16"/>
        <v/>
      </c>
      <c r="H336" s="88"/>
      <c r="I336" s="93"/>
      <c r="J336" s="97"/>
      <c r="K336" s="88"/>
      <c r="L336" s="25" t="str">
        <f>IF($D336="","",SUMIFS($H$4:$H336,$D$4:$D336,$D336)+SUMIFS($I$4:$I336,$D$4:$D336,$D336)-SUMIFS($J$4:$J336,$D$4:$D336,$D336)-SUMIFS($K$4:$K336,$D$4:$D336,$D336))</f>
        <v/>
      </c>
      <c r="M336" s="80"/>
      <c r="N336" s="80"/>
      <c r="O336" s="94"/>
      <c r="P336" s="26" t="str">
        <f t="shared" si="17"/>
        <v/>
      </c>
      <c r="Q336" s="80"/>
      <c r="R336" s="80"/>
      <c r="S336" s="80"/>
      <c r="T336" s="82"/>
      <c r="U336" s="80"/>
      <c r="V336" s="80"/>
      <c r="W336" s="80"/>
    </row>
    <row r="337" ht="18" customHeight="1" spans="1:23">
      <c r="A337" s="87" t="str">
        <f t="shared" si="15"/>
        <v/>
      </c>
      <c r="B337" s="78"/>
      <c r="C337" s="80"/>
      <c r="D337" s="79"/>
      <c r="E337" s="80"/>
      <c r="F337" s="79"/>
      <c r="G337" s="25" t="str">
        <f t="shared" si="16"/>
        <v/>
      </c>
      <c r="H337" s="88"/>
      <c r="I337" s="93"/>
      <c r="J337" s="97"/>
      <c r="K337" s="88"/>
      <c r="L337" s="25" t="str">
        <f>IF($D337="","",SUMIFS($H$4:$H337,$D$4:$D337,$D337)+SUMIFS($I$4:$I337,$D$4:$D337,$D337)-SUMIFS($J$4:$J337,$D$4:$D337,$D337)-SUMIFS($K$4:$K337,$D$4:$D337,$D337))</f>
        <v/>
      </c>
      <c r="M337" s="80"/>
      <c r="N337" s="80"/>
      <c r="O337" s="94"/>
      <c r="P337" s="26" t="str">
        <f t="shared" si="17"/>
        <v/>
      </c>
      <c r="Q337" s="80"/>
      <c r="R337" s="80"/>
      <c r="S337" s="80"/>
      <c r="T337" s="82"/>
      <c r="U337" s="80"/>
      <c r="V337" s="80"/>
      <c r="W337" s="80"/>
    </row>
    <row r="338" ht="18" customHeight="1" spans="1:23">
      <c r="A338" s="87" t="str">
        <f t="shared" si="15"/>
        <v/>
      </c>
      <c r="B338" s="78"/>
      <c r="C338" s="80"/>
      <c r="D338" s="79"/>
      <c r="E338" s="80"/>
      <c r="F338" s="79"/>
      <c r="G338" s="25" t="str">
        <f t="shared" si="16"/>
        <v/>
      </c>
      <c r="H338" s="88"/>
      <c r="I338" s="93"/>
      <c r="J338" s="97"/>
      <c r="K338" s="88"/>
      <c r="L338" s="25" t="str">
        <f>IF($D338="","",SUMIFS($H$4:$H338,$D$4:$D338,$D338)+SUMIFS($I$4:$I338,$D$4:$D338,$D338)-SUMIFS($J$4:$J338,$D$4:$D338,$D338)-SUMIFS($K$4:$K338,$D$4:$D338,$D338))</f>
        <v/>
      </c>
      <c r="M338" s="80"/>
      <c r="N338" s="80"/>
      <c r="O338" s="94"/>
      <c r="P338" s="26" t="str">
        <f t="shared" si="17"/>
        <v/>
      </c>
      <c r="Q338" s="80"/>
      <c r="R338" s="80"/>
      <c r="S338" s="80"/>
      <c r="T338" s="82"/>
      <c r="U338" s="80"/>
      <c r="V338" s="80"/>
      <c r="W338" s="80"/>
    </row>
    <row r="339" ht="18" customHeight="1" spans="1:23">
      <c r="A339" s="87" t="str">
        <f t="shared" si="15"/>
        <v/>
      </c>
      <c r="B339" s="78"/>
      <c r="C339" s="80"/>
      <c r="D339" s="79"/>
      <c r="E339" s="80"/>
      <c r="F339" s="79"/>
      <c r="G339" s="25" t="str">
        <f t="shared" si="16"/>
        <v/>
      </c>
      <c r="H339" s="88"/>
      <c r="I339" s="93"/>
      <c r="J339" s="97"/>
      <c r="K339" s="88"/>
      <c r="L339" s="25" t="str">
        <f>IF($D339="","",SUMIFS($H$4:$H339,$D$4:$D339,$D339)+SUMIFS($I$4:$I339,$D$4:$D339,$D339)-SUMIFS($J$4:$J339,$D$4:$D339,$D339)-SUMIFS($K$4:$K339,$D$4:$D339,$D339))</f>
        <v/>
      </c>
      <c r="M339" s="80"/>
      <c r="N339" s="80"/>
      <c r="O339" s="94"/>
      <c r="P339" s="26" t="str">
        <f t="shared" si="17"/>
        <v/>
      </c>
      <c r="Q339" s="80"/>
      <c r="R339" s="80"/>
      <c r="S339" s="80"/>
      <c r="T339" s="82"/>
      <c r="U339" s="80"/>
      <c r="V339" s="80"/>
      <c r="W339" s="80"/>
    </row>
    <row r="340" ht="18" customHeight="1" spans="1:23">
      <c r="A340" s="87" t="str">
        <f t="shared" si="15"/>
        <v/>
      </c>
      <c r="B340" s="78"/>
      <c r="C340" s="80"/>
      <c r="D340" s="79"/>
      <c r="E340" s="80"/>
      <c r="F340" s="79"/>
      <c r="G340" s="25" t="str">
        <f t="shared" si="16"/>
        <v/>
      </c>
      <c r="H340" s="88"/>
      <c r="I340" s="93"/>
      <c r="J340" s="97"/>
      <c r="K340" s="88"/>
      <c r="L340" s="25" t="str">
        <f>IF($D340="","",SUMIFS($H$4:$H340,$D$4:$D340,$D340)+SUMIFS($I$4:$I340,$D$4:$D340,$D340)-SUMIFS($J$4:$J340,$D$4:$D340,$D340)-SUMIFS($K$4:$K340,$D$4:$D340,$D340))</f>
        <v/>
      </c>
      <c r="M340" s="80"/>
      <c r="N340" s="80"/>
      <c r="O340" s="94"/>
      <c r="P340" s="26" t="str">
        <f t="shared" si="17"/>
        <v/>
      </c>
      <c r="Q340" s="80"/>
      <c r="R340" s="80"/>
      <c r="S340" s="80"/>
      <c r="T340" s="82"/>
      <c r="U340" s="80"/>
      <c r="V340" s="80"/>
      <c r="W340" s="80"/>
    </row>
    <row r="341" ht="18" customHeight="1" spans="1:23">
      <c r="A341" s="87" t="str">
        <f t="shared" si="15"/>
        <v/>
      </c>
      <c r="B341" s="78"/>
      <c r="C341" s="80"/>
      <c r="D341" s="79"/>
      <c r="E341" s="80"/>
      <c r="F341" s="79"/>
      <c r="G341" s="25" t="str">
        <f t="shared" si="16"/>
        <v/>
      </c>
      <c r="H341" s="88"/>
      <c r="I341" s="93"/>
      <c r="J341" s="97"/>
      <c r="K341" s="88"/>
      <c r="L341" s="25" t="str">
        <f>IF($D341="","",SUMIFS($H$4:$H341,$D$4:$D341,$D341)+SUMIFS($I$4:$I341,$D$4:$D341,$D341)-SUMIFS($J$4:$J341,$D$4:$D341,$D341)-SUMIFS($K$4:$K341,$D$4:$D341,$D341))</f>
        <v/>
      </c>
      <c r="M341" s="80"/>
      <c r="N341" s="80"/>
      <c r="O341" s="94"/>
      <c r="P341" s="26" t="str">
        <f t="shared" si="17"/>
        <v/>
      </c>
      <c r="Q341" s="80"/>
      <c r="R341" s="80"/>
      <c r="S341" s="80"/>
      <c r="T341" s="82"/>
      <c r="U341" s="80"/>
      <c r="V341" s="80"/>
      <c r="W341" s="80"/>
    </row>
    <row r="342" ht="18" customHeight="1" spans="1:23">
      <c r="A342" s="87" t="str">
        <f t="shared" si="15"/>
        <v/>
      </c>
      <c r="B342" s="78"/>
      <c r="C342" s="80"/>
      <c r="D342" s="79"/>
      <c r="E342" s="80"/>
      <c r="F342" s="79"/>
      <c r="G342" s="25" t="str">
        <f t="shared" si="16"/>
        <v/>
      </c>
      <c r="H342" s="88"/>
      <c r="I342" s="93"/>
      <c r="J342" s="97"/>
      <c r="K342" s="88"/>
      <c r="L342" s="25" t="str">
        <f>IF($D342="","",SUMIFS($H$4:$H342,$D$4:$D342,$D342)+SUMIFS($I$4:$I342,$D$4:$D342,$D342)-SUMIFS($J$4:$J342,$D$4:$D342,$D342)-SUMIFS($K$4:$K342,$D$4:$D342,$D342))</f>
        <v/>
      </c>
      <c r="M342" s="80"/>
      <c r="N342" s="80"/>
      <c r="O342" s="94"/>
      <c r="P342" s="26" t="str">
        <f t="shared" si="17"/>
        <v/>
      </c>
      <c r="Q342" s="80"/>
      <c r="R342" s="80"/>
      <c r="S342" s="80"/>
      <c r="T342" s="82"/>
      <c r="U342" s="80"/>
      <c r="V342" s="80"/>
      <c r="W342" s="80"/>
    </row>
    <row r="343" ht="18" customHeight="1" spans="1:23">
      <c r="A343" s="87" t="str">
        <f t="shared" si="15"/>
        <v/>
      </c>
      <c r="B343" s="78"/>
      <c r="C343" s="80"/>
      <c r="D343" s="79"/>
      <c r="E343" s="80"/>
      <c r="F343" s="79"/>
      <c r="G343" s="25" t="str">
        <f t="shared" si="16"/>
        <v/>
      </c>
      <c r="H343" s="88"/>
      <c r="I343" s="93"/>
      <c r="J343" s="97"/>
      <c r="K343" s="88"/>
      <c r="L343" s="25" t="str">
        <f>IF($D343="","",SUMIFS($H$4:$H343,$D$4:$D343,$D343)+SUMIFS($I$4:$I343,$D$4:$D343,$D343)-SUMIFS($J$4:$J343,$D$4:$D343,$D343)-SUMIFS($K$4:$K343,$D$4:$D343,$D343))</f>
        <v/>
      </c>
      <c r="M343" s="80"/>
      <c r="N343" s="80"/>
      <c r="O343" s="94"/>
      <c r="P343" s="26" t="str">
        <f t="shared" si="17"/>
        <v/>
      </c>
      <c r="Q343" s="80"/>
      <c r="R343" s="80"/>
      <c r="S343" s="80"/>
      <c r="T343" s="82"/>
      <c r="U343" s="80"/>
      <c r="V343" s="80"/>
      <c r="W343" s="80"/>
    </row>
    <row r="344" ht="18" customHeight="1" spans="1:23">
      <c r="A344" s="87" t="str">
        <f t="shared" si="15"/>
        <v/>
      </c>
      <c r="B344" s="78"/>
      <c r="C344" s="80"/>
      <c r="D344" s="79"/>
      <c r="E344" s="80"/>
      <c r="F344" s="79"/>
      <c r="G344" s="25" t="str">
        <f t="shared" si="16"/>
        <v/>
      </c>
      <c r="H344" s="88"/>
      <c r="I344" s="93"/>
      <c r="J344" s="97"/>
      <c r="K344" s="88"/>
      <c r="L344" s="25" t="str">
        <f>IF($D344="","",SUMIFS($H$4:$H344,$D$4:$D344,$D344)+SUMIFS($I$4:$I344,$D$4:$D344,$D344)-SUMIFS($J$4:$J344,$D$4:$D344,$D344)-SUMIFS($K$4:$K344,$D$4:$D344,$D344))</f>
        <v/>
      </c>
      <c r="M344" s="80"/>
      <c r="N344" s="80"/>
      <c r="O344" s="94"/>
      <c r="P344" s="26" t="str">
        <f t="shared" si="17"/>
        <v/>
      </c>
      <c r="Q344" s="80"/>
      <c r="R344" s="80"/>
      <c r="S344" s="80"/>
      <c r="T344" s="82"/>
      <c r="U344" s="80"/>
      <c r="V344" s="80"/>
      <c r="W344" s="80"/>
    </row>
    <row r="345" ht="18" customHeight="1" spans="1:23">
      <c r="A345" s="87" t="str">
        <f t="shared" si="15"/>
        <v/>
      </c>
      <c r="B345" s="78"/>
      <c r="C345" s="80"/>
      <c r="D345" s="79"/>
      <c r="E345" s="80"/>
      <c r="F345" s="79"/>
      <c r="G345" s="25" t="str">
        <f t="shared" si="16"/>
        <v/>
      </c>
      <c r="H345" s="88"/>
      <c r="I345" s="93"/>
      <c r="J345" s="97"/>
      <c r="K345" s="88"/>
      <c r="L345" s="25" t="str">
        <f>IF($D345="","",SUMIFS($H$4:$H345,$D$4:$D345,$D345)+SUMIFS($I$4:$I345,$D$4:$D345,$D345)-SUMIFS($J$4:$J345,$D$4:$D345,$D345)-SUMIFS($K$4:$K345,$D$4:$D345,$D345))</f>
        <v/>
      </c>
      <c r="M345" s="80"/>
      <c r="N345" s="80"/>
      <c r="O345" s="94"/>
      <c r="P345" s="26" t="str">
        <f t="shared" si="17"/>
        <v/>
      </c>
      <c r="Q345" s="80"/>
      <c r="R345" s="80"/>
      <c r="S345" s="80"/>
      <c r="T345" s="82"/>
      <c r="U345" s="80"/>
      <c r="V345" s="80"/>
      <c r="W345" s="80"/>
    </row>
    <row r="346" ht="18" customHeight="1" spans="1:23">
      <c r="A346" s="87" t="str">
        <f t="shared" si="15"/>
        <v/>
      </c>
      <c r="B346" s="78"/>
      <c r="C346" s="80"/>
      <c r="D346" s="79"/>
      <c r="E346" s="80"/>
      <c r="F346" s="79"/>
      <c r="G346" s="25" t="str">
        <f t="shared" si="16"/>
        <v/>
      </c>
      <c r="H346" s="88"/>
      <c r="I346" s="93"/>
      <c r="J346" s="97"/>
      <c r="K346" s="88"/>
      <c r="L346" s="25" t="str">
        <f>IF($D346="","",SUMIFS($H$4:$H346,$D$4:$D346,$D346)+SUMIFS($I$4:$I346,$D$4:$D346,$D346)-SUMIFS($J$4:$J346,$D$4:$D346,$D346)-SUMIFS($K$4:$K346,$D$4:$D346,$D346))</f>
        <v/>
      </c>
      <c r="M346" s="80"/>
      <c r="N346" s="80"/>
      <c r="O346" s="94"/>
      <c r="P346" s="26" t="str">
        <f t="shared" si="17"/>
        <v/>
      </c>
      <c r="Q346" s="80"/>
      <c r="R346" s="80"/>
      <c r="S346" s="80"/>
      <c r="T346" s="82"/>
      <c r="U346" s="80"/>
      <c r="V346" s="80"/>
      <c r="W346" s="80"/>
    </row>
    <row r="347" ht="18" customHeight="1" spans="1:23">
      <c r="A347" s="87" t="str">
        <f t="shared" si="15"/>
        <v/>
      </c>
      <c r="B347" s="78"/>
      <c r="C347" s="80"/>
      <c r="D347" s="79"/>
      <c r="E347" s="80"/>
      <c r="F347" s="79"/>
      <c r="G347" s="25" t="str">
        <f t="shared" si="16"/>
        <v/>
      </c>
      <c r="H347" s="88"/>
      <c r="I347" s="93"/>
      <c r="J347" s="97"/>
      <c r="K347" s="88"/>
      <c r="L347" s="25" t="str">
        <f>IF($D347="","",SUMIFS($H$4:$H347,$D$4:$D347,$D347)+SUMIFS($I$4:$I347,$D$4:$D347,$D347)-SUMIFS($J$4:$J347,$D$4:$D347,$D347)-SUMIFS($K$4:$K347,$D$4:$D347,$D347))</f>
        <v/>
      </c>
      <c r="M347" s="80"/>
      <c r="N347" s="80"/>
      <c r="O347" s="94"/>
      <c r="P347" s="26" t="str">
        <f t="shared" si="17"/>
        <v/>
      </c>
      <c r="Q347" s="80"/>
      <c r="R347" s="80"/>
      <c r="S347" s="80"/>
      <c r="T347" s="82"/>
      <c r="U347" s="80"/>
      <c r="V347" s="80"/>
      <c r="W347" s="80"/>
    </row>
    <row r="348" ht="18" customHeight="1" spans="1:23">
      <c r="A348" s="87" t="str">
        <f t="shared" si="15"/>
        <v/>
      </c>
      <c r="B348" s="78"/>
      <c r="C348" s="80"/>
      <c r="D348" s="79"/>
      <c r="E348" s="80"/>
      <c r="F348" s="79"/>
      <c r="G348" s="25" t="str">
        <f t="shared" si="16"/>
        <v/>
      </c>
      <c r="H348" s="88"/>
      <c r="I348" s="93"/>
      <c r="J348" s="97"/>
      <c r="K348" s="88"/>
      <c r="L348" s="25" t="str">
        <f>IF($D348="","",SUMIFS($H$4:$H348,$D$4:$D348,$D348)+SUMIFS($I$4:$I348,$D$4:$D348,$D348)-SUMIFS($J$4:$J348,$D$4:$D348,$D348)-SUMIFS($K$4:$K348,$D$4:$D348,$D348))</f>
        <v/>
      </c>
      <c r="M348" s="80"/>
      <c r="N348" s="80"/>
      <c r="O348" s="94"/>
      <c r="P348" s="26" t="str">
        <f t="shared" si="17"/>
        <v/>
      </c>
      <c r="Q348" s="80"/>
      <c r="R348" s="80"/>
      <c r="S348" s="80"/>
      <c r="T348" s="82"/>
      <c r="U348" s="80"/>
      <c r="V348" s="80"/>
      <c r="W348" s="80"/>
    </row>
    <row r="349" ht="18" customHeight="1" spans="1:23">
      <c r="A349" s="87" t="str">
        <f t="shared" si="15"/>
        <v/>
      </c>
      <c r="B349" s="78"/>
      <c r="C349" s="80"/>
      <c r="D349" s="79"/>
      <c r="E349" s="80"/>
      <c r="F349" s="79"/>
      <c r="G349" s="25" t="str">
        <f t="shared" si="16"/>
        <v/>
      </c>
      <c r="H349" s="88"/>
      <c r="I349" s="93"/>
      <c r="J349" s="97"/>
      <c r="K349" s="88"/>
      <c r="L349" s="25" t="str">
        <f>IF($D349="","",SUMIFS($H$4:$H349,$D$4:$D349,$D349)+SUMIFS($I$4:$I349,$D$4:$D349,$D349)-SUMIFS($J$4:$J349,$D$4:$D349,$D349)-SUMIFS($K$4:$K349,$D$4:$D349,$D349))</f>
        <v/>
      </c>
      <c r="M349" s="80"/>
      <c r="N349" s="80"/>
      <c r="O349" s="94"/>
      <c r="P349" s="26" t="str">
        <f t="shared" si="17"/>
        <v/>
      </c>
      <c r="Q349" s="80"/>
      <c r="R349" s="80"/>
      <c r="S349" s="80"/>
      <c r="T349" s="82"/>
      <c r="U349" s="80"/>
      <c r="V349" s="80"/>
      <c r="W349" s="80"/>
    </row>
    <row r="350" ht="18" customHeight="1" spans="1:23">
      <c r="A350" s="87" t="str">
        <f t="shared" si="15"/>
        <v/>
      </c>
      <c r="B350" s="78"/>
      <c r="C350" s="80"/>
      <c r="D350" s="79"/>
      <c r="E350" s="80"/>
      <c r="F350" s="79"/>
      <c r="G350" s="25" t="str">
        <f t="shared" si="16"/>
        <v/>
      </c>
      <c r="H350" s="88"/>
      <c r="I350" s="93"/>
      <c r="J350" s="97"/>
      <c r="K350" s="88"/>
      <c r="L350" s="25" t="str">
        <f>IF($D350="","",SUMIFS($H$4:$H350,$D$4:$D350,$D350)+SUMIFS($I$4:$I350,$D$4:$D350,$D350)-SUMIFS($J$4:$J350,$D$4:$D350,$D350)-SUMIFS($K$4:$K350,$D$4:$D350,$D350))</f>
        <v/>
      </c>
      <c r="M350" s="80"/>
      <c r="N350" s="80"/>
      <c r="O350" s="94"/>
      <c r="P350" s="26" t="str">
        <f t="shared" si="17"/>
        <v/>
      </c>
      <c r="Q350" s="80"/>
      <c r="R350" s="80"/>
      <c r="S350" s="80"/>
      <c r="T350" s="82"/>
      <c r="U350" s="80"/>
      <c r="V350" s="80"/>
      <c r="W350" s="80"/>
    </row>
    <row r="351" ht="18" customHeight="1" spans="1:23">
      <c r="A351" s="87" t="str">
        <f t="shared" si="15"/>
        <v/>
      </c>
      <c r="B351" s="78"/>
      <c r="C351" s="80"/>
      <c r="D351" s="79"/>
      <c r="E351" s="80"/>
      <c r="F351" s="79"/>
      <c r="G351" s="25" t="str">
        <f t="shared" si="16"/>
        <v/>
      </c>
      <c r="H351" s="88"/>
      <c r="I351" s="93"/>
      <c r="J351" s="97"/>
      <c r="K351" s="88"/>
      <c r="L351" s="25" t="str">
        <f>IF($D351="","",SUMIFS($H$4:$H351,$D$4:$D351,$D351)+SUMIFS($I$4:$I351,$D$4:$D351,$D351)-SUMIFS($J$4:$J351,$D$4:$D351,$D351)-SUMIFS($K$4:$K351,$D$4:$D351,$D351))</f>
        <v/>
      </c>
      <c r="M351" s="80"/>
      <c r="N351" s="80"/>
      <c r="O351" s="94"/>
      <c r="P351" s="26" t="str">
        <f t="shared" si="17"/>
        <v/>
      </c>
      <c r="Q351" s="80"/>
      <c r="R351" s="80"/>
      <c r="S351" s="80"/>
      <c r="T351" s="82"/>
      <c r="U351" s="80"/>
      <c r="V351" s="80"/>
      <c r="W351" s="80"/>
    </row>
    <row r="352" ht="18" customHeight="1" spans="1:23">
      <c r="A352" s="87" t="str">
        <f t="shared" si="15"/>
        <v/>
      </c>
      <c r="B352" s="78"/>
      <c r="C352" s="80"/>
      <c r="D352" s="79"/>
      <c r="E352" s="80"/>
      <c r="F352" s="79"/>
      <c r="G352" s="25" t="str">
        <f t="shared" si="16"/>
        <v/>
      </c>
      <c r="H352" s="88"/>
      <c r="I352" s="93"/>
      <c r="J352" s="97"/>
      <c r="K352" s="88"/>
      <c r="L352" s="25" t="str">
        <f>IF($D352="","",SUMIFS($H$4:$H352,$D$4:$D352,$D352)+SUMIFS($I$4:$I352,$D$4:$D352,$D352)-SUMIFS($J$4:$J352,$D$4:$D352,$D352)-SUMIFS($K$4:$K352,$D$4:$D352,$D352))</f>
        <v/>
      </c>
      <c r="M352" s="80"/>
      <c r="N352" s="80"/>
      <c r="O352" s="94"/>
      <c r="P352" s="26" t="str">
        <f t="shared" si="17"/>
        <v/>
      </c>
      <c r="Q352" s="80"/>
      <c r="R352" s="80"/>
      <c r="S352" s="80"/>
      <c r="T352" s="82"/>
      <c r="U352" s="80"/>
      <c r="V352" s="80"/>
      <c r="W352" s="80"/>
    </row>
    <row r="353" ht="18" customHeight="1" spans="1:23">
      <c r="A353" s="87" t="str">
        <f t="shared" si="15"/>
        <v/>
      </c>
      <c r="B353" s="78"/>
      <c r="C353" s="80"/>
      <c r="D353" s="79"/>
      <c r="E353" s="80"/>
      <c r="F353" s="79"/>
      <c r="G353" s="25" t="str">
        <f t="shared" si="16"/>
        <v/>
      </c>
      <c r="H353" s="88"/>
      <c r="I353" s="93"/>
      <c r="J353" s="97"/>
      <c r="K353" s="88"/>
      <c r="L353" s="25" t="str">
        <f>IF($D353="","",SUMIFS($H$4:$H353,$D$4:$D353,$D353)+SUMIFS($I$4:$I353,$D$4:$D353,$D353)-SUMIFS($J$4:$J353,$D$4:$D353,$D353)-SUMIFS($K$4:$K353,$D$4:$D353,$D353))</f>
        <v/>
      </c>
      <c r="M353" s="80"/>
      <c r="N353" s="80"/>
      <c r="O353" s="94"/>
      <c r="P353" s="26" t="str">
        <f t="shared" si="17"/>
        <v/>
      </c>
      <c r="Q353" s="80"/>
      <c r="R353" s="80"/>
      <c r="S353" s="80"/>
      <c r="T353" s="82"/>
      <c r="U353" s="80"/>
      <c r="V353" s="80"/>
      <c r="W353" s="80"/>
    </row>
    <row r="354" ht="18" customHeight="1" spans="1:23">
      <c r="A354" s="87" t="str">
        <f t="shared" si="15"/>
        <v/>
      </c>
      <c r="B354" s="78"/>
      <c r="C354" s="80"/>
      <c r="D354" s="79"/>
      <c r="E354" s="80"/>
      <c r="F354" s="79"/>
      <c r="G354" s="25" t="str">
        <f t="shared" si="16"/>
        <v/>
      </c>
      <c r="H354" s="88"/>
      <c r="I354" s="93"/>
      <c r="J354" s="97"/>
      <c r="K354" s="88"/>
      <c r="L354" s="25" t="str">
        <f>IF($D354="","",SUMIFS($H$4:$H354,$D$4:$D354,$D354)+SUMIFS($I$4:$I354,$D$4:$D354,$D354)-SUMIFS($J$4:$J354,$D$4:$D354,$D354)-SUMIFS($K$4:$K354,$D$4:$D354,$D354))</f>
        <v/>
      </c>
      <c r="M354" s="80"/>
      <c r="N354" s="80"/>
      <c r="O354" s="94"/>
      <c r="P354" s="26" t="str">
        <f t="shared" si="17"/>
        <v/>
      </c>
      <c r="Q354" s="80"/>
      <c r="R354" s="80"/>
      <c r="S354" s="80"/>
      <c r="T354" s="82"/>
      <c r="U354" s="80"/>
      <c r="V354" s="80"/>
      <c r="W354" s="80"/>
    </row>
    <row r="355" ht="18" customHeight="1" spans="1:23">
      <c r="A355" s="87" t="str">
        <f t="shared" si="15"/>
        <v/>
      </c>
      <c r="B355" s="78"/>
      <c r="C355" s="80"/>
      <c r="D355" s="79"/>
      <c r="E355" s="80"/>
      <c r="F355" s="79"/>
      <c r="G355" s="25" t="str">
        <f t="shared" si="16"/>
        <v/>
      </c>
      <c r="H355" s="88"/>
      <c r="I355" s="93"/>
      <c r="J355" s="97"/>
      <c r="K355" s="88"/>
      <c r="L355" s="25" t="str">
        <f>IF($D355="","",SUMIFS($H$4:$H355,$D$4:$D355,$D355)+SUMIFS($I$4:$I355,$D$4:$D355,$D355)-SUMIFS($J$4:$J355,$D$4:$D355,$D355)-SUMIFS($K$4:$K355,$D$4:$D355,$D355))</f>
        <v/>
      </c>
      <c r="M355" s="80"/>
      <c r="N355" s="80"/>
      <c r="O355" s="94"/>
      <c r="P355" s="26" t="str">
        <f t="shared" si="17"/>
        <v/>
      </c>
      <c r="Q355" s="80"/>
      <c r="R355" s="80"/>
      <c r="S355" s="80"/>
      <c r="T355" s="82"/>
      <c r="U355" s="80"/>
      <c r="V355" s="80"/>
      <c r="W355" s="80"/>
    </row>
    <row r="356" ht="18" customHeight="1" spans="1:23">
      <c r="A356" s="87" t="str">
        <f t="shared" si="15"/>
        <v/>
      </c>
      <c r="B356" s="78"/>
      <c r="C356" s="80"/>
      <c r="D356" s="79"/>
      <c r="E356" s="80"/>
      <c r="F356" s="79"/>
      <c r="G356" s="25" t="str">
        <f t="shared" si="16"/>
        <v/>
      </c>
      <c r="H356" s="88"/>
      <c r="I356" s="93"/>
      <c r="J356" s="97"/>
      <c r="K356" s="88"/>
      <c r="L356" s="25" t="str">
        <f>IF($D356="","",SUMIFS($H$4:$H356,$D$4:$D356,$D356)+SUMIFS($I$4:$I356,$D$4:$D356,$D356)-SUMIFS($J$4:$J356,$D$4:$D356,$D356)-SUMIFS($K$4:$K356,$D$4:$D356,$D356))</f>
        <v/>
      </c>
      <c r="M356" s="80"/>
      <c r="N356" s="80"/>
      <c r="O356" s="94"/>
      <c r="P356" s="26" t="str">
        <f t="shared" si="17"/>
        <v/>
      </c>
      <c r="Q356" s="80"/>
      <c r="R356" s="80"/>
      <c r="S356" s="80"/>
      <c r="T356" s="82"/>
      <c r="U356" s="80"/>
      <c r="V356" s="80"/>
      <c r="W356" s="80"/>
    </row>
    <row r="357" ht="18" customHeight="1" spans="1:23">
      <c r="A357" s="87" t="str">
        <f t="shared" si="15"/>
        <v/>
      </c>
      <c r="B357" s="78"/>
      <c r="C357" s="80"/>
      <c r="D357" s="79"/>
      <c r="E357" s="80"/>
      <c r="F357" s="79"/>
      <c r="G357" s="25" t="str">
        <f t="shared" si="16"/>
        <v/>
      </c>
      <c r="H357" s="88"/>
      <c r="I357" s="93"/>
      <c r="J357" s="97"/>
      <c r="K357" s="88"/>
      <c r="L357" s="25" t="str">
        <f>IF($D357="","",SUMIFS($H$4:$H357,$D$4:$D357,$D357)+SUMIFS($I$4:$I357,$D$4:$D357,$D357)-SUMIFS($J$4:$J357,$D$4:$D357,$D357)-SUMIFS($K$4:$K357,$D$4:$D357,$D357))</f>
        <v/>
      </c>
      <c r="M357" s="80"/>
      <c r="N357" s="80"/>
      <c r="O357" s="94"/>
      <c r="P357" s="26" t="str">
        <f t="shared" si="17"/>
        <v/>
      </c>
      <c r="Q357" s="80"/>
      <c r="R357" s="80"/>
      <c r="S357" s="80"/>
      <c r="T357" s="82"/>
      <c r="U357" s="80"/>
      <c r="V357" s="80"/>
      <c r="W357" s="80"/>
    </row>
    <row r="358" ht="18" customHeight="1" spans="1:23">
      <c r="A358" s="87" t="str">
        <f t="shared" si="15"/>
        <v/>
      </c>
      <c r="B358" s="78"/>
      <c r="C358" s="80"/>
      <c r="D358" s="79"/>
      <c r="E358" s="80"/>
      <c r="F358" s="79"/>
      <c r="G358" s="25" t="str">
        <f t="shared" si="16"/>
        <v/>
      </c>
      <c r="H358" s="88"/>
      <c r="I358" s="93"/>
      <c r="J358" s="97"/>
      <c r="K358" s="88"/>
      <c r="L358" s="25" t="str">
        <f>IF($D358="","",SUMIFS($H$4:$H358,$D$4:$D358,$D358)+SUMIFS($I$4:$I358,$D$4:$D358,$D358)-SUMIFS($J$4:$J358,$D$4:$D358,$D358)-SUMIFS($K$4:$K358,$D$4:$D358,$D358))</f>
        <v/>
      </c>
      <c r="M358" s="80"/>
      <c r="N358" s="80"/>
      <c r="O358" s="94"/>
      <c r="P358" s="26" t="str">
        <f t="shared" si="17"/>
        <v/>
      </c>
      <c r="Q358" s="80"/>
      <c r="R358" s="80"/>
      <c r="S358" s="80"/>
      <c r="T358" s="82"/>
      <c r="U358" s="80"/>
      <c r="V358" s="80"/>
      <c r="W358" s="80"/>
    </row>
    <row r="359" ht="18" customHeight="1" spans="1:23">
      <c r="A359" s="87" t="str">
        <f t="shared" si="15"/>
        <v/>
      </c>
      <c r="B359" s="78"/>
      <c r="C359" s="80"/>
      <c r="D359" s="79"/>
      <c r="E359" s="80"/>
      <c r="F359" s="79"/>
      <c r="G359" s="25" t="str">
        <f t="shared" si="16"/>
        <v/>
      </c>
      <c r="H359" s="88"/>
      <c r="I359" s="93"/>
      <c r="J359" s="97"/>
      <c r="K359" s="88"/>
      <c r="L359" s="25" t="str">
        <f>IF($D359="","",SUMIFS($H$4:$H359,$D$4:$D359,$D359)+SUMIFS($I$4:$I359,$D$4:$D359,$D359)-SUMIFS($J$4:$J359,$D$4:$D359,$D359)-SUMIFS($K$4:$K359,$D$4:$D359,$D359))</f>
        <v/>
      </c>
      <c r="M359" s="80"/>
      <c r="N359" s="80"/>
      <c r="O359" s="94"/>
      <c r="P359" s="26" t="str">
        <f t="shared" si="17"/>
        <v/>
      </c>
      <c r="Q359" s="80"/>
      <c r="R359" s="80"/>
      <c r="S359" s="80"/>
      <c r="T359" s="82"/>
      <c r="U359" s="80"/>
      <c r="V359" s="80"/>
      <c r="W359" s="80"/>
    </row>
    <row r="360" ht="18" customHeight="1" spans="1:23">
      <c r="A360" s="87" t="str">
        <f t="shared" si="15"/>
        <v/>
      </c>
      <c r="B360" s="78"/>
      <c r="C360" s="80"/>
      <c r="D360" s="79"/>
      <c r="E360" s="80"/>
      <c r="F360" s="79"/>
      <c r="G360" s="25" t="str">
        <f t="shared" si="16"/>
        <v/>
      </c>
      <c r="H360" s="88"/>
      <c r="I360" s="93"/>
      <c r="J360" s="97"/>
      <c r="K360" s="88"/>
      <c r="L360" s="25" t="str">
        <f>IF($D360="","",SUMIFS($H$4:$H360,$D$4:$D360,$D360)+SUMIFS($I$4:$I360,$D$4:$D360,$D360)-SUMIFS($J$4:$J360,$D$4:$D360,$D360)-SUMIFS($K$4:$K360,$D$4:$D360,$D360))</f>
        <v/>
      </c>
      <c r="M360" s="80"/>
      <c r="N360" s="80"/>
      <c r="O360" s="94"/>
      <c r="P360" s="26" t="str">
        <f t="shared" si="17"/>
        <v/>
      </c>
      <c r="Q360" s="80"/>
      <c r="R360" s="80"/>
      <c r="S360" s="80"/>
      <c r="T360" s="82"/>
      <c r="U360" s="80"/>
      <c r="V360" s="80"/>
      <c r="W360" s="80"/>
    </row>
    <row r="361" ht="18" customHeight="1" spans="1:23">
      <c r="A361" s="87" t="str">
        <f t="shared" si="15"/>
        <v/>
      </c>
      <c r="B361" s="78"/>
      <c r="C361" s="80"/>
      <c r="D361" s="79"/>
      <c r="E361" s="80"/>
      <c r="F361" s="79"/>
      <c r="G361" s="25" t="str">
        <f t="shared" si="16"/>
        <v/>
      </c>
      <c r="H361" s="88"/>
      <c r="I361" s="93"/>
      <c r="J361" s="97"/>
      <c r="K361" s="88"/>
      <c r="L361" s="25" t="str">
        <f>IF($D361="","",SUMIFS($H$4:$H361,$D$4:$D361,$D361)+SUMIFS($I$4:$I361,$D$4:$D361,$D361)-SUMIFS($J$4:$J361,$D$4:$D361,$D361)-SUMIFS($K$4:$K361,$D$4:$D361,$D361))</f>
        <v/>
      </c>
      <c r="M361" s="80"/>
      <c r="N361" s="80"/>
      <c r="O361" s="94"/>
      <c r="P361" s="26" t="str">
        <f t="shared" si="17"/>
        <v/>
      </c>
      <c r="Q361" s="80"/>
      <c r="R361" s="80"/>
      <c r="S361" s="80"/>
      <c r="T361" s="82"/>
      <c r="U361" s="80"/>
      <c r="V361" s="80"/>
      <c r="W361" s="80"/>
    </row>
    <row r="362" ht="18" customHeight="1" spans="1:23">
      <c r="A362" s="87" t="str">
        <f t="shared" si="15"/>
        <v/>
      </c>
      <c r="B362" s="78"/>
      <c r="C362" s="80"/>
      <c r="D362" s="79"/>
      <c r="E362" s="80"/>
      <c r="F362" s="79"/>
      <c r="G362" s="25" t="str">
        <f t="shared" si="16"/>
        <v/>
      </c>
      <c r="H362" s="88"/>
      <c r="I362" s="93"/>
      <c r="J362" s="97"/>
      <c r="K362" s="88"/>
      <c r="L362" s="25" t="str">
        <f>IF($D362="","",SUMIFS($H$4:$H362,$D$4:$D362,$D362)+SUMIFS($I$4:$I362,$D$4:$D362,$D362)-SUMIFS($J$4:$J362,$D$4:$D362,$D362)-SUMIFS($K$4:$K362,$D$4:$D362,$D362))</f>
        <v/>
      </c>
      <c r="M362" s="80"/>
      <c r="N362" s="80"/>
      <c r="O362" s="94"/>
      <c r="P362" s="26" t="str">
        <f t="shared" si="17"/>
        <v/>
      </c>
      <c r="Q362" s="80"/>
      <c r="R362" s="80"/>
      <c r="S362" s="80"/>
      <c r="T362" s="82"/>
      <c r="U362" s="80"/>
      <c r="V362" s="80"/>
      <c r="W362" s="80"/>
    </row>
    <row r="363" ht="18" customHeight="1" spans="1:23">
      <c r="A363" s="87" t="str">
        <f t="shared" si="15"/>
        <v/>
      </c>
      <c r="B363" s="78"/>
      <c r="C363" s="80"/>
      <c r="D363" s="79"/>
      <c r="E363" s="80"/>
      <c r="F363" s="79"/>
      <c r="G363" s="25" t="str">
        <f t="shared" si="16"/>
        <v/>
      </c>
      <c r="H363" s="88"/>
      <c r="I363" s="93"/>
      <c r="J363" s="97"/>
      <c r="K363" s="88"/>
      <c r="L363" s="25" t="str">
        <f>IF($D363="","",SUMIFS($H$4:$H363,$D$4:$D363,$D363)+SUMIFS($I$4:$I363,$D$4:$D363,$D363)-SUMIFS($J$4:$J363,$D$4:$D363,$D363)-SUMIFS($K$4:$K363,$D$4:$D363,$D363))</f>
        <v/>
      </c>
      <c r="M363" s="80"/>
      <c r="N363" s="80"/>
      <c r="O363" s="94"/>
      <c r="P363" s="26" t="str">
        <f t="shared" si="17"/>
        <v/>
      </c>
      <c r="Q363" s="80"/>
      <c r="R363" s="80"/>
      <c r="S363" s="80"/>
      <c r="T363" s="82"/>
      <c r="U363" s="80"/>
      <c r="V363" s="80"/>
      <c r="W363" s="80"/>
    </row>
    <row r="364" ht="18" customHeight="1" spans="1:23">
      <c r="A364" s="87" t="str">
        <f t="shared" si="15"/>
        <v/>
      </c>
      <c r="B364" s="78"/>
      <c r="C364" s="80"/>
      <c r="D364" s="79"/>
      <c r="E364" s="80"/>
      <c r="F364" s="79"/>
      <c r="G364" s="25" t="str">
        <f t="shared" si="16"/>
        <v/>
      </c>
      <c r="H364" s="88"/>
      <c r="I364" s="93"/>
      <c r="J364" s="97"/>
      <c r="K364" s="88"/>
      <c r="L364" s="25" t="str">
        <f>IF($D364="","",SUMIFS($H$4:$H364,$D$4:$D364,$D364)+SUMIFS($I$4:$I364,$D$4:$D364,$D364)-SUMIFS($J$4:$J364,$D$4:$D364,$D364)-SUMIFS($K$4:$K364,$D$4:$D364,$D364))</f>
        <v/>
      </c>
      <c r="M364" s="80"/>
      <c r="N364" s="80"/>
      <c r="O364" s="94"/>
      <c r="P364" s="26" t="str">
        <f t="shared" si="17"/>
        <v/>
      </c>
      <c r="Q364" s="80"/>
      <c r="R364" s="80"/>
      <c r="S364" s="80"/>
      <c r="T364" s="82"/>
      <c r="U364" s="80"/>
      <c r="V364" s="80"/>
      <c r="W364" s="80"/>
    </row>
    <row r="365" ht="18" customHeight="1" spans="1:23">
      <c r="A365" s="87" t="str">
        <f t="shared" si="15"/>
        <v/>
      </c>
      <c r="B365" s="78"/>
      <c r="C365" s="80"/>
      <c r="D365" s="79"/>
      <c r="E365" s="80"/>
      <c r="F365" s="79"/>
      <c r="G365" s="25" t="str">
        <f t="shared" si="16"/>
        <v/>
      </c>
      <c r="H365" s="88"/>
      <c r="I365" s="93"/>
      <c r="J365" s="97"/>
      <c r="K365" s="88"/>
      <c r="L365" s="25" t="str">
        <f>IF($D365="","",SUMIFS($H$4:$H365,$D$4:$D365,$D365)+SUMIFS($I$4:$I365,$D$4:$D365,$D365)-SUMIFS($J$4:$J365,$D$4:$D365,$D365)-SUMIFS($K$4:$K365,$D$4:$D365,$D365))</f>
        <v/>
      </c>
      <c r="M365" s="80"/>
      <c r="N365" s="80"/>
      <c r="O365" s="94"/>
      <c r="P365" s="26" t="str">
        <f t="shared" si="17"/>
        <v/>
      </c>
      <c r="Q365" s="80"/>
      <c r="R365" s="80"/>
      <c r="S365" s="80"/>
      <c r="T365" s="82"/>
      <c r="U365" s="80"/>
      <c r="V365" s="80"/>
      <c r="W365" s="80"/>
    </row>
    <row r="366" ht="18" customHeight="1" spans="1:23">
      <c r="A366" s="87" t="str">
        <f t="shared" si="15"/>
        <v/>
      </c>
      <c r="B366" s="78"/>
      <c r="C366" s="80"/>
      <c r="D366" s="79"/>
      <c r="E366" s="80"/>
      <c r="F366" s="79"/>
      <c r="G366" s="25" t="str">
        <f t="shared" si="16"/>
        <v/>
      </c>
      <c r="H366" s="88"/>
      <c r="I366" s="93"/>
      <c r="J366" s="97"/>
      <c r="K366" s="88"/>
      <c r="L366" s="25" t="str">
        <f>IF($D366="","",SUMIFS($H$4:$H366,$D$4:$D366,$D366)+SUMIFS($I$4:$I366,$D$4:$D366,$D366)-SUMIFS($J$4:$J366,$D$4:$D366,$D366)-SUMIFS($K$4:$K366,$D$4:$D366,$D366))</f>
        <v/>
      </c>
      <c r="M366" s="80"/>
      <c r="N366" s="80"/>
      <c r="O366" s="94"/>
      <c r="P366" s="26" t="str">
        <f t="shared" si="17"/>
        <v/>
      </c>
      <c r="Q366" s="80"/>
      <c r="R366" s="80"/>
      <c r="S366" s="80"/>
      <c r="T366" s="82"/>
      <c r="U366" s="80"/>
      <c r="V366" s="80"/>
      <c r="W366" s="80"/>
    </row>
    <row r="367" ht="18" customHeight="1" spans="1:23">
      <c r="A367" s="87" t="str">
        <f t="shared" si="15"/>
        <v/>
      </c>
      <c r="B367" s="78"/>
      <c r="C367" s="80"/>
      <c r="D367" s="79"/>
      <c r="E367" s="80"/>
      <c r="F367" s="79"/>
      <c r="G367" s="25" t="str">
        <f t="shared" si="16"/>
        <v/>
      </c>
      <c r="H367" s="88"/>
      <c r="I367" s="93"/>
      <c r="J367" s="97"/>
      <c r="K367" s="88"/>
      <c r="L367" s="25" t="str">
        <f>IF($D367="","",SUMIFS($H$4:$H367,$D$4:$D367,$D367)+SUMIFS($I$4:$I367,$D$4:$D367,$D367)-SUMIFS($J$4:$J367,$D$4:$D367,$D367)-SUMIFS($K$4:$K367,$D$4:$D367,$D367))</f>
        <v/>
      </c>
      <c r="M367" s="80"/>
      <c r="N367" s="80"/>
      <c r="O367" s="94"/>
      <c r="P367" s="26" t="str">
        <f t="shared" si="17"/>
        <v/>
      </c>
      <c r="Q367" s="80"/>
      <c r="R367" s="80"/>
      <c r="S367" s="80"/>
      <c r="T367" s="82"/>
      <c r="U367" s="80"/>
      <c r="V367" s="80"/>
      <c r="W367" s="80"/>
    </row>
    <row r="368" ht="18" customHeight="1" spans="1:23">
      <c r="A368" s="87" t="str">
        <f t="shared" si="15"/>
        <v/>
      </c>
      <c r="B368" s="78"/>
      <c r="C368" s="80"/>
      <c r="D368" s="79"/>
      <c r="E368" s="80"/>
      <c r="F368" s="79"/>
      <c r="G368" s="25" t="str">
        <f t="shared" si="16"/>
        <v/>
      </c>
      <c r="H368" s="88"/>
      <c r="I368" s="93"/>
      <c r="J368" s="97"/>
      <c r="K368" s="88"/>
      <c r="L368" s="25" t="str">
        <f>IF($D368="","",SUMIFS($H$4:$H368,$D$4:$D368,$D368)+SUMIFS($I$4:$I368,$D$4:$D368,$D368)-SUMIFS($J$4:$J368,$D$4:$D368,$D368)-SUMIFS($K$4:$K368,$D$4:$D368,$D368))</f>
        <v/>
      </c>
      <c r="M368" s="80"/>
      <c r="N368" s="80"/>
      <c r="O368" s="94"/>
      <c r="P368" s="26" t="str">
        <f t="shared" si="17"/>
        <v/>
      </c>
      <c r="Q368" s="80"/>
      <c r="R368" s="80"/>
      <c r="S368" s="80"/>
      <c r="T368" s="82"/>
      <c r="U368" s="80"/>
      <c r="V368" s="80"/>
      <c r="W368" s="80"/>
    </row>
    <row r="369" ht="18" customHeight="1" spans="1:23">
      <c r="A369" s="87" t="str">
        <f t="shared" si="15"/>
        <v/>
      </c>
      <c r="B369" s="78"/>
      <c r="C369" s="80"/>
      <c r="D369" s="79"/>
      <c r="E369" s="80"/>
      <c r="F369" s="79"/>
      <c r="G369" s="25" t="str">
        <f t="shared" si="16"/>
        <v/>
      </c>
      <c r="H369" s="88"/>
      <c r="I369" s="93"/>
      <c r="J369" s="97"/>
      <c r="K369" s="88"/>
      <c r="L369" s="25" t="str">
        <f>IF($D369="","",SUMIFS($H$4:$H369,$D$4:$D369,$D369)+SUMIFS($I$4:$I369,$D$4:$D369,$D369)-SUMIFS($J$4:$J369,$D$4:$D369,$D369)-SUMIFS($K$4:$K369,$D$4:$D369,$D369))</f>
        <v/>
      </c>
      <c r="M369" s="80"/>
      <c r="N369" s="80"/>
      <c r="O369" s="94"/>
      <c r="P369" s="26" t="str">
        <f t="shared" si="17"/>
        <v/>
      </c>
      <c r="Q369" s="80"/>
      <c r="R369" s="80"/>
      <c r="S369" s="80"/>
      <c r="T369" s="82"/>
      <c r="U369" s="80"/>
      <c r="V369" s="80"/>
      <c r="W369" s="80"/>
    </row>
    <row r="370" ht="18" customHeight="1" spans="1:23">
      <c r="A370" s="87" t="str">
        <f t="shared" si="15"/>
        <v/>
      </c>
      <c r="B370" s="78"/>
      <c r="C370" s="80"/>
      <c r="D370" s="79"/>
      <c r="E370" s="80"/>
      <c r="F370" s="79"/>
      <c r="G370" s="25" t="str">
        <f t="shared" si="16"/>
        <v/>
      </c>
      <c r="H370" s="88"/>
      <c r="I370" s="93"/>
      <c r="J370" s="97"/>
      <c r="K370" s="88"/>
      <c r="L370" s="25" t="str">
        <f>IF($D370="","",SUMIFS($H$4:$H370,$D$4:$D370,$D370)+SUMIFS($I$4:$I370,$D$4:$D370,$D370)-SUMIFS($J$4:$J370,$D$4:$D370,$D370)-SUMIFS($K$4:$K370,$D$4:$D370,$D370))</f>
        <v/>
      </c>
      <c r="M370" s="80"/>
      <c r="N370" s="80"/>
      <c r="O370" s="94"/>
      <c r="P370" s="26" t="str">
        <f t="shared" si="17"/>
        <v/>
      </c>
      <c r="Q370" s="80"/>
      <c r="R370" s="80"/>
      <c r="S370" s="80"/>
      <c r="T370" s="82"/>
      <c r="U370" s="80"/>
      <c r="V370" s="80"/>
      <c r="W370" s="80"/>
    </row>
    <row r="371" ht="18" customHeight="1" spans="1:23">
      <c r="A371" s="87" t="str">
        <f t="shared" si="15"/>
        <v/>
      </c>
      <c r="B371" s="78"/>
      <c r="C371" s="80"/>
      <c r="D371" s="79"/>
      <c r="E371" s="80"/>
      <c r="F371" s="79"/>
      <c r="G371" s="25" t="str">
        <f t="shared" si="16"/>
        <v/>
      </c>
      <c r="H371" s="88"/>
      <c r="I371" s="93"/>
      <c r="J371" s="97"/>
      <c r="K371" s="88"/>
      <c r="L371" s="25" t="str">
        <f>IF($D371="","",SUMIFS($H$4:$H371,$D$4:$D371,$D371)+SUMIFS($I$4:$I371,$D$4:$D371,$D371)-SUMIFS($J$4:$J371,$D$4:$D371,$D371)-SUMIFS($K$4:$K371,$D$4:$D371,$D371))</f>
        <v/>
      </c>
      <c r="M371" s="80"/>
      <c r="N371" s="80"/>
      <c r="O371" s="94"/>
      <c r="P371" s="26" t="str">
        <f t="shared" si="17"/>
        <v/>
      </c>
      <c r="Q371" s="80"/>
      <c r="R371" s="80"/>
      <c r="S371" s="80"/>
      <c r="T371" s="82"/>
      <c r="U371" s="80"/>
      <c r="V371" s="80"/>
      <c r="W371" s="80"/>
    </row>
    <row r="372" ht="18" customHeight="1" spans="1:23">
      <c r="A372" s="87" t="str">
        <f t="shared" si="15"/>
        <v/>
      </c>
      <c r="B372" s="78"/>
      <c r="C372" s="80"/>
      <c r="D372" s="79"/>
      <c r="E372" s="80"/>
      <c r="F372" s="79"/>
      <c r="G372" s="25" t="str">
        <f t="shared" si="16"/>
        <v/>
      </c>
      <c r="H372" s="88"/>
      <c r="I372" s="93"/>
      <c r="J372" s="97"/>
      <c r="K372" s="88"/>
      <c r="L372" s="25" t="str">
        <f>IF($D372="","",SUMIFS($H$4:$H372,$D$4:$D372,$D372)+SUMIFS($I$4:$I372,$D$4:$D372,$D372)-SUMIFS($J$4:$J372,$D$4:$D372,$D372)-SUMIFS($K$4:$K372,$D$4:$D372,$D372))</f>
        <v/>
      </c>
      <c r="M372" s="80"/>
      <c r="N372" s="80"/>
      <c r="O372" s="94"/>
      <c r="P372" s="26" t="str">
        <f t="shared" si="17"/>
        <v/>
      </c>
      <c r="Q372" s="80"/>
      <c r="R372" s="80"/>
      <c r="S372" s="80"/>
      <c r="T372" s="82"/>
      <c r="U372" s="80"/>
      <c r="V372" s="80"/>
      <c r="W372" s="80"/>
    </row>
    <row r="373" ht="18" customHeight="1" spans="1:23">
      <c r="A373" s="87" t="str">
        <f t="shared" si="15"/>
        <v/>
      </c>
      <c r="B373" s="78"/>
      <c r="C373" s="80"/>
      <c r="D373" s="79"/>
      <c r="E373" s="80"/>
      <c r="F373" s="79"/>
      <c r="G373" s="25" t="str">
        <f t="shared" si="16"/>
        <v/>
      </c>
      <c r="H373" s="88"/>
      <c r="I373" s="93"/>
      <c r="J373" s="97"/>
      <c r="K373" s="88"/>
      <c r="L373" s="25" t="str">
        <f>IF($D373="","",SUMIFS($H$4:$H373,$D$4:$D373,$D373)+SUMIFS($I$4:$I373,$D$4:$D373,$D373)-SUMIFS($J$4:$J373,$D$4:$D373,$D373)-SUMIFS($K$4:$K373,$D$4:$D373,$D373))</f>
        <v/>
      </c>
      <c r="M373" s="80"/>
      <c r="N373" s="80"/>
      <c r="O373" s="94"/>
      <c r="P373" s="26" t="str">
        <f t="shared" si="17"/>
        <v/>
      </c>
      <c r="Q373" s="80"/>
      <c r="R373" s="80"/>
      <c r="S373" s="80"/>
      <c r="T373" s="82"/>
      <c r="U373" s="80"/>
      <c r="V373" s="80"/>
      <c r="W373" s="80"/>
    </row>
    <row r="374" ht="18" customHeight="1" spans="1:23">
      <c r="A374" s="87" t="str">
        <f t="shared" si="15"/>
        <v/>
      </c>
      <c r="B374" s="78"/>
      <c r="C374" s="80"/>
      <c r="D374" s="79"/>
      <c r="E374" s="80"/>
      <c r="F374" s="79"/>
      <c r="G374" s="25" t="str">
        <f t="shared" si="16"/>
        <v/>
      </c>
      <c r="H374" s="88"/>
      <c r="I374" s="93"/>
      <c r="J374" s="97"/>
      <c r="K374" s="88"/>
      <c r="L374" s="25" t="str">
        <f>IF($D374="","",SUMIFS($H$4:$H374,$D$4:$D374,$D374)+SUMIFS($I$4:$I374,$D$4:$D374,$D374)-SUMIFS($J$4:$J374,$D$4:$D374,$D374)-SUMIFS($K$4:$K374,$D$4:$D374,$D374))</f>
        <v/>
      </c>
      <c r="M374" s="80"/>
      <c r="N374" s="80"/>
      <c r="O374" s="94"/>
      <c r="P374" s="26" t="str">
        <f t="shared" si="17"/>
        <v/>
      </c>
      <c r="Q374" s="80"/>
      <c r="R374" s="80"/>
      <c r="S374" s="80"/>
      <c r="T374" s="82"/>
      <c r="U374" s="80"/>
      <c r="V374" s="80"/>
      <c r="W374" s="80"/>
    </row>
    <row r="375" ht="18" customHeight="1" spans="1:23">
      <c r="A375" s="87" t="str">
        <f t="shared" si="15"/>
        <v/>
      </c>
      <c r="B375" s="78"/>
      <c r="C375" s="80"/>
      <c r="D375" s="79"/>
      <c r="E375" s="80"/>
      <c r="F375" s="79"/>
      <c r="G375" s="25" t="str">
        <f t="shared" si="16"/>
        <v/>
      </c>
      <c r="H375" s="88"/>
      <c r="I375" s="93"/>
      <c r="J375" s="97"/>
      <c r="K375" s="88"/>
      <c r="L375" s="25" t="str">
        <f>IF($D375="","",SUMIFS($H$4:$H375,$D$4:$D375,$D375)+SUMIFS($I$4:$I375,$D$4:$D375,$D375)-SUMIFS($J$4:$J375,$D$4:$D375,$D375)-SUMIFS($K$4:$K375,$D$4:$D375,$D375))</f>
        <v/>
      </c>
      <c r="M375" s="80"/>
      <c r="N375" s="80"/>
      <c r="O375" s="94"/>
      <c r="P375" s="26" t="str">
        <f t="shared" si="17"/>
        <v/>
      </c>
      <c r="Q375" s="80"/>
      <c r="R375" s="80"/>
      <c r="S375" s="80"/>
      <c r="T375" s="82"/>
      <c r="U375" s="80"/>
      <c r="V375" s="80"/>
      <c r="W375" s="80"/>
    </row>
    <row r="376" ht="18" customHeight="1" spans="1:23">
      <c r="A376" s="87" t="str">
        <f t="shared" si="15"/>
        <v/>
      </c>
      <c r="B376" s="78"/>
      <c r="C376" s="80"/>
      <c r="D376" s="79"/>
      <c r="E376" s="80"/>
      <c r="F376" s="79"/>
      <c r="G376" s="25" t="str">
        <f t="shared" si="16"/>
        <v/>
      </c>
      <c r="H376" s="88"/>
      <c r="I376" s="93"/>
      <c r="J376" s="97"/>
      <c r="K376" s="88"/>
      <c r="L376" s="25" t="str">
        <f>IF($D376="","",SUMIFS($H$4:$H376,$D$4:$D376,$D376)+SUMIFS($I$4:$I376,$D$4:$D376,$D376)-SUMIFS($J$4:$J376,$D$4:$D376,$D376)-SUMIFS($K$4:$K376,$D$4:$D376,$D376))</f>
        <v/>
      </c>
      <c r="M376" s="80"/>
      <c r="N376" s="80"/>
      <c r="O376" s="94"/>
      <c r="P376" s="26" t="str">
        <f t="shared" si="17"/>
        <v/>
      </c>
      <c r="Q376" s="80"/>
      <c r="R376" s="80"/>
      <c r="S376" s="80"/>
      <c r="T376" s="82"/>
      <c r="U376" s="80"/>
      <c r="V376" s="80"/>
      <c r="W376" s="80"/>
    </row>
    <row r="377" ht="18" customHeight="1" spans="1:23">
      <c r="A377" s="87" t="str">
        <f t="shared" si="15"/>
        <v/>
      </c>
      <c r="B377" s="78"/>
      <c r="C377" s="80"/>
      <c r="D377" s="79"/>
      <c r="E377" s="80"/>
      <c r="F377" s="79"/>
      <c r="G377" s="25" t="str">
        <f t="shared" si="16"/>
        <v/>
      </c>
      <c r="H377" s="88"/>
      <c r="I377" s="93"/>
      <c r="J377" s="97"/>
      <c r="K377" s="88"/>
      <c r="L377" s="25" t="str">
        <f>IF($D377="","",SUMIFS($H$4:$H377,$D$4:$D377,$D377)+SUMIFS($I$4:$I377,$D$4:$D377,$D377)-SUMIFS($J$4:$J377,$D$4:$D377,$D377)-SUMIFS($K$4:$K377,$D$4:$D377,$D377))</f>
        <v/>
      </c>
      <c r="M377" s="80"/>
      <c r="N377" s="80"/>
      <c r="O377" s="94"/>
      <c r="P377" s="26" t="str">
        <f t="shared" si="17"/>
        <v/>
      </c>
      <c r="Q377" s="80"/>
      <c r="R377" s="80"/>
      <c r="S377" s="80"/>
      <c r="T377" s="82"/>
      <c r="U377" s="80"/>
      <c r="V377" s="80"/>
      <c r="W377" s="80"/>
    </row>
    <row r="378" ht="18" customHeight="1" spans="1:23">
      <c r="A378" s="87" t="str">
        <f t="shared" si="15"/>
        <v/>
      </c>
      <c r="B378" s="78"/>
      <c r="C378" s="80"/>
      <c r="D378" s="79"/>
      <c r="E378" s="80"/>
      <c r="F378" s="79"/>
      <c r="G378" s="25" t="str">
        <f t="shared" si="16"/>
        <v/>
      </c>
      <c r="H378" s="88"/>
      <c r="I378" s="93"/>
      <c r="J378" s="97"/>
      <c r="K378" s="88"/>
      <c r="L378" s="25" t="str">
        <f>IF($D378="","",SUMIFS($H$4:$H378,$D$4:$D378,$D378)+SUMIFS($I$4:$I378,$D$4:$D378,$D378)-SUMIFS($J$4:$J378,$D$4:$D378,$D378)-SUMIFS($K$4:$K378,$D$4:$D378,$D378))</f>
        <v/>
      </c>
      <c r="M378" s="80"/>
      <c r="N378" s="80"/>
      <c r="O378" s="94"/>
      <c r="P378" s="26" t="str">
        <f t="shared" si="17"/>
        <v/>
      </c>
      <c r="Q378" s="80"/>
      <c r="R378" s="80"/>
      <c r="S378" s="80"/>
      <c r="T378" s="82"/>
      <c r="U378" s="80"/>
      <c r="V378" s="80"/>
      <c r="W378" s="80"/>
    </row>
    <row r="379" ht="18" customHeight="1" spans="1:23">
      <c r="A379" s="87" t="str">
        <f t="shared" si="15"/>
        <v/>
      </c>
      <c r="B379" s="78"/>
      <c r="C379" s="80"/>
      <c r="D379" s="79"/>
      <c r="E379" s="80"/>
      <c r="F379" s="79"/>
      <c r="G379" s="25" t="str">
        <f t="shared" si="16"/>
        <v/>
      </c>
      <c r="H379" s="88"/>
      <c r="I379" s="93"/>
      <c r="J379" s="97"/>
      <c r="K379" s="88"/>
      <c r="L379" s="25" t="str">
        <f>IF($D379="","",SUMIFS($H$4:$H379,$D$4:$D379,$D379)+SUMIFS($I$4:$I379,$D$4:$D379,$D379)-SUMIFS($J$4:$J379,$D$4:$D379,$D379)-SUMIFS($K$4:$K379,$D$4:$D379,$D379))</f>
        <v/>
      </c>
      <c r="M379" s="80"/>
      <c r="N379" s="80"/>
      <c r="O379" s="94"/>
      <c r="P379" s="26" t="str">
        <f t="shared" si="17"/>
        <v/>
      </c>
      <c r="Q379" s="80"/>
      <c r="R379" s="80"/>
      <c r="S379" s="80"/>
      <c r="T379" s="82"/>
      <c r="U379" s="80"/>
      <c r="V379" s="80"/>
      <c r="W379" s="80"/>
    </row>
    <row r="380" ht="18" customHeight="1" spans="1:23">
      <c r="A380" s="87" t="str">
        <f t="shared" si="15"/>
        <v/>
      </c>
      <c r="B380" s="78"/>
      <c r="C380" s="80"/>
      <c r="D380" s="79"/>
      <c r="E380" s="80"/>
      <c r="F380" s="79"/>
      <c r="G380" s="25" t="str">
        <f t="shared" si="16"/>
        <v/>
      </c>
      <c r="H380" s="88"/>
      <c r="I380" s="93"/>
      <c r="J380" s="97"/>
      <c r="K380" s="88"/>
      <c r="L380" s="25" t="str">
        <f>IF($D380="","",SUMIFS($H$4:$H380,$D$4:$D380,$D380)+SUMIFS($I$4:$I380,$D$4:$D380,$D380)-SUMIFS($J$4:$J380,$D$4:$D380,$D380)-SUMIFS($K$4:$K380,$D$4:$D380,$D380))</f>
        <v/>
      </c>
      <c r="M380" s="80"/>
      <c r="N380" s="80"/>
      <c r="O380" s="94"/>
      <c r="P380" s="26" t="str">
        <f t="shared" si="17"/>
        <v/>
      </c>
      <c r="Q380" s="80"/>
      <c r="R380" s="80"/>
      <c r="S380" s="80"/>
      <c r="T380" s="82"/>
      <c r="U380" s="80"/>
      <c r="V380" s="80"/>
      <c r="W380" s="80"/>
    </row>
    <row r="381" ht="18" customHeight="1" spans="1:23">
      <c r="A381" s="87" t="str">
        <f t="shared" si="15"/>
        <v/>
      </c>
      <c r="B381" s="78"/>
      <c r="C381" s="80"/>
      <c r="D381" s="79"/>
      <c r="E381" s="80"/>
      <c r="F381" s="79"/>
      <c r="G381" s="25" t="str">
        <f t="shared" si="16"/>
        <v/>
      </c>
      <c r="H381" s="88"/>
      <c r="I381" s="93"/>
      <c r="J381" s="97"/>
      <c r="K381" s="88"/>
      <c r="L381" s="25" t="str">
        <f>IF($D381="","",SUMIFS($H$4:$H381,$D$4:$D381,$D381)+SUMIFS($I$4:$I381,$D$4:$D381,$D381)-SUMIFS($J$4:$J381,$D$4:$D381,$D381)-SUMIFS($K$4:$K381,$D$4:$D381,$D381))</f>
        <v/>
      </c>
      <c r="M381" s="80"/>
      <c r="N381" s="80"/>
      <c r="O381" s="94"/>
      <c r="P381" s="26" t="str">
        <f t="shared" si="17"/>
        <v/>
      </c>
      <c r="Q381" s="80"/>
      <c r="R381" s="80"/>
      <c r="S381" s="80"/>
      <c r="T381" s="82"/>
      <c r="U381" s="80"/>
      <c r="V381" s="80"/>
      <c r="W381" s="80"/>
    </row>
    <row r="382" ht="18" customHeight="1" spans="1:23">
      <c r="A382" s="87" t="str">
        <f t="shared" si="15"/>
        <v/>
      </c>
      <c r="B382" s="78"/>
      <c r="C382" s="80"/>
      <c r="D382" s="79"/>
      <c r="E382" s="80"/>
      <c r="F382" s="79"/>
      <c r="G382" s="25" t="str">
        <f t="shared" si="16"/>
        <v/>
      </c>
      <c r="H382" s="88"/>
      <c r="I382" s="93"/>
      <c r="J382" s="97"/>
      <c r="K382" s="88"/>
      <c r="L382" s="25" t="str">
        <f>IF($D382="","",SUMIFS($H$4:$H382,$D$4:$D382,$D382)+SUMIFS($I$4:$I382,$D$4:$D382,$D382)-SUMIFS($J$4:$J382,$D$4:$D382,$D382)-SUMIFS($K$4:$K382,$D$4:$D382,$D382))</f>
        <v/>
      </c>
      <c r="M382" s="80"/>
      <c r="N382" s="80"/>
      <c r="O382" s="94"/>
      <c r="P382" s="26" t="str">
        <f t="shared" si="17"/>
        <v/>
      </c>
      <c r="Q382" s="80"/>
      <c r="R382" s="80"/>
      <c r="S382" s="80"/>
      <c r="T382" s="82"/>
      <c r="U382" s="80"/>
      <c r="V382" s="80"/>
      <c r="W382" s="80"/>
    </row>
    <row r="383" ht="18" customHeight="1" spans="1:23">
      <c r="A383" s="87" t="str">
        <f t="shared" si="15"/>
        <v/>
      </c>
      <c r="B383" s="78"/>
      <c r="C383" s="80"/>
      <c r="D383" s="79"/>
      <c r="E383" s="80"/>
      <c r="F383" s="79"/>
      <c r="G383" s="25" t="str">
        <f t="shared" si="16"/>
        <v/>
      </c>
      <c r="H383" s="88"/>
      <c r="I383" s="93"/>
      <c r="J383" s="97"/>
      <c r="K383" s="88"/>
      <c r="L383" s="25" t="str">
        <f>IF($D383="","",SUMIFS($H$4:$H383,$D$4:$D383,$D383)+SUMIFS($I$4:$I383,$D$4:$D383,$D383)-SUMIFS($J$4:$J383,$D$4:$D383,$D383)-SUMIFS($K$4:$K383,$D$4:$D383,$D383))</f>
        <v/>
      </c>
      <c r="M383" s="80"/>
      <c r="N383" s="80"/>
      <c r="O383" s="94"/>
      <c r="P383" s="26" t="str">
        <f t="shared" si="17"/>
        <v/>
      </c>
      <c r="Q383" s="80"/>
      <c r="R383" s="80"/>
      <c r="S383" s="80"/>
      <c r="T383" s="82"/>
      <c r="U383" s="80"/>
      <c r="V383" s="80"/>
      <c r="W383" s="80"/>
    </row>
    <row r="384" ht="18" customHeight="1" spans="1:23">
      <c r="A384" s="87" t="str">
        <f t="shared" si="15"/>
        <v/>
      </c>
      <c r="B384" s="78"/>
      <c r="C384" s="80"/>
      <c r="D384" s="79"/>
      <c r="E384" s="80"/>
      <c r="F384" s="79"/>
      <c r="G384" s="25" t="str">
        <f t="shared" si="16"/>
        <v/>
      </c>
      <c r="H384" s="88"/>
      <c r="I384" s="93"/>
      <c r="J384" s="97"/>
      <c r="K384" s="88"/>
      <c r="L384" s="25" t="str">
        <f>IF($D384="","",SUMIFS($H$4:$H384,$D$4:$D384,$D384)+SUMIFS($I$4:$I384,$D$4:$D384,$D384)-SUMIFS($J$4:$J384,$D$4:$D384,$D384)-SUMIFS($K$4:$K384,$D$4:$D384,$D384))</f>
        <v/>
      </c>
      <c r="M384" s="80"/>
      <c r="N384" s="80"/>
      <c r="O384" s="94"/>
      <c r="P384" s="26" t="str">
        <f t="shared" si="17"/>
        <v/>
      </c>
      <c r="Q384" s="80"/>
      <c r="R384" s="80"/>
      <c r="S384" s="80"/>
      <c r="T384" s="82"/>
      <c r="U384" s="80"/>
      <c r="V384" s="80"/>
      <c r="W384" s="80"/>
    </row>
    <row r="385" ht="18" customHeight="1" spans="1:23">
      <c r="A385" s="87" t="str">
        <f t="shared" si="15"/>
        <v/>
      </c>
      <c r="B385" s="78"/>
      <c r="C385" s="80"/>
      <c r="D385" s="79"/>
      <c r="E385" s="80"/>
      <c r="F385" s="79"/>
      <c r="G385" s="25" t="str">
        <f t="shared" si="16"/>
        <v/>
      </c>
      <c r="H385" s="88"/>
      <c r="I385" s="93"/>
      <c r="J385" s="97"/>
      <c r="K385" s="88"/>
      <c r="L385" s="25" t="str">
        <f>IF($D385="","",SUMIFS($H$4:$H385,$D$4:$D385,$D385)+SUMIFS($I$4:$I385,$D$4:$D385,$D385)-SUMIFS($J$4:$J385,$D$4:$D385,$D385)-SUMIFS($K$4:$K385,$D$4:$D385,$D385))</f>
        <v/>
      </c>
      <c r="M385" s="80"/>
      <c r="N385" s="80"/>
      <c r="O385" s="94"/>
      <c r="P385" s="26" t="str">
        <f t="shared" si="17"/>
        <v/>
      </c>
      <c r="Q385" s="80"/>
      <c r="R385" s="80"/>
      <c r="S385" s="80"/>
      <c r="T385" s="82"/>
      <c r="U385" s="80"/>
      <c r="V385" s="80"/>
      <c r="W385" s="80"/>
    </row>
    <row r="386" ht="18" customHeight="1" spans="1:23">
      <c r="A386" s="87" t="str">
        <f t="shared" si="15"/>
        <v/>
      </c>
      <c r="B386" s="78"/>
      <c r="C386" s="80"/>
      <c r="D386" s="79"/>
      <c r="E386" s="80"/>
      <c r="F386" s="79"/>
      <c r="G386" s="25" t="str">
        <f t="shared" si="16"/>
        <v/>
      </c>
      <c r="H386" s="88"/>
      <c r="I386" s="93"/>
      <c r="J386" s="97"/>
      <c r="K386" s="88"/>
      <c r="L386" s="25" t="str">
        <f>IF($D386="","",SUMIFS($H$4:$H386,$D$4:$D386,$D386)+SUMIFS($I$4:$I386,$D$4:$D386,$D386)-SUMIFS($J$4:$J386,$D$4:$D386,$D386)-SUMIFS($K$4:$K386,$D$4:$D386,$D386))</f>
        <v/>
      </c>
      <c r="M386" s="80"/>
      <c r="N386" s="80"/>
      <c r="O386" s="94"/>
      <c r="P386" s="26" t="str">
        <f t="shared" si="17"/>
        <v/>
      </c>
      <c r="Q386" s="80"/>
      <c r="R386" s="80"/>
      <c r="S386" s="80"/>
      <c r="T386" s="82"/>
      <c r="U386" s="80"/>
      <c r="V386" s="80"/>
      <c r="W386" s="80"/>
    </row>
    <row r="387" ht="18" customHeight="1" spans="1:23">
      <c r="A387" s="87" t="str">
        <f t="shared" si="15"/>
        <v/>
      </c>
      <c r="B387" s="78"/>
      <c r="C387" s="80"/>
      <c r="D387" s="79"/>
      <c r="E387" s="80"/>
      <c r="F387" s="79"/>
      <c r="G387" s="25" t="str">
        <f t="shared" si="16"/>
        <v/>
      </c>
      <c r="H387" s="88"/>
      <c r="I387" s="93"/>
      <c r="J387" s="97"/>
      <c r="K387" s="88"/>
      <c r="L387" s="25" t="str">
        <f>IF($D387="","",SUMIFS($H$4:$H387,$D$4:$D387,$D387)+SUMIFS($I$4:$I387,$D$4:$D387,$D387)-SUMIFS($J$4:$J387,$D$4:$D387,$D387)-SUMIFS($K$4:$K387,$D$4:$D387,$D387))</f>
        <v/>
      </c>
      <c r="M387" s="80"/>
      <c r="N387" s="80"/>
      <c r="O387" s="94"/>
      <c r="P387" s="26" t="str">
        <f t="shared" si="17"/>
        <v/>
      </c>
      <c r="Q387" s="80"/>
      <c r="R387" s="80"/>
      <c r="S387" s="80"/>
      <c r="T387" s="82"/>
      <c r="U387" s="80"/>
      <c r="V387" s="80"/>
      <c r="W387" s="80"/>
    </row>
    <row r="388" ht="18" customHeight="1" spans="1:23">
      <c r="A388" s="87" t="str">
        <f t="shared" si="15"/>
        <v/>
      </c>
      <c r="B388" s="78"/>
      <c r="C388" s="80"/>
      <c r="D388" s="79"/>
      <c r="E388" s="80"/>
      <c r="F388" s="79"/>
      <c r="G388" s="25" t="str">
        <f t="shared" si="16"/>
        <v/>
      </c>
      <c r="H388" s="88"/>
      <c r="I388" s="93"/>
      <c r="J388" s="97"/>
      <c r="K388" s="88"/>
      <c r="L388" s="25" t="str">
        <f>IF($D388="","",SUMIFS($H$4:$H388,$D$4:$D388,$D388)+SUMIFS($I$4:$I388,$D$4:$D388,$D388)-SUMIFS($J$4:$J388,$D$4:$D388,$D388)-SUMIFS($K$4:$K388,$D$4:$D388,$D388))</f>
        <v/>
      </c>
      <c r="M388" s="80"/>
      <c r="N388" s="80"/>
      <c r="O388" s="94"/>
      <c r="P388" s="26" t="str">
        <f t="shared" si="17"/>
        <v/>
      </c>
      <c r="Q388" s="80"/>
      <c r="R388" s="80"/>
      <c r="S388" s="80"/>
      <c r="T388" s="82"/>
      <c r="U388" s="80"/>
      <c r="V388" s="80"/>
      <c r="W388" s="80"/>
    </row>
    <row r="389" ht="18" customHeight="1" spans="1:23">
      <c r="A389" s="87" t="str">
        <f t="shared" ref="A389:A452" si="18">IF($D389="","",ROW()-3)</f>
        <v/>
      </c>
      <c r="B389" s="78"/>
      <c r="C389" s="80"/>
      <c r="D389" s="79"/>
      <c r="E389" s="80"/>
      <c r="F389" s="79"/>
      <c r="G389" s="25" t="str">
        <f t="shared" ref="G389:G452" si="19">IF($D389="","",N($L389)-N($H389)-N($I389)+N($J389)+N($K389))</f>
        <v/>
      </c>
      <c r="H389" s="88"/>
      <c r="I389" s="93"/>
      <c r="J389" s="97"/>
      <c r="K389" s="88"/>
      <c r="L389" s="25" t="str">
        <f>IF($D389="","",SUMIFS($H$4:$H389,$D$4:$D389,$D389)+SUMIFS($I$4:$I389,$D$4:$D389,$D389)-SUMIFS($J$4:$J389,$D$4:$D389,$D389)-SUMIFS($K$4:$K389,$D$4:$D389,$D389))</f>
        <v/>
      </c>
      <c r="M389" s="80"/>
      <c r="N389" s="80"/>
      <c r="O389" s="94"/>
      <c r="P389" s="26" t="str">
        <f t="shared" ref="P389:P452" si="20">IF($D389="","",ROUND((N($H389)+N($K389))*N($O389),2))</f>
        <v/>
      </c>
      <c r="Q389" s="80"/>
      <c r="R389" s="80"/>
      <c r="S389" s="80"/>
      <c r="T389" s="82"/>
      <c r="U389" s="80"/>
      <c r="V389" s="80"/>
      <c r="W389" s="80"/>
    </row>
    <row r="390" ht="18" customHeight="1" spans="1:23">
      <c r="A390" s="87" t="str">
        <f t="shared" si="18"/>
        <v/>
      </c>
      <c r="B390" s="78"/>
      <c r="C390" s="80"/>
      <c r="D390" s="79"/>
      <c r="E390" s="80"/>
      <c r="F390" s="79"/>
      <c r="G390" s="25" t="str">
        <f t="shared" si="19"/>
        <v/>
      </c>
      <c r="H390" s="88"/>
      <c r="I390" s="93"/>
      <c r="J390" s="97"/>
      <c r="K390" s="88"/>
      <c r="L390" s="25" t="str">
        <f>IF($D390="","",SUMIFS($H$4:$H390,$D$4:$D390,$D390)+SUMIFS($I$4:$I390,$D$4:$D390,$D390)-SUMIFS($J$4:$J390,$D$4:$D390,$D390)-SUMIFS($K$4:$K390,$D$4:$D390,$D390))</f>
        <v/>
      </c>
      <c r="M390" s="80"/>
      <c r="N390" s="80"/>
      <c r="O390" s="94"/>
      <c r="P390" s="26" t="str">
        <f t="shared" si="20"/>
        <v/>
      </c>
      <c r="Q390" s="80"/>
      <c r="R390" s="80"/>
      <c r="S390" s="80"/>
      <c r="T390" s="82"/>
      <c r="U390" s="80"/>
      <c r="V390" s="80"/>
      <c r="W390" s="80"/>
    </row>
    <row r="391" ht="18" customHeight="1" spans="1:23">
      <c r="A391" s="87" t="str">
        <f t="shared" si="18"/>
        <v/>
      </c>
      <c r="B391" s="78"/>
      <c r="C391" s="80"/>
      <c r="D391" s="79"/>
      <c r="E391" s="80"/>
      <c r="F391" s="79"/>
      <c r="G391" s="25" t="str">
        <f t="shared" si="19"/>
        <v/>
      </c>
      <c r="H391" s="88"/>
      <c r="I391" s="93"/>
      <c r="J391" s="97"/>
      <c r="K391" s="88"/>
      <c r="L391" s="25" t="str">
        <f>IF($D391="","",SUMIFS($H$4:$H391,$D$4:$D391,$D391)+SUMIFS($I$4:$I391,$D$4:$D391,$D391)-SUMIFS($J$4:$J391,$D$4:$D391,$D391)-SUMIFS($K$4:$K391,$D$4:$D391,$D391))</f>
        <v/>
      </c>
      <c r="M391" s="80"/>
      <c r="N391" s="80"/>
      <c r="O391" s="94"/>
      <c r="P391" s="26" t="str">
        <f t="shared" si="20"/>
        <v/>
      </c>
      <c r="Q391" s="80"/>
      <c r="R391" s="80"/>
      <c r="S391" s="80"/>
      <c r="T391" s="82"/>
      <c r="U391" s="80"/>
      <c r="V391" s="80"/>
      <c r="W391" s="80"/>
    </row>
    <row r="392" ht="18" customHeight="1" spans="1:23">
      <c r="A392" s="87" t="str">
        <f t="shared" si="18"/>
        <v/>
      </c>
      <c r="B392" s="78"/>
      <c r="C392" s="80"/>
      <c r="D392" s="79"/>
      <c r="E392" s="80"/>
      <c r="F392" s="79"/>
      <c r="G392" s="25" t="str">
        <f t="shared" si="19"/>
        <v/>
      </c>
      <c r="H392" s="88"/>
      <c r="I392" s="93"/>
      <c r="J392" s="97"/>
      <c r="K392" s="88"/>
      <c r="L392" s="25" t="str">
        <f>IF($D392="","",SUMIFS($H$4:$H392,$D$4:$D392,$D392)+SUMIFS($I$4:$I392,$D$4:$D392,$D392)-SUMIFS($J$4:$J392,$D$4:$D392,$D392)-SUMIFS($K$4:$K392,$D$4:$D392,$D392))</f>
        <v/>
      </c>
      <c r="M392" s="80"/>
      <c r="N392" s="80"/>
      <c r="O392" s="94"/>
      <c r="P392" s="26" t="str">
        <f t="shared" si="20"/>
        <v/>
      </c>
      <c r="Q392" s="80"/>
      <c r="R392" s="80"/>
      <c r="S392" s="80"/>
      <c r="T392" s="82"/>
      <c r="U392" s="80"/>
      <c r="V392" s="80"/>
      <c r="W392" s="80"/>
    </row>
    <row r="393" ht="18" customHeight="1" spans="1:23">
      <c r="A393" s="87" t="str">
        <f t="shared" si="18"/>
        <v/>
      </c>
      <c r="B393" s="78"/>
      <c r="C393" s="80"/>
      <c r="D393" s="79"/>
      <c r="E393" s="80"/>
      <c r="F393" s="79"/>
      <c r="G393" s="25" t="str">
        <f t="shared" si="19"/>
        <v/>
      </c>
      <c r="H393" s="88"/>
      <c r="I393" s="93"/>
      <c r="J393" s="97"/>
      <c r="K393" s="88"/>
      <c r="L393" s="25" t="str">
        <f>IF($D393="","",SUMIFS($H$4:$H393,$D$4:$D393,$D393)+SUMIFS($I$4:$I393,$D$4:$D393,$D393)-SUMIFS($J$4:$J393,$D$4:$D393,$D393)-SUMIFS($K$4:$K393,$D$4:$D393,$D393))</f>
        <v/>
      </c>
      <c r="M393" s="80"/>
      <c r="N393" s="80"/>
      <c r="O393" s="94"/>
      <c r="P393" s="26" t="str">
        <f t="shared" si="20"/>
        <v/>
      </c>
      <c r="Q393" s="80"/>
      <c r="R393" s="80"/>
      <c r="S393" s="80"/>
      <c r="T393" s="82"/>
      <c r="U393" s="80"/>
      <c r="V393" s="80"/>
      <c r="W393" s="80"/>
    </row>
    <row r="394" ht="18" customHeight="1" spans="1:23">
      <c r="A394" s="87" t="str">
        <f t="shared" si="18"/>
        <v/>
      </c>
      <c r="B394" s="78"/>
      <c r="C394" s="80"/>
      <c r="D394" s="79"/>
      <c r="E394" s="80"/>
      <c r="F394" s="79"/>
      <c r="G394" s="25" t="str">
        <f t="shared" si="19"/>
        <v/>
      </c>
      <c r="H394" s="88"/>
      <c r="I394" s="93"/>
      <c r="J394" s="97"/>
      <c r="K394" s="88"/>
      <c r="L394" s="25" t="str">
        <f>IF($D394="","",SUMIFS($H$4:$H394,$D$4:$D394,$D394)+SUMIFS($I$4:$I394,$D$4:$D394,$D394)-SUMIFS($J$4:$J394,$D$4:$D394,$D394)-SUMIFS($K$4:$K394,$D$4:$D394,$D394))</f>
        <v/>
      </c>
      <c r="M394" s="80"/>
      <c r="N394" s="80"/>
      <c r="O394" s="94"/>
      <c r="P394" s="26" t="str">
        <f t="shared" si="20"/>
        <v/>
      </c>
      <c r="Q394" s="80"/>
      <c r="R394" s="80"/>
      <c r="S394" s="80"/>
      <c r="T394" s="82"/>
      <c r="U394" s="80"/>
      <c r="V394" s="80"/>
      <c r="W394" s="80"/>
    </row>
    <row r="395" ht="18" customHeight="1" spans="1:23">
      <c r="A395" s="87" t="str">
        <f t="shared" si="18"/>
        <v/>
      </c>
      <c r="B395" s="78"/>
      <c r="C395" s="80"/>
      <c r="D395" s="79"/>
      <c r="E395" s="80"/>
      <c r="F395" s="79"/>
      <c r="G395" s="25" t="str">
        <f t="shared" si="19"/>
        <v/>
      </c>
      <c r="H395" s="88"/>
      <c r="I395" s="93"/>
      <c r="J395" s="97"/>
      <c r="K395" s="88"/>
      <c r="L395" s="25" t="str">
        <f>IF($D395="","",SUMIFS($H$4:$H395,$D$4:$D395,$D395)+SUMIFS($I$4:$I395,$D$4:$D395,$D395)-SUMIFS($J$4:$J395,$D$4:$D395,$D395)-SUMIFS($K$4:$K395,$D$4:$D395,$D395))</f>
        <v/>
      </c>
      <c r="M395" s="80"/>
      <c r="N395" s="80"/>
      <c r="O395" s="94"/>
      <c r="P395" s="26" t="str">
        <f t="shared" si="20"/>
        <v/>
      </c>
      <c r="Q395" s="80"/>
      <c r="R395" s="80"/>
      <c r="S395" s="80"/>
      <c r="T395" s="82"/>
      <c r="U395" s="80"/>
      <c r="V395" s="80"/>
      <c r="W395" s="80"/>
    </row>
    <row r="396" ht="18" customHeight="1" spans="1:23">
      <c r="A396" s="87" t="str">
        <f t="shared" si="18"/>
        <v/>
      </c>
      <c r="B396" s="78"/>
      <c r="C396" s="80"/>
      <c r="D396" s="79"/>
      <c r="E396" s="80"/>
      <c r="F396" s="79"/>
      <c r="G396" s="25" t="str">
        <f t="shared" si="19"/>
        <v/>
      </c>
      <c r="H396" s="88"/>
      <c r="I396" s="93"/>
      <c r="J396" s="97"/>
      <c r="K396" s="88"/>
      <c r="L396" s="25" t="str">
        <f>IF($D396="","",SUMIFS($H$4:$H396,$D$4:$D396,$D396)+SUMIFS($I$4:$I396,$D$4:$D396,$D396)-SUMIFS($J$4:$J396,$D$4:$D396,$D396)-SUMIFS($K$4:$K396,$D$4:$D396,$D396))</f>
        <v/>
      </c>
      <c r="M396" s="80"/>
      <c r="N396" s="80"/>
      <c r="O396" s="94"/>
      <c r="P396" s="26" t="str">
        <f t="shared" si="20"/>
        <v/>
      </c>
      <c r="Q396" s="80"/>
      <c r="R396" s="80"/>
      <c r="S396" s="80"/>
      <c r="T396" s="82"/>
      <c r="U396" s="80"/>
      <c r="V396" s="80"/>
      <c r="W396" s="80"/>
    </row>
    <row r="397" ht="18" customHeight="1" spans="1:23">
      <c r="A397" s="87" t="str">
        <f t="shared" si="18"/>
        <v/>
      </c>
      <c r="B397" s="78"/>
      <c r="C397" s="80"/>
      <c r="D397" s="79"/>
      <c r="E397" s="80"/>
      <c r="F397" s="79"/>
      <c r="G397" s="25" t="str">
        <f t="shared" si="19"/>
        <v/>
      </c>
      <c r="H397" s="88"/>
      <c r="I397" s="93"/>
      <c r="J397" s="97"/>
      <c r="K397" s="88"/>
      <c r="L397" s="25" t="str">
        <f>IF($D397="","",SUMIFS($H$4:$H397,$D$4:$D397,$D397)+SUMIFS($I$4:$I397,$D$4:$D397,$D397)-SUMIFS($J$4:$J397,$D$4:$D397,$D397)-SUMIFS($K$4:$K397,$D$4:$D397,$D397))</f>
        <v/>
      </c>
      <c r="M397" s="80"/>
      <c r="N397" s="80"/>
      <c r="O397" s="94"/>
      <c r="P397" s="26" t="str">
        <f t="shared" si="20"/>
        <v/>
      </c>
      <c r="Q397" s="80"/>
      <c r="R397" s="80"/>
      <c r="S397" s="80"/>
      <c r="T397" s="82"/>
      <c r="U397" s="80"/>
      <c r="V397" s="80"/>
      <c r="W397" s="80"/>
    </row>
    <row r="398" ht="18" customHeight="1" spans="1:23">
      <c r="A398" s="87" t="str">
        <f t="shared" si="18"/>
        <v/>
      </c>
      <c r="B398" s="78"/>
      <c r="C398" s="80"/>
      <c r="D398" s="79"/>
      <c r="E398" s="80"/>
      <c r="F398" s="79"/>
      <c r="G398" s="25" t="str">
        <f t="shared" si="19"/>
        <v/>
      </c>
      <c r="H398" s="88"/>
      <c r="I398" s="93"/>
      <c r="J398" s="97"/>
      <c r="K398" s="88"/>
      <c r="L398" s="25" t="str">
        <f>IF($D398="","",SUMIFS($H$4:$H398,$D$4:$D398,$D398)+SUMIFS($I$4:$I398,$D$4:$D398,$D398)-SUMIFS($J$4:$J398,$D$4:$D398,$D398)-SUMIFS($K$4:$K398,$D$4:$D398,$D398))</f>
        <v/>
      </c>
      <c r="M398" s="80"/>
      <c r="N398" s="80"/>
      <c r="O398" s="94"/>
      <c r="P398" s="26" t="str">
        <f t="shared" si="20"/>
        <v/>
      </c>
      <c r="Q398" s="80"/>
      <c r="R398" s="80"/>
      <c r="S398" s="80"/>
      <c r="T398" s="82"/>
      <c r="U398" s="80"/>
      <c r="V398" s="80"/>
      <c r="W398" s="80"/>
    </row>
    <row r="399" ht="18" customHeight="1" spans="1:23">
      <c r="A399" s="87" t="str">
        <f t="shared" si="18"/>
        <v/>
      </c>
      <c r="B399" s="78"/>
      <c r="C399" s="80"/>
      <c r="D399" s="79"/>
      <c r="E399" s="80"/>
      <c r="F399" s="79"/>
      <c r="G399" s="25" t="str">
        <f t="shared" si="19"/>
        <v/>
      </c>
      <c r="H399" s="88"/>
      <c r="I399" s="93"/>
      <c r="J399" s="97"/>
      <c r="K399" s="88"/>
      <c r="L399" s="25" t="str">
        <f>IF($D399="","",SUMIFS($H$4:$H399,$D$4:$D399,$D399)+SUMIFS($I$4:$I399,$D$4:$D399,$D399)-SUMIFS($J$4:$J399,$D$4:$D399,$D399)-SUMIFS($K$4:$K399,$D$4:$D399,$D399))</f>
        <v/>
      </c>
      <c r="M399" s="80"/>
      <c r="N399" s="80"/>
      <c r="O399" s="94"/>
      <c r="P399" s="26" t="str">
        <f t="shared" si="20"/>
        <v/>
      </c>
      <c r="Q399" s="80"/>
      <c r="R399" s="80"/>
      <c r="S399" s="80"/>
      <c r="T399" s="82"/>
      <c r="U399" s="80"/>
      <c r="V399" s="80"/>
      <c r="W399" s="80"/>
    </row>
    <row r="400" ht="18" customHeight="1" spans="1:23">
      <c r="A400" s="87" t="str">
        <f t="shared" si="18"/>
        <v/>
      </c>
      <c r="B400" s="78"/>
      <c r="C400" s="80"/>
      <c r="D400" s="79"/>
      <c r="E400" s="80"/>
      <c r="F400" s="79"/>
      <c r="G400" s="25" t="str">
        <f t="shared" si="19"/>
        <v/>
      </c>
      <c r="H400" s="88"/>
      <c r="I400" s="93"/>
      <c r="J400" s="97"/>
      <c r="K400" s="88"/>
      <c r="L400" s="25" t="str">
        <f>IF($D400="","",SUMIFS($H$4:$H400,$D$4:$D400,$D400)+SUMIFS($I$4:$I400,$D$4:$D400,$D400)-SUMIFS($J$4:$J400,$D$4:$D400,$D400)-SUMIFS($K$4:$K400,$D$4:$D400,$D400))</f>
        <v/>
      </c>
      <c r="M400" s="80"/>
      <c r="N400" s="80"/>
      <c r="O400" s="94"/>
      <c r="P400" s="26" t="str">
        <f t="shared" si="20"/>
        <v/>
      </c>
      <c r="Q400" s="80"/>
      <c r="R400" s="80"/>
      <c r="S400" s="80"/>
      <c r="T400" s="82"/>
      <c r="U400" s="80"/>
      <c r="V400" s="80"/>
      <c r="W400" s="80"/>
    </row>
    <row r="401" ht="18" customHeight="1" spans="1:23">
      <c r="A401" s="87" t="str">
        <f t="shared" si="18"/>
        <v/>
      </c>
      <c r="B401" s="78"/>
      <c r="C401" s="80"/>
      <c r="D401" s="79"/>
      <c r="E401" s="80"/>
      <c r="F401" s="79"/>
      <c r="G401" s="25" t="str">
        <f t="shared" si="19"/>
        <v/>
      </c>
      <c r="H401" s="88"/>
      <c r="I401" s="93"/>
      <c r="J401" s="97"/>
      <c r="K401" s="88"/>
      <c r="L401" s="25" t="str">
        <f>IF($D401="","",SUMIFS($H$4:$H401,$D$4:$D401,$D401)+SUMIFS($I$4:$I401,$D$4:$D401,$D401)-SUMIFS($J$4:$J401,$D$4:$D401,$D401)-SUMIFS($K$4:$K401,$D$4:$D401,$D401))</f>
        <v/>
      </c>
      <c r="M401" s="80"/>
      <c r="N401" s="80"/>
      <c r="O401" s="94"/>
      <c r="P401" s="26" t="str">
        <f t="shared" si="20"/>
        <v/>
      </c>
      <c r="Q401" s="80"/>
      <c r="R401" s="80"/>
      <c r="S401" s="80"/>
      <c r="T401" s="82"/>
      <c r="U401" s="80"/>
      <c r="V401" s="80"/>
      <c r="W401" s="80"/>
    </row>
    <row r="402" ht="18" customHeight="1" spans="1:23">
      <c r="A402" s="87" t="str">
        <f t="shared" si="18"/>
        <v/>
      </c>
      <c r="B402" s="78"/>
      <c r="C402" s="80"/>
      <c r="D402" s="79"/>
      <c r="E402" s="80"/>
      <c r="F402" s="79"/>
      <c r="G402" s="25" t="str">
        <f t="shared" si="19"/>
        <v/>
      </c>
      <c r="H402" s="88"/>
      <c r="I402" s="93"/>
      <c r="J402" s="97"/>
      <c r="K402" s="88"/>
      <c r="L402" s="25" t="str">
        <f>IF($D402="","",SUMIFS($H$4:$H402,$D$4:$D402,$D402)+SUMIFS($I$4:$I402,$D$4:$D402,$D402)-SUMIFS($J$4:$J402,$D$4:$D402,$D402)-SUMIFS($K$4:$K402,$D$4:$D402,$D402))</f>
        <v/>
      </c>
      <c r="M402" s="80"/>
      <c r="N402" s="80"/>
      <c r="O402" s="94"/>
      <c r="P402" s="26" t="str">
        <f t="shared" si="20"/>
        <v/>
      </c>
      <c r="Q402" s="80"/>
      <c r="R402" s="80"/>
      <c r="S402" s="80"/>
      <c r="T402" s="82"/>
      <c r="U402" s="80"/>
      <c r="V402" s="80"/>
      <c r="W402" s="80"/>
    </row>
    <row r="403" ht="18" customHeight="1" spans="1:23">
      <c r="A403" s="87" t="str">
        <f t="shared" si="18"/>
        <v/>
      </c>
      <c r="B403" s="78"/>
      <c r="C403" s="80"/>
      <c r="D403" s="79"/>
      <c r="E403" s="80"/>
      <c r="F403" s="79"/>
      <c r="G403" s="25" t="str">
        <f t="shared" si="19"/>
        <v/>
      </c>
      <c r="H403" s="88"/>
      <c r="I403" s="93"/>
      <c r="J403" s="97"/>
      <c r="K403" s="88"/>
      <c r="L403" s="25" t="str">
        <f>IF($D403="","",SUMIFS($H$4:$H403,$D$4:$D403,$D403)+SUMIFS($I$4:$I403,$D$4:$D403,$D403)-SUMIFS($J$4:$J403,$D$4:$D403,$D403)-SUMIFS($K$4:$K403,$D$4:$D403,$D403))</f>
        <v/>
      </c>
      <c r="M403" s="80"/>
      <c r="N403" s="80"/>
      <c r="O403" s="94"/>
      <c r="P403" s="26" t="str">
        <f t="shared" si="20"/>
        <v/>
      </c>
      <c r="Q403" s="80"/>
      <c r="R403" s="80"/>
      <c r="S403" s="80"/>
      <c r="T403" s="82"/>
      <c r="U403" s="80"/>
      <c r="V403" s="80"/>
      <c r="W403" s="80"/>
    </row>
    <row r="404" ht="18" customHeight="1" spans="1:23">
      <c r="A404" s="87" t="str">
        <f t="shared" si="18"/>
        <v/>
      </c>
      <c r="B404" s="78"/>
      <c r="C404" s="80"/>
      <c r="D404" s="79"/>
      <c r="E404" s="80"/>
      <c r="F404" s="79"/>
      <c r="G404" s="25" t="str">
        <f t="shared" si="19"/>
        <v/>
      </c>
      <c r="H404" s="88"/>
      <c r="I404" s="93"/>
      <c r="J404" s="97"/>
      <c r="K404" s="88"/>
      <c r="L404" s="25" t="str">
        <f>IF($D404="","",SUMIFS($H$4:$H404,$D$4:$D404,$D404)+SUMIFS($I$4:$I404,$D$4:$D404,$D404)-SUMIFS($J$4:$J404,$D$4:$D404,$D404)-SUMIFS($K$4:$K404,$D$4:$D404,$D404))</f>
        <v/>
      </c>
      <c r="M404" s="80"/>
      <c r="N404" s="80"/>
      <c r="O404" s="94"/>
      <c r="P404" s="26" t="str">
        <f t="shared" si="20"/>
        <v/>
      </c>
      <c r="Q404" s="80"/>
      <c r="R404" s="80"/>
      <c r="S404" s="80"/>
      <c r="T404" s="82"/>
      <c r="U404" s="80"/>
      <c r="V404" s="80"/>
      <c r="W404" s="80"/>
    </row>
    <row r="405" ht="18" customHeight="1" spans="1:23">
      <c r="A405" s="87" t="str">
        <f t="shared" si="18"/>
        <v/>
      </c>
      <c r="B405" s="78"/>
      <c r="C405" s="80"/>
      <c r="D405" s="79"/>
      <c r="E405" s="80"/>
      <c r="F405" s="79"/>
      <c r="G405" s="25" t="str">
        <f t="shared" si="19"/>
        <v/>
      </c>
      <c r="H405" s="88"/>
      <c r="I405" s="93"/>
      <c r="J405" s="97"/>
      <c r="K405" s="88"/>
      <c r="L405" s="25" t="str">
        <f>IF($D405="","",SUMIFS($H$4:$H405,$D$4:$D405,$D405)+SUMIFS($I$4:$I405,$D$4:$D405,$D405)-SUMIFS($J$4:$J405,$D$4:$D405,$D405)-SUMIFS($K$4:$K405,$D$4:$D405,$D405))</f>
        <v/>
      </c>
      <c r="M405" s="80"/>
      <c r="N405" s="80"/>
      <c r="O405" s="94"/>
      <c r="P405" s="26" t="str">
        <f t="shared" si="20"/>
        <v/>
      </c>
      <c r="Q405" s="80"/>
      <c r="R405" s="80"/>
      <c r="S405" s="80"/>
      <c r="T405" s="82"/>
      <c r="U405" s="80"/>
      <c r="V405" s="80"/>
      <c r="W405" s="80"/>
    </row>
    <row r="406" ht="18" customHeight="1" spans="1:23">
      <c r="A406" s="87" t="str">
        <f t="shared" si="18"/>
        <v/>
      </c>
      <c r="B406" s="78"/>
      <c r="C406" s="80"/>
      <c r="D406" s="79"/>
      <c r="E406" s="80"/>
      <c r="F406" s="79"/>
      <c r="G406" s="25" t="str">
        <f t="shared" si="19"/>
        <v/>
      </c>
      <c r="H406" s="88"/>
      <c r="I406" s="93"/>
      <c r="J406" s="97"/>
      <c r="K406" s="88"/>
      <c r="L406" s="25" t="str">
        <f>IF($D406="","",SUMIFS($H$4:$H406,$D$4:$D406,$D406)+SUMIFS($I$4:$I406,$D$4:$D406,$D406)-SUMIFS($J$4:$J406,$D$4:$D406,$D406)-SUMIFS($K$4:$K406,$D$4:$D406,$D406))</f>
        <v/>
      </c>
      <c r="M406" s="80"/>
      <c r="N406" s="80"/>
      <c r="O406" s="94"/>
      <c r="P406" s="26" t="str">
        <f t="shared" si="20"/>
        <v/>
      </c>
      <c r="Q406" s="80"/>
      <c r="R406" s="80"/>
      <c r="S406" s="80"/>
      <c r="T406" s="82"/>
      <c r="U406" s="80"/>
      <c r="V406" s="80"/>
      <c r="W406" s="80"/>
    </row>
    <row r="407" ht="18" customHeight="1" spans="1:23">
      <c r="A407" s="87" t="str">
        <f t="shared" si="18"/>
        <v/>
      </c>
      <c r="B407" s="78"/>
      <c r="C407" s="80"/>
      <c r="D407" s="79"/>
      <c r="E407" s="80"/>
      <c r="F407" s="79"/>
      <c r="G407" s="25" t="str">
        <f t="shared" si="19"/>
        <v/>
      </c>
      <c r="H407" s="88"/>
      <c r="I407" s="93"/>
      <c r="J407" s="97"/>
      <c r="K407" s="88"/>
      <c r="L407" s="25" t="str">
        <f>IF($D407="","",SUMIFS($H$4:$H407,$D$4:$D407,$D407)+SUMIFS($I$4:$I407,$D$4:$D407,$D407)-SUMIFS($J$4:$J407,$D$4:$D407,$D407)-SUMIFS($K$4:$K407,$D$4:$D407,$D407))</f>
        <v/>
      </c>
      <c r="M407" s="80"/>
      <c r="N407" s="80"/>
      <c r="O407" s="94"/>
      <c r="P407" s="26" t="str">
        <f t="shared" si="20"/>
        <v/>
      </c>
      <c r="Q407" s="80"/>
      <c r="R407" s="80"/>
      <c r="S407" s="80"/>
      <c r="T407" s="82"/>
      <c r="U407" s="80"/>
      <c r="V407" s="80"/>
      <c r="W407" s="80"/>
    </row>
    <row r="408" ht="18" customHeight="1" spans="1:23">
      <c r="A408" s="87" t="str">
        <f t="shared" si="18"/>
        <v/>
      </c>
      <c r="B408" s="78"/>
      <c r="C408" s="80"/>
      <c r="D408" s="79"/>
      <c r="E408" s="80"/>
      <c r="F408" s="79"/>
      <c r="G408" s="25" t="str">
        <f t="shared" si="19"/>
        <v/>
      </c>
      <c r="H408" s="88"/>
      <c r="I408" s="93"/>
      <c r="J408" s="97"/>
      <c r="K408" s="88"/>
      <c r="L408" s="25" t="str">
        <f>IF($D408="","",SUMIFS($H$4:$H408,$D$4:$D408,$D408)+SUMIFS($I$4:$I408,$D$4:$D408,$D408)-SUMIFS($J$4:$J408,$D$4:$D408,$D408)-SUMIFS($K$4:$K408,$D$4:$D408,$D408))</f>
        <v/>
      </c>
      <c r="M408" s="80"/>
      <c r="N408" s="80"/>
      <c r="O408" s="94"/>
      <c r="P408" s="26" t="str">
        <f t="shared" si="20"/>
        <v/>
      </c>
      <c r="Q408" s="80"/>
      <c r="R408" s="80"/>
      <c r="S408" s="80"/>
      <c r="T408" s="82"/>
      <c r="U408" s="80"/>
      <c r="V408" s="80"/>
      <c r="W408" s="80"/>
    </row>
    <row r="409" ht="18" customHeight="1" spans="1:23">
      <c r="A409" s="87" t="str">
        <f t="shared" si="18"/>
        <v/>
      </c>
      <c r="B409" s="78"/>
      <c r="C409" s="80"/>
      <c r="D409" s="79"/>
      <c r="E409" s="80"/>
      <c r="F409" s="79"/>
      <c r="G409" s="25" t="str">
        <f t="shared" si="19"/>
        <v/>
      </c>
      <c r="H409" s="88"/>
      <c r="I409" s="93"/>
      <c r="J409" s="97"/>
      <c r="K409" s="88"/>
      <c r="L409" s="25" t="str">
        <f>IF($D409="","",SUMIFS($H$4:$H409,$D$4:$D409,$D409)+SUMIFS($I$4:$I409,$D$4:$D409,$D409)-SUMIFS($J$4:$J409,$D$4:$D409,$D409)-SUMIFS($K$4:$K409,$D$4:$D409,$D409))</f>
        <v/>
      </c>
      <c r="M409" s="80"/>
      <c r="N409" s="80"/>
      <c r="O409" s="94"/>
      <c r="P409" s="26" t="str">
        <f t="shared" si="20"/>
        <v/>
      </c>
      <c r="Q409" s="80"/>
      <c r="R409" s="80"/>
      <c r="S409" s="80"/>
      <c r="T409" s="82"/>
      <c r="U409" s="80"/>
      <c r="V409" s="80"/>
      <c r="W409" s="80"/>
    </row>
    <row r="410" ht="18" customHeight="1" spans="1:23">
      <c r="A410" s="87" t="str">
        <f t="shared" si="18"/>
        <v/>
      </c>
      <c r="B410" s="78"/>
      <c r="C410" s="80"/>
      <c r="D410" s="79"/>
      <c r="E410" s="80"/>
      <c r="F410" s="79"/>
      <c r="G410" s="25" t="str">
        <f t="shared" si="19"/>
        <v/>
      </c>
      <c r="H410" s="88"/>
      <c r="I410" s="93"/>
      <c r="J410" s="97"/>
      <c r="K410" s="88"/>
      <c r="L410" s="25" t="str">
        <f>IF($D410="","",SUMIFS($H$4:$H410,$D$4:$D410,$D410)+SUMIFS($I$4:$I410,$D$4:$D410,$D410)-SUMIFS($J$4:$J410,$D$4:$D410,$D410)-SUMIFS($K$4:$K410,$D$4:$D410,$D410))</f>
        <v/>
      </c>
      <c r="M410" s="80"/>
      <c r="N410" s="80"/>
      <c r="O410" s="94"/>
      <c r="P410" s="26" t="str">
        <f t="shared" si="20"/>
        <v/>
      </c>
      <c r="Q410" s="80"/>
      <c r="R410" s="80"/>
      <c r="S410" s="80"/>
      <c r="T410" s="82"/>
      <c r="U410" s="80"/>
      <c r="V410" s="80"/>
      <c r="W410" s="80"/>
    </row>
    <row r="411" ht="18" customHeight="1" spans="1:23">
      <c r="A411" s="87" t="str">
        <f t="shared" si="18"/>
        <v/>
      </c>
      <c r="B411" s="78"/>
      <c r="C411" s="80"/>
      <c r="D411" s="79"/>
      <c r="E411" s="80"/>
      <c r="F411" s="79"/>
      <c r="G411" s="25" t="str">
        <f t="shared" si="19"/>
        <v/>
      </c>
      <c r="H411" s="88"/>
      <c r="I411" s="93"/>
      <c r="J411" s="97"/>
      <c r="K411" s="88"/>
      <c r="L411" s="25" t="str">
        <f>IF($D411="","",SUMIFS($H$4:$H411,$D$4:$D411,$D411)+SUMIFS($I$4:$I411,$D$4:$D411,$D411)-SUMIFS($J$4:$J411,$D$4:$D411,$D411)-SUMIFS($K$4:$K411,$D$4:$D411,$D411))</f>
        <v/>
      </c>
      <c r="M411" s="80"/>
      <c r="N411" s="80"/>
      <c r="O411" s="94"/>
      <c r="P411" s="26" t="str">
        <f t="shared" si="20"/>
        <v/>
      </c>
      <c r="Q411" s="80"/>
      <c r="R411" s="80"/>
      <c r="S411" s="80"/>
      <c r="T411" s="82"/>
      <c r="U411" s="80"/>
      <c r="V411" s="80"/>
      <c r="W411" s="80"/>
    </row>
    <row r="412" ht="18" customHeight="1" spans="1:23">
      <c r="A412" s="87" t="str">
        <f t="shared" si="18"/>
        <v/>
      </c>
      <c r="B412" s="78"/>
      <c r="C412" s="80"/>
      <c r="D412" s="79"/>
      <c r="E412" s="80"/>
      <c r="F412" s="79"/>
      <c r="G412" s="25" t="str">
        <f t="shared" si="19"/>
        <v/>
      </c>
      <c r="H412" s="88"/>
      <c r="I412" s="93"/>
      <c r="J412" s="97"/>
      <c r="K412" s="88"/>
      <c r="L412" s="25" t="str">
        <f>IF($D412="","",SUMIFS($H$4:$H412,$D$4:$D412,$D412)+SUMIFS($I$4:$I412,$D$4:$D412,$D412)-SUMIFS($J$4:$J412,$D$4:$D412,$D412)-SUMIFS($K$4:$K412,$D$4:$D412,$D412))</f>
        <v/>
      </c>
      <c r="M412" s="80"/>
      <c r="N412" s="80"/>
      <c r="O412" s="94"/>
      <c r="P412" s="26" t="str">
        <f t="shared" si="20"/>
        <v/>
      </c>
      <c r="Q412" s="80"/>
      <c r="R412" s="80"/>
      <c r="S412" s="80"/>
      <c r="T412" s="82"/>
      <c r="U412" s="80"/>
      <c r="V412" s="80"/>
      <c r="W412" s="80"/>
    </row>
    <row r="413" ht="18" customHeight="1" spans="1:23">
      <c r="A413" s="87" t="str">
        <f t="shared" si="18"/>
        <v/>
      </c>
      <c r="B413" s="78"/>
      <c r="C413" s="80"/>
      <c r="D413" s="79"/>
      <c r="E413" s="80"/>
      <c r="F413" s="79"/>
      <c r="G413" s="25" t="str">
        <f t="shared" si="19"/>
        <v/>
      </c>
      <c r="H413" s="88"/>
      <c r="I413" s="93"/>
      <c r="J413" s="97"/>
      <c r="K413" s="88"/>
      <c r="L413" s="25" t="str">
        <f>IF($D413="","",SUMIFS($H$4:$H413,$D$4:$D413,$D413)+SUMIFS($I$4:$I413,$D$4:$D413,$D413)-SUMIFS($J$4:$J413,$D$4:$D413,$D413)-SUMIFS($K$4:$K413,$D$4:$D413,$D413))</f>
        <v/>
      </c>
      <c r="M413" s="80"/>
      <c r="N413" s="80"/>
      <c r="O413" s="94"/>
      <c r="P413" s="26" t="str">
        <f t="shared" si="20"/>
        <v/>
      </c>
      <c r="Q413" s="80"/>
      <c r="R413" s="80"/>
      <c r="S413" s="80"/>
      <c r="T413" s="82"/>
      <c r="U413" s="80"/>
      <c r="V413" s="80"/>
      <c r="W413" s="80"/>
    </row>
    <row r="414" ht="18" customHeight="1" spans="1:23">
      <c r="A414" s="87" t="str">
        <f t="shared" si="18"/>
        <v/>
      </c>
      <c r="B414" s="78"/>
      <c r="C414" s="80"/>
      <c r="D414" s="79"/>
      <c r="E414" s="80"/>
      <c r="F414" s="79"/>
      <c r="G414" s="25" t="str">
        <f t="shared" si="19"/>
        <v/>
      </c>
      <c r="H414" s="88"/>
      <c r="I414" s="93"/>
      <c r="J414" s="97"/>
      <c r="K414" s="88"/>
      <c r="L414" s="25" t="str">
        <f>IF($D414="","",SUMIFS($H$4:$H414,$D$4:$D414,$D414)+SUMIFS($I$4:$I414,$D$4:$D414,$D414)-SUMIFS($J$4:$J414,$D$4:$D414,$D414)-SUMIFS($K$4:$K414,$D$4:$D414,$D414))</f>
        <v/>
      </c>
      <c r="M414" s="80"/>
      <c r="N414" s="80"/>
      <c r="O414" s="94"/>
      <c r="P414" s="26" t="str">
        <f t="shared" si="20"/>
        <v/>
      </c>
      <c r="Q414" s="80"/>
      <c r="R414" s="80"/>
      <c r="S414" s="80"/>
      <c r="T414" s="82"/>
      <c r="U414" s="80"/>
      <c r="V414" s="80"/>
      <c r="W414" s="80"/>
    </row>
    <row r="415" ht="18" customHeight="1" spans="1:23">
      <c r="A415" s="87" t="str">
        <f t="shared" si="18"/>
        <v/>
      </c>
      <c r="B415" s="78"/>
      <c r="C415" s="80"/>
      <c r="D415" s="79"/>
      <c r="E415" s="80"/>
      <c r="F415" s="79"/>
      <c r="G415" s="25" t="str">
        <f t="shared" si="19"/>
        <v/>
      </c>
      <c r="H415" s="88"/>
      <c r="I415" s="93"/>
      <c r="J415" s="97"/>
      <c r="K415" s="88"/>
      <c r="L415" s="25" t="str">
        <f>IF($D415="","",SUMIFS($H$4:$H415,$D$4:$D415,$D415)+SUMIFS($I$4:$I415,$D$4:$D415,$D415)-SUMIFS($J$4:$J415,$D$4:$D415,$D415)-SUMIFS($K$4:$K415,$D$4:$D415,$D415))</f>
        <v/>
      </c>
      <c r="M415" s="80"/>
      <c r="N415" s="80"/>
      <c r="O415" s="94"/>
      <c r="P415" s="26" t="str">
        <f t="shared" si="20"/>
        <v/>
      </c>
      <c r="Q415" s="80"/>
      <c r="R415" s="80"/>
      <c r="S415" s="80"/>
      <c r="T415" s="82"/>
      <c r="U415" s="80"/>
      <c r="V415" s="80"/>
      <c r="W415" s="80"/>
    </row>
    <row r="416" ht="18" customHeight="1" spans="1:23">
      <c r="A416" s="87" t="str">
        <f t="shared" si="18"/>
        <v/>
      </c>
      <c r="B416" s="78"/>
      <c r="C416" s="80"/>
      <c r="D416" s="79"/>
      <c r="E416" s="80"/>
      <c r="F416" s="79"/>
      <c r="G416" s="25" t="str">
        <f t="shared" si="19"/>
        <v/>
      </c>
      <c r="H416" s="88"/>
      <c r="I416" s="93"/>
      <c r="J416" s="97"/>
      <c r="K416" s="88"/>
      <c r="L416" s="25" t="str">
        <f>IF($D416="","",SUMIFS($H$4:$H416,$D$4:$D416,$D416)+SUMIFS($I$4:$I416,$D$4:$D416,$D416)-SUMIFS($J$4:$J416,$D$4:$D416,$D416)-SUMIFS($K$4:$K416,$D$4:$D416,$D416))</f>
        <v/>
      </c>
      <c r="M416" s="80"/>
      <c r="N416" s="80"/>
      <c r="O416" s="94"/>
      <c r="P416" s="26" t="str">
        <f t="shared" si="20"/>
        <v/>
      </c>
      <c r="Q416" s="80"/>
      <c r="R416" s="80"/>
      <c r="S416" s="80"/>
      <c r="T416" s="82"/>
      <c r="U416" s="80"/>
      <c r="V416" s="80"/>
      <c r="W416" s="80"/>
    </row>
    <row r="417" ht="18" customHeight="1" spans="1:23">
      <c r="A417" s="87" t="str">
        <f t="shared" si="18"/>
        <v/>
      </c>
      <c r="B417" s="78"/>
      <c r="C417" s="80"/>
      <c r="D417" s="79"/>
      <c r="E417" s="80"/>
      <c r="F417" s="79"/>
      <c r="G417" s="25" t="str">
        <f t="shared" si="19"/>
        <v/>
      </c>
      <c r="H417" s="88"/>
      <c r="I417" s="93"/>
      <c r="J417" s="97"/>
      <c r="K417" s="88"/>
      <c r="L417" s="25" t="str">
        <f>IF($D417="","",SUMIFS($H$4:$H417,$D$4:$D417,$D417)+SUMIFS($I$4:$I417,$D$4:$D417,$D417)-SUMIFS($J$4:$J417,$D$4:$D417,$D417)-SUMIFS($K$4:$K417,$D$4:$D417,$D417))</f>
        <v/>
      </c>
      <c r="M417" s="80"/>
      <c r="N417" s="80"/>
      <c r="O417" s="94"/>
      <c r="P417" s="26" t="str">
        <f t="shared" si="20"/>
        <v/>
      </c>
      <c r="Q417" s="80"/>
      <c r="R417" s="80"/>
      <c r="S417" s="80"/>
      <c r="T417" s="82"/>
      <c r="U417" s="80"/>
      <c r="V417" s="80"/>
      <c r="W417" s="80"/>
    </row>
    <row r="418" ht="18" customHeight="1" spans="1:23">
      <c r="A418" s="87" t="str">
        <f t="shared" si="18"/>
        <v/>
      </c>
      <c r="B418" s="78"/>
      <c r="C418" s="80"/>
      <c r="D418" s="79"/>
      <c r="E418" s="80"/>
      <c r="F418" s="79"/>
      <c r="G418" s="25" t="str">
        <f t="shared" si="19"/>
        <v/>
      </c>
      <c r="H418" s="88"/>
      <c r="I418" s="93"/>
      <c r="J418" s="97"/>
      <c r="K418" s="88"/>
      <c r="L418" s="25" t="str">
        <f>IF($D418="","",SUMIFS($H$4:$H418,$D$4:$D418,$D418)+SUMIFS($I$4:$I418,$D$4:$D418,$D418)-SUMIFS($J$4:$J418,$D$4:$D418,$D418)-SUMIFS($K$4:$K418,$D$4:$D418,$D418))</f>
        <v/>
      </c>
      <c r="M418" s="80"/>
      <c r="N418" s="80"/>
      <c r="O418" s="94"/>
      <c r="P418" s="26" t="str">
        <f t="shared" si="20"/>
        <v/>
      </c>
      <c r="Q418" s="80"/>
      <c r="R418" s="80"/>
      <c r="S418" s="80"/>
      <c r="T418" s="82"/>
      <c r="U418" s="80"/>
      <c r="V418" s="80"/>
      <c r="W418" s="80"/>
    </row>
    <row r="419" ht="18" customHeight="1" spans="1:23">
      <c r="A419" s="87" t="str">
        <f t="shared" si="18"/>
        <v/>
      </c>
      <c r="B419" s="78"/>
      <c r="C419" s="80"/>
      <c r="D419" s="79"/>
      <c r="E419" s="80"/>
      <c r="F419" s="79"/>
      <c r="G419" s="25" t="str">
        <f t="shared" si="19"/>
        <v/>
      </c>
      <c r="H419" s="88"/>
      <c r="I419" s="93"/>
      <c r="J419" s="97"/>
      <c r="K419" s="88"/>
      <c r="L419" s="25" t="str">
        <f>IF($D419="","",SUMIFS($H$4:$H419,$D$4:$D419,$D419)+SUMIFS($I$4:$I419,$D$4:$D419,$D419)-SUMIFS($J$4:$J419,$D$4:$D419,$D419)-SUMIFS($K$4:$K419,$D$4:$D419,$D419))</f>
        <v/>
      </c>
      <c r="M419" s="80"/>
      <c r="N419" s="80"/>
      <c r="O419" s="94"/>
      <c r="P419" s="26" t="str">
        <f t="shared" si="20"/>
        <v/>
      </c>
      <c r="Q419" s="80"/>
      <c r="R419" s="80"/>
      <c r="S419" s="80"/>
      <c r="T419" s="82"/>
      <c r="U419" s="80"/>
      <c r="V419" s="80"/>
      <c r="W419" s="80"/>
    </row>
    <row r="420" ht="18" customHeight="1" spans="1:23">
      <c r="A420" s="87" t="str">
        <f t="shared" si="18"/>
        <v/>
      </c>
      <c r="B420" s="78"/>
      <c r="C420" s="80"/>
      <c r="D420" s="79"/>
      <c r="E420" s="80"/>
      <c r="F420" s="79"/>
      <c r="G420" s="25" t="str">
        <f t="shared" si="19"/>
        <v/>
      </c>
      <c r="H420" s="88"/>
      <c r="I420" s="93"/>
      <c r="J420" s="97"/>
      <c r="K420" s="88"/>
      <c r="L420" s="25" t="str">
        <f>IF($D420="","",SUMIFS($H$4:$H420,$D$4:$D420,$D420)+SUMIFS($I$4:$I420,$D$4:$D420,$D420)-SUMIFS($J$4:$J420,$D$4:$D420,$D420)-SUMIFS($K$4:$K420,$D$4:$D420,$D420))</f>
        <v/>
      </c>
      <c r="M420" s="80"/>
      <c r="N420" s="80"/>
      <c r="O420" s="94"/>
      <c r="P420" s="26" t="str">
        <f t="shared" si="20"/>
        <v/>
      </c>
      <c r="Q420" s="80"/>
      <c r="R420" s="80"/>
      <c r="S420" s="80"/>
      <c r="T420" s="82"/>
      <c r="U420" s="80"/>
      <c r="V420" s="80"/>
      <c r="W420" s="80"/>
    </row>
    <row r="421" ht="18" customHeight="1" spans="1:23">
      <c r="A421" s="87" t="str">
        <f t="shared" si="18"/>
        <v/>
      </c>
      <c r="B421" s="78"/>
      <c r="C421" s="80"/>
      <c r="D421" s="79"/>
      <c r="E421" s="80"/>
      <c r="F421" s="79"/>
      <c r="G421" s="25" t="str">
        <f t="shared" si="19"/>
        <v/>
      </c>
      <c r="H421" s="88"/>
      <c r="I421" s="93"/>
      <c r="J421" s="97"/>
      <c r="K421" s="88"/>
      <c r="L421" s="25" t="str">
        <f>IF($D421="","",SUMIFS($H$4:$H421,$D$4:$D421,$D421)+SUMIFS($I$4:$I421,$D$4:$D421,$D421)-SUMIFS($J$4:$J421,$D$4:$D421,$D421)-SUMIFS($K$4:$K421,$D$4:$D421,$D421))</f>
        <v/>
      </c>
      <c r="M421" s="80"/>
      <c r="N421" s="80"/>
      <c r="O421" s="94"/>
      <c r="P421" s="26" t="str">
        <f t="shared" si="20"/>
        <v/>
      </c>
      <c r="Q421" s="80"/>
      <c r="R421" s="80"/>
      <c r="S421" s="80"/>
      <c r="T421" s="82"/>
      <c r="U421" s="80"/>
      <c r="V421" s="80"/>
      <c r="W421" s="80"/>
    </row>
    <row r="422" ht="18" customHeight="1" spans="1:23">
      <c r="A422" s="87" t="str">
        <f t="shared" si="18"/>
        <v/>
      </c>
      <c r="B422" s="78"/>
      <c r="C422" s="80"/>
      <c r="D422" s="79"/>
      <c r="E422" s="80"/>
      <c r="F422" s="79"/>
      <c r="G422" s="25" t="str">
        <f t="shared" si="19"/>
        <v/>
      </c>
      <c r="H422" s="88"/>
      <c r="I422" s="93"/>
      <c r="J422" s="97"/>
      <c r="K422" s="88"/>
      <c r="L422" s="25" t="str">
        <f>IF($D422="","",SUMIFS($H$4:$H422,$D$4:$D422,$D422)+SUMIFS($I$4:$I422,$D$4:$D422,$D422)-SUMIFS($J$4:$J422,$D$4:$D422,$D422)-SUMIFS($K$4:$K422,$D$4:$D422,$D422))</f>
        <v/>
      </c>
      <c r="M422" s="80"/>
      <c r="N422" s="80"/>
      <c r="O422" s="94"/>
      <c r="P422" s="26" t="str">
        <f t="shared" si="20"/>
        <v/>
      </c>
      <c r="Q422" s="80"/>
      <c r="R422" s="80"/>
      <c r="S422" s="80"/>
      <c r="T422" s="82"/>
      <c r="U422" s="80"/>
      <c r="V422" s="80"/>
      <c r="W422" s="80"/>
    </row>
    <row r="423" ht="18" customHeight="1" spans="1:23">
      <c r="A423" s="87" t="str">
        <f t="shared" si="18"/>
        <v/>
      </c>
      <c r="B423" s="78"/>
      <c r="C423" s="80"/>
      <c r="D423" s="79"/>
      <c r="E423" s="80"/>
      <c r="F423" s="79"/>
      <c r="G423" s="25" t="str">
        <f t="shared" si="19"/>
        <v/>
      </c>
      <c r="H423" s="88"/>
      <c r="I423" s="93"/>
      <c r="J423" s="97"/>
      <c r="K423" s="88"/>
      <c r="L423" s="25" t="str">
        <f>IF($D423="","",SUMIFS($H$4:$H423,$D$4:$D423,$D423)+SUMIFS($I$4:$I423,$D$4:$D423,$D423)-SUMIFS($J$4:$J423,$D$4:$D423,$D423)-SUMIFS($K$4:$K423,$D$4:$D423,$D423))</f>
        <v/>
      </c>
      <c r="M423" s="80"/>
      <c r="N423" s="80"/>
      <c r="O423" s="94"/>
      <c r="P423" s="26" t="str">
        <f t="shared" si="20"/>
        <v/>
      </c>
      <c r="Q423" s="80"/>
      <c r="R423" s="80"/>
      <c r="S423" s="80"/>
      <c r="T423" s="82"/>
      <c r="U423" s="80"/>
      <c r="V423" s="80"/>
      <c r="W423" s="80"/>
    </row>
    <row r="424" ht="18" customHeight="1" spans="1:23">
      <c r="A424" s="87" t="str">
        <f t="shared" si="18"/>
        <v/>
      </c>
      <c r="B424" s="78"/>
      <c r="C424" s="80"/>
      <c r="D424" s="79"/>
      <c r="E424" s="80"/>
      <c r="F424" s="79"/>
      <c r="G424" s="25" t="str">
        <f t="shared" si="19"/>
        <v/>
      </c>
      <c r="H424" s="88"/>
      <c r="I424" s="93"/>
      <c r="J424" s="97"/>
      <c r="K424" s="88"/>
      <c r="L424" s="25" t="str">
        <f>IF($D424="","",SUMIFS($H$4:$H424,$D$4:$D424,$D424)+SUMIFS($I$4:$I424,$D$4:$D424,$D424)-SUMIFS($J$4:$J424,$D$4:$D424,$D424)-SUMIFS($K$4:$K424,$D$4:$D424,$D424))</f>
        <v/>
      </c>
      <c r="M424" s="80"/>
      <c r="N424" s="80"/>
      <c r="O424" s="94"/>
      <c r="P424" s="26" t="str">
        <f t="shared" si="20"/>
        <v/>
      </c>
      <c r="Q424" s="80"/>
      <c r="R424" s="80"/>
      <c r="S424" s="80"/>
      <c r="T424" s="82"/>
      <c r="U424" s="80"/>
      <c r="V424" s="80"/>
      <c r="W424" s="80"/>
    </row>
    <row r="425" ht="18" customHeight="1" spans="1:23">
      <c r="A425" s="87" t="str">
        <f t="shared" si="18"/>
        <v/>
      </c>
      <c r="B425" s="78"/>
      <c r="C425" s="80"/>
      <c r="D425" s="79"/>
      <c r="E425" s="80"/>
      <c r="F425" s="79"/>
      <c r="G425" s="25" t="str">
        <f t="shared" si="19"/>
        <v/>
      </c>
      <c r="H425" s="88"/>
      <c r="I425" s="93"/>
      <c r="J425" s="97"/>
      <c r="K425" s="88"/>
      <c r="L425" s="25" t="str">
        <f>IF($D425="","",SUMIFS($H$4:$H425,$D$4:$D425,$D425)+SUMIFS($I$4:$I425,$D$4:$D425,$D425)-SUMIFS($J$4:$J425,$D$4:$D425,$D425)-SUMIFS($K$4:$K425,$D$4:$D425,$D425))</f>
        <v/>
      </c>
      <c r="M425" s="80"/>
      <c r="N425" s="80"/>
      <c r="O425" s="94"/>
      <c r="P425" s="26" t="str">
        <f t="shared" si="20"/>
        <v/>
      </c>
      <c r="Q425" s="80"/>
      <c r="R425" s="80"/>
      <c r="S425" s="80"/>
      <c r="T425" s="82"/>
      <c r="U425" s="80"/>
      <c r="V425" s="80"/>
      <c r="W425" s="80"/>
    </row>
    <row r="426" ht="18" customHeight="1" spans="1:23">
      <c r="A426" s="87" t="str">
        <f t="shared" si="18"/>
        <v/>
      </c>
      <c r="B426" s="78"/>
      <c r="C426" s="80"/>
      <c r="D426" s="79"/>
      <c r="E426" s="80"/>
      <c r="F426" s="79"/>
      <c r="G426" s="25" t="str">
        <f t="shared" si="19"/>
        <v/>
      </c>
      <c r="H426" s="88"/>
      <c r="I426" s="93"/>
      <c r="J426" s="97"/>
      <c r="K426" s="88"/>
      <c r="L426" s="25" t="str">
        <f>IF($D426="","",SUMIFS($H$4:$H426,$D$4:$D426,$D426)+SUMIFS($I$4:$I426,$D$4:$D426,$D426)-SUMIFS($J$4:$J426,$D$4:$D426,$D426)-SUMIFS($K$4:$K426,$D$4:$D426,$D426))</f>
        <v/>
      </c>
      <c r="M426" s="80"/>
      <c r="N426" s="80"/>
      <c r="O426" s="94"/>
      <c r="P426" s="26" t="str">
        <f t="shared" si="20"/>
        <v/>
      </c>
      <c r="Q426" s="80"/>
      <c r="R426" s="80"/>
      <c r="S426" s="80"/>
      <c r="T426" s="82"/>
      <c r="U426" s="80"/>
      <c r="V426" s="80"/>
      <c r="W426" s="80"/>
    </row>
    <row r="427" ht="18" customHeight="1" spans="1:23">
      <c r="A427" s="87" t="str">
        <f t="shared" si="18"/>
        <v/>
      </c>
      <c r="B427" s="78"/>
      <c r="C427" s="80"/>
      <c r="D427" s="79"/>
      <c r="E427" s="80"/>
      <c r="F427" s="79"/>
      <c r="G427" s="25" t="str">
        <f t="shared" si="19"/>
        <v/>
      </c>
      <c r="H427" s="88"/>
      <c r="I427" s="93"/>
      <c r="J427" s="97"/>
      <c r="K427" s="88"/>
      <c r="L427" s="25" t="str">
        <f>IF($D427="","",SUMIFS($H$4:$H427,$D$4:$D427,$D427)+SUMIFS($I$4:$I427,$D$4:$D427,$D427)-SUMIFS($J$4:$J427,$D$4:$D427,$D427)-SUMIFS($K$4:$K427,$D$4:$D427,$D427))</f>
        <v/>
      </c>
      <c r="M427" s="80"/>
      <c r="N427" s="80"/>
      <c r="O427" s="94"/>
      <c r="P427" s="26" t="str">
        <f t="shared" si="20"/>
        <v/>
      </c>
      <c r="Q427" s="80"/>
      <c r="R427" s="80"/>
      <c r="S427" s="80"/>
      <c r="T427" s="82"/>
      <c r="U427" s="80"/>
      <c r="V427" s="80"/>
      <c r="W427" s="80"/>
    </row>
    <row r="428" ht="18" customHeight="1" spans="1:23">
      <c r="A428" s="87" t="str">
        <f t="shared" si="18"/>
        <v/>
      </c>
      <c r="B428" s="78"/>
      <c r="C428" s="80"/>
      <c r="D428" s="79"/>
      <c r="E428" s="80"/>
      <c r="F428" s="79"/>
      <c r="G428" s="25" t="str">
        <f t="shared" si="19"/>
        <v/>
      </c>
      <c r="H428" s="88"/>
      <c r="I428" s="93"/>
      <c r="J428" s="97"/>
      <c r="K428" s="88"/>
      <c r="L428" s="25" t="str">
        <f>IF($D428="","",SUMIFS($H$4:$H428,$D$4:$D428,$D428)+SUMIFS($I$4:$I428,$D$4:$D428,$D428)-SUMIFS($J$4:$J428,$D$4:$D428,$D428)-SUMIFS($K$4:$K428,$D$4:$D428,$D428))</f>
        <v/>
      </c>
      <c r="M428" s="80"/>
      <c r="N428" s="80"/>
      <c r="O428" s="94"/>
      <c r="P428" s="26" t="str">
        <f t="shared" si="20"/>
        <v/>
      </c>
      <c r="Q428" s="80"/>
      <c r="R428" s="80"/>
      <c r="S428" s="80"/>
      <c r="T428" s="82"/>
      <c r="U428" s="80"/>
      <c r="V428" s="80"/>
      <c r="W428" s="80"/>
    </row>
    <row r="429" ht="18" customHeight="1" spans="1:23">
      <c r="A429" s="87" t="str">
        <f t="shared" si="18"/>
        <v/>
      </c>
      <c r="B429" s="78"/>
      <c r="C429" s="80"/>
      <c r="D429" s="79"/>
      <c r="E429" s="80"/>
      <c r="F429" s="79"/>
      <c r="G429" s="25" t="str">
        <f t="shared" si="19"/>
        <v/>
      </c>
      <c r="H429" s="88"/>
      <c r="I429" s="93"/>
      <c r="J429" s="97"/>
      <c r="K429" s="88"/>
      <c r="L429" s="25" t="str">
        <f>IF($D429="","",SUMIFS($H$4:$H429,$D$4:$D429,$D429)+SUMIFS($I$4:$I429,$D$4:$D429,$D429)-SUMIFS($J$4:$J429,$D$4:$D429,$D429)-SUMIFS($K$4:$K429,$D$4:$D429,$D429))</f>
        <v/>
      </c>
      <c r="M429" s="80"/>
      <c r="N429" s="80"/>
      <c r="O429" s="94"/>
      <c r="P429" s="26" t="str">
        <f t="shared" si="20"/>
        <v/>
      </c>
      <c r="Q429" s="80"/>
      <c r="R429" s="80"/>
      <c r="S429" s="80"/>
      <c r="T429" s="82"/>
      <c r="U429" s="80"/>
      <c r="V429" s="80"/>
      <c r="W429" s="80"/>
    </row>
    <row r="430" ht="18" customHeight="1" spans="1:23">
      <c r="A430" s="87" t="str">
        <f t="shared" si="18"/>
        <v/>
      </c>
      <c r="B430" s="78"/>
      <c r="C430" s="80"/>
      <c r="D430" s="79"/>
      <c r="E430" s="80"/>
      <c r="F430" s="79"/>
      <c r="G430" s="25" t="str">
        <f t="shared" si="19"/>
        <v/>
      </c>
      <c r="H430" s="88"/>
      <c r="I430" s="93"/>
      <c r="J430" s="97"/>
      <c r="K430" s="88"/>
      <c r="L430" s="25" t="str">
        <f>IF($D430="","",SUMIFS($H$4:$H430,$D$4:$D430,$D430)+SUMIFS($I$4:$I430,$D$4:$D430,$D430)-SUMIFS($J$4:$J430,$D$4:$D430,$D430)-SUMIFS($K$4:$K430,$D$4:$D430,$D430))</f>
        <v/>
      </c>
      <c r="M430" s="80"/>
      <c r="N430" s="80"/>
      <c r="O430" s="94"/>
      <c r="P430" s="26" t="str">
        <f t="shared" si="20"/>
        <v/>
      </c>
      <c r="Q430" s="80"/>
      <c r="R430" s="80"/>
      <c r="S430" s="80"/>
      <c r="T430" s="82"/>
      <c r="U430" s="80"/>
      <c r="V430" s="80"/>
      <c r="W430" s="80"/>
    </row>
    <row r="431" ht="18" customHeight="1" spans="1:23">
      <c r="A431" s="87" t="str">
        <f t="shared" si="18"/>
        <v/>
      </c>
      <c r="B431" s="78"/>
      <c r="C431" s="80"/>
      <c r="D431" s="79"/>
      <c r="E431" s="80"/>
      <c r="F431" s="79"/>
      <c r="G431" s="25" t="str">
        <f t="shared" si="19"/>
        <v/>
      </c>
      <c r="H431" s="88"/>
      <c r="I431" s="93"/>
      <c r="J431" s="97"/>
      <c r="K431" s="88"/>
      <c r="L431" s="25" t="str">
        <f>IF($D431="","",SUMIFS($H$4:$H431,$D$4:$D431,$D431)+SUMIFS($I$4:$I431,$D$4:$D431,$D431)-SUMIFS($J$4:$J431,$D$4:$D431,$D431)-SUMIFS($K$4:$K431,$D$4:$D431,$D431))</f>
        <v/>
      </c>
      <c r="M431" s="80"/>
      <c r="N431" s="80"/>
      <c r="O431" s="94"/>
      <c r="P431" s="26" t="str">
        <f t="shared" si="20"/>
        <v/>
      </c>
      <c r="Q431" s="80"/>
      <c r="R431" s="80"/>
      <c r="S431" s="80"/>
      <c r="T431" s="82"/>
      <c r="U431" s="80"/>
      <c r="V431" s="80"/>
      <c r="W431" s="80"/>
    </row>
    <row r="432" ht="18" customHeight="1" spans="1:23">
      <c r="A432" s="87" t="str">
        <f t="shared" si="18"/>
        <v/>
      </c>
      <c r="B432" s="78"/>
      <c r="C432" s="80"/>
      <c r="D432" s="79"/>
      <c r="E432" s="80"/>
      <c r="F432" s="79"/>
      <c r="G432" s="25" t="str">
        <f t="shared" si="19"/>
        <v/>
      </c>
      <c r="H432" s="88"/>
      <c r="I432" s="93"/>
      <c r="J432" s="97"/>
      <c r="K432" s="88"/>
      <c r="L432" s="25" t="str">
        <f>IF($D432="","",SUMIFS($H$4:$H432,$D$4:$D432,$D432)+SUMIFS($I$4:$I432,$D$4:$D432,$D432)-SUMIFS($J$4:$J432,$D$4:$D432,$D432)-SUMIFS($K$4:$K432,$D$4:$D432,$D432))</f>
        <v/>
      </c>
      <c r="M432" s="80"/>
      <c r="N432" s="80"/>
      <c r="O432" s="94"/>
      <c r="P432" s="26" t="str">
        <f t="shared" si="20"/>
        <v/>
      </c>
      <c r="Q432" s="80"/>
      <c r="R432" s="80"/>
      <c r="S432" s="80"/>
      <c r="T432" s="82"/>
      <c r="U432" s="80"/>
      <c r="V432" s="80"/>
      <c r="W432" s="80"/>
    </row>
    <row r="433" ht="18" customHeight="1" spans="1:23">
      <c r="A433" s="87" t="str">
        <f t="shared" si="18"/>
        <v/>
      </c>
      <c r="B433" s="78"/>
      <c r="C433" s="80"/>
      <c r="D433" s="79"/>
      <c r="E433" s="80"/>
      <c r="F433" s="79"/>
      <c r="G433" s="25" t="str">
        <f t="shared" si="19"/>
        <v/>
      </c>
      <c r="H433" s="88"/>
      <c r="I433" s="93"/>
      <c r="J433" s="97"/>
      <c r="K433" s="88"/>
      <c r="L433" s="25" t="str">
        <f>IF($D433="","",SUMIFS($H$4:$H433,$D$4:$D433,$D433)+SUMIFS($I$4:$I433,$D$4:$D433,$D433)-SUMIFS($J$4:$J433,$D$4:$D433,$D433)-SUMIFS($K$4:$K433,$D$4:$D433,$D433))</f>
        <v/>
      </c>
      <c r="M433" s="80"/>
      <c r="N433" s="80"/>
      <c r="O433" s="94"/>
      <c r="P433" s="26" t="str">
        <f t="shared" si="20"/>
        <v/>
      </c>
      <c r="Q433" s="80"/>
      <c r="R433" s="80"/>
      <c r="S433" s="80"/>
      <c r="T433" s="82"/>
      <c r="U433" s="80"/>
      <c r="V433" s="80"/>
      <c r="W433" s="80"/>
    </row>
    <row r="434" ht="18" customHeight="1" spans="1:23">
      <c r="A434" s="87" t="str">
        <f t="shared" si="18"/>
        <v/>
      </c>
      <c r="B434" s="78"/>
      <c r="C434" s="80"/>
      <c r="D434" s="79"/>
      <c r="E434" s="80"/>
      <c r="F434" s="79"/>
      <c r="G434" s="25" t="str">
        <f t="shared" si="19"/>
        <v/>
      </c>
      <c r="H434" s="88"/>
      <c r="I434" s="93"/>
      <c r="J434" s="97"/>
      <c r="K434" s="88"/>
      <c r="L434" s="25" t="str">
        <f>IF($D434="","",SUMIFS($H$4:$H434,$D$4:$D434,$D434)+SUMIFS($I$4:$I434,$D$4:$D434,$D434)-SUMIFS($J$4:$J434,$D$4:$D434,$D434)-SUMIFS($K$4:$K434,$D$4:$D434,$D434))</f>
        <v/>
      </c>
      <c r="M434" s="80"/>
      <c r="N434" s="80"/>
      <c r="O434" s="94"/>
      <c r="P434" s="26" t="str">
        <f t="shared" si="20"/>
        <v/>
      </c>
      <c r="Q434" s="80"/>
      <c r="R434" s="80"/>
      <c r="S434" s="80"/>
      <c r="T434" s="82"/>
      <c r="U434" s="80"/>
      <c r="V434" s="80"/>
      <c r="W434" s="80"/>
    </row>
    <row r="435" ht="18" customHeight="1" spans="1:23">
      <c r="A435" s="87" t="str">
        <f t="shared" si="18"/>
        <v/>
      </c>
      <c r="B435" s="78"/>
      <c r="C435" s="80"/>
      <c r="D435" s="79"/>
      <c r="E435" s="80"/>
      <c r="F435" s="79"/>
      <c r="G435" s="25" t="str">
        <f t="shared" si="19"/>
        <v/>
      </c>
      <c r="H435" s="88"/>
      <c r="I435" s="93"/>
      <c r="J435" s="97"/>
      <c r="K435" s="88"/>
      <c r="L435" s="25" t="str">
        <f>IF($D435="","",SUMIFS($H$4:$H435,$D$4:$D435,$D435)+SUMIFS($I$4:$I435,$D$4:$D435,$D435)-SUMIFS($J$4:$J435,$D$4:$D435,$D435)-SUMIFS($K$4:$K435,$D$4:$D435,$D435))</f>
        <v/>
      </c>
      <c r="M435" s="80"/>
      <c r="N435" s="80"/>
      <c r="O435" s="94"/>
      <c r="P435" s="26" t="str">
        <f t="shared" si="20"/>
        <v/>
      </c>
      <c r="Q435" s="80"/>
      <c r="R435" s="80"/>
      <c r="S435" s="80"/>
      <c r="T435" s="82"/>
      <c r="U435" s="80"/>
      <c r="V435" s="80"/>
      <c r="W435" s="80"/>
    </row>
    <row r="436" ht="18" customHeight="1" spans="1:23">
      <c r="A436" s="87" t="str">
        <f t="shared" si="18"/>
        <v/>
      </c>
      <c r="B436" s="78"/>
      <c r="C436" s="80"/>
      <c r="D436" s="79"/>
      <c r="E436" s="80"/>
      <c r="F436" s="79"/>
      <c r="G436" s="25" t="str">
        <f t="shared" si="19"/>
        <v/>
      </c>
      <c r="H436" s="88"/>
      <c r="I436" s="93"/>
      <c r="J436" s="97"/>
      <c r="K436" s="88"/>
      <c r="L436" s="25" t="str">
        <f>IF($D436="","",SUMIFS($H$4:$H436,$D$4:$D436,$D436)+SUMIFS($I$4:$I436,$D$4:$D436,$D436)-SUMIFS($J$4:$J436,$D$4:$D436,$D436)-SUMIFS($K$4:$K436,$D$4:$D436,$D436))</f>
        <v/>
      </c>
      <c r="M436" s="80"/>
      <c r="N436" s="80"/>
      <c r="O436" s="94"/>
      <c r="P436" s="26" t="str">
        <f t="shared" si="20"/>
        <v/>
      </c>
      <c r="Q436" s="80"/>
      <c r="R436" s="80"/>
      <c r="S436" s="80"/>
      <c r="T436" s="82"/>
      <c r="U436" s="80"/>
      <c r="V436" s="80"/>
      <c r="W436" s="80"/>
    </row>
    <row r="437" ht="18" customHeight="1" spans="1:23">
      <c r="A437" s="87" t="str">
        <f t="shared" si="18"/>
        <v/>
      </c>
      <c r="B437" s="78"/>
      <c r="C437" s="80"/>
      <c r="D437" s="79"/>
      <c r="E437" s="80"/>
      <c r="F437" s="79"/>
      <c r="G437" s="25" t="str">
        <f t="shared" si="19"/>
        <v/>
      </c>
      <c r="H437" s="88"/>
      <c r="I437" s="93"/>
      <c r="J437" s="97"/>
      <c r="K437" s="88"/>
      <c r="L437" s="25" t="str">
        <f>IF($D437="","",SUMIFS($H$4:$H437,$D$4:$D437,$D437)+SUMIFS($I$4:$I437,$D$4:$D437,$D437)-SUMIFS($J$4:$J437,$D$4:$D437,$D437)-SUMIFS($K$4:$K437,$D$4:$D437,$D437))</f>
        <v/>
      </c>
      <c r="M437" s="80"/>
      <c r="N437" s="80"/>
      <c r="O437" s="94"/>
      <c r="P437" s="26" t="str">
        <f t="shared" si="20"/>
        <v/>
      </c>
      <c r="Q437" s="80"/>
      <c r="R437" s="80"/>
      <c r="S437" s="80"/>
      <c r="T437" s="82"/>
      <c r="U437" s="80"/>
      <c r="V437" s="80"/>
      <c r="W437" s="80"/>
    </row>
    <row r="438" ht="18" customHeight="1" spans="1:23">
      <c r="A438" s="87" t="str">
        <f t="shared" si="18"/>
        <v/>
      </c>
      <c r="B438" s="78"/>
      <c r="C438" s="80"/>
      <c r="D438" s="79"/>
      <c r="E438" s="80"/>
      <c r="F438" s="79"/>
      <c r="G438" s="25" t="str">
        <f t="shared" si="19"/>
        <v/>
      </c>
      <c r="H438" s="88"/>
      <c r="I438" s="93"/>
      <c r="J438" s="97"/>
      <c r="K438" s="88"/>
      <c r="L438" s="25" t="str">
        <f>IF($D438="","",SUMIFS($H$4:$H438,$D$4:$D438,$D438)+SUMIFS($I$4:$I438,$D$4:$D438,$D438)-SUMIFS($J$4:$J438,$D$4:$D438,$D438)-SUMIFS($K$4:$K438,$D$4:$D438,$D438))</f>
        <v/>
      </c>
      <c r="M438" s="80"/>
      <c r="N438" s="80"/>
      <c r="O438" s="94"/>
      <c r="P438" s="26" t="str">
        <f t="shared" si="20"/>
        <v/>
      </c>
      <c r="Q438" s="80"/>
      <c r="R438" s="80"/>
      <c r="S438" s="80"/>
      <c r="T438" s="82"/>
      <c r="U438" s="80"/>
      <c r="V438" s="80"/>
      <c r="W438" s="80"/>
    </row>
    <row r="439" ht="18" customHeight="1" spans="1:23">
      <c r="A439" s="87" t="str">
        <f t="shared" si="18"/>
        <v/>
      </c>
      <c r="B439" s="78"/>
      <c r="C439" s="80"/>
      <c r="D439" s="79"/>
      <c r="E439" s="80"/>
      <c r="F439" s="79"/>
      <c r="G439" s="25" t="str">
        <f t="shared" si="19"/>
        <v/>
      </c>
      <c r="H439" s="88"/>
      <c r="I439" s="93"/>
      <c r="J439" s="97"/>
      <c r="K439" s="88"/>
      <c r="L439" s="25" t="str">
        <f>IF($D439="","",SUMIFS($H$4:$H439,$D$4:$D439,$D439)+SUMIFS($I$4:$I439,$D$4:$D439,$D439)-SUMIFS($J$4:$J439,$D$4:$D439,$D439)-SUMIFS($K$4:$K439,$D$4:$D439,$D439))</f>
        <v/>
      </c>
      <c r="M439" s="80"/>
      <c r="N439" s="80"/>
      <c r="O439" s="94"/>
      <c r="P439" s="26" t="str">
        <f t="shared" si="20"/>
        <v/>
      </c>
      <c r="Q439" s="80"/>
      <c r="R439" s="80"/>
      <c r="S439" s="80"/>
      <c r="T439" s="82"/>
      <c r="U439" s="80"/>
      <c r="V439" s="80"/>
      <c r="W439" s="80"/>
    </row>
    <row r="440" ht="18" customHeight="1" spans="1:23">
      <c r="A440" s="87" t="str">
        <f t="shared" si="18"/>
        <v/>
      </c>
      <c r="B440" s="78"/>
      <c r="C440" s="80"/>
      <c r="D440" s="79"/>
      <c r="E440" s="80"/>
      <c r="F440" s="79"/>
      <c r="G440" s="25" t="str">
        <f t="shared" si="19"/>
        <v/>
      </c>
      <c r="H440" s="88"/>
      <c r="I440" s="93"/>
      <c r="J440" s="97"/>
      <c r="K440" s="88"/>
      <c r="L440" s="25" t="str">
        <f>IF($D440="","",SUMIFS($H$4:$H440,$D$4:$D440,$D440)+SUMIFS($I$4:$I440,$D$4:$D440,$D440)-SUMIFS($J$4:$J440,$D$4:$D440,$D440)-SUMIFS($K$4:$K440,$D$4:$D440,$D440))</f>
        <v/>
      </c>
      <c r="M440" s="80"/>
      <c r="N440" s="80"/>
      <c r="O440" s="94"/>
      <c r="P440" s="26" t="str">
        <f t="shared" si="20"/>
        <v/>
      </c>
      <c r="Q440" s="80"/>
      <c r="R440" s="80"/>
      <c r="S440" s="80"/>
      <c r="T440" s="82"/>
      <c r="U440" s="80"/>
      <c r="V440" s="80"/>
      <c r="W440" s="80"/>
    </row>
    <row r="441" ht="18" customHeight="1" spans="1:23">
      <c r="A441" s="87" t="str">
        <f t="shared" si="18"/>
        <v/>
      </c>
      <c r="B441" s="78"/>
      <c r="C441" s="80"/>
      <c r="D441" s="79"/>
      <c r="E441" s="80"/>
      <c r="F441" s="79"/>
      <c r="G441" s="25" t="str">
        <f t="shared" si="19"/>
        <v/>
      </c>
      <c r="H441" s="88"/>
      <c r="I441" s="93"/>
      <c r="J441" s="97"/>
      <c r="K441" s="88"/>
      <c r="L441" s="25" t="str">
        <f>IF($D441="","",SUMIFS($H$4:$H441,$D$4:$D441,$D441)+SUMIFS($I$4:$I441,$D$4:$D441,$D441)-SUMIFS($J$4:$J441,$D$4:$D441,$D441)-SUMIFS($K$4:$K441,$D$4:$D441,$D441))</f>
        <v/>
      </c>
      <c r="M441" s="80"/>
      <c r="N441" s="80"/>
      <c r="O441" s="94"/>
      <c r="P441" s="26" t="str">
        <f t="shared" si="20"/>
        <v/>
      </c>
      <c r="Q441" s="80"/>
      <c r="R441" s="80"/>
      <c r="S441" s="80"/>
      <c r="T441" s="82"/>
      <c r="U441" s="80"/>
      <c r="V441" s="80"/>
      <c r="W441" s="80"/>
    </row>
    <row r="442" ht="18" customHeight="1" spans="1:23">
      <c r="A442" s="87" t="str">
        <f t="shared" si="18"/>
        <v/>
      </c>
      <c r="B442" s="78"/>
      <c r="C442" s="80"/>
      <c r="D442" s="79"/>
      <c r="E442" s="80"/>
      <c r="F442" s="79"/>
      <c r="G442" s="25" t="str">
        <f t="shared" si="19"/>
        <v/>
      </c>
      <c r="H442" s="88"/>
      <c r="I442" s="93"/>
      <c r="J442" s="97"/>
      <c r="K442" s="88"/>
      <c r="L442" s="25" t="str">
        <f>IF($D442="","",SUMIFS($H$4:$H442,$D$4:$D442,$D442)+SUMIFS($I$4:$I442,$D$4:$D442,$D442)-SUMIFS($J$4:$J442,$D$4:$D442,$D442)-SUMIFS($K$4:$K442,$D$4:$D442,$D442))</f>
        <v/>
      </c>
      <c r="M442" s="80"/>
      <c r="N442" s="80"/>
      <c r="O442" s="94"/>
      <c r="P442" s="26" t="str">
        <f t="shared" si="20"/>
        <v/>
      </c>
      <c r="Q442" s="80"/>
      <c r="R442" s="80"/>
      <c r="S442" s="80"/>
      <c r="T442" s="82"/>
      <c r="U442" s="80"/>
      <c r="V442" s="80"/>
      <c r="W442" s="80"/>
    </row>
    <row r="443" ht="18" customHeight="1" spans="1:23">
      <c r="A443" s="87" t="str">
        <f t="shared" si="18"/>
        <v/>
      </c>
      <c r="B443" s="78"/>
      <c r="C443" s="80"/>
      <c r="D443" s="79"/>
      <c r="E443" s="80"/>
      <c r="F443" s="79"/>
      <c r="G443" s="25" t="str">
        <f t="shared" si="19"/>
        <v/>
      </c>
      <c r="H443" s="88"/>
      <c r="I443" s="93"/>
      <c r="J443" s="97"/>
      <c r="K443" s="88"/>
      <c r="L443" s="25" t="str">
        <f>IF($D443="","",SUMIFS($H$4:$H443,$D$4:$D443,$D443)+SUMIFS($I$4:$I443,$D$4:$D443,$D443)-SUMIFS($J$4:$J443,$D$4:$D443,$D443)-SUMIFS($K$4:$K443,$D$4:$D443,$D443))</f>
        <v/>
      </c>
      <c r="M443" s="80"/>
      <c r="N443" s="80"/>
      <c r="O443" s="94"/>
      <c r="P443" s="26" t="str">
        <f t="shared" si="20"/>
        <v/>
      </c>
      <c r="Q443" s="80"/>
      <c r="R443" s="80"/>
      <c r="S443" s="80"/>
      <c r="T443" s="82"/>
      <c r="U443" s="80"/>
      <c r="V443" s="80"/>
      <c r="W443" s="80"/>
    </row>
    <row r="444" ht="18" customHeight="1" spans="1:23">
      <c r="A444" s="87" t="str">
        <f t="shared" si="18"/>
        <v/>
      </c>
      <c r="B444" s="78"/>
      <c r="C444" s="80"/>
      <c r="D444" s="79"/>
      <c r="E444" s="80"/>
      <c r="F444" s="79"/>
      <c r="G444" s="25" t="str">
        <f t="shared" si="19"/>
        <v/>
      </c>
      <c r="H444" s="88"/>
      <c r="I444" s="93"/>
      <c r="J444" s="97"/>
      <c r="K444" s="88"/>
      <c r="L444" s="25" t="str">
        <f>IF($D444="","",SUMIFS($H$4:$H444,$D$4:$D444,$D444)+SUMIFS($I$4:$I444,$D$4:$D444,$D444)-SUMIFS($J$4:$J444,$D$4:$D444,$D444)-SUMIFS($K$4:$K444,$D$4:$D444,$D444))</f>
        <v/>
      </c>
      <c r="M444" s="80"/>
      <c r="N444" s="80"/>
      <c r="O444" s="94"/>
      <c r="P444" s="26" t="str">
        <f t="shared" si="20"/>
        <v/>
      </c>
      <c r="Q444" s="80"/>
      <c r="R444" s="80"/>
      <c r="S444" s="80"/>
      <c r="T444" s="82"/>
      <c r="U444" s="80"/>
      <c r="V444" s="80"/>
      <c r="W444" s="80"/>
    </row>
    <row r="445" ht="18" customHeight="1" spans="1:23">
      <c r="A445" s="87" t="str">
        <f t="shared" si="18"/>
        <v/>
      </c>
      <c r="B445" s="78"/>
      <c r="C445" s="80"/>
      <c r="D445" s="79"/>
      <c r="E445" s="80"/>
      <c r="F445" s="79"/>
      <c r="G445" s="25" t="str">
        <f t="shared" si="19"/>
        <v/>
      </c>
      <c r="H445" s="88"/>
      <c r="I445" s="93"/>
      <c r="J445" s="97"/>
      <c r="K445" s="88"/>
      <c r="L445" s="25" t="str">
        <f>IF($D445="","",SUMIFS($H$4:$H445,$D$4:$D445,$D445)+SUMIFS($I$4:$I445,$D$4:$D445,$D445)-SUMIFS($J$4:$J445,$D$4:$D445,$D445)-SUMIFS($K$4:$K445,$D$4:$D445,$D445))</f>
        <v/>
      </c>
      <c r="M445" s="80"/>
      <c r="N445" s="80"/>
      <c r="O445" s="94"/>
      <c r="P445" s="26" t="str">
        <f t="shared" si="20"/>
        <v/>
      </c>
      <c r="Q445" s="80"/>
      <c r="R445" s="80"/>
      <c r="S445" s="80"/>
      <c r="T445" s="82"/>
      <c r="U445" s="80"/>
      <c r="V445" s="80"/>
      <c r="W445" s="80"/>
    </row>
    <row r="446" ht="18" customHeight="1" spans="1:23">
      <c r="A446" s="87" t="str">
        <f t="shared" si="18"/>
        <v/>
      </c>
      <c r="B446" s="78"/>
      <c r="C446" s="80"/>
      <c r="D446" s="79"/>
      <c r="E446" s="80"/>
      <c r="F446" s="79"/>
      <c r="G446" s="25" t="str">
        <f t="shared" si="19"/>
        <v/>
      </c>
      <c r="H446" s="88"/>
      <c r="I446" s="93"/>
      <c r="J446" s="97"/>
      <c r="K446" s="88"/>
      <c r="L446" s="25" t="str">
        <f>IF($D446="","",SUMIFS($H$4:$H446,$D$4:$D446,$D446)+SUMIFS($I$4:$I446,$D$4:$D446,$D446)-SUMIFS($J$4:$J446,$D$4:$D446,$D446)-SUMIFS($K$4:$K446,$D$4:$D446,$D446))</f>
        <v/>
      </c>
      <c r="M446" s="80"/>
      <c r="N446" s="80"/>
      <c r="O446" s="94"/>
      <c r="P446" s="26" t="str">
        <f t="shared" si="20"/>
        <v/>
      </c>
      <c r="Q446" s="80"/>
      <c r="R446" s="80"/>
      <c r="S446" s="80"/>
      <c r="T446" s="82"/>
      <c r="U446" s="80"/>
      <c r="V446" s="80"/>
      <c r="W446" s="80"/>
    </row>
    <row r="447" ht="18" customHeight="1" spans="1:23">
      <c r="A447" s="87" t="str">
        <f t="shared" si="18"/>
        <v/>
      </c>
      <c r="B447" s="78"/>
      <c r="C447" s="80"/>
      <c r="D447" s="79"/>
      <c r="E447" s="80"/>
      <c r="F447" s="79"/>
      <c r="G447" s="25" t="str">
        <f t="shared" si="19"/>
        <v/>
      </c>
      <c r="H447" s="88"/>
      <c r="I447" s="93"/>
      <c r="J447" s="97"/>
      <c r="K447" s="88"/>
      <c r="L447" s="25" t="str">
        <f>IF($D447="","",SUMIFS($H$4:$H447,$D$4:$D447,$D447)+SUMIFS($I$4:$I447,$D$4:$D447,$D447)-SUMIFS($J$4:$J447,$D$4:$D447,$D447)-SUMIFS($K$4:$K447,$D$4:$D447,$D447))</f>
        <v/>
      </c>
      <c r="M447" s="80"/>
      <c r="N447" s="80"/>
      <c r="O447" s="94"/>
      <c r="P447" s="26" t="str">
        <f t="shared" si="20"/>
        <v/>
      </c>
      <c r="Q447" s="80"/>
      <c r="R447" s="80"/>
      <c r="S447" s="80"/>
      <c r="T447" s="82"/>
      <c r="U447" s="80"/>
      <c r="V447" s="80"/>
      <c r="W447" s="80"/>
    </row>
    <row r="448" ht="18" customHeight="1" spans="1:23">
      <c r="A448" s="87" t="str">
        <f t="shared" si="18"/>
        <v/>
      </c>
      <c r="B448" s="78"/>
      <c r="C448" s="80"/>
      <c r="D448" s="79"/>
      <c r="E448" s="80"/>
      <c r="F448" s="79"/>
      <c r="G448" s="25" t="str">
        <f t="shared" si="19"/>
        <v/>
      </c>
      <c r="H448" s="88"/>
      <c r="I448" s="93"/>
      <c r="J448" s="97"/>
      <c r="K448" s="88"/>
      <c r="L448" s="25" t="str">
        <f>IF($D448="","",SUMIFS($H$4:$H448,$D$4:$D448,$D448)+SUMIFS($I$4:$I448,$D$4:$D448,$D448)-SUMIFS($J$4:$J448,$D$4:$D448,$D448)-SUMIFS($K$4:$K448,$D$4:$D448,$D448))</f>
        <v/>
      </c>
      <c r="M448" s="80"/>
      <c r="N448" s="80"/>
      <c r="O448" s="94"/>
      <c r="P448" s="26" t="str">
        <f t="shared" si="20"/>
        <v/>
      </c>
      <c r="Q448" s="80"/>
      <c r="R448" s="80"/>
      <c r="S448" s="80"/>
      <c r="T448" s="82"/>
      <c r="U448" s="80"/>
      <c r="V448" s="80"/>
      <c r="W448" s="80"/>
    </row>
    <row r="449" ht="18" customHeight="1" spans="1:23">
      <c r="A449" s="87" t="str">
        <f t="shared" si="18"/>
        <v/>
      </c>
      <c r="B449" s="78"/>
      <c r="C449" s="80"/>
      <c r="D449" s="79"/>
      <c r="E449" s="80"/>
      <c r="F449" s="79"/>
      <c r="G449" s="25" t="str">
        <f t="shared" si="19"/>
        <v/>
      </c>
      <c r="H449" s="88"/>
      <c r="I449" s="93"/>
      <c r="J449" s="97"/>
      <c r="K449" s="88"/>
      <c r="L449" s="25" t="str">
        <f>IF($D449="","",SUMIFS($H$4:$H449,$D$4:$D449,$D449)+SUMIFS($I$4:$I449,$D$4:$D449,$D449)-SUMIFS($J$4:$J449,$D$4:$D449,$D449)-SUMIFS($K$4:$K449,$D$4:$D449,$D449))</f>
        <v/>
      </c>
      <c r="M449" s="80"/>
      <c r="N449" s="80"/>
      <c r="O449" s="94"/>
      <c r="P449" s="26" t="str">
        <f t="shared" si="20"/>
        <v/>
      </c>
      <c r="Q449" s="80"/>
      <c r="R449" s="80"/>
      <c r="S449" s="80"/>
      <c r="T449" s="82"/>
      <c r="U449" s="80"/>
      <c r="V449" s="80"/>
      <c r="W449" s="80"/>
    </row>
    <row r="450" ht="18" customHeight="1" spans="1:23">
      <c r="A450" s="87" t="str">
        <f t="shared" si="18"/>
        <v/>
      </c>
      <c r="B450" s="78"/>
      <c r="C450" s="80"/>
      <c r="D450" s="79"/>
      <c r="E450" s="80"/>
      <c r="F450" s="79"/>
      <c r="G450" s="25" t="str">
        <f t="shared" si="19"/>
        <v/>
      </c>
      <c r="H450" s="88"/>
      <c r="I450" s="93"/>
      <c r="J450" s="97"/>
      <c r="K450" s="88"/>
      <c r="L450" s="25" t="str">
        <f>IF($D450="","",SUMIFS($H$4:$H450,$D$4:$D450,$D450)+SUMIFS($I$4:$I450,$D$4:$D450,$D450)-SUMIFS($J$4:$J450,$D$4:$D450,$D450)-SUMIFS($K$4:$K450,$D$4:$D450,$D450))</f>
        <v/>
      </c>
      <c r="M450" s="80"/>
      <c r="N450" s="80"/>
      <c r="O450" s="94"/>
      <c r="P450" s="26" t="str">
        <f t="shared" si="20"/>
        <v/>
      </c>
      <c r="Q450" s="80"/>
      <c r="R450" s="80"/>
      <c r="S450" s="80"/>
      <c r="T450" s="82"/>
      <c r="U450" s="80"/>
      <c r="V450" s="80"/>
      <c r="W450" s="80"/>
    </row>
    <row r="451" ht="18" customHeight="1" spans="1:23">
      <c r="A451" s="87" t="str">
        <f t="shared" si="18"/>
        <v/>
      </c>
      <c r="B451" s="78"/>
      <c r="C451" s="80"/>
      <c r="D451" s="79"/>
      <c r="E451" s="80"/>
      <c r="F451" s="79"/>
      <c r="G451" s="25" t="str">
        <f t="shared" si="19"/>
        <v/>
      </c>
      <c r="H451" s="88"/>
      <c r="I451" s="93"/>
      <c r="J451" s="97"/>
      <c r="K451" s="88"/>
      <c r="L451" s="25" t="str">
        <f>IF($D451="","",SUMIFS($H$4:$H451,$D$4:$D451,$D451)+SUMIFS($I$4:$I451,$D$4:$D451,$D451)-SUMIFS($J$4:$J451,$D$4:$D451,$D451)-SUMIFS($K$4:$K451,$D$4:$D451,$D451))</f>
        <v/>
      </c>
      <c r="M451" s="80"/>
      <c r="N451" s="80"/>
      <c r="O451" s="94"/>
      <c r="P451" s="26" t="str">
        <f t="shared" si="20"/>
        <v/>
      </c>
      <c r="Q451" s="80"/>
      <c r="R451" s="80"/>
      <c r="S451" s="80"/>
      <c r="T451" s="82"/>
      <c r="U451" s="80"/>
      <c r="V451" s="80"/>
      <c r="W451" s="80"/>
    </row>
    <row r="452" ht="18" customHeight="1" spans="1:23">
      <c r="A452" s="87" t="str">
        <f t="shared" si="18"/>
        <v/>
      </c>
      <c r="B452" s="78"/>
      <c r="C452" s="80"/>
      <c r="D452" s="79"/>
      <c r="E452" s="80"/>
      <c r="F452" s="79"/>
      <c r="G452" s="25" t="str">
        <f t="shared" si="19"/>
        <v/>
      </c>
      <c r="H452" s="88"/>
      <c r="I452" s="93"/>
      <c r="J452" s="97"/>
      <c r="K452" s="88"/>
      <c r="L452" s="25" t="str">
        <f>IF($D452="","",SUMIFS($H$4:$H452,$D$4:$D452,$D452)+SUMIFS($I$4:$I452,$D$4:$D452,$D452)-SUMIFS($J$4:$J452,$D$4:$D452,$D452)-SUMIFS($K$4:$K452,$D$4:$D452,$D452))</f>
        <v/>
      </c>
      <c r="M452" s="80"/>
      <c r="N452" s="80"/>
      <c r="O452" s="94"/>
      <c r="P452" s="26" t="str">
        <f t="shared" si="20"/>
        <v/>
      </c>
      <c r="Q452" s="80"/>
      <c r="R452" s="80"/>
      <c r="S452" s="80"/>
      <c r="T452" s="82"/>
      <c r="U452" s="80"/>
      <c r="V452" s="80"/>
      <c r="W452" s="80"/>
    </row>
    <row r="453" ht="18" customHeight="1" spans="1:23">
      <c r="A453" s="87" t="str">
        <f t="shared" ref="A453:A516" si="21">IF($D453="","",ROW()-3)</f>
        <v/>
      </c>
      <c r="B453" s="78"/>
      <c r="C453" s="80"/>
      <c r="D453" s="79"/>
      <c r="E453" s="80"/>
      <c r="F453" s="79"/>
      <c r="G453" s="25" t="str">
        <f t="shared" ref="G453:G516" si="22">IF($D453="","",N($L453)-N($H453)-N($I453)+N($J453)+N($K453))</f>
        <v/>
      </c>
      <c r="H453" s="88"/>
      <c r="I453" s="93"/>
      <c r="J453" s="97"/>
      <c r="K453" s="88"/>
      <c r="L453" s="25" t="str">
        <f>IF($D453="","",SUMIFS($H$4:$H453,$D$4:$D453,$D453)+SUMIFS($I$4:$I453,$D$4:$D453,$D453)-SUMIFS($J$4:$J453,$D$4:$D453,$D453)-SUMIFS($K$4:$K453,$D$4:$D453,$D453))</f>
        <v/>
      </c>
      <c r="M453" s="80"/>
      <c r="N453" s="80"/>
      <c r="O453" s="94"/>
      <c r="P453" s="26" t="str">
        <f t="shared" ref="P453:P516" si="23">IF($D453="","",ROUND((N($H453)+N($K453))*N($O453),2))</f>
        <v/>
      </c>
      <c r="Q453" s="80"/>
      <c r="R453" s="80"/>
      <c r="S453" s="80"/>
      <c r="T453" s="82"/>
      <c r="U453" s="80"/>
      <c r="V453" s="80"/>
      <c r="W453" s="80"/>
    </row>
    <row r="454" ht="18" customHeight="1" spans="1:23">
      <c r="A454" s="87" t="str">
        <f t="shared" si="21"/>
        <v/>
      </c>
      <c r="B454" s="78"/>
      <c r="C454" s="80"/>
      <c r="D454" s="79"/>
      <c r="E454" s="80"/>
      <c r="F454" s="79"/>
      <c r="G454" s="25" t="str">
        <f t="shared" si="22"/>
        <v/>
      </c>
      <c r="H454" s="88"/>
      <c r="I454" s="93"/>
      <c r="J454" s="97"/>
      <c r="K454" s="88"/>
      <c r="L454" s="25" t="str">
        <f>IF($D454="","",SUMIFS($H$4:$H454,$D$4:$D454,$D454)+SUMIFS($I$4:$I454,$D$4:$D454,$D454)-SUMIFS($J$4:$J454,$D$4:$D454,$D454)-SUMIFS($K$4:$K454,$D$4:$D454,$D454))</f>
        <v/>
      </c>
      <c r="M454" s="80"/>
      <c r="N454" s="80"/>
      <c r="O454" s="94"/>
      <c r="P454" s="26" t="str">
        <f t="shared" si="23"/>
        <v/>
      </c>
      <c r="Q454" s="80"/>
      <c r="R454" s="80"/>
      <c r="S454" s="80"/>
      <c r="T454" s="82"/>
      <c r="U454" s="80"/>
      <c r="V454" s="80"/>
      <c r="W454" s="80"/>
    </row>
    <row r="455" ht="18" customHeight="1" spans="1:23">
      <c r="A455" s="87" t="str">
        <f t="shared" si="21"/>
        <v/>
      </c>
      <c r="B455" s="78"/>
      <c r="C455" s="80"/>
      <c r="D455" s="79"/>
      <c r="E455" s="80"/>
      <c r="F455" s="79"/>
      <c r="G455" s="25" t="str">
        <f t="shared" si="22"/>
        <v/>
      </c>
      <c r="H455" s="88"/>
      <c r="I455" s="93"/>
      <c r="J455" s="97"/>
      <c r="K455" s="88"/>
      <c r="L455" s="25" t="str">
        <f>IF($D455="","",SUMIFS($H$4:$H455,$D$4:$D455,$D455)+SUMIFS($I$4:$I455,$D$4:$D455,$D455)-SUMIFS($J$4:$J455,$D$4:$D455,$D455)-SUMIFS($K$4:$K455,$D$4:$D455,$D455))</f>
        <v/>
      </c>
      <c r="M455" s="80"/>
      <c r="N455" s="80"/>
      <c r="O455" s="94"/>
      <c r="P455" s="26" t="str">
        <f t="shared" si="23"/>
        <v/>
      </c>
      <c r="Q455" s="80"/>
      <c r="R455" s="80"/>
      <c r="S455" s="80"/>
      <c r="T455" s="82"/>
      <c r="U455" s="80"/>
      <c r="V455" s="80"/>
      <c r="W455" s="80"/>
    </row>
    <row r="456" ht="18" customHeight="1" spans="1:23">
      <c r="A456" s="87" t="str">
        <f t="shared" si="21"/>
        <v/>
      </c>
      <c r="B456" s="78"/>
      <c r="C456" s="80"/>
      <c r="D456" s="79"/>
      <c r="E456" s="80"/>
      <c r="F456" s="79"/>
      <c r="G456" s="25" t="str">
        <f t="shared" si="22"/>
        <v/>
      </c>
      <c r="H456" s="88"/>
      <c r="I456" s="93"/>
      <c r="J456" s="97"/>
      <c r="K456" s="88"/>
      <c r="L456" s="25" t="str">
        <f>IF($D456="","",SUMIFS($H$4:$H456,$D$4:$D456,$D456)+SUMIFS($I$4:$I456,$D$4:$D456,$D456)-SUMIFS($J$4:$J456,$D$4:$D456,$D456)-SUMIFS($K$4:$K456,$D$4:$D456,$D456))</f>
        <v/>
      </c>
      <c r="M456" s="80"/>
      <c r="N456" s="80"/>
      <c r="O456" s="94"/>
      <c r="P456" s="26" t="str">
        <f t="shared" si="23"/>
        <v/>
      </c>
      <c r="Q456" s="80"/>
      <c r="R456" s="80"/>
      <c r="S456" s="80"/>
      <c r="T456" s="82"/>
      <c r="U456" s="80"/>
      <c r="V456" s="80"/>
      <c r="W456" s="80"/>
    </row>
    <row r="457" ht="18" customHeight="1" spans="1:23">
      <c r="A457" s="87" t="str">
        <f t="shared" si="21"/>
        <v/>
      </c>
      <c r="B457" s="78"/>
      <c r="C457" s="80"/>
      <c r="D457" s="79"/>
      <c r="E457" s="80"/>
      <c r="F457" s="79"/>
      <c r="G457" s="25" t="str">
        <f t="shared" si="22"/>
        <v/>
      </c>
      <c r="H457" s="88"/>
      <c r="I457" s="93"/>
      <c r="J457" s="97"/>
      <c r="K457" s="88"/>
      <c r="L457" s="25" t="str">
        <f>IF($D457="","",SUMIFS($H$4:$H457,$D$4:$D457,$D457)+SUMIFS($I$4:$I457,$D$4:$D457,$D457)-SUMIFS($J$4:$J457,$D$4:$D457,$D457)-SUMIFS($K$4:$K457,$D$4:$D457,$D457))</f>
        <v/>
      </c>
      <c r="M457" s="80"/>
      <c r="N457" s="80"/>
      <c r="O457" s="94"/>
      <c r="P457" s="26" t="str">
        <f t="shared" si="23"/>
        <v/>
      </c>
      <c r="Q457" s="80"/>
      <c r="R457" s="80"/>
      <c r="S457" s="80"/>
      <c r="T457" s="82"/>
      <c r="U457" s="80"/>
      <c r="V457" s="80"/>
      <c r="W457" s="80"/>
    </row>
    <row r="458" ht="18" customHeight="1" spans="1:23">
      <c r="A458" s="87" t="str">
        <f t="shared" si="21"/>
        <v/>
      </c>
      <c r="B458" s="78"/>
      <c r="C458" s="80"/>
      <c r="D458" s="79"/>
      <c r="E458" s="80"/>
      <c r="F458" s="79"/>
      <c r="G458" s="25" t="str">
        <f t="shared" si="22"/>
        <v/>
      </c>
      <c r="H458" s="88"/>
      <c r="I458" s="93"/>
      <c r="J458" s="97"/>
      <c r="K458" s="88"/>
      <c r="L458" s="25" t="str">
        <f>IF($D458="","",SUMIFS($H$4:$H458,$D$4:$D458,$D458)+SUMIFS($I$4:$I458,$D$4:$D458,$D458)-SUMIFS($J$4:$J458,$D$4:$D458,$D458)-SUMIFS($K$4:$K458,$D$4:$D458,$D458))</f>
        <v/>
      </c>
      <c r="M458" s="80"/>
      <c r="N458" s="80"/>
      <c r="O458" s="94"/>
      <c r="P458" s="26" t="str">
        <f t="shared" si="23"/>
        <v/>
      </c>
      <c r="Q458" s="80"/>
      <c r="R458" s="80"/>
      <c r="S458" s="80"/>
      <c r="T458" s="82"/>
      <c r="U458" s="80"/>
      <c r="V458" s="80"/>
      <c r="W458" s="80"/>
    </row>
    <row r="459" ht="18" customHeight="1" spans="1:23">
      <c r="A459" s="87" t="str">
        <f t="shared" si="21"/>
        <v/>
      </c>
      <c r="B459" s="78"/>
      <c r="C459" s="80"/>
      <c r="D459" s="79"/>
      <c r="E459" s="80"/>
      <c r="F459" s="79"/>
      <c r="G459" s="25" t="str">
        <f t="shared" si="22"/>
        <v/>
      </c>
      <c r="H459" s="88"/>
      <c r="I459" s="93"/>
      <c r="J459" s="97"/>
      <c r="K459" s="88"/>
      <c r="L459" s="25" t="str">
        <f>IF($D459="","",SUMIFS($H$4:$H459,$D$4:$D459,$D459)+SUMIFS($I$4:$I459,$D$4:$D459,$D459)-SUMIFS($J$4:$J459,$D$4:$D459,$D459)-SUMIFS($K$4:$K459,$D$4:$D459,$D459))</f>
        <v/>
      </c>
      <c r="M459" s="80"/>
      <c r="N459" s="80"/>
      <c r="O459" s="94"/>
      <c r="P459" s="26" t="str">
        <f t="shared" si="23"/>
        <v/>
      </c>
      <c r="Q459" s="80"/>
      <c r="R459" s="80"/>
      <c r="S459" s="80"/>
      <c r="T459" s="82"/>
      <c r="U459" s="80"/>
      <c r="V459" s="80"/>
      <c r="W459" s="80"/>
    </row>
    <row r="460" ht="18" customHeight="1" spans="1:23">
      <c r="A460" s="87" t="str">
        <f t="shared" si="21"/>
        <v/>
      </c>
      <c r="B460" s="78"/>
      <c r="C460" s="80"/>
      <c r="D460" s="79"/>
      <c r="E460" s="80"/>
      <c r="F460" s="79"/>
      <c r="G460" s="25" t="str">
        <f t="shared" si="22"/>
        <v/>
      </c>
      <c r="H460" s="88"/>
      <c r="I460" s="93"/>
      <c r="J460" s="97"/>
      <c r="K460" s="88"/>
      <c r="L460" s="25" t="str">
        <f>IF($D460="","",SUMIFS($H$4:$H460,$D$4:$D460,$D460)+SUMIFS($I$4:$I460,$D$4:$D460,$D460)-SUMIFS($J$4:$J460,$D$4:$D460,$D460)-SUMIFS($K$4:$K460,$D$4:$D460,$D460))</f>
        <v/>
      </c>
      <c r="M460" s="80"/>
      <c r="N460" s="80"/>
      <c r="O460" s="94"/>
      <c r="P460" s="26" t="str">
        <f t="shared" si="23"/>
        <v/>
      </c>
      <c r="Q460" s="80"/>
      <c r="R460" s="80"/>
      <c r="S460" s="80"/>
      <c r="T460" s="82"/>
      <c r="U460" s="80"/>
      <c r="V460" s="80"/>
      <c r="W460" s="80"/>
    </row>
    <row r="461" ht="18" customHeight="1" spans="1:23">
      <c r="A461" s="87" t="str">
        <f t="shared" si="21"/>
        <v/>
      </c>
      <c r="B461" s="78"/>
      <c r="C461" s="80"/>
      <c r="D461" s="79"/>
      <c r="E461" s="80"/>
      <c r="F461" s="79"/>
      <c r="G461" s="25" t="str">
        <f t="shared" si="22"/>
        <v/>
      </c>
      <c r="H461" s="88"/>
      <c r="I461" s="93"/>
      <c r="J461" s="97"/>
      <c r="K461" s="88"/>
      <c r="L461" s="25" t="str">
        <f>IF($D461="","",SUMIFS($H$4:$H461,$D$4:$D461,$D461)+SUMIFS($I$4:$I461,$D$4:$D461,$D461)-SUMIFS($J$4:$J461,$D$4:$D461,$D461)-SUMIFS($K$4:$K461,$D$4:$D461,$D461))</f>
        <v/>
      </c>
      <c r="M461" s="80"/>
      <c r="N461" s="80"/>
      <c r="O461" s="94"/>
      <c r="P461" s="26" t="str">
        <f t="shared" si="23"/>
        <v/>
      </c>
      <c r="Q461" s="80"/>
      <c r="R461" s="80"/>
      <c r="S461" s="80"/>
      <c r="T461" s="82"/>
      <c r="U461" s="80"/>
      <c r="V461" s="80"/>
      <c r="W461" s="80"/>
    </row>
    <row r="462" ht="18" customHeight="1" spans="1:23">
      <c r="A462" s="87" t="str">
        <f t="shared" si="21"/>
        <v/>
      </c>
      <c r="B462" s="78"/>
      <c r="C462" s="80"/>
      <c r="D462" s="79"/>
      <c r="E462" s="80"/>
      <c r="F462" s="79"/>
      <c r="G462" s="25" t="str">
        <f t="shared" si="22"/>
        <v/>
      </c>
      <c r="H462" s="88"/>
      <c r="I462" s="93"/>
      <c r="J462" s="97"/>
      <c r="K462" s="88"/>
      <c r="L462" s="25" t="str">
        <f>IF($D462="","",SUMIFS($H$4:$H462,$D$4:$D462,$D462)+SUMIFS($I$4:$I462,$D$4:$D462,$D462)-SUMIFS($J$4:$J462,$D$4:$D462,$D462)-SUMIFS($K$4:$K462,$D$4:$D462,$D462))</f>
        <v/>
      </c>
      <c r="M462" s="80"/>
      <c r="N462" s="80"/>
      <c r="O462" s="94"/>
      <c r="P462" s="26" t="str">
        <f t="shared" si="23"/>
        <v/>
      </c>
      <c r="Q462" s="80"/>
      <c r="R462" s="80"/>
      <c r="S462" s="80"/>
      <c r="T462" s="82"/>
      <c r="U462" s="80"/>
      <c r="V462" s="80"/>
      <c r="W462" s="80"/>
    </row>
    <row r="463" ht="18" customHeight="1" spans="1:23">
      <c r="A463" s="87" t="str">
        <f t="shared" si="21"/>
        <v/>
      </c>
      <c r="B463" s="78"/>
      <c r="C463" s="80"/>
      <c r="D463" s="79"/>
      <c r="E463" s="80"/>
      <c r="F463" s="79"/>
      <c r="G463" s="25" t="str">
        <f t="shared" si="22"/>
        <v/>
      </c>
      <c r="H463" s="88"/>
      <c r="I463" s="93"/>
      <c r="J463" s="97"/>
      <c r="K463" s="88"/>
      <c r="L463" s="25" t="str">
        <f>IF($D463="","",SUMIFS($H$4:$H463,$D$4:$D463,$D463)+SUMIFS($I$4:$I463,$D$4:$D463,$D463)-SUMIFS($J$4:$J463,$D$4:$D463,$D463)-SUMIFS($K$4:$K463,$D$4:$D463,$D463))</f>
        <v/>
      </c>
      <c r="M463" s="80"/>
      <c r="N463" s="80"/>
      <c r="O463" s="94"/>
      <c r="P463" s="26" t="str">
        <f t="shared" si="23"/>
        <v/>
      </c>
      <c r="Q463" s="80"/>
      <c r="R463" s="80"/>
      <c r="S463" s="80"/>
      <c r="T463" s="82"/>
      <c r="U463" s="80"/>
      <c r="V463" s="80"/>
      <c r="W463" s="80"/>
    </row>
    <row r="464" ht="18" customHeight="1" spans="1:23">
      <c r="A464" s="87" t="str">
        <f t="shared" si="21"/>
        <v/>
      </c>
      <c r="B464" s="78"/>
      <c r="C464" s="80"/>
      <c r="D464" s="79"/>
      <c r="E464" s="80"/>
      <c r="F464" s="79"/>
      <c r="G464" s="25" t="str">
        <f t="shared" si="22"/>
        <v/>
      </c>
      <c r="H464" s="88"/>
      <c r="I464" s="93"/>
      <c r="J464" s="97"/>
      <c r="K464" s="88"/>
      <c r="L464" s="25" t="str">
        <f>IF($D464="","",SUMIFS($H$4:$H464,$D$4:$D464,$D464)+SUMIFS($I$4:$I464,$D$4:$D464,$D464)-SUMIFS($J$4:$J464,$D$4:$D464,$D464)-SUMIFS($K$4:$K464,$D$4:$D464,$D464))</f>
        <v/>
      </c>
      <c r="M464" s="80"/>
      <c r="N464" s="80"/>
      <c r="O464" s="94"/>
      <c r="P464" s="26" t="str">
        <f t="shared" si="23"/>
        <v/>
      </c>
      <c r="Q464" s="80"/>
      <c r="R464" s="80"/>
      <c r="S464" s="80"/>
      <c r="T464" s="82"/>
      <c r="U464" s="80"/>
      <c r="V464" s="80"/>
      <c r="W464" s="80"/>
    </row>
    <row r="465" ht="18" customHeight="1" spans="1:23">
      <c r="A465" s="87" t="str">
        <f t="shared" si="21"/>
        <v/>
      </c>
      <c r="B465" s="78"/>
      <c r="C465" s="80"/>
      <c r="D465" s="79"/>
      <c r="E465" s="80"/>
      <c r="F465" s="79"/>
      <c r="G465" s="25" t="str">
        <f t="shared" si="22"/>
        <v/>
      </c>
      <c r="H465" s="88"/>
      <c r="I465" s="93"/>
      <c r="J465" s="97"/>
      <c r="K465" s="88"/>
      <c r="L465" s="25" t="str">
        <f>IF($D465="","",SUMIFS($H$4:$H465,$D$4:$D465,$D465)+SUMIFS($I$4:$I465,$D$4:$D465,$D465)-SUMIFS($J$4:$J465,$D$4:$D465,$D465)-SUMIFS($K$4:$K465,$D$4:$D465,$D465))</f>
        <v/>
      </c>
      <c r="M465" s="80"/>
      <c r="N465" s="80"/>
      <c r="O465" s="94"/>
      <c r="P465" s="26" t="str">
        <f t="shared" si="23"/>
        <v/>
      </c>
      <c r="Q465" s="80"/>
      <c r="R465" s="80"/>
      <c r="S465" s="80"/>
      <c r="T465" s="82"/>
      <c r="U465" s="80"/>
      <c r="V465" s="80"/>
      <c r="W465" s="80"/>
    </row>
    <row r="466" ht="18" customHeight="1" spans="1:23">
      <c r="A466" s="87" t="str">
        <f t="shared" si="21"/>
        <v/>
      </c>
      <c r="B466" s="78"/>
      <c r="C466" s="80"/>
      <c r="D466" s="79"/>
      <c r="E466" s="80"/>
      <c r="F466" s="79"/>
      <c r="G466" s="25" t="str">
        <f t="shared" si="22"/>
        <v/>
      </c>
      <c r="H466" s="88"/>
      <c r="I466" s="93"/>
      <c r="J466" s="97"/>
      <c r="K466" s="88"/>
      <c r="L466" s="25" t="str">
        <f>IF($D466="","",SUMIFS($H$4:$H466,$D$4:$D466,$D466)+SUMIFS($I$4:$I466,$D$4:$D466,$D466)-SUMIFS($J$4:$J466,$D$4:$D466,$D466)-SUMIFS($K$4:$K466,$D$4:$D466,$D466))</f>
        <v/>
      </c>
      <c r="M466" s="80"/>
      <c r="N466" s="80"/>
      <c r="O466" s="94"/>
      <c r="P466" s="26" t="str">
        <f t="shared" si="23"/>
        <v/>
      </c>
      <c r="Q466" s="80"/>
      <c r="R466" s="80"/>
      <c r="S466" s="80"/>
      <c r="T466" s="82"/>
      <c r="U466" s="80"/>
      <c r="V466" s="80"/>
      <c r="W466" s="80"/>
    </row>
    <row r="467" ht="18" customHeight="1" spans="1:23">
      <c r="A467" s="87" t="str">
        <f t="shared" si="21"/>
        <v/>
      </c>
      <c r="B467" s="78"/>
      <c r="C467" s="80"/>
      <c r="D467" s="79"/>
      <c r="E467" s="80"/>
      <c r="F467" s="79"/>
      <c r="G467" s="25" t="str">
        <f t="shared" si="22"/>
        <v/>
      </c>
      <c r="H467" s="88"/>
      <c r="I467" s="93"/>
      <c r="J467" s="97"/>
      <c r="K467" s="88"/>
      <c r="L467" s="25" t="str">
        <f>IF($D467="","",SUMIFS($H$4:$H467,$D$4:$D467,$D467)+SUMIFS($I$4:$I467,$D$4:$D467,$D467)-SUMIFS($J$4:$J467,$D$4:$D467,$D467)-SUMIFS($K$4:$K467,$D$4:$D467,$D467))</f>
        <v/>
      </c>
      <c r="M467" s="80"/>
      <c r="N467" s="80"/>
      <c r="O467" s="94"/>
      <c r="P467" s="26" t="str">
        <f t="shared" si="23"/>
        <v/>
      </c>
      <c r="Q467" s="80"/>
      <c r="R467" s="80"/>
      <c r="S467" s="80"/>
      <c r="T467" s="82"/>
      <c r="U467" s="80"/>
      <c r="V467" s="80"/>
      <c r="W467" s="80"/>
    </row>
    <row r="468" ht="18" customHeight="1" spans="1:23">
      <c r="A468" s="87" t="str">
        <f t="shared" si="21"/>
        <v/>
      </c>
      <c r="B468" s="78"/>
      <c r="C468" s="80"/>
      <c r="D468" s="79"/>
      <c r="E468" s="80"/>
      <c r="F468" s="79"/>
      <c r="G468" s="25" t="str">
        <f t="shared" si="22"/>
        <v/>
      </c>
      <c r="H468" s="88"/>
      <c r="I468" s="93"/>
      <c r="J468" s="97"/>
      <c r="K468" s="88"/>
      <c r="L468" s="25" t="str">
        <f>IF($D468="","",SUMIFS($H$4:$H468,$D$4:$D468,$D468)+SUMIFS($I$4:$I468,$D$4:$D468,$D468)-SUMIFS($J$4:$J468,$D$4:$D468,$D468)-SUMIFS($K$4:$K468,$D$4:$D468,$D468))</f>
        <v/>
      </c>
      <c r="M468" s="80"/>
      <c r="N468" s="80"/>
      <c r="O468" s="94"/>
      <c r="P468" s="26" t="str">
        <f t="shared" si="23"/>
        <v/>
      </c>
      <c r="Q468" s="80"/>
      <c r="R468" s="80"/>
      <c r="S468" s="80"/>
      <c r="T468" s="82"/>
      <c r="U468" s="80"/>
      <c r="V468" s="80"/>
      <c r="W468" s="80"/>
    </row>
    <row r="469" ht="18" customHeight="1" spans="1:23">
      <c r="A469" s="87" t="str">
        <f t="shared" si="21"/>
        <v/>
      </c>
      <c r="B469" s="78"/>
      <c r="C469" s="80"/>
      <c r="D469" s="79"/>
      <c r="E469" s="80"/>
      <c r="F469" s="79"/>
      <c r="G469" s="25" t="str">
        <f t="shared" si="22"/>
        <v/>
      </c>
      <c r="H469" s="88"/>
      <c r="I469" s="93"/>
      <c r="J469" s="97"/>
      <c r="K469" s="88"/>
      <c r="L469" s="25" t="str">
        <f>IF($D469="","",SUMIFS($H$4:$H469,$D$4:$D469,$D469)+SUMIFS($I$4:$I469,$D$4:$D469,$D469)-SUMIFS($J$4:$J469,$D$4:$D469,$D469)-SUMIFS($K$4:$K469,$D$4:$D469,$D469))</f>
        <v/>
      </c>
      <c r="M469" s="80"/>
      <c r="N469" s="80"/>
      <c r="O469" s="94"/>
      <c r="P469" s="26" t="str">
        <f t="shared" si="23"/>
        <v/>
      </c>
      <c r="Q469" s="80"/>
      <c r="R469" s="80"/>
      <c r="S469" s="80"/>
      <c r="T469" s="82"/>
      <c r="U469" s="80"/>
      <c r="V469" s="80"/>
      <c r="W469" s="80"/>
    </row>
    <row r="470" ht="18" customHeight="1" spans="1:23">
      <c r="A470" s="87" t="str">
        <f t="shared" si="21"/>
        <v/>
      </c>
      <c r="B470" s="78"/>
      <c r="C470" s="80"/>
      <c r="D470" s="79"/>
      <c r="E470" s="80"/>
      <c r="F470" s="79"/>
      <c r="G470" s="25" t="str">
        <f t="shared" si="22"/>
        <v/>
      </c>
      <c r="H470" s="88"/>
      <c r="I470" s="93"/>
      <c r="J470" s="97"/>
      <c r="K470" s="88"/>
      <c r="L470" s="25" t="str">
        <f>IF($D470="","",SUMIFS($H$4:$H470,$D$4:$D470,$D470)+SUMIFS($I$4:$I470,$D$4:$D470,$D470)-SUMIFS($J$4:$J470,$D$4:$D470,$D470)-SUMIFS($K$4:$K470,$D$4:$D470,$D470))</f>
        <v/>
      </c>
      <c r="M470" s="80"/>
      <c r="N470" s="80"/>
      <c r="O470" s="94"/>
      <c r="P470" s="26" t="str">
        <f t="shared" si="23"/>
        <v/>
      </c>
      <c r="Q470" s="80"/>
      <c r="R470" s="80"/>
      <c r="S470" s="80"/>
      <c r="T470" s="82"/>
      <c r="U470" s="80"/>
      <c r="V470" s="80"/>
      <c r="W470" s="80"/>
    </row>
    <row r="471" ht="18" customHeight="1" spans="1:23">
      <c r="A471" s="87" t="str">
        <f t="shared" si="21"/>
        <v/>
      </c>
      <c r="B471" s="78"/>
      <c r="C471" s="80"/>
      <c r="D471" s="79"/>
      <c r="E471" s="80"/>
      <c r="F471" s="79"/>
      <c r="G471" s="25" t="str">
        <f t="shared" si="22"/>
        <v/>
      </c>
      <c r="H471" s="88"/>
      <c r="I471" s="93"/>
      <c r="J471" s="97"/>
      <c r="K471" s="88"/>
      <c r="L471" s="25" t="str">
        <f>IF($D471="","",SUMIFS($H$4:$H471,$D$4:$D471,$D471)+SUMIFS($I$4:$I471,$D$4:$D471,$D471)-SUMIFS($J$4:$J471,$D$4:$D471,$D471)-SUMIFS($K$4:$K471,$D$4:$D471,$D471))</f>
        <v/>
      </c>
      <c r="M471" s="80"/>
      <c r="N471" s="80"/>
      <c r="O471" s="94"/>
      <c r="P471" s="26" t="str">
        <f t="shared" si="23"/>
        <v/>
      </c>
      <c r="Q471" s="80"/>
      <c r="R471" s="80"/>
      <c r="S471" s="80"/>
      <c r="T471" s="82"/>
      <c r="U471" s="80"/>
      <c r="V471" s="80"/>
      <c r="W471" s="80"/>
    </row>
    <row r="472" ht="18" customHeight="1" spans="1:23">
      <c r="A472" s="87" t="str">
        <f t="shared" si="21"/>
        <v/>
      </c>
      <c r="B472" s="78"/>
      <c r="C472" s="80"/>
      <c r="D472" s="79"/>
      <c r="E472" s="80"/>
      <c r="F472" s="79"/>
      <c r="G472" s="25" t="str">
        <f t="shared" si="22"/>
        <v/>
      </c>
      <c r="H472" s="88"/>
      <c r="I472" s="93"/>
      <c r="J472" s="97"/>
      <c r="K472" s="88"/>
      <c r="L472" s="25" t="str">
        <f>IF($D472="","",SUMIFS($H$4:$H472,$D$4:$D472,$D472)+SUMIFS($I$4:$I472,$D$4:$D472,$D472)-SUMIFS($J$4:$J472,$D$4:$D472,$D472)-SUMIFS($K$4:$K472,$D$4:$D472,$D472))</f>
        <v/>
      </c>
      <c r="M472" s="80"/>
      <c r="N472" s="80"/>
      <c r="O472" s="94"/>
      <c r="P472" s="26" t="str">
        <f t="shared" si="23"/>
        <v/>
      </c>
      <c r="Q472" s="80"/>
      <c r="R472" s="80"/>
      <c r="S472" s="80"/>
      <c r="T472" s="82"/>
      <c r="U472" s="80"/>
      <c r="V472" s="80"/>
      <c r="W472" s="80"/>
    </row>
    <row r="473" ht="18" customHeight="1" spans="1:23">
      <c r="A473" s="87" t="str">
        <f t="shared" si="21"/>
        <v/>
      </c>
      <c r="B473" s="78"/>
      <c r="C473" s="80"/>
      <c r="D473" s="79"/>
      <c r="E473" s="80"/>
      <c r="F473" s="79"/>
      <c r="G473" s="25" t="str">
        <f t="shared" si="22"/>
        <v/>
      </c>
      <c r="H473" s="88"/>
      <c r="I473" s="93"/>
      <c r="J473" s="97"/>
      <c r="K473" s="88"/>
      <c r="L473" s="25" t="str">
        <f>IF($D473="","",SUMIFS($H$4:$H473,$D$4:$D473,$D473)+SUMIFS($I$4:$I473,$D$4:$D473,$D473)-SUMIFS($J$4:$J473,$D$4:$D473,$D473)-SUMIFS($K$4:$K473,$D$4:$D473,$D473))</f>
        <v/>
      </c>
      <c r="M473" s="80"/>
      <c r="N473" s="80"/>
      <c r="O473" s="94"/>
      <c r="P473" s="26" t="str">
        <f t="shared" si="23"/>
        <v/>
      </c>
      <c r="Q473" s="80"/>
      <c r="R473" s="80"/>
      <c r="S473" s="80"/>
      <c r="T473" s="82"/>
      <c r="U473" s="80"/>
      <c r="V473" s="80"/>
      <c r="W473" s="80"/>
    </row>
    <row r="474" ht="18" customHeight="1" spans="1:23">
      <c r="A474" s="87" t="str">
        <f t="shared" si="21"/>
        <v/>
      </c>
      <c r="B474" s="78"/>
      <c r="C474" s="80"/>
      <c r="D474" s="79"/>
      <c r="E474" s="80"/>
      <c r="F474" s="79"/>
      <c r="G474" s="25" t="str">
        <f t="shared" si="22"/>
        <v/>
      </c>
      <c r="H474" s="88"/>
      <c r="I474" s="93"/>
      <c r="J474" s="97"/>
      <c r="K474" s="88"/>
      <c r="L474" s="25" t="str">
        <f>IF($D474="","",SUMIFS($H$4:$H474,$D$4:$D474,$D474)+SUMIFS($I$4:$I474,$D$4:$D474,$D474)-SUMIFS($J$4:$J474,$D$4:$D474,$D474)-SUMIFS($K$4:$K474,$D$4:$D474,$D474))</f>
        <v/>
      </c>
      <c r="M474" s="80"/>
      <c r="N474" s="80"/>
      <c r="O474" s="94"/>
      <c r="P474" s="26" t="str">
        <f t="shared" si="23"/>
        <v/>
      </c>
      <c r="Q474" s="80"/>
      <c r="R474" s="80"/>
      <c r="S474" s="80"/>
      <c r="T474" s="82"/>
      <c r="U474" s="80"/>
      <c r="V474" s="80"/>
      <c r="W474" s="80"/>
    </row>
    <row r="475" ht="18" customHeight="1" spans="1:23">
      <c r="A475" s="87" t="str">
        <f t="shared" si="21"/>
        <v/>
      </c>
      <c r="B475" s="78"/>
      <c r="C475" s="80"/>
      <c r="D475" s="79"/>
      <c r="E475" s="80"/>
      <c r="F475" s="79"/>
      <c r="G475" s="25" t="str">
        <f t="shared" si="22"/>
        <v/>
      </c>
      <c r="H475" s="88"/>
      <c r="I475" s="93"/>
      <c r="J475" s="97"/>
      <c r="K475" s="88"/>
      <c r="L475" s="25" t="str">
        <f>IF($D475="","",SUMIFS($H$4:$H475,$D$4:$D475,$D475)+SUMIFS($I$4:$I475,$D$4:$D475,$D475)-SUMIFS($J$4:$J475,$D$4:$D475,$D475)-SUMIFS($K$4:$K475,$D$4:$D475,$D475))</f>
        <v/>
      </c>
      <c r="M475" s="80"/>
      <c r="N475" s="80"/>
      <c r="O475" s="94"/>
      <c r="P475" s="26" t="str">
        <f t="shared" si="23"/>
        <v/>
      </c>
      <c r="Q475" s="80"/>
      <c r="R475" s="80"/>
      <c r="S475" s="80"/>
      <c r="T475" s="82"/>
      <c r="U475" s="80"/>
      <c r="V475" s="80"/>
      <c r="W475" s="80"/>
    </row>
    <row r="476" ht="18" customHeight="1" spans="1:23">
      <c r="A476" s="87" t="str">
        <f t="shared" si="21"/>
        <v/>
      </c>
      <c r="B476" s="78"/>
      <c r="C476" s="80"/>
      <c r="D476" s="79"/>
      <c r="E476" s="80"/>
      <c r="F476" s="79"/>
      <c r="G476" s="25" t="str">
        <f t="shared" si="22"/>
        <v/>
      </c>
      <c r="H476" s="88"/>
      <c r="I476" s="93"/>
      <c r="J476" s="97"/>
      <c r="K476" s="88"/>
      <c r="L476" s="25" t="str">
        <f>IF($D476="","",SUMIFS($H$4:$H476,$D$4:$D476,$D476)+SUMIFS($I$4:$I476,$D$4:$D476,$D476)-SUMIFS($J$4:$J476,$D$4:$D476,$D476)-SUMIFS($K$4:$K476,$D$4:$D476,$D476))</f>
        <v/>
      </c>
      <c r="M476" s="80"/>
      <c r="N476" s="80"/>
      <c r="O476" s="94"/>
      <c r="P476" s="26" t="str">
        <f t="shared" si="23"/>
        <v/>
      </c>
      <c r="Q476" s="80"/>
      <c r="R476" s="80"/>
      <c r="S476" s="80"/>
      <c r="T476" s="82"/>
      <c r="U476" s="80"/>
      <c r="V476" s="80"/>
      <c r="W476" s="80"/>
    </row>
    <row r="477" ht="18" customHeight="1" spans="1:23">
      <c r="A477" s="87" t="str">
        <f t="shared" si="21"/>
        <v/>
      </c>
      <c r="B477" s="78"/>
      <c r="C477" s="80"/>
      <c r="D477" s="79"/>
      <c r="E477" s="80"/>
      <c r="F477" s="79"/>
      <c r="G477" s="25" t="str">
        <f t="shared" si="22"/>
        <v/>
      </c>
      <c r="H477" s="88"/>
      <c r="I477" s="93"/>
      <c r="J477" s="97"/>
      <c r="K477" s="88"/>
      <c r="L477" s="25" t="str">
        <f>IF($D477="","",SUMIFS($H$4:$H477,$D$4:$D477,$D477)+SUMIFS($I$4:$I477,$D$4:$D477,$D477)-SUMIFS($J$4:$J477,$D$4:$D477,$D477)-SUMIFS($K$4:$K477,$D$4:$D477,$D477))</f>
        <v/>
      </c>
      <c r="M477" s="80"/>
      <c r="N477" s="80"/>
      <c r="O477" s="94"/>
      <c r="P477" s="26" t="str">
        <f t="shared" si="23"/>
        <v/>
      </c>
      <c r="Q477" s="80"/>
      <c r="R477" s="80"/>
      <c r="S477" s="80"/>
      <c r="T477" s="82"/>
      <c r="U477" s="80"/>
      <c r="V477" s="80"/>
      <c r="W477" s="80"/>
    </row>
    <row r="478" ht="18" customHeight="1" spans="1:23">
      <c r="A478" s="87" t="str">
        <f t="shared" si="21"/>
        <v/>
      </c>
      <c r="B478" s="78"/>
      <c r="C478" s="80"/>
      <c r="D478" s="79"/>
      <c r="E478" s="80"/>
      <c r="F478" s="79"/>
      <c r="G478" s="25" t="str">
        <f t="shared" si="22"/>
        <v/>
      </c>
      <c r="H478" s="88"/>
      <c r="I478" s="93"/>
      <c r="J478" s="97"/>
      <c r="K478" s="88"/>
      <c r="L478" s="25" t="str">
        <f>IF($D478="","",SUMIFS($H$4:$H478,$D$4:$D478,$D478)+SUMIFS($I$4:$I478,$D$4:$D478,$D478)-SUMIFS($J$4:$J478,$D$4:$D478,$D478)-SUMIFS($K$4:$K478,$D$4:$D478,$D478))</f>
        <v/>
      </c>
      <c r="M478" s="80"/>
      <c r="N478" s="80"/>
      <c r="O478" s="94"/>
      <c r="P478" s="26" t="str">
        <f t="shared" si="23"/>
        <v/>
      </c>
      <c r="Q478" s="80"/>
      <c r="R478" s="80"/>
      <c r="S478" s="80"/>
      <c r="T478" s="82"/>
      <c r="U478" s="80"/>
      <c r="V478" s="80"/>
      <c r="W478" s="80"/>
    </row>
    <row r="479" ht="18" customHeight="1" spans="1:23">
      <c r="A479" s="87" t="str">
        <f t="shared" si="21"/>
        <v/>
      </c>
      <c r="B479" s="78"/>
      <c r="C479" s="80"/>
      <c r="D479" s="79"/>
      <c r="E479" s="80"/>
      <c r="F479" s="79"/>
      <c r="G479" s="25" t="str">
        <f t="shared" si="22"/>
        <v/>
      </c>
      <c r="H479" s="88"/>
      <c r="I479" s="93"/>
      <c r="J479" s="97"/>
      <c r="K479" s="88"/>
      <c r="L479" s="25" t="str">
        <f>IF($D479="","",SUMIFS($H$4:$H479,$D$4:$D479,$D479)+SUMIFS($I$4:$I479,$D$4:$D479,$D479)-SUMIFS($J$4:$J479,$D$4:$D479,$D479)-SUMIFS($K$4:$K479,$D$4:$D479,$D479))</f>
        <v/>
      </c>
      <c r="M479" s="80"/>
      <c r="N479" s="80"/>
      <c r="O479" s="94"/>
      <c r="P479" s="26" t="str">
        <f t="shared" si="23"/>
        <v/>
      </c>
      <c r="Q479" s="80"/>
      <c r="R479" s="80"/>
      <c r="S479" s="80"/>
      <c r="T479" s="82"/>
      <c r="U479" s="80"/>
      <c r="V479" s="80"/>
      <c r="W479" s="80"/>
    </row>
    <row r="480" ht="18" customHeight="1" spans="1:23">
      <c r="A480" s="87" t="str">
        <f t="shared" si="21"/>
        <v/>
      </c>
      <c r="B480" s="78"/>
      <c r="C480" s="80"/>
      <c r="D480" s="79"/>
      <c r="E480" s="80"/>
      <c r="F480" s="79"/>
      <c r="G480" s="25" t="str">
        <f t="shared" si="22"/>
        <v/>
      </c>
      <c r="H480" s="88"/>
      <c r="I480" s="93"/>
      <c r="J480" s="97"/>
      <c r="K480" s="88"/>
      <c r="L480" s="25" t="str">
        <f>IF($D480="","",SUMIFS($H$4:$H480,$D$4:$D480,$D480)+SUMIFS($I$4:$I480,$D$4:$D480,$D480)-SUMIFS($J$4:$J480,$D$4:$D480,$D480)-SUMIFS($K$4:$K480,$D$4:$D480,$D480))</f>
        <v/>
      </c>
      <c r="M480" s="80"/>
      <c r="N480" s="80"/>
      <c r="O480" s="94"/>
      <c r="P480" s="26" t="str">
        <f t="shared" si="23"/>
        <v/>
      </c>
      <c r="Q480" s="80"/>
      <c r="R480" s="80"/>
      <c r="S480" s="80"/>
      <c r="T480" s="82"/>
      <c r="U480" s="80"/>
      <c r="V480" s="80"/>
      <c r="W480" s="80"/>
    </row>
    <row r="481" ht="18" customHeight="1" spans="1:23">
      <c r="A481" s="87" t="str">
        <f t="shared" si="21"/>
        <v/>
      </c>
      <c r="B481" s="78"/>
      <c r="C481" s="80"/>
      <c r="D481" s="79"/>
      <c r="E481" s="80"/>
      <c r="F481" s="79"/>
      <c r="G481" s="25" t="str">
        <f t="shared" si="22"/>
        <v/>
      </c>
      <c r="H481" s="88"/>
      <c r="I481" s="93"/>
      <c r="J481" s="97"/>
      <c r="K481" s="88"/>
      <c r="L481" s="25" t="str">
        <f>IF($D481="","",SUMIFS($H$4:$H481,$D$4:$D481,$D481)+SUMIFS($I$4:$I481,$D$4:$D481,$D481)-SUMIFS($J$4:$J481,$D$4:$D481,$D481)-SUMIFS($K$4:$K481,$D$4:$D481,$D481))</f>
        <v/>
      </c>
      <c r="M481" s="80"/>
      <c r="N481" s="80"/>
      <c r="O481" s="94"/>
      <c r="P481" s="26" t="str">
        <f t="shared" si="23"/>
        <v/>
      </c>
      <c r="Q481" s="80"/>
      <c r="R481" s="80"/>
      <c r="S481" s="80"/>
      <c r="T481" s="82"/>
      <c r="U481" s="80"/>
      <c r="V481" s="80"/>
      <c r="W481" s="80"/>
    </row>
    <row r="482" ht="18" customHeight="1" spans="1:23">
      <c r="A482" s="87" t="str">
        <f t="shared" si="21"/>
        <v/>
      </c>
      <c r="B482" s="78"/>
      <c r="C482" s="80"/>
      <c r="D482" s="79"/>
      <c r="E482" s="80"/>
      <c r="F482" s="79"/>
      <c r="G482" s="25" t="str">
        <f t="shared" si="22"/>
        <v/>
      </c>
      <c r="H482" s="88"/>
      <c r="I482" s="93"/>
      <c r="J482" s="97"/>
      <c r="K482" s="88"/>
      <c r="L482" s="25" t="str">
        <f>IF($D482="","",SUMIFS($H$4:$H482,$D$4:$D482,$D482)+SUMIFS($I$4:$I482,$D$4:$D482,$D482)-SUMIFS($J$4:$J482,$D$4:$D482,$D482)-SUMIFS($K$4:$K482,$D$4:$D482,$D482))</f>
        <v/>
      </c>
      <c r="M482" s="80"/>
      <c r="N482" s="80"/>
      <c r="O482" s="94"/>
      <c r="P482" s="26" t="str">
        <f t="shared" si="23"/>
        <v/>
      </c>
      <c r="Q482" s="80"/>
      <c r="R482" s="80"/>
      <c r="S482" s="80"/>
      <c r="T482" s="82"/>
      <c r="U482" s="80"/>
      <c r="V482" s="80"/>
      <c r="W482" s="80"/>
    </row>
    <row r="483" ht="18" customHeight="1" spans="1:23">
      <c r="A483" s="87" t="str">
        <f t="shared" si="21"/>
        <v/>
      </c>
      <c r="B483" s="78"/>
      <c r="C483" s="80"/>
      <c r="D483" s="79"/>
      <c r="E483" s="80"/>
      <c r="F483" s="79"/>
      <c r="G483" s="25" t="str">
        <f t="shared" si="22"/>
        <v/>
      </c>
      <c r="H483" s="88"/>
      <c r="I483" s="93"/>
      <c r="J483" s="97"/>
      <c r="K483" s="88"/>
      <c r="L483" s="25" t="str">
        <f>IF($D483="","",SUMIFS($H$4:$H483,$D$4:$D483,$D483)+SUMIFS($I$4:$I483,$D$4:$D483,$D483)-SUMIFS($J$4:$J483,$D$4:$D483,$D483)-SUMIFS($K$4:$K483,$D$4:$D483,$D483))</f>
        <v/>
      </c>
      <c r="M483" s="80"/>
      <c r="N483" s="80"/>
      <c r="O483" s="94"/>
      <c r="P483" s="26" t="str">
        <f t="shared" si="23"/>
        <v/>
      </c>
      <c r="Q483" s="80"/>
      <c r="R483" s="80"/>
      <c r="S483" s="80"/>
      <c r="T483" s="82"/>
      <c r="U483" s="80"/>
      <c r="V483" s="80"/>
      <c r="W483" s="80"/>
    </row>
    <row r="484" ht="18" customHeight="1" spans="1:23">
      <c r="A484" s="87" t="str">
        <f t="shared" si="21"/>
        <v/>
      </c>
      <c r="B484" s="78"/>
      <c r="C484" s="80"/>
      <c r="D484" s="79"/>
      <c r="E484" s="80"/>
      <c r="F484" s="79"/>
      <c r="G484" s="25" t="str">
        <f t="shared" si="22"/>
        <v/>
      </c>
      <c r="H484" s="88"/>
      <c r="I484" s="93"/>
      <c r="J484" s="97"/>
      <c r="K484" s="88"/>
      <c r="L484" s="25" t="str">
        <f>IF($D484="","",SUMIFS($H$4:$H484,$D$4:$D484,$D484)+SUMIFS($I$4:$I484,$D$4:$D484,$D484)-SUMIFS($J$4:$J484,$D$4:$D484,$D484)-SUMIFS($K$4:$K484,$D$4:$D484,$D484))</f>
        <v/>
      </c>
      <c r="M484" s="80"/>
      <c r="N484" s="80"/>
      <c r="O484" s="94"/>
      <c r="P484" s="26" t="str">
        <f t="shared" si="23"/>
        <v/>
      </c>
      <c r="Q484" s="80"/>
      <c r="R484" s="80"/>
      <c r="S484" s="80"/>
      <c r="T484" s="82"/>
      <c r="U484" s="80"/>
      <c r="V484" s="80"/>
      <c r="W484" s="80"/>
    </row>
    <row r="485" ht="18" customHeight="1" spans="1:23">
      <c r="A485" s="87" t="str">
        <f t="shared" si="21"/>
        <v/>
      </c>
      <c r="B485" s="78"/>
      <c r="C485" s="80"/>
      <c r="D485" s="79"/>
      <c r="E485" s="80"/>
      <c r="F485" s="79"/>
      <c r="G485" s="25" t="str">
        <f t="shared" si="22"/>
        <v/>
      </c>
      <c r="H485" s="88"/>
      <c r="I485" s="93"/>
      <c r="J485" s="97"/>
      <c r="K485" s="88"/>
      <c r="L485" s="25" t="str">
        <f>IF($D485="","",SUMIFS($H$4:$H485,$D$4:$D485,$D485)+SUMIFS($I$4:$I485,$D$4:$D485,$D485)-SUMIFS($J$4:$J485,$D$4:$D485,$D485)-SUMIFS($K$4:$K485,$D$4:$D485,$D485))</f>
        <v/>
      </c>
      <c r="M485" s="80"/>
      <c r="N485" s="80"/>
      <c r="O485" s="94"/>
      <c r="P485" s="26" t="str">
        <f t="shared" si="23"/>
        <v/>
      </c>
      <c r="Q485" s="80"/>
      <c r="R485" s="80"/>
      <c r="S485" s="80"/>
      <c r="T485" s="82"/>
      <c r="U485" s="80"/>
      <c r="V485" s="80"/>
      <c r="W485" s="80"/>
    </row>
    <row r="486" ht="18" customHeight="1" spans="1:23">
      <c r="A486" s="87" t="str">
        <f t="shared" si="21"/>
        <v/>
      </c>
      <c r="B486" s="78"/>
      <c r="C486" s="80"/>
      <c r="D486" s="79"/>
      <c r="E486" s="80"/>
      <c r="F486" s="79"/>
      <c r="G486" s="25" t="str">
        <f t="shared" si="22"/>
        <v/>
      </c>
      <c r="H486" s="88"/>
      <c r="I486" s="93"/>
      <c r="J486" s="97"/>
      <c r="K486" s="88"/>
      <c r="L486" s="25" t="str">
        <f>IF($D486="","",SUMIFS($H$4:$H486,$D$4:$D486,$D486)+SUMIFS($I$4:$I486,$D$4:$D486,$D486)-SUMIFS($J$4:$J486,$D$4:$D486,$D486)-SUMIFS($K$4:$K486,$D$4:$D486,$D486))</f>
        <v/>
      </c>
      <c r="M486" s="80"/>
      <c r="N486" s="80"/>
      <c r="O486" s="94"/>
      <c r="P486" s="26" t="str">
        <f t="shared" si="23"/>
        <v/>
      </c>
      <c r="Q486" s="80"/>
      <c r="R486" s="80"/>
      <c r="S486" s="80"/>
      <c r="T486" s="82"/>
      <c r="U486" s="80"/>
      <c r="V486" s="80"/>
      <c r="W486" s="80"/>
    </row>
    <row r="487" ht="18" customHeight="1" spans="1:23">
      <c r="A487" s="87" t="str">
        <f t="shared" si="21"/>
        <v/>
      </c>
      <c r="B487" s="78"/>
      <c r="C487" s="80"/>
      <c r="D487" s="79"/>
      <c r="E487" s="80"/>
      <c r="F487" s="79"/>
      <c r="G487" s="25" t="str">
        <f t="shared" si="22"/>
        <v/>
      </c>
      <c r="H487" s="88"/>
      <c r="I487" s="93"/>
      <c r="J487" s="97"/>
      <c r="K487" s="88"/>
      <c r="L487" s="25" t="str">
        <f>IF($D487="","",SUMIFS($H$4:$H487,$D$4:$D487,$D487)+SUMIFS($I$4:$I487,$D$4:$D487,$D487)-SUMIFS($J$4:$J487,$D$4:$D487,$D487)-SUMIFS($K$4:$K487,$D$4:$D487,$D487))</f>
        <v/>
      </c>
      <c r="M487" s="80"/>
      <c r="N487" s="80"/>
      <c r="O487" s="94"/>
      <c r="P487" s="26" t="str">
        <f t="shared" si="23"/>
        <v/>
      </c>
      <c r="Q487" s="80"/>
      <c r="R487" s="80"/>
      <c r="S487" s="80"/>
      <c r="T487" s="82"/>
      <c r="U487" s="80"/>
      <c r="V487" s="80"/>
      <c r="W487" s="80"/>
    </row>
    <row r="488" ht="18" customHeight="1" spans="1:23">
      <c r="A488" s="87" t="str">
        <f t="shared" si="21"/>
        <v/>
      </c>
      <c r="B488" s="78"/>
      <c r="C488" s="80"/>
      <c r="D488" s="79"/>
      <c r="E488" s="80"/>
      <c r="F488" s="79"/>
      <c r="G488" s="25" t="str">
        <f t="shared" si="22"/>
        <v/>
      </c>
      <c r="H488" s="88"/>
      <c r="I488" s="93"/>
      <c r="J488" s="97"/>
      <c r="K488" s="88"/>
      <c r="L488" s="25" t="str">
        <f>IF($D488="","",SUMIFS($H$4:$H488,$D$4:$D488,$D488)+SUMIFS($I$4:$I488,$D$4:$D488,$D488)-SUMIFS($J$4:$J488,$D$4:$D488,$D488)-SUMIFS($K$4:$K488,$D$4:$D488,$D488))</f>
        <v/>
      </c>
      <c r="M488" s="80"/>
      <c r="N488" s="80"/>
      <c r="O488" s="94"/>
      <c r="P488" s="26" t="str">
        <f t="shared" si="23"/>
        <v/>
      </c>
      <c r="Q488" s="80"/>
      <c r="R488" s="80"/>
      <c r="S488" s="80"/>
      <c r="T488" s="82"/>
      <c r="U488" s="80"/>
      <c r="V488" s="80"/>
      <c r="W488" s="80"/>
    </row>
    <row r="489" ht="18" customHeight="1" spans="1:23">
      <c r="A489" s="87" t="str">
        <f t="shared" si="21"/>
        <v/>
      </c>
      <c r="B489" s="78"/>
      <c r="C489" s="80"/>
      <c r="D489" s="79"/>
      <c r="E489" s="80"/>
      <c r="F489" s="79"/>
      <c r="G489" s="25" t="str">
        <f t="shared" si="22"/>
        <v/>
      </c>
      <c r="H489" s="88"/>
      <c r="I489" s="93"/>
      <c r="J489" s="97"/>
      <c r="K489" s="88"/>
      <c r="L489" s="25" t="str">
        <f>IF($D489="","",SUMIFS($H$4:$H489,$D$4:$D489,$D489)+SUMIFS($I$4:$I489,$D$4:$D489,$D489)-SUMIFS($J$4:$J489,$D$4:$D489,$D489)-SUMIFS($K$4:$K489,$D$4:$D489,$D489))</f>
        <v/>
      </c>
      <c r="M489" s="80"/>
      <c r="N489" s="80"/>
      <c r="O489" s="94"/>
      <c r="P489" s="26" t="str">
        <f t="shared" si="23"/>
        <v/>
      </c>
      <c r="Q489" s="80"/>
      <c r="R489" s="80"/>
      <c r="S489" s="80"/>
      <c r="T489" s="82"/>
      <c r="U489" s="80"/>
      <c r="V489" s="80"/>
      <c r="W489" s="80"/>
    </row>
    <row r="490" ht="18" customHeight="1" spans="1:23">
      <c r="A490" s="87" t="str">
        <f t="shared" si="21"/>
        <v/>
      </c>
      <c r="B490" s="78"/>
      <c r="C490" s="80"/>
      <c r="D490" s="79"/>
      <c r="E490" s="80"/>
      <c r="F490" s="79"/>
      <c r="G490" s="25" t="str">
        <f t="shared" si="22"/>
        <v/>
      </c>
      <c r="H490" s="88"/>
      <c r="I490" s="93"/>
      <c r="J490" s="97"/>
      <c r="K490" s="88"/>
      <c r="L490" s="25" t="str">
        <f>IF($D490="","",SUMIFS($H$4:$H490,$D$4:$D490,$D490)+SUMIFS($I$4:$I490,$D$4:$D490,$D490)-SUMIFS($J$4:$J490,$D$4:$D490,$D490)-SUMIFS($K$4:$K490,$D$4:$D490,$D490))</f>
        <v/>
      </c>
      <c r="M490" s="80"/>
      <c r="N490" s="80"/>
      <c r="O490" s="94"/>
      <c r="P490" s="26" t="str">
        <f t="shared" si="23"/>
        <v/>
      </c>
      <c r="Q490" s="80"/>
      <c r="R490" s="80"/>
      <c r="S490" s="80"/>
      <c r="T490" s="82"/>
      <c r="U490" s="80"/>
      <c r="V490" s="80"/>
      <c r="W490" s="80"/>
    </row>
    <row r="491" ht="18" customHeight="1" spans="1:23">
      <c r="A491" s="87" t="str">
        <f t="shared" si="21"/>
        <v/>
      </c>
      <c r="B491" s="78"/>
      <c r="C491" s="80"/>
      <c r="D491" s="79"/>
      <c r="E491" s="80"/>
      <c r="F491" s="79"/>
      <c r="G491" s="25" t="str">
        <f t="shared" si="22"/>
        <v/>
      </c>
      <c r="H491" s="88"/>
      <c r="I491" s="93"/>
      <c r="J491" s="97"/>
      <c r="K491" s="88"/>
      <c r="L491" s="25" t="str">
        <f>IF($D491="","",SUMIFS($H$4:$H491,$D$4:$D491,$D491)+SUMIFS($I$4:$I491,$D$4:$D491,$D491)-SUMIFS($J$4:$J491,$D$4:$D491,$D491)-SUMIFS($K$4:$K491,$D$4:$D491,$D491))</f>
        <v/>
      </c>
      <c r="M491" s="80"/>
      <c r="N491" s="80"/>
      <c r="O491" s="94"/>
      <c r="P491" s="26" t="str">
        <f t="shared" si="23"/>
        <v/>
      </c>
      <c r="Q491" s="80"/>
      <c r="R491" s="80"/>
      <c r="S491" s="80"/>
      <c r="T491" s="82"/>
      <c r="U491" s="80"/>
      <c r="V491" s="80"/>
      <c r="W491" s="80"/>
    </row>
    <row r="492" ht="18" customHeight="1" spans="1:23">
      <c r="A492" s="87" t="str">
        <f t="shared" si="21"/>
        <v/>
      </c>
      <c r="B492" s="78"/>
      <c r="C492" s="80"/>
      <c r="D492" s="79"/>
      <c r="E492" s="80"/>
      <c r="F492" s="79"/>
      <c r="G492" s="25" t="str">
        <f t="shared" si="22"/>
        <v/>
      </c>
      <c r="H492" s="88"/>
      <c r="I492" s="93"/>
      <c r="J492" s="97"/>
      <c r="K492" s="88"/>
      <c r="L492" s="25" t="str">
        <f>IF($D492="","",SUMIFS($H$4:$H492,$D$4:$D492,$D492)+SUMIFS($I$4:$I492,$D$4:$D492,$D492)-SUMIFS($J$4:$J492,$D$4:$D492,$D492)-SUMIFS($K$4:$K492,$D$4:$D492,$D492))</f>
        <v/>
      </c>
      <c r="M492" s="80"/>
      <c r="N492" s="80"/>
      <c r="O492" s="94"/>
      <c r="P492" s="26" t="str">
        <f t="shared" si="23"/>
        <v/>
      </c>
      <c r="Q492" s="80"/>
      <c r="R492" s="80"/>
      <c r="S492" s="80"/>
      <c r="T492" s="82"/>
      <c r="U492" s="80"/>
      <c r="V492" s="80"/>
      <c r="W492" s="80"/>
    </row>
    <row r="493" ht="18" customHeight="1" spans="1:23">
      <c r="A493" s="87" t="str">
        <f t="shared" si="21"/>
        <v/>
      </c>
      <c r="B493" s="78"/>
      <c r="C493" s="80"/>
      <c r="D493" s="79"/>
      <c r="E493" s="80"/>
      <c r="F493" s="79"/>
      <c r="G493" s="25" t="str">
        <f t="shared" si="22"/>
        <v/>
      </c>
      <c r="H493" s="88"/>
      <c r="I493" s="93"/>
      <c r="J493" s="97"/>
      <c r="K493" s="88"/>
      <c r="L493" s="25" t="str">
        <f>IF($D493="","",SUMIFS($H$4:$H493,$D$4:$D493,$D493)+SUMIFS($I$4:$I493,$D$4:$D493,$D493)-SUMIFS($J$4:$J493,$D$4:$D493,$D493)-SUMIFS($K$4:$K493,$D$4:$D493,$D493))</f>
        <v/>
      </c>
      <c r="M493" s="80"/>
      <c r="N493" s="80"/>
      <c r="O493" s="94"/>
      <c r="P493" s="26" t="str">
        <f t="shared" si="23"/>
        <v/>
      </c>
      <c r="Q493" s="80"/>
      <c r="R493" s="80"/>
      <c r="S493" s="80"/>
      <c r="T493" s="82"/>
      <c r="U493" s="80"/>
      <c r="V493" s="80"/>
      <c r="W493" s="80"/>
    </row>
    <row r="494" ht="18" customHeight="1" spans="1:23">
      <c r="A494" s="87" t="str">
        <f t="shared" si="21"/>
        <v/>
      </c>
      <c r="B494" s="78"/>
      <c r="C494" s="80"/>
      <c r="D494" s="79"/>
      <c r="E494" s="80"/>
      <c r="F494" s="79"/>
      <c r="G494" s="25" t="str">
        <f t="shared" si="22"/>
        <v/>
      </c>
      <c r="H494" s="88"/>
      <c r="I494" s="93"/>
      <c r="J494" s="97"/>
      <c r="K494" s="88"/>
      <c r="L494" s="25" t="str">
        <f>IF($D494="","",SUMIFS($H$4:$H494,$D$4:$D494,$D494)+SUMIFS($I$4:$I494,$D$4:$D494,$D494)-SUMIFS($J$4:$J494,$D$4:$D494,$D494)-SUMIFS($K$4:$K494,$D$4:$D494,$D494))</f>
        <v/>
      </c>
      <c r="M494" s="80"/>
      <c r="N494" s="80"/>
      <c r="O494" s="94"/>
      <c r="P494" s="26" t="str">
        <f t="shared" si="23"/>
        <v/>
      </c>
      <c r="Q494" s="80"/>
      <c r="R494" s="80"/>
      <c r="S494" s="80"/>
      <c r="T494" s="82"/>
      <c r="U494" s="80"/>
      <c r="V494" s="80"/>
      <c r="W494" s="80"/>
    </row>
    <row r="495" ht="18" customHeight="1" spans="1:23">
      <c r="A495" s="87" t="str">
        <f t="shared" si="21"/>
        <v/>
      </c>
      <c r="B495" s="78"/>
      <c r="C495" s="80"/>
      <c r="D495" s="79"/>
      <c r="E495" s="80"/>
      <c r="F495" s="79"/>
      <c r="G495" s="25" t="str">
        <f t="shared" si="22"/>
        <v/>
      </c>
      <c r="H495" s="88"/>
      <c r="I495" s="93"/>
      <c r="J495" s="97"/>
      <c r="K495" s="88"/>
      <c r="L495" s="25" t="str">
        <f>IF($D495="","",SUMIFS($H$4:$H495,$D$4:$D495,$D495)+SUMIFS($I$4:$I495,$D$4:$D495,$D495)-SUMIFS($J$4:$J495,$D$4:$D495,$D495)-SUMIFS($K$4:$K495,$D$4:$D495,$D495))</f>
        <v/>
      </c>
      <c r="M495" s="80"/>
      <c r="N495" s="80"/>
      <c r="O495" s="94"/>
      <c r="P495" s="26" t="str">
        <f t="shared" si="23"/>
        <v/>
      </c>
      <c r="Q495" s="80"/>
      <c r="R495" s="80"/>
      <c r="S495" s="80"/>
      <c r="T495" s="82"/>
      <c r="U495" s="80"/>
      <c r="V495" s="80"/>
      <c r="W495" s="80"/>
    </row>
    <row r="496" ht="18" customHeight="1" spans="1:23">
      <c r="A496" s="87" t="str">
        <f t="shared" si="21"/>
        <v/>
      </c>
      <c r="B496" s="78"/>
      <c r="C496" s="80"/>
      <c r="D496" s="79"/>
      <c r="E496" s="80"/>
      <c r="F496" s="79"/>
      <c r="G496" s="25" t="str">
        <f t="shared" si="22"/>
        <v/>
      </c>
      <c r="H496" s="88"/>
      <c r="I496" s="93"/>
      <c r="J496" s="97"/>
      <c r="K496" s="88"/>
      <c r="L496" s="25" t="str">
        <f>IF($D496="","",SUMIFS($H$4:$H496,$D$4:$D496,$D496)+SUMIFS($I$4:$I496,$D$4:$D496,$D496)-SUMIFS($J$4:$J496,$D$4:$D496,$D496)-SUMIFS($K$4:$K496,$D$4:$D496,$D496))</f>
        <v/>
      </c>
      <c r="M496" s="80"/>
      <c r="N496" s="80"/>
      <c r="O496" s="94"/>
      <c r="P496" s="26" t="str">
        <f t="shared" si="23"/>
        <v/>
      </c>
      <c r="Q496" s="80"/>
      <c r="R496" s="80"/>
      <c r="S496" s="80"/>
      <c r="T496" s="82"/>
      <c r="U496" s="80"/>
      <c r="V496" s="80"/>
      <c r="W496" s="80"/>
    </row>
    <row r="497" ht="18" customHeight="1" spans="1:23">
      <c r="A497" s="87" t="str">
        <f t="shared" si="21"/>
        <v/>
      </c>
      <c r="B497" s="78"/>
      <c r="C497" s="80"/>
      <c r="D497" s="79"/>
      <c r="E497" s="80"/>
      <c r="F497" s="79"/>
      <c r="G497" s="25" t="str">
        <f t="shared" si="22"/>
        <v/>
      </c>
      <c r="H497" s="88"/>
      <c r="I497" s="93"/>
      <c r="J497" s="97"/>
      <c r="K497" s="88"/>
      <c r="L497" s="25" t="str">
        <f>IF($D497="","",SUMIFS($H$4:$H497,$D$4:$D497,$D497)+SUMIFS($I$4:$I497,$D$4:$D497,$D497)-SUMIFS($J$4:$J497,$D$4:$D497,$D497)-SUMIFS($K$4:$K497,$D$4:$D497,$D497))</f>
        <v/>
      </c>
      <c r="M497" s="80"/>
      <c r="N497" s="80"/>
      <c r="O497" s="94"/>
      <c r="P497" s="26" t="str">
        <f t="shared" si="23"/>
        <v/>
      </c>
      <c r="Q497" s="80"/>
      <c r="R497" s="80"/>
      <c r="S497" s="80"/>
      <c r="T497" s="82"/>
      <c r="U497" s="80"/>
      <c r="V497" s="80"/>
      <c r="W497" s="80"/>
    </row>
    <row r="498" ht="18" customHeight="1" spans="1:23">
      <c r="A498" s="87" t="str">
        <f t="shared" si="21"/>
        <v/>
      </c>
      <c r="B498" s="78"/>
      <c r="C498" s="80"/>
      <c r="D498" s="79"/>
      <c r="E498" s="80"/>
      <c r="F498" s="79"/>
      <c r="G498" s="25" t="str">
        <f t="shared" si="22"/>
        <v/>
      </c>
      <c r="H498" s="88"/>
      <c r="I498" s="93"/>
      <c r="J498" s="97"/>
      <c r="K498" s="88"/>
      <c r="L498" s="25" t="str">
        <f>IF($D498="","",SUMIFS($H$4:$H498,$D$4:$D498,$D498)+SUMIFS($I$4:$I498,$D$4:$D498,$D498)-SUMIFS($J$4:$J498,$D$4:$D498,$D498)-SUMIFS($K$4:$K498,$D$4:$D498,$D498))</f>
        <v/>
      </c>
      <c r="M498" s="80"/>
      <c r="N498" s="80"/>
      <c r="O498" s="94"/>
      <c r="P498" s="26" t="str">
        <f t="shared" si="23"/>
        <v/>
      </c>
      <c r="Q498" s="80"/>
      <c r="R498" s="80"/>
      <c r="S498" s="80"/>
      <c r="T498" s="82"/>
      <c r="U498" s="80"/>
      <c r="V498" s="80"/>
      <c r="W498" s="80"/>
    </row>
    <row r="499" ht="18" customHeight="1" spans="1:23">
      <c r="A499" s="87" t="str">
        <f t="shared" si="21"/>
        <v/>
      </c>
      <c r="B499" s="78"/>
      <c r="C499" s="80"/>
      <c r="D499" s="79"/>
      <c r="E499" s="80"/>
      <c r="F499" s="79"/>
      <c r="G499" s="25" t="str">
        <f t="shared" si="22"/>
        <v/>
      </c>
      <c r="H499" s="88"/>
      <c r="I499" s="93"/>
      <c r="J499" s="97"/>
      <c r="K499" s="88"/>
      <c r="L499" s="25" t="str">
        <f>IF($D499="","",SUMIFS($H$4:$H499,$D$4:$D499,$D499)+SUMIFS($I$4:$I499,$D$4:$D499,$D499)-SUMIFS($J$4:$J499,$D$4:$D499,$D499)-SUMIFS($K$4:$K499,$D$4:$D499,$D499))</f>
        <v/>
      </c>
      <c r="M499" s="80"/>
      <c r="N499" s="80"/>
      <c r="O499" s="94"/>
      <c r="P499" s="26" t="str">
        <f t="shared" si="23"/>
        <v/>
      </c>
      <c r="Q499" s="80"/>
      <c r="R499" s="80"/>
      <c r="S499" s="80"/>
      <c r="T499" s="82"/>
      <c r="U499" s="80"/>
      <c r="V499" s="80"/>
      <c r="W499" s="80"/>
    </row>
    <row r="500" ht="18" customHeight="1" spans="1:23">
      <c r="A500" s="87" t="str">
        <f t="shared" si="21"/>
        <v/>
      </c>
      <c r="B500" s="78"/>
      <c r="C500" s="80"/>
      <c r="D500" s="79"/>
      <c r="E500" s="80"/>
      <c r="F500" s="79"/>
      <c r="G500" s="25" t="str">
        <f t="shared" si="22"/>
        <v/>
      </c>
      <c r="H500" s="88"/>
      <c r="I500" s="93"/>
      <c r="J500" s="97"/>
      <c r="K500" s="88"/>
      <c r="L500" s="25" t="str">
        <f>IF($D500="","",SUMIFS($H$4:$H500,$D$4:$D500,$D500)+SUMIFS($I$4:$I500,$D$4:$D500,$D500)-SUMIFS($J$4:$J500,$D$4:$D500,$D500)-SUMIFS($K$4:$K500,$D$4:$D500,$D500))</f>
        <v/>
      </c>
      <c r="M500" s="80"/>
      <c r="N500" s="80"/>
      <c r="O500" s="94"/>
      <c r="P500" s="26" t="str">
        <f t="shared" si="23"/>
        <v/>
      </c>
      <c r="Q500" s="80"/>
      <c r="R500" s="80"/>
      <c r="S500" s="80"/>
      <c r="T500" s="82"/>
      <c r="U500" s="80"/>
      <c r="V500" s="80"/>
      <c r="W500" s="80"/>
    </row>
    <row r="501" ht="18" customHeight="1" spans="1:23">
      <c r="A501" s="87" t="str">
        <f t="shared" si="21"/>
        <v/>
      </c>
      <c r="B501" s="78"/>
      <c r="C501" s="80"/>
      <c r="D501" s="79"/>
      <c r="E501" s="80"/>
      <c r="F501" s="79"/>
      <c r="G501" s="25" t="str">
        <f t="shared" si="22"/>
        <v/>
      </c>
      <c r="H501" s="88"/>
      <c r="I501" s="93"/>
      <c r="J501" s="97"/>
      <c r="K501" s="88"/>
      <c r="L501" s="25" t="str">
        <f>IF($D501="","",SUMIFS($H$4:$H501,$D$4:$D501,$D501)+SUMIFS($I$4:$I501,$D$4:$D501,$D501)-SUMIFS($J$4:$J501,$D$4:$D501,$D501)-SUMIFS($K$4:$K501,$D$4:$D501,$D501))</f>
        <v/>
      </c>
      <c r="M501" s="80"/>
      <c r="N501" s="80"/>
      <c r="O501" s="94"/>
      <c r="P501" s="26" t="str">
        <f t="shared" si="23"/>
        <v/>
      </c>
      <c r="Q501" s="80"/>
      <c r="R501" s="80"/>
      <c r="S501" s="80"/>
      <c r="T501" s="82"/>
      <c r="U501" s="80"/>
      <c r="V501" s="80"/>
      <c r="W501" s="80"/>
    </row>
    <row r="502" ht="18" customHeight="1" spans="1:23">
      <c r="A502" s="87" t="str">
        <f t="shared" si="21"/>
        <v/>
      </c>
      <c r="B502" s="78"/>
      <c r="C502" s="80"/>
      <c r="D502" s="79"/>
      <c r="E502" s="80"/>
      <c r="F502" s="79"/>
      <c r="G502" s="25" t="str">
        <f t="shared" si="22"/>
        <v/>
      </c>
      <c r="H502" s="88"/>
      <c r="I502" s="93"/>
      <c r="J502" s="97"/>
      <c r="K502" s="88"/>
      <c r="L502" s="25" t="str">
        <f>IF($D502="","",SUMIFS($H$4:$H502,$D$4:$D502,$D502)+SUMIFS($I$4:$I502,$D$4:$D502,$D502)-SUMIFS($J$4:$J502,$D$4:$D502,$D502)-SUMIFS($K$4:$K502,$D$4:$D502,$D502))</f>
        <v/>
      </c>
      <c r="M502" s="80"/>
      <c r="N502" s="80"/>
      <c r="O502" s="94"/>
      <c r="P502" s="26" t="str">
        <f t="shared" si="23"/>
        <v/>
      </c>
      <c r="Q502" s="80"/>
      <c r="R502" s="80"/>
      <c r="S502" s="80"/>
      <c r="T502" s="82"/>
      <c r="U502" s="80"/>
      <c r="V502" s="80"/>
      <c r="W502" s="80"/>
    </row>
    <row r="503" ht="18" customHeight="1" spans="1:23">
      <c r="A503" s="87" t="str">
        <f t="shared" si="21"/>
        <v/>
      </c>
      <c r="B503" s="78"/>
      <c r="C503" s="80"/>
      <c r="D503" s="79"/>
      <c r="E503" s="80"/>
      <c r="F503" s="79"/>
      <c r="G503" s="25" t="str">
        <f t="shared" si="22"/>
        <v/>
      </c>
      <c r="H503" s="88"/>
      <c r="I503" s="93"/>
      <c r="J503" s="97"/>
      <c r="K503" s="88"/>
      <c r="L503" s="25" t="str">
        <f>IF($D503="","",SUMIFS($H$4:$H503,$D$4:$D503,$D503)+SUMIFS($I$4:$I503,$D$4:$D503,$D503)-SUMIFS($J$4:$J503,$D$4:$D503,$D503)-SUMIFS($K$4:$K503,$D$4:$D503,$D503))</f>
        <v/>
      </c>
      <c r="M503" s="80"/>
      <c r="N503" s="80"/>
      <c r="O503" s="94"/>
      <c r="P503" s="26" t="str">
        <f t="shared" si="23"/>
        <v/>
      </c>
      <c r="Q503" s="80"/>
      <c r="R503" s="80"/>
      <c r="S503" s="80"/>
      <c r="T503" s="82"/>
      <c r="U503" s="80"/>
      <c r="V503" s="80"/>
      <c r="W503" s="80"/>
    </row>
    <row r="504" ht="18" customHeight="1" spans="1:23">
      <c r="A504" s="87" t="str">
        <f t="shared" si="21"/>
        <v/>
      </c>
      <c r="B504" s="78"/>
      <c r="C504" s="80"/>
      <c r="D504" s="79"/>
      <c r="E504" s="80"/>
      <c r="F504" s="79"/>
      <c r="G504" s="25" t="str">
        <f t="shared" si="22"/>
        <v/>
      </c>
      <c r="H504" s="88"/>
      <c r="I504" s="93"/>
      <c r="J504" s="97"/>
      <c r="K504" s="88"/>
      <c r="L504" s="25" t="str">
        <f>IF($D504="","",SUMIFS($H$4:$H504,$D$4:$D504,$D504)+SUMIFS($I$4:$I504,$D$4:$D504,$D504)-SUMIFS($J$4:$J504,$D$4:$D504,$D504)-SUMIFS($K$4:$K504,$D$4:$D504,$D504))</f>
        <v/>
      </c>
      <c r="M504" s="80"/>
      <c r="N504" s="80"/>
      <c r="O504" s="94"/>
      <c r="P504" s="26" t="str">
        <f t="shared" si="23"/>
        <v/>
      </c>
      <c r="Q504" s="80"/>
      <c r="R504" s="80"/>
      <c r="S504" s="80"/>
      <c r="T504" s="82"/>
      <c r="U504" s="80"/>
      <c r="V504" s="80"/>
      <c r="W504" s="80"/>
    </row>
    <row r="505" ht="18" customHeight="1" spans="1:23">
      <c r="A505" s="87" t="str">
        <f t="shared" si="21"/>
        <v/>
      </c>
      <c r="B505" s="78"/>
      <c r="C505" s="80"/>
      <c r="D505" s="79"/>
      <c r="E505" s="80"/>
      <c r="F505" s="79"/>
      <c r="G505" s="25" t="str">
        <f t="shared" si="22"/>
        <v/>
      </c>
      <c r="H505" s="88"/>
      <c r="I505" s="93"/>
      <c r="J505" s="97"/>
      <c r="K505" s="88"/>
      <c r="L505" s="25" t="str">
        <f>IF($D505="","",SUMIFS($H$4:$H505,$D$4:$D505,$D505)+SUMIFS($I$4:$I505,$D$4:$D505,$D505)-SUMIFS($J$4:$J505,$D$4:$D505,$D505)-SUMIFS($K$4:$K505,$D$4:$D505,$D505))</f>
        <v/>
      </c>
      <c r="M505" s="80"/>
      <c r="N505" s="80"/>
      <c r="O505" s="94"/>
      <c r="P505" s="26" t="str">
        <f t="shared" si="23"/>
        <v/>
      </c>
      <c r="Q505" s="80"/>
      <c r="R505" s="80"/>
      <c r="S505" s="80"/>
      <c r="T505" s="82"/>
      <c r="U505" s="80"/>
      <c r="V505" s="80"/>
      <c r="W505" s="80"/>
    </row>
    <row r="506" ht="18" customHeight="1" spans="1:23">
      <c r="A506" s="87" t="str">
        <f t="shared" si="21"/>
        <v/>
      </c>
      <c r="B506" s="78"/>
      <c r="C506" s="80"/>
      <c r="D506" s="79"/>
      <c r="E506" s="80"/>
      <c r="F506" s="79"/>
      <c r="G506" s="25" t="str">
        <f t="shared" si="22"/>
        <v/>
      </c>
      <c r="H506" s="88"/>
      <c r="I506" s="93"/>
      <c r="J506" s="97"/>
      <c r="K506" s="88"/>
      <c r="L506" s="25" t="str">
        <f>IF($D506="","",SUMIFS($H$4:$H506,$D$4:$D506,$D506)+SUMIFS($I$4:$I506,$D$4:$D506,$D506)-SUMIFS($J$4:$J506,$D$4:$D506,$D506)-SUMIFS($K$4:$K506,$D$4:$D506,$D506))</f>
        <v/>
      </c>
      <c r="M506" s="80"/>
      <c r="N506" s="80"/>
      <c r="O506" s="94"/>
      <c r="P506" s="26" t="str">
        <f t="shared" si="23"/>
        <v/>
      </c>
      <c r="Q506" s="80"/>
      <c r="R506" s="80"/>
      <c r="S506" s="80"/>
      <c r="T506" s="82"/>
      <c r="U506" s="80"/>
      <c r="V506" s="80"/>
      <c r="W506" s="80"/>
    </row>
    <row r="507" ht="18" customHeight="1" spans="1:23">
      <c r="A507" s="87" t="str">
        <f t="shared" si="21"/>
        <v/>
      </c>
      <c r="B507" s="78"/>
      <c r="C507" s="80"/>
      <c r="D507" s="79"/>
      <c r="E507" s="80"/>
      <c r="F507" s="79"/>
      <c r="G507" s="25" t="str">
        <f t="shared" si="22"/>
        <v/>
      </c>
      <c r="H507" s="88"/>
      <c r="I507" s="93"/>
      <c r="J507" s="97"/>
      <c r="K507" s="88"/>
      <c r="L507" s="25" t="str">
        <f>IF($D507="","",SUMIFS($H$4:$H507,$D$4:$D507,$D507)+SUMIFS($I$4:$I507,$D$4:$D507,$D507)-SUMIFS($J$4:$J507,$D$4:$D507,$D507)-SUMIFS($K$4:$K507,$D$4:$D507,$D507))</f>
        <v/>
      </c>
      <c r="M507" s="80"/>
      <c r="N507" s="80"/>
      <c r="O507" s="94"/>
      <c r="P507" s="26" t="str">
        <f t="shared" si="23"/>
        <v/>
      </c>
      <c r="Q507" s="80"/>
      <c r="R507" s="80"/>
      <c r="S507" s="80"/>
      <c r="T507" s="82"/>
      <c r="U507" s="80"/>
      <c r="V507" s="80"/>
      <c r="W507" s="80"/>
    </row>
    <row r="508" ht="18" customHeight="1" spans="1:23">
      <c r="A508" s="87" t="str">
        <f t="shared" si="21"/>
        <v/>
      </c>
      <c r="B508" s="78"/>
      <c r="C508" s="80"/>
      <c r="D508" s="79"/>
      <c r="E508" s="80"/>
      <c r="F508" s="79"/>
      <c r="G508" s="25" t="str">
        <f t="shared" si="22"/>
        <v/>
      </c>
      <c r="H508" s="88"/>
      <c r="I508" s="93"/>
      <c r="J508" s="97"/>
      <c r="K508" s="88"/>
      <c r="L508" s="25" t="str">
        <f>IF($D508="","",SUMIFS($H$4:$H508,$D$4:$D508,$D508)+SUMIFS($I$4:$I508,$D$4:$D508,$D508)-SUMIFS($J$4:$J508,$D$4:$D508,$D508)-SUMIFS($K$4:$K508,$D$4:$D508,$D508))</f>
        <v/>
      </c>
      <c r="M508" s="80"/>
      <c r="N508" s="80"/>
      <c r="O508" s="94"/>
      <c r="P508" s="26" t="str">
        <f t="shared" si="23"/>
        <v/>
      </c>
      <c r="Q508" s="80"/>
      <c r="R508" s="80"/>
      <c r="S508" s="80"/>
      <c r="T508" s="82"/>
      <c r="U508" s="80"/>
      <c r="V508" s="80"/>
      <c r="W508" s="80"/>
    </row>
    <row r="509" ht="18" customHeight="1" spans="1:23">
      <c r="A509" s="87" t="str">
        <f t="shared" si="21"/>
        <v/>
      </c>
      <c r="B509" s="78"/>
      <c r="C509" s="80"/>
      <c r="D509" s="79"/>
      <c r="E509" s="80"/>
      <c r="F509" s="79"/>
      <c r="G509" s="25" t="str">
        <f t="shared" si="22"/>
        <v/>
      </c>
      <c r="H509" s="88"/>
      <c r="I509" s="93"/>
      <c r="J509" s="97"/>
      <c r="K509" s="88"/>
      <c r="L509" s="25" t="str">
        <f>IF($D509="","",SUMIFS($H$4:$H509,$D$4:$D509,$D509)+SUMIFS($I$4:$I509,$D$4:$D509,$D509)-SUMIFS($J$4:$J509,$D$4:$D509,$D509)-SUMIFS($K$4:$K509,$D$4:$D509,$D509))</f>
        <v/>
      </c>
      <c r="M509" s="80"/>
      <c r="N509" s="80"/>
      <c r="O509" s="94"/>
      <c r="P509" s="26" t="str">
        <f t="shared" si="23"/>
        <v/>
      </c>
      <c r="Q509" s="80"/>
      <c r="R509" s="80"/>
      <c r="S509" s="80"/>
      <c r="T509" s="82"/>
      <c r="U509" s="80"/>
      <c r="V509" s="80"/>
      <c r="W509" s="80"/>
    </row>
    <row r="510" ht="18" customHeight="1" spans="1:23">
      <c r="A510" s="87" t="str">
        <f t="shared" si="21"/>
        <v/>
      </c>
      <c r="B510" s="78"/>
      <c r="C510" s="80"/>
      <c r="D510" s="79"/>
      <c r="E510" s="80"/>
      <c r="F510" s="79"/>
      <c r="G510" s="25" t="str">
        <f t="shared" si="22"/>
        <v/>
      </c>
      <c r="H510" s="88"/>
      <c r="I510" s="93"/>
      <c r="J510" s="97"/>
      <c r="K510" s="88"/>
      <c r="L510" s="25" t="str">
        <f>IF($D510="","",SUMIFS($H$4:$H510,$D$4:$D510,$D510)+SUMIFS($I$4:$I510,$D$4:$D510,$D510)-SUMIFS($J$4:$J510,$D$4:$D510,$D510)-SUMIFS($K$4:$K510,$D$4:$D510,$D510))</f>
        <v/>
      </c>
      <c r="M510" s="80"/>
      <c r="N510" s="80"/>
      <c r="O510" s="94"/>
      <c r="P510" s="26" t="str">
        <f t="shared" si="23"/>
        <v/>
      </c>
      <c r="Q510" s="80"/>
      <c r="R510" s="80"/>
      <c r="S510" s="80"/>
      <c r="T510" s="82"/>
      <c r="U510" s="80"/>
      <c r="V510" s="80"/>
      <c r="W510" s="80"/>
    </row>
    <row r="511" ht="18" customHeight="1" spans="1:23">
      <c r="A511" s="87" t="str">
        <f t="shared" si="21"/>
        <v/>
      </c>
      <c r="B511" s="78"/>
      <c r="C511" s="80"/>
      <c r="D511" s="79"/>
      <c r="E511" s="80"/>
      <c r="F511" s="79"/>
      <c r="G511" s="25" t="str">
        <f t="shared" si="22"/>
        <v/>
      </c>
      <c r="H511" s="88"/>
      <c r="I511" s="93"/>
      <c r="J511" s="97"/>
      <c r="K511" s="88"/>
      <c r="L511" s="25" t="str">
        <f>IF($D511="","",SUMIFS($H$4:$H511,$D$4:$D511,$D511)+SUMIFS($I$4:$I511,$D$4:$D511,$D511)-SUMIFS($J$4:$J511,$D$4:$D511,$D511)-SUMIFS($K$4:$K511,$D$4:$D511,$D511))</f>
        <v/>
      </c>
      <c r="M511" s="80"/>
      <c r="N511" s="80"/>
      <c r="O511" s="94"/>
      <c r="P511" s="26" t="str">
        <f t="shared" si="23"/>
        <v/>
      </c>
      <c r="Q511" s="80"/>
      <c r="R511" s="80"/>
      <c r="S511" s="80"/>
      <c r="T511" s="82"/>
      <c r="U511" s="80"/>
      <c r="V511" s="80"/>
      <c r="W511" s="80"/>
    </row>
    <row r="512" ht="18" customHeight="1" spans="1:23">
      <c r="A512" s="87" t="str">
        <f t="shared" si="21"/>
        <v/>
      </c>
      <c r="B512" s="78"/>
      <c r="C512" s="80"/>
      <c r="D512" s="79"/>
      <c r="E512" s="80"/>
      <c r="F512" s="79"/>
      <c r="G512" s="25" t="str">
        <f t="shared" si="22"/>
        <v/>
      </c>
      <c r="H512" s="88"/>
      <c r="I512" s="93"/>
      <c r="J512" s="97"/>
      <c r="K512" s="88"/>
      <c r="L512" s="25" t="str">
        <f>IF($D512="","",SUMIFS($H$4:$H512,$D$4:$D512,$D512)+SUMIFS($I$4:$I512,$D$4:$D512,$D512)-SUMIFS($J$4:$J512,$D$4:$D512,$D512)-SUMIFS($K$4:$K512,$D$4:$D512,$D512))</f>
        <v/>
      </c>
      <c r="M512" s="80"/>
      <c r="N512" s="80"/>
      <c r="O512" s="94"/>
      <c r="P512" s="26" t="str">
        <f t="shared" si="23"/>
        <v/>
      </c>
      <c r="Q512" s="80"/>
      <c r="R512" s="80"/>
      <c r="S512" s="80"/>
      <c r="T512" s="82"/>
      <c r="U512" s="80"/>
      <c r="V512" s="80"/>
      <c r="W512" s="80"/>
    </row>
    <row r="513" ht="18" customHeight="1" spans="1:23">
      <c r="A513" s="87" t="str">
        <f t="shared" si="21"/>
        <v/>
      </c>
      <c r="B513" s="78"/>
      <c r="C513" s="80"/>
      <c r="D513" s="79"/>
      <c r="E513" s="80"/>
      <c r="F513" s="79"/>
      <c r="G513" s="25" t="str">
        <f t="shared" si="22"/>
        <v/>
      </c>
      <c r="H513" s="88"/>
      <c r="I513" s="93"/>
      <c r="J513" s="97"/>
      <c r="K513" s="88"/>
      <c r="L513" s="25" t="str">
        <f>IF($D513="","",SUMIFS($H$4:$H513,$D$4:$D513,$D513)+SUMIFS($I$4:$I513,$D$4:$D513,$D513)-SUMIFS($J$4:$J513,$D$4:$D513,$D513)-SUMIFS($K$4:$K513,$D$4:$D513,$D513))</f>
        <v/>
      </c>
      <c r="M513" s="80"/>
      <c r="N513" s="80"/>
      <c r="O513" s="94"/>
      <c r="P513" s="26" t="str">
        <f t="shared" si="23"/>
        <v/>
      </c>
      <c r="Q513" s="80"/>
      <c r="R513" s="80"/>
      <c r="S513" s="80"/>
      <c r="T513" s="82"/>
      <c r="U513" s="80"/>
      <c r="V513" s="80"/>
      <c r="W513" s="80"/>
    </row>
    <row r="514" ht="18" customHeight="1" spans="1:23">
      <c r="A514" s="87" t="str">
        <f t="shared" si="21"/>
        <v/>
      </c>
      <c r="B514" s="78"/>
      <c r="C514" s="80"/>
      <c r="D514" s="79"/>
      <c r="E514" s="80"/>
      <c r="F514" s="79"/>
      <c r="G514" s="25" t="str">
        <f t="shared" si="22"/>
        <v/>
      </c>
      <c r="H514" s="88"/>
      <c r="I514" s="93"/>
      <c r="J514" s="97"/>
      <c r="K514" s="88"/>
      <c r="L514" s="25" t="str">
        <f>IF($D514="","",SUMIFS($H$4:$H514,$D$4:$D514,$D514)+SUMIFS($I$4:$I514,$D$4:$D514,$D514)-SUMIFS($J$4:$J514,$D$4:$D514,$D514)-SUMIFS($K$4:$K514,$D$4:$D514,$D514))</f>
        <v/>
      </c>
      <c r="M514" s="80"/>
      <c r="N514" s="80"/>
      <c r="O514" s="94"/>
      <c r="P514" s="26" t="str">
        <f t="shared" si="23"/>
        <v/>
      </c>
      <c r="Q514" s="80"/>
      <c r="R514" s="80"/>
      <c r="S514" s="80"/>
      <c r="T514" s="82"/>
      <c r="U514" s="80"/>
      <c r="V514" s="80"/>
      <c r="W514" s="80"/>
    </row>
    <row r="515" ht="18" customHeight="1" spans="1:23">
      <c r="A515" s="87" t="str">
        <f t="shared" si="21"/>
        <v/>
      </c>
      <c r="B515" s="78"/>
      <c r="C515" s="80"/>
      <c r="D515" s="79"/>
      <c r="E515" s="80"/>
      <c r="F515" s="79"/>
      <c r="G515" s="25" t="str">
        <f t="shared" si="22"/>
        <v/>
      </c>
      <c r="H515" s="88"/>
      <c r="I515" s="93"/>
      <c r="J515" s="97"/>
      <c r="K515" s="88"/>
      <c r="L515" s="25" t="str">
        <f>IF($D515="","",SUMIFS($H$4:$H515,$D$4:$D515,$D515)+SUMIFS($I$4:$I515,$D$4:$D515,$D515)-SUMIFS($J$4:$J515,$D$4:$D515,$D515)-SUMIFS($K$4:$K515,$D$4:$D515,$D515))</f>
        <v/>
      </c>
      <c r="M515" s="80"/>
      <c r="N515" s="80"/>
      <c r="O515" s="94"/>
      <c r="P515" s="26" t="str">
        <f t="shared" si="23"/>
        <v/>
      </c>
      <c r="Q515" s="80"/>
      <c r="R515" s="80"/>
      <c r="S515" s="80"/>
      <c r="T515" s="82"/>
      <c r="U515" s="80"/>
      <c r="V515" s="80"/>
      <c r="W515" s="80"/>
    </row>
    <row r="516" ht="18" customHeight="1" spans="1:23">
      <c r="A516" s="87" t="str">
        <f t="shared" si="21"/>
        <v/>
      </c>
      <c r="B516" s="78"/>
      <c r="C516" s="80"/>
      <c r="D516" s="79"/>
      <c r="E516" s="80"/>
      <c r="F516" s="79"/>
      <c r="G516" s="25" t="str">
        <f t="shared" si="22"/>
        <v/>
      </c>
      <c r="H516" s="88"/>
      <c r="I516" s="93"/>
      <c r="J516" s="97"/>
      <c r="K516" s="88"/>
      <c r="L516" s="25" t="str">
        <f>IF($D516="","",SUMIFS($H$4:$H516,$D$4:$D516,$D516)+SUMIFS($I$4:$I516,$D$4:$D516,$D516)-SUMIFS($J$4:$J516,$D$4:$D516,$D516)-SUMIFS($K$4:$K516,$D$4:$D516,$D516))</f>
        <v/>
      </c>
      <c r="M516" s="80"/>
      <c r="N516" s="80"/>
      <c r="O516" s="94"/>
      <c r="P516" s="26" t="str">
        <f t="shared" si="23"/>
        <v/>
      </c>
      <c r="Q516" s="80"/>
      <c r="R516" s="80"/>
      <c r="S516" s="80"/>
      <c r="T516" s="82"/>
      <c r="U516" s="80"/>
      <c r="V516" s="80"/>
      <c r="W516" s="80"/>
    </row>
    <row r="517" ht="18" customHeight="1" spans="1:23">
      <c r="A517" s="87" t="str">
        <f t="shared" ref="A517:A580" si="24">IF($D517="","",ROW()-3)</f>
        <v/>
      </c>
      <c r="B517" s="78"/>
      <c r="C517" s="80"/>
      <c r="D517" s="79"/>
      <c r="E517" s="80"/>
      <c r="F517" s="79"/>
      <c r="G517" s="25" t="str">
        <f t="shared" ref="G517:G580" si="25">IF($D517="","",N($L517)-N($H517)-N($I517)+N($J517)+N($K517))</f>
        <v/>
      </c>
      <c r="H517" s="88"/>
      <c r="I517" s="93"/>
      <c r="J517" s="97"/>
      <c r="K517" s="88"/>
      <c r="L517" s="25" t="str">
        <f>IF($D517="","",SUMIFS($H$4:$H517,$D$4:$D517,$D517)+SUMIFS($I$4:$I517,$D$4:$D517,$D517)-SUMIFS($J$4:$J517,$D$4:$D517,$D517)-SUMIFS($K$4:$K517,$D$4:$D517,$D517))</f>
        <v/>
      </c>
      <c r="M517" s="80"/>
      <c r="N517" s="80"/>
      <c r="O517" s="94"/>
      <c r="P517" s="26" t="str">
        <f t="shared" ref="P517:P580" si="26">IF($D517="","",ROUND((N($H517)+N($K517))*N($O517),2))</f>
        <v/>
      </c>
      <c r="Q517" s="80"/>
      <c r="R517" s="80"/>
      <c r="S517" s="80"/>
      <c r="T517" s="82"/>
      <c r="U517" s="80"/>
      <c r="V517" s="80"/>
      <c r="W517" s="80"/>
    </row>
    <row r="518" ht="18" customHeight="1" spans="1:23">
      <c r="A518" s="87" t="str">
        <f t="shared" si="24"/>
        <v/>
      </c>
      <c r="B518" s="78"/>
      <c r="C518" s="80"/>
      <c r="D518" s="79"/>
      <c r="E518" s="80"/>
      <c r="F518" s="79"/>
      <c r="G518" s="25" t="str">
        <f t="shared" si="25"/>
        <v/>
      </c>
      <c r="H518" s="88"/>
      <c r="I518" s="93"/>
      <c r="J518" s="97"/>
      <c r="K518" s="88"/>
      <c r="L518" s="25" t="str">
        <f>IF($D518="","",SUMIFS($H$4:$H518,$D$4:$D518,$D518)+SUMIFS($I$4:$I518,$D$4:$D518,$D518)-SUMIFS($J$4:$J518,$D$4:$D518,$D518)-SUMIFS($K$4:$K518,$D$4:$D518,$D518))</f>
        <v/>
      </c>
      <c r="M518" s="80"/>
      <c r="N518" s="80"/>
      <c r="O518" s="94"/>
      <c r="P518" s="26" t="str">
        <f t="shared" si="26"/>
        <v/>
      </c>
      <c r="Q518" s="80"/>
      <c r="R518" s="80"/>
      <c r="S518" s="80"/>
      <c r="T518" s="82"/>
      <c r="U518" s="80"/>
      <c r="V518" s="80"/>
      <c r="W518" s="80"/>
    </row>
    <row r="519" ht="18" customHeight="1" spans="1:23">
      <c r="A519" s="87" t="str">
        <f t="shared" si="24"/>
        <v/>
      </c>
      <c r="B519" s="78"/>
      <c r="C519" s="80"/>
      <c r="D519" s="79"/>
      <c r="E519" s="80"/>
      <c r="F519" s="79"/>
      <c r="G519" s="25" t="str">
        <f t="shared" si="25"/>
        <v/>
      </c>
      <c r="H519" s="88"/>
      <c r="I519" s="93"/>
      <c r="J519" s="97"/>
      <c r="K519" s="88"/>
      <c r="L519" s="25" t="str">
        <f>IF($D519="","",SUMIFS($H$4:$H519,$D$4:$D519,$D519)+SUMIFS($I$4:$I519,$D$4:$D519,$D519)-SUMIFS($J$4:$J519,$D$4:$D519,$D519)-SUMIFS($K$4:$K519,$D$4:$D519,$D519))</f>
        <v/>
      </c>
      <c r="M519" s="80"/>
      <c r="N519" s="80"/>
      <c r="O519" s="94"/>
      <c r="P519" s="26" t="str">
        <f t="shared" si="26"/>
        <v/>
      </c>
      <c r="Q519" s="80"/>
      <c r="R519" s="80"/>
      <c r="S519" s="80"/>
      <c r="T519" s="82"/>
      <c r="U519" s="80"/>
      <c r="V519" s="80"/>
      <c r="W519" s="80"/>
    </row>
    <row r="520" ht="18" customHeight="1" spans="1:23">
      <c r="A520" s="87" t="str">
        <f t="shared" si="24"/>
        <v/>
      </c>
      <c r="B520" s="78"/>
      <c r="C520" s="80"/>
      <c r="D520" s="79"/>
      <c r="E520" s="80"/>
      <c r="F520" s="79"/>
      <c r="G520" s="25" t="str">
        <f t="shared" si="25"/>
        <v/>
      </c>
      <c r="H520" s="88"/>
      <c r="I520" s="93"/>
      <c r="J520" s="97"/>
      <c r="K520" s="88"/>
      <c r="L520" s="25" t="str">
        <f>IF($D520="","",SUMIFS($H$4:$H520,$D$4:$D520,$D520)+SUMIFS($I$4:$I520,$D$4:$D520,$D520)-SUMIFS($J$4:$J520,$D$4:$D520,$D520)-SUMIFS($K$4:$K520,$D$4:$D520,$D520))</f>
        <v/>
      </c>
      <c r="M520" s="80"/>
      <c r="N520" s="80"/>
      <c r="O520" s="94"/>
      <c r="P520" s="26" t="str">
        <f t="shared" si="26"/>
        <v/>
      </c>
      <c r="Q520" s="80"/>
      <c r="R520" s="80"/>
      <c r="S520" s="80"/>
      <c r="T520" s="82"/>
      <c r="U520" s="80"/>
      <c r="V520" s="80"/>
      <c r="W520" s="80"/>
    </row>
    <row r="521" ht="18" customHeight="1" spans="1:23">
      <c r="A521" s="87" t="str">
        <f t="shared" si="24"/>
        <v/>
      </c>
      <c r="B521" s="78"/>
      <c r="C521" s="80"/>
      <c r="D521" s="79"/>
      <c r="E521" s="80"/>
      <c r="F521" s="79"/>
      <c r="G521" s="25" t="str">
        <f t="shared" si="25"/>
        <v/>
      </c>
      <c r="H521" s="88"/>
      <c r="I521" s="93"/>
      <c r="J521" s="97"/>
      <c r="K521" s="88"/>
      <c r="L521" s="25" t="str">
        <f>IF($D521="","",SUMIFS($H$4:$H521,$D$4:$D521,$D521)+SUMIFS($I$4:$I521,$D$4:$D521,$D521)-SUMIFS($J$4:$J521,$D$4:$D521,$D521)-SUMIFS($K$4:$K521,$D$4:$D521,$D521))</f>
        <v/>
      </c>
      <c r="M521" s="80"/>
      <c r="N521" s="80"/>
      <c r="O521" s="94"/>
      <c r="P521" s="26" t="str">
        <f t="shared" si="26"/>
        <v/>
      </c>
      <c r="Q521" s="80"/>
      <c r="R521" s="80"/>
      <c r="S521" s="80"/>
      <c r="T521" s="82"/>
      <c r="U521" s="80"/>
      <c r="V521" s="80"/>
      <c r="W521" s="80"/>
    </row>
    <row r="522" ht="18" customHeight="1" spans="1:23">
      <c r="A522" s="87" t="str">
        <f t="shared" si="24"/>
        <v/>
      </c>
      <c r="B522" s="78"/>
      <c r="C522" s="80"/>
      <c r="D522" s="79"/>
      <c r="E522" s="80"/>
      <c r="F522" s="79"/>
      <c r="G522" s="25" t="str">
        <f t="shared" si="25"/>
        <v/>
      </c>
      <c r="H522" s="88"/>
      <c r="I522" s="93"/>
      <c r="J522" s="97"/>
      <c r="K522" s="88"/>
      <c r="L522" s="25" t="str">
        <f>IF($D522="","",SUMIFS($H$4:$H522,$D$4:$D522,$D522)+SUMIFS($I$4:$I522,$D$4:$D522,$D522)-SUMIFS($J$4:$J522,$D$4:$D522,$D522)-SUMIFS($K$4:$K522,$D$4:$D522,$D522))</f>
        <v/>
      </c>
      <c r="M522" s="80"/>
      <c r="N522" s="80"/>
      <c r="O522" s="94"/>
      <c r="P522" s="26" t="str">
        <f t="shared" si="26"/>
        <v/>
      </c>
      <c r="Q522" s="80"/>
      <c r="R522" s="80"/>
      <c r="S522" s="80"/>
      <c r="T522" s="82"/>
      <c r="U522" s="80"/>
      <c r="V522" s="80"/>
      <c r="W522" s="80"/>
    </row>
    <row r="523" ht="18" customHeight="1" spans="1:23">
      <c r="A523" s="87" t="str">
        <f t="shared" si="24"/>
        <v/>
      </c>
      <c r="B523" s="78"/>
      <c r="C523" s="80"/>
      <c r="D523" s="79"/>
      <c r="E523" s="80"/>
      <c r="F523" s="79"/>
      <c r="G523" s="25" t="str">
        <f t="shared" si="25"/>
        <v/>
      </c>
      <c r="H523" s="88"/>
      <c r="I523" s="93"/>
      <c r="J523" s="97"/>
      <c r="K523" s="88"/>
      <c r="L523" s="25" t="str">
        <f>IF($D523="","",SUMIFS($H$4:$H523,$D$4:$D523,$D523)+SUMIFS($I$4:$I523,$D$4:$D523,$D523)-SUMIFS($J$4:$J523,$D$4:$D523,$D523)-SUMIFS($K$4:$K523,$D$4:$D523,$D523))</f>
        <v/>
      </c>
      <c r="M523" s="80"/>
      <c r="N523" s="80"/>
      <c r="O523" s="94"/>
      <c r="P523" s="26" t="str">
        <f t="shared" si="26"/>
        <v/>
      </c>
      <c r="Q523" s="80"/>
      <c r="R523" s="80"/>
      <c r="S523" s="80"/>
      <c r="T523" s="82"/>
      <c r="U523" s="80"/>
      <c r="V523" s="80"/>
      <c r="W523" s="80"/>
    </row>
    <row r="524" ht="18" customHeight="1" spans="1:23">
      <c r="A524" s="87" t="str">
        <f t="shared" si="24"/>
        <v/>
      </c>
      <c r="B524" s="78"/>
      <c r="C524" s="80"/>
      <c r="D524" s="79"/>
      <c r="E524" s="80"/>
      <c r="F524" s="79"/>
      <c r="G524" s="25" t="str">
        <f t="shared" si="25"/>
        <v/>
      </c>
      <c r="H524" s="88"/>
      <c r="I524" s="93"/>
      <c r="J524" s="97"/>
      <c r="K524" s="88"/>
      <c r="L524" s="25" t="str">
        <f>IF($D524="","",SUMIFS($H$4:$H524,$D$4:$D524,$D524)+SUMIFS($I$4:$I524,$D$4:$D524,$D524)-SUMIFS($J$4:$J524,$D$4:$D524,$D524)-SUMIFS($K$4:$K524,$D$4:$D524,$D524))</f>
        <v/>
      </c>
      <c r="M524" s="80"/>
      <c r="N524" s="80"/>
      <c r="O524" s="94"/>
      <c r="P524" s="26" t="str">
        <f t="shared" si="26"/>
        <v/>
      </c>
      <c r="Q524" s="80"/>
      <c r="R524" s="80"/>
      <c r="S524" s="80"/>
      <c r="T524" s="82"/>
      <c r="U524" s="80"/>
      <c r="V524" s="80"/>
      <c r="W524" s="80"/>
    </row>
    <row r="525" ht="18" customHeight="1" spans="1:23">
      <c r="A525" s="87" t="str">
        <f t="shared" si="24"/>
        <v/>
      </c>
      <c r="B525" s="78"/>
      <c r="C525" s="80"/>
      <c r="D525" s="79"/>
      <c r="E525" s="80"/>
      <c r="F525" s="79"/>
      <c r="G525" s="25" t="str">
        <f t="shared" si="25"/>
        <v/>
      </c>
      <c r="H525" s="88"/>
      <c r="I525" s="93"/>
      <c r="J525" s="97"/>
      <c r="K525" s="88"/>
      <c r="L525" s="25" t="str">
        <f>IF($D525="","",SUMIFS($H$4:$H525,$D$4:$D525,$D525)+SUMIFS($I$4:$I525,$D$4:$D525,$D525)-SUMIFS($J$4:$J525,$D$4:$D525,$D525)-SUMIFS($K$4:$K525,$D$4:$D525,$D525))</f>
        <v/>
      </c>
      <c r="M525" s="80"/>
      <c r="N525" s="80"/>
      <c r="O525" s="94"/>
      <c r="P525" s="26" t="str">
        <f t="shared" si="26"/>
        <v/>
      </c>
      <c r="Q525" s="80"/>
      <c r="R525" s="80"/>
      <c r="S525" s="80"/>
      <c r="T525" s="82"/>
      <c r="U525" s="80"/>
      <c r="V525" s="80"/>
      <c r="W525" s="80"/>
    </row>
    <row r="526" ht="18" customHeight="1" spans="1:23">
      <c r="A526" s="87" t="str">
        <f t="shared" si="24"/>
        <v/>
      </c>
      <c r="B526" s="78"/>
      <c r="C526" s="80"/>
      <c r="D526" s="79"/>
      <c r="E526" s="80"/>
      <c r="F526" s="79"/>
      <c r="G526" s="25" t="str">
        <f t="shared" si="25"/>
        <v/>
      </c>
      <c r="H526" s="88"/>
      <c r="I526" s="93"/>
      <c r="J526" s="97"/>
      <c r="K526" s="88"/>
      <c r="L526" s="25" t="str">
        <f>IF($D526="","",SUMIFS($H$4:$H526,$D$4:$D526,$D526)+SUMIFS($I$4:$I526,$D$4:$D526,$D526)-SUMIFS($J$4:$J526,$D$4:$D526,$D526)-SUMIFS($K$4:$K526,$D$4:$D526,$D526))</f>
        <v/>
      </c>
      <c r="M526" s="80"/>
      <c r="N526" s="80"/>
      <c r="O526" s="94"/>
      <c r="P526" s="26" t="str">
        <f t="shared" si="26"/>
        <v/>
      </c>
      <c r="Q526" s="80"/>
      <c r="R526" s="80"/>
      <c r="S526" s="80"/>
      <c r="T526" s="82"/>
      <c r="U526" s="80"/>
      <c r="V526" s="80"/>
      <c r="W526" s="80"/>
    </row>
    <row r="527" ht="18" customHeight="1" spans="1:23">
      <c r="A527" s="87" t="str">
        <f t="shared" si="24"/>
        <v/>
      </c>
      <c r="B527" s="78"/>
      <c r="C527" s="80"/>
      <c r="D527" s="79"/>
      <c r="E527" s="80"/>
      <c r="F527" s="79"/>
      <c r="G527" s="25" t="str">
        <f t="shared" si="25"/>
        <v/>
      </c>
      <c r="H527" s="88"/>
      <c r="I527" s="93"/>
      <c r="J527" s="97"/>
      <c r="K527" s="88"/>
      <c r="L527" s="25" t="str">
        <f>IF($D527="","",SUMIFS($H$4:$H527,$D$4:$D527,$D527)+SUMIFS($I$4:$I527,$D$4:$D527,$D527)-SUMIFS($J$4:$J527,$D$4:$D527,$D527)-SUMIFS($K$4:$K527,$D$4:$D527,$D527))</f>
        <v/>
      </c>
      <c r="M527" s="80"/>
      <c r="N527" s="80"/>
      <c r="O527" s="94"/>
      <c r="P527" s="26" t="str">
        <f t="shared" si="26"/>
        <v/>
      </c>
      <c r="Q527" s="80"/>
      <c r="R527" s="80"/>
      <c r="S527" s="80"/>
      <c r="T527" s="82"/>
      <c r="U527" s="80"/>
      <c r="V527" s="80"/>
      <c r="W527" s="80"/>
    </row>
    <row r="528" ht="18" customHeight="1" spans="1:23">
      <c r="A528" s="87" t="str">
        <f t="shared" si="24"/>
        <v/>
      </c>
      <c r="B528" s="78"/>
      <c r="C528" s="80"/>
      <c r="D528" s="79"/>
      <c r="E528" s="80"/>
      <c r="F528" s="79"/>
      <c r="G528" s="25" t="str">
        <f t="shared" si="25"/>
        <v/>
      </c>
      <c r="H528" s="88"/>
      <c r="I528" s="93"/>
      <c r="J528" s="97"/>
      <c r="K528" s="88"/>
      <c r="L528" s="25" t="str">
        <f>IF($D528="","",SUMIFS($H$4:$H528,$D$4:$D528,$D528)+SUMIFS($I$4:$I528,$D$4:$D528,$D528)-SUMIFS($J$4:$J528,$D$4:$D528,$D528)-SUMIFS($K$4:$K528,$D$4:$D528,$D528))</f>
        <v/>
      </c>
      <c r="M528" s="80"/>
      <c r="N528" s="80"/>
      <c r="O528" s="94"/>
      <c r="P528" s="26" t="str">
        <f t="shared" si="26"/>
        <v/>
      </c>
      <c r="Q528" s="80"/>
      <c r="R528" s="80"/>
      <c r="S528" s="80"/>
      <c r="T528" s="82"/>
      <c r="U528" s="80"/>
      <c r="V528" s="80"/>
      <c r="W528" s="80"/>
    </row>
    <row r="529" ht="18" customHeight="1" spans="1:23">
      <c r="A529" s="87" t="str">
        <f t="shared" si="24"/>
        <v/>
      </c>
      <c r="B529" s="78"/>
      <c r="C529" s="80"/>
      <c r="D529" s="79"/>
      <c r="E529" s="80"/>
      <c r="F529" s="79"/>
      <c r="G529" s="25" t="str">
        <f t="shared" si="25"/>
        <v/>
      </c>
      <c r="H529" s="88"/>
      <c r="I529" s="93"/>
      <c r="J529" s="97"/>
      <c r="K529" s="88"/>
      <c r="L529" s="25" t="str">
        <f>IF($D529="","",SUMIFS($H$4:$H529,$D$4:$D529,$D529)+SUMIFS($I$4:$I529,$D$4:$D529,$D529)-SUMIFS($J$4:$J529,$D$4:$D529,$D529)-SUMIFS($K$4:$K529,$D$4:$D529,$D529))</f>
        <v/>
      </c>
      <c r="M529" s="80"/>
      <c r="N529" s="80"/>
      <c r="O529" s="94"/>
      <c r="P529" s="26" t="str">
        <f t="shared" si="26"/>
        <v/>
      </c>
      <c r="Q529" s="80"/>
      <c r="R529" s="80"/>
      <c r="S529" s="80"/>
      <c r="T529" s="82"/>
      <c r="U529" s="80"/>
      <c r="V529" s="80"/>
      <c r="W529" s="80"/>
    </row>
    <row r="530" ht="18" customHeight="1" spans="1:23">
      <c r="A530" s="87" t="str">
        <f t="shared" si="24"/>
        <v/>
      </c>
      <c r="B530" s="78"/>
      <c r="C530" s="80"/>
      <c r="D530" s="79"/>
      <c r="E530" s="80"/>
      <c r="F530" s="79"/>
      <c r="G530" s="25" t="str">
        <f t="shared" si="25"/>
        <v/>
      </c>
      <c r="H530" s="88"/>
      <c r="I530" s="93"/>
      <c r="J530" s="97"/>
      <c r="K530" s="88"/>
      <c r="L530" s="25" t="str">
        <f>IF($D530="","",SUMIFS($H$4:$H530,$D$4:$D530,$D530)+SUMIFS($I$4:$I530,$D$4:$D530,$D530)-SUMIFS($J$4:$J530,$D$4:$D530,$D530)-SUMIFS($K$4:$K530,$D$4:$D530,$D530))</f>
        <v/>
      </c>
      <c r="M530" s="80"/>
      <c r="N530" s="80"/>
      <c r="O530" s="94"/>
      <c r="P530" s="26" t="str">
        <f t="shared" si="26"/>
        <v/>
      </c>
      <c r="Q530" s="80"/>
      <c r="R530" s="80"/>
      <c r="S530" s="80"/>
      <c r="T530" s="82"/>
      <c r="U530" s="80"/>
      <c r="V530" s="80"/>
      <c r="W530" s="80"/>
    </row>
    <row r="531" ht="18" customHeight="1" spans="1:23">
      <c r="A531" s="87" t="str">
        <f t="shared" si="24"/>
        <v/>
      </c>
      <c r="B531" s="78"/>
      <c r="C531" s="80"/>
      <c r="D531" s="79"/>
      <c r="E531" s="80"/>
      <c r="F531" s="79"/>
      <c r="G531" s="25" t="str">
        <f t="shared" si="25"/>
        <v/>
      </c>
      <c r="H531" s="88"/>
      <c r="I531" s="93"/>
      <c r="J531" s="97"/>
      <c r="K531" s="88"/>
      <c r="L531" s="25" t="str">
        <f>IF($D531="","",SUMIFS($H$4:$H531,$D$4:$D531,$D531)+SUMIFS($I$4:$I531,$D$4:$D531,$D531)-SUMIFS($J$4:$J531,$D$4:$D531,$D531)-SUMIFS($K$4:$K531,$D$4:$D531,$D531))</f>
        <v/>
      </c>
      <c r="M531" s="80"/>
      <c r="N531" s="80"/>
      <c r="O531" s="94"/>
      <c r="P531" s="26" t="str">
        <f t="shared" si="26"/>
        <v/>
      </c>
      <c r="Q531" s="80"/>
      <c r="R531" s="80"/>
      <c r="S531" s="80"/>
      <c r="T531" s="82"/>
      <c r="U531" s="80"/>
      <c r="V531" s="80"/>
      <c r="W531" s="80"/>
    </row>
    <row r="532" ht="18" customHeight="1" spans="1:23">
      <c r="A532" s="87" t="str">
        <f t="shared" si="24"/>
        <v/>
      </c>
      <c r="B532" s="78"/>
      <c r="C532" s="80"/>
      <c r="D532" s="79"/>
      <c r="E532" s="80"/>
      <c r="F532" s="79"/>
      <c r="G532" s="25" t="str">
        <f t="shared" si="25"/>
        <v/>
      </c>
      <c r="H532" s="88"/>
      <c r="I532" s="93"/>
      <c r="J532" s="97"/>
      <c r="K532" s="88"/>
      <c r="L532" s="25" t="str">
        <f>IF($D532="","",SUMIFS($H$4:$H532,$D$4:$D532,$D532)+SUMIFS($I$4:$I532,$D$4:$D532,$D532)-SUMIFS($J$4:$J532,$D$4:$D532,$D532)-SUMIFS($K$4:$K532,$D$4:$D532,$D532))</f>
        <v/>
      </c>
      <c r="M532" s="80"/>
      <c r="N532" s="80"/>
      <c r="O532" s="94"/>
      <c r="P532" s="26" t="str">
        <f t="shared" si="26"/>
        <v/>
      </c>
      <c r="Q532" s="80"/>
      <c r="R532" s="80"/>
      <c r="S532" s="80"/>
      <c r="T532" s="82"/>
      <c r="U532" s="80"/>
      <c r="V532" s="80"/>
      <c r="W532" s="80"/>
    </row>
    <row r="533" ht="18" customHeight="1" spans="1:23">
      <c r="A533" s="87" t="str">
        <f t="shared" si="24"/>
        <v/>
      </c>
      <c r="B533" s="78"/>
      <c r="C533" s="80"/>
      <c r="D533" s="79"/>
      <c r="E533" s="80"/>
      <c r="F533" s="79"/>
      <c r="G533" s="25" t="str">
        <f t="shared" si="25"/>
        <v/>
      </c>
      <c r="H533" s="88"/>
      <c r="I533" s="93"/>
      <c r="J533" s="97"/>
      <c r="K533" s="88"/>
      <c r="L533" s="25" t="str">
        <f>IF($D533="","",SUMIFS($H$4:$H533,$D$4:$D533,$D533)+SUMIFS($I$4:$I533,$D$4:$D533,$D533)-SUMIFS($J$4:$J533,$D$4:$D533,$D533)-SUMIFS($K$4:$K533,$D$4:$D533,$D533))</f>
        <v/>
      </c>
      <c r="M533" s="80"/>
      <c r="N533" s="80"/>
      <c r="O533" s="94"/>
      <c r="P533" s="26" t="str">
        <f t="shared" si="26"/>
        <v/>
      </c>
      <c r="Q533" s="80"/>
      <c r="R533" s="80"/>
      <c r="S533" s="80"/>
      <c r="T533" s="82"/>
      <c r="U533" s="80"/>
      <c r="V533" s="80"/>
      <c r="W533" s="80"/>
    </row>
    <row r="534" ht="18" customHeight="1" spans="1:23">
      <c r="A534" s="87" t="str">
        <f t="shared" si="24"/>
        <v/>
      </c>
      <c r="B534" s="78"/>
      <c r="C534" s="80"/>
      <c r="D534" s="79"/>
      <c r="E534" s="80"/>
      <c r="F534" s="79"/>
      <c r="G534" s="25" t="str">
        <f t="shared" si="25"/>
        <v/>
      </c>
      <c r="H534" s="88"/>
      <c r="I534" s="93"/>
      <c r="J534" s="97"/>
      <c r="K534" s="88"/>
      <c r="L534" s="25" t="str">
        <f>IF($D534="","",SUMIFS($H$4:$H534,$D$4:$D534,$D534)+SUMIFS($I$4:$I534,$D$4:$D534,$D534)-SUMIFS($J$4:$J534,$D$4:$D534,$D534)-SUMIFS($K$4:$K534,$D$4:$D534,$D534))</f>
        <v/>
      </c>
      <c r="M534" s="80"/>
      <c r="N534" s="80"/>
      <c r="O534" s="94"/>
      <c r="P534" s="26" t="str">
        <f t="shared" si="26"/>
        <v/>
      </c>
      <c r="Q534" s="80"/>
      <c r="R534" s="80"/>
      <c r="S534" s="80"/>
      <c r="T534" s="82"/>
      <c r="U534" s="80"/>
      <c r="V534" s="80"/>
      <c r="W534" s="80"/>
    </row>
    <row r="535" ht="18" customHeight="1" spans="1:23">
      <c r="A535" s="87" t="str">
        <f t="shared" si="24"/>
        <v/>
      </c>
      <c r="B535" s="78"/>
      <c r="C535" s="80"/>
      <c r="D535" s="79"/>
      <c r="E535" s="80"/>
      <c r="F535" s="79"/>
      <c r="G535" s="25" t="str">
        <f t="shared" si="25"/>
        <v/>
      </c>
      <c r="H535" s="88"/>
      <c r="I535" s="93"/>
      <c r="J535" s="97"/>
      <c r="K535" s="88"/>
      <c r="L535" s="25" t="str">
        <f>IF($D535="","",SUMIFS($H$4:$H535,$D$4:$D535,$D535)+SUMIFS($I$4:$I535,$D$4:$D535,$D535)-SUMIFS($J$4:$J535,$D$4:$D535,$D535)-SUMIFS($K$4:$K535,$D$4:$D535,$D535))</f>
        <v/>
      </c>
      <c r="M535" s="80"/>
      <c r="N535" s="80"/>
      <c r="O535" s="94"/>
      <c r="P535" s="26" t="str">
        <f t="shared" si="26"/>
        <v/>
      </c>
      <c r="Q535" s="80"/>
      <c r="R535" s="80"/>
      <c r="S535" s="80"/>
      <c r="T535" s="82"/>
      <c r="U535" s="80"/>
      <c r="V535" s="80"/>
      <c r="W535" s="80"/>
    </row>
    <row r="536" ht="18" customHeight="1" spans="1:23">
      <c r="A536" s="87" t="str">
        <f t="shared" si="24"/>
        <v/>
      </c>
      <c r="B536" s="78"/>
      <c r="C536" s="80"/>
      <c r="D536" s="79"/>
      <c r="E536" s="80"/>
      <c r="F536" s="79"/>
      <c r="G536" s="25" t="str">
        <f t="shared" si="25"/>
        <v/>
      </c>
      <c r="H536" s="88"/>
      <c r="I536" s="93"/>
      <c r="J536" s="97"/>
      <c r="K536" s="88"/>
      <c r="L536" s="25" t="str">
        <f>IF($D536="","",SUMIFS($H$4:$H536,$D$4:$D536,$D536)+SUMIFS($I$4:$I536,$D$4:$D536,$D536)-SUMIFS($J$4:$J536,$D$4:$D536,$D536)-SUMIFS($K$4:$K536,$D$4:$D536,$D536))</f>
        <v/>
      </c>
      <c r="M536" s="80"/>
      <c r="N536" s="80"/>
      <c r="O536" s="94"/>
      <c r="P536" s="26" t="str">
        <f t="shared" si="26"/>
        <v/>
      </c>
      <c r="Q536" s="80"/>
      <c r="R536" s="80"/>
      <c r="S536" s="80"/>
      <c r="T536" s="82"/>
      <c r="U536" s="80"/>
      <c r="V536" s="80"/>
      <c r="W536" s="80"/>
    </row>
    <row r="537" ht="18" customHeight="1" spans="1:23">
      <c r="A537" s="87" t="str">
        <f t="shared" si="24"/>
        <v/>
      </c>
      <c r="B537" s="78"/>
      <c r="C537" s="80"/>
      <c r="D537" s="79"/>
      <c r="E537" s="80"/>
      <c r="F537" s="79"/>
      <c r="G537" s="25" t="str">
        <f t="shared" si="25"/>
        <v/>
      </c>
      <c r="H537" s="88"/>
      <c r="I537" s="93"/>
      <c r="J537" s="97"/>
      <c r="K537" s="88"/>
      <c r="L537" s="25" t="str">
        <f>IF($D537="","",SUMIFS($H$4:$H537,$D$4:$D537,$D537)+SUMIFS($I$4:$I537,$D$4:$D537,$D537)-SUMIFS($J$4:$J537,$D$4:$D537,$D537)-SUMIFS($K$4:$K537,$D$4:$D537,$D537))</f>
        <v/>
      </c>
      <c r="M537" s="80"/>
      <c r="N537" s="80"/>
      <c r="O537" s="94"/>
      <c r="P537" s="26" t="str">
        <f t="shared" si="26"/>
        <v/>
      </c>
      <c r="Q537" s="80"/>
      <c r="R537" s="80"/>
      <c r="S537" s="80"/>
      <c r="T537" s="82"/>
      <c r="U537" s="80"/>
      <c r="V537" s="80"/>
      <c r="W537" s="80"/>
    </row>
    <row r="538" ht="18" customHeight="1" spans="1:23">
      <c r="A538" s="87" t="str">
        <f t="shared" si="24"/>
        <v/>
      </c>
      <c r="B538" s="78"/>
      <c r="C538" s="80"/>
      <c r="D538" s="79"/>
      <c r="E538" s="80"/>
      <c r="F538" s="79"/>
      <c r="G538" s="25" t="str">
        <f t="shared" si="25"/>
        <v/>
      </c>
      <c r="H538" s="88"/>
      <c r="I538" s="93"/>
      <c r="J538" s="97"/>
      <c r="K538" s="88"/>
      <c r="L538" s="25" t="str">
        <f>IF($D538="","",SUMIFS($H$4:$H538,$D$4:$D538,$D538)+SUMIFS($I$4:$I538,$D$4:$D538,$D538)-SUMIFS($J$4:$J538,$D$4:$D538,$D538)-SUMIFS($K$4:$K538,$D$4:$D538,$D538))</f>
        <v/>
      </c>
      <c r="M538" s="80"/>
      <c r="N538" s="80"/>
      <c r="O538" s="94"/>
      <c r="P538" s="26" t="str">
        <f t="shared" si="26"/>
        <v/>
      </c>
      <c r="Q538" s="80"/>
      <c r="R538" s="80"/>
      <c r="S538" s="80"/>
      <c r="T538" s="82"/>
      <c r="U538" s="80"/>
      <c r="V538" s="80"/>
      <c r="W538" s="80"/>
    </row>
    <row r="539" ht="18" customHeight="1" spans="1:23">
      <c r="A539" s="87" t="str">
        <f t="shared" si="24"/>
        <v/>
      </c>
      <c r="B539" s="78"/>
      <c r="C539" s="80"/>
      <c r="D539" s="79"/>
      <c r="E539" s="80"/>
      <c r="F539" s="79"/>
      <c r="G539" s="25" t="str">
        <f t="shared" si="25"/>
        <v/>
      </c>
      <c r="H539" s="88"/>
      <c r="I539" s="93"/>
      <c r="J539" s="97"/>
      <c r="K539" s="88"/>
      <c r="L539" s="25" t="str">
        <f>IF($D539="","",SUMIFS($H$4:$H539,$D$4:$D539,$D539)+SUMIFS($I$4:$I539,$D$4:$D539,$D539)-SUMIFS($J$4:$J539,$D$4:$D539,$D539)-SUMIFS($K$4:$K539,$D$4:$D539,$D539))</f>
        <v/>
      </c>
      <c r="M539" s="80"/>
      <c r="N539" s="80"/>
      <c r="O539" s="94"/>
      <c r="P539" s="26" t="str">
        <f t="shared" si="26"/>
        <v/>
      </c>
      <c r="Q539" s="80"/>
      <c r="R539" s="80"/>
      <c r="S539" s="80"/>
      <c r="T539" s="82"/>
      <c r="U539" s="80"/>
      <c r="V539" s="80"/>
      <c r="W539" s="80"/>
    </row>
    <row r="540" ht="18" customHeight="1" spans="1:23">
      <c r="A540" s="87" t="str">
        <f t="shared" si="24"/>
        <v/>
      </c>
      <c r="B540" s="78"/>
      <c r="C540" s="80"/>
      <c r="D540" s="79"/>
      <c r="E540" s="80"/>
      <c r="F540" s="79"/>
      <c r="G540" s="25" t="str">
        <f t="shared" si="25"/>
        <v/>
      </c>
      <c r="H540" s="88"/>
      <c r="I540" s="93"/>
      <c r="J540" s="97"/>
      <c r="K540" s="88"/>
      <c r="L540" s="25" t="str">
        <f>IF($D540="","",SUMIFS($H$4:$H540,$D$4:$D540,$D540)+SUMIFS($I$4:$I540,$D$4:$D540,$D540)-SUMIFS($J$4:$J540,$D$4:$D540,$D540)-SUMIFS($K$4:$K540,$D$4:$D540,$D540))</f>
        <v/>
      </c>
      <c r="M540" s="80"/>
      <c r="N540" s="80"/>
      <c r="O540" s="94"/>
      <c r="P540" s="26" t="str">
        <f t="shared" si="26"/>
        <v/>
      </c>
      <c r="Q540" s="80"/>
      <c r="R540" s="80"/>
      <c r="S540" s="80"/>
      <c r="T540" s="82"/>
      <c r="U540" s="80"/>
      <c r="V540" s="80"/>
      <c r="W540" s="80"/>
    </row>
    <row r="541" ht="18" customHeight="1" spans="1:23">
      <c r="A541" s="87" t="str">
        <f t="shared" si="24"/>
        <v/>
      </c>
      <c r="B541" s="78"/>
      <c r="C541" s="80"/>
      <c r="D541" s="79"/>
      <c r="E541" s="80"/>
      <c r="F541" s="79"/>
      <c r="G541" s="25" t="str">
        <f t="shared" si="25"/>
        <v/>
      </c>
      <c r="H541" s="88"/>
      <c r="I541" s="93"/>
      <c r="J541" s="97"/>
      <c r="K541" s="88"/>
      <c r="L541" s="25" t="str">
        <f>IF($D541="","",SUMIFS($H$4:$H541,$D$4:$D541,$D541)+SUMIFS($I$4:$I541,$D$4:$D541,$D541)-SUMIFS($J$4:$J541,$D$4:$D541,$D541)-SUMIFS($K$4:$K541,$D$4:$D541,$D541))</f>
        <v/>
      </c>
      <c r="M541" s="80"/>
      <c r="N541" s="80"/>
      <c r="O541" s="94"/>
      <c r="P541" s="26" t="str">
        <f t="shared" si="26"/>
        <v/>
      </c>
      <c r="Q541" s="80"/>
      <c r="R541" s="80"/>
      <c r="S541" s="80"/>
      <c r="T541" s="82"/>
      <c r="U541" s="80"/>
      <c r="V541" s="80"/>
      <c r="W541" s="80"/>
    </row>
    <row r="542" ht="18" customHeight="1" spans="1:23">
      <c r="A542" s="87" t="str">
        <f t="shared" si="24"/>
        <v/>
      </c>
      <c r="B542" s="78"/>
      <c r="C542" s="80"/>
      <c r="D542" s="79"/>
      <c r="E542" s="80"/>
      <c r="F542" s="79"/>
      <c r="G542" s="25" t="str">
        <f t="shared" si="25"/>
        <v/>
      </c>
      <c r="H542" s="88"/>
      <c r="I542" s="93"/>
      <c r="J542" s="97"/>
      <c r="K542" s="88"/>
      <c r="L542" s="25" t="str">
        <f>IF($D542="","",SUMIFS($H$4:$H542,$D$4:$D542,$D542)+SUMIFS($I$4:$I542,$D$4:$D542,$D542)-SUMIFS($J$4:$J542,$D$4:$D542,$D542)-SUMIFS($K$4:$K542,$D$4:$D542,$D542))</f>
        <v/>
      </c>
      <c r="M542" s="80"/>
      <c r="N542" s="80"/>
      <c r="O542" s="94"/>
      <c r="P542" s="26" t="str">
        <f t="shared" si="26"/>
        <v/>
      </c>
      <c r="Q542" s="80"/>
      <c r="R542" s="80"/>
      <c r="S542" s="80"/>
      <c r="T542" s="82"/>
      <c r="U542" s="80"/>
      <c r="V542" s="80"/>
      <c r="W542" s="80"/>
    </row>
    <row r="543" ht="18" customHeight="1" spans="1:23">
      <c r="A543" s="87" t="str">
        <f t="shared" si="24"/>
        <v/>
      </c>
      <c r="B543" s="78"/>
      <c r="C543" s="80"/>
      <c r="D543" s="79"/>
      <c r="E543" s="80"/>
      <c r="F543" s="79"/>
      <c r="G543" s="25" t="str">
        <f t="shared" si="25"/>
        <v/>
      </c>
      <c r="H543" s="88"/>
      <c r="I543" s="93"/>
      <c r="J543" s="97"/>
      <c r="K543" s="88"/>
      <c r="L543" s="25" t="str">
        <f>IF($D543="","",SUMIFS($H$4:$H543,$D$4:$D543,$D543)+SUMIFS($I$4:$I543,$D$4:$D543,$D543)-SUMIFS($J$4:$J543,$D$4:$D543,$D543)-SUMIFS($K$4:$K543,$D$4:$D543,$D543))</f>
        <v/>
      </c>
      <c r="M543" s="80"/>
      <c r="N543" s="80"/>
      <c r="O543" s="94"/>
      <c r="P543" s="26" t="str">
        <f t="shared" si="26"/>
        <v/>
      </c>
      <c r="Q543" s="80"/>
      <c r="R543" s="80"/>
      <c r="S543" s="80"/>
      <c r="T543" s="82"/>
      <c r="U543" s="80"/>
      <c r="V543" s="80"/>
      <c r="W543" s="80"/>
    </row>
    <row r="544" ht="18" customHeight="1" spans="1:23">
      <c r="A544" s="87" t="str">
        <f t="shared" si="24"/>
        <v/>
      </c>
      <c r="B544" s="78"/>
      <c r="C544" s="80"/>
      <c r="D544" s="79"/>
      <c r="E544" s="80"/>
      <c r="F544" s="79"/>
      <c r="G544" s="25" t="str">
        <f t="shared" si="25"/>
        <v/>
      </c>
      <c r="H544" s="88"/>
      <c r="I544" s="93"/>
      <c r="J544" s="97"/>
      <c r="K544" s="88"/>
      <c r="L544" s="25" t="str">
        <f>IF($D544="","",SUMIFS($H$4:$H544,$D$4:$D544,$D544)+SUMIFS($I$4:$I544,$D$4:$D544,$D544)-SUMIFS($J$4:$J544,$D$4:$D544,$D544)-SUMIFS($K$4:$K544,$D$4:$D544,$D544))</f>
        <v/>
      </c>
      <c r="M544" s="80"/>
      <c r="N544" s="80"/>
      <c r="O544" s="94"/>
      <c r="P544" s="26" t="str">
        <f t="shared" si="26"/>
        <v/>
      </c>
      <c r="Q544" s="80"/>
      <c r="R544" s="80"/>
      <c r="S544" s="80"/>
      <c r="T544" s="82"/>
      <c r="U544" s="80"/>
      <c r="V544" s="80"/>
      <c r="W544" s="80"/>
    </row>
    <row r="545" ht="18" customHeight="1" spans="1:23">
      <c r="A545" s="87" t="str">
        <f t="shared" si="24"/>
        <v/>
      </c>
      <c r="B545" s="78"/>
      <c r="C545" s="80"/>
      <c r="D545" s="79"/>
      <c r="E545" s="80"/>
      <c r="F545" s="79"/>
      <c r="G545" s="25" t="str">
        <f t="shared" si="25"/>
        <v/>
      </c>
      <c r="H545" s="88"/>
      <c r="I545" s="93"/>
      <c r="J545" s="97"/>
      <c r="K545" s="88"/>
      <c r="L545" s="25" t="str">
        <f>IF($D545="","",SUMIFS($H$4:$H545,$D$4:$D545,$D545)+SUMIFS($I$4:$I545,$D$4:$D545,$D545)-SUMIFS($J$4:$J545,$D$4:$D545,$D545)-SUMIFS($K$4:$K545,$D$4:$D545,$D545))</f>
        <v/>
      </c>
      <c r="M545" s="80"/>
      <c r="N545" s="80"/>
      <c r="O545" s="94"/>
      <c r="P545" s="26" t="str">
        <f t="shared" si="26"/>
        <v/>
      </c>
      <c r="Q545" s="80"/>
      <c r="R545" s="80"/>
      <c r="S545" s="80"/>
      <c r="T545" s="82"/>
      <c r="U545" s="80"/>
      <c r="V545" s="80"/>
      <c r="W545" s="80"/>
    </row>
    <row r="546" ht="18" customHeight="1" spans="1:23">
      <c r="A546" s="87" t="str">
        <f t="shared" si="24"/>
        <v/>
      </c>
      <c r="B546" s="78"/>
      <c r="C546" s="80"/>
      <c r="D546" s="79"/>
      <c r="E546" s="80"/>
      <c r="F546" s="79"/>
      <c r="G546" s="25" t="str">
        <f t="shared" si="25"/>
        <v/>
      </c>
      <c r="H546" s="88"/>
      <c r="I546" s="93"/>
      <c r="J546" s="97"/>
      <c r="K546" s="88"/>
      <c r="L546" s="25" t="str">
        <f>IF($D546="","",SUMIFS($H$4:$H546,$D$4:$D546,$D546)+SUMIFS($I$4:$I546,$D$4:$D546,$D546)-SUMIFS($J$4:$J546,$D$4:$D546,$D546)-SUMIFS($K$4:$K546,$D$4:$D546,$D546))</f>
        <v/>
      </c>
      <c r="M546" s="80"/>
      <c r="N546" s="80"/>
      <c r="O546" s="94"/>
      <c r="P546" s="26" t="str">
        <f t="shared" si="26"/>
        <v/>
      </c>
      <c r="Q546" s="80"/>
      <c r="R546" s="80"/>
      <c r="S546" s="80"/>
      <c r="T546" s="82"/>
      <c r="U546" s="80"/>
      <c r="V546" s="80"/>
      <c r="W546" s="80"/>
    </row>
    <row r="547" ht="18" customHeight="1" spans="1:23">
      <c r="A547" s="87" t="str">
        <f t="shared" si="24"/>
        <v/>
      </c>
      <c r="B547" s="78"/>
      <c r="C547" s="80"/>
      <c r="D547" s="79"/>
      <c r="E547" s="80"/>
      <c r="F547" s="79"/>
      <c r="G547" s="25" t="str">
        <f t="shared" si="25"/>
        <v/>
      </c>
      <c r="H547" s="88"/>
      <c r="I547" s="93"/>
      <c r="J547" s="97"/>
      <c r="K547" s="88"/>
      <c r="L547" s="25" t="str">
        <f>IF($D547="","",SUMIFS($H$4:$H547,$D$4:$D547,$D547)+SUMIFS($I$4:$I547,$D$4:$D547,$D547)-SUMIFS($J$4:$J547,$D$4:$D547,$D547)-SUMIFS($K$4:$K547,$D$4:$D547,$D547))</f>
        <v/>
      </c>
      <c r="M547" s="80"/>
      <c r="N547" s="80"/>
      <c r="O547" s="94"/>
      <c r="P547" s="26" t="str">
        <f t="shared" si="26"/>
        <v/>
      </c>
      <c r="Q547" s="80"/>
      <c r="R547" s="80"/>
      <c r="S547" s="80"/>
      <c r="T547" s="82"/>
      <c r="U547" s="80"/>
      <c r="V547" s="80"/>
      <c r="W547" s="80"/>
    </row>
    <row r="548" ht="18" customHeight="1" spans="1:23">
      <c r="A548" s="87" t="str">
        <f t="shared" si="24"/>
        <v/>
      </c>
      <c r="B548" s="78"/>
      <c r="C548" s="80"/>
      <c r="D548" s="79"/>
      <c r="E548" s="80"/>
      <c r="F548" s="79"/>
      <c r="G548" s="25" t="str">
        <f t="shared" si="25"/>
        <v/>
      </c>
      <c r="H548" s="88"/>
      <c r="I548" s="93"/>
      <c r="J548" s="97"/>
      <c r="K548" s="88"/>
      <c r="L548" s="25" t="str">
        <f>IF($D548="","",SUMIFS($H$4:$H548,$D$4:$D548,$D548)+SUMIFS($I$4:$I548,$D$4:$D548,$D548)-SUMIFS($J$4:$J548,$D$4:$D548,$D548)-SUMIFS($K$4:$K548,$D$4:$D548,$D548))</f>
        <v/>
      </c>
      <c r="M548" s="80"/>
      <c r="N548" s="80"/>
      <c r="O548" s="94"/>
      <c r="P548" s="26" t="str">
        <f t="shared" si="26"/>
        <v/>
      </c>
      <c r="Q548" s="80"/>
      <c r="R548" s="80"/>
      <c r="S548" s="80"/>
      <c r="T548" s="82"/>
      <c r="U548" s="80"/>
      <c r="V548" s="80"/>
      <c r="W548" s="80"/>
    </row>
    <row r="549" ht="18" customHeight="1" spans="1:23">
      <c r="A549" s="87" t="str">
        <f t="shared" si="24"/>
        <v/>
      </c>
      <c r="B549" s="78"/>
      <c r="C549" s="80"/>
      <c r="D549" s="79"/>
      <c r="E549" s="80"/>
      <c r="F549" s="79"/>
      <c r="G549" s="25" t="str">
        <f t="shared" si="25"/>
        <v/>
      </c>
      <c r="H549" s="88"/>
      <c r="I549" s="93"/>
      <c r="J549" s="97"/>
      <c r="K549" s="88"/>
      <c r="L549" s="25" t="str">
        <f>IF($D549="","",SUMIFS($H$4:$H549,$D$4:$D549,$D549)+SUMIFS($I$4:$I549,$D$4:$D549,$D549)-SUMIFS($J$4:$J549,$D$4:$D549,$D549)-SUMIFS($K$4:$K549,$D$4:$D549,$D549))</f>
        <v/>
      </c>
      <c r="M549" s="80"/>
      <c r="N549" s="80"/>
      <c r="O549" s="94"/>
      <c r="P549" s="26" t="str">
        <f t="shared" si="26"/>
        <v/>
      </c>
      <c r="Q549" s="80"/>
      <c r="R549" s="80"/>
      <c r="S549" s="80"/>
      <c r="T549" s="82"/>
      <c r="U549" s="80"/>
      <c r="V549" s="80"/>
      <c r="W549" s="80"/>
    </row>
    <row r="550" ht="18" customHeight="1" spans="1:23">
      <c r="A550" s="87" t="str">
        <f t="shared" si="24"/>
        <v/>
      </c>
      <c r="B550" s="78"/>
      <c r="C550" s="80"/>
      <c r="D550" s="79"/>
      <c r="E550" s="80"/>
      <c r="F550" s="79"/>
      <c r="G550" s="25" t="str">
        <f t="shared" si="25"/>
        <v/>
      </c>
      <c r="H550" s="88"/>
      <c r="I550" s="93"/>
      <c r="J550" s="97"/>
      <c r="K550" s="88"/>
      <c r="L550" s="25" t="str">
        <f>IF($D550="","",SUMIFS($H$4:$H550,$D$4:$D550,$D550)+SUMIFS($I$4:$I550,$D$4:$D550,$D550)-SUMIFS($J$4:$J550,$D$4:$D550,$D550)-SUMIFS($K$4:$K550,$D$4:$D550,$D550))</f>
        <v/>
      </c>
      <c r="M550" s="80"/>
      <c r="N550" s="80"/>
      <c r="O550" s="94"/>
      <c r="P550" s="26" t="str">
        <f t="shared" si="26"/>
        <v/>
      </c>
      <c r="Q550" s="80"/>
      <c r="R550" s="80"/>
      <c r="S550" s="80"/>
      <c r="T550" s="82"/>
      <c r="U550" s="80"/>
      <c r="V550" s="80"/>
      <c r="W550" s="80"/>
    </row>
    <row r="551" ht="18" customHeight="1" spans="1:23">
      <c r="A551" s="87" t="str">
        <f t="shared" si="24"/>
        <v/>
      </c>
      <c r="B551" s="78"/>
      <c r="C551" s="80"/>
      <c r="D551" s="79"/>
      <c r="E551" s="80"/>
      <c r="F551" s="79"/>
      <c r="G551" s="25" t="str">
        <f t="shared" si="25"/>
        <v/>
      </c>
      <c r="H551" s="88"/>
      <c r="I551" s="93"/>
      <c r="J551" s="97"/>
      <c r="K551" s="88"/>
      <c r="L551" s="25" t="str">
        <f>IF($D551="","",SUMIFS($H$4:$H551,$D$4:$D551,$D551)+SUMIFS($I$4:$I551,$D$4:$D551,$D551)-SUMIFS($J$4:$J551,$D$4:$D551,$D551)-SUMIFS($K$4:$K551,$D$4:$D551,$D551))</f>
        <v/>
      </c>
      <c r="M551" s="80"/>
      <c r="N551" s="80"/>
      <c r="O551" s="94"/>
      <c r="P551" s="26" t="str">
        <f t="shared" si="26"/>
        <v/>
      </c>
      <c r="Q551" s="80"/>
      <c r="R551" s="80"/>
      <c r="S551" s="80"/>
      <c r="T551" s="82"/>
      <c r="U551" s="80"/>
      <c r="V551" s="80"/>
      <c r="W551" s="80"/>
    </row>
    <row r="552" ht="18" customHeight="1" spans="1:23">
      <c r="A552" s="87" t="str">
        <f t="shared" si="24"/>
        <v/>
      </c>
      <c r="B552" s="78"/>
      <c r="C552" s="80"/>
      <c r="D552" s="79"/>
      <c r="E552" s="80"/>
      <c r="F552" s="79"/>
      <c r="G552" s="25" t="str">
        <f t="shared" si="25"/>
        <v/>
      </c>
      <c r="H552" s="88"/>
      <c r="I552" s="93"/>
      <c r="J552" s="97"/>
      <c r="K552" s="88"/>
      <c r="L552" s="25" t="str">
        <f>IF($D552="","",SUMIFS($H$4:$H552,$D$4:$D552,$D552)+SUMIFS($I$4:$I552,$D$4:$D552,$D552)-SUMIFS($J$4:$J552,$D$4:$D552,$D552)-SUMIFS($K$4:$K552,$D$4:$D552,$D552))</f>
        <v/>
      </c>
      <c r="M552" s="80"/>
      <c r="N552" s="80"/>
      <c r="O552" s="94"/>
      <c r="P552" s="26" t="str">
        <f t="shared" si="26"/>
        <v/>
      </c>
      <c r="Q552" s="80"/>
      <c r="R552" s="80"/>
      <c r="S552" s="80"/>
      <c r="T552" s="82"/>
      <c r="U552" s="80"/>
      <c r="V552" s="80"/>
      <c r="W552" s="80"/>
    </row>
    <row r="553" ht="18" customHeight="1" spans="1:23">
      <c r="A553" s="87" t="str">
        <f t="shared" si="24"/>
        <v/>
      </c>
      <c r="B553" s="78"/>
      <c r="C553" s="80"/>
      <c r="D553" s="79"/>
      <c r="E553" s="80"/>
      <c r="F553" s="79"/>
      <c r="G553" s="25" t="str">
        <f t="shared" si="25"/>
        <v/>
      </c>
      <c r="H553" s="88"/>
      <c r="I553" s="93"/>
      <c r="J553" s="97"/>
      <c r="K553" s="88"/>
      <c r="L553" s="25" t="str">
        <f>IF($D553="","",SUMIFS($H$4:$H553,$D$4:$D553,$D553)+SUMIFS($I$4:$I553,$D$4:$D553,$D553)-SUMIFS($J$4:$J553,$D$4:$D553,$D553)-SUMIFS($K$4:$K553,$D$4:$D553,$D553))</f>
        <v/>
      </c>
      <c r="M553" s="80"/>
      <c r="N553" s="80"/>
      <c r="O553" s="94"/>
      <c r="P553" s="26" t="str">
        <f t="shared" si="26"/>
        <v/>
      </c>
      <c r="Q553" s="80"/>
      <c r="R553" s="80"/>
      <c r="S553" s="80"/>
      <c r="T553" s="82"/>
      <c r="U553" s="80"/>
      <c r="V553" s="80"/>
      <c r="W553" s="80"/>
    </row>
    <row r="554" ht="18" customHeight="1" spans="1:23">
      <c r="A554" s="87" t="str">
        <f t="shared" si="24"/>
        <v/>
      </c>
      <c r="B554" s="78"/>
      <c r="C554" s="80"/>
      <c r="D554" s="79"/>
      <c r="E554" s="80"/>
      <c r="F554" s="79"/>
      <c r="G554" s="25" t="str">
        <f t="shared" si="25"/>
        <v/>
      </c>
      <c r="H554" s="88"/>
      <c r="I554" s="93"/>
      <c r="J554" s="97"/>
      <c r="K554" s="88"/>
      <c r="L554" s="25" t="str">
        <f>IF($D554="","",SUMIFS($H$4:$H554,$D$4:$D554,$D554)+SUMIFS($I$4:$I554,$D$4:$D554,$D554)-SUMIFS($J$4:$J554,$D$4:$D554,$D554)-SUMIFS($K$4:$K554,$D$4:$D554,$D554))</f>
        <v/>
      </c>
      <c r="M554" s="80"/>
      <c r="N554" s="80"/>
      <c r="O554" s="94"/>
      <c r="P554" s="26" t="str">
        <f t="shared" si="26"/>
        <v/>
      </c>
      <c r="Q554" s="80"/>
      <c r="R554" s="80"/>
      <c r="S554" s="80"/>
      <c r="T554" s="82"/>
      <c r="U554" s="80"/>
      <c r="V554" s="80"/>
      <c r="W554" s="80"/>
    </row>
    <row r="555" ht="18" customHeight="1" spans="1:23">
      <c r="A555" s="87" t="str">
        <f t="shared" si="24"/>
        <v/>
      </c>
      <c r="B555" s="78"/>
      <c r="C555" s="80"/>
      <c r="D555" s="79"/>
      <c r="E555" s="80"/>
      <c r="F555" s="79"/>
      <c r="G555" s="25" t="str">
        <f t="shared" si="25"/>
        <v/>
      </c>
      <c r="H555" s="88"/>
      <c r="I555" s="93"/>
      <c r="J555" s="97"/>
      <c r="K555" s="88"/>
      <c r="L555" s="25" t="str">
        <f>IF($D555="","",SUMIFS($H$4:$H555,$D$4:$D555,$D555)+SUMIFS($I$4:$I555,$D$4:$D555,$D555)-SUMIFS($J$4:$J555,$D$4:$D555,$D555)-SUMIFS($K$4:$K555,$D$4:$D555,$D555))</f>
        <v/>
      </c>
      <c r="M555" s="80"/>
      <c r="N555" s="80"/>
      <c r="O555" s="94"/>
      <c r="P555" s="26" t="str">
        <f t="shared" si="26"/>
        <v/>
      </c>
      <c r="Q555" s="80"/>
      <c r="R555" s="80"/>
      <c r="S555" s="80"/>
      <c r="T555" s="82"/>
      <c r="U555" s="80"/>
      <c r="V555" s="80"/>
      <c r="W555" s="80"/>
    </row>
    <row r="556" ht="18" customHeight="1" spans="1:23">
      <c r="A556" s="87" t="str">
        <f t="shared" si="24"/>
        <v/>
      </c>
      <c r="B556" s="78"/>
      <c r="C556" s="80"/>
      <c r="D556" s="79"/>
      <c r="E556" s="80"/>
      <c r="F556" s="79"/>
      <c r="G556" s="25" t="str">
        <f t="shared" si="25"/>
        <v/>
      </c>
      <c r="H556" s="88"/>
      <c r="I556" s="93"/>
      <c r="J556" s="97"/>
      <c r="K556" s="88"/>
      <c r="L556" s="25" t="str">
        <f>IF($D556="","",SUMIFS($H$4:$H556,$D$4:$D556,$D556)+SUMIFS($I$4:$I556,$D$4:$D556,$D556)-SUMIFS($J$4:$J556,$D$4:$D556,$D556)-SUMIFS($K$4:$K556,$D$4:$D556,$D556))</f>
        <v/>
      </c>
      <c r="M556" s="80"/>
      <c r="N556" s="80"/>
      <c r="O556" s="94"/>
      <c r="P556" s="26" t="str">
        <f t="shared" si="26"/>
        <v/>
      </c>
      <c r="Q556" s="80"/>
      <c r="R556" s="80"/>
      <c r="S556" s="80"/>
      <c r="T556" s="82"/>
      <c r="U556" s="80"/>
      <c r="V556" s="80"/>
      <c r="W556" s="80"/>
    </row>
    <row r="557" ht="18" customHeight="1" spans="1:23">
      <c r="A557" s="87" t="str">
        <f t="shared" si="24"/>
        <v/>
      </c>
      <c r="B557" s="78"/>
      <c r="C557" s="80"/>
      <c r="D557" s="79"/>
      <c r="E557" s="80"/>
      <c r="F557" s="79"/>
      <c r="G557" s="25" t="str">
        <f t="shared" si="25"/>
        <v/>
      </c>
      <c r="H557" s="88"/>
      <c r="I557" s="93"/>
      <c r="J557" s="97"/>
      <c r="K557" s="88"/>
      <c r="L557" s="25" t="str">
        <f>IF($D557="","",SUMIFS($H$4:$H557,$D$4:$D557,$D557)+SUMIFS($I$4:$I557,$D$4:$D557,$D557)-SUMIFS($J$4:$J557,$D$4:$D557,$D557)-SUMIFS($K$4:$K557,$D$4:$D557,$D557))</f>
        <v/>
      </c>
      <c r="M557" s="80"/>
      <c r="N557" s="80"/>
      <c r="O557" s="94"/>
      <c r="P557" s="26" t="str">
        <f t="shared" si="26"/>
        <v/>
      </c>
      <c r="Q557" s="80"/>
      <c r="R557" s="80"/>
      <c r="S557" s="80"/>
      <c r="T557" s="82"/>
      <c r="U557" s="80"/>
      <c r="V557" s="80"/>
      <c r="W557" s="80"/>
    </row>
    <row r="558" ht="18" customHeight="1" spans="1:23">
      <c r="A558" s="87" t="str">
        <f t="shared" si="24"/>
        <v/>
      </c>
      <c r="B558" s="78"/>
      <c r="C558" s="80"/>
      <c r="D558" s="79"/>
      <c r="E558" s="80"/>
      <c r="F558" s="79"/>
      <c r="G558" s="25" t="str">
        <f t="shared" si="25"/>
        <v/>
      </c>
      <c r="H558" s="88"/>
      <c r="I558" s="93"/>
      <c r="J558" s="97"/>
      <c r="K558" s="88"/>
      <c r="L558" s="25" t="str">
        <f>IF($D558="","",SUMIFS($H$4:$H558,$D$4:$D558,$D558)+SUMIFS($I$4:$I558,$D$4:$D558,$D558)-SUMIFS($J$4:$J558,$D$4:$D558,$D558)-SUMIFS($K$4:$K558,$D$4:$D558,$D558))</f>
        <v/>
      </c>
      <c r="M558" s="80"/>
      <c r="N558" s="80"/>
      <c r="O558" s="94"/>
      <c r="P558" s="26" t="str">
        <f t="shared" si="26"/>
        <v/>
      </c>
      <c r="Q558" s="80"/>
      <c r="R558" s="80"/>
      <c r="S558" s="80"/>
      <c r="T558" s="82"/>
      <c r="U558" s="80"/>
      <c r="V558" s="80"/>
      <c r="W558" s="80"/>
    </row>
    <row r="559" ht="18" customHeight="1" spans="1:23">
      <c r="A559" s="87" t="str">
        <f t="shared" si="24"/>
        <v/>
      </c>
      <c r="B559" s="78"/>
      <c r="C559" s="80"/>
      <c r="D559" s="79"/>
      <c r="E559" s="80"/>
      <c r="F559" s="79"/>
      <c r="G559" s="25" t="str">
        <f t="shared" si="25"/>
        <v/>
      </c>
      <c r="H559" s="88"/>
      <c r="I559" s="93"/>
      <c r="J559" s="97"/>
      <c r="K559" s="88"/>
      <c r="L559" s="25" t="str">
        <f>IF($D559="","",SUMIFS($H$4:$H559,$D$4:$D559,$D559)+SUMIFS($I$4:$I559,$D$4:$D559,$D559)-SUMIFS($J$4:$J559,$D$4:$D559,$D559)-SUMIFS($K$4:$K559,$D$4:$D559,$D559))</f>
        <v/>
      </c>
      <c r="M559" s="80"/>
      <c r="N559" s="80"/>
      <c r="O559" s="94"/>
      <c r="P559" s="26" t="str">
        <f t="shared" si="26"/>
        <v/>
      </c>
      <c r="Q559" s="80"/>
      <c r="R559" s="80"/>
      <c r="S559" s="80"/>
      <c r="T559" s="82"/>
      <c r="U559" s="80"/>
      <c r="V559" s="80"/>
      <c r="W559" s="80"/>
    </row>
    <row r="560" ht="18" customHeight="1" spans="1:23">
      <c r="A560" s="87" t="str">
        <f t="shared" si="24"/>
        <v/>
      </c>
      <c r="B560" s="78"/>
      <c r="C560" s="80"/>
      <c r="D560" s="79"/>
      <c r="E560" s="80"/>
      <c r="F560" s="79"/>
      <c r="G560" s="25" t="str">
        <f t="shared" si="25"/>
        <v/>
      </c>
      <c r="H560" s="88"/>
      <c r="I560" s="93"/>
      <c r="J560" s="97"/>
      <c r="K560" s="88"/>
      <c r="L560" s="25" t="str">
        <f>IF($D560="","",SUMIFS($H$4:$H560,$D$4:$D560,$D560)+SUMIFS($I$4:$I560,$D$4:$D560,$D560)-SUMIFS($J$4:$J560,$D$4:$D560,$D560)-SUMIFS($K$4:$K560,$D$4:$D560,$D560))</f>
        <v/>
      </c>
      <c r="M560" s="80"/>
      <c r="N560" s="80"/>
      <c r="O560" s="94"/>
      <c r="P560" s="26" t="str">
        <f t="shared" si="26"/>
        <v/>
      </c>
      <c r="Q560" s="80"/>
      <c r="R560" s="80"/>
      <c r="S560" s="80"/>
      <c r="T560" s="82"/>
      <c r="U560" s="80"/>
      <c r="V560" s="80"/>
      <c r="W560" s="80"/>
    </row>
    <row r="561" ht="18" customHeight="1" spans="1:23">
      <c r="A561" s="87" t="str">
        <f t="shared" si="24"/>
        <v/>
      </c>
      <c r="B561" s="78"/>
      <c r="C561" s="80"/>
      <c r="D561" s="79"/>
      <c r="E561" s="80"/>
      <c r="F561" s="79"/>
      <c r="G561" s="25" t="str">
        <f t="shared" si="25"/>
        <v/>
      </c>
      <c r="H561" s="88"/>
      <c r="I561" s="93"/>
      <c r="J561" s="97"/>
      <c r="K561" s="88"/>
      <c r="L561" s="25" t="str">
        <f>IF($D561="","",SUMIFS($H$4:$H561,$D$4:$D561,$D561)+SUMIFS($I$4:$I561,$D$4:$D561,$D561)-SUMIFS($J$4:$J561,$D$4:$D561,$D561)-SUMIFS($K$4:$K561,$D$4:$D561,$D561))</f>
        <v/>
      </c>
      <c r="M561" s="80"/>
      <c r="N561" s="80"/>
      <c r="O561" s="94"/>
      <c r="P561" s="26" t="str">
        <f t="shared" si="26"/>
        <v/>
      </c>
      <c r="Q561" s="80"/>
      <c r="R561" s="80"/>
      <c r="S561" s="80"/>
      <c r="T561" s="82"/>
      <c r="U561" s="80"/>
      <c r="V561" s="80"/>
      <c r="W561" s="80"/>
    </row>
    <row r="562" ht="18" customHeight="1" spans="1:23">
      <c r="A562" s="87" t="str">
        <f t="shared" si="24"/>
        <v/>
      </c>
      <c r="B562" s="78"/>
      <c r="C562" s="80"/>
      <c r="D562" s="79"/>
      <c r="E562" s="80"/>
      <c r="F562" s="79"/>
      <c r="G562" s="25" t="str">
        <f t="shared" si="25"/>
        <v/>
      </c>
      <c r="H562" s="88"/>
      <c r="I562" s="93"/>
      <c r="J562" s="97"/>
      <c r="K562" s="88"/>
      <c r="L562" s="25" t="str">
        <f>IF($D562="","",SUMIFS($H$4:$H562,$D$4:$D562,$D562)+SUMIFS($I$4:$I562,$D$4:$D562,$D562)-SUMIFS($J$4:$J562,$D$4:$D562,$D562)-SUMIFS($K$4:$K562,$D$4:$D562,$D562))</f>
        <v/>
      </c>
      <c r="M562" s="80"/>
      <c r="N562" s="80"/>
      <c r="O562" s="94"/>
      <c r="P562" s="26" t="str">
        <f t="shared" si="26"/>
        <v/>
      </c>
      <c r="Q562" s="80"/>
      <c r="R562" s="80"/>
      <c r="S562" s="80"/>
      <c r="T562" s="82"/>
      <c r="U562" s="80"/>
      <c r="V562" s="80"/>
      <c r="W562" s="80"/>
    </row>
    <row r="563" ht="18" customHeight="1" spans="1:23">
      <c r="A563" s="87" t="str">
        <f t="shared" si="24"/>
        <v/>
      </c>
      <c r="B563" s="78"/>
      <c r="C563" s="80"/>
      <c r="D563" s="79"/>
      <c r="E563" s="80"/>
      <c r="F563" s="79"/>
      <c r="G563" s="25" t="str">
        <f t="shared" si="25"/>
        <v/>
      </c>
      <c r="H563" s="88"/>
      <c r="I563" s="93"/>
      <c r="J563" s="97"/>
      <c r="K563" s="88"/>
      <c r="L563" s="25" t="str">
        <f>IF($D563="","",SUMIFS($H$4:$H563,$D$4:$D563,$D563)+SUMIFS($I$4:$I563,$D$4:$D563,$D563)-SUMIFS($J$4:$J563,$D$4:$D563,$D563)-SUMIFS($K$4:$K563,$D$4:$D563,$D563))</f>
        <v/>
      </c>
      <c r="M563" s="80"/>
      <c r="N563" s="80"/>
      <c r="O563" s="94"/>
      <c r="P563" s="26" t="str">
        <f t="shared" si="26"/>
        <v/>
      </c>
      <c r="Q563" s="80"/>
      <c r="R563" s="80"/>
      <c r="S563" s="80"/>
      <c r="T563" s="82"/>
      <c r="U563" s="80"/>
      <c r="V563" s="80"/>
      <c r="W563" s="80"/>
    </row>
    <row r="564" ht="18" customHeight="1" spans="1:23">
      <c r="A564" s="87" t="str">
        <f t="shared" si="24"/>
        <v/>
      </c>
      <c r="B564" s="78"/>
      <c r="C564" s="80"/>
      <c r="D564" s="79"/>
      <c r="E564" s="80"/>
      <c r="F564" s="79"/>
      <c r="G564" s="25" t="str">
        <f t="shared" si="25"/>
        <v/>
      </c>
      <c r="H564" s="88"/>
      <c r="I564" s="93"/>
      <c r="J564" s="97"/>
      <c r="K564" s="88"/>
      <c r="L564" s="25" t="str">
        <f>IF($D564="","",SUMIFS($H$4:$H564,$D$4:$D564,$D564)+SUMIFS($I$4:$I564,$D$4:$D564,$D564)-SUMIFS($J$4:$J564,$D$4:$D564,$D564)-SUMIFS($K$4:$K564,$D$4:$D564,$D564))</f>
        <v/>
      </c>
      <c r="M564" s="80"/>
      <c r="N564" s="80"/>
      <c r="O564" s="94"/>
      <c r="P564" s="26" t="str">
        <f t="shared" si="26"/>
        <v/>
      </c>
      <c r="Q564" s="80"/>
      <c r="R564" s="80"/>
      <c r="S564" s="80"/>
      <c r="T564" s="82"/>
      <c r="U564" s="80"/>
      <c r="V564" s="80"/>
      <c r="W564" s="80"/>
    </row>
    <row r="565" ht="18" customHeight="1" spans="1:23">
      <c r="A565" s="87" t="str">
        <f t="shared" si="24"/>
        <v/>
      </c>
      <c r="B565" s="78"/>
      <c r="C565" s="80"/>
      <c r="D565" s="79"/>
      <c r="E565" s="80"/>
      <c r="F565" s="79"/>
      <c r="G565" s="25" t="str">
        <f t="shared" si="25"/>
        <v/>
      </c>
      <c r="H565" s="88"/>
      <c r="I565" s="93"/>
      <c r="J565" s="97"/>
      <c r="K565" s="88"/>
      <c r="L565" s="25" t="str">
        <f>IF($D565="","",SUMIFS($H$4:$H565,$D$4:$D565,$D565)+SUMIFS($I$4:$I565,$D$4:$D565,$D565)-SUMIFS($J$4:$J565,$D$4:$D565,$D565)-SUMIFS($K$4:$K565,$D$4:$D565,$D565))</f>
        <v/>
      </c>
      <c r="M565" s="80"/>
      <c r="N565" s="80"/>
      <c r="O565" s="94"/>
      <c r="P565" s="26" t="str">
        <f t="shared" si="26"/>
        <v/>
      </c>
      <c r="Q565" s="80"/>
      <c r="R565" s="80"/>
      <c r="S565" s="80"/>
      <c r="T565" s="82"/>
      <c r="U565" s="80"/>
      <c r="V565" s="80"/>
      <c r="W565" s="80"/>
    </row>
    <row r="566" ht="18" customHeight="1" spans="1:23">
      <c r="A566" s="87" t="str">
        <f t="shared" si="24"/>
        <v/>
      </c>
      <c r="B566" s="78"/>
      <c r="C566" s="80"/>
      <c r="D566" s="79"/>
      <c r="E566" s="80"/>
      <c r="F566" s="79"/>
      <c r="G566" s="25" t="str">
        <f t="shared" si="25"/>
        <v/>
      </c>
      <c r="H566" s="88"/>
      <c r="I566" s="93"/>
      <c r="J566" s="97"/>
      <c r="K566" s="88"/>
      <c r="L566" s="25" t="str">
        <f>IF($D566="","",SUMIFS($H$4:$H566,$D$4:$D566,$D566)+SUMIFS($I$4:$I566,$D$4:$D566,$D566)-SUMIFS($J$4:$J566,$D$4:$D566,$D566)-SUMIFS($K$4:$K566,$D$4:$D566,$D566))</f>
        <v/>
      </c>
      <c r="M566" s="80"/>
      <c r="N566" s="80"/>
      <c r="O566" s="94"/>
      <c r="P566" s="26" t="str">
        <f t="shared" si="26"/>
        <v/>
      </c>
      <c r="Q566" s="80"/>
      <c r="R566" s="80"/>
      <c r="S566" s="80"/>
      <c r="T566" s="82"/>
      <c r="U566" s="80"/>
      <c r="V566" s="80"/>
      <c r="W566" s="80"/>
    </row>
    <row r="567" ht="18" customHeight="1" spans="1:23">
      <c r="A567" s="87" t="str">
        <f t="shared" si="24"/>
        <v/>
      </c>
      <c r="B567" s="78"/>
      <c r="C567" s="80"/>
      <c r="D567" s="79"/>
      <c r="E567" s="80"/>
      <c r="F567" s="79"/>
      <c r="G567" s="25" t="str">
        <f t="shared" si="25"/>
        <v/>
      </c>
      <c r="H567" s="88"/>
      <c r="I567" s="93"/>
      <c r="J567" s="97"/>
      <c r="K567" s="88"/>
      <c r="L567" s="25" t="str">
        <f>IF($D567="","",SUMIFS($H$4:$H567,$D$4:$D567,$D567)+SUMIFS($I$4:$I567,$D$4:$D567,$D567)-SUMIFS($J$4:$J567,$D$4:$D567,$D567)-SUMIFS($K$4:$K567,$D$4:$D567,$D567))</f>
        <v/>
      </c>
      <c r="M567" s="80"/>
      <c r="N567" s="80"/>
      <c r="O567" s="94"/>
      <c r="P567" s="26" t="str">
        <f t="shared" si="26"/>
        <v/>
      </c>
      <c r="Q567" s="80"/>
      <c r="R567" s="80"/>
      <c r="S567" s="80"/>
      <c r="T567" s="82"/>
      <c r="U567" s="80"/>
      <c r="V567" s="80"/>
      <c r="W567" s="80"/>
    </row>
    <row r="568" ht="18" customHeight="1" spans="1:23">
      <c r="A568" s="87" t="str">
        <f t="shared" si="24"/>
        <v/>
      </c>
      <c r="B568" s="78"/>
      <c r="C568" s="80"/>
      <c r="D568" s="79"/>
      <c r="E568" s="80"/>
      <c r="F568" s="79"/>
      <c r="G568" s="25" t="str">
        <f t="shared" si="25"/>
        <v/>
      </c>
      <c r="H568" s="88"/>
      <c r="I568" s="93"/>
      <c r="J568" s="97"/>
      <c r="K568" s="88"/>
      <c r="L568" s="25" t="str">
        <f>IF($D568="","",SUMIFS($H$4:$H568,$D$4:$D568,$D568)+SUMIFS($I$4:$I568,$D$4:$D568,$D568)-SUMIFS($J$4:$J568,$D$4:$D568,$D568)-SUMIFS($K$4:$K568,$D$4:$D568,$D568))</f>
        <v/>
      </c>
      <c r="M568" s="80"/>
      <c r="N568" s="80"/>
      <c r="O568" s="94"/>
      <c r="P568" s="26" t="str">
        <f t="shared" si="26"/>
        <v/>
      </c>
      <c r="Q568" s="80"/>
      <c r="R568" s="80"/>
      <c r="S568" s="80"/>
      <c r="T568" s="82"/>
      <c r="U568" s="80"/>
      <c r="V568" s="80"/>
      <c r="W568" s="80"/>
    </row>
    <row r="569" ht="18" customHeight="1" spans="1:23">
      <c r="A569" s="87" t="str">
        <f t="shared" si="24"/>
        <v/>
      </c>
      <c r="B569" s="78"/>
      <c r="C569" s="80"/>
      <c r="D569" s="79"/>
      <c r="E569" s="80"/>
      <c r="F569" s="79"/>
      <c r="G569" s="25" t="str">
        <f t="shared" si="25"/>
        <v/>
      </c>
      <c r="H569" s="88"/>
      <c r="I569" s="93"/>
      <c r="J569" s="97"/>
      <c r="K569" s="88"/>
      <c r="L569" s="25" t="str">
        <f>IF($D569="","",SUMIFS($H$4:$H569,$D$4:$D569,$D569)+SUMIFS($I$4:$I569,$D$4:$D569,$D569)-SUMIFS($J$4:$J569,$D$4:$D569,$D569)-SUMIFS($K$4:$K569,$D$4:$D569,$D569))</f>
        <v/>
      </c>
      <c r="M569" s="80"/>
      <c r="N569" s="80"/>
      <c r="O569" s="94"/>
      <c r="P569" s="26" t="str">
        <f t="shared" si="26"/>
        <v/>
      </c>
      <c r="Q569" s="80"/>
      <c r="R569" s="80"/>
      <c r="S569" s="80"/>
      <c r="T569" s="82"/>
      <c r="U569" s="80"/>
      <c r="V569" s="80"/>
      <c r="W569" s="80"/>
    </row>
    <row r="570" ht="18" customHeight="1" spans="1:23">
      <c r="A570" s="87" t="str">
        <f t="shared" si="24"/>
        <v/>
      </c>
      <c r="B570" s="78"/>
      <c r="C570" s="80"/>
      <c r="D570" s="79"/>
      <c r="E570" s="80"/>
      <c r="F570" s="79"/>
      <c r="G570" s="25" t="str">
        <f t="shared" si="25"/>
        <v/>
      </c>
      <c r="H570" s="88"/>
      <c r="I570" s="93"/>
      <c r="J570" s="97"/>
      <c r="K570" s="88"/>
      <c r="L570" s="25" t="str">
        <f>IF($D570="","",SUMIFS($H$4:$H570,$D$4:$D570,$D570)+SUMIFS($I$4:$I570,$D$4:$D570,$D570)-SUMIFS($J$4:$J570,$D$4:$D570,$D570)-SUMIFS($K$4:$K570,$D$4:$D570,$D570))</f>
        <v/>
      </c>
      <c r="M570" s="80"/>
      <c r="N570" s="80"/>
      <c r="O570" s="94"/>
      <c r="P570" s="26" t="str">
        <f t="shared" si="26"/>
        <v/>
      </c>
      <c r="Q570" s="80"/>
      <c r="R570" s="80"/>
      <c r="S570" s="80"/>
      <c r="T570" s="82"/>
      <c r="U570" s="80"/>
      <c r="V570" s="80"/>
      <c r="W570" s="80"/>
    </row>
    <row r="571" ht="18" customHeight="1" spans="1:23">
      <c r="A571" s="87" t="str">
        <f t="shared" si="24"/>
        <v/>
      </c>
      <c r="B571" s="78"/>
      <c r="C571" s="80"/>
      <c r="D571" s="79"/>
      <c r="E571" s="80"/>
      <c r="F571" s="79"/>
      <c r="G571" s="25" t="str">
        <f t="shared" si="25"/>
        <v/>
      </c>
      <c r="H571" s="88"/>
      <c r="I571" s="93"/>
      <c r="J571" s="97"/>
      <c r="K571" s="88"/>
      <c r="L571" s="25" t="str">
        <f>IF($D571="","",SUMIFS($H$4:$H571,$D$4:$D571,$D571)+SUMIFS($I$4:$I571,$D$4:$D571,$D571)-SUMIFS($J$4:$J571,$D$4:$D571,$D571)-SUMIFS($K$4:$K571,$D$4:$D571,$D571))</f>
        <v/>
      </c>
      <c r="M571" s="80"/>
      <c r="N571" s="80"/>
      <c r="O571" s="94"/>
      <c r="P571" s="26" t="str">
        <f t="shared" si="26"/>
        <v/>
      </c>
      <c r="Q571" s="80"/>
      <c r="R571" s="80"/>
      <c r="S571" s="80"/>
      <c r="T571" s="82"/>
      <c r="U571" s="80"/>
      <c r="V571" s="80"/>
      <c r="W571" s="80"/>
    </row>
    <row r="572" ht="18" customHeight="1" spans="1:23">
      <c r="A572" s="87" t="str">
        <f t="shared" si="24"/>
        <v/>
      </c>
      <c r="B572" s="78"/>
      <c r="C572" s="80"/>
      <c r="D572" s="79"/>
      <c r="E572" s="80"/>
      <c r="F572" s="79"/>
      <c r="G572" s="25" t="str">
        <f t="shared" si="25"/>
        <v/>
      </c>
      <c r="H572" s="88"/>
      <c r="I572" s="93"/>
      <c r="J572" s="97"/>
      <c r="K572" s="88"/>
      <c r="L572" s="25" t="str">
        <f>IF($D572="","",SUMIFS($H$4:$H572,$D$4:$D572,$D572)+SUMIFS($I$4:$I572,$D$4:$D572,$D572)-SUMIFS($J$4:$J572,$D$4:$D572,$D572)-SUMIFS($K$4:$K572,$D$4:$D572,$D572))</f>
        <v/>
      </c>
      <c r="M572" s="80"/>
      <c r="N572" s="80"/>
      <c r="O572" s="94"/>
      <c r="P572" s="26" t="str">
        <f t="shared" si="26"/>
        <v/>
      </c>
      <c r="Q572" s="80"/>
      <c r="R572" s="80"/>
      <c r="S572" s="80"/>
      <c r="T572" s="82"/>
      <c r="U572" s="80"/>
      <c r="V572" s="80"/>
      <c r="W572" s="80"/>
    </row>
    <row r="573" ht="18" customHeight="1" spans="1:23">
      <c r="A573" s="87" t="str">
        <f t="shared" si="24"/>
        <v/>
      </c>
      <c r="B573" s="78"/>
      <c r="C573" s="80"/>
      <c r="D573" s="79"/>
      <c r="E573" s="80"/>
      <c r="F573" s="79"/>
      <c r="G573" s="25" t="str">
        <f t="shared" si="25"/>
        <v/>
      </c>
      <c r="H573" s="88"/>
      <c r="I573" s="93"/>
      <c r="J573" s="97"/>
      <c r="K573" s="88"/>
      <c r="L573" s="25" t="str">
        <f>IF($D573="","",SUMIFS($H$4:$H573,$D$4:$D573,$D573)+SUMIFS($I$4:$I573,$D$4:$D573,$D573)-SUMIFS($J$4:$J573,$D$4:$D573,$D573)-SUMIFS($K$4:$K573,$D$4:$D573,$D573))</f>
        <v/>
      </c>
      <c r="M573" s="80"/>
      <c r="N573" s="80"/>
      <c r="O573" s="94"/>
      <c r="P573" s="26" t="str">
        <f t="shared" si="26"/>
        <v/>
      </c>
      <c r="Q573" s="80"/>
      <c r="R573" s="80"/>
      <c r="S573" s="80"/>
      <c r="T573" s="82"/>
      <c r="U573" s="80"/>
      <c r="V573" s="80"/>
      <c r="W573" s="80"/>
    </row>
    <row r="574" ht="18" customHeight="1" spans="1:23">
      <c r="A574" s="87" t="str">
        <f t="shared" si="24"/>
        <v/>
      </c>
      <c r="B574" s="78"/>
      <c r="C574" s="80"/>
      <c r="D574" s="79"/>
      <c r="E574" s="80"/>
      <c r="F574" s="79"/>
      <c r="G574" s="25" t="str">
        <f t="shared" si="25"/>
        <v/>
      </c>
      <c r="H574" s="88"/>
      <c r="I574" s="93"/>
      <c r="J574" s="97"/>
      <c r="K574" s="88"/>
      <c r="L574" s="25" t="str">
        <f>IF($D574="","",SUMIFS($H$4:$H574,$D$4:$D574,$D574)+SUMIFS($I$4:$I574,$D$4:$D574,$D574)-SUMIFS($J$4:$J574,$D$4:$D574,$D574)-SUMIFS($K$4:$K574,$D$4:$D574,$D574))</f>
        <v/>
      </c>
      <c r="M574" s="80"/>
      <c r="N574" s="80"/>
      <c r="O574" s="94"/>
      <c r="P574" s="26" t="str">
        <f t="shared" si="26"/>
        <v/>
      </c>
      <c r="Q574" s="80"/>
      <c r="R574" s="80"/>
      <c r="S574" s="80"/>
      <c r="T574" s="82"/>
      <c r="U574" s="80"/>
      <c r="V574" s="80"/>
      <c r="W574" s="80"/>
    </row>
    <row r="575" ht="18" customHeight="1" spans="1:23">
      <c r="A575" s="87" t="str">
        <f t="shared" si="24"/>
        <v/>
      </c>
      <c r="B575" s="78"/>
      <c r="C575" s="80"/>
      <c r="D575" s="79"/>
      <c r="E575" s="80"/>
      <c r="F575" s="79"/>
      <c r="G575" s="25" t="str">
        <f t="shared" si="25"/>
        <v/>
      </c>
      <c r="H575" s="88"/>
      <c r="I575" s="93"/>
      <c r="J575" s="97"/>
      <c r="K575" s="88"/>
      <c r="L575" s="25" t="str">
        <f>IF($D575="","",SUMIFS($H$4:$H575,$D$4:$D575,$D575)+SUMIFS($I$4:$I575,$D$4:$D575,$D575)-SUMIFS($J$4:$J575,$D$4:$D575,$D575)-SUMIFS($K$4:$K575,$D$4:$D575,$D575))</f>
        <v/>
      </c>
      <c r="M575" s="80"/>
      <c r="N575" s="80"/>
      <c r="O575" s="94"/>
      <c r="P575" s="26" t="str">
        <f t="shared" si="26"/>
        <v/>
      </c>
      <c r="Q575" s="80"/>
      <c r="R575" s="80"/>
      <c r="S575" s="80"/>
      <c r="T575" s="82"/>
      <c r="U575" s="80"/>
      <c r="V575" s="80"/>
      <c r="W575" s="80"/>
    </row>
    <row r="576" ht="18" customHeight="1" spans="1:23">
      <c r="A576" s="87" t="str">
        <f t="shared" si="24"/>
        <v/>
      </c>
      <c r="B576" s="78"/>
      <c r="C576" s="80"/>
      <c r="D576" s="79"/>
      <c r="E576" s="80"/>
      <c r="F576" s="79"/>
      <c r="G576" s="25" t="str">
        <f t="shared" si="25"/>
        <v/>
      </c>
      <c r="H576" s="88"/>
      <c r="I576" s="93"/>
      <c r="J576" s="97"/>
      <c r="K576" s="88"/>
      <c r="L576" s="25" t="str">
        <f>IF($D576="","",SUMIFS($H$4:$H576,$D$4:$D576,$D576)+SUMIFS($I$4:$I576,$D$4:$D576,$D576)-SUMIFS($J$4:$J576,$D$4:$D576,$D576)-SUMIFS($K$4:$K576,$D$4:$D576,$D576))</f>
        <v/>
      </c>
      <c r="M576" s="80"/>
      <c r="N576" s="80"/>
      <c r="O576" s="94"/>
      <c r="P576" s="26" t="str">
        <f t="shared" si="26"/>
        <v/>
      </c>
      <c r="Q576" s="80"/>
      <c r="R576" s="80"/>
      <c r="S576" s="80"/>
      <c r="T576" s="82"/>
      <c r="U576" s="80"/>
      <c r="V576" s="80"/>
      <c r="W576" s="80"/>
    </row>
    <row r="577" ht="18" customHeight="1" spans="1:23">
      <c r="A577" s="87" t="str">
        <f t="shared" si="24"/>
        <v/>
      </c>
      <c r="B577" s="78"/>
      <c r="C577" s="80"/>
      <c r="D577" s="79"/>
      <c r="E577" s="80"/>
      <c r="F577" s="79"/>
      <c r="G577" s="25" t="str">
        <f t="shared" si="25"/>
        <v/>
      </c>
      <c r="H577" s="88"/>
      <c r="I577" s="93"/>
      <c r="J577" s="97"/>
      <c r="K577" s="88"/>
      <c r="L577" s="25" t="str">
        <f>IF($D577="","",SUMIFS($H$4:$H577,$D$4:$D577,$D577)+SUMIFS($I$4:$I577,$D$4:$D577,$D577)-SUMIFS($J$4:$J577,$D$4:$D577,$D577)-SUMIFS($K$4:$K577,$D$4:$D577,$D577))</f>
        <v/>
      </c>
      <c r="M577" s="80"/>
      <c r="N577" s="80"/>
      <c r="O577" s="94"/>
      <c r="P577" s="26" t="str">
        <f t="shared" si="26"/>
        <v/>
      </c>
      <c r="Q577" s="80"/>
      <c r="R577" s="80"/>
      <c r="S577" s="80"/>
      <c r="T577" s="82"/>
      <c r="U577" s="80"/>
      <c r="V577" s="80"/>
      <c r="W577" s="80"/>
    </row>
    <row r="578" ht="18" customHeight="1" spans="1:23">
      <c r="A578" s="87" t="str">
        <f t="shared" si="24"/>
        <v/>
      </c>
      <c r="B578" s="78"/>
      <c r="C578" s="80"/>
      <c r="D578" s="79"/>
      <c r="E578" s="80"/>
      <c r="F578" s="79"/>
      <c r="G578" s="25" t="str">
        <f t="shared" si="25"/>
        <v/>
      </c>
      <c r="H578" s="88"/>
      <c r="I578" s="93"/>
      <c r="J578" s="97"/>
      <c r="K578" s="88"/>
      <c r="L578" s="25" t="str">
        <f>IF($D578="","",SUMIFS($H$4:$H578,$D$4:$D578,$D578)+SUMIFS($I$4:$I578,$D$4:$D578,$D578)-SUMIFS($J$4:$J578,$D$4:$D578,$D578)-SUMIFS($K$4:$K578,$D$4:$D578,$D578))</f>
        <v/>
      </c>
      <c r="M578" s="80"/>
      <c r="N578" s="80"/>
      <c r="O578" s="94"/>
      <c r="P578" s="26" t="str">
        <f t="shared" si="26"/>
        <v/>
      </c>
      <c r="Q578" s="80"/>
      <c r="R578" s="80"/>
      <c r="S578" s="80"/>
      <c r="T578" s="82"/>
      <c r="U578" s="80"/>
      <c r="V578" s="80"/>
      <c r="W578" s="80"/>
    </row>
    <row r="579" ht="18" customHeight="1" spans="1:23">
      <c r="A579" s="87" t="str">
        <f t="shared" si="24"/>
        <v/>
      </c>
      <c r="B579" s="78"/>
      <c r="C579" s="80"/>
      <c r="D579" s="79"/>
      <c r="E579" s="80"/>
      <c r="F579" s="79"/>
      <c r="G579" s="25" t="str">
        <f t="shared" si="25"/>
        <v/>
      </c>
      <c r="H579" s="88"/>
      <c r="I579" s="93"/>
      <c r="J579" s="97"/>
      <c r="K579" s="88"/>
      <c r="L579" s="25" t="str">
        <f>IF($D579="","",SUMIFS($H$4:$H579,$D$4:$D579,$D579)+SUMIFS($I$4:$I579,$D$4:$D579,$D579)-SUMIFS($J$4:$J579,$D$4:$D579,$D579)-SUMIFS($K$4:$K579,$D$4:$D579,$D579))</f>
        <v/>
      </c>
      <c r="M579" s="80"/>
      <c r="N579" s="80"/>
      <c r="O579" s="94"/>
      <c r="P579" s="26" t="str">
        <f t="shared" si="26"/>
        <v/>
      </c>
      <c r="Q579" s="80"/>
      <c r="R579" s="80"/>
      <c r="S579" s="80"/>
      <c r="T579" s="82"/>
      <c r="U579" s="80"/>
      <c r="V579" s="80"/>
      <c r="W579" s="80"/>
    </row>
    <row r="580" ht="18" customHeight="1" spans="1:23">
      <c r="A580" s="87" t="str">
        <f t="shared" si="24"/>
        <v/>
      </c>
      <c r="B580" s="78"/>
      <c r="C580" s="80"/>
      <c r="D580" s="79"/>
      <c r="E580" s="80"/>
      <c r="F580" s="79"/>
      <c r="G580" s="25" t="str">
        <f t="shared" si="25"/>
        <v/>
      </c>
      <c r="H580" s="88"/>
      <c r="I580" s="93"/>
      <c r="J580" s="97"/>
      <c r="K580" s="88"/>
      <c r="L580" s="25" t="str">
        <f>IF($D580="","",SUMIFS($H$4:$H580,$D$4:$D580,$D580)+SUMIFS($I$4:$I580,$D$4:$D580,$D580)-SUMIFS($J$4:$J580,$D$4:$D580,$D580)-SUMIFS($K$4:$K580,$D$4:$D580,$D580))</f>
        <v/>
      </c>
      <c r="M580" s="80"/>
      <c r="N580" s="80"/>
      <c r="O580" s="94"/>
      <c r="P580" s="26" t="str">
        <f t="shared" si="26"/>
        <v/>
      </c>
      <c r="Q580" s="80"/>
      <c r="R580" s="80"/>
      <c r="S580" s="80"/>
      <c r="T580" s="82"/>
      <c r="U580" s="80"/>
      <c r="V580" s="80"/>
      <c r="W580" s="80"/>
    </row>
    <row r="581" ht="18" customHeight="1" spans="1:23">
      <c r="A581" s="87" t="str">
        <f t="shared" ref="A581:A644" si="27">IF($D581="","",ROW()-3)</f>
        <v/>
      </c>
      <c r="B581" s="78"/>
      <c r="C581" s="80"/>
      <c r="D581" s="79"/>
      <c r="E581" s="80"/>
      <c r="F581" s="79"/>
      <c r="G581" s="25" t="str">
        <f t="shared" ref="G581:G644" si="28">IF($D581="","",N($L581)-N($H581)-N($I581)+N($J581)+N($K581))</f>
        <v/>
      </c>
      <c r="H581" s="88"/>
      <c r="I581" s="93"/>
      <c r="J581" s="97"/>
      <c r="K581" s="88"/>
      <c r="L581" s="25" t="str">
        <f>IF($D581="","",SUMIFS($H$4:$H581,$D$4:$D581,$D581)+SUMIFS($I$4:$I581,$D$4:$D581,$D581)-SUMIFS($J$4:$J581,$D$4:$D581,$D581)-SUMIFS($K$4:$K581,$D$4:$D581,$D581))</f>
        <v/>
      </c>
      <c r="M581" s="80"/>
      <c r="N581" s="80"/>
      <c r="O581" s="94"/>
      <c r="P581" s="26" t="str">
        <f t="shared" ref="P581:P644" si="29">IF($D581="","",ROUND((N($H581)+N($K581))*N($O581),2))</f>
        <v/>
      </c>
      <c r="Q581" s="80"/>
      <c r="R581" s="80"/>
      <c r="S581" s="80"/>
      <c r="T581" s="82"/>
      <c r="U581" s="80"/>
      <c r="V581" s="80"/>
      <c r="W581" s="80"/>
    </row>
    <row r="582" ht="18" customHeight="1" spans="1:23">
      <c r="A582" s="87" t="str">
        <f t="shared" si="27"/>
        <v/>
      </c>
      <c r="B582" s="78"/>
      <c r="C582" s="80"/>
      <c r="D582" s="79"/>
      <c r="E582" s="80"/>
      <c r="F582" s="79"/>
      <c r="G582" s="25" t="str">
        <f t="shared" si="28"/>
        <v/>
      </c>
      <c r="H582" s="88"/>
      <c r="I582" s="93"/>
      <c r="J582" s="97"/>
      <c r="K582" s="88"/>
      <c r="L582" s="25" t="str">
        <f>IF($D582="","",SUMIFS($H$4:$H582,$D$4:$D582,$D582)+SUMIFS($I$4:$I582,$D$4:$D582,$D582)-SUMIFS($J$4:$J582,$D$4:$D582,$D582)-SUMIFS($K$4:$K582,$D$4:$D582,$D582))</f>
        <v/>
      </c>
      <c r="M582" s="80"/>
      <c r="N582" s="80"/>
      <c r="O582" s="94"/>
      <c r="P582" s="26" t="str">
        <f t="shared" si="29"/>
        <v/>
      </c>
      <c r="Q582" s="80"/>
      <c r="R582" s="80"/>
      <c r="S582" s="80"/>
      <c r="T582" s="82"/>
      <c r="U582" s="80"/>
      <c r="V582" s="80"/>
      <c r="W582" s="80"/>
    </row>
    <row r="583" ht="18" customHeight="1" spans="1:23">
      <c r="A583" s="87" t="str">
        <f t="shared" si="27"/>
        <v/>
      </c>
      <c r="B583" s="78"/>
      <c r="C583" s="80"/>
      <c r="D583" s="79"/>
      <c r="E583" s="80"/>
      <c r="F583" s="79"/>
      <c r="G583" s="25" t="str">
        <f t="shared" si="28"/>
        <v/>
      </c>
      <c r="H583" s="88"/>
      <c r="I583" s="93"/>
      <c r="J583" s="97"/>
      <c r="K583" s="88"/>
      <c r="L583" s="25" t="str">
        <f>IF($D583="","",SUMIFS($H$4:$H583,$D$4:$D583,$D583)+SUMIFS($I$4:$I583,$D$4:$D583,$D583)-SUMIFS($J$4:$J583,$D$4:$D583,$D583)-SUMIFS($K$4:$K583,$D$4:$D583,$D583))</f>
        <v/>
      </c>
      <c r="M583" s="80"/>
      <c r="N583" s="80"/>
      <c r="O583" s="94"/>
      <c r="P583" s="26" t="str">
        <f t="shared" si="29"/>
        <v/>
      </c>
      <c r="Q583" s="80"/>
      <c r="R583" s="80"/>
      <c r="S583" s="80"/>
      <c r="T583" s="82"/>
      <c r="U583" s="80"/>
      <c r="V583" s="80"/>
      <c r="W583" s="80"/>
    </row>
    <row r="584" ht="18" customHeight="1" spans="1:23">
      <c r="A584" s="87" t="str">
        <f t="shared" si="27"/>
        <v/>
      </c>
      <c r="B584" s="78"/>
      <c r="C584" s="80"/>
      <c r="D584" s="79"/>
      <c r="E584" s="80"/>
      <c r="F584" s="79"/>
      <c r="G584" s="25" t="str">
        <f t="shared" si="28"/>
        <v/>
      </c>
      <c r="H584" s="88"/>
      <c r="I584" s="93"/>
      <c r="J584" s="97"/>
      <c r="K584" s="88"/>
      <c r="L584" s="25" t="str">
        <f>IF($D584="","",SUMIFS($H$4:$H584,$D$4:$D584,$D584)+SUMIFS($I$4:$I584,$D$4:$D584,$D584)-SUMIFS($J$4:$J584,$D$4:$D584,$D584)-SUMIFS($K$4:$K584,$D$4:$D584,$D584))</f>
        <v/>
      </c>
      <c r="M584" s="80"/>
      <c r="N584" s="80"/>
      <c r="O584" s="94"/>
      <c r="P584" s="26" t="str">
        <f t="shared" si="29"/>
        <v/>
      </c>
      <c r="Q584" s="80"/>
      <c r="R584" s="80"/>
      <c r="S584" s="80"/>
      <c r="T584" s="82"/>
      <c r="U584" s="80"/>
      <c r="V584" s="80"/>
      <c r="W584" s="80"/>
    </row>
    <row r="585" ht="18" customHeight="1" spans="1:23">
      <c r="A585" s="87" t="str">
        <f t="shared" si="27"/>
        <v/>
      </c>
      <c r="B585" s="78"/>
      <c r="C585" s="80"/>
      <c r="D585" s="79"/>
      <c r="E585" s="80"/>
      <c r="F585" s="79"/>
      <c r="G585" s="25" t="str">
        <f t="shared" si="28"/>
        <v/>
      </c>
      <c r="H585" s="88"/>
      <c r="I585" s="93"/>
      <c r="J585" s="97"/>
      <c r="K585" s="88"/>
      <c r="L585" s="25" t="str">
        <f>IF($D585="","",SUMIFS($H$4:$H585,$D$4:$D585,$D585)+SUMIFS($I$4:$I585,$D$4:$D585,$D585)-SUMIFS($J$4:$J585,$D$4:$D585,$D585)-SUMIFS($K$4:$K585,$D$4:$D585,$D585))</f>
        <v/>
      </c>
      <c r="M585" s="80"/>
      <c r="N585" s="80"/>
      <c r="O585" s="94"/>
      <c r="P585" s="26" t="str">
        <f t="shared" si="29"/>
        <v/>
      </c>
      <c r="Q585" s="80"/>
      <c r="R585" s="80"/>
      <c r="S585" s="80"/>
      <c r="T585" s="82"/>
      <c r="U585" s="80"/>
      <c r="V585" s="80"/>
      <c r="W585" s="80"/>
    </row>
    <row r="586" ht="18" customHeight="1" spans="1:23">
      <c r="A586" s="87" t="str">
        <f t="shared" si="27"/>
        <v/>
      </c>
      <c r="B586" s="78"/>
      <c r="C586" s="80"/>
      <c r="D586" s="79"/>
      <c r="E586" s="80"/>
      <c r="F586" s="79"/>
      <c r="G586" s="25" t="str">
        <f t="shared" si="28"/>
        <v/>
      </c>
      <c r="H586" s="88"/>
      <c r="I586" s="93"/>
      <c r="J586" s="97"/>
      <c r="K586" s="88"/>
      <c r="L586" s="25" t="str">
        <f>IF($D586="","",SUMIFS($H$4:$H586,$D$4:$D586,$D586)+SUMIFS($I$4:$I586,$D$4:$D586,$D586)-SUMIFS($J$4:$J586,$D$4:$D586,$D586)-SUMIFS($K$4:$K586,$D$4:$D586,$D586))</f>
        <v/>
      </c>
      <c r="M586" s="80"/>
      <c r="N586" s="80"/>
      <c r="O586" s="94"/>
      <c r="P586" s="26" t="str">
        <f t="shared" si="29"/>
        <v/>
      </c>
      <c r="Q586" s="80"/>
      <c r="R586" s="80"/>
      <c r="S586" s="80"/>
      <c r="T586" s="82"/>
      <c r="U586" s="80"/>
      <c r="V586" s="80"/>
      <c r="W586" s="80"/>
    </row>
    <row r="587" ht="18" customHeight="1" spans="1:23">
      <c r="A587" s="87" t="str">
        <f t="shared" si="27"/>
        <v/>
      </c>
      <c r="B587" s="78"/>
      <c r="C587" s="80"/>
      <c r="D587" s="79"/>
      <c r="E587" s="80"/>
      <c r="F587" s="79"/>
      <c r="G587" s="25" t="str">
        <f t="shared" si="28"/>
        <v/>
      </c>
      <c r="H587" s="88"/>
      <c r="I587" s="93"/>
      <c r="J587" s="97"/>
      <c r="K587" s="88"/>
      <c r="L587" s="25" t="str">
        <f>IF($D587="","",SUMIFS($H$4:$H587,$D$4:$D587,$D587)+SUMIFS($I$4:$I587,$D$4:$D587,$D587)-SUMIFS($J$4:$J587,$D$4:$D587,$D587)-SUMIFS($K$4:$K587,$D$4:$D587,$D587))</f>
        <v/>
      </c>
      <c r="M587" s="80"/>
      <c r="N587" s="80"/>
      <c r="O587" s="94"/>
      <c r="P587" s="26" t="str">
        <f t="shared" si="29"/>
        <v/>
      </c>
      <c r="Q587" s="80"/>
      <c r="R587" s="80"/>
      <c r="S587" s="80"/>
      <c r="T587" s="82"/>
      <c r="U587" s="80"/>
      <c r="V587" s="80"/>
      <c r="W587" s="80"/>
    </row>
    <row r="588" ht="18" customHeight="1" spans="1:23">
      <c r="A588" s="87" t="str">
        <f t="shared" si="27"/>
        <v/>
      </c>
      <c r="B588" s="78"/>
      <c r="C588" s="80"/>
      <c r="D588" s="79"/>
      <c r="E588" s="80"/>
      <c r="F588" s="79"/>
      <c r="G588" s="25" t="str">
        <f t="shared" si="28"/>
        <v/>
      </c>
      <c r="H588" s="88"/>
      <c r="I588" s="93"/>
      <c r="J588" s="97"/>
      <c r="K588" s="88"/>
      <c r="L588" s="25" t="str">
        <f>IF($D588="","",SUMIFS($H$4:$H588,$D$4:$D588,$D588)+SUMIFS($I$4:$I588,$D$4:$D588,$D588)-SUMIFS($J$4:$J588,$D$4:$D588,$D588)-SUMIFS($K$4:$K588,$D$4:$D588,$D588))</f>
        <v/>
      </c>
      <c r="M588" s="80"/>
      <c r="N588" s="80"/>
      <c r="O588" s="94"/>
      <c r="P588" s="26" t="str">
        <f t="shared" si="29"/>
        <v/>
      </c>
      <c r="Q588" s="80"/>
      <c r="R588" s="80"/>
      <c r="S588" s="80"/>
      <c r="T588" s="82"/>
      <c r="U588" s="80"/>
      <c r="V588" s="80"/>
      <c r="W588" s="80"/>
    </row>
    <row r="589" ht="18" customHeight="1" spans="1:23">
      <c r="A589" s="87" t="str">
        <f t="shared" si="27"/>
        <v/>
      </c>
      <c r="B589" s="78"/>
      <c r="C589" s="80"/>
      <c r="D589" s="79"/>
      <c r="E589" s="80"/>
      <c r="F589" s="79"/>
      <c r="G589" s="25" t="str">
        <f t="shared" si="28"/>
        <v/>
      </c>
      <c r="H589" s="88"/>
      <c r="I589" s="93"/>
      <c r="J589" s="97"/>
      <c r="K589" s="88"/>
      <c r="L589" s="25" t="str">
        <f>IF($D589="","",SUMIFS($H$4:$H589,$D$4:$D589,$D589)+SUMIFS($I$4:$I589,$D$4:$D589,$D589)-SUMIFS($J$4:$J589,$D$4:$D589,$D589)-SUMIFS($K$4:$K589,$D$4:$D589,$D589))</f>
        <v/>
      </c>
      <c r="M589" s="80"/>
      <c r="N589" s="80"/>
      <c r="O589" s="94"/>
      <c r="P589" s="26" t="str">
        <f t="shared" si="29"/>
        <v/>
      </c>
      <c r="Q589" s="80"/>
      <c r="R589" s="80"/>
      <c r="S589" s="80"/>
      <c r="T589" s="82"/>
      <c r="U589" s="80"/>
      <c r="V589" s="80"/>
      <c r="W589" s="80"/>
    </row>
    <row r="590" ht="18" customHeight="1" spans="1:23">
      <c r="A590" s="87" t="str">
        <f t="shared" si="27"/>
        <v/>
      </c>
      <c r="B590" s="78"/>
      <c r="C590" s="80"/>
      <c r="D590" s="79"/>
      <c r="E590" s="80"/>
      <c r="F590" s="79"/>
      <c r="G590" s="25" t="str">
        <f t="shared" si="28"/>
        <v/>
      </c>
      <c r="H590" s="88"/>
      <c r="I590" s="93"/>
      <c r="J590" s="97"/>
      <c r="K590" s="88"/>
      <c r="L590" s="25" t="str">
        <f>IF($D590="","",SUMIFS($H$4:$H590,$D$4:$D590,$D590)+SUMIFS($I$4:$I590,$D$4:$D590,$D590)-SUMIFS($J$4:$J590,$D$4:$D590,$D590)-SUMIFS($K$4:$K590,$D$4:$D590,$D590))</f>
        <v/>
      </c>
      <c r="M590" s="80"/>
      <c r="N590" s="80"/>
      <c r="O590" s="94"/>
      <c r="P590" s="26" t="str">
        <f t="shared" si="29"/>
        <v/>
      </c>
      <c r="Q590" s="80"/>
      <c r="R590" s="80"/>
      <c r="S590" s="80"/>
      <c r="T590" s="82"/>
      <c r="U590" s="80"/>
      <c r="V590" s="80"/>
      <c r="W590" s="80"/>
    </row>
    <row r="591" ht="18" customHeight="1" spans="1:23">
      <c r="A591" s="87" t="str">
        <f t="shared" si="27"/>
        <v/>
      </c>
      <c r="B591" s="78"/>
      <c r="C591" s="80"/>
      <c r="D591" s="79"/>
      <c r="E591" s="80"/>
      <c r="F591" s="79"/>
      <c r="G591" s="25" t="str">
        <f t="shared" si="28"/>
        <v/>
      </c>
      <c r="H591" s="88"/>
      <c r="I591" s="93"/>
      <c r="J591" s="97"/>
      <c r="K591" s="88"/>
      <c r="L591" s="25" t="str">
        <f>IF($D591="","",SUMIFS($H$4:$H591,$D$4:$D591,$D591)+SUMIFS($I$4:$I591,$D$4:$D591,$D591)-SUMIFS($J$4:$J591,$D$4:$D591,$D591)-SUMIFS($K$4:$K591,$D$4:$D591,$D591))</f>
        <v/>
      </c>
      <c r="M591" s="80"/>
      <c r="N591" s="80"/>
      <c r="O591" s="94"/>
      <c r="P591" s="26" t="str">
        <f t="shared" si="29"/>
        <v/>
      </c>
      <c r="Q591" s="80"/>
      <c r="R591" s="80"/>
      <c r="S591" s="80"/>
      <c r="T591" s="82"/>
      <c r="U591" s="80"/>
      <c r="V591" s="80"/>
      <c r="W591" s="80"/>
    </row>
    <row r="592" ht="18" customHeight="1" spans="1:23">
      <c r="A592" s="87" t="str">
        <f t="shared" si="27"/>
        <v/>
      </c>
      <c r="B592" s="78"/>
      <c r="C592" s="80"/>
      <c r="D592" s="79"/>
      <c r="E592" s="80"/>
      <c r="F592" s="79"/>
      <c r="G592" s="25" t="str">
        <f t="shared" si="28"/>
        <v/>
      </c>
      <c r="H592" s="88"/>
      <c r="I592" s="93"/>
      <c r="J592" s="97"/>
      <c r="K592" s="88"/>
      <c r="L592" s="25" t="str">
        <f>IF($D592="","",SUMIFS($H$4:$H592,$D$4:$D592,$D592)+SUMIFS($I$4:$I592,$D$4:$D592,$D592)-SUMIFS($J$4:$J592,$D$4:$D592,$D592)-SUMIFS($K$4:$K592,$D$4:$D592,$D592))</f>
        <v/>
      </c>
      <c r="M592" s="80"/>
      <c r="N592" s="80"/>
      <c r="O592" s="94"/>
      <c r="P592" s="26" t="str">
        <f t="shared" si="29"/>
        <v/>
      </c>
      <c r="Q592" s="80"/>
      <c r="R592" s="80"/>
      <c r="S592" s="80"/>
      <c r="T592" s="82"/>
      <c r="U592" s="80"/>
      <c r="V592" s="80"/>
      <c r="W592" s="80"/>
    </row>
    <row r="593" ht="18" customHeight="1" spans="1:23">
      <c r="A593" s="87" t="str">
        <f t="shared" si="27"/>
        <v/>
      </c>
      <c r="B593" s="78"/>
      <c r="C593" s="80"/>
      <c r="D593" s="79"/>
      <c r="E593" s="80"/>
      <c r="F593" s="79"/>
      <c r="G593" s="25" t="str">
        <f t="shared" si="28"/>
        <v/>
      </c>
      <c r="H593" s="88"/>
      <c r="I593" s="93"/>
      <c r="J593" s="97"/>
      <c r="K593" s="88"/>
      <c r="L593" s="25" t="str">
        <f>IF($D593="","",SUMIFS($H$4:$H593,$D$4:$D593,$D593)+SUMIFS($I$4:$I593,$D$4:$D593,$D593)-SUMIFS($J$4:$J593,$D$4:$D593,$D593)-SUMIFS($K$4:$K593,$D$4:$D593,$D593))</f>
        <v/>
      </c>
      <c r="M593" s="80"/>
      <c r="N593" s="80"/>
      <c r="O593" s="94"/>
      <c r="P593" s="26" t="str">
        <f t="shared" si="29"/>
        <v/>
      </c>
      <c r="Q593" s="80"/>
      <c r="R593" s="80"/>
      <c r="S593" s="80"/>
      <c r="T593" s="82"/>
      <c r="U593" s="80"/>
      <c r="V593" s="80"/>
      <c r="W593" s="80"/>
    </row>
    <row r="594" ht="18" customHeight="1" spans="1:23">
      <c r="A594" s="87" t="str">
        <f t="shared" si="27"/>
        <v/>
      </c>
      <c r="B594" s="78"/>
      <c r="C594" s="80"/>
      <c r="D594" s="79"/>
      <c r="E594" s="80"/>
      <c r="F594" s="79"/>
      <c r="G594" s="25" t="str">
        <f t="shared" si="28"/>
        <v/>
      </c>
      <c r="H594" s="88"/>
      <c r="I594" s="93"/>
      <c r="J594" s="97"/>
      <c r="K594" s="88"/>
      <c r="L594" s="25" t="str">
        <f>IF($D594="","",SUMIFS($H$4:$H594,$D$4:$D594,$D594)+SUMIFS($I$4:$I594,$D$4:$D594,$D594)-SUMIFS($J$4:$J594,$D$4:$D594,$D594)-SUMIFS($K$4:$K594,$D$4:$D594,$D594))</f>
        <v/>
      </c>
      <c r="M594" s="80"/>
      <c r="N594" s="80"/>
      <c r="O594" s="94"/>
      <c r="P594" s="26" t="str">
        <f t="shared" si="29"/>
        <v/>
      </c>
      <c r="Q594" s="80"/>
      <c r="R594" s="80"/>
      <c r="S594" s="80"/>
      <c r="T594" s="82"/>
      <c r="U594" s="80"/>
      <c r="V594" s="80"/>
      <c r="W594" s="80"/>
    </row>
    <row r="595" ht="18" customHeight="1" spans="1:23">
      <c r="A595" s="87" t="str">
        <f t="shared" si="27"/>
        <v/>
      </c>
      <c r="B595" s="78"/>
      <c r="C595" s="80"/>
      <c r="D595" s="79"/>
      <c r="E595" s="80"/>
      <c r="F595" s="79"/>
      <c r="G595" s="25" t="str">
        <f t="shared" si="28"/>
        <v/>
      </c>
      <c r="H595" s="88"/>
      <c r="I595" s="93"/>
      <c r="J595" s="97"/>
      <c r="K595" s="88"/>
      <c r="L595" s="25" t="str">
        <f>IF($D595="","",SUMIFS($H$4:$H595,$D$4:$D595,$D595)+SUMIFS($I$4:$I595,$D$4:$D595,$D595)-SUMIFS($J$4:$J595,$D$4:$D595,$D595)-SUMIFS($K$4:$K595,$D$4:$D595,$D595))</f>
        <v/>
      </c>
      <c r="M595" s="80"/>
      <c r="N595" s="80"/>
      <c r="O595" s="94"/>
      <c r="P595" s="26" t="str">
        <f t="shared" si="29"/>
        <v/>
      </c>
      <c r="Q595" s="80"/>
      <c r="R595" s="80"/>
      <c r="S595" s="80"/>
      <c r="T595" s="82"/>
      <c r="U595" s="80"/>
      <c r="V595" s="80"/>
      <c r="W595" s="80"/>
    </row>
    <row r="596" ht="18" customHeight="1" spans="1:23">
      <c r="A596" s="87" t="str">
        <f t="shared" si="27"/>
        <v/>
      </c>
      <c r="B596" s="78"/>
      <c r="C596" s="80"/>
      <c r="D596" s="79"/>
      <c r="E596" s="80"/>
      <c r="F596" s="79"/>
      <c r="G596" s="25" t="str">
        <f t="shared" si="28"/>
        <v/>
      </c>
      <c r="H596" s="88"/>
      <c r="I596" s="93"/>
      <c r="J596" s="97"/>
      <c r="K596" s="88"/>
      <c r="L596" s="25" t="str">
        <f>IF($D596="","",SUMIFS($H$4:$H596,$D$4:$D596,$D596)+SUMIFS($I$4:$I596,$D$4:$D596,$D596)-SUMIFS($J$4:$J596,$D$4:$D596,$D596)-SUMIFS($K$4:$K596,$D$4:$D596,$D596))</f>
        <v/>
      </c>
      <c r="M596" s="80"/>
      <c r="N596" s="80"/>
      <c r="O596" s="94"/>
      <c r="P596" s="26" t="str">
        <f t="shared" si="29"/>
        <v/>
      </c>
      <c r="Q596" s="80"/>
      <c r="R596" s="80"/>
      <c r="S596" s="80"/>
      <c r="T596" s="82"/>
      <c r="U596" s="80"/>
      <c r="V596" s="80"/>
      <c r="W596" s="80"/>
    </row>
    <row r="597" ht="18" customHeight="1" spans="1:23">
      <c r="A597" s="87" t="str">
        <f t="shared" si="27"/>
        <v/>
      </c>
      <c r="B597" s="78"/>
      <c r="C597" s="80"/>
      <c r="D597" s="79"/>
      <c r="E597" s="80"/>
      <c r="F597" s="79"/>
      <c r="G597" s="25" t="str">
        <f t="shared" si="28"/>
        <v/>
      </c>
      <c r="H597" s="88"/>
      <c r="I597" s="93"/>
      <c r="J597" s="97"/>
      <c r="K597" s="88"/>
      <c r="L597" s="25" t="str">
        <f>IF($D597="","",SUMIFS($H$4:$H597,$D$4:$D597,$D597)+SUMIFS($I$4:$I597,$D$4:$D597,$D597)-SUMIFS($J$4:$J597,$D$4:$D597,$D597)-SUMIFS($K$4:$K597,$D$4:$D597,$D597))</f>
        <v/>
      </c>
      <c r="M597" s="80"/>
      <c r="N597" s="80"/>
      <c r="O597" s="94"/>
      <c r="P597" s="26" t="str">
        <f t="shared" si="29"/>
        <v/>
      </c>
      <c r="Q597" s="80"/>
      <c r="R597" s="80"/>
      <c r="S597" s="80"/>
      <c r="T597" s="82"/>
      <c r="U597" s="80"/>
      <c r="V597" s="80"/>
      <c r="W597" s="80"/>
    </row>
    <row r="598" ht="18" customHeight="1" spans="1:23">
      <c r="A598" s="87" t="str">
        <f t="shared" si="27"/>
        <v/>
      </c>
      <c r="B598" s="78"/>
      <c r="C598" s="80"/>
      <c r="D598" s="79"/>
      <c r="E598" s="80"/>
      <c r="F598" s="79"/>
      <c r="G598" s="25" t="str">
        <f t="shared" si="28"/>
        <v/>
      </c>
      <c r="H598" s="88"/>
      <c r="I598" s="93"/>
      <c r="J598" s="97"/>
      <c r="K598" s="88"/>
      <c r="L598" s="25" t="str">
        <f>IF($D598="","",SUMIFS($H$4:$H598,$D$4:$D598,$D598)+SUMIFS($I$4:$I598,$D$4:$D598,$D598)-SUMIFS($J$4:$J598,$D$4:$D598,$D598)-SUMIFS($K$4:$K598,$D$4:$D598,$D598))</f>
        <v/>
      </c>
      <c r="M598" s="80"/>
      <c r="N598" s="80"/>
      <c r="O598" s="94"/>
      <c r="P598" s="26" t="str">
        <f t="shared" si="29"/>
        <v/>
      </c>
      <c r="Q598" s="80"/>
      <c r="R598" s="80"/>
      <c r="S598" s="80"/>
      <c r="T598" s="82"/>
      <c r="U598" s="80"/>
      <c r="V598" s="80"/>
      <c r="W598" s="80"/>
    </row>
    <row r="599" ht="18" customHeight="1" spans="1:23">
      <c r="A599" s="87" t="str">
        <f t="shared" si="27"/>
        <v/>
      </c>
      <c r="B599" s="78"/>
      <c r="C599" s="80"/>
      <c r="D599" s="79"/>
      <c r="E599" s="80"/>
      <c r="F599" s="79"/>
      <c r="G599" s="25" t="str">
        <f t="shared" si="28"/>
        <v/>
      </c>
      <c r="H599" s="88"/>
      <c r="I599" s="93"/>
      <c r="J599" s="97"/>
      <c r="K599" s="88"/>
      <c r="L599" s="25" t="str">
        <f>IF($D599="","",SUMIFS($H$4:$H599,$D$4:$D599,$D599)+SUMIFS($I$4:$I599,$D$4:$D599,$D599)-SUMIFS($J$4:$J599,$D$4:$D599,$D599)-SUMIFS($K$4:$K599,$D$4:$D599,$D599))</f>
        <v/>
      </c>
      <c r="M599" s="80"/>
      <c r="N599" s="80"/>
      <c r="O599" s="94"/>
      <c r="P599" s="26" t="str">
        <f t="shared" si="29"/>
        <v/>
      </c>
      <c r="Q599" s="80"/>
      <c r="R599" s="80"/>
      <c r="S599" s="80"/>
      <c r="T599" s="82"/>
      <c r="U599" s="80"/>
      <c r="V599" s="80"/>
      <c r="W599" s="80"/>
    </row>
    <row r="600" ht="18" customHeight="1" spans="1:23">
      <c r="A600" s="87" t="str">
        <f t="shared" si="27"/>
        <v/>
      </c>
      <c r="B600" s="78"/>
      <c r="C600" s="80"/>
      <c r="D600" s="79"/>
      <c r="E600" s="80"/>
      <c r="F600" s="79"/>
      <c r="G600" s="25" t="str">
        <f t="shared" si="28"/>
        <v/>
      </c>
      <c r="H600" s="88"/>
      <c r="I600" s="93"/>
      <c r="J600" s="97"/>
      <c r="K600" s="88"/>
      <c r="L600" s="25" t="str">
        <f>IF($D600="","",SUMIFS($H$4:$H600,$D$4:$D600,$D600)+SUMIFS($I$4:$I600,$D$4:$D600,$D600)-SUMIFS($J$4:$J600,$D$4:$D600,$D600)-SUMIFS($K$4:$K600,$D$4:$D600,$D600))</f>
        <v/>
      </c>
      <c r="M600" s="80"/>
      <c r="N600" s="80"/>
      <c r="O600" s="94"/>
      <c r="P600" s="26" t="str">
        <f t="shared" si="29"/>
        <v/>
      </c>
      <c r="Q600" s="80"/>
      <c r="R600" s="80"/>
      <c r="S600" s="80"/>
      <c r="T600" s="82"/>
      <c r="U600" s="80"/>
      <c r="V600" s="80"/>
      <c r="W600" s="80"/>
    </row>
    <row r="601" ht="18" customHeight="1" spans="1:23">
      <c r="A601" s="87" t="str">
        <f t="shared" si="27"/>
        <v/>
      </c>
      <c r="B601" s="78"/>
      <c r="C601" s="80"/>
      <c r="D601" s="79"/>
      <c r="E601" s="80"/>
      <c r="F601" s="79"/>
      <c r="G601" s="25" t="str">
        <f t="shared" si="28"/>
        <v/>
      </c>
      <c r="H601" s="88"/>
      <c r="I601" s="93"/>
      <c r="J601" s="97"/>
      <c r="K601" s="88"/>
      <c r="L601" s="25" t="str">
        <f>IF($D601="","",SUMIFS($H$4:$H601,$D$4:$D601,$D601)+SUMIFS($I$4:$I601,$D$4:$D601,$D601)-SUMIFS($J$4:$J601,$D$4:$D601,$D601)-SUMIFS($K$4:$K601,$D$4:$D601,$D601))</f>
        <v/>
      </c>
      <c r="M601" s="80"/>
      <c r="N601" s="80"/>
      <c r="O601" s="94"/>
      <c r="P601" s="26" t="str">
        <f t="shared" si="29"/>
        <v/>
      </c>
      <c r="Q601" s="80"/>
      <c r="R601" s="80"/>
      <c r="S601" s="80"/>
      <c r="T601" s="82"/>
      <c r="U601" s="80"/>
      <c r="V601" s="80"/>
      <c r="W601" s="80"/>
    </row>
    <row r="602" ht="18" customHeight="1" spans="1:23">
      <c r="A602" s="87" t="str">
        <f t="shared" si="27"/>
        <v/>
      </c>
      <c r="B602" s="78"/>
      <c r="C602" s="80"/>
      <c r="D602" s="79"/>
      <c r="E602" s="80"/>
      <c r="F602" s="79"/>
      <c r="G602" s="25" t="str">
        <f t="shared" si="28"/>
        <v/>
      </c>
      <c r="H602" s="88"/>
      <c r="I602" s="93"/>
      <c r="J602" s="97"/>
      <c r="K602" s="88"/>
      <c r="L602" s="25" t="str">
        <f>IF($D602="","",SUMIFS($H$4:$H602,$D$4:$D602,$D602)+SUMIFS($I$4:$I602,$D$4:$D602,$D602)-SUMIFS($J$4:$J602,$D$4:$D602,$D602)-SUMIFS($K$4:$K602,$D$4:$D602,$D602))</f>
        <v/>
      </c>
      <c r="M602" s="80"/>
      <c r="N602" s="80"/>
      <c r="O602" s="94"/>
      <c r="P602" s="26" t="str">
        <f t="shared" si="29"/>
        <v/>
      </c>
      <c r="Q602" s="80"/>
      <c r="R602" s="80"/>
      <c r="S602" s="80"/>
      <c r="T602" s="82"/>
      <c r="U602" s="80"/>
      <c r="V602" s="80"/>
      <c r="W602" s="80"/>
    </row>
    <row r="603" ht="18" customHeight="1" spans="1:23">
      <c r="A603" s="87" t="str">
        <f t="shared" si="27"/>
        <v/>
      </c>
      <c r="B603" s="78"/>
      <c r="C603" s="80"/>
      <c r="D603" s="79"/>
      <c r="E603" s="80"/>
      <c r="F603" s="79"/>
      <c r="G603" s="25" t="str">
        <f t="shared" si="28"/>
        <v/>
      </c>
      <c r="H603" s="88"/>
      <c r="I603" s="93"/>
      <c r="J603" s="97"/>
      <c r="K603" s="88"/>
      <c r="L603" s="25" t="str">
        <f>IF($D603="","",SUMIFS($H$4:$H603,$D$4:$D603,$D603)+SUMIFS($I$4:$I603,$D$4:$D603,$D603)-SUMIFS($J$4:$J603,$D$4:$D603,$D603)-SUMIFS($K$4:$K603,$D$4:$D603,$D603))</f>
        <v/>
      </c>
      <c r="M603" s="80"/>
      <c r="N603" s="80"/>
      <c r="O603" s="94"/>
      <c r="P603" s="26" t="str">
        <f t="shared" si="29"/>
        <v/>
      </c>
      <c r="Q603" s="80"/>
      <c r="R603" s="80"/>
      <c r="S603" s="80"/>
      <c r="T603" s="82"/>
      <c r="U603" s="80"/>
      <c r="V603" s="80"/>
      <c r="W603" s="80"/>
    </row>
    <row r="604" ht="18" customHeight="1" spans="1:23">
      <c r="A604" s="87" t="str">
        <f t="shared" si="27"/>
        <v/>
      </c>
      <c r="B604" s="78"/>
      <c r="C604" s="80"/>
      <c r="D604" s="79"/>
      <c r="E604" s="80"/>
      <c r="F604" s="79"/>
      <c r="G604" s="25" t="str">
        <f t="shared" si="28"/>
        <v/>
      </c>
      <c r="H604" s="88"/>
      <c r="I604" s="93"/>
      <c r="J604" s="97"/>
      <c r="K604" s="88"/>
      <c r="L604" s="25" t="str">
        <f>IF($D604="","",SUMIFS($H$4:$H604,$D$4:$D604,$D604)+SUMIFS($I$4:$I604,$D$4:$D604,$D604)-SUMIFS($J$4:$J604,$D$4:$D604,$D604)-SUMIFS($K$4:$K604,$D$4:$D604,$D604))</f>
        <v/>
      </c>
      <c r="M604" s="80"/>
      <c r="N604" s="80"/>
      <c r="O604" s="94"/>
      <c r="P604" s="26" t="str">
        <f t="shared" si="29"/>
        <v/>
      </c>
      <c r="Q604" s="80"/>
      <c r="R604" s="80"/>
      <c r="S604" s="80"/>
      <c r="T604" s="82"/>
      <c r="U604" s="80"/>
      <c r="V604" s="80"/>
      <c r="W604" s="80"/>
    </row>
    <row r="605" ht="18" customHeight="1" spans="1:23">
      <c r="A605" s="87" t="str">
        <f t="shared" si="27"/>
        <v/>
      </c>
      <c r="B605" s="78"/>
      <c r="C605" s="80"/>
      <c r="D605" s="79"/>
      <c r="E605" s="80"/>
      <c r="F605" s="79"/>
      <c r="G605" s="25" t="str">
        <f t="shared" si="28"/>
        <v/>
      </c>
      <c r="H605" s="88"/>
      <c r="I605" s="93"/>
      <c r="J605" s="97"/>
      <c r="K605" s="88"/>
      <c r="L605" s="25" t="str">
        <f>IF($D605="","",SUMIFS($H$4:$H605,$D$4:$D605,$D605)+SUMIFS($I$4:$I605,$D$4:$D605,$D605)-SUMIFS($J$4:$J605,$D$4:$D605,$D605)-SUMIFS($K$4:$K605,$D$4:$D605,$D605))</f>
        <v/>
      </c>
      <c r="M605" s="80"/>
      <c r="N605" s="80"/>
      <c r="O605" s="94"/>
      <c r="P605" s="26" t="str">
        <f t="shared" si="29"/>
        <v/>
      </c>
      <c r="Q605" s="80"/>
      <c r="R605" s="80"/>
      <c r="S605" s="80"/>
      <c r="T605" s="82"/>
      <c r="U605" s="80"/>
      <c r="V605" s="80"/>
      <c r="W605" s="80"/>
    </row>
    <row r="606" ht="18" customHeight="1" spans="1:23">
      <c r="A606" s="87" t="str">
        <f t="shared" si="27"/>
        <v/>
      </c>
      <c r="B606" s="78"/>
      <c r="C606" s="80"/>
      <c r="D606" s="79"/>
      <c r="E606" s="80"/>
      <c r="F606" s="79"/>
      <c r="G606" s="25" t="str">
        <f t="shared" si="28"/>
        <v/>
      </c>
      <c r="H606" s="88"/>
      <c r="I606" s="93"/>
      <c r="J606" s="97"/>
      <c r="K606" s="88"/>
      <c r="L606" s="25" t="str">
        <f>IF($D606="","",SUMIFS($H$4:$H606,$D$4:$D606,$D606)+SUMIFS($I$4:$I606,$D$4:$D606,$D606)-SUMIFS($J$4:$J606,$D$4:$D606,$D606)-SUMIFS($K$4:$K606,$D$4:$D606,$D606))</f>
        <v/>
      </c>
      <c r="M606" s="80"/>
      <c r="N606" s="80"/>
      <c r="O606" s="94"/>
      <c r="P606" s="26" t="str">
        <f t="shared" si="29"/>
        <v/>
      </c>
      <c r="Q606" s="80"/>
      <c r="R606" s="80"/>
      <c r="S606" s="80"/>
      <c r="T606" s="82"/>
      <c r="U606" s="80"/>
      <c r="V606" s="80"/>
      <c r="W606" s="80"/>
    </row>
    <row r="607" ht="18" customHeight="1" spans="1:23">
      <c r="A607" s="87" t="str">
        <f t="shared" si="27"/>
        <v/>
      </c>
      <c r="B607" s="78"/>
      <c r="C607" s="80"/>
      <c r="D607" s="79"/>
      <c r="E607" s="80"/>
      <c r="F607" s="79"/>
      <c r="G607" s="25" t="str">
        <f t="shared" si="28"/>
        <v/>
      </c>
      <c r="H607" s="88"/>
      <c r="I607" s="93"/>
      <c r="J607" s="97"/>
      <c r="K607" s="88"/>
      <c r="L607" s="25" t="str">
        <f>IF($D607="","",SUMIFS($H$4:$H607,$D$4:$D607,$D607)+SUMIFS($I$4:$I607,$D$4:$D607,$D607)-SUMIFS($J$4:$J607,$D$4:$D607,$D607)-SUMIFS($K$4:$K607,$D$4:$D607,$D607))</f>
        <v/>
      </c>
      <c r="M607" s="80"/>
      <c r="N607" s="80"/>
      <c r="O607" s="94"/>
      <c r="P607" s="26" t="str">
        <f t="shared" si="29"/>
        <v/>
      </c>
      <c r="Q607" s="80"/>
      <c r="R607" s="80"/>
      <c r="S607" s="80"/>
      <c r="T607" s="82"/>
      <c r="U607" s="80"/>
      <c r="V607" s="80"/>
      <c r="W607" s="80"/>
    </row>
    <row r="608" ht="18" customHeight="1" spans="1:23">
      <c r="A608" s="87" t="str">
        <f t="shared" si="27"/>
        <v/>
      </c>
      <c r="B608" s="78"/>
      <c r="C608" s="80"/>
      <c r="D608" s="79"/>
      <c r="E608" s="80"/>
      <c r="F608" s="79"/>
      <c r="G608" s="25" t="str">
        <f t="shared" si="28"/>
        <v/>
      </c>
      <c r="H608" s="88"/>
      <c r="I608" s="93"/>
      <c r="J608" s="97"/>
      <c r="K608" s="88"/>
      <c r="L608" s="25" t="str">
        <f>IF($D608="","",SUMIFS($H$4:$H608,$D$4:$D608,$D608)+SUMIFS($I$4:$I608,$D$4:$D608,$D608)-SUMIFS($J$4:$J608,$D$4:$D608,$D608)-SUMIFS($K$4:$K608,$D$4:$D608,$D608))</f>
        <v/>
      </c>
      <c r="M608" s="80"/>
      <c r="N608" s="80"/>
      <c r="O608" s="94"/>
      <c r="P608" s="26" t="str">
        <f t="shared" si="29"/>
        <v/>
      </c>
      <c r="Q608" s="80"/>
      <c r="R608" s="80"/>
      <c r="S608" s="80"/>
      <c r="T608" s="82"/>
      <c r="U608" s="80"/>
      <c r="V608" s="80"/>
      <c r="W608" s="80"/>
    </row>
    <row r="609" ht="18" customHeight="1" spans="1:23">
      <c r="A609" s="87" t="str">
        <f t="shared" si="27"/>
        <v/>
      </c>
      <c r="B609" s="78"/>
      <c r="C609" s="80"/>
      <c r="D609" s="79"/>
      <c r="E609" s="80"/>
      <c r="F609" s="79"/>
      <c r="G609" s="25" t="str">
        <f t="shared" si="28"/>
        <v/>
      </c>
      <c r="H609" s="88"/>
      <c r="I609" s="93"/>
      <c r="J609" s="97"/>
      <c r="K609" s="88"/>
      <c r="L609" s="25" t="str">
        <f>IF($D609="","",SUMIFS($H$4:$H609,$D$4:$D609,$D609)+SUMIFS($I$4:$I609,$D$4:$D609,$D609)-SUMIFS($J$4:$J609,$D$4:$D609,$D609)-SUMIFS($K$4:$K609,$D$4:$D609,$D609))</f>
        <v/>
      </c>
      <c r="M609" s="80"/>
      <c r="N609" s="80"/>
      <c r="O609" s="94"/>
      <c r="P609" s="26" t="str">
        <f t="shared" si="29"/>
        <v/>
      </c>
      <c r="Q609" s="80"/>
      <c r="R609" s="80"/>
      <c r="S609" s="80"/>
      <c r="T609" s="82"/>
      <c r="U609" s="80"/>
      <c r="V609" s="80"/>
      <c r="W609" s="80"/>
    </row>
    <row r="610" ht="18" customHeight="1" spans="1:23">
      <c r="A610" s="87" t="str">
        <f t="shared" si="27"/>
        <v/>
      </c>
      <c r="B610" s="78"/>
      <c r="C610" s="80"/>
      <c r="D610" s="79"/>
      <c r="E610" s="80"/>
      <c r="F610" s="79"/>
      <c r="G610" s="25" t="str">
        <f t="shared" si="28"/>
        <v/>
      </c>
      <c r="H610" s="88"/>
      <c r="I610" s="93"/>
      <c r="J610" s="97"/>
      <c r="K610" s="88"/>
      <c r="L610" s="25" t="str">
        <f>IF($D610="","",SUMIFS($H$4:$H610,$D$4:$D610,$D610)+SUMIFS($I$4:$I610,$D$4:$D610,$D610)-SUMIFS($J$4:$J610,$D$4:$D610,$D610)-SUMIFS($K$4:$K610,$D$4:$D610,$D610))</f>
        <v/>
      </c>
      <c r="M610" s="80"/>
      <c r="N610" s="80"/>
      <c r="O610" s="94"/>
      <c r="P610" s="26" t="str">
        <f t="shared" si="29"/>
        <v/>
      </c>
      <c r="Q610" s="80"/>
      <c r="R610" s="80"/>
      <c r="S610" s="80"/>
      <c r="T610" s="82"/>
      <c r="U610" s="80"/>
      <c r="V610" s="80"/>
      <c r="W610" s="80"/>
    </row>
    <row r="611" ht="18" customHeight="1" spans="1:23">
      <c r="A611" s="87" t="str">
        <f t="shared" si="27"/>
        <v/>
      </c>
      <c r="B611" s="78"/>
      <c r="C611" s="80"/>
      <c r="D611" s="79"/>
      <c r="E611" s="80"/>
      <c r="F611" s="79"/>
      <c r="G611" s="25" t="str">
        <f t="shared" si="28"/>
        <v/>
      </c>
      <c r="H611" s="88"/>
      <c r="I611" s="93"/>
      <c r="J611" s="97"/>
      <c r="K611" s="88"/>
      <c r="L611" s="25" t="str">
        <f>IF($D611="","",SUMIFS($H$4:$H611,$D$4:$D611,$D611)+SUMIFS($I$4:$I611,$D$4:$D611,$D611)-SUMIFS($J$4:$J611,$D$4:$D611,$D611)-SUMIFS($K$4:$K611,$D$4:$D611,$D611))</f>
        <v/>
      </c>
      <c r="M611" s="80"/>
      <c r="N611" s="80"/>
      <c r="O611" s="94"/>
      <c r="P611" s="26" t="str">
        <f t="shared" si="29"/>
        <v/>
      </c>
      <c r="Q611" s="80"/>
      <c r="R611" s="80"/>
      <c r="S611" s="80"/>
      <c r="T611" s="82"/>
      <c r="U611" s="80"/>
      <c r="V611" s="80"/>
      <c r="W611" s="80"/>
    </row>
    <row r="612" ht="18" customHeight="1" spans="1:23">
      <c r="A612" s="87" t="str">
        <f t="shared" si="27"/>
        <v/>
      </c>
      <c r="B612" s="78"/>
      <c r="C612" s="80"/>
      <c r="D612" s="79"/>
      <c r="E612" s="80"/>
      <c r="F612" s="79"/>
      <c r="G612" s="25" t="str">
        <f t="shared" si="28"/>
        <v/>
      </c>
      <c r="H612" s="88"/>
      <c r="I612" s="93"/>
      <c r="J612" s="97"/>
      <c r="K612" s="88"/>
      <c r="L612" s="25" t="str">
        <f>IF($D612="","",SUMIFS($H$4:$H612,$D$4:$D612,$D612)+SUMIFS($I$4:$I612,$D$4:$D612,$D612)-SUMIFS($J$4:$J612,$D$4:$D612,$D612)-SUMIFS($K$4:$K612,$D$4:$D612,$D612))</f>
        <v/>
      </c>
      <c r="M612" s="80"/>
      <c r="N612" s="80"/>
      <c r="O612" s="94"/>
      <c r="P612" s="26" t="str">
        <f t="shared" si="29"/>
        <v/>
      </c>
      <c r="Q612" s="80"/>
      <c r="R612" s="80"/>
      <c r="S612" s="80"/>
      <c r="T612" s="82"/>
      <c r="U612" s="80"/>
      <c r="V612" s="80"/>
      <c r="W612" s="80"/>
    </row>
    <row r="613" ht="18" customHeight="1" spans="1:23">
      <c r="A613" s="87" t="str">
        <f t="shared" si="27"/>
        <v/>
      </c>
      <c r="B613" s="78"/>
      <c r="C613" s="80"/>
      <c r="D613" s="79"/>
      <c r="E613" s="80"/>
      <c r="F613" s="79"/>
      <c r="G613" s="25" t="str">
        <f t="shared" si="28"/>
        <v/>
      </c>
      <c r="H613" s="88"/>
      <c r="I613" s="93"/>
      <c r="J613" s="97"/>
      <c r="K613" s="88"/>
      <c r="L613" s="25" t="str">
        <f>IF($D613="","",SUMIFS($H$4:$H613,$D$4:$D613,$D613)+SUMIFS($I$4:$I613,$D$4:$D613,$D613)-SUMIFS($J$4:$J613,$D$4:$D613,$D613)-SUMIFS($K$4:$K613,$D$4:$D613,$D613))</f>
        <v/>
      </c>
      <c r="M613" s="80"/>
      <c r="N613" s="80"/>
      <c r="O613" s="94"/>
      <c r="P613" s="26" t="str">
        <f t="shared" si="29"/>
        <v/>
      </c>
      <c r="Q613" s="80"/>
      <c r="R613" s="80"/>
      <c r="S613" s="80"/>
      <c r="T613" s="82"/>
      <c r="U613" s="80"/>
      <c r="V613" s="80"/>
      <c r="W613" s="80"/>
    </row>
    <row r="614" ht="18" customHeight="1" spans="1:23">
      <c r="A614" s="87" t="str">
        <f t="shared" si="27"/>
        <v/>
      </c>
      <c r="B614" s="78"/>
      <c r="C614" s="80"/>
      <c r="D614" s="79"/>
      <c r="E614" s="80"/>
      <c r="F614" s="79"/>
      <c r="G614" s="25" t="str">
        <f t="shared" si="28"/>
        <v/>
      </c>
      <c r="H614" s="88"/>
      <c r="I614" s="93"/>
      <c r="J614" s="97"/>
      <c r="K614" s="88"/>
      <c r="L614" s="25" t="str">
        <f>IF($D614="","",SUMIFS($H$4:$H614,$D$4:$D614,$D614)+SUMIFS($I$4:$I614,$D$4:$D614,$D614)-SUMIFS($J$4:$J614,$D$4:$D614,$D614)-SUMIFS($K$4:$K614,$D$4:$D614,$D614))</f>
        <v/>
      </c>
      <c r="M614" s="80"/>
      <c r="N614" s="80"/>
      <c r="O614" s="94"/>
      <c r="P614" s="26" t="str">
        <f t="shared" si="29"/>
        <v/>
      </c>
      <c r="Q614" s="80"/>
      <c r="R614" s="80"/>
      <c r="S614" s="80"/>
      <c r="T614" s="82"/>
      <c r="U614" s="80"/>
      <c r="V614" s="80"/>
      <c r="W614" s="80"/>
    </row>
    <row r="615" ht="18" customHeight="1" spans="1:23">
      <c r="A615" s="87" t="str">
        <f t="shared" si="27"/>
        <v/>
      </c>
      <c r="B615" s="78"/>
      <c r="C615" s="80"/>
      <c r="D615" s="79"/>
      <c r="E615" s="80"/>
      <c r="F615" s="79"/>
      <c r="G615" s="25" t="str">
        <f t="shared" si="28"/>
        <v/>
      </c>
      <c r="H615" s="88"/>
      <c r="I615" s="93"/>
      <c r="J615" s="97"/>
      <c r="K615" s="88"/>
      <c r="L615" s="25" t="str">
        <f>IF($D615="","",SUMIFS($H$4:$H615,$D$4:$D615,$D615)+SUMIFS($I$4:$I615,$D$4:$D615,$D615)-SUMIFS($J$4:$J615,$D$4:$D615,$D615)-SUMIFS($K$4:$K615,$D$4:$D615,$D615))</f>
        <v/>
      </c>
      <c r="M615" s="80"/>
      <c r="N615" s="80"/>
      <c r="O615" s="94"/>
      <c r="P615" s="26" t="str">
        <f t="shared" si="29"/>
        <v/>
      </c>
      <c r="Q615" s="80"/>
      <c r="R615" s="80"/>
      <c r="S615" s="80"/>
      <c r="T615" s="82"/>
      <c r="U615" s="80"/>
      <c r="V615" s="80"/>
      <c r="W615" s="80"/>
    </row>
    <row r="616" ht="18" customHeight="1" spans="1:23">
      <c r="A616" s="87" t="str">
        <f t="shared" si="27"/>
        <v/>
      </c>
      <c r="B616" s="78"/>
      <c r="C616" s="80"/>
      <c r="D616" s="79"/>
      <c r="E616" s="80"/>
      <c r="F616" s="79"/>
      <c r="G616" s="25" t="str">
        <f t="shared" si="28"/>
        <v/>
      </c>
      <c r="H616" s="88"/>
      <c r="I616" s="93"/>
      <c r="J616" s="97"/>
      <c r="K616" s="88"/>
      <c r="L616" s="25" t="str">
        <f>IF($D616="","",SUMIFS($H$4:$H616,$D$4:$D616,$D616)+SUMIFS($I$4:$I616,$D$4:$D616,$D616)-SUMIFS($J$4:$J616,$D$4:$D616,$D616)-SUMIFS($K$4:$K616,$D$4:$D616,$D616))</f>
        <v/>
      </c>
      <c r="M616" s="80"/>
      <c r="N616" s="80"/>
      <c r="O616" s="94"/>
      <c r="P616" s="26" t="str">
        <f t="shared" si="29"/>
        <v/>
      </c>
      <c r="Q616" s="80"/>
      <c r="R616" s="80"/>
      <c r="S616" s="80"/>
      <c r="T616" s="82"/>
      <c r="U616" s="80"/>
      <c r="V616" s="80"/>
      <c r="W616" s="80"/>
    </row>
    <row r="617" ht="18" customHeight="1" spans="1:23">
      <c r="A617" s="87" t="str">
        <f t="shared" si="27"/>
        <v/>
      </c>
      <c r="B617" s="78"/>
      <c r="C617" s="80"/>
      <c r="D617" s="79"/>
      <c r="E617" s="80"/>
      <c r="F617" s="79"/>
      <c r="G617" s="25" t="str">
        <f t="shared" si="28"/>
        <v/>
      </c>
      <c r="H617" s="88"/>
      <c r="I617" s="93"/>
      <c r="J617" s="97"/>
      <c r="K617" s="88"/>
      <c r="L617" s="25" t="str">
        <f>IF($D617="","",SUMIFS($H$4:$H617,$D$4:$D617,$D617)+SUMIFS($I$4:$I617,$D$4:$D617,$D617)-SUMIFS($J$4:$J617,$D$4:$D617,$D617)-SUMIFS($K$4:$K617,$D$4:$D617,$D617))</f>
        <v/>
      </c>
      <c r="M617" s="80"/>
      <c r="N617" s="80"/>
      <c r="O617" s="94"/>
      <c r="P617" s="26" t="str">
        <f t="shared" si="29"/>
        <v/>
      </c>
      <c r="Q617" s="80"/>
      <c r="R617" s="80"/>
      <c r="S617" s="80"/>
      <c r="T617" s="82"/>
      <c r="U617" s="80"/>
      <c r="V617" s="80"/>
      <c r="W617" s="80"/>
    </row>
    <row r="618" ht="18" customHeight="1" spans="1:23">
      <c r="A618" s="87" t="str">
        <f t="shared" si="27"/>
        <v/>
      </c>
      <c r="B618" s="78"/>
      <c r="C618" s="80"/>
      <c r="D618" s="79"/>
      <c r="E618" s="80"/>
      <c r="F618" s="79"/>
      <c r="G618" s="25" t="str">
        <f t="shared" si="28"/>
        <v/>
      </c>
      <c r="H618" s="88"/>
      <c r="I618" s="93"/>
      <c r="J618" s="97"/>
      <c r="K618" s="88"/>
      <c r="L618" s="25" t="str">
        <f>IF($D618="","",SUMIFS($H$4:$H618,$D$4:$D618,$D618)+SUMIFS($I$4:$I618,$D$4:$D618,$D618)-SUMIFS($J$4:$J618,$D$4:$D618,$D618)-SUMIFS($K$4:$K618,$D$4:$D618,$D618))</f>
        <v/>
      </c>
      <c r="M618" s="80"/>
      <c r="N618" s="80"/>
      <c r="O618" s="94"/>
      <c r="P618" s="26" t="str">
        <f t="shared" si="29"/>
        <v/>
      </c>
      <c r="Q618" s="80"/>
      <c r="R618" s="80"/>
      <c r="S618" s="80"/>
      <c r="T618" s="82"/>
      <c r="U618" s="80"/>
      <c r="V618" s="80"/>
      <c r="W618" s="80"/>
    </row>
    <row r="619" ht="18" customHeight="1" spans="1:23">
      <c r="A619" s="87" t="str">
        <f t="shared" si="27"/>
        <v/>
      </c>
      <c r="B619" s="78"/>
      <c r="C619" s="80"/>
      <c r="D619" s="79"/>
      <c r="E619" s="80"/>
      <c r="F619" s="79"/>
      <c r="G619" s="25" t="str">
        <f t="shared" si="28"/>
        <v/>
      </c>
      <c r="H619" s="88"/>
      <c r="I619" s="93"/>
      <c r="J619" s="97"/>
      <c r="K619" s="88"/>
      <c r="L619" s="25" t="str">
        <f>IF($D619="","",SUMIFS($H$4:$H619,$D$4:$D619,$D619)+SUMIFS($I$4:$I619,$D$4:$D619,$D619)-SUMIFS($J$4:$J619,$D$4:$D619,$D619)-SUMIFS($K$4:$K619,$D$4:$D619,$D619))</f>
        <v/>
      </c>
      <c r="M619" s="80"/>
      <c r="N619" s="80"/>
      <c r="O619" s="94"/>
      <c r="P619" s="26" t="str">
        <f t="shared" si="29"/>
        <v/>
      </c>
      <c r="Q619" s="80"/>
      <c r="R619" s="80"/>
      <c r="S619" s="80"/>
      <c r="T619" s="82"/>
      <c r="U619" s="80"/>
      <c r="V619" s="80"/>
      <c r="W619" s="80"/>
    </row>
    <row r="620" ht="18" customHeight="1" spans="1:23">
      <c r="A620" s="87" t="str">
        <f t="shared" si="27"/>
        <v/>
      </c>
      <c r="B620" s="78"/>
      <c r="C620" s="80"/>
      <c r="D620" s="79"/>
      <c r="E620" s="80"/>
      <c r="F620" s="79"/>
      <c r="G620" s="25" t="str">
        <f t="shared" si="28"/>
        <v/>
      </c>
      <c r="H620" s="88"/>
      <c r="I620" s="93"/>
      <c r="J620" s="97"/>
      <c r="K620" s="88"/>
      <c r="L620" s="25" t="str">
        <f>IF($D620="","",SUMIFS($H$4:$H620,$D$4:$D620,$D620)+SUMIFS($I$4:$I620,$D$4:$D620,$D620)-SUMIFS($J$4:$J620,$D$4:$D620,$D620)-SUMIFS($K$4:$K620,$D$4:$D620,$D620))</f>
        <v/>
      </c>
      <c r="M620" s="80"/>
      <c r="N620" s="80"/>
      <c r="O620" s="94"/>
      <c r="P620" s="26" t="str">
        <f t="shared" si="29"/>
        <v/>
      </c>
      <c r="Q620" s="80"/>
      <c r="R620" s="80"/>
      <c r="S620" s="80"/>
      <c r="T620" s="82"/>
      <c r="U620" s="80"/>
      <c r="V620" s="80"/>
      <c r="W620" s="80"/>
    </row>
    <row r="621" ht="18" customHeight="1" spans="1:23">
      <c r="A621" s="87" t="str">
        <f t="shared" si="27"/>
        <v/>
      </c>
      <c r="B621" s="78"/>
      <c r="C621" s="80"/>
      <c r="D621" s="79"/>
      <c r="E621" s="80"/>
      <c r="F621" s="79"/>
      <c r="G621" s="25" t="str">
        <f t="shared" si="28"/>
        <v/>
      </c>
      <c r="H621" s="88"/>
      <c r="I621" s="93"/>
      <c r="J621" s="97"/>
      <c r="K621" s="88"/>
      <c r="L621" s="25" t="str">
        <f>IF($D621="","",SUMIFS($H$4:$H621,$D$4:$D621,$D621)+SUMIFS($I$4:$I621,$D$4:$D621,$D621)-SUMIFS($J$4:$J621,$D$4:$D621,$D621)-SUMIFS($K$4:$K621,$D$4:$D621,$D621))</f>
        <v/>
      </c>
      <c r="M621" s="80"/>
      <c r="N621" s="80"/>
      <c r="O621" s="94"/>
      <c r="P621" s="26" t="str">
        <f t="shared" si="29"/>
        <v/>
      </c>
      <c r="Q621" s="80"/>
      <c r="R621" s="80"/>
      <c r="S621" s="80"/>
      <c r="T621" s="82"/>
      <c r="U621" s="80"/>
      <c r="V621" s="80"/>
      <c r="W621" s="80"/>
    </row>
    <row r="622" ht="18" customHeight="1" spans="1:23">
      <c r="A622" s="87" t="str">
        <f t="shared" si="27"/>
        <v/>
      </c>
      <c r="B622" s="78"/>
      <c r="C622" s="80"/>
      <c r="D622" s="79"/>
      <c r="E622" s="80"/>
      <c r="F622" s="79"/>
      <c r="G622" s="25" t="str">
        <f t="shared" si="28"/>
        <v/>
      </c>
      <c r="H622" s="88"/>
      <c r="I622" s="93"/>
      <c r="J622" s="97"/>
      <c r="K622" s="88"/>
      <c r="L622" s="25" t="str">
        <f>IF($D622="","",SUMIFS($H$4:$H622,$D$4:$D622,$D622)+SUMIFS($I$4:$I622,$D$4:$D622,$D622)-SUMIFS($J$4:$J622,$D$4:$D622,$D622)-SUMIFS($K$4:$K622,$D$4:$D622,$D622))</f>
        <v/>
      </c>
      <c r="M622" s="80"/>
      <c r="N622" s="80"/>
      <c r="O622" s="94"/>
      <c r="P622" s="26" t="str">
        <f t="shared" si="29"/>
        <v/>
      </c>
      <c r="Q622" s="80"/>
      <c r="R622" s="80"/>
      <c r="S622" s="80"/>
      <c r="T622" s="82"/>
      <c r="U622" s="80"/>
      <c r="V622" s="80"/>
      <c r="W622" s="80"/>
    </row>
    <row r="623" ht="18" customHeight="1" spans="1:23">
      <c r="A623" s="87" t="str">
        <f t="shared" si="27"/>
        <v/>
      </c>
      <c r="B623" s="78"/>
      <c r="C623" s="80"/>
      <c r="D623" s="79"/>
      <c r="E623" s="80"/>
      <c r="F623" s="79"/>
      <c r="G623" s="25" t="str">
        <f t="shared" si="28"/>
        <v/>
      </c>
      <c r="H623" s="88"/>
      <c r="I623" s="93"/>
      <c r="J623" s="97"/>
      <c r="K623" s="88"/>
      <c r="L623" s="25" t="str">
        <f>IF($D623="","",SUMIFS($H$4:$H623,$D$4:$D623,$D623)+SUMIFS($I$4:$I623,$D$4:$D623,$D623)-SUMIFS($J$4:$J623,$D$4:$D623,$D623)-SUMIFS($K$4:$K623,$D$4:$D623,$D623))</f>
        <v/>
      </c>
      <c r="M623" s="80"/>
      <c r="N623" s="80"/>
      <c r="O623" s="94"/>
      <c r="P623" s="26" t="str">
        <f t="shared" si="29"/>
        <v/>
      </c>
      <c r="Q623" s="80"/>
      <c r="R623" s="80"/>
      <c r="S623" s="80"/>
      <c r="T623" s="82"/>
      <c r="U623" s="80"/>
      <c r="V623" s="80"/>
      <c r="W623" s="80"/>
    </row>
    <row r="624" ht="18" customHeight="1" spans="1:23">
      <c r="A624" s="87" t="str">
        <f t="shared" si="27"/>
        <v/>
      </c>
      <c r="B624" s="78"/>
      <c r="C624" s="80"/>
      <c r="D624" s="79"/>
      <c r="E624" s="80"/>
      <c r="F624" s="79"/>
      <c r="G624" s="25" t="str">
        <f t="shared" si="28"/>
        <v/>
      </c>
      <c r="H624" s="88"/>
      <c r="I624" s="93"/>
      <c r="J624" s="97"/>
      <c r="K624" s="88"/>
      <c r="L624" s="25" t="str">
        <f>IF($D624="","",SUMIFS($H$4:$H624,$D$4:$D624,$D624)+SUMIFS($I$4:$I624,$D$4:$D624,$D624)-SUMIFS($J$4:$J624,$D$4:$D624,$D624)-SUMIFS($K$4:$K624,$D$4:$D624,$D624))</f>
        <v/>
      </c>
      <c r="M624" s="80"/>
      <c r="N624" s="80"/>
      <c r="O624" s="94"/>
      <c r="P624" s="26" t="str">
        <f t="shared" si="29"/>
        <v/>
      </c>
      <c r="Q624" s="80"/>
      <c r="R624" s="80"/>
      <c r="S624" s="80"/>
      <c r="T624" s="82"/>
      <c r="U624" s="80"/>
      <c r="V624" s="80"/>
      <c r="W624" s="80"/>
    </row>
    <row r="625" ht="18" customHeight="1" spans="1:23">
      <c r="A625" s="87" t="str">
        <f t="shared" si="27"/>
        <v/>
      </c>
      <c r="B625" s="78"/>
      <c r="C625" s="80"/>
      <c r="D625" s="79"/>
      <c r="E625" s="80"/>
      <c r="F625" s="79"/>
      <c r="G625" s="25" t="str">
        <f t="shared" si="28"/>
        <v/>
      </c>
      <c r="H625" s="88"/>
      <c r="I625" s="93"/>
      <c r="J625" s="97"/>
      <c r="K625" s="88"/>
      <c r="L625" s="25" t="str">
        <f>IF($D625="","",SUMIFS($H$4:$H625,$D$4:$D625,$D625)+SUMIFS($I$4:$I625,$D$4:$D625,$D625)-SUMIFS($J$4:$J625,$D$4:$D625,$D625)-SUMIFS($K$4:$K625,$D$4:$D625,$D625))</f>
        <v/>
      </c>
      <c r="M625" s="80"/>
      <c r="N625" s="80"/>
      <c r="O625" s="94"/>
      <c r="P625" s="26" t="str">
        <f t="shared" si="29"/>
        <v/>
      </c>
      <c r="Q625" s="80"/>
      <c r="R625" s="80"/>
      <c r="S625" s="80"/>
      <c r="T625" s="82"/>
      <c r="U625" s="80"/>
      <c r="V625" s="80"/>
      <c r="W625" s="80"/>
    </row>
    <row r="626" ht="18" customHeight="1" spans="1:23">
      <c r="A626" s="87" t="str">
        <f t="shared" si="27"/>
        <v/>
      </c>
      <c r="B626" s="78"/>
      <c r="C626" s="80"/>
      <c r="D626" s="79"/>
      <c r="E626" s="80"/>
      <c r="F626" s="79"/>
      <c r="G626" s="25" t="str">
        <f t="shared" si="28"/>
        <v/>
      </c>
      <c r="H626" s="88"/>
      <c r="I626" s="93"/>
      <c r="J626" s="97"/>
      <c r="K626" s="88"/>
      <c r="L626" s="25" t="str">
        <f>IF($D626="","",SUMIFS($H$4:$H626,$D$4:$D626,$D626)+SUMIFS($I$4:$I626,$D$4:$D626,$D626)-SUMIFS($J$4:$J626,$D$4:$D626,$D626)-SUMIFS($K$4:$K626,$D$4:$D626,$D626))</f>
        <v/>
      </c>
      <c r="M626" s="80"/>
      <c r="N626" s="80"/>
      <c r="O626" s="94"/>
      <c r="P626" s="26" t="str">
        <f t="shared" si="29"/>
        <v/>
      </c>
      <c r="Q626" s="80"/>
      <c r="R626" s="80"/>
      <c r="S626" s="80"/>
      <c r="T626" s="82"/>
      <c r="U626" s="80"/>
      <c r="V626" s="80"/>
      <c r="W626" s="80"/>
    </row>
    <row r="627" ht="18" customHeight="1" spans="1:23">
      <c r="A627" s="87" t="str">
        <f t="shared" si="27"/>
        <v/>
      </c>
      <c r="B627" s="78"/>
      <c r="C627" s="80"/>
      <c r="D627" s="79"/>
      <c r="E627" s="80"/>
      <c r="F627" s="79"/>
      <c r="G627" s="25" t="str">
        <f t="shared" si="28"/>
        <v/>
      </c>
      <c r="H627" s="88"/>
      <c r="I627" s="93"/>
      <c r="J627" s="97"/>
      <c r="K627" s="88"/>
      <c r="L627" s="25" t="str">
        <f>IF($D627="","",SUMIFS($H$4:$H627,$D$4:$D627,$D627)+SUMIFS($I$4:$I627,$D$4:$D627,$D627)-SUMIFS($J$4:$J627,$D$4:$D627,$D627)-SUMIFS($K$4:$K627,$D$4:$D627,$D627))</f>
        <v/>
      </c>
      <c r="M627" s="80"/>
      <c r="N627" s="80"/>
      <c r="O627" s="94"/>
      <c r="P627" s="26" t="str">
        <f t="shared" si="29"/>
        <v/>
      </c>
      <c r="Q627" s="80"/>
      <c r="R627" s="80"/>
      <c r="S627" s="80"/>
      <c r="T627" s="82"/>
      <c r="U627" s="80"/>
      <c r="V627" s="80"/>
      <c r="W627" s="80"/>
    </row>
    <row r="628" ht="18" customHeight="1" spans="1:23">
      <c r="A628" s="87" t="str">
        <f t="shared" si="27"/>
        <v/>
      </c>
      <c r="B628" s="78"/>
      <c r="C628" s="80"/>
      <c r="D628" s="79"/>
      <c r="E628" s="80"/>
      <c r="F628" s="79"/>
      <c r="G628" s="25" t="str">
        <f t="shared" si="28"/>
        <v/>
      </c>
      <c r="H628" s="88"/>
      <c r="I628" s="93"/>
      <c r="J628" s="97"/>
      <c r="K628" s="88"/>
      <c r="L628" s="25" t="str">
        <f>IF($D628="","",SUMIFS($H$4:$H628,$D$4:$D628,$D628)+SUMIFS($I$4:$I628,$D$4:$D628,$D628)-SUMIFS($J$4:$J628,$D$4:$D628,$D628)-SUMIFS($K$4:$K628,$D$4:$D628,$D628))</f>
        <v/>
      </c>
      <c r="M628" s="80"/>
      <c r="N628" s="80"/>
      <c r="O628" s="94"/>
      <c r="P628" s="26" t="str">
        <f t="shared" si="29"/>
        <v/>
      </c>
      <c r="Q628" s="80"/>
      <c r="R628" s="80"/>
      <c r="S628" s="80"/>
      <c r="T628" s="82"/>
      <c r="U628" s="80"/>
      <c r="V628" s="80"/>
      <c r="W628" s="80"/>
    </row>
    <row r="629" ht="18" customHeight="1" spans="1:23">
      <c r="A629" s="87" t="str">
        <f t="shared" si="27"/>
        <v/>
      </c>
      <c r="B629" s="78"/>
      <c r="C629" s="80"/>
      <c r="D629" s="79"/>
      <c r="E629" s="80"/>
      <c r="F629" s="79"/>
      <c r="G629" s="25" t="str">
        <f t="shared" si="28"/>
        <v/>
      </c>
      <c r="H629" s="88"/>
      <c r="I629" s="93"/>
      <c r="J629" s="97"/>
      <c r="K629" s="88"/>
      <c r="L629" s="25" t="str">
        <f>IF($D629="","",SUMIFS($H$4:$H629,$D$4:$D629,$D629)+SUMIFS($I$4:$I629,$D$4:$D629,$D629)-SUMIFS($J$4:$J629,$D$4:$D629,$D629)-SUMIFS($K$4:$K629,$D$4:$D629,$D629))</f>
        <v/>
      </c>
      <c r="M629" s="80"/>
      <c r="N629" s="80"/>
      <c r="O629" s="94"/>
      <c r="P629" s="26" t="str">
        <f t="shared" si="29"/>
        <v/>
      </c>
      <c r="Q629" s="80"/>
      <c r="R629" s="80"/>
      <c r="S629" s="80"/>
      <c r="T629" s="82"/>
      <c r="U629" s="80"/>
      <c r="V629" s="80"/>
      <c r="W629" s="80"/>
    </row>
    <row r="630" ht="18" customHeight="1" spans="1:23">
      <c r="A630" s="87" t="str">
        <f t="shared" si="27"/>
        <v/>
      </c>
      <c r="B630" s="78"/>
      <c r="C630" s="80"/>
      <c r="D630" s="79"/>
      <c r="E630" s="80"/>
      <c r="F630" s="79"/>
      <c r="G630" s="25" t="str">
        <f t="shared" si="28"/>
        <v/>
      </c>
      <c r="H630" s="88"/>
      <c r="I630" s="93"/>
      <c r="J630" s="97"/>
      <c r="K630" s="88"/>
      <c r="L630" s="25" t="str">
        <f>IF($D630="","",SUMIFS($H$4:$H630,$D$4:$D630,$D630)+SUMIFS($I$4:$I630,$D$4:$D630,$D630)-SUMIFS($J$4:$J630,$D$4:$D630,$D630)-SUMIFS($K$4:$K630,$D$4:$D630,$D630))</f>
        <v/>
      </c>
      <c r="M630" s="80"/>
      <c r="N630" s="80"/>
      <c r="O630" s="94"/>
      <c r="P630" s="26" t="str">
        <f t="shared" si="29"/>
        <v/>
      </c>
      <c r="Q630" s="80"/>
      <c r="R630" s="80"/>
      <c r="S630" s="80"/>
      <c r="T630" s="82"/>
      <c r="U630" s="80"/>
      <c r="V630" s="80"/>
      <c r="W630" s="80"/>
    </row>
    <row r="631" ht="18" customHeight="1" spans="1:23">
      <c r="A631" s="87" t="str">
        <f t="shared" si="27"/>
        <v/>
      </c>
      <c r="B631" s="78"/>
      <c r="C631" s="80"/>
      <c r="D631" s="79"/>
      <c r="E631" s="80"/>
      <c r="F631" s="79"/>
      <c r="G631" s="25" t="str">
        <f t="shared" si="28"/>
        <v/>
      </c>
      <c r="H631" s="88"/>
      <c r="I631" s="93"/>
      <c r="J631" s="97"/>
      <c r="K631" s="88"/>
      <c r="L631" s="25" t="str">
        <f>IF($D631="","",SUMIFS($H$4:$H631,$D$4:$D631,$D631)+SUMIFS($I$4:$I631,$D$4:$D631,$D631)-SUMIFS($J$4:$J631,$D$4:$D631,$D631)-SUMIFS($K$4:$K631,$D$4:$D631,$D631))</f>
        <v/>
      </c>
      <c r="M631" s="80"/>
      <c r="N631" s="80"/>
      <c r="O631" s="94"/>
      <c r="P631" s="26" t="str">
        <f t="shared" si="29"/>
        <v/>
      </c>
      <c r="Q631" s="80"/>
      <c r="R631" s="80"/>
      <c r="S631" s="80"/>
      <c r="T631" s="82"/>
      <c r="U631" s="80"/>
      <c r="V631" s="80"/>
      <c r="W631" s="80"/>
    </row>
    <row r="632" ht="18" customHeight="1" spans="1:23">
      <c r="A632" s="87" t="str">
        <f t="shared" si="27"/>
        <v/>
      </c>
      <c r="B632" s="78"/>
      <c r="C632" s="80"/>
      <c r="D632" s="79"/>
      <c r="E632" s="80"/>
      <c r="F632" s="79"/>
      <c r="G632" s="25" t="str">
        <f t="shared" si="28"/>
        <v/>
      </c>
      <c r="H632" s="88"/>
      <c r="I632" s="93"/>
      <c r="J632" s="97"/>
      <c r="K632" s="88"/>
      <c r="L632" s="25" t="str">
        <f>IF($D632="","",SUMIFS($H$4:$H632,$D$4:$D632,$D632)+SUMIFS($I$4:$I632,$D$4:$D632,$D632)-SUMIFS($J$4:$J632,$D$4:$D632,$D632)-SUMIFS($K$4:$K632,$D$4:$D632,$D632))</f>
        <v/>
      </c>
      <c r="M632" s="80"/>
      <c r="N632" s="80"/>
      <c r="O632" s="94"/>
      <c r="P632" s="26" t="str">
        <f t="shared" si="29"/>
        <v/>
      </c>
      <c r="Q632" s="80"/>
      <c r="R632" s="80"/>
      <c r="S632" s="80"/>
      <c r="T632" s="82"/>
      <c r="U632" s="80"/>
      <c r="V632" s="80"/>
      <c r="W632" s="80"/>
    </row>
    <row r="633" ht="18" customHeight="1" spans="1:23">
      <c r="A633" s="87" t="str">
        <f t="shared" si="27"/>
        <v/>
      </c>
      <c r="B633" s="78"/>
      <c r="C633" s="80"/>
      <c r="D633" s="79"/>
      <c r="E633" s="80"/>
      <c r="F633" s="79"/>
      <c r="G633" s="25" t="str">
        <f t="shared" si="28"/>
        <v/>
      </c>
      <c r="H633" s="88"/>
      <c r="I633" s="93"/>
      <c r="J633" s="97"/>
      <c r="K633" s="88"/>
      <c r="L633" s="25" t="str">
        <f>IF($D633="","",SUMIFS($H$4:$H633,$D$4:$D633,$D633)+SUMIFS($I$4:$I633,$D$4:$D633,$D633)-SUMIFS($J$4:$J633,$D$4:$D633,$D633)-SUMIFS($K$4:$K633,$D$4:$D633,$D633))</f>
        <v/>
      </c>
      <c r="M633" s="80"/>
      <c r="N633" s="80"/>
      <c r="O633" s="94"/>
      <c r="P633" s="26" t="str">
        <f t="shared" si="29"/>
        <v/>
      </c>
      <c r="Q633" s="80"/>
      <c r="R633" s="80"/>
      <c r="S633" s="80"/>
      <c r="T633" s="82"/>
      <c r="U633" s="80"/>
      <c r="V633" s="80"/>
      <c r="W633" s="80"/>
    </row>
    <row r="634" ht="18" customHeight="1" spans="1:23">
      <c r="A634" s="87" t="str">
        <f t="shared" si="27"/>
        <v/>
      </c>
      <c r="B634" s="78"/>
      <c r="C634" s="80"/>
      <c r="D634" s="79"/>
      <c r="E634" s="80"/>
      <c r="F634" s="79"/>
      <c r="G634" s="25" t="str">
        <f t="shared" si="28"/>
        <v/>
      </c>
      <c r="H634" s="88"/>
      <c r="I634" s="93"/>
      <c r="J634" s="97"/>
      <c r="K634" s="88"/>
      <c r="L634" s="25" t="str">
        <f>IF($D634="","",SUMIFS($H$4:$H634,$D$4:$D634,$D634)+SUMIFS($I$4:$I634,$D$4:$D634,$D634)-SUMIFS($J$4:$J634,$D$4:$D634,$D634)-SUMIFS($K$4:$K634,$D$4:$D634,$D634))</f>
        <v/>
      </c>
      <c r="M634" s="80"/>
      <c r="N634" s="80"/>
      <c r="O634" s="94"/>
      <c r="P634" s="26" t="str">
        <f t="shared" si="29"/>
        <v/>
      </c>
      <c r="Q634" s="80"/>
      <c r="R634" s="80"/>
      <c r="S634" s="80"/>
      <c r="T634" s="82"/>
      <c r="U634" s="80"/>
      <c r="V634" s="80"/>
      <c r="W634" s="80"/>
    </row>
    <row r="635" ht="18" customHeight="1" spans="1:23">
      <c r="A635" s="87" t="str">
        <f t="shared" si="27"/>
        <v/>
      </c>
      <c r="B635" s="78"/>
      <c r="C635" s="80"/>
      <c r="D635" s="79"/>
      <c r="E635" s="80"/>
      <c r="F635" s="79"/>
      <c r="G635" s="25" t="str">
        <f t="shared" si="28"/>
        <v/>
      </c>
      <c r="H635" s="88"/>
      <c r="I635" s="93"/>
      <c r="J635" s="97"/>
      <c r="K635" s="88"/>
      <c r="L635" s="25" t="str">
        <f>IF($D635="","",SUMIFS($H$4:$H635,$D$4:$D635,$D635)+SUMIFS($I$4:$I635,$D$4:$D635,$D635)-SUMIFS($J$4:$J635,$D$4:$D635,$D635)-SUMIFS($K$4:$K635,$D$4:$D635,$D635))</f>
        <v/>
      </c>
      <c r="M635" s="80"/>
      <c r="N635" s="80"/>
      <c r="O635" s="94"/>
      <c r="P635" s="26" t="str">
        <f t="shared" si="29"/>
        <v/>
      </c>
      <c r="Q635" s="80"/>
      <c r="R635" s="80"/>
      <c r="S635" s="80"/>
      <c r="T635" s="82"/>
      <c r="U635" s="80"/>
      <c r="V635" s="80"/>
      <c r="W635" s="80"/>
    </row>
    <row r="636" ht="18" customHeight="1" spans="1:23">
      <c r="A636" s="87" t="str">
        <f t="shared" si="27"/>
        <v/>
      </c>
      <c r="B636" s="78"/>
      <c r="C636" s="80"/>
      <c r="D636" s="79"/>
      <c r="E636" s="80"/>
      <c r="F636" s="79"/>
      <c r="G636" s="25" t="str">
        <f t="shared" si="28"/>
        <v/>
      </c>
      <c r="H636" s="88"/>
      <c r="I636" s="93"/>
      <c r="J636" s="97"/>
      <c r="K636" s="88"/>
      <c r="L636" s="25" t="str">
        <f>IF($D636="","",SUMIFS($H$4:$H636,$D$4:$D636,$D636)+SUMIFS($I$4:$I636,$D$4:$D636,$D636)-SUMIFS($J$4:$J636,$D$4:$D636,$D636)-SUMIFS($K$4:$K636,$D$4:$D636,$D636))</f>
        <v/>
      </c>
      <c r="M636" s="80"/>
      <c r="N636" s="80"/>
      <c r="O636" s="94"/>
      <c r="P636" s="26" t="str">
        <f t="shared" si="29"/>
        <v/>
      </c>
      <c r="Q636" s="80"/>
      <c r="R636" s="80"/>
      <c r="S636" s="80"/>
      <c r="T636" s="82"/>
      <c r="U636" s="80"/>
      <c r="V636" s="80"/>
      <c r="W636" s="80"/>
    </row>
    <row r="637" ht="18" customHeight="1" spans="1:23">
      <c r="A637" s="87" t="str">
        <f t="shared" si="27"/>
        <v/>
      </c>
      <c r="B637" s="78"/>
      <c r="C637" s="80"/>
      <c r="D637" s="79"/>
      <c r="E637" s="80"/>
      <c r="F637" s="79"/>
      <c r="G637" s="25" t="str">
        <f t="shared" si="28"/>
        <v/>
      </c>
      <c r="H637" s="88"/>
      <c r="I637" s="93"/>
      <c r="J637" s="97"/>
      <c r="K637" s="88"/>
      <c r="L637" s="25" t="str">
        <f>IF($D637="","",SUMIFS($H$4:$H637,$D$4:$D637,$D637)+SUMIFS($I$4:$I637,$D$4:$D637,$D637)-SUMIFS($J$4:$J637,$D$4:$D637,$D637)-SUMIFS($K$4:$K637,$D$4:$D637,$D637))</f>
        <v/>
      </c>
      <c r="M637" s="80"/>
      <c r="N637" s="80"/>
      <c r="O637" s="94"/>
      <c r="P637" s="26" t="str">
        <f t="shared" si="29"/>
        <v/>
      </c>
      <c r="Q637" s="80"/>
      <c r="R637" s="80"/>
      <c r="S637" s="80"/>
      <c r="T637" s="82"/>
      <c r="U637" s="80"/>
      <c r="V637" s="80"/>
      <c r="W637" s="80"/>
    </row>
    <row r="638" ht="18" customHeight="1" spans="1:23">
      <c r="A638" s="87" t="str">
        <f t="shared" si="27"/>
        <v/>
      </c>
      <c r="B638" s="78"/>
      <c r="C638" s="80"/>
      <c r="D638" s="79"/>
      <c r="E638" s="80"/>
      <c r="F638" s="79"/>
      <c r="G638" s="25" t="str">
        <f t="shared" si="28"/>
        <v/>
      </c>
      <c r="H638" s="88"/>
      <c r="I638" s="93"/>
      <c r="J638" s="97"/>
      <c r="K638" s="88"/>
      <c r="L638" s="25" t="str">
        <f>IF($D638="","",SUMIFS($H$4:$H638,$D$4:$D638,$D638)+SUMIFS($I$4:$I638,$D$4:$D638,$D638)-SUMIFS($J$4:$J638,$D$4:$D638,$D638)-SUMIFS($K$4:$K638,$D$4:$D638,$D638))</f>
        <v/>
      </c>
      <c r="M638" s="80"/>
      <c r="N638" s="80"/>
      <c r="O638" s="94"/>
      <c r="P638" s="26" t="str">
        <f t="shared" si="29"/>
        <v/>
      </c>
      <c r="Q638" s="80"/>
      <c r="R638" s="80"/>
      <c r="S638" s="80"/>
      <c r="T638" s="82"/>
      <c r="U638" s="80"/>
      <c r="V638" s="80"/>
      <c r="W638" s="80"/>
    </row>
    <row r="639" ht="18" customHeight="1" spans="1:23">
      <c r="A639" s="87" t="str">
        <f t="shared" si="27"/>
        <v/>
      </c>
      <c r="B639" s="78"/>
      <c r="C639" s="80"/>
      <c r="D639" s="79"/>
      <c r="E639" s="80"/>
      <c r="F639" s="79"/>
      <c r="G639" s="25" t="str">
        <f t="shared" si="28"/>
        <v/>
      </c>
      <c r="H639" s="88"/>
      <c r="I639" s="93"/>
      <c r="J639" s="97"/>
      <c r="K639" s="88"/>
      <c r="L639" s="25" t="str">
        <f>IF($D639="","",SUMIFS($H$4:$H639,$D$4:$D639,$D639)+SUMIFS($I$4:$I639,$D$4:$D639,$D639)-SUMIFS($J$4:$J639,$D$4:$D639,$D639)-SUMIFS($K$4:$K639,$D$4:$D639,$D639))</f>
        <v/>
      </c>
      <c r="M639" s="80"/>
      <c r="N639" s="80"/>
      <c r="O639" s="94"/>
      <c r="P639" s="26" t="str">
        <f t="shared" si="29"/>
        <v/>
      </c>
      <c r="Q639" s="80"/>
      <c r="R639" s="80"/>
      <c r="S639" s="80"/>
      <c r="T639" s="82"/>
      <c r="U639" s="80"/>
      <c r="V639" s="80"/>
      <c r="W639" s="80"/>
    </row>
    <row r="640" ht="18" customHeight="1" spans="1:23">
      <c r="A640" s="87" t="str">
        <f t="shared" si="27"/>
        <v/>
      </c>
      <c r="B640" s="78"/>
      <c r="C640" s="80"/>
      <c r="D640" s="79"/>
      <c r="E640" s="80"/>
      <c r="F640" s="79"/>
      <c r="G640" s="25" t="str">
        <f t="shared" si="28"/>
        <v/>
      </c>
      <c r="H640" s="88"/>
      <c r="I640" s="93"/>
      <c r="J640" s="97"/>
      <c r="K640" s="88"/>
      <c r="L640" s="25" t="str">
        <f>IF($D640="","",SUMIFS($H$4:$H640,$D$4:$D640,$D640)+SUMIFS($I$4:$I640,$D$4:$D640,$D640)-SUMIFS($J$4:$J640,$D$4:$D640,$D640)-SUMIFS($K$4:$K640,$D$4:$D640,$D640))</f>
        <v/>
      </c>
      <c r="M640" s="80"/>
      <c r="N640" s="80"/>
      <c r="O640" s="94"/>
      <c r="P640" s="26" t="str">
        <f t="shared" si="29"/>
        <v/>
      </c>
      <c r="Q640" s="80"/>
      <c r="R640" s="80"/>
      <c r="S640" s="80"/>
      <c r="T640" s="82"/>
      <c r="U640" s="80"/>
      <c r="V640" s="80"/>
      <c r="W640" s="80"/>
    </row>
    <row r="641" ht="18" customHeight="1" spans="1:23">
      <c r="A641" s="87" t="str">
        <f t="shared" si="27"/>
        <v/>
      </c>
      <c r="B641" s="78"/>
      <c r="C641" s="80"/>
      <c r="D641" s="79"/>
      <c r="E641" s="80"/>
      <c r="F641" s="79"/>
      <c r="G641" s="25" t="str">
        <f t="shared" si="28"/>
        <v/>
      </c>
      <c r="H641" s="88"/>
      <c r="I641" s="93"/>
      <c r="J641" s="97"/>
      <c r="K641" s="88"/>
      <c r="L641" s="25" t="str">
        <f>IF($D641="","",SUMIFS($H$4:$H641,$D$4:$D641,$D641)+SUMIFS($I$4:$I641,$D$4:$D641,$D641)-SUMIFS($J$4:$J641,$D$4:$D641,$D641)-SUMIFS($K$4:$K641,$D$4:$D641,$D641))</f>
        <v/>
      </c>
      <c r="M641" s="80"/>
      <c r="N641" s="80"/>
      <c r="O641" s="94"/>
      <c r="P641" s="26" t="str">
        <f t="shared" si="29"/>
        <v/>
      </c>
      <c r="Q641" s="80"/>
      <c r="R641" s="80"/>
      <c r="S641" s="80"/>
      <c r="T641" s="82"/>
      <c r="U641" s="80"/>
      <c r="V641" s="80"/>
      <c r="W641" s="80"/>
    </row>
    <row r="642" ht="18" customHeight="1" spans="1:23">
      <c r="A642" s="87" t="str">
        <f t="shared" si="27"/>
        <v/>
      </c>
      <c r="B642" s="78"/>
      <c r="C642" s="80"/>
      <c r="D642" s="79"/>
      <c r="E642" s="80"/>
      <c r="F642" s="79"/>
      <c r="G642" s="25" t="str">
        <f t="shared" si="28"/>
        <v/>
      </c>
      <c r="H642" s="88"/>
      <c r="I642" s="93"/>
      <c r="J642" s="97"/>
      <c r="K642" s="88"/>
      <c r="L642" s="25" t="str">
        <f>IF($D642="","",SUMIFS($H$4:$H642,$D$4:$D642,$D642)+SUMIFS($I$4:$I642,$D$4:$D642,$D642)-SUMIFS($J$4:$J642,$D$4:$D642,$D642)-SUMIFS($K$4:$K642,$D$4:$D642,$D642))</f>
        <v/>
      </c>
      <c r="M642" s="80"/>
      <c r="N642" s="80"/>
      <c r="O642" s="94"/>
      <c r="P642" s="26" t="str">
        <f t="shared" si="29"/>
        <v/>
      </c>
      <c r="Q642" s="80"/>
      <c r="R642" s="80"/>
      <c r="S642" s="80"/>
      <c r="T642" s="82"/>
      <c r="U642" s="80"/>
      <c r="V642" s="80"/>
      <c r="W642" s="80"/>
    </row>
    <row r="643" ht="18" customHeight="1" spans="1:23">
      <c r="A643" s="87" t="str">
        <f t="shared" si="27"/>
        <v/>
      </c>
      <c r="B643" s="78"/>
      <c r="C643" s="80"/>
      <c r="D643" s="79"/>
      <c r="E643" s="80"/>
      <c r="F643" s="79"/>
      <c r="G643" s="25" t="str">
        <f t="shared" si="28"/>
        <v/>
      </c>
      <c r="H643" s="88"/>
      <c r="I643" s="93"/>
      <c r="J643" s="97"/>
      <c r="K643" s="88"/>
      <c r="L643" s="25" t="str">
        <f>IF($D643="","",SUMIFS($H$4:$H643,$D$4:$D643,$D643)+SUMIFS($I$4:$I643,$D$4:$D643,$D643)-SUMIFS($J$4:$J643,$D$4:$D643,$D643)-SUMIFS($K$4:$K643,$D$4:$D643,$D643))</f>
        <v/>
      </c>
      <c r="M643" s="80"/>
      <c r="N643" s="80"/>
      <c r="O643" s="94"/>
      <c r="P643" s="26" t="str">
        <f t="shared" si="29"/>
        <v/>
      </c>
      <c r="Q643" s="80"/>
      <c r="R643" s="80"/>
      <c r="S643" s="80"/>
      <c r="T643" s="82"/>
      <c r="U643" s="80"/>
      <c r="V643" s="80"/>
      <c r="W643" s="80"/>
    </row>
    <row r="644" ht="18" customHeight="1" spans="1:23">
      <c r="A644" s="87" t="str">
        <f t="shared" si="27"/>
        <v/>
      </c>
      <c r="B644" s="78"/>
      <c r="C644" s="80"/>
      <c r="D644" s="79"/>
      <c r="E644" s="80"/>
      <c r="F644" s="79"/>
      <c r="G644" s="25" t="str">
        <f t="shared" si="28"/>
        <v/>
      </c>
      <c r="H644" s="88"/>
      <c r="I644" s="93"/>
      <c r="J644" s="97"/>
      <c r="K644" s="88"/>
      <c r="L644" s="25" t="str">
        <f>IF($D644="","",SUMIFS($H$4:$H644,$D$4:$D644,$D644)+SUMIFS($I$4:$I644,$D$4:$D644,$D644)-SUMIFS($J$4:$J644,$D$4:$D644,$D644)-SUMIFS($K$4:$K644,$D$4:$D644,$D644))</f>
        <v/>
      </c>
      <c r="M644" s="80"/>
      <c r="N644" s="80"/>
      <c r="O644" s="94"/>
      <c r="P644" s="26" t="str">
        <f t="shared" si="29"/>
        <v/>
      </c>
      <c r="Q644" s="80"/>
      <c r="R644" s="80"/>
      <c r="S644" s="80"/>
      <c r="T644" s="82"/>
      <c r="U644" s="80"/>
      <c r="V644" s="80"/>
      <c r="W644" s="80"/>
    </row>
    <row r="645" ht="18" customHeight="1" spans="1:23">
      <c r="A645" s="87" t="str">
        <f t="shared" ref="A645:A708" si="30">IF($D645="","",ROW()-3)</f>
        <v/>
      </c>
      <c r="B645" s="78"/>
      <c r="C645" s="80"/>
      <c r="D645" s="79"/>
      <c r="E645" s="80"/>
      <c r="F645" s="79"/>
      <c r="G645" s="25" t="str">
        <f t="shared" ref="G645:G708" si="31">IF($D645="","",N($L645)-N($H645)-N($I645)+N($J645)+N($K645))</f>
        <v/>
      </c>
      <c r="H645" s="88"/>
      <c r="I645" s="93"/>
      <c r="J645" s="97"/>
      <c r="K645" s="88"/>
      <c r="L645" s="25" t="str">
        <f>IF($D645="","",SUMIFS($H$4:$H645,$D$4:$D645,$D645)+SUMIFS($I$4:$I645,$D$4:$D645,$D645)-SUMIFS($J$4:$J645,$D$4:$D645,$D645)-SUMIFS($K$4:$K645,$D$4:$D645,$D645))</f>
        <v/>
      </c>
      <c r="M645" s="80"/>
      <c r="N645" s="80"/>
      <c r="O645" s="94"/>
      <c r="P645" s="26" t="str">
        <f t="shared" ref="P645:P708" si="32">IF($D645="","",ROUND((N($H645)+N($K645))*N($O645),2))</f>
        <v/>
      </c>
      <c r="Q645" s="80"/>
      <c r="R645" s="80"/>
      <c r="S645" s="80"/>
      <c r="T645" s="82"/>
      <c r="U645" s="80"/>
      <c r="V645" s="80"/>
      <c r="W645" s="80"/>
    </row>
    <row r="646" ht="18" customHeight="1" spans="1:23">
      <c r="A646" s="87" t="str">
        <f t="shared" si="30"/>
        <v/>
      </c>
      <c r="B646" s="78"/>
      <c r="C646" s="80"/>
      <c r="D646" s="79"/>
      <c r="E646" s="80"/>
      <c r="F646" s="79"/>
      <c r="G646" s="25" t="str">
        <f t="shared" si="31"/>
        <v/>
      </c>
      <c r="H646" s="88"/>
      <c r="I646" s="93"/>
      <c r="J646" s="97"/>
      <c r="K646" s="88"/>
      <c r="L646" s="25" t="str">
        <f>IF($D646="","",SUMIFS($H$4:$H646,$D$4:$D646,$D646)+SUMIFS($I$4:$I646,$D$4:$D646,$D646)-SUMIFS($J$4:$J646,$D$4:$D646,$D646)-SUMIFS($K$4:$K646,$D$4:$D646,$D646))</f>
        <v/>
      </c>
      <c r="M646" s="80"/>
      <c r="N646" s="80"/>
      <c r="O646" s="94"/>
      <c r="P646" s="26" t="str">
        <f t="shared" si="32"/>
        <v/>
      </c>
      <c r="Q646" s="80"/>
      <c r="R646" s="80"/>
      <c r="S646" s="80"/>
      <c r="T646" s="82"/>
      <c r="U646" s="80"/>
      <c r="V646" s="80"/>
      <c r="W646" s="80"/>
    </row>
    <row r="647" ht="18" customHeight="1" spans="1:23">
      <c r="A647" s="87" t="str">
        <f t="shared" si="30"/>
        <v/>
      </c>
      <c r="B647" s="78"/>
      <c r="C647" s="80"/>
      <c r="D647" s="79"/>
      <c r="E647" s="80"/>
      <c r="F647" s="79"/>
      <c r="G647" s="25" t="str">
        <f t="shared" si="31"/>
        <v/>
      </c>
      <c r="H647" s="88"/>
      <c r="I647" s="93"/>
      <c r="J647" s="97"/>
      <c r="K647" s="88"/>
      <c r="L647" s="25" t="str">
        <f>IF($D647="","",SUMIFS($H$4:$H647,$D$4:$D647,$D647)+SUMIFS($I$4:$I647,$D$4:$D647,$D647)-SUMIFS($J$4:$J647,$D$4:$D647,$D647)-SUMIFS($K$4:$K647,$D$4:$D647,$D647))</f>
        <v/>
      </c>
      <c r="M647" s="80"/>
      <c r="N647" s="80"/>
      <c r="O647" s="94"/>
      <c r="P647" s="26" t="str">
        <f t="shared" si="32"/>
        <v/>
      </c>
      <c r="Q647" s="80"/>
      <c r="R647" s="80"/>
      <c r="S647" s="80"/>
      <c r="T647" s="82"/>
      <c r="U647" s="80"/>
      <c r="V647" s="80"/>
      <c r="W647" s="80"/>
    </row>
    <row r="648" ht="18" customHeight="1" spans="1:23">
      <c r="A648" s="87" t="str">
        <f t="shared" si="30"/>
        <v/>
      </c>
      <c r="B648" s="78"/>
      <c r="C648" s="80"/>
      <c r="D648" s="79"/>
      <c r="E648" s="80"/>
      <c r="F648" s="79"/>
      <c r="G648" s="25" t="str">
        <f t="shared" si="31"/>
        <v/>
      </c>
      <c r="H648" s="88"/>
      <c r="I648" s="93"/>
      <c r="J648" s="97"/>
      <c r="K648" s="88"/>
      <c r="L648" s="25" t="str">
        <f>IF($D648="","",SUMIFS($H$4:$H648,$D$4:$D648,$D648)+SUMIFS($I$4:$I648,$D$4:$D648,$D648)-SUMIFS($J$4:$J648,$D$4:$D648,$D648)-SUMIFS($K$4:$K648,$D$4:$D648,$D648))</f>
        <v/>
      </c>
      <c r="M648" s="80"/>
      <c r="N648" s="80"/>
      <c r="O648" s="94"/>
      <c r="P648" s="26" t="str">
        <f t="shared" si="32"/>
        <v/>
      </c>
      <c r="Q648" s="80"/>
      <c r="R648" s="80"/>
      <c r="S648" s="80"/>
      <c r="T648" s="82"/>
      <c r="U648" s="80"/>
      <c r="V648" s="80"/>
      <c r="W648" s="80"/>
    </row>
    <row r="649" ht="18" customHeight="1" spans="1:23">
      <c r="A649" s="87" t="str">
        <f t="shared" si="30"/>
        <v/>
      </c>
      <c r="B649" s="78"/>
      <c r="C649" s="80"/>
      <c r="D649" s="79"/>
      <c r="E649" s="80"/>
      <c r="F649" s="79"/>
      <c r="G649" s="25" t="str">
        <f t="shared" si="31"/>
        <v/>
      </c>
      <c r="H649" s="88"/>
      <c r="I649" s="93"/>
      <c r="J649" s="97"/>
      <c r="K649" s="88"/>
      <c r="L649" s="25" t="str">
        <f>IF($D649="","",SUMIFS($H$4:$H649,$D$4:$D649,$D649)+SUMIFS($I$4:$I649,$D$4:$D649,$D649)-SUMIFS($J$4:$J649,$D$4:$D649,$D649)-SUMIFS($K$4:$K649,$D$4:$D649,$D649))</f>
        <v/>
      </c>
      <c r="M649" s="80"/>
      <c r="N649" s="80"/>
      <c r="O649" s="94"/>
      <c r="P649" s="26" t="str">
        <f t="shared" si="32"/>
        <v/>
      </c>
      <c r="Q649" s="80"/>
      <c r="R649" s="80"/>
      <c r="S649" s="80"/>
      <c r="T649" s="82"/>
      <c r="U649" s="80"/>
      <c r="V649" s="80"/>
      <c r="W649" s="80"/>
    </row>
    <row r="650" ht="18" customHeight="1" spans="1:23">
      <c r="A650" s="87" t="str">
        <f t="shared" si="30"/>
        <v/>
      </c>
      <c r="B650" s="78"/>
      <c r="C650" s="80"/>
      <c r="D650" s="79"/>
      <c r="E650" s="80"/>
      <c r="F650" s="79"/>
      <c r="G650" s="25" t="str">
        <f t="shared" si="31"/>
        <v/>
      </c>
      <c r="H650" s="88"/>
      <c r="I650" s="93"/>
      <c r="J650" s="97"/>
      <c r="K650" s="88"/>
      <c r="L650" s="25" t="str">
        <f>IF($D650="","",SUMIFS($H$4:$H650,$D$4:$D650,$D650)+SUMIFS($I$4:$I650,$D$4:$D650,$D650)-SUMIFS($J$4:$J650,$D$4:$D650,$D650)-SUMIFS($K$4:$K650,$D$4:$D650,$D650))</f>
        <v/>
      </c>
      <c r="M650" s="80"/>
      <c r="N650" s="80"/>
      <c r="O650" s="94"/>
      <c r="P650" s="26" t="str">
        <f t="shared" si="32"/>
        <v/>
      </c>
      <c r="Q650" s="80"/>
      <c r="R650" s="80"/>
      <c r="S650" s="80"/>
      <c r="T650" s="82"/>
      <c r="U650" s="80"/>
      <c r="V650" s="80"/>
      <c r="W650" s="80"/>
    </row>
    <row r="651" ht="18" customHeight="1" spans="1:23">
      <c r="A651" s="87" t="str">
        <f t="shared" si="30"/>
        <v/>
      </c>
      <c r="B651" s="78"/>
      <c r="C651" s="80"/>
      <c r="D651" s="79"/>
      <c r="E651" s="80"/>
      <c r="F651" s="79"/>
      <c r="G651" s="25" t="str">
        <f t="shared" si="31"/>
        <v/>
      </c>
      <c r="H651" s="88"/>
      <c r="I651" s="93"/>
      <c r="J651" s="97"/>
      <c r="K651" s="88"/>
      <c r="L651" s="25" t="str">
        <f>IF($D651="","",SUMIFS($H$4:$H651,$D$4:$D651,$D651)+SUMIFS($I$4:$I651,$D$4:$D651,$D651)-SUMIFS($J$4:$J651,$D$4:$D651,$D651)-SUMIFS($K$4:$K651,$D$4:$D651,$D651))</f>
        <v/>
      </c>
      <c r="M651" s="80"/>
      <c r="N651" s="80"/>
      <c r="O651" s="94"/>
      <c r="P651" s="26" t="str">
        <f t="shared" si="32"/>
        <v/>
      </c>
      <c r="Q651" s="80"/>
      <c r="R651" s="80"/>
      <c r="S651" s="80"/>
      <c r="T651" s="82"/>
      <c r="U651" s="80"/>
      <c r="V651" s="80"/>
      <c r="W651" s="80"/>
    </row>
    <row r="652" ht="18" customHeight="1" spans="1:23">
      <c r="A652" s="87" t="str">
        <f t="shared" si="30"/>
        <v/>
      </c>
      <c r="B652" s="78"/>
      <c r="C652" s="80"/>
      <c r="D652" s="79"/>
      <c r="E652" s="80"/>
      <c r="F652" s="79"/>
      <c r="G652" s="25" t="str">
        <f t="shared" si="31"/>
        <v/>
      </c>
      <c r="H652" s="88"/>
      <c r="I652" s="93"/>
      <c r="J652" s="97"/>
      <c r="K652" s="88"/>
      <c r="L652" s="25" t="str">
        <f>IF($D652="","",SUMIFS($H$4:$H652,$D$4:$D652,$D652)+SUMIFS($I$4:$I652,$D$4:$D652,$D652)-SUMIFS($J$4:$J652,$D$4:$D652,$D652)-SUMIFS($K$4:$K652,$D$4:$D652,$D652))</f>
        <v/>
      </c>
      <c r="M652" s="80"/>
      <c r="N652" s="80"/>
      <c r="O652" s="94"/>
      <c r="P652" s="26" t="str">
        <f t="shared" si="32"/>
        <v/>
      </c>
      <c r="Q652" s="80"/>
      <c r="R652" s="80"/>
      <c r="S652" s="80"/>
      <c r="T652" s="82"/>
      <c r="U652" s="80"/>
      <c r="V652" s="80"/>
      <c r="W652" s="80"/>
    </row>
    <row r="653" ht="18" customHeight="1" spans="1:23">
      <c r="A653" s="87" t="str">
        <f t="shared" si="30"/>
        <v/>
      </c>
      <c r="B653" s="78"/>
      <c r="C653" s="80"/>
      <c r="D653" s="79"/>
      <c r="E653" s="80"/>
      <c r="F653" s="79"/>
      <c r="G653" s="25" t="str">
        <f t="shared" si="31"/>
        <v/>
      </c>
      <c r="H653" s="88"/>
      <c r="I653" s="93"/>
      <c r="J653" s="97"/>
      <c r="K653" s="88"/>
      <c r="L653" s="25" t="str">
        <f>IF($D653="","",SUMIFS($H$4:$H653,$D$4:$D653,$D653)+SUMIFS($I$4:$I653,$D$4:$D653,$D653)-SUMIFS($J$4:$J653,$D$4:$D653,$D653)-SUMIFS($K$4:$K653,$D$4:$D653,$D653))</f>
        <v/>
      </c>
      <c r="M653" s="80"/>
      <c r="N653" s="80"/>
      <c r="O653" s="94"/>
      <c r="P653" s="26" t="str">
        <f t="shared" si="32"/>
        <v/>
      </c>
      <c r="Q653" s="80"/>
      <c r="R653" s="80"/>
      <c r="S653" s="80"/>
      <c r="T653" s="82"/>
      <c r="U653" s="80"/>
      <c r="V653" s="80"/>
      <c r="W653" s="80"/>
    </row>
    <row r="654" ht="18" customHeight="1" spans="1:23">
      <c r="A654" s="87" t="str">
        <f t="shared" si="30"/>
        <v/>
      </c>
      <c r="B654" s="78"/>
      <c r="C654" s="80"/>
      <c r="D654" s="79"/>
      <c r="E654" s="80"/>
      <c r="F654" s="79"/>
      <c r="G654" s="25" t="str">
        <f t="shared" si="31"/>
        <v/>
      </c>
      <c r="H654" s="88"/>
      <c r="I654" s="93"/>
      <c r="J654" s="97"/>
      <c r="K654" s="88"/>
      <c r="L654" s="25" t="str">
        <f>IF($D654="","",SUMIFS($H$4:$H654,$D$4:$D654,$D654)+SUMIFS($I$4:$I654,$D$4:$D654,$D654)-SUMIFS($J$4:$J654,$D$4:$D654,$D654)-SUMIFS($K$4:$K654,$D$4:$D654,$D654))</f>
        <v/>
      </c>
      <c r="M654" s="80"/>
      <c r="N654" s="80"/>
      <c r="O654" s="94"/>
      <c r="P654" s="26" t="str">
        <f t="shared" si="32"/>
        <v/>
      </c>
      <c r="Q654" s="80"/>
      <c r="R654" s="80"/>
      <c r="S654" s="80"/>
      <c r="T654" s="82"/>
      <c r="U654" s="80"/>
      <c r="V654" s="80"/>
      <c r="W654" s="80"/>
    </row>
    <row r="655" ht="18" customHeight="1" spans="1:23">
      <c r="A655" s="87" t="str">
        <f t="shared" si="30"/>
        <v/>
      </c>
      <c r="B655" s="78"/>
      <c r="C655" s="80"/>
      <c r="D655" s="79"/>
      <c r="E655" s="80"/>
      <c r="F655" s="79"/>
      <c r="G655" s="25" t="str">
        <f t="shared" si="31"/>
        <v/>
      </c>
      <c r="H655" s="88"/>
      <c r="I655" s="93"/>
      <c r="J655" s="97"/>
      <c r="K655" s="88"/>
      <c r="L655" s="25" t="str">
        <f>IF($D655="","",SUMIFS($H$4:$H655,$D$4:$D655,$D655)+SUMIFS($I$4:$I655,$D$4:$D655,$D655)-SUMIFS($J$4:$J655,$D$4:$D655,$D655)-SUMIFS($K$4:$K655,$D$4:$D655,$D655))</f>
        <v/>
      </c>
      <c r="M655" s="80"/>
      <c r="N655" s="80"/>
      <c r="O655" s="94"/>
      <c r="P655" s="26" t="str">
        <f t="shared" si="32"/>
        <v/>
      </c>
      <c r="Q655" s="80"/>
      <c r="R655" s="80"/>
      <c r="S655" s="80"/>
      <c r="T655" s="82"/>
      <c r="U655" s="80"/>
      <c r="V655" s="80"/>
      <c r="W655" s="80"/>
    </row>
    <row r="656" ht="18" customHeight="1" spans="1:23">
      <c r="A656" s="87" t="str">
        <f t="shared" si="30"/>
        <v/>
      </c>
      <c r="B656" s="78"/>
      <c r="C656" s="80"/>
      <c r="D656" s="79"/>
      <c r="E656" s="80"/>
      <c r="F656" s="79"/>
      <c r="G656" s="25" t="str">
        <f t="shared" si="31"/>
        <v/>
      </c>
      <c r="H656" s="88"/>
      <c r="I656" s="93"/>
      <c r="J656" s="97"/>
      <c r="K656" s="88"/>
      <c r="L656" s="25" t="str">
        <f>IF($D656="","",SUMIFS($H$4:$H656,$D$4:$D656,$D656)+SUMIFS($I$4:$I656,$D$4:$D656,$D656)-SUMIFS($J$4:$J656,$D$4:$D656,$D656)-SUMIFS($K$4:$K656,$D$4:$D656,$D656))</f>
        <v/>
      </c>
      <c r="M656" s="80"/>
      <c r="N656" s="80"/>
      <c r="O656" s="94"/>
      <c r="P656" s="26" t="str">
        <f t="shared" si="32"/>
        <v/>
      </c>
      <c r="Q656" s="80"/>
      <c r="R656" s="80"/>
      <c r="S656" s="80"/>
      <c r="T656" s="82"/>
      <c r="U656" s="80"/>
      <c r="V656" s="80"/>
      <c r="W656" s="80"/>
    </row>
    <row r="657" ht="18" customHeight="1" spans="1:23">
      <c r="A657" s="87" t="str">
        <f t="shared" si="30"/>
        <v/>
      </c>
      <c r="B657" s="78"/>
      <c r="C657" s="80"/>
      <c r="D657" s="79"/>
      <c r="E657" s="80"/>
      <c r="F657" s="79"/>
      <c r="G657" s="25" t="str">
        <f t="shared" si="31"/>
        <v/>
      </c>
      <c r="H657" s="88"/>
      <c r="I657" s="93"/>
      <c r="J657" s="97"/>
      <c r="K657" s="88"/>
      <c r="L657" s="25" t="str">
        <f>IF($D657="","",SUMIFS($H$4:$H657,$D$4:$D657,$D657)+SUMIFS($I$4:$I657,$D$4:$D657,$D657)-SUMIFS($J$4:$J657,$D$4:$D657,$D657)-SUMIFS($K$4:$K657,$D$4:$D657,$D657))</f>
        <v/>
      </c>
      <c r="M657" s="80"/>
      <c r="N657" s="80"/>
      <c r="O657" s="94"/>
      <c r="P657" s="26" t="str">
        <f t="shared" si="32"/>
        <v/>
      </c>
      <c r="Q657" s="80"/>
      <c r="R657" s="80"/>
      <c r="S657" s="80"/>
      <c r="T657" s="82"/>
      <c r="U657" s="80"/>
      <c r="V657" s="80"/>
      <c r="W657" s="80"/>
    </row>
    <row r="658" ht="18" customHeight="1" spans="1:23">
      <c r="A658" s="87" t="str">
        <f t="shared" si="30"/>
        <v/>
      </c>
      <c r="B658" s="78"/>
      <c r="C658" s="80"/>
      <c r="D658" s="79"/>
      <c r="E658" s="80"/>
      <c r="F658" s="79"/>
      <c r="G658" s="25" t="str">
        <f t="shared" si="31"/>
        <v/>
      </c>
      <c r="H658" s="88"/>
      <c r="I658" s="93"/>
      <c r="J658" s="97"/>
      <c r="K658" s="88"/>
      <c r="L658" s="25" t="str">
        <f>IF($D658="","",SUMIFS($H$4:$H658,$D$4:$D658,$D658)+SUMIFS($I$4:$I658,$D$4:$D658,$D658)-SUMIFS($J$4:$J658,$D$4:$D658,$D658)-SUMIFS($K$4:$K658,$D$4:$D658,$D658))</f>
        <v/>
      </c>
      <c r="M658" s="80"/>
      <c r="N658" s="80"/>
      <c r="O658" s="94"/>
      <c r="P658" s="26" t="str">
        <f t="shared" si="32"/>
        <v/>
      </c>
      <c r="Q658" s="80"/>
      <c r="R658" s="80"/>
      <c r="S658" s="80"/>
      <c r="T658" s="82"/>
      <c r="U658" s="80"/>
      <c r="V658" s="80"/>
      <c r="W658" s="80"/>
    </row>
    <row r="659" ht="18" customHeight="1" spans="1:23">
      <c r="A659" s="87" t="str">
        <f t="shared" si="30"/>
        <v/>
      </c>
      <c r="B659" s="78"/>
      <c r="C659" s="80"/>
      <c r="D659" s="79"/>
      <c r="E659" s="80"/>
      <c r="F659" s="79"/>
      <c r="G659" s="25" t="str">
        <f t="shared" si="31"/>
        <v/>
      </c>
      <c r="H659" s="88"/>
      <c r="I659" s="93"/>
      <c r="J659" s="97"/>
      <c r="K659" s="88"/>
      <c r="L659" s="25" t="str">
        <f>IF($D659="","",SUMIFS($H$4:$H659,$D$4:$D659,$D659)+SUMIFS($I$4:$I659,$D$4:$D659,$D659)-SUMIFS($J$4:$J659,$D$4:$D659,$D659)-SUMIFS($K$4:$K659,$D$4:$D659,$D659))</f>
        <v/>
      </c>
      <c r="M659" s="80"/>
      <c r="N659" s="80"/>
      <c r="O659" s="94"/>
      <c r="P659" s="26" t="str">
        <f t="shared" si="32"/>
        <v/>
      </c>
      <c r="Q659" s="80"/>
      <c r="R659" s="80"/>
      <c r="S659" s="80"/>
      <c r="T659" s="82"/>
      <c r="U659" s="80"/>
      <c r="V659" s="80"/>
      <c r="W659" s="80"/>
    </row>
    <row r="660" ht="18" customHeight="1" spans="1:23">
      <c r="A660" s="87" t="str">
        <f t="shared" si="30"/>
        <v/>
      </c>
      <c r="B660" s="78"/>
      <c r="C660" s="80"/>
      <c r="D660" s="79"/>
      <c r="E660" s="80"/>
      <c r="F660" s="79"/>
      <c r="G660" s="25" t="str">
        <f t="shared" si="31"/>
        <v/>
      </c>
      <c r="H660" s="88"/>
      <c r="I660" s="93"/>
      <c r="J660" s="97"/>
      <c r="K660" s="88"/>
      <c r="L660" s="25" t="str">
        <f>IF($D660="","",SUMIFS($H$4:$H660,$D$4:$D660,$D660)+SUMIFS($I$4:$I660,$D$4:$D660,$D660)-SUMIFS($J$4:$J660,$D$4:$D660,$D660)-SUMIFS($K$4:$K660,$D$4:$D660,$D660))</f>
        <v/>
      </c>
      <c r="M660" s="80"/>
      <c r="N660" s="80"/>
      <c r="O660" s="94"/>
      <c r="P660" s="26" t="str">
        <f t="shared" si="32"/>
        <v/>
      </c>
      <c r="Q660" s="80"/>
      <c r="R660" s="80"/>
      <c r="S660" s="80"/>
      <c r="T660" s="82"/>
      <c r="U660" s="80"/>
      <c r="V660" s="80"/>
      <c r="W660" s="80"/>
    </row>
    <row r="661" ht="18" customHeight="1" spans="1:23">
      <c r="A661" s="87" t="str">
        <f t="shared" si="30"/>
        <v/>
      </c>
      <c r="B661" s="78"/>
      <c r="C661" s="80"/>
      <c r="D661" s="79"/>
      <c r="E661" s="80"/>
      <c r="F661" s="79"/>
      <c r="G661" s="25" t="str">
        <f t="shared" si="31"/>
        <v/>
      </c>
      <c r="H661" s="88"/>
      <c r="I661" s="93"/>
      <c r="J661" s="97"/>
      <c r="K661" s="88"/>
      <c r="L661" s="25" t="str">
        <f>IF($D661="","",SUMIFS($H$4:$H661,$D$4:$D661,$D661)+SUMIFS($I$4:$I661,$D$4:$D661,$D661)-SUMIFS($J$4:$J661,$D$4:$D661,$D661)-SUMIFS($K$4:$K661,$D$4:$D661,$D661))</f>
        <v/>
      </c>
      <c r="M661" s="80"/>
      <c r="N661" s="80"/>
      <c r="O661" s="94"/>
      <c r="P661" s="26" t="str">
        <f t="shared" si="32"/>
        <v/>
      </c>
      <c r="Q661" s="80"/>
      <c r="R661" s="80"/>
      <c r="S661" s="80"/>
      <c r="T661" s="82"/>
      <c r="U661" s="80"/>
      <c r="V661" s="80"/>
      <c r="W661" s="80"/>
    </row>
    <row r="662" ht="18" customHeight="1" spans="1:23">
      <c r="A662" s="87" t="str">
        <f t="shared" si="30"/>
        <v/>
      </c>
      <c r="B662" s="78"/>
      <c r="C662" s="80"/>
      <c r="D662" s="79"/>
      <c r="E662" s="80"/>
      <c r="F662" s="79"/>
      <c r="G662" s="25" t="str">
        <f t="shared" si="31"/>
        <v/>
      </c>
      <c r="H662" s="88"/>
      <c r="I662" s="93"/>
      <c r="J662" s="97"/>
      <c r="K662" s="88"/>
      <c r="L662" s="25" t="str">
        <f>IF($D662="","",SUMIFS($H$4:$H662,$D$4:$D662,$D662)+SUMIFS($I$4:$I662,$D$4:$D662,$D662)-SUMIFS($J$4:$J662,$D$4:$D662,$D662)-SUMIFS($K$4:$K662,$D$4:$D662,$D662))</f>
        <v/>
      </c>
      <c r="M662" s="80"/>
      <c r="N662" s="80"/>
      <c r="O662" s="94"/>
      <c r="P662" s="26" t="str">
        <f t="shared" si="32"/>
        <v/>
      </c>
      <c r="Q662" s="80"/>
      <c r="R662" s="80"/>
      <c r="S662" s="80"/>
      <c r="T662" s="82"/>
      <c r="U662" s="80"/>
      <c r="V662" s="80"/>
      <c r="W662" s="80"/>
    </row>
    <row r="663" ht="18" customHeight="1" spans="1:23">
      <c r="A663" s="87" t="str">
        <f t="shared" si="30"/>
        <v/>
      </c>
      <c r="B663" s="78"/>
      <c r="C663" s="80"/>
      <c r="D663" s="79"/>
      <c r="E663" s="80"/>
      <c r="F663" s="79"/>
      <c r="G663" s="25" t="str">
        <f t="shared" si="31"/>
        <v/>
      </c>
      <c r="H663" s="88"/>
      <c r="I663" s="93"/>
      <c r="J663" s="97"/>
      <c r="K663" s="88"/>
      <c r="L663" s="25" t="str">
        <f>IF($D663="","",SUMIFS($H$4:$H663,$D$4:$D663,$D663)+SUMIFS($I$4:$I663,$D$4:$D663,$D663)-SUMIFS($J$4:$J663,$D$4:$D663,$D663)-SUMIFS($K$4:$K663,$D$4:$D663,$D663))</f>
        <v/>
      </c>
      <c r="M663" s="80"/>
      <c r="N663" s="80"/>
      <c r="O663" s="94"/>
      <c r="P663" s="26" t="str">
        <f t="shared" si="32"/>
        <v/>
      </c>
      <c r="Q663" s="80"/>
      <c r="R663" s="80"/>
      <c r="S663" s="80"/>
      <c r="T663" s="82"/>
      <c r="U663" s="80"/>
      <c r="V663" s="80"/>
      <c r="W663" s="80"/>
    </row>
    <row r="664" ht="18" customHeight="1" spans="1:23">
      <c r="A664" s="87" t="str">
        <f t="shared" si="30"/>
        <v/>
      </c>
      <c r="B664" s="78"/>
      <c r="C664" s="80"/>
      <c r="D664" s="79"/>
      <c r="E664" s="80"/>
      <c r="F664" s="79"/>
      <c r="G664" s="25" t="str">
        <f t="shared" si="31"/>
        <v/>
      </c>
      <c r="H664" s="88"/>
      <c r="I664" s="93"/>
      <c r="J664" s="97"/>
      <c r="K664" s="88"/>
      <c r="L664" s="25" t="str">
        <f>IF($D664="","",SUMIFS($H$4:$H664,$D$4:$D664,$D664)+SUMIFS($I$4:$I664,$D$4:$D664,$D664)-SUMIFS($J$4:$J664,$D$4:$D664,$D664)-SUMIFS($K$4:$K664,$D$4:$D664,$D664))</f>
        <v/>
      </c>
      <c r="M664" s="80"/>
      <c r="N664" s="80"/>
      <c r="O664" s="94"/>
      <c r="P664" s="26" t="str">
        <f t="shared" si="32"/>
        <v/>
      </c>
      <c r="Q664" s="80"/>
      <c r="R664" s="80"/>
      <c r="S664" s="80"/>
      <c r="T664" s="82"/>
      <c r="U664" s="80"/>
      <c r="V664" s="80"/>
      <c r="W664" s="80"/>
    </row>
    <row r="665" ht="18" customHeight="1" spans="1:23">
      <c r="A665" s="87" t="str">
        <f t="shared" si="30"/>
        <v/>
      </c>
      <c r="B665" s="78"/>
      <c r="C665" s="80"/>
      <c r="D665" s="79"/>
      <c r="E665" s="80"/>
      <c r="F665" s="79"/>
      <c r="G665" s="25" t="str">
        <f t="shared" si="31"/>
        <v/>
      </c>
      <c r="H665" s="88"/>
      <c r="I665" s="93"/>
      <c r="J665" s="97"/>
      <c r="K665" s="88"/>
      <c r="L665" s="25" t="str">
        <f>IF($D665="","",SUMIFS($H$4:$H665,$D$4:$D665,$D665)+SUMIFS($I$4:$I665,$D$4:$D665,$D665)-SUMIFS($J$4:$J665,$D$4:$D665,$D665)-SUMIFS($K$4:$K665,$D$4:$D665,$D665))</f>
        <v/>
      </c>
      <c r="M665" s="80"/>
      <c r="N665" s="80"/>
      <c r="O665" s="94"/>
      <c r="P665" s="26" t="str">
        <f t="shared" si="32"/>
        <v/>
      </c>
      <c r="Q665" s="80"/>
      <c r="R665" s="80"/>
      <c r="S665" s="80"/>
      <c r="T665" s="82"/>
      <c r="U665" s="80"/>
      <c r="V665" s="80"/>
      <c r="W665" s="80"/>
    </row>
    <row r="666" ht="18" customHeight="1" spans="1:23">
      <c r="A666" s="87" t="str">
        <f t="shared" si="30"/>
        <v/>
      </c>
      <c r="B666" s="78"/>
      <c r="C666" s="80"/>
      <c r="D666" s="79"/>
      <c r="E666" s="80"/>
      <c r="F666" s="79"/>
      <c r="G666" s="25" t="str">
        <f t="shared" si="31"/>
        <v/>
      </c>
      <c r="H666" s="88"/>
      <c r="I666" s="93"/>
      <c r="J666" s="97"/>
      <c r="K666" s="88"/>
      <c r="L666" s="25" t="str">
        <f>IF($D666="","",SUMIFS($H$4:$H666,$D$4:$D666,$D666)+SUMIFS($I$4:$I666,$D$4:$D666,$D666)-SUMIFS($J$4:$J666,$D$4:$D666,$D666)-SUMIFS($K$4:$K666,$D$4:$D666,$D666))</f>
        <v/>
      </c>
      <c r="M666" s="80"/>
      <c r="N666" s="80"/>
      <c r="O666" s="94"/>
      <c r="P666" s="26" t="str">
        <f t="shared" si="32"/>
        <v/>
      </c>
      <c r="Q666" s="80"/>
      <c r="R666" s="80"/>
      <c r="S666" s="80"/>
      <c r="T666" s="82"/>
      <c r="U666" s="80"/>
      <c r="V666" s="80"/>
      <c r="W666" s="80"/>
    </row>
    <row r="667" ht="18" customHeight="1" spans="1:23">
      <c r="A667" s="87" t="str">
        <f t="shared" si="30"/>
        <v/>
      </c>
      <c r="B667" s="78"/>
      <c r="C667" s="80"/>
      <c r="D667" s="79"/>
      <c r="E667" s="80"/>
      <c r="F667" s="79"/>
      <c r="G667" s="25" t="str">
        <f t="shared" si="31"/>
        <v/>
      </c>
      <c r="H667" s="88"/>
      <c r="I667" s="93"/>
      <c r="J667" s="97"/>
      <c r="K667" s="88"/>
      <c r="L667" s="25" t="str">
        <f>IF($D667="","",SUMIFS($H$4:$H667,$D$4:$D667,$D667)+SUMIFS($I$4:$I667,$D$4:$D667,$D667)-SUMIFS($J$4:$J667,$D$4:$D667,$D667)-SUMIFS($K$4:$K667,$D$4:$D667,$D667))</f>
        <v/>
      </c>
      <c r="M667" s="80"/>
      <c r="N667" s="80"/>
      <c r="O667" s="94"/>
      <c r="P667" s="26" t="str">
        <f t="shared" si="32"/>
        <v/>
      </c>
      <c r="Q667" s="80"/>
      <c r="R667" s="80"/>
      <c r="S667" s="80"/>
      <c r="T667" s="82"/>
      <c r="U667" s="80"/>
      <c r="V667" s="80"/>
      <c r="W667" s="80"/>
    </row>
    <row r="668" ht="18" customHeight="1" spans="1:23">
      <c r="A668" s="87" t="str">
        <f t="shared" si="30"/>
        <v/>
      </c>
      <c r="B668" s="78"/>
      <c r="C668" s="80"/>
      <c r="D668" s="79"/>
      <c r="E668" s="80"/>
      <c r="F668" s="79"/>
      <c r="G668" s="25" t="str">
        <f t="shared" si="31"/>
        <v/>
      </c>
      <c r="H668" s="88"/>
      <c r="I668" s="93"/>
      <c r="J668" s="97"/>
      <c r="K668" s="88"/>
      <c r="L668" s="25" t="str">
        <f>IF($D668="","",SUMIFS($H$4:$H668,$D$4:$D668,$D668)+SUMIFS($I$4:$I668,$D$4:$D668,$D668)-SUMIFS($J$4:$J668,$D$4:$D668,$D668)-SUMIFS($K$4:$K668,$D$4:$D668,$D668))</f>
        <v/>
      </c>
      <c r="M668" s="80"/>
      <c r="N668" s="80"/>
      <c r="O668" s="94"/>
      <c r="P668" s="26" t="str">
        <f t="shared" si="32"/>
        <v/>
      </c>
      <c r="Q668" s="80"/>
      <c r="R668" s="80"/>
      <c r="S668" s="80"/>
      <c r="T668" s="82"/>
      <c r="U668" s="80"/>
      <c r="V668" s="80"/>
      <c r="W668" s="80"/>
    </row>
    <row r="669" ht="18" customHeight="1" spans="1:23">
      <c r="A669" s="87" t="str">
        <f t="shared" si="30"/>
        <v/>
      </c>
      <c r="B669" s="78"/>
      <c r="C669" s="80"/>
      <c r="D669" s="79"/>
      <c r="E669" s="80"/>
      <c r="F669" s="79"/>
      <c r="G669" s="25" t="str">
        <f t="shared" si="31"/>
        <v/>
      </c>
      <c r="H669" s="88"/>
      <c r="I669" s="93"/>
      <c r="J669" s="97"/>
      <c r="K669" s="88"/>
      <c r="L669" s="25" t="str">
        <f>IF($D669="","",SUMIFS($H$4:$H669,$D$4:$D669,$D669)+SUMIFS($I$4:$I669,$D$4:$D669,$D669)-SUMIFS($J$4:$J669,$D$4:$D669,$D669)-SUMIFS($K$4:$K669,$D$4:$D669,$D669))</f>
        <v/>
      </c>
      <c r="M669" s="80"/>
      <c r="N669" s="80"/>
      <c r="O669" s="94"/>
      <c r="P669" s="26" t="str">
        <f t="shared" si="32"/>
        <v/>
      </c>
      <c r="Q669" s="80"/>
      <c r="R669" s="80"/>
      <c r="S669" s="80"/>
      <c r="T669" s="82"/>
      <c r="U669" s="80"/>
      <c r="V669" s="80"/>
      <c r="W669" s="80"/>
    </row>
    <row r="670" ht="18" customHeight="1" spans="1:23">
      <c r="A670" s="87" t="str">
        <f t="shared" si="30"/>
        <v/>
      </c>
      <c r="B670" s="78"/>
      <c r="C670" s="80"/>
      <c r="D670" s="79"/>
      <c r="E670" s="80"/>
      <c r="F670" s="79"/>
      <c r="G670" s="25" t="str">
        <f t="shared" si="31"/>
        <v/>
      </c>
      <c r="H670" s="88"/>
      <c r="I670" s="93"/>
      <c r="J670" s="97"/>
      <c r="K670" s="88"/>
      <c r="L670" s="25" t="str">
        <f>IF($D670="","",SUMIFS($H$4:$H670,$D$4:$D670,$D670)+SUMIFS($I$4:$I670,$D$4:$D670,$D670)-SUMIFS($J$4:$J670,$D$4:$D670,$D670)-SUMIFS($K$4:$K670,$D$4:$D670,$D670))</f>
        <v/>
      </c>
      <c r="M670" s="80"/>
      <c r="N670" s="80"/>
      <c r="O670" s="94"/>
      <c r="P670" s="26" t="str">
        <f t="shared" si="32"/>
        <v/>
      </c>
      <c r="Q670" s="80"/>
      <c r="R670" s="80"/>
      <c r="S670" s="80"/>
      <c r="T670" s="82"/>
      <c r="U670" s="80"/>
      <c r="V670" s="80"/>
      <c r="W670" s="80"/>
    </row>
    <row r="671" ht="18" customHeight="1" spans="1:23">
      <c r="A671" s="87" t="str">
        <f t="shared" si="30"/>
        <v/>
      </c>
      <c r="B671" s="78"/>
      <c r="C671" s="80"/>
      <c r="D671" s="79"/>
      <c r="E671" s="80"/>
      <c r="F671" s="79"/>
      <c r="G671" s="25" t="str">
        <f t="shared" si="31"/>
        <v/>
      </c>
      <c r="H671" s="88"/>
      <c r="I671" s="93"/>
      <c r="J671" s="97"/>
      <c r="K671" s="88"/>
      <c r="L671" s="25" t="str">
        <f>IF($D671="","",SUMIFS($H$4:$H671,$D$4:$D671,$D671)+SUMIFS($I$4:$I671,$D$4:$D671,$D671)-SUMIFS($J$4:$J671,$D$4:$D671,$D671)-SUMIFS($K$4:$K671,$D$4:$D671,$D671))</f>
        <v/>
      </c>
      <c r="M671" s="80"/>
      <c r="N671" s="80"/>
      <c r="O671" s="94"/>
      <c r="P671" s="26" t="str">
        <f t="shared" si="32"/>
        <v/>
      </c>
      <c r="Q671" s="80"/>
      <c r="R671" s="80"/>
      <c r="S671" s="80"/>
      <c r="T671" s="82"/>
      <c r="U671" s="80"/>
      <c r="V671" s="80"/>
      <c r="W671" s="80"/>
    </row>
    <row r="672" ht="18" customHeight="1" spans="1:23">
      <c r="A672" s="87" t="str">
        <f t="shared" si="30"/>
        <v/>
      </c>
      <c r="B672" s="78"/>
      <c r="C672" s="80"/>
      <c r="D672" s="79"/>
      <c r="E672" s="80"/>
      <c r="F672" s="79"/>
      <c r="G672" s="25" t="str">
        <f t="shared" si="31"/>
        <v/>
      </c>
      <c r="H672" s="88"/>
      <c r="I672" s="93"/>
      <c r="J672" s="97"/>
      <c r="K672" s="88"/>
      <c r="L672" s="25" t="str">
        <f>IF($D672="","",SUMIFS($H$4:$H672,$D$4:$D672,$D672)+SUMIFS($I$4:$I672,$D$4:$D672,$D672)-SUMIFS($J$4:$J672,$D$4:$D672,$D672)-SUMIFS($K$4:$K672,$D$4:$D672,$D672))</f>
        <v/>
      </c>
      <c r="M672" s="80"/>
      <c r="N672" s="80"/>
      <c r="O672" s="94"/>
      <c r="P672" s="26" t="str">
        <f t="shared" si="32"/>
        <v/>
      </c>
      <c r="Q672" s="80"/>
      <c r="R672" s="80"/>
      <c r="S672" s="80"/>
      <c r="T672" s="82"/>
      <c r="U672" s="80"/>
      <c r="V672" s="80"/>
      <c r="W672" s="80"/>
    </row>
    <row r="673" ht="18" customHeight="1" spans="1:23">
      <c r="A673" s="87" t="str">
        <f t="shared" si="30"/>
        <v/>
      </c>
      <c r="B673" s="78"/>
      <c r="C673" s="80"/>
      <c r="D673" s="79"/>
      <c r="E673" s="80"/>
      <c r="F673" s="79"/>
      <c r="G673" s="25" t="str">
        <f t="shared" si="31"/>
        <v/>
      </c>
      <c r="H673" s="88"/>
      <c r="I673" s="93"/>
      <c r="J673" s="97"/>
      <c r="K673" s="88"/>
      <c r="L673" s="25" t="str">
        <f>IF($D673="","",SUMIFS($H$4:$H673,$D$4:$D673,$D673)+SUMIFS($I$4:$I673,$D$4:$D673,$D673)-SUMIFS($J$4:$J673,$D$4:$D673,$D673)-SUMIFS($K$4:$K673,$D$4:$D673,$D673))</f>
        <v/>
      </c>
      <c r="M673" s="80"/>
      <c r="N673" s="80"/>
      <c r="O673" s="94"/>
      <c r="P673" s="26" t="str">
        <f t="shared" si="32"/>
        <v/>
      </c>
      <c r="Q673" s="80"/>
      <c r="R673" s="80"/>
      <c r="S673" s="80"/>
      <c r="T673" s="82"/>
      <c r="U673" s="80"/>
      <c r="V673" s="80"/>
      <c r="W673" s="80"/>
    </row>
    <row r="674" ht="18" customHeight="1" spans="1:23">
      <c r="A674" s="87" t="str">
        <f t="shared" si="30"/>
        <v/>
      </c>
      <c r="B674" s="78"/>
      <c r="C674" s="80"/>
      <c r="D674" s="79"/>
      <c r="E674" s="80"/>
      <c r="F674" s="79"/>
      <c r="G674" s="25" t="str">
        <f t="shared" si="31"/>
        <v/>
      </c>
      <c r="H674" s="88"/>
      <c r="I674" s="93"/>
      <c r="J674" s="97"/>
      <c r="K674" s="88"/>
      <c r="L674" s="25" t="str">
        <f>IF($D674="","",SUMIFS($H$4:$H674,$D$4:$D674,$D674)+SUMIFS($I$4:$I674,$D$4:$D674,$D674)-SUMIFS($J$4:$J674,$D$4:$D674,$D674)-SUMIFS($K$4:$K674,$D$4:$D674,$D674))</f>
        <v/>
      </c>
      <c r="M674" s="80"/>
      <c r="N674" s="80"/>
      <c r="O674" s="94"/>
      <c r="P674" s="26" t="str">
        <f t="shared" si="32"/>
        <v/>
      </c>
      <c r="Q674" s="80"/>
      <c r="R674" s="80"/>
      <c r="S674" s="80"/>
      <c r="T674" s="82"/>
      <c r="U674" s="80"/>
      <c r="V674" s="80"/>
      <c r="W674" s="80"/>
    </row>
    <row r="675" ht="18" customHeight="1" spans="1:23">
      <c r="A675" s="87" t="str">
        <f t="shared" si="30"/>
        <v/>
      </c>
      <c r="B675" s="78"/>
      <c r="C675" s="80"/>
      <c r="D675" s="79"/>
      <c r="E675" s="80"/>
      <c r="F675" s="79"/>
      <c r="G675" s="25" t="str">
        <f t="shared" si="31"/>
        <v/>
      </c>
      <c r="H675" s="88"/>
      <c r="I675" s="93"/>
      <c r="J675" s="97"/>
      <c r="K675" s="88"/>
      <c r="L675" s="25" t="str">
        <f>IF($D675="","",SUMIFS($H$4:$H675,$D$4:$D675,$D675)+SUMIFS($I$4:$I675,$D$4:$D675,$D675)-SUMIFS($J$4:$J675,$D$4:$D675,$D675)-SUMIFS($K$4:$K675,$D$4:$D675,$D675))</f>
        <v/>
      </c>
      <c r="M675" s="80"/>
      <c r="N675" s="80"/>
      <c r="O675" s="94"/>
      <c r="P675" s="26" t="str">
        <f t="shared" si="32"/>
        <v/>
      </c>
      <c r="Q675" s="80"/>
      <c r="R675" s="80"/>
      <c r="S675" s="80"/>
      <c r="T675" s="82"/>
      <c r="U675" s="80"/>
      <c r="V675" s="80"/>
      <c r="W675" s="80"/>
    </row>
    <row r="676" ht="18" customHeight="1" spans="1:23">
      <c r="A676" s="87" t="str">
        <f t="shared" si="30"/>
        <v/>
      </c>
      <c r="B676" s="78"/>
      <c r="C676" s="80"/>
      <c r="D676" s="79"/>
      <c r="E676" s="80"/>
      <c r="F676" s="79"/>
      <c r="G676" s="25" t="str">
        <f t="shared" si="31"/>
        <v/>
      </c>
      <c r="H676" s="88"/>
      <c r="I676" s="93"/>
      <c r="J676" s="97"/>
      <c r="K676" s="88"/>
      <c r="L676" s="25" t="str">
        <f>IF($D676="","",SUMIFS($H$4:$H676,$D$4:$D676,$D676)+SUMIFS($I$4:$I676,$D$4:$D676,$D676)-SUMIFS($J$4:$J676,$D$4:$D676,$D676)-SUMIFS($K$4:$K676,$D$4:$D676,$D676))</f>
        <v/>
      </c>
      <c r="M676" s="80"/>
      <c r="N676" s="80"/>
      <c r="O676" s="94"/>
      <c r="P676" s="26" t="str">
        <f t="shared" si="32"/>
        <v/>
      </c>
      <c r="Q676" s="80"/>
      <c r="R676" s="80"/>
      <c r="S676" s="80"/>
      <c r="T676" s="82"/>
      <c r="U676" s="80"/>
      <c r="V676" s="80"/>
      <c r="W676" s="80"/>
    </row>
    <row r="677" ht="18" customHeight="1" spans="1:23">
      <c r="A677" s="87" t="str">
        <f t="shared" si="30"/>
        <v/>
      </c>
      <c r="B677" s="78"/>
      <c r="C677" s="80"/>
      <c r="D677" s="79"/>
      <c r="E677" s="80"/>
      <c r="F677" s="79"/>
      <c r="G677" s="25" t="str">
        <f t="shared" si="31"/>
        <v/>
      </c>
      <c r="H677" s="88"/>
      <c r="I677" s="93"/>
      <c r="J677" s="97"/>
      <c r="K677" s="88"/>
      <c r="L677" s="25" t="str">
        <f>IF($D677="","",SUMIFS($H$4:$H677,$D$4:$D677,$D677)+SUMIFS($I$4:$I677,$D$4:$D677,$D677)-SUMIFS($J$4:$J677,$D$4:$D677,$D677)-SUMIFS($K$4:$K677,$D$4:$D677,$D677))</f>
        <v/>
      </c>
      <c r="M677" s="80"/>
      <c r="N677" s="80"/>
      <c r="O677" s="94"/>
      <c r="P677" s="26" t="str">
        <f t="shared" si="32"/>
        <v/>
      </c>
      <c r="Q677" s="80"/>
      <c r="R677" s="80"/>
      <c r="S677" s="80"/>
      <c r="T677" s="82"/>
      <c r="U677" s="80"/>
      <c r="V677" s="80"/>
      <c r="W677" s="80"/>
    </row>
    <row r="678" ht="18" customHeight="1" spans="1:23">
      <c r="A678" s="87" t="str">
        <f t="shared" si="30"/>
        <v/>
      </c>
      <c r="B678" s="78"/>
      <c r="C678" s="80"/>
      <c r="D678" s="79"/>
      <c r="E678" s="80"/>
      <c r="F678" s="79"/>
      <c r="G678" s="25" t="str">
        <f t="shared" si="31"/>
        <v/>
      </c>
      <c r="H678" s="88"/>
      <c r="I678" s="93"/>
      <c r="J678" s="97"/>
      <c r="K678" s="88"/>
      <c r="L678" s="25" t="str">
        <f>IF($D678="","",SUMIFS($H$4:$H678,$D$4:$D678,$D678)+SUMIFS($I$4:$I678,$D$4:$D678,$D678)-SUMIFS($J$4:$J678,$D$4:$D678,$D678)-SUMIFS($K$4:$K678,$D$4:$D678,$D678))</f>
        <v/>
      </c>
      <c r="M678" s="80"/>
      <c r="N678" s="80"/>
      <c r="O678" s="94"/>
      <c r="P678" s="26" t="str">
        <f t="shared" si="32"/>
        <v/>
      </c>
      <c r="Q678" s="80"/>
      <c r="R678" s="80"/>
      <c r="S678" s="80"/>
      <c r="T678" s="82"/>
      <c r="U678" s="80"/>
      <c r="V678" s="80"/>
      <c r="W678" s="80"/>
    </row>
    <row r="679" ht="18" customHeight="1" spans="1:23">
      <c r="A679" s="87" t="str">
        <f t="shared" si="30"/>
        <v/>
      </c>
      <c r="B679" s="78"/>
      <c r="C679" s="80"/>
      <c r="D679" s="79"/>
      <c r="E679" s="80"/>
      <c r="F679" s="79"/>
      <c r="G679" s="25" t="str">
        <f t="shared" si="31"/>
        <v/>
      </c>
      <c r="H679" s="88"/>
      <c r="I679" s="93"/>
      <c r="J679" s="97"/>
      <c r="K679" s="88"/>
      <c r="L679" s="25" t="str">
        <f>IF($D679="","",SUMIFS($H$4:$H679,$D$4:$D679,$D679)+SUMIFS($I$4:$I679,$D$4:$D679,$D679)-SUMIFS($J$4:$J679,$D$4:$D679,$D679)-SUMIFS($K$4:$K679,$D$4:$D679,$D679))</f>
        <v/>
      </c>
      <c r="M679" s="80"/>
      <c r="N679" s="80"/>
      <c r="O679" s="94"/>
      <c r="P679" s="26" t="str">
        <f t="shared" si="32"/>
        <v/>
      </c>
      <c r="Q679" s="80"/>
      <c r="R679" s="80"/>
      <c r="S679" s="80"/>
      <c r="T679" s="82"/>
      <c r="U679" s="80"/>
      <c r="V679" s="80"/>
      <c r="W679" s="80"/>
    </row>
    <row r="680" ht="18" customHeight="1" spans="1:23">
      <c r="A680" s="87" t="str">
        <f t="shared" si="30"/>
        <v/>
      </c>
      <c r="B680" s="78"/>
      <c r="C680" s="80"/>
      <c r="D680" s="79"/>
      <c r="E680" s="80"/>
      <c r="F680" s="79"/>
      <c r="G680" s="25" t="str">
        <f t="shared" si="31"/>
        <v/>
      </c>
      <c r="H680" s="88"/>
      <c r="I680" s="93"/>
      <c r="J680" s="97"/>
      <c r="K680" s="88"/>
      <c r="L680" s="25" t="str">
        <f>IF($D680="","",SUMIFS($H$4:$H680,$D$4:$D680,$D680)+SUMIFS($I$4:$I680,$D$4:$D680,$D680)-SUMIFS($J$4:$J680,$D$4:$D680,$D680)-SUMIFS($K$4:$K680,$D$4:$D680,$D680))</f>
        <v/>
      </c>
      <c r="M680" s="80"/>
      <c r="N680" s="80"/>
      <c r="O680" s="94"/>
      <c r="P680" s="26" t="str">
        <f t="shared" si="32"/>
        <v/>
      </c>
      <c r="Q680" s="80"/>
      <c r="R680" s="80"/>
      <c r="S680" s="80"/>
      <c r="T680" s="82"/>
      <c r="U680" s="80"/>
      <c r="V680" s="80"/>
      <c r="W680" s="80"/>
    </row>
    <row r="681" ht="18" customHeight="1" spans="1:23">
      <c r="A681" s="87" t="str">
        <f t="shared" si="30"/>
        <v/>
      </c>
      <c r="B681" s="78"/>
      <c r="C681" s="80"/>
      <c r="D681" s="79"/>
      <c r="E681" s="80"/>
      <c r="F681" s="79"/>
      <c r="G681" s="25" t="str">
        <f t="shared" si="31"/>
        <v/>
      </c>
      <c r="H681" s="88"/>
      <c r="I681" s="93"/>
      <c r="J681" s="97"/>
      <c r="K681" s="88"/>
      <c r="L681" s="25" t="str">
        <f>IF($D681="","",SUMIFS($H$4:$H681,$D$4:$D681,$D681)+SUMIFS($I$4:$I681,$D$4:$D681,$D681)-SUMIFS($J$4:$J681,$D$4:$D681,$D681)-SUMIFS($K$4:$K681,$D$4:$D681,$D681))</f>
        <v/>
      </c>
      <c r="M681" s="80"/>
      <c r="N681" s="80"/>
      <c r="O681" s="94"/>
      <c r="P681" s="26" t="str">
        <f t="shared" si="32"/>
        <v/>
      </c>
      <c r="Q681" s="80"/>
      <c r="R681" s="80"/>
      <c r="S681" s="80"/>
      <c r="T681" s="82"/>
      <c r="U681" s="80"/>
      <c r="V681" s="80"/>
      <c r="W681" s="80"/>
    </row>
    <row r="682" ht="18" customHeight="1" spans="1:23">
      <c r="A682" s="87" t="str">
        <f t="shared" si="30"/>
        <v/>
      </c>
      <c r="B682" s="78"/>
      <c r="C682" s="80"/>
      <c r="D682" s="79"/>
      <c r="E682" s="80"/>
      <c r="F682" s="79"/>
      <c r="G682" s="25" t="str">
        <f t="shared" si="31"/>
        <v/>
      </c>
      <c r="H682" s="88"/>
      <c r="I682" s="93"/>
      <c r="J682" s="97"/>
      <c r="K682" s="88"/>
      <c r="L682" s="25" t="str">
        <f>IF($D682="","",SUMIFS($H$4:$H682,$D$4:$D682,$D682)+SUMIFS($I$4:$I682,$D$4:$D682,$D682)-SUMIFS($J$4:$J682,$D$4:$D682,$D682)-SUMIFS($K$4:$K682,$D$4:$D682,$D682))</f>
        <v/>
      </c>
      <c r="M682" s="80"/>
      <c r="N682" s="80"/>
      <c r="O682" s="94"/>
      <c r="P682" s="26" t="str">
        <f t="shared" si="32"/>
        <v/>
      </c>
      <c r="Q682" s="80"/>
      <c r="R682" s="80"/>
      <c r="S682" s="80"/>
      <c r="T682" s="82"/>
      <c r="U682" s="80"/>
      <c r="V682" s="80"/>
      <c r="W682" s="80"/>
    </row>
    <row r="683" ht="18" customHeight="1" spans="1:23">
      <c r="A683" s="87" t="str">
        <f t="shared" si="30"/>
        <v/>
      </c>
      <c r="B683" s="78"/>
      <c r="C683" s="80"/>
      <c r="D683" s="79"/>
      <c r="E683" s="80"/>
      <c r="F683" s="79"/>
      <c r="G683" s="25" t="str">
        <f t="shared" si="31"/>
        <v/>
      </c>
      <c r="H683" s="88"/>
      <c r="I683" s="93"/>
      <c r="J683" s="97"/>
      <c r="K683" s="88"/>
      <c r="L683" s="25" t="str">
        <f>IF($D683="","",SUMIFS($H$4:$H683,$D$4:$D683,$D683)+SUMIFS($I$4:$I683,$D$4:$D683,$D683)-SUMIFS($J$4:$J683,$D$4:$D683,$D683)-SUMIFS($K$4:$K683,$D$4:$D683,$D683))</f>
        <v/>
      </c>
      <c r="M683" s="80"/>
      <c r="N683" s="80"/>
      <c r="O683" s="94"/>
      <c r="P683" s="26" t="str">
        <f t="shared" si="32"/>
        <v/>
      </c>
      <c r="Q683" s="80"/>
      <c r="R683" s="80"/>
      <c r="S683" s="80"/>
      <c r="T683" s="82"/>
      <c r="U683" s="80"/>
      <c r="V683" s="80"/>
      <c r="W683" s="80"/>
    </row>
    <row r="684" ht="18" customHeight="1" spans="1:23">
      <c r="A684" s="87" t="str">
        <f t="shared" si="30"/>
        <v/>
      </c>
      <c r="B684" s="78"/>
      <c r="C684" s="80"/>
      <c r="D684" s="79"/>
      <c r="E684" s="80"/>
      <c r="F684" s="79"/>
      <c r="G684" s="25" t="str">
        <f t="shared" si="31"/>
        <v/>
      </c>
      <c r="H684" s="88"/>
      <c r="I684" s="93"/>
      <c r="J684" s="97"/>
      <c r="K684" s="88"/>
      <c r="L684" s="25" t="str">
        <f>IF($D684="","",SUMIFS($H$4:$H684,$D$4:$D684,$D684)+SUMIFS($I$4:$I684,$D$4:$D684,$D684)-SUMIFS($J$4:$J684,$D$4:$D684,$D684)-SUMIFS($K$4:$K684,$D$4:$D684,$D684))</f>
        <v/>
      </c>
      <c r="M684" s="80"/>
      <c r="N684" s="80"/>
      <c r="O684" s="94"/>
      <c r="P684" s="26" t="str">
        <f t="shared" si="32"/>
        <v/>
      </c>
      <c r="Q684" s="80"/>
      <c r="R684" s="80"/>
      <c r="S684" s="80"/>
      <c r="T684" s="82"/>
      <c r="U684" s="80"/>
      <c r="V684" s="80"/>
      <c r="W684" s="80"/>
    </row>
    <row r="685" ht="18" customHeight="1" spans="1:23">
      <c r="A685" s="87" t="str">
        <f t="shared" si="30"/>
        <v/>
      </c>
      <c r="B685" s="78"/>
      <c r="C685" s="80"/>
      <c r="D685" s="79"/>
      <c r="E685" s="80"/>
      <c r="F685" s="79"/>
      <c r="G685" s="25" t="str">
        <f t="shared" si="31"/>
        <v/>
      </c>
      <c r="H685" s="88"/>
      <c r="I685" s="93"/>
      <c r="J685" s="97"/>
      <c r="K685" s="88"/>
      <c r="L685" s="25" t="str">
        <f>IF($D685="","",SUMIFS($H$4:$H685,$D$4:$D685,$D685)+SUMIFS($I$4:$I685,$D$4:$D685,$D685)-SUMIFS($J$4:$J685,$D$4:$D685,$D685)-SUMIFS($K$4:$K685,$D$4:$D685,$D685))</f>
        <v/>
      </c>
      <c r="M685" s="80"/>
      <c r="N685" s="80"/>
      <c r="O685" s="94"/>
      <c r="P685" s="26" t="str">
        <f t="shared" si="32"/>
        <v/>
      </c>
      <c r="Q685" s="80"/>
      <c r="R685" s="80"/>
      <c r="S685" s="80"/>
      <c r="T685" s="82"/>
      <c r="U685" s="80"/>
      <c r="V685" s="80"/>
      <c r="W685" s="80"/>
    </row>
    <row r="686" ht="18" customHeight="1" spans="1:23">
      <c r="A686" s="87" t="str">
        <f t="shared" si="30"/>
        <v/>
      </c>
      <c r="B686" s="78"/>
      <c r="C686" s="80"/>
      <c r="D686" s="79"/>
      <c r="E686" s="80"/>
      <c r="F686" s="79"/>
      <c r="G686" s="25" t="str">
        <f t="shared" si="31"/>
        <v/>
      </c>
      <c r="H686" s="88"/>
      <c r="I686" s="93"/>
      <c r="J686" s="97"/>
      <c r="K686" s="88"/>
      <c r="L686" s="25" t="str">
        <f>IF($D686="","",SUMIFS($H$4:$H686,$D$4:$D686,$D686)+SUMIFS($I$4:$I686,$D$4:$D686,$D686)-SUMIFS($J$4:$J686,$D$4:$D686,$D686)-SUMIFS($K$4:$K686,$D$4:$D686,$D686))</f>
        <v/>
      </c>
      <c r="M686" s="80"/>
      <c r="N686" s="80"/>
      <c r="O686" s="94"/>
      <c r="P686" s="26" t="str">
        <f t="shared" si="32"/>
        <v/>
      </c>
      <c r="Q686" s="80"/>
      <c r="R686" s="80"/>
      <c r="S686" s="80"/>
      <c r="T686" s="82"/>
      <c r="U686" s="80"/>
      <c r="V686" s="80"/>
      <c r="W686" s="80"/>
    </row>
    <row r="687" ht="18" customHeight="1" spans="1:23">
      <c r="A687" s="87" t="str">
        <f t="shared" si="30"/>
        <v/>
      </c>
      <c r="B687" s="78"/>
      <c r="C687" s="80"/>
      <c r="D687" s="79"/>
      <c r="E687" s="80"/>
      <c r="F687" s="79"/>
      <c r="G687" s="25" t="str">
        <f t="shared" si="31"/>
        <v/>
      </c>
      <c r="H687" s="88"/>
      <c r="I687" s="93"/>
      <c r="J687" s="97"/>
      <c r="K687" s="88"/>
      <c r="L687" s="25" t="str">
        <f>IF($D687="","",SUMIFS($H$4:$H687,$D$4:$D687,$D687)+SUMIFS($I$4:$I687,$D$4:$D687,$D687)-SUMIFS($J$4:$J687,$D$4:$D687,$D687)-SUMIFS($K$4:$K687,$D$4:$D687,$D687))</f>
        <v/>
      </c>
      <c r="M687" s="80"/>
      <c r="N687" s="80"/>
      <c r="O687" s="94"/>
      <c r="P687" s="26" t="str">
        <f t="shared" si="32"/>
        <v/>
      </c>
      <c r="Q687" s="80"/>
      <c r="R687" s="80"/>
      <c r="S687" s="80"/>
      <c r="T687" s="82"/>
      <c r="U687" s="80"/>
      <c r="V687" s="80"/>
      <c r="W687" s="80"/>
    </row>
    <row r="688" ht="18" customHeight="1" spans="1:23">
      <c r="A688" s="87" t="str">
        <f t="shared" si="30"/>
        <v/>
      </c>
      <c r="B688" s="78"/>
      <c r="C688" s="80"/>
      <c r="D688" s="79"/>
      <c r="E688" s="80"/>
      <c r="F688" s="79"/>
      <c r="G688" s="25" t="str">
        <f t="shared" si="31"/>
        <v/>
      </c>
      <c r="H688" s="88"/>
      <c r="I688" s="93"/>
      <c r="J688" s="97"/>
      <c r="K688" s="88"/>
      <c r="L688" s="25" t="str">
        <f>IF($D688="","",SUMIFS($H$4:$H688,$D$4:$D688,$D688)+SUMIFS($I$4:$I688,$D$4:$D688,$D688)-SUMIFS($J$4:$J688,$D$4:$D688,$D688)-SUMIFS($K$4:$K688,$D$4:$D688,$D688))</f>
        <v/>
      </c>
      <c r="M688" s="80"/>
      <c r="N688" s="80"/>
      <c r="O688" s="94"/>
      <c r="P688" s="26" t="str">
        <f t="shared" si="32"/>
        <v/>
      </c>
      <c r="Q688" s="80"/>
      <c r="R688" s="80"/>
      <c r="S688" s="80"/>
      <c r="T688" s="82"/>
      <c r="U688" s="80"/>
      <c r="V688" s="80"/>
      <c r="W688" s="80"/>
    </row>
    <row r="689" ht="18" customHeight="1" spans="1:23">
      <c r="A689" s="87" t="str">
        <f t="shared" si="30"/>
        <v/>
      </c>
      <c r="B689" s="78"/>
      <c r="C689" s="80"/>
      <c r="D689" s="79"/>
      <c r="E689" s="80"/>
      <c r="F689" s="79"/>
      <c r="G689" s="25" t="str">
        <f t="shared" si="31"/>
        <v/>
      </c>
      <c r="H689" s="88"/>
      <c r="I689" s="93"/>
      <c r="J689" s="97"/>
      <c r="K689" s="88"/>
      <c r="L689" s="25" t="str">
        <f>IF($D689="","",SUMIFS($H$4:$H689,$D$4:$D689,$D689)+SUMIFS($I$4:$I689,$D$4:$D689,$D689)-SUMIFS($J$4:$J689,$D$4:$D689,$D689)-SUMIFS($K$4:$K689,$D$4:$D689,$D689))</f>
        <v/>
      </c>
      <c r="M689" s="80"/>
      <c r="N689" s="80"/>
      <c r="O689" s="94"/>
      <c r="P689" s="26" t="str">
        <f t="shared" si="32"/>
        <v/>
      </c>
      <c r="Q689" s="80"/>
      <c r="R689" s="80"/>
      <c r="S689" s="80"/>
      <c r="T689" s="82"/>
      <c r="U689" s="80"/>
      <c r="V689" s="80"/>
      <c r="W689" s="80"/>
    </row>
    <row r="690" ht="18" customHeight="1" spans="1:23">
      <c r="A690" s="87" t="str">
        <f t="shared" si="30"/>
        <v/>
      </c>
      <c r="B690" s="78"/>
      <c r="C690" s="80"/>
      <c r="D690" s="79"/>
      <c r="E690" s="80"/>
      <c r="F690" s="79"/>
      <c r="G690" s="25" t="str">
        <f t="shared" si="31"/>
        <v/>
      </c>
      <c r="H690" s="88"/>
      <c r="I690" s="93"/>
      <c r="J690" s="97"/>
      <c r="K690" s="88"/>
      <c r="L690" s="25" t="str">
        <f>IF($D690="","",SUMIFS($H$4:$H690,$D$4:$D690,$D690)+SUMIFS($I$4:$I690,$D$4:$D690,$D690)-SUMIFS($J$4:$J690,$D$4:$D690,$D690)-SUMIFS($K$4:$K690,$D$4:$D690,$D690))</f>
        <v/>
      </c>
      <c r="M690" s="80"/>
      <c r="N690" s="80"/>
      <c r="O690" s="94"/>
      <c r="P690" s="26" t="str">
        <f t="shared" si="32"/>
        <v/>
      </c>
      <c r="Q690" s="80"/>
      <c r="R690" s="80"/>
      <c r="S690" s="80"/>
      <c r="T690" s="82"/>
      <c r="U690" s="80"/>
      <c r="V690" s="80"/>
      <c r="W690" s="80"/>
    </row>
    <row r="691" ht="18" customHeight="1" spans="1:23">
      <c r="A691" s="87" t="str">
        <f t="shared" si="30"/>
        <v/>
      </c>
      <c r="B691" s="78"/>
      <c r="C691" s="80"/>
      <c r="D691" s="79"/>
      <c r="E691" s="80"/>
      <c r="F691" s="79"/>
      <c r="G691" s="25" t="str">
        <f t="shared" si="31"/>
        <v/>
      </c>
      <c r="H691" s="88"/>
      <c r="I691" s="93"/>
      <c r="J691" s="97"/>
      <c r="K691" s="88"/>
      <c r="L691" s="25" t="str">
        <f>IF($D691="","",SUMIFS($H$4:$H691,$D$4:$D691,$D691)+SUMIFS($I$4:$I691,$D$4:$D691,$D691)-SUMIFS($J$4:$J691,$D$4:$D691,$D691)-SUMIFS($K$4:$K691,$D$4:$D691,$D691))</f>
        <v/>
      </c>
      <c r="M691" s="80"/>
      <c r="N691" s="80"/>
      <c r="O691" s="94"/>
      <c r="P691" s="26" t="str">
        <f t="shared" si="32"/>
        <v/>
      </c>
      <c r="Q691" s="80"/>
      <c r="R691" s="80"/>
      <c r="S691" s="80"/>
      <c r="T691" s="82"/>
      <c r="U691" s="80"/>
      <c r="V691" s="80"/>
      <c r="W691" s="80"/>
    </row>
    <row r="692" ht="18" customHeight="1" spans="1:23">
      <c r="A692" s="87" t="str">
        <f t="shared" si="30"/>
        <v/>
      </c>
      <c r="B692" s="78"/>
      <c r="C692" s="80"/>
      <c r="D692" s="79"/>
      <c r="E692" s="80"/>
      <c r="F692" s="79"/>
      <c r="G692" s="25" t="str">
        <f t="shared" si="31"/>
        <v/>
      </c>
      <c r="H692" s="88"/>
      <c r="I692" s="93"/>
      <c r="J692" s="97"/>
      <c r="K692" s="88"/>
      <c r="L692" s="25" t="str">
        <f>IF($D692="","",SUMIFS($H$4:$H692,$D$4:$D692,$D692)+SUMIFS($I$4:$I692,$D$4:$D692,$D692)-SUMIFS($J$4:$J692,$D$4:$D692,$D692)-SUMIFS($K$4:$K692,$D$4:$D692,$D692))</f>
        <v/>
      </c>
      <c r="M692" s="80"/>
      <c r="N692" s="80"/>
      <c r="O692" s="94"/>
      <c r="P692" s="26" t="str">
        <f t="shared" si="32"/>
        <v/>
      </c>
      <c r="Q692" s="80"/>
      <c r="R692" s="80"/>
      <c r="S692" s="80"/>
      <c r="T692" s="82"/>
      <c r="U692" s="80"/>
      <c r="V692" s="80"/>
      <c r="W692" s="80"/>
    </row>
    <row r="693" ht="18" customHeight="1" spans="1:23">
      <c r="A693" s="87" t="str">
        <f t="shared" si="30"/>
        <v/>
      </c>
      <c r="B693" s="78"/>
      <c r="C693" s="80"/>
      <c r="D693" s="79"/>
      <c r="E693" s="80"/>
      <c r="F693" s="79"/>
      <c r="G693" s="25" t="str">
        <f t="shared" si="31"/>
        <v/>
      </c>
      <c r="H693" s="88"/>
      <c r="I693" s="93"/>
      <c r="J693" s="97"/>
      <c r="K693" s="88"/>
      <c r="L693" s="25" t="str">
        <f>IF($D693="","",SUMIFS($H$4:$H693,$D$4:$D693,$D693)+SUMIFS($I$4:$I693,$D$4:$D693,$D693)-SUMIFS($J$4:$J693,$D$4:$D693,$D693)-SUMIFS($K$4:$K693,$D$4:$D693,$D693))</f>
        <v/>
      </c>
      <c r="M693" s="80"/>
      <c r="N693" s="80"/>
      <c r="O693" s="94"/>
      <c r="P693" s="26" t="str">
        <f t="shared" si="32"/>
        <v/>
      </c>
      <c r="Q693" s="80"/>
      <c r="R693" s="80"/>
      <c r="S693" s="80"/>
      <c r="T693" s="82"/>
      <c r="U693" s="80"/>
      <c r="V693" s="80"/>
      <c r="W693" s="80"/>
    </row>
    <row r="694" ht="18" customHeight="1" spans="1:23">
      <c r="A694" s="87" t="str">
        <f t="shared" si="30"/>
        <v/>
      </c>
      <c r="B694" s="78"/>
      <c r="C694" s="80"/>
      <c r="D694" s="79"/>
      <c r="E694" s="80"/>
      <c r="F694" s="79"/>
      <c r="G694" s="25" t="str">
        <f t="shared" si="31"/>
        <v/>
      </c>
      <c r="H694" s="88"/>
      <c r="I694" s="93"/>
      <c r="J694" s="97"/>
      <c r="K694" s="88"/>
      <c r="L694" s="25" t="str">
        <f>IF($D694="","",SUMIFS($H$4:$H694,$D$4:$D694,$D694)+SUMIFS($I$4:$I694,$D$4:$D694,$D694)-SUMIFS($J$4:$J694,$D$4:$D694,$D694)-SUMIFS($K$4:$K694,$D$4:$D694,$D694))</f>
        <v/>
      </c>
      <c r="M694" s="80"/>
      <c r="N694" s="80"/>
      <c r="O694" s="94"/>
      <c r="P694" s="26" t="str">
        <f t="shared" si="32"/>
        <v/>
      </c>
      <c r="Q694" s="80"/>
      <c r="R694" s="80"/>
      <c r="S694" s="80"/>
      <c r="T694" s="82"/>
      <c r="U694" s="80"/>
      <c r="V694" s="80"/>
      <c r="W694" s="80"/>
    </row>
    <row r="695" ht="18" customHeight="1" spans="1:23">
      <c r="A695" s="87" t="str">
        <f t="shared" si="30"/>
        <v/>
      </c>
      <c r="B695" s="78"/>
      <c r="C695" s="80"/>
      <c r="D695" s="79"/>
      <c r="E695" s="80"/>
      <c r="F695" s="79"/>
      <c r="G695" s="25" t="str">
        <f t="shared" si="31"/>
        <v/>
      </c>
      <c r="H695" s="88"/>
      <c r="I695" s="93"/>
      <c r="J695" s="97"/>
      <c r="K695" s="88"/>
      <c r="L695" s="25" t="str">
        <f>IF($D695="","",SUMIFS($H$4:$H695,$D$4:$D695,$D695)+SUMIFS($I$4:$I695,$D$4:$D695,$D695)-SUMIFS($J$4:$J695,$D$4:$D695,$D695)-SUMIFS($K$4:$K695,$D$4:$D695,$D695))</f>
        <v/>
      </c>
      <c r="M695" s="80"/>
      <c r="N695" s="80"/>
      <c r="O695" s="94"/>
      <c r="P695" s="26" t="str">
        <f t="shared" si="32"/>
        <v/>
      </c>
      <c r="Q695" s="80"/>
      <c r="R695" s="80"/>
      <c r="S695" s="80"/>
      <c r="T695" s="82"/>
      <c r="U695" s="80"/>
      <c r="V695" s="80"/>
      <c r="W695" s="80"/>
    </row>
    <row r="696" ht="18" customHeight="1" spans="1:23">
      <c r="A696" s="87" t="str">
        <f t="shared" si="30"/>
        <v/>
      </c>
      <c r="B696" s="78"/>
      <c r="C696" s="80"/>
      <c r="D696" s="79"/>
      <c r="E696" s="80"/>
      <c r="F696" s="79"/>
      <c r="G696" s="25" t="str">
        <f t="shared" si="31"/>
        <v/>
      </c>
      <c r="H696" s="88"/>
      <c r="I696" s="93"/>
      <c r="J696" s="97"/>
      <c r="K696" s="88"/>
      <c r="L696" s="25" t="str">
        <f>IF($D696="","",SUMIFS($H$4:$H696,$D$4:$D696,$D696)+SUMIFS($I$4:$I696,$D$4:$D696,$D696)-SUMIFS($J$4:$J696,$D$4:$D696,$D696)-SUMIFS($K$4:$K696,$D$4:$D696,$D696))</f>
        <v/>
      </c>
      <c r="M696" s="80"/>
      <c r="N696" s="80"/>
      <c r="O696" s="94"/>
      <c r="P696" s="26" t="str">
        <f t="shared" si="32"/>
        <v/>
      </c>
      <c r="Q696" s="80"/>
      <c r="R696" s="80"/>
      <c r="S696" s="80"/>
      <c r="T696" s="82"/>
      <c r="U696" s="80"/>
      <c r="V696" s="80"/>
      <c r="W696" s="80"/>
    </row>
    <row r="697" ht="18" customHeight="1" spans="1:23">
      <c r="A697" s="87" t="str">
        <f t="shared" si="30"/>
        <v/>
      </c>
      <c r="B697" s="78"/>
      <c r="C697" s="80"/>
      <c r="D697" s="79"/>
      <c r="E697" s="80"/>
      <c r="F697" s="79"/>
      <c r="G697" s="25" t="str">
        <f t="shared" si="31"/>
        <v/>
      </c>
      <c r="H697" s="88"/>
      <c r="I697" s="93"/>
      <c r="J697" s="97"/>
      <c r="K697" s="88"/>
      <c r="L697" s="25" t="str">
        <f>IF($D697="","",SUMIFS($H$4:$H697,$D$4:$D697,$D697)+SUMIFS($I$4:$I697,$D$4:$D697,$D697)-SUMIFS($J$4:$J697,$D$4:$D697,$D697)-SUMIFS($K$4:$K697,$D$4:$D697,$D697))</f>
        <v/>
      </c>
      <c r="M697" s="80"/>
      <c r="N697" s="80"/>
      <c r="O697" s="94"/>
      <c r="P697" s="26" t="str">
        <f t="shared" si="32"/>
        <v/>
      </c>
      <c r="Q697" s="80"/>
      <c r="R697" s="80"/>
      <c r="S697" s="80"/>
      <c r="T697" s="82"/>
      <c r="U697" s="80"/>
      <c r="V697" s="80"/>
      <c r="W697" s="80"/>
    </row>
    <row r="698" ht="18" customHeight="1" spans="1:23">
      <c r="A698" s="87" t="str">
        <f t="shared" si="30"/>
        <v/>
      </c>
      <c r="B698" s="78"/>
      <c r="C698" s="80"/>
      <c r="D698" s="79"/>
      <c r="E698" s="80"/>
      <c r="F698" s="79"/>
      <c r="G698" s="25" t="str">
        <f t="shared" si="31"/>
        <v/>
      </c>
      <c r="H698" s="88"/>
      <c r="I698" s="93"/>
      <c r="J698" s="97"/>
      <c r="K698" s="88"/>
      <c r="L698" s="25" t="str">
        <f>IF($D698="","",SUMIFS($H$4:$H698,$D$4:$D698,$D698)+SUMIFS($I$4:$I698,$D$4:$D698,$D698)-SUMIFS($J$4:$J698,$D$4:$D698,$D698)-SUMIFS($K$4:$K698,$D$4:$D698,$D698))</f>
        <v/>
      </c>
      <c r="M698" s="80"/>
      <c r="N698" s="80"/>
      <c r="O698" s="94"/>
      <c r="P698" s="26" t="str">
        <f t="shared" si="32"/>
        <v/>
      </c>
      <c r="Q698" s="80"/>
      <c r="R698" s="80"/>
      <c r="S698" s="80"/>
      <c r="T698" s="82"/>
      <c r="U698" s="80"/>
      <c r="V698" s="80"/>
      <c r="W698" s="80"/>
    </row>
    <row r="699" ht="18" customHeight="1" spans="1:23">
      <c r="A699" s="87" t="str">
        <f t="shared" si="30"/>
        <v/>
      </c>
      <c r="B699" s="78"/>
      <c r="C699" s="80"/>
      <c r="D699" s="79"/>
      <c r="E699" s="80"/>
      <c r="F699" s="79"/>
      <c r="G699" s="25" t="str">
        <f t="shared" si="31"/>
        <v/>
      </c>
      <c r="H699" s="88"/>
      <c r="I699" s="93"/>
      <c r="J699" s="97"/>
      <c r="K699" s="88"/>
      <c r="L699" s="25" t="str">
        <f>IF($D699="","",SUMIFS($H$4:$H699,$D$4:$D699,$D699)+SUMIFS($I$4:$I699,$D$4:$D699,$D699)-SUMIFS($J$4:$J699,$D$4:$D699,$D699)-SUMIFS($K$4:$K699,$D$4:$D699,$D699))</f>
        <v/>
      </c>
      <c r="M699" s="80"/>
      <c r="N699" s="80"/>
      <c r="O699" s="94"/>
      <c r="P699" s="26" t="str">
        <f t="shared" si="32"/>
        <v/>
      </c>
      <c r="Q699" s="80"/>
      <c r="R699" s="80"/>
      <c r="S699" s="80"/>
      <c r="T699" s="82"/>
      <c r="U699" s="80"/>
      <c r="V699" s="80"/>
      <c r="W699" s="80"/>
    </row>
    <row r="700" ht="18" customHeight="1" spans="1:23">
      <c r="A700" s="87" t="str">
        <f t="shared" si="30"/>
        <v/>
      </c>
      <c r="B700" s="78"/>
      <c r="C700" s="80"/>
      <c r="D700" s="79"/>
      <c r="E700" s="80"/>
      <c r="F700" s="79"/>
      <c r="G700" s="25" t="str">
        <f t="shared" si="31"/>
        <v/>
      </c>
      <c r="H700" s="88"/>
      <c r="I700" s="93"/>
      <c r="J700" s="97"/>
      <c r="K700" s="88"/>
      <c r="L700" s="25" t="str">
        <f>IF($D700="","",SUMIFS($H$4:$H700,$D$4:$D700,$D700)+SUMIFS($I$4:$I700,$D$4:$D700,$D700)-SUMIFS($J$4:$J700,$D$4:$D700,$D700)-SUMIFS($K$4:$K700,$D$4:$D700,$D700))</f>
        <v/>
      </c>
      <c r="M700" s="80"/>
      <c r="N700" s="80"/>
      <c r="O700" s="94"/>
      <c r="P700" s="26" t="str">
        <f t="shared" si="32"/>
        <v/>
      </c>
      <c r="Q700" s="80"/>
      <c r="R700" s="80"/>
      <c r="S700" s="80"/>
      <c r="T700" s="82"/>
      <c r="U700" s="80"/>
      <c r="V700" s="80"/>
      <c r="W700" s="80"/>
    </row>
    <row r="701" ht="18" customHeight="1" spans="1:23">
      <c r="A701" s="87" t="str">
        <f t="shared" si="30"/>
        <v/>
      </c>
      <c r="B701" s="78"/>
      <c r="C701" s="80"/>
      <c r="D701" s="79"/>
      <c r="E701" s="80"/>
      <c r="F701" s="79"/>
      <c r="G701" s="25" t="str">
        <f t="shared" si="31"/>
        <v/>
      </c>
      <c r="H701" s="88"/>
      <c r="I701" s="93"/>
      <c r="J701" s="97"/>
      <c r="K701" s="88"/>
      <c r="L701" s="25" t="str">
        <f>IF($D701="","",SUMIFS($H$4:$H701,$D$4:$D701,$D701)+SUMIFS($I$4:$I701,$D$4:$D701,$D701)-SUMIFS($J$4:$J701,$D$4:$D701,$D701)-SUMIFS($K$4:$K701,$D$4:$D701,$D701))</f>
        <v/>
      </c>
      <c r="M701" s="80"/>
      <c r="N701" s="80"/>
      <c r="O701" s="94"/>
      <c r="P701" s="26" t="str">
        <f t="shared" si="32"/>
        <v/>
      </c>
      <c r="Q701" s="80"/>
      <c r="R701" s="80"/>
      <c r="S701" s="80"/>
      <c r="T701" s="82"/>
      <c r="U701" s="80"/>
      <c r="V701" s="80"/>
      <c r="W701" s="80"/>
    </row>
    <row r="702" ht="18" customHeight="1" spans="1:23">
      <c r="A702" s="87" t="str">
        <f t="shared" si="30"/>
        <v/>
      </c>
      <c r="B702" s="78"/>
      <c r="C702" s="80"/>
      <c r="D702" s="79"/>
      <c r="E702" s="80"/>
      <c r="F702" s="79"/>
      <c r="G702" s="25" t="str">
        <f t="shared" si="31"/>
        <v/>
      </c>
      <c r="H702" s="88"/>
      <c r="I702" s="93"/>
      <c r="J702" s="97"/>
      <c r="K702" s="88"/>
      <c r="L702" s="25" t="str">
        <f>IF($D702="","",SUMIFS($H$4:$H702,$D$4:$D702,$D702)+SUMIFS($I$4:$I702,$D$4:$D702,$D702)-SUMIFS($J$4:$J702,$D$4:$D702,$D702)-SUMIFS($K$4:$K702,$D$4:$D702,$D702))</f>
        <v/>
      </c>
      <c r="M702" s="80"/>
      <c r="N702" s="80"/>
      <c r="O702" s="94"/>
      <c r="P702" s="26" t="str">
        <f t="shared" si="32"/>
        <v/>
      </c>
      <c r="Q702" s="80"/>
      <c r="R702" s="80"/>
      <c r="S702" s="80"/>
      <c r="T702" s="82"/>
      <c r="U702" s="80"/>
      <c r="V702" s="80"/>
      <c r="W702" s="80"/>
    </row>
    <row r="703" ht="18" customHeight="1" spans="1:23">
      <c r="A703" s="87" t="str">
        <f t="shared" si="30"/>
        <v/>
      </c>
      <c r="B703" s="78"/>
      <c r="C703" s="80"/>
      <c r="D703" s="79"/>
      <c r="E703" s="80"/>
      <c r="F703" s="79"/>
      <c r="G703" s="25" t="str">
        <f t="shared" si="31"/>
        <v/>
      </c>
      <c r="H703" s="88"/>
      <c r="I703" s="93"/>
      <c r="J703" s="97"/>
      <c r="K703" s="88"/>
      <c r="L703" s="25" t="str">
        <f>IF($D703="","",SUMIFS($H$4:$H703,$D$4:$D703,$D703)+SUMIFS($I$4:$I703,$D$4:$D703,$D703)-SUMIFS($J$4:$J703,$D$4:$D703,$D703)-SUMIFS($K$4:$K703,$D$4:$D703,$D703))</f>
        <v/>
      </c>
      <c r="M703" s="80"/>
      <c r="N703" s="80"/>
      <c r="O703" s="94"/>
      <c r="P703" s="26" t="str">
        <f t="shared" si="32"/>
        <v/>
      </c>
      <c r="Q703" s="80"/>
      <c r="R703" s="80"/>
      <c r="S703" s="80"/>
      <c r="T703" s="82"/>
      <c r="U703" s="80"/>
      <c r="V703" s="80"/>
      <c r="W703" s="80"/>
    </row>
    <row r="704" ht="18" customHeight="1" spans="1:23">
      <c r="A704" s="87" t="str">
        <f t="shared" si="30"/>
        <v/>
      </c>
      <c r="B704" s="78"/>
      <c r="C704" s="80"/>
      <c r="D704" s="79"/>
      <c r="E704" s="80"/>
      <c r="F704" s="79"/>
      <c r="G704" s="25" t="str">
        <f t="shared" si="31"/>
        <v/>
      </c>
      <c r="H704" s="88"/>
      <c r="I704" s="93"/>
      <c r="J704" s="97"/>
      <c r="K704" s="88"/>
      <c r="L704" s="25" t="str">
        <f>IF($D704="","",SUMIFS($H$4:$H704,$D$4:$D704,$D704)+SUMIFS($I$4:$I704,$D$4:$D704,$D704)-SUMIFS($J$4:$J704,$D$4:$D704,$D704)-SUMIFS($K$4:$K704,$D$4:$D704,$D704))</f>
        <v/>
      </c>
      <c r="M704" s="80"/>
      <c r="N704" s="80"/>
      <c r="O704" s="94"/>
      <c r="P704" s="26" t="str">
        <f t="shared" si="32"/>
        <v/>
      </c>
      <c r="Q704" s="80"/>
      <c r="R704" s="80"/>
      <c r="S704" s="80"/>
      <c r="T704" s="82"/>
      <c r="U704" s="80"/>
      <c r="V704" s="80"/>
      <c r="W704" s="80"/>
    </row>
    <row r="705" ht="18" customHeight="1" spans="1:23">
      <c r="A705" s="87" t="str">
        <f t="shared" si="30"/>
        <v/>
      </c>
      <c r="B705" s="78"/>
      <c r="C705" s="80"/>
      <c r="D705" s="79"/>
      <c r="E705" s="80"/>
      <c r="F705" s="79"/>
      <c r="G705" s="25" t="str">
        <f t="shared" si="31"/>
        <v/>
      </c>
      <c r="H705" s="88"/>
      <c r="I705" s="93"/>
      <c r="J705" s="97"/>
      <c r="K705" s="88"/>
      <c r="L705" s="25" t="str">
        <f>IF($D705="","",SUMIFS($H$4:$H705,$D$4:$D705,$D705)+SUMIFS($I$4:$I705,$D$4:$D705,$D705)-SUMIFS($J$4:$J705,$D$4:$D705,$D705)-SUMIFS($K$4:$K705,$D$4:$D705,$D705))</f>
        <v/>
      </c>
      <c r="M705" s="80"/>
      <c r="N705" s="80"/>
      <c r="O705" s="94"/>
      <c r="P705" s="26" t="str">
        <f t="shared" si="32"/>
        <v/>
      </c>
      <c r="Q705" s="80"/>
      <c r="R705" s="80"/>
      <c r="S705" s="80"/>
      <c r="T705" s="82"/>
      <c r="U705" s="80"/>
      <c r="V705" s="80"/>
      <c r="W705" s="80"/>
    </row>
    <row r="706" ht="18" customHeight="1" spans="1:23">
      <c r="A706" s="87" t="str">
        <f t="shared" si="30"/>
        <v/>
      </c>
      <c r="B706" s="78"/>
      <c r="C706" s="80"/>
      <c r="D706" s="79"/>
      <c r="E706" s="80"/>
      <c r="F706" s="79"/>
      <c r="G706" s="25" t="str">
        <f t="shared" si="31"/>
        <v/>
      </c>
      <c r="H706" s="88"/>
      <c r="I706" s="93"/>
      <c r="J706" s="97"/>
      <c r="K706" s="88"/>
      <c r="L706" s="25" t="str">
        <f>IF($D706="","",SUMIFS($H$4:$H706,$D$4:$D706,$D706)+SUMIFS($I$4:$I706,$D$4:$D706,$D706)-SUMIFS($J$4:$J706,$D$4:$D706,$D706)-SUMIFS($K$4:$K706,$D$4:$D706,$D706))</f>
        <v/>
      </c>
      <c r="M706" s="80"/>
      <c r="N706" s="80"/>
      <c r="O706" s="94"/>
      <c r="P706" s="26" t="str">
        <f t="shared" si="32"/>
        <v/>
      </c>
      <c r="Q706" s="80"/>
      <c r="R706" s="80"/>
      <c r="S706" s="80"/>
      <c r="T706" s="82"/>
      <c r="U706" s="80"/>
      <c r="V706" s="80"/>
      <c r="W706" s="80"/>
    </row>
    <row r="707" ht="18" customHeight="1" spans="1:23">
      <c r="A707" s="87" t="str">
        <f t="shared" si="30"/>
        <v/>
      </c>
      <c r="B707" s="78"/>
      <c r="C707" s="80"/>
      <c r="D707" s="79"/>
      <c r="E707" s="80"/>
      <c r="F707" s="79"/>
      <c r="G707" s="25" t="str">
        <f t="shared" si="31"/>
        <v/>
      </c>
      <c r="H707" s="88"/>
      <c r="I707" s="93"/>
      <c r="J707" s="97"/>
      <c r="K707" s="88"/>
      <c r="L707" s="25" t="str">
        <f>IF($D707="","",SUMIFS($H$4:$H707,$D$4:$D707,$D707)+SUMIFS($I$4:$I707,$D$4:$D707,$D707)-SUMIFS($J$4:$J707,$D$4:$D707,$D707)-SUMIFS($K$4:$K707,$D$4:$D707,$D707))</f>
        <v/>
      </c>
      <c r="M707" s="80"/>
      <c r="N707" s="80"/>
      <c r="O707" s="94"/>
      <c r="P707" s="26" t="str">
        <f t="shared" si="32"/>
        <v/>
      </c>
      <c r="Q707" s="80"/>
      <c r="R707" s="80"/>
      <c r="S707" s="80"/>
      <c r="T707" s="82"/>
      <c r="U707" s="80"/>
      <c r="V707" s="80"/>
      <c r="W707" s="80"/>
    </row>
    <row r="708" ht="18" customHeight="1" spans="1:23">
      <c r="A708" s="87" t="str">
        <f t="shared" si="30"/>
        <v/>
      </c>
      <c r="B708" s="78"/>
      <c r="C708" s="80"/>
      <c r="D708" s="79"/>
      <c r="E708" s="80"/>
      <c r="F708" s="79"/>
      <c r="G708" s="25" t="str">
        <f t="shared" si="31"/>
        <v/>
      </c>
      <c r="H708" s="88"/>
      <c r="I708" s="93"/>
      <c r="J708" s="97"/>
      <c r="K708" s="88"/>
      <c r="L708" s="25" t="str">
        <f>IF($D708="","",SUMIFS($H$4:$H708,$D$4:$D708,$D708)+SUMIFS($I$4:$I708,$D$4:$D708,$D708)-SUMIFS($J$4:$J708,$D$4:$D708,$D708)-SUMIFS($K$4:$K708,$D$4:$D708,$D708))</f>
        <v/>
      </c>
      <c r="M708" s="80"/>
      <c r="N708" s="80"/>
      <c r="O708" s="94"/>
      <c r="P708" s="26" t="str">
        <f t="shared" si="32"/>
        <v/>
      </c>
      <c r="Q708" s="80"/>
      <c r="R708" s="80"/>
      <c r="S708" s="80"/>
      <c r="T708" s="82"/>
      <c r="U708" s="80"/>
      <c r="V708" s="80"/>
      <c r="W708" s="80"/>
    </row>
    <row r="709" ht="18" customHeight="1" spans="1:23">
      <c r="A709" s="87" t="str">
        <f t="shared" ref="A709:A772" si="33">IF($D709="","",ROW()-3)</f>
        <v/>
      </c>
      <c r="B709" s="78"/>
      <c r="C709" s="80"/>
      <c r="D709" s="79"/>
      <c r="E709" s="80"/>
      <c r="F709" s="79"/>
      <c r="G709" s="25" t="str">
        <f t="shared" ref="G709:G772" si="34">IF($D709="","",N($L709)-N($H709)-N($I709)+N($J709)+N($K709))</f>
        <v/>
      </c>
      <c r="H709" s="88"/>
      <c r="I709" s="93"/>
      <c r="J709" s="97"/>
      <c r="K709" s="88"/>
      <c r="L709" s="25" t="str">
        <f>IF($D709="","",SUMIFS($H$4:$H709,$D$4:$D709,$D709)+SUMIFS($I$4:$I709,$D$4:$D709,$D709)-SUMIFS($J$4:$J709,$D$4:$D709,$D709)-SUMIFS($K$4:$K709,$D$4:$D709,$D709))</f>
        <v/>
      </c>
      <c r="M709" s="80"/>
      <c r="N709" s="80"/>
      <c r="O709" s="94"/>
      <c r="P709" s="26" t="str">
        <f t="shared" ref="P709:P772" si="35">IF($D709="","",ROUND((N($H709)+N($K709))*N($O709),2))</f>
        <v/>
      </c>
      <c r="Q709" s="80"/>
      <c r="R709" s="80"/>
      <c r="S709" s="80"/>
      <c r="T709" s="82"/>
      <c r="U709" s="80"/>
      <c r="V709" s="80"/>
      <c r="W709" s="80"/>
    </row>
    <row r="710" ht="18" customHeight="1" spans="1:23">
      <c r="A710" s="87" t="str">
        <f t="shared" si="33"/>
        <v/>
      </c>
      <c r="B710" s="78"/>
      <c r="C710" s="80"/>
      <c r="D710" s="79"/>
      <c r="E710" s="80"/>
      <c r="F710" s="79"/>
      <c r="G710" s="25" t="str">
        <f t="shared" si="34"/>
        <v/>
      </c>
      <c r="H710" s="88"/>
      <c r="I710" s="93"/>
      <c r="J710" s="97"/>
      <c r="K710" s="88"/>
      <c r="L710" s="25" t="str">
        <f>IF($D710="","",SUMIFS($H$4:$H710,$D$4:$D710,$D710)+SUMIFS($I$4:$I710,$D$4:$D710,$D710)-SUMIFS($J$4:$J710,$D$4:$D710,$D710)-SUMIFS($K$4:$K710,$D$4:$D710,$D710))</f>
        <v/>
      </c>
      <c r="M710" s="80"/>
      <c r="N710" s="80"/>
      <c r="O710" s="94"/>
      <c r="P710" s="26" t="str">
        <f t="shared" si="35"/>
        <v/>
      </c>
      <c r="Q710" s="80"/>
      <c r="R710" s="80"/>
      <c r="S710" s="80"/>
      <c r="T710" s="82"/>
      <c r="U710" s="80"/>
      <c r="V710" s="80"/>
      <c r="W710" s="80"/>
    </row>
    <row r="711" ht="18" customHeight="1" spans="1:23">
      <c r="A711" s="87" t="str">
        <f t="shared" si="33"/>
        <v/>
      </c>
      <c r="B711" s="78"/>
      <c r="C711" s="80"/>
      <c r="D711" s="79"/>
      <c r="E711" s="80"/>
      <c r="F711" s="79"/>
      <c r="G711" s="25" t="str">
        <f t="shared" si="34"/>
        <v/>
      </c>
      <c r="H711" s="88"/>
      <c r="I711" s="93"/>
      <c r="J711" s="97"/>
      <c r="K711" s="88"/>
      <c r="L711" s="25" t="str">
        <f>IF($D711="","",SUMIFS($H$4:$H711,$D$4:$D711,$D711)+SUMIFS($I$4:$I711,$D$4:$D711,$D711)-SUMIFS($J$4:$J711,$D$4:$D711,$D711)-SUMIFS($K$4:$K711,$D$4:$D711,$D711))</f>
        <v/>
      </c>
      <c r="M711" s="80"/>
      <c r="N711" s="80"/>
      <c r="O711" s="94"/>
      <c r="P711" s="26" t="str">
        <f t="shared" si="35"/>
        <v/>
      </c>
      <c r="Q711" s="80"/>
      <c r="R711" s="80"/>
      <c r="S711" s="80"/>
      <c r="T711" s="82"/>
      <c r="U711" s="80"/>
      <c r="V711" s="80"/>
      <c r="W711" s="80"/>
    </row>
    <row r="712" ht="18" customHeight="1" spans="1:23">
      <c r="A712" s="87" t="str">
        <f t="shared" si="33"/>
        <v/>
      </c>
      <c r="B712" s="78"/>
      <c r="C712" s="80"/>
      <c r="D712" s="79"/>
      <c r="E712" s="80"/>
      <c r="F712" s="79"/>
      <c r="G712" s="25" t="str">
        <f t="shared" si="34"/>
        <v/>
      </c>
      <c r="H712" s="88"/>
      <c r="I712" s="93"/>
      <c r="J712" s="97"/>
      <c r="K712" s="88"/>
      <c r="L712" s="25" t="str">
        <f>IF($D712="","",SUMIFS($H$4:$H712,$D$4:$D712,$D712)+SUMIFS($I$4:$I712,$D$4:$D712,$D712)-SUMIFS($J$4:$J712,$D$4:$D712,$D712)-SUMIFS($K$4:$K712,$D$4:$D712,$D712))</f>
        <v/>
      </c>
      <c r="M712" s="80"/>
      <c r="N712" s="80"/>
      <c r="O712" s="94"/>
      <c r="P712" s="26" t="str">
        <f t="shared" si="35"/>
        <v/>
      </c>
      <c r="Q712" s="80"/>
      <c r="R712" s="80"/>
      <c r="S712" s="80"/>
      <c r="T712" s="82"/>
      <c r="U712" s="80"/>
      <c r="V712" s="80"/>
      <c r="W712" s="80"/>
    </row>
    <row r="713" ht="18" customHeight="1" spans="1:23">
      <c r="A713" s="87" t="str">
        <f t="shared" si="33"/>
        <v/>
      </c>
      <c r="B713" s="78"/>
      <c r="C713" s="80"/>
      <c r="D713" s="79"/>
      <c r="E713" s="80"/>
      <c r="F713" s="79"/>
      <c r="G713" s="25" t="str">
        <f t="shared" si="34"/>
        <v/>
      </c>
      <c r="H713" s="88"/>
      <c r="I713" s="93"/>
      <c r="J713" s="97"/>
      <c r="K713" s="88"/>
      <c r="L713" s="25" t="str">
        <f>IF($D713="","",SUMIFS($H$4:$H713,$D$4:$D713,$D713)+SUMIFS($I$4:$I713,$D$4:$D713,$D713)-SUMIFS($J$4:$J713,$D$4:$D713,$D713)-SUMIFS($K$4:$K713,$D$4:$D713,$D713))</f>
        <v/>
      </c>
      <c r="M713" s="80"/>
      <c r="N713" s="80"/>
      <c r="O713" s="94"/>
      <c r="P713" s="26" t="str">
        <f t="shared" si="35"/>
        <v/>
      </c>
      <c r="Q713" s="80"/>
      <c r="R713" s="80"/>
      <c r="S713" s="80"/>
      <c r="T713" s="82"/>
      <c r="U713" s="80"/>
      <c r="V713" s="80"/>
      <c r="W713" s="80"/>
    </row>
    <row r="714" ht="18" customHeight="1" spans="1:23">
      <c r="A714" s="87" t="str">
        <f t="shared" si="33"/>
        <v/>
      </c>
      <c r="B714" s="78"/>
      <c r="C714" s="80"/>
      <c r="D714" s="79"/>
      <c r="E714" s="80"/>
      <c r="F714" s="79"/>
      <c r="G714" s="25" t="str">
        <f t="shared" si="34"/>
        <v/>
      </c>
      <c r="H714" s="88"/>
      <c r="I714" s="93"/>
      <c r="J714" s="97"/>
      <c r="K714" s="88"/>
      <c r="L714" s="25" t="str">
        <f>IF($D714="","",SUMIFS($H$4:$H714,$D$4:$D714,$D714)+SUMIFS($I$4:$I714,$D$4:$D714,$D714)-SUMIFS($J$4:$J714,$D$4:$D714,$D714)-SUMIFS($K$4:$K714,$D$4:$D714,$D714))</f>
        <v/>
      </c>
      <c r="M714" s="80"/>
      <c r="N714" s="80"/>
      <c r="O714" s="94"/>
      <c r="P714" s="26" t="str">
        <f t="shared" si="35"/>
        <v/>
      </c>
      <c r="Q714" s="80"/>
      <c r="R714" s="80"/>
      <c r="S714" s="80"/>
      <c r="T714" s="82"/>
      <c r="U714" s="80"/>
      <c r="V714" s="80"/>
      <c r="W714" s="80"/>
    </row>
    <row r="715" ht="18" customHeight="1" spans="1:23">
      <c r="A715" s="87" t="str">
        <f t="shared" si="33"/>
        <v/>
      </c>
      <c r="B715" s="78"/>
      <c r="C715" s="80"/>
      <c r="D715" s="79"/>
      <c r="E715" s="80"/>
      <c r="F715" s="79"/>
      <c r="G715" s="25" t="str">
        <f t="shared" si="34"/>
        <v/>
      </c>
      <c r="H715" s="88"/>
      <c r="I715" s="93"/>
      <c r="J715" s="97"/>
      <c r="K715" s="88"/>
      <c r="L715" s="25" t="str">
        <f>IF($D715="","",SUMIFS($H$4:$H715,$D$4:$D715,$D715)+SUMIFS($I$4:$I715,$D$4:$D715,$D715)-SUMIFS($J$4:$J715,$D$4:$D715,$D715)-SUMIFS($K$4:$K715,$D$4:$D715,$D715))</f>
        <v/>
      </c>
      <c r="M715" s="80"/>
      <c r="N715" s="80"/>
      <c r="O715" s="94"/>
      <c r="P715" s="26" t="str">
        <f t="shared" si="35"/>
        <v/>
      </c>
      <c r="Q715" s="80"/>
      <c r="R715" s="80"/>
      <c r="S715" s="80"/>
      <c r="T715" s="82"/>
      <c r="U715" s="80"/>
      <c r="V715" s="80"/>
      <c r="W715" s="80"/>
    </row>
    <row r="716" ht="18" customHeight="1" spans="1:23">
      <c r="A716" s="87" t="str">
        <f t="shared" si="33"/>
        <v/>
      </c>
      <c r="B716" s="78"/>
      <c r="C716" s="80"/>
      <c r="D716" s="79"/>
      <c r="E716" s="80"/>
      <c r="F716" s="79"/>
      <c r="G716" s="25" t="str">
        <f t="shared" si="34"/>
        <v/>
      </c>
      <c r="H716" s="88"/>
      <c r="I716" s="93"/>
      <c r="J716" s="97"/>
      <c r="K716" s="88"/>
      <c r="L716" s="25" t="str">
        <f>IF($D716="","",SUMIFS($H$4:$H716,$D$4:$D716,$D716)+SUMIFS($I$4:$I716,$D$4:$D716,$D716)-SUMIFS($J$4:$J716,$D$4:$D716,$D716)-SUMIFS($K$4:$K716,$D$4:$D716,$D716))</f>
        <v/>
      </c>
      <c r="M716" s="80"/>
      <c r="N716" s="80"/>
      <c r="O716" s="94"/>
      <c r="P716" s="26" t="str">
        <f t="shared" si="35"/>
        <v/>
      </c>
      <c r="Q716" s="80"/>
      <c r="R716" s="80"/>
      <c r="S716" s="80"/>
      <c r="T716" s="82"/>
      <c r="U716" s="80"/>
      <c r="V716" s="80"/>
      <c r="W716" s="80"/>
    </row>
    <row r="717" ht="18" customHeight="1" spans="1:23">
      <c r="A717" s="87" t="str">
        <f t="shared" si="33"/>
        <v/>
      </c>
      <c r="B717" s="78"/>
      <c r="C717" s="80"/>
      <c r="D717" s="79"/>
      <c r="E717" s="80"/>
      <c r="F717" s="79"/>
      <c r="G717" s="25" t="str">
        <f t="shared" si="34"/>
        <v/>
      </c>
      <c r="H717" s="88"/>
      <c r="I717" s="93"/>
      <c r="J717" s="97"/>
      <c r="K717" s="88"/>
      <c r="L717" s="25" t="str">
        <f>IF($D717="","",SUMIFS($H$4:$H717,$D$4:$D717,$D717)+SUMIFS($I$4:$I717,$D$4:$D717,$D717)-SUMIFS($J$4:$J717,$D$4:$D717,$D717)-SUMIFS($K$4:$K717,$D$4:$D717,$D717))</f>
        <v/>
      </c>
      <c r="M717" s="80"/>
      <c r="N717" s="80"/>
      <c r="O717" s="94"/>
      <c r="P717" s="26" t="str">
        <f t="shared" si="35"/>
        <v/>
      </c>
      <c r="Q717" s="80"/>
      <c r="R717" s="80"/>
      <c r="S717" s="80"/>
      <c r="T717" s="82"/>
      <c r="U717" s="80"/>
      <c r="V717" s="80"/>
      <c r="W717" s="80"/>
    </row>
    <row r="718" ht="18" customHeight="1" spans="1:23">
      <c r="A718" s="87" t="str">
        <f t="shared" si="33"/>
        <v/>
      </c>
      <c r="B718" s="78"/>
      <c r="C718" s="80"/>
      <c r="D718" s="79"/>
      <c r="E718" s="80"/>
      <c r="F718" s="79"/>
      <c r="G718" s="25" t="str">
        <f t="shared" si="34"/>
        <v/>
      </c>
      <c r="H718" s="88"/>
      <c r="I718" s="93"/>
      <c r="J718" s="97"/>
      <c r="K718" s="88"/>
      <c r="L718" s="25" t="str">
        <f>IF($D718="","",SUMIFS($H$4:$H718,$D$4:$D718,$D718)+SUMIFS($I$4:$I718,$D$4:$D718,$D718)-SUMIFS($J$4:$J718,$D$4:$D718,$D718)-SUMIFS($K$4:$K718,$D$4:$D718,$D718))</f>
        <v/>
      </c>
      <c r="M718" s="80"/>
      <c r="N718" s="80"/>
      <c r="O718" s="94"/>
      <c r="P718" s="26" t="str">
        <f t="shared" si="35"/>
        <v/>
      </c>
      <c r="Q718" s="80"/>
      <c r="R718" s="80"/>
      <c r="S718" s="80"/>
      <c r="T718" s="82"/>
      <c r="U718" s="80"/>
      <c r="V718" s="80"/>
      <c r="W718" s="80"/>
    </row>
    <row r="719" ht="18" customHeight="1" spans="1:23">
      <c r="A719" s="87" t="str">
        <f t="shared" si="33"/>
        <v/>
      </c>
      <c r="B719" s="78"/>
      <c r="C719" s="80"/>
      <c r="D719" s="79"/>
      <c r="E719" s="80"/>
      <c r="F719" s="79"/>
      <c r="G719" s="25" t="str">
        <f t="shared" si="34"/>
        <v/>
      </c>
      <c r="H719" s="88"/>
      <c r="I719" s="93"/>
      <c r="J719" s="97"/>
      <c r="K719" s="88"/>
      <c r="L719" s="25" t="str">
        <f>IF($D719="","",SUMIFS($H$4:$H719,$D$4:$D719,$D719)+SUMIFS($I$4:$I719,$D$4:$D719,$D719)-SUMIFS($J$4:$J719,$D$4:$D719,$D719)-SUMIFS($K$4:$K719,$D$4:$D719,$D719))</f>
        <v/>
      </c>
      <c r="M719" s="80"/>
      <c r="N719" s="80"/>
      <c r="O719" s="94"/>
      <c r="P719" s="26" t="str">
        <f t="shared" si="35"/>
        <v/>
      </c>
      <c r="Q719" s="80"/>
      <c r="R719" s="80"/>
      <c r="S719" s="80"/>
      <c r="T719" s="82"/>
      <c r="U719" s="80"/>
      <c r="V719" s="80"/>
      <c r="W719" s="80"/>
    </row>
    <row r="720" ht="18" customHeight="1" spans="1:23">
      <c r="A720" s="87" t="str">
        <f t="shared" si="33"/>
        <v/>
      </c>
      <c r="B720" s="78"/>
      <c r="C720" s="80"/>
      <c r="D720" s="79"/>
      <c r="E720" s="80"/>
      <c r="F720" s="79"/>
      <c r="G720" s="25" t="str">
        <f t="shared" si="34"/>
        <v/>
      </c>
      <c r="H720" s="88"/>
      <c r="I720" s="93"/>
      <c r="J720" s="97"/>
      <c r="K720" s="88"/>
      <c r="L720" s="25" t="str">
        <f>IF($D720="","",SUMIFS($H$4:$H720,$D$4:$D720,$D720)+SUMIFS($I$4:$I720,$D$4:$D720,$D720)-SUMIFS($J$4:$J720,$D$4:$D720,$D720)-SUMIFS($K$4:$K720,$D$4:$D720,$D720))</f>
        <v/>
      </c>
      <c r="M720" s="80"/>
      <c r="N720" s="80"/>
      <c r="O720" s="94"/>
      <c r="P720" s="26" t="str">
        <f t="shared" si="35"/>
        <v/>
      </c>
      <c r="Q720" s="80"/>
      <c r="R720" s="80"/>
      <c r="S720" s="80"/>
      <c r="T720" s="82"/>
      <c r="U720" s="80"/>
      <c r="V720" s="80"/>
      <c r="W720" s="80"/>
    </row>
    <row r="721" ht="18" customHeight="1" spans="1:23">
      <c r="A721" s="87" t="str">
        <f t="shared" si="33"/>
        <v/>
      </c>
      <c r="B721" s="78"/>
      <c r="C721" s="80"/>
      <c r="D721" s="79"/>
      <c r="E721" s="80"/>
      <c r="F721" s="79"/>
      <c r="G721" s="25" t="str">
        <f t="shared" si="34"/>
        <v/>
      </c>
      <c r="H721" s="88"/>
      <c r="I721" s="93"/>
      <c r="J721" s="97"/>
      <c r="K721" s="88"/>
      <c r="L721" s="25" t="str">
        <f>IF($D721="","",SUMIFS($H$4:$H721,$D$4:$D721,$D721)+SUMIFS($I$4:$I721,$D$4:$D721,$D721)-SUMIFS($J$4:$J721,$D$4:$D721,$D721)-SUMIFS($K$4:$K721,$D$4:$D721,$D721))</f>
        <v/>
      </c>
      <c r="M721" s="80"/>
      <c r="N721" s="80"/>
      <c r="O721" s="94"/>
      <c r="P721" s="26" t="str">
        <f t="shared" si="35"/>
        <v/>
      </c>
      <c r="Q721" s="80"/>
      <c r="R721" s="80"/>
      <c r="S721" s="80"/>
      <c r="T721" s="82"/>
      <c r="U721" s="80"/>
      <c r="V721" s="80"/>
      <c r="W721" s="80"/>
    </row>
    <row r="722" ht="18" customHeight="1" spans="1:23">
      <c r="A722" s="87" t="str">
        <f t="shared" si="33"/>
        <v/>
      </c>
      <c r="B722" s="78"/>
      <c r="C722" s="80"/>
      <c r="D722" s="79"/>
      <c r="E722" s="80"/>
      <c r="F722" s="79"/>
      <c r="G722" s="25" t="str">
        <f t="shared" si="34"/>
        <v/>
      </c>
      <c r="H722" s="88"/>
      <c r="I722" s="93"/>
      <c r="J722" s="97"/>
      <c r="K722" s="88"/>
      <c r="L722" s="25" t="str">
        <f>IF($D722="","",SUMIFS($H$4:$H722,$D$4:$D722,$D722)+SUMIFS($I$4:$I722,$D$4:$D722,$D722)-SUMIFS($J$4:$J722,$D$4:$D722,$D722)-SUMIFS($K$4:$K722,$D$4:$D722,$D722))</f>
        <v/>
      </c>
      <c r="M722" s="80"/>
      <c r="N722" s="80"/>
      <c r="O722" s="94"/>
      <c r="P722" s="26" t="str">
        <f t="shared" si="35"/>
        <v/>
      </c>
      <c r="Q722" s="80"/>
      <c r="R722" s="80"/>
      <c r="S722" s="80"/>
      <c r="T722" s="82"/>
      <c r="U722" s="80"/>
      <c r="V722" s="80"/>
      <c r="W722" s="80"/>
    </row>
    <row r="723" ht="18" customHeight="1" spans="1:23">
      <c r="A723" s="87" t="str">
        <f t="shared" si="33"/>
        <v/>
      </c>
      <c r="B723" s="78"/>
      <c r="C723" s="80"/>
      <c r="D723" s="79"/>
      <c r="E723" s="80"/>
      <c r="F723" s="79"/>
      <c r="G723" s="25" t="str">
        <f t="shared" si="34"/>
        <v/>
      </c>
      <c r="H723" s="88"/>
      <c r="I723" s="93"/>
      <c r="J723" s="97"/>
      <c r="K723" s="88"/>
      <c r="L723" s="25" t="str">
        <f>IF($D723="","",SUMIFS($H$4:$H723,$D$4:$D723,$D723)+SUMIFS($I$4:$I723,$D$4:$D723,$D723)-SUMIFS($J$4:$J723,$D$4:$D723,$D723)-SUMIFS($K$4:$K723,$D$4:$D723,$D723))</f>
        <v/>
      </c>
      <c r="M723" s="80"/>
      <c r="N723" s="80"/>
      <c r="O723" s="94"/>
      <c r="P723" s="26" t="str">
        <f t="shared" si="35"/>
        <v/>
      </c>
      <c r="Q723" s="80"/>
      <c r="R723" s="80"/>
      <c r="S723" s="80"/>
      <c r="T723" s="82"/>
      <c r="U723" s="80"/>
      <c r="V723" s="80"/>
      <c r="W723" s="80"/>
    </row>
    <row r="724" ht="18" customHeight="1" spans="1:23">
      <c r="A724" s="87" t="str">
        <f t="shared" si="33"/>
        <v/>
      </c>
      <c r="B724" s="78"/>
      <c r="C724" s="80"/>
      <c r="D724" s="79"/>
      <c r="E724" s="80"/>
      <c r="F724" s="79"/>
      <c r="G724" s="25" t="str">
        <f t="shared" si="34"/>
        <v/>
      </c>
      <c r="H724" s="88"/>
      <c r="I724" s="93"/>
      <c r="J724" s="97"/>
      <c r="K724" s="88"/>
      <c r="L724" s="25" t="str">
        <f>IF($D724="","",SUMIFS($H$4:$H724,$D$4:$D724,$D724)+SUMIFS($I$4:$I724,$D$4:$D724,$D724)-SUMIFS($J$4:$J724,$D$4:$D724,$D724)-SUMIFS($K$4:$K724,$D$4:$D724,$D724))</f>
        <v/>
      </c>
      <c r="M724" s="80"/>
      <c r="N724" s="80"/>
      <c r="O724" s="94"/>
      <c r="P724" s="26" t="str">
        <f t="shared" si="35"/>
        <v/>
      </c>
      <c r="Q724" s="80"/>
      <c r="R724" s="80"/>
      <c r="S724" s="80"/>
      <c r="T724" s="82"/>
      <c r="U724" s="80"/>
      <c r="V724" s="80"/>
      <c r="W724" s="80"/>
    </row>
    <row r="725" ht="18" customHeight="1" spans="1:23">
      <c r="A725" s="87" t="str">
        <f t="shared" si="33"/>
        <v/>
      </c>
      <c r="B725" s="78"/>
      <c r="C725" s="80"/>
      <c r="D725" s="79"/>
      <c r="E725" s="80"/>
      <c r="F725" s="79"/>
      <c r="G725" s="25" t="str">
        <f t="shared" si="34"/>
        <v/>
      </c>
      <c r="H725" s="88"/>
      <c r="I725" s="93"/>
      <c r="J725" s="97"/>
      <c r="K725" s="88"/>
      <c r="L725" s="25" t="str">
        <f>IF($D725="","",SUMIFS($H$4:$H725,$D$4:$D725,$D725)+SUMIFS($I$4:$I725,$D$4:$D725,$D725)-SUMIFS($J$4:$J725,$D$4:$D725,$D725)-SUMIFS($K$4:$K725,$D$4:$D725,$D725))</f>
        <v/>
      </c>
      <c r="M725" s="80"/>
      <c r="N725" s="80"/>
      <c r="O725" s="94"/>
      <c r="P725" s="26" t="str">
        <f t="shared" si="35"/>
        <v/>
      </c>
      <c r="Q725" s="80"/>
      <c r="R725" s="80"/>
      <c r="S725" s="80"/>
      <c r="T725" s="82"/>
      <c r="U725" s="80"/>
      <c r="V725" s="80"/>
      <c r="W725" s="80"/>
    </row>
    <row r="726" ht="18" customHeight="1" spans="1:23">
      <c r="A726" s="87" t="str">
        <f t="shared" si="33"/>
        <v/>
      </c>
      <c r="B726" s="78"/>
      <c r="C726" s="80"/>
      <c r="D726" s="79"/>
      <c r="E726" s="80"/>
      <c r="F726" s="79"/>
      <c r="G726" s="25" t="str">
        <f t="shared" si="34"/>
        <v/>
      </c>
      <c r="H726" s="88"/>
      <c r="I726" s="93"/>
      <c r="J726" s="97"/>
      <c r="K726" s="88"/>
      <c r="L726" s="25" t="str">
        <f>IF($D726="","",SUMIFS($H$4:$H726,$D$4:$D726,$D726)+SUMIFS($I$4:$I726,$D$4:$D726,$D726)-SUMIFS($J$4:$J726,$D$4:$D726,$D726)-SUMIFS($K$4:$K726,$D$4:$D726,$D726))</f>
        <v/>
      </c>
      <c r="M726" s="80"/>
      <c r="N726" s="80"/>
      <c r="O726" s="94"/>
      <c r="P726" s="26" t="str">
        <f t="shared" si="35"/>
        <v/>
      </c>
      <c r="Q726" s="80"/>
      <c r="R726" s="80"/>
      <c r="S726" s="80"/>
      <c r="T726" s="82"/>
      <c r="U726" s="80"/>
      <c r="V726" s="80"/>
      <c r="W726" s="80"/>
    </row>
    <row r="727" ht="18" customHeight="1" spans="1:23">
      <c r="A727" s="87" t="str">
        <f t="shared" si="33"/>
        <v/>
      </c>
      <c r="B727" s="78"/>
      <c r="C727" s="80"/>
      <c r="D727" s="79"/>
      <c r="E727" s="80"/>
      <c r="F727" s="79"/>
      <c r="G727" s="25" t="str">
        <f t="shared" si="34"/>
        <v/>
      </c>
      <c r="H727" s="88"/>
      <c r="I727" s="93"/>
      <c r="J727" s="97"/>
      <c r="K727" s="88"/>
      <c r="L727" s="25" t="str">
        <f>IF($D727="","",SUMIFS($H$4:$H727,$D$4:$D727,$D727)+SUMIFS($I$4:$I727,$D$4:$D727,$D727)-SUMIFS($J$4:$J727,$D$4:$D727,$D727)-SUMIFS($K$4:$K727,$D$4:$D727,$D727))</f>
        <v/>
      </c>
      <c r="M727" s="80"/>
      <c r="N727" s="80"/>
      <c r="O727" s="94"/>
      <c r="P727" s="26" t="str">
        <f t="shared" si="35"/>
        <v/>
      </c>
      <c r="Q727" s="80"/>
      <c r="R727" s="80"/>
      <c r="S727" s="80"/>
      <c r="T727" s="82"/>
      <c r="U727" s="80"/>
      <c r="V727" s="80"/>
      <c r="W727" s="80"/>
    </row>
    <row r="728" ht="18" customHeight="1" spans="1:23">
      <c r="A728" s="87" t="str">
        <f t="shared" si="33"/>
        <v/>
      </c>
      <c r="B728" s="78"/>
      <c r="C728" s="80"/>
      <c r="D728" s="79"/>
      <c r="E728" s="80"/>
      <c r="F728" s="79"/>
      <c r="G728" s="25" t="str">
        <f t="shared" si="34"/>
        <v/>
      </c>
      <c r="H728" s="88"/>
      <c r="I728" s="93"/>
      <c r="J728" s="97"/>
      <c r="K728" s="88"/>
      <c r="L728" s="25" t="str">
        <f>IF($D728="","",SUMIFS($H$4:$H728,$D$4:$D728,$D728)+SUMIFS($I$4:$I728,$D$4:$D728,$D728)-SUMIFS($J$4:$J728,$D$4:$D728,$D728)-SUMIFS($K$4:$K728,$D$4:$D728,$D728))</f>
        <v/>
      </c>
      <c r="M728" s="80"/>
      <c r="N728" s="80"/>
      <c r="O728" s="94"/>
      <c r="P728" s="26" t="str">
        <f t="shared" si="35"/>
        <v/>
      </c>
      <c r="Q728" s="80"/>
      <c r="R728" s="80"/>
      <c r="S728" s="80"/>
      <c r="T728" s="82"/>
      <c r="U728" s="80"/>
      <c r="V728" s="80"/>
      <c r="W728" s="80"/>
    </row>
    <row r="729" ht="18" customHeight="1" spans="1:23">
      <c r="A729" s="87" t="str">
        <f t="shared" si="33"/>
        <v/>
      </c>
      <c r="B729" s="78"/>
      <c r="C729" s="80"/>
      <c r="D729" s="79"/>
      <c r="E729" s="80"/>
      <c r="F729" s="79"/>
      <c r="G729" s="25" t="str">
        <f t="shared" si="34"/>
        <v/>
      </c>
      <c r="H729" s="88"/>
      <c r="I729" s="93"/>
      <c r="J729" s="97"/>
      <c r="K729" s="88"/>
      <c r="L729" s="25" t="str">
        <f>IF($D729="","",SUMIFS($H$4:$H729,$D$4:$D729,$D729)+SUMIFS($I$4:$I729,$D$4:$D729,$D729)-SUMIFS($J$4:$J729,$D$4:$D729,$D729)-SUMIFS($K$4:$K729,$D$4:$D729,$D729))</f>
        <v/>
      </c>
      <c r="M729" s="80"/>
      <c r="N729" s="80"/>
      <c r="O729" s="94"/>
      <c r="P729" s="26" t="str">
        <f t="shared" si="35"/>
        <v/>
      </c>
      <c r="Q729" s="80"/>
      <c r="R729" s="80"/>
      <c r="S729" s="80"/>
      <c r="T729" s="82"/>
      <c r="U729" s="80"/>
      <c r="V729" s="80"/>
      <c r="W729" s="80"/>
    </row>
    <row r="730" ht="18" customHeight="1" spans="1:23">
      <c r="A730" s="87" t="str">
        <f t="shared" si="33"/>
        <v/>
      </c>
      <c r="B730" s="78"/>
      <c r="C730" s="80"/>
      <c r="D730" s="79"/>
      <c r="E730" s="80"/>
      <c r="F730" s="79"/>
      <c r="G730" s="25" t="str">
        <f t="shared" si="34"/>
        <v/>
      </c>
      <c r="H730" s="88"/>
      <c r="I730" s="93"/>
      <c r="J730" s="97"/>
      <c r="K730" s="88"/>
      <c r="L730" s="25" t="str">
        <f>IF($D730="","",SUMIFS($H$4:$H730,$D$4:$D730,$D730)+SUMIFS($I$4:$I730,$D$4:$D730,$D730)-SUMIFS($J$4:$J730,$D$4:$D730,$D730)-SUMIFS($K$4:$K730,$D$4:$D730,$D730))</f>
        <v/>
      </c>
      <c r="M730" s="80"/>
      <c r="N730" s="80"/>
      <c r="O730" s="94"/>
      <c r="P730" s="26" t="str">
        <f t="shared" si="35"/>
        <v/>
      </c>
      <c r="Q730" s="80"/>
      <c r="R730" s="80"/>
      <c r="S730" s="80"/>
      <c r="T730" s="82"/>
      <c r="U730" s="80"/>
      <c r="V730" s="80"/>
      <c r="W730" s="80"/>
    </row>
    <row r="731" ht="18" customHeight="1" spans="1:23">
      <c r="A731" s="87" t="str">
        <f t="shared" si="33"/>
        <v/>
      </c>
      <c r="B731" s="78"/>
      <c r="C731" s="80"/>
      <c r="D731" s="79"/>
      <c r="E731" s="80"/>
      <c r="F731" s="79"/>
      <c r="G731" s="25" t="str">
        <f t="shared" si="34"/>
        <v/>
      </c>
      <c r="H731" s="88"/>
      <c r="I731" s="93"/>
      <c r="J731" s="97"/>
      <c r="K731" s="88"/>
      <c r="L731" s="25" t="str">
        <f>IF($D731="","",SUMIFS($H$4:$H731,$D$4:$D731,$D731)+SUMIFS($I$4:$I731,$D$4:$D731,$D731)-SUMIFS($J$4:$J731,$D$4:$D731,$D731)-SUMIFS($K$4:$K731,$D$4:$D731,$D731))</f>
        <v/>
      </c>
      <c r="M731" s="80"/>
      <c r="N731" s="80"/>
      <c r="O731" s="94"/>
      <c r="P731" s="26" t="str">
        <f t="shared" si="35"/>
        <v/>
      </c>
      <c r="Q731" s="80"/>
      <c r="R731" s="80"/>
      <c r="S731" s="80"/>
      <c r="T731" s="82"/>
      <c r="U731" s="80"/>
      <c r="V731" s="80"/>
      <c r="W731" s="80"/>
    </row>
    <row r="732" ht="18" customHeight="1" spans="1:23">
      <c r="A732" s="87" t="str">
        <f t="shared" si="33"/>
        <v/>
      </c>
      <c r="B732" s="78"/>
      <c r="C732" s="80"/>
      <c r="D732" s="79"/>
      <c r="E732" s="80"/>
      <c r="F732" s="79"/>
      <c r="G732" s="25" t="str">
        <f t="shared" si="34"/>
        <v/>
      </c>
      <c r="H732" s="88"/>
      <c r="I732" s="93"/>
      <c r="J732" s="97"/>
      <c r="K732" s="88"/>
      <c r="L732" s="25" t="str">
        <f>IF($D732="","",SUMIFS($H$4:$H732,$D$4:$D732,$D732)+SUMIFS($I$4:$I732,$D$4:$D732,$D732)-SUMIFS($J$4:$J732,$D$4:$D732,$D732)-SUMIFS($K$4:$K732,$D$4:$D732,$D732))</f>
        <v/>
      </c>
      <c r="M732" s="80"/>
      <c r="N732" s="80"/>
      <c r="O732" s="94"/>
      <c r="P732" s="26" t="str">
        <f t="shared" si="35"/>
        <v/>
      </c>
      <c r="Q732" s="80"/>
      <c r="R732" s="80"/>
      <c r="S732" s="80"/>
      <c r="T732" s="82"/>
      <c r="U732" s="80"/>
      <c r="V732" s="80"/>
      <c r="W732" s="80"/>
    </row>
    <row r="733" ht="18" customHeight="1" spans="1:23">
      <c r="A733" s="87" t="str">
        <f t="shared" si="33"/>
        <v/>
      </c>
      <c r="B733" s="78"/>
      <c r="C733" s="80"/>
      <c r="D733" s="79"/>
      <c r="E733" s="80"/>
      <c r="F733" s="79"/>
      <c r="G733" s="25" t="str">
        <f t="shared" si="34"/>
        <v/>
      </c>
      <c r="H733" s="88"/>
      <c r="I733" s="93"/>
      <c r="J733" s="97"/>
      <c r="K733" s="88"/>
      <c r="L733" s="25" t="str">
        <f>IF($D733="","",SUMIFS($H$4:$H733,$D$4:$D733,$D733)+SUMIFS($I$4:$I733,$D$4:$D733,$D733)-SUMIFS($J$4:$J733,$D$4:$D733,$D733)-SUMIFS($K$4:$K733,$D$4:$D733,$D733))</f>
        <v/>
      </c>
      <c r="M733" s="80"/>
      <c r="N733" s="80"/>
      <c r="O733" s="94"/>
      <c r="P733" s="26" t="str">
        <f t="shared" si="35"/>
        <v/>
      </c>
      <c r="Q733" s="80"/>
      <c r="R733" s="80"/>
      <c r="S733" s="80"/>
      <c r="T733" s="82"/>
      <c r="U733" s="80"/>
      <c r="V733" s="80"/>
      <c r="W733" s="80"/>
    </row>
    <row r="734" ht="18" customHeight="1" spans="1:23">
      <c r="A734" s="87" t="str">
        <f t="shared" si="33"/>
        <v/>
      </c>
      <c r="B734" s="78"/>
      <c r="C734" s="80"/>
      <c r="D734" s="79"/>
      <c r="E734" s="80"/>
      <c r="F734" s="79"/>
      <c r="G734" s="25" t="str">
        <f t="shared" si="34"/>
        <v/>
      </c>
      <c r="H734" s="88"/>
      <c r="I734" s="93"/>
      <c r="J734" s="97"/>
      <c r="K734" s="88"/>
      <c r="L734" s="25" t="str">
        <f>IF($D734="","",SUMIFS($H$4:$H734,$D$4:$D734,$D734)+SUMIFS($I$4:$I734,$D$4:$D734,$D734)-SUMIFS($J$4:$J734,$D$4:$D734,$D734)-SUMIFS($K$4:$K734,$D$4:$D734,$D734))</f>
        <v/>
      </c>
      <c r="M734" s="80"/>
      <c r="N734" s="80"/>
      <c r="O734" s="94"/>
      <c r="P734" s="26" t="str">
        <f t="shared" si="35"/>
        <v/>
      </c>
      <c r="Q734" s="80"/>
      <c r="R734" s="80"/>
      <c r="S734" s="80"/>
      <c r="T734" s="82"/>
      <c r="U734" s="80"/>
      <c r="V734" s="80"/>
      <c r="W734" s="80"/>
    </row>
    <row r="735" ht="18" customHeight="1" spans="1:23">
      <c r="A735" s="87" t="str">
        <f t="shared" si="33"/>
        <v/>
      </c>
      <c r="B735" s="78"/>
      <c r="C735" s="80"/>
      <c r="D735" s="79"/>
      <c r="E735" s="80"/>
      <c r="F735" s="79"/>
      <c r="G735" s="25" t="str">
        <f t="shared" si="34"/>
        <v/>
      </c>
      <c r="H735" s="88"/>
      <c r="I735" s="93"/>
      <c r="J735" s="97"/>
      <c r="K735" s="88"/>
      <c r="L735" s="25" t="str">
        <f>IF($D735="","",SUMIFS($H$4:$H735,$D$4:$D735,$D735)+SUMIFS($I$4:$I735,$D$4:$D735,$D735)-SUMIFS($J$4:$J735,$D$4:$D735,$D735)-SUMIFS($K$4:$K735,$D$4:$D735,$D735))</f>
        <v/>
      </c>
      <c r="M735" s="80"/>
      <c r="N735" s="80"/>
      <c r="O735" s="94"/>
      <c r="P735" s="26" t="str">
        <f t="shared" si="35"/>
        <v/>
      </c>
      <c r="Q735" s="80"/>
      <c r="R735" s="80"/>
      <c r="S735" s="80"/>
      <c r="T735" s="82"/>
      <c r="U735" s="80"/>
      <c r="V735" s="80"/>
      <c r="W735" s="80"/>
    </row>
    <row r="736" ht="18" customHeight="1" spans="1:23">
      <c r="A736" s="87" t="str">
        <f t="shared" si="33"/>
        <v/>
      </c>
      <c r="B736" s="78"/>
      <c r="C736" s="80"/>
      <c r="D736" s="79"/>
      <c r="E736" s="80"/>
      <c r="F736" s="79"/>
      <c r="G736" s="25" t="str">
        <f t="shared" si="34"/>
        <v/>
      </c>
      <c r="H736" s="88"/>
      <c r="I736" s="93"/>
      <c r="J736" s="97"/>
      <c r="K736" s="88"/>
      <c r="L736" s="25" t="str">
        <f>IF($D736="","",SUMIFS($H$4:$H736,$D$4:$D736,$D736)+SUMIFS($I$4:$I736,$D$4:$D736,$D736)-SUMIFS($J$4:$J736,$D$4:$D736,$D736)-SUMIFS($K$4:$K736,$D$4:$D736,$D736))</f>
        <v/>
      </c>
      <c r="M736" s="80"/>
      <c r="N736" s="80"/>
      <c r="O736" s="94"/>
      <c r="P736" s="26" t="str">
        <f t="shared" si="35"/>
        <v/>
      </c>
      <c r="Q736" s="80"/>
      <c r="R736" s="80"/>
      <c r="S736" s="80"/>
      <c r="T736" s="82"/>
      <c r="U736" s="80"/>
      <c r="V736" s="80"/>
      <c r="W736" s="80"/>
    </row>
    <row r="737" ht="18" customHeight="1" spans="1:23">
      <c r="A737" s="87" t="str">
        <f t="shared" si="33"/>
        <v/>
      </c>
      <c r="B737" s="78"/>
      <c r="C737" s="80"/>
      <c r="D737" s="79"/>
      <c r="E737" s="80"/>
      <c r="F737" s="79"/>
      <c r="G737" s="25" t="str">
        <f t="shared" si="34"/>
        <v/>
      </c>
      <c r="H737" s="88"/>
      <c r="I737" s="93"/>
      <c r="J737" s="97"/>
      <c r="K737" s="88"/>
      <c r="L737" s="25" t="str">
        <f>IF($D737="","",SUMIFS($H$4:$H737,$D$4:$D737,$D737)+SUMIFS($I$4:$I737,$D$4:$D737,$D737)-SUMIFS($J$4:$J737,$D$4:$D737,$D737)-SUMIFS($K$4:$K737,$D$4:$D737,$D737))</f>
        <v/>
      </c>
      <c r="M737" s="80"/>
      <c r="N737" s="80"/>
      <c r="O737" s="94"/>
      <c r="P737" s="26" t="str">
        <f t="shared" si="35"/>
        <v/>
      </c>
      <c r="Q737" s="80"/>
      <c r="R737" s="80"/>
      <c r="S737" s="80"/>
      <c r="T737" s="82"/>
      <c r="U737" s="80"/>
      <c r="V737" s="80"/>
      <c r="W737" s="80"/>
    </row>
    <row r="738" ht="18" customHeight="1" spans="1:23">
      <c r="A738" s="87" t="str">
        <f t="shared" si="33"/>
        <v/>
      </c>
      <c r="B738" s="78"/>
      <c r="C738" s="80"/>
      <c r="D738" s="79"/>
      <c r="E738" s="80"/>
      <c r="F738" s="79"/>
      <c r="G738" s="25" t="str">
        <f t="shared" si="34"/>
        <v/>
      </c>
      <c r="H738" s="88"/>
      <c r="I738" s="93"/>
      <c r="J738" s="97"/>
      <c r="K738" s="88"/>
      <c r="L738" s="25" t="str">
        <f>IF($D738="","",SUMIFS($H$4:$H738,$D$4:$D738,$D738)+SUMIFS($I$4:$I738,$D$4:$D738,$D738)-SUMIFS($J$4:$J738,$D$4:$D738,$D738)-SUMIFS($K$4:$K738,$D$4:$D738,$D738))</f>
        <v/>
      </c>
      <c r="M738" s="80"/>
      <c r="N738" s="80"/>
      <c r="O738" s="94"/>
      <c r="P738" s="26" t="str">
        <f t="shared" si="35"/>
        <v/>
      </c>
      <c r="Q738" s="80"/>
      <c r="R738" s="80"/>
      <c r="S738" s="80"/>
      <c r="T738" s="82"/>
      <c r="U738" s="80"/>
      <c r="V738" s="80"/>
      <c r="W738" s="80"/>
    </row>
    <row r="739" ht="18" customHeight="1" spans="1:23">
      <c r="A739" s="87" t="str">
        <f t="shared" si="33"/>
        <v/>
      </c>
      <c r="B739" s="78"/>
      <c r="C739" s="80"/>
      <c r="D739" s="79"/>
      <c r="E739" s="80"/>
      <c r="F739" s="79"/>
      <c r="G739" s="25" t="str">
        <f t="shared" si="34"/>
        <v/>
      </c>
      <c r="H739" s="88"/>
      <c r="I739" s="93"/>
      <c r="J739" s="97"/>
      <c r="K739" s="88"/>
      <c r="L739" s="25" t="str">
        <f>IF($D739="","",SUMIFS($H$4:$H739,$D$4:$D739,$D739)+SUMIFS($I$4:$I739,$D$4:$D739,$D739)-SUMIFS($J$4:$J739,$D$4:$D739,$D739)-SUMIFS($K$4:$K739,$D$4:$D739,$D739))</f>
        <v/>
      </c>
      <c r="M739" s="80"/>
      <c r="N739" s="80"/>
      <c r="O739" s="94"/>
      <c r="P739" s="26" t="str">
        <f t="shared" si="35"/>
        <v/>
      </c>
      <c r="Q739" s="80"/>
      <c r="R739" s="80"/>
      <c r="S739" s="80"/>
      <c r="T739" s="82"/>
      <c r="U739" s="80"/>
      <c r="V739" s="80"/>
      <c r="W739" s="80"/>
    </row>
    <row r="740" ht="18" customHeight="1" spans="1:23">
      <c r="A740" s="87" t="str">
        <f t="shared" si="33"/>
        <v/>
      </c>
      <c r="B740" s="78"/>
      <c r="C740" s="80"/>
      <c r="D740" s="79"/>
      <c r="E740" s="80"/>
      <c r="F740" s="79"/>
      <c r="G740" s="25" t="str">
        <f t="shared" si="34"/>
        <v/>
      </c>
      <c r="H740" s="88"/>
      <c r="I740" s="93"/>
      <c r="J740" s="97"/>
      <c r="K740" s="88"/>
      <c r="L740" s="25" t="str">
        <f>IF($D740="","",SUMIFS($H$4:$H740,$D$4:$D740,$D740)+SUMIFS($I$4:$I740,$D$4:$D740,$D740)-SUMIFS($J$4:$J740,$D$4:$D740,$D740)-SUMIFS($K$4:$K740,$D$4:$D740,$D740))</f>
        <v/>
      </c>
      <c r="M740" s="80"/>
      <c r="N740" s="80"/>
      <c r="O740" s="94"/>
      <c r="P740" s="26" t="str">
        <f t="shared" si="35"/>
        <v/>
      </c>
      <c r="Q740" s="80"/>
      <c r="R740" s="80"/>
      <c r="S740" s="80"/>
      <c r="T740" s="82"/>
      <c r="U740" s="80"/>
      <c r="V740" s="80"/>
      <c r="W740" s="80"/>
    </row>
    <row r="741" ht="18" customHeight="1" spans="1:23">
      <c r="A741" s="87" t="str">
        <f t="shared" si="33"/>
        <v/>
      </c>
      <c r="B741" s="78"/>
      <c r="C741" s="80"/>
      <c r="D741" s="79"/>
      <c r="E741" s="80"/>
      <c r="F741" s="79"/>
      <c r="G741" s="25" t="str">
        <f t="shared" si="34"/>
        <v/>
      </c>
      <c r="H741" s="88"/>
      <c r="I741" s="93"/>
      <c r="J741" s="97"/>
      <c r="K741" s="88"/>
      <c r="L741" s="25" t="str">
        <f>IF($D741="","",SUMIFS($H$4:$H741,$D$4:$D741,$D741)+SUMIFS($I$4:$I741,$D$4:$D741,$D741)-SUMIFS($J$4:$J741,$D$4:$D741,$D741)-SUMIFS($K$4:$K741,$D$4:$D741,$D741))</f>
        <v/>
      </c>
      <c r="M741" s="80"/>
      <c r="N741" s="80"/>
      <c r="O741" s="94"/>
      <c r="P741" s="26" t="str">
        <f t="shared" si="35"/>
        <v/>
      </c>
      <c r="Q741" s="80"/>
      <c r="R741" s="80"/>
      <c r="S741" s="80"/>
      <c r="T741" s="82"/>
      <c r="U741" s="80"/>
      <c r="V741" s="80"/>
      <c r="W741" s="80"/>
    </row>
    <row r="742" ht="18" customHeight="1" spans="1:23">
      <c r="A742" s="87" t="str">
        <f t="shared" si="33"/>
        <v/>
      </c>
      <c r="B742" s="78"/>
      <c r="C742" s="80"/>
      <c r="D742" s="79"/>
      <c r="E742" s="80"/>
      <c r="F742" s="79"/>
      <c r="G742" s="25" t="str">
        <f t="shared" si="34"/>
        <v/>
      </c>
      <c r="H742" s="88"/>
      <c r="I742" s="93"/>
      <c r="J742" s="97"/>
      <c r="K742" s="88"/>
      <c r="L742" s="25" t="str">
        <f>IF($D742="","",SUMIFS($H$4:$H742,$D$4:$D742,$D742)+SUMIFS($I$4:$I742,$D$4:$D742,$D742)-SUMIFS($J$4:$J742,$D$4:$D742,$D742)-SUMIFS($K$4:$K742,$D$4:$D742,$D742))</f>
        <v/>
      </c>
      <c r="M742" s="80"/>
      <c r="N742" s="80"/>
      <c r="O742" s="94"/>
      <c r="P742" s="26" t="str">
        <f t="shared" si="35"/>
        <v/>
      </c>
      <c r="Q742" s="80"/>
      <c r="R742" s="80"/>
      <c r="S742" s="80"/>
      <c r="T742" s="82"/>
      <c r="U742" s="80"/>
      <c r="V742" s="80"/>
      <c r="W742" s="80"/>
    </row>
    <row r="743" ht="18" customHeight="1" spans="1:23">
      <c r="A743" s="87" t="str">
        <f t="shared" si="33"/>
        <v/>
      </c>
      <c r="B743" s="78"/>
      <c r="C743" s="80"/>
      <c r="D743" s="79"/>
      <c r="E743" s="80"/>
      <c r="F743" s="79"/>
      <c r="G743" s="25" t="str">
        <f t="shared" si="34"/>
        <v/>
      </c>
      <c r="H743" s="88"/>
      <c r="I743" s="93"/>
      <c r="J743" s="97"/>
      <c r="K743" s="88"/>
      <c r="L743" s="25" t="str">
        <f>IF($D743="","",SUMIFS($H$4:$H743,$D$4:$D743,$D743)+SUMIFS($I$4:$I743,$D$4:$D743,$D743)-SUMIFS($J$4:$J743,$D$4:$D743,$D743)-SUMIFS($K$4:$K743,$D$4:$D743,$D743))</f>
        <v/>
      </c>
      <c r="M743" s="80"/>
      <c r="N743" s="80"/>
      <c r="O743" s="94"/>
      <c r="P743" s="26" t="str">
        <f t="shared" si="35"/>
        <v/>
      </c>
      <c r="Q743" s="80"/>
      <c r="R743" s="80"/>
      <c r="S743" s="80"/>
      <c r="T743" s="82"/>
      <c r="U743" s="80"/>
      <c r="V743" s="80"/>
      <c r="W743" s="80"/>
    </row>
    <row r="744" ht="18" customHeight="1" spans="1:23">
      <c r="A744" s="87" t="str">
        <f t="shared" si="33"/>
        <v/>
      </c>
      <c r="B744" s="78"/>
      <c r="C744" s="80"/>
      <c r="D744" s="79"/>
      <c r="E744" s="80"/>
      <c r="F744" s="79"/>
      <c r="G744" s="25" t="str">
        <f t="shared" si="34"/>
        <v/>
      </c>
      <c r="H744" s="88"/>
      <c r="I744" s="93"/>
      <c r="J744" s="97"/>
      <c r="K744" s="88"/>
      <c r="L744" s="25" t="str">
        <f>IF($D744="","",SUMIFS($H$4:$H744,$D$4:$D744,$D744)+SUMIFS($I$4:$I744,$D$4:$D744,$D744)-SUMIFS($J$4:$J744,$D$4:$D744,$D744)-SUMIFS($K$4:$K744,$D$4:$D744,$D744))</f>
        <v/>
      </c>
      <c r="M744" s="80"/>
      <c r="N744" s="80"/>
      <c r="O744" s="94"/>
      <c r="P744" s="26" t="str">
        <f t="shared" si="35"/>
        <v/>
      </c>
      <c r="Q744" s="80"/>
      <c r="R744" s="80"/>
      <c r="S744" s="80"/>
      <c r="T744" s="82"/>
      <c r="U744" s="80"/>
      <c r="V744" s="80"/>
      <c r="W744" s="80"/>
    </row>
    <row r="745" ht="18" customHeight="1" spans="1:23">
      <c r="A745" s="87" t="str">
        <f t="shared" si="33"/>
        <v/>
      </c>
      <c r="B745" s="78"/>
      <c r="C745" s="80"/>
      <c r="D745" s="79"/>
      <c r="E745" s="80"/>
      <c r="F745" s="79"/>
      <c r="G745" s="25" t="str">
        <f t="shared" si="34"/>
        <v/>
      </c>
      <c r="H745" s="88"/>
      <c r="I745" s="93"/>
      <c r="J745" s="97"/>
      <c r="K745" s="88"/>
      <c r="L745" s="25" t="str">
        <f>IF($D745="","",SUMIFS($H$4:$H745,$D$4:$D745,$D745)+SUMIFS($I$4:$I745,$D$4:$D745,$D745)-SUMIFS($J$4:$J745,$D$4:$D745,$D745)-SUMIFS($K$4:$K745,$D$4:$D745,$D745))</f>
        <v/>
      </c>
      <c r="M745" s="80"/>
      <c r="N745" s="80"/>
      <c r="O745" s="94"/>
      <c r="P745" s="26" t="str">
        <f t="shared" si="35"/>
        <v/>
      </c>
      <c r="Q745" s="80"/>
      <c r="R745" s="80"/>
      <c r="S745" s="80"/>
      <c r="T745" s="82"/>
      <c r="U745" s="80"/>
      <c r="V745" s="80"/>
      <c r="W745" s="80"/>
    </row>
    <row r="746" ht="18" customHeight="1" spans="1:23">
      <c r="A746" s="87" t="str">
        <f t="shared" si="33"/>
        <v/>
      </c>
      <c r="B746" s="78"/>
      <c r="C746" s="80"/>
      <c r="D746" s="79"/>
      <c r="E746" s="80"/>
      <c r="F746" s="79"/>
      <c r="G746" s="25" t="str">
        <f t="shared" si="34"/>
        <v/>
      </c>
      <c r="H746" s="88"/>
      <c r="I746" s="93"/>
      <c r="J746" s="97"/>
      <c r="K746" s="88"/>
      <c r="L746" s="25" t="str">
        <f>IF($D746="","",SUMIFS($H$4:$H746,$D$4:$D746,$D746)+SUMIFS($I$4:$I746,$D$4:$D746,$D746)-SUMIFS($J$4:$J746,$D$4:$D746,$D746)-SUMIFS($K$4:$K746,$D$4:$D746,$D746))</f>
        <v/>
      </c>
      <c r="M746" s="80"/>
      <c r="N746" s="80"/>
      <c r="O746" s="94"/>
      <c r="P746" s="26" t="str">
        <f t="shared" si="35"/>
        <v/>
      </c>
      <c r="Q746" s="80"/>
      <c r="R746" s="80"/>
      <c r="S746" s="80"/>
      <c r="T746" s="82"/>
      <c r="U746" s="80"/>
      <c r="V746" s="80"/>
      <c r="W746" s="80"/>
    </row>
    <row r="747" ht="18" customHeight="1" spans="1:23">
      <c r="A747" s="87" t="str">
        <f t="shared" si="33"/>
        <v/>
      </c>
      <c r="B747" s="78"/>
      <c r="C747" s="80"/>
      <c r="D747" s="79"/>
      <c r="E747" s="80"/>
      <c r="F747" s="79"/>
      <c r="G747" s="25" t="str">
        <f t="shared" si="34"/>
        <v/>
      </c>
      <c r="H747" s="88"/>
      <c r="I747" s="93"/>
      <c r="J747" s="97"/>
      <c r="K747" s="88"/>
      <c r="L747" s="25" t="str">
        <f>IF($D747="","",SUMIFS($H$4:$H747,$D$4:$D747,$D747)+SUMIFS($I$4:$I747,$D$4:$D747,$D747)-SUMIFS($J$4:$J747,$D$4:$D747,$D747)-SUMIFS($K$4:$K747,$D$4:$D747,$D747))</f>
        <v/>
      </c>
      <c r="M747" s="80"/>
      <c r="N747" s="80"/>
      <c r="O747" s="94"/>
      <c r="P747" s="26" t="str">
        <f t="shared" si="35"/>
        <v/>
      </c>
      <c r="Q747" s="80"/>
      <c r="R747" s="80"/>
      <c r="S747" s="80"/>
      <c r="T747" s="82"/>
      <c r="U747" s="80"/>
      <c r="V747" s="80"/>
      <c r="W747" s="80"/>
    </row>
    <row r="748" ht="18" customHeight="1" spans="1:23">
      <c r="A748" s="87" t="str">
        <f t="shared" si="33"/>
        <v/>
      </c>
      <c r="B748" s="78"/>
      <c r="C748" s="80"/>
      <c r="D748" s="79"/>
      <c r="E748" s="80"/>
      <c r="F748" s="79"/>
      <c r="G748" s="25" t="str">
        <f t="shared" si="34"/>
        <v/>
      </c>
      <c r="H748" s="88"/>
      <c r="I748" s="93"/>
      <c r="J748" s="97"/>
      <c r="K748" s="88"/>
      <c r="L748" s="25" t="str">
        <f>IF($D748="","",SUMIFS($H$4:$H748,$D$4:$D748,$D748)+SUMIFS($I$4:$I748,$D$4:$D748,$D748)-SUMIFS($J$4:$J748,$D$4:$D748,$D748)-SUMIFS($K$4:$K748,$D$4:$D748,$D748))</f>
        <v/>
      </c>
      <c r="M748" s="80"/>
      <c r="N748" s="80"/>
      <c r="O748" s="94"/>
      <c r="P748" s="26" t="str">
        <f t="shared" si="35"/>
        <v/>
      </c>
      <c r="Q748" s="80"/>
      <c r="R748" s="80"/>
      <c r="S748" s="80"/>
      <c r="T748" s="82"/>
      <c r="U748" s="80"/>
      <c r="V748" s="80"/>
      <c r="W748" s="80"/>
    </row>
    <row r="749" ht="18" customHeight="1" spans="1:23">
      <c r="A749" s="87" t="str">
        <f t="shared" si="33"/>
        <v/>
      </c>
      <c r="B749" s="78"/>
      <c r="C749" s="80"/>
      <c r="D749" s="79"/>
      <c r="E749" s="80"/>
      <c r="F749" s="79"/>
      <c r="G749" s="25" t="str">
        <f t="shared" si="34"/>
        <v/>
      </c>
      <c r="H749" s="88"/>
      <c r="I749" s="93"/>
      <c r="J749" s="97"/>
      <c r="K749" s="88"/>
      <c r="L749" s="25" t="str">
        <f>IF($D749="","",SUMIFS($H$4:$H749,$D$4:$D749,$D749)+SUMIFS($I$4:$I749,$D$4:$D749,$D749)-SUMIFS($J$4:$J749,$D$4:$D749,$D749)-SUMIFS($K$4:$K749,$D$4:$D749,$D749))</f>
        <v/>
      </c>
      <c r="M749" s="80"/>
      <c r="N749" s="80"/>
      <c r="O749" s="94"/>
      <c r="P749" s="26" t="str">
        <f t="shared" si="35"/>
        <v/>
      </c>
      <c r="Q749" s="80"/>
      <c r="R749" s="80"/>
      <c r="S749" s="80"/>
      <c r="T749" s="82"/>
      <c r="U749" s="80"/>
      <c r="V749" s="80"/>
      <c r="W749" s="80"/>
    </row>
    <row r="750" ht="18" customHeight="1" spans="1:23">
      <c r="A750" s="87" t="str">
        <f t="shared" si="33"/>
        <v/>
      </c>
      <c r="B750" s="78"/>
      <c r="C750" s="80"/>
      <c r="D750" s="79"/>
      <c r="E750" s="80"/>
      <c r="F750" s="79"/>
      <c r="G750" s="25" t="str">
        <f t="shared" si="34"/>
        <v/>
      </c>
      <c r="H750" s="88"/>
      <c r="I750" s="93"/>
      <c r="J750" s="97"/>
      <c r="K750" s="88"/>
      <c r="L750" s="25" t="str">
        <f>IF($D750="","",SUMIFS($H$4:$H750,$D$4:$D750,$D750)+SUMIFS($I$4:$I750,$D$4:$D750,$D750)-SUMIFS($J$4:$J750,$D$4:$D750,$D750)-SUMIFS($K$4:$K750,$D$4:$D750,$D750))</f>
        <v/>
      </c>
      <c r="M750" s="80"/>
      <c r="N750" s="80"/>
      <c r="O750" s="94"/>
      <c r="P750" s="26" t="str">
        <f t="shared" si="35"/>
        <v/>
      </c>
      <c r="Q750" s="80"/>
      <c r="R750" s="80"/>
      <c r="S750" s="80"/>
      <c r="T750" s="82"/>
      <c r="U750" s="80"/>
      <c r="V750" s="80"/>
      <c r="W750" s="80"/>
    </row>
    <row r="751" ht="18" customHeight="1" spans="1:23">
      <c r="A751" s="87" t="str">
        <f t="shared" si="33"/>
        <v/>
      </c>
      <c r="B751" s="78"/>
      <c r="C751" s="80"/>
      <c r="D751" s="79"/>
      <c r="E751" s="80"/>
      <c r="F751" s="79"/>
      <c r="G751" s="25" t="str">
        <f t="shared" si="34"/>
        <v/>
      </c>
      <c r="H751" s="88"/>
      <c r="I751" s="93"/>
      <c r="J751" s="97"/>
      <c r="K751" s="88"/>
      <c r="L751" s="25" t="str">
        <f>IF($D751="","",SUMIFS($H$4:$H751,$D$4:$D751,$D751)+SUMIFS($I$4:$I751,$D$4:$D751,$D751)-SUMIFS($J$4:$J751,$D$4:$D751,$D751)-SUMIFS($K$4:$K751,$D$4:$D751,$D751))</f>
        <v/>
      </c>
      <c r="M751" s="80"/>
      <c r="N751" s="80"/>
      <c r="O751" s="94"/>
      <c r="P751" s="26" t="str">
        <f t="shared" si="35"/>
        <v/>
      </c>
      <c r="Q751" s="80"/>
      <c r="R751" s="80"/>
      <c r="S751" s="80"/>
      <c r="T751" s="82"/>
      <c r="U751" s="80"/>
      <c r="V751" s="80"/>
      <c r="W751" s="80"/>
    </row>
    <row r="752" ht="18" customHeight="1" spans="1:23">
      <c r="A752" s="87" t="str">
        <f t="shared" si="33"/>
        <v/>
      </c>
      <c r="B752" s="78"/>
      <c r="C752" s="80"/>
      <c r="D752" s="79"/>
      <c r="E752" s="80"/>
      <c r="F752" s="79"/>
      <c r="G752" s="25" t="str">
        <f t="shared" si="34"/>
        <v/>
      </c>
      <c r="H752" s="88"/>
      <c r="I752" s="93"/>
      <c r="J752" s="97"/>
      <c r="K752" s="88"/>
      <c r="L752" s="25" t="str">
        <f>IF($D752="","",SUMIFS($H$4:$H752,$D$4:$D752,$D752)+SUMIFS($I$4:$I752,$D$4:$D752,$D752)-SUMIFS($J$4:$J752,$D$4:$D752,$D752)-SUMIFS($K$4:$K752,$D$4:$D752,$D752))</f>
        <v/>
      </c>
      <c r="M752" s="80"/>
      <c r="N752" s="80"/>
      <c r="O752" s="94"/>
      <c r="P752" s="26" t="str">
        <f t="shared" si="35"/>
        <v/>
      </c>
      <c r="Q752" s="80"/>
      <c r="R752" s="80"/>
      <c r="S752" s="80"/>
      <c r="T752" s="82"/>
      <c r="U752" s="80"/>
      <c r="V752" s="80"/>
      <c r="W752" s="80"/>
    </row>
    <row r="753" ht="18" customHeight="1" spans="1:23">
      <c r="A753" s="87" t="str">
        <f t="shared" si="33"/>
        <v/>
      </c>
      <c r="B753" s="78"/>
      <c r="C753" s="80"/>
      <c r="D753" s="79"/>
      <c r="E753" s="80"/>
      <c r="F753" s="79"/>
      <c r="G753" s="25" t="str">
        <f t="shared" si="34"/>
        <v/>
      </c>
      <c r="H753" s="88"/>
      <c r="I753" s="93"/>
      <c r="J753" s="97"/>
      <c r="K753" s="88"/>
      <c r="L753" s="25" t="str">
        <f>IF($D753="","",SUMIFS($H$4:$H753,$D$4:$D753,$D753)+SUMIFS($I$4:$I753,$D$4:$D753,$D753)-SUMIFS($J$4:$J753,$D$4:$D753,$D753)-SUMIFS($K$4:$K753,$D$4:$D753,$D753))</f>
        <v/>
      </c>
      <c r="M753" s="80"/>
      <c r="N753" s="80"/>
      <c r="O753" s="94"/>
      <c r="P753" s="26" t="str">
        <f t="shared" si="35"/>
        <v/>
      </c>
      <c r="Q753" s="80"/>
      <c r="R753" s="80"/>
      <c r="S753" s="80"/>
      <c r="T753" s="82"/>
      <c r="U753" s="80"/>
      <c r="V753" s="80"/>
      <c r="W753" s="80"/>
    </row>
    <row r="754" ht="18" customHeight="1" spans="1:23">
      <c r="A754" s="87" t="str">
        <f t="shared" si="33"/>
        <v/>
      </c>
      <c r="B754" s="78"/>
      <c r="C754" s="80"/>
      <c r="D754" s="79"/>
      <c r="E754" s="80"/>
      <c r="F754" s="79"/>
      <c r="G754" s="25" t="str">
        <f t="shared" si="34"/>
        <v/>
      </c>
      <c r="H754" s="88"/>
      <c r="I754" s="93"/>
      <c r="J754" s="97"/>
      <c r="K754" s="88"/>
      <c r="L754" s="25" t="str">
        <f>IF($D754="","",SUMIFS($H$4:$H754,$D$4:$D754,$D754)+SUMIFS($I$4:$I754,$D$4:$D754,$D754)-SUMIFS($J$4:$J754,$D$4:$D754,$D754)-SUMIFS($K$4:$K754,$D$4:$D754,$D754))</f>
        <v/>
      </c>
      <c r="M754" s="80"/>
      <c r="N754" s="80"/>
      <c r="O754" s="94"/>
      <c r="P754" s="26" t="str">
        <f t="shared" si="35"/>
        <v/>
      </c>
      <c r="Q754" s="80"/>
      <c r="R754" s="80"/>
      <c r="S754" s="80"/>
      <c r="T754" s="82"/>
      <c r="U754" s="80"/>
      <c r="V754" s="80"/>
      <c r="W754" s="80"/>
    </row>
    <row r="755" ht="18" customHeight="1" spans="1:23">
      <c r="A755" s="87" t="str">
        <f t="shared" si="33"/>
        <v/>
      </c>
      <c r="B755" s="78"/>
      <c r="C755" s="80"/>
      <c r="D755" s="79"/>
      <c r="E755" s="80"/>
      <c r="F755" s="79"/>
      <c r="G755" s="25" t="str">
        <f t="shared" si="34"/>
        <v/>
      </c>
      <c r="H755" s="88"/>
      <c r="I755" s="93"/>
      <c r="J755" s="97"/>
      <c r="K755" s="88"/>
      <c r="L755" s="25" t="str">
        <f>IF($D755="","",SUMIFS($H$4:$H755,$D$4:$D755,$D755)+SUMIFS($I$4:$I755,$D$4:$D755,$D755)-SUMIFS($J$4:$J755,$D$4:$D755,$D755)-SUMIFS($K$4:$K755,$D$4:$D755,$D755))</f>
        <v/>
      </c>
      <c r="M755" s="80"/>
      <c r="N755" s="80"/>
      <c r="O755" s="94"/>
      <c r="P755" s="26" t="str">
        <f t="shared" si="35"/>
        <v/>
      </c>
      <c r="Q755" s="80"/>
      <c r="R755" s="80"/>
      <c r="S755" s="80"/>
      <c r="T755" s="82"/>
      <c r="U755" s="80"/>
      <c r="V755" s="80"/>
      <c r="W755" s="80"/>
    </row>
    <row r="756" ht="18" customHeight="1" spans="1:23">
      <c r="A756" s="87" t="str">
        <f t="shared" si="33"/>
        <v/>
      </c>
      <c r="B756" s="78"/>
      <c r="C756" s="80"/>
      <c r="D756" s="79"/>
      <c r="E756" s="80"/>
      <c r="F756" s="79"/>
      <c r="G756" s="25" t="str">
        <f t="shared" si="34"/>
        <v/>
      </c>
      <c r="H756" s="88"/>
      <c r="I756" s="93"/>
      <c r="J756" s="97"/>
      <c r="K756" s="88"/>
      <c r="L756" s="25" t="str">
        <f>IF($D756="","",SUMIFS($H$4:$H756,$D$4:$D756,$D756)+SUMIFS($I$4:$I756,$D$4:$D756,$D756)-SUMIFS($J$4:$J756,$D$4:$D756,$D756)-SUMIFS($K$4:$K756,$D$4:$D756,$D756))</f>
        <v/>
      </c>
      <c r="M756" s="80"/>
      <c r="N756" s="80"/>
      <c r="O756" s="94"/>
      <c r="P756" s="26" t="str">
        <f t="shared" si="35"/>
        <v/>
      </c>
      <c r="Q756" s="80"/>
      <c r="R756" s="80"/>
      <c r="S756" s="80"/>
      <c r="T756" s="82"/>
      <c r="U756" s="80"/>
      <c r="V756" s="80"/>
      <c r="W756" s="80"/>
    </row>
    <row r="757" ht="18" customHeight="1" spans="1:23">
      <c r="A757" s="87" t="str">
        <f t="shared" si="33"/>
        <v/>
      </c>
      <c r="B757" s="78"/>
      <c r="C757" s="80"/>
      <c r="D757" s="79"/>
      <c r="E757" s="80"/>
      <c r="F757" s="79"/>
      <c r="G757" s="25" t="str">
        <f t="shared" si="34"/>
        <v/>
      </c>
      <c r="H757" s="88"/>
      <c r="I757" s="93"/>
      <c r="J757" s="97"/>
      <c r="K757" s="88"/>
      <c r="L757" s="25" t="str">
        <f>IF($D757="","",SUMIFS($H$4:$H757,$D$4:$D757,$D757)+SUMIFS($I$4:$I757,$D$4:$D757,$D757)-SUMIFS($J$4:$J757,$D$4:$D757,$D757)-SUMIFS($K$4:$K757,$D$4:$D757,$D757))</f>
        <v/>
      </c>
      <c r="M757" s="80"/>
      <c r="N757" s="80"/>
      <c r="O757" s="94"/>
      <c r="P757" s="26" t="str">
        <f t="shared" si="35"/>
        <v/>
      </c>
      <c r="Q757" s="80"/>
      <c r="R757" s="80"/>
      <c r="S757" s="80"/>
      <c r="T757" s="82"/>
      <c r="U757" s="80"/>
      <c r="V757" s="80"/>
      <c r="W757" s="80"/>
    </row>
    <row r="758" ht="18" customHeight="1" spans="1:23">
      <c r="A758" s="87" t="str">
        <f t="shared" si="33"/>
        <v/>
      </c>
      <c r="B758" s="78"/>
      <c r="C758" s="80"/>
      <c r="D758" s="79"/>
      <c r="E758" s="80"/>
      <c r="F758" s="79"/>
      <c r="G758" s="25" t="str">
        <f t="shared" si="34"/>
        <v/>
      </c>
      <c r="H758" s="88"/>
      <c r="I758" s="93"/>
      <c r="J758" s="97"/>
      <c r="K758" s="88"/>
      <c r="L758" s="25" t="str">
        <f>IF($D758="","",SUMIFS($H$4:$H758,$D$4:$D758,$D758)+SUMIFS($I$4:$I758,$D$4:$D758,$D758)-SUMIFS($J$4:$J758,$D$4:$D758,$D758)-SUMIFS($K$4:$K758,$D$4:$D758,$D758))</f>
        <v/>
      </c>
      <c r="M758" s="80"/>
      <c r="N758" s="80"/>
      <c r="O758" s="94"/>
      <c r="P758" s="26" t="str">
        <f t="shared" si="35"/>
        <v/>
      </c>
      <c r="Q758" s="80"/>
      <c r="R758" s="80"/>
      <c r="S758" s="80"/>
      <c r="T758" s="82"/>
      <c r="U758" s="80"/>
      <c r="V758" s="80"/>
      <c r="W758" s="80"/>
    </row>
    <row r="759" ht="18" customHeight="1" spans="1:23">
      <c r="A759" s="87" t="str">
        <f t="shared" si="33"/>
        <v/>
      </c>
      <c r="B759" s="78"/>
      <c r="C759" s="80"/>
      <c r="D759" s="79"/>
      <c r="E759" s="80"/>
      <c r="F759" s="79"/>
      <c r="G759" s="25" t="str">
        <f t="shared" si="34"/>
        <v/>
      </c>
      <c r="H759" s="88"/>
      <c r="I759" s="93"/>
      <c r="J759" s="97"/>
      <c r="K759" s="88"/>
      <c r="L759" s="25" t="str">
        <f>IF($D759="","",SUMIFS($H$4:$H759,$D$4:$D759,$D759)+SUMIFS($I$4:$I759,$D$4:$D759,$D759)-SUMIFS($J$4:$J759,$D$4:$D759,$D759)-SUMIFS($K$4:$K759,$D$4:$D759,$D759))</f>
        <v/>
      </c>
      <c r="M759" s="80"/>
      <c r="N759" s="80"/>
      <c r="O759" s="94"/>
      <c r="P759" s="26" t="str">
        <f t="shared" si="35"/>
        <v/>
      </c>
      <c r="Q759" s="80"/>
      <c r="R759" s="80"/>
      <c r="S759" s="80"/>
      <c r="T759" s="82"/>
      <c r="U759" s="80"/>
      <c r="V759" s="80"/>
      <c r="W759" s="80"/>
    </row>
    <row r="760" ht="18" customHeight="1" spans="1:23">
      <c r="A760" s="87" t="str">
        <f t="shared" si="33"/>
        <v/>
      </c>
      <c r="B760" s="78"/>
      <c r="C760" s="80"/>
      <c r="D760" s="79"/>
      <c r="E760" s="80"/>
      <c r="F760" s="79"/>
      <c r="G760" s="25" t="str">
        <f t="shared" si="34"/>
        <v/>
      </c>
      <c r="H760" s="88"/>
      <c r="I760" s="93"/>
      <c r="J760" s="97"/>
      <c r="K760" s="88"/>
      <c r="L760" s="25" t="str">
        <f>IF($D760="","",SUMIFS($H$4:$H760,$D$4:$D760,$D760)+SUMIFS($I$4:$I760,$D$4:$D760,$D760)-SUMIFS($J$4:$J760,$D$4:$D760,$D760)-SUMIFS($K$4:$K760,$D$4:$D760,$D760))</f>
        <v/>
      </c>
      <c r="M760" s="80"/>
      <c r="N760" s="80"/>
      <c r="O760" s="94"/>
      <c r="P760" s="26" t="str">
        <f t="shared" si="35"/>
        <v/>
      </c>
      <c r="Q760" s="80"/>
      <c r="R760" s="80"/>
      <c r="S760" s="80"/>
      <c r="T760" s="82"/>
      <c r="U760" s="80"/>
      <c r="V760" s="80"/>
      <c r="W760" s="80"/>
    </row>
    <row r="761" ht="18" customHeight="1" spans="1:23">
      <c r="A761" s="87" t="str">
        <f t="shared" si="33"/>
        <v/>
      </c>
      <c r="B761" s="78"/>
      <c r="C761" s="80"/>
      <c r="D761" s="79"/>
      <c r="E761" s="80"/>
      <c r="F761" s="79"/>
      <c r="G761" s="25" t="str">
        <f t="shared" si="34"/>
        <v/>
      </c>
      <c r="H761" s="88"/>
      <c r="I761" s="93"/>
      <c r="J761" s="97"/>
      <c r="K761" s="88"/>
      <c r="L761" s="25" t="str">
        <f>IF($D761="","",SUMIFS($H$4:$H761,$D$4:$D761,$D761)+SUMIFS($I$4:$I761,$D$4:$D761,$D761)-SUMIFS($J$4:$J761,$D$4:$D761,$D761)-SUMIFS($K$4:$K761,$D$4:$D761,$D761))</f>
        <v/>
      </c>
      <c r="M761" s="80"/>
      <c r="N761" s="80"/>
      <c r="O761" s="94"/>
      <c r="P761" s="26" t="str">
        <f t="shared" si="35"/>
        <v/>
      </c>
      <c r="Q761" s="80"/>
      <c r="R761" s="80"/>
      <c r="S761" s="80"/>
      <c r="T761" s="82"/>
      <c r="U761" s="80"/>
      <c r="V761" s="80"/>
      <c r="W761" s="80"/>
    </row>
    <row r="762" ht="18" customHeight="1" spans="1:23">
      <c r="A762" s="87" t="str">
        <f t="shared" si="33"/>
        <v/>
      </c>
      <c r="B762" s="78"/>
      <c r="C762" s="80"/>
      <c r="D762" s="79"/>
      <c r="E762" s="80"/>
      <c r="F762" s="79"/>
      <c r="G762" s="25" t="str">
        <f t="shared" si="34"/>
        <v/>
      </c>
      <c r="H762" s="88"/>
      <c r="I762" s="93"/>
      <c r="J762" s="97"/>
      <c r="K762" s="88"/>
      <c r="L762" s="25" t="str">
        <f>IF($D762="","",SUMIFS($H$4:$H762,$D$4:$D762,$D762)+SUMIFS($I$4:$I762,$D$4:$D762,$D762)-SUMIFS($J$4:$J762,$D$4:$D762,$D762)-SUMIFS($K$4:$K762,$D$4:$D762,$D762))</f>
        <v/>
      </c>
      <c r="M762" s="80"/>
      <c r="N762" s="80"/>
      <c r="O762" s="94"/>
      <c r="P762" s="26" t="str">
        <f t="shared" si="35"/>
        <v/>
      </c>
      <c r="Q762" s="80"/>
      <c r="R762" s="80"/>
      <c r="S762" s="80"/>
      <c r="T762" s="82"/>
      <c r="U762" s="80"/>
      <c r="V762" s="80"/>
      <c r="W762" s="80"/>
    </row>
    <row r="763" ht="18" customHeight="1" spans="1:23">
      <c r="A763" s="87" t="str">
        <f t="shared" si="33"/>
        <v/>
      </c>
      <c r="B763" s="78"/>
      <c r="C763" s="80"/>
      <c r="D763" s="79"/>
      <c r="E763" s="80"/>
      <c r="F763" s="79"/>
      <c r="G763" s="25" t="str">
        <f t="shared" si="34"/>
        <v/>
      </c>
      <c r="H763" s="88"/>
      <c r="I763" s="93"/>
      <c r="J763" s="97"/>
      <c r="K763" s="88"/>
      <c r="L763" s="25" t="str">
        <f>IF($D763="","",SUMIFS($H$4:$H763,$D$4:$D763,$D763)+SUMIFS($I$4:$I763,$D$4:$D763,$D763)-SUMIFS($J$4:$J763,$D$4:$D763,$D763)-SUMIFS($K$4:$K763,$D$4:$D763,$D763))</f>
        <v/>
      </c>
      <c r="M763" s="80"/>
      <c r="N763" s="80"/>
      <c r="O763" s="94"/>
      <c r="P763" s="26" t="str">
        <f t="shared" si="35"/>
        <v/>
      </c>
      <c r="Q763" s="80"/>
      <c r="R763" s="80"/>
      <c r="S763" s="80"/>
      <c r="T763" s="82"/>
      <c r="U763" s="80"/>
      <c r="V763" s="80"/>
      <c r="W763" s="80"/>
    </row>
    <row r="764" ht="18" customHeight="1" spans="1:23">
      <c r="A764" s="87" t="str">
        <f t="shared" si="33"/>
        <v/>
      </c>
      <c r="B764" s="78"/>
      <c r="C764" s="80"/>
      <c r="D764" s="79"/>
      <c r="E764" s="80"/>
      <c r="F764" s="79"/>
      <c r="G764" s="25" t="str">
        <f t="shared" si="34"/>
        <v/>
      </c>
      <c r="H764" s="88"/>
      <c r="I764" s="93"/>
      <c r="J764" s="97"/>
      <c r="K764" s="88"/>
      <c r="L764" s="25" t="str">
        <f>IF($D764="","",SUMIFS($H$4:$H764,$D$4:$D764,$D764)+SUMIFS($I$4:$I764,$D$4:$D764,$D764)-SUMIFS($J$4:$J764,$D$4:$D764,$D764)-SUMIFS($K$4:$K764,$D$4:$D764,$D764))</f>
        <v/>
      </c>
      <c r="M764" s="80"/>
      <c r="N764" s="80"/>
      <c r="O764" s="94"/>
      <c r="P764" s="26" t="str">
        <f t="shared" si="35"/>
        <v/>
      </c>
      <c r="Q764" s="80"/>
      <c r="R764" s="80"/>
      <c r="S764" s="80"/>
      <c r="T764" s="82"/>
      <c r="U764" s="80"/>
      <c r="V764" s="80"/>
      <c r="W764" s="80"/>
    </row>
    <row r="765" ht="18" customHeight="1" spans="1:23">
      <c r="A765" s="87" t="str">
        <f t="shared" si="33"/>
        <v/>
      </c>
      <c r="B765" s="78"/>
      <c r="C765" s="80"/>
      <c r="D765" s="79"/>
      <c r="E765" s="80"/>
      <c r="F765" s="79"/>
      <c r="G765" s="25" t="str">
        <f t="shared" si="34"/>
        <v/>
      </c>
      <c r="H765" s="88"/>
      <c r="I765" s="93"/>
      <c r="J765" s="97"/>
      <c r="K765" s="88"/>
      <c r="L765" s="25" t="str">
        <f>IF($D765="","",SUMIFS($H$4:$H765,$D$4:$D765,$D765)+SUMIFS($I$4:$I765,$D$4:$D765,$D765)-SUMIFS($J$4:$J765,$D$4:$D765,$D765)-SUMIFS($K$4:$K765,$D$4:$D765,$D765))</f>
        <v/>
      </c>
      <c r="M765" s="80"/>
      <c r="N765" s="80"/>
      <c r="O765" s="94"/>
      <c r="P765" s="26" t="str">
        <f t="shared" si="35"/>
        <v/>
      </c>
      <c r="Q765" s="80"/>
      <c r="R765" s="80"/>
      <c r="S765" s="80"/>
      <c r="T765" s="82"/>
      <c r="U765" s="80"/>
      <c r="V765" s="80"/>
      <c r="W765" s="80"/>
    </row>
    <row r="766" ht="18" customHeight="1" spans="1:23">
      <c r="A766" s="87" t="str">
        <f t="shared" si="33"/>
        <v/>
      </c>
      <c r="B766" s="78"/>
      <c r="C766" s="80"/>
      <c r="D766" s="79"/>
      <c r="E766" s="80"/>
      <c r="F766" s="79"/>
      <c r="G766" s="25" t="str">
        <f t="shared" si="34"/>
        <v/>
      </c>
      <c r="H766" s="88"/>
      <c r="I766" s="93"/>
      <c r="J766" s="97"/>
      <c r="K766" s="88"/>
      <c r="L766" s="25" t="str">
        <f>IF($D766="","",SUMIFS($H$4:$H766,$D$4:$D766,$D766)+SUMIFS($I$4:$I766,$D$4:$D766,$D766)-SUMIFS($J$4:$J766,$D$4:$D766,$D766)-SUMIFS($K$4:$K766,$D$4:$D766,$D766))</f>
        <v/>
      </c>
      <c r="M766" s="80"/>
      <c r="N766" s="80"/>
      <c r="O766" s="94"/>
      <c r="P766" s="26" t="str">
        <f t="shared" si="35"/>
        <v/>
      </c>
      <c r="Q766" s="80"/>
      <c r="R766" s="80"/>
      <c r="S766" s="80"/>
      <c r="T766" s="82"/>
      <c r="U766" s="80"/>
      <c r="V766" s="80"/>
      <c r="W766" s="80"/>
    </row>
    <row r="767" ht="18" customHeight="1" spans="1:23">
      <c r="A767" s="87" t="str">
        <f t="shared" si="33"/>
        <v/>
      </c>
      <c r="B767" s="78"/>
      <c r="C767" s="80"/>
      <c r="D767" s="79"/>
      <c r="E767" s="80"/>
      <c r="F767" s="79"/>
      <c r="G767" s="25" t="str">
        <f t="shared" si="34"/>
        <v/>
      </c>
      <c r="H767" s="88"/>
      <c r="I767" s="93"/>
      <c r="J767" s="97"/>
      <c r="K767" s="88"/>
      <c r="L767" s="25" t="str">
        <f>IF($D767="","",SUMIFS($H$4:$H767,$D$4:$D767,$D767)+SUMIFS($I$4:$I767,$D$4:$D767,$D767)-SUMIFS($J$4:$J767,$D$4:$D767,$D767)-SUMIFS($K$4:$K767,$D$4:$D767,$D767))</f>
        <v/>
      </c>
      <c r="M767" s="80"/>
      <c r="N767" s="80"/>
      <c r="O767" s="94"/>
      <c r="P767" s="26" t="str">
        <f t="shared" si="35"/>
        <v/>
      </c>
      <c r="Q767" s="80"/>
      <c r="R767" s="80"/>
      <c r="S767" s="80"/>
      <c r="T767" s="82"/>
      <c r="U767" s="80"/>
      <c r="V767" s="80"/>
      <c r="W767" s="80"/>
    </row>
    <row r="768" ht="18" customHeight="1" spans="1:23">
      <c r="A768" s="87" t="str">
        <f t="shared" si="33"/>
        <v/>
      </c>
      <c r="B768" s="78"/>
      <c r="C768" s="80"/>
      <c r="D768" s="79"/>
      <c r="E768" s="80"/>
      <c r="F768" s="79"/>
      <c r="G768" s="25" t="str">
        <f t="shared" si="34"/>
        <v/>
      </c>
      <c r="H768" s="88"/>
      <c r="I768" s="93"/>
      <c r="J768" s="97"/>
      <c r="K768" s="88"/>
      <c r="L768" s="25" t="str">
        <f>IF($D768="","",SUMIFS($H$4:$H768,$D$4:$D768,$D768)+SUMIFS($I$4:$I768,$D$4:$D768,$D768)-SUMIFS($J$4:$J768,$D$4:$D768,$D768)-SUMIFS($K$4:$K768,$D$4:$D768,$D768))</f>
        <v/>
      </c>
      <c r="M768" s="80"/>
      <c r="N768" s="80"/>
      <c r="O768" s="94"/>
      <c r="P768" s="26" t="str">
        <f t="shared" si="35"/>
        <v/>
      </c>
      <c r="Q768" s="80"/>
      <c r="R768" s="80"/>
      <c r="S768" s="80"/>
      <c r="T768" s="82"/>
      <c r="U768" s="80"/>
      <c r="V768" s="80"/>
      <c r="W768" s="80"/>
    </row>
    <row r="769" ht="18" customHeight="1" spans="1:23">
      <c r="A769" s="87" t="str">
        <f t="shared" si="33"/>
        <v/>
      </c>
      <c r="B769" s="78"/>
      <c r="C769" s="80"/>
      <c r="D769" s="79"/>
      <c r="E769" s="80"/>
      <c r="F769" s="79"/>
      <c r="G769" s="25" t="str">
        <f t="shared" si="34"/>
        <v/>
      </c>
      <c r="H769" s="88"/>
      <c r="I769" s="93"/>
      <c r="J769" s="97"/>
      <c r="K769" s="88"/>
      <c r="L769" s="25" t="str">
        <f>IF($D769="","",SUMIFS($H$4:$H769,$D$4:$D769,$D769)+SUMIFS($I$4:$I769,$D$4:$D769,$D769)-SUMIFS($J$4:$J769,$D$4:$D769,$D769)-SUMIFS($K$4:$K769,$D$4:$D769,$D769))</f>
        <v/>
      </c>
      <c r="M769" s="80"/>
      <c r="N769" s="80"/>
      <c r="O769" s="94"/>
      <c r="P769" s="26" t="str">
        <f t="shared" si="35"/>
        <v/>
      </c>
      <c r="Q769" s="80"/>
      <c r="R769" s="80"/>
      <c r="S769" s="80"/>
      <c r="T769" s="82"/>
      <c r="U769" s="80"/>
      <c r="V769" s="80"/>
      <c r="W769" s="80"/>
    </row>
    <row r="770" ht="18" customHeight="1" spans="1:23">
      <c r="A770" s="87" t="str">
        <f t="shared" si="33"/>
        <v/>
      </c>
      <c r="B770" s="78"/>
      <c r="C770" s="80"/>
      <c r="D770" s="79"/>
      <c r="E770" s="80"/>
      <c r="F770" s="79"/>
      <c r="G770" s="25" t="str">
        <f t="shared" si="34"/>
        <v/>
      </c>
      <c r="H770" s="88"/>
      <c r="I770" s="93"/>
      <c r="J770" s="97"/>
      <c r="K770" s="88"/>
      <c r="L770" s="25" t="str">
        <f>IF($D770="","",SUMIFS($H$4:$H770,$D$4:$D770,$D770)+SUMIFS($I$4:$I770,$D$4:$D770,$D770)-SUMIFS($J$4:$J770,$D$4:$D770,$D770)-SUMIFS($K$4:$K770,$D$4:$D770,$D770))</f>
        <v/>
      </c>
      <c r="M770" s="80"/>
      <c r="N770" s="80"/>
      <c r="O770" s="94"/>
      <c r="P770" s="26" t="str">
        <f t="shared" si="35"/>
        <v/>
      </c>
      <c r="Q770" s="80"/>
      <c r="R770" s="80"/>
      <c r="S770" s="80"/>
      <c r="T770" s="82"/>
      <c r="U770" s="80"/>
      <c r="V770" s="80"/>
      <c r="W770" s="80"/>
    </row>
    <row r="771" ht="18" customHeight="1" spans="1:23">
      <c r="A771" s="87" t="str">
        <f t="shared" si="33"/>
        <v/>
      </c>
      <c r="B771" s="78"/>
      <c r="C771" s="80"/>
      <c r="D771" s="79"/>
      <c r="E771" s="80"/>
      <c r="F771" s="79"/>
      <c r="G771" s="25" t="str">
        <f t="shared" si="34"/>
        <v/>
      </c>
      <c r="H771" s="88"/>
      <c r="I771" s="93"/>
      <c r="J771" s="97"/>
      <c r="K771" s="88"/>
      <c r="L771" s="25" t="str">
        <f>IF($D771="","",SUMIFS($H$4:$H771,$D$4:$D771,$D771)+SUMIFS($I$4:$I771,$D$4:$D771,$D771)-SUMIFS($J$4:$J771,$D$4:$D771,$D771)-SUMIFS($K$4:$K771,$D$4:$D771,$D771))</f>
        <v/>
      </c>
      <c r="M771" s="80"/>
      <c r="N771" s="80"/>
      <c r="O771" s="94"/>
      <c r="P771" s="26" t="str">
        <f t="shared" si="35"/>
        <v/>
      </c>
      <c r="Q771" s="80"/>
      <c r="R771" s="80"/>
      <c r="S771" s="80"/>
      <c r="T771" s="82"/>
      <c r="U771" s="80"/>
      <c r="V771" s="80"/>
      <c r="W771" s="80"/>
    </row>
    <row r="772" ht="18" customHeight="1" spans="1:23">
      <c r="A772" s="87" t="str">
        <f t="shared" si="33"/>
        <v/>
      </c>
      <c r="B772" s="78"/>
      <c r="C772" s="80"/>
      <c r="D772" s="79"/>
      <c r="E772" s="80"/>
      <c r="F772" s="79"/>
      <c r="G772" s="25" t="str">
        <f t="shared" si="34"/>
        <v/>
      </c>
      <c r="H772" s="88"/>
      <c r="I772" s="93"/>
      <c r="J772" s="97"/>
      <c r="K772" s="88"/>
      <c r="L772" s="25" t="str">
        <f>IF($D772="","",SUMIFS($H$4:$H772,$D$4:$D772,$D772)+SUMIFS($I$4:$I772,$D$4:$D772,$D772)-SUMIFS($J$4:$J772,$D$4:$D772,$D772)-SUMIFS($K$4:$K772,$D$4:$D772,$D772))</f>
        <v/>
      </c>
      <c r="M772" s="80"/>
      <c r="N772" s="80"/>
      <c r="O772" s="94"/>
      <c r="P772" s="26" t="str">
        <f t="shared" si="35"/>
        <v/>
      </c>
      <c r="Q772" s="80"/>
      <c r="R772" s="80"/>
      <c r="S772" s="80"/>
      <c r="T772" s="82"/>
      <c r="U772" s="80"/>
      <c r="V772" s="80"/>
      <c r="W772" s="80"/>
    </row>
    <row r="773" ht="18" customHeight="1" spans="1:23">
      <c r="A773" s="87" t="str">
        <f t="shared" ref="A773:A836" si="36">IF($D773="","",ROW()-3)</f>
        <v/>
      </c>
      <c r="B773" s="78"/>
      <c r="C773" s="80"/>
      <c r="D773" s="79"/>
      <c r="E773" s="80"/>
      <c r="F773" s="79"/>
      <c r="G773" s="25" t="str">
        <f t="shared" ref="G773:G836" si="37">IF($D773="","",N($L773)-N($H773)-N($I773)+N($J773)+N($K773))</f>
        <v/>
      </c>
      <c r="H773" s="88"/>
      <c r="I773" s="93"/>
      <c r="J773" s="97"/>
      <c r="K773" s="88"/>
      <c r="L773" s="25" t="str">
        <f>IF($D773="","",SUMIFS($H$4:$H773,$D$4:$D773,$D773)+SUMIFS($I$4:$I773,$D$4:$D773,$D773)-SUMIFS($J$4:$J773,$D$4:$D773,$D773)-SUMIFS($K$4:$K773,$D$4:$D773,$D773))</f>
        <v/>
      </c>
      <c r="M773" s="80"/>
      <c r="N773" s="80"/>
      <c r="O773" s="94"/>
      <c r="P773" s="26" t="str">
        <f t="shared" ref="P773:P836" si="38">IF($D773="","",ROUND((N($H773)+N($K773))*N($O773),2))</f>
        <v/>
      </c>
      <c r="Q773" s="80"/>
      <c r="R773" s="80"/>
      <c r="S773" s="80"/>
      <c r="T773" s="82"/>
      <c r="U773" s="80"/>
      <c r="V773" s="80"/>
      <c r="W773" s="80"/>
    </row>
    <row r="774" ht="18" customHeight="1" spans="1:23">
      <c r="A774" s="87" t="str">
        <f t="shared" si="36"/>
        <v/>
      </c>
      <c r="B774" s="78"/>
      <c r="C774" s="80"/>
      <c r="D774" s="79"/>
      <c r="E774" s="80"/>
      <c r="F774" s="79"/>
      <c r="G774" s="25" t="str">
        <f t="shared" si="37"/>
        <v/>
      </c>
      <c r="H774" s="88"/>
      <c r="I774" s="93"/>
      <c r="J774" s="97"/>
      <c r="K774" s="88"/>
      <c r="L774" s="25" t="str">
        <f>IF($D774="","",SUMIFS($H$4:$H774,$D$4:$D774,$D774)+SUMIFS($I$4:$I774,$D$4:$D774,$D774)-SUMIFS($J$4:$J774,$D$4:$D774,$D774)-SUMIFS($K$4:$K774,$D$4:$D774,$D774))</f>
        <v/>
      </c>
      <c r="M774" s="80"/>
      <c r="N774" s="80"/>
      <c r="O774" s="94"/>
      <c r="P774" s="26" t="str">
        <f t="shared" si="38"/>
        <v/>
      </c>
      <c r="Q774" s="80"/>
      <c r="R774" s="80"/>
      <c r="S774" s="80"/>
      <c r="T774" s="82"/>
      <c r="U774" s="80"/>
      <c r="V774" s="80"/>
      <c r="W774" s="80"/>
    </row>
    <row r="775" ht="18" customHeight="1" spans="1:23">
      <c r="A775" s="87" t="str">
        <f t="shared" si="36"/>
        <v/>
      </c>
      <c r="B775" s="78"/>
      <c r="C775" s="80"/>
      <c r="D775" s="79"/>
      <c r="E775" s="80"/>
      <c r="F775" s="79"/>
      <c r="G775" s="25" t="str">
        <f t="shared" si="37"/>
        <v/>
      </c>
      <c r="H775" s="88"/>
      <c r="I775" s="93"/>
      <c r="J775" s="97"/>
      <c r="K775" s="88"/>
      <c r="L775" s="25" t="str">
        <f>IF($D775="","",SUMIFS($H$4:$H775,$D$4:$D775,$D775)+SUMIFS($I$4:$I775,$D$4:$D775,$D775)-SUMIFS($J$4:$J775,$D$4:$D775,$D775)-SUMIFS($K$4:$K775,$D$4:$D775,$D775))</f>
        <v/>
      </c>
      <c r="M775" s="80"/>
      <c r="N775" s="80"/>
      <c r="O775" s="94"/>
      <c r="P775" s="26" t="str">
        <f t="shared" si="38"/>
        <v/>
      </c>
      <c r="Q775" s="80"/>
      <c r="R775" s="80"/>
      <c r="S775" s="80"/>
      <c r="T775" s="82"/>
      <c r="U775" s="80"/>
      <c r="V775" s="80"/>
      <c r="W775" s="80"/>
    </row>
    <row r="776" ht="18" customHeight="1" spans="1:23">
      <c r="A776" s="87" t="str">
        <f t="shared" si="36"/>
        <v/>
      </c>
      <c r="B776" s="78"/>
      <c r="C776" s="80"/>
      <c r="D776" s="79"/>
      <c r="E776" s="80"/>
      <c r="F776" s="79"/>
      <c r="G776" s="25" t="str">
        <f t="shared" si="37"/>
        <v/>
      </c>
      <c r="H776" s="88"/>
      <c r="I776" s="93"/>
      <c r="J776" s="97"/>
      <c r="K776" s="88"/>
      <c r="L776" s="25" t="str">
        <f>IF($D776="","",SUMIFS($H$4:$H776,$D$4:$D776,$D776)+SUMIFS($I$4:$I776,$D$4:$D776,$D776)-SUMIFS($J$4:$J776,$D$4:$D776,$D776)-SUMIFS($K$4:$K776,$D$4:$D776,$D776))</f>
        <v/>
      </c>
      <c r="M776" s="80"/>
      <c r="N776" s="80"/>
      <c r="O776" s="94"/>
      <c r="P776" s="26" t="str">
        <f t="shared" si="38"/>
        <v/>
      </c>
      <c r="Q776" s="80"/>
      <c r="R776" s="80"/>
      <c r="S776" s="80"/>
      <c r="T776" s="82"/>
      <c r="U776" s="80"/>
      <c r="V776" s="80"/>
      <c r="W776" s="80"/>
    </row>
    <row r="777" ht="18" customHeight="1" spans="1:23">
      <c r="A777" s="87" t="str">
        <f t="shared" si="36"/>
        <v/>
      </c>
      <c r="B777" s="78"/>
      <c r="C777" s="80"/>
      <c r="D777" s="79"/>
      <c r="E777" s="80"/>
      <c r="F777" s="79"/>
      <c r="G777" s="25" t="str">
        <f t="shared" si="37"/>
        <v/>
      </c>
      <c r="H777" s="88"/>
      <c r="I777" s="93"/>
      <c r="J777" s="97"/>
      <c r="K777" s="88"/>
      <c r="L777" s="25" t="str">
        <f>IF($D777="","",SUMIFS($H$4:$H777,$D$4:$D777,$D777)+SUMIFS($I$4:$I777,$D$4:$D777,$D777)-SUMIFS($J$4:$J777,$D$4:$D777,$D777)-SUMIFS($K$4:$K777,$D$4:$D777,$D777))</f>
        <v/>
      </c>
      <c r="M777" s="80"/>
      <c r="N777" s="80"/>
      <c r="O777" s="94"/>
      <c r="P777" s="26" t="str">
        <f t="shared" si="38"/>
        <v/>
      </c>
      <c r="Q777" s="80"/>
      <c r="R777" s="80"/>
      <c r="S777" s="80"/>
      <c r="T777" s="82"/>
      <c r="U777" s="80"/>
      <c r="V777" s="80"/>
      <c r="W777" s="80"/>
    </row>
    <row r="778" ht="18" customHeight="1" spans="1:23">
      <c r="A778" s="87" t="str">
        <f t="shared" si="36"/>
        <v/>
      </c>
      <c r="B778" s="78"/>
      <c r="C778" s="80"/>
      <c r="D778" s="79"/>
      <c r="E778" s="80"/>
      <c r="F778" s="79"/>
      <c r="G778" s="25" t="str">
        <f t="shared" si="37"/>
        <v/>
      </c>
      <c r="H778" s="88"/>
      <c r="I778" s="93"/>
      <c r="J778" s="97"/>
      <c r="K778" s="88"/>
      <c r="L778" s="25" t="str">
        <f>IF($D778="","",SUMIFS($H$4:$H778,$D$4:$D778,$D778)+SUMIFS($I$4:$I778,$D$4:$D778,$D778)-SUMIFS($J$4:$J778,$D$4:$D778,$D778)-SUMIFS($K$4:$K778,$D$4:$D778,$D778))</f>
        <v/>
      </c>
      <c r="M778" s="80"/>
      <c r="N778" s="80"/>
      <c r="O778" s="94"/>
      <c r="P778" s="26" t="str">
        <f t="shared" si="38"/>
        <v/>
      </c>
      <c r="Q778" s="80"/>
      <c r="R778" s="80"/>
      <c r="S778" s="80"/>
      <c r="T778" s="82"/>
      <c r="U778" s="80"/>
      <c r="V778" s="80"/>
      <c r="W778" s="80"/>
    </row>
    <row r="779" ht="18" customHeight="1" spans="1:23">
      <c r="A779" s="87" t="str">
        <f t="shared" si="36"/>
        <v/>
      </c>
      <c r="B779" s="78"/>
      <c r="C779" s="80"/>
      <c r="D779" s="79"/>
      <c r="E779" s="80"/>
      <c r="F779" s="79"/>
      <c r="G779" s="25" t="str">
        <f t="shared" si="37"/>
        <v/>
      </c>
      <c r="H779" s="88"/>
      <c r="I779" s="93"/>
      <c r="J779" s="97"/>
      <c r="K779" s="88"/>
      <c r="L779" s="25" t="str">
        <f>IF($D779="","",SUMIFS($H$4:$H779,$D$4:$D779,$D779)+SUMIFS($I$4:$I779,$D$4:$D779,$D779)-SUMIFS($J$4:$J779,$D$4:$D779,$D779)-SUMIFS($K$4:$K779,$D$4:$D779,$D779))</f>
        <v/>
      </c>
      <c r="M779" s="80"/>
      <c r="N779" s="80"/>
      <c r="O779" s="94"/>
      <c r="P779" s="26" t="str">
        <f t="shared" si="38"/>
        <v/>
      </c>
      <c r="Q779" s="80"/>
      <c r="R779" s="80"/>
      <c r="S779" s="80"/>
      <c r="T779" s="82"/>
      <c r="U779" s="80"/>
      <c r="V779" s="80"/>
      <c r="W779" s="80"/>
    </row>
    <row r="780" ht="18" customHeight="1" spans="1:23">
      <c r="A780" s="87" t="str">
        <f t="shared" si="36"/>
        <v/>
      </c>
      <c r="B780" s="78"/>
      <c r="C780" s="80"/>
      <c r="D780" s="79"/>
      <c r="E780" s="80"/>
      <c r="F780" s="79"/>
      <c r="G780" s="25" t="str">
        <f t="shared" si="37"/>
        <v/>
      </c>
      <c r="H780" s="88"/>
      <c r="I780" s="93"/>
      <c r="J780" s="97"/>
      <c r="K780" s="88"/>
      <c r="L780" s="25" t="str">
        <f>IF($D780="","",SUMIFS($H$4:$H780,$D$4:$D780,$D780)+SUMIFS($I$4:$I780,$D$4:$D780,$D780)-SUMIFS($J$4:$J780,$D$4:$D780,$D780)-SUMIFS($K$4:$K780,$D$4:$D780,$D780))</f>
        <v/>
      </c>
      <c r="M780" s="80"/>
      <c r="N780" s="80"/>
      <c r="O780" s="94"/>
      <c r="P780" s="26" t="str">
        <f t="shared" si="38"/>
        <v/>
      </c>
      <c r="Q780" s="80"/>
      <c r="R780" s="80"/>
      <c r="S780" s="80"/>
      <c r="T780" s="82"/>
      <c r="U780" s="80"/>
      <c r="V780" s="80"/>
      <c r="W780" s="80"/>
    </row>
    <row r="781" ht="18" customHeight="1" spans="1:23">
      <c r="A781" s="87" t="str">
        <f t="shared" si="36"/>
        <v/>
      </c>
      <c r="B781" s="78"/>
      <c r="C781" s="80"/>
      <c r="D781" s="79"/>
      <c r="E781" s="80"/>
      <c r="F781" s="79"/>
      <c r="G781" s="25" t="str">
        <f t="shared" si="37"/>
        <v/>
      </c>
      <c r="H781" s="88"/>
      <c r="I781" s="93"/>
      <c r="J781" s="97"/>
      <c r="K781" s="88"/>
      <c r="L781" s="25" t="str">
        <f>IF($D781="","",SUMIFS($H$4:$H781,$D$4:$D781,$D781)+SUMIFS($I$4:$I781,$D$4:$D781,$D781)-SUMIFS($J$4:$J781,$D$4:$D781,$D781)-SUMIFS($K$4:$K781,$D$4:$D781,$D781))</f>
        <v/>
      </c>
      <c r="M781" s="80"/>
      <c r="N781" s="80"/>
      <c r="O781" s="94"/>
      <c r="P781" s="26" t="str">
        <f t="shared" si="38"/>
        <v/>
      </c>
      <c r="Q781" s="80"/>
      <c r="R781" s="80"/>
      <c r="S781" s="80"/>
      <c r="T781" s="82"/>
      <c r="U781" s="80"/>
      <c r="V781" s="80"/>
      <c r="W781" s="80"/>
    </row>
    <row r="782" ht="18" customHeight="1" spans="1:23">
      <c r="A782" s="87" t="str">
        <f t="shared" si="36"/>
        <v/>
      </c>
      <c r="B782" s="78"/>
      <c r="C782" s="80"/>
      <c r="D782" s="79"/>
      <c r="E782" s="80"/>
      <c r="F782" s="79"/>
      <c r="G782" s="25" t="str">
        <f t="shared" si="37"/>
        <v/>
      </c>
      <c r="H782" s="88"/>
      <c r="I782" s="93"/>
      <c r="J782" s="97"/>
      <c r="K782" s="88"/>
      <c r="L782" s="25" t="str">
        <f>IF($D782="","",SUMIFS($H$4:$H782,$D$4:$D782,$D782)+SUMIFS($I$4:$I782,$D$4:$D782,$D782)-SUMIFS($J$4:$J782,$D$4:$D782,$D782)-SUMIFS($K$4:$K782,$D$4:$D782,$D782))</f>
        <v/>
      </c>
      <c r="M782" s="80"/>
      <c r="N782" s="80"/>
      <c r="O782" s="94"/>
      <c r="P782" s="26" t="str">
        <f t="shared" si="38"/>
        <v/>
      </c>
      <c r="Q782" s="80"/>
      <c r="R782" s="80"/>
      <c r="S782" s="80"/>
      <c r="T782" s="82"/>
      <c r="U782" s="80"/>
      <c r="V782" s="80"/>
      <c r="W782" s="80"/>
    </row>
    <row r="783" ht="18" customHeight="1" spans="1:23">
      <c r="A783" s="87" t="str">
        <f t="shared" si="36"/>
        <v/>
      </c>
      <c r="B783" s="78"/>
      <c r="C783" s="80"/>
      <c r="D783" s="79"/>
      <c r="E783" s="80"/>
      <c r="F783" s="79"/>
      <c r="G783" s="25" t="str">
        <f t="shared" si="37"/>
        <v/>
      </c>
      <c r="H783" s="88"/>
      <c r="I783" s="93"/>
      <c r="J783" s="97"/>
      <c r="K783" s="88"/>
      <c r="L783" s="25" t="str">
        <f>IF($D783="","",SUMIFS($H$4:$H783,$D$4:$D783,$D783)+SUMIFS($I$4:$I783,$D$4:$D783,$D783)-SUMIFS($J$4:$J783,$D$4:$D783,$D783)-SUMIFS($K$4:$K783,$D$4:$D783,$D783))</f>
        <v/>
      </c>
      <c r="M783" s="80"/>
      <c r="N783" s="80"/>
      <c r="O783" s="94"/>
      <c r="P783" s="26" t="str">
        <f t="shared" si="38"/>
        <v/>
      </c>
      <c r="Q783" s="80"/>
      <c r="R783" s="80"/>
      <c r="S783" s="80"/>
      <c r="T783" s="82"/>
      <c r="U783" s="80"/>
      <c r="V783" s="80"/>
      <c r="W783" s="80"/>
    </row>
    <row r="784" ht="18" customHeight="1" spans="1:23">
      <c r="A784" s="87" t="str">
        <f t="shared" si="36"/>
        <v/>
      </c>
      <c r="B784" s="78"/>
      <c r="C784" s="80"/>
      <c r="D784" s="79"/>
      <c r="E784" s="80"/>
      <c r="F784" s="79"/>
      <c r="G784" s="25" t="str">
        <f t="shared" si="37"/>
        <v/>
      </c>
      <c r="H784" s="88"/>
      <c r="I784" s="93"/>
      <c r="J784" s="97"/>
      <c r="K784" s="88"/>
      <c r="L784" s="25" t="str">
        <f>IF($D784="","",SUMIFS($H$4:$H784,$D$4:$D784,$D784)+SUMIFS($I$4:$I784,$D$4:$D784,$D784)-SUMIFS($J$4:$J784,$D$4:$D784,$D784)-SUMIFS($K$4:$K784,$D$4:$D784,$D784))</f>
        <v/>
      </c>
      <c r="M784" s="80"/>
      <c r="N784" s="80"/>
      <c r="O784" s="94"/>
      <c r="P784" s="26" t="str">
        <f t="shared" si="38"/>
        <v/>
      </c>
      <c r="Q784" s="80"/>
      <c r="R784" s="80"/>
      <c r="S784" s="80"/>
      <c r="T784" s="82"/>
      <c r="U784" s="80"/>
      <c r="V784" s="80"/>
      <c r="W784" s="80"/>
    </row>
    <row r="785" ht="18" customHeight="1" spans="1:23">
      <c r="A785" s="87" t="str">
        <f t="shared" si="36"/>
        <v/>
      </c>
      <c r="B785" s="78"/>
      <c r="C785" s="80"/>
      <c r="D785" s="79"/>
      <c r="E785" s="80"/>
      <c r="F785" s="79"/>
      <c r="G785" s="25" t="str">
        <f t="shared" si="37"/>
        <v/>
      </c>
      <c r="H785" s="88"/>
      <c r="I785" s="93"/>
      <c r="J785" s="97"/>
      <c r="K785" s="88"/>
      <c r="L785" s="25" t="str">
        <f>IF($D785="","",SUMIFS($H$4:$H785,$D$4:$D785,$D785)+SUMIFS($I$4:$I785,$D$4:$D785,$D785)-SUMIFS($J$4:$J785,$D$4:$D785,$D785)-SUMIFS($K$4:$K785,$D$4:$D785,$D785))</f>
        <v/>
      </c>
      <c r="M785" s="80"/>
      <c r="N785" s="80"/>
      <c r="O785" s="94"/>
      <c r="P785" s="26" t="str">
        <f t="shared" si="38"/>
        <v/>
      </c>
      <c r="Q785" s="80"/>
      <c r="R785" s="80"/>
      <c r="S785" s="80"/>
      <c r="T785" s="82"/>
      <c r="U785" s="80"/>
      <c r="V785" s="80"/>
      <c r="W785" s="80"/>
    </row>
    <row r="786" ht="18" customHeight="1" spans="1:23">
      <c r="A786" s="87" t="str">
        <f t="shared" si="36"/>
        <v/>
      </c>
      <c r="B786" s="78"/>
      <c r="C786" s="80"/>
      <c r="D786" s="79"/>
      <c r="E786" s="80"/>
      <c r="F786" s="79"/>
      <c r="G786" s="25" t="str">
        <f t="shared" si="37"/>
        <v/>
      </c>
      <c r="H786" s="88"/>
      <c r="I786" s="93"/>
      <c r="J786" s="97"/>
      <c r="K786" s="88"/>
      <c r="L786" s="25" t="str">
        <f>IF($D786="","",SUMIFS($H$4:$H786,$D$4:$D786,$D786)+SUMIFS($I$4:$I786,$D$4:$D786,$D786)-SUMIFS($J$4:$J786,$D$4:$D786,$D786)-SUMIFS($K$4:$K786,$D$4:$D786,$D786))</f>
        <v/>
      </c>
      <c r="M786" s="80"/>
      <c r="N786" s="80"/>
      <c r="O786" s="94"/>
      <c r="P786" s="26" t="str">
        <f t="shared" si="38"/>
        <v/>
      </c>
      <c r="Q786" s="80"/>
      <c r="R786" s="80"/>
      <c r="S786" s="80"/>
      <c r="T786" s="82"/>
      <c r="U786" s="80"/>
      <c r="V786" s="80"/>
      <c r="W786" s="80"/>
    </row>
    <row r="787" ht="18" customHeight="1" spans="1:23">
      <c r="A787" s="87" t="str">
        <f t="shared" si="36"/>
        <v/>
      </c>
      <c r="B787" s="78"/>
      <c r="C787" s="80"/>
      <c r="D787" s="79"/>
      <c r="E787" s="80"/>
      <c r="F787" s="79"/>
      <c r="G787" s="25" t="str">
        <f t="shared" si="37"/>
        <v/>
      </c>
      <c r="H787" s="88"/>
      <c r="I787" s="93"/>
      <c r="J787" s="97"/>
      <c r="K787" s="88"/>
      <c r="L787" s="25" t="str">
        <f>IF($D787="","",SUMIFS($H$4:$H787,$D$4:$D787,$D787)+SUMIFS($I$4:$I787,$D$4:$D787,$D787)-SUMIFS($J$4:$J787,$D$4:$D787,$D787)-SUMIFS($K$4:$K787,$D$4:$D787,$D787))</f>
        <v/>
      </c>
      <c r="M787" s="80"/>
      <c r="N787" s="80"/>
      <c r="O787" s="94"/>
      <c r="P787" s="26" t="str">
        <f t="shared" si="38"/>
        <v/>
      </c>
      <c r="Q787" s="80"/>
      <c r="R787" s="80"/>
      <c r="S787" s="80"/>
      <c r="T787" s="82"/>
      <c r="U787" s="80"/>
      <c r="V787" s="80"/>
      <c r="W787" s="80"/>
    </row>
    <row r="788" ht="18" customHeight="1" spans="1:23">
      <c r="A788" s="87" t="str">
        <f t="shared" si="36"/>
        <v/>
      </c>
      <c r="B788" s="78"/>
      <c r="C788" s="80"/>
      <c r="D788" s="79"/>
      <c r="E788" s="80"/>
      <c r="F788" s="79"/>
      <c r="G788" s="25" t="str">
        <f t="shared" si="37"/>
        <v/>
      </c>
      <c r="H788" s="88"/>
      <c r="I788" s="93"/>
      <c r="J788" s="97"/>
      <c r="K788" s="88"/>
      <c r="L788" s="25" t="str">
        <f>IF($D788="","",SUMIFS($H$4:$H788,$D$4:$D788,$D788)+SUMIFS($I$4:$I788,$D$4:$D788,$D788)-SUMIFS($J$4:$J788,$D$4:$D788,$D788)-SUMIFS($K$4:$K788,$D$4:$D788,$D788))</f>
        <v/>
      </c>
      <c r="M788" s="80"/>
      <c r="N788" s="80"/>
      <c r="O788" s="94"/>
      <c r="P788" s="26" t="str">
        <f t="shared" si="38"/>
        <v/>
      </c>
      <c r="Q788" s="80"/>
      <c r="R788" s="80"/>
      <c r="S788" s="80"/>
      <c r="T788" s="82"/>
      <c r="U788" s="80"/>
      <c r="V788" s="80"/>
      <c r="W788" s="80"/>
    </row>
    <row r="789" ht="18" customHeight="1" spans="1:23">
      <c r="A789" s="87" t="str">
        <f t="shared" si="36"/>
        <v/>
      </c>
      <c r="B789" s="78"/>
      <c r="C789" s="80"/>
      <c r="D789" s="79"/>
      <c r="E789" s="80"/>
      <c r="F789" s="79"/>
      <c r="G789" s="25" t="str">
        <f t="shared" si="37"/>
        <v/>
      </c>
      <c r="H789" s="88"/>
      <c r="I789" s="93"/>
      <c r="J789" s="97"/>
      <c r="K789" s="88"/>
      <c r="L789" s="25" t="str">
        <f>IF($D789="","",SUMIFS($H$4:$H789,$D$4:$D789,$D789)+SUMIFS($I$4:$I789,$D$4:$D789,$D789)-SUMIFS($J$4:$J789,$D$4:$D789,$D789)-SUMIFS($K$4:$K789,$D$4:$D789,$D789))</f>
        <v/>
      </c>
      <c r="M789" s="80"/>
      <c r="N789" s="80"/>
      <c r="O789" s="94"/>
      <c r="P789" s="26" t="str">
        <f t="shared" si="38"/>
        <v/>
      </c>
      <c r="Q789" s="80"/>
      <c r="R789" s="80"/>
      <c r="S789" s="80"/>
      <c r="T789" s="82"/>
      <c r="U789" s="80"/>
      <c r="V789" s="80"/>
      <c r="W789" s="80"/>
    </row>
    <row r="790" ht="18" customHeight="1" spans="1:23">
      <c r="A790" s="87" t="str">
        <f t="shared" si="36"/>
        <v/>
      </c>
      <c r="B790" s="78"/>
      <c r="C790" s="80"/>
      <c r="D790" s="79"/>
      <c r="E790" s="80"/>
      <c r="F790" s="79"/>
      <c r="G790" s="25" t="str">
        <f t="shared" si="37"/>
        <v/>
      </c>
      <c r="H790" s="88"/>
      <c r="I790" s="93"/>
      <c r="J790" s="97"/>
      <c r="K790" s="88"/>
      <c r="L790" s="25" t="str">
        <f>IF($D790="","",SUMIFS($H$4:$H790,$D$4:$D790,$D790)+SUMIFS($I$4:$I790,$D$4:$D790,$D790)-SUMIFS($J$4:$J790,$D$4:$D790,$D790)-SUMIFS($K$4:$K790,$D$4:$D790,$D790))</f>
        <v/>
      </c>
      <c r="M790" s="80"/>
      <c r="N790" s="80"/>
      <c r="O790" s="94"/>
      <c r="P790" s="26" t="str">
        <f t="shared" si="38"/>
        <v/>
      </c>
      <c r="Q790" s="80"/>
      <c r="R790" s="80"/>
      <c r="S790" s="80"/>
      <c r="T790" s="82"/>
      <c r="U790" s="80"/>
      <c r="V790" s="80"/>
      <c r="W790" s="80"/>
    </row>
    <row r="791" ht="18" customHeight="1" spans="1:23">
      <c r="A791" s="87" t="str">
        <f t="shared" si="36"/>
        <v/>
      </c>
      <c r="B791" s="78"/>
      <c r="C791" s="80"/>
      <c r="D791" s="79"/>
      <c r="E791" s="80"/>
      <c r="F791" s="79"/>
      <c r="G791" s="25" t="str">
        <f t="shared" si="37"/>
        <v/>
      </c>
      <c r="H791" s="88"/>
      <c r="I791" s="93"/>
      <c r="J791" s="97"/>
      <c r="K791" s="88"/>
      <c r="L791" s="25" t="str">
        <f>IF($D791="","",SUMIFS($H$4:$H791,$D$4:$D791,$D791)+SUMIFS($I$4:$I791,$D$4:$D791,$D791)-SUMIFS($J$4:$J791,$D$4:$D791,$D791)-SUMIFS($K$4:$K791,$D$4:$D791,$D791))</f>
        <v/>
      </c>
      <c r="M791" s="80"/>
      <c r="N791" s="80"/>
      <c r="O791" s="94"/>
      <c r="P791" s="26" t="str">
        <f t="shared" si="38"/>
        <v/>
      </c>
      <c r="Q791" s="80"/>
      <c r="R791" s="80"/>
      <c r="S791" s="80"/>
      <c r="T791" s="82"/>
      <c r="U791" s="80"/>
      <c r="V791" s="80"/>
      <c r="W791" s="80"/>
    </row>
    <row r="792" ht="18" customHeight="1" spans="1:23">
      <c r="A792" s="87" t="str">
        <f t="shared" si="36"/>
        <v/>
      </c>
      <c r="B792" s="78"/>
      <c r="C792" s="80"/>
      <c r="D792" s="79"/>
      <c r="E792" s="80"/>
      <c r="F792" s="79"/>
      <c r="G792" s="25" t="str">
        <f t="shared" si="37"/>
        <v/>
      </c>
      <c r="H792" s="88"/>
      <c r="I792" s="93"/>
      <c r="J792" s="97"/>
      <c r="K792" s="88"/>
      <c r="L792" s="25" t="str">
        <f>IF($D792="","",SUMIFS($H$4:$H792,$D$4:$D792,$D792)+SUMIFS($I$4:$I792,$D$4:$D792,$D792)-SUMIFS($J$4:$J792,$D$4:$D792,$D792)-SUMIFS($K$4:$K792,$D$4:$D792,$D792))</f>
        <v/>
      </c>
      <c r="M792" s="80"/>
      <c r="N792" s="80"/>
      <c r="O792" s="94"/>
      <c r="P792" s="26" t="str">
        <f t="shared" si="38"/>
        <v/>
      </c>
      <c r="Q792" s="80"/>
      <c r="R792" s="80"/>
      <c r="S792" s="80"/>
      <c r="T792" s="82"/>
      <c r="U792" s="80"/>
      <c r="V792" s="80"/>
      <c r="W792" s="80"/>
    </row>
    <row r="793" ht="18" customHeight="1" spans="1:23">
      <c r="A793" s="87" t="str">
        <f t="shared" si="36"/>
        <v/>
      </c>
      <c r="B793" s="78"/>
      <c r="C793" s="80"/>
      <c r="D793" s="79"/>
      <c r="E793" s="80"/>
      <c r="F793" s="79"/>
      <c r="G793" s="25" t="str">
        <f t="shared" si="37"/>
        <v/>
      </c>
      <c r="H793" s="88"/>
      <c r="I793" s="93"/>
      <c r="J793" s="97"/>
      <c r="K793" s="88"/>
      <c r="L793" s="25" t="str">
        <f>IF($D793="","",SUMIFS($H$4:$H793,$D$4:$D793,$D793)+SUMIFS($I$4:$I793,$D$4:$D793,$D793)-SUMIFS($J$4:$J793,$D$4:$D793,$D793)-SUMIFS($K$4:$K793,$D$4:$D793,$D793))</f>
        <v/>
      </c>
      <c r="M793" s="80"/>
      <c r="N793" s="80"/>
      <c r="O793" s="94"/>
      <c r="P793" s="26" t="str">
        <f t="shared" si="38"/>
        <v/>
      </c>
      <c r="Q793" s="80"/>
      <c r="R793" s="80"/>
      <c r="S793" s="80"/>
      <c r="T793" s="82"/>
      <c r="U793" s="80"/>
      <c r="V793" s="80"/>
      <c r="W793" s="80"/>
    </row>
    <row r="794" ht="18" customHeight="1" spans="1:23">
      <c r="A794" s="87" t="str">
        <f t="shared" si="36"/>
        <v/>
      </c>
      <c r="B794" s="78"/>
      <c r="C794" s="80"/>
      <c r="D794" s="79"/>
      <c r="E794" s="80"/>
      <c r="F794" s="79"/>
      <c r="G794" s="25" t="str">
        <f t="shared" si="37"/>
        <v/>
      </c>
      <c r="H794" s="88"/>
      <c r="I794" s="93"/>
      <c r="J794" s="97"/>
      <c r="K794" s="88"/>
      <c r="L794" s="25" t="str">
        <f>IF($D794="","",SUMIFS($H$4:$H794,$D$4:$D794,$D794)+SUMIFS($I$4:$I794,$D$4:$D794,$D794)-SUMIFS($J$4:$J794,$D$4:$D794,$D794)-SUMIFS($K$4:$K794,$D$4:$D794,$D794))</f>
        <v/>
      </c>
      <c r="M794" s="80"/>
      <c r="N794" s="80"/>
      <c r="O794" s="94"/>
      <c r="P794" s="26" t="str">
        <f t="shared" si="38"/>
        <v/>
      </c>
      <c r="Q794" s="80"/>
      <c r="R794" s="80"/>
      <c r="S794" s="80"/>
      <c r="T794" s="82"/>
      <c r="U794" s="80"/>
      <c r="V794" s="80"/>
      <c r="W794" s="80"/>
    </row>
    <row r="795" ht="18" customHeight="1" spans="1:23">
      <c r="A795" s="87" t="str">
        <f t="shared" si="36"/>
        <v/>
      </c>
      <c r="B795" s="78"/>
      <c r="C795" s="80"/>
      <c r="D795" s="79"/>
      <c r="E795" s="80"/>
      <c r="F795" s="79"/>
      <c r="G795" s="25" t="str">
        <f t="shared" si="37"/>
        <v/>
      </c>
      <c r="H795" s="88"/>
      <c r="I795" s="93"/>
      <c r="J795" s="97"/>
      <c r="K795" s="88"/>
      <c r="L795" s="25" t="str">
        <f>IF($D795="","",SUMIFS($H$4:$H795,$D$4:$D795,$D795)+SUMIFS($I$4:$I795,$D$4:$D795,$D795)-SUMIFS($J$4:$J795,$D$4:$D795,$D795)-SUMIFS($K$4:$K795,$D$4:$D795,$D795))</f>
        <v/>
      </c>
      <c r="M795" s="80"/>
      <c r="N795" s="80"/>
      <c r="O795" s="94"/>
      <c r="P795" s="26" t="str">
        <f t="shared" si="38"/>
        <v/>
      </c>
      <c r="Q795" s="80"/>
      <c r="R795" s="80"/>
      <c r="S795" s="80"/>
      <c r="T795" s="82"/>
      <c r="U795" s="80"/>
      <c r="V795" s="80"/>
      <c r="W795" s="80"/>
    </row>
    <row r="796" ht="18" customHeight="1" spans="1:23">
      <c r="A796" s="87" t="str">
        <f t="shared" si="36"/>
        <v/>
      </c>
      <c r="B796" s="78"/>
      <c r="C796" s="80"/>
      <c r="D796" s="79"/>
      <c r="E796" s="80"/>
      <c r="F796" s="79"/>
      <c r="G796" s="25" t="str">
        <f t="shared" si="37"/>
        <v/>
      </c>
      <c r="H796" s="88"/>
      <c r="I796" s="93"/>
      <c r="J796" s="97"/>
      <c r="K796" s="88"/>
      <c r="L796" s="25" t="str">
        <f>IF($D796="","",SUMIFS($H$4:$H796,$D$4:$D796,$D796)+SUMIFS($I$4:$I796,$D$4:$D796,$D796)-SUMIFS($J$4:$J796,$D$4:$D796,$D796)-SUMIFS($K$4:$K796,$D$4:$D796,$D796))</f>
        <v/>
      </c>
      <c r="M796" s="80"/>
      <c r="N796" s="80"/>
      <c r="O796" s="94"/>
      <c r="P796" s="26" t="str">
        <f t="shared" si="38"/>
        <v/>
      </c>
      <c r="Q796" s="80"/>
      <c r="R796" s="80"/>
      <c r="S796" s="80"/>
      <c r="T796" s="82"/>
      <c r="U796" s="80"/>
      <c r="V796" s="80"/>
      <c r="W796" s="80"/>
    </row>
    <row r="797" ht="18" customHeight="1" spans="1:23">
      <c r="A797" s="87" t="str">
        <f t="shared" si="36"/>
        <v/>
      </c>
      <c r="B797" s="78"/>
      <c r="C797" s="80"/>
      <c r="D797" s="79"/>
      <c r="E797" s="80"/>
      <c r="F797" s="79"/>
      <c r="G797" s="25" t="str">
        <f t="shared" si="37"/>
        <v/>
      </c>
      <c r="H797" s="88"/>
      <c r="I797" s="93"/>
      <c r="J797" s="97"/>
      <c r="K797" s="88"/>
      <c r="L797" s="25" t="str">
        <f>IF($D797="","",SUMIFS($H$4:$H797,$D$4:$D797,$D797)+SUMIFS($I$4:$I797,$D$4:$D797,$D797)-SUMIFS($J$4:$J797,$D$4:$D797,$D797)-SUMIFS($K$4:$K797,$D$4:$D797,$D797))</f>
        <v/>
      </c>
      <c r="M797" s="80"/>
      <c r="N797" s="80"/>
      <c r="O797" s="94"/>
      <c r="P797" s="26" t="str">
        <f t="shared" si="38"/>
        <v/>
      </c>
      <c r="Q797" s="80"/>
      <c r="R797" s="80"/>
      <c r="S797" s="80"/>
      <c r="T797" s="82"/>
      <c r="U797" s="80"/>
      <c r="V797" s="80"/>
      <c r="W797" s="80"/>
    </row>
    <row r="798" ht="18" customHeight="1" spans="1:23">
      <c r="A798" s="87" t="str">
        <f t="shared" si="36"/>
        <v/>
      </c>
      <c r="B798" s="78"/>
      <c r="C798" s="80"/>
      <c r="D798" s="79"/>
      <c r="E798" s="80"/>
      <c r="F798" s="79"/>
      <c r="G798" s="25" t="str">
        <f t="shared" si="37"/>
        <v/>
      </c>
      <c r="H798" s="88"/>
      <c r="I798" s="93"/>
      <c r="J798" s="97"/>
      <c r="K798" s="88"/>
      <c r="L798" s="25" t="str">
        <f>IF($D798="","",SUMIFS($H$4:$H798,$D$4:$D798,$D798)+SUMIFS($I$4:$I798,$D$4:$D798,$D798)-SUMIFS($J$4:$J798,$D$4:$D798,$D798)-SUMIFS($K$4:$K798,$D$4:$D798,$D798))</f>
        <v/>
      </c>
      <c r="M798" s="80"/>
      <c r="N798" s="80"/>
      <c r="O798" s="94"/>
      <c r="P798" s="26" t="str">
        <f t="shared" si="38"/>
        <v/>
      </c>
      <c r="Q798" s="80"/>
      <c r="R798" s="80"/>
      <c r="S798" s="80"/>
      <c r="T798" s="82"/>
      <c r="U798" s="80"/>
      <c r="V798" s="80"/>
      <c r="W798" s="80"/>
    </row>
    <row r="799" ht="18" customHeight="1" spans="1:23">
      <c r="A799" s="87" t="str">
        <f t="shared" si="36"/>
        <v/>
      </c>
      <c r="B799" s="78"/>
      <c r="C799" s="80"/>
      <c r="D799" s="79"/>
      <c r="E799" s="80"/>
      <c r="F799" s="79"/>
      <c r="G799" s="25" t="str">
        <f t="shared" si="37"/>
        <v/>
      </c>
      <c r="H799" s="88"/>
      <c r="I799" s="93"/>
      <c r="J799" s="97"/>
      <c r="K799" s="88"/>
      <c r="L799" s="25" t="str">
        <f>IF($D799="","",SUMIFS($H$4:$H799,$D$4:$D799,$D799)+SUMIFS($I$4:$I799,$D$4:$D799,$D799)-SUMIFS($J$4:$J799,$D$4:$D799,$D799)-SUMIFS($K$4:$K799,$D$4:$D799,$D799))</f>
        <v/>
      </c>
      <c r="M799" s="80"/>
      <c r="N799" s="80"/>
      <c r="O799" s="94"/>
      <c r="P799" s="26" t="str">
        <f t="shared" si="38"/>
        <v/>
      </c>
      <c r="Q799" s="80"/>
      <c r="R799" s="80"/>
      <c r="S799" s="80"/>
      <c r="T799" s="82"/>
      <c r="U799" s="80"/>
      <c r="V799" s="80"/>
      <c r="W799" s="80"/>
    </row>
    <row r="800" ht="18" customHeight="1" spans="1:23">
      <c r="A800" s="87" t="str">
        <f t="shared" si="36"/>
        <v/>
      </c>
      <c r="B800" s="78"/>
      <c r="C800" s="80"/>
      <c r="D800" s="79"/>
      <c r="E800" s="80"/>
      <c r="F800" s="79"/>
      <c r="G800" s="25" t="str">
        <f t="shared" si="37"/>
        <v/>
      </c>
      <c r="H800" s="88"/>
      <c r="I800" s="93"/>
      <c r="J800" s="97"/>
      <c r="K800" s="88"/>
      <c r="L800" s="25" t="str">
        <f>IF($D800="","",SUMIFS($H$4:$H800,$D$4:$D800,$D800)+SUMIFS($I$4:$I800,$D$4:$D800,$D800)-SUMIFS($J$4:$J800,$D$4:$D800,$D800)-SUMIFS($K$4:$K800,$D$4:$D800,$D800))</f>
        <v/>
      </c>
      <c r="M800" s="80"/>
      <c r="N800" s="80"/>
      <c r="O800" s="94"/>
      <c r="P800" s="26" t="str">
        <f t="shared" si="38"/>
        <v/>
      </c>
      <c r="Q800" s="80"/>
      <c r="R800" s="80"/>
      <c r="S800" s="80"/>
      <c r="T800" s="82"/>
      <c r="U800" s="80"/>
      <c r="V800" s="80"/>
      <c r="W800" s="80"/>
    </row>
    <row r="801" ht="18" customHeight="1" spans="1:23">
      <c r="A801" s="87" t="str">
        <f t="shared" si="36"/>
        <v/>
      </c>
      <c r="B801" s="78"/>
      <c r="C801" s="80"/>
      <c r="D801" s="79"/>
      <c r="E801" s="80"/>
      <c r="F801" s="79"/>
      <c r="G801" s="25" t="str">
        <f t="shared" si="37"/>
        <v/>
      </c>
      <c r="H801" s="88"/>
      <c r="I801" s="93"/>
      <c r="J801" s="97"/>
      <c r="K801" s="88"/>
      <c r="L801" s="25" t="str">
        <f>IF($D801="","",SUMIFS($H$4:$H801,$D$4:$D801,$D801)+SUMIFS($I$4:$I801,$D$4:$D801,$D801)-SUMIFS($J$4:$J801,$D$4:$D801,$D801)-SUMIFS($K$4:$K801,$D$4:$D801,$D801))</f>
        <v/>
      </c>
      <c r="M801" s="80"/>
      <c r="N801" s="80"/>
      <c r="O801" s="94"/>
      <c r="P801" s="26" t="str">
        <f t="shared" si="38"/>
        <v/>
      </c>
      <c r="Q801" s="80"/>
      <c r="R801" s="80"/>
      <c r="S801" s="80"/>
      <c r="T801" s="82"/>
      <c r="U801" s="80"/>
      <c r="V801" s="80"/>
      <c r="W801" s="80"/>
    </row>
    <row r="802" ht="18" customHeight="1" spans="1:23">
      <c r="A802" s="87" t="str">
        <f t="shared" si="36"/>
        <v/>
      </c>
      <c r="B802" s="78"/>
      <c r="C802" s="80"/>
      <c r="D802" s="79"/>
      <c r="E802" s="80"/>
      <c r="F802" s="79"/>
      <c r="G802" s="25" t="str">
        <f t="shared" si="37"/>
        <v/>
      </c>
      <c r="H802" s="88"/>
      <c r="I802" s="93"/>
      <c r="J802" s="97"/>
      <c r="K802" s="88"/>
      <c r="L802" s="25" t="str">
        <f>IF($D802="","",SUMIFS($H$4:$H802,$D$4:$D802,$D802)+SUMIFS($I$4:$I802,$D$4:$D802,$D802)-SUMIFS($J$4:$J802,$D$4:$D802,$D802)-SUMIFS($K$4:$K802,$D$4:$D802,$D802))</f>
        <v/>
      </c>
      <c r="M802" s="80"/>
      <c r="N802" s="80"/>
      <c r="O802" s="94"/>
      <c r="P802" s="26" t="str">
        <f t="shared" si="38"/>
        <v/>
      </c>
      <c r="Q802" s="80"/>
      <c r="R802" s="80"/>
      <c r="S802" s="80"/>
      <c r="T802" s="82"/>
      <c r="U802" s="80"/>
      <c r="V802" s="80"/>
      <c r="W802" s="80"/>
    </row>
    <row r="803" ht="18" customHeight="1" spans="1:23">
      <c r="A803" s="87" t="str">
        <f t="shared" si="36"/>
        <v/>
      </c>
      <c r="B803" s="78"/>
      <c r="C803" s="80"/>
      <c r="D803" s="79"/>
      <c r="E803" s="80"/>
      <c r="F803" s="79"/>
      <c r="G803" s="25" t="str">
        <f t="shared" si="37"/>
        <v/>
      </c>
      <c r="H803" s="88"/>
      <c r="I803" s="93"/>
      <c r="J803" s="97"/>
      <c r="K803" s="88"/>
      <c r="L803" s="25" t="str">
        <f>IF($D803="","",SUMIFS($H$4:$H803,$D$4:$D803,$D803)+SUMIFS($I$4:$I803,$D$4:$D803,$D803)-SUMIFS($J$4:$J803,$D$4:$D803,$D803)-SUMIFS($K$4:$K803,$D$4:$D803,$D803))</f>
        <v/>
      </c>
      <c r="M803" s="80"/>
      <c r="N803" s="80"/>
      <c r="O803" s="94"/>
      <c r="P803" s="26" t="str">
        <f t="shared" si="38"/>
        <v/>
      </c>
      <c r="Q803" s="80"/>
      <c r="R803" s="80"/>
      <c r="S803" s="80"/>
      <c r="T803" s="82"/>
      <c r="U803" s="80"/>
      <c r="V803" s="80"/>
      <c r="W803" s="80"/>
    </row>
    <row r="804" ht="18" customHeight="1" spans="1:23">
      <c r="A804" s="87" t="str">
        <f t="shared" si="36"/>
        <v/>
      </c>
      <c r="B804" s="78"/>
      <c r="C804" s="80"/>
      <c r="D804" s="79"/>
      <c r="E804" s="80"/>
      <c r="F804" s="79"/>
      <c r="G804" s="25" t="str">
        <f t="shared" si="37"/>
        <v/>
      </c>
      <c r="H804" s="88"/>
      <c r="I804" s="93"/>
      <c r="J804" s="97"/>
      <c r="K804" s="88"/>
      <c r="L804" s="25" t="str">
        <f>IF($D804="","",SUMIFS($H$4:$H804,$D$4:$D804,$D804)+SUMIFS($I$4:$I804,$D$4:$D804,$D804)-SUMIFS($J$4:$J804,$D$4:$D804,$D804)-SUMIFS($K$4:$K804,$D$4:$D804,$D804))</f>
        <v/>
      </c>
      <c r="M804" s="80"/>
      <c r="N804" s="80"/>
      <c r="O804" s="94"/>
      <c r="P804" s="26" t="str">
        <f t="shared" si="38"/>
        <v/>
      </c>
      <c r="Q804" s="80"/>
      <c r="R804" s="80"/>
      <c r="S804" s="80"/>
      <c r="T804" s="82"/>
      <c r="U804" s="80"/>
      <c r="V804" s="80"/>
      <c r="W804" s="80"/>
    </row>
    <row r="805" ht="18" customHeight="1" spans="1:23">
      <c r="A805" s="87" t="str">
        <f t="shared" si="36"/>
        <v/>
      </c>
      <c r="B805" s="78"/>
      <c r="C805" s="80"/>
      <c r="D805" s="79"/>
      <c r="E805" s="80"/>
      <c r="F805" s="79"/>
      <c r="G805" s="25" t="str">
        <f t="shared" si="37"/>
        <v/>
      </c>
      <c r="H805" s="88"/>
      <c r="I805" s="93"/>
      <c r="J805" s="97"/>
      <c r="K805" s="88"/>
      <c r="L805" s="25" t="str">
        <f>IF($D805="","",SUMIFS($H$4:$H805,$D$4:$D805,$D805)+SUMIFS($I$4:$I805,$D$4:$D805,$D805)-SUMIFS($J$4:$J805,$D$4:$D805,$D805)-SUMIFS($K$4:$K805,$D$4:$D805,$D805))</f>
        <v/>
      </c>
      <c r="M805" s="80"/>
      <c r="N805" s="80"/>
      <c r="O805" s="94"/>
      <c r="P805" s="26" t="str">
        <f t="shared" si="38"/>
        <v/>
      </c>
      <c r="Q805" s="80"/>
      <c r="R805" s="80"/>
      <c r="S805" s="80"/>
      <c r="T805" s="82"/>
      <c r="U805" s="80"/>
      <c r="V805" s="80"/>
      <c r="W805" s="80"/>
    </row>
    <row r="806" ht="18" customHeight="1" spans="1:23">
      <c r="A806" s="87" t="str">
        <f t="shared" si="36"/>
        <v/>
      </c>
      <c r="B806" s="78"/>
      <c r="C806" s="80"/>
      <c r="D806" s="79"/>
      <c r="E806" s="80"/>
      <c r="F806" s="79"/>
      <c r="G806" s="25" t="str">
        <f t="shared" si="37"/>
        <v/>
      </c>
      <c r="H806" s="88"/>
      <c r="I806" s="93"/>
      <c r="J806" s="97"/>
      <c r="K806" s="88"/>
      <c r="L806" s="25" t="str">
        <f>IF($D806="","",SUMIFS($H$4:$H806,$D$4:$D806,$D806)+SUMIFS($I$4:$I806,$D$4:$D806,$D806)-SUMIFS($J$4:$J806,$D$4:$D806,$D806)-SUMIFS($K$4:$K806,$D$4:$D806,$D806))</f>
        <v/>
      </c>
      <c r="M806" s="80"/>
      <c r="N806" s="80"/>
      <c r="O806" s="94"/>
      <c r="P806" s="26" t="str">
        <f t="shared" si="38"/>
        <v/>
      </c>
      <c r="Q806" s="80"/>
      <c r="R806" s="80"/>
      <c r="S806" s="80"/>
      <c r="T806" s="82"/>
      <c r="U806" s="80"/>
      <c r="V806" s="80"/>
      <c r="W806" s="80"/>
    </row>
    <row r="807" ht="18" customHeight="1" spans="1:23">
      <c r="A807" s="87" t="str">
        <f t="shared" si="36"/>
        <v/>
      </c>
      <c r="B807" s="78"/>
      <c r="C807" s="80"/>
      <c r="D807" s="79"/>
      <c r="E807" s="80"/>
      <c r="F807" s="79"/>
      <c r="G807" s="25" t="str">
        <f t="shared" si="37"/>
        <v/>
      </c>
      <c r="H807" s="88"/>
      <c r="I807" s="93"/>
      <c r="J807" s="97"/>
      <c r="K807" s="88"/>
      <c r="L807" s="25" t="str">
        <f>IF($D807="","",SUMIFS($H$4:$H807,$D$4:$D807,$D807)+SUMIFS($I$4:$I807,$D$4:$D807,$D807)-SUMIFS($J$4:$J807,$D$4:$D807,$D807)-SUMIFS($K$4:$K807,$D$4:$D807,$D807))</f>
        <v/>
      </c>
      <c r="M807" s="80"/>
      <c r="N807" s="80"/>
      <c r="O807" s="94"/>
      <c r="P807" s="26" t="str">
        <f t="shared" si="38"/>
        <v/>
      </c>
      <c r="Q807" s="80"/>
      <c r="R807" s="80"/>
      <c r="S807" s="80"/>
      <c r="T807" s="82"/>
      <c r="U807" s="80"/>
      <c r="V807" s="80"/>
      <c r="W807" s="80"/>
    </row>
    <row r="808" ht="18" customHeight="1" spans="1:23">
      <c r="A808" s="87" t="str">
        <f t="shared" si="36"/>
        <v/>
      </c>
      <c r="B808" s="78"/>
      <c r="C808" s="80"/>
      <c r="D808" s="79"/>
      <c r="E808" s="80"/>
      <c r="F808" s="79"/>
      <c r="G808" s="25" t="str">
        <f t="shared" si="37"/>
        <v/>
      </c>
      <c r="H808" s="88"/>
      <c r="I808" s="93"/>
      <c r="J808" s="97"/>
      <c r="K808" s="88"/>
      <c r="L808" s="25" t="str">
        <f>IF($D808="","",SUMIFS($H$4:$H808,$D$4:$D808,$D808)+SUMIFS($I$4:$I808,$D$4:$D808,$D808)-SUMIFS($J$4:$J808,$D$4:$D808,$D808)-SUMIFS($K$4:$K808,$D$4:$D808,$D808))</f>
        <v/>
      </c>
      <c r="M808" s="80"/>
      <c r="N808" s="80"/>
      <c r="O808" s="94"/>
      <c r="P808" s="26" t="str">
        <f t="shared" si="38"/>
        <v/>
      </c>
      <c r="Q808" s="80"/>
      <c r="R808" s="80"/>
      <c r="S808" s="80"/>
      <c r="T808" s="82"/>
      <c r="U808" s="80"/>
      <c r="V808" s="80"/>
      <c r="W808" s="80"/>
    </row>
    <row r="809" ht="18" customHeight="1" spans="1:23">
      <c r="A809" s="87" t="str">
        <f t="shared" si="36"/>
        <v/>
      </c>
      <c r="B809" s="78"/>
      <c r="C809" s="80"/>
      <c r="D809" s="79"/>
      <c r="E809" s="80"/>
      <c r="F809" s="79"/>
      <c r="G809" s="25" t="str">
        <f t="shared" si="37"/>
        <v/>
      </c>
      <c r="H809" s="88"/>
      <c r="I809" s="93"/>
      <c r="J809" s="97"/>
      <c r="K809" s="88"/>
      <c r="L809" s="25" t="str">
        <f>IF($D809="","",SUMIFS($H$4:$H809,$D$4:$D809,$D809)+SUMIFS($I$4:$I809,$D$4:$D809,$D809)-SUMIFS($J$4:$J809,$D$4:$D809,$D809)-SUMIFS($K$4:$K809,$D$4:$D809,$D809))</f>
        <v/>
      </c>
      <c r="M809" s="80"/>
      <c r="N809" s="80"/>
      <c r="O809" s="94"/>
      <c r="P809" s="26" t="str">
        <f t="shared" si="38"/>
        <v/>
      </c>
      <c r="Q809" s="80"/>
      <c r="R809" s="80"/>
      <c r="S809" s="80"/>
      <c r="T809" s="82"/>
      <c r="U809" s="80"/>
      <c r="V809" s="80"/>
      <c r="W809" s="80"/>
    </row>
    <row r="810" ht="18" customHeight="1" spans="1:23">
      <c r="A810" s="87" t="str">
        <f t="shared" si="36"/>
        <v/>
      </c>
      <c r="B810" s="78"/>
      <c r="C810" s="80"/>
      <c r="D810" s="79"/>
      <c r="E810" s="80"/>
      <c r="F810" s="79"/>
      <c r="G810" s="25" t="str">
        <f t="shared" si="37"/>
        <v/>
      </c>
      <c r="H810" s="88"/>
      <c r="I810" s="93"/>
      <c r="J810" s="97"/>
      <c r="K810" s="88"/>
      <c r="L810" s="25" t="str">
        <f>IF($D810="","",SUMIFS($H$4:$H810,$D$4:$D810,$D810)+SUMIFS($I$4:$I810,$D$4:$D810,$D810)-SUMIFS($J$4:$J810,$D$4:$D810,$D810)-SUMIFS($K$4:$K810,$D$4:$D810,$D810))</f>
        <v/>
      </c>
      <c r="M810" s="80"/>
      <c r="N810" s="80"/>
      <c r="O810" s="94"/>
      <c r="P810" s="26" t="str">
        <f t="shared" si="38"/>
        <v/>
      </c>
      <c r="Q810" s="80"/>
      <c r="R810" s="80"/>
      <c r="S810" s="80"/>
      <c r="T810" s="82"/>
      <c r="U810" s="80"/>
      <c r="V810" s="80"/>
      <c r="W810" s="80"/>
    </row>
    <row r="811" ht="18" customHeight="1" spans="1:23">
      <c r="A811" s="87" t="str">
        <f t="shared" si="36"/>
        <v/>
      </c>
      <c r="B811" s="78"/>
      <c r="C811" s="80"/>
      <c r="D811" s="79"/>
      <c r="E811" s="80"/>
      <c r="F811" s="79"/>
      <c r="G811" s="25" t="str">
        <f t="shared" si="37"/>
        <v/>
      </c>
      <c r="H811" s="88"/>
      <c r="I811" s="93"/>
      <c r="J811" s="97"/>
      <c r="K811" s="88"/>
      <c r="L811" s="25" t="str">
        <f>IF($D811="","",SUMIFS($H$4:$H811,$D$4:$D811,$D811)+SUMIFS($I$4:$I811,$D$4:$D811,$D811)-SUMIFS($J$4:$J811,$D$4:$D811,$D811)-SUMIFS($K$4:$K811,$D$4:$D811,$D811))</f>
        <v/>
      </c>
      <c r="M811" s="80"/>
      <c r="N811" s="80"/>
      <c r="O811" s="94"/>
      <c r="P811" s="26" t="str">
        <f t="shared" si="38"/>
        <v/>
      </c>
      <c r="Q811" s="80"/>
      <c r="R811" s="80"/>
      <c r="S811" s="80"/>
      <c r="T811" s="82"/>
      <c r="U811" s="80"/>
      <c r="V811" s="80"/>
      <c r="W811" s="80"/>
    </row>
    <row r="812" ht="18" customHeight="1" spans="1:23">
      <c r="A812" s="87" t="str">
        <f t="shared" si="36"/>
        <v/>
      </c>
      <c r="B812" s="78"/>
      <c r="C812" s="80"/>
      <c r="D812" s="79"/>
      <c r="E812" s="80"/>
      <c r="F812" s="79"/>
      <c r="G812" s="25" t="str">
        <f t="shared" si="37"/>
        <v/>
      </c>
      <c r="H812" s="88"/>
      <c r="I812" s="93"/>
      <c r="J812" s="97"/>
      <c r="K812" s="88"/>
      <c r="L812" s="25" t="str">
        <f>IF($D812="","",SUMIFS($H$4:$H812,$D$4:$D812,$D812)+SUMIFS($I$4:$I812,$D$4:$D812,$D812)-SUMIFS($J$4:$J812,$D$4:$D812,$D812)-SUMIFS($K$4:$K812,$D$4:$D812,$D812))</f>
        <v/>
      </c>
      <c r="M812" s="80"/>
      <c r="N812" s="80"/>
      <c r="O812" s="94"/>
      <c r="P812" s="26" t="str">
        <f t="shared" si="38"/>
        <v/>
      </c>
      <c r="Q812" s="80"/>
      <c r="R812" s="80"/>
      <c r="S812" s="80"/>
      <c r="T812" s="82"/>
      <c r="U812" s="80"/>
      <c r="V812" s="80"/>
      <c r="W812" s="80"/>
    </row>
    <row r="813" ht="18" customHeight="1" spans="1:23">
      <c r="A813" s="87" t="str">
        <f t="shared" si="36"/>
        <v/>
      </c>
      <c r="B813" s="78"/>
      <c r="C813" s="80"/>
      <c r="D813" s="79"/>
      <c r="E813" s="80"/>
      <c r="F813" s="79"/>
      <c r="G813" s="25" t="str">
        <f t="shared" si="37"/>
        <v/>
      </c>
      <c r="H813" s="88"/>
      <c r="I813" s="93"/>
      <c r="J813" s="97"/>
      <c r="K813" s="88"/>
      <c r="L813" s="25" t="str">
        <f>IF($D813="","",SUMIFS($H$4:$H813,$D$4:$D813,$D813)+SUMIFS($I$4:$I813,$D$4:$D813,$D813)-SUMIFS($J$4:$J813,$D$4:$D813,$D813)-SUMIFS($K$4:$K813,$D$4:$D813,$D813))</f>
        <v/>
      </c>
      <c r="M813" s="80"/>
      <c r="N813" s="80"/>
      <c r="O813" s="94"/>
      <c r="P813" s="26" t="str">
        <f t="shared" si="38"/>
        <v/>
      </c>
      <c r="Q813" s="80"/>
      <c r="R813" s="80"/>
      <c r="S813" s="80"/>
      <c r="T813" s="82"/>
      <c r="U813" s="80"/>
      <c r="V813" s="80"/>
      <c r="W813" s="80"/>
    </row>
    <row r="814" ht="18" customHeight="1" spans="1:23">
      <c r="A814" s="87" t="str">
        <f t="shared" si="36"/>
        <v/>
      </c>
      <c r="B814" s="78"/>
      <c r="C814" s="80"/>
      <c r="D814" s="79"/>
      <c r="E814" s="80"/>
      <c r="F814" s="79"/>
      <c r="G814" s="25" t="str">
        <f t="shared" si="37"/>
        <v/>
      </c>
      <c r="H814" s="88"/>
      <c r="I814" s="93"/>
      <c r="J814" s="97"/>
      <c r="K814" s="88"/>
      <c r="L814" s="25" t="str">
        <f>IF($D814="","",SUMIFS($H$4:$H814,$D$4:$D814,$D814)+SUMIFS($I$4:$I814,$D$4:$D814,$D814)-SUMIFS($J$4:$J814,$D$4:$D814,$D814)-SUMIFS($K$4:$K814,$D$4:$D814,$D814))</f>
        <v/>
      </c>
      <c r="M814" s="80"/>
      <c r="N814" s="80"/>
      <c r="O814" s="94"/>
      <c r="P814" s="26" t="str">
        <f t="shared" si="38"/>
        <v/>
      </c>
      <c r="Q814" s="80"/>
      <c r="R814" s="80"/>
      <c r="S814" s="80"/>
      <c r="T814" s="82"/>
      <c r="U814" s="80"/>
      <c r="V814" s="80"/>
      <c r="W814" s="80"/>
    </row>
    <row r="815" ht="18" customHeight="1" spans="1:23">
      <c r="A815" s="87" t="str">
        <f t="shared" si="36"/>
        <v/>
      </c>
      <c r="B815" s="78"/>
      <c r="C815" s="80"/>
      <c r="D815" s="79"/>
      <c r="E815" s="80"/>
      <c r="F815" s="79"/>
      <c r="G815" s="25" t="str">
        <f t="shared" si="37"/>
        <v/>
      </c>
      <c r="H815" s="88"/>
      <c r="I815" s="93"/>
      <c r="J815" s="97"/>
      <c r="K815" s="88"/>
      <c r="L815" s="25" t="str">
        <f>IF($D815="","",SUMIFS($H$4:$H815,$D$4:$D815,$D815)+SUMIFS($I$4:$I815,$D$4:$D815,$D815)-SUMIFS($J$4:$J815,$D$4:$D815,$D815)-SUMIFS($K$4:$K815,$D$4:$D815,$D815))</f>
        <v/>
      </c>
      <c r="M815" s="80"/>
      <c r="N815" s="80"/>
      <c r="O815" s="94"/>
      <c r="P815" s="26" t="str">
        <f t="shared" si="38"/>
        <v/>
      </c>
      <c r="Q815" s="80"/>
      <c r="R815" s="80"/>
      <c r="S815" s="80"/>
      <c r="T815" s="82"/>
      <c r="U815" s="80"/>
      <c r="V815" s="80"/>
      <c r="W815" s="80"/>
    </row>
    <row r="816" ht="18" customHeight="1" spans="1:23">
      <c r="A816" s="87" t="str">
        <f t="shared" si="36"/>
        <v/>
      </c>
      <c r="B816" s="78"/>
      <c r="C816" s="80"/>
      <c r="D816" s="79"/>
      <c r="E816" s="80"/>
      <c r="F816" s="79"/>
      <c r="G816" s="25" t="str">
        <f t="shared" si="37"/>
        <v/>
      </c>
      <c r="H816" s="88"/>
      <c r="I816" s="93"/>
      <c r="J816" s="97"/>
      <c r="K816" s="88"/>
      <c r="L816" s="25" t="str">
        <f>IF($D816="","",SUMIFS($H$4:$H816,$D$4:$D816,$D816)+SUMIFS($I$4:$I816,$D$4:$D816,$D816)-SUMIFS($J$4:$J816,$D$4:$D816,$D816)-SUMIFS($K$4:$K816,$D$4:$D816,$D816))</f>
        <v/>
      </c>
      <c r="M816" s="80"/>
      <c r="N816" s="80"/>
      <c r="O816" s="94"/>
      <c r="P816" s="26" t="str">
        <f t="shared" si="38"/>
        <v/>
      </c>
      <c r="Q816" s="80"/>
      <c r="R816" s="80"/>
      <c r="S816" s="80"/>
      <c r="T816" s="82"/>
      <c r="U816" s="80"/>
      <c r="V816" s="80"/>
      <c r="W816" s="80"/>
    </row>
    <row r="817" ht="18" customHeight="1" spans="1:23">
      <c r="A817" s="87" t="str">
        <f t="shared" si="36"/>
        <v/>
      </c>
      <c r="B817" s="78"/>
      <c r="C817" s="80"/>
      <c r="D817" s="79"/>
      <c r="E817" s="80"/>
      <c r="F817" s="79"/>
      <c r="G817" s="25" t="str">
        <f t="shared" si="37"/>
        <v/>
      </c>
      <c r="H817" s="88"/>
      <c r="I817" s="93"/>
      <c r="J817" s="97"/>
      <c r="K817" s="88"/>
      <c r="L817" s="25" t="str">
        <f>IF($D817="","",SUMIFS($H$4:$H817,$D$4:$D817,$D817)+SUMIFS($I$4:$I817,$D$4:$D817,$D817)-SUMIFS($J$4:$J817,$D$4:$D817,$D817)-SUMIFS($K$4:$K817,$D$4:$D817,$D817))</f>
        <v/>
      </c>
      <c r="M817" s="80"/>
      <c r="N817" s="80"/>
      <c r="O817" s="94"/>
      <c r="P817" s="26" t="str">
        <f t="shared" si="38"/>
        <v/>
      </c>
      <c r="Q817" s="80"/>
      <c r="R817" s="80"/>
      <c r="S817" s="80"/>
      <c r="T817" s="82"/>
      <c r="U817" s="80"/>
      <c r="V817" s="80"/>
      <c r="W817" s="80"/>
    </row>
    <row r="818" ht="18" customHeight="1" spans="1:23">
      <c r="A818" s="87" t="str">
        <f t="shared" si="36"/>
        <v/>
      </c>
      <c r="B818" s="78"/>
      <c r="C818" s="80"/>
      <c r="D818" s="79"/>
      <c r="E818" s="80"/>
      <c r="F818" s="79"/>
      <c r="G818" s="25" t="str">
        <f t="shared" si="37"/>
        <v/>
      </c>
      <c r="H818" s="88"/>
      <c r="I818" s="93"/>
      <c r="J818" s="97"/>
      <c r="K818" s="88"/>
      <c r="L818" s="25" t="str">
        <f>IF($D818="","",SUMIFS($H$4:$H818,$D$4:$D818,$D818)+SUMIFS($I$4:$I818,$D$4:$D818,$D818)-SUMIFS($J$4:$J818,$D$4:$D818,$D818)-SUMIFS($K$4:$K818,$D$4:$D818,$D818))</f>
        <v/>
      </c>
      <c r="M818" s="80"/>
      <c r="N818" s="80"/>
      <c r="O818" s="94"/>
      <c r="P818" s="26" t="str">
        <f t="shared" si="38"/>
        <v/>
      </c>
      <c r="Q818" s="80"/>
      <c r="R818" s="80"/>
      <c r="S818" s="80"/>
      <c r="T818" s="82"/>
      <c r="U818" s="80"/>
      <c r="V818" s="80"/>
      <c r="W818" s="80"/>
    </row>
    <row r="819" ht="18" customHeight="1" spans="1:23">
      <c r="A819" s="87" t="str">
        <f t="shared" si="36"/>
        <v/>
      </c>
      <c r="B819" s="78"/>
      <c r="C819" s="80"/>
      <c r="D819" s="79"/>
      <c r="E819" s="80"/>
      <c r="F819" s="79"/>
      <c r="G819" s="25" t="str">
        <f t="shared" si="37"/>
        <v/>
      </c>
      <c r="H819" s="88"/>
      <c r="I819" s="93"/>
      <c r="J819" s="97"/>
      <c r="K819" s="88"/>
      <c r="L819" s="25" t="str">
        <f>IF($D819="","",SUMIFS($H$4:$H819,$D$4:$D819,$D819)+SUMIFS($I$4:$I819,$D$4:$D819,$D819)-SUMIFS($J$4:$J819,$D$4:$D819,$D819)-SUMIFS($K$4:$K819,$D$4:$D819,$D819))</f>
        <v/>
      </c>
      <c r="M819" s="80"/>
      <c r="N819" s="80"/>
      <c r="O819" s="94"/>
      <c r="P819" s="26" t="str">
        <f t="shared" si="38"/>
        <v/>
      </c>
      <c r="Q819" s="80"/>
      <c r="R819" s="80"/>
      <c r="S819" s="80"/>
      <c r="T819" s="82"/>
      <c r="U819" s="80"/>
      <c r="V819" s="80"/>
      <c r="W819" s="80"/>
    </row>
    <row r="820" ht="18" customHeight="1" spans="1:23">
      <c r="A820" s="87" t="str">
        <f t="shared" si="36"/>
        <v/>
      </c>
      <c r="B820" s="78"/>
      <c r="C820" s="80"/>
      <c r="D820" s="79"/>
      <c r="E820" s="80"/>
      <c r="F820" s="79"/>
      <c r="G820" s="25" t="str">
        <f t="shared" si="37"/>
        <v/>
      </c>
      <c r="H820" s="88"/>
      <c r="I820" s="93"/>
      <c r="J820" s="97"/>
      <c r="K820" s="88"/>
      <c r="L820" s="25" t="str">
        <f>IF($D820="","",SUMIFS($H$4:$H820,$D$4:$D820,$D820)+SUMIFS($I$4:$I820,$D$4:$D820,$D820)-SUMIFS($J$4:$J820,$D$4:$D820,$D820)-SUMIFS($K$4:$K820,$D$4:$D820,$D820))</f>
        <v/>
      </c>
      <c r="M820" s="80"/>
      <c r="N820" s="80"/>
      <c r="O820" s="94"/>
      <c r="P820" s="26" t="str">
        <f t="shared" si="38"/>
        <v/>
      </c>
      <c r="Q820" s="80"/>
      <c r="R820" s="80"/>
      <c r="S820" s="80"/>
      <c r="T820" s="82"/>
      <c r="U820" s="80"/>
      <c r="V820" s="80"/>
      <c r="W820" s="80"/>
    </row>
    <row r="821" ht="18" customHeight="1" spans="1:23">
      <c r="A821" s="87" t="str">
        <f t="shared" si="36"/>
        <v/>
      </c>
      <c r="B821" s="78"/>
      <c r="C821" s="80"/>
      <c r="D821" s="79"/>
      <c r="E821" s="80"/>
      <c r="F821" s="79"/>
      <c r="G821" s="25" t="str">
        <f t="shared" si="37"/>
        <v/>
      </c>
      <c r="H821" s="88"/>
      <c r="I821" s="93"/>
      <c r="J821" s="97"/>
      <c r="K821" s="88"/>
      <c r="L821" s="25" t="str">
        <f>IF($D821="","",SUMIFS($H$4:$H821,$D$4:$D821,$D821)+SUMIFS($I$4:$I821,$D$4:$D821,$D821)-SUMIFS($J$4:$J821,$D$4:$D821,$D821)-SUMIFS($K$4:$K821,$D$4:$D821,$D821))</f>
        <v/>
      </c>
      <c r="M821" s="80"/>
      <c r="N821" s="80"/>
      <c r="O821" s="94"/>
      <c r="P821" s="26" t="str">
        <f t="shared" si="38"/>
        <v/>
      </c>
      <c r="Q821" s="80"/>
      <c r="R821" s="80"/>
      <c r="S821" s="80"/>
      <c r="T821" s="82"/>
      <c r="U821" s="80"/>
      <c r="V821" s="80"/>
      <c r="W821" s="80"/>
    </row>
    <row r="822" ht="18" customHeight="1" spans="1:23">
      <c r="A822" s="87" t="str">
        <f t="shared" si="36"/>
        <v/>
      </c>
      <c r="B822" s="78"/>
      <c r="C822" s="80"/>
      <c r="D822" s="79"/>
      <c r="E822" s="80"/>
      <c r="F822" s="79"/>
      <c r="G822" s="25" t="str">
        <f t="shared" si="37"/>
        <v/>
      </c>
      <c r="H822" s="88"/>
      <c r="I822" s="93"/>
      <c r="J822" s="97"/>
      <c r="K822" s="88"/>
      <c r="L822" s="25" t="str">
        <f>IF($D822="","",SUMIFS($H$4:$H822,$D$4:$D822,$D822)+SUMIFS($I$4:$I822,$D$4:$D822,$D822)-SUMIFS($J$4:$J822,$D$4:$D822,$D822)-SUMIFS($K$4:$K822,$D$4:$D822,$D822))</f>
        <v/>
      </c>
      <c r="M822" s="80"/>
      <c r="N822" s="80"/>
      <c r="O822" s="94"/>
      <c r="P822" s="26" t="str">
        <f t="shared" si="38"/>
        <v/>
      </c>
      <c r="Q822" s="80"/>
      <c r="R822" s="80"/>
      <c r="S822" s="80"/>
      <c r="T822" s="82"/>
      <c r="U822" s="80"/>
      <c r="V822" s="80"/>
      <c r="W822" s="80"/>
    </row>
    <row r="823" ht="18" customHeight="1" spans="1:23">
      <c r="A823" s="87" t="str">
        <f t="shared" si="36"/>
        <v/>
      </c>
      <c r="B823" s="78"/>
      <c r="C823" s="80"/>
      <c r="D823" s="79"/>
      <c r="E823" s="80"/>
      <c r="F823" s="79"/>
      <c r="G823" s="25" t="str">
        <f t="shared" si="37"/>
        <v/>
      </c>
      <c r="H823" s="88"/>
      <c r="I823" s="93"/>
      <c r="J823" s="97"/>
      <c r="K823" s="88"/>
      <c r="L823" s="25" t="str">
        <f>IF($D823="","",SUMIFS($H$4:$H823,$D$4:$D823,$D823)+SUMIFS($I$4:$I823,$D$4:$D823,$D823)-SUMIFS($J$4:$J823,$D$4:$D823,$D823)-SUMIFS($K$4:$K823,$D$4:$D823,$D823))</f>
        <v/>
      </c>
      <c r="M823" s="80"/>
      <c r="N823" s="80"/>
      <c r="O823" s="94"/>
      <c r="P823" s="26" t="str">
        <f t="shared" si="38"/>
        <v/>
      </c>
      <c r="Q823" s="80"/>
      <c r="R823" s="80"/>
      <c r="S823" s="80"/>
      <c r="T823" s="82"/>
      <c r="U823" s="80"/>
      <c r="V823" s="80"/>
      <c r="W823" s="80"/>
    </row>
    <row r="824" ht="18" customHeight="1" spans="1:23">
      <c r="A824" s="87" t="str">
        <f t="shared" si="36"/>
        <v/>
      </c>
      <c r="B824" s="78"/>
      <c r="C824" s="80"/>
      <c r="D824" s="79"/>
      <c r="E824" s="80"/>
      <c r="F824" s="79"/>
      <c r="G824" s="25" t="str">
        <f t="shared" si="37"/>
        <v/>
      </c>
      <c r="H824" s="88"/>
      <c r="I824" s="93"/>
      <c r="J824" s="97"/>
      <c r="K824" s="88"/>
      <c r="L824" s="25" t="str">
        <f>IF($D824="","",SUMIFS($H$4:$H824,$D$4:$D824,$D824)+SUMIFS($I$4:$I824,$D$4:$D824,$D824)-SUMIFS($J$4:$J824,$D$4:$D824,$D824)-SUMIFS($K$4:$K824,$D$4:$D824,$D824))</f>
        <v/>
      </c>
      <c r="M824" s="80"/>
      <c r="N824" s="80"/>
      <c r="O824" s="94"/>
      <c r="P824" s="26" t="str">
        <f t="shared" si="38"/>
        <v/>
      </c>
      <c r="Q824" s="80"/>
      <c r="R824" s="80"/>
      <c r="S824" s="80"/>
      <c r="T824" s="82"/>
      <c r="U824" s="80"/>
      <c r="V824" s="80"/>
      <c r="W824" s="80"/>
    </row>
    <row r="825" ht="18" customHeight="1" spans="1:23">
      <c r="A825" s="87" t="str">
        <f t="shared" si="36"/>
        <v/>
      </c>
      <c r="B825" s="78"/>
      <c r="C825" s="80"/>
      <c r="D825" s="79"/>
      <c r="E825" s="80"/>
      <c r="F825" s="79"/>
      <c r="G825" s="25" t="str">
        <f t="shared" si="37"/>
        <v/>
      </c>
      <c r="H825" s="88"/>
      <c r="I825" s="93"/>
      <c r="J825" s="97"/>
      <c r="K825" s="88"/>
      <c r="L825" s="25" t="str">
        <f>IF($D825="","",SUMIFS($H$4:$H825,$D$4:$D825,$D825)+SUMIFS($I$4:$I825,$D$4:$D825,$D825)-SUMIFS($J$4:$J825,$D$4:$D825,$D825)-SUMIFS($K$4:$K825,$D$4:$D825,$D825))</f>
        <v/>
      </c>
      <c r="M825" s="80"/>
      <c r="N825" s="80"/>
      <c r="O825" s="94"/>
      <c r="P825" s="26" t="str">
        <f t="shared" si="38"/>
        <v/>
      </c>
      <c r="Q825" s="80"/>
      <c r="R825" s="80"/>
      <c r="S825" s="80"/>
      <c r="T825" s="82"/>
      <c r="U825" s="80"/>
      <c r="V825" s="80"/>
      <c r="W825" s="80"/>
    </row>
    <row r="826" ht="18" customHeight="1" spans="1:23">
      <c r="A826" s="87" t="str">
        <f t="shared" si="36"/>
        <v/>
      </c>
      <c r="B826" s="78"/>
      <c r="C826" s="80"/>
      <c r="D826" s="79"/>
      <c r="E826" s="80"/>
      <c r="F826" s="79"/>
      <c r="G826" s="25" t="str">
        <f t="shared" si="37"/>
        <v/>
      </c>
      <c r="H826" s="88"/>
      <c r="I826" s="93"/>
      <c r="J826" s="97"/>
      <c r="K826" s="88"/>
      <c r="L826" s="25" t="str">
        <f>IF($D826="","",SUMIFS($H$4:$H826,$D$4:$D826,$D826)+SUMIFS($I$4:$I826,$D$4:$D826,$D826)-SUMIFS($J$4:$J826,$D$4:$D826,$D826)-SUMIFS($K$4:$K826,$D$4:$D826,$D826))</f>
        <v/>
      </c>
      <c r="M826" s="80"/>
      <c r="N826" s="80"/>
      <c r="O826" s="94"/>
      <c r="P826" s="26" t="str">
        <f t="shared" si="38"/>
        <v/>
      </c>
      <c r="Q826" s="80"/>
      <c r="R826" s="80"/>
      <c r="S826" s="80"/>
      <c r="T826" s="82"/>
      <c r="U826" s="80"/>
      <c r="V826" s="80"/>
      <c r="W826" s="80"/>
    </row>
    <row r="827" ht="18" customHeight="1" spans="1:23">
      <c r="A827" s="87" t="str">
        <f t="shared" si="36"/>
        <v/>
      </c>
      <c r="B827" s="78"/>
      <c r="C827" s="80"/>
      <c r="D827" s="79"/>
      <c r="E827" s="80"/>
      <c r="F827" s="79"/>
      <c r="G827" s="25" t="str">
        <f t="shared" si="37"/>
        <v/>
      </c>
      <c r="H827" s="88"/>
      <c r="I827" s="93"/>
      <c r="J827" s="97"/>
      <c r="K827" s="88"/>
      <c r="L827" s="25" t="str">
        <f>IF($D827="","",SUMIFS($H$4:$H827,$D$4:$D827,$D827)+SUMIFS($I$4:$I827,$D$4:$D827,$D827)-SUMIFS($J$4:$J827,$D$4:$D827,$D827)-SUMIFS($K$4:$K827,$D$4:$D827,$D827))</f>
        <v/>
      </c>
      <c r="M827" s="80"/>
      <c r="N827" s="80"/>
      <c r="O827" s="94"/>
      <c r="P827" s="26" t="str">
        <f t="shared" si="38"/>
        <v/>
      </c>
      <c r="Q827" s="80"/>
      <c r="R827" s="80"/>
      <c r="S827" s="80"/>
      <c r="T827" s="82"/>
      <c r="U827" s="80"/>
      <c r="V827" s="80"/>
      <c r="W827" s="80"/>
    </row>
    <row r="828" ht="18" customHeight="1" spans="1:23">
      <c r="A828" s="87" t="str">
        <f t="shared" si="36"/>
        <v/>
      </c>
      <c r="B828" s="78"/>
      <c r="C828" s="80"/>
      <c r="D828" s="79"/>
      <c r="E828" s="80"/>
      <c r="F828" s="79"/>
      <c r="G828" s="25" t="str">
        <f t="shared" si="37"/>
        <v/>
      </c>
      <c r="H828" s="88"/>
      <c r="I828" s="93"/>
      <c r="J828" s="97"/>
      <c r="K828" s="88"/>
      <c r="L828" s="25" t="str">
        <f>IF($D828="","",SUMIFS($H$4:$H828,$D$4:$D828,$D828)+SUMIFS($I$4:$I828,$D$4:$D828,$D828)-SUMIFS($J$4:$J828,$D$4:$D828,$D828)-SUMIFS($K$4:$K828,$D$4:$D828,$D828))</f>
        <v/>
      </c>
      <c r="M828" s="80"/>
      <c r="N828" s="80"/>
      <c r="O828" s="94"/>
      <c r="P828" s="26" t="str">
        <f t="shared" si="38"/>
        <v/>
      </c>
      <c r="Q828" s="80"/>
      <c r="R828" s="80"/>
      <c r="S828" s="80"/>
      <c r="T828" s="82"/>
      <c r="U828" s="80"/>
      <c r="V828" s="80"/>
      <c r="W828" s="80"/>
    </row>
    <row r="829" ht="18" customHeight="1" spans="1:23">
      <c r="A829" s="87" t="str">
        <f t="shared" si="36"/>
        <v/>
      </c>
      <c r="B829" s="78"/>
      <c r="C829" s="80"/>
      <c r="D829" s="79"/>
      <c r="E829" s="80"/>
      <c r="F829" s="79"/>
      <c r="G829" s="25" t="str">
        <f t="shared" si="37"/>
        <v/>
      </c>
      <c r="H829" s="88"/>
      <c r="I829" s="93"/>
      <c r="J829" s="97"/>
      <c r="K829" s="88"/>
      <c r="L829" s="25" t="str">
        <f>IF($D829="","",SUMIFS($H$4:$H829,$D$4:$D829,$D829)+SUMIFS($I$4:$I829,$D$4:$D829,$D829)-SUMIFS($J$4:$J829,$D$4:$D829,$D829)-SUMIFS($K$4:$K829,$D$4:$D829,$D829))</f>
        <v/>
      </c>
      <c r="M829" s="80"/>
      <c r="N829" s="80"/>
      <c r="O829" s="94"/>
      <c r="P829" s="26" t="str">
        <f t="shared" si="38"/>
        <v/>
      </c>
      <c r="Q829" s="80"/>
      <c r="R829" s="80"/>
      <c r="S829" s="80"/>
      <c r="T829" s="82"/>
      <c r="U829" s="80"/>
      <c r="V829" s="80"/>
      <c r="W829" s="80"/>
    </row>
    <row r="830" ht="18" customHeight="1" spans="1:23">
      <c r="A830" s="87" t="str">
        <f t="shared" si="36"/>
        <v/>
      </c>
      <c r="B830" s="78"/>
      <c r="C830" s="80"/>
      <c r="D830" s="79"/>
      <c r="E830" s="80"/>
      <c r="F830" s="79"/>
      <c r="G830" s="25" t="str">
        <f t="shared" si="37"/>
        <v/>
      </c>
      <c r="H830" s="88"/>
      <c r="I830" s="93"/>
      <c r="J830" s="97"/>
      <c r="K830" s="88"/>
      <c r="L830" s="25" t="str">
        <f>IF($D830="","",SUMIFS($H$4:$H830,$D$4:$D830,$D830)+SUMIFS($I$4:$I830,$D$4:$D830,$D830)-SUMIFS($J$4:$J830,$D$4:$D830,$D830)-SUMIFS($K$4:$K830,$D$4:$D830,$D830))</f>
        <v/>
      </c>
      <c r="M830" s="80"/>
      <c r="N830" s="80"/>
      <c r="O830" s="94"/>
      <c r="P830" s="26" t="str">
        <f t="shared" si="38"/>
        <v/>
      </c>
      <c r="Q830" s="80"/>
      <c r="R830" s="80"/>
      <c r="S830" s="80"/>
      <c r="T830" s="82"/>
      <c r="U830" s="80"/>
      <c r="V830" s="80"/>
      <c r="W830" s="80"/>
    </row>
    <row r="831" ht="18" customHeight="1" spans="1:23">
      <c r="A831" s="87" t="str">
        <f t="shared" si="36"/>
        <v/>
      </c>
      <c r="B831" s="78"/>
      <c r="C831" s="80"/>
      <c r="D831" s="79"/>
      <c r="E831" s="80"/>
      <c r="F831" s="79"/>
      <c r="G831" s="25" t="str">
        <f t="shared" si="37"/>
        <v/>
      </c>
      <c r="H831" s="88"/>
      <c r="I831" s="93"/>
      <c r="J831" s="97"/>
      <c r="K831" s="88"/>
      <c r="L831" s="25" t="str">
        <f>IF($D831="","",SUMIFS($H$4:$H831,$D$4:$D831,$D831)+SUMIFS($I$4:$I831,$D$4:$D831,$D831)-SUMIFS($J$4:$J831,$D$4:$D831,$D831)-SUMIFS($K$4:$K831,$D$4:$D831,$D831))</f>
        <v/>
      </c>
      <c r="M831" s="80"/>
      <c r="N831" s="80"/>
      <c r="O831" s="94"/>
      <c r="P831" s="26" t="str">
        <f t="shared" si="38"/>
        <v/>
      </c>
      <c r="Q831" s="80"/>
      <c r="R831" s="80"/>
      <c r="S831" s="80"/>
      <c r="T831" s="82"/>
      <c r="U831" s="80"/>
      <c r="V831" s="80"/>
      <c r="W831" s="80"/>
    </row>
    <row r="832" ht="18" customHeight="1" spans="1:23">
      <c r="A832" s="87" t="str">
        <f t="shared" si="36"/>
        <v/>
      </c>
      <c r="B832" s="78"/>
      <c r="C832" s="80"/>
      <c r="D832" s="79"/>
      <c r="E832" s="80"/>
      <c r="F832" s="79"/>
      <c r="G832" s="25" t="str">
        <f t="shared" si="37"/>
        <v/>
      </c>
      <c r="H832" s="88"/>
      <c r="I832" s="93"/>
      <c r="J832" s="97"/>
      <c r="K832" s="88"/>
      <c r="L832" s="25" t="str">
        <f>IF($D832="","",SUMIFS($H$4:$H832,$D$4:$D832,$D832)+SUMIFS($I$4:$I832,$D$4:$D832,$D832)-SUMIFS($J$4:$J832,$D$4:$D832,$D832)-SUMIFS($K$4:$K832,$D$4:$D832,$D832))</f>
        <v/>
      </c>
      <c r="M832" s="80"/>
      <c r="N832" s="80"/>
      <c r="O832" s="94"/>
      <c r="P832" s="26" t="str">
        <f t="shared" si="38"/>
        <v/>
      </c>
      <c r="Q832" s="80"/>
      <c r="R832" s="80"/>
      <c r="S832" s="80"/>
      <c r="T832" s="82"/>
      <c r="U832" s="80"/>
      <c r="V832" s="80"/>
      <c r="W832" s="80"/>
    </row>
    <row r="833" ht="18" customHeight="1" spans="1:23">
      <c r="A833" s="87" t="str">
        <f t="shared" si="36"/>
        <v/>
      </c>
      <c r="B833" s="78"/>
      <c r="C833" s="80"/>
      <c r="D833" s="79"/>
      <c r="E833" s="80"/>
      <c r="F833" s="79"/>
      <c r="G833" s="25" t="str">
        <f t="shared" si="37"/>
        <v/>
      </c>
      <c r="H833" s="88"/>
      <c r="I833" s="93"/>
      <c r="J833" s="97"/>
      <c r="K833" s="88"/>
      <c r="L833" s="25" t="str">
        <f>IF($D833="","",SUMIFS($H$4:$H833,$D$4:$D833,$D833)+SUMIFS($I$4:$I833,$D$4:$D833,$D833)-SUMIFS($J$4:$J833,$D$4:$D833,$D833)-SUMIFS($K$4:$K833,$D$4:$D833,$D833))</f>
        <v/>
      </c>
      <c r="M833" s="80"/>
      <c r="N833" s="80"/>
      <c r="O833" s="94"/>
      <c r="P833" s="26" t="str">
        <f t="shared" si="38"/>
        <v/>
      </c>
      <c r="Q833" s="80"/>
      <c r="R833" s="80"/>
      <c r="S833" s="80"/>
      <c r="T833" s="82"/>
      <c r="U833" s="80"/>
      <c r="V833" s="80"/>
      <c r="W833" s="80"/>
    </row>
    <row r="834" ht="18" customHeight="1" spans="1:23">
      <c r="A834" s="87" t="str">
        <f t="shared" si="36"/>
        <v/>
      </c>
      <c r="B834" s="78"/>
      <c r="C834" s="80"/>
      <c r="D834" s="79"/>
      <c r="E834" s="80"/>
      <c r="F834" s="79"/>
      <c r="G834" s="25" t="str">
        <f t="shared" si="37"/>
        <v/>
      </c>
      <c r="H834" s="88"/>
      <c r="I834" s="93"/>
      <c r="J834" s="97"/>
      <c r="K834" s="88"/>
      <c r="L834" s="25" t="str">
        <f>IF($D834="","",SUMIFS($H$4:$H834,$D$4:$D834,$D834)+SUMIFS($I$4:$I834,$D$4:$D834,$D834)-SUMIFS($J$4:$J834,$D$4:$D834,$D834)-SUMIFS($K$4:$K834,$D$4:$D834,$D834))</f>
        <v/>
      </c>
      <c r="M834" s="80"/>
      <c r="N834" s="80"/>
      <c r="O834" s="94"/>
      <c r="P834" s="26" t="str">
        <f t="shared" si="38"/>
        <v/>
      </c>
      <c r="Q834" s="80"/>
      <c r="R834" s="80"/>
      <c r="S834" s="80"/>
      <c r="T834" s="82"/>
      <c r="U834" s="80"/>
      <c r="V834" s="80"/>
      <c r="W834" s="80"/>
    </row>
    <row r="835" ht="18" customHeight="1" spans="1:23">
      <c r="A835" s="87" t="str">
        <f t="shared" si="36"/>
        <v/>
      </c>
      <c r="B835" s="78"/>
      <c r="C835" s="80"/>
      <c r="D835" s="79"/>
      <c r="E835" s="80"/>
      <c r="F835" s="79"/>
      <c r="G835" s="25" t="str">
        <f t="shared" si="37"/>
        <v/>
      </c>
      <c r="H835" s="88"/>
      <c r="I835" s="93"/>
      <c r="J835" s="97"/>
      <c r="K835" s="88"/>
      <c r="L835" s="25" t="str">
        <f>IF($D835="","",SUMIFS($H$4:$H835,$D$4:$D835,$D835)+SUMIFS($I$4:$I835,$D$4:$D835,$D835)-SUMIFS($J$4:$J835,$D$4:$D835,$D835)-SUMIFS($K$4:$K835,$D$4:$D835,$D835))</f>
        <v/>
      </c>
      <c r="M835" s="80"/>
      <c r="N835" s="80"/>
      <c r="O835" s="94"/>
      <c r="P835" s="26" t="str">
        <f t="shared" si="38"/>
        <v/>
      </c>
      <c r="Q835" s="80"/>
      <c r="R835" s="80"/>
      <c r="S835" s="80"/>
      <c r="T835" s="82"/>
      <c r="U835" s="80"/>
      <c r="V835" s="80"/>
      <c r="W835" s="80"/>
    </row>
    <row r="836" ht="18" customHeight="1" spans="1:23">
      <c r="A836" s="87" t="str">
        <f t="shared" si="36"/>
        <v/>
      </c>
      <c r="B836" s="78"/>
      <c r="C836" s="80"/>
      <c r="D836" s="79"/>
      <c r="E836" s="80"/>
      <c r="F836" s="79"/>
      <c r="G836" s="25" t="str">
        <f t="shared" si="37"/>
        <v/>
      </c>
      <c r="H836" s="88"/>
      <c r="I836" s="93"/>
      <c r="J836" s="97"/>
      <c r="K836" s="88"/>
      <c r="L836" s="25" t="str">
        <f>IF($D836="","",SUMIFS($H$4:$H836,$D$4:$D836,$D836)+SUMIFS($I$4:$I836,$D$4:$D836,$D836)-SUMIFS($J$4:$J836,$D$4:$D836,$D836)-SUMIFS($K$4:$K836,$D$4:$D836,$D836))</f>
        <v/>
      </c>
      <c r="M836" s="80"/>
      <c r="N836" s="80"/>
      <c r="O836" s="94"/>
      <c r="P836" s="26" t="str">
        <f t="shared" si="38"/>
        <v/>
      </c>
      <c r="Q836" s="80"/>
      <c r="R836" s="80"/>
      <c r="S836" s="80"/>
      <c r="T836" s="82"/>
      <c r="U836" s="80"/>
      <c r="V836" s="80"/>
      <c r="W836" s="80"/>
    </row>
    <row r="837" ht="18" customHeight="1" spans="1:23">
      <c r="A837" s="87" t="str">
        <f t="shared" ref="A837:A900" si="39">IF($D837="","",ROW()-3)</f>
        <v/>
      </c>
      <c r="B837" s="78"/>
      <c r="C837" s="80"/>
      <c r="D837" s="79"/>
      <c r="E837" s="80"/>
      <c r="F837" s="79"/>
      <c r="G837" s="25" t="str">
        <f t="shared" ref="G837:G900" si="40">IF($D837="","",N($L837)-N($H837)-N($I837)+N($J837)+N($K837))</f>
        <v/>
      </c>
      <c r="H837" s="88"/>
      <c r="I837" s="93"/>
      <c r="J837" s="97"/>
      <c r="K837" s="88"/>
      <c r="L837" s="25" t="str">
        <f>IF($D837="","",SUMIFS($H$4:$H837,$D$4:$D837,$D837)+SUMIFS($I$4:$I837,$D$4:$D837,$D837)-SUMIFS($J$4:$J837,$D$4:$D837,$D837)-SUMIFS($K$4:$K837,$D$4:$D837,$D837))</f>
        <v/>
      </c>
      <c r="M837" s="80"/>
      <c r="N837" s="80"/>
      <c r="O837" s="94"/>
      <c r="P837" s="26" t="str">
        <f t="shared" ref="P837:P900" si="41">IF($D837="","",ROUND((N($H837)+N($K837))*N($O837),2))</f>
        <v/>
      </c>
      <c r="Q837" s="80"/>
      <c r="R837" s="80"/>
      <c r="S837" s="80"/>
      <c r="T837" s="82"/>
      <c r="U837" s="80"/>
      <c r="V837" s="80"/>
      <c r="W837" s="80"/>
    </row>
    <row r="838" ht="18" customHeight="1" spans="1:23">
      <c r="A838" s="87" t="str">
        <f t="shared" si="39"/>
        <v/>
      </c>
      <c r="B838" s="78"/>
      <c r="C838" s="80"/>
      <c r="D838" s="79"/>
      <c r="E838" s="80"/>
      <c r="F838" s="79"/>
      <c r="G838" s="25" t="str">
        <f t="shared" si="40"/>
        <v/>
      </c>
      <c r="H838" s="88"/>
      <c r="I838" s="93"/>
      <c r="J838" s="97"/>
      <c r="K838" s="88"/>
      <c r="L838" s="25" t="str">
        <f>IF($D838="","",SUMIFS($H$4:$H838,$D$4:$D838,$D838)+SUMIFS($I$4:$I838,$D$4:$D838,$D838)-SUMIFS($J$4:$J838,$D$4:$D838,$D838)-SUMIFS($K$4:$K838,$D$4:$D838,$D838))</f>
        <v/>
      </c>
      <c r="M838" s="80"/>
      <c r="N838" s="80"/>
      <c r="O838" s="94"/>
      <c r="P838" s="26" t="str">
        <f t="shared" si="41"/>
        <v/>
      </c>
      <c r="Q838" s="80"/>
      <c r="R838" s="80"/>
      <c r="S838" s="80"/>
      <c r="T838" s="82"/>
      <c r="U838" s="80"/>
      <c r="V838" s="80"/>
      <c r="W838" s="80"/>
    </row>
    <row r="839" ht="18" customHeight="1" spans="1:23">
      <c r="A839" s="87" t="str">
        <f t="shared" si="39"/>
        <v/>
      </c>
      <c r="B839" s="78"/>
      <c r="C839" s="80"/>
      <c r="D839" s="79"/>
      <c r="E839" s="80"/>
      <c r="F839" s="79"/>
      <c r="G839" s="25" t="str">
        <f t="shared" si="40"/>
        <v/>
      </c>
      <c r="H839" s="88"/>
      <c r="I839" s="93"/>
      <c r="J839" s="97"/>
      <c r="K839" s="88"/>
      <c r="L839" s="25" t="str">
        <f>IF($D839="","",SUMIFS($H$4:$H839,$D$4:$D839,$D839)+SUMIFS($I$4:$I839,$D$4:$D839,$D839)-SUMIFS($J$4:$J839,$D$4:$D839,$D839)-SUMIFS($K$4:$K839,$D$4:$D839,$D839))</f>
        <v/>
      </c>
      <c r="M839" s="80"/>
      <c r="N839" s="80"/>
      <c r="O839" s="94"/>
      <c r="P839" s="26" t="str">
        <f t="shared" si="41"/>
        <v/>
      </c>
      <c r="Q839" s="80"/>
      <c r="R839" s="80"/>
      <c r="S839" s="80"/>
      <c r="T839" s="82"/>
      <c r="U839" s="80"/>
      <c r="V839" s="80"/>
      <c r="W839" s="80"/>
    </row>
    <row r="840" ht="18" customHeight="1" spans="1:23">
      <c r="A840" s="87" t="str">
        <f t="shared" si="39"/>
        <v/>
      </c>
      <c r="B840" s="78"/>
      <c r="C840" s="80"/>
      <c r="D840" s="79"/>
      <c r="E840" s="80"/>
      <c r="F840" s="79"/>
      <c r="G840" s="25" t="str">
        <f t="shared" si="40"/>
        <v/>
      </c>
      <c r="H840" s="88"/>
      <c r="I840" s="93"/>
      <c r="J840" s="97"/>
      <c r="K840" s="88"/>
      <c r="L840" s="25" t="str">
        <f>IF($D840="","",SUMIFS($H$4:$H840,$D$4:$D840,$D840)+SUMIFS($I$4:$I840,$D$4:$D840,$D840)-SUMIFS($J$4:$J840,$D$4:$D840,$D840)-SUMIFS($K$4:$K840,$D$4:$D840,$D840))</f>
        <v/>
      </c>
      <c r="M840" s="80"/>
      <c r="N840" s="80"/>
      <c r="O840" s="94"/>
      <c r="P840" s="26" t="str">
        <f t="shared" si="41"/>
        <v/>
      </c>
      <c r="Q840" s="80"/>
      <c r="R840" s="80"/>
      <c r="S840" s="80"/>
      <c r="T840" s="82"/>
      <c r="U840" s="80"/>
      <c r="V840" s="80"/>
      <c r="W840" s="80"/>
    </row>
    <row r="841" ht="18" customHeight="1" spans="1:23">
      <c r="A841" s="87" t="str">
        <f t="shared" si="39"/>
        <v/>
      </c>
      <c r="B841" s="78"/>
      <c r="C841" s="80"/>
      <c r="D841" s="79"/>
      <c r="E841" s="80"/>
      <c r="F841" s="79"/>
      <c r="G841" s="25" t="str">
        <f t="shared" si="40"/>
        <v/>
      </c>
      <c r="H841" s="88"/>
      <c r="I841" s="93"/>
      <c r="J841" s="97"/>
      <c r="K841" s="88"/>
      <c r="L841" s="25" t="str">
        <f>IF($D841="","",SUMIFS($H$4:$H841,$D$4:$D841,$D841)+SUMIFS($I$4:$I841,$D$4:$D841,$D841)-SUMIFS($J$4:$J841,$D$4:$D841,$D841)-SUMIFS($K$4:$K841,$D$4:$D841,$D841))</f>
        <v/>
      </c>
      <c r="M841" s="80"/>
      <c r="N841" s="80"/>
      <c r="O841" s="94"/>
      <c r="P841" s="26" t="str">
        <f t="shared" si="41"/>
        <v/>
      </c>
      <c r="Q841" s="80"/>
      <c r="R841" s="80"/>
      <c r="S841" s="80"/>
      <c r="T841" s="82"/>
      <c r="U841" s="80"/>
      <c r="V841" s="80"/>
      <c r="W841" s="80"/>
    </row>
    <row r="842" ht="18" customHeight="1" spans="1:23">
      <c r="A842" s="87" t="str">
        <f t="shared" si="39"/>
        <v/>
      </c>
      <c r="B842" s="78"/>
      <c r="C842" s="80"/>
      <c r="D842" s="79"/>
      <c r="E842" s="80"/>
      <c r="F842" s="79"/>
      <c r="G842" s="25" t="str">
        <f t="shared" si="40"/>
        <v/>
      </c>
      <c r="H842" s="88"/>
      <c r="I842" s="93"/>
      <c r="J842" s="97"/>
      <c r="K842" s="88"/>
      <c r="L842" s="25" t="str">
        <f>IF($D842="","",SUMIFS($H$4:$H842,$D$4:$D842,$D842)+SUMIFS($I$4:$I842,$D$4:$D842,$D842)-SUMIFS($J$4:$J842,$D$4:$D842,$D842)-SUMIFS($K$4:$K842,$D$4:$D842,$D842))</f>
        <v/>
      </c>
      <c r="M842" s="80"/>
      <c r="N842" s="80"/>
      <c r="O842" s="94"/>
      <c r="P842" s="26" t="str">
        <f t="shared" si="41"/>
        <v/>
      </c>
      <c r="Q842" s="80"/>
      <c r="R842" s="80"/>
      <c r="S842" s="80"/>
      <c r="T842" s="82"/>
      <c r="U842" s="80"/>
      <c r="V842" s="80"/>
      <c r="W842" s="80"/>
    </row>
    <row r="843" ht="18" customHeight="1" spans="1:23">
      <c r="A843" s="87" t="str">
        <f t="shared" si="39"/>
        <v/>
      </c>
      <c r="B843" s="78"/>
      <c r="C843" s="80"/>
      <c r="D843" s="79"/>
      <c r="E843" s="80"/>
      <c r="F843" s="79"/>
      <c r="G843" s="25" t="str">
        <f t="shared" si="40"/>
        <v/>
      </c>
      <c r="H843" s="88"/>
      <c r="I843" s="93"/>
      <c r="J843" s="97"/>
      <c r="K843" s="88"/>
      <c r="L843" s="25" t="str">
        <f>IF($D843="","",SUMIFS($H$4:$H843,$D$4:$D843,$D843)+SUMIFS($I$4:$I843,$D$4:$D843,$D843)-SUMIFS($J$4:$J843,$D$4:$D843,$D843)-SUMIFS($K$4:$K843,$D$4:$D843,$D843))</f>
        <v/>
      </c>
      <c r="M843" s="80"/>
      <c r="N843" s="80"/>
      <c r="O843" s="94"/>
      <c r="P843" s="26" t="str">
        <f t="shared" si="41"/>
        <v/>
      </c>
      <c r="Q843" s="80"/>
      <c r="R843" s="80"/>
      <c r="S843" s="80"/>
      <c r="T843" s="82"/>
      <c r="U843" s="80"/>
      <c r="V843" s="80"/>
      <c r="W843" s="80"/>
    </row>
    <row r="844" ht="18" customHeight="1" spans="1:23">
      <c r="A844" s="87" t="str">
        <f t="shared" si="39"/>
        <v/>
      </c>
      <c r="B844" s="78"/>
      <c r="C844" s="80"/>
      <c r="D844" s="79"/>
      <c r="E844" s="80"/>
      <c r="F844" s="79"/>
      <c r="G844" s="25" t="str">
        <f t="shared" si="40"/>
        <v/>
      </c>
      <c r="H844" s="88"/>
      <c r="I844" s="93"/>
      <c r="J844" s="97"/>
      <c r="K844" s="88"/>
      <c r="L844" s="25" t="str">
        <f>IF($D844="","",SUMIFS($H$4:$H844,$D$4:$D844,$D844)+SUMIFS($I$4:$I844,$D$4:$D844,$D844)-SUMIFS($J$4:$J844,$D$4:$D844,$D844)-SUMIFS($K$4:$K844,$D$4:$D844,$D844))</f>
        <v/>
      </c>
      <c r="M844" s="80"/>
      <c r="N844" s="80"/>
      <c r="O844" s="94"/>
      <c r="P844" s="26" t="str">
        <f t="shared" si="41"/>
        <v/>
      </c>
      <c r="Q844" s="80"/>
      <c r="R844" s="80"/>
      <c r="S844" s="80"/>
      <c r="T844" s="82"/>
      <c r="U844" s="80"/>
      <c r="V844" s="80"/>
      <c r="W844" s="80"/>
    </row>
    <row r="845" ht="18" customHeight="1" spans="1:23">
      <c r="A845" s="87" t="str">
        <f t="shared" si="39"/>
        <v/>
      </c>
      <c r="B845" s="78"/>
      <c r="C845" s="80"/>
      <c r="D845" s="79"/>
      <c r="E845" s="80"/>
      <c r="F845" s="79"/>
      <c r="G845" s="25" t="str">
        <f t="shared" si="40"/>
        <v/>
      </c>
      <c r="H845" s="88"/>
      <c r="I845" s="93"/>
      <c r="J845" s="97"/>
      <c r="K845" s="88"/>
      <c r="L845" s="25" t="str">
        <f>IF($D845="","",SUMIFS($H$4:$H845,$D$4:$D845,$D845)+SUMIFS($I$4:$I845,$D$4:$D845,$D845)-SUMIFS($J$4:$J845,$D$4:$D845,$D845)-SUMIFS($K$4:$K845,$D$4:$D845,$D845))</f>
        <v/>
      </c>
      <c r="M845" s="80"/>
      <c r="N845" s="80"/>
      <c r="O845" s="94"/>
      <c r="P845" s="26" t="str">
        <f t="shared" si="41"/>
        <v/>
      </c>
      <c r="Q845" s="80"/>
      <c r="R845" s="80"/>
      <c r="S845" s="80"/>
      <c r="T845" s="82"/>
      <c r="U845" s="80"/>
      <c r="V845" s="80"/>
      <c r="W845" s="80"/>
    </row>
    <row r="846" ht="18" customHeight="1" spans="1:23">
      <c r="A846" s="87" t="str">
        <f t="shared" si="39"/>
        <v/>
      </c>
      <c r="B846" s="78"/>
      <c r="C846" s="80"/>
      <c r="D846" s="79"/>
      <c r="E846" s="80"/>
      <c r="F846" s="79"/>
      <c r="G846" s="25" t="str">
        <f t="shared" si="40"/>
        <v/>
      </c>
      <c r="H846" s="88"/>
      <c r="I846" s="93"/>
      <c r="J846" s="97"/>
      <c r="K846" s="88"/>
      <c r="L846" s="25" t="str">
        <f>IF($D846="","",SUMIFS($H$4:$H846,$D$4:$D846,$D846)+SUMIFS($I$4:$I846,$D$4:$D846,$D846)-SUMIFS($J$4:$J846,$D$4:$D846,$D846)-SUMIFS($K$4:$K846,$D$4:$D846,$D846))</f>
        <v/>
      </c>
      <c r="M846" s="80"/>
      <c r="N846" s="80"/>
      <c r="O846" s="94"/>
      <c r="P846" s="26" t="str">
        <f t="shared" si="41"/>
        <v/>
      </c>
      <c r="Q846" s="80"/>
      <c r="R846" s="80"/>
      <c r="S846" s="80"/>
      <c r="T846" s="82"/>
      <c r="U846" s="80"/>
      <c r="V846" s="80"/>
      <c r="W846" s="80"/>
    </row>
    <row r="847" ht="18" customHeight="1" spans="1:23">
      <c r="A847" s="87" t="str">
        <f t="shared" si="39"/>
        <v/>
      </c>
      <c r="B847" s="78"/>
      <c r="C847" s="80"/>
      <c r="D847" s="79"/>
      <c r="E847" s="80"/>
      <c r="F847" s="79"/>
      <c r="G847" s="25" t="str">
        <f t="shared" si="40"/>
        <v/>
      </c>
      <c r="H847" s="88"/>
      <c r="I847" s="93"/>
      <c r="J847" s="97"/>
      <c r="K847" s="88"/>
      <c r="L847" s="25" t="str">
        <f>IF($D847="","",SUMIFS($H$4:$H847,$D$4:$D847,$D847)+SUMIFS($I$4:$I847,$D$4:$D847,$D847)-SUMIFS($J$4:$J847,$D$4:$D847,$D847)-SUMIFS($K$4:$K847,$D$4:$D847,$D847))</f>
        <v/>
      </c>
      <c r="M847" s="80"/>
      <c r="N847" s="80"/>
      <c r="O847" s="94"/>
      <c r="P847" s="26" t="str">
        <f t="shared" si="41"/>
        <v/>
      </c>
      <c r="Q847" s="80"/>
      <c r="R847" s="80"/>
      <c r="S847" s="80"/>
      <c r="T847" s="82"/>
      <c r="U847" s="80"/>
      <c r="V847" s="80"/>
      <c r="W847" s="80"/>
    </row>
    <row r="848" ht="18" customHeight="1" spans="1:23">
      <c r="A848" s="87" t="str">
        <f t="shared" si="39"/>
        <v/>
      </c>
      <c r="B848" s="78"/>
      <c r="C848" s="80"/>
      <c r="D848" s="79"/>
      <c r="E848" s="80"/>
      <c r="F848" s="79"/>
      <c r="G848" s="25" t="str">
        <f t="shared" si="40"/>
        <v/>
      </c>
      <c r="H848" s="88"/>
      <c r="I848" s="93"/>
      <c r="J848" s="97"/>
      <c r="K848" s="88"/>
      <c r="L848" s="25" t="str">
        <f>IF($D848="","",SUMIFS($H$4:$H848,$D$4:$D848,$D848)+SUMIFS($I$4:$I848,$D$4:$D848,$D848)-SUMIFS($J$4:$J848,$D$4:$D848,$D848)-SUMIFS($K$4:$K848,$D$4:$D848,$D848))</f>
        <v/>
      </c>
      <c r="M848" s="80"/>
      <c r="N848" s="80"/>
      <c r="O848" s="94"/>
      <c r="P848" s="26" t="str">
        <f t="shared" si="41"/>
        <v/>
      </c>
      <c r="Q848" s="80"/>
      <c r="R848" s="80"/>
      <c r="S848" s="80"/>
      <c r="T848" s="82"/>
      <c r="U848" s="80"/>
      <c r="V848" s="80"/>
      <c r="W848" s="80"/>
    </row>
    <row r="849" ht="18" customHeight="1" spans="1:23">
      <c r="A849" s="87" t="str">
        <f t="shared" si="39"/>
        <v/>
      </c>
      <c r="B849" s="78"/>
      <c r="C849" s="80"/>
      <c r="D849" s="79"/>
      <c r="E849" s="80"/>
      <c r="F849" s="79"/>
      <c r="G849" s="25" t="str">
        <f t="shared" si="40"/>
        <v/>
      </c>
      <c r="H849" s="88"/>
      <c r="I849" s="93"/>
      <c r="J849" s="97"/>
      <c r="K849" s="88"/>
      <c r="L849" s="25" t="str">
        <f>IF($D849="","",SUMIFS($H$4:$H849,$D$4:$D849,$D849)+SUMIFS($I$4:$I849,$D$4:$D849,$D849)-SUMIFS($J$4:$J849,$D$4:$D849,$D849)-SUMIFS($K$4:$K849,$D$4:$D849,$D849))</f>
        <v/>
      </c>
      <c r="M849" s="80"/>
      <c r="N849" s="80"/>
      <c r="O849" s="94"/>
      <c r="P849" s="26" t="str">
        <f t="shared" si="41"/>
        <v/>
      </c>
      <c r="Q849" s="80"/>
      <c r="R849" s="80"/>
      <c r="S849" s="80"/>
      <c r="T849" s="82"/>
      <c r="U849" s="80"/>
      <c r="V849" s="80"/>
      <c r="W849" s="80"/>
    </row>
    <row r="850" ht="18" customHeight="1" spans="1:23">
      <c r="A850" s="87" t="str">
        <f t="shared" si="39"/>
        <v/>
      </c>
      <c r="B850" s="78"/>
      <c r="C850" s="80"/>
      <c r="D850" s="79"/>
      <c r="E850" s="80"/>
      <c r="F850" s="79"/>
      <c r="G850" s="25" t="str">
        <f t="shared" si="40"/>
        <v/>
      </c>
      <c r="H850" s="88"/>
      <c r="I850" s="93"/>
      <c r="J850" s="97"/>
      <c r="K850" s="88"/>
      <c r="L850" s="25" t="str">
        <f>IF($D850="","",SUMIFS($H$4:$H850,$D$4:$D850,$D850)+SUMIFS($I$4:$I850,$D$4:$D850,$D850)-SUMIFS($J$4:$J850,$D$4:$D850,$D850)-SUMIFS($K$4:$K850,$D$4:$D850,$D850))</f>
        <v/>
      </c>
      <c r="M850" s="80"/>
      <c r="N850" s="80"/>
      <c r="O850" s="94"/>
      <c r="P850" s="26" t="str">
        <f t="shared" si="41"/>
        <v/>
      </c>
      <c r="Q850" s="80"/>
      <c r="R850" s="80"/>
      <c r="S850" s="80"/>
      <c r="T850" s="82"/>
      <c r="U850" s="80"/>
      <c r="V850" s="80"/>
      <c r="W850" s="80"/>
    </row>
    <row r="851" ht="18" customHeight="1" spans="1:23">
      <c r="A851" s="87" t="str">
        <f t="shared" si="39"/>
        <v/>
      </c>
      <c r="B851" s="78"/>
      <c r="C851" s="80"/>
      <c r="D851" s="79"/>
      <c r="E851" s="80"/>
      <c r="F851" s="79"/>
      <c r="G851" s="25" t="str">
        <f t="shared" si="40"/>
        <v/>
      </c>
      <c r="H851" s="88"/>
      <c r="I851" s="93"/>
      <c r="J851" s="97"/>
      <c r="K851" s="88"/>
      <c r="L851" s="25" t="str">
        <f>IF($D851="","",SUMIFS($H$4:$H851,$D$4:$D851,$D851)+SUMIFS($I$4:$I851,$D$4:$D851,$D851)-SUMIFS($J$4:$J851,$D$4:$D851,$D851)-SUMIFS($K$4:$K851,$D$4:$D851,$D851))</f>
        <v/>
      </c>
      <c r="M851" s="80"/>
      <c r="N851" s="80"/>
      <c r="O851" s="94"/>
      <c r="P851" s="26" t="str">
        <f t="shared" si="41"/>
        <v/>
      </c>
      <c r="Q851" s="80"/>
      <c r="R851" s="80"/>
      <c r="S851" s="80"/>
      <c r="T851" s="82"/>
      <c r="U851" s="80"/>
      <c r="V851" s="80"/>
      <c r="W851" s="80"/>
    </row>
    <row r="852" ht="18" customHeight="1" spans="1:23">
      <c r="A852" s="87" t="str">
        <f t="shared" si="39"/>
        <v/>
      </c>
      <c r="B852" s="78"/>
      <c r="C852" s="80"/>
      <c r="D852" s="79"/>
      <c r="E852" s="80"/>
      <c r="F852" s="79"/>
      <c r="G852" s="25" t="str">
        <f t="shared" si="40"/>
        <v/>
      </c>
      <c r="H852" s="88"/>
      <c r="I852" s="93"/>
      <c r="J852" s="97"/>
      <c r="K852" s="88"/>
      <c r="L852" s="25" t="str">
        <f>IF($D852="","",SUMIFS($H$4:$H852,$D$4:$D852,$D852)+SUMIFS($I$4:$I852,$D$4:$D852,$D852)-SUMIFS($J$4:$J852,$D$4:$D852,$D852)-SUMIFS($K$4:$K852,$D$4:$D852,$D852))</f>
        <v/>
      </c>
      <c r="M852" s="80"/>
      <c r="N852" s="80"/>
      <c r="O852" s="94"/>
      <c r="P852" s="26" t="str">
        <f t="shared" si="41"/>
        <v/>
      </c>
      <c r="Q852" s="80"/>
      <c r="R852" s="80"/>
      <c r="S852" s="80"/>
      <c r="T852" s="82"/>
      <c r="U852" s="80"/>
      <c r="V852" s="80"/>
      <c r="W852" s="80"/>
    </row>
    <row r="853" ht="18" customHeight="1" spans="1:23">
      <c r="A853" s="87" t="str">
        <f t="shared" si="39"/>
        <v/>
      </c>
      <c r="B853" s="78"/>
      <c r="C853" s="80"/>
      <c r="D853" s="79"/>
      <c r="E853" s="80"/>
      <c r="F853" s="79"/>
      <c r="G853" s="25" t="str">
        <f t="shared" si="40"/>
        <v/>
      </c>
      <c r="H853" s="88"/>
      <c r="I853" s="93"/>
      <c r="J853" s="97"/>
      <c r="K853" s="88"/>
      <c r="L853" s="25" t="str">
        <f>IF($D853="","",SUMIFS($H$4:$H853,$D$4:$D853,$D853)+SUMIFS($I$4:$I853,$D$4:$D853,$D853)-SUMIFS($J$4:$J853,$D$4:$D853,$D853)-SUMIFS($K$4:$K853,$D$4:$D853,$D853))</f>
        <v/>
      </c>
      <c r="M853" s="80"/>
      <c r="N853" s="80"/>
      <c r="O853" s="94"/>
      <c r="P853" s="26" t="str">
        <f t="shared" si="41"/>
        <v/>
      </c>
      <c r="Q853" s="80"/>
      <c r="R853" s="80"/>
      <c r="S853" s="80"/>
      <c r="T853" s="82"/>
      <c r="U853" s="80"/>
      <c r="V853" s="80"/>
      <c r="W853" s="80"/>
    </row>
    <row r="854" ht="18" customHeight="1" spans="1:23">
      <c r="A854" s="87" t="str">
        <f t="shared" si="39"/>
        <v/>
      </c>
      <c r="B854" s="78"/>
      <c r="C854" s="80"/>
      <c r="D854" s="79"/>
      <c r="E854" s="80"/>
      <c r="F854" s="79"/>
      <c r="G854" s="25" t="str">
        <f t="shared" si="40"/>
        <v/>
      </c>
      <c r="H854" s="88"/>
      <c r="I854" s="93"/>
      <c r="J854" s="97"/>
      <c r="K854" s="88"/>
      <c r="L854" s="25" t="str">
        <f>IF($D854="","",SUMIFS($H$4:$H854,$D$4:$D854,$D854)+SUMIFS($I$4:$I854,$D$4:$D854,$D854)-SUMIFS($J$4:$J854,$D$4:$D854,$D854)-SUMIFS($K$4:$K854,$D$4:$D854,$D854))</f>
        <v/>
      </c>
      <c r="M854" s="80"/>
      <c r="N854" s="80"/>
      <c r="O854" s="94"/>
      <c r="P854" s="26" t="str">
        <f t="shared" si="41"/>
        <v/>
      </c>
      <c r="Q854" s="80"/>
      <c r="R854" s="80"/>
      <c r="S854" s="80"/>
      <c r="T854" s="82"/>
      <c r="U854" s="80"/>
      <c r="V854" s="80"/>
      <c r="W854" s="80"/>
    </row>
    <row r="855" ht="18" customHeight="1" spans="1:23">
      <c r="A855" s="87" t="str">
        <f t="shared" si="39"/>
        <v/>
      </c>
      <c r="B855" s="78"/>
      <c r="C855" s="80"/>
      <c r="D855" s="79"/>
      <c r="E855" s="80"/>
      <c r="F855" s="79"/>
      <c r="G855" s="25" t="str">
        <f t="shared" si="40"/>
        <v/>
      </c>
      <c r="H855" s="88"/>
      <c r="I855" s="93"/>
      <c r="J855" s="97"/>
      <c r="K855" s="88"/>
      <c r="L855" s="25" t="str">
        <f>IF($D855="","",SUMIFS($H$4:$H855,$D$4:$D855,$D855)+SUMIFS($I$4:$I855,$D$4:$D855,$D855)-SUMIFS($J$4:$J855,$D$4:$D855,$D855)-SUMIFS($K$4:$K855,$D$4:$D855,$D855))</f>
        <v/>
      </c>
      <c r="M855" s="80"/>
      <c r="N855" s="80"/>
      <c r="O855" s="94"/>
      <c r="P855" s="26" t="str">
        <f t="shared" si="41"/>
        <v/>
      </c>
      <c r="Q855" s="80"/>
      <c r="R855" s="80"/>
      <c r="S855" s="80"/>
      <c r="T855" s="82"/>
      <c r="U855" s="80"/>
      <c r="V855" s="80"/>
      <c r="W855" s="80"/>
    </row>
    <row r="856" ht="18" customHeight="1" spans="1:23">
      <c r="A856" s="87" t="str">
        <f t="shared" si="39"/>
        <v/>
      </c>
      <c r="B856" s="78"/>
      <c r="C856" s="80"/>
      <c r="D856" s="79"/>
      <c r="E856" s="80"/>
      <c r="F856" s="79"/>
      <c r="G856" s="25" t="str">
        <f t="shared" si="40"/>
        <v/>
      </c>
      <c r="H856" s="88"/>
      <c r="I856" s="93"/>
      <c r="J856" s="97"/>
      <c r="K856" s="88"/>
      <c r="L856" s="25" t="str">
        <f>IF($D856="","",SUMIFS($H$4:$H856,$D$4:$D856,$D856)+SUMIFS($I$4:$I856,$D$4:$D856,$D856)-SUMIFS($J$4:$J856,$D$4:$D856,$D856)-SUMIFS($K$4:$K856,$D$4:$D856,$D856))</f>
        <v/>
      </c>
      <c r="M856" s="80"/>
      <c r="N856" s="80"/>
      <c r="O856" s="94"/>
      <c r="P856" s="26" t="str">
        <f t="shared" si="41"/>
        <v/>
      </c>
      <c r="Q856" s="80"/>
      <c r="R856" s="80"/>
      <c r="S856" s="80"/>
      <c r="T856" s="82"/>
      <c r="U856" s="80"/>
      <c r="V856" s="80"/>
      <c r="W856" s="80"/>
    </row>
    <row r="857" ht="18" customHeight="1" spans="1:23">
      <c r="A857" s="87" t="str">
        <f t="shared" si="39"/>
        <v/>
      </c>
      <c r="B857" s="78"/>
      <c r="C857" s="80"/>
      <c r="D857" s="79"/>
      <c r="E857" s="80"/>
      <c r="F857" s="79"/>
      <c r="G857" s="25" t="str">
        <f t="shared" si="40"/>
        <v/>
      </c>
      <c r="H857" s="88"/>
      <c r="I857" s="93"/>
      <c r="J857" s="97"/>
      <c r="K857" s="88"/>
      <c r="L857" s="25" t="str">
        <f>IF($D857="","",SUMIFS($H$4:$H857,$D$4:$D857,$D857)+SUMIFS($I$4:$I857,$D$4:$D857,$D857)-SUMIFS($J$4:$J857,$D$4:$D857,$D857)-SUMIFS($K$4:$K857,$D$4:$D857,$D857))</f>
        <v/>
      </c>
      <c r="M857" s="80"/>
      <c r="N857" s="80"/>
      <c r="O857" s="94"/>
      <c r="P857" s="26" t="str">
        <f t="shared" si="41"/>
        <v/>
      </c>
      <c r="Q857" s="80"/>
      <c r="R857" s="80"/>
      <c r="S857" s="80"/>
      <c r="T857" s="82"/>
      <c r="U857" s="80"/>
      <c r="V857" s="80"/>
      <c r="W857" s="80"/>
    </row>
    <row r="858" ht="18" customHeight="1" spans="1:23">
      <c r="A858" s="87" t="str">
        <f t="shared" si="39"/>
        <v/>
      </c>
      <c r="B858" s="78"/>
      <c r="C858" s="80"/>
      <c r="D858" s="79"/>
      <c r="E858" s="80"/>
      <c r="F858" s="79"/>
      <c r="G858" s="25" t="str">
        <f t="shared" si="40"/>
        <v/>
      </c>
      <c r="H858" s="88"/>
      <c r="I858" s="93"/>
      <c r="J858" s="97"/>
      <c r="K858" s="88"/>
      <c r="L858" s="25" t="str">
        <f>IF($D858="","",SUMIFS($H$4:$H858,$D$4:$D858,$D858)+SUMIFS($I$4:$I858,$D$4:$D858,$D858)-SUMIFS($J$4:$J858,$D$4:$D858,$D858)-SUMIFS($K$4:$K858,$D$4:$D858,$D858))</f>
        <v/>
      </c>
      <c r="M858" s="80"/>
      <c r="N858" s="80"/>
      <c r="O858" s="94"/>
      <c r="P858" s="26" t="str">
        <f t="shared" si="41"/>
        <v/>
      </c>
      <c r="Q858" s="80"/>
      <c r="R858" s="80"/>
      <c r="S858" s="80"/>
      <c r="T858" s="82"/>
      <c r="U858" s="80"/>
      <c r="V858" s="80"/>
      <c r="W858" s="80"/>
    </row>
    <row r="859" ht="18" customHeight="1" spans="1:23">
      <c r="A859" s="87" t="str">
        <f t="shared" si="39"/>
        <v/>
      </c>
      <c r="B859" s="78"/>
      <c r="C859" s="80"/>
      <c r="D859" s="79"/>
      <c r="E859" s="80"/>
      <c r="F859" s="79"/>
      <c r="G859" s="25" t="str">
        <f t="shared" si="40"/>
        <v/>
      </c>
      <c r="H859" s="88"/>
      <c r="I859" s="93"/>
      <c r="J859" s="97"/>
      <c r="K859" s="88"/>
      <c r="L859" s="25" t="str">
        <f>IF($D859="","",SUMIFS($H$4:$H859,$D$4:$D859,$D859)+SUMIFS($I$4:$I859,$D$4:$D859,$D859)-SUMIFS($J$4:$J859,$D$4:$D859,$D859)-SUMIFS($K$4:$K859,$D$4:$D859,$D859))</f>
        <v/>
      </c>
      <c r="M859" s="80"/>
      <c r="N859" s="80"/>
      <c r="O859" s="94"/>
      <c r="P859" s="26" t="str">
        <f t="shared" si="41"/>
        <v/>
      </c>
      <c r="Q859" s="80"/>
      <c r="R859" s="80"/>
      <c r="S859" s="80"/>
      <c r="T859" s="82"/>
      <c r="U859" s="80"/>
      <c r="V859" s="80"/>
      <c r="W859" s="80"/>
    </row>
    <row r="860" ht="18" customHeight="1" spans="1:23">
      <c r="A860" s="87" t="str">
        <f t="shared" si="39"/>
        <v/>
      </c>
      <c r="B860" s="78"/>
      <c r="C860" s="80"/>
      <c r="D860" s="79"/>
      <c r="E860" s="80"/>
      <c r="F860" s="79"/>
      <c r="G860" s="25" t="str">
        <f t="shared" si="40"/>
        <v/>
      </c>
      <c r="H860" s="88"/>
      <c r="I860" s="93"/>
      <c r="J860" s="97"/>
      <c r="K860" s="88"/>
      <c r="L860" s="25" t="str">
        <f>IF($D860="","",SUMIFS($H$4:$H860,$D$4:$D860,$D860)+SUMIFS($I$4:$I860,$D$4:$D860,$D860)-SUMIFS($J$4:$J860,$D$4:$D860,$D860)-SUMIFS($K$4:$K860,$D$4:$D860,$D860))</f>
        <v/>
      </c>
      <c r="M860" s="80"/>
      <c r="N860" s="80"/>
      <c r="O860" s="94"/>
      <c r="P860" s="26" t="str">
        <f t="shared" si="41"/>
        <v/>
      </c>
      <c r="Q860" s="80"/>
      <c r="R860" s="80"/>
      <c r="S860" s="80"/>
      <c r="T860" s="82"/>
      <c r="U860" s="80"/>
      <c r="V860" s="80"/>
      <c r="W860" s="80"/>
    </row>
    <row r="861" ht="18" customHeight="1" spans="1:23">
      <c r="A861" s="87" t="str">
        <f t="shared" si="39"/>
        <v/>
      </c>
      <c r="B861" s="78"/>
      <c r="C861" s="80"/>
      <c r="D861" s="79"/>
      <c r="E861" s="80"/>
      <c r="F861" s="79"/>
      <c r="G861" s="25" t="str">
        <f t="shared" si="40"/>
        <v/>
      </c>
      <c r="H861" s="88"/>
      <c r="I861" s="93"/>
      <c r="J861" s="97"/>
      <c r="K861" s="88"/>
      <c r="L861" s="25" t="str">
        <f>IF($D861="","",SUMIFS($H$4:$H861,$D$4:$D861,$D861)+SUMIFS($I$4:$I861,$D$4:$D861,$D861)-SUMIFS($J$4:$J861,$D$4:$D861,$D861)-SUMIFS($K$4:$K861,$D$4:$D861,$D861))</f>
        <v/>
      </c>
      <c r="M861" s="80"/>
      <c r="N861" s="80"/>
      <c r="O861" s="94"/>
      <c r="P861" s="26" t="str">
        <f t="shared" si="41"/>
        <v/>
      </c>
      <c r="Q861" s="80"/>
      <c r="R861" s="80"/>
      <c r="S861" s="80"/>
      <c r="T861" s="82"/>
      <c r="U861" s="80"/>
      <c r="V861" s="80"/>
      <c r="W861" s="80"/>
    </row>
    <row r="862" ht="18" customHeight="1" spans="1:23">
      <c r="A862" s="87" t="str">
        <f t="shared" si="39"/>
        <v/>
      </c>
      <c r="B862" s="78"/>
      <c r="C862" s="80"/>
      <c r="D862" s="79"/>
      <c r="E862" s="80"/>
      <c r="F862" s="79"/>
      <c r="G862" s="25" t="str">
        <f t="shared" si="40"/>
        <v/>
      </c>
      <c r="H862" s="88"/>
      <c r="I862" s="93"/>
      <c r="J862" s="97"/>
      <c r="K862" s="88"/>
      <c r="L862" s="25" t="str">
        <f>IF($D862="","",SUMIFS($H$4:$H862,$D$4:$D862,$D862)+SUMIFS($I$4:$I862,$D$4:$D862,$D862)-SUMIFS($J$4:$J862,$D$4:$D862,$D862)-SUMIFS($K$4:$K862,$D$4:$D862,$D862))</f>
        <v/>
      </c>
      <c r="M862" s="80"/>
      <c r="N862" s="80"/>
      <c r="O862" s="94"/>
      <c r="P862" s="26" t="str">
        <f t="shared" si="41"/>
        <v/>
      </c>
      <c r="Q862" s="80"/>
      <c r="R862" s="80"/>
      <c r="S862" s="80"/>
      <c r="T862" s="82"/>
      <c r="U862" s="80"/>
      <c r="V862" s="80"/>
      <c r="W862" s="80"/>
    </row>
    <row r="863" ht="18" customHeight="1" spans="1:23">
      <c r="A863" s="87" t="str">
        <f t="shared" si="39"/>
        <v/>
      </c>
      <c r="B863" s="78"/>
      <c r="C863" s="80"/>
      <c r="D863" s="79"/>
      <c r="E863" s="80"/>
      <c r="F863" s="79"/>
      <c r="G863" s="25" t="str">
        <f t="shared" si="40"/>
        <v/>
      </c>
      <c r="H863" s="88"/>
      <c r="I863" s="93"/>
      <c r="J863" s="97"/>
      <c r="K863" s="88"/>
      <c r="L863" s="25" t="str">
        <f>IF($D863="","",SUMIFS($H$4:$H863,$D$4:$D863,$D863)+SUMIFS($I$4:$I863,$D$4:$D863,$D863)-SUMIFS($J$4:$J863,$D$4:$D863,$D863)-SUMIFS($K$4:$K863,$D$4:$D863,$D863))</f>
        <v/>
      </c>
      <c r="M863" s="80"/>
      <c r="N863" s="80"/>
      <c r="O863" s="94"/>
      <c r="P863" s="26" t="str">
        <f t="shared" si="41"/>
        <v/>
      </c>
      <c r="Q863" s="80"/>
      <c r="R863" s="80"/>
      <c r="S863" s="80"/>
      <c r="T863" s="82"/>
      <c r="U863" s="80"/>
      <c r="V863" s="80"/>
      <c r="W863" s="80"/>
    </row>
    <row r="864" ht="18" customHeight="1" spans="1:23">
      <c r="A864" s="87" t="str">
        <f t="shared" si="39"/>
        <v/>
      </c>
      <c r="B864" s="78"/>
      <c r="C864" s="80"/>
      <c r="D864" s="79"/>
      <c r="E864" s="80"/>
      <c r="F864" s="79"/>
      <c r="G864" s="25" t="str">
        <f t="shared" si="40"/>
        <v/>
      </c>
      <c r="H864" s="88"/>
      <c r="I864" s="93"/>
      <c r="J864" s="97"/>
      <c r="K864" s="88"/>
      <c r="L864" s="25" t="str">
        <f>IF($D864="","",SUMIFS($H$4:$H864,$D$4:$D864,$D864)+SUMIFS($I$4:$I864,$D$4:$D864,$D864)-SUMIFS($J$4:$J864,$D$4:$D864,$D864)-SUMIFS($K$4:$K864,$D$4:$D864,$D864))</f>
        <v/>
      </c>
      <c r="M864" s="80"/>
      <c r="N864" s="80"/>
      <c r="O864" s="94"/>
      <c r="P864" s="26" t="str">
        <f t="shared" si="41"/>
        <v/>
      </c>
      <c r="Q864" s="80"/>
      <c r="R864" s="80"/>
      <c r="S864" s="80"/>
      <c r="T864" s="82"/>
      <c r="U864" s="80"/>
      <c r="V864" s="80"/>
      <c r="W864" s="80"/>
    </row>
    <row r="865" ht="18" customHeight="1" spans="1:23">
      <c r="A865" s="87" t="str">
        <f t="shared" si="39"/>
        <v/>
      </c>
      <c r="B865" s="78"/>
      <c r="C865" s="80"/>
      <c r="D865" s="79"/>
      <c r="E865" s="80"/>
      <c r="F865" s="79"/>
      <c r="G865" s="25" t="str">
        <f t="shared" si="40"/>
        <v/>
      </c>
      <c r="H865" s="88"/>
      <c r="I865" s="93"/>
      <c r="J865" s="97"/>
      <c r="K865" s="88"/>
      <c r="L865" s="25" t="str">
        <f>IF($D865="","",SUMIFS($H$4:$H865,$D$4:$D865,$D865)+SUMIFS($I$4:$I865,$D$4:$D865,$D865)-SUMIFS($J$4:$J865,$D$4:$D865,$D865)-SUMIFS($K$4:$K865,$D$4:$D865,$D865))</f>
        <v/>
      </c>
      <c r="M865" s="80"/>
      <c r="N865" s="80"/>
      <c r="O865" s="94"/>
      <c r="P865" s="26" t="str">
        <f t="shared" si="41"/>
        <v/>
      </c>
      <c r="Q865" s="80"/>
      <c r="R865" s="80"/>
      <c r="S865" s="80"/>
      <c r="T865" s="82"/>
      <c r="U865" s="80"/>
      <c r="V865" s="80"/>
      <c r="W865" s="80"/>
    </row>
    <row r="866" ht="18" customHeight="1" spans="1:23">
      <c r="A866" s="87" t="str">
        <f t="shared" si="39"/>
        <v/>
      </c>
      <c r="B866" s="78"/>
      <c r="C866" s="80"/>
      <c r="D866" s="79"/>
      <c r="E866" s="80"/>
      <c r="F866" s="79"/>
      <c r="G866" s="25" t="str">
        <f t="shared" si="40"/>
        <v/>
      </c>
      <c r="H866" s="88"/>
      <c r="I866" s="93"/>
      <c r="J866" s="97"/>
      <c r="K866" s="88"/>
      <c r="L866" s="25" t="str">
        <f>IF($D866="","",SUMIFS($H$4:$H866,$D$4:$D866,$D866)+SUMIFS($I$4:$I866,$D$4:$D866,$D866)-SUMIFS($J$4:$J866,$D$4:$D866,$D866)-SUMIFS($K$4:$K866,$D$4:$D866,$D866))</f>
        <v/>
      </c>
      <c r="M866" s="80"/>
      <c r="N866" s="80"/>
      <c r="O866" s="94"/>
      <c r="P866" s="26" t="str">
        <f t="shared" si="41"/>
        <v/>
      </c>
      <c r="Q866" s="80"/>
      <c r="R866" s="80"/>
      <c r="S866" s="80"/>
      <c r="T866" s="82"/>
      <c r="U866" s="80"/>
      <c r="V866" s="80"/>
      <c r="W866" s="80"/>
    </row>
    <row r="867" ht="18" customHeight="1" spans="1:23">
      <c r="A867" s="87" t="str">
        <f t="shared" si="39"/>
        <v/>
      </c>
      <c r="B867" s="78"/>
      <c r="C867" s="80"/>
      <c r="D867" s="79"/>
      <c r="E867" s="80"/>
      <c r="F867" s="79"/>
      <c r="G867" s="25" t="str">
        <f t="shared" si="40"/>
        <v/>
      </c>
      <c r="H867" s="88"/>
      <c r="I867" s="93"/>
      <c r="J867" s="97"/>
      <c r="K867" s="88"/>
      <c r="L867" s="25" t="str">
        <f>IF($D867="","",SUMIFS($H$4:$H867,$D$4:$D867,$D867)+SUMIFS($I$4:$I867,$D$4:$D867,$D867)-SUMIFS($J$4:$J867,$D$4:$D867,$D867)-SUMIFS($K$4:$K867,$D$4:$D867,$D867))</f>
        <v/>
      </c>
      <c r="M867" s="80"/>
      <c r="N867" s="80"/>
      <c r="O867" s="94"/>
      <c r="P867" s="26" t="str">
        <f t="shared" si="41"/>
        <v/>
      </c>
      <c r="Q867" s="80"/>
      <c r="R867" s="80"/>
      <c r="S867" s="80"/>
      <c r="T867" s="82"/>
      <c r="U867" s="80"/>
      <c r="V867" s="80"/>
      <c r="W867" s="80"/>
    </row>
    <row r="868" ht="18" customHeight="1" spans="1:23">
      <c r="A868" s="87" t="str">
        <f t="shared" si="39"/>
        <v/>
      </c>
      <c r="B868" s="78"/>
      <c r="C868" s="80"/>
      <c r="D868" s="79"/>
      <c r="E868" s="80"/>
      <c r="F868" s="79"/>
      <c r="G868" s="25" t="str">
        <f t="shared" si="40"/>
        <v/>
      </c>
      <c r="H868" s="88"/>
      <c r="I868" s="93"/>
      <c r="J868" s="97"/>
      <c r="K868" s="88"/>
      <c r="L868" s="25" t="str">
        <f>IF($D868="","",SUMIFS($H$4:$H868,$D$4:$D868,$D868)+SUMIFS($I$4:$I868,$D$4:$D868,$D868)-SUMIFS($J$4:$J868,$D$4:$D868,$D868)-SUMIFS($K$4:$K868,$D$4:$D868,$D868))</f>
        <v/>
      </c>
      <c r="M868" s="80"/>
      <c r="N868" s="80"/>
      <c r="O868" s="94"/>
      <c r="P868" s="26" t="str">
        <f t="shared" si="41"/>
        <v/>
      </c>
      <c r="Q868" s="80"/>
      <c r="R868" s="80"/>
      <c r="S868" s="80"/>
      <c r="T868" s="82"/>
      <c r="U868" s="80"/>
      <c r="V868" s="80"/>
      <c r="W868" s="80"/>
    </row>
    <row r="869" ht="18" customHeight="1" spans="1:23">
      <c r="A869" s="87" t="str">
        <f t="shared" si="39"/>
        <v/>
      </c>
      <c r="B869" s="78"/>
      <c r="C869" s="80"/>
      <c r="D869" s="79"/>
      <c r="E869" s="80"/>
      <c r="F869" s="79"/>
      <c r="G869" s="25" t="str">
        <f t="shared" si="40"/>
        <v/>
      </c>
      <c r="H869" s="88"/>
      <c r="I869" s="93"/>
      <c r="J869" s="97"/>
      <c r="K869" s="88"/>
      <c r="L869" s="25" t="str">
        <f>IF($D869="","",SUMIFS($H$4:$H869,$D$4:$D869,$D869)+SUMIFS($I$4:$I869,$D$4:$D869,$D869)-SUMIFS($J$4:$J869,$D$4:$D869,$D869)-SUMIFS($K$4:$K869,$D$4:$D869,$D869))</f>
        <v/>
      </c>
      <c r="M869" s="80"/>
      <c r="N869" s="80"/>
      <c r="O869" s="94"/>
      <c r="P869" s="26" t="str">
        <f t="shared" si="41"/>
        <v/>
      </c>
      <c r="Q869" s="80"/>
      <c r="R869" s="80"/>
      <c r="S869" s="80"/>
      <c r="T869" s="82"/>
      <c r="U869" s="80"/>
      <c r="V869" s="80"/>
      <c r="W869" s="80"/>
    </row>
    <row r="870" ht="18" customHeight="1" spans="1:23">
      <c r="A870" s="87" t="str">
        <f t="shared" si="39"/>
        <v/>
      </c>
      <c r="B870" s="78"/>
      <c r="C870" s="80"/>
      <c r="D870" s="79"/>
      <c r="E870" s="80"/>
      <c r="F870" s="79"/>
      <c r="G870" s="25" t="str">
        <f t="shared" si="40"/>
        <v/>
      </c>
      <c r="H870" s="88"/>
      <c r="I870" s="93"/>
      <c r="J870" s="97"/>
      <c r="K870" s="88"/>
      <c r="L870" s="25" t="str">
        <f>IF($D870="","",SUMIFS($H$4:$H870,$D$4:$D870,$D870)+SUMIFS($I$4:$I870,$D$4:$D870,$D870)-SUMIFS($J$4:$J870,$D$4:$D870,$D870)-SUMIFS($K$4:$K870,$D$4:$D870,$D870))</f>
        <v/>
      </c>
      <c r="M870" s="80"/>
      <c r="N870" s="80"/>
      <c r="O870" s="94"/>
      <c r="P870" s="26" t="str">
        <f t="shared" si="41"/>
        <v/>
      </c>
      <c r="Q870" s="80"/>
      <c r="R870" s="80"/>
      <c r="S870" s="80"/>
      <c r="T870" s="82"/>
      <c r="U870" s="80"/>
      <c r="V870" s="80"/>
      <c r="W870" s="80"/>
    </row>
    <row r="871" ht="18" customHeight="1" spans="1:23">
      <c r="A871" s="87" t="str">
        <f t="shared" si="39"/>
        <v/>
      </c>
      <c r="B871" s="78"/>
      <c r="C871" s="80"/>
      <c r="D871" s="79"/>
      <c r="E871" s="80"/>
      <c r="F871" s="79"/>
      <c r="G871" s="25" t="str">
        <f t="shared" si="40"/>
        <v/>
      </c>
      <c r="H871" s="88"/>
      <c r="I871" s="93"/>
      <c r="J871" s="97"/>
      <c r="K871" s="88"/>
      <c r="L871" s="25" t="str">
        <f>IF($D871="","",SUMIFS($H$4:$H871,$D$4:$D871,$D871)+SUMIFS($I$4:$I871,$D$4:$D871,$D871)-SUMIFS($J$4:$J871,$D$4:$D871,$D871)-SUMIFS($K$4:$K871,$D$4:$D871,$D871))</f>
        <v/>
      </c>
      <c r="M871" s="80"/>
      <c r="N871" s="80"/>
      <c r="O871" s="94"/>
      <c r="P871" s="26" t="str">
        <f t="shared" si="41"/>
        <v/>
      </c>
      <c r="Q871" s="80"/>
      <c r="R871" s="80"/>
      <c r="S871" s="80"/>
      <c r="T871" s="82"/>
      <c r="U871" s="80"/>
      <c r="V871" s="80"/>
      <c r="W871" s="80"/>
    </row>
    <row r="872" ht="18" customHeight="1" spans="1:23">
      <c r="A872" s="87" t="str">
        <f t="shared" si="39"/>
        <v/>
      </c>
      <c r="B872" s="78"/>
      <c r="C872" s="80"/>
      <c r="D872" s="79"/>
      <c r="E872" s="80"/>
      <c r="F872" s="79"/>
      <c r="G872" s="25" t="str">
        <f t="shared" si="40"/>
        <v/>
      </c>
      <c r="H872" s="88"/>
      <c r="I872" s="93"/>
      <c r="J872" s="97"/>
      <c r="K872" s="88"/>
      <c r="L872" s="25" t="str">
        <f>IF($D872="","",SUMIFS($H$4:$H872,$D$4:$D872,$D872)+SUMIFS($I$4:$I872,$D$4:$D872,$D872)-SUMIFS($J$4:$J872,$D$4:$D872,$D872)-SUMIFS($K$4:$K872,$D$4:$D872,$D872))</f>
        <v/>
      </c>
      <c r="M872" s="80"/>
      <c r="N872" s="80"/>
      <c r="O872" s="94"/>
      <c r="P872" s="26" t="str">
        <f t="shared" si="41"/>
        <v/>
      </c>
      <c r="Q872" s="80"/>
      <c r="R872" s="80"/>
      <c r="S872" s="80"/>
      <c r="T872" s="82"/>
      <c r="U872" s="80"/>
      <c r="V872" s="80"/>
      <c r="W872" s="80"/>
    </row>
    <row r="873" ht="18" customHeight="1" spans="1:23">
      <c r="A873" s="87" t="str">
        <f t="shared" si="39"/>
        <v/>
      </c>
      <c r="B873" s="78"/>
      <c r="C873" s="80"/>
      <c r="D873" s="79"/>
      <c r="E873" s="80"/>
      <c r="F873" s="79"/>
      <c r="G873" s="25" t="str">
        <f t="shared" si="40"/>
        <v/>
      </c>
      <c r="H873" s="88"/>
      <c r="I873" s="93"/>
      <c r="J873" s="97"/>
      <c r="K873" s="88"/>
      <c r="L873" s="25" t="str">
        <f>IF($D873="","",SUMIFS($H$4:$H873,$D$4:$D873,$D873)+SUMIFS($I$4:$I873,$D$4:$D873,$D873)-SUMIFS($J$4:$J873,$D$4:$D873,$D873)-SUMIFS($K$4:$K873,$D$4:$D873,$D873))</f>
        <v/>
      </c>
      <c r="M873" s="80"/>
      <c r="N873" s="80"/>
      <c r="O873" s="94"/>
      <c r="P873" s="26" t="str">
        <f t="shared" si="41"/>
        <v/>
      </c>
      <c r="Q873" s="80"/>
      <c r="R873" s="80"/>
      <c r="S873" s="80"/>
      <c r="T873" s="82"/>
      <c r="U873" s="80"/>
      <c r="V873" s="80"/>
      <c r="W873" s="80"/>
    </row>
    <row r="874" ht="18" customHeight="1" spans="1:23">
      <c r="A874" s="87" t="str">
        <f t="shared" si="39"/>
        <v/>
      </c>
      <c r="B874" s="78"/>
      <c r="C874" s="80"/>
      <c r="D874" s="79"/>
      <c r="E874" s="80"/>
      <c r="F874" s="79"/>
      <c r="G874" s="25" t="str">
        <f t="shared" si="40"/>
        <v/>
      </c>
      <c r="H874" s="88"/>
      <c r="I874" s="93"/>
      <c r="J874" s="97"/>
      <c r="K874" s="88"/>
      <c r="L874" s="25" t="str">
        <f>IF($D874="","",SUMIFS($H$4:$H874,$D$4:$D874,$D874)+SUMIFS($I$4:$I874,$D$4:$D874,$D874)-SUMIFS($J$4:$J874,$D$4:$D874,$D874)-SUMIFS($K$4:$K874,$D$4:$D874,$D874))</f>
        <v/>
      </c>
      <c r="M874" s="80"/>
      <c r="N874" s="80"/>
      <c r="O874" s="94"/>
      <c r="P874" s="26" t="str">
        <f t="shared" si="41"/>
        <v/>
      </c>
      <c r="Q874" s="80"/>
      <c r="R874" s="80"/>
      <c r="S874" s="80"/>
      <c r="T874" s="82"/>
      <c r="U874" s="80"/>
      <c r="V874" s="80"/>
      <c r="W874" s="80"/>
    </row>
    <row r="875" ht="18" customHeight="1" spans="1:23">
      <c r="A875" s="87" t="str">
        <f t="shared" si="39"/>
        <v/>
      </c>
      <c r="B875" s="78"/>
      <c r="C875" s="80"/>
      <c r="D875" s="79"/>
      <c r="E875" s="80"/>
      <c r="F875" s="79"/>
      <c r="G875" s="25" t="str">
        <f t="shared" si="40"/>
        <v/>
      </c>
      <c r="H875" s="88"/>
      <c r="I875" s="93"/>
      <c r="J875" s="97"/>
      <c r="K875" s="88"/>
      <c r="L875" s="25" t="str">
        <f>IF($D875="","",SUMIFS($H$4:$H875,$D$4:$D875,$D875)+SUMIFS($I$4:$I875,$D$4:$D875,$D875)-SUMIFS($J$4:$J875,$D$4:$D875,$D875)-SUMIFS($K$4:$K875,$D$4:$D875,$D875))</f>
        <v/>
      </c>
      <c r="M875" s="80"/>
      <c r="N875" s="80"/>
      <c r="O875" s="94"/>
      <c r="P875" s="26" t="str">
        <f t="shared" si="41"/>
        <v/>
      </c>
      <c r="Q875" s="80"/>
      <c r="R875" s="80"/>
      <c r="S875" s="80"/>
      <c r="T875" s="82"/>
      <c r="U875" s="80"/>
      <c r="V875" s="80"/>
      <c r="W875" s="80"/>
    </row>
    <row r="876" ht="18" customHeight="1" spans="1:23">
      <c r="A876" s="87" t="str">
        <f t="shared" si="39"/>
        <v/>
      </c>
      <c r="B876" s="78"/>
      <c r="C876" s="80"/>
      <c r="D876" s="79"/>
      <c r="E876" s="80"/>
      <c r="F876" s="79"/>
      <c r="G876" s="25" t="str">
        <f t="shared" si="40"/>
        <v/>
      </c>
      <c r="H876" s="88"/>
      <c r="I876" s="93"/>
      <c r="J876" s="97"/>
      <c r="K876" s="88"/>
      <c r="L876" s="25" t="str">
        <f>IF($D876="","",SUMIFS($H$4:$H876,$D$4:$D876,$D876)+SUMIFS($I$4:$I876,$D$4:$D876,$D876)-SUMIFS($J$4:$J876,$D$4:$D876,$D876)-SUMIFS($K$4:$K876,$D$4:$D876,$D876))</f>
        <v/>
      </c>
      <c r="M876" s="80"/>
      <c r="N876" s="80"/>
      <c r="O876" s="94"/>
      <c r="P876" s="26" t="str">
        <f t="shared" si="41"/>
        <v/>
      </c>
      <c r="Q876" s="80"/>
      <c r="R876" s="80"/>
      <c r="S876" s="80"/>
      <c r="T876" s="82"/>
      <c r="U876" s="80"/>
      <c r="V876" s="80"/>
      <c r="W876" s="80"/>
    </row>
    <row r="877" ht="18" customHeight="1" spans="1:23">
      <c r="A877" s="87" t="str">
        <f t="shared" si="39"/>
        <v/>
      </c>
      <c r="B877" s="78"/>
      <c r="C877" s="80"/>
      <c r="D877" s="79"/>
      <c r="E877" s="80"/>
      <c r="F877" s="79"/>
      <c r="G877" s="25" t="str">
        <f t="shared" si="40"/>
        <v/>
      </c>
      <c r="H877" s="88"/>
      <c r="I877" s="93"/>
      <c r="J877" s="97"/>
      <c r="K877" s="88"/>
      <c r="L877" s="25" t="str">
        <f>IF($D877="","",SUMIFS($H$4:$H877,$D$4:$D877,$D877)+SUMIFS($I$4:$I877,$D$4:$D877,$D877)-SUMIFS($J$4:$J877,$D$4:$D877,$D877)-SUMIFS($K$4:$K877,$D$4:$D877,$D877))</f>
        <v/>
      </c>
      <c r="M877" s="80"/>
      <c r="N877" s="80"/>
      <c r="O877" s="94"/>
      <c r="P877" s="26" t="str">
        <f t="shared" si="41"/>
        <v/>
      </c>
      <c r="Q877" s="80"/>
      <c r="R877" s="80"/>
      <c r="S877" s="80"/>
      <c r="T877" s="82"/>
      <c r="U877" s="80"/>
      <c r="V877" s="80"/>
      <c r="W877" s="80"/>
    </row>
    <row r="878" ht="18" customHeight="1" spans="1:23">
      <c r="A878" s="87" t="str">
        <f t="shared" si="39"/>
        <v/>
      </c>
      <c r="B878" s="78"/>
      <c r="C878" s="80"/>
      <c r="D878" s="79"/>
      <c r="E878" s="80"/>
      <c r="F878" s="79"/>
      <c r="G878" s="25" t="str">
        <f t="shared" si="40"/>
        <v/>
      </c>
      <c r="H878" s="88"/>
      <c r="I878" s="93"/>
      <c r="J878" s="97"/>
      <c r="K878" s="88"/>
      <c r="L878" s="25" t="str">
        <f>IF($D878="","",SUMIFS($H$4:$H878,$D$4:$D878,$D878)+SUMIFS($I$4:$I878,$D$4:$D878,$D878)-SUMIFS($J$4:$J878,$D$4:$D878,$D878)-SUMIFS($K$4:$K878,$D$4:$D878,$D878))</f>
        <v/>
      </c>
      <c r="M878" s="80"/>
      <c r="N878" s="80"/>
      <c r="O878" s="94"/>
      <c r="P878" s="26" t="str">
        <f t="shared" si="41"/>
        <v/>
      </c>
      <c r="Q878" s="80"/>
      <c r="R878" s="80"/>
      <c r="S878" s="80"/>
      <c r="T878" s="82"/>
      <c r="U878" s="80"/>
      <c r="V878" s="80"/>
      <c r="W878" s="80"/>
    </row>
    <row r="879" ht="18" customHeight="1" spans="1:23">
      <c r="A879" s="87" t="str">
        <f t="shared" si="39"/>
        <v/>
      </c>
      <c r="B879" s="78"/>
      <c r="C879" s="80"/>
      <c r="D879" s="79"/>
      <c r="E879" s="80"/>
      <c r="F879" s="79"/>
      <c r="G879" s="25" t="str">
        <f t="shared" si="40"/>
        <v/>
      </c>
      <c r="H879" s="88"/>
      <c r="I879" s="93"/>
      <c r="J879" s="97"/>
      <c r="K879" s="88"/>
      <c r="L879" s="25" t="str">
        <f>IF($D879="","",SUMIFS($H$4:$H879,$D$4:$D879,$D879)+SUMIFS($I$4:$I879,$D$4:$D879,$D879)-SUMIFS($J$4:$J879,$D$4:$D879,$D879)-SUMIFS($K$4:$K879,$D$4:$D879,$D879))</f>
        <v/>
      </c>
      <c r="M879" s="80"/>
      <c r="N879" s="80"/>
      <c r="O879" s="94"/>
      <c r="P879" s="26" t="str">
        <f t="shared" si="41"/>
        <v/>
      </c>
      <c r="Q879" s="80"/>
      <c r="R879" s="80"/>
      <c r="S879" s="80"/>
      <c r="T879" s="82"/>
      <c r="U879" s="80"/>
      <c r="V879" s="80"/>
      <c r="W879" s="80"/>
    </row>
    <row r="880" ht="18" customHeight="1" spans="1:23">
      <c r="A880" s="87" t="str">
        <f t="shared" si="39"/>
        <v/>
      </c>
      <c r="B880" s="78"/>
      <c r="C880" s="80"/>
      <c r="D880" s="79"/>
      <c r="E880" s="80"/>
      <c r="F880" s="79"/>
      <c r="G880" s="25" t="str">
        <f t="shared" si="40"/>
        <v/>
      </c>
      <c r="H880" s="88"/>
      <c r="I880" s="93"/>
      <c r="J880" s="97"/>
      <c r="K880" s="88"/>
      <c r="L880" s="25" t="str">
        <f>IF($D880="","",SUMIFS($H$4:$H880,$D$4:$D880,$D880)+SUMIFS($I$4:$I880,$D$4:$D880,$D880)-SUMIFS($J$4:$J880,$D$4:$D880,$D880)-SUMIFS($K$4:$K880,$D$4:$D880,$D880))</f>
        <v/>
      </c>
      <c r="M880" s="80"/>
      <c r="N880" s="80"/>
      <c r="O880" s="94"/>
      <c r="P880" s="26" t="str">
        <f t="shared" si="41"/>
        <v/>
      </c>
      <c r="Q880" s="80"/>
      <c r="R880" s="80"/>
      <c r="S880" s="80"/>
      <c r="T880" s="82"/>
      <c r="U880" s="80"/>
      <c r="V880" s="80"/>
      <c r="W880" s="80"/>
    </row>
    <row r="881" ht="18" customHeight="1" spans="1:23">
      <c r="A881" s="87" t="str">
        <f t="shared" si="39"/>
        <v/>
      </c>
      <c r="B881" s="78"/>
      <c r="C881" s="80"/>
      <c r="D881" s="79"/>
      <c r="E881" s="80"/>
      <c r="F881" s="79"/>
      <c r="G881" s="25" t="str">
        <f t="shared" si="40"/>
        <v/>
      </c>
      <c r="H881" s="88"/>
      <c r="I881" s="93"/>
      <c r="J881" s="97"/>
      <c r="K881" s="88"/>
      <c r="L881" s="25" t="str">
        <f>IF($D881="","",SUMIFS($H$4:$H881,$D$4:$D881,$D881)+SUMIFS($I$4:$I881,$D$4:$D881,$D881)-SUMIFS($J$4:$J881,$D$4:$D881,$D881)-SUMIFS($K$4:$K881,$D$4:$D881,$D881))</f>
        <v/>
      </c>
      <c r="M881" s="80"/>
      <c r="N881" s="80"/>
      <c r="O881" s="94"/>
      <c r="P881" s="26" t="str">
        <f t="shared" si="41"/>
        <v/>
      </c>
      <c r="Q881" s="80"/>
      <c r="R881" s="80"/>
      <c r="S881" s="80"/>
      <c r="T881" s="82"/>
      <c r="U881" s="80"/>
      <c r="V881" s="80"/>
      <c r="W881" s="80"/>
    </row>
    <row r="882" ht="18" customHeight="1" spans="1:23">
      <c r="A882" s="87" t="str">
        <f t="shared" si="39"/>
        <v/>
      </c>
      <c r="B882" s="78"/>
      <c r="C882" s="80"/>
      <c r="D882" s="79"/>
      <c r="E882" s="80"/>
      <c r="F882" s="79"/>
      <c r="G882" s="25" t="str">
        <f t="shared" si="40"/>
        <v/>
      </c>
      <c r="H882" s="88"/>
      <c r="I882" s="93"/>
      <c r="J882" s="97"/>
      <c r="K882" s="88"/>
      <c r="L882" s="25" t="str">
        <f>IF($D882="","",SUMIFS($H$4:$H882,$D$4:$D882,$D882)+SUMIFS($I$4:$I882,$D$4:$D882,$D882)-SUMIFS($J$4:$J882,$D$4:$D882,$D882)-SUMIFS($K$4:$K882,$D$4:$D882,$D882))</f>
        <v/>
      </c>
      <c r="M882" s="80"/>
      <c r="N882" s="80"/>
      <c r="O882" s="94"/>
      <c r="P882" s="26" t="str">
        <f t="shared" si="41"/>
        <v/>
      </c>
      <c r="Q882" s="80"/>
      <c r="R882" s="80"/>
      <c r="S882" s="80"/>
      <c r="T882" s="82"/>
      <c r="U882" s="80"/>
      <c r="V882" s="80"/>
      <c r="W882" s="80"/>
    </row>
    <row r="883" ht="18" customHeight="1" spans="1:23">
      <c r="A883" s="87" t="str">
        <f t="shared" si="39"/>
        <v/>
      </c>
      <c r="B883" s="78"/>
      <c r="C883" s="80"/>
      <c r="D883" s="79"/>
      <c r="E883" s="80"/>
      <c r="F883" s="79"/>
      <c r="G883" s="25" t="str">
        <f t="shared" si="40"/>
        <v/>
      </c>
      <c r="H883" s="88"/>
      <c r="I883" s="93"/>
      <c r="J883" s="97"/>
      <c r="K883" s="88"/>
      <c r="L883" s="25" t="str">
        <f>IF($D883="","",SUMIFS($H$4:$H883,$D$4:$D883,$D883)+SUMIFS($I$4:$I883,$D$4:$D883,$D883)-SUMIFS($J$4:$J883,$D$4:$D883,$D883)-SUMIFS($K$4:$K883,$D$4:$D883,$D883))</f>
        <v/>
      </c>
      <c r="M883" s="80"/>
      <c r="N883" s="80"/>
      <c r="O883" s="94"/>
      <c r="P883" s="26" t="str">
        <f t="shared" si="41"/>
        <v/>
      </c>
      <c r="Q883" s="80"/>
      <c r="R883" s="80"/>
      <c r="S883" s="80"/>
      <c r="T883" s="82"/>
      <c r="U883" s="80"/>
      <c r="V883" s="80"/>
      <c r="W883" s="80"/>
    </row>
    <row r="884" ht="18" customHeight="1" spans="1:23">
      <c r="A884" s="87" t="str">
        <f t="shared" si="39"/>
        <v/>
      </c>
      <c r="B884" s="78"/>
      <c r="C884" s="80"/>
      <c r="D884" s="79"/>
      <c r="E884" s="80"/>
      <c r="F884" s="79"/>
      <c r="G884" s="25" t="str">
        <f t="shared" si="40"/>
        <v/>
      </c>
      <c r="H884" s="88"/>
      <c r="I884" s="93"/>
      <c r="J884" s="97"/>
      <c r="K884" s="88"/>
      <c r="L884" s="25" t="str">
        <f>IF($D884="","",SUMIFS($H$4:$H884,$D$4:$D884,$D884)+SUMIFS($I$4:$I884,$D$4:$D884,$D884)-SUMIFS($J$4:$J884,$D$4:$D884,$D884)-SUMIFS($K$4:$K884,$D$4:$D884,$D884))</f>
        <v/>
      </c>
      <c r="M884" s="80"/>
      <c r="N884" s="80"/>
      <c r="O884" s="94"/>
      <c r="P884" s="26" t="str">
        <f t="shared" si="41"/>
        <v/>
      </c>
      <c r="Q884" s="80"/>
      <c r="R884" s="80"/>
      <c r="S884" s="80"/>
      <c r="T884" s="82"/>
      <c r="U884" s="80"/>
      <c r="V884" s="80"/>
      <c r="W884" s="80"/>
    </row>
    <row r="885" ht="18" customHeight="1" spans="1:23">
      <c r="A885" s="87" t="str">
        <f t="shared" si="39"/>
        <v/>
      </c>
      <c r="B885" s="78"/>
      <c r="C885" s="80"/>
      <c r="D885" s="79"/>
      <c r="E885" s="80"/>
      <c r="F885" s="79"/>
      <c r="G885" s="25" t="str">
        <f t="shared" si="40"/>
        <v/>
      </c>
      <c r="H885" s="88"/>
      <c r="I885" s="93"/>
      <c r="J885" s="97"/>
      <c r="K885" s="88"/>
      <c r="L885" s="25" t="str">
        <f>IF($D885="","",SUMIFS($H$4:$H885,$D$4:$D885,$D885)+SUMIFS($I$4:$I885,$D$4:$D885,$D885)-SUMIFS($J$4:$J885,$D$4:$D885,$D885)-SUMIFS($K$4:$K885,$D$4:$D885,$D885))</f>
        <v/>
      </c>
      <c r="M885" s="80"/>
      <c r="N885" s="80"/>
      <c r="O885" s="94"/>
      <c r="P885" s="26" t="str">
        <f t="shared" si="41"/>
        <v/>
      </c>
      <c r="Q885" s="80"/>
      <c r="R885" s="80"/>
      <c r="S885" s="80"/>
      <c r="T885" s="82"/>
      <c r="U885" s="80"/>
      <c r="V885" s="80"/>
      <c r="W885" s="80"/>
    </row>
    <row r="886" ht="18" customHeight="1" spans="1:23">
      <c r="A886" s="87" t="str">
        <f t="shared" si="39"/>
        <v/>
      </c>
      <c r="B886" s="78"/>
      <c r="C886" s="80"/>
      <c r="D886" s="79"/>
      <c r="E886" s="80"/>
      <c r="F886" s="79"/>
      <c r="G886" s="25" t="str">
        <f t="shared" si="40"/>
        <v/>
      </c>
      <c r="H886" s="88"/>
      <c r="I886" s="93"/>
      <c r="J886" s="97"/>
      <c r="K886" s="88"/>
      <c r="L886" s="25" t="str">
        <f>IF($D886="","",SUMIFS($H$4:$H886,$D$4:$D886,$D886)+SUMIFS($I$4:$I886,$D$4:$D886,$D886)-SUMIFS($J$4:$J886,$D$4:$D886,$D886)-SUMIFS($K$4:$K886,$D$4:$D886,$D886))</f>
        <v/>
      </c>
      <c r="M886" s="80"/>
      <c r="N886" s="80"/>
      <c r="O886" s="94"/>
      <c r="P886" s="26" t="str">
        <f t="shared" si="41"/>
        <v/>
      </c>
      <c r="Q886" s="80"/>
      <c r="R886" s="80"/>
      <c r="S886" s="80"/>
      <c r="T886" s="82"/>
      <c r="U886" s="80"/>
      <c r="V886" s="80"/>
      <c r="W886" s="80"/>
    </row>
    <row r="887" ht="18" customHeight="1" spans="1:23">
      <c r="A887" s="87" t="str">
        <f t="shared" si="39"/>
        <v/>
      </c>
      <c r="B887" s="78"/>
      <c r="C887" s="80"/>
      <c r="D887" s="79"/>
      <c r="E887" s="80"/>
      <c r="F887" s="79"/>
      <c r="G887" s="25" t="str">
        <f t="shared" si="40"/>
        <v/>
      </c>
      <c r="H887" s="88"/>
      <c r="I887" s="93"/>
      <c r="J887" s="97"/>
      <c r="K887" s="88"/>
      <c r="L887" s="25" t="str">
        <f>IF($D887="","",SUMIFS($H$4:$H887,$D$4:$D887,$D887)+SUMIFS($I$4:$I887,$D$4:$D887,$D887)-SUMIFS($J$4:$J887,$D$4:$D887,$D887)-SUMIFS($K$4:$K887,$D$4:$D887,$D887))</f>
        <v/>
      </c>
      <c r="M887" s="80"/>
      <c r="N887" s="80"/>
      <c r="O887" s="94"/>
      <c r="P887" s="26" t="str">
        <f t="shared" si="41"/>
        <v/>
      </c>
      <c r="Q887" s="80"/>
      <c r="R887" s="80"/>
      <c r="S887" s="80"/>
      <c r="T887" s="82"/>
      <c r="U887" s="80"/>
      <c r="V887" s="80"/>
      <c r="W887" s="80"/>
    </row>
    <row r="888" ht="18" customHeight="1" spans="1:23">
      <c r="A888" s="87" t="str">
        <f t="shared" si="39"/>
        <v/>
      </c>
      <c r="B888" s="78"/>
      <c r="C888" s="80"/>
      <c r="D888" s="79"/>
      <c r="E888" s="80"/>
      <c r="F888" s="79"/>
      <c r="G888" s="25" t="str">
        <f t="shared" si="40"/>
        <v/>
      </c>
      <c r="H888" s="88"/>
      <c r="I888" s="93"/>
      <c r="J888" s="97"/>
      <c r="K888" s="88"/>
      <c r="L888" s="25" t="str">
        <f>IF($D888="","",SUMIFS($H$4:$H888,$D$4:$D888,$D888)+SUMIFS($I$4:$I888,$D$4:$D888,$D888)-SUMIFS($J$4:$J888,$D$4:$D888,$D888)-SUMIFS($K$4:$K888,$D$4:$D888,$D888))</f>
        <v/>
      </c>
      <c r="M888" s="80"/>
      <c r="N888" s="80"/>
      <c r="O888" s="94"/>
      <c r="P888" s="26" t="str">
        <f t="shared" si="41"/>
        <v/>
      </c>
      <c r="Q888" s="80"/>
      <c r="R888" s="80"/>
      <c r="S888" s="80"/>
      <c r="T888" s="82"/>
      <c r="U888" s="80"/>
      <c r="V888" s="80"/>
      <c r="W888" s="80"/>
    </row>
    <row r="889" ht="18" customHeight="1" spans="1:23">
      <c r="A889" s="87" t="str">
        <f t="shared" si="39"/>
        <v/>
      </c>
      <c r="B889" s="78"/>
      <c r="C889" s="80"/>
      <c r="D889" s="79"/>
      <c r="E889" s="80"/>
      <c r="F889" s="79"/>
      <c r="G889" s="25" t="str">
        <f t="shared" si="40"/>
        <v/>
      </c>
      <c r="H889" s="88"/>
      <c r="I889" s="93"/>
      <c r="J889" s="97"/>
      <c r="K889" s="88"/>
      <c r="L889" s="25" t="str">
        <f>IF($D889="","",SUMIFS($H$4:$H889,$D$4:$D889,$D889)+SUMIFS($I$4:$I889,$D$4:$D889,$D889)-SUMIFS($J$4:$J889,$D$4:$D889,$D889)-SUMIFS($K$4:$K889,$D$4:$D889,$D889))</f>
        <v/>
      </c>
      <c r="M889" s="80"/>
      <c r="N889" s="80"/>
      <c r="O889" s="94"/>
      <c r="P889" s="26" t="str">
        <f t="shared" si="41"/>
        <v/>
      </c>
      <c r="Q889" s="80"/>
      <c r="R889" s="80"/>
      <c r="S889" s="80"/>
      <c r="T889" s="82"/>
      <c r="U889" s="80"/>
      <c r="V889" s="80"/>
      <c r="W889" s="80"/>
    </row>
    <row r="890" ht="18" customHeight="1" spans="1:23">
      <c r="A890" s="87" t="str">
        <f t="shared" si="39"/>
        <v/>
      </c>
      <c r="B890" s="78"/>
      <c r="C890" s="80"/>
      <c r="D890" s="79"/>
      <c r="E890" s="80"/>
      <c r="F890" s="79"/>
      <c r="G890" s="25" t="str">
        <f t="shared" si="40"/>
        <v/>
      </c>
      <c r="H890" s="88"/>
      <c r="I890" s="93"/>
      <c r="J890" s="97"/>
      <c r="K890" s="88"/>
      <c r="L890" s="25" t="str">
        <f>IF($D890="","",SUMIFS($H$4:$H890,$D$4:$D890,$D890)+SUMIFS($I$4:$I890,$D$4:$D890,$D890)-SUMIFS($J$4:$J890,$D$4:$D890,$D890)-SUMIFS($K$4:$K890,$D$4:$D890,$D890))</f>
        <v/>
      </c>
      <c r="M890" s="80"/>
      <c r="N890" s="80"/>
      <c r="O890" s="94"/>
      <c r="P890" s="26" t="str">
        <f t="shared" si="41"/>
        <v/>
      </c>
      <c r="Q890" s="80"/>
      <c r="R890" s="80"/>
      <c r="S890" s="80"/>
      <c r="T890" s="82"/>
      <c r="U890" s="80"/>
      <c r="V890" s="80"/>
      <c r="W890" s="80"/>
    </row>
    <row r="891" ht="18" customHeight="1" spans="1:23">
      <c r="A891" s="87" t="str">
        <f t="shared" si="39"/>
        <v/>
      </c>
      <c r="B891" s="78"/>
      <c r="C891" s="80"/>
      <c r="D891" s="79"/>
      <c r="E891" s="80"/>
      <c r="F891" s="79"/>
      <c r="G891" s="25" t="str">
        <f t="shared" si="40"/>
        <v/>
      </c>
      <c r="H891" s="88"/>
      <c r="I891" s="93"/>
      <c r="J891" s="97"/>
      <c r="K891" s="88"/>
      <c r="L891" s="25" t="str">
        <f>IF($D891="","",SUMIFS($H$4:$H891,$D$4:$D891,$D891)+SUMIFS($I$4:$I891,$D$4:$D891,$D891)-SUMIFS($J$4:$J891,$D$4:$D891,$D891)-SUMIFS($K$4:$K891,$D$4:$D891,$D891))</f>
        <v/>
      </c>
      <c r="M891" s="80"/>
      <c r="N891" s="80"/>
      <c r="O891" s="94"/>
      <c r="P891" s="26" t="str">
        <f t="shared" si="41"/>
        <v/>
      </c>
      <c r="Q891" s="80"/>
      <c r="R891" s="80"/>
      <c r="S891" s="80"/>
      <c r="T891" s="82"/>
      <c r="U891" s="80"/>
      <c r="V891" s="80"/>
      <c r="W891" s="80"/>
    </row>
    <row r="892" ht="18" customHeight="1" spans="1:23">
      <c r="A892" s="87" t="str">
        <f t="shared" si="39"/>
        <v/>
      </c>
      <c r="B892" s="78"/>
      <c r="C892" s="80"/>
      <c r="D892" s="79"/>
      <c r="E892" s="80"/>
      <c r="F892" s="79"/>
      <c r="G892" s="25" t="str">
        <f t="shared" si="40"/>
        <v/>
      </c>
      <c r="H892" s="88"/>
      <c r="I892" s="93"/>
      <c r="J892" s="97"/>
      <c r="K892" s="88"/>
      <c r="L892" s="25" t="str">
        <f>IF($D892="","",SUMIFS($H$4:$H892,$D$4:$D892,$D892)+SUMIFS($I$4:$I892,$D$4:$D892,$D892)-SUMIFS($J$4:$J892,$D$4:$D892,$D892)-SUMIFS($K$4:$K892,$D$4:$D892,$D892))</f>
        <v/>
      </c>
      <c r="M892" s="80"/>
      <c r="N892" s="80"/>
      <c r="O892" s="94"/>
      <c r="P892" s="26" t="str">
        <f t="shared" si="41"/>
        <v/>
      </c>
      <c r="Q892" s="80"/>
      <c r="R892" s="80"/>
      <c r="S892" s="80"/>
      <c r="T892" s="82"/>
      <c r="U892" s="80"/>
      <c r="V892" s="80"/>
      <c r="W892" s="80"/>
    </row>
    <row r="893" ht="18" customHeight="1" spans="1:23">
      <c r="A893" s="87" t="str">
        <f t="shared" si="39"/>
        <v/>
      </c>
      <c r="B893" s="78"/>
      <c r="C893" s="80"/>
      <c r="D893" s="79"/>
      <c r="E893" s="80"/>
      <c r="F893" s="79"/>
      <c r="G893" s="25" t="str">
        <f t="shared" si="40"/>
        <v/>
      </c>
      <c r="H893" s="88"/>
      <c r="I893" s="93"/>
      <c r="J893" s="97"/>
      <c r="K893" s="88"/>
      <c r="L893" s="25" t="str">
        <f>IF($D893="","",SUMIFS($H$4:$H893,$D$4:$D893,$D893)+SUMIFS($I$4:$I893,$D$4:$D893,$D893)-SUMIFS($J$4:$J893,$D$4:$D893,$D893)-SUMIFS($K$4:$K893,$D$4:$D893,$D893))</f>
        <v/>
      </c>
      <c r="M893" s="80"/>
      <c r="N893" s="80"/>
      <c r="O893" s="94"/>
      <c r="P893" s="26" t="str">
        <f t="shared" si="41"/>
        <v/>
      </c>
      <c r="Q893" s="80"/>
      <c r="R893" s="80"/>
      <c r="S893" s="80"/>
      <c r="T893" s="82"/>
      <c r="U893" s="80"/>
      <c r="V893" s="80"/>
      <c r="W893" s="80"/>
    </row>
    <row r="894" ht="18" customHeight="1" spans="1:23">
      <c r="A894" s="87" t="str">
        <f t="shared" si="39"/>
        <v/>
      </c>
      <c r="B894" s="78"/>
      <c r="C894" s="80"/>
      <c r="D894" s="79"/>
      <c r="E894" s="80"/>
      <c r="F894" s="79"/>
      <c r="G894" s="25" t="str">
        <f t="shared" si="40"/>
        <v/>
      </c>
      <c r="H894" s="88"/>
      <c r="I894" s="93"/>
      <c r="J894" s="97"/>
      <c r="K894" s="88"/>
      <c r="L894" s="25" t="str">
        <f>IF($D894="","",SUMIFS($H$4:$H894,$D$4:$D894,$D894)+SUMIFS($I$4:$I894,$D$4:$D894,$D894)-SUMIFS($J$4:$J894,$D$4:$D894,$D894)-SUMIFS($K$4:$K894,$D$4:$D894,$D894))</f>
        <v/>
      </c>
      <c r="M894" s="80"/>
      <c r="N894" s="80"/>
      <c r="O894" s="94"/>
      <c r="P894" s="26" t="str">
        <f t="shared" si="41"/>
        <v/>
      </c>
      <c r="Q894" s="80"/>
      <c r="R894" s="80"/>
      <c r="S894" s="80"/>
      <c r="T894" s="82"/>
      <c r="U894" s="80"/>
      <c r="V894" s="80"/>
      <c r="W894" s="80"/>
    </row>
    <row r="895" ht="18" customHeight="1" spans="1:23">
      <c r="A895" s="87" t="str">
        <f t="shared" si="39"/>
        <v/>
      </c>
      <c r="B895" s="78"/>
      <c r="C895" s="80"/>
      <c r="D895" s="79"/>
      <c r="E895" s="80"/>
      <c r="F895" s="79"/>
      <c r="G895" s="25" t="str">
        <f t="shared" si="40"/>
        <v/>
      </c>
      <c r="H895" s="88"/>
      <c r="I895" s="93"/>
      <c r="J895" s="97"/>
      <c r="K895" s="88"/>
      <c r="L895" s="25" t="str">
        <f>IF($D895="","",SUMIFS($H$4:$H895,$D$4:$D895,$D895)+SUMIFS($I$4:$I895,$D$4:$D895,$D895)-SUMIFS($J$4:$J895,$D$4:$D895,$D895)-SUMIFS($K$4:$K895,$D$4:$D895,$D895))</f>
        <v/>
      </c>
      <c r="M895" s="80"/>
      <c r="N895" s="80"/>
      <c r="O895" s="94"/>
      <c r="P895" s="26" t="str">
        <f t="shared" si="41"/>
        <v/>
      </c>
      <c r="Q895" s="80"/>
      <c r="R895" s="80"/>
      <c r="S895" s="80"/>
      <c r="T895" s="82"/>
      <c r="U895" s="80"/>
      <c r="V895" s="80"/>
      <c r="W895" s="80"/>
    </row>
    <row r="896" ht="18" customHeight="1" spans="1:23">
      <c r="A896" s="87" t="str">
        <f t="shared" si="39"/>
        <v/>
      </c>
      <c r="B896" s="78"/>
      <c r="C896" s="80"/>
      <c r="D896" s="79"/>
      <c r="E896" s="80"/>
      <c r="F896" s="79"/>
      <c r="G896" s="25" t="str">
        <f t="shared" si="40"/>
        <v/>
      </c>
      <c r="H896" s="88"/>
      <c r="I896" s="93"/>
      <c r="J896" s="97"/>
      <c r="K896" s="88"/>
      <c r="L896" s="25" t="str">
        <f>IF($D896="","",SUMIFS($H$4:$H896,$D$4:$D896,$D896)+SUMIFS($I$4:$I896,$D$4:$D896,$D896)-SUMIFS($J$4:$J896,$D$4:$D896,$D896)-SUMIFS($K$4:$K896,$D$4:$D896,$D896))</f>
        <v/>
      </c>
      <c r="M896" s="80"/>
      <c r="N896" s="80"/>
      <c r="O896" s="94"/>
      <c r="P896" s="26" t="str">
        <f t="shared" si="41"/>
        <v/>
      </c>
      <c r="Q896" s="80"/>
      <c r="R896" s="80"/>
      <c r="S896" s="80"/>
      <c r="T896" s="82"/>
      <c r="U896" s="80"/>
      <c r="V896" s="80"/>
      <c r="W896" s="80"/>
    </row>
    <row r="897" ht="18" customHeight="1" spans="1:23">
      <c r="A897" s="87" t="str">
        <f t="shared" si="39"/>
        <v/>
      </c>
      <c r="B897" s="78"/>
      <c r="C897" s="80"/>
      <c r="D897" s="79"/>
      <c r="E897" s="80"/>
      <c r="F897" s="79"/>
      <c r="G897" s="25" t="str">
        <f t="shared" si="40"/>
        <v/>
      </c>
      <c r="H897" s="88"/>
      <c r="I897" s="93"/>
      <c r="J897" s="97"/>
      <c r="K897" s="88"/>
      <c r="L897" s="25" t="str">
        <f>IF($D897="","",SUMIFS($H$4:$H897,$D$4:$D897,$D897)+SUMIFS($I$4:$I897,$D$4:$D897,$D897)-SUMIFS($J$4:$J897,$D$4:$D897,$D897)-SUMIFS($K$4:$K897,$D$4:$D897,$D897))</f>
        <v/>
      </c>
      <c r="M897" s="80"/>
      <c r="N897" s="80"/>
      <c r="O897" s="94"/>
      <c r="P897" s="26" t="str">
        <f t="shared" si="41"/>
        <v/>
      </c>
      <c r="Q897" s="80"/>
      <c r="R897" s="80"/>
      <c r="S897" s="80"/>
      <c r="T897" s="82"/>
      <c r="U897" s="80"/>
      <c r="V897" s="80"/>
      <c r="W897" s="80"/>
    </row>
    <row r="898" ht="18" customHeight="1" spans="1:23">
      <c r="A898" s="87" t="str">
        <f t="shared" si="39"/>
        <v/>
      </c>
      <c r="B898" s="78"/>
      <c r="C898" s="80"/>
      <c r="D898" s="79"/>
      <c r="E898" s="80"/>
      <c r="F898" s="79"/>
      <c r="G898" s="25" t="str">
        <f t="shared" si="40"/>
        <v/>
      </c>
      <c r="H898" s="88"/>
      <c r="I898" s="93"/>
      <c r="J898" s="97"/>
      <c r="K898" s="88"/>
      <c r="L898" s="25" t="str">
        <f>IF($D898="","",SUMIFS($H$4:$H898,$D$4:$D898,$D898)+SUMIFS($I$4:$I898,$D$4:$D898,$D898)-SUMIFS($J$4:$J898,$D$4:$D898,$D898)-SUMIFS($K$4:$K898,$D$4:$D898,$D898))</f>
        <v/>
      </c>
      <c r="M898" s="80"/>
      <c r="N898" s="80"/>
      <c r="O898" s="94"/>
      <c r="P898" s="26" t="str">
        <f t="shared" si="41"/>
        <v/>
      </c>
      <c r="Q898" s="80"/>
      <c r="R898" s="80"/>
      <c r="S898" s="80"/>
      <c r="T898" s="82"/>
      <c r="U898" s="80"/>
      <c r="V898" s="80"/>
      <c r="W898" s="80"/>
    </row>
    <row r="899" ht="18" customHeight="1" spans="1:23">
      <c r="A899" s="87" t="str">
        <f t="shared" si="39"/>
        <v/>
      </c>
      <c r="B899" s="78"/>
      <c r="C899" s="80"/>
      <c r="D899" s="79"/>
      <c r="E899" s="80"/>
      <c r="F899" s="79"/>
      <c r="G899" s="25" t="str">
        <f t="shared" si="40"/>
        <v/>
      </c>
      <c r="H899" s="88"/>
      <c r="I899" s="93"/>
      <c r="J899" s="97"/>
      <c r="K899" s="88"/>
      <c r="L899" s="25" t="str">
        <f>IF($D899="","",SUMIFS($H$4:$H899,$D$4:$D899,$D899)+SUMIFS($I$4:$I899,$D$4:$D899,$D899)-SUMIFS($J$4:$J899,$D$4:$D899,$D899)-SUMIFS($K$4:$K899,$D$4:$D899,$D899))</f>
        <v/>
      </c>
      <c r="M899" s="80"/>
      <c r="N899" s="80"/>
      <c r="O899" s="94"/>
      <c r="P899" s="26" t="str">
        <f t="shared" si="41"/>
        <v/>
      </c>
      <c r="Q899" s="80"/>
      <c r="R899" s="80"/>
      <c r="S899" s="80"/>
      <c r="T899" s="82"/>
      <c r="U899" s="80"/>
      <c r="V899" s="80"/>
      <c r="W899" s="80"/>
    </row>
    <row r="900" ht="18" customHeight="1" spans="1:23">
      <c r="A900" s="87" t="str">
        <f t="shared" si="39"/>
        <v/>
      </c>
      <c r="B900" s="78"/>
      <c r="C900" s="80"/>
      <c r="D900" s="79"/>
      <c r="E900" s="80"/>
      <c r="F900" s="79"/>
      <c r="G900" s="25" t="str">
        <f t="shared" si="40"/>
        <v/>
      </c>
      <c r="H900" s="88"/>
      <c r="I900" s="93"/>
      <c r="J900" s="97"/>
      <c r="K900" s="88"/>
      <c r="L900" s="25" t="str">
        <f>IF($D900="","",SUMIFS($H$4:$H900,$D$4:$D900,$D900)+SUMIFS($I$4:$I900,$D$4:$D900,$D900)-SUMIFS($J$4:$J900,$D$4:$D900,$D900)-SUMIFS($K$4:$K900,$D$4:$D900,$D900))</f>
        <v/>
      </c>
      <c r="M900" s="80"/>
      <c r="N900" s="80"/>
      <c r="O900" s="94"/>
      <c r="P900" s="26" t="str">
        <f t="shared" si="41"/>
        <v/>
      </c>
      <c r="Q900" s="80"/>
      <c r="R900" s="80"/>
      <c r="S900" s="80"/>
      <c r="T900" s="82"/>
      <c r="U900" s="80"/>
      <c r="V900" s="80"/>
      <c r="W900" s="80"/>
    </row>
    <row r="901" ht="18" customHeight="1" spans="1:23">
      <c r="A901" s="87" t="str">
        <f t="shared" ref="A901:A964" si="42">IF($D901="","",ROW()-3)</f>
        <v/>
      </c>
      <c r="B901" s="78"/>
      <c r="C901" s="80"/>
      <c r="D901" s="79"/>
      <c r="E901" s="80"/>
      <c r="F901" s="79"/>
      <c r="G901" s="25" t="str">
        <f t="shared" ref="G901:G964" si="43">IF($D901="","",N($L901)-N($H901)-N($I901)+N($J901)+N($K901))</f>
        <v/>
      </c>
      <c r="H901" s="88"/>
      <c r="I901" s="93"/>
      <c r="J901" s="97"/>
      <c r="K901" s="88"/>
      <c r="L901" s="25" t="str">
        <f>IF($D901="","",SUMIFS($H$4:$H901,$D$4:$D901,$D901)+SUMIFS($I$4:$I901,$D$4:$D901,$D901)-SUMIFS($J$4:$J901,$D$4:$D901,$D901)-SUMIFS($K$4:$K901,$D$4:$D901,$D901))</f>
        <v/>
      </c>
      <c r="M901" s="80"/>
      <c r="N901" s="80"/>
      <c r="O901" s="94"/>
      <c r="P901" s="26" t="str">
        <f t="shared" ref="P901:P964" si="44">IF($D901="","",ROUND((N($H901)+N($K901))*N($O901),2))</f>
        <v/>
      </c>
      <c r="Q901" s="80"/>
      <c r="R901" s="80"/>
      <c r="S901" s="80"/>
      <c r="T901" s="82"/>
      <c r="U901" s="80"/>
      <c r="V901" s="80"/>
      <c r="W901" s="80"/>
    </row>
    <row r="902" ht="18" customHeight="1" spans="1:23">
      <c r="A902" s="87" t="str">
        <f t="shared" si="42"/>
        <v/>
      </c>
      <c r="B902" s="78"/>
      <c r="C902" s="80"/>
      <c r="D902" s="79"/>
      <c r="E902" s="80"/>
      <c r="F902" s="79"/>
      <c r="G902" s="25" t="str">
        <f t="shared" si="43"/>
        <v/>
      </c>
      <c r="H902" s="88"/>
      <c r="I902" s="93"/>
      <c r="J902" s="97"/>
      <c r="K902" s="88"/>
      <c r="L902" s="25" t="str">
        <f>IF($D902="","",SUMIFS($H$4:$H902,$D$4:$D902,$D902)+SUMIFS($I$4:$I902,$D$4:$D902,$D902)-SUMIFS($J$4:$J902,$D$4:$D902,$D902)-SUMIFS($K$4:$K902,$D$4:$D902,$D902))</f>
        <v/>
      </c>
      <c r="M902" s="80"/>
      <c r="N902" s="80"/>
      <c r="O902" s="94"/>
      <c r="P902" s="26" t="str">
        <f t="shared" si="44"/>
        <v/>
      </c>
      <c r="Q902" s="80"/>
      <c r="R902" s="80"/>
      <c r="S902" s="80"/>
      <c r="T902" s="82"/>
      <c r="U902" s="80"/>
      <c r="V902" s="80"/>
      <c r="W902" s="80"/>
    </row>
    <row r="903" ht="18" customHeight="1" spans="1:23">
      <c r="A903" s="87" t="str">
        <f t="shared" si="42"/>
        <v/>
      </c>
      <c r="B903" s="78"/>
      <c r="C903" s="80"/>
      <c r="D903" s="79"/>
      <c r="E903" s="80"/>
      <c r="F903" s="79"/>
      <c r="G903" s="25" t="str">
        <f t="shared" si="43"/>
        <v/>
      </c>
      <c r="H903" s="88"/>
      <c r="I903" s="93"/>
      <c r="J903" s="97"/>
      <c r="K903" s="88"/>
      <c r="L903" s="25" t="str">
        <f>IF($D903="","",SUMIFS($H$4:$H903,$D$4:$D903,$D903)+SUMIFS($I$4:$I903,$D$4:$D903,$D903)-SUMIFS($J$4:$J903,$D$4:$D903,$D903)-SUMIFS($K$4:$K903,$D$4:$D903,$D903))</f>
        <v/>
      </c>
      <c r="M903" s="80"/>
      <c r="N903" s="80"/>
      <c r="O903" s="94"/>
      <c r="P903" s="26" t="str">
        <f t="shared" si="44"/>
        <v/>
      </c>
      <c r="Q903" s="80"/>
      <c r="R903" s="80"/>
      <c r="S903" s="80"/>
      <c r="T903" s="82"/>
      <c r="U903" s="80"/>
      <c r="V903" s="80"/>
      <c r="W903" s="80"/>
    </row>
    <row r="904" ht="18" customHeight="1" spans="1:23">
      <c r="A904" s="87" t="str">
        <f t="shared" si="42"/>
        <v/>
      </c>
      <c r="B904" s="78"/>
      <c r="C904" s="80"/>
      <c r="D904" s="79"/>
      <c r="E904" s="80"/>
      <c r="F904" s="79"/>
      <c r="G904" s="25" t="str">
        <f t="shared" si="43"/>
        <v/>
      </c>
      <c r="H904" s="88"/>
      <c r="I904" s="93"/>
      <c r="J904" s="97"/>
      <c r="K904" s="88"/>
      <c r="L904" s="25" t="str">
        <f>IF($D904="","",SUMIFS($H$4:$H904,$D$4:$D904,$D904)+SUMIFS($I$4:$I904,$D$4:$D904,$D904)-SUMIFS($J$4:$J904,$D$4:$D904,$D904)-SUMIFS($K$4:$K904,$D$4:$D904,$D904))</f>
        <v/>
      </c>
      <c r="M904" s="80"/>
      <c r="N904" s="80"/>
      <c r="O904" s="94"/>
      <c r="P904" s="26" t="str">
        <f t="shared" si="44"/>
        <v/>
      </c>
      <c r="Q904" s="80"/>
      <c r="R904" s="80"/>
      <c r="S904" s="80"/>
      <c r="T904" s="82"/>
      <c r="U904" s="80"/>
      <c r="V904" s="80"/>
      <c r="W904" s="80"/>
    </row>
    <row r="905" ht="18" customHeight="1" spans="1:23">
      <c r="A905" s="87" t="str">
        <f t="shared" si="42"/>
        <v/>
      </c>
      <c r="B905" s="78"/>
      <c r="C905" s="80"/>
      <c r="D905" s="79"/>
      <c r="E905" s="80"/>
      <c r="F905" s="79"/>
      <c r="G905" s="25" t="str">
        <f t="shared" si="43"/>
        <v/>
      </c>
      <c r="H905" s="88"/>
      <c r="I905" s="93"/>
      <c r="J905" s="97"/>
      <c r="K905" s="88"/>
      <c r="L905" s="25" t="str">
        <f>IF($D905="","",SUMIFS($H$4:$H905,$D$4:$D905,$D905)+SUMIFS($I$4:$I905,$D$4:$D905,$D905)-SUMIFS($J$4:$J905,$D$4:$D905,$D905)-SUMIFS($K$4:$K905,$D$4:$D905,$D905))</f>
        <v/>
      </c>
      <c r="M905" s="80"/>
      <c r="N905" s="80"/>
      <c r="O905" s="94"/>
      <c r="P905" s="26" t="str">
        <f t="shared" si="44"/>
        <v/>
      </c>
      <c r="Q905" s="80"/>
      <c r="R905" s="80"/>
      <c r="S905" s="80"/>
      <c r="T905" s="82"/>
      <c r="U905" s="80"/>
      <c r="V905" s="80"/>
      <c r="W905" s="80"/>
    </row>
    <row r="906" ht="18" customHeight="1" spans="1:23">
      <c r="A906" s="87" t="str">
        <f t="shared" si="42"/>
        <v/>
      </c>
      <c r="B906" s="78"/>
      <c r="C906" s="80"/>
      <c r="D906" s="79"/>
      <c r="E906" s="80"/>
      <c r="F906" s="79"/>
      <c r="G906" s="25" t="str">
        <f t="shared" si="43"/>
        <v/>
      </c>
      <c r="H906" s="88"/>
      <c r="I906" s="93"/>
      <c r="J906" s="97"/>
      <c r="K906" s="88"/>
      <c r="L906" s="25" t="str">
        <f>IF($D906="","",SUMIFS($H$4:$H906,$D$4:$D906,$D906)+SUMIFS($I$4:$I906,$D$4:$D906,$D906)-SUMIFS($J$4:$J906,$D$4:$D906,$D906)-SUMIFS($K$4:$K906,$D$4:$D906,$D906))</f>
        <v/>
      </c>
      <c r="M906" s="80"/>
      <c r="N906" s="80"/>
      <c r="O906" s="94"/>
      <c r="P906" s="26" t="str">
        <f t="shared" si="44"/>
        <v/>
      </c>
      <c r="Q906" s="80"/>
      <c r="R906" s="80"/>
      <c r="S906" s="80"/>
      <c r="T906" s="82"/>
      <c r="U906" s="80"/>
      <c r="V906" s="80"/>
      <c r="W906" s="80"/>
    </row>
    <row r="907" ht="18" customHeight="1" spans="1:23">
      <c r="A907" s="87" t="str">
        <f t="shared" si="42"/>
        <v/>
      </c>
      <c r="B907" s="78"/>
      <c r="C907" s="80"/>
      <c r="D907" s="79"/>
      <c r="E907" s="80"/>
      <c r="F907" s="79"/>
      <c r="G907" s="25" t="str">
        <f t="shared" si="43"/>
        <v/>
      </c>
      <c r="H907" s="88"/>
      <c r="I907" s="93"/>
      <c r="J907" s="97"/>
      <c r="K907" s="88"/>
      <c r="L907" s="25" t="str">
        <f>IF($D907="","",SUMIFS($H$4:$H907,$D$4:$D907,$D907)+SUMIFS($I$4:$I907,$D$4:$D907,$D907)-SUMIFS($J$4:$J907,$D$4:$D907,$D907)-SUMIFS($K$4:$K907,$D$4:$D907,$D907))</f>
        <v/>
      </c>
      <c r="M907" s="80"/>
      <c r="N907" s="80"/>
      <c r="O907" s="94"/>
      <c r="P907" s="26" t="str">
        <f t="shared" si="44"/>
        <v/>
      </c>
      <c r="Q907" s="80"/>
      <c r="R907" s="80"/>
      <c r="S907" s="80"/>
      <c r="T907" s="82"/>
      <c r="U907" s="80"/>
      <c r="V907" s="80"/>
      <c r="W907" s="80"/>
    </row>
    <row r="908" ht="18" customHeight="1" spans="1:23">
      <c r="A908" s="87" t="str">
        <f t="shared" si="42"/>
        <v/>
      </c>
      <c r="B908" s="78"/>
      <c r="C908" s="80"/>
      <c r="D908" s="79"/>
      <c r="E908" s="80"/>
      <c r="F908" s="79"/>
      <c r="G908" s="25" t="str">
        <f t="shared" si="43"/>
        <v/>
      </c>
      <c r="H908" s="88"/>
      <c r="I908" s="93"/>
      <c r="J908" s="97"/>
      <c r="K908" s="88"/>
      <c r="L908" s="25" t="str">
        <f>IF($D908="","",SUMIFS($H$4:$H908,$D$4:$D908,$D908)+SUMIFS($I$4:$I908,$D$4:$D908,$D908)-SUMIFS($J$4:$J908,$D$4:$D908,$D908)-SUMIFS($K$4:$K908,$D$4:$D908,$D908))</f>
        <v/>
      </c>
      <c r="M908" s="80"/>
      <c r="N908" s="80"/>
      <c r="O908" s="94"/>
      <c r="P908" s="26" t="str">
        <f t="shared" si="44"/>
        <v/>
      </c>
      <c r="Q908" s="80"/>
      <c r="R908" s="80"/>
      <c r="S908" s="80"/>
      <c r="T908" s="82"/>
      <c r="U908" s="80"/>
      <c r="V908" s="80"/>
      <c r="W908" s="80"/>
    </row>
    <row r="909" ht="18" customHeight="1" spans="1:23">
      <c r="A909" s="87" t="str">
        <f t="shared" si="42"/>
        <v/>
      </c>
      <c r="B909" s="78"/>
      <c r="C909" s="80"/>
      <c r="D909" s="79"/>
      <c r="E909" s="80"/>
      <c r="F909" s="79"/>
      <c r="G909" s="25" t="str">
        <f t="shared" si="43"/>
        <v/>
      </c>
      <c r="H909" s="88"/>
      <c r="I909" s="93"/>
      <c r="J909" s="97"/>
      <c r="K909" s="88"/>
      <c r="L909" s="25" t="str">
        <f>IF($D909="","",SUMIFS($H$4:$H909,$D$4:$D909,$D909)+SUMIFS($I$4:$I909,$D$4:$D909,$D909)-SUMIFS($J$4:$J909,$D$4:$D909,$D909)-SUMIFS($K$4:$K909,$D$4:$D909,$D909))</f>
        <v/>
      </c>
      <c r="M909" s="80"/>
      <c r="N909" s="80"/>
      <c r="O909" s="94"/>
      <c r="P909" s="26" t="str">
        <f t="shared" si="44"/>
        <v/>
      </c>
      <c r="Q909" s="80"/>
      <c r="R909" s="80"/>
      <c r="S909" s="80"/>
      <c r="T909" s="82"/>
      <c r="U909" s="80"/>
      <c r="V909" s="80"/>
      <c r="W909" s="80"/>
    </row>
    <row r="910" ht="18" customHeight="1" spans="1:23">
      <c r="A910" s="87" t="str">
        <f t="shared" si="42"/>
        <v/>
      </c>
      <c r="B910" s="78"/>
      <c r="C910" s="80"/>
      <c r="D910" s="79"/>
      <c r="E910" s="80"/>
      <c r="F910" s="79"/>
      <c r="G910" s="25" t="str">
        <f t="shared" si="43"/>
        <v/>
      </c>
      <c r="H910" s="88"/>
      <c r="I910" s="93"/>
      <c r="J910" s="97"/>
      <c r="K910" s="88"/>
      <c r="L910" s="25" t="str">
        <f>IF($D910="","",SUMIFS($H$4:$H910,$D$4:$D910,$D910)+SUMIFS($I$4:$I910,$D$4:$D910,$D910)-SUMIFS($J$4:$J910,$D$4:$D910,$D910)-SUMIFS($K$4:$K910,$D$4:$D910,$D910))</f>
        <v/>
      </c>
      <c r="M910" s="80"/>
      <c r="N910" s="80"/>
      <c r="O910" s="94"/>
      <c r="P910" s="26" t="str">
        <f t="shared" si="44"/>
        <v/>
      </c>
      <c r="Q910" s="80"/>
      <c r="R910" s="80"/>
      <c r="S910" s="80"/>
      <c r="T910" s="82"/>
      <c r="U910" s="80"/>
      <c r="V910" s="80"/>
      <c r="W910" s="80"/>
    </row>
    <row r="911" ht="18" customHeight="1" spans="1:23">
      <c r="A911" s="87" t="str">
        <f t="shared" si="42"/>
        <v/>
      </c>
      <c r="B911" s="78"/>
      <c r="C911" s="80"/>
      <c r="D911" s="79"/>
      <c r="E911" s="80"/>
      <c r="F911" s="79"/>
      <c r="G911" s="25" t="str">
        <f t="shared" si="43"/>
        <v/>
      </c>
      <c r="H911" s="88"/>
      <c r="I911" s="93"/>
      <c r="J911" s="97"/>
      <c r="K911" s="88"/>
      <c r="L911" s="25" t="str">
        <f>IF($D911="","",SUMIFS($H$4:$H911,$D$4:$D911,$D911)+SUMIFS($I$4:$I911,$D$4:$D911,$D911)-SUMIFS($J$4:$J911,$D$4:$D911,$D911)-SUMIFS($K$4:$K911,$D$4:$D911,$D911))</f>
        <v/>
      </c>
      <c r="M911" s="80"/>
      <c r="N911" s="80"/>
      <c r="O911" s="94"/>
      <c r="P911" s="26" t="str">
        <f t="shared" si="44"/>
        <v/>
      </c>
      <c r="Q911" s="80"/>
      <c r="R911" s="80"/>
      <c r="S911" s="80"/>
      <c r="T911" s="82"/>
      <c r="U911" s="80"/>
      <c r="V911" s="80"/>
      <c r="W911" s="80"/>
    </row>
    <row r="912" ht="18" customHeight="1" spans="1:23">
      <c r="A912" s="87" t="str">
        <f t="shared" si="42"/>
        <v/>
      </c>
      <c r="B912" s="78"/>
      <c r="C912" s="80"/>
      <c r="D912" s="79"/>
      <c r="E912" s="80"/>
      <c r="F912" s="79"/>
      <c r="G912" s="25" t="str">
        <f t="shared" si="43"/>
        <v/>
      </c>
      <c r="H912" s="88"/>
      <c r="I912" s="93"/>
      <c r="J912" s="97"/>
      <c r="K912" s="88"/>
      <c r="L912" s="25" t="str">
        <f>IF($D912="","",SUMIFS($H$4:$H912,$D$4:$D912,$D912)+SUMIFS($I$4:$I912,$D$4:$D912,$D912)-SUMIFS($J$4:$J912,$D$4:$D912,$D912)-SUMIFS($K$4:$K912,$D$4:$D912,$D912))</f>
        <v/>
      </c>
      <c r="M912" s="80"/>
      <c r="N912" s="80"/>
      <c r="O912" s="94"/>
      <c r="P912" s="26" t="str">
        <f t="shared" si="44"/>
        <v/>
      </c>
      <c r="Q912" s="80"/>
      <c r="R912" s="80"/>
      <c r="S912" s="80"/>
      <c r="T912" s="82"/>
      <c r="U912" s="80"/>
      <c r="V912" s="80"/>
      <c r="W912" s="80"/>
    </row>
    <row r="913" ht="18" customHeight="1" spans="1:23">
      <c r="A913" s="87" t="str">
        <f t="shared" si="42"/>
        <v/>
      </c>
      <c r="B913" s="78"/>
      <c r="C913" s="80"/>
      <c r="D913" s="79"/>
      <c r="E913" s="80"/>
      <c r="F913" s="79"/>
      <c r="G913" s="25" t="str">
        <f t="shared" si="43"/>
        <v/>
      </c>
      <c r="H913" s="88"/>
      <c r="I913" s="93"/>
      <c r="J913" s="97"/>
      <c r="K913" s="88"/>
      <c r="L913" s="25" t="str">
        <f>IF($D913="","",SUMIFS($H$4:$H913,$D$4:$D913,$D913)+SUMIFS($I$4:$I913,$D$4:$D913,$D913)-SUMIFS($J$4:$J913,$D$4:$D913,$D913)-SUMIFS($K$4:$K913,$D$4:$D913,$D913))</f>
        <v/>
      </c>
      <c r="M913" s="80"/>
      <c r="N913" s="80"/>
      <c r="O913" s="94"/>
      <c r="P913" s="26" t="str">
        <f t="shared" si="44"/>
        <v/>
      </c>
      <c r="Q913" s="80"/>
      <c r="R913" s="80"/>
      <c r="S913" s="80"/>
      <c r="T913" s="82"/>
      <c r="U913" s="80"/>
      <c r="V913" s="80"/>
      <c r="W913" s="80"/>
    </row>
    <row r="914" ht="18" customHeight="1" spans="1:23">
      <c r="A914" s="87" t="str">
        <f t="shared" si="42"/>
        <v/>
      </c>
      <c r="B914" s="78"/>
      <c r="C914" s="80"/>
      <c r="D914" s="79"/>
      <c r="E914" s="80"/>
      <c r="F914" s="79"/>
      <c r="G914" s="25" t="str">
        <f t="shared" si="43"/>
        <v/>
      </c>
      <c r="H914" s="88"/>
      <c r="I914" s="93"/>
      <c r="J914" s="97"/>
      <c r="K914" s="88"/>
      <c r="L914" s="25" t="str">
        <f>IF($D914="","",SUMIFS($H$4:$H914,$D$4:$D914,$D914)+SUMIFS($I$4:$I914,$D$4:$D914,$D914)-SUMIFS($J$4:$J914,$D$4:$D914,$D914)-SUMIFS($K$4:$K914,$D$4:$D914,$D914))</f>
        <v/>
      </c>
      <c r="M914" s="80"/>
      <c r="N914" s="80"/>
      <c r="O914" s="94"/>
      <c r="P914" s="26" t="str">
        <f t="shared" si="44"/>
        <v/>
      </c>
      <c r="Q914" s="80"/>
      <c r="R914" s="80"/>
      <c r="S914" s="80"/>
      <c r="T914" s="82"/>
      <c r="U914" s="80"/>
      <c r="V914" s="80"/>
      <c r="W914" s="80"/>
    </row>
    <row r="915" ht="18" customHeight="1" spans="1:23">
      <c r="A915" s="87" t="str">
        <f t="shared" si="42"/>
        <v/>
      </c>
      <c r="B915" s="78"/>
      <c r="C915" s="80"/>
      <c r="D915" s="79"/>
      <c r="E915" s="80"/>
      <c r="F915" s="79"/>
      <c r="G915" s="25" t="str">
        <f t="shared" si="43"/>
        <v/>
      </c>
      <c r="H915" s="88"/>
      <c r="I915" s="93"/>
      <c r="J915" s="97"/>
      <c r="K915" s="88"/>
      <c r="L915" s="25" t="str">
        <f>IF($D915="","",SUMIFS($H$4:$H915,$D$4:$D915,$D915)+SUMIFS($I$4:$I915,$D$4:$D915,$D915)-SUMIFS($J$4:$J915,$D$4:$D915,$D915)-SUMIFS($K$4:$K915,$D$4:$D915,$D915))</f>
        <v/>
      </c>
      <c r="M915" s="80"/>
      <c r="N915" s="80"/>
      <c r="O915" s="94"/>
      <c r="P915" s="26" t="str">
        <f t="shared" si="44"/>
        <v/>
      </c>
      <c r="Q915" s="80"/>
      <c r="R915" s="80"/>
      <c r="S915" s="80"/>
      <c r="T915" s="82"/>
      <c r="U915" s="80"/>
      <c r="V915" s="80"/>
      <c r="W915" s="80"/>
    </row>
    <row r="916" ht="18" customHeight="1" spans="1:23">
      <c r="A916" s="87" t="str">
        <f t="shared" si="42"/>
        <v/>
      </c>
      <c r="B916" s="78"/>
      <c r="C916" s="80"/>
      <c r="D916" s="79"/>
      <c r="E916" s="80"/>
      <c r="F916" s="79"/>
      <c r="G916" s="25" t="str">
        <f t="shared" si="43"/>
        <v/>
      </c>
      <c r="H916" s="88"/>
      <c r="I916" s="93"/>
      <c r="J916" s="97"/>
      <c r="K916" s="88"/>
      <c r="L916" s="25" t="str">
        <f>IF($D916="","",SUMIFS($H$4:$H916,$D$4:$D916,$D916)+SUMIFS($I$4:$I916,$D$4:$D916,$D916)-SUMIFS($J$4:$J916,$D$4:$D916,$D916)-SUMIFS($K$4:$K916,$D$4:$D916,$D916))</f>
        <v/>
      </c>
      <c r="M916" s="80"/>
      <c r="N916" s="80"/>
      <c r="O916" s="94"/>
      <c r="P916" s="26" t="str">
        <f t="shared" si="44"/>
        <v/>
      </c>
      <c r="Q916" s="80"/>
      <c r="R916" s="80"/>
      <c r="S916" s="80"/>
      <c r="T916" s="82"/>
      <c r="U916" s="80"/>
      <c r="V916" s="80"/>
      <c r="W916" s="80"/>
    </row>
    <row r="917" ht="18" customHeight="1" spans="1:23">
      <c r="A917" s="87" t="str">
        <f t="shared" si="42"/>
        <v/>
      </c>
      <c r="B917" s="78"/>
      <c r="C917" s="80"/>
      <c r="D917" s="79"/>
      <c r="E917" s="80"/>
      <c r="F917" s="79"/>
      <c r="G917" s="25" t="str">
        <f t="shared" si="43"/>
        <v/>
      </c>
      <c r="H917" s="88"/>
      <c r="I917" s="93"/>
      <c r="J917" s="97"/>
      <c r="K917" s="88"/>
      <c r="L917" s="25" t="str">
        <f>IF($D917="","",SUMIFS($H$4:$H917,$D$4:$D917,$D917)+SUMIFS($I$4:$I917,$D$4:$D917,$D917)-SUMIFS($J$4:$J917,$D$4:$D917,$D917)-SUMIFS($K$4:$K917,$D$4:$D917,$D917))</f>
        <v/>
      </c>
      <c r="M917" s="80"/>
      <c r="N917" s="80"/>
      <c r="O917" s="94"/>
      <c r="P917" s="26" t="str">
        <f t="shared" si="44"/>
        <v/>
      </c>
      <c r="Q917" s="80"/>
      <c r="R917" s="80"/>
      <c r="S917" s="80"/>
      <c r="T917" s="82"/>
      <c r="U917" s="80"/>
      <c r="V917" s="80"/>
      <c r="W917" s="80"/>
    </row>
    <row r="918" ht="18" customHeight="1" spans="1:23">
      <c r="A918" s="87" t="str">
        <f t="shared" si="42"/>
        <v/>
      </c>
      <c r="B918" s="78"/>
      <c r="C918" s="80"/>
      <c r="D918" s="79"/>
      <c r="E918" s="80"/>
      <c r="F918" s="79"/>
      <c r="G918" s="25" t="str">
        <f t="shared" si="43"/>
        <v/>
      </c>
      <c r="H918" s="88"/>
      <c r="I918" s="93"/>
      <c r="J918" s="97"/>
      <c r="K918" s="88"/>
      <c r="L918" s="25" t="str">
        <f>IF($D918="","",SUMIFS($H$4:$H918,$D$4:$D918,$D918)+SUMIFS($I$4:$I918,$D$4:$D918,$D918)-SUMIFS($J$4:$J918,$D$4:$D918,$D918)-SUMIFS($K$4:$K918,$D$4:$D918,$D918))</f>
        <v/>
      </c>
      <c r="M918" s="80"/>
      <c r="N918" s="80"/>
      <c r="O918" s="94"/>
      <c r="P918" s="26" t="str">
        <f t="shared" si="44"/>
        <v/>
      </c>
      <c r="Q918" s="80"/>
      <c r="R918" s="80"/>
      <c r="S918" s="80"/>
      <c r="T918" s="82"/>
      <c r="U918" s="80"/>
      <c r="V918" s="80"/>
      <c r="W918" s="80"/>
    </row>
    <row r="919" ht="18" customHeight="1" spans="1:23">
      <c r="A919" s="87" t="str">
        <f t="shared" si="42"/>
        <v/>
      </c>
      <c r="B919" s="78"/>
      <c r="C919" s="80"/>
      <c r="D919" s="79"/>
      <c r="E919" s="80"/>
      <c r="F919" s="79"/>
      <c r="G919" s="25" t="str">
        <f t="shared" si="43"/>
        <v/>
      </c>
      <c r="H919" s="88"/>
      <c r="I919" s="93"/>
      <c r="J919" s="97"/>
      <c r="K919" s="88"/>
      <c r="L919" s="25" t="str">
        <f>IF($D919="","",SUMIFS($H$4:$H919,$D$4:$D919,$D919)+SUMIFS($I$4:$I919,$D$4:$D919,$D919)-SUMIFS($J$4:$J919,$D$4:$D919,$D919)-SUMIFS($K$4:$K919,$D$4:$D919,$D919))</f>
        <v/>
      </c>
      <c r="M919" s="80"/>
      <c r="N919" s="80"/>
      <c r="O919" s="94"/>
      <c r="P919" s="26" t="str">
        <f t="shared" si="44"/>
        <v/>
      </c>
      <c r="Q919" s="80"/>
      <c r="R919" s="80"/>
      <c r="S919" s="80"/>
      <c r="T919" s="82"/>
      <c r="U919" s="80"/>
      <c r="V919" s="80"/>
      <c r="W919" s="80"/>
    </row>
    <row r="920" ht="18" customHeight="1" spans="1:23">
      <c r="A920" s="87" t="str">
        <f t="shared" si="42"/>
        <v/>
      </c>
      <c r="B920" s="78"/>
      <c r="C920" s="80"/>
      <c r="D920" s="79"/>
      <c r="E920" s="80"/>
      <c r="F920" s="79"/>
      <c r="G920" s="25" t="str">
        <f t="shared" si="43"/>
        <v/>
      </c>
      <c r="H920" s="88"/>
      <c r="I920" s="93"/>
      <c r="J920" s="97"/>
      <c r="K920" s="88"/>
      <c r="L920" s="25" t="str">
        <f>IF($D920="","",SUMIFS($H$4:$H920,$D$4:$D920,$D920)+SUMIFS($I$4:$I920,$D$4:$D920,$D920)-SUMIFS($J$4:$J920,$D$4:$D920,$D920)-SUMIFS($K$4:$K920,$D$4:$D920,$D920))</f>
        <v/>
      </c>
      <c r="M920" s="80"/>
      <c r="N920" s="80"/>
      <c r="O920" s="94"/>
      <c r="P920" s="26" t="str">
        <f t="shared" si="44"/>
        <v/>
      </c>
      <c r="Q920" s="80"/>
      <c r="R920" s="80"/>
      <c r="S920" s="80"/>
      <c r="T920" s="82"/>
      <c r="U920" s="80"/>
      <c r="V920" s="80"/>
      <c r="W920" s="80"/>
    </row>
    <row r="921" ht="18" customHeight="1" spans="1:23">
      <c r="A921" s="87" t="str">
        <f t="shared" si="42"/>
        <v/>
      </c>
      <c r="B921" s="78"/>
      <c r="C921" s="80"/>
      <c r="D921" s="79"/>
      <c r="E921" s="80"/>
      <c r="F921" s="79"/>
      <c r="G921" s="25" t="str">
        <f t="shared" si="43"/>
        <v/>
      </c>
      <c r="H921" s="88"/>
      <c r="I921" s="93"/>
      <c r="J921" s="97"/>
      <c r="K921" s="88"/>
      <c r="L921" s="25" t="str">
        <f>IF($D921="","",SUMIFS($H$4:$H921,$D$4:$D921,$D921)+SUMIFS($I$4:$I921,$D$4:$D921,$D921)-SUMIFS($J$4:$J921,$D$4:$D921,$D921)-SUMIFS($K$4:$K921,$D$4:$D921,$D921))</f>
        <v/>
      </c>
      <c r="M921" s="80"/>
      <c r="N921" s="80"/>
      <c r="O921" s="94"/>
      <c r="P921" s="26" t="str">
        <f t="shared" si="44"/>
        <v/>
      </c>
      <c r="Q921" s="80"/>
      <c r="R921" s="80"/>
      <c r="S921" s="80"/>
      <c r="T921" s="82"/>
      <c r="U921" s="80"/>
      <c r="V921" s="80"/>
      <c r="W921" s="80"/>
    </row>
    <row r="922" ht="18" customHeight="1" spans="1:23">
      <c r="A922" s="87" t="str">
        <f t="shared" si="42"/>
        <v/>
      </c>
      <c r="B922" s="78"/>
      <c r="C922" s="80"/>
      <c r="D922" s="79"/>
      <c r="E922" s="80"/>
      <c r="F922" s="79"/>
      <c r="G922" s="25" t="str">
        <f t="shared" si="43"/>
        <v/>
      </c>
      <c r="H922" s="88"/>
      <c r="I922" s="93"/>
      <c r="J922" s="97"/>
      <c r="K922" s="88"/>
      <c r="L922" s="25" t="str">
        <f>IF($D922="","",SUMIFS($H$4:$H922,$D$4:$D922,$D922)+SUMIFS($I$4:$I922,$D$4:$D922,$D922)-SUMIFS($J$4:$J922,$D$4:$D922,$D922)-SUMIFS($K$4:$K922,$D$4:$D922,$D922))</f>
        <v/>
      </c>
      <c r="M922" s="80"/>
      <c r="N922" s="80"/>
      <c r="O922" s="94"/>
      <c r="P922" s="26" t="str">
        <f t="shared" si="44"/>
        <v/>
      </c>
      <c r="Q922" s="80"/>
      <c r="R922" s="80"/>
      <c r="S922" s="80"/>
      <c r="T922" s="82"/>
      <c r="U922" s="80"/>
      <c r="V922" s="80"/>
      <c r="W922" s="80"/>
    </row>
    <row r="923" ht="18" customHeight="1" spans="1:23">
      <c r="A923" s="87" t="str">
        <f t="shared" si="42"/>
        <v/>
      </c>
      <c r="B923" s="78"/>
      <c r="C923" s="80"/>
      <c r="D923" s="79"/>
      <c r="E923" s="80"/>
      <c r="F923" s="79"/>
      <c r="G923" s="25" t="str">
        <f t="shared" si="43"/>
        <v/>
      </c>
      <c r="H923" s="88"/>
      <c r="I923" s="93"/>
      <c r="J923" s="97"/>
      <c r="K923" s="88"/>
      <c r="L923" s="25" t="str">
        <f>IF($D923="","",SUMIFS($H$4:$H923,$D$4:$D923,$D923)+SUMIFS($I$4:$I923,$D$4:$D923,$D923)-SUMIFS($J$4:$J923,$D$4:$D923,$D923)-SUMIFS($K$4:$K923,$D$4:$D923,$D923))</f>
        <v/>
      </c>
      <c r="M923" s="80"/>
      <c r="N923" s="80"/>
      <c r="O923" s="94"/>
      <c r="P923" s="26" t="str">
        <f t="shared" si="44"/>
        <v/>
      </c>
      <c r="Q923" s="80"/>
      <c r="R923" s="80"/>
      <c r="S923" s="80"/>
      <c r="T923" s="82"/>
      <c r="U923" s="80"/>
      <c r="V923" s="80"/>
      <c r="W923" s="80"/>
    </row>
    <row r="924" ht="18" customHeight="1" spans="1:23">
      <c r="A924" s="87" t="str">
        <f t="shared" si="42"/>
        <v/>
      </c>
      <c r="B924" s="78"/>
      <c r="C924" s="80"/>
      <c r="D924" s="79"/>
      <c r="E924" s="80"/>
      <c r="F924" s="79"/>
      <c r="G924" s="25" t="str">
        <f t="shared" si="43"/>
        <v/>
      </c>
      <c r="H924" s="88"/>
      <c r="I924" s="93"/>
      <c r="J924" s="97"/>
      <c r="K924" s="88"/>
      <c r="L924" s="25" t="str">
        <f>IF($D924="","",SUMIFS($H$4:$H924,$D$4:$D924,$D924)+SUMIFS($I$4:$I924,$D$4:$D924,$D924)-SUMIFS($J$4:$J924,$D$4:$D924,$D924)-SUMIFS($K$4:$K924,$D$4:$D924,$D924))</f>
        <v/>
      </c>
      <c r="M924" s="80"/>
      <c r="N924" s="80"/>
      <c r="O924" s="94"/>
      <c r="P924" s="26" t="str">
        <f t="shared" si="44"/>
        <v/>
      </c>
      <c r="Q924" s="80"/>
      <c r="R924" s="80"/>
      <c r="S924" s="80"/>
      <c r="T924" s="82"/>
      <c r="U924" s="80"/>
      <c r="V924" s="80"/>
      <c r="W924" s="80"/>
    </row>
    <row r="925" ht="18" customHeight="1" spans="1:23">
      <c r="A925" s="87" t="str">
        <f t="shared" si="42"/>
        <v/>
      </c>
      <c r="B925" s="78"/>
      <c r="C925" s="80"/>
      <c r="D925" s="79"/>
      <c r="E925" s="80"/>
      <c r="F925" s="79"/>
      <c r="G925" s="25" t="str">
        <f t="shared" si="43"/>
        <v/>
      </c>
      <c r="H925" s="88"/>
      <c r="I925" s="93"/>
      <c r="J925" s="97"/>
      <c r="K925" s="88"/>
      <c r="L925" s="25" t="str">
        <f>IF($D925="","",SUMIFS($H$4:$H925,$D$4:$D925,$D925)+SUMIFS($I$4:$I925,$D$4:$D925,$D925)-SUMIFS($J$4:$J925,$D$4:$D925,$D925)-SUMIFS($K$4:$K925,$D$4:$D925,$D925))</f>
        <v/>
      </c>
      <c r="M925" s="80"/>
      <c r="N925" s="80"/>
      <c r="O925" s="94"/>
      <c r="P925" s="26" t="str">
        <f t="shared" si="44"/>
        <v/>
      </c>
      <c r="Q925" s="80"/>
      <c r="R925" s="80"/>
      <c r="S925" s="80"/>
      <c r="T925" s="82"/>
      <c r="U925" s="80"/>
      <c r="V925" s="80"/>
      <c r="W925" s="80"/>
    </row>
    <row r="926" ht="18" customHeight="1" spans="1:23">
      <c r="A926" s="87" t="str">
        <f t="shared" si="42"/>
        <v/>
      </c>
      <c r="B926" s="78"/>
      <c r="C926" s="80"/>
      <c r="D926" s="79"/>
      <c r="E926" s="80"/>
      <c r="F926" s="79"/>
      <c r="G926" s="25" t="str">
        <f t="shared" si="43"/>
        <v/>
      </c>
      <c r="H926" s="88"/>
      <c r="I926" s="93"/>
      <c r="J926" s="97"/>
      <c r="K926" s="88"/>
      <c r="L926" s="25" t="str">
        <f>IF($D926="","",SUMIFS($H$4:$H926,$D$4:$D926,$D926)+SUMIFS($I$4:$I926,$D$4:$D926,$D926)-SUMIFS($J$4:$J926,$D$4:$D926,$D926)-SUMIFS($K$4:$K926,$D$4:$D926,$D926))</f>
        <v/>
      </c>
      <c r="M926" s="80"/>
      <c r="N926" s="80"/>
      <c r="O926" s="94"/>
      <c r="P926" s="26" t="str">
        <f t="shared" si="44"/>
        <v/>
      </c>
      <c r="Q926" s="80"/>
      <c r="R926" s="80"/>
      <c r="S926" s="80"/>
      <c r="T926" s="82"/>
      <c r="U926" s="80"/>
      <c r="V926" s="80"/>
      <c r="W926" s="80"/>
    </row>
    <row r="927" ht="18" customHeight="1" spans="1:23">
      <c r="A927" s="87" t="str">
        <f t="shared" si="42"/>
        <v/>
      </c>
      <c r="B927" s="78"/>
      <c r="C927" s="80"/>
      <c r="D927" s="79"/>
      <c r="E927" s="80"/>
      <c r="F927" s="79"/>
      <c r="G927" s="25" t="str">
        <f t="shared" si="43"/>
        <v/>
      </c>
      <c r="H927" s="88"/>
      <c r="I927" s="93"/>
      <c r="J927" s="97"/>
      <c r="K927" s="88"/>
      <c r="L927" s="25" t="str">
        <f>IF($D927="","",SUMIFS($H$4:$H927,$D$4:$D927,$D927)+SUMIFS($I$4:$I927,$D$4:$D927,$D927)-SUMIFS($J$4:$J927,$D$4:$D927,$D927)-SUMIFS($K$4:$K927,$D$4:$D927,$D927))</f>
        <v/>
      </c>
      <c r="M927" s="80"/>
      <c r="N927" s="80"/>
      <c r="O927" s="94"/>
      <c r="P927" s="26" t="str">
        <f t="shared" si="44"/>
        <v/>
      </c>
      <c r="Q927" s="80"/>
      <c r="R927" s="80"/>
      <c r="S927" s="80"/>
      <c r="T927" s="82"/>
      <c r="U927" s="80"/>
      <c r="V927" s="80"/>
      <c r="W927" s="80"/>
    </row>
    <row r="928" ht="18" customHeight="1" spans="1:23">
      <c r="A928" s="87" t="str">
        <f t="shared" si="42"/>
        <v/>
      </c>
      <c r="B928" s="78"/>
      <c r="C928" s="80"/>
      <c r="D928" s="79"/>
      <c r="E928" s="80"/>
      <c r="F928" s="79"/>
      <c r="G928" s="25" t="str">
        <f t="shared" si="43"/>
        <v/>
      </c>
      <c r="H928" s="88"/>
      <c r="I928" s="93"/>
      <c r="J928" s="97"/>
      <c r="K928" s="88"/>
      <c r="L928" s="25" t="str">
        <f>IF($D928="","",SUMIFS($H$4:$H928,$D$4:$D928,$D928)+SUMIFS($I$4:$I928,$D$4:$D928,$D928)-SUMIFS($J$4:$J928,$D$4:$D928,$D928)-SUMIFS($K$4:$K928,$D$4:$D928,$D928))</f>
        <v/>
      </c>
      <c r="M928" s="80"/>
      <c r="N928" s="80"/>
      <c r="O928" s="94"/>
      <c r="P928" s="26" t="str">
        <f t="shared" si="44"/>
        <v/>
      </c>
      <c r="Q928" s="80"/>
      <c r="R928" s="80"/>
      <c r="S928" s="80"/>
      <c r="T928" s="82"/>
      <c r="U928" s="80"/>
      <c r="V928" s="80"/>
      <c r="W928" s="80"/>
    </row>
    <row r="929" ht="18" customHeight="1" spans="1:23">
      <c r="A929" s="87" t="str">
        <f t="shared" si="42"/>
        <v/>
      </c>
      <c r="B929" s="78"/>
      <c r="C929" s="80"/>
      <c r="D929" s="79"/>
      <c r="E929" s="80"/>
      <c r="F929" s="79"/>
      <c r="G929" s="25" t="str">
        <f t="shared" si="43"/>
        <v/>
      </c>
      <c r="H929" s="88"/>
      <c r="I929" s="93"/>
      <c r="J929" s="97"/>
      <c r="K929" s="88"/>
      <c r="L929" s="25" t="str">
        <f>IF($D929="","",SUMIFS($H$4:$H929,$D$4:$D929,$D929)+SUMIFS($I$4:$I929,$D$4:$D929,$D929)-SUMIFS($J$4:$J929,$D$4:$D929,$D929)-SUMIFS($K$4:$K929,$D$4:$D929,$D929))</f>
        <v/>
      </c>
      <c r="M929" s="80"/>
      <c r="N929" s="80"/>
      <c r="O929" s="94"/>
      <c r="P929" s="26" t="str">
        <f t="shared" si="44"/>
        <v/>
      </c>
      <c r="Q929" s="80"/>
      <c r="R929" s="80"/>
      <c r="S929" s="80"/>
      <c r="T929" s="82"/>
      <c r="U929" s="80"/>
      <c r="V929" s="80"/>
      <c r="W929" s="80"/>
    </row>
    <row r="930" ht="18" customHeight="1" spans="1:23">
      <c r="A930" s="87" t="str">
        <f t="shared" si="42"/>
        <v/>
      </c>
      <c r="B930" s="78"/>
      <c r="C930" s="80"/>
      <c r="D930" s="79"/>
      <c r="E930" s="80"/>
      <c r="F930" s="79"/>
      <c r="G930" s="25" t="str">
        <f t="shared" si="43"/>
        <v/>
      </c>
      <c r="H930" s="88"/>
      <c r="I930" s="93"/>
      <c r="J930" s="97"/>
      <c r="K930" s="88"/>
      <c r="L930" s="25" t="str">
        <f>IF($D930="","",SUMIFS($H$4:$H930,$D$4:$D930,$D930)+SUMIFS($I$4:$I930,$D$4:$D930,$D930)-SUMIFS($J$4:$J930,$D$4:$D930,$D930)-SUMIFS($K$4:$K930,$D$4:$D930,$D930))</f>
        <v/>
      </c>
      <c r="M930" s="80"/>
      <c r="N930" s="80"/>
      <c r="O930" s="94"/>
      <c r="P930" s="26" t="str">
        <f t="shared" si="44"/>
        <v/>
      </c>
      <c r="Q930" s="80"/>
      <c r="R930" s="80"/>
      <c r="S930" s="80"/>
      <c r="T930" s="82"/>
      <c r="U930" s="80"/>
      <c r="V930" s="80"/>
      <c r="W930" s="80"/>
    </row>
    <row r="931" ht="18" customHeight="1" spans="1:23">
      <c r="A931" s="87" t="str">
        <f t="shared" si="42"/>
        <v/>
      </c>
      <c r="B931" s="78"/>
      <c r="C931" s="80"/>
      <c r="D931" s="79"/>
      <c r="E931" s="80"/>
      <c r="F931" s="79"/>
      <c r="G931" s="25" t="str">
        <f t="shared" si="43"/>
        <v/>
      </c>
      <c r="H931" s="88"/>
      <c r="I931" s="93"/>
      <c r="J931" s="97"/>
      <c r="K931" s="88"/>
      <c r="L931" s="25" t="str">
        <f>IF($D931="","",SUMIFS($H$4:$H931,$D$4:$D931,$D931)+SUMIFS($I$4:$I931,$D$4:$D931,$D931)-SUMIFS($J$4:$J931,$D$4:$D931,$D931)-SUMIFS($K$4:$K931,$D$4:$D931,$D931))</f>
        <v/>
      </c>
      <c r="M931" s="80"/>
      <c r="N931" s="80"/>
      <c r="O931" s="94"/>
      <c r="P931" s="26" t="str">
        <f t="shared" si="44"/>
        <v/>
      </c>
      <c r="Q931" s="80"/>
      <c r="R931" s="80"/>
      <c r="S931" s="80"/>
      <c r="T931" s="82"/>
      <c r="U931" s="80"/>
      <c r="V931" s="80"/>
      <c r="W931" s="80"/>
    </row>
    <row r="932" ht="18" customHeight="1" spans="1:23">
      <c r="A932" s="87" t="str">
        <f t="shared" si="42"/>
        <v/>
      </c>
      <c r="B932" s="78"/>
      <c r="C932" s="80"/>
      <c r="D932" s="79"/>
      <c r="E932" s="80"/>
      <c r="F932" s="79"/>
      <c r="G932" s="25" t="str">
        <f t="shared" si="43"/>
        <v/>
      </c>
      <c r="H932" s="88"/>
      <c r="I932" s="93"/>
      <c r="J932" s="97"/>
      <c r="K932" s="88"/>
      <c r="L932" s="25" t="str">
        <f>IF($D932="","",SUMIFS($H$4:$H932,$D$4:$D932,$D932)+SUMIFS($I$4:$I932,$D$4:$D932,$D932)-SUMIFS($J$4:$J932,$D$4:$D932,$D932)-SUMIFS($K$4:$K932,$D$4:$D932,$D932))</f>
        <v/>
      </c>
      <c r="M932" s="80"/>
      <c r="N932" s="80"/>
      <c r="O932" s="94"/>
      <c r="P932" s="26" t="str">
        <f t="shared" si="44"/>
        <v/>
      </c>
      <c r="Q932" s="80"/>
      <c r="R932" s="80"/>
      <c r="S932" s="80"/>
      <c r="T932" s="82"/>
      <c r="U932" s="80"/>
      <c r="V932" s="80"/>
      <c r="W932" s="80"/>
    </row>
    <row r="933" ht="18" customHeight="1" spans="1:23">
      <c r="A933" s="87" t="str">
        <f t="shared" si="42"/>
        <v/>
      </c>
      <c r="B933" s="78"/>
      <c r="C933" s="80"/>
      <c r="D933" s="79"/>
      <c r="E933" s="80"/>
      <c r="F933" s="79"/>
      <c r="G933" s="25" t="str">
        <f t="shared" si="43"/>
        <v/>
      </c>
      <c r="H933" s="88"/>
      <c r="I933" s="93"/>
      <c r="J933" s="97"/>
      <c r="K933" s="88"/>
      <c r="L933" s="25" t="str">
        <f>IF($D933="","",SUMIFS($H$4:$H933,$D$4:$D933,$D933)+SUMIFS($I$4:$I933,$D$4:$D933,$D933)-SUMIFS($J$4:$J933,$D$4:$D933,$D933)-SUMIFS($K$4:$K933,$D$4:$D933,$D933))</f>
        <v/>
      </c>
      <c r="M933" s="80"/>
      <c r="N933" s="80"/>
      <c r="O933" s="94"/>
      <c r="P933" s="26" t="str">
        <f t="shared" si="44"/>
        <v/>
      </c>
      <c r="Q933" s="80"/>
      <c r="R933" s="80"/>
      <c r="S933" s="80"/>
      <c r="T933" s="82"/>
      <c r="U933" s="80"/>
      <c r="V933" s="80"/>
      <c r="W933" s="80"/>
    </row>
    <row r="934" ht="18" customHeight="1" spans="1:23">
      <c r="A934" s="87" t="str">
        <f t="shared" si="42"/>
        <v/>
      </c>
      <c r="B934" s="78"/>
      <c r="C934" s="80"/>
      <c r="D934" s="79"/>
      <c r="E934" s="80"/>
      <c r="F934" s="79"/>
      <c r="G934" s="25" t="str">
        <f t="shared" si="43"/>
        <v/>
      </c>
      <c r="H934" s="88"/>
      <c r="I934" s="93"/>
      <c r="J934" s="97"/>
      <c r="K934" s="88"/>
      <c r="L934" s="25" t="str">
        <f>IF($D934="","",SUMIFS($H$4:$H934,$D$4:$D934,$D934)+SUMIFS($I$4:$I934,$D$4:$D934,$D934)-SUMIFS($J$4:$J934,$D$4:$D934,$D934)-SUMIFS($K$4:$K934,$D$4:$D934,$D934))</f>
        <v/>
      </c>
      <c r="M934" s="80"/>
      <c r="N934" s="80"/>
      <c r="O934" s="94"/>
      <c r="P934" s="26" t="str">
        <f t="shared" si="44"/>
        <v/>
      </c>
      <c r="Q934" s="80"/>
      <c r="R934" s="80"/>
      <c r="S934" s="80"/>
      <c r="T934" s="82"/>
      <c r="U934" s="80"/>
      <c r="V934" s="80"/>
      <c r="W934" s="80"/>
    </row>
    <row r="935" ht="18" customHeight="1" spans="1:23">
      <c r="A935" s="87" t="str">
        <f t="shared" si="42"/>
        <v/>
      </c>
      <c r="B935" s="78"/>
      <c r="C935" s="80"/>
      <c r="D935" s="79"/>
      <c r="E935" s="80"/>
      <c r="F935" s="79"/>
      <c r="G935" s="25" t="str">
        <f t="shared" si="43"/>
        <v/>
      </c>
      <c r="H935" s="88"/>
      <c r="I935" s="93"/>
      <c r="J935" s="97"/>
      <c r="K935" s="88"/>
      <c r="L935" s="25" t="str">
        <f>IF($D935="","",SUMIFS($H$4:$H935,$D$4:$D935,$D935)+SUMIFS($I$4:$I935,$D$4:$D935,$D935)-SUMIFS($J$4:$J935,$D$4:$D935,$D935)-SUMIFS($K$4:$K935,$D$4:$D935,$D935))</f>
        <v/>
      </c>
      <c r="M935" s="80"/>
      <c r="N935" s="80"/>
      <c r="O935" s="94"/>
      <c r="P935" s="26" t="str">
        <f t="shared" si="44"/>
        <v/>
      </c>
      <c r="Q935" s="80"/>
      <c r="R935" s="80"/>
      <c r="S935" s="80"/>
      <c r="T935" s="82"/>
      <c r="U935" s="80"/>
      <c r="V935" s="80"/>
      <c r="W935" s="80"/>
    </row>
    <row r="936" ht="18" customHeight="1" spans="1:23">
      <c r="A936" s="87" t="str">
        <f t="shared" si="42"/>
        <v/>
      </c>
      <c r="B936" s="78"/>
      <c r="C936" s="80"/>
      <c r="D936" s="79"/>
      <c r="E936" s="80"/>
      <c r="F936" s="79"/>
      <c r="G936" s="25" t="str">
        <f t="shared" si="43"/>
        <v/>
      </c>
      <c r="H936" s="88"/>
      <c r="I936" s="93"/>
      <c r="J936" s="97"/>
      <c r="K936" s="88"/>
      <c r="L936" s="25" t="str">
        <f>IF($D936="","",SUMIFS($H$4:$H936,$D$4:$D936,$D936)+SUMIFS($I$4:$I936,$D$4:$D936,$D936)-SUMIFS($J$4:$J936,$D$4:$D936,$D936)-SUMIFS($K$4:$K936,$D$4:$D936,$D936))</f>
        <v/>
      </c>
      <c r="M936" s="80"/>
      <c r="N936" s="80"/>
      <c r="O936" s="94"/>
      <c r="P936" s="26" t="str">
        <f t="shared" si="44"/>
        <v/>
      </c>
      <c r="Q936" s="80"/>
      <c r="R936" s="80"/>
      <c r="S936" s="80"/>
      <c r="T936" s="82"/>
      <c r="U936" s="80"/>
      <c r="V936" s="80"/>
      <c r="W936" s="80"/>
    </row>
    <row r="937" ht="18" customHeight="1" spans="1:23">
      <c r="A937" s="87" t="str">
        <f t="shared" si="42"/>
        <v/>
      </c>
      <c r="B937" s="78"/>
      <c r="C937" s="80"/>
      <c r="D937" s="79"/>
      <c r="E937" s="80"/>
      <c r="F937" s="79"/>
      <c r="G937" s="25" t="str">
        <f t="shared" si="43"/>
        <v/>
      </c>
      <c r="H937" s="88"/>
      <c r="I937" s="93"/>
      <c r="J937" s="97"/>
      <c r="K937" s="88"/>
      <c r="L937" s="25" t="str">
        <f>IF($D937="","",SUMIFS($H$4:$H937,$D$4:$D937,$D937)+SUMIFS($I$4:$I937,$D$4:$D937,$D937)-SUMIFS($J$4:$J937,$D$4:$D937,$D937)-SUMIFS($K$4:$K937,$D$4:$D937,$D937))</f>
        <v/>
      </c>
      <c r="M937" s="80"/>
      <c r="N937" s="80"/>
      <c r="O937" s="94"/>
      <c r="P937" s="26" t="str">
        <f t="shared" si="44"/>
        <v/>
      </c>
      <c r="Q937" s="80"/>
      <c r="R937" s="80"/>
      <c r="S937" s="80"/>
      <c r="T937" s="82"/>
      <c r="U937" s="80"/>
      <c r="V937" s="80"/>
      <c r="W937" s="80"/>
    </row>
    <row r="938" ht="18" customHeight="1" spans="1:23">
      <c r="A938" s="87" t="str">
        <f t="shared" si="42"/>
        <v/>
      </c>
      <c r="B938" s="78"/>
      <c r="C938" s="80"/>
      <c r="D938" s="79"/>
      <c r="E938" s="80"/>
      <c r="F938" s="79"/>
      <c r="G938" s="25" t="str">
        <f t="shared" si="43"/>
        <v/>
      </c>
      <c r="H938" s="88"/>
      <c r="I938" s="93"/>
      <c r="J938" s="97"/>
      <c r="K938" s="88"/>
      <c r="L938" s="25" t="str">
        <f>IF($D938="","",SUMIFS($H$4:$H938,$D$4:$D938,$D938)+SUMIFS($I$4:$I938,$D$4:$D938,$D938)-SUMIFS($J$4:$J938,$D$4:$D938,$D938)-SUMIFS($K$4:$K938,$D$4:$D938,$D938))</f>
        <v/>
      </c>
      <c r="M938" s="80"/>
      <c r="N938" s="80"/>
      <c r="O938" s="94"/>
      <c r="P938" s="26" t="str">
        <f t="shared" si="44"/>
        <v/>
      </c>
      <c r="Q938" s="80"/>
      <c r="R938" s="80"/>
      <c r="S938" s="80"/>
      <c r="T938" s="82"/>
      <c r="U938" s="80"/>
      <c r="V938" s="80"/>
      <c r="W938" s="80"/>
    </row>
    <row r="939" ht="18" customHeight="1" spans="1:23">
      <c r="A939" s="87" t="str">
        <f t="shared" si="42"/>
        <v/>
      </c>
      <c r="B939" s="78"/>
      <c r="C939" s="80"/>
      <c r="D939" s="79"/>
      <c r="E939" s="80"/>
      <c r="F939" s="79"/>
      <c r="G939" s="25" t="str">
        <f t="shared" si="43"/>
        <v/>
      </c>
      <c r="H939" s="88"/>
      <c r="I939" s="93"/>
      <c r="J939" s="97"/>
      <c r="K939" s="88"/>
      <c r="L939" s="25" t="str">
        <f>IF($D939="","",SUMIFS($H$4:$H939,$D$4:$D939,$D939)+SUMIFS($I$4:$I939,$D$4:$D939,$D939)-SUMIFS($J$4:$J939,$D$4:$D939,$D939)-SUMIFS($K$4:$K939,$D$4:$D939,$D939))</f>
        <v/>
      </c>
      <c r="M939" s="80"/>
      <c r="N939" s="80"/>
      <c r="O939" s="94"/>
      <c r="P939" s="26" t="str">
        <f t="shared" si="44"/>
        <v/>
      </c>
      <c r="Q939" s="80"/>
      <c r="R939" s="80"/>
      <c r="S939" s="80"/>
      <c r="T939" s="82"/>
      <c r="U939" s="80"/>
      <c r="V939" s="80"/>
      <c r="W939" s="80"/>
    </row>
    <row r="940" ht="18" customHeight="1" spans="1:23">
      <c r="A940" s="87" t="str">
        <f t="shared" si="42"/>
        <v/>
      </c>
      <c r="B940" s="78"/>
      <c r="C940" s="80"/>
      <c r="D940" s="79"/>
      <c r="E940" s="80"/>
      <c r="F940" s="79"/>
      <c r="G940" s="25" t="str">
        <f t="shared" si="43"/>
        <v/>
      </c>
      <c r="H940" s="88"/>
      <c r="I940" s="93"/>
      <c r="J940" s="97"/>
      <c r="K940" s="88"/>
      <c r="L940" s="25" t="str">
        <f>IF($D940="","",SUMIFS($H$4:$H940,$D$4:$D940,$D940)+SUMIFS($I$4:$I940,$D$4:$D940,$D940)-SUMIFS($J$4:$J940,$D$4:$D940,$D940)-SUMIFS($K$4:$K940,$D$4:$D940,$D940))</f>
        <v/>
      </c>
      <c r="M940" s="80"/>
      <c r="N940" s="80"/>
      <c r="O940" s="94"/>
      <c r="P940" s="26" t="str">
        <f t="shared" si="44"/>
        <v/>
      </c>
      <c r="Q940" s="80"/>
      <c r="R940" s="80"/>
      <c r="S940" s="80"/>
      <c r="T940" s="82"/>
      <c r="U940" s="80"/>
      <c r="V940" s="80"/>
      <c r="W940" s="80"/>
    </row>
    <row r="941" ht="18" customHeight="1" spans="1:23">
      <c r="A941" s="87" t="str">
        <f t="shared" si="42"/>
        <v/>
      </c>
      <c r="B941" s="78"/>
      <c r="C941" s="80"/>
      <c r="D941" s="79"/>
      <c r="E941" s="80"/>
      <c r="F941" s="79"/>
      <c r="G941" s="25" t="str">
        <f t="shared" si="43"/>
        <v/>
      </c>
      <c r="H941" s="88"/>
      <c r="I941" s="93"/>
      <c r="J941" s="97"/>
      <c r="K941" s="88"/>
      <c r="L941" s="25" t="str">
        <f>IF($D941="","",SUMIFS($H$4:$H941,$D$4:$D941,$D941)+SUMIFS($I$4:$I941,$D$4:$D941,$D941)-SUMIFS($J$4:$J941,$D$4:$D941,$D941)-SUMIFS($K$4:$K941,$D$4:$D941,$D941))</f>
        <v/>
      </c>
      <c r="M941" s="80"/>
      <c r="N941" s="80"/>
      <c r="O941" s="94"/>
      <c r="P941" s="26" t="str">
        <f t="shared" si="44"/>
        <v/>
      </c>
      <c r="Q941" s="80"/>
      <c r="R941" s="80"/>
      <c r="S941" s="80"/>
      <c r="T941" s="82"/>
      <c r="U941" s="80"/>
      <c r="V941" s="80"/>
      <c r="W941" s="80"/>
    </row>
    <row r="942" ht="18" customHeight="1" spans="1:23">
      <c r="A942" s="87" t="str">
        <f t="shared" si="42"/>
        <v/>
      </c>
      <c r="B942" s="78"/>
      <c r="C942" s="80"/>
      <c r="D942" s="79"/>
      <c r="E942" s="80"/>
      <c r="F942" s="79"/>
      <c r="G942" s="25" t="str">
        <f t="shared" si="43"/>
        <v/>
      </c>
      <c r="H942" s="88"/>
      <c r="I942" s="93"/>
      <c r="J942" s="97"/>
      <c r="K942" s="88"/>
      <c r="L942" s="25" t="str">
        <f>IF($D942="","",SUMIFS($H$4:$H942,$D$4:$D942,$D942)+SUMIFS($I$4:$I942,$D$4:$D942,$D942)-SUMIFS($J$4:$J942,$D$4:$D942,$D942)-SUMIFS($K$4:$K942,$D$4:$D942,$D942))</f>
        <v/>
      </c>
      <c r="M942" s="80"/>
      <c r="N942" s="80"/>
      <c r="O942" s="94"/>
      <c r="P942" s="26" t="str">
        <f t="shared" si="44"/>
        <v/>
      </c>
      <c r="Q942" s="80"/>
      <c r="R942" s="80"/>
      <c r="S942" s="80"/>
      <c r="T942" s="82"/>
      <c r="U942" s="80"/>
      <c r="V942" s="80"/>
      <c r="W942" s="80"/>
    </row>
    <row r="943" ht="18" customHeight="1" spans="1:23">
      <c r="A943" s="87" t="str">
        <f t="shared" si="42"/>
        <v/>
      </c>
      <c r="B943" s="78"/>
      <c r="C943" s="80"/>
      <c r="D943" s="79"/>
      <c r="E943" s="80"/>
      <c r="F943" s="79"/>
      <c r="G943" s="25" t="str">
        <f t="shared" si="43"/>
        <v/>
      </c>
      <c r="H943" s="88"/>
      <c r="I943" s="93"/>
      <c r="J943" s="97"/>
      <c r="K943" s="88"/>
      <c r="L943" s="25" t="str">
        <f>IF($D943="","",SUMIFS($H$4:$H943,$D$4:$D943,$D943)+SUMIFS($I$4:$I943,$D$4:$D943,$D943)-SUMIFS($J$4:$J943,$D$4:$D943,$D943)-SUMIFS($K$4:$K943,$D$4:$D943,$D943))</f>
        <v/>
      </c>
      <c r="M943" s="80"/>
      <c r="N943" s="80"/>
      <c r="O943" s="94"/>
      <c r="P943" s="26" t="str">
        <f t="shared" si="44"/>
        <v/>
      </c>
      <c r="Q943" s="80"/>
      <c r="R943" s="80"/>
      <c r="S943" s="80"/>
      <c r="T943" s="82"/>
      <c r="U943" s="80"/>
      <c r="V943" s="80"/>
      <c r="W943" s="80"/>
    </row>
    <row r="944" ht="18" customHeight="1" spans="1:23">
      <c r="A944" s="87" t="str">
        <f t="shared" si="42"/>
        <v/>
      </c>
      <c r="B944" s="78"/>
      <c r="C944" s="80"/>
      <c r="D944" s="79"/>
      <c r="E944" s="80"/>
      <c r="F944" s="79"/>
      <c r="G944" s="25" t="str">
        <f t="shared" si="43"/>
        <v/>
      </c>
      <c r="H944" s="88"/>
      <c r="I944" s="93"/>
      <c r="J944" s="97"/>
      <c r="K944" s="88"/>
      <c r="L944" s="25" t="str">
        <f>IF($D944="","",SUMIFS($H$4:$H944,$D$4:$D944,$D944)+SUMIFS($I$4:$I944,$D$4:$D944,$D944)-SUMIFS($J$4:$J944,$D$4:$D944,$D944)-SUMIFS($K$4:$K944,$D$4:$D944,$D944))</f>
        <v/>
      </c>
      <c r="M944" s="80"/>
      <c r="N944" s="80"/>
      <c r="O944" s="94"/>
      <c r="P944" s="26" t="str">
        <f t="shared" si="44"/>
        <v/>
      </c>
      <c r="Q944" s="80"/>
      <c r="R944" s="80"/>
      <c r="S944" s="80"/>
      <c r="T944" s="82"/>
      <c r="U944" s="80"/>
      <c r="V944" s="80"/>
      <c r="W944" s="80"/>
    </row>
    <row r="945" ht="18" customHeight="1" spans="1:23">
      <c r="A945" s="87" t="str">
        <f t="shared" si="42"/>
        <v/>
      </c>
      <c r="B945" s="78"/>
      <c r="C945" s="80"/>
      <c r="D945" s="79"/>
      <c r="E945" s="80"/>
      <c r="F945" s="79"/>
      <c r="G945" s="25" t="str">
        <f t="shared" si="43"/>
        <v/>
      </c>
      <c r="H945" s="88"/>
      <c r="I945" s="93"/>
      <c r="J945" s="97"/>
      <c r="K945" s="88"/>
      <c r="L945" s="25" t="str">
        <f>IF($D945="","",SUMIFS($H$4:$H945,$D$4:$D945,$D945)+SUMIFS($I$4:$I945,$D$4:$D945,$D945)-SUMIFS($J$4:$J945,$D$4:$D945,$D945)-SUMIFS($K$4:$K945,$D$4:$D945,$D945))</f>
        <v/>
      </c>
      <c r="M945" s="80"/>
      <c r="N945" s="80"/>
      <c r="O945" s="94"/>
      <c r="P945" s="26" t="str">
        <f t="shared" si="44"/>
        <v/>
      </c>
      <c r="Q945" s="80"/>
      <c r="R945" s="80"/>
      <c r="S945" s="80"/>
      <c r="T945" s="82"/>
      <c r="U945" s="80"/>
      <c r="V945" s="80"/>
      <c r="W945" s="80"/>
    </row>
    <row r="946" ht="18" customHeight="1" spans="1:23">
      <c r="A946" s="87" t="str">
        <f t="shared" si="42"/>
        <v/>
      </c>
      <c r="B946" s="78"/>
      <c r="C946" s="80"/>
      <c r="D946" s="79"/>
      <c r="E946" s="80"/>
      <c r="F946" s="79"/>
      <c r="G946" s="25" t="str">
        <f t="shared" si="43"/>
        <v/>
      </c>
      <c r="H946" s="88"/>
      <c r="I946" s="93"/>
      <c r="J946" s="97"/>
      <c r="K946" s="88"/>
      <c r="L946" s="25" t="str">
        <f>IF($D946="","",SUMIFS($H$4:$H946,$D$4:$D946,$D946)+SUMIFS($I$4:$I946,$D$4:$D946,$D946)-SUMIFS($J$4:$J946,$D$4:$D946,$D946)-SUMIFS($K$4:$K946,$D$4:$D946,$D946))</f>
        <v/>
      </c>
      <c r="M946" s="80"/>
      <c r="N946" s="80"/>
      <c r="O946" s="94"/>
      <c r="P946" s="26" t="str">
        <f t="shared" si="44"/>
        <v/>
      </c>
      <c r="Q946" s="80"/>
      <c r="R946" s="80"/>
      <c r="S946" s="80"/>
      <c r="T946" s="82"/>
      <c r="U946" s="80"/>
      <c r="V946" s="80"/>
      <c r="W946" s="80"/>
    </row>
    <row r="947" ht="18" customHeight="1" spans="1:23">
      <c r="A947" s="87" t="str">
        <f t="shared" si="42"/>
        <v/>
      </c>
      <c r="B947" s="78"/>
      <c r="C947" s="80"/>
      <c r="D947" s="79"/>
      <c r="E947" s="80"/>
      <c r="F947" s="79"/>
      <c r="G947" s="25" t="str">
        <f t="shared" si="43"/>
        <v/>
      </c>
      <c r="H947" s="88"/>
      <c r="I947" s="93"/>
      <c r="J947" s="97"/>
      <c r="K947" s="88"/>
      <c r="L947" s="25" t="str">
        <f>IF($D947="","",SUMIFS($H$4:$H947,$D$4:$D947,$D947)+SUMIFS($I$4:$I947,$D$4:$D947,$D947)-SUMIFS($J$4:$J947,$D$4:$D947,$D947)-SUMIFS($K$4:$K947,$D$4:$D947,$D947))</f>
        <v/>
      </c>
      <c r="M947" s="80"/>
      <c r="N947" s="80"/>
      <c r="O947" s="94"/>
      <c r="P947" s="26" t="str">
        <f t="shared" si="44"/>
        <v/>
      </c>
      <c r="Q947" s="80"/>
      <c r="R947" s="80"/>
      <c r="S947" s="80"/>
      <c r="T947" s="82"/>
      <c r="U947" s="80"/>
      <c r="V947" s="80"/>
      <c r="W947" s="80"/>
    </row>
    <row r="948" ht="18" customHeight="1" spans="1:23">
      <c r="A948" s="87" t="str">
        <f t="shared" si="42"/>
        <v/>
      </c>
      <c r="B948" s="78"/>
      <c r="C948" s="80"/>
      <c r="D948" s="79"/>
      <c r="E948" s="80"/>
      <c r="F948" s="79"/>
      <c r="G948" s="25" t="str">
        <f t="shared" si="43"/>
        <v/>
      </c>
      <c r="H948" s="88"/>
      <c r="I948" s="93"/>
      <c r="J948" s="97"/>
      <c r="K948" s="88"/>
      <c r="L948" s="25" t="str">
        <f>IF($D948="","",SUMIFS($H$4:$H948,$D$4:$D948,$D948)+SUMIFS($I$4:$I948,$D$4:$D948,$D948)-SUMIFS($J$4:$J948,$D$4:$D948,$D948)-SUMIFS($K$4:$K948,$D$4:$D948,$D948))</f>
        <v/>
      </c>
      <c r="M948" s="80"/>
      <c r="N948" s="80"/>
      <c r="O948" s="94"/>
      <c r="P948" s="26" t="str">
        <f t="shared" si="44"/>
        <v/>
      </c>
      <c r="Q948" s="80"/>
      <c r="R948" s="80"/>
      <c r="S948" s="80"/>
      <c r="T948" s="82"/>
      <c r="U948" s="80"/>
      <c r="V948" s="80"/>
      <c r="W948" s="80"/>
    </row>
    <row r="949" ht="18" customHeight="1" spans="1:23">
      <c r="A949" s="87" t="str">
        <f t="shared" si="42"/>
        <v/>
      </c>
      <c r="B949" s="78"/>
      <c r="C949" s="80"/>
      <c r="D949" s="79"/>
      <c r="E949" s="80"/>
      <c r="F949" s="79"/>
      <c r="G949" s="25" t="str">
        <f t="shared" si="43"/>
        <v/>
      </c>
      <c r="H949" s="88"/>
      <c r="I949" s="93"/>
      <c r="J949" s="97"/>
      <c r="K949" s="88"/>
      <c r="L949" s="25" t="str">
        <f>IF($D949="","",SUMIFS($H$4:$H949,$D$4:$D949,$D949)+SUMIFS($I$4:$I949,$D$4:$D949,$D949)-SUMIFS($J$4:$J949,$D$4:$D949,$D949)-SUMIFS($K$4:$K949,$D$4:$D949,$D949))</f>
        <v/>
      </c>
      <c r="M949" s="80"/>
      <c r="N949" s="80"/>
      <c r="O949" s="94"/>
      <c r="P949" s="26" t="str">
        <f t="shared" si="44"/>
        <v/>
      </c>
      <c r="Q949" s="80"/>
      <c r="R949" s="80"/>
      <c r="S949" s="80"/>
      <c r="T949" s="82"/>
      <c r="U949" s="80"/>
      <c r="V949" s="80"/>
      <c r="W949" s="80"/>
    </row>
    <row r="950" ht="18" customHeight="1" spans="1:23">
      <c r="A950" s="87" t="str">
        <f t="shared" si="42"/>
        <v/>
      </c>
      <c r="B950" s="78"/>
      <c r="C950" s="80"/>
      <c r="D950" s="79"/>
      <c r="E950" s="80"/>
      <c r="F950" s="79"/>
      <c r="G950" s="25" t="str">
        <f t="shared" si="43"/>
        <v/>
      </c>
      <c r="H950" s="88"/>
      <c r="I950" s="93"/>
      <c r="J950" s="97"/>
      <c r="K950" s="88"/>
      <c r="L950" s="25" t="str">
        <f>IF($D950="","",SUMIFS($H$4:$H950,$D$4:$D950,$D950)+SUMIFS($I$4:$I950,$D$4:$D950,$D950)-SUMIFS($J$4:$J950,$D$4:$D950,$D950)-SUMIFS($K$4:$K950,$D$4:$D950,$D950))</f>
        <v/>
      </c>
      <c r="M950" s="80"/>
      <c r="N950" s="80"/>
      <c r="O950" s="94"/>
      <c r="P950" s="26" t="str">
        <f t="shared" si="44"/>
        <v/>
      </c>
      <c r="Q950" s="80"/>
      <c r="R950" s="80"/>
      <c r="S950" s="80"/>
      <c r="T950" s="82"/>
      <c r="U950" s="80"/>
      <c r="V950" s="80"/>
      <c r="W950" s="80"/>
    </row>
    <row r="951" ht="18" customHeight="1" spans="1:23">
      <c r="A951" s="87" t="str">
        <f t="shared" si="42"/>
        <v/>
      </c>
      <c r="B951" s="78"/>
      <c r="C951" s="80"/>
      <c r="D951" s="79"/>
      <c r="E951" s="80"/>
      <c r="F951" s="79"/>
      <c r="G951" s="25" t="str">
        <f t="shared" si="43"/>
        <v/>
      </c>
      <c r="H951" s="88"/>
      <c r="I951" s="93"/>
      <c r="J951" s="97"/>
      <c r="K951" s="88"/>
      <c r="L951" s="25" t="str">
        <f>IF($D951="","",SUMIFS($H$4:$H951,$D$4:$D951,$D951)+SUMIFS($I$4:$I951,$D$4:$D951,$D951)-SUMIFS($J$4:$J951,$D$4:$D951,$D951)-SUMIFS($K$4:$K951,$D$4:$D951,$D951))</f>
        <v/>
      </c>
      <c r="M951" s="80"/>
      <c r="N951" s="80"/>
      <c r="O951" s="94"/>
      <c r="P951" s="26" t="str">
        <f t="shared" si="44"/>
        <v/>
      </c>
      <c r="Q951" s="80"/>
      <c r="R951" s="80"/>
      <c r="S951" s="80"/>
      <c r="T951" s="82"/>
      <c r="U951" s="80"/>
      <c r="V951" s="80"/>
      <c r="W951" s="80"/>
    </row>
    <row r="952" ht="18" customHeight="1" spans="1:23">
      <c r="A952" s="87" t="str">
        <f t="shared" si="42"/>
        <v/>
      </c>
      <c r="B952" s="78"/>
      <c r="C952" s="80"/>
      <c r="D952" s="79"/>
      <c r="E952" s="80"/>
      <c r="F952" s="79"/>
      <c r="G952" s="25" t="str">
        <f t="shared" si="43"/>
        <v/>
      </c>
      <c r="H952" s="88"/>
      <c r="I952" s="93"/>
      <c r="J952" s="97"/>
      <c r="K952" s="88"/>
      <c r="L952" s="25" t="str">
        <f>IF($D952="","",SUMIFS($H$4:$H952,$D$4:$D952,$D952)+SUMIFS($I$4:$I952,$D$4:$D952,$D952)-SUMIFS($J$4:$J952,$D$4:$D952,$D952)-SUMIFS($K$4:$K952,$D$4:$D952,$D952))</f>
        <v/>
      </c>
      <c r="M952" s="80"/>
      <c r="N952" s="80"/>
      <c r="O952" s="94"/>
      <c r="P952" s="26" t="str">
        <f t="shared" si="44"/>
        <v/>
      </c>
      <c r="Q952" s="80"/>
      <c r="R952" s="80"/>
      <c r="S952" s="80"/>
      <c r="T952" s="82"/>
      <c r="U952" s="80"/>
      <c r="V952" s="80"/>
      <c r="W952" s="80"/>
    </row>
    <row r="953" ht="18" customHeight="1" spans="1:23">
      <c r="A953" s="87" t="str">
        <f t="shared" si="42"/>
        <v/>
      </c>
      <c r="B953" s="78"/>
      <c r="C953" s="80"/>
      <c r="D953" s="79"/>
      <c r="E953" s="80"/>
      <c r="F953" s="79"/>
      <c r="G953" s="25" t="str">
        <f t="shared" si="43"/>
        <v/>
      </c>
      <c r="H953" s="88"/>
      <c r="I953" s="93"/>
      <c r="J953" s="97"/>
      <c r="K953" s="88"/>
      <c r="L953" s="25" t="str">
        <f>IF($D953="","",SUMIFS($H$4:$H953,$D$4:$D953,$D953)+SUMIFS($I$4:$I953,$D$4:$D953,$D953)-SUMIFS($J$4:$J953,$D$4:$D953,$D953)-SUMIFS($K$4:$K953,$D$4:$D953,$D953))</f>
        <v/>
      </c>
      <c r="M953" s="80"/>
      <c r="N953" s="80"/>
      <c r="O953" s="94"/>
      <c r="P953" s="26" t="str">
        <f t="shared" si="44"/>
        <v/>
      </c>
      <c r="Q953" s="80"/>
      <c r="R953" s="80"/>
      <c r="S953" s="80"/>
      <c r="T953" s="82"/>
      <c r="U953" s="80"/>
      <c r="V953" s="80"/>
      <c r="W953" s="80"/>
    </row>
    <row r="954" ht="18" customHeight="1" spans="1:23">
      <c r="A954" s="87" t="str">
        <f t="shared" si="42"/>
        <v/>
      </c>
      <c r="B954" s="78"/>
      <c r="C954" s="80"/>
      <c r="D954" s="79"/>
      <c r="E954" s="80"/>
      <c r="F954" s="79"/>
      <c r="G954" s="25" t="str">
        <f t="shared" si="43"/>
        <v/>
      </c>
      <c r="H954" s="88"/>
      <c r="I954" s="93"/>
      <c r="J954" s="97"/>
      <c r="K954" s="88"/>
      <c r="L954" s="25" t="str">
        <f>IF($D954="","",SUMIFS($H$4:$H954,$D$4:$D954,$D954)+SUMIFS($I$4:$I954,$D$4:$D954,$D954)-SUMIFS($J$4:$J954,$D$4:$D954,$D954)-SUMIFS($K$4:$K954,$D$4:$D954,$D954))</f>
        <v/>
      </c>
      <c r="M954" s="80"/>
      <c r="N954" s="80"/>
      <c r="O954" s="94"/>
      <c r="P954" s="26" t="str">
        <f t="shared" si="44"/>
        <v/>
      </c>
      <c r="Q954" s="80"/>
      <c r="R954" s="80"/>
      <c r="S954" s="80"/>
      <c r="T954" s="82"/>
      <c r="U954" s="80"/>
      <c r="V954" s="80"/>
      <c r="W954" s="80"/>
    </row>
    <row r="955" ht="18" customHeight="1" spans="1:23">
      <c r="A955" s="87" t="str">
        <f t="shared" si="42"/>
        <v/>
      </c>
      <c r="B955" s="78"/>
      <c r="C955" s="80"/>
      <c r="D955" s="79"/>
      <c r="E955" s="80"/>
      <c r="F955" s="79"/>
      <c r="G955" s="25" t="str">
        <f t="shared" si="43"/>
        <v/>
      </c>
      <c r="H955" s="88"/>
      <c r="I955" s="93"/>
      <c r="J955" s="97"/>
      <c r="K955" s="88"/>
      <c r="L955" s="25" t="str">
        <f>IF($D955="","",SUMIFS($H$4:$H955,$D$4:$D955,$D955)+SUMIFS($I$4:$I955,$D$4:$D955,$D955)-SUMIFS($J$4:$J955,$D$4:$D955,$D955)-SUMIFS($K$4:$K955,$D$4:$D955,$D955))</f>
        <v/>
      </c>
      <c r="M955" s="80"/>
      <c r="N955" s="80"/>
      <c r="O955" s="94"/>
      <c r="P955" s="26" t="str">
        <f t="shared" si="44"/>
        <v/>
      </c>
      <c r="Q955" s="80"/>
      <c r="R955" s="80"/>
      <c r="S955" s="80"/>
      <c r="T955" s="82"/>
      <c r="U955" s="80"/>
      <c r="V955" s="80"/>
      <c r="W955" s="80"/>
    </row>
    <row r="956" ht="18" customHeight="1" spans="1:23">
      <c r="A956" s="87" t="str">
        <f t="shared" si="42"/>
        <v/>
      </c>
      <c r="B956" s="78"/>
      <c r="C956" s="80"/>
      <c r="D956" s="79"/>
      <c r="E956" s="80"/>
      <c r="F956" s="79"/>
      <c r="G956" s="25" t="str">
        <f t="shared" si="43"/>
        <v/>
      </c>
      <c r="H956" s="88"/>
      <c r="I956" s="93"/>
      <c r="J956" s="97"/>
      <c r="K956" s="88"/>
      <c r="L956" s="25" t="str">
        <f>IF($D956="","",SUMIFS($H$4:$H956,$D$4:$D956,$D956)+SUMIFS($I$4:$I956,$D$4:$D956,$D956)-SUMIFS($J$4:$J956,$D$4:$D956,$D956)-SUMIFS($K$4:$K956,$D$4:$D956,$D956))</f>
        <v/>
      </c>
      <c r="M956" s="80"/>
      <c r="N956" s="80"/>
      <c r="O956" s="94"/>
      <c r="P956" s="26" t="str">
        <f t="shared" si="44"/>
        <v/>
      </c>
      <c r="Q956" s="80"/>
      <c r="R956" s="80"/>
      <c r="S956" s="80"/>
      <c r="T956" s="82"/>
      <c r="U956" s="80"/>
      <c r="V956" s="80"/>
      <c r="W956" s="80"/>
    </row>
    <row r="957" ht="18" customHeight="1" spans="1:23">
      <c r="A957" s="87" t="str">
        <f t="shared" si="42"/>
        <v/>
      </c>
      <c r="B957" s="78"/>
      <c r="C957" s="80"/>
      <c r="D957" s="79"/>
      <c r="E957" s="80"/>
      <c r="F957" s="79"/>
      <c r="G957" s="25" t="str">
        <f t="shared" si="43"/>
        <v/>
      </c>
      <c r="H957" s="88"/>
      <c r="I957" s="93"/>
      <c r="J957" s="97"/>
      <c r="K957" s="88"/>
      <c r="L957" s="25" t="str">
        <f>IF($D957="","",SUMIFS($H$4:$H957,$D$4:$D957,$D957)+SUMIFS($I$4:$I957,$D$4:$D957,$D957)-SUMIFS($J$4:$J957,$D$4:$D957,$D957)-SUMIFS($K$4:$K957,$D$4:$D957,$D957))</f>
        <v/>
      </c>
      <c r="M957" s="80"/>
      <c r="N957" s="80"/>
      <c r="O957" s="94"/>
      <c r="P957" s="26" t="str">
        <f t="shared" si="44"/>
        <v/>
      </c>
      <c r="Q957" s="80"/>
      <c r="R957" s="80"/>
      <c r="S957" s="80"/>
      <c r="T957" s="82"/>
      <c r="U957" s="80"/>
      <c r="V957" s="80"/>
      <c r="W957" s="80"/>
    </row>
    <row r="958" ht="18" customHeight="1" spans="1:23">
      <c r="A958" s="87" t="str">
        <f t="shared" si="42"/>
        <v/>
      </c>
      <c r="B958" s="78"/>
      <c r="C958" s="80"/>
      <c r="D958" s="79"/>
      <c r="E958" s="80"/>
      <c r="F958" s="79"/>
      <c r="G958" s="25" t="str">
        <f t="shared" si="43"/>
        <v/>
      </c>
      <c r="H958" s="88"/>
      <c r="I958" s="93"/>
      <c r="J958" s="97"/>
      <c r="K958" s="88"/>
      <c r="L958" s="25" t="str">
        <f>IF($D958="","",SUMIFS($H$4:$H958,$D$4:$D958,$D958)+SUMIFS($I$4:$I958,$D$4:$D958,$D958)-SUMIFS($J$4:$J958,$D$4:$D958,$D958)-SUMIFS($K$4:$K958,$D$4:$D958,$D958))</f>
        <v/>
      </c>
      <c r="M958" s="80"/>
      <c r="N958" s="80"/>
      <c r="O958" s="94"/>
      <c r="P958" s="26" t="str">
        <f t="shared" si="44"/>
        <v/>
      </c>
      <c r="Q958" s="80"/>
      <c r="R958" s="80"/>
      <c r="S958" s="80"/>
      <c r="T958" s="82"/>
      <c r="U958" s="80"/>
      <c r="V958" s="80"/>
      <c r="W958" s="80"/>
    </row>
    <row r="959" ht="18" customHeight="1" spans="1:23">
      <c r="A959" s="87" t="str">
        <f t="shared" si="42"/>
        <v/>
      </c>
      <c r="B959" s="78"/>
      <c r="C959" s="80"/>
      <c r="D959" s="79"/>
      <c r="E959" s="80"/>
      <c r="F959" s="79"/>
      <c r="G959" s="25" t="str">
        <f t="shared" si="43"/>
        <v/>
      </c>
      <c r="H959" s="88"/>
      <c r="I959" s="93"/>
      <c r="J959" s="97"/>
      <c r="K959" s="88"/>
      <c r="L959" s="25" t="str">
        <f>IF($D959="","",SUMIFS($H$4:$H959,$D$4:$D959,$D959)+SUMIFS($I$4:$I959,$D$4:$D959,$D959)-SUMIFS($J$4:$J959,$D$4:$D959,$D959)-SUMIFS($K$4:$K959,$D$4:$D959,$D959))</f>
        <v/>
      </c>
      <c r="M959" s="80"/>
      <c r="N959" s="80"/>
      <c r="O959" s="94"/>
      <c r="P959" s="26" t="str">
        <f t="shared" si="44"/>
        <v/>
      </c>
      <c r="Q959" s="80"/>
      <c r="R959" s="80"/>
      <c r="S959" s="80"/>
      <c r="T959" s="82"/>
      <c r="U959" s="80"/>
      <c r="V959" s="80"/>
      <c r="W959" s="80"/>
    </row>
    <row r="960" ht="18" customHeight="1" spans="1:23">
      <c r="A960" s="87" t="str">
        <f t="shared" si="42"/>
        <v/>
      </c>
      <c r="B960" s="78"/>
      <c r="C960" s="80"/>
      <c r="D960" s="79"/>
      <c r="E960" s="80"/>
      <c r="F960" s="79"/>
      <c r="G960" s="25" t="str">
        <f t="shared" si="43"/>
        <v/>
      </c>
      <c r="H960" s="88"/>
      <c r="I960" s="93"/>
      <c r="J960" s="97"/>
      <c r="K960" s="88"/>
      <c r="L960" s="25" t="str">
        <f>IF($D960="","",SUMIFS($H$4:$H960,$D$4:$D960,$D960)+SUMIFS($I$4:$I960,$D$4:$D960,$D960)-SUMIFS($J$4:$J960,$D$4:$D960,$D960)-SUMIFS($K$4:$K960,$D$4:$D960,$D960))</f>
        <v/>
      </c>
      <c r="M960" s="80"/>
      <c r="N960" s="80"/>
      <c r="O960" s="94"/>
      <c r="P960" s="26" t="str">
        <f t="shared" si="44"/>
        <v/>
      </c>
      <c r="Q960" s="80"/>
      <c r="R960" s="80"/>
      <c r="S960" s="80"/>
      <c r="T960" s="82"/>
      <c r="U960" s="80"/>
      <c r="V960" s="80"/>
      <c r="W960" s="80"/>
    </row>
    <row r="961" ht="18" customHeight="1" spans="1:23">
      <c r="A961" s="87" t="str">
        <f t="shared" si="42"/>
        <v/>
      </c>
      <c r="B961" s="78"/>
      <c r="C961" s="80"/>
      <c r="D961" s="79"/>
      <c r="E961" s="80"/>
      <c r="F961" s="79"/>
      <c r="G961" s="25" t="str">
        <f t="shared" si="43"/>
        <v/>
      </c>
      <c r="H961" s="88"/>
      <c r="I961" s="93"/>
      <c r="J961" s="97"/>
      <c r="K961" s="88"/>
      <c r="L961" s="25" t="str">
        <f>IF($D961="","",SUMIFS($H$4:$H961,$D$4:$D961,$D961)+SUMIFS($I$4:$I961,$D$4:$D961,$D961)-SUMIFS($J$4:$J961,$D$4:$D961,$D961)-SUMIFS($K$4:$K961,$D$4:$D961,$D961))</f>
        <v/>
      </c>
      <c r="M961" s="80"/>
      <c r="N961" s="80"/>
      <c r="O961" s="94"/>
      <c r="P961" s="26" t="str">
        <f t="shared" si="44"/>
        <v/>
      </c>
      <c r="Q961" s="80"/>
      <c r="R961" s="80"/>
      <c r="S961" s="80"/>
      <c r="T961" s="82"/>
      <c r="U961" s="80"/>
      <c r="V961" s="80"/>
      <c r="W961" s="80"/>
    </row>
    <row r="962" ht="18" customHeight="1" spans="1:23">
      <c r="A962" s="87" t="str">
        <f t="shared" si="42"/>
        <v/>
      </c>
      <c r="B962" s="78"/>
      <c r="C962" s="80"/>
      <c r="D962" s="79"/>
      <c r="E962" s="80"/>
      <c r="F962" s="79"/>
      <c r="G962" s="25" t="str">
        <f t="shared" si="43"/>
        <v/>
      </c>
      <c r="H962" s="88"/>
      <c r="I962" s="93"/>
      <c r="J962" s="97"/>
      <c r="K962" s="88"/>
      <c r="L962" s="25" t="str">
        <f>IF($D962="","",SUMIFS($H$4:$H962,$D$4:$D962,$D962)+SUMIFS($I$4:$I962,$D$4:$D962,$D962)-SUMIFS($J$4:$J962,$D$4:$D962,$D962)-SUMIFS($K$4:$K962,$D$4:$D962,$D962))</f>
        <v/>
      </c>
      <c r="M962" s="80"/>
      <c r="N962" s="80"/>
      <c r="O962" s="94"/>
      <c r="P962" s="26" t="str">
        <f t="shared" si="44"/>
        <v/>
      </c>
      <c r="Q962" s="80"/>
      <c r="R962" s="80"/>
      <c r="S962" s="80"/>
      <c r="T962" s="82"/>
      <c r="U962" s="80"/>
      <c r="V962" s="80"/>
      <c r="W962" s="80"/>
    </row>
    <row r="963" ht="18" customHeight="1" spans="1:23">
      <c r="A963" s="87" t="str">
        <f t="shared" si="42"/>
        <v/>
      </c>
      <c r="B963" s="78"/>
      <c r="C963" s="80"/>
      <c r="D963" s="79"/>
      <c r="E963" s="80"/>
      <c r="F963" s="79"/>
      <c r="G963" s="25" t="str">
        <f t="shared" si="43"/>
        <v/>
      </c>
      <c r="H963" s="88"/>
      <c r="I963" s="93"/>
      <c r="J963" s="97"/>
      <c r="K963" s="88"/>
      <c r="L963" s="25" t="str">
        <f>IF($D963="","",SUMIFS($H$4:$H963,$D$4:$D963,$D963)+SUMIFS($I$4:$I963,$D$4:$D963,$D963)-SUMIFS($J$4:$J963,$D$4:$D963,$D963)-SUMIFS($K$4:$K963,$D$4:$D963,$D963))</f>
        <v/>
      </c>
      <c r="M963" s="80"/>
      <c r="N963" s="80"/>
      <c r="O963" s="94"/>
      <c r="P963" s="26" t="str">
        <f t="shared" si="44"/>
        <v/>
      </c>
      <c r="Q963" s="80"/>
      <c r="R963" s="80"/>
      <c r="S963" s="80"/>
      <c r="T963" s="82"/>
      <c r="U963" s="80"/>
      <c r="V963" s="80"/>
      <c r="W963" s="80"/>
    </row>
    <row r="964" ht="18" customHeight="1" spans="1:23">
      <c r="A964" s="87" t="str">
        <f t="shared" si="42"/>
        <v/>
      </c>
      <c r="B964" s="78"/>
      <c r="C964" s="80"/>
      <c r="D964" s="79"/>
      <c r="E964" s="80"/>
      <c r="F964" s="79"/>
      <c r="G964" s="25" t="str">
        <f t="shared" si="43"/>
        <v/>
      </c>
      <c r="H964" s="88"/>
      <c r="I964" s="93"/>
      <c r="J964" s="97"/>
      <c r="K964" s="88"/>
      <c r="L964" s="25" t="str">
        <f>IF($D964="","",SUMIFS($H$4:$H964,$D$4:$D964,$D964)+SUMIFS($I$4:$I964,$D$4:$D964,$D964)-SUMIFS($J$4:$J964,$D$4:$D964,$D964)-SUMIFS($K$4:$K964,$D$4:$D964,$D964))</f>
        <v/>
      </c>
      <c r="M964" s="80"/>
      <c r="N964" s="80"/>
      <c r="O964" s="94"/>
      <c r="P964" s="26" t="str">
        <f t="shared" si="44"/>
        <v/>
      </c>
      <c r="Q964" s="80"/>
      <c r="R964" s="80"/>
      <c r="S964" s="80"/>
      <c r="T964" s="82"/>
      <c r="U964" s="80"/>
      <c r="V964" s="80"/>
      <c r="W964" s="80"/>
    </row>
    <row r="965" ht="18" customHeight="1" spans="1:23">
      <c r="A965" s="87" t="str">
        <f t="shared" ref="A965:A1028" si="45">IF($D965="","",ROW()-3)</f>
        <v/>
      </c>
      <c r="B965" s="78"/>
      <c r="C965" s="80"/>
      <c r="D965" s="79"/>
      <c r="E965" s="80"/>
      <c r="F965" s="79"/>
      <c r="G965" s="25" t="str">
        <f t="shared" ref="G965:G1028" si="46">IF($D965="","",N($L965)-N($H965)-N($I965)+N($J965)+N($K965))</f>
        <v/>
      </c>
      <c r="H965" s="88"/>
      <c r="I965" s="93"/>
      <c r="J965" s="97"/>
      <c r="K965" s="88"/>
      <c r="L965" s="25" t="str">
        <f>IF($D965="","",SUMIFS($H$4:$H965,$D$4:$D965,$D965)+SUMIFS($I$4:$I965,$D$4:$D965,$D965)-SUMIFS($J$4:$J965,$D$4:$D965,$D965)-SUMIFS($K$4:$K965,$D$4:$D965,$D965))</f>
        <v/>
      </c>
      <c r="M965" s="80"/>
      <c r="N965" s="80"/>
      <c r="O965" s="94"/>
      <c r="P965" s="26" t="str">
        <f t="shared" ref="P965:P1028" si="47">IF($D965="","",ROUND((N($H965)+N($K965))*N($O965),2))</f>
        <v/>
      </c>
      <c r="Q965" s="80"/>
      <c r="R965" s="80"/>
      <c r="S965" s="80"/>
      <c r="T965" s="82"/>
      <c r="U965" s="80"/>
      <c r="V965" s="80"/>
      <c r="W965" s="80"/>
    </row>
    <row r="966" ht="18" customHeight="1" spans="1:23">
      <c r="A966" s="87" t="str">
        <f t="shared" si="45"/>
        <v/>
      </c>
      <c r="B966" s="78"/>
      <c r="C966" s="80"/>
      <c r="D966" s="79"/>
      <c r="E966" s="80"/>
      <c r="F966" s="79"/>
      <c r="G966" s="25" t="str">
        <f t="shared" si="46"/>
        <v/>
      </c>
      <c r="H966" s="88"/>
      <c r="I966" s="93"/>
      <c r="J966" s="97"/>
      <c r="K966" s="88"/>
      <c r="L966" s="25" t="str">
        <f>IF($D966="","",SUMIFS($H$4:$H966,$D$4:$D966,$D966)+SUMIFS($I$4:$I966,$D$4:$D966,$D966)-SUMIFS($J$4:$J966,$D$4:$D966,$D966)-SUMIFS($K$4:$K966,$D$4:$D966,$D966))</f>
        <v/>
      </c>
      <c r="M966" s="80"/>
      <c r="N966" s="80"/>
      <c r="O966" s="94"/>
      <c r="P966" s="26" t="str">
        <f t="shared" si="47"/>
        <v/>
      </c>
      <c r="Q966" s="80"/>
      <c r="R966" s="80"/>
      <c r="S966" s="80"/>
      <c r="T966" s="82"/>
      <c r="U966" s="80"/>
      <c r="V966" s="80"/>
      <c r="W966" s="80"/>
    </row>
    <row r="967" ht="18" customHeight="1" spans="1:23">
      <c r="A967" s="87" t="str">
        <f t="shared" si="45"/>
        <v/>
      </c>
      <c r="B967" s="78"/>
      <c r="C967" s="80"/>
      <c r="D967" s="79"/>
      <c r="E967" s="80"/>
      <c r="F967" s="79"/>
      <c r="G967" s="25" t="str">
        <f t="shared" si="46"/>
        <v/>
      </c>
      <c r="H967" s="88"/>
      <c r="I967" s="93"/>
      <c r="J967" s="97"/>
      <c r="K967" s="88"/>
      <c r="L967" s="25" t="str">
        <f>IF($D967="","",SUMIFS($H$4:$H967,$D$4:$D967,$D967)+SUMIFS($I$4:$I967,$D$4:$D967,$D967)-SUMIFS($J$4:$J967,$D$4:$D967,$D967)-SUMIFS($K$4:$K967,$D$4:$D967,$D967))</f>
        <v/>
      </c>
      <c r="M967" s="80"/>
      <c r="N967" s="80"/>
      <c r="O967" s="94"/>
      <c r="P967" s="26" t="str">
        <f t="shared" si="47"/>
        <v/>
      </c>
      <c r="Q967" s="80"/>
      <c r="R967" s="80"/>
      <c r="S967" s="80"/>
      <c r="T967" s="82"/>
      <c r="U967" s="80"/>
      <c r="V967" s="80"/>
      <c r="W967" s="80"/>
    </row>
    <row r="968" ht="18" customHeight="1" spans="1:23">
      <c r="A968" s="87" t="str">
        <f t="shared" si="45"/>
        <v/>
      </c>
      <c r="B968" s="78"/>
      <c r="C968" s="80"/>
      <c r="D968" s="79"/>
      <c r="E968" s="80"/>
      <c r="F968" s="79"/>
      <c r="G968" s="25" t="str">
        <f t="shared" si="46"/>
        <v/>
      </c>
      <c r="H968" s="88"/>
      <c r="I968" s="93"/>
      <c r="J968" s="97"/>
      <c r="K968" s="88"/>
      <c r="L968" s="25" t="str">
        <f>IF($D968="","",SUMIFS($H$4:$H968,$D$4:$D968,$D968)+SUMIFS($I$4:$I968,$D$4:$D968,$D968)-SUMIFS($J$4:$J968,$D$4:$D968,$D968)-SUMIFS($K$4:$K968,$D$4:$D968,$D968))</f>
        <v/>
      </c>
      <c r="M968" s="80"/>
      <c r="N968" s="80"/>
      <c r="O968" s="94"/>
      <c r="P968" s="26" t="str">
        <f t="shared" si="47"/>
        <v/>
      </c>
      <c r="Q968" s="80"/>
      <c r="R968" s="80"/>
      <c r="S968" s="80"/>
      <c r="T968" s="82"/>
      <c r="U968" s="80"/>
      <c r="V968" s="80"/>
      <c r="W968" s="80"/>
    </row>
    <row r="969" ht="18" customHeight="1" spans="1:23">
      <c r="A969" s="87" t="str">
        <f t="shared" si="45"/>
        <v/>
      </c>
      <c r="B969" s="78"/>
      <c r="C969" s="80"/>
      <c r="D969" s="79"/>
      <c r="E969" s="80"/>
      <c r="F969" s="79"/>
      <c r="G969" s="25" t="str">
        <f t="shared" si="46"/>
        <v/>
      </c>
      <c r="H969" s="88"/>
      <c r="I969" s="93"/>
      <c r="J969" s="97"/>
      <c r="K969" s="88"/>
      <c r="L969" s="25" t="str">
        <f>IF($D969="","",SUMIFS($H$4:$H969,$D$4:$D969,$D969)+SUMIFS($I$4:$I969,$D$4:$D969,$D969)-SUMIFS($J$4:$J969,$D$4:$D969,$D969)-SUMIFS($K$4:$K969,$D$4:$D969,$D969))</f>
        <v/>
      </c>
      <c r="M969" s="80"/>
      <c r="N969" s="80"/>
      <c r="O969" s="94"/>
      <c r="P969" s="26" t="str">
        <f t="shared" si="47"/>
        <v/>
      </c>
      <c r="Q969" s="80"/>
      <c r="R969" s="80"/>
      <c r="S969" s="80"/>
      <c r="T969" s="82"/>
      <c r="U969" s="80"/>
      <c r="V969" s="80"/>
      <c r="W969" s="80"/>
    </row>
    <row r="970" ht="18" customHeight="1" spans="1:23">
      <c r="A970" s="87" t="str">
        <f t="shared" si="45"/>
        <v/>
      </c>
      <c r="B970" s="78"/>
      <c r="C970" s="80"/>
      <c r="D970" s="79"/>
      <c r="E970" s="80"/>
      <c r="F970" s="79"/>
      <c r="G970" s="25" t="str">
        <f t="shared" si="46"/>
        <v/>
      </c>
      <c r="H970" s="88"/>
      <c r="I970" s="93"/>
      <c r="J970" s="97"/>
      <c r="K970" s="88"/>
      <c r="L970" s="25" t="str">
        <f>IF($D970="","",SUMIFS($H$4:$H970,$D$4:$D970,$D970)+SUMIFS($I$4:$I970,$D$4:$D970,$D970)-SUMIFS($J$4:$J970,$D$4:$D970,$D970)-SUMIFS($K$4:$K970,$D$4:$D970,$D970))</f>
        <v/>
      </c>
      <c r="M970" s="80"/>
      <c r="N970" s="80"/>
      <c r="O970" s="94"/>
      <c r="P970" s="26" t="str">
        <f t="shared" si="47"/>
        <v/>
      </c>
      <c r="Q970" s="80"/>
      <c r="R970" s="80"/>
      <c r="S970" s="80"/>
      <c r="T970" s="82"/>
      <c r="U970" s="80"/>
      <c r="V970" s="80"/>
      <c r="W970" s="80"/>
    </row>
    <row r="971" ht="18" customHeight="1" spans="1:23">
      <c r="A971" s="87" t="str">
        <f t="shared" si="45"/>
        <v/>
      </c>
      <c r="B971" s="78"/>
      <c r="C971" s="80"/>
      <c r="D971" s="79"/>
      <c r="E971" s="80"/>
      <c r="F971" s="79"/>
      <c r="G971" s="25" t="str">
        <f t="shared" si="46"/>
        <v/>
      </c>
      <c r="H971" s="88"/>
      <c r="I971" s="93"/>
      <c r="J971" s="97"/>
      <c r="K971" s="88"/>
      <c r="L971" s="25" t="str">
        <f>IF($D971="","",SUMIFS($H$4:$H971,$D$4:$D971,$D971)+SUMIFS($I$4:$I971,$D$4:$D971,$D971)-SUMIFS($J$4:$J971,$D$4:$D971,$D971)-SUMIFS($K$4:$K971,$D$4:$D971,$D971))</f>
        <v/>
      </c>
      <c r="M971" s="80"/>
      <c r="N971" s="80"/>
      <c r="O971" s="94"/>
      <c r="P971" s="26" t="str">
        <f t="shared" si="47"/>
        <v/>
      </c>
      <c r="Q971" s="80"/>
      <c r="R971" s="80"/>
      <c r="S971" s="80"/>
      <c r="T971" s="82"/>
      <c r="U971" s="80"/>
      <c r="V971" s="80"/>
      <c r="W971" s="80"/>
    </row>
    <row r="972" ht="18" customHeight="1" spans="1:23">
      <c r="A972" s="87" t="str">
        <f t="shared" si="45"/>
        <v/>
      </c>
      <c r="B972" s="78"/>
      <c r="C972" s="80"/>
      <c r="D972" s="79"/>
      <c r="E972" s="80"/>
      <c r="F972" s="79"/>
      <c r="G972" s="25" t="str">
        <f t="shared" si="46"/>
        <v/>
      </c>
      <c r="H972" s="88"/>
      <c r="I972" s="93"/>
      <c r="J972" s="97"/>
      <c r="K972" s="88"/>
      <c r="L972" s="25" t="str">
        <f>IF($D972="","",SUMIFS($H$4:$H972,$D$4:$D972,$D972)+SUMIFS($I$4:$I972,$D$4:$D972,$D972)-SUMIFS($J$4:$J972,$D$4:$D972,$D972)-SUMIFS($K$4:$K972,$D$4:$D972,$D972))</f>
        <v/>
      </c>
      <c r="M972" s="80"/>
      <c r="N972" s="80"/>
      <c r="O972" s="94"/>
      <c r="P972" s="26" t="str">
        <f t="shared" si="47"/>
        <v/>
      </c>
      <c r="Q972" s="80"/>
      <c r="R972" s="80"/>
      <c r="S972" s="80"/>
      <c r="T972" s="82"/>
      <c r="U972" s="80"/>
      <c r="V972" s="80"/>
      <c r="W972" s="80"/>
    </row>
    <row r="973" ht="18" customHeight="1" spans="1:23">
      <c r="A973" s="87" t="str">
        <f t="shared" si="45"/>
        <v/>
      </c>
      <c r="B973" s="78"/>
      <c r="C973" s="80"/>
      <c r="D973" s="79"/>
      <c r="E973" s="80"/>
      <c r="F973" s="79"/>
      <c r="G973" s="25" t="str">
        <f t="shared" si="46"/>
        <v/>
      </c>
      <c r="H973" s="88"/>
      <c r="I973" s="93"/>
      <c r="J973" s="97"/>
      <c r="K973" s="88"/>
      <c r="L973" s="25" t="str">
        <f>IF($D973="","",SUMIFS($H$4:$H973,$D$4:$D973,$D973)+SUMIFS($I$4:$I973,$D$4:$D973,$D973)-SUMIFS($J$4:$J973,$D$4:$D973,$D973)-SUMIFS($K$4:$K973,$D$4:$D973,$D973))</f>
        <v/>
      </c>
      <c r="M973" s="80"/>
      <c r="N973" s="80"/>
      <c r="O973" s="94"/>
      <c r="P973" s="26" t="str">
        <f t="shared" si="47"/>
        <v/>
      </c>
      <c r="Q973" s="80"/>
      <c r="R973" s="80"/>
      <c r="S973" s="80"/>
      <c r="T973" s="82"/>
      <c r="U973" s="80"/>
      <c r="V973" s="80"/>
      <c r="W973" s="80"/>
    </row>
    <row r="974" ht="18" customHeight="1" spans="1:23">
      <c r="A974" s="87" t="str">
        <f t="shared" si="45"/>
        <v/>
      </c>
      <c r="B974" s="78"/>
      <c r="C974" s="80"/>
      <c r="D974" s="79"/>
      <c r="E974" s="80"/>
      <c r="F974" s="79"/>
      <c r="G974" s="25" t="str">
        <f t="shared" si="46"/>
        <v/>
      </c>
      <c r="H974" s="88"/>
      <c r="I974" s="93"/>
      <c r="J974" s="97"/>
      <c r="K974" s="88"/>
      <c r="L974" s="25" t="str">
        <f>IF($D974="","",SUMIFS($H$4:$H974,$D$4:$D974,$D974)+SUMIFS($I$4:$I974,$D$4:$D974,$D974)-SUMIFS($J$4:$J974,$D$4:$D974,$D974)-SUMIFS($K$4:$K974,$D$4:$D974,$D974))</f>
        <v/>
      </c>
      <c r="M974" s="80"/>
      <c r="N974" s="80"/>
      <c r="O974" s="94"/>
      <c r="P974" s="26" t="str">
        <f t="shared" si="47"/>
        <v/>
      </c>
      <c r="Q974" s="80"/>
      <c r="R974" s="80"/>
      <c r="S974" s="80"/>
      <c r="T974" s="82"/>
      <c r="U974" s="80"/>
      <c r="V974" s="80"/>
      <c r="W974" s="80"/>
    </row>
    <row r="975" ht="18" customHeight="1" spans="1:23">
      <c r="A975" s="87" t="str">
        <f t="shared" si="45"/>
        <v/>
      </c>
      <c r="B975" s="78"/>
      <c r="C975" s="80"/>
      <c r="D975" s="79"/>
      <c r="E975" s="80"/>
      <c r="F975" s="79"/>
      <c r="G975" s="25" t="str">
        <f t="shared" si="46"/>
        <v/>
      </c>
      <c r="H975" s="88"/>
      <c r="I975" s="93"/>
      <c r="J975" s="97"/>
      <c r="K975" s="88"/>
      <c r="L975" s="25" t="str">
        <f>IF($D975="","",SUMIFS($H$4:$H975,$D$4:$D975,$D975)+SUMIFS($I$4:$I975,$D$4:$D975,$D975)-SUMIFS($J$4:$J975,$D$4:$D975,$D975)-SUMIFS($K$4:$K975,$D$4:$D975,$D975))</f>
        <v/>
      </c>
      <c r="M975" s="80"/>
      <c r="N975" s="80"/>
      <c r="O975" s="94"/>
      <c r="P975" s="26" t="str">
        <f t="shared" si="47"/>
        <v/>
      </c>
      <c r="Q975" s="80"/>
      <c r="R975" s="80"/>
      <c r="S975" s="80"/>
      <c r="T975" s="82"/>
      <c r="U975" s="80"/>
      <c r="V975" s="80"/>
      <c r="W975" s="80"/>
    </row>
    <row r="976" ht="18" customHeight="1" spans="1:23">
      <c r="A976" s="87" t="str">
        <f t="shared" si="45"/>
        <v/>
      </c>
      <c r="B976" s="78"/>
      <c r="C976" s="80"/>
      <c r="D976" s="79"/>
      <c r="E976" s="80"/>
      <c r="F976" s="79"/>
      <c r="G976" s="25" t="str">
        <f t="shared" si="46"/>
        <v/>
      </c>
      <c r="H976" s="88"/>
      <c r="I976" s="93"/>
      <c r="J976" s="97"/>
      <c r="K976" s="88"/>
      <c r="L976" s="25" t="str">
        <f>IF($D976="","",SUMIFS($H$4:$H976,$D$4:$D976,$D976)+SUMIFS($I$4:$I976,$D$4:$D976,$D976)-SUMIFS($J$4:$J976,$D$4:$D976,$D976)-SUMIFS($K$4:$K976,$D$4:$D976,$D976))</f>
        <v/>
      </c>
      <c r="M976" s="80"/>
      <c r="N976" s="80"/>
      <c r="O976" s="94"/>
      <c r="P976" s="26" t="str">
        <f t="shared" si="47"/>
        <v/>
      </c>
      <c r="Q976" s="80"/>
      <c r="R976" s="80"/>
      <c r="S976" s="80"/>
      <c r="T976" s="82"/>
      <c r="U976" s="80"/>
      <c r="V976" s="80"/>
      <c r="W976" s="80"/>
    </row>
    <row r="977" ht="18" customHeight="1" spans="1:23">
      <c r="A977" s="87" t="str">
        <f t="shared" si="45"/>
        <v/>
      </c>
      <c r="B977" s="78"/>
      <c r="C977" s="80"/>
      <c r="D977" s="79"/>
      <c r="E977" s="80"/>
      <c r="F977" s="79"/>
      <c r="G977" s="25" t="str">
        <f t="shared" si="46"/>
        <v/>
      </c>
      <c r="H977" s="88"/>
      <c r="I977" s="93"/>
      <c r="J977" s="97"/>
      <c r="K977" s="88"/>
      <c r="L977" s="25" t="str">
        <f>IF($D977="","",SUMIFS($H$4:$H977,$D$4:$D977,$D977)+SUMIFS($I$4:$I977,$D$4:$D977,$D977)-SUMIFS($J$4:$J977,$D$4:$D977,$D977)-SUMIFS($K$4:$K977,$D$4:$D977,$D977))</f>
        <v/>
      </c>
      <c r="M977" s="80"/>
      <c r="N977" s="80"/>
      <c r="O977" s="94"/>
      <c r="P977" s="26" t="str">
        <f t="shared" si="47"/>
        <v/>
      </c>
      <c r="Q977" s="80"/>
      <c r="R977" s="80"/>
      <c r="S977" s="80"/>
      <c r="T977" s="82"/>
      <c r="U977" s="80"/>
      <c r="V977" s="80"/>
      <c r="W977" s="80"/>
    </row>
    <row r="978" ht="18" customHeight="1" spans="1:23">
      <c r="A978" s="87" t="str">
        <f t="shared" si="45"/>
        <v/>
      </c>
      <c r="B978" s="78"/>
      <c r="C978" s="80"/>
      <c r="D978" s="79"/>
      <c r="E978" s="80"/>
      <c r="F978" s="79"/>
      <c r="G978" s="25" t="str">
        <f t="shared" si="46"/>
        <v/>
      </c>
      <c r="H978" s="88"/>
      <c r="I978" s="93"/>
      <c r="J978" s="97"/>
      <c r="K978" s="88"/>
      <c r="L978" s="25" t="str">
        <f>IF($D978="","",SUMIFS($H$4:$H978,$D$4:$D978,$D978)+SUMIFS($I$4:$I978,$D$4:$D978,$D978)-SUMIFS($J$4:$J978,$D$4:$D978,$D978)-SUMIFS($K$4:$K978,$D$4:$D978,$D978))</f>
        <v/>
      </c>
      <c r="M978" s="80"/>
      <c r="N978" s="80"/>
      <c r="O978" s="94"/>
      <c r="P978" s="26" t="str">
        <f t="shared" si="47"/>
        <v/>
      </c>
      <c r="Q978" s="80"/>
      <c r="R978" s="80"/>
      <c r="S978" s="80"/>
      <c r="T978" s="82"/>
      <c r="U978" s="80"/>
      <c r="V978" s="80"/>
      <c r="W978" s="80"/>
    </row>
    <row r="979" ht="18" customHeight="1" spans="1:23">
      <c r="A979" s="87" t="str">
        <f t="shared" si="45"/>
        <v/>
      </c>
      <c r="B979" s="78"/>
      <c r="C979" s="80"/>
      <c r="D979" s="79"/>
      <c r="E979" s="80"/>
      <c r="F979" s="79"/>
      <c r="G979" s="25" t="str">
        <f t="shared" si="46"/>
        <v/>
      </c>
      <c r="H979" s="88"/>
      <c r="I979" s="93"/>
      <c r="J979" s="97"/>
      <c r="K979" s="88"/>
      <c r="L979" s="25" t="str">
        <f>IF($D979="","",SUMIFS($H$4:$H979,$D$4:$D979,$D979)+SUMIFS($I$4:$I979,$D$4:$D979,$D979)-SUMIFS($J$4:$J979,$D$4:$D979,$D979)-SUMIFS($K$4:$K979,$D$4:$D979,$D979))</f>
        <v/>
      </c>
      <c r="M979" s="80"/>
      <c r="N979" s="80"/>
      <c r="O979" s="94"/>
      <c r="P979" s="26" t="str">
        <f t="shared" si="47"/>
        <v/>
      </c>
      <c r="Q979" s="80"/>
      <c r="R979" s="80"/>
      <c r="S979" s="80"/>
      <c r="T979" s="82"/>
      <c r="U979" s="80"/>
      <c r="V979" s="80"/>
      <c r="W979" s="80"/>
    </row>
    <row r="980" ht="18" customHeight="1" spans="1:23">
      <c r="A980" s="87" t="str">
        <f t="shared" si="45"/>
        <v/>
      </c>
      <c r="B980" s="78"/>
      <c r="C980" s="80"/>
      <c r="D980" s="79"/>
      <c r="E980" s="80"/>
      <c r="F980" s="79"/>
      <c r="G980" s="25" t="str">
        <f t="shared" si="46"/>
        <v/>
      </c>
      <c r="H980" s="88"/>
      <c r="I980" s="93"/>
      <c r="J980" s="97"/>
      <c r="K980" s="88"/>
      <c r="L980" s="25" t="str">
        <f>IF($D980="","",SUMIFS($H$4:$H980,$D$4:$D980,$D980)+SUMIFS($I$4:$I980,$D$4:$D980,$D980)-SUMIFS($J$4:$J980,$D$4:$D980,$D980)-SUMIFS($K$4:$K980,$D$4:$D980,$D980))</f>
        <v/>
      </c>
      <c r="M980" s="80"/>
      <c r="N980" s="80"/>
      <c r="O980" s="94"/>
      <c r="P980" s="26" t="str">
        <f t="shared" si="47"/>
        <v/>
      </c>
      <c r="Q980" s="80"/>
      <c r="R980" s="80"/>
      <c r="S980" s="80"/>
      <c r="T980" s="82"/>
      <c r="U980" s="80"/>
      <c r="V980" s="80"/>
      <c r="W980" s="80"/>
    </row>
    <row r="981" ht="18" customHeight="1" spans="1:23">
      <c r="A981" s="87" t="str">
        <f t="shared" si="45"/>
        <v/>
      </c>
      <c r="B981" s="78"/>
      <c r="C981" s="80"/>
      <c r="D981" s="79"/>
      <c r="E981" s="80"/>
      <c r="F981" s="79"/>
      <c r="G981" s="25" t="str">
        <f t="shared" si="46"/>
        <v/>
      </c>
      <c r="H981" s="88"/>
      <c r="I981" s="93"/>
      <c r="J981" s="97"/>
      <c r="K981" s="88"/>
      <c r="L981" s="25" t="str">
        <f>IF($D981="","",SUMIFS($H$4:$H981,$D$4:$D981,$D981)+SUMIFS($I$4:$I981,$D$4:$D981,$D981)-SUMIFS($J$4:$J981,$D$4:$D981,$D981)-SUMIFS($K$4:$K981,$D$4:$D981,$D981))</f>
        <v/>
      </c>
      <c r="M981" s="80"/>
      <c r="N981" s="80"/>
      <c r="O981" s="94"/>
      <c r="P981" s="26" t="str">
        <f t="shared" si="47"/>
        <v/>
      </c>
      <c r="Q981" s="80"/>
      <c r="R981" s="80"/>
      <c r="S981" s="80"/>
      <c r="T981" s="82"/>
      <c r="U981" s="80"/>
      <c r="V981" s="80"/>
      <c r="W981" s="80"/>
    </row>
    <row r="982" ht="18" customHeight="1" spans="1:23">
      <c r="A982" s="87" t="str">
        <f t="shared" si="45"/>
        <v/>
      </c>
      <c r="B982" s="78"/>
      <c r="C982" s="80"/>
      <c r="D982" s="79"/>
      <c r="E982" s="80"/>
      <c r="F982" s="79"/>
      <c r="G982" s="25" t="str">
        <f t="shared" si="46"/>
        <v/>
      </c>
      <c r="H982" s="88"/>
      <c r="I982" s="93"/>
      <c r="J982" s="97"/>
      <c r="K982" s="88"/>
      <c r="L982" s="25" t="str">
        <f>IF($D982="","",SUMIFS($H$4:$H982,$D$4:$D982,$D982)+SUMIFS($I$4:$I982,$D$4:$D982,$D982)-SUMIFS($J$4:$J982,$D$4:$D982,$D982)-SUMIFS($K$4:$K982,$D$4:$D982,$D982))</f>
        <v/>
      </c>
      <c r="M982" s="80"/>
      <c r="N982" s="80"/>
      <c r="O982" s="94"/>
      <c r="P982" s="26" t="str">
        <f t="shared" si="47"/>
        <v/>
      </c>
      <c r="Q982" s="80"/>
      <c r="R982" s="80"/>
      <c r="S982" s="80"/>
      <c r="T982" s="82"/>
      <c r="U982" s="80"/>
      <c r="V982" s="80"/>
      <c r="W982" s="80"/>
    </row>
    <row r="983" ht="18" customHeight="1" spans="1:23">
      <c r="A983" s="87" t="str">
        <f t="shared" si="45"/>
        <v/>
      </c>
      <c r="B983" s="78"/>
      <c r="C983" s="80"/>
      <c r="D983" s="79"/>
      <c r="E983" s="80"/>
      <c r="F983" s="79"/>
      <c r="G983" s="25" t="str">
        <f t="shared" si="46"/>
        <v/>
      </c>
      <c r="H983" s="88"/>
      <c r="I983" s="93"/>
      <c r="J983" s="97"/>
      <c r="K983" s="88"/>
      <c r="L983" s="25" t="str">
        <f>IF($D983="","",SUMIFS($H$4:$H983,$D$4:$D983,$D983)+SUMIFS($I$4:$I983,$D$4:$D983,$D983)-SUMIFS($J$4:$J983,$D$4:$D983,$D983)-SUMIFS($K$4:$K983,$D$4:$D983,$D983))</f>
        <v/>
      </c>
      <c r="M983" s="80"/>
      <c r="N983" s="80"/>
      <c r="O983" s="94"/>
      <c r="P983" s="26" t="str">
        <f t="shared" si="47"/>
        <v/>
      </c>
      <c r="Q983" s="80"/>
      <c r="R983" s="80"/>
      <c r="S983" s="80"/>
      <c r="T983" s="82"/>
      <c r="U983" s="80"/>
      <c r="V983" s="80"/>
      <c r="W983" s="80"/>
    </row>
    <row r="984" ht="18" customHeight="1" spans="1:23">
      <c r="A984" s="87" t="str">
        <f t="shared" si="45"/>
        <v/>
      </c>
      <c r="B984" s="78"/>
      <c r="C984" s="80"/>
      <c r="D984" s="79"/>
      <c r="E984" s="80"/>
      <c r="F984" s="79"/>
      <c r="G984" s="25" t="str">
        <f t="shared" si="46"/>
        <v/>
      </c>
      <c r="H984" s="88"/>
      <c r="I984" s="93"/>
      <c r="J984" s="97"/>
      <c r="K984" s="88"/>
      <c r="L984" s="25" t="str">
        <f>IF($D984="","",SUMIFS($H$4:$H984,$D$4:$D984,$D984)+SUMIFS($I$4:$I984,$D$4:$D984,$D984)-SUMIFS($J$4:$J984,$D$4:$D984,$D984)-SUMIFS($K$4:$K984,$D$4:$D984,$D984))</f>
        <v/>
      </c>
      <c r="M984" s="80"/>
      <c r="N984" s="80"/>
      <c r="O984" s="94"/>
      <c r="P984" s="26" t="str">
        <f t="shared" si="47"/>
        <v/>
      </c>
      <c r="Q984" s="80"/>
      <c r="R984" s="80"/>
      <c r="S984" s="80"/>
      <c r="T984" s="82"/>
      <c r="U984" s="80"/>
      <c r="V984" s="80"/>
      <c r="W984" s="80"/>
    </row>
    <row r="985" ht="18" customHeight="1" spans="1:23">
      <c r="A985" s="87" t="str">
        <f t="shared" si="45"/>
        <v/>
      </c>
      <c r="B985" s="78"/>
      <c r="C985" s="80"/>
      <c r="D985" s="79"/>
      <c r="E985" s="80"/>
      <c r="F985" s="79"/>
      <c r="G985" s="25" t="str">
        <f t="shared" si="46"/>
        <v/>
      </c>
      <c r="H985" s="88"/>
      <c r="I985" s="93"/>
      <c r="J985" s="97"/>
      <c r="K985" s="88"/>
      <c r="L985" s="25" t="str">
        <f>IF($D985="","",SUMIFS($H$4:$H985,$D$4:$D985,$D985)+SUMIFS($I$4:$I985,$D$4:$D985,$D985)-SUMIFS($J$4:$J985,$D$4:$D985,$D985)-SUMIFS($K$4:$K985,$D$4:$D985,$D985))</f>
        <v/>
      </c>
      <c r="M985" s="80"/>
      <c r="N985" s="80"/>
      <c r="O985" s="94"/>
      <c r="P985" s="26" t="str">
        <f t="shared" si="47"/>
        <v/>
      </c>
      <c r="Q985" s="80"/>
      <c r="R985" s="80"/>
      <c r="S985" s="80"/>
      <c r="T985" s="82"/>
      <c r="U985" s="80"/>
      <c r="V985" s="80"/>
      <c r="W985" s="80"/>
    </row>
    <row r="986" ht="18" customHeight="1" spans="1:23">
      <c r="A986" s="87" t="str">
        <f t="shared" si="45"/>
        <v/>
      </c>
      <c r="B986" s="78"/>
      <c r="C986" s="80"/>
      <c r="D986" s="79"/>
      <c r="E986" s="80"/>
      <c r="F986" s="79"/>
      <c r="G986" s="25" t="str">
        <f t="shared" si="46"/>
        <v/>
      </c>
      <c r="H986" s="88"/>
      <c r="I986" s="93"/>
      <c r="J986" s="97"/>
      <c r="K986" s="88"/>
      <c r="L986" s="25" t="str">
        <f>IF($D986="","",SUMIFS($H$4:$H986,$D$4:$D986,$D986)+SUMIFS($I$4:$I986,$D$4:$D986,$D986)-SUMIFS($J$4:$J986,$D$4:$D986,$D986)-SUMIFS($K$4:$K986,$D$4:$D986,$D986))</f>
        <v/>
      </c>
      <c r="M986" s="80"/>
      <c r="N986" s="80"/>
      <c r="O986" s="94"/>
      <c r="P986" s="26" t="str">
        <f t="shared" si="47"/>
        <v/>
      </c>
      <c r="Q986" s="80"/>
      <c r="R986" s="80"/>
      <c r="S986" s="80"/>
      <c r="T986" s="82"/>
      <c r="U986" s="80"/>
      <c r="V986" s="80"/>
      <c r="W986" s="80"/>
    </row>
    <row r="987" ht="18" customHeight="1" spans="1:23">
      <c r="A987" s="87" t="str">
        <f t="shared" si="45"/>
        <v/>
      </c>
      <c r="B987" s="78"/>
      <c r="C987" s="80"/>
      <c r="D987" s="79"/>
      <c r="E987" s="80"/>
      <c r="F987" s="79"/>
      <c r="G987" s="25" t="str">
        <f t="shared" si="46"/>
        <v/>
      </c>
      <c r="H987" s="88"/>
      <c r="I987" s="93"/>
      <c r="J987" s="97"/>
      <c r="K987" s="88"/>
      <c r="L987" s="25" t="str">
        <f>IF($D987="","",SUMIFS($H$4:$H987,$D$4:$D987,$D987)+SUMIFS($I$4:$I987,$D$4:$D987,$D987)-SUMIFS($J$4:$J987,$D$4:$D987,$D987)-SUMIFS($K$4:$K987,$D$4:$D987,$D987))</f>
        <v/>
      </c>
      <c r="M987" s="80"/>
      <c r="N987" s="80"/>
      <c r="O987" s="94"/>
      <c r="P987" s="26" t="str">
        <f t="shared" si="47"/>
        <v/>
      </c>
      <c r="Q987" s="80"/>
      <c r="R987" s="80"/>
      <c r="S987" s="80"/>
      <c r="T987" s="82"/>
      <c r="U987" s="80"/>
      <c r="V987" s="80"/>
      <c r="W987" s="80"/>
    </row>
    <row r="988" ht="18" customHeight="1" spans="1:23">
      <c r="A988" s="87" t="str">
        <f t="shared" si="45"/>
        <v/>
      </c>
      <c r="B988" s="78"/>
      <c r="C988" s="80"/>
      <c r="D988" s="79"/>
      <c r="E988" s="80"/>
      <c r="F988" s="79"/>
      <c r="G988" s="25" t="str">
        <f t="shared" si="46"/>
        <v/>
      </c>
      <c r="H988" s="88"/>
      <c r="I988" s="93"/>
      <c r="J988" s="97"/>
      <c r="K988" s="88"/>
      <c r="L988" s="25" t="str">
        <f>IF($D988="","",SUMIFS($H$4:$H988,$D$4:$D988,$D988)+SUMIFS($I$4:$I988,$D$4:$D988,$D988)-SUMIFS($J$4:$J988,$D$4:$D988,$D988)-SUMIFS($K$4:$K988,$D$4:$D988,$D988))</f>
        <v/>
      </c>
      <c r="M988" s="80"/>
      <c r="N988" s="80"/>
      <c r="O988" s="94"/>
      <c r="P988" s="26" t="str">
        <f t="shared" si="47"/>
        <v/>
      </c>
      <c r="Q988" s="80"/>
      <c r="R988" s="80"/>
      <c r="S988" s="80"/>
      <c r="T988" s="82"/>
      <c r="U988" s="80"/>
      <c r="V988" s="80"/>
      <c r="W988" s="80"/>
    </row>
    <row r="989" ht="18" customHeight="1" spans="1:23">
      <c r="A989" s="87" t="str">
        <f t="shared" si="45"/>
        <v/>
      </c>
      <c r="B989" s="78"/>
      <c r="C989" s="80"/>
      <c r="D989" s="79"/>
      <c r="E989" s="80"/>
      <c r="F989" s="79"/>
      <c r="G989" s="25" t="str">
        <f t="shared" si="46"/>
        <v/>
      </c>
      <c r="H989" s="88"/>
      <c r="I989" s="93"/>
      <c r="J989" s="97"/>
      <c r="K989" s="88"/>
      <c r="L989" s="25" t="str">
        <f>IF($D989="","",SUMIFS($H$4:$H989,$D$4:$D989,$D989)+SUMIFS($I$4:$I989,$D$4:$D989,$D989)-SUMIFS($J$4:$J989,$D$4:$D989,$D989)-SUMIFS($K$4:$K989,$D$4:$D989,$D989))</f>
        <v/>
      </c>
      <c r="M989" s="80"/>
      <c r="N989" s="80"/>
      <c r="O989" s="94"/>
      <c r="P989" s="26" t="str">
        <f t="shared" si="47"/>
        <v/>
      </c>
      <c r="Q989" s="80"/>
      <c r="R989" s="80"/>
      <c r="S989" s="80"/>
      <c r="T989" s="82"/>
      <c r="U989" s="80"/>
      <c r="V989" s="80"/>
      <c r="W989" s="80"/>
    </row>
    <row r="990" ht="18" customHeight="1" spans="1:23">
      <c r="A990" s="87" t="str">
        <f t="shared" si="45"/>
        <v/>
      </c>
      <c r="B990" s="78"/>
      <c r="C990" s="80"/>
      <c r="D990" s="79"/>
      <c r="E990" s="80"/>
      <c r="F990" s="79"/>
      <c r="G990" s="25" t="str">
        <f t="shared" si="46"/>
        <v/>
      </c>
      <c r="H990" s="88"/>
      <c r="I990" s="93"/>
      <c r="J990" s="97"/>
      <c r="K990" s="88"/>
      <c r="L990" s="25" t="str">
        <f>IF($D990="","",SUMIFS($H$4:$H990,$D$4:$D990,$D990)+SUMIFS($I$4:$I990,$D$4:$D990,$D990)-SUMIFS($J$4:$J990,$D$4:$D990,$D990)-SUMIFS($K$4:$K990,$D$4:$D990,$D990))</f>
        <v/>
      </c>
      <c r="M990" s="80"/>
      <c r="N990" s="80"/>
      <c r="O990" s="94"/>
      <c r="P990" s="26" t="str">
        <f t="shared" si="47"/>
        <v/>
      </c>
      <c r="Q990" s="80"/>
      <c r="R990" s="80"/>
      <c r="S990" s="80"/>
      <c r="T990" s="82"/>
      <c r="U990" s="80"/>
      <c r="V990" s="80"/>
      <c r="W990" s="80"/>
    </row>
    <row r="991" ht="18" customHeight="1" spans="1:23">
      <c r="A991" s="87" t="str">
        <f t="shared" si="45"/>
        <v/>
      </c>
      <c r="B991" s="78"/>
      <c r="C991" s="80"/>
      <c r="D991" s="79"/>
      <c r="E991" s="80"/>
      <c r="F991" s="79"/>
      <c r="G991" s="25" t="str">
        <f t="shared" si="46"/>
        <v/>
      </c>
      <c r="H991" s="88"/>
      <c r="I991" s="93"/>
      <c r="J991" s="97"/>
      <c r="K991" s="88"/>
      <c r="L991" s="25" t="str">
        <f>IF($D991="","",SUMIFS($H$4:$H991,$D$4:$D991,$D991)+SUMIFS($I$4:$I991,$D$4:$D991,$D991)-SUMIFS($J$4:$J991,$D$4:$D991,$D991)-SUMIFS($K$4:$K991,$D$4:$D991,$D991))</f>
        <v/>
      </c>
      <c r="M991" s="80"/>
      <c r="N991" s="80"/>
      <c r="O991" s="94"/>
      <c r="P991" s="26" t="str">
        <f t="shared" si="47"/>
        <v/>
      </c>
      <c r="Q991" s="80"/>
      <c r="R991" s="80"/>
      <c r="S991" s="80"/>
      <c r="T991" s="82"/>
      <c r="U991" s="80"/>
      <c r="V991" s="80"/>
      <c r="W991" s="80"/>
    </row>
    <row r="992" ht="18" customHeight="1" spans="1:23">
      <c r="A992" s="87" t="str">
        <f t="shared" si="45"/>
        <v/>
      </c>
      <c r="B992" s="78"/>
      <c r="C992" s="80"/>
      <c r="D992" s="79"/>
      <c r="E992" s="80"/>
      <c r="F992" s="79"/>
      <c r="G992" s="25" t="str">
        <f t="shared" si="46"/>
        <v/>
      </c>
      <c r="H992" s="88"/>
      <c r="I992" s="93"/>
      <c r="J992" s="97"/>
      <c r="K992" s="88"/>
      <c r="L992" s="25" t="str">
        <f>IF($D992="","",SUMIFS($H$4:$H992,$D$4:$D992,$D992)+SUMIFS($I$4:$I992,$D$4:$D992,$D992)-SUMIFS($J$4:$J992,$D$4:$D992,$D992)-SUMIFS($K$4:$K992,$D$4:$D992,$D992))</f>
        <v/>
      </c>
      <c r="M992" s="80"/>
      <c r="N992" s="80"/>
      <c r="O992" s="94"/>
      <c r="P992" s="26" t="str">
        <f t="shared" si="47"/>
        <v/>
      </c>
      <c r="Q992" s="80"/>
      <c r="R992" s="80"/>
      <c r="S992" s="80"/>
      <c r="T992" s="82"/>
      <c r="U992" s="80"/>
      <c r="V992" s="80"/>
      <c r="W992" s="80"/>
    </row>
    <row r="993" ht="18" customHeight="1" spans="1:23">
      <c r="A993" s="87" t="str">
        <f t="shared" si="45"/>
        <v/>
      </c>
      <c r="B993" s="78"/>
      <c r="C993" s="80"/>
      <c r="D993" s="79"/>
      <c r="E993" s="80"/>
      <c r="F993" s="79"/>
      <c r="G993" s="25" t="str">
        <f t="shared" si="46"/>
        <v/>
      </c>
      <c r="H993" s="88"/>
      <c r="I993" s="93"/>
      <c r="J993" s="97"/>
      <c r="K993" s="88"/>
      <c r="L993" s="25" t="str">
        <f>IF($D993="","",SUMIFS($H$4:$H993,$D$4:$D993,$D993)+SUMIFS($I$4:$I993,$D$4:$D993,$D993)-SUMIFS($J$4:$J993,$D$4:$D993,$D993)-SUMIFS($K$4:$K993,$D$4:$D993,$D993))</f>
        <v/>
      </c>
      <c r="M993" s="80"/>
      <c r="N993" s="80"/>
      <c r="O993" s="94"/>
      <c r="P993" s="26" t="str">
        <f t="shared" si="47"/>
        <v/>
      </c>
      <c r="Q993" s="80"/>
      <c r="R993" s="80"/>
      <c r="S993" s="80"/>
      <c r="T993" s="82"/>
      <c r="U993" s="80"/>
      <c r="V993" s="80"/>
      <c r="W993" s="80"/>
    </row>
    <row r="994" ht="18" customHeight="1" spans="1:23">
      <c r="A994" s="87" t="str">
        <f t="shared" si="45"/>
        <v/>
      </c>
      <c r="B994" s="78"/>
      <c r="C994" s="80"/>
      <c r="D994" s="79"/>
      <c r="E994" s="80"/>
      <c r="F994" s="79"/>
      <c r="G994" s="25" t="str">
        <f t="shared" si="46"/>
        <v/>
      </c>
      <c r="H994" s="88"/>
      <c r="I994" s="93"/>
      <c r="J994" s="97"/>
      <c r="K994" s="88"/>
      <c r="L994" s="25" t="str">
        <f>IF($D994="","",SUMIFS($H$4:$H994,$D$4:$D994,$D994)+SUMIFS($I$4:$I994,$D$4:$D994,$D994)-SUMIFS($J$4:$J994,$D$4:$D994,$D994)-SUMIFS($K$4:$K994,$D$4:$D994,$D994))</f>
        <v/>
      </c>
      <c r="M994" s="80"/>
      <c r="N994" s="80"/>
      <c r="O994" s="94"/>
      <c r="P994" s="26" t="str">
        <f t="shared" si="47"/>
        <v/>
      </c>
      <c r="Q994" s="80"/>
      <c r="R994" s="80"/>
      <c r="S994" s="80"/>
      <c r="T994" s="82"/>
      <c r="U994" s="80"/>
      <c r="V994" s="80"/>
      <c r="W994" s="80"/>
    </row>
    <row r="995" ht="18" customHeight="1" spans="1:23">
      <c r="A995" s="87" t="str">
        <f t="shared" si="45"/>
        <v/>
      </c>
      <c r="B995" s="78"/>
      <c r="C995" s="80"/>
      <c r="D995" s="79"/>
      <c r="E995" s="80"/>
      <c r="F995" s="79"/>
      <c r="G995" s="25" t="str">
        <f t="shared" si="46"/>
        <v/>
      </c>
      <c r="H995" s="88"/>
      <c r="I995" s="93"/>
      <c r="J995" s="97"/>
      <c r="K995" s="88"/>
      <c r="L995" s="25" t="str">
        <f>IF($D995="","",SUMIFS($H$4:$H995,$D$4:$D995,$D995)+SUMIFS($I$4:$I995,$D$4:$D995,$D995)-SUMIFS($J$4:$J995,$D$4:$D995,$D995)-SUMIFS($K$4:$K995,$D$4:$D995,$D995))</f>
        <v/>
      </c>
      <c r="M995" s="80"/>
      <c r="N995" s="80"/>
      <c r="O995" s="94"/>
      <c r="P995" s="26" t="str">
        <f t="shared" si="47"/>
        <v/>
      </c>
      <c r="Q995" s="80"/>
      <c r="R995" s="80"/>
      <c r="S995" s="80"/>
      <c r="T995" s="82"/>
      <c r="U995" s="80"/>
      <c r="V995" s="80"/>
      <c r="W995" s="80"/>
    </row>
    <row r="996" ht="18" customHeight="1" spans="1:23">
      <c r="A996" s="87" t="str">
        <f t="shared" si="45"/>
        <v/>
      </c>
      <c r="B996" s="78"/>
      <c r="C996" s="80"/>
      <c r="D996" s="79"/>
      <c r="E996" s="80"/>
      <c r="F996" s="79"/>
      <c r="G996" s="25" t="str">
        <f t="shared" si="46"/>
        <v/>
      </c>
      <c r="H996" s="88"/>
      <c r="I996" s="93"/>
      <c r="J996" s="97"/>
      <c r="K996" s="88"/>
      <c r="L996" s="25" t="str">
        <f>IF($D996="","",SUMIFS($H$4:$H996,$D$4:$D996,$D996)+SUMIFS($I$4:$I996,$D$4:$D996,$D996)-SUMIFS($J$4:$J996,$D$4:$D996,$D996)-SUMIFS($K$4:$K996,$D$4:$D996,$D996))</f>
        <v/>
      </c>
      <c r="M996" s="80"/>
      <c r="N996" s="80"/>
      <c r="O996" s="94"/>
      <c r="P996" s="26" t="str">
        <f t="shared" si="47"/>
        <v/>
      </c>
      <c r="Q996" s="80"/>
      <c r="R996" s="80"/>
      <c r="S996" s="80"/>
      <c r="T996" s="82"/>
      <c r="U996" s="80"/>
      <c r="V996" s="80"/>
      <c r="W996" s="80"/>
    </row>
    <row r="997" ht="18" customHeight="1" spans="1:23">
      <c r="A997" s="87" t="str">
        <f t="shared" si="45"/>
        <v/>
      </c>
      <c r="B997" s="78"/>
      <c r="C997" s="80"/>
      <c r="D997" s="79"/>
      <c r="E997" s="80"/>
      <c r="F997" s="79"/>
      <c r="G997" s="25" t="str">
        <f t="shared" si="46"/>
        <v/>
      </c>
      <c r="H997" s="88"/>
      <c r="I997" s="93"/>
      <c r="J997" s="97"/>
      <c r="K997" s="88"/>
      <c r="L997" s="25" t="str">
        <f>IF($D997="","",SUMIFS($H$4:$H997,$D$4:$D997,$D997)+SUMIFS($I$4:$I997,$D$4:$D997,$D997)-SUMIFS($J$4:$J997,$D$4:$D997,$D997)-SUMIFS($K$4:$K997,$D$4:$D997,$D997))</f>
        <v/>
      </c>
      <c r="M997" s="80"/>
      <c r="N997" s="80"/>
      <c r="O997" s="94"/>
      <c r="P997" s="26" t="str">
        <f t="shared" si="47"/>
        <v/>
      </c>
      <c r="Q997" s="80"/>
      <c r="R997" s="80"/>
      <c r="S997" s="80"/>
      <c r="T997" s="82"/>
      <c r="U997" s="80"/>
      <c r="V997" s="80"/>
      <c r="W997" s="80"/>
    </row>
    <row r="998" ht="18" customHeight="1" spans="1:23">
      <c r="A998" s="87" t="str">
        <f t="shared" si="45"/>
        <v/>
      </c>
      <c r="B998" s="78"/>
      <c r="C998" s="80"/>
      <c r="D998" s="79"/>
      <c r="E998" s="80"/>
      <c r="F998" s="79"/>
      <c r="G998" s="25" t="str">
        <f t="shared" si="46"/>
        <v/>
      </c>
      <c r="H998" s="88"/>
      <c r="I998" s="93"/>
      <c r="J998" s="97"/>
      <c r="K998" s="88"/>
      <c r="L998" s="25" t="str">
        <f>IF($D998="","",SUMIFS($H$4:$H998,$D$4:$D998,$D998)+SUMIFS($I$4:$I998,$D$4:$D998,$D998)-SUMIFS($J$4:$J998,$D$4:$D998,$D998)-SUMIFS($K$4:$K998,$D$4:$D998,$D998))</f>
        <v/>
      </c>
      <c r="M998" s="80"/>
      <c r="N998" s="80"/>
      <c r="O998" s="94"/>
      <c r="P998" s="26" t="str">
        <f t="shared" si="47"/>
        <v/>
      </c>
      <c r="Q998" s="80"/>
      <c r="R998" s="80"/>
      <c r="S998" s="80"/>
      <c r="T998" s="82"/>
      <c r="U998" s="80"/>
      <c r="V998" s="80"/>
      <c r="W998" s="80"/>
    </row>
    <row r="999" ht="18" customHeight="1" spans="1:23">
      <c r="A999" s="87" t="str">
        <f t="shared" si="45"/>
        <v/>
      </c>
      <c r="B999" s="78"/>
      <c r="C999" s="80"/>
      <c r="D999" s="79"/>
      <c r="E999" s="80"/>
      <c r="F999" s="79"/>
      <c r="G999" s="25" t="str">
        <f t="shared" si="46"/>
        <v/>
      </c>
      <c r="H999" s="88"/>
      <c r="I999" s="93"/>
      <c r="J999" s="97"/>
      <c r="K999" s="88"/>
      <c r="L999" s="25" t="str">
        <f>IF($D999="","",SUMIFS($H$4:$H999,$D$4:$D999,$D999)+SUMIFS($I$4:$I999,$D$4:$D999,$D999)-SUMIFS($J$4:$J999,$D$4:$D999,$D999)-SUMIFS($K$4:$K999,$D$4:$D999,$D999))</f>
        <v/>
      </c>
      <c r="M999" s="80"/>
      <c r="N999" s="80"/>
      <c r="O999" s="94"/>
      <c r="P999" s="26" t="str">
        <f t="shared" si="47"/>
        <v/>
      </c>
      <c r="Q999" s="80"/>
      <c r="R999" s="80"/>
      <c r="S999" s="80"/>
      <c r="T999" s="82"/>
      <c r="U999" s="80"/>
      <c r="V999" s="80"/>
      <c r="W999" s="80"/>
    </row>
    <row r="1000" ht="18" customHeight="1" spans="1:23">
      <c r="A1000" s="87" t="str">
        <f t="shared" si="45"/>
        <v/>
      </c>
      <c r="B1000" s="78"/>
      <c r="C1000" s="80"/>
      <c r="D1000" s="79"/>
      <c r="E1000" s="80"/>
      <c r="F1000" s="79"/>
      <c r="G1000" s="25" t="str">
        <f t="shared" si="46"/>
        <v/>
      </c>
      <c r="H1000" s="88"/>
      <c r="I1000" s="93"/>
      <c r="J1000" s="97"/>
      <c r="K1000" s="88"/>
      <c r="L1000" s="25" t="str">
        <f>IF($D1000="","",SUMIFS($H$4:$H1000,$D$4:$D1000,$D1000)+SUMIFS($I$4:$I1000,$D$4:$D1000,$D1000)-SUMIFS($J$4:$J1000,$D$4:$D1000,$D1000)-SUMIFS($K$4:$K1000,$D$4:$D1000,$D1000))</f>
        <v/>
      </c>
      <c r="M1000" s="80"/>
      <c r="N1000" s="80"/>
      <c r="O1000" s="94"/>
      <c r="P1000" s="26" t="str">
        <f t="shared" si="47"/>
        <v/>
      </c>
      <c r="Q1000" s="80"/>
      <c r="R1000" s="80"/>
      <c r="S1000" s="80"/>
      <c r="T1000" s="82"/>
      <c r="U1000" s="80"/>
      <c r="V1000" s="80"/>
      <c r="W1000" s="80"/>
    </row>
    <row r="1001" ht="18" customHeight="1" spans="1:23">
      <c r="A1001" s="87" t="str">
        <f t="shared" si="45"/>
        <v/>
      </c>
      <c r="B1001" s="78"/>
      <c r="C1001" s="80"/>
      <c r="D1001" s="79"/>
      <c r="E1001" s="80"/>
      <c r="F1001" s="79"/>
      <c r="G1001" s="25" t="str">
        <f t="shared" si="46"/>
        <v/>
      </c>
      <c r="H1001" s="88"/>
      <c r="I1001" s="93"/>
      <c r="J1001" s="97"/>
      <c r="K1001" s="88"/>
      <c r="L1001" s="25" t="str">
        <f>IF($D1001="","",SUMIFS($H$4:$H1001,$D$4:$D1001,$D1001)+SUMIFS($I$4:$I1001,$D$4:$D1001,$D1001)-SUMIFS($J$4:$J1001,$D$4:$D1001,$D1001)-SUMIFS($K$4:$K1001,$D$4:$D1001,$D1001))</f>
        <v/>
      </c>
      <c r="M1001" s="80"/>
      <c r="N1001" s="80"/>
      <c r="O1001" s="94"/>
      <c r="P1001" s="26" t="str">
        <f t="shared" si="47"/>
        <v/>
      </c>
      <c r="Q1001" s="80"/>
      <c r="R1001" s="80"/>
      <c r="S1001" s="80"/>
      <c r="T1001" s="82"/>
      <c r="U1001" s="80"/>
      <c r="V1001" s="80"/>
      <c r="W1001" s="80"/>
    </row>
    <row r="1002" ht="18" customHeight="1" spans="1:23">
      <c r="A1002" s="87" t="str">
        <f t="shared" si="45"/>
        <v/>
      </c>
      <c r="B1002" s="78"/>
      <c r="C1002" s="80"/>
      <c r="D1002" s="79"/>
      <c r="E1002" s="80"/>
      <c r="F1002" s="79"/>
      <c r="G1002" s="25" t="str">
        <f t="shared" si="46"/>
        <v/>
      </c>
      <c r="H1002" s="88"/>
      <c r="I1002" s="93"/>
      <c r="J1002" s="97"/>
      <c r="K1002" s="88"/>
      <c r="L1002" s="25" t="str">
        <f>IF($D1002="","",SUMIFS($H$4:$H1002,$D$4:$D1002,$D1002)+SUMIFS($I$4:$I1002,$D$4:$D1002,$D1002)-SUMIFS($J$4:$J1002,$D$4:$D1002,$D1002)-SUMIFS($K$4:$K1002,$D$4:$D1002,$D1002))</f>
        <v/>
      </c>
      <c r="M1002" s="80"/>
      <c r="N1002" s="80"/>
      <c r="O1002" s="94"/>
      <c r="P1002" s="26" t="str">
        <f t="shared" si="47"/>
        <v/>
      </c>
      <c r="Q1002" s="80"/>
      <c r="R1002" s="80"/>
      <c r="S1002" s="80"/>
      <c r="T1002" s="82"/>
      <c r="U1002" s="80"/>
      <c r="V1002" s="80"/>
      <c r="W1002" s="80"/>
    </row>
    <row r="1003" ht="18" customHeight="1" spans="1:23">
      <c r="A1003" s="87" t="str">
        <f t="shared" si="45"/>
        <v/>
      </c>
      <c r="B1003" s="78"/>
      <c r="C1003" s="80"/>
      <c r="D1003" s="79"/>
      <c r="E1003" s="80"/>
      <c r="F1003" s="79"/>
      <c r="G1003" s="25" t="str">
        <f t="shared" si="46"/>
        <v/>
      </c>
      <c r="H1003" s="88"/>
      <c r="I1003" s="93"/>
      <c r="J1003" s="97"/>
      <c r="K1003" s="88"/>
      <c r="L1003" s="25" t="str">
        <f>IF($D1003="","",SUMIFS($H$4:$H1003,$D$4:$D1003,$D1003)+SUMIFS($I$4:$I1003,$D$4:$D1003,$D1003)-SUMIFS($J$4:$J1003,$D$4:$D1003,$D1003)-SUMIFS($K$4:$K1003,$D$4:$D1003,$D1003))</f>
        <v/>
      </c>
      <c r="M1003" s="80"/>
      <c r="N1003" s="80"/>
      <c r="O1003" s="94"/>
      <c r="P1003" s="26" t="str">
        <f t="shared" si="47"/>
        <v/>
      </c>
      <c r="Q1003" s="80"/>
      <c r="R1003" s="80"/>
      <c r="S1003" s="80"/>
      <c r="T1003" s="82"/>
      <c r="U1003" s="80"/>
      <c r="V1003" s="80"/>
      <c r="W1003" s="80"/>
    </row>
    <row r="1004" ht="18" customHeight="1" spans="1:23">
      <c r="A1004" s="87" t="str">
        <f t="shared" si="45"/>
        <v/>
      </c>
      <c r="B1004" s="78"/>
      <c r="C1004" s="80"/>
      <c r="D1004" s="79"/>
      <c r="E1004" s="80"/>
      <c r="F1004" s="79"/>
      <c r="G1004" s="25" t="str">
        <f t="shared" si="46"/>
        <v/>
      </c>
      <c r="H1004" s="88"/>
      <c r="I1004" s="93"/>
      <c r="J1004" s="97"/>
      <c r="K1004" s="88"/>
      <c r="L1004" s="25" t="str">
        <f>IF($D1004="","",SUMIFS($H$4:$H1004,$D$4:$D1004,$D1004)+SUMIFS($I$4:$I1004,$D$4:$D1004,$D1004)-SUMIFS($J$4:$J1004,$D$4:$D1004,$D1004)-SUMIFS($K$4:$K1004,$D$4:$D1004,$D1004))</f>
        <v/>
      </c>
      <c r="M1004" s="80"/>
      <c r="N1004" s="80"/>
      <c r="O1004" s="94"/>
      <c r="P1004" s="26" t="str">
        <f t="shared" si="47"/>
        <v/>
      </c>
      <c r="Q1004" s="80"/>
      <c r="R1004" s="80"/>
      <c r="S1004" s="80"/>
      <c r="T1004" s="82"/>
      <c r="U1004" s="80"/>
      <c r="V1004" s="80"/>
      <c r="W1004" s="80"/>
    </row>
    <row r="1005" ht="18" customHeight="1" spans="1:23">
      <c r="A1005" s="87" t="str">
        <f t="shared" si="45"/>
        <v/>
      </c>
      <c r="B1005" s="78"/>
      <c r="C1005" s="80"/>
      <c r="D1005" s="79"/>
      <c r="E1005" s="80"/>
      <c r="F1005" s="79"/>
      <c r="G1005" s="25" t="str">
        <f t="shared" si="46"/>
        <v/>
      </c>
      <c r="H1005" s="88"/>
      <c r="I1005" s="93"/>
      <c r="J1005" s="97"/>
      <c r="K1005" s="88"/>
      <c r="L1005" s="25" t="str">
        <f>IF($D1005="","",SUMIFS($H$4:$H1005,$D$4:$D1005,$D1005)+SUMIFS($I$4:$I1005,$D$4:$D1005,$D1005)-SUMIFS($J$4:$J1005,$D$4:$D1005,$D1005)-SUMIFS($K$4:$K1005,$D$4:$D1005,$D1005))</f>
        <v/>
      </c>
      <c r="M1005" s="80"/>
      <c r="N1005" s="80"/>
      <c r="O1005" s="94"/>
      <c r="P1005" s="26" t="str">
        <f t="shared" si="47"/>
        <v/>
      </c>
      <c r="Q1005" s="80"/>
      <c r="R1005" s="80"/>
      <c r="S1005" s="80"/>
      <c r="T1005" s="82"/>
      <c r="U1005" s="80"/>
      <c r="V1005" s="80"/>
      <c r="W1005" s="80"/>
    </row>
    <row r="1006" ht="18" customHeight="1" spans="1:23">
      <c r="A1006" s="87" t="str">
        <f t="shared" si="45"/>
        <v/>
      </c>
      <c r="B1006" s="78"/>
      <c r="C1006" s="80"/>
      <c r="D1006" s="79"/>
      <c r="E1006" s="80"/>
      <c r="F1006" s="79"/>
      <c r="G1006" s="25" t="str">
        <f t="shared" si="46"/>
        <v/>
      </c>
      <c r="H1006" s="88"/>
      <c r="I1006" s="93"/>
      <c r="J1006" s="97"/>
      <c r="K1006" s="88"/>
      <c r="L1006" s="25" t="str">
        <f>IF($D1006="","",SUMIFS($H$4:$H1006,$D$4:$D1006,$D1006)+SUMIFS($I$4:$I1006,$D$4:$D1006,$D1006)-SUMIFS($J$4:$J1006,$D$4:$D1006,$D1006)-SUMIFS($K$4:$K1006,$D$4:$D1006,$D1006))</f>
        <v/>
      </c>
      <c r="M1006" s="80"/>
      <c r="N1006" s="80"/>
      <c r="O1006" s="94"/>
      <c r="P1006" s="26" t="str">
        <f t="shared" si="47"/>
        <v/>
      </c>
      <c r="Q1006" s="80"/>
      <c r="R1006" s="80"/>
      <c r="S1006" s="80"/>
      <c r="T1006" s="82"/>
      <c r="U1006" s="80"/>
      <c r="V1006" s="80"/>
      <c r="W1006" s="80"/>
    </row>
    <row r="1007" ht="18" customHeight="1" spans="1:23">
      <c r="A1007" s="87" t="str">
        <f t="shared" si="45"/>
        <v/>
      </c>
      <c r="B1007" s="78"/>
      <c r="C1007" s="80"/>
      <c r="D1007" s="79"/>
      <c r="E1007" s="80"/>
      <c r="F1007" s="79"/>
      <c r="G1007" s="25" t="str">
        <f t="shared" si="46"/>
        <v/>
      </c>
      <c r="H1007" s="88"/>
      <c r="I1007" s="93"/>
      <c r="J1007" s="97"/>
      <c r="K1007" s="88"/>
      <c r="L1007" s="25" t="str">
        <f>IF($D1007="","",SUMIFS($H$4:$H1007,$D$4:$D1007,$D1007)+SUMIFS($I$4:$I1007,$D$4:$D1007,$D1007)-SUMIFS($J$4:$J1007,$D$4:$D1007,$D1007)-SUMIFS($K$4:$K1007,$D$4:$D1007,$D1007))</f>
        <v/>
      </c>
      <c r="M1007" s="80"/>
      <c r="N1007" s="80"/>
      <c r="O1007" s="94"/>
      <c r="P1007" s="26" t="str">
        <f t="shared" si="47"/>
        <v/>
      </c>
      <c r="Q1007" s="80"/>
      <c r="R1007" s="80"/>
      <c r="S1007" s="80"/>
      <c r="T1007" s="82"/>
      <c r="U1007" s="80"/>
      <c r="V1007" s="80"/>
      <c r="W1007" s="80"/>
    </row>
    <row r="1008" ht="18" customHeight="1" spans="1:23">
      <c r="A1008" s="87" t="str">
        <f t="shared" si="45"/>
        <v/>
      </c>
      <c r="B1008" s="78"/>
      <c r="C1008" s="80"/>
      <c r="D1008" s="79"/>
      <c r="E1008" s="80"/>
      <c r="F1008" s="79"/>
      <c r="G1008" s="25" t="str">
        <f t="shared" si="46"/>
        <v/>
      </c>
      <c r="H1008" s="88"/>
      <c r="I1008" s="93"/>
      <c r="J1008" s="97"/>
      <c r="K1008" s="88"/>
      <c r="L1008" s="25" t="str">
        <f>IF($D1008="","",SUMIFS($H$4:$H1008,$D$4:$D1008,$D1008)+SUMIFS($I$4:$I1008,$D$4:$D1008,$D1008)-SUMIFS($J$4:$J1008,$D$4:$D1008,$D1008)-SUMIFS($K$4:$K1008,$D$4:$D1008,$D1008))</f>
        <v/>
      </c>
      <c r="M1008" s="80"/>
      <c r="N1008" s="80"/>
      <c r="O1008" s="94"/>
      <c r="P1008" s="26" t="str">
        <f t="shared" si="47"/>
        <v/>
      </c>
      <c r="Q1008" s="80"/>
      <c r="R1008" s="80"/>
      <c r="S1008" s="80"/>
      <c r="T1008" s="82"/>
      <c r="U1008" s="80"/>
      <c r="V1008" s="80"/>
      <c r="W1008" s="80"/>
    </row>
    <row r="1009" ht="18" customHeight="1" spans="1:23">
      <c r="A1009" s="87" t="str">
        <f t="shared" si="45"/>
        <v/>
      </c>
      <c r="B1009" s="78"/>
      <c r="C1009" s="80"/>
      <c r="D1009" s="79"/>
      <c r="E1009" s="80"/>
      <c r="F1009" s="79"/>
      <c r="G1009" s="25" t="str">
        <f t="shared" si="46"/>
        <v/>
      </c>
      <c r="H1009" s="88"/>
      <c r="I1009" s="93"/>
      <c r="J1009" s="97"/>
      <c r="K1009" s="88"/>
      <c r="L1009" s="25" t="str">
        <f>IF($D1009="","",SUMIFS($H$4:$H1009,$D$4:$D1009,$D1009)+SUMIFS($I$4:$I1009,$D$4:$D1009,$D1009)-SUMIFS($J$4:$J1009,$D$4:$D1009,$D1009)-SUMIFS($K$4:$K1009,$D$4:$D1009,$D1009))</f>
        <v/>
      </c>
      <c r="M1009" s="80"/>
      <c r="N1009" s="80"/>
      <c r="O1009" s="94"/>
      <c r="P1009" s="26" t="str">
        <f t="shared" si="47"/>
        <v/>
      </c>
      <c r="Q1009" s="80"/>
      <c r="R1009" s="80"/>
      <c r="S1009" s="80"/>
      <c r="T1009" s="82"/>
      <c r="U1009" s="80"/>
      <c r="V1009" s="80"/>
      <c r="W1009" s="80"/>
    </row>
    <row r="1010" ht="18" customHeight="1" spans="1:23">
      <c r="A1010" s="87" t="str">
        <f t="shared" si="45"/>
        <v/>
      </c>
      <c r="B1010" s="78"/>
      <c r="C1010" s="80"/>
      <c r="D1010" s="79"/>
      <c r="E1010" s="80"/>
      <c r="F1010" s="79"/>
      <c r="G1010" s="25" t="str">
        <f t="shared" si="46"/>
        <v/>
      </c>
      <c r="H1010" s="88"/>
      <c r="I1010" s="93"/>
      <c r="J1010" s="97"/>
      <c r="K1010" s="88"/>
      <c r="L1010" s="25" t="str">
        <f>IF($D1010="","",SUMIFS($H$4:$H1010,$D$4:$D1010,$D1010)+SUMIFS($I$4:$I1010,$D$4:$D1010,$D1010)-SUMIFS($J$4:$J1010,$D$4:$D1010,$D1010)-SUMIFS($K$4:$K1010,$D$4:$D1010,$D1010))</f>
        <v/>
      </c>
      <c r="M1010" s="80"/>
      <c r="N1010" s="80"/>
      <c r="O1010" s="94"/>
      <c r="P1010" s="26" t="str">
        <f t="shared" si="47"/>
        <v/>
      </c>
      <c r="Q1010" s="80"/>
      <c r="R1010" s="80"/>
      <c r="S1010" s="80"/>
      <c r="T1010" s="82"/>
      <c r="U1010" s="80"/>
      <c r="V1010" s="80"/>
      <c r="W1010" s="80"/>
    </row>
    <row r="1011" ht="18" customHeight="1" spans="1:23">
      <c r="A1011" s="87" t="str">
        <f t="shared" si="45"/>
        <v/>
      </c>
      <c r="B1011" s="78"/>
      <c r="C1011" s="80"/>
      <c r="D1011" s="79"/>
      <c r="E1011" s="80"/>
      <c r="F1011" s="79"/>
      <c r="G1011" s="25" t="str">
        <f t="shared" si="46"/>
        <v/>
      </c>
      <c r="H1011" s="88"/>
      <c r="I1011" s="93"/>
      <c r="J1011" s="97"/>
      <c r="K1011" s="88"/>
      <c r="L1011" s="25" t="str">
        <f>IF($D1011="","",SUMIFS($H$4:$H1011,$D$4:$D1011,$D1011)+SUMIFS($I$4:$I1011,$D$4:$D1011,$D1011)-SUMIFS($J$4:$J1011,$D$4:$D1011,$D1011)-SUMIFS($K$4:$K1011,$D$4:$D1011,$D1011))</f>
        <v/>
      </c>
      <c r="M1011" s="80"/>
      <c r="N1011" s="80"/>
      <c r="O1011" s="94"/>
      <c r="P1011" s="26" t="str">
        <f t="shared" si="47"/>
        <v/>
      </c>
      <c r="Q1011" s="80"/>
      <c r="R1011" s="80"/>
      <c r="S1011" s="80"/>
      <c r="T1011" s="82"/>
      <c r="U1011" s="80"/>
      <c r="V1011" s="80"/>
      <c r="W1011" s="80"/>
    </row>
    <row r="1012" ht="18" customHeight="1" spans="1:23">
      <c r="A1012" s="87" t="str">
        <f t="shared" si="45"/>
        <v/>
      </c>
      <c r="B1012" s="78"/>
      <c r="C1012" s="80"/>
      <c r="D1012" s="79"/>
      <c r="E1012" s="80"/>
      <c r="F1012" s="79"/>
      <c r="G1012" s="25" t="str">
        <f t="shared" si="46"/>
        <v/>
      </c>
      <c r="H1012" s="88"/>
      <c r="I1012" s="93"/>
      <c r="J1012" s="97"/>
      <c r="K1012" s="88"/>
      <c r="L1012" s="25" t="str">
        <f>IF($D1012="","",SUMIFS($H$4:$H1012,$D$4:$D1012,$D1012)+SUMIFS($I$4:$I1012,$D$4:$D1012,$D1012)-SUMIFS($J$4:$J1012,$D$4:$D1012,$D1012)-SUMIFS($K$4:$K1012,$D$4:$D1012,$D1012))</f>
        <v/>
      </c>
      <c r="M1012" s="80"/>
      <c r="N1012" s="80"/>
      <c r="O1012" s="94"/>
      <c r="P1012" s="26" t="str">
        <f t="shared" si="47"/>
        <v/>
      </c>
      <c r="Q1012" s="80"/>
      <c r="R1012" s="80"/>
      <c r="S1012" s="80"/>
      <c r="T1012" s="82"/>
      <c r="U1012" s="80"/>
      <c r="V1012" s="80"/>
      <c r="W1012" s="80"/>
    </row>
    <row r="1013" ht="18" customHeight="1" spans="1:23">
      <c r="A1013" s="87" t="str">
        <f t="shared" si="45"/>
        <v/>
      </c>
      <c r="B1013" s="78"/>
      <c r="C1013" s="80"/>
      <c r="D1013" s="79"/>
      <c r="E1013" s="80"/>
      <c r="F1013" s="79"/>
      <c r="G1013" s="25" t="str">
        <f t="shared" si="46"/>
        <v/>
      </c>
      <c r="H1013" s="88"/>
      <c r="I1013" s="93"/>
      <c r="J1013" s="97"/>
      <c r="K1013" s="88"/>
      <c r="L1013" s="25" t="str">
        <f>IF($D1013="","",SUMIFS($H$4:$H1013,$D$4:$D1013,$D1013)+SUMIFS($I$4:$I1013,$D$4:$D1013,$D1013)-SUMIFS($J$4:$J1013,$D$4:$D1013,$D1013)-SUMIFS($K$4:$K1013,$D$4:$D1013,$D1013))</f>
        <v/>
      </c>
      <c r="M1013" s="80"/>
      <c r="N1013" s="80"/>
      <c r="O1013" s="94"/>
      <c r="P1013" s="26" t="str">
        <f t="shared" si="47"/>
        <v/>
      </c>
      <c r="Q1013" s="80"/>
      <c r="R1013" s="80"/>
      <c r="S1013" s="80"/>
      <c r="T1013" s="82"/>
      <c r="U1013" s="80"/>
      <c r="V1013" s="80"/>
      <c r="W1013" s="80"/>
    </row>
    <row r="1014" ht="18" customHeight="1" spans="1:23">
      <c r="A1014" s="87" t="str">
        <f t="shared" si="45"/>
        <v/>
      </c>
      <c r="B1014" s="78"/>
      <c r="C1014" s="80"/>
      <c r="D1014" s="79"/>
      <c r="E1014" s="80"/>
      <c r="F1014" s="79"/>
      <c r="G1014" s="25" t="str">
        <f t="shared" si="46"/>
        <v/>
      </c>
      <c r="H1014" s="88"/>
      <c r="I1014" s="93"/>
      <c r="J1014" s="97"/>
      <c r="K1014" s="88"/>
      <c r="L1014" s="25" t="str">
        <f>IF($D1014="","",SUMIFS($H$4:$H1014,$D$4:$D1014,$D1014)+SUMIFS($I$4:$I1014,$D$4:$D1014,$D1014)-SUMIFS($J$4:$J1014,$D$4:$D1014,$D1014)-SUMIFS($K$4:$K1014,$D$4:$D1014,$D1014))</f>
        <v/>
      </c>
      <c r="M1014" s="80"/>
      <c r="N1014" s="80"/>
      <c r="O1014" s="94"/>
      <c r="P1014" s="26" t="str">
        <f t="shared" si="47"/>
        <v/>
      </c>
      <c r="Q1014" s="80"/>
      <c r="R1014" s="80"/>
      <c r="S1014" s="80"/>
      <c r="T1014" s="82"/>
      <c r="U1014" s="80"/>
      <c r="V1014" s="80"/>
      <c r="W1014" s="80"/>
    </row>
    <row r="1015" ht="18" customHeight="1" spans="1:23">
      <c r="A1015" s="87" t="str">
        <f t="shared" si="45"/>
        <v/>
      </c>
      <c r="B1015" s="78"/>
      <c r="C1015" s="80"/>
      <c r="D1015" s="79"/>
      <c r="E1015" s="80"/>
      <c r="F1015" s="79"/>
      <c r="G1015" s="25" t="str">
        <f t="shared" si="46"/>
        <v/>
      </c>
      <c r="H1015" s="88"/>
      <c r="I1015" s="93"/>
      <c r="J1015" s="97"/>
      <c r="K1015" s="88"/>
      <c r="L1015" s="25" t="str">
        <f>IF($D1015="","",SUMIFS($H$4:$H1015,$D$4:$D1015,$D1015)+SUMIFS($I$4:$I1015,$D$4:$D1015,$D1015)-SUMIFS($J$4:$J1015,$D$4:$D1015,$D1015)-SUMIFS($K$4:$K1015,$D$4:$D1015,$D1015))</f>
        <v/>
      </c>
      <c r="M1015" s="80"/>
      <c r="N1015" s="80"/>
      <c r="O1015" s="94"/>
      <c r="P1015" s="26" t="str">
        <f t="shared" si="47"/>
        <v/>
      </c>
      <c r="Q1015" s="80"/>
      <c r="R1015" s="80"/>
      <c r="S1015" s="80"/>
      <c r="T1015" s="82"/>
      <c r="U1015" s="80"/>
      <c r="V1015" s="80"/>
      <c r="W1015" s="80"/>
    </row>
    <row r="1016" ht="18" customHeight="1" spans="1:23">
      <c r="A1016" s="87" t="str">
        <f t="shared" si="45"/>
        <v/>
      </c>
      <c r="B1016" s="78"/>
      <c r="C1016" s="80"/>
      <c r="D1016" s="79"/>
      <c r="E1016" s="80"/>
      <c r="F1016" s="79"/>
      <c r="G1016" s="25" t="str">
        <f t="shared" si="46"/>
        <v/>
      </c>
      <c r="H1016" s="88"/>
      <c r="I1016" s="93"/>
      <c r="J1016" s="97"/>
      <c r="K1016" s="88"/>
      <c r="L1016" s="25" t="str">
        <f>IF($D1016="","",SUMIFS($H$4:$H1016,$D$4:$D1016,$D1016)+SUMIFS($I$4:$I1016,$D$4:$D1016,$D1016)-SUMIFS($J$4:$J1016,$D$4:$D1016,$D1016)-SUMIFS($K$4:$K1016,$D$4:$D1016,$D1016))</f>
        <v/>
      </c>
      <c r="M1016" s="80"/>
      <c r="N1016" s="80"/>
      <c r="O1016" s="94"/>
      <c r="P1016" s="26" t="str">
        <f t="shared" si="47"/>
        <v/>
      </c>
      <c r="Q1016" s="80"/>
      <c r="R1016" s="80"/>
      <c r="S1016" s="80"/>
      <c r="T1016" s="82"/>
      <c r="U1016" s="80"/>
      <c r="V1016" s="80"/>
      <c r="W1016" s="80"/>
    </row>
    <row r="1017" ht="18" customHeight="1" spans="1:23">
      <c r="A1017" s="87" t="str">
        <f t="shared" si="45"/>
        <v/>
      </c>
      <c r="B1017" s="78"/>
      <c r="C1017" s="80"/>
      <c r="D1017" s="79"/>
      <c r="E1017" s="80"/>
      <c r="F1017" s="79"/>
      <c r="G1017" s="25" t="str">
        <f t="shared" si="46"/>
        <v/>
      </c>
      <c r="H1017" s="88"/>
      <c r="I1017" s="93"/>
      <c r="J1017" s="97"/>
      <c r="K1017" s="88"/>
      <c r="L1017" s="25" t="str">
        <f>IF($D1017="","",SUMIFS($H$4:$H1017,$D$4:$D1017,$D1017)+SUMIFS($I$4:$I1017,$D$4:$D1017,$D1017)-SUMIFS($J$4:$J1017,$D$4:$D1017,$D1017)-SUMIFS($K$4:$K1017,$D$4:$D1017,$D1017))</f>
        <v/>
      </c>
      <c r="M1017" s="80"/>
      <c r="N1017" s="80"/>
      <c r="O1017" s="94"/>
      <c r="P1017" s="26" t="str">
        <f t="shared" si="47"/>
        <v/>
      </c>
      <c r="Q1017" s="80"/>
      <c r="R1017" s="80"/>
      <c r="S1017" s="80"/>
      <c r="T1017" s="82"/>
      <c r="U1017" s="80"/>
      <c r="V1017" s="80"/>
      <c r="W1017" s="80"/>
    </row>
    <row r="1018" ht="18" customHeight="1" spans="1:23">
      <c r="A1018" s="87" t="str">
        <f t="shared" si="45"/>
        <v/>
      </c>
      <c r="B1018" s="78"/>
      <c r="C1018" s="80"/>
      <c r="D1018" s="79"/>
      <c r="E1018" s="80"/>
      <c r="F1018" s="79"/>
      <c r="G1018" s="25" t="str">
        <f t="shared" si="46"/>
        <v/>
      </c>
      <c r="H1018" s="88"/>
      <c r="I1018" s="93"/>
      <c r="J1018" s="97"/>
      <c r="K1018" s="88"/>
      <c r="L1018" s="25" t="str">
        <f>IF($D1018="","",SUMIFS($H$4:$H1018,$D$4:$D1018,$D1018)+SUMIFS($I$4:$I1018,$D$4:$D1018,$D1018)-SUMIFS($J$4:$J1018,$D$4:$D1018,$D1018)-SUMIFS($K$4:$K1018,$D$4:$D1018,$D1018))</f>
        <v/>
      </c>
      <c r="M1018" s="80"/>
      <c r="N1018" s="80"/>
      <c r="O1018" s="94"/>
      <c r="P1018" s="26" t="str">
        <f t="shared" si="47"/>
        <v/>
      </c>
      <c r="Q1018" s="80"/>
      <c r="R1018" s="80"/>
      <c r="S1018" s="80"/>
      <c r="T1018" s="82"/>
      <c r="U1018" s="80"/>
      <c r="V1018" s="80"/>
      <c r="W1018" s="80"/>
    </row>
    <row r="1019" ht="18" customHeight="1" spans="1:23">
      <c r="A1019" s="87" t="str">
        <f t="shared" si="45"/>
        <v/>
      </c>
      <c r="B1019" s="78"/>
      <c r="C1019" s="80"/>
      <c r="D1019" s="79"/>
      <c r="E1019" s="80"/>
      <c r="F1019" s="79"/>
      <c r="G1019" s="25" t="str">
        <f t="shared" si="46"/>
        <v/>
      </c>
      <c r="H1019" s="88"/>
      <c r="I1019" s="93"/>
      <c r="J1019" s="97"/>
      <c r="K1019" s="88"/>
      <c r="L1019" s="25" t="str">
        <f>IF($D1019="","",SUMIFS($H$4:$H1019,$D$4:$D1019,$D1019)+SUMIFS($I$4:$I1019,$D$4:$D1019,$D1019)-SUMIFS($J$4:$J1019,$D$4:$D1019,$D1019)-SUMIFS($K$4:$K1019,$D$4:$D1019,$D1019))</f>
        <v/>
      </c>
      <c r="M1019" s="80"/>
      <c r="N1019" s="80"/>
      <c r="O1019" s="94"/>
      <c r="P1019" s="26" t="str">
        <f t="shared" si="47"/>
        <v/>
      </c>
      <c r="Q1019" s="80"/>
      <c r="R1019" s="80"/>
      <c r="S1019" s="80"/>
      <c r="T1019" s="82"/>
      <c r="U1019" s="80"/>
      <c r="V1019" s="80"/>
      <c r="W1019" s="80"/>
    </row>
    <row r="1020" ht="18" customHeight="1" spans="1:23">
      <c r="A1020" s="87" t="str">
        <f t="shared" si="45"/>
        <v/>
      </c>
      <c r="B1020" s="78"/>
      <c r="C1020" s="80"/>
      <c r="D1020" s="79"/>
      <c r="E1020" s="80"/>
      <c r="F1020" s="79"/>
      <c r="G1020" s="25" t="str">
        <f t="shared" si="46"/>
        <v/>
      </c>
      <c r="H1020" s="88"/>
      <c r="I1020" s="93"/>
      <c r="J1020" s="97"/>
      <c r="K1020" s="88"/>
      <c r="L1020" s="25" t="str">
        <f>IF($D1020="","",SUMIFS($H$4:$H1020,$D$4:$D1020,$D1020)+SUMIFS($I$4:$I1020,$D$4:$D1020,$D1020)-SUMIFS($J$4:$J1020,$D$4:$D1020,$D1020)-SUMIFS($K$4:$K1020,$D$4:$D1020,$D1020))</f>
        <v/>
      </c>
      <c r="M1020" s="80"/>
      <c r="N1020" s="80"/>
      <c r="O1020" s="94"/>
      <c r="P1020" s="26" t="str">
        <f t="shared" si="47"/>
        <v/>
      </c>
      <c r="Q1020" s="80"/>
      <c r="R1020" s="80"/>
      <c r="S1020" s="80"/>
      <c r="T1020" s="82"/>
      <c r="U1020" s="80"/>
      <c r="V1020" s="80"/>
      <c r="W1020" s="80"/>
    </row>
    <row r="1021" ht="18" customHeight="1" spans="1:23">
      <c r="A1021" s="87" t="str">
        <f t="shared" si="45"/>
        <v/>
      </c>
      <c r="B1021" s="78"/>
      <c r="C1021" s="80"/>
      <c r="D1021" s="79"/>
      <c r="E1021" s="80"/>
      <c r="F1021" s="79"/>
      <c r="G1021" s="25" t="str">
        <f t="shared" si="46"/>
        <v/>
      </c>
      <c r="H1021" s="88"/>
      <c r="I1021" s="93"/>
      <c r="J1021" s="97"/>
      <c r="K1021" s="88"/>
      <c r="L1021" s="25" t="str">
        <f>IF($D1021="","",SUMIFS($H$4:$H1021,$D$4:$D1021,$D1021)+SUMIFS($I$4:$I1021,$D$4:$D1021,$D1021)-SUMIFS($J$4:$J1021,$D$4:$D1021,$D1021)-SUMIFS($K$4:$K1021,$D$4:$D1021,$D1021))</f>
        <v/>
      </c>
      <c r="M1021" s="80"/>
      <c r="N1021" s="80"/>
      <c r="O1021" s="94"/>
      <c r="P1021" s="26" t="str">
        <f t="shared" si="47"/>
        <v/>
      </c>
      <c r="Q1021" s="80"/>
      <c r="R1021" s="80"/>
      <c r="S1021" s="80"/>
      <c r="T1021" s="82"/>
      <c r="U1021" s="80"/>
      <c r="V1021" s="80"/>
      <c r="W1021" s="80"/>
    </row>
    <row r="1022" ht="18" customHeight="1" spans="1:23">
      <c r="A1022" s="87" t="str">
        <f t="shared" si="45"/>
        <v/>
      </c>
      <c r="B1022" s="78"/>
      <c r="C1022" s="80"/>
      <c r="D1022" s="79"/>
      <c r="E1022" s="80"/>
      <c r="F1022" s="79"/>
      <c r="G1022" s="25" t="str">
        <f t="shared" si="46"/>
        <v/>
      </c>
      <c r="H1022" s="88"/>
      <c r="I1022" s="93"/>
      <c r="J1022" s="97"/>
      <c r="K1022" s="88"/>
      <c r="L1022" s="25" t="str">
        <f>IF($D1022="","",SUMIFS($H$4:$H1022,$D$4:$D1022,$D1022)+SUMIFS($I$4:$I1022,$D$4:$D1022,$D1022)-SUMIFS($J$4:$J1022,$D$4:$D1022,$D1022)-SUMIFS($K$4:$K1022,$D$4:$D1022,$D1022))</f>
        <v/>
      </c>
      <c r="M1022" s="80"/>
      <c r="N1022" s="80"/>
      <c r="O1022" s="94"/>
      <c r="P1022" s="26" t="str">
        <f t="shared" si="47"/>
        <v/>
      </c>
      <c r="Q1022" s="80"/>
      <c r="R1022" s="80"/>
      <c r="S1022" s="80"/>
      <c r="T1022" s="82"/>
      <c r="U1022" s="80"/>
      <c r="V1022" s="80"/>
      <c r="W1022" s="80"/>
    </row>
    <row r="1023" ht="18" customHeight="1" spans="1:23">
      <c r="A1023" s="87" t="str">
        <f t="shared" si="45"/>
        <v/>
      </c>
      <c r="B1023" s="78"/>
      <c r="C1023" s="80"/>
      <c r="D1023" s="79"/>
      <c r="E1023" s="80"/>
      <c r="F1023" s="79"/>
      <c r="G1023" s="25" t="str">
        <f t="shared" si="46"/>
        <v/>
      </c>
      <c r="H1023" s="88"/>
      <c r="I1023" s="93"/>
      <c r="J1023" s="97"/>
      <c r="K1023" s="88"/>
      <c r="L1023" s="25" t="str">
        <f>IF($D1023="","",SUMIFS($H$4:$H1023,$D$4:$D1023,$D1023)+SUMIFS($I$4:$I1023,$D$4:$D1023,$D1023)-SUMIFS($J$4:$J1023,$D$4:$D1023,$D1023)-SUMIFS($K$4:$K1023,$D$4:$D1023,$D1023))</f>
        <v/>
      </c>
      <c r="M1023" s="80"/>
      <c r="N1023" s="80"/>
      <c r="O1023" s="94"/>
      <c r="P1023" s="26" t="str">
        <f t="shared" si="47"/>
        <v/>
      </c>
      <c r="Q1023" s="80"/>
      <c r="R1023" s="80"/>
      <c r="S1023" s="80"/>
      <c r="T1023" s="82"/>
      <c r="U1023" s="80"/>
      <c r="V1023" s="80"/>
      <c r="W1023" s="80"/>
    </row>
    <row r="1024" ht="18" customHeight="1" spans="1:23">
      <c r="A1024" s="87" t="str">
        <f t="shared" si="45"/>
        <v/>
      </c>
      <c r="B1024" s="78"/>
      <c r="C1024" s="80"/>
      <c r="D1024" s="79"/>
      <c r="E1024" s="80"/>
      <c r="F1024" s="79"/>
      <c r="G1024" s="25" t="str">
        <f t="shared" si="46"/>
        <v/>
      </c>
      <c r="H1024" s="88"/>
      <c r="I1024" s="93"/>
      <c r="J1024" s="97"/>
      <c r="K1024" s="88"/>
      <c r="L1024" s="25" t="str">
        <f>IF($D1024="","",SUMIFS($H$4:$H1024,$D$4:$D1024,$D1024)+SUMIFS($I$4:$I1024,$D$4:$D1024,$D1024)-SUMIFS($J$4:$J1024,$D$4:$D1024,$D1024)-SUMIFS($K$4:$K1024,$D$4:$D1024,$D1024))</f>
        <v/>
      </c>
      <c r="M1024" s="80"/>
      <c r="N1024" s="80"/>
      <c r="O1024" s="94"/>
      <c r="P1024" s="26" t="str">
        <f t="shared" si="47"/>
        <v/>
      </c>
      <c r="Q1024" s="80"/>
      <c r="R1024" s="80"/>
      <c r="S1024" s="80"/>
      <c r="T1024" s="82"/>
      <c r="U1024" s="80"/>
      <c r="V1024" s="80"/>
      <c r="W1024" s="80"/>
    </row>
    <row r="1025" ht="18" customHeight="1" spans="1:23">
      <c r="A1025" s="87" t="str">
        <f t="shared" si="45"/>
        <v/>
      </c>
      <c r="B1025" s="78"/>
      <c r="C1025" s="80"/>
      <c r="D1025" s="79"/>
      <c r="E1025" s="80"/>
      <c r="F1025" s="79"/>
      <c r="G1025" s="25" t="str">
        <f t="shared" si="46"/>
        <v/>
      </c>
      <c r="H1025" s="88"/>
      <c r="I1025" s="93"/>
      <c r="J1025" s="97"/>
      <c r="K1025" s="88"/>
      <c r="L1025" s="25" t="str">
        <f>IF($D1025="","",SUMIFS($H$4:$H1025,$D$4:$D1025,$D1025)+SUMIFS($I$4:$I1025,$D$4:$D1025,$D1025)-SUMIFS($J$4:$J1025,$D$4:$D1025,$D1025)-SUMIFS($K$4:$K1025,$D$4:$D1025,$D1025))</f>
        <v/>
      </c>
      <c r="M1025" s="80"/>
      <c r="N1025" s="80"/>
      <c r="O1025" s="94"/>
      <c r="P1025" s="26" t="str">
        <f t="shared" si="47"/>
        <v/>
      </c>
      <c r="Q1025" s="80"/>
      <c r="R1025" s="80"/>
      <c r="S1025" s="80"/>
      <c r="T1025" s="82"/>
      <c r="U1025" s="80"/>
      <c r="V1025" s="80"/>
      <c r="W1025" s="80"/>
    </row>
    <row r="1026" ht="18" customHeight="1" spans="1:23">
      <c r="A1026" s="87" t="str">
        <f t="shared" si="45"/>
        <v/>
      </c>
      <c r="B1026" s="78"/>
      <c r="C1026" s="80"/>
      <c r="D1026" s="79"/>
      <c r="E1026" s="80"/>
      <c r="F1026" s="79"/>
      <c r="G1026" s="25" t="str">
        <f t="shared" si="46"/>
        <v/>
      </c>
      <c r="H1026" s="88"/>
      <c r="I1026" s="93"/>
      <c r="J1026" s="97"/>
      <c r="K1026" s="88"/>
      <c r="L1026" s="25" t="str">
        <f>IF($D1026="","",SUMIFS($H$4:$H1026,$D$4:$D1026,$D1026)+SUMIFS($I$4:$I1026,$D$4:$D1026,$D1026)-SUMIFS($J$4:$J1026,$D$4:$D1026,$D1026)-SUMIFS($K$4:$K1026,$D$4:$D1026,$D1026))</f>
        <v/>
      </c>
      <c r="M1026" s="80"/>
      <c r="N1026" s="80"/>
      <c r="O1026" s="94"/>
      <c r="P1026" s="26" t="str">
        <f t="shared" si="47"/>
        <v/>
      </c>
      <c r="Q1026" s="80"/>
      <c r="R1026" s="80"/>
      <c r="S1026" s="80"/>
      <c r="T1026" s="82"/>
      <c r="U1026" s="80"/>
      <c r="V1026" s="80"/>
      <c r="W1026" s="80"/>
    </row>
    <row r="1027" ht="18" customHeight="1" spans="1:23">
      <c r="A1027" s="87" t="str">
        <f t="shared" si="45"/>
        <v/>
      </c>
      <c r="B1027" s="78"/>
      <c r="C1027" s="80"/>
      <c r="D1027" s="79"/>
      <c r="E1027" s="80"/>
      <c r="F1027" s="79"/>
      <c r="G1027" s="25" t="str">
        <f t="shared" si="46"/>
        <v/>
      </c>
      <c r="H1027" s="88"/>
      <c r="I1027" s="93"/>
      <c r="J1027" s="97"/>
      <c r="K1027" s="88"/>
      <c r="L1027" s="25" t="str">
        <f>IF($D1027="","",SUMIFS($H$4:$H1027,$D$4:$D1027,$D1027)+SUMIFS($I$4:$I1027,$D$4:$D1027,$D1027)-SUMIFS($J$4:$J1027,$D$4:$D1027,$D1027)-SUMIFS($K$4:$K1027,$D$4:$D1027,$D1027))</f>
        <v/>
      </c>
      <c r="M1027" s="80"/>
      <c r="N1027" s="80"/>
      <c r="O1027" s="94"/>
      <c r="P1027" s="26" t="str">
        <f t="shared" si="47"/>
        <v/>
      </c>
      <c r="Q1027" s="80"/>
      <c r="R1027" s="80"/>
      <c r="S1027" s="80"/>
      <c r="T1027" s="82"/>
      <c r="U1027" s="80"/>
      <c r="V1027" s="80"/>
      <c r="W1027" s="80"/>
    </row>
    <row r="1028" ht="18" customHeight="1" spans="1:23">
      <c r="A1028" s="87" t="str">
        <f t="shared" si="45"/>
        <v/>
      </c>
      <c r="B1028" s="78"/>
      <c r="C1028" s="80"/>
      <c r="D1028" s="79"/>
      <c r="E1028" s="80"/>
      <c r="F1028" s="79"/>
      <c r="G1028" s="25" t="str">
        <f t="shared" si="46"/>
        <v/>
      </c>
      <c r="H1028" s="88"/>
      <c r="I1028" s="93"/>
      <c r="J1028" s="97"/>
      <c r="K1028" s="88"/>
      <c r="L1028" s="25" t="str">
        <f>IF($D1028="","",SUMIFS($H$4:$H1028,$D$4:$D1028,$D1028)+SUMIFS($I$4:$I1028,$D$4:$D1028,$D1028)-SUMIFS($J$4:$J1028,$D$4:$D1028,$D1028)-SUMIFS($K$4:$K1028,$D$4:$D1028,$D1028))</f>
        <v/>
      </c>
      <c r="M1028" s="80"/>
      <c r="N1028" s="80"/>
      <c r="O1028" s="94"/>
      <c r="P1028" s="26" t="str">
        <f t="shared" si="47"/>
        <v/>
      </c>
      <c r="Q1028" s="80"/>
      <c r="R1028" s="80"/>
      <c r="S1028" s="80"/>
      <c r="T1028" s="82"/>
      <c r="U1028" s="80"/>
      <c r="V1028" s="80"/>
      <c r="W1028" s="80"/>
    </row>
    <row r="1029" ht="18" customHeight="1" spans="1:23">
      <c r="A1029" s="87" t="str">
        <f t="shared" ref="A1029:A1092" si="48">IF($D1029="","",ROW()-3)</f>
        <v/>
      </c>
      <c r="B1029" s="78"/>
      <c r="C1029" s="80"/>
      <c r="D1029" s="79"/>
      <c r="E1029" s="80"/>
      <c r="F1029" s="79"/>
      <c r="G1029" s="25" t="str">
        <f t="shared" ref="G1029:G1092" si="49">IF($D1029="","",N($L1029)-N($H1029)-N($I1029)+N($J1029)+N($K1029))</f>
        <v/>
      </c>
      <c r="H1029" s="88"/>
      <c r="I1029" s="93"/>
      <c r="J1029" s="97"/>
      <c r="K1029" s="88"/>
      <c r="L1029" s="25" t="str">
        <f>IF($D1029="","",SUMIFS($H$4:$H1029,$D$4:$D1029,$D1029)+SUMIFS($I$4:$I1029,$D$4:$D1029,$D1029)-SUMIFS($J$4:$J1029,$D$4:$D1029,$D1029)-SUMIFS($K$4:$K1029,$D$4:$D1029,$D1029))</f>
        <v/>
      </c>
      <c r="M1029" s="80"/>
      <c r="N1029" s="80"/>
      <c r="O1029" s="94"/>
      <c r="P1029" s="26" t="str">
        <f t="shared" ref="P1029:P1092" si="50">IF($D1029="","",ROUND((N($H1029)+N($K1029))*N($O1029),2))</f>
        <v/>
      </c>
      <c r="Q1029" s="80"/>
      <c r="R1029" s="80"/>
      <c r="S1029" s="80"/>
      <c r="T1029" s="82"/>
      <c r="U1029" s="80"/>
      <c r="V1029" s="80"/>
      <c r="W1029" s="80"/>
    </row>
    <row r="1030" ht="18" customHeight="1" spans="1:23">
      <c r="A1030" s="87" t="str">
        <f t="shared" si="48"/>
        <v/>
      </c>
      <c r="B1030" s="78"/>
      <c r="C1030" s="80"/>
      <c r="D1030" s="79"/>
      <c r="E1030" s="80"/>
      <c r="F1030" s="79"/>
      <c r="G1030" s="25" t="str">
        <f t="shared" si="49"/>
        <v/>
      </c>
      <c r="H1030" s="88"/>
      <c r="I1030" s="93"/>
      <c r="J1030" s="97"/>
      <c r="K1030" s="88"/>
      <c r="L1030" s="25" t="str">
        <f>IF($D1030="","",SUMIFS($H$4:$H1030,$D$4:$D1030,$D1030)+SUMIFS($I$4:$I1030,$D$4:$D1030,$D1030)-SUMIFS($J$4:$J1030,$D$4:$D1030,$D1030)-SUMIFS($K$4:$K1030,$D$4:$D1030,$D1030))</f>
        <v/>
      </c>
      <c r="M1030" s="80"/>
      <c r="N1030" s="80"/>
      <c r="O1030" s="94"/>
      <c r="P1030" s="26" t="str">
        <f t="shared" si="50"/>
        <v/>
      </c>
      <c r="Q1030" s="80"/>
      <c r="R1030" s="80"/>
      <c r="S1030" s="80"/>
      <c r="T1030" s="82"/>
      <c r="U1030" s="80"/>
      <c r="V1030" s="80"/>
      <c r="W1030" s="80"/>
    </row>
    <row r="1031" ht="18" customHeight="1" spans="1:23">
      <c r="A1031" s="87" t="str">
        <f t="shared" si="48"/>
        <v/>
      </c>
      <c r="B1031" s="78"/>
      <c r="C1031" s="80"/>
      <c r="D1031" s="79"/>
      <c r="E1031" s="80"/>
      <c r="F1031" s="79"/>
      <c r="G1031" s="25" t="str">
        <f t="shared" si="49"/>
        <v/>
      </c>
      <c r="H1031" s="88"/>
      <c r="I1031" s="93"/>
      <c r="J1031" s="97"/>
      <c r="K1031" s="88"/>
      <c r="L1031" s="25" t="str">
        <f>IF($D1031="","",SUMIFS($H$4:$H1031,$D$4:$D1031,$D1031)+SUMIFS($I$4:$I1031,$D$4:$D1031,$D1031)-SUMIFS($J$4:$J1031,$D$4:$D1031,$D1031)-SUMIFS($K$4:$K1031,$D$4:$D1031,$D1031))</f>
        <v/>
      </c>
      <c r="M1031" s="80"/>
      <c r="N1031" s="80"/>
      <c r="O1031" s="94"/>
      <c r="P1031" s="26" t="str">
        <f t="shared" si="50"/>
        <v/>
      </c>
      <c r="Q1031" s="80"/>
      <c r="R1031" s="80"/>
      <c r="S1031" s="80"/>
      <c r="T1031" s="82"/>
      <c r="U1031" s="80"/>
      <c r="V1031" s="80"/>
      <c r="W1031" s="80"/>
    </row>
    <row r="1032" ht="18" customHeight="1" spans="1:23">
      <c r="A1032" s="87" t="str">
        <f t="shared" si="48"/>
        <v/>
      </c>
      <c r="B1032" s="78"/>
      <c r="C1032" s="80"/>
      <c r="D1032" s="79"/>
      <c r="E1032" s="80"/>
      <c r="F1032" s="79"/>
      <c r="G1032" s="25" t="str">
        <f t="shared" si="49"/>
        <v/>
      </c>
      <c r="H1032" s="88"/>
      <c r="I1032" s="93"/>
      <c r="J1032" s="97"/>
      <c r="K1032" s="88"/>
      <c r="L1032" s="25" t="str">
        <f>IF($D1032="","",SUMIFS($H$4:$H1032,$D$4:$D1032,$D1032)+SUMIFS($I$4:$I1032,$D$4:$D1032,$D1032)-SUMIFS($J$4:$J1032,$D$4:$D1032,$D1032)-SUMIFS($K$4:$K1032,$D$4:$D1032,$D1032))</f>
        <v/>
      </c>
      <c r="M1032" s="80"/>
      <c r="N1032" s="80"/>
      <c r="O1032" s="94"/>
      <c r="P1032" s="26" t="str">
        <f t="shared" si="50"/>
        <v/>
      </c>
      <c r="Q1032" s="80"/>
      <c r="R1032" s="80"/>
      <c r="S1032" s="80"/>
      <c r="T1032" s="82"/>
      <c r="U1032" s="80"/>
      <c r="V1032" s="80"/>
      <c r="W1032" s="80"/>
    </row>
    <row r="1033" ht="18" customHeight="1" spans="1:23">
      <c r="A1033" s="87" t="str">
        <f t="shared" si="48"/>
        <v/>
      </c>
      <c r="B1033" s="78"/>
      <c r="C1033" s="80"/>
      <c r="D1033" s="79"/>
      <c r="E1033" s="80"/>
      <c r="F1033" s="79"/>
      <c r="G1033" s="25" t="str">
        <f t="shared" si="49"/>
        <v/>
      </c>
      <c r="H1033" s="88"/>
      <c r="I1033" s="93"/>
      <c r="J1033" s="97"/>
      <c r="K1033" s="88"/>
      <c r="L1033" s="25" t="str">
        <f>IF($D1033="","",SUMIFS($H$4:$H1033,$D$4:$D1033,$D1033)+SUMIFS($I$4:$I1033,$D$4:$D1033,$D1033)-SUMIFS($J$4:$J1033,$D$4:$D1033,$D1033)-SUMIFS($K$4:$K1033,$D$4:$D1033,$D1033))</f>
        <v/>
      </c>
      <c r="M1033" s="80"/>
      <c r="N1033" s="80"/>
      <c r="O1033" s="94"/>
      <c r="P1033" s="26" t="str">
        <f t="shared" si="50"/>
        <v/>
      </c>
      <c r="Q1033" s="80"/>
      <c r="R1033" s="80"/>
      <c r="S1033" s="80"/>
      <c r="T1033" s="82"/>
      <c r="U1033" s="80"/>
      <c r="V1033" s="80"/>
      <c r="W1033" s="80"/>
    </row>
    <row r="1034" ht="18" customHeight="1" spans="1:23">
      <c r="A1034" s="87" t="str">
        <f t="shared" si="48"/>
        <v/>
      </c>
      <c r="B1034" s="78"/>
      <c r="C1034" s="80"/>
      <c r="D1034" s="79"/>
      <c r="E1034" s="80"/>
      <c r="F1034" s="79"/>
      <c r="G1034" s="25" t="str">
        <f t="shared" si="49"/>
        <v/>
      </c>
      <c r="H1034" s="88"/>
      <c r="I1034" s="93"/>
      <c r="J1034" s="97"/>
      <c r="K1034" s="88"/>
      <c r="L1034" s="25" t="str">
        <f>IF($D1034="","",SUMIFS($H$4:$H1034,$D$4:$D1034,$D1034)+SUMIFS($I$4:$I1034,$D$4:$D1034,$D1034)-SUMIFS($J$4:$J1034,$D$4:$D1034,$D1034)-SUMIFS($K$4:$K1034,$D$4:$D1034,$D1034))</f>
        <v/>
      </c>
      <c r="M1034" s="80"/>
      <c r="N1034" s="80"/>
      <c r="O1034" s="94"/>
      <c r="P1034" s="26" t="str">
        <f t="shared" si="50"/>
        <v/>
      </c>
      <c r="Q1034" s="80"/>
      <c r="R1034" s="80"/>
      <c r="S1034" s="80"/>
      <c r="T1034" s="82"/>
      <c r="U1034" s="80"/>
      <c r="V1034" s="80"/>
      <c r="W1034" s="80"/>
    </row>
    <row r="1035" ht="18" customHeight="1" spans="1:23">
      <c r="A1035" s="87" t="str">
        <f t="shared" si="48"/>
        <v/>
      </c>
      <c r="B1035" s="78"/>
      <c r="C1035" s="80"/>
      <c r="D1035" s="79"/>
      <c r="E1035" s="80"/>
      <c r="F1035" s="79"/>
      <c r="G1035" s="25" t="str">
        <f t="shared" si="49"/>
        <v/>
      </c>
      <c r="H1035" s="88"/>
      <c r="I1035" s="93"/>
      <c r="J1035" s="97"/>
      <c r="K1035" s="88"/>
      <c r="L1035" s="25" t="str">
        <f>IF($D1035="","",SUMIFS($H$4:$H1035,$D$4:$D1035,$D1035)+SUMIFS($I$4:$I1035,$D$4:$D1035,$D1035)-SUMIFS($J$4:$J1035,$D$4:$D1035,$D1035)-SUMIFS($K$4:$K1035,$D$4:$D1035,$D1035))</f>
        <v/>
      </c>
      <c r="M1035" s="80"/>
      <c r="N1035" s="80"/>
      <c r="O1035" s="94"/>
      <c r="P1035" s="26" t="str">
        <f t="shared" si="50"/>
        <v/>
      </c>
      <c r="Q1035" s="80"/>
      <c r="R1035" s="80"/>
      <c r="S1035" s="80"/>
      <c r="T1035" s="82"/>
      <c r="U1035" s="80"/>
      <c r="V1035" s="80"/>
      <c r="W1035" s="80"/>
    </row>
    <row r="1036" ht="18" customHeight="1" spans="1:23">
      <c r="A1036" s="87" t="str">
        <f t="shared" si="48"/>
        <v/>
      </c>
      <c r="B1036" s="78"/>
      <c r="C1036" s="80"/>
      <c r="D1036" s="79"/>
      <c r="E1036" s="80"/>
      <c r="F1036" s="79"/>
      <c r="G1036" s="25" t="str">
        <f t="shared" si="49"/>
        <v/>
      </c>
      <c r="H1036" s="88"/>
      <c r="I1036" s="93"/>
      <c r="J1036" s="97"/>
      <c r="K1036" s="88"/>
      <c r="L1036" s="25" t="str">
        <f>IF($D1036="","",SUMIFS($H$4:$H1036,$D$4:$D1036,$D1036)+SUMIFS($I$4:$I1036,$D$4:$D1036,$D1036)-SUMIFS($J$4:$J1036,$D$4:$D1036,$D1036)-SUMIFS($K$4:$K1036,$D$4:$D1036,$D1036))</f>
        <v/>
      </c>
      <c r="M1036" s="80"/>
      <c r="N1036" s="80"/>
      <c r="O1036" s="94"/>
      <c r="P1036" s="26" t="str">
        <f t="shared" si="50"/>
        <v/>
      </c>
      <c r="Q1036" s="80"/>
      <c r="R1036" s="80"/>
      <c r="S1036" s="80"/>
      <c r="T1036" s="82"/>
      <c r="U1036" s="80"/>
      <c r="V1036" s="80"/>
      <c r="W1036" s="80"/>
    </row>
    <row r="1037" ht="18" customHeight="1" spans="1:23">
      <c r="A1037" s="87" t="str">
        <f t="shared" si="48"/>
        <v/>
      </c>
      <c r="B1037" s="78"/>
      <c r="C1037" s="80"/>
      <c r="D1037" s="79"/>
      <c r="E1037" s="80"/>
      <c r="F1037" s="79"/>
      <c r="G1037" s="25" t="str">
        <f t="shared" si="49"/>
        <v/>
      </c>
      <c r="H1037" s="88"/>
      <c r="I1037" s="93"/>
      <c r="J1037" s="97"/>
      <c r="K1037" s="88"/>
      <c r="L1037" s="25" t="str">
        <f>IF($D1037="","",SUMIFS($H$4:$H1037,$D$4:$D1037,$D1037)+SUMIFS($I$4:$I1037,$D$4:$D1037,$D1037)-SUMIFS($J$4:$J1037,$D$4:$D1037,$D1037)-SUMIFS($K$4:$K1037,$D$4:$D1037,$D1037))</f>
        <v/>
      </c>
      <c r="M1037" s="80"/>
      <c r="N1037" s="80"/>
      <c r="O1037" s="94"/>
      <c r="P1037" s="26" t="str">
        <f t="shared" si="50"/>
        <v/>
      </c>
      <c r="Q1037" s="80"/>
      <c r="R1037" s="80"/>
      <c r="S1037" s="80"/>
      <c r="T1037" s="82"/>
      <c r="U1037" s="80"/>
      <c r="V1037" s="80"/>
      <c r="W1037" s="80"/>
    </row>
    <row r="1038" ht="18" customHeight="1" spans="1:23">
      <c r="A1038" s="87" t="str">
        <f t="shared" si="48"/>
        <v/>
      </c>
      <c r="B1038" s="78"/>
      <c r="C1038" s="80"/>
      <c r="D1038" s="79"/>
      <c r="E1038" s="80"/>
      <c r="F1038" s="79"/>
      <c r="G1038" s="25" t="str">
        <f t="shared" si="49"/>
        <v/>
      </c>
      <c r="H1038" s="88"/>
      <c r="I1038" s="93"/>
      <c r="J1038" s="97"/>
      <c r="K1038" s="88"/>
      <c r="L1038" s="25" t="str">
        <f>IF($D1038="","",SUMIFS($H$4:$H1038,$D$4:$D1038,$D1038)+SUMIFS($I$4:$I1038,$D$4:$D1038,$D1038)-SUMIFS($J$4:$J1038,$D$4:$D1038,$D1038)-SUMIFS($K$4:$K1038,$D$4:$D1038,$D1038))</f>
        <v/>
      </c>
      <c r="M1038" s="80"/>
      <c r="N1038" s="80"/>
      <c r="O1038" s="94"/>
      <c r="P1038" s="26" t="str">
        <f t="shared" si="50"/>
        <v/>
      </c>
      <c r="Q1038" s="80"/>
      <c r="R1038" s="80"/>
      <c r="S1038" s="80"/>
      <c r="T1038" s="82"/>
      <c r="U1038" s="80"/>
      <c r="V1038" s="80"/>
      <c r="W1038" s="80"/>
    </row>
    <row r="1039" ht="18" customHeight="1" spans="1:23">
      <c r="A1039" s="87" t="str">
        <f t="shared" si="48"/>
        <v/>
      </c>
      <c r="B1039" s="78"/>
      <c r="C1039" s="80"/>
      <c r="D1039" s="79"/>
      <c r="E1039" s="80"/>
      <c r="F1039" s="79"/>
      <c r="G1039" s="25" t="str">
        <f t="shared" si="49"/>
        <v/>
      </c>
      <c r="H1039" s="88"/>
      <c r="I1039" s="93"/>
      <c r="J1039" s="97"/>
      <c r="K1039" s="88"/>
      <c r="L1039" s="25" t="str">
        <f>IF($D1039="","",SUMIFS($H$4:$H1039,$D$4:$D1039,$D1039)+SUMIFS($I$4:$I1039,$D$4:$D1039,$D1039)-SUMIFS($J$4:$J1039,$D$4:$D1039,$D1039)-SUMIFS($K$4:$K1039,$D$4:$D1039,$D1039))</f>
        <v/>
      </c>
      <c r="M1039" s="80"/>
      <c r="N1039" s="80"/>
      <c r="O1039" s="94"/>
      <c r="P1039" s="26" t="str">
        <f t="shared" si="50"/>
        <v/>
      </c>
      <c r="Q1039" s="80"/>
      <c r="R1039" s="80"/>
      <c r="S1039" s="80"/>
      <c r="T1039" s="82"/>
      <c r="U1039" s="80"/>
      <c r="V1039" s="80"/>
      <c r="W1039" s="80"/>
    </row>
    <row r="1040" ht="18" customHeight="1" spans="1:23">
      <c r="A1040" s="87" t="str">
        <f t="shared" si="48"/>
        <v/>
      </c>
      <c r="B1040" s="78"/>
      <c r="C1040" s="80"/>
      <c r="D1040" s="79"/>
      <c r="E1040" s="80"/>
      <c r="F1040" s="79"/>
      <c r="G1040" s="25" t="str">
        <f t="shared" si="49"/>
        <v/>
      </c>
      <c r="H1040" s="88"/>
      <c r="I1040" s="93"/>
      <c r="J1040" s="97"/>
      <c r="K1040" s="88"/>
      <c r="L1040" s="25" t="str">
        <f>IF($D1040="","",SUMIFS($H$4:$H1040,$D$4:$D1040,$D1040)+SUMIFS($I$4:$I1040,$D$4:$D1040,$D1040)-SUMIFS($J$4:$J1040,$D$4:$D1040,$D1040)-SUMIFS($K$4:$K1040,$D$4:$D1040,$D1040))</f>
        <v/>
      </c>
      <c r="M1040" s="80"/>
      <c r="N1040" s="80"/>
      <c r="O1040" s="94"/>
      <c r="P1040" s="26" t="str">
        <f t="shared" si="50"/>
        <v/>
      </c>
      <c r="Q1040" s="80"/>
      <c r="R1040" s="80"/>
      <c r="S1040" s="80"/>
      <c r="T1040" s="82"/>
      <c r="U1040" s="80"/>
      <c r="V1040" s="80"/>
      <c r="W1040" s="80"/>
    </row>
    <row r="1041" ht="18" customHeight="1" spans="1:23">
      <c r="A1041" s="87" t="str">
        <f t="shared" si="48"/>
        <v/>
      </c>
      <c r="B1041" s="78"/>
      <c r="C1041" s="80"/>
      <c r="D1041" s="79"/>
      <c r="E1041" s="80"/>
      <c r="F1041" s="79"/>
      <c r="G1041" s="25" t="str">
        <f t="shared" si="49"/>
        <v/>
      </c>
      <c r="H1041" s="88"/>
      <c r="I1041" s="93"/>
      <c r="J1041" s="97"/>
      <c r="K1041" s="88"/>
      <c r="L1041" s="25" t="str">
        <f>IF($D1041="","",SUMIFS($H$4:$H1041,$D$4:$D1041,$D1041)+SUMIFS($I$4:$I1041,$D$4:$D1041,$D1041)-SUMIFS($J$4:$J1041,$D$4:$D1041,$D1041)-SUMIFS($K$4:$K1041,$D$4:$D1041,$D1041))</f>
        <v/>
      </c>
      <c r="M1041" s="80"/>
      <c r="N1041" s="80"/>
      <c r="O1041" s="94"/>
      <c r="P1041" s="26" t="str">
        <f t="shared" si="50"/>
        <v/>
      </c>
      <c r="Q1041" s="80"/>
      <c r="R1041" s="80"/>
      <c r="S1041" s="80"/>
      <c r="T1041" s="82"/>
      <c r="U1041" s="80"/>
      <c r="V1041" s="80"/>
      <c r="W1041" s="80"/>
    </row>
    <row r="1042" ht="18" customHeight="1" spans="1:23">
      <c r="A1042" s="87" t="str">
        <f t="shared" si="48"/>
        <v/>
      </c>
      <c r="B1042" s="78"/>
      <c r="C1042" s="80"/>
      <c r="D1042" s="79"/>
      <c r="E1042" s="80"/>
      <c r="F1042" s="79"/>
      <c r="G1042" s="25" t="str">
        <f t="shared" si="49"/>
        <v/>
      </c>
      <c r="H1042" s="88"/>
      <c r="I1042" s="93"/>
      <c r="J1042" s="97"/>
      <c r="K1042" s="88"/>
      <c r="L1042" s="25" t="str">
        <f>IF($D1042="","",SUMIFS($H$4:$H1042,$D$4:$D1042,$D1042)+SUMIFS($I$4:$I1042,$D$4:$D1042,$D1042)-SUMIFS($J$4:$J1042,$D$4:$D1042,$D1042)-SUMIFS($K$4:$K1042,$D$4:$D1042,$D1042))</f>
        <v/>
      </c>
      <c r="M1042" s="80"/>
      <c r="N1042" s="80"/>
      <c r="O1042" s="94"/>
      <c r="P1042" s="26" t="str">
        <f t="shared" si="50"/>
        <v/>
      </c>
      <c r="Q1042" s="80"/>
      <c r="R1042" s="80"/>
      <c r="S1042" s="80"/>
      <c r="T1042" s="82"/>
      <c r="U1042" s="80"/>
      <c r="V1042" s="80"/>
      <c r="W1042" s="80"/>
    </row>
    <row r="1043" ht="18" customHeight="1" spans="1:23">
      <c r="A1043" s="87" t="str">
        <f t="shared" si="48"/>
        <v/>
      </c>
      <c r="B1043" s="78"/>
      <c r="C1043" s="80"/>
      <c r="D1043" s="79"/>
      <c r="E1043" s="80"/>
      <c r="F1043" s="79"/>
      <c r="G1043" s="25" t="str">
        <f t="shared" si="49"/>
        <v/>
      </c>
      <c r="H1043" s="88"/>
      <c r="I1043" s="93"/>
      <c r="J1043" s="97"/>
      <c r="K1043" s="88"/>
      <c r="L1043" s="25" t="str">
        <f>IF($D1043="","",SUMIFS($H$4:$H1043,$D$4:$D1043,$D1043)+SUMIFS($I$4:$I1043,$D$4:$D1043,$D1043)-SUMIFS($J$4:$J1043,$D$4:$D1043,$D1043)-SUMIFS($K$4:$K1043,$D$4:$D1043,$D1043))</f>
        <v/>
      </c>
      <c r="M1043" s="80"/>
      <c r="N1043" s="80"/>
      <c r="O1043" s="94"/>
      <c r="P1043" s="26" t="str">
        <f t="shared" si="50"/>
        <v/>
      </c>
      <c r="Q1043" s="80"/>
      <c r="R1043" s="80"/>
      <c r="S1043" s="80"/>
      <c r="T1043" s="82"/>
      <c r="U1043" s="80"/>
      <c r="V1043" s="80"/>
      <c r="W1043" s="80"/>
    </row>
    <row r="1044" ht="18" customHeight="1" spans="1:23">
      <c r="A1044" s="87" t="str">
        <f t="shared" si="48"/>
        <v/>
      </c>
      <c r="B1044" s="78"/>
      <c r="C1044" s="80"/>
      <c r="D1044" s="79"/>
      <c r="E1044" s="80"/>
      <c r="F1044" s="79"/>
      <c r="G1044" s="25" t="str">
        <f t="shared" si="49"/>
        <v/>
      </c>
      <c r="H1044" s="88"/>
      <c r="I1044" s="93"/>
      <c r="J1044" s="97"/>
      <c r="K1044" s="88"/>
      <c r="L1044" s="25" t="str">
        <f>IF($D1044="","",SUMIFS($H$4:$H1044,$D$4:$D1044,$D1044)+SUMIFS($I$4:$I1044,$D$4:$D1044,$D1044)-SUMIFS($J$4:$J1044,$D$4:$D1044,$D1044)-SUMIFS($K$4:$K1044,$D$4:$D1044,$D1044))</f>
        <v/>
      </c>
      <c r="M1044" s="80"/>
      <c r="N1044" s="80"/>
      <c r="O1044" s="94"/>
      <c r="P1044" s="26" t="str">
        <f t="shared" si="50"/>
        <v/>
      </c>
      <c r="Q1044" s="80"/>
      <c r="R1044" s="80"/>
      <c r="S1044" s="80"/>
      <c r="T1044" s="82"/>
      <c r="U1044" s="80"/>
      <c r="V1044" s="80"/>
      <c r="W1044" s="80"/>
    </row>
    <row r="1045" ht="18" customHeight="1" spans="1:23">
      <c r="A1045" s="87" t="str">
        <f t="shared" si="48"/>
        <v/>
      </c>
      <c r="B1045" s="78"/>
      <c r="C1045" s="80"/>
      <c r="D1045" s="79"/>
      <c r="E1045" s="80"/>
      <c r="F1045" s="79"/>
      <c r="G1045" s="25" t="str">
        <f t="shared" si="49"/>
        <v/>
      </c>
      <c r="H1045" s="88"/>
      <c r="I1045" s="93"/>
      <c r="J1045" s="97"/>
      <c r="K1045" s="88"/>
      <c r="L1045" s="25" t="str">
        <f>IF($D1045="","",SUMIFS($H$4:$H1045,$D$4:$D1045,$D1045)+SUMIFS($I$4:$I1045,$D$4:$D1045,$D1045)-SUMIFS($J$4:$J1045,$D$4:$D1045,$D1045)-SUMIFS($K$4:$K1045,$D$4:$D1045,$D1045))</f>
        <v/>
      </c>
      <c r="M1045" s="80"/>
      <c r="N1045" s="80"/>
      <c r="O1045" s="94"/>
      <c r="P1045" s="26" t="str">
        <f t="shared" si="50"/>
        <v/>
      </c>
      <c r="Q1045" s="80"/>
      <c r="R1045" s="80"/>
      <c r="S1045" s="80"/>
      <c r="T1045" s="82"/>
      <c r="U1045" s="80"/>
      <c r="V1045" s="80"/>
      <c r="W1045" s="80"/>
    </row>
    <row r="1046" ht="18" customHeight="1" spans="1:23">
      <c r="A1046" s="87" t="str">
        <f t="shared" si="48"/>
        <v/>
      </c>
      <c r="B1046" s="78"/>
      <c r="C1046" s="80"/>
      <c r="D1046" s="79"/>
      <c r="E1046" s="80"/>
      <c r="F1046" s="79"/>
      <c r="G1046" s="25" t="str">
        <f t="shared" si="49"/>
        <v/>
      </c>
      <c r="H1046" s="88"/>
      <c r="I1046" s="93"/>
      <c r="J1046" s="97"/>
      <c r="K1046" s="88"/>
      <c r="L1046" s="25" t="str">
        <f>IF($D1046="","",SUMIFS($H$4:$H1046,$D$4:$D1046,$D1046)+SUMIFS($I$4:$I1046,$D$4:$D1046,$D1046)-SUMIFS($J$4:$J1046,$D$4:$D1046,$D1046)-SUMIFS($K$4:$K1046,$D$4:$D1046,$D1046))</f>
        <v/>
      </c>
      <c r="M1046" s="80"/>
      <c r="N1046" s="80"/>
      <c r="O1046" s="94"/>
      <c r="P1046" s="26" t="str">
        <f t="shared" si="50"/>
        <v/>
      </c>
      <c r="Q1046" s="80"/>
      <c r="R1046" s="80"/>
      <c r="S1046" s="80"/>
      <c r="T1046" s="82"/>
      <c r="U1046" s="80"/>
      <c r="V1046" s="80"/>
      <c r="W1046" s="80"/>
    </row>
    <row r="1047" ht="18" customHeight="1" spans="1:23">
      <c r="A1047" s="87" t="str">
        <f t="shared" si="48"/>
        <v/>
      </c>
      <c r="B1047" s="78"/>
      <c r="C1047" s="80"/>
      <c r="D1047" s="79"/>
      <c r="E1047" s="80"/>
      <c r="F1047" s="79"/>
      <c r="G1047" s="25" t="str">
        <f t="shared" si="49"/>
        <v/>
      </c>
      <c r="H1047" s="88"/>
      <c r="I1047" s="93"/>
      <c r="J1047" s="97"/>
      <c r="K1047" s="88"/>
      <c r="L1047" s="25" t="str">
        <f>IF($D1047="","",SUMIFS($H$4:$H1047,$D$4:$D1047,$D1047)+SUMIFS($I$4:$I1047,$D$4:$D1047,$D1047)-SUMIFS($J$4:$J1047,$D$4:$D1047,$D1047)-SUMIFS($K$4:$K1047,$D$4:$D1047,$D1047))</f>
        <v/>
      </c>
      <c r="M1047" s="80"/>
      <c r="N1047" s="80"/>
      <c r="O1047" s="94"/>
      <c r="P1047" s="26" t="str">
        <f t="shared" si="50"/>
        <v/>
      </c>
      <c r="Q1047" s="80"/>
      <c r="R1047" s="80"/>
      <c r="S1047" s="80"/>
      <c r="T1047" s="82"/>
      <c r="U1047" s="80"/>
      <c r="V1047" s="80"/>
      <c r="W1047" s="80"/>
    </row>
    <row r="1048" ht="18" customHeight="1" spans="1:23">
      <c r="A1048" s="87" t="str">
        <f t="shared" si="48"/>
        <v/>
      </c>
      <c r="B1048" s="78"/>
      <c r="C1048" s="80"/>
      <c r="D1048" s="79"/>
      <c r="E1048" s="80"/>
      <c r="F1048" s="79"/>
      <c r="G1048" s="25" t="str">
        <f t="shared" si="49"/>
        <v/>
      </c>
      <c r="H1048" s="88"/>
      <c r="I1048" s="93"/>
      <c r="J1048" s="97"/>
      <c r="K1048" s="88"/>
      <c r="L1048" s="25" t="str">
        <f>IF($D1048="","",SUMIFS($H$4:$H1048,$D$4:$D1048,$D1048)+SUMIFS($I$4:$I1048,$D$4:$D1048,$D1048)-SUMIFS($J$4:$J1048,$D$4:$D1048,$D1048)-SUMIFS($K$4:$K1048,$D$4:$D1048,$D1048))</f>
        <v/>
      </c>
      <c r="M1048" s="80"/>
      <c r="N1048" s="80"/>
      <c r="O1048" s="94"/>
      <c r="P1048" s="26" t="str">
        <f t="shared" si="50"/>
        <v/>
      </c>
      <c r="Q1048" s="80"/>
      <c r="R1048" s="80"/>
      <c r="S1048" s="80"/>
      <c r="T1048" s="82"/>
      <c r="U1048" s="80"/>
      <c r="V1048" s="80"/>
      <c r="W1048" s="80"/>
    </row>
    <row r="1049" ht="18" customHeight="1" spans="1:23">
      <c r="A1049" s="87" t="str">
        <f t="shared" si="48"/>
        <v/>
      </c>
      <c r="B1049" s="78"/>
      <c r="C1049" s="80"/>
      <c r="D1049" s="79"/>
      <c r="E1049" s="80"/>
      <c r="F1049" s="79"/>
      <c r="G1049" s="25" t="str">
        <f t="shared" si="49"/>
        <v/>
      </c>
      <c r="H1049" s="88"/>
      <c r="I1049" s="93"/>
      <c r="J1049" s="97"/>
      <c r="K1049" s="88"/>
      <c r="L1049" s="25" t="str">
        <f>IF($D1049="","",SUMIFS($H$4:$H1049,$D$4:$D1049,$D1049)+SUMIFS($I$4:$I1049,$D$4:$D1049,$D1049)-SUMIFS($J$4:$J1049,$D$4:$D1049,$D1049)-SUMIFS($K$4:$K1049,$D$4:$D1049,$D1049))</f>
        <v/>
      </c>
      <c r="M1049" s="80"/>
      <c r="N1049" s="80"/>
      <c r="O1049" s="94"/>
      <c r="P1049" s="26" t="str">
        <f t="shared" si="50"/>
        <v/>
      </c>
      <c r="Q1049" s="80"/>
      <c r="R1049" s="80"/>
      <c r="S1049" s="80"/>
      <c r="T1049" s="82"/>
      <c r="U1049" s="80"/>
      <c r="V1049" s="80"/>
      <c r="W1049" s="80"/>
    </row>
    <row r="1050" ht="18" customHeight="1" spans="1:23">
      <c r="A1050" s="87" t="str">
        <f t="shared" si="48"/>
        <v/>
      </c>
      <c r="B1050" s="78"/>
      <c r="C1050" s="80"/>
      <c r="D1050" s="79"/>
      <c r="E1050" s="80"/>
      <c r="F1050" s="79"/>
      <c r="G1050" s="25" t="str">
        <f t="shared" si="49"/>
        <v/>
      </c>
      <c r="H1050" s="88"/>
      <c r="I1050" s="93"/>
      <c r="J1050" s="97"/>
      <c r="K1050" s="88"/>
      <c r="L1050" s="25" t="str">
        <f>IF($D1050="","",SUMIFS($H$4:$H1050,$D$4:$D1050,$D1050)+SUMIFS($I$4:$I1050,$D$4:$D1050,$D1050)-SUMIFS($J$4:$J1050,$D$4:$D1050,$D1050)-SUMIFS($K$4:$K1050,$D$4:$D1050,$D1050))</f>
        <v/>
      </c>
      <c r="M1050" s="80"/>
      <c r="N1050" s="80"/>
      <c r="O1050" s="94"/>
      <c r="P1050" s="26" t="str">
        <f t="shared" si="50"/>
        <v/>
      </c>
      <c r="Q1050" s="80"/>
      <c r="R1050" s="80"/>
      <c r="S1050" s="80"/>
      <c r="T1050" s="82"/>
      <c r="U1050" s="80"/>
      <c r="V1050" s="80"/>
      <c r="W1050" s="80"/>
    </row>
    <row r="1051" ht="18" customHeight="1" spans="1:23">
      <c r="A1051" s="87" t="str">
        <f t="shared" si="48"/>
        <v/>
      </c>
      <c r="B1051" s="78"/>
      <c r="C1051" s="80"/>
      <c r="D1051" s="79"/>
      <c r="E1051" s="80"/>
      <c r="F1051" s="79"/>
      <c r="G1051" s="25" t="str">
        <f t="shared" si="49"/>
        <v/>
      </c>
      <c r="H1051" s="88"/>
      <c r="I1051" s="93"/>
      <c r="J1051" s="97"/>
      <c r="K1051" s="88"/>
      <c r="L1051" s="25" t="str">
        <f>IF($D1051="","",SUMIFS($H$4:$H1051,$D$4:$D1051,$D1051)+SUMIFS($I$4:$I1051,$D$4:$D1051,$D1051)-SUMIFS($J$4:$J1051,$D$4:$D1051,$D1051)-SUMIFS($K$4:$K1051,$D$4:$D1051,$D1051))</f>
        <v/>
      </c>
      <c r="M1051" s="80"/>
      <c r="N1051" s="80"/>
      <c r="O1051" s="94"/>
      <c r="P1051" s="26" t="str">
        <f t="shared" si="50"/>
        <v/>
      </c>
      <c r="Q1051" s="80"/>
      <c r="R1051" s="80"/>
      <c r="S1051" s="80"/>
      <c r="T1051" s="82"/>
      <c r="U1051" s="80"/>
      <c r="V1051" s="80"/>
      <c r="W1051" s="80"/>
    </row>
    <row r="1052" ht="18" customHeight="1" spans="1:23">
      <c r="A1052" s="87" t="str">
        <f t="shared" si="48"/>
        <v/>
      </c>
      <c r="B1052" s="78"/>
      <c r="C1052" s="80"/>
      <c r="D1052" s="79"/>
      <c r="E1052" s="80"/>
      <c r="F1052" s="79"/>
      <c r="G1052" s="25" t="str">
        <f t="shared" si="49"/>
        <v/>
      </c>
      <c r="H1052" s="88"/>
      <c r="I1052" s="93"/>
      <c r="J1052" s="97"/>
      <c r="K1052" s="88"/>
      <c r="L1052" s="25" t="str">
        <f>IF($D1052="","",SUMIFS($H$4:$H1052,$D$4:$D1052,$D1052)+SUMIFS($I$4:$I1052,$D$4:$D1052,$D1052)-SUMIFS($J$4:$J1052,$D$4:$D1052,$D1052)-SUMIFS($K$4:$K1052,$D$4:$D1052,$D1052))</f>
        <v/>
      </c>
      <c r="M1052" s="80"/>
      <c r="N1052" s="80"/>
      <c r="O1052" s="94"/>
      <c r="P1052" s="26" t="str">
        <f t="shared" si="50"/>
        <v/>
      </c>
      <c r="Q1052" s="80"/>
      <c r="R1052" s="80"/>
      <c r="S1052" s="80"/>
      <c r="T1052" s="82"/>
      <c r="U1052" s="80"/>
      <c r="V1052" s="80"/>
      <c r="W1052" s="80"/>
    </row>
    <row r="1053" ht="18" customHeight="1" spans="1:23">
      <c r="A1053" s="87" t="str">
        <f t="shared" si="48"/>
        <v/>
      </c>
      <c r="B1053" s="78"/>
      <c r="C1053" s="80"/>
      <c r="D1053" s="79"/>
      <c r="E1053" s="80"/>
      <c r="F1053" s="79"/>
      <c r="G1053" s="25" t="str">
        <f t="shared" si="49"/>
        <v/>
      </c>
      <c r="H1053" s="88"/>
      <c r="I1053" s="93"/>
      <c r="J1053" s="97"/>
      <c r="K1053" s="88"/>
      <c r="L1053" s="25" t="str">
        <f>IF($D1053="","",SUMIFS($H$4:$H1053,$D$4:$D1053,$D1053)+SUMIFS($I$4:$I1053,$D$4:$D1053,$D1053)-SUMIFS($J$4:$J1053,$D$4:$D1053,$D1053)-SUMIFS($K$4:$K1053,$D$4:$D1053,$D1053))</f>
        <v/>
      </c>
      <c r="M1053" s="80"/>
      <c r="N1053" s="80"/>
      <c r="O1053" s="94"/>
      <c r="P1053" s="26" t="str">
        <f t="shared" si="50"/>
        <v/>
      </c>
      <c r="Q1053" s="80"/>
      <c r="R1053" s="80"/>
      <c r="S1053" s="80"/>
      <c r="T1053" s="82"/>
      <c r="U1053" s="80"/>
      <c r="V1053" s="80"/>
      <c r="W1053" s="80"/>
    </row>
    <row r="1054" ht="18" customHeight="1" spans="1:23">
      <c r="A1054" s="87" t="str">
        <f t="shared" si="48"/>
        <v/>
      </c>
      <c r="B1054" s="78"/>
      <c r="C1054" s="80"/>
      <c r="D1054" s="79"/>
      <c r="E1054" s="80"/>
      <c r="F1054" s="79"/>
      <c r="G1054" s="25" t="str">
        <f t="shared" si="49"/>
        <v/>
      </c>
      <c r="H1054" s="88"/>
      <c r="I1054" s="93"/>
      <c r="J1054" s="97"/>
      <c r="K1054" s="88"/>
      <c r="L1054" s="25" t="str">
        <f>IF($D1054="","",SUMIFS($H$4:$H1054,$D$4:$D1054,$D1054)+SUMIFS($I$4:$I1054,$D$4:$D1054,$D1054)-SUMIFS($J$4:$J1054,$D$4:$D1054,$D1054)-SUMIFS($K$4:$K1054,$D$4:$D1054,$D1054))</f>
        <v/>
      </c>
      <c r="M1054" s="80"/>
      <c r="N1054" s="80"/>
      <c r="O1054" s="94"/>
      <c r="P1054" s="26" t="str">
        <f t="shared" si="50"/>
        <v/>
      </c>
      <c r="Q1054" s="80"/>
      <c r="R1054" s="80"/>
      <c r="S1054" s="80"/>
      <c r="T1054" s="82"/>
      <c r="U1054" s="80"/>
      <c r="V1054" s="80"/>
      <c r="W1054" s="80"/>
    </row>
    <row r="1055" ht="18" customHeight="1" spans="1:23">
      <c r="A1055" s="87" t="str">
        <f t="shared" si="48"/>
        <v/>
      </c>
      <c r="B1055" s="78"/>
      <c r="C1055" s="80"/>
      <c r="D1055" s="79"/>
      <c r="E1055" s="80"/>
      <c r="F1055" s="79"/>
      <c r="G1055" s="25" t="str">
        <f t="shared" si="49"/>
        <v/>
      </c>
      <c r="H1055" s="88"/>
      <c r="I1055" s="93"/>
      <c r="J1055" s="97"/>
      <c r="K1055" s="88"/>
      <c r="L1055" s="25" t="str">
        <f>IF($D1055="","",SUMIFS($H$4:$H1055,$D$4:$D1055,$D1055)+SUMIFS($I$4:$I1055,$D$4:$D1055,$D1055)-SUMIFS($J$4:$J1055,$D$4:$D1055,$D1055)-SUMIFS($K$4:$K1055,$D$4:$D1055,$D1055))</f>
        <v/>
      </c>
      <c r="M1055" s="80"/>
      <c r="N1055" s="80"/>
      <c r="O1055" s="94"/>
      <c r="P1055" s="26" t="str">
        <f t="shared" si="50"/>
        <v/>
      </c>
      <c r="Q1055" s="80"/>
      <c r="R1055" s="80"/>
      <c r="S1055" s="80"/>
      <c r="T1055" s="82"/>
      <c r="U1055" s="80"/>
      <c r="V1055" s="80"/>
      <c r="W1055" s="80"/>
    </row>
    <row r="1056" ht="18" customHeight="1" spans="1:23">
      <c r="A1056" s="87" t="str">
        <f t="shared" si="48"/>
        <v/>
      </c>
      <c r="B1056" s="78"/>
      <c r="C1056" s="80"/>
      <c r="D1056" s="79"/>
      <c r="E1056" s="80"/>
      <c r="F1056" s="79"/>
      <c r="G1056" s="25" t="str">
        <f t="shared" si="49"/>
        <v/>
      </c>
      <c r="H1056" s="88"/>
      <c r="I1056" s="93"/>
      <c r="J1056" s="97"/>
      <c r="K1056" s="88"/>
      <c r="L1056" s="25" t="str">
        <f>IF($D1056="","",SUMIFS($H$4:$H1056,$D$4:$D1056,$D1056)+SUMIFS($I$4:$I1056,$D$4:$D1056,$D1056)-SUMIFS($J$4:$J1056,$D$4:$D1056,$D1056)-SUMIFS($K$4:$K1056,$D$4:$D1056,$D1056))</f>
        <v/>
      </c>
      <c r="M1056" s="80"/>
      <c r="N1056" s="80"/>
      <c r="O1056" s="94"/>
      <c r="P1056" s="26" t="str">
        <f t="shared" si="50"/>
        <v/>
      </c>
      <c r="Q1056" s="80"/>
      <c r="R1056" s="80"/>
      <c r="S1056" s="80"/>
      <c r="T1056" s="82"/>
      <c r="U1056" s="80"/>
      <c r="V1056" s="80"/>
      <c r="W1056" s="80"/>
    </row>
    <row r="1057" ht="18" customHeight="1" spans="1:23">
      <c r="A1057" s="87" t="str">
        <f t="shared" si="48"/>
        <v/>
      </c>
      <c r="B1057" s="78"/>
      <c r="C1057" s="80"/>
      <c r="D1057" s="79"/>
      <c r="E1057" s="80"/>
      <c r="F1057" s="79"/>
      <c r="G1057" s="25" t="str">
        <f t="shared" si="49"/>
        <v/>
      </c>
      <c r="H1057" s="88"/>
      <c r="I1057" s="93"/>
      <c r="J1057" s="97"/>
      <c r="K1057" s="88"/>
      <c r="L1057" s="25" t="str">
        <f>IF($D1057="","",SUMIFS($H$4:$H1057,$D$4:$D1057,$D1057)+SUMIFS($I$4:$I1057,$D$4:$D1057,$D1057)-SUMIFS($J$4:$J1057,$D$4:$D1057,$D1057)-SUMIFS($K$4:$K1057,$D$4:$D1057,$D1057))</f>
        <v/>
      </c>
      <c r="M1057" s="80"/>
      <c r="N1057" s="80"/>
      <c r="O1057" s="94"/>
      <c r="P1057" s="26" t="str">
        <f t="shared" si="50"/>
        <v/>
      </c>
      <c r="Q1057" s="80"/>
      <c r="R1057" s="80"/>
      <c r="S1057" s="80"/>
      <c r="T1057" s="82"/>
      <c r="U1057" s="80"/>
      <c r="V1057" s="80"/>
      <c r="W1057" s="80"/>
    </row>
    <row r="1058" ht="18" customHeight="1" spans="1:23">
      <c r="A1058" s="87" t="str">
        <f t="shared" si="48"/>
        <v/>
      </c>
      <c r="B1058" s="78"/>
      <c r="C1058" s="80"/>
      <c r="D1058" s="79"/>
      <c r="E1058" s="80"/>
      <c r="F1058" s="79"/>
      <c r="G1058" s="25" t="str">
        <f t="shared" si="49"/>
        <v/>
      </c>
      <c r="H1058" s="88"/>
      <c r="I1058" s="93"/>
      <c r="J1058" s="97"/>
      <c r="K1058" s="88"/>
      <c r="L1058" s="25" t="str">
        <f>IF($D1058="","",SUMIFS($H$4:$H1058,$D$4:$D1058,$D1058)+SUMIFS($I$4:$I1058,$D$4:$D1058,$D1058)-SUMIFS($J$4:$J1058,$D$4:$D1058,$D1058)-SUMIFS($K$4:$K1058,$D$4:$D1058,$D1058))</f>
        <v/>
      </c>
      <c r="M1058" s="80"/>
      <c r="N1058" s="80"/>
      <c r="O1058" s="94"/>
      <c r="P1058" s="26" t="str">
        <f t="shared" si="50"/>
        <v/>
      </c>
      <c r="Q1058" s="80"/>
      <c r="R1058" s="80"/>
      <c r="S1058" s="80"/>
      <c r="T1058" s="82"/>
      <c r="U1058" s="80"/>
      <c r="V1058" s="80"/>
      <c r="W1058" s="80"/>
    </row>
    <row r="1059" ht="18" customHeight="1" spans="1:23">
      <c r="A1059" s="87" t="str">
        <f t="shared" si="48"/>
        <v/>
      </c>
      <c r="B1059" s="78"/>
      <c r="C1059" s="80"/>
      <c r="D1059" s="79"/>
      <c r="E1059" s="80"/>
      <c r="F1059" s="79"/>
      <c r="G1059" s="25" t="str">
        <f t="shared" si="49"/>
        <v/>
      </c>
      <c r="H1059" s="88"/>
      <c r="I1059" s="93"/>
      <c r="J1059" s="97"/>
      <c r="K1059" s="88"/>
      <c r="L1059" s="25" t="str">
        <f>IF($D1059="","",SUMIFS($H$4:$H1059,$D$4:$D1059,$D1059)+SUMIFS($I$4:$I1059,$D$4:$D1059,$D1059)-SUMIFS($J$4:$J1059,$D$4:$D1059,$D1059)-SUMIFS($K$4:$K1059,$D$4:$D1059,$D1059))</f>
        <v/>
      </c>
      <c r="M1059" s="80"/>
      <c r="N1059" s="80"/>
      <c r="O1059" s="94"/>
      <c r="P1059" s="26" t="str">
        <f t="shared" si="50"/>
        <v/>
      </c>
      <c r="Q1059" s="80"/>
      <c r="R1059" s="80"/>
      <c r="S1059" s="80"/>
      <c r="T1059" s="82"/>
      <c r="U1059" s="80"/>
      <c r="V1059" s="80"/>
      <c r="W1059" s="80"/>
    </row>
    <row r="1060" ht="18" customHeight="1" spans="1:23">
      <c r="A1060" s="87" t="str">
        <f t="shared" si="48"/>
        <v/>
      </c>
      <c r="B1060" s="78"/>
      <c r="C1060" s="80"/>
      <c r="D1060" s="79"/>
      <c r="E1060" s="80"/>
      <c r="F1060" s="79"/>
      <c r="G1060" s="25" t="str">
        <f t="shared" si="49"/>
        <v/>
      </c>
      <c r="H1060" s="88"/>
      <c r="I1060" s="93"/>
      <c r="J1060" s="97"/>
      <c r="K1060" s="88"/>
      <c r="L1060" s="25" t="str">
        <f>IF($D1060="","",SUMIFS($H$4:$H1060,$D$4:$D1060,$D1060)+SUMIFS($I$4:$I1060,$D$4:$D1060,$D1060)-SUMIFS($J$4:$J1060,$D$4:$D1060,$D1060)-SUMIFS($K$4:$K1060,$D$4:$D1060,$D1060))</f>
        <v/>
      </c>
      <c r="M1060" s="80"/>
      <c r="N1060" s="80"/>
      <c r="O1060" s="94"/>
      <c r="P1060" s="26" t="str">
        <f t="shared" si="50"/>
        <v/>
      </c>
      <c r="Q1060" s="80"/>
      <c r="R1060" s="80"/>
      <c r="S1060" s="80"/>
      <c r="T1060" s="82"/>
      <c r="U1060" s="80"/>
      <c r="V1060" s="80"/>
      <c r="W1060" s="80"/>
    </row>
    <row r="1061" ht="18" customHeight="1" spans="1:23">
      <c r="A1061" s="87" t="str">
        <f t="shared" si="48"/>
        <v/>
      </c>
      <c r="B1061" s="78"/>
      <c r="C1061" s="80"/>
      <c r="D1061" s="79"/>
      <c r="E1061" s="80"/>
      <c r="F1061" s="79"/>
      <c r="G1061" s="25" t="str">
        <f t="shared" si="49"/>
        <v/>
      </c>
      <c r="H1061" s="88"/>
      <c r="I1061" s="93"/>
      <c r="J1061" s="97"/>
      <c r="K1061" s="88"/>
      <c r="L1061" s="25" t="str">
        <f>IF($D1061="","",SUMIFS($H$4:$H1061,$D$4:$D1061,$D1061)+SUMIFS($I$4:$I1061,$D$4:$D1061,$D1061)-SUMIFS($J$4:$J1061,$D$4:$D1061,$D1061)-SUMIFS($K$4:$K1061,$D$4:$D1061,$D1061))</f>
        <v/>
      </c>
      <c r="M1061" s="80"/>
      <c r="N1061" s="80"/>
      <c r="O1061" s="94"/>
      <c r="P1061" s="26" t="str">
        <f t="shared" si="50"/>
        <v/>
      </c>
      <c r="Q1061" s="80"/>
      <c r="R1061" s="80"/>
      <c r="S1061" s="80"/>
      <c r="T1061" s="82"/>
      <c r="U1061" s="80"/>
      <c r="V1061" s="80"/>
      <c r="W1061" s="80"/>
    </row>
    <row r="1062" ht="18" customHeight="1" spans="1:23">
      <c r="A1062" s="87" t="str">
        <f t="shared" si="48"/>
        <v/>
      </c>
      <c r="B1062" s="78"/>
      <c r="C1062" s="80"/>
      <c r="D1062" s="79"/>
      <c r="E1062" s="80"/>
      <c r="F1062" s="79"/>
      <c r="G1062" s="25" t="str">
        <f t="shared" si="49"/>
        <v/>
      </c>
      <c r="H1062" s="88"/>
      <c r="I1062" s="93"/>
      <c r="J1062" s="97"/>
      <c r="K1062" s="88"/>
      <c r="L1062" s="25" t="str">
        <f>IF($D1062="","",SUMIFS($H$4:$H1062,$D$4:$D1062,$D1062)+SUMIFS($I$4:$I1062,$D$4:$D1062,$D1062)-SUMIFS($J$4:$J1062,$D$4:$D1062,$D1062)-SUMIFS($K$4:$K1062,$D$4:$D1062,$D1062))</f>
        <v/>
      </c>
      <c r="M1062" s="80"/>
      <c r="N1062" s="80"/>
      <c r="O1062" s="94"/>
      <c r="P1062" s="26" t="str">
        <f t="shared" si="50"/>
        <v/>
      </c>
      <c r="Q1062" s="80"/>
      <c r="R1062" s="80"/>
      <c r="S1062" s="80"/>
      <c r="T1062" s="82"/>
      <c r="U1062" s="80"/>
      <c r="V1062" s="80"/>
      <c r="W1062" s="80"/>
    </row>
    <row r="1063" ht="18" customHeight="1" spans="1:23">
      <c r="A1063" s="87" t="str">
        <f t="shared" si="48"/>
        <v/>
      </c>
      <c r="B1063" s="78"/>
      <c r="C1063" s="80"/>
      <c r="D1063" s="79"/>
      <c r="E1063" s="80"/>
      <c r="F1063" s="79"/>
      <c r="G1063" s="25" t="str">
        <f t="shared" si="49"/>
        <v/>
      </c>
      <c r="H1063" s="88"/>
      <c r="I1063" s="93"/>
      <c r="J1063" s="97"/>
      <c r="K1063" s="88"/>
      <c r="L1063" s="25" t="str">
        <f>IF($D1063="","",SUMIFS($H$4:$H1063,$D$4:$D1063,$D1063)+SUMIFS($I$4:$I1063,$D$4:$D1063,$D1063)-SUMIFS($J$4:$J1063,$D$4:$D1063,$D1063)-SUMIFS($K$4:$K1063,$D$4:$D1063,$D1063))</f>
        <v/>
      </c>
      <c r="M1063" s="80"/>
      <c r="N1063" s="80"/>
      <c r="O1063" s="94"/>
      <c r="P1063" s="26" t="str">
        <f t="shared" si="50"/>
        <v/>
      </c>
      <c r="Q1063" s="80"/>
      <c r="R1063" s="80"/>
      <c r="S1063" s="80"/>
      <c r="T1063" s="82"/>
      <c r="U1063" s="80"/>
      <c r="V1063" s="80"/>
      <c r="W1063" s="80"/>
    </row>
    <row r="1064" ht="18" customHeight="1" spans="1:23">
      <c r="A1064" s="87" t="str">
        <f t="shared" si="48"/>
        <v/>
      </c>
      <c r="B1064" s="78"/>
      <c r="C1064" s="80"/>
      <c r="D1064" s="79"/>
      <c r="E1064" s="80"/>
      <c r="F1064" s="79"/>
      <c r="G1064" s="25" t="str">
        <f t="shared" si="49"/>
        <v/>
      </c>
      <c r="H1064" s="88"/>
      <c r="I1064" s="93"/>
      <c r="J1064" s="97"/>
      <c r="K1064" s="88"/>
      <c r="L1064" s="25" t="str">
        <f>IF($D1064="","",SUMIFS($H$4:$H1064,$D$4:$D1064,$D1064)+SUMIFS($I$4:$I1064,$D$4:$D1064,$D1064)-SUMIFS($J$4:$J1064,$D$4:$D1064,$D1064)-SUMIFS($K$4:$K1064,$D$4:$D1064,$D1064))</f>
        <v/>
      </c>
      <c r="M1064" s="80"/>
      <c r="N1064" s="80"/>
      <c r="O1064" s="94"/>
      <c r="P1064" s="26" t="str">
        <f t="shared" si="50"/>
        <v/>
      </c>
      <c r="Q1064" s="80"/>
      <c r="R1064" s="80"/>
      <c r="S1064" s="80"/>
      <c r="T1064" s="82"/>
      <c r="U1064" s="80"/>
      <c r="V1064" s="80"/>
      <c r="W1064" s="80"/>
    </row>
    <row r="1065" ht="18" customHeight="1" spans="1:23">
      <c r="A1065" s="87" t="str">
        <f t="shared" si="48"/>
        <v/>
      </c>
      <c r="B1065" s="78"/>
      <c r="C1065" s="80"/>
      <c r="D1065" s="79"/>
      <c r="E1065" s="80"/>
      <c r="F1065" s="79"/>
      <c r="G1065" s="25" t="str">
        <f t="shared" si="49"/>
        <v/>
      </c>
      <c r="H1065" s="88"/>
      <c r="I1065" s="93"/>
      <c r="J1065" s="97"/>
      <c r="K1065" s="88"/>
      <c r="L1065" s="25" t="str">
        <f>IF($D1065="","",SUMIFS($H$4:$H1065,$D$4:$D1065,$D1065)+SUMIFS($I$4:$I1065,$D$4:$D1065,$D1065)-SUMIFS($J$4:$J1065,$D$4:$D1065,$D1065)-SUMIFS($K$4:$K1065,$D$4:$D1065,$D1065))</f>
        <v/>
      </c>
      <c r="M1065" s="80"/>
      <c r="N1065" s="80"/>
      <c r="O1065" s="94"/>
      <c r="P1065" s="26" t="str">
        <f t="shared" si="50"/>
        <v/>
      </c>
      <c r="Q1065" s="80"/>
      <c r="R1065" s="80"/>
      <c r="S1065" s="80"/>
      <c r="T1065" s="82"/>
      <c r="U1065" s="80"/>
      <c r="V1065" s="80"/>
      <c r="W1065" s="80"/>
    </row>
    <row r="1066" ht="18" customHeight="1" spans="1:23">
      <c r="A1066" s="87" t="str">
        <f t="shared" si="48"/>
        <v/>
      </c>
      <c r="B1066" s="78"/>
      <c r="C1066" s="80"/>
      <c r="D1066" s="79"/>
      <c r="E1066" s="80"/>
      <c r="F1066" s="79"/>
      <c r="G1066" s="25" t="str">
        <f t="shared" si="49"/>
        <v/>
      </c>
      <c r="H1066" s="88"/>
      <c r="I1066" s="93"/>
      <c r="J1066" s="97"/>
      <c r="K1066" s="88"/>
      <c r="L1066" s="25" t="str">
        <f>IF($D1066="","",SUMIFS($H$4:$H1066,$D$4:$D1066,$D1066)+SUMIFS($I$4:$I1066,$D$4:$D1066,$D1066)-SUMIFS($J$4:$J1066,$D$4:$D1066,$D1066)-SUMIFS($K$4:$K1066,$D$4:$D1066,$D1066))</f>
        <v/>
      </c>
      <c r="M1066" s="80"/>
      <c r="N1066" s="80"/>
      <c r="O1066" s="94"/>
      <c r="P1066" s="26" t="str">
        <f t="shared" si="50"/>
        <v/>
      </c>
      <c r="Q1066" s="80"/>
      <c r="R1066" s="80"/>
      <c r="S1066" s="80"/>
      <c r="T1066" s="82"/>
      <c r="U1066" s="80"/>
      <c r="V1066" s="80"/>
      <c r="W1066" s="80"/>
    </row>
    <row r="1067" ht="18" customHeight="1" spans="1:23">
      <c r="A1067" s="87" t="str">
        <f t="shared" si="48"/>
        <v/>
      </c>
      <c r="B1067" s="78"/>
      <c r="C1067" s="80"/>
      <c r="D1067" s="79"/>
      <c r="E1067" s="80"/>
      <c r="F1067" s="79"/>
      <c r="G1067" s="25" t="str">
        <f t="shared" si="49"/>
        <v/>
      </c>
      <c r="H1067" s="88"/>
      <c r="I1067" s="93"/>
      <c r="J1067" s="97"/>
      <c r="K1067" s="88"/>
      <c r="L1067" s="25" t="str">
        <f>IF($D1067="","",SUMIFS($H$4:$H1067,$D$4:$D1067,$D1067)+SUMIFS($I$4:$I1067,$D$4:$D1067,$D1067)-SUMIFS($J$4:$J1067,$D$4:$D1067,$D1067)-SUMIFS($K$4:$K1067,$D$4:$D1067,$D1067))</f>
        <v/>
      </c>
      <c r="M1067" s="80"/>
      <c r="N1067" s="80"/>
      <c r="O1067" s="94"/>
      <c r="P1067" s="26" t="str">
        <f t="shared" si="50"/>
        <v/>
      </c>
      <c r="Q1067" s="80"/>
      <c r="R1067" s="80"/>
      <c r="S1067" s="80"/>
      <c r="T1067" s="82"/>
      <c r="U1067" s="80"/>
      <c r="V1067" s="80"/>
      <c r="W1067" s="80"/>
    </row>
    <row r="1068" ht="18" customHeight="1" spans="1:23">
      <c r="A1068" s="87" t="str">
        <f t="shared" si="48"/>
        <v/>
      </c>
      <c r="B1068" s="78"/>
      <c r="C1068" s="80"/>
      <c r="D1068" s="79"/>
      <c r="E1068" s="80"/>
      <c r="F1068" s="79"/>
      <c r="G1068" s="25" t="str">
        <f t="shared" si="49"/>
        <v/>
      </c>
      <c r="H1068" s="88"/>
      <c r="I1068" s="93"/>
      <c r="J1068" s="97"/>
      <c r="K1068" s="88"/>
      <c r="L1068" s="25" t="str">
        <f>IF($D1068="","",SUMIFS($H$4:$H1068,$D$4:$D1068,$D1068)+SUMIFS($I$4:$I1068,$D$4:$D1068,$D1068)-SUMIFS($J$4:$J1068,$D$4:$D1068,$D1068)-SUMIFS($K$4:$K1068,$D$4:$D1068,$D1068))</f>
        <v/>
      </c>
      <c r="M1068" s="80"/>
      <c r="N1068" s="80"/>
      <c r="O1068" s="94"/>
      <c r="P1068" s="26" t="str">
        <f t="shared" si="50"/>
        <v/>
      </c>
      <c r="Q1068" s="80"/>
      <c r="R1068" s="80"/>
      <c r="S1068" s="80"/>
      <c r="T1068" s="82"/>
      <c r="U1068" s="80"/>
      <c r="V1068" s="80"/>
      <c r="W1068" s="80"/>
    </row>
    <row r="1069" ht="18" customHeight="1" spans="1:23">
      <c r="A1069" s="87" t="str">
        <f t="shared" si="48"/>
        <v/>
      </c>
      <c r="B1069" s="78"/>
      <c r="C1069" s="80"/>
      <c r="D1069" s="79"/>
      <c r="E1069" s="80"/>
      <c r="F1069" s="79"/>
      <c r="G1069" s="25" t="str">
        <f t="shared" si="49"/>
        <v/>
      </c>
      <c r="H1069" s="88"/>
      <c r="I1069" s="93"/>
      <c r="J1069" s="97"/>
      <c r="K1069" s="88"/>
      <c r="L1069" s="25" t="str">
        <f>IF($D1069="","",SUMIFS($H$4:$H1069,$D$4:$D1069,$D1069)+SUMIFS($I$4:$I1069,$D$4:$D1069,$D1069)-SUMIFS($J$4:$J1069,$D$4:$D1069,$D1069)-SUMIFS($K$4:$K1069,$D$4:$D1069,$D1069))</f>
        <v/>
      </c>
      <c r="M1069" s="80"/>
      <c r="N1069" s="80"/>
      <c r="O1069" s="94"/>
      <c r="P1069" s="26" t="str">
        <f t="shared" si="50"/>
        <v/>
      </c>
      <c r="Q1069" s="80"/>
      <c r="R1069" s="80"/>
      <c r="S1069" s="80"/>
      <c r="T1069" s="82"/>
      <c r="U1069" s="80"/>
      <c r="V1069" s="80"/>
      <c r="W1069" s="80"/>
    </row>
    <row r="1070" ht="18" customHeight="1" spans="1:23">
      <c r="A1070" s="87" t="str">
        <f t="shared" si="48"/>
        <v/>
      </c>
      <c r="B1070" s="78"/>
      <c r="C1070" s="80"/>
      <c r="D1070" s="79"/>
      <c r="E1070" s="80"/>
      <c r="F1070" s="79"/>
      <c r="G1070" s="25" t="str">
        <f t="shared" si="49"/>
        <v/>
      </c>
      <c r="H1070" s="88"/>
      <c r="I1070" s="93"/>
      <c r="J1070" s="97"/>
      <c r="K1070" s="88"/>
      <c r="L1070" s="25" t="str">
        <f>IF($D1070="","",SUMIFS($H$4:$H1070,$D$4:$D1070,$D1070)+SUMIFS($I$4:$I1070,$D$4:$D1070,$D1070)-SUMIFS($J$4:$J1070,$D$4:$D1070,$D1070)-SUMIFS($K$4:$K1070,$D$4:$D1070,$D1070))</f>
        <v/>
      </c>
      <c r="M1070" s="80"/>
      <c r="N1070" s="80"/>
      <c r="O1070" s="94"/>
      <c r="P1070" s="26" t="str">
        <f t="shared" si="50"/>
        <v/>
      </c>
      <c r="Q1070" s="80"/>
      <c r="R1070" s="80"/>
      <c r="S1070" s="80"/>
      <c r="T1070" s="82"/>
      <c r="U1070" s="80"/>
      <c r="V1070" s="80"/>
      <c r="W1070" s="80"/>
    </row>
    <row r="1071" ht="18" customHeight="1" spans="1:23">
      <c r="A1071" s="87" t="str">
        <f t="shared" si="48"/>
        <v/>
      </c>
      <c r="B1071" s="78"/>
      <c r="C1071" s="80"/>
      <c r="D1071" s="79"/>
      <c r="E1071" s="80"/>
      <c r="F1071" s="79"/>
      <c r="G1071" s="25" t="str">
        <f t="shared" si="49"/>
        <v/>
      </c>
      <c r="H1071" s="88"/>
      <c r="I1071" s="93"/>
      <c r="J1071" s="97"/>
      <c r="K1071" s="88"/>
      <c r="L1071" s="25" t="str">
        <f>IF($D1071="","",SUMIFS($H$4:$H1071,$D$4:$D1071,$D1071)+SUMIFS($I$4:$I1071,$D$4:$D1071,$D1071)-SUMIFS($J$4:$J1071,$D$4:$D1071,$D1071)-SUMIFS($K$4:$K1071,$D$4:$D1071,$D1071))</f>
        <v/>
      </c>
      <c r="M1071" s="80"/>
      <c r="N1071" s="80"/>
      <c r="O1071" s="94"/>
      <c r="P1071" s="26" t="str">
        <f t="shared" si="50"/>
        <v/>
      </c>
      <c r="Q1071" s="80"/>
      <c r="R1071" s="80"/>
      <c r="S1071" s="80"/>
      <c r="T1071" s="82"/>
      <c r="U1071" s="80"/>
      <c r="V1071" s="80"/>
      <c r="W1071" s="80"/>
    </row>
    <row r="1072" ht="18" customHeight="1" spans="1:23">
      <c r="A1072" s="87" t="str">
        <f t="shared" si="48"/>
        <v/>
      </c>
      <c r="B1072" s="78"/>
      <c r="C1072" s="80"/>
      <c r="D1072" s="79"/>
      <c r="E1072" s="80"/>
      <c r="F1072" s="79"/>
      <c r="G1072" s="25" t="str">
        <f t="shared" si="49"/>
        <v/>
      </c>
      <c r="H1072" s="88"/>
      <c r="I1072" s="93"/>
      <c r="J1072" s="97"/>
      <c r="K1072" s="88"/>
      <c r="L1072" s="25" t="str">
        <f>IF($D1072="","",SUMIFS($H$4:$H1072,$D$4:$D1072,$D1072)+SUMIFS($I$4:$I1072,$D$4:$D1072,$D1072)-SUMIFS($J$4:$J1072,$D$4:$D1072,$D1072)-SUMIFS($K$4:$K1072,$D$4:$D1072,$D1072))</f>
        <v/>
      </c>
      <c r="M1072" s="80"/>
      <c r="N1072" s="80"/>
      <c r="O1072" s="94"/>
      <c r="P1072" s="26" t="str">
        <f t="shared" si="50"/>
        <v/>
      </c>
      <c r="Q1072" s="80"/>
      <c r="R1072" s="80"/>
      <c r="S1072" s="80"/>
      <c r="T1072" s="82"/>
      <c r="U1072" s="80"/>
      <c r="V1072" s="80"/>
      <c r="W1072" s="80"/>
    </row>
    <row r="1073" ht="18" customHeight="1" spans="1:23">
      <c r="A1073" s="87" t="str">
        <f t="shared" si="48"/>
        <v/>
      </c>
      <c r="B1073" s="78"/>
      <c r="C1073" s="80"/>
      <c r="D1073" s="79"/>
      <c r="E1073" s="80"/>
      <c r="F1073" s="79"/>
      <c r="G1073" s="25" t="str">
        <f t="shared" si="49"/>
        <v/>
      </c>
      <c r="H1073" s="88"/>
      <c r="I1073" s="93"/>
      <c r="J1073" s="97"/>
      <c r="K1073" s="88"/>
      <c r="L1073" s="25" t="str">
        <f>IF($D1073="","",SUMIFS($H$4:$H1073,$D$4:$D1073,$D1073)+SUMIFS($I$4:$I1073,$D$4:$D1073,$D1073)-SUMIFS($J$4:$J1073,$D$4:$D1073,$D1073)-SUMIFS($K$4:$K1073,$D$4:$D1073,$D1073))</f>
        <v/>
      </c>
      <c r="M1073" s="80"/>
      <c r="N1073" s="80"/>
      <c r="O1073" s="94"/>
      <c r="P1073" s="26" t="str">
        <f t="shared" si="50"/>
        <v/>
      </c>
      <c r="Q1073" s="80"/>
      <c r="R1073" s="80"/>
      <c r="S1073" s="80"/>
      <c r="T1073" s="82"/>
      <c r="U1073" s="80"/>
      <c r="V1073" s="80"/>
      <c r="W1073" s="80"/>
    </row>
    <row r="1074" ht="18" customHeight="1" spans="1:23">
      <c r="A1074" s="87" t="str">
        <f t="shared" si="48"/>
        <v/>
      </c>
      <c r="B1074" s="78"/>
      <c r="C1074" s="80"/>
      <c r="D1074" s="79"/>
      <c r="E1074" s="80"/>
      <c r="F1074" s="79"/>
      <c r="G1074" s="25" t="str">
        <f t="shared" si="49"/>
        <v/>
      </c>
      <c r="H1074" s="88"/>
      <c r="I1074" s="93"/>
      <c r="J1074" s="97"/>
      <c r="K1074" s="88"/>
      <c r="L1074" s="25" t="str">
        <f>IF($D1074="","",SUMIFS($H$4:$H1074,$D$4:$D1074,$D1074)+SUMIFS($I$4:$I1074,$D$4:$D1074,$D1074)-SUMIFS($J$4:$J1074,$D$4:$D1074,$D1074)-SUMIFS($K$4:$K1074,$D$4:$D1074,$D1074))</f>
        <v/>
      </c>
      <c r="M1074" s="80"/>
      <c r="N1074" s="80"/>
      <c r="O1074" s="94"/>
      <c r="P1074" s="26" t="str">
        <f t="shared" si="50"/>
        <v/>
      </c>
      <c r="Q1074" s="80"/>
      <c r="R1074" s="80"/>
      <c r="S1074" s="80"/>
      <c r="T1074" s="82"/>
      <c r="U1074" s="80"/>
      <c r="V1074" s="80"/>
      <c r="W1074" s="80"/>
    </row>
    <row r="1075" ht="18" customHeight="1" spans="1:23">
      <c r="A1075" s="87" t="str">
        <f t="shared" si="48"/>
        <v/>
      </c>
      <c r="B1075" s="78"/>
      <c r="C1075" s="80"/>
      <c r="D1075" s="79"/>
      <c r="E1075" s="80"/>
      <c r="F1075" s="79"/>
      <c r="G1075" s="25" t="str">
        <f t="shared" si="49"/>
        <v/>
      </c>
      <c r="H1075" s="88"/>
      <c r="I1075" s="93"/>
      <c r="J1075" s="97"/>
      <c r="K1075" s="88"/>
      <c r="L1075" s="25" t="str">
        <f>IF($D1075="","",SUMIFS($H$4:$H1075,$D$4:$D1075,$D1075)+SUMIFS($I$4:$I1075,$D$4:$D1075,$D1075)-SUMIFS($J$4:$J1075,$D$4:$D1075,$D1075)-SUMIFS($K$4:$K1075,$D$4:$D1075,$D1075))</f>
        <v/>
      </c>
      <c r="M1075" s="80"/>
      <c r="N1075" s="80"/>
      <c r="O1075" s="94"/>
      <c r="P1075" s="26" t="str">
        <f t="shared" si="50"/>
        <v/>
      </c>
      <c r="Q1075" s="80"/>
      <c r="R1075" s="80"/>
      <c r="S1075" s="80"/>
      <c r="T1075" s="82"/>
      <c r="U1075" s="80"/>
      <c r="V1075" s="80"/>
      <c r="W1075" s="80"/>
    </row>
    <row r="1076" ht="18" customHeight="1" spans="1:23">
      <c r="A1076" s="87" t="str">
        <f t="shared" si="48"/>
        <v/>
      </c>
      <c r="B1076" s="78"/>
      <c r="C1076" s="80"/>
      <c r="D1076" s="79"/>
      <c r="E1076" s="80"/>
      <c r="F1076" s="79"/>
      <c r="G1076" s="25" t="str">
        <f t="shared" si="49"/>
        <v/>
      </c>
      <c r="H1076" s="88"/>
      <c r="I1076" s="93"/>
      <c r="J1076" s="97"/>
      <c r="K1076" s="88"/>
      <c r="L1076" s="25" t="str">
        <f>IF($D1076="","",SUMIFS($H$4:$H1076,$D$4:$D1076,$D1076)+SUMIFS($I$4:$I1076,$D$4:$D1076,$D1076)-SUMIFS($J$4:$J1076,$D$4:$D1076,$D1076)-SUMIFS($K$4:$K1076,$D$4:$D1076,$D1076))</f>
        <v/>
      </c>
      <c r="M1076" s="80"/>
      <c r="N1076" s="80"/>
      <c r="O1076" s="94"/>
      <c r="P1076" s="26" t="str">
        <f t="shared" si="50"/>
        <v/>
      </c>
      <c r="Q1076" s="80"/>
      <c r="R1076" s="80"/>
      <c r="S1076" s="80"/>
      <c r="T1076" s="82"/>
      <c r="U1076" s="80"/>
      <c r="V1076" s="80"/>
      <c r="W1076" s="80"/>
    </row>
    <row r="1077" ht="18" customHeight="1" spans="1:23">
      <c r="A1077" s="87" t="str">
        <f t="shared" si="48"/>
        <v/>
      </c>
      <c r="B1077" s="78"/>
      <c r="C1077" s="80"/>
      <c r="D1077" s="79"/>
      <c r="E1077" s="80"/>
      <c r="F1077" s="79"/>
      <c r="G1077" s="25" t="str">
        <f t="shared" si="49"/>
        <v/>
      </c>
      <c r="H1077" s="88"/>
      <c r="I1077" s="93"/>
      <c r="J1077" s="97"/>
      <c r="K1077" s="88"/>
      <c r="L1077" s="25" t="str">
        <f>IF($D1077="","",SUMIFS($H$4:$H1077,$D$4:$D1077,$D1077)+SUMIFS($I$4:$I1077,$D$4:$D1077,$D1077)-SUMIFS($J$4:$J1077,$D$4:$D1077,$D1077)-SUMIFS($K$4:$K1077,$D$4:$D1077,$D1077))</f>
        <v/>
      </c>
      <c r="M1077" s="80"/>
      <c r="N1077" s="80"/>
      <c r="O1077" s="94"/>
      <c r="P1077" s="26" t="str">
        <f t="shared" si="50"/>
        <v/>
      </c>
      <c r="Q1077" s="80"/>
      <c r="R1077" s="80"/>
      <c r="S1077" s="80"/>
      <c r="T1077" s="82"/>
      <c r="U1077" s="80"/>
      <c r="V1077" s="80"/>
      <c r="W1077" s="80"/>
    </row>
    <row r="1078" ht="18" customHeight="1" spans="1:23">
      <c r="A1078" s="87" t="str">
        <f t="shared" si="48"/>
        <v/>
      </c>
      <c r="B1078" s="78"/>
      <c r="C1078" s="80"/>
      <c r="D1078" s="79"/>
      <c r="E1078" s="80"/>
      <c r="F1078" s="79"/>
      <c r="G1078" s="25" t="str">
        <f t="shared" si="49"/>
        <v/>
      </c>
      <c r="H1078" s="88"/>
      <c r="I1078" s="93"/>
      <c r="J1078" s="97"/>
      <c r="K1078" s="88"/>
      <c r="L1078" s="25" t="str">
        <f>IF($D1078="","",SUMIFS($H$4:$H1078,$D$4:$D1078,$D1078)+SUMIFS($I$4:$I1078,$D$4:$D1078,$D1078)-SUMIFS($J$4:$J1078,$D$4:$D1078,$D1078)-SUMIFS($K$4:$K1078,$D$4:$D1078,$D1078))</f>
        <v/>
      </c>
      <c r="M1078" s="80"/>
      <c r="N1078" s="80"/>
      <c r="O1078" s="94"/>
      <c r="P1078" s="26" t="str">
        <f t="shared" si="50"/>
        <v/>
      </c>
      <c r="Q1078" s="80"/>
      <c r="R1078" s="80"/>
      <c r="S1078" s="80"/>
      <c r="T1078" s="82"/>
      <c r="U1078" s="80"/>
      <c r="V1078" s="80"/>
      <c r="W1078" s="80"/>
    </row>
    <row r="1079" ht="18" customHeight="1" spans="1:23">
      <c r="A1079" s="87" t="str">
        <f t="shared" si="48"/>
        <v/>
      </c>
      <c r="B1079" s="78"/>
      <c r="C1079" s="80"/>
      <c r="D1079" s="79"/>
      <c r="E1079" s="80"/>
      <c r="F1079" s="79"/>
      <c r="G1079" s="25" t="str">
        <f t="shared" si="49"/>
        <v/>
      </c>
      <c r="H1079" s="88"/>
      <c r="I1079" s="93"/>
      <c r="J1079" s="97"/>
      <c r="K1079" s="88"/>
      <c r="L1079" s="25" t="str">
        <f>IF($D1079="","",SUMIFS($H$4:$H1079,$D$4:$D1079,$D1079)+SUMIFS($I$4:$I1079,$D$4:$D1079,$D1079)-SUMIFS($J$4:$J1079,$D$4:$D1079,$D1079)-SUMIFS($K$4:$K1079,$D$4:$D1079,$D1079))</f>
        <v/>
      </c>
      <c r="M1079" s="80"/>
      <c r="N1079" s="80"/>
      <c r="O1079" s="94"/>
      <c r="P1079" s="26" t="str">
        <f t="shared" si="50"/>
        <v/>
      </c>
      <c r="Q1079" s="80"/>
      <c r="R1079" s="80"/>
      <c r="S1079" s="80"/>
      <c r="T1079" s="82"/>
      <c r="U1079" s="80"/>
      <c r="V1079" s="80"/>
      <c r="W1079" s="80"/>
    </row>
    <row r="1080" ht="18" customHeight="1" spans="1:23">
      <c r="A1080" s="87" t="str">
        <f t="shared" si="48"/>
        <v/>
      </c>
      <c r="B1080" s="78"/>
      <c r="C1080" s="80"/>
      <c r="D1080" s="79"/>
      <c r="E1080" s="80"/>
      <c r="F1080" s="79"/>
      <c r="G1080" s="25" t="str">
        <f t="shared" si="49"/>
        <v/>
      </c>
      <c r="H1080" s="88"/>
      <c r="I1080" s="93"/>
      <c r="J1080" s="97"/>
      <c r="K1080" s="88"/>
      <c r="L1080" s="25" t="str">
        <f>IF($D1080="","",SUMIFS($H$4:$H1080,$D$4:$D1080,$D1080)+SUMIFS($I$4:$I1080,$D$4:$D1080,$D1080)-SUMIFS($J$4:$J1080,$D$4:$D1080,$D1080)-SUMIFS($K$4:$K1080,$D$4:$D1080,$D1080))</f>
        <v/>
      </c>
      <c r="M1080" s="80"/>
      <c r="N1080" s="80"/>
      <c r="O1080" s="94"/>
      <c r="P1080" s="26" t="str">
        <f t="shared" si="50"/>
        <v/>
      </c>
      <c r="Q1080" s="80"/>
      <c r="R1080" s="80"/>
      <c r="S1080" s="80"/>
      <c r="T1080" s="82"/>
      <c r="U1080" s="80"/>
      <c r="V1080" s="80"/>
      <c r="W1080" s="80"/>
    </row>
    <row r="1081" ht="18" customHeight="1" spans="1:23">
      <c r="A1081" s="87" t="str">
        <f t="shared" si="48"/>
        <v/>
      </c>
      <c r="B1081" s="78"/>
      <c r="C1081" s="80"/>
      <c r="D1081" s="79"/>
      <c r="E1081" s="80"/>
      <c r="F1081" s="79"/>
      <c r="G1081" s="25" t="str">
        <f t="shared" si="49"/>
        <v/>
      </c>
      <c r="H1081" s="88"/>
      <c r="I1081" s="93"/>
      <c r="J1081" s="97"/>
      <c r="K1081" s="88"/>
      <c r="L1081" s="25" t="str">
        <f>IF($D1081="","",SUMIFS($H$4:$H1081,$D$4:$D1081,$D1081)+SUMIFS($I$4:$I1081,$D$4:$D1081,$D1081)-SUMIFS($J$4:$J1081,$D$4:$D1081,$D1081)-SUMIFS($K$4:$K1081,$D$4:$D1081,$D1081))</f>
        <v/>
      </c>
      <c r="M1081" s="80"/>
      <c r="N1081" s="80"/>
      <c r="O1081" s="94"/>
      <c r="P1081" s="26" t="str">
        <f t="shared" si="50"/>
        <v/>
      </c>
      <c r="Q1081" s="80"/>
      <c r="R1081" s="80"/>
      <c r="S1081" s="80"/>
      <c r="T1081" s="82"/>
      <c r="U1081" s="80"/>
      <c r="V1081" s="80"/>
      <c r="W1081" s="80"/>
    </row>
    <row r="1082" ht="18" customHeight="1" spans="1:23">
      <c r="A1082" s="87" t="str">
        <f t="shared" si="48"/>
        <v/>
      </c>
      <c r="B1082" s="78"/>
      <c r="C1082" s="80"/>
      <c r="D1082" s="79"/>
      <c r="E1082" s="80"/>
      <c r="F1082" s="79"/>
      <c r="G1082" s="25" t="str">
        <f t="shared" si="49"/>
        <v/>
      </c>
      <c r="H1082" s="88"/>
      <c r="I1082" s="93"/>
      <c r="J1082" s="97"/>
      <c r="K1082" s="88"/>
      <c r="L1082" s="25" t="str">
        <f>IF($D1082="","",SUMIFS($H$4:$H1082,$D$4:$D1082,$D1082)+SUMIFS($I$4:$I1082,$D$4:$D1082,$D1082)-SUMIFS($J$4:$J1082,$D$4:$D1082,$D1082)-SUMIFS($K$4:$K1082,$D$4:$D1082,$D1082))</f>
        <v/>
      </c>
      <c r="M1082" s="80"/>
      <c r="N1082" s="80"/>
      <c r="O1082" s="94"/>
      <c r="P1082" s="26" t="str">
        <f t="shared" si="50"/>
        <v/>
      </c>
      <c r="Q1082" s="80"/>
      <c r="R1082" s="80"/>
      <c r="S1082" s="80"/>
      <c r="T1082" s="82"/>
      <c r="U1082" s="80"/>
      <c r="V1082" s="80"/>
      <c r="W1082" s="80"/>
    </row>
    <row r="1083" ht="18" customHeight="1" spans="1:23">
      <c r="A1083" s="87" t="str">
        <f t="shared" si="48"/>
        <v/>
      </c>
      <c r="B1083" s="78"/>
      <c r="C1083" s="80"/>
      <c r="D1083" s="79"/>
      <c r="E1083" s="80"/>
      <c r="F1083" s="79"/>
      <c r="G1083" s="25" t="str">
        <f t="shared" si="49"/>
        <v/>
      </c>
      <c r="H1083" s="88"/>
      <c r="I1083" s="93"/>
      <c r="J1083" s="97"/>
      <c r="K1083" s="88"/>
      <c r="L1083" s="25" t="str">
        <f>IF($D1083="","",SUMIFS($H$4:$H1083,$D$4:$D1083,$D1083)+SUMIFS($I$4:$I1083,$D$4:$D1083,$D1083)-SUMIFS($J$4:$J1083,$D$4:$D1083,$D1083)-SUMIFS($K$4:$K1083,$D$4:$D1083,$D1083))</f>
        <v/>
      </c>
      <c r="M1083" s="80"/>
      <c r="N1083" s="80"/>
      <c r="O1083" s="94"/>
      <c r="P1083" s="26" t="str">
        <f t="shared" si="50"/>
        <v/>
      </c>
      <c r="Q1083" s="80"/>
      <c r="R1083" s="80"/>
      <c r="S1083" s="80"/>
      <c r="T1083" s="82"/>
      <c r="U1083" s="80"/>
      <c r="V1083" s="80"/>
      <c r="W1083" s="80"/>
    </row>
    <row r="1084" ht="18" customHeight="1" spans="1:23">
      <c r="A1084" s="87" t="str">
        <f t="shared" si="48"/>
        <v/>
      </c>
      <c r="B1084" s="78"/>
      <c r="C1084" s="80"/>
      <c r="D1084" s="79"/>
      <c r="E1084" s="80"/>
      <c r="F1084" s="79"/>
      <c r="G1084" s="25" t="str">
        <f t="shared" si="49"/>
        <v/>
      </c>
      <c r="H1084" s="88"/>
      <c r="I1084" s="93"/>
      <c r="J1084" s="97"/>
      <c r="K1084" s="88"/>
      <c r="L1084" s="25" t="str">
        <f>IF($D1084="","",SUMIFS($H$4:$H1084,$D$4:$D1084,$D1084)+SUMIFS($I$4:$I1084,$D$4:$D1084,$D1084)-SUMIFS($J$4:$J1084,$D$4:$D1084,$D1084)-SUMIFS($K$4:$K1084,$D$4:$D1084,$D1084))</f>
        <v/>
      </c>
      <c r="M1084" s="80"/>
      <c r="N1084" s="80"/>
      <c r="O1084" s="94"/>
      <c r="P1084" s="26" t="str">
        <f t="shared" si="50"/>
        <v/>
      </c>
      <c r="Q1084" s="80"/>
      <c r="R1084" s="80"/>
      <c r="S1084" s="80"/>
      <c r="T1084" s="82"/>
      <c r="U1084" s="80"/>
      <c r="V1084" s="80"/>
      <c r="W1084" s="80"/>
    </row>
    <row r="1085" ht="18" customHeight="1" spans="1:23">
      <c r="A1085" s="87" t="str">
        <f t="shared" si="48"/>
        <v/>
      </c>
      <c r="B1085" s="78"/>
      <c r="C1085" s="80"/>
      <c r="D1085" s="79"/>
      <c r="E1085" s="80"/>
      <c r="F1085" s="79"/>
      <c r="G1085" s="25" t="str">
        <f t="shared" si="49"/>
        <v/>
      </c>
      <c r="H1085" s="88"/>
      <c r="I1085" s="93"/>
      <c r="J1085" s="97"/>
      <c r="K1085" s="88"/>
      <c r="L1085" s="25" t="str">
        <f>IF($D1085="","",SUMIFS($H$4:$H1085,$D$4:$D1085,$D1085)+SUMIFS($I$4:$I1085,$D$4:$D1085,$D1085)-SUMIFS($J$4:$J1085,$D$4:$D1085,$D1085)-SUMIFS($K$4:$K1085,$D$4:$D1085,$D1085))</f>
        <v/>
      </c>
      <c r="M1085" s="80"/>
      <c r="N1085" s="80"/>
      <c r="O1085" s="94"/>
      <c r="P1085" s="26" t="str">
        <f t="shared" si="50"/>
        <v/>
      </c>
      <c r="Q1085" s="80"/>
      <c r="R1085" s="80"/>
      <c r="S1085" s="80"/>
      <c r="T1085" s="82"/>
      <c r="U1085" s="80"/>
      <c r="V1085" s="80"/>
      <c r="W1085" s="80"/>
    </row>
    <row r="1086" ht="18" customHeight="1" spans="1:23">
      <c r="A1086" s="87" t="str">
        <f t="shared" si="48"/>
        <v/>
      </c>
      <c r="B1086" s="78"/>
      <c r="C1086" s="80"/>
      <c r="D1086" s="79"/>
      <c r="E1086" s="80"/>
      <c r="F1086" s="79"/>
      <c r="G1086" s="25" t="str">
        <f t="shared" si="49"/>
        <v/>
      </c>
      <c r="H1086" s="88"/>
      <c r="I1086" s="93"/>
      <c r="J1086" s="97"/>
      <c r="K1086" s="88"/>
      <c r="L1086" s="25" t="str">
        <f>IF($D1086="","",SUMIFS($H$4:$H1086,$D$4:$D1086,$D1086)+SUMIFS($I$4:$I1086,$D$4:$D1086,$D1086)-SUMIFS($J$4:$J1086,$D$4:$D1086,$D1086)-SUMIFS($K$4:$K1086,$D$4:$D1086,$D1086))</f>
        <v/>
      </c>
      <c r="M1086" s="80"/>
      <c r="N1086" s="80"/>
      <c r="O1086" s="94"/>
      <c r="P1086" s="26" t="str">
        <f t="shared" si="50"/>
        <v/>
      </c>
      <c r="Q1086" s="80"/>
      <c r="R1086" s="80"/>
      <c r="S1086" s="80"/>
      <c r="T1086" s="82"/>
      <c r="U1086" s="80"/>
      <c r="V1086" s="80"/>
      <c r="W1086" s="80"/>
    </row>
    <row r="1087" ht="18" customHeight="1" spans="1:23">
      <c r="A1087" s="87" t="str">
        <f t="shared" si="48"/>
        <v/>
      </c>
      <c r="B1087" s="78"/>
      <c r="C1087" s="80"/>
      <c r="D1087" s="79"/>
      <c r="E1087" s="80"/>
      <c r="F1087" s="79"/>
      <c r="G1087" s="25" t="str">
        <f t="shared" si="49"/>
        <v/>
      </c>
      <c r="H1087" s="88"/>
      <c r="I1087" s="93"/>
      <c r="J1087" s="97"/>
      <c r="K1087" s="88"/>
      <c r="L1087" s="25" t="str">
        <f>IF($D1087="","",SUMIFS($H$4:$H1087,$D$4:$D1087,$D1087)+SUMIFS($I$4:$I1087,$D$4:$D1087,$D1087)-SUMIFS($J$4:$J1087,$D$4:$D1087,$D1087)-SUMIFS($K$4:$K1087,$D$4:$D1087,$D1087))</f>
        <v/>
      </c>
      <c r="M1087" s="80"/>
      <c r="N1087" s="80"/>
      <c r="O1087" s="94"/>
      <c r="P1087" s="26" t="str">
        <f t="shared" si="50"/>
        <v/>
      </c>
      <c r="Q1087" s="80"/>
      <c r="R1087" s="80"/>
      <c r="S1087" s="80"/>
      <c r="T1087" s="82"/>
      <c r="U1087" s="80"/>
      <c r="V1087" s="80"/>
      <c r="W1087" s="80"/>
    </row>
    <row r="1088" ht="18" customHeight="1" spans="1:23">
      <c r="A1088" s="87" t="str">
        <f t="shared" si="48"/>
        <v/>
      </c>
      <c r="B1088" s="78"/>
      <c r="C1088" s="80"/>
      <c r="D1088" s="79"/>
      <c r="E1088" s="80"/>
      <c r="F1088" s="79"/>
      <c r="G1088" s="25" t="str">
        <f t="shared" si="49"/>
        <v/>
      </c>
      <c r="H1088" s="88"/>
      <c r="I1088" s="93"/>
      <c r="J1088" s="97"/>
      <c r="K1088" s="88"/>
      <c r="L1088" s="25" t="str">
        <f>IF($D1088="","",SUMIFS($H$4:$H1088,$D$4:$D1088,$D1088)+SUMIFS($I$4:$I1088,$D$4:$D1088,$D1088)-SUMIFS($J$4:$J1088,$D$4:$D1088,$D1088)-SUMIFS($K$4:$K1088,$D$4:$D1088,$D1088))</f>
        <v/>
      </c>
      <c r="M1088" s="80"/>
      <c r="N1088" s="80"/>
      <c r="O1088" s="94"/>
      <c r="P1088" s="26" t="str">
        <f t="shared" si="50"/>
        <v/>
      </c>
      <c r="Q1088" s="80"/>
      <c r="R1088" s="80"/>
      <c r="S1088" s="80"/>
      <c r="T1088" s="82"/>
      <c r="U1088" s="80"/>
      <c r="V1088" s="80"/>
      <c r="W1088" s="80"/>
    </row>
    <row r="1089" ht="18" customHeight="1" spans="1:23">
      <c r="A1089" s="87" t="str">
        <f t="shared" si="48"/>
        <v/>
      </c>
      <c r="B1089" s="78"/>
      <c r="C1089" s="80"/>
      <c r="D1089" s="79"/>
      <c r="E1089" s="80"/>
      <c r="F1089" s="79"/>
      <c r="G1089" s="25" t="str">
        <f t="shared" si="49"/>
        <v/>
      </c>
      <c r="H1089" s="88"/>
      <c r="I1089" s="93"/>
      <c r="J1089" s="97"/>
      <c r="K1089" s="88"/>
      <c r="L1089" s="25" t="str">
        <f>IF($D1089="","",SUMIFS($H$4:$H1089,$D$4:$D1089,$D1089)+SUMIFS($I$4:$I1089,$D$4:$D1089,$D1089)-SUMIFS($J$4:$J1089,$D$4:$D1089,$D1089)-SUMIFS($K$4:$K1089,$D$4:$D1089,$D1089))</f>
        <v/>
      </c>
      <c r="M1089" s="80"/>
      <c r="N1089" s="80"/>
      <c r="O1089" s="94"/>
      <c r="P1089" s="26" t="str">
        <f t="shared" si="50"/>
        <v/>
      </c>
      <c r="Q1089" s="80"/>
      <c r="R1089" s="80"/>
      <c r="S1089" s="80"/>
      <c r="T1089" s="82"/>
      <c r="U1089" s="80"/>
      <c r="V1089" s="80"/>
      <c r="W1089" s="80"/>
    </row>
    <row r="1090" ht="18" customHeight="1" spans="1:23">
      <c r="A1090" s="87" t="str">
        <f t="shared" si="48"/>
        <v/>
      </c>
      <c r="B1090" s="78"/>
      <c r="C1090" s="80"/>
      <c r="D1090" s="79"/>
      <c r="E1090" s="80"/>
      <c r="F1090" s="79"/>
      <c r="G1090" s="25" t="str">
        <f t="shared" si="49"/>
        <v/>
      </c>
      <c r="H1090" s="88"/>
      <c r="I1090" s="93"/>
      <c r="J1090" s="97"/>
      <c r="K1090" s="88"/>
      <c r="L1090" s="25" t="str">
        <f>IF($D1090="","",SUMIFS($H$4:$H1090,$D$4:$D1090,$D1090)+SUMIFS($I$4:$I1090,$D$4:$D1090,$D1090)-SUMIFS($J$4:$J1090,$D$4:$D1090,$D1090)-SUMIFS($K$4:$K1090,$D$4:$D1090,$D1090))</f>
        <v/>
      </c>
      <c r="M1090" s="80"/>
      <c r="N1090" s="80"/>
      <c r="O1090" s="94"/>
      <c r="P1090" s="26" t="str">
        <f t="shared" si="50"/>
        <v/>
      </c>
      <c r="Q1090" s="80"/>
      <c r="R1090" s="80"/>
      <c r="S1090" s="80"/>
      <c r="T1090" s="82"/>
      <c r="U1090" s="80"/>
      <c r="V1090" s="80"/>
      <c r="W1090" s="80"/>
    </row>
    <row r="1091" ht="18" customHeight="1" spans="1:23">
      <c r="A1091" s="87" t="str">
        <f t="shared" si="48"/>
        <v/>
      </c>
      <c r="B1091" s="78"/>
      <c r="C1091" s="80"/>
      <c r="D1091" s="79"/>
      <c r="E1091" s="80"/>
      <c r="F1091" s="79"/>
      <c r="G1091" s="25" t="str">
        <f t="shared" si="49"/>
        <v/>
      </c>
      <c r="H1091" s="88"/>
      <c r="I1091" s="93"/>
      <c r="J1091" s="97"/>
      <c r="K1091" s="88"/>
      <c r="L1091" s="25" t="str">
        <f>IF($D1091="","",SUMIFS($H$4:$H1091,$D$4:$D1091,$D1091)+SUMIFS($I$4:$I1091,$D$4:$D1091,$D1091)-SUMIFS($J$4:$J1091,$D$4:$D1091,$D1091)-SUMIFS($K$4:$K1091,$D$4:$D1091,$D1091))</f>
        <v/>
      </c>
      <c r="M1091" s="80"/>
      <c r="N1091" s="80"/>
      <c r="O1091" s="94"/>
      <c r="P1091" s="26" t="str">
        <f t="shared" si="50"/>
        <v/>
      </c>
      <c r="Q1091" s="80"/>
      <c r="R1091" s="80"/>
      <c r="S1091" s="80"/>
      <c r="T1091" s="82"/>
      <c r="U1091" s="80"/>
      <c r="V1091" s="80"/>
      <c r="W1091" s="80"/>
    </row>
    <row r="1092" ht="18" customHeight="1" spans="1:23">
      <c r="A1092" s="87" t="str">
        <f t="shared" si="48"/>
        <v/>
      </c>
      <c r="B1092" s="78"/>
      <c r="C1092" s="80"/>
      <c r="D1092" s="79"/>
      <c r="E1092" s="80"/>
      <c r="F1092" s="79"/>
      <c r="G1092" s="25" t="str">
        <f t="shared" si="49"/>
        <v/>
      </c>
      <c r="H1092" s="88"/>
      <c r="I1092" s="93"/>
      <c r="J1092" s="97"/>
      <c r="K1092" s="88"/>
      <c r="L1092" s="25" t="str">
        <f>IF($D1092="","",SUMIFS($H$4:$H1092,$D$4:$D1092,$D1092)+SUMIFS($I$4:$I1092,$D$4:$D1092,$D1092)-SUMIFS($J$4:$J1092,$D$4:$D1092,$D1092)-SUMIFS($K$4:$K1092,$D$4:$D1092,$D1092))</f>
        <v/>
      </c>
      <c r="M1092" s="80"/>
      <c r="N1092" s="80"/>
      <c r="O1092" s="94"/>
      <c r="P1092" s="26" t="str">
        <f t="shared" si="50"/>
        <v/>
      </c>
      <c r="Q1092" s="80"/>
      <c r="R1092" s="80"/>
      <c r="S1092" s="80"/>
      <c r="T1092" s="82"/>
      <c r="U1092" s="80"/>
      <c r="V1092" s="80"/>
      <c r="W1092" s="80"/>
    </row>
    <row r="1093" ht="18" customHeight="1" spans="1:23">
      <c r="A1093" s="87" t="str">
        <f t="shared" ref="A1093:A1156" si="51">IF($D1093="","",ROW()-3)</f>
        <v/>
      </c>
      <c r="B1093" s="78"/>
      <c r="C1093" s="80"/>
      <c r="D1093" s="79"/>
      <c r="E1093" s="80"/>
      <c r="F1093" s="79"/>
      <c r="G1093" s="25" t="str">
        <f t="shared" ref="G1093:G1156" si="52">IF($D1093="","",N($L1093)-N($H1093)-N($I1093)+N($J1093)+N($K1093))</f>
        <v/>
      </c>
      <c r="H1093" s="88"/>
      <c r="I1093" s="93"/>
      <c r="J1093" s="97"/>
      <c r="K1093" s="88"/>
      <c r="L1093" s="25" t="str">
        <f>IF($D1093="","",SUMIFS($H$4:$H1093,$D$4:$D1093,$D1093)+SUMIFS($I$4:$I1093,$D$4:$D1093,$D1093)-SUMIFS($J$4:$J1093,$D$4:$D1093,$D1093)-SUMIFS($K$4:$K1093,$D$4:$D1093,$D1093))</f>
        <v/>
      </c>
      <c r="M1093" s="80"/>
      <c r="N1093" s="80"/>
      <c r="O1093" s="94"/>
      <c r="P1093" s="26" t="str">
        <f t="shared" ref="P1093:P1156" si="53">IF($D1093="","",ROUND((N($H1093)+N($K1093))*N($O1093),2))</f>
        <v/>
      </c>
      <c r="Q1093" s="80"/>
      <c r="R1093" s="80"/>
      <c r="S1093" s="80"/>
      <c r="T1093" s="82"/>
      <c r="U1093" s="80"/>
      <c r="V1093" s="80"/>
      <c r="W1093" s="80"/>
    </row>
    <row r="1094" ht="18" customHeight="1" spans="1:23">
      <c r="A1094" s="87" t="str">
        <f t="shared" si="51"/>
        <v/>
      </c>
      <c r="B1094" s="78"/>
      <c r="C1094" s="80"/>
      <c r="D1094" s="79"/>
      <c r="E1094" s="80"/>
      <c r="F1094" s="79"/>
      <c r="G1094" s="25" t="str">
        <f t="shared" si="52"/>
        <v/>
      </c>
      <c r="H1094" s="88"/>
      <c r="I1094" s="93"/>
      <c r="J1094" s="97"/>
      <c r="K1094" s="88"/>
      <c r="L1094" s="25" t="str">
        <f>IF($D1094="","",SUMIFS($H$4:$H1094,$D$4:$D1094,$D1094)+SUMIFS($I$4:$I1094,$D$4:$D1094,$D1094)-SUMIFS($J$4:$J1094,$D$4:$D1094,$D1094)-SUMIFS($K$4:$K1094,$D$4:$D1094,$D1094))</f>
        <v/>
      </c>
      <c r="M1094" s="80"/>
      <c r="N1094" s="80"/>
      <c r="O1094" s="94"/>
      <c r="P1094" s="26" t="str">
        <f t="shared" si="53"/>
        <v/>
      </c>
      <c r="Q1094" s="80"/>
      <c r="R1094" s="80"/>
      <c r="S1094" s="80"/>
      <c r="T1094" s="82"/>
      <c r="U1094" s="80"/>
      <c r="V1094" s="80"/>
      <c r="W1094" s="80"/>
    </row>
    <row r="1095" ht="18" customHeight="1" spans="1:23">
      <c r="A1095" s="87" t="str">
        <f t="shared" si="51"/>
        <v/>
      </c>
      <c r="B1095" s="78"/>
      <c r="C1095" s="80"/>
      <c r="D1095" s="79"/>
      <c r="E1095" s="80"/>
      <c r="F1095" s="79"/>
      <c r="G1095" s="25" t="str">
        <f t="shared" si="52"/>
        <v/>
      </c>
      <c r="H1095" s="88"/>
      <c r="I1095" s="93"/>
      <c r="J1095" s="97"/>
      <c r="K1095" s="88"/>
      <c r="L1095" s="25" t="str">
        <f>IF($D1095="","",SUMIFS($H$4:$H1095,$D$4:$D1095,$D1095)+SUMIFS($I$4:$I1095,$D$4:$D1095,$D1095)-SUMIFS($J$4:$J1095,$D$4:$D1095,$D1095)-SUMIFS($K$4:$K1095,$D$4:$D1095,$D1095))</f>
        <v/>
      </c>
      <c r="M1095" s="80"/>
      <c r="N1095" s="80"/>
      <c r="O1095" s="94"/>
      <c r="P1095" s="26" t="str">
        <f t="shared" si="53"/>
        <v/>
      </c>
      <c r="Q1095" s="80"/>
      <c r="R1095" s="80"/>
      <c r="S1095" s="80"/>
      <c r="T1095" s="82"/>
      <c r="U1095" s="80"/>
      <c r="V1095" s="80"/>
      <c r="W1095" s="80"/>
    </row>
    <row r="1096" ht="18" customHeight="1" spans="1:23">
      <c r="A1096" s="87" t="str">
        <f t="shared" si="51"/>
        <v/>
      </c>
      <c r="B1096" s="78"/>
      <c r="C1096" s="80"/>
      <c r="D1096" s="79"/>
      <c r="E1096" s="80"/>
      <c r="F1096" s="79"/>
      <c r="G1096" s="25" t="str">
        <f t="shared" si="52"/>
        <v/>
      </c>
      <c r="H1096" s="88"/>
      <c r="I1096" s="93"/>
      <c r="J1096" s="97"/>
      <c r="K1096" s="88"/>
      <c r="L1096" s="25" t="str">
        <f>IF($D1096="","",SUMIFS($H$4:$H1096,$D$4:$D1096,$D1096)+SUMIFS($I$4:$I1096,$D$4:$D1096,$D1096)-SUMIFS($J$4:$J1096,$D$4:$D1096,$D1096)-SUMIFS($K$4:$K1096,$D$4:$D1096,$D1096))</f>
        <v/>
      </c>
      <c r="M1096" s="80"/>
      <c r="N1096" s="80"/>
      <c r="O1096" s="94"/>
      <c r="P1096" s="26" t="str">
        <f t="shared" si="53"/>
        <v/>
      </c>
      <c r="Q1096" s="80"/>
      <c r="R1096" s="80"/>
      <c r="S1096" s="80"/>
      <c r="T1096" s="82"/>
      <c r="U1096" s="80"/>
      <c r="V1096" s="80"/>
      <c r="W1096" s="80"/>
    </row>
    <row r="1097" ht="18" customHeight="1" spans="1:23">
      <c r="A1097" s="87" t="str">
        <f t="shared" si="51"/>
        <v/>
      </c>
      <c r="B1097" s="78"/>
      <c r="C1097" s="80"/>
      <c r="D1097" s="79"/>
      <c r="E1097" s="80"/>
      <c r="F1097" s="79"/>
      <c r="G1097" s="25" t="str">
        <f t="shared" si="52"/>
        <v/>
      </c>
      <c r="H1097" s="88"/>
      <c r="I1097" s="93"/>
      <c r="J1097" s="97"/>
      <c r="K1097" s="88"/>
      <c r="L1097" s="25" t="str">
        <f>IF($D1097="","",SUMIFS($H$4:$H1097,$D$4:$D1097,$D1097)+SUMIFS($I$4:$I1097,$D$4:$D1097,$D1097)-SUMIFS($J$4:$J1097,$D$4:$D1097,$D1097)-SUMIFS($K$4:$K1097,$D$4:$D1097,$D1097))</f>
        <v/>
      </c>
      <c r="M1097" s="80"/>
      <c r="N1097" s="80"/>
      <c r="O1097" s="94"/>
      <c r="P1097" s="26" t="str">
        <f t="shared" si="53"/>
        <v/>
      </c>
      <c r="Q1097" s="80"/>
      <c r="R1097" s="80"/>
      <c r="S1097" s="80"/>
      <c r="T1097" s="82"/>
      <c r="U1097" s="80"/>
      <c r="V1097" s="80"/>
      <c r="W1097" s="80"/>
    </row>
    <row r="1098" ht="18" customHeight="1" spans="1:23">
      <c r="A1098" s="87" t="str">
        <f t="shared" si="51"/>
        <v/>
      </c>
      <c r="B1098" s="78"/>
      <c r="C1098" s="80"/>
      <c r="D1098" s="79"/>
      <c r="E1098" s="80"/>
      <c r="F1098" s="79"/>
      <c r="G1098" s="25" t="str">
        <f t="shared" si="52"/>
        <v/>
      </c>
      <c r="H1098" s="88"/>
      <c r="I1098" s="93"/>
      <c r="J1098" s="97"/>
      <c r="K1098" s="88"/>
      <c r="L1098" s="25" t="str">
        <f>IF($D1098="","",SUMIFS($H$4:$H1098,$D$4:$D1098,$D1098)+SUMIFS($I$4:$I1098,$D$4:$D1098,$D1098)-SUMIFS($J$4:$J1098,$D$4:$D1098,$D1098)-SUMIFS($K$4:$K1098,$D$4:$D1098,$D1098))</f>
        <v/>
      </c>
      <c r="M1098" s="80"/>
      <c r="N1098" s="80"/>
      <c r="O1098" s="94"/>
      <c r="P1098" s="26" t="str">
        <f t="shared" si="53"/>
        <v/>
      </c>
      <c r="Q1098" s="80"/>
      <c r="R1098" s="80"/>
      <c r="S1098" s="80"/>
      <c r="T1098" s="82"/>
      <c r="U1098" s="80"/>
      <c r="V1098" s="80"/>
      <c r="W1098" s="80"/>
    </row>
    <row r="1099" ht="18" customHeight="1" spans="1:23">
      <c r="A1099" s="87" t="str">
        <f t="shared" si="51"/>
        <v/>
      </c>
      <c r="B1099" s="78"/>
      <c r="C1099" s="80"/>
      <c r="D1099" s="79"/>
      <c r="E1099" s="80"/>
      <c r="F1099" s="79"/>
      <c r="G1099" s="25" t="str">
        <f t="shared" si="52"/>
        <v/>
      </c>
      <c r="H1099" s="88"/>
      <c r="I1099" s="93"/>
      <c r="J1099" s="97"/>
      <c r="K1099" s="88"/>
      <c r="L1099" s="25" t="str">
        <f>IF($D1099="","",SUMIFS($H$4:$H1099,$D$4:$D1099,$D1099)+SUMIFS($I$4:$I1099,$D$4:$D1099,$D1099)-SUMIFS($J$4:$J1099,$D$4:$D1099,$D1099)-SUMIFS($K$4:$K1099,$D$4:$D1099,$D1099))</f>
        <v/>
      </c>
      <c r="M1099" s="80"/>
      <c r="N1099" s="80"/>
      <c r="O1099" s="94"/>
      <c r="P1099" s="26" t="str">
        <f t="shared" si="53"/>
        <v/>
      </c>
      <c r="Q1099" s="80"/>
      <c r="R1099" s="80"/>
      <c r="S1099" s="80"/>
      <c r="T1099" s="82"/>
      <c r="U1099" s="80"/>
      <c r="V1099" s="80"/>
      <c r="W1099" s="80"/>
    </row>
    <row r="1100" ht="18" customHeight="1" spans="1:23">
      <c r="A1100" s="87" t="str">
        <f t="shared" si="51"/>
        <v/>
      </c>
      <c r="B1100" s="78"/>
      <c r="C1100" s="80"/>
      <c r="D1100" s="79"/>
      <c r="E1100" s="80"/>
      <c r="F1100" s="79"/>
      <c r="G1100" s="25" t="str">
        <f t="shared" si="52"/>
        <v/>
      </c>
      <c r="H1100" s="88"/>
      <c r="I1100" s="93"/>
      <c r="J1100" s="97"/>
      <c r="K1100" s="88"/>
      <c r="L1100" s="25" t="str">
        <f>IF($D1100="","",SUMIFS($H$4:$H1100,$D$4:$D1100,$D1100)+SUMIFS($I$4:$I1100,$D$4:$D1100,$D1100)-SUMIFS($J$4:$J1100,$D$4:$D1100,$D1100)-SUMIFS($K$4:$K1100,$D$4:$D1100,$D1100))</f>
        <v/>
      </c>
      <c r="M1100" s="80"/>
      <c r="N1100" s="80"/>
      <c r="O1100" s="94"/>
      <c r="P1100" s="26" t="str">
        <f t="shared" si="53"/>
        <v/>
      </c>
      <c r="Q1100" s="80"/>
      <c r="R1100" s="80"/>
      <c r="S1100" s="80"/>
      <c r="T1100" s="82"/>
      <c r="U1100" s="80"/>
      <c r="V1100" s="80"/>
      <c r="W1100" s="80"/>
    </row>
    <row r="1101" ht="18" customHeight="1" spans="1:23">
      <c r="A1101" s="87" t="str">
        <f t="shared" si="51"/>
        <v/>
      </c>
      <c r="B1101" s="78"/>
      <c r="C1101" s="80"/>
      <c r="D1101" s="79"/>
      <c r="E1101" s="80"/>
      <c r="F1101" s="79"/>
      <c r="G1101" s="25" t="str">
        <f t="shared" si="52"/>
        <v/>
      </c>
      <c r="H1101" s="88"/>
      <c r="I1101" s="93"/>
      <c r="J1101" s="97"/>
      <c r="K1101" s="88"/>
      <c r="L1101" s="25" t="str">
        <f>IF($D1101="","",SUMIFS($H$4:$H1101,$D$4:$D1101,$D1101)+SUMIFS($I$4:$I1101,$D$4:$D1101,$D1101)-SUMIFS($J$4:$J1101,$D$4:$D1101,$D1101)-SUMIFS($K$4:$K1101,$D$4:$D1101,$D1101))</f>
        <v/>
      </c>
      <c r="M1101" s="80"/>
      <c r="N1101" s="80"/>
      <c r="O1101" s="94"/>
      <c r="P1101" s="26" t="str">
        <f t="shared" si="53"/>
        <v/>
      </c>
      <c r="Q1101" s="80"/>
      <c r="R1101" s="80"/>
      <c r="S1101" s="80"/>
      <c r="T1101" s="82"/>
      <c r="U1101" s="80"/>
      <c r="V1101" s="80"/>
      <c r="W1101" s="80"/>
    </row>
    <row r="1102" ht="18" customHeight="1" spans="1:23">
      <c r="A1102" s="87" t="str">
        <f t="shared" si="51"/>
        <v/>
      </c>
      <c r="B1102" s="78"/>
      <c r="C1102" s="80"/>
      <c r="D1102" s="79"/>
      <c r="E1102" s="80"/>
      <c r="F1102" s="79"/>
      <c r="G1102" s="25" t="str">
        <f t="shared" si="52"/>
        <v/>
      </c>
      <c r="H1102" s="88"/>
      <c r="I1102" s="93"/>
      <c r="J1102" s="97"/>
      <c r="K1102" s="88"/>
      <c r="L1102" s="25" t="str">
        <f>IF($D1102="","",SUMIFS($H$4:$H1102,$D$4:$D1102,$D1102)+SUMIFS($I$4:$I1102,$D$4:$D1102,$D1102)-SUMIFS($J$4:$J1102,$D$4:$D1102,$D1102)-SUMIFS($K$4:$K1102,$D$4:$D1102,$D1102))</f>
        <v/>
      </c>
      <c r="M1102" s="80"/>
      <c r="N1102" s="80"/>
      <c r="O1102" s="94"/>
      <c r="P1102" s="26" t="str">
        <f t="shared" si="53"/>
        <v/>
      </c>
      <c r="Q1102" s="80"/>
      <c r="R1102" s="80"/>
      <c r="S1102" s="80"/>
      <c r="T1102" s="82"/>
      <c r="U1102" s="80"/>
      <c r="V1102" s="80"/>
      <c r="W1102" s="80"/>
    </row>
    <row r="1103" ht="18" customHeight="1" spans="1:23">
      <c r="A1103" s="87" t="str">
        <f t="shared" si="51"/>
        <v/>
      </c>
      <c r="B1103" s="78"/>
      <c r="C1103" s="80"/>
      <c r="D1103" s="79"/>
      <c r="E1103" s="80"/>
      <c r="F1103" s="79"/>
      <c r="G1103" s="25" t="str">
        <f t="shared" si="52"/>
        <v/>
      </c>
      <c r="H1103" s="88"/>
      <c r="I1103" s="93"/>
      <c r="J1103" s="97"/>
      <c r="K1103" s="88"/>
      <c r="L1103" s="25" t="str">
        <f>IF($D1103="","",SUMIFS($H$4:$H1103,$D$4:$D1103,$D1103)+SUMIFS($I$4:$I1103,$D$4:$D1103,$D1103)-SUMIFS($J$4:$J1103,$D$4:$D1103,$D1103)-SUMIFS($K$4:$K1103,$D$4:$D1103,$D1103))</f>
        <v/>
      </c>
      <c r="M1103" s="80"/>
      <c r="N1103" s="80"/>
      <c r="O1103" s="94"/>
      <c r="P1103" s="26" t="str">
        <f t="shared" si="53"/>
        <v/>
      </c>
      <c r="Q1103" s="80"/>
      <c r="R1103" s="80"/>
      <c r="S1103" s="80"/>
      <c r="T1103" s="82"/>
      <c r="U1103" s="80"/>
      <c r="V1103" s="80"/>
      <c r="W1103" s="80"/>
    </row>
    <row r="1104" ht="18" customHeight="1" spans="1:23">
      <c r="A1104" s="87" t="str">
        <f t="shared" si="51"/>
        <v/>
      </c>
      <c r="B1104" s="78"/>
      <c r="C1104" s="80"/>
      <c r="D1104" s="79"/>
      <c r="E1104" s="80"/>
      <c r="F1104" s="79"/>
      <c r="G1104" s="25" t="str">
        <f t="shared" si="52"/>
        <v/>
      </c>
      <c r="H1104" s="88"/>
      <c r="I1104" s="93"/>
      <c r="J1104" s="97"/>
      <c r="K1104" s="88"/>
      <c r="L1104" s="25" t="str">
        <f>IF($D1104="","",SUMIFS($H$4:$H1104,$D$4:$D1104,$D1104)+SUMIFS($I$4:$I1104,$D$4:$D1104,$D1104)-SUMIFS($J$4:$J1104,$D$4:$D1104,$D1104)-SUMIFS($K$4:$K1104,$D$4:$D1104,$D1104))</f>
        <v/>
      </c>
      <c r="M1104" s="80"/>
      <c r="N1104" s="80"/>
      <c r="O1104" s="94"/>
      <c r="P1104" s="26" t="str">
        <f t="shared" si="53"/>
        <v/>
      </c>
      <c r="Q1104" s="80"/>
      <c r="R1104" s="80"/>
      <c r="S1104" s="80"/>
      <c r="T1104" s="82"/>
      <c r="U1104" s="80"/>
      <c r="V1104" s="80"/>
      <c r="W1104" s="80"/>
    </row>
    <row r="1105" ht="18" customHeight="1" spans="1:23">
      <c r="A1105" s="87" t="str">
        <f t="shared" si="51"/>
        <v/>
      </c>
      <c r="B1105" s="78"/>
      <c r="C1105" s="80"/>
      <c r="D1105" s="79"/>
      <c r="E1105" s="80"/>
      <c r="F1105" s="79"/>
      <c r="G1105" s="25" t="str">
        <f t="shared" si="52"/>
        <v/>
      </c>
      <c r="H1105" s="88"/>
      <c r="I1105" s="93"/>
      <c r="J1105" s="97"/>
      <c r="K1105" s="88"/>
      <c r="L1105" s="25" t="str">
        <f>IF($D1105="","",SUMIFS($H$4:$H1105,$D$4:$D1105,$D1105)+SUMIFS($I$4:$I1105,$D$4:$D1105,$D1105)-SUMIFS($J$4:$J1105,$D$4:$D1105,$D1105)-SUMIFS($K$4:$K1105,$D$4:$D1105,$D1105))</f>
        <v/>
      </c>
      <c r="M1105" s="80"/>
      <c r="N1105" s="80"/>
      <c r="O1105" s="94"/>
      <c r="P1105" s="26" t="str">
        <f t="shared" si="53"/>
        <v/>
      </c>
      <c r="Q1105" s="80"/>
      <c r="R1105" s="80"/>
      <c r="S1105" s="80"/>
      <c r="T1105" s="82"/>
      <c r="U1105" s="80"/>
      <c r="V1105" s="80"/>
      <c r="W1105" s="80"/>
    </row>
    <row r="1106" ht="18" customHeight="1" spans="1:23">
      <c r="A1106" s="87" t="str">
        <f t="shared" si="51"/>
        <v/>
      </c>
      <c r="B1106" s="78"/>
      <c r="C1106" s="80"/>
      <c r="D1106" s="79"/>
      <c r="E1106" s="80"/>
      <c r="F1106" s="79"/>
      <c r="G1106" s="25" t="str">
        <f t="shared" si="52"/>
        <v/>
      </c>
      <c r="H1106" s="88"/>
      <c r="I1106" s="93"/>
      <c r="J1106" s="97"/>
      <c r="K1106" s="88"/>
      <c r="L1106" s="25" t="str">
        <f>IF($D1106="","",SUMIFS($H$4:$H1106,$D$4:$D1106,$D1106)+SUMIFS($I$4:$I1106,$D$4:$D1106,$D1106)-SUMIFS($J$4:$J1106,$D$4:$D1106,$D1106)-SUMIFS($K$4:$K1106,$D$4:$D1106,$D1106))</f>
        <v/>
      </c>
      <c r="M1106" s="80"/>
      <c r="N1106" s="80"/>
      <c r="O1106" s="94"/>
      <c r="P1106" s="26" t="str">
        <f t="shared" si="53"/>
        <v/>
      </c>
      <c r="Q1106" s="80"/>
      <c r="R1106" s="80"/>
      <c r="S1106" s="80"/>
      <c r="T1106" s="82"/>
      <c r="U1106" s="80"/>
      <c r="V1106" s="80"/>
      <c r="W1106" s="80"/>
    </row>
    <row r="1107" ht="18" customHeight="1" spans="1:23">
      <c r="A1107" s="87" t="str">
        <f t="shared" si="51"/>
        <v/>
      </c>
      <c r="B1107" s="78"/>
      <c r="C1107" s="80"/>
      <c r="D1107" s="79"/>
      <c r="E1107" s="80"/>
      <c r="F1107" s="79"/>
      <c r="G1107" s="25" t="str">
        <f t="shared" si="52"/>
        <v/>
      </c>
      <c r="H1107" s="88"/>
      <c r="I1107" s="93"/>
      <c r="J1107" s="97"/>
      <c r="K1107" s="88"/>
      <c r="L1107" s="25" t="str">
        <f>IF($D1107="","",SUMIFS($H$4:$H1107,$D$4:$D1107,$D1107)+SUMIFS($I$4:$I1107,$D$4:$D1107,$D1107)-SUMIFS($J$4:$J1107,$D$4:$D1107,$D1107)-SUMIFS($K$4:$K1107,$D$4:$D1107,$D1107))</f>
        <v/>
      </c>
      <c r="M1107" s="80"/>
      <c r="N1107" s="80"/>
      <c r="O1107" s="94"/>
      <c r="P1107" s="26" t="str">
        <f t="shared" si="53"/>
        <v/>
      </c>
      <c r="Q1107" s="80"/>
      <c r="R1107" s="80"/>
      <c r="S1107" s="80"/>
      <c r="T1107" s="82"/>
      <c r="U1107" s="80"/>
      <c r="V1107" s="80"/>
      <c r="W1107" s="80"/>
    </row>
    <row r="1108" ht="18" customHeight="1" spans="1:23">
      <c r="A1108" s="87" t="str">
        <f t="shared" si="51"/>
        <v/>
      </c>
      <c r="B1108" s="78"/>
      <c r="C1108" s="80"/>
      <c r="D1108" s="79"/>
      <c r="E1108" s="80"/>
      <c r="F1108" s="79"/>
      <c r="G1108" s="25" t="str">
        <f t="shared" si="52"/>
        <v/>
      </c>
      <c r="H1108" s="88"/>
      <c r="I1108" s="93"/>
      <c r="J1108" s="97"/>
      <c r="K1108" s="88"/>
      <c r="L1108" s="25" t="str">
        <f>IF($D1108="","",SUMIFS($H$4:$H1108,$D$4:$D1108,$D1108)+SUMIFS($I$4:$I1108,$D$4:$D1108,$D1108)-SUMIFS($J$4:$J1108,$D$4:$D1108,$D1108)-SUMIFS($K$4:$K1108,$D$4:$D1108,$D1108))</f>
        <v/>
      </c>
      <c r="M1108" s="80"/>
      <c r="N1108" s="80"/>
      <c r="O1108" s="94"/>
      <c r="P1108" s="26" t="str">
        <f t="shared" si="53"/>
        <v/>
      </c>
      <c r="Q1108" s="80"/>
      <c r="R1108" s="80"/>
      <c r="S1108" s="80"/>
      <c r="T1108" s="82"/>
      <c r="U1108" s="80"/>
      <c r="V1108" s="80"/>
      <c r="W1108" s="80"/>
    </row>
    <row r="1109" ht="18" customHeight="1" spans="1:23">
      <c r="A1109" s="87" t="str">
        <f t="shared" si="51"/>
        <v/>
      </c>
      <c r="B1109" s="78"/>
      <c r="C1109" s="80"/>
      <c r="D1109" s="79"/>
      <c r="E1109" s="80"/>
      <c r="F1109" s="79"/>
      <c r="G1109" s="25" t="str">
        <f t="shared" si="52"/>
        <v/>
      </c>
      <c r="H1109" s="88"/>
      <c r="I1109" s="93"/>
      <c r="J1109" s="97"/>
      <c r="K1109" s="88"/>
      <c r="L1109" s="25" t="str">
        <f>IF($D1109="","",SUMIFS($H$4:$H1109,$D$4:$D1109,$D1109)+SUMIFS($I$4:$I1109,$D$4:$D1109,$D1109)-SUMIFS($J$4:$J1109,$D$4:$D1109,$D1109)-SUMIFS($K$4:$K1109,$D$4:$D1109,$D1109))</f>
        <v/>
      </c>
      <c r="M1109" s="80"/>
      <c r="N1109" s="80"/>
      <c r="O1109" s="94"/>
      <c r="P1109" s="26" t="str">
        <f t="shared" si="53"/>
        <v/>
      </c>
      <c r="Q1109" s="80"/>
      <c r="R1109" s="80"/>
      <c r="S1109" s="80"/>
      <c r="T1109" s="82"/>
      <c r="U1109" s="80"/>
      <c r="V1109" s="80"/>
      <c r="W1109" s="80"/>
    </row>
    <row r="1110" ht="18" customHeight="1" spans="1:23">
      <c r="A1110" s="87" t="str">
        <f t="shared" si="51"/>
        <v/>
      </c>
      <c r="B1110" s="78"/>
      <c r="C1110" s="80"/>
      <c r="D1110" s="79"/>
      <c r="E1110" s="80"/>
      <c r="F1110" s="79"/>
      <c r="G1110" s="25" t="str">
        <f t="shared" si="52"/>
        <v/>
      </c>
      <c r="H1110" s="88"/>
      <c r="I1110" s="93"/>
      <c r="J1110" s="97"/>
      <c r="K1110" s="88"/>
      <c r="L1110" s="25" t="str">
        <f>IF($D1110="","",SUMIFS($H$4:$H1110,$D$4:$D1110,$D1110)+SUMIFS($I$4:$I1110,$D$4:$D1110,$D1110)-SUMIFS($J$4:$J1110,$D$4:$D1110,$D1110)-SUMIFS($K$4:$K1110,$D$4:$D1110,$D1110))</f>
        <v/>
      </c>
      <c r="M1110" s="80"/>
      <c r="N1110" s="80"/>
      <c r="O1110" s="94"/>
      <c r="P1110" s="26" t="str">
        <f t="shared" si="53"/>
        <v/>
      </c>
      <c r="Q1110" s="80"/>
      <c r="R1110" s="80"/>
      <c r="S1110" s="80"/>
      <c r="T1110" s="82"/>
      <c r="U1110" s="80"/>
      <c r="V1110" s="80"/>
      <c r="W1110" s="80"/>
    </row>
    <row r="1111" ht="18" customHeight="1" spans="1:23">
      <c r="A1111" s="87" t="str">
        <f t="shared" si="51"/>
        <v/>
      </c>
      <c r="B1111" s="78"/>
      <c r="C1111" s="80"/>
      <c r="D1111" s="79"/>
      <c r="E1111" s="80"/>
      <c r="F1111" s="79"/>
      <c r="G1111" s="25" t="str">
        <f t="shared" si="52"/>
        <v/>
      </c>
      <c r="H1111" s="88"/>
      <c r="I1111" s="93"/>
      <c r="J1111" s="97"/>
      <c r="K1111" s="88"/>
      <c r="L1111" s="25" t="str">
        <f>IF($D1111="","",SUMIFS($H$4:$H1111,$D$4:$D1111,$D1111)+SUMIFS($I$4:$I1111,$D$4:$D1111,$D1111)-SUMIFS($J$4:$J1111,$D$4:$D1111,$D1111)-SUMIFS($K$4:$K1111,$D$4:$D1111,$D1111))</f>
        <v/>
      </c>
      <c r="M1111" s="80"/>
      <c r="N1111" s="80"/>
      <c r="O1111" s="94"/>
      <c r="P1111" s="26" t="str">
        <f t="shared" si="53"/>
        <v/>
      </c>
      <c r="Q1111" s="80"/>
      <c r="R1111" s="80"/>
      <c r="S1111" s="80"/>
      <c r="T1111" s="82"/>
      <c r="U1111" s="80"/>
      <c r="V1111" s="80"/>
      <c r="W1111" s="80"/>
    </row>
    <row r="1112" ht="18" customHeight="1" spans="1:23">
      <c r="A1112" s="87" t="str">
        <f t="shared" si="51"/>
        <v/>
      </c>
      <c r="B1112" s="78"/>
      <c r="C1112" s="80"/>
      <c r="D1112" s="79"/>
      <c r="E1112" s="80"/>
      <c r="F1112" s="79"/>
      <c r="G1112" s="25" t="str">
        <f t="shared" si="52"/>
        <v/>
      </c>
      <c r="H1112" s="88"/>
      <c r="I1112" s="93"/>
      <c r="J1112" s="97"/>
      <c r="K1112" s="88"/>
      <c r="L1112" s="25" t="str">
        <f>IF($D1112="","",SUMIFS($H$4:$H1112,$D$4:$D1112,$D1112)+SUMIFS($I$4:$I1112,$D$4:$D1112,$D1112)-SUMIFS($J$4:$J1112,$D$4:$D1112,$D1112)-SUMIFS($K$4:$K1112,$D$4:$D1112,$D1112))</f>
        <v/>
      </c>
      <c r="M1112" s="80"/>
      <c r="N1112" s="80"/>
      <c r="O1112" s="94"/>
      <c r="P1112" s="26" t="str">
        <f t="shared" si="53"/>
        <v/>
      </c>
      <c r="Q1112" s="80"/>
      <c r="R1112" s="80"/>
      <c r="S1112" s="80"/>
      <c r="T1112" s="82"/>
      <c r="U1112" s="80"/>
      <c r="V1112" s="80"/>
      <c r="W1112" s="80"/>
    </row>
    <row r="1113" ht="18" customHeight="1" spans="1:23">
      <c r="A1113" s="87" t="str">
        <f t="shared" si="51"/>
        <v/>
      </c>
      <c r="B1113" s="78"/>
      <c r="C1113" s="80"/>
      <c r="D1113" s="79"/>
      <c r="E1113" s="80"/>
      <c r="F1113" s="79"/>
      <c r="G1113" s="25" t="str">
        <f t="shared" si="52"/>
        <v/>
      </c>
      <c r="H1113" s="88"/>
      <c r="I1113" s="93"/>
      <c r="J1113" s="97"/>
      <c r="K1113" s="88"/>
      <c r="L1113" s="25" t="str">
        <f>IF($D1113="","",SUMIFS($H$4:$H1113,$D$4:$D1113,$D1113)+SUMIFS($I$4:$I1113,$D$4:$D1113,$D1113)-SUMIFS($J$4:$J1113,$D$4:$D1113,$D1113)-SUMIFS($K$4:$K1113,$D$4:$D1113,$D1113))</f>
        <v/>
      </c>
      <c r="M1113" s="80"/>
      <c r="N1113" s="80"/>
      <c r="O1113" s="94"/>
      <c r="P1113" s="26" t="str">
        <f t="shared" si="53"/>
        <v/>
      </c>
      <c r="Q1113" s="80"/>
      <c r="R1113" s="80"/>
      <c r="S1113" s="80"/>
      <c r="T1113" s="82"/>
      <c r="U1113" s="80"/>
      <c r="V1113" s="80"/>
      <c r="W1113" s="80"/>
    </row>
    <row r="1114" ht="18" customHeight="1" spans="1:23">
      <c r="A1114" s="87" t="str">
        <f t="shared" si="51"/>
        <v/>
      </c>
      <c r="B1114" s="78"/>
      <c r="C1114" s="80"/>
      <c r="D1114" s="79"/>
      <c r="E1114" s="80"/>
      <c r="F1114" s="79"/>
      <c r="G1114" s="25" t="str">
        <f t="shared" si="52"/>
        <v/>
      </c>
      <c r="H1114" s="88"/>
      <c r="I1114" s="93"/>
      <c r="J1114" s="97"/>
      <c r="K1114" s="88"/>
      <c r="L1114" s="25" t="str">
        <f>IF($D1114="","",SUMIFS($H$4:$H1114,$D$4:$D1114,$D1114)+SUMIFS($I$4:$I1114,$D$4:$D1114,$D1114)-SUMIFS($J$4:$J1114,$D$4:$D1114,$D1114)-SUMIFS($K$4:$K1114,$D$4:$D1114,$D1114))</f>
        <v/>
      </c>
      <c r="M1114" s="80"/>
      <c r="N1114" s="80"/>
      <c r="O1114" s="94"/>
      <c r="P1114" s="26" t="str">
        <f t="shared" si="53"/>
        <v/>
      </c>
      <c r="Q1114" s="80"/>
      <c r="R1114" s="80"/>
      <c r="S1114" s="80"/>
      <c r="T1114" s="82"/>
      <c r="U1114" s="80"/>
      <c r="V1114" s="80"/>
      <c r="W1114" s="80"/>
    </row>
    <row r="1115" ht="18" customHeight="1" spans="1:23">
      <c r="A1115" s="87" t="str">
        <f t="shared" si="51"/>
        <v/>
      </c>
      <c r="B1115" s="78"/>
      <c r="C1115" s="80"/>
      <c r="D1115" s="79"/>
      <c r="E1115" s="80"/>
      <c r="F1115" s="79"/>
      <c r="G1115" s="25" t="str">
        <f t="shared" si="52"/>
        <v/>
      </c>
      <c r="H1115" s="88"/>
      <c r="I1115" s="93"/>
      <c r="J1115" s="97"/>
      <c r="K1115" s="88"/>
      <c r="L1115" s="25" t="str">
        <f>IF($D1115="","",SUMIFS($H$4:$H1115,$D$4:$D1115,$D1115)+SUMIFS($I$4:$I1115,$D$4:$D1115,$D1115)-SUMIFS($J$4:$J1115,$D$4:$D1115,$D1115)-SUMIFS($K$4:$K1115,$D$4:$D1115,$D1115))</f>
        <v/>
      </c>
      <c r="M1115" s="80"/>
      <c r="N1115" s="80"/>
      <c r="O1115" s="94"/>
      <c r="P1115" s="26" t="str">
        <f t="shared" si="53"/>
        <v/>
      </c>
      <c r="Q1115" s="80"/>
      <c r="R1115" s="80"/>
      <c r="S1115" s="80"/>
      <c r="T1115" s="82"/>
      <c r="U1115" s="80"/>
      <c r="V1115" s="80"/>
      <c r="W1115" s="80"/>
    </row>
    <row r="1116" ht="18" customHeight="1" spans="1:23">
      <c r="A1116" s="87" t="str">
        <f t="shared" si="51"/>
        <v/>
      </c>
      <c r="B1116" s="78"/>
      <c r="C1116" s="80"/>
      <c r="D1116" s="79"/>
      <c r="E1116" s="80"/>
      <c r="F1116" s="79"/>
      <c r="G1116" s="25" t="str">
        <f t="shared" si="52"/>
        <v/>
      </c>
      <c r="H1116" s="88"/>
      <c r="I1116" s="93"/>
      <c r="J1116" s="97"/>
      <c r="K1116" s="88"/>
      <c r="L1116" s="25" t="str">
        <f>IF($D1116="","",SUMIFS($H$4:$H1116,$D$4:$D1116,$D1116)+SUMIFS($I$4:$I1116,$D$4:$D1116,$D1116)-SUMIFS($J$4:$J1116,$D$4:$D1116,$D1116)-SUMIFS($K$4:$K1116,$D$4:$D1116,$D1116))</f>
        <v/>
      </c>
      <c r="M1116" s="80"/>
      <c r="N1116" s="80"/>
      <c r="O1116" s="94"/>
      <c r="P1116" s="26" t="str">
        <f t="shared" si="53"/>
        <v/>
      </c>
      <c r="Q1116" s="80"/>
      <c r="R1116" s="80"/>
      <c r="S1116" s="80"/>
      <c r="T1116" s="82"/>
      <c r="U1116" s="80"/>
      <c r="V1116" s="80"/>
      <c r="W1116" s="80"/>
    </row>
    <row r="1117" ht="18" customHeight="1" spans="1:23">
      <c r="A1117" s="87" t="str">
        <f t="shared" si="51"/>
        <v/>
      </c>
      <c r="B1117" s="78"/>
      <c r="C1117" s="80"/>
      <c r="D1117" s="79"/>
      <c r="E1117" s="80"/>
      <c r="F1117" s="79"/>
      <c r="G1117" s="25" t="str">
        <f t="shared" si="52"/>
        <v/>
      </c>
      <c r="H1117" s="88"/>
      <c r="I1117" s="93"/>
      <c r="J1117" s="97"/>
      <c r="K1117" s="88"/>
      <c r="L1117" s="25" t="str">
        <f>IF($D1117="","",SUMIFS($H$4:$H1117,$D$4:$D1117,$D1117)+SUMIFS($I$4:$I1117,$D$4:$D1117,$D1117)-SUMIFS($J$4:$J1117,$D$4:$D1117,$D1117)-SUMIFS($K$4:$K1117,$D$4:$D1117,$D1117))</f>
        <v/>
      </c>
      <c r="M1117" s="80"/>
      <c r="N1117" s="80"/>
      <c r="O1117" s="94"/>
      <c r="P1117" s="26" t="str">
        <f t="shared" si="53"/>
        <v/>
      </c>
      <c r="Q1117" s="80"/>
      <c r="R1117" s="80"/>
      <c r="S1117" s="80"/>
      <c r="T1117" s="82"/>
      <c r="U1117" s="80"/>
      <c r="V1117" s="80"/>
      <c r="W1117" s="80"/>
    </row>
    <row r="1118" ht="18" customHeight="1" spans="1:23">
      <c r="A1118" s="87" t="str">
        <f t="shared" si="51"/>
        <v/>
      </c>
      <c r="B1118" s="78"/>
      <c r="C1118" s="80"/>
      <c r="D1118" s="79"/>
      <c r="E1118" s="80"/>
      <c r="F1118" s="79"/>
      <c r="G1118" s="25" t="str">
        <f t="shared" si="52"/>
        <v/>
      </c>
      <c r="H1118" s="88"/>
      <c r="I1118" s="93"/>
      <c r="J1118" s="97"/>
      <c r="K1118" s="88"/>
      <c r="L1118" s="25" t="str">
        <f>IF($D1118="","",SUMIFS($H$4:$H1118,$D$4:$D1118,$D1118)+SUMIFS($I$4:$I1118,$D$4:$D1118,$D1118)-SUMIFS($J$4:$J1118,$D$4:$D1118,$D1118)-SUMIFS($K$4:$K1118,$D$4:$D1118,$D1118))</f>
        <v/>
      </c>
      <c r="M1118" s="80"/>
      <c r="N1118" s="80"/>
      <c r="O1118" s="94"/>
      <c r="P1118" s="26" t="str">
        <f t="shared" si="53"/>
        <v/>
      </c>
      <c r="Q1118" s="80"/>
      <c r="R1118" s="80"/>
      <c r="S1118" s="80"/>
      <c r="T1118" s="82"/>
      <c r="U1118" s="80"/>
      <c r="V1118" s="80"/>
      <c r="W1118" s="80"/>
    </row>
    <row r="1119" ht="18" customHeight="1" spans="1:23">
      <c r="A1119" s="87" t="str">
        <f t="shared" si="51"/>
        <v/>
      </c>
      <c r="B1119" s="78"/>
      <c r="C1119" s="80"/>
      <c r="D1119" s="79"/>
      <c r="E1119" s="80"/>
      <c r="F1119" s="79"/>
      <c r="G1119" s="25" t="str">
        <f t="shared" si="52"/>
        <v/>
      </c>
      <c r="H1119" s="88"/>
      <c r="I1119" s="93"/>
      <c r="J1119" s="97"/>
      <c r="K1119" s="88"/>
      <c r="L1119" s="25" t="str">
        <f>IF($D1119="","",SUMIFS($H$4:$H1119,$D$4:$D1119,$D1119)+SUMIFS($I$4:$I1119,$D$4:$D1119,$D1119)-SUMIFS($J$4:$J1119,$D$4:$D1119,$D1119)-SUMIFS($K$4:$K1119,$D$4:$D1119,$D1119))</f>
        <v/>
      </c>
      <c r="M1119" s="80"/>
      <c r="N1119" s="80"/>
      <c r="O1119" s="94"/>
      <c r="P1119" s="26" t="str">
        <f t="shared" si="53"/>
        <v/>
      </c>
      <c r="Q1119" s="80"/>
      <c r="R1119" s="80"/>
      <c r="S1119" s="80"/>
      <c r="T1119" s="82"/>
      <c r="U1119" s="80"/>
      <c r="V1119" s="80"/>
      <c r="W1119" s="80"/>
    </row>
    <row r="1120" ht="18" customHeight="1" spans="1:23">
      <c r="A1120" s="87" t="str">
        <f t="shared" si="51"/>
        <v/>
      </c>
      <c r="B1120" s="78"/>
      <c r="C1120" s="80"/>
      <c r="D1120" s="79"/>
      <c r="E1120" s="80"/>
      <c r="F1120" s="79"/>
      <c r="G1120" s="25" t="str">
        <f t="shared" si="52"/>
        <v/>
      </c>
      <c r="H1120" s="88"/>
      <c r="I1120" s="93"/>
      <c r="J1120" s="97"/>
      <c r="K1120" s="88"/>
      <c r="L1120" s="25" t="str">
        <f>IF($D1120="","",SUMIFS($H$4:$H1120,$D$4:$D1120,$D1120)+SUMIFS($I$4:$I1120,$D$4:$D1120,$D1120)-SUMIFS($J$4:$J1120,$D$4:$D1120,$D1120)-SUMIFS($K$4:$K1120,$D$4:$D1120,$D1120))</f>
        <v/>
      </c>
      <c r="M1120" s="80"/>
      <c r="N1120" s="80"/>
      <c r="O1120" s="94"/>
      <c r="P1120" s="26" t="str">
        <f t="shared" si="53"/>
        <v/>
      </c>
      <c r="Q1120" s="80"/>
      <c r="R1120" s="80"/>
      <c r="S1120" s="80"/>
      <c r="T1120" s="82"/>
      <c r="U1120" s="80"/>
      <c r="V1120" s="80"/>
      <c r="W1120" s="80"/>
    </row>
    <row r="1121" ht="18" customHeight="1" spans="1:23">
      <c r="A1121" s="87" t="str">
        <f t="shared" si="51"/>
        <v/>
      </c>
      <c r="B1121" s="78"/>
      <c r="C1121" s="80"/>
      <c r="D1121" s="79"/>
      <c r="E1121" s="80"/>
      <c r="F1121" s="79"/>
      <c r="G1121" s="25" t="str">
        <f t="shared" si="52"/>
        <v/>
      </c>
      <c r="H1121" s="88"/>
      <c r="I1121" s="93"/>
      <c r="J1121" s="97"/>
      <c r="K1121" s="88"/>
      <c r="L1121" s="25" t="str">
        <f>IF($D1121="","",SUMIFS($H$4:$H1121,$D$4:$D1121,$D1121)+SUMIFS($I$4:$I1121,$D$4:$D1121,$D1121)-SUMIFS($J$4:$J1121,$D$4:$D1121,$D1121)-SUMIFS($K$4:$K1121,$D$4:$D1121,$D1121))</f>
        <v/>
      </c>
      <c r="M1121" s="80"/>
      <c r="N1121" s="80"/>
      <c r="O1121" s="94"/>
      <c r="P1121" s="26" t="str">
        <f t="shared" si="53"/>
        <v/>
      </c>
      <c r="Q1121" s="80"/>
      <c r="R1121" s="80"/>
      <c r="S1121" s="80"/>
      <c r="T1121" s="82"/>
      <c r="U1121" s="80"/>
      <c r="V1121" s="80"/>
      <c r="W1121" s="80"/>
    </row>
    <row r="1122" ht="18" customHeight="1" spans="1:23">
      <c r="A1122" s="87" t="str">
        <f t="shared" si="51"/>
        <v/>
      </c>
      <c r="B1122" s="78"/>
      <c r="C1122" s="80"/>
      <c r="D1122" s="79"/>
      <c r="E1122" s="80"/>
      <c r="F1122" s="79"/>
      <c r="G1122" s="25" t="str">
        <f t="shared" si="52"/>
        <v/>
      </c>
      <c r="H1122" s="88"/>
      <c r="I1122" s="93"/>
      <c r="J1122" s="97"/>
      <c r="K1122" s="88"/>
      <c r="L1122" s="25" t="str">
        <f>IF($D1122="","",SUMIFS($H$4:$H1122,$D$4:$D1122,$D1122)+SUMIFS($I$4:$I1122,$D$4:$D1122,$D1122)-SUMIFS($J$4:$J1122,$D$4:$D1122,$D1122)-SUMIFS($K$4:$K1122,$D$4:$D1122,$D1122))</f>
        <v/>
      </c>
      <c r="M1122" s="80"/>
      <c r="N1122" s="80"/>
      <c r="O1122" s="94"/>
      <c r="P1122" s="26" t="str">
        <f t="shared" si="53"/>
        <v/>
      </c>
      <c r="Q1122" s="80"/>
      <c r="R1122" s="80"/>
      <c r="S1122" s="80"/>
      <c r="T1122" s="82"/>
      <c r="U1122" s="80"/>
      <c r="V1122" s="80"/>
      <c r="W1122" s="80"/>
    </row>
    <row r="1123" ht="18" customHeight="1" spans="1:23">
      <c r="A1123" s="87" t="str">
        <f t="shared" si="51"/>
        <v/>
      </c>
      <c r="B1123" s="78"/>
      <c r="C1123" s="80"/>
      <c r="D1123" s="79"/>
      <c r="E1123" s="80"/>
      <c r="F1123" s="79"/>
      <c r="G1123" s="25" t="str">
        <f t="shared" si="52"/>
        <v/>
      </c>
      <c r="H1123" s="88"/>
      <c r="I1123" s="93"/>
      <c r="J1123" s="97"/>
      <c r="K1123" s="88"/>
      <c r="L1123" s="25" t="str">
        <f>IF($D1123="","",SUMIFS($H$4:$H1123,$D$4:$D1123,$D1123)+SUMIFS($I$4:$I1123,$D$4:$D1123,$D1123)-SUMIFS($J$4:$J1123,$D$4:$D1123,$D1123)-SUMIFS($K$4:$K1123,$D$4:$D1123,$D1123))</f>
        <v/>
      </c>
      <c r="M1123" s="80"/>
      <c r="N1123" s="80"/>
      <c r="O1123" s="94"/>
      <c r="P1123" s="26" t="str">
        <f t="shared" si="53"/>
        <v/>
      </c>
      <c r="Q1123" s="80"/>
      <c r="R1123" s="80"/>
      <c r="S1123" s="80"/>
      <c r="T1123" s="82"/>
      <c r="U1123" s="80"/>
      <c r="V1123" s="80"/>
      <c r="W1123" s="80"/>
    </row>
    <row r="1124" ht="18" customHeight="1" spans="1:23">
      <c r="A1124" s="87" t="str">
        <f t="shared" si="51"/>
        <v/>
      </c>
      <c r="B1124" s="78"/>
      <c r="C1124" s="80"/>
      <c r="D1124" s="79"/>
      <c r="E1124" s="80"/>
      <c r="F1124" s="79"/>
      <c r="G1124" s="25" t="str">
        <f t="shared" si="52"/>
        <v/>
      </c>
      <c r="H1124" s="88"/>
      <c r="I1124" s="93"/>
      <c r="J1124" s="97"/>
      <c r="K1124" s="88"/>
      <c r="L1124" s="25" t="str">
        <f>IF($D1124="","",SUMIFS($H$4:$H1124,$D$4:$D1124,$D1124)+SUMIFS($I$4:$I1124,$D$4:$D1124,$D1124)-SUMIFS($J$4:$J1124,$D$4:$D1124,$D1124)-SUMIFS($K$4:$K1124,$D$4:$D1124,$D1124))</f>
        <v/>
      </c>
      <c r="M1124" s="80"/>
      <c r="N1124" s="80"/>
      <c r="O1124" s="94"/>
      <c r="P1124" s="26" t="str">
        <f t="shared" si="53"/>
        <v/>
      </c>
      <c r="Q1124" s="80"/>
      <c r="R1124" s="80"/>
      <c r="S1124" s="80"/>
      <c r="T1124" s="82"/>
      <c r="U1124" s="80"/>
      <c r="V1124" s="80"/>
      <c r="W1124" s="80"/>
    </row>
    <row r="1125" ht="18" customHeight="1" spans="1:23">
      <c r="A1125" s="87" t="str">
        <f t="shared" si="51"/>
        <v/>
      </c>
      <c r="B1125" s="78"/>
      <c r="C1125" s="80"/>
      <c r="D1125" s="79"/>
      <c r="E1125" s="80"/>
      <c r="F1125" s="79"/>
      <c r="G1125" s="25" t="str">
        <f t="shared" si="52"/>
        <v/>
      </c>
      <c r="H1125" s="88"/>
      <c r="I1125" s="93"/>
      <c r="J1125" s="97"/>
      <c r="K1125" s="88"/>
      <c r="L1125" s="25" t="str">
        <f>IF($D1125="","",SUMIFS($H$4:$H1125,$D$4:$D1125,$D1125)+SUMIFS($I$4:$I1125,$D$4:$D1125,$D1125)-SUMIFS($J$4:$J1125,$D$4:$D1125,$D1125)-SUMIFS($K$4:$K1125,$D$4:$D1125,$D1125))</f>
        <v/>
      </c>
      <c r="M1125" s="80"/>
      <c r="N1125" s="80"/>
      <c r="O1125" s="94"/>
      <c r="P1125" s="26" t="str">
        <f t="shared" si="53"/>
        <v/>
      </c>
      <c r="Q1125" s="80"/>
      <c r="R1125" s="80"/>
      <c r="S1125" s="80"/>
      <c r="T1125" s="82"/>
      <c r="U1125" s="80"/>
      <c r="V1125" s="80"/>
      <c r="W1125" s="80"/>
    </row>
    <row r="1126" ht="18" customHeight="1" spans="1:23">
      <c r="A1126" s="87" t="str">
        <f t="shared" si="51"/>
        <v/>
      </c>
      <c r="B1126" s="78"/>
      <c r="C1126" s="80"/>
      <c r="D1126" s="79"/>
      <c r="E1126" s="80"/>
      <c r="F1126" s="79"/>
      <c r="G1126" s="25" t="str">
        <f t="shared" si="52"/>
        <v/>
      </c>
      <c r="H1126" s="88"/>
      <c r="I1126" s="93"/>
      <c r="J1126" s="97"/>
      <c r="K1126" s="88"/>
      <c r="L1126" s="25" t="str">
        <f>IF($D1126="","",SUMIFS($H$4:$H1126,$D$4:$D1126,$D1126)+SUMIFS($I$4:$I1126,$D$4:$D1126,$D1126)-SUMIFS($J$4:$J1126,$D$4:$D1126,$D1126)-SUMIFS($K$4:$K1126,$D$4:$D1126,$D1126))</f>
        <v/>
      </c>
      <c r="M1126" s="80"/>
      <c r="N1126" s="80"/>
      <c r="O1126" s="94"/>
      <c r="P1126" s="26" t="str">
        <f t="shared" si="53"/>
        <v/>
      </c>
      <c r="Q1126" s="80"/>
      <c r="R1126" s="80"/>
      <c r="S1126" s="80"/>
      <c r="T1126" s="82"/>
      <c r="U1126" s="80"/>
      <c r="V1126" s="80"/>
      <c r="W1126" s="80"/>
    </row>
    <row r="1127" ht="18" customHeight="1" spans="1:23">
      <c r="A1127" s="87" t="str">
        <f t="shared" si="51"/>
        <v/>
      </c>
      <c r="B1127" s="78"/>
      <c r="C1127" s="80"/>
      <c r="D1127" s="79"/>
      <c r="E1127" s="80"/>
      <c r="F1127" s="79"/>
      <c r="G1127" s="25" t="str">
        <f t="shared" si="52"/>
        <v/>
      </c>
      <c r="H1127" s="88"/>
      <c r="I1127" s="93"/>
      <c r="J1127" s="97"/>
      <c r="K1127" s="88"/>
      <c r="L1127" s="25" t="str">
        <f>IF($D1127="","",SUMIFS($H$4:$H1127,$D$4:$D1127,$D1127)+SUMIFS($I$4:$I1127,$D$4:$D1127,$D1127)-SUMIFS($J$4:$J1127,$D$4:$D1127,$D1127)-SUMIFS($K$4:$K1127,$D$4:$D1127,$D1127))</f>
        <v/>
      </c>
      <c r="M1127" s="80"/>
      <c r="N1127" s="80"/>
      <c r="O1127" s="94"/>
      <c r="P1127" s="26" t="str">
        <f t="shared" si="53"/>
        <v/>
      </c>
      <c r="Q1127" s="80"/>
      <c r="R1127" s="80"/>
      <c r="S1127" s="80"/>
      <c r="T1127" s="82"/>
      <c r="U1127" s="80"/>
      <c r="V1127" s="80"/>
      <c r="W1127" s="80"/>
    </row>
    <row r="1128" ht="18" customHeight="1" spans="1:23">
      <c r="A1128" s="87" t="str">
        <f t="shared" si="51"/>
        <v/>
      </c>
      <c r="B1128" s="78"/>
      <c r="C1128" s="80"/>
      <c r="D1128" s="79"/>
      <c r="E1128" s="80"/>
      <c r="F1128" s="79"/>
      <c r="G1128" s="25" t="str">
        <f t="shared" si="52"/>
        <v/>
      </c>
      <c r="H1128" s="88"/>
      <c r="I1128" s="93"/>
      <c r="J1128" s="97"/>
      <c r="K1128" s="88"/>
      <c r="L1128" s="25" t="str">
        <f>IF($D1128="","",SUMIFS($H$4:$H1128,$D$4:$D1128,$D1128)+SUMIFS($I$4:$I1128,$D$4:$D1128,$D1128)-SUMIFS($J$4:$J1128,$D$4:$D1128,$D1128)-SUMIFS($K$4:$K1128,$D$4:$D1128,$D1128))</f>
        <v/>
      </c>
      <c r="M1128" s="80"/>
      <c r="N1128" s="80"/>
      <c r="O1128" s="94"/>
      <c r="P1128" s="26" t="str">
        <f t="shared" si="53"/>
        <v/>
      </c>
      <c r="Q1128" s="80"/>
      <c r="R1128" s="80"/>
      <c r="S1128" s="80"/>
      <c r="T1128" s="82"/>
      <c r="U1128" s="80"/>
      <c r="V1128" s="80"/>
      <c r="W1128" s="80"/>
    </row>
    <row r="1129" ht="18" customHeight="1" spans="1:23">
      <c r="A1129" s="87" t="str">
        <f t="shared" si="51"/>
        <v/>
      </c>
      <c r="B1129" s="78"/>
      <c r="C1129" s="80"/>
      <c r="D1129" s="79"/>
      <c r="E1129" s="80"/>
      <c r="F1129" s="79"/>
      <c r="G1129" s="25" t="str">
        <f t="shared" si="52"/>
        <v/>
      </c>
      <c r="H1129" s="88"/>
      <c r="I1129" s="93"/>
      <c r="J1129" s="97"/>
      <c r="K1129" s="88"/>
      <c r="L1129" s="25" t="str">
        <f>IF($D1129="","",SUMIFS($H$4:$H1129,$D$4:$D1129,$D1129)+SUMIFS($I$4:$I1129,$D$4:$D1129,$D1129)-SUMIFS($J$4:$J1129,$D$4:$D1129,$D1129)-SUMIFS($K$4:$K1129,$D$4:$D1129,$D1129))</f>
        <v/>
      </c>
      <c r="M1129" s="80"/>
      <c r="N1129" s="80"/>
      <c r="O1129" s="94"/>
      <c r="P1129" s="26" t="str">
        <f t="shared" si="53"/>
        <v/>
      </c>
      <c r="Q1129" s="80"/>
      <c r="R1129" s="80"/>
      <c r="S1129" s="80"/>
      <c r="T1129" s="82"/>
      <c r="U1129" s="80"/>
      <c r="V1129" s="80"/>
      <c r="W1129" s="80"/>
    </row>
    <row r="1130" ht="18" customHeight="1" spans="1:23">
      <c r="A1130" s="87" t="str">
        <f t="shared" si="51"/>
        <v/>
      </c>
      <c r="B1130" s="78"/>
      <c r="C1130" s="80"/>
      <c r="D1130" s="79"/>
      <c r="E1130" s="80"/>
      <c r="F1130" s="79"/>
      <c r="G1130" s="25" t="str">
        <f t="shared" si="52"/>
        <v/>
      </c>
      <c r="H1130" s="88"/>
      <c r="I1130" s="93"/>
      <c r="J1130" s="97"/>
      <c r="K1130" s="88"/>
      <c r="L1130" s="25" t="str">
        <f>IF($D1130="","",SUMIFS($H$4:$H1130,$D$4:$D1130,$D1130)+SUMIFS($I$4:$I1130,$D$4:$D1130,$D1130)-SUMIFS($J$4:$J1130,$D$4:$D1130,$D1130)-SUMIFS($K$4:$K1130,$D$4:$D1130,$D1130))</f>
        <v/>
      </c>
      <c r="M1130" s="80"/>
      <c r="N1130" s="80"/>
      <c r="O1130" s="94"/>
      <c r="P1130" s="26" t="str">
        <f t="shared" si="53"/>
        <v/>
      </c>
      <c r="Q1130" s="80"/>
      <c r="R1130" s="80"/>
      <c r="S1130" s="80"/>
      <c r="T1130" s="82"/>
      <c r="U1130" s="80"/>
      <c r="V1130" s="80"/>
      <c r="W1130" s="80"/>
    </row>
    <row r="1131" ht="18" customHeight="1" spans="1:23">
      <c r="A1131" s="87" t="str">
        <f t="shared" si="51"/>
        <v/>
      </c>
      <c r="B1131" s="78"/>
      <c r="C1131" s="80"/>
      <c r="D1131" s="79"/>
      <c r="E1131" s="80"/>
      <c r="F1131" s="79"/>
      <c r="G1131" s="25" t="str">
        <f t="shared" si="52"/>
        <v/>
      </c>
      <c r="H1131" s="88"/>
      <c r="I1131" s="93"/>
      <c r="J1131" s="97"/>
      <c r="K1131" s="88"/>
      <c r="L1131" s="25" t="str">
        <f>IF($D1131="","",SUMIFS($H$4:$H1131,$D$4:$D1131,$D1131)+SUMIFS($I$4:$I1131,$D$4:$D1131,$D1131)-SUMIFS($J$4:$J1131,$D$4:$D1131,$D1131)-SUMIFS($K$4:$K1131,$D$4:$D1131,$D1131))</f>
        <v/>
      </c>
      <c r="M1131" s="80"/>
      <c r="N1131" s="80"/>
      <c r="O1131" s="94"/>
      <c r="P1131" s="26" t="str">
        <f t="shared" si="53"/>
        <v/>
      </c>
      <c r="Q1131" s="80"/>
      <c r="R1131" s="80"/>
      <c r="S1131" s="80"/>
      <c r="T1131" s="82"/>
      <c r="U1131" s="80"/>
      <c r="V1131" s="80"/>
      <c r="W1131" s="80"/>
    </row>
    <row r="1132" ht="18" customHeight="1" spans="1:23">
      <c r="A1132" s="87" t="str">
        <f t="shared" si="51"/>
        <v/>
      </c>
      <c r="B1132" s="78"/>
      <c r="C1132" s="80"/>
      <c r="D1132" s="79"/>
      <c r="E1132" s="80"/>
      <c r="F1132" s="79"/>
      <c r="G1132" s="25" t="str">
        <f t="shared" si="52"/>
        <v/>
      </c>
      <c r="H1132" s="88"/>
      <c r="I1132" s="93"/>
      <c r="J1132" s="97"/>
      <c r="K1132" s="88"/>
      <c r="L1132" s="25" t="str">
        <f>IF($D1132="","",SUMIFS($H$4:$H1132,$D$4:$D1132,$D1132)+SUMIFS($I$4:$I1132,$D$4:$D1132,$D1132)-SUMIFS($J$4:$J1132,$D$4:$D1132,$D1132)-SUMIFS($K$4:$K1132,$D$4:$D1132,$D1132))</f>
        <v/>
      </c>
      <c r="M1132" s="80"/>
      <c r="N1132" s="80"/>
      <c r="O1132" s="94"/>
      <c r="P1132" s="26" t="str">
        <f t="shared" si="53"/>
        <v/>
      </c>
      <c r="Q1132" s="80"/>
      <c r="R1132" s="80"/>
      <c r="S1132" s="80"/>
      <c r="T1132" s="82"/>
      <c r="U1132" s="80"/>
      <c r="V1132" s="80"/>
      <c r="W1132" s="80"/>
    </row>
    <row r="1133" ht="18" customHeight="1" spans="1:23">
      <c r="A1133" s="87" t="str">
        <f t="shared" si="51"/>
        <v/>
      </c>
      <c r="B1133" s="78"/>
      <c r="C1133" s="80"/>
      <c r="D1133" s="79"/>
      <c r="E1133" s="80"/>
      <c r="F1133" s="79"/>
      <c r="G1133" s="25" t="str">
        <f t="shared" si="52"/>
        <v/>
      </c>
      <c r="H1133" s="88"/>
      <c r="I1133" s="93"/>
      <c r="J1133" s="97"/>
      <c r="K1133" s="88"/>
      <c r="L1133" s="25" t="str">
        <f>IF($D1133="","",SUMIFS($H$4:$H1133,$D$4:$D1133,$D1133)+SUMIFS($I$4:$I1133,$D$4:$D1133,$D1133)-SUMIFS($J$4:$J1133,$D$4:$D1133,$D1133)-SUMIFS($K$4:$K1133,$D$4:$D1133,$D1133))</f>
        <v/>
      </c>
      <c r="M1133" s="80"/>
      <c r="N1133" s="80"/>
      <c r="O1133" s="94"/>
      <c r="P1133" s="26" t="str">
        <f t="shared" si="53"/>
        <v/>
      </c>
      <c r="Q1133" s="80"/>
      <c r="R1133" s="80"/>
      <c r="S1133" s="80"/>
      <c r="T1133" s="82"/>
      <c r="U1133" s="80"/>
      <c r="V1133" s="80"/>
      <c r="W1133" s="80"/>
    </row>
    <row r="1134" ht="18" customHeight="1" spans="1:23">
      <c r="A1134" s="87" t="str">
        <f t="shared" si="51"/>
        <v/>
      </c>
      <c r="B1134" s="78"/>
      <c r="C1134" s="80"/>
      <c r="D1134" s="79"/>
      <c r="E1134" s="80"/>
      <c r="F1134" s="79"/>
      <c r="G1134" s="25" t="str">
        <f t="shared" si="52"/>
        <v/>
      </c>
      <c r="H1134" s="88"/>
      <c r="I1134" s="93"/>
      <c r="J1134" s="97"/>
      <c r="K1134" s="88"/>
      <c r="L1134" s="25" t="str">
        <f>IF($D1134="","",SUMIFS($H$4:$H1134,$D$4:$D1134,$D1134)+SUMIFS($I$4:$I1134,$D$4:$D1134,$D1134)-SUMIFS($J$4:$J1134,$D$4:$D1134,$D1134)-SUMIFS($K$4:$K1134,$D$4:$D1134,$D1134))</f>
        <v/>
      </c>
      <c r="M1134" s="80"/>
      <c r="N1134" s="80"/>
      <c r="O1134" s="94"/>
      <c r="P1134" s="26" t="str">
        <f t="shared" si="53"/>
        <v/>
      </c>
      <c r="Q1134" s="80"/>
      <c r="R1134" s="80"/>
      <c r="S1134" s="80"/>
      <c r="T1134" s="82"/>
      <c r="U1134" s="80"/>
      <c r="V1134" s="80"/>
      <c r="W1134" s="80"/>
    </row>
    <row r="1135" ht="18" customHeight="1" spans="1:23">
      <c r="A1135" s="87" t="str">
        <f t="shared" si="51"/>
        <v/>
      </c>
      <c r="B1135" s="78"/>
      <c r="C1135" s="80"/>
      <c r="D1135" s="79"/>
      <c r="E1135" s="80"/>
      <c r="F1135" s="79"/>
      <c r="G1135" s="25" t="str">
        <f t="shared" si="52"/>
        <v/>
      </c>
      <c r="H1135" s="88"/>
      <c r="I1135" s="93"/>
      <c r="J1135" s="97"/>
      <c r="K1135" s="88"/>
      <c r="L1135" s="25" t="str">
        <f>IF($D1135="","",SUMIFS($H$4:$H1135,$D$4:$D1135,$D1135)+SUMIFS($I$4:$I1135,$D$4:$D1135,$D1135)-SUMIFS($J$4:$J1135,$D$4:$D1135,$D1135)-SUMIFS($K$4:$K1135,$D$4:$D1135,$D1135))</f>
        <v/>
      </c>
      <c r="M1135" s="80"/>
      <c r="N1135" s="80"/>
      <c r="O1135" s="94"/>
      <c r="P1135" s="26" t="str">
        <f t="shared" si="53"/>
        <v/>
      </c>
      <c r="Q1135" s="80"/>
      <c r="R1135" s="80"/>
      <c r="S1135" s="80"/>
      <c r="T1135" s="82"/>
      <c r="U1135" s="80"/>
      <c r="V1135" s="80"/>
      <c r="W1135" s="80"/>
    </row>
    <row r="1136" ht="18" customHeight="1" spans="1:23">
      <c r="A1136" s="87" t="str">
        <f t="shared" si="51"/>
        <v/>
      </c>
      <c r="B1136" s="78"/>
      <c r="C1136" s="80"/>
      <c r="D1136" s="79"/>
      <c r="E1136" s="80"/>
      <c r="F1136" s="79"/>
      <c r="G1136" s="25" t="str">
        <f t="shared" si="52"/>
        <v/>
      </c>
      <c r="H1136" s="88"/>
      <c r="I1136" s="93"/>
      <c r="J1136" s="97"/>
      <c r="K1136" s="88"/>
      <c r="L1136" s="25" t="str">
        <f>IF($D1136="","",SUMIFS($H$4:$H1136,$D$4:$D1136,$D1136)+SUMIFS($I$4:$I1136,$D$4:$D1136,$D1136)-SUMIFS($J$4:$J1136,$D$4:$D1136,$D1136)-SUMIFS($K$4:$K1136,$D$4:$D1136,$D1136))</f>
        <v/>
      </c>
      <c r="M1136" s="80"/>
      <c r="N1136" s="80"/>
      <c r="O1136" s="94"/>
      <c r="P1136" s="26" t="str">
        <f t="shared" si="53"/>
        <v/>
      </c>
      <c r="Q1136" s="80"/>
      <c r="R1136" s="80"/>
      <c r="S1136" s="80"/>
      <c r="T1136" s="82"/>
      <c r="U1136" s="80"/>
      <c r="V1136" s="80"/>
      <c r="W1136" s="80"/>
    </row>
    <row r="1137" ht="18" customHeight="1" spans="1:23">
      <c r="A1137" s="87" t="str">
        <f t="shared" si="51"/>
        <v/>
      </c>
      <c r="B1137" s="78"/>
      <c r="C1137" s="80"/>
      <c r="D1137" s="79"/>
      <c r="E1137" s="80"/>
      <c r="F1137" s="79"/>
      <c r="G1137" s="25" t="str">
        <f t="shared" si="52"/>
        <v/>
      </c>
      <c r="H1137" s="88"/>
      <c r="I1137" s="93"/>
      <c r="J1137" s="97"/>
      <c r="K1137" s="88"/>
      <c r="L1137" s="25" t="str">
        <f>IF($D1137="","",SUMIFS($H$4:$H1137,$D$4:$D1137,$D1137)+SUMIFS($I$4:$I1137,$D$4:$D1137,$D1137)-SUMIFS($J$4:$J1137,$D$4:$D1137,$D1137)-SUMIFS($K$4:$K1137,$D$4:$D1137,$D1137))</f>
        <v/>
      </c>
      <c r="M1137" s="80"/>
      <c r="N1137" s="80"/>
      <c r="O1137" s="94"/>
      <c r="P1137" s="26" t="str">
        <f t="shared" si="53"/>
        <v/>
      </c>
      <c r="Q1137" s="80"/>
      <c r="R1137" s="80"/>
      <c r="S1137" s="80"/>
      <c r="T1137" s="82"/>
      <c r="U1137" s="80"/>
      <c r="V1137" s="80"/>
      <c r="W1137" s="80"/>
    </row>
    <row r="1138" ht="18" customHeight="1" spans="1:23">
      <c r="A1138" s="87" t="str">
        <f t="shared" si="51"/>
        <v/>
      </c>
      <c r="B1138" s="78"/>
      <c r="C1138" s="80"/>
      <c r="D1138" s="79"/>
      <c r="E1138" s="80"/>
      <c r="F1138" s="79"/>
      <c r="G1138" s="25" t="str">
        <f t="shared" si="52"/>
        <v/>
      </c>
      <c r="H1138" s="88"/>
      <c r="I1138" s="93"/>
      <c r="J1138" s="97"/>
      <c r="K1138" s="88"/>
      <c r="L1138" s="25" t="str">
        <f>IF($D1138="","",SUMIFS($H$4:$H1138,$D$4:$D1138,$D1138)+SUMIFS($I$4:$I1138,$D$4:$D1138,$D1138)-SUMIFS($J$4:$J1138,$D$4:$D1138,$D1138)-SUMIFS($K$4:$K1138,$D$4:$D1138,$D1138))</f>
        <v/>
      </c>
      <c r="M1138" s="80"/>
      <c r="N1138" s="80"/>
      <c r="O1138" s="94"/>
      <c r="P1138" s="26" t="str">
        <f t="shared" si="53"/>
        <v/>
      </c>
      <c r="Q1138" s="80"/>
      <c r="R1138" s="80"/>
      <c r="S1138" s="80"/>
      <c r="T1138" s="82"/>
      <c r="U1138" s="80"/>
      <c r="V1138" s="80"/>
      <c r="W1138" s="80"/>
    </row>
    <row r="1139" ht="18" customHeight="1" spans="1:23">
      <c r="A1139" s="87" t="str">
        <f t="shared" si="51"/>
        <v/>
      </c>
      <c r="B1139" s="78"/>
      <c r="C1139" s="80"/>
      <c r="D1139" s="79"/>
      <c r="E1139" s="80"/>
      <c r="F1139" s="79"/>
      <c r="G1139" s="25" t="str">
        <f t="shared" si="52"/>
        <v/>
      </c>
      <c r="H1139" s="88"/>
      <c r="I1139" s="93"/>
      <c r="J1139" s="97"/>
      <c r="K1139" s="88"/>
      <c r="L1139" s="25" t="str">
        <f>IF($D1139="","",SUMIFS($H$4:$H1139,$D$4:$D1139,$D1139)+SUMIFS($I$4:$I1139,$D$4:$D1139,$D1139)-SUMIFS($J$4:$J1139,$D$4:$D1139,$D1139)-SUMIFS($K$4:$K1139,$D$4:$D1139,$D1139))</f>
        <v/>
      </c>
      <c r="M1139" s="80"/>
      <c r="N1139" s="80"/>
      <c r="O1139" s="94"/>
      <c r="P1139" s="26" t="str">
        <f t="shared" si="53"/>
        <v/>
      </c>
      <c r="Q1139" s="80"/>
      <c r="R1139" s="80"/>
      <c r="S1139" s="80"/>
      <c r="T1139" s="82"/>
      <c r="U1139" s="80"/>
      <c r="V1139" s="80"/>
      <c r="W1139" s="80"/>
    </row>
    <row r="1140" ht="18" customHeight="1" spans="1:23">
      <c r="A1140" s="87" t="str">
        <f t="shared" si="51"/>
        <v/>
      </c>
      <c r="B1140" s="78"/>
      <c r="C1140" s="80"/>
      <c r="D1140" s="79"/>
      <c r="E1140" s="80"/>
      <c r="F1140" s="79"/>
      <c r="G1140" s="25" t="str">
        <f t="shared" si="52"/>
        <v/>
      </c>
      <c r="H1140" s="88"/>
      <c r="I1140" s="93"/>
      <c r="J1140" s="97"/>
      <c r="K1140" s="88"/>
      <c r="L1140" s="25" t="str">
        <f>IF($D1140="","",SUMIFS($H$4:$H1140,$D$4:$D1140,$D1140)+SUMIFS($I$4:$I1140,$D$4:$D1140,$D1140)-SUMIFS($J$4:$J1140,$D$4:$D1140,$D1140)-SUMIFS($K$4:$K1140,$D$4:$D1140,$D1140))</f>
        <v/>
      </c>
      <c r="M1140" s="80"/>
      <c r="N1140" s="80"/>
      <c r="O1140" s="94"/>
      <c r="P1140" s="26" t="str">
        <f t="shared" si="53"/>
        <v/>
      </c>
      <c r="Q1140" s="80"/>
      <c r="R1140" s="80"/>
      <c r="S1140" s="80"/>
      <c r="T1140" s="82"/>
      <c r="U1140" s="80"/>
      <c r="V1140" s="80"/>
      <c r="W1140" s="80"/>
    </row>
    <row r="1141" ht="18" customHeight="1" spans="1:23">
      <c r="A1141" s="87" t="str">
        <f t="shared" si="51"/>
        <v/>
      </c>
      <c r="B1141" s="78"/>
      <c r="C1141" s="80"/>
      <c r="D1141" s="79"/>
      <c r="E1141" s="80"/>
      <c r="F1141" s="79"/>
      <c r="G1141" s="25" t="str">
        <f t="shared" si="52"/>
        <v/>
      </c>
      <c r="H1141" s="88"/>
      <c r="I1141" s="93"/>
      <c r="J1141" s="97"/>
      <c r="K1141" s="88"/>
      <c r="L1141" s="25" t="str">
        <f>IF($D1141="","",SUMIFS($H$4:$H1141,$D$4:$D1141,$D1141)+SUMIFS($I$4:$I1141,$D$4:$D1141,$D1141)-SUMIFS($J$4:$J1141,$D$4:$D1141,$D1141)-SUMIFS($K$4:$K1141,$D$4:$D1141,$D1141))</f>
        <v/>
      </c>
      <c r="M1141" s="80"/>
      <c r="N1141" s="80"/>
      <c r="O1141" s="94"/>
      <c r="P1141" s="26" t="str">
        <f t="shared" si="53"/>
        <v/>
      </c>
      <c r="Q1141" s="80"/>
      <c r="R1141" s="80"/>
      <c r="S1141" s="80"/>
      <c r="T1141" s="82"/>
      <c r="U1141" s="80"/>
      <c r="V1141" s="80"/>
      <c r="W1141" s="80"/>
    </row>
    <row r="1142" ht="18" customHeight="1" spans="1:23">
      <c r="A1142" s="87" t="str">
        <f t="shared" si="51"/>
        <v/>
      </c>
      <c r="B1142" s="78"/>
      <c r="C1142" s="80"/>
      <c r="D1142" s="79"/>
      <c r="E1142" s="80"/>
      <c r="F1142" s="79"/>
      <c r="G1142" s="25" t="str">
        <f t="shared" si="52"/>
        <v/>
      </c>
      <c r="H1142" s="88"/>
      <c r="I1142" s="93"/>
      <c r="J1142" s="97"/>
      <c r="K1142" s="88"/>
      <c r="L1142" s="25" t="str">
        <f>IF($D1142="","",SUMIFS($H$4:$H1142,$D$4:$D1142,$D1142)+SUMIFS($I$4:$I1142,$D$4:$D1142,$D1142)-SUMIFS($J$4:$J1142,$D$4:$D1142,$D1142)-SUMIFS($K$4:$K1142,$D$4:$D1142,$D1142))</f>
        <v/>
      </c>
      <c r="M1142" s="80"/>
      <c r="N1142" s="80"/>
      <c r="O1142" s="94"/>
      <c r="P1142" s="26" t="str">
        <f t="shared" si="53"/>
        <v/>
      </c>
      <c r="Q1142" s="80"/>
      <c r="R1142" s="80"/>
      <c r="S1142" s="80"/>
      <c r="T1142" s="82"/>
      <c r="U1142" s="80"/>
      <c r="V1142" s="80"/>
      <c r="W1142" s="80"/>
    </row>
    <row r="1143" ht="18" customHeight="1" spans="1:23">
      <c r="A1143" s="87" t="str">
        <f t="shared" si="51"/>
        <v/>
      </c>
      <c r="B1143" s="78"/>
      <c r="C1143" s="80"/>
      <c r="D1143" s="79"/>
      <c r="E1143" s="80"/>
      <c r="F1143" s="79"/>
      <c r="G1143" s="25" t="str">
        <f t="shared" si="52"/>
        <v/>
      </c>
      <c r="H1143" s="88"/>
      <c r="I1143" s="93"/>
      <c r="J1143" s="97"/>
      <c r="K1143" s="88"/>
      <c r="L1143" s="25" t="str">
        <f>IF($D1143="","",SUMIFS($H$4:$H1143,$D$4:$D1143,$D1143)+SUMIFS($I$4:$I1143,$D$4:$D1143,$D1143)-SUMIFS($J$4:$J1143,$D$4:$D1143,$D1143)-SUMIFS($K$4:$K1143,$D$4:$D1143,$D1143))</f>
        <v/>
      </c>
      <c r="M1143" s="80"/>
      <c r="N1143" s="80"/>
      <c r="O1143" s="94"/>
      <c r="P1143" s="26" t="str">
        <f t="shared" si="53"/>
        <v/>
      </c>
      <c r="Q1143" s="80"/>
      <c r="R1143" s="80"/>
      <c r="S1143" s="80"/>
      <c r="T1143" s="82"/>
      <c r="U1143" s="80"/>
      <c r="V1143" s="80"/>
      <c r="W1143" s="80"/>
    </row>
    <row r="1144" ht="18" customHeight="1" spans="1:23">
      <c r="A1144" s="87" t="str">
        <f t="shared" si="51"/>
        <v/>
      </c>
      <c r="B1144" s="78"/>
      <c r="C1144" s="80"/>
      <c r="D1144" s="79"/>
      <c r="E1144" s="80"/>
      <c r="F1144" s="79"/>
      <c r="G1144" s="25" t="str">
        <f t="shared" si="52"/>
        <v/>
      </c>
      <c r="H1144" s="88"/>
      <c r="I1144" s="93"/>
      <c r="J1144" s="97"/>
      <c r="K1144" s="88"/>
      <c r="L1144" s="25" t="str">
        <f>IF($D1144="","",SUMIFS($H$4:$H1144,$D$4:$D1144,$D1144)+SUMIFS($I$4:$I1144,$D$4:$D1144,$D1144)-SUMIFS($J$4:$J1144,$D$4:$D1144,$D1144)-SUMIFS($K$4:$K1144,$D$4:$D1144,$D1144))</f>
        <v/>
      </c>
      <c r="M1144" s="80"/>
      <c r="N1144" s="80"/>
      <c r="O1144" s="94"/>
      <c r="P1144" s="26" t="str">
        <f t="shared" si="53"/>
        <v/>
      </c>
      <c r="Q1144" s="80"/>
      <c r="R1144" s="80"/>
      <c r="S1144" s="80"/>
      <c r="T1144" s="82"/>
      <c r="U1144" s="80"/>
      <c r="V1144" s="80"/>
      <c r="W1144" s="80"/>
    </row>
    <row r="1145" ht="18" customHeight="1" spans="1:23">
      <c r="A1145" s="87" t="str">
        <f t="shared" si="51"/>
        <v/>
      </c>
      <c r="B1145" s="78"/>
      <c r="C1145" s="80"/>
      <c r="D1145" s="79"/>
      <c r="E1145" s="80"/>
      <c r="F1145" s="79"/>
      <c r="G1145" s="25" t="str">
        <f t="shared" si="52"/>
        <v/>
      </c>
      <c r="H1145" s="88"/>
      <c r="I1145" s="93"/>
      <c r="J1145" s="97"/>
      <c r="K1145" s="88"/>
      <c r="L1145" s="25" t="str">
        <f>IF($D1145="","",SUMIFS($H$4:$H1145,$D$4:$D1145,$D1145)+SUMIFS($I$4:$I1145,$D$4:$D1145,$D1145)-SUMIFS($J$4:$J1145,$D$4:$D1145,$D1145)-SUMIFS($K$4:$K1145,$D$4:$D1145,$D1145))</f>
        <v/>
      </c>
      <c r="M1145" s="80"/>
      <c r="N1145" s="80"/>
      <c r="O1145" s="94"/>
      <c r="P1145" s="26" t="str">
        <f t="shared" si="53"/>
        <v/>
      </c>
      <c r="Q1145" s="80"/>
      <c r="R1145" s="80"/>
      <c r="S1145" s="80"/>
      <c r="T1145" s="82"/>
      <c r="U1145" s="80"/>
      <c r="V1145" s="80"/>
      <c r="W1145" s="80"/>
    </row>
    <row r="1146" ht="18" customHeight="1" spans="1:23">
      <c r="A1146" s="87" t="str">
        <f t="shared" si="51"/>
        <v/>
      </c>
      <c r="B1146" s="78"/>
      <c r="C1146" s="80"/>
      <c r="D1146" s="79"/>
      <c r="E1146" s="80"/>
      <c r="F1146" s="79"/>
      <c r="G1146" s="25" t="str">
        <f t="shared" si="52"/>
        <v/>
      </c>
      <c r="H1146" s="88"/>
      <c r="I1146" s="93"/>
      <c r="J1146" s="97"/>
      <c r="K1146" s="88"/>
      <c r="L1146" s="25" t="str">
        <f>IF($D1146="","",SUMIFS($H$4:$H1146,$D$4:$D1146,$D1146)+SUMIFS($I$4:$I1146,$D$4:$D1146,$D1146)-SUMIFS($J$4:$J1146,$D$4:$D1146,$D1146)-SUMIFS($K$4:$K1146,$D$4:$D1146,$D1146))</f>
        <v/>
      </c>
      <c r="M1146" s="80"/>
      <c r="N1146" s="80"/>
      <c r="O1146" s="94"/>
      <c r="P1146" s="26" t="str">
        <f t="shared" si="53"/>
        <v/>
      </c>
      <c r="Q1146" s="80"/>
      <c r="R1146" s="80"/>
      <c r="S1146" s="80"/>
      <c r="T1146" s="82"/>
      <c r="U1146" s="80"/>
      <c r="V1146" s="80"/>
      <c r="W1146" s="80"/>
    </row>
    <row r="1147" ht="18" customHeight="1" spans="1:23">
      <c r="A1147" s="87" t="str">
        <f t="shared" si="51"/>
        <v/>
      </c>
      <c r="B1147" s="78"/>
      <c r="C1147" s="80"/>
      <c r="D1147" s="79"/>
      <c r="E1147" s="80"/>
      <c r="F1147" s="79"/>
      <c r="G1147" s="25" t="str">
        <f t="shared" si="52"/>
        <v/>
      </c>
      <c r="H1147" s="88"/>
      <c r="I1147" s="93"/>
      <c r="J1147" s="97"/>
      <c r="K1147" s="88"/>
      <c r="L1147" s="25" t="str">
        <f>IF($D1147="","",SUMIFS($H$4:$H1147,$D$4:$D1147,$D1147)+SUMIFS($I$4:$I1147,$D$4:$D1147,$D1147)-SUMIFS($J$4:$J1147,$D$4:$D1147,$D1147)-SUMIFS($K$4:$K1147,$D$4:$D1147,$D1147))</f>
        <v/>
      </c>
      <c r="M1147" s="80"/>
      <c r="N1147" s="80"/>
      <c r="O1147" s="94"/>
      <c r="P1147" s="26" t="str">
        <f t="shared" si="53"/>
        <v/>
      </c>
      <c r="Q1147" s="80"/>
      <c r="R1147" s="80"/>
      <c r="S1147" s="80"/>
      <c r="T1147" s="82"/>
      <c r="U1147" s="80"/>
      <c r="V1147" s="80"/>
      <c r="W1147" s="80"/>
    </row>
    <row r="1148" ht="18" customHeight="1" spans="1:23">
      <c r="A1148" s="87" t="str">
        <f t="shared" si="51"/>
        <v/>
      </c>
      <c r="B1148" s="78"/>
      <c r="C1148" s="80"/>
      <c r="D1148" s="79"/>
      <c r="E1148" s="80"/>
      <c r="F1148" s="79"/>
      <c r="G1148" s="25" t="str">
        <f t="shared" si="52"/>
        <v/>
      </c>
      <c r="H1148" s="88"/>
      <c r="I1148" s="93"/>
      <c r="J1148" s="97"/>
      <c r="K1148" s="88"/>
      <c r="L1148" s="25" t="str">
        <f>IF($D1148="","",SUMIFS($H$4:$H1148,$D$4:$D1148,$D1148)+SUMIFS($I$4:$I1148,$D$4:$D1148,$D1148)-SUMIFS($J$4:$J1148,$D$4:$D1148,$D1148)-SUMIFS($K$4:$K1148,$D$4:$D1148,$D1148))</f>
        <v/>
      </c>
      <c r="M1148" s="80"/>
      <c r="N1148" s="80"/>
      <c r="O1148" s="94"/>
      <c r="P1148" s="26" t="str">
        <f t="shared" si="53"/>
        <v/>
      </c>
      <c r="Q1148" s="80"/>
      <c r="R1148" s="80"/>
      <c r="S1148" s="80"/>
      <c r="T1148" s="82"/>
      <c r="U1148" s="80"/>
      <c r="V1148" s="80"/>
      <c r="W1148" s="80"/>
    </row>
    <row r="1149" ht="18" customHeight="1" spans="1:23">
      <c r="A1149" s="87" t="str">
        <f t="shared" si="51"/>
        <v/>
      </c>
      <c r="B1149" s="78"/>
      <c r="C1149" s="80"/>
      <c r="D1149" s="79"/>
      <c r="E1149" s="80"/>
      <c r="F1149" s="79"/>
      <c r="G1149" s="25" t="str">
        <f t="shared" si="52"/>
        <v/>
      </c>
      <c r="H1149" s="88"/>
      <c r="I1149" s="93"/>
      <c r="J1149" s="97"/>
      <c r="K1149" s="88"/>
      <c r="L1149" s="25" t="str">
        <f>IF($D1149="","",SUMIFS($H$4:$H1149,$D$4:$D1149,$D1149)+SUMIFS($I$4:$I1149,$D$4:$D1149,$D1149)-SUMIFS($J$4:$J1149,$D$4:$D1149,$D1149)-SUMIFS($K$4:$K1149,$D$4:$D1149,$D1149))</f>
        <v/>
      </c>
      <c r="M1149" s="80"/>
      <c r="N1149" s="80"/>
      <c r="O1149" s="94"/>
      <c r="P1149" s="26" t="str">
        <f t="shared" si="53"/>
        <v/>
      </c>
      <c r="Q1149" s="80"/>
      <c r="R1149" s="80"/>
      <c r="S1149" s="80"/>
      <c r="T1149" s="82"/>
      <c r="U1149" s="80"/>
      <c r="V1149" s="80"/>
      <c r="W1149" s="80"/>
    </row>
    <row r="1150" ht="18" customHeight="1" spans="1:23">
      <c r="A1150" s="87" t="str">
        <f t="shared" si="51"/>
        <v/>
      </c>
      <c r="B1150" s="78"/>
      <c r="C1150" s="80"/>
      <c r="D1150" s="79"/>
      <c r="E1150" s="80"/>
      <c r="F1150" s="79"/>
      <c r="G1150" s="25" t="str">
        <f t="shared" si="52"/>
        <v/>
      </c>
      <c r="H1150" s="88"/>
      <c r="I1150" s="93"/>
      <c r="J1150" s="97"/>
      <c r="K1150" s="88"/>
      <c r="L1150" s="25" t="str">
        <f>IF($D1150="","",SUMIFS($H$4:$H1150,$D$4:$D1150,$D1150)+SUMIFS($I$4:$I1150,$D$4:$D1150,$D1150)-SUMIFS($J$4:$J1150,$D$4:$D1150,$D1150)-SUMIFS($K$4:$K1150,$D$4:$D1150,$D1150))</f>
        <v/>
      </c>
      <c r="M1150" s="80"/>
      <c r="N1150" s="80"/>
      <c r="O1150" s="94"/>
      <c r="P1150" s="26" t="str">
        <f t="shared" si="53"/>
        <v/>
      </c>
      <c r="Q1150" s="80"/>
      <c r="R1150" s="80"/>
      <c r="S1150" s="80"/>
      <c r="T1150" s="82"/>
      <c r="U1150" s="80"/>
      <c r="V1150" s="80"/>
      <c r="W1150" s="80"/>
    </row>
    <row r="1151" ht="18" customHeight="1" spans="1:23">
      <c r="A1151" s="87" t="str">
        <f t="shared" si="51"/>
        <v/>
      </c>
      <c r="B1151" s="78"/>
      <c r="C1151" s="80"/>
      <c r="D1151" s="79"/>
      <c r="E1151" s="80"/>
      <c r="F1151" s="79"/>
      <c r="G1151" s="25" t="str">
        <f t="shared" si="52"/>
        <v/>
      </c>
      <c r="H1151" s="88"/>
      <c r="I1151" s="93"/>
      <c r="J1151" s="97"/>
      <c r="K1151" s="88"/>
      <c r="L1151" s="25" t="str">
        <f>IF($D1151="","",SUMIFS($H$4:$H1151,$D$4:$D1151,$D1151)+SUMIFS($I$4:$I1151,$D$4:$D1151,$D1151)-SUMIFS($J$4:$J1151,$D$4:$D1151,$D1151)-SUMIFS($K$4:$K1151,$D$4:$D1151,$D1151))</f>
        <v/>
      </c>
      <c r="M1151" s="80"/>
      <c r="N1151" s="80"/>
      <c r="O1151" s="94"/>
      <c r="P1151" s="26" t="str">
        <f t="shared" si="53"/>
        <v/>
      </c>
      <c r="Q1151" s="80"/>
      <c r="R1151" s="80"/>
      <c r="S1151" s="80"/>
      <c r="T1151" s="82"/>
      <c r="U1151" s="80"/>
      <c r="V1151" s="80"/>
      <c r="W1151" s="80"/>
    </row>
    <row r="1152" ht="18" customHeight="1" spans="1:23">
      <c r="A1152" s="87" t="str">
        <f t="shared" si="51"/>
        <v/>
      </c>
      <c r="B1152" s="78"/>
      <c r="C1152" s="80"/>
      <c r="D1152" s="79"/>
      <c r="E1152" s="80"/>
      <c r="F1152" s="79"/>
      <c r="G1152" s="25" t="str">
        <f t="shared" si="52"/>
        <v/>
      </c>
      <c r="H1152" s="88"/>
      <c r="I1152" s="93"/>
      <c r="J1152" s="97"/>
      <c r="K1152" s="88"/>
      <c r="L1152" s="25" t="str">
        <f>IF($D1152="","",SUMIFS($H$4:$H1152,$D$4:$D1152,$D1152)+SUMIFS($I$4:$I1152,$D$4:$D1152,$D1152)-SUMIFS($J$4:$J1152,$D$4:$D1152,$D1152)-SUMIFS($K$4:$K1152,$D$4:$D1152,$D1152))</f>
        <v/>
      </c>
      <c r="M1152" s="80"/>
      <c r="N1152" s="80"/>
      <c r="O1152" s="94"/>
      <c r="P1152" s="26" t="str">
        <f t="shared" si="53"/>
        <v/>
      </c>
      <c r="Q1152" s="80"/>
      <c r="R1152" s="80"/>
      <c r="S1152" s="80"/>
      <c r="T1152" s="82"/>
      <c r="U1152" s="80"/>
      <c r="V1152" s="80"/>
      <c r="W1152" s="80"/>
    </row>
    <row r="1153" ht="18" customHeight="1" spans="1:23">
      <c r="A1153" s="87" t="str">
        <f t="shared" si="51"/>
        <v/>
      </c>
      <c r="B1153" s="78"/>
      <c r="C1153" s="80"/>
      <c r="D1153" s="79"/>
      <c r="E1153" s="80"/>
      <c r="F1153" s="79"/>
      <c r="G1153" s="25" t="str">
        <f t="shared" si="52"/>
        <v/>
      </c>
      <c r="H1153" s="88"/>
      <c r="I1153" s="93"/>
      <c r="J1153" s="97"/>
      <c r="K1153" s="88"/>
      <c r="L1153" s="25" t="str">
        <f>IF($D1153="","",SUMIFS($H$4:$H1153,$D$4:$D1153,$D1153)+SUMIFS($I$4:$I1153,$D$4:$D1153,$D1153)-SUMIFS($J$4:$J1153,$D$4:$D1153,$D1153)-SUMIFS($K$4:$K1153,$D$4:$D1153,$D1153))</f>
        <v/>
      </c>
      <c r="M1153" s="80"/>
      <c r="N1153" s="80"/>
      <c r="O1153" s="94"/>
      <c r="P1153" s="26" t="str">
        <f t="shared" si="53"/>
        <v/>
      </c>
      <c r="Q1153" s="80"/>
      <c r="R1153" s="80"/>
      <c r="S1153" s="80"/>
      <c r="T1153" s="82"/>
      <c r="U1153" s="80"/>
      <c r="V1153" s="80"/>
      <c r="W1153" s="80"/>
    </row>
    <row r="1154" ht="18" customHeight="1" spans="1:23">
      <c r="A1154" s="87" t="str">
        <f t="shared" si="51"/>
        <v/>
      </c>
      <c r="B1154" s="78"/>
      <c r="C1154" s="80"/>
      <c r="D1154" s="79"/>
      <c r="E1154" s="80"/>
      <c r="F1154" s="79"/>
      <c r="G1154" s="25" t="str">
        <f t="shared" si="52"/>
        <v/>
      </c>
      <c r="H1154" s="88"/>
      <c r="I1154" s="93"/>
      <c r="J1154" s="97"/>
      <c r="K1154" s="88"/>
      <c r="L1154" s="25" t="str">
        <f>IF($D1154="","",SUMIFS($H$4:$H1154,$D$4:$D1154,$D1154)+SUMIFS($I$4:$I1154,$D$4:$D1154,$D1154)-SUMIFS($J$4:$J1154,$D$4:$D1154,$D1154)-SUMIFS($K$4:$K1154,$D$4:$D1154,$D1154))</f>
        <v/>
      </c>
      <c r="M1154" s="80"/>
      <c r="N1154" s="80"/>
      <c r="O1154" s="94"/>
      <c r="P1154" s="26" t="str">
        <f t="shared" si="53"/>
        <v/>
      </c>
      <c r="Q1154" s="80"/>
      <c r="R1154" s="80"/>
      <c r="S1154" s="80"/>
      <c r="T1154" s="82"/>
      <c r="U1154" s="80"/>
      <c r="V1154" s="80"/>
      <c r="W1154" s="80"/>
    </row>
    <row r="1155" ht="18" customHeight="1" spans="1:23">
      <c r="A1155" s="87" t="str">
        <f t="shared" si="51"/>
        <v/>
      </c>
      <c r="B1155" s="78"/>
      <c r="C1155" s="80"/>
      <c r="D1155" s="79"/>
      <c r="E1155" s="80"/>
      <c r="F1155" s="79"/>
      <c r="G1155" s="25" t="str">
        <f t="shared" si="52"/>
        <v/>
      </c>
      <c r="H1155" s="88"/>
      <c r="I1155" s="93"/>
      <c r="J1155" s="97"/>
      <c r="K1155" s="88"/>
      <c r="L1155" s="25" t="str">
        <f>IF($D1155="","",SUMIFS($H$4:$H1155,$D$4:$D1155,$D1155)+SUMIFS($I$4:$I1155,$D$4:$D1155,$D1155)-SUMIFS($J$4:$J1155,$D$4:$D1155,$D1155)-SUMIFS($K$4:$K1155,$D$4:$D1155,$D1155))</f>
        <v/>
      </c>
      <c r="M1155" s="80"/>
      <c r="N1155" s="80"/>
      <c r="O1155" s="94"/>
      <c r="P1155" s="26" t="str">
        <f t="shared" si="53"/>
        <v/>
      </c>
      <c r="Q1155" s="80"/>
      <c r="R1155" s="80"/>
      <c r="S1155" s="80"/>
      <c r="T1155" s="82"/>
      <c r="U1155" s="80"/>
      <c r="V1155" s="80"/>
      <c r="W1155" s="80"/>
    </row>
    <row r="1156" ht="18" customHeight="1" spans="1:23">
      <c r="A1156" s="87" t="str">
        <f t="shared" si="51"/>
        <v/>
      </c>
      <c r="B1156" s="78"/>
      <c r="C1156" s="80"/>
      <c r="D1156" s="79"/>
      <c r="E1156" s="80"/>
      <c r="F1156" s="79"/>
      <c r="G1156" s="25" t="str">
        <f t="shared" si="52"/>
        <v/>
      </c>
      <c r="H1156" s="88"/>
      <c r="I1156" s="93"/>
      <c r="J1156" s="97"/>
      <c r="K1156" s="88"/>
      <c r="L1156" s="25" t="str">
        <f>IF($D1156="","",SUMIFS($H$4:$H1156,$D$4:$D1156,$D1156)+SUMIFS($I$4:$I1156,$D$4:$D1156,$D1156)-SUMIFS($J$4:$J1156,$D$4:$D1156,$D1156)-SUMIFS($K$4:$K1156,$D$4:$D1156,$D1156))</f>
        <v/>
      </c>
      <c r="M1156" s="80"/>
      <c r="N1156" s="80"/>
      <c r="O1156" s="94"/>
      <c r="P1156" s="26" t="str">
        <f t="shared" si="53"/>
        <v/>
      </c>
      <c r="Q1156" s="80"/>
      <c r="R1156" s="80"/>
      <c r="S1156" s="80"/>
      <c r="T1156" s="82"/>
      <c r="U1156" s="80"/>
      <c r="V1156" s="80"/>
      <c r="W1156" s="80"/>
    </row>
    <row r="1157" ht="18" customHeight="1" spans="1:23">
      <c r="A1157" s="87" t="str">
        <f t="shared" ref="A1157:A1220" si="54">IF($D1157="","",ROW()-3)</f>
        <v/>
      </c>
      <c r="B1157" s="78"/>
      <c r="C1157" s="80"/>
      <c r="D1157" s="79"/>
      <c r="E1157" s="80"/>
      <c r="F1157" s="79"/>
      <c r="G1157" s="25" t="str">
        <f t="shared" ref="G1157:G1220" si="55">IF($D1157="","",N($L1157)-N($H1157)-N($I1157)+N($J1157)+N($K1157))</f>
        <v/>
      </c>
      <c r="H1157" s="88"/>
      <c r="I1157" s="93"/>
      <c r="J1157" s="97"/>
      <c r="K1157" s="88"/>
      <c r="L1157" s="25" t="str">
        <f>IF($D1157="","",SUMIFS($H$4:$H1157,$D$4:$D1157,$D1157)+SUMIFS($I$4:$I1157,$D$4:$D1157,$D1157)-SUMIFS($J$4:$J1157,$D$4:$D1157,$D1157)-SUMIFS($K$4:$K1157,$D$4:$D1157,$D1157))</f>
        <v/>
      </c>
      <c r="M1157" s="80"/>
      <c r="N1157" s="80"/>
      <c r="O1157" s="94"/>
      <c r="P1157" s="26" t="str">
        <f t="shared" ref="P1157:P1220" si="56">IF($D1157="","",ROUND((N($H1157)+N($K1157))*N($O1157),2))</f>
        <v/>
      </c>
      <c r="Q1157" s="80"/>
      <c r="R1157" s="80"/>
      <c r="S1157" s="80"/>
      <c r="T1157" s="82"/>
      <c r="U1157" s="80"/>
      <c r="V1157" s="80"/>
      <c r="W1157" s="80"/>
    </row>
    <row r="1158" ht="18" customHeight="1" spans="1:23">
      <c r="A1158" s="87" t="str">
        <f t="shared" si="54"/>
        <v/>
      </c>
      <c r="B1158" s="78"/>
      <c r="C1158" s="80"/>
      <c r="D1158" s="79"/>
      <c r="E1158" s="80"/>
      <c r="F1158" s="79"/>
      <c r="G1158" s="25" t="str">
        <f t="shared" si="55"/>
        <v/>
      </c>
      <c r="H1158" s="88"/>
      <c r="I1158" s="93"/>
      <c r="J1158" s="97"/>
      <c r="K1158" s="88"/>
      <c r="L1158" s="25" t="str">
        <f>IF($D1158="","",SUMIFS($H$4:$H1158,$D$4:$D1158,$D1158)+SUMIFS($I$4:$I1158,$D$4:$D1158,$D1158)-SUMIFS($J$4:$J1158,$D$4:$D1158,$D1158)-SUMIFS($K$4:$K1158,$D$4:$D1158,$D1158))</f>
        <v/>
      </c>
      <c r="M1158" s="80"/>
      <c r="N1158" s="80"/>
      <c r="O1158" s="94"/>
      <c r="P1158" s="26" t="str">
        <f t="shared" si="56"/>
        <v/>
      </c>
      <c r="Q1158" s="80"/>
      <c r="R1158" s="80"/>
      <c r="S1158" s="80"/>
      <c r="T1158" s="82"/>
      <c r="U1158" s="80"/>
      <c r="V1158" s="80"/>
      <c r="W1158" s="80"/>
    </row>
    <row r="1159" ht="18" customHeight="1" spans="1:23">
      <c r="A1159" s="87" t="str">
        <f t="shared" si="54"/>
        <v/>
      </c>
      <c r="B1159" s="78"/>
      <c r="C1159" s="80"/>
      <c r="D1159" s="79"/>
      <c r="E1159" s="80"/>
      <c r="F1159" s="79"/>
      <c r="G1159" s="25" t="str">
        <f t="shared" si="55"/>
        <v/>
      </c>
      <c r="H1159" s="88"/>
      <c r="I1159" s="93"/>
      <c r="J1159" s="97"/>
      <c r="K1159" s="88"/>
      <c r="L1159" s="25" t="str">
        <f>IF($D1159="","",SUMIFS($H$4:$H1159,$D$4:$D1159,$D1159)+SUMIFS($I$4:$I1159,$D$4:$D1159,$D1159)-SUMIFS($J$4:$J1159,$D$4:$D1159,$D1159)-SUMIFS($K$4:$K1159,$D$4:$D1159,$D1159))</f>
        <v/>
      </c>
      <c r="M1159" s="80"/>
      <c r="N1159" s="80"/>
      <c r="O1159" s="94"/>
      <c r="P1159" s="26" t="str">
        <f t="shared" si="56"/>
        <v/>
      </c>
      <c r="Q1159" s="80"/>
      <c r="R1159" s="80"/>
      <c r="S1159" s="80"/>
      <c r="T1159" s="82"/>
      <c r="U1159" s="80"/>
      <c r="V1159" s="80"/>
      <c r="W1159" s="80"/>
    </row>
    <row r="1160" ht="18" customHeight="1" spans="1:23">
      <c r="A1160" s="87" t="str">
        <f t="shared" si="54"/>
        <v/>
      </c>
      <c r="B1160" s="78"/>
      <c r="C1160" s="80"/>
      <c r="D1160" s="79"/>
      <c r="E1160" s="80"/>
      <c r="F1160" s="79"/>
      <c r="G1160" s="25" t="str">
        <f t="shared" si="55"/>
        <v/>
      </c>
      <c r="H1160" s="88"/>
      <c r="I1160" s="93"/>
      <c r="J1160" s="97"/>
      <c r="K1160" s="88"/>
      <c r="L1160" s="25" t="str">
        <f>IF($D1160="","",SUMIFS($H$4:$H1160,$D$4:$D1160,$D1160)+SUMIFS($I$4:$I1160,$D$4:$D1160,$D1160)-SUMIFS($J$4:$J1160,$D$4:$D1160,$D1160)-SUMIFS($K$4:$K1160,$D$4:$D1160,$D1160))</f>
        <v/>
      </c>
      <c r="M1160" s="80"/>
      <c r="N1160" s="80"/>
      <c r="O1160" s="94"/>
      <c r="P1160" s="26" t="str">
        <f t="shared" si="56"/>
        <v/>
      </c>
      <c r="Q1160" s="80"/>
      <c r="R1160" s="80"/>
      <c r="S1160" s="80"/>
      <c r="T1160" s="82"/>
      <c r="U1160" s="80"/>
      <c r="V1160" s="80"/>
      <c r="W1160" s="80"/>
    </row>
    <row r="1161" ht="18" customHeight="1" spans="1:23">
      <c r="A1161" s="87" t="str">
        <f t="shared" si="54"/>
        <v/>
      </c>
      <c r="B1161" s="78"/>
      <c r="C1161" s="80"/>
      <c r="D1161" s="79"/>
      <c r="E1161" s="80"/>
      <c r="F1161" s="79"/>
      <c r="G1161" s="25" t="str">
        <f t="shared" si="55"/>
        <v/>
      </c>
      <c r="H1161" s="88"/>
      <c r="I1161" s="93"/>
      <c r="J1161" s="97"/>
      <c r="K1161" s="88"/>
      <c r="L1161" s="25" t="str">
        <f>IF($D1161="","",SUMIFS($H$4:$H1161,$D$4:$D1161,$D1161)+SUMIFS($I$4:$I1161,$D$4:$D1161,$D1161)-SUMIFS($J$4:$J1161,$D$4:$D1161,$D1161)-SUMIFS($K$4:$K1161,$D$4:$D1161,$D1161))</f>
        <v/>
      </c>
      <c r="M1161" s="80"/>
      <c r="N1161" s="80"/>
      <c r="O1161" s="94"/>
      <c r="P1161" s="26" t="str">
        <f t="shared" si="56"/>
        <v/>
      </c>
      <c r="Q1161" s="80"/>
      <c r="R1161" s="80"/>
      <c r="S1161" s="80"/>
      <c r="T1161" s="82"/>
      <c r="U1161" s="80"/>
      <c r="V1161" s="80"/>
      <c r="W1161" s="80"/>
    </row>
    <row r="1162" ht="18" customHeight="1" spans="1:23">
      <c r="A1162" s="87" t="str">
        <f t="shared" si="54"/>
        <v/>
      </c>
      <c r="B1162" s="78"/>
      <c r="C1162" s="80"/>
      <c r="D1162" s="79"/>
      <c r="E1162" s="80"/>
      <c r="F1162" s="79"/>
      <c r="G1162" s="25" t="str">
        <f t="shared" si="55"/>
        <v/>
      </c>
      <c r="H1162" s="88"/>
      <c r="I1162" s="93"/>
      <c r="J1162" s="97"/>
      <c r="K1162" s="88"/>
      <c r="L1162" s="25" t="str">
        <f>IF($D1162="","",SUMIFS($H$4:$H1162,$D$4:$D1162,$D1162)+SUMIFS($I$4:$I1162,$D$4:$D1162,$D1162)-SUMIFS($J$4:$J1162,$D$4:$D1162,$D1162)-SUMIFS($K$4:$K1162,$D$4:$D1162,$D1162))</f>
        <v/>
      </c>
      <c r="M1162" s="80"/>
      <c r="N1162" s="80"/>
      <c r="O1162" s="94"/>
      <c r="P1162" s="26" t="str">
        <f t="shared" si="56"/>
        <v/>
      </c>
      <c r="Q1162" s="80"/>
      <c r="R1162" s="80"/>
      <c r="S1162" s="80"/>
      <c r="T1162" s="82"/>
      <c r="U1162" s="80"/>
      <c r="V1162" s="80"/>
      <c r="W1162" s="80"/>
    </row>
    <row r="1163" ht="18" customHeight="1" spans="1:23">
      <c r="A1163" s="87" t="str">
        <f t="shared" si="54"/>
        <v/>
      </c>
      <c r="B1163" s="78"/>
      <c r="C1163" s="80"/>
      <c r="D1163" s="79"/>
      <c r="E1163" s="80"/>
      <c r="F1163" s="79"/>
      <c r="G1163" s="25" t="str">
        <f t="shared" si="55"/>
        <v/>
      </c>
      <c r="H1163" s="88"/>
      <c r="I1163" s="93"/>
      <c r="J1163" s="97"/>
      <c r="K1163" s="88"/>
      <c r="L1163" s="25" t="str">
        <f>IF($D1163="","",SUMIFS($H$4:$H1163,$D$4:$D1163,$D1163)+SUMIFS($I$4:$I1163,$D$4:$D1163,$D1163)-SUMIFS($J$4:$J1163,$D$4:$D1163,$D1163)-SUMIFS($K$4:$K1163,$D$4:$D1163,$D1163))</f>
        <v/>
      </c>
      <c r="M1163" s="80"/>
      <c r="N1163" s="80"/>
      <c r="O1163" s="94"/>
      <c r="P1163" s="26" t="str">
        <f t="shared" si="56"/>
        <v/>
      </c>
      <c r="Q1163" s="80"/>
      <c r="R1163" s="80"/>
      <c r="S1163" s="80"/>
      <c r="T1163" s="82"/>
      <c r="U1163" s="80"/>
      <c r="V1163" s="80"/>
      <c r="W1163" s="80"/>
    </row>
    <row r="1164" ht="18" customHeight="1" spans="1:23">
      <c r="A1164" s="87" t="str">
        <f t="shared" si="54"/>
        <v/>
      </c>
      <c r="B1164" s="78"/>
      <c r="C1164" s="80"/>
      <c r="D1164" s="79"/>
      <c r="E1164" s="80"/>
      <c r="F1164" s="79"/>
      <c r="G1164" s="25" t="str">
        <f t="shared" si="55"/>
        <v/>
      </c>
      <c r="H1164" s="88"/>
      <c r="I1164" s="93"/>
      <c r="J1164" s="97"/>
      <c r="K1164" s="88"/>
      <c r="L1164" s="25" t="str">
        <f>IF($D1164="","",SUMIFS($H$4:$H1164,$D$4:$D1164,$D1164)+SUMIFS($I$4:$I1164,$D$4:$D1164,$D1164)-SUMIFS($J$4:$J1164,$D$4:$D1164,$D1164)-SUMIFS($K$4:$K1164,$D$4:$D1164,$D1164))</f>
        <v/>
      </c>
      <c r="M1164" s="80"/>
      <c r="N1164" s="80"/>
      <c r="O1164" s="94"/>
      <c r="P1164" s="26" t="str">
        <f t="shared" si="56"/>
        <v/>
      </c>
      <c r="Q1164" s="80"/>
      <c r="R1164" s="80"/>
      <c r="S1164" s="80"/>
      <c r="T1164" s="82"/>
      <c r="U1164" s="80"/>
      <c r="V1164" s="80"/>
      <c r="W1164" s="80"/>
    </row>
    <row r="1165" ht="18" customHeight="1" spans="1:23">
      <c r="A1165" s="87" t="str">
        <f t="shared" si="54"/>
        <v/>
      </c>
      <c r="B1165" s="78"/>
      <c r="C1165" s="80"/>
      <c r="D1165" s="79"/>
      <c r="E1165" s="80"/>
      <c r="F1165" s="79"/>
      <c r="G1165" s="25" t="str">
        <f t="shared" si="55"/>
        <v/>
      </c>
      <c r="H1165" s="88"/>
      <c r="I1165" s="93"/>
      <c r="J1165" s="97"/>
      <c r="K1165" s="88"/>
      <c r="L1165" s="25" t="str">
        <f>IF($D1165="","",SUMIFS($H$4:$H1165,$D$4:$D1165,$D1165)+SUMIFS($I$4:$I1165,$D$4:$D1165,$D1165)-SUMIFS($J$4:$J1165,$D$4:$D1165,$D1165)-SUMIFS($K$4:$K1165,$D$4:$D1165,$D1165))</f>
        <v/>
      </c>
      <c r="M1165" s="80"/>
      <c r="N1165" s="80"/>
      <c r="O1165" s="94"/>
      <c r="P1165" s="26" t="str">
        <f t="shared" si="56"/>
        <v/>
      </c>
      <c r="Q1165" s="80"/>
      <c r="R1165" s="80"/>
      <c r="S1165" s="80"/>
      <c r="T1165" s="82"/>
      <c r="U1165" s="80"/>
      <c r="V1165" s="80"/>
      <c r="W1165" s="80"/>
    </row>
    <row r="1166" ht="18" customHeight="1" spans="1:23">
      <c r="A1166" s="87" t="str">
        <f t="shared" si="54"/>
        <v/>
      </c>
      <c r="B1166" s="78"/>
      <c r="C1166" s="80"/>
      <c r="D1166" s="79"/>
      <c r="E1166" s="80"/>
      <c r="F1166" s="79"/>
      <c r="G1166" s="25" t="str">
        <f t="shared" si="55"/>
        <v/>
      </c>
      <c r="H1166" s="88"/>
      <c r="I1166" s="93"/>
      <c r="J1166" s="97"/>
      <c r="K1166" s="88"/>
      <c r="L1166" s="25" t="str">
        <f>IF($D1166="","",SUMIFS($H$4:$H1166,$D$4:$D1166,$D1166)+SUMIFS($I$4:$I1166,$D$4:$D1166,$D1166)-SUMIFS($J$4:$J1166,$D$4:$D1166,$D1166)-SUMIFS($K$4:$K1166,$D$4:$D1166,$D1166))</f>
        <v/>
      </c>
      <c r="M1166" s="80"/>
      <c r="N1166" s="80"/>
      <c r="O1166" s="94"/>
      <c r="P1166" s="26" t="str">
        <f t="shared" si="56"/>
        <v/>
      </c>
      <c r="Q1166" s="80"/>
      <c r="R1166" s="80"/>
      <c r="S1166" s="80"/>
      <c r="T1166" s="82"/>
      <c r="U1166" s="80"/>
      <c r="V1166" s="80"/>
      <c r="W1166" s="80"/>
    </row>
    <row r="1167" ht="18" customHeight="1" spans="1:23">
      <c r="A1167" s="87" t="str">
        <f t="shared" si="54"/>
        <v/>
      </c>
      <c r="B1167" s="78"/>
      <c r="C1167" s="80"/>
      <c r="D1167" s="79"/>
      <c r="E1167" s="80"/>
      <c r="F1167" s="79"/>
      <c r="G1167" s="25" t="str">
        <f t="shared" si="55"/>
        <v/>
      </c>
      <c r="H1167" s="88"/>
      <c r="I1167" s="93"/>
      <c r="J1167" s="97"/>
      <c r="K1167" s="88"/>
      <c r="L1167" s="25" t="str">
        <f>IF($D1167="","",SUMIFS($H$4:$H1167,$D$4:$D1167,$D1167)+SUMIFS($I$4:$I1167,$D$4:$D1167,$D1167)-SUMIFS($J$4:$J1167,$D$4:$D1167,$D1167)-SUMIFS($K$4:$K1167,$D$4:$D1167,$D1167))</f>
        <v/>
      </c>
      <c r="M1167" s="80"/>
      <c r="N1167" s="80"/>
      <c r="O1167" s="94"/>
      <c r="P1167" s="26" t="str">
        <f t="shared" si="56"/>
        <v/>
      </c>
      <c r="Q1167" s="80"/>
      <c r="R1167" s="80"/>
      <c r="S1167" s="80"/>
      <c r="T1167" s="82"/>
      <c r="U1167" s="80"/>
      <c r="V1167" s="80"/>
      <c r="W1167" s="80"/>
    </row>
    <row r="1168" ht="18" customHeight="1" spans="1:23">
      <c r="A1168" s="87" t="str">
        <f t="shared" si="54"/>
        <v/>
      </c>
      <c r="B1168" s="78"/>
      <c r="C1168" s="80"/>
      <c r="D1168" s="79"/>
      <c r="E1168" s="80"/>
      <c r="F1168" s="79"/>
      <c r="G1168" s="25" t="str">
        <f t="shared" si="55"/>
        <v/>
      </c>
      <c r="H1168" s="88"/>
      <c r="I1168" s="93"/>
      <c r="J1168" s="97"/>
      <c r="K1168" s="88"/>
      <c r="L1168" s="25" t="str">
        <f>IF($D1168="","",SUMIFS($H$4:$H1168,$D$4:$D1168,$D1168)+SUMIFS($I$4:$I1168,$D$4:$D1168,$D1168)-SUMIFS($J$4:$J1168,$D$4:$D1168,$D1168)-SUMIFS($K$4:$K1168,$D$4:$D1168,$D1168))</f>
        <v/>
      </c>
      <c r="M1168" s="80"/>
      <c r="N1168" s="80"/>
      <c r="O1168" s="94"/>
      <c r="P1168" s="26" t="str">
        <f t="shared" si="56"/>
        <v/>
      </c>
      <c r="Q1168" s="80"/>
      <c r="R1168" s="80"/>
      <c r="S1168" s="80"/>
      <c r="T1168" s="82"/>
      <c r="U1168" s="80"/>
      <c r="V1168" s="80"/>
      <c r="W1168" s="80"/>
    </row>
    <row r="1169" ht="18" customHeight="1" spans="1:23">
      <c r="A1169" s="87" t="str">
        <f t="shared" si="54"/>
        <v/>
      </c>
      <c r="B1169" s="78"/>
      <c r="C1169" s="80"/>
      <c r="D1169" s="79"/>
      <c r="E1169" s="80"/>
      <c r="F1169" s="79"/>
      <c r="G1169" s="25" t="str">
        <f t="shared" si="55"/>
        <v/>
      </c>
      <c r="H1169" s="88"/>
      <c r="I1169" s="93"/>
      <c r="J1169" s="97"/>
      <c r="K1169" s="88"/>
      <c r="L1169" s="25" t="str">
        <f>IF($D1169="","",SUMIFS($H$4:$H1169,$D$4:$D1169,$D1169)+SUMIFS($I$4:$I1169,$D$4:$D1169,$D1169)-SUMIFS($J$4:$J1169,$D$4:$D1169,$D1169)-SUMIFS($K$4:$K1169,$D$4:$D1169,$D1169))</f>
        <v/>
      </c>
      <c r="M1169" s="80"/>
      <c r="N1169" s="80"/>
      <c r="O1169" s="94"/>
      <c r="P1169" s="26" t="str">
        <f t="shared" si="56"/>
        <v/>
      </c>
      <c r="Q1169" s="80"/>
      <c r="R1169" s="80"/>
      <c r="S1169" s="80"/>
      <c r="T1169" s="82"/>
      <c r="U1169" s="80"/>
      <c r="V1169" s="80"/>
      <c r="W1169" s="80"/>
    </row>
    <row r="1170" ht="18" customHeight="1" spans="1:23">
      <c r="A1170" s="87" t="str">
        <f t="shared" si="54"/>
        <v/>
      </c>
      <c r="B1170" s="78"/>
      <c r="C1170" s="80"/>
      <c r="D1170" s="79"/>
      <c r="E1170" s="80"/>
      <c r="F1170" s="79"/>
      <c r="G1170" s="25" t="str">
        <f t="shared" si="55"/>
        <v/>
      </c>
      <c r="H1170" s="88"/>
      <c r="I1170" s="93"/>
      <c r="J1170" s="97"/>
      <c r="K1170" s="88"/>
      <c r="L1170" s="25" t="str">
        <f>IF($D1170="","",SUMIFS($H$4:$H1170,$D$4:$D1170,$D1170)+SUMIFS($I$4:$I1170,$D$4:$D1170,$D1170)-SUMIFS($J$4:$J1170,$D$4:$D1170,$D1170)-SUMIFS($K$4:$K1170,$D$4:$D1170,$D1170))</f>
        <v/>
      </c>
      <c r="M1170" s="80"/>
      <c r="N1170" s="80"/>
      <c r="O1170" s="94"/>
      <c r="P1170" s="26" t="str">
        <f t="shared" si="56"/>
        <v/>
      </c>
      <c r="Q1170" s="80"/>
      <c r="R1170" s="80"/>
      <c r="S1170" s="80"/>
      <c r="T1170" s="82"/>
      <c r="U1170" s="80"/>
      <c r="V1170" s="80"/>
      <c r="W1170" s="80"/>
    </row>
    <row r="1171" ht="18" customHeight="1" spans="1:23">
      <c r="A1171" s="87" t="str">
        <f t="shared" si="54"/>
        <v/>
      </c>
      <c r="B1171" s="78"/>
      <c r="C1171" s="80"/>
      <c r="D1171" s="79"/>
      <c r="E1171" s="80"/>
      <c r="F1171" s="79"/>
      <c r="G1171" s="25" t="str">
        <f t="shared" si="55"/>
        <v/>
      </c>
      <c r="H1171" s="88"/>
      <c r="I1171" s="93"/>
      <c r="J1171" s="97"/>
      <c r="K1171" s="88"/>
      <c r="L1171" s="25" t="str">
        <f>IF($D1171="","",SUMIFS($H$4:$H1171,$D$4:$D1171,$D1171)+SUMIFS($I$4:$I1171,$D$4:$D1171,$D1171)-SUMIFS($J$4:$J1171,$D$4:$D1171,$D1171)-SUMIFS($K$4:$K1171,$D$4:$D1171,$D1171))</f>
        <v/>
      </c>
      <c r="M1171" s="80"/>
      <c r="N1171" s="80"/>
      <c r="O1171" s="94"/>
      <c r="P1171" s="26" t="str">
        <f t="shared" si="56"/>
        <v/>
      </c>
      <c r="Q1171" s="80"/>
      <c r="R1171" s="80"/>
      <c r="S1171" s="80"/>
      <c r="T1171" s="82"/>
      <c r="U1171" s="80"/>
      <c r="V1171" s="80"/>
      <c r="W1171" s="80"/>
    </row>
    <row r="1172" ht="18" customHeight="1" spans="1:23">
      <c r="A1172" s="87" t="str">
        <f t="shared" si="54"/>
        <v/>
      </c>
      <c r="B1172" s="78"/>
      <c r="C1172" s="80"/>
      <c r="D1172" s="79"/>
      <c r="E1172" s="80"/>
      <c r="F1172" s="79"/>
      <c r="G1172" s="25" t="str">
        <f t="shared" si="55"/>
        <v/>
      </c>
      <c r="H1172" s="88"/>
      <c r="I1172" s="93"/>
      <c r="J1172" s="97"/>
      <c r="K1172" s="88"/>
      <c r="L1172" s="25" t="str">
        <f>IF($D1172="","",SUMIFS($H$4:$H1172,$D$4:$D1172,$D1172)+SUMIFS($I$4:$I1172,$D$4:$D1172,$D1172)-SUMIFS($J$4:$J1172,$D$4:$D1172,$D1172)-SUMIFS($K$4:$K1172,$D$4:$D1172,$D1172))</f>
        <v/>
      </c>
      <c r="M1172" s="80"/>
      <c r="N1172" s="80"/>
      <c r="O1172" s="94"/>
      <c r="P1172" s="26" t="str">
        <f t="shared" si="56"/>
        <v/>
      </c>
      <c r="Q1172" s="80"/>
      <c r="R1172" s="80"/>
      <c r="S1172" s="80"/>
      <c r="T1172" s="82"/>
      <c r="U1172" s="80"/>
      <c r="V1172" s="80"/>
      <c r="W1172" s="80"/>
    </row>
    <row r="1173" ht="18" customHeight="1" spans="1:23">
      <c r="A1173" s="87" t="str">
        <f t="shared" si="54"/>
        <v/>
      </c>
      <c r="B1173" s="78"/>
      <c r="C1173" s="80"/>
      <c r="D1173" s="79"/>
      <c r="E1173" s="80"/>
      <c r="F1173" s="79"/>
      <c r="G1173" s="25" t="str">
        <f t="shared" si="55"/>
        <v/>
      </c>
      <c r="H1173" s="88"/>
      <c r="I1173" s="93"/>
      <c r="J1173" s="97"/>
      <c r="K1173" s="88"/>
      <c r="L1173" s="25" t="str">
        <f>IF($D1173="","",SUMIFS($H$4:$H1173,$D$4:$D1173,$D1173)+SUMIFS($I$4:$I1173,$D$4:$D1173,$D1173)-SUMIFS($J$4:$J1173,$D$4:$D1173,$D1173)-SUMIFS($K$4:$K1173,$D$4:$D1173,$D1173))</f>
        <v/>
      </c>
      <c r="M1173" s="80"/>
      <c r="N1173" s="80"/>
      <c r="O1173" s="94"/>
      <c r="P1173" s="26" t="str">
        <f t="shared" si="56"/>
        <v/>
      </c>
      <c r="Q1173" s="80"/>
      <c r="R1173" s="80"/>
      <c r="S1173" s="80"/>
      <c r="T1173" s="82"/>
      <c r="U1173" s="80"/>
      <c r="V1173" s="80"/>
      <c r="W1173" s="80"/>
    </row>
    <row r="1174" ht="18" customHeight="1" spans="1:23">
      <c r="A1174" s="87" t="str">
        <f t="shared" si="54"/>
        <v/>
      </c>
      <c r="B1174" s="78"/>
      <c r="C1174" s="80"/>
      <c r="D1174" s="79"/>
      <c r="E1174" s="80"/>
      <c r="F1174" s="79"/>
      <c r="G1174" s="25" t="str">
        <f t="shared" si="55"/>
        <v/>
      </c>
      <c r="H1174" s="88"/>
      <c r="I1174" s="93"/>
      <c r="J1174" s="97"/>
      <c r="K1174" s="88"/>
      <c r="L1174" s="25" t="str">
        <f>IF($D1174="","",SUMIFS($H$4:$H1174,$D$4:$D1174,$D1174)+SUMIFS($I$4:$I1174,$D$4:$D1174,$D1174)-SUMIFS($J$4:$J1174,$D$4:$D1174,$D1174)-SUMIFS($K$4:$K1174,$D$4:$D1174,$D1174))</f>
        <v/>
      </c>
      <c r="M1174" s="80"/>
      <c r="N1174" s="80"/>
      <c r="O1174" s="94"/>
      <c r="P1174" s="26" t="str">
        <f t="shared" si="56"/>
        <v/>
      </c>
      <c r="Q1174" s="80"/>
      <c r="R1174" s="80"/>
      <c r="S1174" s="80"/>
      <c r="T1174" s="82"/>
      <c r="U1174" s="80"/>
      <c r="V1174" s="80"/>
      <c r="W1174" s="80"/>
    </row>
    <row r="1175" ht="18" customHeight="1" spans="1:23">
      <c r="A1175" s="87" t="str">
        <f t="shared" si="54"/>
        <v/>
      </c>
      <c r="B1175" s="78"/>
      <c r="C1175" s="80"/>
      <c r="D1175" s="79"/>
      <c r="E1175" s="80"/>
      <c r="F1175" s="79"/>
      <c r="G1175" s="25" t="str">
        <f t="shared" si="55"/>
        <v/>
      </c>
      <c r="H1175" s="88"/>
      <c r="I1175" s="93"/>
      <c r="J1175" s="97"/>
      <c r="K1175" s="88"/>
      <c r="L1175" s="25" t="str">
        <f>IF($D1175="","",SUMIFS($H$4:$H1175,$D$4:$D1175,$D1175)+SUMIFS($I$4:$I1175,$D$4:$D1175,$D1175)-SUMIFS($J$4:$J1175,$D$4:$D1175,$D1175)-SUMIFS($K$4:$K1175,$D$4:$D1175,$D1175))</f>
        <v/>
      </c>
      <c r="M1175" s="80"/>
      <c r="N1175" s="80"/>
      <c r="O1175" s="94"/>
      <c r="P1175" s="26" t="str">
        <f t="shared" si="56"/>
        <v/>
      </c>
      <c r="Q1175" s="80"/>
      <c r="R1175" s="80"/>
      <c r="S1175" s="80"/>
      <c r="T1175" s="82"/>
      <c r="U1175" s="80"/>
      <c r="V1175" s="80"/>
      <c r="W1175" s="80"/>
    </row>
    <row r="1176" ht="18" customHeight="1" spans="1:23">
      <c r="A1176" s="87" t="str">
        <f t="shared" si="54"/>
        <v/>
      </c>
      <c r="B1176" s="78"/>
      <c r="C1176" s="80"/>
      <c r="D1176" s="79"/>
      <c r="E1176" s="80"/>
      <c r="F1176" s="79"/>
      <c r="G1176" s="25" t="str">
        <f t="shared" si="55"/>
        <v/>
      </c>
      <c r="H1176" s="88"/>
      <c r="I1176" s="93"/>
      <c r="J1176" s="97"/>
      <c r="K1176" s="88"/>
      <c r="L1176" s="25" t="str">
        <f>IF($D1176="","",SUMIFS($H$4:$H1176,$D$4:$D1176,$D1176)+SUMIFS($I$4:$I1176,$D$4:$D1176,$D1176)-SUMIFS($J$4:$J1176,$D$4:$D1176,$D1176)-SUMIFS($K$4:$K1176,$D$4:$D1176,$D1176))</f>
        <v/>
      </c>
      <c r="M1176" s="80"/>
      <c r="N1176" s="80"/>
      <c r="O1176" s="94"/>
      <c r="P1176" s="26" t="str">
        <f t="shared" si="56"/>
        <v/>
      </c>
      <c r="Q1176" s="80"/>
      <c r="R1176" s="80"/>
      <c r="S1176" s="80"/>
      <c r="T1176" s="82"/>
      <c r="U1176" s="80"/>
      <c r="V1176" s="80"/>
      <c r="W1176" s="80"/>
    </row>
    <row r="1177" ht="18" customHeight="1" spans="1:23">
      <c r="A1177" s="87" t="str">
        <f t="shared" si="54"/>
        <v/>
      </c>
      <c r="B1177" s="78"/>
      <c r="C1177" s="80"/>
      <c r="D1177" s="79"/>
      <c r="E1177" s="80"/>
      <c r="F1177" s="79"/>
      <c r="G1177" s="25" t="str">
        <f t="shared" si="55"/>
        <v/>
      </c>
      <c r="H1177" s="88"/>
      <c r="I1177" s="93"/>
      <c r="J1177" s="97"/>
      <c r="K1177" s="88"/>
      <c r="L1177" s="25" t="str">
        <f>IF($D1177="","",SUMIFS($H$4:$H1177,$D$4:$D1177,$D1177)+SUMIFS($I$4:$I1177,$D$4:$D1177,$D1177)-SUMIFS($J$4:$J1177,$D$4:$D1177,$D1177)-SUMIFS($K$4:$K1177,$D$4:$D1177,$D1177))</f>
        <v/>
      </c>
      <c r="M1177" s="80"/>
      <c r="N1177" s="80"/>
      <c r="O1177" s="94"/>
      <c r="P1177" s="26" t="str">
        <f t="shared" si="56"/>
        <v/>
      </c>
      <c r="Q1177" s="80"/>
      <c r="R1177" s="80"/>
      <c r="S1177" s="80"/>
      <c r="T1177" s="82"/>
      <c r="U1177" s="80"/>
      <c r="V1177" s="80"/>
      <c r="W1177" s="80"/>
    </row>
    <row r="1178" ht="18" customHeight="1" spans="1:23">
      <c r="A1178" s="87" t="str">
        <f t="shared" si="54"/>
        <v/>
      </c>
      <c r="B1178" s="78"/>
      <c r="C1178" s="80"/>
      <c r="D1178" s="79"/>
      <c r="E1178" s="80"/>
      <c r="F1178" s="79"/>
      <c r="G1178" s="25" t="str">
        <f t="shared" si="55"/>
        <v/>
      </c>
      <c r="H1178" s="88"/>
      <c r="I1178" s="93"/>
      <c r="J1178" s="97"/>
      <c r="K1178" s="88"/>
      <c r="L1178" s="25" t="str">
        <f>IF($D1178="","",SUMIFS($H$4:$H1178,$D$4:$D1178,$D1178)+SUMIFS($I$4:$I1178,$D$4:$D1178,$D1178)-SUMIFS($J$4:$J1178,$D$4:$D1178,$D1178)-SUMIFS($K$4:$K1178,$D$4:$D1178,$D1178))</f>
        <v/>
      </c>
      <c r="M1178" s="80"/>
      <c r="N1178" s="80"/>
      <c r="O1178" s="94"/>
      <c r="P1178" s="26" t="str">
        <f t="shared" si="56"/>
        <v/>
      </c>
      <c r="Q1178" s="80"/>
      <c r="R1178" s="80"/>
      <c r="S1178" s="80"/>
      <c r="T1178" s="82"/>
      <c r="U1178" s="80"/>
      <c r="V1178" s="80"/>
      <c r="W1178" s="80"/>
    </row>
    <row r="1179" ht="18" customHeight="1" spans="1:23">
      <c r="A1179" s="87" t="str">
        <f t="shared" si="54"/>
        <v/>
      </c>
      <c r="B1179" s="78"/>
      <c r="C1179" s="80"/>
      <c r="D1179" s="79"/>
      <c r="E1179" s="80"/>
      <c r="F1179" s="79"/>
      <c r="G1179" s="25" t="str">
        <f t="shared" si="55"/>
        <v/>
      </c>
      <c r="H1179" s="88"/>
      <c r="I1179" s="93"/>
      <c r="J1179" s="97"/>
      <c r="K1179" s="88"/>
      <c r="L1179" s="25" t="str">
        <f>IF($D1179="","",SUMIFS($H$4:$H1179,$D$4:$D1179,$D1179)+SUMIFS($I$4:$I1179,$D$4:$D1179,$D1179)-SUMIFS($J$4:$J1179,$D$4:$D1179,$D1179)-SUMIFS($K$4:$K1179,$D$4:$D1179,$D1179))</f>
        <v/>
      </c>
      <c r="M1179" s="80"/>
      <c r="N1179" s="80"/>
      <c r="O1179" s="94"/>
      <c r="P1179" s="26" t="str">
        <f t="shared" si="56"/>
        <v/>
      </c>
      <c r="Q1179" s="80"/>
      <c r="R1179" s="80"/>
      <c r="S1179" s="80"/>
      <c r="T1179" s="82"/>
      <c r="U1179" s="80"/>
      <c r="V1179" s="80"/>
      <c r="W1179" s="80"/>
    </row>
    <row r="1180" ht="18" customHeight="1" spans="1:23">
      <c r="A1180" s="87" t="str">
        <f t="shared" si="54"/>
        <v/>
      </c>
      <c r="B1180" s="78"/>
      <c r="C1180" s="80"/>
      <c r="D1180" s="79"/>
      <c r="E1180" s="80"/>
      <c r="F1180" s="79"/>
      <c r="G1180" s="25" t="str">
        <f t="shared" si="55"/>
        <v/>
      </c>
      <c r="H1180" s="88"/>
      <c r="I1180" s="93"/>
      <c r="J1180" s="97"/>
      <c r="K1180" s="88"/>
      <c r="L1180" s="25" t="str">
        <f>IF($D1180="","",SUMIFS($H$4:$H1180,$D$4:$D1180,$D1180)+SUMIFS($I$4:$I1180,$D$4:$D1180,$D1180)-SUMIFS($J$4:$J1180,$D$4:$D1180,$D1180)-SUMIFS($K$4:$K1180,$D$4:$D1180,$D1180))</f>
        <v/>
      </c>
      <c r="M1180" s="80"/>
      <c r="N1180" s="80"/>
      <c r="O1180" s="94"/>
      <c r="P1180" s="26" t="str">
        <f t="shared" si="56"/>
        <v/>
      </c>
      <c r="Q1180" s="80"/>
      <c r="R1180" s="80"/>
      <c r="S1180" s="80"/>
      <c r="T1180" s="82"/>
      <c r="U1180" s="80"/>
      <c r="V1180" s="80"/>
      <c r="W1180" s="80"/>
    </row>
    <row r="1181" ht="18" customHeight="1" spans="1:23">
      <c r="A1181" s="87" t="str">
        <f t="shared" si="54"/>
        <v/>
      </c>
      <c r="B1181" s="78"/>
      <c r="C1181" s="80"/>
      <c r="D1181" s="79"/>
      <c r="E1181" s="80"/>
      <c r="F1181" s="79"/>
      <c r="G1181" s="25" t="str">
        <f t="shared" si="55"/>
        <v/>
      </c>
      <c r="H1181" s="88"/>
      <c r="I1181" s="93"/>
      <c r="J1181" s="97"/>
      <c r="K1181" s="88"/>
      <c r="L1181" s="25" t="str">
        <f>IF($D1181="","",SUMIFS($H$4:$H1181,$D$4:$D1181,$D1181)+SUMIFS($I$4:$I1181,$D$4:$D1181,$D1181)-SUMIFS($J$4:$J1181,$D$4:$D1181,$D1181)-SUMIFS($K$4:$K1181,$D$4:$D1181,$D1181))</f>
        <v/>
      </c>
      <c r="M1181" s="80"/>
      <c r="N1181" s="80"/>
      <c r="O1181" s="94"/>
      <c r="P1181" s="26" t="str">
        <f t="shared" si="56"/>
        <v/>
      </c>
      <c r="Q1181" s="80"/>
      <c r="R1181" s="80"/>
      <c r="S1181" s="80"/>
      <c r="T1181" s="82"/>
      <c r="U1181" s="80"/>
      <c r="V1181" s="80"/>
      <c r="W1181" s="80"/>
    </row>
    <row r="1182" ht="18" customHeight="1" spans="1:23">
      <c r="A1182" s="87" t="str">
        <f t="shared" si="54"/>
        <v/>
      </c>
      <c r="B1182" s="78"/>
      <c r="C1182" s="80"/>
      <c r="D1182" s="79"/>
      <c r="E1182" s="80"/>
      <c r="F1182" s="79"/>
      <c r="G1182" s="25" t="str">
        <f t="shared" si="55"/>
        <v/>
      </c>
      <c r="H1182" s="88"/>
      <c r="I1182" s="93"/>
      <c r="J1182" s="97"/>
      <c r="K1182" s="88"/>
      <c r="L1182" s="25" t="str">
        <f>IF($D1182="","",SUMIFS($H$4:$H1182,$D$4:$D1182,$D1182)+SUMIFS($I$4:$I1182,$D$4:$D1182,$D1182)-SUMIFS($J$4:$J1182,$D$4:$D1182,$D1182)-SUMIFS($K$4:$K1182,$D$4:$D1182,$D1182))</f>
        <v/>
      </c>
      <c r="M1182" s="80"/>
      <c r="N1182" s="80"/>
      <c r="O1182" s="94"/>
      <c r="P1182" s="26" t="str">
        <f t="shared" si="56"/>
        <v/>
      </c>
      <c r="Q1182" s="80"/>
      <c r="R1182" s="80"/>
      <c r="S1182" s="80"/>
      <c r="T1182" s="82"/>
      <c r="U1182" s="80"/>
      <c r="V1182" s="80"/>
      <c r="W1182" s="80"/>
    </row>
    <row r="1183" ht="18" customHeight="1" spans="1:23">
      <c r="A1183" s="87" t="str">
        <f t="shared" si="54"/>
        <v/>
      </c>
      <c r="B1183" s="78"/>
      <c r="C1183" s="80"/>
      <c r="D1183" s="79"/>
      <c r="E1183" s="80"/>
      <c r="F1183" s="79"/>
      <c r="G1183" s="25" t="str">
        <f t="shared" si="55"/>
        <v/>
      </c>
      <c r="H1183" s="88"/>
      <c r="I1183" s="93"/>
      <c r="J1183" s="97"/>
      <c r="K1183" s="88"/>
      <c r="L1183" s="25" t="str">
        <f>IF($D1183="","",SUMIFS($H$4:$H1183,$D$4:$D1183,$D1183)+SUMIFS($I$4:$I1183,$D$4:$D1183,$D1183)-SUMIFS($J$4:$J1183,$D$4:$D1183,$D1183)-SUMIFS($K$4:$K1183,$D$4:$D1183,$D1183))</f>
        <v/>
      </c>
      <c r="M1183" s="80"/>
      <c r="N1183" s="80"/>
      <c r="O1183" s="94"/>
      <c r="P1183" s="26" t="str">
        <f t="shared" si="56"/>
        <v/>
      </c>
      <c r="Q1183" s="80"/>
      <c r="R1183" s="80"/>
      <c r="S1183" s="80"/>
      <c r="T1183" s="82"/>
      <c r="U1183" s="80"/>
      <c r="V1183" s="80"/>
      <c r="W1183" s="80"/>
    </row>
    <row r="1184" ht="18" customHeight="1" spans="1:23">
      <c r="A1184" s="87" t="str">
        <f t="shared" si="54"/>
        <v/>
      </c>
      <c r="B1184" s="78"/>
      <c r="C1184" s="80"/>
      <c r="D1184" s="79"/>
      <c r="E1184" s="80"/>
      <c r="F1184" s="79"/>
      <c r="G1184" s="25" t="str">
        <f t="shared" si="55"/>
        <v/>
      </c>
      <c r="H1184" s="88"/>
      <c r="I1184" s="93"/>
      <c r="J1184" s="97"/>
      <c r="K1184" s="88"/>
      <c r="L1184" s="25" t="str">
        <f>IF($D1184="","",SUMIFS($H$4:$H1184,$D$4:$D1184,$D1184)+SUMIFS($I$4:$I1184,$D$4:$D1184,$D1184)-SUMIFS($J$4:$J1184,$D$4:$D1184,$D1184)-SUMIFS($K$4:$K1184,$D$4:$D1184,$D1184))</f>
        <v/>
      </c>
      <c r="M1184" s="80"/>
      <c r="N1184" s="80"/>
      <c r="O1184" s="94"/>
      <c r="P1184" s="26" t="str">
        <f t="shared" si="56"/>
        <v/>
      </c>
      <c r="Q1184" s="80"/>
      <c r="R1184" s="80"/>
      <c r="S1184" s="80"/>
      <c r="T1184" s="82"/>
      <c r="U1184" s="80"/>
      <c r="V1184" s="80"/>
      <c r="W1184" s="80"/>
    </row>
    <row r="1185" ht="18" customHeight="1" spans="1:23">
      <c r="A1185" s="87" t="str">
        <f t="shared" si="54"/>
        <v/>
      </c>
      <c r="B1185" s="78"/>
      <c r="C1185" s="80"/>
      <c r="D1185" s="79"/>
      <c r="E1185" s="80"/>
      <c r="F1185" s="79"/>
      <c r="G1185" s="25" t="str">
        <f t="shared" si="55"/>
        <v/>
      </c>
      <c r="H1185" s="88"/>
      <c r="I1185" s="93"/>
      <c r="J1185" s="97"/>
      <c r="K1185" s="88"/>
      <c r="L1185" s="25" t="str">
        <f>IF($D1185="","",SUMIFS($H$4:$H1185,$D$4:$D1185,$D1185)+SUMIFS($I$4:$I1185,$D$4:$D1185,$D1185)-SUMIFS($J$4:$J1185,$D$4:$D1185,$D1185)-SUMIFS($K$4:$K1185,$D$4:$D1185,$D1185))</f>
        <v/>
      </c>
      <c r="M1185" s="80"/>
      <c r="N1185" s="80"/>
      <c r="O1185" s="94"/>
      <c r="P1185" s="26" t="str">
        <f t="shared" si="56"/>
        <v/>
      </c>
      <c r="Q1185" s="80"/>
      <c r="R1185" s="80"/>
      <c r="S1185" s="80"/>
      <c r="T1185" s="82"/>
      <c r="U1185" s="80"/>
      <c r="V1185" s="80"/>
      <c r="W1185" s="80"/>
    </row>
    <row r="1186" ht="18" customHeight="1" spans="1:23">
      <c r="A1186" s="87" t="str">
        <f t="shared" si="54"/>
        <v/>
      </c>
      <c r="B1186" s="78"/>
      <c r="C1186" s="80"/>
      <c r="D1186" s="79"/>
      <c r="E1186" s="80"/>
      <c r="F1186" s="79"/>
      <c r="G1186" s="25" t="str">
        <f t="shared" si="55"/>
        <v/>
      </c>
      <c r="H1186" s="88"/>
      <c r="I1186" s="93"/>
      <c r="J1186" s="97"/>
      <c r="K1186" s="88"/>
      <c r="L1186" s="25" t="str">
        <f>IF($D1186="","",SUMIFS($H$4:$H1186,$D$4:$D1186,$D1186)+SUMIFS($I$4:$I1186,$D$4:$D1186,$D1186)-SUMIFS($J$4:$J1186,$D$4:$D1186,$D1186)-SUMIFS($K$4:$K1186,$D$4:$D1186,$D1186))</f>
        <v/>
      </c>
      <c r="M1186" s="80"/>
      <c r="N1186" s="80"/>
      <c r="O1186" s="94"/>
      <c r="P1186" s="26" t="str">
        <f t="shared" si="56"/>
        <v/>
      </c>
      <c r="Q1186" s="80"/>
      <c r="R1186" s="80"/>
      <c r="S1186" s="80"/>
      <c r="T1186" s="82"/>
      <c r="U1186" s="80"/>
      <c r="V1186" s="80"/>
      <c r="W1186" s="80"/>
    </row>
    <row r="1187" ht="18" customHeight="1" spans="1:23">
      <c r="A1187" s="87" t="str">
        <f t="shared" si="54"/>
        <v/>
      </c>
      <c r="B1187" s="78"/>
      <c r="C1187" s="80"/>
      <c r="D1187" s="79"/>
      <c r="E1187" s="80"/>
      <c r="F1187" s="79"/>
      <c r="G1187" s="25" t="str">
        <f t="shared" si="55"/>
        <v/>
      </c>
      <c r="H1187" s="88"/>
      <c r="I1187" s="93"/>
      <c r="J1187" s="97"/>
      <c r="K1187" s="88"/>
      <c r="L1187" s="25" t="str">
        <f>IF($D1187="","",SUMIFS($H$4:$H1187,$D$4:$D1187,$D1187)+SUMIFS($I$4:$I1187,$D$4:$D1187,$D1187)-SUMIFS($J$4:$J1187,$D$4:$D1187,$D1187)-SUMIFS($K$4:$K1187,$D$4:$D1187,$D1187))</f>
        <v/>
      </c>
      <c r="M1187" s="80"/>
      <c r="N1187" s="80"/>
      <c r="O1187" s="94"/>
      <c r="P1187" s="26" t="str">
        <f t="shared" si="56"/>
        <v/>
      </c>
      <c r="Q1187" s="80"/>
      <c r="R1187" s="80"/>
      <c r="S1187" s="80"/>
      <c r="T1187" s="82"/>
      <c r="U1187" s="80"/>
      <c r="V1187" s="80"/>
      <c r="W1187" s="80"/>
    </row>
    <row r="1188" ht="18" customHeight="1" spans="1:23">
      <c r="A1188" s="87" t="str">
        <f t="shared" si="54"/>
        <v/>
      </c>
      <c r="B1188" s="78"/>
      <c r="C1188" s="80"/>
      <c r="D1188" s="79"/>
      <c r="E1188" s="80"/>
      <c r="F1188" s="79"/>
      <c r="G1188" s="25" t="str">
        <f t="shared" si="55"/>
        <v/>
      </c>
      <c r="H1188" s="88"/>
      <c r="I1188" s="93"/>
      <c r="J1188" s="97"/>
      <c r="K1188" s="88"/>
      <c r="L1188" s="25" t="str">
        <f>IF($D1188="","",SUMIFS($H$4:$H1188,$D$4:$D1188,$D1188)+SUMIFS($I$4:$I1188,$D$4:$D1188,$D1188)-SUMIFS($J$4:$J1188,$D$4:$D1188,$D1188)-SUMIFS($K$4:$K1188,$D$4:$D1188,$D1188))</f>
        <v/>
      </c>
      <c r="M1188" s="80"/>
      <c r="N1188" s="80"/>
      <c r="O1188" s="94"/>
      <c r="P1188" s="26" t="str">
        <f t="shared" si="56"/>
        <v/>
      </c>
      <c r="Q1188" s="80"/>
      <c r="R1188" s="80"/>
      <c r="S1188" s="80"/>
      <c r="T1188" s="82"/>
      <c r="U1188" s="80"/>
      <c r="V1188" s="80"/>
      <c r="W1188" s="80"/>
    </row>
    <row r="1189" ht="18" customHeight="1" spans="1:23">
      <c r="A1189" s="87" t="str">
        <f t="shared" si="54"/>
        <v/>
      </c>
      <c r="B1189" s="78"/>
      <c r="C1189" s="80"/>
      <c r="D1189" s="79"/>
      <c r="E1189" s="80"/>
      <c r="F1189" s="79"/>
      <c r="G1189" s="25" t="str">
        <f t="shared" si="55"/>
        <v/>
      </c>
      <c r="H1189" s="88"/>
      <c r="I1189" s="93"/>
      <c r="J1189" s="97"/>
      <c r="K1189" s="88"/>
      <c r="L1189" s="25" t="str">
        <f>IF($D1189="","",SUMIFS($H$4:$H1189,$D$4:$D1189,$D1189)+SUMIFS($I$4:$I1189,$D$4:$D1189,$D1189)-SUMIFS($J$4:$J1189,$D$4:$D1189,$D1189)-SUMIFS($K$4:$K1189,$D$4:$D1189,$D1189))</f>
        <v/>
      </c>
      <c r="M1189" s="80"/>
      <c r="N1189" s="80"/>
      <c r="O1189" s="94"/>
      <c r="P1189" s="26" t="str">
        <f t="shared" si="56"/>
        <v/>
      </c>
      <c r="Q1189" s="80"/>
      <c r="R1189" s="80"/>
      <c r="S1189" s="80"/>
      <c r="T1189" s="82"/>
      <c r="U1189" s="80"/>
      <c r="V1189" s="80"/>
      <c r="W1189" s="80"/>
    </row>
    <row r="1190" ht="18" customHeight="1" spans="1:23">
      <c r="A1190" s="87" t="str">
        <f t="shared" si="54"/>
        <v/>
      </c>
      <c r="B1190" s="78"/>
      <c r="C1190" s="80"/>
      <c r="D1190" s="79"/>
      <c r="E1190" s="80"/>
      <c r="F1190" s="79"/>
      <c r="G1190" s="25" t="str">
        <f t="shared" si="55"/>
        <v/>
      </c>
      <c r="H1190" s="88"/>
      <c r="I1190" s="93"/>
      <c r="J1190" s="97"/>
      <c r="K1190" s="88"/>
      <c r="L1190" s="25" t="str">
        <f>IF($D1190="","",SUMIFS($H$4:$H1190,$D$4:$D1190,$D1190)+SUMIFS($I$4:$I1190,$D$4:$D1190,$D1190)-SUMIFS($J$4:$J1190,$D$4:$D1190,$D1190)-SUMIFS($K$4:$K1190,$D$4:$D1190,$D1190))</f>
        <v/>
      </c>
      <c r="M1190" s="80"/>
      <c r="N1190" s="80"/>
      <c r="O1190" s="94"/>
      <c r="P1190" s="26" t="str">
        <f t="shared" si="56"/>
        <v/>
      </c>
      <c r="Q1190" s="80"/>
      <c r="R1190" s="80"/>
      <c r="S1190" s="80"/>
      <c r="T1190" s="82"/>
      <c r="U1190" s="80"/>
      <c r="V1190" s="80"/>
      <c r="W1190" s="80"/>
    </row>
    <row r="1191" ht="18" customHeight="1" spans="1:23">
      <c r="A1191" s="87" t="str">
        <f t="shared" si="54"/>
        <v/>
      </c>
      <c r="B1191" s="78"/>
      <c r="C1191" s="80"/>
      <c r="D1191" s="79"/>
      <c r="E1191" s="80"/>
      <c r="F1191" s="79"/>
      <c r="G1191" s="25" t="str">
        <f t="shared" si="55"/>
        <v/>
      </c>
      <c r="H1191" s="88"/>
      <c r="I1191" s="93"/>
      <c r="J1191" s="97"/>
      <c r="K1191" s="88"/>
      <c r="L1191" s="25" t="str">
        <f>IF($D1191="","",SUMIFS($H$4:$H1191,$D$4:$D1191,$D1191)+SUMIFS($I$4:$I1191,$D$4:$D1191,$D1191)-SUMIFS($J$4:$J1191,$D$4:$D1191,$D1191)-SUMIFS($K$4:$K1191,$D$4:$D1191,$D1191))</f>
        <v/>
      </c>
      <c r="M1191" s="80"/>
      <c r="N1191" s="80"/>
      <c r="O1191" s="94"/>
      <c r="P1191" s="26" t="str">
        <f t="shared" si="56"/>
        <v/>
      </c>
      <c r="Q1191" s="80"/>
      <c r="R1191" s="80"/>
      <c r="S1191" s="80"/>
      <c r="T1191" s="82"/>
      <c r="U1191" s="80"/>
      <c r="V1191" s="80"/>
      <c r="W1191" s="80"/>
    </row>
    <row r="1192" ht="18" customHeight="1" spans="1:23">
      <c r="A1192" s="87" t="str">
        <f t="shared" si="54"/>
        <v/>
      </c>
      <c r="B1192" s="78"/>
      <c r="C1192" s="80"/>
      <c r="D1192" s="79"/>
      <c r="E1192" s="80"/>
      <c r="F1192" s="79"/>
      <c r="G1192" s="25" t="str">
        <f t="shared" si="55"/>
        <v/>
      </c>
      <c r="H1192" s="88"/>
      <c r="I1192" s="93"/>
      <c r="J1192" s="97"/>
      <c r="K1192" s="88"/>
      <c r="L1192" s="25" t="str">
        <f>IF($D1192="","",SUMIFS($H$4:$H1192,$D$4:$D1192,$D1192)+SUMIFS($I$4:$I1192,$D$4:$D1192,$D1192)-SUMIFS($J$4:$J1192,$D$4:$D1192,$D1192)-SUMIFS($K$4:$K1192,$D$4:$D1192,$D1192))</f>
        <v/>
      </c>
      <c r="M1192" s="80"/>
      <c r="N1192" s="80"/>
      <c r="O1192" s="94"/>
      <c r="P1192" s="26" t="str">
        <f t="shared" si="56"/>
        <v/>
      </c>
      <c r="Q1192" s="80"/>
      <c r="R1192" s="80"/>
      <c r="S1192" s="80"/>
      <c r="T1192" s="82"/>
      <c r="U1192" s="80"/>
      <c r="V1192" s="80"/>
      <c r="W1192" s="80"/>
    </row>
    <row r="1193" ht="18" customHeight="1" spans="1:23">
      <c r="A1193" s="87" t="str">
        <f t="shared" si="54"/>
        <v/>
      </c>
      <c r="B1193" s="78"/>
      <c r="C1193" s="80"/>
      <c r="D1193" s="79"/>
      <c r="E1193" s="80"/>
      <c r="F1193" s="79"/>
      <c r="G1193" s="25" t="str">
        <f t="shared" si="55"/>
        <v/>
      </c>
      <c r="H1193" s="88"/>
      <c r="I1193" s="93"/>
      <c r="J1193" s="97"/>
      <c r="K1193" s="88"/>
      <c r="L1193" s="25" t="str">
        <f>IF($D1193="","",SUMIFS($H$4:$H1193,$D$4:$D1193,$D1193)+SUMIFS($I$4:$I1193,$D$4:$D1193,$D1193)-SUMIFS($J$4:$J1193,$D$4:$D1193,$D1193)-SUMIFS($K$4:$K1193,$D$4:$D1193,$D1193))</f>
        <v/>
      </c>
      <c r="M1193" s="80"/>
      <c r="N1193" s="80"/>
      <c r="O1193" s="94"/>
      <c r="P1193" s="26" t="str">
        <f t="shared" si="56"/>
        <v/>
      </c>
      <c r="Q1193" s="80"/>
      <c r="R1193" s="80"/>
      <c r="S1193" s="80"/>
      <c r="T1193" s="82"/>
      <c r="U1193" s="80"/>
      <c r="V1193" s="80"/>
      <c r="W1193" s="80"/>
    </row>
    <row r="1194" ht="18" customHeight="1" spans="1:23">
      <c r="A1194" s="87" t="str">
        <f t="shared" si="54"/>
        <v/>
      </c>
      <c r="B1194" s="78"/>
      <c r="C1194" s="80"/>
      <c r="D1194" s="79"/>
      <c r="E1194" s="80"/>
      <c r="F1194" s="79"/>
      <c r="G1194" s="25" t="str">
        <f t="shared" si="55"/>
        <v/>
      </c>
      <c r="H1194" s="88"/>
      <c r="I1194" s="93"/>
      <c r="J1194" s="97"/>
      <c r="K1194" s="88"/>
      <c r="L1194" s="25" t="str">
        <f>IF($D1194="","",SUMIFS($H$4:$H1194,$D$4:$D1194,$D1194)+SUMIFS($I$4:$I1194,$D$4:$D1194,$D1194)-SUMIFS($J$4:$J1194,$D$4:$D1194,$D1194)-SUMIFS($K$4:$K1194,$D$4:$D1194,$D1194))</f>
        <v/>
      </c>
      <c r="M1194" s="80"/>
      <c r="N1194" s="80"/>
      <c r="O1194" s="94"/>
      <c r="P1194" s="26" t="str">
        <f t="shared" si="56"/>
        <v/>
      </c>
      <c r="Q1194" s="80"/>
      <c r="R1194" s="80"/>
      <c r="S1194" s="80"/>
      <c r="T1194" s="82"/>
      <c r="U1194" s="80"/>
      <c r="V1194" s="80"/>
      <c r="W1194" s="80"/>
    </row>
    <row r="1195" ht="18" customHeight="1" spans="1:23">
      <c r="A1195" s="87" t="str">
        <f t="shared" si="54"/>
        <v/>
      </c>
      <c r="B1195" s="78"/>
      <c r="C1195" s="80"/>
      <c r="D1195" s="79"/>
      <c r="E1195" s="80"/>
      <c r="F1195" s="79"/>
      <c r="G1195" s="25" t="str">
        <f t="shared" si="55"/>
        <v/>
      </c>
      <c r="H1195" s="88"/>
      <c r="I1195" s="93"/>
      <c r="J1195" s="97"/>
      <c r="K1195" s="88"/>
      <c r="L1195" s="25" t="str">
        <f>IF($D1195="","",SUMIFS($H$4:$H1195,$D$4:$D1195,$D1195)+SUMIFS($I$4:$I1195,$D$4:$D1195,$D1195)-SUMIFS($J$4:$J1195,$D$4:$D1195,$D1195)-SUMIFS($K$4:$K1195,$D$4:$D1195,$D1195))</f>
        <v/>
      </c>
      <c r="M1195" s="80"/>
      <c r="N1195" s="80"/>
      <c r="O1195" s="94"/>
      <c r="P1195" s="26" t="str">
        <f t="shared" si="56"/>
        <v/>
      </c>
      <c r="Q1195" s="80"/>
      <c r="R1195" s="80"/>
      <c r="S1195" s="80"/>
      <c r="T1195" s="82"/>
      <c r="U1195" s="80"/>
      <c r="V1195" s="80"/>
      <c r="W1195" s="80"/>
    </row>
    <row r="1196" ht="18" customHeight="1" spans="1:23">
      <c r="A1196" s="87" t="str">
        <f t="shared" si="54"/>
        <v/>
      </c>
      <c r="B1196" s="78"/>
      <c r="C1196" s="80"/>
      <c r="D1196" s="79"/>
      <c r="E1196" s="80"/>
      <c r="F1196" s="79"/>
      <c r="G1196" s="25" t="str">
        <f t="shared" si="55"/>
        <v/>
      </c>
      <c r="H1196" s="88"/>
      <c r="I1196" s="93"/>
      <c r="J1196" s="97"/>
      <c r="K1196" s="88"/>
      <c r="L1196" s="25" t="str">
        <f>IF($D1196="","",SUMIFS($H$4:$H1196,$D$4:$D1196,$D1196)+SUMIFS($I$4:$I1196,$D$4:$D1196,$D1196)-SUMIFS($J$4:$J1196,$D$4:$D1196,$D1196)-SUMIFS($K$4:$K1196,$D$4:$D1196,$D1196))</f>
        <v/>
      </c>
      <c r="M1196" s="80"/>
      <c r="N1196" s="80"/>
      <c r="O1196" s="94"/>
      <c r="P1196" s="26" t="str">
        <f t="shared" si="56"/>
        <v/>
      </c>
      <c r="Q1196" s="80"/>
      <c r="R1196" s="80"/>
      <c r="S1196" s="80"/>
      <c r="T1196" s="82"/>
      <c r="U1196" s="80"/>
      <c r="V1196" s="80"/>
      <c r="W1196" s="80"/>
    </row>
    <row r="1197" ht="18" customHeight="1" spans="1:23">
      <c r="A1197" s="87" t="str">
        <f t="shared" si="54"/>
        <v/>
      </c>
      <c r="B1197" s="78"/>
      <c r="C1197" s="80"/>
      <c r="D1197" s="79"/>
      <c r="E1197" s="80"/>
      <c r="F1197" s="79"/>
      <c r="G1197" s="25" t="str">
        <f t="shared" si="55"/>
        <v/>
      </c>
      <c r="H1197" s="88"/>
      <c r="I1197" s="93"/>
      <c r="J1197" s="97"/>
      <c r="K1197" s="88"/>
      <c r="L1197" s="25" t="str">
        <f>IF($D1197="","",SUMIFS($H$4:$H1197,$D$4:$D1197,$D1197)+SUMIFS($I$4:$I1197,$D$4:$D1197,$D1197)-SUMIFS($J$4:$J1197,$D$4:$D1197,$D1197)-SUMIFS($K$4:$K1197,$D$4:$D1197,$D1197))</f>
        <v/>
      </c>
      <c r="M1197" s="80"/>
      <c r="N1197" s="80"/>
      <c r="O1197" s="94"/>
      <c r="P1197" s="26" t="str">
        <f t="shared" si="56"/>
        <v/>
      </c>
      <c r="Q1197" s="80"/>
      <c r="R1197" s="80"/>
      <c r="S1197" s="80"/>
      <c r="T1197" s="82"/>
      <c r="U1197" s="80"/>
      <c r="V1197" s="80"/>
      <c r="W1197" s="80"/>
    </row>
    <row r="1198" ht="18" customHeight="1" spans="1:23">
      <c r="A1198" s="87" t="str">
        <f t="shared" si="54"/>
        <v/>
      </c>
      <c r="B1198" s="78"/>
      <c r="C1198" s="80"/>
      <c r="D1198" s="79"/>
      <c r="E1198" s="80"/>
      <c r="F1198" s="79"/>
      <c r="G1198" s="25" t="str">
        <f t="shared" si="55"/>
        <v/>
      </c>
      <c r="H1198" s="88"/>
      <c r="I1198" s="93"/>
      <c r="J1198" s="97"/>
      <c r="K1198" s="88"/>
      <c r="L1198" s="25" t="str">
        <f>IF($D1198="","",SUMIFS($H$4:$H1198,$D$4:$D1198,$D1198)+SUMIFS($I$4:$I1198,$D$4:$D1198,$D1198)-SUMIFS($J$4:$J1198,$D$4:$D1198,$D1198)-SUMIFS($K$4:$K1198,$D$4:$D1198,$D1198))</f>
        <v/>
      </c>
      <c r="M1198" s="80"/>
      <c r="N1198" s="80"/>
      <c r="O1198" s="94"/>
      <c r="P1198" s="26" t="str">
        <f t="shared" si="56"/>
        <v/>
      </c>
      <c r="Q1198" s="80"/>
      <c r="R1198" s="80"/>
      <c r="S1198" s="80"/>
      <c r="T1198" s="82"/>
      <c r="U1198" s="80"/>
      <c r="V1198" s="80"/>
      <c r="W1198" s="80"/>
    </row>
    <row r="1199" ht="18" customHeight="1" spans="1:23">
      <c r="A1199" s="87" t="str">
        <f t="shared" si="54"/>
        <v/>
      </c>
      <c r="B1199" s="78"/>
      <c r="C1199" s="80"/>
      <c r="D1199" s="79"/>
      <c r="E1199" s="80"/>
      <c r="F1199" s="79"/>
      <c r="G1199" s="25" t="str">
        <f t="shared" si="55"/>
        <v/>
      </c>
      <c r="H1199" s="88"/>
      <c r="I1199" s="93"/>
      <c r="J1199" s="97"/>
      <c r="K1199" s="88"/>
      <c r="L1199" s="25" t="str">
        <f>IF($D1199="","",SUMIFS($H$4:$H1199,$D$4:$D1199,$D1199)+SUMIFS($I$4:$I1199,$D$4:$D1199,$D1199)-SUMIFS($J$4:$J1199,$D$4:$D1199,$D1199)-SUMIFS($K$4:$K1199,$D$4:$D1199,$D1199))</f>
        <v/>
      </c>
      <c r="M1199" s="80"/>
      <c r="N1199" s="80"/>
      <c r="O1199" s="94"/>
      <c r="P1199" s="26" t="str">
        <f t="shared" si="56"/>
        <v/>
      </c>
      <c r="Q1199" s="80"/>
      <c r="R1199" s="80"/>
      <c r="S1199" s="80"/>
      <c r="T1199" s="82"/>
      <c r="U1199" s="80"/>
      <c r="V1199" s="80"/>
      <c r="W1199" s="80"/>
    </row>
    <row r="1200" ht="18" customHeight="1" spans="1:23">
      <c r="A1200" s="87" t="str">
        <f t="shared" si="54"/>
        <v/>
      </c>
      <c r="B1200" s="78"/>
      <c r="C1200" s="80"/>
      <c r="D1200" s="79"/>
      <c r="E1200" s="80"/>
      <c r="F1200" s="79"/>
      <c r="G1200" s="25" t="str">
        <f t="shared" si="55"/>
        <v/>
      </c>
      <c r="H1200" s="88"/>
      <c r="I1200" s="93"/>
      <c r="J1200" s="97"/>
      <c r="K1200" s="88"/>
      <c r="L1200" s="25" t="str">
        <f>IF($D1200="","",SUMIFS($H$4:$H1200,$D$4:$D1200,$D1200)+SUMIFS($I$4:$I1200,$D$4:$D1200,$D1200)-SUMIFS($J$4:$J1200,$D$4:$D1200,$D1200)-SUMIFS($K$4:$K1200,$D$4:$D1200,$D1200))</f>
        <v/>
      </c>
      <c r="M1200" s="80"/>
      <c r="N1200" s="80"/>
      <c r="O1200" s="94"/>
      <c r="P1200" s="26" t="str">
        <f t="shared" si="56"/>
        <v/>
      </c>
      <c r="Q1200" s="80"/>
      <c r="R1200" s="80"/>
      <c r="S1200" s="80"/>
      <c r="T1200" s="82"/>
      <c r="U1200" s="80"/>
      <c r="V1200" s="80"/>
      <c r="W1200" s="80"/>
    </row>
    <row r="1201" ht="18" customHeight="1" spans="1:23">
      <c r="A1201" s="87" t="str">
        <f t="shared" si="54"/>
        <v/>
      </c>
      <c r="B1201" s="78"/>
      <c r="C1201" s="80"/>
      <c r="D1201" s="79"/>
      <c r="E1201" s="80"/>
      <c r="F1201" s="79"/>
      <c r="G1201" s="25" t="str">
        <f t="shared" si="55"/>
        <v/>
      </c>
      <c r="H1201" s="88"/>
      <c r="I1201" s="93"/>
      <c r="J1201" s="97"/>
      <c r="K1201" s="88"/>
      <c r="L1201" s="25" t="str">
        <f>IF($D1201="","",SUMIFS($H$4:$H1201,$D$4:$D1201,$D1201)+SUMIFS($I$4:$I1201,$D$4:$D1201,$D1201)-SUMIFS($J$4:$J1201,$D$4:$D1201,$D1201)-SUMIFS($K$4:$K1201,$D$4:$D1201,$D1201))</f>
        <v/>
      </c>
      <c r="M1201" s="80"/>
      <c r="N1201" s="80"/>
      <c r="O1201" s="94"/>
      <c r="P1201" s="26" t="str">
        <f t="shared" si="56"/>
        <v/>
      </c>
      <c r="Q1201" s="80"/>
      <c r="R1201" s="80"/>
      <c r="S1201" s="80"/>
      <c r="T1201" s="82"/>
      <c r="U1201" s="80"/>
      <c r="V1201" s="80"/>
      <c r="W1201" s="80"/>
    </row>
    <row r="1202" ht="18" customHeight="1" spans="1:23">
      <c r="A1202" s="87" t="str">
        <f t="shared" si="54"/>
        <v/>
      </c>
      <c r="B1202" s="78"/>
      <c r="C1202" s="80"/>
      <c r="D1202" s="79"/>
      <c r="E1202" s="80"/>
      <c r="F1202" s="79"/>
      <c r="G1202" s="25" t="str">
        <f t="shared" si="55"/>
        <v/>
      </c>
      <c r="H1202" s="88"/>
      <c r="I1202" s="93"/>
      <c r="J1202" s="97"/>
      <c r="K1202" s="88"/>
      <c r="L1202" s="25" t="str">
        <f>IF($D1202="","",SUMIFS($H$4:$H1202,$D$4:$D1202,$D1202)+SUMIFS($I$4:$I1202,$D$4:$D1202,$D1202)-SUMIFS($J$4:$J1202,$D$4:$D1202,$D1202)-SUMIFS($K$4:$K1202,$D$4:$D1202,$D1202))</f>
        <v/>
      </c>
      <c r="M1202" s="80"/>
      <c r="N1202" s="80"/>
      <c r="O1202" s="94"/>
      <c r="P1202" s="26" t="str">
        <f t="shared" si="56"/>
        <v/>
      </c>
      <c r="Q1202" s="80"/>
      <c r="R1202" s="80"/>
      <c r="S1202" s="80"/>
      <c r="T1202" s="82"/>
      <c r="U1202" s="80"/>
      <c r="V1202" s="80"/>
      <c r="W1202" s="80"/>
    </row>
    <row r="1203" ht="18" customHeight="1" spans="1:23">
      <c r="A1203" s="87" t="str">
        <f t="shared" si="54"/>
        <v/>
      </c>
      <c r="B1203" s="78"/>
      <c r="C1203" s="80"/>
      <c r="D1203" s="79"/>
      <c r="E1203" s="80"/>
      <c r="F1203" s="79"/>
      <c r="G1203" s="25" t="str">
        <f t="shared" si="55"/>
        <v/>
      </c>
      <c r="H1203" s="88"/>
      <c r="I1203" s="93"/>
      <c r="J1203" s="97"/>
      <c r="K1203" s="88"/>
      <c r="L1203" s="25" t="str">
        <f>IF($D1203="","",SUMIFS($H$4:$H1203,$D$4:$D1203,$D1203)+SUMIFS($I$4:$I1203,$D$4:$D1203,$D1203)-SUMIFS($J$4:$J1203,$D$4:$D1203,$D1203)-SUMIFS($K$4:$K1203,$D$4:$D1203,$D1203))</f>
        <v/>
      </c>
      <c r="M1203" s="80"/>
      <c r="N1203" s="80"/>
      <c r="O1203" s="94"/>
      <c r="P1203" s="26" t="str">
        <f t="shared" si="56"/>
        <v/>
      </c>
      <c r="Q1203" s="80"/>
      <c r="R1203" s="80"/>
      <c r="S1203" s="80"/>
      <c r="T1203" s="82"/>
      <c r="U1203" s="80"/>
      <c r="V1203" s="80"/>
      <c r="W1203" s="80"/>
    </row>
    <row r="1204" ht="18" customHeight="1" spans="1:23">
      <c r="A1204" s="87" t="str">
        <f t="shared" si="54"/>
        <v/>
      </c>
      <c r="B1204" s="78"/>
      <c r="C1204" s="80"/>
      <c r="D1204" s="79"/>
      <c r="E1204" s="80"/>
      <c r="F1204" s="79"/>
      <c r="G1204" s="25" t="str">
        <f t="shared" si="55"/>
        <v/>
      </c>
      <c r="H1204" s="88"/>
      <c r="I1204" s="93"/>
      <c r="J1204" s="97"/>
      <c r="K1204" s="88"/>
      <c r="L1204" s="25" t="str">
        <f>IF($D1204="","",SUMIFS($H$4:$H1204,$D$4:$D1204,$D1204)+SUMIFS($I$4:$I1204,$D$4:$D1204,$D1204)-SUMIFS($J$4:$J1204,$D$4:$D1204,$D1204)-SUMIFS($K$4:$K1204,$D$4:$D1204,$D1204))</f>
        <v/>
      </c>
      <c r="M1204" s="80"/>
      <c r="N1204" s="80"/>
      <c r="O1204" s="94"/>
      <c r="P1204" s="26" t="str">
        <f t="shared" si="56"/>
        <v/>
      </c>
      <c r="Q1204" s="80"/>
      <c r="R1204" s="80"/>
      <c r="S1204" s="80"/>
      <c r="T1204" s="82"/>
      <c r="U1204" s="80"/>
      <c r="V1204" s="80"/>
      <c r="W1204" s="80"/>
    </row>
    <row r="1205" ht="18" customHeight="1" spans="1:23">
      <c r="A1205" s="87" t="str">
        <f t="shared" si="54"/>
        <v/>
      </c>
      <c r="B1205" s="78"/>
      <c r="C1205" s="80"/>
      <c r="D1205" s="79"/>
      <c r="E1205" s="80"/>
      <c r="F1205" s="79"/>
      <c r="G1205" s="25" t="str">
        <f t="shared" si="55"/>
        <v/>
      </c>
      <c r="H1205" s="88"/>
      <c r="I1205" s="93"/>
      <c r="J1205" s="97"/>
      <c r="K1205" s="88"/>
      <c r="L1205" s="25" t="str">
        <f>IF($D1205="","",SUMIFS($H$4:$H1205,$D$4:$D1205,$D1205)+SUMIFS($I$4:$I1205,$D$4:$D1205,$D1205)-SUMIFS($J$4:$J1205,$D$4:$D1205,$D1205)-SUMIFS($K$4:$K1205,$D$4:$D1205,$D1205))</f>
        <v/>
      </c>
      <c r="M1205" s="80"/>
      <c r="N1205" s="80"/>
      <c r="O1205" s="94"/>
      <c r="P1205" s="26" t="str">
        <f t="shared" si="56"/>
        <v/>
      </c>
      <c r="Q1205" s="80"/>
      <c r="R1205" s="80"/>
      <c r="S1205" s="80"/>
      <c r="T1205" s="82"/>
      <c r="U1205" s="80"/>
      <c r="V1205" s="80"/>
      <c r="W1205" s="80"/>
    </row>
    <row r="1206" ht="18" customHeight="1" spans="1:23">
      <c r="A1206" s="87" t="str">
        <f t="shared" si="54"/>
        <v/>
      </c>
      <c r="B1206" s="78"/>
      <c r="C1206" s="80"/>
      <c r="D1206" s="79"/>
      <c r="E1206" s="80"/>
      <c r="F1206" s="79"/>
      <c r="G1206" s="25" t="str">
        <f t="shared" si="55"/>
        <v/>
      </c>
      <c r="H1206" s="88"/>
      <c r="I1206" s="93"/>
      <c r="J1206" s="97"/>
      <c r="K1206" s="88"/>
      <c r="L1206" s="25" t="str">
        <f>IF($D1206="","",SUMIFS($H$4:$H1206,$D$4:$D1206,$D1206)+SUMIFS($I$4:$I1206,$D$4:$D1206,$D1206)-SUMIFS($J$4:$J1206,$D$4:$D1206,$D1206)-SUMIFS($K$4:$K1206,$D$4:$D1206,$D1206))</f>
        <v/>
      </c>
      <c r="M1206" s="80"/>
      <c r="N1206" s="80"/>
      <c r="O1206" s="94"/>
      <c r="P1206" s="26" t="str">
        <f t="shared" si="56"/>
        <v/>
      </c>
      <c r="Q1206" s="80"/>
      <c r="R1206" s="80"/>
      <c r="S1206" s="80"/>
      <c r="T1206" s="82"/>
      <c r="U1206" s="80"/>
      <c r="V1206" s="80"/>
      <c r="W1206" s="80"/>
    </row>
    <row r="1207" ht="18" customHeight="1" spans="1:23">
      <c r="A1207" s="87" t="str">
        <f t="shared" si="54"/>
        <v/>
      </c>
      <c r="B1207" s="78"/>
      <c r="C1207" s="80"/>
      <c r="D1207" s="79"/>
      <c r="E1207" s="80"/>
      <c r="F1207" s="79"/>
      <c r="G1207" s="25" t="str">
        <f t="shared" si="55"/>
        <v/>
      </c>
      <c r="H1207" s="88"/>
      <c r="I1207" s="93"/>
      <c r="J1207" s="97"/>
      <c r="K1207" s="88"/>
      <c r="L1207" s="25" t="str">
        <f>IF($D1207="","",SUMIFS($H$4:$H1207,$D$4:$D1207,$D1207)+SUMIFS($I$4:$I1207,$D$4:$D1207,$D1207)-SUMIFS($J$4:$J1207,$D$4:$D1207,$D1207)-SUMIFS($K$4:$K1207,$D$4:$D1207,$D1207))</f>
        <v/>
      </c>
      <c r="M1207" s="80"/>
      <c r="N1207" s="80"/>
      <c r="O1207" s="94"/>
      <c r="P1207" s="26" t="str">
        <f t="shared" si="56"/>
        <v/>
      </c>
      <c r="Q1207" s="80"/>
      <c r="R1207" s="80"/>
      <c r="S1207" s="80"/>
      <c r="T1207" s="82"/>
      <c r="U1207" s="80"/>
      <c r="V1207" s="80"/>
      <c r="W1207" s="80"/>
    </row>
    <row r="1208" ht="18" customHeight="1" spans="1:23">
      <c r="A1208" s="87" t="str">
        <f t="shared" si="54"/>
        <v/>
      </c>
      <c r="B1208" s="78"/>
      <c r="C1208" s="80"/>
      <c r="D1208" s="79"/>
      <c r="E1208" s="80"/>
      <c r="F1208" s="79"/>
      <c r="G1208" s="25" t="str">
        <f t="shared" si="55"/>
        <v/>
      </c>
      <c r="H1208" s="88"/>
      <c r="I1208" s="93"/>
      <c r="J1208" s="97"/>
      <c r="K1208" s="88"/>
      <c r="L1208" s="25" t="str">
        <f>IF($D1208="","",SUMIFS($H$4:$H1208,$D$4:$D1208,$D1208)+SUMIFS($I$4:$I1208,$D$4:$D1208,$D1208)-SUMIFS($J$4:$J1208,$D$4:$D1208,$D1208)-SUMIFS($K$4:$K1208,$D$4:$D1208,$D1208))</f>
        <v/>
      </c>
      <c r="M1208" s="80"/>
      <c r="N1208" s="80"/>
      <c r="O1208" s="94"/>
      <c r="P1208" s="26" t="str">
        <f t="shared" si="56"/>
        <v/>
      </c>
      <c r="Q1208" s="80"/>
      <c r="R1208" s="80"/>
      <c r="S1208" s="80"/>
      <c r="T1208" s="82"/>
      <c r="U1208" s="80"/>
      <c r="V1208" s="80"/>
      <c r="W1208" s="80"/>
    </row>
    <row r="1209" ht="18" customHeight="1" spans="1:23">
      <c r="A1209" s="87" t="str">
        <f t="shared" si="54"/>
        <v/>
      </c>
      <c r="B1209" s="78"/>
      <c r="C1209" s="80"/>
      <c r="D1209" s="79"/>
      <c r="E1209" s="80"/>
      <c r="F1209" s="79"/>
      <c r="G1209" s="25" t="str">
        <f t="shared" si="55"/>
        <v/>
      </c>
      <c r="H1209" s="88"/>
      <c r="I1209" s="93"/>
      <c r="J1209" s="97"/>
      <c r="K1209" s="88"/>
      <c r="L1209" s="25" t="str">
        <f>IF($D1209="","",SUMIFS($H$4:$H1209,$D$4:$D1209,$D1209)+SUMIFS($I$4:$I1209,$D$4:$D1209,$D1209)-SUMIFS($J$4:$J1209,$D$4:$D1209,$D1209)-SUMIFS($K$4:$K1209,$D$4:$D1209,$D1209))</f>
        <v/>
      </c>
      <c r="M1209" s="80"/>
      <c r="N1209" s="80"/>
      <c r="O1209" s="94"/>
      <c r="P1209" s="26" t="str">
        <f t="shared" si="56"/>
        <v/>
      </c>
      <c r="Q1209" s="80"/>
      <c r="R1209" s="80"/>
      <c r="S1209" s="80"/>
      <c r="T1209" s="82"/>
      <c r="U1209" s="80"/>
      <c r="V1209" s="80"/>
      <c r="W1209" s="80"/>
    </row>
    <row r="1210" ht="18" customHeight="1" spans="1:23">
      <c r="A1210" s="87" t="str">
        <f t="shared" si="54"/>
        <v/>
      </c>
      <c r="B1210" s="78"/>
      <c r="C1210" s="80"/>
      <c r="D1210" s="79"/>
      <c r="E1210" s="80"/>
      <c r="F1210" s="79"/>
      <c r="G1210" s="25" t="str">
        <f t="shared" si="55"/>
        <v/>
      </c>
      <c r="H1210" s="88"/>
      <c r="I1210" s="93"/>
      <c r="J1210" s="97"/>
      <c r="K1210" s="88"/>
      <c r="L1210" s="25" t="str">
        <f>IF($D1210="","",SUMIFS($H$4:$H1210,$D$4:$D1210,$D1210)+SUMIFS($I$4:$I1210,$D$4:$D1210,$D1210)-SUMIFS($J$4:$J1210,$D$4:$D1210,$D1210)-SUMIFS($K$4:$K1210,$D$4:$D1210,$D1210))</f>
        <v/>
      </c>
      <c r="M1210" s="80"/>
      <c r="N1210" s="80"/>
      <c r="O1210" s="94"/>
      <c r="P1210" s="26" t="str">
        <f t="shared" si="56"/>
        <v/>
      </c>
      <c r="Q1210" s="80"/>
      <c r="R1210" s="80"/>
      <c r="S1210" s="80"/>
      <c r="T1210" s="82"/>
      <c r="U1210" s="80"/>
      <c r="V1210" s="80"/>
      <c r="W1210" s="80"/>
    </row>
    <row r="1211" ht="18" customHeight="1" spans="1:23">
      <c r="A1211" s="87" t="str">
        <f t="shared" si="54"/>
        <v/>
      </c>
      <c r="B1211" s="78"/>
      <c r="C1211" s="80"/>
      <c r="D1211" s="79"/>
      <c r="E1211" s="80"/>
      <c r="F1211" s="79"/>
      <c r="G1211" s="25" t="str">
        <f t="shared" si="55"/>
        <v/>
      </c>
      <c r="H1211" s="88"/>
      <c r="I1211" s="93"/>
      <c r="J1211" s="97"/>
      <c r="K1211" s="88"/>
      <c r="L1211" s="25" t="str">
        <f>IF($D1211="","",SUMIFS($H$4:$H1211,$D$4:$D1211,$D1211)+SUMIFS($I$4:$I1211,$D$4:$D1211,$D1211)-SUMIFS($J$4:$J1211,$D$4:$D1211,$D1211)-SUMIFS($K$4:$K1211,$D$4:$D1211,$D1211))</f>
        <v/>
      </c>
      <c r="M1211" s="80"/>
      <c r="N1211" s="80"/>
      <c r="O1211" s="94"/>
      <c r="P1211" s="26" t="str">
        <f t="shared" si="56"/>
        <v/>
      </c>
      <c r="Q1211" s="80"/>
      <c r="R1211" s="80"/>
      <c r="S1211" s="80"/>
      <c r="T1211" s="82"/>
      <c r="U1211" s="80"/>
      <c r="V1211" s="80"/>
      <c r="W1211" s="80"/>
    </row>
    <row r="1212" ht="18" customHeight="1" spans="1:23">
      <c r="A1212" s="87" t="str">
        <f t="shared" si="54"/>
        <v/>
      </c>
      <c r="B1212" s="78"/>
      <c r="C1212" s="80"/>
      <c r="D1212" s="79"/>
      <c r="E1212" s="80"/>
      <c r="F1212" s="79"/>
      <c r="G1212" s="25" t="str">
        <f t="shared" si="55"/>
        <v/>
      </c>
      <c r="H1212" s="88"/>
      <c r="I1212" s="93"/>
      <c r="J1212" s="97"/>
      <c r="K1212" s="88"/>
      <c r="L1212" s="25" t="str">
        <f>IF($D1212="","",SUMIFS($H$4:$H1212,$D$4:$D1212,$D1212)+SUMIFS($I$4:$I1212,$D$4:$D1212,$D1212)-SUMIFS($J$4:$J1212,$D$4:$D1212,$D1212)-SUMIFS($K$4:$K1212,$D$4:$D1212,$D1212))</f>
        <v/>
      </c>
      <c r="M1212" s="80"/>
      <c r="N1212" s="80"/>
      <c r="O1212" s="94"/>
      <c r="P1212" s="26" t="str">
        <f t="shared" si="56"/>
        <v/>
      </c>
      <c r="Q1212" s="80"/>
      <c r="R1212" s="80"/>
      <c r="S1212" s="80"/>
      <c r="T1212" s="82"/>
      <c r="U1212" s="80"/>
      <c r="V1212" s="80"/>
      <c r="W1212" s="80"/>
    </row>
    <row r="1213" ht="18" customHeight="1" spans="1:23">
      <c r="A1213" s="87" t="str">
        <f t="shared" si="54"/>
        <v/>
      </c>
      <c r="B1213" s="78"/>
      <c r="C1213" s="80"/>
      <c r="D1213" s="79"/>
      <c r="E1213" s="80"/>
      <c r="F1213" s="79"/>
      <c r="G1213" s="25" t="str">
        <f t="shared" si="55"/>
        <v/>
      </c>
      <c r="H1213" s="88"/>
      <c r="I1213" s="93"/>
      <c r="J1213" s="97"/>
      <c r="K1213" s="88"/>
      <c r="L1213" s="25" t="str">
        <f>IF($D1213="","",SUMIFS($H$4:$H1213,$D$4:$D1213,$D1213)+SUMIFS($I$4:$I1213,$D$4:$D1213,$D1213)-SUMIFS($J$4:$J1213,$D$4:$D1213,$D1213)-SUMIFS($K$4:$K1213,$D$4:$D1213,$D1213))</f>
        <v/>
      </c>
      <c r="M1213" s="80"/>
      <c r="N1213" s="80"/>
      <c r="O1213" s="94"/>
      <c r="P1213" s="26" t="str">
        <f t="shared" si="56"/>
        <v/>
      </c>
      <c r="Q1213" s="80"/>
      <c r="R1213" s="80"/>
      <c r="S1213" s="80"/>
      <c r="T1213" s="82"/>
      <c r="U1213" s="80"/>
      <c r="V1213" s="80"/>
      <c r="W1213" s="80"/>
    </row>
    <row r="1214" ht="18" customHeight="1" spans="1:23">
      <c r="A1214" s="87" t="str">
        <f t="shared" si="54"/>
        <v/>
      </c>
      <c r="B1214" s="78"/>
      <c r="C1214" s="80"/>
      <c r="D1214" s="79"/>
      <c r="E1214" s="80"/>
      <c r="F1214" s="79"/>
      <c r="G1214" s="25" t="str">
        <f t="shared" si="55"/>
        <v/>
      </c>
      <c r="H1214" s="88"/>
      <c r="I1214" s="93"/>
      <c r="J1214" s="97"/>
      <c r="K1214" s="88"/>
      <c r="L1214" s="25" t="str">
        <f>IF($D1214="","",SUMIFS($H$4:$H1214,$D$4:$D1214,$D1214)+SUMIFS($I$4:$I1214,$D$4:$D1214,$D1214)-SUMIFS($J$4:$J1214,$D$4:$D1214,$D1214)-SUMIFS($K$4:$K1214,$D$4:$D1214,$D1214))</f>
        <v/>
      </c>
      <c r="M1214" s="80"/>
      <c r="N1214" s="80"/>
      <c r="O1214" s="94"/>
      <c r="P1214" s="26" t="str">
        <f t="shared" si="56"/>
        <v/>
      </c>
      <c r="Q1214" s="80"/>
      <c r="R1214" s="80"/>
      <c r="S1214" s="80"/>
      <c r="T1214" s="82"/>
      <c r="U1214" s="80"/>
      <c r="V1214" s="80"/>
      <c r="W1214" s="80"/>
    </row>
    <row r="1215" ht="18" customHeight="1" spans="1:23">
      <c r="A1215" s="87" t="str">
        <f t="shared" si="54"/>
        <v/>
      </c>
      <c r="B1215" s="78"/>
      <c r="C1215" s="80"/>
      <c r="D1215" s="79"/>
      <c r="E1215" s="80"/>
      <c r="F1215" s="79"/>
      <c r="G1215" s="25" t="str">
        <f t="shared" si="55"/>
        <v/>
      </c>
      <c r="H1215" s="88"/>
      <c r="I1215" s="93"/>
      <c r="J1215" s="97"/>
      <c r="K1215" s="88"/>
      <c r="L1215" s="25" t="str">
        <f>IF($D1215="","",SUMIFS($H$4:$H1215,$D$4:$D1215,$D1215)+SUMIFS($I$4:$I1215,$D$4:$D1215,$D1215)-SUMIFS($J$4:$J1215,$D$4:$D1215,$D1215)-SUMIFS($K$4:$K1215,$D$4:$D1215,$D1215))</f>
        <v/>
      </c>
      <c r="M1215" s="80"/>
      <c r="N1215" s="80"/>
      <c r="O1215" s="94"/>
      <c r="P1215" s="26" t="str">
        <f t="shared" si="56"/>
        <v/>
      </c>
      <c r="Q1215" s="80"/>
      <c r="R1215" s="80"/>
      <c r="S1215" s="80"/>
      <c r="T1215" s="82"/>
      <c r="U1215" s="80"/>
      <c r="V1215" s="80"/>
      <c r="W1215" s="80"/>
    </row>
    <row r="1216" ht="18" customHeight="1" spans="1:23">
      <c r="A1216" s="87" t="str">
        <f t="shared" si="54"/>
        <v/>
      </c>
      <c r="B1216" s="78"/>
      <c r="C1216" s="80"/>
      <c r="D1216" s="79"/>
      <c r="E1216" s="80"/>
      <c r="F1216" s="79"/>
      <c r="G1216" s="25" t="str">
        <f t="shared" si="55"/>
        <v/>
      </c>
      <c r="H1216" s="88"/>
      <c r="I1216" s="93"/>
      <c r="J1216" s="97"/>
      <c r="K1216" s="88"/>
      <c r="L1216" s="25" t="str">
        <f>IF($D1216="","",SUMIFS($H$4:$H1216,$D$4:$D1216,$D1216)+SUMIFS($I$4:$I1216,$D$4:$D1216,$D1216)-SUMIFS($J$4:$J1216,$D$4:$D1216,$D1216)-SUMIFS($K$4:$K1216,$D$4:$D1216,$D1216))</f>
        <v/>
      </c>
      <c r="M1216" s="80"/>
      <c r="N1216" s="80"/>
      <c r="O1216" s="94"/>
      <c r="P1216" s="26" t="str">
        <f t="shared" si="56"/>
        <v/>
      </c>
      <c r="Q1216" s="80"/>
      <c r="R1216" s="80"/>
      <c r="S1216" s="80"/>
      <c r="T1216" s="82"/>
      <c r="U1216" s="80"/>
      <c r="V1216" s="80"/>
      <c r="W1216" s="80"/>
    </row>
    <row r="1217" ht="18" customHeight="1" spans="1:23">
      <c r="A1217" s="87" t="str">
        <f t="shared" si="54"/>
        <v/>
      </c>
      <c r="B1217" s="78"/>
      <c r="C1217" s="80"/>
      <c r="D1217" s="79"/>
      <c r="E1217" s="80"/>
      <c r="F1217" s="79"/>
      <c r="G1217" s="25" t="str">
        <f t="shared" si="55"/>
        <v/>
      </c>
      <c r="H1217" s="88"/>
      <c r="I1217" s="93"/>
      <c r="J1217" s="97"/>
      <c r="K1217" s="88"/>
      <c r="L1217" s="25" t="str">
        <f>IF($D1217="","",SUMIFS($H$4:$H1217,$D$4:$D1217,$D1217)+SUMIFS($I$4:$I1217,$D$4:$D1217,$D1217)-SUMIFS($J$4:$J1217,$D$4:$D1217,$D1217)-SUMIFS($K$4:$K1217,$D$4:$D1217,$D1217))</f>
        <v/>
      </c>
      <c r="M1217" s="80"/>
      <c r="N1217" s="80"/>
      <c r="O1217" s="94"/>
      <c r="P1217" s="26" t="str">
        <f t="shared" si="56"/>
        <v/>
      </c>
      <c r="Q1217" s="80"/>
      <c r="R1217" s="80"/>
      <c r="S1217" s="80"/>
      <c r="T1217" s="82"/>
      <c r="U1217" s="80"/>
      <c r="V1217" s="80"/>
      <c r="W1217" s="80"/>
    </row>
    <row r="1218" ht="18" customHeight="1" spans="1:23">
      <c r="A1218" s="87" t="str">
        <f t="shared" si="54"/>
        <v/>
      </c>
      <c r="B1218" s="78"/>
      <c r="C1218" s="80"/>
      <c r="D1218" s="79"/>
      <c r="E1218" s="80"/>
      <c r="F1218" s="79"/>
      <c r="G1218" s="25" t="str">
        <f t="shared" si="55"/>
        <v/>
      </c>
      <c r="H1218" s="88"/>
      <c r="I1218" s="93"/>
      <c r="J1218" s="97"/>
      <c r="K1218" s="88"/>
      <c r="L1218" s="25" t="str">
        <f>IF($D1218="","",SUMIFS($H$4:$H1218,$D$4:$D1218,$D1218)+SUMIFS($I$4:$I1218,$D$4:$D1218,$D1218)-SUMIFS($J$4:$J1218,$D$4:$D1218,$D1218)-SUMIFS($K$4:$K1218,$D$4:$D1218,$D1218))</f>
        <v/>
      </c>
      <c r="M1218" s="80"/>
      <c r="N1218" s="80"/>
      <c r="O1218" s="94"/>
      <c r="P1218" s="26" t="str">
        <f t="shared" si="56"/>
        <v/>
      </c>
      <c r="Q1218" s="80"/>
      <c r="R1218" s="80"/>
      <c r="S1218" s="80"/>
      <c r="T1218" s="82"/>
      <c r="U1218" s="80"/>
      <c r="V1218" s="80"/>
      <c r="W1218" s="80"/>
    </row>
    <row r="1219" ht="18" customHeight="1" spans="1:23">
      <c r="A1219" s="87" t="str">
        <f t="shared" si="54"/>
        <v/>
      </c>
      <c r="B1219" s="78"/>
      <c r="C1219" s="80"/>
      <c r="D1219" s="79"/>
      <c r="E1219" s="80"/>
      <c r="F1219" s="79"/>
      <c r="G1219" s="25" t="str">
        <f t="shared" si="55"/>
        <v/>
      </c>
      <c r="H1219" s="88"/>
      <c r="I1219" s="93"/>
      <c r="J1219" s="97"/>
      <c r="K1219" s="88"/>
      <c r="L1219" s="25" t="str">
        <f>IF($D1219="","",SUMIFS($H$4:$H1219,$D$4:$D1219,$D1219)+SUMIFS($I$4:$I1219,$D$4:$D1219,$D1219)-SUMIFS($J$4:$J1219,$D$4:$D1219,$D1219)-SUMIFS($K$4:$K1219,$D$4:$D1219,$D1219))</f>
        <v/>
      </c>
      <c r="M1219" s="80"/>
      <c r="N1219" s="80"/>
      <c r="O1219" s="94"/>
      <c r="P1219" s="26" t="str">
        <f t="shared" si="56"/>
        <v/>
      </c>
      <c r="Q1219" s="80"/>
      <c r="R1219" s="80"/>
      <c r="S1219" s="80"/>
      <c r="T1219" s="82"/>
      <c r="U1219" s="80"/>
      <c r="V1219" s="80"/>
      <c r="W1219" s="80"/>
    </row>
    <row r="1220" ht="18" customHeight="1" spans="1:23">
      <c r="A1220" s="87" t="str">
        <f t="shared" si="54"/>
        <v/>
      </c>
      <c r="B1220" s="78"/>
      <c r="C1220" s="80"/>
      <c r="D1220" s="79"/>
      <c r="E1220" s="80"/>
      <c r="F1220" s="79"/>
      <c r="G1220" s="25" t="str">
        <f t="shared" si="55"/>
        <v/>
      </c>
      <c r="H1220" s="88"/>
      <c r="I1220" s="93"/>
      <c r="J1220" s="97"/>
      <c r="K1220" s="88"/>
      <c r="L1220" s="25" t="str">
        <f>IF($D1220="","",SUMIFS($H$4:$H1220,$D$4:$D1220,$D1220)+SUMIFS($I$4:$I1220,$D$4:$D1220,$D1220)-SUMIFS($J$4:$J1220,$D$4:$D1220,$D1220)-SUMIFS($K$4:$K1220,$D$4:$D1220,$D1220))</f>
        <v/>
      </c>
      <c r="M1220" s="80"/>
      <c r="N1220" s="80"/>
      <c r="O1220" s="94"/>
      <c r="P1220" s="26" t="str">
        <f t="shared" si="56"/>
        <v/>
      </c>
      <c r="Q1220" s="80"/>
      <c r="R1220" s="80"/>
      <c r="S1220" s="80"/>
      <c r="T1220" s="82"/>
      <c r="U1220" s="80"/>
      <c r="V1220" s="80"/>
      <c r="W1220" s="80"/>
    </row>
    <row r="1221" ht="18" customHeight="1" spans="1:23">
      <c r="A1221" s="87" t="str">
        <f t="shared" ref="A1221:A1284" si="57">IF($D1221="","",ROW()-3)</f>
        <v/>
      </c>
      <c r="B1221" s="78"/>
      <c r="C1221" s="80"/>
      <c r="D1221" s="79"/>
      <c r="E1221" s="80"/>
      <c r="F1221" s="79"/>
      <c r="G1221" s="25" t="str">
        <f t="shared" ref="G1221:G1284" si="58">IF($D1221="","",N($L1221)-N($H1221)-N($I1221)+N($J1221)+N($K1221))</f>
        <v/>
      </c>
      <c r="H1221" s="88"/>
      <c r="I1221" s="93"/>
      <c r="J1221" s="97"/>
      <c r="K1221" s="88"/>
      <c r="L1221" s="25" t="str">
        <f>IF($D1221="","",SUMIFS($H$4:$H1221,$D$4:$D1221,$D1221)+SUMIFS($I$4:$I1221,$D$4:$D1221,$D1221)-SUMIFS($J$4:$J1221,$D$4:$D1221,$D1221)-SUMIFS($K$4:$K1221,$D$4:$D1221,$D1221))</f>
        <v/>
      </c>
      <c r="M1221" s="80"/>
      <c r="N1221" s="80"/>
      <c r="O1221" s="94"/>
      <c r="P1221" s="26" t="str">
        <f t="shared" ref="P1221:P1284" si="59">IF($D1221="","",ROUND((N($H1221)+N($K1221))*N($O1221),2))</f>
        <v/>
      </c>
      <c r="Q1221" s="80"/>
      <c r="R1221" s="80"/>
      <c r="S1221" s="80"/>
      <c r="T1221" s="82"/>
      <c r="U1221" s="80"/>
      <c r="V1221" s="80"/>
      <c r="W1221" s="80"/>
    </row>
    <row r="1222" ht="18" customHeight="1" spans="1:23">
      <c r="A1222" s="87" t="str">
        <f t="shared" si="57"/>
        <v/>
      </c>
      <c r="B1222" s="78"/>
      <c r="C1222" s="80"/>
      <c r="D1222" s="79"/>
      <c r="E1222" s="80"/>
      <c r="F1222" s="79"/>
      <c r="G1222" s="25" t="str">
        <f t="shared" si="58"/>
        <v/>
      </c>
      <c r="H1222" s="88"/>
      <c r="I1222" s="93"/>
      <c r="J1222" s="97"/>
      <c r="K1222" s="88"/>
      <c r="L1222" s="25" t="str">
        <f>IF($D1222="","",SUMIFS($H$4:$H1222,$D$4:$D1222,$D1222)+SUMIFS($I$4:$I1222,$D$4:$D1222,$D1222)-SUMIFS($J$4:$J1222,$D$4:$D1222,$D1222)-SUMIFS($K$4:$K1222,$D$4:$D1222,$D1222))</f>
        <v/>
      </c>
      <c r="M1222" s="80"/>
      <c r="N1222" s="80"/>
      <c r="O1222" s="94"/>
      <c r="P1222" s="26" t="str">
        <f t="shared" si="59"/>
        <v/>
      </c>
      <c r="Q1222" s="80"/>
      <c r="R1222" s="80"/>
      <c r="S1222" s="80"/>
      <c r="T1222" s="82"/>
      <c r="U1222" s="80"/>
      <c r="V1222" s="80"/>
      <c r="W1222" s="80"/>
    </row>
    <row r="1223" ht="18" customHeight="1" spans="1:23">
      <c r="A1223" s="87" t="str">
        <f t="shared" si="57"/>
        <v/>
      </c>
      <c r="B1223" s="78"/>
      <c r="C1223" s="80"/>
      <c r="D1223" s="79"/>
      <c r="E1223" s="80"/>
      <c r="F1223" s="79"/>
      <c r="G1223" s="25" t="str">
        <f t="shared" si="58"/>
        <v/>
      </c>
      <c r="H1223" s="88"/>
      <c r="I1223" s="93"/>
      <c r="J1223" s="97"/>
      <c r="K1223" s="88"/>
      <c r="L1223" s="25" t="str">
        <f>IF($D1223="","",SUMIFS($H$4:$H1223,$D$4:$D1223,$D1223)+SUMIFS($I$4:$I1223,$D$4:$D1223,$D1223)-SUMIFS($J$4:$J1223,$D$4:$D1223,$D1223)-SUMIFS($K$4:$K1223,$D$4:$D1223,$D1223))</f>
        <v/>
      </c>
      <c r="M1223" s="80"/>
      <c r="N1223" s="80"/>
      <c r="O1223" s="94"/>
      <c r="P1223" s="26" t="str">
        <f t="shared" si="59"/>
        <v/>
      </c>
      <c r="Q1223" s="80"/>
      <c r="R1223" s="80"/>
      <c r="S1223" s="80"/>
      <c r="T1223" s="82"/>
      <c r="U1223" s="80"/>
      <c r="V1223" s="80"/>
      <c r="W1223" s="80"/>
    </row>
    <row r="1224" ht="18" customHeight="1" spans="1:23">
      <c r="A1224" s="87" t="str">
        <f t="shared" si="57"/>
        <v/>
      </c>
      <c r="B1224" s="78"/>
      <c r="C1224" s="80"/>
      <c r="D1224" s="79"/>
      <c r="E1224" s="80"/>
      <c r="F1224" s="79"/>
      <c r="G1224" s="25" t="str">
        <f t="shared" si="58"/>
        <v/>
      </c>
      <c r="H1224" s="88"/>
      <c r="I1224" s="93"/>
      <c r="J1224" s="97"/>
      <c r="K1224" s="88"/>
      <c r="L1224" s="25" t="str">
        <f>IF($D1224="","",SUMIFS($H$4:$H1224,$D$4:$D1224,$D1224)+SUMIFS($I$4:$I1224,$D$4:$D1224,$D1224)-SUMIFS($J$4:$J1224,$D$4:$D1224,$D1224)-SUMIFS($K$4:$K1224,$D$4:$D1224,$D1224))</f>
        <v/>
      </c>
      <c r="M1224" s="80"/>
      <c r="N1224" s="80"/>
      <c r="O1224" s="94"/>
      <c r="P1224" s="26" t="str">
        <f t="shared" si="59"/>
        <v/>
      </c>
      <c r="Q1224" s="80"/>
      <c r="R1224" s="80"/>
      <c r="S1224" s="80"/>
      <c r="T1224" s="82"/>
      <c r="U1224" s="80"/>
      <c r="V1224" s="80"/>
      <c r="W1224" s="80"/>
    </row>
    <row r="1225" ht="18" customHeight="1" spans="1:23">
      <c r="A1225" s="87" t="str">
        <f t="shared" si="57"/>
        <v/>
      </c>
      <c r="B1225" s="78"/>
      <c r="C1225" s="80"/>
      <c r="D1225" s="79"/>
      <c r="E1225" s="80"/>
      <c r="F1225" s="79"/>
      <c r="G1225" s="25" t="str">
        <f t="shared" si="58"/>
        <v/>
      </c>
      <c r="H1225" s="88"/>
      <c r="I1225" s="93"/>
      <c r="J1225" s="97"/>
      <c r="K1225" s="88"/>
      <c r="L1225" s="25" t="str">
        <f>IF($D1225="","",SUMIFS($H$4:$H1225,$D$4:$D1225,$D1225)+SUMIFS($I$4:$I1225,$D$4:$D1225,$D1225)-SUMIFS($J$4:$J1225,$D$4:$D1225,$D1225)-SUMIFS($K$4:$K1225,$D$4:$D1225,$D1225))</f>
        <v/>
      </c>
      <c r="M1225" s="80"/>
      <c r="N1225" s="80"/>
      <c r="O1225" s="94"/>
      <c r="P1225" s="26" t="str">
        <f t="shared" si="59"/>
        <v/>
      </c>
      <c r="Q1225" s="80"/>
      <c r="R1225" s="80"/>
      <c r="S1225" s="80"/>
      <c r="T1225" s="82"/>
      <c r="U1225" s="80"/>
      <c r="V1225" s="80"/>
      <c r="W1225" s="80"/>
    </row>
    <row r="1226" ht="18" customHeight="1" spans="1:23">
      <c r="A1226" s="87" t="str">
        <f t="shared" si="57"/>
        <v/>
      </c>
      <c r="B1226" s="78"/>
      <c r="C1226" s="80"/>
      <c r="D1226" s="79"/>
      <c r="E1226" s="80"/>
      <c r="F1226" s="79"/>
      <c r="G1226" s="25" t="str">
        <f t="shared" si="58"/>
        <v/>
      </c>
      <c r="H1226" s="88"/>
      <c r="I1226" s="93"/>
      <c r="J1226" s="97"/>
      <c r="K1226" s="88"/>
      <c r="L1226" s="25" t="str">
        <f>IF($D1226="","",SUMIFS($H$4:$H1226,$D$4:$D1226,$D1226)+SUMIFS($I$4:$I1226,$D$4:$D1226,$D1226)-SUMIFS($J$4:$J1226,$D$4:$D1226,$D1226)-SUMIFS($K$4:$K1226,$D$4:$D1226,$D1226))</f>
        <v/>
      </c>
      <c r="M1226" s="80"/>
      <c r="N1226" s="80"/>
      <c r="O1226" s="94"/>
      <c r="P1226" s="26" t="str">
        <f t="shared" si="59"/>
        <v/>
      </c>
      <c r="Q1226" s="80"/>
      <c r="R1226" s="80"/>
      <c r="S1226" s="80"/>
      <c r="T1226" s="82"/>
      <c r="U1226" s="80"/>
      <c r="V1226" s="80"/>
      <c r="W1226" s="80"/>
    </row>
    <row r="1227" ht="18" customHeight="1" spans="1:23">
      <c r="A1227" s="87" t="str">
        <f t="shared" si="57"/>
        <v/>
      </c>
      <c r="B1227" s="78"/>
      <c r="C1227" s="80"/>
      <c r="D1227" s="79"/>
      <c r="E1227" s="80"/>
      <c r="F1227" s="79"/>
      <c r="G1227" s="25" t="str">
        <f t="shared" si="58"/>
        <v/>
      </c>
      <c r="H1227" s="88"/>
      <c r="I1227" s="93"/>
      <c r="J1227" s="97"/>
      <c r="K1227" s="88"/>
      <c r="L1227" s="25" t="str">
        <f>IF($D1227="","",SUMIFS($H$4:$H1227,$D$4:$D1227,$D1227)+SUMIFS($I$4:$I1227,$D$4:$D1227,$D1227)-SUMIFS($J$4:$J1227,$D$4:$D1227,$D1227)-SUMIFS($K$4:$K1227,$D$4:$D1227,$D1227))</f>
        <v/>
      </c>
      <c r="M1227" s="80"/>
      <c r="N1227" s="80"/>
      <c r="O1227" s="94"/>
      <c r="P1227" s="26" t="str">
        <f t="shared" si="59"/>
        <v/>
      </c>
      <c r="Q1227" s="80"/>
      <c r="R1227" s="80"/>
      <c r="S1227" s="80"/>
      <c r="T1227" s="82"/>
      <c r="U1227" s="80"/>
      <c r="V1227" s="80"/>
      <c r="W1227" s="80"/>
    </row>
    <row r="1228" ht="18" customHeight="1" spans="1:23">
      <c r="A1228" s="87" t="str">
        <f t="shared" si="57"/>
        <v/>
      </c>
      <c r="B1228" s="78"/>
      <c r="C1228" s="80"/>
      <c r="D1228" s="79"/>
      <c r="E1228" s="80"/>
      <c r="F1228" s="79"/>
      <c r="G1228" s="25" t="str">
        <f t="shared" si="58"/>
        <v/>
      </c>
      <c r="H1228" s="88"/>
      <c r="I1228" s="93"/>
      <c r="J1228" s="97"/>
      <c r="K1228" s="88"/>
      <c r="L1228" s="25" t="str">
        <f>IF($D1228="","",SUMIFS($H$4:$H1228,$D$4:$D1228,$D1228)+SUMIFS($I$4:$I1228,$D$4:$D1228,$D1228)-SUMIFS($J$4:$J1228,$D$4:$D1228,$D1228)-SUMIFS($K$4:$K1228,$D$4:$D1228,$D1228))</f>
        <v/>
      </c>
      <c r="M1228" s="80"/>
      <c r="N1228" s="80"/>
      <c r="O1228" s="94"/>
      <c r="P1228" s="26" t="str">
        <f t="shared" si="59"/>
        <v/>
      </c>
      <c r="Q1228" s="80"/>
      <c r="R1228" s="80"/>
      <c r="S1228" s="80"/>
      <c r="T1228" s="82"/>
      <c r="U1228" s="80"/>
      <c r="V1228" s="80"/>
      <c r="W1228" s="80"/>
    </row>
    <row r="1229" ht="18" customHeight="1" spans="1:23">
      <c r="A1229" s="87" t="str">
        <f t="shared" si="57"/>
        <v/>
      </c>
      <c r="B1229" s="78"/>
      <c r="C1229" s="80"/>
      <c r="D1229" s="79"/>
      <c r="E1229" s="80"/>
      <c r="F1229" s="79"/>
      <c r="G1229" s="25" t="str">
        <f t="shared" si="58"/>
        <v/>
      </c>
      <c r="H1229" s="88"/>
      <c r="I1229" s="93"/>
      <c r="J1229" s="97"/>
      <c r="K1229" s="88"/>
      <c r="L1229" s="25" t="str">
        <f>IF($D1229="","",SUMIFS($H$4:$H1229,$D$4:$D1229,$D1229)+SUMIFS($I$4:$I1229,$D$4:$D1229,$D1229)-SUMIFS($J$4:$J1229,$D$4:$D1229,$D1229)-SUMIFS($K$4:$K1229,$D$4:$D1229,$D1229))</f>
        <v/>
      </c>
      <c r="M1229" s="80"/>
      <c r="N1229" s="80"/>
      <c r="O1229" s="94"/>
      <c r="P1229" s="26" t="str">
        <f t="shared" si="59"/>
        <v/>
      </c>
      <c r="Q1229" s="80"/>
      <c r="R1229" s="80"/>
      <c r="S1229" s="80"/>
      <c r="T1229" s="82"/>
      <c r="U1229" s="80"/>
      <c r="V1229" s="80"/>
      <c r="W1229" s="80"/>
    </row>
    <row r="1230" ht="18" customHeight="1" spans="1:23">
      <c r="A1230" s="87" t="str">
        <f t="shared" si="57"/>
        <v/>
      </c>
      <c r="B1230" s="78"/>
      <c r="C1230" s="80"/>
      <c r="D1230" s="79"/>
      <c r="E1230" s="80"/>
      <c r="F1230" s="79"/>
      <c r="G1230" s="25" t="str">
        <f t="shared" si="58"/>
        <v/>
      </c>
      <c r="H1230" s="88"/>
      <c r="I1230" s="93"/>
      <c r="J1230" s="97"/>
      <c r="K1230" s="88"/>
      <c r="L1230" s="25" t="str">
        <f>IF($D1230="","",SUMIFS($H$4:$H1230,$D$4:$D1230,$D1230)+SUMIFS($I$4:$I1230,$D$4:$D1230,$D1230)-SUMIFS($J$4:$J1230,$D$4:$D1230,$D1230)-SUMIFS($K$4:$K1230,$D$4:$D1230,$D1230))</f>
        <v/>
      </c>
      <c r="M1230" s="80"/>
      <c r="N1230" s="80"/>
      <c r="O1230" s="94"/>
      <c r="P1230" s="26" t="str">
        <f t="shared" si="59"/>
        <v/>
      </c>
      <c r="Q1230" s="80"/>
      <c r="R1230" s="80"/>
      <c r="S1230" s="80"/>
      <c r="T1230" s="82"/>
      <c r="U1230" s="80"/>
      <c r="V1230" s="80"/>
      <c r="W1230" s="80"/>
    </row>
    <row r="1231" ht="18" customHeight="1" spans="1:23">
      <c r="A1231" s="87" t="str">
        <f t="shared" si="57"/>
        <v/>
      </c>
      <c r="B1231" s="78"/>
      <c r="C1231" s="80"/>
      <c r="D1231" s="79"/>
      <c r="E1231" s="80"/>
      <c r="F1231" s="79"/>
      <c r="G1231" s="25" t="str">
        <f t="shared" si="58"/>
        <v/>
      </c>
      <c r="H1231" s="88"/>
      <c r="I1231" s="93"/>
      <c r="J1231" s="97"/>
      <c r="K1231" s="88"/>
      <c r="L1231" s="25" t="str">
        <f>IF($D1231="","",SUMIFS($H$4:$H1231,$D$4:$D1231,$D1231)+SUMIFS($I$4:$I1231,$D$4:$D1231,$D1231)-SUMIFS($J$4:$J1231,$D$4:$D1231,$D1231)-SUMIFS($K$4:$K1231,$D$4:$D1231,$D1231))</f>
        <v/>
      </c>
      <c r="M1231" s="80"/>
      <c r="N1231" s="80"/>
      <c r="O1231" s="94"/>
      <c r="P1231" s="26" t="str">
        <f t="shared" si="59"/>
        <v/>
      </c>
      <c r="Q1231" s="80"/>
      <c r="R1231" s="80"/>
      <c r="S1231" s="80"/>
      <c r="T1231" s="82"/>
      <c r="U1231" s="80"/>
      <c r="V1231" s="80"/>
      <c r="W1231" s="80"/>
    </row>
    <row r="1232" ht="18" customHeight="1" spans="1:23">
      <c r="A1232" s="87" t="str">
        <f t="shared" si="57"/>
        <v/>
      </c>
      <c r="B1232" s="78"/>
      <c r="C1232" s="80"/>
      <c r="D1232" s="79"/>
      <c r="E1232" s="80"/>
      <c r="F1232" s="79"/>
      <c r="G1232" s="25" t="str">
        <f t="shared" si="58"/>
        <v/>
      </c>
      <c r="H1232" s="88"/>
      <c r="I1232" s="93"/>
      <c r="J1232" s="97"/>
      <c r="K1232" s="88"/>
      <c r="L1232" s="25" t="str">
        <f>IF($D1232="","",SUMIFS($H$4:$H1232,$D$4:$D1232,$D1232)+SUMIFS($I$4:$I1232,$D$4:$D1232,$D1232)-SUMIFS($J$4:$J1232,$D$4:$D1232,$D1232)-SUMIFS($K$4:$K1232,$D$4:$D1232,$D1232))</f>
        <v/>
      </c>
      <c r="M1232" s="80"/>
      <c r="N1232" s="80"/>
      <c r="O1232" s="94"/>
      <c r="P1232" s="26" t="str">
        <f t="shared" si="59"/>
        <v/>
      </c>
      <c r="Q1232" s="80"/>
      <c r="R1232" s="80"/>
      <c r="S1232" s="80"/>
      <c r="T1232" s="82"/>
      <c r="U1232" s="80"/>
      <c r="V1232" s="80"/>
      <c r="W1232" s="80"/>
    </row>
    <row r="1233" ht="18" customHeight="1" spans="1:23">
      <c r="A1233" s="87" t="str">
        <f t="shared" si="57"/>
        <v/>
      </c>
      <c r="B1233" s="78"/>
      <c r="C1233" s="80"/>
      <c r="D1233" s="79"/>
      <c r="E1233" s="80"/>
      <c r="F1233" s="79"/>
      <c r="G1233" s="25" t="str">
        <f t="shared" si="58"/>
        <v/>
      </c>
      <c r="H1233" s="88"/>
      <c r="I1233" s="93"/>
      <c r="J1233" s="97"/>
      <c r="K1233" s="88"/>
      <c r="L1233" s="25" t="str">
        <f>IF($D1233="","",SUMIFS($H$4:$H1233,$D$4:$D1233,$D1233)+SUMIFS($I$4:$I1233,$D$4:$D1233,$D1233)-SUMIFS($J$4:$J1233,$D$4:$D1233,$D1233)-SUMIFS($K$4:$K1233,$D$4:$D1233,$D1233))</f>
        <v/>
      </c>
      <c r="M1233" s="80"/>
      <c r="N1233" s="80"/>
      <c r="O1233" s="94"/>
      <c r="P1233" s="26" t="str">
        <f t="shared" si="59"/>
        <v/>
      </c>
      <c r="Q1233" s="80"/>
      <c r="R1233" s="80"/>
      <c r="S1233" s="80"/>
      <c r="T1233" s="82"/>
      <c r="U1233" s="80"/>
      <c r="V1233" s="80"/>
      <c r="W1233" s="80"/>
    </row>
    <row r="1234" ht="18" customHeight="1" spans="1:23">
      <c r="A1234" s="87" t="str">
        <f t="shared" si="57"/>
        <v/>
      </c>
      <c r="B1234" s="78"/>
      <c r="C1234" s="80"/>
      <c r="D1234" s="79"/>
      <c r="E1234" s="80"/>
      <c r="F1234" s="79"/>
      <c r="G1234" s="25" t="str">
        <f t="shared" si="58"/>
        <v/>
      </c>
      <c r="H1234" s="88"/>
      <c r="I1234" s="93"/>
      <c r="J1234" s="97"/>
      <c r="K1234" s="88"/>
      <c r="L1234" s="25" t="str">
        <f>IF($D1234="","",SUMIFS($H$4:$H1234,$D$4:$D1234,$D1234)+SUMIFS($I$4:$I1234,$D$4:$D1234,$D1234)-SUMIFS($J$4:$J1234,$D$4:$D1234,$D1234)-SUMIFS($K$4:$K1234,$D$4:$D1234,$D1234))</f>
        <v/>
      </c>
      <c r="M1234" s="80"/>
      <c r="N1234" s="80"/>
      <c r="O1234" s="94"/>
      <c r="P1234" s="26" t="str">
        <f t="shared" si="59"/>
        <v/>
      </c>
      <c r="Q1234" s="80"/>
      <c r="R1234" s="80"/>
      <c r="S1234" s="80"/>
      <c r="T1234" s="82"/>
      <c r="U1234" s="80"/>
      <c r="V1234" s="80"/>
      <c r="W1234" s="80"/>
    </row>
    <row r="1235" ht="18" customHeight="1" spans="1:23">
      <c r="A1235" s="87" t="str">
        <f t="shared" si="57"/>
        <v/>
      </c>
      <c r="B1235" s="78"/>
      <c r="C1235" s="80"/>
      <c r="D1235" s="79"/>
      <c r="E1235" s="80"/>
      <c r="F1235" s="79"/>
      <c r="G1235" s="25" t="str">
        <f t="shared" si="58"/>
        <v/>
      </c>
      <c r="H1235" s="88"/>
      <c r="I1235" s="93"/>
      <c r="J1235" s="97"/>
      <c r="K1235" s="88"/>
      <c r="L1235" s="25" t="str">
        <f>IF($D1235="","",SUMIFS($H$4:$H1235,$D$4:$D1235,$D1235)+SUMIFS($I$4:$I1235,$D$4:$D1235,$D1235)-SUMIFS($J$4:$J1235,$D$4:$D1235,$D1235)-SUMIFS($K$4:$K1235,$D$4:$D1235,$D1235))</f>
        <v/>
      </c>
      <c r="M1235" s="80"/>
      <c r="N1235" s="80"/>
      <c r="O1235" s="94"/>
      <c r="P1235" s="26" t="str">
        <f t="shared" si="59"/>
        <v/>
      </c>
      <c r="Q1235" s="80"/>
      <c r="R1235" s="80"/>
      <c r="S1235" s="80"/>
      <c r="T1235" s="82"/>
      <c r="U1235" s="80"/>
      <c r="V1235" s="80"/>
      <c r="W1235" s="80"/>
    </row>
    <row r="1236" ht="18" customHeight="1" spans="1:23">
      <c r="A1236" s="87" t="str">
        <f t="shared" si="57"/>
        <v/>
      </c>
      <c r="B1236" s="78"/>
      <c r="C1236" s="80"/>
      <c r="D1236" s="79"/>
      <c r="E1236" s="80"/>
      <c r="F1236" s="79"/>
      <c r="G1236" s="25" t="str">
        <f t="shared" si="58"/>
        <v/>
      </c>
      <c r="H1236" s="88"/>
      <c r="I1236" s="93"/>
      <c r="J1236" s="97"/>
      <c r="K1236" s="88"/>
      <c r="L1236" s="25" t="str">
        <f>IF($D1236="","",SUMIFS($H$4:$H1236,$D$4:$D1236,$D1236)+SUMIFS($I$4:$I1236,$D$4:$D1236,$D1236)-SUMIFS($J$4:$J1236,$D$4:$D1236,$D1236)-SUMIFS($K$4:$K1236,$D$4:$D1236,$D1236))</f>
        <v/>
      </c>
      <c r="M1236" s="80"/>
      <c r="N1236" s="80"/>
      <c r="O1236" s="94"/>
      <c r="P1236" s="26" t="str">
        <f t="shared" si="59"/>
        <v/>
      </c>
      <c r="Q1236" s="80"/>
      <c r="R1236" s="80"/>
      <c r="S1236" s="80"/>
      <c r="T1236" s="82"/>
      <c r="U1236" s="80"/>
      <c r="V1236" s="80"/>
      <c r="W1236" s="80"/>
    </row>
    <row r="1237" ht="18" customHeight="1" spans="1:23">
      <c r="A1237" s="87" t="str">
        <f t="shared" si="57"/>
        <v/>
      </c>
      <c r="B1237" s="78"/>
      <c r="C1237" s="80"/>
      <c r="D1237" s="79"/>
      <c r="E1237" s="80"/>
      <c r="F1237" s="79"/>
      <c r="G1237" s="25" t="str">
        <f t="shared" si="58"/>
        <v/>
      </c>
      <c r="H1237" s="88"/>
      <c r="I1237" s="93"/>
      <c r="J1237" s="97"/>
      <c r="K1237" s="88"/>
      <c r="L1237" s="25" t="str">
        <f>IF($D1237="","",SUMIFS($H$4:$H1237,$D$4:$D1237,$D1237)+SUMIFS($I$4:$I1237,$D$4:$D1237,$D1237)-SUMIFS($J$4:$J1237,$D$4:$D1237,$D1237)-SUMIFS($K$4:$K1237,$D$4:$D1237,$D1237))</f>
        <v/>
      </c>
      <c r="M1237" s="80"/>
      <c r="N1237" s="80"/>
      <c r="O1237" s="94"/>
      <c r="P1237" s="26" t="str">
        <f t="shared" si="59"/>
        <v/>
      </c>
      <c r="Q1237" s="80"/>
      <c r="R1237" s="80"/>
      <c r="S1237" s="80"/>
      <c r="T1237" s="82"/>
      <c r="U1237" s="80"/>
      <c r="V1237" s="80"/>
      <c r="W1237" s="80"/>
    </row>
    <row r="1238" ht="18" customHeight="1" spans="1:23">
      <c r="A1238" s="87" t="str">
        <f t="shared" si="57"/>
        <v/>
      </c>
      <c r="B1238" s="78"/>
      <c r="C1238" s="80"/>
      <c r="D1238" s="79"/>
      <c r="E1238" s="80"/>
      <c r="F1238" s="79"/>
      <c r="G1238" s="25" t="str">
        <f t="shared" si="58"/>
        <v/>
      </c>
      <c r="H1238" s="88"/>
      <c r="I1238" s="93"/>
      <c r="J1238" s="97"/>
      <c r="K1238" s="88"/>
      <c r="L1238" s="25" t="str">
        <f>IF($D1238="","",SUMIFS($H$4:$H1238,$D$4:$D1238,$D1238)+SUMIFS($I$4:$I1238,$D$4:$D1238,$D1238)-SUMIFS($J$4:$J1238,$D$4:$D1238,$D1238)-SUMIFS($K$4:$K1238,$D$4:$D1238,$D1238))</f>
        <v/>
      </c>
      <c r="M1238" s="80"/>
      <c r="N1238" s="80"/>
      <c r="O1238" s="94"/>
      <c r="P1238" s="26" t="str">
        <f t="shared" si="59"/>
        <v/>
      </c>
      <c r="Q1238" s="80"/>
      <c r="R1238" s="80"/>
      <c r="S1238" s="80"/>
      <c r="T1238" s="82"/>
      <c r="U1238" s="80"/>
      <c r="V1238" s="80"/>
      <c r="W1238" s="80"/>
    </row>
    <row r="1239" ht="18" customHeight="1" spans="1:23">
      <c r="A1239" s="87" t="str">
        <f t="shared" si="57"/>
        <v/>
      </c>
      <c r="B1239" s="78"/>
      <c r="C1239" s="80"/>
      <c r="D1239" s="79"/>
      <c r="E1239" s="80"/>
      <c r="F1239" s="79"/>
      <c r="G1239" s="25" t="str">
        <f t="shared" si="58"/>
        <v/>
      </c>
      <c r="H1239" s="88"/>
      <c r="I1239" s="93"/>
      <c r="J1239" s="97"/>
      <c r="K1239" s="88"/>
      <c r="L1239" s="25" t="str">
        <f>IF($D1239="","",SUMIFS($H$4:$H1239,$D$4:$D1239,$D1239)+SUMIFS($I$4:$I1239,$D$4:$D1239,$D1239)-SUMIFS($J$4:$J1239,$D$4:$D1239,$D1239)-SUMIFS($K$4:$K1239,$D$4:$D1239,$D1239))</f>
        <v/>
      </c>
      <c r="M1239" s="80"/>
      <c r="N1239" s="80"/>
      <c r="O1239" s="94"/>
      <c r="P1239" s="26" t="str">
        <f t="shared" si="59"/>
        <v/>
      </c>
      <c r="Q1239" s="80"/>
      <c r="R1239" s="80"/>
      <c r="S1239" s="80"/>
      <c r="T1239" s="82"/>
      <c r="U1239" s="80"/>
      <c r="V1239" s="80"/>
      <c r="W1239" s="80"/>
    </row>
    <row r="1240" ht="18" customHeight="1" spans="1:23">
      <c r="A1240" s="87" t="str">
        <f t="shared" si="57"/>
        <v/>
      </c>
      <c r="B1240" s="78"/>
      <c r="C1240" s="80"/>
      <c r="D1240" s="79"/>
      <c r="E1240" s="80"/>
      <c r="F1240" s="79"/>
      <c r="G1240" s="25" t="str">
        <f t="shared" si="58"/>
        <v/>
      </c>
      <c r="H1240" s="88"/>
      <c r="I1240" s="93"/>
      <c r="J1240" s="97"/>
      <c r="K1240" s="88"/>
      <c r="L1240" s="25" t="str">
        <f>IF($D1240="","",SUMIFS($H$4:$H1240,$D$4:$D1240,$D1240)+SUMIFS($I$4:$I1240,$D$4:$D1240,$D1240)-SUMIFS($J$4:$J1240,$D$4:$D1240,$D1240)-SUMIFS($K$4:$K1240,$D$4:$D1240,$D1240))</f>
        <v/>
      </c>
      <c r="M1240" s="80"/>
      <c r="N1240" s="80"/>
      <c r="O1240" s="94"/>
      <c r="P1240" s="26" t="str">
        <f t="shared" si="59"/>
        <v/>
      </c>
      <c r="Q1240" s="80"/>
      <c r="R1240" s="80"/>
      <c r="S1240" s="80"/>
      <c r="T1240" s="82"/>
      <c r="U1240" s="80"/>
      <c r="V1240" s="80"/>
      <c r="W1240" s="80"/>
    </row>
    <row r="1241" ht="18" customHeight="1" spans="1:23">
      <c r="A1241" s="87" t="str">
        <f t="shared" si="57"/>
        <v/>
      </c>
      <c r="B1241" s="78"/>
      <c r="C1241" s="80"/>
      <c r="D1241" s="79"/>
      <c r="E1241" s="80"/>
      <c r="F1241" s="79"/>
      <c r="G1241" s="25" t="str">
        <f t="shared" si="58"/>
        <v/>
      </c>
      <c r="H1241" s="88"/>
      <c r="I1241" s="93"/>
      <c r="J1241" s="97"/>
      <c r="K1241" s="88"/>
      <c r="L1241" s="25" t="str">
        <f>IF($D1241="","",SUMIFS($H$4:$H1241,$D$4:$D1241,$D1241)+SUMIFS($I$4:$I1241,$D$4:$D1241,$D1241)-SUMIFS($J$4:$J1241,$D$4:$D1241,$D1241)-SUMIFS($K$4:$K1241,$D$4:$D1241,$D1241))</f>
        <v/>
      </c>
      <c r="M1241" s="80"/>
      <c r="N1241" s="80"/>
      <c r="O1241" s="94"/>
      <c r="P1241" s="26" t="str">
        <f t="shared" si="59"/>
        <v/>
      </c>
      <c r="Q1241" s="80"/>
      <c r="R1241" s="80"/>
      <c r="S1241" s="80"/>
      <c r="T1241" s="82"/>
      <c r="U1241" s="80"/>
      <c r="V1241" s="80"/>
      <c r="W1241" s="80"/>
    </row>
    <row r="1242" ht="18" customHeight="1" spans="1:23">
      <c r="A1242" s="87" t="str">
        <f t="shared" si="57"/>
        <v/>
      </c>
      <c r="B1242" s="78"/>
      <c r="C1242" s="80"/>
      <c r="D1242" s="79"/>
      <c r="E1242" s="80"/>
      <c r="F1242" s="79"/>
      <c r="G1242" s="25" t="str">
        <f t="shared" si="58"/>
        <v/>
      </c>
      <c r="H1242" s="88"/>
      <c r="I1242" s="93"/>
      <c r="J1242" s="97"/>
      <c r="K1242" s="88"/>
      <c r="L1242" s="25" t="str">
        <f>IF($D1242="","",SUMIFS($H$4:$H1242,$D$4:$D1242,$D1242)+SUMIFS($I$4:$I1242,$D$4:$D1242,$D1242)-SUMIFS($J$4:$J1242,$D$4:$D1242,$D1242)-SUMIFS($K$4:$K1242,$D$4:$D1242,$D1242))</f>
        <v/>
      </c>
      <c r="M1242" s="80"/>
      <c r="N1242" s="80"/>
      <c r="O1242" s="94"/>
      <c r="P1242" s="26" t="str">
        <f t="shared" si="59"/>
        <v/>
      </c>
      <c r="Q1242" s="80"/>
      <c r="R1242" s="80"/>
      <c r="S1242" s="80"/>
      <c r="T1242" s="82"/>
      <c r="U1242" s="80"/>
      <c r="V1242" s="80"/>
      <c r="W1242" s="80"/>
    </row>
    <row r="1243" ht="18" customHeight="1" spans="1:23">
      <c r="A1243" s="87" t="str">
        <f t="shared" si="57"/>
        <v/>
      </c>
      <c r="B1243" s="78"/>
      <c r="C1243" s="80"/>
      <c r="D1243" s="79"/>
      <c r="E1243" s="80"/>
      <c r="F1243" s="79"/>
      <c r="G1243" s="25" t="str">
        <f t="shared" si="58"/>
        <v/>
      </c>
      <c r="H1243" s="88"/>
      <c r="I1243" s="93"/>
      <c r="J1243" s="97"/>
      <c r="K1243" s="88"/>
      <c r="L1243" s="25" t="str">
        <f>IF($D1243="","",SUMIFS($H$4:$H1243,$D$4:$D1243,$D1243)+SUMIFS($I$4:$I1243,$D$4:$D1243,$D1243)-SUMIFS($J$4:$J1243,$D$4:$D1243,$D1243)-SUMIFS($K$4:$K1243,$D$4:$D1243,$D1243))</f>
        <v/>
      </c>
      <c r="M1243" s="80"/>
      <c r="N1243" s="80"/>
      <c r="O1243" s="94"/>
      <c r="P1243" s="26" t="str">
        <f t="shared" si="59"/>
        <v/>
      </c>
      <c r="Q1243" s="80"/>
      <c r="R1243" s="80"/>
      <c r="S1243" s="80"/>
      <c r="T1243" s="82"/>
      <c r="U1243" s="80"/>
      <c r="V1243" s="80"/>
      <c r="W1243" s="80"/>
    </row>
    <row r="1244" ht="18" customHeight="1" spans="1:23">
      <c r="A1244" s="87" t="str">
        <f t="shared" si="57"/>
        <v/>
      </c>
      <c r="B1244" s="78"/>
      <c r="C1244" s="80"/>
      <c r="D1244" s="79"/>
      <c r="E1244" s="80"/>
      <c r="F1244" s="79"/>
      <c r="G1244" s="25" t="str">
        <f t="shared" si="58"/>
        <v/>
      </c>
      <c r="H1244" s="88"/>
      <c r="I1244" s="93"/>
      <c r="J1244" s="97"/>
      <c r="K1244" s="88"/>
      <c r="L1244" s="25" t="str">
        <f>IF($D1244="","",SUMIFS($H$4:$H1244,$D$4:$D1244,$D1244)+SUMIFS($I$4:$I1244,$D$4:$D1244,$D1244)-SUMIFS($J$4:$J1244,$D$4:$D1244,$D1244)-SUMIFS($K$4:$K1244,$D$4:$D1244,$D1244))</f>
        <v/>
      </c>
      <c r="M1244" s="80"/>
      <c r="N1244" s="80"/>
      <c r="O1244" s="94"/>
      <c r="P1244" s="26" t="str">
        <f t="shared" si="59"/>
        <v/>
      </c>
      <c r="Q1244" s="80"/>
      <c r="R1244" s="80"/>
      <c r="S1244" s="80"/>
      <c r="T1244" s="82"/>
      <c r="U1244" s="80"/>
      <c r="V1244" s="80"/>
      <c r="W1244" s="80"/>
    </row>
    <row r="1245" ht="18" customHeight="1" spans="1:23">
      <c r="A1245" s="87" t="str">
        <f t="shared" si="57"/>
        <v/>
      </c>
      <c r="B1245" s="78"/>
      <c r="C1245" s="80"/>
      <c r="D1245" s="79"/>
      <c r="E1245" s="80"/>
      <c r="F1245" s="79"/>
      <c r="G1245" s="25" t="str">
        <f t="shared" si="58"/>
        <v/>
      </c>
      <c r="H1245" s="88"/>
      <c r="I1245" s="93"/>
      <c r="J1245" s="97"/>
      <c r="K1245" s="88"/>
      <c r="L1245" s="25" t="str">
        <f>IF($D1245="","",SUMIFS($H$4:$H1245,$D$4:$D1245,$D1245)+SUMIFS($I$4:$I1245,$D$4:$D1245,$D1245)-SUMIFS($J$4:$J1245,$D$4:$D1245,$D1245)-SUMIFS($K$4:$K1245,$D$4:$D1245,$D1245))</f>
        <v/>
      </c>
      <c r="M1245" s="80"/>
      <c r="N1245" s="80"/>
      <c r="O1245" s="94"/>
      <c r="P1245" s="26" t="str">
        <f t="shared" si="59"/>
        <v/>
      </c>
      <c r="Q1245" s="80"/>
      <c r="R1245" s="80"/>
      <c r="S1245" s="80"/>
      <c r="T1245" s="82"/>
      <c r="U1245" s="80"/>
      <c r="V1245" s="80"/>
      <c r="W1245" s="80"/>
    </row>
    <row r="1246" ht="18" customHeight="1" spans="1:23">
      <c r="A1246" s="87" t="str">
        <f t="shared" si="57"/>
        <v/>
      </c>
      <c r="B1246" s="78"/>
      <c r="C1246" s="80"/>
      <c r="D1246" s="79"/>
      <c r="E1246" s="80"/>
      <c r="F1246" s="79"/>
      <c r="G1246" s="25" t="str">
        <f t="shared" si="58"/>
        <v/>
      </c>
      <c r="H1246" s="88"/>
      <c r="I1246" s="93"/>
      <c r="J1246" s="97"/>
      <c r="K1246" s="88"/>
      <c r="L1246" s="25" t="str">
        <f>IF($D1246="","",SUMIFS($H$4:$H1246,$D$4:$D1246,$D1246)+SUMIFS($I$4:$I1246,$D$4:$D1246,$D1246)-SUMIFS($J$4:$J1246,$D$4:$D1246,$D1246)-SUMIFS($K$4:$K1246,$D$4:$D1246,$D1246))</f>
        <v/>
      </c>
      <c r="M1246" s="80"/>
      <c r="N1246" s="80"/>
      <c r="O1246" s="94"/>
      <c r="P1246" s="26" t="str">
        <f t="shared" si="59"/>
        <v/>
      </c>
      <c r="Q1246" s="80"/>
      <c r="R1246" s="80"/>
      <c r="S1246" s="80"/>
      <c r="T1246" s="82"/>
      <c r="U1246" s="80"/>
      <c r="V1246" s="80"/>
      <c r="W1246" s="80"/>
    </row>
    <row r="1247" ht="18" customHeight="1" spans="1:23">
      <c r="A1247" s="87" t="str">
        <f t="shared" si="57"/>
        <v/>
      </c>
      <c r="B1247" s="78"/>
      <c r="C1247" s="80"/>
      <c r="D1247" s="79"/>
      <c r="E1247" s="80"/>
      <c r="F1247" s="79"/>
      <c r="G1247" s="25" t="str">
        <f t="shared" si="58"/>
        <v/>
      </c>
      <c r="H1247" s="88"/>
      <c r="I1247" s="93"/>
      <c r="J1247" s="97"/>
      <c r="K1247" s="88"/>
      <c r="L1247" s="25" t="str">
        <f>IF($D1247="","",SUMIFS($H$4:$H1247,$D$4:$D1247,$D1247)+SUMIFS($I$4:$I1247,$D$4:$D1247,$D1247)-SUMIFS($J$4:$J1247,$D$4:$D1247,$D1247)-SUMIFS($K$4:$K1247,$D$4:$D1247,$D1247))</f>
        <v/>
      </c>
      <c r="M1247" s="80"/>
      <c r="N1247" s="80"/>
      <c r="O1247" s="94"/>
      <c r="P1247" s="26" t="str">
        <f t="shared" si="59"/>
        <v/>
      </c>
      <c r="Q1247" s="80"/>
      <c r="R1247" s="80"/>
      <c r="S1247" s="80"/>
      <c r="T1247" s="82"/>
      <c r="U1247" s="80"/>
      <c r="V1247" s="80"/>
      <c r="W1247" s="80"/>
    </row>
    <row r="1248" ht="18" customHeight="1" spans="1:23">
      <c r="A1248" s="87" t="str">
        <f t="shared" si="57"/>
        <v/>
      </c>
      <c r="B1248" s="78"/>
      <c r="C1248" s="80"/>
      <c r="D1248" s="79"/>
      <c r="E1248" s="80"/>
      <c r="F1248" s="79"/>
      <c r="G1248" s="25" t="str">
        <f t="shared" si="58"/>
        <v/>
      </c>
      <c r="H1248" s="88"/>
      <c r="I1248" s="93"/>
      <c r="J1248" s="97"/>
      <c r="K1248" s="88"/>
      <c r="L1248" s="25" t="str">
        <f>IF($D1248="","",SUMIFS($H$4:$H1248,$D$4:$D1248,$D1248)+SUMIFS($I$4:$I1248,$D$4:$D1248,$D1248)-SUMIFS($J$4:$J1248,$D$4:$D1248,$D1248)-SUMIFS($K$4:$K1248,$D$4:$D1248,$D1248))</f>
        <v/>
      </c>
      <c r="M1248" s="80"/>
      <c r="N1248" s="80"/>
      <c r="O1248" s="94"/>
      <c r="P1248" s="26" t="str">
        <f t="shared" si="59"/>
        <v/>
      </c>
      <c r="Q1248" s="80"/>
      <c r="R1248" s="80"/>
      <c r="S1248" s="80"/>
      <c r="T1248" s="82"/>
      <c r="U1248" s="80"/>
      <c r="V1248" s="80"/>
      <c r="W1248" s="80"/>
    </row>
    <row r="1249" ht="18" customHeight="1" spans="1:23">
      <c r="A1249" s="87" t="str">
        <f t="shared" si="57"/>
        <v/>
      </c>
      <c r="B1249" s="78"/>
      <c r="C1249" s="80"/>
      <c r="D1249" s="79"/>
      <c r="E1249" s="80"/>
      <c r="F1249" s="79"/>
      <c r="G1249" s="25" t="str">
        <f t="shared" si="58"/>
        <v/>
      </c>
      <c r="H1249" s="88"/>
      <c r="I1249" s="93"/>
      <c r="J1249" s="97"/>
      <c r="K1249" s="88"/>
      <c r="L1249" s="25" t="str">
        <f>IF($D1249="","",SUMIFS($H$4:$H1249,$D$4:$D1249,$D1249)+SUMIFS($I$4:$I1249,$D$4:$D1249,$D1249)-SUMIFS($J$4:$J1249,$D$4:$D1249,$D1249)-SUMIFS($K$4:$K1249,$D$4:$D1249,$D1249))</f>
        <v/>
      </c>
      <c r="M1249" s="80"/>
      <c r="N1249" s="80"/>
      <c r="O1249" s="94"/>
      <c r="P1249" s="26" t="str">
        <f t="shared" si="59"/>
        <v/>
      </c>
      <c r="Q1249" s="80"/>
      <c r="R1249" s="80"/>
      <c r="S1249" s="80"/>
      <c r="T1249" s="82"/>
      <c r="U1249" s="80"/>
      <c r="V1249" s="80"/>
      <c r="W1249" s="80"/>
    </row>
    <row r="1250" ht="18" customHeight="1" spans="1:23">
      <c r="A1250" s="87" t="str">
        <f t="shared" si="57"/>
        <v/>
      </c>
      <c r="B1250" s="78"/>
      <c r="C1250" s="80"/>
      <c r="D1250" s="79"/>
      <c r="E1250" s="80"/>
      <c r="F1250" s="79"/>
      <c r="G1250" s="25" t="str">
        <f t="shared" si="58"/>
        <v/>
      </c>
      <c r="H1250" s="88"/>
      <c r="I1250" s="93"/>
      <c r="J1250" s="97"/>
      <c r="K1250" s="88"/>
      <c r="L1250" s="25" t="str">
        <f>IF($D1250="","",SUMIFS($H$4:$H1250,$D$4:$D1250,$D1250)+SUMIFS($I$4:$I1250,$D$4:$D1250,$D1250)-SUMIFS($J$4:$J1250,$D$4:$D1250,$D1250)-SUMIFS($K$4:$K1250,$D$4:$D1250,$D1250))</f>
        <v/>
      </c>
      <c r="M1250" s="80"/>
      <c r="N1250" s="80"/>
      <c r="O1250" s="94"/>
      <c r="P1250" s="26" t="str">
        <f t="shared" si="59"/>
        <v/>
      </c>
      <c r="Q1250" s="80"/>
      <c r="R1250" s="80"/>
      <c r="S1250" s="80"/>
      <c r="T1250" s="82"/>
      <c r="U1250" s="80"/>
      <c r="V1250" s="80"/>
      <c r="W1250" s="80"/>
    </row>
    <row r="1251" ht="18" customHeight="1" spans="1:23">
      <c r="A1251" s="87" t="str">
        <f t="shared" si="57"/>
        <v/>
      </c>
      <c r="B1251" s="78"/>
      <c r="C1251" s="80"/>
      <c r="D1251" s="79"/>
      <c r="E1251" s="80"/>
      <c r="F1251" s="79"/>
      <c r="G1251" s="25" t="str">
        <f t="shared" si="58"/>
        <v/>
      </c>
      <c r="H1251" s="88"/>
      <c r="I1251" s="93"/>
      <c r="J1251" s="97"/>
      <c r="K1251" s="88"/>
      <c r="L1251" s="25" t="str">
        <f>IF($D1251="","",SUMIFS($H$4:$H1251,$D$4:$D1251,$D1251)+SUMIFS($I$4:$I1251,$D$4:$D1251,$D1251)-SUMIFS($J$4:$J1251,$D$4:$D1251,$D1251)-SUMIFS($K$4:$K1251,$D$4:$D1251,$D1251))</f>
        <v/>
      </c>
      <c r="M1251" s="80"/>
      <c r="N1251" s="80"/>
      <c r="O1251" s="94"/>
      <c r="P1251" s="26" t="str">
        <f t="shared" si="59"/>
        <v/>
      </c>
      <c r="Q1251" s="80"/>
      <c r="R1251" s="80"/>
      <c r="S1251" s="80"/>
      <c r="T1251" s="82"/>
      <c r="U1251" s="80"/>
      <c r="V1251" s="80"/>
      <c r="W1251" s="80"/>
    </row>
    <row r="1252" ht="18" customHeight="1" spans="1:23">
      <c r="A1252" s="87" t="str">
        <f t="shared" si="57"/>
        <v/>
      </c>
      <c r="B1252" s="78"/>
      <c r="C1252" s="80"/>
      <c r="D1252" s="79"/>
      <c r="E1252" s="80"/>
      <c r="F1252" s="79"/>
      <c r="G1252" s="25" t="str">
        <f t="shared" si="58"/>
        <v/>
      </c>
      <c r="H1252" s="88"/>
      <c r="I1252" s="93"/>
      <c r="J1252" s="97"/>
      <c r="K1252" s="88"/>
      <c r="L1252" s="25" t="str">
        <f>IF($D1252="","",SUMIFS($H$4:$H1252,$D$4:$D1252,$D1252)+SUMIFS($I$4:$I1252,$D$4:$D1252,$D1252)-SUMIFS($J$4:$J1252,$D$4:$D1252,$D1252)-SUMIFS($K$4:$K1252,$D$4:$D1252,$D1252))</f>
        <v/>
      </c>
      <c r="M1252" s="80"/>
      <c r="N1252" s="80"/>
      <c r="O1252" s="94"/>
      <c r="P1252" s="26" t="str">
        <f t="shared" si="59"/>
        <v/>
      </c>
      <c r="Q1252" s="80"/>
      <c r="R1252" s="80"/>
      <c r="S1252" s="80"/>
      <c r="T1252" s="82"/>
      <c r="U1252" s="80"/>
      <c r="V1252" s="80"/>
      <c r="W1252" s="80"/>
    </row>
    <row r="1253" ht="18" customHeight="1" spans="1:23">
      <c r="A1253" s="87" t="str">
        <f t="shared" si="57"/>
        <v/>
      </c>
      <c r="B1253" s="78"/>
      <c r="C1253" s="80"/>
      <c r="D1253" s="79"/>
      <c r="E1253" s="80"/>
      <c r="F1253" s="79"/>
      <c r="G1253" s="25" t="str">
        <f t="shared" si="58"/>
        <v/>
      </c>
      <c r="H1253" s="88"/>
      <c r="I1253" s="93"/>
      <c r="J1253" s="97"/>
      <c r="K1253" s="88"/>
      <c r="L1253" s="25" t="str">
        <f>IF($D1253="","",SUMIFS($H$4:$H1253,$D$4:$D1253,$D1253)+SUMIFS($I$4:$I1253,$D$4:$D1253,$D1253)-SUMIFS($J$4:$J1253,$D$4:$D1253,$D1253)-SUMIFS($K$4:$K1253,$D$4:$D1253,$D1253))</f>
        <v/>
      </c>
      <c r="M1253" s="80"/>
      <c r="N1253" s="80"/>
      <c r="O1253" s="94"/>
      <c r="P1253" s="26" t="str">
        <f t="shared" si="59"/>
        <v/>
      </c>
      <c r="Q1253" s="80"/>
      <c r="R1253" s="80"/>
      <c r="S1253" s="80"/>
      <c r="T1253" s="82"/>
      <c r="U1253" s="80"/>
      <c r="V1253" s="80"/>
      <c r="W1253" s="80"/>
    </row>
    <row r="1254" ht="18" customHeight="1" spans="1:23">
      <c r="A1254" s="87" t="str">
        <f t="shared" si="57"/>
        <v/>
      </c>
      <c r="B1254" s="78"/>
      <c r="C1254" s="80"/>
      <c r="D1254" s="79"/>
      <c r="E1254" s="80"/>
      <c r="F1254" s="79"/>
      <c r="G1254" s="25" t="str">
        <f t="shared" si="58"/>
        <v/>
      </c>
      <c r="H1254" s="88"/>
      <c r="I1254" s="93"/>
      <c r="J1254" s="97"/>
      <c r="K1254" s="88"/>
      <c r="L1254" s="25" t="str">
        <f>IF($D1254="","",SUMIFS($H$4:$H1254,$D$4:$D1254,$D1254)+SUMIFS($I$4:$I1254,$D$4:$D1254,$D1254)-SUMIFS($J$4:$J1254,$D$4:$D1254,$D1254)-SUMIFS($K$4:$K1254,$D$4:$D1254,$D1254))</f>
        <v/>
      </c>
      <c r="M1254" s="80"/>
      <c r="N1254" s="80"/>
      <c r="O1254" s="94"/>
      <c r="P1254" s="26" t="str">
        <f t="shared" si="59"/>
        <v/>
      </c>
      <c r="Q1254" s="80"/>
      <c r="R1254" s="80"/>
      <c r="S1254" s="80"/>
      <c r="T1254" s="82"/>
      <c r="U1254" s="80"/>
      <c r="V1254" s="80"/>
      <c r="W1254" s="80"/>
    </row>
    <row r="1255" ht="18" customHeight="1" spans="1:23">
      <c r="A1255" s="87" t="str">
        <f t="shared" si="57"/>
        <v/>
      </c>
      <c r="B1255" s="78"/>
      <c r="C1255" s="80"/>
      <c r="D1255" s="79"/>
      <c r="E1255" s="80"/>
      <c r="F1255" s="79"/>
      <c r="G1255" s="25" t="str">
        <f t="shared" si="58"/>
        <v/>
      </c>
      <c r="H1255" s="88"/>
      <c r="I1255" s="93"/>
      <c r="J1255" s="97"/>
      <c r="K1255" s="88"/>
      <c r="L1255" s="25" t="str">
        <f>IF($D1255="","",SUMIFS($H$4:$H1255,$D$4:$D1255,$D1255)+SUMIFS($I$4:$I1255,$D$4:$D1255,$D1255)-SUMIFS($J$4:$J1255,$D$4:$D1255,$D1255)-SUMIFS($K$4:$K1255,$D$4:$D1255,$D1255))</f>
        <v/>
      </c>
      <c r="M1255" s="80"/>
      <c r="N1255" s="80"/>
      <c r="O1255" s="94"/>
      <c r="P1255" s="26" t="str">
        <f t="shared" si="59"/>
        <v/>
      </c>
      <c r="Q1255" s="80"/>
      <c r="R1255" s="80"/>
      <c r="S1255" s="80"/>
      <c r="T1255" s="82"/>
      <c r="U1255" s="80"/>
      <c r="V1255" s="80"/>
      <c r="W1255" s="80"/>
    </row>
    <row r="1256" ht="18" customHeight="1" spans="1:23">
      <c r="A1256" s="87" t="str">
        <f t="shared" si="57"/>
        <v/>
      </c>
      <c r="B1256" s="78"/>
      <c r="C1256" s="80"/>
      <c r="D1256" s="79"/>
      <c r="E1256" s="80"/>
      <c r="F1256" s="79"/>
      <c r="G1256" s="25" t="str">
        <f t="shared" si="58"/>
        <v/>
      </c>
      <c r="H1256" s="88"/>
      <c r="I1256" s="93"/>
      <c r="J1256" s="97"/>
      <c r="K1256" s="88"/>
      <c r="L1256" s="25" t="str">
        <f>IF($D1256="","",SUMIFS($H$4:$H1256,$D$4:$D1256,$D1256)+SUMIFS($I$4:$I1256,$D$4:$D1256,$D1256)-SUMIFS($J$4:$J1256,$D$4:$D1256,$D1256)-SUMIFS($K$4:$K1256,$D$4:$D1256,$D1256))</f>
        <v/>
      </c>
      <c r="M1256" s="80"/>
      <c r="N1256" s="80"/>
      <c r="O1256" s="94"/>
      <c r="P1256" s="26" t="str">
        <f t="shared" si="59"/>
        <v/>
      </c>
      <c r="Q1256" s="80"/>
      <c r="R1256" s="80"/>
      <c r="S1256" s="80"/>
      <c r="T1256" s="82"/>
      <c r="U1256" s="80"/>
      <c r="V1256" s="80"/>
      <c r="W1256" s="80"/>
    </row>
    <row r="1257" ht="18" customHeight="1" spans="1:23">
      <c r="A1257" s="87" t="str">
        <f t="shared" si="57"/>
        <v/>
      </c>
      <c r="B1257" s="78"/>
      <c r="C1257" s="80"/>
      <c r="D1257" s="79"/>
      <c r="E1257" s="80"/>
      <c r="F1257" s="79"/>
      <c r="G1257" s="25" t="str">
        <f t="shared" si="58"/>
        <v/>
      </c>
      <c r="H1257" s="88"/>
      <c r="I1257" s="93"/>
      <c r="J1257" s="97"/>
      <c r="K1257" s="88"/>
      <c r="L1257" s="25" t="str">
        <f>IF($D1257="","",SUMIFS($H$4:$H1257,$D$4:$D1257,$D1257)+SUMIFS($I$4:$I1257,$D$4:$D1257,$D1257)-SUMIFS($J$4:$J1257,$D$4:$D1257,$D1257)-SUMIFS($K$4:$K1257,$D$4:$D1257,$D1257))</f>
        <v/>
      </c>
      <c r="M1257" s="80"/>
      <c r="N1257" s="80"/>
      <c r="O1257" s="94"/>
      <c r="P1257" s="26" t="str">
        <f t="shared" si="59"/>
        <v/>
      </c>
      <c r="Q1257" s="80"/>
      <c r="R1257" s="80"/>
      <c r="S1257" s="80"/>
      <c r="T1257" s="82"/>
      <c r="U1257" s="80"/>
      <c r="V1257" s="80"/>
      <c r="W1257" s="80"/>
    </row>
    <row r="1258" ht="18" customHeight="1" spans="1:23">
      <c r="A1258" s="87" t="str">
        <f t="shared" si="57"/>
        <v/>
      </c>
      <c r="B1258" s="78"/>
      <c r="C1258" s="80"/>
      <c r="D1258" s="79"/>
      <c r="E1258" s="80"/>
      <c r="F1258" s="79"/>
      <c r="G1258" s="25" t="str">
        <f t="shared" si="58"/>
        <v/>
      </c>
      <c r="H1258" s="88"/>
      <c r="I1258" s="93"/>
      <c r="J1258" s="97"/>
      <c r="K1258" s="88"/>
      <c r="L1258" s="25" t="str">
        <f>IF($D1258="","",SUMIFS($H$4:$H1258,$D$4:$D1258,$D1258)+SUMIFS($I$4:$I1258,$D$4:$D1258,$D1258)-SUMIFS($J$4:$J1258,$D$4:$D1258,$D1258)-SUMIFS($K$4:$K1258,$D$4:$D1258,$D1258))</f>
        <v/>
      </c>
      <c r="M1258" s="80"/>
      <c r="N1258" s="80"/>
      <c r="O1258" s="94"/>
      <c r="P1258" s="26" t="str">
        <f t="shared" si="59"/>
        <v/>
      </c>
      <c r="Q1258" s="80"/>
      <c r="R1258" s="80"/>
      <c r="S1258" s="80"/>
      <c r="T1258" s="82"/>
      <c r="U1258" s="80"/>
      <c r="V1258" s="80"/>
      <c r="W1258" s="80"/>
    </row>
    <row r="1259" ht="18" customHeight="1" spans="1:23">
      <c r="A1259" s="87" t="str">
        <f t="shared" si="57"/>
        <v/>
      </c>
      <c r="B1259" s="78"/>
      <c r="C1259" s="80"/>
      <c r="D1259" s="79"/>
      <c r="E1259" s="80"/>
      <c r="F1259" s="79"/>
      <c r="G1259" s="25" t="str">
        <f t="shared" si="58"/>
        <v/>
      </c>
      <c r="H1259" s="88"/>
      <c r="I1259" s="93"/>
      <c r="J1259" s="97"/>
      <c r="K1259" s="88"/>
      <c r="L1259" s="25" t="str">
        <f>IF($D1259="","",SUMIFS($H$4:$H1259,$D$4:$D1259,$D1259)+SUMIFS($I$4:$I1259,$D$4:$D1259,$D1259)-SUMIFS($J$4:$J1259,$D$4:$D1259,$D1259)-SUMIFS($K$4:$K1259,$D$4:$D1259,$D1259))</f>
        <v/>
      </c>
      <c r="M1259" s="80"/>
      <c r="N1259" s="80"/>
      <c r="O1259" s="94"/>
      <c r="P1259" s="26" t="str">
        <f t="shared" si="59"/>
        <v/>
      </c>
      <c r="Q1259" s="80"/>
      <c r="R1259" s="80"/>
      <c r="S1259" s="80"/>
      <c r="T1259" s="82"/>
      <c r="U1259" s="80"/>
      <c r="V1259" s="80"/>
      <c r="W1259" s="80"/>
    </row>
    <row r="1260" ht="18" customHeight="1" spans="1:23">
      <c r="A1260" s="87" t="str">
        <f t="shared" si="57"/>
        <v/>
      </c>
      <c r="B1260" s="78"/>
      <c r="C1260" s="80"/>
      <c r="D1260" s="79"/>
      <c r="E1260" s="80"/>
      <c r="F1260" s="79"/>
      <c r="G1260" s="25" t="str">
        <f t="shared" si="58"/>
        <v/>
      </c>
      <c r="H1260" s="88"/>
      <c r="I1260" s="93"/>
      <c r="J1260" s="97"/>
      <c r="K1260" s="88"/>
      <c r="L1260" s="25" t="str">
        <f>IF($D1260="","",SUMIFS($H$4:$H1260,$D$4:$D1260,$D1260)+SUMIFS($I$4:$I1260,$D$4:$D1260,$D1260)-SUMIFS($J$4:$J1260,$D$4:$D1260,$D1260)-SUMIFS($K$4:$K1260,$D$4:$D1260,$D1260))</f>
        <v/>
      </c>
      <c r="M1260" s="80"/>
      <c r="N1260" s="80"/>
      <c r="O1260" s="94"/>
      <c r="P1260" s="26" t="str">
        <f t="shared" si="59"/>
        <v/>
      </c>
      <c r="Q1260" s="80"/>
      <c r="R1260" s="80"/>
      <c r="S1260" s="80"/>
      <c r="T1260" s="82"/>
      <c r="U1260" s="80"/>
      <c r="V1260" s="80"/>
      <c r="W1260" s="80"/>
    </row>
    <row r="1261" ht="18" customHeight="1" spans="1:23">
      <c r="A1261" s="87" t="str">
        <f t="shared" si="57"/>
        <v/>
      </c>
      <c r="B1261" s="78"/>
      <c r="C1261" s="80"/>
      <c r="D1261" s="79"/>
      <c r="E1261" s="80"/>
      <c r="F1261" s="79"/>
      <c r="G1261" s="25" t="str">
        <f t="shared" si="58"/>
        <v/>
      </c>
      <c r="H1261" s="88"/>
      <c r="I1261" s="93"/>
      <c r="J1261" s="97"/>
      <c r="K1261" s="88"/>
      <c r="L1261" s="25" t="str">
        <f>IF($D1261="","",SUMIFS($H$4:$H1261,$D$4:$D1261,$D1261)+SUMIFS($I$4:$I1261,$D$4:$D1261,$D1261)-SUMIFS($J$4:$J1261,$D$4:$D1261,$D1261)-SUMIFS($K$4:$K1261,$D$4:$D1261,$D1261))</f>
        <v/>
      </c>
      <c r="M1261" s="80"/>
      <c r="N1261" s="80"/>
      <c r="O1261" s="94"/>
      <c r="P1261" s="26" t="str">
        <f t="shared" si="59"/>
        <v/>
      </c>
      <c r="Q1261" s="80"/>
      <c r="R1261" s="80"/>
      <c r="S1261" s="80"/>
      <c r="T1261" s="82"/>
      <c r="U1261" s="80"/>
      <c r="V1261" s="80"/>
      <c r="W1261" s="80"/>
    </row>
    <row r="1262" ht="18" customHeight="1" spans="1:23">
      <c r="A1262" s="87" t="str">
        <f t="shared" si="57"/>
        <v/>
      </c>
      <c r="B1262" s="78"/>
      <c r="C1262" s="80"/>
      <c r="D1262" s="79"/>
      <c r="E1262" s="80"/>
      <c r="F1262" s="79"/>
      <c r="G1262" s="25" t="str">
        <f t="shared" si="58"/>
        <v/>
      </c>
      <c r="H1262" s="88"/>
      <c r="I1262" s="93"/>
      <c r="J1262" s="97"/>
      <c r="K1262" s="88"/>
      <c r="L1262" s="25" t="str">
        <f>IF($D1262="","",SUMIFS($H$4:$H1262,$D$4:$D1262,$D1262)+SUMIFS($I$4:$I1262,$D$4:$D1262,$D1262)-SUMIFS($J$4:$J1262,$D$4:$D1262,$D1262)-SUMIFS($K$4:$K1262,$D$4:$D1262,$D1262))</f>
        <v/>
      </c>
      <c r="M1262" s="80"/>
      <c r="N1262" s="80"/>
      <c r="O1262" s="94"/>
      <c r="P1262" s="26" t="str">
        <f t="shared" si="59"/>
        <v/>
      </c>
      <c r="Q1262" s="80"/>
      <c r="R1262" s="80"/>
      <c r="S1262" s="80"/>
      <c r="T1262" s="82"/>
      <c r="U1262" s="80"/>
      <c r="V1262" s="80"/>
      <c r="W1262" s="80"/>
    </row>
    <row r="1263" ht="18" customHeight="1" spans="1:23">
      <c r="A1263" s="87" t="str">
        <f t="shared" si="57"/>
        <v/>
      </c>
      <c r="B1263" s="78"/>
      <c r="C1263" s="80"/>
      <c r="D1263" s="79"/>
      <c r="E1263" s="80"/>
      <c r="F1263" s="79"/>
      <c r="G1263" s="25" t="str">
        <f t="shared" si="58"/>
        <v/>
      </c>
      <c r="H1263" s="88"/>
      <c r="I1263" s="93"/>
      <c r="J1263" s="97"/>
      <c r="K1263" s="88"/>
      <c r="L1263" s="25" t="str">
        <f>IF($D1263="","",SUMIFS($H$4:$H1263,$D$4:$D1263,$D1263)+SUMIFS($I$4:$I1263,$D$4:$D1263,$D1263)-SUMIFS($J$4:$J1263,$D$4:$D1263,$D1263)-SUMIFS($K$4:$K1263,$D$4:$D1263,$D1263))</f>
        <v/>
      </c>
      <c r="M1263" s="80"/>
      <c r="N1263" s="80"/>
      <c r="O1263" s="94"/>
      <c r="P1263" s="26" t="str">
        <f t="shared" si="59"/>
        <v/>
      </c>
      <c r="Q1263" s="80"/>
      <c r="R1263" s="80"/>
      <c r="S1263" s="80"/>
      <c r="T1263" s="82"/>
      <c r="U1263" s="80"/>
      <c r="V1263" s="80"/>
      <c r="W1263" s="80"/>
    </row>
    <row r="1264" ht="18" customHeight="1" spans="1:23">
      <c r="A1264" s="87" t="str">
        <f t="shared" si="57"/>
        <v/>
      </c>
      <c r="B1264" s="78"/>
      <c r="C1264" s="80"/>
      <c r="D1264" s="79"/>
      <c r="E1264" s="80"/>
      <c r="F1264" s="79"/>
      <c r="G1264" s="25" t="str">
        <f t="shared" si="58"/>
        <v/>
      </c>
      <c r="H1264" s="88"/>
      <c r="I1264" s="93"/>
      <c r="J1264" s="97"/>
      <c r="K1264" s="88"/>
      <c r="L1264" s="25" t="str">
        <f>IF($D1264="","",SUMIFS($H$4:$H1264,$D$4:$D1264,$D1264)+SUMIFS($I$4:$I1264,$D$4:$D1264,$D1264)-SUMIFS($J$4:$J1264,$D$4:$D1264,$D1264)-SUMIFS($K$4:$K1264,$D$4:$D1264,$D1264))</f>
        <v/>
      </c>
      <c r="M1264" s="80"/>
      <c r="N1264" s="80"/>
      <c r="O1264" s="94"/>
      <c r="P1264" s="26" t="str">
        <f t="shared" si="59"/>
        <v/>
      </c>
      <c r="Q1264" s="80"/>
      <c r="R1264" s="80"/>
      <c r="S1264" s="80"/>
      <c r="T1264" s="82"/>
      <c r="U1264" s="80"/>
      <c r="V1264" s="80"/>
      <c r="W1264" s="80"/>
    </row>
    <row r="1265" ht="18" customHeight="1" spans="1:23">
      <c r="A1265" s="87" t="str">
        <f t="shared" si="57"/>
        <v/>
      </c>
      <c r="B1265" s="78"/>
      <c r="C1265" s="80"/>
      <c r="D1265" s="79"/>
      <c r="E1265" s="80"/>
      <c r="F1265" s="79"/>
      <c r="G1265" s="25" t="str">
        <f t="shared" si="58"/>
        <v/>
      </c>
      <c r="H1265" s="88"/>
      <c r="I1265" s="93"/>
      <c r="J1265" s="97"/>
      <c r="K1265" s="88"/>
      <c r="L1265" s="25" t="str">
        <f>IF($D1265="","",SUMIFS($H$4:$H1265,$D$4:$D1265,$D1265)+SUMIFS($I$4:$I1265,$D$4:$D1265,$D1265)-SUMIFS($J$4:$J1265,$D$4:$D1265,$D1265)-SUMIFS($K$4:$K1265,$D$4:$D1265,$D1265))</f>
        <v/>
      </c>
      <c r="M1265" s="80"/>
      <c r="N1265" s="80"/>
      <c r="O1265" s="94"/>
      <c r="P1265" s="26" t="str">
        <f t="shared" si="59"/>
        <v/>
      </c>
      <c r="Q1265" s="80"/>
      <c r="R1265" s="80"/>
      <c r="S1265" s="80"/>
      <c r="T1265" s="82"/>
      <c r="U1265" s="80"/>
      <c r="V1265" s="80"/>
      <c r="W1265" s="80"/>
    </row>
    <row r="1266" ht="18" customHeight="1" spans="1:23">
      <c r="A1266" s="87" t="str">
        <f t="shared" si="57"/>
        <v/>
      </c>
      <c r="B1266" s="78"/>
      <c r="C1266" s="80"/>
      <c r="D1266" s="79"/>
      <c r="E1266" s="80"/>
      <c r="F1266" s="79"/>
      <c r="G1266" s="25" t="str">
        <f t="shared" si="58"/>
        <v/>
      </c>
      <c r="H1266" s="88"/>
      <c r="I1266" s="93"/>
      <c r="J1266" s="97"/>
      <c r="K1266" s="88"/>
      <c r="L1266" s="25" t="str">
        <f>IF($D1266="","",SUMIFS($H$4:$H1266,$D$4:$D1266,$D1266)+SUMIFS($I$4:$I1266,$D$4:$D1266,$D1266)-SUMIFS($J$4:$J1266,$D$4:$D1266,$D1266)-SUMIFS($K$4:$K1266,$D$4:$D1266,$D1266))</f>
        <v/>
      </c>
      <c r="M1266" s="80"/>
      <c r="N1266" s="80"/>
      <c r="O1266" s="94"/>
      <c r="P1266" s="26" t="str">
        <f t="shared" si="59"/>
        <v/>
      </c>
      <c r="Q1266" s="80"/>
      <c r="R1266" s="80"/>
      <c r="S1266" s="80"/>
      <c r="T1266" s="82"/>
      <c r="U1266" s="80"/>
      <c r="V1266" s="80"/>
      <c r="W1266" s="80"/>
    </row>
    <row r="1267" ht="18" customHeight="1" spans="1:23">
      <c r="A1267" s="87" t="str">
        <f t="shared" si="57"/>
        <v/>
      </c>
      <c r="B1267" s="78"/>
      <c r="C1267" s="80"/>
      <c r="D1267" s="79"/>
      <c r="E1267" s="80"/>
      <c r="F1267" s="79"/>
      <c r="G1267" s="25" t="str">
        <f t="shared" si="58"/>
        <v/>
      </c>
      <c r="H1267" s="88"/>
      <c r="I1267" s="93"/>
      <c r="J1267" s="97"/>
      <c r="K1267" s="88"/>
      <c r="L1267" s="25" t="str">
        <f>IF($D1267="","",SUMIFS($H$4:$H1267,$D$4:$D1267,$D1267)+SUMIFS($I$4:$I1267,$D$4:$D1267,$D1267)-SUMIFS($J$4:$J1267,$D$4:$D1267,$D1267)-SUMIFS($K$4:$K1267,$D$4:$D1267,$D1267))</f>
        <v/>
      </c>
      <c r="M1267" s="80"/>
      <c r="N1267" s="80"/>
      <c r="O1267" s="94"/>
      <c r="P1267" s="26" t="str">
        <f t="shared" si="59"/>
        <v/>
      </c>
      <c r="Q1267" s="80"/>
      <c r="R1267" s="80"/>
      <c r="S1267" s="80"/>
      <c r="T1267" s="82"/>
      <c r="U1267" s="80"/>
      <c r="V1267" s="80"/>
      <c r="W1267" s="80"/>
    </row>
    <row r="1268" ht="18" customHeight="1" spans="1:23">
      <c r="A1268" s="87" t="str">
        <f t="shared" si="57"/>
        <v/>
      </c>
      <c r="B1268" s="78"/>
      <c r="C1268" s="80"/>
      <c r="D1268" s="79"/>
      <c r="E1268" s="80"/>
      <c r="F1268" s="79"/>
      <c r="G1268" s="25" t="str">
        <f t="shared" si="58"/>
        <v/>
      </c>
      <c r="H1268" s="88"/>
      <c r="I1268" s="93"/>
      <c r="J1268" s="97"/>
      <c r="K1268" s="88"/>
      <c r="L1268" s="25" t="str">
        <f>IF($D1268="","",SUMIFS($H$4:$H1268,$D$4:$D1268,$D1268)+SUMIFS($I$4:$I1268,$D$4:$D1268,$D1268)-SUMIFS($J$4:$J1268,$D$4:$D1268,$D1268)-SUMIFS($K$4:$K1268,$D$4:$D1268,$D1268))</f>
        <v/>
      </c>
      <c r="M1268" s="80"/>
      <c r="N1268" s="80"/>
      <c r="O1268" s="94"/>
      <c r="P1268" s="26" t="str">
        <f t="shared" si="59"/>
        <v/>
      </c>
      <c r="Q1268" s="80"/>
      <c r="R1268" s="80"/>
      <c r="S1268" s="80"/>
      <c r="T1268" s="82"/>
      <c r="U1268" s="80"/>
      <c r="V1268" s="80"/>
      <c r="W1268" s="80"/>
    </row>
    <row r="1269" ht="18" customHeight="1" spans="1:23">
      <c r="A1269" s="87" t="str">
        <f t="shared" si="57"/>
        <v/>
      </c>
      <c r="B1269" s="78"/>
      <c r="C1269" s="80"/>
      <c r="D1269" s="79"/>
      <c r="E1269" s="80"/>
      <c r="F1269" s="79"/>
      <c r="G1269" s="25" t="str">
        <f t="shared" si="58"/>
        <v/>
      </c>
      <c r="H1269" s="88"/>
      <c r="I1269" s="93"/>
      <c r="J1269" s="97"/>
      <c r="K1269" s="88"/>
      <c r="L1269" s="25" t="str">
        <f>IF($D1269="","",SUMIFS($H$4:$H1269,$D$4:$D1269,$D1269)+SUMIFS($I$4:$I1269,$D$4:$D1269,$D1269)-SUMIFS($J$4:$J1269,$D$4:$D1269,$D1269)-SUMIFS($K$4:$K1269,$D$4:$D1269,$D1269))</f>
        <v/>
      </c>
      <c r="M1269" s="80"/>
      <c r="N1269" s="80"/>
      <c r="O1269" s="94"/>
      <c r="P1269" s="26" t="str">
        <f t="shared" si="59"/>
        <v/>
      </c>
      <c r="Q1269" s="80"/>
      <c r="R1269" s="80"/>
      <c r="S1269" s="80"/>
      <c r="T1269" s="82"/>
      <c r="U1269" s="80"/>
      <c r="V1269" s="80"/>
      <c r="W1269" s="80"/>
    </row>
    <row r="1270" ht="18" customHeight="1" spans="1:23">
      <c r="A1270" s="87" t="str">
        <f t="shared" si="57"/>
        <v/>
      </c>
      <c r="B1270" s="78"/>
      <c r="C1270" s="80"/>
      <c r="D1270" s="79"/>
      <c r="E1270" s="80"/>
      <c r="F1270" s="79"/>
      <c r="G1270" s="25" t="str">
        <f t="shared" si="58"/>
        <v/>
      </c>
      <c r="H1270" s="88"/>
      <c r="I1270" s="93"/>
      <c r="J1270" s="97"/>
      <c r="K1270" s="88"/>
      <c r="L1270" s="25" t="str">
        <f>IF($D1270="","",SUMIFS($H$4:$H1270,$D$4:$D1270,$D1270)+SUMIFS($I$4:$I1270,$D$4:$D1270,$D1270)-SUMIFS($J$4:$J1270,$D$4:$D1270,$D1270)-SUMIFS($K$4:$K1270,$D$4:$D1270,$D1270))</f>
        <v/>
      </c>
      <c r="M1270" s="80"/>
      <c r="N1270" s="80"/>
      <c r="O1270" s="94"/>
      <c r="P1270" s="26" t="str">
        <f t="shared" si="59"/>
        <v/>
      </c>
      <c r="Q1270" s="80"/>
      <c r="R1270" s="80"/>
      <c r="S1270" s="80"/>
      <c r="T1270" s="82"/>
      <c r="U1270" s="80"/>
      <c r="V1270" s="80"/>
      <c r="W1270" s="80"/>
    </row>
    <row r="1271" ht="18" customHeight="1" spans="1:23">
      <c r="A1271" s="87" t="str">
        <f t="shared" si="57"/>
        <v/>
      </c>
      <c r="B1271" s="78"/>
      <c r="C1271" s="80"/>
      <c r="D1271" s="79"/>
      <c r="E1271" s="80"/>
      <c r="F1271" s="79"/>
      <c r="G1271" s="25" t="str">
        <f t="shared" si="58"/>
        <v/>
      </c>
      <c r="H1271" s="88"/>
      <c r="I1271" s="93"/>
      <c r="J1271" s="97"/>
      <c r="K1271" s="88"/>
      <c r="L1271" s="25" t="str">
        <f>IF($D1271="","",SUMIFS($H$4:$H1271,$D$4:$D1271,$D1271)+SUMIFS($I$4:$I1271,$D$4:$D1271,$D1271)-SUMIFS($J$4:$J1271,$D$4:$D1271,$D1271)-SUMIFS($K$4:$K1271,$D$4:$D1271,$D1271))</f>
        <v/>
      </c>
      <c r="M1271" s="80"/>
      <c r="N1271" s="80"/>
      <c r="O1271" s="94"/>
      <c r="P1271" s="26" t="str">
        <f t="shared" si="59"/>
        <v/>
      </c>
      <c r="Q1271" s="80"/>
      <c r="R1271" s="80"/>
      <c r="S1271" s="80"/>
      <c r="T1271" s="82"/>
      <c r="U1271" s="80"/>
      <c r="V1271" s="80"/>
      <c r="W1271" s="80"/>
    </row>
    <row r="1272" ht="18" customHeight="1" spans="1:23">
      <c r="A1272" s="87" t="str">
        <f t="shared" si="57"/>
        <v/>
      </c>
      <c r="B1272" s="78"/>
      <c r="C1272" s="80"/>
      <c r="D1272" s="79"/>
      <c r="E1272" s="80"/>
      <c r="F1272" s="79"/>
      <c r="G1272" s="25" t="str">
        <f t="shared" si="58"/>
        <v/>
      </c>
      <c r="H1272" s="88"/>
      <c r="I1272" s="93"/>
      <c r="J1272" s="97"/>
      <c r="K1272" s="88"/>
      <c r="L1272" s="25" t="str">
        <f>IF($D1272="","",SUMIFS($H$4:$H1272,$D$4:$D1272,$D1272)+SUMIFS($I$4:$I1272,$D$4:$D1272,$D1272)-SUMIFS($J$4:$J1272,$D$4:$D1272,$D1272)-SUMIFS($K$4:$K1272,$D$4:$D1272,$D1272))</f>
        <v/>
      </c>
      <c r="M1272" s="80"/>
      <c r="N1272" s="80"/>
      <c r="O1272" s="94"/>
      <c r="P1272" s="26" t="str">
        <f t="shared" si="59"/>
        <v/>
      </c>
      <c r="Q1272" s="80"/>
      <c r="R1272" s="80"/>
      <c r="S1272" s="80"/>
      <c r="T1272" s="82"/>
      <c r="U1272" s="80"/>
      <c r="V1272" s="80"/>
      <c r="W1272" s="80"/>
    </row>
    <row r="1273" ht="18" customHeight="1" spans="1:23">
      <c r="A1273" s="87" t="str">
        <f t="shared" si="57"/>
        <v/>
      </c>
      <c r="B1273" s="78"/>
      <c r="C1273" s="80"/>
      <c r="D1273" s="79"/>
      <c r="E1273" s="80"/>
      <c r="F1273" s="79"/>
      <c r="G1273" s="25" t="str">
        <f t="shared" si="58"/>
        <v/>
      </c>
      <c r="H1273" s="88"/>
      <c r="I1273" s="93"/>
      <c r="J1273" s="97"/>
      <c r="K1273" s="88"/>
      <c r="L1273" s="25" t="str">
        <f>IF($D1273="","",SUMIFS($H$4:$H1273,$D$4:$D1273,$D1273)+SUMIFS($I$4:$I1273,$D$4:$D1273,$D1273)-SUMIFS($J$4:$J1273,$D$4:$D1273,$D1273)-SUMIFS($K$4:$K1273,$D$4:$D1273,$D1273))</f>
        <v/>
      </c>
      <c r="M1273" s="80"/>
      <c r="N1273" s="80"/>
      <c r="O1273" s="94"/>
      <c r="P1273" s="26" t="str">
        <f t="shared" si="59"/>
        <v/>
      </c>
      <c r="Q1273" s="80"/>
      <c r="R1273" s="80"/>
      <c r="S1273" s="80"/>
      <c r="T1273" s="82"/>
      <c r="U1273" s="80"/>
      <c r="V1273" s="80"/>
      <c r="W1273" s="80"/>
    </row>
    <row r="1274" ht="18" customHeight="1" spans="1:23">
      <c r="A1274" s="87" t="str">
        <f t="shared" si="57"/>
        <v/>
      </c>
      <c r="B1274" s="78"/>
      <c r="C1274" s="80"/>
      <c r="D1274" s="79"/>
      <c r="E1274" s="80"/>
      <c r="F1274" s="79"/>
      <c r="G1274" s="25" t="str">
        <f t="shared" si="58"/>
        <v/>
      </c>
      <c r="H1274" s="88"/>
      <c r="I1274" s="93"/>
      <c r="J1274" s="97"/>
      <c r="K1274" s="88"/>
      <c r="L1274" s="25" t="str">
        <f>IF($D1274="","",SUMIFS($H$4:$H1274,$D$4:$D1274,$D1274)+SUMIFS($I$4:$I1274,$D$4:$D1274,$D1274)-SUMIFS($J$4:$J1274,$D$4:$D1274,$D1274)-SUMIFS($K$4:$K1274,$D$4:$D1274,$D1274))</f>
        <v/>
      </c>
      <c r="M1274" s="80"/>
      <c r="N1274" s="80"/>
      <c r="O1274" s="94"/>
      <c r="P1274" s="26" t="str">
        <f t="shared" si="59"/>
        <v/>
      </c>
      <c r="Q1274" s="80"/>
      <c r="R1274" s="80"/>
      <c r="S1274" s="80"/>
      <c r="T1274" s="82"/>
      <c r="U1274" s="80"/>
      <c r="V1274" s="80"/>
      <c r="W1274" s="80"/>
    </row>
    <row r="1275" ht="18" customHeight="1" spans="1:23">
      <c r="A1275" s="87" t="str">
        <f t="shared" si="57"/>
        <v/>
      </c>
      <c r="B1275" s="78"/>
      <c r="C1275" s="80"/>
      <c r="D1275" s="79"/>
      <c r="E1275" s="80"/>
      <c r="F1275" s="79"/>
      <c r="G1275" s="25" t="str">
        <f t="shared" si="58"/>
        <v/>
      </c>
      <c r="H1275" s="88"/>
      <c r="I1275" s="93"/>
      <c r="J1275" s="97"/>
      <c r="K1275" s="88"/>
      <c r="L1275" s="25" t="str">
        <f>IF($D1275="","",SUMIFS($H$4:$H1275,$D$4:$D1275,$D1275)+SUMIFS($I$4:$I1275,$D$4:$D1275,$D1275)-SUMIFS($J$4:$J1275,$D$4:$D1275,$D1275)-SUMIFS($K$4:$K1275,$D$4:$D1275,$D1275))</f>
        <v/>
      </c>
      <c r="M1275" s="80"/>
      <c r="N1275" s="80"/>
      <c r="O1275" s="94"/>
      <c r="P1275" s="26" t="str">
        <f t="shared" si="59"/>
        <v/>
      </c>
      <c r="Q1275" s="80"/>
      <c r="R1275" s="80"/>
      <c r="S1275" s="80"/>
      <c r="T1275" s="82"/>
      <c r="U1275" s="80"/>
      <c r="V1275" s="80"/>
      <c r="W1275" s="80"/>
    </row>
    <row r="1276" ht="18" customHeight="1" spans="1:23">
      <c r="A1276" s="87" t="str">
        <f t="shared" si="57"/>
        <v/>
      </c>
      <c r="B1276" s="78"/>
      <c r="C1276" s="80"/>
      <c r="D1276" s="79"/>
      <c r="E1276" s="80"/>
      <c r="F1276" s="79"/>
      <c r="G1276" s="25" t="str">
        <f t="shared" si="58"/>
        <v/>
      </c>
      <c r="H1276" s="88"/>
      <c r="I1276" s="93"/>
      <c r="J1276" s="97"/>
      <c r="K1276" s="88"/>
      <c r="L1276" s="25" t="str">
        <f>IF($D1276="","",SUMIFS($H$4:$H1276,$D$4:$D1276,$D1276)+SUMIFS($I$4:$I1276,$D$4:$D1276,$D1276)-SUMIFS($J$4:$J1276,$D$4:$D1276,$D1276)-SUMIFS($K$4:$K1276,$D$4:$D1276,$D1276))</f>
        <v/>
      </c>
      <c r="M1276" s="80"/>
      <c r="N1276" s="80"/>
      <c r="O1276" s="94"/>
      <c r="P1276" s="26" t="str">
        <f t="shared" si="59"/>
        <v/>
      </c>
      <c r="Q1276" s="80"/>
      <c r="R1276" s="80"/>
      <c r="S1276" s="80"/>
      <c r="T1276" s="82"/>
      <c r="U1276" s="80"/>
      <c r="V1276" s="80"/>
      <c r="W1276" s="80"/>
    </row>
    <row r="1277" ht="18" customHeight="1" spans="1:23">
      <c r="A1277" s="87" t="str">
        <f t="shared" si="57"/>
        <v/>
      </c>
      <c r="B1277" s="78"/>
      <c r="C1277" s="80"/>
      <c r="D1277" s="79"/>
      <c r="E1277" s="80"/>
      <c r="F1277" s="79"/>
      <c r="G1277" s="25" t="str">
        <f t="shared" si="58"/>
        <v/>
      </c>
      <c r="H1277" s="88"/>
      <c r="I1277" s="93"/>
      <c r="J1277" s="97"/>
      <c r="K1277" s="88"/>
      <c r="L1277" s="25" t="str">
        <f>IF($D1277="","",SUMIFS($H$4:$H1277,$D$4:$D1277,$D1277)+SUMIFS($I$4:$I1277,$D$4:$D1277,$D1277)-SUMIFS($J$4:$J1277,$D$4:$D1277,$D1277)-SUMIFS($K$4:$K1277,$D$4:$D1277,$D1277))</f>
        <v/>
      </c>
      <c r="M1277" s="80"/>
      <c r="N1277" s="80"/>
      <c r="O1277" s="94"/>
      <c r="P1277" s="26" t="str">
        <f t="shared" si="59"/>
        <v/>
      </c>
      <c r="Q1277" s="80"/>
      <c r="R1277" s="80"/>
      <c r="S1277" s="80"/>
      <c r="T1277" s="82"/>
      <c r="U1277" s="80"/>
      <c r="V1277" s="80"/>
      <c r="W1277" s="80"/>
    </row>
    <row r="1278" ht="18" customHeight="1" spans="1:23">
      <c r="A1278" s="87" t="str">
        <f t="shared" si="57"/>
        <v/>
      </c>
      <c r="B1278" s="78"/>
      <c r="C1278" s="80"/>
      <c r="D1278" s="79"/>
      <c r="E1278" s="80"/>
      <c r="F1278" s="79"/>
      <c r="G1278" s="25" t="str">
        <f t="shared" si="58"/>
        <v/>
      </c>
      <c r="H1278" s="88"/>
      <c r="I1278" s="93"/>
      <c r="J1278" s="97"/>
      <c r="K1278" s="88"/>
      <c r="L1278" s="25" t="str">
        <f>IF($D1278="","",SUMIFS($H$4:$H1278,$D$4:$D1278,$D1278)+SUMIFS($I$4:$I1278,$D$4:$D1278,$D1278)-SUMIFS($J$4:$J1278,$D$4:$D1278,$D1278)-SUMIFS($K$4:$K1278,$D$4:$D1278,$D1278))</f>
        <v/>
      </c>
      <c r="M1278" s="80"/>
      <c r="N1278" s="80"/>
      <c r="O1278" s="94"/>
      <c r="P1278" s="26" t="str">
        <f t="shared" si="59"/>
        <v/>
      </c>
      <c r="Q1278" s="80"/>
      <c r="R1278" s="80"/>
      <c r="S1278" s="80"/>
      <c r="T1278" s="82"/>
      <c r="U1278" s="80"/>
      <c r="V1278" s="80"/>
      <c r="W1278" s="80"/>
    </row>
    <row r="1279" ht="18" customHeight="1" spans="1:23">
      <c r="A1279" s="87" t="str">
        <f t="shared" si="57"/>
        <v/>
      </c>
      <c r="B1279" s="78"/>
      <c r="C1279" s="80"/>
      <c r="D1279" s="79"/>
      <c r="E1279" s="80"/>
      <c r="F1279" s="79"/>
      <c r="G1279" s="25" t="str">
        <f t="shared" si="58"/>
        <v/>
      </c>
      <c r="H1279" s="88"/>
      <c r="I1279" s="93"/>
      <c r="J1279" s="97"/>
      <c r="K1279" s="88"/>
      <c r="L1279" s="25" t="str">
        <f>IF($D1279="","",SUMIFS($H$4:$H1279,$D$4:$D1279,$D1279)+SUMIFS($I$4:$I1279,$D$4:$D1279,$D1279)-SUMIFS($J$4:$J1279,$D$4:$D1279,$D1279)-SUMIFS($K$4:$K1279,$D$4:$D1279,$D1279))</f>
        <v/>
      </c>
      <c r="M1279" s="80"/>
      <c r="N1279" s="80"/>
      <c r="O1279" s="94"/>
      <c r="P1279" s="26" t="str">
        <f t="shared" si="59"/>
        <v/>
      </c>
      <c r="Q1279" s="80"/>
      <c r="R1279" s="80"/>
      <c r="S1279" s="80"/>
      <c r="T1279" s="82"/>
      <c r="U1279" s="80"/>
      <c r="V1279" s="80"/>
      <c r="W1279" s="80"/>
    </row>
    <row r="1280" ht="18" customHeight="1" spans="1:23">
      <c r="A1280" s="87" t="str">
        <f t="shared" si="57"/>
        <v/>
      </c>
      <c r="B1280" s="78"/>
      <c r="C1280" s="80"/>
      <c r="D1280" s="79"/>
      <c r="E1280" s="80"/>
      <c r="F1280" s="79"/>
      <c r="G1280" s="25" t="str">
        <f t="shared" si="58"/>
        <v/>
      </c>
      <c r="H1280" s="88"/>
      <c r="I1280" s="93"/>
      <c r="J1280" s="97"/>
      <c r="K1280" s="88"/>
      <c r="L1280" s="25" t="str">
        <f>IF($D1280="","",SUMIFS($H$4:$H1280,$D$4:$D1280,$D1280)+SUMIFS($I$4:$I1280,$D$4:$D1280,$D1280)-SUMIFS($J$4:$J1280,$D$4:$D1280,$D1280)-SUMIFS($K$4:$K1280,$D$4:$D1280,$D1280))</f>
        <v/>
      </c>
      <c r="M1280" s="80"/>
      <c r="N1280" s="80"/>
      <c r="O1280" s="94"/>
      <c r="P1280" s="26" t="str">
        <f t="shared" si="59"/>
        <v/>
      </c>
      <c r="Q1280" s="80"/>
      <c r="R1280" s="80"/>
      <c r="S1280" s="80"/>
      <c r="T1280" s="82"/>
      <c r="U1280" s="80"/>
      <c r="V1280" s="80"/>
      <c r="W1280" s="80"/>
    </row>
    <row r="1281" ht="18" customHeight="1" spans="1:23">
      <c r="A1281" s="87" t="str">
        <f t="shared" si="57"/>
        <v/>
      </c>
      <c r="B1281" s="78"/>
      <c r="C1281" s="80"/>
      <c r="D1281" s="79"/>
      <c r="E1281" s="80"/>
      <c r="F1281" s="79"/>
      <c r="G1281" s="25" t="str">
        <f t="shared" si="58"/>
        <v/>
      </c>
      <c r="H1281" s="88"/>
      <c r="I1281" s="93"/>
      <c r="J1281" s="97"/>
      <c r="K1281" s="88"/>
      <c r="L1281" s="25" t="str">
        <f>IF($D1281="","",SUMIFS($H$4:$H1281,$D$4:$D1281,$D1281)+SUMIFS($I$4:$I1281,$D$4:$D1281,$D1281)-SUMIFS($J$4:$J1281,$D$4:$D1281,$D1281)-SUMIFS($K$4:$K1281,$D$4:$D1281,$D1281))</f>
        <v/>
      </c>
      <c r="M1281" s="80"/>
      <c r="N1281" s="80"/>
      <c r="O1281" s="94"/>
      <c r="P1281" s="26" t="str">
        <f t="shared" si="59"/>
        <v/>
      </c>
      <c r="Q1281" s="80"/>
      <c r="R1281" s="80"/>
      <c r="S1281" s="80"/>
      <c r="T1281" s="82"/>
      <c r="U1281" s="80"/>
      <c r="V1281" s="80"/>
      <c r="W1281" s="80"/>
    </row>
    <row r="1282" ht="18" customHeight="1" spans="1:23">
      <c r="A1282" s="87" t="str">
        <f t="shared" si="57"/>
        <v/>
      </c>
      <c r="B1282" s="78"/>
      <c r="C1282" s="80"/>
      <c r="D1282" s="79"/>
      <c r="E1282" s="80"/>
      <c r="F1282" s="79"/>
      <c r="G1282" s="25" t="str">
        <f t="shared" si="58"/>
        <v/>
      </c>
      <c r="H1282" s="88"/>
      <c r="I1282" s="93"/>
      <c r="J1282" s="97"/>
      <c r="K1282" s="88"/>
      <c r="L1282" s="25" t="str">
        <f>IF($D1282="","",SUMIFS($H$4:$H1282,$D$4:$D1282,$D1282)+SUMIFS($I$4:$I1282,$D$4:$D1282,$D1282)-SUMIFS($J$4:$J1282,$D$4:$D1282,$D1282)-SUMIFS($K$4:$K1282,$D$4:$D1282,$D1282))</f>
        <v/>
      </c>
      <c r="M1282" s="80"/>
      <c r="N1282" s="80"/>
      <c r="O1282" s="94"/>
      <c r="P1282" s="26" t="str">
        <f t="shared" si="59"/>
        <v/>
      </c>
      <c r="Q1282" s="80"/>
      <c r="R1282" s="80"/>
      <c r="S1282" s="80"/>
      <c r="T1282" s="82"/>
      <c r="U1282" s="80"/>
      <c r="V1282" s="80"/>
      <c r="W1282" s="80"/>
    </row>
    <row r="1283" ht="18" customHeight="1" spans="1:23">
      <c r="A1283" s="87" t="str">
        <f t="shared" si="57"/>
        <v/>
      </c>
      <c r="B1283" s="78"/>
      <c r="C1283" s="80"/>
      <c r="D1283" s="79"/>
      <c r="E1283" s="80"/>
      <c r="F1283" s="79"/>
      <c r="G1283" s="25" t="str">
        <f t="shared" si="58"/>
        <v/>
      </c>
      <c r="H1283" s="88"/>
      <c r="I1283" s="93"/>
      <c r="J1283" s="97"/>
      <c r="K1283" s="88"/>
      <c r="L1283" s="25" t="str">
        <f>IF($D1283="","",SUMIFS($H$4:$H1283,$D$4:$D1283,$D1283)+SUMIFS($I$4:$I1283,$D$4:$D1283,$D1283)-SUMIFS($J$4:$J1283,$D$4:$D1283,$D1283)-SUMIFS($K$4:$K1283,$D$4:$D1283,$D1283))</f>
        <v/>
      </c>
      <c r="M1283" s="80"/>
      <c r="N1283" s="80"/>
      <c r="O1283" s="94"/>
      <c r="P1283" s="26" t="str">
        <f t="shared" si="59"/>
        <v/>
      </c>
      <c r="Q1283" s="80"/>
      <c r="R1283" s="80"/>
      <c r="S1283" s="80"/>
      <c r="T1283" s="82"/>
      <c r="U1283" s="80"/>
      <c r="V1283" s="80"/>
      <c r="W1283" s="80"/>
    </row>
    <row r="1284" ht="18" customHeight="1" spans="1:23">
      <c r="A1284" s="87" t="str">
        <f t="shared" si="57"/>
        <v/>
      </c>
      <c r="B1284" s="78"/>
      <c r="C1284" s="80"/>
      <c r="D1284" s="79"/>
      <c r="E1284" s="80"/>
      <c r="F1284" s="79"/>
      <c r="G1284" s="25" t="str">
        <f t="shared" si="58"/>
        <v/>
      </c>
      <c r="H1284" s="88"/>
      <c r="I1284" s="93"/>
      <c r="J1284" s="97"/>
      <c r="K1284" s="88"/>
      <c r="L1284" s="25" t="str">
        <f>IF($D1284="","",SUMIFS($H$4:$H1284,$D$4:$D1284,$D1284)+SUMIFS($I$4:$I1284,$D$4:$D1284,$D1284)-SUMIFS($J$4:$J1284,$D$4:$D1284,$D1284)-SUMIFS($K$4:$K1284,$D$4:$D1284,$D1284))</f>
        <v/>
      </c>
      <c r="M1284" s="80"/>
      <c r="N1284" s="80"/>
      <c r="O1284" s="94"/>
      <c r="P1284" s="26" t="str">
        <f t="shared" si="59"/>
        <v/>
      </c>
      <c r="Q1284" s="80"/>
      <c r="R1284" s="80"/>
      <c r="S1284" s="80"/>
      <c r="T1284" s="82"/>
      <c r="U1284" s="80"/>
      <c r="V1284" s="80"/>
      <c r="W1284" s="80"/>
    </row>
    <row r="1285" ht="18" customHeight="1" spans="1:23">
      <c r="A1285" s="87" t="str">
        <f t="shared" ref="A1285:A1348" si="60">IF($D1285="","",ROW()-3)</f>
        <v/>
      </c>
      <c r="B1285" s="78"/>
      <c r="C1285" s="80"/>
      <c r="D1285" s="79"/>
      <c r="E1285" s="80"/>
      <c r="F1285" s="79"/>
      <c r="G1285" s="25" t="str">
        <f t="shared" ref="G1285:G1348" si="61">IF($D1285="","",N($L1285)-N($H1285)-N($I1285)+N($J1285)+N($K1285))</f>
        <v/>
      </c>
      <c r="H1285" s="88"/>
      <c r="I1285" s="93"/>
      <c r="J1285" s="97"/>
      <c r="K1285" s="88"/>
      <c r="L1285" s="25" t="str">
        <f>IF($D1285="","",SUMIFS($H$4:$H1285,$D$4:$D1285,$D1285)+SUMIFS($I$4:$I1285,$D$4:$D1285,$D1285)-SUMIFS($J$4:$J1285,$D$4:$D1285,$D1285)-SUMIFS($K$4:$K1285,$D$4:$D1285,$D1285))</f>
        <v/>
      </c>
      <c r="M1285" s="80"/>
      <c r="N1285" s="80"/>
      <c r="O1285" s="94"/>
      <c r="P1285" s="26" t="str">
        <f t="shared" ref="P1285:P1348" si="62">IF($D1285="","",ROUND((N($H1285)+N($K1285))*N($O1285),2))</f>
        <v/>
      </c>
      <c r="Q1285" s="80"/>
      <c r="R1285" s="80"/>
      <c r="S1285" s="80"/>
      <c r="T1285" s="82"/>
      <c r="U1285" s="80"/>
      <c r="V1285" s="80"/>
      <c r="W1285" s="80"/>
    </row>
    <row r="1286" ht="18" customHeight="1" spans="1:23">
      <c r="A1286" s="87" t="str">
        <f t="shared" si="60"/>
        <v/>
      </c>
      <c r="B1286" s="78"/>
      <c r="C1286" s="80"/>
      <c r="D1286" s="79"/>
      <c r="E1286" s="80"/>
      <c r="F1286" s="79"/>
      <c r="G1286" s="25" t="str">
        <f t="shared" si="61"/>
        <v/>
      </c>
      <c r="H1286" s="88"/>
      <c r="I1286" s="93"/>
      <c r="J1286" s="97"/>
      <c r="K1286" s="88"/>
      <c r="L1286" s="25" t="str">
        <f>IF($D1286="","",SUMIFS($H$4:$H1286,$D$4:$D1286,$D1286)+SUMIFS($I$4:$I1286,$D$4:$D1286,$D1286)-SUMIFS($J$4:$J1286,$D$4:$D1286,$D1286)-SUMIFS($K$4:$K1286,$D$4:$D1286,$D1286))</f>
        <v/>
      </c>
      <c r="M1286" s="80"/>
      <c r="N1286" s="80"/>
      <c r="O1286" s="94"/>
      <c r="P1286" s="26" t="str">
        <f t="shared" si="62"/>
        <v/>
      </c>
      <c r="Q1286" s="80"/>
      <c r="R1286" s="80"/>
      <c r="S1286" s="80"/>
      <c r="T1286" s="82"/>
      <c r="U1286" s="80"/>
      <c r="V1286" s="80"/>
      <c r="W1286" s="80"/>
    </row>
    <row r="1287" ht="18" customHeight="1" spans="1:23">
      <c r="A1287" s="87" t="str">
        <f t="shared" si="60"/>
        <v/>
      </c>
      <c r="B1287" s="78"/>
      <c r="C1287" s="80"/>
      <c r="D1287" s="79"/>
      <c r="E1287" s="80"/>
      <c r="F1287" s="79"/>
      <c r="G1287" s="25" t="str">
        <f t="shared" si="61"/>
        <v/>
      </c>
      <c r="H1287" s="88"/>
      <c r="I1287" s="93"/>
      <c r="J1287" s="97"/>
      <c r="K1287" s="88"/>
      <c r="L1287" s="25" t="str">
        <f>IF($D1287="","",SUMIFS($H$4:$H1287,$D$4:$D1287,$D1287)+SUMIFS($I$4:$I1287,$D$4:$D1287,$D1287)-SUMIFS($J$4:$J1287,$D$4:$D1287,$D1287)-SUMIFS($K$4:$K1287,$D$4:$D1287,$D1287))</f>
        <v/>
      </c>
      <c r="M1287" s="80"/>
      <c r="N1287" s="80"/>
      <c r="O1287" s="94"/>
      <c r="P1287" s="26" t="str">
        <f t="shared" si="62"/>
        <v/>
      </c>
      <c r="Q1287" s="80"/>
      <c r="R1287" s="80"/>
      <c r="S1287" s="80"/>
      <c r="T1287" s="82"/>
      <c r="U1287" s="80"/>
      <c r="V1287" s="80"/>
      <c r="W1287" s="80"/>
    </row>
    <row r="1288" ht="18" customHeight="1" spans="1:23">
      <c r="A1288" s="87" t="str">
        <f t="shared" si="60"/>
        <v/>
      </c>
      <c r="B1288" s="78"/>
      <c r="C1288" s="80"/>
      <c r="D1288" s="79"/>
      <c r="E1288" s="80"/>
      <c r="F1288" s="79"/>
      <c r="G1288" s="25" t="str">
        <f t="shared" si="61"/>
        <v/>
      </c>
      <c r="H1288" s="88"/>
      <c r="I1288" s="93"/>
      <c r="J1288" s="97"/>
      <c r="K1288" s="88"/>
      <c r="L1288" s="25" t="str">
        <f>IF($D1288="","",SUMIFS($H$4:$H1288,$D$4:$D1288,$D1288)+SUMIFS($I$4:$I1288,$D$4:$D1288,$D1288)-SUMIFS($J$4:$J1288,$D$4:$D1288,$D1288)-SUMIFS($K$4:$K1288,$D$4:$D1288,$D1288))</f>
        <v/>
      </c>
      <c r="M1288" s="80"/>
      <c r="N1288" s="80"/>
      <c r="O1288" s="94"/>
      <c r="P1288" s="26" t="str">
        <f t="shared" si="62"/>
        <v/>
      </c>
      <c r="Q1288" s="80"/>
      <c r="R1288" s="80"/>
      <c r="S1288" s="80"/>
      <c r="T1288" s="82"/>
      <c r="U1288" s="80"/>
      <c r="V1288" s="80"/>
      <c r="W1288" s="80"/>
    </row>
    <row r="1289" ht="18" customHeight="1" spans="1:23">
      <c r="A1289" s="87" t="str">
        <f t="shared" si="60"/>
        <v/>
      </c>
      <c r="B1289" s="78"/>
      <c r="C1289" s="80"/>
      <c r="D1289" s="79"/>
      <c r="E1289" s="80"/>
      <c r="F1289" s="79"/>
      <c r="G1289" s="25" t="str">
        <f t="shared" si="61"/>
        <v/>
      </c>
      <c r="H1289" s="88"/>
      <c r="I1289" s="93"/>
      <c r="J1289" s="97"/>
      <c r="K1289" s="88"/>
      <c r="L1289" s="25" t="str">
        <f>IF($D1289="","",SUMIFS($H$4:$H1289,$D$4:$D1289,$D1289)+SUMIFS($I$4:$I1289,$D$4:$D1289,$D1289)-SUMIFS($J$4:$J1289,$D$4:$D1289,$D1289)-SUMIFS($K$4:$K1289,$D$4:$D1289,$D1289))</f>
        <v/>
      </c>
      <c r="M1289" s="80"/>
      <c r="N1289" s="80"/>
      <c r="O1289" s="94"/>
      <c r="P1289" s="26" t="str">
        <f t="shared" si="62"/>
        <v/>
      </c>
      <c r="Q1289" s="80"/>
      <c r="R1289" s="80"/>
      <c r="S1289" s="80"/>
      <c r="T1289" s="82"/>
      <c r="U1289" s="80"/>
      <c r="V1289" s="80"/>
      <c r="W1289" s="80"/>
    </row>
    <row r="1290" ht="18" customHeight="1" spans="1:23">
      <c r="A1290" s="87" t="str">
        <f t="shared" si="60"/>
        <v/>
      </c>
      <c r="B1290" s="78"/>
      <c r="C1290" s="80"/>
      <c r="D1290" s="79"/>
      <c r="E1290" s="80"/>
      <c r="F1290" s="79"/>
      <c r="G1290" s="25" t="str">
        <f t="shared" si="61"/>
        <v/>
      </c>
      <c r="H1290" s="88"/>
      <c r="I1290" s="93"/>
      <c r="J1290" s="97"/>
      <c r="K1290" s="88"/>
      <c r="L1290" s="25" t="str">
        <f>IF($D1290="","",SUMIFS($H$4:$H1290,$D$4:$D1290,$D1290)+SUMIFS($I$4:$I1290,$D$4:$D1290,$D1290)-SUMIFS($J$4:$J1290,$D$4:$D1290,$D1290)-SUMIFS($K$4:$K1290,$D$4:$D1290,$D1290))</f>
        <v/>
      </c>
      <c r="M1290" s="80"/>
      <c r="N1290" s="80"/>
      <c r="O1290" s="94"/>
      <c r="P1290" s="26" t="str">
        <f t="shared" si="62"/>
        <v/>
      </c>
      <c r="Q1290" s="80"/>
      <c r="R1290" s="80"/>
      <c r="S1290" s="80"/>
      <c r="T1290" s="82"/>
      <c r="U1290" s="80"/>
      <c r="V1290" s="80"/>
      <c r="W1290" s="80"/>
    </row>
    <row r="1291" ht="18" customHeight="1" spans="1:23">
      <c r="A1291" s="87" t="str">
        <f t="shared" si="60"/>
        <v/>
      </c>
      <c r="B1291" s="78"/>
      <c r="C1291" s="80"/>
      <c r="D1291" s="79"/>
      <c r="E1291" s="80"/>
      <c r="F1291" s="79"/>
      <c r="G1291" s="25" t="str">
        <f t="shared" si="61"/>
        <v/>
      </c>
      <c r="H1291" s="88"/>
      <c r="I1291" s="93"/>
      <c r="J1291" s="97"/>
      <c r="K1291" s="88"/>
      <c r="L1291" s="25" t="str">
        <f>IF($D1291="","",SUMIFS($H$4:$H1291,$D$4:$D1291,$D1291)+SUMIFS($I$4:$I1291,$D$4:$D1291,$D1291)-SUMIFS($J$4:$J1291,$D$4:$D1291,$D1291)-SUMIFS($K$4:$K1291,$D$4:$D1291,$D1291))</f>
        <v/>
      </c>
      <c r="M1291" s="80"/>
      <c r="N1291" s="80"/>
      <c r="O1291" s="94"/>
      <c r="P1291" s="26" t="str">
        <f t="shared" si="62"/>
        <v/>
      </c>
      <c r="Q1291" s="80"/>
      <c r="R1291" s="80"/>
      <c r="S1291" s="80"/>
      <c r="T1291" s="82"/>
      <c r="U1291" s="80"/>
      <c r="V1291" s="80"/>
      <c r="W1291" s="80"/>
    </row>
    <row r="1292" ht="18" customHeight="1" spans="1:23">
      <c r="A1292" s="87" t="str">
        <f t="shared" si="60"/>
        <v/>
      </c>
      <c r="B1292" s="78"/>
      <c r="C1292" s="80"/>
      <c r="D1292" s="79"/>
      <c r="E1292" s="80"/>
      <c r="F1292" s="79"/>
      <c r="G1292" s="25" t="str">
        <f t="shared" si="61"/>
        <v/>
      </c>
      <c r="H1292" s="88"/>
      <c r="I1292" s="93"/>
      <c r="J1292" s="97"/>
      <c r="K1292" s="88"/>
      <c r="L1292" s="25" t="str">
        <f>IF($D1292="","",SUMIFS($H$4:$H1292,$D$4:$D1292,$D1292)+SUMIFS($I$4:$I1292,$D$4:$D1292,$D1292)-SUMIFS($J$4:$J1292,$D$4:$D1292,$D1292)-SUMIFS($K$4:$K1292,$D$4:$D1292,$D1292))</f>
        <v/>
      </c>
      <c r="M1292" s="80"/>
      <c r="N1292" s="80"/>
      <c r="O1292" s="94"/>
      <c r="P1292" s="26" t="str">
        <f t="shared" si="62"/>
        <v/>
      </c>
      <c r="Q1292" s="80"/>
      <c r="R1292" s="80"/>
      <c r="S1292" s="80"/>
      <c r="T1292" s="82"/>
      <c r="U1292" s="80"/>
      <c r="V1292" s="80"/>
      <c r="W1292" s="80"/>
    </row>
    <row r="1293" ht="18" customHeight="1" spans="1:23">
      <c r="A1293" s="87" t="str">
        <f t="shared" si="60"/>
        <v/>
      </c>
      <c r="B1293" s="78"/>
      <c r="C1293" s="80"/>
      <c r="D1293" s="79"/>
      <c r="E1293" s="80"/>
      <c r="F1293" s="79"/>
      <c r="G1293" s="25" t="str">
        <f t="shared" si="61"/>
        <v/>
      </c>
      <c r="H1293" s="88"/>
      <c r="I1293" s="93"/>
      <c r="J1293" s="97"/>
      <c r="K1293" s="88"/>
      <c r="L1293" s="25" t="str">
        <f>IF($D1293="","",SUMIFS($H$4:$H1293,$D$4:$D1293,$D1293)+SUMIFS($I$4:$I1293,$D$4:$D1293,$D1293)-SUMIFS($J$4:$J1293,$D$4:$D1293,$D1293)-SUMIFS($K$4:$K1293,$D$4:$D1293,$D1293))</f>
        <v/>
      </c>
      <c r="M1293" s="80"/>
      <c r="N1293" s="80"/>
      <c r="O1293" s="94"/>
      <c r="P1293" s="26" t="str">
        <f t="shared" si="62"/>
        <v/>
      </c>
      <c r="Q1293" s="80"/>
      <c r="R1293" s="80"/>
      <c r="S1293" s="80"/>
      <c r="T1293" s="82"/>
      <c r="U1293" s="80"/>
      <c r="V1293" s="80"/>
      <c r="W1293" s="80"/>
    </row>
    <row r="1294" ht="18" customHeight="1" spans="1:23">
      <c r="A1294" s="87" t="str">
        <f t="shared" si="60"/>
        <v/>
      </c>
      <c r="B1294" s="78"/>
      <c r="C1294" s="80"/>
      <c r="D1294" s="79"/>
      <c r="E1294" s="80"/>
      <c r="F1294" s="79"/>
      <c r="G1294" s="25" t="str">
        <f t="shared" si="61"/>
        <v/>
      </c>
      <c r="H1294" s="88"/>
      <c r="I1294" s="93"/>
      <c r="J1294" s="97"/>
      <c r="K1294" s="88"/>
      <c r="L1294" s="25" t="str">
        <f>IF($D1294="","",SUMIFS($H$4:$H1294,$D$4:$D1294,$D1294)+SUMIFS($I$4:$I1294,$D$4:$D1294,$D1294)-SUMIFS($J$4:$J1294,$D$4:$D1294,$D1294)-SUMIFS($K$4:$K1294,$D$4:$D1294,$D1294))</f>
        <v/>
      </c>
      <c r="M1294" s="80"/>
      <c r="N1294" s="80"/>
      <c r="O1294" s="94"/>
      <c r="P1294" s="26" t="str">
        <f t="shared" si="62"/>
        <v/>
      </c>
      <c r="Q1294" s="80"/>
      <c r="R1294" s="80"/>
      <c r="S1294" s="80"/>
      <c r="T1294" s="82"/>
      <c r="U1294" s="80"/>
      <c r="V1294" s="80"/>
      <c r="W1294" s="80"/>
    </row>
    <row r="1295" ht="18" customHeight="1" spans="1:23">
      <c r="A1295" s="87" t="str">
        <f t="shared" si="60"/>
        <v/>
      </c>
      <c r="B1295" s="78"/>
      <c r="C1295" s="80"/>
      <c r="D1295" s="79"/>
      <c r="E1295" s="80"/>
      <c r="F1295" s="79"/>
      <c r="G1295" s="25" t="str">
        <f t="shared" si="61"/>
        <v/>
      </c>
      <c r="H1295" s="88"/>
      <c r="I1295" s="93"/>
      <c r="J1295" s="97"/>
      <c r="K1295" s="88"/>
      <c r="L1295" s="25" t="str">
        <f>IF($D1295="","",SUMIFS($H$4:$H1295,$D$4:$D1295,$D1295)+SUMIFS($I$4:$I1295,$D$4:$D1295,$D1295)-SUMIFS($J$4:$J1295,$D$4:$D1295,$D1295)-SUMIFS($K$4:$K1295,$D$4:$D1295,$D1295))</f>
        <v/>
      </c>
      <c r="M1295" s="80"/>
      <c r="N1295" s="80"/>
      <c r="O1295" s="94"/>
      <c r="P1295" s="26" t="str">
        <f t="shared" si="62"/>
        <v/>
      </c>
      <c r="Q1295" s="80"/>
      <c r="R1295" s="80"/>
      <c r="S1295" s="80"/>
      <c r="T1295" s="82"/>
      <c r="U1295" s="80"/>
      <c r="V1295" s="80"/>
      <c r="W1295" s="80"/>
    </row>
    <row r="1296" ht="18" customHeight="1" spans="1:23">
      <c r="A1296" s="87" t="str">
        <f t="shared" si="60"/>
        <v/>
      </c>
      <c r="B1296" s="78"/>
      <c r="C1296" s="80"/>
      <c r="D1296" s="79"/>
      <c r="E1296" s="80"/>
      <c r="F1296" s="79"/>
      <c r="G1296" s="25" t="str">
        <f t="shared" si="61"/>
        <v/>
      </c>
      <c r="H1296" s="88"/>
      <c r="I1296" s="93"/>
      <c r="J1296" s="97"/>
      <c r="K1296" s="88"/>
      <c r="L1296" s="25" t="str">
        <f>IF($D1296="","",SUMIFS($H$4:$H1296,$D$4:$D1296,$D1296)+SUMIFS($I$4:$I1296,$D$4:$D1296,$D1296)-SUMIFS($J$4:$J1296,$D$4:$D1296,$D1296)-SUMIFS($K$4:$K1296,$D$4:$D1296,$D1296))</f>
        <v/>
      </c>
      <c r="M1296" s="80"/>
      <c r="N1296" s="80"/>
      <c r="O1296" s="94"/>
      <c r="P1296" s="26" t="str">
        <f t="shared" si="62"/>
        <v/>
      </c>
      <c r="Q1296" s="80"/>
      <c r="R1296" s="80"/>
      <c r="S1296" s="80"/>
      <c r="T1296" s="82"/>
      <c r="U1296" s="80"/>
      <c r="V1296" s="80"/>
      <c r="W1296" s="80"/>
    </row>
    <row r="1297" ht="18" customHeight="1" spans="1:23">
      <c r="A1297" s="87" t="str">
        <f t="shared" si="60"/>
        <v/>
      </c>
      <c r="B1297" s="78"/>
      <c r="C1297" s="80"/>
      <c r="D1297" s="79"/>
      <c r="E1297" s="80"/>
      <c r="F1297" s="79"/>
      <c r="G1297" s="25" t="str">
        <f t="shared" si="61"/>
        <v/>
      </c>
      <c r="H1297" s="88"/>
      <c r="I1297" s="93"/>
      <c r="J1297" s="97"/>
      <c r="K1297" s="88"/>
      <c r="L1297" s="25" t="str">
        <f>IF($D1297="","",SUMIFS($H$4:$H1297,$D$4:$D1297,$D1297)+SUMIFS($I$4:$I1297,$D$4:$D1297,$D1297)-SUMIFS($J$4:$J1297,$D$4:$D1297,$D1297)-SUMIFS($K$4:$K1297,$D$4:$D1297,$D1297))</f>
        <v/>
      </c>
      <c r="M1297" s="80"/>
      <c r="N1297" s="80"/>
      <c r="O1297" s="94"/>
      <c r="P1297" s="26" t="str">
        <f t="shared" si="62"/>
        <v/>
      </c>
      <c r="Q1297" s="80"/>
      <c r="R1297" s="80"/>
      <c r="S1297" s="80"/>
      <c r="T1297" s="82"/>
      <c r="U1297" s="80"/>
      <c r="V1297" s="80"/>
      <c r="W1297" s="80"/>
    </row>
    <row r="1298" ht="18" customHeight="1" spans="1:23">
      <c r="A1298" s="87" t="str">
        <f t="shared" si="60"/>
        <v/>
      </c>
      <c r="B1298" s="78"/>
      <c r="C1298" s="80"/>
      <c r="D1298" s="79"/>
      <c r="E1298" s="80"/>
      <c r="F1298" s="79"/>
      <c r="G1298" s="25" t="str">
        <f t="shared" si="61"/>
        <v/>
      </c>
      <c r="H1298" s="88"/>
      <c r="I1298" s="93"/>
      <c r="J1298" s="97"/>
      <c r="K1298" s="88"/>
      <c r="L1298" s="25" t="str">
        <f>IF($D1298="","",SUMIFS($H$4:$H1298,$D$4:$D1298,$D1298)+SUMIFS($I$4:$I1298,$D$4:$D1298,$D1298)-SUMIFS($J$4:$J1298,$D$4:$D1298,$D1298)-SUMIFS($K$4:$K1298,$D$4:$D1298,$D1298))</f>
        <v/>
      </c>
      <c r="M1298" s="80"/>
      <c r="N1298" s="80"/>
      <c r="O1298" s="94"/>
      <c r="P1298" s="26" t="str">
        <f t="shared" si="62"/>
        <v/>
      </c>
      <c r="Q1298" s="80"/>
      <c r="R1298" s="80"/>
      <c r="S1298" s="80"/>
      <c r="T1298" s="82"/>
      <c r="U1298" s="80"/>
      <c r="V1298" s="80"/>
      <c r="W1298" s="80"/>
    </row>
    <row r="1299" ht="18" customHeight="1" spans="1:23">
      <c r="A1299" s="87" t="str">
        <f t="shared" si="60"/>
        <v/>
      </c>
      <c r="B1299" s="78"/>
      <c r="C1299" s="80"/>
      <c r="D1299" s="79"/>
      <c r="E1299" s="80"/>
      <c r="F1299" s="79"/>
      <c r="G1299" s="25" t="str">
        <f t="shared" si="61"/>
        <v/>
      </c>
      <c r="H1299" s="88"/>
      <c r="I1299" s="93"/>
      <c r="J1299" s="97"/>
      <c r="K1299" s="88"/>
      <c r="L1299" s="25" t="str">
        <f>IF($D1299="","",SUMIFS($H$4:$H1299,$D$4:$D1299,$D1299)+SUMIFS($I$4:$I1299,$D$4:$D1299,$D1299)-SUMIFS($J$4:$J1299,$D$4:$D1299,$D1299)-SUMIFS($K$4:$K1299,$D$4:$D1299,$D1299))</f>
        <v/>
      </c>
      <c r="M1299" s="80"/>
      <c r="N1299" s="80"/>
      <c r="O1299" s="94"/>
      <c r="P1299" s="26" t="str">
        <f t="shared" si="62"/>
        <v/>
      </c>
      <c r="Q1299" s="80"/>
      <c r="R1299" s="80"/>
      <c r="S1299" s="80"/>
      <c r="T1299" s="82"/>
      <c r="U1299" s="80"/>
      <c r="V1299" s="80"/>
      <c r="W1299" s="80"/>
    </row>
    <row r="1300" ht="18" customHeight="1" spans="1:23">
      <c r="A1300" s="87" t="str">
        <f t="shared" si="60"/>
        <v/>
      </c>
      <c r="B1300" s="78"/>
      <c r="C1300" s="80"/>
      <c r="D1300" s="79"/>
      <c r="E1300" s="80"/>
      <c r="F1300" s="79"/>
      <c r="G1300" s="25" t="str">
        <f t="shared" si="61"/>
        <v/>
      </c>
      <c r="H1300" s="88"/>
      <c r="I1300" s="93"/>
      <c r="J1300" s="97"/>
      <c r="K1300" s="88"/>
      <c r="L1300" s="25" t="str">
        <f>IF($D1300="","",SUMIFS($H$4:$H1300,$D$4:$D1300,$D1300)+SUMIFS($I$4:$I1300,$D$4:$D1300,$D1300)-SUMIFS($J$4:$J1300,$D$4:$D1300,$D1300)-SUMIFS($K$4:$K1300,$D$4:$D1300,$D1300))</f>
        <v/>
      </c>
      <c r="M1300" s="80"/>
      <c r="N1300" s="80"/>
      <c r="O1300" s="94"/>
      <c r="P1300" s="26" t="str">
        <f t="shared" si="62"/>
        <v/>
      </c>
      <c r="Q1300" s="80"/>
      <c r="R1300" s="80"/>
      <c r="S1300" s="80"/>
      <c r="T1300" s="82"/>
      <c r="U1300" s="80"/>
      <c r="V1300" s="80"/>
      <c r="W1300" s="80"/>
    </row>
    <row r="1301" ht="18" customHeight="1" spans="1:23">
      <c r="A1301" s="87" t="str">
        <f t="shared" si="60"/>
        <v/>
      </c>
      <c r="B1301" s="78"/>
      <c r="C1301" s="80"/>
      <c r="D1301" s="79"/>
      <c r="E1301" s="80"/>
      <c r="F1301" s="79"/>
      <c r="G1301" s="25" t="str">
        <f t="shared" si="61"/>
        <v/>
      </c>
      <c r="H1301" s="88"/>
      <c r="I1301" s="93"/>
      <c r="J1301" s="97"/>
      <c r="K1301" s="88"/>
      <c r="L1301" s="25" t="str">
        <f>IF($D1301="","",SUMIFS($H$4:$H1301,$D$4:$D1301,$D1301)+SUMIFS($I$4:$I1301,$D$4:$D1301,$D1301)-SUMIFS($J$4:$J1301,$D$4:$D1301,$D1301)-SUMIFS($K$4:$K1301,$D$4:$D1301,$D1301))</f>
        <v/>
      </c>
      <c r="M1301" s="80"/>
      <c r="N1301" s="80"/>
      <c r="O1301" s="94"/>
      <c r="P1301" s="26" t="str">
        <f t="shared" si="62"/>
        <v/>
      </c>
      <c r="Q1301" s="80"/>
      <c r="R1301" s="80"/>
      <c r="S1301" s="80"/>
      <c r="T1301" s="82"/>
      <c r="U1301" s="80"/>
      <c r="V1301" s="80"/>
      <c r="W1301" s="80"/>
    </row>
    <row r="1302" ht="18" customHeight="1" spans="1:23">
      <c r="A1302" s="87" t="str">
        <f t="shared" si="60"/>
        <v/>
      </c>
      <c r="B1302" s="78"/>
      <c r="C1302" s="80"/>
      <c r="D1302" s="79"/>
      <c r="E1302" s="80"/>
      <c r="F1302" s="79"/>
      <c r="G1302" s="25" t="str">
        <f t="shared" si="61"/>
        <v/>
      </c>
      <c r="H1302" s="88"/>
      <c r="I1302" s="93"/>
      <c r="J1302" s="97"/>
      <c r="K1302" s="88"/>
      <c r="L1302" s="25" t="str">
        <f>IF($D1302="","",SUMIFS($H$4:$H1302,$D$4:$D1302,$D1302)+SUMIFS($I$4:$I1302,$D$4:$D1302,$D1302)-SUMIFS($J$4:$J1302,$D$4:$D1302,$D1302)-SUMIFS($K$4:$K1302,$D$4:$D1302,$D1302))</f>
        <v/>
      </c>
      <c r="M1302" s="80"/>
      <c r="N1302" s="80"/>
      <c r="O1302" s="94"/>
      <c r="P1302" s="26" t="str">
        <f t="shared" si="62"/>
        <v/>
      </c>
      <c r="Q1302" s="80"/>
      <c r="R1302" s="80"/>
      <c r="S1302" s="80"/>
      <c r="T1302" s="82"/>
      <c r="U1302" s="80"/>
      <c r="V1302" s="80"/>
      <c r="W1302" s="80"/>
    </row>
    <row r="1303" ht="18" customHeight="1" spans="1:23">
      <c r="A1303" s="87" t="str">
        <f t="shared" si="60"/>
        <v/>
      </c>
      <c r="B1303" s="78"/>
      <c r="C1303" s="80"/>
      <c r="D1303" s="79"/>
      <c r="E1303" s="80"/>
      <c r="F1303" s="79"/>
      <c r="G1303" s="25" t="str">
        <f t="shared" si="61"/>
        <v/>
      </c>
      <c r="H1303" s="88"/>
      <c r="I1303" s="93"/>
      <c r="J1303" s="97"/>
      <c r="K1303" s="88"/>
      <c r="L1303" s="25" t="str">
        <f>IF($D1303="","",SUMIFS($H$4:$H1303,$D$4:$D1303,$D1303)+SUMIFS($I$4:$I1303,$D$4:$D1303,$D1303)-SUMIFS($J$4:$J1303,$D$4:$D1303,$D1303)-SUMIFS($K$4:$K1303,$D$4:$D1303,$D1303))</f>
        <v/>
      </c>
      <c r="M1303" s="80"/>
      <c r="N1303" s="80"/>
      <c r="O1303" s="94"/>
      <c r="P1303" s="26" t="str">
        <f t="shared" si="62"/>
        <v/>
      </c>
      <c r="Q1303" s="80"/>
      <c r="R1303" s="80"/>
      <c r="S1303" s="80"/>
      <c r="T1303" s="82"/>
      <c r="U1303" s="80"/>
      <c r="V1303" s="80"/>
      <c r="W1303" s="80"/>
    </row>
    <row r="1304" ht="18" customHeight="1" spans="1:23">
      <c r="A1304" s="87" t="str">
        <f t="shared" si="60"/>
        <v/>
      </c>
      <c r="B1304" s="78"/>
      <c r="C1304" s="80"/>
      <c r="D1304" s="79"/>
      <c r="E1304" s="80"/>
      <c r="F1304" s="79"/>
      <c r="G1304" s="25" t="str">
        <f t="shared" si="61"/>
        <v/>
      </c>
      <c r="H1304" s="88"/>
      <c r="I1304" s="93"/>
      <c r="J1304" s="97"/>
      <c r="K1304" s="88"/>
      <c r="L1304" s="25" t="str">
        <f>IF($D1304="","",SUMIFS($H$4:$H1304,$D$4:$D1304,$D1304)+SUMIFS($I$4:$I1304,$D$4:$D1304,$D1304)-SUMIFS($J$4:$J1304,$D$4:$D1304,$D1304)-SUMIFS($K$4:$K1304,$D$4:$D1304,$D1304))</f>
        <v/>
      </c>
      <c r="M1304" s="80"/>
      <c r="N1304" s="80"/>
      <c r="O1304" s="94"/>
      <c r="P1304" s="26" t="str">
        <f t="shared" si="62"/>
        <v/>
      </c>
      <c r="Q1304" s="80"/>
      <c r="R1304" s="80"/>
      <c r="S1304" s="80"/>
      <c r="T1304" s="82"/>
      <c r="U1304" s="80"/>
      <c r="V1304" s="80"/>
      <c r="W1304" s="80"/>
    </row>
    <row r="1305" ht="18" customHeight="1" spans="1:23">
      <c r="A1305" s="87" t="str">
        <f t="shared" si="60"/>
        <v/>
      </c>
      <c r="B1305" s="78"/>
      <c r="C1305" s="80"/>
      <c r="D1305" s="79"/>
      <c r="E1305" s="80"/>
      <c r="F1305" s="79"/>
      <c r="G1305" s="25" t="str">
        <f t="shared" si="61"/>
        <v/>
      </c>
      <c r="H1305" s="88"/>
      <c r="I1305" s="93"/>
      <c r="J1305" s="97"/>
      <c r="K1305" s="88"/>
      <c r="L1305" s="25" t="str">
        <f>IF($D1305="","",SUMIFS($H$4:$H1305,$D$4:$D1305,$D1305)+SUMIFS($I$4:$I1305,$D$4:$D1305,$D1305)-SUMIFS($J$4:$J1305,$D$4:$D1305,$D1305)-SUMIFS($K$4:$K1305,$D$4:$D1305,$D1305))</f>
        <v/>
      </c>
      <c r="M1305" s="80"/>
      <c r="N1305" s="80"/>
      <c r="O1305" s="94"/>
      <c r="P1305" s="26" t="str">
        <f t="shared" si="62"/>
        <v/>
      </c>
      <c r="Q1305" s="80"/>
      <c r="R1305" s="80"/>
      <c r="S1305" s="80"/>
      <c r="T1305" s="82"/>
      <c r="U1305" s="80"/>
      <c r="V1305" s="80"/>
      <c r="W1305" s="80"/>
    </row>
    <row r="1306" ht="18" customHeight="1" spans="1:23">
      <c r="A1306" s="87" t="str">
        <f t="shared" si="60"/>
        <v/>
      </c>
      <c r="B1306" s="78"/>
      <c r="C1306" s="80"/>
      <c r="D1306" s="79"/>
      <c r="E1306" s="80"/>
      <c r="F1306" s="79"/>
      <c r="G1306" s="25" t="str">
        <f t="shared" si="61"/>
        <v/>
      </c>
      <c r="H1306" s="88"/>
      <c r="I1306" s="93"/>
      <c r="J1306" s="97"/>
      <c r="K1306" s="88"/>
      <c r="L1306" s="25" t="str">
        <f>IF($D1306="","",SUMIFS($H$4:$H1306,$D$4:$D1306,$D1306)+SUMIFS($I$4:$I1306,$D$4:$D1306,$D1306)-SUMIFS($J$4:$J1306,$D$4:$D1306,$D1306)-SUMIFS($K$4:$K1306,$D$4:$D1306,$D1306))</f>
        <v/>
      </c>
      <c r="M1306" s="80"/>
      <c r="N1306" s="80"/>
      <c r="O1306" s="94"/>
      <c r="P1306" s="26" t="str">
        <f t="shared" si="62"/>
        <v/>
      </c>
      <c r="Q1306" s="80"/>
      <c r="R1306" s="80"/>
      <c r="S1306" s="80"/>
      <c r="T1306" s="82"/>
      <c r="U1306" s="80"/>
      <c r="V1306" s="80"/>
      <c r="W1306" s="80"/>
    </row>
    <row r="1307" ht="18" customHeight="1" spans="1:23">
      <c r="A1307" s="87" t="str">
        <f t="shared" si="60"/>
        <v/>
      </c>
      <c r="B1307" s="78"/>
      <c r="C1307" s="80"/>
      <c r="D1307" s="79"/>
      <c r="E1307" s="80"/>
      <c r="F1307" s="79"/>
      <c r="G1307" s="25" t="str">
        <f t="shared" si="61"/>
        <v/>
      </c>
      <c r="H1307" s="88"/>
      <c r="I1307" s="93"/>
      <c r="J1307" s="97"/>
      <c r="K1307" s="88"/>
      <c r="L1307" s="25" t="str">
        <f>IF($D1307="","",SUMIFS($H$4:$H1307,$D$4:$D1307,$D1307)+SUMIFS($I$4:$I1307,$D$4:$D1307,$D1307)-SUMIFS($J$4:$J1307,$D$4:$D1307,$D1307)-SUMIFS($K$4:$K1307,$D$4:$D1307,$D1307))</f>
        <v/>
      </c>
      <c r="M1307" s="80"/>
      <c r="N1307" s="80"/>
      <c r="O1307" s="94"/>
      <c r="P1307" s="26" t="str">
        <f t="shared" si="62"/>
        <v/>
      </c>
      <c r="Q1307" s="80"/>
      <c r="R1307" s="80"/>
      <c r="S1307" s="80"/>
      <c r="T1307" s="82"/>
      <c r="U1307" s="80"/>
      <c r="V1307" s="80"/>
      <c r="W1307" s="80"/>
    </row>
    <row r="1308" ht="18" customHeight="1" spans="1:23">
      <c r="A1308" s="87" t="str">
        <f t="shared" si="60"/>
        <v/>
      </c>
      <c r="B1308" s="78"/>
      <c r="C1308" s="80"/>
      <c r="D1308" s="79"/>
      <c r="E1308" s="80"/>
      <c r="F1308" s="79"/>
      <c r="G1308" s="25" t="str">
        <f t="shared" si="61"/>
        <v/>
      </c>
      <c r="H1308" s="88"/>
      <c r="I1308" s="93"/>
      <c r="J1308" s="97"/>
      <c r="K1308" s="88"/>
      <c r="L1308" s="25" t="str">
        <f>IF($D1308="","",SUMIFS($H$4:$H1308,$D$4:$D1308,$D1308)+SUMIFS($I$4:$I1308,$D$4:$D1308,$D1308)-SUMIFS($J$4:$J1308,$D$4:$D1308,$D1308)-SUMIFS($K$4:$K1308,$D$4:$D1308,$D1308))</f>
        <v/>
      </c>
      <c r="M1308" s="80"/>
      <c r="N1308" s="80"/>
      <c r="O1308" s="94"/>
      <c r="P1308" s="26" t="str">
        <f t="shared" si="62"/>
        <v/>
      </c>
      <c r="Q1308" s="80"/>
      <c r="R1308" s="80"/>
      <c r="S1308" s="80"/>
      <c r="T1308" s="82"/>
      <c r="U1308" s="80"/>
      <c r="V1308" s="80"/>
      <c r="W1308" s="80"/>
    </row>
    <row r="1309" ht="18" customHeight="1" spans="1:23">
      <c r="A1309" s="87" t="str">
        <f t="shared" si="60"/>
        <v/>
      </c>
      <c r="B1309" s="78"/>
      <c r="C1309" s="80"/>
      <c r="D1309" s="79"/>
      <c r="E1309" s="80"/>
      <c r="F1309" s="79"/>
      <c r="G1309" s="25" t="str">
        <f t="shared" si="61"/>
        <v/>
      </c>
      <c r="H1309" s="88"/>
      <c r="I1309" s="93"/>
      <c r="J1309" s="97"/>
      <c r="K1309" s="88"/>
      <c r="L1309" s="25" t="str">
        <f>IF($D1309="","",SUMIFS($H$4:$H1309,$D$4:$D1309,$D1309)+SUMIFS($I$4:$I1309,$D$4:$D1309,$D1309)-SUMIFS($J$4:$J1309,$D$4:$D1309,$D1309)-SUMIFS($K$4:$K1309,$D$4:$D1309,$D1309))</f>
        <v/>
      </c>
      <c r="M1309" s="80"/>
      <c r="N1309" s="80"/>
      <c r="O1309" s="94"/>
      <c r="P1309" s="26" t="str">
        <f t="shared" si="62"/>
        <v/>
      </c>
      <c r="Q1309" s="80"/>
      <c r="R1309" s="80"/>
      <c r="S1309" s="80"/>
      <c r="T1309" s="82"/>
      <c r="U1309" s="80"/>
      <c r="V1309" s="80"/>
      <c r="W1309" s="80"/>
    </row>
    <row r="1310" ht="18" customHeight="1" spans="1:23">
      <c r="A1310" s="87" t="str">
        <f t="shared" si="60"/>
        <v/>
      </c>
      <c r="B1310" s="78"/>
      <c r="C1310" s="80"/>
      <c r="D1310" s="79"/>
      <c r="E1310" s="80"/>
      <c r="F1310" s="79"/>
      <c r="G1310" s="25" t="str">
        <f t="shared" si="61"/>
        <v/>
      </c>
      <c r="H1310" s="88"/>
      <c r="I1310" s="93"/>
      <c r="J1310" s="97"/>
      <c r="K1310" s="88"/>
      <c r="L1310" s="25" t="str">
        <f>IF($D1310="","",SUMIFS($H$4:$H1310,$D$4:$D1310,$D1310)+SUMIFS($I$4:$I1310,$D$4:$D1310,$D1310)-SUMIFS($J$4:$J1310,$D$4:$D1310,$D1310)-SUMIFS($K$4:$K1310,$D$4:$D1310,$D1310))</f>
        <v/>
      </c>
      <c r="M1310" s="80"/>
      <c r="N1310" s="80"/>
      <c r="O1310" s="94"/>
      <c r="P1310" s="26" t="str">
        <f t="shared" si="62"/>
        <v/>
      </c>
      <c r="Q1310" s="80"/>
      <c r="R1310" s="80"/>
      <c r="S1310" s="80"/>
      <c r="T1310" s="82"/>
      <c r="U1310" s="80"/>
      <c r="V1310" s="80"/>
      <c r="W1310" s="80"/>
    </row>
    <row r="1311" ht="18" customHeight="1" spans="1:23">
      <c r="A1311" s="87" t="str">
        <f t="shared" si="60"/>
        <v/>
      </c>
      <c r="B1311" s="78"/>
      <c r="C1311" s="80"/>
      <c r="D1311" s="79"/>
      <c r="E1311" s="80"/>
      <c r="F1311" s="79"/>
      <c r="G1311" s="25" t="str">
        <f t="shared" si="61"/>
        <v/>
      </c>
      <c r="H1311" s="88"/>
      <c r="I1311" s="93"/>
      <c r="J1311" s="97"/>
      <c r="K1311" s="88"/>
      <c r="L1311" s="25" t="str">
        <f>IF($D1311="","",SUMIFS($H$4:$H1311,$D$4:$D1311,$D1311)+SUMIFS($I$4:$I1311,$D$4:$D1311,$D1311)-SUMIFS($J$4:$J1311,$D$4:$D1311,$D1311)-SUMIFS($K$4:$K1311,$D$4:$D1311,$D1311))</f>
        <v/>
      </c>
      <c r="M1311" s="80"/>
      <c r="N1311" s="80"/>
      <c r="O1311" s="94"/>
      <c r="P1311" s="26" t="str">
        <f t="shared" si="62"/>
        <v/>
      </c>
      <c r="Q1311" s="80"/>
      <c r="R1311" s="80"/>
      <c r="S1311" s="80"/>
      <c r="T1311" s="82"/>
      <c r="U1311" s="80"/>
      <c r="V1311" s="80"/>
      <c r="W1311" s="80"/>
    </row>
    <row r="1312" ht="18" customHeight="1" spans="1:23">
      <c r="A1312" s="87" t="str">
        <f t="shared" si="60"/>
        <v/>
      </c>
      <c r="B1312" s="78"/>
      <c r="C1312" s="80"/>
      <c r="D1312" s="79"/>
      <c r="E1312" s="80"/>
      <c r="F1312" s="79"/>
      <c r="G1312" s="25" t="str">
        <f t="shared" si="61"/>
        <v/>
      </c>
      <c r="H1312" s="88"/>
      <c r="I1312" s="93"/>
      <c r="J1312" s="97"/>
      <c r="K1312" s="88"/>
      <c r="L1312" s="25" t="str">
        <f>IF($D1312="","",SUMIFS($H$4:$H1312,$D$4:$D1312,$D1312)+SUMIFS($I$4:$I1312,$D$4:$D1312,$D1312)-SUMIFS($J$4:$J1312,$D$4:$D1312,$D1312)-SUMIFS($K$4:$K1312,$D$4:$D1312,$D1312))</f>
        <v/>
      </c>
      <c r="M1312" s="80"/>
      <c r="N1312" s="80"/>
      <c r="O1312" s="94"/>
      <c r="P1312" s="26" t="str">
        <f t="shared" si="62"/>
        <v/>
      </c>
      <c r="Q1312" s="80"/>
      <c r="R1312" s="80"/>
      <c r="S1312" s="80"/>
      <c r="T1312" s="82"/>
      <c r="U1312" s="80"/>
      <c r="V1312" s="80"/>
      <c r="W1312" s="80"/>
    </row>
    <row r="1313" ht="18" customHeight="1" spans="1:23">
      <c r="A1313" s="87" t="str">
        <f t="shared" si="60"/>
        <v/>
      </c>
      <c r="B1313" s="78"/>
      <c r="C1313" s="80"/>
      <c r="D1313" s="79"/>
      <c r="E1313" s="80"/>
      <c r="F1313" s="79"/>
      <c r="G1313" s="25" t="str">
        <f t="shared" si="61"/>
        <v/>
      </c>
      <c r="H1313" s="88"/>
      <c r="I1313" s="93"/>
      <c r="J1313" s="97"/>
      <c r="K1313" s="88"/>
      <c r="L1313" s="25" t="str">
        <f>IF($D1313="","",SUMIFS($H$4:$H1313,$D$4:$D1313,$D1313)+SUMIFS($I$4:$I1313,$D$4:$D1313,$D1313)-SUMIFS($J$4:$J1313,$D$4:$D1313,$D1313)-SUMIFS($K$4:$K1313,$D$4:$D1313,$D1313))</f>
        <v/>
      </c>
      <c r="M1313" s="80"/>
      <c r="N1313" s="80"/>
      <c r="O1313" s="94"/>
      <c r="P1313" s="26" t="str">
        <f t="shared" si="62"/>
        <v/>
      </c>
      <c r="Q1313" s="80"/>
      <c r="R1313" s="80"/>
      <c r="S1313" s="80"/>
      <c r="T1313" s="82"/>
      <c r="U1313" s="80"/>
      <c r="V1313" s="80"/>
      <c r="W1313" s="80"/>
    </row>
    <row r="1314" ht="18" customHeight="1" spans="1:23">
      <c r="A1314" s="87" t="str">
        <f t="shared" si="60"/>
        <v/>
      </c>
      <c r="B1314" s="78"/>
      <c r="C1314" s="80"/>
      <c r="D1314" s="79"/>
      <c r="E1314" s="80"/>
      <c r="F1314" s="79"/>
      <c r="G1314" s="25" t="str">
        <f t="shared" si="61"/>
        <v/>
      </c>
      <c r="H1314" s="88"/>
      <c r="I1314" s="93"/>
      <c r="J1314" s="97"/>
      <c r="K1314" s="88"/>
      <c r="L1314" s="25" t="str">
        <f>IF($D1314="","",SUMIFS($H$4:$H1314,$D$4:$D1314,$D1314)+SUMIFS($I$4:$I1314,$D$4:$D1314,$D1314)-SUMIFS($J$4:$J1314,$D$4:$D1314,$D1314)-SUMIFS($K$4:$K1314,$D$4:$D1314,$D1314))</f>
        <v/>
      </c>
      <c r="M1314" s="80"/>
      <c r="N1314" s="80"/>
      <c r="O1314" s="94"/>
      <c r="P1314" s="26" t="str">
        <f t="shared" si="62"/>
        <v/>
      </c>
      <c r="Q1314" s="80"/>
      <c r="R1314" s="80"/>
      <c r="S1314" s="80"/>
      <c r="T1314" s="82"/>
      <c r="U1314" s="80"/>
      <c r="V1314" s="80"/>
      <c r="W1314" s="80"/>
    </row>
    <row r="1315" ht="18" customHeight="1" spans="1:23">
      <c r="A1315" s="87" t="str">
        <f t="shared" si="60"/>
        <v/>
      </c>
      <c r="B1315" s="78"/>
      <c r="C1315" s="80"/>
      <c r="D1315" s="79"/>
      <c r="E1315" s="80"/>
      <c r="F1315" s="79"/>
      <c r="G1315" s="25" t="str">
        <f t="shared" si="61"/>
        <v/>
      </c>
      <c r="H1315" s="88"/>
      <c r="I1315" s="93"/>
      <c r="J1315" s="97"/>
      <c r="K1315" s="88"/>
      <c r="L1315" s="25" t="str">
        <f>IF($D1315="","",SUMIFS($H$4:$H1315,$D$4:$D1315,$D1315)+SUMIFS($I$4:$I1315,$D$4:$D1315,$D1315)-SUMIFS($J$4:$J1315,$D$4:$D1315,$D1315)-SUMIFS($K$4:$K1315,$D$4:$D1315,$D1315))</f>
        <v/>
      </c>
      <c r="M1315" s="80"/>
      <c r="N1315" s="80"/>
      <c r="O1315" s="94"/>
      <c r="P1315" s="26" t="str">
        <f t="shared" si="62"/>
        <v/>
      </c>
      <c r="Q1315" s="80"/>
      <c r="R1315" s="80"/>
      <c r="S1315" s="80"/>
      <c r="T1315" s="82"/>
      <c r="U1315" s="80"/>
      <c r="V1315" s="80"/>
      <c r="W1315" s="80"/>
    </row>
    <row r="1316" ht="18" customHeight="1" spans="1:23">
      <c r="A1316" s="87" t="str">
        <f t="shared" si="60"/>
        <v/>
      </c>
      <c r="B1316" s="78"/>
      <c r="C1316" s="80"/>
      <c r="D1316" s="79"/>
      <c r="E1316" s="80"/>
      <c r="F1316" s="79"/>
      <c r="G1316" s="25" t="str">
        <f t="shared" si="61"/>
        <v/>
      </c>
      <c r="H1316" s="88"/>
      <c r="I1316" s="93"/>
      <c r="J1316" s="97"/>
      <c r="K1316" s="88"/>
      <c r="L1316" s="25" t="str">
        <f>IF($D1316="","",SUMIFS($H$4:$H1316,$D$4:$D1316,$D1316)+SUMIFS($I$4:$I1316,$D$4:$D1316,$D1316)-SUMIFS($J$4:$J1316,$D$4:$D1316,$D1316)-SUMIFS($K$4:$K1316,$D$4:$D1316,$D1316))</f>
        <v/>
      </c>
      <c r="M1316" s="80"/>
      <c r="N1316" s="80"/>
      <c r="O1316" s="94"/>
      <c r="P1316" s="26" t="str">
        <f t="shared" si="62"/>
        <v/>
      </c>
      <c r="Q1316" s="80"/>
      <c r="R1316" s="80"/>
      <c r="S1316" s="80"/>
      <c r="T1316" s="82"/>
      <c r="U1316" s="80"/>
      <c r="V1316" s="80"/>
      <c r="W1316" s="80"/>
    </row>
    <row r="1317" ht="18" customHeight="1" spans="1:23">
      <c r="A1317" s="87" t="str">
        <f t="shared" si="60"/>
        <v/>
      </c>
      <c r="B1317" s="78"/>
      <c r="C1317" s="80"/>
      <c r="D1317" s="79"/>
      <c r="E1317" s="80"/>
      <c r="F1317" s="79"/>
      <c r="G1317" s="25" t="str">
        <f t="shared" si="61"/>
        <v/>
      </c>
      <c r="H1317" s="88"/>
      <c r="I1317" s="93"/>
      <c r="J1317" s="97"/>
      <c r="K1317" s="88"/>
      <c r="L1317" s="25" t="str">
        <f>IF($D1317="","",SUMIFS($H$4:$H1317,$D$4:$D1317,$D1317)+SUMIFS($I$4:$I1317,$D$4:$D1317,$D1317)-SUMIFS($J$4:$J1317,$D$4:$D1317,$D1317)-SUMIFS($K$4:$K1317,$D$4:$D1317,$D1317))</f>
        <v/>
      </c>
      <c r="M1317" s="80"/>
      <c r="N1317" s="80"/>
      <c r="O1317" s="94"/>
      <c r="P1317" s="26" t="str">
        <f t="shared" si="62"/>
        <v/>
      </c>
      <c r="Q1317" s="80"/>
      <c r="R1317" s="80"/>
      <c r="S1317" s="80"/>
      <c r="T1317" s="82"/>
      <c r="U1317" s="80"/>
      <c r="V1317" s="80"/>
      <c r="W1317" s="80"/>
    </row>
    <row r="1318" ht="18" customHeight="1" spans="1:23">
      <c r="A1318" s="87" t="str">
        <f t="shared" si="60"/>
        <v/>
      </c>
      <c r="B1318" s="78"/>
      <c r="C1318" s="80"/>
      <c r="D1318" s="79"/>
      <c r="E1318" s="80"/>
      <c r="F1318" s="79"/>
      <c r="G1318" s="25" t="str">
        <f t="shared" si="61"/>
        <v/>
      </c>
      <c r="H1318" s="88"/>
      <c r="I1318" s="93"/>
      <c r="J1318" s="97"/>
      <c r="K1318" s="88"/>
      <c r="L1318" s="25" t="str">
        <f>IF($D1318="","",SUMIFS($H$4:$H1318,$D$4:$D1318,$D1318)+SUMIFS($I$4:$I1318,$D$4:$D1318,$D1318)-SUMIFS($J$4:$J1318,$D$4:$D1318,$D1318)-SUMIFS($K$4:$K1318,$D$4:$D1318,$D1318))</f>
        <v/>
      </c>
      <c r="M1318" s="80"/>
      <c r="N1318" s="80"/>
      <c r="O1318" s="94"/>
      <c r="P1318" s="26" t="str">
        <f t="shared" si="62"/>
        <v/>
      </c>
      <c r="Q1318" s="80"/>
      <c r="R1318" s="80"/>
      <c r="S1318" s="80"/>
      <c r="T1318" s="82"/>
      <c r="U1318" s="80"/>
      <c r="V1318" s="80"/>
      <c r="W1318" s="80"/>
    </row>
    <row r="1319" ht="18" customHeight="1" spans="1:23">
      <c r="A1319" s="87" t="str">
        <f t="shared" si="60"/>
        <v/>
      </c>
      <c r="B1319" s="78"/>
      <c r="C1319" s="80"/>
      <c r="D1319" s="79"/>
      <c r="E1319" s="80"/>
      <c r="F1319" s="79"/>
      <c r="G1319" s="25" t="str">
        <f t="shared" si="61"/>
        <v/>
      </c>
      <c r="H1319" s="88"/>
      <c r="I1319" s="93"/>
      <c r="J1319" s="97"/>
      <c r="K1319" s="88"/>
      <c r="L1319" s="25" t="str">
        <f>IF($D1319="","",SUMIFS($H$4:$H1319,$D$4:$D1319,$D1319)+SUMIFS($I$4:$I1319,$D$4:$D1319,$D1319)-SUMIFS($J$4:$J1319,$D$4:$D1319,$D1319)-SUMIFS($K$4:$K1319,$D$4:$D1319,$D1319))</f>
        <v/>
      </c>
      <c r="M1319" s="80"/>
      <c r="N1319" s="80"/>
      <c r="O1319" s="94"/>
      <c r="P1319" s="26" t="str">
        <f t="shared" si="62"/>
        <v/>
      </c>
      <c r="Q1319" s="80"/>
      <c r="R1319" s="80"/>
      <c r="S1319" s="80"/>
      <c r="T1319" s="82"/>
      <c r="U1319" s="80"/>
      <c r="V1319" s="80"/>
      <c r="W1319" s="80"/>
    </row>
    <row r="1320" ht="18" customHeight="1" spans="1:23">
      <c r="A1320" s="87" t="str">
        <f t="shared" si="60"/>
        <v/>
      </c>
      <c r="B1320" s="78"/>
      <c r="C1320" s="80"/>
      <c r="D1320" s="79"/>
      <c r="E1320" s="80"/>
      <c r="F1320" s="79"/>
      <c r="G1320" s="25" t="str">
        <f t="shared" si="61"/>
        <v/>
      </c>
      <c r="H1320" s="88"/>
      <c r="I1320" s="93"/>
      <c r="J1320" s="97"/>
      <c r="K1320" s="88"/>
      <c r="L1320" s="25" t="str">
        <f>IF($D1320="","",SUMIFS($H$4:$H1320,$D$4:$D1320,$D1320)+SUMIFS($I$4:$I1320,$D$4:$D1320,$D1320)-SUMIFS($J$4:$J1320,$D$4:$D1320,$D1320)-SUMIFS($K$4:$K1320,$D$4:$D1320,$D1320))</f>
        <v/>
      </c>
      <c r="M1320" s="80"/>
      <c r="N1320" s="80"/>
      <c r="O1320" s="94"/>
      <c r="P1320" s="26" t="str">
        <f t="shared" si="62"/>
        <v/>
      </c>
      <c r="Q1320" s="80"/>
      <c r="R1320" s="80"/>
      <c r="S1320" s="80"/>
      <c r="T1320" s="82"/>
      <c r="U1320" s="80"/>
      <c r="V1320" s="80"/>
      <c r="W1320" s="80"/>
    </row>
    <row r="1321" ht="18" customHeight="1" spans="1:23">
      <c r="A1321" s="87" t="str">
        <f t="shared" si="60"/>
        <v/>
      </c>
      <c r="B1321" s="78"/>
      <c r="C1321" s="80"/>
      <c r="D1321" s="79"/>
      <c r="E1321" s="80"/>
      <c r="F1321" s="79"/>
      <c r="G1321" s="25" t="str">
        <f t="shared" si="61"/>
        <v/>
      </c>
      <c r="H1321" s="88"/>
      <c r="I1321" s="93"/>
      <c r="J1321" s="97"/>
      <c r="K1321" s="88"/>
      <c r="L1321" s="25" t="str">
        <f>IF($D1321="","",SUMIFS($H$4:$H1321,$D$4:$D1321,$D1321)+SUMIFS($I$4:$I1321,$D$4:$D1321,$D1321)-SUMIFS($J$4:$J1321,$D$4:$D1321,$D1321)-SUMIFS($K$4:$K1321,$D$4:$D1321,$D1321))</f>
        <v/>
      </c>
      <c r="M1321" s="80"/>
      <c r="N1321" s="80"/>
      <c r="O1321" s="94"/>
      <c r="P1321" s="26" t="str">
        <f t="shared" si="62"/>
        <v/>
      </c>
      <c r="Q1321" s="80"/>
      <c r="R1321" s="80"/>
      <c r="S1321" s="80"/>
      <c r="T1321" s="82"/>
      <c r="U1321" s="80"/>
      <c r="V1321" s="80"/>
      <c r="W1321" s="80"/>
    </row>
    <row r="1322" ht="18" customHeight="1" spans="1:23">
      <c r="A1322" s="87" t="str">
        <f t="shared" si="60"/>
        <v/>
      </c>
      <c r="B1322" s="78"/>
      <c r="C1322" s="80"/>
      <c r="D1322" s="79"/>
      <c r="E1322" s="80"/>
      <c r="F1322" s="79"/>
      <c r="G1322" s="25" t="str">
        <f t="shared" si="61"/>
        <v/>
      </c>
      <c r="H1322" s="88"/>
      <c r="I1322" s="93"/>
      <c r="J1322" s="97"/>
      <c r="K1322" s="88"/>
      <c r="L1322" s="25" t="str">
        <f>IF($D1322="","",SUMIFS($H$4:$H1322,$D$4:$D1322,$D1322)+SUMIFS($I$4:$I1322,$D$4:$D1322,$D1322)-SUMIFS($J$4:$J1322,$D$4:$D1322,$D1322)-SUMIFS($K$4:$K1322,$D$4:$D1322,$D1322))</f>
        <v/>
      </c>
      <c r="M1322" s="80"/>
      <c r="N1322" s="80"/>
      <c r="O1322" s="94"/>
      <c r="P1322" s="26" t="str">
        <f t="shared" si="62"/>
        <v/>
      </c>
      <c r="Q1322" s="80"/>
      <c r="R1322" s="80"/>
      <c r="S1322" s="80"/>
      <c r="T1322" s="82"/>
      <c r="U1322" s="80"/>
      <c r="V1322" s="80"/>
      <c r="W1322" s="80"/>
    </row>
    <row r="1323" ht="18" customHeight="1" spans="1:23">
      <c r="A1323" s="87" t="str">
        <f t="shared" si="60"/>
        <v/>
      </c>
      <c r="B1323" s="78"/>
      <c r="C1323" s="80"/>
      <c r="D1323" s="79"/>
      <c r="E1323" s="80"/>
      <c r="F1323" s="79"/>
      <c r="G1323" s="25" t="str">
        <f t="shared" si="61"/>
        <v/>
      </c>
      <c r="H1323" s="88"/>
      <c r="I1323" s="93"/>
      <c r="J1323" s="97"/>
      <c r="K1323" s="88"/>
      <c r="L1323" s="25" t="str">
        <f>IF($D1323="","",SUMIFS($H$4:$H1323,$D$4:$D1323,$D1323)+SUMIFS($I$4:$I1323,$D$4:$D1323,$D1323)-SUMIFS($J$4:$J1323,$D$4:$D1323,$D1323)-SUMIFS($K$4:$K1323,$D$4:$D1323,$D1323))</f>
        <v/>
      </c>
      <c r="M1323" s="80"/>
      <c r="N1323" s="80"/>
      <c r="O1323" s="94"/>
      <c r="P1323" s="26" t="str">
        <f t="shared" si="62"/>
        <v/>
      </c>
      <c r="Q1323" s="80"/>
      <c r="R1323" s="80"/>
      <c r="S1323" s="80"/>
      <c r="T1323" s="82"/>
      <c r="U1323" s="80"/>
      <c r="V1323" s="80"/>
      <c r="W1323" s="80"/>
    </row>
    <row r="1324" ht="18" customHeight="1" spans="1:23">
      <c r="A1324" s="87" t="str">
        <f t="shared" si="60"/>
        <v/>
      </c>
      <c r="B1324" s="78"/>
      <c r="C1324" s="80"/>
      <c r="D1324" s="79"/>
      <c r="E1324" s="80"/>
      <c r="F1324" s="79"/>
      <c r="G1324" s="25" t="str">
        <f t="shared" si="61"/>
        <v/>
      </c>
      <c r="H1324" s="88"/>
      <c r="I1324" s="93"/>
      <c r="J1324" s="97"/>
      <c r="K1324" s="88"/>
      <c r="L1324" s="25" t="str">
        <f>IF($D1324="","",SUMIFS($H$4:$H1324,$D$4:$D1324,$D1324)+SUMIFS($I$4:$I1324,$D$4:$D1324,$D1324)-SUMIFS($J$4:$J1324,$D$4:$D1324,$D1324)-SUMIFS($K$4:$K1324,$D$4:$D1324,$D1324))</f>
        <v/>
      </c>
      <c r="M1324" s="80"/>
      <c r="N1324" s="80"/>
      <c r="O1324" s="94"/>
      <c r="P1324" s="26" t="str">
        <f t="shared" si="62"/>
        <v/>
      </c>
      <c r="Q1324" s="80"/>
      <c r="R1324" s="80"/>
      <c r="S1324" s="80"/>
      <c r="T1324" s="82"/>
      <c r="U1324" s="80"/>
      <c r="V1324" s="80"/>
      <c r="W1324" s="80"/>
    </row>
    <row r="1325" ht="18" customHeight="1" spans="1:23">
      <c r="A1325" s="87" t="str">
        <f t="shared" si="60"/>
        <v/>
      </c>
      <c r="B1325" s="78"/>
      <c r="C1325" s="80"/>
      <c r="D1325" s="79"/>
      <c r="E1325" s="80"/>
      <c r="F1325" s="79"/>
      <c r="G1325" s="25" t="str">
        <f t="shared" si="61"/>
        <v/>
      </c>
      <c r="H1325" s="88"/>
      <c r="I1325" s="93"/>
      <c r="J1325" s="97"/>
      <c r="K1325" s="88"/>
      <c r="L1325" s="25" t="str">
        <f>IF($D1325="","",SUMIFS($H$4:$H1325,$D$4:$D1325,$D1325)+SUMIFS($I$4:$I1325,$D$4:$D1325,$D1325)-SUMIFS($J$4:$J1325,$D$4:$D1325,$D1325)-SUMIFS($K$4:$K1325,$D$4:$D1325,$D1325))</f>
        <v/>
      </c>
      <c r="M1325" s="80"/>
      <c r="N1325" s="80"/>
      <c r="O1325" s="94"/>
      <c r="P1325" s="26" t="str">
        <f t="shared" si="62"/>
        <v/>
      </c>
      <c r="Q1325" s="80"/>
      <c r="R1325" s="80"/>
      <c r="S1325" s="80"/>
      <c r="T1325" s="82"/>
      <c r="U1325" s="80"/>
      <c r="V1325" s="80"/>
      <c r="W1325" s="80"/>
    </row>
    <row r="1326" ht="18" customHeight="1" spans="1:23">
      <c r="A1326" s="87" t="str">
        <f t="shared" si="60"/>
        <v/>
      </c>
      <c r="B1326" s="78"/>
      <c r="C1326" s="80"/>
      <c r="D1326" s="79"/>
      <c r="E1326" s="80"/>
      <c r="F1326" s="79"/>
      <c r="G1326" s="25" t="str">
        <f t="shared" si="61"/>
        <v/>
      </c>
      <c r="H1326" s="88"/>
      <c r="I1326" s="93"/>
      <c r="J1326" s="97"/>
      <c r="K1326" s="88"/>
      <c r="L1326" s="25" t="str">
        <f>IF($D1326="","",SUMIFS($H$4:$H1326,$D$4:$D1326,$D1326)+SUMIFS($I$4:$I1326,$D$4:$D1326,$D1326)-SUMIFS($J$4:$J1326,$D$4:$D1326,$D1326)-SUMIFS($K$4:$K1326,$D$4:$D1326,$D1326))</f>
        <v/>
      </c>
      <c r="M1326" s="80"/>
      <c r="N1326" s="80"/>
      <c r="O1326" s="94"/>
      <c r="P1326" s="26" t="str">
        <f t="shared" si="62"/>
        <v/>
      </c>
      <c r="Q1326" s="80"/>
      <c r="R1326" s="80"/>
      <c r="S1326" s="80"/>
      <c r="T1326" s="82"/>
      <c r="U1326" s="80"/>
      <c r="V1326" s="80"/>
      <c r="W1326" s="80"/>
    </row>
    <row r="1327" ht="18" customHeight="1" spans="1:23">
      <c r="A1327" s="87" t="str">
        <f t="shared" si="60"/>
        <v/>
      </c>
      <c r="B1327" s="78"/>
      <c r="C1327" s="80"/>
      <c r="D1327" s="79"/>
      <c r="E1327" s="80"/>
      <c r="F1327" s="79"/>
      <c r="G1327" s="25" t="str">
        <f t="shared" si="61"/>
        <v/>
      </c>
      <c r="H1327" s="88"/>
      <c r="I1327" s="93"/>
      <c r="J1327" s="97"/>
      <c r="K1327" s="88"/>
      <c r="L1327" s="25" t="str">
        <f>IF($D1327="","",SUMIFS($H$4:$H1327,$D$4:$D1327,$D1327)+SUMIFS($I$4:$I1327,$D$4:$D1327,$D1327)-SUMIFS($J$4:$J1327,$D$4:$D1327,$D1327)-SUMIFS($K$4:$K1327,$D$4:$D1327,$D1327))</f>
        <v/>
      </c>
      <c r="M1327" s="80"/>
      <c r="N1327" s="80"/>
      <c r="O1327" s="94"/>
      <c r="P1327" s="26" t="str">
        <f t="shared" si="62"/>
        <v/>
      </c>
      <c r="Q1327" s="80"/>
      <c r="R1327" s="80"/>
      <c r="S1327" s="80"/>
      <c r="T1327" s="82"/>
      <c r="U1327" s="80"/>
      <c r="V1327" s="80"/>
      <c r="W1327" s="80"/>
    </row>
    <row r="1328" ht="18" customHeight="1" spans="1:23">
      <c r="A1328" s="87" t="str">
        <f t="shared" si="60"/>
        <v/>
      </c>
      <c r="B1328" s="78"/>
      <c r="C1328" s="80"/>
      <c r="D1328" s="79"/>
      <c r="E1328" s="80"/>
      <c r="F1328" s="79"/>
      <c r="G1328" s="25" t="str">
        <f t="shared" si="61"/>
        <v/>
      </c>
      <c r="H1328" s="88"/>
      <c r="I1328" s="93"/>
      <c r="J1328" s="97"/>
      <c r="K1328" s="88"/>
      <c r="L1328" s="25" t="str">
        <f>IF($D1328="","",SUMIFS($H$4:$H1328,$D$4:$D1328,$D1328)+SUMIFS($I$4:$I1328,$D$4:$D1328,$D1328)-SUMIFS($J$4:$J1328,$D$4:$D1328,$D1328)-SUMIFS($K$4:$K1328,$D$4:$D1328,$D1328))</f>
        <v/>
      </c>
      <c r="M1328" s="80"/>
      <c r="N1328" s="80"/>
      <c r="O1328" s="94"/>
      <c r="P1328" s="26" t="str">
        <f t="shared" si="62"/>
        <v/>
      </c>
      <c r="Q1328" s="80"/>
      <c r="R1328" s="80"/>
      <c r="S1328" s="80"/>
      <c r="T1328" s="82"/>
      <c r="U1328" s="80"/>
      <c r="V1328" s="80"/>
      <c r="W1328" s="80"/>
    </row>
    <row r="1329" ht="18" customHeight="1" spans="1:23">
      <c r="A1329" s="87" t="str">
        <f t="shared" si="60"/>
        <v/>
      </c>
      <c r="B1329" s="78"/>
      <c r="C1329" s="80"/>
      <c r="D1329" s="79"/>
      <c r="E1329" s="80"/>
      <c r="F1329" s="79"/>
      <c r="G1329" s="25" t="str">
        <f t="shared" si="61"/>
        <v/>
      </c>
      <c r="H1329" s="88"/>
      <c r="I1329" s="93"/>
      <c r="J1329" s="97"/>
      <c r="K1329" s="88"/>
      <c r="L1329" s="25" t="str">
        <f>IF($D1329="","",SUMIFS($H$4:$H1329,$D$4:$D1329,$D1329)+SUMIFS($I$4:$I1329,$D$4:$D1329,$D1329)-SUMIFS($J$4:$J1329,$D$4:$D1329,$D1329)-SUMIFS($K$4:$K1329,$D$4:$D1329,$D1329))</f>
        <v/>
      </c>
      <c r="M1329" s="80"/>
      <c r="N1329" s="80"/>
      <c r="O1329" s="94"/>
      <c r="P1329" s="26" t="str">
        <f t="shared" si="62"/>
        <v/>
      </c>
      <c r="Q1329" s="80"/>
      <c r="R1329" s="80"/>
      <c r="S1329" s="80"/>
      <c r="T1329" s="82"/>
      <c r="U1329" s="80"/>
      <c r="V1329" s="80"/>
      <c r="W1329" s="80"/>
    </row>
    <row r="1330" ht="18" customHeight="1" spans="1:23">
      <c r="A1330" s="87" t="str">
        <f t="shared" si="60"/>
        <v/>
      </c>
      <c r="B1330" s="78"/>
      <c r="C1330" s="80"/>
      <c r="D1330" s="79"/>
      <c r="E1330" s="80"/>
      <c r="F1330" s="79"/>
      <c r="G1330" s="25" t="str">
        <f t="shared" si="61"/>
        <v/>
      </c>
      <c r="H1330" s="88"/>
      <c r="I1330" s="93"/>
      <c r="J1330" s="97"/>
      <c r="K1330" s="88"/>
      <c r="L1330" s="25" t="str">
        <f>IF($D1330="","",SUMIFS($H$4:$H1330,$D$4:$D1330,$D1330)+SUMIFS($I$4:$I1330,$D$4:$D1330,$D1330)-SUMIFS($J$4:$J1330,$D$4:$D1330,$D1330)-SUMIFS($K$4:$K1330,$D$4:$D1330,$D1330))</f>
        <v/>
      </c>
      <c r="M1330" s="80"/>
      <c r="N1330" s="80"/>
      <c r="O1330" s="94"/>
      <c r="P1330" s="26" t="str">
        <f t="shared" si="62"/>
        <v/>
      </c>
      <c r="Q1330" s="80"/>
      <c r="R1330" s="80"/>
      <c r="S1330" s="80"/>
      <c r="T1330" s="82"/>
      <c r="U1330" s="80"/>
      <c r="V1330" s="80"/>
      <c r="W1330" s="80"/>
    </row>
    <row r="1331" ht="18" customHeight="1" spans="1:23">
      <c r="A1331" s="87" t="str">
        <f t="shared" si="60"/>
        <v/>
      </c>
      <c r="B1331" s="78"/>
      <c r="C1331" s="80"/>
      <c r="D1331" s="79"/>
      <c r="E1331" s="80"/>
      <c r="F1331" s="79"/>
      <c r="G1331" s="25" t="str">
        <f t="shared" si="61"/>
        <v/>
      </c>
      <c r="H1331" s="88"/>
      <c r="I1331" s="93"/>
      <c r="J1331" s="97"/>
      <c r="K1331" s="88"/>
      <c r="L1331" s="25" t="str">
        <f>IF($D1331="","",SUMIFS($H$4:$H1331,$D$4:$D1331,$D1331)+SUMIFS($I$4:$I1331,$D$4:$D1331,$D1331)-SUMIFS($J$4:$J1331,$D$4:$D1331,$D1331)-SUMIFS($K$4:$K1331,$D$4:$D1331,$D1331))</f>
        <v/>
      </c>
      <c r="M1331" s="80"/>
      <c r="N1331" s="80"/>
      <c r="O1331" s="94"/>
      <c r="P1331" s="26" t="str">
        <f t="shared" si="62"/>
        <v/>
      </c>
      <c r="Q1331" s="80"/>
      <c r="R1331" s="80"/>
      <c r="S1331" s="80"/>
      <c r="T1331" s="82"/>
      <c r="U1331" s="80"/>
      <c r="V1331" s="80"/>
      <c r="W1331" s="80"/>
    </row>
    <row r="1332" ht="18" customHeight="1" spans="1:23">
      <c r="A1332" s="87" t="str">
        <f t="shared" si="60"/>
        <v/>
      </c>
      <c r="B1332" s="78"/>
      <c r="C1332" s="80"/>
      <c r="D1332" s="79"/>
      <c r="E1332" s="80"/>
      <c r="F1332" s="79"/>
      <c r="G1332" s="25" t="str">
        <f t="shared" si="61"/>
        <v/>
      </c>
      <c r="H1332" s="88"/>
      <c r="I1332" s="93"/>
      <c r="J1332" s="97"/>
      <c r="K1332" s="88"/>
      <c r="L1332" s="25" t="str">
        <f>IF($D1332="","",SUMIFS($H$4:$H1332,$D$4:$D1332,$D1332)+SUMIFS($I$4:$I1332,$D$4:$D1332,$D1332)-SUMIFS($J$4:$J1332,$D$4:$D1332,$D1332)-SUMIFS($K$4:$K1332,$D$4:$D1332,$D1332))</f>
        <v/>
      </c>
      <c r="M1332" s="80"/>
      <c r="N1332" s="80"/>
      <c r="O1332" s="94"/>
      <c r="P1332" s="26" t="str">
        <f t="shared" si="62"/>
        <v/>
      </c>
      <c r="Q1332" s="80"/>
      <c r="R1332" s="80"/>
      <c r="S1332" s="80"/>
      <c r="T1332" s="82"/>
      <c r="U1332" s="80"/>
      <c r="V1332" s="80"/>
      <c r="W1332" s="80"/>
    </row>
    <row r="1333" ht="18" customHeight="1" spans="1:23">
      <c r="A1333" s="87" t="str">
        <f t="shared" si="60"/>
        <v/>
      </c>
      <c r="B1333" s="78"/>
      <c r="C1333" s="80"/>
      <c r="D1333" s="79"/>
      <c r="E1333" s="80"/>
      <c r="F1333" s="79"/>
      <c r="G1333" s="25" t="str">
        <f t="shared" si="61"/>
        <v/>
      </c>
      <c r="H1333" s="88"/>
      <c r="I1333" s="93"/>
      <c r="J1333" s="97"/>
      <c r="K1333" s="88"/>
      <c r="L1333" s="25" t="str">
        <f>IF($D1333="","",SUMIFS($H$4:$H1333,$D$4:$D1333,$D1333)+SUMIFS($I$4:$I1333,$D$4:$D1333,$D1333)-SUMIFS($J$4:$J1333,$D$4:$D1333,$D1333)-SUMIFS($K$4:$K1333,$D$4:$D1333,$D1333))</f>
        <v/>
      </c>
      <c r="M1333" s="80"/>
      <c r="N1333" s="80"/>
      <c r="O1333" s="94"/>
      <c r="P1333" s="26" t="str">
        <f t="shared" si="62"/>
        <v/>
      </c>
      <c r="Q1333" s="80"/>
      <c r="R1333" s="80"/>
      <c r="S1333" s="80"/>
      <c r="T1333" s="82"/>
      <c r="U1333" s="80"/>
      <c r="V1333" s="80"/>
      <c r="W1333" s="80"/>
    </row>
    <row r="1334" ht="18" customHeight="1" spans="1:23">
      <c r="A1334" s="87" t="str">
        <f t="shared" si="60"/>
        <v/>
      </c>
      <c r="B1334" s="78"/>
      <c r="C1334" s="80"/>
      <c r="D1334" s="79"/>
      <c r="E1334" s="80"/>
      <c r="F1334" s="79"/>
      <c r="G1334" s="25" t="str">
        <f t="shared" si="61"/>
        <v/>
      </c>
      <c r="H1334" s="88"/>
      <c r="I1334" s="93"/>
      <c r="J1334" s="97"/>
      <c r="K1334" s="88"/>
      <c r="L1334" s="25" t="str">
        <f>IF($D1334="","",SUMIFS($H$4:$H1334,$D$4:$D1334,$D1334)+SUMIFS($I$4:$I1334,$D$4:$D1334,$D1334)-SUMIFS($J$4:$J1334,$D$4:$D1334,$D1334)-SUMIFS($K$4:$K1334,$D$4:$D1334,$D1334))</f>
        <v/>
      </c>
      <c r="M1334" s="80"/>
      <c r="N1334" s="80"/>
      <c r="O1334" s="94"/>
      <c r="P1334" s="26" t="str">
        <f t="shared" si="62"/>
        <v/>
      </c>
      <c r="Q1334" s="80"/>
      <c r="R1334" s="80"/>
      <c r="S1334" s="80"/>
      <c r="T1334" s="82"/>
      <c r="U1334" s="80"/>
      <c r="V1334" s="80"/>
      <c r="W1334" s="80"/>
    </row>
    <row r="1335" ht="18" customHeight="1" spans="1:23">
      <c r="A1335" s="87" t="str">
        <f t="shared" si="60"/>
        <v/>
      </c>
      <c r="B1335" s="78"/>
      <c r="C1335" s="80"/>
      <c r="D1335" s="79"/>
      <c r="E1335" s="80"/>
      <c r="F1335" s="79"/>
      <c r="G1335" s="25" t="str">
        <f t="shared" si="61"/>
        <v/>
      </c>
      <c r="H1335" s="88"/>
      <c r="I1335" s="93"/>
      <c r="J1335" s="97"/>
      <c r="K1335" s="88"/>
      <c r="L1335" s="25" t="str">
        <f>IF($D1335="","",SUMIFS($H$4:$H1335,$D$4:$D1335,$D1335)+SUMIFS($I$4:$I1335,$D$4:$D1335,$D1335)-SUMIFS($J$4:$J1335,$D$4:$D1335,$D1335)-SUMIFS($K$4:$K1335,$D$4:$D1335,$D1335))</f>
        <v/>
      </c>
      <c r="M1335" s="80"/>
      <c r="N1335" s="80"/>
      <c r="O1335" s="94"/>
      <c r="P1335" s="26" t="str">
        <f t="shared" si="62"/>
        <v/>
      </c>
      <c r="Q1335" s="80"/>
      <c r="R1335" s="80"/>
      <c r="S1335" s="80"/>
      <c r="T1335" s="82"/>
      <c r="U1335" s="80"/>
      <c r="V1335" s="80"/>
      <c r="W1335" s="80"/>
    </row>
    <row r="1336" ht="18" customHeight="1" spans="1:23">
      <c r="A1336" s="87" t="str">
        <f t="shared" si="60"/>
        <v/>
      </c>
      <c r="B1336" s="78"/>
      <c r="C1336" s="80"/>
      <c r="D1336" s="79"/>
      <c r="E1336" s="80"/>
      <c r="F1336" s="79"/>
      <c r="G1336" s="25" t="str">
        <f t="shared" si="61"/>
        <v/>
      </c>
      <c r="H1336" s="88"/>
      <c r="I1336" s="93"/>
      <c r="J1336" s="97"/>
      <c r="K1336" s="88"/>
      <c r="L1336" s="25" t="str">
        <f>IF($D1336="","",SUMIFS($H$4:$H1336,$D$4:$D1336,$D1336)+SUMIFS($I$4:$I1336,$D$4:$D1336,$D1336)-SUMIFS($J$4:$J1336,$D$4:$D1336,$D1336)-SUMIFS($K$4:$K1336,$D$4:$D1336,$D1336))</f>
        <v/>
      </c>
      <c r="M1336" s="80"/>
      <c r="N1336" s="80"/>
      <c r="O1336" s="94"/>
      <c r="P1336" s="26" t="str">
        <f t="shared" si="62"/>
        <v/>
      </c>
      <c r="Q1336" s="80"/>
      <c r="R1336" s="80"/>
      <c r="S1336" s="80"/>
      <c r="T1336" s="82"/>
      <c r="U1336" s="80"/>
      <c r="V1336" s="80"/>
      <c r="W1336" s="80"/>
    </row>
    <row r="1337" ht="18" customHeight="1" spans="1:23">
      <c r="A1337" s="87" t="str">
        <f t="shared" si="60"/>
        <v/>
      </c>
      <c r="B1337" s="78"/>
      <c r="C1337" s="80"/>
      <c r="D1337" s="79"/>
      <c r="E1337" s="80"/>
      <c r="F1337" s="79"/>
      <c r="G1337" s="25" t="str">
        <f t="shared" si="61"/>
        <v/>
      </c>
      <c r="H1337" s="88"/>
      <c r="I1337" s="93"/>
      <c r="J1337" s="97"/>
      <c r="K1337" s="88"/>
      <c r="L1337" s="25" t="str">
        <f>IF($D1337="","",SUMIFS($H$4:$H1337,$D$4:$D1337,$D1337)+SUMIFS($I$4:$I1337,$D$4:$D1337,$D1337)-SUMIFS($J$4:$J1337,$D$4:$D1337,$D1337)-SUMIFS($K$4:$K1337,$D$4:$D1337,$D1337))</f>
        <v/>
      </c>
      <c r="M1337" s="80"/>
      <c r="N1337" s="80"/>
      <c r="O1337" s="94"/>
      <c r="P1337" s="26" t="str">
        <f t="shared" si="62"/>
        <v/>
      </c>
      <c r="Q1337" s="80"/>
      <c r="R1337" s="80"/>
      <c r="S1337" s="80"/>
      <c r="T1337" s="82"/>
      <c r="U1337" s="80"/>
      <c r="V1337" s="80"/>
      <c r="W1337" s="80"/>
    </row>
    <row r="1338" ht="18" customHeight="1" spans="1:23">
      <c r="A1338" s="87" t="str">
        <f t="shared" si="60"/>
        <v/>
      </c>
      <c r="B1338" s="78"/>
      <c r="C1338" s="80"/>
      <c r="D1338" s="79"/>
      <c r="E1338" s="80"/>
      <c r="F1338" s="79"/>
      <c r="G1338" s="25" t="str">
        <f t="shared" si="61"/>
        <v/>
      </c>
      <c r="H1338" s="88"/>
      <c r="I1338" s="93"/>
      <c r="J1338" s="97"/>
      <c r="K1338" s="88"/>
      <c r="L1338" s="25" t="str">
        <f>IF($D1338="","",SUMIFS($H$4:$H1338,$D$4:$D1338,$D1338)+SUMIFS($I$4:$I1338,$D$4:$D1338,$D1338)-SUMIFS($J$4:$J1338,$D$4:$D1338,$D1338)-SUMIFS($K$4:$K1338,$D$4:$D1338,$D1338))</f>
        <v/>
      </c>
      <c r="M1338" s="80"/>
      <c r="N1338" s="80"/>
      <c r="O1338" s="94"/>
      <c r="P1338" s="26" t="str">
        <f t="shared" si="62"/>
        <v/>
      </c>
      <c r="Q1338" s="80"/>
      <c r="R1338" s="80"/>
      <c r="S1338" s="80"/>
      <c r="T1338" s="82"/>
      <c r="U1338" s="80"/>
      <c r="V1338" s="80"/>
      <c r="W1338" s="80"/>
    </row>
    <row r="1339" ht="18" customHeight="1" spans="1:23">
      <c r="A1339" s="87" t="str">
        <f t="shared" si="60"/>
        <v/>
      </c>
      <c r="B1339" s="78"/>
      <c r="C1339" s="80"/>
      <c r="D1339" s="79"/>
      <c r="E1339" s="80"/>
      <c r="F1339" s="79"/>
      <c r="G1339" s="25" t="str">
        <f t="shared" si="61"/>
        <v/>
      </c>
      <c r="H1339" s="88"/>
      <c r="I1339" s="93"/>
      <c r="J1339" s="97"/>
      <c r="K1339" s="88"/>
      <c r="L1339" s="25" t="str">
        <f>IF($D1339="","",SUMIFS($H$4:$H1339,$D$4:$D1339,$D1339)+SUMIFS($I$4:$I1339,$D$4:$D1339,$D1339)-SUMIFS($J$4:$J1339,$D$4:$D1339,$D1339)-SUMIFS($K$4:$K1339,$D$4:$D1339,$D1339))</f>
        <v/>
      </c>
      <c r="M1339" s="80"/>
      <c r="N1339" s="80"/>
      <c r="O1339" s="94"/>
      <c r="P1339" s="26" t="str">
        <f t="shared" si="62"/>
        <v/>
      </c>
      <c r="Q1339" s="80"/>
      <c r="R1339" s="80"/>
      <c r="S1339" s="80"/>
      <c r="T1339" s="82"/>
      <c r="U1339" s="80"/>
      <c r="V1339" s="80"/>
      <c r="W1339" s="80"/>
    </row>
    <row r="1340" ht="18" customHeight="1" spans="1:23">
      <c r="A1340" s="87" t="str">
        <f t="shared" si="60"/>
        <v/>
      </c>
      <c r="B1340" s="78"/>
      <c r="C1340" s="80"/>
      <c r="D1340" s="79"/>
      <c r="E1340" s="80"/>
      <c r="F1340" s="79"/>
      <c r="G1340" s="25" t="str">
        <f t="shared" si="61"/>
        <v/>
      </c>
      <c r="H1340" s="88"/>
      <c r="I1340" s="93"/>
      <c r="J1340" s="97"/>
      <c r="K1340" s="88"/>
      <c r="L1340" s="25" t="str">
        <f>IF($D1340="","",SUMIFS($H$4:$H1340,$D$4:$D1340,$D1340)+SUMIFS($I$4:$I1340,$D$4:$D1340,$D1340)-SUMIFS($J$4:$J1340,$D$4:$D1340,$D1340)-SUMIFS($K$4:$K1340,$D$4:$D1340,$D1340))</f>
        <v/>
      </c>
      <c r="M1340" s="80"/>
      <c r="N1340" s="80"/>
      <c r="O1340" s="94"/>
      <c r="P1340" s="26" t="str">
        <f t="shared" si="62"/>
        <v/>
      </c>
      <c r="Q1340" s="80"/>
      <c r="R1340" s="80"/>
      <c r="S1340" s="80"/>
      <c r="T1340" s="82"/>
      <c r="U1340" s="80"/>
      <c r="V1340" s="80"/>
      <c r="W1340" s="80"/>
    </row>
    <row r="1341" ht="18" customHeight="1" spans="1:23">
      <c r="A1341" s="87" t="str">
        <f t="shared" si="60"/>
        <v/>
      </c>
      <c r="B1341" s="78"/>
      <c r="C1341" s="80"/>
      <c r="D1341" s="79"/>
      <c r="E1341" s="80"/>
      <c r="F1341" s="79"/>
      <c r="G1341" s="25" t="str">
        <f t="shared" si="61"/>
        <v/>
      </c>
      <c r="H1341" s="88"/>
      <c r="I1341" s="93"/>
      <c r="J1341" s="97"/>
      <c r="K1341" s="88"/>
      <c r="L1341" s="25" t="str">
        <f>IF($D1341="","",SUMIFS($H$4:$H1341,$D$4:$D1341,$D1341)+SUMIFS($I$4:$I1341,$D$4:$D1341,$D1341)-SUMIFS($J$4:$J1341,$D$4:$D1341,$D1341)-SUMIFS($K$4:$K1341,$D$4:$D1341,$D1341))</f>
        <v/>
      </c>
      <c r="M1341" s="80"/>
      <c r="N1341" s="80"/>
      <c r="O1341" s="94"/>
      <c r="P1341" s="26" t="str">
        <f t="shared" si="62"/>
        <v/>
      </c>
      <c r="Q1341" s="80"/>
      <c r="R1341" s="80"/>
      <c r="S1341" s="80"/>
      <c r="T1341" s="82"/>
      <c r="U1341" s="80"/>
      <c r="V1341" s="80"/>
      <c r="W1341" s="80"/>
    </row>
    <row r="1342" ht="18" customHeight="1" spans="1:23">
      <c r="A1342" s="87" t="str">
        <f t="shared" si="60"/>
        <v/>
      </c>
      <c r="B1342" s="78"/>
      <c r="C1342" s="80"/>
      <c r="D1342" s="79"/>
      <c r="E1342" s="80"/>
      <c r="F1342" s="79"/>
      <c r="G1342" s="25" t="str">
        <f t="shared" si="61"/>
        <v/>
      </c>
      <c r="H1342" s="88"/>
      <c r="I1342" s="93"/>
      <c r="J1342" s="97"/>
      <c r="K1342" s="88"/>
      <c r="L1342" s="25" t="str">
        <f>IF($D1342="","",SUMIFS($H$4:$H1342,$D$4:$D1342,$D1342)+SUMIFS($I$4:$I1342,$D$4:$D1342,$D1342)-SUMIFS($J$4:$J1342,$D$4:$D1342,$D1342)-SUMIFS($K$4:$K1342,$D$4:$D1342,$D1342))</f>
        <v/>
      </c>
      <c r="M1342" s="80"/>
      <c r="N1342" s="80"/>
      <c r="O1342" s="94"/>
      <c r="P1342" s="26" t="str">
        <f t="shared" si="62"/>
        <v/>
      </c>
      <c r="Q1342" s="80"/>
      <c r="R1342" s="80"/>
      <c r="S1342" s="80"/>
      <c r="T1342" s="82"/>
      <c r="U1342" s="80"/>
      <c r="V1342" s="80"/>
      <c r="W1342" s="80"/>
    </row>
    <row r="1343" ht="18" customHeight="1" spans="1:23">
      <c r="A1343" s="87" t="str">
        <f t="shared" si="60"/>
        <v/>
      </c>
      <c r="B1343" s="78"/>
      <c r="C1343" s="80"/>
      <c r="D1343" s="79"/>
      <c r="E1343" s="80"/>
      <c r="F1343" s="79"/>
      <c r="G1343" s="25" t="str">
        <f t="shared" si="61"/>
        <v/>
      </c>
      <c r="H1343" s="88"/>
      <c r="I1343" s="93"/>
      <c r="J1343" s="97"/>
      <c r="K1343" s="88"/>
      <c r="L1343" s="25" t="str">
        <f>IF($D1343="","",SUMIFS($H$4:$H1343,$D$4:$D1343,$D1343)+SUMIFS($I$4:$I1343,$D$4:$D1343,$D1343)-SUMIFS($J$4:$J1343,$D$4:$D1343,$D1343)-SUMIFS($K$4:$K1343,$D$4:$D1343,$D1343))</f>
        <v/>
      </c>
      <c r="M1343" s="80"/>
      <c r="N1343" s="80"/>
      <c r="O1343" s="94"/>
      <c r="P1343" s="26" t="str">
        <f t="shared" si="62"/>
        <v/>
      </c>
      <c r="Q1343" s="80"/>
      <c r="R1343" s="80"/>
      <c r="S1343" s="80"/>
      <c r="T1343" s="82"/>
      <c r="U1343" s="80"/>
      <c r="V1343" s="80"/>
      <c r="W1343" s="80"/>
    </row>
    <row r="1344" ht="18" customHeight="1" spans="1:23">
      <c r="A1344" s="87" t="str">
        <f t="shared" si="60"/>
        <v/>
      </c>
      <c r="B1344" s="78"/>
      <c r="C1344" s="80"/>
      <c r="D1344" s="79"/>
      <c r="E1344" s="80"/>
      <c r="F1344" s="79"/>
      <c r="G1344" s="25" t="str">
        <f t="shared" si="61"/>
        <v/>
      </c>
      <c r="H1344" s="88"/>
      <c r="I1344" s="93"/>
      <c r="J1344" s="97"/>
      <c r="K1344" s="88"/>
      <c r="L1344" s="25" t="str">
        <f>IF($D1344="","",SUMIFS($H$4:$H1344,$D$4:$D1344,$D1344)+SUMIFS($I$4:$I1344,$D$4:$D1344,$D1344)-SUMIFS($J$4:$J1344,$D$4:$D1344,$D1344)-SUMIFS($K$4:$K1344,$D$4:$D1344,$D1344))</f>
        <v/>
      </c>
      <c r="M1344" s="80"/>
      <c r="N1344" s="80"/>
      <c r="O1344" s="94"/>
      <c r="P1344" s="26" t="str">
        <f t="shared" si="62"/>
        <v/>
      </c>
      <c r="Q1344" s="80"/>
      <c r="R1344" s="80"/>
      <c r="S1344" s="80"/>
      <c r="T1344" s="82"/>
      <c r="U1344" s="80"/>
      <c r="V1344" s="80"/>
      <c r="W1344" s="80"/>
    </row>
    <row r="1345" ht="18" customHeight="1" spans="1:23">
      <c r="A1345" s="87" t="str">
        <f t="shared" si="60"/>
        <v/>
      </c>
      <c r="B1345" s="78"/>
      <c r="C1345" s="80"/>
      <c r="D1345" s="79"/>
      <c r="E1345" s="80"/>
      <c r="F1345" s="79"/>
      <c r="G1345" s="25" t="str">
        <f t="shared" si="61"/>
        <v/>
      </c>
      <c r="H1345" s="88"/>
      <c r="I1345" s="93"/>
      <c r="J1345" s="97"/>
      <c r="K1345" s="88"/>
      <c r="L1345" s="25" t="str">
        <f>IF($D1345="","",SUMIFS($H$4:$H1345,$D$4:$D1345,$D1345)+SUMIFS($I$4:$I1345,$D$4:$D1345,$D1345)-SUMIFS($J$4:$J1345,$D$4:$D1345,$D1345)-SUMIFS($K$4:$K1345,$D$4:$D1345,$D1345))</f>
        <v/>
      </c>
      <c r="M1345" s="80"/>
      <c r="N1345" s="80"/>
      <c r="O1345" s="94"/>
      <c r="P1345" s="26" t="str">
        <f t="shared" si="62"/>
        <v/>
      </c>
      <c r="Q1345" s="80"/>
      <c r="R1345" s="80"/>
      <c r="S1345" s="80"/>
      <c r="T1345" s="82"/>
      <c r="U1345" s="80"/>
      <c r="V1345" s="80"/>
      <c r="W1345" s="80"/>
    </row>
    <row r="1346" ht="18" customHeight="1" spans="1:23">
      <c r="A1346" s="87" t="str">
        <f t="shared" si="60"/>
        <v/>
      </c>
      <c r="B1346" s="78"/>
      <c r="C1346" s="80"/>
      <c r="D1346" s="79"/>
      <c r="E1346" s="80"/>
      <c r="F1346" s="79"/>
      <c r="G1346" s="25" t="str">
        <f t="shared" si="61"/>
        <v/>
      </c>
      <c r="H1346" s="88"/>
      <c r="I1346" s="93"/>
      <c r="J1346" s="97"/>
      <c r="K1346" s="88"/>
      <c r="L1346" s="25" t="str">
        <f>IF($D1346="","",SUMIFS($H$4:$H1346,$D$4:$D1346,$D1346)+SUMIFS($I$4:$I1346,$D$4:$D1346,$D1346)-SUMIFS($J$4:$J1346,$D$4:$D1346,$D1346)-SUMIFS($K$4:$K1346,$D$4:$D1346,$D1346))</f>
        <v/>
      </c>
      <c r="M1346" s="80"/>
      <c r="N1346" s="80"/>
      <c r="O1346" s="94"/>
      <c r="P1346" s="26" t="str">
        <f t="shared" si="62"/>
        <v/>
      </c>
      <c r="Q1346" s="80"/>
      <c r="R1346" s="80"/>
      <c r="S1346" s="80"/>
      <c r="T1346" s="82"/>
      <c r="U1346" s="80"/>
      <c r="V1346" s="80"/>
      <c r="W1346" s="80"/>
    </row>
    <row r="1347" ht="18" customHeight="1" spans="1:23">
      <c r="A1347" s="87" t="str">
        <f t="shared" si="60"/>
        <v/>
      </c>
      <c r="B1347" s="78"/>
      <c r="C1347" s="80"/>
      <c r="D1347" s="79"/>
      <c r="E1347" s="80"/>
      <c r="F1347" s="79"/>
      <c r="G1347" s="25" t="str">
        <f t="shared" si="61"/>
        <v/>
      </c>
      <c r="H1347" s="88"/>
      <c r="I1347" s="93"/>
      <c r="J1347" s="97"/>
      <c r="K1347" s="88"/>
      <c r="L1347" s="25" t="str">
        <f>IF($D1347="","",SUMIFS($H$4:$H1347,$D$4:$D1347,$D1347)+SUMIFS($I$4:$I1347,$D$4:$D1347,$D1347)-SUMIFS($J$4:$J1347,$D$4:$D1347,$D1347)-SUMIFS($K$4:$K1347,$D$4:$D1347,$D1347))</f>
        <v/>
      </c>
      <c r="M1347" s="80"/>
      <c r="N1347" s="80"/>
      <c r="O1347" s="94"/>
      <c r="P1347" s="26" t="str">
        <f t="shared" si="62"/>
        <v/>
      </c>
      <c r="Q1347" s="80"/>
      <c r="R1347" s="80"/>
      <c r="S1347" s="80"/>
      <c r="T1347" s="82"/>
      <c r="U1347" s="80"/>
      <c r="V1347" s="80"/>
      <c r="W1347" s="80"/>
    </row>
    <row r="1348" ht="18" customHeight="1" spans="1:23">
      <c r="A1348" s="87" t="str">
        <f t="shared" si="60"/>
        <v/>
      </c>
      <c r="B1348" s="78"/>
      <c r="C1348" s="80"/>
      <c r="D1348" s="79"/>
      <c r="E1348" s="80"/>
      <c r="F1348" s="79"/>
      <c r="G1348" s="25" t="str">
        <f t="shared" si="61"/>
        <v/>
      </c>
      <c r="H1348" s="88"/>
      <c r="I1348" s="93"/>
      <c r="J1348" s="97"/>
      <c r="K1348" s="88"/>
      <c r="L1348" s="25" t="str">
        <f>IF($D1348="","",SUMIFS($H$4:$H1348,$D$4:$D1348,$D1348)+SUMIFS($I$4:$I1348,$D$4:$D1348,$D1348)-SUMIFS($J$4:$J1348,$D$4:$D1348,$D1348)-SUMIFS($K$4:$K1348,$D$4:$D1348,$D1348))</f>
        <v/>
      </c>
      <c r="M1348" s="80"/>
      <c r="N1348" s="80"/>
      <c r="O1348" s="94"/>
      <c r="P1348" s="26" t="str">
        <f t="shared" si="62"/>
        <v/>
      </c>
      <c r="Q1348" s="80"/>
      <c r="R1348" s="80"/>
      <c r="S1348" s="80"/>
      <c r="T1348" s="82"/>
      <c r="U1348" s="80"/>
      <c r="V1348" s="80"/>
      <c r="W1348" s="80"/>
    </row>
    <row r="1349" ht="18" customHeight="1" spans="1:23">
      <c r="A1349" s="87" t="str">
        <f t="shared" ref="A1349:A1412" si="63">IF($D1349="","",ROW()-3)</f>
        <v/>
      </c>
      <c r="B1349" s="78"/>
      <c r="C1349" s="80"/>
      <c r="D1349" s="79"/>
      <c r="E1349" s="80"/>
      <c r="F1349" s="79"/>
      <c r="G1349" s="25" t="str">
        <f t="shared" ref="G1349:G1412" si="64">IF($D1349="","",N($L1349)-N($H1349)-N($I1349)+N($J1349)+N($K1349))</f>
        <v/>
      </c>
      <c r="H1349" s="88"/>
      <c r="I1349" s="93"/>
      <c r="J1349" s="97"/>
      <c r="K1349" s="88"/>
      <c r="L1349" s="25" t="str">
        <f>IF($D1349="","",SUMIFS($H$4:$H1349,$D$4:$D1349,$D1349)+SUMIFS($I$4:$I1349,$D$4:$D1349,$D1349)-SUMIFS($J$4:$J1349,$D$4:$D1349,$D1349)-SUMIFS($K$4:$K1349,$D$4:$D1349,$D1349))</f>
        <v/>
      </c>
      <c r="M1349" s="80"/>
      <c r="N1349" s="80"/>
      <c r="O1349" s="94"/>
      <c r="P1349" s="26" t="str">
        <f t="shared" ref="P1349:P1412" si="65">IF($D1349="","",ROUND((N($H1349)+N($K1349))*N($O1349),2))</f>
        <v/>
      </c>
      <c r="Q1349" s="80"/>
      <c r="R1349" s="80"/>
      <c r="S1349" s="80"/>
      <c r="T1349" s="82"/>
      <c r="U1349" s="80"/>
      <c r="V1349" s="80"/>
      <c r="W1349" s="80"/>
    </row>
    <row r="1350" ht="18" customHeight="1" spans="1:23">
      <c r="A1350" s="87" t="str">
        <f t="shared" si="63"/>
        <v/>
      </c>
      <c r="B1350" s="78"/>
      <c r="C1350" s="80"/>
      <c r="D1350" s="79"/>
      <c r="E1350" s="80"/>
      <c r="F1350" s="79"/>
      <c r="G1350" s="25" t="str">
        <f t="shared" si="64"/>
        <v/>
      </c>
      <c r="H1350" s="88"/>
      <c r="I1350" s="93"/>
      <c r="J1350" s="97"/>
      <c r="K1350" s="88"/>
      <c r="L1350" s="25" t="str">
        <f>IF($D1350="","",SUMIFS($H$4:$H1350,$D$4:$D1350,$D1350)+SUMIFS($I$4:$I1350,$D$4:$D1350,$D1350)-SUMIFS($J$4:$J1350,$D$4:$D1350,$D1350)-SUMIFS($K$4:$K1350,$D$4:$D1350,$D1350))</f>
        <v/>
      </c>
      <c r="M1350" s="80"/>
      <c r="N1350" s="80"/>
      <c r="O1350" s="94"/>
      <c r="P1350" s="26" t="str">
        <f t="shared" si="65"/>
        <v/>
      </c>
      <c r="Q1350" s="80"/>
      <c r="R1350" s="80"/>
      <c r="S1350" s="80"/>
      <c r="T1350" s="82"/>
      <c r="U1350" s="80"/>
      <c r="V1350" s="80"/>
      <c r="W1350" s="80"/>
    </row>
    <row r="1351" ht="18" customHeight="1" spans="1:23">
      <c r="A1351" s="87" t="str">
        <f t="shared" si="63"/>
        <v/>
      </c>
      <c r="B1351" s="78"/>
      <c r="C1351" s="80"/>
      <c r="D1351" s="79"/>
      <c r="E1351" s="80"/>
      <c r="F1351" s="79"/>
      <c r="G1351" s="25" t="str">
        <f t="shared" si="64"/>
        <v/>
      </c>
      <c r="H1351" s="88"/>
      <c r="I1351" s="93"/>
      <c r="J1351" s="97"/>
      <c r="K1351" s="88"/>
      <c r="L1351" s="25" t="str">
        <f>IF($D1351="","",SUMIFS($H$4:$H1351,$D$4:$D1351,$D1351)+SUMIFS($I$4:$I1351,$D$4:$D1351,$D1351)-SUMIFS($J$4:$J1351,$D$4:$D1351,$D1351)-SUMIFS($K$4:$K1351,$D$4:$D1351,$D1351))</f>
        <v/>
      </c>
      <c r="M1351" s="80"/>
      <c r="N1351" s="80"/>
      <c r="O1351" s="94"/>
      <c r="P1351" s="26" t="str">
        <f t="shared" si="65"/>
        <v/>
      </c>
      <c r="Q1351" s="80"/>
      <c r="R1351" s="80"/>
      <c r="S1351" s="80"/>
      <c r="T1351" s="82"/>
      <c r="U1351" s="80"/>
      <c r="V1351" s="80"/>
      <c r="W1351" s="80"/>
    </row>
    <row r="1352" ht="18" customHeight="1" spans="1:23">
      <c r="A1352" s="87" t="str">
        <f t="shared" si="63"/>
        <v/>
      </c>
      <c r="B1352" s="78"/>
      <c r="C1352" s="80"/>
      <c r="D1352" s="79"/>
      <c r="E1352" s="80"/>
      <c r="F1352" s="79"/>
      <c r="G1352" s="25" t="str">
        <f t="shared" si="64"/>
        <v/>
      </c>
      <c r="H1352" s="88"/>
      <c r="I1352" s="93"/>
      <c r="J1352" s="97"/>
      <c r="K1352" s="88"/>
      <c r="L1352" s="25" t="str">
        <f>IF($D1352="","",SUMIFS($H$4:$H1352,$D$4:$D1352,$D1352)+SUMIFS($I$4:$I1352,$D$4:$D1352,$D1352)-SUMIFS($J$4:$J1352,$D$4:$D1352,$D1352)-SUMIFS($K$4:$K1352,$D$4:$D1352,$D1352))</f>
        <v/>
      </c>
      <c r="M1352" s="80"/>
      <c r="N1352" s="80"/>
      <c r="O1352" s="94"/>
      <c r="P1352" s="26" t="str">
        <f t="shared" si="65"/>
        <v/>
      </c>
      <c r="Q1352" s="80"/>
      <c r="R1352" s="80"/>
      <c r="S1352" s="80"/>
      <c r="T1352" s="82"/>
      <c r="U1352" s="80"/>
      <c r="V1352" s="80"/>
      <c r="W1352" s="80"/>
    </row>
    <row r="1353" ht="18" customHeight="1" spans="1:23">
      <c r="A1353" s="87" t="str">
        <f t="shared" si="63"/>
        <v/>
      </c>
      <c r="B1353" s="78"/>
      <c r="C1353" s="80"/>
      <c r="D1353" s="79"/>
      <c r="E1353" s="80"/>
      <c r="F1353" s="79"/>
      <c r="G1353" s="25" t="str">
        <f t="shared" si="64"/>
        <v/>
      </c>
      <c r="H1353" s="88"/>
      <c r="I1353" s="93"/>
      <c r="J1353" s="97"/>
      <c r="K1353" s="88"/>
      <c r="L1353" s="25" t="str">
        <f>IF($D1353="","",SUMIFS($H$4:$H1353,$D$4:$D1353,$D1353)+SUMIFS($I$4:$I1353,$D$4:$D1353,$D1353)-SUMIFS($J$4:$J1353,$D$4:$D1353,$D1353)-SUMIFS($K$4:$K1353,$D$4:$D1353,$D1353))</f>
        <v/>
      </c>
      <c r="M1353" s="80"/>
      <c r="N1353" s="80"/>
      <c r="O1353" s="94"/>
      <c r="P1353" s="26" t="str">
        <f t="shared" si="65"/>
        <v/>
      </c>
      <c r="Q1353" s="80"/>
      <c r="R1353" s="80"/>
      <c r="S1353" s="80"/>
      <c r="T1353" s="82"/>
      <c r="U1353" s="80"/>
      <c r="V1353" s="80"/>
      <c r="W1353" s="80"/>
    </row>
    <row r="1354" ht="18" customHeight="1" spans="1:23">
      <c r="A1354" s="87" t="str">
        <f t="shared" si="63"/>
        <v/>
      </c>
      <c r="B1354" s="78"/>
      <c r="C1354" s="80"/>
      <c r="D1354" s="79"/>
      <c r="E1354" s="80"/>
      <c r="F1354" s="79"/>
      <c r="G1354" s="25" t="str">
        <f t="shared" si="64"/>
        <v/>
      </c>
      <c r="H1354" s="88"/>
      <c r="I1354" s="93"/>
      <c r="J1354" s="97"/>
      <c r="K1354" s="88"/>
      <c r="L1354" s="25" t="str">
        <f>IF($D1354="","",SUMIFS($H$4:$H1354,$D$4:$D1354,$D1354)+SUMIFS($I$4:$I1354,$D$4:$D1354,$D1354)-SUMIFS($J$4:$J1354,$D$4:$D1354,$D1354)-SUMIFS($K$4:$K1354,$D$4:$D1354,$D1354))</f>
        <v/>
      </c>
      <c r="M1354" s="80"/>
      <c r="N1354" s="80"/>
      <c r="O1354" s="94"/>
      <c r="P1354" s="26" t="str">
        <f t="shared" si="65"/>
        <v/>
      </c>
      <c r="Q1354" s="80"/>
      <c r="R1354" s="80"/>
      <c r="S1354" s="80"/>
      <c r="T1354" s="82"/>
      <c r="U1354" s="80"/>
      <c r="V1354" s="80"/>
      <c r="W1354" s="80"/>
    </row>
    <row r="1355" ht="18" customHeight="1" spans="1:23">
      <c r="A1355" s="87" t="str">
        <f t="shared" si="63"/>
        <v/>
      </c>
      <c r="B1355" s="78"/>
      <c r="C1355" s="80"/>
      <c r="D1355" s="79"/>
      <c r="E1355" s="80"/>
      <c r="F1355" s="79"/>
      <c r="G1355" s="25" t="str">
        <f t="shared" si="64"/>
        <v/>
      </c>
      <c r="H1355" s="88"/>
      <c r="I1355" s="93"/>
      <c r="J1355" s="97"/>
      <c r="K1355" s="88"/>
      <c r="L1355" s="25" t="str">
        <f>IF($D1355="","",SUMIFS($H$4:$H1355,$D$4:$D1355,$D1355)+SUMIFS($I$4:$I1355,$D$4:$D1355,$D1355)-SUMIFS($J$4:$J1355,$D$4:$D1355,$D1355)-SUMIFS($K$4:$K1355,$D$4:$D1355,$D1355))</f>
        <v/>
      </c>
      <c r="M1355" s="80"/>
      <c r="N1355" s="80"/>
      <c r="O1355" s="94"/>
      <c r="P1355" s="26" t="str">
        <f t="shared" si="65"/>
        <v/>
      </c>
      <c r="Q1355" s="80"/>
      <c r="R1355" s="80"/>
      <c r="S1355" s="80"/>
      <c r="T1355" s="82"/>
      <c r="U1355" s="80"/>
      <c r="V1355" s="80"/>
      <c r="W1355" s="80"/>
    </row>
    <row r="1356" ht="18" customHeight="1" spans="1:23">
      <c r="A1356" s="87" t="str">
        <f t="shared" si="63"/>
        <v/>
      </c>
      <c r="B1356" s="78"/>
      <c r="C1356" s="80"/>
      <c r="D1356" s="79"/>
      <c r="E1356" s="80"/>
      <c r="F1356" s="79"/>
      <c r="G1356" s="25" t="str">
        <f t="shared" si="64"/>
        <v/>
      </c>
      <c r="H1356" s="88"/>
      <c r="I1356" s="93"/>
      <c r="J1356" s="97"/>
      <c r="K1356" s="88"/>
      <c r="L1356" s="25" t="str">
        <f>IF($D1356="","",SUMIFS($H$4:$H1356,$D$4:$D1356,$D1356)+SUMIFS($I$4:$I1356,$D$4:$D1356,$D1356)-SUMIFS($J$4:$J1356,$D$4:$D1356,$D1356)-SUMIFS($K$4:$K1356,$D$4:$D1356,$D1356))</f>
        <v/>
      </c>
      <c r="M1356" s="80"/>
      <c r="N1356" s="80"/>
      <c r="O1356" s="94"/>
      <c r="P1356" s="26" t="str">
        <f t="shared" si="65"/>
        <v/>
      </c>
      <c r="Q1356" s="80"/>
      <c r="R1356" s="80"/>
      <c r="S1356" s="80"/>
      <c r="T1356" s="82"/>
      <c r="U1356" s="80"/>
      <c r="V1356" s="80"/>
      <c r="W1356" s="80"/>
    </row>
    <row r="1357" ht="18" customHeight="1" spans="1:23">
      <c r="A1357" s="87" t="str">
        <f t="shared" si="63"/>
        <v/>
      </c>
      <c r="B1357" s="78"/>
      <c r="C1357" s="80"/>
      <c r="D1357" s="79"/>
      <c r="E1357" s="80"/>
      <c r="F1357" s="79"/>
      <c r="G1357" s="25" t="str">
        <f t="shared" si="64"/>
        <v/>
      </c>
      <c r="H1357" s="88"/>
      <c r="I1357" s="93"/>
      <c r="J1357" s="97"/>
      <c r="K1357" s="88"/>
      <c r="L1357" s="25" t="str">
        <f>IF($D1357="","",SUMIFS($H$4:$H1357,$D$4:$D1357,$D1357)+SUMIFS($I$4:$I1357,$D$4:$D1357,$D1357)-SUMIFS($J$4:$J1357,$D$4:$D1357,$D1357)-SUMIFS($K$4:$K1357,$D$4:$D1357,$D1357))</f>
        <v/>
      </c>
      <c r="M1357" s="80"/>
      <c r="N1357" s="80"/>
      <c r="O1357" s="94"/>
      <c r="P1357" s="26" t="str">
        <f t="shared" si="65"/>
        <v/>
      </c>
      <c r="Q1357" s="80"/>
      <c r="R1357" s="80"/>
      <c r="S1357" s="80"/>
      <c r="T1357" s="82"/>
      <c r="U1357" s="80"/>
      <c r="V1357" s="80"/>
      <c r="W1357" s="80"/>
    </row>
    <row r="1358" ht="18" customHeight="1" spans="1:23">
      <c r="A1358" s="87" t="str">
        <f t="shared" si="63"/>
        <v/>
      </c>
      <c r="B1358" s="78"/>
      <c r="C1358" s="80"/>
      <c r="D1358" s="79"/>
      <c r="E1358" s="80"/>
      <c r="F1358" s="79"/>
      <c r="G1358" s="25" t="str">
        <f t="shared" si="64"/>
        <v/>
      </c>
      <c r="H1358" s="88"/>
      <c r="I1358" s="93"/>
      <c r="J1358" s="97"/>
      <c r="K1358" s="88"/>
      <c r="L1358" s="25" t="str">
        <f>IF($D1358="","",SUMIFS($H$4:$H1358,$D$4:$D1358,$D1358)+SUMIFS($I$4:$I1358,$D$4:$D1358,$D1358)-SUMIFS($J$4:$J1358,$D$4:$D1358,$D1358)-SUMIFS($K$4:$K1358,$D$4:$D1358,$D1358))</f>
        <v/>
      </c>
      <c r="M1358" s="80"/>
      <c r="N1358" s="80"/>
      <c r="O1358" s="94"/>
      <c r="P1358" s="26" t="str">
        <f t="shared" si="65"/>
        <v/>
      </c>
      <c r="Q1358" s="80"/>
      <c r="R1358" s="80"/>
      <c r="S1358" s="80"/>
      <c r="T1358" s="82"/>
      <c r="U1358" s="80"/>
      <c r="V1358" s="80"/>
      <c r="W1358" s="80"/>
    </row>
    <row r="1359" ht="18" customHeight="1" spans="1:23">
      <c r="A1359" s="87" t="str">
        <f t="shared" si="63"/>
        <v/>
      </c>
      <c r="B1359" s="78"/>
      <c r="C1359" s="80"/>
      <c r="D1359" s="79"/>
      <c r="E1359" s="80"/>
      <c r="F1359" s="79"/>
      <c r="G1359" s="25" t="str">
        <f t="shared" si="64"/>
        <v/>
      </c>
      <c r="H1359" s="88"/>
      <c r="I1359" s="93"/>
      <c r="J1359" s="97"/>
      <c r="K1359" s="88"/>
      <c r="L1359" s="25" t="str">
        <f>IF($D1359="","",SUMIFS($H$4:$H1359,$D$4:$D1359,$D1359)+SUMIFS($I$4:$I1359,$D$4:$D1359,$D1359)-SUMIFS($J$4:$J1359,$D$4:$D1359,$D1359)-SUMIFS($K$4:$K1359,$D$4:$D1359,$D1359))</f>
        <v/>
      </c>
      <c r="M1359" s="80"/>
      <c r="N1359" s="80"/>
      <c r="O1359" s="94"/>
      <c r="P1359" s="26" t="str">
        <f t="shared" si="65"/>
        <v/>
      </c>
      <c r="Q1359" s="80"/>
      <c r="R1359" s="80"/>
      <c r="S1359" s="80"/>
      <c r="T1359" s="82"/>
      <c r="U1359" s="80"/>
      <c r="V1359" s="80"/>
      <c r="W1359" s="80"/>
    </row>
    <row r="1360" ht="18" customHeight="1" spans="1:23">
      <c r="A1360" s="87" t="str">
        <f t="shared" si="63"/>
        <v/>
      </c>
      <c r="B1360" s="78"/>
      <c r="C1360" s="80"/>
      <c r="D1360" s="79"/>
      <c r="E1360" s="80"/>
      <c r="F1360" s="79"/>
      <c r="G1360" s="25" t="str">
        <f t="shared" si="64"/>
        <v/>
      </c>
      <c r="H1360" s="88"/>
      <c r="I1360" s="93"/>
      <c r="J1360" s="97"/>
      <c r="K1360" s="88"/>
      <c r="L1360" s="25" t="str">
        <f>IF($D1360="","",SUMIFS($H$4:$H1360,$D$4:$D1360,$D1360)+SUMIFS($I$4:$I1360,$D$4:$D1360,$D1360)-SUMIFS($J$4:$J1360,$D$4:$D1360,$D1360)-SUMIFS($K$4:$K1360,$D$4:$D1360,$D1360))</f>
        <v/>
      </c>
      <c r="M1360" s="80"/>
      <c r="N1360" s="80"/>
      <c r="O1360" s="94"/>
      <c r="P1360" s="26" t="str">
        <f t="shared" si="65"/>
        <v/>
      </c>
      <c r="Q1360" s="80"/>
      <c r="R1360" s="80"/>
      <c r="S1360" s="80"/>
      <c r="T1360" s="82"/>
      <c r="U1360" s="80"/>
      <c r="V1360" s="80"/>
      <c r="W1360" s="80"/>
    </row>
    <row r="1361" ht="18" customHeight="1" spans="1:23">
      <c r="A1361" s="87" t="str">
        <f t="shared" si="63"/>
        <v/>
      </c>
      <c r="B1361" s="78"/>
      <c r="C1361" s="80"/>
      <c r="D1361" s="79"/>
      <c r="E1361" s="80"/>
      <c r="F1361" s="79"/>
      <c r="G1361" s="25" t="str">
        <f t="shared" si="64"/>
        <v/>
      </c>
      <c r="H1361" s="88"/>
      <c r="I1361" s="93"/>
      <c r="J1361" s="97"/>
      <c r="K1361" s="88"/>
      <c r="L1361" s="25" t="str">
        <f>IF($D1361="","",SUMIFS($H$4:$H1361,$D$4:$D1361,$D1361)+SUMIFS($I$4:$I1361,$D$4:$D1361,$D1361)-SUMIFS($J$4:$J1361,$D$4:$D1361,$D1361)-SUMIFS($K$4:$K1361,$D$4:$D1361,$D1361))</f>
        <v/>
      </c>
      <c r="M1361" s="80"/>
      <c r="N1361" s="80"/>
      <c r="O1361" s="94"/>
      <c r="P1361" s="26" t="str">
        <f t="shared" si="65"/>
        <v/>
      </c>
      <c r="Q1361" s="80"/>
      <c r="R1361" s="80"/>
      <c r="S1361" s="80"/>
      <c r="T1361" s="82"/>
      <c r="U1361" s="80"/>
      <c r="V1361" s="80"/>
      <c r="W1361" s="80"/>
    </row>
    <row r="1362" ht="18" customHeight="1" spans="1:23">
      <c r="A1362" s="87" t="str">
        <f t="shared" si="63"/>
        <v/>
      </c>
      <c r="B1362" s="78"/>
      <c r="C1362" s="80"/>
      <c r="D1362" s="79"/>
      <c r="E1362" s="80"/>
      <c r="F1362" s="79"/>
      <c r="G1362" s="25" t="str">
        <f t="shared" si="64"/>
        <v/>
      </c>
      <c r="H1362" s="88"/>
      <c r="I1362" s="93"/>
      <c r="J1362" s="97"/>
      <c r="K1362" s="88"/>
      <c r="L1362" s="25" t="str">
        <f>IF($D1362="","",SUMIFS($H$4:$H1362,$D$4:$D1362,$D1362)+SUMIFS($I$4:$I1362,$D$4:$D1362,$D1362)-SUMIFS($J$4:$J1362,$D$4:$D1362,$D1362)-SUMIFS($K$4:$K1362,$D$4:$D1362,$D1362))</f>
        <v/>
      </c>
      <c r="M1362" s="80"/>
      <c r="N1362" s="80"/>
      <c r="O1362" s="94"/>
      <c r="P1362" s="26" t="str">
        <f t="shared" si="65"/>
        <v/>
      </c>
      <c r="Q1362" s="80"/>
      <c r="R1362" s="80"/>
      <c r="S1362" s="80"/>
      <c r="T1362" s="82"/>
      <c r="U1362" s="80"/>
      <c r="V1362" s="80"/>
      <c r="W1362" s="80"/>
    </row>
    <row r="1363" ht="18" customHeight="1" spans="1:23">
      <c r="A1363" s="87" t="str">
        <f t="shared" si="63"/>
        <v/>
      </c>
      <c r="B1363" s="78"/>
      <c r="C1363" s="80"/>
      <c r="D1363" s="79"/>
      <c r="E1363" s="80"/>
      <c r="F1363" s="79"/>
      <c r="G1363" s="25" t="str">
        <f t="shared" si="64"/>
        <v/>
      </c>
      <c r="H1363" s="88"/>
      <c r="I1363" s="93"/>
      <c r="J1363" s="97"/>
      <c r="K1363" s="88"/>
      <c r="L1363" s="25" t="str">
        <f>IF($D1363="","",SUMIFS($H$4:$H1363,$D$4:$D1363,$D1363)+SUMIFS($I$4:$I1363,$D$4:$D1363,$D1363)-SUMIFS($J$4:$J1363,$D$4:$D1363,$D1363)-SUMIFS($K$4:$K1363,$D$4:$D1363,$D1363))</f>
        <v/>
      </c>
      <c r="M1363" s="80"/>
      <c r="N1363" s="80"/>
      <c r="O1363" s="94"/>
      <c r="P1363" s="26" t="str">
        <f t="shared" si="65"/>
        <v/>
      </c>
      <c r="Q1363" s="80"/>
      <c r="R1363" s="80"/>
      <c r="S1363" s="80"/>
      <c r="T1363" s="82"/>
      <c r="U1363" s="80"/>
      <c r="V1363" s="80"/>
      <c r="W1363" s="80"/>
    </row>
    <row r="1364" ht="18" customHeight="1" spans="1:23">
      <c r="A1364" s="87" t="str">
        <f t="shared" si="63"/>
        <v/>
      </c>
      <c r="B1364" s="78"/>
      <c r="C1364" s="80"/>
      <c r="D1364" s="79"/>
      <c r="E1364" s="80"/>
      <c r="F1364" s="79"/>
      <c r="G1364" s="25" t="str">
        <f t="shared" si="64"/>
        <v/>
      </c>
      <c r="H1364" s="88"/>
      <c r="I1364" s="93"/>
      <c r="J1364" s="97"/>
      <c r="K1364" s="88"/>
      <c r="L1364" s="25" t="str">
        <f>IF($D1364="","",SUMIFS($H$4:$H1364,$D$4:$D1364,$D1364)+SUMIFS($I$4:$I1364,$D$4:$D1364,$D1364)-SUMIFS($J$4:$J1364,$D$4:$D1364,$D1364)-SUMIFS($K$4:$K1364,$D$4:$D1364,$D1364))</f>
        <v/>
      </c>
      <c r="M1364" s="80"/>
      <c r="N1364" s="80"/>
      <c r="O1364" s="94"/>
      <c r="P1364" s="26" t="str">
        <f t="shared" si="65"/>
        <v/>
      </c>
      <c r="Q1364" s="80"/>
      <c r="R1364" s="80"/>
      <c r="S1364" s="80"/>
      <c r="T1364" s="82"/>
      <c r="U1364" s="80"/>
      <c r="V1364" s="80"/>
      <c r="W1364" s="80"/>
    </row>
    <row r="1365" ht="18" customHeight="1" spans="1:23">
      <c r="A1365" s="87" t="str">
        <f t="shared" si="63"/>
        <v/>
      </c>
      <c r="B1365" s="78"/>
      <c r="C1365" s="80"/>
      <c r="D1365" s="79"/>
      <c r="E1365" s="80"/>
      <c r="F1365" s="79"/>
      <c r="G1365" s="25" t="str">
        <f t="shared" si="64"/>
        <v/>
      </c>
      <c r="H1365" s="88"/>
      <c r="I1365" s="93"/>
      <c r="J1365" s="97"/>
      <c r="K1365" s="88"/>
      <c r="L1365" s="25" t="str">
        <f>IF($D1365="","",SUMIFS($H$4:$H1365,$D$4:$D1365,$D1365)+SUMIFS($I$4:$I1365,$D$4:$D1365,$D1365)-SUMIFS($J$4:$J1365,$D$4:$D1365,$D1365)-SUMIFS($K$4:$K1365,$D$4:$D1365,$D1365))</f>
        <v/>
      </c>
      <c r="M1365" s="80"/>
      <c r="N1365" s="80"/>
      <c r="O1365" s="94"/>
      <c r="P1365" s="26" t="str">
        <f t="shared" si="65"/>
        <v/>
      </c>
      <c r="Q1365" s="80"/>
      <c r="R1365" s="80"/>
      <c r="S1365" s="80"/>
      <c r="T1365" s="82"/>
      <c r="U1365" s="80"/>
      <c r="V1365" s="80"/>
      <c r="W1365" s="80"/>
    </row>
    <row r="1366" ht="18" customHeight="1" spans="1:23">
      <c r="A1366" s="87" t="str">
        <f t="shared" si="63"/>
        <v/>
      </c>
      <c r="B1366" s="78"/>
      <c r="C1366" s="80"/>
      <c r="D1366" s="79"/>
      <c r="E1366" s="80"/>
      <c r="F1366" s="79"/>
      <c r="G1366" s="25" t="str">
        <f t="shared" si="64"/>
        <v/>
      </c>
      <c r="H1366" s="88"/>
      <c r="I1366" s="93"/>
      <c r="J1366" s="97"/>
      <c r="K1366" s="88"/>
      <c r="L1366" s="25" t="str">
        <f>IF($D1366="","",SUMIFS($H$4:$H1366,$D$4:$D1366,$D1366)+SUMIFS($I$4:$I1366,$D$4:$D1366,$D1366)-SUMIFS($J$4:$J1366,$D$4:$D1366,$D1366)-SUMIFS($K$4:$K1366,$D$4:$D1366,$D1366))</f>
        <v/>
      </c>
      <c r="M1366" s="80"/>
      <c r="N1366" s="80"/>
      <c r="O1366" s="94"/>
      <c r="P1366" s="26" t="str">
        <f t="shared" si="65"/>
        <v/>
      </c>
      <c r="Q1366" s="80"/>
      <c r="R1366" s="80"/>
      <c r="S1366" s="80"/>
      <c r="T1366" s="82"/>
      <c r="U1366" s="80"/>
      <c r="V1366" s="80"/>
      <c r="W1366" s="80"/>
    </row>
    <row r="1367" ht="18" customHeight="1" spans="1:23">
      <c r="A1367" s="87" t="str">
        <f t="shared" si="63"/>
        <v/>
      </c>
      <c r="B1367" s="78"/>
      <c r="C1367" s="80"/>
      <c r="D1367" s="79"/>
      <c r="E1367" s="80"/>
      <c r="F1367" s="79"/>
      <c r="G1367" s="25" t="str">
        <f t="shared" si="64"/>
        <v/>
      </c>
      <c r="H1367" s="88"/>
      <c r="I1367" s="93"/>
      <c r="J1367" s="97"/>
      <c r="K1367" s="88"/>
      <c r="L1367" s="25" t="str">
        <f>IF($D1367="","",SUMIFS($H$4:$H1367,$D$4:$D1367,$D1367)+SUMIFS($I$4:$I1367,$D$4:$D1367,$D1367)-SUMIFS($J$4:$J1367,$D$4:$D1367,$D1367)-SUMIFS($K$4:$K1367,$D$4:$D1367,$D1367))</f>
        <v/>
      </c>
      <c r="M1367" s="80"/>
      <c r="N1367" s="80"/>
      <c r="O1367" s="94"/>
      <c r="P1367" s="26" t="str">
        <f t="shared" si="65"/>
        <v/>
      </c>
      <c r="Q1367" s="80"/>
      <c r="R1367" s="80"/>
      <c r="S1367" s="80"/>
      <c r="T1367" s="82"/>
      <c r="U1367" s="80"/>
      <c r="V1367" s="80"/>
      <c r="W1367" s="80"/>
    </row>
    <row r="1368" ht="18" customHeight="1" spans="1:23">
      <c r="A1368" s="87" t="str">
        <f t="shared" si="63"/>
        <v/>
      </c>
      <c r="B1368" s="78"/>
      <c r="C1368" s="80"/>
      <c r="D1368" s="79"/>
      <c r="E1368" s="80"/>
      <c r="F1368" s="79"/>
      <c r="G1368" s="25" t="str">
        <f t="shared" si="64"/>
        <v/>
      </c>
      <c r="H1368" s="88"/>
      <c r="I1368" s="93"/>
      <c r="J1368" s="97"/>
      <c r="K1368" s="88"/>
      <c r="L1368" s="25" t="str">
        <f>IF($D1368="","",SUMIFS($H$4:$H1368,$D$4:$D1368,$D1368)+SUMIFS($I$4:$I1368,$D$4:$D1368,$D1368)-SUMIFS($J$4:$J1368,$D$4:$D1368,$D1368)-SUMIFS($K$4:$K1368,$D$4:$D1368,$D1368))</f>
        <v/>
      </c>
      <c r="M1368" s="80"/>
      <c r="N1368" s="80"/>
      <c r="O1368" s="94"/>
      <c r="P1368" s="26" t="str">
        <f t="shared" si="65"/>
        <v/>
      </c>
      <c r="Q1368" s="80"/>
      <c r="R1368" s="80"/>
      <c r="S1368" s="80"/>
      <c r="T1368" s="82"/>
      <c r="U1368" s="80"/>
      <c r="V1368" s="80"/>
      <c r="W1368" s="80"/>
    </row>
    <row r="1369" ht="18" customHeight="1" spans="1:23">
      <c r="A1369" s="87" t="str">
        <f t="shared" si="63"/>
        <v/>
      </c>
      <c r="B1369" s="78"/>
      <c r="C1369" s="80"/>
      <c r="D1369" s="79"/>
      <c r="E1369" s="80"/>
      <c r="F1369" s="79"/>
      <c r="G1369" s="25" t="str">
        <f t="shared" si="64"/>
        <v/>
      </c>
      <c r="H1369" s="88"/>
      <c r="I1369" s="93"/>
      <c r="J1369" s="97"/>
      <c r="K1369" s="88"/>
      <c r="L1369" s="25" t="str">
        <f>IF($D1369="","",SUMIFS($H$4:$H1369,$D$4:$D1369,$D1369)+SUMIFS($I$4:$I1369,$D$4:$D1369,$D1369)-SUMIFS($J$4:$J1369,$D$4:$D1369,$D1369)-SUMIFS($K$4:$K1369,$D$4:$D1369,$D1369))</f>
        <v/>
      </c>
      <c r="M1369" s="80"/>
      <c r="N1369" s="80"/>
      <c r="O1369" s="94"/>
      <c r="P1369" s="26" t="str">
        <f t="shared" si="65"/>
        <v/>
      </c>
      <c r="Q1369" s="80"/>
      <c r="R1369" s="80"/>
      <c r="S1369" s="80"/>
      <c r="T1369" s="82"/>
      <c r="U1369" s="80"/>
      <c r="V1369" s="80"/>
      <c r="W1369" s="80"/>
    </row>
    <row r="1370" ht="18" customHeight="1" spans="1:23">
      <c r="A1370" s="87" t="str">
        <f t="shared" si="63"/>
        <v/>
      </c>
      <c r="B1370" s="78"/>
      <c r="C1370" s="80"/>
      <c r="D1370" s="79"/>
      <c r="E1370" s="80"/>
      <c r="F1370" s="79"/>
      <c r="G1370" s="25" t="str">
        <f t="shared" si="64"/>
        <v/>
      </c>
      <c r="H1370" s="88"/>
      <c r="I1370" s="93"/>
      <c r="J1370" s="97"/>
      <c r="K1370" s="88"/>
      <c r="L1370" s="25" t="str">
        <f>IF($D1370="","",SUMIFS($H$4:$H1370,$D$4:$D1370,$D1370)+SUMIFS($I$4:$I1370,$D$4:$D1370,$D1370)-SUMIFS($J$4:$J1370,$D$4:$D1370,$D1370)-SUMIFS($K$4:$K1370,$D$4:$D1370,$D1370))</f>
        <v/>
      </c>
      <c r="M1370" s="80"/>
      <c r="N1370" s="80"/>
      <c r="O1370" s="94"/>
      <c r="P1370" s="26" t="str">
        <f t="shared" si="65"/>
        <v/>
      </c>
      <c r="Q1370" s="80"/>
      <c r="R1370" s="80"/>
      <c r="S1370" s="80"/>
      <c r="T1370" s="82"/>
      <c r="U1370" s="80"/>
      <c r="V1370" s="80"/>
      <c r="W1370" s="80"/>
    </row>
    <row r="1371" ht="18" customHeight="1" spans="1:23">
      <c r="A1371" s="87" t="str">
        <f t="shared" si="63"/>
        <v/>
      </c>
      <c r="B1371" s="78"/>
      <c r="C1371" s="80"/>
      <c r="D1371" s="79"/>
      <c r="E1371" s="80"/>
      <c r="F1371" s="79"/>
      <c r="G1371" s="25" t="str">
        <f t="shared" si="64"/>
        <v/>
      </c>
      <c r="H1371" s="88"/>
      <c r="I1371" s="93"/>
      <c r="J1371" s="97"/>
      <c r="K1371" s="88"/>
      <c r="L1371" s="25" t="str">
        <f>IF($D1371="","",SUMIFS($H$4:$H1371,$D$4:$D1371,$D1371)+SUMIFS($I$4:$I1371,$D$4:$D1371,$D1371)-SUMIFS($J$4:$J1371,$D$4:$D1371,$D1371)-SUMIFS($K$4:$K1371,$D$4:$D1371,$D1371))</f>
        <v/>
      </c>
      <c r="M1371" s="80"/>
      <c r="N1371" s="80"/>
      <c r="O1371" s="94"/>
      <c r="P1371" s="26" t="str">
        <f t="shared" si="65"/>
        <v/>
      </c>
      <c r="Q1371" s="80"/>
      <c r="R1371" s="80"/>
      <c r="S1371" s="80"/>
      <c r="T1371" s="82"/>
      <c r="U1371" s="80"/>
      <c r="V1371" s="80"/>
      <c r="W1371" s="80"/>
    </row>
    <row r="1372" ht="18" customHeight="1" spans="1:23">
      <c r="A1372" s="87" t="str">
        <f t="shared" si="63"/>
        <v/>
      </c>
      <c r="B1372" s="78"/>
      <c r="C1372" s="80"/>
      <c r="D1372" s="79"/>
      <c r="E1372" s="80"/>
      <c r="F1372" s="79"/>
      <c r="G1372" s="25" t="str">
        <f t="shared" si="64"/>
        <v/>
      </c>
      <c r="H1372" s="88"/>
      <c r="I1372" s="93"/>
      <c r="J1372" s="97"/>
      <c r="K1372" s="88"/>
      <c r="L1372" s="25" t="str">
        <f>IF($D1372="","",SUMIFS($H$4:$H1372,$D$4:$D1372,$D1372)+SUMIFS($I$4:$I1372,$D$4:$D1372,$D1372)-SUMIFS($J$4:$J1372,$D$4:$D1372,$D1372)-SUMIFS($K$4:$K1372,$D$4:$D1372,$D1372))</f>
        <v/>
      </c>
      <c r="M1372" s="80"/>
      <c r="N1372" s="80"/>
      <c r="O1372" s="94"/>
      <c r="P1372" s="26" t="str">
        <f t="shared" si="65"/>
        <v/>
      </c>
      <c r="Q1372" s="80"/>
      <c r="R1372" s="80"/>
      <c r="S1372" s="80"/>
      <c r="T1372" s="82"/>
      <c r="U1372" s="80"/>
      <c r="V1372" s="80"/>
      <c r="W1372" s="80"/>
    </row>
    <row r="1373" ht="18" customHeight="1" spans="1:23">
      <c r="A1373" s="87" t="str">
        <f t="shared" si="63"/>
        <v/>
      </c>
      <c r="B1373" s="78"/>
      <c r="C1373" s="80"/>
      <c r="D1373" s="79"/>
      <c r="E1373" s="80"/>
      <c r="F1373" s="79"/>
      <c r="G1373" s="25" t="str">
        <f t="shared" si="64"/>
        <v/>
      </c>
      <c r="H1373" s="88"/>
      <c r="I1373" s="93"/>
      <c r="J1373" s="97"/>
      <c r="K1373" s="88"/>
      <c r="L1373" s="25" t="str">
        <f>IF($D1373="","",SUMIFS($H$4:$H1373,$D$4:$D1373,$D1373)+SUMIFS($I$4:$I1373,$D$4:$D1373,$D1373)-SUMIFS($J$4:$J1373,$D$4:$D1373,$D1373)-SUMIFS($K$4:$K1373,$D$4:$D1373,$D1373))</f>
        <v/>
      </c>
      <c r="M1373" s="80"/>
      <c r="N1373" s="80"/>
      <c r="O1373" s="94"/>
      <c r="P1373" s="26" t="str">
        <f t="shared" si="65"/>
        <v/>
      </c>
      <c r="Q1373" s="80"/>
      <c r="R1373" s="80"/>
      <c r="S1373" s="80"/>
      <c r="T1373" s="82"/>
      <c r="U1373" s="80"/>
      <c r="V1373" s="80"/>
      <c r="W1373" s="80"/>
    </row>
    <row r="1374" ht="18" customHeight="1" spans="1:23">
      <c r="A1374" s="87" t="str">
        <f t="shared" si="63"/>
        <v/>
      </c>
      <c r="B1374" s="78"/>
      <c r="C1374" s="80"/>
      <c r="D1374" s="79"/>
      <c r="E1374" s="80"/>
      <c r="F1374" s="79"/>
      <c r="G1374" s="25" t="str">
        <f t="shared" si="64"/>
        <v/>
      </c>
      <c r="H1374" s="88"/>
      <c r="I1374" s="93"/>
      <c r="J1374" s="97"/>
      <c r="K1374" s="88"/>
      <c r="L1374" s="25" t="str">
        <f>IF($D1374="","",SUMIFS($H$4:$H1374,$D$4:$D1374,$D1374)+SUMIFS($I$4:$I1374,$D$4:$D1374,$D1374)-SUMIFS($J$4:$J1374,$D$4:$D1374,$D1374)-SUMIFS($K$4:$K1374,$D$4:$D1374,$D1374))</f>
        <v/>
      </c>
      <c r="M1374" s="80"/>
      <c r="N1374" s="80"/>
      <c r="O1374" s="94"/>
      <c r="P1374" s="26" t="str">
        <f t="shared" si="65"/>
        <v/>
      </c>
      <c r="Q1374" s="80"/>
      <c r="R1374" s="80"/>
      <c r="S1374" s="80"/>
      <c r="T1374" s="82"/>
      <c r="U1374" s="80"/>
      <c r="V1374" s="80"/>
      <c r="W1374" s="80"/>
    </row>
    <row r="1375" ht="18" customHeight="1" spans="1:23">
      <c r="A1375" s="87" t="str">
        <f t="shared" si="63"/>
        <v/>
      </c>
      <c r="B1375" s="78"/>
      <c r="C1375" s="80"/>
      <c r="D1375" s="79"/>
      <c r="E1375" s="80"/>
      <c r="F1375" s="79"/>
      <c r="G1375" s="25" t="str">
        <f t="shared" si="64"/>
        <v/>
      </c>
      <c r="H1375" s="88"/>
      <c r="I1375" s="93"/>
      <c r="J1375" s="97"/>
      <c r="K1375" s="88"/>
      <c r="L1375" s="25" t="str">
        <f>IF($D1375="","",SUMIFS($H$4:$H1375,$D$4:$D1375,$D1375)+SUMIFS($I$4:$I1375,$D$4:$D1375,$D1375)-SUMIFS($J$4:$J1375,$D$4:$D1375,$D1375)-SUMIFS($K$4:$K1375,$D$4:$D1375,$D1375))</f>
        <v/>
      </c>
      <c r="M1375" s="80"/>
      <c r="N1375" s="80"/>
      <c r="O1375" s="94"/>
      <c r="P1375" s="26" t="str">
        <f t="shared" si="65"/>
        <v/>
      </c>
      <c r="Q1375" s="80"/>
      <c r="R1375" s="80"/>
      <c r="S1375" s="80"/>
      <c r="T1375" s="82"/>
      <c r="U1375" s="80"/>
      <c r="V1375" s="80"/>
      <c r="W1375" s="80"/>
    </row>
    <row r="1376" ht="18" customHeight="1" spans="1:23">
      <c r="A1376" s="87" t="str">
        <f t="shared" si="63"/>
        <v/>
      </c>
      <c r="B1376" s="78"/>
      <c r="C1376" s="80"/>
      <c r="D1376" s="79"/>
      <c r="E1376" s="80"/>
      <c r="F1376" s="79"/>
      <c r="G1376" s="25" t="str">
        <f t="shared" si="64"/>
        <v/>
      </c>
      <c r="H1376" s="88"/>
      <c r="I1376" s="93"/>
      <c r="J1376" s="97"/>
      <c r="K1376" s="88"/>
      <c r="L1376" s="25" t="str">
        <f>IF($D1376="","",SUMIFS($H$4:$H1376,$D$4:$D1376,$D1376)+SUMIFS($I$4:$I1376,$D$4:$D1376,$D1376)-SUMIFS($J$4:$J1376,$D$4:$D1376,$D1376)-SUMIFS($K$4:$K1376,$D$4:$D1376,$D1376))</f>
        <v/>
      </c>
      <c r="M1376" s="80"/>
      <c r="N1376" s="80"/>
      <c r="O1376" s="94"/>
      <c r="P1376" s="26" t="str">
        <f t="shared" si="65"/>
        <v/>
      </c>
      <c r="Q1376" s="80"/>
      <c r="R1376" s="80"/>
      <c r="S1376" s="80"/>
      <c r="T1376" s="82"/>
      <c r="U1376" s="80"/>
      <c r="V1376" s="80"/>
      <c r="W1376" s="80"/>
    </row>
    <row r="1377" ht="18" customHeight="1" spans="1:23">
      <c r="A1377" s="87" t="str">
        <f t="shared" si="63"/>
        <v/>
      </c>
      <c r="B1377" s="78"/>
      <c r="C1377" s="80"/>
      <c r="D1377" s="79"/>
      <c r="E1377" s="80"/>
      <c r="F1377" s="79"/>
      <c r="G1377" s="25" t="str">
        <f t="shared" si="64"/>
        <v/>
      </c>
      <c r="H1377" s="88"/>
      <c r="I1377" s="93"/>
      <c r="J1377" s="97"/>
      <c r="K1377" s="88"/>
      <c r="L1377" s="25" t="str">
        <f>IF($D1377="","",SUMIFS($H$4:$H1377,$D$4:$D1377,$D1377)+SUMIFS($I$4:$I1377,$D$4:$D1377,$D1377)-SUMIFS($J$4:$J1377,$D$4:$D1377,$D1377)-SUMIFS($K$4:$K1377,$D$4:$D1377,$D1377))</f>
        <v/>
      </c>
      <c r="M1377" s="80"/>
      <c r="N1377" s="80"/>
      <c r="O1377" s="94"/>
      <c r="P1377" s="26" t="str">
        <f t="shared" si="65"/>
        <v/>
      </c>
      <c r="Q1377" s="80"/>
      <c r="R1377" s="80"/>
      <c r="S1377" s="80"/>
      <c r="T1377" s="82"/>
      <c r="U1377" s="80"/>
      <c r="V1377" s="80"/>
      <c r="W1377" s="80"/>
    </row>
    <row r="1378" ht="18" customHeight="1" spans="1:23">
      <c r="A1378" s="87" t="str">
        <f t="shared" si="63"/>
        <v/>
      </c>
      <c r="B1378" s="78"/>
      <c r="C1378" s="80"/>
      <c r="D1378" s="79"/>
      <c r="E1378" s="80"/>
      <c r="F1378" s="79"/>
      <c r="G1378" s="25" t="str">
        <f t="shared" si="64"/>
        <v/>
      </c>
      <c r="H1378" s="88"/>
      <c r="I1378" s="93"/>
      <c r="J1378" s="97"/>
      <c r="K1378" s="88"/>
      <c r="L1378" s="25" t="str">
        <f>IF($D1378="","",SUMIFS($H$4:$H1378,$D$4:$D1378,$D1378)+SUMIFS($I$4:$I1378,$D$4:$D1378,$D1378)-SUMIFS($J$4:$J1378,$D$4:$D1378,$D1378)-SUMIFS($K$4:$K1378,$D$4:$D1378,$D1378))</f>
        <v/>
      </c>
      <c r="M1378" s="80"/>
      <c r="N1378" s="80"/>
      <c r="O1378" s="94"/>
      <c r="P1378" s="26" t="str">
        <f t="shared" si="65"/>
        <v/>
      </c>
      <c r="Q1378" s="80"/>
      <c r="R1378" s="80"/>
      <c r="S1378" s="80"/>
      <c r="T1378" s="82"/>
      <c r="U1378" s="80"/>
      <c r="V1378" s="80"/>
      <c r="W1378" s="80"/>
    </row>
    <row r="1379" ht="18" customHeight="1" spans="1:23">
      <c r="A1379" s="87" t="str">
        <f t="shared" si="63"/>
        <v/>
      </c>
      <c r="B1379" s="78"/>
      <c r="C1379" s="80"/>
      <c r="D1379" s="79"/>
      <c r="E1379" s="80"/>
      <c r="F1379" s="79"/>
      <c r="G1379" s="25" t="str">
        <f t="shared" si="64"/>
        <v/>
      </c>
      <c r="H1379" s="88"/>
      <c r="I1379" s="93"/>
      <c r="J1379" s="97"/>
      <c r="K1379" s="88"/>
      <c r="L1379" s="25" t="str">
        <f>IF($D1379="","",SUMIFS($H$4:$H1379,$D$4:$D1379,$D1379)+SUMIFS($I$4:$I1379,$D$4:$D1379,$D1379)-SUMIFS($J$4:$J1379,$D$4:$D1379,$D1379)-SUMIFS($K$4:$K1379,$D$4:$D1379,$D1379))</f>
        <v/>
      </c>
      <c r="M1379" s="80"/>
      <c r="N1379" s="80"/>
      <c r="O1379" s="94"/>
      <c r="P1379" s="26" t="str">
        <f t="shared" si="65"/>
        <v/>
      </c>
      <c r="Q1379" s="80"/>
      <c r="R1379" s="80"/>
      <c r="S1379" s="80"/>
      <c r="T1379" s="82"/>
      <c r="U1379" s="80"/>
      <c r="V1379" s="80"/>
      <c r="W1379" s="80"/>
    </row>
    <row r="1380" ht="18" customHeight="1" spans="1:23">
      <c r="A1380" s="87" t="str">
        <f t="shared" si="63"/>
        <v/>
      </c>
      <c r="B1380" s="78"/>
      <c r="C1380" s="80"/>
      <c r="D1380" s="79"/>
      <c r="E1380" s="80"/>
      <c r="F1380" s="79"/>
      <c r="G1380" s="25" t="str">
        <f t="shared" si="64"/>
        <v/>
      </c>
      <c r="H1380" s="88"/>
      <c r="I1380" s="93"/>
      <c r="J1380" s="97"/>
      <c r="K1380" s="88"/>
      <c r="L1380" s="25" t="str">
        <f>IF($D1380="","",SUMIFS($H$4:$H1380,$D$4:$D1380,$D1380)+SUMIFS($I$4:$I1380,$D$4:$D1380,$D1380)-SUMIFS($J$4:$J1380,$D$4:$D1380,$D1380)-SUMIFS($K$4:$K1380,$D$4:$D1380,$D1380))</f>
        <v/>
      </c>
      <c r="M1380" s="80"/>
      <c r="N1380" s="80"/>
      <c r="O1380" s="94"/>
      <c r="P1380" s="26" t="str">
        <f t="shared" si="65"/>
        <v/>
      </c>
      <c r="Q1380" s="80"/>
      <c r="R1380" s="80"/>
      <c r="S1380" s="80"/>
      <c r="T1380" s="82"/>
      <c r="U1380" s="80"/>
      <c r="V1380" s="80"/>
      <c r="W1380" s="80"/>
    </row>
    <row r="1381" ht="18" customHeight="1" spans="1:23">
      <c r="A1381" s="87" t="str">
        <f t="shared" si="63"/>
        <v/>
      </c>
      <c r="B1381" s="78"/>
      <c r="C1381" s="80"/>
      <c r="D1381" s="79"/>
      <c r="E1381" s="80"/>
      <c r="F1381" s="79"/>
      <c r="G1381" s="25" t="str">
        <f t="shared" si="64"/>
        <v/>
      </c>
      <c r="H1381" s="88"/>
      <c r="I1381" s="93"/>
      <c r="J1381" s="97"/>
      <c r="K1381" s="88"/>
      <c r="L1381" s="25" t="str">
        <f>IF($D1381="","",SUMIFS($H$4:$H1381,$D$4:$D1381,$D1381)+SUMIFS($I$4:$I1381,$D$4:$D1381,$D1381)-SUMIFS($J$4:$J1381,$D$4:$D1381,$D1381)-SUMIFS($K$4:$K1381,$D$4:$D1381,$D1381))</f>
        <v/>
      </c>
      <c r="M1381" s="80"/>
      <c r="N1381" s="80"/>
      <c r="O1381" s="94"/>
      <c r="P1381" s="26" t="str">
        <f t="shared" si="65"/>
        <v/>
      </c>
      <c r="Q1381" s="80"/>
      <c r="R1381" s="80"/>
      <c r="S1381" s="80"/>
      <c r="T1381" s="82"/>
      <c r="U1381" s="80"/>
      <c r="V1381" s="80"/>
      <c r="W1381" s="80"/>
    </row>
    <row r="1382" ht="18" customHeight="1" spans="1:23">
      <c r="A1382" s="87" t="str">
        <f t="shared" si="63"/>
        <v/>
      </c>
      <c r="B1382" s="78"/>
      <c r="C1382" s="80"/>
      <c r="D1382" s="79"/>
      <c r="E1382" s="80"/>
      <c r="F1382" s="79"/>
      <c r="G1382" s="25" t="str">
        <f t="shared" si="64"/>
        <v/>
      </c>
      <c r="H1382" s="88"/>
      <c r="I1382" s="93"/>
      <c r="J1382" s="97"/>
      <c r="K1382" s="88"/>
      <c r="L1382" s="25" t="str">
        <f>IF($D1382="","",SUMIFS($H$4:$H1382,$D$4:$D1382,$D1382)+SUMIFS($I$4:$I1382,$D$4:$D1382,$D1382)-SUMIFS($J$4:$J1382,$D$4:$D1382,$D1382)-SUMIFS($K$4:$K1382,$D$4:$D1382,$D1382))</f>
        <v/>
      </c>
      <c r="M1382" s="80"/>
      <c r="N1382" s="80"/>
      <c r="O1382" s="94"/>
      <c r="P1382" s="26" t="str">
        <f t="shared" si="65"/>
        <v/>
      </c>
      <c r="Q1382" s="80"/>
      <c r="R1382" s="80"/>
      <c r="S1382" s="80"/>
      <c r="T1382" s="82"/>
      <c r="U1382" s="80"/>
      <c r="V1382" s="80"/>
      <c r="W1382" s="80"/>
    </row>
    <row r="1383" ht="18" customHeight="1" spans="1:23">
      <c r="A1383" s="87" t="str">
        <f t="shared" si="63"/>
        <v/>
      </c>
      <c r="B1383" s="78"/>
      <c r="C1383" s="80"/>
      <c r="D1383" s="79"/>
      <c r="E1383" s="80"/>
      <c r="F1383" s="79"/>
      <c r="G1383" s="25" t="str">
        <f t="shared" si="64"/>
        <v/>
      </c>
      <c r="H1383" s="88"/>
      <c r="I1383" s="93"/>
      <c r="J1383" s="97"/>
      <c r="K1383" s="88"/>
      <c r="L1383" s="25" t="str">
        <f>IF($D1383="","",SUMIFS($H$4:$H1383,$D$4:$D1383,$D1383)+SUMIFS($I$4:$I1383,$D$4:$D1383,$D1383)-SUMIFS($J$4:$J1383,$D$4:$D1383,$D1383)-SUMIFS($K$4:$K1383,$D$4:$D1383,$D1383))</f>
        <v/>
      </c>
      <c r="M1383" s="80"/>
      <c r="N1383" s="80"/>
      <c r="O1383" s="94"/>
      <c r="P1383" s="26" t="str">
        <f t="shared" si="65"/>
        <v/>
      </c>
      <c r="Q1383" s="80"/>
      <c r="R1383" s="80"/>
      <c r="S1383" s="80"/>
      <c r="T1383" s="82"/>
      <c r="U1383" s="80"/>
      <c r="V1383" s="80"/>
      <c r="W1383" s="80"/>
    </row>
    <row r="1384" ht="18" customHeight="1" spans="1:23">
      <c r="A1384" s="87" t="str">
        <f t="shared" si="63"/>
        <v/>
      </c>
      <c r="B1384" s="78"/>
      <c r="C1384" s="80"/>
      <c r="D1384" s="79"/>
      <c r="E1384" s="80"/>
      <c r="F1384" s="79"/>
      <c r="G1384" s="25" t="str">
        <f t="shared" si="64"/>
        <v/>
      </c>
      <c r="H1384" s="88"/>
      <c r="I1384" s="93"/>
      <c r="J1384" s="97"/>
      <c r="K1384" s="88"/>
      <c r="L1384" s="25" t="str">
        <f>IF($D1384="","",SUMIFS($H$4:$H1384,$D$4:$D1384,$D1384)+SUMIFS($I$4:$I1384,$D$4:$D1384,$D1384)-SUMIFS($J$4:$J1384,$D$4:$D1384,$D1384)-SUMIFS($K$4:$K1384,$D$4:$D1384,$D1384))</f>
        <v/>
      </c>
      <c r="M1384" s="80"/>
      <c r="N1384" s="80"/>
      <c r="O1384" s="94"/>
      <c r="P1384" s="26" t="str">
        <f t="shared" si="65"/>
        <v/>
      </c>
      <c r="Q1384" s="80"/>
      <c r="R1384" s="80"/>
      <c r="S1384" s="80"/>
      <c r="T1384" s="82"/>
      <c r="U1384" s="80"/>
      <c r="V1384" s="80"/>
      <c r="W1384" s="80"/>
    </row>
    <row r="1385" ht="18" customHeight="1" spans="1:23">
      <c r="A1385" s="87" t="str">
        <f t="shared" si="63"/>
        <v/>
      </c>
      <c r="B1385" s="78"/>
      <c r="C1385" s="80"/>
      <c r="D1385" s="79"/>
      <c r="E1385" s="80"/>
      <c r="F1385" s="79"/>
      <c r="G1385" s="25" t="str">
        <f t="shared" si="64"/>
        <v/>
      </c>
      <c r="H1385" s="88"/>
      <c r="I1385" s="93"/>
      <c r="J1385" s="97"/>
      <c r="K1385" s="88"/>
      <c r="L1385" s="25" t="str">
        <f>IF($D1385="","",SUMIFS($H$4:$H1385,$D$4:$D1385,$D1385)+SUMIFS($I$4:$I1385,$D$4:$D1385,$D1385)-SUMIFS($J$4:$J1385,$D$4:$D1385,$D1385)-SUMIFS($K$4:$K1385,$D$4:$D1385,$D1385))</f>
        <v/>
      </c>
      <c r="M1385" s="80"/>
      <c r="N1385" s="80"/>
      <c r="O1385" s="94"/>
      <c r="P1385" s="26" t="str">
        <f t="shared" si="65"/>
        <v/>
      </c>
      <c r="Q1385" s="80"/>
      <c r="R1385" s="80"/>
      <c r="S1385" s="80"/>
      <c r="T1385" s="82"/>
      <c r="U1385" s="80"/>
      <c r="V1385" s="80"/>
      <c r="W1385" s="80"/>
    </row>
    <row r="1386" ht="18" customHeight="1" spans="1:23">
      <c r="A1386" s="87" t="str">
        <f t="shared" si="63"/>
        <v/>
      </c>
      <c r="B1386" s="78"/>
      <c r="C1386" s="80"/>
      <c r="D1386" s="79"/>
      <c r="E1386" s="80"/>
      <c r="F1386" s="79"/>
      <c r="G1386" s="25" t="str">
        <f t="shared" si="64"/>
        <v/>
      </c>
      <c r="H1386" s="88"/>
      <c r="I1386" s="93"/>
      <c r="J1386" s="97"/>
      <c r="K1386" s="88"/>
      <c r="L1386" s="25" t="str">
        <f>IF($D1386="","",SUMIFS($H$4:$H1386,$D$4:$D1386,$D1386)+SUMIFS($I$4:$I1386,$D$4:$D1386,$D1386)-SUMIFS($J$4:$J1386,$D$4:$D1386,$D1386)-SUMIFS($K$4:$K1386,$D$4:$D1386,$D1386))</f>
        <v/>
      </c>
      <c r="M1386" s="80"/>
      <c r="N1386" s="80"/>
      <c r="O1386" s="94"/>
      <c r="P1386" s="26" t="str">
        <f t="shared" si="65"/>
        <v/>
      </c>
      <c r="Q1386" s="80"/>
      <c r="R1386" s="80"/>
      <c r="S1386" s="80"/>
      <c r="T1386" s="82"/>
      <c r="U1386" s="80"/>
      <c r="V1386" s="80"/>
      <c r="W1386" s="80"/>
    </row>
    <row r="1387" ht="18" customHeight="1" spans="1:23">
      <c r="A1387" s="87" t="str">
        <f t="shared" si="63"/>
        <v/>
      </c>
      <c r="B1387" s="78"/>
      <c r="C1387" s="80"/>
      <c r="D1387" s="79"/>
      <c r="E1387" s="80"/>
      <c r="F1387" s="79"/>
      <c r="G1387" s="25" t="str">
        <f t="shared" si="64"/>
        <v/>
      </c>
      <c r="H1387" s="88"/>
      <c r="I1387" s="93"/>
      <c r="J1387" s="97"/>
      <c r="K1387" s="88"/>
      <c r="L1387" s="25" t="str">
        <f>IF($D1387="","",SUMIFS($H$4:$H1387,$D$4:$D1387,$D1387)+SUMIFS($I$4:$I1387,$D$4:$D1387,$D1387)-SUMIFS($J$4:$J1387,$D$4:$D1387,$D1387)-SUMIFS($K$4:$K1387,$D$4:$D1387,$D1387))</f>
        <v/>
      </c>
      <c r="M1387" s="80"/>
      <c r="N1387" s="80"/>
      <c r="O1387" s="94"/>
      <c r="P1387" s="26" t="str">
        <f t="shared" si="65"/>
        <v/>
      </c>
      <c r="Q1387" s="80"/>
      <c r="R1387" s="80"/>
      <c r="S1387" s="80"/>
      <c r="T1387" s="82"/>
      <c r="U1387" s="80"/>
      <c r="V1387" s="80"/>
      <c r="W1387" s="80"/>
    </row>
    <row r="1388" ht="18" customHeight="1" spans="1:23">
      <c r="A1388" s="87" t="str">
        <f t="shared" si="63"/>
        <v/>
      </c>
      <c r="B1388" s="78"/>
      <c r="C1388" s="80"/>
      <c r="D1388" s="79"/>
      <c r="E1388" s="80"/>
      <c r="F1388" s="79"/>
      <c r="G1388" s="25" t="str">
        <f t="shared" si="64"/>
        <v/>
      </c>
      <c r="H1388" s="88"/>
      <c r="I1388" s="93"/>
      <c r="J1388" s="97"/>
      <c r="K1388" s="88"/>
      <c r="L1388" s="25" t="str">
        <f>IF($D1388="","",SUMIFS($H$4:$H1388,$D$4:$D1388,$D1388)+SUMIFS($I$4:$I1388,$D$4:$D1388,$D1388)-SUMIFS($J$4:$J1388,$D$4:$D1388,$D1388)-SUMIFS($K$4:$K1388,$D$4:$D1388,$D1388))</f>
        <v/>
      </c>
      <c r="M1388" s="80"/>
      <c r="N1388" s="80"/>
      <c r="O1388" s="94"/>
      <c r="P1388" s="26" t="str">
        <f t="shared" si="65"/>
        <v/>
      </c>
      <c r="Q1388" s="80"/>
      <c r="R1388" s="80"/>
      <c r="S1388" s="80"/>
      <c r="T1388" s="82"/>
      <c r="U1388" s="80"/>
      <c r="V1388" s="80"/>
      <c r="W1388" s="80"/>
    </row>
    <row r="1389" ht="18" customHeight="1" spans="1:23">
      <c r="A1389" s="87" t="str">
        <f t="shared" si="63"/>
        <v/>
      </c>
      <c r="B1389" s="78"/>
      <c r="C1389" s="80"/>
      <c r="D1389" s="79"/>
      <c r="E1389" s="80"/>
      <c r="F1389" s="79"/>
      <c r="G1389" s="25" t="str">
        <f t="shared" si="64"/>
        <v/>
      </c>
      <c r="H1389" s="88"/>
      <c r="I1389" s="93"/>
      <c r="J1389" s="97"/>
      <c r="K1389" s="88"/>
      <c r="L1389" s="25" t="str">
        <f>IF($D1389="","",SUMIFS($H$4:$H1389,$D$4:$D1389,$D1389)+SUMIFS($I$4:$I1389,$D$4:$D1389,$D1389)-SUMIFS($J$4:$J1389,$D$4:$D1389,$D1389)-SUMIFS($K$4:$K1389,$D$4:$D1389,$D1389))</f>
        <v/>
      </c>
      <c r="M1389" s="80"/>
      <c r="N1389" s="80"/>
      <c r="O1389" s="94"/>
      <c r="P1389" s="26" t="str">
        <f t="shared" si="65"/>
        <v/>
      </c>
      <c r="Q1389" s="80"/>
      <c r="R1389" s="80"/>
      <c r="S1389" s="80"/>
      <c r="T1389" s="82"/>
      <c r="U1389" s="80"/>
      <c r="V1389" s="80"/>
      <c r="W1389" s="80"/>
    </row>
    <row r="1390" ht="18" customHeight="1" spans="1:23">
      <c r="A1390" s="87" t="str">
        <f t="shared" si="63"/>
        <v/>
      </c>
      <c r="B1390" s="78"/>
      <c r="C1390" s="80"/>
      <c r="D1390" s="79"/>
      <c r="E1390" s="80"/>
      <c r="F1390" s="79"/>
      <c r="G1390" s="25" t="str">
        <f t="shared" si="64"/>
        <v/>
      </c>
      <c r="H1390" s="88"/>
      <c r="I1390" s="93"/>
      <c r="J1390" s="97"/>
      <c r="K1390" s="88"/>
      <c r="L1390" s="25" t="str">
        <f>IF($D1390="","",SUMIFS($H$4:$H1390,$D$4:$D1390,$D1390)+SUMIFS($I$4:$I1390,$D$4:$D1390,$D1390)-SUMIFS($J$4:$J1390,$D$4:$D1390,$D1390)-SUMIFS($K$4:$K1390,$D$4:$D1390,$D1390))</f>
        <v/>
      </c>
      <c r="M1390" s="80"/>
      <c r="N1390" s="80"/>
      <c r="O1390" s="94"/>
      <c r="P1390" s="26" t="str">
        <f t="shared" si="65"/>
        <v/>
      </c>
      <c r="Q1390" s="80"/>
      <c r="R1390" s="80"/>
      <c r="S1390" s="80"/>
      <c r="T1390" s="82"/>
      <c r="U1390" s="80"/>
      <c r="V1390" s="80"/>
      <c r="W1390" s="80"/>
    </row>
    <row r="1391" ht="18" customHeight="1" spans="1:23">
      <c r="A1391" s="87" t="str">
        <f t="shared" si="63"/>
        <v/>
      </c>
      <c r="B1391" s="78"/>
      <c r="C1391" s="80"/>
      <c r="D1391" s="79"/>
      <c r="E1391" s="80"/>
      <c r="F1391" s="79"/>
      <c r="G1391" s="25" t="str">
        <f t="shared" si="64"/>
        <v/>
      </c>
      <c r="H1391" s="88"/>
      <c r="I1391" s="93"/>
      <c r="J1391" s="97"/>
      <c r="K1391" s="88"/>
      <c r="L1391" s="25" t="str">
        <f>IF($D1391="","",SUMIFS($H$4:$H1391,$D$4:$D1391,$D1391)+SUMIFS($I$4:$I1391,$D$4:$D1391,$D1391)-SUMIFS($J$4:$J1391,$D$4:$D1391,$D1391)-SUMIFS($K$4:$K1391,$D$4:$D1391,$D1391))</f>
        <v/>
      </c>
      <c r="M1391" s="80"/>
      <c r="N1391" s="80"/>
      <c r="O1391" s="94"/>
      <c r="P1391" s="26" t="str">
        <f t="shared" si="65"/>
        <v/>
      </c>
      <c r="Q1391" s="80"/>
      <c r="R1391" s="80"/>
      <c r="S1391" s="80"/>
      <c r="T1391" s="82"/>
      <c r="U1391" s="80"/>
      <c r="V1391" s="80"/>
      <c r="W1391" s="80"/>
    </row>
    <row r="1392" ht="18" customHeight="1" spans="1:23">
      <c r="A1392" s="87" t="str">
        <f t="shared" si="63"/>
        <v/>
      </c>
      <c r="B1392" s="78"/>
      <c r="C1392" s="80"/>
      <c r="D1392" s="79"/>
      <c r="E1392" s="80"/>
      <c r="F1392" s="79"/>
      <c r="G1392" s="25" t="str">
        <f t="shared" si="64"/>
        <v/>
      </c>
      <c r="H1392" s="88"/>
      <c r="I1392" s="93"/>
      <c r="J1392" s="97"/>
      <c r="K1392" s="88"/>
      <c r="L1392" s="25" t="str">
        <f>IF($D1392="","",SUMIFS($H$4:$H1392,$D$4:$D1392,$D1392)+SUMIFS($I$4:$I1392,$D$4:$D1392,$D1392)-SUMIFS($J$4:$J1392,$D$4:$D1392,$D1392)-SUMIFS($K$4:$K1392,$D$4:$D1392,$D1392))</f>
        <v/>
      </c>
      <c r="M1392" s="80"/>
      <c r="N1392" s="80"/>
      <c r="O1392" s="94"/>
      <c r="P1392" s="26" t="str">
        <f t="shared" si="65"/>
        <v/>
      </c>
      <c r="Q1392" s="80"/>
      <c r="R1392" s="80"/>
      <c r="S1392" s="80"/>
      <c r="T1392" s="82"/>
      <c r="U1392" s="80"/>
      <c r="V1392" s="80"/>
      <c r="W1392" s="80"/>
    </row>
    <row r="1393" ht="18" customHeight="1" spans="1:23">
      <c r="A1393" s="87" t="str">
        <f t="shared" si="63"/>
        <v/>
      </c>
      <c r="B1393" s="78"/>
      <c r="C1393" s="80"/>
      <c r="D1393" s="79"/>
      <c r="E1393" s="80"/>
      <c r="F1393" s="79"/>
      <c r="G1393" s="25" t="str">
        <f t="shared" si="64"/>
        <v/>
      </c>
      <c r="H1393" s="88"/>
      <c r="I1393" s="93"/>
      <c r="J1393" s="97"/>
      <c r="K1393" s="88"/>
      <c r="L1393" s="25" t="str">
        <f>IF($D1393="","",SUMIFS($H$4:$H1393,$D$4:$D1393,$D1393)+SUMIFS($I$4:$I1393,$D$4:$D1393,$D1393)-SUMIFS($J$4:$J1393,$D$4:$D1393,$D1393)-SUMIFS($K$4:$K1393,$D$4:$D1393,$D1393))</f>
        <v/>
      </c>
      <c r="M1393" s="80"/>
      <c r="N1393" s="80"/>
      <c r="O1393" s="94"/>
      <c r="P1393" s="26" t="str">
        <f t="shared" si="65"/>
        <v/>
      </c>
      <c r="Q1393" s="80"/>
      <c r="R1393" s="80"/>
      <c r="S1393" s="80"/>
      <c r="T1393" s="82"/>
      <c r="U1393" s="80"/>
      <c r="V1393" s="80"/>
      <c r="W1393" s="80"/>
    </row>
    <row r="1394" ht="18" customHeight="1" spans="1:23">
      <c r="A1394" s="87" t="str">
        <f t="shared" si="63"/>
        <v/>
      </c>
      <c r="B1394" s="78"/>
      <c r="C1394" s="80"/>
      <c r="D1394" s="79"/>
      <c r="E1394" s="80"/>
      <c r="F1394" s="79"/>
      <c r="G1394" s="25" t="str">
        <f t="shared" si="64"/>
        <v/>
      </c>
      <c r="H1394" s="88"/>
      <c r="I1394" s="93"/>
      <c r="J1394" s="97"/>
      <c r="K1394" s="88"/>
      <c r="L1394" s="25" t="str">
        <f>IF($D1394="","",SUMIFS($H$4:$H1394,$D$4:$D1394,$D1394)+SUMIFS($I$4:$I1394,$D$4:$D1394,$D1394)-SUMIFS($J$4:$J1394,$D$4:$D1394,$D1394)-SUMIFS($K$4:$K1394,$D$4:$D1394,$D1394))</f>
        <v/>
      </c>
      <c r="M1394" s="80"/>
      <c r="N1394" s="80"/>
      <c r="O1394" s="94"/>
      <c r="P1394" s="26" t="str">
        <f t="shared" si="65"/>
        <v/>
      </c>
      <c r="Q1394" s="80"/>
      <c r="R1394" s="80"/>
      <c r="S1394" s="80"/>
      <c r="T1394" s="82"/>
      <c r="U1394" s="80"/>
      <c r="V1394" s="80"/>
      <c r="W1394" s="80"/>
    </row>
    <row r="1395" ht="18" customHeight="1" spans="1:23">
      <c r="A1395" s="87" t="str">
        <f t="shared" si="63"/>
        <v/>
      </c>
      <c r="B1395" s="78"/>
      <c r="C1395" s="80"/>
      <c r="D1395" s="79"/>
      <c r="E1395" s="80"/>
      <c r="F1395" s="79"/>
      <c r="G1395" s="25" t="str">
        <f t="shared" si="64"/>
        <v/>
      </c>
      <c r="H1395" s="88"/>
      <c r="I1395" s="93"/>
      <c r="J1395" s="97"/>
      <c r="K1395" s="88"/>
      <c r="L1395" s="25" t="str">
        <f>IF($D1395="","",SUMIFS($H$4:$H1395,$D$4:$D1395,$D1395)+SUMIFS($I$4:$I1395,$D$4:$D1395,$D1395)-SUMIFS($J$4:$J1395,$D$4:$D1395,$D1395)-SUMIFS($K$4:$K1395,$D$4:$D1395,$D1395))</f>
        <v/>
      </c>
      <c r="M1395" s="80"/>
      <c r="N1395" s="80"/>
      <c r="O1395" s="94"/>
      <c r="P1395" s="26" t="str">
        <f t="shared" si="65"/>
        <v/>
      </c>
      <c r="Q1395" s="80"/>
      <c r="R1395" s="80"/>
      <c r="S1395" s="80"/>
      <c r="T1395" s="82"/>
      <c r="U1395" s="80"/>
      <c r="V1395" s="80"/>
      <c r="W1395" s="80"/>
    </row>
    <row r="1396" ht="18" customHeight="1" spans="1:23">
      <c r="A1396" s="87" t="str">
        <f t="shared" si="63"/>
        <v/>
      </c>
      <c r="B1396" s="78"/>
      <c r="C1396" s="80"/>
      <c r="D1396" s="79"/>
      <c r="E1396" s="80"/>
      <c r="F1396" s="79"/>
      <c r="G1396" s="25" t="str">
        <f t="shared" si="64"/>
        <v/>
      </c>
      <c r="H1396" s="88"/>
      <c r="I1396" s="93"/>
      <c r="J1396" s="97"/>
      <c r="K1396" s="88"/>
      <c r="L1396" s="25" t="str">
        <f>IF($D1396="","",SUMIFS($H$4:$H1396,$D$4:$D1396,$D1396)+SUMIFS($I$4:$I1396,$D$4:$D1396,$D1396)-SUMIFS($J$4:$J1396,$D$4:$D1396,$D1396)-SUMIFS($K$4:$K1396,$D$4:$D1396,$D1396))</f>
        <v/>
      </c>
      <c r="M1396" s="80"/>
      <c r="N1396" s="80"/>
      <c r="O1396" s="94"/>
      <c r="P1396" s="26" t="str">
        <f t="shared" si="65"/>
        <v/>
      </c>
      <c r="Q1396" s="80"/>
      <c r="R1396" s="80"/>
      <c r="S1396" s="80"/>
      <c r="T1396" s="82"/>
      <c r="U1396" s="80"/>
      <c r="V1396" s="80"/>
      <c r="W1396" s="80"/>
    </row>
    <row r="1397" ht="18" customHeight="1" spans="1:23">
      <c r="A1397" s="87" t="str">
        <f t="shared" si="63"/>
        <v/>
      </c>
      <c r="B1397" s="78"/>
      <c r="C1397" s="80"/>
      <c r="D1397" s="79"/>
      <c r="E1397" s="80"/>
      <c r="F1397" s="79"/>
      <c r="G1397" s="25" t="str">
        <f t="shared" si="64"/>
        <v/>
      </c>
      <c r="H1397" s="88"/>
      <c r="I1397" s="93"/>
      <c r="J1397" s="97"/>
      <c r="K1397" s="88"/>
      <c r="L1397" s="25" t="str">
        <f>IF($D1397="","",SUMIFS($H$4:$H1397,$D$4:$D1397,$D1397)+SUMIFS($I$4:$I1397,$D$4:$D1397,$D1397)-SUMIFS($J$4:$J1397,$D$4:$D1397,$D1397)-SUMIFS($K$4:$K1397,$D$4:$D1397,$D1397))</f>
        <v/>
      </c>
      <c r="M1397" s="80"/>
      <c r="N1397" s="80"/>
      <c r="O1397" s="94"/>
      <c r="P1397" s="26" t="str">
        <f t="shared" si="65"/>
        <v/>
      </c>
      <c r="Q1397" s="80"/>
      <c r="R1397" s="80"/>
      <c r="S1397" s="80"/>
      <c r="T1397" s="82"/>
      <c r="U1397" s="80"/>
      <c r="V1397" s="80"/>
      <c r="W1397" s="80"/>
    </row>
    <row r="1398" ht="18" customHeight="1" spans="1:23">
      <c r="A1398" s="87" t="str">
        <f t="shared" si="63"/>
        <v/>
      </c>
      <c r="B1398" s="78"/>
      <c r="C1398" s="80"/>
      <c r="D1398" s="79"/>
      <c r="E1398" s="80"/>
      <c r="F1398" s="79"/>
      <c r="G1398" s="25" t="str">
        <f t="shared" si="64"/>
        <v/>
      </c>
      <c r="H1398" s="88"/>
      <c r="I1398" s="93"/>
      <c r="J1398" s="97"/>
      <c r="K1398" s="88"/>
      <c r="L1398" s="25" t="str">
        <f>IF($D1398="","",SUMIFS($H$4:$H1398,$D$4:$D1398,$D1398)+SUMIFS($I$4:$I1398,$D$4:$D1398,$D1398)-SUMIFS($J$4:$J1398,$D$4:$D1398,$D1398)-SUMIFS($K$4:$K1398,$D$4:$D1398,$D1398))</f>
        <v/>
      </c>
      <c r="M1398" s="80"/>
      <c r="N1398" s="80"/>
      <c r="O1398" s="94"/>
      <c r="P1398" s="26" t="str">
        <f t="shared" si="65"/>
        <v/>
      </c>
      <c r="Q1398" s="80"/>
      <c r="R1398" s="80"/>
      <c r="S1398" s="80"/>
      <c r="T1398" s="82"/>
      <c r="U1398" s="80"/>
      <c r="V1398" s="80"/>
      <c r="W1398" s="80"/>
    </row>
    <row r="1399" ht="18" customHeight="1" spans="1:23">
      <c r="A1399" s="87" t="str">
        <f t="shared" si="63"/>
        <v/>
      </c>
      <c r="B1399" s="78"/>
      <c r="C1399" s="80"/>
      <c r="D1399" s="79"/>
      <c r="E1399" s="80"/>
      <c r="F1399" s="79"/>
      <c r="G1399" s="25" t="str">
        <f t="shared" si="64"/>
        <v/>
      </c>
      <c r="H1399" s="88"/>
      <c r="I1399" s="93"/>
      <c r="J1399" s="97"/>
      <c r="K1399" s="88"/>
      <c r="L1399" s="25" t="str">
        <f>IF($D1399="","",SUMIFS($H$4:$H1399,$D$4:$D1399,$D1399)+SUMIFS($I$4:$I1399,$D$4:$D1399,$D1399)-SUMIFS($J$4:$J1399,$D$4:$D1399,$D1399)-SUMIFS($K$4:$K1399,$D$4:$D1399,$D1399))</f>
        <v/>
      </c>
      <c r="M1399" s="80"/>
      <c r="N1399" s="80"/>
      <c r="O1399" s="94"/>
      <c r="P1399" s="26" t="str">
        <f t="shared" si="65"/>
        <v/>
      </c>
      <c r="Q1399" s="80"/>
      <c r="R1399" s="80"/>
      <c r="S1399" s="80"/>
      <c r="T1399" s="82"/>
      <c r="U1399" s="80"/>
      <c r="V1399" s="80"/>
      <c r="W1399" s="80"/>
    </row>
    <row r="1400" ht="18" customHeight="1" spans="1:23">
      <c r="A1400" s="87" t="str">
        <f t="shared" si="63"/>
        <v/>
      </c>
      <c r="B1400" s="78"/>
      <c r="C1400" s="80"/>
      <c r="D1400" s="79"/>
      <c r="E1400" s="80"/>
      <c r="F1400" s="79"/>
      <c r="G1400" s="25" t="str">
        <f t="shared" si="64"/>
        <v/>
      </c>
      <c r="H1400" s="88"/>
      <c r="I1400" s="93"/>
      <c r="J1400" s="97"/>
      <c r="K1400" s="88"/>
      <c r="L1400" s="25" t="str">
        <f>IF($D1400="","",SUMIFS($H$4:$H1400,$D$4:$D1400,$D1400)+SUMIFS($I$4:$I1400,$D$4:$D1400,$D1400)-SUMIFS($J$4:$J1400,$D$4:$D1400,$D1400)-SUMIFS($K$4:$K1400,$D$4:$D1400,$D1400))</f>
        <v/>
      </c>
      <c r="M1400" s="80"/>
      <c r="N1400" s="80"/>
      <c r="O1400" s="94"/>
      <c r="P1400" s="26" t="str">
        <f t="shared" si="65"/>
        <v/>
      </c>
      <c r="Q1400" s="80"/>
      <c r="R1400" s="80"/>
      <c r="S1400" s="80"/>
      <c r="T1400" s="82"/>
      <c r="U1400" s="80"/>
      <c r="V1400" s="80"/>
      <c r="W1400" s="80"/>
    </row>
    <row r="1401" ht="18" customHeight="1" spans="1:23">
      <c r="A1401" s="87" t="str">
        <f t="shared" si="63"/>
        <v/>
      </c>
      <c r="B1401" s="78"/>
      <c r="C1401" s="80"/>
      <c r="D1401" s="79"/>
      <c r="E1401" s="80"/>
      <c r="F1401" s="79"/>
      <c r="G1401" s="25" t="str">
        <f t="shared" si="64"/>
        <v/>
      </c>
      <c r="H1401" s="88"/>
      <c r="I1401" s="93"/>
      <c r="J1401" s="97"/>
      <c r="K1401" s="88"/>
      <c r="L1401" s="25" t="str">
        <f>IF($D1401="","",SUMIFS($H$4:$H1401,$D$4:$D1401,$D1401)+SUMIFS($I$4:$I1401,$D$4:$D1401,$D1401)-SUMIFS($J$4:$J1401,$D$4:$D1401,$D1401)-SUMIFS($K$4:$K1401,$D$4:$D1401,$D1401))</f>
        <v/>
      </c>
      <c r="M1401" s="80"/>
      <c r="N1401" s="80"/>
      <c r="O1401" s="94"/>
      <c r="P1401" s="26" t="str">
        <f t="shared" si="65"/>
        <v/>
      </c>
      <c r="Q1401" s="80"/>
      <c r="R1401" s="80"/>
      <c r="S1401" s="80"/>
      <c r="T1401" s="82"/>
      <c r="U1401" s="80"/>
      <c r="V1401" s="80"/>
      <c r="W1401" s="80"/>
    </row>
    <row r="1402" ht="18" customHeight="1" spans="1:23">
      <c r="A1402" s="87" t="str">
        <f t="shared" si="63"/>
        <v/>
      </c>
      <c r="B1402" s="78"/>
      <c r="C1402" s="80"/>
      <c r="D1402" s="79"/>
      <c r="E1402" s="80"/>
      <c r="F1402" s="79"/>
      <c r="G1402" s="25" t="str">
        <f t="shared" si="64"/>
        <v/>
      </c>
      <c r="H1402" s="88"/>
      <c r="I1402" s="93"/>
      <c r="J1402" s="97"/>
      <c r="K1402" s="88"/>
      <c r="L1402" s="25" t="str">
        <f>IF($D1402="","",SUMIFS($H$4:$H1402,$D$4:$D1402,$D1402)+SUMIFS($I$4:$I1402,$D$4:$D1402,$D1402)-SUMIFS($J$4:$J1402,$D$4:$D1402,$D1402)-SUMIFS($K$4:$K1402,$D$4:$D1402,$D1402))</f>
        <v/>
      </c>
      <c r="M1402" s="80"/>
      <c r="N1402" s="80"/>
      <c r="O1402" s="94"/>
      <c r="P1402" s="26" t="str">
        <f t="shared" si="65"/>
        <v/>
      </c>
      <c r="Q1402" s="80"/>
      <c r="R1402" s="80"/>
      <c r="S1402" s="80"/>
      <c r="T1402" s="82"/>
      <c r="U1402" s="80"/>
      <c r="V1402" s="80"/>
      <c r="W1402" s="80"/>
    </row>
    <row r="1403" ht="18" customHeight="1" spans="1:23">
      <c r="A1403" s="87" t="str">
        <f t="shared" si="63"/>
        <v/>
      </c>
      <c r="B1403" s="78"/>
      <c r="C1403" s="80"/>
      <c r="D1403" s="79"/>
      <c r="E1403" s="80"/>
      <c r="F1403" s="79"/>
      <c r="G1403" s="25" t="str">
        <f t="shared" si="64"/>
        <v/>
      </c>
      <c r="H1403" s="88"/>
      <c r="I1403" s="93"/>
      <c r="J1403" s="97"/>
      <c r="K1403" s="88"/>
      <c r="L1403" s="25" t="str">
        <f>IF($D1403="","",SUMIFS($H$4:$H1403,$D$4:$D1403,$D1403)+SUMIFS($I$4:$I1403,$D$4:$D1403,$D1403)-SUMIFS($J$4:$J1403,$D$4:$D1403,$D1403)-SUMIFS($K$4:$K1403,$D$4:$D1403,$D1403))</f>
        <v/>
      </c>
      <c r="M1403" s="80"/>
      <c r="N1403" s="80"/>
      <c r="O1403" s="94"/>
      <c r="P1403" s="26" t="str">
        <f t="shared" si="65"/>
        <v/>
      </c>
      <c r="Q1403" s="80"/>
      <c r="R1403" s="80"/>
      <c r="S1403" s="80"/>
      <c r="T1403" s="82"/>
      <c r="U1403" s="80"/>
      <c r="V1403" s="80"/>
      <c r="W1403" s="80"/>
    </row>
    <row r="1404" ht="18" customHeight="1" spans="1:23">
      <c r="A1404" s="87" t="str">
        <f t="shared" si="63"/>
        <v/>
      </c>
      <c r="B1404" s="78"/>
      <c r="C1404" s="80"/>
      <c r="D1404" s="79"/>
      <c r="E1404" s="80"/>
      <c r="F1404" s="79"/>
      <c r="G1404" s="25" t="str">
        <f t="shared" si="64"/>
        <v/>
      </c>
      <c r="H1404" s="88"/>
      <c r="I1404" s="93"/>
      <c r="J1404" s="97"/>
      <c r="K1404" s="88"/>
      <c r="L1404" s="25" t="str">
        <f>IF($D1404="","",SUMIFS($H$4:$H1404,$D$4:$D1404,$D1404)+SUMIFS($I$4:$I1404,$D$4:$D1404,$D1404)-SUMIFS($J$4:$J1404,$D$4:$D1404,$D1404)-SUMIFS($K$4:$K1404,$D$4:$D1404,$D1404))</f>
        <v/>
      </c>
      <c r="M1404" s="80"/>
      <c r="N1404" s="80"/>
      <c r="O1404" s="94"/>
      <c r="P1404" s="26" t="str">
        <f t="shared" si="65"/>
        <v/>
      </c>
      <c r="Q1404" s="80"/>
      <c r="R1404" s="80"/>
      <c r="S1404" s="80"/>
      <c r="T1404" s="82"/>
      <c r="U1404" s="80"/>
      <c r="V1404" s="80"/>
      <c r="W1404" s="80"/>
    </row>
    <row r="1405" ht="18" customHeight="1" spans="1:23">
      <c r="A1405" s="87" t="str">
        <f t="shared" si="63"/>
        <v/>
      </c>
      <c r="B1405" s="78"/>
      <c r="C1405" s="80"/>
      <c r="D1405" s="79"/>
      <c r="E1405" s="80"/>
      <c r="F1405" s="79"/>
      <c r="G1405" s="25" t="str">
        <f t="shared" si="64"/>
        <v/>
      </c>
      <c r="H1405" s="88"/>
      <c r="I1405" s="93"/>
      <c r="J1405" s="97"/>
      <c r="K1405" s="88"/>
      <c r="L1405" s="25" t="str">
        <f>IF($D1405="","",SUMIFS($H$4:$H1405,$D$4:$D1405,$D1405)+SUMIFS($I$4:$I1405,$D$4:$D1405,$D1405)-SUMIFS($J$4:$J1405,$D$4:$D1405,$D1405)-SUMIFS($K$4:$K1405,$D$4:$D1405,$D1405))</f>
        <v/>
      </c>
      <c r="M1405" s="80"/>
      <c r="N1405" s="80"/>
      <c r="O1405" s="94"/>
      <c r="P1405" s="26" t="str">
        <f t="shared" si="65"/>
        <v/>
      </c>
      <c r="Q1405" s="80"/>
      <c r="R1405" s="80"/>
      <c r="S1405" s="80"/>
      <c r="T1405" s="82"/>
      <c r="U1405" s="80"/>
      <c r="V1405" s="80"/>
      <c r="W1405" s="80"/>
    </row>
    <row r="1406" ht="18" customHeight="1" spans="1:23">
      <c r="A1406" s="87" t="str">
        <f t="shared" si="63"/>
        <v/>
      </c>
      <c r="B1406" s="78"/>
      <c r="C1406" s="80"/>
      <c r="D1406" s="79"/>
      <c r="E1406" s="80"/>
      <c r="F1406" s="79"/>
      <c r="G1406" s="25" t="str">
        <f t="shared" si="64"/>
        <v/>
      </c>
      <c r="H1406" s="88"/>
      <c r="I1406" s="93"/>
      <c r="J1406" s="97"/>
      <c r="K1406" s="88"/>
      <c r="L1406" s="25" t="str">
        <f>IF($D1406="","",SUMIFS($H$4:$H1406,$D$4:$D1406,$D1406)+SUMIFS($I$4:$I1406,$D$4:$D1406,$D1406)-SUMIFS($J$4:$J1406,$D$4:$D1406,$D1406)-SUMIFS($K$4:$K1406,$D$4:$D1406,$D1406))</f>
        <v/>
      </c>
      <c r="M1406" s="80"/>
      <c r="N1406" s="80"/>
      <c r="O1406" s="94"/>
      <c r="P1406" s="26" t="str">
        <f t="shared" si="65"/>
        <v/>
      </c>
      <c r="Q1406" s="80"/>
      <c r="R1406" s="80"/>
      <c r="S1406" s="80"/>
      <c r="T1406" s="82"/>
      <c r="U1406" s="80"/>
      <c r="V1406" s="80"/>
      <c r="W1406" s="80"/>
    </row>
    <row r="1407" ht="18" customHeight="1" spans="1:23">
      <c r="A1407" s="87" t="str">
        <f t="shared" si="63"/>
        <v/>
      </c>
      <c r="B1407" s="78"/>
      <c r="C1407" s="80"/>
      <c r="D1407" s="79"/>
      <c r="E1407" s="80"/>
      <c r="F1407" s="79"/>
      <c r="G1407" s="25" t="str">
        <f t="shared" si="64"/>
        <v/>
      </c>
      <c r="H1407" s="88"/>
      <c r="I1407" s="93"/>
      <c r="J1407" s="97"/>
      <c r="K1407" s="88"/>
      <c r="L1407" s="25" t="str">
        <f>IF($D1407="","",SUMIFS($H$4:$H1407,$D$4:$D1407,$D1407)+SUMIFS($I$4:$I1407,$D$4:$D1407,$D1407)-SUMIFS($J$4:$J1407,$D$4:$D1407,$D1407)-SUMIFS($K$4:$K1407,$D$4:$D1407,$D1407))</f>
        <v/>
      </c>
      <c r="M1407" s="80"/>
      <c r="N1407" s="80"/>
      <c r="O1407" s="94"/>
      <c r="P1407" s="26" t="str">
        <f t="shared" si="65"/>
        <v/>
      </c>
      <c r="Q1407" s="80"/>
      <c r="R1407" s="80"/>
      <c r="S1407" s="80"/>
      <c r="T1407" s="82"/>
      <c r="U1407" s="80"/>
      <c r="V1407" s="80"/>
      <c r="W1407" s="80"/>
    </row>
    <row r="1408" ht="18" customHeight="1" spans="1:23">
      <c r="A1408" s="87" t="str">
        <f t="shared" si="63"/>
        <v/>
      </c>
      <c r="B1408" s="78"/>
      <c r="C1408" s="80"/>
      <c r="D1408" s="79"/>
      <c r="E1408" s="80"/>
      <c r="F1408" s="79"/>
      <c r="G1408" s="25" t="str">
        <f t="shared" si="64"/>
        <v/>
      </c>
      <c r="H1408" s="88"/>
      <c r="I1408" s="93"/>
      <c r="J1408" s="97"/>
      <c r="K1408" s="88"/>
      <c r="L1408" s="25" t="str">
        <f>IF($D1408="","",SUMIFS($H$4:$H1408,$D$4:$D1408,$D1408)+SUMIFS($I$4:$I1408,$D$4:$D1408,$D1408)-SUMIFS($J$4:$J1408,$D$4:$D1408,$D1408)-SUMIFS($K$4:$K1408,$D$4:$D1408,$D1408))</f>
        <v/>
      </c>
      <c r="M1408" s="80"/>
      <c r="N1408" s="80"/>
      <c r="O1408" s="94"/>
      <c r="P1408" s="26" t="str">
        <f t="shared" si="65"/>
        <v/>
      </c>
      <c r="Q1408" s="80"/>
      <c r="R1408" s="80"/>
      <c r="S1408" s="80"/>
      <c r="T1408" s="82"/>
      <c r="U1408" s="80"/>
      <c r="V1408" s="80"/>
      <c r="W1408" s="80"/>
    </row>
    <row r="1409" ht="18" customHeight="1" spans="1:23">
      <c r="A1409" s="87" t="str">
        <f t="shared" si="63"/>
        <v/>
      </c>
      <c r="B1409" s="78"/>
      <c r="C1409" s="80"/>
      <c r="D1409" s="79"/>
      <c r="E1409" s="80"/>
      <c r="F1409" s="79"/>
      <c r="G1409" s="25" t="str">
        <f t="shared" si="64"/>
        <v/>
      </c>
      <c r="H1409" s="88"/>
      <c r="I1409" s="93"/>
      <c r="J1409" s="97"/>
      <c r="K1409" s="88"/>
      <c r="L1409" s="25" t="str">
        <f>IF($D1409="","",SUMIFS($H$4:$H1409,$D$4:$D1409,$D1409)+SUMIFS($I$4:$I1409,$D$4:$D1409,$D1409)-SUMIFS($J$4:$J1409,$D$4:$D1409,$D1409)-SUMIFS($K$4:$K1409,$D$4:$D1409,$D1409))</f>
        <v/>
      </c>
      <c r="M1409" s="80"/>
      <c r="N1409" s="80"/>
      <c r="O1409" s="94"/>
      <c r="P1409" s="26" t="str">
        <f t="shared" si="65"/>
        <v/>
      </c>
      <c r="Q1409" s="80"/>
      <c r="R1409" s="80"/>
      <c r="S1409" s="80"/>
      <c r="T1409" s="82"/>
      <c r="U1409" s="80"/>
      <c r="V1409" s="80"/>
      <c r="W1409" s="80"/>
    </row>
    <row r="1410" ht="18" customHeight="1" spans="1:23">
      <c r="A1410" s="87" t="str">
        <f t="shared" si="63"/>
        <v/>
      </c>
      <c r="B1410" s="78"/>
      <c r="C1410" s="80"/>
      <c r="D1410" s="79"/>
      <c r="E1410" s="80"/>
      <c r="F1410" s="79"/>
      <c r="G1410" s="25" t="str">
        <f t="shared" si="64"/>
        <v/>
      </c>
      <c r="H1410" s="88"/>
      <c r="I1410" s="93"/>
      <c r="J1410" s="97"/>
      <c r="K1410" s="88"/>
      <c r="L1410" s="25" t="str">
        <f>IF($D1410="","",SUMIFS($H$4:$H1410,$D$4:$D1410,$D1410)+SUMIFS($I$4:$I1410,$D$4:$D1410,$D1410)-SUMIFS($J$4:$J1410,$D$4:$D1410,$D1410)-SUMIFS($K$4:$K1410,$D$4:$D1410,$D1410))</f>
        <v/>
      </c>
      <c r="M1410" s="80"/>
      <c r="N1410" s="80"/>
      <c r="O1410" s="94"/>
      <c r="P1410" s="26" t="str">
        <f t="shared" si="65"/>
        <v/>
      </c>
      <c r="Q1410" s="80"/>
      <c r="R1410" s="80"/>
      <c r="S1410" s="80"/>
      <c r="T1410" s="82"/>
      <c r="U1410" s="80"/>
      <c r="V1410" s="80"/>
      <c r="W1410" s="80"/>
    </row>
    <row r="1411" ht="18" customHeight="1" spans="1:23">
      <c r="A1411" s="87" t="str">
        <f t="shared" si="63"/>
        <v/>
      </c>
      <c r="B1411" s="78"/>
      <c r="C1411" s="80"/>
      <c r="D1411" s="79"/>
      <c r="E1411" s="80"/>
      <c r="F1411" s="79"/>
      <c r="G1411" s="25" t="str">
        <f t="shared" si="64"/>
        <v/>
      </c>
      <c r="H1411" s="88"/>
      <c r="I1411" s="93"/>
      <c r="J1411" s="97"/>
      <c r="K1411" s="88"/>
      <c r="L1411" s="25" t="str">
        <f>IF($D1411="","",SUMIFS($H$4:$H1411,$D$4:$D1411,$D1411)+SUMIFS($I$4:$I1411,$D$4:$D1411,$D1411)-SUMIFS($J$4:$J1411,$D$4:$D1411,$D1411)-SUMIFS($K$4:$K1411,$D$4:$D1411,$D1411))</f>
        <v/>
      </c>
      <c r="M1411" s="80"/>
      <c r="N1411" s="80"/>
      <c r="O1411" s="94"/>
      <c r="P1411" s="26" t="str">
        <f t="shared" si="65"/>
        <v/>
      </c>
      <c r="Q1411" s="80"/>
      <c r="R1411" s="80"/>
      <c r="S1411" s="80"/>
      <c r="T1411" s="82"/>
      <c r="U1411" s="80"/>
      <c r="V1411" s="80"/>
      <c r="W1411" s="80"/>
    </row>
    <row r="1412" ht="18" customHeight="1" spans="1:23">
      <c r="A1412" s="87" t="str">
        <f t="shared" si="63"/>
        <v/>
      </c>
      <c r="B1412" s="78"/>
      <c r="C1412" s="80"/>
      <c r="D1412" s="79"/>
      <c r="E1412" s="80"/>
      <c r="F1412" s="79"/>
      <c r="G1412" s="25" t="str">
        <f t="shared" si="64"/>
        <v/>
      </c>
      <c r="H1412" s="88"/>
      <c r="I1412" s="93"/>
      <c r="J1412" s="97"/>
      <c r="K1412" s="88"/>
      <c r="L1412" s="25" t="str">
        <f>IF($D1412="","",SUMIFS($H$4:$H1412,$D$4:$D1412,$D1412)+SUMIFS($I$4:$I1412,$D$4:$D1412,$D1412)-SUMIFS($J$4:$J1412,$D$4:$D1412,$D1412)-SUMIFS($K$4:$K1412,$D$4:$D1412,$D1412))</f>
        <v/>
      </c>
      <c r="M1412" s="80"/>
      <c r="N1412" s="80"/>
      <c r="O1412" s="94"/>
      <c r="P1412" s="26" t="str">
        <f t="shared" si="65"/>
        <v/>
      </c>
      <c r="Q1412" s="80"/>
      <c r="R1412" s="80"/>
      <c r="S1412" s="80"/>
      <c r="T1412" s="82"/>
      <c r="U1412" s="80"/>
      <c r="V1412" s="80"/>
      <c r="W1412" s="80"/>
    </row>
    <row r="1413" ht="18" customHeight="1" spans="1:23">
      <c r="A1413" s="87" t="str">
        <f t="shared" ref="A1413:A1476" si="66">IF($D1413="","",ROW()-3)</f>
        <v/>
      </c>
      <c r="B1413" s="78"/>
      <c r="C1413" s="80"/>
      <c r="D1413" s="79"/>
      <c r="E1413" s="80"/>
      <c r="F1413" s="79"/>
      <c r="G1413" s="25" t="str">
        <f t="shared" ref="G1413:G1476" si="67">IF($D1413="","",N($L1413)-N($H1413)-N($I1413)+N($J1413)+N($K1413))</f>
        <v/>
      </c>
      <c r="H1413" s="88"/>
      <c r="I1413" s="93"/>
      <c r="J1413" s="97"/>
      <c r="K1413" s="88"/>
      <c r="L1413" s="25" t="str">
        <f>IF($D1413="","",SUMIFS($H$4:$H1413,$D$4:$D1413,$D1413)+SUMIFS($I$4:$I1413,$D$4:$D1413,$D1413)-SUMIFS($J$4:$J1413,$D$4:$D1413,$D1413)-SUMIFS($K$4:$K1413,$D$4:$D1413,$D1413))</f>
        <v/>
      </c>
      <c r="M1413" s="80"/>
      <c r="N1413" s="80"/>
      <c r="O1413" s="94"/>
      <c r="P1413" s="26" t="str">
        <f t="shared" ref="P1413:P1476" si="68">IF($D1413="","",ROUND((N($H1413)+N($K1413))*N($O1413),2))</f>
        <v/>
      </c>
      <c r="Q1413" s="80"/>
      <c r="R1413" s="80"/>
      <c r="S1413" s="80"/>
      <c r="T1413" s="82"/>
      <c r="U1413" s="80"/>
      <c r="V1413" s="80"/>
      <c r="W1413" s="80"/>
    </row>
    <row r="1414" ht="18" customHeight="1" spans="1:23">
      <c r="A1414" s="87" t="str">
        <f t="shared" si="66"/>
        <v/>
      </c>
      <c r="B1414" s="78"/>
      <c r="C1414" s="80"/>
      <c r="D1414" s="79"/>
      <c r="E1414" s="80"/>
      <c r="F1414" s="79"/>
      <c r="G1414" s="25" t="str">
        <f t="shared" si="67"/>
        <v/>
      </c>
      <c r="H1414" s="88"/>
      <c r="I1414" s="93"/>
      <c r="J1414" s="97"/>
      <c r="K1414" s="88"/>
      <c r="L1414" s="25" t="str">
        <f>IF($D1414="","",SUMIFS($H$4:$H1414,$D$4:$D1414,$D1414)+SUMIFS($I$4:$I1414,$D$4:$D1414,$D1414)-SUMIFS($J$4:$J1414,$D$4:$D1414,$D1414)-SUMIFS($K$4:$K1414,$D$4:$D1414,$D1414))</f>
        <v/>
      </c>
      <c r="M1414" s="80"/>
      <c r="N1414" s="80"/>
      <c r="O1414" s="94"/>
      <c r="P1414" s="26" t="str">
        <f t="shared" si="68"/>
        <v/>
      </c>
      <c r="Q1414" s="80"/>
      <c r="R1414" s="80"/>
      <c r="S1414" s="80"/>
      <c r="T1414" s="82"/>
      <c r="U1414" s="80"/>
      <c r="V1414" s="80"/>
      <c r="W1414" s="80"/>
    </row>
    <row r="1415" ht="18" customHeight="1" spans="1:23">
      <c r="A1415" s="87" t="str">
        <f t="shared" si="66"/>
        <v/>
      </c>
      <c r="B1415" s="78"/>
      <c r="C1415" s="80"/>
      <c r="D1415" s="79"/>
      <c r="E1415" s="80"/>
      <c r="F1415" s="79"/>
      <c r="G1415" s="25" t="str">
        <f t="shared" si="67"/>
        <v/>
      </c>
      <c r="H1415" s="88"/>
      <c r="I1415" s="93"/>
      <c r="J1415" s="97"/>
      <c r="K1415" s="88"/>
      <c r="L1415" s="25" t="str">
        <f>IF($D1415="","",SUMIFS($H$4:$H1415,$D$4:$D1415,$D1415)+SUMIFS($I$4:$I1415,$D$4:$D1415,$D1415)-SUMIFS($J$4:$J1415,$D$4:$D1415,$D1415)-SUMIFS($K$4:$K1415,$D$4:$D1415,$D1415))</f>
        <v/>
      </c>
      <c r="M1415" s="80"/>
      <c r="N1415" s="80"/>
      <c r="O1415" s="94"/>
      <c r="P1415" s="26" t="str">
        <f t="shared" si="68"/>
        <v/>
      </c>
      <c r="Q1415" s="80"/>
      <c r="R1415" s="80"/>
      <c r="S1415" s="80"/>
      <c r="T1415" s="82"/>
      <c r="U1415" s="80"/>
      <c r="V1415" s="80"/>
      <c r="W1415" s="80"/>
    </row>
    <row r="1416" ht="18" customHeight="1" spans="1:23">
      <c r="A1416" s="87" t="str">
        <f t="shared" si="66"/>
        <v/>
      </c>
      <c r="B1416" s="78"/>
      <c r="C1416" s="80"/>
      <c r="D1416" s="79"/>
      <c r="E1416" s="80"/>
      <c r="F1416" s="79"/>
      <c r="G1416" s="25" t="str">
        <f t="shared" si="67"/>
        <v/>
      </c>
      <c r="H1416" s="88"/>
      <c r="I1416" s="93"/>
      <c r="J1416" s="97"/>
      <c r="K1416" s="88"/>
      <c r="L1416" s="25" t="str">
        <f>IF($D1416="","",SUMIFS($H$4:$H1416,$D$4:$D1416,$D1416)+SUMIFS($I$4:$I1416,$D$4:$D1416,$D1416)-SUMIFS($J$4:$J1416,$D$4:$D1416,$D1416)-SUMIFS($K$4:$K1416,$D$4:$D1416,$D1416))</f>
        <v/>
      </c>
      <c r="M1416" s="80"/>
      <c r="N1416" s="80"/>
      <c r="O1416" s="94"/>
      <c r="P1416" s="26" t="str">
        <f t="shared" si="68"/>
        <v/>
      </c>
      <c r="Q1416" s="80"/>
      <c r="R1416" s="80"/>
      <c r="S1416" s="80"/>
      <c r="T1416" s="82"/>
      <c r="U1416" s="80"/>
      <c r="V1416" s="80"/>
      <c r="W1416" s="80"/>
    </row>
    <row r="1417" ht="18" customHeight="1" spans="1:23">
      <c r="A1417" s="87" t="str">
        <f t="shared" si="66"/>
        <v/>
      </c>
      <c r="B1417" s="78"/>
      <c r="C1417" s="80"/>
      <c r="D1417" s="79"/>
      <c r="E1417" s="80"/>
      <c r="F1417" s="79"/>
      <c r="G1417" s="25" t="str">
        <f t="shared" si="67"/>
        <v/>
      </c>
      <c r="H1417" s="88"/>
      <c r="I1417" s="93"/>
      <c r="J1417" s="97"/>
      <c r="K1417" s="88"/>
      <c r="L1417" s="25" t="str">
        <f>IF($D1417="","",SUMIFS($H$4:$H1417,$D$4:$D1417,$D1417)+SUMIFS($I$4:$I1417,$D$4:$D1417,$D1417)-SUMIFS($J$4:$J1417,$D$4:$D1417,$D1417)-SUMIFS($K$4:$K1417,$D$4:$D1417,$D1417))</f>
        <v/>
      </c>
      <c r="M1417" s="80"/>
      <c r="N1417" s="80"/>
      <c r="O1417" s="94"/>
      <c r="P1417" s="26" t="str">
        <f t="shared" si="68"/>
        <v/>
      </c>
      <c r="Q1417" s="80"/>
      <c r="R1417" s="80"/>
      <c r="S1417" s="80"/>
      <c r="T1417" s="82"/>
      <c r="U1417" s="80"/>
      <c r="V1417" s="80"/>
      <c r="W1417" s="80"/>
    </row>
    <row r="1418" ht="18" customHeight="1" spans="1:23">
      <c r="A1418" s="87" t="str">
        <f t="shared" si="66"/>
        <v/>
      </c>
      <c r="B1418" s="78"/>
      <c r="C1418" s="80"/>
      <c r="D1418" s="79"/>
      <c r="E1418" s="80"/>
      <c r="F1418" s="79"/>
      <c r="G1418" s="25" t="str">
        <f t="shared" si="67"/>
        <v/>
      </c>
      <c r="H1418" s="88"/>
      <c r="I1418" s="93"/>
      <c r="J1418" s="97"/>
      <c r="K1418" s="88"/>
      <c r="L1418" s="25" t="str">
        <f>IF($D1418="","",SUMIFS($H$4:$H1418,$D$4:$D1418,$D1418)+SUMIFS($I$4:$I1418,$D$4:$D1418,$D1418)-SUMIFS($J$4:$J1418,$D$4:$D1418,$D1418)-SUMIFS($K$4:$K1418,$D$4:$D1418,$D1418))</f>
        <v/>
      </c>
      <c r="M1418" s="80"/>
      <c r="N1418" s="80"/>
      <c r="O1418" s="94"/>
      <c r="P1418" s="26" t="str">
        <f t="shared" si="68"/>
        <v/>
      </c>
      <c r="Q1418" s="80"/>
      <c r="R1418" s="80"/>
      <c r="S1418" s="80"/>
      <c r="T1418" s="82"/>
      <c r="U1418" s="80"/>
      <c r="V1418" s="80"/>
      <c r="W1418" s="80"/>
    </row>
    <row r="1419" ht="18" customHeight="1" spans="1:23">
      <c r="A1419" s="87" t="str">
        <f t="shared" si="66"/>
        <v/>
      </c>
      <c r="B1419" s="78"/>
      <c r="C1419" s="80"/>
      <c r="D1419" s="79"/>
      <c r="E1419" s="80"/>
      <c r="F1419" s="79"/>
      <c r="G1419" s="25" t="str">
        <f t="shared" si="67"/>
        <v/>
      </c>
      <c r="H1419" s="88"/>
      <c r="I1419" s="93"/>
      <c r="J1419" s="97"/>
      <c r="K1419" s="88"/>
      <c r="L1419" s="25" t="str">
        <f>IF($D1419="","",SUMIFS($H$4:$H1419,$D$4:$D1419,$D1419)+SUMIFS($I$4:$I1419,$D$4:$D1419,$D1419)-SUMIFS($J$4:$J1419,$D$4:$D1419,$D1419)-SUMIFS($K$4:$K1419,$D$4:$D1419,$D1419))</f>
        <v/>
      </c>
      <c r="M1419" s="80"/>
      <c r="N1419" s="80"/>
      <c r="O1419" s="94"/>
      <c r="P1419" s="26" t="str">
        <f t="shared" si="68"/>
        <v/>
      </c>
      <c r="Q1419" s="80"/>
      <c r="R1419" s="80"/>
      <c r="S1419" s="80"/>
      <c r="T1419" s="82"/>
      <c r="U1419" s="80"/>
      <c r="V1419" s="80"/>
      <c r="W1419" s="80"/>
    </row>
    <row r="1420" ht="18" customHeight="1" spans="1:23">
      <c r="A1420" s="87" t="str">
        <f t="shared" si="66"/>
        <v/>
      </c>
      <c r="B1420" s="78"/>
      <c r="C1420" s="80"/>
      <c r="D1420" s="79"/>
      <c r="E1420" s="80"/>
      <c r="F1420" s="79"/>
      <c r="G1420" s="25" t="str">
        <f t="shared" si="67"/>
        <v/>
      </c>
      <c r="H1420" s="88"/>
      <c r="I1420" s="93"/>
      <c r="J1420" s="97"/>
      <c r="K1420" s="88"/>
      <c r="L1420" s="25" t="str">
        <f>IF($D1420="","",SUMIFS($H$4:$H1420,$D$4:$D1420,$D1420)+SUMIFS($I$4:$I1420,$D$4:$D1420,$D1420)-SUMIFS($J$4:$J1420,$D$4:$D1420,$D1420)-SUMIFS($K$4:$K1420,$D$4:$D1420,$D1420))</f>
        <v/>
      </c>
      <c r="M1420" s="80"/>
      <c r="N1420" s="80"/>
      <c r="O1420" s="94"/>
      <c r="P1420" s="26" t="str">
        <f t="shared" si="68"/>
        <v/>
      </c>
      <c r="Q1420" s="80"/>
      <c r="R1420" s="80"/>
      <c r="S1420" s="80"/>
      <c r="T1420" s="82"/>
      <c r="U1420" s="80"/>
      <c r="V1420" s="80"/>
      <c r="W1420" s="80"/>
    </row>
    <row r="1421" ht="18" customHeight="1" spans="1:23">
      <c r="A1421" s="87" t="str">
        <f t="shared" si="66"/>
        <v/>
      </c>
      <c r="B1421" s="78"/>
      <c r="C1421" s="80"/>
      <c r="D1421" s="79"/>
      <c r="E1421" s="80"/>
      <c r="F1421" s="79"/>
      <c r="G1421" s="25" t="str">
        <f t="shared" si="67"/>
        <v/>
      </c>
      <c r="H1421" s="88"/>
      <c r="I1421" s="93"/>
      <c r="J1421" s="97"/>
      <c r="K1421" s="88"/>
      <c r="L1421" s="25" t="str">
        <f>IF($D1421="","",SUMIFS($H$4:$H1421,$D$4:$D1421,$D1421)+SUMIFS($I$4:$I1421,$D$4:$D1421,$D1421)-SUMIFS($J$4:$J1421,$D$4:$D1421,$D1421)-SUMIFS($K$4:$K1421,$D$4:$D1421,$D1421))</f>
        <v/>
      </c>
      <c r="M1421" s="80"/>
      <c r="N1421" s="80"/>
      <c r="O1421" s="94"/>
      <c r="P1421" s="26" t="str">
        <f t="shared" si="68"/>
        <v/>
      </c>
      <c r="Q1421" s="80"/>
      <c r="R1421" s="80"/>
      <c r="S1421" s="80"/>
      <c r="T1421" s="82"/>
      <c r="U1421" s="80"/>
      <c r="V1421" s="80"/>
      <c r="W1421" s="80"/>
    </row>
    <row r="1422" ht="18" customHeight="1" spans="1:23">
      <c r="A1422" s="87" t="str">
        <f t="shared" si="66"/>
        <v/>
      </c>
      <c r="B1422" s="78"/>
      <c r="C1422" s="80"/>
      <c r="D1422" s="79"/>
      <c r="E1422" s="80"/>
      <c r="F1422" s="79"/>
      <c r="G1422" s="25" t="str">
        <f t="shared" si="67"/>
        <v/>
      </c>
      <c r="H1422" s="88"/>
      <c r="I1422" s="93"/>
      <c r="J1422" s="97"/>
      <c r="K1422" s="88"/>
      <c r="L1422" s="25" t="str">
        <f>IF($D1422="","",SUMIFS($H$4:$H1422,$D$4:$D1422,$D1422)+SUMIFS($I$4:$I1422,$D$4:$D1422,$D1422)-SUMIFS($J$4:$J1422,$D$4:$D1422,$D1422)-SUMIFS($K$4:$K1422,$D$4:$D1422,$D1422))</f>
        <v/>
      </c>
      <c r="M1422" s="80"/>
      <c r="N1422" s="80"/>
      <c r="O1422" s="94"/>
      <c r="P1422" s="26" t="str">
        <f t="shared" si="68"/>
        <v/>
      </c>
      <c r="Q1422" s="80"/>
      <c r="R1422" s="80"/>
      <c r="S1422" s="80"/>
      <c r="T1422" s="82"/>
      <c r="U1422" s="80"/>
      <c r="V1422" s="80"/>
      <c r="W1422" s="80"/>
    </row>
    <row r="1423" ht="18" customHeight="1" spans="1:23">
      <c r="A1423" s="87" t="str">
        <f t="shared" si="66"/>
        <v/>
      </c>
      <c r="B1423" s="78"/>
      <c r="C1423" s="80"/>
      <c r="D1423" s="79"/>
      <c r="E1423" s="80"/>
      <c r="F1423" s="79"/>
      <c r="G1423" s="25" t="str">
        <f t="shared" si="67"/>
        <v/>
      </c>
      <c r="H1423" s="88"/>
      <c r="I1423" s="93"/>
      <c r="J1423" s="97"/>
      <c r="K1423" s="88"/>
      <c r="L1423" s="25" t="str">
        <f>IF($D1423="","",SUMIFS($H$4:$H1423,$D$4:$D1423,$D1423)+SUMIFS($I$4:$I1423,$D$4:$D1423,$D1423)-SUMIFS($J$4:$J1423,$D$4:$D1423,$D1423)-SUMIFS($K$4:$K1423,$D$4:$D1423,$D1423))</f>
        <v/>
      </c>
      <c r="M1423" s="80"/>
      <c r="N1423" s="80"/>
      <c r="O1423" s="94"/>
      <c r="P1423" s="26" t="str">
        <f t="shared" si="68"/>
        <v/>
      </c>
      <c r="Q1423" s="80"/>
      <c r="R1423" s="80"/>
      <c r="S1423" s="80"/>
      <c r="T1423" s="82"/>
      <c r="U1423" s="80"/>
      <c r="V1423" s="80"/>
      <c r="W1423" s="80"/>
    </row>
    <row r="1424" ht="18" customHeight="1" spans="1:23">
      <c r="A1424" s="87" t="str">
        <f t="shared" si="66"/>
        <v/>
      </c>
      <c r="B1424" s="78"/>
      <c r="C1424" s="80"/>
      <c r="D1424" s="79"/>
      <c r="E1424" s="80"/>
      <c r="F1424" s="79"/>
      <c r="G1424" s="25" t="str">
        <f t="shared" si="67"/>
        <v/>
      </c>
      <c r="H1424" s="88"/>
      <c r="I1424" s="93"/>
      <c r="J1424" s="97"/>
      <c r="K1424" s="88"/>
      <c r="L1424" s="25" t="str">
        <f>IF($D1424="","",SUMIFS($H$4:$H1424,$D$4:$D1424,$D1424)+SUMIFS($I$4:$I1424,$D$4:$D1424,$D1424)-SUMIFS($J$4:$J1424,$D$4:$D1424,$D1424)-SUMIFS($K$4:$K1424,$D$4:$D1424,$D1424))</f>
        <v/>
      </c>
      <c r="M1424" s="80"/>
      <c r="N1424" s="80"/>
      <c r="O1424" s="94"/>
      <c r="P1424" s="26" t="str">
        <f t="shared" si="68"/>
        <v/>
      </c>
      <c r="Q1424" s="80"/>
      <c r="R1424" s="80"/>
      <c r="S1424" s="80"/>
      <c r="T1424" s="82"/>
      <c r="U1424" s="80"/>
      <c r="V1424" s="80"/>
      <c r="W1424" s="80"/>
    </row>
    <row r="1425" ht="18" customHeight="1" spans="1:23">
      <c r="A1425" s="87" t="str">
        <f t="shared" si="66"/>
        <v/>
      </c>
      <c r="B1425" s="78"/>
      <c r="C1425" s="80"/>
      <c r="D1425" s="79"/>
      <c r="E1425" s="80"/>
      <c r="F1425" s="79"/>
      <c r="G1425" s="25" t="str">
        <f t="shared" si="67"/>
        <v/>
      </c>
      <c r="H1425" s="88"/>
      <c r="I1425" s="93"/>
      <c r="J1425" s="97"/>
      <c r="K1425" s="88"/>
      <c r="L1425" s="25" t="str">
        <f>IF($D1425="","",SUMIFS($H$4:$H1425,$D$4:$D1425,$D1425)+SUMIFS($I$4:$I1425,$D$4:$D1425,$D1425)-SUMIFS($J$4:$J1425,$D$4:$D1425,$D1425)-SUMIFS($K$4:$K1425,$D$4:$D1425,$D1425))</f>
        <v/>
      </c>
      <c r="M1425" s="80"/>
      <c r="N1425" s="80"/>
      <c r="O1425" s="94"/>
      <c r="P1425" s="26" t="str">
        <f t="shared" si="68"/>
        <v/>
      </c>
      <c r="Q1425" s="80"/>
      <c r="R1425" s="80"/>
      <c r="S1425" s="80"/>
      <c r="T1425" s="82"/>
      <c r="U1425" s="80"/>
      <c r="V1425" s="80"/>
      <c r="W1425" s="80"/>
    </row>
    <row r="1426" ht="18" customHeight="1" spans="1:23">
      <c r="A1426" s="87" t="str">
        <f t="shared" si="66"/>
        <v/>
      </c>
      <c r="B1426" s="78"/>
      <c r="C1426" s="80"/>
      <c r="D1426" s="79"/>
      <c r="E1426" s="80"/>
      <c r="F1426" s="79"/>
      <c r="G1426" s="25" t="str">
        <f t="shared" si="67"/>
        <v/>
      </c>
      <c r="H1426" s="88"/>
      <c r="I1426" s="93"/>
      <c r="J1426" s="97"/>
      <c r="K1426" s="88"/>
      <c r="L1426" s="25" t="str">
        <f>IF($D1426="","",SUMIFS($H$4:$H1426,$D$4:$D1426,$D1426)+SUMIFS($I$4:$I1426,$D$4:$D1426,$D1426)-SUMIFS($J$4:$J1426,$D$4:$D1426,$D1426)-SUMIFS($K$4:$K1426,$D$4:$D1426,$D1426))</f>
        <v/>
      </c>
      <c r="M1426" s="80"/>
      <c r="N1426" s="80"/>
      <c r="O1426" s="94"/>
      <c r="P1426" s="26" t="str">
        <f t="shared" si="68"/>
        <v/>
      </c>
      <c r="Q1426" s="80"/>
      <c r="R1426" s="80"/>
      <c r="S1426" s="80"/>
      <c r="T1426" s="82"/>
      <c r="U1426" s="80"/>
      <c r="V1426" s="80"/>
      <c r="W1426" s="80"/>
    </row>
    <row r="1427" ht="18" customHeight="1" spans="1:23">
      <c r="A1427" s="87" t="str">
        <f t="shared" si="66"/>
        <v/>
      </c>
      <c r="B1427" s="78"/>
      <c r="C1427" s="80"/>
      <c r="D1427" s="79"/>
      <c r="E1427" s="80"/>
      <c r="F1427" s="79"/>
      <c r="G1427" s="25" t="str">
        <f t="shared" si="67"/>
        <v/>
      </c>
      <c r="H1427" s="88"/>
      <c r="I1427" s="93"/>
      <c r="J1427" s="97"/>
      <c r="K1427" s="88"/>
      <c r="L1427" s="25" t="str">
        <f>IF($D1427="","",SUMIFS($H$4:$H1427,$D$4:$D1427,$D1427)+SUMIFS($I$4:$I1427,$D$4:$D1427,$D1427)-SUMIFS($J$4:$J1427,$D$4:$D1427,$D1427)-SUMIFS($K$4:$K1427,$D$4:$D1427,$D1427))</f>
        <v/>
      </c>
      <c r="M1427" s="80"/>
      <c r="N1427" s="80"/>
      <c r="O1427" s="94"/>
      <c r="P1427" s="26" t="str">
        <f t="shared" si="68"/>
        <v/>
      </c>
      <c r="Q1427" s="80"/>
      <c r="R1427" s="80"/>
      <c r="S1427" s="80"/>
      <c r="T1427" s="82"/>
      <c r="U1427" s="80"/>
      <c r="V1427" s="80"/>
      <c r="W1427" s="80"/>
    </row>
    <row r="1428" ht="18" customHeight="1" spans="1:23">
      <c r="A1428" s="87" t="str">
        <f t="shared" si="66"/>
        <v/>
      </c>
      <c r="B1428" s="78"/>
      <c r="C1428" s="80"/>
      <c r="D1428" s="79"/>
      <c r="E1428" s="80"/>
      <c r="F1428" s="79"/>
      <c r="G1428" s="25" t="str">
        <f t="shared" si="67"/>
        <v/>
      </c>
      <c r="H1428" s="88"/>
      <c r="I1428" s="93"/>
      <c r="J1428" s="97"/>
      <c r="K1428" s="88"/>
      <c r="L1428" s="25" t="str">
        <f>IF($D1428="","",SUMIFS($H$4:$H1428,$D$4:$D1428,$D1428)+SUMIFS($I$4:$I1428,$D$4:$D1428,$D1428)-SUMIFS($J$4:$J1428,$D$4:$D1428,$D1428)-SUMIFS($K$4:$K1428,$D$4:$D1428,$D1428))</f>
        <v/>
      </c>
      <c r="M1428" s="80"/>
      <c r="N1428" s="80"/>
      <c r="O1428" s="94"/>
      <c r="P1428" s="26" t="str">
        <f t="shared" si="68"/>
        <v/>
      </c>
      <c r="Q1428" s="80"/>
      <c r="R1428" s="80"/>
      <c r="S1428" s="80"/>
      <c r="T1428" s="82"/>
      <c r="U1428" s="80"/>
      <c r="V1428" s="80"/>
      <c r="W1428" s="80"/>
    </row>
    <row r="1429" ht="18" customHeight="1" spans="1:23">
      <c r="A1429" s="87" t="str">
        <f t="shared" si="66"/>
        <v/>
      </c>
      <c r="B1429" s="78"/>
      <c r="C1429" s="80"/>
      <c r="D1429" s="79"/>
      <c r="E1429" s="80"/>
      <c r="F1429" s="79"/>
      <c r="G1429" s="25" t="str">
        <f t="shared" si="67"/>
        <v/>
      </c>
      <c r="H1429" s="88"/>
      <c r="I1429" s="93"/>
      <c r="J1429" s="97"/>
      <c r="K1429" s="88"/>
      <c r="L1429" s="25" t="str">
        <f>IF($D1429="","",SUMIFS($H$4:$H1429,$D$4:$D1429,$D1429)+SUMIFS($I$4:$I1429,$D$4:$D1429,$D1429)-SUMIFS($J$4:$J1429,$D$4:$D1429,$D1429)-SUMIFS($K$4:$K1429,$D$4:$D1429,$D1429))</f>
        <v/>
      </c>
      <c r="M1429" s="80"/>
      <c r="N1429" s="80"/>
      <c r="O1429" s="94"/>
      <c r="P1429" s="26" t="str">
        <f t="shared" si="68"/>
        <v/>
      </c>
      <c r="Q1429" s="80"/>
      <c r="R1429" s="80"/>
      <c r="S1429" s="80"/>
      <c r="T1429" s="82"/>
      <c r="U1429" s="80"/>
      <c r="V1429" s="80"/>
      <c r="W1429" s="80"/>
    </row>
    <row r="1430" ht="18" customHeight="1" spans="1:23">
      <c r="A1430" s="87" t="str">
        <f t="shared" si="66"/>
        <v/>
      </c>
      <c r="B1430" s="78"/>
      <c r="C1430" s="80"/>
      <c r="D1430" s="79"/>
      <c r="E1430" s="80"/>
      <c r="F1430" s="79"/>
      <c r="G1430" s="25" t="str">
        <f t="shared" si="67"/>
        <v/>
      </c>
      <c r="H1430" s="88"/>
      <c r="I1430" s="93"/>
      <c r="J1430" s="97"/>
      <c r="K1430" s="88"/>
      <c r="L1430" s="25" t="str">
        <f>IF($D1430="","",SUMIFS($H$4:$H1430,$D$4:$D1430,$D1430)+SUMIFS($I$4:$I1430,$D$4:$D1430,$D1430)-SUMIFS($J$4:$J1430,$D$4:$D1430,$D1430)-SUMIFS($K$4:$K1430,$D$4:$D1430,$D1430))</f>
        <v/>
      </c>
      <c r="M1430" s="80"/>
      <c r="N1430" s="80"/>
      <c r="O1430" s="94"/>
      <c r="P1430" s="26" t="str">
        <f t="shared" si="68"/>
        <v/>
      </c>
      <c r="Q1430" s="80"/>
      <c r="R1430" s="80"/>
      <c r="S1430" s="80"/>
      <c r="T1430" s="82"/>
      <c r="U1430" s="80"/>
      <c r="V1430" s="80"/>
      <c r="W1430" s="80"/>
    </row>
    <row r="1431" ht="18" customHeight="1" spans="1:23">
      <c r="A1431" s="87" t="str">
        <f t="shared" si="66"/>
        <v/>
      </c>
      <c r="B1431" s="78"/>
      <c r="C1431" s="80"/>
      <c r="D1431" s="79"/>
      <c r="E1431" s="80"/>
      <c r="F1431" s="79"/>
      <c r="G1431" s="25" t="str">
        <f t="shared" si="67"/>
        <v/>
      </c>
      <c r="H1431" s="88"/>
      <c r="I1431" s="93"/>
      <c r="J1431" s="97"/>
      <c r="K1431" s="88"/>
      <c r="L1431" s="25" t="str">
        <f>IF($D1431="","",SUMIFS($H$4:$H1431,$D$4:$D1431,$D1431)+SUMIFS($I$4:$I1431,$D$4:$D1431,$D1431)-SUMIFS($J$4:$J1431,$D$4:$D1431,$D1431)-SUMIFS($K$4:$K1431,$D$4:$D1431,$D1431))</f>
        <v/>
      </c>
      <c r="M1431" s="80"/>
      <c r="N1431" s="80"/>
      <c r="O1431" s="94"/>
      <c r="P1431" s="26" t="str">
        <f t="shared" si="68"/>
        <v/>
      </c>
      <c r="Q1431" s="80"/>
      <c r="R1431" s="80"/>
      <c r="S1431" s="80"/>
      <c r="T1431" s="82"/>
      <c r="U1431" s="80"/>
      <c r="V1431" s="80"/>
      <c r="W1431" s="80"/>
    </row>
    <row r="1432" ht="18" customHeight="1" spans="1:23">
      <c r="A1432" s="87" t="str">
        <f t="shared" si="66"/>
        <v/>
      </c>
      <c r="B1432" s="78"/>
      <c r="C1432" s="80"/>
      <c r="D1432" s="79"/>
      <c r="E1432" s="80"/>
      <c r="F1432" s="79"/>
      <c r="G1432" s="25" t="str">
        <f t="shared" si="67"/>
        <v/>
      </c>
      <c r="H1432" s="88"/>
      <c r="I1432" s="93"/>
      <c r="J1432" s="97"/>
      <c r="K1432" s="88"/>
      <c r="L1432" s="25" t="str">
        <f>IF($D1432="","",SUMIFS($H$4:$H1432,$D$4:$D1432,$D1432)+SUMIFS($I$4:$I1432,$D$4:$D1432,$D1432)-SUMIFS($J$4:$J1432,$D$4:$D1432,$D1432)-SUMIFS($K$4:$K1432,$D$4:$D1432,$D1432))</f>
        <v/>
      </c>
      <c r="M1432" s="80"/>
      <c r="N1432" s="80"/>
      <c r="O1432" s="94"/>
      <c r="P1432" s="26" t="str">
        <f t="shared" si="68"/>
        <v/>
      </c>
      <c r="Q1432" s="80"/>
      <c r="R1432" s="80"/>
      <c r="S1432" s="80"/>
      <c r="T1432" s="82"/>
      <c r="U1432" s="80"/>
      <c r="V1432" s="80"/>
      <c r="W1432" s="80"/>
    </row>
    <row r="1433" ht="18" customHeight="1" spans="1:23">
      <c r="A1433" s="87" t="str">
        <f t="shared" si="66"/>
        <v/>
      </c>
      <c r="B1433" s="78"/>
      <c r="C1433" s="80"/>
      <c r="D1433" s="79"/>
      <c r="E1433" s="80"/>
      <c r="F1433" s="79"/>
      <c r="G1433" s="25" t="str">
        <f t="shared" si="67"/>
        <v/>
      </c>
      <c r="H1433" s="88"/>
      <c r="I1433" s="93"/>
      <c r="J1433" s="97"/>
      <c r="K1433" s="88"/>
      <c r="L1433" s="25" t="str">
        <f>IF($D1433="","",SUMIFS($H$4:$H1433,$D$4:$D1433,$D1433)+SUMIFS($I$4:$I1433,$D$4:$D1433,$D1433)-SUMIFS($J$4:$J1433,$D$4:$D1433,$D1433)-SUMIFS($K$4:$K1433,$D$4:$D1433,$D1433))</f>
        <v/>
      </c>
      <c r="M1433" s="80"/>
      <c r="N1433" s="80"/>
      <c r="O1433" s="94"/>
      <c r="P1433" s="26" t="str">
        <f t="shared" si="68"/>
        <v/>
      </c>
      <c r="Q1433" s="80"/>
      <c r="R1433" s="80"/>
      <c r="S1433" s="80"/>
      <c r="T1433" s="82"/>
      <c r="U1433" s="80"/>
      <c r="V1433" s="80"/>
      <c r="W1433" s="80"/>
    </row>
    <row r="1434" ht="18" customHeight="1" spans="1:23">
      <c r="A1434" s="87" t="str">
        <f t="shared" si="66"/>
        <v/>
      </c>
      <c r="B1434" s="78"/>
      <c r="C1434" s="80"/>
      <c r="D1434" s="79"/>
      <c r="E1434" s="80"/>
      <c r="F1434" s="79"/>
      <c r="G1434" s="25" t="str">
        <f t="shared" si="67"/>
        <v/>
      </c>
      <c r="H1434" s="88"/>
      <c r="I1434" s="93"/>
      <c r="J1434" s="97"/>
      <c r="K1434" s="88"/>
      <c r="L1434" s="25" t="str">
        <f>IF($D1434="","",SUMIFS($H$4:$H1434,$D$4:$D1434,$D1434)+SUMIFS($I$4:$I1434,$D$4:$D1434,$D1434)-SUMIFS($J$4:$J1434,$D$4:$D1434,$D1434)-SUMIFS($K$4:$K1434,$D$4:$D1434,$D1434))</f>
        <v/>
      </c>
      <c r="M1434" s="80"/>
      <c r="N1434" s="80"/>
      <c r="O1434" s="94"/>
      <c r="P1434" s="26" t="str">
        <f t="shared" si="68"/>
        <v/>
      </c>
      <c r="Q1434" s="80"/>
      <c r="R1434" s="80"/>
      <c r="S1434" s="80"/>
      <c r="T1434" s="82"/>
      <c r="U1434" s="80"/>
      <c r="V1434" s="80"/>
      <c r="W1434" s="80"/>
    </row>
    <row r="1435" ht="18" customHeight="1" spans="1:23">
      <c r="A1435" s="87" t="str">
        <f t="shared" si="66"/>
        <v/>
      </c>
      <c r="B1435" s="78"/>
      <c r="C1435" s="80"/>
      <c r="D1435" s="79"/>
      <c r="E1435" s="80"/>
      <c r="F1435" s="79"/>
      <c r="G1435" s="25" t="str">
        <f t="shared" si="67"/>
        <v/>
      </c>
      <c r="H1435" s="88"/>
      <c r="I1435" s="93"/>
      <c r="J1435" s="97"/>
      <c r="K1435" s="88"/>
      <c r="L1435" s="25" t="str">
        <f>IF($D1435="","",SUMIFS($H$4:$H1435,$D$4:$D1435,$D1435)+SUMIFS($I$4:$I1435,$D$4:$D1435,$D1435)-SUMIFS($J$4:$J1435,$D$4:$D1435,$D1435)-SUMIFS($K$4:$K1435,$D$4:$D1435,$D1435))</f>
        <v/>
      </c>
      <c r="M1435" s="80"/>
      <c r="N1435" s="80"/>
      <c r="O1435" s="94"/>
      <c r="P1435" s="26" t="str">
        <f t="shared" si="68"/>
        <v/>
      </c>
      <c r="Q1435" s="80"/>
      <c r="R1435" s="80"/>
      <c r="S1435" s="80"/>
      <c r="T1435" s="82"/>
      <c r="U1435" s="80"/>
      <c r="V1435" s="80"/>
      <c r="W1435" s="80"/>
    </row>
    <row r="1436" ht="18" customHeight="1" spans="1:23">
      <c r="A1436" s="87" t="str">
        <f t="shared" si="66"/>
        <v/>
      </c>
      <c r="B1436" s="78"/>
      <c r="C1436" s="80"/>
      <c r="D1436" s="79"/>
      <c r="E1436" s="80"/>
      <c r="F1436" s="79"/>
      <c r="G1436" s="25" t="str">
        <f t="shared" si="67"/>
        <v/>
      </c>
      <c r="H1436" s="88"/>
      <c r="I1436" s="93"/>
      <c r="J1436" s="97"/>
      <c r="K1436" s="88"/>
      <c r="L1436" s="25" t="str">
        <f>IF($D1436="","",SUMIFS($H$4:$H1436,$D$4:$D1436,$D1436)+SUMIFS($I$4:$I1436,$D$4:$D1436,$D1436)-SUMIFS($J$4:$J1436,$D$4:$D1436,$D1436)-SUMIFS($K$4:$K1436,$D$4:$D1436,$D1436))</f>
        <v/>
      </c>
      <c r="M1436" s="80"/>
      <c r="N1436" s="80"/>
      <c r="O1436" s="94"/>
      <c r="P1436" s="26" t="str">
        <f t="shared" si="68"/>
        <v/>
      </c>
      <c r="Q1436" s="80"/>
      <c r="R1436" s="80"/>
      <c r="S1436" s="80"/>
      <c r="T1436" s="82"/>
      <c r="U1436" s="80"/>
      <c r="V1436" s="80"/>
      <c r="W1436" s="80"/>
    </row>
    <row r="1437" ht="18" customHeight="1" spans="1:23">
      <c r="A1437" s="87" t="str">
        <f t="shared" si="66"/>
        <v/>
      </c>
      <c r="B1437" s="78"/>
      <c r="C1437" s="80"/>
      <c r="D1437" s="79"/>
      <c r="E1437" s="80"/>
      <c r="F1437" s="79"/>
      <c r="G1437" s="25" t="str">
        <f t="shared" si="67"/>
        <v/>
      </c>
      <c r="H1437" s="88"/>
      <c r="I1437" s="93"/>
      <c r="J1437" s="97"/>
      <c r="K1437" s="88"/>
      <c r="L1437" s="25" t="str">
        <f>IF($D1437="","",SUMIFS($H$4:$H1437,$D$4:$D1437,$D1437)+SUMIFS($I$4:$I1437,$D$4:$D1437,$D1437)-SUMIFS($J$4:$J1437,$D$4:$D1437,$D1437)-SUMIFS($K$4:$K1437,$D$4:$D1437,$D1437))</f>
        <v/>
      </c>
      <c r="M1437" s="80"/>
      <c r="N1437" s="80"/>
      <c r="O1437" s="94"/>
      <c r="P1437" s="26" t="str">
        <f t="shared" si="68"/>
        <v/>
      </c>
      <c r="Q1437" s="80"/>
      <c r="R1437" s="80"/>
      <c r="S1437" s="80"/>
      <c r="T1437" s="82"/>
      <c r="U1437" s="80"/>
      <c r="V1437" s="80"/>
      <c r="W1437" s="80"/>
    </row>
    <row r="1438" ht="18" customHeight="1" spans="1:23">
      <c r="A1438" s="87" t="str">
        <f t="shared" si="66"/>
        <v/>
      </c>
      <c r="B1438" s="78"/>
      <c r="C1438" s="80"/>
      <c r="D1438" s="79"/>
      <c r="E1438" s="80"/>
      <c r="F1438" s="79"/>
      <c r="G1438" s="25" t="str">
        <f t="shared" si="67"/>
        <v/>
      </c>
      <c r="H1438" s="88"/>
      <c r="I1438" s="93"/>
      <c r="J1438" s="97"/>
      <c r="K1438" s="88"/>
      <c r="L1438" s="25" t="str">
        <f>IF($D1438="","",SUMIFS($H$4:$H1438,$D$4:$D1438,$D1438)+SUMIFS($I$4:$I1438,$D$4:$D1438,$D1438)-SUMIFS($J$4:$J1438,$D$4:$D1438,$D1438)-SUMIFS($K$4:$K1438,$D$4:$D1438,$D1438))</f>
        <v/>
      </c>
      <c r="M1438" s="80"/>
      <c r="N1438" s="80"/>
      <c r="O1438" s="94"/>
      <c r="P1438" s="26" t="str">
        <f t="shared" si="68"/>
        <v/>
      </c>
      <c r="Q1438" s="80"/>
      <c r="R1438" s="80"/>
      <c r="S1438" s="80"/>
      <c r="T1438" s="82"/>
      <c r="U1438" s="80"/>
      <c r="V1438" s="80"/>
      <c r="W1438" s="80"/>
    </row>
    <row r="1439" ht="18" customHeight="1" spans="1:23">
      <c r="A1439" s="87" t="str">
        <f t="shared" si="66"/>
        <v/>
      </c>
      <c r="B1439" s="78"/>
      <c r="C1439" s="80"/>
      <c r="D1439" s="79"/>
      <c r="E1439" s="80"/>
      <c r="F1439" s="79"/>
      <c r="G1439" s="25" t="str">
        <f t="shared" si="67"/>
        <v/>
      </c>
      <c r="H1439" s="88"/>
      <c r="I1439" s="93"/>
      <c r="J1439" s="97"/>
      <c r="K1439" s="88"/>
      <c r="L1439" s="25" t="str">
        <f>IF($D1439="","",SUMIFS($H$4:$H1439,$D$4:$D1439,$D1439)+SUMIFS($I$4:$I1439,$D$4:$D1439,$D1439)-SUMIFS($J$4:$J1439,$D$4:$D1439,$D1439)-SUMIFS($K$4:$K1439,$D$4:$D1439,$D1439))</f>
        <v/>
      </c>
      <c r="M1439" s="80"/>
      <c r="N1439" s="80"/>
      <c r="O1439" s="94"/>
      <c r="P1439" s="26" t="str">
        <f t="shared" si="68"/>
        <v/>
      </c>
      <c r="Q1439" s="80"/>
      <c r="R1439" s="80"/>
      <c r="S1439" s="80"/>
      <c r="T1439" s="82"/>
      <c r="U1439" s="80"/>
      <c r="V1439" s="80"/>
      <c r="W1439" s="80"/>
    </row>
    <row r="1440" ht="18" customHeight="1" spans="1:23">
      <c r="A1440" s="87" t="str">
        <f t="shared" si="66"/>
        <v/>
      </c>
      <c r="B1440" s="78"/>
      <c r="C1440" s="80"/>
      <c r="D1440" s="79"/>
      <c r="E1440" s="80"/>
      <c r="F1440" s="79"/>
      <c r="G1440" s="25" t="str">
        <f t="shared" si="67"/>
        <v/>
      </c>
      <c r="H1440" s="88"/>
      <c r="I1440" s="93"/>
      <c r="J1440" s="97"/>
      <c r="K1440" s="88"/>
      <c r="L1440" s="25" t="str">
        <f>IF($D1440="","",SUMIFS($H$4:$H1440,$D$4:$D1440,$D1440)+SUMIFS($I$4:$I1440,$D$4:$D1440,$D1440)-SUMIFS($J$4:$J1440,$D$4:$D1440,$D1440)-SUMIFS($K$4:$K1440,$D$4:$D1440,$D1440))</f>
        <v/>
      </c>
      <c r="M1440" s="80"/>
      <c r="N1440" s="80"/>
      <c r="O1440" s="94"/>
      <c r="P1440" s="26" t="str">
        <f t="shared" si="68"/>
        <v/>
      </c>
      <c r="Q1440" s="80"/>
      <c r="R1440" s="80"/>
      <c r="S1440" s="80"/>
      <c r="T1440" s="82"/>
      <c r="U1440" s="80"/>
      <c r="V1440" s="80"/>
      <c r="W1440" s="80"/>
    </row>
    <row r="1441" ht="18" customHeight="1" spans="1:23">
      <c r="A1441" s="87" t="str">
        <f t="shared" si="66"/>
        <v/>
      </c>
      <c r="B1441" s="78"/>
      <c r="C1441" s="80"/>
      <c r="D1441" s="79"/>
      <c r="E1441" s="80"/>
      <c r="F1441" s="79"/>
      <c r="G1441" s="25" t="str">
        <f t="shared" si="67"/>
        <v/>
      </c>
      <c r="H1441" s="88"/>
      <c r="I1441" s="93"/>
      <c r="J1441" s="97"/>
      <c r="K1441" s="88"/>
      <c r="L1441" s="25" t="str">
        <f>IF($D1441="","",SUMIFS($H$4:$H1441,$D$4:$D1441,$D1441)+SUMIFS($I$4:$I1441,$D$4:$D1441,$D1441)-SUMIFS($J$4:$J1441,$D$4:$D1441,$D1441)-SUMIFS($K$4:$K1441,$D$4:$D1441,$D1441))</f>
        <v/>
      </c>
      <c r="M1441" s="80"/>
      <c r="N1441" s="80"/>
      <c r="O1441" s="94"/>
      <c r="P1441" s="26" t="str">
        <f t="shared" si="68"/>
        <v/>
      </c>
      <c r="Q1441" s="80"/>
      <c r="R1441" s="80"/>
      <c r="S1441" s="80"/>
      <c r="T1441" s="82"/>
      <c r="U1441" s="80"/>
      <c r="V1441" s="80"/>
      <c r="W1441" s="80"/>
    </row>
    <row r="1442" ht="18" customHeight="1" spans="1:23">
      <c r="A1442" s="87" t="str">
        <f t="shared" si="66"/>
        <v/>
      </c>
      <c r="B1442" s="78"/>
      <c r="C1442" s="80"/>
      <c r="D1442" s="79"/>
      <c r="E1442" s="80"/>
      <c r="F1442" s="79"/>
      <c r="G1442" s="25" t="str">
        <f t="shared" si="67"/>
        <v/>
      </c>
      <c r="H1442" s="88"/>
      <c r="I1442" s="93"/>
      <c r="J1442" s="97"/>
      <c r="K1442" s="88"/>
      <c r="L1442" s="25" t="str">
        <f>IF($D1442="","",SUMIFS($H$4:$H1442,$D$4:$D1442,$D1442)+SUMIFS($I$4:$I1442,$D$4:$D1442,$D1442)-SUMIFS($J$4:$J1442,$D$4:$D1442,$D1442)-SUMIFS($K$4:$K1442,$D$4:$D1442,$D1442))</f>
        <v/>
      </c>
      <c r="M1442" s="80"/>
      <c r="N1442" s="80"/>
      <c r="O1442" s="94"/>
      <c r="P1442" s="26" t="str">
        <f t="shared" si="68"/>
        <v/>
      </c>
      <c r="Q1442" s="80"/>
      <c r="R1442" s="80"/>
      <c r="S1442" s="80"/>
      <c r="T1442" s="82"/>
      <c r="U1442" s="80"/>
      <c r="V1442" s="80"/>
      <c r="W1442" s="80"/>
    </row>
    <row r="1443" ht="18" customHeight="1" spans="1:23">
      <c r="A1443" s="87" t="str">
        <f t="shared" si="66"/>
        <v/>
      </c>
      <c r="B1443" s="78"/>
      <c r="C1443" s="80"/>
      <c r="D1443" s="79"/>
      <c r="E1443" s="80"/>
      <c r="F1443" s="79"/>
      <c r="G1443" s="25" t="str">
        <f t="shared" si="67"/>
        <v/>
      </c>
      <c r="H1443" s="88"/>
      <c r="I1443" s="93"/>
      <c r="J1443" s="97"/>
      <c r="K1443" s="88"/>
      <c r="L1443" s="25" t="str">
        <f>IF($D1443="","",SUMIFS($H$4:$H1443,$D$4:$D1443,$D1443)+SUMIFS($I$4:$I1443,$D$4:$D1443,$D1443)-SUMIFS($J$4:$J1443,$D$4:$D1443,$D1443)-SUMIFS($K$4:$K1443,$D$4:$D1443,$D1443))</f>
        <v/>
      </c>
      <c r="M1443" s="80"/>
      <c r="N1443" s="80"/>
      <c r="O1443" s="94"/>
      <c r="P1443" s="26" t="str">
        <f t="shared" si="68"/>
        <v/>
      </c>
      <c r="Q1443" s="80"/>
      <c r="R1443" s="80"/>
      <c r="S1443" s="80"/>
      <c r="T1443" s="82"/>
      <c r="U1443" s="80"/>
      <c r="V1443" s="80"/>
      <c r="W1443" s="80"/>
    </row>
    <row r="1444" ht="18" customHeight="1" spans="1:23">
      <c r="A1444" s="87" t="str">
        <f t="shared" si="66"/>
        <v/>
      </c>
      <c r="B1444" s="78"/>
      <c r="C1444" s="80"/>
      <c r="D1444" s="79"/>
      <c r="E1444" s="80"/>
      <c r="F1444" s="79"/>
      <c r="G1444" s="25" t="str">
        <f t="shared" si="67"/>
        <v/>
      </c>
      <c r="H1444" s="88"/>
      <c r="I1444" s="93"/>
      <c r="J1444" s="97"/>
      <c r="K1444" s="88"/>
      <c r="L1444" s="25" t="str">
        <f>IF($D1444="","",SUMIFS($H$4:$H1444,$D$4:$D1444,$D1444)+SUMIFS($I$4:$I1444,$D$4:$D1444,$D1444)-SUMIFS($J$4:$J1444,$D$4:$D1444,$D1444)-SUMIFS($K$4:$K1444,$D$4:$D1444,$D1444))</f>
        <v/>
      </c>
      <c r="M1444" s="80"/>
      <c r="N1444" s="80"/>
      <c r="O1444" s="94"/>
      <c r="P1444" s="26" t="str">
        <f t="shared" si="68"/>
        <v/>
      </c>
      <c r="Q1444" s="80"/>
      <c r="R1444" s="80"/>
      <c r="S1444" s="80"/>
      <c r="T1444" s="82"/>
      <c r="U1444" s="80"/>
      <c r="V1444" s="80"/>
      <c r="W1444" s="80"/>
    </row>
    <row r="1445" ht="18" customHeight="1" spans="1:23">
      <c r="A1445" s="87" t="str">
        <f t="shared" si="66"/>
        <v/>
      </c>
      <c r="B1445" s="78"/>
      <c r="C1445" s="80"/>
      <c r="D1445" s="79"/>
      <c r="E1445" s="80"/>
      <c r="F1445" s="79"/>
      <c r="G1445" s="25" t="str">
        <f t="shared" si="67"/>
        <v/>
      </c>
      <c r="H1445" s="88"/>
      <c r="I1445" s="93"/>
      <c r="J1445" s="97"/>
      <c r="K1445" s="88"/>
      <c r="L1445" s="25" t="str">
        <f>IF($D1445="","",SUMIFS($H$4:$H1445,$D$4:$D1445,$D1445)+SUMIFS($I$4:$I1445,$D$4:$D1445,$D1445)-SUMIFS($J$4:$J1445,$D$4:$D1445,$D1445)-SUMIFS($K$4:$K1445,$D$4:$D1445,$D1445))</f>
        <v/>
      </c>
      <c r="M1445" s="80"/>
      <c r="N1445" s="80"/>
      <c r="O1445" s="94"/>
      <c r="P1445" s="26" t="str">
        <f t="shared" si="68"/>
        <v/>
      </c>
      <c r="Q1445" s="80"/>
      <c r="R1445" s="80"/>
      <c r="S1445" s="80"/>
      <c r="T1445" s="82"/>
      <c r="U1445" s="80"/>
      <c r="V1445" s="80"/>
      <c r="W1445" s="80"/>
    </row>
    <row r="1446" ht="18" customHeight="1" spans="1:23">
      <c r="A1446" s="87" t="str">
        <f t="shared" si="66"/>
        <v/>
      </c>
      <c r="B1446" s="78"/>
      <c r="C1446" s="80"/>
      <c r="D1446" s="79"/>
      <c r="E1446" s="80"/>
      <c r="F1446" s="79"/>
      <c r="G1446" s="25" t="str">
        <f t="shared" si="67"/>
        <v/>
      </c>
      <c r="H1446" s="88"/>
      <c r="I1446" s="93"/>
      <c r="J1446" s="97"/>
      <c r="K1446" s="88"/>
      <c r="L1446" s="25" t="str">
        <f>IF($D1446="","",SUMIFS($H$4:$H1446,$D$4:$D1446,$D1446)+SUMIFS($I$4:$I1446,$D$4:$D1446,$D1446)-SUMIFS($J$4:$J1446,$D$4:$D1446,$D1446)-SUMIFS($K$4:$K1446,$D$4:$D1446,$D1446))</f>
        <v/>
      </c>
      <c r="M1446" s="80"/>
      <c r="N1446" s="80"/>
      <c r="O1446" s="94"/>
      <c r="P1446" s="26" t="str">
        <f t="shared" si="68"/>
        <v/>
      </c>
      <c r="Q1446" s="80"/>
      <c r="R1446" s="80"/>
      <c r="S1446" s="80"/>
      <c r="T1446" s="82"/>
      <c r="U1446" s="80"/>
      <c r="V1446" s="80"/>
      <c r="W1446" s="80"/>
    </row>
    <row r="1447" ht="18" customHeight="1" spans="1:23">
      <c r="A1447" s="87" t="str">
        <f t="shared" si="66"/>
        <v/>
      </c>
      <c r="B1447" s="78"/>
      <c r="C1447" s="80"/>
      <c r="D1447" s="79"/>
      <c r="E1447" s="80"/>
      <c r="F1447" s="79"/>
      <c r="G1447" s="25" t="str">
        <f t="shared" si="67"/>
        <v/>
      </c>
      <c r="H1447" s="88"/>
      <c r="I1447" s="93"/>
      <c r="J1447" s="97"/>
      <c r="K1447" s="88"/>
      <c r="L1447" s="25" t="str">
        <f>IF($D1447="","",SUMIFS($H$4:$H1447,$D$4:$D1447,$D1447)+SUMIFS($I$4:$I1447,$D$4:$D1447,$D1447)-SUMIFS($J$4:$J1447,$D$4:$D1447,$D1447)-SUMIFS($K$4:$K1447,$D$4:$D1447,$D1447))</f>
        <v/>
      </c>
      <c r="M1447" s="80"/>
      <c r="N1447" s="80"/>
      <c r="O1447" s="94"/>
      <c r="P1447" s="26" t="str">
        <f t="shared" si="68"/>
        <v/>
      </c>
      <c r="Q1447" s="80"/>
      <c r="R1447" s="80"/>
      <c r="S1447" s="80"/>
      <c r="T1447" s="82"/>
      <c r="U1447" s="80"/>
      <c r="V1447" s="80"/>
      <c r="W1447" s="80"/>
    </row>
    <row r="1448" ht="18" customHeight="1" spans="1:23">
      <c r="A1448" s="87" t="str">
        <f t="shared" si="66"/>
        <v/>
      </c>
      <c r="B1448" s="78"/>
      <c r="C1448" s="80"/>
      <c r="D1448" s="79"/>
      <c r="E1448" s="80"/>
      <c r="F1448" s="79"/>
      <c r="G1448" s="25" t="str">
        <f t="shared" si="67"/>
        <v/>
      </c>
      <c r="H1448" s="88"/>
      <c r="I1448" s="93"/>
      <c r="J1448" s="97"/>
      <c r="K1448" s="88"/>
      <c r="L1448" s="25" t="str">
        <f>IF($D1448="","",SUMIFS($H$4:$H1448,$D$4:$D1448,$D1448)+SUMIFS($I$4:$I1448,$D$4:$D1448,$D1448)-SUMIFS($J$4:$J1448,$D$4:$D1448,$D1448)-SUMIFS($K$4:$K1448,$D$4:$D1448,$D1448))</f>
        <v/>
      </c>
      <c r="M1448" s="80"/>
      <c r="N1448" s="80"/>
      <c r="O1448" s="94"/>
      <c r="P1448" s="26" t="str">
        <f t="shared" si="68"/>
        <v/>
      </c>
      <c r="Q1448" s="80"/>
      <c r="R1448" s="80"/>
      <c r="S1448" s="80"/>
      <c r="T1448" s="82"/>
      <c r="U1448" s="80"/>
      <c r="V1448" s="80"/>
      <c r="W1448" s="80"/>
    </row>
    <row r="1449" ht="18" customHeight="1" spans="1:23">
      <c r="A1449" s="87" t="str">
        <f t="shared" si="66"/>
        <v/>
      </c>
      <c r="B1449" s="78"/>
      <c r="C1449" s="80"/>
      <c r="D1449" s="79"/>
      <c r="E1449" s="80"/>
      <c r="F1449" s="79"/>
      <c r="G1449" s="25" t="str">
        <f t="shared" si="67"/>
        <v/>
      </c>
      <c r="H1449" s="88"/>
      <c r="I1449" s="93"/>
      <c r="J1449" s="97"/>
      <c r="K1449" s="88"/>
      <c r="L1449" s="25" t="str">
        <f>IF($D1449="","",SUMIFS($H$4:$H1449,$D$4:$D1449,$D1449)+SUMIFS($I$4:$I1449,$D$4:$D1449,$D1449)-SUMIFS($J$4:$J1449,$D$4:$D1449,$D1449)-SUMIFS($K$4:$K1449,$D$4:$D1449,$D1449))</f>
        <v/>
      </c>
      <c r="M1449" s="80"/>
      <c r="N1449" s="80"/>
      <c r="O1449" s="94"/>
      <c r="P1449" s="26" t="str">
        <f t="shared" si="68"/>
        <v/>
      </c>
      <c r="Q1449" s="80"/>
      <c r="R1449" s="80"/>
      <c r="S1449" s="80"/>
      <c r="T1449" s="82"/>
      <c r="U1449" s="80"/>
      <c r="V1449" s="80"/>
      <c r="W1449" s="80"/>
    </row>
    <row r="1450" ht="18" customHeight="1" spans="1:23">
      <c r="A1450" s="87" t="str">
        <f t="shared" si="66"/>
        <v/>
      </c>
      <c r="B1450" s="78"/>
      <c r="C1450" s="80"/>
      <c r="D1450" s="79"/>
      <c r="E1450" s="80"/>
      <c r="F1450" s="79"/>
      <c r="G1450" s="25" t="str">
        <f t="shared" si="67"/>
        <v/>
      </c>
      <c r="H1450" s="88"/>
      <c r="I1450" s="93"/>
      <c r="J1450" s="97"/>
      <c r="K1450" s="88"/>
      <c r="L1450" s="25" t="str">
        <f>IF($D1450="","",SUMIFS($H$4:$H1450,$D$4:$D1450,$D1450)+SUMIFS($I$4:$I1450,$D$4:$D1450,$D1450)-SUMIFS($J$4:$J1450,$D$4:$D1450,$D1450)-SUMIFS($K$4:$K1450,$D$4:$D1450,$D1450))</f>
        <v/>
      </c>
      <c r="M1450" s="80"/>
      <c r="N1450" s="80"/>
      <c r="O1450" s="94"/>
      <c r="P1450" s="26" t="str">
        <f t="shared" si="68"/>
        <v/>
      </c>
      <c r="Q1450" s="80"/>
      <c r="R1450" s="80"/>
      <c r="S1450" s="80"/>
      <c r="T1450" s="82"/>
      <c r="U1450" s="80"/>
      <c r="V1450" s="80"/>
      <c r="W1450" s="80"/>
    </row>
    <row r="1451" ht="18" customHeight="1" spans="1:23">
      <c r="A1451" s="87" t="str">
        <f t="shared" si="66"/>
        <v/>
      </c>
      <c r="B1451" s="78"/>
      <c r="C1451" s="80"/>
      <c r="D1451" s="79"/>
      <c r="E1451" s="80"/>
      <c r="F1451" s="79"/>
      <c r="G1451" s="25" t="str">
        <f t="shared" si="67"/>
        <v/>
      </c>
      <c r="H1451" s="88"/>
      <c r="I1451" s="93"/>
      <c r="J1451" s="97"/>
      <c r="K1451" s="88"/>
      <c r="L1451" s="25" t="str">
        <f>IF($D1451="","",SUMIFS($H$4:$H1451,$D$4:$D1451,$D1451)+SUMIFS($I$4:$I1451,$D$4:$D1451,$D1451)-SUMIFS($J$4:$J1451,$D$4:$D1451,$D1451)-SUMIFS($K$4:$K1451,$D$4:$D1451,$D1451))</f>
        <v/>
      </c>
      <c r="M1451" s="80"/>
      <c r="N1451" s="80"/>
      <c r="O1451" s="94"/>
      <c r="P1451" s="26" t="str">
        <f t="shared" si="68"/>
        <v/>
      </c>
      <c r="Q1451" s="80"/>
      <c r="R1451" s="80"/>
      <c r="S1451" s="80"/>
      <c r="T1451" s="82"/>
      <c r="U1451" s="80"/>
      <c r="V1451" s="80"/>
      <c r="W1451" s="80"/>
    </row>
    <row r="1452" ht="18" customHeight="1" spans="1:23">
      <c r="A1452" s="87" t="str">
        <f t="shared" si="66"/>
        <v/>
      </c>
      <c r="B1452" s="78"/>
      <c r="C1452" s="80"/>
      <c r="D1452" s="79"/>
      <c r="E1452" s="80"/>
      <c r="F1452" s="79"/>
      <c r="G1452" s="25" t="str">
        <f t="shared" si="67"/>
        <v/>
      </c>
      <c r="H1452" s="88"/>
      <c r="I1452" s="93"/>
      <c r="J1452" s="97"/>
      <c r="K1452" s="88"/>
      <c r="L1452" s="25" t="str">
        <f>IF($D1452="","",SUMIFS($H$4:$H1452,$D$4:$D1452,$D1452)+SUMIFS($I$4:$I1452,$D$4:$D1452,$D1452)-SUMIFS($J$4:$J1452,$D$4:$D1452,$D1452)-SUMIFS($K$4:$K1452,$D$4:$D1452,$D1452))</f>
        <v/>
      </c>
      <c r="M1452" s="80"/>
      <c r="N1452" s="80"/>
      <c r="O1452" s="94"/>
      <c r="P1452" s="26" t="str">
        <f t="shared" si="68"/>
        <v/>
      </c>
      <c r="Q1452" s="80"/>
      <c r="R1452" s="80"/>
      <c r="S1452" s="80"/>
      <c r="T1452" s="82"/>
      <c r="U1452" s="80"/>
      <c r="V1452" s="80"/>
      <c r="W1452" s="80"/>
    </row>
    <row r="1453" ht="18" customHeight="1" spans="1:23">
      <c r="A1453" s="87" t="str">
        <f t="shared" si="66"/>
        <v/>
      </c>
      <c r="B1453" s="78"/>
      <c r="C1453" s="80"/>
      <c r="D1453" s="79"/>
      <c r="E1453" s="80"/>
      <c r="F1453" s="79"/>
      <c r="G1453" s="25" t="str">
        <f t="shared" si="67"/>
        <v/>
      </c>
      <c r="H1453" s="88"/>
      <c r="I1453" s="93"/>
      <c r="J1453" s="97"/>
      <c r="K1453" s="88"/>
      <c r="L1453" s="25" t="str">
        <f>IF($D1453="","",SUMIFS($H$4:$H1453,$D$4:$D1453,$D1453)+SUMIFS($I$4:$I1453,$D$4:$D1453,$D1453)-SUMIFS($J$4:$J1453,$D$4:$D1453,$D1453)-SUMIFS($K$4:$K1453,$D$4:$D1453,$D1453))</f>
        <v/>
      </c>
      <c r="M1453" s="80"/>
      <c r="N1453" s="80"/>
      <c r="O1453" s="94"/>
      <c r="P1453" s="26" t="str">
        <f t="shared" si="68"/>
        <v/>
      </c>
      <c r="Q1453" s="80"/>
      <c r="R1453" s="80"/>
      <c r="S1453" s="80"/>
      <c r="T1453" s="82"/>
      <c r="U1453" s="80"/>
      <c r="V1453" s="80"/>
      <c r="W1453" s="80"/>
    </row>
    <row r="1454" ht="18" customHeight="1" spans="1:23">
      <c r="A1454" s="87" t="str">
        <f t="shared" si="66"/>
        <v/>
      </c>
      <c r="B1454" s="78"/>
      <c r="C1454" s="80"/>
      <c r="D1454" s="79"/>
      <c r="E1454" s="80"/>
      <c r="F1454" s="79"/>
      <c r="G1454" s="25" t="str">
        <f t="shared" si="67"/>
        <v/>
      </c>
      <c r="H1454" s="88"/>
      <c r="I1454" s="93"/>
      <c r="J1454" s="97"/>
      <c r="K1454" s="88"/>
      <c r="L1454" s="25" t="str">
        <f>IF($D1454="","",SUMIFS($H$4:$H1454,$D$4:$D1454,$D1454)+SUMIFS($I$4:$I1454,$D$4:$D1454,$D1454)-SUMIFS($J$4:$J1454,$D$4:$D1454,$D1454)-SUMIFS($K$4:$K1454,$D$4:$D1454,$D1454))</f>
        <v/>
      </c>
      <c r="M1454" s="80"/>
      <c r="N1454" s="80"/>
      <c r="O1454" s="94"/>
      <c r="P1454" s="26" t="str">
        <f t="shared" si="68"/>
        <v/>
      </c>
      <c r="Q1454" s="80"/>
      <c r="R1454" s="80"/>
      <c r="S1454" s="80"/>
      <c r="T1454" s="82"/>
      <c r="U1454" s="80"/>
      <c r="V1454" s="80"/>
      <c r="W1454" s="80"/>
    </row>
    <row r="1455" ht="18" customHeight="1" spans="1:23">
      <c r="A1455" s="87" t="str">
        <f t="shared" si="66"/>
        <v/>
      </c>
      <c r="B1455" s="78"/>
      <c r="C1455" s="80"/>
      <c r="D1455" s="79"/>
      <c r="E1455" s="80"/>
      <c r="F1455" s="79"/>
      <c r="G1455" s="25" t="str">
        <f t="shared" si="67"/>
        <v/>
      </c>
      <c r="H1455" s="88"/>
      <c r="I1455" s="93"/>
      <c r="J1455" s="97"/>
      <c r="K1455" s="88"/>
      <c r="L1455" s="25" t="str">
        <f>IF($D1455="","",SUMIFS($H$4:$H1455,$D$4:$D1455,$D1455)+SUMIFS($I$4:$I1455,$D$4:$D1455,$D1455)-SUMIFS($J$4:$J1455,$D$4:$D1455,$D1455)-SUMIFS($K$4:$K1455,$D$4:$D1455,$D1455))</f>
        <v/>
      </c>
      <c r="M1455" s="80"/>
      <c r="N1455" s="80"/>
      <c r="O1455" s="94"/>
      <c r="P1455" s="26" t="str">
        <f t="shared" si="68"/>
        <v/>
      </c>
      <c r="Q1455" s="80"/>
      <c r="R1455" s="80"/>
      <c r="S1455" s="80"/>
      <c r="T1455" s="82"/>
      <c r="U1455" s="80"/>
      <c r="V1455" s="80"/>
      <c r="W1455" s="80"/>
    </row>
    <row r="1456" ht="18" customHeight="1" spans="1:23">
      <c r="A1456" s="87" t="str">
        <f t="shared" si="66"/>
        <v/>
      </c>
      <c r="B1456" s="78"/>
      <c r="C1456" s="80"/>
      <c r="D1456" s="79"/>
      <c r="E1456" s="80"/>
      <c r="F1456" s="79"/>
      <c r="G1456" s="25" t="str">
        <f t="shared" si="67"/>
        <v/>
      </c>
      <c r="H1456" s="88"/>
      <c r="I1456" s="93"/>
      <c r="J1456" s="97"/>
      <c r="K1456" s="88"/>
      <c r="L1456" s="25" t="str">
        <f>IF($D1456="","",SUMIFS($H$4:$H1456,$D$4:$D1456,$D1456)+SUMIFS($I$4:$I1456,$D$4:$D1456,$D1456)-SUMIFS($J$4:$J1456,$D$4:$D1456,$D1456)-SUMIFS($K$4:$K1456,$D$4:$D1456,$D1456))</f>
        <v/>
      </c>
      <c r="M1456" s="80"/>
      <c r="N1456" s="80"/>
      <c r="O1456" s="94"/>
      <c r="P1456" s="26" t="str">
        <f t="shared" si="68"/>
        <v/>
      </c>
      <c r="Q1456" s="80"/>
      <c r="R1456" s="80"/>
      <c r="S1456" s="80"/>
      <c r="T1456" s="82"/>
      <c r="U1456" s="80"/>
      <c r="V1456" s="80"/>
      <c r="W1456" s="80"/>
    </row>
    <row r="1457" ht="18" customHeight="1" spans="1:23">
      <c r="A1457" s="87" t="str">
        <f t="shared" si="66"/>
        <v/>
      </c>
      <c r="B1457" s="78"/>
      <c r="C1457" s="80"/>
      <c r="D1457" s="79"/>
      <c r="E1457" s="80"/>
      <c r="F1457" s="79"/>
      <c r="G1457" s="25" t="str">
        <f t="shared" si="67"/>
        <v/>
      </c>
      <c r="H1457" s="88"/>
      <c r="I1457" s="93"/>
      <c r="J1457" s="97"/>
      <c r="K1457" s="88"/>
      <c r="L1457" s="25" t="str">
        <f>IF($D1457="","",SUMIFS($H$4:$H1457,$D$4:$D1457,$D1457)+SUMIFS($I$4:$I1457,$D$4:$D1457,$D1457)-SUMIFS($J$4:$J1457,$D$4:$D1457,$D1457)-SUMIFS($K$4:$K1457,$D$4:$D1457,$D1457))</f>
        <v/>
      </c>
      <c r="M1457" s="80"/>
      <c r="N1457" s="80"/>
      <c r="O1457" s="94"/>
      <c r="P1457" s="26" t="str">
        <f t="shared" si="68"/>
        <v/>
      </c>
      <c r="Q1457" s="80"/>
      <c r="R1457" s="80"/>
      <c r="S1457" s="80"/>
      <c r="T1457" s="82"/>
      <c r="U1457" s="80"/>
      <c r="V1457" s="80"/>
      <c r="W1457" s="80"/>
    </row>
    <row r="1458" ht="18" customHeight="1" spans="1:23">
      <c r="A1458" s="87" t="str">
        <f t="shared" si="66"/>
        <v/>
      </c>
      <c r="B1458" s="78"/>
      <c r="C1458" s="80"/>
      <c r="D1458" s="79"/>
      <c r="E1458" s="80"/>
      <c r="F1458" s="79"/>
      <c r="G1458" s="25" t="str">
        <f t="shared" si="67"/>
        <v/>
      </c>
      <c r="H1458" s="88"/>
      <c r="I1458" s="93"/>
      <c r="J1458" s="97"/>
      <c r="K1458" s="88"/>
      <c r="L1458" s="25" t="str">
        <f>IF($D1458="","",SUMIFS($H$4:$H1458,$D$4:$D1458,$D1458)+SUMIFS($I$4:$I1458,$D$4:$D1458,$D1458)-SUMIFS($J$4:$J1458,$D$4:$D1458,$D1458)-SUMIFS($K$4:$K1458,$D$4:$D1458,$D1458))</f>
        <v/>
      </c>
      <c r="M1458" s="80"/>
      <c r="N1458" s="80"/>
      <c r="O1458" s="94"/>
      <c r="P1458" s="26" t="str">
        <f t="shared" si="68"/>
        <v/>
      </c>
      <c r="Q1458" s="80"/>
      <c r="R1458" s="80"/>
      <c r="S1458" s="80"/>
      <c r="T1458" s="82"/>
      <c r="U1458" s="80"/>
      <c r="V1458" s="80"/>
      <c r="W1458" s="80"/>
    </row>
    <row r="1459" ht="18" customHeight="1" spans="1:23">
      <c r="A1459" s="87" t="str">
        <f t="shared" si="66"/>
        <v/>
      </c>
      <c r="B1459" s="78"/>
      <c r="C1459" s="80"/>
      <c r="D1459" s="79"/>
      <c r="E1459" s="80"/>
      <c r="F1459" s="79"/>
      <c r="G1459" s="25" t="str">
        <f t="shared" si="67"/>
        <v/>
      </c>
      <c r="H1459" s="88"/>
      <c r="I1459" s="93"/>
      <c r="J1459" s="97"/>
      <c r="K1459" s="88"/>
      <c r="L1459" s="25" t="str">
        <f>IF($D1459="","",SUMIFS($H$4:$H1459,$D$4:$D1459,$D1459)+SUMIFS($I$4:$I1459,$D$4:$D1459,$D1459)-SUMIFS($J$4:$J1459,$D$4:$D1459,$D1459)-SUMIFS($K$4:$K1459,$D$4:$D1459,$D1459))</f>
        <v/>
      </c>
      <c r="M1459" s="80"/>
      <c r="N1459" s="80"/>
      <c r="O1459" s="94"/>
      <c r="P1459" s="26" t="str">
        <f t="shared" si="68"/>
        <v/>
      </c>
      <c r="Q1459" s="80"/>
      <c r="R1459" s="80"/>
      <c r="S1459" s="80"/>
      <c r="T1459" s="82"/>
      <c r="U1459" s="80"/>
      <c r="V1459" s="80"/>
      <c r="W1459" s="80"/>
    </row>
    <row r="1460" ht="18" customHeight="1" spans="1:23">
      <c r="A1460" s="87" t="str">
        <f t="shared" si="66"/>
        <v/>
      </c>
      <c r="B1460" s="78"/>
      <c r="C1460" s="80"/>
      <c r="D1460" s="79"/>
      <c r="E1460" s="80"/>
      <c r="F1460" s="79"/>
      <c r="G1460" s="25" t="str">
        <f t="shared" si="67"/>
        <v/>
      </c>
      <c r="H1460" s="88"/>
      <c r="I1460" s="93"/>
      <c r="J1460" s="97"/>
      <c r="K1460" s="88"/>
      <c r="L1460" s="25" t="str">
        <f>IF($D1460="","",SUMIFS($H$4:$H1460,$D$4:$D1460,$D1460)+SUMIFS($I$4:$I1460,$D$4:$D1460,$D1460)-SUMIFS($J$4:$J1460,$D$4:$D1460,$D1460)-SUMIFS($K$4:$K1460,$D$4:$D1460,$D1460))</f>
        <v/>
      </c>
      <c r="M1460" s="80"/>
      <c r="N1460" s="80"/>
      <c r="O1460" s="94"/>
      <c r="P1460" s="26" t="str">
        <f t="shared" si="68"/>
        <v/>
      </c>
      <c r="Q1460" s="80"/>
      <c r="R1460" s="80"/>
      <c r="S1460" s="80"/>
      <c r="T1460" s="82"/>
      <c r="U1460" s="80"/>
      <c r="V1460" s="80"/>
      <c r="W1460" s="80"/>
    </row>
    <row r="1461" ht="18" customHeight="1" spans="1:23">
      <c r="A1461" s="87" t="str">
        <f t="shared" si="66"/>
        <v/>
      </c>
      <c r="B1461" s="78"/>
      <c r="C1461" s="80"/>
      <c r="D1461" s="79"/>
      <c r="E1461" s="80"/>
      <c r="F1461" s="79"/>
      <c r="G1461" s="25" t="str">
        <f t="shared" si="67"/>
        <v/>
      </c>
      <c r="H1461" s="88"/>
      <c r="I1461" s="93"/>
      <c r="J1461" s="97"/>
      <c r="K1461" s="88"/>
      <c r="L1461" s="25" t="str">
        <f>IF($D1461="","",SUMIFS($H$4:$H1461,$D$4:$D1461,$D1461)+SUMIFS($I$4:$I1461,$D$4:$D1461,$D1461)-SUMIFS($J$4:$J1461,$D$4:$D1461,$D1461)-SUMIFS($K$4:$K1461,$D$4:$D1461,$D1461))</f>
        <v/>
      </c>
      <c r="M1461" s="80"/>
      <c r="N1461" s="80"/>
      <c r="O1461" s="94"/>
      <c r="P1461" s="26" t="str">
        <f t="shared" si="68"/>
        <v/>
      </c>
      <c r="Q1461" s="80"/>
      <c r="R1461" s="80"/>
      <c r="S1461" s="80"/>
      <c r="T1461" s="82"/>
      <c r="U1461" s="80"/>
      <c r="V1461" s="80"/>
      <c r="W1461" s="80"/>
    </row>
    <row r="1462" ht="18" customHeight="1" spans="1:23">
      <c r="A1462" s="87" t="str">
        <f t="shared" si="66"/>
        <v/>
      </c>
      <c r="B1462" s="78"/>
      <c r="C1462" s="80"/>
      <c r="D1462" s="79"/>
      <c r="E1462" s="80"/>
      <c r="F1462" s="79"/>
      <c r="G1462" s="25" t="str">
        <f t="shared" si="67"/>
        <v/>
      </c>
      <c r="H1462" s="88"/>
      <c r="I1462" s="93"/>
      <c r="J1462" s="97"/>
      <c r="K1462" s="88"/>
      <c r="L1462" s="25" t="str">
        <f>IF($D1462="","",SUMIFS($H$4:$H1462,$D$4:$D1462,$D1462)+SUMIFS($I$4:$I1462,$D$4:$D1462,$D1462)-SUMIFS($J$4:$J1462,$D$4:$D1462,$D1462)-SUMIFS($K$4:$K1462,$D$4:$D1462,$D1462))</f>
        <v/>
      </c>
      <c r="M1462" s="80"/>
      <c r="N1462" s="80"/>
      <c r="O1462" s="94"/>
      <c r="P1462" s="26" t="str">
        <f t="shared" si="68"/>
        <v/>
      </c>
      <c r="Q1462" s="80"/>
      <c r="R1462" s="80"/>
      <c r="S1462" s="80"/>
      <c r="T1462" s="82"/>
      <c r="U1462" s="80"/>
      <c r="V1462" s="80"/>
      <c r="W1462" s="80"/>
    </row>
    <row r="1463" ht="18" customHeight="1" spans="1:23">
      <c r="A1463" s="87" t="str">
        <f t="shared" si="66"/>
        <v/>
      </c>
      <c r="B1463" s="78"/>
      <c r="C1463" s="80"/>
      <c r="D1463" s="79"/>
      <c r="E1463" s="80"/>
      <c r="F1463" s="79"/>
      <c r="G1463" s="25" t="str">
        <f t="shared" si="67"/>
        <v/>
      </c>
      <c r="H1463" s="88"/>
      <c r="I1463" s="93"/>
      <c r="J1463" s="97"/>
      <c r="K1463" s="88"/>
      <c r="L1463" s="25" t="str">
        <f>IF($D1463="","",SUMIFS($H$4:$H1463,$D$4:$D1463,$D1463)+SUMIFS($I$4:$I1463,$D$4:$D1463,$D1463)-SUMIFS($J$4:$J1463,$D$4:$D1463,$D1463)-SUMIFS($K$4:$K1463,$D$4:$D1463,$D1463))</f>
        <v/>
      </c>
      <c r="M1463" s="80"/>
      <c r="N1463" s="80"/>
      <c r="O1463" s="94"/>
      <c r="P1463" s="26" t="str">
        <f t="shared" si="68"/>
        <v/>
      </c>
      <c r="Q1463" s="80"/>
      <c r="R1463" s="80"/>
      <c r="S1463" s="80"/>
      <c r="T1463" s="82"/>
      <c r="U1463" s="80"/>
      <c r="V1463" s="80"/>
      <c r="W1463" s="80"/>
    </row>
    <row r="1464" ht="18" customHeight="1" spans="1:23">
      <c r="A1464" s="87" t="str">
        <f t="shared" si="66"/>
        <v/>
      </c>
      <c r="B1464" s="78"/>
      <c r="C1464" s="80"/>
      <c r="D1464" s="79"/>
      <c r="E1464" s="80"/>
      <c r="F1464" s="79"/>
      <c r="G1464" s="25" t="str">
        <f t="shared" si="67"/>
        <v/>
      </c>
      <c r="H1464" s="88"/>
      <c r="I1464" s="93"/>
      <c r="J1464" s="97"/>
      <c r="K1464" s="88"/>
      <c r="L1464" s="25" t="str">
        <f>IF($D1464="","",SUMIFS($H$4:$H1464,$D$4:$D1464,$D1464)+SUMIFS($I$4:$I1464,$D$4:$D1464,$D1464)-SUMIFS($J$4:$J1464,$D$4:$D1464,$D1464)-SUMIFS($K$4:$K1464,$D$4:$D1464,$D1464))</f>
        <v/>
      </c>
      <c r="M1464" s="80"/>
      <c r="N1464" s="80"/>
      <c r="O1464" s="94"/>
      <c r="P1464" s="26" t="str">
        <f t="shared" si="68"/>
        <v/>
      </c>
      <c r="Q1464" s="80"/>
      <c r="R1464" s="80"/>
      <c r="S1464" s="80"/>
      <c r="T1464" s="82"/>
      <c r="U1464" s="80"/>
      <c r="V1464" s="80"/>
      <c r="W1464" s="80"/>
    </row>
    <row r="1465" ht="18" customHeight="1" spans="1:23">
      <c r="A1465" s="87" t="str">
        <f t="shared" si="66"/>
        <v/>
      </c>
      <c r="B1465" s="78"/>
      <c r="C1465" s="80"/>
      <c r="D1465" s="79"/>
      <c r="E1465" s="80"/>
      <c r="F1465" s="79"/>
      <c r="G1465" s="25" t="str">
        <f t="shared" si="67"/>
        <v/>
      </c>
      <c r="H1465" s="88"/>
      <c r="I1465" s="93"/>
      <c r="J1465" s="97"/>
      <c r="K1465" s="88"/>
      <c r="L1465" s="25" t="str">
        <f>IF($D1465="","",SUMIFS($H$4:$H1465,$D$4:$D1465,$D1465)+SUMIFS($I$4:$I1465,$D$4:$D1465,$D1465)-SUMIFS($J$4:$J1465,$D$4:$D1465,$D1465)-SUMIFS($K$4:$K1465,$D$4:$D1465,$D1465))</f>
        <v/>
      </c>
      <c r="M1465" s="80"/>
      <c r="N1465" s="80"/>
      <c r="O1465" s="94"/>
      <c r="P1465" s="26" t="str">
        <f t="shared" si="68"/>
        <v/>
      </c>
      <c r="Q1465" s="80"/>
      <c r="R1465" s="80"/>
      <c r="S1465" s="80"/>
      <c r="T1465" s="82"/>
      <c r="U1465" s="80"/>
      <c r="V1465" s="80"/>
      <c r="W1465" s="80"/>
    </row>
    <row r="1466" ht="18" customHeight="1" spans="1:23">
      <c r="A1466" s="87" t="str">
        <f t="shared" si="66"/>
        <v/>
      </c>
      <c r="B1466" s="78"/>
      <c r="C1466" s="80"/>
      <c r="D1466" s="79"/>
      <c r="E1466" s="80"/>
      <c r="F1466" s="79"/>
      <c r="G1466" s="25" t="str">
        <f t="shared" si="67"/>
        <v/>
      </c>
      <c r="H1466" s="88"/>
      <c r="I1466" s="93"/>
      <c r="J1466" s="97"/>
      <c r="K1466" s="88"/>
      <c r="L1466" s="25" t="str">
        <f>IF($D1466="","",SUMIFS($H$4:$H1466,$D$4:$D1466,$D1466)+SUMIFS($I$4:$I1466,$D$4:$D1466,$D1466)-SUMIFS($J$4:$J1466,$D$4:$D1466,$D1466)-SUMIFS($K$4:$K1466,$D$4:$D1466,$D1466))</f>
        <v/>
      </c>
      <c r="M1466" s="80"/>
      <c r="N1466" s="80"/>
      <c r="O1466" s="94"/>
      <c r="P1466" s="26" t="str">
        <f t="shared" si="68"/>
        <v/>
      </c>
      <c r="Q1466" s="80"/>
      <c r="R1466" s="80"/>
      <c r="S1466" s="80"/>
      <c r="T1466" s="82"/>
      <c r="U1466" s="80"/>
      <c r="V1466" s="80"/>
      <c r="W1466" s="80"/>
    </row>
    <row r="1467" ht="18" customHeight="1" spans="1:23">
      <c r="A1467" s="87" t="str">
        <f t="shared" si="66"/>
        <v/>
      </c>
      <c r="B1467" s="78"/>
      <c r="C1467" s="80"/>
      <c r="D1467" s="79"/>
      <c r="E1467" s="80"/>
      <c r="F1467" s="79"/>
      <c r="G1467" s="25" t="str">
        <f t="shared" si="67"/>
        <v/>
      </c>
      <c r="H1467" s="88"/>
      <c r="I1467" s="93"/>
      <c r="J1467" s="97"/>
      <c r="K1467" s="88"/>
      <c r="L1467" s="25" t="str">
        <f>IF($D1467="","",SUMIFS($H$4:$H1467,$D$4:$D1467,$D1467)+SUMIFS($I$4:$I1467,$D$4:$D1467,$D1467)-SUMIFS($J$4:$J1467,$D$4:$D1467,$D1467)-SUMIFS($K$4:$K1467,$D$4:$D1467,$D1467))</f>
        <v/>
      </c>
      <c r="M1467" s="80"/>
      <c r="N1467" s="80"/>
      <c r="O1467" s="94"/>
      <c r="P1467" s="26" t="str">
        <f t="shared" si="68"/>
        <v/>
      </c>
      <c r="Q1467" s="80"/>
      <c r="R1467" s="80"/>
      <c r="S1467" s="80"/>
      <c r="T1467" s="82"/>
      <c r="U1467" s="80"/>
      <c r="V1467" s="80"/>
      <c r="W1467" s="80"/>
    </row>
    <row r="1468" ht="18" customHeight="1" spans="1:23">
      <c r="A1468" s="87" t="str">
        <f t="shared" si="66"/>
        <v/>
      </c>
      <c r="B1468" s="78"/>
      <c r="C1468" s="80"/>
      <c r="D1468" s="79"/>
      <c r="E1468" s="80"/>
      <c r="F1468" s="79"/>
      <c r="G1468" s="25" t="str">
        <f t="shared" si="67"/>
        <v/>
      </c>
      <c r="H1468" s="88"/>
      <c r="I1468" s="93"/>
      <c r="J1468" s="97"/>
      <c r="K1468" s="88"/>
      <c r="L1468" s="25" t="str">
        <f>IF($D1468="","",SUMIFS($H$4:$H1468,$D$4:$D1468,$D1468)+SUMIFS($I$4:$I1468,$D$4:$D1468,$D1468)-SUMIFS($J$4:$J1468,$D$4:$D1468,$D1468)-SUMIFS($K$4:$K1468,$D$4:$D1468,$D1468))</f>
        <v/>
      </c>
      <c r="M1468" s="80"/>
      <c r="N1468" s="80"/>
      <c r="O1468" s="94"/>
      <c r="P1468" s="26" t="str">
        <f t="shared" si="68"/>
        <v/>
      </c>
      <c r="Q1468" s="80"/>
      <c r="R1468" s="80"/>
      <c r="S1468" s="80"/>
      <c r="T1468" s="82"/>
      <c r="U1468" s="80"/>
      <c r="V1468" s="80"/>
      <c r="W1468" s="80"/>
    </row>
    <row r="1469" ht="18" customHeight="1" spans="1:23">
      <c r="A1469" s="87" t="str">
        <f t="shared" si="66"/>
        <v/>
      </c>
      <c r="B1469" s="78"/>
      <c r="C1469" s="80"/>
      <c r="D1469" s="79"/>
      <c r="E1469" s="80"/>
      <c r="F1469" s="79"/>
      <c r="G1469" s="25" t="str">
        <f t="shared" si="67"/>
        <v/>
      </c>
      <c r="H1469" s="88"/>
      <c r="I1469" s="93"/>
      <c r="J1469" s="97"/>
      <c r="K1469" s="88"/>
      <c r="L1469" s="25" t="str">
        <f>IF($D1469="","",SUMIFS($H$4:$H1469,$D$4:$D1469,$D1469)+SUMIFS($I$4:$I1469,$D$4:$D1469,$D1469)-SUMIFS($J$4:$J1469,$D$4:$D1469,$D1469)-SUMIFS($K$4:$K1469,$D$4:$D1469,$D1469))</f>
        <v/>
      </c>
      <c r="M1469" s="80"/>
      <c r="N1469" s="80"/>
      <c r="O1469" s="94"/>
      <c r="P1469" s="26" t="str">
        <f t="shared" si="68"/>
        <v/>
      </c>
      <c r="Q1469" s="80"/>
      <c r="R1469" s="80"/>
      <c r="S1469" s="80"/>
      <c r="T1469" s="82"/>
      <c r="U1469" s="80"/>
      <c r="V1469" s="80"/>
      <c r="W1469" s="80"/>
    </row>
    <row r="1470" ht="18" customHeight="1" spans="1:23">
      <c r="A1470" s="87" t="str">
        <f t="shared" si="66"/>
        <v/>
      </c>
      <c r="B1470" s="78"/>
      <c r="C1470" s="80"/>
      <c r="D1470" s="79"/>
      <c r="E1470" s="80"/>
      <c r="F1470" s="79"/>
      <c r="G1470" s="25" t="str">
        <f t="shared" si="67"/>
        <v/>
      </c>
      <c r="H1470" s="88"/>
      <c r="I1470" s="93"/>
      <c r="J1470" s="97"/>
      <c r="K1470" s="88"/>
      <c r="L1470" s="25" t="str">
        <f>IF($D1470="","",SUMIFS($H$4:$H1470,$D$4:$D1470,$D1470)+SUMIFS($I$4:$I1470,$D$4:$D1470,$D1470)-SUMIFS($J$4:$J1470,$D$4:$D1470,$D1470)-SUMIFS($K$4:$K1470,$D$4:$D1470,$D1470))</f>
        <v/>
      </c>
      <c r="M1470" s="80"/>
      <c r="N1470" s="80"/>
      <c r="O1470" s="94"/>
      <c r="P1470" s="26" t="str">
        <f t="shared" si="68"/>
        <v/>
      </c>
      <c r="Q1470" s="80"/>
      <c r="R1470" s="80"/>
      <c r="S1470" s="80"/>
      <c r="T1470" s="82"/>
      <c r="U1470" s="80"/>
      <c r="V1470" s="80"/>
      <c r="W1470" s="80"/>
    </row>
    <row r="1471" ht="18" customHeight="1" spans="1:23">
      <c r="A1471" s="87" t="str">
        <f t="shared" si="66"/>
        <v/>
      </c>
      <c r="B1471" s="78"/>
      <c r="C1471" s="80"/>
      <c r="D1471" s="79"/>
      <c r="E1471" s="80"/>
      <c r="F1471" s="79"/>
      <c r="G1471" s="25" t="str">
        <f t="shared" si="67"/>
        <v/>
      </c>
      <c r="H1471" s="88"/>
      <c r="I1471" s="93"/>
      <c r="J1471" s="97"/>
      <c r="K1471" s="88"/>
      <c r="L1471" s="25" t="str">
        <f>IF($D1471="","",SUMIFS($H$4:$H1471,$D$4:$D1471,$D1471)+SUMIFS($I$4:$I1471,$D$4:$D1471,$D1471)-SUMIFS($J$4:$J1471,$D$4:$D1471,$D1471)-SUMIFS($K$4:$K1471,$D$4:$D1471,$D1471))</f>
        <v/>
      </c>
      <c r="M1471" s="80"/>
      <c r="N1471" s="80"/>
      <c r="O1471" s="94"/>
      <c r="P1471" s="26" t="str">
        <f t="shared" si="68"/>
        <v/>
      </c>
      <c r="Q1471" s="80"/>
      <c r="R1471" s="80"/>
      <c r="S1471" s="80"/>
      <c r="T1471" s="82"/>
      <c r="U1471" s="80"/>
      <c r="V1471" s="80"/>
      <c r="W1471" s="80"/>
    </row>
    <row r="1472" ht="18" customHeight="1" spans="1:23">
      <c r="A1472" s="87" t="str">
        <f t="shared" si="66"/>
        <v/>
      </c>
      <c r="B1472" s="78"/>
      <c r="C1472" s="80"/>
      <c r="D1472" s="79"/>
      <c r="E1472" s="80"/>
      <c r="F1472" s="79"/>
      <c r="G1472" s="25" t="str">
        <f t="shared" si="67"/>
        <v/>
      </c>
      <c r="H1472" s="88"/>
      <c r="I1472" s="93"/>
      <c r="J1472" s="97"/>
      <c r="K1472" s="88"/>
      <c r="L1472" s="25" t="str">
        <f>IF($D1472="","",SUMIFS($H$4:$H1472,$D$4:$D1472,$D1472)+SUMIFS($I$4:$I1472,$D$4:$D1472,$D1472)-SUMIFS($J$4:$J1472,$D$4:$D1472,$D1472)-SUMIFS($K$4:$K1472,$D$4:$D1472,$D1472))</f>
        <v/>
      </c>
      <c r="M1472" s="80"/>
      <c r="N1472" s="80"/>
      <c r="O1472" s="94"/>
      <c r="P1472" s="26" t="str">
        <f t="shared" si="68"/>
        <v/>
      </c>
      <c r="Q1472" s="80"/>
      <c r="R1472" s="80"/>
      <c r="S1472" s="80"/>
      <c r="T1472" s="82"/>
      <c r="U1472" s="80"/>
      <c r="V1472" s="80"/>
      <c r="W1472" s="80"/>
    </row>
    <row r="1473" ht="18" customHeight="1" spans="1:23">
      <c r="A1473" s="87" t="str">
        <f t="shared" si="66"/>
        <v/>
      </c>
      <c r="B1473" s="78"/>
      <c r="C1473" s="80"/>
      <c r="D1473" s="79"/>
      <c r="E1473" s="80"/>
      <c r="F1473" s="79"/>
      <c r="G1473" s="25" t="str">
        <f t="shared" si="67"/>
        <v/>
      </c>
      <c r="H1473" s="88"/>
      <c r="I1473" s="93"/>
      <c r="J1473" s="97"/>
      <c r="K1473" s="88"/>
      <c r="L1473" s="25" t="str">
        <f>IF($D1473="","",SUMIFS($H$4:$H1473,$D$4:$D1473,$D1473)+SUMIFS($I$4:$I1473,$D$4:$D1473,$D1473)-SUMIFS($J$4:$J1473,$D$4:$D1473,$D1473)-SUMIFS($K$4:$K1473,$D$4:$D1473,$D1473))</f>
        <v/>
      </c>
      <c r="M1473" s="80"/>
      <c r="N1473" s="80"/>
      <c r="O1473" s="94"/>
      <c r="P1473" s="26" t="str">
        <f t="shared" si="68"/>
        <v/>
      </c>
      <c r="Q1473" s="80"/>
      <c r="R1473" s="80"/>
      <c r="S1473" s="80"/>
      <c r="T1473" s="82"/>
      <c r="U1473" s="80"/>
      <c r="V1473" s="80"/>
      <c r="W1473" s="80"/>
    </row>
    <row r="1474" ht="18" customHeight="1" spans="1:23">
      <c r="A1474" s="87" t="str">
        <f t="shared" si="66"/>
        <v/>
      </c>
      <c r="B1474" s="78"/>
      <c r="C1474" s="80"/>
      <c r="D1474" s="79"/>
      <c r="E1474" s="80"/>
      <c r="F1474" s="79"/>
      <c r="G1474" s="25" t="str">
        <f t="shared" si="67"/>
        <v/>
      </c>
      <c r="H1474" s="88"/>
      <c r="I1474" s="93"/>
      <c r="J1474" s="97"/>
      <c r="K1474" s="88"/>
      <c r="L1474" s="25" t="str">
        <f>IF($D1474="","",SUMIFS($H$4:$H1474,$D$4:$D1474,$D1474)+SUMIFS($I$4:$I1474,$D$4:$D1474,$D1474)-SUMIFS($J$4:$J1474,$D$4:$D1474,$D1474)-SUMIFS($K$4:$K1474,$D$4:$D1474,$D1474))</f>
        <v/>
      </c>
      <c r="M1474" s="80"/>
      <c r="N1474" s="80"/>
      <c r="O1474" s="94"/>
      <c r="P1474" s="26" t="str">
        <f t="shared" si="68"/>
        <v/>
      </c>
      <c r="Q1474" s="80"/>
      <c r="R1474" s="80"/>
      <c r="S1474" s="80"/>
      <c r="T1474" s="82"/>
      <c r="U1474" s="80"/>
      <c r="V1474" s="80"/>
      <c r="W1474" s="80"/>
    </row>
    <row r="1475" ht="18" customHeight="1" spans="1:23">
      <c r="A1475" s="87" t="str">
        <f t="shared" si="66"/>
        <v/>
      </c>
      <c r="B1475" s="78"/>
      <c r="C1475" s="80"/>
      <c r="D1475" s="79"/>
      <c r="E1475" s="80"/>
      <c r="F1475" s="79"/>
      <c r="G1475" s="25" t="str">
        <f t="shared" si="67"/>
        <v/>
      </c>
      <c r="H1475" s="88"/>
      <c r="I1475" s="93"/>
      <c r="J1475" s="97"/>
      <c r="K1475" s="88"/>
      <c r="L1475" s="25" t="str">
        <f>IF($D1475="","",SUMIFS($H$4:$H1475,$D$4:$D1475,$D1475)+SUMIFS($I$4:$I1475,$D$4:$D1475,$D1475)-SUMIFS($J$4:$J1475,$D$4:$D1475,$D1475)-SUMIFS($K$4:$K1475,$D$4:$D1475,$D1475))</f>
        <v/>
      </c>
      <c r="M1475" s="80"/>
      <c r="N1475" s="80"/>
      <c r="O1475" s="94"/>
      <c r="P1475" s="26" t="str">
        <f t="shared" si="68"/>
        <v/>
      </c>
      <c r="Q1475" s="80"/>
      <c r="R1475" s="80"/>
      <c r="S1475" s="80"/>
      <c r="T1475" s="82"/>
      <c r="U1475" s="80"/>
      <c r="V1475" s="80"/>
      <c r="W1475" s="80"/>
    </row>
    <row r="1476" ht="18" customHeight="1" spans="1:23">
      <c r="A1476" s="87" t="str">
        <f t="shared" si="66"/>
        <v/>
      </c>
      <c r="B1476" s="78"/>
      <c r="C1476" s="80"/>
      <c r="D1476" s="79"/>
      <c r="E1476" s="80"/>
      <c r="F1476" s="79"/>
      <c r="G1476" s="25" t="str">
        <f t="shared" si="67"/>
        <v/>
      </c>
      <c r="H1476" s="88"/>
      <c r="I1476" s="93"/>
      <c r="J1476" s="97"/>
      <c r="K1476" s="88"/>
      <c r="L1476" s="25" t="str">
        <f>IF($D1476="","",SUMIFS($H$4:$H1476,$D$4:$D1476,$D1476)+SUMIFS($I$4:$I1476,$D$4:$D1476,$D1476)-SUMIFS($J$4:$J1476,$D$4:$D1476,$D1476)-SUMIFS($K$4:$K1476,$D$4:$D1476,$D1476))</f>
        <v/>
      </c>
      <c r="M1476" s="80"/>
      <c r="N1476" s="80"/>
      <c r="O1476" s="94"/>
      <c r="P1476" s="26" t="str">
        <f t="shared" si="68"/>
        <v/>
      </c>
      <c r="Q1476" s="80"/>
      <c r="R1476" s="80"/>
      <c r="S1476" s="80"/>
      <c r="T1476" s="82"/>
      <c r="U1476" s="80"/>
      <c r="V1476" s="80"/>
      <c r="W1476" s="80"/>
    </row>
    <row r="1477" ht="18" customHeight="1" spans="1:23">
      <c r="A1477" s="87" t="str">
        <f t="shared" ref="A1477:A1540" si="69">IF($D1477="","",ROW()-3)</f>
        <v/>
      </c>
      <c r="B1477" s="78"/>
      <c r="C1477" s="80"/>
      <c r="D1477" s="79"/>
      <c r="E1477" s="80"/>
      <c r="F1477" s="79"/>
      <c r="G1477" s="25" t="str">
        <f t="shared" ref="G1477:G1540" si="70">IF($D1477="","",N($L1477)-N($H1477)-N($I1477)+N($J1477)+N($K1477))</f>
        <v/>
      </c>
      <c r="H1477" s="88"/>
      <c r="I1477" s="93"/>
      <c r="J1477" s="97"/>
      <c r="K1477" s="88"/>
      <c r="L1477" s="25" t="str">
        <f>IF($D1477="","",SUMIFS($H$4:$H1477,$D$4:$D1477,$D1477)+SUMIFS($I$4:$I1477,$D$4:$D1477,$D1477)-SUMIFS($J$4:$J1477,$D$4:$D1477,$D1477)-SUMIFS($K$4:$K1477,$D$4:$D1477,$D1477))</f>
        <v/>
      </c>
      <c r="M1477" s="80"/>
      <c r="N1477" s="80"/>
      <c r="O1477" s="94"/>
      <c r="P1477" s="26" t="str">
        <f t="shared" ref="P1477:P1540" si="71">IF($D1477="","",ROUND((N($H1477)+N($K1477))*N($O1477),2))</f>
        <v/>
      </c>
      <c r="Q1477" s="80"/>
      <c r="R1477" s="80"/>
      <c r="S1477" s="80"/>
      <c r="T1477" s="82"/>
      <c r="U1477" s="80"/>
      <c r="V1477" s="80"/>
      <c r="W1477" s="80"/>
    </row>
    <row r="1478" ht="18" customHeight="1" spans="1:23">
      <c r="A1478" s="87" t="str">
        <f t="shared" si="69"/>
        <v/>
      </c>
      <c r="B1478" s="78"/>
      <c r="C1478" s="80"/>
      <c r="D1478" s="79"/>
      <c r="E1478" s="80"/>
      <c r="F1478" s="79"/>
      <c r="G1478" s="25" t="str">
        <f t="shared" si="70"/>
        <v/>
      </c>
      <c r="H1478" s="88"/>
      <c r="I1478" s="93"/>
      <c r="J1478" s="97"/>
      <c r="K1478" s="88"/>
      <c r="L1478" s="25" t="str">
        <f>IF($D1478="","",SUMIFS($H$4:$H1478,$D$4:$D1478,$D1478)+SUMIFS($I$4:$I1478,$D$4:$D1478,$D1478)-SUMIFS($J$4:$J1478,$D$4:$D1478,$D1478)-SUMIFS($K$4:$K1478,$D$4:$D1478,$D1478))</f>
        <v/>
      </c>
      <c r="M1478" s="80"/>
      <c r="N1478" s="80"/>
      <c r="O1478" s="94"/>
      <c r="P1478" s="26" t="str">
        <f t="shared" si="71"/>
        <v/>
      </c>
      <c r="Q1478" s="80"/>
      <c r="R1478" s="80"/>
      <c r="S1478" s="80"/>
      <c r="T1478" s="82"/>
      <c r="U1478" s="80"/>
      <c r="V1478" s="80"/>
      <c r="W1478" s="80"/>
    </row>
    <row r="1479" ht="18" customHeight="1" spans="1:23">
      <c r="A1479" s="87" t="str">
        <f t="shared" si="69"/>
        <v/>
      </c>
      <c r="B1479" s="78"/>
      <c r="C1479" s="80"/>
      <c r="D1479" s="79"/>
      <c r="E1479" s="80"/>
      <c r="F1479" s="79"/>
      <c r="G1479" s="25" t="str">
        <f t="shared" si="70"/>
        <v/>
      </c>
      <c r="H1479" s="88"/>
      <c r="I1479" s="93"/>
      <c r="J1479" s="97"/>
      <c r="K1479" s="88"/>
      <c r="L1479" s="25" t="str">
        <f>IF($D1479="","",SUMIFS($H$4:$H1479,$D$4:$D1479,$D1479)+SUMIFS($I$4:$I1479,$D$4:$D1479,$D1479)-SUMIFS($J$4:$J1479,$D$4:$D1479,$D1479)-SUMIFS($K$4:$K1479,$D$4:$D1479,$D1479))</f>
        <v/>
      </c>
      <c r="M1479" s="80"/>
      <c r="N1479" s="80"/>
      <c r="O1479" s="94"/>
      <c r="P1479" s="26" t="str">
        <f t="shared" si="71"/>
        <v/>
      </c>
      <c r="Q1479" s="80"/>
      <c r="R1479" s="80"/>
      <c r="S1479" s="80"/>
      <c r="T1479" s="82"/>
      <c r="U1479" s="80"/>
      <c r="V1479" s="80"/>
      <c r="W1479" s="80"/>
    </row>
    <row r="1480" ht="18" customHeight="1" spans="1:23">
      <c r="A1480" s="87" t="str">
        <f t="shared" si="69"/>
        <v/>
      </c>
      <c r="B1480" s="78"/>
      <c r="C1480" s="80"/>
      <c r="D1480" s="79"/>
      <c r="E1480" s="80"/>
      <c r="F1480" s="79"/>
      <c r="G1480" s="25" t="str">
        <f t="shared" si="70"/>
        <v/>
      </c>
      <c r="H1480" s="88"/>
      <c r="I1480" s="93"/>
      <c r="J1480" s="97"/>
      <c r="K1480" s="88"/>
      <c r="L1480" s="25" t="str">
        <f>IF($D1480="","",SUMIFS($H$4:$H1480,$D$4:$D1480,$D1480)+SUMIFS($I$4:$I1480,$D$4:$D1480,$D1480)-SUMIFS($J$4:$J1480,$D$4:$D1480,$D1480)-SUMIFS($K$4:$K1480,$D$4:$D1480,$D1480))</f>
        <v/>
      </c>
      <c r="M1480" s="80"/>
      <c r="N1480" s="80"/>
      <c r="O1480" s="94"/>
      <c r="P1480" s="26" t="str">
        <f t="shared" si="71"/>
        <v/>
      </c>
      <c r="Q1480" s="80"/>
      <c r="R1480" s="80"/>
      <c r="S1480" s="80"/>
      <c r="T1480" s="82"/>
      <c r="U1480" s="80"/>
      <c r="V1480" s="80"/>
      <c r="W1480" s="80"/>
    </row>
    <row r="1481" ht="18" customHeight="1" spans="1:23">
      <c r="A1481" s="87" t="str">
        <f t="shared" si="69"/>
        <v/>
      </c>
      <c r="B1481" s="78"/>
      <c r="C1481" s="80"/>
      <c r="D1481" s="79"/>
      <c r="E1481" s="80"/>
      <c r="F1481" s="79"/>
      <c r="G1481" s="25" t="str">
        <f t="shared" si="70"/>
        <v/>
      </c>
      <c r="H1481" s="88"/>
      <c r="I1481" s="93"/>
      <c r="J1481" s="97"/>
      <c r="K1481" s="88"/>
      <c r="L1481" s="25" t="str">
        <f>IF($D1481="","",SUMIFS($H$4:$H1481,$D$4:$D1481,$D1481)+SUMIFS($I$4:$I1481,$D$4:$D1481,$D1481)-SUMIFS($J$4:$J1481,$D$4:$D1481,$D1481)-SUMIFS($K$4:$K1481,$D$4:$D1481,$D1481))</f>
        <v/>
      </c>
      <c r="M1481" s="80"/>
      <c r="N1481" s="80"/>
      <c r="O1481" s="94"/>
      <c r="P1481" s="26" t="str">
        <f t="shared" si="71"/>
        <v/>
      </c>
      <c r="Q1481" s="80"/>
      <c r="R1481" s="80"/>
      <c r="S1481" s="80"/>
      <c r="T1481" s="82"/>
      <c r="U1481" s="80"/>
      <c r="V1481" s="80"/>
      <c r="W1481" s="80"/>
    </row>
    <row r="1482" ht="18" customHeight="1" spans="1:23">
      <c r="A1482" s="87" t="str">
        <f t="shared" si="69"/>
        <v/>
      </c>
      <c r="B1482" s="78"/>
      <c r="C1482" s="80"/>
      <c r="D1482" s="79"/>
      <c r="E1482" s="80"/>
      <c r="F1482" s="79"/>
      <c r="G1482" s="25" t="str">
        <f t="shared" si="70"/>
        <v/>
      </c>
      <c r="H1482" s="88"/>
      <c r="I1482" s="93"/>
      <c r="J1482" s="97"/>
      <c r="K1482" s="88"/>
      <c r="L1482" s="25" t="str">
        <f>IF($D1482="","",SUMIFS($H$4:$H1482,$D$4:$D1482,$D1482)+SUMIFS($I$4:$I1482,$D$4:$D1482,$D1482)-SUMIFS($J$4:$J1482,$D$4:$D1482,$D1482)-SUMIFS($K$4:$K1482,$D$4:$D1482,$D1482))</f>
        <v/>
      </c>
      <c r="M1482" s="80"/>
      <c r="N1482" s="80"/>
      <c r="O1482" s="94"/>
      <c r="P1482" s="26" t="str">
        <f t="shared" si="71"/>
        <v/>
      </c>
      <c r="Q1482" s="80"/>
      <c r="R1482" s="80"/>
      <c r="S1482" s="80"/>
      <c r="T1482" s="82"/>
      <c r="U1482" s="80"/>
      <c r="V1482" s="80"/>
      <c r="W1482" s="80"/>
    </row>
    <row r="1483" ht="18" customHeight="1" spans="1:23">
      <c r="A1483" s="87" t="str">
        <f t="shared" si="69"/>
        <v/>
      </c>
      <c r="B1483" s="78"/>
      <c r="C1483" s="80"/>
      <c r="D1483" s="79"/>
      <c r="E1483" s="80"/>
      <c r="F1483" s="79"/>
      <c r="G1483" s="25" t="str">
        <f t="shared" si="70"/>
        <v/>
      </c>
      <c r="H1483" s="88"/>
      <c r="I1483" s="93"/>
      <c r="J1483" s="97"/>
      <c r="K1483" s="88"/>
      <c r="L1483" s="25" t="str">
        <f>IF($D1483="","",SUMIFS($H$4:$H1483,$D$4:$D1483,$D1483)+SUMIFS($I$4:$I1483,$D$4:$D1483,$D1483)-SUMIFS($J$4:$J1483,$D$4:$D1483,$D1483)-SUMIFS($K$4:$K1483,$D$4:$D1483,$D1483))</f>
        <v/>
      </c>
      <c r="M1483" s="80"/>
      <c r="N1483" s="80"/>
      <c r="O1483" s="94"/>
      <c r="P1483" s="26" t="str">
        <f t="shared" si="71"/>
        <v/>
      </c>
      <c r="Q1483" s="80"/>
      <c r="R1483" s="80"/>
      <c r="S1483" s="80"/>
      <c r="T1483" s="82"/>
      <c r="U1483" s="80"/>
      <c r="V1483" s="80"/>
      <c r="W1483" s="80"/>
    </row>
    <row r="1484" ht="18" customHeight="1" spans="1:23">
      <c r="A1484" s="87" t="str">
        <f t="shared" si="69"/>
        <v/>
      </c>
      <c r="B1484" s="78"/>
      <c r="C1484" s="80"/>
      <c r="D1484" s="79"/>
      <c r="E1484" s="80"/>
      <c r="F1484" s="79"/>
      <c r="G1484" s="25" t="str">
        <f t="shared" si="70"/>
        <v/>
      </c>
      <c r="H1484" s="88"/>
      <c r="I1484" s="93"/>
      <c r="J1484" s="97"/>
      <c r="K1484" s="88"/>
      <c r="L1484" s="25" t="str">
        <f>IF($D1484="","",SUMIFS($H$4:$H1484,$D$4:$D1484,$D1484)+SUMIFS($I$4:$I1484,$D$4:$D1484,$D1484)-SUMIFS($J$4:$J1484,$D$4:$D1484,$D1484)-SUMIFS($K$4:$K1484,$D$4:$D1484,$D1484))</f>
        <v/>
      </c>
      <c r="M1484" s="80"/>
      <c r="N1484" s="80"/>
      <c r="O1484" s="94"/>
      <c r="P1484" s="26" t="str">
        <f t="shared" si="71"/>
        <v/>
      </c>
      <c r="Q1484" s="80"/>
      <c r="R1484" s="80"/>
      <c r="S1484" s="80"/>
      <c r="T1484" s="82"/>
      <c r="U1484" s="80"/>
      <c r="V1484" s="80"/>
      <c r="W1484" s="80"/>
    </row>
    <row r="1485" ht="18" customHeight="1" spans="1:23">
      <c r="A1485" s="87" t="str">
        <f t="shared" si="69"/>
        <v/>
      </c>
      <c r="B1485" s="78"/>
      <c r="C1485" s="80"/>
      <c r="D1485" s="79"/>
      <c r="E1485" s="80"/>
      <c r="F1485" s="79"/>
      <c r="G1485" s="25" t="str">
        <f t="shared" si="70"/>
        <v/>
      </c>
      <c r="H1485" s="88"/>
      <c r="I1485" s="93"/>
      <c r="J1485" s="97"/>
      <c r="K1485" s="88"/>
      <c r="L1485" s="25" t="str">
        <f>IF($D1485="","",SUMIFS($H$4:$H1485,$D$4:$D1485,$D1485)+SUMIFS($I$4:$I1485,$D$4:$D1485,$D1485)-SUMIFS($J$4:$J1485,$D$4:$D1485,$D1485)-SUMIFS($K$4:$K1485,$D$4:$D1485,$D1485))</f>
        <v/>
      </c>
      <c r="M1485" s="80"/>
      <c r="N1485" s="80"/>
      <c r="O1485" s="94"/>
      <c r="P1485" s="26" t="str">
        <f t="shared" si="71"/>
        <v/>
      </c>
      <c r="Q1485" s="80"/>
      <c r="R1485" s="80"/>
      <c r="S1485" s="80"/>
      <c r="T1485" s="82"/>
      <c r="U1485" s="80"/>
      <c r="V1485" s="80"/>
      <c r="W1485" s="80"/>
    </row>
    <row r="1486" ht="18" customHeight="1" spans="1:23">
      <c r="A1486" s="87" t="str">
        <f t="shared" si="69"/>
        <v/>
      </c>
      <c r="B1486" s="78"/>
      <c r="C1486" s="80"/>
      <c r="D1486" s="79"/>
      <c r="E1486" s="80"/>
      <c r="F1486" s="79"/>
      <c r="G1486" s="25" t="str">
        <f t="shared" si="70"/>
        <v/>
      </c>
      <c r="H1486" s="88"/>
      <c r="I1486" s="93"/>
      <c r="J1486" s="97"/>
      <c r="K1486" s="88"/>
      <c r="L1486" s="25" t="str">
        <f>IF($D1486="","",SUMIFS($H$4:$H1486,$D$4:$D1486,$D1486)+SUMIFS($I$4:$I1486,$D$4:$D1486,$D1486)-SUMIFS($J$4:$J1486,$D$4:$D1486,$D1486)-SUMIFS($K$4:$K1486,$D$4:$D1486,$D1486))</f>
        <v/>
      </c>
      <c r="M1486" s="80"/>
      <c r="N1486" s="80"/>
      <c r="O1486" s="94"/>
      <c r="P1486" s="26" t="str">
        <f t="shared" si="71"/>
        <v/>
      </c>
      <c r="Q1486" s="80"/>
      <c r="R1486" s="80"/>
      <c r="S1486" s="80"/>
      <c r="T1486" s="82"/>
      <c r="U1486" s="80"/>
      <c r="V1486" s="80"/>
      <c r="W1486" s="80"/>
    </row>
    <row r="1487" ht="18" customHeight="1" spans="1:23">
      <c r="A1487" s="87" t="str">
        <f t="shared" si="69"/>
        <v/>
      </c>
      <c r="B1487" s="78"/>
      <c r="C1487" s="80"/>
      <c r="D1487" s="79"/>
      <c r="E1487" s="80"/>
      <c r="F1487" s="79"/>
      <c r="G1487" s="25" t="str">
        <f t="shared" si="70"/>
        <v/>
      </c>
      <c r="H1487" s="88"/>
      <c r="I1487" s="93"/>
      <c r="J1487" s="97"/>
      <c r="K1487" s="88"/>
      <c r="L1487" s="25" t="str">
        <f>IF($D1487="","",SUMIFS($H$4:$H1487,$D$4:$D1487,$D1487)+SUMIFS($I$4:$I1487,$D$4:$D1487,$D1487)-SUMIFS($J$4:$J1487,$D$4:$D1487,$D1487)-SUMIFS($K$4:$K1487,$D$4:$D1487,$D1487))</f>
        <v/>
      </c>
      <c r="M1487" s="80"/>
      <c r="N1487" s="80"/>
      <c r="O1487" s="94"/>
      <c r="P1487" s="26" t="str">
        <f t="shared" si="71"/>
        <v/>
      </c>
      <c r="Q1487" s="80"/>
      <c r="R1487" s="80"/>
      <c r="S1487" s="80"/>
      <c r="T1487" s="82"/>
      <c r="U1487" s="80"/>
      <c r="V1487" s="80"/>
      <c r="W1487" s="80"/>
    </row>
    <row r="1488" ht="18" customHeight="1" spans="1:23">
      <c r="A1488" s="87" t="str">
        <f t="shared" si="69"/>
        <v/>
      </c>
      <c r="B1488" s="78"/>
      <c r="C1488" s="80"/>
      <c r="D1488" s="79"/>
      <c r="E1488" s="80"/>
      <c r="F1488" s="79"/>
      <c r="G1488" s="25" t="str">
        <f t="shared" si="70"/>
        <v/>
      </c>
      <c r="H1488" s="88"/>
      <c r="I1488" s="93"/>
      <c r="J1488" s="97"/>
      <c r="K1488" s="88"/>
      <c r="L1488" s="25" t="str">
        <f>IF($D1488="","",SUMIFS($H$4:$H1488,$D$4:$D1488,$D1488)+SUMIFS($I$4:$I1488,$D$4:$D1488,$D1488)-SUMIFS($J$4:$J1488,$D$4:$D1488,$D1488)-SUMIFS($K$4:$K1488,$D$4:$D1488,$D1488))</f>
        <v/>
      </c>
      <c r="M1488" s="80"/>
      <c r="N1488" s="80"/>
      <c r="O1488" s="94"/>
      <c r="P1488" s="26" t="str">
        <f t="shared" si="71"/>
        <v/>
      </c>
      <c r="Q1488" s="80"/>
      <c r="R1488" s="80"/>
      <c r="S1488" s="80"/>
      <c r="T1488" s="82"/>
      <c r="U1488" s="80"/>
      <c r="V1488" s="80"/>
      <c r="W1488" s="80"/>
    </row>
    <row r="1489" ht="18" customHeight="1" spans="1:23">
      <c r="A1489" s="87" t="str">
        <f t="shared" si="69"/>
        <v/>
      </c>
      <c r="B1489" s="78"/>
      <c r="C1489" s="80"/>
      <c r="D1489" s="79"/>
      <c r="E1489" s="80"/>
      <c r="F1489" s="79"/>
      <c r="G1489" s="25" t="str">
        <f t="shared" si="70"/>
        <v/>
      </c>
      <c r="H1489" s="88"/>
      <c r="I1489" s="93"/>
      <c r="J1489" s="97"/>
      <c r="K1489" s="88"/>
      <c r="L1489" s="25" t="str">
        <f>IF($D1489="","",SUMIFS($H$4:$H1489,$D$4:$D1489,$D1489)+SUMIFS($I$4:$I1489,$D$4:$D1489,$D1489)-SUMIFS($J$4:$J1489,$D$4:$D1489,$D1489)-SUMIFS($K$4:$K1489,$D$4:$D1489,$D1489))</f>
        <v/>
      </c>
      <c r="M1489" s="80"/>
      <c r="N1489" s="80"/>
      <c r="O1489" s="94"/>
      <c r="P1489" s="26" t="str">
        <f t="shared" si="71"/>
        <v/>
      </c>
      <c r="Q1489" s="80"/>
      <c r="R1489" s="80"/>
      <c r="S1489" s="80"/>
      <c r="T1489" s="82"/>
      <c r="U1489" s="80"/>
      <c r="V1489" s="80"/>
      <c r="W1489" s="80"/>
    </row>
    <row r="1490" ht="18" customHeight="1" spans="1:23">
      <c r="A1490" s="87" t="str">
        <f t="shared" si="69"/>
        <v/>
      </c>
      <c r="B1490" s="78"/>
      <c r="C1490" s="80"/>
      <c r="D1490" s="79"/>
      <c r="E1490" s="80"/>
      <c r="F1490" s="79"/>
      <c r="G1490" s="25" t="str">
        <f t="shared" si="70"/>
        <v/>
      </c>
      <c r="H1490" s="88"/>
      <c r="I1490" s="93"/>
      <c r="J1490" s="97"/>
      <c r="K1490" s="88"/>
      <c r="L1490" s="25" t="str">
        <f>IF($D1490="","",SUMIFS($H$4:$H1490,$D$4:$D1490,$D1490)+SUMIFS($I$4:$I1490,$D$4:$D1490,$D1490)-SUMIFS($J$4:$J1490,$D$4:$D1490,$D1490)-SUMIFS($K$4:$K1490,$D$4:$D1490,$D1490))</f>
        <v/>
      </c>
      <c r="M1490" s="80"/>
      <c r="N1490" s="80"/>
      <c r="O1490" s="94"/>
      <c r="P1490" s="26" t="str">
        <f t="shared" si="71"/>
        <v/>
      </c>
      <c r="Q1490" s="80"/>
      <c r="R1490" s="80"/>
      <c r="S1490" s="80"/>
      <c r="T1490" s="82"/>
      <c r="U1490" s="80"/>
      <c r="V1490" s="80"/>
      <c r="W1490" s="80"/>
    </row>
    <row r="1491" ht="18" customHeight="1" spans="1:23">
      <c r="A1491" s="87" t="str">
        <f t="shared" si="69"/>
        <v/>
      </c>
      <c r="B1491" s="78"/>
      <c r="C1491" s="80"/>
      <c r="D1491" s="79"/>
      <c r="E1491" s="80"/>
      <c r="F1491" s="79"/>
      <c r="G1491" s="25" t="str">
        <f t="shared" si="70"/>
        <v/>
      </c>
      <c r="H1491" s="88"/>
      <c r="I1491" s="93"/>
      <c r="J1491" s="97"/>
      <c r="K1491" s="88"/>
      <c r="L1491" s="25" t="str">
        <f>IF($D1491="","",SUMIFS($H$4:$H1491,$D$4:$D1491,$D1491)+SUMIFS($I$4:$I1491,$D$4:$D1491,$D1491)-SUMIFS($J$4:$J1491,$D$4:$D1491,$D1491)-SUMIFS($K$4:$K1491,$D$4:$D1491,$D1491))</f>
        <v/>
      </c>
      <c r="M1491" s="80"/>
      <c r="N1491" s="80"/>
      <c r="O1491" s="94"/>
      <c r="P1491" s="26" t="str">
        <f t="shared" si="71"/>
        <v/>
      </c>
      <c r="Q1491" s="80"/>
      <c r="R1491" s="80"/>
      <c r="S1491" s="80"/>
      <c r="T1491" s="82"/>
      <c r="U1491" s="80"/>
      <c r="V1491" s="80"/>
      <c r="W1491" s="80"/>
    </row>
    <row r="1492" ht="18" customHeight="1" spans="1:23">
      <c r="A1492" s="87" t="str">
        <f t="shared" si="69"/>
        <v/>
      </c>
      <c r="B1492" s="78"/>
      <c r="C1492" s="80"/>
      <c r="D1492" s="79"/>
      <c r="E1492" s="80"/>
      <c r="F1492" s="79"/>
      <c r="G1492" s="25" t="str">
        <f t="shared" si="70"/>
        <v/>
      </c>
      <c r="H1492" s="88"/>
      <c r="I1492" s="93"/>
      <c r="J1492" s="97"/>
      <c r="K1492" s="88"/>
      <c r="L1492" s="25" t="str">
        <f>IF($D1492="","",SUMIFS($H$4:$H1492,$D$4:$D1492,$D1492)+SUMIFS($I$4:$I1492,$D$4:$D1492,$D1492)-SUMIFS($J$4:$J1492,$D$4:$D1492,$D1492)-SUMIFS($K$4:$K1492,$D$4:$D1492,$D1492))</f>
        <v/>
      </c>
      <c r="M1492" s="80"/>
      <c r="N1492" s="80"/>
      <c r="O1492" s="94"/>
      <c r="P1492" s="26" t="str">
        <f t="shared" si="71"/>
        <v/>
      </c>
      <c r="Q1492" s="80"/>
      <c r="R1492" s="80"/>
      <c r="S1492" s="80"/>
      <c r="T1492" s="82"/>
      <c r="U1492" s="80"/>
      <c r="V1492" s="80"/>
      <c r="W1492" s="80"/>
    </row>
    <row r="1493" ht="18" customHeight="1" spans="1:23">
      <c r="A1493" s="87" t="str">
        <f t="shared" si="69"/>
        <v/>
      </c>
      <c r="B1493" s="78"/>
      <c r="C1493" s="80"/>
      <c r="D1493" s="79"/>
      <c r="E1493" s="80"/>
      <c r="F1493" s="79"/>
      <c r="G1493" s="25" t="str">
        <f t="shared" si="70"/>
        <v/>
      </c>
      <c r="H1493" s="88"/>
      <c r="I1493" s="93"/>
      <c r="J1493" s="97"/>
      <c r="K1493" s="88"/>
      <c r="L1493" s="25" t="str">
        <f>IF($D1493="","",SUMIFS($H$4:$H1493,$D$4:$D1493,$D1493)+SUMIFS($I$4:$I1493,$D$4:$D1493,$D1493)-SUMIFS($J$4:$J1493,$D$4:$D1493,$D1493)-SUMIFS($K$4:$K1493,$D$4:$D1493,$D1493))</f>
        <v/>
      </c>
      <c r="M1493" s="80"/>
      <c r="N1493" s="80"/>
      <c r="O1493" s="94"/>
      <c r="P1493" s="26" t="str">
        <f t="shared" si="71"/>
        <v/>
      </c>
      <c r="Q1493" s="80"/>
      <c r="R1493" s="80"/>
      <c r="S1493" s="80"/>
      <c r="T1493" s="82"/>
      <c r="U1493" s="80"/>
      <c r="V1493" s="80"/>
      <c r="W1493" s="80"/>
    </row>
    <row r="1494" ht="18" customHeight="1" spans="1:23">
      <c r="A1494" s="87" t="str">
        <f t="shared" si="69"/>
        <v/>
      </c>
      <c r="B1494" s="78"/>
      <c r="C1494" s="80"/>
      <c r="D1494" s="79"/>
      <c r="E1494" s="80"/>
      <c r="F1494" s="79"/>
      <c r="G1494" s="25" t="str">
        <f t="shared" si="70"/>
        <v/>
      </c>
      <c r="H1494" s="88"/>
      <c r="I1494" s="93"/>
      <c r="J1494" s="97"/>
      <c r="K1494" s="88"/>
      <c r="L1494" s="25" t="str">
        <f>IF($D1494="","",SUMIFS($H$4:$H1494,$D$4:$D1494,$D1494)+SUMIFS($I$4:$I1494,$D$4:$D1494,$D1494)-SUMIFS($J$4:$J1494,$D$4:$D1494,$D1494)-SUMIFS($K$4:$K1494,$D$4:$D1494,$D1494))</f>
        <v/>
      </c>
      <c r="M1494" s="80"/>
      <c r="N1494" s="80"/>
      <c r="O1494" s="94"/>
      <c r="P1494" s="26" t="str">
        <f t="shared" si="71"/>
        <v/>
      </c>
      <c r="Q1494" s="80"/>
      <c r="R1494" s="80"/>
      <c r="S1494" s="80"/>
      <c r="T1494" s="82"/>
      <c r="U1494" s="80"/>
      <c r="V1494" s="80"/>
      <c r="W1494" s="80"/>
    </row>
    <row r="1495" ht="18" customHeight="1" spans="1:23">
      <c r="A1495" s="87" t="str">
        <f t="shared" si="69"/>
        <v/>
      </c>
      <c r="B1495" s="78"/>
      <c r="C1495" s="80"/>
      <c r="D1495" s="79"/>
      <c r="E1495" s="80"/>
      <c r="F1495" s="79"/>
      <c r="G1495" s="25" t="str">
        <f t="shared" si="70"/>
        <v/>
      </c>
      <c r="H1495" s="88"/>
      <c r="I1495" s="93"/>
      <c r="J1495" s="97"/>
      <c r="K1495" s="88"/>
      <c r="L1495" s="25" t="str">
        <f>IF($D1495="","",SUMIFS($H$4:$H1495,$D$4:$D1495,$D1495)+SUMIFS($I$4:$I1495,$D$4:$D1495,$D1495)-SUMIFS($J$4:$J1495,$D$4:$D1495,$D1495)-SUMIFS($K$4:$K1495,$D$4:$D1495,$D1495))</f>
        <v/>
      </c>
      <c r="M1495" s="80"/>
      <c r="N1495" s="80"/>
      <c r="O1495" s="94"/>
      <c r="P1495" s="26" t="str">
        <f t="shared" si="71"/>
        <v/>
      </c>
      <c r="Q1495" s="80"/>
      <c r="R1495" s="80"/>
      <c r="S1495" s="80"/>
      <c r="T1495" s="82"/>
      <c r="U1495" s="80"/>
      <c r="V1495" s="80"/>
      <c r="W1495" s="80"/>
    </row>
    <row r="1496" ht="18" customHeight="1" spans="1:23">
      <c r="A1496" s="87" t="str">
        <f t="shared" si="69"/>
        <v/>
      </c>
      <c r="B1496" s="78"/>
      <c r="C1496" s="80"/>
      <c r="D1496" s="79"/>
      <c r="E1496" s="80"/>
      <c r="F1496" s="79"/>
      <c r="G1496" s="25" t="str">
        <f t="shared" si="70"/>
        <v/>
      </c>
      <c r="H1496" s="88"/>
      <c r="I1496" s="93"/>
      <c r="J1496" s="97"/>
      <c r="K1496" s="88"/>
      <c r="L1496" s="25" t="str">
        <f>IF($D1496="","",SUMIFS($H$4:$H1496,$D$4:$D1496,$D1496)+SUMIFS($I$4:$I1496,$D$4:$D1496,$D1496)-SUMIFS($J$4:$J1496,$D$4:$D1496,$D1496)-SUMIFS($K$4:$K1496,$D$4:$D1496,$D1496))</f>
        <v/>
      </c>
      <c r="M1496" s="80"/>
      <c r="N1496" s="80"/>
      <c r="O1496" s="94"/>
      <c r="P1496" s="26" t="str">
        <f t="shared" si="71"/>
        <v/>
      </c>
      <c r="Q1496" s="80"/>
      <c r="R1496" s="80"/>
      <c r="S1496" s="80"/>
      <c r="T1496" s="82"/>
      <c r="U1496" s="80"/>
      <c r="V1496" s="80"/>
      <c r="W1496" s="80"/>
    </row>
    <row r="1497" ht="18" customHeight="1" spans="1:23">
      <c r="A1497" s="87" t="str">
        <f t="shared" si="69"/>
        <v/>
      </c>
      <c r="B1497" s="78"/>
      <c r="C1497" s="80"/>
      <c r="D1497" s="79"/>
      <c r="E1497" s="80"/>
      <c r="F1497" s="79"/>
      <c r="G1497" s="25" t="str">
        <f t="shared" si="70"/>
        <v/>
      </c>
      <c r="H1497" s="88"/>
      <c r="I1497" s="93"/>
      <c r="J1497" s="97"/>
      <c r="K1497" s="88"/>
      <c r="L1497" s="25" t="str">
        <f>IF($D1497="","",SUMIFS($H$4:$H1497,$D$4:$D1497,$D1497)+SUMIFS($I$4:$I1497,$D$4:$D1497,$D1497)-SUMIFS($J$4:$J1497,$D$4:$D1497,$D1497)-SUMIFS($K$4:$K1497,$D$4:$D1497,$D1497))</f>
        <v/>
      </c>
      <c r="M1497" s="80"/>
      <c r="N1497" s="80"/>
      <c r="O1497" s="94"/>
      <c r="P1497" s="26" t="str">
        <f t="shared" si="71"/>
        <v/>
      </c>
      <c r="Q1497" s="80"/>
      <c r="R1497" s="80"/>
      <c r="S1497" s="80"/>
      <c r="T1497" s="82"/>
      <c r="U1497" s="80"/>
      <c r="V1497" s="80"/>
      <c r="W1497" s="80"/>
    </row>
    <row r="1498" ht="18" customHeight="1" spans="1:23">
      <c r="A1498" s="87" t="str">
        <f t="shared" si="69"/>
        <v/>
      </c>
      <c r="B1498" s="78"/>
      <c r="C1498" s="80"/>
      <c r="D1498" s="79"/>
      <c r="E1498" s="80"/>
      <c r="F1498" s="79"/>
      <c r="G1498" s="25" t="str">
        <f t="shared" si="70"/>
        <v/>
      </c>
      <c r="H1498" s="88"/>
      <c r="I1498" s="93"/>
      <c r="J1498" s="97"/>
      <c r="K1498" s="88"/>
      <c r="L1498" s="25" t="str">
        <f>IF($D1498="","",SUMIFS($H$4:$H1498,$D$4:$D1498,$D1498)+SUMIFS($I$4:$I1498,$D$4:$D1498,$D1498)-SUMIFS($J$4:$J1498,$D$4:$D1498,$D1498)-SUMIFS($K$4:$K1498,$D$4:$D1498,$D1498))</f>
        <v/>
      </c>
      <c r="M1498" s="80"/>
      <c r="N1498" s="80"/>
      <c r="O1498" s="94"/>
      <c r="P1498" s="26" t="str">
        <f t="shared" si="71"/>
        <v/>
      </c>
      <c r="Q1498" s="80"/>
      <c r="R1498" s="80"/>
      <c r="S1498" s="80"/>
      <c r="T1498" s="82"/>
      <c r="U1498" s="80"/>
      <c r="V1498" s="80"/>
      <c r="W1498" s="80"/>
    </row>
    <row r="1499" ht="18" customHeight="1" spans="1:23">
      <c r="A1499" s="87" t="str">
        <f t="shared" si="69"/>
        <v/>
      </c>
      <c r="B1499" s="78"/>
      <c r="C1499" s="80"/>
      <c r="D1499" s="79"/>
      <c r="E1499" s="80"/>
      <c r="F1499" s="79"/>
      <c r="G1499" s="25" t="str">
        <f t="shared" si="70"/>
        <v/>
      </c>
      <c r="H1499" s="88"/>
      <c r="I1499" s="93"/>
      <c r="J1499" s="97"/>
      <c r="K1499" s="88"/>
      <c r="L1499" s="25" t="str">
        <f>IF($D1499="","",SUMIFS($H$4:$H1499,$D$4:$D1499,$D1499)+SUMIFS($I$4:$I1499,$D$4:$D1499,$D1499)-SUMIFS($J$4:$J1499,$D$4:$D1499,$D1499)-SUMIFS($K$4:$K1499,$D$4:$D1499,$D1499))</f>
        <v/>
      </c>
      <c r="M1499" s="80"/>
      <c r="N1499" s="80"/>
      <c r="O1499" s="94"/>
      <c r="P1499" s="26" t="str">
        <f t="shared" si="71"/>
        <v/>
      </c>
      <c r="Q1499" s="80"/>
      <c r="R1499" s="80"/>
      <c r="S1499" s="80"/>
      <c r="T1499" s="82"/>
      <c r="U1499" s="80"/>
      <c r="V1499" s="80"/>
      <c r="W1499" s="80"/>
    </row>
    <row r="1500" ht="18" customHeight="1" spans="1:23">
      <c r="A1500" s="87" t="str">
        <f t="shared" si="69"/>
        <v/>
      </c>
      <c r="B1500" s="78"/>
      <c r="C1500" s="80"/>
      <c r="D1500" s="79"/>
      <c r="E1500" s="80"/>
      <c r="F1500" s="79"/>
      <c r="G1500" s="25" t="str">
        <f t="shared" si="70"/>
        <v/>
      </c>
      <c r="H1500" s="88"/>
      <c r="I1500" s="93"/>
      <c r="J1500" s="97"/>
      <c r="K1500" s="88"/>
      <c r="L1500" s="25" t="str">
        <f>IF($D1500="","",SUMIFS($H$4:$H1500,$D$4:$D1500,$D1500)+SUMIFS($I$4:$I1500,$D$4:$D1500,$D1500)-SUMIFS($J$4:$J1500,$D$4:$D1500,$D1500)-SUMIFS($K$4:$K1500,$D$4:$D1500,$D1500))</f>
        <v/>
      </c>
      <c r="M1500" s="80"/>
      <c r="N1500" s="80"/>
      <c r="O1500" s="94"/>
      <c r="P1500" s="26" t="str">
        <f t="shared" si="71"/>
        <v/>
      </c>
      <c r="Q1500" s="80"/>
      <c r="R1500" s="80"/>
      <c r="S1500" s="80"/>
      <c r="T1500" s="82"/>
      <c r="U1500" s="80"/>
      <c r="V1500" s="80"/>
      <c r="W1500" s="80"/>
    </row>
    <row r="1501" ht="18" customHeight="1" spans="1:23">
      <c r="A1501" s="87" t="str">
        <f t="shared" si="69"/>
        <v/>
      </c>
      <c r="B1501" s="78"/>
      <c r="C1501" s="80"/>
      <c r="D1501" s="79"/>
      <c r="E1501" s="80"/>
      <c r="F1501" s="79"/>
      <c r="G1501" s="25" t="str">
        <f t="shared" si="70"/>
        <v/>
      </c>
      <c r="H1501" s="88"/>
      <c r="I1501" s="93"/>
      <c r="J1501" s="97"/>
      <c r="K1501" s="88"/>
      <c r="L1501" s="25" t="str">
        <f>IF($D1501="","",SUMIFS($H$4:$H1501,$D$4:$D1501,$D1501)+SUMIFS($I$4:$I1501,$D$4:$D1501,$D1501)-SUMIFS($J$4:$J1501,$D$4:$D1501,$D1501)-SUMIFS($K$4:$K1501,$D$4:$D1501,$D1501))</f>
        <v/>
      </c>
      <c r="M1501" s="80"/>
      <c r="N1501" s="80"/>
      <c r="O1501" s="94"/>
      <c r="P1501" s="26" t="str">
        <f t="shared" si="71"/>
        <v/>
      </c>
      <c r="Q1501" s="80"/>
      <c r="R1501" s="80"/>
      <c r="S1501" s="80"/>
      <c r="T1501" s="82"/>
      <c r="U1501" s="80"/>
      <c r="V1501" s="80"/>
      <c r="W1501" s="80"/>
    </row>
    <row r="1502" ht="18" customHeight="1" spans="1:23">
      <c r="A1502" s="87" t="str">
        <f t="shared" si="69"/>
        <v/>
      </c>
      <c r="B1502" s="78"/>
      <c r="C1502" s="80"/>
      <c r="D1502" s="79"/>
      <c r="E1502" s="80"/>
      <c r="F1502" s="79"/>
      <c r="G1502" s="25" t="str">
        <f t="shared" si="70"/>
        <v/>
      </c>
      <c r="H1502" s="88"/>
      <c r="I1502" s="93"/>
      <c r="J1502" s="97"/>
      <c r="K1502" s="88"/>
      <c r="L1502" s="25" t="str">
        <f>IF($D1502="","",SUMIFS($H$4:$H1502,$D$4:$D1502,$D1502)+SUMIFS($I$4:$I1502,$D$4:$D1502,$D1502)-SUMIFS($J$4:$J1502,$D$4:$D1502,$D1502)-SUMIFS($K$4:$K1502,$D$4:$D1502,$D1502))</f>
        <v/>
      </c>
      <c r="M1502" s="80"/>
      <c r="N1502" s="80"/>
      <c r="O1502" s="94"/>
      <c r="P1502" s="26" t="str">
        <f t="shared" si="71"/>
        <v/>
      </c>
      <c r="Q1502" s="80"/>
      <c r="R1502" s="80"/>
      <c r="S1502" s="80"/>
      <c r="T1502" s="82"/>
      <c r="U1502" s="80"/>
      <c r="V1502" s="80"/>
      <c r="W1502" s="80"/>
    </row>
    <row r="1503" ht="18" customHeight="1" spans="1:23">
      <c r="A1503" s="87" t="str">
        <f t="shared" si="69"/>
        <v/>
      </c>
      <c r="B1503" s="78"/>
      <c r="C1503" s="80"/>
      <c r="D1503" s="79"/>
      <c r="E1503" s="80"/>
      <c r="F1503" s="79"/>
      <c r="G1503" s="25" t="str">
        <f t="shared" si="70"/>
        <v/>
      </c>
      <c r="H1503" s="88"/>
      <c r="I1503" s="93"/>
      <c r="J1503" s="97"/>
      <c r="K1503" s="88"/>
      <c r="L1503" s="25" t="str">
        <f>IF($D1503="","",SUMIFS($H$4:$H1503,$D$4:$D1503,$D1503)+SUMIFS($I$4:$I1503,$D$4:$D1503,$D1503)-SUMIFS($J$4:$J1503,$D$4:$D1503,$D1503)-SUMIFS($K$4:$K1503,$D$4:$D1503,$D1503))</f>
        <v/>
      </c>
      <c r="M1503" s="80"/>
      <c r="N1503" s="80"/>
      <c r="O1503" s="94"/>
      <c r="P1503" s="26" t="str">
        <f t="shared" si="71"/>
        <v/>
      </c>
      <c r="Q1503" s="80"/>
      <c r="R1503" s="80"/>
      <c r="S1503" s="80"/>
      <c r="T1503" s="82"/>
      <c r="U1503" s="80"/>
      <c r="V1503" s="80"/>
      <c r="W1503" s="80"/>
    </row>
    <row r="1504" ht="18" customHeight="1" spans="1:23">
      <c r="A1504" s="87" t="str">
        <f t="shared" si="69"/>
        <v/>
      </c>
      <c r="B1504" s="78"/>
      <c r="C1504" s="80"/>
      <c r="D1504" s="79"/>
      <c r="E1504" s="80"/>
      <c r="F1504" s="79"/>
      <c r="G1504" s="25" t="str">
        <f t="shared" si="70"/>
        <v/>
      </c>
      <c r="H1504" s="88"/>
      <c r="I1504" s="93"/>
      <c r="J1504" s="97"/>
      <c r="K1504" s="88"/>
      <c r="L1504" s="25" t="str">
        <f>IF($D1504="","",SUMIFS($H$4:$H1504,$D$4:$D1504,$D1504)+SUMIFS($I$4:$I1504,$D$4:$D1504,$D1504)-SUMIFS($J$4:$J1504,$D$4:$D1504,$D1504)-SUMIFS($K$4:$K1504,$D$4:$D1504,$D1504))</f>
        <v/>
      </c>
      <c r="M1504" s="80"/>
      <c r="N1504" s="80"/>
      <c r="O1504" s="94"/>
      <c r="P1504" s="26" t="str">
        <f t="shared" si="71"/>
        <v/>
      </c>
      <c r="Q1504" s="80"/>
      <c r="R1504" s="80"/>
      <c r="S1504" s="80"/>
      <c r="T1504" s="82"/>
      <c r="U1504" s="80"/>
      <c r="V1504" s="80"/>
      <c r="W1504" s="80"/>
    </row>
    <row r="1505" ht="18" customHeight="1" spans="1:23">
      <c r="A1505" s="87" t="str">
        <f t="shared" si="69"/>
        <v/>
      </c>
      <c r="B1505" s="78"/>
      <c r="C1505" s="80"/>
      <c r="D1505" s="79"/>
      <c r="E1505" s="80"/>
      <c r="F1505" s="79"/>
      <c r="G1505" s="25" t="str">
        <f t="shared" si="70"/>
        <v/>
      </c>
      <c r="H1505" s="88"/>
      <c r="I1505" s="93"/>
      <c r="J1505" s="97"/>
      <c r="K1505" s="88"/>
      <c r="L1505" s="25" t="str">
        <f>IF($D1505="","",SUMIFS($H$4:$H1505,$D$4:$D1505,$D1505)+SUMIFS($I$4:$I1505,$D$4:$D1505,$D1505)-SUMIFS($J$4:$J1505,$D$4:$D1505,$D1505)-SUMIFS($K$4:$K1505,$D$4:$D1505,$D1505))</f>
        <v/>
      </c>
      <c r="M1505" s="80"/>
      <c r="N1505" s="80"/>
      <c r="O1505" s="94"/>
      <c r="P1505" s="26" t="str">
        <f t="shared" si="71"/>
        <v/>
      </c>
      <c r="Q1505" s="80"/>
      <c r="R1505" s="80"/>
      <c r="S1505" s="80"/>
      <c r="T1505" s="82"/>
      <c r="U1505" s="80"/>
      <c r="V1505" s="80"/>
      <c r="W1505" s="80"/>
    </row>
    <row r="1506" ht="18" customHeight="1" spans="1:23">
      <c r="A1506" s="87" t="str">
        <f t="shared" si="69"/>
        <v/>
      </c>
      <c r="B1506" s="78"/>
      <c r="C1506" s="80"/>
      <c r="D1506" s="79"/>
      <c r="E1506" s="80"/>
      <c r="F1506" s="79"/>
      <c r="G1506" s="25" t="str">
        <f t="shared" si="70"/>
        <v/>
      </c>
      <c r="H1506" s="88"/>
      <c r="I1506" s="93"/>
      <c r="J1506" s="97"/>
      <c r="K1506" s="88"/>
      <c r="L1506" s="25" t="str">
        <f>IF($D1506="","",SUMIFS($H$4:$H1506,$D$4:$D1506,$D1506)+SUMIFS($I$4:$I1506,$D$4:$D1506,$D1506)-SUMIFS($J$4:$J1506,$D$4:$D1506,$D1506)-SUMIFS($K$4:$K1506,$D$4:$D1506,$D1506))</f>
        <v/>
      </c>
      <c r="M1506" s="80"/>
      <c r="N1506" s="80"/>
      <c r="O1506" s="94"/>
      <c r="P1506" s="26" t="str">
        <f t="shared" si="71"/>
        <v/>
      </c>
      <c r="Q1506" s="80"/>
      <c r="R1506" s="80"/>
      <c r="S1506" s="80"/>
      <c r="T1506" s="82"/>
      <c r="U1506" s="80"/>
      <c r="V1506" s="80"/>
      <c r="W1506" s="80"/>
    </row>
    <row r="1507" ht="18" customHeight="1" spans="1:23">
      <c r="A1507" s="87" t="str">
        <f t="shared" si="69"/>
        <v/>
      </c>
      <c r="B1507" s="78"/>
      <c r="C1507" s="80"/>
      <c r="D1507" s="79"/>
      <c r="E1507" s="80"/>
      <c r="F1507" s="79"/>
      <c r="G1507" s="25" t="str">
        <f t="shared" si="70"/>
        <v/>
      </c>
      <c r="H1507" s="88"/>
      <c r="I1507" s="93"/>
      <c r="J1507" s="97"/>
      <c r="K1507" s="88"/>
      <c r="L1507" s="25" t="str">
        <f>IF($D1507="","",SUMIFS($H$4:$H1507,$D$4:$D1507,$D1507)+SUMIFS($I$4:$I1507,$D$4:$D1507,$D1507)-SUMIFS($J$4:$J1507,$D$4:$D1507,$D1507)-SUMIFS($K$4:$K1507,$D$4:$D1507,$D1507))</f>
        <v/>
      </c>
      <c r="M1507" s="80"/>
      <c r="N1507" s="80"/>
      <c r="O1507" s="94"/>
      <c r="P1507" s="26" t="str">
        <f t="shared" si="71"/>
        <v/>
      </c>
      <c r="Q1507" s="80"/>
      <c r="R1507" s="80"/>
      <c r="S1507" s="80"/>
      <c r="T1507" s="82"/>
      <c r="U1507" s="80"/>
      <c r="V1507" s="80"/>
      <c r="W1507" s="80"/>
    </row>
    <row r="1508" ht="18" customHeight="1" spans="1:23">
      <c r="A1508" s="87" t="str">
        <f t="shared" si="69"/>
        <v/>
      </c>
      <c r="B1508" s="78"/>
      <c r="C1508" s="80"/>
      <c r="D1508" s="79"/>
      <c r="E1508" s="80"/>
      <c r="F1508" s="79"/>
      <c r="G1508" s="25" t="str">
        <f t="shared" si="70"/>
        <v/>
      </c>
      <c r="H1508" s="88"/>
      <c r="I1508" s="93"/>
      <c r="J1508" s="97"/>
      <c r="K1508" s="88"/>
      <c r="L1508" s="25" t="str">
        <f>IF($D1508="","",SUMIFS($H$4:$H1508,$D$4:$D1508,$D1508)+SUMIFS($I$4:$I1508,$D$4:$D1508,$D1508)-SUMIFS($J$4:$J1508,$D$4:$D1508,$D1508)-SUMIFS($K$4:$K1508,$D$4:$D1508,$D1508))</f>
        <v/>
      </c>
      <c r="M1508" s="80"/>
      <c r="N1508" s="80"/>
      <c r="O1508" s="94"/>
      <c r="P1508" s="26" t="str">
        <f t="shared" si="71"/>
        <v/>
      </c>
      <c r="Q1508" s="80"/>
      <c r="R1508" s="80"/>
      <c r="S1508" s="80"/>
      <c r="T1508" s="82"/>
      <c r="U1508" s="80"/>
      <c r="V1508" s="80"/>
      <c r="W1508" s="80"/>
    </row>
    <row r="1509" ht="18" customHeight="1" spans="1:23">
      <c r="A1509" s="87" t="str">
        <f t="shared" si="69"/>
        <v/>
      </c>
      <c r="B1509" s="78"/>
      <c r="C1509" s="80"/>
      <c r="D1509" s="79"/>
      <c r="E1509" s="80"/>
      <c r="F1509" s="79"/>
      <c r="G1509" s="25" t="str">
        <f t="shared" si="70"/>
        <v/>
      </c>
      <c r="H1509" s="88"/>
      <c r="I1509" s="93"/>
      <c r="J1509" s="97"/>
      <c r="K1509" s="88"/>
      <c r="L1509" s="25" t="str">
        <f>IF($D1509="","",SUMIFS($H$4:$H1509,$D$4:$D1509,$D1509)+SUMIFS($I$4:$I1509,$D$4:$D1509,$D1509)-SUMIFS($J$4:$J1509,$D$4:$D1509,$D1509)-SUMIFS($K$4:$K1509,$D$4:$D1509,$D1509))</f>
        <v/>
      </c>
      <c r="M1509" s="80"/>
      <c r="N1509" s="80"/>
      <c r="O1509" s="94"/>
      <c r="P1509" s="26" t="str">
        <f t="shared" si="71"/>
        <v/>
      </c>
      <c r="Q1509" s="80"/>
      <c r="R1509" s="80"/>
      <c r="S1509" s="80"/>
      <c r="T1509" s="82"/>
      <c r="U1509" s="80"/>
      <c r="V1509" s="80"/>
      <c r="W1509" s="80"/>
    </row>
    <row r="1510" ht="18" customHeight="1" spans="1:23">
      <c r="A1510" s="87" t="str">
        <f t="shared" si="69"/>
        <v/>
      </c>
      <c r="B1510" s="78"/>
      <c r="C1510" s="80"/>
      <c r="D1510" s="79"/>
      <c r="E1510" s="80"/>
      <c r="F1510" s="79"/>
      <c r="G1510" s="25" t="str">
        <f t="shared" si="70"/>
        <v/>
      </c>
      <c r="H1510" s="88"/>
      <c r="I1510" s="93"/>
      <c r="J1510" s="97"/>
      <c r="K1510" s="88"/>
      <c r="L1510" s="25" t="str">
        <f>IF($D1510="","",SUMIFS($H$4:$H1510,$D$4:$D1510,$D1510)+SUMIFS($I$4:$I1510,$D$4:$D1510,$D1510)-SUMIFS($J$4:$J1510,$D$4:$D1510,$D1510)-SUMIFS($K$4:$K1510,$D$4:$D1510,$D1510))</f>
        <v/>
      </c>
      <c r="M1510" s="80"/>
      <c r="N1510" s="80"/>
      <c r="O1510" s="94"/>
      <c r="P1510" s="26" t="str">
        <f t="shared" si="71"/>
        <v/>
      </c>
      <c r="Q1510" s="80"/>
      <c r="R1510" s="80"/>
      <c r="S1510" s="80"/>
      <c r="T1510" s="82"/>
      <c r="U1510" s="80"/>
      <c r="V1510" s="80"/>
      <c r="W1510" s="80"/>
    </row>
    <row r="1511" ht="18" customHeight="1" spans="1:23">
      <c r="A1511" s="87" t="str">
        <f t="shared" si="69"/>
        <v/>
      </c>
      <c r="B1511" s="78"/>
      <c r="C1511" s="80"/>
      <c r="D1511" s="79"/>
      <c r="E1511" s="80"/>
      <c r="F1511" s="79"/>
      <c r="G1511" s="25" t="str">
        <f t="shared" si="70"/>
        <v/>
      </c>
      <c r="H1511" s="88"/>
      <c r="I1511" s="93"/>
      <c r="J1511" s="97"/>
      <c r="K1511" s="88"/>
      <c r="L1511" s="25" t="str">
        <f>IF($D1511="","",SUMIFS($H$4:$H1511,$D$4:$D1511,$D1511)+SUMIFS($I$4:$I1511,$D$4:$D1511,$D1511)-SUMIFS($J$4:$J1511,$D$4:$D1511,$D1511)-SUMIFS($K$4:$K1511,$D$4:$D1511,$D1511))</f>
        <v/>
      </c>
      <c r="M1511" s="80"/>
      <c r="N1511" s="80"/>
      <c r="O1511" s="94"/>
      <c r="P1511" s="26" t="str">
        <f t="shared" si="71"/>
        <v/>
      </c>
      <c r="Q1511" s="80"/>
      <c r="R1511" s="80"/>
      <c r="S1511" s="80"/>
      <c r="T1511" s="82"/>
      <c r="U1511" s="80"/>
      <c r="V1511" s="80"/>
      <c r="W1511" s="80"/>
    </row>
    <row r="1512" ht="18" customHeight="1" spans="1:23">
      <c r="A1512" s="87" t="str">
        <f t="shared" si="69"/>
        <v/>
      </c>
      <c r="B1512" s="78"/>
      <c r="C1512" s="80"/>
      <c r="D1512" s="79"/>
      <c r="E1512" s="80"/>
      <c r="F1512" s="79"/>
      <c r="G1512" s="25" t="str">
        <f t="shared" si="70"/>
        <v/>
      </c>
      <c r="H1512" s="88"/>
      <c r="I1512" s="93"/>
      <c r="J1512" s="97"/>
      <c r="K1512" s="88"/>
      <c r="L1512" s="25" t="str">
        <f>IF($D1512="","",SUMIFS($H$4:$H1512,$D$4:$D1512,$D1512)+SUMIFS($I$4:$I1512,$D$4:$D1512,$D1512)-SUMIFS($J$4:$J1512,$D$4:$D1512,$D1512)-SUMIFS($K$4:$K1512,$D$4:$D1512,$D1512))</f>
        <v/>
      </c>
      <c r="M1512" s="80"/>
      <c r="N1512" s="80"/>
      <c r="O1512" s="94"/>
      <c r="P1512" s="26" t="str">
        <f t="shared" si="71"/>
        <v/>
      </c>
      <c r="Q1512" s="80"/>
      <c r="R1512" s="80"/>
      <c r="S1512" s="80"/>
      <c r="T1512" s="82"/>
      <c r="U1512" s="80"/>
      <c r="V1512" s="80"/>
      <c r="W1512" s="80"/>
    </row>
    <row r="1513" ht="18" customHeight="1" spans="1:23">
      <c r="A1513" s="87" t="str">
        <f t="shared" si="69"/>
        <v/>
      </c>
      <c r="B1513" s="78"/>
      <c r="C1513" s="80"/>
      <c r="D1513" s="79"/>
      <c r="E1513" s="80"/>
      <c r="F1513" s="79"/>
      <c r="G1513" s="25" t="str">
        <f t="shared" si="70"/>
        <v/>
      </c>
      <c r="H1513" s="88"/>
      <c r="I1513" s="93"/>
      <c r="J1513" s="97"/>
      <c r="K1513" s="88"/>
      <c r="L1513" s="25" t="str">
        <f>IF($D1513="","",SUMIFS($H$4:$H1513,$D$4:$D1513,$D1513)+SUMIFS($I$4:$I1513,$D$4:$D1513,$D1513)-SUMIFS($J$4:$J1513,$D$4:$D1513,$D1513)-SUMIFS($K$4:$K1513,$D$4:$D1513,$D1513))</f>
        <v/>
      </c>
      <c r="M1513" s="80"/>
      <c r="N1513" s="80"/>
      <c r="O1513" s="94"/>
      <c r="P1513" s="26" t="str">
        <f t="shared" si="71"/>
        <v/>
      </c>
      <c r="Q1513" s="80"/>
      <c r="R1513" s="80"/>
      <c r="S1513" s="80"/>
      <c r="T1513" s="82"/>
      <c r="U1513" s="80"/>
      <c r="V1513" s="80"/>
      <c r="W1513" s="80"/>
    </row>
    <row r="1514" ht="18" customHeight="1" spans="1:23">
      <c r="A1514" s="87" t="str">
        <f t="shared" si="69"/>
        <v/>
      </c>
      <c r="B1514" s="78"/>
      <c r="C1514" s="80"/>
      <c r="D1514" s="79"/>
      <c r="E1514" s="80"/>
      <c r="F1514" s="79"/>
      <c r="G1514" s="25" t="str">
        <f t="shared" si="70"/>
        <v/>
      </c>
      <c r="H1514" s="88"/>
      <c r="I1514" s="93"/>
      <c r="J1514" s="97"/>
      <c r="K1514" s="88"/>
      <c r="L1514" s="25" t="str">
        <f>IF($D1514="","",SUMIFS($H$4:$H1514,$D$4:$D1514,$D1514)+SUMIFS($I$4:$I1514,$D$4:$D1514,$D1514)-SUMIFS($J$4:$J1514,$D$4:$D1514,$D1514)-SUMIFS($K$4:$K1514,$D$4:$D1514,$D1514))</f>
        <v/>
      </c>
      <c r="M1514" s="80"/>
      <c r="N1514" s="80"/>
      <c r="O1514" s="94"/>
      <c r="P1514" s="26" t="str">
        <f t="shared" si="71"/>
        <v/>
      </c>
      <c r="Q1514" s="80"/>
      <c r="R1514" s="80"/>
      <c r="S1514" s="80"/>
      <c r="T1514" s="82"/>
      <c r="U1514" s="80"/>
      <c r="V1514" s="80"/>
      <c r="W1514" s="80"/>
    </row>
    <row r="1515" ht="18" customHeight="1" spans="1:23">
      <c r="A1515" s="87" t="str">
        <f t="shared" si="69"/>
        <v/>
      </c>
      <c r="B1515" s="78"/>
      <c r="C1515" s="80"/>
      <c r="D1515" s="79"/>
      <c r="E1515" s="80"/>
      <c r="F1515" s="79"/>
      <c r="G1515" s="25" t="str">
        <f t="shared" si="70"/>
        <v/>
      </c>
      <c r="H1515" s="88"/>
      <c r="I1515" s="93"/>
      <c r="J1515" s="97"/>
      <c r="K1515" s="88"/>
      <c r="L1515" s="25" t="str">
        <f>IF($D1515="","",SUMIFS($H$4:$H1515,$D$4:$D1515,$D1515)+SUMIFS($I$4:$I1515,$D$4:$D1515,$D1515)-SUMIFS($J$4:$J1515,$D$4:$D1515,$D1515)-SUMIFS($K$4:$K1515,$D$4:$D1515,$D1515))</f>
        <v/>
      </c>
      <c r="M1515" s="80"/>
      <c r="N1515" s="80"/>
      <c r="O1515" s="94"/>
      <c r="P1515" s="26" t="str">
        <f t="shared" si="71"/>
        <v/>
      </c>
      <c r="Q1515" s="80"/>
      <c r="R1515" s="80"/>
      <c r="S1515" s="80"/>
      <c r="T1515" s="82"/>
      <c r="U1515" s="80"/>
      <c r="V1515" s="80"/>
      <c r="W1515" s="80"/>
    </row>
    <row r="1516" ht="18" customHeight="1" spans="1:23">
      <c r="A1516" s="87" t="str">
        <f t="shared" si="69"/>
        <v/>
      </c>
      <c r="B1516" s="78"/>
      <c r="C1516" s="80"/>
      <c r="D1516" s="79"/>
      <c r="E1516" s="80"/>
      <c r="F1516" s="79"/>
      <c r="G1516" s="25" t="str">
        <f t="shared" si="70"/>
        <v/>
      </c>
      <c r="H1516" s="88"/>
      <c r="I1516" s="93"/>
      <c r="J1516" s="97"/>
      <c r="K1516" s="88"/>
      <c r="L1516" s="25" t="str">
        <f>IF($D1516="","",SUMIFS($H$4:$H1516,$D$4:$D1516,$D1516)+SUMIFS($I$4:$I1516,$D$4:$D1516,$D1516)-SUMIFS($J$4:$J1516,$D$4:$D1516,$D1516)-SUMIFS($K$4:$K1516,$D$4:$D1516,$D1516))</f>
        <v/>
      </c>
      <c r="M1516" s="80"/>
      <c r="N1516" s="80"/>
      <c r="O1516" s="94"/>
      <c r="P1516" s="26" t="str">
        <f t="shared" si="71"/>
        <v/>
      </c>
      <c r="Q1516" s="80"/>
      <c r="R1516" s="80"/>
      <c r="S1516" s="80"/>
      <c r="T1516" s="82"/>
      <c r="U1516" s="80"/>
      <c r="V1516" s="80"/>
      <c r="W1516" s="80"/>
    </row>
    <row r="1517" ht="18" customHeight="1" spans="1:23">
      <c r="A1517" s="87" t="str">
        <f t="shared" si="69"/>
        <v/>
      </c>
      <c r="B1517" s="78"/>
      <c r="C1517" s="80"/>
      <c r="D1517" s="79"/>
      <c r="E1517" s="80"/>
      <c r="F1517" s="79"/>
      <c r="G1517" s="25" t="str">
        <f t="shared" si="70"/>
        <v/>
      </c>
      <c r="H1517" s="88"/>
      <c r="I1517" s="93"/>
      <c r="J1517" s="97"/>
      <c r="K1517" s="88"/>
      <c r="L1517" s="25" t="str">
        <f>IF($D1517="","",SUMIFS($H$4:$H1517,$D$4:$D1517,$D1517)+SUMIFS($I$4:$I1517,$D$4:$D1517,$D1517)-SUMIFS($J$4:$J1517,$D$4:$D1517,$D1517)-SUMIFS($K$4:$K1517,$D$4:$D1517,$D1517))</f>
        <v/>
      </c>
      <c r="M1517" s="80"/>
      <c r="N1517" s="80"/>
      <c r="O1517" s="94"/>
      <c r="P1517" s="26" t="str">
        <f t="shared" si="71"/>
        <v/>
      </c>
      <c r="Q1517" s="80"/>
      <c r="R1517" s="80"/>
      <c r="S1517" s="80"/>
      <c r="T1517" s="82"/>
      <c r="U1517" s="80"/>
      <c r="V1517" s="80"/>
      <c r="W1517" s="80"/>
    </row>
    <row r="1518" ht="18" customHeight="1" spans="1:23">
      <c r="A1518" s="87" t="str">
        <f t="shared" si="69"/>
        <v/>
      </c>
      <c r="B1518" s="78"/>
      <c r="C1518" s="80"/>
      <c r="D1518" s="79"/>
      <c r="E1518" s="80"/>
      <c r="F1518" s="79"/>
      <c r="G1518" s="25" t="str">
        <f t="shared" si="70"/>
        <v/>
      </c>
      <c r="H1518" s="88"/>
      <c r="I1518" s="93"/>
      <c r="J1518" s="97"/>
      <c r="K1518" s="88"/>
      <c r="L1518" s="25" t="str">
        <f>IF($D1518="","",SUMIFS($H$4:$H1518,$D$4:$D1518,$D1518)+SUMIFS($I$4:$I1518,$D$4:$D1518,$D1518)-SUMIFS($J$4:$J1518,$D$4:$D1518,$D1518)-SUMIFS($K$4:$K1518,$D$4:$D1518,$D1518))</f>
        <v/>
      </c>
      <c r="M1518" s="80"/>
      <c r="N1518" s="80"/>
      <c r="O1518" s="94"/>
      <c r="P1518" s="26" t="str">
        <f t="shared" si="71"/>
        <v/>
      </c>
      <c r="Q1518" s="80"/>
      <c r="R1518" s="80"/>
      <c r="S1518" s="80"/>
      <c r="T1518" s="82"/>
      <c r="U1518" s="80"/>
      <c r="V1518" s="80"/>
      <c r="W1518" s="80"/>
    </row>
    <row r="1519" ht="18" customHeight="1" spans="1:23">
      <c r="A1519" s="87" t="str">
        <f t="shared" si="69"/>
        <v/>
      </c>
      <c r="B1519" s="78"/>
      <c r="C1519" s="80"/>
      <c r="D1519" s="79"/>
      <c r="E1519" s="80"/>
      <c r="F1519" s="79"/>
      <c r="G1519" s="25" t="str">
        <f t="shared" si="70"/>
        <v/>
      </c>
      <c r="H1519" s="88"/>
      <c r="I1519" s="93"/>
      <c r="J1519" s="97"/>
      <c r="K1519" s="88"/>
      <c r="L1519" s="25" t="str">
        <f>IF($D1519="","",SUMIFS($H$4:$H1519,$D$4:$D1519,$D1519)+SUMIFS($I$4:$I1519,$D$4:$D1519,$D1519)-SUMIFS($J$4:$J1519,$D$4:$D1519,$D1519)-SUMIFS($K$4:$K1519,$D$4:$D1519,$D1519))</f>
        <v/>
      </c>
      <c r="M1519" s="80"/>
      <c r="N1519" s="80"/>
      <c r="O1519" s="94"/>
      <c r="P1519" s="26" t="str">
        <f t="shared" si="71"/>
        <v/>
      </c>
      <c r="Q1519" s="80"/>
      <c r="R1519" s="80"/>
      <c r="S1519" s="80"/>
      <c r="T1519" s="82"/>
      <c r="U1519" s="80"/>
      <c r="V1519" s="80"/>
      <c r="W1519" s="80"/>
    </row>
    <row r="1520" ht="18" customHeight="1" spans="1:23">
      <c r="A1520" s="87" t="str">
        <f t="shared" si="69"/>
        <v/>
      </c>
      <c r="B1520" s="78"/>
      <c r="C1520" s="80"/>
      <c r="D1520" s="79"/>
      <c r="E1520" s="80"/>
      <c r="F1520" s="79"/>
      <c r="G1520" s="25" t="str">
        <f t="shared" si="70"/>
        <v/>
      </c>
      <c r="H1520" s="88"/>
      <c r="I1520" s="93"/>
      <c r="J1520" s="97"/>
      <c r="K1520" s="88"/>
      <c r="L1520" s="25" t="str">
        <f>IF($D1520="","",SUMIFS($H$4:$H1520,$D$4:$D1520,$D1520)+SUMIFS($I$4:$I1520,$D$4:$D1520,$D1520)-SUMIFS($J$4:$J1520,$D$4:$D1520,$D1520)-SUMIFS($K$4:$K1520,$D$4:$D1520,$D1520))</f>
        <v/>
      </c>
      <c r="M1520" s="80"/>
      <c r="N1520" s="80"/>
      <c r="O1520" s="94"/>
      <c r="P1520" s="26" t="str">
        <f t="shared" si="71"/>
        <v/>
      </c>
      <c r="Q1520" s="80"/>
      <c r="R1520" s="80"/>
      <c r="S1520" s="80"/>
      <c r="T1520" s="82"/>
      <c r="U1520" s="80"/>
      <c r="V1520" s="80"/>
      <c r="W1520" s="80"/>
    </row>
    <row r="1521" ht="18" customHeight="1" spans="1:23">
      <c r="A1521" s="87" t="str">
        <f t="shared" si="69"/>
        <v/>
      </c>
      <c r="B1521" s="78"/>
      <c r="C1521" s="80"/>
      <c r="D1521" s="79"/>
      <c r="E1521" s="80"/>
      <c r="F1521" s="79"/>
      <c r="G1521" s="25" t="str">
        <f t="shared" si="70"/>
        <v/>
      </c>
      <c r="H1521" s="88"/>
      <c r="I1521" s="93"/>
      <c r="J1521" s="97"/>
      <c r="K1521" s="88"/>
      <c r="L1521" s="25" t="str">
        <f>IF($D1521="","",SUMIFS($H$4:$H1521,$D$4:$D1521,$D1521)+SUMIFS($I$4:$I1521,$D$4:$D1521,$D1521)-SUMIFS($J$4:$J1521,$D$4:$D1521,$D1521)-SUMIFS($K$4:$K1521,$D$4:$D1521,$D1521))</f>
        <v/>
      </c>
      <c r="M1521" s="80"/>
      <c r="N1521" s="80"/>
      <c r="O1521" s="94"/>
      <c r="P1521" s="26" t="str">
        <f t="shared" si="71"/>
        <v/>
      </c>
      <c r="Q1521" s="80"/>
      <c r="R1521" s="80"/>
      <c r="S1521" s="80"/>
      <c r="T1521" s="82"/>
      <c r="U1521" s="80"/>
      <c r="V1521" s="80"/>
      <c r="W1521" s="80"/>
    </row>
    <row r="1522" ht="18" customHeight="1" spans="1:23">
      <c r="A1522" s="87" t="str">
        <f t="shared" si="69"/>
        <v/>
      </c>
      <c r="B1522" s="78"/>
      <c r="C1522" s="80"/>
      <c r="D1522" s="79"/>
      <c r="E1522" s="80"/>
      <c r="F1522" s="79"/>
      <c r="G1522" s="25" t="str">
        <f t="shared" si="70"/>
        <v/>
      </c>
      <c r="H1522" s="88"/>
      <c r="I1522" s="93"/>
      <c r="J1522" s="97"/>
      <c r="K1522" s="88"/>
      <c r="L1522" s="25" t="str">
        <f>IF($D1522="","",SUMIFS($H$4:$H1522,$D$4:$D1522,$D1522)+SUMIFS($I$4:$I1522,$D$4:$D1522,$D1522)-SUMIFS($J$4:$J1522,$D$4:$D1522,$D1522)-SUMIFS($K$4:$K1522,$D$4:$D1522,$D1522))</f>
        <v/>
      </c>
      <c r="M1522" s="80"/>
      <c r="N1522" s="80"/>
      <c r="O1522" s="94"/>
      <c r="P1522" s="26" t="str">
        <f t="shared" si="71"/>
        <v/>
      </c>
      <c r="Q1522" s="80"/>
      <c r="R1522" s="80"/>
      <c r="S1522" s="80"/>
      <c r="T1522" s="82"/>
      <c r="U1522" s="80"/>
      <c r="V1522" s="80"/>
      <c r="W1522" s="80"/>
    </row>
    <row r="1523" ht="18" customHeight="1" spans="1:23">
      <c r="A1523" s="87" t="str">
        <f t="shared" si="69"/>
        <v/>
      </c>
      <c r="B1523" s="78"/>
      <c r="C1523" s="80"/>
      <c r="D1523" s="79"/>
      <c r="E1523" s="80"/>
      <c r="F1523" s="79"/>
      <c r="G1523" s="25" t="str">
        <f t="shared" si="70"/>
        <v/>
      </c>
      <c r="H1523" s="88"/>
      <c r="I1523" s="93"/>
      <c r="J1523" s="97"/>
      <c r="K1523" s="88"/>
      <c r="L1523" s="25" t="str">
        <f>IF($D1523="","",SUMIFS($H$4:$H1523,$D$4:$D1523,$D1523)+SUMIFS($I$4:$I1523,$D$4:$D1523,$D1523)-SUMIFS($J$4:$J1523,$D$4:$D1523,$D1523)-SUMIFS($K$4:$K1523,$D$4:$D1523,$D1523))</f>
        <v/>
      </c>
      <c r="M1523" s="80"/>
      <c r="N1523" s="80"/>
      <c r="O1523" s="94"/>
      <c r="P1523" s="26" t="str">
        <f t="shared" si="71"/>
        <v/>
      </c>
      <c r="Q1523" s="80"/>
      <c r="R1523" s="80"/>
      <c r="S1523" s="80"/>
      <c r="T1523" s="82"/>
      <c r="U1523" s="80"/>
      <c r="V1523" s="80"/>
      <c r="W1523" s="80"/>
    </row>
    <row r="1524" ht="18" customHeight="1" spans="1:23">
      <c r="A1524" s="87" t="str">
        <f t="shared" si="69"/>
        <v/>
      </c>
      <c r="B1524" s="78"/>
      <c r="C1524" s="80"/>
      <c r="D1524" s="79"/>
      <c r="E1524" s="80"/>
      <c r="F1524" s="79"/>
      <c r="G1524" s="25" t="str">
        <f t="shared" si="70"/>
        <v/>
      </c>
      <c r="H1524" s="88"/>
      <c r="I1524" s="93"/>
      <c r="J1524" s="97"/>
      <c r="K1524" s="88"/>
      <c r="L1524" s="25" t="str">
        <f>IF($D1524="","",SUMIFS($H$4:$H1524,$D$4:$D1524,$D1524)+SUMIFS($I$4:$I1524,$D$4:$D1524,$D1524)-SUMIFS($J$4:$J1524,$D$4:$D1524,$D1524)-SUMIFS($K$4:$K1524,$D$4:$D1524,$D1524))</f>
        <v/>
      </c>
      <c r="M1524" s="80"/>
      <c r="N1524" s="80"/>
      <c r="O1524" s="94"/>
      <c r="P1524" s="26" t="str">
        <f t="shared" si="71"/>
        <v/>
      </c>
      <c r="Q1524" s="80"/>
      <c r="R1524" s="80"/>
      <c r="S1524" s="80"/>
      <c r="T1524" s="82"/>
      <c r="U1524" s="80"/>
      <c r="V1524" s="80"/>
      <c r="W1524" s="80"/>
    </row>
    <row r="1525" ht="18" customHeight="1" spans="1:23">
      <c r="A1525" s="87" t="str">
        <f t="shared" si="69"/>
        <v/>
      </c>
      <c r="B1525" s="78"/>
      <c r="C1525" s="80"/>
      <c r="D1525" s="79"/>
      <c r="E1525" s="80"/>
      <c r="F1525" s="79"/>
      <c r="G1525" s="25" t="str">
        <f t="shared" si="70"/>
        <v/>
      </c>
      <c r="H1525" s="88"/>
      <c r="I1525" s="93"/>
      <c r="J1525" s="97"/>
      <c r="K1525" s="88"/>
      <c r="L1525" s="25" t="str">
        <f>IF($D1525="","",SUMIFS($H$4:$H1525,$D$4:$D1525,$D1525)+SUMIFS($I$4:$I1525,$D$4:$D1525,$D1525)-SUMIFS($J$4:$J1525,$D$4:$D1525,$D1525)-SUMIFS($K$4:$K1525,$D$4:$D1525,$D1525))</f>
        <v/>
      </c>
      <c r="M1525" s="80"/>
      <c r="N1525" s="80"/>
      <c r="O1525" s="94"/>
      <c r="P1525" s="26" t="str">
        <f t="shared" si="71"/>
        <v/>
      </c>
      <c r="Q1525" s="80"/>
      <c r="R1525" s="80"/>
      <c r="S1525" s="80"/>
      <c r="T1525" s="82"/>
      <c r="U1525" s="80"/>
      <c r="V1525" s="80"/>
      <c r="W1525" s="80"/>
    </row>
    <row r="1526" ht="18" customHeight="1" spans="1:23">
      <c r="A1526" s="87" t="str">
        <f t="shared" si="69"/>
        <v/>
      </c>
      <c r="B1526" s="78"/>
      <c r="C1526" s="80"/>
      <c r="D1526" s="79"/>
      <c r="E1526" s="80"/>
      <c r="F1526" s="79"/>
      <c r="G1526" s="25" t="str">
        <f t="shared" si="70"/>
        <v/>
      </c>
      <c r="H1526" s="88"/>
      <c r="I1526" s="93"/>
      <c r="J1526" s="97"/>
      <c r="K1526" s="88"/>
      <c r="L1526" s="25" t="str">
        <f>IF($D1526="","",SUMIFS($H$4:$H1526,$D$4:$D1526,$D1526)+SUMIFS($I$4:$I1526,$D$4:$D1526,$D1526)-SUMIFS($J$4:$J1526,$D$4:$D1526,$D1526)-SUMIFS($K$4:$K1526,$D$4:$D1526,$D1526))</f>
        <v/>
      </c>
      <c r="M1526" s="80"/>
      <c r="N1526" s="80"/>
      <c r="O1526" s="94"/>
      <c r="P1526" s="26" t="str">
        <f t="shared" si="71"/>
        <v/>
      </c>
      <c r="Q1526" s="80"/>
      <c r="R1526" s="80"/>
      <c r="S1526" s="80"/>
      <c r="T1526" s="82"/>
      <c r="U1526" s="80"/>
      <c r="V1526" s="80"/>
      <c r="W1526" s="80"/>
    </row>
    <row r="1527" ht="18" customHeight="1" spans="1:23">
      <c r="A1527" s="87" t="str">
        <f t="shared" si="69"/>
        <v/>
      </c>
      <c r="B1527" s="78"/>
      <c r="C1527" s="80"/>
      <c r="D1527" s="79"/>
      <c r="E1527" s="80"/>
      <c r="F1527" s="79"/>
      <c r="G1527" s="25" t="str">
        <f t="shared" si="70"/>
        <v/>
      </c>
      <c r="H1527" s="88"/>
      <c r="I1527" s="93"/>
      <c r="J1527" s="97"/>
      <c r="K1527" s="88"/>
      <c r="L1527" s="25" t="str">
        <f>IF($D1527="","",SUMIFS($H$4:$H1527,$D$4:$D1527,$D1527)+SUMIFS($I$4:$I1527,$D$4:$D1527,$D1527)-SUMIFS($J$4:$J1527,$D$4:$D1527,$D1527)-SUMIFS($K$4:$K1527,$D$4:$D1527,$D1527))</f>
        <v/>
      </c>
      <c r="M1527" s="80"/>
      <c r="N1527" s="80"/>
      <c r="O1527" s="94"/>
      <c r="P1527" s="26" t="str">
        <f t="shared" si="71"/>
        <v/>
      </c>
      <c r="Q1527" s="80"/>
      <c r="R1527" s="80"/>
      <c r="S1527" s="80"/>
      <c r="T1527" s="82"/>
      <c r="U1527" s="80"/>
      <c r="V1527" s="80"/>
      <c r="W1527" s="80"/>
    </row>
    <row r="1528" ht="18" customHeight="1" spans="1:23">
      <c r="A1528" s="87" t="str">
        <f t="shared" si="69"/>
        <v/>
      </c>
      <c r="B1528" s="78"/>
      <c r="C1528" s="80"/>
      <c r="D1528" s="79"/>
      <c r="E1528" s="80"/>
      <c r="F1528" s="79"/>
      <c r="G1528" s="25" t="str">
        <f t="shared" si="70"/>
        <v/>
      </c>
      <c r="H1528" s="88"/>
      <c r="I1528" s="93"/>
      <c r="J1528" s="97"/>
      <c r="K1528" s="88"/>
      <c r="L1528" s="25" t="str">
        <f>IF($D1528="","",SUMIFS($H$4:$H1528,$D$4:$D1528,$D1528)+SUMIFS($I$4:$I1528,$D$4:$D1528,$D1528)-SUMIFS($J$4:$J1528,$D$4:$D1528,$D1528)-SUMIFS($K$4:$K1528,$D$4:$D1528,$D1528))</f>
        <v/>
      </c>
      <c r="M1528" s="80"/>
      <c r="N1528" s="80"/>
      <c r="O1528" s="94"/>
      <c r="P1528" s="26" t="str">
        <f t="shared" si="71"/>
        <v/>
      </c>
      <c r="Q1528" s="80"/>
      <c r="R1528" s="80"/>
      <c r="S1528" s="80"/>
      <c r="T1528" s="82"/>
      <c r="U1528" s="80"/>
      <c r="V1528" s="80"/>
      <c r="W1528" s="80"/>
    </row>
    <row r="1529" ht="18" customHeight="1" spans="1:23">
      <c r="A1529" s="87" t="str">
        <f t="shared" si="69"/>
        <v/>
      </c>
      <c r="B1529" s="78"/>
      <c r="C1529" s="80"/>
      <c r="D1529" s="79"/>
      <c r="E1529" s="80"/>
      <c r="F1529" s="79"/>
      <c r="G1529" s="25" t="str">
        <f t="shared" si="70"/>
        <v/>
      </c>
      <c r="H1529" s="88"/>
      <c r="I1529" s="93"/>
      <c r="J1529" s="97"/>
      <c r="K1529" s="88"/>
      <c r="L1529" s="25" t="str">
        <f>IF($D1529="","",SUMIFS($H$4:$H1529,$D$4:$D1529,$D1529)+SUMIFS($I$4:$I1529,$D$4:$D1529,$D1529)-SUMIFS($J$4:$J1529,$D$4:$D1529,$D1529)-SUMIFS($K$4:$K1529,$D$4:$D1529,$D1529))</f>
        <v/>
      </c>
      <c r="M1529" s="80"/>
      <c r="N1529" s="80"/>
      <c r="O1529" s="94"/>
      <c r="P1529" s="26" t="str">
        <f t="shared" si="71"/>
        <v/>
      </c>
      <c r="Q1529" s="80"/>
      <c r="R1529" s="80"/>
      <c r="S1529" s="80"/>
      <c r="T1529" s="82"/>
      <c r="U1529" s="80"/>
      <c r="V1529" s="80"/>
      <c r="W1529" s="80"/>
    </row>
    <row r="1530" ht="18" customHeight="1" spans="1:23">
      <c r="A1530" s="87" t="str">
        <f t="shared" si="69"/>
        <v/>
      </c>
      <c r="B1530" s="78"/>
      <c r="C1530" s="80"/>
      <c r="D1530" s="79"/>
      <c r="E1530" s="80"/>
      <c r="F1530" s="79"/>
      <c r="G1530" s="25" t="str">
        <f t="shared" si="70"/>
        <v/>
      </c>
      <c r="H1530" s="88"/>
      <c r="I1530" s="93"/>
      <c r="J1530" s="97"/>
      <c r="K1530" s="88"/>
      <c r="L1530" s="25" t="str">
        <f>IF($D1530="","",SUMIFS($H$4:$H1530,$D$4:$D1530,$D1530)+SUMIFS($I$4:$I1530,$D$4:$D1530,$D1530)-SUMIFS($J$4:$J1530,$D$4:$D1530,$D1530)-SUMIFS($K$4:$K1530,$D$4:$D1530,$D1530))</f>
        <v/>
      </c>
      <c r="M1530" s="80"/>
      <c r="N1530" s="80"/>
      <c r="O1530" s="94"/>
      <c r="P1530" s="26" t="str">
        <f t="shared" si="71"/>
        <v/>
      </c>
      <c r="Q1530" s="80"/>
      <c r="R1530" s="80"/>
      <c r="S1530" s="80"/>
      <c r="T1530" s="82"/>
      <c r="U1530" s="80"/>
      <c r="V1530" s="80"/>
      <c r="W1530" s="80"/>
    </row>
    <row r="1531" ht="18" customHeight="1" spans="1:23">
      <c r="A1531" s="87" t="str">
        <f t="shared" si="69"/>
        <v/>
      </c>
      <c r="B1531" s="78"/>
      <c r="C1531" s="80"/>
      <c r="D1531" s="79"/>
      <c r="E1531" s="80"/>
      <c r="F1531" s="79"/>
      <c r="G1531" s="25" t="str">
        <f t="shared" si="70"/>
        <v/>
      </c>
      <c r="H1531" s="88"/>
      <c r="I1531" s="93"/>
      <c r="J1531" s="97"/>
      <c r="K1531" s="88"/>
      <c r="L1531" s="25" t="str">
        <f>IF($D1531="","",SUMIFS($H$4:$H1531,$D$4:$D1531,$D1531)+SUMIFS($I$4:$I1531,$D$4:$D1531,$D1531)-SUMIFS($J$4:$J1531,$D$4:$D1531,$D1531)-SUMIFS($K$4:$K1531,$D$4:$D1531,$D1531))</f>
        <v/>
      </c>
      <c r="M1531" s="80"/>
      <c r="N1531" s="80"/>
      <c r="O1531" s="94"/>
      <c r="P1531" s="26" t="str">
        <f t="shared" si="71"/>
        <v/>
      </c>
      <c r="Q1531" s="80"/>
      <c r="R1531" s="80"/>
      <c r="S1531" s="80"/>
      <c r="T1531" s="82"/>
      <c r="U1531" s="80"/>
      <c r="V1531" s="80"/>
      <c r="W1531" s="80"/>
    </row>
    <row r="1532" ht="18" customHeight="1" spans="1:23">
      <c r="A1532" s="87" t="str">
        <f t="shared" si="69"/>
        <v/>
      </c>
      <c r="B1532" s="78"/>
      <c r="C1532" s="80"/>
      <c r="D1532" s="79"/>
      <c r="E1532" s="80"/>
      <c r="F1532" s="79"/>
      <c r="G1532" s="25" t="str">
        <f t="shared" si="70"/>
        <v/>
      </c>
      <c r="H1532" s="88"/>
      <c r="I1532" s="93"/>
      <c r="J1532" s="97"/>
      <c r="K1532" s="88"/>
      <c r="L1532" s="25" t="str">
        <f>IF($D1532="","",SUMIFS($H$4:$H1532,$D$4:$D1532,$D1532)+SUMIFS($I$4:$I1532,$D$4:$D1532,$D1532)-SUMIFS($J$4:$J1532,$D$4:$D1532,$D1532)-SUMIFS($K$4:$K1532,$D$4:$D1532,$D1532))</f>
        <v/>
      </c>
      <c r="M1532" s="80"/>
      <c r="N1532" s="80"/>
      <c r="O1532" s="94"/>
      <c r="P1532" s="26" t="str">
        <f t="shared" si="71"/>
        <v/>
      </c>
      <c r="Q1532" s="80"/>
      <c r="R1532" s="80"/>
      <c r="S1532" s="80"/>
      <c r="T1532" s="82"/>
      <c r="U1532" s="80"/>
      <c r="V1532" s="80"/>
      <c r="W1532" s="80"/>
    </row>
    <row r="1533" ht="18" customHeight="1" spans="1:23">
      <c r="A1533" s="87" t="str">
        <f t="shared" si="69"/>
        <v/>
      </c>
      <c r="B1533" s="78"/>
      <c r="C1533" s="80"/>
      <c r="D1533" s="79"/>
      <c r="E1533" s="80"/>
      <c r="F1533" s="79"/>
      <c r="G1533" s="25" t="str">
        <f t="shared" si="70"/>
        <v/>
      </c>
      <c r="H1533" s="88"/>
      <c r="I1533" s="93"/>
      <c r="J1533" s="97"/>
      <c r="K1533" s="88"/>
      <c r="L1533" s="25" t="str">
        <f>IF($D1533="","",SUMIFS($H$4:$H1533,$D$4:$D1533,$D1533)+SUMIFS($I$4:$I1533,$D$4:$D1533,$D1533)-SUMIFS($J$4:$J1533,$D$4:$D1533,$D1533)-SUMIFS($K$4:$K1533,$D$4:$D1533,$D1533))</f>
        <v/>
      </c>
      <c r="M1533" s="80"/>
      <c r="N1533" s="80"/>
      <c r="O1533" s="94"/>
      <c r="P1533" s="26" t="str">
        <f t="shared" si="71"/>
        <v/>
      </c>
      <c r="Q1533" s="80"/>
      <c r="R1533" s="80"/>
      <c r="S1533" s="80"/>
      <c r="T1533" s="82"/>
      <c r="U1533" s="80"/>
      <c r="V1533" s="80"/>
      <c r="W1533" s="80"/>
    </row>
    <row r="1534" ht="18" customHeight="1" spans="1:23">
      <c r="A1534" s="87" t="str">
        <f t="shared" si="69"/>
        <v/>
      </c>
      <c r="B1534" s="78"/>
      <c r="C1534" s="80"/>
      <c r="D1534" s="79"/>
      <c r="E1534" s="80"/>
      <c r="F1534" s="79"/>
      <c r="G1534" s="25" t="str">
        <f t="shared" si="70"/>
        <v/>
      </c>
      <c r="H1534" s="88"/>
      <c r="I1534" s="93"/>
      <c r="J1534" s="97"/>
      <c r="K1534" s="88"/>
      <c r="L1534" s="25" t="str">
        <f>IF($D1534="","",SUMIFS($H$4:$H1534,$D$4:$D1534,$D1534)+SUMIFS($I$4:$I1534,$D$4:$D1534,$D1534)-SUMIFS($J$4:$J1534,$D$4:$D1534,$D1534)-SUMIFS($K$4:$K1534,$D$4:$D1534,$D1534))</f>
        <v/>
      </c>
      <c r="M1534" s="80"/>
      <c r="N1534" s="80"/>
      <c r="O1534" s="94"/>
      <c r="P1534" s="26" t="str">
        <f t="shared" si="71"/>
        <v/>
      </c>
      <c r="Q1534" s="80"/>
      <c r="R1534" s="80"/>
      <c r="S1534" s="80"/>
      <c r="T1534" s="82"/>
      <c r="U1534" s="80"/>
      <c r="V1534" s="80"/>
      <c r="W1534" s="80"/>
    </row>
    <row r="1535" ht="18" customHeight="1" spans="1:23">
      <c r="A1535" s="87" t="str">
        <f t="shared" si="69"/>
        <v/>
      </c>
      <c r="B1535" s="78"/>
      <c r="C1535" s="80"/>
      <c r="D1535" s="79"/>
      <c r="E1535" s="80"/>
      <c r="F1535" s="79"/>
      <c r="G1535" s="25" t="str">
        <f t="shared" si="70"/>
        <v/>
      </c>
      <c r="H1535" s="88"/>
      <c r="I1535" s="93"/>
      <c r="J1535" s="97"/>
      <c r="K1535" s="88"/>
      <c r="L1535" s="25" t="str">
        <f>IF($D1535="","",SUMIFS($H$4:$H1535,$D$4:$D1535,$D1535)+SUMIFS($I$4:$I1535,$D$4:$D1535,$D1535)-SUMIFS($J$4:$J1535,$D$4:$D1535,$D1535)-SUMIFS($K$4:$K1535,$D$4:$D1535,$D1535))</f>
        <v/>
      </c>
      <c r="M1535" s="80"/>
      <c r="N1535" s="80"/>
      <c r="O1535" s="94"/>
      <c r="P1535" s="26" t="str">
        <f t="shared" si="71"/>
        <v/>
      </c>
      <c r="Q1535" s="80"/>
      <c r="R1535" s="80"/>
      <c r="S1535" s="80"/>
      <c r="T1535" s="82"/>
      <c r="U1535" s="80"/>
      <c r="V1535" s="80"/>
      <c r="W1535" s="80"/>
    </row>
    <row r="1536" ht="18" customHeight="1" spans="1:23">
      <c r="A1536" s="87" t="str">
        <f t="shared" si="69"/>
        <v/>
      </c>
      <c r="B1536" s="78"/>
      <c r="C1536" s="80"/>
      <c r="D1536" s="79"/>
      <c r="E1536" s="80"/>
      <c r="F1536" s="79"/>
      <c r="G1536" s="25" t="str">
        <f t="shared" si="70"/>
        <v/>
      </c>
      <c r="H1536" s="88"/>
      <c r="I1536" s="93"/>
      <c r="J1536" s="97"/>
      <c r="K1536" s="88"/>
      <c r="L1536" s="25" t="str">
        <f>IF($D1536="","",SUMIFS($H$4:$H1536,$D$4:$D1536,$D1536)+SUMIFS($I$4:$I1536,$D$4:$D1536,$D1536)-SUMIFS($J$4:$J1536,$D$4:$D1536,$D1536)-SUMIFS($K$4:$K1536,$D$4:$D1536,$D1536))</f>
        <v/>
      </c>
      <c r="M1536" s="80"/>
      <c r="N1536" s="80"/>
      <c r="O1536" s="94"/>
      <c r="P1536" s="26" t="str">
        <f t="shared" si="71"/>
        <v/>
      </c>
      <c r="Q1536" s="80"/>
      <c r="R1536" s="80"/>
      <c r="S1536" s="80"/>
      <c r="T1536" s="82"/>
      <c r="U1536" s="80"/>
      <c r="V1536" s="80"/>
      <c r="W1536" s="80"/>
    </row>
    <row r="1537" ht="18" customHeight="1" spans="1:23">
      <c r="A1537" s="87" t="str">
        <f t="shared" si="69"/>
        <v/>
      </c>
      <c r="B1537" s="78"/>
      <c r="C1537" s="80"/>
      <c r="D1537" s="79"/>
      <c r="E1537" s="80"/>
      <c r="F1537" s="79"/>
      <c r="G1537" s="25" t="str">
        <f t="shared" si="70"/>
        <v/>
      </c>
      <c r="H1537" s="88"/>
      <c r="I1537" s="93"/>
      <c r="J1537" s="97"/>
      <c r="K1537" s="88"/>
      <c r="L1537" s="25" t="str">
        <f>IF($D1537="","",SUMIFS($H$4:$H1537,$D$4:$D1537,$D1537)+SUMIFS($I$4:$I1537,$D$4:$D1537,$D1537)-SUMIFS($J$4:$J1537,$D$4:$D1537,$D1537)-SUMIFS($K$4:$K1537,$D$4:$D1537,$D1537))</f>
        <v/>
      </c>
      <c r="M1537" s="80"/>
      <c r="N1537" s="80"/>
      <c r="O1537" s="94"/>
      <c r="P1537" s="26" t="str">
        <f t="shared" si="71"/>
        <v/>
      </c>
      <c r="Q1537" s="80"/>
      <c r="R1537" s="80"/>
      <c r="S1537" s="80"/>
      <c r="T1537" s="82"/>
      <c r="U1537" s="80"/>
      <c r="V1537" s="80"/>
      <c r="W1537" s="80"/>
    </row>
    <row r="1538" ht="18" customHeight="1" spans="1:23">
      <c r="A1538" s="87" t="str">
        <f t="shared" si="69"/>
        <v/>
      </c>
      <c r="B1538" s="78"/>
      <c r="C1538" s="80"/>
      <c r="D1538" s="79"/>
      <c r="E1538" s="80"/>
      <c r="F1538" s="79"/>
      <c r="G1538" s="25" t="str">
        <f t="shared" si="70"/>
        <v/>
      </c>
      <c r="H1538" s="88"/>
      <c r="I1538" s="93"/>
      <c r="J1538" s="97"/>
      <c r="K1538" s="88"/>
      <c r="L1538" s="25" t="str">
        <f>IF($D1538="","",SUMIFS($H$4:$H1538,$D$4:$D1538,$D1538)+SUMIFS($I$4:$I1538,$D$4:$D1538,$D1538)-SUMIFS($J$4:$J1538,$D$4:$D1538,$D1538)-SUMIFS($K$4:$K1538,$D$4:$D1538,$D1538))</f>
        <v/>
      </c>
      <c r="M1538" s="80"/>
      <c r="N1538" s="80"/>
      <c r="O1538" s="94"/>
      <c r="P1538" s="26" t="str">
        <f t="shared" si="71"/>
        <v/>
      </c>
      <c r="Q1538" s="80"/>
      <c r="R1538" s="80"/>
      <c r="S1538" s="80"/>
      <c r="T1538" s="82"/>
      <c r="U1538" s="80"/>
      <c r="V1538" s="80"/>
      <c r="W1538" s="80"/>
    </row>
    <row r="1539" ht="18" customHeight="1" spans="1:23">
      <c r="A1539" s="87" t="str">
        <f t="shared" si="69"/>
        <v/>
      </c>
      <c r="B1539" s="78"/>
      <c r="C1539" s="80"/>
      <c r="D1539" s="79"/>
      <c r="E1539" s="80"/>
      <c r="F1539" s="79"/>
      <c r="G1539" s="25" t="str">
        <f t="shared" si="70"/>
        <v/>
      </c>
      <c r="H1539" s="88"/>
      <c r="I1539" s="93"/>
      <c r="J1539" s="97"/>
      <c r="K1539" s="88"/>
      <c r="L1539" s="25" t="str">
        <f>IF($D1539="","",SUMIFS($H$4:$H1539,$D$4:$D1539,$D1539)+SUMIFS($I$4:$I1539,$D$4:$D1539,$D1539)-SUMIFS($J$4:$J1539,$D$4:$D1539,$D1539)-SUMIFS($K$4:$K1539,$D$4:$D1539,$D1539))</f>
        <v/>
      </c>
      <c r="M1539" s="80"/>
      <c r="N1539" s="80"/>
      <c r="O1539" s="94"/>
      <c r="P1539" s="26" t="str">
        <f t="shared" si="71"/>
        <v/>
      </c>
      <c r="Q1539" s="80"/>
      <c r="R1539" s="80"/>
      <c r="S1539" s="80"/>
      <c r="T1539" s="82"/>
      <c r="U1539" s="80"/>
      <c r="V1539" s="80"/>
      <c r="W1539" s="80"/>
    </row>
    <row r="1540" ht="18" customHeight="1" spans="1:23">
      <c r="A1540" s="87" t="str">
        <f t="shared" si="69"/>
        <v/>
      </c>
      <c r="B1540" s="78"/>
      <c r="C1540" s="80"/>
      <c r="D1540" s="79"/>
      <c r="E1540" s="80"/>
      <c r="F1540" s="79"/>
      <c r="G1540" s="25" t="str">
        <f t="shared" si="70"/>
        <v/>
      </c>
      <c r="H1540" s="88"/>
      <c r="I1540" s="93"/>
      <c r="J1540" s="97"/>
      <c r="K1540" s="88"/>
      <c r="L1540" s="25" t="str">
        <f>IF($D1540="","",SUMIFS($H$4:$H1540,$D$4:$D1540,$D1540)+SUMIFS($I$4:$I1540,$D$4:$D1540,$D1540)-SUMIFS($J$4:$J1540,$D$4:$D1540,$D1540)-SUMIFS($K$4:$K1540,$D$4:$D1540,$D1540))</f>
        <v/>
      </c>
      <c r="M1540" s="80"/>
      <c r="N1540" s="80"/>
      <c r="O1540" s="94"/>
      <c r="P1540" s="26" t="str">
        <f t="shared" si="71"/>
        <v/>
      </c>
      <c r="Q1540" s="80"/>
      <c r="R1540" s="80"/>
      <c r="S1540" s="80"/>
      <c r="T1540" s="82"/>
      <c r="U1540" s="80"/>
      <c r="V1540" s="80"/>
      <c r="W1540" s="80"/>
    </row>
    <row r="1541" ht="18" customHeight="1" spans="1:23">
      <c r="A1541" s="87" t="str">
        <f t="shared" ref="A1541:A1604" si="72">IF($D1541="","",ROW()-3)</f>
        <v/>
      </c>
      <c r="B1541" s="78"/>
      <c r="C1541" s="80"/>
      <c r="D1541" s="79"/>
      <c r="E1541" s="80"/>
      <c r="F1541" s="79"/>
      <c r="G1541" s="25" t="str">
        <f t="shared" ref="G1541:G1604" si="73">IF($D1541="","",N($L1541)-N($H1541)-N($I1541)+N($J1541)+N($K1541))</f>
        <v/>
      </c>
      <c r="H1541" s="88"/>
      <c r="I1541" s="93"/>
      <c r="J1541" s="97"/>
      <c r="K1541" s="88"/>
      <c r="L1541" s="25" t="str">
        <f>IF($D1541="","",SUMIFS($H$4:$H1541,$D$4:$D1541,$D1541)+SUMIFS($I$4:$I1541,$D$4:$D1541,$D1541)-SUMIFS($J$4:$J1541,$D$4:$D1541,$D1541)-SUMIFS($K$4:$K1541,$D$4:$D1541,$D1541))</f>
        <v/>
      </c>
      <c r="M1541" s="80"/>
      <c r="N1541" s="80"/>
      <c r="O1541" s="94"/>
      <c r="P1541" s="26" t="str">
        <f t="shared" ref="P1541:P1604" si="74">IF($D1541="","",ROUND((N($H1541)+N($K1541))*N($O1541),2))</f>
        <v/>
      </c>
      <c r="Q1541" s="80"/>
      <c r="R1541" s="80"/>
      <c r="S1541" s="80"/>
      <c r="T1541" s="82"/>
      <c r="U1541" s="80"/>
      <c r="V1541" s="80"/>
      <c r="W1541" s="80"/>
    </row>
    <row r="1542" ht="18" customHeight="1" spans="1:23">
      <c r="A1542" s="87" t="str">
        <f t="shared" si="72"/>
        <v/>
      </c>
      <c r="B1542" s="78"/>
      <c r="C1542" s="80"/>
      <c r="D1542" s="79"/>
      <c r="E1542" s="80"/>
      <c r="F1542" s="79"/>
      <c r="G1542" s="25" t="str">
        <f t="shared" si="73"/>
        <v/>
      </c>
      <c r="H1542" s="88"/>
      <c r="I1542" s="93"/>
      <c r="J1542" s="97"/>
      <c r="K1542" s="88"/>
      <c r="L1542" s="25" t="str">
        <f>IF($D1542="","",SUMIFS($H$4:$H1542,$D$4:$D1542,$D1542)+SUMIFS($I$4:$I1542,$D$4:$D1542,$D1542)-SUMIFS($J$4:$J1542,$D$4:$D1542,$D1542)-SUMIFS($K$4:$K1542,$D$4:$D1542,$D1542))</f>
        <v/>
      </c>
      <c r="M1542" s="80"/>
      <c r="N1542" s="80"/>
      <c r="O1542" s="94"/>
      <c r="P1542" s="26" t="str">
        <f t="shared" si="74"/>
        <v/>
      </c>
      <c r="Q1542" s="80"/>
      <c r="R1542" s="80"/>
      <c r="S1542" s="80"/>
      <c r="T1542" s="82"/>
      <c r="U1542" s="80"/>
      <c r="V1542" s="80"/>
      <c r="W1542" s="80"/>
    </row>
    <row r="1543" ht="18" customHeight="1" spans="1:23">
      <c r="A1543" s="87" t="str">
        <f t="shared" si="72"/>
        <v/>
      </c>
      <c r="B1543" s="78"/>
      <c r="C1543" s="80"/>
      <c r="D1543" s="79"/>
      <c r="E1543" s="80"/>
      <c r="F1543" s="79"/>
      <c r="G1543" s="25" t="str">
        <f t="shared" si="73"/>
        <v/>
      </c>
      <c r="H1543" s="88"/>
      <c r="I1543" s="93"/>
      <c r="J1543" s="97"/>
      <c r="K1543" s="88"/>
      <c r="L1543" s="25" t="str">
        <f>IF($D1543="","",SUMIFS($H$4:$H1543,$D$4:$D1543,$D1543)+SUMIFS($I$4:$I1543,$D$4:$D1543,$D1543)-SUMIFS($J$4:$J1543,$D$4:$D1543,$D1543)-SUMIFS($K$4:$K1543,$D$4:$D1543,$D1543))</f>
        <v/>
      </c>
      <c r="M1543" s="80"/>
      <c r="N1543" s="80"/>
      <c r="O1543" s="94"/>
      <c r="P1543" s="26" t="str">
        <f t="shared" si="74"/>
        <v/>
      </c>
      <c r="Q1543" s="80"/>
      <c r="R1543" s="80"/>
      <c r="S1543" s="80"/>
      <c r="T1543" s="82"/>
      <c r="U1543" s="80"/>
      <c r="V1543" s="80"/>
      <c r="W1543" s="80"/>
    </row>
    <row r="1544" ht="18" customHeight="1" spans="1:23">
      <c r="A1544" s="87" t="str">
        <f t="shared" si="72"/>
        <v/>
      </c>
      <c r="B1544" s="78"/>
      <c r="C1544" s="80"/>
      <c r="D1544" s="79"/>
      <c r="E1544" s="80"/>
      <c r="F1544" s="79"/>
      <c r="G1544" s="25" t="str">
        <f t="shared" si="73"/>
        <v/>
      </c>
      <c r="H1544" s="88"/>
      <c r="I1544" s="93"/>
      <c r="J1544" s="97"/>
      <c r="K1544" s="88"/>
      <c r="L1544" s="25" t="str">
        <f>IF($D1544="","",SUMIFS($H$4:$H1544,$D$4:$D1544,$D1544)+SUMIFS($I$4:$I1544,$D$4:$D1544,$D1544)-SUMIFS($J$4:$J1544,$D$4:$D1544,$D1544)-SUMIFS($K$4:$K1544,$D$4:$D1544,$D1544))</f>
        <v/>
      </c>
      <c r="M1544" s="80"/>
      <c r="N1544" s="80"/>
      <c r="O1544" s="94"/>
      <c r="P1544" s="26" t="str">
        <f t="shared" si="74"/>
        <v/>
      </c>
      <c r="Q1544" s="80"/>
      <c r="R1544" s="80"/>
      <c r="S1544" s="80"/>
      <c r="T1544" s="82"/>
      <c r="U1544" s="80"/>
      <c r="V1544" s="80"/>
      <c r="W1544" s="80"/>
    </row>
    <row r="1545" ht="18" customHeight="1" spans="1:23">
      <c r="A1545" s="87" t="str">
        <f t="shared" si="72"/>
        <v/>
      </c>
      <c r="B1545" s="78"/>
      <c r="C1545" s="80"/>
      <c r="D1545" s="79"/>
      <c r="E1545" s="80"/>
      <c r="F1545" s="79"/>
      <c r="G1545" s="25" t="str">
        <f t="shared" si="73"/>
        <v/>
      </c>
      <c r="H1545" s="88"/>
      <c r="I1545" s="93"/>
      <c r="J1545" s="97"/>
      <c r="K1545" s="88"/>
      <c r="L1545" s="25" t="str">
        <f>IF($D1545="","",SUMIFS($H$4:$H1545,$D$4:$D1545,$D1545)+SUMIFS($I$4:$I1545,$D$4:$D1545,$D1545)-SUMIFS($J$4:$J1545,$D$4:$D1545,$D1545)-SUMIFS($K$4:$K1545,$D$4:$D1545,$D1545))</f>
        <v/>
      </c>
      <c r="M1545" s="80"/>
      <c r="N1545" s="80"/>
      <c r="O1545" s="94"/>
      <c r="P1545" s="26" t="str">
        <f t="shared" si="74"/>
        <v/>
      </c>
      <c r="Q1545" s="80"/>
      <c r="R1545" s="80"/>
      <c r="S1545" s="80"/>
      <c r="T1545" s="82"/>
      <c r="U1545" s="80"/>
      <c r="V1545" s="80"/>
      <c r="W1545" s="80"/>
    </row>
    <row r="1546" ht="18" customHeight="1" spans="1:23">
      <c r="A1546" s="87" t="str">
        <f t="shared" si="72"/>
        <v/>
      </c>
      <c r="B1546" s="78"/>
      <c r="C1546" s="80"/>
      <c r="D1546" s="79"/>
      <c r="E1546" s="80"/>
      <c r="F1546" s="79"/>
      <c r="G1546" s="25" t="str">
        <f t="shared" si="73"/>
        <v/>
      </c>
      <c r="H1546" s="88"/>
      <c r="I1546" s="93"/>
      <c r="J1546" s="97"/>
      <c r="K1546" s="88"/>
      <c r="L1546" s="25" t="str">
        <f>IF($D1546="","",SUMIFS($H$4:$H1546,$D$4:$D1546,$D1546)+SUMIFS($I$4:$I1546,$D$4:$D1546,$D1546)-SUMIFS($J$4:$J1546,$D$4:$D1546,$D1546)-SUMIFS($K$4:$K1546,$D$4:$D1546,$D1546))</f>
        <v/>
      </c>
      <c r="M1546" s="80"/>
      <c r="N1546" s="80"/>
      <c r="O1546" s="94"/>
      <c r="P1546" s="26" t="str">
        <f t="shared" si="74"/>
        <v/>
      </c>
      <c r="Q1546" s="80"/>
      <c r="R1546" s="80"/>
      <c r="S1546" s="80"/>
      <c r="T1546" s="82"/>
      <c r="U1546" s="80"/>
      <c r="V1546" s="80"/>
      <c r="W1546" s="80"/>
    </row>
    <row r="1547" ht="18" customHeight="1" spans="1:23">
      <c r="A1547" s="87" t="str">
        <f t="shared" si="72"/>
        <v/>
      </c>
      <c r="B1547" s="78"/>
      <c r="C1547" s="80"/>
      <c r="D1547" s="79"/>
      <c r="E1547" s="80"/>
      <c r="F1547" s="79"/>
      <c r="G1547" s="25" t="str">
        <f t="shared" si="73"/>
        <v/>
      </c>
      <c r="H1547" s="88"/>
      <c r="I1547" s="93"/>
      <c r="J1547" s="97"/>
      <c r="K1547" s="88"/>
      <c r="L1547" s="25" t="str">
        <f>IF($D1547="","",SUMIFS($H$4:$H1547,$D$4:$D1547,$D1547)+SUMIFS($I$4:$I1547,$D$4:$D1547,$D1547)-SUMIFS($J$4:$J1547,$D$4:$D1547,$D1547)-SUMIFS($K$4:$K1547,$D$4:$D1547,$D1547))</f>
        <v/>
      </c>
      <c r="M1547" s="80"/>
      <c r="N1547" s="80"/>
      <c r="O1547" s="94"/>
      <c r="P1547" s="26" t="str">
        <f t="shared" si="74"/>
        <v/>
      </c>
      <c r="Q1547" s="80"/>
      <c r="R1547" s="80"/>
      <c r="S1547" s="80"/>
      <c r="T1547" s="82"/>
      <c r="U1547" s="80"/>
      <c r="V1547" s="80"/>
      <c r="W1547" s="80"/>
    </row>
    <row r="1548" ht="18" customHeight="1" spans="1:23">
      <c r="A1548" s="87" t="str">
        <f t="shared" si="72"/>
        <v/>
      </c>
      <c r="B1548" s="78"/>
      <c r="C1548" s="80"/>
      <c r="D1548" s="79"/>
      <c r="E1548" s="80"/>
      <c r="F1548" s="79"/>
      <c r="G1548" s="25" t="str">
        <f t="shared" si="73"/>
        <v/>
      </c>
      <c r="H1548" s="88"/>
      <c r="I1548" s="93"/>
      <c r="J1548" s="97"/>
      <c r="K1548" s="88"/>
      <c r="L1548" s="25" t="str">
        <f>IF($D1548="","",SUMIFS($H$4:$H1548,$D$4:$D1548,$D1548)+SUMIFS($I$4:$I1548,$D$4:$D1548,$D1548)-SUMIFS($J$4:$J1548,$D$4:$D1548,$D1548)-SUMIFS($K$4:$K1548,$D$4:$D1548,$D1548))</f>
        <v/>
      </c>
      <c r="M1548" s="80"/>
      <c r="N1548" s="80"/>
      <c r="O1548" s="94"/>
      <c r="P1548" s="26" t="str">
        <f t="shared" si="74"/>
        <v/>
      </c>
      <c r="Q1548" s="80"/>
      <c r="R1548" s="80"/>
      <c r="S1548" s="80"/>
      <c r="T1548" s="82"/>
      <c r="U1548" s="80"/>
      <c r="V1548" s="80"/>
      <c r="W1548" s="80"/>
    </row>
    <row r="1549" ht="18" customHeight="1" spans="1:23">
      <c r="A1549" s="87" t="str">
        <f t="shared" si="72"/>
        <v/>
      </c>
      <c r="B1549" s="78"/>
      <c r="C1549" s="80"/>
      <c r="D1549" s="79"/>
      <c r="E1549" s="80"/>
      <c r="F1549" s="79"/>
      <c r="G1549" s="25" t="str">
        <f t="shared" si="73"/>
        <v/>
      </c>
      <c r="H1549" s="88"/>
      <c r="I1549" s="93"/>
      <c r="J1549" s="97"/>
      <c r="K1549" s="88"/>
      <c r="L1549" s="25" t="str">
        <f>IF($D1549="","",SUMIFS($H$4:$H1549,$D$4:$D1549,$D1549)+SUMIFS($I$4:$I1549,$D$4:$D1549,$D1549)-SUMIFS($J$4:$J1549,$D$4:$D1549,$D1549)-SUMIFS($K$4:$K1549,$D$4:$D1549,$D1549))</f>
        <v/>
      </c>
      <c r="M1549" s="80"/>
      <c r="N1549" s="80"/>
      <c r="O1549" s="94"/>
      <c r="P1549" s="26" t="str">
        <f t="shared" si="74"/>
        <v/>
      </c>
      <c r="Q1549" s="80"/>
      <c r="R1549" s="80"/>
      <c r="S1549" s="80"/>
      <c r="T1549" s="82"/>
      <c r="U1549" s="80"/>
      <c r="V1549" s="80"/>
      <c r="W1549" s="80"/>
    </row>
    <row r="1550" ht="18" customHeight="1" spans="1:23">
      <c r="A1550" s="87" t="str">
        <f t="shared" si="72"/>
        <v/>
      </c>
      <c r="B1550" s="78"/>
      <c r="C1550" s="80"/>
      <c r="D1550" s="79"/>
      <c r="E1550" s="80"/>
      <c r="F1550" s="79"/>
      <c r="G1550" s="25" t="str">
        <f t="shared" si="73"/>
        <v/>
      </c>
      <c r="H1550" s="88"/>
      <c r="I1550" s="93"/>
      <c r="J1550" s="97"/>
      <c r="K1550" s="88"/>
      <c r="L1550" s="25" t="str">
        <f>IF($D1550="","",SUMIFS($H$4:$H1550,$D$4:$D1550,$D1550)+SUMIFS($I$4:$I1550,$D$4:$D1550,$D1550)-SUMIFS($J$4:$J1550,$D$4:$D1550,$D1550)-SUMIFS($K$4:$K1550,$D$4:$D1550,$D1550))</f>
        <v/>
      </c>
      <c r="M1550" s="80"/>
      <c r="N1550" s="80"/>
      <c r="O1550" s="94"/>
      <c r="P1550" s="26" t="str">
        <f t="shared" si="74"/>
        <v/>
      </c>
      <c r="Q1550" s="80"/>
      <c r="R1550" s="80"/>
      <c r="S1550" s="80"/>
      <c r="T1550" s="82"/>
      <c r="U1550" s="80"/>
      <c r="V1550" s="80"/>
      <c r="W1550" s="80"/>
    </row>
    <row r="1551" ht="18" customHeight="1" spans="1:23">
      <c r="A1551" s="87" t="str">
        <f t="shared" si="72"/>
        <v/>
      </c>
      <c r="B1551" s="78"/>
      <c r="C1551" s="80"/>
      <c r="D1551" s="79"/>
      <c r="E1551" s="80"/>
      <c r="F1551" s="79"/>
      <c r="G1551" s="25" t="str">
        <f t="shared" si="73"/>
        <v/>
      </c>
      <c r="H1551" s="88"/>
      <c r="I1551" s="93"/>
      <c r="J1551" s="97"/>
      <c r="K1551" s="88"/>
      <c r="L1551" s="25" t="str">
        <f>IF($D1551="","",SUMIFS($H$4:$H1551,$D$4:$D1551,$D1551)+SUMIFS($I$4:$I1551,$D$4:$D1551,$D1551)-SUMIFS($J$4:$J1551,$D$4:$D1551,$D1551)-SUMIFS($K$4:$K1551,$D$4:$D1551,$D1551))</f>
        <v/>
      </c>
      <c r="M1551" s="80"/>
      <c r="N1551" s="80"/>
      <c r="O1551" s="94"/>
      <c r="P1551" s="26" t="str">
        <f t="shared" si="74"/>
        <v/>
      </c>
      <c r="Q1551" s="80"/>
      <c r="R1551" s="80"/>
      <c r="S1551" s="80"/>
      <c r="T1551" s="82"/>
      <c r="U1551" s="80"/>
      <c r="V1551" s="80"/>
      <c r="W1551" s="80"/>
    </row>
    <row r="1552" ht="18" customHeight="1" spans="1:23">
      <c r="A1552" s="87" t="str">
        <f t="shared" si="72"/>
        <v/>
      </c>
      <c r="B1552" s="78"/>
      <c r="C1552" s="80"/>
      <c r="D1552" s="79"/>
      <c r="E1552" s="80"/>
      <c r="F1552" s="79"/>
      <c r="G1552" s="25" t="str">
        <f t="shared" si="73"/>
        <v/>
      </c>
      <c r="H1552" s="88"/>
      <c r="I1552" s="93"/>
      <c r="J1552" s="97"/>
      <c r="K1552" s="88"/>
      <c r="L1552" s="25" t="str">
        <f>IF($D1552="","",SUMIFS($H$4:$H1552,$D$4:$D1552,$D1552)+SUMIFS($I$4:$I1552,$D$4:$D1552,$D1552)-SUMIFS($J$4:$J1552,$D$4:$D1552,$D1552)-SUMIFS($K$4:$K1552,$D$4:$D1552,$D1552))</f>
        <v/>
      </c>
      <c r="M1552" s="80"/>
      <c r="N1552" s="80"/>
      <c r="O1552" s="94"/>
      <c r="P1552" s="26" t="str">
        <f t="shared" si="74"/>
        <v/>
      </c>
      <c r="Q1552" s="80"/>
      <c r="R1552" s="80"/>
      <c r="S1552" s="80"/>
      <c r="T1552" s="82"/>
      <c r="U1552" s="80"/>
      <c r="V1552" s="80"/>
      <c r="W1552" s="80"/>
    </row>
    <row r="1553" ht="18" customHeight="1" spans="1:23">
      <c r="A1553" s="87" t="str">
        <f t="shared" si="72"/>
        <v/>
      </c>
      <c r="B1553" s="78"/>
      <c r="C1553" s="80"/>
      <c r="D1553" s="79"/>
      <c r="E1553" s="80"/>
      <c r="F1553" s="79"/>
      <c r="G1553" s="25" t="str">
        <f t="shared" si="73"/>
        <v/>
      </c>
      <c r="H1553" s="88"/>
      <c r="I1553" s="93"/>
      <c r="J1553" s="97"/>
      <c r="K1553" s="88"/>
      <c r="L1553" s="25" t="str">
        <f>IF($D1553="","",SUMIFS($H$4:$H1553,$D$4:$D1553,$D1553)+SUMIFS($I$4:$I1553,$D$4:$D1553,$D1553)-SUMIFS($J$4:$J1553,$D$4:$D1553,$D1553)-SUMIFS($K$4:$K1553,$D$4:$D1553,$D1553))</f>
        <v/>
      </c>
      <c r="M1553" s="80"/>
      <c r="N1553" s="80"/>
      <c r="O1553" s="94"/>
      <c r="P1553" s="26" t="str">
        <f t="shared" si="74"/>
        <v/>
      </c>
      <c r="Q1553" s="80"/>
      <c r="R1553" s="80"/>
      <c r="S1553" s="80"/>
      <c r="T1553" s="82"/>
      <c r="U1553" s="80"/>
      <c r="V1553" s="80"/>
      <c r="W1553" s="80"/>
    </row>
    <row r="1554" ht="18" customHeight="1" spans="1:23">
      <c r="A1554" s="87" t="str">
        <f t="shared" si="72"/>
        <v/>
      </c>
      <c r="B1554" s="78"/>
      <c r="C1554" s="80"/>
      <c r="D1554" s="79"/>
      <c r="E1554" s="80"/>
      <c r="F1554" s="79"/>
      <c r="G1554" s="25" t="str">
        <f t="shared" si="73"/>
        <v/>
      </c>
      <c r="H1554" s="88"/>
      <c r="I1554" s="93"/>
      <c r="J1554" s="97"/>
      <c r="K1554" s="88"/>
      <c r="L1554" s="25" t="str">
        <f>IF($D1554="","",SUMIFS($H$4:$H1554,$D$4:$D1554,$D1554)+SUMIFS($I$4:$I1554,$D$4:$D1554,$D1554)-SUMIFS($J$4:$J1554,$D$4:$D1554,$D1554)-SUMIFS($K$4:$K1554,$D$4:$D1554,$D1554))</f>
        <v/>
      </c>
      <c r="M1554" s="80"/>
      <c r="N1554" s="80"/>
      <c r="O1554" s="94"/>
      <c r="P1554" s="26" t="str">
        <f t="shared" si="74"/>
        <v/>
      </c>
      <c r="Q1554" s="80"/>
      <c r="R1554" s="80"/>
      <c r="S1554" s="80"/>
      <c r="T1554" s="82"/>
      <c r="U1554" s="80"/>
      <c r="V1554" s="80"/>
      <c r="W1554" s="80"/>
    </row>
    <row r="1555" ht="18" customHeight="1" spans="1:23">
      <c r="A1555" s="87" t="str">
        <f t="shared" si="72"/>
        <v/>
      </c>
      <c r="B1555" s="78"/>
      <c r="C1555" s="80"/>
      <c r="D1555" s="79"/>
      <c r="E1555" s="80"/>
      <c r="F1555" s="79"/>
      <c r="G1555" s="25" t="str">
        <f t="shared" si="73"/>
        <v/>
      </c>
      <c r="H1555" s="88"/>
      <c r="I1555" s="93"/>
      <c r="J1555" s="97"/>
      <c r="K1555" s="88"/>
      <c r="L1555" s="25" t="str">
        <f>IF($D1555="","",SUMIFS($H$4:$H1555,$D$4:$D1555,$D1555)+SUMIFS($I$4:$I1555,$D$4:$D1555,$D1555)-SUMIFS($J$4:$J1555,$D$4:$D1555,$D1555)-SUMIFS($K$4:$K1555,$D$4:$D1555,$D1555))</f>
        <v/>
      </c>
      <c r="M1555" s="80"/>
      <c r="N1555" s="80"/>
      <c r="O1555" s="94"/>
      <c r="P1555" s="26" t="str">
        <f t="shared" si="74"/>
        <v/>
      </c>
      <c r="Q1555" s="80"/>
      <c r="R1555" s="80"/>
      <c r="S1555" s="80"/>
      <c r="T1555" s="82"/>
      <c r="U1555" s="80"/>
      <c r="V1555" s="80"/>
      <c r="W1555" s="80"/>
    </row>
    <row r="1556" ht="18" customHeight="1" spans="1:23">
      <c r="A1556" s="87" t="str">
        <f t="shared" si="72"/>
        <v/>
      </c>
      <c r="B1556" s="78"/>
      <c r="C1556" s="80"/>
      <c r="D1556" s="79"/>
      <c r="E1556" s="80"/>
      <c r="F1556" s="79"/>
      <c r="G1556" s="25" t="str">
        <f t="shared" si="73"/>
        <v/>
      </c>
      <c r="H1556" s="88"/>
      <c r="I1556" s="93"/>
      <c r="J1556" s="97"/>
      <c r="K1556" s="88"/>
      <c r="L1556" s="25" t="str">
        <f>IF($D1556="","",SUMIFS($H$4:$H1556,$D$4:$D1556,$D1556)+SUMIFS($I$4:$I1556,$D$4:$D1556,$D1556)-SUMIFS($J$4:$J1556,$D$4:$D1556,$D1556)-SUMIFS($K$4:$K1556,$D$4:$D1556,$D1556))</f>
        <v/>
      </c>
      <c r="M1556" s="80"/>
      <c r="N1556" s="80"/>
      <c r="O1556" s="94"/>
      <c r="P1556" s="26" t="str">
        <f t="shared" si="74"/>
        <v/>
      </c>
      <c r="Q1556" s="80"/>
      <c r="R1556" s="80"/>
      <c r="S1556" s="80"/>
      <c r="T1556" s="82"/>
      <c r="U1556" s="80"/>
      <c r="V1556" s="80"/>
      <c r="W1556" s="80"/>
    </row>
    <row r="1557" ht="18" customHeight="1" spans="1:23">
      <c r="A1557" s="87" t="str">
        <f t="shared" si="72"/>
        <v/>
      </c>
      <c r="B1557" s="78"/>
      <c r="C1557" s="80"/>
      <c r="D1557" s="79"/>
      <c r="E1557" s="80"/>
      <c r="F1557" s="79"/>
      <c r="G1557" s="25" t="str">
        <f t="shared" si="73"/>
        <v/>
      </c>
      <c r="H1557" s="88"/>
      <c r="I1557" s="93"/>
      <c r="J1557" s="97"/>
      <c r="K1557" s="88"/>
      <c r="L1557" s="25" t="str">
        <f>IF($D1557="","",SUMIFS($H$4:$H1557,$D$4:$D1557,$D1557)+SUMIFS($I$4:$I1557,$D$4:$D1557,$D1557)-SUMIFS($J$4:$J1557,$D$4:$D1557,$D1557)-SUMIFS($K$4:$K1557,$D$4:$D1557,$D1557))</f>
        <v/>
      </c>
      <c r="M1557" s="80"/>
      <c r="N1557" s="80"/>
      <c r="O1557" s="94"/>
      <c r="P1557" s="26" t="str">
        <f t="shared" si="74"/>
        <v/>
      </c>
      <c r="Q1557" s="80"/>
      <c r="R1557" s="80"/>
      <c r="S1557" s="80"/>
      <c r="T1557" s="82"/>
      <c r="U1557" s="80"/>
      <c r="V1557" s="80"/>
      <c r="W1557" s="80"/>
    </row>
    <row r="1558" ht="18" customHeight="1" spans="1:23">
      <c r="A1558" s="87" t="str">
        <f t="shared" si="72"/>
        <v/>
      </c>
      <c r="B1558" s="78"/>
      <c r="C1558" s="80"/>
      <c r="D1558" s="79"/>
      <c r="E1558" s="80"/>
      <c r="F1558" s="79"/>
      <c r="G1558" s="25" t="str">
        <f t="shared" si="73"/>
        <v/>
      </c>
      <c r="H1558" s="88"/>
      <c r="I1558" s="93"/>
      <c r="J1558" s="97"/>
      <c r="K1558" s="88"/>
      <c r="L1558" s="25" t="str">
        <f>IF($D1558="","",SUMIFS($H$4:$H1558,$D$4:$D1558,$D1558)+SUMIFS($I$4:$I1558,$D$4:$D1558,$D1558)-SUMIFS($J$4:$J1558,$D$4:$D1558,$D1558)-SUMIFS($K$4:$K1558,$D$4:$D1558,$D1558))</f>
        <v/>
      </c>
      <c r="M1558" s="80"/>
      <c r="N1558" s="80"/>
      <c r="O1558" s="94"/>
      <c r="P1558" s="26" t="str">
        <f t="shared" si="74"/>
        <v/>
      </c>
      <c r="Q1558" s="80"/>
      <c r="R1558" s="80"/>
      <c r="S1558" s="80"/>
      <c r="T1558" s="82"/>
      <c r="U1558" s="80"/>
      <c r="V1558" s="80"/>
      <c r="W1558" s="80"/>
    </row>
    <row r="1559" ht="18" customHeight="1" spans="1:23">
      <c r="A1559" s="87" t="str">
        <f t="shared" si="72"/>
        <v/>
      </c>
      <c r="B1559" s="78"/>
      <c r="C1559" s="80"/>
      <c r="D1559" s="79"/>
      <c r="E1559" s="80"/>
      <c r="F1559" s="79"/>
      <c r="G1559" s="25" t="str">
        <f t="shared" si="73"/>
        <v/>
      </c>
      <c r="H1559" s="88"/>
      <c r="I1559" s="93"/>
      <c r="J1559" s="97"/>
      <c r="K1559" s="88"/>
      <c r="L1559" s="25" t="str">
        <f>IF($D1559="","",SUMIFS($H$4:$H1559,$D$4:$D1559,$D1559)+SUMIFS($I$4:$I1559,$D$4:$D1559,$D1559)-SUMIFS($J$4:$J1559,$D$4:$D1559,$D1559)-SUMIFS($K$4:$K1559,$D$4:$D1559,$D1559))</f>
        <v/>
      </c>
      <c r="M1559" s="80"/>
      <c r="N1559" s="80"/>
      <c r="O1559" s="94"/>
      <c r="P1559" s="26" t="str">
        <f t="shared" si="74"/>
        <v/>
      </c>
      <c r="Q1559" s="80"/>
      <c r="R1559" s="80"/>
      <c r="S1559" s="80"/>
      <c r="T1559" s="82"/>
      <c r="U1559" s="80"/>
      <c r="V1559" s="80"/>
      <c r="W1559" s="80"/>
    </row>
    <row r="1560" ht="18" customHeight="1" spans="1:23">
      <c r="A1560" s="87" t="str">
        <f t="shared" si="72"/>
        <v/>
      </c>
      <c r="B1560" s="78"/>
      <c r="C1560" s="80"/>
      <c r="D1560" s="79"/>
      <c r="E1560" s="80"/>
      <c r="F1560" s="79"/>
      <c r="G1560" s="25" t="str">
        <f t="shared" si="73"/>
        <v/>
      </c>
      <c r="H1560" s="88"/>
      <c r="I1560" s="93"/>
      <c r="J1560" s="97"/>
      <c r="K1560" s="88"/>
      <c r="L1560" s="25" t="str">
        <f>IF($D1560="","",SUMIFS($H$4:$H1560,$D$4:$D1560,$D1560)+SUMIFS($I$4:$I1560,$D$4:$D1560,$D1560)-SUMIFS($J$4:$J1560,$D$4:$D1560,$D1560)-SUMIFS($K$4:$K1560,$D$4:$D1560,$D1560))</f>
        <v/>
      </c>
      <c r="M1560" s="80"/>
      <c r="N1560" s="80"/>
      <c r="O1560" s="94"/>
      <c r="P1560" s="26" t="str">
        <f t="shared" si="74"/>
        <v/>
      </c>
      <c r="Q1560" s="80"/>
      <c r="R1560" s="80"/>
      <c r="S1560" s="80"/>
      <c r="T1560" s="82"/>
      <c r="U1560" s="80"/>
      <c r="V1560" s="80"/>
      <c r="W1560" s="80"/>
    </row>
    <row r="1561" ht="18" customHeight="1" spans="1:23">
      <c r="A1561" s="87" t="str">
        <f t="shared" si="72"/>
        <v/>
      </c>
      <c r="B1561" s="78"/>
      <c r="C1561" s="80"/>
      <c r="D1561" s="79"/>
      <c r="E1561" s="80"/>
      <c r="F1561" s="79"/>
      <c r="G1561" s="25" t="str">
        <f t="shared" si="73"/>
        <v/>
      </c>
      <c r="H1561" s="88"/>
      <c r="I1561" s="93"/>
      <c r="J1561" s="97"/>
      <c r="K1561" s="88"/>
      <c r="L1561" s="25" t="str">
        <f>IF($D1561="","",SUMIFS($H$4:$H1561,$D$4:$D1561,$D1561)+SUMIFS($I$4:$I1561,$D$4:$D1561,$D1561)-SUMIFS($J$4:$J1561,$D$4:$D1561,$D1561)-SUMIFS($K$4:$K1561,$D$4:$D1561,$D1561))</f>
        <v/>
      </c>
      <c r="M1561" s="80"/>
      <c r="N1561" s="80"/>
      <c r="O1561" s="94"/>
      <c r="P1561" s="26" t="str">
        <f t="shared" si="74"/>
        <v/>
      </c>
      <c r="Q1561" s="80"/>
      <c r="R1561" s="80"/>
      <c r="S1561" s="80"/>
      <c r="T1561" s="82"/>
      <c r="U1561" s="80"/>
      <c r="V1561" s="80"/>
      <c r="W1561" s="80"/>
    </row>
    <row r="1562" ht="18" customHeight="1" spans="1:23">
      <c r="A1562" s="87" t="str">
        <f t="shared" si="72"/>
        <v/>
      </c>
      <c r="B1562" s="78"/>
      <c r="C1562" s="80"/>
      <c r="D1562" s="79"/>
      <c r="E1562" s="80"/>
      <c r="F1562" s="79"/>
      <c r="G1562" s="25" t="str">
        <f t="shared" si="73"/>
        <v/>
      </c>
      <c r="H1562" s="88"/>
      <c r="I1562" s="93"/>
      <c r="J1562" s="97"/>
      <c r="K1562" s="88"/>
      <c r="L1562" s="25" t="str">
        <f>IF($D1562="","",SUMIFS($H$4:$H1562,$D$4:$D1562,$D1562)+SUMIFS($I$4:$I1562,$D$4:$D1562,$D1562)-SUMIFS($J$4:$J1562,$D$4:$D1562,$D1562)-SUMIFS($K$4:$K1562,$D$4:$D1562,$D1562))</f>
        <v/>
      </c>
      <c r="M1562" s="80"/>
      <c r="N1562" s="80"/>
      <c r="O1562" s="94"/>
      <c r="P1562" s="26" t="str">
        <f t="shared" si="74"/>
        <v/>
      </c>
      <c r="Q1562" s="80"/>
      <c r="R1562" s="80"/>
      <c r="S1562" s="80"/>
      <c r="T1562" s="82"/>
      <c r="U1562" s="80"/>
      <c r="V1562" s="80"/>
      <c r="W1562" s="80"/>
    </row>
    <row r="1563" ht="18" customHeight="1" spans="1:23">
      <c r="A1563" s="87" t="str">
        <f t="shared" si="72"/>
        <v/>
      </c>
      <c r="B1563" s="78"/>
      <c r="C1563" s="80"/>
      <c r="D1563" s="79"/>
      <c r="E1563" s="80"/>
      <c r="F1563" s="79"/>
      <c r="G1563" s="25" t="str">
        <f t="shared" si="73"/>
        <v/>
      </c>
      <c r="H1563" s="88"/>
      <c r="I1563" s="93"/>
      <c r="J1563" s="97"/>
      <c r="K1563" s="88"/>
      <c r="L1563" s="25" t="str">
        <f>IF($D1563="","",SUMIFS($H$4:$H1563,$D$4:$D1563,$D1563)+SUMIFS($I$4:$I1563,$D$4:$D1563,$D1563)-SUMIFS($J$4:$J1563,$D$4:$D1563,$D1563)-SUMIFS($K$4:$K1563,$D$4:$D1563,$D1563))</f>
        <v/>
      </c>
      <c r="M1563" s="80"/>
      <c r="N1563" s="80"/>
      <c r="O1563" s="94"/>
      <c r="P1563" s="26" t="str">
        <f t="shared" si="74"/>
        <v/>
      </c>
      <c r="Q1563" s="80"/>
      <c r="R1563" s="80"/>
      <c r="S1563" s="80"/>
      <c r="T1563" s="82"/>
      <c r="U1563" s="80"/>
      <c r="V1563" s="80"/>
      <c r="W1563" s="80"/>
    </row>
    <row r="1564" ht="18" customHeight="1" spans="1:23">
      <c r="A1564" s="87" t="str">
        <f t="shared" si="72"/>
        <v/>
      </c>
      <c r="B1564" s="78"/>
      <c r="C1564" s="80"/>
      <c r="D1564" s="79"/>
      <c r="E1564" s="80"/>
      <c r="F1564" s="79"/>
      <c r="G1564" s="25" t="str">
        <f t="shared" si="73"/>
        <v/>
      </c>
      <c r="H1564" s="88"/>
      <c r="I1564" s="93"/>
      <c r="J1564" s="97"/>
      <c r="K1564" s="88"/>
      <c r="L1564" s="25" t="str">
        <f>IF($D1564="","",SUMIFS($H$4:$H1564,$D$4:$D1564,$D1564)+SUMIFS($I$4:$I1564,$D$4:$D1564,$D1564)-SUMIFS($J$4:$J1564,$D$4:$D1564,$D1564)-SUMIFS($K$4:$K1564,$D$4:$D1564,$D1564))</f>
        <v/>
      </c>
      <c r="M1564" s="80"/>
      <c r="N1564" s="80"/>
      <c r="O1564" s="94"/>
      <c r="P1564" s="26" t="str">
        <f t="shared" si="74"/>
        <v/>
      </c>
      <c r="Q1564" s="80"/>
      <c r="R1564" s="80"/>
      <c r="S1564" s="80"/>
      <c r="T1564" s="82"/>
      <c r="U1564" s="80"/>
      <c r="V1564" s="80"/>
      <c r="W1564" s="80"/>
    </row>
    <row r="1565" ht="18" customHeight="1" spans="1:23">
      <c r="A1565" s="87" t="str">
        <f t="shared" si="72"/>
        <v/>
      </c>
      <c r="B1565" s="78"/>
      <c r="C1565" s="80"/>
      <c r="D1565" s="79"/>
      <c r="E1565" s="80"/>
      <c r="F1565" s="79"/>
      <c r="G1565" s="25" t="str">
        <f t="shared" si="73"/>
        <v/>
      </c>
      <c r="H1565" s="88"/>
      <c r="I1565" s="93"/>
      <c r="J1565" s="97"/>
      <c r="K1565" s="88"/>
      <c r="L1565" s="25" t="str">
        <f>IF($D1565="","",SUMIFS($H$4:$H1565,$D$4:$D1565,$D1565)+SUMIFS($I$4:$I1565,$D$4:$D1565,$D1565)-SUMIFS($J$4:$J1565,$D$4:$D1565,$D1565)-SUMIFS($K$4:$K1565,$D$4:$D1565,$D1565))</f>
        <v/>
      </c>
      <c r="M1565" s="80"/>
      <c r="N1565" s="80"/>
      <c r="O1565" s="94"/>
      <c r="P1565" s="26" t="str">
        <f t="shared" si="74"/>
        <v/>
      </c>
      <c r="Q1565" s="80"/>
      <c r="R1565" s="80"/>
      <c r="S1565" s="80"/>
      <c r="T1565" s="82"/>
      <c r="U1565" s="80"/>
      <c r="V1565" s="80"/>
      <c r="W1565" s="80"/>
    </row>
    <row r="1566" ht="18" customHeight="1" spans="1:23">
      <c r="A1566" s="87" t="str">
        <f t="shared" si="72"/>
        <v/>
      </c>
      <c r="B1566" s="78"/>
      <c r="C1566" s="80"/>
      <c r="D1566" s="79"/>
      <c r="E1566" s="80"/>
      <c r="F1566" s="79"/>
      <c r="G1566" s="25" t="str">
        <f t="shared" si="73"/>
        <v/>
      </c>
      <c r="H1566" s="88"/>
      <c r="I1566" s="93"/>
      <c r="J1566" s="97"/>
      <c r="K1566" s="88"/>
      <c r="L1566" s="25" t="str">
        <f>IF($D1566="","",SUMIFS($H$4:$H1566,$D$4:$D1566,$D1566)+SUMIFS($I$4:$I1566,$D$4:$D1566,$D1566)-SUMIFS($J$4:$J1566,$D$4:$D1566,$D1566)-SUMIFS($K$4:$K1566,$D$4:$D1566,$D1566))</f>
        <v/>
      </c>
      <c r="M1566" s="80"/>
      <c r="N1566" s="80"/>
      <c r="O1566" s="94"/>
      <c r="P1566" s="26" t="str">
        <f t="shared" si="74"/>
        <v/>
      </c>
      <c r="Q1566" s="80"/>
      <c r="R1566" s="80"/>
      <c r="S1566" s="80"/>
      <c r="T1566" s="82"/>
      <c r="U1566" s="80"/>
      <c r="V1566" s="80"/>
      <c r="W1566" s="80"/>
    </row>
    <row r="1567" ht="18" customHeight="1" spans="1:23">
      <c r="A1567" s="87" t="str">
        <f t="shared" si="72"/>
        <v/>
      </c>
      <c r="B1567" s="78"/>
      <c r="C1567" s="80"/>
      <c r="D1567" s="79"/>
      <c r="E1567" s="80"/>
      <c r="F1567" s="79"/>
      <c r="G1567" s="25" t="str">
        <f t="shared" si="73"/>
        <v/>
      </c>
      <c r="H1567" s="88"/>
      <c r="I1567" s="93"/>
      <c r="J1567" s="97"/>
      <c r="K1567" s="88"/>
      <c r="L1567" s="25" t="str">
        <f>IF($D1567="","",SUMIFS($H$4:$H1567,$D$4:$D1567,$D1567)+SUMIFS($I$4:$I1567,$D$4:$D1567,$D1567)-SUMIFS($J$4:$J1567,$D$4:$D1567,$D1567)-SUMIFS($K$4:$K1567,$D$4:$D1567,$D1567))</f>
        <v/>
      </c>
      <c r="M1567" s="80"/>
      <c r="N1567" s="80"/>
      <c r="O1567" s="94"/>
      <c r="P1567" s="26" t="str">
        <f t="shared" si="74"/>
        <v/>
      </c>
      <c r="Q1567" s="80"/>
      <c r="R1567" s="80"/>
      <c r="S1567" s="80"/>
      <c r="T1567" s="82"/>
      <c r="U1567" s="80"/>
      <c r="V1567" s="80"/>
      <c r="W1567" s="80"/>
    </row>
    <row r="1568" ht="18" customHeight="1" spans="1:23">
      <c r="A1568" s="87" t="str">
        <f t="shared" si="72"/>
        <v/>
      </c>
      <c r="B1568" s="78"/>
      <c r="C1568" s="80"/>
      <c r="D1568" s="79"/>
      <c r="E1568" s="80"/>
      <c r="F1568" s="79"/>
      <c r="G1568" s="25" t="str">
        <f t="shared" si="73"/>
        <v/>
      </c>
      <c r="H1568" s="88"/>
      <c r="I1568" s="93"/>
      <c r="J1568" s="97"/>
      <c r="K1568" s="88"/>
      <c r="L1568" s="25" t="str">
        <f>IF($D1568="","",SUMIFS($H$4:$H1568,$D$4:$D1568,$D1568)+SUMIFS($I$4:$I1568,$D$4:$D1568,$D1568)-SUMIFS($J$4:$J1568,$D$4:$D1568,$D1568)-SUMIFS($K$4:$K1568,$D$4:$D1568,$D1568))</f>
        <v/>
      </c>
      <c r="M1568" s="80"/>
      <c r="N1568" s="80"/>
      <c r="O1568" s="94"/>
      <c r="P1568" s="26" t="str">
        <f t="shared" si="74"/>
        <v/>
      </c>
      <c r="Q1568" s="80"/>
      <c r="R1568" s="80"/>
      <c r="S1568" s="80"/>
      <c r="T1568" s="82"/>
      <c r="U1568" s="80"/>
      <c r="V1568" s="80"/>
      <c r="W1568" s="80"/>
    </row>
    <row r="1569" ht="18" customHeight="1" spans="1:23">
      <c r="A1569" s="87" t="str">
        <f t="shared" si="72"/>
        <v/>
      </c>
      <c r="B1569" s="78"/>
      <c r="C1569" s="80"/>
      <c r="D1569" s="79"/>
      <c r="E1569" s="80"/>
      <c r="F1569" s="79"/>
      <c r="G1569" s="25" t="str">
        <f t="shared" si="73"/>
        <v/>
      </c>
      <c r="H1569" s="88"/>
      <c r="I1569" s="93"/>
      <c r="J1569" s="97"/>
      <c r="K1569" s="88"/>
      <c r="L1569" s="25" t="str">
        <f>IF($D1569="","",SUMIFS($H$4:$H1569,$D$4:$D1569,$D1569)+SUMIFS($I$4:$I1569,$D$4:$D1569,$D1569)-SUMIFS($J$4:$J1569,$D$4:$D1569,$D1569)-SUMIFS($K$4:$K1569,$D$4:$D1569,$D1569))</f>
        <v/>
      </c>
      <c r="M1569" s="80"/>
      <c r="N1569" s="80"/>
      <c r="O1569" s="94"/>
      <c r="P1569" s="26" t="str">
        <f t="shared" si="74"/>
        <v/>
      </c>
      <c r="Q1569" s="80"/>
      <c r="R1569" s="80"/>
      <c r="S1569" s="80"/>
      <c r="T1569" s="82"/>
      <c r="U1569" s="80"/>
      <c r="V1569" s="80"/>
      <c r="W1569" s="80"/>
    </row>
    <row r="1570" ht="18" customHeight="1" spans="1:23">
      <c r="A1570" s="87" t="str">
        <f t="shared" si="72"/>
        <v/>
      </c>
      <c r="B1570" s="78"/>
      <c r="C1570" s="80"/>
      <c r="D1570" s="79"/>
      <c r="E1570" s="80"/>
      <c r="F1570" s="79"/>
      <c r="G1570" s="25" t="str">
        <f t="shared" si="73"/>
        <v/>
      </c>
      <c r="H1570" s="88"/>
      <c r="I1570" s="93"/>
      <c r="J1570" s="97"/>
      <c r="K1570" s="88"/>
      <c r="L1570" s="25" t="str">
        <f>IF($D1570="","",SUMIFS($H$4:$H1570,$D$4:$D1570,$D1570)+SUMIFS($I$4:$I1570,$D$4:$D1570,$D1570)-SUMIFS($J$4:$J1570,$D$4:$D1570,$D1570)-SUMIFS($K$4:$K1570,$D$4:$D1570,$D1570))</f>
        <v/>
      </c>
      <c r="M1570" s="80"/>
      <c r="N1570" s="80"/>
      <c r="O1570" s="94"/>
      <c r="P1570" s="26" t="str">
        <f t="shared" si="74"/>
        <v/>
      </c>
      <c r="Q1570" s="80"/>
      <c r="R1570" s="80"/>
      <c r="S1570" s="80"/>
      <c r="T1570" s="82"/>
      <c r="U1570" s="80"/>
      <c r="V1570" s="80"/>
      <c r="W1570" s="80"/>
    </row>
    <row r="1571" ht="18" customHeight="1" spans="1:23">
      <c r="A1571" s="87" t="str">
        <f t="shared" si="72"/>
        <v/>
      </c>
      <c r="B1571" s="78"/>
      <c r="C1571" s="80"/>
      <c r="D1571" s="79"/>
      <c r="E1571" s="80"/>
      <c r="F1571" s="79"/>
      <c r="G1571" s="25" t="str">
        <f t="shared" si="73"/>
        <v/>
      </c>
      <c r="H1571" s="88"/>
      <c r="I1571" s="93"/>
      <c r="J1571" s="97"/>
      <c r="K1571" s="88"/>
      <c r="L1571" s="25" t="str">
        <f>IF($D1571="","",SUMIFS($H$4:$H1571,$D$4:$D1571,$D1571)+SUMIFS($I$4:$I1571,$D$4:$D1571,$D1571)-SUMIFS($J$4:$J1571,$D$4:$D1571,$D1571)-SUMIFS($K$4:$K1571,$D$4:$D1571,$D1571))</f>
        <v/>
      </c>
      <c r="M1571" s="80"/>
      <c r="N1571" s="80"/>
      <c r="O1571" s="94"/>
      <c r="P1571" s="26" t="str">
        <f t="shared" si="74"/>
        <v/>
      </c>
      <c r="Q1571" s="80"/>
      <c r="R1571" s="80"/>
      <c r="S1571" s="80"/>
      <c r="T1571" s="82"/>
      <c r="U1571" s="80"/>
      <c r="V1571" s="80"/>
      <c r="W1571" s="80"/>
    </row>
    <row r="1572" ht="18" customHeight="1" spans="1:23">
      <c r="A1572" s="87" t="str">
        <f t="shared" si="72"/>
        <v/>
      </c>
      <c r="B1572" s="78"/>
      <c r="C1572" s="80"/>
      <c r="D1572" s="79"/>
      <c r="E1572" s="80"/>
      <c r="F1572" s="79"/>
      <c r="G1572" s="25" t="str">
        <f t="shared" si="73"/>
        <v/>
      </c>
      <c r="H1572" s="88"/>
      <c r="I1572" s="93"/>
      <c r="J1572" s="97"/>
      <c r="K1572" s="88"/>
      <c r="L1572" s="25" t="str">
        <f>IF($D1572="","",SUMIFS($H$4:$H1572,$D$4:$D1572,$D1572)+SUMIFS($I$4:$I1572,$D$4:$D1572,$D1572)-SUMIFS($J$4:$J1572,$D$4:$D1572,$D1572)-SUMIFS($K$4:$K1572,$D$4:$D1572,$D1572))</f>
        <v/>
      </c>
      <c r="M1572" s="80"/>
      <c r="N1572" s="80"/>
      <c r="O1572" s="94"/>
      <c r="P1572" s="26" t="str">
        <f t="shared" si="74"/>
        <v/>
      </c>
      <c r="Q1572" s="80"/>
      <c r="R1572" s="80"/>
      <c r="S1572" s="80"/>
      <c r="T1572" s="82"/>
      <c r="U1572" s="80"/>
      <c r="V1572" s="80"/>
      <c r="W1572" s="80"/>
    </row>
    <row r="1573" ht="18" customHeight="1" spans="1:23">
      <c r="A1573" s="87" t="str">
        <f t="shared" si="72"/>
        <v/>
      </c>
      <c r="B1573" s="78"/>
      <c r="C1573" s="80"/>
      <c r="D1573" s="79"/>
      <c r="E1573" s="80"/>
      <c r="F1573" s="79"/>
      <c r="G1573" s="25" t="str">
        <f t="shared" si="73"/>
        <v/>
      </c>
      <c r="H1573" s="88"/>
      <c r="I1573" s="93"/>
      <c r="J1573" s="97"/>
      <c r="K1573" s="88"/>
      <c r="L1573" s="25" t="str">
        <f>IF($D1573="","",SUMIFS($H$4:$H1573,$D$4:$D1573,$D1573)+SUMIFS($I$4:$I1573,$D$4:$D1573,$D1573)-SUMIFS($J$4:$J1573,$D$4:$D1573,$D1573)-SUMIFS($K$4:$K1573,$D$4:$D1573,$D1573))</f>
        <v/>
      </c>
      <c r="M1573" s="80"/>
      <c r="N1573" s="80"/>
      <c r="O1573" s="94"/>
      <c r="P1573" s="26" t="str">
        <f t="shared" si="74"/>
        <v/>
      </c>
      <c r="Q1573" s="80"/>
      <c r="R1573" s="80"/>
      <c r="S1573" s="80"/>
      <c r="T1573" s="82"/>
      <c r="U1573" s="80"/>
      <c r="V1573" s="80"/>
      <c r="W1573" s="80"/>
    </row>
    <row r="1574" ht="18" customHeight="1" spans="1:23">
      <c r="A1574" s="87" t="str">
        <f t="shared" si="72"/>
        <v/>
      </c>
      <c r="B1574" s="78"/>
      <c r="C1574" s="80"/>
      <c r="D1574" s="79"/>
      <c r="E1574" s="80"/>
      <c r="F1574" s="79"/>
      <c r="G1574" s="25" t="str">
        <f t="shared" si="73"/>
        <v/>
      </c>
      <c r="H1574" s="88"/>
      <c r="I1574" s="93"/>
      <c r="J1574" s="97"/>
      <c r="K1574" s="88"/>
      <c r="L1574" s="25" t="str">
        <f>IF($D1574="","",SUMIFS($H$4:$H1574,$D$4:$D1574,$D1574)+SUMIFS($I$4:$I1574,$D$4:$D1574,$D1574)-SUMIFS($J$4:$J1574,$D$4:$D1574,$D1574)-SUMIFS($K$4:$K1574,$D$4:$D1574,$D1574))</f>
        <v/>
      </c>
      <c r="M1574" s="80"/>
      <c r="N1574" s="80"/>
      <c r="O1574" s="94"/>
      <c r="P1574" s="26" t="str">
        <f t="shared" si="74"/>
        <v/>
      </c>
      <c r="Q1574" s="80"/>
      <c r="R1574" s="80"/>
      <c r="S1574" s="80"/>
      <c r="T1574" s="82"/>
      <c r="U1574" s="80"/>
      <c r="V1574" s="80"/>
      <c r="W1574" s="80"/>
    </row>
    <row r="1575" ht="18" customHeight="1" spans="1:23">
      <c r="A1575" s="87" t="str">
        <f t="shared" si="72"/>
        <v/>
      </c>
      <c r="B1575" s="78"/>
      <c r="C1575" s="80"/>
      <c r="D1575" s="79"/>
      <c r="E1575" s="80"/>
      <c r="F1575" s="79"/>
      <c r="G1575" s="25" t="str">
        <f t="shared" si="73"/>
        <v/>
      </c>
      <c r="H1575" s="88"/>
      <c r="I1575" s="93"/>
      <c r="J1575" s="97"/>
      <c r="K1575" s="88"/>
      <c r="L1575" s="25" t="str">
        <f>IF($D1575="","",SUMIFS($H$4:$H1575,$D$4:$D1575,$D1575)+SUMIFS($I$4:$I1575,$D$4:$D1575,$D1575)-SUMIFS($J$4:$J1575,$D$4:$D1575,$D1575)-SUMIFS($K$4:$K1575,$D$4:$D1575,$D1575))</f>
        <v/>
      </c>
      <c r="M1575" s="80"/>
      <c r="N1575" s="80"/>
      <c r="O1575" s="94"/>
      <c r="P1575" s="26" t="str">
        <f t="shared" si="74"/>
        <v/>
      </c>
      <c r="Q1575" s="80"/>
      <c r="R1575" s="80"/>
      <c r="S1575" s="80"/>
      <c r="T1575" s="82"/>
      <c r="U1575" s="80"/>
      <c r="V1575" s="80"/>
      <c r="W1575" s="80"/>
    </row>
    <row r="1576" ht="18" customHeight="1" spans="1:23">
      <c r="A1576" s="87" t="str">
        <f t="shared" si="72"/>
        <v/>
      </c>
      <c r="B1576" s="78"/>
      <c r="C1576" s="80"/>
      <c r="D1576" s="79"/>
      <c r="E1576" s="80"/>
      <c r="F1576" s="79"/>
      <c r="G1576" s="25" t="str">
        <f t="shared" si="73"/>
        <v/>
      </c>
      <c r="H1576" s="88"/>
      <c r="I1576" s="93"/>
      <c r="J1576" s="97"/>
      <c r="K1576" s="88"/>
      <c r="L1576" s="25" t="str">
        <f>IF($D1576="","",SUMIFS($H$4:$H1576,$D$4:$D1576,$D1576)+SUMIFS($I$4:$I1576,$D$4:$D1576,$D1576)-SUMIFS($J$4:$J1576,$D$4:$D1576,$D1576)-SUMIFS($K$4:$K1576,$D$4:$D1576,$D1576))</f>
        <v/>
      </c>
      <c r="M1576" s="80"/>
      <c r="N1576" s="80"/>
      <c r="O1576" s="94"/>
      <c r="P1576" s="26" t="str">
        <f t="shared" si="74"/>
        <v/>
      </c>
      <c r="Q1576" s="80"/>
      <c r="R1576" s="80"/>
      <c r="S1576" s="80"/>
      <c r="T1576" s="82"/>
      <c r="U1576" s="80"/>
      <c r="V1576" s="80"/>
      <c r="W1576" s="80"/>
    </row>
    <row r="1577" ht="18" customHeight="1" spans="1:23">
      <c r="A1577" s="87" t="str">
        <f t="shared" si="72"/>
        <v/>
      </c>
      <c r="B1577" s="78"/>
      <c r="C1577" s="80"/>
      <c r="D1577" s="79"/>
      <c r="E1577" s="80"/>
      <c r="F1577" s="79"/>
      <c r="G1577" s="25" t="str">
        <f t="shared" si="73"/>
        <v/>
      </c>
      <c r="H1577" s="88"/>
      <c r="I1577" s="93"/>
      <c r="J1577" s="97"/>
      <c r="K1577" s="88"/>
      <c r="L1577" s="25" t="str">
        <f>IF($D1577="","",SUMIFS($H$4:$H1577,$D$4:$D1577,$D1577)+SUMIFS($I$4:$I1577,$D$4:$D1577,$D1577)-SUMIFS($J$4:$J1577,$D$4:$D1577,$D1577)-SUMIFS($K$4:$K1577,$D$4:$D1577,$D1577))</f>
        <v/>
      </c>
      <c r="M1577" s="80"/>
      <c r="N1577" s="80"/>
      <c r="O1577" s="94"/>
      <c r="P1577" s="26" t="str">
        <f t="shared" si="74"/>
        <v/>
      </c>
      <c r="Q1577" s="80"/>
      <c r="R1577" s="80"/>
      <c r="S1577" s="80"/>
      <c r="T1577" s="82"/>
      <c r="U1577" s="80"/>
      <c r="V1577" s="80"/>
      <c r="W1577" s="80"/>
    </row>
    <row r="1578" ht="18" customHeight="1" spans="1:23">
      <c r="A1578" s="87" t="str">
        <f t="shared" si="72"/>
        <v/>
      </c>
      <c r="B1578" s="78"/>
      <c r="C1578" s="80"/>
      <c r="D1578" s="79"/>
      <c r="E1578" s="80"/>
      <c r="F1578" s="79"/>
      <c r="G1578" s="25" t="str">
        <f t="shared" si="73"/>
        <v/>
      </c>
      <c r="H1578" s="88"/>
      <c r="I1578" s="93"/>
      <c r="J1578" s="97"/>
      <c r="K1578" s="88"/>
      <c r="L1578" s="25" t="str">
        <f>IF($D1578="","",SUMIFS($H$4:$H1578,$D$4:$D1578,$D1578)+SUMIFS($I$4:$I1578,$D$4:$D1578,$D1578)-SUMIFS($J$4:$J1578,$D$4:$D1578,$D1578)-SUMIFS($K$4:$K1578,$D$4:$D1578,$D1578))</f>
        <v/>
      </c>
      <c r="M1578" s="80"/>
      <c r="N1578" s="80"/>
      <c r="O1578" s="94"/>
      <c r="P1578" s="26" t="str">
        <f t="shared" si="74"/>
        <v/>
      </c>
      <c r="Q1578" s="80"/>
      <c r="R1578" s="80"/>
      <c r="S1578" s="80"/>
      <c r="T1578" s="82"/>
      <c r="U1578" s="80"/>
      <c r="V1578" s="80"/>
      <c r="W1578" s="80"/>
    </row>
    <row r="1579" ht="18" customHeight="1" spans="1:23">
      <c r="A1579" s="87" t="str">
        <f t="shared" si="72"/>
        <v/>
      </c>
      <c r="B1579" s="78"/>
      <c r="C1579" s="80"/>
      <c r="D1579" s="79"/>
      <c r="E1579" s="80"/>
      <c r="F1579" s="79"/>
      <c r="G1579" s="25" t="str">
        <f t="shared" si="73"/>
        <v/>
      </c>
      <c r="H1579" s="88"/>
      <c r="I1579" s="93"/>
      <c r="J1579" s="97"/>
      <c r="K1579" s="88"/>
      <c r="L1579" s="25" t="str">
        <f>IF($D1579="","",SUMIFS($H$4:$H1579,$D$4:$D1579,$D1579)+SUMIFS($I$4:$I1579,$D$4:$D1579,$D1579)-SUMIFS($J$4:$J1579,$D$4:$D1579,$D1579)-SUMIFS($K$4:$K1579,$D$4:$D1579,$D1579))</f>
        <v/>
      </c>
      <c r="M1579" s="80"/>
      <c r="N1579" s="80"/>
      <c r="O1579" s="94"/>
      <c r="P1579" s="26" t="str">
        <f t="shared" si="74"/>
        <v/>
      </c>
      <c r="Q1579" s="80"/>
      <c r="R1579" s="80"/>
      <c r="S1579" s="80"/>
      <c r="T1579" s="82"/>
      <c r="U1579" s="80"/>
      <c r="V1579" s="80"/>
      <c r="W1579" s="80"/>
    </row>
    <row r="1580" ht="18" customHeight="1" spans="1:23">
      <c r="A1580" s="87" t="str">
        <f t="shared" si="72"/>
        <v/>
      </c>
      <c r="B1580" s="78"/>
      <c r="C1580" s="80"/>
      <c r="D1580" s="79"/>
      <c r="E1580" s="80"/>
      <c r="F1580" s="79"/>
      <c r="G1580" s="25" t="str">
        <f t="shared" si="73"/>
        <v/>
      </c>
      <c r="H1580" s="88"/>
      <c r="I1580" s="93"/>
      <c r="J1580" s="97"/>
      <c r="K1580" s="88"/>
      <c r="L1580" s="25" t="str">
        <f>IF($D1580="","",SUMIFS($H$4:$H1580,$D$4:$D1580,$D1580)+SUMIFS($I$4:$I1580,$D$4:$D1580,$D1580)-SUMIFS($J$4:$J1580,$D$4:$D1580,$D1580)-SUMIFS($K$4:$K1580,$D$4:$D1580,$D1580))</f>
        <v/>
      </c>
      <c r="M1580" s="80"/>
      <c r="N1580" s="80"/>
      <c r="O1580" s="94"/>
      <c r="P1580" s="26" t="str">
        <f t="shared" si="74"/>
        <v/>
      </c>
      <c r="Q1580" s="80"/>
      <c r="R1580" s="80"/>
      <c r="S1580" s="80"/>
      <c r="T1580" s="82"/>
      <c r="U1580" s="80"/>
      <c r="V1580" s="80"/>
      <c r="W1580" s="80"/>
    </row>
    <row r="1581" ht="18" customHeight="1" spans="1:23">
      <c r="A1581" s="87" t="str">
        <f t="shared" si="72"/>
        <v/>
      </c>
      <c r="B1581" s="78"/>
      <c r="C1581" s="80"/>
      <c r="D1581" s="79"/>
      <c r="E1581" s="80"/>
      <c r="F1581" s="79"/>
      <c r="G1581" s="25" t="str">
        <f t="shared" si="73"/>
        <v/>
      </c>
      <c r="H1581" s="88"/>
      <c r="I1581" s="93"/>
      <c r="J1581" s="97"/>
      <c r="K1581" s="88"/>
      <c r="L1581" s="25" t="str">
        <f>IF($D1581="","",SUMIFS($H$4:$H1581,$D$4:$D1581,$D1581)+SUMIFS($I$4:$I1581,$D$4:$D1581,$D1581)-SUMIFS($J$4:$J1581,$D$4:$D1581,$D1581)-SUMIFS($K$4:$K1581,$D$4:$D1581,$D1581))</f>
        <v/>
      </c>
      <c r="M1581" s="80"/>
      <c r="N1581" s="80"/>
      <c r="O1581" s="94"/>
      <c r="P1581" s="26" t="str">
        <f t="shared" si="74"/>
        <v/>
      </c>
      <c r="Q1581" s="80"/>
      <c r="R1581" s="80"/>
      <c r="S1581" s="80"/>
      <c r="T1581" s="82"/>
      <c r="U1581" s="80"/>
      <c r="V1581" s="80"/>
      <c r="W1581" s="80"/>
    </row>
    <row r="1582" ht="18" customHeight="1" spans="1:23">
      <c r="A1582" s="87" t="str">
        <f t="shared" si="72"/>
        <v/>
      </c>
      <c r="B1582" s="78"/>
      <c r="C1582" s="80"/>
      <c r="D1582" s="79"/>
      <c r="E1582" s="80"/>
      <c r="F1582" s="79"/>
      <c r="G1582" s="25" t="str">
        <f t="shared" si="73"/>
        <v/>
      </c>
      <c r="H1582" s="88"/>
      <c r="I1582" s="93"/>
      <c r="J1582" s="97"/>
      <c r="K1582" s="88"/>
      <c r="L1582" s="25" t="str">
        <f>IF($D1582="","",SUMIFS($H$4:$H1582,$D$4:$D1582,$D1582)+SUMIFS($I$4:$I1582,$D$4:$D1582,$D1582)-SUMIFS($J$4:$J1582,$D$4:$D1582,$D1582)-SUMIFS($K$4:$K1582,$D$4:$D1582,$D1582))</f>
        <v/>
      </c>
      <c r="M1582" s="80"/>
      <c r="N1582" s="80"/>
      <c r="O1582" s="94"/>
      <c r="P1582" s="26" t="str">
        <f t="shared" si="74"/>
        <v/>
      </c>
      <c r="Q1582" s="80"/>
      <c r="R1582" s="80"/>
      <c r="S1582" s="80"/>
      <c r="T1582" s="82"/>
      <c r="U1582" s="80"/>
      <c r="V1582" s="80"/>
      <c r="W1582" s="80"/>
    </row>
    <row r="1583" ht="18" customHeight="1" spans="1:23">
      <c r="A1583" s="87" t="str">
        <f t="shared" si="72"/>
        <v/>
      </c>
      <c r="B1583" s="78"/>
      <c r="C1583" s="80"/>
      <c r="D1583" s="79"/>
      <c r="E1583" s="80"/>
      <c r="F1583" s="79"/>
      <c r="G1583" s="25" t="str">
        <f t="shared" si="73"/>
        <v/>
      </c>
      <c r="H1583" s="88"/>
      <c r="I1583" s="93"/>
      <c r="J1583" s="97"/>
      <c r="K1583" s="88"/>
      <c r="L1583" s="25" t="str">
        <f>IF($D1583="","",SUMIFS($H$4:$H1583,$D$4:$D1583,$D1583)+SUMIFS($I$4:$I1583,$D$4:$D1583,$D1583)-SUMIFS($J$4:$J1583,$D$4:$D1583,$D1583)-SUMIFS($K$4:$K1583,$D$4:$D1583,$D1583))</f>
        <v/>
      </c>
      <c r="M1583" s="80"/>
      <c r="N1583" s="80"/>
      <c r="O1583" s="94"/>
      <c r="P1583" s="26" t="str">
        <f t="shared" si="74"/>
        <v/>
      </c>
      <c r="Q1583" s="80"/>
      <c r="R1583" s="80"/>
      <c r="S1583" s="80"/>
      <c r="T1583" s="82"/>
      <c r="U1583" s="80"/>
      <c r="V1583" s="80"/>
      <c r="W1583" s="80"/>
    </row>
    <row r="1584" ht="18" customHeight="1" spans="1:23">
      <c r="A1584" s="87" t="str">
        <f t="shared" si="72"/>
        <v/>
      </c>
      <c r="B1584" s="78"/>
      <c r="C1584" s="80"/>
      <c r="D1584" s="79"/>
      <c r="E1584" s="80"/>
      <c r="F1584" s="79"/>
      <c r="G1584" s="25" t="str">
        <f t="shared" si="73"/>
        <v/>
      </c>
      <c r="H1584" s="88"/>
      <c r="I1584" s="93"/>
      <c r="J1584" s="97"/>
      <c r="K1584" s="88"/>
      <c r="L1584" s="25" t="str">
        <f>IF($D1584="","",SUMIFS($H$4:$H1584,$D$4:$D1584,$D1584)+SUMIFS($I$4:$I1584,$D$4:$D1584,$D1584)-SUMIFS($J$4:$J1584,$D$4:$D1584,$D1584)-SUMIFS($K$4:$K1584,$D$4:$D1584,$D1584))</f>
        <v/>
      </c>
      <c r="M1584" s="80"/>
      <c r="N1584" s="80"/>
      <c r="O1584" s="94"/>
      <c r="P1584" s="26" t="str">
        <f t="shared" si="74"/>
        <v/>
      </c>
      <c r="Q1584" s="80"/>
      <c r="R1584" s="80"/>
      <c r="S1584" s="80"/>
      <c r="T1584" s="82"/>
      <c r="U1584" s="80"/>
      <c r="V1584" s="80"/>
      <c r="W1584" s="80"/>
    </row>
    <row r="1585" ht="18" customHeight="1" spans="1:23">
      <c r="A1585" s="87" t="str">
        <f t="shared" si="72"/>
        <v/>
      </c>
      <c r="B1585" s="78"/>
      <c r="C1585" s="80"/>
      <c r="D1585" s="79"/>
      <c r="E1585" s="80"/>
      <c r="F1585" s="79"/>
      <c r="G1585" s="25" t="str">
        <f t="shared" si="73"/>
        <v/>
      </c>
      <c r="H1585" s="88"/>
      <c r="I1585" s="93"/>
      <c r="J1585" s="97"/>
      <c r="K1585" s="88"/>
      <c r="L1585" s="25" t="str">
        <f>IF($D1585="","",SUMIFS($H$4:$H1585,$D$4:$D1585,$D1585)+SUMIFS($I$4:$I1585,$D$4:$D1585,$D1585)-SUMIFS($J$4:$J1585,$D$4:$D1585,$D1585)-SUMIFS($K$4:$K1585,$D$4:$D1585,$D1585))</f>
        <v/>
      </c>
      <c r="M1585" s="80"/>
      <c r="N1585" s="80"/>
      <c r="O1585" s="94"/>
      <c r="P1585" s="26" t="str">
        <f t="shared" si="74"/>
        <v/>
      </c>
      <c r="Q1585" s="80"/>
      <c r="R1585" s="80"/>
      <c r="S1585" s="80"/>
      <c r="T1585" s="82"/>
      <c r="U1585" s="80"/>
      <c r="V1585" s="80"/>
      <c r="W1585" s="80"/>
    </row>
    <row r="1586" ht="18" customHeight="1" spans="1:23">
      <c r="A1586" s="87" t="str">
        <f t="shared" si="72"/>
        <v/>
      </c>
      <c r="B1586" s="78"/>
      <c r="C1586" s="80"/>
      <c r="D1586" s="79"/>
      <c r="E1586" s="80"/>
      <c r="F1586" s="79"/>
      <c r="G1586" s="25" t="str">
        <f t="shared" si="73"/>
        <v/>
      </c>
      <c r="H1586" s="88"/>
      <c r="I1586" s="93"/>
      <c r="J1586" s="97"/>
      <c r="K1586" s="88"/>
      <c r="L1586" s="25" t="str">
        <f>IF($D1586="","",SUMIFS($H$4:$H1586,$D$4:$D1586,$D1586)+SUMIFS($I$4:$I1586,$D$4:$D1586,$D1586)-SUMIFS($J$4:$J1586,$D$4:$D1586,$D1586)-SUMIFS($K$4:$K1586,$D$4:$D1586,$D1586))</f>
        <v/>
      </c>
      <c r="M1586" s="80"/>
      <c r="N1586" s="80"/>
      <c r="O1586" s="94"/>
      <c r="P1586" s="26" t="str">
        <f t="shared" si="74"/>
        <v/>
      </c>
      <c r="Q1586" s="80"/>
      <c r="R1586" s="80"/>
      <c r="S1586" s="80"/>
      <c r="T1586" s="82"/>
      <c r="U1586" s="80"/>
      <c r="V1586" s="80"/>
      <c r="W1586" s="80"/>
    </row>
    <row r="1587" ht="18" customHeight="1" spans="1:23">
      <c r="A1587" s="87" t="str">
        <f t="shared" si="72"/>
        <v/>
      </c>
      <c r="B1587" s="78"/>
      <c r="C1587" s="80"/>
      <c r="D1587" s="79"/>
      <c r="E1587" s="80"/>
      <c r="F1587" s="79"/>
      <c r="G1587" s="25" t="str">
        <f t="shared" si="73"/>
        <v/>
      </c>
      <c r="H1587" s="88"/>
      <c r="I1587" s="93"/>
      <c r="J1587" s="97"/>
      <c r="K1587" s="88"/>
      <c r="L1587" s="25" t="str">
        <f>IF($D1587="","",SUMIFS($H$4:$H1587,$D$4:$D1587,$D1587)+SUMIFS($I$4:$I1587,$D$4:$D1587,$D1587)-SUMIFS($J$4:$J1587,$D$4:$D1587,$D1587)-SUMIFS($K$4:$K1587,$D$4:$D1587,$D1587))</f>
        <v/>
      </c>
      <c r="M1587" s="80"/>
      <c r="N1587" s="80"/>
      <c r="O1587" s="94"/>
      <c r="P1587" s="26" t="str">
        <f t="shared" si="74"/>
        <v/>
      </c>
      <c r="Q1587" s="80"/>
      <c r="R1587" s="80"/>
      <c r="S1587" s="80"/>
      <c r="T1587" s="82"/>
      <c r="U1587" s="80"/>
      <c r="V1587" s="80"/>
      <c r="W1587" s="80"/>
    </row>
    <row r="1588" ht="18" customHeight="1" spans="1:23">
      <c r="A1588" s="87" t="str">
        <f t="shared" si="72"/>
        <v/>
      </c>
      <c r="B1588" s="78"/>
      <c r="C1588" s="80"/>
      <c r="D1588" s="79"/>
      <c r="E1588" s="80"/>
      <c r="F1588" s="79"/>
      <c r="G1588" s="25" t="str">
        <f t="shared" si="73"/>
        <v/>
      </c>
      <c r="H1588" s="88"/>
      <c r="I1588" s="93"/>
      <c r="J1588" s="97"/>
      <c r="K1588" s="88"/>
      <c r="L1588" s="25" t="str">
        <f>IF($D1588="","",SUMIFS($H$4:$H1588,$D$4:$D1588,$D1588)+SUMIFS($I$4:$I1588,$D$4:$D1588,$D1588)-SUMIFS($J$4:$J1588,$D$4:$D1588,$D1588)-SUMIFS($K$4:$K1588,$D$4:$D1588,$D1588))</f>
        <v/>
      </c>
      <c r="M1588" s="80"/>
      <c r="N1588" s="80"/>
      <c r="O1588" s="94"/>
      <c r="P1588" s="26" t="str">
        <f t="shared" si="74"/>
        <v/>
      </c>
      <c r="Q1588" s="80"/>
      <c r="R1588" s="80"/>
      <c r="S1588" s="80"/>
      <c r="T1588" s="82"/>
      <c r="U1588" s="80"/>
      <c r="V1588" s="80"/>
      <c r="W1588" s="80"/>
    </row>
    <row r="1589" ht="18" customHeight="1" spans="1:23">
      <c r="A1589" s="87" t="str">
        <f t="shared" si="72"/>
        <v/>
      </c>
      <c r="B1589" s="78"/>
      <c r="C1589" s="80"/>
      <c r="D1589" s="79"/>
      <c r="E1589" s="80"/>
      <c r="F1589" s="79"/>
      <c r="G1589" s="25" t="str">
        <f t="shared" si="73"/>
        <v/>
      </c>
      <c r="H1589" s="88"/>
      <c r="I1589" s="93"/>
      <c r="J1589" s="97"/>
      <c r="K1589" s="88"/>
      <c r="L1589" s="25" t="str">
        <f>IF($D1589="","",SUMIFS($H$4:$H1589,$D$4:$D1589,$D1589)+SUMIFS($I$4:$I1589,$D$4:$D1589,$D1589)-SUMIFS($J$4:$J1589,$D$4:$D1589,$D1589)-SUMIFS($K$4:$K1589,$D$4:$D1589,$D1589))</f>
        <v/>
      </c>
      <c r="M1589" s="80"/>
      <c r="N1589" s="80"/>
      <c r="O1589" s="94"/>
      <c r="P1589" s="26" t="str">
        <f t="shared" si="74"/>
        <v/>
      </c>
      <c r="Q1589" s="80"/>
      <c r="R1589" s="80"/>
      <c r="S1589" s="80"/>
      <c r="T1589" s="82"/>
      <c r="U1589" s="80"/>
      <c r="V1589" s="80"/>
      <c r="W1589" s="80"/>
    </row>
    <row r="1590" ht="18" customHeight="1" spans="1:23">
      <c r="A1590" s="87" t="str">
        <f t="shared" si="72"/>
        <v/>
      </c>
      <c r="B1590" s="78"/>
      <c r="C1590" s="80"/>
      <c r="D1590" s="79"/>
      <c r="E1590" s="80"/>
      <c r="F1590" s="79"/>
      <c r="G1590" s="25" t="str">
        <f t="shared" si="73"/>
        <v/>
      </c>
      <c r="H1590" s="88"/>
      <c r="I1590" s="93"/>
      <c r="J1590" s="97"/>
      <c r="K1590" s="88"/>
      <c r="L1590" s="25" t="str">
        <f>IF($D1590="","",SUMIFS($H$4:$H1590,$D$4:$D1590,$D1590)+SUMIFS($I$4:$I1590,$D$4:$D1590,$D1590)-SUMIFS($J$4:$J1590,$D$4:$D1590,$D1590)-SUMIFS($K$4:$K1590,$D$4:$D1590,$D1590))</f>
        <v/>
      </c>
      <c r="M1590" s="80"/>
      <c r="N1590" s="80"/>
      <c r="O1590" s="94"/>
      <c r="P1590" s="26" t="str">
        <f t="shared" si="74"/>
        <v/>
      </c>
      <c r="Q1590" s="80"/>
      <c r="R1590" s="80"/>
      <c r="S1590" s="80"/>
      <c r="T1590" s="82"/>
      <c r="U1590" s="80"/>
      <c r="V1590" s="80"/>
      <c r="W1590" s="80"/>
    </row>
    <row r="1591" ht="18" customHeight="1" spans="1:23">
      <c r="A1591" s="87" t="str">
        <f t="shared" si="72"/>
        <v/>
      </c>
      <c r="B1591" s="78"/>
      <c r="C1591" s="80"/>
      <c r="D1591" s="79"/>
      <c r="E1591" s="80"/>
      <c r="F1591" s="79"/>
      <c r="G1591" s="25" t="str">
        <f t="shared" si="73"/>
        <v/>
      </c>
      <c r="H1591" s="88"/>
      <c r="I1591" s="93"/>
      <c r="J1591" s="97"/>
      <c r="K1591" s="88"/>
      <c r="L1591" s="25" t="str">
        <f>IF($D1591="","",SUMIFS($H$4:$H1591,$D$4:$D1591,$D1591)+SUMIFS($I$4:$I1591,$D$4:$D1591,$D1591)-SUMIFS($J$4:$J1591,$D$4:$D1591,$D1591)-SUMIFS($K$4:$K1591,$D$4:$D1591,$D1591))</f>
        <v/>
      </c>
      <c r="M1591" s="80"/>
      <c r="N1591" s="80"/>
      <c r="O1591" s="94"/>
      <c r="P1591" s="26" t="str">
        <f t="shared" si="74"/>
        <v/>
      </c>
      <c r="Q1591" s="80"/>
      <c r="R1591" s="80"/>
      <c r="S1591" s="80"/>
      <c r="T1591" s="82"/>
      <c r="U1591" s="80"/>
      <c r="V1591" s="80"/>
      <c r="W1591" s="80"/>
    </row>
    <row r="1592" ht="18" customHeight="1" spans="1:23">
      <c r="A1592" s="87" t="str">
        <f t="shared" si="72"/>
        <v/>
      </c>
      <c r="B1592" s="78"/>
      <c r="C1592" s="80"/>
      <c r="D1592" s="79"/>
      <c r="E1592" s="80"/>
      <c r="F1592" s="79"/>
      <c r="G1592" s="25" t="str">
        <f t="shared" si="73"/>
        <v/>
      </c>
      <c r="H1592" s="88"/>
      <c r="I1592" s="93"/>
      <c r="J1592" s="97"/>
      <c r="K1592" s="88"/>
      <c r="L1592" s="25" t="str">
        <f>IF($D1592="","",SUMIFS($H$4:$H1592,$D$4:$D1592,$D1592)+SUMIFS($I$4:$I1592,$D$4:$D1592,$D1592)-SUMIFS($J$4:$J1592,$D$4:$D1592,$D1592)-SUMIFS($K$4:$K1592,$D$4:$D1592,$D1592))</f>
        <v/>
      </c>
      <c r="M1592" s="80"/>
      <c r="N1592" s="80"/>
      <c r="O1592" s="94"/>
      <c r="P1592" s="26" t="str">
        <f t="shared" si="74"/>
        <v/>
      </c>
      <c r="Q1592" s="80"/>
      <c r="R1592" s="80"/>
      <c r="S1592" s="80"/>
      <c r="T1592" s="82"/>
      <c r="U1592" s="80"/>
      <c r="V1592" s="80"/>
      <c r="W1592" s="80"/>
    </row>
    <row r="1593" ht="18" customHeight="1" spans="1:23">
      <c r="A1593" s="87" t="str">
        <f t="shared" si="72"/>
        <v/>
      </c>
      <c r="B1593" s="78"/>
      <c r="C1593" s="80"/>
      <c r="D1593" s="79"/>
      <c r="E1593" s="80"/>
      <c r="F1593" s="79"/>
      <c r="G1593" s="25" t="str">
        <f t="shared" si="73"/>
        <v/>
      </c>
      <c r="H1593" s="88"/>
      <c r="I1593" s="93"/>
      <c r="J1593" s="97"/>
      <c r="K1593" s="88"/>
      <c r="L1593" s="25" t="str">
        <f>IF($D1593="","",SUMIFS($H$4:$H1593,$D$4:$D1593,$D1593)+SUMIFS($I$4:$I1593,$D$4:$D1593,$D1593)-SUMIFS($J$4:$J1593,$D$4:$D1593,$D1593)-SUMIFS($K$4:$K1593,$D$4:$D1593,$D1593))</f>
        <v/>
      </c>
      <c r="M1593" s="80"/>
      <c r="N1593" s="80"/>
      <c r="O1593" s="94"/>
      <c r="P1593" s="26" t="str">
        <f t="shared" si="74"/>
        <v/>
      </c>
      <c r="Q1593" s="80"/>
      <c r="R1593" s="80"/>
      <c r="S1593" s="80"/>
      <c r="T1593" s="82"/>
      <c r="U1593" s="80"/>
      <c r="V1593" s="80"/>
      <c r="W1593" s="80"/>
    </row>
    <row r="1594" ht="18" customHeight="1" spans="1:23">
      <c r="A1594" s="87" t="str">
        <f t="shared" si="72"/>
        <v/>
      </c>
      <c r="B1594" s="78"/>
      <c r="C1594" s="80"/>
      <c r="D1594" s="79"/>
      <c r="E1594" s="80"/>
      <c r="F1594" s="79"/>
      <c r="G1594" s="25" t="str">
        <f t="shared" si="73"/>
        <v/>
      </c>
      <c r="H1594" s="88"/>
      <c r="I1594" s="93"/>
      <c r="J1594" s="97"/>
      <c r="K1594" s="88"/>
      <c r="L1594" s="25" t="str">
        <f>IF($D1594="","",SUMIFS($H$4:$H1594,$D$4:$D1594,$D1594)+SUMIFS($I$4:$I1594,$D$4:$D1594,$D1594)-SUMIFS($J$4:$J1594,$D$4:$D1594,$D1594)-SUMIFS($K$4:$K1594,$D$4:$D1594,$D1594))</f>
        <v/>
      </c>
      <c r="M1594" s="80"/>
      <c r="N1594" s="80"/>
      <c r="O1594" s="94"/>
      <c r="P1594" s="26" t="str">
        <f t="shared" si="74"/>
        <v/>
      </c>
      <c r="Q1594" s="80"/>
      <c r="R1594" s="80"/>
      <c r="S1594" s="80"/>
      <c r="T1594" s="82"/>
      <c r="U1594" s="80"/>
      <c r="V1594" s="80"/>
      <c r="W1594" s="80"/>
    </row>
    <row r="1595" ht="18" customHeight="1" spans="1:23">
      <c r="A1595" s="87" t="str">
        <f t="shared" si="72"/>
        <v/>
      </c>
      <c r="B1595" s="78"/>
      <c r="C1595" s="80"/>
      <c r="D1595" s="79"/>
      <c r="E1595" s="80"/>
      <c r="F1595" s="79"/>
      <c r="G1595" s="25" t="str">
        <f t="shared" si="73"/>
        <v/>
      </c>
      <c r="H1595" s="88"/>
      <c r="I1595" s="93"/>
      <c r="J1595" s="97"/>
      <c r="K1595" s="88"/>
      <c r="L1595" s="25" t="str">
        <f>IF($D1595="","",SUMIFS($H$4:$H1595,$D$4:$D1595,$D1595)+SUMIFS($I$4:$I1595,$D$4:$D1595,$D1595)-SUMIFS($J$4:$J1595,$D$4:$D1595,$D1595)-SUMIFS($K$4:$K1595,$D$4:$D1595,$D1595))</f>
        <v/>
      </c>
      <c r="M1595" s="80"/>
      <c r="N1595" s="80"/>
      <c r="O1595" s="94"/>
      <c r="P1595" s="26" t="str">
        <f t="shared" si="74"/>
        <v/>
      </c>
      <c r="Q1595" s="80"/>
      <c r="R1595" s="80"/>
      <c r="S1595" s="80"/>
      <c r="T1595" s="82"/>
      <c r="U1595" s="80"/>
      <c r="V1595" s="80"/>
      <c r="W1595" s="80"/>
    </row>
    <row r="1596" ht="18" customHeight="1" spans="1:23">
      <c r="A1596" s="87" t="str">
        <f t="shared" si="72"/>
        <v/>
      </c>
      <c r="B1596" s="78"/>
      <c r="C1596" s="80"/>
      <c r="D1596" s="79"/>
      <c r="E1596" s="80"/>
      <c r="F1596" s="79"/>
      <c r="G1596" s="25" t="str">
        <f t="shared" si="73"/>
        <v/>
      </c>
      <c r="H1596" s="88"/>
      <c r="I1596" s="93"/>
      <c r="J1596" s="97"/>
      <c r="K1596" s="88"/>
      <c r="L1596" s="25" t="str">
        <f>IF($D1596="","",SUMIFS($H$4:$H1596,$D$4:$D1596,$D1596)+SUMIFS($I$4:$I1596,$D$4:$D1596,$D1596)-SUMIFS($J$4:$J1596,$D$4:$D1596,$D1596)-SUMIFS($K$4:$K1596,$D$4:$D1596,$D1596))</f>
        <v/>
      </c>
      <c r="M1596" s="80"/>
      <c r="N1596" s="80"/>
      <c r="O1596" s="94"/>
      <c r="P1596" s="26" t="str">
        <f t="shared" si="74"/>
        <v/>
      </c>
      <c r="Q1596" s="80"/>
      <c r="R1596" s="80"/>
      <c r="S1596" s="80"/>
      <c r="T1596" s="82"/>
      <c r="U1596" s="80"/>
      <c r="V1596" s="80"/>
      <c r="W1596" s="80"/>
    </row>
    <row r="1597" ht="18" customHeight="1" spans="1:23">
      <c r="A1597" s="87" t="str">
        <f t="shared" si="72"/>
        <v/>
      </c>
      <c r="B1597" s="78"/>
      <c r="C1597" s="80"/>
      <c r="D1597" s="79"/>
      <c r="E1597" s="80"/>
      <c r="F1597" s="79"/>
      <c r="G1597" s="25" t="str">
        <f t="shared" si="73"/>
        <v/>
      </c>
      <c r="H1597" s="88"/>
      <c r="I1597" s="93"/>
      <c r="J1597" s="97"/>
      <c r="K1597" s="88"/>
      <c r="L1597" s="25" t="str">
        <f>IF($D1597="","",SUMIFS($H$4:$H1597,$D$4:$D1597,$D1597)+SUMIFS($I$4:$I1597,$D$4:$D1597,$D1597)-SUMIFS($J$4:$J1597,$D$4:$D1597,$D1597)-SUMIFS($K$4:$K1597,$D$4:$D1597,$D1597))</f>
        <v/>
      </c>
      <c r="M1597" s="80"/>
      <c r="N1597" s="80"/>
      <c r="O1597" s="94"/>
      <c r="P1597" s="26" t="str">
        <f t="shared" si="74"/>
        <v/>
      </c>
      <c r="Q1597" s="80"/>
      <c r="R1597" s="80"/>
      <c r="S1597" s="80"/>
      <c r="T1597" s="82"/>
      <c r="U1597" s="80"/>
      <c r="V1597" s="80"/>
      <c r="W1597" s="80"/>
    </row>
    <row r="1598" ht="18" customHeight="1" spans="1:23">
      <c r="A1598" s="87" t="str">
        <f t="shared" si="72"/>
        <v/>
      </c>
      <c r="B1598" s="78"/>
      <c r="C1598" s="80"/>
      <c r="D1598" s="79"/>
      <c r="E1598" s="80"/>
      <c r="F1598" s="79"/>
      <c r="G1598" s="25" t="str">
        <f t="shared" si="73"/>
        <v/>
      </c>
      <c r="H1598" s="88"/>
      <c r="I1598" s="93"/>
      <c r="J1598" s="97"/>
      <c r="K1598" s="88"/>
      <c r="L1598" s="25" t="str">
        <f>IF($D1598="","",SUMIFS($H$4:$H1598,$D$4:$D1598,$D1598)+SUMIFS($I$4:$I1598,$D$4:$D1598,$D1598)-SUMIFS($J$4:$J1598,$D$4:$D1598,$D1598)-SUMIFS($K$4:$K1598,$D$4:$D1598,$D1598))</f>
        <v/>
      </c>
      <c r="M1598" s="80"/>
      <c r="N1598" s="80"/>
      <c r="O1598" s="94"/>
      <c r="P1598" s="26" t="str">
        <f t="shared" si="74"/>
        <v/>
      </c>
      <c r="Q1598" s="80"/>
      <c r="R1598" s="80"/>
      <c r="S1598" s="80"/>
      <c r="T1598" s="82"/>
      <c r="U1598" s="80"/>
      <c r="V1598" s="80"/>
      <c r="W1598" s="80"/>
    </row>
    <row r="1599" ht="18" customHeight="1" spans="1:23">
      <c r="A1599" s="87" t="str">
        <f t="shared" si="72"/>
        <v/>
      </c>
      <c r="B1599" s="78"/>
      <c r="C1599" s="80"/>
      <c r="D1599" s="79"/>
      <c r="E1599" s="80"/>
      <c r="F1599" s="79"/>
      <c r="G1599" s="25" t="str">
        <f t="shared" si="73"/>
        <v/>
      </c>
      <c r="H1599" s="88"/>
      <c r="I1599" s="93"/>
      <c r="J1599" s="97"/>
      <c r="K1599" s="88"/>
      <c r="L1599" s="25" t="str">
        <f>IF($D1599="","",SUMIFS($H$4:$H1599,$D$4:$D1599,$D1599)+SUMIFS($I$4:$I1599,$D$4:$D1599,$D1599)-SUMIFS($J$4:$J1599,$D$4:$D1599,$D1599)-SUMIFS($K$4:$K1599,$D$4:$D1599,$D1599))</f>
        <v/>
      </c>
      <c r="M1599" s="80"/>
      <c r="N1599" s="80"/>
      <c r="O1599" s="94"/>
      <c r="P1599" s="26" t="str">
        <f t="shared" si="74"/>
        <v/>
      </c>
      <c r="Q1599" s="80"/>
      <c r="R1599" s="80"/>
      <c r="S1599" s="80"/>
      <c r="T1599" s="82"/>
      <c r="U1599" s="80"/>
      <c r="V1599" s="80"/>
      <c r="W1599" s="80"/>
    </row>
    <row r="1600" ht="18" customHeight="1" spans="1:23">
      <c r="A1600" s="87" t="str">
        <f t="shared" si="72"/>
        <v/>
      </c>
      <c r="B1600" s="78"/>
      <c r="C1600" s="80"/>
      <c r="D1600" s="79"/>
      <c r="E1600" s="80"/>
      <c r="F1600" s="79"/>
      <c r="G1600" s="25" t="str">
        <f t="shared" si="73"/>
        <v/>
      </c>
      <c r="H1600" s="88"/>
      <c r="I1600" s="93"/>
      <c r="J1600" s="97"/>
      <c r="K1600" s="88"/>
      <c r="L1600" s="25" t="str">
        <f>IF($D1600="","",SUMIFS($H$4:$H1600,$D$4:$D1600,$D1600)+SUMIFS($I$4:$I1600,$D$4:$D1600,$D1600)-SUMIFS($J$4:$J1600,$D$4:$D1600,$D1600)-SUMIFS($K$4:$K1600,$D$4:$D1600,$D1600))</f>
        <v/>
      </c>
      <c r="M1600" s="80"/>
      <c r="N1600" s="80"/>
      <c r="O1600" s="94"/>
      <c r="P1600" s="26" t="str">
        <f t="shared" si="74"/>
        <v/>
      </c>
      <c r="Q1600" s="80"/>
      <c r="R1600" s="80"/>
      <c r="S1600" s="80"/>
      <c r="T1600" s="82"/>
      <c r="U1600" s="80"/>
      <c r="V1600" s="80"/>
      <c r="W1600" s="80"/>
    </row>
    <row r="1601" ht="18" customHeight="1" spans="1:23">
      <c r="A1601" s="87" t="str">
        <f t="shared" si="72"/>
        <v/>
      </c>
      <c r="B1601" s="78"/>
      <c r="C1601" s="80"/>
      <c r="D1601" s="79"/>
      <c r="E1601" s="80"/>
      <c r="F1601" s="79"/>
      <c r="G1601" s="25" t="str">
        <f t="shared" si="73"/>
        <v/>
      </c>
      <c r="H1601" s="88"/>
      <c r="I1601" s="93"/>
      <c r="J1601" s="97"/>
      <c r="K1601" s="88"/>
      <c r="L1601" s="25" t="str">
        <f>IF($D1601="","",SUMIFS($H$4:$H1601,$D$4:$D1601,$D1601)+SUMIFS($I$4:$I1601,$D$4:$D1601,$D1601)-SUMIFS($J$4:$J1601,$D$4:$D1601,$D1601)-SUMIFS($K$4:$K1601,$D$4:$D1601,$D1601))</f>
        <v/>
      </c>
      <c r="M1601" s="80"/>
      <c r="N1601" s="80"/>
      <c r="O1601" s="94"/>
      <c r="P1601" s="26" t="str">
        <f t="shared" si="74"/>
        <v/>
      </c>
      <c r="Q1601" s="80"/>
      <c r="R1601" s="80"/>
      <c r="S1601" s="80"/>
      <c r="T1601" s="82"/>
      <c r="U1601" s="80"/>
      <c r="V1601" s="80"/>
      <c r="W1601" s="80"/>
    </row>
    <row r="1602" ht="18" customHeight="1" spans="1:23">
      <c r="A1602" s="87" t="str">
        <f t="shared" si="72"/>
        <v/>
      </c>
      <c r="B1602" s="78"/>
      <c r="C1602" s="80"/>
      <c r="D1602" s="79"/>
      <c r="E1602" s="80"/>
      <c r="F1602" s="79"/>
      <c r="G1602" s="25" t="str">
        <f t="shared" si="73"/>
        <v/>
      </c>
      <c r="H1602" s="88"/>
      <c r="I1602" s="93"/>
      <c r="J1602" s="97"/>
      <c r="K1602" s="88"/>
      <c r="L1602" s="25" t="str">
        <f>IF($D1602="","",SUMIFS($H$4:$H1602,$D$4:$D1602,$D1602)+SUMIFS($I$4:$I1602,$D$4:$D1602,$D1602)-SUMIFS($J$4:$J1602,$D$4:$D1602,$D1602)-SUMIFS($K$4:$K1602,$D$4:$D1602,$D1602))</f>
        <v/>
      </c>
      <c r="M1602" s="80"/>
      <c r="N1602" s="80"/>
      <c r="O1602" s="94"/>
      <c r="P1602" s="26" t="str">
        <f t="shared" si="74"/>
        <v/>
      </c>
      <c r="Q1602" s="80"/>
      <c r="R1602" s="80"/>
      <c r="S1602" s="80"/>
      <c r="T1602" s="82"/>
      <c r="U1602" s="80"/>
      <c r="V1602" s="80"/>
      <c r="W1602" s="80"/>
    </row>
    <row r="1603" ht="18" customHeight="1" spans="1:23">
      <c r="A1603" s="87" t="str">
        <f t="shared" si="72"/>
        <v/>
      </c>
      <c r="B1603" s="78"/>
      <c r="C1603" s="80"/>
      <c r="D1603" s="79"/>
      <c r="E1603" s="80"/>
      <c r="F1603" s="79"/>
      <c r="G1603" s="25" t="str">
        <f t="shared" si="73"/>
        <v/>
      </c>
      <c r="H1603" s="88"/>
      <c r="I1603" s="93"/>
      <c r="J1603" s="97"/>
      <c r="K1603" s="88"/>
      <c r="L1603" s="25" t="str">
        <f>IF($D1603="","",SUMIFS($H$4:$H1603,$D$4:$D1603,$D1603)+SUMIFS($I$4:$I1603,$D$4:$D1603,$D1603)-SUMIFS($J$4:$J1603,$D$4:$D1603,$D1603)-SUMIFS($K$4:$K1603,$D$4:$D1603,$D1603))</f>
        <v/>
      </c>
      <c r="M1603" s="80"/>
      <c r="N1603" s="80"/>
      <c r="O1603" s="94"/>
      <c r="P1603" s="26" t="str">
        <f t="shared" si="74"/>
        <v/>
      </c>
      <c r="Q1603" s="80"/>
      <c r="R1603" s="80"/>
      <c r="S1603" s="80"/>
      <c r="T1603" s="82"/>
      <c r="U1603" s="80"/>
      <c r="V1603" s="80"/>
      <c r="W1603" s="80"/>
    </row>
    <row r="1604" ht="18" customHeight="1" spans="1:23">
      <c r="A1604" s="87" t="str">
        <f t="shared" si="72"/>
        <v/>
      </c>
      <c r="B1604" s="78"/>
      <c r="C1604" s="80"/>
      <c r="D1604" s="79"/>
      <c r="E1604" s="80"/>
      <c r="F1604" s="79"/>
      <c r="G1604" s="25" t="str">
        <f t="shared" si="73"/>
        <v/>
      </c>
      <c r="H1604" s="88"/>
      <c r="I1604" s="93"/>
      <c r="J1604" s="97"/>
      <c r="K1604" s="88"/>
      <c r="L1604" s="25" t="str">
        <f>IF($D1604="","",SUMIFS($H$4:$H1604,$D$4:$D1604,$D1604)+SUMIFS($I$4:$I1604,$D$4:$D1604,$D1604)-SUMIFS($J$4:$J1604,$D$4:$D1604,$D1604)-SUMIFS($K$4:$K1604,$D$4:$D1604,$D1604))</f>
        <v/>
      </c>
      <c r="M1604" s="80"/>
      <c r="N1604" s="80"/>
      <c r="O1604" s="94"/>
      <c r="P1604" s="26" t="str">
        <f t="shared" si="74"/>
        <v/>
      </c>
      <c r="Q1604" s="80"/>
      <c r="R1604" s="80"/>
      <c r="S1604" s="80"/>
      <c r="T1604" s="82"/>
      <c r="U1604" s="80"/>
      <c r="V1604" s="80"/>
      <c r="W1604" s="80"/>
    </row>
    <row r="1605" ht="18" customHeight="1" spans="1:23">
      <c r="A1605" s="87" t="str">
        <f t="shared" ref="A1605:A1668" si="75">IF($D1605="","",ROW()-3)</f>
        <v/>
      </c>
      <c r="B1605" s="78"/>
      <c r="C1605" s="80"/>
      <c r="D1605" s="79"/>
      <c r="E1605" s="80"/>
      <c r="F1605" s="79"/>
      <c r="G1605" s="25" t="str">
        <f t="shared" ref="G1605:G1668" si="76">IF($D1605="","",N($L1605)-N($H1605)-N($I1605)+N($J1605)+N($K1605))</f>
        <v/>
      </c>
      <c r="H1605" s="88"/>
      <c r="I1605" s="93"/>
      <c r="J1605" s="97"/>
      <c r="K1605" s="88"/>
      <c r="L1605" s="25" t="str">
        <f>IF($D1605="","",SUMIFS($H$4:$H1605,$D$4:$D1605,$D1605)+SUMIFS($I$4:$I1605,$D$4:$D1605,$D1605)-SUMIFS($J$4:$J1605,$D$4:$D1605,$D1605)-SUMIFS($K$4:$K1605,$D$4:$D1605,$D1605))</f>
        <v/>
      </c>
      <c r="M1605" s="80"/>
      <c r="N1605" s="80"/>
      <c r="O1605" s="94"/>
      <c r="P1605" s="26" t="str">
        <f t="shared" ref="P1605:P1668" si="77">IF($D1605="","",ROUND((N($H1605)+N($K1605))*N($O1605),2))</f>
        <v/>
      </c>
      <c r="Q1605" s="80"/>
      <c r="R1605" s="80"/>
      <c r="S1605" s="80"/>
      <c r="T1605" s="82"/>
      <c r="U1605" s="80"/>
      <c r="V1605" s="80"/>
      <c r="W1605" s="80"/>
    </row>
    <row r="1606" ht="18" customHeight="1" spans="1:23">
      <c r="A1606" s="87" t="str">
        <f t="shared" si="75"/>
        <v/>
      </c>
      <c r="B1606" s="78"/>
      <c r="C1606" s="80"/>
      <c r="D1606" s="79"/>
      <c r="E1606" s="80"/>
      <c r="F1606" s="79"/>
      <c r="G1606" s="25" t="str">
        <f t="shared" si="76"/>
        <v/>
      </c>
      <c r="H1606" s="88"/>
      <c r="I1606" s="93"/>
      <c r="J1606" s="97"/>
      <c r="K1606" s="88"/>
      <c r="L1606" s="25" t="str">
        <f>IF($D1606="","",SUMIFS($H$4:$H1606,$D$4:$D1606,$D1606)+SUMIFS($I$4:$I1606,$D$4:$D1606,$D1606)-SUMIFS($J$4:$J1606,$D$4:$D1606,$D1606)-SUMIFS($K$4:$K1606,$D$4:$D1606,$D1606))</f>
        <v/>
      </c>
      <c r="M1606" s="80"/>
      <c r="N1606" s="80"/>
      <c r="O1606" s="94"/>
      <c r="P1606" s="26" t="str">
        <f t="shared" si="77"/>
        <v/>
      </c>
      <c r="Q1606" s="80"/>
      <c r="R1606" s="80"/>
      <c r="S1606" s="80"/>
      <c r="T1606" s="82"/>
      <c r="U1606" s="80"/>
      <c r="V1606" s="80"/>
      <c r="W1606" s="80"/>
    </row>
    <row r="1607" ht="18" customHeight="1" spans="1:23">
      <c r="A1607" s="87" t="str">
        <f t="shared" si="75"/>
        <v/>
      </c>
      <c r="B1607" s="78"/>
      <c r="C1607" s="80"/>
      <c r="D1607" s="79"/>
      <c r="E1607" s="80"/>
      <c r="F1607" s="79"/>
      <c r="G1607" s="25" t="str">
        <f t="shared" si="76"/>
        <v/>
      </c>
      <c r="H1607" s="88"/>
      <c r="I1607" s="93"/>
      <c r="J1607" s="97"/>
      <c r="K1607" s="88"/>
      <c r="L1607" s="25" t="str">
        <f>IF($D1607="","",SUMIFS($H$4:$H1607,$D$4:$D1607,$D1607)+SUMIFS($I$4:$I1607,$D$4:$D1607,$D1607)-SUMIFS($J$4:$J1607,$D$4:$D1607,$D1607)-SUMIFS($K$4:$K1607,$D$4:$D1607,$D1607))</f>
        <v/>
      </c>
      <c r="M1607" s="80"/>
      <c r="N1607" s="80"/>
      <c r="O1607" s="94"/>
      <c r="P1607" s="26" t="str">
        <f t="shared" si="77"/>
        <v/>
      </c>
      <c r="Q1607" s="80"/>
      <c r="R1607" s="80"/>
      <c r="S1607" s="80"/>
      <c r="T1607" s="82"/>
      <c r="U1607" s="80"/>
      <c r="V1607" s="80"/>
      <c r="W1607" s="80"/>
    </row>
    <row r="1608" ht="18" customHeight="1" spans="1:23">
      <c r="A1608" s="87" t="str">
        <f t="shared" si="75"/>
        <v/>
      </c>
      <c r="B1608" s="78"/>
      <c r="C1608" s="80"/>
      <c r="D1608" s="79"/>
      <c r="E1608" s="80"/>
      <c r="F1608" s="79"/>
      <c r="G1608" s="25" t="str">
        <f t="shared" si="76"/>
        <v/>
      </c>
      <c r="H1608" s="88"/>
      <c r="I1608" s="93"/>
      <c r="J1608" s="97"/>
      <c r="K1608" s="88"/>
      <c r="L1608" s="25" t="str">
        <f>IF($D1608="","",SUMIFS($H$4:$H1608,$D$4:$D1608,$D1608)+SUMIFS($I$4:$I1608,$D$4:$D1608,$D1608)-SUMIFS($J$4:$J1608,$D$4:$D1608,$D1608)-SUMIFS($K$4:$K1608,$D$4:$D1608,$D1608))</f>
        <v/>
      </c>
      <c r="M1608" s="80"/>
      <c r="N1608" s="80"/>
      <c r="O1608" s="94"/>
      <c r="P1608" s="26" t="str">
        <f t="shared" si="77"/>
        <v/>
      </c>
      <c r="Q1608" s="80"/>
      <c r="R1608" s="80"/>
      <c r="S1608" s="80"/>
      <c r="T1608" s="82"/>
      <c r="U1608" s="80"/>
      <c r="V1608" s="80"/>
      <c r="W1608" s="80"/>
    </row>
    <row r="1609" ht="18" customHeight="1" spans="1:23">
      <c r="A1609" s="87" t="str">
        <f t="shared" si="75"/>
        <v/>
      </c>
      <c r="B1609" s="78"/>
      <c r="C1609" s="80"/>
      <c r="D1609" s="79"/>
      <c r="E1609" s="80"/>
      <c r="F1609" s="79"/>
      <c r="G1609" s="25" t="str">
        <f t="shared" si="76"/>
        <v/>
      </c>
      <c r="H1609" s="88"/>
      <c r="I1609" s="93"/>
      <c r="J1609" s="97"/>
      <c r="K1609" s="88"/>
      <c r="L1609" s="25" t="str">
        <f>IF($D1609="","",SUMIFS($H$4:$H1609,$D$4:$D1609,$D1609)+SUMIFS($I$4:$I1609,$D$4:$D1609,$D1609)-SUMIFS($J$4:$J1609,$D$4:$D1609,$D1609)-SUMIFS($K$4:$K1609,$D$4:$D1609,$D1609))</f>
        <v/>
      </c>
      <c r="M1609" s="80"/>
      <c r="N1609" s="80"/>
      <c r="O1609" s="94"/>
      <c r="P1609" s="26" t="str">
        <f t="shared" si="77"/>
        <v/>
      </c>
      <c r="Q1609" s="80"/>
      <c r="R1609" s="80"/>
      <c r="S1609" s="80"/>
      <c r="T1609" s="82"/>
      <c r="U1609" s="80"/>
      <c r="V1609" s="80"/>
      <c r="W1609" s="80"/>
    </row>
    <row r="1610" ht="18" customHeight="1" spans="1:23">
      <c r="A1610" s="87" t="str">
        <f t="shared" si="75"/>
        <v/>
      </c>
      <c r="B1610" s="78"/>
      <c r="C1610" s="80"/>
      <c r="D1610" s="79"/>
      <c r="E1610" s="80"/>
      <c r="F1610" s="79"/>
      <c r="G1610" s="25" t="str">
        <f t="shared" si="76"/>
        <v/>
      </c>
      <c r="H1610" s="88"/>
      <c r="I1610" s="93"/>
      <c r="J1610" s="97"/>
      <c r="K1610" s="88"/>
      <c r="L1610" s="25" t="str">
        <f>IF($D1610="","",SUMIFS($H$4:$H1610,$D$4:$D1610,$D1610)+SUMIFS($I$4:$I1610,$D$4:$D1610,$D1610)-SUMIFS($J$4:$J1610,$D$4:$D1610,$D1610)-SUMIFS($K$4:$K1610,$D$4:$D1610,$D1610))</f>
        <v/>
      </c>
      <c r="M1610" s="80"/>
      <c r="N1610" s="80"/>
      <c r="O1610" s="94"/>
      <c r="P1610" s="26" t="str">
        <f t="shared" si="77"/>
        <v/>
      </c>
      <c r="Q1610" s="80"/>
      <c r="R1610" s="80"/>
      <c r="S1610" s="80"/>
      <c r="T1610" s="82"/>
      <c r="U1610" s="80"/>
      <c r="V1610" s="80"/>
      <c r="W1610" s="80"/>
    </row>
    <row r="1611" ht="18" customHeight="1" spans="1:23">
      <c r="A1611" s="87" t="str">
        <f t="shared" si="75"/>
        <v/>
      </c>
      <c r="B1611" s="78"/>
      <c r="C1611" s="80"/>
      <c r="D1611" s="79"/>
      <c r="E1611" s="80"/>
      <c r="F1611" s="79"/>
      <c r="G1611" s="25" t="str">
        <f t="shared" si="76"/>
        <v/>
      </c>
      <c r="H1611" s="88"/>
      <c r="I1611" s="93"/>
      <c r="J1611" s="97"/>
      <c r="K1611" s="88"/>
      <c r="L1611" s="25" t="str">
        <f>IF($D1611="","",SUMIFS($H$4:$H1611,$D$4:$D1611,$D1611)+SUMIFS($I$4:$I1611,$D$4:$D1611,$D1611)-SUMIFS($J$4:$J1611,$D$4:$D1611,$D1611)-SUMIFS($K$4:$K1611,$D$4:$D1611,$D1611))</f>
        <v/>
      </c>
      <c r="M1611" s="80"/>
      <c r="N1611" s="80"/>
      <c r="O1611" s="94"/>
      <c r="P1611" s="26" t="str">
        <f t="shared" si="77"/>
        <v/>
      </c>
      <c r="Q1611" s="80"/>
      <c r="R1611" s="80"/>
      <c r="S1611" s="80"/>
      <c r="T1611" s="82"/>
      <c r="U1611" s="80"/>
      <c r="V1611" s="80"/>
      <c r="W1611" s="80"/>
    </row>
    <row r="1612" ht="18" customHeight="1" spans="1:23">
      <c r="A1612" s="87" t="str">
        <f t="shared" si="75"/>
        <v/>
      </c>
      <c r="B1612" s="78"/>
      <c r="C1612" s="80"/>
      <c r="D1612" s="79"/>
      <c r="E1612" s="80"/>
      <c r="F1612" s="79"/>
      <c r="G1612" s="25" t="str">
        <f t="shared" si="76"/>
        <v/>
      </c>
      <c r="H1612" s="88"/>
      <c r="I1612" s="93"/>
      <c r="J1612" s="97"/>
      <c r="K1612" s="88"/>
      <c r="L1612" s="25" t="str">
        <f>IF($D1612="","",SUMIFS($H$4:$H1612,$D$4:$D1612,$D1612)+SUMIFS($I$4:$I1612,$D$4:$D1612,$D1612)-SUMIFS($J$4:$J1612,$D$4:$D1612,$D1612)-SUMIFS($K$4:$K1612,$D$4:$D1612,$D1612))</f>
        <v/>
      </c>
      <c r="M1612" s="80"/>
      <c r="N1612" s="80"/>
      <c r="O1612" s="94"/>
      <c r="P1612" s="26" t="str">
        <f t="shared" si="77"/>
        <v/>
      </c>
      <c r="Q1612" s="80"/>
      <c r="R1612" s="80"/>
      <c r="S1612" s="80"/>
      <c r="T1612" s="82"/>
      <c r="U1612" s="80"/>
      <c r="V1612" s="80"/>
      <c r="W1612" s="80"/>
    </row>
    <row r="1613" ht="18" customHeight="1" spans="1:23">
      <c r="A1613" s="87" t="str">
        <f t="shared" si="75"/>
        <v/>
      </c>
      <c r="B1613" s="78"/>
      <c r="C1613" s="80"/>
      <c r="D1613" s="79"/>
      <c r="E1613" s="80"/>
      <c r="F1613" s="79"/>
      <c r="G1613" s="25" t="str">
        <f t="shared" si="76"/>
        <v/>
      </c>
      <c r="H1613" s="88"/>
      <c r="I1613" s="93"/>
      <c r="J1613" s="97"/>
      <c r="K1613" s="88"/>
      <c r="L1613" s="25" t="str">
        <f>IF($D1613="","",SUMIFS($H$4:$H1613,$D$4:$D1613,$D1613)+SUMIFS($I$4:$I1613,$D$4:$D1613,$D1613)-SUMIFS($J$4:$J1613,$D$4:$D1613,$D1613)-SUMIFS($K$4:$K1613,$D$4:$D1613,$D1613))</f>
        <v/>
      </c>
      <c r="M1613" s="80"/>
      <c r="N1613" s="80"/>
      <c r="O1613" s="94"/>
      <c r="P1613" s="26" t="str">
        <f t="shared" si="77"/>
        <v/>
      </c>
      <c r="Q1613" s="80"/>
      <c r="R1613" s="80"/>
      <c r="S1613" s="80"/>
      <c r="T1613" s="82"/>
      <c r="U1613" s="80"/>
      <c r="V1613" s="80"/>
      <c r="W1613" s="80"/>
    </row>
    <row r="1614" ht="18" customHeight="1" spans="1:23">
      <c r="A1614" s="87" t="str">
        <f t="shared" si="75"/>
        <v/>
      </c>
      <c r="B1614" s="78"/>
      <c r="C1614" s="80"/>
      <c r="D1614" s="79"/>
      <c r="E1614" s="80"/>
      <c r="F1614" s="79"/>
      <c r="G1614" s="25" t="str">
        <f t="shared" si="76"/>
        <v/>
      </c>
      <c r="H1614" s="88"/>
      <c r="I1614" s="93"/>
      <c r="J1614" s="97"/>
      <c r="K1614" s="88"/>
      <c r="L1614" s="25" t="str">
        <f>IF($D1614="","",SUMIFS($H$4:$H1614,$D$4:$D1614,$D1614)+SUMIFS($I$4:$I1614,$D$4:$D1614,$D1614)-SUMIFS($J$4:$J1614,$D$4:$D1614,$D1614)-SUMIFS($K$4:$K1614,$D$4:$D1614,$D1614))</f>
        <v/>
      </c>
      <c r="M1614" s="80"/>
      <c r="N1614" s="80"/>
      <c r="O1614" s="94"/>
      <c r="P1614" s="26" t="str">
        <f t="shared" si="77"/>
        <v/>
      </c>
      <c r="Q1614" s="80"/>
      <c r="R1614" s="80"/>
      <c r="S1614" s="80"/>
      <c r="T1614" s="82"/>
      <c r="U1614" s="80"/>
      <c r="V1614" s="80"/>
      <c r="W1614" s="80"/>
    </row>
    <row r="1615" ht="18" customHeight="1" spans="1:23">
      <c r="A1615" s="87" t="str">
        <f t="shared" si="75"/>
        <v/>
      </c>
      <c r="B1615" s="78"/>
      <c r="C1615" s="80"/>
      <c r="D1615" s="79"/>
      <c r="E1615" s="80"/>
      <c r="F1615" s="79"/>
      <c r="G1615" s="25" t="str">
        <f t="shared" si="76"/>
        <v/>
      </c>
      <c r="H1615" s="88"/>
      <c r="I1615" s="93"/>
      <c r="J1615" s="97"/>
      <c r="K1615" s="88"/>
      <c r="L1615" s="25" t="str">
        <f>IF($D1615="","",SUMIFS($H$4:$H1615,$D$4:$D1615,$D1615)+SUMIFS($I$4:$I1615,$D$4:$D1615,$D1615)-SUMIFS($J$4:$J1615,$D$4:$D1615,$D1615)-SUMIFS($K$4:$K1615,$D$4:$D1615,$D1615))</f>
        <v/>
      </c>
      <c r="M1615" s="80"/>
      <c r="N1615" s="80"/>
      <c r="O1615" s="94"/>
      <c r="P1615" s="26" t="str">
        <f t="shared" si="77"/>
        <v/>
      </c>
      <c r="Q1615" s="80"/>
      <c r="R1615" s="80"/>
      <c r="S1615" s="80"/>
      <c r="T1615" s="82"/>
      <c r="U1615" s="80"/>
      <c r="V1615" s="80"/>
      <c r="W1615" s="80"/>
    </row>
    <row r="1616" ht="18" customHeight="1" spans="1:23">
      <c r="A1616" s="87" t="str">
        <f t="shared" si="75"/>
        <v/>
      </c>
      <c r="B1616" s="78"/>
      <c r="C1616" s="80"/>
      <c r="D1616" s="79"/>
      <c r="E1616" s="80"/>
      <c r="F1616" s="79"/>
      <c r="G1616" s="25" t="str">
        <f t="shared" si="76"/>
        <v/>
      </c>
      <c r="H1616" s="88"/>
      <c r="I1616" s="93"/>
      <c r="J1616" s="97"/>
      <c r="K1616" s="88"/>
      <c r="L1616" s="25" t="str">
        <f>IF($D1616="","",SUMIFS($H$4:$H1616,$D$4:$D1616,$D1616)+SUMIFS($I$4:$I1616,$D$4:$D1616,$D1616)-SUMIFS($J$4:$J1616,$D$4:$D1616,$D1616)-SUMIFS($K$4:$K1616,$D$4:$D1616,$D1616))</f>
        <v/>
      </c>
      <c r="M1616" s="80"/>
      <c r="N1616" s="80"/>
      <c r="O1616" s="94"/>
      <c r="P1616" s="26" t="str">
        <f t="shared" si="77"/>
        <v/>
      </c>
      <c r="Q1616" s="80"/>
      <c r="R1616" s="80"/>
      <c r="S1616" s="80"/>
      <c r="T1616" s="82"/>
      <c r="U1616" s="80"/>
      <c r="V1616" s="80"/>
      <c r="W1616" s="80"/>
    </row>
    <row r="1617" ht="18" customHeight="1" spans="1:23">
      <c r="A1617" s="87" t="str">
        <f t="shared" si="75"/>
        <v/>
      </c>
      <c r="B1617" s="78"/>
      <c r="C1617" s="80"/>
      <c r="D1617" s="79"/>
      <c r="E1617" s="80"/>
      <c r="F1617" s="79"/>
      <c r="G1617" s="25" t="str">
        <f t="shared" si="76"/>
        <v/>
      </c>
      <c r="H1617" s="88"/>
      <c r="I1617" s="93"/>
      <c r="J1617" s="97"/>
      <c r="K1617" s="88"/>
      <c r="L1617" s="25" t="str">
        <f>IF($D1617="","",SUMIFS($H$4:$H1617,$D$4:$D1617,$D1617)+SUMIFS($I$4:$I1617,$D$4:$D1617,$D1617)-SUMIFS($J$4:$J1617,$D$4:$D1617,$D1617)-SUMIFS($K$4:$K1617,$D$4:$D1617,$D1617))</f>
        <v/>
      </c>
      <c r="M1617" s="80"/>
      <c r="N1617" s="80"/>
      <c r="O1617" s="94"/>
      <c r="P1617" s="26" t="str">
        <f t="shared" si="77"/>
        <v/>
      </c>
      <c r="Q1617" s="80"/>
      <c r="R1617" s="80"/>
      <c r="S1617" s="80"/>
      <c r="T1617" s="82"/>
      <c r="U1617" s="80"/>
      <c r="V1617" s="80"/>
      <c r="W1617" s="80"/>
    </row>
    <row r="1618" ht="18" customHeight="1" spans="1:23">
      <c r="A1618" s="87" t="str">
        <f t="shared" si="75"/>
        <v/>
      </c>
      <c r="B1618" s="78"/>
      <c r="C1618" s="80"/>
      <c r="D1618" s="79"/>
      <c r="E1618" s="80"/>
      <c r="F1618" s="79"/>
      <c r="G1618" s="25" t="str">
        <f t="shared" si="76"/>
        <v/>
      </c>
      <c r="H1618" s="88"/>
      <c r="I1618" s="93"/>
      <c r="J1618" s="97"/>
      <c r="K1618" s="88"/>
      <c r="L1618" s="25" t="str">
        <f>IF($D1618="","",SUMIFS($H$4:$H1618,$D$4:$D1618,$D1618)+SUMIFS($I$4:$I1618,$D$4:$D1618,$D1618)-SUMIFS($J$4:$J1618,$D$4:$D1618,$D1618)-SUMIFS($K$4:$K1618,$D$4:$D1618,$D1618))</f>
        <v/>
      </c>
      <c r="M1618" s="80"/>
      <c r="N1618" s="80"/>
      <c r="O1618" s="94"/>
      <c r="P1618" s="26" t="str">
        <f t="shared" si="77"/>
        <v/>
      </c>
      <c r="Q1618" s="80"/>
      <c r="R1618" s="80"/>
      <c r="S1618" s="80"/>
      <c r="T1618" s="82"/>
      <c r="U1618" s="80"/>
      <c r="V1618" s="80"/>
      <c r="W1618" s="80"/>
    </row>
    <row r="1619" ht="18" customHeight="1" spans="1:23">
      <c r="A1619" s="87" t="str">
        <f t="shared" si="75"/>
        <v/>
      </c>
      <c r="B1619" s="78"/>
      <c r="C1619" s="80"/>
      <c r="D1619" s="79"/>
      <c r="E1619" s="80"/>
      <c r="F1619" s="79"/>
      <c r="G1619" s="25" t="str">
        <f t="shared" si="76"/>
        <v/>
      </c>
      <c r="H1619" s="88"/>
      <c r="I1619" s="93"/>
      <c r="J1619" s="97"/>
      <c r="K1619" s="88"/>
      <c r="L1619" s="25" t="str">
        <f>IF($D1619="","",SUMIFS($H$4:$H1619,$D$4:$D1619,$D1619)+SUMIFS($I$4:$I1619,$D$4:$D1619,$D1619)-SUMIFS($J$4:$J1619,$D$4:$D1619,$D1619)-SUMIFS($K$4:$K1619,$D$4:$D1619,$D1619))</f>
        <v/>
      </c>
      <c r="M1619" s="80"/>
      <c r="N1619" s="80"/>
      <c r="O1619" s="94"/>
      <c r="P1619" s="26" t="str">
        <f t="shared" si="77"/>
        <v/>
      </c>
      <c r="Q1619" s="80"/>
      <c r="R1619" s="80"/>
      <c r="S1619" s="80"/>
      <c r="T1619" s="82"/>
      <c r="U1619" s="80"/>
      <c r="V1619" s="80"/>
      <c r="W1619" s="80"/>
    </row>
    <row r="1620" ht="18" customHeight="1" spans="1:23">
      <c r="A1620" s="87" t="str">
        <f t="shared" si="75"/>
        <v/>
      </c>
      <c r="B1620" s="78"/>
      <c r="C1620" s="80"/>
      <c r="D1620" s="79"/>
      <c r="E1620" s="80"/>
      <c r="F1620" s="79"/>
      <c r="G1620" s="25" t="str">
        <f t="shared" si="76"/>
        <v/>
      </c>
      <c r="H1620" s="88"/>
      <c r="I1620" s="93"/>
      <c r="J1620" s="97"/>
      <c r="K1620" s="88"/>
      <c r="L1620" s="25" t="str">
        <f>IF($D1620="","",SUMIFS($H$4:$H1620,$D$4:$D1620,$D1620)+SUMIFS($I$4:$I1620,$D$4:$D1620,$D1620)-SUMIFS($J$4:$J1620,$D$4:$D1620,$D1620)-SUMIFS($K$4:$K1620,$D$4:$D1620,$D1620))</f>
        <v/>
      </c>
      <c r="M1620" s="80"/>
      <c r="N1620" s="80"/>
      <c r="O1620" s="94"/>
      <c r="P1620" s="26" t="str">
        <f t="shared" si="77"/>
        <v/>
      </c>
      <c r="Q1620" s="80"/>
      <c r="R1620" s="80"/>
      <c r="S1620" s="80"/>
      <c r="T1620" s="82"/>
      <c r="U1620" s="80"/>
      <c r="V1620" s="80"/>
      <c r="W1620" s="80"/>
    </row>
    <row r="1621" ht="18" customHeight="1" spans="1:23">
      <c r="A1621" s="87" t="str">
        <f t="shared" si="75"/>
        <v/>
      </c>
      <c r="B1621" s="78"/>
      <c r="C1621" s="80"/>
      <c r="D1621" s="79"/>
      <c r="E1621" s="80"/>
      <c r="F1621" s="79"/>
      <c r="G1621" s="25" t="str">
        <f t="shared" si="76"/>
        <v/>
      </c>
      <c r="H1621" s="88"/>
      <c r="I1621" s="93"/>
      <c r="J1621" s="97"/>
      <c r="K1621" s="88"/>
      <c r="L1621" s="25" t="str">
        <f>IF($D1621="","",SUMIFS($H$4:$H1621,$D$4:$D1621,$D1621)+SUMIFS($I$4:$I1621,$D$4:$D1621,$D1621)-SUMIFS($J$4:$J1621,$D$4:$D1621,$D1621)-SUMIFS($K$4:$K1621,$D$4:$D1621,$D1621))</f>
        <v/>
      </c>
      <c r="M1621" s="80"/>
      <c r="N1621" s="80"/>
      <c r="O1621" s="94"/>
      <c r="P1621" s="26" t="str">
        <f t="shared" si="77"/>
        <v/>
      </c>
      <c r="Q1621" s="80"/>
      <c r="R1621" s="80"/>
      <c r="S1621" s="80"/>
      <c r="T1621" s="82"/>
      <c r="U1621" s="80"/>
      <c r="V1621" s="80"/>
      <c r="W1621" s="80"/>
    </row>
    <row r="1622" ht="18" customHeight="1" spans="1:23">
      <c r="A1622" s="87" t="str">
        <f t="shared" si="75"/>
        <v/>
      </c>
      <c r="B1622" s="78"/>
      <c r="C1622" s="80"/>
      <c r="D1622" s="79"/>
      <c r="E1622" s="80"/>
      <c r="F1622" s="79"/>
      <c r="G1622" s="25" t="str">
        <f t="shared" si="76"/>
        <v/>
      </c>
      <c r="H1622" s="88"/>
      <c r="I1622" s="93"/>
      <c r="J1622" s="97"/>
      <c r="K1622" s="88"/>
      <c r="L1622" s="25" t="str">
        <f>IF($D1622="","",SUMIFS($H$4:$H1622,$D$4:$D1622,$D1622)+SUMIFS($I$4:$I1622,$D$4:$D1622,$D1622)-SUMIFS($J$4:$J1622,$D$4:$D1622,$D1622)-SUMIFS($K$4:$K1622,$D$4:$D1622,$D1622))</f>
        <v/>
      </c>
      <c r="M1622" s="80"/>
      <c r="N1622" s="80"/>
      <c r="O1622" s="94"/>
      <c r="P1622" s="26" t="str">
        <f t="shared" si="77"/>
        <v/>
      </c>
      <c r="Q1622" s="80"/>
      <c r="R1622" s="80"/>
      <c r="S1622" s="80"/>
      <c r="T1622" s="82"/>
      <c r="U1622" s="80"/>
      <c r="V1622" s="80"/>
      <c r="W1622" s="80"/>
    </row>
    <row r="1623" ht="18" customHeight="1" spans="1:23">
      <c r="A1623" s="87" t="str">
        <f t="shared" si="75"/>
        <v/>
      </c>
      <c r="B1623" s="78"/>
      <c r="C1623" s="80"/>
      <c r="D1623" s="79"/>
      <c r="E1623" s="80"/>
      <c r="F1623" s="79"/>
      <c r="G1623" s="25" t="str">
        <f t="shared" si="76"/>
        <v/>
      </c>
      <c r="H1623" s="88"/>
      <c r="I1623" s="93"/>
      <c r="J1623" s="97"/>
      <c r="K1623" s="88"/>
      <c r="L1623" s="25" t="str">
        <f>IF($D1623="","",SUMIFS($H$4:$H1623,$D$4:$D1623,$D1623)+SUMIFS($I$4:$I1623,$D$4:$D1623,$D1623)-SUMIFS($J$4:$J1623,$D$4:$D1623,$D1623)-SUMIFS($K$4:$K1623,$D$4:$D1623,$D1623))</f>
        <v/>
      </c>
      <c r="M1623" s="80"/>
      <c r="N1623" s="80"/>
      <c r="O1623" s="94"/>
      <c r="P1623" s="26" t="str">
        <f t="shared" si="77"/>
        <v/>
      </c>
      <c r="Q1623" s="80"/>
      <c r="R1623" s="80"/>
      <c r="S1623" s="80"/>
      <c r="T1623" s="82"/>
      <c r="U1623" s="80"/>
      <c r="V1623" s="80"/>
      <c r="W1623" s="80"/>
    </row>
    <row r="1624" ht="18" customHeight="1" spans="1:23">
      <c r="A1624" s="87" t="str">
        <f t="shared" si="75"/>
        <v/>
      </c>
      <c r="B1624" s="78"/>
      <c r="C1624" s="80"/>
      <c r="D1624" s="79"/>
      <c r="E1624" s="80"/>
      <c r="F1624" s="79"/>
      <c r="G1624" s="25" t="str">
        <f t="shared" si="76"/>
        <v/>
      </c>
      <c r="H1624" s="88"/>
      <c r="I1624" s="93"/>
      <c r="J1624" s="97"/>
      <c r="K1624" s="88"/>
      <c r="L1624" s="25" t="str">
        <f>IF($D1624="","",SUMIFS($H$4:$H1624,$D$4:$D1624,$D1624)+SUMIFS($I$4:$I1624,$D$4:$D1624,$D1624)-SUMIFS($J$4:$J1624,$D$4:$D1624,$D1624)-SUMIFS($K$4:$K1624,$D$4:$D1624,$D1624))</f>
        <v/>
      </c>
      <c r="M1624" s="80"/>
      <c r="N1624" s="80"/>
      <c r="O1624" s="94"/>
      <c r="P1624" s="26" t="str">
        <f t="shared" si="77"/>
        <v/>
      </c>
      <c r="Q1624" s="80"/>
      <c r="R1624" s="80"/>
      <c r="S1624" s="80"/>
      <c r="T1624" s="82"/>
      <c r="U1624" s="80"/>
      <c r="V1624" s="80"/>
      <c r="W1624" s="80"/>
    </row>
    <row r="1625" ht="18" customHeight="1" spans="1:23">
      <c r="A1625" s="87" t="str">
        <f t="shared" si="75"/>
        <v/>
      </c>
      <c r="B1625" s="78"/>
      <c r="C1625" s="80"/>
      <c r="D1625" s="79"/>
      <c r="E1625" s="80"/>
      <c r="F1625" s="79"/>
      <c r="G1625" s="25" t="str">
        <f t="shared" si="76"/>
        <v/>
      </c>
      <c r="H1625" s="88"/>
      <c r="I1625" s="93"/>
      <c r="J1625" s="97"/>
      <c r="K1625" s="88"/>
      <c r="L1625" s="25" t="str">
        <f>IF($D1625="","",SUMIFS($H$4:$H1625,$D$4:$D1625,$D1625)+SUMIFS($I$4:$I1625,$D$4:$D1625,$D1625)-SUMIFS($J$4:$J1625,$D$4:$D1625,$D1625)-SUMIFS($K$4:$K1625,$D$4:$D1625,$D1625))</f>
        <v/>
      </c>
      <c r="M1625" s="80"/>
      <c r="N1625" s="80"/>
      <c r="O1625" s="94"/>
      <c r="P1625" s="26" t="str">
        <f t="shared" si="77"/>
        <v/>
      </c>
      <c r="Q1625" s="80"/>
      <c r="R1625" s="80"/>
      <c r="S1625" s="80"/>
      <c r="T1625" s="82"/>
      <c r="U1625" s="80"/>
      <c r="V1625" s="80"/>
      <c r="W1625" s="80"/>
    </row>
    <row r="1626" ht="18" customHeight="1" spans="1:23">
      <c r="A1626" s="87" t="str">
        <f t="shared" si="75"/>
        <v/>
      </c>
      <c r="B1626" s="78"/>
      <c r="C1626" s="80"/>
      <c r="D1626" s="79"/>
      <c r="E1626" s="80"/>
      <c r="F1626" s="79"/>
      <c r="G1626" s="25" t="str">
        <f t="shared" si="76"/>
        <v/>
      </c>
      <c r="H1626" s="88"/>
      <c r="I1626" s="93"/>
      <c r="J1626" s="97"/>
      <c r="K1626" s="88"/>
      <c r="L1626" s="25" t="str">
        <f>IF($D1626="","",SUMIFS($H$4:$H1626,$D$4:$D1626,$D1626)+SUMIFS($I$4:$I1626,$D$4:$D1626,$D1626)-SUMIFS($J$4:$J1626,$D$4:$D1626,$D1626)-SUMIFS($K$4:$K1626,$D$4:$D1626,$D1626))</f>
        <v/>
      </c>
      <c r="M1626" s="80"/>
      <c r="N1626" s="80"/>
      <c r="O1626" s="94"/>
      <c r="P1626" s="26" t="str">
        <f t="shared" si="77"/>
        <v/>
      </c>
      <c r="Q1626" s="80"/>
      <c r="R1626" s="80"/>
      <c r="S1626" s="80"/>
      <c r="T1626" s="82"/>
      <c r="U1626" s="80"/>
      <c r="V1626" s="80"/>
      <c r="W1626" s="80"/>
    </row>
    <row r="1627" ht="18" customHeight="1" spans="1:23">
      <c r="A1627" s="87" t="str">
        <f t="shared" si="75"/>
        <v/>
      </c>
      <c r="B1627" s="78"/>
      <c r="C1627" s="80"/>
      <c r="D1627" s="79"/>
      <c r="E1627" s="80"/>
      <c r="F1627" s="79"/>
      <c r="G1627" s="25" t="str">
        <f t="shared" si="76"/>
        <v/>
      </c>
      <c r="H1627" s="88"/>
      <c r="I1627" s="93"/>
      <c r="J1627" s="97"/>
      <c r="K1627" s="88"/>
      <c r="L1627" s="25" t="str">
        <f>IF($D1627="","",SUMIFS($H$4:$H1627,$D$4:$D1627,$D1627)+SUMIFS($I$4:$I1627,$D$4:$D1627,$D1627)-SUMIFS($J$4:$J1627,$D$4:$D1627,$D1627)-SUMIFS($K$4:$K1627,$D$4:$D1627,$D1627))</f>
        <v/>
      </c>
      <c r="M1627" s="80"/>
      <c r="N1627" s="80"/>
      <c r="O1627" s="94"/>
      <c r="P1627" s="26" t="str">
        <f t="shared" si="77"/>
        <v/>
      </c>
      <c r="Q1627" s="80"/>
      <c r="R1627" s="80"/>
      <c r="S1627" s="80"/>
      <c r="T1627" s="82"/>
      <c r="U1627" s="80"/>
      <c r="V1627" s="80"/>
      <c r="W1627" s="80"/>
    </row>
    <row r="1628" ht="18" customHeight="1" spans="1:23">
      <c r="A1628" s="87" t="str">
        <f t="shared" si="75"/>
        <v/>
      </c>
      <c r="B1628" s="78"/>
      <c r="C1628" s="80"/>
      <c r="D1628" s="79"/>
      <c r="E1628" s="80"/>
      <c r="F1628" s="79"/>
      <c r="G1628" s="25" t="str">
        <f t="shared" si="76"/>
        <v/>
      </c>
      <c r="H1628" s="88"/>
      <c r="I1628" s="93"/>
      <c r="J1628" s="97"/>
      <c r="K1628" s="88"/>
      <c r="L1628" s="25" t="str">
        <f>IF($D1628="","",SUMIFS($H$4:$H1628,$D$4:$D1628,$D1628)+SUMIFS($I$4:$I1628,$D$4:$D1628,$D1628)-SUMIFS($J$4:$J1628,$D$4:$D1628,$D1628)-SUMIFS($K$4:$K1628,$D$4:$D1628,$D1628))</f>
        <v/>
      </c>
      <c r="M1628" s="80"/>
      <c r="N1628" s="80"/>
      <c r="O1628" s="94"/>
      <c r="P1628" s="26" t="str">
        <f t="shared" si="77"/>
        <v/>
      </c>
      <c r="Q1628" s="80"/>
      <c r="R1628" s="80"/>
      <c r="S1628" s="80"/>
      <c r="T1628" s="82"/>
      <c r="U1628" s="80"/>
      <c r="V1628" s="80"/>
      <c r="W1628" s="80"/>
    </row>
    <row r="1629" ht="18" customHeight="1" spans="1:23">
      <c r="A1629" s="87" t="str">
        <f t="shared" si="75"/>
        <v/>
      </c>
      <c r="B1629" s="78"/>
      <c r="C1629" s="80"/>
      <c r="D1629" s="79"/>
      <c r="E1629" s="80"/>
      <c r="F1629" s="79"/>
      <c r="G1629" s="25" t="str">
        <f t="shared" si="76"/>
        <v/>
      </c>
      <c r="H1629" s="88"/>
      <c r="I1629" s="93"/>
      <c r="J1629" s="97"/>
      <c r="K1629" s="88"/>
      <c r="L1629" s="25" t="str">
        <f>IF($D1629="","",SUMIFS($H$4:$H1629,$D$4:$D1629,$D1629)+SUMIFS($I$4:$I1629,$D$4:$D1629,$D1629)-SUMIFS($J$4:$J1629,$D$4:$D1629,$D1629)-SUMIFS($K$4:$K1629,$D$4:$D1629,$D1629))</f>
        <v/>
      </c>
      <c r="M1629" s="80"/>
      <c r="N1629" s="80"/>
      <c r="O1629" s="94"/>
      <c r="P1629" s="26" t="str">
        <f t="shared" si="77"/>
        <v/>
      </c>
      <c r="Q1629" s="80"/>
      <c r="R1629" s="80"/>
      <c r="S1629" s="80"/>
      <c r="T1629" s="82"/>
      <c r="U1629" s="80"/>
      <c r="V1629" s="80"/>
      <c r="W1629" s="80"/>
    </row>
    <row r="1630" ht="18" customHeight="1" spans="1:23">
      <c r="A1630" s="87" t="str">
        <f t="shared" si="75"/>
        <v/>
      </c>
      <c r="B1630" s="78"/>
      <c r="C1630" s="80"/>
      <c r="D1630" s="79"/>
      <c r="E1630" s="80"/>
      <c r="F1630" s="79"/>
      <c r="G1630" s="25" t="str">
        <f t="shared" si="76"/>
        <v/>
      </c>
      <c r="H1630" s="88"/>
      <c r="I1630" s="93"/>
      <c r="J1630" s="97"/>
      <c r="K1630" s="88"/>
      <c r="L1630" s="25" t="str">
        <f>IF($D1630="","",SUMIFS($H$4:$H1630,$D$4:$D1630,$D1630)+SUMIFS($I$4:$I1630,$D$4:$D1630,$D1630)-SUMIFS($J$4:$J1630,$D$4:$D1630,$D1630)-SUMIFS($K$4:$K1630,$D$4:$D1630,$D1630))</f>
        <v/>
      </c>
      <c r="M1630" s="80"/>
      <c r="N1630" s="80"/>
      <c r="O1630" s="94"/>
      <c r="P1630" s="26" t="str">
        <f t="shared" si="77"/>
        <v/>
      </c>
      <c r="Q1630" s="80"/>
      <c r="R1630" s="80"/>
      <c r="S1630" s="80"/>
      <c r="T1630" s="82"/>
      <c r="U1630" s="80"/>
      <c r="V1630" s="80"/>
      <c r="W1630" s="80"/>
    </row>
    <row r="1631" ht="18" customHeight="1" spans="1:23">
      <c r="A1631" s="87" t="str">
        <f t="shared" si="75"/>
        <v/>
      </c>
      <c r="B1631" s="78"/>
      <c r="C1631" s="80"/>
      <c r="D1631" s="79"/>
      <c r="E1631" s="80"/>
      <c r="F1631" s="79"/>
      <c r="G1631" s="25" t="str">
        <f t="shared" si="76"/>
        <v/>
      </c>
      <c r="H1631" s="88"/>
      <c r="I1631" s="93"/>
      <c r="J1631" s="97"/>
      <c r="K1631" s="88"/>
      <c r="L1631" s="25" t="str">
        <f>IF($D1631="","",SUMIFS($H$4:$H1631,$D$4:$D1631,$D1631)+SUMIFS($I$4:$I1631,$D$4:$D1631,$D1631)-SUMIFS($J$4:$J1631,$D$4:$D1631,$D1631)-SUMIFS($K$4:$K1631,$D$4:$D1631,$D1631))</f>
        <v/>
      </c>
      <c r="M1631" s="80"/>
      <c r="N1631" s="80"/>
      <c r="O1631" s="94"/>
      <c r="P1631" s="26" t="str">
        <f t="shared" si="77"/>
        <v/>
      </c>
      <c r="Q1631" s="80"/>
      <c r="R1631" s="80"/>
      <c r="S1631" s="80"/>
      <c r="T1631" s="82"/>
      <c r="U1631" s="80"/>
      <c r="V1631" s="80"/>
      <c r="W1631" s="80"/>
    </row>
    <row r="1632" ht="18" customHeight="1" spans="1:23">
      <c r="A1632" s="87" t="str">
        <f t="shared" si="75"/>
        <v/>
      </c>
      <c r="B1632" s="78"/>
      <c r="C1632" s="80"/>
      <c r="D1632" s="79"/>
      <c r="E1632" s="80"/>
      <c r="F1632" s="79"/>
      <c r="G1632" s="25" t="str">
        <f t="shared" si="76"/>
        <v/>
      </c>
      <c r="H1632" s="88"/>
      <c r="I1632" s="93"/>
      <c r="J1632" s="97"/>
      <c r="K1632" s="88"/>
      <c r="L1632" s="25" t="str">
        <f>IF($D1632="","",SUMIFS($H$4:$H1632,$D$4:$D1632,$D1632)+SUMIFS($I$4:$I1632,$D$4:$D1632,$D1632)-SUMIFS($J$4:$J1632,$D$4:$D1632,$D1632)-SUMIFS($K$4:$K1632,$D$4:$D1632,$D1632))</f>
        <v/>
      </c>
      <c r="M1632" s="80"/>
      <c r="N1632" s="80"/>
      <c r="O1632" s="94"/>
      <c r="P1632" s="26" t="str">
        <f t="shared" si="77"/>
        <v/>
      </c>
      <c r="Q1632" s="80"/>
      <c r="R1632" s="80"/>
      <c r="S1632" s="80"/>
      <c r="T1632" s="82"/>
      <c r="U1632" s="80"/>
      <c r="V1632" s="80"/>
      <c r="W1632" s="80"/>
    </row>
    <row r="1633" ht="18" customHeight="1" spans="1:23">
      <c r="A1633" s="87" t="str">
        <f t="shared" si="75"/>
        <v/>
      </c>
      <c r="B1633" s="78"/>
      <c r="C1633" s="80"/>
      <c r="D1633" s="79"/>
      <c r="E1633" s="80"/>
      <c r="F1633" s="79"/>
      <c r="G1633" s="25" t="str">
        <f t="shared" si="76"/>
        <v/>
      </c>
      <c r="H1633" s="88"/>
      <c r="I1633" s="93"/>
      <c r="J1633" s="97"/>
      <c r="K1633" s="88"/>
      <c r="L1633" s="25" t="str">
        <f>IF($D1633="","",SUMIFS($H$4:$H1633,$D$4:$D1633,$D1633)+SUMIFS($I$4:$I1633,$D$4:$D1633,$D1633)-SUMIFS($J$4:$J1633,$D$4:$D1633,$D1633)-SUMIFS($K$4:$K1633,$D$4:$D1633,$D1633))</f>
        <v/>
      </c>
      <c r="M1633" s="80"/>
      <c r="N1633" s="80"/>
      <c r="O1633" s="94"/>
      <c r="P1633" s="26" t="str">
        <f t="shared" si="77"/>
        <v/>
      </c>
      <c r="Q1633" s="80"/>
      <c r="R1633" s="80"/>
      <c r="S1633" s="80"/>
      <c r="T1633" s="82"/>
      <c r="U1633" s="80"/>
      <c r="V1633" s="80"/>
      <c r="W1633" s="80"/>
    </row>
    <row r="1634" ht="18" customHeight="1" spans="1:23">
      <c r="A1634" s="87" t="str">
        <f t="shared" si="75"/>
        <v/>
      </c>
      <c r="B1634" s="78"/>
      <c r="C1634" s="80"/>
      <c r="D1634" s="79"/>
      <c r="E1634" s="80"/>
      <c r="F1634" s="79"/>
      <c r="G1634" s="25" t="str">
        <f t="shared" si="76"/>
        <v/>
      </c>
      <c r="H1634" s="88"/>
      <c r="I1634" s="93"/>
      <c r="J1634" s="97"/>
      <c r="K1634" s="88"/>
      <c r="L1634" s="25" t="str">
        <f>IF($D1634="","",SUMIFS($H$4:$H1634,$D$4:$D1634,$D1634)+SUMIFS($I$4:$I1634,$D$4:$D1634,$D1634)-SUMIFS($J$4:$J1634,$D$4:$D1634,$D1634)-SUMIFS($K$4:$K1634,$D$4:$D1634,$D1634))</f>
        <v/>
      </c>
      <c r="M1634" s="80"/>
      <c r="N1634" s="80"/>
      <c r="O1634" s="94"/>
      <c r="P1634" s="26" t="str">
        <f t="shared" si="77"/>
        <v/>
      </c>
      <c r="Q1634" s="80"/>
      <c r="R1634" s="80"/>
      <c r="S1634" s="80"/>
      <c r="T1634" s="82"/>
      <c r="U1634" s="80"/>
      <c r="V1634" s="80"/>
      <c r="W1634" s="80"/>
    </row>
    <row r="1635" ht="18" customHeight="1" spans="1:23">
      <c r="A1635" s="87" t="str">
        <f t="shared" si="75"/>
        <v/>
      </c>
      <c r="B1635" s="78"/>
      <c r="C1635" s="80"/>
      <c r="D1635" s="79"/>
      <c r="E1635" s="80"/>
      <c r="F1635" s="79"/>
      <c r="G1635" s="25" t="str">
        <f t="shared" si="76"/>
        <v/>
      </c>
      <c r="H1635" s="88"/>
      <c r="I1635" s="93"/>
      <c r="J1635" s="97"/>
      <c r="K1635" s="88"/>
      <c r="L1635" s="25" t="str">
        <f>IF($D1635="","",SUMIFS($H$4:$H1635,$D$4:$D1635,$D1635)+SUMIFS($I$4:$I1635,$D$4:$D1635,$D1635)-SUMIFS($J$4:$J1635,$D$4:$D1635,$D1635)-SUMIFS($K$4:$K1635,$D$4:$D1635,$D1635))</f>
        <v/>
      </c>
      <c r="M1635" s="80"/>
      <c r="N1635" s="80"/>
      <c r="O1635" s="94"/>
      <c r="P1635" s="26" t="str">
        <f t="shared" si="77"/>
        <v/>
      </c>
      <c r="Q1635" s="80"/>
      <c r="R1635" s="80"/>
      <c r="S1635" s="80"/>
      <c r="T1635" s="82"/>
      <c r="U1635" s="80"/>
      <c r="V1635" s="80"/>
      <c r="W1635" s="80"/>
    </row>
    <row r="1636" ht="18" customHeight="1" spans="1:23">
      <c r="A1636" s="87" t="str">
        <f t="shared" si="75"/>
        <v/>
      </c>
      <c r="B1636" s="78"/>
      <c r="C1636" s="80"/>
      <c r="D1636" s="79"/>
      <c r="E1636" s="80"/>
      <c r="F1636" s="79"/>
      <c r="G1636" s="25" t="str">
        <f t="shared" si="76"/>
        <v/>
      </c>
      <c r="H1636" s="88"/>
      <c r="I1636" s="93"/>
      <c r="J1636" s="97"/>
      <c r="K1636" s="88"/>
      <c r="L1636" s="25" t="str">
        <f>IF($D1636="","",SUMIFS($H$4:$H1636,$D$4:$D1636,$D1636)+SUMIFS($I$4:$I1636,$D$4:$D1636,$D1636)-SUMIFS($J$4:$J1636,$D$4:$D1636,$D1636)-SUMIFS($K$4:$K1636,$D$4:$D1636,$D1636))</f>
        <v/>
      </c>
      <c r="M1636" s="80"/>
      <c r="N1636" s="80"/>
      <c r="O1636" s="94"/>
      <c r="P1636" s="26" t="str">
        <f t="shared" si="77"/>
        <v/>
      </c>
      <c r="Q1636" s="80"/>
      <c r="R1636" s="80"/>
      <c r="S1636" s="80"/>
      <c r="T1636" s="82"/>
      <c r="U1636" s="80"/>
      <c r="V1636" s="80"/>
      <c r="W1636" s="80"/>
    </row>
    <row r="1637" ht="18" customHeight="1" spans="1:23">
      <c r="A1637" s="87" t="str">
        <f t="shared" si="75"/>
        <v/>
      </c>
      <c r="B1637" s="78"/>
      <c r="C1637" s="80"/>
      <c r="D1637" s="79"/>
      <c r="E1637" s="80"/>
      <c r="F1637" s="79"/>
      <c r="G1637" s="25" t="str">
        <f t="shared" si="76"/>
        <v/>
      </c>
      <c r="H1637" s="88"/>
      <c r="I1637" s="93"/>
      <c r="J1637" s="97"/>
      <c r="K1637" s="88"/>
      <c r="L1637" s="25" t="str">
        <f>IF($D1637="","",SUMIFS($H$4:$H1637,$D$4:$D1637,$D1637)+SUMIFS($I$4:$I1637,$D$4:$D1637,$D1637)-SUMIFS($J$4:$J1637,$D$4:$D1637,$D1637)-SUMIFS($K$4:$K1637,$D$4:$D1637,$D1637))</f>
        <v/>
      </c>
      <c r="M1637" s="80"/>
      <c r="N1637" s="80"/>
      <c r="O1637" s="94"/>
      <c r="P1637" s="26" t="str">
        <f t="shared" si="77"/>
        <v/>
      </c>
      <c r="Q1637" s="80"/>
      <c r="R1637" s="80"/>
      <c r="S1637" s="80"/>
      <c r="T1637" s="82"/>
      <c r="U1637" s="80"/>
      <c r="V1637" s="80"/>
      <c r="W1637" s="80"/>
    </row>
    <row r="1638" ht="18" customHeight="1" spans="1:23">
      <c r="A1638" s="87" t="str">
        <f t="shared" si="75"/>
        <v/>
      </c>
      <c r="B1638" s="78"/>
      <c r="C1638" s="80"/>
      <c r="D1638" s="79"/>
      <c r="E1638" s="80"/>
      <c r="F1638" s="79"/>
      <c r="G1638" s="25" t="str">
        <f t="shared" si="76"/>
        <v/>
      </c>
      <c r="H1638" s="88"/>
      <c r="I1638" s="93"/>
      <c r="J1638" s="97"/>
      <c r="K1638" s="88"/>
      <c r="L1638" s="25" t="str">
        <f>IF($D1638="","",SUMIFS($H$4:$H1638,$D$4:$D1638,$D1638)+SUMIFS($I$4:$I1638,$D$4:$D1638,$D1638)-SUMIFS($J$4:$J1638,$D$4:$D1638,$D1638)-SUMIFS($K$4:$K1638,$D$4:$D1638,$D1638))</f>
        <v/>
      </c>
      <c r="M1638" s="80"/>
      <c r="N1638" s="80"/>
      <c r="O1638" s="94"/>
      <c r="P1638" s="26" t="str">
        <f t="shared" si="77"/>
        <v/>
      </c>
      <c r="Q1638" s="80"/>
      <c r="R1638" s="80"/>
      <c r="S1638" s="80"/>
      <c r="T1638" s="82"/>
      <c r="U1638" s="80"/>
      <c r="V1638" s="80"/>
      <c r="W1638" s="80"/>
    </row>
    <row r="1639" ht="18" customHeight="1" spans="1:23">
      <c r="A1639" s="87" t="str">
        <f t="shared" si="75"/>
        <v/>
      </c>
      <c r="B1639" s="78"/>
      <c r="C1639" s="80"/>
      <c r="D1639" s="79"/>
      <c r="E1639" s="80"/>
      <c r="F1639" s="79"/>
      <c r="G1639" s="25" t="str">
        <f t="shared" si="76"/>
        <v/>
      </c>
      <c r="H1639" s="88"/>
      <c r="I1639" s="93"/>
      <c r="J1639" s="97"/>
      <c r="K1639" s="88"/>
      <c r="L1639" s="25" t="str">
        <f>IF($D1639="","",SUMIFS($H$4:$H1639,$D$4:$D1639,$D1639)+SUMIFS($I$4:$I1639,$D$4:$D1639,$D1639)-SUMIFS($J$4:$J1639,$D$4:$D1639,$D1639)-SUMIFS($K$4:$K1639,$D$4:$D1639,$D1639))</f>
        <v/>
      </c>
      <c r="M1639" s="80"/>
      <c r="N1639" s="80"/>
      <c r="O1639" s="94"/>
      <c r="P1639" s="26" t="str">
        <f t="shared" si="77"/>
        <v/>
      </c>
      <c r="Q1639" s="80"/>
      <c r="R1639" s="80"/>
      <c r="S1639" s="80"/>
      <c r="T1639" s="82"/>
      <c r="U1639" s="80"/>
      <c r="V1639" s="80"/>
      <c r="W1639" s="80"/>
    </row>
    <row r="1640" ht="18" customHeight="1" spans="1:23">
      <c r="A1640" s="87" t="str">
        <f t="shared" si="75"/>
        <v/>
      </c>
      <c r="B1640" s="78"/>
      <c r="C1640" s="80"/>
      <c r="D1640" s="79"/>
      <c r="E1640" s="80"/>
      <c r="F1640" s="79"/>
      <c r="G1640" s="25" t="str">
        <f t="shared" si="76"/>
        <v/>
      </c>
      <c r="H1640" s="88"/>
      <c r="I1640" s="93"/>
      <c r="J1640" s="97"/>
      <c r="K1640" s="88"/>
      <c r="L1640" s="25" t="str">
        <f>IF($D1640="","",SUMIFS($H$4:$H1640,$D$4:$D1640,$D1640)+SUMIFS($I$4:$I1640,$D$4:$D1640,$D1640)-SUMIFS($J$4:$J1640,$D$4:$D1640,$D1640)-SUMIFS($K$4:$K1640,$D$4:$D1640,$D1640))</f>
        <v/>
      </c>
      <c r="M1640" s="80"/>
      <c r="N1640" s="80"/>
      <c r="O1640" s="94"/>
      <c r="P1640" s="26" t="str">
        <f t="shared" si="77"/>
        <v/>
      </c>
      <c r="Q1640" s="80"/>
      <c r="R1640" s="80"/>
      <c r="S1640" s="80"/>
      <c r="T1640" s="82"/>
      <c r="U1640" s="80"/>
      <c r="V1640" s="80"/>
      <c r="W1640" s="80"/>
    </row>
    <row r="1641" ht="18" customHeight="1" spans="1:23">
      <c r="A1641" s="87" t="str">
        <f t="shared" si="75"/>
        <v/>
      </c>
      <c r="B1641" s="78"/>
      <c r="C1641" s="80"/>
      <c r="D1641" s="79"/>
      <c r="E1641" s="80"/>
      <c r="F1641" s="79"/>
      <c r="G1641" s="25" t="str">
        <f t="shared" si="76"/>
        <v/>
      </c>
      <c r="H1641" s="88"/>
      <c r="I1641" s="93"/>
      <c r="J1641" s="97"/>
      <c r="K1641" s="88"/>
      <c r="L1641" s="25" t="str">
        <f>IF($D1641="","",SUMIFS($H$4:$H1641,$D$4:$D1641,$D1641)+SUMIFS($I$4:$I1641,$D$4:$D1641,$D1641)-SUMIFS($J$4:$J1641,$D$4:$D1641,$D1641)-SUMIFS($K$4:$K1641,$D$4:$D1641,$D1641))</f>
        <v/>
      </c>
      <c r="M1641" s="80"/>
      <c r="N1641" s="80"/>
      <c r="O1641" s="94"/>
      <c r="P1641" s="26" t="str">
        <f t="shared" si="77"/>
        <v/>
      </c>
      <c r="Q1641" s="80"/>
      <c r="R1641" s="80"/>
      <c r="S1641" s="80"/>
      <c r="T1641" s="82"/>
      <c r="U1641" s="80"/>
      <c r="V1641" s="80"/>
      <c r="W1641" s="80"/>
    </row>
    <row r="1642" ht="18" customHeight="1" spans="1:23">
      <c r="A1642" s="87" t="str">
        <f t="shared" si="75"/>
        <v/>
      </c>
      <c r="B1642" s="78"/>
      <c r="C1642" s="80"/>
      <c r="D1642" s="79"/>
      <c r="E1642" s="80"/>
      <c r="F1642" s="79"/>
      <c r="G1642" s="25" t="str">
        <f t="shared" si="76"/>
        <v/>
      </c>
      <c r="H1642" s="88"/>
      <c r="I1642" s="93"/>
      <c r="J1642" s="97"/>
      <c r="K1642" s="88"/>
      <c r="L1642" s="25" t="str">
        <f>IF($D1642="","",SUMIFS($H$4:$H1642,$D$4:$D1642,$D1642)+SUMIFS($I$4:$I1642,$D$4:$D1642,$D1642)-SUMIFS($J$4:$J1642,$D$4:$D1642,$D1642)-SUMIFS($K$4:$K1642,$D$4:$D1642,$D1642))</f>
        <v/>
      </c>
      <c r="M1642" s="80"/>
      <c r="N1642" s="80"/>
      <c r="O1642" s="94"/>
      <c r="P1642" s="26" t="str">
        <f t="shared" si="77"/>
        <v/>
      </c>
      <c r="Q1642" s="80"/>
      <c r="R1642" s="80"/>
      <c r="S1642" s="80"/>
      <c r="T1642" s="82"/>
      <c r="U1642" s="80"/>
      <c r="V1642" s="80"/>
      <c r="W1642" s="80"/>
    </row>
    <row r="1643" ht="18" customHeight="1" spans="1:23">
      <c r="A1643" s="87" t="str">
        <f t="shared" si="75"/>
        <v/>
      </c>
      <c r="B1643" s="78"/>
      <c r="C1643" s="80"/>
      <c r="D1643" s="79"/>
      <c r="E1643" s="80"/>
      <c r="F1643" s="79"/>
      <c r="G1643" s="25" t="str">
        <f t="shared" si="76"/>
        <v/>
      </c>
      <c r="H1643" s="88"/>
      <c r="I1643" s="93"/>
      <c r="J1643" s="97"/>
      <c r="K1643" s="88"/>
      <c r="L1643" s="25" t="str">
        <f>IF($D1643="","",SUMIFS($H$4:$H1643,$D$4:$D1643,$D1643)+SUMIFS($I$4:$I1643,$D$4:$D1643,$D1643)-SUMIFS($J$4:$J1643,$D$4:$D1643,$D1643)-SUMIFS($K$4:$K1643,$D$4:$D1643,$D1643))</f>
        <v/>
      </c>
      <c r="M1643" s="80"/>
      <c r="N1643" s="80"/>
      <c r="O1643" s="94"/>
      <c r="P1643" s="26" t="str">
        <f t="shared" si="77"/>
        <v/>
      </c>
      <c r="Q1643" s="80"/>
      <c r="R1643" s="80"/>
      <c r="S1643" s="80"/>
      <c r="T1643" s="82"/>
      <c r="U1643" s="80"/>
      <c r="V1643" s="80"/>
      <c r="W1643" s="80"/>
    </row>
    <row r="1644" ht="18" customHeight="1" spans="1:23">
      <c r="A1644" s="87" t="str">
        <f t="shared" si="75"/>
        <v/>
      </c>
      <c r="B1644" s="78"/>
      <c r="C1644" s="80"/>
      <c r="D1644" s="79"/>
      <c r="E1644" s="80"/>
      <c r="F1644" s="79"/>
      <c r="G1644" s="25" t="str">
        <f t="shared" si="76"/>
        <v/>
      </c>
      <c r="H1644" s="88"/>
      <c r="I1644" s="93"/>
      <c r="J1644" s="97"/>
      <c r="K1644" s="88"/>
      <c r="L1644" s="25" t="str">
        <f>IF($D1644="","",SUMIFS($H$4:$H1644,$D$4:$D1644,$D1644)+SUMIFS($I$4:$I1644,$D$4:$D1644,$D1644)-SUMIFS($J$4:$J1644,$D$4:$D1644,$D1644)-SUMIFS($K$4:$K1644,$D$4:$D1644,$D1644))</f>
        <v/>
      </c>
      <c r="M1644" s="80"/>
      <c r="N1644" s="80"/>
      <c r="O1644" s="94"/>
      <c r="P1644" s="26" t="str">
        <f t="shared" si="77"/>
        <v/>
      </c>
      <c r="Q1644" s="80"/>
      <c r="R1644" s="80"/>
      <c r="S1644" s="80"/>
      <c r="T1644" s="82"/>
      <c r="U1644" s="80"/>
      <c r="V1644" s="80"/>
      <c r="W1644" s="80"/>
    </row>
    <row r="1645" ht="18" customHeight="1" spans="1:23">
      <c r="A1645" s="87" t="str">
        <f t="shared" si="75"/>
        <v/>
      </c>
      <c r="B1645" s="78"/>
      <c r="C1645" s="80"/>
      <c r="D1645" s="79"/>
      <c r="E1645" s="80"/>
      <c r="F1645" s="79"/>
      <c r="G1645" s="25" t="str">
        <f t="shared" si="76"/>
        <v/>
      </c>
      <c r="H1645" s="88"/>
      <c r="I1645" s="93"/>
      <c r="J1645" s="97"/>
      <c r="K1645" s="88"/>
      <c r="L1645" s="25" t="str">
        <f>IF($D1645="","",SUMIFS($H$4:$H1645,$D$4:$D1645,$D1645)+SUMIFS($I$4:$I1645,$D$4:$D1645,$D1645)-SUMIFS($J$4:$J1645,$D$4:$D1645,$D1645)-SUMIFS($K$4:$K1645,$D$4:$D1645,$D1645))</f>
        <v/>
      </c>
      <c r="M1645" s="80"/>
      <c r="N1645" s="80"/>
      <c r="O1645" s="94"/>
      <c r="P1645" s="26" t="str">
        <f t="shared" si="77"/>
        <v/>
      </c>
      <c r="Q1645" s="80"/>
      <c r="R1645" s="80"/>
      <c r="S1645" s="80"/>
      <c r="T1645" s="82"/>
      <c r="U1645" s="80"/>
      <c r="V1645" s="80"/>
      <c r="W1645" s="80"/>
    </row>
    <row r="1646" ht="18" customHeight="1" spans="1:23">
      <c r="A1646" s="87" t="str">
        <f t="shared" si="75"/>
        <v/>
      </c>
      <c r="B1646" s="78"/>
      <c r="C1646" s="80"/>
      <c r="D1646" s="79"/>
      <c r="E1646" s="80"/>
      <c r="F1646" s="79"/>
      <c r="G1646" s="25" t="str">
        <f t="shared" si="76"/>
        <v/>
      </c>
      <c r="H1646" s="88"/>
      <c r="I1646" s="93"/>
      <c r="J1646" s="97"/>
      <c r="K1646" s="88"/>
      <c r="L1646" s="25" t="str">
        <f>IF($D1646="","",SUMIFS($H$4:$H1646,$D$4:$D1646,$D1646)+SUMIFS($I$4:$I1646,$D$4:$D1646,$D1646)-SUMIFS($J$4:$J1646,$D$4:$D1646,$D1646)-SUMIFS($K$4:$K1646,$D$4:$D1646,$D1646))</f>
        <v/>
      </c>
      <c r="M1646" s="80"/>
      <c r="N1646" s="80"/>
      <c r="O1646" s="94"/>
      <c r="P1646" s="26" t="str">
        <f t="shared" si="77"/>
        <v/>
      </c>
      <c r="Q1646" s="80"/>
      <c r="R1646" s="80"/>
      <c r="S1646" s="80"/>
      <c r="T1646" s="82"/>
      <c r="U1646" s="80"/>
      <c r="V1646" s="80"/>
      <c r="W1646" s="80"/>
    </row>
    <row r="1647" ht="18" customHeight="1" spans="1:23">
      <c r="A1647" s="87" t="str">
        <f t="shared" si="75"/>
        <v/>
      </c>
      <c r="B1647" s="78"/>
      <c r="C1647" s="80"/>
      <c r="D1647" s="79"/>
      <c r="E1647" s="80"/>
      <c r="F1647" s="79"/>
      <c r="G1647" s="25" t="str">
        <f t="shared" si="76"/>
        <v/>
      </c>
      <c r="H1647" s="88"/>
      <c r="I1647" s="93"/>
      <c r="J1647" s="97"/>
      <c r="K1647" s="88"/>
      <c r="L1647" s="25" t="str">
        <f>IF($D1647="","",SUMIFS($H$4:$H1647,$D$4:$D1647,$D1647)+SUMIFS($I$4:$I1647,$D$4:$D1647,$D1647)-SUMIFS($J$4:$J1647,$D$4:$D1647,$D1647)-SUMIFS($K$4:$K1647,$D$4:$D1647,$D1647))</f>
        <v/>
      </c>
      <c r="M1647" s="80"/>
      <c r="N1647" s="80"/>
      <c r="O1647" s="94"/>
      <c r="P1647" s="26" t="str">
        <f t="shared" si="77"/>
        <v/>
      </c>
      <c r="Q1647" s="80"/>
      <c r="R1647" s="80"/>
      <c r="S1647" s="80"/>
      <c r="T1647" s="82"/>
      <c r="U1647" s="80"/>
      <c r="V1647" s="80"/>
      <c r="W1647" s="80"/>
    </row>
    <row r="1648" ht="18" customHeight="1" spans="1:23">
      <c r="A1648" s="87" t="str">
        <f t="shared" si="75"/>
        <v/>
      </c>
      <c r="B1648" s="78"/>
      <c r="C1648" s="80"/>
      <c r="D1648" s="79"/>
      <c r="E1648" s="80"/>
      <c r="F1648" s="79"/>
      <c r="G1648" s="25" t="str">
        <f t="shared" si="76"/>
        <v/>
      </c>
      <c r="H1648" s="88"/>
      <c r="I1648" s="93"/>
      <c r="J1648" s="97"/>
      <c r="K1648" s="88"/>
      <c r="L1648" s="25" t="str">
        <f>IF($D1648="","",SUMIFS($H$4:$H1648,$D$4:$D1648,$D1648)+SUMIFS($I$4:$I1648,$D$4:$D1648,$D1648)-SUMIFS($J$4:$J1648,$D$4:$D1648,$D1648)-SUMIFS($K$4:$K1648,$D$4:$D1648,$D1648))</f>
        <v/>
      </c>
      <c r="M1648" s="80"/>
      <c r="N1648" s="80"/>
      <c r="O1648" s="94"/>
      <c r="P1648" s="26" t="str">
        <f t="shared" si="77"/>
        <v/>
      </c>
      <c r="Q1648" s="80"/>
      <c r="R1648" s="80"/>
      <c r="S1648" s="80"/>
      <c r="T1648" s="82"/>
      <c r="U1648" s="80"/>
      <c r="V1648" s="80"/>
      <c r="W1648" s="80"/>
    </row>
    <row r="1649" ht="18" customHeight="1" spans="1:23">
      <c r="A1649" s="87" t="str">
        <f t="shared" si="75"/>
        <v/>
      </c>
      <c r="B1649" s="78"/>
      <c r="C1649" s="80"/>
      <c r="D1649" s="79"/>
      <c r="E1649" s="80"/>
      <c r="F1649" s="79"/>
      <c r="G1649" s="25" t="str">
        <f t="shared" si="76"/>
        <v/>
      </c>
      <c r="H1649" s="88"/>
      <c r="I1649" s="93"/>
      <c r="J1649" s="97"/>
      <c r="K1649" s="88"/>
      <c r="L1649" s="25" t="str">
        <f>IF($D1649="","",SUMIFS($H$4:$H1649,$D$4:$D1649,$D1649)+SUMIFS($I$4:$I1649,$D$4:$D1649,$D1649)-SUMIFS($J$4:$J1649,$D$4:$D1649,$D1649)-SUMIFS($K$4:$K1649,$D$4:$D1649,$D1649))</f>
        <v/>
      </c>
      <c r="M1649" s="80"/>
      <c r="N1649" s="80"/>
      <c r="O1649" s="94"/>
      <c r="P1649" s="26" t="str">
        <f t="shared" si="77"/>
        <v/>
      </c>
      <c r="Q1649" s="80"/>
      <c r="R1649" s="80"/>
      <c r="S1649" s="80"/>
      <c r="T1649" s="82"/>
      <c r="U1649" s="80"/>
      <c r="V1649" s="80"/>
      <c r="W1649" s="80"/>
    </row>
    <row r="1650" ht="18" customHeight="1" spans="1:23">
      <c r="A1650" s="87" t="str">
        <f t="shared" si="75"/>
        <v/>
      </c>
      <c r="B1650" s="78"/>
      <c r="C1650" s="80"/>
      <c r="D1650" s="79"/>
      <c r="E1650" s="80"/>
      <c r="F1650" s="79"/>
      <c r="G1650" s="25" t="str">
        <f t="shared" si="76"/>
        <v/>
      </c>
      <c r="H1650" s="88"/>
      <c r="I1650" s="93"/>
      <c r="J1650" s="97"/>
      <c r="K1650" s="88"/>
      <c r="L1650" s="25" t="str">
        <f>IF($D1650="","",SUMIFS($H$4:$H1650,$D$4:$D1650,$D1650)+SUMIFS($I$4:$I1650,$D$4:$D1650,$D1650)-SUMIFS($J$4:$J1650,$D$4:$D1650,$D1650)-SUMIFS($K$4:$K1650,$D$4:$D1650,$D1650))</f>
        <v/>
      </c>
      <c r="M1650" s="80"/>
      <c r="N1650" s="80"/>
      <c r="O1650" s="94"/>
      <c r="P1650" s="26" t="str">
        <f t="shared" si="77"/>
        <v/>
      </c>
      <c r="Q1650" s="80"/>
      <c r="R1650" s="80"/>
      <c r="S1650" s="80"/>
      <c r="T1650" s="82"/>
      <c r="U1650" s="80"/>
      <c r="V1650" s="80"/>
      <c r="W1650" s="80"/>
    </row>
    <row r="1651" ht="18" customHeight="1" spans="1:23">
      <c r="A1651" s="87" t="str">
        <f t="shared" si="75"/>
        <v/>
      </c>
      <c r="B1651" s="78"/>
      <c r="C1651" s="80"/>
      <c r="D1651" s="79"/>
      <c r="E1651" s="80"/>
      <c r="F1651" s="79"/>
      <c r="G1651" s="25" t="str">
        <f t="shared" si="76"/>
        <v/>
      </c>
      <c r="H1651" s="88"/>
      <c r="I1651" s="93"/>
      <c r="J1651" s="97"/>
      <c r="K1651" s="88"/>
      <c r="L1651" s="25" t="str">
        <f>IF($D1651="","",SUMIFS($H$4:$H1651,$D$4:$D1651,$D1651)+SUMIFS($I$4:$I1651,$D$4:$D1651,$D1651)-SUMIFS($J$4:$J1651,$D$4:$D1651,$D1651)-SUMIFS($K$4:$K1651,$D$4:$D1651,$D1651))</f>
        <v/>
      </c>
      <c r="M1651" s="80"/>
      <c r="N1651" s="80"/>
      <c r="O1651" s="94"/>
      <c r="P1651" s="26" t="str">
        <f t="shared" si="77"/>
        <v/>
      </c>
      <c r="Q1651" s="80"/>
      <c r="R1651" s="80"/>
      <c r="S1651" s="80"/>
      <c r="T1651" s="82"/>
      <c r="U1651" s="80"/>
      <c r="V1651" s="80"/>
      <c r="W1651" s="80"/>
    </row>
    <row r="1652" ht="18" customHeight="1" spans="1:23">
      <c r="A1652" s="87" t="str">
        <f t="shared" si="75"/>
        <v/>
      </c>
      <c r="B1652" s="78"/>
      <c r="C1652" s="80"/>
      <c r="D1652" s="79"/>
      <c r="E1652" s="80"/>
      <c r="F1652" s="79"/>
      <c r="G1652" s="25" t="str">
        <f t="shared" si="76"/>
        <v/>
      </c>
      <c r="H1652" s="88"/>
      <c r="I1652" s="93"/>
      <c r="J1652" s="97"/>
      <c r="K1652" s="88"/>
      <c r="L1652" s="25" t="str">
        <f>IF($D1652="","",SUMIFS($H$4:$H1652,$D$4:$D1652,$D1652)+SUMIFS($I$4:$I1652,$D$4:$D1652,$D1652)-SUMIFS($J$4:$J1652,$D$4:$D1652,$D1652)-SUMIFS($K$4:$K1652,$D$4:$D1652,$D1652))</f>
        <v/>
      </c>
      <c r="M1652" s="80"/>
      <c r="N1652" s="80"/>
      <c r="O1652" s="94"/>
      <c r="P1652" s="26" t="str">
        <f t="shared" si="77"/>
        <v/>
      </c>
      <c r="Q1652" s="80"/>
      <c r="R1652" s="80"/>
      <c r="S1652" s="80"/>
      <c r="T1652" s="82"/>
      <c r="U1652" s="80"/>
      <c r="V1652" s="80"/>
      <c r="W1652" s="80"/>
    </row>
    <row r="1653" ht="18" customHeight="1" spans="1:23">
      <c r="A1653" s="87" t="str">
        <f t="shared" si="75"/>
        <v/>
      </c>
      <c r="B1653" s="78"/>
      <c r="C1653" s="80"/>
      <c r="D1653" s="79"/>
      <c r="E1653" s="80"/>
      <c r="F1653" s="79"/>
      <c r="G1653" s="25" t="str">
        <f t="shared" si="76"/>
        <v/>
      </c>
      <c r="H1653" s="88"/>
      <c r="I1653" s="93"/>
      <c r="J1653" s="97"/>
      <c r="K1653" s="88"/>
      <c r="L1653" s="25" t="str">
        <f>IF($D1653="","",SUMIFS($H$4:$H1653,$D$4:$D1653,$D1653)+SUMIFS($I$4:$I1653,$D$4:$D1653,$D1653)-SUMIFS($J$4:$J1653,$D$4:$D1653,$D1653)-SUMIFS($K$4:$K1653,$D$4:$D1653,$D1653))</f>
        <v/>
      </c>
      <c r="M1653" s="80"/>
      <c r="N1653" s="80"/>
      <c r="O1653" s="94"/>
      <c r="P1653" s="26" t="str">
        <f t="shared" si="77"/>
        <v/>
      </c>
      <c r="Q1653" s="80"/>
      <c r="R1653" s="80"/>
      <c r="S1653" s="80"/>
      <c r="T1653" s="82"/>
      <c r="U1653" s="80"/>
      <c r="V1653" s="80"/>
      <c r="W1653" s="80"/>
    </row>
    <row r="1654" ht="18" customHeight="1" spans="1:23">
      <c r="A1654" s="87" t="str">
        <f t="shared" si="75"/>
        <v/>
      </c>
      <c r="B1654" s="78"/>
      <c r="C1654" s="80"/>
      <c r="D1654" s="79"/>
      <c r="E1654" s="80"/>
      <c r="F1654" s="79"/>
      <c r="G1654" s="25" t="str">
        <f t="shared" si="76"/>
        <v/>
      </c>
      <c r="H1654" s="88"/>
      <c r="I1654" s="93"/>
      <c r="J1654" s="97"/>
      <c r="K1654" s="88"/>
      <c r="L1654" s="25" t="str">
        <f>IF($D1654="","",SUMIFS($H$4:$H1654,$D$4:$D1654,$D1654)+SUMIFS($I$4:$I1654,$D$4:$D1654,$D1654)-SUMIFS($J$4:$J1654,$D$4:$D1654,$D1654)-SUMIFS($K$4:$K1654,$D$4:$D1654,$D1654))</f>
        <v/>
      </c>
      <c r="M1654" s="80"/>
      <c r="N1654" s="80"/>
      <c r="O1654" s="94"/>
      <c r="P1654" s="26" t="str">
        <f t="shared" si="77"/>
        <v/>
      </c>
      <c r="Q1654" s="80"/>
      <c r="R1654" s="80"/>
      <c r="S1654" s="80"/>
      <c r="T1654" s="82"/>
      <c r="U1654" s="80"/>
      <c r="V1654" s="80"/>
      <c r="W1654" s="80"/>
    </row>
    <row r="1655" ht="18" customHeight="1" spans="1:23">
      <c r="A1655" s="87" t="str">
        <f t="shared" si="75"/>
        <v/>
      </c>
      <c r="B1655" s="78"/>
      <c r="C1655" s="80"/>
      <c r="D1655" s="79"/>
      <c r="E1655" s="80"/>
      <c r="F1655" s="79"/>
      <c r="G1655" s="25" t="str">
        <f t="shared" si="76"/>
        <v/>
      </c>
      <c r="H1655" s="88"/>
      <c r="I1655" s="93"/>
      <c r="J1655" s="97"/>
      <c r="K1655" s="88"/>
      <c r="L1655" s="25" t="str">
        <f>IF($D1655="","",SUMIFS($H$4:$H1655,$D$4:$D1655,$D1655)+SUMIFS($I$4:$I1655,$D$4:$D1655,$D1655)-SUMIFS($J$4:$J1655,$D$4:$D1655,$D1655)-SUMIFS($K$4:$K1655,$D$4:$D1655,$D1655))</f>
        <v/>
      </c>
      <c r="M1655" s="80"/>
      <c r="N1655" s="80"/>
      <c r="O1655" s="94"/>
      <c r="P1655" s="26" t="str">
        <f t="shared" si="77"/>
        <v/>
      </c>
      <c r="Q1655" s="80"/>
      <c r="R1655" s="80"/>
      <c r="S1655" s="80"/>
      <c r="T1655" s="82"/>
      <c r="U1655" s="80"/>
      <c r="V1655" s="80"/>
      <c r="W1655" s="80"/>
    </row>
    <row r="1656" ht="18" customHeight="1" spans="1:23">
      <c r="A1656" s="87" t="str">
        <f t="shared" si="75"/>
        <v/>
      </c>
      <c r="B1656" s="78"/>
      <c r="C1656" s="80"/>
      <c r="D1656" s="79"/>
      <c r="E1656" s="80"/>
      <c r="F1656" s="79"/>
      <c r="G1656" s="25" t="str">
        <f t="shared" si="76"/>
        <v/>
      </c>
      <c r="H1656" s="88"/>
      <c r="I1656" s="93"/>
      <c r="J1656" s="97"/>
      <c r="K1656" s="88"/>
      <c r="L1656" s="25" t="str">
        <f>IF($D1656="","",SUMIFS($H$4:$H1656,$D$4:$D1656,$D1656)+SUMIFS($I$4:$I1656,$D$4:$D1656,$D1656)-SUMIFS($J$4:$J1656,$D$4:$D1656,$D1656)-SUMIFS($K$4:$K1656,$D$4:$D1656,$D1656))</f>
        <v/>
      </c>
      <c r="M1656" s="80"/>
      <c r="N1656" s="80"/>
      <c r="O1656" s="94"/>
      <c r="P1656" s="26" t="str">
        <f t="shared" si="77"/>
        <v/>
      </c>
      <c r="Q1656" s="80"/>
      <c r="R1656" s="80"/>
      <c r="S1656" s="80"/>
      <c r="T1656" s="82"/>
      <c r="U1656" s="80"/>
      <c r="V1656" s="80"/>
      <c r="W1656" s="80"/>
    </row>
    <row r="1657" ht="18" customHeight="1" spans="1:23">
      <c r="A1657" s="87" t="str">
        <f t="shared" si="75"/>
        <v/>
      </c>
      <c r="B1657" s="78"/>
      <c r="C1657" s="80"/>
      <c r="D1657" s="79"/>
      <c r="E1657" s="80"/>
      <c r="F1657" s="79"/>
      <c r="G1657" s="25" t="str">
        <f t="shared" si="76"/>
        <v/>
      </c>
      <c r="H1657" s="88"/>
      <c r="I1657" s="93"/>
      <c r="J1657" s="97"/>
      <c r="K1657" s="88"/>
      <c r="L1657" s="25" t="str">
        <f>IF($D1657="","",SUMIFS($H$4:$H1657,$D$4:$D1657,$D1657)+SUMIFS($I$4:$I1657,$D$4:$D1657,$D1657)-SUMIFS($J$4:$J1657,$D$4:$D1657,$D1657)-SUMIFS($K$4:$K1657,$D$4:$D1657,$D1657))</f>
        <v/>
      </c>
      <c r="M1657" s="80"/>
      <c r="N1657" s="80"/>
      <c r="O1657" s="94"/>
      <c r="P1657" s="26" t="str">
        <f t="shared" si="77"/>
        <v/>
      </c>
      <c r="Q1657" s="80"/>
      <c r="R1657" s="80"/>
      <c r="S1657" s="80"/>
      <c r="T1657" s="82"/>
      <c r="U1657" s="80"/>
      <c r="V1657" s="80"/>
      <c r="W1657" s="80"/>
    </row>
    <row r="1658" ht="18" customHeight="1" spans="1:23">
      <c r="A1658" s="87" t="str">
        <f t="shared" si="75"/>
        <v/>
      </c>
      <c r="B1658" s="78"/>
      <c r="C1658" s="80"/>
      <c r="D1658" s="79"/>
      <c r="E1658" s="80"/>
      <c r="F1658" s="79"/>
      <c r="G1658" s="25" t="str">
        <f t="shared" si="76"/>
        <v/>
      </c>
      <c r="H1658" s="88"/>
      <c r="I1658" s="93"/>
      <c r="J1658" s="97"/>
      <c r="K1658" s="88"/>
      <c r="L1658" s="25" t="str">
        <f>IF($D1658="","",SUMIFS($H$4:$H1658,$D$4:$D1658,$D1658)+SUMIFS($I$4:$I1658,$D$4:$D1658,$D1658)-SUMIFS($J$4:$J1658,$D$4:$D1658,$D1658)-SUMIFS($K$4:$K1658,$D$4:$D1658,$D1658))</f>
        <v/>
      </c>
      <c r="M1658" s="80"/>
      <c r="N1658" s="80"/>
      <c r="O1658" s="94"/>
      <c r="P1658" s="26" t="str">
        <f t="shared" si="77"/>
        <v/>
      </c>
      <c r="Q1658" s="80"/>
      <c r="R1658" s="80"/>
      <c r="S1658" s="80"/>
      <c r="T1658" s="82"/>
      <c r="U1658" s="80"/>
      <c r="V1658" s="80"/>
      <c r="W1658" s="80"/>
    </row>
    <row r="1659" ht="18" customHeight="1" spans="1:23">
      <c r="A1659" s="87" t="str">
        <f t="shared" si="75"/>
        <v/>
      </c>
      <c r="B1659" s="78"/>
      <c r="C1659" s="80"/>
      <c r="D1659" s="79"/>
      <c r="E1659" s="80"/>
      <c r="F1659" s="79"/>
      <c r="G1659" s="25" t="str">
        <f t="shared" si="76"/>
        <v/>
      </c>
      <c r="H1659" s="88"/>
      <c r="I1659" s="93"/>
      <c r="J1659" s="97"/>
      <c r="K1659" s="88"/>
      <c r="L1659" s="25" t="str">
        <f>IF($D1659="","",SUMIFS($H$4:$H1659,$D$4:$D1659,$D1659)+SUMIFS($I$4:$I1659,$D$4:$D1659,$D1659)-SUMIFS($J$4:$J1659,$D$4:$D1659,$D1659)-SUMIFS($K$4:$K1659,$D$4:$D1659,$D1659))</f>
        <v/>
      </c>
      <c r="M1659" s="80"/>
      <c r="N1659" s="80"/>
      <c r="O1659" s="94"/>
      <c r="P1659" s="26" t="str">
        <f t="shared" si="77"/>
        <v/>
      </c>
      <c r="Q1659" s="80"/>
      <c r="R1659" s="80"/>
      <c r="S1659" s="80"/>
      <c r="T1659" s="82"/>
      <c r="U1659" s="80"/>
      <c r="V1659" s="80"/>
      <c r="W1659" s="80"/>
    </row>
    <row r="1660" ht="18" customHeight="1" spans="1:23">
      <c r="A1660" s="87" t="str">
        <f t="shared" si="75"/>
        <v/>
      </c>
      <c r="B1660" s="78"/>
      <c r="C1660" s="80"/>
      <c r="D1660" s="79"/>
      <c r="E1660" s="80"/>
      <c r="F1660" s="79"/>
      <c r="G1660" s="25" t="str">
        <f t="shared" si="76"/>
        <v/>
      </c>
      <c r="H1660" s="88"/>
      <c r="I1660" s="93"/>
      <c r="J1660" s="97"/>
      <c r="K1660" s="88"/>
      <c r="L1660" s="25" t="str">
        <f>IF($D1660="","",SUMIFS($H$4:$H1660,$D$4:$D1660,$D1660)+SUMIFS($I$4:$I1660,$D$4:$D1660,$D1660)-SUMIFS($J$4:$J1660,$D$4:$D1660,$D1660)-SUMIFS($K$4:$K1660,$D$4:$D1660,$D1660))</f>
        <v/>
      </c>
      <c r="M1660" s="80"/>
      <c r="N1660" s="80"/>
      <c r="O1660" s="94"/>
      <c r="P1660" s="26" t="str">
        <f t="shared" si="77"/>
        <v/>
      </c>
      <c r="Q1660" s="80"/>
      <c r="R1660" s="80"/>
      <c r="S1660" s="80"/>
      <c r="T1660" s="82"/>
      <c r="U1660" s="80"/>
      <c r="V1660" s="80"/>
      <c r="W1660" s="80"/>
    </row>
    <row r="1661" ht="18" customHeight="1" spans="1:23">
      <c r="A1661" s="87" t="str">
        <f t="shared" si="75"/>
        <v/>
      </c>
      <c r="B1661" s="78"/>
      <c r="C1661" s="80"/>
      <c r="D1661" s="79"/>
      <c r="E1661" s="80"/>
      <c r="F1661" s="79"/>
      <c r="G1661" s="25" t="str">
        <f t="shared" si="76"/>
        <v/>
      </c>
      <c r="H1661" s="88"/>
      <c r="I1661" s="93"/>
      <c r="J1661" s="97"/>
      <c r="K1661" s="88"/>
      <c r="L1661" s="25" t="str">
        <f>IF($D1661="","",SUMIFS($H$4:$H1661,$D$4:$D1661,$D1661)+SUMIFS($I$4:$I1661,$D$4:$D1661,$D1661)-SUMIFS($J$4:$J1661,$D$4:$D1661,$D1661)-SUMIFS($K$4:$K1661,$D$4:$D1661,$D1661))</f>
        <v/>
      </c>
      <c r="M1661" s="80"/>
      <c r="N1661" s="80"/>
      <c r="O1661" s="94"/>
      <c r="P1661" s="26" t="str">
        <f t="shared" si="77"/>
        <v/>
      </c>
      <c r="Q1661" s="80"/>
      <c r="R1661" s="80"/>
      <c r="S1661" s="80"/>
      <c r="T1661" s="82"/>
      <c r="U1661" s="80"/>
      <c r="V1661" s="80"/>
      <c r="W1661" s="80"/>
    </row>
    <row r="1662" ht="18" customHeight="1" spans="1:23">
      <c r="A1662" s="87" t="str">
        <f t="shared" si="75"/>
        <v/>
      </c>
      <c r="B1662" s="78"/>
      <c r="C1662" s="80"/>
      <c r="D1662" s="79"/>
      <c r="E1662" s="80"/>
      <c r="F1662" s="79"/>
      <c r="G1662" s="25" t="str">
        <f t="shared" si="76"/>
        <v/>
      </c>
      <c r="H1662" s="88"/>
      <c r="I1662" s="93"/>
      <c r="J1662" s="97"/>
      <c r="K1662" s="88"/>
      <c r="L1662" s="25" t="str">
        <f>IF($D1662="","",SUMIFS($H$4:$H1662,$D$4:$D1662,$D1662)+SUMIFS($I$4:$I1662,$D$4:$D1662,$D1662)-SUMIFS($J$4:$J1662,$D$4:$D1662,$D1662)-SUMIFS($K$4:$K1662,$D$4:$D1662,$D1662))</f>
        <v/>
      </c>
      <c r="M1662" s="80"/>
      <c r="N1662" s="80"/>
      <c r="O1662" s="94"/>
      <c r="P1662" s="26" t="str">
        <f t="shared" si="77"/>
        <v/>
      </c>
      <c r="Q1662" s="80"/>
      <c r="R1662" s="80"/>
      <c r="S1662" s="80"/>
      <c r="T1662" s="82"/>
      <c r="U1662" s="80"/>
      <c r="V1662" s="80"/>
      <c r="W1662" s="80"/>
    </row>
    <row r="1663" ht="18" customHeight="1" spans="1:23">
      <c r="A1663" s="87" t="str">
        <f t="shared" si="75"/>
        <v/>
      </c>
      <c r="B1663" s="78"/>
      <c r="C1663" s="80"/>
      <c r="D1663" s="79"/>
      <c r="E1663" s="80"/>
      <c r="F1663" s="79"/>
      <c r="G1663" s="25" t="str">
        <f t="shared" si="76"/>
        <v/>
      </c>
      <c r="H1663" s="88"/>
      <c r="I1663" s="93"/>
      <c r="J1663" s="97"/>
      <c r="K1663" s="88"/>
      <c r="L1663" s="25" t="str">
        <f>IF($D1663="","",SUMIFS($H$4:$H1663,$D$4:$D1663,$D1663)+SUMIFS($I$4:$I1663,$D$4:$D1663,$D1663)-SUMIFS($J$4:$J1663,$D$4:$D1663,$D1663)-SUMIFS($K$4:$K1663,$D$4:$D1663,$D1663))</f>
        <v/>
      </c>
      <c r="M1663" s="80"/>
      <c r="N1663" s="80"/>
      <c r="O1663" s="94"/>
      <c r="P1663" s="26" t="str">
        <f t="shared" si="77"/>
        <v/>
      </c>
      <c r="Q1663" s="80"/>
      <c r="R1663" s="80"/>
      <c r="S1663" s="80"/>
      <c r="T1663" s="82"/>
      <c r="U1663" s="80"/>
      <c r="V1663" s="80"/>
      <c r="W1663" s="80"/>
    </row>
    <row r="1664" ht="18" customHeight="1" spans="1:23">
      <c r="A1664" s="87" t="str">
        <f t="shared" si="75"/>
        <v/>
      </c>
      <c r="B1664" s="78"/>
      <c r="C1664" s="80"/>
      <c r="D1664" s="79"/>
      <c r="E1664" s="80"/>
      <c r="F1664" s="79"/>
      <c r="G1664" s="25" t="str">
        <f t="shared" si="76"/>
        <v/>
      </c>
      <c r="H1664" s="88"/>
      <c r="I1664" s="93"/>
      <c r="J1664" s="97"/>
      <c r="K1664" s="88"/>
      <c r="L1664" s="25" t="str">
        <f>IF($D1664="","",SUMIFS($H$4:$H1664,$D$4:$D1664,$D1664)+SUMIFS($I$4:$I1664,$D$4:$D1664,$D1664)-SUMIFS($J$4:$J1664,$D$4:$D1664,$D1664)-SUMIFS($K$4:$K1664,$D$4:$D1664,$D1664))</f>
        <v/>
      </c>
      <c r="M1664" s="80"/>
      <c r="N1664" s="80"/>
      <c r="O1664" s="94"/>
      <c r="P1664" s="26" t="str">
        <f t="shared" si="77"/>
        <v/>
      </c>
      <c r="Q1664" s="80"/>
      <c r="R1664" s="80"/>
      <c r="S1664" s="80"/>
      <c r="T1664" s="82"/>
      <c r="U1664" s="80"/>
      <c r="V1664" s="80"/>
      <c r="W1664" s="80"/>
    </row>
    <row r="1665" ht="18" customHeight="1" spans="1:23">
      <c r="A1665" s="87" t="str">
        <f t="shared" si="75"/>
        <v/>
      </c>
      <c r="B1665" s="78"/>
      <c r="C1665" s="80"/>
      <c r="D1665" s="79"/>
      <c r="E1665" s="80"/>
      <c r="F1665" s="79"/>
      <c r="G1665" s="25" t="str">
        <f t="shared" si="76"/>
        <v/>
      </c>
      <c r="H1665" s="88"/>
      <c r="I1665" s="93"/>
      <c r="J1665" s="97"/>
      <c r="K1665" s="88"/>
      <c r="L1665" s="25" t="str">
        <f>IF($D1665="","",SUMIFS($H$4:$H1665,$D$4:$D1665,$D1665)+SUMIFS($I$4:$I1665,$D$4:$D1665,$D1665)-SUMIFS($J$4:$J1665,$D$4:$D1665,$D1665)-SUMIFS($K$4:$K1665,$D$4:$D1665,$D1665))</f>
        <v/>
      </c>
      <c r="M1665" s="80"/>
      <c r="N1665" s="80"/>
      <c r="O1665" s="94"/>
      <c r="P1665" s="26" t="str">
        <f t="shared" si="77"/>
        <v/>
      </c>
      <c r="Q1665" s="80"/>
      <c r="R1665" s="80"/>
      <c r="S1665" s="80"/>
      <c r="T1665" s="82"/>
      <c r="U1665" s="80"/>
      <c r="V1665" s="80"/>
      <c r="W1665" s="80"/>
    </row>
    <row r="1666" ht="18" customHeight="1" spans="1:23">
      <c r="A1666" s="87" t="str">
        <f t="shared" si="75"/>
        <v/>
      </c>
      <c r="B1666" s="78"/>
      <c r="C1666" s="80"/>
      <c r="D1666" s="79"/>
      <c r="E1666" s="80"/>
      <c r="F1666" s="79"/>
      <c r="G1666" s="25" t="str">
        <f t="shared" si="76"/>
        <v/>
      </c>
      <c r="H1666" s="88"/>
      <c r="I1666" s="93"/>
      <c r="J1666" s="97"/>
      <c r="K1666" s="88"/>
      <c r="L1666" s="25" t="str">
        <f>IF($D1666="","",SUMIFS($H$4:$H1666,$D$4:$D1666,$D1666)+SUMIFS($I$4:$I1666,$D$4:$D1666,$D1666)-SUMIFS($J$4:$J1666,$D$4:$D1666,$D1666)-SUMIFS($K$4:$K1666,$D$4:$D1666,$D1666))</f>
        <v/>
      </c>
      <c r="M1666" s="80"/>
      <c r="N1666" s="80"/>
      <c r="O1666" s="94"/>
      <c r="P1666" s="26" t="str">
        <f t="shared" si="77"/>
        <v/>
      </c>
      <c r="Q1666" s="80"/>
      <c r="R1666" s="80"/>
      <c r="S1666" s="80"/>
      <c r="T1666" s="82"/>
      <c r="U1666" s="80"/>
      <c r="V1666" s="80"/>
      <c r="W1666" s="80"/>
    </row>
    <row r="1667" ht="18" customHeight="1" spans="1:23">
      <c r="A1667" s="87" t="str">
        <f t="shared" si="75"/>
        <v/>
      </c>
      <c r="B1667" s="78"/>
      <c r="C1667" s="80"/>
      <c r="D1667" s="79"/>
      <c r="E1667" s="80"/>
      <c r="F1667" s="79"/>
      <c r="G1667" s="25" t="str">
        <f t="shared" si="76"/>
        <v/>
      </c>
      <c r="H1667" s="88"/>
      <c r="I1667" s="93"/>
      <c r="J1667" s="97"/>
      <c r="K1667" s="88"/>
      <c r="L1667" s="25" t="str">
        <f>IF($D1667="","",SUMIFS($H$4:$H1667,$D$4:$D1667,$D1667)+SUMIFS($I$4:$I1667,$D$4:$D1667,$D1667)-SUMIFS($J$4:$J1667,$D$4:$D1667,$D1667)-SUMIFS($K$4:$K1667,$D$4:$D1667,$D1667))</f>
        <v/>
      </c>
      <c r="M1667" s="80"/>
      <c r="N1667" s="80"/>
      <c r="O1667" s="94"/>
      <c r="P1667" s="26" t="str">
        <f t="shared" si="77"/>
        <v/>
      </c>
      <c r="Q1667" s="80"/>
      <c r="R1667" s="80"/>
      <c r="S1667" s="80"/>
      <c r="T1667" s="82"/>
      <c r="U1667" s="80"/>
      <c r="V1667" s="80"/>
      <c r="W1667" s="80"/>
    </row>
    <row r="1668" ht="18" customHeight="1" spans="1:23">
      <c r="A1668" s="87" t="str">
        <f t="shared" si="75"/>
        <v/>
      </c>
      <c r="B1668" s="78"/>
      <c r="C1668" s="80"/>
      <c r="D1668" s="79"/>
      <c r="E1668" s="80"/>
      <c r="F1668" s="79"/>
      <c r="G1668" s="25" t="str">
        <f t="shared" si="76"/>
        <v/>
      </c>
      <c r="H1668" s="88"/>
      <c r="I1668" s="93"/>
      <c r="J1668" s="97"/>
      <c r="K1668" s="88"/>
      <c r="L1668" s="25" t="str">
        <f>IF($D1668="","",SUMIFS($H$4:$H1668,$D$4:$D1668,$D1668)+SUMIFS($I$4:$I1668,$D$4:$D1668,$D1668)-SUMIFS($J$4:$J1668,$D$4:$D1668,$D1668)-SUMIFS($K$4:$K1668,$D$4:$D1668,$D1668))</f>
        <v/>
      </c>
      <c r="M1668" s="80"/>
      <c r="N1668" s="80"/>
      <c r="O1668" s="94"/>
      <c r="P1668" s="26" t="str">
        <f t="shared" si="77"/>
        <v/>
      </c>
      <c r="Q1668" s="80"/>
      <c r="R1668" s="80"/>
      <c r="S1668" s="80"/>
      <c r="T1668" s="82"/>
      <c r="U1668" s="80"/>
      <c r="V1668" s="80"/>
      <c r="W1668" s="80"/>
    </row>
    <row r="1669" ht="18" customHeight="1" spans="1:23">
      <c r="A1669" s="87" t="str">
        <f t="shared" ref="A1669:A1732" si="78">IF($D1669="","",ROW()-3)</f>
        <v/>
      </c>
      <c r="B1669" s="78"/>
      <c r="C1669" s="80"/>
      <c r="D1669" s="79"/>
      <c r="E1669" s="80"/>
      <c r="F1669" s="79"/>
      <c r="G1669" s="25" t="str">
        <f t="shared" ref="G1669:G1732" si="79">IF($D1669="","",N($L1669)-N($H1669)-N($I1669)+N($J1669)+N($K1669))</f>
        <v/>
      </c>
      <c r="H1669" s="88"/>
      <c r="I1669" s="93"/>
      <c r="J1669" s="97"/>
      <c r="K1669" s="88"/>
      <c r="L1669" s="25" t="str">
        <f>IF($D1669="","",SUMIFS($H$4:$H1669,$D$4:$D1669,$D1669)+SUMIFS($I$4:$I1669,$D$4:$D1669,$D1669)-SUMIFS($J$4:$J1669,$D$4:$D1669,$D1669)-SUMIFS($K$4:$K1669,$D$4:$D1669,$D1669))</f>
        <v/>
      </c>
      <c r="M1669" s="80"/>
      <c r="N1669" s="80"/>
      <c r="O1669" s="94"/>
      <c r="P1669" s="26" t="str">
        <f t="shared" ref="P1669:P1732" si="80">IF($D1669="","",ROUND((N($H1669)+N($K1669))*N($O1669),2))</f>
        <v/>
      </c>
      <c r="Q1669" s="80"/>
      <c r="R1669" s="80"/>
      <c r="S1669" s="80"/>
      <c r="T1669" s="82"/>
      <c r="U1669" s="80"/>
      <c r="V1669" s="80"/>
      <c r="W1669" s="80"/>
    </row>
    <row r="1670" ht="18" customHeight="1" spans="1:23">
      <c r="A1670" s="87" t="str">
        <f t="shared" si="78"/>
        <v/>
      </c>
      <c r="B1670" s="78"/>
      <c r="C1670" s="80"/>
      <c r="D1670" s="79"/>
      <c r="E1670" s="80"/>
      <c r="F1670" s="79"/>
      <c r="G1670" s="25" t="str">
        <f t="shared" si="79"/>
        <v/>
      </c>
      <c r="H1670" s="88"/>
      <c r="I1670" s="93"/>
      <c r="J1670" s="97"/>
      <c r="K1670" s="88"/>
      <c r="L1670" s="25" t="str">
        <f>IF($D1670="","",SUMIFS($H$4:$H1670,$D$4:$D1670,$D1670)+SUMIFS($I$4:$I1670,$D$4:$D1670,$D1670)-SUMIFS($J$4:$J1670,$D$4:$D1670,$D1670)-SUMIFS($K$4:$K1670,$D$4:$D1670,$D1670))</f>
        <v/>
      </c>
      <c r="M1670" s="80"/>
      <c r="N1670" s="80"/>
      <c r="O1670" s="94"/>
      <c r="P1670" s="26" t="str">
        <f t="shared" si="80"/>
        <v/>
      </c>
      <c r="Q1670" s="80"/>
      <c r="R1670" s="80"/>
      <c r="S1670" s="80"/>
      <c r="T1670" s="82"/>
      <c r="U1670" s="80"/>
      <c r="V1670" s="80"/>
      <c r="W1670" s="80"/>
    </row>
    <row r="1671" ht="18" customHeight="1" spans="1:23">
      <c r="A1671" s="87" t="str">
        <f t="shared" si="78"/>
        <v/>
      </c>
      <c r="B1671" s="78"/>
      <c r="C1671" s="80"/>
      <c r="D1671" s="79"/>
      <c r="E1671" s="80"/>
      <c r="F1671" s="79"/>
      <c r="G1671" s="25" t="str">
        <f t="shared" si="79"/>
        <v/>
      </c>
      <c r="H1671" s="88"/>
      <c r="I1671" s="93"/>
      <c r="J1671" s="97"/>
      <c r="K1671" s="88"/>
      <c r="L1671" s="25" t="str">
        <f>IF($D1671="","",SUMIFS($H$4:$H1671,$D$4:$D1671,$D1671)+SUMIFS($I$4:$I1671,$D$4:$D1671,$D1671)-SUMIFS($J$4:$J1671,$D$4:$D1671,$D1671)-SUMIFS($K$4:$K1671,$D$4:$D1671,$D1671))</f>
        <v/>
      </c>
      <c r="M1671" s="80"/>
      <c r="N1671" s="80"/>
      <c r="O1671" s="94"/>
      <c r="P1671" s="26" t="str">
        <f t="shared" si="80"/>
        <v/>
      </c>
      <c r="Q1671" s="80"/>
      <c r="R1671" s="80"/>
      <c r="S1671" s="80"/>
      <c r="T1671" s="82"/>
      <c r="U1671" s="80"/>
      <c r="V1671" s="80"/>
      <c r="W1671" s="80"/>
    </row>
    <row r="1672" ht="18" customHeight="1" spans="1:23">
      <c r="A1672" s="87" t="str">
        <f t="shared" si="78"/>
        <v/>
      </c>
      <c r="B1672" s="78"/>
      <c r="C1672" s="80"/>
      <c r="D1672" s="79"/>
      <c r="E1672" s="80"/>
      <c r="F1672" s="79"/>
      <c r="G1672" s="25" t="str">
        <f t="shared" si="79"/>
        <v/>
      </c>
      <c r="H1672" s="88"/>
      <c r="I1672" s="93"/>
      <c r="J1672" s="97"/>
      <c r="K1672" s="88"/>
      <c r="L1672" s="25" t="str">
        <f>IF($D1672="","",SUMIFS($H$4:$H1672,$D$4:$D1672,$D1672)+SUMIFS($I$4:$I1672,$D$4:$D1672,$D1672)-SUMIFS($J$4:$J1672,$D$4:$D1672,$D1672)-SUMIFS($K$4:$K1672,$D$4:$D1672,$D1672))</f>
        <v/>
      </c>
      <c r="M1672" s="80"/>
      <c r="N1672" s="80"/>
      <c r="O1672" s="94"/>
      <c r="P1672" s="26" t="str">
        <f t="shared" si="80"/>
        <v/>
      </c>
      <c r="Q1672" s="80"/>
      <c r="R1672" s="80"/>
      <c r="S1672" s="80"/>
      <c r="T1672" s="82"/>
      <c r="U1672" s="80"/>
      <c r="V1672" s="80"/>
      <c r="W1672" s="80"/>
    </row>
    <row r="1673" ht="18" customHeight="1" spans="1:23">
      <c r="A1673" s="87" t="str">
        <f t="shared" si="78"/>
        <v/>
      </c>
      <c r="B1673" s="78"/>
      <c r="C1673" s="80"/>
      <c r="D1673" s="79"/>
      <c r="E1673" s="80"/>
      <c r="F1673" s="79"/>
      <c r="G1673" s="25" t="str">
        <f t="shared" si="79"/>
        <v/>
      </c>
      <c r="H1673" s="88"/>
      <c r="I1673" s="93"/>
      <c r="J1673" s="97"/>
      <c r="K1673" s="88"/>
      <c r="L1673" s="25" t="str">
        <f>IF($D1673="","",SUMIFS($H$4:$H1673,$D$4:$D1673,$D1673)+SUMIFS($I$4:$I1673,$D$4:$D1673,$D1673)-SUMIFS($J$4:$J1673,$D$4:$D1673,$D1673)-SUMIFS($K$4:$K1673,$D$4:$D1673,$D1673))</f>
        <v/>
      </c>
      <c r="M1673" s="80"/>
      <c r="N1673" s="80"/>
      <c r="O1673" s="94"/>
      <c r="P1673" s="26" t="str">
        <f t="shared" si="80"/>
        <v/>
      </c>
      <c r="Q1673" s="80"/>
      <c r="R1673" s="80"/>
      <c r="S1673" s="80"/>
      <c r="T1673" s="82"/>
      <c r="U1673" s="80"/>
      <c r="V1673" s="80"/>
      <c r="W1673" s="80"/>
    </row>
    <row r="1674" ht="18" customHeight="1" spans="1:23">
      <c r="A1674" s="87" t="str">
        <f t="shared" si="78"/>
        <v/>
      </c>
      <c r="B1674" s="78"/>
      <c r="C1674" s="80"/>
      <c r="D1674" s="79"/>
      <c r="E1674" s="80"/>
      <c r="F1674" s="79"/>
      <c r="G1674" s="25" t="str">
        <f t="shared" si="79"/>
        <v/>
      </c>
      <c r="H1674" s="88"/>
      <c r="I1674" s="93"/>
      <c r="J1674" s="97"/>
      <c r="K1674" s="88"/>
      <c r="L1674" s="25" t="str">
        <f>IF($D1674="","",SUMIFS($H$4:$H1674,$D$4:$D1674,$D1674)+SUMIFS($I$4:$I1674,$D$4:$D1674,$D1674)-SUMIFS($J$4:$J1674,$D$4:$D1674,$D1674)-SUMIFS($K$4:$K1674,$D$4:$D1674,$D1674))</f>
        <v/>
      </c>
      <c r="M1674" s="80"/>
      <c r="N1674" s="80"/>
      <c r="O1674" s="94"/>
      <c r="P1674" s="26" t="str">
        <f t="shared" si="80"/>
        <v/>
      </c>
      <c r="Q1674" s="80"/>
      <c r="R1674" s="80"/>
      <c r="S1674" s="80"/>
      <c r="T1674" s="82"/>
      <c r="U1674" s="80"/>
      <c r="V1674" s="80"/>
      <c r="W1674" s="80"/>
    </row>
    <row r="1675" ht="18" customHeight="1" spans="1:23">
      <c r="A1675" s="87" t="str">
        <f t="shared" si="78"/>
        <v/>
      </c>
      <c r="B1675" s="78"/>
      <c r="C1675" s="80"/>
      <c r="D1675" s="79"/>
      <c r="E1675" s="80"/>
      <c r="F1675" s="79"/>
      <c r="G1675" s="25" t="str">
        <f t="shared" si="79"/>
        <v/>
      </c>
      <c r="H1675" s="88"/>
      <c r="I1675" s="93"/>
      <c r="J1675" s="97"/>
      <c r="K1675" s="88"/>
      <c r="L1675" s="25" t="str">
        <f>IF($D1675="","",SUMIFS($H$4:$H1675,$D$4:$D1675,$D1675)+SUMIFS($I$4:$I1675,$D$4:$D1675,$D1675)-SUMIFS($J$4:$J1675,$D$4:$D1675,$D1675)-SUMIFS($K$4:$K1675,$D$4:$D1675,$D1675))</f>
        <v/>
      </c>
      <c r="M1675" s="80"/>
      <c r="N1675" s="80"/>
      <c r="O1675" s="94"/>
      <c r="P1675" s="26" t="str">
        <f t="shared" si="80"/>
        <v/>
      </c>
      <c r="Q1675" s="80"/>
      <c r="R1675" s="80"/>
      <c r="S1675" s="80"/>
      <c r="T1675" s="82"/>
      <c r="U1675" s="80"/>
      <c r="V1675" s="80"/>
      <c r="W1675" s="80"/>
    </row>
    <row r="1676" ht="18" customHeight="1" spans="1:23">
      <c r="A1676" s="87" t="str">
        <f t="shared" si="78"/>
        <v/>
      </c>
      <c r="B1676" s="78"/>
      <c r="C1676" s="80"/>
      <c r="D1676" s="79"/>
      <c r="E1676" s="80"/>
      <c r="F1676" s="79"/>
      <c r="G1676" s="25" t="str">
        <f t="shared" si="79"/>
        <v/>
      </c>
      <c r="H1676" s="88"/>
      <c r="I1676" s="93"/>
      <c r="J1676" s="97"/>
      <c r="K1676" s="88"/>
      <c r="L1676" s="25" t="str">
        <f>IF($D1676="","",SUMIFS($H$4:$H1676,$D$4:$D1676,$D1676)+SUMIFS($I$4:$I1676,$D$4:$D1676,$D1676)-SUMIFS($J$4:$J1676,$D$4:$D1676,$D1676)-SUMIFS($K$4:$K1676,$D$4:$D1676,$D1676))</f>
        <v/>
      </c>
      <c r="M1676" s="80"/>
      <c r="N1676" s="80"/>
      <c r="O1676" s="94"/>
      <c r="P1676" s="26" t="str">
        <f t="shared" si="80"/>
        <v/>
      </c>
      <c r="Q1676" s="80"/>
      <c r="R1676" s="80"/>
      <c r="S1676" s="80"/>
      <c r="T1676" s="82"/>
      <c r="U1676" s="80"/>
      <c r="V1676" s="80"/>
      <c r="W1676" s="80"/>
    </row>
    <row r="1677" ht="18" customHeight="1" spans="1:23">
      <c r="A1677" s="87" t="str">
        <f t="shared" si="78"/>
        <v/>
      </c>
      <c r="B1677" s="78"/>
      <c r="C1677" s="80"/>
      <c r="D1677" s="79"/>
      <c r="E1677" s="80"/>
      <c r="F1677" s="79"/>
      <c r="G1677" s="25" t="str">
        <f t="shared" si="79"/>
        <v/>
      </c>
      <c r="H1677" s="88"/>
      <c r="I1677" s="93"/>
      <c r="J1677" s="97"/>
      <c r="K1677" s="88"/>
      <c r="L1677" s="25" t="str">
        <f>IF($D1677="","",SUMIFS($H$4:$H1677,$D$4:$D1677,$D1677)+SUMIFS($I$4:$I1677,$D$4:$D1677,$D1677)-SUMIFS($J$4:$J1677,$D$4:$D1677,$D1677)-SUMIFS($K$4:$K1677,$D$4:$D1677,$D1677))</f>
        <v/>
      </c>
      <c r="M1677" s="80"/>
      <c r="N1677" s="80"/>
      <c r="O1677" s="94"/>
      <c r="P1677" s="26" t="str">
        <f t="shared" si="80"/>
        <v/>
      </c>
      <c r="Q1677" s="80"/>
      <c r="R1677" s="80"/>
      <c r="S1677" s="80"/>
      <c r="T1677" s="82"/>
      <c r="U1677" s="80"/>
      <c r="V1677" s="80"/>
      <c r="W1677" s="80"/>
    </row>
    <row r="1678" ht="18" customHeight="1" spans="1:23">
      <c r="A1678" s="87" t="str">
        <f t="shared" si="78"/>
        <v/>
      </c>
      <c r="B1678" s="78"/>
      <c r="C1678" s="80"/>
      <c r="D1678" s="79"/>
      <c r="E1678" s="80"/>
      <c r="F1678" s="79"/>
      <c r="G1678" s="25" t="str">
        <f t="shared" si="79"/>
        <v/>
      </c>
      <c r="H1678" s="88"/>
      <c r="I1678" s="93"/>
      <c r="J1678" s="97"/>
      <c r="K1678" s="88"/>
      <c r="L1678" s="25" t="str">
        <f>IF($D1678="","",SUMIFS($H$4:$H1678,$D$4:$D1678,$D1678)+SUMIFS($I$4:$I1678,$D$4:$D1678,$D1678)-SUMIFS($J$4:$J1678,$D$4:$D1678,$D1678)-SUMIFS($K$4:$K1678,$D$4:$D1678,$D1678))</f>
        <v/>
      </c>
      <c r="M1678" s="80"/>
      <c r="N1678" s="80"/>
      <c r="O1678" s="94"/>
      <c r="P1678" s="26" t="str">
        <f t="shared" si="80"/>
        <v/>
      </c>
      <c r="Q1678" s="80"/>
      <c r="R1678" s="80"/>
      <c r="S1678" s="80"/>
      <c r="T1678" s="82"/>
      <c r="U1678" s="80"/>
      <c r="V1678" s="80"/>
      <c r="W1678" s="80"/>
    </row>
    <row r="1679" ht="18" customHeight="1" spans="1:23">
      <c r="A1679" s="87" t="str">
        <f t="shared" si="78"/>
        <v/>
      </c>
      <c r="B1679" s="78"/>
      <c r="C1679" s="80"/>
      <c r="D1679" s="79"/>
      <c r="E1679" s="80"/>
      <c r="F1679" s="79"/>
      <c r="G1679" s="25" t="str">
        <f t="shared" si="79"/>
        <v/>
      </c>
      <c r="H1679" s="88"/>
      <c r="I1679" s="93"/>
      <c r="J1679" s="97"/>
      <c r="K1679" s="88"/>
      <c r="L1679" s="25" t="str">
        <f>IF($D1679="","",SUMIFS($H$4:$H1679,$D$4:$D1679,$D1679)+SUMIFS($I$4:$I1679,$D$4:$D1679,$D1679)-SUMIFS($J$4:$J1679,$D$4:$D1679,$D1679)-SUMIFS($K$4:$K1679,$D$4:$D1679,$D1679))</f>
        <v/>
      </c>
      <c r="M1679" s="80"/>
      <c r="N1679" s="80"/>
      <c r="O1679" s="94"/>
      <c r="P1679" s="26" t="str">
        <f t="shared" si="80"/>
        <v/>
      </c>
      <c r="Q1679" s="80"/>
      <c r="R1679" s="80"/>
      <c r="S1679" s="80"/>
      <c r="T1679" s="82"/>
      <c r="U1679" s="80"/>
      <c r="V1679" s="80"/>
      <c r="W1679" s="80"/>
    </row>
    <row r="1680" ht="18" customHeight="1" spans="1:23">
      <c r="A1680" s="87" t="str">
        <f t="shared" si="78"/>
        <v/>
      </c>
      <c r="B1680" s="78"/>
      <c r="C1680" s="80"/>
      <c r="D1680" s="79"/>
      <c r="E1680" s="80"/>
      <c r="F1680" s="79"/>
      <c r="G1680" s="25" t="str">
        <f t="shared" si="79"/>
        <v/>
      </c>
      <c r="H1680" s="88"/>
      <c r="I1680" s="93"/>
      <c r="J1680" s="97"/>
      <c r="K1680" s="88"/>
      <c r="L1680" s="25" t="str">
        <f>IF($D1680="","",SUMIFS($H$4:$H1680,$D$4:$D1680,$D1680)+SUMIFS($I$4:$I1680,$D$4:$D1680,$D1680)-SUMIFS($J$4:$J1680,$D$4:$D1680,$D1680)-SUMIFS($K$4:$K1680,$D$4:$D1680,$D1680))</f>
        <v/>
      </c>
      <c r="M1680" s="80"/>
      <c r="N1680" s="80"/>
      <c r="O1680" s="94"/>
      <c r="P1680" s="26" t="str">
        <f t="shared" si="80"/>
        <v/>
      </c>
      <c r="Q1680" s="80"/>
      <c r="R1680" s="80"/>
      <c r="S1680" s="80"/>
      <c r="T1680" s="82"/>
      <c r="U1680" s="80"/>
      <c r="V1680" s="80"/>
      <c r="W1680" s="80"/>
    </row>
    <row r="1681" ht="18" customHeight="1" spans="1:23">
      <c r="A1681" s="87" t="str">
        <f t="shared" si="78"/>
        <v/>
      </c>
      <c r="B1681" s="78"/>
      <c r="C1681" s="80"/>
      <c r="D1681" s="79"/>
      <c r="E1681" s="80"/>
      <c r="F1681" s="79"/>
      <c r="G1681" s="25" t="str">
        <f t="shared" si="79"/>
        <v/>
      </c>
      <c r="H1681" s="88"/>
      <c r="I1681" s="93"/>
      <c r="J1681" s="97"/>
      <c r="K1681" s="88"/>
      <c r="L1681" s="25" t="str">
        <f>IF($D1681="","",SUMIFS($H$4:$H1681,$D$4:$D1681,$D1681)+SUMIFS($I$4:$I1681,$D$4:$D1681,$D1681)-SUMIFS($J$4:$J1681,$D$4:$D1681,$D1681)-SUMIFS($K$4:$K1681,$D$4:$D1681,$D1681))</f>
        <v/>
      </c>
      <c r="M1681" s="80"/>
      <c r="N1681" s="80"/>
      <c r="O1681" s="94"/>
      <c r="P1681" s="26" t="str">
        <f t="shared" si="80"/>
        <v/>
      </c>
      <c r="Q1681" s="80"/>
      <c r="R1681" s="80"/>
      <c r="S1681" s="80"/>
      <c r="T1681" s="82"/>
      <c r="U1681" s="80"/>
      <c r="V1681" s="80"/>
      <c r="W1681" s="80"/>
    </row>
    <row r="1682" ht="18" customHeight="1" spans="1:23">
      <c r="A1682" s="87" t="str">
        <f t="shared" si="78"/>
        <v/>
      </c>
      <c r="B1682" s="78"/>
      <c r="C1682" s="80"/>
      <c r="D1682" s="79"/>
      <c r="E1682" s="80"/>
      <c r="F1682" s="79"/>
      <c r="G1682" s="25" t="str">
        <f t="shared" si="79"/>
        <v/>
      </c>
      <c r="H1682" s="88"/>
      <c r="I1682" s="93"/>
      <c r="J1682" s="97"/>
      <c r="K1682" s="88"/>
      <c r="L1682" s="25" t="str">
        <f>IF($D1682="","",SUMIFS($H$4:$H1682,$D$4:$D1682,$D1682)+SUMIFS($I$4:$I1682,$D$4:$D1682,$D1682)-SUMIFS($J$4:$J1682,$D$4:$D1682,$D1682)-SUMIFS($K$4:$K1682,$D$4:$D1682,$D1682))</f>
        <v/>
      </c>
      <c r="M1682" s="80"/>
      <c r="N1682" s="80"/>
      <c r="O1682" s="94"/>
      <c r="P1682" s="26" t="str">
        <f t="shared" si="80"/>
        <v/>
      </c>
      <c r="Q1682" s="80"/>
      <c r="R1682" s="80"/>
      <c r="S1682" s="80"/>
      <c r="T1682" s="82"/>
      <c r="U1682" s="80"/>
      <c r="V1682" s="80"/>
      <c r="W1682" s="80"/>
    </row>
    <row r="1683" ht="18" customHeight="1" spans="1:23">
      <c r="A1683" s="87" t="str">
        <f t="shared" si="78"/>
        <v/>
      </c>
      <c r="B1683" s="78"/>
      <c r="C1683" s="80"/>
      <c r="D1683" s="79"/>
      <c r="E1683" s="80"/>
      <c r="F1683" s="79"/>
      <c r="G1683" s="25" t="str">
        <f t="shared" si="79"/>
        <v/>
      </c>
      <c r="H1683" s="88"/>
      <c r="I1683" s="93"/>
      <c r="J1683" s="97"/>
      <c r="K1683" s="88"/>
      <c r="L1683" s="25" t="str">
        <f>IF($D1683="","",SUMIFS($H$4:$H1683,$D$4:$D1683,$D1683)+SUMIFS($I$4:$I1683,$D$4:$D1683,$D1683)-SUMIFS($J$4:$J1683,$D$4:$D1683,$D1683)-SUMIFS($K$4:$K1683,$D$4:$D1683,$D1683))</f>
        <v/>
      </c>
      <c r="M1683" s="80"/>
      <c r="N1683" s="80"/>
      <c r="O1683" s="94"/>
      <c r="P1683" s="26" t="str">
        <f t="shared" si="80"/>
        <v/>
      </c>
      <c r="Q1683" s="80"/>
      <c r="R1683" s="80"/>
      <c r="S1683" s="80"/>
      <c r="T1683" s="82"/>
      <c r="U1683" s="80"/>
      <c r="V1683" s="80"/>
      <c r="W1683" s="80"/>
    </row>
    <row r="1684" ht="18" customHeight="1" spans="1:23">
      <c r="A1684" s="87" t="str">
        <f t="shared" si="78"/>
        <v/>
      </c>
      <c r="B1684" s="78"/>
      <c r="C1684" s="80"/>
      <c r="D1684" s="79"/>
      <c r="E1684" s="80"/>
      <c r="F1684" s="79"/>
      <c r="G1684" s="25" t="str">
        <f t="shared" si="79"/>
        <v/>
      </c>
      <c r="H1684" s="88"/>
      <c r="I1684" s="93"/>
      <c r="J1684" s="97"/>
      <c r="K1684" s="88"/>
      <c r="L1684" s="25" t="str">
        <f>IF($D1684="","",SUMIFS($H$4:$H1684,$D$4:$D1684,$D1684)+SUMIFS($I$4:$I1684,$D$4:$D1684,$D1684)-SUMIFS($J$4:$J1684,$D$4:$D1684,$D1684)-SUMIFS($K$4:$K1684,$D$4:$D1684,$D1684))</f>
        <v/>
      </c>
      <c r="M1684" s="80"/>
      <c r="N1684" s="80"/>
      <c r="O1684" s="94"/>
      <c r="P1684" s="26" t="str">
        <f t="shared" si="80"/>
        <v/>
      </c>
      <c r="Q1684" s="80"/>
      <c r="R1684" s="80"/>
      <c r="S1684" s="80"/>
      <c r="T1684" s="82"/>
      <c r="U1684" s="80"/>
      <c r="V1684" s="80"/>
      <c r="W1684" s="80"/>
    </row>
    <row r="1685" ht="18" customHeight="1" spans="1:23">
      <c r="A1685" s="87" t="str">
        <f t="shared" si="78"/>
        <v/>
      </c>
      <c r="B1685" s="78"/>
      <c r="C1685" s="80"/>
      <c r="D1685" s="79"/>
      <c r="E1685" s="80"/>
      <c r="F1685" s="79"/>
      <c r="G1685" s="25" t="str">
        <f t="shared" si="79"/>
        <v/>
      </c>
      <c r="H1685" s="88"/>
      <c r="I1685" s="93"/>
      <c r="J1685" s="97"/>
      <c r="K1685" s="88"/>
      <c r="L1685" s="25" t="str">
        <f>IF($D1685="","",SUMIFS($H$4:$H1685,$D$4:$D1685,$D1685)+SUMIFS($I$4:$I1685,$D$4:$D1685,$D1685)-SUMIFS($J$4:$J1685,$D$4:$D1685,$D1685)-SUMIFS($K$4:$K1685,$D$4:$D1685,$D1685))</f>
        <v/>
      </c>
      <c r="M1685" s="80"/>
      <c r="N1685" s="80"/>
      <c r="O1685" s="94"/>
      <c r="P1685" s="26" t="str">
        <f t="shared" si="80"/>
        <v/>
      </c>
      <c r="Q1685" s="80"/>
      <c r="R1685" s="80"/>
      <c r="S1685" s="80"/>
      <c r="T1685" s="82"/>
      <c r="U1685" s="80"/>
      <c r="V1685" s="80"/>
      <c r="W1685" s="80"/>
    </row>
    <row r="1686" ht="18" customHeight="1" spans="1:23">
      <c r="A1686" s="87" t="str">
        <f t="shared" si="78"/>
        <v/>
      </c>
      <c r="B1686" s="78"/>
      <c r="C1686" s="80"/>
      <c r="D1686" s="79"/>
      <c r="E1686" s="80"/>
      <c r="F1686" s="79"/>
      <c r="G1686" s="25" t="str">
        <f t="shared" si="79"/>
        <v/>
      </c>
      <c r="H1686" s="88"/>
      <c r="I1686" s="93"/>
      <c r="J1686" s="97"/>
      <c r="K1686" s="88"/>
      <c r="L1686" s="25" t="str">
        <f>IF($D1686="","",SUMIFS($H$4:$H1686,$D$4:$D1686,$D1686)+SUMIFS($I$4:$I1686,$D$4:$D1686,$D1686)-SUMIFS($J$4:$J1686,$D$4:$D1686,$D1686)-SUMIFS($K$4:$K1686,$D$4:$D1686,$D1686))</f>
        <v/>
      </c>
      <c r="M1686" s="80"/>
      <c r="N1686" s="80"/>
      <c r="O1686" s="94"/>
      <c r="P1686" s="26" t="str">
        <f t="shared" si="80"/>
        <v/>
      </c>
      <c r="Q1686" s="80"/>
      <c r="R1686" s="80"/>
      <c r="S1686" s="80"/>
      <c r="T1686" s="82"/>
      <c r="U1686" s="80"/>
      <c r="V1686" s="80"/>
      <c r="W1686" s="80"/>
    </row>
    <row r="1687" ht="18" customHeight="1" spans="1:23">
      <c r="A1687" s="87" t="str">
        <f t="shared" si="78"/>
        <v/>
      </c>
      <c r="B1687" s="78"/>
      <c r="C1687" s="80"/>
      <c r="D1687" s="79"/>
      <c r="E1687" s="80"/>
      <c r="F1687" s="79"/>
      <c r="G1687" s="25" t="str">
        <f t="shared" si="79"/>
        <v/>
      </c>
      <c r="H1687" s="88"/>
      <c r="I1687" s="93"/>
      <c r="J1687" s="97"/>
      <c r="K1687" s="88"/>
      <c r="L1687" s="25" t="str">
        <f>IF($D1687="","",SUMIFS($H$4:$H1687,$D$4:$D1687,$D1687)+SUMIFS($I$4:$I1687,$D$4:$D1687,$D1687)-SUMIFS($J$4:$J1687,$D$4:$D1687,$D1687)-SUMIFS($K$4:$K1687,$D$4:$D1687,$D1687))</f>
        <v/>
      </c>
      <c r="M1687" s="80"/>
      <c r="N1687" s="80"/>
      <c r="O1687" s="94"/>
      <c r="P1687" s="26" t="str">
        <f t="shared" si="80"/>
        <v/>
      </c>
      <c r="Q1687" s="80"/>
      <c r="R1687" s="80"/>
      <c r="S1687" s="80"/>
      <c r="T1687" s="82"/>
      <c r="U1687" s="80"/>
      <c r="V1687" s="80"/>
      <c r="W1687" s="80"/>
    </row>
    <row r="1688" ht="18" customHeight="1" spans="1:23">
      <c r="A1688" s="87" t="str">
        <f t="shared" si="78"/>
        <v/>
      </c>
      <c r="B1688" s="78"/>
      <c r="C1688" s="80"/>
      <c r="D1688" s="79"/>
      <c r="E1688" s="80"/>
      <c r="F1688" s="79"/>
      <c r="G1688" s="25" t="str">
        <f t="shared" si="79"/>
        <v/>
      </c>
      <c r="H1688" s="88"/>
      <c r="I1688" s="93"/>
      <c r="J1688" s="97"/>
      <c r="K1688" s="88"/>
      <c r="L1688" s="25" t="str">
        <f>IF($D1688="","",SUMIFS($H$4:$H1688,$D$4:$D1688,$D1688)+SUMIFS($I$4:$I1688,$D$4:$D1688,$D1688)-SUMIFS($J$4:$J1688,$D$4:$D1688,$D1688)-SUMIFS($K$4:$K1688,$D$4:$D1688,$D1688))</f>
        <v/>
      </c>
      <c r="M1688" s="80"/>
      <c r="N1688" s="80"/>
      <c r="O1688" s="94"/>
      <c r="P1688" s="26" t="str">
        <f t="shared" si="80"/>
        <v/>
      </c>
      <c r="Q1688" s="80"/>
      <c r="R1688" s="80"/>
      <c r="S1688" s="80"/>
      <c r="T1688" s="82"/>
      <c r="U1688" s="80"/>
      <c r="V1688" s="80"/>
      <c r="W1688" s="80"/>
    </row>
    <row r="1689" ht="18" customHeight="1" spans="1:23">
      <c r="A1689" s="87" t="str">
        <f t="shared" si="78"/>
        <v/>
      </c>
      <c r="B1689" s="78"/>
      <c r="C1689" s="80"/>
      <c r="D1689" s="79"/>
      <c r="E1689" s="80"/>
      <c r="F1689" s="79"/>
      <c r="G1689" s="25" t="str">
        <f t="shared" si="79"/>
        <v/>
      </c>
      <c r="H1689" s="88"/>
      <c r="I1689" s="93"/>
      <c r="J1689" s="97"/>
      <c r="K1689" s="88"/>
      <c r="L1689" s="25" t="str">
        <f>IF($D1689="","",SUMIFS($H$4:$H1689,$D$4:$D1689,$D1689)+SUMIFS($I$4:$I1689,$D$4:$D1689,$D1689)-SUMIFS($J$4:$J1689,$D$4:$D1689,$D1689)-SUMIFS($K$4:$K1689,$D$4:$D1689,$D1689))</f>
        <v/>
      </c>
      <c r="M1689" s="80"/>
      <c r="N1689" s="80"/>
      <c r="O1689" s="94"/>
      <c r="P1689" s="26" t="str">
        <f t="shared" si="80"/>
        <v/>
      </c>
      <c r="Q1689" s="80"/>
      <c r="R1689" s="80"/>
      <c r="S1689" s="80"/>
      <c r="T1689" s="82"/>
      <c r="U1689" s="80"/>
      <c r="V1689" s="80"/>
      <c r="W1689" s="80"/>
    </row>
    <row r="1690" ht="18" customHeight="1" spans="1:23">
      <c r="A1690" s="87" t="str">
        <f t="shared" si="78"/>
        <v/>
      </c>
      <c r="B1690" s="78"/>
      <c r="C1690" s="80"/>
      <c r="D1690" s="79"/>
      <c r="E1690" s="80"/>
      <c r="F1690" s="79"/>
      <c r="G1690" s="25" t="str">
        <f t="shared" si="79"/>
        <v/>
      </c>
      <c r="H1690" s="88"/>
      <c r="I1690" s="93"/>
      <c r="J1690" s="97"/>
      <c r="K1690" s="88"/>
      <c r="L1690" s="25" t="str">
        <f>IF($D1690="","",SUMIFS($H$4:$H1690,$D$4:$D1690,$D1690)+SUMIFS($I$4:$I1690,$D$4:$D1690,$D1690)-SUMIFS($J$4:$J1690,$D$4:$D1690,$D1690)-SUMIFS($K$4:$K1690,$D$4:$D1690,$D1690))</f>
        <v/>
      </c>
      <c r="M1690" s="80"/>
      <c r="N1690" s="80"/>
      <c r="O1690" s="94"/>
      <c r="P1690" s="26" t="str">
        <f t="shared" si="80"/>
        <v/>
      </c>
      <c r="Q1690" s="80"/>
      <c r="R1690" s="80"/>
      <c r="S1690" s="80"/>
      <c r="T1690" s="82"/>
      <c r="U1690" s="80"/>
      <c r="V1690" s="80"/>
      <c r="W1690" s="80"/>
    </row>
    <row r="1691" ht="18" customHeight="1" spans="1:23">
      <c r="A1691" s="87" t="str">
        <f t="shared" si="78"/>
        <v/>
      </c>
      <c r="B1691" s="78"/>
      <c r="C1691" s="80"/>
      <c r="D1691" s="79"/>
      <c r="E1691" s="80"/>
      <c r="F1691" s="79"/>
      <c r="G1691" s="25" t="str">
        <f t="shared" si="79"/>
        <v/>
      </c>
      <c r="H1691" s="88"/>
      <c r="I1691" s="93"/>
      <c r="J1691" s="97"/>
      <c r="K1691" s="88"/>
      <c r="L1691" s="25" t="str">
        <f>IF($D1691="","",SUMIFS($H$4:$H1691,$D$4:$D1691,$D1691)+SUMIFS($I$4:$I1691,$D$4:$D1691,$D1691)-SUMIFS($J$4:$J1691,$D$4:$D1691,$D1691)-SUMIFS($K$4:$K1691,$D$4:$D1691,$D1691))</f>
        <v/>
      </c>
      <c r="M1691" s="80"/>
      <c r="N1691" s="80"/>
      <c r="O1691" s="94"/>
      <c r="P1691" s="26" t="str">
        <f t="shared" si="80"/>
        <v/>
      </c>
      <c r="Q1691" s="80"/>
      <c r="R1691" s="80"/>
      <c r="S1691" s="80"/>
      <c r="T1691" s="82"/>
      <c r="U1691" s="80"/>
      <c r="V1691" s="80"/>
      <c r="W1691" s="80"/>
    </row>
    <row r="1692" ht="18" customHeight="1" spans="1:23">
      <c r="A1692" s="87" t="str">
        <f t="shared" si="78"/>
        <v/>
      </c>
      <c r="B1692" s="78"/>
      <c r="C1692" s="80"/>
      <c r="D1692" s="79"/>
      <c r="E1692" s="80"/>
      <c r="F1692" s="79"/>
      <c r="G1692" s="25" t="str">
        <f t="shared" si="79"/>
        <v/>
      </c>
      <c r="H1692" s="88"/>
      <c r="I1692" s="93"/>
      <c r="J1692" s="97"/>
      <c r="K1692" s="88"/>
      <c r="L1692" s="25" t="str">
        <f>IF($D1692="","",SUMIFS($H$4:$H1692,$D$4:$D1692,$D1692)+SUMIFS($I$4:$I1692,$D$4:$D1692,$D1692)-SUMIFS($J$4:$J1692,$D$4:$D1692,$D1692)-SUMIFS($K$4:$K1692,$D$4:$D1692,$D1692))</f>
        <v/>
      </c>
      <c r="M1692" s="80"/>
      <c r="N1692" s="80"/>
      <c r="O1692" s="94"/>
      <c r="P1692" s="26" t="str">
        <f t="shared" si="80"/>
        <v/>
      </c>
      <c r="Q1692" s="80"/>
      <c r="R1692" s="80"/>
      <c r="S1692" s="80"/>
      <c r="T1692" s="82"/>
      <c r="U1692" s="80"/>
      <c r="V1692" s="80"/>
      <c r="W1692" s="80"/>
    </row>
    <row r="1693" ht="18" customHeight="1" spans="1:23">
      <c r="A1693" s="87" t="str">
        <f t="shared" si="78"/>
        <v/>
      </c>
      <c r="B1693" s="78"/>
      <c r="C1693" s="80"/>
      <c r="D1693" s="79"/>
      <c r="E1693" s="80"/>
      <c r="F1693" s="79"/>
      <c r="G1693" s="25" t="str">
        <f t="shared" si="79"/>
        <v/>
      </c>
      <c r="H1693" s="88"/>
      <c r="I1693" s="93"/>
      <c r="J1693" s="97"/>
      <c r="K1693" s="88"/>
      <c r="L1693" s="25" t="str">
        <f>IF($D1693="","",SUMIFS($H$4:$H1693,$D$4:$D1693,$D1693)+SUMIFS($I$4:$I1693,$D$4:$D1693,$D1693)-SUMIFS($J$4:$J1693,$D$4:$D1693,$D1693)-SUMIFS($K$4:$K1693,$D$4:$D1693,$D1693))</f>
        <v/>
      </c>
      <c r="M1693" s="80"/>
      <c r="N1693" s="80"/>
      <c r="O1693" s="94"/>
      <c r="P1693" s="26" t="str">
        <f t="shared" si="80"/>
        <v/>
      </c>
      <c r="Q1693" s="80"/>
      <c r="R1693" s="80"/>
      <c r="S1693" s="80"/>
      <c r="T1693" s="82"/>
      <c r="U1693" s="80"/>
      <c r="V1693" s="80"/>
      <c r="W1693" s="80"/>
    </row>
    <row r="1694" ht="18" customHeight="1" spans="1:23">
      <c r="A1694" s="87" t="str">
        <f t="shared" si="78"/>
        <v/>
      </c>
      <c r="B1694" s="78"/>
      <c r="C1694" s="80"/>
      <c r="D1694" s="79"/>
      <c r="E1694" s="80"/>
      <c r="F1694" s="79"/>
      <c r="G1694" s="25" t="str">
        <f t="shared" si="79"/>
        <v/>
      </c>
      <c r="H1694" s="88"/>
      <c r="I1694" s="93"/>
      <c r="J1694" s="97"/>
      <c r="K1694" s="88"/>
      <c r="L1694" s="25" t="str">
        <f>IF($D1694="","",SUMIFS($H$4:$H1694,$D$4:$D1694,$D1694)+SUMIFS($I$4:$I1694,$D$4:$D1694,$D1694)-SUMIFS($J$4:$J1694,$D$4:$D1694,$D1694)-SUMIFS($K$4:$K1694,$D$4:$D1694,$D1694))</f>
        <v/>
      </c>
      <c r="M1694" s="80"/>
      <c r="N1694" s="80"/>
      <c r="O1694" s="94"/>
      <c r="P1694" s="26" t="str">
        <f t="shared" si="80"/>
        <v/>
      </c>
      <c r="Q1694" s="80"/>
      <c r="R1694" s="80"/>
      <c r="S1694" s="80"/>
      <c r="T1694" s="82"/>
      <c r="U1694" s="80"/>
      <c r="V1694" s="80"/>
      <c r="W1694" s="80"/>
    </row>
    <row r="1695" ht="18" customHeight="1" spans="1:23">
      <c r="A1695" s="87" t="str">
        <f t="shared" si="78"/>
        <v/>
      </c>
      <c r="B1695" s="78"/>
      <c r="C1695" s="80"/>
      <c r="D1695" s="79"/>
      <c r="E1695" s="80"/>
      <c r="F1695" s="79"/>
      <c r="G1695" s="25" t="str">
        <f t="shared" si="79"/>
        <v/>
      </c>
      <c r="H1695" s="88"/>
      <c r="I1695" s="93"/>
      <c r="J1695" s="97"/>
      <c r="K1695" s="88"/>
      <c r="L1695" s="25" t="str">
        <f>IF($D1695="","",SUMIFS($H$4:$H1695,$D$4:$D1695,$D1695)+SUMIFS($I$4:$I1695,$D$4:$D1695,$D1695)-SUMIFS($J$4:$J1695,$D$4:$D1695,$D1695)-SUMIFS($K$4:$K1695,$D$4:$D1695,$D1695))</f>
        <v/>
      </c>
      <c r="M1695" s="80"/>
      <c r="N1695" s="80"/>
      <c r="O1695" s="94"/>
      <c r="P1695" s="26" t="str">
        <f t="shared" si="80"/>
        <v/>
      </c>
      <c r="Q1695" s="80"/>
      <c r="R1695" s="80"/>
      <c r="S1695" s="80"/>
      <c r="T1695" s="82"/>
      <c r="U1695" s="80"/>
      <c r="V1695" s="80"/>
      <c r="W1695" s="80"/>
    </row>
    <row r="1696" ht="18" customHeight="1" spans="1:23">
      <c r="A1696" s="87" t="str">
        <f t="shared" si="78"/>
        <v/>
      </c>
      <c r="B1696" s="78"/>
      <c r="C1696" s="80"/>
      <c r="D1696" s="79"/>
      <c r="E1696" s="80"/>
      <c r="F1696" s="79"/>
      <c r="G1696" s="25" t="str">
        <f t="shared" si="79"/>
        <v/>
      </c>
      <c r="H1696" s="88"/>
      <c r="I1696" s="93"/>
      <c r="J1696" s="97"/>
      <c r="K1696" s="88"/>
      <c r="L1696" s="25" t="str">
        <f>IF($D1696="","",SUMIFS($H$4:$H1696,$D$4:$D1696,$D1696)+SUMIFS($I$4:$I1696,$D$4:$D1696,$D1696)-SUMIFS($J$4:$J1696,$D$4:$D1696,$D1696)-SUMIFS($K$4:$K1696,$D$4:$D1696,$D1696))</f>
        <v/>
      </c>
      <c r="M1696" s="80"/>
      <c r="N1696" s="80"/>
      <c r="O1696" s="94"/>
      <c r="P1696" s="26" t="str">
        <f t="shared" si="80"/>
        <v/>
      </c>
      <c r="Q1696" s="80"/>
      <c r="R1696" s="80"/>
      <c r="S1696" s="80"/>
      <c r="T1696" s="82"/>
      <c r="U1696" s="80"/>
      <c r="V1696" s="80"/>
      <c r="W1696" s="80"/>
    </row>
    <row r="1697" ht="18" customHeight="1" spans="1:23">
      <c r="A1697" s="87" t="str">
        <f t="shared" si="78"/>
        <v/>
      </c>
      <c r="B1697" s="78"/>
      <c r="C1697" s="80"/>
      <c r="D1697" s="79"/>
      <c r="E1697" s="80"/>
      <c r="F1697" s="79"/>
      <c r="G1697" s="25" t="str">
        <f t="shared" si="79"/>
        <v/>
      </c>
      <c r="H1697" s="88"/>
      <c r="I1697" s="93"/>
      <c r="J1697" s="97"/>
      <c r="K1697" s="88"/>
      <c r="L1697" s="25" t="str">
        <f>IF($D1697="","",SUMIFS($H$4:$H1697,$D$4:$D1697,$D1697)+SUMIFS($I$4:$I1697,$D$4:$D1697,$D1697)-SUMIFS($J$4:$J1697,$D$4:$D1697,$D1697)-SUMIFS($K$4:$K1697,$D$4:$D1697,$D1697))</f>
        <v/>
      </c>
      <c r="M1697" s="80"/>
      <c r="N1697" s="80"/>
      <c r="O1697" s="94"/>
      <c r="P1697" s="26" t="str">
        <f t="shared" si="80"/>
        <v/>
      </c>
      <c r="Q1697" s="80"/>
      <c r="R1697" s="80"/>
      <c r="S1697" s="80"/>
      <c r="T1697" s="82"/>
      <c r="U1697" s="80"/>
      <c r="V1697" s="80"/>
      <c r="W1697" s="80"/>
    </row>
    <row r="1698" ht="18" customHeight="1" spans="1:23">
      <c r="A1698" s="87" t="str">
        <f t="shared" si="78"/>
        <v/>
      </c>
      <c r="B1698" s="78"/>
      <c r="C1698" s="80"/>
      <c r="D1698" s="79"/>
      <c r="E1698" s="80"/>
      <c r="F1698" s="79"/>
      <c r="G1698" s="25" t="str">
        <f t="shared" si="79"/>
        <v/>
      </c>
      <c r="H1698" s="88"/>
      <c r="I1698" s="93"/>
      <c r="J1698" s="97"/>
      <c r="K1698" s="88"/>
      <c r="L1698" s="25" t="str">
        <f>IF($D1698="","",SUMIFS($H$4:$H1698,$D$4:$D1698,$D1698)+SUMIFS($I$4:$I1698,$D$4:$D1698,$D1698)-SUMIFS($J$4:$J1698,$D$4:$D1698,$D1698)-SUMIFS($K$4:$K1698,$D$4:$D1698,$D1698))</f>
        <v/>
      </c>
      <c r="M1698" s="80"/>
      <c r="N1698" s="80"/>
      <c r="O1698" s="94"/>
      <c r="P1698" s="26" t="str">
        <f t="shared" si="80"/>
        <v/>
      </c>
      <c r="Q1698" s="80"/>
      <c r="R1698" s="80"/>
      <c r="S1698" s="80"/>
      <c r="T1698" s="82"/>
      <c r="U1698" s="80"/>
      <c r="V1698" s="80"/>
      <c r="W1698" s="80"/>
    </row>
    <row r="1699" ht="18" customHeight="1" spans="1:23">
      <c r="A1699" s="87" t="str">
        <f t="shared" si="78"/>
        <v/>
      </c>
      <c r="B1699" s="78"/>
      <c r="C1699" s="80"/>
      <c r="D1699" s="79"/>
      <c r="E1699" s="80"/>
      <c r="F1699" s="79"/>
      <c r="G1699" s="25" t="str">
        <f t="shared" si="79"/>
        <v/>
      </c>
      <c r="H1699" s="88"/>
      <c r="I1699" s="93"/>
      <c r="J1699" s="97"/>
      <c r="K1699" s="88"/>
      <c r="L1699" s="25" t="str">
        <f>IF($D1699="","",SUMIFS($H$4:$H1699,$D$4:$D1699,$D1699)+SUMIFS($I$4:$I1699,$D$4:$D1699,$D1699)-SUMIFS($J$4:$J1699,$D$4:$D1699,$D1699)-SUMIFS($K$4:$K1699,$D$4:$D1699,$D1699))</f>
        <v/>
      </c>
      <c r="M1699" s="80"/>
      <c r="N1699" s="80"/>
      <c r="O1699" s="94"/>
      <c r="P1699" s="26" t="str">
        <f t="shared" si="80"/>
        <v/>
      </c>
      <c r="Q1699" s="80"/>
      <c r="R1699" s="80"/>
      <c r="S1699" s="80"/>
      <c r="T1699" s="82"/>
      <c r="U1699" s="80"/>
      <c r="V1699" s="80"/>
      <c r="W1699" s="80"/>
    </row>
    <row r="1700" ht="18" customHeight="1" spans="1:23">
      <c r="A1700" s="87" t="str">
        <f t="shared" si="78"/>
        <v/>
      </c>
      <c r="B1700" s="78"/>
      <c r="C1700" s="80"/>
      <c r="D1700" s="79"/>
      <c r="E1700" s="80"/>
      <c r="F1700" s="79"/>
      <c r="G1700" s="25" t="str">
        <f t="shared" si="79"/>
        <v/>
      </c>
      <c r="H1700" s="88"/>
      <c r="I1700" s="93"/>
      <c r="J1700" s="97"/>
      <c r="K1700" s="88"/>
      <c r="L1700" s="25" t="str">
        <f>IF($D1700="","",SUMIFS($H$4:$H1700,$D$4:$D1700,$D1700)+SUMIFS($I$4:$I1700,$D$4:$D1700,$D1700)-SUMIFS($J$4:$J1700,$D$4:$D1700,$D1700)-SUMIFS($K$4:$K1700,$D$4:$D1700,$D1700))</f>
        <v/>
      </c>
      <c r="M1700" s="80"/>
      <c r="N1700" s="80"/>
      <c r="O1700" s="94"/>
      <c r="P1700" s="26" t="str">
        <f t="shared" si="80"/>
        <v/>
      </c>
      <c r="Q1700" s="80"/>
      <c r="R1700" s="80"/>
      <c r="S1700" s="80"/>
      <c r="T1700" s="82"/>
      <c r="U1700" s="80"/>
      <c r="V1700" s="80"/>
      <c r="W1700" s="80"/>
    </row>
    <row r="1701" ht="18" customHeight="1" spans="1:23">
      <c r="A1701" s="87" t="str">
        <f t="shared" si="78"/>
        <v/>
      </c>
      <c r="B1701" s="78"/>
      <c r="C1701" s="80"/>
      <c r="D1701" s="79"/>
      <c r="E1701" s="80"/>
      <c r="F1701" s="79"/>
      <c r="G1701" s="25" t="str">
        <f t="shared" si="79"/>
        <v/>
      </c>
      <c r="H1701" s="88"/>
      <c r="I1701" s="93"/>
      <c r="J1701" s="97"/>
      <c r="K1701" s="88"/>
      <c r="L1701" s="25" t="str">
        <f>IF($D1701="","",SUMIFS($H$4:$H1701,$D$4:$D1701,$D1701)+SUMIFS($I$4:$I1701,$D$4:$D1701,$D1701)-SUMIFS($J$4:$J1701,$D$4:$D1701,$D1701)-SUMIFS($K$4:$K1701,$D$4:$D1701,$D1701))</f>
        <v/>
      </c>
      <c r="M1701" s="80"/>
      <c r="N1701" s="80"/>
      <c r="O1701" s="94"/>
      <c r="P1701" s="26" t="str">
        <f t="shared" si="80"/>
        <v/>
      </c>
      <c r="Q1701" s="80"/>
      <c r="R1701" s="80"/>
      <c r="S1701" s="80"/>
      <c r="T1701" s="82"/>
      <c r="U1701" s="80"/>
      <c r="V1701" s="80"/>
      <c r="W1701" s="80"/>
    </row>
    <row r="1702" ht="18" customHeight="1" spans="1:23">
      <c r="A1702" s="87" t="str">
        <f t="shared" si="78"/>
        <v/>
      </c>
      <c r="B1702" s="78"/>
      <c r="C1702" s="80"/>
      <c r="D1702" s="79"/>
      <c r="E1702" s="80"/>
      <c r="F1702" s="79"/>
      <c r="G1702" s="25" t="str">
        <f t="shared" si="79"/>
        <v/>
      </c>
      <c r="H1702" s="88"/>
      <c r="I1702" s="93"/>
      <c r="J1702" s="97"/>
      <c r="K1702" s="88"/>
      <c r="L1702" s="25" t="str">
        <f>IF($D1702="","",SUMIFS($H$4:$H1702,$D$4:$D1702,$D1702)+SUMIFS($I$4:$I1702,$D$4:$D1702,$D1702)-SUMIFS($J$4:$J1702,$D$4:$D1702,$D1702)-SUMIFS($K$4:$K1702,$D$4:$D1702,$D1702))</f>
        <v/>
      </c>
      <c r="M1702" s="80"/>
      <c r="N1702" s="80"/>
      <c r="O1702" s="94"/>
      <c r="P1702" s="26" t="str">
        <f t="shared" si="80"/>
        <v/>
      </c>
      <c r="Q1702" s="80"/>
      <c r="R1702" s="80"/>
      <c r="S1702" s="80"/>
      <c r="T1702" s="82"/>
      <c r="U1702" s="80"/>
      <c r="V1702" s="80"/>
      <c r="W1702" s="80"/>
    </row>
    <row r="1703" ht="18" customHeight="1" spans="1:23">
      <c r="A1703" s="87" t="str">
        <f t="shared" si="78"/>
        <v/>
      </c>
      <c r="B1703" s="78"/>
      <c r="C1703" s="80"/>
      <c r="D1703" s="79"/>
      <c r="E1703" s="80"/>
      <c r="F1703" s="79"/>
      <c r="G1703" s="25" t="str">
        <f t="shared" si="79"/>
        <v/>
      </c>
      <c r="H1703" s="88"/>
      <c r="I1703" s="93"/>
      <c r="J1703" s="97"/>
      <c r="K1703" s="88"/>
      <c r="L1703" s="25" t="str">
        <f>IF($D1703="","",SUMIFS($H$4:$H1703,$D$4:$D1703,$D1703)+SUMIFS($I$4:$I1703,$D$4:$D1703,$D1703)-SUMIFS($J$4:$J1703,$D$4:$D1703,$D1703)-SUMIFS($K$4:$K1703,$D$4:$D1703,$D1703))</f>
        <v/>
      </c>
      <c r="M1703" s="80"/>
      <c r="N1703" s="80"/>
      <c r="O1703" s="94"/>
      <c r="P1703" s="26" t="str">
        <f t="shared" si="80"/>
        <v/>
      </c>
      <c r="Q1703" s="80"/>
      <c r="R1703" s="80"/>
      <c r="S1703" s="80"/>
      <c r="T1703" s="82"/>
      <c r="U1703" s="80"/>
      <c r="V1703" s="80"/>
      <c r="W1703" s="80"/>
    </row>
    <row r="1704" ht="18" customHeight="1" spans="1:23">
      <c r="A1704" s="87" t="str">
        <f t="shared" si="78"/>
        <v/>
      </c>
      <c r="B1704" s="78"/>
      <c r="C1704" s="80"/>
      <c r="D1704" s="79"/>
      <c r="E1704" s="80"/>
      <c r="F1704" s="79"/>
      <c r="G1704" s="25" t="str">
        <f t="shared" si="79"/>
        <v/>
      </c>
      <c r="H1704" s="88"/>
      <c r="I1704" s="93"/>
      <c r="J1704" s="97"/>
      <c r="K1704" s="88"/>
      <c r="L1704" s="25" t="str">
        <f>IF($D1704="","",SUMIFS($H$4:$H1704,$D$4:$D1704,$D1704)+SUMIFS($I$4:$I1704,$D$4:$D1704,$D1704)-SUMIFS($J$4:$J1704,$D$4:$D1704,$D1704)-SUMIFS($K$4:$K1704,$D$4:$D1704,$D1704))</f>
        <v/>
      </c>
      <c r="M1704" s="80"/>
      <c r="N1704" s="80"/>
      <c r="O1704" s="94"/>
      <c r="P1704" s="26" t="str">
        <f t="shared" si="80"/>
        <v/>
      </c>
      <c r="Q1704" s="80"/>
      <c r="R1704" s="80"/>
      <c r="S1704" s="80"/>
      <c r="T1704" s="82"/>
      <c r="U1704" s="80"/>
      <c r="V1704" s="80"/>
      <c r="W1704" s="80"/>
    </row>
    <row r="1705" ht="18" customHeight="1" spans="1:23">
      <c r="A1705" s="87" t="str">
        <f t="shared" si="78"/>
        <v/>
      </c>
      <c r="B1705" s="78"/>
      <c r="C1705" s="80"/>
      <c r="D1705" s="79"/>
      <c r="E1705" s="80"/>
      <c r="F1705" s="79"/>
      <c r="G1705" s="25" t="str">
        <f t="shared" si="79"/>
        <v/>
      </c>
      <c r="H1705" s="88"/>
      <c r="I1705" s="93"/>
      <c r="J1705" s="97"/>
      <c r="K1705" s="88"/>
      <c r="L1705" s="25" t="str">
        <f>IF($D1705="","",SUMIFS($H$4:$H1705,$D$4:$D1705,$D1705)+SUMIFS($I$4:$I1705,$D$4:$D1705,$D1705)-SUMIFS($J$4:$J1705,$D$4:$D1705,$D1705)-SUMIFS($K$4:$K1705,$D$4:$D1705,$D1705))</f>
        <v/>
      </c>
      <c r="M1705" s="80"/>
      <c r="N1705" s="80"/>
      <c r="O1705" s="94"/>
      <c r="P1705" s="26" t="str">
        <f t="shared" si="80"/>
        <v/>
      </c>
      <c r="Q1705" s="80"/>
      <c r="R1705" s="80"/>
      <c r="S1705" s="80"/>
      <c r="T1705" s="82"/>
      <c r="U1705" s="80"/>
      <c r="V1705" s="80"/>
      <c r="W1705" s="80"/>
    </row>
    <row r="1706" ht="18" customHeight="1" spans="1:23">
      <c r="A1706" s="87" t="str">
        <f t="shared" si="78"/>
        <v/>
      </c>
      <c r="B1706" s="78"/>
      <c r="C1706" s="80"/>
      <c r="D1706" s="79"/>
      <c r="E1706" s="80"/>
      <c r="F1706" s="79"/>
      <c r="G1706" s="25" t="str">
        <f t="shared" si="79"/>
        <v/>
      </c>
      <c r="H1706" s="88"/>
      <c r="I1706" s="93"/>
      <c r="J1706" s="97"/>
      <c r="K1706" s="88"/>
      <c r="L1706" s="25" t="str">
        <f>IF($D1706="","",SUMIFS($H$4:$H1706,$D$4:$D1706,$D1706)+SUMIFS($I$4:$I1706,$D$4:$D1706,$D1706)-SUMIFS($J$4:$J1706,$D$4:$D1706,$D1706)-SUMIFS($K$4:$K1706,$D$4:$D1706,$D1706))</f>
        <v/>
      </c>
      <c r="M1706" s="80"/>
      <c r="N1706" s="80"/>
      <c r="O1706" s="94"/>
      <c r="P1706" s="26" t="str">
        <f t="shared" si="80"/>
        <v/>
      </c>
      <c r="Q1706" s="80"/>
      <c r="R1706" s="80"/>
      <c r="S1706" s="80"/>
      <c r="T1706" s="82"/>
      <c r="U1706" s="80"/>
      <c r="V1706" s="80"/>
      <c r="W1706" s="80"/>
    </row>
    <row r="1707" ht="18" customHeight="1" spans="1:23">
      <c r="A1707" s="87" t="str">
        <f t="shared" si="78"/>
        <v/>
      </c>
      <c r="B1707" s="78"/>
      <c r="C1707" s="80"/>
      <c r="D1707" s="79"/>
      <c r="E1707" s="80"/>
      <c r="F1707" s="79"/>
      <c r="G1707" s="25" t="str">
        <f t="shared" si="79"/>
        <v/>
      </c>
      <c r="H1707" s="88"/>
      <c r="I1707" s="93"/>
      <c r="J1707" s="97"/>
      <c r="K1707" s="88"/>
      <c r="L1707" s="25" t="str">
        <f>IF($D1707="","",SUMIFS($H$4:$H1707,$D$4:$D1707,$D1707)+SUMIFS($I$4:$I1707,$D$4:$D1707,$D1707)-SUMIFS($J$4:$J1707,$D$4:$D1707,$D1707)-SUMIFS($K$4:$K1707,$D$4:$D1707,$D1707))</f>
        <v/>
      </c>
      <c r="M1707" s="80"/>
      <c r="N1707" s="80"/>
      <c r="O1707" s="94"/>
      <c r="P1707" s="26" t="str">
        <f t="shared" si="80"/>
        <v/>
      </c>
      <c r="Q1707" s="80"/>
      <c r="R1707" s="80"/>
      <c r="S1707" s="80"/>
      <c r="T1707" s="82"/>
      <c r="U1707" s="80"/>
      <c r="V1707" s="80"/>
      <c r="W1707" s="80"/>
    </row>
    <row r="1708" ht="18" customHeight="1" spans="1:23">
      <c r="A1708" s="87" t="str">
        <f t="shared" si="78"/>
        <v/>
      </c>
      <c r="B1708" s="78"/>
      <c r="C1708" s="80"/>
      <c r="D1708" s="79"/>
      <c r="E1708" s="80"/>
      <c r="F1708" s="79"/>
      <c r="G1708" s="25" t="str">
        <f t="shared" si="79"/>
        <v/>
      </c>
      <c r="H1708" s="88"/>
      <c r="I1708" s="93"/>
      <c r="J1708" s="97"/>
      <c r="K1708" s="88"/>
      <c r="L1708" s="25" t="str">
        <f>IF($D1708="","",SUMIFS($H$4:$H1708,$D$4:$D1708,$D1708)+SUMIFS($I$4:$I1708,$D$4:$D1708,$D1708)-SUMIFS($J$4:$J1708,$D$4:$D1708,$D1708)-SUMIFS($K$4:$K1708,$D$4:$D1708,$D1708))</f>
        <v/>
      </c>
      <c r="M1708" s="80"/>
      <c r="N1708" s="80"/>
      <c r="O1708" s="94"/>
      <c r="P1708" s="26" t="str">
        <f t="shared" si="80"/>
        <v/>
      </c>
      <c r="Q1708" s="80"/>
      <c r="R1708" s="80"/>
      <c r="S1708" s="80"/>
      <c r="T1708" s="82"/>
      <c r="U1708" s="80"/>
      <c r="V1708" s="80"/>
      <c r="W1708" s="80"/>
    </row>
    <row r="1709" ht="18" customHeight="1" spans="1:23">
      <c r="A1709" s="87" t="str">
        <f t="shared" si="78"/>
        <v/>
      </c>
      <c r="B1709" s="78"/>
      <c r="C1709" s="80"/>
      <c r="D1709" s="79"/>
      <c r="E1709" s="80"/>
      <c r="F1709" s="79"/>
      <c r="G1709" s="25" t="str">
        <f t="shared" si="79"/>
        <v/>
      </c>
      <c r="H1709" s="88"/>
      <c r="I1709" s="93"/>
      <c r="J1709" s="97"/>
      <c r="K1709" s="88"/>
      <c r="L1709" s="25" t="str">
        <f>IF($D1709="","",SUMIFS($H$4:$H1709,$D$4:$D1709,$D1709)+SUMIFS($I$4:$I1709,$D$4:$D1709,$D1709)-SUMIFS($J$4:$J1709,$D$4:$D1709,$D1709)-SUMIFS($K$4:$K1709,$D$4:$D1709,$D1709))</f>
        <v/>
      </c>
      <c r="M1709" s="80"/>
      <c r="N1709" s="80"/>
      <c r="O1709" s="94"/>
      <c r="P1709" s="26" t="str">
        <f t="shared" si="80"/>
        <v/>
      </c>
      <c r="Q1709" s="80"/>
      <c r="R1709" s="80"/>
      <c r="S1709" s="80"/>
      <c r="T1709" s="82"/>
      <c r="U1709" s="80"/>
      <c r="V1709" s="80"/>
      <c r="W1709" s="80"/>
    </row>
    <row r="1710" ht="18" customHeight="1" spans="1:23">
      <c r="A1710" s="87" t="str">
        <f t="shared" si="78"/>
        <v/>
      </c>
      <c r="B1710" s="78"/>
      <c r="C1710" s="80"/>
      <c r="D1710" s="79"/>
      <c r="E1710" s="80"/>
      <c r="F1710" s="79"/>
      <c r="G1710" s="25" t="str">
        <f t="shared" si="79"/>
        <v/>
      </c>
      <c r="H1710" s="88"/>
      <c r="I1710" s="93"/>
      <c r="J1710" s="97"/>
      <c r="K1710" s="88"/>
      <c r="L1710" s="25" t="str">
        <f>IF($D1710="","",SUMIFS($H$4:$H1710,$D$4:$D1710,$D1710)+SUMIFS($I$4:$I1710,$D$4:$D1710,$D1710)-SUMIFS($J$4:$J1710,$D$4:$D1710,$D1710)-SUMIFS($K$4:$K1710,$D$4:$D1710,$D1710))</f>
        <v/>
      </c>
      <c r="M1710" s="80"/>
      <c r="N1710" s="80"/>
      <c r="O1710" s="94"/>
      <c r="P1710" s="26" t="str">
        <f t="shared" si="80"/>
        <v/>
      </c>
      <c r="Q1710" s="80"/>
      <c r="R1710" s="80"/>
      <c r="S1710" s="80"/>
      <c r="T1710" s="82"/>
      <c r="U1710" s="80"/>
      <c r="V1710" s="80"/>
      <c r="W1710" s="80"/>
    </row>
    <row r="1711" ht="18" customHeight="1" spans="1:23">
      <c r="A1711" s="87" t="str">
        <f t="shared" si="78"/>
        <v/>
      </c>
      <c r="B1711" s="78"/>
      <c r="C1711" s="80"/>
      <c r="D1711" s="79"/>
      <c r="E1711" s="80"/>
      <c r="F1711" s="79"/>
      <c r="G1711" s="25" t="str">
        <f t="shared" si="79"/>
        <v/>
      </c>
      <c r="H1711" s="88"/>
      <c r="I1711" s="93"/>
      <c r="J1711" s="97"/>
      <c r="K1711" s="88"/>
      <c r="L1711" s="25" t="str">
        <f>IF($D1711="","",SUMIFS($H$4:$H1711,$D$4:$D1711,$D1711)+SUMIFS($I$4:$I1711,$D$4:$D1711,$D1711)-SUMIFS($J$4:$J1711,$D$4:$D1711,$D1711)-SUMIFS($K$4:$K1711,$D$4:$D1711,$D1711))</f>
        <v/>
      </c>
      <c r="M1711" s="80"/>
      <c r="N1711" s="80"/>
      <c r="O1711" s="94"/>
      <c r="P1711" s="26" t="str">
        <f t="shared" si="80"/>
        <v/>
      </c>
      <c r="Q1711" s="80"/>
      <c r="R1711" s="80"/>
      <c r="S1711" s="80"/>
      <c r="T1711" s="82"/>
      <c r="U1711" s="80"/>
      <c r="V1711" s="80"/>
      <c r="W1711" s="80"/>
    </row>
    <row r="1712" ht="18" customHeight="1" spans="1:23">
      <c r="A1712" s="87" t="str">
        <f t="shared" si="78"/>
        <v/>
      </c>
      <c r="B1712" s="78"/>
      <c r="C1712" s="80"/>
      <c r="D1712" s="79"/>
      <c r="E1712" s="80"/>
      <c r="F1712" s="79"/>
      <c r="G1712" s="25" t="str">
        <f t="shared" si="79"/>
        <v/>
      </c>
      <c r="H1712" s="88"/>
      <c r="I1712" s="93"/>
      <c r="J1712" s="97"/>
      <c r="K1712" s="88"/>
      <c r="L1712" s="25" t="str">
        <f>IF($D1712="","",SUMIFS($H$4:$H1712,$D$4:$D1712,$D1712)+SUMIFS($I$4:$I1712,$D$4:$D1712,$D1712)-SUMIFS($J$4:$J1712,$D$4:$D1712,$D1712)-SUMIFS($K$4:$K1712,$D$4:$D1712,$D1712))</f>
        <v/>
      </c>
      <c r="M1712" s="80"/>
      <c r="N1712" s="80"/>
      <c r="O1712" s="94"/>
      <c r="P1712" s="26" t="str">
        <f t="shared" si="80"/>
        <v/>
      </c>
      <c r="Q1712" s="80"/>
      <c r="R1712" s="80"/>
      <c r="S1712" s="80"/>
      <c r="T1712" s="82"/>
      <c r="U1712" s="80"/>
      <c r="V1712" s="80"/>
      <c r="W1712" s="80"/>
    </row>
    <row r="1713" ht="18" customHeight="1" spans="1:23">
      <c r="A1713" s="87" t="str">
        <f t="shared" si="78"/>
        <v/>
      </c>
      <c r="B1713" s="78"/>
      <c r="C1713" s="80"/>
      <c r="D1713" s="79"/>
      <c r="E1713" s="80"/>
      <c r="F1713" s="79"/>
      <c r="G1713" s="25" t="str">
        <f t="shared" si="79"/>
        <v/>
      </c>
      <c r="H1713" s="88"/>
      <c r="I1713" s="93"/>
      <c r="J1713" s="97"/>
      <c r="K1713" s="88"/>
      <c r="L1713" s="25" t="str">
        <f>IF($D1713="","",SUMIFS($H$4:$H1713,$D$4:$D1713,$D1713)+SUMIFS($I$4:$I1713,$D$4:$D1713,$D1713)-SUMIFS($J$4:$J1713,$D$4:$D1713,$D1713)-SUMIFS($K$4:$K1713,$D$4:$D1713,$D1713))</f>
        <v/>
      </c>
      <c r="M1713" s="80"/>
      <c r="N1713" s="80"/>
      <c r="O1713" s="94"/>
      <c r="P1713" s="26" t="str">
        <f t="shared" si="80"/>
        <v/>
      </c>
      <c r="Q1713" s="80"/>
      <c r="R1713" s="80"/>
      <c r="S1713" s="80"/>
      <c r="T1713" s="82"/>
      <c r="U1713" s="80"/>
      <c r="V1713" s="80"/>
      <c r="W1713" s="80"/>
    </row>
    <row r="1714" ht="18" customHeight="1" spans="1:23">
      <c r="A1714" s="87" t="str">
        <f t="shared" si="78"/>
        <v/>
      </c>
      <c r="B1714" s="78"/>
      <c r="C1714" s="80"/>
      <c r="D1714" s="79"/>
      <c r="E1714" s="80"/>
      <c r="F1714" s="79"/>
      <c r="G1714" s="25" t="str">
        <f t="shared" si="79"/>
        <v/>
      </c>
      <c r="H1714" s="88"/>
      <c r="I1714" s="93"/>
      <c r="J1714" s="97"/>
      <c r="K1714" s="88"/>
      <c r="L1714" s="25" t="str">
        <f>IF($D1714="","",SUMIFS($H$4:$H1714,$D$4:$D1714,$D1714)+SUMIFS($I$4:$I1714,$D$4:$D1714,$D1714)-SUMIFS($J$4:$J1714,$D$4:$D1714,$D1714)-SUMIFS($K$4:$K1714,$D$4:$D1714,$D1714))</f>
        <v/>
      </c>
      <c r="M1714" s="80"/>
      <c r="N1714" s="80"/>
      <c r="O1714" s="94"/>
      <c r="P1714" s="26" t="str">
        <f t="shared" si="80"/>
        <v/>
      </c>
      <c r="Q1714" s="80"/>
      <c r="R1714" s="80"/>
      <c r="S1714" s="80"/>
      <c r="T1714" s="82"/>
      <c r="U1714" s="80"/>
      <c r="V1714" s="80"/>
      <c r="W1714" s="80"/>
    </row>
    <row r="1715" ht="18" customHeight="1" spans="1:23">
      <c r="A1715" s="87" t="str">
        <f t="shared" si="78"/>
        <v/>
      </c>
      <c r="B1715" s="78"/>
      <c r="C1715" s="80"/>
      <c r="D1715" s="79"/>
      <c r="E1715" s="80"/>
      <c r="F1715" s="79"/>
      <c r="G1715" s="25" t="str">
        <f t="shared" si="79"/>
        <v/>
      </c>
      <c r="H1715" s="88"/>
      <c r="I1715" s="93"/>
      <c r="J1715" s="97"/>
      <c r="K1715" s="88"/>
      <c r="L1715" s="25" t="str">
        <f>IF($D1715="","",SUMIFS($H$4:$H1715,$D$4:$D1715,$D1715)+SUMIFS($I$4:$I1715,$D$4:$D1715,$D1715)-SUMIFS($J$4:$J1715,$D$4:$D1715,$D1715)-SUMIFS($K$4:$K1715,$D$4:$D1715,$D1715))</f>
        <v/>
      </c>
      <c r="M1715" s="80"/>
      <c r="N1715" s="80"/>
      <c r="O1715" s="94"/>
      <c r="P1715" s="26" t="str">
        <f t="shared" si="80"/>
        <v/>
      </c>
      <c r="Q1715" s="80"/>
      <c r="R1715" s="80"/>
      <c r="S1715" s="80"/>
      <c r="T1715" s="82"/>
      <c r="U1715" s="80"/>
      <c r="V1715" s="80"/>
      <c r="W1715" s="80"/>
    </row>
    <row r="1716" ht="18" customHeight="1" spans="1:23">
      <c r="A1716" s="87" t="str">
        <f t="shared" si="78"/>
        <v/>
      </c>
      <c r="B1716" s="78"/>
      <c r="C1716" s="80"/>
      <c r="D1716" s="79"/>
      <c r="E1716" s="80"/>
      <c r="F1716" s="79"/>
      <c r="G1716" s="25" t="str">
        <f t="shared" si="79"/>
        <v/>
      </c>
      <c r="H1716" s="88"/>
      <c r="I1716" s="93"/>
      <c r="J1716" s="97"/>
      <c r="K1716" s="88"/>
      <c r="L1716" s="25" t="str">
        <f>IF($D1716="","",SUMIFS($H$4:$H1716,$D$4:$D1716,$D1716)+SUMIFS($I$4:$I1716,$D$4:$D1716,$D1716)-SUMIFS($J$4:$J1716,$D$4:$D1716,$D1716)-SUMIFS($K$4:$K1716,$D$4:$D1716,$D1716))</f>
        <v/>
      </c>
      <c r="M1716" s="80"/>
      <c r="N1716" s="80"/>
      <c r="O1716" s="94"/>
      <c r="P1716" s="26" t="str">
        <f t="shared" si="80"/>
        <v/>
      </c>
      <c r="Q1716" s="80"/>
      <c r="R1716" s="80"/>
      <c r="S1716" s="80"/>
      <c r="T1716" s="82"/>
      <c r="U1716" s="80"/>
      <c r="V1716" s="80"/>
      <c r="W1716" s="80"/>
    </row>
    <row r="1717" ht="18" customHeight="1" spans="1:23">
      <c r="A1717" s="87" t="str">
        <f t="shared" si="78"/>
        <v/>
      </c>
      <c r="B1717" s="78"/>
      <c r="C1717" s="80"/>
      <c r="D1717" s="79"/>
      <c r="E1717" s="80"/>
      <c r="F1717" s="79"/>
      <c r="G1717" s="25" t="str">
        <f t="shared" si="79"/>
        <v/>
      </c>
      <c r="H1717" s="88"/>
      <c r="I1717" s="93"/>
      <c r="J1717" s="97"/>
      <c r="K1717" s="88"/>
      <c r="L1717" s="25" t="str">
        <f>IF($D1717="","",SUMIFS($H$4:$H1717,$D$4:$D1717,$D1717)+SUMIFS($I$4:$I1717,$D$4:$D1717,$D1717)-SUMIFS($J$4:$J1717,$D$4:$D1717,$D1717)-SUMIFS($K$4:$K1717,$D$4:$D1717,$D1717))</f>
        <v/>
      </c>
      <c r="M1717" s="80"/>
      <c r="N1717" s="80"/>
      <c r="O1717" s="94"/>
      <c r="P1717" s="26" t="str">
        <f t="shared" si="80"/>
        <v/>
      </c>
      <c r="Q1717" s="80"/>
      <c r="R1717" s="80"/>
      <c r="S1717" s="80"/>
      <c r="T1717" s="82"/>
      <c r="U1717" s="80"/>
      <c r="V1717" s="80"/>
      <c r="W1717" s="80"/>
    </row>
    <row r="1718" ht="18" customHeight="1" spans="1:23">
      <c r="A1718" s="87" t="str">
        <f t="shared" si="78"/>
        <v/>
      </c>
      <c r="B1718" s="78"/>
      <c r="C1718" s="80"/>
      <c r="D1718" s="79"/>
      <c r="E1718" s="80"/>
      <c r="F1718" s="79"/>
      <c r="G1718" s="25" t="str">
        <f t="shared" si="79"/>
        <v/>
      </c>
      <c r="H1718" s="88"/>
      <c r="I1718" s="93"/>
      <c r="J1718" s="97"/>
      <c r="K1718" s="88"/>
      <c r="L1718" s="25" t="str">
        <f>IF($D1718="","",SUMIFS($H$4:$H1718,$D$4:$D1718,$D1718)+SUMIFS($I$4:$I1718,$D$4:$D1718,$D1718)-SUMIFS($J$4:$J1718,$D$4:$D1718,$D1718)-SUMIFS($K$4:$K1718,$D$4:$D1718,$D1718))</f>
        <v/>
      </c>
      <c r="M1718" s="80"/>
      <c r="N1718" s="80"/>
      <c r="O1718" s="94"/>
      <c r="P1718" s="26" t="str">
        <f t="shared" si="80"/>
        <v/>
      </c>
      <c r="Q1718" s="80"/>
      <c r="R1718" s="80"/>
      <c r="S1718" s="80"/>
      <c r="T1718" s="82"/>
      <c r="U1718" s="80"/>
      <c r="V1718" s="80"/>
      <c r="W1718" s="80"/>
    </row>
    <row r="1719" ht="18" customHeight="1" spans="1:23">
      <c r="A1719" s="87" t="str">
        <f t="shared" si="78"/>
        <v/>
      </c>
      <c r="B1719" s="78"/>
      <c r="C1719" s="80"/>
      <c r="D1719" s="79"/>
      <c r="E1719" s="80"/>
      <c r="F1719" s="79"/>
      <c r="G1719" s="25" t="str">
        <f t="shared" si="79"/>
        <v/>
      </c>
      <c r="H1719" s="88"/>
      <c r="I1719" s="93"/>
      <c r="J1719" s="97"/>
      <c r="K1719" s="88"/>
      <c r="L1719" s="25" t="str">
        <f>IF($D1719="","",SUMIFS($H$4:$H1719,$D$4:$D1719,$D1719)+SUMIFS($I$4:$I1719,$D$4:$D1719,$D1719)-SUMIFS($J$4:$J1719,$D$4:$D1719,$D1719)-SUMIFS($K$4:$K1719,$D$4:$D1719,$D1719))</f>
        <v/>
      </c>
      <c r="M1719" s="80"/>
      <c r="N1719" s="80"/>
      <c r="O1719" s="94"/>
      <c r="P1719" s="26" t="str">
        <f t="shared" si="80"/>
        <v/>
      </c>
      <c r="Q1719" s="80"/>
      <c r="R1719" s="80"/>
      <c r="S1719" s="80"/>
      <c r="T1719" s="82"/>
      <c r="U1719" s="80"/>
      <c r="V1719" s="80"/>
      <c r="W1719" s="80"/>
    </row>
    <row r="1720" ht="18" customHeight="1" spans="1:23">
      <c r="A1720" s="87" t="str">
        <f t="shared" si="78"/>
        <v/>
      </c>
      <c r="B1720" s="78"/>
      <c r="C1720" s="80"/>
      <c r="D1720" s="79"/>
      <c r="E1720" s="80"/>
      <c r="F1720" s="79"/>
      <c r="G1720" s="25" t="str">
        <f t="shared" si="79"/>
        <v/>
      </c>
      <c r="H1720" s="88"/>
      <c r="I1720" s="93"/>
      <c r="J1720" s="97"/>
      <c r="K1720" s="88"/>
      <c r="L1720" s="25" t="str">
        <f>IF($D1720="","",SUMIFS($H$4:$H1720,$D$4:$D1720,$D1720)+SUMIFS($I$4:$I1720,$D$4:$D1720,$D1720)-SUMIFS($J$4:$J1720,$D$4:$D1720,$D1720)-SUMIFS($K$4:$K1720,$D$4:$D1720,$D1720))</f>
        <v/>
      </c>
      <c r="M1720" s="80"/>
      <c r="N1720" s="80"/>
      <c r="O1720" s="94"/>
      <c r="P1720" s="26" t="str">
        <f t="shared" si="80"/>
        <v/>
      </c>
      <c r="Q1720" s="80"/>
      <c r="R1720" s="80"/>
      <c r="S1720" s="80"/>
      <c r="T1720" s="82"/>
      <c r="U1720" s="80"/>
      <c r="V1720" s="80"/>
      <c r="W1720" s="80"/>
    </row>
    <row r="1721" ht="18" customHeight="1" spans="1:23">
      <c r="A1721" s="87" t="str">
        <f t="shared" si="78"/>
        <v/>
      </c>
      <c r="B1721" s="78"/>
      <c r="C1721" s="80"/>
      <c r="D1721" s="79"/>
      <c r="E1721" s="80"/>
      <c r="F1721" s="79"/>
      <c r="G1721" s="25" t="str">
        <f t="shared" si="79"/>
        <v/>
      </c>
      <c r="H1721" s="88"/>
      <c r="I1721" s="93"/>
      <c r="J1721" s="97"/>
      <c r="K1721" s="88"/>
      <c r="L1721" s="25" t="str">
        <f>IF($D1721="","",SUMIFS($H$4:$H1721,$D$4:$D1721,$D1721)+SUMIFS($I$4:$I1721,$D$4:$D1721,$D1721)-SUMIFS($J$4:$J1721,$D$4:$D1721,$D1721)-SUMIFS($K$4:$K1721,$D$4:$D1721,$D1721))</f>
        <v/>
      </c>
      <c r="M1721" s="80"/>
      <c r="N1721" s="80"/>
      <c r="O1721" s="94"/>
      <c r="P1721" s="26" t="str">
        <f t="shared" si="80"/>
        <v/>
      </c>
      <c r="Q1721" s="80"/>
      <c r="R1721" s="80"/>
      <c r="S1721" s="80"/>
      <c r="T1721" s="82"/>
      <c r="U1721" s="80"/>
      <c r="V1721" s="80"/>
      <c r="W1721" s="80"/>
    </row>
    <row r="1722" ht="18" customHeight="1" spans="1:23">
      <c r="A1722" s="87" t="str">
        <f t="shared" si="78"/>
        <v/>
      </c>
      <c r="B1722" s="78"/>
      <c r="C1722" s="80"/>
      <c r="D1722" s="79"/>
      <c r="E1722" s="80"/>
      <c r="F1722" s="79"/>
      <c r="G1722" s="25" t="str">
        <f t="shared" si="79"/>
        <v/>
      </c>
      <c r="H1722" s="88"/>
      <c r="I1722" s="93"/>
      <c r="J1722" s="97"/>
      <c r="K1722" s="88"/>
      <c r="L1722" s="25" t="str">
        <f>IF($D1722="","",SUMIFS($H$4:$H1722,$D$4:$D1722,$D1722)+SUMIFS($I$4:$I1722,$D$4:$D1722,$D1722)-SUMIFS($J$4:$J1722,$D$4:$D1722,$D1722)-SUMIFS($K$4:$K1722,$D$4:$D1722,$D1722))</f>
        <v/>
      </c>
      <c r="M1722" s="80"/>
      <c r="N1722" s="80"/>
      <c r="O1722" s="94"/>
      <c r="P1722" s="26" t="str">
        <f t="shared" si="80"/>
        <v/>
      </c>
      <c r="Q1722" s="80"/>
      <c r="R1722" s="80"/>
      <c r="S1722" s="80"/>
      <c r="T1722" s="82"/>
      <c r="U1722" s="80"/>
      <c r="V1722" s="80"/>
      <c r="W1722" s="80"/>
    </row>
    <row r="1723" ht="18" customHeight="1" spans="1:23">
      <c r="A1723" s="87" t="str">
        <f t="shared" si="78"/>
        <v/>
      </c>
      <c r="B1723" s="78"/>
      <c r="C1723" s="80"/>
      <c r="D1723" s="79"/>
      <c r="E1723" s="80"/>
      <c r="F1723" s="79"/>
      <c r="G1723" s="25" t="str">
        <f t="shared" si="79"/>
        <v/>
      </c>
      <c r="H1723" s="88"/>
      <c r="I1723" s="93"/>
      <c r="J1723" s="97"/>
      <c r="K1723" s="88"/>
      <c r="L1723" s="25" t="str">
        <f>IF($D1723="","",SUMIFS($H$4:$H1723,$D$4:$D1723,$D1723)+SUMIFS($I$4:$I1723,$D$4:$D1723,$D1723)-SUMIFS($J$4:$J1723,$D$4:$D1723,$D1723)-SUMIFS($K$4:$K1723,$D$4:$D1723,$D1723))</f>
        <v/>
      </c>
      <c r="M1723" s="80"/>
      <c r="N1723" s="80"/>
      <c r="O1723" s="94"/>
      <c r="P1723" s="26" t="str">
        <f t="shared" si="80"/>
        <v/>
      </c>
      <c r="Q1723" s="80"/>
      <c r="R1723" s="80"/>
      <c r="S1723" s="80"/>
      <c r="T1723" s="82"/>
      <c r="U1723" s="80"/>
      <c r="V1723" s="80"/>
      <c r="W1723" s="80"/>
    </row>
    <row r="1724" ht="18" customHeight="1" spans="1:23">
      <c r="A1724" s="87" t="str">
        <f t="shared" si="78"/>
        <v/>
      </c>
      <c r="B1724" s="78"/>
      <c r="C1724" s="80"/>
      <c r="D1724" s="79"/>
      <c r="E1724" s="80"/>
      <c r="F1724" s="79"/>
      <c r="G1724" s="25" t="str">
        <f t="shared" si="79"/>
        <v/>
      </c>
      <c r="H1724" s="88"/>
      <c r="I1724" s="93"/>
      <c r="J1724" s="97"/>
      <c r="K1724" s="88"/>
      <c r="L1724" s="25" t="str">
        <f>IF($D1724="","",SUMIFS($H$4:$H1724,$D$4:$D1724,$D1724)+SUMIFS($I$4:$I1724,$D$4:$D1724,$D1724)-SUMIFS($J$4:$J1724,$D$4:$D1724,$D1724)-SUMIFS($K$4:$K1724,$D$4:$D1724,$D1724))</f>
        <v/>
      </c>
      <c r="M1724" s="80"/>
      <c r="N1724" s="80"/>
      <c r="O1724" s="94"/>
      <c r="P1724" s="26" t="str">
        <f t="shared" si="80"/>
        <v/>
      </c>
      <c r="Q1724" s="80"/>
      <c r="R1724" s="80"/>
      <c r="S1724" s="80"/>
      <c r="T1724" s="82"/>
      <c r="U1724" s="80"/>
      <c r="V1724" s="80"/>
      <c r="W1724" s="80"/>
    </row>
    <row r="1725" ht="18" customHeight="1" spans="1:23">
      <c r="A1725" s="87" t="str">
        <f t="shared" si="78"/>
        <v/>
      </c>
      <c r="B1725" s="78"/>
      <c r="C1725" s="80"/>
      <c r="D1725" s="79"/>
      <c r="E1725" s="80"/>
      <c r="F1725" s="79"/>
      <c r="G1725" s="25" t="str">
        <f t="shared" si="79"/>
        <v/>
      </c>
      <c r="H1725" s="88"/>
      <c r="I1725" s="93"/>
      <c r="J1725" s="97"/>
      <c r="K1725" s="88"/>
      <c r="L1725" s="25" t="str">
        <f>IF($D1725="","",SUMIFS($H$4:$H1725,$D$4:$D1725,$D1725)+SUMIFS($I$4:$I1725,$D$4:$D1725,$D1725)-SUMIFS($J$4:$J1725,$D$4:$D1725,$D1725)-SUMIFS($K$4:$K1725,$D$4:$D1725,$D1725))</f>
        <v/>
      </c>
      <c r="M1725" s="80"/>
      <c r="N1725" s="80"/>
      <c r="O1725" s="94"/>
      <c r="P1725" s="26" t="str">
        <f t="shared" si="80"/>
        <v/>
      </c>
      <c r="Q1725" s="80"/>
      <c r="R1725" s="80"/>
      <c r="S1725" s="80"/>
      <c r="T1725" s="82"/>
      <c r="U1725" s="80"/>
      <c r="V1725" s="80"/>
      <c r="W1725" s="80"/>
    </row>
    <row r="1726" ht="18" customHeight="1" spans="1:23">
      <c r="A1726" s="87" t="str">
        <f t="shared" si="78"/>
        <v/>
      </c>
      <c r="B1726" s="78"/>
      <c r="C1726" s="80"/>
      <c r="D1726" s="79"/>
      <c r="E1726" s="80"/>
      <c r="F1726" s="79"/>
      <c r="G1726" s="25" t="str">
        <f t="shared" si="79"/>
        <v/>
      </c>
      <c r="H1726" s="88"/>
      <c r="I1726" s="93"/>
      <c r="J1726" s="97"/>
      <c r="K1726" s="88"/>
      <c r="L1726" s="25" t="str">
        <f>IF($D1726="","",SUMIFS($H$4:$H1726,$D$4:$D1726,$D1726)+SUMIFS($I$4:$I1726,$D$4:$D1726,$D1726)-SUMIFS($J$4:$J1726,$D$4:$D1726,$D1726)-SUMIFS($K$4:$K1726,$D$4:$D1726,$D1726))</f>
        <v/>
      </c>
      <c r="M1726" s="80"/>
      <c r="N1726" s="80"/>
      <c r="O1726" s="94"/>
      <c r="P1726" s="26" t="str">
        <f t="shared" si="80"/>
        <v/>
      </c>
      <c r="Q1726" s="80"/>
      <c r="R1726" s="80"/>
      <c r="S1726" s="80"/>
      <c r="T1726" s="82"/>
      <c r="U1726" s="80"/>
      <c r="V1726" s="80"/>
      <c r="W1726" s="80"/>
    </row>
    <row r="1727" ht="18" customHeight="1" spans="1:23">
      <c r="A1727" s="87" t="str">
        <f t="shared" si="78"/>
        <v/>
      </c>
      <c r="B1727" s="78"/>
      <c r="C1727" s="80"/>
      <c r="D1727" s="79"/>
      <c r="E1727" s="80"/>
      <c r="F1727" s="79"/>
      <c r="G1727" s="25" t="str">
        <f t="shared" si="79"/>
        <v/>
      </c>
      <c r="H1727" s="88"/>
      <c r="I1727" s="93"/>
      <c r="J1727" s="97"/>
      <c r="K1727" s="88"/>
      <c r="L1727" s="25" t="str">
        <f>IF($D1727="","",SUMIFS($H$4:$H1727,$D$4:$D1727,$D1727)+SUMIFS($I$4:$I1727,$D$4:$D1727,$D1727)-SUMIFS($J$4:$J1727,$D$4:$D1727,$D1727)-SUMIFS($K$4:$K1727,$D$4:$D1727,$D1727))</f>
        <v/>
      </c>
      <c r="M1727" s="80"/>
      <c r="N1727" s="80"/>
      <c r="O1727" s="94"/>
      <c r="P1727" s="26" t="str">
        <f t="shared" si="80"/>
        <v/>
      </c>
      <c r="Q1727" s="80"/>
      <c r="R1727" s="80"/>
      <c r="S1727" s="80"/>
      <c r="T1727" s="82"/>
      <c r="U1727" s="80"/>
      <c r="V1727" s="80"/>
      <c r="W1727" s="80"/>
    </row>
    <row r="1728" ht="18" customHeight="1" spans="1:23">
      <c r="A1728" s="87" t="str">
        <f t="shared" si="78"/>
        <v/>
      </c>
      <c r="B1728" s="78"/>
      <c r="C1728" s="80"/>
      <c r="D1728" s="79"/>
      <c r="E1728" s="80"/>
      <c r="F1728" s="79"/>
      <c r="G1728" s="25" t="str">
        <f t="shared" si="79"/>
        <v/>
      </c>
      <c r="H1728" s="88"/>
      <c r="I1728" s="93"/>
      <c r="J1728" s="97"/>
      <c r="K1728" s="88"/>
      <c r="L1728" s="25" t="str">
        <f>IF($D1728="","",SUMIFS($H$4:$H1728,$D$4:$D1728,$D1728)+SUMIFS($I$4:$I1728,$D$4:$D1728,$D1728)-SUMIFS($J$4:$J1728,$D$4:$D1728,$D1728)-SUMIFS($K$4:$K1728,$D$4:$D1728,$D1728))</f>
        <v/>
      </c>
      <c r="M1728" s="80"/>
      <c r="N1728" s="80"/>
      <c r="O1728" s="94"/>
      <c r="P1728" s="26" t="str">
        <f t="shared" si="80"/>
        <v/>
      </c>
      <c r="Q1728" s="80"/>
      <c r="R1728" s="80"/>
      <c r="S1728" s="80"/>
      <c r="T1728" s="82"/>
      <c r="U1728" s="80"/>
      <c r="V1728" s="80"/>
      <c r="W1728" s="80"/>
    </row>
    <row r="1729" ht="18" customHeight="1" spans="1:23">
      <c r="A1729" s="87" t="str">
        <f t="shared" si="78"/>
        <v/>
      </c>
      <c r="B1729" s="78"/>
      <c r="C1729" s="80"/>
      <c r="D1729" s="79"/>
      <c r="E1729" s="80"/>
      <c r="F1729" s="79"/>
      <c r="G1729" s="25" t="str">
        <f t="shared" si="79"/>
        <v/>
      </c>
      <c r="H1729" s="88"/>
      <c r="I1729" s="93"/>
      <c r="J1729" s="97"/>
      <c r="K1729" s="88"/>
      <c r="L1729" s="25" t="str">
        <f>IF($D1729="","",SUMIFS($H$4:$H1729,$D$4:$D1729,$D1729)+SUMIFS($I$4:$I1729,$D$4:$D1729,$D1729)-SUMIFS($J$4:$J1729,$D$4:$D1729,$D1729)-SUMIFS($K$4:$K1729,$D$4:$D1729,$D1729))</f>
        <v/>
      </c>
      <c r="M1729" s="80"/>
      <c r="N1729" s="80"/>
      <c r="O1729" s="94"/>
      <c r="P1729" s="26" t="str">
        <f t="shared" si="80"/>
        <v/>
      </c>
      <c r="Q1729" s="80"/>
      <c r="R1729" s="80"/>
      <c r="S1729" s="80"/>
      <c r="T1729" s="82"/>
      <c r="U1729" s="80"/>
      <c r="V1729" s="80"/>
      <c r="W1729" s="80"/>
    </row>
    <row r="1730" ht="18" customHeight="1" spans="1:23">
      <c r="A1730" s="87" t="str">
        <f t="shared" si="78"/>
        <v/>
      </c>
      <c r="B1730" s="78"/>
      <c r="C1730" s="80"/>
      <c r="D1730" s="79"/>
      <c r="E1730" s="80"/>
      <c r="F1730" s="79"/>
      <c r="G1730" s="25" t="str">
        <f t="shared" si="79"/>
        <v/>
      </c>
      <c r="H1730" s="88"/>
      <c r="I1730" s="93"/>
      <c r="J1730" s="97"/>
      <c r="K1730" s="88"/>
      <c r="L1730" s="25" t="str">
        <f>IF($D1730="","",SUMIFS($H$4:$H1730,$D$4:$D1730,$D1730)+SUMIFS($I$4:$I1730,$D$4:$D1730,$D1730)-SUMIFS($J$4:$J1730,$D$4:$D1730,$D1730)-SUMIFS($K$4:$K1730,$D$4:$D1730,$D1730))</f>
        <v/>
      </c>
      <c r="M1730" s="80"/>
      <c r="N1730" s="80"/>
      <c r="O1730" s="94"/>
      <c r="P1730" s="26" t="str">
        <f t="shared" si="80"/>
        <v/>
      </c>
      <c r="Q1730" s="80"/>
      <c r="R1730" s="80"/>
      <c r="S1730" s="80"/>
      <c r="T1730" s="82"/>
      <c r="U1730" s="80"/>
      <c r="V1730" s="80"/>
      <c r="W1730" s="80"/>
    </row>
    <row r="1731" ht="18" customHeight="1" spans="1:23">
      <c r="A1731" s="87" t="str">
        <f t="shared" si="78"/>
        <v/>
      </c>
      <c r="B1731" s="78"/>
      <c r="C1731" s="80"/>
      <c r="D1731" s="79"/>
      <c r="E1731" s="80"/>
      <c r="F1731" s="79"/>
      <c r="G1731" s="25" t="str">
        <f t="shared" si="79"/>
        <v/>
      </c>
      <c r="H1731" s="88"/>
      <c r="I1731" s="93"/>
      <c r="J1731" s="97"/>
      <c r="K1731" s="88"/>
      <c r="L1731" s="25" t="str">
        <f>IF($D1731="","",SUMIFS($H$4:$H1731,$D$4:$D1731,$D1731)+SUMIFS($I$4:$I1731,$D$4:$D1731,$D1731)-SUMIFS($J$4:$J1731,$D$4:$D1731,$D1731)-SUMIFS($K$4:$K1731,$D$4:$D1731,$D1731))</f>
        <v/>
      </c>
      <c r="M1731" s="80"/>
      <c r="N1731" s="80"/>
      <c r="O1731" s="94"/>
      <c r="P1731" s="26" t="str">
        <f t="shared" si="80"/>
        <v/>
      </c>
      <c r="Q1731" s="80"/>
      <c r="R1731" s="80"/>
      <c r="S1731" s="80"/>
      <c r="T1731" s="82"/>
      <c r="U1731" s="80"/>
      <c r="V1731" s="80"/>
      <c r="W1731" s="80"/>
    </row>
    <row r="1732" ht="18" customHeight="1" spans="1:23">
      <c r="A1732" s="87" t="str">
        <f t="shared" si="78"/>
        <v/>
      </c>
      <c r="B1732" s="78"/>
      <c r="C1732" s="80"/>
      <c r="D1732" s="79"/>
      <c r="E1732" s="80"/>
      <c r="F1732" s="79"/>
      <c r="G1732" s="25" t="str">
        <f t="shared" si="79"/>
        <v/>
      </c>
      <c r="H1732" s="88"/>
      <c r="I1732" s="93"/>
      <c r="J1732" s="97"/>
      <c r="K1732" s="88"/>
      <c r="L1732" s="25" t="str">
        <f>IF($D1732="","",SUMIFS($H$4:$H1732,$D$4:$D1732,$D1732)+SUMIFS($I$4:$I1732,$D$4:$D1732,$D1732)-SUMIFS($J$4:$J1732,$D$4:$D1732,$D1732)-SUMIFS($K$4:$K1732,$D$4:$D1732,$D1732))</f>
        <v/>
      </c>
      <c r="M1732" s="80"/>
      <c r="N1732" s="80"/>
      <c r="O1732" s="94"/>
      <c r="P1732" s="26" t="str">
        <f t="shared" si="80"/>
        <v/>
      </c>
      <c r="Q1732" s="80"/>
      <c r="R1732" s="80"/>
      <c r="S1732" s="80"/>
      <c r="T1732" s="82"/>
      <c r="U1732" s="80"/>
      <c r="V1732" s="80"/>
      <c r="W1732" s="80"/>
    </row>
    <row r="1733" ht="18" customHeight="1" spans="1:23">
      <c r="A1733" s="87" t="str">
        <f t="shared" ref="A1733:A1796" si="81">IF($D1733="","",ROW()-3)</f>
        <v/>
      </c>
      <c r="B1733" s="78"/>
      <c r="C1733" s="80"/>
      <c r="D1733" s="79"/>
      <c r="E1733" s="80"/>
      <c r="F1733" s="79"/>
      <c r="G1733" s="25" t="str">
        <f t="shared" ref="G1733:G1796" si="82">IF($D1733="","",N($L1733)-N($H1733)-N($I1733)+N($J1733)+N($K1733))</f>
        <v/>
      </c>
      <c r="H1733" s="88"/>
      <c r="I1733" s="93"/>
      <c r="J1733" s="97"/>
      <c r="K1733" s="88"/>
      <c r="L1733" s="25" t="str">
        <f>IF($D1733="","",SUMIFS($H$4:$H1733,$D$4:$D1733,$D1733)+SUMIFS($I$4:$I1733,$D$4:$D1733,$D1733)-SUMIFS($J$4:$J1733,$D$4:$D1733,$D1733)-SUMIFS($K$4:$K1733,$D$4:$D1733,$D1733))</f>
        <v/>
      </c>
      <c r="M1733" s="80"/>
      <c r="N1733" s="80"/>
      <c r="O1733" s="94"/>
      <c r="P1733" s="26" t="str">
        <f t="shared" ref="P1733:P1796" si="83">IF($D1733="","",ROUND((N($H1733)+N($K1733))*N($O1733),2))</f>
        <v/>
      </c>
      <c r="Q1733" s="80"/>
      <c r="R1733" s="80"/>
      <c r="S1733" s="80"/>
      <c r="T1733" s="82"/>
      <c r="U1733" s="80"/>
      <c r="V1733" s="80"/>
      <c r="W1733" s="80"/>
    </row>
    <row r="1734" ht="18" customHeight="1" spans="1:23">
      <c r="A1734" s="87" t="str">
        <f t="shared" si="81"/>
        <v/>
      </c>
      <c r="B1734" s="78"/>
      <c r="C1734" s="80"/>
      <c r="D1734" s="79"/>
      <c r="E1734" s="80"/>
      <c r="F1734" s="79"/>
      <c r="G1734" s="25" t="str">
        <f t="shared" si="82"/>
        <v/>
      </c>
      <c r="H1734" s="88"/>
      <c r="I1734" s="93"/>
      <c r="J1734" s="97"/>
      <c r="K1734" s="88"/>
      <c r="L1734" s="25" t="str">
        <f>IF($D1734="","",SUMIFS($H$4:$H1734,$D$4:$D1734,$D1734)+SUMIFS($I$4:$I1734,$D$4:$D1734,$D1734)-SUMIFS($J$4:$J1734,$D$4:$D1734,$D1734)-SUMIFS($K$4:$K1734,$D$4:$D1734,$D1734))</f>
        <v/>
      </c>
      <c r="M1734" s="80"/>
      <c r="N1734" s="80"/>
      <c r="O1734" s="94"/>
      <c r="P1734" s="26" t="str">
        <f t="shared" si="83"/>
        <v/>
      </c>
      <c r="Q1734" s="80"/>
      <c r="R1734" s="80"/>
      <c r="S1734" s="80"/>
      <c r="T1734" s="82"/>
      <c r="U1734" s="80"/>
      <c r="V1734" s="80"/>
      <c r="W1734" s="80"/>
    </row>
    <row r="1735" ht="18" customHeight="1" spans="1:23">
      <c r="A1735" s="87" t="str">
        <f t="shared" si="81"/>
        <v/>
      </c>
      <c r="B1735" s="78"/>
      <c r="C1735" s="80"/>
      <c r="D1735" s="79"/>
      <c r="E1735" s="80"/>
      <c r="F1735" s="79"/>
      <c r="G1735" s="25" t="str">
        <f t="shared" si="82"/>
        <v/>
      </c>
      <c r="H1735" s="88"/>
      <c r="I1735" s="93"/>
      <c r="J1735" s="97"/>
      <c r="K1735" s="88"/>
      <c r="L1735" s="25" t="str">
        <f>IF($D1735="","",SUMIFS($H$4:$H1735,$D$4:$D1735,$D1735)+SUMIFS($I$4:$I1735,$D$4:$D1735,$D1735)-SUMIFS($J$4:$J1735,$D$4:$D1735,$D1735)-SUMIFS($K$4:$K1735,$D$4:$D1735,$D1735))</f>
        <v/>
      </c>
      <c r="M1735" s="80"/>
      <c r="N1735" s="80"/>
      <c r="O1735" s="94"/>
      <c r="P1735" s="26" t="str">
        <f t="shared" si="83"/>
        <v/>
      </c>
      <c r="Q1735" s="80"/>
      <c r="R1735" s="80"/>
      <c r="S1735" s="80"/>
      <c r="T1735" s="82"/>
      <c r="U1735" s="80"/>
      <c r="V1735" s="80"/>
      <c r="W1735" s="80"/>
    </row>
    <row r="1736" ht="18" customHeight="1" spans="1:23">
      <c r="A1736" s="87" t="str">
        <f t="shared" si="81"/>
        <v/>
      </c>
      <c r="B1736" s="78"/>
      <c r="C1736" s="80"/>
      <c r="D1736" s="79"/>
      <c r="E1736" s="80"/>
      <c r="F1736" s="79"/>
      <c r="G1736" s="25" t="str">
        <f t="shared" si="82"/>
        <v/>
      </c>
      <c r="H1736" s="88"/>
      <c r="I1736" s="93"/>
      <c r="J1736" s="97"/>
      <c r="K1736" s="88"/>
      <c r="L1736" s="25" t="str">
        <f>IF($D1736="","",SUMIFS($H$4:$H1736,$D$4:$D1736,$D1736)+SUMIFS($I$4:$I1736,$D$4:$D1736,$D1736)-SUMIFS($J$4:$J1736,$D$4:$D1736,$D1736)-SUMIFS($K$4:$K1736,$D$4:$D1736,$D1736))</f>
        <v/>
      </c>
      <c r="M1736" s="80"/>
      <c r="N1736" s="80"/>
      <c r="O1736" s="94"/>
      <c r="P1736" s="26" t="str">
        <f t="shared" si="83"/>
        <v/>
      </c>
      <c r="Q1736" s="80"/>
      <c r="R1736" s="80"/>
      <c r="S1736" s="80"/>
      <c r="T1736" s="82"/>
      <c r="U1736" s="80"/>
      <c r="V1736" s="80"/>
      <c r="W1736" s="80"/>
    </row>
    <row r="1737" ht="18" customHeight="1" spans="1:23">
      <c r="A1737" s="87" t="str">
        <f t="shared" si="81"/>
        <v/>
      </c>
      <c r="B1737" s="78"/>
      <c r="C1737" s="80"/>
      <c r="D1737" s="79"/>
      <c r="E1737" s="80"/>
      <c r="F1737" s="79"/>
      <c r="G1737" s="25" t="str">
        <f t="shared" si="82"/>
        <v/>
      </c>
      <c r="H1737" s="88"/>
      <c r="I1737" s="93"/>
      <c r="J1737" s="97"/>
      <c r="K1737" s="88"/>
      <c r="L1737" s="25" t="str">
        <f>IF($D1737="","",SUMIFS($H$4:$H1737,$D$4:$D1737,$D1737)+SUMIFS($I$4:$I1737,$D$4:$D1737,$D1737)-SUMIFS($J$4:$J1737,$D$4:$D1737,$D1737)-SUMIFS($K$4:$K1737,$D$4:$D1737,$D1737))</f>
        <v/>
      </c>
      <c r="M1737" s="80"/>
      <c r="N1737" s="80"/>
      <c r="O1737" s="94"/>
      <c r="P1737" s="26" t="str">
        <f t="shared" si="83"/>
        <v/>
      </c>
      <c r="Q1737" s="80"/>
      <c r="R1737" s="80"/>
      <c r="S1737" s="80"/>
      <c r="T1737" s="82"/>
      <c r="U1737" s="80"/>
      <c r="V1737" s="80"/>
      <c r="W1737" s="80"/>
    </row>
    <row r="1738" ht="18" customHeight="1" spans="1:23">
      <c r="A1738" s="87" t="str">
        <f t="shared" si="81"/>
        <v/>
      </c>
      <c r="B1738" s="78"/>
      <c r="C1738" s="80"/>
      <c r="D1738" s="79"/>
      <c r="E1738" s="80"/>
      <c r="F1738" s="79"/>
      <c r="G1738" s="25" t="str">
        <f t="shared" si="82"/>
        <v/>
      </c>
      <c r="H1738" s="88"/>
      <c r="I1738" s="93"/>
      <c r="J1738" s="97"/>
      <c r="K1738" s="88"/>
      <c r="L1738" s="25" t="str">
        <f>IF($D1738="","",SUMIFS($H$4:$H1738,$D$4:$D1738,$D1738)+SUMIFS($I$4:$I1738,$D$4:$D1738,$D1738)-SUMIFS($J$4:$J1738,$D$4:$D1738,$D1738)-SUMIFS($K$4:$K1738,$D$4:$D1738,$D1738))</f>
        <v/>
      </c>
      <c r="M1738" s="80"/>
      <c r="N1738" s="80"/>
      <c r="O1738" s="94"/>
      <c r="P1738" s="26" t="str">
        <f t="shared" si="83"/>
        <v/>
      </c>
      <c r="Q1738" s="80"/>
      <c r="R1738" s="80"/>
      <c r="S1738" s="80"/>
      <c r="T1738" s="82"/>
      <c r="U1738" s="80"/>
      <c r="V1738" s="80"/>
      <c r="W1738" s="80"/>
    </row>
    <row r="1739" ht="18" customHeight="1" spans="1:23">
      <c r="A1739" s="87" t="str">
        <f t="shared" si="81"/>
        <v/>
      </c>
      <c r="B1739" s="78"/>
      <c r="C1739" s="80"/>
      <c r="D1739" s="79"/>
      <c r="E1739" s="80"/>
      <c r="F1739" s="79"/>
      <c r="G1739" s="25" t="str">
        <f t="shared" si="82"/>
        <v/>
      </c>
      <c r="H1739" s="88"/>
      <c r="I1739" s="93"/>
      <c r="J1739" s="97"/>
      <c r="K1739" s="88"/>
      <c r="L1739" s="25" t="str">
        <f>IF($D1739="","",SUMIFS($H$4:$H1739,$D$4:$D1739,$D1739)+SUMIFS($I$4:$I1739,$D$4:$D1739,$D1739)-SUMIFS($J$4:$J1739,$D$4:$D1739,$D1739)-SUMIFS($K$4:$K1739,$D$4:$D1739,$D1739))</f>
        <v/>
      </c>
      <c r="M1739" s="80"/>
      <c r="N1739" s="80"/>
      <c r="O1739" s="94"/>
      <c r="P1739" s="26" t="str">
        <f t="shared" si="83"/>
        <v/>
      </c>
      <c r="Q1739" s="80"/>
      <c r="R1739" s="80"/>
      <c r="S1739" s="80"/>
      <c r="T1739" s="82"/>
      <c r="U1739" s="80"/>
      <c r="V1739" s="80"/>
      <c r="W1739" s="80"/>
    </row>
    <row r="1740" ht="18" customHeight="1" spans="1:23">
      <c r="A1740" s="87" t="str">
        <f t="shared" si="81"/>
        <v/>
      </c>
      <c r="B1740" s="78"/>
      <c r="C1740" s="80"/>
      <c r="D1740" s="79"/>
      <c r="E1740" s="80"/>
      <c r="F1740" s="79"/>
      <c r="G1740" s="25" t="str">
        <f t="shared" si="82"/>
        <v/>
      </c>
      <c r="H1740" s="88"/>
      <c r="I1740" s="93"/>
      <c r="J1740" s="97"/>
      <c r="K1740" s="88"/>
      <c r="L1740" s="25" t="str">
        <f>IF($D1740="","",SUMIFS($H$4:$H1740,$D$4:$D1740,$D1740)+SUMIFS($I$4:$I1740,$D$4:$D1740,$D1740)-SUMIFS($J$4:$J1740,$D$4:$D1740,$D1740)-SUMIFS($K$4:$K1740,$D$4:$D1740,$D1740))</f>
        <v/>
      </c>
      <c r="M1740" s="80"/>
      <c r="N1740" s="80"/>
      <c r="O1740" s="94"/>
      <c r="P1740" s="26" t="str">
        <f t="shared" si="83"/>
        <v/>
      </c>
      <c r="Q1740" s="80"/>
      <c r="R1740" s="80"/>
      <c r="S1740" s="80"/>
      <c r="T1740" s="82"/>
      <c r="U1740" s="80"/>
      <c r="V1740" s="80"/>
      <c r="W1740" s="80"/>
    </row>
    <row r="1741" ht="18" customHeight="1" spans="1:23">
      <c r="A1741" s="87" t="str">
        <f t="shared" si="81"/>
        <v/>
      </c>
      <c r="B1741" s="78"/>
      <c r="C1741" s="80"/>
      <c r="D1741" s="79"/>
      <c r="E1741" s="80"/>
      <c r="F1741" s="79"/>
      <c r="G1741" s="25" t="str">
        <f t="shared" si="82"/>
        <v/>
      </c>
      <c r="H1741" s="88"/>
      <c r="I1741" s="93"/>
      <c r="J1741" s="97"/>
      <c r="K1741" s="88"/>
      <c r="L1741" s="25" t="str">
        <f>IF($D1741="","",SUMIFS($H$4:$H1741,$D$4:$D1741,$D1741)+SUMIFS($I$4:$I1741,$D$4:$D1741,$D1741)-SUMIFS($J$4:$J1741,$D$4:$D1741,$D1741)-SUMIFS($K$4:$K1741,$D$4:$D1741,$D1741))</f>
        <v/>
      </c>
      <c r="M1741" s="80"/>
      <c r="N1741" s="80"/>
      <c r="O1741" s="94"/>
      <c r="P1741" s="26" t="str">
        <f t="shared" si="83"/>
        <v/>
      </c>
      <c r="Q1741" s="80"/>
      <c r="R1741" s="80"/>
      <c r="S1741" s="80"/>
      <c r="T1741" s="82"/>
      <c r="U1741" s="80"/>
      <c r="V1741" s="80"/>
      <c r="W1741" s="80"/>
    </row>
    <row r="1742" ht="18" customHeight="1" spans="1:23">
      <c r="A1742" s="87" t="str">
        <f t="shared" si="81"/>
        <v/>
      </c>
      <c r="B1742" s="78"/>
      <c r="C1742" s="80"/>
      <c r="D1742" s="79"/>
      <c r="E1742" s="80"/>
      <c r="F1742" s="79"/>
      <c r="G1742" s="25" t="str">
        <f t="shared" si="82"/>
        <v/>
      </c>
      <c r="H1742" s="88"/>
      <c r="I1742" s="93"/>
      <c r="J1742" s="97"/>
      <c r="K1742" s="88"/>
      <c r="L1742" s="25" t="str">
        <f>IF($D1742="","",SUMIFS($H$4:$H1742,$D$4:$D1742,$D1742)+SUMIFS($I$4:$I1742,$D$4:$D1742,$D1742)-SUMIFS($J$4:$J1742,$D$4:$D1742,$D1742)-SUMIFS($K$4:$K1742,$D$4:$D1742,$D1742))</f>
        <v/>
      </c>
      <c r="M1742" s="80"/>
      <c r="N1742" s="80"/>
      <c r="O1742" s="94"/>
      <c r="P1742" s="26" t="str">
        <f t="shared" si="83"/>
        <v/>
      </c>
      <c r="Q1742" s="80"/>
      <c r="R1742" s="80"/>
      <c r="S1742" s="80"/>
      <c r="T1742" s="82"/>
      <c r="U1742" s="80"/>
      <c r="V1742" s="80"/>
      <c r="W1742" s="80"/>
    </row>
    <row r="1743" ht="18" customHeight="1" spans="1:23">
      <c r="A1743" s="87" t="str">
        <f t="shared" si="81"/>
        <v/>
      </c>
      <c r="B1743" s="78"/>
      <c r="C1743" s="80"/>
      <c r="D1743" s="79"/>
      <c r="E1743" s="80"/>
      <c r="F1743" s="79"/>
      <c r="G1743" s="25" t="str">
        <f t="shared" si="82"/>
        <v/>
      </c>
      <c r="H1743" s="88"/>
      <c r="I1743" s="93"/>
      <c r="J1743" s="97"/>
      <c r="K1743" s="88"/>
      <c r="L1743" s="25" t="str">
        <f>IF($D1743="","",SUMIFS($H$4:$H1743,$D$4:$D1743,$D1743)+SUMIFS($I$4:$I1743,$D$4:$D1743,$D1743)-SUMIFS($J$4:$J1743,$D$4:$D1743,$D1743)-SUMIFS($K$4:$K1743,$D$4:$D1743,$D1743))</f>
        <v/>
      </c>
      <c r="M1743" s="80"/>
      <c r="N1743" s="80"/>
      <c r="O1743" s="94"/>
      <c r="P1743" s="26" t="str">
        <f t="shared" si="83"/>
        <v/>
      </c>
      <c r="Q1743" s="80"/>
      <c r="R1743" s="80"/>
      <c r="S1743" s="80"/>
      <c r="T1743" s="82"/>
      <c r="U1743" s="80"/>
      <c r="V1743" s="80"/>
      <c r="W1743" s="80"/>
    </row>
    <row r="1744" ht="18" customHeight="1" spans="1:23">
      <c r="A1744" s="87" t="str">
        <f t="shared" si="81"/>
        <v/>
      </c>
      <c r="B1744" s="78"/>
      <c r="C1744" s="80"/>
      <c r="D1744" s="79"/>
      <c r="E1744" s="80"/>
      <c r="F1744" s="79"/>
      <c r="G1744" s="25" t="str">
        <f t="shared" si="82"/>
        <v/>
      </c>
      <c r="H1744" s="88"/>
      <c r="I1744" s="93"/>
      <c r="J1744" s="97"/>
      <c r="K1744" s="88"/>
      <c r="L1744" s="25" t="str">
        <f>IF($D1744="","",SUMIFS($H$4:$H1744,$D$4:$D1744,$D1744)+SUMIFS($I$4:$I1744,$D$4:$D1744,$D1744)-SUMIFS($J$4:$J1744,$D$4:$D1744,$D1744)-SUMIFS($K$4:$K1744,$D$4:$D1744,$D1744))</f>
        <v/>
      </c>
      <c r="M1744" s="80"/>
      <c r="N1744" s="80"/>
      <c r="O1744" s="94"/>
      <c r="P1744" s="26" t="str">
        <f t="shared" si="83"/>
        <v/>
      </c>
      <c r="Q1744" s="80"/>
      <c r="R1744" s="80"/>
      <c r="S1744" s="80"/>
      <c r="T1744" s="82"/>
      <c r="U1744" s="80"/>
      <c r="V1744" s="80"/>
      <c r="W1744" s="80"/>
    </row>
    <row r="1745" ht="18" customHeight="1" spans="1:23">
      <c r="A1745" s="87" t="str">
        <f t="shared" si="81"/>
        <v/>
      </c>
      <c r="B1745" s="78"/>
      <c r="C1745" s="80"/>
      <c r="D1745" s="79"/>
      <c r="E1745" s="80"/>
      <c r="F1745" s="79"/>
      <c r="G1745" s="25" t="str">
        <f t="shared" si="82"/>
        <v/>
      </c>
      <c r="H1745" s="88"/>
      <c r="I1745" s="93"/>
      <c r="J1745" s="97"/>
      <c r="K1745" s="88"/>
      <c r="L1745" s="25" t="str">
        <f>IF($D1745="","",SUMIFS($H$4:$H1745,$D$4:$D1745,$D1745)+SUMIFS($I$4:$I1745,$D$4:$D1745,$D1745)-SUMIFS($J$4:$J1745,$D$4:$D1745,$D1745)-SUMIFS($K$4:$K1745,$D$4:$D1745,$D1745))</f>
        <v/>
      </c>
      <c r="M1745" s="80"/>
      <c r="N1745" s="80"/>
      <c r="O1745" s="94"/>
      <c r="P1745" s="26" t="str">
        <f t="shared" si="83"/>
        <v/>
      </c>
      <c r="Q1745" s="80"/>
      <c r="R1745" s="80"/>
      <c r="S1745" s="80"/>
      <c r="T1745" s="82"/>
      <c r="U1745" s="80"/>
      <c r="V1745" s="80"/>
      <c r="W1745" s="80"/>
    </row>
    <row r="1746" ht="18" customHeight="1" spans="1:23">
      <c r="A1746" s="87" t="str">
        <f t="shared" si="81"/>
        <v/>
      </c>
      <c r="B1746" s="78"/>
      <c r="C1746" s="80"/>
      <c r="D1746" s="79"/>
      <c r="E1746" s="80"/>
      <c r="F1746" s="79"/>
      <c r="G1746" s="25" t="str">
        <f t="shared" si="82"/>
        <v/>
      </c>
      <c r="H1746" s="88"/>
      <c r="I1746" s="93"/>
      <c r="J1746" s="97"/>
      <c r="K1746" s="88"/>
      <c r="L1746" s="25" t="str">
        <f>IF($D1746="","",SUMIFS($H$4:$H1746,$D$4:$D1746,$D1746)+SUMIFS($I$4:$I1746,$D$4:$D1746,$D1746)-SUMIFS($J$4:$J1746,$D$4:$D1746,$D1746)-SUMIFS($K$4:$K1746,$D$4:$D1746,$D1746))</f>
        <v/>
      </c>
      <c r="M1746" s="80"/>
      <c r="N1746" s="80"/>
      <c r="O1746" s="94"/>
      <c r="P1746" s="26" t="str">
        <f t="shared" si="83"/>
        <v/>
      </c>
      <c r="Q1746" s="80"/>
      <c r="R1746" s="80"/>
      <c r="S1746" s="80"/>
      <c r="T1746" s="82"/>
      <c r="U1746" s="80"/>
      <c r="V1746" s="80"/>
      <c r="W1746" s="80"/>
    </row>
    <row r="1747" ht="18" customHeight="1" spans="1:23">
      <c r="A1747" s="87" t="str">
        <f t="shared" si="81"/>
        <v/>
      </c>
      <c r="B1747" s="78"/>
      <c r="C1747" s="80"/>
      <c r="D1747" s="79"/>
      <c r="E1747" s="80"/>
      <c r="F1747" s="79"/>
      <c r="G1747" s="25" t="str">
        <f t="shared" si="82"/>
        <v/>
      </c>
      <c r="H1747" s="88"/>
      <c r="I1747" s="93"/>
      <c r="J1747" s="97"/>
      <c r="K1747" s="88"/>
      <c r="L1747" s="25" t="str">
        <f>IF($D1747="","",SUMIFS($H$4:$H1747,$D$4:$D1747,$D1747)+SUMIFS($I$4:$I1747,$D$4:$D1747,$D1747)-SUMIFS($J$4:$J1747,$D$4:$D1747,$D1747)-SUMIFS($K$4:$K1747,$D$4:$D1747,$D1747))</f>
        <v/>
      </c>
      <c r="M1747" s="80"/>
      <c r="N1747" s="80"/>
      <c r="O1747" s="94"/>
      <c r="P1747" s="26" t="str">
        <f t="shared" si="83"/>
        <v/>
      </c>
      <c r="Q1747" s="80"/>
      <c r="R1747" s="80"/>
      <c r="S1747" s="80"/>
      <c r="T1747" s="82"/>
      <c r="U1747" s="80"/>
      <c r="V1747" s="80"/>
      <c r="W1747" s="80"/>
    </row>
    <row r="1748" ht="18" customHeight="1" spans="1:23">
      <c r="A1748" s="87" t="str">
        <f t="shared" si="81"/>
        <v/>
      </c>
      <c r="B1748" s="78"/>
      <c r="C1748" s="80"/>
      <c r="D1748" s="79"/>
      <c r="E1748" s="80"/>
      <c r="F1748" s="79"/>
      <c r="G1748" s="25" t="str">
        <f t="shared" si="82"/>
        <v/>
      </c>
      <c r="H1748" s="88"/>
      <c r="I1748" s="93"/>
      <c r="J1748" s="97"/>
      <c r="K1748" s="88"/>
      <c r="L1748" s="25" t="str">
        <f>IF($D1748="","",SUMIFS($H$4:$H1748,$D$4:$D1748,$D1748)+SUMIFS($I$4:$I1748,$D$4:$D1748,$D1748)-SUMIFS($J$4:$J1748,$D$4:$D1748,$D1748)-SUMIFS($K$4:$K1748,$D$4:$D1748,$D1748))</f>
        <v/>
      </c>
      <c r="M1748" s="80"/>
      <c r="N1748" s="80"/>
      <c r="O1748" s="94"/>
      <c r="P1748" s="26" t="str">
        <f t="shared" si="83"/>
        <v/>
      </c>
      <c r="Q1748" s="80"/>
      <c r="R1748" s="80"/>
      <c r="S1748" s="80"/>
      <c r="T1748" s="82"/>
      <c r="U1748" s="80"/>
      <c r="V1748" s="80"/>
      <c r="W1748" s="80"/>
    </row>
    <row r="1749" ht="18" customHeight="1" spans="1:23">
      <c r="A1749" s="87" t="str">
        <f t="shared" si="81"/>
        <v/>
      </c>
      <c r="B1749" s="78"/>
      <c r="C1749" s="80"/>
      <c r="D1749" s="79"/>
      <c r="E1749" s="80"/>
      <c r="F1749" s="79"/>
      <c r="G1749" s="25" t="str">
        <f t="shared" si="82"/>
        <v/>
      </c>
      <c r="H1749" s="88"/>
      <c r="I1749" s="93"/>
      <c r="J1749" s="97"/>
      <c r="K1749" s="88"/>
      <c r="L1749" s="25" t="str">
        <f>IF($D1749="","",SUMIFS($H$4:$H1749,$D$4:$D1749,$D1749)+SUMIFS($I$4:$I1749,$D$4:$D1749,$D1749)-SUMIFS($J$4:$J1749,$D$4:$D1749,$D1749)-SUMIFS($K$4:$K1749,$D$4:$D1749,$D1749))</f>
        <v/>
      </c>
      <c r="M1749" s="80"/>
      <c r="N1749" s="80"/>
      <c r="O1749" s="94"/>
      <c r="P1749" s="26" t="str">
        <f t="shared" si="83"/>
        <v/>
      </c>
      <c r="Q1749" s="80"/>
      <c r="R1749" s="80"/>
      <c r="S1749" s="80"/>
      <c r="T1749" s="82"/>
      <c r="U1749" s="80"/>
      <c r="V1749" s="80"/>
      <c r="W1749" s="80"/>
    </row>
    <row r="1750" ht="18" customHeight="1" spans="1:23">
      <c r="A1750" s="87" t="str">
        <f t="shared" si="81"/>
        <v/>
      </c>
      <c r="B1750" s="78"/>
      <c r="C1750" s="80"/>
      <c r="D1750" s="79"/>
      <c r="E1750" s="80"/>
      <c r="F1750" s="79"/>
      <c r="G1750" s="25" t="str">
        <f t="shared" si="82"/>
        <v/>
      </c>
      <c r="H1750" s="88"/>
      <c r="I1750" s="93"/>
      <c r="J1750" s="97"/>
      <c r="K1750" s="88"/>
      <c r="L1750" s="25" t="str">
        <f>IF($D1750="","",SUMIFS($H$4:$H1750,$D$4:$D1750,$D1750)+SUMIFS($I$4:$I1750,$D$4:$D1750,$D1750)-SUMIFS($J$4:$J1750,$D$4:$D1750,$D1750)-SUMIFS($K$4:$K1750,$D$4:$D1750,$D1750))</f>
        <v/>
      </c>
      <c r="M1750" s="80"/>
      <c r="N1750" s="80"/>
      <c r="O1750" s="94"/>
      <c r="P1750" s="26" t="str">
        <f t="shared" si="83"/>
        <v/>
      </c>
      <c r="Q1750" s="80"/>
      <c r="R1750" s="80"/>
      <c r="S1750" s="80"/>
      <c r="T1750" s="82"/>
      <c r="U1750" s="80"/>
      <c r="V1750" s="80"/>
      <c r="W1750" s="80"/>
    </row>
    <row r="1751" ht="18" customHeight="1" spans="1:23">
      <c r="A1751" s="87" t="str">
        <f t="shared" si="81"/>
        <v/>
      </c>
      <c r="B1751" s="78"/>
      <c r="C1751" s="80"/>
      <c r="D1751" s="79"/>
      <c r="E1751" s="80"/>
      <c r="F1751" s="79"/>
      <c r="G1751" s="25" t="str">
        <f t="shared" si="82"/>
        <v/>
      </c>
      <c r="H1751" s="88"/>
      <c r="I1751" s="93"/>
      <c r="J1751" s="97"/>
      <c r="K1751" s="88"/>
      <c r="L1751" s="25" t="str">
        <f>IF($D1751="","",SUMIFS($H$4:$H1751,$D$4:$D1751,$D1751)+SUMIFS($I$4:$I1751,$D$4:$D1751,$D1751)-SUMIFS($J$4:$J1751,$D$4:$D1751,$D1751)-SUMIFS($K$4:$K1751,$D$4:$D1751,$D1751))</f>
        <v/>
      </c>
      <c r="M1751" s="80"/>
      <c r="N1751" s="80"/>
      <c r="O1751" s="94"/>
      <c r="P1751" s="26" t="str">
        <f t="shared" si="83"/>
        <v/>
      </c>
      <c r="Q1751" s="80"/>
      <c r="R1751" s="80"/>
      <c r="S1751" s="80"/>
      <c r="T1751" s="82"/>
      <c r="U1751" s="80"/>
      <c r="V1751" s="80"/>
      <c r="W1751" s="80"/>
    </row>
    <row r="1752" ht="18" customHeight="1" spans="1:23">
      <c r="A1752" s="87" t="str">
        <f t="shared" si="81"/>
        <v/>
      </c>
      <c r="B1752" s="78"/>
      <c r="C1752" s="80"/>
      <c r="D1752" s="79"/>
      <c r="E1752" s="80"/>
      <c r="F1752" s="79"/>
      <c r="G1752" s="25" t="str">
        <f t="shared" si="82"/>
        <v/>
      </c>
      <c r="H1752" s="88"/>
      <c r="I1752" s="93"/>
      <c r="J1752" s="97"/>
      <c r="K1752" s="88"/>
      <c r="L1752" s="25" t="str">
        <f>IF($D1752="","",SUMIFS($H$4:$H1752,$D$4:$D1752,$D1752)+SUMIFS($I$4:$I1752,$D$4:$D1752,$D1752)-SUMIFS($J$4:$J1752,$D$4:$D1752,$D1752)-SUMIFS($K$4:$K1752,$D$4:$D1752,$D1752))</f>
        <v/>
      </c>
      <c r="M1752" s="80"/>
      <c r="N1752" s="80"/>
      <c r="O1752" s="94"/>
      <c r="P1752" s="26" t="str">
        <f t="shared" si="83"/>
        <v/>
      </c>
      <c r="Q1752" s="80"/>
      <c r="R1752" s="80"/>
      <c r="S1752" s="80"/>
      <c r="T1752" s="82"/>
      <c r="U1752" s="80"/>
      <c r="V1752" s="80"/>
      <c r="W1752" s="80"/>
    </row>
    <row r="1753" ht="18" customHeight="1" spans="1:23">
      <c r="A1753" s="87" t="str">
        <f t="shared" si="81"/>
        <v/>
      </c>
      <c r="B1753" s="78"/>
      <c r="C1753" s="80"/>
      <c r="D1753" s="79"/>
      <c r="E1753" s="80"/>
      <c r="F1753" s="79"/>
      <c r="G1753" s="25" t="str">
        <f t="shared" si="82"/>
        <v/>
      </c>
      <c r="H1753" s="88"/>
      <c r="I1753" s="93"/>
      <c r="J1753" s="97"/>
      <c r="K1753" s="88"/>
      <c r="L1753" s="25" t="str">
        <f>IF($D1753="","",SUMIFS($H$4:$H1753,$D$4:$D1753,$D1753)+SUMIFS($I$4:$I1753,$D$4:$D1753,$D1753)-SUMIFS($J$4:$J1753,$D$4:$D1753,$D1753)-SUMIFS($K$4:$K1753,$D$4:$D1753,$D1753))</f>
        <v/>
      </c>
      <c r="M1753" s="80"/>
      <c r="N1753" s="80"/>
      <c r="O1753" s="94"/>
      <c r="P1753" s="26" t="str">
        <f t="shared" si="83"/>
        <v/>
      </c>
      <c r="Q1753" s="80"/>
      <c r="R1753" s="80"/>
      <c r="S1753" s="80"/>
      <c r="T1753" s="82"/>
      <c r="U1753" s="80"/>
      <c r="V1753" s="80"/>
      <c r="W1753" s="80"/>
    </row>
    <row r="1754" ht="18" customHeight="1" spans="1:23">
      <c r="A1754" s="87" t="str">
        <f t="shared" si="81"/>
        <v/>
      </c>
      <c r="B1754" s="78"/>
      <c r="C1754" s="80"/>
      <c r="D1754" s="79"/>
      <c r="E1754" s="80"/>
      <c r="F1754" s="79"/>
      <c r="G1754" s="25" t="str">
        <f t="shared" si="82"/>
        <v/>
      </c>
      <c r="H1754" s="88"/>
      <c r="I1754" s="93"/>
      <c r="J1754" s="97"/>
      <c r="K1754" s="88"/>
      <c r="L1754" s="25" t="str">
        <f>IF($D1754="","",SUMIFS($H$4:$H1754,$D$4:$D1754,$D1754)+SUMIFS($I$4:$I1754,$D$4:$D1754,$D1754)-SUMIFS($J$4:$J1754,$D$4:$D1754,$D1754)-SUMIFS($K$4:$K1754,$D$4:$D1754,$D1754))</f>
        <v/>
      </c>
      <c r="M1754" s="80"/>
      <c r="N1754" s="80"/>
      <c r="O1754" s="94"/>
      <c r="P1754" s="26" t="str">
        <f t="shared" si="83"/>
        <v/>
      </c>
      <c r="Q1754" s="80"/>
      <c r="R1754" s="80"/>
      <c r="S1754" s="80"/>
      <c r="T1754" s="82"/>
      <c r="U1754" s="80"/>
      <c r="V1754" s="80"/>
      <c r="W1754" s="80"/>
    </row>
    <row r="1755" ht="18" customHeight="1" spans="1:23">
      <c r="A1755" s="87" t="str">
        <f t="shared" si="81"/>
        <v/>
      </c>
      <c r="B1755" s="78"/>
      <c r="C1755" s="80"/>
      <c r="D1755" s="79"/>
      <c r="E1755" s="80"/>
      <c r="F1755" s="79"/>
      <c r="G1755" s="25" t="str">
        <f t="shared" si="82"/>
        <v/>
      </c>
      <c r="H1755" s="88"/>
      <c r="I1755" s="93"/>
      <c r="J1755" s="97"/>
      <c r="K1755" s="88"/>
      <c r="L1755" s="25" t="str">
        <f>IF($D1755="","",SUMIFS($H$4:$H1755,$D$4:$D1755,$D1755)+SUMIFS($I$4:$I1755,$D$4:$D1755,$D1755)-SUMIFS($J$4:$J1755,$D$4:$D1755,$D1755)-SUMIFS($K$4:$K1755,$D$4:$D1755,$D1755))</f>
        <v/>
      </c>
      <c r="M1755" s="80"/>
      <c r="N1755" s="80"/>
      <c r="O1755" s="94"/>
      <c r="P1755" s="26" t="str">
        <f t="shared" si="83"/>
        <v/>
      </c>
      <c r="Q1755" s="80"/>
      <c r="R1755" s="80"/>
      <c r="S1755" s="80"/>
      <c r="T1755" s="82"/>
      <c r="U1755" s="80"/>
      <c r="V1755" s="80"/>
      <c r="W1755" s="80"/>
    </row>
    <row r="1756" ht="18" customHeight="1" spans="1:23">
      <c r="A1756" s="87" t="str">
        <f t="shared" si="81"/>
        <v/>
      </c>
      <c r="B1756" s="78"/>
      <c r="C1756" s="80"/>
      <c r="D1756" s="79"/>
      <c r="E1756" s="80"/>
      <c r="F1756" s="79"/>
      <c r="G1756" s="25" t="str">
        <f t="shared" si="82"/>
        <v/>
      </c>
      <c r="H1756" s="88"/>
      <c r="I1756" s="93"/>
      <c r="J1756" s="97"/>
      <c r="K1756" s="88"/>
      <c r="L1756" s="25" t="str">
        <f>IF($D1756="","",SUMIFS($H$4:$H1756,$D$4:$D1756,$D1756)+SUMIFS($I$4:$I1756,$D$4:$D1756,$D1756)-SUMIFS($J$4:$J1756,$D$4:$D1756,$D1756)-SUMIFS($K$4:$K1756,$D$4:$D1756,$D1756))</f>
        <v/>
      </c>
      <c r="M1756" s="80"/>
      <c r="N1756" s="80"/>
      <c r="O1756" s="94"/>
      <c r="P1756" s="26" t="str">
        <f t="shared" si="83"/>
        <v/>
      </c>
      <c r="Q1756" s="80"/>
      <c r="R1756" s="80"/>
      <c r="S1756" s="80"/>
      <c r="T1756" s="82"/>
      <c r="U1756" s="80"/>
      <c r="V1756" s="80"/>
      <c r="W1756" s="80"/>
    </row>
    <row r="1757" ht="18" customHeight="1" spans="1:23">
      <c r="A1757" s="87" t="str">
        <f t="shared" si="81"/>
        <v/>
      </c>
      <c r="B1757" s="78"/>
      <c r="C1757" s="80"/>
      <c r="D1757" s="79"/>
      <c r="E1757" s="80"/>
      <c r="F1757" s="79"/>
      <c r="G1757" s="25" t="str">
        <f t="shared" si="82"/>
        <v/>
      </c>
      <c r="H1757" s="88"/>
      <c r="I1757" s="93"/>
      <c r="J1757" s="97"/>
      <c r="K1757" s="88"/>
      <c r="L1757" s="25" t="str">
        <f>IF($D1757="","",SUMIFS($H$4:$H1757,$D$4:$D1757,$D1757)+SUMIFS($I$4:$I1757,$D$4:$D1757,$D1757)-SUMIFS($J$4:$J1757,$D$4:$D1757,$D1757)-SUMIFS($K$4:$K1757,$D$4:$D1757,$D1757))</f>
        <v/>
      </c>
      <c r="M1757" s="80"/>
      <c r="N1757" s="80"/>
      <c r="O1757" s="94"/>
      <c r="P1757" s="26" t="str">
        <f t="shared" si="83"/>
        <v/>
      </c>
      <c r="Q1757" s="80"/>
      <c r="R1757" s="80"/>
      <c r="S1757" s="80"/>
      <c r="T1757" s="82"/>
      <c r="U1757" s="80"/>
      <c r="V1757" s="80"/>
      <c r="W1757" s="80"/>
    </row>
    <row r="1758" ht="18" customHeight="1" spans="1:23">
      <c r="A1758" s="87" t="str">
        <f t="shared" si="81"/>
        <v/>
      </c>
      <c r="B1758" s="78"/>
      <c r="C1758" s="80"/>
      <c r="D1758" s="79"/>
      <c r="E1758" s="80"/>
      <c r="F1758" s="79"/>
      <c r="G1758" s="25" t="str">
        <f t="shared" si="82"/>
        <v/>
      </c>
      <c r="H1758" s="88"/>
      <c r="I1758" s="93"/>
      <c r="J1758" s="97"/>
      <c r="K1758" s="88"/>
      <c r="L1758" s="25" t="str">
        <f>IF($D1758="","",SUMIFS($H$4:$H1758,$D$4:$D1758,$D1758)+SUMIFS($I$4:$I1758,$D$4:$D1758,$D1758)-SUMIFS($J$4:$J1758,$D$4:$D1758,$D1758)-SUMIFS($K$4:$K1758,$D$4:$D1758,$D1758))</f>
        <v/>
      </c>
      <c r="M1758" s="80"/>
      <c r="N1758" s="80"/>
      <c r="O1758" s="94"/>
      <c r="P1758" s="26" t="str">
        <f t="shared" si="83"/>
        <v/>
      </c>
      <c r="Q1758" s="80"/>
      <c r="R1758" s="80"/>
      <c r="S1758" s="80"/>
      <c r="T1758" s="82"/>
      <c r="U1758" s="80"/>
      <c r="V1758" s="80"/>
      <c r="W1758" s="80"/>
    </row>
    <row r="1759" ht="18" customHeight="1" spans="1:23">
      <c r="A1759" s="87" t="str">
        <f t="shared" si="81"/>
        <v/>
      </c>
      <c r="B1759" s="78"/>
      <c r="C1759" s="80"/>
      <c r="D1759" s="79"/>
      <c r="E1759" s="80"/>
      <c r="F1759" s="79"/>
      <c r="G1759" s="25" t="str">
        <f t="shared" si="82"/>
        <v/>
      </c>
      <c r="H1759" s="88"/>
      <c r="I1759" s="93"/>
      <c r="J1759" s="97"/>
      <c r="K1759" s="88"/>
      <c r="L1759" s="25" t="str">
        <f>IF($D1759="","",SUMIFS($H$4:$H1759,$D$4:$D1759,$D1759)+SUMIFS($I$4:$I1759,$D$4:$D1759,$D1759)-SUMIFS($J$4:$J1759,$D$4:$D1759,$D1759)-SUMIFS($K$4:$K1759,$D$4:$D1759,$D1759))</f>
        <v/>
      </c>
      <c r="M1759" s="80"/>
      <c r="N1759" s="80"/>
      <c r="O1759" s="94"/>
      <c r="P1759" s="26" t="str">
        <f t="shared" si="83"/>
        <v/>
      </c>
      <c r="Q1759" s="80"/>
      <c r="R1759" s="80"/>
      <c r="S1759" s="80"/>
      <c r="T1759" s="82"/>
      <c r="U1759" s="80"/>
      <c r="V1759" s="80"/>
      <c r="W1759" s="80"/>
    </row>
    <row r="1760" ht="18" customHeight="1" spans="1:23">
      <c r="A1760" s="87" t="str">
        <f t="shared" si="81"/>
        <v/>
      </c>
      <c r="B1760" s="78"/>
      <c r="C1760" s="80"/>
      <c r="D1760" s="79"/>
      <c r="E1760" s="80"/>
      <c r="F1760" s="79"/>
      <c r="G1760" s="25" t="str">
        <f t="shared" si="82"/>
        <v/>
      </c>
      <c r="H1760" s="88"/>
      <c r="I1760" s="93"/>
      <c r="J1760" s="97"/>
      <c r="K1760" s="88"/>
      <c r="L1760" s="25" t="str">
        <f>IF($D1760="","",SUMIFS($H$4:$H1760,$D$4:$D1760,$D1760)+SUMIFS($I$4:$I1760,$D$4:$D1760,$D1760)-SUMIFS($J$4:$J1760,$D$4:$D1760,$D1760)-SUMIFS($K$4:$K1760,$D$4:$D1760,$D1760))</f>
        <v/>
      </c>
      <c r="M1760" s="80"/>
      <c r="N1760" s="80"/>
      <c r="O1760" s="94"/>
      <c r="P1760" s="26" t="str">
        <f t="shared" si="83"/>
        <v/>
      </c>
      <c r="Q1760" s="80"/>
      <c r="R1760" s="80"/>
      <c r="S1760" s="80"/>
      <c r="T1760" s="82"/>
      <c r="U1760" s="80"/>
      <c r="V1760" s="80"/>
      <c r="W1760" s="80"/>
    </row>
    <row r="1761" ht="18" customHeight="1" spans="1:23">
      <c r="A1761" s="87" t="str">
        <f t="shared" si="81"/>
        <v/>
      </c>
      <c r="B1761" s="78"/>
      <c r="C1761" s="80"/>
      <c r="D1761" s="79"/>
      <c r="E1761" s="80"/>
      <c r="F1761" s="79"/>
      <c r="G1761" s="25" t="str">
        <f t="shared" si="82"/>
        <v/>
      </c>
      <c r="H1761" s="88"/>
      <c r="I1761" s="93"/>
      <c r="J1761" s="97"/>
      <c r="K1761" s="88"/>
      <c r="L1761" s="25" t="str">
        <f>IF($D1761="","",SUMIFS($H$4:$H1761,$D$4:$D1761,$D1761)+SUMIFS($I$4:$I1761,$D$4:$D1761,$D1761)-SUMIFS($J$4:$J1761,$D$4:$D1761,$D1761)-SUMIFS($K$4:$K1761,$D$4:$D1761,$D1761))</f>
        <v/>
      </c>
      <c r="M1761" s="80"/>
      <c r="N1761" s="80"/>
      <c r="O1761" s="94"/>
      <c r="P1761" s="26" t="str">
        <f t="shared" si="83"/>
        <v/>
      </c>
      <c r="Q1761" s="80"/>
      <c r="R1761" s="80"/>
      <c r="S1761" s="80"/>
      <c r="T1761" s="82"/>
      <c r="U1761" s="80"/>
      <c r="V1761" s="80"/>
      <c r="W1761" s="80"/>
    </row>
    <row r="1762" ht="18" customHeight="1" spans="1:23">
      <c r="A1762" s="87" t="str">
        <f t="shared" si="81"/>
        <v/>
      </c>
      <c r="B1762" s="78"/>
      <c r="C1762" s="80"/>
      <c r="D1762" s="79"/>
      <c r="E1762" s="80"/>
      <c r="F1762" s="79"/>
      <c r="G1762" s="25" t="str">
        <f t="shared" si="82"/>
        <v/>
      </c>
      <c r="H1762" s="88"/>
      <c r="I1762" s="93"/>
      <c r="J1762" s="97"/>
      <c r="K1762" s="88"/>
      <c r="L1762" s="25" t="str">
        <f>IF($D1762="","",SUMIFS($H$4:$H1762,$D$4:$D1762,$D1762)+SUMIFS($I$4:$I1762,$D$4:$D1762,$D1762)-SUMIFS($J$4:$J1762,$D$4:$D1762,$D1762)-SUMIFS($K$4:$K1762,$D$4:$D1762,$D1762))</f>
        <v/>
      </c>
      <c r="M1762" s="80"/>
      <c r="N1762" s="80"/>
      <c r="O1762" s="94"/>
      <c r="P1762" s="26" t="str">
        <f t="shared" si="83"/>
        <v/>
      </c>
      <c r="Q1762" s="80"/>
      <c r="R1762" s="80"/>
      <c r="S1762" s="80"/>
      <c r="T1762" s="82"/>
      <c r="U1762" s="80"/>
      <c r="V1762" s="80"/>
      <c r="W1762" s="80"/>
    </row>
    <row r="1763" ht="18" customHeight="1" spans="1:23">
      <c r="A1763" s="87" t="str">
        <f t="shared" si="81"/>
        <v/>
      </c>
      <c r="B1763" s="78"/>
      <c r="C1763" s="80"/>
      <c r="D1763" s="79"/>
      <c r="E1763" s="80"/>
      <c r="F1763" s="79"/>
      <c r="G1763" s="25" t="str">
        <f t="shared" si="82"/>
        <v/>
      </c>
      <c r="H1763" s="88"/>
      <c r="I1763" s="93"/>
      <c r="J1763" s="97"/>
      <c r="K1763" s="88"/>
      <c r="L1763" s="25" t="str">
        <f>IF($D1763="","",SUMIFS($H$4:$H1763,$D$4:$D1763,$D1763)+SUMIFS($I$4:$I1763,$D$4:$D1763,$D1763)-SUMIFS($J$4:$J1763,$D$4:$D1763,$D1763)-SUMIFS($K$4:$K1763,$D$4:$D1763,$D1763))</f>
        <v/>
      </c>
      <c r="M1763" s="80"/>
      <c r="N1763" s="80"/>
      <c r="O1763" s="94"/>
      <c r="P1763" s="26" t="str">
        <f t="shared" si="83"/>
        <v/>
      </c>
      <c r="Q1763" s="80"/>
      <c r="R1763" s="80"/>
      <c r="S1763" s="80"/>
      <c r="T1763" s="82"/>
      <c r="U1763" s="80"/>
      <c r="V1763" s="80"/>
      <c r="W1763" s="80"/>
    </row>
    <row r="1764" ht="18" customHeight="1" spans="1:23">
      <c r="A1764" s="87" t="str">
        <f t="shared" si="81"/>
        <v/>
      </c>
      <c r="B1764" s="78"/>
      <c r="C1764" s="80"/>
      <c r="D1764" s="79"/>
      <c r="E1764" s="80"/>
      <c r="F1764" s="79"/>
      <c r="G1764" s="25" t="str">
        <f t="shared" si="82"/>
        <v/>
      </c>
      <c r="H1764" s="88"/>
      <c r="I1764" s="93"/>
      <c r="J1764" s="97"/>
      <c r="K1764" s="88"/>
      <c r="L1764" s="25" t="str">
        <f>IF($D1764="","",SUMIFS($H$4:$H1764,$D$4:$D1764,$D1764)+SUMIFS($I$4:$I1764,$D$4:$D1764,$D1764)-SUMIFS($J$4:$J1764,$D$4:$D1764,$D1764)-SUMIFS($K$4:$K1764,$D$4:$D1764,$D1764))</f>
        <v/>
      </c>
      <c r="M1764" s="80"/>
      <c r="N1764" s="80"/>
      <c r="O1764" s="94"/>
      <c r="P1764" s="26" t="str">
        <f t="shared" si="83"/>
        <v/>
      </c>
      <c r="Q1764" s="80"/>
      <c r="R1764" s="80"/>
      <c r="S1764" s="80"/>
      <c r="T1764" s="82"/>
      <c r="U1764" s="80"/>
      <c r="V1764" s="80"/>
      <c r="W1764" s="80"/>
    </row>
    <row r="1765" ht="18" customHeight="1" spans="1:23">
      <c r="A1765" s="87" t="str">
        <f t="shared" si="81"/>
        <v/>
      </c>
      <c r="B1765" s="78"/>
      <c r="C1765" s="80"/>
      <c r="D1765" s="79"/>
      <c r="E1765" s="80"/>
      <c r="F1765" s="79"/>
      <c r="G1765" s="25" t="str">
        <f t="shared" si="82"/>
        <v/>
      </c>
      <c r="H1765" s="88"/>
      <c r="I1765" s="93"/>
      <c r="J1765" s="97"/>
      <c r="K1765" s="88"/>
      <c r="L1765" s="25" t="str">
        <f>IF($D1765="","",SUMIFS($H$4:$H1765,$D$4:$D1765,$D1765)+SUMIFS($I$4:$I1765,$D$4:$D1765,$D1765)-SUMIFS($J$4:$J1765,$D$4:$D1765,$D1765)-SUMIFS($K$4:$K1765,$D$4:$D1765,$D1765))</f>
        <v/>
      </c>
      <c r="M1765" s="80"/>
      <c r="N1765" s="80"/>
      <c r="O1765" s="94"/>
      <c r="P1765" s="26" t="str">
        <f t="shared" si="83"/>
        <v/>
      </c>
      <c r="Q1765" s="80"/>
      <c r="R1765" s="80"/>
      <c r="S1765" s="80"/>
      <c r="T1765" s="82"/>
      <c r="U1765" s="80"/>
      <c r="V1765" s="80"/>
      <c r="W1765" s="80"/>
    </row>
    <row r="1766" ht="18" customHeight="1" spans="1:23">
      <c r="A1766" s="87" t="str">
        <f t="shared" si="81"/>
        <v/>
      </c>
      <c r="B1766" s="78"/>
      <c r="C1766" s="80"/>
      <c r="D1766" s="79"/>
      <c r="E1766" s="80"/>
      <c r="F1766" s="79"/>
      <c r="G1766" s="25" t="str">
        <f t="shared" si="82"/>
        <v/>
      </c>
      <c r="H1766" s="88"/>
      <c r="I1766" s="93"/>
      <c r="J1766" s="97"/>
      <c r="K1766" s="88"/>
      <c r="L1766" s="25" t="str">
        <f>IF($D1766="","",SUMIFS($H$4:$H1766,$D$4:$D1766,$D1766)+SUMIFS($I$4:$I1766,$D$4:$D1766,$D1766)-SUMIFS($J$4:$J1766,$D$4:$D1766,$D1766)-SUMIFS($K$4:$K1766,$D$4:$D1766,$D1766))</f>
        <v/>
      </c>
      <c r="M1766" s="80"/>
      <c r="N1766" s="80"/>
      <c r="O1766" s="94"/>
      <c r="P1766" s="26" t="str">
        <f t="shared" si="83"/>
        <v/>
      </c>
      <c r="Q1766" s="80"/>
      <c r="R1766" s="80"/>
      <c r="S1766" s="80"/>
      <c r="T1766" s="82"/>
      <c r="U1766" s="80"/>
      <c r="V1766" s="80"/>
      <c r="W1766" s="80"/>
    </row>
    <row r="1767" ht="18" customHeight="1" spans="1:23">
      <c r="A1767" s="87" t="str">
        <f t="shared" si="81"/>
        <v/>
      </c>
      <c r="B1767" s="78"/>
      <c r="C1767" s="80"/>
      <c r="D1767" s="79"/>
      <c r="E1767" s="80"/>
      <c r="F1767" s="79"/>
      <c r="G1767" s="25" t="str">
        <f t="shared" si="82"/>
        <v/>
      </c>
      <c r="H1767" s="88"/>
      <c r="I1767" s="93"/>
      <c r="J1767" s="97"/>
      <c r="K1767" s="88"/>
      <c r="L1767" s="25" t="str">
        <f>IF($D1767="","",SUMIFS($H$4:$H1767,$D$4:$D1767,$D1767)+SUMIFS($I$4:$I1767,$D$4:$D1767,$D1767)-SUMIFS($J$4:$J1767,$D$4:$D1767,$D1767)-SUMIFS($K$4:$K1767,$D$4:$D1767,$D1767))</f>
        <v/>
      </c>
      <c r="M1767" s="80"/>
      <c r="N1767" s="80"/>
      <c r="O1767" s="94"/>
      <c r="P1767" s="26" t="str">
        <f t="shared" si="83"/>
        <v/>
      </c>
      <c r="Q1767" s="80"/>
      <c r="R1767" s="80"/>
      <c r="S1767" s="80"/>
      <c r="T1767" s="82"/>
      <c r="U1767" s="80"/>
      <c r="V1767" s="80"/>
      <c r="W1767" s="80"/>
    </row>
    <row r="1768" ht="18" customHeight="1" spans="1:23">
      <c r="A1768" s="87" t="str">
        <f t="shared" si="81"/>
        <v/>
      </c>
      <c r="B1768" s="78"/>
      <c r="C1768" s="80"/>
      <c r="D1768" s="79"/>
      <c r="E1768" s="80"/>
      <c r="F1768" s="79"/>
      <c r="G1768" s="25" t="str">
        <f t="shared" si="82"/>
        <v/>
      </c>
      <c r="H1768" s="88"/>
      <c r="I1768" s="93"/>
      <c r="J1768" s="97"/>
      <c r="K1768" s="88"/>
      <c r="L1768" s="25" t="str">
        <f>IF($D1768="","",SUMIFS($H$4:$H1768,$D$4:$D1768,$D1768)+SUMIFS($I$4:$I1768,$D$4:$D1768,$D1768)-SUMIFS($J$4:$J1768,$D$4:$D1768,$D1768)-SUMIFS($K$4:$K1768,$D$4:$D1768,$D1768))</f>
        <v/>
      </c>
      <c r="M1768" s="80"/>
      <c r="N1768" s="80"/>
      <c r="O1768" s="94"/>
      <c r="P1768" s="26" t="str">
        <f t="shared" si="83"/>
        <v/>
      </c>
      <c r="Q1768" s="80"/>
      <c r="R1768" s="80"/>
      <c r="S1768" s="80"/>
      <c r="T1768" s="82"/>
      <c r="U1768" s="80"/>
      <c r="V1768" s="80"/>
      <c r="W1768" s="80"/>
    </row>
    <row r="1769" ht="18" customHeight="1" spans="1:23">
      <c r="A1769" s="87" t="str">
        <f t="shared" si="81"/>
        <v/>
      </c>
      <c r="B1769" s="78"/>
      <c r="C1769" s="80"/>
      <c r="D1769" s="79"/>
      <c r="E1769" s="80"/>
      <c r="F1769" s="79"/>
      <c r="G1769" s="25" t="str">
        <f t="shared" si="82"/>
        <v/>
      </c>
      <c r="H1769" s="88"/>
      <c r="I1769" s="93"/>
      <c r="J1769" s="97"/>
      <c r="K1769" s="88"/>
      <c r="L1769" s="25" t="str">
        <f>IF($D1769="","",SUMIFS($H$4:$H1769,$D$4:$D1769,$D1769)+SUMIFS($I$4:$I1769,$D$4:$D1769,$D1769)-SUMIFS($J$4:$J1769,$D$4:$D1769,$D1769)-SUMIFS($K$4:$K1769,$D$4:$D1769,$D1769))</f>
        <v/>
      </c>
      <c r="M1769" s="80"/>
      <c r="N1769" s="80"/>
      <c r="O1769" s="94"/>
      <c r="P1769" s="26" t="str">
        <f t="shared" si="83"/>
        <v/>
      </c>
      <c r="Q1769" s="80"/>
      <c r="R1769" s="80"/>
      <c r="S1769" s="80"/>
      <c r="T1769" s="82"/>
      <c r="U1769" s="80"/>
      <c r="V1769" s="80"/>
      <c r="W1769" s="80"/>
    </row>
    <row r="1770" ht="18" customHeight="1" spans="1:23">
      <c r="A1770" s="87" t="str">
        <f t="shared" si="81"/>
        <v/>
      </c>
      <c r="B1770" s="78"/>
      <c r="C1770" s="80"/>
      <c r="D1770" s="79"/>
      <c r="E1770" s="80"/>
      <c r="F1770" s="79"/>
      <c r="G1770" s="25" t="str">
        <f t="shared" si="82"/>
        <v/>
      </c>
      <c r="H1770" s="88"/>
      <c r="I1770" s="93"/>
      <c r="J1770" s="97"/>
      <c r="K1770" s="88"/>
      <c r="L1770" s="25" t="str">
        <f>IF($D1770="","",SUMIFS($H$4:$H1770,$D$4:$D1770,$D1770)+SUMIFS($I$4:$I1770,$D$4:$D1770,$D1770)-SUMIFS($J$4:$J1770,$D$4:$D1770,$D1770)-SUMIFS($K$4:$K1770,$D$4:$D1770,$D1770))</f>
        <v/>
      </c>
      <c r="M1770" s="80"/>
      <c r="N1770" s="80"/>
      <c r="O1770" s="94"/>
      <c r="P1770" s="26" t="str">
        <f t="shared" si="83"/>
        <v/>
      </c>
      <c r="Q1770" s="80"/>
      <c r="R1770" s="80"/>
      <c r="S1770" s="80"/>
      <c r="T1770" s="82"/>
      <c r="U1770" s="80"/>
      <c r="V1770" s="80"/>
      <c r="W1770" s="80"/>
    </row>
    <row r="1771" ht="18" customHeight="1" spans="1:23">
      <c r="A1771" s="87" t="str">
        <f t="shared" si="81"/>
        <v/>
      </c>
      <c r="B1771" s="78"/>
      <c r="C1771" s="80"/>
      <c r="D1771" s="79"/>
      <c r="E1771" s="80"/>
      <c r="F1771" s="79"/>
      <c r="G1771" s="25" t="str">
        <f t="shared" si="82"/>
        <v/>
      </c>
      <c r="H1771" s="88"/>
      <c r="I1771" s="93"/>
      <c r="J1771" s="97"/>
      <c r="K1771" s="88"/>
      <c r="L1771" s="25" t="str">
        <f>IF($D1771="","",SUMIFS($H$4:$H1771,$D$4:$D1771,$D1771)+SUMIFS($I$4:$I1771,$D$4:$D1771,$D1771)-SUMIFS($J$4:$J1771,$D$4:$D1771,$D1771)-SUMIFS($K$4:$K1771,$D$4:$D1771,$D1771))</f>
        <v/>
      </c>
      <c r="M1771" s="80"/>
      <c r="N1771" s="80"/>
      <c r="O1771" s="94"/>
      <c r="P1771" s="26" t="str">
        <f t="shared" si="83"/>
        <v/>
      </c>
      <c r="Q1771" s="80"/>
      <c r="R1771" s="80"/>
      <c r="S1771" s="80"/>
      <c r="T1771" s="82"/>
      <c r="U1771" s="80"/>
      <c r="V1771" s="80"/>
      <c r="W1771" s="80"/>
    </row>
    <row r="1772" ht="18" customHeight="1" spans="1:23">
      <c r="A1772" s="87" t="str">
        <f t="shared" si="81"/>
        <v/>
      </c>
      <c r="B1772" s="78"/>
      <c r="C1772" s="80"/>
      <c r="D1772" s="79"/>
      <c r="E1772" s="80"/>
      <c r="F1772" s="79"/>
      <c r="G1772" s="25" t="str">
        <f t="shared" si="82"/>
        <v/>
      </c>
      <c r="H1772" s="88"/>
      <c r="I1772" s="93"/>
      <c r="J1772" s="97"/>
      <c r="K1772" s="88"/>
      <c r="L1772" s="25" t="str">
        <f>IF($D1772="","",SUMIFS($H$4:$H1772,$D$4:$D1772,$D1772)+SUMIFS($I$4:$I1772,$D$4:$D1772,$D1772)-SUMIFS($J$4:$J1772,$D$4:$D1772,$D1772)-SUMIFS($K$4:$K1772,$D$4:$D1772,$D1772))</f>
        <v/>
      </c>
      <c r="M1772" s="80"/>
      <c r="N1772" s="80"/>
      <c r="O1772" s="94"/>
      <c r="P1772" s="26" t="str">
        <f t="shared" si="83"/>
        <v/>
      </c>
      <c r="Q1772" s="80"/>
      <c r="R1772" s="80"/>
      <c r="S1772" s="80"/>
      <c r="T1772" s="82"/>
      <c r="U1772" s="80"/>
      <c r="V1772" s="80"/>
      <c r="W1772" s="80"/>
    </row>
    <row r="1773" ht="18" customHeight="1" spans="1:23">
      <c r="A1773" s="87" t="str">
        <f t="shared" si="81"/>
        <v/>
      </c>
      <c r="B1773" s="78"/>
      <c r="C1773" s="80"/>
      <c r="D1773" s="79"/>
      <c r="E1773" s="80"/>
      <c r="F1773" s="79"/>
      <c r="G1773" s="25" t="str">
        <f t="shared" si="82"/>
        <v/>
      </c>
      <c r="H1773" s="88"/>
      <c r="I1773" s="93"/>
      <c r="J1773" s="97"/>
      <c r="K1773" s="88"/>
      <c r="L1773" s="25" t="str">
        <f>IF($D1773="","",SUMIFS($H$4:$H1773,$D$4:$D1773,$D1773)+SUMIFS($I$4:$I1773,$D$4:$D1773,$D1773)-SUMIFS($J$4:$J1773,$D$4:$D1773,$D1773)-SUMIFS($K$4:$K1773,$D$4:$D1773,$D1773))</f>
        <v/>
      </c>
      <c r="M1773" s="80"/>
      <c r="N1773" s="80"/>
      <c r="O1773" s="94"/>
      <c r="P1773" s="26" t="str">
        <f t="shared" si="83"/>
        <v/>
      </c>
      <c r="Q1773" s="80"/>
      <c r="R1773" s="80"/>
      <c r="S1773" s="80"/>
      <c r="T1773" s="82"/>
      <c r="U1773" s="80"/>
      <c r="V1773" s="80"/>
      <c r="W1773" s="80"/>
    </row>
    <row r="1774" ht="18" customHeight="1" spans="1:23">
      <c r="A1774" s="87" t="str">
        <f t="shared" si="81"/>
        <v/>
      </c>
      <c r="B1774" s="78"/>
      <c r="C1774" s="80"/>
      <c r="D1774" s="79"/>
      <c r="E1774" s="80"/>
      <c r="F1774" s="79"/>
      <c r="G1774" s="25" t="str">
        <f t="shared" si="82"/>
        <v/>
      </c>
      <c r="H1774" s="88"/>
      <c r="I1774" s="93"/>
      <c r="J1774" s="97"/>
      <c r="K1774" s="88"/>
      <c r="L1774" s="25" t="str">
        <f>IF($D1774="","",SUMIFS($H$4:$H1774,$D$4:$D1774,$D1774)+SUMIFS($I$4:$I1774,$D$4:$D1774,$D1774)-SUMIFS($J$4:$J1774,$D$4:$D1774,$D1774)-SUMIFS($K$4:$K1774,$D$4:$D1774,$D1774))</f>
        <v/>
      </c>
      <c r="M1774" s="80"/>
      <c r="N1774" s="80"/>
      <c r="O1774" s="94"/>
      <c r="P1774" s="26" t="str">
        <f t="shared" si="83"/>
        <v/>
      </c>
      <c r="Q1774" s="80"/>
      <c r="R1774" s="80"/>
      <c r="S1774" s="80"/>
      <c r="T1774" s="82"/>
      <c r="U1774" s="80"/>
      <c r="V1774" s="80"/>
      <c r="W1774" s="80"/>
    </row>
    <row r="1775" ht="18" customHeight="1" spans="1:23">
      <c r="A1775" s="87" t="str">
        <f t="shared" si="81"/>
        <v/>
      </c>
      <c r="B1775" s="78"/>
      <c r="C1775" s="80"/>
      <c r="D1775" s="79"/>
      <c r="E1775" s="80"/>
      <c r="F1775" s="79"/>
      <c r="G1775" s="25" t="str">
        <f t="shared" si="82"/>
        <v/>
      </c>
      <c r="H1775" s="88"/>
      <c r="I1775" s="93"/>
      <c r="J1775" s="97"/>
      <c r="K1775" s="88"/>
      <c r="L1775" s="25" t="str">
        <f>IF($D1775="","",SUMIFS($H$4:$H1775,$D$4:$D1775,$D1775)+SUMIFS($I$4:$I1775,$D$4:$D1775,$D1775)-SUMIFS($J$4:$J1775,$D$4:$D1775,$D1775)-SUMIFS($K$4:$K1775,$D$4:$D1775,$D1775))</f>
        <v/>
      </c>
      <c r="M1775" s="80"/>
      <c r="N1775" s="80"/>
      <c r="O1775" s="94"/>
      <c r="P1775" s="26" t="str">
        <f t="shared" si="83"/>
        <v/>
      </c>
      <c r="Q1775" s="80"/>
      <c r="R1775" s="80"/>
      <c r="S1775" s="80"/>
      <c r="T1775" s="82"/>
      <c r="U1775" s="80"/>
      <c r="V1775" s="80"/>
      <c r="W1775" s="80"/>
    </row>
    <row r="1776" ht="18" customHeight="1" spans="1:23">
      <c r="A1776" s="87" t="str">
        <f t="shared" si="81"/>
        <v/>
      </c>
      <c r="B1776" s="78"/>
      <c r="C1776" s="80"/>
      <c r="D1776" s="79"/>
      <c r="E1776" s="80"/>
      <c r="F1776" s="79"/>
      <c r="G1776" s="25" t="str">
        <f t="shared" si="82"/>
        <v/>
      </c>
      <c r="H1776" s="88"/>
      <c r="I1776" s="93"/>
      <c r="J1776" s="97"/>
      <c r="K1776" s="88"/>
      <c r="L1776" s="25" t="str">
        <f>IF($D1776="","",SUMIFS($H$4:$H1776,$D$4:$D1776,$D1776)+SUMIFS($I$4:$I1776,$D$4:$D1776,$D1776)-SUMIFS($J$4:$J1776,$D$4:$D1776,$D1776)-SUMIFS($K$4:$K1776,$D$4:$D1776,$D1776))</f>
        <v/>
      </c>
      <c r="M1776" s="80"/>
      <c r="N1776" s="80"/>
      <c r="O1776" s="94"/>
      <c r="P1776" s="26" t="str">
        <f t="shared" si="83"/>
        <v/>
      </c>
      <c r="Q1776" s="80"/>
      <c r="R1776" s="80"/>
      <c r="S1776" s="80"/>
      <c r="T1776" s="82"/>
      <c r="U1776" s="80"/>
      <c r="V1776" s="80"/>
      <c r="W1776" s="80"/>
    </row>
    <row r="1777" ht="18" customHeight="1" spans="1:23">
      <c r="A1777" s="87" t="str">
        <f t="shared" si="81"/>
        <v/>
      </c>
      <c r="B1777" s="78"/>
      <c r="C1777" s="80"/>
      <c r="D1777" s="79"/>
      <c r="E1777" s="80"/>
      <c r="F1777" s="79"/>
      <c r="G1777" s="25" t="str">
        <f t="shared" si="82"/>
        <v/>
      </c>
      <c r="H1777" s="88"/>
      <c r="I1777" s="93"/>
      <c r="J1777" s="97"/>
      <c r="K1777" s="88"/>
      <c r="L1777" s="25" t="str">
        <f>IF($D1777="","",SUMIFS($H$4:$H1777,$D$4:$D1777,$D1777)+SUMIFS($I$4:$I1777,$D$4:$D1777,$D1777)-SUMIFS($J$4:$J1777,$D$4:$D1777,$D1777)-SUMIFS($K$4:$K1777,$D$4:$D1777,$D1777))</f>
        <v/>
      </c>
      <c r="M1777" s="80"/>
      <c r="N1777" s="80"/>
      <c r="O1777" s="94"/>
      <c r="P1777" s="26" t="str">
        <f t="shared" si="83"/>
        <v/>
      </c>
      <c r="Q1777" s="80"/>
      <c r="R1777" s="80"/>
      <c r="S1777" s="80"/>
      <c r="T1777" s="82"/>
      <c r="U1777" s="80"/>
      <c r="V1777" s="80"/>
      <c r="W1777" s="80"/>
    </row>
    <row r="1778" ht="18" customHeight="1" spans="1:23">
      <c r="A1778" s="87" t="str">
        <f t="shared" si="81"/>
        <v/>
      </c>
      <c r="B1778" s="78"/>
      <c r="C1778" s="80"/>
      <c r="D1778" s="79"/>
      <c r="E1778" s="80"/>
      <c r="F1778" s="79"/>
      <c r="G1778" s="25" t="str">
        <f t="shared" si="82"/>
        <v/>
      </c>
      <c r="H1778" s="88"/>
      <c r="I1778" s="93"/>
      <c r="J1778" s="97"/>
      <c r="K1778" s="88"/>
      <c r="L1778" s="25" t="str">
        <f>IF($D1778="","",SUMIFS($H$4:$H1778,$D$4:$D1778,$D1778)+SUMIFS($I$4:$I1778,$D$4:$D1778,$D1778)-SUMIFS($J$4:$J1778,$D$4:$D1778,$D1778)-SUMIFS($K$4:$K1778,$D$4:$D1778,$D1778))</f>
        <v/>
      </c>
      <c r="M1778" s="80"/>
      <c r="N1778" s="80"/>
      <c r="O1778" s="94"/>
      <c r="P1778" s="26" t="str">
        <f t="shared" si="83"/>
        <v/>
      </c>
      <c r="Q1778" s="80"/>
      <c r="R1778" s="80"/>
      <c r="S1778" s="80"/>
      <c r="T1778" s="82"/>
      <c r="U1778" s="80"/>
      <c r="V1778" s="80"/>
      <c r="W1778" s="80"/>
    </row>
    <row r="1779" ht="18" customHeight="1" spans="1:23">
      <c r="A1779" s="87" t="str">
        <f t="shared" si="81"/>
        <v/>
      </c>
      <c r="B1779" s="78"/>
      <c r="C1779" s="80"/>
      <c r="D1779" s="79"/>
      <c r="E1779" s="80"/>
      <c r="F1779" s="79"/>
      <c r="G1779" s="25" t="str">
        <f t="shared" si="82"/>
        <v/>
      </c>
      <c r="H1779" s="88"/>
      <c r="I1779" s="93"/>
      <c r="J1779" s="97"/>
      <c r="K1779" s="88"/>
      <c r="L1779" s="25" t="str">
        <f>IF($D1779="","",SUMIFS($H$4:$H1779,$D$4:$D1779,$D1779)+SUMIFS($I$4:$I1779,$D$4:$D1779,$D1779)-SUMIFS($J$4:$J1779,$D$4:$D1779,$D1779)-SUMIFS($K$4:$K1779,$D$4:$D1779,$D1779))</f>
        <v/>
      </c>
      <c r="M1779" s="80"/>
      <c r="N1779" s="80"/>
      <c r="O1779" s="94"/>
      <c r="P1779" s="26" t="str">
        <f t="shared" si="83"/>
        <v/>
      </c>
      <c r="Q1779" s="80"/>
      <c r="R1779" s="80"/>
      <c r="S1779" s="80"/>
      <c r="T1779" s="82"/>
      <c r="U1779" s="80"/>
      <c r="V1779" s="80"/>
      <c r="W1779" s="80"/>
    </row>
    <row r="1780" ht="18" customHeight="1" spans="1:23">
      <c r="A1780" s="87" t="str">
        <f t="shared" si="81"/>
        <v/>
      </c>
      <c r="B1780" s="78"/>
      <c r="C1780" s="80"/>
      <c r="D1780" s="79"/>
      <c r="E1780" s="80"/>
      <c r="F1780" s="79"/>
      <c r="G1780" s="25" t="str">
        <f t="shared" si="82"/>
        <v/>
      </c>
      <c r="H1780" s="88"/>
      <c r="I1780" s="93"/>
      <c r="J1780" s="97"/>
      <c r="K1780" s="88"/>
      <c r="L1780" s="25" t="str">
        <f>IF($D1780="","",SUMIFS($H$4:$H1780,$D$4:$D1780,$D1780)+SUMIFS($I$4:$I1780,$D$4:$D1780,$D1780)-SUMIFS($J$4:$J1780,$D$4:$D1780,$D1780)-SUMIFS($K$4:$K1780,$D$4:$D1780,$D1780))</f>
        <v/>
      </c>
      <c r="M1780" s="80"/>
      <c r="N1780" s="80"/>
      <c r="O1780" s="94"/>
      <c r="P1780" s="26" t="str">
        <f t="shared" si="83"/>
        <v/>
      </c>
      <c r="Q1780" s="80"/>
      <c r="R1780" s="80"/>
      <c r="S1780" s="80"/>
      <c r="T1780" s="82"/>
      <c r="U1780" s="80"/>
      <c r="V1780" s="80"/>
      <c r="W1780" s="80"/>
    </row>
    <row r="1781" ht="18" customHeight="1" spans="1:23">
      <c r="A1781" s="87" t="str">
        <f t="shared" si="81"/>
        <v/>
      </c>
      <c r="B1781" s="78"/>
      <c r="C1781" s="80"/>
      <c r="D1781" s="79"/>
      <c r="E1781" s="80"/>
      <c r="F1781" s="79"/>
      <c r="G1781" s="25" t="str">
        <f t="shared" si="82"/>
        <v/>
      </c>
      <c r="H1781" s="88"/>
      <c r="I1781" s="93"/>
      <c r="J1781" s="97"/>
      <c r="K1781" s="88"/>
      <c r="L1781" s="25" t="str">
        <f>IF($D1781="","",SUMIFS($H$4:$H1781,$D$4:$D1781,$D1781)+SUMIFS($I$4:$I1781,$D$4:$D1781,$D1781)-SUMIFS($J$4:$J1781,$D$4:$D1781,$D1781)-SUMIFS($K$4:$K1781,$D$4:$D1781,$D1781))</f>
        <v/>
      </c>
      <c r="M1781" s="80"/>
      <c r="N1781" s="80"/>
      <c r="O1781" s="94"/>
      <c r="P1781" s="26" t="str">
        <f t="shared" si="83"/>
        <v/>
      </c>
      <c r="Q1781" s="80"/>
      <c r="R1781" s="80"/>
      <c r="S1781" s="80"/>
      <c r="T1781" s="82"/>
      <c r="U1781" s="80"/>
      <c r="V1781" s="80"/>
      <c r="W1781" s="80"/>
    </row>
    <row r="1782" ht="18" customHeight="1" spans="1:23">
      <c r="A1782" s="87" t="str">
        <f t="shared" si="81"/>
        <v/>
      </c>
      <c r="B1782" s="78"/>
      <c r="C1782" s="80"/>
      <c r="D1782" s="79"/>
      <c r="E1782" s="80"/>
      <c r="F1782" s="79"/>
      <c r="G1782" s="25" t="str">
        <f t="shared" si="82"/>
        <v/>
      </c>
      <c r="H1782" s="88"/>
      <c r="I1782" s="93"/>
      <c r="J1782" s="97"/>
      <c r="K1782" s="88"/>
      <c r="L1782" s="25" t="str">
        <f>IF($D1782="","",SUMIFS($H$4:$H1782,$D$4:$D1782,$D1782)+SUMIFS($I$4:$I1782,$D$4:$D1782,$D1782)-SUMIFS($J$4:$J1782,$D$4:$D1782,$D1782)-SUMIFS($K$4:$K1782,$D$4:$D1782,$D1782))</f>
        <v/>
      </c>
      <c r="M1782" s="80"/>
      <c r="N1782" s="80"/>
      <c r="O1782" s="94"/>
      <c r="P1782" s="26" t="str">
        <f t="shared" si="83"/>
        <v/>
      </c>
      <c r="Q1782" s="80"/>
      <c r="R1782" s="80"/>
      <c r="S1782" s="80"/>
      <c r="T1782" s="82"/>
      <c r="U1782" s="80"/>
      <c r="V1782" s="80"/>
      <c r="W1782" s="80"/>
    </row>
    <row r="1783" ht="18" customHeight="1" spans="1:23">
      <c r="A1783" s="87" t="str">
        <f t="shared" si="81"/>
        <v/>
      </c>
      <c r="B1783" s="78"/>
      <c r="C1783" s="80"/>
      <c r="D1783" s="79"/>
      <c r="E1783" s="80"/>
      <c r="F1783" s="79"/>
      <c r="G1783" s="25" t="str">
        <f t="shared" si="82"/>
        <v/>
      </c>
      <c r="H1783" s="88"/>
      <c r="I1783" s="93"/>
      <c r="J1783" s="97"/>
      <c r="K1783" s="88"/>
      <c r="L1783" s="25" t="str">
        <f>IF($D1783="","",SUMIFS($H$4:$H1783,$D$4:$D1783,$D1783)+SUMIFS($I$4:$I1783,$D$4:$D1783,$D1783)-SUMIFS($J$4:$J1783,$D$4:$D1783,$D1783)-SUMIFS($K$4:$K1783,$D$4:$D1783,$D1783))</f>
        <v/>
      </c>
      <c r="M1783" s="80"/>
      <c r="N1783" s="80"/>
      <c r="O1783" s="94"/>
      <c r="P1783" s="26" t="str">
        <f t="shared" si="83"/>
        <v/>
      </c>
      <c r="Q1783" s="80"/>
      <c r="R1783" s="80"/>
      <c r="S1783" s="80"/>
      <c r="T1783" s="82"/>
      <c r="U1783" s="80"/>
      <c r="V1783" s="80"/>
      <c r="W1783" s="80"/>
    </row>
    <row r="1784" ht="18" customHeight="1" spans="1:23">
      <c r="A1784" s="87" t="str">
        <f t="shared" si="81"/>
        <v/>
      </c>
      <c r="B1784" s="78"/>
      <c r="C1784" s="80"/>
      <c r="D1784" s="79"/>
      <c r="E1784" s="80"/>
      <c r="F1784" s="79"/>
      <c r="G1784" s="25" t="str">
        <f t="shared" si="82"/>
        <v/>
      </c>
      <c r="H1784" s="88"/>
      <c r="I1784" s="93"/>
      <c r="J1784" s="97"/>
      <c r="K1784" s="88"/>
      <c r="L1784" s="25" t="str">
        <f>IF($D1784="","",SUMIFS($H$4:$H1784,$D$4:$D1784,$D1784)+SUMIFS($I$4:$I1784,$D$4:$D1784,$D1784)-SUMIFS($J$4:$J1784,$D$4:$D1784,$D1784)-SUMIFS($K$4:$K1784,$D$4:$D1784,$D1784))</f>
        <v/>
      </c>
      <c r="M1784" s="80"/>
      <c r="N1784" s="80"/>
      <c r="O1784" s="94"/>
      <c r="P1784" s="26" t="str">
        <f t="shared" si="83"/>
        <v/>
      </c>
      <c r="Q1784" s="80"/>
      <c r="R1784" s="80"/>
      <c r="S1784" s="80"/>
      <c r="T1784" s="82"/>
      <c r="U1784" s="80"/>
      <c r="V1784" s="80"/>
      <c r="W1784" s="80"/>
    </row>
    <row r="1785" ht="18" customHeight="1" spans="1:23">
      <c r="A1785" s="87" t="str">
        <f t="shared" si="81"/>
        <v/>
      </c>
      <c r="B1785" s="78"/>
      <c r="C1785" s="80"/>
      <c r="D1785" s="79"/>
      <c r="E1785" s="80"/>
      <c r="F1785" s="79"/>
      <c r="G1785" s="25" t="str">
        <f t="shared" si="82"/>
        <v/>
      </c>
      <c r="H1785" s="88"/>
      <c r="I1785" s="93"/>
      <c r="J1785" s="97"/>
      <c r="K1785" s="88"/>
      <c r="L1785" s="25" t="str">
        <f>IF($D1785="","",SUMIFS($H$4:$H1785,$D$4:$D1785,$D1785)+SUMIFS($I$4:$I1785,$D$4:$D1785,$D1785)-SUMIFS($J$4:$J1785,$D$4:$D1785,$D1785)-SUMIFS($K$4:$K1785,$D$4:$D1785,$D1785))</f>
        <v/>
      </c>
      <c r="M1785" s="80"/>
      <c r="N1785" s="80"/>
      <c r="O1785" s="94"/>
      <c r="P1785" s="26" t="str">
        <f t="shared" si="83"/>
        <v/>
      </c>
      <c r="Q1785" s="80"/>
      <c r="R1785" s="80"/>
      <c r="S1785" s="80"/>
      <c r="T1785" s="82"/>
      <c r="U1785" s="80"/>
      <c r="V1785" s="80"/>
      <c r="W1785" s="80"/>
    </row>
    <row r="1786" ht="18" customHeight="1" spans="1:23">
      <c r="A1786" s="87" t="str">
        <f t="shared" si="81"/>
        <v/>
      </c>
      <c r="B1786" s="78"/>
      <c r="C1786" s="80"/>
      <c r="D1786" s="79"/>
      <c r="E1786" s="80"/>
      <c r="F1786" s="79"/>
      <c r="G1786" s="25" t="str">
        <f t="shared" si="82"/>
        <v/>
      </c>
      <c r="H1786" s="88"/>
      <c r="I1786" s="93"/>
      <c r="J1786" s="97"/>
      <c r="K1786" s="88"/>
      <c r="L1786" s="25" t="str">
        <f>IF($D1786="","",SUMIFS($H$4:$H1786,$D$4:$D1786,$D1786)+SUMIFS($I$4:$I1786,$D$4:$D1786,$D1786)-SUMIFS($J$4:$J1786,$D$4:$D1786,$D1786)-SUMIFS($K$4:$K1786,$D$4:$D1786,$D1786))</f>
        <v/>
      </c>
      <c r="M1786" s="80"/>
      <c r="N1786" s="80"/>
      <c r="O1786" s="94"/>
      <c r="P1786" s="26" t="str">
        <f t="shared" si="83"/>
        <v/>
      </c>
      <c r="Q1786" s="80"/>
      <c r="R1786" s="80"/>
      <c r="S1786" s="80"/>
      <c r="T1786" s="82"/>
      <c r="U1786" s="80"/>
      <c r="V1786" s="80"/>
      <c r="W1786" s="80"/>
    </row>
    <row r="1787" ht="18" customHeight="1" spans="1:23">
      <c r="A1787" s="87" t="str">
        <f t="shared" si="81"/>
        <v/>
      </c>
      <c r="B1787" s="78"/>
      <c r="C1787" s="80"/>
      <c r="D1787" s="79"/>
      <c r="E1787" s="80"/>
      <c r="F1787" s="79"/>
      <c r="G1787" s="25" t="str">
        <f t="shared" si="82"/>
        <v/>
      </c>
      <c r="H1787" s="88"/>
      <c r="I1787" s="93"/>
      <c r="J1787" s="97"/>
      <c r="K1787" s="88"/>
      <c r="L1787" s="25" t="str">
        <f>IF($D1787="","",SUMIFS($H$4:$H1787,$D$4:$D1787,$D1787)+SUMIFS($I$4:$I1787,$D$4:$D1787,$D1787)-SUMIFS($J$4:$J1787,$D$4:$D1787,$D1787)-SUMIFS($K$4:$K1787,$D$4:$D1787,$D1787))</f>
        <v/>
      </c>
      <c r="M1787" s="80"/>
      <c r="N1787" s="80"/>
      <c r="O1787" s="94"/>
      <c r="P1787" s="26" t="str">
        <f t="shared" si="83"/>
        <v/>
      </c>
      <c r="Q1787" s="80"/>
      <c r="R1787" s="80"/>
      <c r="S1787" s="80"/>
      <c r="T1787" s="82"/>
      <c r="U1787" s="80"/>
      <c r="V1787" s="80"/>
      <c r="W1787" s="80"/>
    </row>
    <row r="1788" ht="18" customHeight="1" spans="1:23">
      <c r="A1788" s="87" t="str">
        <f t="shared" si="81"/>
        <v/>
      </c>
      <c r="B1788" s="78"/>
      <c r="C1788" s="80"/>
      <c r="D1788" s="79"/>
      <c r="E1788" s="80"/>
      <c r="F1788" s="79"/>
      <c r="G1788" s="25" t="str">
        <f t="shared" si="82"/>
        <v/>
      </c>
      <c r="H1788" s="88"/>
      <c r="I1788" s="93"/>
      <c r="J1788" s="97"/>
      <c r="K1788" s="88"/>
      <c r="L1788" s="25" t="str">
        <f>IF($D1788="","",SUMIFS($H$4:$H1788,$D$4:$D1788,$D1788)+SUMIFS($I$4:$I1788,$D$4:$D1788,$D1788)-SUMIFS($J$4:$J1788,$D$4:$D1788,$D1788)-SUMIFS($K$4:$K1788,$D$4:$D1788,$D1788))</f>
        <v/>
      </c>
      <c r="M1788" s="80"/>
      <c r="N1788" s="80"/>
      <c r="O1788" s="94"/>
      <c r="P1788" s="26" t="str">
        <f t="shared" si="83"/>
        <v/>
      </c>
      <c r="Q1788" s="80"/>
      <c r="R1788" s="80"/>
      <c r="S1788" s="80"/>
      <c r="T1788" s="82"/>
      <c r="U1788" s="80"/>
      <c r="V1788" s="80"/>
      <c r="W1788" s="80"/>
    </row>
    <row r="1789" ht="18" customHeight="1" spans="1:23">
      <c r="A1789" s="87" t="str">
        <f t="shared" si="81"/>
        <v/>
      </c>
      <c r="B1789" s="78"/>
      <c r="C1789" s="80"/>
      <c r="D1789" s="79"/>
      <c r="E1789" s="80"/>
      <c r="F1789" s="79"/>
      <c r="G1789" s="25" t="str">
        <f t="shared" si="82"/>
        <v/>
      </c>
      <c r="H1789" s="88"/>
      <c r="I1789" s="93"/>
      <c r="J1789" s="97"/>
      <c r="K1789" s="88"/>
      <c r="L1789" s="25" t="str">
        <f>IF($D1789="","",SUMIFS($H$4:$H1789,$D$4:$D1789,$D1789)+SUMIFS($I$4:$I1789,$D$4:$D1789,$D1789)-SUMIFS($J$4:$J1789,$D$4:$D1789,$D1789)-SUMIFS($K$4:$K1789,$D$4:$D1789,$D1789))</f>
        <v/>
      </c>
      <c r="M1789" s="80"/>
      <c r="N1789" s="80"/>
      <c r="O1789" s="94"/>
      <c r="P1789" s="26" t="str">
        <f t="shared" si="83"/>
        <v/>
      </c>
      <c r="Q1789" s="80"/>
      <c r="R1789" s="80"/>
      <c r="S1789" s="80"/>
      <c r="T1789" s="82"/>
      <c r="U1789" s="80"/>
      <c r="V1789" s="80"/>
      <c r="W1789" s="80"/>
    </row>
    <row r="1790" ht="18" customHeight="1" spans="1:23">
      <c r="A1790" s="87" t="str">
        <f t="shared" si="81"/>
        <v/>
      </c>
      <c r="B1790" s="78"/>
      <c r="C1790" s="80"/>
      <c r="D1790" s="79"/>
      <c r="E1790" s="80"/>
      <c r="F1790" s="79"/>
      <c r="G1790" s="25" t="str">
        <f t="shared" si="82"/>
        <v/>
      </c>
      <c r="H1790" s="88"/>
      <c r="I1790" s="93"/>
      <c r="J1790" s="97"/>
      <c r="K1790" s="88"/>
      <c r="L1790" s="25" t="str">
        <f>IF($D1790="","",SUMIFS($H$4:$H1790,$D$4:$D1790,$D1790)+SUMIFS($I$4:$I1790,$D$4:$D1790,$D1790)-SUMIFS($J$4:$J1790,$D$4:$D1790,$D1790)-SUMIFS($K$4:$K1790,$D$4:$D1790,$D1790))</f>
        <v/>
      </c>
      <c r="M1790" s="80"/>
      <c r="N1790" s="80"/>
      <c r="O1790" s="94"/>
      <c r="P1790" s="26" t="str">
        <f t="shared" si="83"/>
        <v/>
      </c>
      <c r="Q1790" s="80"/>
      <c r="R1790" s="80"/>
      <c r="S1790" s="80"/>
      <c r="T1790" s="82"/>
      <c r="U1790" s="80"/>
      <c r="V1790" s="80"/>
      <c r="W1790" s="80"/>
    </row>
    <row r="1791" ht="18" customHeight="1" spans="1:23">
      <c r="A1791" s="87" t="str">
        <f t="shared" si="81"/>
        <v/>
      </c>
      <c r="B1791" s="78"/>
      <c r="C1791" s="80"/>
      <c r="D1791" s="79"/>
      <c r="E1791" s="80"/>
      <c r="F1791" s="79"/>
      <c r="G1791" s="25" t="str">
        <f t="shared" si="82"/>
        <v/>
      </c>
      <c r="H1791" s="88"/>
      <c r="I1791" s="93"/>
      <c r="J1791" s="97"/>
      <c r="K1791" s="88"/>
      <c r="L1791" s="25" t="str">
        <f>IF($D1791="","",SUMIFS($H$4:$H1791,$D$4:$D1791,$D1791)+SUMIFS($I$4:$I1791,$D$4:$D1791,$D1791)-SUMIFS($J$4:$J1791,$D$4:$D1791,$D1791)-SUMIFS($K$4:$K1791,$D$4:$D1791,$D1791))</f>
        <v/>
      </c>
      <c r="M1791" s="80"/>
      <c r="N1791" s="80"/>
      <c r="O1791" s="94"/>
      <c r="P1791" s="26" t="str">
        <f t="shared" si="83"/>
        <v/>
      </c>
      <c r="Q1791" s="80"/>
      <c r="R1791" s="80"/>
      <c r="S1791" s="80"/>
      <c r="T1791" s="82"/>
      <c r="U1791" s="80"/>
      <c r="V1791" s="80"/>
      <c r="W1791" s="80"/>
    </row>
    <row r="1792" ht="18" customHeight="1" spans="1:23">
      <c r="A1792" s="87" t="str">
        <f t="shared" si="81"/>
        <v/>
      </c>
      <c r="B1792" s="78"/>
      <c r="C1792" s="80"/>
      <c r="D1792" s="79"/>
      <c r="E1792" s="80"/>
      <c r="F1792" s="79"/>
      <c r="G1792" s="25" t="str">
        <f t="shared" si="82"/>
        <v/>
      </c>
      <c r="H1792" s="88"/>
      <c r="I1792" s="93"/>
      <c r="J1792" s="97"/>
      <c r="K1792" s="88"/>
      <c r="L1792" s="25" t="str">
        <f>IF($D1792="","",SUMIFS($H$4:$H1792,$D$4:$D1792,$D1792)+SUMIFS($I$4:$I1792,$D$4:$D1792,$D1792)-SUMIFS($J$4:$J1792,$D$4:$D1792,$D1792)-SUMIFS($K$4:$K1792,$D$4:$D1792,$D1792))</f>
        <v/>
      </c>
      <c r="M1792" s="80"/>
      <c r="N1792" s="80"/>
      <c r="O1792" s="94"/>
      <c r="P1792" s="26" t="str">
        <f t="shared" si="83"/>
        <v/>
      </c>
      <c r="Q1792" s="80"/>
      <c r="R1792" s="80"/>
      <c r="S1792" s="80"/>
      <c r="T1792" s="82"/>
      <c r="U1792" s="80"/>
      <c r="V1792" s="80"/>
      <c r="W1792" s="80"/>
    </row>
    <row r="1793" ht="18" customHeight="1" spans="1:23">
      <c r="A1793" s="87" t="str">
        <f t="shared" si="81"/>
        <v/>
      </c>
      <c r="B1793" s="78"/>
      <c r="C1793" s="80"/>
      <c r="D1793" s="79"/>
      <c r="E1793" s="80"/>
      <c r="F1793" s="79"/>
      <c r="G1793" s="25" t="str">
        <f t="shared" si="82"/>
        <v/>
      </c>
      <c r="H1793" s="88"/>
      <c r="I1793" s="93"/>
      <c r="J1793" s="97"/>
      <c r="K1793" s="88"/>
      <c r="L1793" s="25" t="str">
        <f>IF($D1793="","",SUMIFS($H$4:$H1793,$D$4:$D1793,$D1793)+SUMIFS($I$4:$I1793,$D$4:$D1793,$D1793)-SUMIFS($J$4:$J1793,$D$4:$D1793,$D1793)-SUMIFS($K$4:$K1793,$D$4:$D1793,$D1793))</f>
        <v/>
      </c>
      <c r="M1793" s="80"/>
      <c r="N1793" s="80"/>
      <c r="O1793" s="94"/>
      <c r="P1793" s="26" t="str">
        <f t="shared" si="83"/>
        <v/>
      </c>
      <c r="Q1793" s="80"/>
      <c r="R1793" s="80"/>
      <c r="S1793" s="80"/>
      <c r="T1793" s="82"/>
      <c r="U1793" s="80"/>
      <c r="V1793" s="80"/>
      <c r="W1793" s="80"/>
    </row>
    <row r="1794" ht="18" customHeight="1" spans="1:23">
      <c r="A1794" s="87" t="str">
        <f t="shared" si="81"/>
        <v/>
      </c>
      <c r="B1794" s="78"/>
      <c r="C1794" s="80"/>
      <c r="D1794" s="79"/>
      <c r="E1794" s="80"/>
      <c r="F1794" s="79"/>
      <c r="G1794" s="25" t="str">
        <f t="shared" si="82"/>
        <v/>
      </c>
      <c r="H1794" s="88"/>
      <c r="I1794" s="93"/>
      <c r="J1794" s="97"/>
      <c r="K1794" s="88"/>
      <c r="L1794" s="25" t="str">
        <f>IF($D1794="","",SUMIFS($H$4:$H1794,$D$4:$D1794,$D1794)+SUMIFS($I$4:$I1794,$D$4:$D1794,$D1794)-SUMIFS($J$4:$J1794,$D$4:$D1794,$D1794)-SUMIFS($K$4:$K1794,$D$4:$D1794,$D1794))</f>
        <v/>
      </c>
      <c r="M1794" s="80"/>
      <c r="N1794" s="80"/>
      <c r="O1794" s="94"/>
      <c r="P1794" s="26" t="str">
        <f t="shared" si="83"/>
        <v/>
      </c>
      <c r="Q1794" s="80"/>
      <c r="R1794" s="80"/>
      <c r="S1794" s="80"/>
      <c r="T1794" s="82"/>
      <c r="U1794" s="80"/>
      <c r="V1794" s="80"/>
      <c r="W1794" s="80"/>
    </row>
    <row r="1795" ht="18" customHeight="1" spans="1:23">
      <c r="A1795" s="87" t="str">
        <f t="shared" si="81"/>
        <v/>
      </c>
      <c r="B1795" s="78"/>
      <c r="C1795" s="80"/>
      <c r="D1795" s="79"/>
      <c r="E1795" s="80"/>
      <c r="F1795" s="79"/>
      <c r="G1795" s="25" t="str">
        <f t="shared" si="82"/>
        <v/>
      </c>
      <c r="H1795" s="88"/>
      <c r="I1795" s="93"/>
      <c r="J1795" s="97"/>
      <c r="K1795" s="88"/>
      <c r="L1795" s="25" t="str">
        <f>IF($D1795="","",SUMIFS($H$4:$H1795,$D$4:$D1795,$D1795)+SUMIFS($I$4:$I1795,$D$4:$D1795,$D1795)-SUMIFS($J$4:$J1795,$D$4:$D1795,$D1795)-SUMIFS($K$4:$K1795,$D$4:$D1795,$D1795))</f>
        <v/>
      </c>
      <c r="M1795" s="80"/>
      <c r="N1795" s="80"/>
      <c r="O1795" s="94"/>
      <c r="P1795" s="26" t="str">
        <f t="shared" si="83"/>
        <v/>
      </c>
      <c r="Q1795" s="80"/>
      <c r="R1795" s="80"/>
      <c r="S1795" s="80"/>
      <c r="T1795" s="82"/>
      <c r="U1795" s="80"/>
      <c r="V1795" s="80"/>
      <c r="W1795" s="80"/>
    </row>
    <row r="1796" ht="18" customHeight="1" spans="1:23">
      <c r="A1796" s="87" t="str">
        <f t="shared" si="81"/>
        <v/>
      </c>
      <c r="B1796" s="78"/>
      <c r="C1796" s="80"/>
      <c r="D1796" s="79"/>
      <c r="E1796" s="80"/>
      <c r="F1796" s="79"/>
      <c r="G1796" s="25" t="str">
        <f t="shared" si="82"/>
        <v/>
      </c>
      <c r="H1796" s="88"/>
      <c r="I1796" s="93"/>
      <c r="J1796" s="97"/>
      <c r="K1796" s="88"/>
      <c r="L1796" s="25" t="str">
        <f>IF($D1796="","",SUMIFS($H$4:$H1796,$D$4:$D1796,$D1796)+SUMIFS($I$4:$I1796,$D$4:$D1796,$D1796)-SUMIFS($J$4:$J1796,$D$4:$D1796,$D1796)-SUMIFS($K$4:$K1796,$D$4:$D1796,$D1796))</f>
        <v/>
      </c>
      <c r="M1796" s="80"/>
      <c r="N1796" s="80"/>
      <c r="O1796" s="94"/>
      <c r="P1796" s="26" t="str">
        <f t="shared" si="83"/>
        <v/>
      </c>
      <c r="Q1796" s="80"/>
      <c r="R1796" s="80"/>
      <c r="S1796" s="80"/>
      <c r="T1796" s="82"/>
      <c r="U1796" s="80"/>
      <c r="V1796" s="80"/>
      <c r="W1796" s="80"/>
    </row>
    <row r="1797" ht="18" customHeight="1" spans="1:23">
      <c r="A1797" s="87" t="str">
        <f t="shared" ref="A1797:A1860" si="84">IF($D1797="","",ROW()-3)</f>
        <v/>
      </c>
      <c r="B1797" s="78"/>
      <c r="C1797" s="80"/>
      <c r="D1797" s="79"/>
      <c r="E1797" s="80"/>
      <c r="F1797" s="79"/>
      <c r="G1797" s="25" t="str">
        <f t="shared" ref="G1797:G1860" si="85">IF($D1797="","",N($L1797)-N($H1797)-N($I1797)+N($J1797)+N($K1797))</f>
        <v/>
      </c>
      <c r="H1797" s="88"/>
      <c r="I1797" s="93"/>
      <c r="J1797" s="97"/>
      <c r="K1797" s="88"/>
      <c r="L1797" s="25" t="str">
        <f>IF($D1797="","",SUMIFS($H$4:$H1797,$D$4:$D1797,$D1797)+SUMIFS($I$4:$I1797,$D$4:$D1797,$D1797)-SUMIFS($J$4:$J1797,$D$4:$D1797,$D1797)-SUMIFS($K$4:$K1797,$D$4:$D1797,$D1797))</f>
        <v/>
      </c>
      <c r="M1797" s="80"/>
      <c r="N1797" s="80"/>
      <c r="O1797" s="94"/>
      <c r="P1797" s="26" t="str">
        <f t="shared" ref="P1797:P1860" si="86">IF($D1797="","",ROUND((N($H1797)+N($K1797))*N($O1797),2))</f>
        <v/>
      </c>
      <c r="Q1797" s="80"/>
      <c r="R1797" s="80"/>
      <c r="S1797" s="80"/>
      <c r="T1797" s="82"/>
      <c r="U1797" s="80"/>
      <c r="V1797" s="80"/>
      <c r="W1797" s="80"/>
    </row>
    <row r="1798" ht="18" customHeight="1" spans="1:23">
      <c r="A1798" s="87" t="str">
        <f t="shared" si="84"/>
        <v/>
      </c>
      <c r="B1798" s="78"/>
      <c r="C1798" s="80"/>
      <c r="D1798" s="79"/>
      <c r="E1798" s="80"/>
      <c r="F1798" s="79"/>
      <c r="G1798" s="25" t="str">
        <f t="shared" si="85"/>
        <v/>
      </c>
      <c r="H1798" s="88"/>
      <c r="I1798" s="93"/>
      <c r="J1798" s="97"/>
      <c r="K1798" s="88"/>
      <c r="L1798" s="25" t="str">
        <f>IF($D1798="","",SUMIFS($H$4:$H1798,$D$4:$D1798,$D1798)+SUMIFS($I$4:$I1798,$D$4:$D1798,$D1798)-SUMIFS($J$4:$J1798,$D$4:$D1798,$D1798)-SUMIFS($K$4:$K1798,$D$4:$D1798,$D1798))</f>
        <v/>
      </c>
      <c r="M1798" s="80"/>
      <c r="N1798" s="80"/>
      <c r="O1798" s="94"/>
      <c r="P1798" s="26" t="str">
        <f t="shared" si="86"/>
        <v/>
      </c>
      <c r="Q1798" s="80"/>
      <c r="R1798" s="80"/>
      <c r="S1798" s="80"/>
      <c r="T1798" s="82"/>
      <c r="U1798" s="80"/>
      <c r="V1798" s="80"/>
      <c r="W1798" s="80"/>
    </row>
    <row r="1799" ht="18" customHeight="1" spans="1:23">
      <c r="A1799" s="87" t="str">
        <f t="shared" si="84"/>
        <v/>
      </c>
      <c r="B1799" s="78"/>
      <c r="C1799" s="80"/>
      <c r="D1799" s="79"/>
      <c r="E1799" s="80"/>
      <c r="F1799" s="79"/>
      <c r="G1799" s="25" t="str">
        <f t="shared" si="85"/>
        <v/>
      </c>
      <c r="H1799" s="88"/>
      <c r="I1799" s="93"/>
      <c r="J1799" s="97"/>
      <c r="K1799" s="88"/>
      <c r="L1799" s="25" t="str">
        <f>IF($D1799="","",SUMIFS($H$4:$H1799,$D$4:$D1799,$D1799)+SUMIFS($I$4:$I1799,$D$4:$D1799,$D1799)-SUMIFS($J$4:$J1799,$D$4:$D1799,$D1799)-SUMIFS($K$4:$K1799,$D$4:$D1799,$D1799))</f>
        <v/>
      </c>
      <c r="M1799" s="80"/>
      <c r="N1799" s="80"/>
      <c r="O1799" s="94"/>
      <c r="P1799" s="26" t="str">
        <f t="shared" si="86"/>
        <v/>
      </c>
      <c r="Q1799" s="80"/>
      <c r="R1799" s="80"/>
      <c r="S1799" s="80"/>
      <c r="T1799" s="82"/>
      <c r="U1799" s="80"/>
      <c r="V1799" s="80"/>
      <c r="W1799" s="80"/>
    </row>
    <row r="1800" ht="18" customHeight="1" spans="1:23">
      <c r="A1800" s="87" t="str">
        <f t="shared" si="84"/>
        <v/>
      </c>
      <c r="B1800" s="78"/>
      <c r="C1800" s="80"/>
      <c r="D1800" s="79"/>
      <c r="E1800" s="80"/>
      <c r="F1800" s="79"/>
      <c r="G1800" s="25" t="str">
        <f t="shared" si="85"/>
        <v/>
      </c>
      <c r="H1800" s="88"/>
      <c r="I1800" s="93"/>
      <c r="J1800" s="97"/>
      <c r="K1800" s="88"/>
      <c r="L1800" s="25" t="str">
        <f>IF($D1800="","",SUMIFS($H$4:$H1800,$D$4:$D1800,$D1800)+SUMIFS($I$4:$I1800,$D$4:$D1800,$D1800)-SUMIFS($J$4:$J1800,$D$4:$D1800,$D1800)-SUMIFS($K$4:$K1800,$D$4:$D1800,$D1800))</f>
        <v/>
      </c>
      <c r="M1800" s="80"/>
      <c r="N1800" s="80"/>
      <c r="O1800" s="94"/>
      <c r="P1800" s="26" t="str">
        <f t="shared" si="86"/>
        <v/>
      </c>
      <c r="Q1800" s="80"/>
      <c r="R1800" s="80"/>
      <c r="S1800" s="80"/>
      <c r="T1800" s="82"/>
      <c r="U1800" s="80"/>
      <c r="V1800" s="80"/>
      <c r="W1800" s="80"/>
    </row>
    <row r="1801" ht="18" customHeight="1" spans="1:23">
      <c r="A1801" s="87" t="str">
        <f t="shared" si="84"/>
        <v/>
      </c>
      <c r="B1801" s="78"/>
      <c r="C1801" s="80"/>
      <c r="D1801" s="79"/>
      <c r="E1801" s="80"/>
      <c r="F1801" s="79"/>
      <c r="G1801" s="25" t="str">
        <f t="shared" si="85"/>
        <v/>
      </c>
      <c r="H1801" s="88"/>
      <c r="I1801" s="93"/>
      <c r="J1801" s="97"/>
      <c r="K1801" s="88"/>
      <c r="L1801" s="25" t="str">
        <f>IF($D1801="","",SUMIFS($H$4:$H1801,$D$4:$D1801,$D1801)+SUMIFS($I$4:$I1801,$D$4:$D1801,$D1801)-SUMIFS($J$4:$J1801,$D$4:$D1801,$D1801)-SUMIFS($K$4:$K1801,$D$4:$D1801,$D1801))</f>
        <v/>
      </c>
      <c r="M1801" s="80"/>
      <c r="N1801" s="80"/>
      <c r="O1801" s="94"/>
      <c r="P1801" s="26" t="str">
        <f t="shared" si="86"/>
        <v/>
      </c>
      <c r="Q1801" s="80"/>
      <c r="R1801" s="80"/>
      <c r="S1801" s="80"/>
      <c r="T1801" s="82"/>
      <c r="U1801" s="80"/>
      <c r="V1801" s="80"/>
      <c r="W1801" s="80"/>
    </row>
    <row r="1802" ht="18" customHeight="1" spans="1:23">
      <c r="A1802" s="87" t="str">
        <f t="shared" si="84"/>
        <v/>
      </c>
      <c r="B1802" s="78"/>
      <c r="C1802" s="80"/>
      <c r="D1802" s="79"/>
      <c r="E1802" s="80"/>
      <c r="F1802" s="79"/>
      <c r="G1802" s="25" t="str">
        <f t="shared" si="85"/>
        <v/>
      </c>
      <c r="H1802" s="88"/>
      <c r="I1802" s="93"/>
      <c r="J1802" s="97"/>
      <c r="K1802" s="88"/>
      <c r="L1802" s="25" t="str">
        <f>IF($D1802="","",SUMIFS($H$4:$H1802,$D$4:$D1802,$D1802)+SUMIFS($I$4:$I1802,$D$4:$D1802,$D1802)-SUMIFS($J$4:$J1802,$D$4:$D1802,$D1802)-SUMIFS($K$4:$K1802,$D$4:$D1802,$D1802))</f>
        <v/>
      </c>
      <c r="M1802" s="80"/>
      <c r="N1802" s="80"/>
      <c r="O1802" s="94"/>
      <c r="P1802" s="26" t="str">
        <f t="shared" si="86"/>
        <v/>
      </c>
      <c r="Q1802" s="80"/>
      <c r="R1802" s="80"/>
      <c r="S1802" s="80"/>
      <c r="T1802" s="82"/>
      <c r="U1802" s="80"/>
      <c r="V1802" s="80"/>
      <c r="W1802" s="80"/>
    </row>
    <row r="1803" ht="18" customHeight="1" spans="1:23">
      <c r="A1803" s="87" t="str">
        <f t="shared" si="84"/>
        <v/>
      </c>
      <c r="B1803" s="78"/>
      <c r="C1803" s="80"/>
      <c r="D1803" s="79"/>
      <c r="E1803" s="80"/>
      <c r="F1803" s="79"/>
      <c r="G1803" s="25" t="str">
        <f t="shared" si="85"/>
        <v/>
      </c>
      <c r="H1803" s="88"/>
      <c r="I1803" s="93"/>
      <c r="J1803" s="97"/>
      <c r="K1803" s="88"/>
      <c r="L1803" s="25" t="str">
        <f>IF($D1803="","",SUMIFS($H$4:$H1803,$D$4:$D1803,$D1803)+SUMIFS($I$4:$I1803,$D$4:$D1803,$D1803)-SUMIFS($J$4:$J1803,$D$4:$D1803,$D1803)-SUMIFS($K$4:$K1803,$D$4:$D1803,$D1803))</f>
        <v/>
      </c>
      <c r="M1803" s="80"/>
      <c r="N1803" s="80"/>
      <c r="O1803" s="94"/>
      <c r="P1803" s="26" t="str">
        <f t="shared" si="86"/>
        <v/>
      </c>
      <c r="Q1803" s="80"/>
      <c r="R1803" s="80"/>
      <c r="S1803" s="80"/>
      <c r="T1803" s="82"/>
      <c r="U1803" s="80"/>
      <c r="V1803" s="80"/>
      <c r="W1803" s="80"/>
    </row>
    <row r="1804" ht="18" customHeight="1" spans="1:23">
      <c r="A1804" s="87" t="str">
        <f t="shared" si="84"/>
        <v/>
      </c>
      <c r="B1804" s="78"/>
      <c r="C1804" s="80"/>
      <c r="D1804" s="79"/>
      <c r="E1804" s="80"/>
      <c r="F1804" s="79"/>
      <c r="G1804" s="25" t="str">
        <f t="shared" si="85"/>
        <v/>
      </c>
      <c r="H1804" s="88"/>
      <c r="I1804" s="93"/>
      <c r="J1804" s="97"/>
      <c r="K1804" s="88"/>
      <c r="L1804" s="25" t="str">
        <f>IF($D1804="","",SUMIFS($H$4:$H1804,$D$4:$D1804,$D1804)+SUMIFS($I$4:$I1804,$D$4:$D1804,$D1804)-SUMIFS($J$4:$J1804,$D$4:$D1804,$D1804)-SUMIFS($K$4:$K1804,$D$4:$D1804,$D1804))</f>
        <v/>
      </c>
      <c r="M1804" s="80"/>
      <c r="N1804" s="80"/>
      <c r="O1804" s="94"/>
      <c r="P1804" s="26" t="str">
        <f t="shared" si="86"/>
        <v/>
      </c>
      <c r="Q1804" s="80"/>
      <c r="R1804" s="80"/>
      <c r="S1804" s="80"/>
      <c r="T1804" s="82"/>
      <c r="U1804" s="80"/>
      <c r="V1804" s="80"/>
      <c r="W1804" s="80"/>
    </row>
    <row r="1805" ht="18" customHeight="1" spans="1:23">
      <c r="A1805" s="87" t="str">
        <f t="shared" si="84"/>
        <v/>
      </c>
      <c r="B1805" s="78"/>
      <c r="C1805" s="80"/>
      <c r="D1805" s="79"/>
      <c r="E1805" s="80"/>
      <c r="F1805" s="79"/>
      <c r="G1805" s="25" t="str">
        <f t="shared" si="85"/>
        <v/>
      </c>
      <c r="H1805" s="88"/>
      <c r="I1805" s="93"/>
      <c r="J1805" s="97"/>
      <c r="K1805" s="88"/>
      <c r="L1805" s="25" t="str">
        <f>IF($D1805="","",SUMIFS($H$4:$H1805,$D$4:$D1805,$D1805)+SUMIFS($I$4:$I1805,$D$4:$D1805,$D1805)-SUMIFS($J$4:$J1805,$D$4:$D1805,$D1805)-SUMIFS($K$4:$K1805,$D$4:$D1805,$D1805))</f>
        <v/>
      </c>
      <c r="M1805" s="80"/>
      <c r="N1805" s="80"/>
      <c r="O1805" s="94"/>
      <c r="P1805" s="26" t="str">
        <f t="shared" si="86"/>
        <v/>
      </c>
      <c r="Q1805" s="80"/>
      <c r="R1805" s="80"/>
      <c r="S1805" s="80"/>
      <c r="T1805" s="82"/>
      <c r="U1805" s="80"/>
      <c r="V1805" s="80"/>
      <c r="W1805" s="80"/>
    </row>
    <row r="1806" ht="18" customHeight="1" spans="1:23">
      <c r="A1806" s="87" t="str">
        <f t="shared" si="84"/>
        <v/>
      </c>
      <c r="B1806" s="78"/>
      <c r="C1806" s="80"/>
      <c r="D1806" s="79"/>
      <c r="E1806" s="80"/>
      <c r="F1806" s="79"/>
      <c r="G1806" s="25" t="str">
        <f t="shared" si="85"/>
        <v/>
      </c>
      <c r="H1806" s="88"/>
      <c r="I1806" s="93"/>
      <c r="J1806" s="97"/>
      <c r="K1806" s="88"/>
      <c r="L1806" s="25" t="str">
        <f>IF($D1806="","",SUMIFS($H$4:$H1806,$D$4:$D1806,$D1806)+SUMIFS($I$4:$I1806,$D$4:$D1806,$D1806)-SUMIFS($J$4:$J1806,$D$4:$D1806,$D1806)-SUMIFS($K$4:$K1806,$D$4:$D1806,$D1806))</f>
        <v/>
      </c>
      <c r="M1806" s="80"/>
      <c r="N1806" s="80"/>
      <c r="O1806" s="94"/>
      <c r="P1806" s="26" t="str">
        <f t="shared" si="86"/>
        <v/>
      </c>
      <c r="Q1806" s="80"/>
      <c r="R1806" s="80"/>
      <c r="S1806" s="80"/>
      <c r="T1806" s="82"/>
      <c r="U1806" s="80"/>
      <c r="V1806" s="80"/>
      <c r="W1806" s="80"/>
    </row>
    <row r="1807" ht="18" customHeight="1" spans="1:23">
      <c r="A1807" s="87" t="str">
        <f t="shared" si="84"/>
        <v/>
      </c>
      <c r="B1807" s="78"/>
      <c r="C1807" s="80"/>
      <c r="D1807" s="79"/>
      <c r="E1807" s="80"/>
      <c r="F1807" s="79"/>
      <c r="G1807" s="25" t="str">
        <f t="shared" si="85"/>
        <v/>
      </c>
      <c r="H1807" s="88"/>
      <c r="I1807" s="93"/>
      <c r="J1807" s="97"/>
      <c r="K1807" s="88"/>
      <c r="L1807" s="25" t="str">
        <f>IF($D1807="","",SUMIFS($H$4:$H1807,$D$4:$D1807,$D1807)+SUMIFS($I$4:$I1807,$D$4:$D1807,$D1807)-SUMIFS($J$4:$J1807,$D$4:$D1807,$D1807)-SUMIFS($K$4:$K1807,$D$4:$D1807,$D1807))</f>
        <v/>
      </c>
      <c r="M1807" s="80"/>
      <c r="N1807" s="80"/>
      <c r="O1807" s="94"/>
      <c r="P1807" s="26" t="str">
        <f t="shared" si="86"/>
        <v/>
      </c>
      <c r="Q1807" s="80"/>
      <c r="R1807" s="80"/>
      <c r="S1807" s="80"/>
      <c r="T1807" s="82"/>
      <c r="U1807" s="80"/>
      <c r="V1807" s="80"/>
      <c r="W1807" s="80"/>
    </row>
    <row r="1808" ht="18" customHeight="1" spans="1:23">
      <c r="A1808" s="87" t="str">
        <f t="shared" si="84"/>
        <v/>
      </c>
      <c r="B1808" s="78"/>
      <c r="C1808" s="80"/>
      <c r="D1808" s="79"/>
      <c r="E1808" s="80"/>
      <c r="F1808" s="79"/>
      <c r="G1808" s="25" t="str">
        <f t="shared" si="85"/>
        <v/>
      </c>
      <c r="H1808" s="88"/>
      <c r="I1808" s="93"/>
      <c r="J1808" s="97"/>
      <c r="K1808" s="88"/>
      <c r="L1808" s="25" t="str">
        <f>IF($D1808="","",SUMIFS($H$4:$H1808,$D$4:$D1808,$D1808)+SUMIFS($I$4:$I1808,$D$4:$D1808,$D1808)-SUMIFS($J$4:$J1808,$D$4:$D1808,$D1808)-SUMIFS($K$4:$K1808,$D$4:$D1808,$D1808))</f>
        <v/>
      </c>
      <c r="M1808" s="80"/>
      <c r="N1808" s="80"/>
      <c r="O1808" s="94"/>
      <c r="P1808" s="26" t="str">
        <f t="shared" si="86"/>
        <v/>
      </c>
      <c r="Q1808" s="80"/>
      <c r="R1808" s="80"/>
      <c r="S1808" s="80"/>
      <c r="T1808" s="82"/>
      <c r="U1808" s="80"/>
      <c r="V1808" s="80"/>
      <c r="W1808" s="80"/>
    </row>
    <row r="1809" ht="18" customHeight="1" spans="1:23">
      <c r="A1809" s="87" t="str">
        <f t="shared" si="84"/>
        <v/>
      </c>
      <c r="B1809" s="78"/>
      <c r="C1809" s="80"/>
      <c r="D1809" s="79"/>
      <c r="E1809" s="80"/>
      <c r="F1809" s="79"/>
      <c r="G1809" s="25" t="str">
        <f t="shared" si="85"/>
        <v/>
      </c>
      <c r="H1809" s="88"/>
      <c r="I1809" s="93"/>
      <c r="J1809" s="97"/>
      <c r="K1809" s="88"/>
      <c r="L1809" s="25" t="str">
        <f>IF($D1809="","",SUMIFS($H$4:$H1809,$D$4:$D1809,$D1809)+SUMIFS($I$4:$I1809,$D$4:$D1809,$D1809)-SUMIFS($J$4:$J1809,$D$4:$D1809,$D1809)-SUMIFS($K$4:$K1809,$D$4:$D1809,$D1809))</f>
        <v/>
      </c>
      <c r="M1809" s="80"/>
      <c r="N1809" s="80"/>
      <c r="O1809" s="94"/>
      <c r="P1809" s="26" t="str">
        <f t="shared" si="86"/>
        <v/>
      </c>
      <c r="Q1809" s="80"/>
      <c r="R1809" s="80"/>
      <c r="S1809" s="80"/>
      <c r="T1809" s="82"/>
      <c r="U1809" s="80"/>
      <c r="V1809" s="80"/>
      <c r="W1809" s="80"/>
    </row>
    <row r="1810" ht="18" customHeight="1" spans="1:23">
      <c r="A1810" s="87" t="str">
        <f t="shared" si="84"/>
        <v/>
      </c>
      <c r="B1810" s="78"/>
      <c r="C1810" s="80"/>
      <c r="D1810" s="79"/>
      <c r="E1810" s="80"/>
      <c r="F1810" s="79"/>
      <c r="G1810" s="25" t="str">
        <f t="shared" si="85"/>
        <v/>
      </c>
      <c r="H1810" s="88"/>
      <c r="I1810" s="93"/>
      <c r="J1810" s="97"/>
      <c r="K1810" s="88"/>
      <c r="L1810" s="25" t="str">
        <f>IF($D1810="","",SUMIFS($H$4:$H1810,$D$4:$D1810,$D1810)+SUMIFS($I$4:$I1810,$D$4:$D1810,$D1810)-SUMIFS($J$4:$J1810,$D$4:$D1810,$D1810)-SUMIFS($K$4:$K1810,$D$4:$D1810,$D1810))</f>
        <v/>
      </c>
      <c r="M1810" s="80"/>
      <c r="N1810" s="80"/>
      <c r="O1810" s="94"/>
      <c r="P1810" s="26" t="str">
        <f t="shared" si="86"/>
        <v/>
      </c>
      <c r="Q1810" s="80"/>
      <c r="R1810" s="80"/>
      <c r="S1810" s="80"/>
      <c r="T1810" s="82"/>
      <c r="U1810" s="80"/>
      <c r="V1810" s="80"/>
      <c r="W1810" s="80"/>
    </row>
    <row r="1811" ht="18" customHeight="1" spans="1:23">
      <c r="A1811" s="87" t="str">
        <f t="shared" si="84"/>
        <v/>
      </c>
      <c r="B1811" s="78"/>
      <c r="C1811" s="80"/>
      <c r="D1811" s="79"/>
      <c r="E1811" s="80"/>
      <c r="F1811" s="79"/>
      <c r="G1811" s="25" t="str">
        <f t="shared" si="85"/>
        <v/>
      </c>
      <c r="H1811" s="88"/>
      <c r="I1811" s="93"/>
      <c r="J1811" s="97"/>
      <c r="K1811" s="88"/>
      <c r="L1811" s="25" t="str">
        <f>IF($D1811="","",SUMIFS($H$4:$H1811,$D$4:$D1811,$D1811)+SUMIFS($I$4:$I1811,$D$4:$D1811,$D1811)-SUMIFS($J$4:$J1811,$D$4:$D1811,$D1811)-SUMIFS($K$4:$K1811,$D$4:$D1811,$D1811))</f>
        <v/>
      </c>
      <c r="M1811" s="80"/>
      <c r="N1811" s="80"/>
      <c r="O1811" s="94"/>
      <c r="P1811" s="26" t="str">
        <f t="shared" si="86"/>
        <v/>
      </c>
      <c r="Q1811" s="80"/>
      <c r="R1811" s="80"/>
      <c r="S1811" s="80"/>
      <c r="T1811" s="82"/>
      <c r="U1811" s="80"/>
      <c r="V1811" s="80"/>
      <c r="W1811" s="80"/>
    </row>
    <row r="1812" ht="18" customHeight="1" spans="1:23">
      <c r="A1812" s="87" t="str">
        <f t="shared" si="84"/>
        <v/>
      </c>
      <c r="B1812" s="78"/>
      <c r="C1812" s="80"/>
      <c r="D1812" s="79"/>
      <c r="E1812" s="80"/>
      <c r="F1812" s="79"/>
      <c r="G1812" s="25" t="str">
        <f t="shared" si="85"/>
        <v/>
      </c>
      <c r="H1812" s="88"/>
      <c r="I1812" s="93"/>
      <c r="J1812" s="97"/>
      <c r="K1812" s="88"/>
      <c r="L1812" s="25" t="str">
        <f>IF($D1812="","",SUMIFS($H$4:$H1812,$D$4:$D1812,$D1812)+SUMIFS($I$4:$I1812,$D$4:$D1812,$D1812)-SUMIFS($J$4:$J1812,$D$4:$D1812,$D1812)-SUMIFS($K$4:$K1812,$D$4:$D1812,$D1812))</f>
        <v/>
      </c>
      <c r="M1812" s="80"/>
      <c r="N1812" s="80"/>
      <c r="O1812" s="94"/>
      <c r="P1812" s="26" t="str">
        <f t="shared" si="86"/>
        <v/>
      </c>
      <c r="Q1812" s="80"/>
      <c r="R1812" s="80"/>
      <c r="S1812" s="80"/>
      <c r="T1812" s="82"/>
      <c r="U1812" s="80"/>
      <c r="V1812" s="80"/>
      <c r="W1812" s="80"/>
    </row>
    <row r="1813" ht="18" customHeight="1" spans="1:23">
      <c r="A1813" s="87" t="str">
        <f t="shared" si="84"/>
        <v/>
      </c>
      <c r="B1813" s="78"/>
      <c r="C1813" s="80"/>
      <c r="D1813" s="79"/>
      <c r="E1813" s="80"/>
      <c r="F1813" s="79"/>
      <c r="G1813" s="25" t="str">
        <f t="shared" si="85"/>
        <v/>
      </c>
      <c r="H1813" s="88"/>
      <c r="I1813" s="93"/>
      <c r="J1813" s="97"/>
      <c r="K1813" s="88"/>
      <c r="L1813" s="25" t="str">
        <f>IF($D1813="","",SUMIFS($H$4:$H1813,$D$4:$D1813,$D1813)+SUMIFS($I$4:$I1813,$D$4:$D1813,$D1813)-SUMIFS($J$4:$J1813,$D$4:$D1813,$D1813)-SUMIFS($K$4:$K1813,$D$4:$D1813,$D1813))</f>
        <v/>
      </c>
      <c r="M1813" s="80"/>
      <c r="N1813" s="80"/>
      <c r="O1813" s="94"/>
      <c r="P1813" s="26" t="str">
        <f t="shared" si="86"/>
        <v/>
      </c>
      <c r="Q1813" s="80"/>
      <c r="R1813" s="80"/>
      <c r="S1813" s="80"/>
      <c r="T1813" s="82"/>
      <c r="U1813" s="80"/>
      <c r="V1813" s="80"/>
      <c r="W1813" s="80"/>
    </row>
    <row r="1814" ht="18" customHeight="1" spans="1:23">
      <c r="A1814" s="87" t="str">
        <f t="shared" si="84"/>
        <v/>
      </c>
      <c r="B1814" s="78"/>
      <c r="C1814" s="80"/>
      <c r="D1814" s="79"/>
      <c r="E1814" s="80"/>
      <c r="F1814" s="79"/>
      <c r="G1814" s="25" t="str">
        <f t="shared" si="85"/>
        <v/>
      </c>
      <c r="H1814" s="88"/>
      <c r="I1814" s="93"/>
      <c r="J1814" s="97"/>
      <c r="K1814" s="88"/>
      <c r="L1814" s="25" t="str">
        <f>IF($D1814="","",SUMIFS($H$4:$H1814,$D$4:$D1814,$D1814)+SUMIFS($I$4:$I1814,$D$4:$D1814,$D1814)-SUMIFS($J$4:$J1814,$D$4:$D1814,$D1814)-SUMIFS($K$4:$K1814,$D$4:$D1814,$D1814))</f>
        <v/>
      </c>
      <c r="M1814" s="80"/>
      <c r="N1814" s="80"/>
      <c r="O1814" s="94"/>
      <c r="P1814" s="26" t="str">
        <f t="shared" si="86"/>
        <v/>
      </c>
      <c r="Q1814" s="80"/>
      <c r="R1814" s="80"/>
      <c r="S1814" s="80"/>
      <c r="T1814" s="82"/>
      <c r="U1814" s="80"/>
      <c r="V1814" s="80"/>
      <c r="W1814" s="80"/>
    </row>
    <row r="1815" ht="18" customHeight="1" spans="1:23">
      <c r="A1815" s="87" t="str">
        <f t="shared" si="84"/>
        <v/>
      </c>
      <c r="B1815" s="78"/>
      <c r="C1815" s="80"/>
      <c r="D1815" s="79"/>
      <c r="E1815" s="80"/>
      <c r="F1815" s="79"/>
      <c r="G1815" s="25" t="str">
        <f t="shared" si="85"/>
        <v/>
      </c>
      <c r="H1815" s="88"/>
      <c r="I1815" s="93"/>
      <c r="J1815" s="97"/>
      <c r="K1815" s="88"/>
      <c r="L1815" s="25" t="str">
        <f>IF($D1815="","",SUMIFS($H$4:$H1815,$D$4:$D1815,$D1815)+SUMIFS($I$4:$I1815,$D$4:$D1815,$D1815)-SUMIFS($J$4:$J1815,$D$4:$D1815,$D1815)-SUMIFS($K$4:$K1815,$D$4:$D1815,$D1815))</f>
        <v/>
      </c>
      <c r="M1815" s="80"/>
      <c r="N1815" s="80"/>
      <c r="O1815" s="94"/>
      <c r="P1815" s="26" t="str">
        <f t="shared" si="86"/>
        <v/>
      </c>
      <c r="Q1815" s="80"/>
      <c r="R1815" s="80"/>
      <c r="S1815" s="80"/>
      <c r="T1815" s="82"/>
      <c r="U1815" s="80"/>
      <c r="V1815" s="80"/>
      <c r="W1815" s="80"/>
    </row>
    <row r="1816" ht="18" customHeight="1" spans="1:23">
      <c r="A1816" s="87" t="str">
        <f t="shared" si="84"/>
        <v/>
      </c>
      <c r="B1816" s="78"/>
      <c r="C1816" s="80"/>
      <c r="D1816" s="79"/>
      <c r="E1816" s="80"/>
      <c r="F1816" s="79"/>
      <c r="G1816" s="25" t="str">
        <f t="shared" si="85"/>
        <v/>
      </c>
      <c r="H1816" s="88"/>
      <c r="I1816" s="93"/>
      <c r="J1816" s="97"/>
      <c r="K1816" s="88"/>
      <c r="L1816" s="25" t="str">
        <f>IF($D1816="","",SUMIFS($H$4:$H1816,$D$4:$D1816,$D1816)+SUMIFS($I$4:$I1816,$D$4:$D1816,$D1816)-SUMIFS($J$4:$J1816,$D$4:$D1816,$D1816)-SUMIFS($K$4:$K1816,$D$4:$D1816,$D1816))</f>
        <v/>
      </c>
      <c r="M1816" s="80"/>
      <c r="N1816" s="80"/>
      <c r="O1816" s="94"/>
      <c r="P1816" s="26" t="str">
        <f t="shared" si="86"/>
        <v/>
      </c>
      <c r="Q1816" s="80"/>
      <c r="R1816" s="80"/>
      <c r="S1816" s="80"/>
      <c r="T1816" s="82"/>
      <c r="U1816" s="80"/>
      <c r="V1816" s="80"/>
      <c r="W1816" s="80"/>
    </row>
    <row r="1817" ht="18" customHeight="1" spans="1:23">
      <c r="A1817" s="87" t="str">
        <f t="shared" si="84"/>
        <v/>
      </c>
      <c r="B1817" s="78"/>
      <c r="C1817" s="80"/>
      <c r="D1817" s="79"/>
      <c r="E1817" s="80"/>
      <c r="F1817" s="79"/>
      <c r="G1817" s="25" t="str">
        <f t="shared" si="85"/>
        <v/>
      </c>
      <c r="H1817" s="88"/>
      <c r="I1817" s="93"/>
      <c r="J1817" s="97"/>
      <c r="K1817" s="88"/>
      <c r="L1817" s="25" t="str">
        <f>IF($D1817="","",SUMIFS($H$4:$H1817,$D$4:$D1817,$D1817)+SUMIFS($I$4:$I1817,$D$4:$D1817,$D1817)-SUMIFS($J$4:$J1817,$D$4:$D1817,$D1817)-SUMIFS($K$4:$K1817,$D$4:$D1817,$D1817))</f>
        <v/>
      </c>
      <c r="M1817" s="80"/>
      <c r="N1817" s="80"/>
      <c r="O1817" s="94"/>
      <c r="P1817" s="26" t="str">
        <f t="shared" si="86"/>
        <v/>
      </c>
      <c r="Q1817" s="80"/>
      <c r="R1817" s="80"/>
      <c r="S1817" s="80"/>
      <c r="T1817" s="82"/>
      <c r="U1817" s="80"/>
      <c r="V1817" s="80"/>
      <c r="W1817" s="80"/>
    </row>
    <row r="1818" ht="18" customHeight="1" spans="1:23">
      <c r="A1818" s="87" t="str">
        <f t="shared" si="84"/>
        <v/>
      </c>
      <c r="B1818" s="78"/>
      <c r="C1818" s="80"/>
      <c r="D1818" s="79"/>
      <c r="E1818" s="80"/>
      <c r="F1818" s="79"/>
      <c r="G1818" s="25" t="str">
        <f t="shared" si="85"/>
        <v/>
      </c>
      <c r="H1818" s="88"/>
      <c r="I1818" s="93"/>
      <c r="J1818" s="97"/>
      <c r="K1818" s="88"/>
      <c r="L1818" s="25" t="str">
        <f>IF($D1818="","",SUMIFS($H$4:$H1818,$D$4:$D1818,$D1818)+SUMIFS($I$4:$I1818,$D$4:$D1818,$D1818)-SUMIFS($J$4:$J1818,$D$4:$D1818,$D1818)-SUMIFS($K$4:$K1818,$D$4:$D1818,$D1818))</f>
        <v/>
      </c>
      <c r="M1818" s="80"/>
      <c r="N1818" s="80"/>
      <c r="O1818" s="94"/>
      <c r="P1818" s="26" t="str">
        <f t="shared" si="86"/>
        <v/>
      </c>
      <c r="Q1818" s="80"/>
      <c r="R1818" s="80"/>
      <c r="S1818" s="80"/>
      <c r="T1818" s="82"/>
      <c r="U1818" s="80"/>
      <c r="V1818" s="80"/>
      <c r="W1818" s="80"/>
    </row>
    <row r="1819" ht="18" customHeight="1" spans="1:23">
      <c r="A1819" s="87" t="str">
        <f t="shared" si="84"/>
        <v/>
      </c>
      <c r="B1819" s="78"/>
      <c r="C1819" s="80"/>
      <c r="D1819" s="79"/>
      <c r="E1819" s="80"/>
      <c r="F1819" s="79"/>
      <c r="G1819" s="25" t="str">
        <f t="shared" si="85"/>
        <v/>
      </c>
      <c r="H1819" s="88"/>
      <c r="I1819" s="93"/>
      <c r="J1819" s="97"/>
      <c r="K1819" s="88"/>
      <c r="L1819" s="25" t="str">
        <f>IF($D1819="","",SUMIFS($H$4:$H1819,$D$4:$D1819,$D1819)+SUMIFS($I$4:$I1819,$D$4:$D1819,$D1819)-SUMIFS($J$4:$J1819,$D$4:$D1819,$D1819)-SUMIFS($K$4:$K1819,$D$4:$D1819,$D1819))</f>
        <v/>
      </c>
      <c r="M1819" s="80"/>
      <c r="N1819" s="80"/>
      <c r="O1819" s="94"/>
      <c r="P1819" s="26" t="str">
        <f t="shared" si="86"/>
        <v/>
      </c>
      <c r="Q1819" s="80"/>
      <c r="R1819" s="80"/>
      <c r="S1819" s="80"/>
      <c r="T1819" s="82"/>
      <c r="U1819" s="80"/>
      <c r="V1819" s="80"/>
      <c r="W1819" s="80"/>
    </row>
    <row r="1820" ht="18" customHeight="1" spans="1:23">
      <c r="A1820" s="87" t="str">
        <f t="shared" si="84"/>
        <v/>
      </c>
      <c r="B1820" s="78"/>
      <c r="C1820" s="80"/>
      <c r="D1820" s="79"/>
      <c r="E1820" s="80"/>
      <c r="F1820" s="79"/>
      <c r="G1820" s="25" t="str">
        <f t="shared" si="85"/>
        <v/>
      </c>
      <c r="H1820" s="88"/>
      <c r="I1820" s="93"/>
      <c r="J1820" s="97"/>
      <c r="K1820" s="88"/>
      <c r="L1820" s="25" t="str">
        <f>IF($D1820="","",SUMIFS($H$4:$H1820,$D$4:$D1820,$D1820)+SUMIFS($I$4:$I1820,$D$4:$D1820,$D1820)-SUMIFS($J$4:$J1820,$D$4:$D1820,$D1820)-SUMIFS($K$4:$K1820,$D$4:$D1820,$D1820))</f>
        <v/>
      </c>
      <c r="M1820" s="80"/>
      <c r="N1820" s="80"/>
      <c r="O1820" s="94"/>
      <c r="P1820" s="26" t="str">
        <f t="shared" si="86"/>
        <v/>
      </c>
      <c r="Q1820" s="80"/>
      <c r="R1820" s="80"/>
      <c r="S1820" s="80"/>
      <c r="T1820" s="82"/>
      <c r="U1820" s="80"/>
      <c r="V1820" s="80"/>
      <c r="W1820" s="80"/>
    </row>
    <row r="1821" ht="18" customHeight="1" spans="1:23">
      <c r="A1821" s="87" t="str">
        <f t="shared" si="84"/>
        <v/>
      </c>
      <c r="B1821" s="78"/>
      <c r="C1821" s="80"/>
      <c r="D1821" s="79"/>
      <c r="E1821" s="80"/>
      <c r="F1821" s="79"/>
      <c r="G1821" s="25" t="str">
        <f t="shared" si="85"/>
        <v/>
      </c>
      <c r="H1821" s="88"/>
      <c r="I1821" s="93"/>
      <c r="J1821" s="97"/>
      <c r="K1821" s="88"/>
      <c r="L1821" s="25" t="str">
        <f>IF($D1821="","",SUMIFS($H$4:$H1821,$D$4:$D1821,$D1821)+SUMIFS($I$4:$I1821,$D$4:$D1821,$D1821)-SUMIFS($J$4:$J1821,$D$4:$D1821,$D1821)-SUMIFS($K$4:$K1821,$D$4:$D1821,$D1821))</f>
        <v/>
      </c>
      <c r="M1821" s="80"/>
      <c r="N1821" s="80"/>
      <c r="O1821" s="94"/>
      <c r="P1821" s="26" t="str">
        <f t="shared" si="86"/>
        <v/>
      </c>
      <c r="Q1821" s="80"/>
      <c r="R1821" s="80"/>
      <c r="S1821" s="80"/>
      <c r="T1821" s="82"/>
      <c r="U1821" s="80"/>
      <c r="V1821" s="80"/>
      <c r="W1821" s="80"/>
    </row>
    <row r="1822" ht="18" customHeight="1" spans="1:23">
      <c r="A1822" s="87" t="str">
        <f t="shared" si="84"/>
        <v/>
      </c>
      <c r="B1822" s="78"/>
      <c r="C1822" s="80"/>
      <c r="D1822" s="79"/>
      <c r="E1822" s="80"/>
      <c r="F1822" s="79"/>
      <c r="G1822" s="25" t="str">
        <f t="shared" si="85"/>
        <v/>
      </c>
      <c r="H1822" s="88"/>
      <c r="I1822" s="93"/>
      <c r="J1822" s="97"/>
      <c r="K1822" s="88"/>
      <c r="L1822" s="25" t="str">
        <f>IF($D1822="","",SUMIFS($H$4:$H1822,$D$4:$D1822,$D1822)+SUMIFS($I$4:$I1822,$D$4:$D1822,$D1822)-SUMIFS($J$4:$J1822,$D$4:$D1822,$D1822)-SUMIFS($K$4:$K1822,$D$4:$D1822,$D1822))</f>
        <v/>
      </c>
      <c r="M1822" s="80"/>
      <c r="N1822" s="80"/>
      <c r="O1822" s="94"/>
      <c r="P1822" s="26" t="str">
        <f t="shared" si="86"/>
        <v/>
      </c>
      <c r="Q1822" s="80"/>
      <c r="R1822" s="80"/>
      <c r="S1822" s="80"/>
      <c r="T1822" s="82"/>
      <c r="U1822" s="80"/>
      <c r="V1822" s="80"/>
      <c r="W1822" s="80"/>
    </row>
    <row r="1823" ht="18" customHeight="1" spans="1:23">
      <c r="A1823" s="87" t="str">
        <f t="shared" si="84"/>
        <v/>
      </c>
      <c r="B1823" s="78"/>
      <c r="C1823" s="80"/>
      <c r="D1823" s="79"/>
      <c r="E1823" s="80"/>
      <c r="F1823" s="79"/>
      <c r="G1823" s="25" t="str">
        <f t="shared" si="85"/>
        <v/>
      </c>
      <c r="H1823" s="88"/>
      <c r="I1823" s="93"/>
      <c r="J1823" s="97"/>
      <c r="K1823" s="88"/>
      <c r="L1823" s="25" t="str">
        <f>IF($D1823="","",SUMIFS($H$4:$H1823,$D$4:$D1823,$D1823)+SUMIFS($I$4:$I1823,$D$4:$D1823,$D1823)-SUMIFS($J$4:$J1823,$D$4:$D1823,$D1823)-SUMIFS($K$4:$K1823,$D$4:$D1823,$D1823))</f>
        <v/>
      </c>
      <c r="M1823" s="80"/>
      <c r="N1823" s="80"/>
      <c r="O1823" s="94"/>
      <c r="P1823" s="26" t="str">
        <f t="shared" si="86"/>
        <v/>
      </c>
      <c r="Q1823" s="80"/>
      <c r="R1823" s="80"/>
      <c r="S1823" s="80"/>
      <c r="T1823" s="82"/>
      <c r="U1823" s="80"/>
      <c r="V1823" s="80"/>
      <c r="W1823" s="80"/>
    </row>
    <row r="1824" ht="18" customHeight="1" spans="1:23">
      <c r="A1824" s="87" t="str">
        <f t="shared" si="84"/>
        <v/>
      </c>
      <c r="B1824" s="78"/>
      <c r="C1824" s="80"/>
      <c r="D1824" s="79"/>
      <c r="E1824" s="80"/>
      <c r="F1824" s="79"/>
      <c r="G1824" s="25" t="str">
        <f t="shared" si="85"/>
        <v/>
      </c>
      <c r="H1824" s="88"/>
      <c r="I1824" s="93"/>
      <c r="J1824" s="97"/>
      <c r="K1824" s="88"/>
      <c r="L1824" s="25" t="str">
        <f>IF($D1824="","",SUMIFS($H$4:$H1824,$D$4:$D1824,$D1824)+SUMIFS($I$4:$I1824,$D$4:$D1824,$D1824)-SUMIFS($J$4:$J1824,$D$4:$D1824,$D1824)-SUMIFS($K$4:$K1824,$D$4:$D1824,$D1824))</f>
        <v/>
      </c>
      <c r="M1824" s="80"/>
      <c r="N1824" s="80"/>
      <c r="O1824" s="94"/>
      <c r="P1824" s="26" t="str">
        <f t="shared" si="86"/>
        <v/>
      </c>
      <c r="Q1824" s="80"/>
      <c r="R1824" s="80"/>
      <c r="S1824" s="80"/>
      <c r="T1824" s="82"/>
      <c r="U1824" s="80"/>
      <c r="V1824" s="80"/>
      <c r="W1824" s="80"/>
    </row>
    <row r="1825" ht="18" customHeight="1" spans="1:23">
      <c r="A1825" s="87" t="str">
        <f t="shared" si="84"/>
        <v/>
      </c>
      <c r="B1825" s="78"/>
      <c r="C1825" s="80"/>
      <c r="D1825" s="79"/>
      <c r="E1825" s="80"/>
      <c r="F1825" s="79"/>
      <c r="G1825" s="25" t="str">
        <f t="shared" si="85"/>
        <v/>
      </c>
      <c r="H1825" s="88"/>
      <c r="I1825" s="93"/>
      <c r="J1825" s="97"/>
      <c r="K1825" s="88"/>
      <c r="L1825" s="25" t="str">
        <f>IF($D1825="","",SUMIFS($H$4:$H1825,$D$4:$D1825,$D1825)+SUMIFS($I$4:$I1825,$D$4:$D1825,$D1825)-SUMIFS($J$4:$J1825,$D$4:$D1825,$D1825)-SUMIFS($K$4:$K1825,$D$4:$D1825,$D1825))</f>
        <v/>
      </c>
      <c r="M1825" s="80"/>
      <c r="N1825" s="80"/>
      <c r="O1825" s="94"/>
      <c r="P1825" s="26" t="str">
        <f t="shared" si="86"/>
        <v/>
      </c>
      <c r="Q1825" s="80"/>
      <c r="R1825" s="80"/>
      <c r="S1825" s="80"/>
      <c r="T1825" s="82"/>
      <c r="U1825" s="80"/>
      <c r="V1825" s="80"/>
      <c r="W1825" s="80"/>
    </row>
    <row r="1826" ht="18" customHeight="1" spans="1:23">
      <c r="A1826" s="87" t="str">
        <f t="shared" si="84"/>
        <v/>
      </c>
      <c r="B1826" s="78"/>
      <c r="C1826" s="80"/>
      <c r="D1826" s="79"/>
      <c r="E1826" s="80"/>
      <c r="F1826" s="79"/>
      <c r="G1826" s="25" t="str">
        <f t="shared" si="85"/>
        <v/>
      </c>
      <c r="H1826" s="88"/>
      <c r="I1826" s="93"/>
      <c r="J1826" s="97"/>
      <c r="K1826" s="88"/>
      <c r="L1826" s="25" t="str">
        <f>IF($D1826="","",SUMIFS($H$4:$H1826,$D$4:$D1826,$D1826)+SUMIFS($I$4:$I1826,$D$4:$D1826,$D1826)-SUMIFS($J$4:$J1826,$D$4:$D1826,$D1826)-SUMIFS($K$4:$K1826,$D$4:$D1826,$D1826))</f>
        <v/>
      </c>
      <c r="M1826" s="80"/>
      <c r="N1826" s="80"/>
      <c r="O1826" s="94"/>
      <c r="P1826" s="26" t="str">
        <f t="shared" si="86"/>
        <v/>
      </c>
      <c r="Q1826" s="80"/>
      <c r="R1826" s="80"/>
      <c r="S1826" s="80"/>
      <c r="T1826" s="82"/>
      <c r="U1826" s="80"/>
      <c r="V1826" s="80"/>
      <c r="W1826" s="80"/>
    </row>
    <row r="1827" ht="18" customHeight="1" spans="1:23">
      <c r="A1827" s="87" t="str">
        <f t="shared" si="84"/>
        <v/>
      </c>
      <c r="B1827" s="78"/>
      <c r="C1827" s="80"/>
      <c r="D1827" s="79"/>
      <c r="E1827" s="80"/>
      <c r="F1827" s="79"/>
      <c r="G1827" s="25" t="str">
        <f t="shared" si="85"/>
        <v/>
      </c>
      <c r="H1827" s="88"/>
      <c r="I1827" s="93"/>
      <c r="J1827" s="97"/>
      <c r="K1827" s="88"/>
      <c r="L1827" s="25" t="str">
        <f>IF($D1827="","",SUMIFS($H$4:$H1827,$D$4:$D1827,$D1827)+SUMIFS($I$4:$I1827,$D$4:$D1827,$D1827)-SUMIFS($J$4:$J1827,$D$4:$D1827,$D1827)-SUMIFS($K$4:$K1827,$D$4:$D1827,$D1827))</f>
        <v/>
      </c>
      <c r="M1827" s="80"/>
      <c r="N1827" s="80"/>
      <c r="O1827" s="94"/>
      <c r="P1827" s="26" t="str">
        <f t="shared" si="86"/>
        <v/>
      </c>
      <c r="Q1827" s="80"/>
      <c r="R1827" s="80"/>
      <c r="S1827" s="80"/>
      <c r="T1827" s="82"/>
      <c r="U1827" s="80"/>
      <c r="V1827" s="80"/>
      <c r="W1827" s="80"/>
    </row>
    <row r="1828" ht="18" customHeight="1" spans="1:23">
      <c r="A1828" s="87" t="str">
        <f t="shared" si="84"/>
        <v/>
      </c>
      <c r="B1828" s="78"/>
      <c r="C1828" s="80"/>
      <c r="D1828" s="79"/>
      <c r="E1828" s="80"/>
      <c r="F1828" s="79"/>
      <c r="G1828" s="25" t="str">
        <f t="shared" si="85"/>
        <v/>
      </c>
      <c r="H1828" s="88"/>
      <c r="I1828" s="93"/>
      <c r="J1828" s="97"/>
      <c r="K1828" s="88"/>
      <c r="L1828" s="25" t="str">
        <f>IF($D1828="","",SUMIFS($H$4:$H1828,$D$4:$D1828,$D1828)+SUMIFS($I$4:$I1828,$D$4:$D1828,$D1828)-SUMIFS($J$4:$J1828,$D$4:$D1828,$D1828)-SUMIFS($K$4:$K1828,$D$4:$D1828,$D1828))</f>
        <v/>
      </c>
      <c r="M1828" s="80"/>
      <c r="N1828" s="80"/>
      <c r="O1828" s="94"/>
      <c r="P1828" s="26" t="str">
        <f t="shared" si="86"/>
        <v/>
      </c>
      <c r="Q1828" s="80"/>
      <c r="R1828" s="80"/>
      <c r="S1828" s="80"/>
      <c r="T1828" s="82"/>
      <c r="U1828" s="80"/>
      <c r="V1828" s="80"/>
      <c r="W1828" s="80"/>
    </row>
    <row r="1829" ht="18" customHeight="1" spans="1:23">
      <c r="A1829" s="87" t="str">
        <f t="shared" si="84"/>
        <v/>
      </c>
      <c r="B1829" s="78"/>
      <c r="C1829" s="80"/>
      <c r="D1829" s="79"/>
      <c r="E1829" s="80"/>
      <c r="F1829" s="79"/>
      <c r="G1829" s="25" t="str">
        <f t="shared" si="85"/>
        <v/>
      </c>
      <c r="H1829" s="88"/>
      <c r="I1829" s="93"/>
      <c r="J1829" s="97"/>
      <c r="K1829" s="88"/>
      <c r="L1829" s="25" t="str">
        <f>IF($D1829="","",SUMIFS($H$4:$H1829,$D$4:$D1829,$D1829)+SUMIFS($I$4:$I1829,$D$4:$D1829,$D1829)-SUMIFS($J$4:$J1829,$D$4:$D1829,$D1829)-SUMIFS($K$4:$K1829,$D$4:$D1829,$D1829))</f>
        <v/>
      </c>
      <c r="M1829" s="80"/>
      <c r="N1829" s="80"/>
      <c r="O1829" s="94"/>
      <c r="P1829" s="26" t="str">
        <f t="shared" si="86"/>
        <v/>
      </c>
      <c r="Q1829" s="80"/>
      <c r="R1829" s="80"/>
      <c r="S1829" s="80"/>
      <c r="T1829" s="82"/>
      <c r="U1829" s="80"/>
      <c r="V1829" s="80"/>
      <c r="W1829" s="80"/>
    </row>
    <row r="1830" ht="18" customHeight="1" spans="1:23">
      <c r="A1830" s="87" t="str">
        <f t="shared" si="84"/>
        <v/>
      </c>
      <c r="B1830" s="78"/>
      <c r="C1830" s="80"/>
      <c r="D1830" s="79"/>
      <c r="E1830" s="80"/>
      <c r="F1830" s="79"/>
      <c r="G1830" s="25" t="str">
        <f t="shared" si="85"/>
        <v/>
      </c>
      <c r="H1830" s="88"/>
      <c r="I1830" s="93"/>
      <c r="J1830" s="97"/>
      <c r="K1830" s="88"/>
      <c r="L1830" s="25" t="str">
        <f>IF($D1830="","",SUMIFS($H$4:$H1830,$D$4:$D1830,$D1830)+SUMIFS($I$4:$I1830,$D$4:$D1830,$D1830)-SUMIFS($J$4:$J1830,$D$4:$D1830,$D1830)-SUMIFS($K$4:$K1830,$D$4:$D1830,$D1830))</f>
        <v/>
      </c>
      <c r="M1830" s="80"/>
      <c r="N1830" s="80"/>
      <c r="O1830" s="94"/>
      <c r="P1830" s="26" t="str">
        <f t="shared" si="86"/>
        <v/>
      </c>
      <c r="Q1830" s="80"/>
      <c r="R1830" s="80"/>
      <c r="S1830" s="80"/>
      <c r="T1830" s="82"/>
      <c r="U1830" s="80"/>
      <c r="V1830" s="80"/>
      <c r="W1830" s="80"/>
    </row>
    <row r="1831" ht="18" customHeight="1" spans="1:23">
      <c r="A1831" s="87" t="str">
        <f t="shared" si="84"/>
        <v/>
      </c>
      <c r="B1831" s="78"/>
      <c r="C1831" s="80"/>
      <c r="D1831" s="79"/>
      <c r="E1831" s="80"/>
      <c r="F1831" s="79"/>
      <c r="G1831" s="25" t="str">
        <f t="shared" si="85"/>
        <v/>
      </c>
      <c r="H1831" s="88"/>
      <c r="I1831" s="93"/>
      <c r="J1831" s="97"/>
      <c r="K1831" s="88"/>
      <c r="L1831" s="25" t="str">
        <f>IF($D1831="","",SUMIFS($H$4:$H1831,$D$4:$D1831,$D1831)+SUMIFS($I$4:$I1831,$D$4:$D1831,$D1831)-SUMIFS($J$4:$J1831,$D$4:$D1831,$D1831)-SUMIFS($K$4:$K1831,$D$4:$D1831,$D1831))</f>
        <v/>
      </c>
      <c r="M1831" s="80"/>
      <c r="N1831" s="80"/>
      <c r="O1831" s="94"/>
      <c r="P1831" s="26" t="str">
        <f t="shared" si="86"/>
        <v/>
      </c>
      <c r="Q1831" s="80"/>
      <c r="R1831" s="80"/>
      <c r="S1831" s="80"/>
      <c r="T1831" s="82"/>
      <c r="U1831" s="80"/>
      <c r="V1831" s="80"/>
      <c r="W1831" s="80"/>
    </row>
    <row r="1832" ht="18" customHeight="1" spans="1:23">
      <c r="A1832" s="87" t="str">
        <f t="shared" si="84"/>
        <v/>
      </c>
      <c r="B1832" s="78"/>
      <c r="C1832" s="80"/>
      <c r="D1832" s="79"/>
      <c r="E1832" s="80"/>
      <c r="F1832" s="79"/>
      <c r="G1832" s="25" t="str">
        <f t="shared" si="85"/>
        <v/>
      </c>
      <c r="H1832" s="88"/>
      <c r="I1832" s="93"/>
      <c r="J1832" s="97"/>
      <c r="K1832" s="88"/>
      <c r="L1832" s="25" t="str">
        <f>IF($D1832="","",SUMIFS($H$4:$H1832,$D$4:$D1832,$D1832)+SUMIFS($I$4:$I1832,$D$4:$D1832,$D1832)-SUMIFS($J$4:$J1832,$D$4:$D1832,$D1832)-SUMIFS($K$4:$K1832,$D$4:$D1832,$D1832))</f>
        <v/>
      </c>
      <c r="M1832" s="80"/>
      <c r="N1832" s="80"/>
      <c r="O1832" s="94"/>
      <c r="P1832" s="26" t="str">
        <f t="shared" si="86"/>
        <v/>
      </c>
      <c r="Q1832" s="80"/>
      <c r="R1832" s="80"/>
      <c r="S1832" s="80"/>
      <c r="T1832" s="82"/>
      <c r="U1832" s="80"/>
      <c r="V1832" s="80"/>
      <c r="W1832" s="80"/>
    </row>
    <row r="1833" ht="18" customHeight="1" spans="1:23">
      <c r="A1833" s="87" t="str">
        <f t="shared" si="84"/>
        <v/>
      </c>
      <c r="B1833" s="78"/>
      <c r="C1833" s="80"/>
      <c r="D1833" s="79"/>
      <c r="E1833" s="80"/>
      <c r="F1833" s="79"/>
      <c r="G1833" s="25" t="str">
        <f t="shared" si="85"/>
        <v/>
      </c>
      <c r="H1833" s="88"/>
      <c r="I1833" s="93"/>
      <c r="J1833" s="97"/>
      <c r="K1833" s="88"/>
      <c r="L1833" s="25" t="str">
        <f>IF($D1833="","",SUMIFS($H$4:$H1833,$D$4:$D1833,$D1833)+SUMIFS($I$4:$I1833,$D$4:$D1833,$D1833)-SUMIFS($J$4:$J1833,$D$4:$D1833,$D1833)-SUMIFS($K$4:$K1833,$D$4:$D1833,$D1833))</f>
        <v/>
      </c>
      <c r="M1833" s="80"/>
      <c r="N1833" s="80"/>
      <c r="O1833" s="94"/>
      <c r="P1833" s="26" t="str">
        <f t="shared" si="86"/>
        <v/>
      </c>
      <c r="Q1833" s="80"/>
      <c r="R1833" s="80"/>
      <c r="S1833" s="80"/>
      <c r="T1833" s="82"/>
      <c r="U1833" s="80"/>
      <c r="V1833" s="80"/>
      <c r="W1833" s="80"/>
    </row>
    <row r="1834" ht="18" customHeight="1" spans="1:23">
      <c r="A1834" s="87" t="str">
        <f t="shared" si="84"/>
        <v/>
      </c>
      <c r="B1834" s="78"/>
      <c r="C1834" s="80"/>
      <c r="D1834" s="79"/>
      <c r="E1834" s="80"/>
      <c r="F1834" s="79"/>
      <c r="G1834" s="25" t="str">
        <f t="shared" si="85"/>
        <v/>
      </c>
      <c r="H1834" s="88"/>
      <c r="I1834" s="93"/>
      <c r="J1834" s="97"/>
      <c r="K1834" s="88"/>
      <c r="L1834" s="25" t="str">
        <f>IF($D1834="","",SUMIFS($H$4:$H1834,$D$4:$D1834,$D1834)+SUMIFS($I$4:$I1834,$D$4:$D1834,$D1834)-SUMIFS($J$4:$J1834,$D$4:$D1834,$D1834)-SUMIFS($K$4:$K1834,$D$4:$D1834,$D1834))</f>
        <v/>
      </c>
      <c r="M1834" s="80"/>
      <c r="N1834" s="80"/>
      <c r="O1834" s="94"/>
      <c r="P1834" s="26" t="str">
        <f t="shared" si="86"/>
        <v/>
      </c>
      <c r="Q1834" s="80"/>
      <c r="R1834" s="80"/>
      <c r="S1834" s="80"/>
      <c r="T1834" s="82"/>
      <c r="U1834" s="80"/>
      <c r="V1834" s="80"/>
      <c r="W1834" s="80"/>
    </row>
    <row r="1835" ht="18" customHeight="1" spans="1:23">
      <c r="A1835" s="87" t="str">
        <f t="shared" si="84"/>
        <v/>
      </c>
      <c r="B1835" s="78"/>
      <c r="C1835" s="80"/>
      <c r="D1835" s="79"/>
      <c r="E1835" s="80"/>
      <c r="F1835" s="79"/>
      <c r="G1835" s="25" t="str">
        <f t="shared" si="85"/>
        <v/>
      </c>
      <c r="H1835" s="88"/>
      <c r="I1835" s="93"/>
      <c r="J1835" s="97"/>
      <c r="K1835" s="88"/>
      <c r="L1835" s="25" t="str">
        <f>IF($D1835="","",SUMIFS($H$4:$H1835,$D$4:$D1835,$D1835)+SUMIFS($I$4:$I1835,$D$4:$D1835,$D1835)-SUMIFS($J$4:$J1835,$D$4:$D1835,$D1835)-SUMIFS($K$4:$K1835,$D$4:$D1835,$D1835))</f>
        <v/>
      </c>
      <c r="M1835" s="80"/>
      <c r="N1835" s="80"/>
      <c r="O1835" s="94"/>
      <c r="P1835" s="26" t="str">
        <f t="shared" si="86"/>
        <v/>
      </c>
      <c r="Q1835" s="80"/>
      <c r="R1835" s="80"/>
      <c r="S1835" s="80"/>
      <c r="T1835" s="82"/>
      <c r="U1835" s="80"/>
      <c r="V1835" s="80"/>
      <c r="W1835" s="80"/>
    </row>
    <row r="1836" ht="18" customHeight="1" spans="1:23">
      <c r="A1836" s="87" t="str">
        <f t="shared" si="84"/>
        <v/>
      </c>
      <c r="B1836" s="78"/>
      <c r="C1836" s="80"/>
      <c r="D1836" s="79"/>
      <c r="E1836" s="80"/>
      <c r="F1836" s="79"/>
      <c r="G1836" s="25" t="str">
        <f t="shared" si="85"/>
        <v/>
      </c>
      <c r="H1836" s="88"/>
      <c r="I1836" s="93"/>
      <c r="J1836" s="97"/>
      <c r="K1836" s="88"/>
      <c r="L1836" s="25" t="str">
        <f>IF($D1836="","",SUMIFS($H$4:$H1836,$D$4:$D1836,$D1836)+SUMIFS($I$4:$I1836,$D$4:$D1836,$D1836)-SUMIFS($J$4:$J1836,$D$4:$D1836,$D1836)-SUMIFS($K$4:$K1836,$D$4:$D1836,$D1836))</f>
        <v/>
      </c>
      <c r="M1836" s="80"/>
      <c r="N1836" s="80"/>
      <c r="O1836" s="94"/>
      <c r="P1836" s="26" t="str">
        <f t="shared" si="86"/>
        <v/>
      </c>
      <c r="Q1836" s="80"/>
      <c r="R1836" s="80"/>
      <c r="S1836" s="80"/>
      <c r="T1836" s="82"/>
      <c r="U1836" s="80"/>
      <c r="V1836" s="80"/>
      <c r="W1836" s="80"/>
    </row>
    <row r="1837" ht="18" customHeight="1" spans="1:23">
      <c r="A1837" s="87" t="str">
        <f t="shared" si="84"/>
        <v/>
      </c>
      <c r="B1837" s="78"/>
      <c r="C1837" s="80"/>
      <c r="D1837" s="79"/>
      <c r="E1837" s="80"/>
      <c r="F1837" s="79"/>
      <c r="G1837" s="25" t="str">
        <f t="shared" si="85"/>
        <v/>
      </c>
      <c r="H1837" s="88"/>
      <c r="I1837" s="93"/>
      <c r="J1837" s="97"/>
      <c r="K1837" s="88"/>
      <c r="L1837" s="25" t="str">
        <f>IF($D1837="","",SUMIFS($H$4:$H1837,$D$4:$D1837,$D1837)+SUMIFS($I$4:$I1837,$D$4:$D1837,$D1837)-SUMIFS($J$4:$J1837,$D$4:$D1837,$D1837)-SUMIFS($K$4:$K1837,$D$4:$D1837,$D1837))</f>
        <v/>
      </c>
      <c r="M1837" s="80"/>
      <c r="N1837" s="80"/>
      <c r="O1837" s="94"/>
      <c r="P1837" s="26" t="str">
        <f t="shared" si="86"/>
        <v/>
      </c>
      <c r="Q1837" s="80"/>
      <c r="R1837" s="80"/>
      <c r="S1837" s="80"/>
      <c r="T1837" s="82"/>
      <c r="U1837" s="80"/>
      <c r="V1837" s="80"/>
      <c r="W1837" s="80"/>
    </row>
    <row r="1838" ht="18" customHeight="1" spans="1:23">
      <c r="A1838" s="87" t="str">
        <f t="shared" si="84"/>
        <v/>
      </c>
      <c r="B1838" s="78"/>
      <c r="C1838" s="80"/>
      <c r="D1838" s="79"/>
      <c r="E1838" s="80"/>
      <c r="F1838" s="79"/>
      <c r="G1838" s="25" t="str">
        <f t="shared" si="85"/>
        <v/>
      </c>
      <c r="H1838" s="88"/>
      <c r="I1838" s="93"/>
      <c r="J1838" s="97"/>
      <c r="K1838" s="88"/>
      <c r="L1838" s="25" t="str">
        <f>IF($D1838="","",SUMIFS($H$4:$H1838,$D$4:$D1838,$D1838)+SUMIFS($I$4:$I1838,$D$4:$D1838,$D1838)-SUMIFS($J$4:$J1838,$D$4:$D1838,$D1838)-SUMIFS($K$4:$K1838,$D$4:$D1838,$D1838))</f>
        <v/>
      </c>
      <c r="M1838" s="80"/>
      <c r="N1838" s="80"/>
      <c r="O1838" s="94"/>
      <c r="P1838" s="26" t="str">
        <f t="shared" si="86"/>
        <v/>
      </c>
      <c r="Q1838" s="80"/>
      <c r="R1838" s="80"/>
      <c r="S1838" s="80"/>
      <c r="T1838" s="82"/>
      <c r="U1838" s="80"/>
      <c r="V1838" s="80"/>
      <c r="W1838" s="80"/>
    </row>
    <row r="1839" ht="18" customHeight="1" spans="1:23">
      <c r="A1839" s="87" t="str">
        <f t="shared" si="84"/>
        <v/>
      </c>
      <c r="B1839" s="78"/>
      <c r="C1839" s="80"/>
      <c r="D1839" s="79"/>
      <c r="E1839" s="80"/>
      <c r="F1839" s="79"/>
      <c r="G1839" s="25" t="str">
        <f t="shared" si="85"/>
        <v/>
      </c>
      <c r="H1839" s="88"/>
      <c r="I1839" s="93"/>
      <c r="J1839" s="97"/>
      <c r="K1839" s="88"/>
      <c r="L1839" s="25" t="str">
        <f>IF($D1839="","",SUMIFS($H$4:$H1839,$D$4:$D1839,$D1839)+SUMIFS($I$4:$I1839,$D$4:$D1839,$D1839)-SUMIFS($J$4:$J1839,$D$4:$D1839,$D1839)-SUMIFS($K$4:$K1839,$D$4:$D1839,$D1839))</f>
        <v/>
      </c>
      <c r="M1839" s="80"/>
      <c r="N1839" s="80"/>
      <c r="O1839" s="94"/>
      <c r="P1839" s="26" t="str">
        <f t="shared" si="86"/>
        <v/>
      </c>
      <c r="Q1839" s="80"/>
      <c r="R1839" s="80"/>
      <c r="S1839" s="80"/>
      <c r="T1839" s="82"/>
      <c r="U1839" s="80"/>
      <c r="V1839" s="80"/>
      <c r="W1839" s="80"/>
    </row>
    <row r="1840" ht="18" customHeight="1" spans="1:23">
      <c r="A1840" s="87" t="str">
        <f t="shared" si="84"/>
        <v/>
      </c>
      <c r="B1840" s="78"/>
      <c r="C1840" s="80"/>
      <c r="D1840" s="79"/>
      <c r="E1840" s="80"/>
      <c r="F1840" s="79"/>
      <c r="G1840" s="25" t="str">
        <f t="shared" si="85"/>
        <v/>
      </c>
      <c r="H1840" s="88"/>
      <c r="I1840" s="93"/>
      <c r="J1840" s="97"/>
      <c r="K1840" s="88"/>
      <c r="L1840" s="25" t="str">
        <f>IF($D1840="","",SUMIFS($H$4:$H1840,$D$4:$D1840,$D1840)+SUMIFS($I$4:$I1840,$D$4:$D1840,$D1840)-SUMIFS($J$4:$J1840,$D$4:$D1840,$D1840)-SUMIFS($K$4:$K1840,$D$4:$D1840,$D1840))</f>
        <v/>
      </c>
      <c r="M1840" s="80"/>
      <c r="N1840" s="80"/>
      <c r="O1840" s="94"/>
      <c r="P1840" s="26" t="str">
        <f t="shared" si="86"/>
        <v/>
      </c>
      <c r="Q1840" s="80"/>
      <c r="R1840" s="80"/>
      <c r="S1840" s="80"/>
      <c r="T1840" s="82"/>
      <c r="U1840" s="80"/>
      <c r="V1840" s="80"/>
      <c r="W1840" s="80"/>
    </row>
    <row r="1841" ht="18" customHeight="1" spans="1:23">
      <c r="A1841" s="87" t="str">
        <f t="shared" si="84"/>
        <v/>
      </c>
      <c r="B1841" s="78"/>
      <c r="C1841" s="80"/>
      <c r="D1841" s="79"/>
      <c r="E1841" s="80"/>
      <c r="F1841" s="79"/>
      <c r="G1841" s="25" t="str">
        <f t="shared" si="85"/>
        <v/>
      </c>
      <c r="H1841" s="88"/>
      <c r="I1841" s="93"/>
      <c r="J1841" s="97"/>
      <c r="K1841" s="88"/>
      <c r="L1841" s="25" t="str">
        <f>IF($D1841="","",SUMIFS($H$4:$H1841,$D$4:$D1841,$D1841)+SUMIFS($I$4:$I1841,$D$4:$D1841,$D1841)-SUMIFS($J$4:$J1841,$D$4:$D1841,$D1841)-SUMIFS($K$4:$K1841,$D$4:$D1841,$D1841))</f>
        <v/>
      </c>
      <c r="M1841" s="80"/>
      <c r="N1841" s="80"/>
      <c r="O1841" s="94"/>
      <c r="P1841" s="26" t="str">
        <f t="shared" si="86"/>
        <v/>
      </c>
      <c r="Q1841" s="80"/>
      <c r="R1841" s="80"/>
      <c r="S1841" s="80"/>
      <c r="T1841" s="82"/>
      <c r="U1841" s="80"/>
      <c r="V1841" s="80"/>
      <c r="W1841" s="80"/>
    </row>
    <row r="1842" ht="18" customHeight="1" spans="1:23">
      <c r="A1842" s="87" t="str">
        <f t="shared" si="84"/>
        <v/>
      </c>
      <c r="B1842" s="78"/>
      <c r="C1842" s="80"/>
      <c r="D1842" s="79"/>
      <c r="E1842" s="80"/>
      <c r="F1842" s="79"/>
      <c r="G1842" s="25" t="str">
        <f t="shared" si="85"/>
        <v/>
      </c>
      <c r="H1842" s="88"/>
      <c r="I1842" s="93"/>
      <c r="J1842" s="97"/>
      <c r="K1842" s="88"/>
      <c r="L1842" s="25" t="str">
        <f>IF($D1842="","",SUMIFS($H$4:$H1842,$D$4:$D1842,$D1842)+SUMIFS($I$4:$I1842,$D$4:$D1842,$D1842)-SUMIFS($J$4:$J1842,$D$4:$D1842,$D1842)-SUMIFS($K$4:$K1842,$D$4:$D1842,$D1842))</f>
        <v/>
      </c>
      <c r="M1842" s="80"/>
      <c r="N1842" s="80"/>
      <c r="O1842" s="94"/>
      <c r="P1842" s="26" t="str">
        <f t="shared" si="86"/>
        <v/>
      </c>
      <c r="Q1842" s="80"/>
      <c r="R1842" s="80"/>
      <c r="S1842" s="80"/>
      <c r="T1842" s="82"/>
      <c r="U1842" s="80"/>
      <c r="V1842" s="80"/>
      <c r="W1842" s="80"/>
    </row>
    <row r="1843" ht="18" customHeight="1" spans="1:23">
      <c r="A1843" s="87" t="str">
        <f t="shared" si="84"/>
        <v/>
      </c>
      <c r="B1843" s="78"/>
      <c r="C1843" s="80"/>
      <c r="D1843" s="79"/>
      <c r="E1843" s="80"/>
      <c r="F1843" s="79"/>
      <c r="G1843" s="25" t="str">
        <f t="shared" si="85"/>
        <v/>
      </c>
      <c r="H1843" s="88"/>
      <c r="I1843" s="93"/>
      <c r="J1843" s="97"/>
      <c r="K1843" s="88"/>
      <c r="L1843" s="25" t="str">
        <f>IF($D1843="","",SUMIFS($H$4:$H1843,$D$4:$D1843,$D1843)+SUMIFS($I$4:$I1843,$D$4:$D1843,$D1843)-SUMIFS($J$4:$J1843,$D$4:$D1843,$D1843)-SUMIFS($K$4:$K1843,$D$4:$D1843,$D1843))</f>
        <v/>
      </c>
      <c r="M1843" s="80"/>
      <c r="N1843" s="80"/>
      <c r="O1843" s="94"/>
      <c r="P1843" s="26" t="str">
        <f t="shared" si="86"/>
        <v/>
      </c>
      <c r="Q1843" s="80"/>
      <c r="R1843" s="80"/>
      <c r="S1843" s="80"/>
      <c r="T1843" s="82"/>
      <c r="U1843" s="80"/>
      <c r="V1843" s="80"/>
      <c r="W1843" s="80"/>
    </row>
    <row r="1844" ht="18" customHeight="1" spans="1:23">
      <c r="A1844" s="87" t="str">
        <f t="shared" si="84"/>
        <v/>
      </c>
      <c r="B1844" s="78"/>
      <c r="C1844" s="80"/>
      <c r="D1844" s="79"/>
      <c r="E1844" s="80"/>
      <c r="F1844" s="79"/>
      <c r="G1844" s="25" t="str">
        <f t="shared" si="85"/>
        <v/>
      </c>
      <c r="H1844" s="88"/>
      <c r="I1844" s="93"/>
      <c r="J1844" s="97"/>
      <c r="K1844" s="88"/>
      <c r="L1844" s="25" t="str">
        <f>IF($D1844="","",SUMIFS($H$4:$H1844,$D$4:$D1844,$D1844)+SUMIFS($I$4:$I1844,$D$4:$D1844,$D1844)-SUMIFS($J$4:$J1844,$D$4:$D1844,$D1844)-SUMIFS($K$4:$K1844,$D$4:$D1844,$D1844))</f>
        <v/>
      </c>
      <c r="M1844" s="80"/>
      <c r="N1844" s="80"/>
      <c r="O1844" s="94"/>
      <c r="P1844" s="26" t="str">
        <f t="shared" si="86"/>
        <v/>
      </c>
      <c r="Q1844" s="80"/>
      <c r="R1844" s="80"/>
      <c r="S1844" s="80"/>
      <c r="T1844" s="82"/>
      <c r="U1844" s="80"/>
      <c r="V1844" s="80"/>
      <c r="W1844" s="80"/>
    </row>
    <row r="1845" ht="18" customHeight="1" spans="1:23">
      <c r="A1845" s="87" t="str">
        <f t="shared" si="84"/>
        <v/>
      </c>
      <c r="B1845" s="78"/>
      <c r="C1845" s="80"/>
      <c r="D1845" s="79"/>
      <c r="E1845" s="80"/>
      <c r="F1845" s="79"/>
      <c r="G1845" s="25" t="str">
        <f t="shared" si="85"/>
        <v/>
      </c>
      <c r="H1845" s="88"/>
      <c r="I1845" s="93"/>
      <c r="J1845" s="97"/>
      <c r="K1845" s="88"/>
      <c r="L1845" s="25" t="str">
        <f>IF($D1845="","",SUMIFS($H$4:$H1845,$D$4:$D1845,$D1845)+SUMIFS($I$4:$I1845,$D$4:$D1845,$D1845)-SUMIFS($J$4:$J1845,$D$4:$D1845,$D1845)-SUMIFS($K$4:$K1845,$D$4:$D1845,$D1845))</f>
        <v/>
      </c>
      <c r="M1845" s="80"/>
      <c r="N1845" s="80"/>
      <c r="O1845" s="94"/>
      <c r="P1845" s="26" t="str">
        <f t="shared" si="86"/>
        <v/>
      </c>
      <c r="Q1845" s="80"/>
      <c r="R1845" s="80"/>
      <c r="S1845" s="80"/>
      <c r="T1845" s="82"/>
      <c r="U1845" s="80"/>
      <c r="V1845" s="80"/>
      <c r="W1845" s="80"/>
    </row>
    <row r="1846" ht="18" customHeight="1" spans="1:23">
      <c r="A1846" s="87" t="str">
        <f t="shared" si="84"/>
        <v/>
      </c>
      <c r="B1846" s="78"/>
      <c r="C1846" s="80"/>
      <c r="D1846" s="79"/>
      <c r="E1846" s="80"/>
      <c r="F1846" s="79"/>
      <c r="G1846" s="25" t="str">
        <f t="shared" si="85"/>
        <v/>
      </c>
      <c r="H1846" s="88"/>
      <c r="I1846" s="93"/>
      <c r="J1846" s="97"/>
      <c r="K1846" s="88"/>
      <c r="L1846" s="25" t="str">
        <f>IF($D1846="","",SUMIFS($H$4:$H1846,$D$4:$D1846,$D1846)+SUMIFS($I$4:$I1846,$D$4:$D1846,$D1846)-SUMIFS($J$4:$J1846,$D$4:$D1846,$D1846)-SUMIFS($K$4:$K1846,$D$4:$D1846,$D1846))</f>
        <v/>
      </c>
      <c r="M1846" s="80"/>
      <c r="N1846" s="80"/>
      <c r="O1846" s="94"/>
      <c r="P1846" s="26" t="str">
        <f t="shared" si="86"/>
        <v/>
      </c>
      <c r="Q1846" s="80"/>
      <c r="R1846" s="80"/>
      <c r="S1846" s="80"/>
      <c r="T1846" s="82"/>
      <c r="U1846" s="80"/>
      <c r="V1846" s="80"/>
      <c r="W1846" s="80"/>
    </row>
    <row r="1847" ht="18" customHeight="1" spans="1:23">
      <c r="A1847" s="87" t="str">
        <f t="shared" si="84"/>
        <v/>
      </c>
      <c r="B1847" s="78"/>
      <c r="C1847" s="80"/>
      <c r="D1847" s="79"/>
      <c r="E1847" s="80"/>
      <c r="F1847" s="79"/>
      <c r="G1847" s="25" t="str">
        <f t="shared" si="85"/>
        <v/>
      </c>
      <c r="H1847" s="88"/>
      <c r="I1847" s="93"/>
      <c r="J1847" s="97"/>
      <c r="K1847" s="88"/>
      <c r="L1847" s="25" t="str">
        <f>IF($D1847="","",SUMIFS($H$4:$H1847,$D$4:$D1847,$D1847)+SUMIFS($I$4:$I1847,$D$4:$D1847,$D1847)-SUMIFS($J$4:$J1847,$D$4:$D1847,$D1847)-SUMIFS($K$4:$K1847,$D$4:$D1847,$D1847))</f>
        <v/>
      </c>
      <c r="M1847" s="80"/>
      <c r="N1847" s="80"/>
      <c r="O1847" s="94"/>
      <c r="P1847" s="26" t="str">
        <f t="shared" si="86"/>
        <v/>
      </c>
      <c r="Q1847" s="80"/>
      <c r="R1847" s="80"/>
      <c r="S1847" s="80"/>
      <c r="T1847" s="82"/>
      <c r="U1847" s="80"/>
      <c r="V1847" s="80"/>
      <c r="W1847" s="80"/>
    </row>
    <row r="1848" ht="18" customHeight="1" spans="1:23">
      <c r="A1848" s="87" t="str">
        <f t="shared" si="84"/>
        <v/>
      </c>
      <c r="B1848" s="78"/>
      <c r="C1848" s="80"/>
      <c r="D1848" s="79"/>
      <c r="E1848" s="80"/>
      <c r="F1848" s="79"/>
      <c r="G1848" s="25" t="str">
        <f t="shared" si="85"/>
        <v/>
      </c>
      <c r="H1848" s="88"/>
      <c r="I1848" s="93"/>
      <c r="J1848" s="97"/>
      <c r="K1848" s="88"/>
      <c r="L1848" s="25" t="str">
        <f>IF($D1848="","",SUMIFS($H$4:$H1848,$D$4:$D1848,$D1848)+SUMIFS($I$4:$I1848,$D$4:$D1848,$D1848)-SUMIFS($J$4:$J1848,$D$4:$D1848,$D1848)-SUMIFS($K$4:$K1848,$D$4:$D1848,$D1848))</f>
        <v/>
      </c>
      <c r="M1848" s="80"/>
      <c r="N1848" s="80"/>
      <c r="O1848" s="94"/>
      <c r="P1848" s="26" t="str">
        <f t="shared" si="86"/>
        <v/>
      </c>
      <c r="Q1848" s="80"/>
      <c r="R1848" s="80"/>
      <c r="S1848" s="80"/>
      <c r="T1848" s="82"/>
      <c r="U1848" s="80"/>
      <c r="V1848" s="80"/>
      <c r="W1848" s="80"/>
    </row>
    <row r="1849" ht="18" customHeight="1" spans="1:23">
      <c r="A1849" s="87" t="str">
        <f t="shared" si="84"/>
        <v/>
      </c>
      <c r="B1849" s="78"/>
      <c r="C1849" s="80"/>
      <c r="D1849" s="79"/>
      <c r="E1849" s="80"/>
      <c r="F1849" s="79"/>
      <c r="G1849" s="25" t="str">
        <f t="shared" si="85"/>
        <v/>
      </c>
      <c r="H1849" s="88"/>
      <c r="I1849" s="93"/>
      <c r="J1849" s="97"/>
      <c r="K1849" s="88"/>
      <c r="L1849" s="25" t="str">
        <f>IF($D1849="","",SUMIFS($H$4:$H1849,$D$4:$D1849,$D1849)+SUMIFS($I$4:$I1849,$D$4:$D1849,$D1849)-SUMIFS($J$4:$J1849,$D$4:$D1849,$D1849)-SUMIFS($K$4:$K1849,$D$4:$D1849,$D1849))</f>
        <v/>
      </c>
      <c r="M1849" s="80"/>
      <c r="N1849" s="80"/>
      <c r="O1849" s="94"/>
      <c r="P1849" s="26" t="str">
        <f t="shared" si="86"/>
        <v/>
      </c>
      <c r="Q1849" s="80"/>
      <c r="R1849" s="80"/>
      <c r="S1849" s="80"/>
      <c r="T1849" s="82"/>
      <c r="U1849" s="80"/>
      <c r="V1849" s="80"/>
      <c r="W1849" s="80"/>
    </row>
    <row r="1850" ht="18" customHeight="1" spans="1:23">
      <c r="A1850" s="87" t="str">
        <f t="shared" si="84"/>
        <v/>
      </c>
      <c r="B1850" s="78"/>
      <c r="C1850" s="80"/>
      <c r="D1850" s="79"/>
      <c r="E1850" s="80"/>
      <c r="F1850" s="79"/>
      <c r="G1850" s="25" t="str">
        <f t="shared" si="85"/>
        <v/>
      </c>
      <c r="H1850" s="88"/>
      <c r="I1850" s="93"/>
      <c r="J1850" s="97"/>
      <c r="K1850" s="88"/>
      <c r="L1850" s="25" t="str">
        <f>IF($D1850="","",SUMIFS($H$4:$H1850,$D$4:$D1850,$D1850)+SUMIFS($I$4:$I1850,$D$4:$D1850,$D1850)-SUMIFS($J$4:$J1850,$D$4:$D1850,$D1850)-SUMIFS($K$4:$K1850,$D$4:$D1850,$D1850))</f>
        <v/>
      </c>
      <c r="M1850" s="80"/>
      <c r="N1850" s="80"/>
      <c r="O1850" s="94"/>
      <c r="P1850" s="26" t="str">
        <f t="shared" si="86"/>
        <v/>
      </c>
      <c r="Q1850" s="80"/>
      <c r="R1850" s="80"/>
      <c r="S1850" s="80"/>
      <c r="T1850" s="82"/>
      <c r="U1850" s="80"/>
      <c r="V1850" s="80"/>
      <c r="W1850" s="80"/>
    </row>
    <row r="1851" ht="18" customHeight="1" spans="1:23">
      <c r="A1851" s="87" t="str">
        <f t="shared" si="84"/>
        <v/>
      </c>
      <c r="B1851" s="78"/>
      <c r="C1851" s="80"/>
      <c r="D1851" s="79"/>
      <c r="E1851" s="80"/>
      <c r="F1851" s="79"/>
      <c r="G1851" s="25" t="str">
        <f t="shared" si="85"/>
        <v/>
      </c>
      <c r="H1851" s="88"/>
      <c r="I1851" s="93"/>
      <c r="J1851" s="97"/>
      <c r="K1851" s="88"/>
      <c r="L1851" s="25" t="str">
        <f>IF($D1851="","",SUMIFS($H$4:$H1851,$D$4:$D1851,$D1851)+SUMIFS($I$4:$I1851,$D$4:$D1851,$D1851)-SUMIFS($J$4:$J1851,$D$4:$D1851,$D1851)-SUMIFS($K$4:$K1851,$D$4:$D1851,$D1851))</f>
        <v/>
      </c>
      <c r="M1851" s="80"/>
      <c r="N1851" s="80"/>
      <c r="O1851" s="94"/>
      <c r="P1851" s="26" t="str">
        <f t="shared" si="86"/>
        <v/>
      </c>
      <c r="Q1851" s="80"/>
      <c r="R1851" s="80"/>
      <c r="S1851" s="80"/>
      <c r="T1851" s="82"/>
      <c r="U1851" s="80"/>
      <c r="V1851" s="80"/>
      <c r="W1851" s="80"/>
    </row>
    <row r="1852" ht="18" customHeight="1" spans="1:23">
      <c r="A1852" s="87" t="str">
        <f t="shared" si="84"/>
        <v/>
      </c>
      <c r="B1852" s="78"/>
      <c r="C1852" s="80"/>
      <c r="D1852" s="79"/>
      <c r="E1852" s="80"/>
      <c r="F1852" s="79"/>
      <c r="G1852" s="25" t="str">
        <f t="shared" si="85"/>
        <v/>
      </c>
      <c r="H1852" s="88"/>
      <c r="I1852" s="93"/>
      <c r="J1852" s="97"/>
      <c r="K1852" s="88"/>
      <c r="L1852" s="25" t="str">
        <f>IF($D1852="","",SUMIFS($H$4:$H1852,$D$4:$D1852,$D1852)+SUMIFS($I$4:$I1852,$D$4:$D1852,$D1852)-SUMIFS($J$4:$J1852,$D$4:$D1852,$D1852)-SUMIFS($K$4:$K1852,$D$4:$D1852,$D1852))</f>
        <v/>
      </c>
      <c r="M1852" s="80"/>
      <c r="N1852" s="80"/>
      <c r="O1852" s="94"/>
      <c r="P1852" s="26" t="str">
        <f t="shared" si="86"/>
        <v/>
      </c>
      <c r="Q1852" s="80"/>
      <c r="R1852" s="80"/>
      <c r="S1852" s="80"/>
      <c r="T1852" s="82"/>
      <c r="U1852" s="80"/>
      <c r="V1852" s="80"/>
      <c r="W1852" s="80"/>
    </row>
    <row r="1853" ht="18" customHeight="1" spans="1:23">
      <c r="A1853" s="87" t="str">
        <f t="shared" si="84"/>
        <v/>
      </c>
      <c r="B1853" s="78"/>
      <c r="C1853" s="80"/>
      <c r="D1853" s="79"/>
      <c r="E1853" s="80"/>
      <c r="F1853" s="79"/>
      <c r="G1853" s="25" t="str">
        <f t="shared" si="85"/>
        <v/>
      </c>
      <c r="H1853" s="88"/>
      <c r="I1853" s="93"/>
      <c r="J1853" s="97"/>
      <c r="K1853" s="88"/>
      <c r="L1853" s="25" t="str">
        <f>IF($D1853="","",SUMIFS($H$4:$H1853,$D$4:$D1853,$D1853)+SUMIFS($I$4:$I1853,$D$4:$D1853,$D1853)-SUMIFS($J$4:$J1853,$D$4:$D1853,$D1853)-SUMIFS($K$4:$K1853,$D$4:$D1853,$D1853))</f>
        <v/>
      </c>
      <c r="M1853" s="80"/>
      <c r="N1853" s="80"/>
      <c r="O1853" s="94"/>
      <c r="P1853" s="26" t="str">
        <f t="shared" si="86"/>
        <v/>
      </c>
      <c r="Q1853" s="80"/>
      <c r="R1853" s="80"/>
      <c r="S1853" s="80"/>
      <c r="T1853" s="82"/>
      <c r="U1853" s="80"/>
      <c r="V1853" s="80"/>
      <c r="W1853" s="80"/>
    </row>
    <row r="1854" ht="18" customHeight="1" spans="1:23">
      <c r="A1854" s="87" t="str">
        <f t="shared" si="84"/>
        <v/>
      </c>
      <c r="B1854" s="78"/>
      <c r="C1854" s="80"/>
      <c r="D1854" s="79"/>
      <c r="E1854" s="80"/>
      <c r="F1854" s="79"/>
      <c r="G1854" s="25" t="str">
        <f t="shared" si="85"/>
        <v/>
      </c>
      <c r="H1854" s="88"/>
      <c r="I1854" s="93"/>
      <c r="J1854" s="97"/>
      <c r="K1854" s="88"/>
      <c r="L1854" s="25" t="str">
        <f>IF($D1854="","",SUMIFS($H$4:$H1854,$D$4:$D1854,$D1854)+SUMIFS($I$4:$I1854,$D$4:$D1854,$D1854)-SUMIFS($J$4:$J1854,$D$4:$D1854,$D1854)-SUMIFS($K$4:$K1854,$D$4:$D1854,$D1854))</f>
        <v/>
      </c>
      <c r="M1854" s="80"/>
      <c r="N1854" s="80"/>
      <c r="O1854" s="94"/>
      <c r="P1854" s="26" t="str">
        <f t="shared" si="86"/>
        <v/>
      </c>
      <c r="Q1854" s="80"/>
      <c r="R1854" s="80"/>
      <c r="S1854" s="80"/>
      <c r="T1854" s="82"/>
      <c r="U1854" s="80"/>
      <c r="V1854" s="80"/>
      <c r="W1854" s="80"/>
    </row>
    <row r="1855" ht="18" customHeight="1" spans="1:23">
      <c r="A1855" s="87" t="str">
        <f t="shared" si="84"/>
        <v/>
      </c>
      <c r="B1855" s="78"/>
      <c r="C1855" s="80"/>
      <c r="D1855" s="79"/>
      <c r="E1855" s="80"/>
      <c r="F1855" s="79"/>
      <c r="G1855" s="25" t="str">
        <f t="shared" si="85"/>
        <v/>
      </c>
      <c r="H1855" s="88"/>
      <c r="I1855" s="93"/>
      <c r="J1855" s="97"/>
      <c r="K1855" s="88"/>
      <c r="L1855" s="25" t="str">
        <f>IF($D1855="","",SUMIFS($H$4:$H1855,$D$4:$D1855,$D1855)+SUMIFS($I$4:$I1855,$D$4:$D1855,$D1855)-SUMIFS($J$4:$J1855,$D$4:$D1855,$D1855)-SUMIFS($K$4:$K1855,$D$4:$D1855,$D1855))</f>
        <v/>
      </c>
      <c r="M1855" s="80"/>
      <c r="N1855" s="80"/>
      <c r="O1855" s="94"/>
      <c r="P1855" s="26" t="str">
        <f t="shared" si="86"/>
        <v/>
      </c>
      <c r="Q1855" s="80"/>
      <c r="R1855" s="80"/>
      <c r="S1855" s="80"/>
      <c r="T1855" s="82"/>
      <c r="U1855" s="80"/>
      <c r="V1855" s="80"/>
      <c r="W1855" s="80"/>
    </row>
    <row r="1856" ht="18" customHeight="1" spans="1:23">
      <c r="A1856" s="87" t="str">
        <f t="shared" si="84"/>
        <v/>
      </c>
      <c r="B1856" s="78"/>
      <c r="C1856" s="80"/>
      <c r="D1856" s="79"/>
      <c r="E1856" s="80"/>
      <c r="F1856" s="79"/>
      <c r="G1856" s="25" t="str">
        <f t="shared" si="85"/>
        <v/>
      </c>
      <c r="H1856" s="88"/>
      <c r="I1856" s="93"/>
      <c r="J1856" s="97"/>
      <c r="K1856" s="88"/>
      <c r="L1856" s="25" t="str">
        <f>IF($D1856="","",SUMIFS($H$4:$H1856,$D$4:$D1856,$D1856)+SUMIFS($I$4:$I1856,$D$4:$D1856,$D1856)-SUMIFS($J$4:$J1856,$D$4:$D1856,$D1856)-SUMIFS($K$4:$K1856,$D$4:$D1856,$D1856))</f>
        <v/>
      </c>
      <c r="M1856" s="80"/>
      <c r="N1856" s="80"/>
      <c r="O1856" s="94"/>
      <c r="P1856" s="26" t="str">
        <f t="shared" si="86"/>
        <v/>
      </c>
      <c r="Q1856" s="80"/>
      <c r="R1856" s="80"/>
      <c r="S1856" s="80"/>
      <c r="T1856" s="82"/>
      <c r="U1856" s="80"/>
      <c r="V1856" s="80"/>
      <c r="W1856" s="80"/>
    </row>
    <row r="1857" ht="18" customHeight="1" spans="1:23">
      <c r="A1857" s="87" t="str">
        <f t="shared" si="84"/>
        <v/>
      </c>
      <c r="B1857" s="78"/>
      <c r="C1857" s="80"/>
      <c r="D1857" s="79"/>
      <c r="E1857" s="80"/>
      <c r="F1857" s="79"/>
      <c r="G1857" s="25" t="str">
        <f t="shared" si="85"/>
        <v/>
      </c>
      <c r="H1857" s="88"/>
      <c r="I1857" s="93"/>
      <c r="J1857" s="97"/>
      <c r="K1857" s="88"/>
      <c r="L1857" s="25" t="str">
        <f>IF($D1857="","",SUMIFS($H$4:$H1857,$D$4:$D1857,$D1857)+SUMIFS($I$4:$I1857,$D$4:$D1857,$D1857)-SUMIFS($J$4:$J1857,$D$4:$D1857,$D1857)-SUMIFS($K$4:$K1857,$D$4:$D1857,$D1857))</f>
        <v/>
      </c>
      <c r="M1857" s="80"/>
      <c r="N1857" s="80"/>
      <c r="O1857" s="94"/>
      <c r="P1857" s="26" t="str">
        <f t="shared" si="86"/>
        <v/>
      </c>
      <c r="Q1857" s="80"/>
      <c r="R1857" s="80"/>
      <c r="S1857" s="80"/>
      <c r="T1857" s="82"/>
      <c r="U1857" s="80"/>
      <c r="V1857" s="80"/>
      <c r="W1857" s="80"/>
    </row>
    <row r="1858" ht="18" customHeight="1" spans="1:23">
      <c r="A1858" s="87" t="str">
        <f t="shared" si="84"/>
        <v/>
      </c>
      <c r="B1858" s="78"/>
      <c r="C1858" s="80"/>
      <c r="D1858" s="79"/>
      <c r="E1858" s="80"/>
      <c r="F1858" s="79"/>
      <c r="G1858" s="25" t="str">
        <f t="shared" si="85"/>
        <v/>
      </c>
      <c r="H1858" s="88"/>
      <c r="I1858" s="93"/>
      <c r="J1858" s="97"/>
      <c r="K1858" s="88"/>
      <c r="L1858" s="25" t="str">
        <f>IF($D1858="","",SUMIFS($H$4:$H1858,$D$4:$D1858,$D1858)+SUMIFS($I$4:$I1858,$D$4:$D1858,$D1858)-SUMIFS($J$4:$J1858,$D$4:$D1858,$D1858)-SUMIFS($K$4:$K1858,$D$4:$D1858,$D1858))</f>
        <v/>
      </c>
      <c r="M1858" s="80"/>
      <c r="N1858" s="80"/>
      <c r="O1858" s="94"/>
      <c r="P1858" s="26" t="str">
        <f t="shared" si="86"/>
        <v/>
      </c>
      <c r="Q1858" s="80"/>
      <c r="R1858" s="80"/>
      <c r="S1858" s="80"/>
      <c r="T1858" s="82"/>
      <c r="U1858" s="80"/>
      <c r="V1858" s="80"/>
      <c r="W1858" s="80"/>
    </row>
    <row r="1859" ht="18" customHeight="1" spans="1:23">
      <c r="A1859" s="87" t="str">
        <f t="shared" si="84"/>
        <v/>
      </c>
      <c r="B1859" s="78"/>
      <c r="C1859" s="80"/>
      <c r="D1859" s="79"/>
      <c r="E1859" s="80"/>
      <c r="F1859" s="79"/>
      <c r="G1859" s="25" t="str">
        <f t="shared" si="85"/>
        <v/>
      </c>
      <c r="H1859" s="88"/>
      <c r="I1859" s="93"/>
      <c r="J1859" s="97"/>
      <c r="K1859" s="88"/>
      <c r="L1859" s="25" t="str">
        <f>IF($D1859="","",SUMIFS($H$4:$H1859,$D$4:$D1859,$D1859)+SUMIFS($I$4:$I1859,$D$4:$D1859,$D1859)-SUMIFS($J$4:$J1859,$D$4:$D1859,$D1859)-SUMIFS($K$4:$K1859,$D$4:$D1859,$D1859))</f>
        <v/>
      </c>
      <c r="M1859" s="80"/>
      <c r="N1859" s="80"/>
      <c r="O1859" s="94"/>
      <c r="P1859" s="26" t="str">
        <f t="shared" si="86"/>
        <v/>
      </c>
      <c r="Q1859" s="80"/>
      <c r="R1859" s="80"/>
      <c r="S1859" s="80"/>
      <c r="T1859" s="82"/>
      <c r="U1859" s="80"/>
      <c r="V1859" s="80"/>
      <c r="W1859" s="80"/>
    </row>
    <row r="1860" ht="18" customHeight="1" spans="1:23">
      <c r="A1860" s="87" t="str">
        <f t="shared" si="84"/>
        <v/>
      </c>
      <c r="B1860" s="78"/>
      <c r="C1860" s="80"/>
      <c r="D1860" s="79"/>
      <c r="E1860" s="80"/>
      <c r="F1860" s="79"/>
      <c r="G1860" s="25" t="str">
        <f t="shared" si="85"/>
        <v/>
      </c>
      <c r="H1860" s="88"/>
      <c r="I1860" s="93"/>
      <c r="J1860" s="97"/>
      <c r="K1860" s="88"/>
      <c r="L1860" s="25" t="str">
        <f>IF($D1860="","",SUMIFS($H$4:$H1860,$D$4:$D1860,$D1860)+SUMIFS($I$4:$I1860,$D$4:$D1860,$D1860)-SUMIFS($J$4:$J1860,$D$4:$D1860,$D1860)-SUMIFS($K$4:$K1860,$D$4:$D1860,$D1860))</f>
        <v/>
      </c>
      <c r="M1860" s="80"/>
      <c r="N1860" s="80"/>
      <c r="O1860" s="94"/>
      <c r="P1860" s="26" t="str">
        <f t="shared" si="86"/>
        <v/>
      </c>
      <c r="Q1860" s="80"/>
      <c r="R1860" s="80"/>
      <c r="S1860" s="80"/>
      <c r="T1860" s="82"/>
      <c r="U1860" s="80"/>
      <c r="V1860" s="80"/>
      <c r="W1860" s="80"/>
    </row>
    <row r="1861" ht="18" customHeight="1" spans="1:23">
      <c r="A1861" s="87" t="str">
        <f t="shared" ref="A1861:A1924" si="87">IF($D1861="","",ROW()-3)</f>
        <v/>
      </c>
      <c r="B1861" s="78"/>
      <c r="C1861" s="80"/>
      <c r="D1861" s="79"/>
      <c r="E1861" s="80"/>
      <c r="F1861" s="79"/>
      <c r="G1861" s="25" t="str">
        <f t="shared" ref="G1861:G1924" si="88">IF($D1861="","",N($L1861)-N($H1861)-N($I1861)+N($J1861)+N($K1861))</f>
        <v/>
      </c>
      <c r="H1861" s="88"/>
      <c r="I1861" s="93"/>
      <c r="J1861" s="97"/>
      <c r="K1861" s="88"/>
      <c r="L1861" s="25" t="str">
        <f>IF($D1861="","",SUMIFS($H$4:$H1861,$D$4:$D1861,$D1861)+SUMIFS($I$4:$I1861,$D$4:$D1861,$D1861)-SUMIFS($J$4:$J1861,$D$4:$D1861,$D1861)-SUMIFS($K$4:$K1861,$D$4:$D1861,$D1861))</f>
        <v/>
      </c>
      <c r="M1861" s="80"/>
      <c r="N1861" s="80"/>
      <c r="O1861" s="94"/>
      <c r="P1861" s="26" t="str">
        <f t="shared" ref="P1861:P1924" si="89">IF($D1861="","",ROUND((N($H1861)+N($K1861))*N($O1861),2))</f>
        <v/>
      </c>
      <c r="Q1861" s="80"/>
      <c r="R1861" s="80"/>
      <c r="S1861" s="80"/>
      <c r="T1861" s="82"/>
      <c r="U1861" s="80"/>
      <c r="V1861" s="80"/>
      <c r="W1861" s="80"/>
    </row>
    <row r="1862" ht="18" customHeight="1" spans="1:23">
      <c r="A1862" s="87" t="str">
        <f t="shared" si="87"/>
        <v/>
      </c>
      <c r="B1862" s="78"/>
      <c r="C1862" s="80"/>
      <c r="D1862" s="79"/>
      <c r="E1862" s="80"/>
      <c r="F1862" s="79"/>
      <c r="G1862" s="25" t="str">
        <f t="shared" si="88"/>
        <v/>
      </c>
      <c r="H1862" s="88"/>
      <c r="I1862" s="93"/>
      <c r="J1862" s="97"/>
      <c r="K1862" s="88"/>
      <c r="L1862" s="25" t="str">
        <f>IF($D1862="","",SUMIFS($H$4:$H1862,$D$4:$D1862,$D1862)+SUMIFS($I$4:$I1862,$D$4:$D1862,$D1862)-SUMIFS($J$4:$J1862,$D$4:$D1862,$D1862)-SUMIFS($K$4:$K1862,$D$4:$D1862,$D1862))</f>
        <v/>
      </c>
      <c r="M1862" s="80"/>
      <c r="N1862" s="80"/>
      <c r="O1862" s="94"/>
      <c r="P1862" s="26" t="str">
        <f t="shared" si="89"/>
        <v/>
      </c>
      <c r="Q1862" s="80"/>
      <c r="R1862" s="80"/>
      <c r="S1862" s="80"/>
      <c r="T1862" s="82"/>
      <c r="U1862" s="80"/>
      <c r="V1862" s="80"/>
      <c r="W1862" s="80"/>
    </row>
    <row r="1863" ht="18" customHeight="1" spans="1:23">
      <c r="A1863" s="87" t="str">
        <f t="shared" si="87"/>
        <v/>
      </c>
      <c r="B1863" s="78"/>
      <c r="C1863" s="80"/>
      <c r="D1863" s="79"/>
      <c r="E1863" s="80"/>
      <c r="F1863" s="79"/>
      <c r="G1863" s="25" t="str">
        <f t="shared" si="88"/>
        <v/>
      </c>
      <c r="H1863" s="88"/>
      <c r="I1863" s="93"/>
      <c r="J1863" s="97"/>
      <c r="K1863" s="88"/>
      <c r="L1863" s="25" t="str">
        <f>IF($D1863="","",SUMIFS($H$4:$H1863,$D$4:$D1863,$D1863)+SUMIFS($I$4:$I1863,$D$4:$D1863,$D1863)-SUMIFS($J$4:$J1863,$D$4:$D1863,$D1863)-SUMIFS($K$4:$K1863,$D$4:$D1863,$D1863))</f>
        <v/>
      </c>
      <c r="M1863" s="80"/>
      <c r="N1863" s="80"/>
      <c r="O1863" s="94"/>
      <c r="P1863" s="26" t="str">
        <f t="shared" si="89"/>
        <v/>
      </c>
      <c r="Q1863" s="80"/>
      <c r="R1863" s="80"/>
      <c r="S1863" s="80"/>
      <c r="T1863" s="82"/>
      <c r="U1863" s="80"/>
      <c r="V1863" s="80"/>
      <c r="W1863" s="80"/>
    </row>
    <row r="1864" ht="18" customHeight="1" spans="1:23">
      <c r="A1864" s="87" t="str">
        <f t="shared" si="87"/>
        <v/>
      </c>
      <c r="B1864" s="78"/>
      <c r="C1864" s="80"/>
      <c r="D1864" s="79"/>
      <c r="E1864" s="80"/>
      <c r="F1864" s="79"/>
      <c r="G1864" s="25" t="str">
        <f t="shared" si="88"/>
        <v/>
      </c>
      <c r="H1864" s="88"/>
      <c r="I1864" s="93"/>
      <c r="J1864" s="97"/>
      <c r="K1864" s="88"/>
      <c r="L1864" s="25" t="str">
        <f>IF($D1864="","",SUMIFS($H$4:$H1864,$D$4:$D1864,$D1864)+SUMIFS($I$4:$I1864,$D$4:$D1864,$D1864)-SUMIFS($J$4:$J1864,$D$4:$D1864,$D1864)-SUMIFS($K$4:$K1864,$D$4:$D1864,$D1864))</f>
        <v/>
      </c>
      <c r="M1864" s="80"/>
      <c r="N1864" s="80"/>
      <c r="O1864" s="94"/>
      <c r="P1864" s="26" t="str">
        <f t="shared" si="89"/>
        <v/>
      </c>
      <c r="Q1864" s="80"/>
      <c r="R1864" s="80"/>
      <c r="S1864" s="80"/>
      <c r="T1864" s="82"/>
      <c r="U1864" s="80"/>
      <c r="V1864" s="80"/>
      <c r="W1864" s="80"/>
    </row>
    <row r="1865" ht="18" customHeight="1" spans="1:23">
      <c r="A1865" s="87" t="str">
        <f t="shared" si="87"/>
        <v/>
      </c>
      <c r="B1865" s="78"/>
      <c r="C1865" s="80"/>
      <c r="D1865" s="79"/>
      <c r="E1865" s="80"/>
      <c r="F1865" s="79"/>
      <c r="G1865" s="25" t="str">
        <f t="shared" si="88"/>
        <v/>
      </c>
      <c r="H1865" s="88"/>
      <c r="I1865" s="93"/>
      <c r="J1865" s="97"/>
      <c r="K1865" s="88"/>
      <c r="L1865" s="25" t="str">
        <f>IF($D1865="","",SUMIFS($H$4:$H1865,$D$4:$D1865,$D1865)+SUMIFS($I$4:$I1865,$D$4:$D1865,$D1865)-SUMIFS($J$4:$J1865,$D$4:$D1865,$D1865)-SUMIFS($K$4:$K1865,$D$4:$D1865,$D1865))</f>
        <v/>
      </c>
      <c r="M1865" s="80"/>
      <c r="N1865" s="80"/>
      <c r="O1865" s="94"/>
      <c r="P1865" s="26" t="str">
        <f t="shared" si="89"/>
        <v/>
      </c>
      <c r="Q1865" s="80"/>
      <c r="R1865" s="80"/>
      <c r="S1865" s="80"/>
      <c r="T1865" s="82"/>
      <c r="U1865" s="80"/>
      <c r="V1865" s="80"/>
      <c r="W1865" s="80"/>
    </row>
    <row r="1866" ht="18" customHeight="1" spans="1:23">
      <c r="A1866" s="87" t="str">
        <f t="shared" si="87"/>
        <v/>
      </c>
      <c r="B1866" s="78"/>
      <c r="C1866" s="80"/>
      <c r="D1866" s="79"/>
      <c r="E1866" s="80"/>
      <c r="F1866" s="79"/>
      <c r="G1866" s="25" t="str">
        <f t="shared" si="88"/>
        <v/>
      </c>
      <c r="H1866" s="88"/>
      <c r="I1866" s="93"/>
      <c r="J1866" s="97"/>
      <c r="K1866" s="88"/>
      <c r="L1866" s="25" t="str">
        <f>IF($D1866="","",SUMIFS($H$4:$H1866,$D$4:$D1866,$D1866)+SUMIFS($I$4:$I1866,$D$4:$D1866,$D1866)-SUMIFS($J$4:$J1866,$D$4:$D1866,$D1866)-SUMIFS($K$4:$K1866,$D$4:$D1866,$D1866))</f>
        <v/>
      </c>
      <c r="M1866" s="80"/>
      <c r="N1866" s="80"/>
      <c r="O1866" s="94"/>
      <c r="P1866" s="26" t="str">
        <f t="shared" si="89"/>
        <v/>
      </c>
      <c r="Q1866" s="80"/>
      <c r="R1866" s="80"/>
      <c r="S1866" s="80"/>
      <c r="T1866" s="82"/>
      <c r="U1866" s="80"/>
      <c r="V1866" s="80"/>
      <c r="W1866" s="80"/>
    </row>
    <row r="1867" ht="18" customHeight="1" spans="1:23">
      <c r="A1867" s="87" t="str">
        <f t="shared" si="87"/>
        <v/>
      </c>
      <c r="B1867" s="78"/>
      <c r="C1867" s="80"/>
      <c r="D1867" s="79"/>
      <c r="E1867" s="80"/>
      <c r="F1867" s="79"/>
      <c r="G1867" s="25" t="str">
        <f t="shared" si="88"/>
        <v/>
      </c>
      <c r="H1867" s="88"/>
      <c r="I1867" s="93"/>
      <c r="J1867" s="97"/>
      <c r="K1867" s="88"/>
      <c r="L1867" s="25" t="str">
        <f>IF($D1867="","",SUMIFS($H$4:$H1867,$D$4:$D1867,$D1867)+SUMIFS($I$4:$I1867,$D$4:$D1867,$D1867)-SUMIFS($J$4:$J1867,$D$4:$D1867,$D1867)-SUMIFS($K$4:$K1867,$D$4:$D1867,$D1867))</f>
        <v/>
      </c>
      <c r="M1867" s="80"/>
      <c r="N1867" s="80"/>
      <c r="O1867" s="94"/>
      <c r="P1867" s="26" t="str">
        <f t="shared" si="89"/>
        <v/>
      </c>
      <c r="Q1867" s="80"/>
      <c r="R1867" s="80"/>
      <c r="S1867" s="80"/>
      <c r="T1867" s="82"/>
      <c r="U1867" s="80"/>
      <c r="V1867" s="80"/>
      <c r="W1867" s="80"/>
    </row>
    <row r="1868" ht="18" customHeight="1" spans="1:23">
      <c r="A1868" s="87" t="str">
        <f t="shared" si="87"/>
        <v/>
      </c>
      <c r="B1868" s="78"/>
      <c r="C1868" s="80"/>
      <c r="D1868" s="79"/>
      <c r="E1868" s="80"/>
      <c r="F1868" s="79"/>
      <c r="G1868" s="25" t="str">
        <f t="shared" si="88"/>
        <v/>
      </c>
      <c r="H1868" s="88"/>
      <c r="I1868" s="93"/>
      <c r="J1868" s="97"/>
      <c r="K1868" s="88"/>
      <c r="L1868" s="25" t="str">
        <f>IF($D1868="","",SUMIFS($H$4:$H1868,$D$4:$D1868,$D1868)+SUMIFS($I$4:$I1868,$D$4:$D1868,$D1868)-SUMIFS($J$4:$J1868,$D$4:$D1868,$D1868)-SUMIFS($K$4:$K1868,$D$4:$D1868,$D1868))</f>
        <v/>
      </c>
      <c r="M1868" s="80"/>
      <c r="N1868" s="80"/>
      <c r="O1868" s="94"/>
      <c r="P1868" s="26" t="str">
        <f t="shared" si="89"/>
        <v/>
      </c>
      <c r="Q1868" s="80"/>
      <c r="R1868" s="80"/>
      <c r="S1868" s="80"/>
      <c r="T1868" s="82"/>
      <c r="U1868" s="80"/>
      <c r="V1868" s="80"/>
      <c r="W1868" s="80"/>
    </row>
    <row r="1869" ht="18" customHeight="1" spans="1:23">
      <c r="A1869" s="87" t="str">
        <f t="shared" si="87"/>
        <v/>
      </c>
      <c r="B1869" s="78"/>
      <c r="C1869" s="80"/>
      <c r="D1869" s="79"/>
      <c r="E1869" s="80"/>
      <c r="F1869" s="79"/>
      <c r="G1869" s="25" t="str">
        <f t="shared" si="88"/>
        <v/>
      </c>
      <c r="H1869" s="88"/>
      <c r="I1869" s="93"/>
      <c r="J1869" s="97"/>
      <c r="K1869" s="88"/>
      <c r="L1869" s="25" t="str">
        <f>IF($D1869="","",SUMIFS($H$4:$H1869,$D$4:$D1869,$D1869)+SUMIFS($I$4:$I1869,$D$4:$D1869,$D1869)-SUMIFS($J$4:$J1869,$D$4:$D1869,$D1869)-SUMIFS($K$4:$K1869,$D$4:$D1869,$D1869))</f>
        <v/>
      </c>
      <c r="M1869" s="80"/>
      <c r="N1869" s="80"/>
      <c r="O1869" s="94"/>
      <c r="P1869" s="26" t="str">
        <f t="shared" si="89"/>
        <v/>
      </c>
      <c r="Q1869" s="80"/>
      <c r="R1869" s="80"/>
      <c r="S1869" s="80"/>
      <c r="T1869" s="82"/>
      <c r="U1869" s="80"/>
      <c r="V1869" s="80"/>
      <c r="W1869" s="80"/>
    </row>
    <row r="1870" ht="18" customHeight="1" spans="1:23">
      <c r="A1870" s="87" t="str">
        <f t="shared" si="87"/>
        <v/>
      </c>
      <c r="B1870" s="78"/>
      <c r="C1870" s="80"/>
      <c r="D1870" s="79"/>
      <c r="E1870" s="80"/>
      <c r="F1870" s="79"/>
      <c r="G1870" s="25" t="str">
        <f t="shared" si="88"/>
        <v/>
      </c>
      <c r="H1870" s="88"/>
      <c r="I1870" s="93"/>
      <c r="J1870" s="97"/>
      <c r="K1870" s="88"/>
      <c r="L1870" s="25" t="str">
        <f>IF($D1870="","",SUMIFS($H$4:$H1870,$D$4:$D1870,$D1870)+SUMIFS($I$4:$I1870,$D$4:$D1870,$D1870)-SUMIFS($J$4:$J1870,$D$4:$D1870,$D1870)-SUMIFS($K$4:$K1870,$D$4:$D1870,$D1870))</f>
        <v/>
      </c>
      <c r="M1870" s="80"/>
      <c r="N1870" s="80"/>
      <c r="O1870" s="94"/>
      <c r="P1870" s="26" t="str">
        <f t="shared" si="89"/>
        <v/>
      </c>
      <c r="Q1870" s="80"/>
      <c r="R1870" s="80"/>
      <c r="S1870" s="80"/>
      <c r="T1870" s="82"/>
      <c r="U1870" s="80"/>
      <c r="V1870" s="80"/>
      <c r="W1870" s="80"/>
    </row>
    <row r="1871" ht="18" customHeight="1" spans="1:23">
      <c r="A1871" s="87" t="str">
        <f t="shared" si="87"/>
        <v/>
      </c>
      <c r="B1871" s="78"/>
      <c r="C1871" s="80"/>
      <c r="D1871" s="79"/>
      <c r="E1871" s="80"/>
      <c r="F1871" s="79"/>
      <c r="G1871" s="25" t="str">
        <f t="shared" si="88"/>
        <v/>
      </c>
      <c r="H1871" s="88"/>
      <c r="I1871" s="93"/>
      <c r="J1871" s="97"/>
      <c r="K1871" s="88"/>
      <c r="L1871" s="25" t="str">
        <f>IF($D1871="","",SUMIFS($H$4:$H1871,$D$4:$D1871,$D1871)+SUMIFS($I$4:$I1871,$D$4:$D1871,$D1871)-SUMIFS($J$4:$J1871,$D$4:$D1871,$D1871)-SUMIFS($K$4:$K1871,$D$4:$D1871,$D1871))</f>
        <v/>
      </c>
      <c r="M1871" s="80"/>
      <c r="N1871" s="80"/>
      <c r="O1871" s="94"/>
      <c r="P1871" s="26" t="str">
        <f t="shared" si="89"/>
        <v/>
      </c>
      <c r="Q1871" s="80"/>
      <c r="R1871" s="80"/>
      <c r="S1871" s="80"/>
      <c r="T1871" s="82"/>
      <c r="U1871" s="80"/>
      <c r="V1871" s="80"/>
      <c r="W1871" s="80"/>
    </row>
    <row r="1872" ht="18" customHeight="1" spans="1:23">
      <c r="A1872" s="87" t="str">
        <f t="shared" si="87"/>
        <v/>
      </c>
      <c r="B1872" s="78"/>
      <c r="C1872" s="80"/>
      <c r="D1872" s="79"/>
      <c r="E1872" s="80"/>
      <c r="F1872" s="79"/>
      <c r="G1872" s="25" t="str">
        <f t="shared" si="88"/>
        <v/>
      </c>
      <c r="H1872" s="88"/>
      <c r="I1872" s="93"/>
      <c r="J1872" s="97"/>
      <c r="K1872" s="88"/>
      <c r="L1872" s="25" t="str">
        <f>IF($D1872="","",SUMIFS($H$4:$H1872,$D$4:$D1872,$D1872)+SUMIFS($I$4:$I1872,$D$4:$D1872,$D1872)-SUMIFS($J$4:$J1872,$D$4:$D1872,$D1872)-SUMIFS($K$4:$K1872,$D$4:$D1872,$D1872))</f>
        <v/>
      </c>
      <c r="M1872" s="80"/>
      <c r="N1872" s="80"/>
      <c r="O1872" s="94"/>
      <c r="P1872" s="26" t="str">
        <f t="shared" si="89"/>
        <v/>
      </c>
      <c r="Q1872" s="80"/>
      <c r="R1872" s="80"/>
      <c r="S1872" s="80"/>
      <c r="T1872" s="82"/>
      <c r="U1872" s="80"/>
      <c r="V1872" s="80"/>
      <c r="W1872" s="80"/>
    </row>
    <row r="1873" ht="18" customHeight="1" spans="1:23">
      <c r="A1873" s="87" t="str">
        <f t="shared" si="87"/>
        <v/>
      </c>
      <c r="B1873" s="78"/>
      <c r="C1873" s="80"/>
      <c r="D1873" s="79"/>
      <c r="E1873" s="80"/>
      <c r="F1873" s="79"/>
      <c r="G1873" s="25" t="str">
        <f t="shared" si="88"/>
        <v/>
      </c>
      <c r="H1873" s="88"/>
      <c r="I1873" s="93"/>
      <c r="J1873" s="97"/>
      <c r="K1873" s="88"/>
      <c r="L1873" s="25" t="str">
        <f>IF($D1873="","",SUMIFS($H$4:$H1873,$D$4:$D1873,$D1873)+SUMIFS($I$4:$I1873,$D$4:$D1873,$D1873)-SUMIFS($J$4:$J1873,$D$4:$D1873,$D1873)-SUMIFS($K$4:$K1873,$D$4:$D1873,$D1873))</f>
        <v/>
      </c>
      <c r="M1873" s="80"/>
      <c r="N1873" s="80"/>
      <c r="O1873" s="94"/>
      <c r="P1873" s="26" t="str">
        <f t="shared" si="89"/>
        <v/>
      </c>
      <c r="Q1873" s="80"/>
      <c r="R1873" s="80"/>
      <c r="S1873" s="80"/>
      <c r="T1873" s="82"/>
      <c r="U1873" s="80"/>
      <c r="V1873" s="80"/>
      <c r="W1873" s="80"/>
    </row>
    <row r="1874" ht="18" customHeight="1" spans="1:23">
      <c r="A1874" s="87" t="str">
        <f t="shared" si="87"/>
        <v/>
      </c>
      <c r="B1874" s="78"/>
      <c r="C1874" s="80"/>
      <c r="D1874" s="79"/>
      <c r="E1874" s="80"/>
      <c r="F1874" s="79"/>
      <c r="G1874" s="25" t="str">
        <f t="shared" si="88"/>
        <v/>
      </c>
      <c r="H1874" s="88"/>
      <c r="I1874" s="93"/>
      <c r="J1874" s="97"/>
      <c r="K1874" s="88"/>
      <c r="L1874" s="25" t="str">
        <f>IF($D1874="","",SUMIFS($H$4:$H1874,$D$4:$D1874,$D1874)+SUMIFS($I$4:$I1874,$D$4:$D1874,$D1874)-SUMIFS($J$4:$J1874,$D$4:$D1874,$D1874)-SUMIFS($K$4:$K1874,$D$4:$D1874,$D1874))</f>
        <v/>
      </c>
      <c r="M1874" s="80"/>
      <c r="N1874" s="80"/>
      <c r="O1874" s="94"/>
      <c r="P1874" s="26" t="str">
        <f t="shared" si="89"/>
        <v/>
      </c>
      <c r="Q1874" s="80"/>
      <c r="R1874" s="80"/>
      <c r="S1874" s="80"/>
      <c r="T1874" s="82"/>
      <c r="U1874" s="80"/>
      <c r="V1874" s="80"/>
      <c r="W1874" s="80"/>
    </row>
    <row r="1875" ht="18" customHeight="1" spans="1:23">
      <c r="A1875" s="87" t="str">
        <f t="shared" si="87"/>
        <v/>
      </c>
      <c r="B1875" s="78"/>
      <c r="C1875" s="80"/>
      <c r="D1875" s="79"/>
      <c r="E1875" s="80"/>
      <c r="F1875" s="79"/>
      <c r="G1875" s="25" t="str">
        <f t="shared" si="88"/>
        <v/>
      </c>
      <c r="H1875" s="88"/>
      <c r="I1875" s="93"/>
      <c r="J1875" s="97"/>
      <c r="K1875" s="88"/>
      <c r="L1875" s="25" t="str">
        <f>IF($D1875="","",SUMIFS($H$4:$H1875,$D$4:$D1875,$D1875)+SUMIFS($I$4:$I1875,$D$4:$D1875,$D1875)-SUMIFS($J$4:$J1875,$D$4:$D1875,$D1875)-SUMIFS($K$4:$K1875,$D$4:$D1875,$D1875))</f>
        <v/>
      </c>
      <c r="M1875" s="80"/>
      <c r="N1875" s="80"/>
      <c r="O1875" s="94"/>
      <c r="P1875" s="26" t="str">
        <f t="shared" si="89"/>
        <v/>
      </c>
      <c r="Q1875" s="80"/>
      <c r="R1875" s="80"/>
      <c r="S1875" s="80"/>
      <c r="T1875" s="82"/>
      <c r="U1875" s="80"/>
      <c r="V1875" s="80"/>
      <c r="W1875" s="80"/>
    </row>
    <row r="1876" ht="18" customHeight="1" spans="1:23">
      <c r="A1876" s="87" t="str">
        <f t="shared" si="87"/>
        <v/>
      </c>
      <c r="B1876" s="78"/>
      <c r="C1876" s="80"/>
      <c r="D1876" s="79"/>
      <c r="E1876" s="80"/>
      <c r="F1876" s="79"/>
      <c r="G1876" s="25" t="str">
        <f t="shared" si="88"/>
        <v/>
      </c>
      <c r="H1876" s="88"/>
      <c r="I1876" s="93"/>
      <c r="J1876" s="97"/>
      <c r="K1876" s="88"/>
      <c r="L1876" s="25" t="str">
        <f>IF($D1876="","",SUMIFS($H$4:$H1876,$D$4:$D1876,$D1876)+SUMIFS($I$4:$I1876,$D$4:$D1876,$D1876)-SUMIFS($J$4:$J1876,$D$4:$D1876,$D1876)-SUMIFS($K$4:$K1876,$D$4:$D1876,$D1876))</f>
        <v/>
      </c>
      <c r="M1876" s="80"/>
      <c r="N1876" s="80"/>
      <c r="O1876" s="94"/>
      <c r="P1876" s="26" t="str">
        <f t="shared" si="89"/>
        <v/>
      </c>
      <c r="Q1876" s="80"/>
      <c r="R1876" s="80"/>
      <c r="S1876" s="80"/>
      <c r="T1876" s="82"/>
      <c r="U1876" s="80"/>
      <c r="V1876" s="80"/>
      <c r="W1876" s="80"/>
    </row>
    <row r="1877" ht="18" customHeight="1" spans="1:23">
      <c r="A1877" s="87" t="str">
        <f t="shared" si="87"/>
        <v/>
      </c>
      <c r="B1877" s="78"/>
      <c r="C1877" s="80"/>
      <c r="D1877" s="79"/>
      <c r="E1877" s="80"/>
      <c r="F1877" s="79"/>
      <c r="G1877" s="25" t="str">
        <f t="shared" si="88"/>
        <v/>
      </c>
      <c r="H1877" s="88"/>
      <c r="I1877" s="93"/>
      <c r="J1877" s="97"/>
      <c r="K1877" s="88"/>
      <c r="L1877" s="25" t="str">
        <f>IF($D1877="","",SUMIFS($H$4:$H1877,$D$4:$D1877,$D1877)+SUMIFS($I$4:$I1877,$D$4:$D1877,$D1877)-SUMIFS($J$4:$J1877,$D$4:$D1877,$D1877)-SUMIFS($K$4:$K1877,$D$4:$D1877,$D1877))</f>
        <v/>
      </c>
      <c r="M1877" s="80"/>
      <c r="N1877" s="80"/>
      <c r="O1877" s="94"/>
      <c r="P1877" s="26" t="str">
        <f t="shared" si="89"/>
        <v/>
      </c>
      <c r="Q1877" s="80"/>
      <c r="R1877" s="80"/>
      <c r="S1877" s="80"/>
      <c r="T1877" s="82"/>
      <c r="U1877" s="80"/>
      <c r="V1877" s="80"/>
      <c r="W1877" s="80"/>
    </row>
    <row r="1878" ht="18" customHeight="1" spans="1:23">
      <c r="A1878" s="87" t="str">
        <f t="shared" si="87"/>
        <v/>
      </c>
      <c r="B1878" s="78"/>
      <c r="C1878" s="80"/>
      <c r="D1878" s="79"/>
      <c r="E1878" s="80"/>
      <c r="F1878" s="79"/>
      <c r="G1878" s="25" t="str">
        <f t="shared" si="88"/>
        <v/>
      </c>
      <c r="H1878" s="88"/>
      <c r="I1878" s="93"/>
      <c r="J1878" s="97"/>
      <c r="K1878" s="88"/>
      <c r="L1878" s="25" t="str">
        <f>IF($D1878="","",SUMIFS($H$4:$H1878,$D$4:$D1878,$D1878)+SUMIFS($I$4:$I1878,$D$4:$D1878,$D1878)-SUMIFS($J$4:$J1878,$D$4:$D1878,$D1878)-SUMIFS($K$4:$K1878,$D$4:$D1878,$D1878))</f>
        <v/>
      </c>
      <c r="M1878" s="80"/>
      <c r="N1878" s="80"/>
      <c r="O1878" s="94"/>
      <c r="P1878" s="26" t="str">
        <f t="shared" si="89"/>
        <v/>
      </c>
      <c r="Q1878" s="80"/>
      <c r="R1878" s="80"/>
      <c r="S1878" s="80"/>
      <c r="T1878" s="82"/>
      <c r="U1878" s="80"/>
      <c r="V1878" s="80"/>
      <c r="W1878" s="80"/>
    </row>
    <row r="1879" ht="18" customHeight="1" spans="1:23">
      <c r="A1879" s="87" t="str">
        <f t="shared" si="87"/>
        <v/>
      </c>
      <c r="B1879" s="78"/>
      <c r="C1879" s="80"/>
      <c r="D1879" s="79"/>
      <c r="E1879" s="80"/>
      <c r="F1879" s="79"/>
      <c r="G1879" s="25" t="str">
        <f t="shared" si="88"/>
        <v/>
      </c>
      <c r="H1879" s="88"/>
      <c r="I1879" s="93"/>
      <c r="J1879" s="97"/>
      <c r="K1879" s="88"/>
      <c r="L1879" s="25" t="str">
        <f>IF($D1879="","",SUMIFS($H$4:$H1879,$D$4:$D1879,$D1879)+SUMIFS($I$4:$I1879,$D$4:$D1879,$D1879)-SUMIFS($J$4:$J1879,$D$4:$D1879,$D1879)-SUMIFS($K$4:$K1879,$D$4:$D1879,$D1879))</f>
        <v/>
      </c>
      <c r="M1879" s="80"/>
      <c r="N1879" s="80"/>
      <c r="O1879" s="94"/>
      <c r="P1879" s="26" t="str">
        <f t="shared" si="89"/>
        <v/>
      </c>
      <c r="Q1879" s="80"/>
      <c r="R1879" s="80"/>
      <c r="S1879" s="80"/>
      <c r="T1879" s="82"/>
      <c r="U1879" s="80"/>
      <c r="V1879" s="80"/>
      <c r="W1879" s="80"/>
    </row>
    <row r="1880" ht="18" customHeight="1" spans="1:23">
      <c r="A1880" s="87" t="str">
        <f t="shared" si="87"/>
        <v/>
      </c>
      <c r="B1880" s="78"/>
      <c r="C1880" s="80"/>
      <c r="D1880" s="79"/>
      <c r="E1880" s="80"/>
      <c r="F1880" s="79"/>
      <c r="G1880" s="25" t="str">
        <f t="shared" si="88"/>
        <v/>
      </c>
      <c r="H1880" s="88"/>
      <c r="I1880" s="93"/>
      <c r="J1880" s="97"/>
      <c r="K1880" s="88"/>
      <c r="L1880" s="25" t="str">
        <f>IF($D1880="","",SUMIFS($H$4:$H1880,$D$4:$D1880,$D1880)+SUMIFS($I$4:$I1880,$D$4:$D1880,$D1880)-SUMIFS($J$4:$J1880,$D$4:$D1880,$D1880)-SUMIFS($K$4:$K1880,$D$4:$D1880,$D1880))</f>
        <v/>
      </c>
      <c r="M1880" s="80"/>
      <c r="N1880" s="80"/>
      <c r="O1880" s="94"/>
      <c r="P1880" s="26" t="str">
        <f t="shared" si="89"/>
        <v/>
      </c>
      <c r="Q1880" s="80"/>
      <c r="R1880" s="80"/>
      <c r="S1880" s="80"/>
      <c r="T1880" s="82"/>
      <c r="U1880" s="80"/>
      <c r="V1880" s="80"/>
      <c r="W1880" s="80"/>
    </row>
    <row r="1881" ht="18" customHeight="1" spans="1:23">
      <c r="A1881" s="87" t="str">
        <f t="shared" si="87"/>
        <v/>
      </c>
      <c r="B1881" s="78"/>
      <c r="C1881" s="80"/>
      <c r="D1881" s="79"/>
      <c r="E1881" s="80"/>
      <c r="F1881" s="79"/>
      <c r="G1881" s="25" t="str">
        <f t="shared" si="88"/>
        <v/>
      </c>
      <c r="H1881" s="88"/>
      <c r="I1881" s="93"/>
      <c r="J1881" s="97"/>
      <c r="K1881" s="88"/>
      <c r="L1881" s="25" t="str">
        <f>IF($D1881="","",SUMIFS($H$4:$H1881,$D$4:$D1881,$D1881)+SUMIFS($I$4:$I1881,$D$4:$D1881,$D1881)-SUMIFS($J$4:$J1881,$D$4:$D1881,$D1881)-SUMIFS($K$4:$K1881,$D$4:$D1881,$D1881))</f>
        <v/>
      </c>
      <c r="M1881" s="80"/>
      <c r="N1881" s="80"/>
      <c r="O1881" s="94"/>
      <c r="P1881" s="26" t="str">
        <f t="shared" si="89"/>
        <v/>
      </c>
      <c r="Q1881" s="80"/>
      <c r="R1881" s="80"/>
      <c r="S1881" s="80"/>
      <c r="T1881" s="82"/>
      <c r="U1881" s="80"/>
      <c r="V1881" s="80"/>
      <c r="W1881" s="80"/>
    </row>
    <row r="1882" ht="18" customHeight="1" spans="1:23">
      <c r="A1882" s="87" t="str">
        <f t="shared" si="87"/>
        <v/>
      </c>
      <c r="B1882" s="78"/>
      <c r="C1882" s="80"/>
      <c r="D1882" s="79"/>
      <c r="E1882" s="80"/>
      <c r="F1882" s="79"/>
      <c r="G1882" s="25" t="str">
        <f t="shared" si="88"/>
        <v/>
      </c>
      <c r="H1882" s="88"/>
      <c r="I1882" s="93"/>
      <c r="J1882" s="97"/>
      <c r="K1882" s="88"/>
      <c r="L1882" s="25" t="str">
        <f>IF($D1882="","",SUMIFS($H$4:$H1882,$D$4:$D1882,$D1882)+SUMIFS($I$4:$I1882,$D$4:$D1882,$D1882)-SUMIFS($J$4:$J1882,$D$4:$D1882,$D1882)-SUMIFS($K$4:$K1882,$D$4:$D1882,$D1882))</f>
        <v/>
      </c>
      <c r="M1882" s="80"/>
      <c r="N1882" s="80"/>
      <c r="O1882" s="94"/>
      <c r="P1882" s="26" t="str">
        <f t="shared" si="89"/>
        <v/>
      </c>
      <c r="Q1882" s="80"/>
      <c r="R1882" s="80"/>
      <c r="S1882" s="80"/>
      <c r="T1882" s="82"/>
      <c r="U1882" s="80"/>
      <c r="V1882" s="80"/>
      <c r="W1882" s="80"/>
    </row>
    <row r="1883" ht="18" customHeight="1" spans="1:23">
      <c r="A1883" s="87" t="str">
        <f t="shared" si="87"/>
        <v/>
      </c>
      <c r="B1883" s="78"/>
      <c r="C1883" s="80"/>
      <c r="D1883" s="79"/>
      <c r="E1883" s="80"/>
      <c r="F1883" s="79"/>
      <c r="G1883" s="25" t="str">
        <f t="shared" si="88"/>
        <v/>
      </c>
      <c r="H1883" s="88"/>
      <c r="I1883" s="93"/>
      <c r="J1883" s="97"/>
      <c r="K1883" s="88"/>
      <c r="L1883" s="25" t="str">
        <f>IF($D1883="","",SUMIFS($H$4:$H1883,$D$4:$D1883,$D1883)+SUMIFS($I$4:$I1883,$D$4:$D1883,$D1883)-SUMIFS($J$4:$J1883,$D$4:$D1883,$D1883)-SUMIFS($K$4:$K1883,$D$4:$D1883,$D1883))</f>
        <v/>
      </c>
      <c r="M1883" s="80"/>
      <c r="N1883" s="80"/>
      <c r="O1883" s="94"/>
      <c r="P1883" s="26" t="str">
        <f t="shared" si="89"/>
        <v/>
      </c>
      <c r="Q1883" s="80"/>
      <c r="R1883" s="80"/>
      <c r="S1883" s="80"/>
      <c r="T1883" s="82"/>
      <c r="U1883" s="80"/>
      <c r="V1883" s="80"/>
      <c r="W1883" s="80"/>
    </row>
    <row r="1884" ht="18" customHeight="1" spans="1:23">
      <c r="A1884" s="87" t="str">
        <f t="shared" si="87"/>
        <v/>
      </c>
      <c r="B1884" s="78"/>
      <c r="C1884" s="80"/>
      <c r="D1884" s="79"/>
      <c r="E1884" s="80"/>
      <c r="F1884" s="79"/>
      <c r="G1884" s="25" t="str">
        <f t="shared" si="88"/>
        <v/>
      </c>
      <c r="H1884" s="88"/>
      <c r="I1884" s="93"/>
      <c r="J1884" s="97"/>
      <c r="K1884" s="88"/>
      <c r="L1884" s="25" t="str">
        <f>IF($D1884="","",SUMIFS($H$4:$H1884,$D$4:$D1884,$D1884)+SUMIFS($I$4:$I1884,$D$4:$D1884,$D1884)-SUMIFS($J$4:$J1884,$D$4:$D1884,$D1884)-SUMIFS($K$4:$K1884,$D$4:$D1884,$D1884))</f>
        <v/>
      </c>
      <c r="M1884" s="80"/>
      <c r="N1884" s="80"/>
      <c r="O1884" s="94"/>
      <c r="P1884" s="26" t="str">
        <f t="shared" si="89"/>
        <v/>
      </c>
      <c r="Q1884" s="80"/>
      <c r="R1884" s="80"/>
      <c r="S1884" s="80"/>
      <c r="T1884" s="82"/>
      <c r="U1884" s="80"/>
      <c r="V1884" s="80"/>
      <c r="W1884" s="80"/>
    </row>
    <row r="1885" ht="18" customHeight="1" spans="1:23">
      <c r="A1885" s="87" t="str">
        <f t="shared" si="87"/>
        <v/>
      </c>
      <c r="B1885" s="78"/>
      <c r="C1885" s="80"/>
      <c r="D1885" s="79"/>
      <c r="E1885" s="80"/>
      <c r="F1885" s="79"/>
      <c r="G1885" s="25" t="str">
        <f t="shared" si="88"/>
        <v/>
      </c>
      <c r="H1885" s="88"/>
      <c r="I1885" s="93"/>
      <c r="J1885" s="97"/>
      <c r="K1885" s="88"/>
      <c r="L1885" s="25" t="str">
        <f>IF($D1885="","",SUMIFS($H$4:$H1885,$D$4:$D1885,$D1885)+SUMIFS($I$4:$I1885,$D$4:$D1885,$D1885)-SUMIFS($J$4:$J1885,$D$4:$D1885,$D1885)-SUMIFS($K$4:$K1885,$D$4:$D1885,$D1885))</f>
        <v/>
      </c>
      <c r="M1885" s="80"/>
      <c r="N1885" s="80"/>
      <c r="O1885" s="94"/>
      <c r="P1885" s="26" t="str">
        <f t="shared" si="89"/>
        <v/>
      </c>
      <c r="Q1885" s="80"/>
      <c r="R1885" s="80"/>
      <c r="S1885" s="80"/>
      <c r="T1885" s="82"/>
      <c r="U1885" s="80"/>
      <c r="V1885" s="80"/>
      <c r="W1885" s="80"/>
    </row>
    <row r="1886" ht="18" customHeight="1" spans="1:23">
      <c r="A1886" s="87" t="str">
        <f t="shared" si="87"/>
        <v/>
      </c>
      <c r="B1886" s="78"/>
      <c r="C1886" s="80"/>
      <c r="D1886" s="79"/>
      <c r="E1886" s="80"/>
      <c r="F1886" s="79"/>
      <c r="G1886" s="25" t="str">
        <f t="shared" si="88"/>
        <v/>
      </c>
      <c r="H1886" s="88"/>
      <c r="I1886" s="93"/>
      <c r="J1886" s="97"/>
      <c r="K1886" s="88"/>
      <c r="L1886" s="25" t="str">
        <f>IF($D1886="","",SUMIFS($H$4:$H1886,$D$4:$D1886,$D1886)+SUMIFS($I$4:$I1886,$D$4:$D1886,$D1886)-SUMIFS($J$4:$J1886,$D$4:$D1886,$D1886)-SUMIFS($K$4:$K1886,$D$4:$D1886,$D1886))</f>
        <v/>
      </c>
      <c r="M1886" s="80"/>
      <c r="N1886" s="80"/>
      <c r="O1886" s="94"/>
      <c r="P1886" s="26" t="str">
        <f t="shared" si="89"/>
        <v/>
      </c>
      <c r="Q1886" s="80"/>
      <c r="R1886" s="80"/>
      <c r="S1886" s="80"/>
      <c r="T1886" s="82"/>
      <c r="U1886" s="80"/>
      <c r="V1886" s="80"/>
      <c r="W1886" s="80"/>
    </row>
    <row r="1887" ht="18" customHeight="1" spans="1:23">
      <c r="A1887" s="87" t="str">
        <f t="shared" si="87"/>
        <v/>
      </c>
      <c r="B1887" s="78"/>
      <c r="C1887" s="80"/>
      <c r="D1887" s="79"/>
      <c r="E1887" s="80"/>
      <c r="F1887" s="79"/>
      <c r="G1887" s="25" t="str">
        <f t="shared" si="88"/>
        <v/>
      </c>
      <c r="H1887" s="88"/>
      <c r="I1887" s="93"/>
      <c r="J1887" s="97"/>
      <c r="K1887" s="88"/>
      <c r="L1887" s="25" t="str">
        <f>IF($D1887="","",SUMIFS($H$4:$H1887,$D$4:$D1887,$D1887)+SUMIFS($I$4:$I1887,$D$4:$D1887,$D1887)-SUMIFS($J$4:$J1887,$D$4:$D1887,$D1887)-SUMIFS($K$4:$K1887,$D$4:$D1887,$D1887))</f>
        <v/>
      </c>
      <c r="M1887" s="80"/>
      <c r="N1887" s="80"/>
      <c r="O1887" s="94"/>
      <c r="P1887" s="26" t="str">
        <f t="shared" si="89"/>
        <v/>
      </c>
      <c r="Q1887" s="80"/>
      <c r="R1887" s="80"/>
      <c r="S1887" s="80"/>
      <c r="T1887" s="82"/>
      <c r="U1887" s="80"/>
      <c r="V1887" s="80"/>
      <c r="W1887" s="80"/>
    </row>
    <row r="1888" ht="18" customHeight="1" spans="1:23">
      <c r="A1888" s="87" t="str">
        <f t="shared" si="87"/>
        <v/>
      </c>
      <c r="B1888" s="78"/>
      <c r="C1888" s="80"/>
      <c r="D1888" s="79"/>
      <c r="E1888" s="80"/>
      <c r="F1888" s="79"/>
      <c r="G1888" s="25" t="str">
        <f t="shared" si="88"/>
        <v/>
      </c>
      <c r="H1888" s="88"/>
      <c r="I1888" s="93"/>
      <c r="J1888" s="97"/>
      <c r="K1888" s="88"/>
      <c r="L1888" s="25" t="str">
        <f>IF($D1888="","",SUMIFS($H$4:$H1888,$D$4:$D1888,$D1888)+SUMIFS($I$4:$I1888,$D$4:$D1888,$D1888)-SUMIFS($J$4:$J1888,$D$4:$D1888,$D1888)-SUMIFS($K$4:$K1888,$D$4:$D1888,$D1888))</f>
        <v/>
      </c>
      <c r="M1888" s="80"/>
      <c r="N1888" s="80"/>
      <c r="O1888" s="94"/>
      <c r="P1888" s="26" t="str">
        <f t="shared" si="89"/>
        <v/>
      </c>
      <c r="Q1888" s="80"/>
      <c r="R1888" s="80"/>
      <c r="S1888" s="80"/>
      <c r="T1888" s="82"/>
      <c r="U1888" s="80"/>
      <c r="V1888" s="80"/>
      <c r="W1888" s="80"/>
    </row>
    <row r="1889" ht="18" customHeight="1" spans="1:23">
      <c r="A1889" s="87" t="str">
        <f t="shared" si="87"/>
        <v/>
      </c>
      <c r="B1889" s="78"/>
      <c r="C1889" s="80"/>
      <c r="D1889" s="79"/>
      <c r="E1889" s="80"/>
      <c r="F1889" s="79"/>
      <c r="G1889" s="25" t="str">
        <f t="shared" si="88"/>
        <v/>
      </c>
      <c r="H1889" s="88"/>
      <c r="I1889" s="93"/>
      <c r="J1889" s="97"/>
      <c r="K1889" s="88"/>
      <c r="L1889" s="25" t="str">
        <f>IF($D1889="","",SUMIFS($H$4:$H1889,$D$4:$D1889,$D1889)+SUMIFS($I$4:$I1889,$D$4:$D1889,$D1889)-SUMIFS($J$4:$J1889,$D$4:$D1889,$D1889)-SUMIFS($K$4:$K1889,$D$4:$D1889,$D1889))</f>
        <v/>
      </c>
      <c r="M1889" s="80"/>
      <c r="N1889" s="80"/>
      <c r="O1889" s="94"/>
      <c r="P1889" s="26" t="str">
        <f t="shared" si="89"/>
        <v/>
      </c>
      <c r="Q1889" s="80"/>
      <c r="R1889" s="80"/>
      <c r="S1889" s="80"/>
      <c r="T1889" s="82"/>
      <c r="U1889" s="80"/>
      <c r="V1889" s="80"/>
      <c r="W1889" s="80"/>
    </row>
    <row r="1890" ht="18" customHeight="1" spans="1:23">
      <c r="A1890" s="87" t="str">
        <f t="shared" si="87"/>
        <v/>
      </c>
      <c r="B1890" s="78"/>
      <c r="C1890" s="80"/>
      <c r="D1890" s="79"/>
      <c r="E1890" s="80"/>
      <c r="F1890" s="79"/>
      <c r="G1890" s="25" t="str">
        <f t="shared" si="88"/>
        <v/>
      </c>
      <c r="H1890" s="88"/>
      <c r="I1890" s="93"/>
      <c r="J1890" s="97"/>
      <c r="K1890" s="88"/>
      <c r="L1890" s="25" t="str">
        <f>IF($D1890="","",SUMIFS($H$4:$H1890,$D$4:$D1890,$D1890)+SUMIFS($I$4:$I1890,$D$4:$D1890,$D1890)-SUMIFS($J$4:$J1890,$D$4:$D1890,$D1890)-SUMIFS($K$4:$K1890,$D$4:$D1890,$D1890))</f>
        <v/>
      </c>
      <c r="M1890" s="80"/>
      <c r="N1890" s="80"/>
      <c r="O1890" s="94"/>
      <c r="P1890" s="26" t="str">
        <f t="shared" si="89"/>
        <v/>
      </c>
      <c r="Q1890" s="80"/>
      <c r="R1890" s="80"/>
      <c r="S1890" s="80"/>
      <c r="T1890" s="82"/>
      <c r="U1890" s="80"/>
      <c r="V1890" s="80"/>
      <c r="W1890" s="80"/>
    </row>
    <row r="1891" ht="18" customHeight="1" spans="1:23">
      <c r="A1891" s="87" t="str">
        <f t="shared" si="87"/>
        <v/>
      </c>
      <c r="B1891" s="78"/>
      <c r="C1891" s="80"/>
      <c r="D1891" s="79"/>
      <c r="E1891" s="80"/>
      <c r="F1891" s="79"/>
      <c r="G1891" s="25" t="str">
        <f t="shared" si="88"/>
        <v/>
      </c>
      <c r="H1891" s="88"/>
      <c r="I1891" s="93"/>
      <c r="J1891" s="97"/>
      <c r="K1891" s="88"/>
      <c r="L1891" s="25" t="str">
        <f>IF($D1891="","",SUMIFS($H$4:$H1891,$D$4:$D1891,$D1891)+SUMIFS($I$4:$I1891,$D$4:$D1891,$D1891)-SUMIFS($J$4:$J1891,$D$4:$D1891,$D1891)-SUMIFS($K$4:$K1891,$D$4:$D1891,$D1891))</f>
        <v/>
      </c>
      <c r="M1891" s="80"/>
      <c r="N1891" s="80"/>
      <c r="O1891" s="94"/>
      <c r="P1891" s="26" t="str">
        <f t="shared" si="89"/>
        <v/>
      </c>
      <c r="Q1891" s="80"/>
      <c r="R1891" s="80"/>
      <c r="S1891" s="80"/>
      <c r="T1891" s="82"/>
      <c r="U1891" s="80"/>
      <c r="V1891" s="80"/>
      <c r="W1891" s="80"/>
    </row>
    <row r="1892" ht="18" customHeight="1" spans="1:23">
      <c r="A1892" s="87" t="str">
        <f t="shared" si="87"/>
        <v/>
      </c>
      <c r="B1892" s="78"/>
      <c r="C1892" s="80"/>
      <c r="D1892" s="79"/>
      <c r="E1892" s="80"/>
      <c r="F1892" s="79"/>
      <c r="G1892" s="25" t="str">
        <f t="shared" si="88"/>
        <v/>
      </c>
      <c r="H1892" s="88"/>
      <c r="I1892" s="93"/>
      <c r="J1892" s="97"/>
      <c r="K1892" s="88"/>
      <c r="L1892" s="25" t="str">
        <f>IF($D1892="","",SUMIFS($H$4:$H1892,$D$4:$D1892,$D1892)+SUMIFS($I$4:$I1892,$D$4:$D1892,$D1892)-SUMIFS($J$4:$J1892,$D$4:$D1892,$D1892)-SUMIFS($K$4:$K1892,$D$4:$D1892,$D1892))</f>
        <v/>
      </c>
      <c r="M1892" s="80"/>
      <c r="N1892" s="80"/>
      <c r="O1892" s="94"/>
      <c r="P1892" s="26" t="str">
        <f t="shared" si="89"/>
        <v/>
      </c>
      <c r="Q1892" s="80"/>
      <c r="R1892" s="80"/>
      <c r="S1892" s="80"/>
      <c r="T1892" s="82"/>
      <c r="U1892" s="80"/>
      <c r="V1892" s="80"/>
      <c r="W1892" s="80"/>
    </row>
    <row r="1893" ht="18" customHeight="1" spans="1:23">
      <c r="A1893" s="87" t="str">
        <f t="shared" si="87"/>
        <v/>
      </c>
      <c r="B1893" s="78"/>
      <c r="C1893" s="80"/>
      <c r="D1893" s="79"/>
      <c r="E1893" s="80"/>
      <c r="F1893" s="79"/>
      <c r="G1893" s="25" t="str">
        <f t="shared" si="88"/>
        <v/>
      </c>
      <c r="H1893" s="88"/>
      <c r="I1893" s="93"/>
      <c r="J1893" s="97"/>
      <c r="K1893" s="88"/>
      <c r="L1893" s="25" t="str">
        <f>IF($D1893="","",SUMIFS($H$4:$H1893,$D$4:$D1893,$D1893)+SUMIFS($I$4:$I1893,$D$4:$D1893,$D1893)-SUMIFS($J$4:$J1893,$D$4:$D1893,$D1893)-SUMIFS($K$4:$K1893,$D$4:$D1893,$D1893))</f>
        <v/>
      </c>
      <c r="M1893" s="80"/>
      <c r="N1893" s="80"/>
      <c r="O1893" s="94"/>
      <c r="P1893" s="26" t="str">
        <f t="shared" si="89"/>
        <v/>
      </c>
      <c r="Q1893" s="80"/>
      <c r="R1893" s="80"/>
      <c r="S1893" s="80"/>
      <c r="T1893" s="82"/>
      <c r="U1893" s="80"/>
      <c r="V1893" s="80"/>
      <c r="W1893" s="80"/>
    </row>
    <row r="1894" ht="18" customHeight="1" spans="1:23">
      <c r="A1894" s="87" t="str">
        <f t="shared" si="87"/>
        <v/>
      </c>
      <c r="B1894" s="78"/>
      <c r="C1894" s="80"/>
      <c r="D1894" s="79"/>
      <c r="E1894" s="80"/>
      <c r="F1894" s="79"/>
      <c r="G1894" s="25" t="str">
        <f t="shared" si="88"/>
        <v/>
      </c>
      <c r="H1894" s="88"/>
      <c r="I1894" s="93"/>
      <c r="J1894" s="97"/>
      <c r="K1894" s="88"/>
      <c r="L1894" s="25" t="str">
        <f>IF($D1894="","",SUMIFS($H$4:$H1894,$D$4:$D1894,$D1894)+SUMIFS($I$4:$I1894,$D$4:$D1894,$D1894)-SUMIFS($J$4:$J1894,$D$4:$D1894,$D1894)-SUMIFS($K$4:$K1894,$D$4:$D1894,$D1894))</f>
        <v/>
      </c>
      <c r="M1894" s="80"/>
      <c r="N1894" s="80"/>
      <c r="O1894" s="94"/>
      <c r="P1894" s="26" t="str">
        <f t="shared" si="89"/>
        <v/>
      </c>
      <c r="Q1894" s="80"/>
      <c r="R1894" s="80"/>
      <c r="S1894" s="80"/>
      <c r="T1894" s="82"/>
      <c r="U1894" s="80"/>
      <c r="V1894" s="80"/>
      <c r="W1894" s="80"/>
    </row>
    <row r="1895" ht="18" customHeight="1" spans="1:23">
      <c r="A1895" s="87" t="str">
        <f t="shared" si="87"/>
        <v/>
      </c>
      <c r="B1895" s="78"/>
      <c r="C1895" s="80"/>
      <c r="D1895" s="79"/>
      <c r="E1895" s="80"/>
      <c r="F1895" s="79"/>
      <c r="G1895" s="25" t="str">
        <f t="shared" si="88"/>
        <v/>
      </c>
      <c r="H1895" s="88"/>
      <c r="I1895" s="93"/>
      <c r="J1895" s="97"/>
      <c r="K1895" s="88"/>
      <c r="L1895" s="25" t="str">
        <f>IF($D1895="","",SUMIFS($H$4:$H1895,$D$4:$D1895,$D1895)+SUMIFS($I$4:$I1895,$D$4:$D1895,$D1895)-SUMIFS($J$4:$J1895,$D$4:$D1895,$D1895)-SUMIFS($K$4:$K1895,$D$4:$D1895,$D1895))</f>
        <v/>
      </c>
      <c r="M1895" s="80"/>
      <c r="N1895" s="80"/>
      <c r="O1895" s="94"/>
      <c r="P1895" s="26" t="str">
        <f t="shared" si="89"/>
        <v/>
      </c>
      <c r="Q1895" s="80"/>
      <c r="R1895" s="80"/>
      <c r="S1895" s="80"/>
      <c r="T1895" s="82"/>
      <c r="U1895" s="80"/>
      <c r="V1895" s="80"/>
      <c r="W1895" s="80"/>
    </row>
    <row r="1896" ht="18" customHeight="1" spans="1:23">
      <c r="A1896" s="87" t="str">
        <f t="shared" si="87"/>
        <v/>
      </c>
      <c r="B1896" s="78"/>
      <c r="C1896" s="80"/>
      <c r="D1896" s="79"/>
      <c r="E1896" s="80"/>
      <c r="F1896" s="79"/>
      <c r="G1896" s="25" t="str">
        <f t="shared" si="88"/>
        <v/>
      </c>
      <c r="H1896" s="88"/>
      <c r="I1896" s="93"/>
      <c r="J1896" s="97"/>
      <c r="K1896" s="88"/>
      <c r="L1896" s="25" t="str">
        <f>IF($D1896="","",SUMIFS($H$4:$H1896,$D$4:$D1896,$D1896)+SUMIFS($I$4:$I1896,$D$4:$D1896,$D1896)-SUMIFS($J$4:$J1896,$D$4:$D1896,$D1896)-SUMIFS($K$4:$K1896,$D$4:$D1896,$D1896))</f>
        <v/>
      </c>
      <c r="M1896" s="80"/>
      <c r="N1896" s="80"/>
      <c r="O1896" s="94"/>
      <c r="P1896" s="26" t="str">
        <f t="shared" si="89"/>
        <v/>
      </c>
      <c r="Q1896" s="80"/>
      <c r="R1896" s="80"/>
      <c r="S1896" s="80"/>
      <c r="T1896" s="82"/>
      <c r="U1896" s="80"/>
      <c r="V1896" s="80"/>
      <c r="W1896" s="80"/>
    </row>
    <row r="1897" ht="18" customHeight="1" spans="1:23">
      <c r="A1897" s="87" t="str">
        <f t="shared" si="87"/>
        <v/>
      </c>
      <c r="B1897" s="78"/>
      <c r="C1897" s="80"/>
      <c r="D1897" s="79"/>
      <c r="E1897" s="80"/>
      <c r="F1897" s="79"/>
      <c r="G1897" s="25" t="str">
        <f t="shared" si="88"/>
        <v/>
      </c>
      <c r="H1897" s="88"/>
      <c r="I1897" s="93"/>
      <c r="J1897" s="97"/>
      <c r="K1897" s="88"/>
      <c r="L1897" s="25" t="str">
        <f>IF($D1897="","",SUMIFS($H$4:$H1897,$D$4:$D1897,$D1897)+SUMIFS($I$4:$I1897,$D$4:$D1897,$D1897)-SUMIFS($J$4:$J1897,$D$4:$D1897,$D1897)-SUMIFS($K$4:$K1897,$D$4:$D1897,$D1897))</f>
        <v/>
      </c>
      <c r="M1897" s="80"/>
      <c r="N1897" s="80"/>
      <c r="O1897" s="94"/>
      <c r="P1897" s="26" t="str">
        <f t="shared" si="89"/>
        <v/>
      </c>
      <c r="Q1897" s="80"/>
      <c r="R1897" s="80"/>
      <c r="S1897" s="80"/>
      <c r="T1897" s="82"/>
      <c r="U1897" s="80"/>
      <c r="V1897" s="80"/>
      <c r="W1897" s="80"/>
    </row>
    <row r="1898" ht="18" customHeight="1" spans="1:23">
      <c r="A1898" s="87" t="str">
        <f t="shared" si="87"/>
        <v/>
      </c>
      <c r="B1898" s="78"/>
      <c r="C1898" s="80"/>
      <c r="D1898" s="79"/>
      <c r="E1898" s="80"/>
      <c r="F1898" s="79"/>
      <c r="G1898" s="25" t="str">
        <f t="shared" si="88"/>
        <v/>
      </c>
      <c r="H1898" s="88"/>
      <c r="I1898" s="93"/>
      <c r="J1898" s="97"/>
      <c r="K1898" s="88"/>
      <c r="L1898" s="25" t="str">
        <f>IF($D1898="","",SUMIFS($H$4:$H1898,$D$4:$D1898,$D1898)+SUMIFS($I$4:$I1898,$D$4:$D1898,$D1898)-SUMIFS($J$4:$J1898,$D$4:$D1898,$D1898)-SUMIFS($K$4:$K1898,$D$4:$D1898,$D1898))</f>
        <v/>
      </c>
      <c r="M1898" s="80"/>
      <c r="N1898" s="80"/>
      <c r="O1898" s="94"/>
      <c r="P1898" s="26" t="str">
        <f t="shared" si="89"/>
        <v/>
      </c>
      <c r="Q1898" s="80"/>
      <c r="R1898" s="80"/>
      <c r="S1898" s="80"/>
      <c r="T1898" s="82"/>
      <c r="U1898" s="80"/>
      <c r="V1898" s="80"/>
      <c r="W1898" s="80"/>
    </row>
    <row r="1899" ht="18" customHeight="1" spans="1:23">
      <c r="A1899" s="87" t="str">
        <f t="shared" si="87"/>
        <v/>
      </c>
      <c r="B1899" s="78"/>
      <c r="C1899" s="80"/>
      <c r="D1899" s="79"/>
      <c r="E1899" s="80"/>
      <c r="F1899" s="79"/>
      <c r="G1899" s="25" t="str">
        <f t="shared" si="88"/>
        <v/>
      </c>
      <c r="H1899" s="88"/>
      <c r="I1899" s="93"/>
      <c r="J1899" s="97"/>
      <c r="K1899" s="88"/>
      <c r="L1899" s="25" t="str">
        <f>IF($D1899="","",SUMIFS($H$4:$H1899,$D$4:$D1899,$D1899)+SUMIFS($I$4:$I1899,$D$4:$D1899,$D1899)-SUMIFS($J$4:$J1899,$D$4:$D1899,$D1899)-SUMIFS($K$4:$K1899,$D$4:$D1899,$D1899))</f>
        <v/>
      </c>
      <c r="M1899" s="80"/>
      <c r="N1899" s="80"/>
      <c r="O1899" s="94"/>
      <c r="P1899" s="26" t="str">
        <f t="shared" si="89"/>
        <v/>
      </c>
      <c r="Q1899" s="80"/>
      <c r="R1899" s="80"/>
      <c r="S1899" s="80"/>
      <c r="T1899" s="82"/>
      <c r="U1899" s="80"/>
      <c r="V1899" s="80"/>
      <c r="W1899" s="80"/>
    </row>
    <row r="1900" ht="18" customHeight="1" spans="1:23">
      <c r="A1900" s="87" t="str">
        <f t="shared" si="87"/>
        <v/>
      </c>
      <c r="B1900" s="78"/>
      <c r="C1900" s="80"/>
      <c r="D1900" s="79"/>
      <c r="E1900" s="80"/>
      <c r="F1900" s="79"/>
      <c r="G1900" s="25" t="str">
        <f t="shared" si="88"/>
        <v/>
      </c>
      <c r="H1900" s="88"/>
      <c r="I1900" s="93"/>
      <c r="J1900" s="97"/>
      <c r="K1900" s="88"/>
      <c r="L1900" s="25" t="str">
        <f>IF($D1900="","",SUMIFS($H$4:$H1900,$D$4:$D1900,$D1900)+SUMIFS($I$4:$I1900,$D$4:$D1900,$D1900)-SUMIFS($J$4:$J1900,$D$4:$D1900,$D1900)-SUMIFS($K$4:$K1900,$D$4:$D1900,$D1900))</f>
        <v/>
      </c>
      <c r="M1900" s="80"/>
      <c r="N1900" s="80"/>
      <c r="O1900" s="94"/>
      <c r="P1900" s="26" t="str">
        <f t="shared" si="89"/>
        <v/>
      </c>
      <c r="Q1900" s="80"/>
      <c r="R1900" s="80"/>
      <c r="S1900" s="80"/>
      <c r="T1900" s="82"/>
      <c r="U1900" s="80"/>
      <c r="V1900" s="80"/>
      <c r="W1900" s="80"/>
    </row>
    <row r="1901" ht="18" customHeight="1" spans="1:23">
      <c r="A1901" s="87" t="str">
        <f t="shared" si="87"/>
        <v/>
      </c>
      <c r="B1901" s="78"/>
      <c r="C1901" s="80"/>
      <c r="D1901" s="79"/>
      <c r="E1901" s="80"/>
      <c r="F1901" s="79"/>
      <c r="G1901" s="25" t="str">
        <f t="shared" si="88"/>
        <v/>
      </c>
      <c r="H1901" s="88"/>
      <c r="I1901" s="93"/>
      <c r="J1901" s="97"/>
      <c r="K1901" s="88"/>
      <c r="L1901" s="25" t="str">
        <f>IF($D1901="","",SUMIFS($H$4:$H1901,$D$4:$D1901,$D1901)+SUMIFS($I$4:$I1901,$D$4:$D1901,$D1901)-SUMIFS($J$4:$J1901,$D$4:$D1901,$D1901)-SUMIFS($K$4:$K1901,$D$4:$D1901,$D1901))</f>
        <v/>
      </c>
      <c r="M1901" s="80"/>
      <c r="N1901" s="80"/>
      <c r="O1901" s="94"/>
      <c r="P1901" s="26" t="str">
        <f t="shared" si="89"/>
        <v/>
      </c>
      <c r="Q1901" s="80"/>
      <c r="R1901" s="80"/>
      <c r="S1901" s="80"/>
      <c r="T1901" s="82"/>
      <c r="U1901" s="80"/>
      <c r="V1901" s="80"/>
      <c r="W1901" s="80"/>
    </row>
    <row r="1902" ht="18" customHeight="1" spans="1:23">
      <c r="A1902" s="87" t="str">
        <f t="shared" si="87"/>
        <v/>
      </c>
      <c r="B1902" s="78"/>
      <c r="C1902" s="80"/>
      <c r="D1902" s="79"/>
      <c r="E1902" s="80"/>
      <c r="F1902" s="79"/>
      <c r="G1902" s="25" t="str">
        <f t="shared" si="88"/>
        <v/>
      </c>
      <c r="H1902" s="88"/>
      <c r="I1902" s="93"/>
      <c r="J1902" s="97"/>
      <c r="K1902" s="88"/>
      <c r="L1902" s="25" t="str">
        <f>IF($D1902="","",SUMIFS($H$4:$H1902,$D$4:$D1902,$D1902)+SUMIFS($I$4:$I1902,$D$4:$D1902,$D1902)-SUMIFS($J$4:$J1902,$D$4:$D1902,$D1902)-SUMIFS($K$4:$K1902,$D$4:$D1902,$D1902))</f>
        <v/>
      </c>
      <c r="M1902" s="80"/>
      <c r="N1902" s="80"/>
      <c r="O1902" s="94"/>
      <c r="P1902" s="26" t="str">
        <f t="shared" si="89"/>
        <v/>
      </c>
      <c r="Q1902" s="80"/>
      <c r="R1902" s="80"/>
      <c r="S1902" s="80"/>
      <c r="T1902" s="82"/>
      <c r="U1902" s="80"/>
      <c r="V1902" s="80"/>
      <c r="W1902" s="80"/>
    </row>
    <row r="1903" ht="18" customHeight="1" spans="1:23">
      <c r="A1903" s="87" t="str">
        <f t="shared" si="87"/>
        <v/>
      </c>
      <c r="B1903" s="78"/>
      <c r="C1903" s="80"/>
      <c r="D1903" s="79"/>
      <c r="E1903" s="80"/>
      <c r="F1903" s="79"/>
      <c r="G1903" s="25" t="str">
        <f t="shared" si="88"/>
        <v/>
      </c>
      <c r="H1903" s="88"/>
      <c r="I1903" s="93"/>
      <c r="J1903" s="97"/>
      <c r="K1903" s="88"/>
      <c r="L1903" s="25" t="str">
        <f>IF($D1903="","",SUMIFS($H$4:$H1903,$D$4:$D1903,$D1903)+SUMIFS($I$4:$I1903,$D$4:$D1903,$D1903)-SUMIFS($J$4:$J1903,$D$4:$D1903,$D1903)-SUMIFS($K$4:$K1903,$D$4:$D1903,$D1903))</f>
        <v/>
      </c>
      <c r="M1903" s="80"/>
      <c r="N1903" s="80"/>
      <c r="O1903" s="94"/>
      <c r="P1903" s="26" t="str">
        <f t="shared" si="89"/>
        <v/>
      </c>
      <c r="Q1903" s="80"/>
      <c r="R1903" s="80"/>
      <c r="S1903" s="80"/>
      <c r="T1903" s="82"/>
      <c r="U1903" s="80"/>
      <c r="V1903" s="80"/>
      <c r="W1903" s="80"/>
    </row>
    <row r="1904" ht="18" customHeight="1" spans="1:23">
      <c r="A1904" s="87" t="str">
        <f t="shared" si="87"/>
        <v/>
      </c>
      <c r="B1904" s="78"/>
      <c r="C1904" s="80"/>
      <c r="D1904" s="79"/>
      <c r="E1904" s="80"/>
      <c r="F1904" s="79"/>
      <c r="G1904" s="25" t="str">
        <f t="shared" si="88"/>
        <v/>
      </c>
      <c r="H1904" s="88"/>
      <c r="I1904" s="93"/>
      <c r="J1904" s="97"/>
      <c r="K1904" s="88"/>
      <c r="L1904" s="25" t="str">
        <f>IF($D1904="","",SUMIFS($H$4:$H1904,$D$4:$D1904,$D1904)+SUMIFS($I$4:$I1904,$D$4:$D1904,$D1904)-SUMIFS($J$4:$J1904,$D$4:$D1904,$D1904)-SUMIFS($K$4:$K1904,$D$4:$D1904,$D1904))</f>
        <v/>
      </c>
      <c r="M1904" s="80"/>
      <c r="N1904" s="80"/>
      <c r="O1904" s="94"/>
      <c r="P1904" s="26" t="str">
        <f t="shared" si="89"/>
        <v/>
      </c>
      <c r="Q1904" s="80"/>
      <c r="R1904" s="80"/>
      <c r="S1904" s="80"/>
      <c r="T1904" s="82"/>
      <c r="U1904" s="80"/>
      <c r="V1904" s="80"/>
      <c r="W1904" s="80"/>
    </row>
    <row r="1905" ht="18" customHeight="1" spans="1:23">
      <c r="A1905" s="87" t="str">
        <f t="shared" si="87"/>
        <v/>
      </c>
      <c r="B1905" s="78"/>
      <c r="C1905" s="80"/>
      <c r="D1905" s="79"/>
      <c r="E1905" s="80"/>
      <c r="F1905" s="79"/>
      <c r="G1905" s="25" t="str">
        <f t="shared" si="88"/>
        <v/>
      </c>
      <c r="H1905" s="88"/>
      <c r="I1905" s="93"/>
      <c r="J1905" s="97"/>
      <c r="K1905" s="88"/>
      <c r="L1905" s="25" t="str">
        <f>IF($D1905="","",SUMIFS($H$4:$H1905,$D$4:$D1905,$D1905)+SUMIFS($I$4:$I1905,$D$4:$D1905,$D1905)-SUMIFS($J$4:$J1905,$D$4:$D1905,$D1905)-SUMIFS($K$4:$K1905,$D$4:$D1905,$D1905))</f>
        <v/>
      </c>
      <c r="M1905" s="80"/>
      <c r="N1905" s="80"/>
      <c r="O1905" s="94"/>
      <c r="P1905" s="26" t="str">
        <f t="shared" si="89"/>
        <v/>
      </c>
      <c r="Q1905" s="80"/>
      <c r="R1905" s="80"/>
      <c r="S1905" s="80"/>
      <c r="T1905" s="82"/>
      <c r="U1905" s="80"/>
      <c r="V1905" s="80"/>
      <c r="W1905" s="80"/>
    </row>
    <row r="1906" ht="18" customHeight="1" spans="1:23">
      <c r="A1906" s="87" t="str">
        <f t="shared" si="87"/>
        <v/>
      </c>
      <c r="B1906" s="78"/>
      <c r="C1906" s="80"/>
      <c r="D1906" s="79"/>
      <c r="E1906" s="80"/>
      <c r="F1906" s="79"/>
      <c r="G1906" s="25" t="str">
        <f t="shared" si="88"/>
        <v/>
      </c>
      <c r="H1906" s="88"/>
      <c r="I1906" s="93"/>
      <c r="J1906" s="97"/>
      <c r="K1906" s="88"/>
      <c r="L1906" s="25" t="str">
        <f>IF($D1906="","",SUMIFS($H$4:$H1906,$D$4:$D1906,$D1906)+SUMIFS($I$4:$I1906,$D$4:$D1906,$D1906)-SUMIFS($J$4:$J1906,$D$4:$D1906,$D1906)-SUMIFS($K$4:$K1906,$D$4:$D1906,$D1906))</f>
        <v/>
      </c>
      <c r="M1906" s="80"/>
      <c r="N1906" s="80"/>
      <c r="O1906" s="94"/>
      <c r="P1906" s="26" t="str">
        <f t="shared" si="89"/>
        <v/>
      </c>
      <c r="Q1906" s="80"/>
      <c r="R1906" s="80"/>
      <c r="S1906" s="80"/>
      <c r="T1906" s="82"/>
      <c r="U1906" s="80"/>
      <c r="V1906" s="80"/>
      <c r="W1906" s="80"/>
    </row>
    <row r="1907" ht="18" customHeight="1" spans="1:23">
      <c r="A1907" s="87" t="str">
        <f t="shared" si="87"/>
        <v/>
      </c>
      <c r="B1907" s="78"/>
      <c r="C1907" s="80"/>
      <c r="D1907" s="79"/>
      <c r="E1907" s="80"/>
      <c r="F1907" s="79"/>
      <c r="G1907" s="25" t="str">
        <f t="shared" si="88"/>
        <v/>
      </c>
      <c r="H1907" s="88"/>
      <c r="I1907" s="93"/>
      <c r="J1907" s="97"/>
      <c r="K1907" s="88"/>
      <c r="L1907" s="25" t="str">
        <f>IF($D1907="","",SUMIFS($H$4:$H1907,$D$4:$D1907,$D1907)+SUMIFS($I$4:$I1907,$D$4:$D1907,$D1907)-SUMIFS($J$4:$J1907,$D$4:$D1907,$D1907)-SUMIFS($K$4:$K1907,$D$4:$D1907,$D1907))</f>
        <v/>
      </c>
      <c r="M1907" s="80"/>
      <c r="N1907" s="80"/>
      <c r="O1907" s="94"/>
      <c r="P1907" s="26" t="str">
        <f t="shared" si="89"/>
        <v/>
      </c>
      <c r="Q1907" s="80"/>
      <c r="R1907" s="80"/>
      <c r="S1907" s="80"/>
      <c r="T1907" s="82"/>
      <c r="U1907" s="80"/>
      <c r="V1907" s="80"/>
      <c r="W1907" s="80"/>
    </row>
    <row r="1908" ht="18" customHeight="1" spans="1:23">
      <c r="A1908" s="87" t="str">
        <f t="shared" si="87"/>
        <v/>
      </c>
      <c r="B1908" s="78"/>
      <c r="C1908" s="80"/>
      <c r="D1908" s="79"/>
      <c r="E1908" s="80"/>
      <c r="F1908" s="79"/>
      <c r="G1908" s="25" t="str">
        <f t="shared" si="88"/>
        <v/>
      </c>
      <c r="H1908" s="88"/>
      <c r="I1908" s="93"/>
      <c r="J1908" s="97"/>
      <c r="K1908" s="88"/>
      <c r="L1908" s="25" t="str">
        <f>IF($D1908="","",SUMIFS($H$4:$H1908,$D$4:$D1908,$D1908)+SUMIFS($I$4:$I1908,$D$4:$D1908,$D1908)-SUMIFS($J$4:$J1908,$D$4:$D1908,$D1908)-SUMIFS($K$4:$K1908,$D$4:$D1908,$D1908))</f>
        <v/>
      </c>
      <c r="M1908" s="80"/>
      <c r="N1908" s="80"/>
      <c r="O1908" s="94"/>
      <c r="P1908" s="26" t="str">
        <f t="shared" si="89"/>
        <v/>
      </c>
      <c r="Q1908" s="80"/>
      <c r="R1908" s="80"/>
      <c r="S1908" s="80"/>
      <c r="T1908" s="82"/>
      <c r="U1908" s="80"/>
      <c r="V1908" s="80"/>
      <c r="W1908" s="80"/>
    </row>
    <row r="1909" ht="18" customHeight="1" spans="1:23">
      <c r="A1909" s="87" t="str">
        <f t="shared" si="87"/>
        <v/>
      </c>
      <c r="B1909" s="78"/>
      <c r="C1909" s="80"/>
      <c r="D1909" s="79"/>
      <c r="E1909" s="80"/>
      <c r="F1909" s="79"/>
      <c r="G1909" s="25" t="str">
        <f t="shared" si="88"/>
        <v/>
      </c>
      <c r="H1909" s="88"/>
      <c r="I1909" s="93"/>
      <c r="J1909" s="97"/>
      <c r="K1909" s="88"/>
      <c r="L1909" s="25" t="str">
        <f>IF($D1909="","",SUMIFS($H$4:$H1909,$D$4:$D1909,$D1909)+SUMIFS($I$4:$I1909,$D$4:$D1909,$D1909)-SUMIFS($J$4:$J1909,$D$4:$D1909,$D1909)-SUMIFS($K$4:$K1909,$D$4:$D1909,$D1909))</f>
        <v/>
      </c>
      <c r="M1909" s="80"/>
      <c r="N1909" s="80"/>
      <c r="O1909" s="94"/>
      <c r="P1909" s="26" t="str">
        <f t="shared" si="89"/>
        <v/>
      </c>
      <c r="Q1909" s="80"/>
      <c r="R1909" s="80"/>
      <c r="S1909" s="80"/>
      <c r="T1909" s="82"/>
      <c r="U1909" s="80"/>
      <c r="V1909" s="80"/>
      <c r="W1909" s="80"/>
    </row>
    <row r="1910" ht="18" customHeight="1" spans="1:23">
      <c r="A1910" s="87" t="str">
        <f t="shared" si="87"/>
        <v/>
      </c>
      <c r="B1910" s="78"/>
      <c r="C1910" s="80"/>
      <c r="D1910" s="79"/>
      <c r="E1910" s="80"/>
      <c r="F1910" s="79"/>
      <c r="G1910" s="25" t="str">
        <f t="shared" si="88"/>
        <v/>
      </c>
      <c r="H1910" s="88"/>
      <c r="I1910" s="93"/>
      <c r="J1910" s="97"/>
      <c r="K1910" s="88"/>
      <c r="L1910" s="25" t="str">
        <f>IF($D1910="","",SUMIFS($H$4:$H1910,$D$4:$D1910,$D1910)+SUMIFS($I$4:$I1910,$D$4:$D1910,$D1910)-SUMIFS($J$4:$J1910,$D$4:$D1910,$D1910)-SUMIFS($K$4:$K1910,$D$4:$D1910,$D1910))</f>
        <v/>
      </c>
      <c r="M1910" s="80"/>
      <c r="N1910" s="80"/>
      <c r="O1910" s="94"/>
      <c r="P1910" s="26" t="str">
        <f t="shared" si="89"/>
        <v/>
      </c>
      <c r="Q1910" s="80"/>
      <c r="R1910" s="80"/>
      <c r="S1910" s="80"/>
      <c r="T1910" s="82"/>
      <c r="U1910" s="80"/>
      <c r="V1910" s="80"/>
      <c r="W1910" s="80"/>
    </row>
    <row r="1911" ht="18" customHeight="1" spans="1:23">
      <c r="A1911" s="87" t="str">
        <f t="shared" si="87"/>
        <v/>
      </c>
      <c r="B1911" s="78"/>
      <c r="C1911" s="80"/>
      <c r="D1911" s="79"/>
      <c r="E1911" s="80"/>
      <c r="F1911" s="79"/>
      <c r="G1911" s="25" t="str">
        <f t="shared" si="88"/>
        <v/>
      </c>
      <c r="H1911" s="88"/>
      <c r="I1911" s="93"/>
      <c r="J1911" s="97"/>
      <c r="K1911" s="88"/>
      <c r="L1911" s="25" t="str">
        <f>IF($D1911="","",SUMIFS($H$4:$H1911,$D$4:$D1911,$D1911)+SUMIFS($I$4:$I1911,$D$4:$D1911,$D1911)-SUMIFS($J$4:$J1911,$D$4:$D1911,$D1911)-SUMIFS($K$4:$K1911,$D$4:$D1911,$D1911))</f>
        <v/>
      </c>
      <c r="M1911" s="80"/>
      <c r="N1911" s="80"/>
      <c r="O1911" s="94"/>
      <c r="P1911" s="26" t="str">
        <f t="shared" si="89"/>
        <v/>
      </c>
      <c r="Q1911" s="80"/>
      <c r="R1911" s="80"/>
      <c r="S1911" s="80"/>
      <c r="T1911" s="82"/>
      <c r="U1911" s="80"/>
      <c r="V1911" s="80"/>
      <c r="W1911" s="80"/>
    </row>
    <row r="1912" ht="18" customHeight="1" spans="1:23">
      <c r="A1912" s="87" t="str">
        <f t="shared" si="87"/>
        <v/>
      </c>
      <c r="B1912" s="78"/>
      <c r="C1912" s="80"/>
      <c r="D1912" s="79"/>
      <c r="E1912" s="80"/>
      <c r="F1912" s="79"/>
      <c r="G1912" s="25" t="str">
        <f t="shared" si="88"/>
        <v/>
      </c>
      <c r="H1912" s="88"/>
      <c r="I1912" s="93"/>
      <c r="J1912" s="97"/>
      <c r="K1912" s="88"/>
      <c r="L1912" s="25" t="str">
        <f>IF($D1912="","",SUMIFS($H$4:$H1912,$D$4:$D1912,$D1912)+SUMIFS($I$4:$I1912,$D$4:$D1912,$D1912)-SUMIFS($J$4:$J1912,$D$4:$D1912,$D1912)-SUMIFS($K$4:$K1912,$D$4:$D1912,$D1912))</f>
        <v/>
      </c>
      <c r="M1912" s="80"/>
      <c r="N1912" s="80"/>
      <c r="O1912" s="94"/>
      <c r="P1912" s="26" t="str">
        <f t="shared" si="89"/>
        <v/>
      </c>
      <c r="Q1912" s="80"/>
      <c r="R1912" s="80"/>
      <c r="S1912" s="80"/>
      <c r="T1912" s="82"/>
      <c r="U1912" s="80"/>
      <c r="V1912" s="80"/>
      <c r="W1912" s="80"/>
    </row>
    <row r="1913" ht="18" customHeight="1" spans="1:23">
      <c r="A1913" s="87" t="str">
        <f t="shared" si="87"/>
        <v/>
      </c>
      <c r="B1913" s="78"/>
      <c r="C1913" s="80"/>
      <c r="D1913" s="79"/>
      <c r="E1913" s="80"/>
      <c r="F1913" s="79"/>
      <c r="G1913" s="25" t="str">
        <f t="shared" si="88"/>
        <v/>
      </c>
      <c r="H1913" s="88"/>
      <c r="I1913" s="93"/>
      <c r="J1913" s="97"/>
      <c r="K1913" s="88"/>
      <c r="L1913" s="25" t="str">
        <f>IF($D1913="","",SUMIFS($H$4:$H1913,$D$4:$D1913,$D1913)+SUMIFS($I$4:$I1913,$D$4:$D1913,$D1913)-SUMIFS($J$4:$J1913,$D$4:$D1913,$D1913)-SUMIFS($K$4:$K1913,$D$4:$D1913,$D1913))</f>
        <v/>
      </c>
      <c r="M1913" s="80"/>
      <c r="N1913" s="80"/>
      <c r="O1913" s="94"/>
      <c r="P1913" s="26" t="str">
        <f t="shared" si="89"/>
        <v/>
      </c>
      <c r="Q1913" s="80"/>
      <c r="R1913" s="80"/>
      <c r="S1913" s="80"/>
      <c r="T1913" s="82"/>
      <c r="U1913" s="80"/>
      <c r="V1913" s="80"/>
      <c r="W1913" s="80"/>
    </row>
    <row r="1914" ht="18" customHeight="1" spans="1:23">
      <c r="A1914" s="87" t="str">
        <f t="shared" si="87"/>
        <v/>
      </c>
      <c r="B1914" s="78"/>
      <c r="C1914" s="80"/>
      <c r="D1914" s="79"/>
      <c r="E1914" s="80"/>
      <c r="F1914" s="79"/>
      <c r="G1914" s="25" t="str">
        <f t="shared" si="88"/>
        <v/>
      </c>
      <c r="H1914" s="88"/>
      <c r="I1914" s="93"/>
      <c r="J1914" s="97"/>
      <c r="K1914" s="88"/>
      <c r="L1914" s="25" t="str">
        <f>IF($D1914="","",SUMIFS($H$4:$H1914,$D$4:$D1914,$D1914)+SUMIFS($I$4:$I1914,$D$4:$D1914,$D1914)-SUMIFS($J$4:$J1914,$D$4:$D1914,$D1914)-SUMIFS($K$4:$K1914,$D$4:$D1914,$D1914))</f>
        <v/>
      </c>
      <c r="M1914" s="80"/>
      <c r="N1914" s="80"/>
      <c r="O1914" s="94"/>
      <c r="P1914" s="26" t="str">
        <f t="shared" si="89"/>
        <v/>
      </c>
      <c r="Q1914" s="80"/>
      <c r="R1914" s="80"/>
      <c r="S1914" s="80"/>
      <c r="T1914" s="82"/>
      <c r="U1914" s="80"/>
      <c r="V1914" s="80"/>
      <c r="W1914" s="80"/>
    </row>
    <row r="1915" ht="18" customHeight="1" spans="1:23">
      <c r="A1915" s="87" t="str">
        <f t="shared" si="87"/>
        <v/>
      </c>
      <c r="B1915" s="78"/>
      <c r="C1915" s="80"/>
      <c r="D1915" s="79"/>
      <c r="E1915" s="80"/>
      <c r="F1915" s="79"/>
      <c r="G1915" s="25" t="str">
        <f t="shared" si="88"/>
        <v/>
      </c>
      <c r="H1915" s="88"/>
      <c r="I1915" s="93"/>
      <c r="J1915" s="97"/>
      <c r="K1915" s="88"/>
      <c r="L1915" s="25" t="str">
        <f>IF($D1915="","",SUMIFS($H$4:$H1915,$D$4:$D1915,$D1915)+SUMIFS($I$4:$I1915,$D$4:$D1915,$D1915)-SUMIFS($J$4:$J1915,$D$4:$D1915,$D1915)-SUMIFS($K$4:$K1915,$D$4:$D1915,$D1915))</f>
        <v/>
      </c>
      <c r="M1915" s="80"/>
      <c r="N1915" s="80"/>
      <c r="O1915" s="94"/>
      <c r="P1915" s="26" t="str">
        <f t="shared" si="89"/>
        <v/>
      </c>
      <c r="Q1915" s="80"/>
      <c r="R1915" s="80"/>
      <c r="S1915" s="80"/>
      <c r="T1915" s="82"/>
      <c r="U1915" s="80"/>
      <c r="V1915" s="80"/>
      <c r="W1915" s="80"/>
    </row>
    <row r="1916" ht="18" customHeight="1" spans="1:23">
      <c r="A1916" s="87" t="str">
        <f t="shared" si="87"/>
        <v/>
      </c>
      <c r="B1916" s="78"/>
      <c r="C1916" s="80"/>
      <c r="D1916" s="79"/>
      <c r="E1916" s="80"/>
      <c r="F1916" s="79"/>
      <c r="G1916" s="25" t="str">
        <f t="shared" si="88"/>
        <v/>
      </c>
      <c r="H1916" s="88"/>
      <c r="I1916" s="93"/>
      <c r="J1916" s="97"/>
      <c r="K1916" s="88"/>
      <c r="L1916" s="25" t="str">
        <f>IF($D1916="","",SUMIFS($H$4:$H1916,$D$4:$D1916,$D1916)+SUMIFS($I$4:$I1916,$D$4:$D1916,$D1916)-SUMIFS($J$4:$J1916,$D$4:$D1916,$D1916)-SUMIFS($K$4:$K1916,$D$4:$D1916,$D1916))</f>
        <v/>
      </c>
      <c r="M1916" s="80"/>
      <c r="N1916" s="80"/>
      <c r="O1916" s="94"/>
      <c r="P1916" s="26" t="str">
        <f t="shared" si="89"/>
        <v/>
      </c>
      <c r="Q1916" s="80"/>
      <c r="R1916" s="80"/>
      <c r="S1916" s="80"/>
      <c r="T1916" s="82"/>
      <c r="U1916" s="80"/>
      <c r="V1916" s="80"/>
      <c r="W1916" s="80"/>
    </row>
    <row r="1917" ht="18" customHeight="1" spans="1:23">
      <c r="A1917" s="87" t="str">
        <f t="shared" si="87"/>
        <v/>
      </c>
      <c r="B1917" s="78"/>
      <c r="C1917" s="80"/>
      <c r="D1917" s="79"/>
      <c r="E1917" s="80"/>
      <c r="F1917" s="79"/>
      <c r="G1917" s="25" t="str">
        <f t="shared" si="88"/>
        <v/>
      </c>
      <c r="H1917" s="88"/>
      <c r="I1917" s="93"/>
      <c r="J1917" s="97"/>
      <c r="K1917" s="88"/>
      <c r="L1917" s="25" t="str">
        <f>IF($D1917="","",SUMIFS($H$4:$H1917,$D$4:$D1917,$D1917)+SUMIFS($I$4:$I1917,$D$4:$D1917,$D1917)-SUMIFS($J$4:$J1917,$D$4:$D1917,$D1917)-SUMIFS($K$4:$K1917,$D$4:$D1917,$D1917))</f>
        <v/>
      </c>
      <c r="M1917" s="80"/>
      <c r="N1917" s="80"/>
      <c r="O1917" s="94"/>
      <c r="P1917" s="26" t="str">
        <f t="shared" si="89"/>
        <v/>
      </c>
      <c r="Q1917" s="80"/>
      <c r="R1917" s="80"/>
      <c r="S1917" s="80"/>
      <c r="T1917" s="82"/>
      <c r="U1917" s="80"/>
      <c r="V1917" s="80"/>
      <c r="W1917" s="80"/>
    </row>
    <row r="1918" ht="18" customHeight="1" spans="1:23">
      <c r="A1918" s="87" t="str">
        <f t="shared" si="87"/>
        <v/>
      </c>
      <c r="B1918" s="78"/>
      <c r="C1918" s="80"/>
      <c r="D1918" s="79"/>
      <c r="E1918" s="80"/>
      <c r="F1918" s="79"/>
      <c r="G1918" s="25" t="str">
        <f t="shared" si="88"/>
        <v/>
      </c>
      <c r="H1918" s="88"/>
      <c r="I1918" s="93"/>
      <c r="J1918" s="97"/>
      <c r="K1918" s="88"/>
      <c r="L1918" s="25" t="str">
        <f>IF($D1918="","",SUMIFS($H$4:$H1918,$D$4:$D1918,$D1918)+SUMIFS($I$4:$I1918,$D$4:$D1918,$D1918)-SUMIFS($J$4:$J1918,$D$4:$D1918,$D1918)-SUMIFS($K$4:$K1918,$D$4:$D1918,$D1918))</f>
        <v/>
      </c>
      <c r="M1918" s="80"/>
      <c r="N1918" s="80"/>
      <c r="O1918" s="94"/>
      <c r="P1918" s="26" t="str">
        <f t="shared" si="89"/>
        <v/>
      </c>
      <c r="Q1918" s="80"/>
      <c r="R1918" s="80"/>
      <c r="S1918" s="80"/>
      <c r="T1918" s="82"/>
      <c r="U1918" s="80"/>
      <c r="V1918" s="80"/>
      <c r="W1918" s="80"/>
    </row>
    <row r="1919" ht="18" customHeight="1" spans="1:23">
      <c r="A1919" s="87" t="str">
        <f t="shared" si="87"/>
        <v/>
      </c>
      <c r="B1919" s="78"/>
      <c r="C1919" s="80"/>
      <c r="D1919" s="79"/>
      <c r="E1919" s="80"/>
      <c r="F1919" s="79"/>
      <c r="G1919" s="25" t="str">
        <f t="shared" si="88"/>
        <v/>
      </c>
      <c r="H1919" s="88"/>
      <c r="I1919" s="93"/>
      <c r="J1919" s="97"/>
      <c r="K1919" s="88"/>
      <c r="L1919" s="25" t="str">
        <f>IF($D1919="","",SUMIFS($H$4:$H1919,$D$4:$D1919,$D1919)+SUMIFS($I$4:$I1919,$D$4:$D1919,$D1919)-SUMIFS($J$4:$J1919,$D$4:$D1919,$D1919)-SUMIFS($K$4:$K1919,$D$4:$D1919,$D1919))</f>
        <v/>
      </c>
      <c r="M1919" s="80"/>
      <c r="N1919" s="80"/>
      <c r="O1919" s="94"/>
      <c r="P1919" s="26" t="str">
        <f t="shared" si="89"/>
        <v/>
      </c>
      <c r="Q1919" s="80"/>
      <c r="R1919" s="80"/>
      <c r="S1919" s="80"/>
      <c r="T1919" s="82"/>
      <c r="U1919" s="80"/>
      <c r="V1919" s="80"/>
      <c r="W1919" s="80"/>
    </row>
    <row r="1920" ht="18" customHeight="1" spans="1:23">
      <c r="A1920" s="87" t="str">
        <f t="shared" si="87"/>
        <v/>
      </c>
      <c r="B1920" s="78"/>
      <c r="C1920" s="80"/>
      <c r="D1920" s="79"/>
      <c r="E1920" s="80"/>
      <c r="F1920" s="79"/>
      <c r="G1920" s="25" t="str">
        <f t="shared" si="88"/>
        <v/>
      </c>
      <c r="H1920" s="88"/>
      <c r="I1920" s="93"/>
      <c r="J1920" s="97"/>
      <c r="K1920" s="88"/>
      <c r="L1920" s="25" t="str">
        <f>IF($D1920="","",SUMIFS($H$4:$H1920,$D$4:$D1920,$D1920)+SUMIFS($I$4:$I1920,$D$4:$D1920,$D1920)-SUMIFS($J$4:$J1920,$D$4:$D1920,$D1920)-SUMIFS($K$4:$K1920,$D$4:$D1920,$D1920))</f>
        <v/>
      </c>
      <c r="M1920" s="80"/>
      <c r="N1920" s="80"/>
      <c r="O1920" s="94"/>
      <c r="P1920" s="26" t="str">
        <f t="shared" si="89"/>
        <v/>
      </c>
      <c r="Q1920" s="80"/>
      <c r="R1920" s="80"/>
      <c r="S1920" s="80"/>
      <c r="T1920" s="82"/>
      <c r="U1920" s="80"/>
      <c r="V1920" s="80"/>
      <c r="W1920" s="80"/>
    </row>
    <row r="1921" ht="18" customHeight="1" spans="1:23">
      <c r="A1921" s="87" t="str">
        <f t="shared" si="87"/>
        <v/>
      </c>
      <c r="B1921" s="78"/>
      <c r="C1921" s="80"/>
      <c r="D1921" s="79"/>
      <c r="E1921" s="80"/>
      <c r="F1921" s="79"/>
      <c r="G1921" s="25" t="str">
        <f t="shared" si="88"/>
        <v/>
      </c>
      <c r="H1921" s="88"/>
      <c r="I1921" s="93"/>
      <c r="J1921" s="97"/>
      <c r="K1921" s="88"/>
      <c r="L1921" s="25" t="str">
        <f>IF($D1921="","",SUMIFS($H$4:$H1921,$D$4:$D1921,$D1921)+SUMIFS($I$4:$I1921,$D$4:$D1921,$D1921)-SUMIFS($J$4:$J1921,$D$4:$D1921,$D1921)-SUMIFS($K$4:$K1921,$D$4:$D1921,$D1921))</f>
        <v/>
      </c>
      <c r="M1921" s="80"/>
      <c r="N1921" s="80"/>
      <c r="O1921" s="94"/>
      <c r="P1921" s="26" t="str">
        <f t="shared" si="89"/>
        <v/>
      </c>
      <c r="Q1921" s="80"/>
      <c r="R1921" s="80"/>
      <c r="S1921" s="80"/>
      <c r="T1921" s="82"/>
      <c r="U1921" s="80"/>
      <c r="V1921" s="80"/>
      <c r="W1921" s="80"/>
    </row>
    <row r="1922" ht="18" customHeight="1" spans="1:23">
      <c r="A1922" s="87" t="str">
        <f t="shared" si="87"/>
        <v/>
      </c>
      <c r="B1922" s="78"/>
      <c r="C1922" s="80"/>
      <c r="D1922" s="79"/>
      <c r="E1922" s="80"/>
      <c r="F1922" s="79"/>
      <c r="G1922" s="25" t="str">
        <f t="shared" si="88"/>
        <v/>
      </c>
      <c r="H1922" s="88"/>
      <c r="I1922" s="93"/>
      <c r="J1922" s="97"/>
      <c r="K1922" s="88"/>
      <c r="L1922" s="25" t="str">
        <f>IF($D1922="","",SUMIFS($H$4:$H1922,$D$4:$D1922,$D1922)+SUMIFS($I$4:$I1922,$D$4:$D1922,$D1922)-SUMIFS($J$4:$J1922,$D$4:$D1922,$D1922)-SUMIFS($K$4:$K1922,$D$4:$D1922,$D1922))</f>
        <v/>
      </c>
      <c r="M1922" s="80"/>
      <c r="N1922" s="80"/>
      <c r="O1922" s="94"/>
      <c r="P1922" s="26" t="str">
        <f t="shared" si="89"/>
        <v/>
      </c>
      <c r="Q1922" s="80"/>
      <c r="R1922" s="80"/>
      <c r="S1922" s="80"/>
      <c r="T1922" s="82"/>
      <c r="U1922" s="80"/>
      <c r="V1922" s="80"/>
      <c r="W1922" s="80"/>
    </row>
    <row r="1923" ht="18" customHeight="1" spans="1:23">
      <c r="A1923" s="87" t="str">
        <f t="shared" si="87"/>
        <v/>
      </c>
      <c r="B1923" s="78"/>
      <c r="C1923" s="80"/>
      <c r="D1923" s="79"/>
      <c r="E1923" s="80"/>
      <c r="F1923" s="79"/>
      <c r="G1923" s="25" t="str">
        <f t="shared" si="88"/>
        <v/>
      </c>
      <c r="H1923" s="88"/>
      <c r="I1923" s="93"/>
      <c r="J1923" s="97"/>
      <c r="K1923" s="88"/>
      <c r="L1923" s="25" t="str">
        <f>IF($D1923="","",SUMIFS($H$4:$H1923,$D$4:$D1923,$D1923)+SUMIFS($I$4:$I1923,$D$4:$D1923,$D1923)-SUMIFS($J$4:$J1923,$D$4:$D1923,$D1923)-SUMIFS($K$4:$K1923,$D$4:$D1923,$D1923))</f>
        <v/>
      </c>
      <c r="M1923" s="80"/>
      <c r="N1923" s="80"/>
      <c r="O1923" s="94"/>
      <c r="P1923" s="26" t="str">
        <f t="shared" si="89"/>
        <v/>
      </c>
      <c r="Q1923" s="80"/>
      <c r="R1923" s="80"/>
      <c r="S1923" s="80"/>
      <c r="T1923" s="82"/>
      <c r="U1923" s="80"/>
      <c r="V1923" s="80"/>
      <c r="W1923" s="80"/>
    </row>
    <row r="1924" ht="18" customHeight="1" spans="1:23">
      <c r="A1924" s="87" t="str">
        <f t="shared" si="87"/>
        <v/>
      </c>
      <c r="B1924" s="78"/>
      <c r="C1924" s="80"/>
      <c r="D1924" s="79"/>
      <c r="E1924" s="80"/>
      <c r="F1924" s="79"/>
      <c r="G1924" s="25" t="str">
        <f t="shared" si="88"/>
        <v/>
      </c>
      <c r="H1924" s="88"/>
      <c r="I1924" s="93"/>
      <c r="J1924" s="97"/>
      <c r="K1924" s="88"/>
      <c r="L1924" s="25" t="str">
        <f>IF($D1924="","",SUMIFS($H$4:$H1924,$D$4:$D1924,$D1924)+SUMIFS($I$4:$I1924,$D$4:$D1924,$D1924)-SUMIFS($J$4:$J1924,$D$4:$D1924,$D1924)-SUMIFS($K$4:$K1924,$D$4:$D1924,$D1924))</f>
        <v/>
      </c>
      <c r="M1924" s="80"/>
      <c r="N1924" s="80"/>
      <c r="O1924" s="94"/>
      <c r="P1924" s="26" t="str">
        <f t="shared" si="89"/>
        <v/>
      </c>
      <c r="Q1924" s="80"/>
      <c r="R1924" s="80"/>
      <c r="S1924" s="80"/>
      <c r="T1924" s="82"/>
      <c r="U1924" s="80"/>
      <c r="V1924" s="80"/>
      <c r="W1924" s="80"/>
    </row>
    <row r="1925" ht="18" customHeight="1" spans="1:23">
      <c r="A1925" s="87" t="str">
        <f t="shared" ref="A1925:A1988" si="90">IF($D1925="","",ROW()-3)</f>
        <v/>
      </c>
      <c r="B1925" s="78"/>
      <c r="C1925" s="80"/>
      <c r="D1925" s="79"/>
      <c r="E1925" s="80"/>
      <c r="F1925" s="79"/>
      <c r="G1925" s="25" t="str">
        <f t="shared" ref="G1925:G1988" si="91">IF($D1925="","",N($L1925)-N($H1925)-N($I1925)+N($J1925)+N($K1925))</f>
        <v/>
      </c>
      <c r="H1925" s="88"/>
      <c r="I1925" s="93"/>
      <c r="J1925" s="97"/>
      <c r="K1925" s="88"/>
      <c r="L1925" s="25" t="str">
        <f>IF($D1925="","",SUMIFS($H$4:$H1925,$D$4:$D1925,$D1925)+SUMIFS($I$4:$I1925,$D$4:$D1925,$D1925)-SUMIFS($J$4:$J1925,$D$4:$D1925,$D1925)-SUMIFS($K$4:$K1925,$D$4:$D1925,$D1925))</f>
        <v/>
      </c>
      <c r="M1925" s="80"/>
      <c r="N1925" s="80"/>
      <c r="O1925" s="94"/>
      <c r="P1925" s="26" t="str">
        <f t="shared" ref="P1925:P1988" si="92">IF($D1925="","",ROUND((N($H1925)+N($K1925))*N($O1925),2))</f>
        <v/>
      </c>
      <c r="Q1925" s="80"/>
      <c r="R1925" s="80"/>
      <c r="S1925" s="80"/>
      <c r="T1925" s="82"/>
      <c r="U1925" s="80"/>
      <c r="V1925" s="80"/>
      <c r="W1925" s="80"/>
    </row>
    <row r="1926" ht="18" customHeight="1" spans="1:23">
      <c r="A1926" s="87" t="str">
        <f t="shared" si="90"/>
        <v/>
      </c>
      <c r="B1926" s="78"/>
      <c r="C1926" s="80"/>
      <c r="D1926" s="79"/>
      <c r="E1926" s="80"/>
      <c r="F1926" s="79"/>
      <c r="G1926" s="25" t="str">
        <f t="shared" si="91"/>
        <v/>
      </c>
      <c r="H1926" s="88"/>
      <c r="I1926" s="93"/>
      <c r="J1926" s="97"/>
      <c r="K1926" s="88"/>
      <c r="L1926" s="25" t="str">
        <f>IF($D1926="","",SUMIFS($H$4:$H1926,$D$4:$D1926,$D1926)+SUMIFS($I$4:$I1926,$D$4:$D1926,$D1926)-SUMIFS($J$4:$J1926,$D$4:$D1926,$D1926)-SUMIFS($K$4:$K1926,$D$4:$D1926,$D1926))</f>
        <v/>
      </c>
      <c r="M1926" s="80"/>
      <c r="N1926" s="80"/>
      <c r="O1926" s="94"/>
      <c r="P1926" s="26" t="str">
        <f t="shared" si="92"/>
        <v/>
      </c>
      <c r="Q1926" s="80"/>
      <c r="R1926" s="80"/>
      <c r="S1926" s="80"/>
      <c r="T1926" s="82"/>
      <c r="U1926" s="80"/>
      <c r="V1926" s="80"/>
      <c r="W1926" s="80"/>
    </row>
    <row r="1927" ht="18" customHeight="1" spans="1:23">
      <c r="A1927" s="87" t="str">
        <f t="shared" si="90"/>
        <v/>
      </c>
      <c r="B1927" s="78"/>
      <c r="C1927" s="80"/>
      <c r="D1927" s="79"/>
      <c r="E1927" s="80"/>
      <c r="F1927" s="79"/>
      <c r="G1927" s="25" t="str">
        <f t="shared" si="91"/>
        <v/>
      </c>
      <c r="H1927" s="88"/>
      <c r="I1927" s="93"/>
      <c r="J1927" s="97"/>
      <c r="K1927" s="88"/>
      <c r="L1927" s="25" t="str">
        <f>IF($D1927="","",SUMIFS($H$4:$H1927,$D$4:$D1927,$D1927)+SUMIFS($I$4:$I1927,$D$4:$D1927,$D1927)-SUMIFS($J$4:$J1927,$D$4:$D1927,$D1927)-SUMIFS($K$4:$K1927,$D$4:$D1927,$D1927))</f>
        <v/>
      </c>
      <c r="M1927" s="80"/>
      <c r="N1927" s="80"/>
      <c r="O1927" s="94"/>
      <c r="P1927" s="26" t="str">
        <f t="shared" si="92"/>
        <v/>
      </c>
      <c r="Q1927" s="80"/>
      <c r="R1927" s="80"/>
      <c r="S1927" s="80"/>
      <c r="T1927" s="82"/>
      <c r="U1927" s="80"/>
      <c r="V1927" s="80"/>
      <c r="W1927" s="80"/>
    </row>
    <row r="1928" ht="18" customHeight="1" spans="1:23">
      <c r="A1928" s="87" t="str">
        <f t="shared" si="90"/>
        <v/>
      </c>
      <c r="B1928" s="78"/>
      <c r="C1928" s="80"/>
      <c r="D1928" s="79"/>
      <c r="E1928" s="80"/>
      <c r="F1928" s="79"/>
      <c r="G1928" s="25" t="str">
        <f t="shared" si="91"/>
        <v/>
      </c>
      <c r="H1928" s="88"/>
      <c r="I1928" s="93"/>
      <c r="J1928" s="97"/>
      <c r="K1928" s="88"/>
      <c r="L1928" s="25" t="str">
        <f>IF($D1928="","",SUMIFS($H$4:$H1928,$D$4:$D1928,$D1928)+SUMIFS($I$4:$I1928,$D$4:$D1928,$D1928)-SUMIFS($J$4:$J1928,$D$4:$D1928,$D1928)-SUMIFS($K$4:$K1928,$D$4:$D1928,$D1928))</f>
        <v/>
      </c>
      <c r="M1928" s="80"/>
      <c r="N1928" s="80"/>
      <c r="O1928" s="94"/>
      <c r="P1928" s="26" t="str">
        <f t="shared" si="92"/>
        <v/>
      </c>
      <c r="Q1928" s="80"/>
      <c r="R1928" s="80"/>
      <c r="S1928" s="80"/>
      <c r="T1928" s="82"/>
      <c r="U1928" s="80"/>
      <c r="V1928" s="80"/>
      <c r="W1928" s="80"/>
    </row>
    <row r="1929" ht="18" customHeight="1" spans="1:23">
      <c r="A1929" s="87" t="str">
        <f t="shared" si="90"/>
        <v/>
      </c>
      <c r="B1929" s="78"/>
      <c r="C1929" s="80"/>
      <c r="D1929" s="79"/>
      <c r="E1929" s="80"/>
      <c r="F1929" s="79"/>
      <c r="G1929" s="25" t="str">
        <f t="shared" si="91"/>
        <v/>
      </c>
      <c r="H1929" s="88"/>
      <c r="I1929" s="93"/>
      <c r="J1929" s="97"/>
      <c r="K1929" s="88"/>
      <c r="L1929" s="25" t="str">
        <f>IF($D1929="","",SUMIFS($H$4:$H1929,$D$4:$D1929,$D1929)+SUMIFS($I$4:$I1929,$D$4:$D1929,$D1929)-SUMIFS($J$4:$J1929,$D$4:$D1929,$D1929)-SUMIFS($K$4:$K1929,$D$4:$D1929,$D1929))</f>
        <v/>
      </c>
      <c r="M1929" s="80"/>
      <c r="N1929" s="80"/>
      <c r="O1929" s="94"/>
      <c r="P1929" s="26" t="str">
        <f t="shared" si="92"/>
        <v/>
      </c>
      <c r="Q1929" s="80"/>
      <c r="R1929" s="80"/>
      <c r="S1929" s="80"/>
      <c r="T1929" s="82"/>
      <c r="U1929" s="80"/>
      <c r="V1929" s="80"/>
      <c r="W1929" s="80"/>
    </row>
    <row r="1930" ht="18" customHeight="1" spans="1:23">
      <c r="A1930" s="87" t="str">
        <f t="shared" si="90"/>
        <v/>
      </c>
      <c r="B1930" s="78"/>
      <c r="C1930" s="80"/>
      <c r="D1930" s="79"/>
      <c r="E1930" s="80"/>
      <c r="F1930" s="79"/>
      <c r="G1930" s="25" t="str">
        <f t="shared" si="91"/>
        <v/>
      </c>
      <c r="H1930" s="88"/>
      <c r="I1930" s="93"/>
      <c r="J1930" s="97"/>
      <c r="K1930" s="88"/>
      <c r="L1930" s="25" t="str">
        <f>IF($D1930="","",SUMIFS($H$4:$H1930,$D$4:$D1930,$D1930)+SUMIFS($I$4:$I1930,$D$4:$D1930,$D1930)-SUMIFS($J$4:$J1930,$D$4:$D1930,$D1930)-SUMIFS($K$4:$K1930,$D$4:$D1930,$D1930))</f>
        <v/>
      </c>
      <c r="M1930" s="80"/>
      <c r="N1930" s="80"/>
      <c r="O1930" s="94"/>
      <c r="P1930" s="26" t="str">
        <f t="shared" si="92"/>
        <v/>
      </c>
      <c r="Q1930" s="80"/>
      <c r="R1930" s="80"/>
      <c r="S1930" s="80"/>
      <c r="T1930" s="82"/>
      <c r="U1930" s="80"/>
      <c r="V1930" s="80"/>
      <c r="W1930" s="80"/>
    </row>
    <row r="1931" ht="18" customHeight="1" spans="1:23">
      <c r="A1931" s="87" t="str">
        <f t="shared" si="90"/>
        <v/>
      </c>
      <c r="B1931" s="78"/>
      <c r="C1931" s="80"/>
      <c r="D1931" s="79"/>
      <c r="E1931" s="80"/>
      <c r="F1931" s="79"/>
      <c r="G1931" s="25" t="str">
        <f t="shared" si="91"/>
        <v/>
      </c>
      <c r="H1931" s="88"/>
      <c r="I1931" s="93"/>
      <c r="J1931" s="97"/>
      <c r="K1931" s="88"/>
      <c r="L1931" s="25" t="str">
        <f>IF($D1931="","",SUMIFS($H$4:$H1931,$D$4:$D1931,$D1931)+SUMIFS($I$4:$I1931,$D$4:$D1931,$D1931)-SUMIFS($J$4:$J1931,$D$4:$D1931,$D1931)-SUMIFS($K$4:$K1931,$D$4:$D1931,$D1931))</f>
        <v/>
      </c>
      <c r="M1931" s="80"/>
      <c r="N1931" s="80"/>
      <c r="O1931" s="94"/>
      <c r="P1931" s="26" t="str">
        <f t="shared" si="92"/>
        <v/>
      </c>
      <c r="Q1931" s="80"/>
      <c r="R1931" s="80"/>
      <c r="S1931" s="80"/>
      <c r="T1931" s="82"/>
      <c r="U1931" s="80"/>
      <c r="V1931" s="80"/>
      <c r="W1931" s="80"/>
    </row>
    <row r="1932" ht="18" customHeight="1" spans="1:23">
      <c r="A1932" s="87" t="str">
        <f t="shared" si="90"/>
        <v/>
      </c>
      <c r="B1932" s="78"/>
      <c r="C1932" s="80"/>
      <c r="D1932" s="79"/>
      <c r="E1932" s="80"/>
      <c r="F1932" s="79"/>
      <c r="G1932" s="25" t="str">
        <f t="shared" si="91"/>
        <v/>
      </c>
      <c r="H1932" s="88"/>
      <c r="I1932" s="93"/>
      <c r="J1932" s="97"/>
      <c r="K1932" s="88"/>
      <c r="L1932" s="25" t="str">
        <f>IF($D1932="","",SUMIFS($H$4:$H1932,$D$4:$D1932,$D1932)+SUMIFS($I$4:$I1932,$D$4:$D1932,$D1932)-SUMIFS($J$4:$J1932,$D$4:$D1932,$D1932)-SUMIFS($K$4:$K1932,$D$4:$D1932,$D1932))</f>
        <v/>
      </c>
      <c r="M1932" s="80"/>
      <c r="N1932" s="80"/>
      <c r="O1932" s="94"/>
      <c r="P1932" s="26" t="str">
        <f t="shared" si="92"/>
        <v/>
      </c>
      <c r="Q1932" s="80"/>
      <c r="R1932" s="80"/>
      <c r="S1932" s="80"/>
      <c r="T1932" s="82"/>
      <c r="U1932" s="80"/>
      <c r="V1932" s="80"/>
      <c r="W1932" s="80"/>
    </row>
    <row r="1933" ht="18" customHeight="1" spans="1:23">
      <c r="A1933" s="87" t="str">
        <f t="shared" si="90"/>
        <v/>
      </c>
      <c r="B1933" s="78"/>
      <c r="C1933" s="80"/>
      <c r="D1933" s="79"/>
      <c r="E1933" s="80"/>
      <c r="F1933" s="79"/>
      <c r="G1933" s="25" t="str">
        <f t="shared" si="91"/>
        <v/>
      </c>
      <c r="H1933" s="88"/>
      <c r="I1933" s="93"/>
      <c r="J1933" s="97"/>
      <c r="K1933" s="88"/>
      <c r="L1933" s="25" t="str">
        <f>IF($D1933="","",SUMIFS($H$4:$H1933,$D$4:$D1933,$D1933)+SUMIFS($I$4:$I1933,$D$4:$D1933,$D1933)-SUMIFS($J$4:$J1933,$D$4:$D1933,$D1933)-SUMIFS($K$4:$K1933,$D$4:$D1933,$D1933))</f>
        <v/>
      </c>
      <c r="M1933" s="80"/>
      <c r="N1933" s="80"/>
      <c r="O1933" s="94"/>
      <c r="P1933" s="26" t="str">
        <f t="shared" si="92"/>
        <v/>
      </c>
      <c r="Q1933" s="80"/>
      <c r="R1933" s="80"/>
      <c r="S1933" s="80"/>
      <c r="T1933" s="82"/>
      <c r="U1933" s="80"/>
      <c r="V1933" s="80"/>
      <c r="W1933" s="80"/>
    </row>
    <row r="1934" ht="18" customHeight="1" spans="1:23">
      <c r="A1934" s="87" t="str">
        <f t="shared" si="90"/>
        <v/>
      </c>
      <c r="B1934" s="78"/>
      <c r="C1934" s="80"/>
      <c r="D1934" s="79"/>
      <c r="E1934" s="80"/>
      <c r="F1934" s="79"/>
      <c r="G1934" s="25" t="str">
        <f t="shared" si="91"/>
        <v/>
      </c>
      <c r="H1934" s="88"/>
      <c r="I1934" s="93"/>
      <c r="J1934" s="97"/>
      <c r="K1934" s="88"/>
      <c r="L1934" s="25" t="str">
        <f>IF($D1934="","",SUMIFS($H$4:$H1934,$D$4:$D1934,$D1934)+SUMIFS($I$4:$I1934,$D$4:$D1934,$D1934)-SUMIFS($J$4:$J1934,$D$4:$D1934,$D1934)-SUMIFS($K$4:$K1934,$D$4:$D1934,$D1934))</f>
        <v/>
      </c>
      <c r="M1934" s="80"/>
      <c r="N1934" s="80"/>
      <c r="O1934" s="94"/>
      <c r="P1934" s="26" t="str">
        <f t="shared" si="92"/>
        <v/>
      </c>
      <c r="Q1934" s="80"/>
      <c r="R1934" s="80"/>
      <c r="S1934" s="80"/>
      <c r="T1934" s="82"/>
      <c r="U1934" s="80"/>
      <c r="V1934" s="80"/>
      <c r="W1934" s="80"/>
    </row>
    <row r="1935" ht="18" customHeight="1" spans="1:23">
      <c r="A1935" s="87" t="str">
        <f t="shared" si="90"/>
        <v/>
      </c>
      <c r="B1935" s="78"/>
      <c r="C1935" s="80"/>
      <c r="D1935" s="79"/>
      <c r="E1935" s="80"/>
      <c r="F1935" s="79"/>
      <c r="G1935" s="25" t="str">
        <f t="shared" si="91"/>
        <v/>
      </c>
      <c r="H1935" s="88"/>
      <c r="I1935" s="93"/>
      <c r="J1935" s="97"/>
      <c r="K1935" s="88"/>
      <c r="L1935" s="25" t="str">
        <f>IF($D1935="","",SUMIFS($H$4:$H1935,$D$4:$D1935,$D1935)+SUMIFS($I$4:$I1935,$D$4:$D1935,$D1935)-SUMIFS($J$4:$J1935,$D$4:$D1935,$D1935)-SUMIFS($K$4:$K1935,$D$4:$D1935,$D1935))</f>
        <v/>
      </c>
      <c r="M1935" s="80"/>
      <c r="N1935" s="80"/>
      <c r="O1935" s="94"/>
      <c r="P1935" s="26" t="str">
        <f t="shared" si="92"/>
        <v/>
      </c>
      <c r="Q1935" s="80"/>
      <c r="R1935" s="80"/>
      <c r="S1935" s="80"/>
      <c r="T1935" s="82"/>
      <c r="U1935" s="80"/>
      <c r="V1935" s="80"/>
      <c r="W1935" s="80"/>
    </row>
    <row r="1936" ht="18" customHeight="1" spans="1:23">
      <c r="A1936" s="87" t="str">
        <f t="shared" si="90"/>
        <v/>
      </c>
      <c r="B1936" s="78"/>
      <c r="C1936" s="80"/>
      <c r="D1936" s="79"/>
      <c r="E1936" s="80"/>
      <c r="F1936" s="79"/>
      <c r="G1936" s="25" t="str">
        <f t="shared" si="91"/>
        <v/>
      </c>
      <c r="H1936" s="88"/>
      <c r="I1936" s="93"/>
      <c r="J1936" s="97"/>
      <c r="K1936" s="88"/>
      <c r="L1936" s="25" t="str">
        <f>IF($D1936="","",SUMIFS($H$4:$H1936,$D$4:$D1936,$D1936)+SUMIFS($I$4:$I1936,$D$4:$D1936,$D1936)-SUMIFS($J$4:$J1936,$D$4:$D1936,$D1936)-SUMIFS($K$4:$K1936,$D$4:$D1936,$D1936))</f>
        <v/>
      </c>
      <c r="M1936" s="80"/>
      <c r="N1936" s="80"/>
      <c r="O1936" s="94"/>
      <c r="P1936" s="26" t="str">
        <f t="shared" si="92"/>
        <v/>
      </c>
      <c r="Q1936" s="80"/>
      <c r="R1936" s="80"/>
      <c r="S1936" s="80"/>
      <c r="T1936" s="82"/>
      <c r="U1936" s="80"/>
      <c r="V1936" s="80"/>
      <c r="W1936" s="80"/>
    </row>
    <row r="1937" ht="18" customHeight="1" spans="1:23">
      <c r="A1937" s="87" t="str">
        <f t="shared" si="90"/>
        <v/>
      </c>
      <c r="B1937" s="78"/>
      <c r="C1937" s="80"/>
      <c r="D1937" s="79"/>
      <c r="E1937" s="80"/>
      <c r="F1937" s="79"/>
      <c r="G1937" s="25" t="str">
        <f t="shared" si="91"/>
        <v/>
      </c>
      <c r="H1937" s="88"/>
      <c r="I1937" s="93"/>
      <c r="J1937" s="97"/>
      <c r="K1937" s="88"/>
      <c r="L1937" s="25" t="str">
        <f>IF($D1937="","",SUMIFS($H$4:$H1937,$D$4:$D1937,$D1937)+SUMIFS($I$4:$I1937,$D$4:$D1937,$D1937)-SUMIFS($J$4:$J1937,$D$4:$D1937,$D1937)-SUMIFS($K$4:$K1937,$D$4:$D1937,$D1937))</f>
        <v/>
      </c>
      <c r="M1937" s="80"/>
      <c r="N1937" s="80"/>
      <c r="O1937" s="94"/>
      <c r="P1937" s="26" t="str">
        <f t="shared" si="92"/>
        <v/>
      </c>
      <c r="Q1937" s="80"/>
      <c r="R1937" s="80"/>
      <c r="S1937" s="80"/>
      <c r="T1937" s="82"/>
      <c r="U1937" s="80"/>
      <c r="V1937" s="80"/>
      <c r="W1937" s="80"/>
    </row>
    <row r="1938" ht="18" customHeight="1" spans="1:23">
      <c r="A1938" s="87" t="str">
        <f t="shared" si="90"/>
        <v/>
      </c>
      <c r="B1938" s="78"/>
      <c r="C1938" s="80"/>
      <c r="D1938" s="79"/>
      <c r="E1938" s="80"/>
      <c r="F1938" s="79"/>
      <c r="G1938" s="25" t="str">
        <f t="shared" si="91"/>
        <v/>
      </c>
      <c r="H1938" s="88"/>
      <c r="I1938" s="93"/>
      <c r="J1938" s="97"/>
      <c r="K1938" s="88"/>
      <c r="L1938" s="25" t="str">
        <f>IF($D1938="","",SUMIFS($H$4:$H1938,$D$4:$D1938,$D1938)+SUMIFS($I$4:$I1938,$D$4:$D1938,$D1938)-SUMIFS($J$4:$J1938,$D$4:$D1938,$D1938)-SUMIFS($K$4:$K1938,$D$4:$D1938,$D1938))</f>
        <v/>
      </c>
      <c r="M1938" s="80"/>
      <c r="N1938" s="80"/>
      <c r="O1938" s="94"/>
      <c r="P1938" s="26" t="str">
        <f t="shared" si="92"/>
        <v/>
      </c>
      <c r="Q1938" s="80"/>
      <c r="R1938" s="80"/>
      <c r="S1938" s="80"/>
      <c r="T1938" s="82"/>
      <c r="U1938" s="80"/>
      <c r="V1938" s="80"/>
      <c r="W1938" s="80"/>
    </row>
    <row r="1939" ht="18" customHeight="1" spans="1:23">
      <c r="A1939" s="87" t="str">
        <f t="shared" si="90"/>
        <v/>
      </c>
      <c r="B1939" s="78"/>
      <c r="C1939" s="80"/>
      <c r="D1939" s="79"/>
      <c r="E1939" s="80"/>
      <c r="F1939" s="79"/>
      <c r="G1939" s="25" t="str">
        <f t="shared" si="91"/>
        <v/>
      </c>
      <c r="H1939" s="88"/>
      <c r="I1939" s="93"/>
      <c r="J1939" s="97"/>
      <c r="K1939" s="88"/>
      <c r="L1939" s="25" t="str">
        <f>IF($D1939="","",SUMIFS($H$4:$H1939,$D$4:$D1939,$D1939)+SUMIFS($I$4:$I1939,$D$4:$D1939,$D1939)-SUMIFS($J$4:$J1939,$D$4:$D1939,$D1939)-SUMIFS($K$4:$K1939,$D$4:$D1939,$D1939))</f>
        <v/>
      </c>
      <c r="M1939" s="80"/>
      <c r="N1939" s="80"/>
      <c r="O1939" s="94"/>
      <c r="P1939" s="26" t="str">
        <f t="shared" si="92"/>
        <v/>
      </c>
      <c r="Q1939" s="80"/>
      <c r="R1939" s="80"/>
      <c r="S1939" s="80"/>
      <c r="T1939" s="82"/>
      <c r="U1939" s="80"/>
      <c r="V1939" s="80"/>
      <c r="W1939" s="80"/>
    </row>
    <row r="1940" ht="18" customHeight="1" spans="1:23">
      <c r="A1940" s="87" t="str">
        <f t="shared" si="90"/>
        <v/>
      </c>
      <c r="B1940" s="78"/>
      <c r="C1940" s="80"/>
      <c r="D1940" s="79"/>
      <c r="E1940" s="80"/>
      <c r="F1940" s="79"/>
      <c r="G1940" s="25" t="str">
        <f t="shared" si="91"/>
        <v/>
      </c>
      <c r="H1940" s="88"/>
      <c r="I1940" s="93"/>
      <c r="J1940" s="97"/>
      <c r="K1940" s="88"/>
      <c r="L1940" s="25" t="str">
        <f>IF($D1940="","",SUMIFS($H$4:$H1940,$D$4:$D1940,$D1940)+SUMIFS($I$4:$I1940,$D$4:$D1940,$D1940)-SUMIFS($J$4:$J1940,$D$4:$D1940,$D1940)-SUMIFS($K$4:$K1940,$D$4:$D1940,$D1940))</f>
        <v/>
      </c>
      <c r="M1940" s="80"/>
      <c r="N1940" s="80"/>
      <c r="O1940" s="94"/>
      <c r="P1940" s="26" t="str">
        <f t="shared" si="92"/>
        <v/>
      </c>
      <c r="Q1940" s="80"/>
      <c r="R1940" s="80"/>
      <c r="S1940" s="80"/>
      <c r="T1940" s="82"/>
      <c r="U1940" s="80"/>
      <c r="V1940" s="80"/>
      <c r="W1940" s="80"/>
    </row>
    <row r="1941" ht="18" customHeight="1" spans="1:23">
      <c r="A1941" s="87" t="str">
        <f t="shared" si="90"/>
        <v/>
      </c>
      <c r="B1941" s="78"/>
      <c r="C1941" s="80"/>
      <c r="D1941" s="79"/>
      <c r="E1941" s="80"/>
      <c r="F1941" s="79"/>
      <c r="G1941" s="25" t="str">
        <f t="shared" si="91"/>
        <v/>
      </c>
      <c r="H1941" s="88"/>
      <c r="I1941" s="93"/>
      <c r="J1941" s="97"/>
      <c r="K1941" s="88"/>
      <c r="L1941" s="25" t="str">
        <f>IF($D1941="","",SUMIFS($H$4:$H1941,$D$4:$D1941,$D1941)+SUMIFS($I$4:$I1941,$D$4:$D1941,$D1941)-SUMIFS($J$4:$J1941,$D$4:$D1941,$D1941)-SUMIFS($K$4:$K1941,$D$4:$D1941,$D1941))</f>
        <v/>
      </c>
      <c r="M1941" s="80"/>
      <c r="N1941" s="80"/>
      <c r="O1941" s="94"/>
      <c r="P1941" s="26" t="str">
        <f t="shared" si="92"/>
        <v/>
      </c>
      <c r="Q1941" s="80"/>
      <c r="R1941" s="80"/>
      <c r="S1941" s="80"/>
      <c r="T1941" s="82"/>
      <c r="U1941" s="80"/>
      <c r="V1941" s="80"/>
      <c r="W1941" s="80"/>
    </row>
    <row r="1942" ht="18" customHeight="1" spans="1:23">
      <c r="A1942" s="87" t="str">
        <f t="shared" si="90"/>
        <v/>
      </c>
      <c r="B1942" s="78"/>
      <c r="C1942" s="80"/>
      <c r="D1942" s="79"/>
      <c r="E1942" s="80"/>
      <c r="F1942" s="79"/>
      <c r="G1942" s="25" t="str">
        <f t="shared" si="91"/>
        <v/>
      </c>
      <c r="H1942" s="88"/>
      <c r="I1942" s="93"/>
      <c r="J1942" s="97"/>
      <c r="K1942" s="88"/>
      <c r="L1942" s="25" t="str">
        <f>IF($D1942="","",SUMIFS($H$4:$H1942,$D$4:$D1942,$D1942)+SUMIFS($I$4:$I1942,$D$4:$D1942,$D1942)-SUMIFS($J$4:$J1942,$D$4:$D1942,$D1942)-SUMIFS($K$4:$K1942,$D$4:$D1942,$D1942))</f>
        <v/>
      </c>
      <c r="M1942" s="80"/>
      <c r="N1942" s="80"/>
      <c r="O1942" s="94"/>
      <c r="P1942" s="26" t="str">
        <f t="shared" si="92"/>
        <v/>
      </c>
      <c r="Q1942" s="80"/>
      <c r="R1942" s="80"/>
      <c r="S1942" s="80"/>
      <c r="T1942" s="82"/>
      <c r="U1942" s="80"/>
      <c r="V1942" s="80"/>
      <c r="W1942" s="80"/>
    </row>
    <row r="1943" ht="18" customHeight="1" spans="1:23">
      <c r="A1943" s="87" t="str">
        <f t="shared" si="90"/>
        <v/>
      </c>
      <c r="B1943" s="78"/>
      <c r="C1943" s="80"/>
      <c r="D1943" s="79"/>
      <c r="E1943" s="80"/>
      <c r="F1943" s="79"/>
      <c r="G1943" s="25" t="str">
        <f t="shared" si="91"/>
        <v/>
      </c>
      <c r="H1943" s="88"/>
      <c r="I1943" s="93"/>
      <c r="J1943" s="97"/>
      <c r="K1943" s="88"/>
      <c r="L1943" s="25" t="str">
        <f>IF($D1943="","",SUMIFS($H$4:$H1943,$D$4:$D1943,$D1943)+SUMIFS($I$4:$I1943,$D$4:$D1943,$D1943)-SUMIFS($J$4:$J1943,$D$4:$D1943,$D1943)-SUMIFS($K$4:$K1943,$D$4:$D1943,$D1943))</f>
        <v/>
      </c>
      <c r="M1943" s="80"/>
      <c r="N1943" s="80"/>
      <c r="O1943" s="94"/>
      <c r="P1943" s="26" t="str">
        <f t="shared" si="92"/>
        <v/>
      </c>
      <c r="Q1943" s="80"/>
      <c r="R1943" s="80"/>
      <c r="S1943" s="80"/>
      <c r="T1943" s="82"/>
      <c r="U1943" s="80"/>
      <c r="V1943" s="80"/>
      <c r="W1943" s="80"/>
    </row>
    <row r="1944" ht="18" customHeight="1" spans="1:23">
      <c r="A1944" s="87" t="str">
        <f t="shared" si="90"/>
        <v/>
      </c>
      <c r="B1944" s="78"/>
      <c r="C1944" s="80"/>
      <c r="D1944" s="79"/>
      <c r="E1944" s="80"/>
      <c r="F1944" s="79"/>
      <c r="G1944" s="25" t="str">
        <f t="shared" si="91"/>
        <v/>
      </c>
      <c r="H1944" s="88"/>
      <c r="I1944" s="93"/>
      <c r="J1944" s="97"/>
      <c r="K1944" s="88"/>
      <c r="L1944" s="25" t="str">
        <f>IF($D1944="","",SUMIFS($H$4:$H1944,$D$4:$D1944,$D1944)+SUMIFS($I$4:$I1944,$D$4:$D1944,$D1944)-SUMIFS($J$4:$J1944,$D$4:$D1944,$D1944)-SUMIFS($K$4:$K1944,$D$4:$D1944,$D1944))</f>
        <v/>
      </c>
      <c r="M1944" s="80"/>
      <c r="N1944" s="80"/>
      <c r="O1944" s="94"/>
      <c r="P1944" s="26" t="str">
        <f t="shared" si="92"/>
        <v/>
      </c>
      <c r="Q1944" s="80"/>
      <c r="R1944" s="80"/>
      <c r="S1944" s="80"/>
      <c r="T1944" s="82"/>
      <c r="U1944" s="80"/>
      <c r="V1944" s="80"/>
      <c r="W1944" s="80"/>
    </row>
    <row r="1945" ht="18" customHeight="1" spans="1:23">
      <c r="A1945" s="87" t="str">
        <f t="shared" si="90"/>
        <v/>
      </c>
      <c r="B1945" s="78"/>
      <c r="C1945" s="80"/>
      <c r="D1945" s="79"/>
      <c r="E1945" s="80"/>
      <c r="F1945" s="79"/>
      <c r="G1945" s="25" t="str">
        <f t="shared" si="91"/>
        <v/>
      </c>
      <c r="H1945" s="88"/>
      <c r="I1945" s="93"/>
      <c r="J1945" s="97"/>
      <c r="K1945" s="88"/>
      <c r="L1945" s="25" t="str">
        <f>IF($D1945="","",SUMIFS($H$4:$H1945,$D$4:$D1945,$D1945)+SUMIFS($I$4:$I1945,$D$4:$D1945,$D1945)-SUMIFS($J$4:$J1945,$D$4:$D1945,$D1945)-SUMIFS($K$4:$K1945,$D$4:$D1945,$D1945))</f>
        <v/>
      </c>
      <c r="M1945" s="80"/>
      <c r="N1945" s="80"/>
      <c r="O1945" s="94"/>
      <c r="P1945" s="26" t="str">
        <f t="shared" si="92"/>
        <v/>
      </c>
      <c r="Q1945" s="80"/>
      <c r="R1945" s="80"/>
      <c r="S1945" s="80"/>
      <c r="T1945" s="82"/>
      <c r="U1945" s="80"/>
      <c r="V1945" s="80"/>
      <c r="W1945" s="80"/>
    </row>
    <row r="1946" ht="18" customHeight="1" spans="1:23">
      <c r="A1946" s="87" t="str">
        <f t="shared" si="90"/>
        <v/>
      </c>
      <c r="B1946" s="78"/>
      <c r="C1946" s="80"/>
      <c r="D1946" s="79"/>
      <c r="E1946" s="80"/>
      <c r="F1946" s="79"/>
      <c r="G1946" s="25" t="str">
        <f t="shared" si="91"/>
        <v/>
      </c>
      <c r="H1946" s="88"/>
      <c r="I1946" s="93"/>
      <c r="J1946" s="97"/>
      <c r="K1946" s="88"/>
      <c r="L1946" s="25" t="str">
        <f>IF($D1946="","",SUMIFS($H$4:$H1946,$D$4:$D1946,$D1946)+SUMIFS($I$4:$I1946,$D$4:$D1946,$D1946)-SUMIFS($J$4:$J1946,$D$4:$D1946,$D1946)-SUMIFS($K$4:$K1946,$D$4:$D1946,$D1946))</f>
        <v/>
      </c>
      <c r="M1946" s="80"/>
      <c r="N1946" s="80"/>
      <c r="O1946" s="94"/>
      <c r="P1946" s="26" t="str">
        <f t="shared" si="92"/>
        <v/>
      </c>
      <c r="Q1946" s="80"/>
      <c r="R1946" s="80"/>
      <c r="S1946" s="80"/>
      <c r="T1946" s="82"/>
      <c r="U1946" s="80"/>
      <c r="V1946" s="80"/>
      <c r="W1946" s="80"/>
    </row>
    <row r="1947" ht="18" customHeight="1" spans="1:23">
      <c r="A1947" s="87" t="str">
        <f t="shared" si="90"/>
        <v/>
      </c>
      <c r="B1947" s="78"/>
      <c r="C1947" s="80"/>
      <c r="D1947" s="79"/>
      <c r="E1947" s="80"/>
      <c r="F1947" s="79"/>
      <c r="G1947" s="25" t="str">
        <f t="shared" si="91"/>
        <v/>
      </c>
      <c r="H1947" s="88"/>
      <c r="I1947" s="93"/>
      <c r="J1947" s="97"/>
      <c r="K1947" s="88"/>
      <c r="L1947" s="25" t="str">
        <f>IF($D1947="","",SUMIFS($H$4:$H1947,$D$4:$D1947,$D1947)+SUMIFS($I$4:$I1947,$D$4:$D1947,$D1947)-SUMIFS($J$4:$J1947,$D$4:$D1947,$D1947)-SUMIFS($K$4:$K1947,$D$4:$D1947,$D1947))</f>
        <v/>
      </c>
      <c r="M1947" s="80"/>
      <c r="N1947" s="80"/>
      <c r="O1947" s="94"/>
      <c r="P1947" s="26" t="str">
        <f t="shared" si="92"/>
        <v/>
      </c>
      <c r="Q1947" s="80"/>
      <c r="R1947" s="80"/>
      <c r="S1947" s="80"/>
      <c r="T1947" s="82"/>
      <c r="U1947" s="80"/>
      <c r="V1947" s="80"/>
      <c r="W1947" s="80"/>
    </row>
    <row r="1948" ht="18" customHeight="1" spans="1:23">
      <c r="A1948" s="87" t="str">
        <f t="shared" si="90"/>
        <v/>
      </c>
      <c r="B1948" s="78"/>
      <c r="C1948" s="80"/>
      <c r="D1948" s="79"/>
      <c r="E1948" s="80"/>
      <c r="F1948" s="79"/>
      <c r="G1948" s="25" t="str">
        <f t="shared" si="91"/>
        <v/>
      </c>
      <c r="H1948" s="88"/>
      <c r="I1948" s="93"/>
      <c r="J1948" s="97"/>
      <c r="K1948" s="88"/>
      <c r="L1948" s="25" t="str">
        <f>IF($D1948="","",SUMIFS($H$4:$H1948,$D$4:$D1948,$D1948)+SUMIFS($I$4:$I1948,$D$4:$D1948,$D1948)-SUMIFS($J$4:$J1948,$D$4:$D1948,$D1948)-SUMIFS($K$4:$K1948,$D$4:$D1948,$D1948))</f>
        <v/>
      </c>
      <c r="M1948" s="80"/>
      <c r="N1948" s="80"/>
      <c r="O1948" s="94"/>
      <c r="P1948" s="26" t="str">
        <f t="shared" si="92"/>
        <v/>
      </c>
      <c r="Q1948" s="80"/>
      <c r="R1948" s="80"/>
      <c r="S1948" s="80"/>
      <c r="T1948" s="82"/>
      <c r="U1948" s="80"/>
      <c r="V1948" s="80"/>
      <c r="W1948" s="80"/>
    </row>
    <row r="1949" ht="18" customHeight="1" spans="1:23">
      <c r="A1949" s="87" t="str">
        <f t="shared" si="90"/>
        <v/>
      </c>
      <c r="B1949" s="78"/>
      <c r="C1949" s="80"/>
      <c r="D1949" s="79"/>
      <c r="E1949" s="80"/>
      <c r="F1949" s="79"/>
      <c r="G1949" s="25" t="str">
        <f t="shared" si="91"/>
        <v/>
      </c>
      <c r="H1949" s="88"/>
      <c r="I1949" s="93"/>
      <c r="J1949" s="97"/>
      <c r="K1949" s="88"/>
      <c r="L1949" s="25" t="str">
        <f>IF($D1949="","",SUMIFS($H$4:$H1949,$D$4:$D1949,$D1949)+SUMIFS($I$4:$I1949,$D$4:$D1949,$D1949)-SUMIFS($J$4:$J1949,$D$4:$D1949,$D1949)-SUMIFS($K$4:$K1949,$D$4:$D1949,$D1949))</f>
        <v/>
      </c>
      <c r="M1949" s="80"/>
      <c r="N1949" s="80"/>
      <c r="O1949" s="94"/>
      <c r="P1949" s="26" t="str">
        <f t="shared" si="92"/>
        <v/>
      </c>
      <c r="Q1949" s="80"/>
      <c r="R1949" s="80"/>
      <c r="S1949" s="80"/>
      <c r="T1949" s="82"/>
      <c r="U1949" s="80"/>
      <c r="V1949" s="80"/>
      <c r="W1949" s="80"/>
    </row>
    <row r="1950" ht="18" customHeight="1" spans="1:23">
      <c r="A1950" s="87" t="str">
        <f t="shared" si="90"/>
        <v/>
      </c>
      <c r="B1950" s="78"/>
      <c r="C1950" s="80"/>
      <c r="D1950" s="79"/>
      <c r="E1950" s="80"/>
      <c r="F1950" s="79"/>
      <c r="G1950" s="25" t="str">
        <f t="shared" si="91"/>
        <v/>
      </c>
      <c r="H1950" s="88"/>
      <c r="I1950" s="93"/>
      <c r="J1950" s="97"/>
      <c r="K1950" s="88"/>
      <c r="L1950" s="25" t="str">
        <f>IF($D1950="","",SUMIFS($H$4:$H1950,$D$4:$D1950,$D1950)+SUMIFS($I$4:$I1950,$D$4:$D1950,$D1950)-SUMIFS($J$4:$J1950,$D$4:$D1950,$D1950)-SUMIFS($K$4:$K1950,$D$4:$D1950,$D1950))</f>
        <v/>
      </c>
      <c r="M1950" s="80"/>
      <c r="N1950" s="80"/>
      <c r="O1950" s="94"/>
      <c r="P1950" s="26" t="str">
        <f t="shared" si="92"/>
        <v/>
      </c>
      <c r="Q1950" s="80"/>
      <c r="R1950" s="80"/>
      <c r="S1950" s="80"/>
      <c r="T1950" s="82"/>
      <c r="U1950" s="80"/>
      <c r="V1950" s="80"/>
      <c r="W1950" s="80"/>
    </row>
    <row r="1951" ht="18" customHeight="1" spans="1:23">
      <c r="A1951" s="87" t="str">
        <f t="shared" si="90"/>
        <v/>
      </c>
      <c r="B1951" s="78"/>
      <c r="C1951" s="80"/>
      <c r="D1951" s="79"/>
      <c r="E1951" s="80"/>
      <c r="F1951" s="79"/>
      <c r="G1951" s="25" t="str">
        <f t="shared" si="91"/>
        <v/>
      </c>
      <c r="H1951" s="88"/>
      <c r="I1951" s="93"/>
      <c r="J1951" s="97"/>
      <c r="K1951" s="88"/>
      <c r="L1951" s="25" t="str">
        <f>IF($D1951="","",SUMIFS($H$4:$H1951,$D$4:$D1951,$D1951)+SUMIFS($I$4:$I1951,$D$4:$D1951,$D1951)-SUMIFS($J$4:$J1951,$D$4:$D1951,$D1951)-SUMIFS($K$4:$K1951,$D$4:$D1951,$D1951))</f>
        <v/>
      </c>
      <c r="M1951" s="80"/>
      <c r="N1951" s="80"/>
      <c r="O1951" s="94"/>
      <c r="P1951" s="26" t="str">
        <f t="shared" si="92"/>
        <v/>
      </c>
      <c r="Q1951" s="80"/>
      <c r="R1951" s="80"/>
      <c r="S1951" s="80"/>
      <c r="T1951" s="82"/>
      <c r="U1951" s="80"/>
      <c r="V1951" s="80"/>
      <c r="W1951" s="80"/>
    </row>
    <row r="1952" ht="18" customHeight="1" spans="1:23">
      <c r="A1952" s="87" t="str">
        <f t="shared" si="90"/>
        <v/>
      </c>
      <c r="B1952" s="78"/>
      <c r="C1952" s="80"/>
      <c r="D1952" s="79"/>
      <c r="E1952" s="80"/>
      <c r="F1952" s="79"/>
      <c r="G1952" s="25" t="str">
        <f t="shared" si="91"/>
        <v/>
      </c>
      <c r="H1952" s="88"/>
      <c r="I1952" s="93"/>
      <c r="J1952" s="97"/>
      <c r="K1952" s="88"/>
      <c r="L1952" s="25" t="str">
        <f>IF($D1952="","",SUMIFS($H$4:$H1952,$D$4:$D1952,$D1952)+SUMIFS($I$4:$I1952,$D$4:$D1952,$D1952)-SUMIFS($J$4:$J1952,$D$4:$D1952,$D1952)-SUMIFS($K$4:$K1952,$D$4:$D1952,$D1952))</f>
        <v/>
      </c>
      <c r="M1952" s="80"/>
      <c r="N1952" s="80"/>
      <c r="O1952" s="94"/>
      <c r="P1952" s="26" t="str">
        <f t="shared" si="92"/>
        <v/>
      </c>
      <c r="Q1952" s="80"/>
      <c r="R1952" s="80"/>
      <c r="S1952" s="80"/>
      <c r="T1952" s="82"/>
      <c r="U1952" s="80"/>
      <c r="V1952" s="80"/>
      <c r="W1952" s="80"/>
    </row>
    <row r="1953" ht="18" customHeight="1" spans="1:23">
      <c r="A1953" s="87" t="str">
        <f t="shared" si="90"/>
        <v/>
      </c>
      <c r="B1953" s="78"/>
      <c r="C1953" s="80"/>
      <c r="D1953" s="79"/>
      <c r="E1953" s="80"/>
      <c r="F1953" s="79"/>
      <c r="G1953" s="25" t="str">
        <f t="shared" si="91"/>
        <v/>
      </c>
      <c r="H1953" s="88"/>
      <c r="I1953" s="93"/>
      <c r="J1953" s="97"/>
      <c r="K1953" s="88"/>
      <c r="L1953" s="25" t="str">
        <f>IF($D1953="","",SUMIFS($H$4:$H1953,$D$4:$D1953,$D1953)+SUMIFS($I$4:$I1953,$D$4:$D1953,$D1953)-SUMIFS($J$4:$J1953,$D$4:$D1953,$D1953)-SUMIFS($K$4:$K1953,$D$4:$D1953,$D1953))</f>
        <v/>
      </c>
      <c r="M1953" s="80"/>
      <c r="N1953" s="80"/>
      <c r="O1953" s="94"/>
      <c r="P1953" s="26" t="str">
        <f t="shared" si="92"/>
        <v/>
      </c>
      <c r="Q1953" s="80"/>
      <c r="R1953" s="80"/>
      <c r="S1953" s="80"/>
      <c r="T1953" s="82"/>
      <c r="U1953" s="80"/>
      <c r="V1953" s="80"/>
      <c r="W1953" s="80"/>
    </row>
    <row r="1954" ht="18" customHeight="1" spans="1:23">
      <c r="A1954" s="87" t="str">
        <f t="shared" si="90"/>
        <v/>
      </c>
      <c r="B1954" s="78"/>
      <c r="C1954" s="80"/>
      <c r="D1954" s="79"/>
      <c r="E1954" s="80"/>
      <c r="F1954" s="79"/>
      <c r="G1954" s="25" t="str">
        <f t="shared" si="91"/>
        <v/>
      </c>
      <c r="H1954" s="88"/>
      <c r="I1954" s="93"/>
      <c r="J1954" s="97"/>
      <c r="K1954" s="88"/>
      <c r="L1954" s="25" t="str">
        <f>IF($D1954="","",SUMIFS($H$4:$H1954,$D$4:$D1954,$D1954)+SUMIFS($I$4:$I1954,$D$4:$D1954,$D1954)-SUMIFS($J$4:$J1954,$D$4:$D1954,$D1954)-SUMIFS($K$4:$K1954,$D$4:$D1954,$D1954))</f>
        <v/>
      </c>
      <c r="M1954" s="80"/>
      <c r="N1954" s="80"/>
      <c r="O1954" s="94"/>
      <c r="P1954" s="26" t="str">
        <f t="shared" si="92"/>
        <v/>
      </c>
      <c r="Q1954" s="80"/>
      <c r="R1954" s="80"/>
      <c r="S1954" s="80"/>
      <c r="T1954" s="82"/>
      <c r="U1954" s="80"/>
      <c r="V1954" s="80"/>
      <c r="W1954" s="80"/>
    </row>
    <row r="1955" ht="18" customHeight="1" spans="1:23">
      <c r="A1955" s="87" t="str">
        <f t="shared" si="90"/>
        <v/>
      </c>
      <c r="B1955" s="78"/>
      <c r="C1955" s="80"/>
      <c r="D1955" s="79"/>
      <c r="E1955" s="80"/>
      <c r="F1955" s="79"/>
      <c r="G1955" s="25" t="str">
        <f t="shared" si="91"/>
        <v/>
      </c>
      <c r="H1955" s="88"/>
      <c r="I1955" s="93"/>
      <c r="J1955" s="97"/>
      <c r="K1955" s="88"/>
      <c r="L1955" s="25" t="str">
        <f>IF($D1955="","",SUMIFS($H$4:$H1955,$D$4:$D1955,$D1955)+SUMIFS($I$4:$I1955,$D$4:$D1955,$D1955)-SUMIFS($J$4:$J1955,$D$4:$D1955,$D1955)-SUMIFS($K$4:$K1955,$D$4:$D1955,$D1955))</f>
        <v/>
      </c>
      <c r="M1955" s="80"/>
      <c r="N1955" s="80"/>
      <c r="O1955" s="94"/>
      <c r="P1955" s="26" t="str">
        <f t="shared" si="92"/>
        <v/>
      </c>
      <c r="Q1955" s="80"/>
      <c r="R1955" s="80"/>
      <c r="S1955" s="80"/>
      <c r="T1955" s="82"/>
      <c r="U1955" s="80"/>
      <c r="V1955" s="80"/>
      <c r="W1955" s="80"/>
    </row>
    <row r="1956" ht="18" customHeight="1" spans="1:23">
      <c r="A1956" s="87" t="str">
        <f t="shared" si="90"/>
        <v/>
      </c>
      <c r="B1956" s="78"/>
      <c r="C1956" s="80"/>
      <c r="D1956" s="79"/>
      <c r="E1956" s="80"/>
      <c r="F1956" s="79"/>
      <c r="G1956" s="25" t="str">
        <f t="shared" si="91"/>
        <v/>
      </c>
      <c r="H1956" s="88"/>
      <c r="I1956" s="93"/>
      <c r="J1956" s="97"/>
      <c r="K1956" s="88"/>
      <c r="L1956" s="25" t="str">
        <f>IF($D1956="","",SUMIFS($H$4:$H1956,$D$4:$D1956,$D1956)+SUMIFS($I$4:$I1956,$D$4:$D1956,$D1956)-SUMIFS($J$4:$J1956,$D$4:$D1956,$D1956)-SUMIFS($K$4:$K1956,$D$4:$D1956,$D1956))</f>
        <v/>
      </c>
      <c r="M1956" s="80"/>
      <c r="N1956" s="80"/>
      <c r="O1956" s="94"/>
      <c r="P1956" s="26" t="str">
        <f t="shared" si="92"/>
        <v/>
      </c>
      <c r="Q1956" s="80"/>
      <c r="R1956" s="80"/>
      <c r="S1956" s="80"/>
      <c r="T1956" s="82"/>
      <c r="U1956" s="80"/>
      <c r="V1956" s="80"/>
      <c r="W1956" s="80"/>
    </row>
    <row r="1957" ht="18" customHeight="1" spans="1:23">
      <c r="A1957" s="87" t="str">
        <f t="shared" si="90"/>
        <v/>
      </c>
      <c r="B1957" s="78"/>
      <c r="C1957" s="80"/>
      <c r="D1957" s="79"/>
      <c r="E1957" s="80"/>
      <c r="F1957" s="79"/>
      <c r="G1957" s="25" t="str">
        <f t="shared" si="91"/>
        <v/>
      </c>
      <c r="H1957" s="88"/>
      <c r="I1957" s="93"/>
      <c r="J1957" s="97"/>
      <c r="K1957" s="88"/>
      <c r="L1957" s="25" t="str">
        <f>IF($D1957="","",SUMIFS($H$4:$H1957,$D$4:$D1957,$D1957)+SUMIFS($I$4:$I1957,$D$4:$D1957,$D1957)-SUMIFS($J$4:$J1957,$D$4:$D1957,$D1957)-SUMIFS($K$4:$K1957,$D$4:$D1957,$D1957))</f>
        <v/>
      </c>
      <c r="M1957" s="80"/>
      <c r="N1957" s="80"/>
      <c r="O1957" s="94"/>
      <c r="P1957" s="26" t="str">
        <f t="shared" si="92"/>
        <v/>
      </c>
      <c r="Q1957" s="80"/>
      <c r="R1957" s="80"/>
      <c r="S1957" s="80"/>
      <c r="T1957" s="82"/>
      <c r="U1957" s="80"/>
      <c r="V1957" s="80"/>
      <c r="W1957" s="80"/>
    </row>
    <row r="1958" ht="18" customHeight="1" spans="1:23">
      <c r="A1958" s="87" t="str">
        <f t="shared" si="90"/>
        <v/>
      </c>
      <c r="B1958" s="78"/>
      <c r="C1958" s="80"/>
      <c r="D1958" s="79"/>
      <c r="E1958" s="80"/>
      <c r="F1958" s="79"/>
      <c r="G1958" s="25" t="str">
        <f t="shared" si="91"/>
        <v/>
      </c>
      <c r="H1958" s="88"/>
      <c r="I1958" s="93"/>
      <c r="J1958" s="97"/>
      <c r="K1958" s="88"/>
      <c r="L1958" s="25" t="str">
        <f>IF($D1958="","",SUMIFS($H$4:$H1958,$D$4:$D1958,$D1958)+SUMIFS($I$4:$I1958,$D$4:$D1958,$D1958)-SUMIFS($J$4:$J1958,$D$4:$D1958,$D1958)-SUMIFS($K$4:$K1958,$D$4:$D1958,$D1958))</f>
        <v/>
      </c>
      <c r="M1958" s="80"/>
      <c r="N1958" s="80"/>
      <c r="O1958" s="94"/>
      <c r="P1958" s="26" t="str">
        <f t="shared" si="92"/>
        <v/>
      </c>
      <c r="Q1958" s="80"/>
      <c r="R1958" s="80"/>
      <c r="S1958" s="80"/>
      <c r="T1958" s="82"/>
      <c r="U1958" s="80"/>
      <c r="V1958" s="80"/>
      <c r="W1958" s="80"/>
    </row>
    <row r="1959" ht="18" customHeight="1" spans="1:23">
      <c r="A1959" s="87" t="str">
        <f t="shared" si="90"/>
        <v/>
      </c>
      <c r="B1959" s="78"/>
      <c r="C1959" s="80"/>
      <c r="D1959" s="79"/>
      <c r="E1959" s="80"/>
      <c r="F1959" s="79"/>
      <c r="G1959" s="25" t="str">
        <f t="shared" si="91"/>
        <v/>
      </c>
      <c r="H1959" s="88"/>
      <c r="I1959" s="93"/>
      <c r="J1959" s="97"/>
      <c r="K1959" s="88"/>
      <c r="L1959" s="25" t="str">
        <f>IF($D1959="","",SUMIFS($H$4:$H1959,$D$4:$D1959,$D1959)+SUMIFS($I$4:$I1959,$D$4:$D1959,$D1959)-SUMIFS($J$4:$J1959,$D$4:$D1959,$D1959)-SUMIFS($K$4:$K1959,$D$4:$D1959,$D1959))</f>
        <v/>
      </c>
      <c r="M1959" s="80"/>
      <c r="N1959" s="80"/>
      <c r="O1959" s="94"/>
      <c r="P1959" s="26" t="str">
        <f t="shared" si="92"/>
        <v/>
      </c>
      <c r="Q1959" s="80"/>
      <c r="R1959" s="80"/>
      <c r="S1959" s="80"/>
      <c r="T1959" s="82"/>
      <c r="U1959" s="80"/>
      <c r="V1959" s="80"/>
      <c r="W1959" s="80"/>
    </row>
    <row r="1960" ht="18" customHeight="1" spans="1:23">
      <c r="A1960" s="87" t="str">
        <f t="shared" si="90"/>
        <v/>
      </c>
      <c r="B1960" s="78"/>
      <c r="C1960" s="80"/>
      <c r="D1960" s="79"/>
      <c r="E1960" s="80"/>
      <c r="F1960" s="79"/>
      <c r="G1960" s="25" t="str">
        <f t="shared" si="91"/>
        <v/>
      </c>
      <c r="H1960" s="88"/>
      <c r="I1960" s="93"/>
      <c r="J1960" s="97"/>
      <c r="K1960" s="88"/>
      <c r="L1960" s="25" t="str">
        <f>IF($D1960="","",SUMIFS($H$4:$H1960,$D$4:$D1960,$D1960)+SUMIFS($I$4:$I1960,$D$4:$D1960,$D1960)-SUMIFS($J$4:$J1960,$D$4:$D1960,$D1960)-SUMIFS($K$4:$K1960,$D$4:$D1960,$D1960))</f>
        <v/>
      </c>
      <c r="M1960" s="80"/>
      <c r="N1960" s="80"/>
      <c r="O1960" s="94"/>
      <c r="P1960" s="26" t="str">
        <f t="shared" si="92"/>
        <v/>
      </c>
      <c r="Q1960" s="80"/>
      <c r="R1960" s="80"/>
      <c r="S1960" s="80"/>
      <c r="T1960" s="82"/>
      <c r="U1960" s="80"/>
      <c r="V1960" s="80"/>
      <c r="W1960" s="80"/>
    </row>
    <row r="1961" ht="18" customHeight="1" spans="1:23">
      <c r="A1961" s="87" t="str">
        <f t="shared" si="90"/>
        <v/>
      </c>
      <c r="B1961" s="78"/>
      <c r="C1961" s="80"/>
      <c r="D1961" s="79"/>
      <c r="E1961" s="80"/>
      <c r="F1961" s="79"/>
      <c r="G1961" s="25" t="str">
        <f t="shared" si="91"/>
        <v/>
      </c>
      <c r="H1961" s="88"/>
      <c r="I1961" s="93"/>
      <c r="J1961" s="97"/>
      <c r="K1961" s="88"/>
      <c r="L1961" s="25" t="str">
        <f>IF($D1961="","",SUMIFS($H$4:$H1961,$D$4:$D1961,$D1961)+SUMIFS($I$4:$I1961,$D$4:$D1961,$D1961)-SUMIFS($J$4:$J1961,$D$4:$D1961,$D1961)-SUMIFS($K$4:$K1961,$D$4:$D1961,$D1961))</f>
        <v/>
      </c>
      <c r="M1961" s="80"/>
      <c r="N1961" s="80"/>
      <c r="O1961" s="94"/>
      <c r="P1961" s="26" t="str">
        <f t="shared" si="92"/>
        <v/>
      </c>
      <c r="Q1961" s="80"/>
      <c r="R1961" s="80"/>
      <c r="S1961" s="80"/>
      <c r="T1961" s="82"/>
      <c r="U1961" s="80"/>
      <c r="V1961" s="80"/>
      <c r="W1961" s="80"/>
    </row>
    <row r="1962" ht="18" customHeight="1" spans="1:23">
      <c r="A1962" s="87" t="str">
        <f t="shared" si="90"/>
        <v/>
      </c>
      <c r="B1962" s="78"/>
      <c r="C1962" s="80"/>
      <c r="D1962" s="79"/>
      <c r="E1962" s="80"/>
      <c r="F1962" s="79"/>
      <c r="G1962" s="25" t="str">
        <f t="shared" si="91"/>
        <v/>
      </c>
      <c r="H1962" s="88"/>
      <c r="I1962" s="93"/>
      <c r="J1962" s="97"/>
      <c r="K1962" s="88"/>
      <c r="L1962" s="25" t="str">
        <f>IF($D1962="","",SUMIFS($H$4:$H1962,$D$4:$D1962,$D1962)+SUMIFS($I$4:$I1962,$D$4:$D1962,$D1962)-SUMIFS($J$4:$J1962,$D$4:$D1962,$D1962)-SUMIFS($K$4:$K1962,$D$4:$D1962,$D1962))</f>
        <v/>
      </c>
      <c r="M1962" s="80"/>
      <c r="N1962" s="80"/>
      <c r="O1962" s="94"/>
      <c r="P1962" s="26" t="str">
        <f t="shared" si="92"/>
        <v/>
      </c>
      <c r="Q1962" s="80"/>
      <c r="R1962" s="80"/>
      <c r="S1962" s="80"/>
      <c r="T1962" s="82"/>
      <c r="U1962" s="80"/>
      <c r="V1962" s="80"/>
      <c r="W1962" s="80"/>
    </row>
    <row r="1963" ht="18" customHeight="1" spans="1:23">
      <c r="A1963" s="87" t="str">
        <f t="shared" si="90"/>
        <v/>
      </c>
      <c r="B1963" s="78"/>
      <c r="C1963" s="80"/>
      <c r="D1963" s="79"/>
      <c r="E1963" s="80"/>
      <c r="F1963" s="79"/>
      <c r="G1963" s="25" t="str">
        <f t="shared" si="91"/>
        <v/>
      </c>
      <c r="H1963" s="88"/>
      <c r="I1963" s="93"/>
      <c r="J1963" s="97"/>
      <c r="K1963" s="88"/>
      <c r="L1963" s="25" t="str">
        <f>IF($D1963="","",SUMIFS($H$4:$H1963,$D$4:$D1963,$D1963)+SUMIFS($I$4:$I1963,$D$4:$D1963,$D1963)-SUMIFS($J$4:$J1963,$D$4:$D1963,$D1963)-SUMIFS($K$4:$K1963,$D$4:$D1963,$D1963))</f>
        <v/>
      </c>
      <c r="M1963" s="80"/>
      <c r="N1963" s="80"/>
      <c r="O1963" s="94"/>
      <c r="P1963" s="26" t="str">
        <f t="shared" si="92"/>
        <v/>
      </c>
      <c r="Q1963" s="80"/>
      <c r="R1963" s="80"/>
      <c r="S1963" s="80"/>
      <c r="T1963" s="82"/>
      <c r="U1963" s="80"/>
      <c r="V1963" s="80"/>
      <c r="W1963" s="80"/>
    </row>
    <row r="1964" ht="18" customHeight="1" spans="1:23">
      <c r="A1964" s="87" t="str">
        <f t="shared" si="90"/>
        <v/>
      </c>
      <c r="B1964" s="78"/>
      <c r="C1964" s="80"/>
      <c r="D1964" s="79"/>
      <c r="E1964" s="80"/>
      <c r="F1964" s="79"/>
      <c r="G1964" s="25" t="str">
        <f t="shared" si="91"/>
        <v/>
      </c>
      <c r="H1964" s="88"/>
      <c r="I1964" s="93"/>
      <c r="J1964" s="97"/>
      <c r="K1964" s="88"/>
      <c r="L1964" s="25" t="str">
        <f>IF($D1964="","",SUMIFS($H$4:$H1964,$D$4:$D1964,$D1964)+SUMIFS($I$4:$I1964,$D$4:$D1964,$D1964)-SUMIFS($J$4:$J1964,$D$4:$D1964,$D1964)-SUMIFS($K$4:$K1964,$D$4:$D1964,$D1964))</f>
        <v/>
      </c>
      <c r="M1964" s="80"/>
      <c r="N1964" s="80"/>
      <c r="O1964" s="94"/>
      <c r="P1964" s="26" t="str">
        <f t="shared" si="92"/>
        <v/>
      </c>
      <c r="Q1964" s="80"/>
      <c r="R1964" s="80"/>
      <c r="S1964" s="80"/>
      <c r="T1964" s="82"/>
      <c r="U1964" s="80"/>
      <c r="V1964" s="80"/>
      <c r="W1964" s="80"/>
    </row>
    <row r="1965" ht="18" customHeight="1" spans="1:23">
      <c r="A1965" s="87" t="str">
        <f t="shared" si="90"/>
        <v/>
      </c>
      <c r="B1965" s="78"/>
      <c r="C1965" s="80"/>
      <c r="D1965" s="79"/>
      <c r="E1965" s="80"/>
      <c r="F1965" s="79"/>
      <c r="G1965" s="25" t="str">
        <f t="shared" si="91"/>
        <v/>
      </c>
      <c r="H1965" s="88"/>
      <c r="I1965" s="93"/>
      <c r="J1965" s="97"/>
      <c r="K1965" s="88"/>
      <c r="L1965" s="25" t="str">
        <f>IF($D1965="","",SUMIFS($H$4:$H1965,$D$4:$D1965,$D1965)+SUMIFS($I$4:$I1965,$D$4:$D1965,$D1965)-SUMIFS($J$4:$J1965,$D$4:$D1965,$D1965)-SUMIFS($K$4:$K1965,$D$4:$D1965,$D1965))</f>
        <v/>
      </c>
      <c r="M1965" s="80"/>
      <c r="N1965" s="80"/>
      <c r="O1965" s="94"/>
      <c r="P1965" s="26" t="str">
        <f t="shared" si="92"/>
        <v/>
      </c>
      <c r="Q1965" s="80"/>
      <c r="R1965" s="80"/>
      <c r="S1965" s="80"/>
      <c r="T1965" s="82"/>
      <c r="U1965" s="80"/>
      <c r="V1965" s="80"/>
      <c r="W1965" s="80"/>
    </row>
    <row r="1966" ht="18" customHeight="1" spans="1:23">
      <c r="A1966" s="87" t="str">
        <f t="shared" si="90"/>
        <v/>
      </c>
      <c r="B1966" s="78"/>
      <c r="C1966" s="80"/>
      <c r="D1966" s="79"/>
      <c r="E1966" s="80"/>
      <c r="F1966" s="79"/>
      <c r="G1966" s="25" t="str">
        <f t="shared" si="91"/>
        <v/>
      </c>
      <c r="H1966" s="88"/>
      <c r="I1966" s="93"/>
      <c r="J1966" s="97"/>
      <c r="K1966" s="88"/>
      <c r="L1966" s="25" t="str">
        <f>IF($D1966="","",SUMIFS($H$4:$H1966,$D$4:$D1966,$D1966)+SUMIFS($I$4:$I1966,$D$4:$D1966,$D1966)-SUMIFS($J$4:$J1966,$D$4:$D1966,$D1966)-SUMIFS($K$4:$K1966,$D$4:$D1966,$D1966))</f>
        <v/>
      </c>
      <c r="M1966" s="80"/>
      <c r="N1966" s="80"/>
      <c r="O1966" s="94"/>
      <c r="P1966" s="26" t="str">
        <f t="shared" si="92"/>
        <v/>
      </c>
      <c r="Q1966" s="80"/>
      <c r="R1966" s="80"/>
      <c r="S1966" s="80"/>
      <c r="T1966" s="82"/>
      <c r="U1966" s="80"/>
      <c r="V1966" s="80"/>
      <c r="W1966" s="80"/>
    </row>
    <row r="1967" ht="18" customHeight="1" spans="1:23">
      <c r="A1967" s="87" t="str">
        <f t="shared" si="90"/>
        <v/>
      </c>
      <c r="B1967" s="78"/>
      <c r="C1967" s="80"/>
      <c r="D1967" s="79"/>
      <c r="E1967" s="80"/>
      <c r="F1967" s="79"/>
      <c r="G1967" s="25" t="str">
        <f t="shared" si="91"/>
        <v/>
      </c>
      <c r="H1967" s="88"/>
      <c r="I1967" s="93"/>
      <c r="J1967" s="97"/>
      <c r="K1967" s="88"/>
      <c r="L1967" s="25" t="str">
        <f>IF($D1967="","",SUMIFS($H$4:$H1967,$D$4:$D1967,$D1967)+SUMIFS($I$4:$I1967,$D$4:$D1967,$D1967)-SUMIFS($J$4:$J1967,$D$4:$D1967,$D1967)-SUMIFS($K$4:$K1967,$D$4:$D1967,$D1967))</f>
        <v/>
      </c>
      <c r="M1967" s="80"/>
      <c r="N1967" s="80"/>
      <c r="O1967" s="94"/>
      <c r="P1967" s="26" t="str">
        <f t="shared" si="92"/>
        <v/>
      </c>
      <c r="Q1967" s="80"/>
      <c r="R1967" s="80"/>
      <c r="S1967" s="80"/>
      <c r="T1967" s="82"/>
      <c r="U1967" s="80"/>
      <c r="V1967" s="80"/>
      <c r="W1967" s="80"/>
    </row>
    <row r="1968" ht="18" customHeight="1" spans="1:23">
      <c r="A1968" s="87" t="str">
        <f t="shared" si="90"/>
        <v/>
      </c>
      <c r="B1968" s="78"/>
      <c r="C1968" s="80"/>
      <c r="D1968" s="79"/>
      <c r="E1968" s="80"/>
      <c r="F1968" s="79"/>
      <c r="G1968" s="25" t="str">
        <f t="shared" si="91"/>
        <v/>
      </c>
      <c r="H1968" s="88"/>
      <c r="I1968" s="93"/>
      <c r="J1968" s="97"/>
      <c r="K1968" s="88"/>
      <c r="L1968" s="25" t="str">
        <f>IF($D1968="","",SUMIFS($H$4:$H1968,$D$4:$D1968,$D1968)+SUMIFS($I$4:$I1968,$D$4:$D1968,$D1968)-SUMIFS($J$4:$J1968,$D$4:$D1968,$D1968)-SUMIFS($K$4:$K1968,$D$4:$D1968,$D1968))</f>
        <v/>
      </c>
      <c r="M1968" s="80"/>
      <c r="N1968" s="80"/>
      <c r="O1968" s="94"/>
      <c r="P1968" s="26" t="str">
        <f t="shared" si="92"/>
        <v/>
      </c>
      <c r="Q1968" s="80"/>
      <c r="R1968" s="80"/>
      <c r="S1968" s="80"/>
      <c r="T1968" s="82"/>
      <c r="U1968" s="80"/>
      <c r="V1968" s="80"/>
      <c r="W1968" s="80"/>
    </row>
    <row r="1969" ht="18" customHeight="1" spans="1:23">
      <c r="A1969" s="87" t="str">
        <f t="shared" si="90"/>
        <v/>
      </c>
      <c r="B1969" s="78"/>
      <c r="C1969" s="80"/>
      <c r="D1969" s="79"/>
      <c r="E1969" s="80"/>
      <c r="F1969" s="79"/>
      <c r="G1969" s="25" t="str">
        <f t="shared" si="91"/>
        <v/>
      </c>
      <c r="H1969" s="88"/>
      <c r="I1969" s="93"/>
      <c r="J1969" s="97"/>
      <c r="K1969" s="88"/>
      <c r="L1969" s="25" t="str">
        <f>IF($D1969="","",SUMIFS($H$4:$H1969,$D$4:$D1969,$D1969)+SUMIFS($I$4:$I1969,$D$4:$D1969,$D1969)-SUMIFS($J$4:$J1969,$D$4:$D1969,$D1969)-SUMIFS($K$4:$K1969,$D$4:$D1969,$D1969))</f>
        <v/>
      </c>
      <c r="M1969" s="80"/>
      <c r="N1969" s="80"/>
      <c r="O1969" s="94"/>
      <c r="P1969" s="26" t="str">
        <f t="shared" si="92"/>
        <v/>
      </c>
      <c r="Q1969" s="80"/>
      <c r="R1969" s="80"/>
      <c r="S1969" s="80"/>
      <c r="T1969" s="82"/>
      <c r="U1969" s="80"/>
      <c r="V1969" s="80"/>
      <c r="W1969" s="80"/>
    </row>
    <row r="1970" ht="18" customHeight="1" spans="1:23">
      <c r="A1970" s="87" t="str">
        <f t="shared" si="90"/>
        <v/>
      </c>
      <c r="B1970" s="78"/>
      <c r="C1970" s="80"/>
      <c r="D1970" s="79"/>
      <c r="E1970" s="80"/>
      <c r="F1970" s="79"/>
      <c r="G1970" s="25" t="str">
        <f t="shared" si="91"/>
        <v/>
      </c>
      <c r="H1970" s="88"/>
      <c r="I1970" s="93"/>
      <c r="J1970" s="97"/>
      <c r="K1970" s="88"/>
      <c r="L1970" s="25" t="str">
        <f>IF($D1970="","",SUMIFS($H$4:$H1970,$D$4:$D1970,$D1970)+SUMIFS($I$4:$I1970,$D$4:$D1970,$D1970)-SUMIFS($J$4:$J1970,$D$4:$D1970,$D1970)-SUMIFS($K$4:$K1970,$D$4:$D1970,$D1970))</f>
        <v/>
      </c>
      <c r="M1970" s="80"/>
      <c r="N1970" s="80"/>
      <c r="O1970" s="94"/>
      <c r="P1970" s="26" t="str">
        <f t="shared" si="92"/>
        <v/>
      </c>
      <c r="Q1970" s="80"/>
      <c r="R1970" s="80"/>
      <c r="S1970" s="80"/>
      <c r="T1970" s="82"/>
      <c r="U1970" s="80"/>
      <c r="V1970" s="80"/>
      <c r="W1970" s="80"/>
    </row>
    <row r="1971" ht="18" customHeight="1" spans="1:23">
      <c r="A1971" s="87" t="str">
        <f t="shared" si="90"/>
        <v/>
      </c>
      <c r="B1971" s="78"/>
      <c r="C1971" s="80"/>
      <c r="D1971" s="79"/>
      <c r="E1971" s="80"/>
      <c r="F1971" s="79"/>
      <c r="G1971" s="25" t="str">
        <f t="shared" si="91"/>
        <v/>
      </c>
      <c r="H1971" s="88"/>
      <c r="I1971" s="93"/>
      <c r="J1971" s="97"/>
      <c r="K1971" s="88"/>
      <c r="L1971" s="25" t="str">
        <f>IF($D1971="","",SUMIFS($H$4:$H1971,$D$4:$D1971,$D1971)+SUMIFS($I$4:$I1971,$D$4:$D1971,$D1971)-SUMIFS($J$4:$J1971,$D$4:$D1971,$D1971)-SUMIFS($K$4:$K1971,$D$4:$D1971,$D1971))</f>
        <v/>
      </c>
      <c r="M1971" s="80"/>
      <c r="N1971" s="80"/>
      <c r="O1971" s="94"/>
      <c r="P1971" s="26" t="str">
        <f t="shared" si="92"/>
        <v/>
      </c>
      <c r="Q1971" s="80"/>
      <c r="R1971" s="80"/>
      <c r="S1971" s="80"/>
      <c r="T1971" s="82"/>
      <c r="U1971" s="80"/>
      <c r="V1971" s="80"/>
      <c r="W1971" s="80"/>
    </row>
    <row r="1972" ht="18" customHeight="1" spans="1:23">
      <c r="A1972" s="87" t="str">
        <f t="shared" si="90"/>
        <v/>
      </c>
      <c r="B1972" s="78"/>
      <c r="C1972" s="80"/>
      <c r="D1972" s="79"/>
      <c r="E1972" s="80"/>
      <c r="F1972" s="79"/>
      <c r="G1972" s="25" t="str">
        <f t="shared" si="91"/>
        <v/>
      </c>
      <c r="H1972" s="88"/>
      <c r="I1972" s="93"/>
      <c r="J1972" s="97"/>
      <c r="K1972" s="88"/>
      <c r="L1972" s="25" t="str">
        <f>IF($D1972="","",SUMIFS($H$4:$H1972,$D$4:$D1972,$D1972)+SUMIFS($I$4:$I1972,$D$4:$D1972,$D1972)-SUMIFS($J$4:$J1972,$D$4:$D1972,$D1972)-SUMIFS($K$4:$K1972,$D$4:$D1972,$D1972))</f>
        <v/>
      </c>
      <c r="M1972" s="80"/>
      <c r="N1972" s="80"/>
      <c r="O1972" s="94"/>
      <c r="P1972" s="26" t="str">
        <f t="shared" si="92"/>
        <v/>
      </c>
      <c r="Q1972" s="80"/>
      <c r="R1972" s="80"/>
      <c r="S1972" s="80"/>
      <c r="T1972" s="82"/>
      <c r="U1972" s="80"/>
      <c r="V1972" s="80"/>
      <c r="W1972" s="80"/>
    </row>
    <row r="1973" ht="18" customHeight="1" spans="1:23">
      <c r="A1973" s="87" t="str">
        <f t="shared" si="90"/>
        <v/>
      </c>
      <c r="B1973" s="78"/>
      <c r="C1973" s="80"/>
      <c r="D1973" s="79"/>
      <c r="E1973" s="80"/>
      <c r="F1973" s="79"/>
      <c r="G1973" s="25" t="str">
        <f t="shared" si="91"/>
        <v/>
      </c>
      <c r="H1973" s="88"/>
      <c r="I1973" s="93"/>
      <c r="J1973" s="97"/>
      <c r="K1973" s="88"/>
      <c r="L1973" s="25" t="str">
        <f>IF($D1973="","",SUMIFS($H$4:$H1973,$D$4:$D1973,$D1973)+SUMIFS($I$4:$I1973,$D$4:$D1973,$D1973)-SUMIFS($J$4:$J1973,$D$4:$D1973,$D1973)-SUMIFS($K$4:$K1973,$D$4:$D1973,$D1973))</f>
        <v/>
      </c>
      <c r="M1973" s="80"/>
      <c r="N1973" s="80"/>
      <c r="O1973" s="94"/>
      <c r="P1973" s="26" t="str">
        <f t="shared" si="92"/>
        <v/>
      </c>
      <c r="Q1973" s="80"/>
      <c r="R1973" s="80"/>
      <c r="S1973" s="80"/>
      <c r="T1973" s="82"/>
      <c r="U1973" s="80"/>
      <c r="V1973" s="80"/>
      <c r="W1973" s="80"/>
    </row>
    <row r="1974" ht="18" customHeight="1" spans="1:23">
      <c r="A1974" s="87" t="str">
        <f t="shared" si="90"/>
        <v/>
      </c>
      <c r="B1974" s="78"/>
      <c r="C1974" s="80"/>
      <c r="D1974" s="79"/>
      <c r="E1974" s="80"/>
      <c r="F1974" s="79"/>
      <c r="G1974" s="25" t="str">
        <f t="shared" si="91"/>
        <v/>
      </c>
      <c r="H1974" s="88"/>
      <c r="I1974" s="93"/>
      <c r="J1974" s="97"/>
      <c r="K1974" s="88"/>
      <c r="L1974" s="25" t="str">
        <f>IF($D1974="","",SUMIFS($H$4:$H1974,$D$4:$D1974,$D1974)+SUMIFS($I$4:$I1974,$D$4:$D1974,$D1974)-SUMIFS($J$4:$J1974,$D$4:$D1974,$D1974)-SUMIFS($K$4:$K1974,$D$4:$D1974,$D1974))</f>
        <v/>
      </c>
      <c r="M1974" s="80"/>
      <c r="N1974" s="80"/>
      <c r="O1974" s="94"/>
      <c r="P1974" s="26" t="str">
        <f t="shared" si="92"/>
        <v/>
      </c>
      <c r="Q1974" s="80"/>
      <c r="R1974" s="80"/>
      <c r="S1974" s="80"/>
      <c r="T1974" s="82"/>
      <c r="U1974" s="80"/>
      <c r="V1974" s="80"/>
      <c r="W1974" s="80"/>
    </row>
    <row r="1975" ht="18" customHeight="1" spans="1:23">
      <c r="A1975" s="87" t="str">
        <f t="shared" si="90"/>
        <v/>
      </c>
      <c r="B1975" s="78"/>
      <c r="C1975" s="80"/>
      <c r="D1975" s="79"/>
      <c r="E1975" s="80"/>
      <c r="F1975" s="79"/>
      <c r="G1975" s="25" t="str">
        <f t="shared" si="91"/>
        <v/>
      </c>
      <c r="H1975" s="88"/>
      <c r="I1975" s="93"/>
      <c r="J1975" s="97"/>
      <c r="K1975" s="88"/>
      <c r="L1975" s="25" t="str">
        <f>IF($D1975="","",SUMIFS($H$4:$H1975,$D$4:$D1975,$D1975)+SUMIFS($I$4:$I1975,$D$4:$D1975,$D1975)-SUMIFS($J$4:$J1975,$D$4:$D1975,$D1975)-SUMIFS($K$4:$K1975,$D$4:$D1975,$D1975))</f>
        <v/>
      </c>
      <c r="M1975" s="80"/>
      <c r="N1975" s="80"/>
      <c r="O1975" s="94"/>
      <c r="P1975" s="26" t="str">
        <f t="shared" si="92"/>
        <v/>
      </c>
      <c r="Q1975" s="80"/>
      <c r="R1975" s="80"/>
      <c r="S1975" s="80"/>
      <c r="T1975" s="82"/>
      <c r="U1975" s="80"/>
      <c r="V1975" s="80"/>
      <c r="W1975" s="80"/>
    </row>
    <row r="1976" ht="18" customHeight="1" spans="1:23">
      <c r="A1976" s="87" t="str">
        <f t="shared" si="90"/>
        <v/>
      </c>
      <c r="B1976" s="78"/>
      <c r="C1976" s="80"/>
      <c r="D1976" s="79"/>
      <c r="E1976" s="80"/>
      <c r="F1976" s="79"/>
      <c r="G1976" s="25" t="str">
        <f t="shared" si="91"/>
        <v/>
      </c>
      <c r="H1976" s="88"/>
      <c r="I1976" s="93"/>
      <c r="J1976" s="97"/>
      <c r="K1976" s="88"/>
      <c r="L1976" s="25" t="str">
        <f>IF($D1976="","",SUMIFS($H$4:$H1976,$D$4:$D1976,$D1976)+SUMIFS($I$4:$I1976,$D$4:$D1976,$D1976)-SUMIFS($J$4:$J1976,$D$4:$D1976,$D1976)-SUMIFS($K$4:$K1976,$D$4:$D1976,$D1976))</f>
        <v/>
      </c>
      <c r="M1976" s="80"/>
      <c r="N1976" s="80"/>
      <c r="O1976" s="94"/>
      <c r="P1976" s="26" t="str">
        <f t="shared" si="92"/>
        <v/>
      </c>
      <c r="Q1976" s="80"/>
      <c r="R1976" s="80"/>
      <c r="S1976" s="80"/>
      <c r="T1976" s="82"/>
      <c r="U1976" s="80"/>
      <c r="V1976" s="80"/>
      <c r="W1976" s="80"/>
    </row>
    <row r="1977" ht="18" customHeight="1" spans="1:23">
      <c r="A1977" s="87" t="str">
        <f t="shared" si="90"/>
        <v/>
      </c>
      <c r="B1977" s="78"/>
      <c r="C1977" s="80"/>
      <c r="D1977" s="79"/>
      <c r="E1977" s="80"/>
      <c r="F1977" s="79"/>
      <c r="G1977" s="25" t="str">
        <f t="shared" si="91"/>
        <v/>
      </c>
      <c r="H1977" s="88"/>
      <c r="I1977" s="93"/>
      <c r="J1977" s="97"/>
      <c r="K1977" s="88"/>
      <c r="L1977" s="25" t="str">
        <f>IF($D1977="","",SUMIFS($H$4:$H1977,$D$4:$D1977,$D1977)+SUMIFS($I$4:$I1977,$D$4:$D1977,$D1977)-SUMIFS($J$4:$J1977,$D$4:$D1977,$D1977)-SUMIFS($K$4:$K1977,$D$4:$D1977,$D1977))</f>
        <v/>
      </c>
      <c r="M1977" s="80"/>
      <c r="N1977" s="80"/>
      <c r="O1977" s="94"/>
      <c r="P1977" s="26" t="str">
        <f t="shared" si="92"/>
        <v/>
      </c>
      <c r="Q1977" s="80"/>
      <c r="R1977" s="80"/>
      <c r="S1977" s="80"/>
      <c r="T1977" s="82"/>
      <c r="U1977" s="80"/>
      <c r="V1977" s="80"/>
      <c r="W1977" s="80"/>
    </row>
    <row r="1978" ht="18" customHeight="1" spans="1:23">
      <c r="A1978" s="87" t="str">
        <f t="shared" si="90"/>
        <v/>
      </c>
      <c r="B1978" s="78"/>
      <c r="C1978" s="80"/>
      <c r="D1978" s="79"/>
      <c r="E1978" s="80"/>
      <c r="F1978" s="79"/>
      <c r="G1978" s="25" t="str">
        <f t="shared" si="91"/>
        <v/>
      </c>
      <c r="H1978" s="88"/>
      <c r="I1978" s="93"/>
      <c r="J1978" s="97"/>
      <c r="K1978" s="88"/>
      <c r="L1978" s="25" t="str">
        <f>IF($D1978="","",SUMIFS($H$4:$H1978,$D$4:$D1978,$D1978)+SUMIFS($I$4:$I1978,$D$4:$D1978,$D1978)-SUMIFS($J$4:$J1978,$D$4:$D1978,$D1978)-SUMIFS($K$4:$K1978,$D$4:$D1978,$D1978))</f>
        <v/>
      </c>
      <c r="M1978" s="80"/>
      <c r="N1978" s="80"/>
      <c r="O1978" s="94"/>
      <c r="P1978" s="26" t="str">
        <f t="shared" si="92"/>
        <v/>
      </c>
      <c r="Q1978" s="80"/>
      <c r="R1978" s="80"/>
      <c r="S1978" s="80"/>
      <c r="T1978" s="82"/>
      <c r="U1978" s="80"/>
      <c r="V1978" s="80"/>
      <c r="W1978" s="80"/>
    </row>
    <row r="1979" ht="18" customHeight="1" spans="1:23">
      <c r="A1979" s="87" t="str">
        <f t="shared" si="90"/>
        <v/>
      </c>
      <c r="B1979" s="78"/>
      <c r="C1979" s="80"/>
      <c r="D1979" s="79"/>
      <c r="E1979" s="80"/>
      <c r="F1979" s="79"/>
      <c r="G1979" s="25" t="str">
        <f t="shared" si="91"/>
        <v/>
      </c>
      <c r="H1979" s="88"/>
      <c r="I1979" s="93"/>
      <c r="J1979" s="97"/>
      <c r="K1979" s="88"/>
      <c r="L1979" s="25" t="str">
        <f>IF($D1979="","",SUMIFS($H$4:$H1979,$D$4:$D1979,$D1979)+SUMIFS($I$4:$I1979,$D$4:$D1979,$D1979)-SUMIFS($J$4:$J1979,$D$4:$D1979,$D1979)-SUMIFS($K$4:$K1979,$D$4:$D1979,$D1979))</f>
        <v/>
      </c>
      <c r="M1979" s="80"/>
      <c r="N1979" s="80"/>
      <c r="O1979" s="94"/>
      <c r="P1979" s="26" t="str">
        <f t="shared" si="92"/>
        <v/>
      </c>
      <c r="Q1979" s="80"/>
      <c r="R1979" s="80"/>
      <c r="S1979" s="80"/>
      <c r="T1979" s="82"/>
      <c r="U1979" s="80"/>
      <c r="V1979" s="80"/>
      <c r="W1979" s="80"/>
    </row>
    <row r="1980" ht="18" customHeight="1" spans="1:23">
      <c r="A1980" s="87" t="str">
        <f t="shared" si="90"/>
        <v/>
      </c>
      <c r="B1980" s="78"/>
      <c r="C1980" s="80"/>
      <c r="D1980" s="79"/>
      <c r="E1980" s="80"/>
      <c r="F1980" s="79"/>
      <c r="G1980" s="25" t="str">
        <f t="shared" si="91"/>
        <v/>
      </c>
      <c r="H1980" s="88"/>
      <c r="I1980" s="93"/>
      <c r="J1980" s="97"/>
      <c r="K1980" s="88"/>
      <c r="L1980" s="25" t="str">
        <f>IF($D1980="","",SUMIFS($H$4:$H1980,$D$4:$D1980,$D1980)+SUMIFS($I$4:$I1980,$D$4:$D1980,$D1980)-SUMIFS($J$4:$J1980,$D$4:$D1980,$D1980)-SUMIFS($K$4:$K1980,$D$4:$D1980,$D1980))</f>
        <v/>
      </c>
      <c r="M1980" s="80"/>
      <c r="N1980" s="80"/>
      <c r="O1980" s="94"/>
      <c r="P1980" s="26" t="str">
        <f t="shared" si="92"/>
        <v/>
      </c>
      <c r="Q1980" s="80"/>
      <c r="R1980" s="80"/>
      <c r="S1980" s="80"/>
      <c r="T1980" s="82"/>
      <c r="U1980" s="80"/>
      <c r="V1980" s="80"/>
      <c r="W1980" s="80"/>
    </row>
    <row r="1981" ht="18" customHeight="1" spans="1:23">
      <c r="A1981" s="87" t="str">
        <f t="shared" si="90"/>
        <v/>
      </c>
      <c r="B1981" s="78"/>
      <c r="C1981" s="80"/>
      <c r="D1981" s="79"/>
      <c r="E1981" s="80"/>
      <c r="F1981" s="79"/>
      <c r="G1981" s="25" t="str">
        <f t="shared" si="91"/>
        <v/>
      </c>
      <c r="H1981" s="88"/>
      <c r="I1981" s="93"/>
      <c r="J1981" s="97"/>
      <c r="K1981" s="88"/>
      <c r="L1981" s="25" t="str">
        <f>IF($D1981="","",SUMIFS($H$4:$H1981,$D$4:$D1981,$D1981)+SUMIFS($I$4:$I1981,$D$4:$D1981,$D1981)-SUMIFS($J$4:$J1981,$D$4:$D1981,$D1981)-SUMIFS($K$4:$K1981,$D$4:$D1981,$D1981))</f>
        <v/>
      </c>
      <c r="M1981" s="80"/>
      <c r="N1981" s="80"/>
      <c r="O1981" s="94"/>
      <c r="P1981" s="26" t="str">
        <f t="shared" si="92"/>
        <v/>
      </c>
      <c r="Q1981" s="80"/>
      <c r="R1981" s="80"/>
      <c r="S1981" s="80"/>
      <c r="T1981" s="82"/>
      <c r="U1981" s="80"/>
      <c r="V1981" s="80"/>
      <c r="W1981" s="80"/>
    </row>
    <row r="1982" ht="18" customHeight="1" spans="1:23">
      <c r="A1982" s="87" t="str">
        <f t="shared" si="90"/>
        <v/>
      </c>
      <c r="B1982" s="78"/>
      <c r="C1982" s="80"/>
      <c r="D1982" s="79"/>
      <c r="E1982" s="80"/>
      <c r="F1982" s="79"/>
      <c r="G1982" s="25" t="str">
        <f t="shared" si="91"/>
        <v/>
      </c>
      <c r="H1982" s="88"/>
      <c r="I1982" s="93"/>
      <c r="J1982" s="97"/>
      <c r="K1982" s="88"/>
      <c r="L1982" s="25" t="str">
        <f>IF($D1982="","",SUMIFS($H$4:$H1982,$D$4:$D1982,$D1982)+SUMIFS($I$4:$I1982,$D$4:$D1982,$D1982)-SUMIFS($J$4:$J1982,$D$4:$D1982,$D1982)-SUMIFS($K$4:$K1982,$D$4:$D1982,$D1982))</f>
        <v/>
      </c>
      <c r="M1982" s="80"/>
      <c r="N1982" s="80"/>
      <c r="O1982" s="94"/>
      <c r="P1982" s="26" t="str">
        <f t="shared" si="92"/>
        <v/>
      </c>
      <c r="Q1982" s="80"/>
      <c r="R1982" s="80"/>
      <c r="S1982" s="80"/>
      <c r="T1982" s="82"/>
      <c r="U1982" s="80"/>
      <c r="V1982" s="80"/>
      <c r="W1982" s="80"/>
    </row>
    <row r="1983" ht="18" customHeight="1" spans="1:23">
      <c r="A1983" s="87" t="str">
        <f t="shared" si="90"/>
        <v/>
      </c>
      <c r="B1983" s="78"/>
      <c r="C1983" s="80"/>
      <c r="D1983" s="79"/>
      <c r="E1983" s="80"/>
      <c r="F1983" s="79"/>
      <c r="G1983" s="25" t="str">
        <f t="shared" si="91"/>
        <v/>
      </c>
      <c r="H1983" s="88"/>
      <c r="I1983" s="93"/>
      <c r="J1983" s="97"/>
      <c r="K1983" s="88"/>
      <c r="L1983" s="25" t="str">
        <f>IF($D1983="","",SUMIFS($H$4:$H1983,$D$4:$D1983,$D1983)+SUMIFS($I$4:$I1983,$D$4:$D1983,$D1983)-SUMIFS($J$4:$J1983,$D$4:$D1983,$D1983)-SUMIFS($K$4:$K1983,$D$4:$D1983,$D1983))</f>
        <v/>
      </c>
      <c r="M1983" s="80"/>
      <c r="N1983" s="80"/>
      <c r="O1983" s="94"/>
      <c r="P1983" s="26" t="str">
        <f t="shared" si="92"/>
        <v/>
      </c>
      <c r="Q1983" s="80"/>
      <c r="R1983" s="80"/>
      <c r="S1983" s="80"/>
      <c r="T1983" s="82"/>
      <c r="U1983" s="80"/>
      <c r="V1983" s="80"/>
      <c r="W1983" s="80"/>
    </row>
    <row r="1984" ht="18" customHeight="1" spans="1:23">
      <c r="A1984" s="87" t="str">
        <f t="shared" si="90"/>
        <v/>
      </c>
      <c r="B1984" s="78"/>
      <c r="C1984" s="80"/>
      <c r="D1984" s="79"/>
      <c r="E1984" s="80"/>
      <c r="F1984" s="79"/>
      <c r="G1984" s="25" t="str">
        <f t="shared" si="91"/>
        <v/>
      </c>
      <c r="H1984" s="88"/>
      <c r="I1984" s="93"/>
      <c r="J1984" s="97"/>
      <c r="K1984" s="88"/>
      <c r="L1984" s="25" t="str">
        <f>IF($D1984="","",SUMIFS($H$4:$H1984,$D$4:$D1984,$D1984)+SUMIFS($I$4:$I1984,$D$4:$D1984,$D1984)-SUMIFS($J$4:$J1984,$D$4:$D1984,$D1984)-SUMIFS($K$4:$K1984,$D$4:$D1984,$D1984))</f>
        <v/>
      </c>
      <c r="M1984" s="80"/>
      <c r="N1984" s="80"/>
      <c r="O1984" s="94"/>
      <c r="P1984" s="26" t="str">
        <f t="shared" si="92"/>
        <v/>
      </c>
      <c r="Q1984" s="80"/>
      <c r="R1984" s="80"/>
      <c r="S1984" s="80"/>
      <c r="T1984" s="82"/>
      <c r="U1984" s="80"/>
      <c r="V1984" s="80"/>
      <c r="W1984" s="80"/>
    </row>
    <row r="1985" ht="18" customHeight="1" spans="1:23">
      <c r="A1985" s="87" t="str">
        <f t="shared" si="90"/>
        <v/>
      </c>
      <c r="B1985" s="78"/>
      <c r="C1985" s="80"/>
      <c r="D1985" s="79"/>
      <c r="E1985" s="80"/>
      <c r="F1985" s="79"/>
      <c r="G1985" s="25" t="str">
        <f t="shared" si="91"/>
        <v/>
      </c>
      <c r="H1985" s="88"/>
      <c r="I1985" s="93"/>
      <c r="J1985" s="97"/>
      <c r="K1985" s="88"/>
      <c r="L1985" s="25" t="str">
        <f>IF($D1985="","",SUMIFS($H$4:$H1985,$D$4:$D1985,$D1985)+SUMIFS($I$4:$I1985,$D$4:$D1985,$D1985)-SUMIFS($J$4:$J1985,$D$4:$D1985,$D1985)-SUMIFS($K$4:$K1985,$D$4:$D1985,$D1985))</f>
        <v/>
      </c>
      <c r="M1985" s="80"/>
      <c r="N1985" s="80"/>
      <c r="O1985" s="94"/>
      <c r="P1985" s="26" t="str">
        <f t="shared" si="92"/>
        <v/>
      </c>
      <c r="Q1985" s="80"/>
      <c r="R1985" s="80"/>
      <c r="S1985" s="80"/>
      <c r="T1985" s="82"/>
      <c r="U1985" s="80"/>
      <c r="V1985" s="80"/>
      <c r="W1985" s="80"/>
    </row>
    <row r="1986" ht="18" customHeight="1" spans="1:23">
      <c r="A1986" s="87" t="str">
        <f t="shared" si="90"/>
        <v/>
      </c>
      <c r="B1986" s="78"/>
      <c r="C1986" s="80"/>
      <c r="D1986" s="79"/>
      <c r="E1986" s="80"/>
      <c r="F1986" s="79"/>
      <c r="G1986" s="25" t="str">
        <f t="shared" si="91"/>
        <v/>
      </c>
      <c r="H1986" s="88"/>
      <c r="I1986" s="93"/>
      <c r="J1986" s="97"/>
      <c r="K1986" s="88"/>
      <c r="L1986" s="25" t="str">
        <f>IF($D1986="","",SUMIFS($H$4:$H1986,$D$4:$D1986,$D1986)+SUMIFS($I$4:$I1986,$D$4:$D1986,$D1986)-SUMIFS($J$4:$J1986,$D$4:$D1986,$D1986)-SUMIFS($K$4:$K1986,$D$4:$D1986,$D1986))</f>
        <v/>
      </c>
      <c r="M1986" s="80"/>
      <c r="N1986" s="80"/>
      <c r="O1986" s="94"/>
      <c r="P1986" s="26" t="str">
        <f t="shared" si="92"/>
        <v/>
      </c>
      <c r="Q1986" s="80"/>
      <c r="R1986" s="80"/>
      <c r="S1986" s="80"/>
      <c r="T1986" s="82"/>
      <c r="U1986" s="80"/>
      <c r="V1986" s="80"/>
      <c r="W1986" s="80"/>
    </row>
    <row r="1987" ht="18" customHeight="1" spans="1:23">
      <c r="A1987" s="87" t="str">
        <f t="shared" si="90"/>
        <v/>
      </c>
      <c r="B1987" s="78"/>
      <c r="C1987" s="80"/>
      <c r="D1987" s="79"/>
      <c r="E1987" s="80"/>
      <c r="F1987" s="79"/>
      <c r="G1987" s="25" t="str">
        <f t="shared" si="91"/>
        <v/>
      </c>
      <c r="H1987" s="88"/>
      <c r="I1987" s="93"/>
      <c r="J1987" s="97"/>
      <c r="K1987" s="88"/>
      <c r="L1987" s="25" t="str">
        <f>IF($D1987="","",SUMIFS($H$4:$H1987,$D$4:$D1987,$D1987)+SUMIFS($I$4:$I1987,$D$4:$D1987,$D1987)-SUMIFS($J$4:$J1987,$D$4:$D1987,$D1987)-SUMIFS($K$4:$K1987,$D$4:$D1987,$D1987))</f>
        <v/>
      </c>
      <c r="M1987" s="80"/>
      <c r="N1987" s="80"/>
      <c r="O1987" s="94"/>
      <c r="P1987" s="26" t="str">
        <f t="shared" si="92"/>
        <v/>
      </c>
      <c r="Q1987" s="80"/>
      <c r="R1987" s="80"/>
      <c r="S1987" s="80"/>
      <c r="T1987" s="82"/>
      <c r="U1987" s="80"/>
      <c r="V1987" s="80"/>
      <c r="W1987" s="80"/>
    </row>
    <row r="1988" ht="18" customHeight="1" spans="1:23">
      <c r="A1988" s="87" t="str">
        <f t="shared" si="90"/>
        <v/>
      </c>
      <c r="B1988" s="78"/>
      <c r="C1988" s="80"/>
      <c r="D1988" s="79"/>
      <c r="E1988" s="80"/>
      <c r="F1988" s="79"/>
      <c r="G1988" s="25" t="str">
        <f t="shared" si="91"/>
        <v/>
      </c>
      <c r="H1988" s="88"/>
      <c r="I1988" s="93"/>
      <c r="J1988" s="97"/>
      <c r="K1988" s="88"/>
      <c r="L1988" s="25" t="str">
        <f>IF($D1988="","",SUMIFS($H$4:$H1988,$D$4:$D1988,$D1988)+SUMIFS($I$4:$I1988,$D$4:$D1988,$D1988)-SUMIFS($J$4:$J1988,$D$4:$D1988,$D1988)-SUMIFS($K$4:$K1988,$D$4:$D1988,$D1988))</f>
        <v/>
      </c>
      <c r="M1988" s="80"/>
      <c r="N1988" s="80"/>
      <c r="O1988" s="94"/>
      <c r="P1988" s="26" t="str">
        <f t="shared" si="92"/>
        <v/>
      </c>
      <c r="Q1988" s="80"/>
      <c r="R1988" s="80"/>
      <c r="S1988" s="80"/>
      <c r="T1988" s="82"/>
      <c r="U1988" s="80"/>
      <c r="V1988" s="80"/>
      <c r="W1988" s="80"/>
    </row>
    <row r="1989" ht="18" customHeight="1" spans="1:23">
      <c r="A1989" s="87" t="str">
        <f t="shared" ref="A1989:A2004" si="93">IF($D1989="","",ROW()-3)</f>
        <v/>
      </c>
      <c r="B1989" s="78"/>
      <c r="C1989" s="80"/>
      <c r="D1989" s="79"/>
      <c r="E1989" s="80"/>
      <c r="F1989" s="79"/>
      <c r="G1989" s="25" t="str">
        <f t="shared" ref="G1989:G2004" si="94">IF($D1989="","",N($L1989)-N($H1989)-N($I1989)+N($J1989)+N($K1989))</f>
        <v/>
      </c>
      <c r="H1989" s="88"/>
      <c r="I1989" s="93"/>
      <c r="J1989" s="97"/>
      <c r="K1989" s="88"/>
      <c r="L1989" s="25" t="str">
        <f>IF($D1989="","",SUMIFS($H$4:$H1989,$D$4:$D1989,$D1989)+SUMIFS($I$4:$I1989,$D$4:$D1989,$D1989)-SUMIFS($J$4:$J1989,$D$4:$D1989,$D1989)-SUMIFS($K$4:$K1989,$D$4:$D1989,$D1989))</f>
        <v/>
      </c>
      <c r="M1989" s="80"/>
      <c r="N1989" s="80"/>
      <c r="O1989" s="94"/>
      <c r="P1989" s="26" t="str">
        <f t="shared" ref="P1989:P2004" si="95">IF($D1989="","",ROUND((N($H1989)+N($K1989))*N($O1989),2))</f>
        <v/>
      </c>
      <c r="Q1989" s="80"/>
      <c r="R1989" s="80"/>
      <c r="S1989" s="80"/>
      <c r="T1989" s="82"/>
      <c r="U1989" s="80"/>
      <c r="V1989" s="80"/>
      <c r="W1989" s="80"/>
    </row>
    <row r="1990" ht="18" customHeight="1" spans="1:23">
      <c r="A1990" s="87" t="str">
        <f t="shared" si="93"/>
        <v/>
      </c>
      <c r="B1990" s="78"/>
      <c r="C1990" s="80"/>
      <c r="D1990" s="79"/>
      <c r="E1990" s="80"/>
      <c r="F1990" s="79"/>
      <c r="G1990" s="25" t="str">
        <f t="shared" si="94"/>
        <v/>
      </c>
      <c r="H1990" s="88"/>
      <c r="I1990" s="93"/>
      <c r="J1990" s="97"/>
      <c r="K1990" s="88"/>
      <c r="L1990" s="25" t="str">
        <f>IF($D1990="","",SUMIFS($H$4:$H1990,$D$4:$D1990,$D1990)+SUMIFS($I$4:$I1990,$D$4:$D1990,$D1990)-SUMIFS($J$4:$J1990,$D$4:$D1990,$D1990)-SUMIFS($K$4:$K1990,$D$4:$D1990,$D1990))</f>
        <v/>
      </c>
      <c r="M1990" s="80"/>
      <c r="N1990" s="80"/>
      <c r="O1990" s="94"/>
      <c r="P1990" s="26" t="str">
        <f t="shared" si="95"/>
        <v/>
      </c>
      <c r="Q1990" s="80"/>
      <c r="R1990" s="80"/>
      <c r="S1990" s="80"/>
      <c r="T1990" s="82"/>
      <c r="U1990" s="80"/>
      <c r="V1990" s="80"/>
      <c r="W1990" s="80"/>
    </row>
    <row r="1991" ht="18" customHeight="1" spans="1:23">
      <c r="A1991" s="87" t="str">
        <f t="shared" si="93"/>
        <v/>
      </c>
      <c r="B1991" s="78"/>
      <c r="C1991" s="80"/>
      <c r="D1991" s="79"/>
      <c r="E1991" s="80"/>
      <c r="F1991" s="79"/>
      <c r="G1991" s="25" t="str">
        <f t="shared" si="94"/>
        <v/>
      </c>
      <c r="H1991" s="88"/>
      <c r="I1991" s="93"/>
      <c r="J1991" s="97"/>
      <c r="K1991" s="88"/>
      <c r="L1991" s="25" t="str">
        <f>IF($D1991="","",SUMIFS($H$4:$H1991,$D$4:$D1991,$D1991)+SUMIFS($I$4:$I1991,$D$4:$D1991,$D1991)-SUMIFS($J$4:$J1991,$D$4:$D1991,$D1991)-SUMIFS($K$4:$K1991,$D$4:$D1991,$D1991))</f>
        <v/>
      </c>
      <c r="M1991" s="80"/>
      <c r="N1991" s="80"/>
      <c r="O1991" s="94"/>
      <c r="P1991" s="26" t="str">
        <f t="shared" si="95"/>
        <v/>
      </c>
      <c r="Q1991" s="80"/>
      <c r="R1991" s="80"/>
      <c r="S1991" s="80"/>
      <c r="T1991" s="82"/>
      <c r="U1991" s="80"/>
      <c r="V1991" s="80"/>
      <c r="W1991" s="80"/>
    </row>
    <row r="1992" ht="18" customHeight="1" spans="1:23">
      <c r="A1992" s="87" t="str">
        <f t="shared" si="93"/>
        <v/>
      </c>
      <c r="B1992" s="78"/>
      <c r="C1992" s="80"/>
      <c r="D1992" s="79"/>
      <c r="E1992" s="80"/>
      <c r="F1992" s="79"/>
      <c r="G1992" s="25" t="str">
        <f t="shared" si="94"/>
        <v/>
      </c>
      <c r="H1992" s="88"/>
      <c r="I1992" s="93"/>
      <c r="J1992" s="97"/>
      <c r="K1992" s="88"/>
      <c r="L1992" s="25" t="str">
        <f>IF($D1992="","",SUMIFS($H$4:$H1992,$D$4:$D1992,$D1992)+SUMIFS($I$4:$I1992,$D$4:$D1992,$D1992)-SUMIFS($J$4:$J1992,$D$4:$D1992,$D1992)-SUMIFS($K$4:$K1992,$D$4:$D1992,$D1992))</f>
        <v/>
      </c>
      <c r="M1992" s="80"/>
      <c r="N1992" s="80"/>
      <c r="O1992" s="94"/>
      <c r="P1992" s="26" t="str">
        <f t="shared" si="95"/>
        <v/>
      </c>
      <c r="Q1992" s="80"/>
      <c r="R1992" s="80"/>
      <c r="S1992" s="80"/>
      <c r="T1992" s="82"/>
      <c r="U1992" s="80"/>
      <c r="V1992" s="80"/>
      <c r="W1992" s="80"/>
    </row>
    <row r="1993" ht="18" customHeight="1" spans="1:23">
      <c r="A1993" s="87" t="str">
        <f t="shared" si="93"/>
        <v/>
      </c>
      <c r="B1993" s="78"/>
      <c r="C1993" s="80"/>
      <c r="D1993" s="79"/>
      <c r="E1993" s="80"/>
      <c r="F1993" s="79"/>
      <c r="G1993" s="25" t="str">
        <f t="shared" si="94"/>
        <v/>
      </c>
      <c r="H1993" s="88"/>
      <c r="I1993" s="93"/>
      <c r="J1993" s="97"/>
      <c r="K1993" s="88"/>
      <c r="L1993" s="25" t="str">
        <f>IF($D1993="","",SUMIFS($H$4:$H1993,$D$4:$D1993,$D1993)+SUMIFS($I$4:$I1993,$D$4:$D1993,$D1993)-SUMIFS($J$4:$J1993,$D$4:$D1993,$D1993)-SUMIFS($K$4:$K1993,$D$4:$D1993,$D1993))</f>
        <v/>
      </c>
      <c r="M1993" s="80"/>
      <c r="N1993" s="80"/>
      <c r="O1993" s="94"/>
      <c r="P1993" s="26" t="str">
        <f t="shared" si="95"/>
        <v/>
      </c>
      <c r="Q1993" s="80"/>
      <c r="R1993" s="80"/>
      <c r="S1993" s="80"/>
      <c r="T1993" s="82"/>
      <c r="U1993" s="80"/>
      <c r="V1993" s="80"/>
      <c r="W1993" s="80"/>
    </row>
    <row r="1994" ht="18" customHeight="1" spans="1:23">
      <c r="A1994" s="87" t="str">
        <f t="shared" si="93"/>
        <v/>
      </c>
      <c r="B1994" s="78"/>
      <c r="C1994" s="80"/>
      <c r="D1994" s="79"/>
      <c r="E1994" s="80"/>
      <c r="F1994" s="79"/>
      <c r="G1994" s="25" t="str">
        <f t="shared" si="94"/>
        <v/>
      </c>
      <c r="H1994" s="88"/>
      <c r="I1994" s="93"/>
      <c r="J1994" s="97"/>
      <c r="K1994" s="88"/>
      <c r="L1994" s="25" t="str">
        <f>IF($D1994="","",SUMIFS($H$4:$H1994,$D$4:$D1994,$D1994)+SUMIFS($I$4:$I1994,$D$4:$D1994,$D1994)-SUMIFS($J$4:$J1994,$D$4:$D1994,$D1994)-SUMIFS($K$4:$K1994,$D$4:$D1994,$D1994))</f>
        <v/>
      </c>
      <c r="M1994" s="80"/>
      <c r="N1994" s="80"/>
      <c r="O1994" s="94"/>
      <c r="P1994" s="26" t="str">
        <f t="shared" si="95"/>
        <v/>
      </c>
      <c r="Q1994" s="80"/>
      <c r="R1994" s="80"/>
      <c r="S1994" s="80"/>
      <c r="T1994" s="82"/>
      <c r="U1994" s="80"/>
      <c r="V1994" s="80"/>
      <c r="W1994" s="80"/>
    </row>
    <row r="1995" ht="18" customHeight="1" spans="1:23">
      <c r="A1995" s="87" t="str">
        <f t="shared" si="93"/>
        <v/>
      </c>
      <c r="B1995" s="78"/>
      <c r="C1995" s="80"/>
      <c r="D1995" s="79"/>
      <c r="E1995" s="80"/>
      <c r="F1995" s="79"/>
      <c r="G1995" s="25" t="str">
        <f t="shared" si="94"/>
        <v/>
      </c>
      <c r="H1995" s="88"/>
      <c r="I1995" s="93"/>
      <c r="J1995" s="97"/>
      <c r="K1995" s="88"/>
      <c r="L1995" s="25" t="str">
        <f>IF($D1995="","",SUMIFS($H$4:$H1995,$D$4:$D1995,$D1995)+SUMIFS($I$4:$I1995,$D$4:$D1995,$D1995)-SUMIFS($J$4:$J1995,$D$4:$D1995,$D1995)-SUMIFS($K$4:$K1995,$D$4:$D1995,$D1995))</f>
        <v/>
      </c>
      <c r="M1995" s="80"/>
      <c r="N1995" s="80"/>
      <c r="O1995" s="94"/>
      <c r="P1995" s="26" t="str">
        <f t="shared" si="95"/>
        <v/>
      </c>
      <c r="Q1995" s="80"/>
      <c r="R1995" s="80"/>
      <c r="S1995" s="80"/>
      <c r="T1995" s="82"/>
      <c r="U1995" s="80"/>
      <c r="V1995" s="80"/>
      <c r="W1995" s="80"/>
    </row>
    <row r="1996" ht="18" customHeight="1" spans="1:23">
      <c r="A1996" s="87" t="str">
        <f t="shared" si="93"/>
        <v/>
      </c>
      <c r="B1996" s="78"/>
      <c r="C1996" s="80"/>
      <c r="D1996" s="79"/>
      <c r="E1996" s="80"/>
      <c r="F1996" s="79"/>
      <c r="G1996" s="25" t="str">
        <f t="shared" si="94"/>
        <v/>
      </c>
      <c r="H1996" s="88"/>
      <c r="I1996" s="93"/>
      <c r="J1996" s="97"/>
      <c r="K1996" s="88"/>
      <c r="L1996" s="25" t="str">
        <f>IF($D1996="","",SUMIFS($H$4:$H1996,$D$4:$D1996,$D1996)+SUMIFS($I$4:$I1996,$D$4:$D1996,$D1996)-SUMIFS($J$4:$J1996,$D$4:$D1996,$D1996)-SUMIFS($K$4:$K1996,$D$4:$D1996,$D1996))</f>
        <v/>
      </c>
      <c r="M1996" s="80"/>
      <c r="N1996" s="80"/>
      <c r="O1996" s="94"/>
      <c r="P1996" s="26" t="str">
        <f t="shared" si="95"/>
        <v/>
      </c>
      <c r="Q1996" s="80"/>
      <c r="R1996" s="80"/>
      <c r="S1996" s="80"/>
      <c r="T1996" s="82"/>
      <c r="U1996" s="80"/>
      <c r="V1996" s="80"/>
      <c r="W1996" s="80"/>
    </row>
    <row r="1997" ht="18" customHeight="1" spans="1:23">
      <c r="A1997" s="87" t="str">
        <f t="shared" si="93"/>
        <v/>
      </c>
      <c r="B1997" s="78"/>
      <c r="C1997" s="80"/>
      <c r="D1997" s="79"/>
      <c r="E1997" s="80"/>
      <c r="F1997" s="79"/>
      <c r="G1997" s="25" t="str">
        <f t="shared" si="94"/>
        <v/>
      </c>
      <c r="H1997" s="88"/>
      <c r="I1997" s="93"/>
      <c r="J1997" s="97"/>
      <c r="K1997" s="88"/>
      <c r="L1997" s="25" t="str">
        <f>IF($D1997="","",SUMIFS($H$4:$H1997,$D$4:$D1997,$D1997)+SUMIFS($I$4:$I1997,$D$4:$D1997,$D1997)-SUMIFS($J$4:$J1997,$D$4:$D1997,$D1997)-SUMIFS($K$4:$K1997,$D$4:$D1997,$D1997))</f>
        <v/>
      </c>
      <c r="M1997" s="80"/>
      <c r="N1997" s="80"/>
      <c r="O1997" s="94"/>
      <c r="P1997" s="26" t="str">
        <f t="shared" si="95"/>
        <v/>
      </c>
      <c r="Q1997" s="80"/>
      <c r="R1997" s="80"/>
      <c r="S1997" s="80"/>
      <c r="T1997" s="82"/>
      <c r="U1997" s="80"/>
      <c r="V1997" s="80"/>
      <c r="W1997" s="80"/>
    </row>
    <row r="1998" ht="18" customHeight="1" spans="1:23">
      <c r="A1998" s="87" t="str">
        <f t="shared" si="93"/>
        <v/>
      </c>
      <c r="B1998" s="78"/>
      <c r="C1998" s="80"/>
      <c r="D1998" s="79"/>
      <c r="E1998" s="80"/>
      <c r="F1998" s="79"/>
      <c r="G1998" s="25" t="str">
        <f t="shared" si="94"/>
        <v/>
      </c>
      <c r="H1998" s="88"/>
      <c r="I1998" s="93"/>
      <c r="J1998" s="97"/>
      <c r="K1998" s="88"/>
      <c r="L1998" s="25" t="str">
        <f>IF($D1998="","",SUMIFS($H$4:$H1998,$D$4:$D1998,$D1998)+SUMIFS($I$4:$I1998,$D$4:$D1998,$D1998)-SUMIFS($J$4:$J1998,$D$4:$D1998,$D1998)-SUMIFS($K$4:$K1998,$D$4:$D1998,$D1998))</f>
        <v/>
      </c>
      <c r="M1998" s="80"/>
      <c r="N1998" s="80"/>
      <c r="O1998" s="94"/>
      <c r="P1998" s="26" t="str">
        <f t="shared" si="95"/>
        <v/>
      </c>
      <c r="Q1998" s="80"/>
      <c r="R1998" s="80"/>
      <c r="S1998" s="80"/>
      <c r="T1998" s="82"/>
      <c r="U1998" s="80"/>
      <c r="V1998" s="80"/>
      <c r="W1998" s="80"/>
    </row>
    <row r="1999" ht="18" customHeight="1" spans="1:23">
      <c r="A1999" s="87" t="str">
        <f t="shared" si="93"/>
        <v/>
      </c>
      <c r="B1999" s="78"/>
      <c r="C1999" s="80"/>
      <c r="D1999" s="79"/>
      <c r="E1999" s="80"/>
      <c r="F1999" s="79"/>
      <c r="G1999" s="25" t="str">
        <f t="shared" si="94"/>
        <v/>
      </c>
      <c r="H1999" s="88"/>
      <c r="I1999" s="93"/>
      <c r="J1999" s="97"/>
      <c r="K1999" s="88"/>
      <c r="L1999" s="25" t="str">
        <f>IF($D1999="","",SUMIFS($H$4:$H1999,$D$4:$D1999,$D1999)+SUMIFS($I$4:$I1999,$D$4:$D1999,$D1999)-SUMIFS($J$4:$J1999,$D$4:$D1999,$D1999)-SUMIFS($K$4:$K1999,$D$4:$D1999,$D1999))</f>
        <v/>
      </c>
      <c r="M1999" s="80"/>
      <c r="N1999" s="80"/>
      <c r="O1999" s="94"/>
      <c r="P1999" s="26" t="str">
        <f t="shared" si="95"/>
        <v/>
      </c>
      <c r="Q1999" s="80"/>
      <c r="R1999" s="80"/>
      <c r="S1999" s="80"/>
      <c r="T1999" s="82"/>
      <c r="U1999" s="80"/>
      <c r="V1999" s="80"/>
      <c r="W1999" s="80"/>
    </row>
    <row r="2000" ht="18" customHeight="1" spans="1:23">
      <c r="A2000" s="87" t="str">
        <f t="shared" si="93"/>
        <v/>
      </c>
      <c r="B2000" s="78"/>
      <c r="C2000" s="80"/>
      <c r="D2000" s="79"/>
      <c r="E2000" s="80"/>
      <c r="F2000" s="79"/>
      <c r="G2000" s="25" t="str">
        <f t="shared" si="94"/>
        <v/>
      </c>
      <c r="H2000" s="88"/>
      <c r="I2000" s="93"/>
      <c r="J2000" s="97"/>
      <c r="K2000" s="88"/>
      <c r="L2000" s="25" t="str">
        <f>IF($D2000="","",SUMIFS($H$4:$H2000,$D$4:$D2000,$D2000)+SUMIFS($I$4:$I2000,$D$4:$D2000,$D2000)-SUMIFS($J$4:$J2000,$D$4:$D2000,$D2000)-SUMIFS($K$4:$K2000,$D$4:$D2000,$D2000))</f>
        <v/>
      </c>
      <c r="M2000" s="80"/>
      <c r="N2000" s="80"/>
      <c r="O2000" s="94"/>
      <c r="P2000" s="26" t="str">
        <f t="shared" si="95"/>
        <v/>
      </c>
      <c r="Q2000" s="80"/>
      <c r="R2000" s="80"/>
      <c r="S2000" s="80"/>
      <c r="T2000" s="82"/>
      <c r="U2000" s="80"/>
      <c r="V2000" s="80"/>
      <c r="W2000" s="80"/>
    </row>
    <row r="2001" ht="18" customHeight="1" spans="1:23">
      <c r="A2001" s="87" t="str">
        <f t="shared" si="93"/>
        <v/>
      </c>
      <c r="B2001" s="78"/>
      <c r="C2001" s="80"/>
      <c r="D2001" s="79"/>
      <c r="E2001" s="80"/>
      <c r="F2001" s="79"/>
      <c r="G2001" s="25" t="str">
        <f t="shared" si="94"/>
        <v/>
      </c>
      <c r="H2001" s="88"/>
      <c r="I2001" s="93"/>
      <c r="J2001" s="97"/>
      <c r="K2001" s="88"/>
      <c r="L2001" s="25" t="str">
        <f>IF($D2001="","",SUMIFS($H$4:$H2001,$D$4:$D2001,$D2001)+SUMIFS($I$4:$I2001,$D$4:$D2001,$D2001)-SUMIFS($J$4:$J2001,$D$4:$D2001,$D2001)-SUMIFS($K$4:$K2001,$D$4:$D2001,$D2001))</f>
        <v/>
      </c>
      <c r="M2001" s="80"/>
      <c r="N2001" s="80"/>
      <c r="O2001" s="94"/>
      <c r="P2001" s="26" t="str">
        <f t="shared" si="95"/>
        <v/>
      </c>
      <c r="Q2001" s="80"/>
      <c r="R2001" s="80"/>
      <c r="S2001" s="80"/>
      <c r="T2001" s="82"/>
      <c r="U2001" s="80"/>
      <c r="V2001" s="80"/>
      <c r="W2001" s="80"/>
    </row>
    <row r="2002" ht="18" customHeight="1" spans="1:23">
      <c r="A2002" s="87" t="str">
        <f t="shared" si="93"/>
        <v/>
      </c>
      <c r="B2002" s="78"/>
      <c r="C2002" s="80"/>
      <c r="D2002" s="79"/>
      <c r="E2002" s="80"/>
      <c r="F2002" s="79"/>
      <c r="G2002" s="25" t="str">
        <f t="shared" si="94"/>
        <v/>
      </c>
      <c r="H2002" s="88"/>
      <c r="I2002" s="93"/>
      <c r="J2002" s="97"/>
      <c r="K2002" s="88"/>
      <c r="L2002" s="25" t="str">
        <f>IF($D2002="","",SUMIFS($H$4:$H2002,$D$4:$D2002,$D2002)+SUMIFS($I$4:$I2002,$D$4:$D2002,$D2002)-SUMIFS($J$4:$J2002,$D$4:$D2002,$D2002)-SUMIFS($K$4:$K2002,$D$4:$D2002,$D2002))</f>
        <v/>
      </c>
      <c r="M2002" s="80"/>
      <c r="N2002" s="80"/>
      <c r="O2002" s="94"/>
      <c r="P2002" s="26" t="str">
        <f t="shared" si="95"/>
        <v/>
      </c>
      <c r="Q2002" s="80"/>
      <c r="R2002" s="80"/>
      <c r="S2002" s="80"/>
      <c r="T2002" s="82"/>
      <c r="U2002" s="80"/>
      <c r="V2002" s="80"/>
      <c r="W2002" s="80"/>
    </row>
    <row r="2003" ht="18" customHeight="1" spans="1:23">
      <c r="A2003" s="87" t="str">
        <f t="shared" si="93"/>
        <v/>
      </c>
      <c r="B2003" s="78"/>
      <c r="C2003" s="80"/>
      <c r="D2003" s="79"/>
      <c r="E2003" s="80"/>
      <c r="F2003" s="79"/>
      <c r="G2003" s="25" t="str">
        <f t="shared" si="94"/>
        <v/>
      </c>
      <c r="H2003" s="88"/>
      <c r="I2003" s="93"/>
      <c r="J2003" s="97"/>
      <c r="K2003" s="88"/>
      <c r="L2003" s="25" t="str">
        <f>IF($D2003="","",SUMIFS($H$4:$H2003,$D$4:$D2003,$D2003)+SUMIFS($I$4:$I2003,$D$4:$D2003,$D2003)-SUMIFS($J$4:$J2003,$D$4:$D2003,$D2003)-SUMIFS($K$4:$K2003,$D$4:$D2003,$D2003))</f>
        <v/>
      </c>
      <c r="M2003" s="80"/>
      <c r="N2003" s="80"/>
      <c r="O2003" s="94"/>
      <c r="P2003" s="26" t="str">
        <f t="shared" si="95"/>
        <v/>
      </c>
      <c r="Q2003" s="80"/>
      <c r="R2003" s="80"/>
      <c r="S2003" s="80"/>
      <c r="T2003" s="82"/>
      <c r="U2003" s="80"/>
      <c r="V2003" s="80"/>
      <c r="W2003" s="80"/>
    </row>
    <row r="2004" ht="18" customHeight="1" spans="1:23">
      <c r="A2004" s="87" t="str">
        <f t="shared" si="93"/>
        <v/>
      </c>
      <c r="B2004" s="78"/>
      <c r="C2004" s="80"/>
      <c r="D2004" s="79"/>
      <c r="E2004" s="80"/>
      <c r="F2004" s="79"/>
      <c r="G2004" s="25" t="str">
        <f t="shared" si="94"/>
        <v/>
      </c>
      <c r="H2004" s="88"/>
      <c r="I2004" s="93"/>
      <c r="J2004" s="97"/>
      <c r="K2004" s="88"/>
      <c r="L2004" s="25" t="str">
        <f>IF($D2004="","",SUMIFS($H$4:$H2004,$D$4:$D2004,$D2004)+SUMIFS($I$4:$I2004,$D$4:$D2004,$D2004)-SUMIFS($J$4:$J2004,$D$4:$D2004,$D2004)-SUMIFS($K$4:$K2004,$D$4:$D2004,$D2004))</f>
        <v/>
      </c>
      <c r="M2004" s="80"/>
      <c r="N2004" s="80"/>
      <c r="O2004" s="94"/>
      <c r="P2004" s="26" t="str">
        <f t="shared" si="95"/>
        <v/>
      </c>
      <c r="Q2004" s="80"/>
      <c r="R2004" s="80"/>
      <c r="S2004" s="80"/>
      <c r="T2004" s="82"/>
      <c r="U2004" s="80"/>
      <c r="V2004" s="80"/>
      <c r="W2004" s="80"/>
    </row>
  </sheetData>
  <autoFilter xmlns:etc="http://www.wps.cn/officeDocument/2017/etCustomData" ref="A3:W2004" etc:filterBottomFollowUsedRange="0">
    <extLst/>
  </autoFilter>
  <mergeCells count="2">
    <mergeCell ref="A1:W1"/>
    <mergeCell ref="A2:W2"/>
  </mergeCells>
  <dataValidations count="8">
    <dataValidation type="list" allowBlank="1" sqref="C4:C2004">
      <formula1>_自动清单!$CL$4:$CL$203</formula1>
    </dataValidation>
    <dataValidation type="list" allowBlank="1" sqref="D4:D2004">
      <formula1>基础资料!$B$4:$B$103</formula1>
    </dataValidation>
    <dataValidation type="list" allowBlank="1" sqref="F4:F2004">
      <formula1>基础资料!$G$4:$G$103</formula1>
    </dataValidation>
    <dataValidation type="list" allowBlank="1" sqref="N4:N2004">
      <formula1>基础资料!$H$4:$H$103</formula1>
    </dataValidation>
    <dataValidation type="list" allowBlank="1" sqref="Q4:Q2004">
      <formula1>基础资料!$K$4:$K$103</formula1>
    </dataValidation>
    <dataValidation type="list" allowBlank="1" sqref="R4:R2004">
      <formula1>基础资料!$J$4:$J$103</formula1>
    </dataValidation>
    <dataValidation type="list" allowBlank="1" sqref="U4:U2004">
      <formula1>"是,否,部分"</formula1>
    </dataValidation>
    <dataValidation type="list" allowBlank="1" sqref="V4:V2004">
      <formula1>基础资料!$I$4:$I$103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5"/>
    <pageSetUpPr fitToPage="1"/>
  </sheetPr>
  <dimension ref="A1:R2003"/>
  <sheetViews>
    <sheetView showGridLines="0" tabSelected="1" zoomScale="120" zoomScaleNormal="120" workbookViewId="0">
      <pane xSplit="5" ySplit="3" topLeftCell="F4" activePane="bottomRight" state="frozen"/>
      <selection/>
      <selection pane="topRight"/>
      <selection pane="bottomLeft"/>
      <selection pane="bottomRight" activeCell="B41" sqref="B41"/>
    </sheetView>
  </sheetViews>
  <sheetFormatPr defaultColWidth="8.67619047619048" defaultRowHeight="15"/>
  <cols>
    <col min="1" max="1" width="6" style="53" customWidth="1"/>
    <col min="2" max="2" width="12" style="53" customWidth="1"/>
    <col min="3" max="5" width="13" style="53" customWidth="1"/>
    <col min="6" max="6" width="11" style="53" customWidth="1"/>
    <col min="7" max="7" width="10" style="53" customWidth="1"/>
    <col min="8" max="8" width="13" style="53" customWidth="1"/>
    <col min="9" max="9" width="11" style="53" customWidth="1"/>
    <col min="10" max="10" width="11" style="89" customWidth="1"/>
    <col min="11" max="11" width="11" style="53" customWidth="1"/>
    <col min="12" max="12" width="14.2857142857143" style="53" customWidth="1"/>
    <col min="13" max="13" width="11" style="53" customWidth="1"/>
    <col min="14" max="14" width="13" style="53" customWidth="1"/>
    <col min="15" max="15" width="12" style="53" customWidth="1"/>
    <col min="16" max="16" width="10" style="53" customWidth="1"/>
    <col min="17" max="17" width="9" style="53" customWidth="1"/>
    <col min="18" max="18" width="22" style="53" customWidth="1"/>
    <col min="19" max="16384" width="8.67619047619048" style="53"/>
  </cols>
  <sheetData>
    <row r="1" ht="30" customHeight="1" spans="1:18">
      <c r="A1" s="2" t="s">
        <v>421</v>
      </c>
    </row>
    <row r="2" ht="18" customHeight="1" spans="1:18">
      <c r="A2" s="86" t="s">
        <v>422</v>
      </c>
    </row>
    <row r="3" ht="33.75" customHeight="1" spans="1:18">
      <c r="A3" s="4" t="s">
        <v>3</v>
      </c>
      <c r="B3" s="4" t="s">
        <v>289</v>
      </c>
      <c r="C3" s="4" t="s">
        <v>291</v>
      </c>
      <c r="D3" s="76" t="s">
        <v>290</v>
      </c>
      <c r="E3" s="4" t="s">
        <v>122</v>
      </c>
      <c r="F3" s="4" t="s">
        <v>135</v>
      </c>
      <c r="G3" s="4" t="s">
        <v>136</v>
      </c>
      <c r="H3" s="4" t="s">
        <v>292</v>
      </c>
      <c r="I3" s="4" t="s">
        <v>293</v>
      </c>
      <c r="J3" s="90" t="s">
        <v>295</v>
      </c>
      <c r="K3" s="91" t="s">
        <v>294</v>
      </c>
      <c r="L3" s="76" t="s">
        <v>423</v>
      </c>
      <c r="M3" s="76" t="s">
        <v>424</v>
      </c>
      <c r="N3" s="4" t="s">
        <v>425</v>
      </c>
      <c r="O3" s="4" t="s">
        <v>298</v>
      </c>
      <c r="P3" s="76" t="s">
        <v>426</v>
      </c>
      <c r="Q3" s="4" t="s">
        <v>130</v>
      </c>
      <c r="R3" s="4" t="s">
        <v>306</v>
      </c>
    </row>
    <row r="4" ht="18" customHeight="1" spans="1:18">
      <c r="A4" s="87">
        <f t="shared" ref="A4:A67" si="0">IF($E4="","",ROW()-3)</f>
        <v>1</v>
      </c>
      <c r="B4" s="78">
        <v>46266</v>
      </c>
      <c r="C4" s="80"/>
      <c r="D4" s="80" t="s">
        <v>250</v>
      </c>
      <c r="E4" s="79" t="s">
        <v>139</v>
      </c>
      <c r="F4" s="87" t="str">
        <f>IF($E4="","",IFERROR(INDEX(基础资料!$O$4:$O$34,MATCH($E4,基础资料!$N$4:$N$34,0))&amp;"",""))</f>
        <v>*1000</v>
      </c>
      <c r="G4" s="87" t="str">
        <f>IF($E4="","",IFERROR(INDEX(基础资料!$P$4:$P$34,MATCH($E4,基础资料!$N$4:$N$34,0))&amp;"",""))</f>
        <v>片</v>
      </c>
      <c r="H4" s="79" t="s">
        <v>144</v>
      </c>
      <c r="I4" s="88">
        <v>13800</v>
      </c>
      <c r="J4" s="92"/>
      <c r="K4" s="93"/>
      <c r="L4" s="25">
        <f t="shared" ref="L4:L67" si="1">IF($E4="","",N($I4)+N($J4)-N($K4))</f>
        <v>13800</v>
      </c>
      <c r="M4" s="94"/>
      <c r="N4" s="26">
        <f t="shared" ref="N4:N67" si="2">IF($E4="","",ROUND(N($L4)*N($M4),2))</f>
        <v>0</v>
      </c>
      <c r="O4" s="80"/>
      <c r="P4" s="80"/>
      <c r="Q4" s="80"/>
      <c r="R4" s="80"/>
    </row>
    <row r="5" ht="18" customHeight="1" spans="1:18">
      <c r="A5" s="87">
        <f t="shared" si="0"/>
        <v>2</v>
      </c>
      <c r="B5" s="78">
        <v>46266</v>
      </c>
      <c r="C5" s="80"/>
      <c r="D5" s="80" t="s">
        <v>250</v>
      </c>
      <c r="E5" s="79" t="s">
        <v>153</v>
      </c>
      <c r="F5" s="87" t="str">
        <f>IF($E5="","",IFERROR(INDEX(基础资料!$O$4:$O$34,MATCH($E5,基础资料!$N$4:$N$34,0))&amp;"",""))</f>
        <v>*400</v>
      </c>
      <c r="G5" s="87" t="str">
        <f>IF($E5="","",IFERROR(INDEX(基础资料!$P$4:$P$34,MATCH($E5,基础资料!$N$4:$N$34,0))&amp;"",""))</f>
        <v>个</v>
      </c>
      <c r="H5" s="79" t="s">
        <v>144</v>
      </c>
      <c r="I5" s="88">
        <v>2400</v>
      </c>
      <c r="J5" s="92"/>
      <c r="K5" s="93"/>
      <c r="L5" s="25">
        <f t="shared" si="1"/>
        <v>2400</v>
      </c>
      <c r="M5" s="94"/>
      <c r="N5" s="26">
        <f t="shared" si="2"/>
        <v>0</v>
      </c>
      <c r="O5" s="80"/>
      <c r="P5" s="80"/>
      <c r="Q5" s="80"/>
      <c r="R5" s="80"/>
    </row>
    <row r="6" ht="18" customHeight="1" spans="1:18">
      <c r="A6" s="87">
        <f t="shared" si="0"/>
        <v>3</v>
      </c>
      <c r="B6" s="78">
        <v>46266</v>
      </c>
      <c r="C6" s="80"/>
      <c r="D6" s="80" t="s">
        <v>250</v>
      </c>
      <c r="E6" s="79" t="s">
        <v>188</v>
      </c>
      <c r="F6" s="87" t="str">
        <f>IF($E6="","",IFERROR(INDEX(基础资料!$O$4:$O$34,MATCH($E6,基础资料!$N$4:$N$34,0))&amp;"",""))</f>
        <v>*100张</v>
      </c>
      <c r="G6" s="87" t="str">
        <f>IF($E6="","",IFERROR(INDEX(基础资料!$P$4:$P$34,MATCH($E6,基础资料!$N$4:$N$34,0))&amp;"",""))</f>
        <v>张</v>
      </c>
      <c r="H6" s="79" t="s">
        <v>144</v>
      </c>
      <c r="I6" s="88">
        <v>8700</v>
      </c>
      <c r="J6" s="92"/>
      <c r="K6" s="93"/>
      <c r="L6" s="25">
        <f t="shared" si="1"/>
        <v>8700</v>
      </c>
      <c r="M6" s="94"/>
      <c r="N6" s="26">
        <f t="shared" si="2"/>
        <v>0</v>
      </c>
      <c r="O6" s="79"/>
      <c r="P6" s="80"/>
      <c r="Q6" s="80"/>
      <c r="R6" s="80"/>
    </row>
    <row r="7" ht="18" customHeight="1" spans="1:18">
      <c r="A7" s="87">
        <f t="shared" si="0"/>
        <v>4</v>
      </c>
      <c r="B7" s="78">
        <v>46266</v>
      </c>
      <c r="C7" s="80"/>
      <c r="D7" s="80" t="s">
        <v>250</v>
      </c>
      <c r="E7" s="79" t="s">
        <v>199</v>
      </c>
      <c r="F7" s="87" t="str">
        <f>IF($E7="","",IFERROR(INDEX(基础资料!$O$4:$O$34,MATCH($E7,基础资料!$N$4:$N$34,0))&amp;"",""))</f>
        <v>*捆</v>
      </c>
      <c r="G7" s="87" t="str">
        <f>IF($E7="","",IFERROR(INDEX(基础资料!$P$4:$P$34,MATCH($E7,基础资料!$N$4:$N$34,0))&amp;"",""))</f>
        <v>捆</v>
      </c>
      <c r="H7" s="79" t="s">
        <v>144</v>
      </c>
      <c r="I7" s="88">
        <v>48</v>
      </c>
      <c r="J7" s="92"/>
      <c r="K7" s="93"/>
      <c r="L7" s="25">
        <f t="shared" si="1"/>
        <v>48</v>
      </c>
      <c r="M7" s="94"/>
      <c r="N7" s="26">
        <f t="shared" si="2"/>
        <v>0</v>
      </c>
      <c r="O7" s="80"/>
      <c r="P7" s="79"/>
      <c r="Q7" s="80"/>
      <c r="R7" s="80"/>
    </row>
    <row r="8" ht="18" customHeight="1" spans="1:18">
      <c r="A8" s="87">
        <f t="shared" si="0"/>
        <v>5</v>
      </c>
      <c r="B8" s="78">
        <v>46266</v>
      </c>
      <c r="C8" s="80"/>
      <c r="D8" s="80" t="s">
        <v>250</v>
      </c>
      <c r="E8" s="79" t="s">
        <v>256</v>
      </c>
      <c r="F8" s="87" t="str">
        <f>IF($E8="","",IFERROR(INDEX(基础资料!$O$4:$O$34,MATCH($E8,基础资料!$N$4:$N$34,0))&amp;"",""))</f>
        <v>*瓶</v>
      </c>
      <c r="G8" s="87" t="str">
        <f>IF($E8="","",IFERROR(INDEX(基础资料!$P$4:$P$34,MATCH($E8,基础资料!$N$4:$N$34,0))&amp;"",""))</f>
        <v>瓶</v>
      </c>
      <c r="H8" s="79" t="s">
        <v>144</v>
      </c>
      <c r="I8" s="88">
        <v>23</v>
      </c>
      <c r="J8" s="92"/>
      <c r="K8" s="93"/>
      <c r="L8" s="25">
        <f t="shared" si="1"/>
        <v>23</v>
      </c>
      <c r="M8" s="94"/>
      <c r="N8" s="26">
        <f t="shared" si="2"/>
        <v>0</v>
      </c>
      <c r="O8" s="79"/>
      <c r="P8" s="80"/>
      <c r="Q8" s="80"/>
      <c r="R8" s="80"/>
    </row>
    <row r="9" ht="18" customHeight="1" spans="1:18">
      <c r="A9" s="87">
        <f t="shared" si="0"/>
        <v>6</v>
      </c>
      <c r="B9" s="78">
        <v>46266</v>
      </c>
      <c r="C9" s="80"/>
      <c r="D9" s="80" t="s">
        <v>250</v>
      </c>
      <c r="E9" s="79" t="s">
        <v>244</v>
      </c>
      <c r="F9" s="87" t="str">
        <f>IF($E9="","",IFERROR(INDEX(基础资料!$O$4:$O$34,MATCH($E9,基础资料!$N$4:$N$34,0))&amp;"",""))</f>
        <v>*30卷</v>
      </c>
      <c r="G9" s="87" t="str">
        <f>IF($E9="","",IFERROR(INDEX(基础资料!$P$4:$P$34,MATCH($E9,基础资料!$N$4:$N$34,0))&amp;"",""))</f>
        <v>卷</v>
      </c>
      <c r="H9" s="79" t="s">
        <v>144</v>
      </c>
      <c r="I9" s="88">
        <v>2</v>
      </c>
      <c r="J9" s="92"/>
      <c r="K9" s="93"/>
      <c r="L9" s="25">
        <f t="shared" si="1"/>
        <v>2</v>
      </c>
      <c r="M9" s="94"/>
      <c r="N9" s="26">
        <f t="shared" si="2"/>
        <v>0</v>
      </c>
      <c r="O9" s="79"/>
      <c r="P9" s="79"/>
      <c r="Q9" s="80"/>
      <c r="R9" s="80"/>
    </row>
    <row r="10" ht="18" customHeight="1" spans="1:18">
      <c r="A10" s="87">
        <f t="shared" si="0"/>
        <v>7</v>
      </c>
      <c r="B10" s="78">
        <v>46266</v>
      </c>
      <c r="C10" s="80" t="s">
        <v>427</v>
      </c>
      <c r="D10" s="80" t="s">
        <v>182</v>
      </c>
      <c r="E10" s="79" t="s">
        <v>166</v>
      </c>
      <c r="F10" s="87" t="str">
        <f>IF($E10="","",IFERROR(INDEX(基础资料!$O$4:$O$34,MATCH($E10,基础资料!$N$4:$N$34,0))&amp;"",""))</f>
        <v>*包</v>
      </c>
      <c r="G10" s="87" t="str">
        <f>IF($E10="","",IFERROR(INDEX(基础资料!$P$4:$P$34,MATCH($E10,基础资料!$N$4:$N$34,0))&amp;"",""))</f>
        <v>包</v>
      </c>
      <c r="H10" s="79" t="s">
        <v>157</v>
      </c>
      <c r="I10" s="88">
        <v>644</v>
      </c>
      <c r="J10" s="92" t="s">
        <v>308</v>
      </c>
      <c r="K10" s="93" t="s">
        <v>308</v>
      </c>
      <c r="L10" s="25">
        <f t="shared" si="1"/>
        <v>644</v>
      </c>
      <c r="M10" s="94">
        <v>37</v>
      </c>
      <c r="N10" s="26">
        <f t="shared" si="2"/>
        <v>23828</v>
      </c>
      <c r="O10" s="80" t="s">
        <v>428</v>
      </c>
      <c r="P10" s="79" t="s">
        <v>195</v>
      </c>
      <c r="Q10" s="80"/>
      <c r="R10" s="80" t="s">
        <v>429</v>
      </c>
    </row>
    <row r="11" ht="18" customHeight="1" spans="1:18">
      <c r="A11" s="87">
        <f t="shared" si="0"/>
        <v>8</v>
      </c>
      <c r="B11" s="78">
        <v>46267</v>
      </c>
      <c r="C11" s="80" t="s">
        <v>323</v>
      </c>
      <c r="D11" s="80" t="s">
        <v>254</v>
      </c>
      <c r="E11" s="79" t="s">
        <v>166</v>
      </c>
      <c r="F11" s="87" t="str">
        <f>IF($E11="","",IFERROR(INDEX(基础资料!$O$4:$O$34,MATCH($E11,基础资料!$N$4:$N$34,0))&amp;"",""))</f>
        <v>*包</v>
      </c>
      <c r="G11" s="87" t="str">
        <f>IF($E11="","",IFERROR(INDEX(基础资料!$P$4:$P$34,MATCH($E11,基础资料!$N$4:$N$34,0))&amp;"",""))</f>
        <v>包</v>
      </c>
      <c r="H11" s="79" t="s">
        <v>183</v>
      </c>
      <c r="I11" s="88" t="s">
        <v>308</v>
      </c>
      <c r="J11" s="92">
        <v>24</v>
      </c>
      <c r="K11" s="93" t="s">
        <v>308</v>
      </c>
      <c r="L11" s="25">
        <f t="shared" si="1"/>
        <v>24</v>
      </c>
      <c r="M11" s="94">
        <v>45</v>
      </c>
      <c r="N11" s="26">
        <f t="shared" si="2"/>
        <v>1080</v>
      </c>
      <c r="O11" s="80" t="s">
        <v>321</v>
      </c>
      <c r="P11" s="79" t="s">
        <v>215</v>
      </c>
      <c r="Q11" s="80"/>
      <c r="R11" s="80"/>
    </row>
    <row r="12" ht="18" customHeight="1" spans="1:18">
      <c r="A12" s="87">
        <f t="shared" si="0"/>
        <v>9</v>
      </c>
      <c r="B12" s="78">
        <v>46268</v>
      </c>
      <c r="C12" s="80" t="s">
        <v>330</v>
      </c>
      <c r="D12" s="80" t="s">
        <v>190</v>
      </c>
      <c r="E12" s="79" t="s">
        <v>166</v>
      </c>
      <c r="F12" s="87" t="str">
        <f>IF($E12="","",IFERROR(INDEX(基础资料!$O$4:$O$34,MATCH($E12,基础资料!$N$4:$N$34,0))&amp;"",""))</f>
        <v>*包</v>
      </c>
      <c r="G12" s="87" t="str">
        <f>IF($E12="","",IFERROR(INDEX(基础资料!$P$4:$P$34,MATCH($E12,基础资料!$N$4:$N$34,0))&amp;"",""))</f>
        <v>包</v>
      </c>
      <c r="H12" s="79" t="s">
        <v>183</v>
      </c>
      <c r="I12" s="88" t="s">
        <v>308</v>
      </c>
      <c r="J12" s="92">
        <v>44</v>
      </c>
      <c r="K12" s="93" t="s">
        <v>308</v>
      </c>
      <c r="L12" s="25">
        <f t="shared" si="1"/>
        <v>44</v>
      </c>
      <c r="M12" s="94">
        <v>45</v>
      </c>
      <c r="N12" s="26">
        <f t="shared" si="2"/>
        <v>1980</v>
      </c>
      <c r="O12" s="80" t="s">
        <v>430</v>
      </c>
      <c r="P12" s="79" t="s">
        <v>215</v>
      </c>
      <c r="Q12" s="80"/>
      <c r="R12" s="80"/>
    </row>
    <row r="13" ht="18" customHeight="1" spans="1:18">
      <c r="A13" s="87">
        <f t="shared" si="0"/>
        <v>10</v>
      </c>
      <c r="B13" s="78">
        <v>46268</v>
      </c>
      <c r="C13" s="80" t="s">
        <v>431</v>
      </c>
      <c r="D13" s="79" t="s">
        <v>181</v>
      </c>
      <c r="E13" s="79" t="s">
        <v>199</v>
      </c>
      <c r="F13" s="87" t="str">
        <f>IF($E13="","",IFERROR(INDEX(基础资料!$O$4:$O$34,MATCH($E13,基础资料!$N$4:$N$34,0))&amp;"",""))</f>
        <v>*捆</v>
      </c>
      <c r="G13" s="87" t="str">
        <f>IF($E13="","",IFERROR(INDEX(基础资料!$P$4:$P$34,MATCH($E13,基础资料!$N$4:$N$34,0))&amp;"",""))</f>
        <v>捆</v>
      </c>
      <c r="H13" s="79" t="s">
        <v>183</v>
      </c>
      <c r="I13" s="88" t="s">
        <v>308</v>
      </c>
      <c r="J13" s="92">
        <v>2</v>
      </c>
      <c r="K13" s="93" t="s">
        <v>308</v>
      </c>
      <c r="L13" s="25">
        <f t="shared" si="1"/>
        <v>2</v>
      </c>
      <c r="M13" s="94">
        <v>48</v>
      </c>
      <c r="N13" s="26">
        <f t="shared" si="2"/>
        <v>96</v>
      </c>
      <c r="O13" s="79" t="s">
        <v>213</v>
      </c>
      <c r="P13" s="80" t="s">
        <v>148</v>
      </c>
      <c r="Q13" s="80"/>
      <c r="R13" s="80"/>
    </row>
    <row r="14" ht="18" customHeight="1" spans="1:18">
      <c r="A14" s="87">
        <f t="shared" si="0"/>
        <v>11</v>
      </c>
      <c r="B14" s="78">
        <v>46268</v>
      </c>
      <c r="C14" s="80" t="s">
        <v>432</v>
      </c>
      <c r="D14" s="80" t="s">
        <v>190</v>
      </c>
      <c r="E14" s="79" t="s">
        <v>199</v>
      </c>
      <c r="F14" s="87" t="str">
        <f>IF($E14="","",IFERROR(INDEX(基础资料!$O$4:$O$34,MATCH($E14,基础资料!$N$4:$N$34,0))&amp;"",""))</f>
        <v>*捆</v>
      </c>
      <c r="G14" s="87" t="str">
        <f>IF($E14="","",IFERROR(INDEX(基础资料!$P$4:$P$34,MATCH($E14,基础资料!$N$4:$N$34,0))&amp;"",""))</f>
        <v>捆</v>
      </c>
      <c r="H14" s="79" t="s">
        <v>183</v>
      </c>
      <c r="I14" s="88" t="s">
        <v>308</v>
      </c>
      <c r="J14" s="92">
        <v>2</v>
      </c>
      <c r="K14" s="93" t="s">
        <v>308</v>
      </c>
      <c r="L14" s="25">
        <f t="shared" si="1"/>
        <v>2</v>
      </c>
      <c r="M14" s="94">
        <v>48</v>
      </c>
      <c r="N14" s="26">
        <f t="shared" si="2"/>
        <v>96</v>
      </c>
      <c r="O14" s="79" t="s">
        <v>213</v>
      </c>
      <c r="P14" s="79" t="s">
        <v>148</v>
      </c>
      <c r="Q14" s="80"/>
      <c r="R14" s="80"/>
    </row>
    <row r="15" ht="18" customHeight="1" spans="1:18">
      <c r="A15" s="87">
        <f t="shared" si="0"/>
        <v>12</v>
      </c>
      <c r="B15" s="78">
        <v>46268</v>
      </c>
      <c r="C15" s="80" t="s">
        <v>338</v>
      </c>
      <c r="D15" s="80" t="s">
        <v>181</v>
      </c>
      <c r="E15" s="79" t="s">
        <v>166</v>
      </c>
      <c r="F15" s="87" t="str">
        <f>IF($E15="","",IFERROR(INDEX(基础资料!$O$4:$O$34,MATCH($E15,基础资料!$N$4:$N$34,0))&amp;"",""))</f>
        <v>*包</v>
      </c>
      <c r="G15" s="87" t="str">
        <f>IF($E15="","",IFERROR(INDEX(基础资料!$P$4:$P$34,MATCH($E15,基础资料!$N$4:$N$34,0))&amp;"",""))</f>
        <v>包</v>
      </c>
      <c r="H15" s="79" t="s">
        <v>183</v>
      </c>
      <c r="I15" s="88" t="s">
        <v>308</v>
      </c>
      <c r="J15" s="92">
        <v>44</v>
      </c>
      <c r="K15" s="93" t="s">
        <v>308</v>
      </c>
      <c r="L15" s="25">
        <f t="shared" si="1"/>
        <v>44</v>
      </c>
      <c r="M15" s="94">
        <v>45</v>
      </c>
      <c r="N15" s="26">
        <f t="shared" si="2"/>
        <v>1980</v>
      </c>
      <c r="O15" s="80" t="s">
        <v>430</v>
      </c>
      <c r="P15" s="79" t="s">
        <v>215</v>
      </c>
      <c r="Q15" s="80"/>
      <c r="R15" s="80"/>
    </row>
    <row r="16" ht="18" customHeight="1" spans="1:18">
      <c r="A16" s="87">
        <f t="shared" si="0"/>
        <v>13</v>
      </c>
      <c r="B16" s="78">
        <v>46269</v>
      </c>
      <c r="C16" s="80" t="s">
        <v>353</v>
      </c>
      <c r="D16" s="80" t="s">
        <v>228</v>
      </c>
      <c r="E16" s="79" t="s">
        <v>166</v>
      </c>
      <c r="F16" s="87" t="str">
        <f>IF($E16="","",IFERROR(INDEX(基础资料!$O$4:$O$34,MATCH($E16,基础资料!$N$4:$N$34,0))&amp;"",""))</f>
        <v>*包</v>
      </c>
      <c r="G16" s="87" t="str">
        <f>IF($E16="","",IFERROR(INDEX(基础资料!$P$4:$P$34,MATCH($E16,基础资料!$N$4:$N$34,0))&amp;"",""))</f>
        <v>包</v>
      </c>
      <c r="H16" s="79" t="s">
        <v>183</v>
      </c>
      <c r="I16" s="88" t="s">
        <v>308</v>
      </c>
      <c r="J16" s="92">
        <v>64</v>
      </c>
      <c r="K16" s="93" t="s">
        <v>308</v>
      </c>
      <c r="L16" s="25">
        <f t="shared" si="1"/>
        <v>64</v>
      </c>
      <c r="M16" s="94">
        <v>45</v>
      </c>
      <c r="N16" s="26">
        <f t="shared" si="2"/>
        <v>2880</v>
      </c>
      <c r="O16" s="80" t="s">
        <v>344</v>
      </c>
      <c r="P16" s="80" t="s">
        <v>215</v>
      </c>
      <c r="Q16" s="80"/>
      <c r="R16" s="80"/>
    </row>
    <row r="17" ht="18" customHeight="1" spans="1:18">
      <c r="A17" s="87">
        <f t="shared" si="0"/>
        <v>14</v>
      </c>
      <c r="B17" s="78">
        <v>46269</v>
      </c>
      <c r="C17" s="80" t="s">
        <v>433</v>
      </c>
      <c r="D17" s="80" t="s">
        <v>252</v>
      </c>
      <c r="E17" s="79" t="s">
        <v>166</v>
      </c>
      <c r="F17" s="87" t="str">
        <f>IF($E17="","",IFERROR(INDEX(基础资料!$O$4:$O$34,MATCH($E17,基础资料!$N$4:$N$34,0))&amp;"",""))</f>
        <v>*包</v>
      </c>
      <c r="G17" s="87" t="str">
        <f>IF($E17="","",IFERROR(INDEX(基础资料!$P$4:$P$34,MATCH($E17,基础资料!$N$4:$N$34,0))&amp;"",""))</f>
        <v>包</v>
      </c>
      <c r="H17" s="79" t="s">
        <v>183</v>
      </c>
      <c r="I17" s="88" t="s">
        <v>308</v>
      </c>
      <c r="J17" s="92">
        <v>120</v>
      </c>
      <c r="K17" s="93" t="s">
        <v>308</v>
      </c>
      <c r="L17" s="25">
        <f t="shared" si="1"/>
        <v>120</v>
      </c>
      <c r="M17" s="94">
        <v>45</v>
      </c>
      <c r="N17" s="26">
        <f t="shared" si="2"/>
        <v>5400</v>
      </c>
      <c r="O17" s="80" t="s">
        <v>340</v>
      </c>
      <c r="P17" s="80" t="s">
        <v>215</v>
      </c>
      <c r="Q17" s="80"/>
      <c r="R17" s="80"/>
    </row>
    <row r="18" ht="18" customHeight="1" spans="1:18">
      <c r="A18" s="87">
        <f t="shared" si="0"/>
        <v>15</v>
      </c>
      <c r="B18" s="78">
        <v>46270</v>
      </c>
      <c r="C18" s="80" t="s">
        <v>434</v>
      </c>
      <c r="D18" s="80" t="s">
        <v>190</v>
      </c>
      <c r="E18" s="79" t="s">
        <v>199</v>
      </c>
      <c r="F18" s="87" t="str">
        <f>IF($E18="","",IFERROR(INDEX(基础资料!$O$4:$O$34,MATCH($E18,基础资料!$N$4:$N$34,0))&amp;"",""))</f>
        <v>*捆</v>
      </c>
      <c r="G18" s="87" t="str">
        <f>IF($E18="","",IFERROR(INDEX(基础资料!$P$4:$P$34,MATCH($E18,基础资料!$N$4:$N$34,0))&amp;"",""))</f>
        <v>捆</v>
      </c>
      <c r="H18" s="79" t="s">
        <v>183</v>
      </c>
      <c r="I18" s="88" t="s">
        <v>308</v>
      </c>
      <c r="J18" s="92">
        <v>10</v>
      </c>
      <c r="K18" s="93" t="s">
        <v>308</v>
      </c>
      <c r="L18" s="25">
        <f t="shared" si="1"/>
        <v>10</v>
      </c>
      <c r="M18" s="94">
        <v>56</v>
      </c>
      <c r="N18" s="26">
        <f t="shared" si="2"/>
        <v>560</v>
      </c>
      <c r="O18" s="80" t="s">
        <v>435</v>
      </c>
      <c r="P18" s="80" t="s">
        <v>215</v>
      </c>
      <c r="Q18" s="80"/>
      <c r="R18" s="80"/>
    </row>
    <row r="19" ht="18" customHeight="1" spans="1:18">
      <c r="A19" s="87">
        <f t="shared" si="0"/>
        <v>16</v>
      </c>
      <c r="B19" s="78">
        <v>46272</v>
      </c>
      <c r="C19" s="80" t="s">
        <v>360</v>
      </c>
      <c r="D19" s="80" t="s">
        <v>181</v>
      </c>
      <c r="E19" s="79" t="s">
        <v>166</v>
      </c>
      <c r="F19" s="87" t="str">
        <f>IF($E19="","",IFERROR(INDEX(基础资料!$O$4:$O$34,MATCH($E19,基础资料!$N$4:$N$34,0))&amp;"",""))</f>
        <v>*包</v>
      </c>
      <c r="G19" s="87" t="str">
        <f>IF($E19="","",IFERROR(INDEX(基础资料!$P$4:$P$34,MATCH($E19,基础资料!$N$4:$N$34,0))&amp;"",""))</f>
        <v>包</v>
      </c>
      <c r="H19" s="79" t="s">
        <v>183</v>
      </c>
      <c r="I19" s="88" t="s">
        <v>308</v>
      </c>
      <c r="J19" s="92">
        <v>48</v>
      </c>
      <c r="K19" s="93" t="s">
        <v>308</v>
      </c>
      <c r="L19" s="25">
        <f t="shared" si="1"/>
        <v>48</v>
      </c>
      <c r="M19" s="94">
        <v>45</v>
      </c>
      <c r="N19" s="26">
        <f t="shared" si="2"/>
        <v>2160</v>
      </c>
      <c r="O19" s="80" t="s">
        <v>430</v>
      </c>
      <c r="P19" s="80" t="s">
        <v>215</v>
      </c>
      <c r="Q19" s="80"/>
      <c r="R19" s="80"/>
    </row>
    <row r="20" ht="18" customHeight="1" spans="1:18">
      <c r="A20" s="87">
        <f t="shared" si="0"/>
        <v>17</v>
      </c>
      <c r="B20" s="78">
        <v>46272</v>
      </c>
      <c r="C20" s="80" t="s">
        <v>364</v>
      </c>
      <c r="D20" s="80" t="s">
        <v>220</v>
      </c>
      <c r="E20" s="79" t="s">
        <v>166</v>
      </c>
      <c r="F20" s="87" t="str">
        <f>IF($E20="","",IFERROR(INDEX(基础资料!$O$4:$O$34,MATCH($E20,基础资料!$N$4:$N$34,0))&amp;"",""))</f>
        <v>*包</v>
      </c>
      <c r="G20" s="87" t="str">
        <f>IF($E20="","",IFERROR(INDEX(基础资料!$P$4:$P$34,MATCH($E20,基础资料!$N$4:$N$34,0))&amp;"",""))</f>
        <v>包</v>
      </c>
      <c r="H20" s="79" t="s">
        <v>183</v>
      </c>
      <c r="I20" s="88" t="s">
        <v>308</v>
      </c>
      <c r="J20" s="92">
        <v>32</v>
      </c>
      <c r="K20" s="93" t="s">
        <v>308</v>
      </c>
      <c r="L20" s="25">
        <f t="shared" si="1"/>
        <v>32</v>
      </c>
      <c r="M20" s="94">
        <v>45</v>
      </c>
      <c r="N20" s="26">
        <f t="shared" si="2"/>
        <v>1440</v>
      </c>
      <c r="O20" s="80" t="s">
        <v>365</v>
      </c>
      <c r="P20" s="80" t="s">
        <v>215</v>
      </c>
      <c r="Q20" s="80"/>
      <c r="R20" s="80"/>
    </row>
    <row r="21" ht="18" customHeight="1" spans="1:18">
      <c r="A21" s="87">
        <f t="shared" si="0"/>
        <v>18</v>
      </c>
      <c r="B21" s="78">
        <v>46272</v>
      </c>
      <c r="C21" s="80" t="s">
        <v>364</v>
      </c>
      <c r="D21" s="80" t="s">
        <v>220</v>
      </c>
      <c r="E21" s="79" t="s">
        <v>153</v>
      </c>
      <c r="F21" s="87" t="str">
        <f>IF($E21="","",IFERROR(INDEX(基础资料!$O$4:$O$34,MATCH($E21,基础资料!$N$4:$N$34,0))&amp;"",""))</f>
        <v>*400</v>
      </c>
      <c r="G21" s="87" t="str">
        <f>IF($E21="","",IFERROR(INDEX(基础资料!$P$4:$P$34,MATCH($E21,基础资料!$N$4:$N$34,0))&amp;"",""))</f>
        <v>个</v>
      </c>
      <c r="H21" s="79" t="s">
        <v>183</v>
      </c>
      <c r="I21" s="88" t="s">
        <v>308</v>
      </c>
      <c r="J21" s="92">
        <v>800</v>
      </c>
      <c r="K21" s="93" t="s">
        <v>308</v>
      </c>
      <c r="L21" s="25">
        <f t="shared" si="1"/>
        <v>800</v>
      </c>
      <c r="M21" s="94">
        <v>0.5</v>
      </c>
      <c r="N21" s="26">
        <f t="shared" si="2"/>
        <v>400</v>
      </c>
      <c r="O21" s="80" t="s">
        <v>365</v>
      </c>
      <c r="P21" s="80" t="s">
        <v>215</v>
      </c>
      <c r="Q21" s="80"/>
      <c r="R21" s="80"/>
    </row>
    <row r="22" ht="18" customHeight="1" spans="1:18">
      <c r="A22" s="87">
        <f t="shared" si="0"/>
        <v>19</v>
      </c>
      <c r="B22" s="78">
        <v>46272</v>
      </c>
      <c r="C22" s="80" t="s">
        <v>366</v>
      </c>
      <c r="D22" s="80" t="s">
        <v>190</v>
      </c>
      <c r="E22" s="79" t="s">
        <v>166</v>
      </c>
      <c r="F22" s="87" t="str">
        <f>IF($E22="","",IFERROR(INDEX(基础资料!$O$4:$O$34,MATCH($E22,基础资料!$N$4:$N$34,0))&amp;"",""))</f>
        <v>*包</v>
      </c>
      <c r="G22" s="87" t="str">
        <f>IF($E22="","",IFERROR(INDEX(基础资料!$P$4:$P$34,MATCH($E22,基础资料!$N$4:$N$34,0))&amp;"",""))</f>
        <v>包</v>
      </c>
      <c r="H22" s="79" t="s">
        <v>183</v>
      </c>
      <c r="I22" s="88" t="s">
        <v>308</v>
      </c>
      <c r="J22" s="92">
        <v>48</v>
      </c>
      <c r="K22" s="93" t="s">
        <v>308</v>
      </c>
      <c r="L22" s="25">
        <f t="shared" si="1"/>
        <v>48</v>
      </c>
      <c r="M22" s="94">
        <v>45</v>
      </c>
      <c r="N22" s="26">
        <f t="shared" si="2"/>
        <v>2160</v>
      </c>
      <c r="O22" s="80" t="s">
        <v>430</v>
      </c>
      <c r="P22" s="80" t="s">
        <v>215</v>
      </c>
      <c r="Q22" s="80"/>
      <c r="R22" s="80"/>
    </row>
    <row r="23" ht="18" customHeight="1" spans="1:18">
      <c r="A23" s="87">
        <f t="shared" si="0"/>
        <v>20</v>
      </c>
      <c r="B23" s="78">
        <v>46273</v>
      </c>
      <c r="C23" s="80" t="s">
        <v>436</v>
      </c>
      <c r="D23" s="80" t="s">
        <v>220</v>
      </c>
      <c r="E23" s="79" t="s">
        <v>153</v>
      </c>
      <c r="F23" s="87" t="str">
        <f>IF($E23="","",IFERROR(INDEX(基础资料!$O$4:$O$34,MATCH($E23,基础资料!$N$4:$N$34,0))&amp;"",""))</f>
        <v>*400</v>
      </c>
      <c r="G23" s="87" t="str">
        <f>IF($E23="","",IFERROR(INDEX(基础资料!$P$4:$P$34,MATCH($E23,基础资料!$N$4:$N$34,0))&amp;"",""))</f>
        <v>个</v>
      </c>
      <c r="H23" s="79" t="s">
        <v>170</v>
      </c>
      <c r="I23" s="88" t="s">
        <v>308</v>
      </c>
      <c r="J23" s="92" t="s">
        <v>308</v>
      </c>
      <c r="K23" s="93">
        <v>-800</v>
      </c>
      <c r="L23" s="25">
        <f t="shared" si="1"/>
        <v>800</v>
      </c>
      <c r="M23" s="94">
        <v>-0.5</v>
      </c>
      <c r="N23" s="26">
        <f t="shared" si="2"/>
        <v>-400</v>
      </c>
      <c r="O23" s="80" t="s">
        <v>365</v>
      </c>
      <c r="P23" s="80" t="s">
        <v>224</v>
      </c>
      <c r="Q23" s="80"/>
      <c r="R23" s="80"/>
    </row>
    <row r="24" ht="18" customHeight="1" spans="1:18">
      <c r="A24" s="87">
        <f t="shared" si="0"/>
        <v>21</v>
      </c>
      <c r="B24" s="78">
        <v>46274</v>
      </c>
      <c r="C24" s="80" t="s">
        <v>370</v>
      </c>
      <c r="D24" s="80" t="s">
        <v>241</v>
      </c>
      <c r="E24" s="79" t="s">
        <v>166</v>
      </c>
      <c r="F24" s="87" t="str">
        <f>IF($E24="","",IFERROR(INDEX(基础资料!$O$4:$O$34,MATCH($E24,基础资料!$N$4:$N$34,0))&amp;"",""))</f>
        <v>*包</v>
      </c>
      <c r="G24" s="87" t="str">
        <f>IF($E24="","",IFERROR(INDEX(基础资料!$P$4:$P$34,MATCH($E24,基础资料!$N$4:$N$34,0))&amp;"",""))</f>
        <v>包</v>
      </c>
      <c r="H24" s="79" t="s">
        <v>183</v>
      </c>
      <c r="I24" s="88" t="s">
        <v>308</v>
      </c>
      <c r="J24" s="92">
        <v>16</v>
      </c>
      <c r="K24" s="93" t="s">
        <v>308</v>
      </c>
      <c r="L24" s="25">
        <f t="shared" si="1"/>
        <v>16</v>
      </c>
      <c r="M24" s="94">
        <v>45</v>
      </c>
      <c r="N24" s="26">
        <f t="shared" si="2"/>
        <v>720</v>
      </c>
      <c r="O24" s="80" t="s">
        <v>371</v>
      </c>
      <c r="P24" s="80" t="s">
        <v>215</v>
      </c>
      <c r="Q24" s="80"/>
      <c r="R24" s="80"/>
    </row>
    <row r="25" ht="18" customHeight="1" spans="1:18">
      <c r="A25" s="87">
        <f t="shared" si="0"/>
        <v>22</v>
      </c>
      <c r="B25" s="78">
        <v>46274</v>
      </c>
      <c r="C25" s="80" t="s">
        <v>370</v>
      </c>
      <c r="D25" s="80" t="s">
        <v>241</v>
      </c>
      <c r="E25" s="79" t="s">
        <v>199</v>
      </c>
      <c r="F25" s="87" t="str">
        <f>IF($E25="","",IFERROR(INDEX(基础资料!$O$4:$O$34,MATCH($E25,基础资料!$N$4:$N$34,0))&amp;"",""))</f>
        <v>*捆</v>
      </c>
      <c r="G25" s="87" t="str">
        <f>IF($E25="","",IFERROR(INDEX(基础资料!$P$4:$P$34,MATCH($E25,基础资料!$N$4:$N$34,0))&amp;"",""))</f>
        <v>捆</v>
      </c>
      <c r="H25" s="79" t="s">
        <v>183</v>
      </c>
      <c r="I25" s="88" t="s">
        <v>308</v>
      </c>
      <c r="J25" s="92">
        <v>2</v>
      </c>
      <c r="K25" s="93" t="s">
        <v>308</v>
      </c>
      <c r="L25" s="25">
        <f t="shared" si="1"/>
        <v>2</v>
      </c>
      <c r="M25" s="94">
        <v>60</v>
      </c>
      <c r="N25" s="26">
        <f t="shared" si="2"/>
        <v>120</v>
      </c>
      <c r="O25" s="80" t="s">
        <v>371</v>
      </c>
      <c r="P25" s="80" t="s">
        <v>215</v>
      </c>
      <c r="Q25" s="80"/>
      <c r="R25" s="80"/>
    </row>
    <row r="26" ht="18" customHeight="1" spans="1:18">
      <c r="A26" s="87">
        <f t="shared" si="0"/>
        <v>23</v>
      </c>
      <c r="B26" s="78">
        <v>46274</v>
      </c>
      <c r="C26" s="80" t="s">
        <v>437</v>
      </c>
      <c r="D26" s="80" t="s">
        <v>254</v>
      </c>
      <c r="E26" s="79" t="s">
        <v>166</v>
      </c>
      <c r="F26" s="87" t="str">
        <f>IF($E26="","",IFERROR(INDEX(基础资料!$O$4:$O$34,MATCH($E26,基础资料!$N$4:$N$34,0))&amp;"",""))</f>
        <v>*包</v>
      </c>
      <c r="G26" s="87" t="str">
        <f>IF($E26="","",IFERROR(INDEX(基础资料!$P$4:$P$34,MATCH($E26,基础资料!$N$4:$N$34,0))&amp;"",""))</f>
        <v>包</v>
      </c>
      <c r="H26" s="79" t="s">
        <v>183</v>
      </c>
      <c r="I26" s="88" t="s">
        <v>308</v>
      </c>
      <c r="J26" s="92">
        <v>12</v>
      </c>
      <c r="K26" s="93" t="s">
        <v>308</v>
      </c>
      <c r="L26" s="25">
        <f t="shared" si="1"/>
        <v>12</v>
      </c>
      <c r="M26" s="94">
        <v>45</v>
      </c>
      <c r="N26" s="26">
        <f t="shared" si="2"/>
        <v>540</v>
      </c>
      <c r="O26" s="80" t="s">
        <v>321</v>
      </c>
      <c r="P26" s="80" t="s">
        <v>215</v>
      </c>
      <c r="Q26" s="80"/>
      <c r="R26" s="80"/>
    </row>
    <row r="27" ht="18" customHeight="1" spans="1:18">
      <c r="A27" s="87">
        <f t="shared" si="0"/>
        <v>24</v>
      </c>
      <c r="B27" s="78">
        <v>46274</v>
      </c>
      <c r="C27" s="80" t="s">
        <v>379</v>
      </c>
      <c r="D27" s="80" t="s">
        <v>228</v>
      </c>
      <c r="E27" s="79" t="s">
        <v>166</v>
      </c>
      <c r="F27" s="87" t="str">
        <f>IF($E27="","",IFERROR(INDEX(基础资料!$O$4:$O$34,MATCH($E27,基础资料!$N$4:$N$34,0))&amp;"",""))</f>
        <v>*包</v>
      </c>
      <c r="G27" s="87" t="str">
        <f>IF($E27="","",IFERROR(INDEX(基础资料!$P$4:$P$34,MATCH($E27,基础资料!$N$4:$N$34,0))&amp;"",""))</f>
        <v>包</v>
      </c>
      <c r="H27" s="79" t="s">
        <v>183</v>
      </c>
      <c r="I27" s="88">
        <v>0</v>
      </c>
      <c r="J27" s="92">
        <v>48</v>
      </c>
      <c r="K27" s="93">
        <v>0</v>
      </c>
      <c r="L27" s="25">
        <f t="shared" si="1"/>
        <v>48</v>
      </c>
      <c r="M27" s="94">
        <v>45</v>
      </c>
      <c r="N27" s="26">
        <f t="shared" si="2"/>
        <v>2160</v>
      </c>
      <c r="O27" s="80" t="s">
        <v>344</v>
      </c>
      <c r="P27" s="80" t="s">
        <v>215</v>
      </c>
      <c r="Q27" s="80"/>
      <c r="R27" s="80"/>
    </row>
    <row r="28" ht="18" customHeight="1" spans="1:18">
      <c r="A28" s="87">
        <f t="shared" si="0"/>
        <v>25</v>
      </c>
      <c r="B28" s="78">
        <v>46274</v>
      </c>
      <c r="C28" s="80" t="s">
        <v>380</v>
      </c>
      <c r="D28" s="80" t="s">
        <v>181</v>
      </c>
      <c r="E28" s="79" t="s">
        <v>166</v>
      </c>
      <c r="F28" s="87" t="str">
        <f>IF($E28="","",IFERROR(INDEX(基础资料!$O$4:$O$34,MATCH($E28,基础资料!$N$4:$N$34,0))&amp;"",""))</f>
        <v>*包</v>
      </c>
      <c r="G28" s="87" t="str">
        <f>IF($E28="","",IFERROR(INDEX(基础资料!$P$4:$P$34,MATCH($E28,基础资料!$N$4:$N$34,0))&amp;"",""))</f>
        <v>包</v>
      </c>
      <c r="H28" s="79" t="s">
        <v>183</v>
      </c>
      <c r="I28" s="88">
        <v>0</v>
      </c>
      <c r="J28" s="92">
        <v>48</v>
      </c>
      <c r="K28" s="93">
        <v>0</v>
      </c>
      <c r="L28" s="25">
        <f t="shared" si="1"/>
        <v>48</v>
      </c>
      <c r="M28" s="94">
        <v>45</v>
      </c>
      <c r="N28" s="26">
        <f t="shared" si="2"/>
        <v>2160</v>
      </c>
      <c r="O28" s="80" t="s">
        <v>430</v>
      </c>
      <c r="P28" s="80" t="s">
        <v>215</v>
      </c>
      <c r="Q28" s="80"/>
      <c r="R28" s="80"/>
    </row>
    <row r="29" ht="18" customHeight="1" spans="1:18">
      <c r="A29" s="87">
        <f t="shared" si="0"/>
        <v>26</v>
      </c>
      <c r="B29" s="78">
        <v>46276</v>
      </c>
      <c r="C29" s="80" t="s">
        <v>438</v>
      </c>
      <c r="D29" s="80" t="s">
        <v>182</v>
      </c>
      <c r="E29" s="79" t="s">
        <v>166</v>
      </c>
      <c r="F29" s="87" t="str">
        <f>IF($E29="","",IFERROR(INDEX(基础资料!$O$4:$O$34,MATCH($E29,基础资料!$N$4:$N$34,0))&amp;"",""))</f>
        <v>*包</v>
      </c>
      <c r="G29" s="87" t="str">
        <f>IF($E29="","",IFERROR(INDEX(基础资料!$P$4:$P$34,MATCH($E29,基础资料!$N$4:$N$34,0))&amp;"",""))</f>
        <v>包</v>
      </c>
      <c r="H29" s="79" t="s">
        <v>157</v>
      </c>
      <c r="I29" s="88">
        <v>120</v>
      </c>
      <c r="J29" s="92">
        <v>0</v>
      </c>
      <c r="K29" s="93">
        <v>0</v>
      </c>
      <c r="L29" s="25">
        <f t="shared" si="1"/>
        <v>120</v>
      </c>
      <c r="M29" s="94">
        <v>37</v>
      </c>
      <c r="N29" s="26">
        <f t="shared" si="2"/>
        <v>4440</v>
      </c>
      <c r="O29" s="80" t="s">
        <v>439</v>
      </c>
      <c r="P29" s="80" t="s">
        <v>215</v>
      </c>
      <c r="Q29" s="80"/>
      <c r="R29" s="80" t="s">
        <v>429</v>
      </c>
    </row>
    <row r="30" ht="18" customHeight="1" spans="1:18">
      <c r="A30" s="87">
        <f t="shared" si="0"/>
        <v>27</v>
      </c>
      <c r="B30" s="78">
        <v>46276</v>
      </c>
      <c r="C30" s="80" t="s">
        <v>390</v>
      </c>
      <c r="D30" s="80" t="s">
        <v>181</v>
      </c>
      <c r="E30" s="79" t="s">
        <v>166</v>
      </c>
      <c r="F30" s="87" t="str">
        <f>IF($E30="","",IFERROR(INDEX(基础资料!$O$4:$O$34,MATCH($E30,基础资料!$N$4:$N$34,0))&amp;"",""))</f>
        <v>*包</v>
      </c>
      <c r="G30" s="87" t="str">
        <f>IF($E30="","",IFERROR(INDEX(基础资料!$P$4:$P$34,MATCH($E30,基础资料!$N$4:$N$34,0))&amp;"",""))</f>
        <v>包</v>
      </c>
      <c r="H30" s="79" t="s">
        <v>183</v>
      </c>
      <c r="I30" s="88">
        <v>0</v>
      </c>
      <c r="J30" s="92">
        <v>48</v>
      </c>
      <c r="K30" s="93">
        <v>0</v>
      </c>
      <c r="L30" s="25">
        <f t="shared" si="1"/>
        <v>48</v>
      </c>
      <c r="M30" s="94">
        <v>45</v>
      </c>
      <c r="N30" s="26">
        <f t="shared" si="2"/>
        <v>2160</v>
      </c>
      <c r="O30" s="80" t="s">
        <v>430</v>
      </c>
      <c r="P30" s="80" t="s">
        <v>215</v>
      </c>
      <c r="Q30" s="80"/>
      <c r="R30" s="80"/>
    </row>
    <row r="31" ht="18" customHeight="1" spans="1:18">
      <c r="A31" s="87">
        <f t="shared" si="0"/>
        <v>28</v>
      </c>
      <c r="B31" s="78">
        <v>46276</v>
      </c>
      <c r="C31" s="80" t="s">
        <v>440</v>
      </c>
      <c r="D31" s="80" t="s">
        <v>182</v>
      </c>
      <c r="E31" s="79" t="s">
        <v>166</v>
      </c>
      <c r="F31" s="87" t="str">
        <f>IF($E31="","",IFERROR(INDEX(基础资料!$O$4:$O$34,MATCH($E31,基础资料!$N$4:$N$34,0))&amp;"",""))</f>
        <v>*包</v>
      </c>
      <c r="G31" s="87" t="str">
        <f>IF($E31="","",IFERROR(INDEX(基础资料!$P$4:$P$34,MATCH($E31,基础资料!$N$4:$N$34,0))&amp;"",""))</f>
        <v>包</v>
      </c>
      <c r="H31" s="79" t="s">
        <v>157</v>
      </c>
      <c r="I31" s="88">
        <v>120</v>
      </c>
      <c r="J31" s="92">
        <v>0</v>
      </c>
      <c r="K31" s="93">
        <v>0</v>
      </c>
      <c r="L31" s="25">
        <f t="shared" si="1"/>
        <v>120</v>
      </c>
      <c r="M31" s="94">
        <v>37</v>
      </c>
      <c r="N31" s="26">
        <f t="shared" si="2"/>
        <v>4440</v>
      </c>
      <c r="O31" s="80" t="s">
        <v>441</v>
      </c>
      <c r="P31" s="80" t="s">
        <v>215</v>
      </c>
      <c r="Q31" s="80"/>
      <c r="R31" s="80" t="s">
        <v>429</v>
      </c>
    </row>
    <row r="32" ht="18" customHeight="1" spans="1:18">
      <c r="A32" s="87">
        <f t="shared" si="0"/>
        <v>29</v>
      </c>
      <c r="B32" s="78">
        <v>46276</v>
      </c>
      <c r="C32" s="80" t="s">
        <v>442</v>
      </c>
      <c r="D32" s="80" t="s">
        <v>254</v>
      </c>
      <c r="E32" s="79" t="s">
        <v>166</v>
      </c>
      <c r="F32" s="87" t="str">
        <f>IF($E32="","",IFERROR(INDEX(基础资料!$O$4:$O$34,MATCH($E32,基础资料!$N$4:$N$34,0))&amp;"",""))</f>
        <v>*包</v>
      </c>
      <c r="G32" s="87" t="str">
        <f>IF($E32="","",IFERROR(INDEX(基础资料!$P$4:$P$34,MATCH($E32,基础资料!$N$4:$N$34,0))&amp;"",""))</f>
        <v>包</v>
      </c>
      <c r="H32" s="79" t="s">
        <v>183</v>
      </c>
      <c r="I32" s="88">
        <v>0</v>
      </c>
      <c r="J32" s="92">
        <v>3</v>
      </c>
      <c r="K32" s="93">
        <v>0</v>
      </c>
      <c r="L32" s="25">
        <f t="shared" si="1"/>
        <v>3</v>
      </c>
      <c r="M32" s="94">
        <v>45</v>
      </c>
      <c r="N32" s="26">
        <f t="shared" si="2"/>
        <v>135</v>
      </c>
      <c r="O32" s="80" t="s">
        <v>443</v>
      </c>
      <c r="P32" s="80" t="s">
        <v>215</v>
      </c>
      <c r="Q32" s="80"/>
      <c r="R32" s="80"/>
    </row>
    <row r="33" ht="18" customHeight="1" spans="1:18">
      <c r="A33" s="87">
        <f t="shared" si="0"/>
        <v>30</v>
      </c>
      <c r="B33" s="78">
        <v>46276</v>
      </c>
      <c r="C33" s="80" t="s">
        <v>399</v>
      </c>
      <c r="D33" s="80" t="s">
        <v>190</v>
      </c>
      <c r="E33" s="79" t="s">
        <v>166</v>
      </c>
      <c r="F33" s="87" t="str">
        <f>IF($E33="","",IFERROR(INDEX(基础资料!$O$4:$O$34,MATCH($E33,基础资料!$N$4:$N$34,0))&amp;"",""))</f>
        <v>*包</v>
      </c>
      <c r="G33" s="87" t="str">
        <f>IF($E33="","",IFERROR(INDEX(基础资料!$P$4:$P$34,MATCH($E33,基础资料!$N$4:$N$34,0))&amp;"",""))</f>
        <v>包</v>
      </c>
      <c r="H33" s="79" t="s">
        <v>183</v>
      </c>
      <c r="I33" s="88">
        <v>0</v>
      </c>
      <c r="J33" s="92">
        <v>48</v>
      </c>
      <c r="K33" s="93">
        <v>0</v>
      </c>
      <c r="L33" s="25">
        <f t="shared" si="1"/>
        <v>48</v>
      </c>
      <c r="M33" s="94">
        <v>45</v>
      </c>
      <c r="N33" s="26">
        <f t="shared" si="2"/>
        <v>2160</v>
      </c>
      <c r="O33" s="80" t="s">
        <v>430</v>
      </c>
      <c r="P33" s="80" t="s">
        <v>215</v>
      </c>
      <c r="Q33" s="80"/>
      <c r="R33" s="80"/>
    </row>
    <row r="34" ht="18" customHeight="1" spans="1:18">
      <c r="A34" s="87">
        <f t="shared" si="0"/>
        <v>31</v>
      </c>
      <c r="B34" s="78">
        <v>46276</v>
      </c>
      <c r="C34" s="80" t="s">
        <v>444</v>
      </c>
      <c r="D34" s="80" t="s">
        <v>254</v>
      </c>
      <c r="E34" s="79" t="s">
        <v>166</v>
      </c>
      <c r="F34" s="87" t="str">
        <f>IF($E34="","",IFERROR(INDEX(基础资料!$O$4:$O$34,MATCH($E34,基础资料!$N$4:$N$34,0))&amp;"",""))</f>
        <v>*包</v>
      </c>
      <c r="G34" s="87" t="str">
        <f>IF($E34="","",IFERROR(INDEX(基础资料!$P$4:$P$34,MATCH($E34,基础资料!$N$4:$N$34,0))&amp;"",""))</f>
        <v>包</v>
      </c>
      <c r="H34" s="79" t="s">
        <v>183</v>
      </c>
      <c r="I34" s="88">
        <v>0</v>
      </c>
      <c r="J34" s="92">
        <v>12</v>
      </c>
      <c r="K34" s="93">
        <v>0</v>
      </c>
      <c r="L34" s="25">
        <f t="shared" si="1"/>
        <v>12</v>
      </c>
      <c r="M34" s="94">
        <v>45</v>
      </c>
      <c r="N34" s="26">
        <f t="shared" si="2"/>
        <v>540</v>
      </c>
      <c r="O34" s="80" t="s">
        <v>321</v>
      </c>
      <c r="P34" s="80" t="s">
        <v>215</v>
      </c>
      <c r="Q34" s="80"/>
      <c r="R34" s="80"/>
    </row>
    <row r="35" ht="18" customHeight="1" spans="1:18">
      <c r="A35" s="87">
        <f t="shared" si="0"/>
        <v>32</v>
      </c>
      <c r="B35" s="78">
        <v>46277</v>
      </c>
      <c r="C35" s="80" t="s">
        <v>445</v>
      </c>
      <c r="D35" s="80" t="s">
        <v>182</v>
      </c>
      <c r="E35" s="79" t="s">
        <v>166</v>
      </c>
      <c r="F35" s="87" t="str">
        <f>IF($E35="","",IFERROR(INDEX(基础资料!$O$4:$O$34,MATCH($E35,基础资料!$N$4:$N$34,0))&amp;"",""))</f>
        <v>*包</v>
      </c>
      <c r="G35" s="87" t="str">
        <f>IF($E35="","",IFERROR(INDEX(基础资料!$P$4:$P$34,MATCH($E35,基础资料!$N$4:$N$34,0))&amp;"",""))</f>
        <v>包</v>
      </c>
      <c r="H35" s="79" t="s">
        <v>157</v>
      </c>
      <c r="I35" s="88">
        <v>120</v>
      </c>
      <c r="J35" s="92">
        <v>0</v>
      </c>
      <c r="K35" s="93">
        <v>0</v>
      </c>
      <c r="L35" s="25">
        <f t="shared" si="1"/>
        <v>120</v>
      </c>
      <c r="M35" s="94">
        <v>37</v>
      </c>
      <c r="N35" s="26">
        <f t="shared" si="2"/>
        <v>4440</v>
      </c>
      <c r="O35" s="80" t="s">
        <v>439</v>
      </c>
      <c r="P35" s="80" t="s">
        <v>215</v>
      </c>
      <c r="Q35" s="80"/>
      <c r="R35" s="80" t="s">
        <v>429</v>
      </c>
    </row>
    <row r="36" ht="18" customHeight="1" spans="1:18">
      <c r="A36" s="87">
        <f t="shared" si="0"/>
        <v>33</v>
      </c>
      <c r="B36" s="78">
        <v>46277</v>
      </c>
      <c r="C36" s="80" t="s">
        <v>407</v>
      </c>
      <c r="D36" s="80" t="s">
        <v>181</v>
      </c>
      <c r="E36" s="79" t="s">
        <v>166</v>
      </c>
      <c r="F36" s="87" t="str">
        <f>IF($E36="","",IFERROR(INDEX(基础资料!$O$4:$O$34,MATCH($E36,基础资料!$N$4:$N$34,0))&amp;"",""))</f>
        <v>*包</v>
      </c>
      <c r="G36" s="87" t="str">
        <f>IF($E36="","",IFERROR(INDEX(基础资料!$P$4:$P$34,MATCH($E36,基础资料!$N$4:$N$34,0))&amp;"",""))</f>
        <v>包</v>
      </c>
      <c r="H36" s="79" t="s">
        <v>183</v>
      </c>
      <c r="I36" s="88">
        <v>0</v>
      </c>
      <c r="J36" s="92">
        <v>48</v>
      </c>
      <c r="K36" s="93">
        <v>0</v>
      </c>
      <c r="L36" s="25">
        <f t="shared" si="1"/>
        <v>48</v>
      </c>
      <c r="M36" s="94">
        <v>45</v>
      </c>
      <c r="N36" s="26">
        <f t="shared" si="2"/>
        <v>2160</v>
      </c>
      <c r="O36" s="80" t="s">
        <v>430</v>
      </c>
      <c r="P36" s="80" t="s">
        <v>215</v>
      </c>
      <c r="Q36" s="80"/>
      <c r="R36" s="80"/>
    </row>
    <row r="37" ht="18" customHeight="1" spans="1:18">
      <c r="A37" s="87">
        <f t="shared" si="0"/>
        <v>34</v>
      </c>
      <c r="B37" s="78">
        <v>46278</v>
      </c>
      <c r="C37" s="80" t="s">
        <v>446</v>
      </c>
      <c r="D37" s="80" t="s">
        <v>228</v>
      </c>
      <c r="E37" s="79" t="s">
        <v>166</v>
      </c>
      <c r="F37" s="87" t="str">
        <f>IF($E37="","",IFERROR(INDEX(基础资料!$O$4:$O$34,MATCH($E37,基础资料!$N$4:$N$34,0))&amp;"",""))</f>
        <v>*包</v>
      </c>
      <c r="G37" s="87" t="str">
        <f>IF($E37="","",IFERROR(INDEX(基础资料!$P$4:$P$34,MATCH($E37,基础资料!$N$4:$N$34,0))&amp;"",""))</f>
        <v>包</v>
      </c>
      <c r="H37" s="79" t="s">
        <v>183</v>
      </c>
      <c r="I37" s="88">
        <v>0</v>
      </c>
      <c r="J37" s="92">
        <v>120</v>
      </c>
      <c r="K37" s="93">
        <v>0</v>
      </c>
      <c r="L37" s="25">
        <f t="shared" si="1"/>
        <v>120</v>
      </c>
      <c r="M37" s="94">
        <v>45</v>
      </c>
      <c r="N37" s="26">
        <f t="shared" si="2"/>
        <v>5400</v>
      </c>
      <c r="O37" s="80" t="s">
        <v>344</v>
      </c>
      <c r="P37" s="80" t="s">
        <v>215</v>
      </c>
      <c r="Q37" s="80"/>
      <c r="R37" s="80"/>
    </row>
    <row r="38" ht="18" customHeight="1" spans="1:18">
      <c r="A38" s="87">
        <f t="shared" si="0"/>
        <v>35</v>
      </c>
      <c r="B38" s="78">
        <v>46278</v>
      </c>
      <c r="C38" s="80" t="s">
        <v>447</v>
      </c>
      <c r="D38" s="80" t="s">
        <v>254</v>
      </c>
      <c r="E38" s="79" t="s">
        <v>166</v>
      </c>
      <c r="F38" s="87" t="str">
        <f>IF($E38="","",IFERROR(INDEX(基础资料!$O$4:$O$34,MATCH($E38,基础资料!$N$4:$N$34,0))&amp;"",""))</f>
        <v>*包</v>
      </c>
      <c r="G38" s="87" t="str">
        <f>IF($E38="","",IFERROR(INDEX(基础资料!$P$4:$P$34,MATCH($E38,基础资料!$N$4:$N$34,0))&amp;"",""))</f>
        <v>包</v>
      </c>
      <c r="H38" s="79" t="s">
        <v>183</v>
      </c>
      <c r="I38" s="88">
        <v>0</v>
      </c>
      <c r="J38" s="92">
        <v>24</v>
      </c>
      <c r="K38" s="93">
        <v>0</v>
      </c>
      <c r="L38" s="25">
        <f t="shared" si="1"/>
        <v>24</v>
      </c>
      <c r="M38" s="94">
        <v>45</v>
      </c>
      <c r="N38" s="26">
        <f t="shared" si="2"/>
        <v>1080</v>
      </c>
      <c r="O38" s="80" t="s">
        <v>321</v>
      </c>
      <c r="P38" s="80" t="s">
        <v>215</v>
      </c>
      <c r="Q38" s="80"/>
      <c r="R38" s="80"/>
    </row>
    <row r="39" ht="18" customHeight="1" spans="1:18">
      <c r="A39" s="87">
        <f t="shared" si="0"/>
        <v>36</v>
      </c>
      <c r="B39" s="78">
        <v>46278</v>
      </c>
      <c r="C39" s="80" t="s">
        <v>448</v>
      </c>
      <c r="D39" s="80" t="s">
        <v>252</v>
      </c>
      <c r="E39" s="79" t="s">
        <v>166</v>
      </c>
      <c r="F39" s="87" t="str">
        <f>IF($E39="","",IFERROR(INDEX(基础资料!$O$4:$O$34,MATCH($E39,基础资料!$N$4:$N$34,0))&amp;"",""))</f>
        <v>*包</v>
      </c>
      <c r="G39" s="87" t="str">
        <f>IF($E39="","",IFERROR(INDEX(基础资料!$P$4:$P$34,MATCH($E39,基础资料!$N$4:$N$34,0))&amp;"",""))</f>
        <v>包</v>
      </c>
      <c r="H39" s="79" t="s">
        <v>183</v>
      </c>
      <c r="I39" s="88">
        <v>0</v>
      </c>
      <c r="J39" s="92">
        <v>120</v>
      </c>
      <c r="K39" s="93">
        <v>0</v>
      </c>
      <c r="L39" s="25">
        <f t="shared" si="1"/>
        <v>120</v>
      </c>
      <c r="M39" s="94">
        <v>45</v>
      </c>
      <c r="N39" s="26">
        <f t="shared" si="2"/>
        <v>5400</v>
      </c>
      <c r="O39" s="80" t="s">
        <v>340</v>
      </c>
      <c r="P39" s="80" t="s">
        <v>215</v>
      </c>
      <c r="Q39" s="80"/>
      <c r="R39" s="80"/>
    </row>
    <row r="40" ht="18" customHeight="1" spans="1:18">
      <c r="A40" s="87">
        <f t="shared" si="0"/>
        <v>37</v>
      </c>
      <c r="B40" s="78">
        <v>46279</v>
      </c>
      <c r="C40" s="80" t="s">
        <v>449</v>
      </c>
      <c r="D40" s="80" t="s">
        <v>182</v>
      </c>
      <c r="E40" s="79" t="s">
        <v>166</v>
      </c>
      <c r="F40" s="87" t="str">
        <f>IF($E40="","",IFERROR(INDEX(基础资料!$O$4:$O$34,MATCH($E40,基础资料!$N$4:$N$34,0))&amp;"",""))</f>
        <v>*包</v>
      </c>
      <c r="G40" s="87" t="str">
        <f>IF($E40="","",IFERROR(INDEX(基础资料!$P$4:$P$34,MATCH($E40,基础资料!$N$4:$N$34,0))&amp;"",""))</f>
        <v>包</v>
      </c>
      <c r="H40" s="79" t="s">
        <v>157</v>
      </c>
      <c r="I40" s="88">
        <v>100</v>
      </c>
      <c r="J40" s="92">
        <v>0</v>
      </c>
      <c r="K40" s="93">
        <v>0</v>
      </c>
      <c r="L40" s="25">
        <f t="shared" si="1"/>
        <v>100</v>
      </c>
      <c r="M40" s="94">
        <v>37</v>
      </c>
      <c r="N40" s="26">
        <f t="shared" si="2"/>
        <v>3700</v>
      </c>
      <c r="O40" s="80" t="s">
        <v>450</v>
      </c>
      <c r="P40" s="80" t="s">
        <v>215</v>
      </c>
      <c r="Q40" s="80"/>
      <c r="R40" s="80" t="s">
        <v>429</v>
      </c>
    </row>
    <row r="41" ht="18" customHeight="1" spans="1:18">
      <c r="A41" s="87" t="str">
        <f t="shared" si="0"/>
        <v/>
      </c>
      <c r="B41" s="78"/>
      <c r="C41" s="80"/>
      <c r="D41" s="80"/>
      <c r="E41" s="79"/>
      <c r="F41" s="87" t="str">
        <f>IF($E41="","",IFERROR(INDEX(基础资料!$O$4:$O$34,MATCH($E41,基础资料!$N$4:$N$34,0))&amp;"",""))</f>
        <v/>
      </c>
      <c r="G41" s="87" t="str">
        <f>IF($E41="","",IFERROR(INDEX(基础资料!$P$4:$P$34,MATCH($E41,基础资料!$N$4:$N$34,0))&amp;"",""))</f>
        <v/>
      </c>
      <c r="H41" s="79"/>
      <c r="I41" s="88"/>
      <c r="J41" s="92"/>
      <c r="K41" s="93"/>
      <c r="L41" s="25" t="str">
        <f t="shared" si="1"/>
        <v/>
      </c>
      <c r="M41" s="94"/>
      <c r="N41" s="26" t="str">
        <f t="shared" si="2"/>
        <v/>
      </c>
      <c r="O41" s="80"/>
      <c r="P41" s="80"/>
      <c r="Q41" s="80"/>
      <c r="R41" s="80"/>
    </row>
    <row r="42" ht="18" customHeight="1" spans="1:18">
      <c r="A42" s="87" t="str">
        <f t="shared" si="0"/>
        <v/>
      </c>
      <c r="B42" s="78"/>
      <c r="C42" s="80"/>
      <c r="D42" s="80"/>
      <c r="E42" s="79"/>
      <c r="F42" s="87" t="str">
        <f>IF($E42="","",IFERROR(INDEX(基础资料!$O$4:$O$34,MATCH($E42,基础资料!$N$4:$N$34,0))&amp;"",""))</f>
        <v/>
      </c>
      <c r="G42" s="87" t="str">
        <f>IF($E42="","",IFERROR(INDEX(基础资料!$P$4:$P$34,MATCH($E42,基础资料!$N$4:$N$34,0))&amp;"",""))</f>
        <v/>
      </c>
      <c r="H42" s="79"/>
      <c r="I42" s="88"/>
      <c r="J42" s="92"/>
      <c r="K42" s="93"/>
      <c r="L42" s="25" t="str">
        <f t="shared" si="1"/>
        <v/>
      </c>
      <c r="M42" s="94"/>
      <c r="N42" s="26" t="str">
        <f t="shared" si="2"/>
        <v/>
      </c>
      <c r="O42" s="80"/>
      <c r="P42" s="80"/>
      <c r="Q42" s="80"/>
      <c r="R42" s="80"/>
    </row>
    <row r="43" ht="18" customHeight="1" spans="1:18">
      <c r="A43" s="87" t="str">
        <f t="shared" si="0"/>
        <v/>
      </c>
      <c r="B43" s="78"/>
      <c r="C43" s="80"/>
      <c r="D43" s="80"/>
      <c r="E43" s="79"/>
      <c r="F43" s="87" t="str">
        <f>IF($E43="","",IFERROR(INDEX(基础资料!$O$4:$O$34,MATCH($E43,基础资料!$N$4:$N$34,0))&amp;"",""))</f>
        <v/>
      </c>
      <c r="G43" s="87" t="str">
        <f>IF($E43="","",IFERROR(INDEX(基础资料!$P$4:$P$34,MATCH($E43,基础资料!$N$4:$N$34,0))&amp;"",""))</f>
        <v/>
      </c>
      <c r="H43" s="79"/>
      <c r="I43" s="88"/>
      <c r="J43" s="92"/>
      <c r="K43" s="93"/>
      <c r="L43" s="25" t="str">
        <f t="shared" si="1"/>
        <v/>
      </c>
      <c r="M43" s="94"/>
      <c r="N43" s="26" t="str">
        <f t="shared" si="2"/>
        <v/>
      </c>
      <c r="O43" s="80"/>
      <c r="P43" s="80"/>
      <c r="Q43" s="80"/>
      <c r="R43" s="80"/>
    </row>
    <row r="44" ht="18" customHeight="1" spans="1:18">
      <c r="A44" s="87" t="str">
        <f t="shared" si="0"/>
        <v/>
      </c>
      <c r="B44" s="78"/>
      <c r="C44" s="80"/>
      <c r="D44" s="80"/>
      <c r="E44" s="79"/>
      <c r="F44" s="87" t="str">
        <f>IF($E44="","",IFERROR(INDEX(基础资料!$O$4:$O$34,MATCH($E44,基础资料!$N$4:$N$34,0))&amp;"",""))</f>
        <v/>
      </c>
      <c r="G44" s="87" t="str">
        <f>IF($E44="","",IFERROR(INDEX(基础资料!$P$4:$P$34,MATCH($E44,基础资料!$N$4:$N$34,0))&amp;"",""))</f>
        <v/>
      </c>
      <c r="H44" s="79"/>
      <c r="I44" s="88"/>
      <c r="J44" s="92"/>
      <c r="K44" s="93"/>
      <c r="L44" s="25" t="str">
        <f t="shared" si="1"/>
        <v/>
      </c>
      <c r="M44" s="94"/>
      <c r="N44" s="26" t="str">
        <f t="shared" si="2"/>
        <v/>
      </c>
      <c r="O44" s="80"/>
      <c r="P44" s="80"/>
      <c r="Q44" s="80"/>
      <c r="R44" s="80"/>
    </row>
    <row r="45" ht="18" customHeight="1" spans="1:18">
      <c r="A45" s="87" t="str">
        <f t="shared" si="0"/>
        <v/>
      </c>
      <c r="B45" s="78"/>
      <c r="C45" s="80"/>
      <c r="D45" s="80"/>
      <c r="E45" s="79"/>
      <c r="F45" s="87" t="str">
        <f>IF($E45="","",IFERROR(INDEX(基础资料!$O$4:$O$34,MATCH($E45,基础资料!$N$4:$N$34,0))&amp;"",""))</f>
        <v/>
      </c>
      <c r="G45" s="87" t="str">
        <f>IF($E45="","",IFERROR(INDEX(基础资料!$P$4:$P$34,MATCH($E45,基础资料!$N$4:$N$34,0))&amp;"",""))</f>
        <v/>
      </c>
      <c r="H45" s="79"/>
      <c r="I45" s="88"/>
      <c r="J45" s="92"/>
      <c r="K45" s="93"/>
      <c r="L45" s="25" t="str">
        <f t="shared" si="1"/>
        <v/>
      </c>
      <c r="M45" s="94"/>
      <c r="N45" s="26" t="str">
        <f t="shared" si="2"/>
        <v/>
      </c>
      <c r="O45" s="80"/>
      <c r="P45" s="80"/>
      <c r="Q45" s="80"/>
      <c r="R45" s="80"/>
    </row>
    <row r="46" ht="18" customHeight="1" spans="1:18">
      <c r="A46" s="87" t="str">
        <f t="shared" si="0"/>
        <v/>
      </c>
      <c r="B46" s="78"/>
      <c r="C46" s="80"/>
      <c r="D46" s="80"/>
      <c r="E46" s="79"/>
      <c r="F46" s="87" t="str">
        <f>IF($E46="","",IFERROR(INDEX(基础资料!$O$4:$O$34,MATCH($E46,基础资料!$N$4:$N$34,0))&amp;"",""))</f>
        <v/>
      </c>
      <c r="G46" s="87" t="str">
        <f>IF($E46="","",IFERROR(INDEX(基础资料!$P$4:$P$34,MATCH($E46,基础资料!$N$4:$N$34,0))&amp;"",""))</f>
        <v/>
      </c>
      <c r="H46" s="79"/>
      <c r="I46" s="88"/>
      <c r="J46" s="92"/>
      <c r="K46" s="93"/>
      <c r="L46" s="25" t="str">
        <f t="shared" si="1"/>
        <v/>
      </c>
      <c r="M46" s="94"/>
      <c r="N46" s="26" t="str">
        <f t="shared" si="2"/>
        <v/>
      </c>
      <c r="O46" s="80"/>
      <c r="P46" s="80"/>
      <c r="Q46" s="80"/>
      <c r="R46" s="80"/>
    </row>
    <row r="47" ht="18" customHeight="1" spans="1:18">
      <c r="A47" s="87" t="str">
        <f t="shared" si="0"/>
        <v/>
      </c>
      <c r="B47" s="78"/>
      <c r="C47" s="80"/>
      <c r="D47" s="80"/>
      <c r="E47" s="79"/>
      <c r="F47" s="87" t="str">
        <f>IF($E47="","",IFERROR(INDEX(基础资料!$O$4:$O$34,MATCH($E47,基础资料!$N$4:$N$34,0))&amp;"",""))</f>
        <v/>
      </c>
      <c r="G47" s="87" t="str">
        <f>IF($E47="","",IFERROR(INDEX(基础资料!$P$4:$P$34,MATCH($E47,基础资料!$N$4:$N$34,0))&amp;"",""))</f>
        <v/>
      </c>
      <c r="H47" s="79"/>
      <c r="I47" s="88"/>
      <c r="J47" s="92"/>
      <c r="K47" s="93"/>
      <c r="L47" s="25" t="str">
        <f t="shared" si="1"/>
        <v/>
      </c>
      <c r="M47" s="94"/>
      <c r="N47" s="26" t="str">
        <f t="shared" si="2"/>
        <v/>
      </c>
      <c r="O47" s="80"/>
      <c r="P47" s="80"/>
      <c r="Q47" s="80"/>
      <c r="R47" s="80"/>
    </row>
    <row r="48" ht="18" customHeight="1" spans="1:18">
      <c r="A48" s="87" t="str">
        <f t="shared" si="0"/>
        <v/>
      </c>
      <c r="B48" s="78"/>
      <c r="C48" s="80"/>
      <c r="D48" s="80"/>
      <c r="E48" s="79"/>
      <c r="F48" s="87" t="str">
        <f>IF($E48="","",IFERROR(INDEX(基础资料!$O$4:$O$34,MATCH($E48,基础资料!$N$4:$N$34,0))&amp;"",""))</f>
        <v/>
      </c>
      <c r="G48" s="87" t="str">
        <f>IF($E48="","",IFERROR(INDEX(基础资料!$P$4:$P$34,MATCH($E48,基础资料!$N$4:$N$34,0))&amp;"",""))</f>
        <v/>
      </c>
      <c r="H48" s="79"/>
      <c r="I48" s="88"/>
      <c r="J48" s="92"/>
      <c r="K48" s="93"/>
      <c r="L48" s="25" t="str">
        <f t="shared" si="1"/>
        <v/>
      </c>
      <c r="M48" s="94"/>
      <c r="N48" s="26" t="str">
        <f t="shared" si="2"/>
        <v/>
      </c>
      <c r="O48" s="80"/>
      <c r="P48" s="80"/>
      <c r="Q48" s="80"/>
      <c r="R48" s="80"/>
    </row>
    <row r="49" ht="18" customHeight="1" spans="1:18">
      <c r="A49" s="87" t="str">
        <f t="shared" si="0"/>
        <v/>
      </c>
      <c r="B49" s="78"/>
      <c r="C49" s="80"/>
      <c r="D49" s="80"/>
      <c r="E49" s="79"/>
      <c r="F49" s="87" t="str">
        <f>IF($E49="","",IFERROR(INDEX(基础资料!$O$4:$O$34,MATCH($E49,基础资料!$N$4:$N$34,0))&amp;"",""))</f>
        <v/>
      </c>
      <c r="G49" s="87" t="str">
        <f>IF($E49="","",IFERROR(INDEX(基础资料!$P$4:$P$34,MATCH($E49,基础资料!$N$4:$N$34,0))&amp;"",""))</f>
        <v/>
      </c>
      <c r="H49" s="79"/>
      <c r="I49" s="88"/>
      <c r="J49" s="92"/>
      <c r="K49" s="93"/>
      <c r="L49" s="25" t="str">
        <f t="shared" si="1"/>
        <v/>
      </c>
      <c r="M49" s="94"/>
      <c r="N49" s="26" t="str">
        <f t="shared" si="2"/>
        <v/>
      </c>
      <c r="O49" s="80"/>
      <c r="P49" s="80"/>
      <c r="Q49" s="80"/>
      <c r="R49" s="80"/>
    </row>
    <row r="50" ht="18" customHeight="1" spans="1:18">
      <c r="A50" s="87" t="str">
        <f t="shared" si="0"/>
        <v/>
      </c>
      <c r="B50" s="78"/>
      <c r="C50" s="80"/>
      <c r="D50" s="80"/>
      <c r="E50" s="79"/>
      <c r="F50" s="87" t="str">
        <f>IF($E50="","",IFERROR(INDEX(基础资料!$O$4:$O$34,MATCH($E50,基础资料!$N$4:$N$34,0))&amp;"",""))</f>
        <v/>
      </c>
      <c r="G50" s="87" t="str">
        <f>IF($E50="","",IFERROR(INDEX(基础资料!$P$4:$P$34,MATCH($E50,基础资料!$N$4:$N$34,0))&amp;"",""))</f>
        <v/>
      </c>
      <c r="H50" s="79"/>
      <c r="I50" s="88"/>
      <c r="J50" s="92"/>
      <c r="K50" s="93"/>
      <c r="L50" s="25" t="str">
        <f t="shared" si="1"/>
        <v/>
      </c>
      <c r="M50" s="94"/>
      <c r="N50" s="26" t="str">
        <f t="shared" si="2"/>
        <v/>
      </c>
      <c r="O50" s="80"/>
      <c r="P50" s="80"/>
      <c r="Q50" s="80"/>
      <c r="R50" s="80"/>
    </row>
    <row r="51" ht="18" customHeight="1" spans="1:18">
      <c r="A51" s="87" t="str">
        <f t="shared" si="0"/>
        <v/>
      </c>
      <c r="B51" s="78"/>
      <c r="C51" s="80"/>
      <c r="D51" s="80"/>
      <c r="E51" s="79"/>
      <c r="F51" s="87" t="str">
        <f>IF($E51="","",IFERROR(INDEX(基础资料!$O$4:$O$34,MATCH($E51,基础资料!$N$4:$N$34,0))&amp;"",""))</f>
        <v/>
      </c>
      <c r="G51" s="87" t="str">
        <f>IF($E51="","",IFERROR(INDEX(基础资料!$P$4:$P$34,MATCH($E51,基础资料!$N$4:$N$34,0))&amp;"",""))</f>
        <v/>
      </c>
      <c r="H51" s="79"/>
      <c r="I51" s="88"/>
      <c r="J51" s="92"/>
      <c r="K51" s="93"/>
      <c r="L51" s="25" t="str">
        <f t="shared" si="1"/>
        <v/>
      </c>
      <c r="M51" s="94"/>
      <c r="N51" s="26" t="str">
        <f t="shared" si="2"/>
        <v/>
      </c>
      <c r="O51" s="80"/>
      <c r="P51" s="80"/>
      <c r="Q51" s="80"/>
      <c r="R51" s="80"/>
    </row>
    <row r="52" ht="18" customHeight="1" spans="1:18">
      <c r="A52" s="87" t="str">
        <f t="shared" si="0"/>
        <v/>
      </c>
      <c r="B52" s="78"/>
      <c r="C52" s="80"/>
      <c r="D52" s="80"/>
      <c r="E52" s="79"/>
      <c r="F52" s="87" t="str">
        <f>IF($E52="","",IFERROR(INDEX(基础资料!$O$4:$O$34,MATCH($E52,基础资料!$N$4:$N$34,0))&amp;"",""))</f>
        <v/>
      </c>
      <c r="G52" s="87" t="str">
        <f>IF($E52="","",IFERROR(INDEX(基础资料!$P$4:$P$34,MATCH($E52,基础资料!$N$4:$N$34,0))&amp;"",""))</f>
        <v/>
      </c>
      <c r="H52" s="79"/>
      <c r="I52" s="88"/>
      <c r="J52" s="92"/>
      <c r="K52" s="93"/>
      <c r="L52" s="25" t="str">
        <f t="shared" si="1"/>
        <v/>
      </c>
      <c r="M52" s="94"/>
      <c r="N52" s="26" t="str">
        <f t="shared" si="2"/>
        <v/>
      </c>
      <c r="O52" s="80"/>
      <c r="P52" s="80"/>
      <c r="Q52" s="80"/>
      <c r="R52" s="80"/>
    </row>
    <row r="53" ht="18" customHeight="1" spans="1:18">
      <c r="A53" s="87" t="str">
        <f t="shared" si="0"/>
        <v/>
      </c>
      <c r="B53" s="78"/>
      <c r="C53" s="80"/>
      <c r="D53" s="80"/>
      <c r="E53" s="79"/>
      <c r="F53" s="87" t="str">
        <f>IF($E53="","",IFERROR(INDEX(基础资料!$O$4:$O$34,MATCH($E53,基础资料!$N$4:$N$34,0))&amp;"",""))</f>
        <v/>
      </c>
      <c r="G53" s="87" t="str">
        <f>IF($E53="","",IFERROR(INDEX(基础资料!$P$4:$P$34,MATCH($E53,基础资料!$N$4:$N$34,0))&amp;"",""))</f>
        <v/>
      </c>
      <c r="H53" s="79"/>
      <c r="I53" s="88"/>
      <c r="J53" s="92"/>
      <c r="K53" s="93"/>
      <c r="L53" s="25" t="str">
        <f t="shared" si="1"/>
        <v/>
      </c>
      <c r="M53" s="94"/>
      <c r="N53" s="26" t="str">
        <f t="shared" si="2"/>
        <v/>
      </c>
      <c r="O53" s="80"/>
      <c r="P53" s="80"/>
      <c r="Q53" s="80"/>
      <c r="R53" s="80"/>
    </row>
    <row r="54" ht="18" customHeight="1" spans="1:18">
      <c r="A54" s="87" t="str">
        <f t="shared" si="0"/>
        <v/>
      </c>
      <c r="B54" s="78"/>
      <c r="C54" s="80"/>
      <c r="D54" s="80"/>
      <c r="E54" s="79"/>
      <c r="F54" s="87" t="str">
        <f>IF($E54="","",IFERROR(INDEX(基础资料!$O$4:$O$34,MATCH($E54,基础资料!$N$4:$N$34,0))&amp;"",""))</f>
        <v/>
      </c>
      <c r="G54" s="87" t="str">
        <f>IF($E54="","",IFERROR(INDEX(基础资料!$P$4:$P$34,MATCH($E54,基础资料!$N$4:$N$34,0))&amp;"",""))</f>
        <v/>
      </c>
      <c r="H54" s="79"/>
      <c r="I54" s="88"/>
      <c r="J54" s="92"/>
      <c r="K54" s="93"/>
      <c r="L54" s="25" t="str">
        <f t="shared" si="1"/>
        <v/>
      </c>
      <c r="M54" s="94"/>
      <c r="N54" s="26" t="str">
        <f t="shared" si="2"/>
        <v/>
      </c>
      <c r="O54" s="80"/>
      <c r="P54" s="80"/>
      <c r="Q54" s="80"/>
      <c r="R54" s="80"/>
    </row>
    <row r="55" ht="18" customHeight="1" spans="1:18">
      <c r="A55" s="87" t="str">
        <f t="shared" si="0"/>
        <v/>
      </c>
      <c r="B55" s="78"/>
      <c r="C55" s="80"/>
      <c r="D55" s="80"/>
      <c r="E55" s="79"/>
      <c r="F55" s="87" t="str">
        <f>IF($E55="","",IFERROR(INDEX(基础资料!$O$4:$O$34,MATCH($E55,基础资料!$N$4:$N$34,0))&amp;"",""))</f>
        <v/>
      </c>
      <c r="G55" s="87" t="str">
        <f>IF($E55="","",IFERROR(INDEX(基础资料!$P$4:$P$34,MATCH($E55,基础资料!$N$4:$N$34,0))&amp;"",""))</f>
        <v/>
      </c>
      <c r="H55" s="79"/>
      <c r="I55" s="88"/>
      <c r="J55" s="92"/>
      <c r="K55" s="93"/>
      <c r="L55" s="25" t="str">
        <f t="shared" si="1"/>
        <v/>
      </c>
      <c r="M55" s="94"/>
      <c r="N55" s="26" t="str">
        <f t="shared" si="2"/>
        <v/>
      </c>
      <c r="O55" s="80"/>
      <c r="P55" s="80"/>
      <c r="Q55" s="80"/>
      <c r="R55" s="80"/>
    </row>
    <row r="56" ht="18" customHeight="1" spans="1:18">
      <c r="A56" s="87" t="str">
        <f t="shared" si="0"/>
        <v/>
      </c>
      <c r="B56" s="78"/>
      <c r="C56" s="80"/>
      <c r="D56" s="80"/>
      <c r="E56" s="79"/>
      <c r="F56" s="87" t="str">
        <f>IF($E56="","",IFERROR(INDEX(基础资料!$O$4:$O$34,MATCH($E56,基础资料!$N$4:$N$34,0))&amp;"",""))</f>
        <v/>
      </c>
      <c r="G56" s="87" t="str">
        <f>IF($E56="","",IFERROR(INDEX(基础资料!$P$4:$P$34,MATCH($E56,基础资料!$N$4:$N$34,0))&amp;"",""))</f>
        <v/>
      </c>
      <c r="H56" s="79"/>
      <c r="I56" s="88"/>
      <c r="J56" s="92"/>
      <c r="K56" s="93"/>
      <c r="L56" s="25" t="str">
        <f t="shared" si="1"/>
        <v/>
      </c>
      <c r="M56" s="94"/>
      <c r="N56" s="26" t="str">
        <f t="shared" si="2"/>
        <v/>
      </c>
      <c r="O56" s="80"/>
      <c r="P56" s="80"/>
      <c r="Q56" s="80"/>
      <c r="R56" s="80"/>
    </row>
    <row r="57" ht="18" customHeight="1" spans="1:18">
      <c r="A57" s="87" t="str">
        <f t="shared" si="0"/>
        <v/>
      </c>
      <c r="B57" s="78"/>
      <c r="C57" s="80"/>
      <c r="D57" s="80"/>
      <c r="E57" s="79"/>
      <c r="F57" s="87" t="str">
        <f>IF($E57="","",IFERROR(INDEX(基础资料!$O$4:$O$34,MATCH($E57,基础资料!$N$4:$N$34,0))&amp;"",""))</f>
        <v/>
      </c>
      <c r="G57" s="87" t="str">
        <f>IF($E57="","",IFERROR(INDEX(基础资料!$P$4:$P$34,MATCH($E57,基础资料!$N$4:$N$34,0))&amp;"",""))</f>
        <v/>
      </c>
      <c r="H57" s="79"/>
      <c r="I57" s="88"/>
      <c r="J57" s="92"/>
      <c r="K57" s="93"/>
      <c r="L57" s="25" t="str">
        <f t="shared" si="1"/>
        <v/>
      </c>
      <c r="M57" s="94"/>
      <c r="N57" s="26" t="str">
        <f t="shared" si="2"/>
        <v/>
      </c>
      <c r="O57" s="80"/>
      <c r="P57" s="80"/>
      <c r="Q57" s="80"/>
      <c r="R57" s="80"/>
    </row>
    <row r="58" ht="18" customHeight="1" spans="1:18">
      <c r="A58" s="87" t="str">
        <f t="shared" si="0"/>
        <v/>
      </c>
      <c r="B58" s="78"/>
      <c r="C58" s="80"/>
      <c r="D58" s="80"/>
      <c r="E58" s="79"/>
      <c r="F58" s="87" t="str">
        <f>IF($E58="","",IFERROR(INDEX(基础资料!$O$4:$O$34,MATCH($E58,基础资料!$N$4:$N$34,0))&amp;"",""))</f>
        <v/>
      </c>
      <c r="G58" s="87" t="str">
        <f>IF($E58="","",IFERROR(INDEX(基础资料!$P$4:$P$34,MATCH($E58,基础资料!$N$4:$N$34,0))&amp;"",""))</f>
        <v/>
      </c>
      <c r="H58" s="79"/>
      <c r="I58" s="88"/>
      <c r="J58" s="92"/>
      <c r="K58" s="93"/>
      <c r="L58" s="25" t="str">
        <f t="shared" si="1"/>
        <v/>
      </c>
      <c r="M58" s="94"/>
      <c r="N58" s="26" t="str">
        <f t="shared" si="2"/>
        <v/>
      </c>
      <c r="O58" s="80"/>
      <c r="P58" s="80"/>
      <c r="Q58" s="80"/>
      <c r="R58" s="80"/>
    </row>
    <row r="59" ht="18" customHeight="1" spans="1:18">
      <c r="A59" s="87" t="str">
        <f t="shared" si="0"/>
        <v/>
      </c>
      <c r="B59" s="78"/>
      <c r="C59" s="80"/>
      <c r="D59" s="80"/>
      <c r="E59" s="79"/>
      <c r="F59" s="87" t="str">
        <f>IF($E59="","",IFERROR(INDEX(基础资料!$O$4:$O$34,MATCH($E59,基础资料!$N$4:$N$34,0))&amp;"",""))</f>
        <v/>
      </c>
      <c r="G59" s="87" t="str">
        <f>IF($E59="","",IFERROR(INDEX(基础资料!$P$4:$P$34,MATCH($E59,基础资料!$N$4:$N$34,0))&amp;"",""))</f>
        <v/>
      </c>
      <c r="H59" s="79"/>
      <c r="I59" s="88"/>
      <c r="J59" s="92"/>
      <c r="K59" s="93"/>
      <c r="L59" s="25" t="str">
        <f t="shared" si="1"/>
        <v/>
      </c>
      <c r="M59" s="94"/>
      <c r="N59" s="26" t="str">
        <f t="shared" si="2"/>
        <v/>
      </c>
      <c r="O59" s="80"/>
      <c r="P59" s="80"/>
      <c r="Q59" s="80"/>
      <c r="R59" s="80"/>
    </row>
    <row r="60" ht="18" customHeight="1" spans="1:18">
      <c r="A60" s="87" t="str">
        <f t="shared" si="0"/>
        <v/>
      </c>
      <c r="B60" s="78"/>
      <c r="C60" s="80"/>
      <c r="D60" s="80"/>
      <c r="E60" s="79"/>
      <c r="F60" s="87" t="str">
        <f>IF($E60="","",IFERROR(INDEX(基础资料!$O$4:$O$34,MATCH($E60,基础资料!$N$4:$N$34,0))&amp;"",""))</f>
        <v/>
      </c>
      <c r="G60" s="87" t="str">
        <f>IF($E60="","",IFERROR(INDEX(基础资料!$P$4:$P$34,MATCH($E60,基础资料!$N$4:$N$34,0))&amp;"",""))</f>
        <v/>
      </c>
      <c r="H60" s="79"/>
      <c r="I60" s="88"/>
      <c r="J60" s="92"/>
      <c r="K60" s="93"/>
      <c r="L60" s="25" t="str">
        <f t="shared" si="1"/>
        <v/>
      </c>
      <c r="M60" s="94"/>
      <c r="N60" s="26" t="str">
        <f t="shared" si="2"/>
        <v/>
      </c>
      <c r="O60" s="80"/>
      <c r="P60" s="80"/>
      <c r="Q60" s="80"/>
      <c r="R60" s="80"/>
    </row>
    <row r="61" ht="18" customHeight="1" spans="1:18">
      <c r="A61" s="87" t="str">
        <f t="shared" si="0"/>
        <v/>
      </c>
      <c r="B61" s="78"/>
      <c r="C61" s="80"/>
      <c r="D61" s="80"/>
      <c r="E61" s="79"/>
      <c r="F61" s="87" t="str">
        <f>IF($E61="","",IFERROR(INDEX(基础资料!$O$4:$O$34,MATCH($E61,基础资料!$N$4:$N$34,0))&amp;"",""))</f>
        <v/>
      </c>
      <c r="G61" s="87" t="str">
        <f>IF($E61="","",IFERROR(INDEX(基础资料!$P$4:$P$34,MATCH($E61,基础资料!$N$4:$N$34,0))&amp;"",""))</f>
        <v/>
      </c>
      <c r="H61" s="79"/>
      <c r="I61" s="88"/>
      <c r="J61" s="92"/>
      <c r="K61" s="93"/>
      <c r="L61" s="25" t="str">
        <f t="shared" si="1"/>
        <v/>
      </c>
      <c r="M61" s="94"/>
      <c r="N61" s="26" t="str">
        <f t="shared" si="2"/>
        <v/>
      </c>
      <c r="O61" s="80"/>
      <c r="P61" s="80"/>
      <c r="Q61" s="80"/>
      <c r="R61" s="80"/>
    </row>
    <row r="62" ht="18" customHeight="1" spans="1:18">
      <c r="A62" s="87" t="str">
        <f t="shared" si="0"/>
        <v/>
      </c>
      <c r="B62" s="78"/>
      <c r="C62" s="80"/>
      <c r="D62" s="80"/>
      <c r="E62" s="79"/>
      <c r="F62" s="87" t="str">
        <f>IF($E62="","",IFERROR(INDEX(基础资料!$O$4:$O$34,MATCH($E62,基础资料!$N$4:$N$34,0))&amp;"",""))</f>
        <v/>
      </c>
      <c r="G62" s="87" t="str">
        <f>IF($E62="","",IFERROR(INDEX(基础资料!$P$4:$P$34,MATCH($E62,基础资料!$N$4:$N$34,0))&amp;"",""))</f>
        <v/>
      </c>
      <c r="H62" s="79"/>
      <c r="I62" s="88"/>
      <c r="J62" s="92"/>
      <c r="K62" s="93"/>
      <c r="L62" s="25" t="str">
        <f t="shared" si="1"/>
        <v/>
      </c>
      <c r="M62" s="94"/>
      <c r="N62" s="26" t="str">
        <f t="shared" si="2"/>
        <v/>
      </c>
      <c r="O62" s="80"/>
      <c r="P62" s="80"/>
      <c r="Q62" s="80"/>
      <c r="R62" s="80"/>
    </row>
    <row r="63" ht="18" customHeight="1" spans="1:18">
      <c r="A63" s="87" t="str">
        <f t="shared" si="0"/>
        <v/>
      </c>
      <c r="B63" s="78"/>
      <c r="C63" s="80"/>
      <c r="D63" s="80"/>
      <c r="E63" s="79"/>
      <c r="F63" s="87" t="str">
        <f>IF($E63="","",IFERROR(INDEX(基础资料!$O$4:$O$34,MATCH($E63,基础资料!$N$4:$N$34,0))&amp;"",""))</f>
        <v/>
      </c>
      <c r="G63" s="87" t="str">
        <f>IF($E63="","",IFERROR(INDEX(基础资料!$P$4:$P$34,MATCH($E63,基础资料!$N$4:$N$34,0))&amp;"",""))</f>
        <v/>
      </c>
      <c r="H63" s="79"/>
      <c r="I63" s="88"/>
      <c r="J63" s="92"/>
      <c r="K63" s="93"/>
      <c r="L63" s="25" t="str">
        <f t="shared" si="1"/>
        <v/>
      </c>
      <c r="M63" s="94"/>
      <c r="N63" s="26" t="str">
        <f t="shared" si="2"/>
        <v/>
      </c>
      <c r="O63" s="80"/>
      <c r="P63" s="80"/>
      <c r="Q63" s="80"/>
      <c r="R63" s="80"/>
    </row>
    <row r="64" ht="18" customHeight="1" spans="1:18">
      <c r="A64" s="87" t="str">
        <f t="shared" si="0"/>
        <v/>
      </c>
      <c r="B64" s="78"/>
      <c r="C64" s="80"/>
      <c r="D64" s="80"/>
      <c r="E64" s="79"/>
      <c r="F64" s="87" t="str">
        <f>IF($E64="","",IFERROR(INDEX(基础资料!$O$4:$O$34,MATCH($E64,基础资料!$N$4:$N$34,0))&amp;"",""))</f>
        <v/>
      </c>
      <c r="G64" s="87" t="str">
        <f>IF($E64="","",IFERROR(INDEX(基础资料!$P$4:$P$34,MATCH($E64,基础资料!$N$4:$N$34,0))&amp;"",""))</f>
        <v/>
      </c>
      <c r="H64" s="79"/>
      <c r="I64" s="88"/>
      <c r="J64" s="92"/>
      <c r="K64" s="93"/>
      <c r="L64" s="25" t="str">
        <f t="shared" si="1"/>
        <v/>
      </c>
      <c r="M64" s="94"/>
      <c r="N64" s="26" t="str">
        <f t="shared" si="2"/>
        <v/>
      </c>
      <c r="O64" s="80"/>
      <c r="P64" s="80"/>
      <c r="Q64" s="80"/>
      <c r="R64" s="80"/>
    </row>
    <row r="65" ht="18" customHeight="1" spans="1:18">
      <c r="A65" s="87" t="str">
        <f t="shared" si="0"/>
        <v/>
      </c>
      <c r="B65" s="78"/>
      <c r="C65" s="80"/>
      <c r="D65" s="80"/>
      <c r="E65" s="79"/>
      <c r="F65" s="87" t="str">
        <f>IF($E65="","",IFERROR(INDEX(基础资料!$O$4:$O$34,MATCH($E65,基础资料!$N$4:$N$34,0))&amp;"",""))</f>
        <v/>
      </c>
      <c r="G65" s="87" t="str">
        <f>IF($E65="","",IFERROR(INDEX(基础资料!$P$4:$P$34,MATCH($E65,基础资料!$N$4:$N$34,0))&amp;"",""))</f>
        <v/>
      </c>
      <c r="H65" s="79"/>
      <c r="I65" s="88"/>
      <c r="J65" s="92"/>
      <c r="K65" s="93"/>
      <c r="L65" s="25" t="str">
        <f t="shared" si="1"/>
        <v/>
      </c>
      <c r="M65" s="94"/>
      <c r="N65" s="26" t="str">
        <f t="shared" si="2"/>
        <v/>
      </c>
      <c r="O65" s="80"/>
      <c r="P65" s="80"/>
      <c r="Q65" s="80"/>
      <c r="R65" s="80"/>
    </row>
    <row r="66" ht="18" customHeight="1" spans="1:18">
      <c r="A66" s="87" t="str">
        <f t="shared" si="0"/>
        <v/>
      </c>
      <c r="B66" s="78"/>
      <c r="C66" s="80"/>
      <c r="D66" s="80"/>
      <c r="E66" s="79"/>
      <c r="F66" s="87" t="str">
        <f>IF($E66="","",IFERROR(INDEX(基础资料!$O$4:$O$34,MATCH($E66,基础资料!$N$4:$N$34,0))&amp;"",""))</f>
        <v/>
      </c>
      <c r="G66" s="87" t="str">
        <f>IF($E66="","",IFERROR(INDEX(基础资料!$P$4:$P$34,MATCH($E66,基础资料!$N$4:$N$34,0))&amp;"",""))</f>
        <v/>
      </c>
      <c r="H66" s="79"/>
      <c r="I66" s="88"/>
      <c r="J66" s="92"/>
      <c r="K66" s="93"/>
      <c r="L66" s="25" t="str">
        <f t="shared" si="1"/>
        <v/>
      </c>
      <c r="M66" s="94"/>
      <c r="N66" s="26" t="str">
        <f t="shared" si="2"/>
        <v/>
      </c>
      <c r="O66" s="80"/>
      <c r="P66" s="80"/>
      <c r="Q66" s="80"/>
      <c r="R66" s="80"/>
    </row>
    <row r="67" ht="18" customHeight="1" spans="1:18">
      <c r="A67" s="87" t="str">
        <f t="shared" si="0"/>
        <v/>
      </c>
      <c r="B67" s="78"/>
      <c r="C67" s="80"/>
      <c r="D67" s="80"/>
      <c r="E67" s="79"/>
      <c r="F67" s="87" t="str">
        <f>IF($E67="","",IFERROR(INDEX(基础资料!$O$4:$O$34,MATCH($E67,基础资料!$N$4:$N$34,0))&amp;"",""))</f>
        <v/>
      </c>
      <c r="G67" s="87" t="str">
        <f>IF($E67="","",IFERROR(INDEX(基础资料!$P$4:$P$34,MATCH($E67,基础资料!$N$4:$N$34,0))&amp;"",""))</f>
        <v/>
      </c>
      <c r="H67" s="79"/>
      <c r="I67" s="88"/>
      <c r="J67" s="92"/>
      <c r="K67" s="93"/>
      <c r="L67" s="25" t="str">
        <f t="shared" si="1"/>
        <v/>
      </c>
      <c r="M67" s="94"/>
      <c r="N67" s="26" t="str">
        <f t="shared" si="2"/>
        <v/>
      </c>
      <c r="O67" s="80"/>
      <c r="P67" s="80"/>
      <c r="Q67" s="80"/>
      <c r="R67" s="80"/>
    </row>
    <row r="68" ht="18" customHeight="1" spans="1:18">
      <c r="A68" s="87" t="str">
        <f t="shared" ref="A68:A131" si="3">IF($E68="","",ROW()-3)</f>
        <v/>
      </c>
      <c r="B68" s="78"/>
      <c r="C68" s="80"/>
      <c r="D68" s="80"/>
      <c r="E68" s="79"/>
      <c r="F68" s="87" t="str">
        <f>IF($E68="","",IFERROR(INDEX(基础资料!$O$4:$O$34,MATCH($E68,基础资料!$N$4:$N$34,0))&amp;"",""))</f>
        <v/>
      </c>
      <c r="G68" s="87" t="str">
        <f>IF($E68="","",IFERROR(INDEX(基础资料!$P$4:$P$34,MATCH($E68,基础资料!$N$4:$N$34,0))&amp;"",""))</f>
        <v/>
      </c>
      <c r="H68" s="79"/>
      <c r="I68" s="88"/>
      <c r="J68" s="92"/>
      <c r="K68" s="93"/>
      <c r="L68" s="25" t="str">
        <f t="shared" ref="L68:L131" si="4">IF($E68="","",N($I68)+N($J68)-N($K68))</f>
        <v/>
      </c>
      <c r="M68" s="94"/>
      <c r="N68" s="26" t="str">
        <f t="shared" ref="N68:N131" si="5">IF($E68="","",ROUND(N($L68)*N($M68),2))</f>
        <v/>
      </c>
      <c r="O68" s="80"/>
      <c r="P68" s="80"/>
      <c r="Q68" s="80"/>
      <c r="R68" s="80"/>
    </row>
    <row r="69" ht="18" customHeight="1" spans="1:18">
      <c r="A69" s="87" t="str">
        <f t="shared" si="3"/>
        <v/>
      </c>
      <c r="B69" s="78"/>
      <c r="C69" s="80"/>
      <c r="D69" s="80"/>
      <c r="E69" s="79"/>
      <c r="F69" s="87" t="str">
        <f>IF($E69="","",IFERROR(INDEX(基础资料!$O$4:$O$34,MATCH($E69,基础资料!$N$4:$N$34,0))&amp;"",""))</f>
        <v/>
      </c>
      <c r="G69" s="87" t="str">
        <f>IF($E69="","",IFERROR(INDEX(基础资料!$P$4:$P$34,MATCH($E69,基础资料!$N$4:$N$34,0))&amp;"",""))</f>
        <v/>
      </c>
      <c r="H69" s="79"/>
      <c r="I69" s="88"/>
      <c r="J69" s="92"/>
      <c r="K69" s="93"/>
      <c r="L69" s="25" t="str">
        <f t="shared" si="4"/>
        <v/>
      </c>
      <c r="M69" s="94"/>
      <c r="N69" s="26" t="str">
        <f t="shared" si="5"/>
        <v/>
      </c>
      <c r="O69" s="80"/>
      <c r="P69" s="80"/>
      <c r="Q69" s="80"/>
      <c r="R69" s="80"/>
    </row>
    <row r="70" ht="18" customHeight="1" spans="1:18">
      <c r="A70" s="87" t="str">
        <f t="shared" si="3"/>
        <v/>
      </c>
      <c r="B70" s="78"/>
      <c r="C70" s="80"/>
      <c r="D70" s="80"/>
      <c r="E70" s="79"/>
      <c r="F70" s="87" t="str">
        <f>IF($E70="","",IFERROR(INDEX(基础资料!$O$4:$O$34,MATCH($E70,基础资料!$N$4:$N$34,0))&amp;"",""))</f>
        <v/>
      </c>
      <c r="G70" s="87" t="str">
        <f>IF($E70="","",IFERROR(INDEX(基础资料!$P$4:$P$34,MATCH($E70,基础资料!$N$4:$N$34,0))&amp;"",""))</f>
        <v/>
      </c>
      <c r="H70" s="79"/>
      <c r="I70" s="88"/>
      <c r="J70" s="92"/>
      <c r="K70" s="93"/>
      <c r="L70" s="25" t="str">
        <f t="shared" si="4"/>
        <v/>
      </c>
      <c r="M70" s="94"/>
      <c r="N70" s="26" t="str">
        <f t="shared" si="5"/>
        <v/>
      </c>
      <c r="O70" s="80"/>
      <c r="P70" s="80"/>
      <c r="Q70" s="80"/>
      <c r="R70" s="80"/>
    </row>
    <row r="71" ht="18" customHeight="1" spans="1:18">
      <c r="A71" s="87" t="str">
        <f t="shared" si="3"/>
        <v/>
      </c>
      <c r="B71" s="78"/>
      <c r="C71" s="80"/>
      <c r="D71" s="80"/>
      <c r="E71" s="79"/>
      <c r="F71" s="87" t="str">
        <f>IF($E71="","",IFERROR(INDEX(基础资料!$O$4:$O$34,MATCH($E71,基础资料!$N$4:$N$34,0))&amp;"",""))</f>
        <v/>
      </c>
      <c r="G71" s="87" t="str">
        <f>IF($E71="","",IFERROR(INDEX(基础资料!$P$4:$P$34,MATCH($E71,基础资料!$N$4:$N$34,0))&amp;"",""))</f>
        <v/>
      </c>
      <c r="H71" s="79"/>
      <c r="I71" s="88"/>
      <c r="J71" s="92"/>
      <c r="K71" s="93"/>
      <c r="L71" s="25" t="str">
        <f t="shared" si="4"/>
        <v/>
      </c>
      <c r="M71" s="94"/>
      <c r="N71" s="26" t="str">
        <f t="shared" si="5"/>
        <v/>
      </c>
      <c r="O71" s="80"/>
      <c r="P71" s="80"/>
      <c r="Q71" s="80"/>
      <c r="R71" s="80"/>
    </row>
    <row r="72" ht="18" customHeight="1" spans="1:18">
      <c r="A72" s="87" t="str">
        <f t="shared" si="3"/>
        <v/>
      </c>
      <c r="B72" s="78"/>
      <c r="C72" s="80"/>
      <c r="D72" s="80"/>
      <c r="E72" s="79"/>
      <c r="F72" s="87" t="str">
        <f>IF($E72="","",IFERROR(INDEX(基础资料!$O$4:$O$34,MATCH($E72,基础资料!$N$4:$N$34,0))&amp;"",""))</f>
        <v/>
      </c>
      <c r="G72" s="87" t="str">
        <f>IF($E72="","",IFERROR(INDEX(基础资料!$P$4:$P$34,MATCH($E72,基础资料!$N$4:$N$34,0))&amp;"",""))</f>
        <v/>
      </c>
      <c r="H72" s="79"/>
      <c r="I72" s="88"/>
      <c r="J72" s="92"/>
      <c r="K72" s="93"/>
      <c r="L72" s="25" t="str">
        <f t="shared" si="4"/>
        <v/>
      </c>
      <c r="M72" s="94"/>
      <c r="N72" s="26" t="str">
        <f t="shared" si="5"/>
        <v/>
      </c>
      <c r="O72" s="80"/>
      <c r="P72" s="80"/>
      <c r="Q72" s="80"/>
      <c r="R72" s="80"/>
    </row>
    <row r="73" ht="18" customHeight="1" spans="1:18">
      <c r="A73" s="87" t="str">
        <f t="shared" si="3"/>
        <v/>
      </c>
      <c r="B73" s="78"/>
      <c r="C73" s="80"/>
      <c r="D73" s="80"/>
      <c r="E73" s="79"/>
      <c r="F73" s="87" t="str">
        <f>IF($E73="","",IFERROR(INDEX(基础资料!$O$4:$O$34,MATCH($E73,基础资料!$N$4:$N$34,0))&amp;"",""))</f>
        <v/>
      </c>
      <c r="G73" s="87" t="str">
        <f>IF($E73="","",IFERROR(INDEX(基础资料!$P$4:$P$34,MATCH($E73,基础资料!$N$4:$N$34,0))&amp;"",""))</f>
        <v/>
      </c>
      <c r="H73" s="79"/>
      <c r="I73" s="88"/>
      <c r="J73" s="92"/>
      <c r="K73" s="93"/>
      <c r="L73" s="25" t="str">
        <f t="shared" si="4"/>
        <v/>
      </c>
      <c r="M73" s="94"/>
      <c r="N73" s="26" t="str">
        <f t="shared" si="5"/>
        <v/>
      </c>
      <c r="O73" s="80"/>
      <c r="P73" s="80"/>
      <c r="Q73" s="80"/>
      <c r="R73" s="80"/>
    </row>
    <row r="74" ht="18" customHeight="1" spans="1:18">
      <c r="A74" s="87" t="str">
        <f t="shared" si="3"/>
        <v/>
      </c>
      <c r="B74" s="78"/>
      <c r="C74" s="80"/>
      <c r="D74" s="80"/>
      <c r="E74" s="79"/>
      <c r="F74" s="87" t="str">
        <f>IF($E74="","",IFERROR(INDEX(基础资料!$O$4:$O$34,MATCH($E74,基础资料!$N$4:$N$34,0))&amp;"",""))</f>
        <v/>
      </c>
      <c r="G74" s="87" t="str">
        <f>IF($E74="","",IFERROR(INDEX(基础资料!$P$4:$P$34,MATCH($E74,基础资料!$N$4:$N$34,0))&amp;"",""))</f>
        <v/>
      </c>
      <c r="H74" s="79"/>
      <c r="I74" s="88"/>
      <c r="J74" s="92"/>
      <c r="K74" s="93"/>
      <c r="L74" s="25" t="str">
        <f t="shared" si="4"/>
        <v/>
      </c>
      <c r="M74" s="94"/>
      <c r="N74" s="26" t="str">
        <f t="shared" si="5"/>
        <v/>
      </c>
      <c r="O74" s="80"/>
      <c r="P74" s="80"/>
      <c r="Q74" s="80"/>
      <c r="R74" s="80"/>
    </row>
    <row r="75" ht="18" customHeight="1" spans="1:18">
      <c r="A75" s="87" t="str">
        <f t="shared" si="3"/>
        <v/>
      </c>
      <c r="B75" s="78"/>
      <c r="C75" s="80"/>
      <c r="D75" s="80"/>
      <c r="E75" s="79"/>
      <c r="F75" s="87" t="str">
        <f>IF($E75="","",IFERROR(INDEX(基础资料!$O$4:$O$34,MATCH($E75,基础资料!$N$4:$N$34,0))&amp;"",""))</f>
        <v/>
      </c>
      <c r="G75" s="87" t="str">
        <f>IF($E75="","",IFERROR(INDEX(基础资料!$P$4:$P$34,MATCH($E75,基础资料!$N$4:$N$34,0))&amp;"",""))</f>
        <v/>
      </c>
      <c r="H75" s="79"/>
      <c r="I75" s="88"/>
      <c r="J75" s="92"/>
      <c r="K75" s="93"/>
      <c r="L75" s="25" t="str">
        <f t="shared" si="4"/>
        <v/>
      </c>
      <c r="M75" s="94"/>
      <c r="N75" s="26" t="str">
        <f t="shared" si="5"/>
        <v/>
      </c>
      <c r="O75" s="80"/>
      <c r="P75" s="80"/>
      <c r="Q75" s="80"/>
      <c r="R75" s="80"/>
    </row>
    <row r="76" ht="18" customHeight="1" spans="1:18">
      <c r="A76" s="87" t="str">
        <f t="shared" si="3"/>
        <v/>
      </c>
      <c r="B76" s="78"/>
      <c r="C76" s="80"/>
      <c r="D76" s="80"/>
      <c r="E76" s="79"/>
      <c r="F76" s="87" t="str">
        <f>IF($E76="","",IFERROR(INDEX(基础资料!$O$4:$O$34,MATCH($E76,基础资料!$N$4:$N$34,0))&amp;"",""))</f>
        <v/>
      </c>
      <c r="G76" s="87" t="str">
        <f>IF($E76="","",IFERROR(INDEX(基础资料!$P$4:$P$34,MATCH($E76,基础资料!$N$4:$N$34,0))&amp;"",""))</f>
        <v/>
      </c>
      <c r="H76" s="79"/>
      <c r="I76" s="88"/>
      <c r="J76" s="92"/>
      <c r="K76" s="93"/>
      <c r="L76" s="25" t="str">
        <f t="shared" si="4"/>
        <v/>
      </c>
      <c r="M76" s="94"/>
      <c r="N76" s="26" t="str">
        <f t="shared" si="5"/>
        <v/>
      </c>
      <c r="O76" s="80"/>
      <c r="P76" s="80"/>
      <c r="Q76" s="80"/>
      <c r="R76" s="80"/>
    </row>
    <row r="77" ht="18" customHeight="1" spans="1:18">
      <c r="A77" s="87" t="str">
        <f t="shared" si="3"/>
        <v/>
      </c>
      <c r="B77" s="78"/>
      <c r="C77" s="80"/>
      <c r="D77" s="80"/>
      <c r="E77" s="79"/>
      <c r="F77" s="87" t="str">
        <f>IF($E77="","",IFERROR(INDEX(基础资料!$O$4:$O$34,MATCH($E77,基础资料!$N$4:$N$34,0))&amp;"",""))</f>
        <v/>
      </c>
      <c r="G77" s="87" t="str">
        <f>IF($E77="","",IFERROR(INDEX(基础资料!$P$4:$P$34,MATCH($E77,基础资料!$N$4:$N$34,0))&amp;"",""))</f>
        <v/>
      </c>
      <c r="H77" s="79"/>
      <c r="I77" s="88"/>
      <c r="J77" s="92"/>
      <c r="K77" s="93"/>
      <c r="L77" s="25" t="str">
        <f t="shared" si="4"/>
        <v/>
      </c>
      <c r="M77" s="94"/>
      <c r="N77" s="26" t="str">
        <f t="shared" si="5"/>
        <v/>
      </c>
      <c r="O77" s="80"/>
      <c r="P77" s="80"/>
      <c r="Q77" s="80"/>
      <c r="R77" s="80"/>
    </row>
    <row r="78" ht="18" customHeight="1" spans="1:18">
      <c r="A78" s="87" t="str">
        <f t="shared" si="3"/>
        <v/>
      </c>
      <c r="B78" s="78"/>
      <c r="C78" s="80"/>
      <c r="D78" s="80"/>
      <c r="E78" s="79"/>
      <c r="F78" s="87" t="str">
        <f>IF($E78="","",IFERROR(INDEX(基础资料!$O$4:$O$34,MATCH($E78,基础资料!$N$4:$N$34,0))&amp;"",""))</f>
        <v/>
      </c>
      <c r="G78" s="87" t="str">
        <f>IF($E78="","",IFERROR(INDEX(基础资料!$P$4:$P$34,MATCH($E78,基础资料!$N$4:$N$34,0))&amp;"",""))</f>
        <v/>
      </c>
      <c r="H78" s="79"/>
      <c r="I78" s="88"/>
      <c r="J78" s="92"/>
      <c r="K78" s="93"/>
      <c r="L78" s="25" t="str">
        <f t="shared" si="4"/>
        <v/>
      </c>
      <c r="M78" s="94"/>
      <c r="N78" s="26" t="str">
        <f t="shared" si="5"/>
        <v/>
      </c>
      <c r="O78" s="80"/>
      <c r="P78" s="80"/>
      <c r="Q78" s="80"/>
      <c r="R78" s="80"/>
    </row>
    <row r="79" ht="18" customHeight="1" spans="1:18">
      <c r="A79" s="87" t="str">
        <f t="shared" si="3"/>
        <v/>
      </c>
      <c r="B79" s="78"/>
      <c r="C79" s="80"/>
      <c r="D79" s="80"/>
      <c r="E79" s="79"/>
      <c r="F79" s="87" t="str">
        <f>IF($E79="","",IFERROR(INDEX(基础资料!$O$4:$O$34,MATCH($E79,基础资料!$N$4:$N$34,0))&amp;"",""))</f>
        <v/>
      </c>
      <c r="G79" s="87" t="str">
        <f>IF($E79="","",IFERROR(INDEX(基础资料!$P$4:$P$34,MATCH($E79,基础资料!$N$4:$N$34,0))&amp;"",""))</f>
        <v/>
      </c>
      <c r="H79" s="79"/>
      <c r="I79" s="88"/>
      <c r="J79" s="92"/>
      <c r="K79" s="93"/>
      <c r="L79" s="25" t="str">
        <f t="shared" si="4"/>
        <v/>
      </c>
      <c r="M79" s="94"/>
      <c r="N79" s="26" t="str">
        <f t="shared" si="5"/>
        <v/>
      </c>
      <c r="O79" s="80"/>
      <c r="P79" s="80"/>
      <c r="Q79" s="80"/>
      <c r="R79" s="80"/>
    </row>
    <row r="80" ht="18" customHeight="1" spans="1:18">
      <c r="A80" s="87" t="str">
        <f t="shared" si="3"/>
        <v/>
      </c>
      <c r="B80" s="78"/>
      <c r="C80" s="80"/>
      <c r="D80" s="80"/>
      <c r="E80" s="79"/>
      <c r="F80" s="87" t="str">
        <f>IF($E80="","",IFERROR(INDEX(基础资料!$O$4:$O$34,MATCH($E80,基础资料!$N$4:$N$34,0))&amp;"",""))</f>
        <v/>
      </c>
      <c r="G80" s="87" t="str">
        <f>IF($E80="","",IFERROR(INDEX(基础资料!$P$4:$P$34,MATCH($E80,基础资料!$N$4:$N$34,0))&amp;"",""))</f>
        <v/>
      </c>
      <c r="H80" s="79"/>
      <c r="I80" s="88"/>
      <c r="J80" s="92"/>
      <c r="K80" s="93"/>
      <c r="L80" s="25" t="str">
        <f t="shared" si="4"/>
        <v/>
      </c>
      <c r="M80" s="94"/>
      <c r="N80" s="26" t="str">
        <f t="shared" si="5"/>
        <v/>
      </c>
      <c r="O80" s="80"/>
      <c r="P80" s="80"/>
      <c r="Q80" s="80"/>
      <c r="R80" s="80"/>
    </row>
    <row r="81" ht="18" customHeight="1" spans="1:18">
      <c r="A81" s="87" t="str">
        <f t="shared" si="3"/>
        <v/>
      </c>
      <c r="B81" s="78"/>
      <c r="C81" s="80"/>
      <c r="D81" s="80"/>
      <c r="E81" s="79"/>
      <c r="F81" s="87" t="str">
        <f>IF($E81="","",IFERROR(INDEX(基础资料!$O$4:$O$34,MATCH($E81,基础资料!$N$4:$N$34,0))&amp;"",""))</f>
        <v/>
      </c>
      <c r="G81" s="87" t="str">
        <f>IF($E81="","",IFERROR(INDEX(基础资料!$P$4:$P$34,MATCH($E81,基础资料!$N$4:$N$34,0))&amp;"",""))</f>
        <v/>
      </c>
      <c r="H81" s="79"/>
      <c r="I81" s="88"/>
      <c r="J81" s="92"/>
      <c r="K81" s="93"/>
      <c r="L81" s="25" t="str">
        <f t="shared" si="4"/>
        <v/>
      </c>
      <c r="M81" s="94"/>
      <c r="N81" s="26" t="str">
        <f t="shared" si="5"/>
        <v/>
      </c>
      <c r="O81" s="80"/>
      <c r="P81" s="80"/>
      <c r="Q81" s="80"/>
      <c r="R81" s="80"/>
    </row>
    <row r="82" ht="18" customHeight="1" spans="1:18">
      <c r="A82" s="87" t="str">
        <f t="shared" si="3"/>
        <v/>
      </c>
      <c r="B82" s="78"/>
      <c r="C82" s="80"/>
      <c r="D82" s="80"/>
      <c r="E82" s="79"/>
      <c r="F82" s="87" t="str">
        <f>IF($E82="","",IFERROR(INDEX(基础资料!$O$4:$O$34,MATCH($E82,基础资料!$N$4:$N$34,0))&amp;"",""))</f>
        <v/>
      </c>
      <c r="G82" s="87" t="str">
        <f>IF($E82="","",IFERROR(INDEX(基础资料!$P$4:$P$34,MATCH($E82,基础资料!$N$4:$N$34,0))&amp;"",""))</f>
        <v/>
      </c>
      <c r="H82" s="79"/>
      <c r="I82" s="88"/>
      <c r="J82" s="92"/>
      <c r="K82" s="93"/>
      <c r="L82" s="25" t="str">
        <f t="shared" si="4"/>
        <v/>
      </c>
      <c r="M82" s="94"/>
      <c r="N82" s="26" t="str">
        <f t="shared" si="5"/>
        <v/>
      </c>
      <c r="O82" s="80"/>
      <c r="P82" s="80"/>
      <c r="Q82" s="80"/>
      <c r="R82" s="80"/>
    </row>
    <row r="83" ht="18" customHeight="1" spans="1:18">
      <c r="A83" s="87" t="str">
        <f t="shared" si="3"/>
        <v/>
      </c>
      <c r="B83" s="78"/>
      <c r="C83" s="80"/>
      <c r="D83" s="80"/>
      <c r="E83" s="79"/>
      <c r="F83" s="87" t="str">
        <f>IF($E83="","",IFERROR(INDEX(基础资料!$O$4:$O$34,MATCH($E83,基础资料!$N$4:$N$34,0))&amp;"",""))</f>
        <v/>
      </c>
      <c r="G83" s="87" t="str">
        <f>IF($E83="","",IFERROR(INDEX(基础资料!$P$4:$P$34,MATCH($E83,基础资料!$N$4:$N$34,0))&amp;"",""))</f>
        <v/>
      </c>
      <c r="H83" s="79"/>
      <c r="I83" s="88"/>
      <c r="J83" s="92"/>
      <c r="K83" s="93"/>
      <c r="L83" s="25" t="str">
        <f t="shared" si="4"/>
        <v/>
      </c>
      <c r="M83" s="94"/>
      <c r="N83" s="26" t="str">
        <f t="shared" si="5"/>
        <v/>
      </c>
      <c r="O83" s="80"/>
      <c r="P83" s="80"/>
      <c r="Q83" s="80"/>
      <c r="R83" s="80"/>
    </row>
    <row r="84" ht="18" customHeight="1" spans="1:18">
      <c r="A84" s="87" t="str">
        <f t="shared" si="3"/>
        <v/>
      </c>
      <c r="B84" s="78"/>
      <c r="C84" s="80"/>
      <c r="D84" s="80"/>
      <c r="E84" s="79"/>
      <c r="F84" s="87" t="str">
        <f>IF($E84="","",IFERROR(INDEX(基础资料!$O$4:$O$34,MATCH($E84,基础资料!$N$4:$N$34,0))&amp;"",""))</f>
        <v/>
      </c>
      <c r="G84" s="87" t="str">
        <f>IF($E84="","",IFERROR(INDEX(基础资料!$P$4:$P$34,MATCH($E84,基础资料!$N$4:$N$34,0))&amp;"",""))</f>
        <v/>
      </c>
      <c r="H84" s="79"/>
      <c r="I84" s="88"/>
      <c r="J84" s="92"/>
      <c r="K84" s="93"/>
      <c r="L84" s="25" t="str">
        <f t="shared" si="4"/>
        <v/>
      </c>
      <c r="M84" s="94"/>
      <c r="N84" s="26" t="str">
        <f t="shared" si="5"/>
        <v/>
      </c>
      <c r="O84" s="80"/>
      <c r="P84" s="80"/>
      <c r="Q84" s="80"/>
      <c r="R84" s="80"/>
    </row>
    <row r="85" ht="18" customHeight="1" spans="1:18">
      <c r="A85" s="87" t="str">
        <f t="shared" si="3"/>
        <v/>
      </c>
      <c r="B85" s="78"/>
      <c r="C85" s="80"/>
      <c r="D85" s="80"/>
      <c r="E85" s="79"/>
      <c r="F85" s="87" t="str">
        <f>IF($E85="","",IFERROR(INDEX(基础资料!$O$4:$O$34,MATCH($E85,基础资料!$N$4:$N$34,0))&amp;"",""))</f>
        <v/>
      </c>
      <c r="G85" s="87" t="str">
        <f>IF($E85="","",IFERROR(INDEX(基础资料!$P$4:$P$34,MATCH($E85,基础资料!$N$4:$N$34,0))&amp;"",""))</f>
        <v/>
      </c>
      <c r="H85" s="79"/>
      <c r="I85" s="88"/>
      <c r="J85" s="92"/>
      <c r="K85" s="93"/>
      <c r="L85" s="25" t="str">
        <f t="shared" si="4"/>
        <v/>
      </c>
      <c r="M85" s="94"/>
      <c r="N85" s="26" t="str">
        <f t="shared" si="5"/>
        <v/>
      </c>
      <c r="O85" s="80"/>
      <c r="P85" s="80"/>
      <c r="Q85" s="80"/>
      <c r="R85" s="80"/>
    </row>
    <row r="86" ht="18" customHeight="1" spans="1:18">
      <c r="A86" s="87" t="str">
        <f t="shared" si="3"/>
        <v/>
      </c>
      <c r="B86" s="78"/>
      <c r="C86" s="80"/>
      <c r="D86" s="80"/>
      <c r="E86" s="79"/>
      <c r="F86" s="87" t="str">
        <f>IF($E86="","",IFERROR(INDEX(基础资料!$O$4:$O$34,MATCH($E86,基础资料!$N$4:$N$34,0))&amp;"",""))</f>
        <v/>
      </c>
      <c r="G86" s="87" t="str">
        <f>IF($E86="","",IFERROR(INDEX(基础资料!$P$4:$P$34,MATCH($E86,基础资料!$N$4:$N$34,0))&amp;"",""))</f>
        <v/>
      </c>
      <c r="H86" s="79"/>
      <c r="I86" s="88"/>
      <c r="J86" s="92"/>
      <c r="K86" s="93"/>
      <c r="L86" s="25" t="str">
        <f t="shared" si="4"/>
        <v/>
      </c>
      <c r="M86" s="94"/>
      <c r="N86" s="26" t="str">
        <f t="shared" si="5"/>
        <v/>
      </c>
      <c r="O86" s="80"/>
      <c r="P86" s="80"/>
      <c r="Q86" s="80"/>
      <c r="R86" s="80"/>
    </row>
    <row r="87" ht="18" customHeight="1" spans="1:18">
      <c r="A87" s="87" t="str">
        <f t="shared" si="3"/>
        <v/>
      </c>
      <c r="B87" s="78"/>
      <c r="C87" s="80"/>
      <c r="D87" s="80"/>
      <c r="E87" s="79"/>
      <c r="F87" s="87" t="str">
        <f>IF($E87="","",IFERROR(INDEX(基础资料!$O$4:$O$34,MATCH($E87,基础资料!$N$4:$N$34,0))&amp;"",""))</f>
        <v/>
      </c>
      <c r="G87" s="87" t="str">
        <f>IF($E87="","",IFERROR(INDEX(基础资料!$P$4:$P$34,MATCH($E87,基础资料!$N$4:$N$34,0))&amp;"",""))</f>
        <v/>
      </c>
      <c r="H87" s="79"/>
      <c r="I87" s="88"/>
      <c r="J87" s="92"/>
      <c r="K87" s="93"/>
      <c r="L87" s="25" t="str">
        <f t="shared" si="4"/>
        <v/>
      </c>
      <c r="M87" s="94"/>
      <c r="N87" s="26" t="str">
        <f t="shared" si="5"/>
        <v/>
      </c>
      <c r="O87" s="80"/>
      <c r="P87" s="80"/>
      <c r="Q87" s="80"/>
      <c r="R87" s="80"/>
    </row>
    <row r="88" ht="18" customHeight="1" spans="1:18">
      <c r="A88" s="87" t="str">
        <f t="shared" si="3"/>
        <v/>
      </c>
      <c r="B88" s="78"/>
      <c r="C88" s="80"/>
      <c r="D88" s="80"/>
      <c r="E88" s="79"/>
      <c r="F88" s="87" t="str">
        <f>IF($E88="","",IFERROR(INDEX(基础资料!$O$4:$O$34,MATCH($E88,基础资料!$N$4:$N$34,0))&amp;"",""))</f>
        <v/>
      </c>
      <c r="G88" s="87" t="str">
        <f>IF($E88="","",IFERROR(INDEX(基础资料!$P$4:$P$34,MATCH($E88,基础资料!$N$4:$N$34,0))&amp;"",""))</f>
        <v/>
      </c>
      <c r="H88" s="79"/>
      <c r="I88" s="88"/>
      <c r="J88" s="92"/>
      <c r="K88" s="93"/>
      <c r="L88" s="25" t="str">
        <f t="shared" si="4"/>
        <v/>
      </c>
      <c r="M88" s="94"/>
      <c r="N88" s="26" t="str">
        <f t="shared" si="5"/>
        <v/>
      </c>
      <c r="O88" s="80"/>
      <c r="P88" s="80"/>
      <c r="Q88" s="80"/>
      <c r="R88" s="80"/>
    </row>
    <row r="89" ht="18" customHeight="1" spans="1:18">
      <c r="A89" s="87" t="str">
        <f t="shared" si="3"/>
        <v/>
      </c>
      <c r="B89" s="78"/>
      <c r="C89" s="80"/>
      <c r="D89" s="80"/>
      <c r="E89" s="79"/>
      <c r="F89" s="87" t="str">
        <f>IF($E89="","",IFERROR(INDEX(基础资料!$O$4:$O$34,MATCH($E89,基础资料!$N$4:$N$34,0))&amp;"",""))</f>
        <v/>
      </c>
      <c r="G89" s="87" t="str">
        <f>IF($E89="","",IFERROR(INDEX(基础资料!$P$4:$P$34,MATCH($E89,基础资料!$N$4:$N$34,0))&amp;"",""))</f>
        <v/>
      </c>
      <c r="H89" s="79"/>
      <c r="I89" s="88"/>
      <c r="J89" s="92"/>
      <c r="K89" s="93"/>
      <c r="L89" s="25" t="str">
        <f t="shared" si="4"/>
        <v/>
      </c>
      <c r="M89" s="94"/>
      <c r="N89" s="26" t="str">
        <f t="shared" si="5"/>
        <v/>
      </c>
      <c r="O89" s="80"/>
      <c r="P89" s="80"/>
      <c r="Q89" s="80"/>
      <c r="R89" s="80"/>
    </row>
    <row r="90" ht="18" customHeight="1" spans="1:18">
      <c r="A90" s="87" t="str">
        <f t="shared" si="3"/>
        <v/>
      </c>
      <c r="B90" s="78"/>
      <c r="C90" s="80"/>
      <c r="D90" s="80"/>
      <c r="E90" s="79"/>
      <c r="F90" s="87" t="str">
        <f>IF($E90="","",IFERROR(INDEX(基础资料!$O$4:$O$34,MATCH($E90,基础资料!$N$4:$N$34,0))&amp;"",""))</f>
        <v/>
      </c>
      <c r="G90" s="87" t="str">
        <f>IF($E90="","",IFERROR(INDEX(基础资料!$P$4:$P$34,MATCH($E90,基础资料!$N$4:$N$34,0))&amp;"",""))</f>
        <v/>
      </c>
      <c r="H90" s="79"/>
      <c r="I90" s="88"/>
      <c r="J90" s="92"/>
      <c r="K90" s="93"/>
      <c r="L90" s="25" t="str">
        <f t="shared" si="4"/>
        <v/>
      </c>
      <c r="M90" s="94"/>
      <c r="N90" s="26" t="str">
        <f t="shared" si="5"/>
        <v/>
      </c>
      <c r="O90" s="80"/>
      <c r="P90" s="80"/>
      <c r="Q90" s="80"/>
      <c r="R90" s="80"/>
    </row>
    <row r="91" ht="18" customHeight="1" spans="1:18">
      <c r="A91" s="87" t="str">
        <f t="shared" si="3"/>
        <v/>
      </c>
      <c r="B91" s="78"/>
      <c r="C91" s="80"/>
      <c r="D91" s="80"/>
      <c r="E91" s="79"/>
      <c r="F91" s="87" t="str">
        <f>IF($E91="","",IFERROR(INDEX(基础资料!$O$4:$O$34,MATCH($E91,基础资料!$N$4:$N$34,0))&amp;"",""))</f>
        <v/>
      </c>
      <c r="G91" s="87" t="str">
        <f>IF($E91="","",IFERROR(INDEX(基础资料!$P$4:$P$34,MATCH($E91,基础资料!$N$4:$N$34,0))&amp;"",""))</f>
        <v/>
      </c>
      <c r="H91" s="79"/>
      <c r="I91" s="88"/>
      <c r="J91" s="92"/>
      <c r="K91" s="93"/>
      <c r="L91" s="25" t="str">
        <f t="shared" si="4"/>
        <v/>
      </c>
      <c r="M91" s="94"/>
      <c r="N91" s="26" t="str">
        <f t="shared" si="5"/>
        <v/>
      </c>
      <c r="O91" s="80"/>
      <c r="P91" s="80"/>
      <c r="Q91" s="80"/>
      <c r="R91" s="80"/>
    </row>
    <row r="92" ht="18" customHeight="1" spans="1:18">
      <c r="A92" s="87" t="str">
        <f t="shared" si="3"/>
        <v/>
      </c>
      <c r="B92" s="78"/>
      <c r="C92" s="80"/>
      <c r="D92" s="80"/>
      <c r="E92" s="79"/>
      <c r="F92" s="87" t="str">
        <f>IF($E92="","",IFERROR(INDEX(基础资料!$O$4:$O$34,MATCH($E92,基础资料!$N$4:$N$34,0))&amp;"",""))</f>
        <v/>
      </c>
      <c r="G92" s="87" t="str">
        <f>IF($E92="","",IFERROR(INDEX(基础资料!$P$4:$P$34,MATCH($E92,基础资料!$N$4:$N$34,0))&amp;"",""))</f>
        <v/>
      </c>
      <c r="H92" s="79"/>
      <c r="I92" s="88"/>
      <c r="J92" s="92"/>
      <c r="K92" s="93"/>
      <c r="L92" s="25" t="str">
        <f t="shared" si="4"/>
        <v/>
      </c>
      <c r="M92" s="94"/>
      <c r="N92" s="26" t="str">
        <f t="shared" si="5"/>
        <v/>
      </c>
      <c r="O92" s="80"/>
      <c r="P92" s="80"/>
      <c r="Q92" s="80"/>
      <c r="R92" s="80"/>
    </row>
    <row r="93" ht="18" customHeight="1" spans="1:18">
      <c r="A93" s="87" t="str">
        <f t="shared" si="3"/>
        <v/>
      </c>
      <c r="B93" s="78"/>
      <c r="C93" s="80"/>
      <c r="D93" s="80"/>
      <c r="E93" s="79"/>
      <c r="F93" s="87" t="str">
        <f>IF($E93="","",IFERROR(INDEX(基础资料!$O$4:$O$34,MATCH($E93,基础资料!$N$4:$N$34,0))&amp;"",""))</f>
        <v/>
      </c>
      <c r="G93" s="87" t="str">
        <f>IF($E93="","",IFERROR(INDEX(基础资料!$P$4:$P$34,MATCH($E93,基础资料!$N$4:$N$34,0))&amp;"",""))</f>
        <v/>
      </c>
      <c r="H93" s="79"/>
      <c r="I93" s="88"/>
      <c r="J93" s="92"/>
      <c r="K93" s="93"/>
      <c r="L93" s="25" t="str">
        <f t="shared" si="4"/>
        <v/>
      </c>
      <c r="M93" s="94"/>
      <c r="N93" s="26" t="str">
        <f t="shared" si="5"/>
        <v/>
      </c>
      <c r="O93" s="80"/>
      <c r="P93" s="80"/>
      <c r="Q93" s="80"/>
      <c r="R93" s="80"/>
    </row>
    <row r="94" ht="18" customHeight="1" spans="1:18">
      <c r="A94" s="87" t="str">
        <f t="shared" si="3"/>
        <v/>
      </c>
      <c r="B94" s="78"/>
      <c r="C94" s="80"/>
      <c r="D94" s="80"/>
      <c r="E94" s="79"/>
      <c r="F94" s="87" t="str">
        <f>IF($E94="","",IFERROR(INDEX(基础资料!$O$4:$O$34,MATCH($E94,基础资料!$N$4:$N$34,0))&amp;"",""))</f>
        <v/>
      </c>
      <c r="G94" s="87" t="str">
        <f>IF($E94="","",IFERROR(INDEX(基础资料!$P$4:$P$34,MATCH($E94,基础资料!$N$4:$N$34,0))&amp;"",""))</f>
        <v/>
      </c>
      <c r="H94" s="79"/>
      <c r="I94" s="88"/>
      <c r="J94" s="92"/>
      <c r="K94" s="93"/>
      <c r="L94" s="25" t="str">
        <f t="shared" si="4"/>
        <v/>
      </c>
      <c r="M94" s="94"/>
      <c r="N94" s="26" t="str">
        <f t="shared" si="5"/>
        <v/>
      </c>
      <c r="O94" s="80"/>
      <c r="P94" s="80"/>
      <c r="Q94" s="80"/>
      <c r="R94" s="80"/>
    </row>
    <row r="95" ht="18" customHeight="1" spans="1:18">
      <c r="A95" s="87" t="str">
        <f t="shared" si="3"/>
        <v/>
      </c>
      <c r="B95" s="78"/>
      <c r="C95" s="80"/>
      <c r="D95" s="80"/>
      <c r="E95" s="79"/>
      <c r="F95" s="87" t="str">
        <f>IF($E95="","",IFERROR(INDEX(基础资料!$O$4:$O$34,MATCH($E95,基础资料!$N$4:$N$34,0))&amp;"",""))</f>
        <v/>
      </c>
      <c r="G95" s="87" t="str">
        <f>IF($E95="","",IFERROR(INDEX(基础资料!$P$4:$P$34,MATCH($E95,基础资料!$N$4:$N$34,0))&amp;"",""))</f>
        <v/>
      </c>
      <c r="H95" s="79"/>
      <c r="I95" s="88"/>
      <c r="J95" s="92"/>
      <c r="K95" s="93"/>
      <c r="L95" s="25" t="str">
        <f t="shared" si="4"/>
        <v/>
      </c>
      <c r="M95" s="94"/>
      <c r="N95" s="26" t="str">
        <f t="shared" si="5"/>
        <v/>
      </c>
      <c r="O95" s="80"/>
      <c r="P95" s="80"/>
      <c r="Q95" s="80"/>
      <c r="R95" s="80"/>
    </row>
    <row r="96" ht="18" customHeight="1" spans="1:18">
      <c r="A96" s="87" t="str">
        <f t="shared" si="3"/>
        <v/>
      </c>
      <c r="B96" s="78"/>
      <c r="C96" s="80"/>
      <c r="D96" s="80"/>
      <c r="E96" s="79"/>
      <c r="F96" s="87" t="str">
        <f>IF($E96="","",IFERROR(INDEX(基础资料!$O$4:$O$34,MATCH($E96,基础资料!$N$4:$N$34,0))&amp;"",""))</f>
        <v/>
      </c>
      <c r="G96" s="87" t="str">
        <f>IF($E96="","",IFERROR(INDEX(基础资料!$P$4:$P$34,MATCH($E96,基础资料!$N$4:$N$34,0))&amp;"",""))</f>
        <v/>
      </c>
      <c r="H96" s="79"/>
      <c r="I96" s="88"/>
      <c r="J96" s="92"/>
      <c r="K96" s="93"/>
      <c r="L96" s="25" t="str">
        <f t="shared" si="4"/>
        <v/>
      </c>
      <c r="M96" s="94"/>
      <c r="N96" s="26" t="str">
        <f t="shared" si="5"/>
        <v/>
      </c>
      <c r="O96" s="80"/>
      <c r="P96" s="80"/>
      <c r="Q96" s="80"/>
      <c r="R96" s="80"/>
    </row>
    <row r="97" ht="18" customHeight="1" spans="1:18">
      <c r="A97" s="87" t="str">
        <f t="shared" si="3"/>
        <v/>
      </c>
      <c r="B97" s="78"/>
      <c r="C97" s="80"/>
      <c r="D97" s="80"/>
      <c r="E97" s="79"/>
      <c r="F97" s="87" t="str">
        <f>IF($E97="","",IFERROR(INDEX(基础资料!$O$4:$O$34,MATCH($E97,基础资料!$N$4:$N$34,0))&amp;"",""))</f>
        <v/>
      </c>
      <c r="G97" s="87" t="str">
        <f>IF($E97="","",IFERROR(INDEX(基础资料!$P$4:$P$34,MATCH($E97,基础资料!$N$4:$N$34,0))&amp;"",""))</f>
        <v/>
      </c>
      <c r="H97" s="79"/>
      <c r="I97" s="88"/>
      <c r="J97" s="92"/>
      <c r="K97" s="93"/>
      <c r="L97" s="25" t="str">
        <f t="shared" si="4"/>
        <v/>
      </c>
      <c r="M97" s="94"/>
      <c r="N97" s="26" t="str">
        <f t="shared" si="5"/>
        <v/>
      </c>
      <c r="O97" s="80"/>
      <c r="P97" s="80"/>
      <c r="Q97" s="80"/>
      <c r="R97" s="80"/>
    </row>
    <row r="98" ht="18" customHeight="1" spans="1:18">
      <c r="A98" s="87" t="str">
        <f t="shared" si="3"/>
        <v/>
      </c>
      <c r="B98" s="78"/>
      <c r="C98" s="80"/>
      <c r="D98" s="80"/>
      <c r="E98" s="79"/>
      <c r="F98" s="87" t="str">
        <f>IF($E98="","",IFERROR(INDEX(基础资料!$O$4:$O$34,MATCH($E98,基础资料!$N$4:$N$34,0))&amp;"",""))</f>
        <v/>
      </c>
      <c r="G98" s="87" t="str">
        <f>IF($E98="","",IFERROR(INDEX(基础资料!$P$4:$P$34,MATCH($E98,基础资料!$N$4:$N$34,0))&amp;"",""))</f>
        <v/>
      </c>
      <c r="H98" s="79"/>
      <c r="I98" s="88"/>
      <c r="J98" s="92"/>
      <c r="K98" s="93"/>
      <c r="L98" s="25" t="str">
        <f t="shared" si="4"/>
        <v/>
      </c>
      <c r="M98" s="94"/>
      <c r="N98" s="26" t="str">
        <f t="shared" si="5"/>
        <v/>
      </c>
      <c r="O98" s="80"/>
      <c r="P98" s="80"/>
      <c r="Q98" s="80"/>
      <c r="R98" s="80"/>
    </row>
    <row r="99" ht="18" customHeight="1" spans="1:18">
      <c r="A99" s="87" t="str">
        <f t="shared" si="3"/>
        <v/>
      </c>
      <c r="B99" s="78"/>
      <c r="C99" s="80"/>
      <c r="D99" s="80"/>
      <c r="E99" s="79"/>
      <c r="F99" s="87" t="str">
        <f>IF($E99="","",IFERROR(INDEX(基础资料!$O$4:$O$34,MATCH($E99,基础资料!$N$4:$N$34,0))&amp;"",""))</f>
        <v/>
      </c>
      <c r="G99" s="87" t="str">
        <f>IF($E99="","",IFERROR(INDEX(基础资料!$P$4:$P$34,MATCH($E99,基础资料!$N$4:$N$34,0))&amp;"",""))</f>
        <v/>
      </c>
      <c r="H99" s="79"/>
      <c r="I99" s="88"/>
      <c r="J99" s="92"/>
      <c r="K99" s="93"/>
      <c r="L99" s="25" t="str">
        <f t="shared" si="4"/>
        <v/>
      </c>
      <c r="M99" s="94"/>
      <c r="N99" s="26" t="str">
        <f t="shared" si="5"/>
        <v/>
      </c>
      <c r="O99" s="80"/>
      <c r="P99" s="80"/>
      <c r="Q99" s="80"/>
      <c r="R99" s="80"/>
    </row>
    <row r="100" ht="18" customHeight="1" spans="1:18">
      <c r="A100" s="87" t="str">
        <f t="shared" si="3"/>
        <v/>
      </c>
      <c r="B100" s="78"/>
      <c r="C100" s="80"/>
      <c r="D100" s="80"/>
      <c r="E100" s="79"/>
      <c r="F100" s="87" t="str">
        <f>IF($E100="","",IFERROR(INDEX(基础资料!$O$4:$O$34,MATCH($E100,基础资料!$N$4:$N$34,0))&amp;"",""))</f>
        <v/>
      </c>
      <c r="G100" s="87" t="str">
        <f>IF($E100="","",IFERROR(INDEX(基础资料!$P$4:$P$34,MATCH($E100,基础资料!$N$4:$N$34,0))&amp;"",""))</f>
        <v/>
      </c>
      <c r="H100" s="79"/>
      <c r="I100" s="88"/>
      <c r="J100" s="92"/>
      <c r="K100" s="93"/>
      <c r="L100" s="25" t="str">
        <f t="shared" si="4"/>
        <v/>
      </c>
      <c r="M100" s="94"/>
      <c r="N100" s="26" t="str">
        <f t="shared" si="5"/>
        <v/>
      </c>
      <c r="O100" s="80"/>
      <c r="P100" s="80"/>
      <c r="Q100" s="80"/>
      <c r="R100" s="80"/>
    </row>
    <row r="101" ht="18" customHeight="1" spans="1:18">
      <c r="A101" s="87" t="str">
        <f t="shared" si="3"/>
        <v/>
      </c>
      <c r="B101" s="78"/>
      <c r="C101" s="80"/>
      <c r="D101" s="80"/>
      <c r="E101" s="79"/>
      <c r="F101" s="87" t="str">
        <f>IF($E101="","",IFERROR(INDEX(基础资料!$O$4:$O$34,MATCH($E101,基础资料!$N$4:$N$34,0))&amp;"",""))</f>
        <v/>
      </c>
      <c r="G101" s="87" t="str">
        <f>IF($E101="","",IFERROR(INDEX(基础资料!$P$4:$P$34,MATCH($E101,基础资料!$N$4:$N$34,0))&amp;"",""))</f>
        <v/>
      </c>
      <c r="H101" s="79"/>
      <c r="I101" s="88"/>
      <c r="J101" s="92"/>
      <c r="K101" s="93"/>
      <c r="L101" s="25" t="str">
        <f t="shared" si="4"/>
        <v/>
      </c>
      <c r="M101" s="94"/>
      <c r="N101" s="26" t="str">
        <f t="shared" si="5"/>
        <v/>
      </c>
      <c r="O101" s="80"/>
      <c r="P101" s="80"/>
      <c r="Q101" s="80"/>
      <c r="R101" s="80"/>
    </row>
    <row r="102" ht="18" customHeight="1" spans="1:18">
      <c r="A102" s="87" t="str">
        <f t="shared" si="3"/>
        <v/>
      </c>
      <c r="B102" s="78"/>
      <c r="C102" s="80"/>
      <c r="D102" s="80"/>
      <c r="E102" s="79"/>
      <c r="F102" s="87" t="str">
        <f>IF($E102="","",IFERROR(INDEX(基础资料!$O$4:$O$34,MATCH($E102,基础资料!$N$4:$N$34,0))&amp;"",""))</f>
        <v/>
      </c>
      <c r="G102" s="87" t="str">
        <f>IF($E102="","",IFERROR(INDEX(基础资料!$P$4:$P$34,MATCH($E102,基础资料!$N$4:$N$34,0))&amp;"",""))</f>
        <v/>
      </c>
      <c r="H102" s="79"/>
      <c r="I102" s="88"/>
      <c r="J102" s="92"/>
      <c r="K102" s="93"/>
      <c r="L102" s="25" t="str">
        <f t="shared" si="4"/>
        <v/>
      </c>
      <c r="M102" s="94"/>
      <c r="N102" s="26" t="str">
        <f t="shared" si="5"/>
        <v/>
      </c>
      <c r="O102" s="80"/>
      <c r="P102" s="80"/>
      <c r="Q102" s="80"/>
      <c r="R102" s="80"/>
    </row>
    <row r="103" ht="18" customHeight="1" spans="1:18">
      <c r="A103" s="87" t="str">
        <f t="shared" si="3"/>
        <v/>
      </c>
      <c r="B103" s="78"/>
      <c r="C103" s="80"/>
      <c r="D103" s="80"/>
      <c r="E103" s="79"/>
      <c r="F103" s="87" t="str">
        <f>IF($E103="","",IFERROR(INDEX(基础资料!$O$4:$O$34,MATCH($E103,基础资料!$N$4:$N$34,0))&amp;"",""))</f>
        <v/>
      </c>
      <c r="G103" s="87" t="str">
        <f>IF($E103="","",IFERROR(INDEX(基础资料!$P$4:$P$34,MATCH($E103,基础资料!$N$4:$N$34,0))&amp;"",""))</f>
        <v/>
      </c>
      <c r="H103" s="79"/>
      <c r="I103" s="88"/>
      <c r="J103" s="92"/>
      <c r="K103" s="93"/>
      <c r="L103" s="25" t="str">
        <f t="shared" si="4"/>
        <v/>
      </c>
      <c r="M103" s="94"/>
      <c r="N103" s="26" t="str">
        <f t="shared" si="5"/>
        <v/>
      </c>
      <c r="O103" s="80"/>
      <c r="P103" s="80"/>
      <c r="Q103" s="80"/>
      <c r="R103" s="80"/>
    </row>
    <row r="104" ht="18" customHeight="1" spans="1:18">
      <c r="A104" s="87" t="str">
        <f t="shared" si="3"/>
        <v/>
      </c>
      <c r="B104" s="78"/>
      <c r="C104" s="80"/>
      <c r="D104" s="80"/>
      <c r="E104" s="79"/>
      <c r="F104" s="87" t="str">
        <f>IF($E104="","",IFERROR(INDEX(基础资料!$O$4:$O$34,MATCH($E104,基础资料!$N$4:$N$34,0))&amp;"",""))</f>
        <v/>
      </c>
      <c r="G104" s="87" t="str">
        <f>IF($E104="","",IFERROR(INDEX(基础资料!$P$4:$P$34,MATCH($E104,基础资料!$N$4:$N$34,0))&amp;"",""))</f>
        <v/>
      </c>
      <c r="H104" s="79"/>
      <c r="I104" s="88"/>
      <c r="J104" s="92"/>
      <c r="K104" s="93"/>
      <c r="L104" s="25" t="str">
        <f t="shared" si="4"/>
        <v/>
      </c>
      <c r="M104" s="94"/>
      <c r="N104" s="26" t="str">
        <f t="shared" si="5"/>
        <v/>
      </c>
      <c r="O104" s="80"/>
      <c r="P104" s="80"/>
      <c r="Q104" s="80"/>
      <c r="R104" s="80"/>
    </row>
    <row r="105" ht="18" customHeight="1" spans="1:18">
      <c r="A105" s="87" t="str">
        <f t="shared" si="3"/>
        <v/>
      </c>
      <c r="B105" s="78"/>
      <c r="C105" s="80"/>
      <c r="D105" s="80"/>
      <c r="E105" s="79"/>
      <c r="F105" s="87" t="str">
        <f>IF($E105="","",IFERROR(INDEX(基础资料!$O$4:$O$34,MATCH($E105,基础资料!$N$4:$N$34,0))&amp;"",""))</f>
        <v/>
      </c>
      <c r="G105" s="87" t="str">
        <f>IF($E105="","",IFERROR(INDEX(基础资料!$P$4:$P$34,MATCH($E105,基础资料!$N$4:$N$34,0))&amp;"",""))</f>
        <v/>
      </c>
      <c r="H105" s="79"/>
      <c r="I105" s="88"/>
      <c r="J105" s="92"/>
      <c r="K105" s="93"/>
      <c r="L105" s="25" t="str">
        <f t="shared" si="4"/>
        <v/>
      </c>
      <c r="M105" s="94"/>
      <c r="N105" s="26" t="str">
        <f t="shared" si="5"/>
        <v/>
      </c>
      <c r="O105" s="80"/>
      <c r="P105" s="80"/>
      <c r="Q105" s="80"/>
      <c r="R105" s="80"/>
    </row>
    <row r="106" ht="18" customHeight="1" spans="1:18">
      <c r="A106" s="87" t="str">
        <f t="shared" si="3"/>
        <v/>
      </c>
      <c r="B106" s="78"/>
      <c r="C106" s="80"/>
      <c r="D106" s="80"/>
      <c r="E106" s="79"/>
      <c r="F106" s="87" t="str">
        <f>IF($E106="","",IFERROR(INDEX(基础资料!$O$4:$O$34,MATCH($E106,基础资料!$N$4:$N$34,0))&amp;"",""))</f>
        <v/>
      </c>
      <c r="G106" s="87" t="str">
        <f>IF($E106="","",IFERROR(INDEX(基础资料!$P$4:$P$34,MATCH($E106,基础资料!$N$4:$N$34,0))&amp;"",""))</f>
        <v/>
      </c>
      <c r="H106" s="79"/>
      <c r="I106" s="88"/>
      <c r="J106" s="92"/>
      <c r="K106" s="93"/>
      <c r="L106" s="25" t="str">
        <f t="shared" si="4"/>
        <v/>
      </c>
      <c r="M106" s="94"/>
      <c r="N106" s="26" t="str">
        <f t="shared" si="5"/>
        <v/>
      </c>
      <c r="O106" s="80"/>
      <c r="P106" s="80"/>
      <c r="Q106" s="80"/>
      <c r="R106" s="80"/>
    </row>
    <row r="107" ht="18" customHeight="1" spans="1:18">
      <c r="A107" s="87" t="str">
        <f t="shared" si="3"/>
        <v/>
      </c>
      <c r="B107" s="78"/>
      <c r="C107" s="80"/>
      <c r="D107" s="80"/>
      <c r="E107" s="79"/>
      <c r="F107" s="87" t="str">
        <f>IF($E107="","",IFERROR(INDEX(基础资料!$O$4:$O$34,MATCH($E107,基础资料!$N$4:$N$34,0))&amp;"",""))</f>
        <v/>
      </c>
      <c r="G107" s="87" t="str">
        <f>IF($E107="","",IFERROR(INDEX(基础资料!$P$4:$P$34,MATCH($E107,基础资料!$N$4:$N$34,0))&amp;"",""))</f>
        <v/>
      </c>
      <c r="H107" s="79"/>
      <c r="I107" s="88"/>
      <c r="J107" s="92"/>
      <c r="K107" s="93"/>
      <c r="L107" s="25" t="str">
        <f t="shared" si="4"/>
        <v/>
      </c>
      <c r="M107" s="94"/>
      <c r="N107" s="26" t="str">
        <f t="shared" si="5"/>
        <v/>
      </c>
      <c r="O107" s="80"/>
      <c r="P107" s="80"/>
      <c r="Q107" s="80"/>
      <c r="R107" s="80"/>
    </row>
    <row r="108" ht="18" customHeight="1" spans="1:18">
      <c r="A108" s="87" t="str">
        <f t="shared" si="3"/>
        <v/>
      </c>
      <c r="B108" s="78"/>
      <c r="C108" s="80"/>
      <c r="D108" s="80"/>
      <c r="E108" s="79"/>
      <c r="F108" s="87" t="str">
        <f>IF($E108="","",IFERROR(INDEX(基础资料!$O$4:$O$34,MATCH($E108,基础资料!$N$4:$N$34,0))&amp;"",""))</f>
        <v/>
      </c>
      <c r="G108" s="87" t="str">
        <f>IF($E108="","",IFERROR(INDEX(基础资料!$P$4:$P$34,MATCH($E108,基础资料!$N$4:$N$34,0))&amp;"",""))</f>
        <v/>
      </c>
      <c r="H108" s="79"/>
      <c r="I108" s="88"/>
      <c r="J108" s="92"/>
      <c r="K108" s="93"/>
      <c r="L108" s="25" t="str">
        <f t="shared" si="4"/>
        <v/>
      </c>
      <c r="M108" s="94"/>
      <c r="N108" s="26" t="str">
        <f t="shared" si="5"/>
        <v/>
      </c>
      <c r="O108" s="80"/>
      <c r="P108" s="80"/>
      <c r="Q108" s="80"/>
      <c r="R108" s="80"/>
    </row>
    <row r="109" ht="18" customHeight="1" spans="1:18">
      <c r="A109" s="87" t="str">
        <f t="shared" si="3"/>
        <v/>
      </c>
      <c r="B109" s="78"/>
      <c r="C109" s="80"/>
      <c r="D109" s="80"/>
      <c r="E109" s="79"/>
      <c r="F109" s="87" t="str">
        <f>IF($E109="","",IFERROR(INDEX(基础资料!$O$4:$O$34,MATCH($E109,基础资料!$N$4:$N$34,0))&amp;"",""))</f>
        <v/>
      </c>
      <c r="G109" s="87" t="str">
        <f>IF($E109="","",IFERROR(INDEX(基础资料!$P$4:$P$34,MATCH($E109,基础资料!$N$4:$N$34,0))&amp;"",""))</f>
        <v/>
      </c>
      <c r="H109" s="79"/>
      <c r="I109" s="88"/>
      <c r="J109" s="92"/>
      <c r="K109" s="93"/>
      <c r="L109" s="25" t="str">
        <f t="shared" si="4"/>
        <v/>
      </c>
      <c r="M109" s="94"/>
      <c r="N109" s="26" t="str">
        <f t="shared" si="5"/>
        <v/>
      </c>
      <c r="O109" s="80"/>
      <c r="P109" s="80"/>
      <c r="Q109" s="80"/>
      <c r="R109" s="80"/>
    </row>
    <row r="110" ht="18" customHeight="1" spans="1:18">
      <c r="A110" s="87" t="str">
        <f t="shared" si="3"/>
        <v/>
      </c>
      <c r="B110" s="78"/>
      <c r="C110" s="80"/>
      <c r="D110" s="80"/>
      <c r="E110" s="79"/>
      <c r="F110" s="87" t="str">
        <f>IF($E110="","",IFERROR(INDEX(基础资料!$O$4:$O$34,MATCH($E110,基础资料!$N$4:$N$34,0))&amp;"",""))</f>
        <v/>
      </c>
      <c r="G110" s="87" t="str">
        <f>IF($E110="","",IFERROR(INDEX(基础资料!$P$4:$P$34,MATCH($E110,基础资料!$N$4:$N$34,0))&amp;"",""))</f>
        <v/>
      </c>
      <c r="H110" s="79"/>
      <c r="I110" s="88"/>
      <c r="J110" s="92"/>
      <c r="K110" s="93"/>
      <c r="L110" s="25" t="str">
        <f t="shared" si="4"/>
        <v/>
      </c>
      <c r="M110" s="94"/>
      <c r="N110" s="26" t="str">
        <f t="shared" si="5"/>
        <v/>
      </c>
      <c r="O110" s="80"/>
      <c r="P110" s="80"/>
      <c r="Q110" s="80"/>
      <c r="R110" s="80"/>
    </row>
    <row r="111" ht="18" customHeight="1" spans="1:18">
      <c r="A111" s="87" t="str">
        <f t="shared" si="3"/>
        <v/>
      </c>
      <c r="B111" s="78"/>
      <c r="C111" s="80"/>
      <c r="D111" s="80"/>
      <c r="E111" s="79"/>
      <c r="F111" s="87" t="str">
        <f>IF($E111="","",IFERROR(INDEX(基础资料!$O$4:$O$34,MATCH($E111,基础资料!$N$4:$N$34,0))&amp;"",""))</f>
        <v/>
      </c>
      <c r="G111" s="87" t="str">
        <f>IF($E111="","",IFERROR(INDEX(基础资料!$P$4:$P$34,MATCH($E111,基础资料!$N$4:$N$34,0))&amp;"",""))</f>
        <v/>
      </c>
      <c r="H111" s="79"/>
      <c r="I111" s="88"/>
      <c r="J111" s="92"/>
      <c r="K111" s="93"/>
      <c r="L111" s="25" t="str">
        <f t="shared" si="4"/>
        <v/>
      </c>
      <c r="M111" s="94"/>
      <c r="N111" s="26" t="str">
        <f t="shared" si="5"/>
        <v/>
      </c>
      <c r="O111" s="80"/>
      <c r="P111" s="80"/>
      <c r="Q111" s="80"/>
      <c r="R111" s="80"/>
    </row>
    <row r="112" ht="18" customHeight="1" spans="1:18">
      <c r="A112" s="87" t="str">
        <f t="shared" si="3"/>
        <v/>
      </c>
      <c r="B112" s="78"/>
      <c r="C112" s="80"/>
      <c r="D112" s="80"/>
      <c r="E112" s="79"/>
      <c r="F112" s="87" t="str">
        <f>IF($E112="","",IFERROR(INDEX(基础资料!$O$4:$O$34,MATCH($E112,基础资料!$N$4:$N$34,0))&amp;"",""))</f>
        <v/>
      </c>
      <c r="G112" s="87" t="str">
        <f>IF($E112="","",IFERROR(INDEX(基础资料!$P$4:$P$34,MATCH($E112,基础资料!$N$4:$N$34,0))&amp;"",""))</f>
        <v/>
      </c>
      <c r="H112" s="79"/>
      <c r="I112" s="88"/>
      <c r="J112" s="92"/>
      <c r="K112" s="93"/>
      <c r="L112" s="25" t="str">
        <f t="shared" si="4"/>
        <v/>
      </c>
      <c r="M112" s="94"/>
      <c r="N112" s="26" t="str">
        <f t="shared" si="5"/>
        <v/>
      </c>
      <c r="O112" s="80"/>
      <c r="P112" s="80"/>
      <c r="Q112" s="80"/>
      <c r="R112" s="80"/>
    </row>
    <row r="113" ht="18" customHeight="1" spans="1:18">
      <c r="A113" s="87" t="str">
        <f t="shared" si="3"/>
        <v/>
      </c>
      <c r="B113" s="78"/>
      <c r="C113" s="80"/>
      <c r="D113" s="80"/>
      <c r="E113" s="79"/>
      <c r="F113" s="87" t="str">
        <f>IF($E113="","",IFERROR(INDEX(基础资料!$O$4:$O$34,MATCH($E113,基础资料!$N$4:$N$34,0))&amp;"",""))</f>
        <v/>
      </c>
      <c r="G113" s="87" t="str">
        <f>IF($E113="","",IFERROR(INDEX(基础资料!$P$4:$P$34,MATCH($E113,基础资料!$N$4:$N$34,0))&amp;"",""))</f>
        <v/>
      </c>
      <c r="H113" s="79"/>
      <c r="I113" s="88"/>
      <c r="J113" s="92"/>
      <c r="K113" s="93"/>
      <c r="L113" s="25" t="str">
        <f t="shared" si="4"/>
        <v/>
      </c>
      <c r="M113" s="94"/>
      <c r="N113" s="26" t="str">
        <f t="shared" si="5"/>
        <v/>
      </c>
      <c r="O113" s="80"/>
      <c r="P113" s="80"/>
      <c r="Q113" s="80"/>
      <c r="R113" s="80"/>
    </row>
    <row r="114" ht="18" customHeight="1" spans="1:18">
      <c r="A114" s="87" t="str">
        <f t="shared" si="3"/>
        <v/>
      </c>
      <c r="B114" s="78"/>
      <c r="C114" s="80"/>
      <c r="D114" s="80"/>
      <c r="E114" s="79"/>
      <c r="F114" s="87" t="str">
        <f>IF($E114="","",IFERROR(INDEX(基础资料!$O$4:$O$34,MATCH($E114,基础资料!$N$4:$N$34,0))&amp;"",""))</f>
        <v/>
      </c>
      <c r="G114" s="87" t="str">
        <f>IF($E114="","",IFERROR(INDEX(基础资料!$P$4:$P$34,MATCH($E114,基础资料!$N$4:$N$34,0))&amp;"",""))</f>
        <v/>
      </c>
      <c r="H114" s="79"/>
      <c r="I114" s="88"/>
      <c r="J114" s="92"/>
      <c r="K114" s="93"/>
      <c r="L114" s="25" t="str">
        <f t="shared" si="4"/>
        <v/>
      </c>
      <c r="M114" s="94"/>
      <c r="N114" s="26" t="str">
        <f t="shared" si="5"/>
        <v/>
      </c>
      <c r="O114" s="80"/>
      <c r="P114" s="80"/>
      <c r="Q114" s="80"/>
      <c r="R114" s="80"/>
    </row>
    <row r="115" ht="18" customHeight="1" spans="1:18">
      <c r="A115" s="87" t="str">
        <f t="shared" si="3"/>
        <v/>
      </c>
      <c r="B115" s="78"/>
      <c r="C115" s="80"/>
      <c r="D115" s="80"/>
      <c r="E115" s="79"/>
      <c r="F115" s="87" t="str">
        <f>IF($E115="","",IFERROR(INDEX(基础资料!$O$4:$O$34,MATCH($E115,基础资料!$N$4:$N$34,0))&amp;"",""))</f>
        <v/>
      </c>
      <c r="G115" s="87" t="str">
        <f>IF($E115="","",IFERROR(INDEX(基础资料!$P$4:$P$34,MATCH($E115,基础资料!$N$4:$N$34,0))&amp;"",""))</f>
        <v/>
      </c>
      <c r="H115" s="79"/>
      <c r="I115" s="88"/>
      <c r="J115" s="92"/>
      <c r="K115" s="93"/>
      <c r="L115" s="25" t="str">
        <f t="shared" si="4"/>
        <v/>
      </c>
      <c r="M115" s="94"/>
      <c r="N115" s="26" t="str">
        <f t="shared" si="5"/>
        <v/>
      </c>
      <c r="O115" s="80"/>
      <c r="P115" s="80"/>
      <c r="Q115" s="80"/>
      <c r="R115" s="80"/>
    </row>
    <row r="116" ht="18" customHeight="1" spans="1:18">
      <c r="A116" s="87" t="str">
        <f t="shared" si="3"/>
        <v/>
      </c>
      <c r="B116" s="78"/>
      <c r="C116" s="80"/>
      <c r="D116" s="80"/>
      <c r="E116" s="79"/>
      <c r="F116" s="87" t="str">
        <f>IF($E116="","",IFERROR(INDEX(基础资料!$O$4:$O$34,MATCH($E116,基础资料!$N$4:$N$34,0))&amp;"",""))</f>
        <v/>
      </c>
      <c r="G116" s="87" t="str">
        <f>IF($E116="","",IFERROR(INDEX(基础资料!$P$4:$P$34,MATCH($E116,基础资料!$N$4:$N$34,0))&amp;"",""))</f>
        <v/>
      </c>
      <c r="H116" s="79"/>
      <c r="I116" s="88"/>
      <c r="J116" s="92"/>
      <c r="K116" s="93"/>
      <c r="L116" s="25" t="str">
        <f t="shared" si="4"/>
        <v/>
      </c>
      <c r="M116" s="94"/>
      <c r="N116" s="26" t="str">
        <f t="shared" si="5"/>
        <v/>
      </c>
      <c r="O116" s="80"/>
      <c r="P116" s="80"/>
      <c r="Q116" s="80"/>
      <c r="R116" s="80"/>
    </row>
    <row r="117" ht="18" customHeight="1" spans="1:18">
      <c r="A117" s="87" t="str">
        <f t="shared" si="3"/>
        <v/>
      </c>
      <c r="B117" s="78"/>
      <c r="C117" s="80"/>
      <c r="D117" s="80"/>
      <c r="E117" s="79"/>
      <c r="F117" s="87" t="str">
        <f>IF($E117="","",IFERROR(INDEX(基础资料!$O$4:$O$34,MATCH($E117,基础资料!$N$4:$N$34,0))&amp;"",""))</f>
        <v/>
      </c>
      <c r="G117" s="87" t="str">
        <f>IF($E117="","",IFERROR(INDEX(基础资料!$P$4:$P$34,MATCH($E117,基础资料!$N$4:$N$34,0))&amp;"",""))</f>
        <v/>
      </c>
      <c r="H117" s="79"/>
      <c r="I117" s="88"/>
      <c r="J117" s="92"/>
      <c r="K117" s="93"/>
      <c r="L117" s="25" t="str">
        <f t="shared" si="4"/>
        <v/>
      </c>
      <c r="M117" s="94"/>
      <c r="N117" s="26" t="str">
        <f t="shared" si="5"/>
        <v/>
      </c>
      <c r="O117" s="80"/>
      <c r="P117" s="80"/>
      <c r="Q117" s="80"/>
      <c r="R117" s="80"/>
    </row>
    <row r="118" ht="18" customHeight="1" spans="1:18">
      <c r="A118" s="87" t="str">
        <f t="shared" si="3"/>
        <v/>
      </c>
      <c r="B118" s="78"/>
      <c r="C118" s="80"/>
      <c r="D118" s="80"/>
      <c r="E118" s="79"/>
      <c r="F118" s="87" t="str">
        <f>IF($E118="","",IFERROR(INDEX(基础资料!$O$4:$O$34,MATCH($E118,基础资料!$N$4:$N$34,0))&amp;"",""))</f>
        <v/>
      </c>
      <c r="G118" s="87" t="str">
        <f>IF($E118="","",IFERROR(INDEX(基础资料!$P$4:$P$34,MATCH($E118,基础资料!$N$4:$N$34,0))&amp;"",""))</f>
        <v/>
      </c>
      <c r="H118" s="79"/>
      <c r="I118" s="88"/>
      <c r="J118" s="92"/>
      <c r="K118" s="93"/>
      <c r="L118" s="25" t="str">
        <f t="shared" si="4"/>
        <v/>
      </c>
      <c r="M118" s="94"/>
      <c r="N118" s="26" t="str">
        <f t="shared" si="5"/>
        <v/>
      </c>
      <c r="O118" s="80"/>
      <c r="P118" s="80"/>
      <c r="Q118" s="80"/>
      <c r="R118" s="80"/>
    </row>
    <row r="119" ht="18" customHeight="1" spans="1:18">
      <c r="A119" s="87" t="str">
        <f t="shared" si="3"/>
        <v/>
      </c>
      <c r="B119" s="78"/>
      <c r="C119" s="80"/>
      <c r="D119" s="80"/>
      <c r="E119" s="79"/>
      <c r="F119" s="87" t="str">
        <f>IF($E119="","",IFERROR(INDEX(基础资料!$O$4:$O$34,MATCH($E119,基础资料!$N$4:$N$34,0))&amp;"",""))</f>
        <v/>
      </c>
      <c r="G119" s="87" t="str">
        <f>IF($E119="","",IFERROR(INDEX(基础资料!$P$4:$P$34,MATCH($E119,基础资料!$N$4:$N$34,0))&amp;"",""))</f>
        <v/>
      </c>
      <c r="H119" s="79"/>
      <c r="I119" s="88"/>
      <c r="J119" s="92"/>
      <c r="K119" s="93"/>
      <c r="L119" s="25" t="str">
        <f t="shared" si="4"/>
        <v/>
      </c>
      <c r="M119" s="94"/>
      <c r="N119" s="26" t="str">
        <f t="shared" si="5"/>
        <v/>
      </c>
      <c r="O119" s="80"/>
      <c r="P119" s="80"/>
      <c r="Q119" s="80"/>
      <c r="R119" s="80"/>
    </row>
    <row r="120" ht="18" customHeight="1" spans="1:18">
      <c r="A120" s="87" t="str">
        <f t="shared" si="3"/>
        <v/>
      </c>
      <c r="B120" s="78"/>
      <c r="C120" s="80"/>
      <c r="D120" s="80"/>
      <c r="E120" s="79"/>
      <c r="F120" s="87" t="str">
        <f>IF($E120="","",IFERROR(INDEX(基础资料!$O$4:$O$34,MATCH($E120,基础资料!$N$4:$N$34,0))&amp;"",""))</f>
        <v/>
      </c>
      <c r="G120" s="87" t="str">
        <f>IF($E120="","",IFERROR(INDEX(基础资料!$P$4:$P$34,MATCH($E120,基础资料!$N$4:$N$34,0))&amp;"",""))</f>
        <v/>
      </c>
      <c r="H120" s="79"/>
      <c r="I120" s="88"/>
      <c r="J120" s="92"/>
      <c r="K120" s="93"/>
      <c r="L120" s="25" t="str">
        <f t="shared" si="4"/>
        <v/>
      </c>
      <c r="M120" s="94"/>
      <c r="N120" s="26" t="str">
        <f t="shared" si="5"/>
        <v/>
      </c>
      <c r="O120" s="80"/>
      <c r="P120" s="80"/>
      <c r="Q120" s="80"/>
      <c r="R120" s="80"/>
    </row>
    <row r="121" ht="18" customHeight="1" spans="1:18">
      <c r="A121" s="87" t="str">
        <f t="shared" si="3"/>
        <v/>
      </c>
      <c r="B121" s="78"/>
      <c r="C121" s="80"/>
      <c r="D121" s="80"/>
      <c r="E121" s="79"/>
      <c r="F121" s="87" t="str">
        <f>IF($E121="","",IFERROR(INDEX(基础资料!$O$4:$O$34,MATCH($E121,基础资料!$N$4:$N$34,0))&amp;"",""))</f>
        <v/>
      </c>
      <c r="G121" s="87" t="str">
        <f>IF($E121="","",IFERROR(INDEX(基础资料!$P$4:$P$34,MATCH($E121,基础资料!$N$4:$N$34,0))&amp;"",""))</f>
        <v/>
      </c>
      <c r="H121" s="79"/>
      <c r="I121" s="88"/>
      <c r="J121" s="92"/>
      <c r="K121" s="93"/>
      <c r="L121" s="25" t="str">
        <f t="shared" si="4"/>
        <v/>
      </c>
      <c r="M121" s="94"/>
      <c r="N121" s="26" t="str">
        <f t="shared" si="5"/>
        <v/>
      </c>
      <c r="O121" s="80"/>
      <c r="P121" s="80"/>
      <c r="Q121" s="80"/>
      <c r="R121" s="80"/>
    </row>
    <row r="122" ht="18" customHeight="1" spans="1:18">
      <c r="A122" s="87" t="str">
        <f t="shared" si="3"/>
        <v/>
      </c>
      <c r="B122" s="78"/>
      <c r="C122" s="80"/>
      <c r="D122" s="80"/>
      <c r="E122" s="79"/>
      <c r="F122" s="87" t="str">
        <f>IF($E122="","",IFERROR(INDEX(基础资料!$O$4:$O$34,MATCH($E122,基础资料!$N$4:$N$34,0))&amp;"",""))</f>
        <v/>
      </c>
      <c r="G122" s="87" t="str">
        <f>IF($E122="","",IFERROR(INDEX(基础资料!$P$4:$P$34,MATCH($E122,基础资料!$N$4:$N$34,0))&amp;"",""))</f>
        <v/>
      </c>
      <c r="H122" s="79"/>
      <c r="I122" s="88"/>
      <c r="J122" s="92"/>
      <c r="K122" s="93"/>
      <c r="L122" s="25" t="str">
        <f t="shared" si="4"/>
        <v/>
      </c>
      <c r="M122" s="94"/>
      <c r="N122" s="26" t="str">
        <f t="shared" si="5"/>
        <v/>
      </c>
      <c r="O122" s="80"/>
      <c r="P122" s="80"/>
      <c r="Q122" s="80"/>
      <c r="R122" s="80"/>
    </row>
    <row r="123" ht="18" customHeight="1" spans="1:18">
      <c r="A123" s="87" t="str">
        <f t="shared" si="3"/>
        <v/>
      </c>
      <c r="B123" s="78"/>
      <c r="C123" s="80"/>
      <c r="D123" s="80"/>
      <c r="E123" s="79"/>
      <c r="F123" s="87" t="str">
        <f>IF($E123="","",IFERROR(INDEX(基础资料!$O$4:$O$34,MATCH($E123,基础资料!$N$4:$N$34,0))&amp;"",""))</f>
        <v/>
      </c>
      <c r="G123" s="87" t="str">
        <f>IF($E123="","",IFERROR(INDEX(基础资料!$P$4:$P$34,MATCH($E123,基础资料!$N$4:$N$34,0))&amp;"",""))</f>
        <v/>
      </c>
      <c r="H123" s="79"/>
      <c r="I123" s="88"/>
      <c r="J123" s="92"/>
      <c r="K123" s="93"/>
      <c r="L123" s="25" t="str">
        <f t="shared" si="4"/>
        <v/>
      </c>
      <c r="M123" s="94"/>
      <c r="N123" s="26" t="str">
        <f t="shared" si="5"/>
        <v/>
      </c>
      <c r="O123" s="80"/>
      <c r="P123" s="80"/>
      <c r="Q123" s="80"/>
      <c r="R123" s="80"/>
    </row>
    <row r="124" ht="18" customHeight="1" spans="1:18">
      <c r="A124" s="87" t="str">
        <f t="shared" si="3"/>
        <v/>
      </c>
      <c r="B124" s="78"/>
      <c r="C124" s="80"/>
      <c r="D124" s="80"/>
      <c r="E124" s="79"/>
      <c r="F124" s="87" t="str">
        <f>IF($E124="","",IFERROR(INDEX(基础资料!$O$4:$O$34,MATCH($E124,基础资料!$N$4:$N$34,0))&amp;"",""))</f>
        <v/>
      </c>
      <c r="G124" s="87" t="str">
        <f>IF($E124="","",IFERROR(INDEX(基础资料!$P$4:$P$34,MATCH($E124,基础资料!$N$4:$N$34,0))&amp;"",""))</f>
        <v/>
      </c>
      <c r="H124" s="79"/>
      <c r="I124" s="88"/>
      <c r="J124" s="92"/>
      <c r="K124" s="93"/>
      <c r="L124" s="25" t="str">
        <f t="shared" si="4"/>
        <v/>
      </c>
      <c r="M124" s="94"/>
      <c r="N124" s="26" t="str">
        <f t="shared" si="5"/>
        <v/>
      </c>
      <c r="O124" s="80"/>
      <c r="P124" s="80"/>
      <c r="Q124" s="80"/>
      <c r="R124" s="80"/>
    </row>
    <row r="125" ht="18" customHeight="1" spans="1:18">
      <c r="A125" s="87" t="str">
        <f t="shared" si="3"/>
        <v/>
      </c>
      <c r="B125" s="78"/>
      <c r="C125" s="80"/>
      <c r="D125" s="80"/>
      <c r="E125" s="79"/>
      <c r="F125" s="87" t="str">
        <f>IF($E125="","",IFERROR(INDEX(基础资料!$O$4:$O$34,MATCH($E125,基础资料!$N$4:$N$34,0))&amp;"",""))</f>
        <v/>
      </c>
      <c r="G125" s="87" t="str">
        <f>IF($E125="","",IFERROR(INDEX(基础资料!$P$4:$P$34,MATCH($E125,基础资料!$N$4:$N$34,0))&amp;"",""))</f>
        <v/>
      </c>
      <c r="H125" s="79"/>
      <c r="I125" s="88"/>
      <c r="J125" s="92"/>
      <c r="K125" s="93"/>
      <c r="L125" s="25" t="str">
        <f t="shared" si="4"/>
        <v/>
      </c>
      <c r="M125" s="94"/>
      <c r="N125" s="26" t="str">
        <f t="shared" si="5"/>
        <v/>
      </c>
      <c r="O125" s="80"/>
      <c r="P125" s="80"/>
      <c r="Q125" s="80"/>
      <c r="R125" s="80"/>
    </row>
    <row r="126" ht="18" customHeight="1" spans="1:18">
      <c r="A126" s="87" t="str">
        <f t="shared" si="3"/>
        <v/>
      </c>
      <c r="B126" s="78"/>
      <c r="C126" s="80"/>
      <c r="D126" s="80"/>
      <c r="E126" s="79"/>
      <c r="F126" s="87" t="str">
        <f>IF($E126="","",IFERROR(INDEX(基础资料!$O$4:$O$34,MATCH($E126,基础资料!$N$4:$N$34,0))&amp;"",""))</f>
        <v/>
      </c>
      <c r="G126" s="87" t="str">
        <f>IF($E126="","",IFERROR(INDEX(基础资料!$P$4:$P$34,MATCH($E126,基础资料!$N$4:$N$34,0))&amp;"",""))</f>
        <v/>
      </c>
      <c r="H126" s="79"/>
      <c r="I126" s="88"/>
      <c r="J126" s="92"/>
      <c r="K126" s="93"/>
      <c r="L126" s="25" t="str">
        <f t="shared" si="4"/>
        <v/>
      </c>
      <c r="M126" s="94"/>
      <c r="N126" s="26" t="str">
        <f t="shared" si="5"/>
        <v/>
      </c>
      <c r="O126" s="80"/>
      <c r="P126" s="80"/>
      <c r="Q126" s="80"/>
      <c r="R126" s="80"/>
    </row>
    <row r="127" ht="18" customHeight="1" spans="1:18">
      <c r="A127" s="87" t="str">
        <f t="shared" si="3"/>
        <v/>
      </c>
      <c r="B127" s="78"/>
      <c r="C127" s="80"/>
      <c r="D127" s="80"/>
      <c r="E127" s="79"/>
      <c r="F127" s="87" t="str">
        <f>IF($E127="","",IFERROR(INDEX(基础资料!$O$4:$O$34,MATCH($E127,基础资料!$N$4:$N$34,0))&amp;"",""))</f>
        <v/>
      </c>
      <c r="G127" s="87" t="str">
        <f>IF($E127="","",IFERROR(INDEX(基础资料!$P$4:$P$34,MATCH($E127,基础资料!$N$4:$N$34,0))&amp;"",""))</f>
        <v/>
      </c>
      <c r="H127" s="79"/>
      <c r="I127" s="88"/>
      <c r="J127" s="92"/>
      <c r="K127" s="93"/>
      <c r="L127" s="25" t="str">
        <f t="shared" si="4"/>
        <v/>
      </c>
      <c r="M127" s="94"/>
      <c r="N127" s="26" t="str">
        <f t="shared" si="5"/>
        <v/>
      </c>
      <c r="O127" s="80"/>
      <c r="P127" s="80"/>
      <c r="Q127" s="80"/>
      <c r="R127" s="80"/>
    </row>
    <row r="128" ht="18" customHeight="1" spans="1:18">
      <c r="A128" s="87" t="str">
        <f t="shared" si="3"/>
        <v/>
      </c>
      <c r="B128" s="78"/>
      <c r="C128" s="80"/>
      <c r="D128" s="80"/>
      <c r="E128" s="79"/>
      <c r="F128" s="87" t="str">
        <f>IF($E128="","",IFERROR(INDEX(基础资料!$O$4:$O$34,MATCH($E128,基础资料!$N$4:$N$34,0))&amp;"",""))</f>
        <v/>
      </c>
      <c r="G128" s="87" t="str">
        <f>IF($E128="","",IFERROR(INDEX(基础资料!$P$4:$P$34,MATCH($E128,基础资料!$N$4:$N$34,0))&amp;"",""))</f>
        <v/>
      </c>
      <c r="H128" s="79"/>
      <c r="I128" s="88"/>
      <c r="J128" s="92"/>
      <c r="K128" s="93"/>
      <c r="L128" s="25" t="str">
        <f t="shared" si="4"/>
        <v/>
      </c>
      <c r="M128" s="94"/>
      <c r="N128" s="26" t="str">
        <f t="shared" si="5"/>
        <v/>
      </c>
      <c r="O128" s="80"/>
      <c r="P128" s="80"/>
      <c r="Q128" s="80"/>
      <c r="R128" s="80"/>
    </row>
    <row r="129" ht="18" customHeight="1" spans="1:18">
      <c r="A129" s="87" t="str">
        <f t="shared" si="3"/>
        <v/>
      </c>
      <c r="B129" s="78"/>
      <c r="C129" s="80"/>
      <c r="D129" s="80"/>
      <c r="E129" s="79"/>
      <c r="F129" s="87" t="str">
        <f>IF($E129="","",IFERROR(INDEX(基础资料!$O$4:$O$34,MATCH($E129,基础资料!$N$4:$N$34,0))&amp;"",""))</f>
        <v/>
      </c>
      <c r="G129" s="87" t="str">
        <f>IF($E129="","",IFERROR(INDEX(基础资料!$P$4:$P$34,MATCH($E129,基础资料!$N$4:$N$34,0))&amp;"",""))</f>
        <v/>
      </c>
      <c r="H129" s="79"/>
      <c r="I129" s="88"/>
      <c r="J129" s="92"/>
      <c r="K129" s="93"/>
      <c r="L129" s="25" t="str">
        <f t="shared" si="4"/>
        <v/>
      </c>
      <c r="M129" s="94"/>
      <c r="N129" s="26" t="str">
        <f t="shared" si="5"/>
        <v/>
      </c>
      <c r="O129" s="80"/>
      <c r="P129" s="80"/>
      <c r="Q129" s="80"/>
      <c r="R129" s="80"/>
    </row>
    <row r="130" ht="18" customHeight="1" spans="1:18">
      <c r="A130" s="87" t="str">
        <f t="shared" si="3"/>
        <v/>
      </c>
      <c r="B130" s="78"/>
      <c r="C130" s="80"/>
      <c r="D130" s="80"/>
      <c r="E130" s="79"/>
      <c r="F130" s="87" t="str">
        <f>IF($E130="","",IFERROR(INDEX(基础资料!$O$4:$O$34,MATCH($E130,基础资料!$N$4:$N$34,0))&amp;"",""))</f>
        <v/>
      </c>
      <c r="G130" s="87" t="str">
        <f>IF($E130="","",IFERROR(INDEX(基础资料!$P$4:$P$34,MATCH($E130,基础资料!$N$4:$N$34,0))&amp;"",""))</f>
        <v/>
      </c>
      <c r="H130" s="79"/>
      <c r="I130" s="88"/>
      <c r="J130" s="92"/>
      <c r="K130" s="93"/>
      <c r="L130" s="25" t="str">
        <f t="shared" si="4"/>
        <v/>
      </c>
      <c r="M130" s="94"/>
      <c r="N130" s="26" t="str">
        <f t="shared" si="5"/>
        <v/>
      </c>
      <c r="O130" s="80"/>
      <c r="P130" s="80"/>
      <c r="Q130" s="80"/>
      <c r="R130" s="80"/>
    </row>
    <row r="131" ht="18" customHeight="1" spans="1:18">
      <c r="A131" s="87" t="str">
        <f t="shared" si="3"/>
        <v/>
      </c>
      <c r="B131" s="78"/>
      <c r="C131" s="80"/>
      <c r="D131" s="80"/>
      <c r="E131" s="79"/>
      <c r="F131" s="87" t="str">
        <f>IF($E131="","",IFERROR(INDEX(基础资料!$O$4:$O$34,MATCH($E131,基础资料!$N$4:$N$34,0))&amp;"",""))</f>
        <v/>
      </c>
      <c r="G131" s="87" t="str">
        <f>IF($E131="","",IFERROR(INDEX(基础资料!$P$4:$P$34,MATCH($E131,基础资料!$N$4:$N$34,0))&amp;"",""))</f>
        <v/>
      </c>
      <c r="H131" s="79"/>
      <c r="I131" s="88"/>
      <c r="J131" s="92"/>
      <c r="K131" s="93"/>
      <c r="L131" s="25" t="str">
        <f t="shared" si="4"/>
        <v/>
      </c>
      <c r="M131" s="94"/>
      <c r="N131" s="26" t="str">
        <f t="shared" si="5"/>
        <v/>
      </c>
      <c r="O131" s="80"/>
      <c r="P131" s="80"/>
      <c r="Q131" s="80"/>
      <c r="R131" s="80"/>
    </row>
    <row r="132" ht="18" customHeight="1" spans="1:18">
      <c r="A132" s="87" t="str">
        <f t="shared" ref="A132:A195" si="6">IF($E132="","",ROW()-3)</f>
        <v/>
      </c>
      <c r="B132" s="78"/>
      <c r="C132" s="80"/>
      <c r="D132" s="80"/>
      <c r="E132" s="79"/>
      <c r="F132" s="87" t="str">
        <f>IF($E132="","",IFERROR(INDEX(基础资料!$O$4:$O$34,MATCH($E132,基础资料!$N$4:$N$34,0))&amp;"",""))</f>
        <v/>
      </c>
      <c r="G132" s="87" t="str">
        <f>IF($E132="","",IFERROR(INDEX(基础资料!$P$4:$P$34,MATCH($E132,基础资料!$N$4:$N$34,0))&amp;"",""))</f>
        <v/>
      </c>
      <c r="H132" s="79"/>
      <c r="I132" s="88"/>
      <c r="J132" s="92"/>
      <c r="K132" s="93"/>
      <c r="L132" s="25" t="str">
        <f t="shared" ref="L132:L195" si="7">IF($E132="","",N($I132)+N($J132)-N($K132))</f>
        <v/>
      </c>
      <c r="M132" s="94"/>
      <c r="N132" s="26" t="str">
        <f t="shared" ref="N132:N195" si="8">IF($E132="","",ROUND(N($L132)*N($M132),2))</f>
        <v/>
      </c>
      <c r="O132" s="80"/>
      <c r="P132" s="80"/>
      <c r="Q132" s="80"/>
      <c r="R132" s="80"/>
    </row>
    <row r="133" ht="18" customHeight="1" spans="1:18">
      <c r="A133" s="87" t="str">
        <f t="shared" si="6"/>
        <v/>
      </c>
      <c r="B133" s="78"/>
      <c r="C133" s="80"/>
      <c r="D133" s="80"/>
      <c r="E133" s="79"/>
      <c r="F133" s="87" t="str">
        <f>IF($E133="","",IFERROR(INDEX(基础资料!$O$4:$O$34,MATCH($E133,基础资料!$N$4:$N$34,0))&amp;"",""))</f>
        <v/>
      </c>
      <c r="G133" s="87" t="str">
        <f>IF($E133="","",IFERROR(INDEX(基础资料!$P$4:$P$34,MATCH($E133,基础资料!$N$4:$N$34,0))&amp;"",""))</f>
        <v/>
      </c>
      <c r="H133" s="79"/>
      <c r="I133" s="88"/>
      <c r="J133" s="92"/>
      <c r="K133" s="93"/>
      <c r="L133" s="25" t="str">
        <f t="shared" si="7"/>
        <v/>
      </c>
      <c r="M133" s="94"/>
      <c r="N133" s="26" t="str">
        <f t="shared" si="8"/>
        <v/>
      </c>
      <c r="O133" s="80"/>
      <c r="P133" s="80"/>
      <c r="Q133" s="80"/>
      <c r="R133" s="80"/>
    </row>
    <row r="134" ht="18" customHeight="1" spans="1:18">
      <c r="A134" s="87" t="str">
        <f t="shared" si="6"/>
        <v/>
      </c>
      <c r="B134" s="78"/>
      <c r="C134" s="80"/>
      <c r="D134" s="80"/>
      <c r="E134" s="79"/>
      <c r="F134" s="87" t="str">
        <f>IF($E134="","",IFERROR(INDEX(基础资料!$O$4:$O$34,MATCH($E134,基础资料!$N$4:$N$34,0))&amp;"",""))</f>
        <v/>
      </c>
      <c r="G134" s="87" t="str">
        <f>IF($E134="","",IFERROR(INDEX(基础资料!$P$4:$P$34,MATCH($E134,基础资料!$N$4:$N$34,0))&amp;"",""))</f>
        <v/>
      </c>
      <c r="H134" s="79"/>
      <c r="I134" s="88"/>
      <c r="J134" s="92"/>
      <c r="K134" s="93"/>
      <c r="L134" s="25" t="str">
        <f t="shared" si="7"/>
        <v/>
      </c>
      <c r="M134" s="94"/>
      <c r="N134" s="26" t="str">
        <f t="shared" si="8"/>
        <v/>
      </c>
      <c r="O134" s="80"/>
      <c r="P134" s="80"/>
      <c r="Q134" s="80"/>
      <c r="R134" s="80"/>
    </row>
    <row r="135" ht="18" customHeight="1" spans="1:18">
      <c r="A135" s="87" t="str">
        <f t="shared" si="6"/>
        <v/>
      </c>
      <c r="B135" s="78"/>
      <c r="C135" s="80"/>
      <c r="D135" s="80"/>
      <c r="E135" s="79"/>
      <c r="F135" s="87" t="str">
        <f>IF($E135="","",IFERROR(INDEX(基础资料!$O$4:$O$34,MATCH($E135,基础资料!$N$4:$N$34,0))&amp;"",""))</f>
        <v/>
      </c>
      <c r="G135" s="87" t="str">
        <f>IF($E135="","",IFERROR(INDEX(基础资料!$P$4:$P$34,MATCH($E135,基础资料!$N$4:$N$34,0))&amp;"",""))</f>
        <v/>
      </c>
      <c r="H135" s="79"/>
      <c r="I135" s="88"/>
      <c r="J135" s="92"/>
      <c r="K135" s="93"/>
      <c r="L135" s="25" t="str">
        <f t="shared" si="7"/>
        <v/>
      </c>
      <c r="M135" s="94"/>
      <c r="N135" s="26" t="str">
        <f t="shared" si="8"/>
        <v/>
      </c>
      <c r="O135" s="80"/>
      <c r="P135" s="80"/>
      <c r="Q135" s="80"/>
      <c r="R135" s="80"/>
    </row>
    <row r="136" ht="18" customHeight="1" spans="1:18">
      <c r="A136" s="87" t="str">
        <f t="shared" si="6"/>
        <v/>
      </c>
      <c r="B136" s="78"/>
      <c r="C136" s="80"/>
      <c r="D136" s="80"/>
      <c r="E136" s="79"/>
      <c r="F136" s="87" t="str">
        <f>IF($E136="","",IFERROR(INDEX(基础资料!$O$4:$O$34,MATCH($E136,基础资料!$N$4:$N$34,0))&amp;"",""))</f>
        <v/>
      </c>
      <c r="G136" s="87" t="str">
        <f>IF($E136="","",IFERROR(INDEX(基础资料!$P$4:$P$34,MATCH($E136,基础资料!$N$4:$N$34,0))&amp;"",""))</f>
        <v/>
      </c>
      <c r="H136" s="79"/>
      <c r="I136" s="88"/>
      <c r="J136" s="92"/>
      <c r="K136" s="93"/>
      <c r="L136" s="25" t="str">
        <f t="shared" si="7"/>
        <v/>
      </c>
      <c r="M136" s="94"/>
      <c r="N136" s="26" t="str">
        <f t="shared" si="8"/>
        <v/>
      </c>
      <c r="O136" s="80"/>
      <c r="P136" s="80"/>
      <c r="Q136" s="80"/>
      <c r="R136" s="80"/>
    </row>
    <row r="137" ht="18" customHeight="1" spans="1:18">
      <c r="A137" s="87" t="str">
        <f t="shared" si="6"/>
        <v/>
      </c>
      <c r="B137" s="78"/>
      <c r="C137" s="80"/>
      <c r="D137" s="80"/>
      <c r="E137" s="79"/>
      <c r="F137" s="87" t="str">
        <f>IF($E137="","",IFERROR(INDEX(基础资料!$O$4:$O$34,MATCH($E137,基础资料!$N$4:$N$34,0))&amp;"",""))</f>
        <v/>
      </c>
      <c r="G137" s="87" t="str">
        <f>IF($E137="","",IFERROR(INDEX(基础资料!$P$4:$P$34,MATCH($E137,基础资料!$N$4:$N$34,0))&amp;"",""))</f>
        <v/>
      </c>
      <c r="H137" s="79"/>
      <c r="I137" s="88"/>
      <c r="J137" s="92"/>
      <c r="K137" s="93"/>
      <c r="L137" s="25" t="str">
        <f t="shared" si="7"/>
        <v/>
      </c>
      <c r="M137" s="94"/>
      <c r="N137" s="26" t="str">
        <f t="shared" si="8"/>
        <v/>
      </c>
      <c r="O137" s="80"/>
      <c r="P137" s="80"/>
      <c r="Q137" s="80"/>
      <c r="R137" s="80"/>
    </row>
    <row r="138" ht="18" customHeight="1" spans="1:18">
      <c r="A138" s="87" t="str">
        <f t="shared" si="6"/>
        <v/>
      </c>
      <c r="B138" s="78"/>
      <c r="C138" s="80"/>
      <c r="D138" s="80"/>
      <c r="E138" s="79"/>
      <c r="F138" s="87" t="str">
        <f>IF($E138="","",IFERROR(INDEX(基础资料!$O$4:$O$34,MATCH($E138,基础资料!$N$4:$N$34,0))&amp;"",""))</f>
        <v/>
      </c>
      <c r="G138" s="87" t="str">
        <f>IF($E138="","",IFERROR(INDEX(基础资料!$P$4:$P$34,MATCH($E138,基础资料!$N$4:$N$34,0))&amp;"",""))</f>
        <v/>
      </c>
      <c r="H138" s="79"/>
      <c r="I138" s="88"/>
      <c r="J138" s="92"/>
      <c r="K138" s="93"/>
      <c r="L138" s="25" t="str">
        <f t="shared" si="7"/>
        <v/>
      </c>
      <c r="M138" s="94"/>
      <c r="N138" s="26" t="str">
        <f t="shared" si="8"/>
        <v/>
      </c>
      <c r="O138" s="80"/>
      <c r="P138" s="80"/>
      <c r="Q138" s="80"/>
      <c r="R138" s="80"/>
    </row>
    <row r="139" ht="18" customHeight="1" spans="1:18">
      <c r="A139" s="87" t="str">
        <f t="shared" si="6"/>
        <v/>
      </c>
      <c r="B139" s="78"/>
      <c r="C139" s="80"/>
      <c r="D139" s="80"/>
      <c r="E139" s="79"/>
      <c r="F139" s="87" t="str">
        <f>IF($E139="","",IFERROR(INDEX(基础资料!$O$4:$O$34,MATCH($E139,基础资料!$N$4:$N$34,0))&amp;"",""))</f>
        <v/>
      </c>
      <c r="G139" s="87" t="str">
        <f>IF($E139="","",IFERROR(INDEX(基础资料!$P$4:$P$34,MATCH($E139,基础资料!$N$4:$N$34,0))&amp;"",""))</f>
        <v/>
      </c>
      <c r="H139" s="79"/>
      <c r="I139" s="88"/>
      <c r="J139" s="92"/>
      <c r="K139" s="93"/>
      <c r="L139" s="25" t="str">
        <f t="shared" si="7"/>
        <v/>
      </c>
      <c r="M139" s="94"/>
      <c r="N139" s="26" t="str">
        <f t="shared" si="8"/>
        <v/>
      </c>
      <c r="O139" s="80"/>
      <c r="P139" s="80"/>
      <c r="Q139" s="80"/>
      <c r="R139" s="80"/>
    </row>
    <row r="140" ht="18" customHeight="1" spans="1:18">
      <c r="A140" s="87" t="str">
        <f t="shared" si="6"/>
        <v/>
      </c>
      <c r="B140" s="78"/>
      <c r="C140" s="80"/>
      <c r="D140" s="80"/>
      <c r="E140" s="79"/>
      <c r="F140" s="87" t="str">
        <f>IF($E140="","",IFERROR(INDEX(基础资料!$O$4:$O$34,MATCH($E140,基础资料!$N$4:$N$34,0))&amp;"",""))</f>
        <v/>
      </c>
      <c r="G140" s="87" t="str">
        <f>IF($E140="","",IFERROR(INDEX(基础资料!$P$4:$P$34,MATCH($E140,基础资料!$N$4:$N$34,0))&amp;"",""))</f>
        <v/>
      </c>
      <c r="H140" s="79"/>
      <c r="I140" s="88"/>
      <c r="J140" s="92"/>
      <c r="K140" s="93"/>
      <c r="L140" s="25" t="str">
        <f t="shared" si="7"/>
        <v/>
      </c>
      <c r="M140" s="94"/>
      <c r="N140" s="26" t="str">
        <f t="shared" si="8"/>
        <v/>
      </c>
      <c r="O140" s="80"/>
      <c r="P140" s="80"/>
      <c r="Q140" s="80"/>
      <c r="R140" s="80"/>
    </row>
    <row r="141" ht="18" customHeight="1" spans="1:18">
      <c r="A141" s="87" t="str">
        <f t="shared" si="6"/>
        <v/>
      </c>
      <c r="B141" s="78"/>
      <c r="C141" s="80"/>
      <c r="D141" s="80"/>
      <c r="E141" s="79"/>
      <c r="F141" s="87" t="str">
        <f>IF($E141="","",IFERROR(INDEX(基础资料!$O$4:$O$34,MATCH($E141,基础资料!$N$4:$N$34,0))&amp;"",""))</f>
        <v/>
      </c>
      <c r="G141" s="87" t="str">
        <f>IF($E141="","",IFERROR(INDEX(基础资料!$P$4:$P$34,MATCH($E141,基础资料!$N$4:$N$34,0))&amp;"",""))</f>
        <v/>
      </c>
      <c r="H141" s="79"/>
      <c r="I141" s="88"/>
      <c r="J141" s="92"/>
      <c r="K141" s="93"/>
      <c r="L141" s="25" t="str">
        <f t="shared" si="7"/>
        <v/>
      </c>
      <c r="M141" s="94"/>
      <c r="N141" s="26" t="str">
        <f t="shared" si="8"/>
        <v/>
      </c>
      <c r="O141" s="80"/>
      <c r="P141" s="80"/>
      <c r="Q141" s="80"/>
      <c r="R141" s="80"/>
    </row>
    <row r="142" ht="18" customHeight="1" spans="1:18">
      <c r="A142" s="87" t="str">
        <f t="shared" si="6"/>
        <v/>
      </c>
      <c r="B142" s="78"/>
      <c r="C142" s="80"/>
      <c r="D142" s="80"/>
      <c r="E142" s="79"/>
      <c r="F142" s="87" t="str">
        <f>IF($E142="","",IFERROR(INDEX(基础资料!$O$4:$O$34,MATCH($E142,基础资料!$N$4:$N$34,0))&amp;"",""))</f>
        <v/>
      </c>
      <c r="G142" s="87" t="str">
        <f>IF($E142="","",IFERROR(INDEX(基础资料!$P$4:$P$34,MATCH($E142,基础资料!$N$4:$N$34,0))&amp;"",""))</f>
        <v/>
      </c>
      <c r="H142" s="79"/>
      <c r="I142" s="88"/>
      <c r="J142" s="92"/>
      <c r="K142" s="93"/>
      <c r="L142" s="25" t="str">
        <f t="shared" si="7"/>
        <v/>
      </c>
      <c r="M142" s="94"/>
      <c r="N142" s="26" t="str">
        <f t="shared" si="8"/>
        <v/>
      </c>
      <c r="O142" s="80"/>
      <c r="P142" s="80"/>
      <c r="Q142" s="80"/>
      <c r="R142" s="80"/>
    </row>
    <row r="143" ht="18" customHeight="1" spans="1:18">
      <c r="A143" s="87" t="str">
        <f t="shared" si="6"/>
        <v/>
      </c>
      <c r="B143" s="78"/>
      <c r="C143" s="80"/>
      <c r="D143" s="80"/>
      <c r="E143" s="79"/>
      <c r="F143" s="87" t="str">
        <f>IF($E143="","",IFERROR(INDEX(基础资料!$O$4:$O$34,MATCH($E143,基础资料!$N$4:$N$34,0))&amp;"",""))</f>
        <v/>
      </c>
      <c r="G143" s="87" t="str">
        <f>IF($E143="","",IFERROR(INDEX(基础资料!$P$4:$P$34,MATCH($E143,基础资料!$N$4:$N$34,0))&amp;"",""))</f>
        <v/>
      </c>
      <c r="H143" s="79"/>
      <c r="I143" s="88"/>
      <c r="J143" s="92"/>
      <c r="K143" s="93"/>
      <c r="L143" s="25" t="str">
        <f t="shared" si="7"/>
        <v/>
      </c>
      <c r="M143" s="94"/>
      <c r="N143" s="26" t="str">
        <f t="shared" si="8"/>
        <v/>
      </c>
      <c r="O143" s="80"/>
      <c r="P143" s="80"/>
      <c r="Q143" s="80"/>
      <c r="R143" s="80"/>
    </row>
    <row r="144" ht="18" customHeight="1" spans="1:18">
      <c r="A144" s="87" t="str">
        <f t="shared" si="6"/>
        <v/>
      </c>
      <c r="B144" s="78"/>
      <c r="C144" s="80"/>
      <c r="D144" s="80"/>
      <c r="E144" s="79"/>
      <c r="F144" s="87" t="str">
        <f>IF($E144="","",IFERROR(INDEX(基础资料!$O$4:$O$34,MATCH($E144,基础资料!$N$4:$N$34,0))&amp;"",""))</f>
        <v/>
      </c>
      <c r="G144" s="87" t="str">
        <f>IF($E144="","",IFERROR(INDEX(基础资料!$P$4:$P$34,MATCH($E144,基础资料!$N$4:$N$34,0))&amp;"",""))</f>
        <v/>
      </c>
      <c r="H144" s="79"/>
      <c r="I144" s="88"/>
      <c r="J144" s="92"/>
      <c r="K144" s="93"/>
      <c r="L144" s="25" t="str">
        <f t="shared" si="7"/>
        <v/>
      </c>
      <c r="M144" s="94"/>
      <c r="N144" s="26" t="str">
        <f t="shared" si="8"/>
        <v/>
      </c>
      <c r="O144" s="80"/>
      <c r="P144" s="80"/>
      <c r="Q144" s="80"/>
      <c r="R144" s="80"/>
    </row>
    <row r="145" ht="18" customHeight="1" spans="1:18">
      <c r="A145" s="87" t="str">
        <f t="shared" si="6"/>
        <v/>
      </c>
      <c r="B145" s="78"/>
      <c r="C145" s="80"/>
      <c r="D145" s="80"/>
      <c r="E145" s="79"/>
      <c r="F145" s="87" t="str">
        <f>IF($E145="","",IFERROR(INDEX(基础资料!$O$4:$O$34,MATCH($E145,基础资料!$N$4:$N$34,0))&amp;"",""))</f>
        <v/>
      </c>
      <c r="G145" s="87" t="str">
        <f>IF($E145="","",IFERROR(INDEX(基础资料!$P$4:$P$34,MATCH($E145,基础资料!$N$4:$N$34,0))&amp;"",""))</f>
        <v/>
      </c>
      <c r="H145" s="79"/>
      <c r="I145" s="88"/>
      <c r="J145" s="92"/>
      <c r="K145" s="93"/>
      <c r="L145" s="25" t="str">
        <f t="shared" si="7"/>
        <v/>
      </c>
      <c r="M145" s="94"/>
      <c r="N145" s="26" t="str">
        <f t="shared" si="8"/>
        <v/>
      </c>
      <c r="O145" s="80"/>
      <c r="P145" s="80"/>
      <c r="Q145" s="80"/>
      <c r="R145" s="80"/>
    </row>
    <row r="146" ht="18" customHeight="1" spans="1:18">
      <c r="A146" s="87" t="str">
        <f t="shared" si="6"/>
        <v/>
      </c>
      <c r="B146" s="78"/>
      <c r="C146" s="80"/>
      <c r="D146" s="80"/>
      <c r="E146" s="79"/>
      <c r="F146" s="87" t="str">
        <f>IF($E146="","",IFERROR(INDEX(基础资料!$O$4:$O$34,MATCH($E146,基础资料!$N$4:$N$34,0))&amp;"",""))</f>
        <v/>
      </c>
      <c r="G146" s="87" t="str">
        <f>IF($E146="","",IFERROR(INDEX(基础资料!$P$4:$P$34,MATCH($E146,基础资料!$N$4:$N$34,0))&amp;"",""))</f>
        <v/>
      </c>
      <c r="H146" s="79"/>
      <c r="I146" s="88"/>
      <c r="J146" s="92"/>
      <c r="K146" s="93"/>
      <c r="L146" s="25" t="str">
        <f t="shared" si="7"/>
        <v/>
      </c>
      <c r="M146" s="94"/>
      <c r="N146" s="26" t="str">
        <f t="shared" si="8"/>
        <v/>
      </c>
      <c r="O146" s="80"/>
      <c r="P146" s="80"/>
      <c r="Q146" s="80"/>
      <c r="R146" s="80"/>
    </row>
    <row r="147" ht="18" customHeight="1" spans="1:18">
      <c r="A147" s="87" t="str">
        <f t="shared" si="6"/>
        <v/>
      </c>
      <c r="B147" s="78"/>
      <c r="C147" s="80"/>
      <c r="D147" s="80"/>
      <c r="E147" s="79"/>
      <c r="F147" s="87" t="str">
        <f>IF($E147="","",IFERROR(INDEX(基础资料!$O$4:$O$34,MATCH($E147,基础资料!$N$4:$N$34,0))&amp;"",""))</f>
        <v/>
      </c>
      <c r="G147" s="87" t="str">
        <f>IF($E147="","",IFERROR(INDEX(基础资料!$P$4:$P$34,MATCH($E147,基础资料!$N$4:$N$34,0))&amp;"",""))</f>
        <v/>
      </c>
      <c r="H147" s="79"/>
      <c r="I147" s="88"/>
      <c r="J147" s="92"/>
      <c r="K147" s="93"/>
      <c r="L147" s="25" t="str">
        <f t="shared" si="7"/>
        <v/>
      </c>
      <c r="M147" s="94"/>
      <c r="N147" s="26" t="str">
        <f t="shared" si="8"/>
        <v/>
      </c>
      <c r="O147" s="80"/>
      <c r="P147" s="80"/>
      <c r="Q147" s="80"/>
      <c r="R147" s="80"/>
    </row>
    <row r="148" ht="18" customHeight="1" spans="1:18">
      <c r="A148" s="87" t="str">
        <f t="shared" si="6"/>
        <v/>
      </c>
      <c r="B148" s="78"/>
      <c r="C148" s="80"/>
      <c r="D148" s="80"/>
      <c r="E148" s="79"/>
      <c r="F148" s="87" t="str">
        <f>IF($E148="","",IFERROR(INDEX(基础资料!$O$4:$O$34,MATCH($E148,基础资料!$N$4:$N$34,0))&amp;"",""))</f>
        <v/>
      </c>
      <c r="G148" s="87" t="str">
        <f>IF($E148="","",IFERROR(INDEX(基础资料!$P$4:$P$34,MATCH($E148,基础资料!$N$4:$N$34,0))&amp;"",""))</f>
        <v/>
      </c>
      <c r="H148" s="79"/>
      <c r="I148" s="88"/>
      <c r="J148" s="92"/>
      <c r="K148" s="93"/>
      <c r="L148" s="25" t="str">
        <f t="shared" si="7"/>
        <v/>
      </c>
      <c r="M148" s="94"/>
      <c r="N148" s="26" t="str">
        <f t="shared" si="8"/>
        <v/>
      </c>
      <c r="O148" s="80"/>
      <c r="P148" s="80"/>
      <c r="Q148" s="80"/>
      <c r="R148" s="80"/>
    </row>
    <row r="149" ht="18" customHeight="1" spans="1:18">
      <c r="A149" s="87" t="str">
        <f t="shared" si="6"/>
        <v/>
      </c>
      <c r="B149" s="78"/>
      <c r="C149" s="80"/>
      <c r="D149" s="80"/>
      <c r="E149" s="79"/>
      <c r="F149" s="87" t="str">
        <f>IF($E149="","",IFERROR(INDEX(基础资料!$O$4:$O$34,MATCH($E149,基础资料!$N$4:$N$34,0))&amp;"",""))</f>
        <v/>
      </c>
      <c r="G149" s="87" t="str">
        <f>IF($E149="","",IFERROR(INDEX(基础资料!$P$4:$P$34,MATCH($E149,基础资料!$N$4:$N$34,0))&amp;"",""))</f>
        <v/>
      </c>
      <c r="H149" s="79"/>
      <c r="I149" s="88"/>
      <c r="J149" s="92"/>
      <c r="K149" s="93"/>
      <c r="L149" s="25" t="str">
        <f t="shared" si="7"/>
        <v/>
      </c>
      <c r="M149" s="94"/>
      <c r="N149" s="26" t="str">
        <f t="shared" si="8"/>
        <v/>
      </c>
      <c r="O149" s="80"/>
      <c r="P149" s="80"/>
      <c r="Q149" s="80"/>
      <c r="R149" s="80"/>
    </row>
    <row r="150" ht="18" customHeight="1" spans="1:18">
      <c r="A150" s="87" t="str">
        <f t="shared" si="6"/>
        <v/>
      </c>
      <c r="B150" s="78"/>
      <c r="C150" s="80"/>
      <c r="D150" s="80"/>
      <c r="E150" s="79"/>
      <c r="F150" s="87" t="str">
        <f>IF($E150="","",IFERROR(INDEX(基础资料!$O$4:$O$34,MATCH($E150,基础资料!$N$4:$N$34,0))&amp;"",""))</f>
        <v/>
      </c>
      <c r="G150" s="87" t="str">
        <f>IF($E150="","",IFERROR(INDEX(基础资料!$P$4:$P$34,MATCH($E150,基础资料!$N$4:$N$34,0))&amp;"",""))</f>
        <v/>
      </c>
      <c r="H150" s="79"/>
      <c r="I150" s="88"/>
      <c r="J150" s="92"/>
      <c r="K150" s="93"/>
      <c r="L150" s="25" t="str">
        <f t="shared" si="7"/>
        <v/>
      </c>
      <c r="M150" s="94"/>
      <c r="N150" s="26" t="str">
        <f t="shared" si="8"/>
        <v/>
      </c>
      <c r="O150" s="80"/>
      <c r="P150" s="80"/>
      <c r="Q150" s="80"/>
      <c r="R150" s="80"/>
    </row>
    <row r="151" ht="18" customHeight="1" spans="1:18">
      <c r="A151" s="87" t="str">
        <f t="shared" si="6"/>
        <v/>
      </c>
      <c r="B151" s="78"/>
      <c r="C151" s="80"/>
      <c r="D151" s="80"/>
      <c r="E151" s="79"/>
      <c r="F151" s="87" t="str">
        <f>IF($E151="","",IFERROR(INDEX(基础资料!$O$4:$O$34,MATCH($E151,基础资料!$N$4:$N$34,0))&amp;"",""))</f>
        <v/>
      </c>
      <c r="G151" s="87" t="str">
        <f>IF($E151="","",IFERROR(INDEX(基础资料!$P$4:$P$34,MATCH($E151,基础资料!$N$4:$N$34,0))&amp;"",""))</f>
        <v/>
      </c>
      <c r="H151" s="79"/>
      <c r="I151" s="88"/>
      <c r="J151" s="92"/>
      <c r="K151" s="93"/>
      <c r="L151" s="25" t="str">
        <f t="shared" si="7"/>
        <v/>
      </c>
      <c r="M151" s="94"/>
      <c r="N151" s="26" t="str">
        <f t="shared" si="8"/>
        <v/>
      </c>
      <c r="O151" s="80"/>
      <c r="P151" s="80"/>
      <c r="Q151" s="80"/>
      <c r="R151" s="80"/>
    </row>
    <row r="152" ht="18" customHeight="1" spans="1:18">
      <c r="A152" s="87" t="str">
        <f t="shared" si="6"/>
        <v/>
      </c>
      <c r="B152" s="78"/>
      <c r="C152" s="80"/>
      <c r="D152" s="80"/>
      <c r="E152" s="79"/>
      <c r="F152" s="87" t="str">
        <f>IF($E152="","",IFERROR(INDEX(基础资料!$O$4:$O$34,MATCH($E152,基础资料!$N$4:$N$34,0))&amp;"",""))</f>
        <v/>
      </c>
      <c r="G152" s="87" t="str">
        <f>IF($E152="","",IFERROR(INDEX(基础资料!$P$4:$P$34,MATCH($E152,基础资料!$N$4:$N$34,0))&amp;"",""))</f>
        <v/>
      </c>
      <c r="H152" s="79"/>
      <c r="I152" s="88"/>
      <c r="J152" s="92"/>
      <c r="K152" s="93"/>
      <c r="L152" s="25" t="str">
        <f t="shared" si="7"/>
        <v/>
      </c>
      <c r="M152" s="94"/>
      <c r="N152" s="26" t="str">
        <f t="shared" si="8"/>
        <v/>
      </c>
      <c r="O152" s="80"/>
      <c r="P152" s="80"/>
      <c r="Q152" s="80"/>
      <c r="R152" s="80"/>
    </row>
    <row r="153" ht="18" customHeight="1" spans="1:18">
      <c r="A153" s="87" t="str">
        <f t="shared" si="6"/>
        <v/>
      </c>
      <c r="B153" s="78"/>
      <c r="C153" s="80"/>
      <c r="D153" s="80"/>
      <c r="E153" s="79"/>
      <c r="F153" s="87" t="str">
        <f>IF($E153="","",IFERROR(INDEX(基础资料!$O$4:$O$34,MATCH($E153,基础资料!$N$4:$N$34,0))&amp;"",""))</f>
        <v/>
      </c>
      <c r="G153" s="87" t="str">
        <f>IF($E153="","",IFERROR(INDEX(基础资料!$P$4:$P$34,MATCH($E153,基础资料!$N$4:$N$34,0))&amp;"",""))</f>
        <v/>
      </c>
      <c r="H153" s="79"/>
      <c r="I153" s="88"/>
      <c r="J153" s="92"/>
      <c r="K153" s="93"/>
      <c r="L153" s="25" t="str">
        <f t="shared" si="7"/>
        <v/>
      </c>
      <c r="M153" s="94"/>
      <c r="N153" s="26" t="str">
        <f t="shared" si="8"/>
        <v/>
      </c>
      <c r="O153" s="80"/>
      <c r="P153" s="80"/>
      <c r="Q153" s="80"/>
      <c r="R153" s="80"/>
    </row>
    <row r="154" ht="18" customHeight="1" spans="1:18">
      <c r="A154" s="87" t="str">
        <f t="shared" si="6"/>
        <v/>
      </c>
      <c r="B154" s="78"/>
      <c r="C154" s="80"/>
      <c r="D154" s="80"/>
      <c r="E154" s="79"/>
      <c r="F154" s="87" t="str">
        <f>IF($E154="","",IFERROR(INDEX(基础资料!$O$4:$O$34,MATCH($E154,基础资料!$N$4:$N$34,0))&amp;"",""))</f>
        <v/>
      </c>
      <c r="G154" s="87" t="str">
        <f>IF($E154="","",IFERROR(INDEX(基础资料!$P$4:$P$34,MATCH($E154,基础资料!$N$4:$N$34,0))&amp;"",""))</f>
        <v/>
      </c>
      <c r="H154" s="79"/>
      <c r="I154" s="88"/>
      <c r="J154" s="92"/>
      <c r="K154" s="93"/>
      <c r="L154" s="25" t="str">
        <f t="shared" si="7"/>
        <v/>
      </c>
      <c r="M154" s="94"/>
      <c r="N154" s="26" t="str">
        <f t="shared" si="8"/>
        <v/>
      </c>
      <c r="O154" s="80"/>
      <c r="P154" s="80"/>
      <c r="Q154" s="80"/>
      <c r="R154" s="80"/>
    </row>
    <row r="155" ht="18" customHeight="1" spans="1:18">
      <c r="A155" s="87" t="str">
        <f t="shared" si="6"/>
        <v/>
      </c>
      <c r="B155" s="78"/>
      <c r="C155" s="80"/>
      <c r="D155" s="80"/>
      <c r="E155" s="79"/>
      <c r="F155" s="87" t="str">
        <f>IF($E155="","",IFERROR(INDEX(基础资料!$O$4:$O$34,MATCH($E155,基础资料!$N$4:$N$34,0))&amp;"",""))</f>
        <v/>
      </c>
      <c r="G155" s="87" t="str">
        <f>IF($E155="","",IFERROR(INDEX(基础资料!$P$4:$P$34,MATCH($E155,基础资料!$N$4:$N$34,0))&amp;"",""))</f>
        <v/>
      </c>
      <c r="H155" s="79"/>
      <c r="I155" s="88"/>
      <c r="J155" s="92"/>
      <c r="K155" s="93"/>
      <c r="L155" s="25" t="str">
        <f t="shared" si="7"/>
        <v/>
      </c>
      <c r="M155" s="94"/>
      <c r="N155" s="26" t="str">
        <f t="shared" si="8"/>
        <v/>
      </c>
      <c r="O155" s="80"/>
      <c r="P155" s="80"/>
      <c r="Q155" s="80"/>
      <c r="R155" s="80"/>
    </row>
    <row r="156" ht="18" customHeight="1" spans="1:18">
      <c r="A156" s="87" t="str">
        <f t="shared" si="6"/>
        <v/>
      </c>
      <c r="B156" s="78"/>
      <c r="C156" s="80"/>
      <c r="D156" s="80"/>
      <c r="E156" s="79"/>
      <c r="F156" s="87" t="str">
        <f>IF($E156="","",IFERROR(INDEX(基础资料!$O$4:$O$34,MATCH($E156,基础资料!$N$4:$N$34,0))&amp;"",""))</f>
        <v/>
      </c>
      <c r="G156" s="87" t="str">
        <f>IF($E156="","",IFERROR(INDEX(基础资料!$P$4:$P$34,MATCH($E156,基础资料!$N$4:$N$34,0))&amp;"",""))</f>
        <v/>
      </c>
      <c r="H156" s="79"/>
      <c r="I156" s="88"/>
      <c r="J156" s="92"/>
      <c r="K156" s="93"/>
      <c r="L156" s="25" t="str">
        <f t="shared" si="7"/>
        <v/>
      </c>
      <c r="M156" s="94"/>
      <c r="N156" s="26" t="str">
        <f t="shared" si="8"/>
        <v/>
      </c>
      <c r="O156" s="80"/>
      <c r="P156" s="80"/>
      <c r="Q156" s="80"/>
      <c r="R156" s="80"/>
    </row>
    <row r="157" ht="18" customHeight="1" spans="1:18">
      <c r="A157" s="87" t="str">
        <f t="shared" si="6"/>
        <v/>
      </c>
      <c r="B157" s="78"/>
      <c r="C157" s="80"/>
      <c r="D157" s="80"/>
      <c r="E157" s="79"/>
      <c r="F157" s="87" t="str">
        <f>IF($E157="","",IFERROR(INDEX(基础资料!$O$4:$O$34,MATCH($E157,基础资料!$N$4:$N$34,0))&amp;"",""))</f>
        <v/>
      </c>
      <c r="G157" s="87" t="str">
        <f>IF($E157="","",IFERROR(INDEX(基础资料!$P$4:$P$34,MATCH($E157,基础资料!$N$4:$N$34,0))&amp;"",""))</f>
        <v/>
      </c>
      <c r="H157" s="79"/>
      <c r="I157" s="88"/>
      <c r="J157" s="92"/>
      <c r="K157" s="93"/>
      <c r="L157" s="25" t="str">
        <f t="shared" si="7"/>
        <v/>
      </c>
      <c r="M157" s="94"/>
      <c r="N157" s="26" t="str">
        <f t="shared" si="8"/>
        <v/>
      </c>
      <c r="O157" s="80"/>
      <c r="P157" s="80"/>
      <c r="Q157" s="80"/>
      <c r="R157" s="80"/>
    </row>
    <row r="158" ht="18" customHeight="1" spans="1:18">
      <c r="A158" s="87" t="str">
        <f t="shared" si="6"/>
        <v/>
      </c>
      <c r="B158" s="78"/>
      <c r="C158" s="80"/>
      <c r="D158" s="80"/>
      <c r="E158" s="79"/>
      <c r="F158" s="87" t="str">
        <f>IF($E158="","",IFERROR(INDEX(基础资料!$O$4:$O$34,MATCH($E158,基础资料!$N$4:$N$34,0))&amp;"",""))</f>
        <v/>
      </c>
      <c r="G158" s="87" t="str">
        <f>IF($E158="","",IFERROR(INDEX(基础资料!$P$4:$P$34,MATCH($E158,基础资料!$N$4:$N$34,0))&amp;"",""))</f>
        <v/>
      </c>
      <c r="H158" s="79"/>
      <c r="I158" s="88"/>
      <c r="J158" s="92"/>
      <c r="K158" s="93"/>
      <c r="L158" s="25" t="str">
        <f t="shared" si="7"/>
        <v/>
      </c>
      <c r="M158" s="94"/>
      <c r="N158" s="26" t="str">
        <f t="shared" si="8"/>
        <v/>
      </c>
      <c r="O158" s="80"/>
      <c r="P158" s="80"/>
      <c r="Q158" s="80"/>
      <c r="R158" s="80"/>
    </row>
    <row r="159" ht="18" customHeight="1" spans="1:18">
      <c r="A159" s="87" t="str">
        <f t="shared" si="6"/>
        <v/>
      </c>
      <c r="B159" s="78"/>
      <c r="C159" s="80"/>
      <c r="D159" s="80"/>
      <c r="E159" s="79"/>
      <c r="F159" s="87" t="str">
        <f>IF($E159="","",IFERROR(INDEX(基础资料!$O$4:$O$34,MATCH($E159,基础资料!$N$4:$N$34,0))&amp;"",""))</f>
        <v/>
      </c>
      <c r="G159" s="87" t="str">
        <f>IF($E159="","",IFERROR(INDEX(基础资料!$P$4:$P$34,MATCH($E159,基础资料!$N$4:$N$34,0))&amp;"",""))</f>
        <v/>
      </c>
      <c r="H159" s="79"/>
      <c r="I159" s="88"/>
      <c r="J159" s="92"/>
      <c r="K159" s="93"/>
      <c r="L159" s="25" t="str">
        <f t="shared" si="7"/>
        <v/>
      </c>
      <c r="M159" s="94"/>
      <c r="N159" s="26" t="str">
        <f t="shared" si="8"/>
        <v/>
      </c>
      <c r="O159" s="80"/>
      <c r="P159" s="80"/>
      <c r="Q159" s="80"/>
      <c r="R159" s="80"/>
    </row>
    <row r="160" ht="18" customHeight="1" spans="1:18">
      <c r="A160" s="87" t="str">
        <f t="shared" si="6"/>
        <v/>
      </c>
      <c r="B160" s="78"/>
      <c r="C160" s="80"/>
      <c r="D160" s="80"/>
      <c r="E160" s="79"/>
      <c r="F160" s="87" t="str">
        <f>IF($E160="","",IFERROR(INDEX(基础资料!$O$4:$O$34,MATCH($E160,基础资料!$N$4:$N$34,0))&amp;"",""))</f>
        <v/>
      </c>
      <c r="G160" s="87" t="str">
        <f>IF($E160="","",IFERROR(INDEX(基础资料!$P$4:$P$34,MATCH($E160,基础资料!$N$4:$N$34,0))&amp;"",""))</f>
        <v/>
      </c>
      <c r="H160" s="79"/>
      <c r="I160" s="88"/>
      <c r="J160" s="92"/>
      <c r="K160" s="93"/>
      <c r="L160" s="25" t="str">
        <f t="shared" si="7"/>
        <v/>
      </c>
      <c r="M160" s="94"/>
      <c r="N160" s="26" t="str">
        <f t="shared" si="8"/>
        <v/>
      </c>
      <c r="O160" s="80"/>
      <c r="P160" s="80"/>
      <c r="Q160" s="80"/>
      <c r="R160" s="80"/>
    </row>
    <row r="161" ht="18" customHeight="1" spans="1:18">
      <c r="A161" s="87" t="str">
        <f t="shared" si="6"/>
        <v/>
      </c>
      <c r="B161" s="78"/>
      <c r="C161" s="80"/>
      <c r="D161" s="80"/>
      <c r="E161" s="79"/>
      <c r="F161" s="87" t="str">
        <f>IF($E161="","",IFERROR(INDEX(基础资料!$O$4:$O$34,MATCH($E161,基础资料!$N$4:$N$34,0))&amp;"",""))</f>
        <v/>
      </c>
      <c r="G161" s="87" t="str">
        <f>IF($E161="","",IFERROR(INDEX(基础资料!$P$4:$P$34,MATCH($E161,基础资料!$N$4:$N$34,0))&amp;"",""))</f>
        <v/>
      </c>
      <c r="H161" s="79"/>
      <c r="I161" s="88"/>
      <c r="J161" s="92"/>
      <c r="K161" s="93"/>
      <c r="L161" s="25" t="str">
        <f t="shared" si="7"/>
        <v/>
      </c>
      <c r="M161" s="94"/>
      <c r="N161" s="26" t="str">
        <f t="shared" si="8"/>
        <v/>
      </c>
      <c r="O161" s="80"/>
      <c r="P161" s="80"/>
      <c r="Q161" s="80"/>
      <c r="R161" s="80"/>
    </row>
    <row r="162" ht="18" customHeight="1" spans="1:18">
      <c r="A162" s="87" t="str">
        <f t="shared" si="6"/>
        <v/>
      </c>
      <c r="B162" s="78"/>
      <c r="C162" s="80"/>
      <c r="D162" s="80"/>
      <c r="E162" s="79"/>
      <c r="F162" s="87" t="str">
        <f>IF($E162="","",IFERROR(INDEX(基础资料!$O$4:$O$34,MATCH($E162,基础资料!$N$4:$N$34,0))&amp;"",""))</f>
        <v/>
      </c>
      <c r="G162" s="87" t="str">
        <f>IF($E162="","",IFERROR(INDEX(基础资料!$P$4:$P$34,MATCH($E162,基础资料!$N$4:$N$34,0))&amp;"",""))</f>
        <v/>
      </c>
      <c r="H162" s="79"/>
      <c r="I162" s="88"/>
      <c r="J162" s="92"/>
      <c r="K162" s="93"/>
      <c r="L162" s="25" t="str">
        <f t="shared" si="7"/>
        <v/>
      </c>
      <c r="M162" s="94"/>
      <c r="N162" s="26" t="str">
        <f t="shared" si="8"/>
        <v/>
      </c>
      <c r="O162" s="80"/>
      <c r="P162" s="80"/>
      <c r="Q162" s="80"/>
      <c r="R162" s="80"/>
    </row>
    <row r="163" ht="18" customHeight="1" spans="1:18">
      <c r="A163" s="87" t="str">
        <f t="shared" si="6"/>
        <v/>
      </c>
      <c r="B163" s="78"/>
      <c r="C163" s="80"/>
      <c r="D163" s="80"/>
      <c r="E163" s="79"/>
      <c r="F163" s="87" t="str">
        <f>IF($E163="","",IFERROR(INDEX(基础资料!$O$4:$O$34,MATCH($E163,基础资料!$N$4:$N$34,0))&amp;"",""))</f>
        <v/>
      </c>
      <c r="G163" s="87" t="str">
        <f>IF($E163="","",IFERROR(INDEX(基础资料!$P$4:$P$34,MATCH($E163,基础资料!$N$4:$N$34,0))&amp;"",""))</f>
        <v/>
      </c>
      <c r="H163" s="79"/>
      <c r="I163" s="88"/>
      <c r="J163" s="92"/>
      <c r="K163" s="93"/>
      <c r="L163" s="25" t="str">
        <f t="shared" si="7"/>
        <v/>
      </c>
      <c r="M163" s="94"/>
      <c r="N163" s="26" t="str">
        <f t="shared" si="8"/>
        <v/>
      </c>
      <c r="O163" s="80"/>
      <c r="P163" s="80"/>
      <c r="Q163" s="80"/>
      <c r="R163" s="80"/>
    </row>
    <row r="164" ht="18" customHeight="1" spans="1:18">
      <c r="A164" s="87" t="str">
        <f t="shared" si="6"/>
        <v/>
      </c>
      <c r="B164" s="78"/>
      <c r="C164" s="80"/>
      <c r="D164" s="80"/>
      <c r="E164" s="79"/>
      <c r="F164" s="87" t="str">
        <f>IF($E164="","",IFERROR(INDEX(基础资料!$O$4:$O$34,MATCH($E164,基础资料!$N$4:$N$34,0))&amp;"",""))</f>
        <v/>
      </c>
      <c r="G164" s="87" t="str">
        <f>IF($E164="","",IFERROR(INDEX(基础资料!$P$4:$P$34,MATCH($E164,基础资料!$N$4:$N$34,0))&amp;"",""))</f>
        <v/>
      </c>
      <c r="H164" s="79"/>
      <c r="I164" s="88"/>
      <c r="J164" s="92"/>
      <c r="K164" s="93"/>
      <c r="L164" s="25" t="str">
        <f t="shared" si="7"/>
        <v/>
      </c>
      <c r="M164" s="94"/>
      <c r="N164" s="26" t="str">
        <f t="shared" si="8"/>
        <v/>
      </c>
      <c r="O164" s="80"/>
      <c r="P164" s="80"/>
      <c r="Q164" s="80"/>
      <c r="R164" s="80"/>
    </row>
    <row r="165" ht="18" customHeight="1" spans="1:18">
      <c r="A165" s="87" t="str">
        <f t="shared" si="6"/>
        <v/>
      </c>
      <c r="B165" s="78"/>
      <c r="C165" s="80"/>
      <c r="D165" s="80"/>
      <c r="E165" s="79"/>
      <c r="F165" s="87" t="str">
        <f>IF($E165="","",IFERROR(INDEX(基础资料!$O$4:$O$34,MATCH($E165,基础资料!$N$4:$N$34,0))&amp;"",""))</f>
        <v/>
      </c>
      <c r="G165" s="87" t="str">
        <f>IF($E165="","",IFERROR(INDEX(基础资料!$P$4:$P$34,MATCH($E165,基础资料!$N$4:$N$34,0))&amp;"",""))</f>
        <v/>
      </c>
      <c r="H165" s="79"/>
      <c r="I165" s="88"/>
      <c r="J165" s="92"/>
      <c r="K165" s="93"/>
      <c r="L165" s="25" t="str">
        <f t="shared" si="7"/>
        <v/>
      </c>
      <c r="M165" s="94"/>
      <c r="N165" s="26" t="str">
        <f t="shared" si="8"/>
        <v/>
      </c>
      <c r="O165" s="80"/>
      <c r="P165" s="80"/>
      <c r="Q165" s="80"/>
      <c r="R165" s="80"/>
    </row>
    <row r="166" ht="18" customHeight="1" spans="1:18">
      <c r="A166" s="87" t="str">
        <f t="shared" si="6"/>
        <v/>
      </c>
      <c r="B166" s="78"/>
      <c r="C166" s="80"/>
      <c r="D166" s="80"/>
      <c r="E166" s="79"/>
      <c r="F166" s="87" t="str">
        <f>IF($E166="","",IFERROR(INDEX(基础资料!$O$4:$O$34,MATCH($E166,基础资料!$N$4:$N$34,0))&amp;"",""))</f>
        <v/>
      </c>
      <c r="G166" s="87" t="str">
        <f>IF($E166="","",IFERROR(INDEX(基础资料!$P$4:$P$34,MATCH($E166,基础资料!$N$4:$N$34,0))&amp;"",""))</f>
        <v/>
      </c>
      <c r="H166" s="79"/>
      <c r="I166" s="88"/>
      <c r="J166" s="92"/>
      <c r="K166" s="93"/>
      <c r="L166" s="25" t="str">
        <f t="shared" si="7"/>
        <v/>
      </c>
      <c r="M166" s="94"/>
      <c r="N166" s="26" t="str">
        <f t="shared" si="8"/>
        <v/>
      </c>
      <c r="O166" s="80"/>
      <c r="P166" s="80"/>
      <c r="Q166" s="80"/>
      <c r="R166" s="80"/>
    </row>
    <row r="167" ht="18" customHeight="1" spans="1:18">
      <c r="A167" s="87" t="str">
        <f t="shared" si="6"/>
        <v/>
      </c>
      <c r="B167" s="78"/>
      <c r="C167" s="80"/>
      <c r="D167" s="80"/>
      <c r="E167" s="79"/>
      <c r="F167" s="87" t="str">
        <f>IF($E167="","",IFERROR(INDEX(基础资料!$O$4:$O$34,MATCH($E167,基础资料!$N$4:$N$34,0))&amp;"",""))</f>
        <v/>
      </c>
      <c r="G167" s="87" t="str">
        <f>IF($E167="","",IFERROR(INDEX(基础资料!$P$4:$P$34,MATCH($E167,基础资料!$N$4:$N$34,0))&amp;"",""))</f>
        <v/>
      </c>
      <c r="H167" s="79"/>
      <c r="I167" s="88"/>
      <c r="J167" s="92"/>
      <c r="K167" s="93"/>
      <c r="L167" s="25" t="str">
        <f t="shared" si="7"/>
        <v/>
      </c>
      <c r="M167" s="94"/>
      <c r="N167" s="26" t="str">
        <f t="shared" si="8"/>
        <v/>
      </c>
      <c r="O167" s="80"/>
      <c r="P167" s="80"/>
      <c r="Q167" s="80"/>
      <c r="R167" s="80"/>
    </row>
    <row r="168" ht="18" customHeight="1" spans="1:18">
      <c r="A168" s="87" t="str">
        <f t="shared" si="6"/>
        <v/>
      </c>
      <c r="B168" s="78"/>
      <c r="C168" s="80"/>
      <c r="D168" s="80"/>
      <c r="E168" s="79"/>
      <c r="F168" s="87" t="str">
        <f>IF($E168="","",IFERROR(INDEX(基础资料!$O$4:$O$34,MATCH($E168,基础资料!$N$4:$N$34,0))&amp;"",""))</f>
        <v/>
      </c>
      <c r="G168" s="87" t="str">
        <f>IF($E168="","",IFERROR(INDEX(基础资料!$P$4:$P$34,MATCH($E168,基础资料!$N$4:$N$34,0))&amp;"",""))</f>
        <v/>
      </c>
      <c r="H168" s="79"/>
      <c r="I168" s="88"/>
      <c r="J168" s="92"/>
      <c r="K168" s="93"/>
      <c r="L168" s="25" t="str">
        <f t="shared" si="7"/>
        <v/>
      </c>
      <c r="M168" s="94"/>
      <c r="N168" s="26" t="str">
        <f t="shared" si="8"/>
        <v/>
      </c>
      <c r="O168" s="80"/>
      <c r="P168" s="80"/>
      <c r="Q168" s="80"/>
      <c r="R168" s="80"/>
    </row>
    <row r="169" ht="18" customHeight="1" spans="1:18">
      <c r="A169" s="87" t="str">
        <f t="shared" si="6"/>
        <v/>
      </c>
      <c r="B169" s="78"/>
      <c r="C169" s="80"/>
      <c r="D169" s="80"/>
      <c r="E169" s="79"/>
      <c r="F169" s="87" t="str">
        <f>IF($E169="","",IFERROR(INDEX(基础资料!$O$4:$O$34,MATCH($E169,基础资料!$N$4:$N$34,0))&amp;"",""))</f>
        <v/>
      </c>
      <c r="G169" s="87" t="str">
        <f>IF($E169="","",IFERROR(INDEX(基础资料!$P$4:$P$34,MATCH($E169,基础资料!$N$4:$N$34,0))&amp;"",""))</f>
        <v/>
      </c>
      <c r="H169" s="79"/>
      <c r="I169" s="88"/>
      <c r="J169" s="92"/>
      <c r="K169" s="93"/>
      <c r="L169" s="25" t="str">
        <f t="shared" si="7"/>
        <v/>
      </c>
      <c r="M169" s="94"/>
      <c r="N169" s="26" t="str">
        <f t="shared" si="8"/>
        <v/>
      </c>
      <c r="O169" s="80"/>
      <c r="P169" s="80"/>
      <c r="Q169" s="80"/>
      <c r="R169" s="80"/>
    </row>
    <row r="170" ht="18" customHeight="1" spans="1:18">
      <c r="A170" s="87" t="str">
        <f t="shared" si="6"/>
        <v/>
      </c>
      <c r="B170" s="78"/>
      <c r="C170" s="80"/>
      <c r="D170" s="80"/>
      <c r="E170" s="79"/>
      <c r="F170" s="87" t="str">
        <f>IF($E170="","",IFERROR(INDEX(基础资料!$O$4:$O$34,MATCH($E170,基础资料!$N$4:$N$34,0))&amp;"",""))</f>
        <v/>
      </c>
      <c r="G170" s="87" t="str">
        <f>IF($E170="","",IFERROR(INDEX(基础资料!$P$4:$P$34,MATCH($E170,基础资料!$N$4:$N$34,0))&amp;"",""))</f>
        <v/>
      </c>
      <c r="H170" s="79"/>
      <c r="I170" s="88"/>
      <c r="J170" s="92"/>
      <c r="K170" s="93"/>
      <c r="L170" s="25" t="str">
        <f t="shared" si="7"/>
        <v/>
      </c>
      <c r="M170" s="94"/>
      <c r="N170" s="26" t="str">
        <f t="shared" si="8"/>
        <v/>
      </c>
      <c r="O170" s="80"/>
      <c r="P170" s="80"/>
      <c r="Q170" s="80"/>
      <c r="R170" s="80"/>
    </row>
    <row r="171" ht="18" customHeight="1" spans="1:18">
      <c r="A171" s="87" t="str">
        <f t="shared" si="6"/>
        <v/>
      </c>
      <c r="B171" s="78"/>
      <c r="C171" s="80"/>
      <c r="D171" s="80"/>
      <c r="E171" s="79"/>
      <c r="F171" s="87" t="str">
        <f>IF($E171="","",IFERROR(INDEX(基础资料!$O$4:$O$34,MATCH($E171,基础资料!$N$4:$N$34,0))&amp;"",""))</f>
        <v/>
      </c>
      <c r="G171" s="87" t="str">
        <f>IF($E171="","",IFERROR(INDEX(基础资料!$P$4:$P$34,MATCH($E171,基础资料!$N$4:$N$34,0))&amp;"",""))</f>
        <v/>
      </c>
      <c r="H171" s="79"/>
      <c r="I171" s="88"/>
      <c r="J171" s="92"/>
      <c r="K171" s="93"/>
      <c r="L171" s="25" t="str">
        <f t="shared" si="7"/>
        <v/>
      </c>
      <c r="M171" s="94"/>
      <c r="N171" s="26" t="str">
        <f t="shared" si="8"/>
        <v/>
      </c>
      <c r="O171" s="80"/>
      <c r="P171" s="80"/>
      <c r="Q171" s="80"/>
      <c r="R171" s="80"/>
    </row>
    <row r="172" ht="18" customHeight="1" spans="1:18">
      <c r="A172" s="87" t="str">
        <f t="shared" si="6"/>
        <v/>
      </c>
      <c r="B172" s="78"/>
      <c r="C172" s="80"/>
      <c r="D172" s="80"/>
      <c r="E172" s="79"/>
      <c r="F172" s="87" t="str">
        <f>IF($E172="","",IFERROR(INDEX(基础资料!$O$4:$O$34,MATCH($E172,基础资料!$N$4:$N$34,0))&amp;"",""))</f>
        <v/>
      </c>
      <c r="G172" s="87" t="str">
        <f>IF($E172="","",IFERROR(INDEX(基础资料!$P$4:$P$34,MATCH($E172,基础资料!$N$4:$N$34,0))&amp;"",""))</f>
        <v/>
      </c>
      <c r="H172" s="79"/>
      <c r="I172" s="88"/>
      <c r="J172" s="92"/>
      <c r="K172" s="93"/>
      <c r="L172" s="25" t="str">
        <f t="shared" si="7"/>
        <v/>
      </c>
      <c r="M172" s="94"/>
      <c r="N172" s="26" t="str">
        <f t="shared" si="8"/>
        <v/>
      </c>
      <c r="O172" s="80"/>
      <c r="P172" s="80"/>
      <c r="Q172" s="80"/>
      <c r="R172" s="80"/>
    </row>
    <row r="173" ht="18" customHeight="1" spans="1:18">
      <c r="A173" s="87" t="str">
        <f t="shared" si="6"/>
        <v/>
      </c>
      <c r="B173" s="78"/>
      <c r="C173" s="80"/>
      <c r="D173" s="80"/>
      <c r="E173" s="79"/>
      <c r="F173" s="87" t="str">
        <f>IF($E173="","",IFERROR(INDEX(基础资料!$O$4:$O$34,MATCH($E173,基础资料!$N$4:$N$34,0))&amp;"",""))</f>
        <v/>
      </c>
      <c r="G173" s="87" t="str">
        <f>IF($E173="","",IFERROR(INDEX(基础资料!$P$4:$P$34,MATCH($E173,基础资料!$N$4:$N$34,0))&amp;"",""))</f>
        <v/>
      </c>
      <c r="H173" s="79"/>
      <c r="I173" s="88"/>
      <c r="J173" s="92"/>
      <c r="K173" s="93"/>
      <c r="L173" s="25" t="str">
        <f t="shared" si="7"/>
        <v/>
      </c>
      <c r="M173" s="94"/>
      <c r="N173" s="26" t="str">
        <f t="shared" si="8"/>
        <v/>
      </c>
      <c r="O173" s="80"/>
      <c r="P173" s="80"/>
      <c r="Q173" s="80"/>
      <c r="R173" s="80"/>
    </row>
    <row r="174" ht="18" customHeight="1" spans="1:18">
      <c r="A174" s="87" t="str">
        <f t="shared" si="6"/>
        <v/>
      </c>
      <c r="B174" s="78"/>
      <c r="C174" s="80"/>
      <c r="D174" s="80"/>
      <c r="E174" s="79"/>
      <c r="F174" s="87" t="str">
        <f>IF($E174="","",IFERROR(INDEX(基础资料!$O$4:$O$34,MATCH($E174,基础资料!$N$4:$N$34,0))&amp;"",""))</f>
        <v/>
      </c>
      <c r="G174" s="87" t="str">
        <f>IF($E174="","",IFERROR(INDEX(基础资料!$P$4:$P$34,MATCH($E174,基础资料!$N$4:$N$34,0))&amp;"",""))</f>
        <v/>
      </c>
      <c r="H174" s="79"/>
      <c r="I174" s="88"/>
      <c r="J174" s="92"/>
      <c r="K174" s="93"/>
      <c r="L174" s="25" t="str">
        <f t="shared" si="7"/>
        <v/>
      </c>
      <c r="M174" s="94"/>
      <c r="N174" s="26" t="str">
        <f t="shared" si="8"/>
        <v/>
      </c>
      <c r="O174" s="80"/>
      <c r="P174" s="80"/>
      <c r="Q174" s="80"/>
      <c r="R174" s="80"/>
    </row>
    <row r="175" ht="18" customHeight="1" spans="1:18">
      <c r="A175" s="87" t="str">
        <f t="shared" si="6"/>
        <v/>
      </c>
      <c r="B175" s="78"/>
      <c r="C175" s="80"/>
      <c r="D175" s="80"/>
      <c r="E175" s="79"/>
      <c r="F175" s="87" t="str">
        <f>IF($E175="","",IFERROR(INDEX(基础资料!$O$4:$O$34,MATCH($E175,基础资料!$N$4:$N$34,0))&amp;"",""))</f>
        <v/>
      </c>
      <c r="G175" s="87" t="str">
        <f>IF($E175="","",IFERROR(INDEX(基础资料!$P$4:$P$34,MATCH($E175,基础资料!$N$4:$N$34,0))&amp;"",""))</f>
        <v/>
      </c>
      <c r="H175" s="79"/>
      <c r="I175" s="88"/>
      <c r="J175" s="92"/>
      <c r="K175" s="93"/>
      <c r="L175" s="25" t="str">
        <f t="shared" si="7"/>
        <v/>
      </c>
      <c r="M175" s="94"/>
      <c r="N175" s="26" t="str">
        <f t="shared" si="8"/>
        <v/>
      </c>
      <c r="O175" s="80"/>
      <c r="P175" s="80"/>
      <c r="Q175" s="80"/>
      <c r="R175" s="80"/>
    </row>
    <row r="176" ht="18" customHeight="1" spans="1:18">
      <c r="A176" s="87" t="str">
        <f t="shared" si="6"/>
        <v/>
      </c>
      <c r="B176" s="78"/>
      <c r="C176" s="80"/>
      <c r="D176" s="80"/>
      <c r="E176" s="79"/>
      <c r="F176" s="87" t="str">
        <f>IF($E176="","",IFERROR(INDEX(基础资料!$O$4:$O$34,MATCH($E176,基础资料!$N$4:$N$34,0))&amp;"",""))</f>
        <v/>
      </c>
      <c r="G176" s="87" t="str">
        <f>IF($E176="","",IFERROR(INDEX(基础资料!$P$4:$P$34,MATCH($E176,基础资料!$N$4:$N$34,0))&amp;"",""))</f>
        <v/>
      </c>
      <c r="H176" s="79"/>
      <c r="I176" s="88"/>
      <c r="J176" s="92"/>
      <c r="K176" s="93"/>
      <c r="L176" s="25" t="str">
        <f t="shared" si="7"/>
        <v/>
      </c>
      <c r="M176" s="94"/>
      <c r="N176" s="26" t="str">
        <f t="shared" si="8"/>
        <v/>
      </c>
      <c r="O176" s="80"/>
      <c r="P176" s="80"/>
      <c r="Q176" s="80"/>
      <c r="R176" s="80"/>
    </row>
    <row r="177" ht="18" customHeight="1" spans="1:18">
      <c r="A177" s="87" t="str">
        <f t="shared" si="6"/>
        <v/>
      </c>
      <c r="B177" s="78"/>
      <c r="C177" s="80"/>
      <c r="D177" s="80"/>
      <c r="E177" s="79"/>
      <c r="F177" s="87" t="str">
        <f>IF($E177="","",IFERROR(INDEX(基础资料!$O$4:$O$34,MATCH($E177,基础资料!$N$4:$N$34,0))&amp;"",""))</f>
        <v/>
      </c>
      <c r="G177" s="87" t="str">
        <f>IF($E177="","",IFERROR(INDEX(基础资料!$P$4:$P$34,MATCH($E177,基础资料!$N$4:$N$34,0))&amp;"",""))</f>
        <v/>
      </c>
      <c r="H177" s="79"/>
      <c r="I177" s="88"/>
      <c r="J177" s="92"/>
      <c r="K177" s="93"/>
      <c r="L177" s="25" t="str">
        <f t="shared" si="7"/>
        <v/>
      </c>
      <c r="M177" s="94"/>
      <c r="N177" s="26" t="str">
        <f t="shared" si="8"/>
        <v/>
      </c>
      <c r="O177" s="80"/>
      <c r="P177" s="80"/>
      <c r="Q177" s="80"/>
      <c r="R177" s="80"/>
    </row>
    <row r="178" ht="18" customHeight="1" spans="1:18">
      <c r="A178" s="87" t="str">
        <f t="shared" si="6"/>
        <v/>
      </c>
      <c r="B178" s="78"/>
      <c r="C178" s="80"/>
      <c r="D178" s="80"/>
      <c r="E178" s="79"/>
      <c r="F178" s="87" t="str">
        <f>IF($E178="","",IFERROR(INDEX(基础资料!$O$4:$O$34,MATCH($E178,基础资料!$N$4:$N$34,0))&amp;"",""))</f>
        <v/>
      </c>
      <c r="G178" s="87" t="str">
        <f>IF($E178="","",IFERROR(INDEX(基础资料!$P$4:$P$34,MATCH($E178,基础资料!$N$4:$N$34,0))&amp;"",""))</f>
        <v/>
      </c>
      <c r="H178" s="79"/>
      <c r="I178" s="88"/>
      <c r="J178" s="92"/>
      <c r="K178" s="93"/>
      <c r="L178" s="25" t="str">
        <f t="shared" si="7"/>
        <v/>
      </c>
      <c r="M178" s="94"/>
      <c r="N178" s="26" t="str">
        <f t="shared" si="8"/>
        <v/>
      </c>
      <c r="O178" s="80"/>
      <c r="P178" s="80"/>
      <c r="Q178" s="80"/>
      <c r="R178" s="80"/>
    </row>
    <row r="179" ht="18" customHeight="1" spans="1:18">
      <c r="A179" s="87" t="str">
        <f t="shared" si="6"/>
        <v/>
      </c>
      <c r="B179" s="78"/>
      <c r="C179" s="80"/>
      <c r="D179" s="80"/>
      <c r="E179" s="79"/>
      <c r="F179" s="87" t="str">
        <f>IF($E179="","",IFERROR(INDEX(基础资料!$O$4:$O$34,MATCH($E179,基础资料!$N$4:$N$34,0))&amp;"",""))</f>
        <v/>
      </c>
      <c r="G179" s="87" t="str">
        <f>IF($E179="","",IFERROR(INDEX(基础资料!$P$4:$P$34,MATCH($E179,基础资料!$N$4:$N$34,0))&amp;"",""))</f>
        <v/>
      </c>
      <c r="H179" s="79"/>
      <c r="I179" s="88"/>
      <c r="J179" s="92"/>
      <c r="K179" s="93"/>
      <c r="L179" s="25" t="str">
        <f t="shared" si="7"/>
        <v/>
      </c>
      <c r="M179" s="94"/>
      <c r="N179" s="26" t="str">
        <f t="shared" si="8"/>
        <v/>
      </c>
      <c r="O179" s="80"/>
      <c r="P179" s="80"/>
      <c r="Q179" s="80"/>
      <c r="R179" s="80"/>
    </row>
    <row r="180" ht="18" customHeight="1" spans="1:18">
      <c r="A180" s="87" t="str">
        <f t="shared" si="6"/>
        <v/>
      </c>
      <c r="B180" s="78"/>
      <c r="C180" s="80"/>
      <c r="D180" s="80"/>
      <c r="E180" s="79"/>
      <c r="F180" s="87" t="str">
        <f>IF($E180="","",IFERROR(INDEX(基础资料!$O$4:$O$34,MATCH($E180,基础资料!$N$4:$N$34,0))&amp;"",""))</f>
        <v/>
      </c>
      <c r="G180" s="87" t="str">
        <f>IF($E180="","",IFERROR(INDEX(基础资料!$P$4:$P$34,MATCH($E180,基础资料!$N$4:$N$34,0))&amp;"",""))</f>
        <v/>
      </c>
      <c r="H180" s="79"/>
      <c r="I180" s="88"/>
      <c r="J180" s="92"/>
      <c r="K180" s="93"/>
      <c r="L180" s="25" t="str">
        <f t="shared" si="7"/>
        <v/>
      </c>
      <c r="M180" s="94"/>
      <c r="N180" s="26" t="str">
        <f t="shared" si="8"/>
        <v/>
      </c>
      <c r="O180" s="80"/>
      <c r="P180" s="80"/>
      <c r="Q180" s="80"/>
      <c r="R180" s="80"/>
    </row>
    <row r="181" ht="18" customHeight="1" spans="1:18">
      <c r="A181" s="87" t="str">
        <f t="shared" si="6"/>
        <v/>
      </c>
      <c r="B181" s="78"/>
      <c r="C181" s="80"/>
      <c r="D181" s="80"/>
      <c r="E181" s="79"/>
      <c r="F181" s="87" t="str">
        <f>IF($E181="","",IFERROR(INDEX(基础资料!$O$4:$O$34,MATCH($E181,基础资料!$N$4:$N$34,0))&amp;"",""))</f>
        <v/>
      </c>
      <c r="G181" s="87" t="str">
        <f>IF($E181="","",IFERROR(INDEX(基础资料!$P$4:$P$34,MATCH($E181,基础资料!$N$4:$N$34,0))&amp;"",""))</f>
        <v/>
      </c>
      <c r="H181" s="79"/>
      <c r="I181" s="88"/>
      <c r="J181" s="92"/>
      <c r="K181" s="93"/>
      <c r="L181" s="25" t="str">
        <f t="shared" si="7"/>
        <v/>
      </c>
      <c r="M181" s="94"/>
      <c r="N181" s="26" t="str">
        <f t="shared" si="8"/>
        <v/>
      </c>
      <c r="O181" s="80"/>
      <c r="P181" s="80"/>
      <c r="Q181" s="80"/>
      <c r="R181" s="80"/>
    </row>
    <row r="182" ht="18" customHeight="1" spans="1:18">
      <c r="A182" s="87" t="str">
        <f t="shared" si="6"/>
        <v/>
      </c>
      <c r="B182" s="78"/>
      <c r="C182" s="80"/>
      <c r="D182" s="80"/>
      <c r="E182" s="79"/>
      <c r="F182" s="87" t="str">
        <f>IF($E182="","",IFERROR(INDEX(基础资料!$O$4:$O$34,MATCH($E182,基础资料!$N$4:$N$34,0))&amp;"",""))</f>
        <v/>
      </c>
      <c r="G182" s="87" t="str">
        <f>IF($E182="","",IFERROR(INDEX(基础资料!$P$4:$P$34,MATCH($E182,基础资料!$N$4:$N$34,0))&amp;"",""))</f>
        <v/>
      </c>
      <c r="H182" s="79"/>
      <c r="I182" s="88"/>
      <c r="J182" s="92"/>
      <c r="K182" s="93"/>
      <c r="L182" s="25" t="str">
        <f t="shared" si="7"/>
        <v/>
      </c>
      <c r="M182" s="94"/>
      <c r="N182" s="26" t="str">
        <f t="shared" si="8"/>
        <v/>
      </c>
      <c r="O182" s="80"/>
      <c r="P182" s="80"/>
      <c r="Q182" s="80"/>
      <c r="R182" s="80"/>
    </row>
    <row r="183" ht="18" customHeight="1" spans="1:18">
      <c r="A183" s="87" t="str">
        <f t="shared" si="6"/>
        <v/>
      </c>
      <c r="B183" s="78"/>
      <c r="C183" s="80"/>
      <c r="D183" s="80"/>
      <c r="E183" s="79"/>
      <c r="F183" s="87" t="str">
        <f>IF($E183="","",IFERROR(INDEX(基础资料!$O$4:$O$34,MATCH($E183,基础资料!$N$4:$N$34,0))&amp;"",""))</f>
        <v/>
      </c>
      <c r="G183" s="87" t="str">
        <f>IF($E183="","",IFERROR(INDEX(基础资料!$P$4:$P$34,MATCH($E183,基础资料!$N$4:$N$34,0))&amp;"",""))</f>
        <v/>
      </c>
      <c r="H183" s="79"/>
      <c r="I183" s="88"/>
      <c r="J183" s="92"/>
      <c r="K183" s="93"/>
      <c r="L183" s="25" t="str">
        <f t="shared" si="7"/>
        <v/>
      </c>
      <c r="M183" s="94"/>
      <c r="N183" s="26" t="str">
        <f t="shared" si="8"/>
        <v/>
      </c>
      <c r="O183" s="80"/>
      <c r="P183" s="80"/>
      <c r="Q183" s="80"/>
      <c r="R183" s="80"/>
    </row>
    <row r="184" ht="18" customHeight="1" spans="1:18">
      <c r="A184" s="87" t="str">
        <f t="shared" si="6"/>
        <v/>
      </c>
      <c r="B184" s="78"/>
      <c r="C184" s="80"/>
      <c r="D184" s="80"/>
      <c r="E184" s="79"/>
      <c r="F184" s="87" t="str">
        <f>IF($E184="","",IFERROR(INDEX(基础资料!$O$4:$O$34,MATCH($E184,基础资料!$N$4:$N$34,0))&amp;"",""))</f>
        <v/>
      </c>
      <c r="G184" s="87" t="str">
        <f>IF($E184="","",IFERROR(INDEX(基础资料!$P$4:$P$34,MATCH($E184,基础资料!$N$4:$N$34,0))&amp;"",""))</f>
        <v/>
      </c>
      <c r="H184" s="79"/>
      <c r="I184" s="88"/>
      <c r="J184" s="92"/>
      <c r="K184" s="93"/>
      <c r="L184" s="25" t="str">
        <f t="shared" si="7"/>
        <v/>
      </c>
      <c r="M184" s="94"/>
      <c r="N184" s="26" t="str">
        <f t="shared" si="8"/>
        <v/>
      </c>
      <c r="O184" s="80"/>
      <c r="P184" s="80"/>
      <c r="Q184" s="80"/>
      <c r="R184" s="80"/>
    </row>
    <row r="185" ht="18" customHeight="1" spans="1:18">
      <c r="A185" s="87" t="str">
        <f t="shared" si="6"/>
        <v/>
      </c>
      <c r="B185" s="78"/>
      <c r="C185" s="80"/>
      <c r="D185" s="80"/>
      <c r="E185" s="79"/>
      <c r="F185" s="87" t="str">
        <f>IF($E185="","",IFERROR(INDEX(基础资料!$O$4:$O$34,MATCH($E185,基础资料!$N$4:$N$34,0))&amp;"",""))</f>
        <v/>
      </c>
      <c r="G185" s="87" t="str">
        <f>IF($E185="","",IFERROR(INDEX(基础资料!$P$4:$P$34,MATCH($E185,基础资料!$N$4:$N$34,0))&amp;"",""))</f>
        <v/>
      </c>
      <c r="H185" s="79"/>
      <c r="I185" s="88"/>
      <c r="J185" s="92"/>
      <c r="K185" s="93"/>
      <c r="L185" s="25" t="str">
        <f t="shared" si="7"/>
        <v/>
      </c>
      <c r="M185" s="94"/>
      <c r="N185" s="26" t="str">
        <f t="shared" si="8"/>
        <v/>
      </c>
      <c r="O185" s="80"/>
      <c r="P185" s="80"/>
      <c r="Q185" s="80"/>
      <c r="R185" s="80"/>
    </row>
    <row r="186" ht="18" customHeight="1" spans="1:18">
      <c r="A186" s="87" t="str">
        <f t="shared" si="6"/>
        <v/>
      </c>
      <c r="B186" s="78"/>
      <c r="C186" s="80"/>
      <c r="D186" s="80"/>
      <c r="E186" s="79"/>
      <c r="F186" s="87" t="str">
        <f>IF($E186="","",IFERROR(INDEX(基础资料!$O$4:$O$34,MATCH($E186,基础资料!$N$4:$N$34,0))&amp;"",""))</f>
        <v/>
      </c>
      <c r="G186" s="87" t="str">
        <f>IF($E186="","",IFERROR(INDEX(基础资料!$P$4:$P$34,MATCH($E186,基础资料!$N$4:$N$34,0))&amp;"",""))</f>
        <v/>
      </c>
      <c r="H186" s="79"/>
      <c r="I186" s="88"/>
      <c r="J186" s="92"/>
      <c r="K186" s="93"/>
      <c r="L186" s="25" t="str">
        <f t="shared" si="7"/>
        <v/>
      </c>
      <c r="M186" s="94"/>
      <c r="N186" s="26" t="str">
        <f t="shared" si="8"/>
        <v/>
      </c>
      <c r="O186" s="80"/>
      <c r="P186" s="80"/>
      <c r="Q186" s="80"/>
      <c r="R186" s="80"/>
    </row>
    <row r="187" ht="18" customHeight="1" spans="1:18">
      <c r="A187" s="87" t="str">
        <f t="shared" si="6"/>
        <v/>
      </c>
      <c r="B187" s="78"/>
      <c r="C187" s="80"/>
      <c r="D187" s="80"/>
      <c r="E187" s="79"/>
      <c r="F187" s="87" t="str">
        <f>IF($E187="","",IFERROR(INDEX(基础资料!$O$4:$O$34,MATCH($E187,基础资料!$N$4:$N$34,0))&amp;"",""))</f>
        <v/>
      </c>
      <c r="G187" s="87" t="str">
        <f>IF($E187="","",IFERROR(INDEX(基础资料!$P$4:$P$34,MATCH($E187,基础资料!$N$4:$N$34,0))&amp;"",""))</f>
        <v/>
      </c>
      <c r="H187" s="79"/>
      <c r="I187" s="88"/>
      <c r="J187" s="92"/>
      <c r="K187" s="93"/>
      <c r="L187" s="25" t="str">
        <f t="shared" si="7"/>
        <v/>
      </c>
      <c r="M187" s="94"/>
      <c r="N187" s="26" t="str">
        <f t="shared" si="8"/>
        <v/>
      </c>
      <c r="O187" s="80"/>
      <c r="P187" s="80"/>
      <c r="Q187" s="80"/>
      <c r="R187" s="80"/>
    </row>
    <row r="188" ht="18" customHeight="1" spans="1:18">
      <c r="A188" s="87" t="str">
        <f t="shared" si="6"/>
        <v/>
      </c>
      <c r="B188" s="78"/>
      <c r="C188" s="80"/>
      <c r="D188" s="80"/>
      <c r="E188" s="79"/>
      <c r="F188" s="87" t="str">
        <f>IF($E188="","",IFERROR(INDEX(基础资料!$O$4:$O$34,MATCH($E188,基础资料!$N$4:$N$34,0))&amp;"",""))</f>
        <v/>
      </c>
      <c r="G188" s="87" t="str">
        <f>IF($E188="","",IFERROR(INDEX(基础资料!$P$4:$P$34,MATCH($E188,基础资料!$N$4:$N$34,0))&amp;"",""))</f>
        <v/>
      </c>
      <c r="H188" s="79"/>
      <c r="I188" s="88"/>
      <c r="J188" s="92"/>
      <c r="K188" s="93"/>
      <c r="L188" s="25" t="str">
        <f t="shared" si="7"/>
        <v/>
      </c>
      <c r="M188" s="94"/>
      <c r="N188" s="26" t="str">
        <f t="shared" si="8"/>
        <v/>
      </c>
      <c r="O188" s="80"/>
      <c r="P188" s="80"/>
      <c r="Q188" s="80"/>
      <c r="R188" s="80"/>
    </row>
    <row r="189" ht="18" customHeight="1" spans="1:18">
      <c r="A189" s="87" t="str">
        <f t="shared" si="6"/>
        <v/>
      </c>
      <c r="B189" s="78"/>
      <c r="C189" s="80"/>
      <c r="D189" s="80"/>
      <c r="E189" s="79"/>
      <c r="F189" s="87" t="str">
        <f>IF($E189="","",IFERROR(INDEX(基础资料!$O$4:$O$34,MATCH($E189,基础资料!$N$4:$N$34,0))&amp;"",""))</f>
        <v/>
      </c>
      <c r="G189" s="87" t="str">
        <f>IF($E189="","",IFERROR(INDEX(基础资料!$P$4:$P$34,MATCH($E189,基础资料!$N$4:$N$34,0))&amp;"",""))</f>
        <v/>
      </c>
      <c r="H189" s="79"/>
      <c r="I189" s="88"/>
      <c r="J189" s="92"/>
      <c r="K189" s="93"/>
      <c r="L189" s="25" t="str">
        <f t="shared" si="7"/>
        <v/>
      </c>
      <c r="M189" s="94"/>
      <c r="N189" s="26" t="str">
        <f t="shared" si="8"/>
        <v/>
      </c>
      <c r="O189" s="80"/>
      <c r="P189" s="80"/>
      <c r="Q189" s="80"/>
      <c r="R189" s="80"/>
    </row>
    <row r="190" ht="18" customHeight="1" spans="1:18">
      <c r="A190" s="87" t="str">
        <f t="shared" si="6"/>
        <v/>
      </c>
      <c r="B190" s="78"/>
      <c r="C190" s="80"/>
      <c r="D190" s="80"/>
      <c r="E190" s="79"/>
      <c r="F190" s="87" t="str">
        <f>IF($E190="","",IFERROR(INDEX(基础资料!$O$4:$O$34,MATCH($E190,基础资料!$N$4:$N$34,0))&amp;"",""))</f>
        <v/>
      </c>
      <c r="G190" s="87" t="str">
        <f>IF($E190="","",IFERROR(INDEX(基础资料!$P$4:$P$34,MATCH($E190,基础资料!$N$4:$N$34,0))&amp;"",""))</f>
        <v/>
      </c>
      <c r="H190" s="79"/>
      <c r="I190" s="88"/>
      <c r="J190" s="92"/>
      <c r="K190" s="93"/>
      <c r="L190" s="25" t="str">
        <f t="shared" si="7"/>
        <v/>
      </c>
      <c r="M190" s="94"/>
      <c r="N190" s="26" t="str">
        <f t="shared" si="8"/>
        <v/>
      </c>
      <c r="O190" s="80"/>
      <c r="P190" s="80"/>
      <c r="Q190" s="80"/>
      <c r="R190" s="80"/>
    </row>
    <row r="191" ht="18" customHeight="1" spans="1:18">
      <c r="A191" s="87" t="str">
        <f t="shared" si="6"/>
        <v/>
      </c>
      <c r="B191" s="78"/>
      <c r="C191" s="80"/>
      <c r="D191" s="80"/>
      <c r="E191" s="79"/>
      <c r="F191" s="87" t="str">
        <f>IF($E191="","",IFERROR(INDEX(基础资料!$O$4:$O$34,MATCH($E191,基础资料!$N$4:$N$34,0))&amp;"",""))</f>
        <v/>
      </c>
      <c r="G191" s="87" t="str">
        <f>IF($E191="","",IFERROR(INDEX(基础资料!$P$4:$P$34,MATCH($E191,基础资料!$N$4:$N$34,0))&amp;"",""))</f>
        <v/>
      </c>
      <c r="H191" s="79"/>
      <c r="I191" s="88"/>
      <c r="J191" s="92"/>
      <c r="K191" s="93"/>
      <c r="L191" s="25" t="str">
        <f t="shared" si="7"/>
        <v/>
      </c>
      <c r="M191" s="94"/>
      <c r="N191" s="26" t="str">
        <f t="shared" si="8"/>
        <v/>
      </c>
      <c r="O191" s="80"/>
      <c r="P191" s="80"/>
      <c r="Q191" s="80"/>
      <c r="R191" s="80"/>
    </row>
    <row r="192" ht="18" customHeight="1" spans="1:18">
      <c r="A192" s="87" t="str">
        <f t="shared" si="6"/>
        <v/>
      </c>
      <c r="B192" s="78"/>
      <c r="C192" s="80"/>
      <c r="D192" s="80"/>
      <c r="E192" s="79"/>
      <c r="F192" s="87" t="str">
        <f>IF($E192="","",IFERROR(INDEX(基础资料!$O$4:$O$34,MATCH($E192,基础资料!$N$4:$N$34,0))&amp;"",""))</f>
        <v/>
      </c>
      <c r="G192" s="87" t="str">
        <f>IF($E192="","",IFERROR(INDEX(基础资料!$P$4:$P$34,MATCH($E192,基础资料!$N$4:$N$34,0))&amp;"",""))</f>
        <v/>
      </c>
      <c r="H192" s="79"/>
      <c r="I192" s="88"/>
      <c r="J192" s="92"/>
      <c r="K192" s="93"/>
      <c r="L192" s="25" t="str">
        <f t="shared" si="7"/>
        <v/>
      </c>
      <c r="M192" s="94"/>
      <c r="N192" s="26" t="str">
        <f t="shared" si="8"/>
        <v/>
      </c>
      <c r="O192" s="80"/>
      <c r="P192" s="80"/>
      <c r="Q192" s="80"/>
      <c r="R192" s="80"/>
    </row>
    <row r="193" ht="18" customHeight="1" spans="1:18">
      <c r="A193" s="87" t="str">
        <f t="shared" si="6"/>
        <v/>
      </c>
      <c r="B193" s="78"/>
      <c r="C193" s="80"/>
      <c r="D193" s="80"/>
      <c r="E193" s="79"/>
      <c r="F193" s="87" t="str">
        <f>IF($E193="","",IFERROR(INDEX(基础资料!$O$4:$O$34,MATCH($E193,基础资料!$N$4:$N$34,0))&amp;"",""))</f>
        <v/>
      </c>
      <c r="G193" s="87" t="str">
        <f>IF($E193="","",IFERROR(INDEX(基础资料!$P$4:$P$34,MATCH($E193,基础资料!$N$4:$N$34,0))&amp;"",""))</f>
        <v/>
      </c>
      <c r="H193" s="79"/>
      <c r="I193" s="88"/>
      <c r="J193" s="92"/>
      <c r="K193" s="93"/>
      <c r="L193" s="25" t="str">
        <f t="shared" si="7"/>
        <v/>
      </c>
      <c r="M193" s="94"/>
      <c r="N193" s="26" t="str">
        <f t="shared" si="8"/>
        <v/>
      </c>
      <c r="O193" s="80"/>
      <c r="P193" s="80"/>
      <c r="Q193" s="80"/>
      <c r="R193" s="80"/>
    </row>
    <row r="194" ht="18" customHeight="1" spans="1:18">
      <c r="A194" s="87" t="str">
        <f t="shared" si="6"/>
        <v/>
      </c>
      <c r="B194" s="78"/>
      <c r="C194" s="80"/>
      <c r="D194" s="80"/>
      <c r="E194" s="79"/>
      <c r="F194" s="87" t="str">
        <f>IF($E194="","",IFERROR(INDEX(基础资料!$O$4:$O$34,MATCH($E194,基础资料!$N$4:$N$34,0))&amp;"",""))</f>
        <v/>
      </c>
      <c r="G194" s="87" t="str">
        <f>IF($E194="","",IFERROR(INDEX(基础资料!$P$4:$P$34,MATCH($E194,基础资料!$N$4:$N$34,0))&amp;"",""))</f>
        <v/>
      </c>
      <c r="H194" s="79"/>
      <c r="I194" s="88"/>
      <c r="J194" s="92"/>
      <c r="K194" s="93"/>
      <c r="L194" s="25" t="str">
        <f t="shared" si="7"/>
        <v/>
      </c>
      <c r="M194" s="94"/>
      <c r="N194" s="26" t="str">
        <f t="shared" si="8"/>
        <v/>
      </c>
      <c r="O194" s="80"/>
      <c r="P194" s="80"/>
      <c r="Q194" s="80"/>
      <c r="R194" s="80"/>
    </row>
    <row r="195" ht="18" customHeight="1" spans="1:18">
      <c r="A195" s="87" t="str">
        <f t="shared" si="6"/>
        <v/>
      </c>
      <c r="B195" s="78"/>
      <c r="C195" s="80"/>
      <c r="D195" s="80"/>
      <c r="E195" s="79"/>
      <c r="F195" s="87" t="str">
        <f>IF($E195="","",IFERROR(INDEX(基础资料!$O$4:$O$34,MATCH($E195,基础资料!$N$4:$N$34,0))&amp;"",""))</f>
        <v/>
      </c>
      <c r="G195" s="87" t="str">
        <f>IF($E195="","",IFERROR(INDEX(基础资料!$P$4:$P$34,MATCH($E195,基础资料!$N$4:$N$34,0))&amp;"",""))</f>
        <v/>
      </c>
      <c r="H195" s="79"/>
      <c r="I195" s="88"/>
      <c r="J195" s="92"/>
      <c r="K195" s="93"/>
      <c r="L195" s="25" t="str">
        <f t="shared" si="7"/>
        <v/>
      </c>
      <c r="M195" s="94"/>
      <c r="N195" s="26" t="str">
        <f t="shared" si="8"/>
        <v/>
      </c>
      <c r="O195" s="80"/>
      <c r="P195" s="80"/>
      <c r="Q195" s="80"/>
      <c r="R195" s="80"/>
    </row>
    <row r="196" ht="18" customHeight="1" spans="1:18">
      <c r="A196" s="87" t="str">
        <f t="shared" ref="A196:A259" si="9">IF($E196="","",ROW()-3)</f>
        <v/>
      </c>
      <c r="B196" s="78"/>
      <c r="C196" s="80"/>
      <c r="D196" s="80"/>
      <c r="E196" s="79"/>
      <c r="F196" s="87" t="str">
        <f>IF($E196="","",IFERROR(INDEX(基础资料!$O$4:$O$34,MATCH($E196,基础资料!$N$4:$N$34,0))&amp;"",""))</f>
        <v/>
      </c>
      <c r="G196" s="87" t="str">
        <f>IF($E196="","",IFERROR(INDEX(基础资料!$P$4:$P$34,MATCH($E196,基础资料!$N$4:$N$34,0))&amp;"",""))</f>
        <v/>
      </c>
      <c r="H196" s="79"/>
      <c r="I196" s="88"/>
      <c r="J196" s="92"/>
      <c r="K196" s="93"/>
      <c r="L196" s="25" t="str">
        <f t="shared" ref="L196:L259" si="10">IF($E196="","",N($I196)+N($J196)-N($K196))</f>
        <v/>
      </c>
      <c r="M196" s="94"/>
      <c r="N196" s="26" t="str">
        <f t="shared" ref="N196:N259" si="11">IF($E196="","",ROUND(N($L196)*N($M196),2))</f>
        <v/>
      </c>
      <c r="O196" s="80"/>
      <c r="P196" s="80"/>
      <c r="Q196" s="80"/>
      <c r="R196" s="80"/>
    </row>
    <row r="197" ht="18" customHeight="1" spans="1:18">
      <c r="A197" s="87" t="str">
        <f t="shared" si="9"/>
        <v/>
      </c>
      <c r="B197" s="78"/>
      <c r="C197" s="80"/>
      <c r="D197" s="80"/>
      <c r="E197" s="79"/>
      <c r="F197" s="87" t="str">
        <f>IF($E197="","",IFERROR(INDEX(基础资料!$O$4:$O$34,MATCH($E197,基础资料!$N$4:$N$34,0))&amp;"",""))</f>
        <v/>
      </c>
      <c r="G197" s="87" t="str">
        <f>IF($E197="","",IFERROR(INDEX(基础资料!$P$4:$P$34,MATCH($E197,基础资料!$N$4:$N$34,0))&amp;"",""))</f>
        <v/>
      </c>
      <c r="H197" s="79"/>
      <c r="I197" s="88"/>
      <c r="J197" s="92"/>
      <c r="K197" s="93"/>
      <c r="L197" s="25" t="str">
        <f t="shared" si="10"/>
        <v/>
      </c>
      <c r="M197" s="94"/>
      <c r="N197" s="26" t="str">
        <f t="shared" si="11"/>
        <v/>
      </c>
      <c r="O197" s="80"/>
      <c r="P197" s="80"/>
      <c r="Q197" s="80"/>
      <c r="R197" s="80"/>
    </row>
    <row r="198" ht="18" customHeight="1" spans="1:18">
      <c r="A198" s="87" t="str">
        <f t="shared" si="9"/>
        <v/>
      </c>
      <c r="B198" s="78"/>
      <c r="C198" s="80"/>
      <c r="D198" s="80"/>
      <c r="E198" s="79"/>
      <c r="F198" s="87" t="str">
        <f>IF($E198="","",IFERROR(INDEX(基础资料!$O$4:$O$34,MATCH($E198,基础资料!$N$4:$N$34,0))&amp;"",""))</f>
        <v/>
      </c>
      <c r="G198" s="87" t="str">
        <f>IF($E198="","",IFERROR(INDEX(基础资料!$P$4:$P$34,MATCH($E198,基础资料!$N$4:$N$34,0))&amp;"",""))</f>
        <v/>
      </c>
      <c r="H198" s="79"/>
      <c r="I198" s="88"/>
      <c r="J198" s="92"/>
      <c r="K198" s="93"/>
      <c r="L198" s="25" t="str">
        <f t="shared" si="10"/>
        <v/>
      </c>
      <c r="M198" s="94"/>
      <c r="N198" s="26" t="str">
        <f t="shared" si="11"/>
        <v/>
      </c>
      <c r="O198" s="80"/>
      <c r="P198" s="80"/>
      <c r="Q198" s="80"/>
      <c r="R198" s="80"/>
    </row>
    <row r="199" ht="18" customHeight="1" spans="1:18">
      <c r="A199" s="87" t="str">
        <f t="shared" si="9"/>
        <v/>
      </c>
      <c r="B199" s="78"/>
      <c r="C199" s="80"/>
      <c r="D199" s="80"/>
      <c r="E199" s="79"/>
      <c r="F199" s="87" t="str">
        <f>IF($E199="","",IFERROR(INDEX(基础资料!$O$4:$O$34,MATCH($E199,基础资料!$N$4:$N$34,0))&amp;"",""))</f>
        <v/>
      </c>
      <c r="G199" s="87" t="str">
        <f>IF($E199="","",IFERROR(INDEX(基础资料!$P$4:$P$34,MATCH($E199,基础资料!$N$4:$N$34,0))&amp;"",""))</f>
        <v/>
      </c>
      <c r="H199" s="79"/>
      <c r="I199" s="88"/>
      <c r="J199" s="92"/>
      <c r="K199" s="93"/>
      <c r="L199" s="25" t="str">
        <f t="shared" si="10"/>
        <v/>
      </c>
      <c r="M199" s="94"/>
      <c r="N199" s="26" t="str">
        <f t="shared" si="11"/>
        <v/>
      </c>
      <c r="O199" s="80"/>
      <c r="P199" s="80"/>
      <c r="Q199" s="80"/>
      <c r="R199" s="80"/>
    </row>
    <row r="200" ht="18" customHeight="1" spans="1:18">
      <c r="A200" s="87" t="str">
        <f t="shared" si="9"/>
        <v/>
      </c>
      <c r="B200" s="78"/>
      <c r="C200" s="80"/>
      <c r="D200" s="80"/>
      <c r="E200" s="79"/>
      <c r="F200" s="87" t="str">
        <f>IF($E200="","",IFERROR(INDEX(基础资料!$O$4:$O$34,MATCH($E200,基础资料!$N$4:$N$34,0))&amp;"",""))</f>
        <v/>
      </c>
      <c r="G200" s="87" t="str">
        <f>IF($E200="","",IFERROR(INDEX(基础资料!$P$4:$P$34,MATCH($E200,基础资料!$N$4:$N$34,0))&amp;"",""))</f>
        <v/>
      </c>
      <c r="H200" s="79"/>
      <c r="I200" s="88"/>
      <c r="J200" s="92"/>
      <c r="K200" s="93"/>
      <c r="L200" s="25" t="str">
        <f t="shared" si="10"/>
        <v/>
      </c>
      <c r="M200" s="94"/>
      <c r="N200" s="26" t="str">
        <f t="shared" si="11"/>
        <v/>
      </c>
      <c r="O200" s="80"/>
      <c r="P200" s="80"/>
      <c r="Q200" s="80"/>
      <c r="R200" s="80"/>
    </row>
    <row r="201" ht="18" customHeight="1" spans="1:18">
      <c r="A201" s="87" t="str">
        <f t="shared" si="9"/>
        <v/>
      </c>
      <c r="B201" s="78"/>
      <c r="C201" s="80"/>
      <c r="D201" s="80"/>
      <c r="E201" s="79"/>
      <c r="F201" s="87" t="str">
        <f>IF($E201="","",IFERROR(INDEX(基础资料!$O$4:$O$34,MATCH($E201,基础资料!$N$4:$N$34,0))&amp;"",""))</f>
        <v/>
      </c>
      <c r="G201" s="87" t="str">
        <f>IF($E201="","",IFERROR(INDEX(基础资料!$P$4:$P$34,MATCH($E201,基础资料!$N$4:$N$34,0))&amp;"",""))</f>
        <v/>
      </c>
      <c r="H201" s="79"/>
      <c r="I201" s="88"/>
      <c r="J201" s="92"/>
      <c r="K201" s="93"/>
      <c r="L201" s="25" t="str">
        <f t="shared" si="10"/>
        <v/>
      </c>
      <c r="M201" s="94"/>
      <c r="N201" s="26" t="str">
        <f t="shared" si="11"/>
        <v/>
      </c>
      <c r="O201" s="80"/>
      <c r="P201" s="80"/>
      <c r="Q201" s="80"/>
      <c r="R201" s="80"/>
    </row>
    <row r="202" ht="18" customHeight="1" spans="1:18">
      <c r="A202" s="87" t="str">
        <f t="shared" si="9"/>
        <v/>
      </c>
      <c r="B202" s="78"/>
      <c r="C202" s="80"/>
      <c r="D202" s="80"/>
      <c r="E202" s="79"/>
      <c r="F202" s="87" t="str">
        <f>IF($E202="","",IFERROR(INDEX(基础资料!$O$4:$O$34,MATCH($E202,基础资料!$N$4:$N$34,0))&amp;"",""))</f>
        <v/>
      </c>
      <c r="G202" s="87" t="str">
        <f>IF($E202="","",IFERROR(INDEX(基础资料!$P$4:$P$34,MATCH($E202,基础资料!$N$4:$N$34,0))&amp;"",""))</f>
        <v/>
      </c>
      <c r="H202" s="79"/>
      <c r="I202" s="88"/>
      <c r="J202" s="92"/>
      <c r="K202" s="93"/>
      <c r="L202" s="25" t="str">
        <f t="shared" si="10"/>
        <v/>
      </c>
      <c r="M202" s="94"/>
      <c r="N202" s="26" t="str">
        <f t="shared" si="11"/>
        <v/>
      </c>
      <c r="O202" s="80"/>
      <c r="P202" s="80"/>
      <c r="Q202" s="80"/>
      <c r="R202" s="80"/>
    </row>
    <row r="203" ht="18" customHeight="1" spans="1:18">
      <c r="A203" s="87" t="str">
        <f t="shared" si="9"/>
        <v/>
      </c>
      <c r="B203" s="78"/>
      <c r="C203" s="80"/>
      <c r="D203" s="80"/>
      <c r="E203" s="79"/>
      <c r="F203" s="87" t="str">
        <f>IF($E203="","",IFERROR(INDEX(基础资料!$O$4:$O$34,MATCH($E203,基础资料!$N$4:$N$34,0))&amp;"",""))</f>
        <v/>
      </c>
      <c r="G203" s="87" t="str">
        <f>IF($E203="","",IFERROR(INDEX(基础资料!$P$4:$P$34,MATCH($E203,基础资料!$N$4:$N$34,0))&amp;"",""))</f>
        <v/>
      </c>
      <c r="H203" s="79"/>
      <c r="I203" s="88"/>
      <c r="J203" s="92"/>
      <c r="K203" s="93"/>
      <c r="L203" s="25" t="str">
        <f t="shared" si="10"/>
        <v/>
      </c>
      <c r="M203" s="94"/>
      <c r="N203" s="26" t="str">
        <f t="shared" si="11"/>
        <v/>
      </c>
      <c r="O203" s="80"/>
      <c r="P203" s="80"/>
      <c r="Q203" s="80"/>
      <c r="R203" s="80"/>
    </row>
    <row r="204" ht="18" customHeight="1" spans="1:18">
      <c r="A204" s="87" t="str">
        <f t="shared" si="9"/>
        <v/>
      </c>
      <c r="B204" s="78"/>
      <c r="C204" s="80"/>
      <c r="D204" s="80"/>
      <c r="E204" s="79"/>
      <c r="F204" s="87" t="str">
        <f>IF($E204="","",IFERROR(INDEX(基础资料!$O$4:$O$34,MATCH($E204,基础资料!$N$4:$N$34,0))&amp;"",""))</f>
        <v/>
      </c>
      <c r="G204" s="87" t="str">
        <f>IF($E204="","",IFERROR(INDEX(基础资料!$P$4:$P$34,MATCH($E204,基础资料!$N$4:$N$34,0))&amp;"",""))</f>
        <v/>
      </c>
      <c r="H204" s="79"/>
      <c r="I204" s="88"/>
      <c r="J204" s="92"/>
      <c r="K204" s="93"/>
      <c r="L204" s="25" t="str">
        <f t="shared" si="10"/>
        <v/>
      </c>
      <c r="M204" s="94"/>
      <c r="N204" s="26" t="str">
        <f t="shared" si="11"/>
        <v/>
      </c>
      <c r="O204" s="80"/>
      <c r="P204" s="80"/>
      <c r="Q204" s="80"/>
      <c r="R204" s="80"/>
    </row>
    <row r="205" ht="18" customHeight="1" spans="1:18">
      <c r="A205" s="87" t="str">
        <f t="shared" si="9"/>
        <v/>
      </c>
      <c r="B205" s="78"/>
      <c r="C205" s="80"/>
      <c r="D205" s="80"/>
      <c r="E205" s="79"/>
      <c r="F205" s="87" t="str">
        <f>IF($E205="","",IFERROR(INDEX(基础资料!$O$4:$O$34,MATCH($E205,基础资料!$N$4:$N$34,0))&amp;"",""))</f>
        <v/>
      </c>
      <c r="G205" s="87" t="str">
        <f>IF($E205="","",IFERROR(INDEX(基础资料!$P$4:$P$34,MATCH($E205,基础资料!$N$4:$N$34,0))&amp;"",""))</f>
        <v/>
      </c>
      <c r="H205" s="79"/>
      <c r="I205" s="88"/>
      <c r="J205" s="92"/>
      <c r="K205" s="93"/>
      <c r="L205" s="25" t="str">
        <f t="shared" si="10"/>
        <v/>
      </c>
      <c r="M205" s="94"/>
      <c r="N205" s="26" t="str">
        <f t="shared" si="11"/>
        <v/>
      </c>
      <c r="O205" s="80"/>
      <c r="P205" s="80"/>
      <c r="Q205" s="80"/>
      <c r="R205" s="80"/>
    </row>
    <row r="206" ht="18" customHeight="1" spans="1:18">
      <c r="A206" s="87" t="str">
        <f t="shared" si="9"/>
        <v/>
      </c>
      <c r="B206" s="78"/>
      <c r="C206" s="80"/>
      <c r="D206" s="80"/>
      <c r="E206" s="79"/>
      <c r="F206" s="87" t="str">
        <f>IF($E206="","",IFERROR(INDEX(基础资料!$O$4:$O$34,MATCH($E206,基础资料!$N$4:$N$34,0))&amp;"",""))</f>
        <v/>
      </c>
      <c r="G206" s="87" t="str">
        <f>IF($E206="","",IFERROR(INDEX(基础资料!$P$4:$P$34,MATCH($E206,基础资料!$N$4:$N$34,0))&amp;"",""))</f>
        <v/>
      </c>
      <c r="H206" s="79"/>
      <c r="I206" s="88"/>
      <c r="J206" s="92"/>
      <c r="K206" s="93"/>
      <c r="L206" s="25" t="str">
        <f t="shared" si="10"/>
        <v/>
      </c>
      <c r="M206" s="94"/>
      <c r="N206" s="26" t="str">
        <f t="shared" si="11"/>
        <v/>
      </c>
      <c r="O206" s="80"/>
      <c r="P206" s="80"/>
      <c r="Q206" s="80"/>
      <c r="R206" s="80"/>
    </row>
    <row r="207" ht="18" customHeight="1" spans="1:18">
      <c r="A207" s="87" t="str">
        <f t="shared" si="9"/>
        <v/>
      </c>
      <c r="B207" s="78"/>
      <c r="C207" s="80"/>
      <c r="D207" s="80"/>
      <c r="E207" s="79"/>
      <c r="F207" s="87" t="str">
        <f>IF($E207="","",IFERROR(INDEX(基础资料!$O$4:$O$34,MATCH($E207,基础资料!$N$4:$N$34,0))&amp;"",""))</f>
        <v/>
      </c>
      <c r="G207" s="87" t="str">
        <f>IF($E207="","",IFERROR(INDEX(基础资料!$P$4:$P$34,MATCH($E207,基础资料!$N$4:$N$34,0))&amp;"",""))</f>
        <v/>
      </c>
      <c r="H207" s="79"/>
      <c r="I207" s="88"/>
      <c r="J207" s="92"/>
      <c r="K207" s="93"/>
      <c r="L207" s="25" t="str">
        <f t="shared" si="10"/>
        <v/>
      </c>
      <c r="M207" s="94"/>
      <c r="N207" s="26" t="str">
        <f t="shared" si="11"/>
        <v/>
      </c>
      <c r="O207" s="80"/>
      <c r="P207" s="80"/>
      <c r="Q207" s="80"/>
      <c r="R207" s="80"/>
    </row>
    <row r="208" ht="18" customHeight="1" spans="1:18">
      <c r="A208" s="87" t="str">
        <f t="shared" si="9"/>
        <v/>
      </c>
      <c r="B208" s="78"/>
      <c r="C208" s="80"/>
      <c r="D208" s="80"/>
      <c r="E208" s="79"/>
      <c r="F208" s="87" t="str">
        <f>IF($E208="","",IFERROR(INDEX(基础资料!$O$4:$O$34,MATCH($E208,基础资料!$N$4:$N$34,0))&amp;"",""))</f>
        <v/>
      </c>
      <c r="G208" s="87" t="str">
        <f>IF($E208="","",IFERROR(INDEX(基础资料!$P$4:$P$34,MATCH($E208,基础资料!$N$4:$N$34,0))&amp;"",""))</f>
        <v/>
      </c>
      <c r="H208" s="79"/>
      <c r="I208" s="88"/>
      <c r="J208" s="92"/>
      <c r="K208" s="93"/>
      <c r="L208" s="25" t="str">
        <f t="shared" si="10"/>
        <v/>
      </c>
      <c r="M208" s="94"/>
      <c r="N208" s="26" t="str">
        <f t="shared" si="11"/>
        <v/>
      </c>
      <c r="O208" s="80"/>
      <c r="P208" s="80"/>
      <c r="Q208" s="80"/>
      <c r="R208" s="80"/>
    </row>
    <row r="209" ht="18" customHeight="1" spans="1:18">
      <c r="A209" s="87" t="str">
        <f t="shared" si="9"/>
        <v/>
      </c>
      <c r="B209" s="78"/>
      <c r="C209" s="80"/>
      <c r="D209" s="80"/>
      <c r="E209" s="79"/>
      <c r="F209" s="87" t="str">
        <f>IF($E209="","",IFERROR(INDEX(基础资料!$O$4:$O$34,MATCH($E209,基础资料!$N$4:$N$34,0))&amp;"",""))</f>
        <v/>
      </c>
      <c r="G209" s="87" t="str">
        <f>IF($E209="","",IFERROR(INDEX(基础资料!$P$4:$P$34,MATCH($E209,基础资料!$N$4:$N$34,0))&amp;"",""))</f>
        <v/>
      </c>
      <c r="H209" s="79"/>
      <c r="I209" s="88"/>
      <c r="J209" s="92"/>
      <c r="K209" s="93"/>
      <c r="L209" s="25" t="str">
        <f t="shared" si="10"/>
        <v/>
      </c>
      <c r="M209" s="94"/>
      <c r="N209" s="26" t="str">
        <f t="shared" si="11"/>
        <v/>
      </c>
      <c r="O209" s="80"/>
      <c r="P209" s="80"/>
      <c r="Q209" s="80"/>
      <c r="R209" s="80"/>
    </row>
    <row r="210" ht="18" customHeight="1" spans="1:18">
      <c r="A210" s="87" t="str">
        <f t="shared" si="9"/>
        <v/>
      </c>
      <c r="B210" s="78"/>
      <c r="C210" s="80"/>
      <c r="D210" s="80"/>
      <c r="E210" s="79"/>
      <c r="F210" s="87" t="str">
        <f>IF($E210="","",IFERROR(INDEX(基础资料!$O$4:$O$34,MATCH($E210,基础资料!$N$4:$N$34,0))&amp;"",""))</f>
        <v/>
      </c>
      <c r="G210" s="87" t="str">
        <f>IF($E210="","",IFERROR(INDEX(基础资料!$P$4:$P$34,MATCH($E210,基础资料!$N$4:$N$34,0))&amp;"",""))</f>
        <v/>
      </c>
      <c r="H210" s="79"/>
      <c r="I210" s="88"/>
      <c r="J210" s="92"/>
      <c r="K210" s="93"/>
      <c r="L210" s="25" t="str">
        <f t="shared" si="10"/>
        <v/>
      </c>
      <c r="M210" s="94"/>
      <c r="N210" s="26" t="str">
        <f t="shared" si="11"/>
        <v/>
      </c>
      <c r="O210" s="80"/>
      <c r="P210" s="80"/>
      <c r="Q210" s="80"/>
      <c r="R210" s="80"/>
    </row>
    <row r="211" ht="18" customHeight="1" spans="1:18">
      <c r="A211" s="87" t="str">
        <f t="shared" si="9"/>
        <v/>
      </c>
      <c r="B211" s="78"/>
      <c r="C211" s="80"/>
      <c r="D211" s="80"/>
      <c r="E211" s="79"/>
      <c r="F211" s="87" t="str">
        <f>IF($E211="","",IFERROR(INDEX(基础资料!$O$4:$O$34,MATCH($E211,基础资料!$N$4:$N$34,0))&amp;"",""))</f>
        <v/>
      </c>
      <c r="G211" s="87" t="str">
        <f>IF($E211="","",IFERROR(INDEX(基础资料!$P$4:$P$34,MATCH($E211,基础资料!$N$4:$N$34,0))&amp;"",""))</f>
        <v/>
      </c>
      <c r="H211" s="79"/>
      <c r="I211" s="88"/>
      <c r="J211" s="92"/>
      <c r="K211" s="93"/>
      <c r="L211" s="25" t="str">
        <f t="shared" si="10"/>
        <v/>
      </c>
      <c r="M211" s="94"/>
      <c r="N211" s="26" t="str">
        <f t="shared" si="11"/>
        <v/>
      </c>
      <c r="O211" s="80"/>
      <c r="P211" s="80"/>
      <c r="Q211" s="80"/>
      <c r="R211" s="80"/>
    </row>
    <row r="212" ht="18" customHeight="1" spans="1:18">
      <c r="A212" s="87" t="str">
        <f t="shared" si="9"/>
        <v/>
      </c>
      <c r="B212" s="78"/>
      <c r="C212" s="80"/>
      <c r="D212" s="80"/>
      <c r="E212" s="79"/>
      <c r="F212" s="87" t="str">
        <f>IF($E212="","",IFERROR(INDEX(基础资料!$O$4:$O$34,MATCH($E212,基础资料!$N$4:$N$34,0))&amp;"",""))</f>
        <v/>
      </c>
      <c r="G212" s="87" t="str">
        <f>IF($E212="","",IFERROR(INDEX(基础资料!$P$4:$P$34,MATCH($E212,基础资料!$N$4:$N$34,0))&amp;"",""))</f>
        <v/>
      </c>
      <c r="H212" s="79"/>
      <c r="I212" s="88"/>
      <c r="J212" s="92"/>
      <c r="K212" s="93"/>
      <c r="L212" s="25" t="str">
        <f t="shared" si="10"/>
        <v/>
      </c>
      <c r="M212" s="94"/>
      <c r="N212" s="26" t="str">
        <f t="shared" si="11"/>
        <v/>
      </c>
      <c r="O212" s="80"/>
      <c r="P212" s="80"/>
      <c r="Q212" s="80"/>
      <c r="R212" s="80"/>
    </row>
    <row r="213" ht="18" customHeight="1" spans="1:18">
      <c r="A213" s="87" t="str">
        <f t="shared" si="9"/>
        <v/>
      </c>
      <c r="B213" s="78"/>
      <c r="C213" s="80"/>
      <c r="D213" s="80"/>
      <c r="E213" s="79"/>
      <c r="F213" s="87" t="str">
        <f>IF($E213="","",IFERROR(INDEX(基础资料!$O$4:$O$34,MATCH($E213,基础资料!$N$4:$N$34,0))&amp;"",""))</f>
        <v/>
      </c>
      <c r="G213" s="87" t="str">
        <f>IF($E213="","",IFERROR(INDEX(基础资料!$P$4:$P$34,MATCH($E213,基础资料!$N$4:$N$34,0))&amp;"",""))</f>
        <v/>
      </c>
      <c r="H213" s="79"/>
      <c r="I213" s="88"/>
      <c r="J213" s="92"/>
      <c r="K213" s="93"/>
      <c r="L213" s="25" t="str">
        <f t="shared" si="10"/>
        <v/>
      </c>
      <c r="M213" s="94"/>
      <c r="N213" s="26" t="str">
        <f t="shared" si="11"/>
        <v/>
      </c>
      <c r="O213" s="80"/>
      <c r="P213" s="80"/>
      <c r="Q213" s="80"/>
      <c r="R213" s="80"/>
    </row>
    <row r="214" ht="18" customHeight="1" spans="1:18">
      <c r="A214" s="87" t="str">
        <f t="shared" si="9"/>
        <v/>
      </c>
      <c r="B214" s="78"/>
      <c r="C214" s="80"/>
      <c r="D214" s="80"/>
      <c r="E214" s="79"/>
      <c r="F214" s="87" t="str">
        <f>IF($E214="","",IFERROR(INDEX(基础资料!$O$4:$O$34,MATCH($E214,基础资料!$N$4:$N$34,0))&amp;"",""))</f>
        <v/>
      </c>
      <c r="G214" s="87" t="str">
        <f>IF($E214="","",IFERROR(INDEX(基础资料!$P$4:$P$34,MATCH($E214,基础资料!$N$4:$N$34,0))&amp;"",""))</f>
        <v/>
      </c>
      <c r="H214" s="79"/>
      <c r="I214" s="88"/>
      <c r="J214" s="92"/>
      <c r="K214" s="93"/>
      <c r="L214" s="25" t="str">
        <f t="shared" si="10"/>
        <v/>
      </c>
      <c r="M214" s="94"/>
      <c r="N214" s="26" t="str">
        <f t="shared" si="11"/>
        <v/>
      </c>
      <c r="O214" s="80"/>
      <c r="P214" s="80"/>
      <c r="Q214" s="80"/>
      <c r="R214" s="80"/>
    </row>
    <row r="215" ht="18" customHeight="1" spans="1:18">
      <c r="A215" s="87" t="str">
        <f t="shared" si="9"/>
        <v/>
      </c>
      <c r="B215" s="78"/>
      <c r="C215" s="80"/>
      <c r="D215" s="80"/>
      <c r="E215" s="79"/>
      <c r="F215" s="87" t="str">
        <f>IF($E215="","",IFERROR(INDEX(基础资料!$O$4:$O$34,MATCH($E215,基础资料!$N$4:$N$34,0))&amp;"",""))</f>
        <v/>
      </c>
      <c r="G215" s="87" t="str">
        <f>IF($E215="","",IFERROR(INDEX(基础资料!$P$4:$P$34,MATCH($E215,基础资料!$N$4:$N$34,0))&amp;"",""))</f>
        <v/>
      </c>
      <c r="H215" s="79"/>
      <c r="I215" s="88"/>
      <c r="J215" s="92"/>
      <c r="K215" s="93"/>
      <c r="L215" s="25" t="str">
        <f t="shared" si="10"/>
        <v/>
      </c>
      <c r="M215" s="94"/>
      <c r="N215" s="26" t="str">
        <f t="shared" si="11"/>
        <v/>
      </c>
      <c r="O215" s="80"/>
      <c r="P215" s="80"/>
      <c r="Q215" s="80"/>
      <c r="R215" s="80"/>
    </row>
    <row r="216" ht="18" customHeight="1" spans="1:18">
      <c r="A216" s="87" t="str">
        <f t="shared" si="9"/>
        <v/>
      </c>
      <c r="B216" s="78"/>
      <c r="C216" s="80"/>
      <c r="D216" s="80"/>
      <c r="E216" s="79"/>
      <c r="F216" s="87" t="str">
        <f>IF($E216="","",IFERROR(INDEX(基础资料!$O$4:$O$34,MATCH($E216,基础资料!$N$4:$N$34,0))&amp;"",""))</f>
        <v/>
      </c>
      <c r="G216" s="87" t="str">
        <f>IF($E216="","",IFERROR(INDEX(基础资料!$P$4:$P$34,MATCH($E216,基础资料!$N$4:$N$34,0))&amp;"",""))</f>
        <v/>
      </c>
      <c r="H216" s="79"/>
      <c r="I216" s="88"/>
      <c r="J216" s="92"/>
      <c r="K216" s="93"/>
      <c r="L216" s="25" t="str">
        <f t="shared" si="10"/>
        <v/>
      </c>
      <c r="M216" s="94"/>
      <c r="N216" s="26" t="str">
        <f t="shared" si="11"/>
        <v/>
      </c>
      <c r="O216" s="80"/>
      <c r="P216" s="80"/>
      <c r="Q216" s="80"/>
      <c r="R216" s="80"/>
    </row>
    <row r="217" ht="18" customHeight="1" spans="1:18">
      <c r="A217" s="87" t="str">
        <f t="shared" si="9"/>
        <v/>
      </c>
      <c r="B217" s="78"/>
      <c r="C217" s="80"/>
      <c r="D217" s="80"/>
      <c r="E217" s="79"/>
      <c r="F217" s="87" t="str">
        <f>IF($E217="","",IFERROR(INDEX(基础资料!$O$4:$O$34,MATCH($E217,基础资料!$N$4:$N$34,0))&amp;"",""))</f>
        <v/>
      </c>
      <c r="G217" s="87" t="str">
        <f>IF($E217="","",IFERROR(INDEX(基础资料!$P$4:$P$34,MATCH($E217,基础资料!$N$4:$N$34,0))&amp;"",""))</f>
        <v/>
      </c>
      <c r="H217" s="79"/>
      <c r="I217" s="88"/>
      <c r="J217" s="92"/>
      <c r="K217" s="93"/>
      <c r="L217" s="25" t="str">
        <f t="shared" si="10"/>
        <v/>
      </c>
      <c r="M217" s="94"/>
      <c r="N217" s="26" t="str">
        <f t="shared" si="11"/>
        <v/>
      </c>
      <c r="O217" s="80"/>
      <c r="P217" s="80"/>
      <c r="Q217" s="80"/>
      <c r="R217" s="80"/>
    </row>
    <row r="218" ht="18" customHeight="1" spans="1:18">
      <c r="A218" s="87" t="str">
        <f t="shared" si="9"/>
        <v/>
      </c>
      <c r="B218" s="78"/>
      <c r="C218" s="80"/>
      <c r="D218" s="80"/>
      <c r="E218" s="79"/>
      <c r="F218" s="87" t="str">
        <f>IF($E218="","",IFERROR(INDEX(基础资料!$O$4:$O$34,MATCH($E218,基础资料!$N$4:$N$34,0))&amp;"",""))</f>
        <v/>
      </c>
      <c r="G218" s="87" t="str">
        <f>IF($E218="","",IFERROR(INDEX(基础资料!$P$4:$P$34,MATCH($E218,基础资料!$N$4:$N$34,0))&amp;"",""))</f>
        <v/>
      </c>
      <c r="H218" s="79"/>
      <c r="I218" s="88"/>
      <c r="J218" s="92"/>
      <c r="K218" s="93"/>
      <c r="L218" s="25" t="str">
        <f t="shared" si="10"/>
        <v/>
      </c>
      <c r="M218" s="94"/>
      <c r="N218" s="26" t="str">
        <f t="shared" si="11"/>
        <v/>
      </c>
      <c r="O218" s="80"/>
      <c r="P218" s="80"/>
      <c r="Q218" s="80"/>
      <c r="R218" s="80"/>
    </row>
    <row r="219" ht="18" customHeight="1" spans="1:18">
      <c r="A219" s="87" t="str">
        <f t="shared" si="9"/>
        <v/>
      </c>
      <c r="B219" s="78"/>
      <c r="C219" s="80"/>
      <c r="D219" s="80"/>
      <c r="E219" s="79"/>
      <c r="F219" s="87" t="str">
        <f>IF($E219="","",IFERROR(INDEX(基础资料!$O$4:$O$34,MATCH($E219,基础资料!$N$4:$N$34,0))&amp;"",""))</f>
        <v/>
      </c>
      <c r="G219" s="87" t="str">
        <f>IF($E219="","",IFERROR(INDEX(基础资料!$P$4:$P$34,MATCH($E219,基础资料!$N$4:$N$34,0))&amp;"",""))</f>
        <v/>
      </c>
      <c r="H219" s="79"/>
      <c r="I219" s="88"/>
      <c r="J219" s="92"/>
      <c r="K219" s="93"/>
      <c r="L219" s="25" t="str">
        <f t="shared" si="10"/>
        <v/>
      </c>
      <c r="M219" s="94"/>
      <c r="N219" s="26" t="str">
        <f t="shared" si="11"/>
        <v/>
      </c>
      <c r="O219" s="80"/>
      <c r="P219" s="80"/>
      <c r="Q219" s="80"/>
      <c r="R219" s="80"/>
    </row>
    <row r="220" ht="18" customHeight="1" spans="1:18">
      <c r="A220" s="87" t="str">
        <f t="shared" si="9"/>
        <v/>
      </c>
      <c r="B220" s="78"/>
      <c r="C220" s="80"/>
      <c r="D220" s="80"/>
      <c r="E220" s="79"/>
      <c r="F220" s="87" t="str">
        <f>IF($E220="","",IFERROR(INDEX(基础资料!$O$4:$O$34,MATCH($E220,基础资料!$N$4:$N$34,0))&amp;"",""))</f>
        <v/>
      </c>
      <c r="G220" s="87" t="str">
        <f>IF($E220="","",IFERROR(INDEX(基础资料!$P$4:$P$34,MATCH($E220,基础资料!$N$4:$N$34,0))&amp;"",""))</f>
        <v/>
      </c>
      <c r="H220" s="79"/>
      <c r="I220" s="88"/>
      <c r="J220" s="92"/>
      <c r="K220" s="93"/>
      <c r="L220" s="25" t="str">
        <f t="shared" si="10"/>
        <v/>
      </c>
      <c r="M220" s="94"/>
      <c r="N220" s="26" t="str">
        <f t="shared" si="11"/>
        <v/>
      </c>
      <c r="O220" s="80"/>
      <c r="P220" s="80"/>
      <c r="Q220" s="80"/>
      <c r="R220" s="80"/>
    </row>
    <row r="221" ht="18" customHeight="1" spans="1:18">
      <c r="A221" s="87" t="str">
        <f t="shared" si="9"/>
        <v/>
      </c>
      <c r="B221" s="78"/>
      <c r="C221" s="80"/>
      <c r="D221" s="80"/>
      <c r="E221" s="79"/>
      <c r="F221" s="87" t="str">
        <f>IF($E221="","",IFERROR(INDEX(基础资料!$O$4:$O$34,MATCH($E221,基础资料!$N$4:$N$34,0))&amp;"",""))</f>
        <v/>
      </c>
      <c r="G221" s="87" t="str">
        <f>IF($E221="","",IFERROR(INDEX(基础资料!$P$4:$P$34,MATCH($E221,基础资料!$N$4:$N$34,0))&amp;"",""))</f>
        <v/>
      </c>
      <c r="H221" s="79"/>
      <c r="I221" s="88"/>
      <c r="J221" s="92"/>
      <c r="K221" s="93"/>
      <c r="L221" s="25" t="str">
        <f t="shared" si="10"/>
        <v/>
      </c>
      <c r="M221" s="94"/>
      <c r="N221" s="26" t="str">
        <f t="shared" si="11"/>
        <v/>
      </c>
      <c r="O221" s="80"/>
      <c r="P221" s="80"/>
      <c r="Q221" s="80"/>
      <c r="R221" s="80"/>
    </row>
    <row r="222" ht="18" customHeight="1" spans="1:18">
      <c r="A222" s="87" t="str">
        <f t="shared" si="9"/>
        <v/>
      </c>
      <c r="B222" s="78"/>
      <c r="C222" s="80"/>
      <c r="D222" s="80"/>
      <c r="E222" s="79"/>
      <c r="F222" s="87" t="str">
        <f>IF($E222="","",IFERROR(INDEX(基础资料!$O$4:$O$34,MATCH($E222,基础资料!$N$4:$N$34,0))&amp;"",""))</f>
        <v/>
      </c>
      <c r="G222" s="87" t="str">
        <f>IF($E222="","",IFERROR(INDEX(基础资料!$P$4:$P$34,MATCH($E222,基础资料!$N$4:$N$34,0))&amp;"",""))</f>
        <v/>
      </c>
      <c r="H222" s="79"/>
      <c r="I222" s="88"/>
      <c r="J222" s="92"/>
      <c r="K222" s="93"/>
      <c r="L222" s="25" t="str">
        <f t="shared" si="10"/>
        <v/>
      </c>
      <c r="M222" s="94"/>
      <c r="N222" s="26" t="str">
        <f t="shared" si="11"/>
        <v/>
      </c>
      <c r="O222" s="80"/>
      <c r="P222" s="80"/>
      <c r="Q222" s="80"/>
      <c r="R222" s="80"/>
    </row>
    <row r="223" ht="18" customHeight="1" spans="1:18">
      <c r="A223" s="87" t="str">
        <f t="shared" si="9"/>
        <v/>
      </c>
      <c r="B223" s="78"/>
      <c r="C223" s="80"/>
      <c r="D223" s="80"/>
      <c r="E223" s="79"/>
      <c r="F223" s="87" t="str">
        <f>IF($E223="","",IFERROR(INDEX(基础资料!$O$4:$O$34,MATCH($E223,基础资料!$N$4:$N$34,0))&amp;"",""))</f>
        <v/>
      </c>
      <c r="G223" s="87" t="str">
        <f>IF($E223="","",IFERROR(INDEX(基础资料!$P$4:$P$34,MATCH($E223,基础资料!$N$4:$N$34,0))&amp;"",""))</f>
        <v/>
      </c>
      <c r="H223" s="79"/>
      <c r="I223" s="88"/>
      <c r="J223" s="92"/>
      <c r="K223" s="93"/>
      <c r="L223" s="25" t="str">
        <f t="shared" si="10"/>
        <v/>
      </c>
      <c r="M223" s="94"/>
      <c r="N223" s="26" t="str">
        <f t="shared" si="11"/>
        <v/>
      </c>
      <c r="O223" s="80"/>
      <c r="P223" s="80"/>
      <c r="Q223" s="80"/>
      <c r="R223" s="80"/>
    </row>
    <row r="224" ht="18" customHeight="1" spans="1:18">
      <c r="A224" s="87" t="str">
        <f t="shared" si="9"/>
        <v/>
      </c>
      <c r="B224" s="78"/>
      <c r="C224" s="80"/>
      <c r="D224" s="80"/>
      <c r="E224" s="79"/>
      <c r="F224" s="87" t="str">
        <f>IF($E224="","",IFERROR(INDEX(基础资料!$O$4:$O$34,MATCH($E224,基础资料!$N$4:$N$34,0))&amp;"",""))</f>
        <v/>
      </c>
      <c r="G224" s="87" t="str">
        <f>IF($E224="","",IFERROR(INDEX(基础资料!$P$4:$P$34,MATCH($E224,基础资料!$N$4:$N$34,0))&amp;"",""))</f>
        <v/>
      </c>
      <c r="H224" s="79"/>
      <c r="I224" s="88"/>
      <c r="J224" s="92"/>
      <c r="K224" s="93"/>
      <c r="L224" s="25" t="str">
        <f t="shared" si="10"/>
        <v/>
      </c>
      <c r="M224" s="94"/>
      <c r="N224" s="26" t="str">
        <f t="shared" si="11"/>
        <v/>
      </c>
      <c r="O224" s="80"/>
      <c r="P224" s="80"/>
      <c r="Q224" s="80"/>
      <c r="R224" s="80"/>
    </row>
    <row r="225" ht="18" customHeight="1" spans="1:18">
      <c r="A225" s="87" t="str">
        <f t="shared" si="9"/>
        <v/>
      </c>
      <c r="B225" s="78"/>
      <c r="C225" s="80"/>
      <c r="D225" s="80"/>
      <c r="E225" s="79"/>
      <c r="F225" s="87" t="str">
        <f>IF($E225="","",IFERROR(INDEX(基础资料!$O$4:$O$34,MATCH($E225,基础资料!$N$4:$N$34,0))&amp;"",""))</f>
        <v/>
      </c>
      <c r="G225" s="87" t="str">
        <f>IF($E225="","",IFERROR(INDEX(基础资料!$P$4:$P$34,MATCH($E225,基础资料!$N$4:$N$34,0))&amp;"",""))</f>
        <v/>
      </c>
      <c r="H225" s="79"/>
      <c r="I225" s="88"/>
      <c r="J225" s="92"/>
      <c r="K225" s="93"/>
      <c r="L225" s="25" t="str">
        <f t="shared" si="10"/>
        <v/>
      </c>
      <c r="M225" s="94"/>
      <c r="N225" s="26" t="str">
        <f t="shared" si="11"/>
        <v/>
      </c>
      <c r="O225" s="80"/>
      <c r="P225" s="80"/>
      <c r="Q225" s="80"/>
      <c r="R225" s="80"/>
    </row>
    <row r="226" ht="18" customHeight="1" spans="1:18">
      <c r="A226" s="87" t="str">
        <f t="shared" si="9"/>
        <v/>
      </c>
      <c r="B226" s="78"/>
      <c r="C226" s="80"/>
      <c r="D226" s="80"/>
      <c r="E226" s="79"/>
      <c r="F226" s="87" t="str">
        <f>IF($E226="","",IFERROR(INDEX(基础资料!$O$4:$O$34,MATCH($E226,基础资料!$N$4:$N$34,0))&amp;"",""))</f>
        <v/>
      </c>
      <c r="G226" s="87" t="str">
        <f>IF($E226="","",IFERROR(INDEX(基础资料!$P$4:$P$34,MATCH($E226,基础资料!$N$4:$N$34,0))&amp;"",""))</f>
        <v/>
      </c>
      <c r="H226" s="79"/>
      <c r="I226" s="88"/>
      <c r="J226" s="92"/>
      <c r="K226" s="93"/>
      <c r="L226" s="25" t="str">
        <f t="shared" si="10"/>
        <v/>
      </c>
      <c r="M226" s="94"/>
      <c r="N226" s="26" t="str">
        <f t="shared" si="11"/>
        <v/>
      </c>
      <c r="O226" s="80"/>
      <c r="P226" s="80"/>
      <c r="Q226" s="80"/>
      <c r="R226" s="80"/>
    </row>
    <row r="227" ht="18" customHeight="1" spans="1:18">
      <c r="A227" s="87" t="str">
        <f t="shared" si="9"/>
        <v/>
      </c>
      <c r="B227" s="78"/>
      <c r="C227" s="80"/>
      <c r="D227" s="80"/>
      <c r="E227" s="79"/>
      <c r="F227" s="87" t="str">
        <f>IF($E227="","",IFERROR(INDEX(基础资料!$O$4:$O$34,MATCH($E227,基础资料!$N$4:$N$34,0))&amp;"",""))</f>
        <v/>
      </c>
      <c r="G227" s="87" t="str">
        <f>IF($E227="","",IFERROR(INDEX(基础资料!$P$4:$P$34,MATCH($E227,基础资料!$N$4:$N$34,0))&amp;"",""))</f>
        <v/>
      </c>
      <c r="H227" s="79"/>
      <c r="I227" s="88"/>
      <c r="J227" s="92"/>
      <c r="K227" s="93"/>
      <c r="L227" s="25" t="str">
        <f t="shared" si="10"/>
        <v/>
      </c>
      <c r="M227" s="94"/>
      <c r="N227" s="26" t="str">
        <f t="shared" si="11"/>
        <v/>
      </c>
      <c r="O227" s="80"/>
      <c r="P227" s="80"/>
      <c r="Q227" s="80"/>
      <c r="R227" s="80"/>
    </row>
    <row r="228" ht="18" customHeight="1" spans="1:18">
      <c r="A228" s="87" t="str">
        <f t="shared" si="9"/>
        <v/>
      </c>
      <c r="B228" s="78"/>
      <c r="C228" s="80"/>
      <c r="D228" s="80"/>
      <c r="E228" s="79"/>
      <c r="F228" s="87" t="str">
        <f>IF($E228="","",IFERROR(INDEX(基础资料!$O$4:$O$34,MATCH($E228,基础资料!$N$4:$N$34,0))&amp;"",""))</f>
        <v/>
      </c>
      <c r="G228" s="87" t="str">
        <f>IF($E228="","",IFERROR(INDEX(基础资料!$P$4:$P$34,MATCH($E228,基础资料!$N$4:$N$34,0))&amp;"",""))</f>
        <v/>
      </c>
      <c r="H228" s="79"/>
      <c r="I228" s="88"/>
      <c r="J228" s="92"/>
      <c r="K228" s="93"/>
      <c r="L228" s="25" t="str">
        <f t="shared" si="10"/>
        <v/>
      </c>
      <c r="M228" s="94"/>
      <c r="N228" s="26" t="str">
        <f t="shared" si="11"/>
        <v/>
      </c>
      <c r="O228" s="80"/>
      <c r="P228" s="80"/>
      <c r="Q228" s="80"/>
      <c r="R228" s="80"/>
    </row>
    <row r="229" ht="18" customHeight="1" spans="1:18">
      <c r="A229" s="87" t="str">
        <f t="shared" si="9"/>
        <v/>
      </c>
      <c r="B229" s="78"/>
      <c r="C229" s="80"/>
      <c r="D229" s="80"/>
      <c r="E229" s="79"/>
      <c r="F229" s="87" t="str">
        <f>IF($E229="","",IFERROR(INDEX(基础资料!$O$4:$O$34,MATCH($E229,基础资料!$N$4:$N$34,0))&amp;"",""))</f>
        <v/>
      </c>
      <c r="G229" s="87" t="str">
        <f>IF($E229="","",IFERROR(INDEX(基础资料!$P$4:$P$34,MATCH($E229,基础资料!$N$4:$N$34,0))&amp;"",""))</f>
        <v/>
      </c>
      <c r="H229" s="79"/>
      <c r="I229" s="88"/>
      <c r="J229" s="92"/>
      <c r="K229" s="93"/>
      <c r="L229" s="25" t="str">
        <f t="shared" si="10"/>
        <v/>
      </c>
      <c r="M229" s="94"/>
      <c r="N229" s="26" t="str">
        <f t="shared" si="11"/>
        <v/>
      </c>
      <c r="O229" s="80"/>
      <c r="P229" s="80"/>
      <c r="Q229" s="80"/>
      <c r="R229" s="80"/>
    </row>
    <row r="230" ht="18" customHeight="1" spans="1:18">
      <c r="A230" s="87" t="str">
        <f t="shared" si="9"/>
        <v/>
      </c>
      <c r="B230" s="78"/>
      <c r="C230" s="80"/>
      <c r="D230" s="80"/>
      <c r="E230" s="79"/>
      <c r="F230" s="87" t="str">
        <f>IF($E230="","",IFERROR(INDEX(基础资料!$O$4:$O$34,MATCH($E230,基础资料!$N$4:$N$34,0))&amp;"",""))</f>
        <v/>
      </c>
      <c r="G230" s="87" t="str">
        <f>IF($E230="","",IFERROR(INDEX(基础资料!$P$4:$P$34,MATCH($E230,基础资料!$N$4:$N$34,0))&amp;"",""))</f>
        <v/>
      </c>
      <c r="H230" s="79"/>
      <c r="I230" s="88"/>
      <c r="J230" s="92"/>
      <c r="K230" s="93"/>
      <c r="L230" s="25" t="str">
        <f t="shared" si="10"/>
        <v/>
      </c>
      <c r="M230" s="94"/>
      <c r="N230" s="26" t="str">
        <f t="shared" si="11"/>
        <v/>
      </c>
      <c r="O230" s="80"/>
      <c r="P230" s="80"/>
      <c r="Q230" s="80"/>
      <c r="R230" s="80"/>
    </row>
    <row r="231" ht="18" customHeight="1" spans="1:18">
      <c r="A231" s="87" t="str">
        <f t="shared" si="9"/>
        <v/>
      </c>
      <c r="B231" s="78"/>
      <c r="C231" s="80"/>
      <c r="D231" s="80"/>
      <c r="E231" s="79"/>
      <c r="F231" s="87" t="str">
        <f>IF($E231="","",IFERROR(INDEX(基础资料!$O$4:$O$34,MATCH($E231,基础资料!$N$4:$N$34,0))&amp;"",""))</f>
        <v/>
      </c>
      <c r="G231" s="87" t="str">
        <f>IF($E231="","",IFERROR(INDEX(基础资料!$P$4:$P$34,MATCH($E231,基础资料!$N$4:$N$34,0))&amp;"",""))</f>
        <v/>
      </c>
      <c r="H231" s="79"/>
      <c r="I231" s="88"/>
      <c r="J231" s="92"/>
      <c r="K231" s="93"/>
      <c r="L231" s="25" t="str">
        <f t="shared" si="10"/>
        <v/>
      </c>
      <c r="M231" s="94"/>
      <c r="N231" s="26" t="str">
        <f t="shared" si="11"/>
        <v/>
      </c>
      <c r="O231" s="80"/>
      <c r="P231" s="80"/>
      <c r="Q231" s="80"/>
      <c r="R231" s="80"/>
    </row>
    <row r="232" ht="18" customHeight="1" spans="1:18">
      <c r="A232" s="87" t="str">
        <f t="shared" si="9"/>
        <v/>
      </c>
      <c r="B232" s="78"/>
      <c r="C232" s="80"/>
      <c r="D232" s="80"/>
      <c r="E232" s="79"/>
      <c r="F232" s="87" t="str">
        <f>IF($E232="","",IFERROR(INDEX(基础资料!$O$4:$O$34,MATCH($E232,基础资料!$N$4:$N$34,0))&amp;"",""))</f>
        <v/>
      </c>
      <c r="G232" s="87" t="str">
        <f>IF($E232="","",IFERROR(INDEX(基础资料!$P$4:$P$34,MATCH($E232,基础资料!$N$4:$N$34,0))&amp;"",""))</f>
        <v/>
      </c>
      <c r="H232" s="79"/>
      <c r="I232" s="88"/>
      <c r="J232" s="92"/>
      <c r="K232" s="93"/>
      <c r="L232" s="25" t="str">
        <f t="shared" si="10"/>
        <v/>
      </c>
      <c r="M232" s="94"/>
      <c r="N232" s="26" t="str">
        <f t="shared" si="11"/>
        <v/>
      </c>
      <c r="O232" s="80"/>
      <c r="P232" s="80"/>
      <c r="Q232" s="80"/>
      <c r="R232" s="80"/>
    </row>
    <row r="233" ht="18" customHeight="1" spans="1:18">
      <c r="A233" s="87" t="str">
        <f t="shared" si="9"/>
        <v/>
      </c>
      <c r="B233" s="78"/>
      <c r="C233" s="80"/>
      <c r="D233" s="80"/>
      <c r="E233" s="79"/>
      <c r="F233" s="87" t="str">
        <f>IF($E233="","",IFERROR(INDEX(基础资料!$O$4:$O$34,MATCH($E233,基础资料!$N$4:$N$34,0))&amp;"",""))</f>
        <v/>
      </c>
      <c r="G233" s="87" t="str">
        <f>IF($E233="","",IFERROR(INDEX(基础资料!$P$4:$P$34,MATCH($E233,基础资料!$N$4:$N$34,0))&amp;"",""))</f>
        <v/>
      </c>
      <c r="H233" s="79"/>
      <c r="I233" s="88"/>
      <c r="J233" s="92"/>
      <c r="K233" s="93"/>
      <c r="L233" s="25" t="str">
        <f t="shared" si="10"/>
        <v/>
      </c>
      <c r="M233" s="94"/>
      <c r="N233" s="26" t="str">
        <f t="shared" si="11"/>
        <v/>
      </c>
      <c r="O233" s="80"/>
      <c r="P233" s="80"/>
      <c r="Q233" s="80"/>
      <c r="R233" s="80"/>
    </row>
    <row r="234" ht="18" customHeight="1" spans="1:18">
      <c r="A234" s="87" t="str">
        <f t="shared" si="9"/>
        <v/>
      </c>
      <c r="B234" s="78"/>
      <c r="C234" s="80"/>
      <c r="D234" s="80"/>
      <c r="E234" s="79"/>
      <c r="F234" s="87" t="str">
        <f>IF($E234="","",IFERROR(INDEX(基础资料!$O$4:$O$34,MATCH($E234,基础资料!$N$4:$N$34,0))&amp;"",""))</f>
        <v/>
      </c>
      <c r="G234" s="87" t="str">
        <f>IF($E234="","",IFERROR(INDEX(基础资料!$P$4:$P$34,MATCH($E234,基础资料!$N$4:$N$34,0))&amp;"",""))</f>
        <v/>
      </c>
      <c r="H234" s="79"/>
      <c r="I234" s="88"/>
      <c r="J234" s="92"/>
      <c r="K234" s="93"/>
      <c r="L234" s="25" t="str">
        <f t="shared" si="10"/>
        <v/>
      </c>
      <c r="M234" s="94"/>
      <c r="N234" s="26" t="str">
        <f t="shared" si="11"/>
        <v/>
      </c>
      <c r="O234" s="80"/>
      <c r="P234" s="80"/>
      <c r="Q234" s="80"/>
      <c r="R234" s="80"/>
    </row>
    <row r="235" ht="18" customHeight="1" spans="1:18">
      <c r="A235" s="87" t="str">
        <f t="shared" si="9"/>
        <v/>
      </c>
      <c r="B235" s="78"/>
      <c r="C235" s="80"/>
      <c r="D235" s="80"/>
      <c r="E235" s="79"/>
      <c r="F235" s="87" t="str">
        <f>IF($E235="","",IFERROR(INDEX(基础资料!$O$4:$O$34,MATCH($E235,基础资料!$N$4:$N$34,0))&amp;"",""))</f>
        <v/>
      </c>
      <c r="G235" s="87" t="str">
        <f>IF($E235="","",IFERROR(INDEX(基础资料!$P$4:$P$34,MATCH($E235,基础资料!$N$4:$N$34,0))&amp;"",""))</f>
        <v/>
      </c>
      <c r="H235" s="79"/>
      <c r="I235" s="88"/>
      <c r="J235" s="92"/>
      <c r="K235" s="93"/>
      <c r="L235" s="25" t="str">
        <f t="shared" si="10"/>
        <v/>
      </c>
      <c r="M235" s="94"/>
      <c r="N235" s="26" t="str">
        <f t="shared" si="11"/>
        <v/>
      </c>
      <c r="O235" s="80"/>
      <c r="P235" s="80"/>
      <c r="Q235" s="80"/>
      <c r="R235" s="80"/>
    </row>
    <row r="236" ht="18" customHeight="1" spans="1:18">
      <c r="A236" s="87" t="str">
        <f t="shared" si="9"/>
        <v/>
      </c>
      <c r="B236" s="78"/>
      <c r="C236" s="80"/>
      <c r="D236" s="80"/>
      <c r="E236" s="79"/>
      <c r="F236" s="87" t="str">
        <f>IF($E236="","",IFERROR(INDEX(基础资料!$O$4:$O$34,MATCH($E236,基础资料!$N$4:$N$34,0))&amp;"",""))</f>
        <v/>
      </c>
      <c r="G236" s="87" t="str">
        <f>IF($E236="","",IFERROR(INDEX(基础资料!$P$4:$P$34,MATCH($E236,基础资料!$N$4:$N$34,0))&amp;"",""))</f>
        <v/>
      </c>
      <c r="H236" s="79"/>
      <c r="I236" s="88"/>
      <c r="J236" s="92"/>
      <c r="K236" s="93"/>
      <c r="L236" s="25" t="str">
        <f t="shared" si="10"/>
        <v/>
      </c>
      <c r="M236" s="94"/>
      <c r="N236" s="26" t="str">
        <f t="shared" si="11"/>
        <v/>
      </c>
      <c r="O236" s="80"/>
      <c r="P236" s="80"/>
      <c r="Q236" s="80"/>
      <c r="R236" s="80"/>
    </row>
    <row r="237" ht="18" customHeight="1" spans="1:18">
      <c r="A237" s="87" t="str">
        <f t="shared" si="9"/>
        <v/>
      </c>
      <c r="B237" s="78"/>
      <c r="C237" s="80"/>
      <c r="D237" s="80"/>
      <c r="E237" s="79"/>
      <c r="F237" s="87" t="str">
        <f>IF($E237="","",IFERROR(INDEX(基础资料!$O$4:$O$34,MATCH($E237,基础资料!$N$4:$N$34,0))&amp;"",""))</f>
        <v/>
      </c>
      <c r="G237" s="87" t="str">
        <f>IF($E237="","",IFERROR(INDEX(基础资料!$P$4:$P$34,MATCH($E237,基础资料!$N$4:$N$34,0))&amp;"",""))</f>
        <v/>
      </c>
      <c r="H237" s="79"/>
      <c r="I237" s="88"/>
      <c r="J237" s="92"/>
      <c r="K237" s="93"/>
      <c r="L237" s="25" t="str">
        <f t="shared" si="10"/>
        <v/>
      </c>
      <c r="M237" s="94"/>
      <c r="N237" s="26" t="str">
        <f t="shared" si="11"/>
        <v/>
      </c>
      <c r="O237" s="80"/>
      <c r="P237" s="80"/>
      <c r="Q237" s="80"/>
      <c r="R237" s="80"/>
    </row>
    <row r="238" ht="18" customHeight="1" spans="1:18">
      <c r="A238" s="87" t="str">
        <f t="shared" si="9"/>
        <v/>
      </c>
      <c r="B238" s="78"/>
      <c r="C238" s="80"/>
      <c r="D238" s="80"/>
      <c r="E238" s="79"/>
      <c r="F238" s="87" t="str">
        <f>IF($E238="","",IFERROR(INDEX(基础资料!$O$4:$O$34,MATCH($E238,基础资料!$N$4:$N$34,0))&amp;"",""))</f>
        <v/>
      </c>
      <c r="G238" s="87" t="str">
        <f>IF($E238="","",IFERROR(INDEX(基础资料!$P$4:$P$34,MATCH($E238,基础资料!$N$4:$N$34,0))&amp;"",""))</f>
        <v/>
      </c>
      <c r="H238" s="79"/>
      <c r="I238" s="88"/>
      <c r="J238" s="92"/>
      <c r="K238" s="93"/>
      <c r="L238" s="25" t="str">
        <f t="shared" si="10"/>
        <v/>
      </c>
      <c r="M238" s="94"/>
      <c r="N238" s="26" t="str">
        <f t="shared" si="11"/>
        <v/>
      </c>
      <c r="O238" s="80"/>
      <c r="P238" s="80"/>
      <c r="Q238" s="80"/>
      <c r="R238" s="80"/>
    </row>
    <row r="239" ht="18" customHeight="1" spans="1:18">
      <c r="A239" s="87" t="str">
        <f t="shared" si="9"/>
        <v/>
      </c>
      <c r="B239" s="78"/>
      <c r="C239" s="80"/>
      <c r="D239" s="80"/>
      <c r="E239" s="79"/>
      <c r="F239" s="87" t="str">
        <f>IF($E239="","",IFERROR(INDEX(基础资料!$O$4:$O$34,MATCH($E239,基础资料!$N$4:$N$34,0))&amp;"",""))</f>
        <v/>
      </c>
      <c r="G239" s="87" t="str">
        <f>IF($E239="","",IFERROR(INDEX(基础资料!$P$4:$P$34,MATCH($E239,基础资料!$N$4:$N$34,0))&amp;"",""))</f>
        <v/>
      </c>
      <c r="H239" s="79"/>
      <c r="I239" s="88"/>
      <c r="J239" s="92"/>
      <c r="K239" s="93"/>
      <c r="L239" s="25" t="str">
        <f t="shared" si="10"/>
        <v/>
      </c>
      <c r="M239" s="94"/>
      <c r="N239" s="26" t="str">
        <f t="shared" si="11"/>
        <v/>
      </c>
      <c r="O239" s="80"/>
      <c r="P239" s="80"/>
      <c r="Q239" s="80"/>
      <c r="R239" s="80"/>
    </row>
    <row r="240" ht="18" customHeight="1" spans="1:18">
      <c r="A240" s="87" t="str">
        <f t="shared" si="9"/>
        <v/>
      </c>
      <c r="B240" s="78"/>
      <c r="C240" s="80"/>
      <c r="D240" s="80"/>
      <c r="E240" s="79"/>
      <c r="F240" s="87" t="str">
        <f>IF($E240="","",IFERROR(INDEX(基础资料!$O$4:$O$34,MATCH($E240,基础资料!$N$4:$N$34,0))&amp;"",""))</f>
        <v/>
      </c>
      <c r="G240" s="87" t="str">
        <f>IF($E240="","",IFERROR(INDEX(基础资料!$P$4:$P$34,MATCH($E240,基础资料!$N$4:$N$34,0))&amp;"",""))</f>
        <v/>
      </c>
      <c r="H240" s="79"/>
      <c r="I240" s="88"/>
      <c r="J240" s="92"/>
      <c r="K240" s="93"/>
      <c r="L240" s="25" t="str">
        <f t="shared" si="10"/>
        <v/>
      </c>
      <c r="M240" s="94"/>
      <c r="N240" s="26" t="str">
        <f t="shared" si="11"/>
        <v/>
      </c>
      <c r="O240" s="80"/>
      <c r="P240" s="80"/>
      <c r="Q240" s="80"/>
      <c r="R240" s="80"/>
    </row>
    <row r="241" ht="18" customHeight="1" spans="1:18">
      <c r="A241" s="87" t="str">
        <f t="shared" si="9"/>
        <v/>
      </c>
      <c r="B241" s="78"/>
      <c r="C241" s="80"/>
      <c r="D241" s="80"/>
      <c r="E241" s="79"/>
      <c r="F241" s="87" t="str">
        <f>IF($E241="","",IFERROR(INDEX(基础资料!$O$4:$O$34,MATCH($E241,基础资料!$N$4:$N$34,0))&amp;"",""))</f>
        <v/>
      </c>
      <c r="G241" s="87" t="str">
        <f>IF($E241="","",IFERROR(INDEX(基础资料!$P$4:$P$34,MATCH($E241,基础资料!$N$4:$N$34,0))&amp;"",""))</f>
        <v/>
      </c>
      <c r="H241" s="79"/>
      <c r="I241" s="88"/>
      <c r="J241" s="92"/>
      <c r="K241" s="93"/>
      <c r="L241" s="25" t="str">
        <f t="shared" si="10"/>
        <v/>
      </c>
      <c r="M241" s="94"/>
      <c r="N241" s="26" t="str">
        <f t="shared" si="11"/>
        <v/>
      </c>
      <c r="O241" s="80"/>
      <c r="P241" s="80"/>
      <c r="Q241" s="80"/>
      <c r="R241" s="80"/>
    </row>
    <row r="242" ht="18" customHeight="1" spans="1:18">
      <c r="A242" s="87" t="str">
        <f t="shared" si="9"/>
        <v/>
      </c>
      <c r="B242" s="78"/>
      <c r="C242" s="80"/>
      <c r="D242" s="80"/>
      <c r="E242" s="79"/>
      <c r="F242" s="87" t="str">
        <f>IF($E242="","",IFERROR(INDEX(基础资料!$O$4:$O$34,MATCH($E242,基础资料!$N$4:$N$34,0))&amp;"",""))</f>
        <v/>
      </c>
      <c r="G242" s="87" t="str">
        <f>IF($E242="","",IFERROR(INDEX(基础资料!$P$4:$P$34,MATCH($E242,基础资料!$N$4:$N$34,0))&amp;"",""))</f>
        <v/>
      </c>
      <c r="H242" s="79"/>
      <c r="I242" s="88"/>
      <c r="J242" s="92"/>
      <c r="K242" s="93"/>
      <c r="L242" s="25" t="str">
        <f t="shared" si="10"/>
        <v/>
      </c>
      <c r="M242" s="94"/>
      <c r="N242" s="26" t="str">
        <f t="shared" si="11"/>
        <v/>
      </c>
      <c r="O242" s="80"/>
      <c r="P242" s="80"/>
      <c r="Q242" s="80"/>
      <c r="R242" s="80"/>
    </row>
    <row r="243" ht="18" customHeight="1" spans="1:18">
      <c r="A243" s="87" t="str">
        <f t="shared" si="9"/>
        <v/>
      </c>
      <c r="B243" s="78"/>
      <c r="C243" s="80"/>
      <c r="D243" s="80"/>
      <c r="E243" s="79"/>
      <c r="F243" s="87" t="str">
        <f>IF($E243="","",IFERROR(INDEX(基础资料!$O$4:$O$34,MATCH($E243,基础资料!$N$4:$N$34,0))&amp;"",""))</f>
        <v/>
      </c>
      <c r="G243" s="87" t="str">
        <f>IF($E243="","",IFERROR(INDEX(基础资料!$P$4:$P$34,MATCH($E243,基础资料!$N$4:$N$34,0))&amp;"",""))</f>
        <v/>
      </c>
      <c r="H243" s="79"/>
      <c r="I243" s="88"/>
      <c r="J243" s="92"/>
      <c r="K243" s="93"/>
      <c r="L243" s="25" t="str">
        <f t="shared" si="10"/>
        <v/>
      </c>
      <c r="M243" s="94"/>
      <c r="N243" s="26" t="str">
        <f t="shared" si="11"/>
        <v/>
      </c>
      <c r="O243" s="80"/>
      <c r="P243" s="80"/>
      <c r="Q243" s="80"/>
      <c r="R243" s="80"/>
    </row>
    <row r="244" ht="18" customHeight="1" spans="1:18">
      <c r="A244" s="87" t="str">
        <f t="shared" si="9"/>
        <v/>
      </c>
      <c r="B244" s="78"/>
      <c r="C244" s="80"/>
      <c r="D244" s="80"/>
      <c r="E244" s="79"/>
      <c r="F244" s="87" t="str">
        <f>IF($E244="","",IFERROR(INDEX(基础资料!$O$4:$O$34,MATCH($E244,基础资料!$N$4:$N$34,0))&amp;"",""))</f>
        <v/>
      </c>
      <c r="G244" s="87" t="str">
        <f>IF($E244="","",IFERROR(INDEX(基础资料!$P$4:$P$34,MATCH($E244,基础资料!$N$4:$N$34,0))&amp;"",""))</f>
        <v/>
      </c>
      <c r="H244" s="79"/>
      <c r="I244" s="88"/>
      <c r="J244" s="92"/>
      <c r="K244" s="93"/>
      <c r="L244" s="25" t="str">
        <f t="shared" si="10"/>
        <v/>
      </c>
      <c r="M244" s="94"/>
      <c r="N244" s="26" t="str">
        <f t="shared" si="11"/>
        <v/>
      </c>
      <c r="O244" s="80"/>
      <c r="P244" s="80"/>
      <c r="Q244" s="80"/>
      <c r="R244" s="80"/>
    </row>
    <row r="245" ht="18" customHeight="1" spans="1:18">
      <c r="A245" s="87" t="str">
        <f t="shared" si="9"/>
        <v/>
      </c>
      <c r="B245" s="78"/>
      <c r="C245" s="80"/>
      <c r="D245" s="80"/>
      <c r="E245" s="79"/>
      <c r="F245" s="87" t="str">
        <f>IF($E245="","",IFERROR(INDEX(基础资料!$O$4:$O$34,MATCH($E245,基础资料!$N$4:$N$34,0))&amp;"",""))</f>
        <v/>
      </c>
      <c r="G245" s="87" t="str">
        <f>IF($E245="","",IFERROR(INDEX(基础资料!$P$4:$P$34,MATCH($E245,基础资料!$N$4:$N$34,0))&amp;"",""))</f>
        <v/>
      </c>
      <c r="H245" s="79"/>
      <c r="I245" s="88"/>
      <c r="J245" s="92"/>
      <c r="K245" s="93"/>
      <c r="L245" s="25" t="str">
        <f t="shared" si="10"/>
        <v/>
      </c>
      <c r="M245" s="94"/>
      <c r="N245" s="26" t="str">
        <f t="shared" si="11"/>
        <v/>
      </c>
      <c r="O245" s="80"/>
      <c r="P245" s="80"/>
      <c r="Q245" s="80"/>
      <c r="R245" s="80"/>
    </row>
    <row r="246" ht="18" customHeight="1" spans="1:18">
      <c r="A246" s="87" t="str">
        <f t="shared" si="9"/>
        <v/>
      </c>
      <c r="B246" s="78"/>
      <c r="C246" s="80"/>
      <c r="D246" s="80"/>
      <c r="E246" s="79"/>
      <c r="F246" s="87" t="str">
        <f>IF($E246="","",IFERROR(INDEX(基础资料!$O$4:$O$34,MATCH($E246,基础资料!$N$4:$N$34,0))&amp;"",""))</f>
        <v/>
      </c>
      <c r="G246" s="87" t="str">
        <f>IF($E246="","",IFERROR(INDEX(基础资料!$P$4:$P$34,MATCH($E246,基础资料!$N$4:$N$34,0))&amp;"",""))</f>
        <v/>
      </c>
      <c r="H246" s="79"/>
      <c r="I246" s="88"/>
      <c r="J246" s="92"/>
      <c r="K246" s="93"/>
      <c r="L246" s="25" t="str">
        <f t="shared" si="10"/>
        <v/>
      </c>
      <c r="M246" s="94"/>
      <c r="N246" s="26" t="str">
        <f t="shared" si="11"/>
        <v/>
      </c>
      <c r="O246" s="80"/>
      <c r="P246" s="80"/>
      <c r="Q246" s="80"/>
      <c r="R246" s="80"/>
    </row>
    <row r="247" ht="18" customHeight="1" spans="1:18">
      <c r="A247" s="87" t="str">
        <f t="shared" si="9"/>
        <v/>
      </c>
      <c r="B247" s="78"/>
      <c r="C247" s="80"/>
      <c r="D247" s="80"/>
      <c r="E247" s="79"/>
      <c r="F247" s="87" t="str">
        <f>IF($E247="","",IFERROR(INDEX(基础资料!$O$4:$O$34,MATCH($E247,基础资料!$N$4:$N$34,0))&amp;"",""))</f>
        <v/>
      </c>
      <c r="G247" s="87" t="str">
        <f>IF($E247="","",IFERROR(INDEX(基础资料!$P$4:$P$34,MATCH($E247,基础资料!$N$4:$N$34,0))&amp;"",""))</f>
        <v/>
      </c>
      <c r="H247" s="79"/>
      <c r="I247" s="88"/>
      <c r="J247" s="92"/>
      <c r="K247" s="93"/>
      <c r="L247" s="25" t="str">
        <f t="shared" si="10"/>
        <v/>
      </c>
      <c r="M247" s="94"/>
      <c r="N247" s="26" t="str">
        <f t="shared" si="11"/>
        <v/>
      </c>
      <c r="O247" s="80"/>
      <c r="P247" s="80"/>
      <c r="Q247" s="80"/>
      <c r="R247" s="80"/>
    </row>
    <row r="248" ht="18" customHeight="1" spans="1:18">
      <c r="A248" s="87" t="str">
        <f t="shared" si="9"/>
        <v/>
      </c>
      <c r="B248" s="78"/>
      <c r="C248" s="80"/>
      <c r="D248" s="80"/>
      <c r="E248" s="79"/>
      <c r="F248" s="87" t="str">
        <f>IF($E248="","",IFERROR(INDEX(基础资料!$O$4:$O$34,MATCH($E248,基础资料!$N$4:$N$34,0))&amp;"",""))</f>
        <v/>
      </c>
      <c r="G248" s="87" t="str">
        <f>IF($E248="","",IFERROR(INDEX(基础资料!$P$4:$P$34,MATCH($E248,基础资料!$N$4:$N$34,0))&amp;"",""))</f>
        <v/>
      </c>
      <c r="H248" s="79"/>
      <c r="I248" s="88"/>
      <c r="J248" s="92"/>
      <c r="K248" s="93"/>
      <c r="L248" s="25" t="str">
        <f t="shared" si="10"/>
        <v/>
      </c>
      <c r="M248" s="94"/>
      <c r="N248" s="26" t="str">
        <f t="shared" si="11"/>
        <v/>
      </c>
      <c r="O248" s="80"/>
      <c r="P248" s="80"/>
      <c r="Q248" s="80"/>
      <c r="R248" s="80"/>
    </row>
    <row r="249" ht="18" customHeight="1" spans="1:18">
      <c r="A249" s="87" t="str">
        <f t="shared" si="9"/>
        <v/>
      </c>
      <c r="B249" s="78"/>
      <c r="C249" s="80"/>
      <c r="D249" s="80"/>
      <c r="E249" s="79"/>
      <c r="F249" s="87" t="str">
        <f>IF($E249="","",IFERROR(INDEX(基础资料!$O$4:$O$34,MATCH($E249,基础资料!$N$4:$N$34,0))&amp;"",""))</f>
        <v/>
      </c>
      <c r="G249" s="87" t="str">
        <f>IF($E249="","",IFERROR(INDEX(基础资料!$P$4:$P$34,MATCH($E249,基础资料!$N$4:$N$34,0))&amp;"",""))</f>
        <v/>
      </c>
      <c r="H249" s="79"/>
      <c r="I249" s="88"/>
      <c r="J249" s="92"/>
      <c r="K249" s="93"/>
      <c r="L249" s="25" t="str">
        <f t="shared" si="10"/>
        <v/>
      </c>
      <c r="M249" s="94"/>
      <c r="N249" s="26" t="str">
        <f t="shared" si="11"/>
        <v/>
      </c>
      <c r="O249" s="80"/>
      <c r="P249" s="80"/>
      <c r="Q249" s="80"/>
      <c r="R249" s="80"/>
    </row>
    <row r="250" ht="18" customHeight="1" spans="1:18">
      <c r="A250" s="87" t="str">
        <f t="shared" si="9"/>
        <v/>
      </c>
      <c r="B250" s="78"/>
      <c r="C250" s="80"/>
      <c r="D250" s="80"/>
      <c r="E250" s="79"/>
      <c r="F250" s="87" t="str">
        <f>IF($E250="","",IFERROR(INDEX(基础资料!$O$4:$O$34,MATCH($E250,基础资料!$N$4:$N$34,0))&amp;"",""))</f>
        <v/>
      </c>
      <c r="G250" s="87" t="str">
        <f>IF($E250="","",IFERROR(INDEX(基础资料!$P$4:$P$34,MATCH($E250,基础资料!$N$4:$N$34,0))&amp;"",""))</f>
        <v/>
      </c>
      <c r="H250" s="79"/>
      <c r="I250" s="88"/>
      <c r="J250" s="92"/>
      <c r="K250" s="93"/>
      <c r="L250" s="25" t="str">
        <f t="shared" si="10"/>
        <v/>
      </c>
      <c r="M250" s="94"/>
      <c r="N250" s="26" t="str">
        <f t="shared" si="11"/>
        <v/>
      </c>
      <c r="O250" s="80"/>
      <c r="P250" s="80"/>
      <c r="Q250" s="80"/>
      <c r="R250" s="80"/>
    </row>
    <row r="251" ht="18" customHeight="1" spans="1:18">
      <c r="A251" s="87" t="str">
        <f t="shared" si="9"/>
        <v/>
      </c>
      <c r="B251" s="78"/>
      <c r="C251" s="80"/>
      <c r="D251" s="80"/>
      <c r="E251" s="79"/>
      <c r="F251" s="87" t="str">
        <f>IF($E251="","",IFERROR(INDEX(基础资料!$O$4:$O$34,MATCH($E251,基础资料!$N$4:$N$34,0))&amp;"",""))</f>
        <v/>
      </c>
      <c r="G251" s="87" t="str">
        <f>IF($E251="","",IFERROR(INDEX(基础资料!$P$4:$P$34,MATCH($E251,基础资料!$N$4:$N$34,0))&amp;"",""))</f>
        <v/>
      </c>
      <c r="H251" s="79"/>
      <c r="I251" s="88"/>
      <c r="J251" s="92"/>
      <c r="K251" s="93"/>
      <c r="L251" s="25" t="str">
        <f t="shared" si="10"/>
        <v/>
      </c>
      <c r="M251" s="94"/>
      <c r="N251" s="26" t="str">
        <f t="shared" si="11"/>
        <v/>
      </c>
      <c r="O251" s="80"/>
      <c r="P251" s="80"/>
      <c r="Q251" s="80"/>
      <c r="R251" s="80"/>
    </row>
    <row r="252" ht="18" customHeight="1" spans="1:18">
      <c r="A252" s="87" t="str">
        <f t="shared" si="9"/>
        <v/>
      </c>
      <c r="B252" s="78"/>
      <c r="C252" s="80"/>
      <c r="D252" s="80"/>
      <c r="E252" s="79"/>
      <c r="F252" s="87" t="str">
        <f>IF($E252="","",IFERROR(INDEX(基础资料!$O$4:$O$34,MATCH($E252,基础资料!$N$4:$N$34,0))&amp;"",""))</f>
        <v/>
      </c>
      <c r="G252" s="87" t="str">
        <f>IF($E252="","",IFERROR(INDEX(基础资料!$P$4:$P$34,MATCH($E252,基础资料!$N$4:$N$34,0))&amp;"",""))</f>
        <v/>
      </c>
      <c r="H252" s="79"/>
      <c r="I252" s="88"/>
      <c r="J252" s="92"/>
      <c r="K252" s="93"/>
      <c r="L252" s="25" t="str">
        <f t="shared" si="10"/>
        <v/>
      </c>
      <c r="M252" s="94"/>
      <c r="N252" s="26" t="str">
        <f t="shared" si="11"/>
        <v/>
      </c>
      <c r="O252" s="80"/>
      <c r="P252" s="80"/>
      <c r="Q252" s="80"/>
      <c r="R252" s="80"/>
    </row>
    <row r="253" ht="18" customHeight="1" spans="1:18">
      <c r="A253" s="87" t="str">
        <f t="shared" si="9"/>
        <v/>
      </c>
      <c r="B253" s="78"/>
      <c r="C253" s="80"/>
      <c r="D253" s="80"/>
      <c r="E253" s="79"/>
      <c r="F253" s="87" t="str">
        <f>IF($E253="","",IFERROR(INDEX(基础资料!$O$4:$O$34,MATCH($E253,基础资料!$N$4:$N$34,0))&amp;"",""))</f>
        <v/>
      </c>
      <c r="G253" s="87" t="str">
        <f>IF($E253="","",IFERROR(INDEX(基础资料!$P$4:$P$34,MATCH($E253,基础资料!$N$4:$N$34,0))&amp;"",""))</f>
        <v/>
      </c>
      <c r="H253" s="79"/>
      <c r="I253" s="88"/>
      <c r="J253" s="92"/>
      <c r="K253" s="93"/>
      <c r="L253" s="25" t="str">
        <f t="shared" si="10"/>
        <v/>
      </c>
      <c r="M253" s="94"/>
      <c r="N253" s="26" t="str">
        <f t="shared" si="11"/>
        <v/>
      </c>
      <c r="O253" s="80"/>
      <c r="P253" s="80"/>
      <c r="Q253" s="80"/>
      <c r="R253" s="80"/>
    </row>
    <row r="254" ht="18" customHeight="1" spans="1:18">
      <c r="A254" s="87" t="str">
        <f t="shared" si="9"/>
        <v/>
      </c>
      <c r="B254" s="78"/>
      <c r="C254" s="80"/>
      <c r="D254" s="80"/>
      <c r="E254" s="79"/>
      <c r="F254" s="87" t="str">
        <f>IF($E254="","",IFERROR(INDEX(基础资料!$O$4:$O$34,MATCH($E254,基础资料!$N$4:$N$34,0))&amp;"",""))</f>
        <v/>
      </c>
      <c r="G254" s="87" t="str">
        <f>IF($E254="","",IFERROR(INDEX(基础资料!$P$4:$P$34,MATCH($E254,基础资料!$N$4:$N$34,0))&amp;"",""))</f>
        <v/>
      </c>
      <c r="H254" s="79"/>
      <c r="I254" s="88"/>
      <c r="J254" s="92"/>
      <c r="K254" s="93"/>
      <c r="L254" s="25" t="str">
        <f t="shared" si="10"/>
        <v/>
      </c>
      <c r="M254" s="94"/>
      <c r="N254" s="26" t="str">
        <f t="shared" si="11"/>
        <v/>
      </c>
      <c r="O254" s="80"/>
      <c r="P254" s="80"/>
      <c r="Q254" s="80"/>
      <c r="R254" s="80"/>
    </row>
    <row r="255" ht="18" customHeight="1" spans="1:18">
      <c r="A255" s="87" t="str">
        <f t="shared" si="9"/>
        <v/>
      </c>
      <c r="B255" s="78"/>
      <c r="C255" s="80"/>
      <c r="D255" s="80"/>
      <c r="E255" s="79"/>
      <c r="F255" s="87" t="str">
        <f>IF($E255="","",IFERROR(INDEX(基础资料!$O$4:$O$34,MATCH($E255,基础资料!$N$4:$N$34,0))&amp;"",""))</f>
        <v/>
      </c>
      <c r="G255" s="87" t="str">
        <f>IF($E255="","",IFERROR(INDEX(基础资料!$P$4:$P$34,MATCH($E255,基础资料!$N$4:$N$34,0))&amp;"",""))</f>
        <v/>
      </c>
      <c r="H255" s="79"/>
      <c r="I255" s="88"/>
      <c r="J255" s="92"/>
      <c r="K255" s="93"/>
      <c r="L255" s="25" t="str">
        <f t="shared" si="10"/>
        <v/>
      </c>
      <c r="M255" s="94"/>
      <c r="N255" s="26" t="str">
        <f t="shared" si="11"/>
        <v/>
      </c>
      <c r="O255" s="80"/>
      <c r="P255" s="80"/>
      <c r="Q255" s="80"/>
      <c r="R255" s="80"/>
    </row>
    <row r="256" ht="18" customHeight="1" spans="1:18">
      <c r="A256" s="87" t="str">
        <f t="shared" si="9"/>
        <v/>
      </c>
      <c r="B256" s="78"/>
      <c r="C256" s="80"/>
      <c r="D256" s="80"/>
      <c r="E256" s="79"/>
      <c r="F256" s="87" t="str">
        <f>IF($E256="","",IFERROR(INDEX(基础资料!$O$4:$O$34,MATCH($E256,基础资料!$N$4:$N$34,0))&amp;"",""))</f>
        <v/>
      </c>
      <c r="G256" s="87" t="str">
        <f>IF($E256="","",IFERROR(INDEX(基础资料!$P$4:$P$34,MATCH($E256,基础资料!$N$4:$N$34,0))&amp;"",""))</f>
        <v/>
      </c>
      <c r="H256" s="79"/>
      <c r="I256" s="88"/>
      <c r="J256" s="92"/>
      <c r="K256" s="93"/>
      <c r="L256" s="25" t="str">
        <f t="shared" si="10"/>
        <v/>
      </c>
      <c r="M256" s="94"/>
      <c r="N256" s="26" t="str">
        <f t="shared" si="11"/>
        <v/>
      </c>
      <c r="O256" s="80"/>
      <c r="P256" s="80"/>
      <c r="Q256" s="80"/>
      <c r="R256" s="80"/>
    </row>
    <row r="257" ht="18" customHeight="1" spans="1:18">
      <c r="A257" s="87" t="str">
        <f t="shared" si="9"/>
        <v/>
      </c>
      <c r="B257" s="78"/>
      <c r="C257" s="80"/>
      <c r="D257" s="80"/>
      <c r="E257" s="79"/>
      <c r="F257" s="87" t="str">
        <f>IF($E257="","",IFERROR(INDEX(基础资料!$O$4:$O$34,MATCH($E257,基础资料!$N$4:$N$34,0))&amp;"",""))</f>
        <v/>
      </c>
      <c r="G257" s="87" t="str">
        <f>IF($E257="","",IFERROR(INDEX(基础资料!$P$4:$P$34,MATCH($E257,基础资料!$N$4:$N$34,0))&amp;"",""))</f>
        <v/>
      </c>
      <c r="H257" s="79"/>
      <c r="I257" s="88"/>
      <c r="J257" s="92"/>
      <c r="K257" s="93"/>
      <c r="L257" s="25" t="str">
        <f t="shared" si="10"/>
        <v/>
      </c>
      <c r="M257" s="94"/>
      <c r="N257" s="26" t="str">
        <f t="shared" si="11"/>
        <v/>
      </c>
      <c r="O257" s="80"/>
      <c r="P257" s="80"/>
      <c r="Q257" s="80"/>
      <c r="R257" s="80"/>
    </row>
    <row r="258" ht="18" customHeight="1" spans="1:18">
      <c r="A258" s="87" t="str">
        <f t="shared" si="9"/>
        <v/>
      </c>
      <c r="B258" s="78"/>
      <c r="C258" s="80"/>
      <c r="D258" s="80"/>
      <c r="E258" s="79"/>
      <c r="F258" s="87" t="str">
        <f>IF($E258="","",IFERROR(INDEX(基础资料!$O$4:$O$34,MATCH($E258,基础资料!$N$4:$N$34,0))&amp;"",""))</f>
        <v/>
      </c>
      <c r="G258" s="87" t="str">
        <f>IF($E258="","",IFERROR(INDEX(基础资料!$P$4:$P$34,MATCH($E258,基础资料!$N$4:$N$34,0))&amp;"",""))</f>
        <v/>
      </c>
      <c r="H258" s="79"/>
      <c r="I258" s="88"/>
      <c r="J258" s="92"/>
      <c r="K258" s="93"/>
      <c r="L258" s="25" t="str">
        <f t="shared" si="10"/>
        <v/>
      </c>
      <c r="M258" s="94"/>
      <c r="N258" s="26" t="str">
        <f t="shared" si="11"/>
        <v/>
      </c>
      <c r="O258" s="80"/>
      <c r="P258" s="80"/>
      <c r="Q258" s="80"/>
      <c r="R258" s="80"/>
    </row>
    <row r="259" ht="18" customHeight="1" spans="1:18">
      <c r="A259" s="87" t="str">
        <f t="shared" si="9"/>
        <v/>
      </c>
      <c r="B259" s="78"/>
      <c r="C259" s="80"/>
      <c r="D259" s="80"/>
      <c r="E259" s="79"/>
      <c r="F259" s="87" t="str">
        <f>IF($E259="","",IFERROR(INDEX(基础资料!$O$4:$O$34,MATCH($E259,基础资料!$N$4:$N$34,0))&amp;"",""))</f>
        <v/>
      </c>
      <c r="G259" s="87" t="str">
        <f>IF($E259="","",IFERROR(INDEX(基础资料!$P$4:$P$34,MATCH($E259,基础资料!$N$4:$N$34,0))&amp;"",""))</f>
        <v/>
      </c>
      <c r="H259" s="79"/>
      <c r="I259" s="88"/>
      <c r="J259" s="92"/>
      <c r="K259" s="93"/>
      <c r="L259" s="25" t="str">
        <f t="shared" si="10"/>
        <v/>
      </c>
      <c r="M259" s="94"/>
      <c r="N259" s="26" t="str">
        <f t="shared" si="11"/>
        <v/>
      </c>
      <c r="O259" s="80"/>
      <c r="P259" s="80"/>
      <c r="Q259" s="80"/>
      <c r="R259" s="80"/>
    </row>
    <row r="260" ht="18" customHeight="1" spans="1:18">
      <c r="A260" s="87" t="str">
        <f t="shared" ref="A260:A323" si="12">IF($E260="","",ROW()-3)</f>
        <v/>
      </c>
      <c r="B260" s="78"/>
      <c r="C260" s="80"/>
      <c r="D260" s="80"/>
      <c r="E260" s="79"/>
      <c r="F260" s="87" t="str">
        <f>IF($E260="","",IFERROR(INDEX(基础资料!$O$4:$O$34,MATCH($E260,基础资料!$N$4:$N$34,0))&amp;"",""))</f>
        <v/>
      </c>
      <c r="G260" s="87" t="str">
        <f>IF($E260="","",IFERROR(INDEX(基础资料!$P$4:$P$34,MATCH($E260,基础资料!$N$4:$N$34,0))&amp;"",""))</f>
        <v/>
      </c>
      <c r="H260" s="79"/>
      <c r="I260" s="88"/>
      <c r="J260" s="92"/>
      <c r="K260" s="93"/>
      <c r="L260" s="25" t="str">
        <f t="shared" ref="L260:L323" si="13">IF($E260="","",N($I260)+N($J260)-N($K260))</f>
        <v/>
      </c>
      <c r="M260" s="94"/>
      <c r="N260" s="26" t="str">
        <f t="shared" ref="N260:N323" si="14">IF($E260="","",ROUND(N($L260)*N($M260),2))</f>
        <v/>
      </c>
      <c r="O260" s="80"/>
      <c r="P260" s="80"/>
      <c r="Q260" s="80"/>
      <c r="R260" s="80"/>
    </row>
    <row r="261" ht="18" customHeight="1" spans="1:18">
      <c r="A261" s="87" t="str">
        <f t="shared" si="12"/>
        <v/>
      </c>
      <c r="B261" s="78"/>
      <c r="C261" s="80"/>
      <c r="D261" s="80"/>
      <c r="E261" s="79"/>
      <c r="F261" s="87" t="str">
        <f>IF($E261="","",IFERROR(INDEX(基础资料!$O$4:$O$34,MATCH($E261,基础资料!$N$4:$N$34,0))&amp;"",""))</f>
        <v/>
      </c>
      <c r="G261" s="87" t="str">
        <f>IF($E261="","",IFERROR(INDEX(基础资料!$P$4:$P$34,MATCH($E261,基础资料!$N$4:$N$34,0))&amp;"",""))</f>
        <v/>
      </c>
      <c r="H261" s="79"/>
      <c r="I261" s="88"/>
      <c r="J261" s="92"/>
      <c r="K261" s="93"/>
      <c r="L261" s="25" t="str">
        <f t="shared" si="13"/>
        <v/>
      </c>
      <c r="M261" s="94"/>
      <c r="N261" s="26" t="str">
        <f t="shared" si="14"/>
        <v/>
      </c>
      <c r="O261" s="80"/>
      <c r="P261" s="80"/>
      <c r="Q261" s="80"/>
      <c r="R261" s="80"/>
    </row>
    <row r="262" ht="18" customHeight="1" spans="1:18">
      <c r="A262" s="87" t="str">
        <f t="shared" si="12"/>
        <v/>
      </c>
      <c r="B262" s="78"/>
      <c r="C262" s="80"/>
      <c r="D262" s="80"/>
      <c r="E262" s="79"/>
      <c r="F262" s="87" t="str">
        <f>IF($E262="","",IFERROR(INDEX(基础资料!$O$4:$O$34,MATCH($E262,基础资料!$N$4:$N$34,0))&amp;"",""))</f>
        <v/>
      </c>
      <c r="G262" s="87" t="str">
        <f>IF($E262="","",IFERROR(INDEX(基础资料!$P$4:$P$34,MATCH($E262,基础资料!$N$4:$N$34,0))&amp;"",""))</f>
        <v/>
      </c>
      <c r="H262" s="79"/>
      <c r="I262" s="88"/>
      <c r="J262" s="92"/>
      <c r="K262" s="93"/>
      <c r="L262" s="25" t="str">
        <f t="shared" si="13"/>
        <v/>
      </c>
      <c r="M262" s="94"/>
      <c r="N262" s="26" t="str">
        <f t="shared" si="14"/>
        <v/>
      </c>
      <c r="O262" s="80"/>
      <c r="P262" s="80"/>
      <c r="Q262" s="80"/>
      <c r="R262" s="80"/>
    </row>
    <row r="263" ht="18" customHeight="1" spans="1:18">
      <c r="A263" s="87" t="str">
        <f t="shared" si="12"/>
        <v/>
      </c>
      <c r="B263" s="78"/>
      <c r="C263" s="80"/>
      <c r="D263" s="80"/>
      <c r="E263" s="79"/>
      <c r="F263" s="87" t="str">
        <f>IF($E263="","",IFERROR(INDEX(基础资料!$O$4:$O$34,MATCH($E263,基础资料!$N$4:$N$34,0))&amp;"",""))</f>
        <v/>
      </c>
      <c r="G263" s="87" t="str">
        <f>IF($E263="","",IFERROR(INDEX(基础资料!$P$4:$P$34,MATCH($E263,基础资料!$N$4:$N$34,0))&amp;"",""))</f>
        <v/>
      </c>
      <c r="H263" s="79"/>
      <c r="I263" s="88"/>
      <c r="J263" s="92"/>
      <c r="K263" s="93"/>
      <c r="L263" s="25" t="str">
        <f t="shared" si="13"/>
        <v/>
      </c>
      <c r="M263" s="94"/>
      <c r="N263" s="26" t="str">
        <f t="shared" si="14"/>
        <v/>
      </c>
      <c r="O263" s="80"/>
      <c r="P263" s="80"/>
      <c r="Q263" s="80"/>
      <c r="R263" s="80"/>
    </row>
    <row r="264" ht="18" customHeight="1" spans="1:18">
      <c r="A264" s="87" t="str">
        <f t="shared" si="12"/>
        <v/>
      </c>
      <c r="B264" s="78"/>
      <c r="C264" s="80"/>
      <c r="D264" s="80"/>
      <c r="E264" s="79"/>
      <c r="F264" s="87" t="str">
        <f>IF($E264="","",IFERROR(INDEX(基础资料!$O$4:$O$34,MATCH($E264,基础资料!$N$4:$N$34,0))&amp;"",""))</f>
        <v/>
      </c>
      <c r="G264" s="87" t="str">
        <f>IF($E264="","",IFERROR(INDEX(基础资料!$P$4:$P$34,MATCH($E264,基础资料!$N$4:$N$34,0))&amp;"",""))</f>
        <v/>
      </c>
      <c r="H264" s="79"/>
      <c r="I264" s="88"/>
      <c r="J264" s="92"/>
      <c r="K264" s="93"/>
      <c r="L264" s="25" t="str">
        <f t="shared" si="13"/>
        <v/>
      </c>
      <c r="M264" s="94"/>
      <c r="N264" s="26" t="str">
        <f t="shared" si="14"/>
        <v/>
      </c>
      <c r="O264" s="80"/>
      <c r="P264" s="80"/>
      <c r="Q264" s="80"/>
      <c r="R264" s="80"/>
    </row>
    <row r="265" ht="18" customHeight="1" spans="1:18">
      <c r="A265" s="87" t="str">
        <f t="shared" si="12"/>
        <v/>
      </c>
      <c r="B265" s="78"/>
      <c r="C265" s="80"/>
      <c r="D265" s="80"/>
      <c r="E265" s="79"/>
      <c r="F265" s="87" t="str">
        <f>IF($E265="","",IFERROR(INDEX(基础资料!$O$4:$O$34,MATCH($E265,基础资料!$N$4:$N$34,0))&amp;"",""))</f>
        <v/>
      </c>
      <c r="G265" s="87" t="str">
        <f>IF($E265="","",IFERROR(INDEX(基础资料!$P$4:$P$34,MATCH($E265,基础资料!$N$4:$N$34,0))&amp;"",""))</f>
        <v/>
      </c>
      <c r="H265" s="79"/>
      <c r="I265" s="88"/>
      <c r="J265" s="92"/>
      <c r="K265" s="93"/>
      <c r="L265" s="25" t="str">
        <f t="shared" si="13"/>
        <v/>
      </c>
      <c r="M265" s="94"/>
      <c r="N265" s="26" t="str">
        <f t="shared" si="14"/>
        <v/>
      </c>
      <c r="O265" s="80"/>
      <c r="P265" s="80"/>
      <c r="Q265" s="80"/>
      <c r="R265" s="80"/>
    </row>
    <row r="266" ht="18" customHeight="1" spans="1:18">
      <c r="A266" s="87" t="str">
        <f t="shared" si="12"/>
        <v/>
      </c>
      <c r="B266" s="78"/>
      <c r="C266" s="80"/>
      <c r="D266" s="80"/>
      <c r="E266" s="79"/>
      <c r="F266" s="87" t="str">
        <f>IF($E266="","",IFERROR(INDEX(基础资料!$O$4:$O$34,MATCH($E266,基础资料!$N$4:$N$34,0))&amp;"",""))</f>
        <v/>
      </c>
      <c r="G266" s="87" t="str">
        <f>IF($E266="","",IFERROR(INDEX(基础资料!$P$4:$P$34,MATCH($E266,基础资料!$N$4:$N$34,0))&amp;"",""))</f>
        <v/>
      </c>
      <c r="H266" s="79"/>
      <c r="I266" s="88"/>
      <c r="J266" s="92"/>
      <c r="K266" s="93"/>
      <c r="L266" s="25" t="str">
        <f t="shared" si="13"/>
        <v/>
      </c>
      <c r="M266" s="94"/>
      <c r="N266" s="26" t="str">
        <f t="shared" si="14"/>
        <v/>
      </c>
      <c r="O266" s="80"/>
      <c r="P266" s="80"/>
      <c r="Q266" s="80"/>
      <c r="R266" s="80"/>
    </row>
    <row r="267" ht="18" customHeight="1" spans="1:18">
      <c r="A267" s="87" t="str">
        <f t="shared" si="12"/>
        <v/>
      </c>
      <c r="B267" s="78"/>
      <c r="C267" s="80"/>
      <c r="D267" s="80"/>
      <c r="E267" s="79"/>
      <c r="F267" s="87" t="str">
        <f>IF($E267="","",IFERROR(INDEX(基础资料!$O$4:$O$34,MATCH($E267,基础资料!$N$4:$N$34,0))&amp;"",""))</f>
        <v/>
      </c>
      <c r="G267" s="87" t="str">
        <f>IF($E267="","",IFERROR(INDEX(基础资料!$P$4:$P$34,MATCH($E267,基础资料!$N$4:$N$34,0))&amp;"",""))</f>
        <v/>
      </c>
      <c r="H267" s="79"/>
      <c r="I267" s="88"/>
      <c r="J267" s="92"/>
      <c r="K267" s="93"/>
      <c r="L267" s="25" t="str">
        <f t="shared" si="13"/>
        <v/>
      </c>
      <c r="M267" s="94"/>
      <c r="N267" s="26" t="str">
        <f t="shared" si="14"/>
        <v/>
      </c>
      <c r="O267" s="80"/>
      <c r="P267" s="80"/>
      <c r="Q267" s="80"/>
      <c r="R267" s="80"/>
    </row>
    <row r="268" ht="18" customHeight="1" spans="1:18">
      <c r="A268" s="87" t="str">
        <f t="shared" si="12"/>
        <v/>
      </c>
      <c r="B268" s="78"/>
      <c r="C268" s="80"/>
      <c r="D268" s="80"/>
      <c r="E268" s="79"/>
      <c r="F268" s="87" t="str">
        <f>IF($E268="","",IFERROR(INDEX(基础资料!$O$4:$O$34,MATCH($E268,基础资料!$N$4:$N$34,0))&amp;"",""))</f>
        <v/>
      </c>
      <c r="G268" s="87" t="str">
        <f>IF($E268="","",IFERROR(INDEX(基础资料!$P$4:$P$34,MATCH($E268,基础资料!$N$4:$N$34,0))&amp;"",""))</f>
        <v/>
      </c>
      <c r="H268" s="79"/>
      <c r="I268" s="88"/>
      <c r="J268" s="92"/>
      <c r="K268" s="93"/>
      <c r="L268" s="25" t="str">
        <f t="shared" si="13"/>
        <v/>
      </c>
      <c r="M268" s="94"/>
      <c r="N268" s="26" t="str">
        <f t="shared" si="14"/>
        <v/>
      </c>
      <c r="O268" s="80"/>
      <c r="P268" s="80"/>
      <c r="Q268" s="80"/>
      <c r="R268" s="80"/>
    </row>
    <row r="269" ht="18" customHeight="1" spans="1:18">
      <c r="A269" s="87" t="str">
        <f t="shared" si="12"/>
        <v/>
      </c>
      <c r="B269" s="78"/>
      <c r="C269" s="80"/>
      <c r="D269" s="80"/>
      <c r="E269" s="79"/>
      <c r="F269" s="87" t="str">
        <f>IF($E269="","",IFERROR(INDEX(基础资料!$O$4:$O$34,MATCH($E269,基础资料!$N$4:$N$34,0))&amp;"",""))</f>
        <v/>
      </c>
      <c r="G269" s="87" t="str">
        <f>IF($E269="","",IFERROR(INDEX(基础资料!$P$4:$P$34,MATCH($E269,基础资料!$N$4:$N$34,0))&amp;"",""))</f>
        <v/>
      </c>
      <c r="H269" s="79"/>
      <c r="I269" s="88"/>
      <c r="J269" s="92"/>
      <c r="K269" s="93"/>
      <c r="L269" s="25" t="str">
        <f t="shared" si="13"/>
        <v/>
      </c>
      <c r="M269" s="94"/>
      <c r="N269" s="26" t="str">
        <f t="shared" si="14"/>
        <v/>
      </c>
      <c r="O269" s="80"/>
      <c r="P269" s="80"/>
      <c r="Q269" s="80"/>
      <c r="R269" s="80"/>
    </row>
    <row r="270" ht="18" customHeight="1" spans="1:18">
      <c r="A270" s="87" t="str">
        <f t="shared" si="12"/>
        <v/>
      </c>
      <c r="B270" s="78"/>
      <c r="C270" s="80"/>
      <c r="D270" s="80"/>
      <c r="E270" s="79"/>
      <c r="F270" s="87" t="str">
        <f>IF($E270="","",IFERROR(INDEX(基础资料!$O$4:$O$34,MATCH($E270,基础资料!$N$4:$N$34,0))&amp;"",""))</f>
        <v/>
      </c>
      <c r="G270" s="87" t="str">
        <f>IF($E270="","",IFERROR(INDEX(基础资料!$P$4:$P$34,MATCH($E270,基础资料!$N$4:$N$34,0))&amp;"",""))</f>
        <v/>
      </c>
      <c r="H270" s="79"/>
      <c r="I270" s="88"/>
      <c r="J270" s="92"/>
      <c r="K270" s="93"/>
      <c r="L270" s="25" t="str">
        <f t="shared" si="13"/>
        <v/>
      </c>
      <c r="M270" s="94"/>
      <c r="N270" s="26" t="str">
        <f t="shared" si="14"/>
        <v/>
      </c>
      <c r="O270" s="80"/>
      <c r="P270" s="80"/>
      <c r="Q270" s="80"/>
      <c r="R270" s="80"/>
    </row>
    <row r="271" ht="18" customHeight="1" spans="1:18">
      <c r="A271" s="87" t="str">
        <f t="shared" si="12"/>
        <v/>
      </c>
      <c r="B271" s="78"/>
      <c r="C271" s="80"/>
      <c r="D271" s="80"/>
      <c r="E271" s="79"/>
      <c r="F271" s="87" t="str">
        <f>IF($E271="","",IFERROR(INDEX(基础资料!$O$4:$O$34,MATCH($E271,基础资料!$N$4:$N$34,0))&amp;"",""))</f>
        <v/>
      </c>
      <c r="G271" s="87" t="str">
        <f>IF($E271="","",IFERROR(INDEX(基础资料!$P$4:$P$34,MATCH($E271,基础资料!$N$4:$N$34,0))&amp;"",""))</f>
        <v/>
      </c>
      <c r="H271" s="79"/>
      <c r="I271" s="88"/>
      <c r="J271" s="92"/>
      <c r="K271" s="93"/>
      <c r="L271" s="25" t="str">
        <f t="shared" si="13"/>
        <v/>
      </c>
      <c r="M271" s="94"/>
      <c r="N271" s="26" t="str">
        <f t="shared" si="14"/>
        <v/>
      </c>
      <c r="O271" s="80"/>
      <c r="P271" s="80"/>
      <c r="Q271" s="80"/>
      <c r="R271" s="80"/>
    </row>
    <row r="272" ht="18" customHeight="1" spans="1:18">
      <c r="A272" s="87" t="str">
        <f t="shared" si="12"/>
        <v/>
      </c>
      <c r="B272" s="78"/>
      <c r="C272" s="80"/>
      <c r="D272" s="80"/>
      <c r="E272" s="79"/>
      <c r="F272" s="87" t="str">
        <f>IF($E272="","",IFERROR(INDEX(基础资料!$O$4:$O$34,MATCH($E272,基础资料!$N$4:$N$34,0))&amp;"",""))</f>
        <v/>
      </c>
      <c r="G272" s="87" t="str">
        <f>IF($E272="","",IFERROR(INDEX(基础资料!$P$4:$P$34,MATCH($E272,基础资料!$N$4:$N$34,0))&amp;"",""))</f>
        <v/>
      </c>
      <c r="H272" s="79"/>
      <c r="I272" s="88"/>
      <c r="J272" s="92"/>
      <c r="K272" s="93"/>
      <c r="L272" s="25" t="str">
        <f t="shared" si="13"/>
        <v/>
      </c>
      <c r="M272" s="94"/>
      <c r="N272" s="26" t="str">
        <f t="shared" si="14"/>
        <v/>
      </c>
      <c r="O272" s="80"/>
      <c r="P272" s="80"/>
      <c r="Q272" s="80"/>
      <c r="R272" s="80"/>
    </row>
    <row r="273" ht="18" customHeight="1" spans="1:18">
      <c r="A273" s="87" t="str">
        <f t="shared" si="12"/>
        <v/>
      </c>
      <c r="B273" s="78"/>
      <c r="C273" s="80"/>
      <c r="D273" s="80"/>
      <c r="E273" s="79"/>
      <c r="F273" s="87" t="str">
        <f>IF($E273="","",IFERROR(INDEX(基础资料!$O$4:$O$34,MATCH($E273,基础资料!$N$4:$N$34,0))&amp;"",""))</f>
        <v/>
      </c>
      <c r="G273" s="87" t="str">
        <f>IF($E273="","",IFERROR(INDEX(基础资料!$P$4:$P$34,MATCH($E273,基础资料!$N$4:$N$34,0))&amp;"",""))</f>
        <v/>
      </c>
      <c r="H273" s="79"/>
      <c r="I273" s="88"/>
      <c r="J273" s="92"/>
      <c r="K273" s="93"/>
      <c r="L273" s="25" t="str">
        <f t="shared" si="13"/>
        <v/>
      </c>
      <c r="M273" s="94"/>
      <c r="N273" s="26" t="str">
        <f t="shared" si="14"/>
        <v/>
      </c>
      <c r="O273" s="80"/>
      <c r="P273" s="80"/>
      <c r="Q273" s="80"/>
      <c r="R273" s="80"/>
    </row>
    <row r="274" ht="18" customHeight="1" spans="1:18">
      <c r="A274" s="87" t="str">
        <f t="shared" si="12"/>
        <v/>
      </c>
      <c r="B274" s="78"/>
      <c r="C274" s="80"/>
      <c r="D274" s="80"/>
      <c r="E274" s="79"/>
      <c r="F274" s="87" t="str">
        <f>IF($E274="","",IFERROR(INDEX(基础资料!$O$4:$O$34,MATCH($E274,基础资料!$N$4:$N$34,0))&amp;"",""))</f>
        <v/>
      </c>
      <c r="G274" s="87" t="str">
        <f>IF($E274="","",IFERROR(INDEX(基础资料!$P$4:$P$34,MATCH($E274,基础资料!$N$4:$N$34,0))&amp;"",""))</f>
        <v/>
      </c>
      <c r="H274" s="79"/>
      <c r="I274" s="88"/>
      <c r="J274" s="92"/>
      <c r="K274" s="93"/>
      <c r="L274" s="25" t="str">
        <f t="shared" si="13"/>
        <v/>
      </c>
      <c r="M274" s="94"/>
      <c r="N274" s="26" t="str">
        <f t="shared" si="14"/>
        <v/>
      </c>
      <c r="O274" s="80"/>
      <c r="P274" s="80"/>
      <c r="Q274" s="80"/>
      <c r="R274" s="80"/>
    </row>
    <row r="275" ht="18" customHeight="1" spans="1:18">
      <c r="A275" s="87" t="str">
        <f t="shared" si="12"/>
        <v/>
      </c>
      <c r="B275" s="78"/>
      <c r="C275" s="80"/>
      <c r="D275" s="80"/>
      <c r="E275" s="79"/>
      <c r="F275" s="87" t="str">
        <f>IF($E275="","",IFERROR(INDEX(基础资料!$O$4:$O$34,MATCH($E275,基础资料!$N$4:$N$34,0))&amp;"",""))</f>
        <v/>
      </c>
      <c r="G275" s="87" t="str">
        <f>IF($E275="","",IFERROR(INDEX(基础资料!$P$4:$P$34,MATCH($E275,基础资料!$N$4:$N$34,0))&amp;"",""))</f>
        <v/>
      </c>
      <c r="H275" s="79"/>
      <c r="I275" s="88"/>
      <c r="J275" s="92"/>
      <c r="K275" s="93"/>
      <c r="L275" s="25" t="str">
        <f t="shared" si="13"/>
        <v/>
      </c>
      <c r="M275" s="94"/>
      <c r="N275" s="26" t="str">
        <f t="shared" si="14"/>
        <v/>
      </c>
      <c r="O275" s="80"/>
      <c r="P275" s="80"/>
      <c r="Q275" s="80"/>
      <c r="R275" s="80"/>
    </row>
    <row r="276" ht="18" customHeight="1" spans="1:18">
      <c r="A276" s="87" t="str">
        <f t="shared" si="12"/>
        <v/>
      </c>
      <c r="B276" s="78"/>
      <c r="C276" s="80"/>
      <c r="D276" s="80"/>
      <c r="E276" s="79"/>
      <c r="F276" s="87" t="str">
        <f>IF($E276="","",IFERROR(INDEX(基础资料!$O$4:$O$34,MATCH($E276,基础资料!$N$4:$N$34,0))&amp;"",""))</f>
        <v/>
      </c>
      <c r="G276" s="87" t="str">
        <f>IF($E276="","",IFERROR(INDEX(基础资料!$P$4:$P$34,MATCH($E276,基础资料!$N$4:$N$34,0))&amp;"",""))</f>
        <v/>
      </c>
      <c r="H276" s="79"/>
      <c r="I276" s="88"/>
      <c r="J276" s="92"/>
      <c r="K276" s="93"/>
      <c r="L276" s="25" t="str">
        <f t="shared" si="13"/>
        <v/>
      </c>
      <c r="M276" s="94"/>
      <c r="N276" s="26" t="str">
        <f t="shared" si="14"/>
        <v/>
      </c>
      <c r="O276" s="80"/>
      <c r="P276" s="80"/>
      <c r="Q276" s="80"/>
      <c r="R276" s="80"/>
    </row>
    <row r="277" ht="18" customHeight="1" spans="1:18">
      <c r="A277" s="87" t="str">
        <f t="shared" si="12"/>
        <v/>
      </c>
      <c r="B277" s="78"/>
      <c r="C277" s="80"/>
      <c r="D277" s="80"/>
      <c r="E277" s="79"/>
      <c r="F277" s="87" t="str">
        <f>IF($E277="","",IFERROR(INDEX(基础资料!$O$4:$O$34,MATCH($E277,基础资料!$N$4:$N$34,0))&amp;"",""))</f>
        <v/>
      </c>
      <c r="G277" s="87" t="str">
        <f>IF($E277="","",IFERROR(INDEX(基础资料!$P$4:$P$34,MATCH($E277,基础资料!$N$4:$N$34,0))&amp;"",""))</f>
        <v/>
      </c>
      <c r="H277" s="79"/>
      <c r="I277" s="88"/>
      <c r="J277" s="92"/>
      <c r="K277" s="93"/>
      <c r="L277" s="25" t="str">
        <f t="shared" si="13"/>
        <v/>
      </c>
      <c r="M277" s="94"/>
      <c r="N277" s="26" t="str">
        <f t="shared" si="14"/>
        <v/>
      </c>
      <c r="O277" s="80"/>
      <c r="P277" s="80"/>
      <c r="Q277" s="80"/>
      <c r="R277" s="80"/>
    </row>
    <row r="278" ht="18" customHeight="1" spans="1:18">
      <c r="A278" s="87" t="str">
        <f t="shared" si="12"/>
        <v/>
      </c>
      <c r="B278" s="78"/>
      <c r="C278" s="80"/>
      <c r="D278" s="80"/>
      <c r="E278" s="79"/>
      <c r="F278" s="87" t="str">
        <f>IF($E278="","",IFERROR(INDEX(基础资料!$O$4:$O$34,MATCH($E278,基础资料!$N$4:$N$34,0))&amp;"",""))</f>
        <v/>
      </c>
      <c r="G278" s="87" t="str">
        <f>IF($E278="","",IFERROR(INDEX(基础资料!$P$4:$P$34,MATCH($E278,基础资料!$N$4:$N$34,0))&amp;"",""))</f>
        <v/>
      </c>
      <c r="H278" s="79"/>
      <c r="I278" s="88"/>
      <c r="J278" s="92"/>
      <c r="K278" s="93"/>
      <c r="L278" s="25" t="str">
        <f t="shared" si="13"/>
        <v/>
      </c>
      <c r="M278" s="94"/>
      <c r="N278" s="26" t="str">
        <f t="shared" si="14"/>
        <v/>
      </c>
      <c r="O278" s="80"/>
      <c r="P278" s="80"/>
      <c r="Q278" s="80"/>
      <c r="R278" s="80"/>
    </row>
    <row r="279" ht="18" customHeight="1" spans="1:18">
      <c r="A279" s="87" t="str">
        <f t="shared" si="12"/>
        <v/>
      </c>
      <c r="B279" s="78"/>
      <c r="C279" s="80"/>
      <c r="D279" s="80"/>
      <c r="E279" s="79"/>
      <c r="F279" s="87" t="str">
        <f>IF($E279="","",IFERROR(INDEX(基础资料!$O$4:$O$34,MATCH($E279,基础资料!$N$4:$N$34,0))&amp;"",""))</f>
        <v/>
      </c>
      <c r="G279" s="87" t="str">
        <f>IF($E279="","",IFERROR(INDEX(基础资料!$P$4:$P$34,MATCH($E279,基础资料!$N$4:$N$34,0))&amp;"",""))</f>
        <v/>
      </c>
      <c r="H279" s="79"/>
      <c r="I279" s="88"/>
      <c r="J279" s="92"/>
      <c r="K279" s="93"/>
      <c r="L279" s="25" t="str">
        <f t="shared" si="13"/>
        <v/>
      </c>
      <c r="M279" s="94"/>
      <c r="N279" s="26" t="str">
        <f t="shared" si="14"/>
        <v/>
      </c>
      <c r="O279" s="80"/>
      <c r="P279" s="80"/>
      <c r="Q279" s="80"/>
      <c r="R279" s="80"/>
    </row>
    <row r="280" ht="18" customHeight="1" spans="1:18">
      <c r="A280" s="87" t="str">
        <f t="shared" si="12"/>
        <v/>
      </c>
      <c r="B280" s="78"/>
      <c r="C280" s="80"/>
      <c r="D280" s="80"/>
      <c r="E280" s="79"/>
      <c r="F280" s="87" t="str">
        <f>IF($E280="","",IFERROR(INDEX(基础资料!$O$4:$O$34,MATCH($E280,基础资料!$N$4:$N$34,0))&amp;"",""))</f>
        <v/>
      </c>
      <c r="G280" s="87" t="str">
        <f>IF($E280="","",IFERROR(INDEX(基础资料!$P$4:$P$34,MATCH($E280,基础资料!$N$4:$N$34,0))&amp;"",""))</f>
        <v/>
      </c>
      <c r="H280" s="79"/>
      <c r="I280" s="88"/>
      <c r="J280" s="92"/>
      <c r="K280" s="93"/>
      <c r="L280" s="25" t="str">
        <f t="shared" si="13"/>
        <v/>
      </c>
      <c r="M280" s="94"/>
      <c r="N280" s="26" t="str">
        <f t="shared" si="14"/>
        <v/>
      </c>
      <c r="O280" s="80"/>
      <c r="P280" s="80"/>
      <c r="Q280" s="80"/>
      <c r="R280" s="80"/>
    </row>
    <row r="281" ht="18" customHeight="1" spans="1:18">
      <c r="A281" s="87" t="str">
        <f t="shared" si="12"/>
        <v/>
      </c>
      <c r="B281" s="78"/>
      <c r="C281" s="80"/>
      <c r="D281" s="80"/>
      <c r="E281" s="79"/>
      <c r="F281" s="87" t="str">
        <f>IF($E281="","",IFERROR(INDEX(基础资料!$O$4:$O$34,MATCH($E281,基础资料!$N$4:$N$34,0))&amp;"",""))</f>
        <v/>
      </c>
      <c r="G281" s="87" t="str">
        <f>IF($E281="","",IFERROR(INDEX(基础资料!$P$4:$P$34,MATCH($E281,基础资料!$N$4:$N$34,0))&amp;"",""))</f>
        <v/>
      </c>
      <c r="H281" s="79"/>
      <c r="I281" s="88"/>
      <c r="J281" s="92"/>
      <c r="K281" s="93"/>
      <c r="L281" s="25" t="str">
        <f t="shared" si="13"/>
        <v/>
      </c>
      <c r="M281" s="94"/>
      <c r="N281" s="26" t="str">
        <f t="shared" si="14"/>
        <v/>
      </c>
      <c r="O281" s="80"/>
      <c r="P281" s="80"/>
      <c r="Q281" s="80"/>
      <c r="R281" s="80"/>
    </row>
    <row r="282" ht="18" customHeight="1" spans="1:18">
      <c r="A282" s="87" t="str">
        <f t="shared" si="12"/>
        <v/>
      </c>
      <c r="B282" s="78"/>
      <c r="C282" s="80"/>
      <c r="D282" s="80"/>
      <c r="E282" s="79"/>
      <c r="F282" s="87" t="str">
        <f>IF($E282="","",IFERROR(INDEX(基础资料!$O$4:$O$34,MATCH($E282,基础资料!$N$4:$N$34,0))&amp;"",""))</f>
        <v/>
      </c>
      <c r="G282" s="87" t="str">
        <f>IF($E282="","",IFERROR(INDEX(基础资料!$P$4:$P$34,MATCH($E282,基础资料!$N$4:$N$34,0))&amp;"",""))</f>
        <v/>
      </c>
      <c r="H282" s="79"/>
      <c r="I282" s="88"/>
      <c r="J282" s="92"/>
      <c r="K282" s="93"/>
      <c r="L282" s="25" t="str">
        <f t="shared" si="13"/>
        <v/>
      </c>
      <c r="M282" s="94"/>
      <c r="N282" s="26" t="str">
        <f t="shared" si="14"/>
        <v/>
      </c>
      <c r="O282" s="80"/>
      <c r="P282" s="80"/>
      <c r="Q282" s="80"/>
      <c r="R282" s="80"/>
    </row>
    <row r="283" ht="18" customHeight="1" spans="1:18">
      <c r="A283" s="87" t="str">
        <f t="shared" si="12"/>
        <v/>
      </c>
      <c r="B283" s="78"/>
      <c r="C283" s="80"/>
      <c r="D283" s="80"/>
      <c r="E283" s="79"/>
      <c r="F283" s="87" t="str">
        <f>IF($E283="","",IFERROR(INDEX(基础资料!$O$4:$O$34,MATCH($E283,基础资料!$N$4:$N$34,0))&amp;"",""))</f>
        <v/>
      </c>
      <c r="G283" s="87" t="str">
        <f>IF($E283="","",IFERROR(INDEX(基础资料!$P$4:$P$34,MATCH($E283,基础资料!$N$4:$N$34,0))&amp;"",""))</f>
        <v/>
      </c>
      <c r="H283" s="79"/>
      <c r="I283" s="88"/>
      <c r="J283" s="92"/>
      <c r="K283" s="93"/>
      <c r="L283" s="25" t="str">
        <f t="shared" si="13"/>
        <v/>
      </c>
      <c r="M283" s="94"/>
      <c r="N283" s="26" t="str">
        <f t="shared" si="14"/>
        <v/>
      </c>
      <c r="O283" s="80"/>
      <c r="P283" s="80"/>
      <c r="Q283" s="80"/>
      <c r="R283" s="80"/>
    </row>
    <row r="284" ht="18" customHeight="1" spans="1:18">
      <c r="A284" s="87" t="str">
        <f t="shared" si="12"/>
        <v/>
      </c>
      <c r="B284" s="78"/>
      <c r="C284" s="80"/>
      <c r="D284" s="80"/>
      <c r="E284" s="79"/>
      <c r="F284" s="87" t="str">
        <f>IF($E284="","",IFERROR(INDEX(基础资料!$O$4:$O$34,MATCH($E284,基础资料!$N$4:$N$34,0))&amp;"",""))</f>
        <v/>
      </c>
      <c r="G284" s="87" t="str">
        <f>IF($E284="","",IFERROR(INDEX(基础资料!$P$4:$P$34,MATCH($E284,基础资料!$N$4:$N$34,0))&amp;"",""))</f>
        <v/>
      </c>
      <c r="H284" s="79"/>
      <c r="I284" s="88"/>
      <c r="J284" s="92"/>
      <c r="K284" s="93"/>
      <c r="L284" s="25" t="str">
        <f t="shared" si="13"/>
        <v/>
      </c>
      <c r="M284" s="94"/>
      <c r="N284" s="26" t="str">
        <f t="shared" si="14"/>
        <v/>
      </c>
      <c r="O284" s="80"/>
      <c r="P284" s="80"/>
      <c r="Q284" s="80"/>
      <c r="R284" s="80"/>
    </row>
    <row r="285" ht="18" customHeight="1" spans="1:18">
      <c r="A285" s="87" t="str">
        <f t="shared" si="12"/>
        <v/>
      </c>
      <c r="B285" s="78"/>
      <c r="C285" s="80"/>
      <c r="D285" s="80"/>
      <c r="E285" s="79"/>
      <c r="F285" s="87" t="str">
        <f>IF($E285="","",IFERROR(INDEX(基础资料!$O$4:$O$34,MATCH($E285,基础资料!$N$4:$N$34,0))&amp;"",""))</f>
        <v/>
      </c>
      <c r="G285" s="87" t="str">
        <f>IF($E285="","",IFERROR(INDEX(基础资料!$P$4:$P$34,MATCH($E285,基础资料!$N$4:$N$34,0))&amp;"",""))</f>
        <v/>
      </c>
      <c r="H285" s="79"/>
      <c r="I285" s="88"/>
      <c r="J285" s="92"/>
      <c r="K285" s="93"/>
      <c r="L285" s="25" t="str">
        <f t="shared" si="13"/>
        <v/>
      </c>
      <c r="M285" s="94"/>
      <c r="N285" s="26" t="str">
        <f t="shared" si="14"/>
        <v/>
      </c>
      <c r="O285" s="80"/>
      <c r="P285" s="80"/>
      <c r="Q285" s="80"/>
      <c r="R285" s="80"/>
    </row>
    <row r="286" ht="18" customHeight="1" spans="1:18">
      <c r="A286" s="87" t="str">
        <f t="shared" si="12"/>
        <v/>
      </c>
      <c r="B286" s="78"/>
      <c r="C286" s="80"/>
      <c r="D286" s="80"/>
      <c r="E286" s="79"/>
      <c r="F286" s="87" t="str">
        <f>IF($E286="","",IFERROR(INDEX(基础资料!$O$4:$O$34,MATCH($E286,基础资料!$N$4:$N$34,0))&amp;"",""))</f>
        <v/>
      </c>
      <c r="G286" s="87" t="str">
        <f>IF($E286="","",IFERROR(INDEX(基础资料!$P$4:$P$34,MATCH($E286,基础资料!$N$4:$N$34,0))&amp;"",""))</f>
        <v/>
      </c>
      <c r="H286" s="79"/>
      <c r="I286" s="88"/>
      <c r="J286" s="92"/>
      <c r="K286" s="93"/>
      <c r="L286" s="25" t="str">
        <f t="shared" si="13"/>
        <v/>
      </c>
      <c r="M286" s="94"/>
      <c r="N286" s="26" t="str">
        <f t="shared" si="14"/>
        <v/>
      </c>
      <c r="O286" s="80"/>
      <c r="P286" s="80"/>
      <c r="Q286" s="80"/>
      <c r="R286" s="80"/>
    </row>
    <row r="287" ht="18" customHeight="1" spans="1:18">
      <c r="A287" s="87" t="str">
        <f t="shared" si="12"/>
        <v/>
      </c>
      <c r="B287" s="78"/>
      <c r="C287" s="80"/>
      <c r="D287" s="80"/>
      <c r="E287" s="79"/>
      <c r="F287" s="87" t="str">
        <f>IF($E287="","",IFERROR(INDEX(基础资料!$O$4:$O$34,MATCH($E287,基础资料!$N$4:$N$34,0))&amp;"",""))</f>
        <v/>
      </c>
      <c r="G287" s="87" t="str">
        <f>IF($E287="","",IFERROR(INDEX(基础资料!$P$4:$P$34,MATCH($E287,基础资料!$N$4:$N$34,0))&amp;"",""))</f>
        <v/>
      </c>
      <c r="H287" s="79"/>
      <c r="I287" s="88"/>
      <c r="J287" s="92"/>
      <c r="K287" s="93"/>
      <c r="L287" s="25" t="str">
        <f t="shared" si="13"/>
        <v/>
      </c>
      <c r="M287" s="94"/>
      <c r="N287" s="26" t="str">
        <f t="shared" si="14"/>
        <v/>
      </c>
      <c r="O287" s="80"/>
      <c r="P287" s="80"/>
      <c r="Q287" s="80"/>
      <c r="R287" s="80"/>
    </row>
    <row r="288" ht="18" customHeight="1" spans="1:18">
      <c r="A288" s="87" t="str">
        <f t="shared" si="12"/>
        <v/>
      </c>
      <c r="B288" s="78"/>
      <c r="C288" s="80"/>
      <c r="D288" s="80"/>
      <c r="E288" s="79"/>
      <c r="F288" s="87" t="str">
        <f>IF($E288="","",IFERROR(INDEX(基础资料!$O$4:$O$34,MATCH($E288,基础资料!$N$4:$N$34,0))&amp;"",""))</f>
        <v/>
      </c>
      <c r="G288" s="87" t="str">
        <f>IF($E288="","",IFERROR(INDEX(基础资料!$P$4:$P$34,MATCH($E288,基础资料!$N$4:$N$34,0))&amp;"",""))</f>
        <v/>
      </c>
      <c r="H288" s="79"/>
      <c r="I288" s="88"/>
      <c r="J288" s="92"/>
      <c r="K288" s="93"/>
      <c r="L288" s="25" t="str">
        <f t="shared" si="13"/>
        <v/>
      </c>
      <c r="M288" s="94"/>
      <c r="N288" s="26" t="str">
        <f t="shared" si="14"/>
        <v/>
      </c>
      <c r="O288" s="80"/>
      <c r="P288" s="80"/>
      <c r="Q288" s="80"/>
      <c r="R288" s="80"/>
    </row>
    <row r="289" ht="18" customHeight="1" spans="1:18">
      <c r="A289" s="87" t="str">
        <f t="shared" si="12"/>
        <v/>
      </c>
      <c r="B289" s="78"/>
      <c r="C289" s="80"/>
      <c r="D289" s="80"/>
      <c r="E289" s="79"/>
      <c r="F289" s="87" t="str">
        <f>IF($E289="","",IFERROR(INDEX(基础资料!$O$4:$O$34,MATCH($E289,基础资料!$N$4:$N$34,0))&amp;"",""))</f>
        <v/>
      </c>
      <c r="G289" s="87" t="str">
        <f>IF($E289="","",IFERROR(INDEX(基础资料!$P$4:$P$34,MATCH($E289,基础资料!$N$4:$N$34,0))&amp;"",""))</f>
        <v/>
      </c>
      <c r="H289" s="79"/>
      <c r="I289" s="88"/>
      <c r="J289" s="92"/>
      <c r="K289" s="93"/>
      <c r="L289" s="25" t="str">
        <f t="shared" si="13"/>
        <v/>
      </c>
      <c r="M289" s="94"/>
      <c r="N289" s="26" t="str">
        <f t="shared" si="14"/>
        <v/>
      </c>
      <c r="O289" s="80"/>
      <c r="P289" s="80"/>
      <c r="Q289" s="80"/>
      <c r="R289" s="80"/>
    </row>
    <row r="290" ht="18" customHeight="1" spans="1:18">
      <c r="A290" s="87" t="str">
        <f t="shared" si="12"/>
        <v/>
      </c>
      <c r="B290" s="78"/>
      <c r="C290" s="80"/>
      <c r="D290" s="80"/>
      <c r="E290" s="79"/>
      <c r="F290" s="87" t="str">
        <f>IF($E290="","",IFERROR(INDEX(基础资料!$O$4:$O$34,MATCH($E290,基础资料!$N$4:$N$34,0))&amp;"",""))</f>
        <v/>
      </c>
      <c r="G290" s="87" t="str">
        <f>IF($E290="","",IFERROR(INDEX(基础资料!$P$4:$P$34,MATCH($E290,基础资料!$N$4:$N$34,0))&amp;"",""))</f>
        <v/>
      </c>
      <c r="H290" s="79"/>
      <c r="I290" s="88"/>
      <c r="J290" s="92"/>
      <c r="K290" s="93"/>
      <c r="L290" s="25" t="str">
        <f t="shared" si="13"/>
        <v/>
      </c>
      <c r="M290" s="94"/>
      <c r="N290" s="26" t="str">
        <f t="shared" si="14"/>
        <v/>
      </c>
      <c r="O290" s="80"/>
      <c r="P290" s="80"/>
      <c r="Q290" s="80"/>
      <c r="R290" s="80"/>
    </row>
    <row r="291" ht="18" customHeight="1" spans="1:18">
      <c r="A291" s="87" t="str">
        <f t="shared" si="12"/>
        <v/>
      </c>
      <c r="B291" s="78"/>
      <c r="C291" s="80"/>
      <c r="D291" s="80"/>
      <c r="E291" s="79"/>
      <c r="F291" s="87" t="str">
        <f>IF($E291="","",IFERROR(INDEX(基础资料!$O$4:$O$34,MATCH($E291,基础资料!$N$4:$N$34,0))&amp;"",""))</f>
        <v/>
      </c>
      <c r="G291" s="87" t="str">
        <f>IF($E291="","",IFERROR(INDEX(基础资料!$P$4:$P$34,MATCH($E291,基础资料!$N$4:$N$34,0))&amp;"",""))</f>
        <v/>
      </c>
      <c r="H291" s="79"/>
      <c r="I291" s="88"/>
      <c r="J291" s="92"/>
      <c r="K291" s="93"/>
      <c r="L291" s="25" t="str">
        <f t="shared" si="13"/>
        <v/>
      </c>
      <c r="M291" s="94"/>
      <c r="N291" s="26" t="str">
        <f t="shared" si="14"/>
        <v/>
      </c>
      <c r="O291" s="80"/>
      <c r="P291" s="80"/>
      <c r="Q291" s="80"/>
      <c r="R291" s="80"/>
    </row>
    <row r="292" ht="18" customHeight="1" spans="1:18">
      <c r="A292" s="87" t="str">
        <f t="shared" si="12"/>
        <v/>
      </c>
      <c r="B292" s="78"/>
      <c r="C292" s="80"/>
      <c r="D292" s="80"/>
      <c r="E292" s="79"/>
      <c r="F292" s="87" t="str">
        <f>IF($E292="","",IFERROR(INDEX(基础资料!$O$4:$O$34,MATCH($E292,基础资料!$N$4:$N$34,0))&amp;"",""))</f>
        <v/>
      </c>
      <c r="G292" s="87" t="str">
        <f>IF($E292="","",IFERROR(INDEX(基础资料!$P$4:$P$34,MATCH($E292,基础资料!$N$4:$N$34,0))&amp;"",""))</f>
        <v/>
      </c>
      <c r="H292" s="79"/>
      <c r="I292" s="88"/>
      <c r="J292" s="92"/>
      <c r="K292" s="93"/>
      <c r="L292" s="25" t="str">
        <f t="shared" si="13"/>
        <v/>
      </c>
      <c r="M292" s="94"/>
      <c r="N292" s="26" t="str">
        <f t="shared" si="14"/>
        <v/>
      </c>
      <c r="O292" s="80"/>
      <c r="P292" s="80"/>
      <c r="Q292" s="80"/>
      <c r="R292" s="80"/>
    </row>
    <row r="293" ht="18" customHeight="1" spans="1:18">
      <c r="A293" s="87" t="str">
        <f t="shared" si="12"/>
        <v/>
      </c>
      <c r="B293" s="78"/>
      <c r="C293" s="80"/>
      <c r="D293" s="80"/>
      <c r="E293" s="79"/>
      <c r="F293" s="87" t="str">
        <f>IF($E293="","",IFERROR(INDEX(基础资料!$O$4:$O$34,MATCH($E293,基础资料!$N$4:$N$34,0))&amp;"",""))</f>
        <v/>
      </c>
      <c r="G293" s="87" t="str">
        <f>IF($E293="","",IFERROR(INDEX(基础资料!$P$4:$P$34,MATCH($E293,基础资料!$N$4:$N$34,0))&amp;"",""))</f>
        <v/>
      </c>
      <c r="H293" s="79"/>
      <c r="I293" s="88"/>
      <c r="J293" s="92"/>
      <c r="K293" s="93"/>
      <c r="L293" s="25" t="str">
        <f t="shared" si="13"/>
        <v/>
      </c>
      <c r="M293" s="94"/>
      <c r="N293" s="26" t="str">
        <f t="shared" si="14"/>
        <v/>
      </c>
      <c r="O293" s="80"/>
      <c r="P293" s="80"/>
      <c r="Q293" s="80"/>
      <c r="R293" s="80"/>
    </row>
    <row r="294" ht="18" customHeight="1" spans="1:18">
      <c r="A294" s="87" t="str">
        <f t="shared" si="12"/>
        <v/>
      </c>
      <c r="B294" s="78"/>
      <c r="C294" s="80"/>
      <c r="D294" s="80"/>
      <c r="E294" s="79"/>
      <c r="F294" s="87" t="str">
        <f>IF($E294="","",IFERROR(INDEX(基础资料!$O$4:$O$34,MATCH($E294,基础资料!$N$4:$N$34,0))&amp;"",""))</f>
        <v/>
      </c>
      <c r="G294" s="87" t="str">
        <f>IF($E294="","",IFERROR(INDEX(基础资料!$P$4:$P$34,MATCH($E294,基础资料!$N$4:$N$34,0))&amp;"",""))</f>
        <v/>
      </c>
      <c r="H294" s="79"/>
      <c r="I294" s="88"/>
      <c r="J294" s="92"/>
      <c r="K294" s="93"/>
      <c r="L294" s="25" t="str">
        <f t="shared" si="13"/>
        <v/>
      </c>
      <c r="M294" s="94"/>
      <c r="N294" s="26" t="str">
        <f t="shared" si="14"/>
        <v/>
      </c>
      <c r="O294" s="80"/>
      <c r="P294" s="80"/>
      <c r="Q294" s="80"/>
      <c r="R294" s="80"/>
    </row>
    <row r="295" ht="18" customHeight="1" spans="1:18">
      <c r="A295" s="87" t="str">
        <f t="shared" si="12"/>
        <v/>
      </c>
      <c r="B295" s="78"/>
      <c r="C295" s="80"/>
      <c r="D295" s="80"/>
      <c r="E295" s="79"/>
      <c r="F295" s="87" t="str">
        <f>IF($E295="","",IFERROR(INDEX(基础资料!$O$4:$O$34,MATCH($E295,基础资料!$N$4:$N$34,0))&amp;"",""))</f>
        <v/>
      </c>
      <c r="G295" s="87" t="str">
        <f>IF($E295="","",IFERROR(INDEX(基础资料!$P$4:$P$34,MATCH($E295,基础资料!$N$4:$N$34,0))&amp;"",""))</f>
        <v/>
      </c>
      <c r="H295" s="79"/>
      <c r="I295" s="88"/>
      <c r="J295" s="92"/>
      <c r="K295" s="93"/>
      <c r="L295" s="25" t="str">
        <f t="shared" si="13"/>
        <v/>
      </c>
      <c r="M295" s="94"/>
      <c r="N295" s="26" t="str">
        <f t="shared" si="14"/>
        <v/>
      </c>
      <c r="O295" s="80"/>
      <c r="P295" s="80"/>
      <c r="Q295" s="80"/>
      <c r="R295" s="80"/>
    </row>
    <row r="296" ht="18" customHeight="1" spans="1:18">
      <c r="A296" s="87" t="str">
        <f t="shared" si="12"/>
        <v/>
      </c>
      <c r="B296" s="78"/>
      <c r="C296" s="80"/>
      <c r="D296" s="80"/>
      <c r="E296" s="79"/>
      <c r="F296" s="87" t="str">
        <f>IF($E296="","",IFERROR(INDEX(基础资料!$O$4:$O$34,MATCH($E296,基础资料!$N$4:$N$34,0))&amp;"",""))</f>
        <v/>
      </c>
      <c r="G296" s="87" t="str">
        <f>IF($E296="","",IFERROR(INDEX(基础资料!$P$4:$P$34,MATCH($E296,基础资料!$N$4:$N$34,0))&amp;"",""))</f>
        <v/>
      </c>
      <c r="H296" s="79"/>
      <c r="I296" s="88"/>
      <c r="J296" s="92"/>
      <c r="K296" s="93"/>
      <c r="L296" s="25" t="str">
        <f t="shared" si="13"/>
        <v/>
      </c>
      <c r="M296" s="94"/>
      <c r="N296" s="26" t="str">
        <f t="shared" si="14"/>
        <v/>
      </c>
      <c r="O296" s="80"/>
      <c r="P296" s="80"/>
      <c r="Q296" s="80"/>
      <c r="R296" s="80"/>
    </row>
    <row r="297" ht="18" customHeight="1" spans="1:18">
      <c r="A297" s="87" t="str">
        <f t="shared" si="12"/>
        <v/>
      </c>
      <c r="B297" s="78"/>
      <c r="C297" s="80"/>
      <c r="D297" s="80"/>
      <c r="E297" s="79"/>
      <c r="F297" s="87" t="str">
        <f>IF($E297="","",IFERROR(INDEX(基础资料!$O$4:$O$34,MATCH($E297,基础资料!$N$4:$N$34,0))&amp;"",""))</f>
        <v/>
      </c>
      <c r="G297" s="87" t="str">
        <f>IF($E297="","",IFERROR(INDEX(基础资料!$P$4:$P$34,MATCH($E297,基础资料!$N$4:$N$34,0))&amp;"",""))</f>
        <v/>
      </c>
      <c r="H297" s="79"/>
      <c r="I297" s="88"/>
      <c r="J297" s="92"/>
      <c r="K297" s="93"/>
      <c r="L297" s="25" t="str">
        <f t="shared" si="13"/>
        <v/>
      </c>
      <c r="M297" s="94"/>
      <c r="N297" s="26" t="str">
        <f t="shared" si="14"/>
        <v/>
      </c>
      <c r="O297" s="80"/>
      <c r="P297" s="80"/>
      <c r="Q297" s="80"/>
      <c r="R297" s="80"/>
    </row>
    <row r="298" ht="18" customHeight="1" spans="1:18">
      <c r="A298" s="87" t="str">
        <f t="shared" si="12"/>
        <v/>
      </c>
      <c r="B298" s="78"/>
      <c r="C298" s="80"/>
      <c r="D298" s="80"/>
      <c r="E298" s="79"/>
      <c r="F298" s="87" t="str">
        <f>IF($E298="","",IFERROR(INDEX(基础资料!$O$4:$O$34,MATCH($E298,基础资料!$N$4:$N$34,0))&amp;"",""))</f>
        <v/>
      </c>
      <c r="G298" s="87" t="str">
        <f>IF($E298="","",IFERROR(INDEX(基础资料!$P$4:$P$34,MATCH($E298,基础资料!$N$4:$N$34,0))&amp;"",""))</f>
        <v/>
      </c>
      <c r="H298" s="79"/>
      <c r="I298" s="88"/>
      <c r="J298" s="92"/>
      <c r="K298" s="93"/>
      <c r="L298" s="25" t="str">
        <f t="shared" si="13"/>
        <v/>
      </c>
      <c r="M298" s="94"/>
      <c r="N298" s="26" t="str">
        <f t="shared" si="14"/>
        <v/>
      </c>
      <c r="O298" s="80"/>
      <c r="P298" s="80"/>
      <c r="Q298" s="80"/>
      <c r="R298" s="80"/>
    </row>
    <row r="299" ht="18" customHeight="1" spans="1:18">
      <c r="A299" s="87" t="str">
        <f t="shared" si="12"/>
        <v/>
      </c>
      <c r="B299" s="78"/>
      <c r="C299" s="80"/>
      <c r="D299" s="80"/>
      <c r="E299" s="79"/>
      <c r="F299" s="87" t="str">
        <f>IF($E299="","",IFERROR(INDEX(基础资料!$O$4:$O$34,MATCH($E299,基础资料!$N$4:$N$34,0))&amp;"",""))</f>
        <v/>
      </c>
      <c r="G299" s="87" t="str">
        <f>IF($E299="","",IFERROR(INDEX(基础资料!$P$4:$P$34,MATCH($E299,基础资料!$N$4:$N$34,0))&amp;"",""))</f>
        <v/>
      </c>
      <c r="H299" s="79"/>
      <c r="I299" s="88"/>
      <c r="J299" s="92"/>
      <c r="K299" s="93"/>
      <c r="L299" s="25" t="str">
        <f t="shared" si="13"/>
        <v/>
      </c>
      <c r="M299" s="94"/>
      <c r="N299" s="26" t="str">
        <f t="shared" si="14"/>
        <v/>
      </c>
      <c r="O299" s="80"/>
      <c r="P299" s="80"/>
      <c r="Q299" s="80"/>
      <c r="R299" s="80"/>
    </row>
    <row r="300" ht="18" customHeight="1" spans="1:18">
      <c r="A300" s="87" t="str">
        <f t="shared" si="12"/>
        <v/>
      </c>
      <c r="B300" s="78"/>
      <c r="C300" s="80"/>
      <c r="D300" s="80"/>
      <c r="E300" s="79"/>
      <c r="F300" s="87" t="str">
        <f>IF($E300="","",IFERROR(INDEX(基础资料!$O$4:$O$34,MATCH($E300,基础资料!$N$4:$N$34,0))&amp;"",""))</f>
        <v/>
      </c>
      <c r="G300" s="87" t="str">
        <f>IF($E300="","",IFERROR(INDEX(基础资料!$P$4:$P$34,MATCH($E300,基础资料!$N$4:$N$34,0))&amp;"",""))</f>
        <v/>
      </c>
      <c r="H300" s="79"/>
      <c r="I300" s="88"/>
      <c r="J300" s="92"/>
      <c r="K300" s="93"/>
      <c r="L300" s="25" t="str">
        <f t="shared" si="13"/>
        <v/>
      </c>
      <c r="M300" s="94"/>
      <c r="N300" s="26" t="str">
        <f t="shared" si="14"/>
        <v/>
      </c>
      <c r="O300" s="80"/>
      <c r="P300" s="80"/>
      <c r="Q300" s="80"/>
      <c r="R300" s="80"/>
    </row>
    <row r="301" ht="18" customHeight="1" spans="1:18">
      <c r="A301" s="87" t="str">
        <f t="shared" si="12"/>
        <v/>
      </c>
      <c r="B301" s="78"/>
      <c r="C301" s="80"/>
      <c r="D301" s="80"/>
      <c r="E301" s="79"/>
      <c r="F301" s="87" t="str">
        <f>IF($E301="","",IFERROR(INDEX(基础资料!$O$4:$O$34,MATCH($E301,基础资料!$N$4:$N$34,0))&amp;"",""))</f>
        <v/>
      </c>
      <c r="G301" s="87" t="str">
        <f>IF($E301="","",IFERROR(INDEX(基础资料!$P$4:$P$34,MATCH($E301,基础资料!$N$4:$N$34,0))&amp;"",""))</f>
        <v/>
      </c>
      <c r="H301" s="79"/>
      <c r="I301" s="88"/>
      <c r="J301" s="92"/>
      <c r="K301" s="93"/>
      <c r="L301" s="25" t="str">
        <f t="shared" si="13"/>
        <v/>
      </c>
      <c r="M301" s="94"/>
      <c r="N301" s="26" t="str">
        <f t="shared" si="14"/>
        <v/>
      </c>
      <c r="O301" s="80"/>
      <c r="P301" s="80"/>
      <c r="Q301" s="80"/>
      <c r="R301" s="80"/>
    </row>
    <row r="302" ht="18" customHeight="1" spans="1:18">
      <c r="A302" s="87" t="str">
        <f t="shared" si="12"/>
        <v/>
      </c>
      <c r="B302" s="78"/>
      <c r="C302" s="80"/>
      <c r="D302" s="80"/>
      <c r="E302" s="79"/>
      <c r="F302" s="87" t="str">
        <f>IF($E302="","",IFERROR(INDEX(基础资料!$O$4:$O$34,MATCH($E302,基础资料!$N$4:$N$34,0))&amp;"",""))</f>
        <v/>
      </c>
      <c r="G302" s="87" t="str">
        <f>IF($E302="","",IFERROR(INDEX(基础资料!$P$4:$P$34,MATCH($E302,基础资料!$N$4:$N$34,0))&amp;"",""))</f>
        <v/>
      </c>
      <c r="H302" s="79"/>
      <c r="I302" s="88"/>
      <c r="J302" s="92"/>
      <c r="K302" s="93"/>
      <c r="L302" s="25" t="str">
        <f t="shared" si="13"/>
        <v/>
      </c>
      <c r="M302" s="94"/>
      <c r="N302" s="26" t="str">
        <f t="shared" si="14"/>
        <v/>
      </c>
      <c r="O302" s="80"/>
      <c r="P302" s="80"/>
      <c r="Q302" s="80"/>
      <c r="R302" s="80"/>
    </row>
    <row r="303" ht="18" customHeight="1" spans="1:18">
      <c r="A303" s="87" t="str">
        <f t="shared" si="12"/>
        <v/>
      </c>
      <c r="B303" s="78"/>
      <c r="C303" s="80"/>
      <c r="D303" s="80"/>
      <c r="E303" s="79"/>
      <c r="F303" s="87" t="str">
        <f>IF($E303="","",IFERROR(INDEX(基础资料!$O$4:$O$34,MATCH($E303,基础资料!$N$4:$N$34,0))&amp;"",""))</f>
        <v/>
      </c>
      <c r="G303" s="87" t="str">
        <f>IF($E303="","",IFERROR(INDEX(基础资料!$P$4:$P$34,MATCH($E303,基础资料!$N$4:$N$34,0))&amp;"",""))</f>
        <v/>
      </c>
      <c r="H303" s="79"/>
      <c r="I303" s="88"/>
      <c r="J303" s="92"/>
      <c r="K303" s="93"/>
      <c r="L303" s="25" t="str">
        <f t="shared" si="13"/>
        <v/>
      </c>
      <c r="M303" s="94"/>
      <c r="N303" s="26" t="str">
        <f t="shared" si="14"/>
        <v/>
      </c>
      <c r="O303" s="80"/>
      <c r="P303" s="80"/>
      <c r="Q303" s="80"/>
      <c r="R303" s="80"/>
    </row>
    <row r="304" ht="18" customHeight="1" spans="1:18">
      <c r="A304" s="87" t="str">
        <f t="shared" si="12"/>
        <v/>
      </c>
      <c r="B304" s="78"/>
      <c r="C304" s="80"/>
      <c r="D304" s="80"/>
      <c r="E304" s="79"/>
      <c r="F304" s="87" t="str">
        <f>IF($E304="","",IFERROR(INDEX(基础资料!$O$4:$O$34,MATCH($E304,基础资料!$N$4:$N$34,0))&amp;"",""))</f>
        <v/>
      </c>
      <c r="G304" s="87" t="str">
        <f>IF($E304="","",IFERROR(INDEX(基础资料!$P$4:$P$34,MATCH($E304,基础资料!$N$4:$N$34,0))&amp;"",""))</f>
        <v/>
      </c>
      <c r="H304" s="79"/>
      <c r="I304" s="88"/>
      <c r="J304" s="92"/>
      <c r="K304" s="93"/>
      <c r="L304" s="25" t="str">
        <f t="shared" si="13"/>
        <v/>
      </c>
      <c r="M304" s="94"/>
      <c r="N304" s="26" t="str">
        <f t="shared" si="14"/>
        <v/>
      </c>
      <c r="O304" s="80"/>
      <c r="P304" s="80"/>
      <c r="Q304" s="80"/>
      <c r="R304" s="80"/>
    </row>
    <row r="305" ht="18" customHeight="1" spans="1:18">
      <c r="A305" s="87" t="str">
        <f t="shared" si="12"/>
        <v/>
      </c>
      <c r="B305" s="78"/>
      <c r="C305" s="80"/>
      <c r="D305" s="80"/>
      <c r="E305" s="79"/>
      <c r="F305" s="87" t="str">
        <f>IF($E305="","",IFERROR(INDEX(基础资料!$O$4:$O$34,MATCH($E305,基础资料!$N$4:$N$34,0))&amp;"",""))</f>
        <v/>
      </c>
      <c r="G305" s="87" t="str">
        <f>IF($E305="","",IFERROR(INDEX(基础资料!$P$4:$P$34,MATCH($E305,基础资料!$N$4:$N$34,0))&amp;"",""))</f>
        <v/>
      </c>
      <c r="H305" s="79"/>
      <c r="I305" s="88"/>
      <c r="J305" s="92"/>
      <c r="K305" s="93"/>
      <c r="L305" s="25" t="str">
        <f t="shared" si="13"/>
        <v/>
      </c>
      <c r="M305" s="94"/>
      <c r="N305" s="26" t="str">
        <f t="shared" si="14"/>
        <v/>
      </c>
      <c r="O305" s="80"/>
      <c r="P305" s="80"/>
      <c r="Q305" s="80"/>
      <c r="R305" s="80"/>
    </row>
    <row r="306" ht="18" customHeight="1" spans="1:18">
      <c r="A306" s="87" t="str">
        <f t="shared" si="12"/>
        <v/>
      </c>
      <c r="B306" s="78"/>
      <c r="C306" s="80"/>
      <c r="D306" s="80"/>
      <c r="E306" s="79"/>
      <c r="F306" s="87" t="str">
        <f>IF($E306="","",IFERROR(INDEX(基础资料!$O$4:$O$34,MATCH($E306,基础资料!$N$4:$N$34,0))&amp;"",""))</f>
        <v/>
      </c>
      <c r="G306" s="87" t="str">
        <f>IF($E306="","",IFERROR(INDEX(基础资料!$P$4:$P$34,MATCH($E306,基础资料!$N$4:$N$34,0))&amp;"",""))</f>
        <v/>
      </c>
      <c r="H306" s="79"/>
      <c r="I306" s="88"/>
      <c r="J306" s="92"/>
      <c r="K306" s="93"/>
      <c r="L306" s="25" t="str">
        <f t="shared" si="13"/>
        <v/>
      </c>
      <c r="M306" s="94"/>
      <c r="N306" s="26" t="str">
        <f t="shared" si="14"/>
        <v/>
      </c>
      <c r="O306" s="80"/>
      <c r="P306" s="80"/>
      <c r="Q306" s="80"/>
      <c r="R306" s="80"/>
    </row>
    <row r="307" ht="18" customHeight="1" spans="1:18">
      <c r="A307" s="87" t="str">
        <f t="shared" si="12"/>
        <v/>
      </c>
      <c r="B307" s="78"/>
      <c r="C307" s="80"/>
      <c r="D307" s="80"/>
      <c r="E307" s="79"/>
      <c r="F307" s="87" t="str">
        <f>IF($E307="","",IFERROR(INDEX(基础资料!$O$4:$O$34,MATCH($E307,基础资料!$N$4:$N$34,0))&amp;"",""))</f>
        <v/>
      </c>
      <c r="G307" s="87" t="str">
        <f>IF($E307="","",IFERROR(INDEX(基础资料!$P$4:$P$34,MATCH($E307,基础资料!$N$4:$N$34,0))&amp;"",""))</f>
        <v/>
      </c>
      <c r="H307" s="79"/>
      <c r="I307" s="88"/>
      <c r="J307" s="92"/>
      <c r="K307" s="93"/>
      <c r="L307" s="25" t="str">
        <f t="shared" si="13"/>
        <v/>
      </c>
      <c r="M307" s="94"/>
      <c r="N307" s="26" t="str">
        <f t="shared" si="14"/>
        <v/>
      </c>
      <c r="O307" s="80"/>
      <c r="P307" s="80"/>
      <c r="Q307" s="80"/>
      <c r="R307" s="80"/>
    </row>
    <row r="308" ht="18" customHeight="1" spans="1:18">
      <c r="A308" s="87" t="str">
        <f t="shared" si="12"/>
        <v/>
      </c>
      <c r="B308" s="78"/>
      <c r="C308" s="80"/>
      <c r="D308" s="80"/>
      <c r="E308" s="79"/>
      <c r="F308" s="87" t="str">
        <f>IF($E308="","",IFERROR(INDEX(基础资料!$O$4:$O$34,MATCH($E308,基础资料!$N$4:$N$34,0))&amp;"",""))</f>
        <v/>
      </c>
      <c r="G308" s="87" t="str">
        <f>IF($E308="","",IFERROR(INDEX(基础资料!$P$4:$P$34,MATCH($E308,基础资料!$N$4:$N$34,0))&amp;"",""))</f>
        <v/>
      </c>
      <c r="H308" s="79"/>
      <c r="I308" s="88"/>
      <c r="J308" s="92"/>
      <c r="K308" s="93"/>
      <c r="L308" s="25" t="str">
        <f t="shared" si="13"/>
        <v/>
      </c>
      <c r="M308" s="94"/>
      <c r="N308" s="26" t="str">
        <f t="shared" si="14"/>
        <v/>
      </c>
      <c r="O308" s="80"/>
      <c r="P308" s="80"/>
      <c r="Q308" s="80"/>
      <c r="R308" s="80"/>
    </row>
    <row r="309" ht="18" customHeight="1" spans="1:18">
      <c r="A309" s="87" t="str">
        <f t="shared" si="12"/>
        <v/>
      </c>
      <c r="B309" s="78"/>
      <c r="C309" s="80"/>
      <c r="D309" s="80"/>
      <c r="E309" s="79"/>
      <c r="F309" s="87" t="str">
        <f>IF($E309="","",IFERROR(INDEX(基础资料!$O$4:$O$34,MATCH($E309,基础资料!$N$4:$N$34,0))&amp;"",""))</f>
        <v/>
      </c>
      <c r="G309" s="87" t="str">
        <f>IF($E309="","",IFERROR(INDEX(基础资料!$P$4:$P$34,MATCH($E309,基础资料!$N$4:$N$34,0))&amp;"",""))</f>
        <v/>
      </c>
      <c r="H309" s="79"/>
      <c r="I309" s="88"/>
      <c r="J309" s="92"/>
      <c r="K309" s="93"/>
      <c r="L309" s="25" t="str">
        <f t="shared" si="13"/>
        <v/>
      </c>
      <c r="M309" s="94"/>
      <c r="N309" s="26" t="str">
        <f t="shared" si="14"/>
        <v/>
      </c>
      <c r="O309" s="80"/>
      <c r="P309" s="80"/>
      <c r="Q309" s="80"/>
      <c r="R309" s="80"/>
    </row>
    <row r="310" ht="18" customHeight="1" spans="1:18">
      <c r="A310" s="87" t="str">
        <f t="shared" si="12"/>
        <v/>
      </c>
      <c r="B310" s="78"/>
      <c r="C310" s="80"/>
      <c r="D310" s="80"/>
      <c r="E310" s="79"/>
      <c r="F310" s="87" t="str">
        <f>IF($E310="","",IFERROR(INDEX(基础资料!$O$4:$O$34,MATCH($E310,基础资料!$N$4:$N$34,0))&amp;"",""))</f>
        <v/>
      </c>
      <c r="G310" s="87" t="str">
        <f>IF($E310="","",IFERROR(INDEX(基础资料!$P$4:$P$34,MATCH($E310,基础资料!$N$4:$N$34,0))&amp;"",""))</f>
        <v/>
      </c>
      <c r="H310" s="79"/>
      <c r="I310" s="88"/>
      <c r="J310" s="92"/>
      <c r="K310" s="93"/>
      <c r="L310" s="25" t="str">
        <f t="shared" si="13"/>
        <v/>
      </c>
      <c r="M310" s="94"/>
      <c r="N310" s="26" t="str">
        <f t="shared" si="14"/>
        <v/>
      </c>
      <c r="O310" s="80"/>
      <c r="P310" s="80"/>
      <c r="Q310" s="80"/>
      <c r="R310" s="80"/>
    </row>
    <row r="311" ht="18" customHeight="1" spans="1:18">
      <c r="A311" s="87" t="str">
        <f t="shared" si="12"/>
        <v/>
      </c>
      <c r="B311" s="78"/>
      <c r="C311" s="80"/>
      <c r="D311" s="80"/>
      <c r="E311" s="79"/>
      <c r="F311" s="87" t="str">
        <f>IF($E311="","",IFERROR(INDEX(基础资料!$O$4:$O$34,MATCH($E311,基础资料!$N$4:$N$34,0))&amp;"",""))</f>
        <v/>
      </c>
      <c r="G311" s="87" t="str">
        <f>IF($E311="","",IFERROR(INDEX(基础资料!$P$4:$P$34,MATCH($E311,基础资料!$N$4:$N$34,0))&amp;"",""))</f>
        <v/>
      </c>
      <c r="H311" s="79"/>
      <c r="I311" s="88"/>
      <c r="J311" s="92"/>
      <c r="K311" s="93"/>
      <c r="L311" s="25" t="str">
        <f t="shared" si="13"/>
        <v/>
      </c>
      <c r="M311" s="94"/>
      <c r="N311" s="26" t="str">
        <f t="shared" si="14"/>
        <v/>
      </c>
      <c r="O311" s="80"/>
      <c r="P311" s="80"/>
      <c r="Q311" s="80"/>
      <c r="R311" s="80"/>
    </row>
    <row r="312" ht="18" customHeight="1" spans="1:18">
      <c r="A312" s="87" t="str">
        <f t="shared" si="12"/>
        <v/>
      </c>
      <c r="B312" s="78"/>
      <c r="C312" s="80"/>
      <c r="D312" s="80"/>
      <c r="E312" s="79"/>
      <c r="F312" s="87" t="str">
        <f>IF($E312="","",IFERROR(INDEX(基础资料!$O$4:$O$34,MATCH($E312,基础资料!$N$4:$N$34,0))&amp;"",""))</f>
        <v/>
      </c>
      <c r="G312" s="87" t="str">
        <f>IF($E312="","",IFERROR(INDEX(基础资料!$P$4:$P$34,MATCH($E312,基础资料!$N$4:$N$34,0))&amp;"",""))</f>
        <v/>
      </c>
      <c r="H312" s="79"/>
      <c r="I312" s="88"/>
      <c r="J312" s="92"/>
      <c r="K312" s="93"/>
      <c r="L312" s="25" t="str">
        <f t="shared" si="13"/>
        <v/>
      </c>
      <c r="M312" s="94"/>
      <c r="N312" s="26" t="str">
        <f t="shared" si="14"/>
        <v/>
      </c>
      <c r="O312" s="80"/>
      <c r="P312" s="80"/>
      <c r="Q312" s="80"/>
      <c r="R312" s="80"/>
    </row>
    <row r="313" ht="18" customHeight="1" spans="1:18">
      <c r="A313" s="87" t="str">
        <f t="shared" si="12"/>
        <v/>
      </c>
      <c r="B313" s="78"/>
      <c r="C313" s="80"/>
      <c r="D313" s="80"/>
      <c r="E313" s="79"/>
      <c r="F313" s="87" t="str">
        <f>IF($E313="","",IFERROR(INDEX(基础资料!$O$4:$O$34,MATCH($E313,基础资料!$N$4:$N$34,0))&amp;"",""))</f>
        <v/>
      </c>
      <c r="G313" s="87" t="str">
        <f>IF($E313="","",IFERROR(INDEX(基础资料!$P$4:$P$34,MATCH($E313,基础资料!$N$4:$N$34,0))&amp;"",""))</f>
        <v/>
      </c>
      <c r="H313" s="79"/>
      <c r="I313" s="88"/>
      <c r="J313" s="92"/>
      <c r="K313" s="93"/>
      <c r="L313" s="25" t="str">
        <f t="shared" si="13"/>
        <v/>
      </c>
      <c r="M313" s="94"/>
      <c r="N313" s="26" t="str">
        <f t="shared" si="14"/>
        <v/>
      </c>
      <c r="O313" s="80"/>
      <c r="P313" s="80"/>
      <c r="Q313" s="80"/>
      <c r="R313" s="80"/>
    </row>
    <row r="314" ht="18" customHeight="1" spans="1:18">
      <c r="A314" s="87" t="str">
        <f t="shared" si="12"/>
        <v/>
      </c>
      <c r="B314" s="78"/>
      <c r="C314" s="80"/>
      <c r="D314" s="80"/>
      <c r="E314" s="79"/>
      <c r="F314" s="87" t="str">
        <f>IF($E314="","",IFERROR(INDEX(基础资料!$O$4:$O$34,MATCH($E314,基础资料!$N$4:$N$34,0))&amp;"",""))</f>
        <v/>
      </c>
      <c r="G314" s="87" t="str">
        <f>IF($E314="","",IFERROR(INDEX(基础资料!$P$4:$P$34,MATCH($E314,基础资料!$N$4:$N$34,0))&amp;"",""))</f>
        <v/>
      </c>
      <c r="H314" s="79"/>
      <c r="I314" s="88"/>
      <c r="J314" s="92"/>
      <c r="K314" s="93"/>
      <c r="L314" s="25" t="str">
        <f t="shared" si="13"/>
        <v/>
      </c>
      <c r="M314" s="94"/>
      <c r="N314" s="26" t="str">
        <f t="shared" si="14"/>
        <v/>
      </c>
      <c r="O314" s="80"/>
      <c r="P314" s="80"/>
      <c r="Q314" s="80"/>
      <c r="R314" s="80"/>
    </row>
    <row r="315" ht="18" customHeight="1" spans="1:18">
      <c r="A315" s="87" t="str">
        <f t="shared" si="12"/>
        <v/>
      </c>
      <c r="B315" s="78"/>
      <c r="C315" s="80"/>
      <c r="D315" s="80"/>
      <c r="E315" s="79"/>
      <c r="F315" s="87" t="str">
        <f>IF($E315="","",IFERROR(INDEX(基础资料!$O$4:$O$34,MATCH($E315,基础资料!$N$4:$N$34,0))&amp;"",""))</f>
        <v/>
      </c>
      <c r="G315" s="87" t="str">
        <f>IF($E315="","",IFERROR(INDEX(基础资料!$P$4:$P$34,MATCH($E315,基础资料!$N$4:$N$34,0))&amp;"",""))</f>
        <v/>
      </c>
      <c r="H315" s="79"/>
      <c r="I315" s="88"/>
      <c r="J315" s="92"/>
      <c r="K315" s="93"/>
      <c r="L315" s="25" t="str">
        <f t="shared" si="13"/>
        <v/>
      </c>
      <c r="M315" s="94"/>
      <c r="N315" s="26" t="str">
        <f t="shared" si="14"/>
        <v/>
      </c>
      <c r="O315" s="80"/>
      <c r="P315" s="80"/>
      <c r="Q315" s="80"/>
      <c r="R315" s="80"/>
    </row>
    <row r="316" ht="18" customHeight="1" spans="1:18">
      <c r="A316" s="87" t="str">
        <f t="shared" si="12"/>
        <v/>
      </c>
      <c r="B316" s="78"/>
      <c r="C316" s="80"/>
      <c r="D316" s="80"/>
      <c r="E316" s="79"/>
      <c r="F316" s="87" t="str">
        <f>IF($E316="","",IFERROR(INDEX(基础资料!$O$4:$O$34,MATCH($E316,基础资料!$N$4:$N$34,0))&amp;"",""))</f>
        <v/>
      </c>
      <c r="G316" s="87" t="str">
        <f>IF($E316="","",IFERROR(INDEX(基础资料!$P$4:$P$34,MATCH($E316,基础资料!$N$4:$N$34,0))&amp;"",""))</f>
        <v/>
      </c>
      <c r="H316" s="79"/>
      <c r="I316" s="88"/>
      <c r="J316" s="92"/>
      <c r="K316" s="93"/>
      <c r="L316" s="25" t="str">
        <f t="shared" si="13"/>
        <v/>
      </c>
      <c r="M316" s="94"/>
      <c r="N316" s="26" t="str">
        <f t="shared" si="14"/>
        <v/>
      </c>
      <c r="O316" s="80"/>
      <c r="P316" s="80"/>
      <c r="Q316" s="80"/>
      <c r="R316" s="80"/>
    </row>
    <row r="317" ht="18" customHeight="1" spans="1:18">
      <c r="A317" s="87" t="str">
        <f t="shared" si="12"/>
        <v/>
      </c>
      <c r="B317" s="78"/>
      <c r="C317" s="80"/>
      <c r="D317" s="80"/>
      <c r="E317" s="79"/>
      <c r="F317" s="87" t="str">
        <f>IF($E317="","",IFERROR(INDEX(基础资料!$O$4:$O$34,MATCH($E317,基础资料!$N$4:$N$34,0))&amp;"",""))</f>
        <v/>
      </c>
      <c r="G317" s="87" t="str">
        <f>IF($E317="","",IFERROR(INDEX(基础资料!$P$4:$P$34,MATCH($E317,基础资料!$N$4:$N$34,0))&amp;"",""))</f>
        <v/>
      </c>
      <c r="H317" s="79"/>
      <c r="I317" s="88"/>
      <c r="J317" s="92"/>
      <c r="K317" s="93"/>
      <c r="L317" s="25" t="str">
        <f t="shared" si="13"/>
        <v/>
      </c>
      <c r="M317" s="94"/>
      <c r="N317" s="26" t="str">
        <f t="shared" si="14"/>
        <v/>
      </c>
      <c r="O317" s="80"/>
      <c r="P317" s="80"/>
      <c r="Q317" s="80"/>
      <c r="R317" s="80"/>
    </row>
    <row r="318" ht="18" customHeight="1" spans="1:18">
      <c r="A318" s="87" t="str">
        <f t="shared" si="12"/>
        <v/>
      </c>
      <c r="B318" s="78"/>
      <c r="C318" s="80"/>
      <c r="D318" s="80"/>
      <c r="E318" s="79"/>
      <c r="F318" s="87" t="str">
        <f>IF($E318="","",IFERROR(INDEX(基础资料!$O$4:$O$34,MATCH($E318,基础资料!$N$4:$N$34,0))&amp;"",""))</f>
        <v/>
      </c>
      <c r="G318" s="87" t="str">
        <f>IF($E318="","",IFERROR(INDEX(基础资料!$P$4:$P$34,MATCH($E318,基础资料!$N$4:$N$34,0))&amp;"",""))</f>
        <v/>
      </c>
      <c r="H318" s="79"/>
      <c r="I318" s="88"/>
      <c r="J318" s="92"/>
      <c r="K318" s="93"/>
      <c r="L318" s="25" t="str">
        <f t="shared" si="13"/>
        <v/>
      </c>
      <c r="M318" s="94"/>
      <c r="N318" s="26" t="str">
        <f t="shared" si="14"/>
        <v/>
      </c>
      <c r="O318" s="80"/>
      <c r="P318" s="80"/>
      <c r="Q318" s="80"/>
      <c r="R318" s="80"/>
    </row>
    <row r="319" ht="18" customHeight="1" spans="1:18">
      <c r="A319" s="87" t="str">
        <f t="shared" si="12"/>
        <v/>
      </c>
      <c r="B319" s="78"/>
      <c r="C319" s="80"/>
      <c r="D319" s="80"/>
      <c r="E319" s="79"/>
      <c r="F319" s="87" t="str">
        <f>IF($E319="","",IFERROR(INDEX(基础资料!$O$4:$O$34,MATCH($E319,基础资料!$N$4:$N$34,0))&amp;"",""))</f>
        <v/>
      </c>
      <c r="G319" s="87" t="str">
        <f>IF($E319="","",IFERROR(INDEX(基础资料!$P$4:$P$34,MATCH($E319,基础资料!$N$4:$N$34,0))&amp;"",""))</f>
        <v/>
      </c>
      <c r="H319" s="79"/>
      <c r="I319" s="88"/>
      <c r="J319" s="92"/>
      <c r="K319" s="93"/>
      <c r="L319" s="25" t="str">
        <f t="shared" si="13"/>
        <v/>
      </c>
      <c r="M319" s="94"/>
      <c r="N319" s="26" t="str">
        <f t="shared" si="14"/>
        <v/>
      </c>
      <c r="O319" s="80"/>
      <c r="P319" s="80"/>
      <c r="Q319" s="80"/>
      <c r="R319" s="80"/>
    </row>
    <row r="320" ht="18" customHeight="1" spans="1:18">
      <c r="A320" s="87" t="str">
        <f t="shared" si="12"/>
        <v/>
      </c>
      <c r="B320" s="78"/>
      <c r="C320" s="80"/>
      <c r="D320" s="80"/>
      <c r="E320" s="79"/>
      <c r="F320" s="87" t="str">
        <f>IF($E320="","",IFERROR(INDEX(基础资料!$O$4:$O$34,MATCH($E320,基础资料!$N$4:$N$34,0))&amp;"",""))</f>
        <v/>
      </c>
      <c r="G320" s="87" t="str">
        <f>IF($E320="","",IFERROR(INDEX(基础资料!$P$4:$P$34,MATCH($E320,基础资料!$N$4:$N$34,0))&amp;"",""))</f>
        <v/>
      </c>
      <c r="H320" s="79"/>
      <c r="I320" s="88"/>
      <c r="J320" s="92"/>
      <c r="K320" s="93"/>
      <c r="L320" s="25" t="str">
        <f t="shared" si="13"/>
        <v/>
      </c>
      <c r="M320" s="94"/>
      <c r="N320" s="26" t="str">
        <f t="shared" si="14"/>
        <v/>
      </c>
      <c r="O320" s="80"/>
      <c r="P320" s="80"/>
      <c r="Q320" s="80"/>
      <c r="R320" s="80"/>
    </row>
    <row r="321" ht="18" customHeight="1" spans="1:18">
      <c r="A321" s="87" t="str">
        <f t="shared" si="12"/>
        <v/>
      </c>
      <c r="B321" s="78"/>
      <c r="C321" s="80"/>
      <c r="D321" s="80"/>
      <c r="E321" s="79"/>
      <c r="F321" s="87" t="str">
        <f>IF($E321="","",IFERROR(INDEX(基础资料!$O$4:$O$34,MATCH($E321,基础资料!$N$4:$N$34,0))&amp;"",""))</f>
        <v/>
      </c>
      <c r="G321" s="87" t="str">
        <f>IF($E321="","",IFERROR(INDEX(基础资料!$P$4:$P$34,MATCH($E321,基础资料!$N$4:$N$34,0))&amp;"",""))</f>
        <v/>
      </c>
      <c r="H321" s="79"/>
      <c r="I321" s="88"/>
      <c r="J321" s="92"/>
      <c r="K321" s="93"/>
      <c r="L321" s="25" t="str">
        <f t="shared" si="13"/>
        <v/>
      </c>
      <c r="M321" s="94"/>
      <c r="N321" s="26" t="str">
        <f t="shared" si="14"/>
        <v/>
      </c>
      <c r="O321" s="80"/>
      <c r="P321" s="80"/>
      <c r="Q321" s="80"/>
      <c r="R321" s="80"/>
    </row>
    <row r="322" ht="18" customHeight="1" spans="1:18">
      <c r="A322" s="87" t="str">
        <f t="shared" si="12"/>
        <v/>
      </c>
      <c r="B322" s="78"/>
      <c r="C322" s="80"/>
      <c r="D322" s="80"/>
      <c r="E322" s="79"/>
      <c r="F322" s="87" t="str">
        <f>IF($E322="","",IFERROR(INDEX(基础资料!$O$4:$O$34,MATCH($E322,基础资料!$N$4:$N$34,0))&amp;"",""))</f>
        <v/>
      </c>
      <c r="G322" s="87" t="str">
        <f>IF($E322="","",IFERROR(INDEX(基础资料!$P$4:$P$34,MATCH($E322,基础资料!$N$4:$N$34,0))&amp;"",""))</f>
        <v/>
      </c>
      <c r="H322" s="79"/>
      <c r="I322" s="88"/>
      <c r="J322" s="92"/>
      <c r="K322" s="93"/>
      <c r="L322" s="25" t="str">
        <f t="shared" si="13"/>
        <v/>
      </c>
      <c r="M322" s="94"/>
      <c r="N322" s="26" t="str">
        <f t="shared" si="14"/>
        <v/>
      </c>
      <c r="O322" s="80"/>
      <c r="P322" s="80"/>
      <c r="Q322" s="80"/>
      <c r="R322" s="80"/>
    </row>
    <row r="323" ht="18" customHeight="1" spans="1:18">
      <c r="A323" s="87" t="str">
        <f t="shared" si="12"/>
        <v/>
      </c>
      <c r="B323" s="78"/>
      <c r="C323" s="80"/>
      <c r="D323" s="80"/>
      <c r="E323" s="79"/>
      <c r="F323" s="87" t="str">
        <f>IF($E323="","",IFERROR(INDEX(基础资料!$O$4:$O$34,MATCH($E323,基础资料!$N$4:$N$34,0))&amp;"",""))</f>
        <v/>
      </c>
      <c r="G323" s="87" t="str">
        <f>IF($E323="","",IFERROR(INDEX(基础资料!$P$4:$P$34,MATCH($E323,基础资料!$N$4:$N$34,0))&amp;"",""))</f>
        <v/>
      </c>
      <c r="H323" s="79"/>
      <c r="I323" s="88"/>
      <c r="J323" s="92"/>
      <c r="K323" s="93"/>
      <c r="L323" s="25" t="str">
        <f t="shared" si="13"/>
        <v/>
      </c>
      <c r="M323" s="94"/>
      <c r="N323" s="26" t="str">
        <f t="shared" si="14"/>
        <v/>
      </c>
      <c r="O323" s="80"/>
      <c r="P323" s="80"/>
      <c r="Q323" s="80"/>
      <c r="R323" s="80"/>
    </row>
    <row r="324" ht="18" customHeight="1" spans="1:18">
      <c r="A324" s="87" t="str">
        <f t="shared" ref="A324:A387" si="15">IF($E324="","",ROW()-3)</f>
        <v/>
      </c>
      <c r="B324" s="78"/>
      <c r="C324" s="80"/>
      <c r="D324" s="80"/>
      <c r="E324" s="79"/>
      <c r="F324" s="87" t="str">
        <f>IF($E324="","",IFERROR(INDEX(基础资料!$O$4:$O$34,MATCH($E324,基础资料!$N$4:$N$34,0))&amp;"",""))</f>
        <v/>
      </c>
      <c r="G324" s="87" t="str">
        <f>IF($E324="","",IFERROR(INDEX(基础资料!$P$4:$P$34,MATCH($E324,基础资料!$N$4:$N$34,0))&amp;"",""))</f>
        <v/>
      </c>
      <c r="H324" s="79"/>
      <c r="I324" s="88"/>
      <c r="J324" s="92"/>
      <c r="K324" s="93"/>
      <c r="L324" s="25" t="str">
        <f t="shared" ref="L324:L387" si="16">IF($E324="","",N($I324)+N($J324)-N($K324))</f>
        <v/>
      </c>
      <c r="M324" s="94"/>
      <c r="N324" s="26" t="str">
        <f t="shared" ref="N324:N387" si="17">IF($E324="","",ROUND(N($L324)*N($M324),2))</f>
        <v/>
      </c>
      <c r="O324" s="80"/>
      <c r="P324" s="80"/>
      <c r="Q324" s="80"/>
      <c r="R324" s="80"/>
    </row>
    <row r="325" ht="18" customHeight="1" spans="1:18">
      <c r="A325" s="87" t="str">
        <f t="shared" si="15"/>
        <v/>
      </c>
      <c r="B325" s="78"/>
      <c r="C325" s="80"/>
      <c r="D325" s="80"/>
      <c r="E325" s="79"/>
      <c r="F325" s="87" t="str">
        <f>IF($E325="","",IFERROR(INDEX(基础资料!$O$4:$O$34,MATCH($E325,基础资料!$N$4:$N$34,0))&amp;"",""))</f>
        <v/>
      </c>
      <c r="G325" s="87" t="str">
        <f>IF($E325="","",IFERROR(INDEX(基础资料!$P$4:$P$34,MATCH($E325,基础资料!$N$4:$N$34,0))&amp;"",""))</f>
        <v/>
      </c>
      <c r="H325" s="79"/>
      <c r="I325" s="88"/>
      <c r="J325" s="92"/>
      <c r="K325" s="93"/>
      <c r="L325" s="25" t="str">
        <f t="shared" si="16"/>
        <v/>
      </c>
      <c r="M325" s="94"/>
      <c r="N325" s="26" t="str">
        <f t="shared" si="17"/>
        <v/>
      </c>
      <c r="O325" s="80"/>
      <c r="P325" s="80"/>
      <c r="Q325" s="80"/>
      <c r="R325" s="80"/>
    </row>
    <row r="326" ht="18" customHeight="1" spans="1:18">
      <c r="A326" s="87" t="str">
        <f t="shared" si="15"/>
        <v/>
      </c>
      <c r="B326" s="78"/>
      <c r="C326" s="80"/>
      <c r="D326" s="80"/>
      <c r="E326" s="79"/>
      <c r="F326" s="87" t="str">
        <f>IF($E326="","",IFERROR(INDEX(基础资料!$O$4:$O$34,MATCH($E326,基础资料!$N$4:$N$34,0))&amp;"",""))</f>
        <v/>
      </c>
      <c r="G326" s="87" t="str">
        <f>IF($E326="","",IFERROR(INDEX(基础资料!$P$4:$P$34,MATCH($E326,基础资料!$N$4:$N$34,0))&amp;"",""))</f>
        <v/>
      </c>
      <c r="H326" s="79"/>
      <c r="I326" s="88"/>
      <c r="J326" s="92"/>
      <c r="K326" s="93"/>
      <c r="L326" s="25" t="str">
        <f t="shared" si="16"/>
        <v/>
      </c>
      <c r="M326" s="94"/>
      <c r="N326" s="26" t="str">
        <f t="shared" si="17"/>
        <v/>
      </c>
      <c r="O326" s="80"/>
      <c r="P326" s="80"/>
      <c r="Q326" s="80"/>
      <c r="R326" s="80"/>
    </row>
    <row r="327" ht="18" customHeight="1" spans="1:18">
      <c r="A327" s="87" t="str">
        <f t="shared" si="15"/>
        <v/>
      </c>
      <c r="B327" s="78"/>
      <c r="C327" s="80"/>
      <c r="D327" s="80"/>
      <c r="E327" s="79"/>
      <c r="F327" s="87" t="str">
        <f>IF($E327="","",IFERROR(INDEX(基础资料!$O$4:$O$34,MATCH($E327,基础资料!$N$4:$N$34,0))&amp;"",""))</f>
        <v/>
      </c>
      <c r="G327" s="87" t="str">
        <f>IF($E327="","",IFERROR(INDEX(基础资料!$P$4:$P$34,MATCH($E327,基础资料!$N$4:$N$34,0))&amp;"",""))</f>
        <v/>
      </c>
      <c r="H327" s="79"/>
      <c r="I327" s="88"/>
      <c r="J327" s="92"/>
      <c r="K327" s="93"/>
      <c r="L327" s="25" t="str">
        <f t="shared" si="16"/>
        <v/>
      </c>
      <c r="M327" s="94"/>
      <c r="N327" s="26" t="str">
        <f t="shared" si="17"/>
        <v/>
      </c>
      <c r="O327" s="80"/>
      <c r="P327" s="80"/>
      <c r="Q327" s="80"/>
      <c r="R327" s="80"/>
    </row>
    <row r="328" ht="18" customHeight="1" spans="1:18">
      <c r="A328" s="87" t="str">
        <f t="shared" si="15"/>
        <v/>
      </c>
      <c r="B328" s="78"/>
      <c r="C328" s="80"/>
      <c r="D328" s="80"/>
      <c r="E328" s="79"/>
      <c r="F328" s="87" t="str">
        <f>IF($E328="","",IFERROR(INDEX(基础资料!$O$4:$O$34,MATCH($E328,基础资料!$N$4:$N$34,0))&amp;"",""))</f>
        <v/>
      </c>
      <c r="G328" s="87" t="str">
        <f>IF($E328="","",IFERROR(INDEX(基础资料!$P$4:$P$34,MATCH($E328,基础资料!$N$4:$N$34,0))&amp;"",""))</f>
        <v/>
      </c>
      <c r="H328" s="79"/>
      <c r="I328" s="88"/>
      <c r="J328" s="92"/>
      <c r="K328" s="93"/>
      <c r="L328" s="25" t="str">
        <f t="shared" si="16"/>
        <v/>
      </c>
      <c r="M328" s="94"/>
      <c r="N328" s="26" t="str">
        <f t="shared" si="17"/>
        <v/>
      </c>
      <c r="O328" s="80"/>
      <c r="P328" s="80"/>
      <c r="Q328" s="80"/>
      <c r="R328" s="80"/>
    </row>
    <row r="329" ht="18" customHeight="1" spans="1:18">
      <c r="A329" s="87" t="str">
        <f t="shared" si="15"/>
        <v/>
      </c>
      <c r="B329" s="78"/>
      <c r="C329" s="80"/>
      <c r="D329" s="80"/>
      <c r="E329" s="79"/>
      <c r="F329" s="87" t="str">
        <f>IF($E329="","",IFERROR(INDEX(基础资料!$O$4:$O$34,MATCH($E329,基础资料!$N$4:$N$34,0))&amp;"",""))</f>
        <v/>
      </c>
      <c r="G329" s="87" t="str">
        <f>IF($E329="","",IFERROR(INDEX(基础资料!$P$4:$P$34,MATCH($E329,基础资料!$N$4:$N$34,0))&amp;"",""))</f>
        <v/>
      </c>
      <c r="H329" s="79"/>
      <c r="I329" s="88"/>
      <c r="J329" s="92"/>
      <c r="K329" s="93"/>
      <c r="L329" s="25" t="str">
        <f t="shared" si="16"/>
        <v/>
      </c>
      <c r="M329" s="94"/>
      <c r="N329" s="26" t="str">
        <f t="shared" si="17"/>
        <v/>
      </c>
      <c r="O329" s="80"/>
      <c r="P329" s="80"/>
      <c r="Q329" s="80"/>
      <c r="R329" s="80"/>
    </row>
    <row r="330" ht="18" customHeight="1" spans="1:18">
      <c r="A330" s="87" t="str">
        <f t="shared" si="15"/>
        <v/>
      </c>
      <c r="B330" s="78"/>
      <c r="C330" s="80"/>
      <c r="D330" s="80"/>
      <c r="E330" s="79"/>
      <c r="F330" s="87" t="str">
        <f>IF($E330="","",IFERROR(INDEX(基础资料!$O$4:$O$34,MATCH($E330,基础资料!$N$4:$N$34,0))&amp;"",""))</f>
        <v/>
      </c>
      <c r="G330" s="87" t="str">
        <f>IF($E330="","",IFERROR(INDEX(基础资料!$P$4:$P$34,MATCH($E330,基础资料!$N$4:$N$34,0))&amp;"",""))</f>
        <v/>
      </c>
      <c r="H330" s="79"/>
      <c r="I330" s="88"/>
      <c r="J330" s="92"/>
      <c r="K330" s="93"/>
      <c r="L330" s="25" t="str">
        <f t="shared" si="16"/>
        <v/>
      </c>
      <c r="M330" s="94"/>
      <c r="N330" s="26" t="str">
        <f t="shared" si="17"/>
        <v/>
      </c>
      <c r="O330" s="80"/>
      <c r="P330" s="80"/>
      <c r="Q330" s="80"/>
      <c r="R330" s="80"/>
    </row>
    <row r="331" ht="18" customHeight="1" spans="1:18">
      <c r="A331" s="87" t="str">
        <f t="shared" si="15"/>
        <v/>
      </c>
      <c r="B331" s="78"/>
      <c r="C331" s="80"/>
      <c r="D331" s="80"/>
      <c r="E331" s="79"/>
      <c r="F331" s="87" t="str">
        <f>IF($E331="","",IFERROR(INDEX(基础资料!$O$4:$O$34,MATCH($E331,基础资料!$N$4:$N$34,0))&amp;"",""))</f>
        <v/>
      </c>
      <c r="G331" s="87" t="str">
        <f>IF($E331="","",IFERROR(INDEX(基础资料!$P$4:$P$34,MATCH($E331,基础资料!$N$4:$N$34,0))&amp;"",""))</f>
        <v/>
      </c>
      <c r="H331" s="79"/>
      <c r="I331" s="88"/>
      <c r="J331" s="92"/>
      <c r="K331" s="93"/>
      <c r="L331" s="25" t="str">
        <f t="shared" si="16"/>
        <v/>
      </c>
      <c r="M331" s="94"/>
      <c r="N331" s="26" t="str">
        <f t="shared" si="17"/>
        <v/>
      </c>
      <c r="O331" s="80"/>
      <c r="P331" s="80"/>
      <c r="Q331" s="80"/>
      <c r="R331" s="80"/>
    </row>
    <row r="332" ht="18" customHeight="1" spans="1:18">
      <c r="A332" s="87" t="str">
        <f t="shared" si="15"/>
        <v/>
      </c>
      <c r="B332" s="78"/>
      <c r="C332" s="80"/>
      <c r="D332" s="80"/>
      <c r="E332" s="79"/>
      <c r="F332" s="87" t="str">
        <f>IF($E332="","",IFERROR(INDEX(基础资料!$O$4:$O$34,MATCH($E332,基础资料!$N$4:$N$34,0))&amp;"",""))</f>
        <v/>
      </c>
      <c r="G332" s="87" t="str">
        <f>IF($E332="","",IFERROR(INDEX(基础资料!$P$4:$P$34,MATCH($E332,基础资料!$N$4:$N$34,0))&amp;"",""))</f>
        <v/>
      </c>
      <c r="H332" s="79"/>
      <c r="I332" s="88"/>
      <c r="J332" s="92"/>
      <c r="K332" s="93"/>
      <c r="L332" s="25" t="str">
        <f t="shared" si="16"/>
        <v/>
      </c>
      <c r="M332" s="94"/>
      <c r="N332" s="26" t="str">
        <f t="shared" si="17"/>
        <v/>
      </c>
      <c r="O332" s="80"/>
      <c r="P332" s="80"/>
      <c r="Q332" s="80"/>
      <c r="R332" s="80"/>
    </row>
    <row r="333" ht="18" customHeight="1" spans="1:18">
      <c r="A333" s="87" t="str">
        <f t="shared" si="15"/>
        <v/>
      </c>
      <c r="B333" s="78"/>
      <c r="C333" s="80"/>
      <c r="D333" s="80"/>
      <c r="E333" s="79"/>
      <c r="F333" s="87" t="str">
        <f>IF($E333="","",IFERROR(INDEX(基础资料!$O$4:$O$34,MATCH($E333,基础资料!$N$4:$N$34,0))&amp;"",""))</f>
        <v/>
      </c>
      <c r="G333" s="87" t="str">
        <f>IF($E333="","",IFERROR(INDEX(基础资料!$P$4:$P$34,MATCH($E333,基础资料!$N$4:$N$34,0))&amp;"",""))</f>
        <v/>
      </c>
      <c r="H333" s="79"/>
      <c r="I333" s="88"/>
      <c r="J333" s="92"/>
      <c r="K333" s="93"/>
      <c r="L333" s="25" t="str">
        <f t="shared" si="16"/>
        <v/>
      </c>
      <c r="M333" s="94"/>
      <c r="N333" s="26" t="str">
        <f t="shared" si="17"/>
        <v/>
      </c>
      <c r="O333" s="80"/>
      <c r="P333" s="80"/>
      <c r="Q333" s="80"/>
      <c r="R333" s="80"/>
    </row>
    <row r="334" ht="18" customHeight="1" spans="1:18">
      <c r="A334" s="87" t="str">
        <f t="shared" si="15"/>
        <v/>
      </c>
      <c r="B334" s="78"/>
      <c r="C334" s="80"/>
      <c r="D334" s="80"/>
      <c r="E334" s="79"/>
      <c r="F334" s="87" t="str">
        <f>IF($E334="","",IFERROR(INDEX(基础资料!$O$4:$O$34,MATCH($E334,基础资料!$N$4:$N$34,0))&amp;"",""))</f>
        <v/>
      </c>
      <c r="G334" s="87" t="str">
        <f>IF($E334="","",IFERROR(INDEX(基础资料!$P$4:$P$34,MATCH($E334,基础资料!$N$4:$N$34,0))&amp;"",""))</f>
        <v/>
      </c>
      <c r="H334" s="79"/>
      <c r="I334" s="88"/>
      <c r="J334" s="92"/>
      <c r="K334" s="93"/>
      <c r="L334" s="25" t="str">
        <f t="shared" si="16"/>
        <v/>
      </c>
      <c r="M334" s="94"/>
      <c r="N334" s="26" t="str">
        <f t="shared" si="17"/>
        <v/>
      </c>
      <c r="O334" s="80"/>
      <c r="P334" s="80"/>
      <c r="Q334" s="80"/>
      <c r="R334" s="80"/>
    </row>
    <row r="335" ht="18" customHeight="1" spans="1:18">
      <c r="A335" s="87" t="str">
        <f t="shared" si="15"/>
        <v/>
      </c>
      <c r="B335" s="78"/>
      <c r="C335" s="80"/>
      <c r="D335" s="80"/>
      <c r="E335" s="79"/>
      <c r="F335" s="87" t="str">
        <f>IF($E335="","",IFERROR(INDEX(基础资料!$O$4:$O$34,MATCH($E335,基础资料!$N$4:$N$34,0))&amp;"",""))</f>
        <v/>
      </c>
      <c r="G335" s="87" t="str">
        <f>IF($E335="","",IFERROR(INDEX(基础资料!$P$4:$P$34,MATCH($E335,基础资料!$N$4:$N$34,0))&amp;"",""))</f>
        <v/>
      </c>
      <c r="H335" s="79"/>
      <c r="I335" s="88"/>
      <c r="J335" s="92"/>
      <c r="K335" s="93"/>
      <c r="L335" s="25" t="str">
        <f t="shared" si="16"/>
        <v/>
      </c>
      <c r="M335" s="94"/>
      <c r="N335" s="26" t="str">
        <f t="shared" si="17"/>
        <v/>
      </c>
      <c r="O335" s="80"/>
      <c r="P335" s="80"/>
      <c r="Q335" s="80"/>
      <c r="R335" s="80"/>
    </row>
    <row r="336" ht="18" customHeight="1" spans="1:18">
      <c r="A336" s="87" t="str">
        <f t="shared" si="15"/>
        <v/>
      </c>
      <c r="B336" s="78"/>
      <c r="C336" s="80"/>
      <c r="D336" s="80"/>
      <c r="E336" s="79"/>
      <c r="F336" s="87" t="str">
        <f>IF($E336="","",IFERROR(INDEX(基础资料!$O$4:$O$34,MATCH($E336,基础资料!$N$4:$N$34,0))&amp;"",""))</f>
        <v/>
      </c>
      <c r="G336" s="87" t="str">
        <f>IF($E336="","",IFERROR(INDEX(基础资料!$P$4:$P$34,MATCH($E336,基础资料!$N$4:$N$34,0))&amp;"",""))</f>
        <v/>
      </c>
      <c r="H336" s="79"/>
      <c r="I336" s="88"/>
      <c r="J336" s="92"/>
      <c r="K336" s="93"/>
      <c r="L336" s="25" t="str">
        <f t="shared" si="16"/>
        <v/>
      </c>
      <c r="M336" s="94"/>
      <c r="N336" s="26" t="str">
        <f t="shared" si="17"/>
        <v/>
      </c>
      <c r="O336" s="80"/>
      <c r="P336" s="80"/>
      <c r="Q336" s="80"/>
      <c r="R336" s="80"/>
    </row>
    <row r="337" ht="18" customHeight="1" spans="1:18">
      <c r="A337" s="87" t="str">
        <f t="shared" si="15"/>
        <v/>
      </c>
      <c r="B337" s="78"/>
      <c r="C337" s="80"/>
      <c r="D337" s="80"/>
      <c r="E337" s="79"/>
      <c r="F337" s="87" t="str">
        <f>IF($E337="","",IFERROR(INDEX(基础资料!$O$4:$O$34,MATCH($E337,基础资料!$N$4:$N$34,0))&amp;"",""))</f>
        <v/>
      </c>
      <c r="G337" s="87" t="str">
        <f>IF($E337="","",IFERROR(INDEX(基础资料!$P$4:$P$34,MATCH($E337,基础资料!$N$4:$N$34,0))&amp;"",""))</f>
        <v/>
      </c>
      <c r="H337" s="79"/>
      <c r="I337" s="88"/>
      <c r="J337" s="92"/>
      <c r="K337" s="93"/>
      <c r="L337" s="25" t="str">
        <f t="shared" si="16"/>
        <v/>
      </c>
      <c r="M337" s="94"/>
      <c r="N337" s="26" t="str">
        <f t="shared" si="17"/>
        <v/>
      </c>
      <c r="O337" s="80"/>
      <c r="P337" s="80"/>
      <c r="Q337" s="80"/>
      <c r="R337" s="80"/>
    </row>
    <row r="338" ht="18" customHeight="1" spans="1:18">
      <c r="A338" s="87" t="str">
        <f t="shared" si="15"/>
        <v/>
      </c>
      <c r="B338" s="78"/>
      <c r="C338" s="80"/>
      <c r="D338" s="80"/>
      <c r="E338" s="79"/>
      <c r="F338" s="87" t="str">
        <f>IF($E338="","",IFERROR(INDEX(基础资料!$O$4:$O$34,MATCH($E338,基础资料!$N$4:$N$34,0))&amp;"",""))</f>
        <v/>
      </c>
      <c r="G338" s="87" t="str">
        <f>IF($E338="","",IFERROR(INDEX(基础资料!$P$4:$P$34,MATCH($E338,基础资料!$N$4:$N$34,0))&amp;"",""))</f>
        <v/>
      </c>
      <c r="H338" s="79"/>
      <c r="I338" s="88"/>
      <c r="J338" s="92"/>
      <c r="K338" s="93"/>
      <c r="L338" s="25" t="str">
        <f t="shared" si="16"/>
        <v/>
      </c>
      <c r="M338" s="94"/>
      <c r="N338" s="26" t="str">
        <f t="shared" si="17"/>
        <v/>
      </c>
      <c r="O338" s="80"/>
      <c r="P338" s="80"/>
      <c r="Q338" s="80"/>
      <c r="R338" s="80"/>
    </row>
    <row r="339" ht="18" customHeight="1" spans="1:18">
      <c r="A339" s="87" t="str">
        <f t="shared" si="15"/>
        <v/>
      </c>
      <c r="B339" s="78"/>
      <c r="C339" s="80"/>
      <c r="D339" s="80"/>
      <c r="E339" s="79"/>
      <c r="F339" s="87" t="str">
        <f>IF($E339="","",IFERROR(INDEX(基础资料!$O$4:$O$34,MATCH($E339,基础资料!$N$4:$N$34,0))&amp;"",""))</f>
        <v/>
      </c>
      <c r="G339" s="87" t="str">
        <f>IF($E339="","",IFERROR(INDEX(基础资料!$P$4:$P$34,MATCH($E339,基础资料!$N$4:$N$34,0))&amp;"",""))</f>
        <v/>
      </c>
      <c r="H339" s="79"/>
      <c r="I339" s="88"/>
      <c r="J339" s="92"/>
      <c r="K339" s="93"/>
      <c r="L339" s="25" t="str">
        <f t="shared" si="16"/>
        <v/>
      </c>
      <c r="M339" s="94"/>
      <c r="N339" s="26" t="str">
        <f t="shared" si="17"/>
        <v/>
      </c>
      <c r="O339" s="80"/>
      <c r="P339" s="80"/>
      <c r="Q339" s="80"/>
      <c r="R339" s="80"/>
    </row>
    <row r="340" ht="18" customHeight="1" spans="1:18">
      <c r="A340" s="87" t="str">
        <f t="shared" si="15"/>
        <v/>
      </c>
      <c r="B340" s="78"/>
      <c r="C340" s="80"/>
      <c r="D340" s="80"/>
      <c r="E340" s="79"/>
      <c r="F340" s="87" t="str">
        <f>IF($E340="","",IFERROR(INDEX(基础资料!$O$4:$O$34,MATCH($E340,基础资料!$N$4:$N$34,0))&amp;"",""))</f>
        <v/>
      </c>
      <c r="G340" s="87" t="str">
        <f>IF($E340="","",IFERROR(INDEX(基础资料!$P$4:$P$34,MATCH($E340,基础资料!$N$4:$N$34,0))&amp;"",""))</f>
        <v/>
      </c>
      <c r="H340" s="79"/>
      <c r="I340" s="88"/>
      <c r="J340" s="92"/>
      <c r="K340" s="93"/>
      <c r="L340" s="25" t="str">
        <f t="shared" si="16"/>
        <v/>
      </c>
      <c r="M340" s="94"/>
      <c r="N340" s="26" t="str">
        <f t="shared" si="17"/>
        <v/>
      </c>
      <c r="O340" s="80"/>
      <c r="P340" s="80"/>
      <c r="Q340" s="80"/>
      <c r="R340" s="80"/>
    </row>
    <row r="341" ht="18" customHeight="1" spans="1:18">
      <c r="A341" s="87" t="str">
        <f t="shared" si="15"/>
        <v/>
      </c>
      <c r="B341" s="78"/>
      <c r="C341" s="80"/>
      <c r="D341" s="80"/>
      <c r="E341" s="79"/>
      <c r="F341" s="87" t="str">
        <f>IF($E341="","",IFERROR(INDEX(基础资料!$O$4:$O$34,MATCH($E341,基础资料!$N$4:$N$34,0))&amp;"",""))</f>
        <v/>
      </c>
      <c r="G341" s="87" t="str">
        <f>IF($E341="","",IFERROR(INDEX(基础资料!$P$4:$P$34,MATCH($E341,基础资料!$N$4:$N$34,0))&amp;"",""))</f>
        <v/>
      </c>
      <c r="H341" s="79"/>
      <c r="I341" s="88"/>
      <c r="J341" s="92"/>
      <c r="K341" s="93"/>
      <c r="L341" s="25" t="str">
        <f t="shared" si="16"/>
        <v/>
      </c>
      <c r="M341" s="94"/>
      <c r="N341" s="26" t="str">
        <f t="shared" si="17"/>
        <v/>
      </c>
      <c r="O341" s="80"/>
      <c r="P341" s="80"/>
      <c r="Q341" s="80"/>
      <c r="R341" s="80"/>
    </row>
    <row r="342" ht="18" customHeight="1" spans="1:18">
      <c r="A342" s="87" t="str">
        <f t="shared" si="15"/>
        <v/>
      </c>
      <c r="B342" s="78"/>
      <c r="C342" s="80"/>
      <c r="D342" s="80"/>
      <c r="E342" s="79"/>
      <c r="F342" s="87" t="str">
        <f>IF($E342="","",IFERROR(INDEX(基础资料!$O$4:$O$34,MATCH($E342,基础资料!$N$4:$N$34,0))&amp;"",""))</f>
        <v/>
      </c>
      <c r="G342" s="87" t="str">
        <f>IF($E342="","",IFERROR(INDEX(基础资料!$P$4:$P$34,MATCH($E342,基础资料!$N$4:$N$34,0))&amp;"",""))</f>
        <v/>
      </c>
      <c r="H342" s="79"/>
      <c r="I342" s="88"/>
      <c r="J342" s="92"/>
      <c r="K342" s="93"/>
      <c r="L342" s="25" t="str">
        <f t="shared" si="16"/>
        <v/>
      </c>
      <c r="M342" s="94"/>
      <c r="N342" s="26" t="str">
        <f t="shared" si="17"/>
        <v/>
      </c>
      <c r="O342" s="80"/>
      <c r="P342" s="80"/>
      <c r="Q342" s="80"/>
      <c r="R342" s="80"/>
    </row>
    <row r="343" ht="18" customHeight="1" spans="1:18">
      <c r="A343" s="87" t="str">
        <f t="shared" si="15"/>
        <v/>
      </c>
      <c r="B343" s="78"/>
      <c r="C343" s="80"/>
      <c r="D343" s="80"/>
      <c r="E343" s="79"/>
      <c r="F343" s="87" t="str">
        <f>IF($E343="","",IFERROR(INDEX(基础资料!$O$4:$O$34,MATCH($E343,基础资料!$N$4:$N$34,0))&amp;"",""))</f>
        <v/>
      </c>
      <c r="G343" s="87" t="str">
        <f>IF($E343="","",IFERROR(INDEX(基础资料!$P$4:$P$34,MATCH($E343,基础资料!$N$4:$N$34,0))&amp;"",""))</f>
        <v/>
      </c>
      <c r="H343" s="79"/>
      <c r="I343" s="88"/>
      <c r="J343" s="92"/>
      <c r="K343" s="93"/>
      <c r="L343" s="25" t="str">
        <f t="shared" si="16"/>
        <v/>
      </c>
      <c r="M343" s="94"/>
      <c r="N343" s="26" t="str">
        <f t="shared" si="17"/>
        <v/>
      </c>
      <c r="O343" s="80"/>
      <c r="P343" s="80"/>
      <c r="Q343" s="80"/>
      <c r="R343" s="80"/>
    </row>
    <row r="344" ht="18" customHeight="1" spans="1:18">
      <c r="A344" s="87" t="str">
        <f t="shared" si="15"/>
        <v/>
      </c>
      <c r="B344" s="78"/>
      <c r="C344" s="80"/>
      <c r="D344" s="80"/>
      <c r="E344" s="79"/>
      <c r="F344" s="87" t="str">
        <f>IF($E344="","",IFERROR(INDEX(基础资料!$O$4:$O$34,MATCH($E344,基础资料!$N$4:$N$34,0))&amp;"",""))</f>
        <v/>
      </c>
      <c r="G344" s="87" t="str">
        <f>IF($E344="","",IFERROR(INDEX(基础资料!$P$4:$P$34,MATCH($E344,基础资料!$N$4:$N$34,0))&amp;"",""))</f>
        <v/>
      </c>
      <c r="H344" s="79"/>
      <c r="I344" s="88"/>
      <c r="J344" s="92"/>
      <c r="K344" s="93"/>
      <c r="L344" s="25" t="str">
        <f t="shared" si="16"/>
        <v/>
      </c>
      <c r="M344" s="94"/>
      <c r="N344" s="26" t="str">
        <f t="shared" si="17"/>
        <v/>
      </c>
      <c r="O344" s="80"/>
      <c r="P344" s="80"/>
      <c r="Q344" s="80"/>
      <c r="R344" s="80"/>
    </row>
    <row r="345" ht="18" customHeight="1" spans="1:18">
      <c r="A345" s="87" t="str">
        <f t="shared" si="15"/>
        <v/>
      </c>
      <c r="B345" s="78"/>
      <c r="C345" s="80"/>
      <c r="D345" s="80"/>
      <c r="E345" s="79"/>
      <c r="F345" s="87" t="str">
        <f>IF($E345="","",IFERROR(INDEX(基础资料!$O$4:$O$34,MATCH($E345,基础资料!$N$4:$N$34,0))&amp;"",""))</f>
        <v/>
      </c>
      <c r="G345" s="87" t="str">
        <f>IF($E345="","",IFERROR(INDEX(基础资料!$P$4:$P$34,MATCH($E345,基础资料!$N$4:$N$34,0))&amp;"",""))</f>
        <v/>
      </c>
      <c r="H345" s="79"/>
      <c r="I345" s="88"/>
      <c r="J345" s="92"/>
      <c r="K345" s="93"/>
      <c r="L345" s="25" t="str">
        <f t="shared" si="16"/>
        <v/>
      </c>
      <c r="M345" s="94"/>
      <c r="N345" s="26" t="str">
        <f t="shared" si="17"/>
        <v/>
      </c>
      <c r="O345" s="80"/>
      <c r="P345" s="80"/>
      <c r="Q345" s="80"/>
      <c r="R345" s="80"/>
    </row>
    <row r="346" ht="18" customHeight="1" spans="1:18">
      <c r="A346" s="87" t="str">
        <f t="shared" si="15"/>
        <v/>
      </c>
      <c r="B346" s="78"/>
      <c r="C346" s="80"/>
      <c r="D346" s="80"/>
      <c r="E346" s="79"/>
      <c r="F346" s="87" t="str">
        <f>IF($E346="","",IFERROR(INDEX(基础资料!$O$4:$O$34,MATCH($E346,基础资料!$N$4:$N$34,0))&amp;"",""))</f>
        <v/>
      </c>
      <c r="G346" s="87" t="str">
        <f>IF($E346="","",IFERROR(INDEX(基础资料!$P$4:$P$34,MATCH($E346,基础资料!$N$4:$N$34,0))&amp;"",""))</f>
        <v/>
      </c>
      <c r="H346" s="79"/>
      <c r="I346" s="88"/>
      <c r="J346" s="92"/>
      <c r="K346" s="93"/>
      <c r="L346" s="25" t="str">
        <f t="shared" si="16"/>
        <v/>
      </c>
      <c r="M346" s="94"/>
      <c r="N346" s="26" t="str">
        <f t="shared" si="17"/>
        <v/>
      </c>
      <c r="O346" s="80"/>
      <c r="P346" s="80"/>
      <c r="Q346" s="80"/>
      <c r="R346" s="80"/>
    </row>
    <row r="347" ht="18" customHeight="1" spans="1:18">
      <c r="A347" s="87" t="str">
        <f t="shared" si="15"/>
        <v/>
      </c>
      <c r="B347" s="78"/>
      <c r="C347" s="80"/>
      <c r="D347" s="80"/>
      <c r="E347" s="79"/>
      <c r="F347" s="87" t="str">
        <f>IF($E347="","",IFERROR(INDEX(基础资料!$O$4:$O$34,MATCH($E347,基础资料!$N$4:$N$34,0))&amp;"",""))</f>
        <v/>
      </c>
      <c r="G347" s="87" t="str">
        <f>IF($E347="","",IFERROR(INDEX(基础资料!$P$4:$P$34,MATCH($E347,基础资料!$N$4:$N$34,0))&amp;"",""))</f>
        <v/>
      </c>
      <c r="H347" s="79"/>
      <c r="I347" s="88"/>
      <c r="J347" s="92"/>
      <c r="K347" s="93"/>
      <c r="L347" s="25" t="str">
        <f t="shared" si="16"/>
        <v/>
      </c>
      <c r="M347" s="94"/>
      <c r="N347" s="26" t="str">
        <f t="shared" si="17"/>
        <v/>
      </c>
      <c r="O347" s="80"/>
      <c r="P347" s="80"/>
      <c r="Q347" s="80"/>
      <c r="R347" s="80"/>
    </row>
    <row r="348" ht="18" customHeight="1" spans="1:18">
      <c r="A348" s="87" t="str">
        <f t="shared" si="15"/>
        <v/>
      </c>
      <c r="B348" s="78"/>
      <c r="C348" s="80"/>
      <c r="D348" s="80"/>
      <c r="E348" s="79"/>
      <c r="F348" s="87" t="str">
        <f>IF($E348="","",IFERROR(INDEX(基础资料!$O$4:$O$34,MATCH($E348,基础资料!$N$4:$N$34,0))&amp;"",""))</f>
        <v/>
      </c>
      <c r="G348" s="87" t="str">
        <f>IF($E348="","",IFERROR(INDEX(基础资料!$P$4:$P$34,MATCH($E348,基础资料!$N$4:$N$34,0))&amp;"",""))</f>
        <v/>
      </c>
      <c r="H348" s="79"/>
      <c r="I348" s="88"/>
      <c r="J348" s="92"/>
      <c r="K348" s="93"/>
      <c r="L348" s="25" t="str">
        <f t="shared" si="16"/>
        <v/>
      </c>
      <c r="M348" s="94"/>
      <c r="N348" s="26" t="str">
        <f t="shared" si="17"/>
        <v/>
      </c>
      <c r="O348" s="80"/>
      <c r="P348" s="80"/>
      <c r="Q348" s="80"/>
      <c r="R348" s="80"/>
    </row>
    <row r="349" ht="18" customHeight="1" spans="1:18">
      <c r="A349" s="87" t="str">
        <f t="shared" si="15"/>
        <v/>
      </c>
      <c r="B349" s="78"/>
      <c r="C349" s="80"/>
      <c r="D349" s="80"/>
      <c r="E349" s="79"/>
      <c r="F349" s="87" t="str">
        <f>IF($E349="","",IFERROR(INDEX(基础资料!$O$4:$O$34,MATCH($E349,基础资料!$N$4:$N$34,0))&amp;"",""))</f>
        <v/>
      </c>
      <c r="G349" s="87" t="str">
        <f>IF($E349="","",IFERROR(INDEX(基础资料!$P$4:$P$34,MATCH($E349,基础资料!$N$4:$N$34,0))&amp;"",""))</f>
        <v/>
      </c>
      <c r="H349" s="79"/>
      <c r="I349" s="88"/>
      <c r="J349" s="92"/>
      <c r="K349" s="93"/>
      <c r="L349" s="25" t="str">
        <f t="shared" si="16"/>
        <v/>
      </c>
      <c r="M349" s="94"/>
      <c r="N349" s="26" t="str">
        <f t="shared" si="17"/>
        <v/>
      </c>
      <c r="O349" s="80"/>
      <c r="P349" s="80"/>
      <c r="Q349" s="80"/>
      <c r="R349" s="80"/>
    </row>
    <row r="350" ht="18" customHeight="1" spans="1:18">
      <c r="A350" s="87" t="str">
        <f t="shared" si="15"/>
        <v/>
      </c>
      <c r="B350" s="78"/>
      <c r="C350" s="80"/>
      <c r="D350" s="80"/>
      <c r="E350" s="79"/>
      <c r="F350" s="87" t="str">
        <f>IF($E350="","",IFERROR(INDEX(基础资料!$O$4:$O$34,MATCH($E350,基础资料!$N$4:$N$34,0))&amp;"",""))</f>
        <v/>
      </c>
      <c r="G350" s="87" t="str">
        <f>IF($E350="","",IFERROR(INDEX(基础资料!$P$4:$P$34,MATCH($E350,基础资料!$N$4:$N$34,0))&amp;"",""))</f>
        <v/>
      </c>
      <c r="H350" s="79"/>
      <c r="I350" s="88"/>
      <c r="J350" s="92"/>
      <c r="K350" s="93"/>
      <c r="L350" s="25" t="str">
        <f t="shared" si="16"/>
        <v/>
      </c>
      <c r="M350" s="94"/>
      <c r="N350" s="26" t="str">
        <f t="shared" si="17"/>
        <v/>
      </c>
      <c r="O350" s="80"/>
      <c r="P350" s="80"/>
      <c r="Q350" s="80"/>
      <c r="R350" s="80"/>
    </row>
    <row r="351" ht="18" customHeight="1" spans="1:18">
      <c r="A351" s="87" t="str">
        <f t="shared" si="15"/>
        <v/>
      </c>
      <c r="B351" s="78"/>
      <c r="C351" s="80"/>
      <c r="D351" s="80"/>
      <c r="E351" s="79"/>
      <c r="F351" s="87" t="str">
        <f>IF($E351="","",IFERROR(INDEX(基础资料!$O$4:$O$34,MATCH($E351,基础资料!$N$4:$N$34,0))&amp;"",""))</f>
        <v/>
      </c>
      <c r="G351" s="87" t="str">
        <f>IF($E351="","",IFERROR(INDEX(基础资料!$P$4:$P$34,MATCH($E351,基础资料!$N$4:$N$34,0))&amp;"",""))</f>
        <v/>
      </c>
      <c r="H351" s="79"/>
      <c r="I351" s="88"/>
      <c r="J351" s="92"/>
      <c r="K351" s="93"/>
      <c r="L351" s="25" t="str">
        <f t="shared" si="16"/>
        <v/>
      </c>
      <c r="M351" s="94"/>
      <c r="N351" s="26" t="str">
        <f t="shared" si="17"/>
        <v/>
      </c>
      <c r="O351" s="80"/>
      <c r="P351" s="80"/>
      <c r="Q351" s="80"/>
      <c r="R351" s="80"/>
    </row>
    <row r="352" ht="18" customHeight="1" spans="1:18">
      <c r="A352" s="87" t="str">
        <f t="shared" si="15"/>
        <v/>
      </c>
      <c r="B352" s="78"/>
      <c r="C352" s="80"/>
      <c r="D352" s="80"/>
      <c r="E352" s="79"/>
      <c r="F352" s="87" t="str">
        <f>IF($E352="","",IFERROR(INDEX(基础资料!$O$4:$O$34,MATCH($E352,基础资料!$N$4:$N$34,0))&amp;"",""))</f>
        <v/>
      </c>
      <c r="G352" s="87" t="str">
        <f>IF($E352="","",IFERROR(INDEX(基础资料!$P$4:$P$34,MATCH($E352,基础资料!$N$4:$N$34,0))&amp;"",""))</f>
        <v/>
      </c>
      <c r="H352" s="79"/>
      <c r="I352" s="88"/>
      <c r="J352" s="92"/>
      <c r="K352" s="93"/>
      <c r="L352" s="25" t="str">
        <f t="shared" si="16"/>
        <v/>
      </c>
      <c r="M352" s="94"/>
      <c r="N352" s="26" t="str">
        <f t="shared" si="17"/>
        <v/>
      </c>
      <c r="O352" s="80"/>
      <c r="P352" s="80"/>
      <c r="Q352" s="80"/>
      <c r="R352" s="80"/>
    </row>
    <row r="353" ht="18" customHeight="1" spans="1:18">
      <c r="A353" s="87" t="str">
        <f t="shared" si="15"/>
        <v/>
      </c>
      <c r="B353" s="78"/>
      <c r="C353" s="80"/>
      <c r="D353" s="80"/>
      <c r="E353" s="79"/>
      <c r="F353" s="87" t="str">
        <f>IF($E353="","",IFERROR(INDEX(基础资料!$O$4:$O$34,MATCH($E353,基础资料!$N$4:$N$34,0))&amp;"",""))</f>
        <v/>
      </c>
      <c r="G353" s="87" t="str">
        <f>IF($E353="","",IFERROR(INDEX(基础资料!$P$4:$P$34,MATCH($E353,基础资料!$N$4:$N$34,0))&amp;"",""))</f>
        <v/>
      </c>
      <c r="H353" s="79"/>
      <c r="I353" s="88"/>
      <c r="J353" s="92"/>
      <c r="K353" s="93"/>
      <c r="L353" s="25" t="str">
        <f t="shared" si="16"/>
        <v/>
      </c>
      <c r="M353" s="94"/>
      <c r="N353" s="26" t="str">
        <f t="shared" si="17"/>
        <v/>
      </c>
      <c r="O353" s="80"/>
      <c r="P353" s="80"/>
      <c r="Q353" s="80"/>
      <c r="R353" s="80"/>
    </row>
    <row r="354" ht="18" customHeight="1" spans="1:18">
      <c r="A354" s="87" t="str">
        <f t="shared" si="15"/>
        <v/>
      </c>
      <c r="B354" s="78"/>
      <c r="C354" s="80"/>
      <c r="D354" s="80"/>
      <c r="E354" s="79"/>
      <c r="F354" s="87" t="str">
        <f>IF($E354="","",IFERROR(INDEX(基础资料!$O$4:$O$34,MATCH($E354,基础资料!$N$4:$N$34,0))&amp;"",""))</f>
        <v/>
      </c>
      <c r="G354" s="87" t="str">
        <f>IF($E354="","",IFERROR(INDEX(基础资料!$P$4:$P$34,MATCH($E354,基础资料!$N$4:$N$34,0))&amp;"",""))</f>
        <v/>
      </c>
      <c r="H354" s="79"/>
      <c r="I354" s="88"/>
      <c r="J354" s="92"/>
      <c r="K354" s="93"/>
      <c r="L354" s="25" t="str">
        <f t="shared" si="16"/>
        <v/>
      </c>
      <c r="M354" s="94"/>
      <c r="N354" s="26" t="str">
        <f t="shared" si="17"/>
        <v/>
      </c>
      <c r="O354" s="80"/>
      <c r="P354" s="80"/>
      <c r="Q354" s="80"/>
      <c r="R354" s="80"/>
    </row>
    <row r="355" ht="18" customHeight="1" spans="1:18">
      <c r="A355" s="87" t="str">
        <f t="shared" si="15"/>
        <v/>
      </c>
      <c r="B355" s="78"/>
      <c r="C355" s="80"/>
      <c r="D355" s="80"/>
      <c r="E355" s="79"/>
      <c r="F355" s="87" t="str">
        <f>IF($E355="","",IFERROR(INDEX(基础资料!$O$4:$O$34,MATCH($E355,基础资料!$N$4:$N$34,0))&amp;"",""))</f>
        <v/>
      </c>
      <c r="G355" s="87" t="str">
        <f>IF($E355="","",IFERROR(INDEX(基础资料!$P$4:$P$34,MATCH($E355,基础资料!$N$4:$N$34,0))&amp;"",""))</f>
        <v/>
      </c>
      <c r="H355" s="79"/>
      <c r="I355" s="88"/>
      <c r="J355" s="92"/>
      <c r="K355" s="93"/>
      <c r="L355" s="25" t="str">
        <f t="shared" si="16"/>
        <v/>
      </c>
      <c r="M355" s="94"/>
      <c r="N355" s="26" t="str">
        <f t="shared" si="17"/>
        <v/>
      </c>
      <c r="O355" s="80"/>
      <c r="P355" s="80"/>
      <c r="Q355" s="80"/>
      <c r="R355" s="80"/>
    </row>
    <row r="356" ht="18" customHeight="1" spans="1:18">
      <c r="A356" s="87" t="str">
        <f t="shared" si="15"/>
        <v/>
      </c>
      <c r="B356" s="78"/>
      <c r="C356" s="80"/>
      <c r="D356" s="80"/>
      <c r="E356" s="79"/>
      <c r="F356" s="87" t="str">
        <f>IF($E356="","",IFERROR(INDEX(基础资料!$O$4:$O$34,MATCH($E356,基础资料!$N$4:$N$34,0))&amp;"",""))</f>
        <v/>
      </c>
      <c r="G356" s="87" t="str">
        <f>IF($E356="","",IFERROR(INDEX(基础资料!$P$4:$P$34,MATCH($E356,基础资料!$N$4:$N$34,0))&amp;"",""))</f>
        <v/>
      </c>
      <c r="H356" s="79"/>
      <c r="I356" s="88"/>
      <c r="J356" s="92"/>
      <c r="K356" s="93"/>
      <c r="L356" s="25" t="str">
        <f t="shared" si="16"/>
        <v/>
      </c>
      <c r="M356" s="94"/>
      <c r="N356" s="26" t="str">
        <f t="shared" si="17"/>
        <v/>
      </c>
      <c r="O356" s="80"/>
      <c r="P356" s="80"/>
      <c r="Q356" s="80"/>
      <c r="R356" s="80"/>
    </row>
    <row r="357" ht="18" customHeight="1" spans="1:18">
      <c r="A357" s="87" t="str">
        <f t="shared" si="15"/>
        <v/>
      </c>
      <c r="B357" s="78"/>
      <c r="C357" s="80"/>
      <c r="D357" s="80"/>
      <c r="E357" s="79"/>
      <c r="F357" s="87" t="str">
        <f>IF($E357="","",IFERROR(INDEX(基础资料!$O$4:$O$34,MATCH($E357,基础资料!$N$4:$N$34,0))&amp;"",""))</f>
        <v/>
      </c>
      <c r="G357" s="87" t="str">
        <f>IF($E357="","",IFERROR(INDEX(基础资料!$P$4:$P$34,MATCH($E357,基础资料!$N$4:$N$34,0))&amp;"",""))</f>
        <v/>
      </c>
      <c r="H357" s="79"/>
      <c r="I357" s="88"/>
      <c r="J357" s="92"/>
      <c r="K357" s="93"/>
      <c r="L357" s="25" t="str">
        <f t="shared" si="16"/>
        <v/>
      </c>
      <c r="M357" s="94"/>
      <c r="N357" s="26" t="str">
        <f t="shared" si="17"/>
        <v/>
      </c>
      <c r="O357" s="80"/>
      <c r="P357" s="80"/>
      <c r="Q357" s="80"/>
      <c r="R357" s="80"/>
    </row>
    <row r="358" ht="18" customHeight="1" spans="1:18">
      <c r="A358" s="87" t="str">
        <f t="shared" si="15"/>
        <v/>
      </c>
      <c r="B358" s="78"/>
      <c r="C358" s="80"/>
      <c r="D358" s="80"/>
      <c r="E358" s="79"/>
      <c r="F358" s="87" t="str">
        <f>IF($E358="","",IFERROR(INDEX(基础资料!$O$4:$O$34,MATCH($E358,基础资料!$N$4:$N$34,0))&amp;"",""))</f>
        <v/>
      </c>
      <c r="G358" s="87" t="str">
        <f>IF($E358="","",IFERROR(INDEX(基础资料!$P$4:$P$34,MATCH($E358,基础资料!$N$4:$N$34,0))&amp;"",""))</f>
        <v/>
      </c>
      <c r="H358" s="79"/>
      <c r="I358" s="88"/>
      <c r="J358" s="92"/>
      <c r="K358" s="93"/>
      <c r="L358" s="25" t="str">
        <f t="shared" si="16"/>
        <v/>
      </c>
      <c r="M358" s="94"/>
      <c r="N358" s="26" t="str">
        <f t="shared" si="17"/>
        <v/>
      </c>
      <c r="O358" s="80"/>
      <c r="P358" s="80"/>
      <c r="Q358" s="80"/>
      <c r="R358" s="80"/>
    </row>
    <row r="359" ht="18" customHeight="1" spans="1:18">
      <c r="A359" s="87" t="str">
        <f t="shared" si="15"/>
        <v/>
      </c>
      <c r="B359" s="78"/>
      <c r="C359" s="80"/>
      <c r="D359" s="80"/>
      <c r="E359" s="79"/>
      <c r="F359" s="87" t="str">
        <f>IF($E359="","",IFERROR(INDEX(基础资料!$O$4:$O$34,MATCH($E359,基础资料!$N$4:$N$34,0))&amp;"",""))</f>
        <v/>
      </c>
      <c r="G359" s="87" t="str">
        <f>IF($E359="","",IFERROR(INDEX(基础资料!$P$4:$P$34,MATCH($E359,基础资料!$N$4:$N$34,0))&amp;"",""))</f>
        <v/>
      </c>
      <c r="H359" s="79"/>
      <c r="I359" s="88"/>
      <c r="J359" s="92"/>
      <c r="K359" s="93"/>
      <c r="L359" s="25" t="str">
        <f t="shared" si="16"/>
        <v/>
      </c>
      <c r="M359" s="94"/>
      <c r="N359" s="26" t="str">
        <f t="shared" si="17"/>
        <v/>
      </c>
      <c r="O359" s="80"/>
      <c r="P359" s="80"/>
      <c r="Q359" s="80"/>
      <c r="R359" s="80"/>
    </row>
    <row r="360" ht="18" customHeight="1" spans="1:18">
      <c r="A360" s="87" t="str">
        <f t="shared" si="15"/>
        <v/>
      </c>
      <c r="B360" s="78"/>
      <c r="C360" s="80"/>
      <c r="D360" s="80"/>
      <c r="E360" s="79"/>
      <c r="F360" s="87" t="str">
        <f>IF($E360="","",IFERROR(INDEX(基础资料!$O$4:$O$34,MATCH($E360,基础资料!$N$4:$N$34,0))&amp;"",""))</f>
        <v/>
      </c>
      <c r="G360" s="87" t="str">
        <f>IF($E360="","",IFERROR(INDEX(基础资料!$P$4:$P$34,MATCH($E360,基础资料!$N$4:$N$34,0))&amp;"",""))</f>
        <v/>
      </c>
      <c r="H360" s="79"/>
      <c r="I360" s="88"/>
      <c r="J360" s="92"/>
      <c r="K360" s="93"/>
      <c r="L360" s="25" t="str">
        <f t="shared" si="16"/>
        <v/>
      </c>
      <c r="M360" s="94"/>
      <c r="N360" s="26" t="str">
        <f t="shared" si="17"/>
        <v/>
      </c>
      <c r="O360" s="80"/>
      <c r="P360" s="80"/>
      <c r="Q360" s="80"/>
      <c r="R360" s="80"/>
    </row>
    <row r="361" ht="18" customHeight="1" spans="1:18">
      <c r="A361" s="87" t="str">
        <f t="shared" si="15"/>
        <v/>
      </c>
      <c r="B361" s="78"/>
      <c r="C361" s="80"/>
      <c r="D361" s="80"/>
      <c r="E361" s="79"/>
      <c r="F361" s="87" t="str">
        <f>IF($E361="","",IFERROR(INDEX(基础资料!$O$4:$O$34,MATCH($E361,基础资料!$N$4:$N$34,0))&amp;"",""))</f>
        <v/>
      </c>
      <c r="G361" s="87" t="str">
        <f>IF($E361="","",IFERROR(INDEX(基础资料!$P$4:$P$34,MATCH($E361,基础资料!$N$4:$N$34,0))&amp;"",""))</f>
        <v/>
      </c>
      <c r="H361" s="79"/>
      <c r="I361" s="88"/>
      <c r="J361" s="92"/>
      <c r="K361" s="93"/>
      <c r="L361" s="25" t="str">
        <f t="shared" si="16"/>
        <v/>
      </c>
      <c r="M361" s="94"/>
      <c r="N361" s="26" t="str">
        <f t="shared" si="17"/>
        <v/>
      </c>
      <c r="O361" s="80"/>
      <c r="P361" s="80"/>
      <c r="Q361" s="80"/>
      <c r="R361" s="80"/>
    </row>
    <row r="362" ht="18" customHeight="1" spans="1:18">
      <c r="A362" s="87" t="str">
        <f t="shared" si="15"/>
        <v/>
      </c>
      <c r="B362" s="78"/>
      <c r="C362" s="80"/>
      <c r="D362" s="80"/>
      <c r="E362" s="79"/>
      <c r="F362" s="87" t="str">
        <f>IF($E362="","",IFERROR(INDEX(基础资料!$O$4:$O$34,MATCH($E362,基础资料!$N$4:$N$34,0))&amp;"",""))</f>
        <v/>
      </c>
      <c r="G362" s="87" t="str">
        <f>IF($E362="","",IFERROR(INDEX(基础资料!$P$4:$P$34,MATCH($E362,基础资料!$N$4:$N$34,0))&amp;"",""))</f>
        <v/>
      </c>
      <c r="H362" s="79"/>
      <c r="I362" s="88"/>
      <c r="J362" s="92"/>
      <c r="K362" s="93"/>
      <c r="L362" s="25" t="str">
        <f t="shared" si="16"/>
        <v/>
      </c>
      <c r="M362" s="94"/>
      <c r="N362" s="26" t="str">
        <f t="shared" si="17"/>
        <v/>
      </c>
      <c r="O362" s="80"/>
      <c r="P362" s="80"/>
      <c r="Q362" s="80"/>
      <c r="R362" s="80"/>
    </row>
    <row r="363" ht="18" customHeight="1" spans="1:18">
      <c r="A363" s="87" t="str">
        <f t="shared" si="15"/>
        <v/>
      </c>
      <c r="B363" s="78"/>
      <c r="C363" s="80"/>
      <c r="D363" s="80"/>
      <c r="E363" s="79"/>
      <c r="F363" s="87" t="str">
        <f>IF($E363="","",IFERROR(INDEX(基础资料!$O$4:$O$34,MATCH($E363,基础资料!$N$4:$N$34,0))&amp;"",""))</f>
        <v/>
      </c>
      <c r="G363" s="87" t="str">
        <f>IF($E363="","",IFERROR(INDEX(基础资料!$P$4:$P$34,MATCH($E363,基础资料!$N$4:$N$34,0))&amp;"",""))</f>
        <v/>
      </c>
      <c r="H363" s="79"/>
      <c r="I363" s="88"/>
      <c r="J363" s="92"/>
      <c r="K363" s="93"/>
      <c r="L363" s="25" t="str">
        <f t="shared" si="16"/>
        <v/>
      </c>
      <c r="M363" s="94"/>
      <c r="N363" s="26" t="str">
        <f t="shared" si="17"/>
        <v/>
      </c>
      <c r="O363" s="80"/>
      <c r="P363" s="80"/>
      <c r="Q363" s="80"/>
      <c r="R363" s="80"/>
    </row>
    <row r="364" ht="18" customHeight="1" spans="1:18">
      <c r="A364" s="87" t="str">
        <f t="shared" si="15"/>
        <v/>
      </c>
      <c r="B364" s="78"/>
      <c r="C364" s="80"/>
      <c r="D364" s="80"/>
      <c r="E364" s="79"/>
      <c r="F364" s="87" t="str">
        <f>IF($E364="","",IFERROR(INDEX(基础资料!$O$4:$O$34,MATCH($E364,基础资料!$N$4:$N$34,0))&amp;"",""))</f>
        <v/>
      </c>
      <c r="G364" s="87" t="str">
        <f>IF($E364="","",IFERROR(INDEX(基础资料!$P$4:$P$34,MATCH($E364,基础资料!$N$4:$N$34,0))&amp;"",""))</f>
        <v/>
      </c>
      <c r="H364" s="79"/>
      <c r="I364" s="88"/>
      <c r="J364" s="92"/>
      <c r="K364" s="93"/>
      <c r="L364" s="25" t="str">
        <f t="shared" si="16"/>
        <v/>
      </c>
      <c r="M364" s="94"/>
      <c r="N364" s="26" t="str">
        <f t="shared" si="17"/>
        <v/>
      </c>
      <c r="O364" s="80"/>
      <c r="P364" s="80"/>
      <c r="Q364" s="80"/>
      <c r="R364" s="80"/>
    </row>
    <row r="365" ht="18" customHeight="1" spans="1:18">
      <c r="A365" s="87" t="str">
        <f t="shared" si="15"/>
        <v/>
      </c>
      <c r="B365" s="78"/>
      <c r="C365" s="80"/>
      <c r="D365" s="80"/>
      <c r="E365" s="79"/>
      <c r="F365" s="87" t="str">
        <f>IF($E365="","",IFERROR(INDEX(基础资料!$O$4:$O$34,MATCH($E365,基础资料!$N$4:$N$34,0))&amp;"",""))</f>
        <v/>
      </c>
      <c r="G365" s="87" t="str">
        <f>IF($E365="","",IFERROR(INDEX(基础资料!$P$4:$P$34,MATCH($E365,基础资料!$N$4:$N$34,0))&amp;"",""))</f>
        <v/>
      </c>
      <c r="H365" s="79"/>
      <c r="I365" s="88"/>
      <c r="J365" s="92"/>
      <c r="K365" s="93"/>
      <c r="L365" s="25" t="str">
        <f t="shared" si="16"/>
        <v/>
      </c>
      <c r="M365" s="94"/>
      <c r="N365" s="26" t="str">
        <f t="shared" si="17"/>
        <v/>
      </c>
      <c r="O365" s="80"/>
      <c r="P365" s="80"/>
      <c r="Q365" s="80"/>
      <c r="R365" s="80"/>
    </row>
    <row r="366" ht="18" customHeight="1" spans="1:18">
      <c r="A366" s="87" t="str">
        <f t="shared" si="15"/>
        <v/>
      </c>
      <c r="B366" s="78"/>
      <c r="C366" s="80"/>
      <c r="D366" s="80"/>
      <c r="E366" s="79"/>
      <c r="F366" s="87" t="str">
        <f>IF($E366="","",IFERROR(INDEX(基础资料!$O$4:$O$34,MATCH($E366,基础资料!$N$4:$N$34,0))&amp;"",""))</f>
        <v/>
      </c>
      <c r="G366" s="87" t="str">
        <f>IF($E366="","",IFERROR(INDEX(基础资料!$P$4:$P$34,MATCH($E366,基础资料!$N$4:$N$34,0))&amp;"",""))</f>
        <v/>
      </c>
      <c r="H366" s="79"/>
      <c r="I366" s="88"/>
      <c r="J366" s="92"/>
      <c r="K366" s="93"/>
      <c r="L366" s="25" t="str">
        <f t="shared" si="16"/>
        <v/>
      </c>
      <c r="M366" s="94"/>
      <c r="N366" s="26" t="str">
        <f t="shared" si="17"/>
        <v/>
      </c>
      <c r="O366" s="80"/>
      <c r="P366" s="80"/>
      <c r="Q366" s="80"/>
      <c r="R366" s="80"/>
    </row>
    <row r="367" ht="18" customHeight="1" spans="1:18">
      <c r="A367" s="87" t="str">
        <f t="shared" si="15"/>
        <v/>
      </c>
      <c r="B367" s="78"/>
      <c r="C367" s="80"/>
      <c r="D367" s="80"/>
      <c r="E367" s="79"/>
      <c r="F367" s="87" t="str">
        <f>IF($E367="","",IFERROR(INDEX(基础资料!$O$4:$O$34,MATCH($E367,基础资料!$N$4:$N$34,0))&amp;"",""))</f>
        <v/>
      </c>
      <c r="G367" s="87" t="str">
        <f>IF($E367="","",IFERROR(INDEX(基础资料!$P$4:$P$34,MATCH($E367,基础资料!$N$4:$N$34,0))&amp;"",""))</f>
        <v/>
      </c>
      <c r="H367" s="79"/>
      <c r="I367" s="88"/>
      <c r="J367" s="92"/>
      <c r="K367" s="93"/>
      <c r="L367" s="25" t="str">
        <f t="shared" si="16"/>
        <v/>
      </c>
      <c r="M367" s="94"/>
      <c r="N367" s="26" t="str">
        <f t="shared" si="17"/>
        <v/>
      </c>
      <c r="O367" s="80"/>
      <c r="P367" s="80"/>
      <c r="Q367" s="80"/>
      <c r="R367" s="80"/>
    </row>
    <row r="368" ht="18" customHeight="1" spans="1:18">
      <c r="A368" s="87" t="str">
        <f t="shared" si="15"/>
        <v/>
      </c>
      <c r="B368" s="78"/>
      <c r="C368" s="80"/>
      <c r="D368" s="80"/>
      <c r="E368" s="79"/>
      <c r="F368" s="87" t="str">
        <f>IF($E368="","",IFERROR(INDEX(基础资料!$O$4:$O$34,MATCH($E368,基础资料!$N$4:$N$34,0))&amp;"",""))</f>
        <v/>
      </c>
      <c r="G368" s="87" t="str">
        <f>IF($E368="","",IFERROR(INDEX(基础资料!$P$4:$P$34,MATCH($E368,基础资料!$N$4:$N$34,0))&amp;"",""))</f>
        <v/>
      </c>
      <c r="H368" s="79"/>
      <c r="I368" s="88"/>
      <c r="J368" s="92"/>
      <c r="K368" s="93"/>
      <c r="L368" s="25" t="str">
        <f t="shared" si="16"/>
        <v/>
      </c>
      <c r="M368" s="94"/>
      <c r="N368" s="26" t="str">
        <f t="shared" si="17"/>
        <v/>
      </c>
      <c r="O368" s="80"/>
      <c r="P368" s="80"/>
      <c r="Q368" s="80"/>
      <c r="R368" s="80"/>
    </row>
    <row r="369" ht="18" customHeight="1" spans="1:18">
      <c r="A369" s="87" t="str">
        <f t="shared" si="15"/>
        <v/>
      </c>
      <c r="B369" s="78"/>
      <c r="C369" s="80"/>
      <c r="D369" s="80"/>
      <c r="E369" s="79"/>
      <c r="F369" s="87" t="str">
        <f>IF($E369="","",IFERROR(INDEX(基础资料!$O$4:$O$34,MATCH($E369,基础资料!$N$4:$N$34,0))&amp;"",""))</f>
        <v/>
      </c>
      <c r="G369" s="87" t="str">
        <f>IF($E369="","",IFERROR(INDEX(基础资料!$P$4:$P$34,MATCH($E369,基础资料!$N$4:$N$34,0))&amp;"",""))</f>
        <v/>
      </c>
      <c r="H369" s="79"/>
      <c r="I369" s="88"/>
      <c r="J369" s="92"/>
      <c r="K369" s="93"/>
      <c r="L369" s="25" t="str">
        <f t="shared" si="16"/>
        <v/>
      </c>
      <c r="M369" s="94"/>
      <c r="N369" s="26" t="str">
        <f t="shared" si="17"/>
        <v/>
      </c>
      <c r="O369" s="80"/>
      <c r="P369" s="80"/>
      <c r="Q369" s="80"/>
      <c r="R369" s="80"/>
    </row>
    <row r="370" ht="18" customHeight="1" spans="1:18">
      <c r="A370" s="87" t="str">
        <f t="shared" si="15"/>
        <v/>
      </c>
      <c r="B370" s="78"/>
      <c r="C370" s="80"/>
      <c r="D370" s="80"/>
      <c r="E370" s="79"/>
      <c r="F370" s="87" t="str">
        <f>IF($E370="","",IFERROR(INDEX(基础资料!$O$4:$O$34,MATCH($E370,基础资料!$N$4:$N$34,0))&amp;"",""))</f>
        <v/>
      </c>
      <c r="G370" s="87" t="str">
        <f>IF($E370="","",IFERROR(INDEX(基础资料!$P$4:$P$34,MATCH($E370,基础资料!$N$4:$N$34,0))&amp;"",""))</f>
        <v/>
      </c>
      <c r="H370" s="79"/>
      <c r="I370" s="88"/>
      <c r="J370" s="92"/>
      <c r="K370" s="93"/>
      <c r="L370" s="25" t="str">
        <f t="shared" si="16"/>
        <v/>
      </c>
      <c r="M370" s="94"/>
      <c r="N370" s="26" t="str">
        <f t="shared" si="17"/>
        <v/>
      </c>
      <c r="O370" s="80"/>
      <c r="P370" s="80"/>
      <c r="Q370" s="80"/>
      <c r="R370" s="80"/>
    </row>
    <row r="371" ht="18" customHeight="1" spans="1:18">
      <c r="A371" s="87" t="str">
        <f t="shared" si="15"/>
        <v/>
      </c>
      <c r="B371" s="78"/>
      <c r="C371" s="80"/>
      <c r="D371" s="80"/>
      <c r="E371" s="79"/>
      <c r="F371" s="87" t="str">
        <f>IF($E371="","",IFERROR(INDEX(基础资料!$O$4:$O$34,MATCH($E371,基础资料!$N$4:$N$34,0))&amp;"",""))</f>
        <v/>
      </c>
      <c r="G371" s="87" t="str">
        <f>IF($E371="","",IFERROR(INDEX(基础资料!$P$4:$P$34,MATCH($E371,基础资料!$N$4:$N$34,0))&amp;"",""))</f>
        <v/>
      </c>
      <c r="H371" s="79"/>
      <c r="I371" s="88"/>
      <c r="J371" s="92"/>
      <c r="K371" s="93"/>
      <c r="L371" s="25" t="str">
        <f t="shared" si="16"/>
        <v/>
      </c>
      <c r="M371" s="94"/>
      <c r="N371" s="26" t="str">
        <f t="shared" si="17"/>
        <v/>
      </c>
      <c r="O371" s="80"/>
      <c r="P371" s="80"/>
      <c r="Q371" s="80"/>
      <c r="R371" s="80"/>
    </row>
    <row r="372" ht="18" customHeight="1" spans="1:18">
      <c r="A372" s="87" t="str">
        <f t="shared" si="15"/>
        <v/>
      </c>
      <c r="B372" s="78"/>
      <c r="C372" s="80"/>
      <c r="D372" s="80"/>
      <c r="E372" s="79"/>
      <c r="F372" s="87" t="str">
        <f>IF($E372="","",IFERROR(INDEX(基础资料!$O$4:$O$34,MATCH($E372,基础资料!$N$4:$N$34,0))&amp;"",""))</f>
        <v/>
      </c>
      <c r="G372" s="87" t="str">
        <f>IF($E372="","",IFERROR(INDEX(基础资料!$P$4:$P$34,MATCH($E372,基础资料!$N$4:$N$34,0))&amp;"",""))</f>
        <v/>
      </c>
      <c r="H372" s="79"/>
      <c r="I372" s="88"/>
      <c r="J372" s="92"/>
      <c r="K372" s="93"/>
      <c r="L372" s="25" t="str">
        <f t="shared" si="16"/>
        <v/>
      </c>
      <c r="M372" s="94"/>
      <c r="N372" s="26" t="str">
        <f t="shared" si="17"/>
        <v/>
      </c>
      <c r="O372" s="80"/>
      <c r="P372" s="80"/>
      <c r="Q372" s="80"/>
      <c r="R372" s="80"/>
    </row>
    <row r="373" ht="18" customHeight="1" spans="1:18">
      <c r="A373" s="87" t="str">
        <f t="shared" si="15"/>
        <v/>
      </c>
      <c r="B373" s="78"/>
      <c r="C373" s="80"/>
      <c r="D373" s="80"/>
      <c r="E373" s="79"/>
      <c r="F373" s="87" t="str">
        <f>IF($E373="","",IFERROR(INDEX(基础资料!$O$4:$O$34,MATCH($E373,基础资料!$N$4:$N$34,0))&amp;"",""))</f>
        <v/>
      </c>
      <c r="G373" s="87" t="str">
        <f>IF($E373="","",IFERROR(INDEX(基础资料!$P$4:$P$34,MATCH($E373,基础资料!$N$4:$N$34,0))&amp;"",""))</f>
        <v/>
      </c>
      <c r="H373" s="79"/>
      <c r="I373" s="88"/>
      <c r="J373" s="92"/>
      <c r="K373" s="93"/>
      <c r="L373" s="25" t="str">
        <f t="shared" si="16"/>
        <v/>
      </c>
      <c r="M373" s="94"/>
      <c r="N373" s="26" t="str">
        <f t="shared" si="17"/>
        <v/>
      </c>
      <c r="O373" s="80"/>
      <c r="P373" s="80"/>
      <c r="Q373" s="80"/>
      <c r="R373" s="80"/>
    </row>
    <row r="374" ht="18" customHeight="1" spans="1:18">
      <c r="A374" s="87" t="str">
        <f t="shared" si="15"/>
        <v/>
      </c>
      <c r="B374" s="78"/>
      <c r="C374" s="80"/>
      <c r="D374" s="80"/>
      <c r="E374" s="79"/>
      <c r="F374" s="87" t="str">
        <f>IF($E374="","",IFERROR(INDEX(基础资料!$O$4:$O$34,MATCH($E374,基础资料!$N$4:$N$34,0))&amp;"",""))</f>
        <v/>
      </c>
      <c r="G374" s="87" t="str">
        <f>IF($E374="","",IFERROR(INDEX(基础资料!$P$4:$P$34,MATCH($E374,基础资料!$N$4:$N$34,0))&amp;"",""))</f>
        <v/>
      </c>
      <c r="H374" s="79"/>
      <c r="I374" s="88"/>
      <c r="J374" s="92"/>
      <c r="K374" s="93"/>
      <c r="L374" s="25" t="str">
        <f t="shared" si="16"/>
        <v/>
      </c>
      <c r="M374" s="94"/>
      <c r="N374" s="26" t="str">
        <f t="shared" si="17"/>
        <v/>
      </c>
      <c r="O374" s="80"/>
      <c r="P374" s="80"/>
      <c r="Q374" s="80"/>
      <c r="R374" s="80"/>
    </row>
    <row r="375" ht="18" customHeight="1" spans="1:18">
      <c r="A375" s="87" t="str">
        <f t="shared" si="15"/>
        <v/>
      </c>
      <c r="B375" s="78"/>
      <c r="C375" s="80"/>
      <c r="D375" s="80"/>
      <c r="E375" s="79"/>
      <c r="F375" s="87" t="str">
        <f>IF($E375="","",IFERROR(INDEX(基础资料!$O$4:$O$34,MATCH($E375,基础资料!$N$4:$N$34,0))&amp;"",""))</f>
        <v/>
      </c>
      <c r="G375" s="87" t="str">
        <f>IF($E375="","",IFERROR(INDEX(基础资料!$P$4:$P$34,MATCH($E375,基础资料!$N$4:$N$34,0))&amp;"",""))</f>
        <v/>
      </c>
      <c r="H375" s="79"/>
      <c r="I375" s="88"/>
      <c r="J375" s="92"/>
      <c r="K375" s="93"/>
      <c r="L375" s="25" t="str">
        <f t="shared" si="16"/>
        <v/>
      </c>
      <c r="M375" s="94"/>
      <c r="N375" s="26" t="str">
        <f t="shared" si="17"/>
        <v/>
      </c>
      <c r="O375" s="80"/>
      <c r="P375" s="80"/>
      <c r="Q375" s="80"/>
      <c r="R375" s="80"/>
    </row>
    <row r="376" ht="18" customHeight="1" spans="1:18">
      <c r="A376" s="87" t="str">
        <f t="shared" si="15"/>
        <v/>
      </c>
      <c r="B376" s="78"/>
      <c r="C376" s="80"/>
      <c r="D376" s="80"/>
      <c r="E376" s="79"/>
      <c r="F376" s="87" t="str">
        <f>IF($E376="","",IFERROR(INDEX(基础资料!$O$4:$O$34,MATCH($E376,基础资料!$N$4:$N$34,0))&amp;"",""))</f>
        <v/>
      </c>
      <c r="G376" s="87" t="str">
        <f>IF($E376="","",IFERROR(INDEX(基础资料!$P$4:$P$34,MATCH($E376,基础资料!$N$4:$N$34,0))&amp;"",""))</f>
        <v/>
      </c>
      <c r="H376" s="79"/>
      <c r="I376" s="88"/>
      <c r="J376" s="92"/>
      <c r="K376" s="93"/>
      <c r="L376" s="25" t="str">
        <f t="shared" si="16"/>
        <v/>
      </c>
      <c r="M376" s="94"/>
      <c r="N376" s="26" t="str">
        <f t="shared" si="17"/>
        <v/>
      </c>
      <c r="O376" s="80"/>
      <c r="P376" s="80"/>
      <c r="Q376" s="80"/>
      <c r="R376" s="80"/>
    </row>
    <row r="377" ht="18" customHeight="1" spans="1:18">
      <c r="A377" s="87" t="str">
        <f t="shared" si="15"/>
        <v/>
      </c>
      <c r="B377" s="78"/>
      <c r="C377" s="80"/>
      <c r="D377" s="80"/>
      <c r="E377" s="79"/>
      <c r="F377" s="87" t="str">
        <f>IF($E377="","",IFERROR(INDEX(基础资料!$O$4:$O$34,MATCH($E377,基础资料!$N$4:$N$34,0))&amp;"",""))</f>
        <v/>
      </c>
      <c r="G377" s="87" t="str">
        <f>IF($E377="","",IFERROR(INDEX(基础资料!$P$4:$P$34,MATCH($E377,基础资料!$N$4:$N$34,0))&amp;"",""))</f>
        <v/>
      </c>
      <c r="H377" s="79"/>
      <c r="I377" s="88"/>
      <c r="J377" s="92"/>
      <c r="K377" s="93"/>
      <c r="L377" s="25" t="str">
        <f t="shared" si="16"/>
        <v/>
      </c>
      <c r="M377" s="94"/>
      <c r="N377" s="26" t="str">
        <f t="shared" si="17"/>
        <v/>
      </c>
      <c r="O377" s="80"/>
      <c r="P377" s="80"/>
      <c r="Q377" s="80"/>
      <c r="R377" s="80"/>
    </row>
    <row r="378" ht="18" customHeight="1" spans="1:18">
      <c r="A378" s="87" t="str">
        <f t="shared" si="15"/>
        <v/>
      </c>
      <c r="B378" s="78"/>
      <c r="C378" s="80"/>
      <c r="D378" s="80"/>
      <c r="E378" s="79"/>
      <c r="F378" s="87" t="str">
        <f>IF($E378="","",IFERROR(INDEX(基础资料!$O$4:$O$34,MATCH($E378,基础资料!$N$4:$N$34,0))&amp;"",""))</f>
        <v/>
      </c>
      <c r="G378" s="87" t="str">
        <f>IF($E378="","",IFERROR(INDEX(基础资料!$P$4:$P$34,MATCH($E378,基础资料!$N$4:$N$34,0))&amp;"",""))</f>
        <v/>
      </c>
      <c r="H378" s="79"/>
      <c r="I378" s="88"/>
      <c r="J378" s="92"/>
      <c r="K378" s="93"/>
      <c r="L378" s="25" t="str">
        <f t="shared" si="16"/>
        <v/>
      </c>
      <c r="M378" s="94"/>
      <c r="N378" s="26" t="str">
        <f t="shared" si="17"/>
        <v/>
      </c>
      <c r="O378" s="80"/>
      <c r="P378" s="80"/>
      <c r="Q378" s="80"/>
      <c r="R378" s="80"/>
    </row>
    <row r="379" ht="18" customHeight="1" spans="1:18">
      <c r="A379" s="87" t="str">
        <f t="shared" si="15"/>
        <v/>
      </c>
      <c r="B379" s="78"/>
      <c r="C379" s="80"/>
      <c r="D379" s="80"/>
      <c r="E379" s="79"/>
      <c r="F379" s="87" t="str">
        <f>IF($E379="","",IFERROR(INDEX(基础资料!$O$4:$O$34,MATCH($E379,基础资料!$N$4:$N$34,0))&amp;"",""))</f>
        <v/>
      </c>
      <c r="G379" s="87" t="str">
        <f>IF($E379="","",IFERROR(INDEX(基础资料!$P$4:$P$34,MATCH($E379,基础资料!$N$4:$N$34,0))&amp;"",""))</f>
        <v/>
      </c>
      <c r="H379" s="79"/>
      <c r="I379" s="88"/>
      <c r="J379" s="92"/>
      <c r="K379" s="93"/>
      <c r="L379" s="25" t="str">
        <f t="shared" si="16"/>
        <v/>
      </c>
      <c r="M379" s="94"/>
      <c r="N379" s="26" t="str">
        <f t="shared" si="17"/>
        <v/>
      </c>
      <c r="O379" s="80"/>
      <c r="P379" s="80"/>
      <c r="Q379" s="80"/>
      <c r="R379" s="80"/>
    </row>
    <row r="380" ht="18" customHeight="1" spans="1:18">
      <c r="A380" s="87" t="str">
        <f t="shared" si="15"/>
        <v/>
      </c>
      <c r="B380" s="78"/>
      <c r="C380" s="80"/>
      <c r="D380" s="80"/>
      <c r="E380" s="79"/>
      <c r="F380" s="87" t="str">
        <f>IF($E380="","",IFERROR(INDEX(基础资料!$O$4:$O$34,MATCH($E380,基础资料!$N$4:$N$34,0))&amp;"",""))</f>
        <v/>
      </c>
      <c r="G380" s="87" t="str">
        <f>IF($E380="","",IFERROR(INDEX(基础资料!$P$4:$P$34,MATCH($E380,基础资料!$N$4:$N$34,0))&amp;"",""))</f>
        <v/>
      </c>
      <c r="H380" s="79"/>
      <c r="I380" s="88"/>
      <c r="J380" s="92"/>
      <c r="K380" s="93"/>
      <c r="L380" s="25" t="str">
        <f t="shared" si="16"/>
        <v/>
      </c>
      <c r="M380" s="94"/>
      <c r="N380" s="26" t="str">
        <f t="shared" si="17"/>
        <v/>
      </c>
      <c r="O380" s="80"/>
      <c r="P380" s="80"/>
      <c r="Q380" s="80"/>
      <c r="R380" s="80"/>
    </row>
    <row r="381" ht="18" customHeight="1" spans="1:18">
      <c r="A381" s="87" t="str">
        <f t="shared" si="15"/>
        <v/>
      </c>
      <c r="B381" s="78"/>
      <c r="C381" s="80"/>
      <c r="D381" s="80"/>
      <c r="E381" s="79"/>
      <c r="F381" s="87" t="str">
        <f>IF($E381="","",IFERROR(INDEX(基础资料!$O$4:$O$34,MATCH($E381,基础资料!$N$4:$N$34,0))&amp;"",""))</f>
        <v/>
      </c>
      <c r="G381" s="87" t="str">
        <f>IF($E381="","",IFERROR(INDEX(基础资料!$P$4:$P$34,MATCH($E381,基础资料!$N$4:$N$34,0))&amp;"",""))</f>
        <v/>
      </c>
      <c r="H381" s="79"/>
      <c r="I381" s="88"/>
      <c r="J381" s="92"/>
      <c r="K381" s="93"/>
      <c r="L381" s="25" t="str">
        <f t="shared" si="16"/>
        <v/>
      </c>
      <c r="M381" s="94"/>
      <c r="N381" s="26" t="str">
        <f t="shared" si="17"/>
        <v/>
      </c>
      <c r="O381" s="80"/>
      <c r="P381" s="80"/>
      <c r="Q381" s="80"/>
      <c r="R381" s="80"/>
    </row>
    <row r="382" ht="18" customHeight="1" spans="1:18">
      <c r="A382" s="87" t="str">
        <f t="shared" si="15"/>
        <v/>
      </c>
      <c r="B382" s="78"/>
      <c r="C382" s="80"/>
      <c r="D382" s="80"/>
      <c r="E382" s="79"/>
      <c r="F382" s="87" t="str">
        <f>IF($E382="","",IFERROR(INDEX(基础资料!$O$4:$O$34,MATCH($E382,基础资料!$N$4:$N$34,0))&amp;"",""))</f>
        <v/>
      </c>
      <c r="G382" s="87" t="str">
        <f>IF($E382="","",IFERROR(INDEX(基础资料!$P$4:$P$34,MATCH($E382,基础资料!$N$4:$N$34,0))&amp;"",""))</f>
        <v/>
      </c>
      <c r="H382" s="79"/>
      <c r="I382" s="88"/>
      <c r="J382" s="92"/>
      <c r="K382" s="93"/>
      <c r="L382" s="25" t="str">
        <f t="shared" si="16"/>
        <v/>
      </c>
      <c r="M382" s="94"/>
      <c r="N382" s="26" t="str">
        <f t="shared" si="17"/>
        <v/>
      </c>
      <c r="O382" s="80"/>
      <c r="P382" s="80"/>
      <c r="Q382" s="80"/>
      <c r="R382" s="80"/>
    </row>
    <row r="383" ht="18" customHeight="1" spans="1:18">
      <c r="A383" s="87" t="str">
        <f t="shared" si="15"/>
        <v/>
      </c>
      <c r="B383" s="78"/>
      <c r="C383" s="80"/>
      <c r="D383" s="80"/>
      <c r="E383" s="79"/>
      <c r="F383" s="87" t="str">
        <f>IF($E383="","",IFERROR(INDEX(基础资料!$O$4:$O$34,MATCH($E383,基础资料!$N$4:$N$34,0))&amp;"",""))</f>
        <v/>
      </c>
      <c r="G383" s="87" t="str">
        <f>IF($E383="","",IFERROR(INDEX(基础资料!$P$4:$P$34,MATCH($E383,基础资料!$N$4:$N$34,0))&amp;"",""))</f>
        <v/>
      </c>
      <c r="H383" s="79"/>
      <c r="I383" s="88"/>
      <c r="J383" s="92"/>
      <c r="K383" s="93"/>
      <c r="L383" s="25" t="str">
        <f t="shared" si="16"/>
        <v/>
      </c>
      <c r="M383" s="94"/>
      <c r="N383" s="26" t="str">
        <f t="shared" si="17"/>
        <v/>
      </c>
      <c r="O383" s="80"/>
      <c r="P383" s="80"/>
      <c r="Q383" s="80"/>
      <c r="R383" s="80"/>
    </row>
    <row r="384" ht="18" customHeight="1" spans="1:18">
      <c r="A384" s="87" t="str">
        <f t="shared" si="15"/>
        <v/>
      </c>
      <c r="B384" s="78"/>
      <c r="C384" s="80"/>
      <c r="D384" s="80"/>
      <c r="E384" s="79"/>
      <c r="F384" s="87" t="str">
        <f>IF($E384="","",IFERROR(INDEX(基础资料!$O$4:$O$34,MATCH($E384,基础资料!$N$4:$N$34,0))&amp;"",""))</f>
        <v/>
      </c>
      <c r="G384" s="87" t="str">
        <f>IF($E384="","",IFERROR(INDEX(基础资料!$P$4:$P$34,MATCH($E384,基础资料!$N$4:$N$34,0))&amp;"",""))</f>
        <v/>
      </c>
      <c r="H384" s="79"/>
      <c r="I384" s="88"/>
      <c r="J384" s="92"/>
      <c r="K384" s="93"/>
      <c r="L384" s="25" t="str">
        <f t="shared" si="16"/>
        <v/>
      </c>
      <c r="M384" s="94"/>
      <c r="N384" s="26" t="str">
        <f t="shared" si="17"/>
        <v/>
      </c>
      <c r="O384" s="80"/>
      <c r="P384" s="80"/>
      <c r="Q384" s="80"/>
      <c r="R384" s="80"/>
    </row>
    <row r="385" ht="18" customHeight="1" spans="1:18">
      <c r="A385" s="87" t="str">
        <f t="shared" si="15"/>
        <v/>
      </c>
      <c r="B385" s="78"/>
      <c r="C385" s="80"/>
      <c r="D385" s="80"/>
      <c r="E385" s="79"/>
      <c r="F385" s="87" t="str">
        <f>IF($E385="","",IFERROR(INDEX(基础资料!$O$4:$O$34,MATCH($E385,基础资料!$N$4:$N$34,0))&amp;"",""))</f>
        <v/>
      </c>
      <c r="G385" s="87" t="str">
        <f>IF($E385="","",IFERROR(INDEX(基础资料!$P$4:$P$34,MATCH($E385,基础资料!$N$4:$N$34,0))&amp;"",""))</f>
        <v/>
      </c>
      <c r="H385" s="79"/>
      <c r="I385" s="88"/>
      <c r="J385" s="92"/>
      <c r="K385" s="93"/>
      <c r="L385" s="25" t="str">
        <f t="shared" si="16"/>
        <v/>
      </c>
      <c r="M385" s="94"/>
      <c r="N385" s="26" t="str">
        <f t="shared" si="17"/>
        <v/>
      </c>
      <c r="O385" s="80"/>
      <c r="P385" s="80"/>
      <c r="Q385" s="80"/>
      <c r="R385" s="80"/>
    </row>
    <row r="386" ht="18" customHeight="1" spans="1:18">
      <c r="A386" s="87" t="str">
        <f t="shared" si="15"/>
        <v/>
      </c>
      <c r="B386" s="78"/>
      <c r="C386" s="80"/>
      <c r="D386" s="80"/>
      <c r="E386" s="79"/>
      <c r="F386" s="87" t="str">
        <f>IF($E386="","",IFERROR(INDEX(基础资料!$O$4:$O$34,MATCH($E386,基础资料!$N$4:$N$34,0))&amp;"",""))</f>
        <v/>
      </c>
      <c r="G386" s="87" t="str">
        <f>IF($E386="","",IFERROR(INDEX(基础资料!$P$4:$P$34,MATCH($E386,基础资料!$N$4:$N$34,0))&amp;"",""))</f>
        <v/>
      </c>
      <c r="H386" s="79"/>
      <c r="I386" s="88"/>
      <c r="J386" s="92"/>
      <c r="K386" s="93"/>
      <c r="L386" s="25" t="str">
        <f t="shared" si="16"/>
        <v/>
      </c>
      <c r="M386" s="94"/>
      <c r="N386" s="26" t="str">
        <f t="shared" si="17"/>
        <v/>
      </c>
      <c r="O386" s="80"/>
      <c r="P386" s="80"/>
      <c r="Q386" s="80"/>
      <c r="R386" s="80"/>
    </row>
    <row r="387" ht="18" customHeight="1" spans="1:18">
      <c r="A387" s="87" t="str">
        <f t="shared" si="15"/>
        <v/>
      </c>
      <c r="B387" s="78"/>
      <c r="C387" s="80"/>
      <c r="D387" s="80"/>
      <c r="E387" s="79"/>
      <c r="F387" s="87" t="str">
        <f>IF($E387="","",IFERROR(INDEX(基础资料!$O$4:$O$34,MATCH($E387,基础资料!$N$4:$N$34,0))&amp;"",""))</f>
        <v/>
      </c>
      <c r="G387" s="87" t="str">
        <f>IF($E387="","",IFERROR(INDEX(基础资料!$P$4:$P$34,MATCH($E387,基础资料!$N$4:$N$34,0))&amp;"",""))</f>
        <v/>
      </c>
      <c r="H387" s="79"/>
      <c r="I387" s="88"/>
      <c r="J387" s="92"/>
      <c r="K387" s="93"/>
      <c r="L387" s="25" t="str">
        <f t="shared" si="16"/>
        <v/>
      </c>
      <c r="M387" s="94"/>
      <c r="N387" s="26" t="str">
        <f t="shared" si="17"/>
        <v/>
      </c>
      <c r="O387" s="80"/>
      <c r="P387" s="80"/>
      <c r="Q387" s="80"/>
      <c r="R387" s="80"/>
    </row>
    <row r="388" ht="18" customHeight="1" spans="1:18">
      <c r="A388" s="87" t="str">
        <f t="shared" ref="A388:A451" si="18">IF($E388="","",ROW()-3)</f>
        <v/>
      </c>
      <c r="B388" s="78"/>
      <c r="C388" s="80"/>
      <c r="D388" s="80"/>
      <c r="E388" s="79"/>
      <c r="F388" s="87" t="str">
        <f>IF($E388="","",IFERROR(INDEX(基础资料!$O$4:$O$34,MATCH($E388,基础资料!$N$4:$N$34,0))&amp;"",""))</f>
        <v/>
      </c>
      <c r="G388" s="87" t="str">
        <f>IF($E388="","",IFERROR(INDEX(基础资料!$P$4:$P$34,MATCH($E388,基础资料!$N$4:$N$34,0))&amp;"",""))</f>
        <v/>
      </c>
      <c r="H388" s="79"/>
      <c r="I388" s="88"/>
      <c r="J388" s="92"/>
      <c r="K388" s="93"/>
      <c r="L388" s="25" t="str">
        <f t="shared" ref="L388:L451" si="19">IF($E388="","",N($I388)+N($J388)-N($K388))</f>
        <v/>
      </c>
      <c r="M388" s="94"/>
      <c r="N388" s="26" t="str">
        <f t="shared" ref="N388:N451" si="20">IF($E388="","",ROUND(N($L388)*N($M388),2))</f>
        <v/>
      </c>
      <c r="O388" s="80"/>
      <c r="P388" s="80"/>
      <c r="Q388" s="80"/>
      <c r="R388" s="80"/>
    </row>
    <row r="389" ht="18" customHeight="1" spans="1:18">
      <c r="A389" s="87" t="str">
        <f t="shared" si="18"/>
        <v/>
      </c>
      <c r="B389" s="78"/>
      <c r="C389" s="80"/>
      <c r="D389" s="80"/>
      <c r="E389" s="79"/>
      <c r="F389" s="87" t="str">
        <f>IF($E389="","",IFERROR(INDEX(基础资料!$O$4:$O$34,MATCH($E389,基础资料!$N$4:$N$34,0))&amp;"",""))</f>
        <v/>
      </c>
      <c r="G389" s="87" t="str">
        <f>IF($E389="","",IFERROR(INDEX(基础资料!$P$4:$P$34,MATCH($E389,基础资料!$N$4:$N$34,0))&amp;"",""))</f>
        <v/>
      </c>
      <c r="H389" s="79"/>
      <c r="I389" s="88"/>
      <c r="J389" s="92"/>
      <c r="K389" s="93"/>
      <c r="L389" s="25" t="str">
        <f t="shared" si="19"/>
        <v/>
      </c>
      <c r="M389" s="94"/>
      <c r="N389" s="26" t="str">
        <f t="shared" si="20"/>
        <v/>
      </c>
      <c r="O389" s="80"/>
      <c r="P389" s="80"/>
      <c r="Q389" s="80"/>
      <c r="R389" s="80"/>
    </row>
    <row r="390" ht="18" customHeight="1" spans="1:18">
      <c r="A390" s="87" t="str">
        <f t="shared" si="18"/>
        <v/>
      </c>
      <c r="B390" s="78"/>
      <c r="C390" s="80"/>
      <c r="D390" s="80"/>
      <c r="E390" s="79"/>
      <c r="F390" s="87" t="str">
        <f>IF($E390="","",IFERROR(INDEX(基础资料!$O$4:$O$34,MATCH($E390,基础资料!$N$4:$N$34,0))&amp;"",""))</f>
        <v/>
      </c>
      <c r="G390" s="87" t="str">
        <f>IF($E390="","",IFERROR(INDEX(基础资料!$P$4:$P$34,MATCH($E390,基础资料!$N$4:$N$34,0))&amp;"",""))</f>
        <v/>
      </c>
      <c r="H390" s="79"/>
      <c r="I390" s="88"/>
      <c r="J390" s="92"/>
      <c r="K390" s="93"/>
      <c r="L390" s="25" t="str">
        <f t="shared" si="19"/>
        <v/>
      </c>
      <c r="M390" s="94"/>
      <c r="N390" s="26" t="str">
        <f t="shared" si="20"/>
        <v/>
      </c>
      <c r="O390" s="80"/>
      <c r="P390" s="80"/>
      <c r="Q390" s="80"/>
      <c r="R390" s="80"/>
    </row>
    <row r="391" ht="18" customHeight="1" spans="1:18">
      <c r="A391" s="87" t="str">
        <f t="shared" si="18"/>
        <v/>
      </c>
      <c r="B391" s="78"/>
      <c r="C391" s="80"/>
      <c r="D391" s="80"/>
      <c r="E391" s="79"/>
      <c r="F391" s="87" t="str">
        <f>IF($E391="","",IFERROR(INDEX(基础资料!$O$4:$O$34,MATCH($E391,基础资料!$N$4:$N$34,0))&amp;"",""))</f>
        <v/>
      </c>
      <c r="G391" s="87" t="str">
        <f>IF($E391="","",IFERROR(INDEX(基础资料!$P$4:$P$34,MATCH($E391,基础资料!$N$4:$N$34,0))&amp;"",""))</f>
        <v/>
      </c>
      <c r="H391" s="79"/>
      <c r="I391" s="88"/>
      <c r="J391" s="92"/>
      <c r="K391" s="93"/>
      <c r="L391" s="25" t="str">
        <f t="shared" si="19"/>
        <v/>
      </c>
      <c r="M391" s="94"/>
      <c r="N391" s="26" t="str">
        <f t="shared" si="20"/>
        <v/>
      </c>
      <c r="O391" s="80"/>
      <c r="P391" s="80"/>
      <c r="Q391" s="80"/>
      <c r="R391" s="80"/>
    </row>
    <row r="392" ht="18" customHeight="1" spans="1:18">
      <c r="A392" s="87" t="str">
        <f t="shared" si="18"/>
        <v/>
      </c>
      <c r="B392" s="78"/>
      <c r="C392" s="80"/>
      <c r="D392" s="80"/>
      <c r="E392" s="79"/>
      <c r="F392" s="87" t="str">
        <f>IF($E392="","",IFERROR(INDEX(基础资料!$O$4:$O$34,MATCH($E392,基础资料!$N$4:$N$34,0))&amp;"",""))</f>
        <v/>
      </c>
      <c r="G392" s="87" t="str">
        <f>IF($E392="","",IFERROR(INDEX(基础资料!$P$4:$P$34,MATCH($E392,基础资料!$N$4:$N$34,0))&amp;"",""))</f>
        <v/>
      </c>
      <c r="H392" s="79"/>
      <c r="I392" s="88"/>
      <c r="J392" s="92"/>
      <c r="K392" s="93"/>
      <c r="L392" s="25" t="str">
        <f t="shared" si="19"/>
        <v/>
      </c>
      <c r="M392" s="94"/>
      <c r="N392" s="26" t="str">
        <f t="shared" si="20"/>
        <v/>
      </c>
      <c r="O392" s="80"/>
      <c r="P392" s="80"/>
      <c r="Q392" s="80"/>
      <c r="R392" s="80"/>
    </row>
    <row r="393" ht="18" customHeight="1" spans="1:18">
      <c r="A393" s="87" t="str">
        <f t="shared" si="18"/>
        <v/>
      </c>
      <c r="B393" s="78"/>
      <c r="C393" s="80"/>
      <c r="D393" s="80"/>
      <c r="E393" s="79"/>
      <c r="F393" s="87" t="str">
        <f>IF($E393="","",IFERROR(INDEX(基础资料!$O$4:$O$34,MATCH($E393,基础资料!$N$4:$N$34,0))&amp;"",""))</f>
        <v/>
      </c>
      <c r="G393" s="87" t="str">
        <f>IF($E393="","",IFERROR(INDEX(基础资料!$P$4:$P$34,MATCH($E393,基础资料!$N$4:$N$34,0))&amp;"",""))</f>
        <v/>
      </c>
      <c r="H393" s="79"/>
      <c r="I393" s="88"/>
      <c r="J393" s="92"/>
      <c r="K393" s="93"/>
      <c r="L393" s="25" t="str">
        <f t="shared" si="19"/>
        <v/>
      </c>
      <c r="M393" s="94"/>
      <c r="N393" s="26" t="str">
        <f t="shared" si="20"/>
        <v/>
      </c>
      <c r="O393" s="80"/>
      <c r="P393" s="80"/>
      <c r="Q393" s="80"/>
      <c r="R393" s="80"/>
    </row>
    <row r="394" ht="18" customHeight="1" spans="1:18">
      <c r="A394" s="87" t="str">
        <f t="shared" si="18"/>
        <v/>
      </c>
      <c r="B394" s="78"/>
      <c r="C394" s="80"/>
      <c r="D394" s="80"/>
      <c r="E394" s="79"/>
      <c r="F394" s="87" t="str">
        <f>IF($E394="","",IFERROR(INDEX(基础资料!$O$4:$O$34,MATCH($E394,基础资料!$N$4:$N$34,0))&amp;"",""))</f>
        <v/>
      </c>
      <c r="G394" s="87" t="str">
        <f>IF($E394="","",IFERROR(INDEX(基础资料!$P$4:$P$34,MATCH($E394,基础资料!$N$4:$N$34,0))&amp;"",""))</f>
        <v/>
      </c>
      <c r="H394" s="79"/>
      <c r="I394" s="88"/>
      <c r="J394" s="92"/>
      <c r="K394" s="93"/>
      <c r="L394" s="25" t="str">
        <f t="shared" si="19"/>
        <v/>
      </c>
      <c r="M394" s="94"/>
      <c r="N394" s="26" t="str">
        <f t="shared" si="20"/>
        <v/>
      </c>
      <c r="O394" s="80"/>
      <c r="P394" s="80"/>
      <c r="Q394" s="80"/>
      <c r="R394" s="80"/>
    </row>
    <row r="395" ht="18" customHeight="1" spans="1:18">
      <c r="A395" s="87" t="str">
        <f t="shared" si="18"/>
        <v/>
      </c>
      <c r="B395" s="78"/>
      <c r="C395" s="80"/>
      <c r="D395" s="80"/>
      <c r="E395" s="79"/>
      <c r="F395" s="87" t="str">
        <f>IF($E395="","",IFERROR(INDEX(基础资料!$O$4:$O$34,MATCH($E395,基础资料!$N$4:$N$34,0))&amp;"",""))</f>
        <v/>
      </c>
      <c r="G395" s="87" t="str">
        <f>IF($E395="","",IFERROR(INDEX(基础资料!$P$4:$P$34,MATCH($E395,基础资料!$N$4:$N$34,0))&amp;"",""))</f>
        <v/>
      </c>
      <c r="H395" s="79"/>
      <c r="I395" s="88"/>
      <c r="J395" s="92"/>
      <c r="K395" s="93"/>
      <c r="L395" s="25" t="str">
        <f t="shared" si="19"/>
        <v/>
      </c>
      <c r="M395" s="94"/>
      <c r="N395" s="26" t="str">
        <f t="shared" si="20"/>
        <v/>
      </c>
      <c r="O395" s="80"/>
      <c r="P395" s="80"/>
      <c r="Q395" s="80"/>
      <c r="R395" s="80"/>
    </row>
    <row r="396" ht="18" customHeight="1" spans="1:18">
      <c r="A396" s="87" t="str">
        <f t="shared" si="18"/>
        <v/>
      </c>
      <c r="B396" s="78"/>
      <c r="C396" s="80"/>
      <c r="D396" s="80"/>
      <c r="E396" s="79"/>
      <c r="F396" s="87" t="str">
        <f>IF($E396="","",IFERROR(INDEX(基础资料!$O$4:$O$34,MATCH($E396,基础资料!$N$4:$N$34,0))&amp;"",""))</f>
        <v/>
      </c>
      <c r="G396" s="87" t="str">
        <f>IF($E396="","",IFERROR(INDEX(基础资料!$P$4:$P$34,MATCH($E396,基础资料!$N$4:$N$34,0))&amp;"",""))</f>
        <v/>
      </c>
      <c r="H396" s="79"/>
      <c r="I396" s="88"/>
      <c r="J396" s="92"/>
      <c r="K396" s="93"/>
      <c r="L396" s="25" t="str">
        <f t="shared" si="19"/>
        <v/>
      </c>
      <c r="M396" s="94"/>
      <c r="N396" s="26" t="str">
        <f t="shared" si="20"/>
        <v/>
      </c>
      <c r="O396" s="80"/>
      <c r="P396" s="80"/>
      <c r="Q396" s="80"/>
      <c r="R396" s="80"/>
    </row>
    <row r="397" ht="18" customHeight="1" spans="1:18">
      <c r="A397" s="87" t="str">
        <f t="shared" si="18"/>
        <v/>
      </c>
      <c r="B397" s="78"/>
      <c r="C397" s="80"/>
      <c r="D397" s="80"/>
      <c r="E397" s="79"/>
      <c r="F397" s="87" t="str">
        <f>IF($E397="","",IFERROR(INDEX(基础资料!$O$4:$O$34,MATCH($E397,基础资料!$N$4:$N$34,0))&amp;"",""))</f>
        <v/>
      </c>
      <c r="G397" s="87" t="str">
        <f>IF($E397="","",IFERROR(INDEX(基础资料!$P$4:$P$34,MATCH($E397,基础资料!$N$4:$N$34,0))&amp;"",""))</f>
        <v/>
      </c>
      <c r="H397" s="79"/>
      <c r="I397" s="88"/>
      <c r="J397" s="92"/>
      <c r="K397" s="93"/>
      <c r="L397" s="25" t="str">
        <f t="shared" si="19"/>
        <v/>
      </c>
      <c r="M397" s="94"/>
      <c r="N397" s="26" t="str">
        <f t="shared" si="20"/>
        <v/>
      </c>
      <c r="O397" s="80"/>
      <c r="P397" s="80"/>
      <c r="Q397" s="80"/>
      <c r="R397" s="80"/>
    </row>
    <row r="398" ht="18" customHeight="1" spans="1:18">
      <c r="A398" s="87" t="str">
        <f t="shared" si="18"/>
        <v/>
      </c>
      <c r="B398" s="78"/>
      <c r="C398" s="80"/>
      <c r="D398" s="80"/>
      <c r="E398" s="79"/>
      <c r="F398" s="87" t="str">
        <f>IF($E398="","",IFERROR(INDEX(基础资料!$O$4:$O$34,MATCH($E398,基础资料!$N$4:$N$34,0))&amp;"",""))</f>
        <v/>
      </c>
      <c r="G398" s="87" t="str">
        <f>IF($E398="","",IFERROR(INDEX(基础资料!$P$4:$P$34,MATCH($E398,基础资料!$N$4:$N$34,0))&amp;"",""))</f>
        <v/>
      </c>
      <c r="H398" s="79"/>
      <c r="I398" s="88"/>
      <c r="J398" s="92"/>
      <c r="K398" s="93"/>
      <c r="L398" s="25" t="str">
        <f t="shared" si="19"/>
        <v/>
      </c>
      <c r="M398" s="94"/>
      <c r="N398" s="26" t="str">
        <f t="shared" si="20"/>
        <v/>
      </c>
      <c r="O398" s="80"/>
      <c r="P398" s="80"/>
      <c r="Q398" s="80"/>
      <c r="R398" s="80"/>
    </row>
    <row r="399" ht="18" customHeight="1" spans="1:18">
      <c r="A399" s="87" t="str">
        <f t="shared" si="18"/>
        <v/>
      </c>
      <c r="B399" s="78"/>
      <c r="C399" s="80"/>
      <c r="D399" s="80"/>
      <c r="E399" s="79"/>
      <c r="F399" s="87" t="str">
        <f>IF($E399="","",IFERROR(INDEX(基础资料!$O$4:$O$34,MATCH($E399,基础资料!$N$4:$N$34,0))&amp;"",""))</f>
        <v/>
      </c>
      <c r="G399" s="87" t="str">
        <f>IF($E399="","",IFERROR(INDEX(基础资料!$P$4:$P$34,MATCH($E399,基础资料!$N$4:$N$34,0))&amp;"",""))</f>
        <v/>
      </c>
      <c r="H399" s="79"/>
      <c r="I399" s="88"/>
      <c r="J399" s="92"/>
      <c r="K399" s="93"/>
      <c r="L399" s="25" t="str">
        <f t="shared" si="19"/>
        <v/>
      </c>
      <c r="M399" s="94"/>
      <c r="N399" s="26" t="str">
        <f t="shared" si="20"/>
        <v/>
      </c>
      <c r="O399" s="80"/>
      <c r="P399" s="80"/>
      <c r="Q399" s="80"/>
      <c r="R399" s="80"/>
    </row>
    <row r="400" ht="18" customHeight="1" spans="1:18">
      <c r="A400" s="87" t="str">
        <f t="shared" si="18"/>
        <v/>
      </c>
      <c r="B400" s="78"/>
      <c r="C400" s="80"/>
      <c r="D400" s="80"/>
      <c r="E400" s="79"/>
      <c r="F400" s="87" t="str">
        <f>IF($E400="","",IFERROR(INDEX(基础资料!$O$4:$O$34,MATCH($E400,基础资料!$N$4:$N$34,0))&amp;"",""))</f>
        <v/>
      </c>
      <c r="G400" s="87" t="str">
        <f>IF($E400="","",IFERROR(INDEX(基础资料!$P$4:$P$34,MATCH($E400,基础资料!$N$4:$N$34,0))&amp;"",""))</f>
        <v/>
      </c>
      <c r="H400" s="79"/>
      <c r="I400" s="88"/>
      <c r="J400" s="92"/>
      <c r="K400" s="93"/>
      <c r="L400" s="25" t="str">
        <f t="shared" si="19"/>
        <v/>
      </c>
      <c r="M400" s="94"/>
      <c r="N400" s="26" t="str">
        <f t="shared" si="20"/>
        <v/>
      </c>
      <c r="O400" s="80"/>
      <c r="P400" s="80"/>
      <c r="Q400" s="80"/>
      <c r="R400" s="80"/>
    </row>
    <row r="401" ht="18" customHeight="1" spans="1:18">
      <c r="A401" s="87" t="str">
        <f t="shared" si="18"/>
        <v/>
      </c>
      <c r="B401" s="78"/>
      <c r="C401" s="80"/>
      <c r="D401" s="80"/>
      <c r="E401" s="79"/>
      <c r="F401" s="87" t="str">
        <f>IF($E401="","",IFERROR(INDEX(基础资料!$O$4:$O$34,MATCH($E401,基础资料!$N$4:$N$34,0))&amp;"",""))</f>
        <v/>
      </c>
      <c r="G401" s="87" t="str">
        <f>IF($E401="","",IFERROR(INDEX(基础资料!$P$4:$P$34,MATCH($E401,基础资料!$N$4:$N$34,0))&amp;"",""))</f>
        <v/>
      </c>
      <c r="H401" s="79"/>
      <c r="I401" s="88"/>
      <c r="J401" s="92"/>
      <c r="K401" s="93"/>
      <c r="L401" s="25" t="str">
        <f t="shared" si="19"/>
        <v/>
      </c>
      <c r="M401" s="94"/>
      <c r="N401" s="26" t="str">
        <f t="shared" si="20"/>
        <v/>
      </c>
      <c r="O401" s="80"/>
      <c r="P401" s="80"/>
      <c r="Q401" s="80"/>
      <c r="R401" s="80"/>
    </row>
    <row r="402" ht="18" customHeight="1" spans="1:18">
      <c r="A402" s="87" t="str">
        <f t="shared" si="18"/>
        <v/>
      </c>
      <c r="B402" s="78"/>
      <c r="C402" s="80"/>
      <c r="D402" s="80"/>
      <c r="E402" s="79"/>
      <c r="F402" s="87" t="str">
        <f>IF($E402="","",IFERROR(INDEX(基础资料!$O$4:$O$34,MATCH($E402,基础资料!$N$4:$N$34,0))&amp;"",""))</f>
        <v/>
      </c>
      <c r="G402" s="87" t="str">
        <f>IF($E402="","",IFERROR(INDEX(基础资料!$P$4:$P$34,MATCH($E402,基础资料!$N$4:$N$34,0))&amp;"",""))</f>
        <v/>
      </c>
      <c r="H402" s="79"/>
      <c r="I402" s="88"/>
      <c r="J402" s="92"/>
      <c r="K402" s="93"/>
      <c r="L402" s="25" t="str">
        <f t="shared" si="19"/>
        <v/>
      </c>
      <c r="M402" s="94"/>
      <c r="N402" s="26" t="str">
        <f t="shared" si="20"/>
        <v/>
      </c>
      <c r="O402" s="80"/>
      <c r="P402" s="80"/>
      <c r="Q402" s="80"/>
      <c r="R402" s="80"/>
    </row>
    <row r="403" ht="18" customHeight="1" spans="1:18">
      <c r="A403" s="87" t="str">
        <f t="shared" si="18"/>
        <v/>
      </c>
      <c r="B403" s="78"/>
      <c r="C403" s="80"/>
      <c r="D403" s="80"/>
      <c r="E403" s="79"/>
      <c r="F403" s="87" t="str">
        <f>IF($E403="","",IFERROR(INDEX(基础资料!$O$4:$O$34,MATCH($E403,基础资料!$N$4:$N$34,0))&amp;"",""))</f>
        <v/>
      </c>
      <c r="G403" s="87" t="str">
        <f>IF($E403="","",IFERROR(INDEX(基础资料!$P$4:$P$34,MATCH($E403,基础资料!$N$4:$N$34,0))&amp;"",""))</f>
        <v/>
      </c>
      <c r="H403" s="79"/>
      <c r="I403" s="88"/>
      <c r="J403" s="92"/>
      <c r="K403" s="93"/>
      <c r="L403" s="25" t="str">
        <f t="shared" si="19"/>
        <v/>
      </c>
      <c r="M403" s="94"/>
      <c r="N403" s="26" t="str">
        <f t="shared" si="20"/>
        <v/>
      </c>
      <c r="O403" s="80"/>
      <c r="P403" s="80"/>
      <c r="Q403" s="80"/>
      <c r="R403" s="80"/>
    </row>
    <row r="404" ht="18" customHeight="1" spans="1:18">
      <c r="A404" s="87" t="str">
        <f t="shared" si="18"/>
        <v/>
      </c>
      <c r="B404" s="78"/>
      <c r="C404" s="80"/>
      <c r="D404" s="80"/>
      <c r="E404" s="79"/>
      <c r="F404" s="87" t="str">
        <f>IF($E404="","",IFERROR(INDEX(基础资料!$O$4:$O$34,MATCH($E404,基础资料!$N$4:$N$34,0))&amp;"",""))</f>
        <v/>
      </c>
      <c r="G404" s="87" t="str">
        <f>IF($E404="","",IFERROR(INDEX(基础资料!$P$4:$P$34,MATCH($E404,基础资料!$N$4:$N$34,0))&amp;"",""))</f>
        <v/>
      </c>
      <c r="H404" s="79"/>
      <c r="I404" s="88"/>
      <c r="J404" s="92"/>
      <c r="K404" s="93"/>
      <c r="L404" s="25" t="str">
        <f t="shared" si="19"/>
        <v/>
      </c>
      <c r="M404" s="94"/>
      <c r="N404" s="26" t="str">
        <f t="shared" si="20"/>
        <v/>
      </c>
      <c r="O404" s="80"/>
      <c r="P404" s="80"/>
      <c r="Q404" s="80"/>
      <c r="R404" s="80"/>
    </row>
    <row r="405" ht="18" customHeight="1" spans="1:18">
      <c r="A405" s="87" t="str">
        <f t="shared" si="18"/>
        <v/>
      </c>
      <c r="B405" s="78"/>
      <c r="C405" s="80"/>
      <c r="D405" s="80"/>
      <c r="E405" s="79"/>
      <c r="F405" s="87" t="str">
        <f>IF($E405="","",IFERROR(INDEX(基础资料!$O$4:$O$34,MATCH($E405,基础资料!$N$4:$N$34,0))&amp;"",""))</f>
        <v/>
      </c>
      <c r="G405" s="87" t="str">
        <f>IF($E405="","",IFERROR(INDEX(基础资料!$P$4:$P$34,MATCH($E405,基础资料!$N$4:$N$34,0))&amp;"",""))</f>
        <v/>
      </c>
      <c r="H405" s="79"/>
      <c r="I405" s="88"/>
      <c r="J405" s="92"/>
      <c r="K405" s="93"/>
      <c r="L405" s="25" t="str">
        <f t="shared" si="19"/>
        <v/>
      </c>
      <c r="M405" s="94"/>
      <c r="N405" s="26" t="str">
        <f t="shared" si="20"/>
        <v/>
      </c>
      <c r="O405" s="80"/>
      <c r="P405" s="80"/>
      <c r="Q405" s="80"/>
      <c r="R405" s="80"/>
    </row>
    <row r="406" ht="18" customHeight="1" spans="1:18">
      <c r="A406" s="87" t="str">
        <f t="shared" si="18"/>
        <v/>
      </c>
      <c r="B406" s="78"/>
      <c r="C406" s="80"/>
      <c r="D406" s="80"/>
      <c r="E406" s="79"/>
      <c r="F406" s="87" t="str">
        <f>IF($E406="","",IFERROR(INDEX(基础资料!$O$4:$O$34,MATCH($E406,基础资料!$N$4:$N$34,0))&amp;"",""))</f>
        <v/>
      </c>
      <c r="G406" s="87" t="str">
        <f>IF($E406="","",IFERROR(INDEX(基础资料!$P$4:$P$34,MATCH($E406,基础资料!$N$4:$N$34,0))&amp;"",""))</f>
        <v/>
      </c>
      <c r="H406" s="79"/>
      <c r="I406" s="88"/>
      <c r="J406" s="92"/>
      <c r="K406" s="93"/>
      <c r="L406" s="25" t="str">
        <f t="shared" si="19"/>
        <v/>
      </c>
      <c r="M406" s="94"/>
      <c r="N406" s="26" t="str">
        <f t="shared" si="20"/>
        <v/>
      </c>
      <c r="O406" s="80"/>
      <c r="P406" s="80"/>
      <c r="Q406" s="80"/>
      <c r="R406" s="80"/>
    </row>
    <row r="407" ht="18" customHeight="1" spans="1:18">
      <c r="A407" s="87" t="str">
        <f t="shared" si="18"/>
        <v/>
      </c>
      <c r="B407" s="78"/>
      <c r="C407" s="80"/>
      <c r="D407" s="80"/>
      <c r="E407" s="79"/>
      <c r="F407" s="87" t="str">
        <f>IF($E407="","",IFERROR(INDEX(基础资料!$O$4:$O$34,MATCH($E407,基础资料!$N$4:$N$34,0))&amp;"",""))</f>
        <v/>
      </c>
      <c r="G407" s="87" t="str">
        <f>IF($E407="","",IFERROR(INDEX(基础资料!$P$4:$P$34,MATCH($E407,基础资料!$N$4:$N$34,0))&amp;"",""))</f>
        <v/>
      </c>
      <c r="H407" s="79"/>
      <c r="I407" s="88"/>
      <c r="J407" s="92"/>
      <c r="K407" s="93"/>
      <c r="L407" s="25" t="str">
        <f t="shared" si="19"/>
        <v/>
      </c>
      <c r="M407" s="94"/>
      <c r="N407" s="26" t="str">
        <f t="shared" si="20"/>
        <v/>
      </c>
      <c r="O407" s="80"/>
      <c r="P407" s="80"/>
      <c r="Q407" s="80"/>
      <c r="R407" s="80"/>
    </row>
    <row r="408" ht="18" customHeight="1" spans="1:18">
      <c r="A408" s="87" t="str">
        <f t="shared" si="18"/>
        <v/>
      </c>
      <c r="B408" s="78"/>
      <c r="C408" s="80"/>
      <c r="D408" s="80"/>
      <c r="E408" s="79"/>
      <c r="F408" s="87" t="str">
        <f>IF($E408="","",IFERROR(INDEX(基础资料!$O$4:$O$34,MATCH($E408,基础资料!$N$4:$N$34,0))&amp;"",""))</f>
        <v/>
      </c>
      <c r="G408" s="87" t="str">
        <f>IF($E408="","",IFERROR(INDEX(基础资料!$P$4:$P$34,MATCH($E408,基础资料!$N$4:$N$34,0))&amp;"",""))</f>
        <v/>
      </c>
      <c r="H408" s="79"/>
      <c r="I408" s="88"/>
      <c r="J408" s="92"/>
      <c r="K408" s="93"/>
      <c r="L408" s="25" t="str">
        <f t="shared" si="19"/>
        <v/>
      </c>
      <c r="M408" s="94"/>
      <c r="N408" s="26" t="str">
        <f t="shared" si="20"/>
        <v/>
      </c>
      <c r="O408" s="80"/>
      <c r="P408" s="80"/>
      <c r="Q408" s="80"/>
      <c r="R408" s="80"/>
    </row>
    <row r="409" ht="18" customHeight="1" spans="1:18">
      <c r="A409" s="87" t="str">
        <f t="shared" si="18"/>
        <v/>
      </c>
      <c r="B409" s="78"/>
      <c r="C409" s="80"/>
      <c r="D409" s="80"/>
      <c r="E409" s="79"/>
      <c r="F409" s="87" t="str">
        <f>IF($E409="","",IFERROR(INDEX(基础资料!$O$4:$O$34,MATCH($E409,基础资料!$N$4:$N$34,0))&amp;"",""))</f>
        <v/>
      </c>
      <c r="G409" s="87" t="str">
        <f>IF($E409="","",IFERROR(INDEX(基础资料!$P$4:$P$34,MATCH($E409,基础资料!$N$4:$N$34,0))&amp;"",""))</f>
        <v/>
      </c>
      <c r="H409" s="79"/>
      <c r="I409" s="88"/>
      <c r="J409" s="92"/>
      <c r="K409" s="93"/>
      <c r="L409" s="25" t="str">
        <f t="shared" si="19"/>
        <v/>
      </c>
      <c r="M409" s="94"/>
      <c r="N409" s="26" t="str">
        <f t="shared" si="20"/>
        <v/>
      </c>
      <c r="O409" s="80"/>
      <c r="P409" s="80"/>
      <c r="Q409" s="80"/>
      <c r="R409" s="80"/>
    </row>
    <row r="410" ht="18" customHeight="1" spans="1:18">
      <c r="A410" s="87" t="str">
        <f t="shared" si="18"/>
        <v/>
      </c>
      <c r="B410" s="78"/>
      <c r="C410" s="80"/>
      <c r="D410" s="80"/>
      <c r="E410" s="79"/>
      <c r="F410" s="87" t="str">
        <f>IF($E410="","",IFERROR(INDEX(基础资料!$O$4:$O$34,MATCH($E410,基础资料!$N$4:$N$34,0))&amp;"",""))</f>
        <v/>
      </c>
      <c r="G410" s="87" t="str">
        <f>IF($E410="","",IFERROR(INDEX(基础资料!$P$4:$P$34,MATCH($E410,基础资料!$N$4:$N$34,0))&amp;"",""))</f>
        <v/>
      </c>
      <c r="H410" s="79"/>
      <c r="I410" s="88"/>
      <c r="J410" s="92"/>
      <c r="K410" s="93"/>
      <c r="L410" s="25" t="str">
        <f t="shared" si="19"/>
        <v/>
      </c>
      <c r="M410" s="94"/>
      <c r="N410" s="26" t="str">
        <f t="shared" si="20"/>
        <v/>
      </c>
      <c r="O410" s="80"/>
      <c r="P410" s="80"/>
      <c r="Q410" s="80"/>
      <c r="R410" s="80"/>
    </row>
    <row r="411" ht="18" customHeight="1" spans="1:18">
      <c r="A411" s="87" t="str">
        <f t="shared" si="18"/>
        <v/>
      </c>
      <c r="B411" s="78"/>
      <c r="C411" s="80"/>
      <c r="D411" s="80"/>
      <c r="E411" s="79"/>
      <c r="F411" s="87" t="str">
        <f>IF($E411="","",IFERROR(INDEX(基础资料!$O$4:$O$34,MATCH($E411,基础资料!$N$4:$N$34,0))&amp;"",""))</f>
        <v/>
      </c>
      <c r="G411" s="87" t="str">
        <f>IF($E411="","",IFERROR(INDEX(基础资料!$P$4:$P$34,MATCH($E411,基础资料!$N$4:$N$34,0))&amp;"",""))</f>
        <v/>
      </c>
      <c r="H411" s="79"/>
      <c r="I411" s="88"/>
      <c r="J411" s="92"/>
      <c r="K411" s="93"/>
      <c r="L411" s="25" t="str">
        <f t="shared" si="19"/>
        <v/>
      </c>
      <c r="M411" s="94"/>
      <c r="N411" s="26" t="str">
        <f t="shared" si="20"/>
        <v/>
      </c>
      <c r="O411" s="80"/>
      <c r="P411" s="80"/>
      <c r="Q411" s="80"/>
      <c r="R411" s="80"/>
    </row>
    <row r="412" ht="18" customHeight="1" spans="1:18">
      <c r="A412" s="87" t="str">
        <f t="shared" si="18"/>
        <v/>
      </c>
      <c r="B412" s="78"/>
      <c r="C412" s="80"/>
      <c r="D412" s="80"/>
      <c r="E412" s="79"/>
      <c r="F412" s="87" t="str">
        <f>IF($E412="","",IFERROR(INDEX(基础资料!$O$4:$O$34,MATCH($E412,基础资料!$N$4:$N$34,0))&amp;"",""))</f>
        <v/>
      </c>
      <c r="G412" s="87" t="str">
        <f>IF($E412="","",IFERROR(INDEX(基础资料!$P$4:$P$34,MATCH($E412,基础资料!$N$4:$N$34,0))&amp;"",""))</f>
        <v/>
      </c>
      <c r="H412" s="79"/>
      <c r="I412" s="88"/>
      <c r="J412" s="92"/>
      <c r="K412" s="93"/>
      <c r="L412" s="25" t="str">
        <f t="shared" si="19"/>
        <v/>
      </c>
      <c r="M412" s="94"/>
      <c r="N412" s="26" t="str">
        <f t="shared" si="20"/>
        <v/>
      </c>
      <c r="O412" s="80"/>
      <c r="P412" s="80"/>
      <c r="Q412" s="80"/>
      <c r="R412" s="80"/>
    </row>
    <row r="413" ht="18" customHeight="1" spans="1:18">
      <c r="A413" s="87" t="str">
        <f t="shared" si="18"/>
        <v/>
      </c>
      <c r="B413" s="78"/>
      <c r="C413" s="80"/>
      <c r="D413" s="80"/>
      <c r="E413" s="79"/>
      <c r="F413" s="87" t="str">
        <f>IF($E413="","",IFERROR(INDEX(基础资料!$O$4:$O$34,MATCH($E413,基础资料!$N$4:$N$34,0))&amp;"",""))</f>
        <v/>
      </c>
      <c r="G413" s="87" t="str">
        <f>IF($E413="","",IFERROR(INDEX(基础资料!$P$4:$P$34,MATCH($E413,基础资料!$N$4:$N$34,0))&amp;"",""))</f>
        <v/>
      </c>
      <c r="H413" s="79"/>
      <c r="I413" s="88"/>
      <c r="J413" s="92"/>
      <c r="K413" s="93"/>
      <c r="L413" s="25" t="str">
        <f t="shared" si="19"/>
        <v/>
      </c>
      <c r="M413" s="94"/>
      <c r="N413" s="26" t="str">
        <f t="shared" si="20"/>
        <v/>
      </c>
      <c r="O413" s="80"/>
      <c r="P413" s="80"/>
      <c r="Q413" s="80"/>
      <c r="R413" s="80"/>
    </row>
    <row r="414" ht="18" customHeight="1" spans="1:18">
      <c r="A414" s="87" t="str">
        <f t="shared" si="18"/>
        <v/>
      </c>
      <c r="B414" s="78"/>
      <c r="C414" s="80"/>
      <c r="D414" s="80"/>
      <c r="E414" s="79"/>
      <c r="F414" s="87" t="str">
        <f>IF($E414="","",IFERROR(INDEX(基础资料!$O$4:$O$34,MATCH($E414,基础资料!$N$4:$N$34,0))&amp;"",""))</f>
        <v/>
      </c>
      <c r="G414" s="87" t="str">
        <f>IF($E414="","",IFERROR(INDEX(基础资料!$P$4:$P$34,MATCH($E414,基础资料!$N$4:$N$34,0))&amp;"",""))</f>
        <v/>
      </c>
      <c r="H414" s="79"/>
      <c r="I414" s="88"/>
      <c r="J414" s="92"/>
      <c r="K414" s="93"/>
      <c r="L414" s="25" t="str">
        <f t="shared" si="19"/>
        <v/>
      </c>
      <c r="M414" s="94"/>
      <c r="N414" s="26" t="str">
        <f t="shared" si="20"/>
        <v/>
      </c>
      <c r="O414" s="80"/>
      <c r="P414" s="80"/>
      <c r="Q414" s="80"/>
      <c r="R414" s="80"/>
    </row>
    <row r="415" ht="18" customHeight="1" spans="1:18">
      <c r="A415" s="87" t="str">
        <f t="shared" si="18"/>
        <v/>
      </c>
      <c r="B415" s="78"/>
      <c r="C415" s="80"/>
      <c r="D415" s="80"/>
      <c r="E415" s="79"/>
      <c r="F415" s="87" t="str">
        <f>IF($E415="","",IFERROR(INDEX(基础资料!$O$4:$O$34,MATCH($E415,基础资料!$N$4:$N$34,0))&amp;"",""))</f>
        <v/>
      </c>
      <c r="G415" s="87" t="str">
        <f>IF($E415="","",IFERROR(INDEX(基础资料!$P$4:$P$34,MATCH($E415,基础资料!$N$4:$N$34,0))&amp;"",""))</f>
        <v/>
      </c>
      <c r="H415" s="79"/>
      <c r="I415" s="88"/>
      <c r="J415" s="92"/>
      <c r="K415" s="93"/>
      <c r="L415" s="25" t="str">
        <f t="shared" si="19"/>
        <v/>
      </c>
      <c r="M415" s="94"/>
      <c r="N415" s="26" t="str">
        <f t="shared" si="20"/>
        <v/>
      </c>
      <c r="O415" s="80"/>
      <c r="P415" s="80"/>
      <c r="Q415" s="80"/>
      <c r="R415" s="80"/>
    </row>
    <row r="416" ht="18" customHeight="1" spans="1:18">
      <c r="A416" s="87" t="str">
        <f t="shared" si="18"/>
        <v/>
      </c>
      <c r="B416" s="78"/>
      <c r="C416" s="80"/>
      <c r="D416" s="80"/>
      <c r="E416" s="79"/>
      <c r="F416" s="87" t="str">
        <f>IF($E416="","",IFERROR(INDEX(基础资料!$O$4:$O$34,MATCH($E416,基础资料!$N$4:$N$34,0))&amp;"",""))</f>
        <v/>
      </c>
      <c r="G416" s="87" t="str">
        <f>IF($E416="","",IFERROR(INDEX(基础资料!$P$4:$P$34,MATCH($E416,基础资料!$N$4:$N$34,0))&amp;"",""))</f>
        <v/>
      </c>
      <c r="H416" s="79"/>
      <c r="I416" s="88"/>
      <c r="J416" s="92"/>
      <c r="K416" s="93"/>
      <c r="L416" s="25" t="str">
        <f t="shared" si="19"/>
        <v/>
      </c>
      <c r="M416" s="94"/>
      <c r="N416" s="26" t="str">
        <f t="shared" si="20"/>
        <v/>
      </c>
      <c r="O416" s="80"/>
      <c r="P416" s="80"/>
      <c r="Q416" s="80"/>
      <c r="R416" s="80"/>
    </row>
    <row r="417" ht="18" customHeight="1" spans="1:18">
      <c r="A417" s="87" t="str">
        <f t="shared" si="18"/>
        <v/>
      </c>
      <c r="B417" s="78"/>
      <c r="C417" s="80"/>
      <c r="D417" s="80"/>
      <c r="E417" s="79"/>
      <c r="F417" s="87" t="str">
        <f>IF($E417="","",IFERROR(INDEX(基础资料!$O$4:$O$34,MATCH($E417,基础资料!$N$4:$N$34,0))&amp;"",""))</f>
        <v/>
      </c>
      <c r="G417" s="87" t="str">
        <f>IF($E417="","",IFERROR(INDEX(基础资料!$P$4:$P$34,MATCH($E417,基础资料!$N$4:$N$34,0))&amp;"",""))</f>
        <v/>
      </c>
      <c r="H417" s="79"/>
      <c r="I417" s="88"/>
      <c r="J417" s="92"/>
      <c r="K417" s="93"/>
      <c r="L417" s="25" t="str">
        <f t="shared" si="19"/>
        <v/>
      </c>
      <c r="M417" s="94"/>
      <c r="N417" s="26" t="str">
        <f t="shared" si="20"/>
        <v/>
      </c>
      <c r="O417" s="80"/>
      <c r="P417" s="80"/>
      <c r="Q417" s="80"/>
      <c r="R417" s="80"/>
    </row>
    <row r="418" ht="18" customHeight="1" spans="1:18">
      <c r="A418" s="87" t="str">
        <f t="shared" si="18"/>
        <v/>
      </c>
      <c r="B418" s="78"/>
      <c r="C418" s="80"/>
      <c r="D418" s="80"/>
      <c r="E418" s="79"/>
      <c r="F418" s="87" t="str">
        <f>IF($E418="","",IFERROR(INDEX(基础资料!$O$4:$O$34,MATCH($E418,基础资料!$N$4:$N$34,0))&amp;"",""))</f>
        <v/>
      </c>
      <c r="G418" s="87" t="str">
        <f>IF($E418="","",IFERROR(INDEX(基础资料!$P$4:$P$34,MATCH($E418,基础资料!$N$4:$N$34,0))&amp;"",""))</f>
        <v/>
      </c>
      <c r="H418" s="79"/>
      <c r="I418" s="88"/>
      <c r="J418" s="92"/>
      <c r="K418" s="93"/>
      <c r="L418" s="25" t="str">
        <f t="shared" si="19"/>
        <v/>
      </c>
      <c r="M418" s="94"/>
      <c r="N418" s="26" t="str">
        <f t="shared" si="20"/>
        <v/>
      </c>
      <c r="O418" s="80"/>
      <c r="P418" s="80"/>
      <c r="Q418" s="80"/>
      <c r="R418" s="80"/>
    </row>
    <row r="419" ht="18" customHeight="1" spans="1:18">
      <c r="A419" s="87" t="str">
        <f t="shared" si="18"/>
        <v/>
      </c>
      <c r="B419" s="78"/>
      <c r="C419" s="80"/>
      <c r="D419" s="80"/>
      <c r="E419" s="79"/>
      <c r="F419" s="87" t="str">
        <f>IF($E419="","",IFERROR(INDEX(基础资料!$O$4:$O$34,MATCH($E419,基础资料!$N$4:$N$34,0))&amp;"",""))</f>
        <v/>
      </c>
      <c r="G419" s="87" t="str">
        <f>IF($E419="","",IFERROR(INDEX(基础资料!$P$4:$P$34,MATCH($E419,基础资料!$N$4:$N$34,0))&amp;"",""))</f>
        <v/>
      </c>
      <c r="H419" s="79"/>
      <c r="I419" s="88"/>
      <c r="J419" s="92"/>
      <c r="K419" s="93"/>
      <c r="L419" s="25" t="str">
        <f t="shared" si="19"/>
        <v/>
      </c>
      <c r="M419" s="94"/>
      <c r="N419" s="26" t="str">
        <f t="shared" si="20"/>
        <v/>
      </c>
      <c r="O419" s="80"/>
      <c r="P419" s="80"/>
      <c r="Q419" s="80"/>
      <c r="R419" s="80"/>
    </row>
    <row r="420" ht="18" customHeight="1" spans="1:18">
      <c r="A420" s="87" t="str">
        <f t="shared" si="18"/>
        <v/>
      </c>
      <c r="B420" s="78"/>
      <c r="C420" s="80"/>
      <c r="D420" s="80"/>
      <c r="E420" s="79"/>
      <c r="F420" s="87" t="str">
        <f>IF($E420="","",IFERROR(INDEX(基础资料!$O$4:$O$34,MATCH($E420,基础资料!$N$4:$N$34,0))&amp;"",""))</f>
        <v/>
      </c>
      <c r="G420" s="87" t="str">
        <f>IF($E420="","",IFERROR(INDEX(基础资料!$P$4:$P$34,MATCH($E420,基础资料!$N$4:$N$34,0))&amp;"",""))</f>
        <v/>
      </c>
      <c r="H420" s="79"/>
      <c r="I420" s="88"/>
      <c r="J420" s="92"/>
      <c r="K420" s="93"/>
      <c r="L420" s="25" t="str">
        <f t="shared" si="19"/>
        <v/>
      </c>
      <c r="M420" s="94"/>
      <c r="N420" s="26" t="str">
        <f t="shared" si="20"/>
        <v/>
      </c>
      <c r="O420" s="80"/>
      <c r="P420" s="80"/>
      <c r="Q420" s="80"/>
      <c r="R420" s="80"/>
    </row>
    <row r="421" ht="18" customHeight="1" spans="1:18">
      <c r="A421" s="87" t="str">
        <f t="shared" si="18"/>
        <v/>
      </c>
      <c r="B421" s="78"/>
      <c r="C421" s="80"/>
      <c r="D421" s="80"/>
      <c r="E421" s="79"/>
      <c r="F421" s="87" t="str">
        <f>IF($E421="","",IFERROR(INDEX(基础资料!$O$4:$O$34,MATCH($E421,基础资料!$N$4:$N$34,0))&amp;"",""))</f>
        <v/>
      </c>
      <c r="G421" s="87" t="str">
        <f>IF($E421="","",IFERROR(INDEX(基础资料!$P$4:$P$34,MATCH($E421,基础资料!$N$4:$N$34,0))&amp;"",""))</f>
        <v/>
      </c>
      <c r="H421" s="79"/>
      <c r="I421" s="88"/>
      <c r="J421" s="92"/>
      <c r="K421" s="93"/>
      <c r="L421" s="25" t="str">
        <f t="shared" si="19"/>
        <v/>
      </c>
      <c r="M421" s="94"/>
      <c r="N421" s="26" t="str">
        <f t="shared" si="20"/>
        <v/>
      </c>
      <c r="O421" s="80"/>
      <c r="P421" s="80"/>
      <c r="Q421" s="80"/>
      <c r="R421" s="80"/>
    </row>
    <row r="422" ht="18" customHeight="1" spans="1:18">
      <c r="A422" s="87" t="str">
        <f t="shared" si="18"/>
        <v/>
      </c>
      <c r="B422" s="78"/>
      <c r="C422" s="80"/>
      <c r="D422" s="80"/>
      <c r="E422" s="79"/>
      <c r="F422" s="87" t="str">
        <f>IF($E422="","",IFERROR(INDEX(基础资料!$O$4:$O$34,MATCH($E422,基础资料!$N$4:$N$34,0))&amp;"",""))</f>
        <v/>
      </c>
      <c r="G422" s="87" t="str">
        <f>IF($E422="","",IFERROR(INDEX(基础资料!$P$4:$P$34,MATCH($E422,基础资料!$N$4:$N$34,0))&amp;"",""))</f>
        <v/>
      </c>
      <c r="H422" s="79"/>
      <c r="I422" s="88"/>
      <c r="J422" s="92"/>
      <c r="K422" s="93"/>
      <c r="L422" s="25" t="str">
        <f t="shared" si="19"/>
        <v/>
      </c>
      <c r="M422" s="94"/>
      <c r="N422" s="26" t="str">
        <f t="shared" si="20"/>
        <v/>
      </c>
      <c r="O422" s="80"/>
      <c r="P422" s="80"/>
      <c r="Q422" s="80"/>
      <c r="R422" s="80"/>
    </row>
    <row r="423" ht="18" customHeight="1" spans="1:18">
      <c r="A423" s="87" t="str">
        <f t="shared" si="18"/>
        <v/>
      </c>
      <c r="B423" s="78"/>
      <c r="C423" s="80"/>
      <c r="D423" s="80"/>
      <c r="E423" s="79"/>
      <c r="F423" s="87" t="str">
        <f>IF($E423="","",IFERROR(INDEX(基础资料!$O$4:$O$34,MATCH($E423,基础资料!$N$4:$N$34,0))&amp;"",""))</f>
        <v/>
      </c>
      <c r="G423" s="87" t="str">
        <f>IF($E423="","",IFERROR(INDEX(基础资料!$P$4:$P$34,MATCH($E423,基础资料!$N$4:$N$34,0))&amp;"",""))</f>
        <v/>
      </c>
      <c r="H423" s="79"/>
      <c r="I423" s="88"/>
      <c r="J423" s="92"/>
      <c r="K423" s="93"/>
      <c r="L423" s="25" t="str">
        <f t="shared" si="19"/>
        <v/>
      </c>
      <c r="M423" s="94"/>
      <c r="N423" s="26" t="str">
        <f t="shared" si="20"/>
        <v/>
      </c>
      <c r="O423" s="80"/>
      <c r="P423" s="80"/>
      <c r="Q423" s="80"/>
      <c r="R423" s="80"/>
    </row>
    <row r="424" ht="18" customHeight="1" spans="1:18">
      <c r="A424" s="87" t="str">
        <f t="shared" si="18"/>
        <v/>
      </c>
      <c r="B424" s="78"/>
      <c r="C424" s="80"/>
      <c r="D424" s="80"/>
      <c r="E424" s="79"/>
      <c r="F424" s="87" t="str">
        <f>IF($E424="","",IFERROR(INDEX(基础资料!$O$4:$O$34,MATCH($E424,基础资料!$N$4:$N$34,0))&amp;"",""))</f>
        <v/>
      </c>
      <c r="G424" s="87" t="str">
        <f>IF($E424="","",IFERROR(INDEX(基础资料!$P$4:$P$34,MATCH($E424,基础资料!$N$4:$N$34,0))&amp;"",""))</f>
        <v/>
      </c>
      <c r="H424" s="79"/>
      <c r="I424" s="88"/>
      <c r="J424" s="92"/>
      <c r="K424" s="93"/>
      <c r="L424" s="25" t="str">
        <f t="shared" si="19"/>
        <v/>
      </c>
      <c r="M424" s="94"/>
      <c r="N424" s="26" t="str">
        <f t="shared" si="20"/>
        <v/>
      </c>
      <c r="O424" s="80"/>
      <c r="P424" s="80"/>
      <c r="Q424" s="80"/>
      <c r="R424" s="80"/>
    </row>
    <row r="425" ht="18" customHeight="1" spans="1:18">
      <c r="A425" s="87" t="str">
        <f t="shared" si="18"/>
        <v/>
      </c>
      <c r="B425" s="78"/>
      <c r="C425" s="80"/>
      <c r="D425" s="80"/>
      <c r="E425" s="79"/>
      <c r="F425" s="87" t="str">
        <f>IF($E425="","",IFERROR(INDEX(基础资料!$O$4:$O$34,MATCH($E425,基础资料!$N$4:$N$34,0))&amp;"",""))</f>
        <v/>
      </c>
      <c r="G425" s="87" t="str">
        <f>IF($E425="","",IFERROR(INDEX(基础资料!$P$4:$P$34,MATCH($E425,基础资料!$N$4:$N$34,0))&amp;"",""))</f>
        <v/>
      </c>
      <c r="H425" s="79"/>
      <c r="I425" s="88"/>
      <c r="J425" s="92"/>
      <c r="K425" s="93"/>
      <c r="L425" s="25" t="str">
        <f t="shared" si="19"/>
        <v/>
      </c>
      <c r="M425" s="94"/>
      <c r="N425" s="26" t="str">
        <f t="shared" si="20"/>
        <v/>
      </c>
      <c r="O425" s="80"/>
      <c r="P425" s="80"/>
      <c r="Q425" s="80"/>
      <c r="R425" s="80"/>
    </row>
    <row r="426" ht="18" customHeight="1" spans="1:18">
      <c r="A426" s="87" t="str">
        <f t="shared" si="18"/>
        <v/>
      </c>
      <c r="B426" s="78"/>
      <c r="C426" s="80"/>
      <c r="D426" s="80"/>
      <c r="E426" s="79"/>
      <c r="F426" s="87" t="str">
        <f>IF($E426="","",IFERROR(INDEX(基础资料!$O$4:$O$34,MATCH($E426,基础资料!$N$4:$N$34,0))&amp;"",""))</f>
        <v/>
      </c>
      <c r="G426" s="87" t="str">
        <f>IF($E426="","",IFERROR(INDEX(基础资料!$P$4:$P$34,MATCH($E426,基础资料!$N$4:$N$34,0))&amp;"",""))</f>
        <v/>
      </c>
      <c r="H426" s="79"/>
      <c r="I426" s="88"/>
      <c r="J426" s="92"/>
      <c r="K426" s="93"/>
      <c r="L426" s="25" t="str">
        <f t="shared" si="19"/>
        <v/>
      </c>
      <c r="M426" s="94"/>
      <c r="N426" s="26" t="str">
        <f t="shared" si="20"/>
        <v/>
      </c>
      <c r="O426" s="80"/>
      <c r="P426" s="80"/>
      <c r="Q426" s="80"/>
      <c r="R426" s="80"/>
    </row>
    <row r="427" ht="18" customHeight="1" spans="1:18">
      <c r="A427" s="87" t="str">
        <f t="shared" si="18"/>
        <v/>
      </c>
      <c r="B427" s="78"/>
      <c r="C427" s="80"/>
      <c r="D427" s="80"/>
      <c r="E427" s="79"/>
      <c r="F427" s="87" t="str">
        <f>IF($E427="","",IFERROR(INDEX(基础资料!$O$4:$O$34,MATCH($E427,基础资料!$N$4:$N$34,0))&amp;"",""))</f>
        <v/>
      </c>
      <c r="G427" s="87" t="str">
        <f>IF($E427="","",IFERROR(INDEX(基础资料!$P$4:$P$34,MATCH($E427,基础资料!$N$4:$N$34,0))&amp;"",""))</f>
        <v/>
      </c>
      <c r="H427" s="79"/>
      <c r="I427" s="88"/>
      <c r="J427" s="92"/>
      <c r="K427" s="93"/>
      <c r="L427" s="25" t="str">
        <f t="shared" si="19"/>
        <v/>
      </c>
      <c r="M427" s="94"/>
      <c r="N427" s="26" t="str">
        <f t="shared" si="20"/>
        <v/>
      </c>
      <c r="O427" s="80"/>
      <c r="P427" s="80"/>
      <c r="Q427" s="80"/>
      <c r="R427" s="80"/>
    </row>
    <row r="428" ht="18" customHeight="1" spans="1:18">
      <c r="A428" s="87" t="str">
        <f t="shared" si="18"/>
        <v/>
      </c>
      <c r="B428" s="78"/>
      <c r="C428" s="80"/>
      <c r="D428" s="80"/>
      <c r="E428" s="79"/>
      <c r="F428" s="87" t="str">
        <f>IF($E428="","",IFERROR(INDEX(基础资料!$O$4:$O$34,MATCH($E428,基础资料!$N$4:$N$34,0))&amp;"",""))</f>
        <v/>
      </c>
      <c r="G428" s="87" t="str">
        <f>IF($E428="","",IFERROR(INDEX(基础资料!$P$4:$P$34,MATCH($E428,基础资料!$N$4:$N$34,0))&amp;"",""))</f>
        <v/>
      </c>
      <c r="H428" s="79"/>
      <c r="I428" s="88"/>
      <c r="J428" s="92"/>
      <c r="K428" s="93"/>
      <c r="L428" s="25" t="str">
        <f t="shared" si="19"/>
        <v/>
      </c>
      <c r="M428" s="94"/>
      <c r="N428" s="26" t="str">
        <f t="shared" si="20"/>
        <v/>
      </c>
      <c r="O428" s="80"/>
      <c r="P428" s="80"/>
      <c r="Q428" s="80"/>
      <c r="R428" s="80"/>
    </row>
    <row r="429" ht="18" customHeight="1" spans="1:18">
      <c r="A429" s="87" t="str">
        <f t="shared" si="18"/>
        <v/>
      </c>
      <c r="B429" s="78"/>
      <c r="C429" s="80"/>
      <c r="D429" s="80"/>
      <c r="E429" s="79"/>
      <c r="F429" s="87" t="str">
        <f>IF($E429="","",IFERROR(INDEX(基础资料!$O$4:$O$34,MATCH($E429,基础资料!$N$4:$N$34,0))&amp;"",""))</f>
        <v/>
      </c>
      <c r="G429" s="87" t="str">
        <f>IF($E429="","",IFERROR(INDEX(基础资料!$P$4:$P$34,MATCH($E429,基础资料!$N$4:$N$34,0))&amp;"",""))</f>
        <v/>
      </c>
      <c r="H429" s="79"/>
      <c r="I429" s="88"/>
      <c r="J429" s="92"/>
      <c r="K429" s="93"/>
      <c r="L429" s="25" t="str">
        <f t="shared" si="19"/>
        <v/>
      </c>
      <c r="M429" s="94"/>
      <c r="N429" s="26" t="str">
        <f t="shared" si="20"/>
        <v/>
      </c>
      <c r="O429" s="80"/>
      <c r="P429" s="80"/>
      <c r="Q429" s="80"/>
      <c r="R429" s="80"/>
    </row>
    <row r="430" ht="18" customHeight="1" spans="1:18">
      <c r="A430" s="87" t="str">
        <f t="shared" si="18"/>
        <v/>
      </c>
      <c r="B430" s="78"/>
      <c r="C430" s="80"/>
      <c r="D430" s="80"/>
      <c r="E430" s="79"/>
      <c r="F430" s="87" t="str">
        <f>IF($E430="","",IFERROR(INDEX(基础资料!$O$4:$O$34,MATCH($E430,基础资料!$N$4:$N$34,0))&amp;"",""))</f>
        <v/>
      </c>
      <c r="G430" s="87" t="str">
        <f>IF($E430="","",IFERROR(INDEX(基础资料!$P$4:$P$34,MATCH($E430,基础资料!$N$4:$N$34,0))&amp;"",""))</f>
        <v/>
      </c>
      <c r="H430" s="79"/>
      <c r="I430" s="88"/>
      <c r="J430" s="92"/>
      <c r="K430" s="93"/>
      <c r="L430" s="25" t="str">
        <f t="shared" si="19"/>
        <v/>
      </c>
      <c r="M430" s="94"/>
      <c r="N430" s="26" t="str">
        <f t="shared" si="20"/>
        <v/>
      </c>
      <c r="O430" s="80"/>
      <c r="P430" s="80"/>
      <c r="Q430" s="80"/>
      <c r="R430" s="80"/>
    </row>
    <row r="431" ht="18" customHeight="1" spans="1:18">
      <c r="A431" s="87" t="str">
        <f t="shared" si="18"/>
        <v/>
      </c>
      <c r="B431" s="78"/>
      <c r="C431" s="80"/>
      <c r="D431" s="80"/>
      <c r="E431" s="79"/>
      <c r="F431" s="87" t="str">
        <f>IF($E431="","",IFERROR(INDEX(基础资料!$O$4:$O$34,MATCH($E431,基础资料!$N$4:$N$34,0))&amp;"",""))</f>
        <v/>
      </c>
      <c r="G431" s="87" t="str">
        <f>IF($E431="","",IFERROR(INDEX(基础资料!$P$4:$P$34,MATCH($E431,基础资料!$N$4:$N$34,0))&amp;"",""))</f>
        <v/>
      </c>
      <c r="H431" s="79"/>
      <c r="I431" s="88"/>
      <c r="J431" s="92"/>
      <c r="K431" s="93"/>
      <c r="L431" s="25" t="str">
        <f t="shared" si="19"/>
        <v/>
      </c>
      <c r="M431" s="94"/>
      <c r="N431" s="26" t="str">
        <f t="shared" si="20"/>
        <v/>
      </c>
      <c r="O431" s="80"/>
      <c r="P431" s="80"/>
      <c r="Q431" s="80"/>
      <c r="R431" s="80"/>
    </row>
    <row r="432" ht="18" customHeight="1" spans="1:18">
      <c r="A432" s="87" t="str">
        <f t="shared" si="18"/>
        <v/>
      </c>
      <c r="B432" s="78"/>
      <c r="C432" s="80"/>
      <c r="D432" s="80"/>
      <c r="E432" s="79"/>
      <c r="F432" s="87" t="str">
        <f>IF($E432="","",IFERROR(INDEX(基础资料!$O$4:$O$34,MATCH($E432,基础资料!$N$4:$N$34,0))&amp;"",""))</f>
        <v/>
      </c>
      <c r="G432" s="87" t="str">
        <f>IF($E432="","",IFERROR(INDEX(基础资料!$P$4:$P$34,MATCH($E432,基础资料!$N$4:$N$34,0))&amp;"",""))</f>
        <v/>
      </c>
      <c r="H432" s="79"/>
      <c r="I432" s="88"/>
      <c r="J432" s="92"/>
      <c r="K432" s="93"/>
      <c r="L432" s="25" t="str">
        <f t="shared" si="19"/>
        <v/>
      </c>
      <c r="M432" s="94"/>
      <c r="N432" s="26" t="str">
        <f t="shared" si="20"/>
        <v/>
      </c>
      <c r="O432" s="80"/>
      <c r="P432" s="80"/>
      <c r="Q432" s="80"/>
      <c r="R432" s="80"/>
    </row>
    <row r="433" ht="18" customHeight="1" spans="1:18">
      <c r="A433" s="87" t="str">
        <f t="shared" si="18"/>
        <v/>
      </c>
      <c r="B433" s="78"/>
      <c r="C433" s="80"/>
      <c r="D433" s="80"/>
      <c r="E433" s="79"/>
      <c r="F433" s="87" t="str">
        <f>IF($E433="","",IFERROR(INDEX(基础资料!$O$4:$O$34,MATCH($E433,基础资料!$N$4:$N$34,0))&amp;"",""))</f>
        <v/>
      </c>
      <c r="G433" s="87" t="str">
        <f>IF($E433="","",IFERROR(INDEX(基础资料!$P$4:$P$34,MATCH($E433,基础资料!$N$4:$N$34,0))&amp;"",""))</f>
        <v/>
      </c>
      <c r="H433" s="79"/>
      <c r="I433" s="88"/>
      <c r="J433" s="92"/>
      <c r="K433" s="93"/>
      <c r="L433" s="25" t="str">
        <f t="shared" si="19"/>
        <v/>
      </c>
      <c r="M433" s="94"/>
      <c r="N433" s="26" t="str">
        <f t="shared" si="20"/>
        <v/>
      </c>
      <c r="O433" s="80"/>
      <c r="P433" s="80"/>
      <c r="Q433" s="80"/>
      <c r="R433" s="80"/>
    </row>
    <row r="434" ht="18" customHeight="1" spans="1:18">
      <c r="A434" s="87" t="str">
        <f t="shared" si="18"/>
        <v/>
      </c>
      <c r="B434" s="78"/>
      <c r="C434" s="80"/>
      <c r="D434" s="80"/>
      <c r="E434" s="79"/>
      <c r="F434" s="87" t="str">
        <f>IF($E434="","",IFERROR(INDEX(基础资料!$O$4:$O$34,MATCH($E434,基础资料!$N$4:$N$34,0))&amp;"",""))</f>
        <v/>
      </c>
      <c r="G434" s="87" t="str">
        <f>IF($E434="","",IFERROR(INDEX(基础资料!$P$4:$P$34,MATCH($E434,基础资料!$N$4:$N$34,0))&amp;"",""))</f>
        <v/>
      </c>
      <c r="H434" s="79"/>
      <c r="I434" s="88"/>
      <c r="J434" s="92"/>
      <c r="K434" s="93"/>
      <c r="L434" s="25" t="str">
        <f t="shared" si="19"/>
        <v/>
      </c>
      <c r="M434" s="94"/>
      <c r="N434" s="26" t="str">
        <f t="shared" si="20"/>
        <v/>
      </c>
      <c r="O434" s="80"/>
      <c r="P434" s="80"/>
      <c r="Q434" s="80"/>
      <c r="R434" s="80"/>
    </row>
    <row r="435" ht="18" customHeight="1" spans="1:18">
      <c r="A435" s="87" t="str">
        <f t="shared" si="18"/>
        <v/>
      </c>
      <c r="B435" s="78"/>
      <c r="C435" s="80"/>
      <c r="D435" s="80"/>
      <c r="E435" s="79"/>
      <c r="F435" s="87" t="str">
        <f>IF($E435="","",IFERROR(INDEX(基础资料!$O$4:$O$34,MATCH($E435,基础资料!$N$4:$N$34,0))&amp;"",""))</f>
        <v/>
      </c>
      <c r="G435" s="87" t="str">
        <f>IF($E435="","",IFERROR(INDEX(基础资料!$P$4:$P$34,MATCH($E435,基础资料!$N$4:$N$34,0))&amp;"",""))</f>
        <v/>
      </c>
      <c r="H435" s="79"/>
      <c r="I435" s="88"/>
      <c r="J435" s="92"/>
      <c r="K435" s="93"/>
      <c r="L435" s="25" t="str">
        <f t="shared" si="19"/>
        <v/>
      </c>
      <c r="M435" s="94"/>
      <c r="N435" s="26" t="str">
        <f t="shared" si="20"/>
        <v/>
      </c>
      <c r="O435" s="80"/>
      <c r="P435" s="80"/>
      <c r="Q435" s="80"/>
      <c r="R435" s="80"/>
    </row>
    <row r="436" ht="18" customHeight="1" spans="1:18">
      <c r="A436" s="87" t="str">
        <f t="shared" si="18"/>
        <v/>
      </c>
      <c r="B436" s="78"/>
      <c r="C436" s="80"/>
      <c r="D436" s="80"/>
      <c r="E436" s="79"/>
      <c r="F436" s="87" t="str">
        <f>IF($E436="","",IFERROR(INDEX(基础资料!$O$4:$O$34,MATCH($E436,基础资料!$N$4:$N$34,0))&amp;"",""))</f>
        <v/>
      </c>
      <c r="G436" s="87" t="str">
        <f>IF($E436="","",IFERROR(INDEX(基础资料!$P$4:$P$34,MATCH($E436,基础资料!$N$4:$N$34,0))&amp;"",""))</f>
        <v/>
      </c>
      <c r="H436" s="79"/>
      <c r="I436" s="88"/>
      <c r="J436" s="92"/>
      <c r="K436" s="93"/>
      <c r="L436" s="25" t="str">
        <f t="shared" si="19"/>
        <v/>
      </c>
      <c r="M436" s="94"/>
      <c r="N436" s="26" t="str">
        <f t="shared" si="20"/>
        <v/>
      </c>
      <c r="O436" s="80"/>
      <c r="P436" s="80"/>
      <c r="Q436" s="80"/>
      <c r="R436" s="80"/>
    </row>
    <row r="437" ht="18" customHeight="1" spans="1:18">
      <c r="A437" s="87" t="str">
        <f t="shared" si="18"/>
        <v/>
      </c>
      <c r="B437" s="78"/>
      <c r="C437" s="80"/>
      <c r="D437" s="80"/>
      <c r="E437" s="79"/>
      <c r="F437" s="87" t="str">
        <f>IF($E437="","",IFERROR(INDEX(基础资料!$O$4:$O$34,MATCH($E437,基础资料!$N$4:$N$34,0))&amp;"",""))</f>
        <v/>
      </c>
      <c r="G437" s="87" t="str">
        <f>IF($E437="","",IFERROR(INDEX(基础资料!$P$4:$P$34,MATCH($E437,基础资料!$N$4:$N$34,0))&amp;"",""))</f>
        <v/>
      </c>
      <c r="H437" s="79"/>
      <c r="I437" s="88"/>
      <c r="J437" s="92"/>
      <c r="K437" s="93"/>
      <c r="L437" s="25" t="str">
        <f t="shared" si="19"/>
        <v/>
      </c>
      <c r="M437" s="94"/>
      <c r="N437" s="26" t="str">
        <f t="shared" si="20"/>
        <v/>
      </c>
      <c r="O437" s="80"/>
      <c r="P437" s="80"/>
      <c r="Q437" s="80"/>
      <c r="R437" s="80"/>
    </row>
    <row r="438" ht="18" customHeight="1" spans="1:18">
      <c r="A438" s="87" t="str">
        <f t="shared" si="18"/>
        <v/>
      </c>
      <c r="B438" s="78"/>
      <c r="C438" s="80"/>
      <c r="D438" s="80"/>
      <c r="E438" s="79"/>
      <c r="F438" s="87" t="str">
        <f>IF($E438="","",IFERROR(INDEX(基础资料!$O$4:$O$34,MATCH($E438,基础资料!$N$4:$N$34,0))&amp;"",""))</f>
        <v/>
      </c>
      <c r="G438" s="87" t="str">
        <f>IF($E438="","",IFERROR(INDEX(基础资料!$P$4:$P$34,MATCH($E438,基础资料!$N$4:$N$34,0))&amp;"",""))</f>
        <v/>
      </c>
      <c r="H438" s="79"/>
      <c r="I438" s="88"/>
      <c r="J438" s="92"/>
      <c r="K438" s="93"/>
      <c r="L438" s="25" t="str">
        <f t="shared" si="19"/>
        <v/>
      </c>
      <c r="M438" s="94"/>
      <c r="N438" s="26" t="str">
        <f t="shared" si="20"/>
        <v/>
      </c>
      <c r="O438" s="80"/>
      <c r="P438" s="80"/>
      <c r="Q438" s="80"/>
      <c r="R438" s="80"/>
    </row>
    <row r="439" ht="18" customHeight="1" spans="1:18">
      <c r="A439" s="87" t="str">
        <f t="shared" si="18"/>
        <v/>
      </c>
      <c r="B439" s="78"/>
      <c r="C439" s="80"/>
      <c r="D439" s="80"/>
      <c r="E439" s="79"/>
      <c r="F439" s="87" t="str">
        <f>IF($E439="","",IFERROR(INDEX(基础资料!$O$4:$O$34,MATCH($E439,基础资料!$N$4:$N$34,0))&amp;"",""))</f>
        <v/>
      </c>
      <c r="G439" s="87" t="str">
        <f>IF($E439="","",IFERROR(INDEX(基础资料!$P$4:$P$34,MATCH($E439,基础资料!$N$4:$N$34,0))&amp;"",""))</f>
        <v/>
      </c>
      <c r="H439" s="79"/>
      <c r="I439" s="88"/>
      <c r="J439" s="92"/>
      <c r="K439" s="93"/>
      <c r="L439" s="25" t="str">
        <f t="shared" si="19"/>
        <v/>
      </c>
      <c r="M439" s="94"/>
      <c r="N439" s="26" t="str">
        <f t="shared" si="20"/>
        <v/>
      </c>
      <c r="O439" s="80"/>
      <c r="P439" s="80"/>
      <c r="Q439" s="80"/>
      <c r="R439" s="80"/>
    </row>
    <row r="440" ht="18" customHeight="1" spans="1:18">
      <c r="A440" s="87" t="str">
        <f t="shared" si="18"/>
        <v/>
      </c>
      <c r="B440" s="78"/>
      <c r="C440" s="80"/>
      <c r="D440" s="80"/>
      <c r="E440" s="79"/>
      <c r="F440" s="87" t="str">
        <f>IF($E440="","",IFERROR(INDEX(基础资料!$O$4:$O$34,MATCH($E440,基础资料!$N$4:$N$34,0))&amp;"",""))</f>
        <v/>
      </c>
      <c r="G440" s="87" t="str">
        <f>IF($E440="","",IFERROR(INDEX(基础资料!$P$4:$P$34,MATCH($E440,基础资料!$N$4:$N$34,0))&amp;"",""))</f>
        <v/>
      </c>
      <c r="H440" s="79"/>
      <c r="I440" s="88"/>
      <c r="J440" s="92"/>
      <c r="K440" s="93"/>
      <c r="L440" s="25" t="str">
        <f t="shared" si="19"/>
        <v/>
      </c>
      <c r="M440" s="94"/>
      <c r="N440" s="26" t="str">
        <f t="shared" si="20"/>
        <v/>
      </c>
      <c r="O440" s="80"/>
      <c r="P440" s="80"/>
      <c r="Q440" s="80"/>
      <c r="R440" s="80"/>
    </row>
    <row r="441" ht="18" customHeight="1" spans="1:18">
      <c r="A441" s="87" t="str">
        <f t="shared" si="18"/>
        <v/>
      </c>
      <c r="B441" s="78"/>
      <c r="C441" s="80"/>
      <c r="D441" s="80"/>
      <c r="E441" s="79"/>
      <c r="F441" s="87" t="str">
        <f>IF($E441="","",IFERROR(INDEX(基础资料!$O$4:$O$34,MATCH($E441,基础资料!$N$4:$N$34,0))&amp;"",""))</f>
        <v/>
      </c>
      <c r="G441" s="87" t="str">
        <f>IF($E441="","",IFERROR(INDEX(基础资料!$P$4:$P$34,MATCH($E441,基础资料!$N$4:$N$34,0))&amp;"",""))</f>
        <v/>
      </c>
      <c r="H441" s="79"/>
      <c r="I441" s="88"/>
      <c r="J441" s="92"/>
      <c r="K441" s="93"/>
      <c r="L441" s="25" t="str">
        <f t="shared" si="19"/>
        <v/>
      </c>
      <c r="M441" s="94"/>
      <c r="N441" s="26" t="str">
        <f t="shared" si="20"/>
        <v/>
      </c>
      <c r="O441" s="80"/>
      <c r="P441" s="80"/>
      <c r="Q441" s="80"/>
      <c r="R441" s="80"/>
    </row>
    <row r="442" ht="18" customHeight="1" spans="1:18">
      <c r="A442" s="87" t="str">
        <f t="shared" si="18"/>
        <v/>
      </c>
      <c r="B442" s="78"/>
      <c r="C442" s="80"/>
      <c r="D442" s="80"/>
      <c r="E442" s="79"/>
      <c r="F442" s="87" t="str">
        <f>IF($E442="","",IFERROR(INDEX(基础资料!$O$4:$O$34,MATCH($E442,基础资料!$N$4:$N$34,0))&amp;"",""))</f>
        <v/>
      </c>
      <c r="G442" s="87" t="str">
        <f>IF($E442="","",IFERROR(INDEX(基础资料!$P$4:$P$34,MATCH($E442,基础资料!$N$4:$N$34,0))&amp;"",""))</f>
        <v/>
      </c>
      <c r="H442" s="79"/>
      <c r="I442" s="88"/>
      <c r="J442" s="92"/>
      <c r="K442" s="93"/>
      <c r="L442" s="25" t="str">
        <f t="shared" si="19"/>
        <v/>
      </c>
      <c r="M442" s="94"/>
      <c r="N442" s="26" t="str">
        <f t="shared" si="20"/>
        <v/>
      </c>
      <c r="O442" s="80"/>
      <c r="P442" s="80"/>
      <c r="Q442" s="80"/>
      <c r="R442" s="80"/>
    </row>
    <row r="443" ht="18" customHeight="1" spans="1:18">
      <c r="A443" s="87" t="str">
        <f t="shared" si="18"/>
        <v/>
      </c>
      <c r="B443" s="78"/>
      <c r="C443" s="80"/>
      <c r="D443" s="80"/>
      <c r="E443" s="79"/>
      <c r="F443" s="87" t="str">
        <f>IF($E443="","",IFERROR(INDEX(基础资料!$O$4:$O$34,MATCH($E443,基础资料!$N$4:$N$34,0))&amp;"",""))</f>
        <v/>
      </c>
      <c r="G443" s="87" t="str">
        <f>IF($E443="","",IFERROR(INDEX(基础资料!$P$4:$P$34,MATCH($E443,基础资料!$N$4:$N$34,0))&amp;"",""))</f>
        <v/>
      </c>
      <c r="H443" s="79"/>
      <c r="I443" s="88"/>
      <c r="J443" s="92"/>
      <c r="K443" s="93"/>
      <c r="L443" s="25" t="str">
        <f t="shared" si="19"/>
        <v/>
      </c>
      <c r="M443" s="94"/>
      <c r="N443" s="26" t="str">
        <f t="shared" si="20"/>
        <v/>
      </c>
      <c r="O443" s="80"/>
      <c r="P443" s="80"/>
      <c r="Q443" s="80"/>
      <c r="R443" s="80"/>
    </row>
    <row r="444" ht="18" customHeight="1" spans="1:18">
      <c r="A444" s="87" t="str">
        <f t="shared" si="18"/>
        <v/>
      </c>
      <c r="B444" s="78"/>
      <c r="C444" s="80"/>
      <c r="D444" s="80"/>
      <c r="E444" s="79"/>
      <c r="F444" s="87" t="str">
        <f>IF($E444="","",IFERROR(INDEX(基础资料!$O$4:$O$34,MATCH($E444,基础资料!$N$4:$N$34,0))&amp;"",""))</f>
        <v/>
      </c>
      <c r="G444" s="87" t="str">
        <f>IF($E444="","",IFERROR(INDEX(基础资料!$P$4:$P$34,MATCH($E444,基础资料!$N$4:$N$34,0))&amp;"",""))</f>
        <v/>
      </c>
      <c r="H444" s="79"/>
      <c r="I444" s="88"/>
      <c r="J444" s="92"/>
      <c r="K444" s="93"/>
      <c r="L444" s="25" t="str">
        <f t="shared" si="19"/>
        <v/>
      </c>
      <c r="M444" s="94"/>
      <c r="N444" s="26" t="str">
        <f t="shared" si="20"/>
        <v/>
      </c>
      <c r="O444" s="80"/>
      <c r="P444" s="80"/>
      <c r="Q444" s="80"/>
      <c r="R444" s="80"/>
    </row>
    <row r="445" ht="18" customHeight="1" spans="1:18">
      <c r="A445" s="87" t="str">
        <f t="shared" si="18"/>
        <v/>
      </c>
      <c r="B445" s="78"/>
      <c r="C445" s="80"/>
      <c r="D445" s="80"/>
      <c r="E445" s="79"/>
      <c r="F445" s="87" t="str">
        <f>IF($E445="","",IFERROR(INDEX(基础资料!$O$4:$O$34,MATCH($E445,基础资料!$N$4:$N$34,0))&amp;"",""))</f>
        <v/>
      </c>
      <c r="G445" s="87" t="str">
        <f>IF($E445="","",IFERROR(INDEX(基础资料!$P$4:$P$34,MATCH($E445,基础资料!$N$4:$N$34,0))&amp;"",""))</f>
        <v/>
      </c>
      <c r="H445" s="79"/>
      <c r="I445" s="88"/>
      <c r="J445" s="92"/>
      <c r="K445" s="93"/>
      <c r="L445" s="25" t="str">
        <f t="shared" si="19"/>
        <v/>
      </c>
      <c r="M445" s="94"/>
      <c r="N445" s="26" t="str">
        <f t="shared" si="20"/>
        <v/>
      </c>
      <c r="O445" s="80"/>
      <c r="P445" s="80"/>
      <c r="Q445" s="80"/>
      <c r="R445" s="80"/>
    </row>
    <row r="446" ht="18" customHeight="1" spans="1:18">
      <c r="A446" s="87" t="str">
        <f t="shared" si="18"/>
        <v/>
      </c>
      <c r="B446" s="78"/>
      <c r="C446" s="80"/>
      <c r="D446" s="80"/>
      <c r="E446" s="79"/>
      <c r="F446" s="87" t="str">
        <f>IF($E446="","",IFERROR(INDEX(基础资料!$O$4:$O$34,MATCH($E446,基础资料!$N$4:$N$34,0))&amp;"",""))</f>
        <v/>
      </c>
      <c r="G446" s="87" t="str">
        <f>IF($E446="","",IFERROR(INDEX(基础资料!$P$4:$P$34,MATCH($E446,基础资料!$N$4:$N$34,0))&amp;"",""))</f>
        <v/>
      </c>
      <c r="H446" s="79"/>
      <c r="I446" s="88"/>
      <c r="J446" s="92"/>
      <c r="K446" s="93"/>
      <c r="L446" s="25" t="str">
        <f t="shared" si="19"/>
        <v/>
      </c>
      <c r="M446" s="94"/>
      <c r="N446" s="26" t="str">
        <f t="shared" si="20"/>
        <v/>
      </c>
      <c r="O446" s="80"/>
      <c r="P446" s="80"/>
      <c r="Q446" s="80"/>
      <c r="R446" s="80"/>
    </row>
    <row r="447" ht="18" customHeight="1" spans="1:18">
      <c r="A447" s="87" t="str">
        <f t="shared" si="18"/>
        <v/>
      </c>
      <c r="B447" s="78"/>
      <c r="C447" s="80"/>
      <c r="D447" s="80"/>
      <c r="E447" s="79"/>
      <c r="F447" s="87" t="str">
        <f>IF($E447="","",IFERROR(INDEX(基础资料!$O$4:$O$34,MATCH($E447,基础资料!$N$4:$N$34,0))&amp;"",""))</f>
        <v/>
      </c>
      <c r="G447" s="87" t="str">
        <f>IF($E447="","",IFERROR(INDEX(基础资料!$P$4:$P$34,MATCH($E447,基础资料!$N$4:$N$34,0))&amp;"",""))</f>
        <v/>
      </c>
      <c r="H447" s="79"/>
      <c r="I447" s="88"/>
      <c r="J447" s="92"/>
      <c r="K447" s="93"/>
      <c r="L447" s="25" t="str">
        <f t="shared" si="19"/>
        <v/>
      </c>
      <c r="M447" s="94"/>
      <c r="N447" s="26" t="str">
        <f t="shared" si="20"/>
        <v/>
      </c>
      <c r="O447" s="80"/>
      <c r="P447" s="80"/>
      <c r="Q447" s="80"/>
      <c r="R447" s="80"/>
    </row>
    <row r="448" ht="18" customHeight="1" spans="1:18">
      <c r="A448" s="87" t="str">
        <f t="shared" si="18"/>
        <v/>
      </c>
      <c r="B448" s="78"/>
      <c r="C448" s="80"/>
      <c r="D448" s="80"/>
      <c r="E448" s="79"/>
      <c r="F448" s="87" t="str">
        <f>IF($E448="","",IFERROR(INDEX(基础资料!$O$4:$O$34,MATCH($E448,基础资料!$N$4:$N$34,0))&amp;"",""))</f>
        <v/>
      </c>
      <c r="G448" s="87" t="str">
        <f>IF($E448="","",IFERROR(INDEX(基础资料!$P$4:$P$34,MATCH($E448,基础资料!$N$4:$N$34,0))&amp;"",""))</f>
        <v/>
      </c>
      <c r="H448" s="79"/>
      <c r="I448" s="88"/>
      <c r="J448" s="92"/>
      <c r="K448" s="93"/>
      <c r="L448" s="25" t="str">
        <f t="shared" si="19"/>
        <v/>
      </c>
      <c r="M448" s="94"/>
      <c r="N448" s="26" t="str">
        <f t="shared" si="20"/>
        <v/>
      </c>
      <c r="O448" s="80"/>
      <c r="P448" s="80"/>
      <c r="Q448" s="80"/>
      <c r="R448" s="80"/>
    </row>
    <row r="449" ht="18" customHeight="1" spans="1:18">
      <c r="A449" s="87" t="str">
        <f t="shared" si="18"/>
        <v/>
      </c>
      <c r="B449" s="78"/>
      <c r="C449" s="80"/>
      <c r="D449" s="80"/>
      <c r="E449" s="79"/>
      <c r="F449" s="87" t="str">
        <f>IF($E449="","",IFERROR(INDEX(基础资料!$O$4:$O$34,MATCH($E449,基础资料!$N$4:$N$34,0))&amp;"",""))</f>
        <v/>
      </c>
      <c r="G449" s="87" t="str">
        <f>IF($E449="","",IFERROR(INDEX(基础资料!$P$4:$P$34,MATCH($E449,基础资料!$N$4:$N$34,0))&amp;"",""))</f>
        <v/>
      </c>
      <c r="H449" s="79"/>
      <c r="I449" s="88"/>
      <c r="J449" s="92"/>
      <c r="K449" s="93"/>
      <c r="L449" s="25" t="str">
        <f t="shared" si="19"/>
        <v/>
      </c>
      <c r="M449" s="94"/>
      <c r="N449" s="26" t="str">
        <f t="shared" si="20"/>
        <v/>
      </c>
      <c r="O449" s="80"/>
      <c r="P449" s="80"/>
      <c r="Q449" s="80"/>
      <c r="R449" s="80"/>
    </row>
    <row r="450" ht="18" customHeight="1" spans="1:18">
      <c r="A450" s="87" t="str">
        <f t="shared" si="18"/>
        <v/>
      </c>
      <c r="B450" s="78"/>
      <c r="C450" s="80"/>
      <c r="D450" s="80"/>
      <c r="E450" s="79"/>
      <c r="F450" s="87" t="str">
        <f>IF($E450="","",IFERROR(INDEX(基础资料!$O$4:$O$34,MATCH($E450,基础资料!$N$4:$N$34,0))&amp;"",""))</f>
        <v/>
      </c>
      <c r="G450" s="87" t="str">
        <f>IF($E450="","",IFERROR(INDEX(基础资料!$P$4:$P$34,MATCH($E450,基础资料!$N$4:$N$34,0))&amp;"",""))</f>
        <v/>
      </c>
      <c r="H450" s="79"/>
      <c r="I450" s="88"/>
      <c r="J450" s="92"/>
      <c r="K450" s="93"/>
      <c r="L450" s="25" t="str">
        <f t="shared" si="19"/>
        <v/>
      </c>
      <c r="M450" s="94"/>
      <c r="N450" s="26" t="str">
        <f t="shared" si="20"/>
        <v/>
      </c>
      <c r="O450" s="80"/>
      <c r="P450" s="80"/>
      <c r="Q450" s="80"/>
      <c r="R450" s="80"/>
    </row>
    <row r="451" ht="18" customHeight="1" spans="1:18">
      <c r="A451" s="87" t="str">
        <f t="shared" si="18"/>
        <v/>
      </c>
      <c r="B451" s="78"/>
      <c r="C451" s="80"/>
      <c r="D451" s="80"/>
      <c r="E451" s="79"/>
      <c r="F451" s="87" t="str">
        <f>IF($E451="","",IFERROR(INDEX(基础资料!$O$4:$O$34,MATCH($E451,基础资料!$N$4:$N$34,0))&amp;"",""))</f>
        <v/>
      </c>
      <c r="G451" s="87" t="str">
        <f>IF($E451="","",IFERROR(INDEX(基础资料!$P$4:$P$34,MATCH($E451,基础资料!$N$4:$N$34,0))&amp;"",""))</f>
        <v/>
      </c>
      <c r="H451" s="79"/>
      <c r="I451" s="88"/>
      <c r="J451" s="92"/>
      <c r="K451" s="93"/>
      <c r="L451" s="25" t="str">
        <f t="shared" si="19"/>
        <v/>
      </c>
      <c r="M451" s="94"/>
      <c r="N451" s="26" t="str">
        <f t="shared" si="20"/>
        <v/>
      </c>
      <c r="O451" s="80"/>
      <c r="P451" s="80"/>
      <c r="Q451" s="80"/>
      <c r="R451" s="80"/>
    </row>
    <row r="452" ht="18" customHeight="1" spans="1:18">
      <c r="A452" s="87" t="str">
        <f t="shared" ref="A452:A515" si="21">IF($E452="","",ROW()-3)</f>
        <v/>
      </c>
      <c r="B452" s="78"/>
      <c r="C452" s="80"/>
      <c r="D452" s="80"/>
      <c r="E452" s="79"/>
      <c r="F452" s="87" t="str">
        <f>IF($E452="","",IFERROR(INDEX(基础资料!$O$4:$O$34,MATCH($E452,基础资料!$N$4:$N$34,0))&amp;"",""))</f>
        <v/>
      </c>
      <c r="G452" s="87" t="str">
        <f>IF($E452="","",IFERROR(INDEX(基础资料!$P$4:$P$34,MATCH($E452,基础资料!$N$4:$N$34,0))&amp;"",""))</f>
        <v/>
      </c>
      <c r="H452" s="79"/>
      <c r="I452" s="88"/>
      <c r="J452" s="92"/>
      <c r="K452" s="93"/>
      <c r="L452" s="25" t="str">
        <f t="shared" ref="L452:L515" si="22">IF($E452="","",N($I452)+N($J452)-N($K452))</f>
        <v/>
      </c>
      <c r="M452" s="94"/>
      <c r="N452" s="26" t="str">
        <f t="shared" ref="N452:N515" si="23">IF($E452="","",ROUND(N($L452)*N($M452),2))</f>
        <v/>
      </c>
      <c r="O452" s="80"/>
      <c r="P452" s="80"/>
      <c r="Q452" s="80"/>
      <c r="R452" s="80"/>
    </row>
    <row r="453" ht="18" customHeight="1" spans="1:18">
      <c r="A453" s="87" t="str">
        <f t="shared" si="21"/>
        <v/>
      </c>
      <c r="B453" s="78"/>
      <c r="C453" s="80"/>
      <c r="D453" s="80"/>
      <c r="E453" s="79"/>
      <c r="F453" s="87" t="str">
        <f>IF($E453="","",IFERROR(INDEX(基础资料!$O$4:$O$34,MATCH($E453,基础资料!$N$4:$N$34,0))&amp;"",""))</f>
        <v/>
      </c>
      <c r="G453" s="87" t="str">
        <f>IF($E453="","",IFERROR(INDEX(基础资料!$P$4:$P$34,MATCH($E453,基础资料!$N$4:$N$34,0))&amp;"",""))</f>
        <v/>
      </c>
      <c r="H453" s="79"/>
      <c r="I453" s="88"/>
      <c r="J453" s="92"/>
      <c r="K453" s="93"/>
      <c r="L453" s="25" t="str">
        <f t="shared" si="22"/>
        <v/>
      </c>
      <c r="M453" s="94"/>
      <c r="N453" s="26" t="str">
        <f t="shared" si="23"/>
        <v/>
      </c>
      <c r="O453" s="80"/>
      <c r="P453" s="80"/>
      <c r="Q453" s="80"/>
      <c r="R453" s="80"/>
    </row>
    <row r="454" ht="18" customHeight="1" spans="1:18">
      <c r="A454" s="87" t="str">
        <f t="shared" si="21"/>
        <v/>
      </c>
      <c r="B454" s="78"/>
      <c r="C454" s="80"/>
      <c r="D454" s="80"/>
      <c r="E454" s="79"/>
      <c r="F454" s="87" t="str">
        <f>IF($E454="","",IFERROR(INDEX(基础资料!$O$4:$O$34,MATCH($E454,基础资料!$N$4:$N$34,0))&amp;"",""))</f>
        <v/>
      </c>
      <c r="G454" s="87" t="str">
        <f>IF($E454="","",IFERROR(INDEX(基础资料!$P$4:$P$34,MATCH($E454,基础资料!$N$4:$N$34,0))&amp;"",""))</f>
        <v/>
      </c>
      <c r="H454" s="79"/>
      <c r="I454" s="88"/>
      <c r="J454" s="92"/>
      <c r="K454" s="93"/>
      <c r="L454" s="25" t="str">
        <f t="shared" si="22"/>
        <v/>
      </c>
      <c r="M454" s="94"/>
      <c r="N454" s="26" t="str">
        <f t="shared" si="23"/>
        <v/>
      </c>
      <c r="O454" s="80"/>
      <c r="P454" s="80"/>
      <c r="Q454" s="80"/>
      <c r="R454" s="80"/>
    </row>
    <row r="455" ht="18" customHeight="1" spans="1:18">
      <c r="A455" s="87" t="str">
        <f t="shared" si="21"/>
        <v/>
      </c>
      <c r="B455" s="78"/>
      <c r="C455" s="80"/>
      <c r="D455" s="80"/>
      <c r="E455" s="79"/>
      <c r="F455" s="87" t="str">
        <f>IF($E455="","",IFERROR(INDEX(基础资料!$O$4:$O$34,MATCH($E455,基础资料!$N$4:$N$34,0))&amp;"",""))</f>
        <v/>
      </c>
      <c r="G455" s="87" t="str">
        <f>IF($E455="","",IFERROR(INDEX(基础资料!$P$4:$P$34,MATCH($E455,基础资料!$N$4:$N$34,0))&amp;"",""))</f>
        <v/>
      </c>
      <c r="H455" s="79"/>
      <c r="I455" s="88"/>
      <c r="J455" s="92"/>
      <c r="K455" s="93"/>
      <c r="L455" s="25" t="str">
        <f t="shared" si="22"/>
        <v/>
      </c>
      <c r="M455" s="94"/>
      <c r="N455" s="26" t="str">
        <f t="shared" si="23"/>
        <v/>
      </c>
      <c r="O455" s="80"/>
      <c r="P455" s="80"/>
      <c r="Q455" s="80"/>
      <c r="R455" s="80"/>
    </row>
    <row r="456" ht="18" customHeight="1" spans="1:18">
      <c r="A456" s="87" t="str">
        <f t="shared" si="21"/>
        <v/>
      </c>
      <c r="B456" s="78"/>
      <c r="C456" s="80"/>
      <c r="D456" s="80"/>
      <c r="E456" s="79"/>
      <c r="F456" s="87" t="str">
        <f>IF($E456="","",IFERROR(INDEX(基础资料!$O$4:$O$34,MATCH($E456,基础资料!$N$4:$N$34,0))&amp;"",""))</f>
        <v/>
      </c>
      <c r="G456" s="87" t="str">
        <f>IF($E456="","",IFERROR(INDEX(基础资料!$P$4:$P$34,MATCH($E456,基础资料!$N$4:$N$34,0))&amp;"",""))</f>
        <v/>
      </c>
      <c r="H456" s="79"/>
      <c r="I456" s="88"/>
      <c r="J456" s="92"/>
      <c r="K456" s="93"/>
      <c r="L456" s="25" t="str">
        <f t="shared" si="22"/>
        <v/>
      </c>
      <c r="M456" s="94"/>
      <c r="N456" s="26" t="str">
        <f t="shared" si="23"/>
        <v/>
      </c>
      <c r="O456" s="80"/>
      <c r="P456" s="80"/>
      <c r="Q456" s="80"/>
      <c r="R456" s="80"/>
    </row>
    <row r="457" ht="18" customHeight="1" spans="1:18">
      <c r="A457" s="87" t="str">
        <f t="shared" si="21"/>
        <v/>
      </c>
      <c r="B457" s="78"/>
      <c r="C457" s="80"/>
      <c r="D457" s="80"/>
      <c r="E457" s="79"/>
      <c r="F457" s="87" t="str">
        <f>IF($E457="","",IFERROR(INDEX(基础资料!$O$4:$O$34,MATCH($E457,基础资料!$N$4:$N$34,0))&amp;"",""))</f>
        <v/>
      </c>
      <c r="G457" s="87" t="str">
        <f>IF($E457="","",IFERROR(INDEX(基础资料!$P$4:$P$34,MATCH($E457,基础资料!$N$4:$N$34,0))&amp;"",""))</f>
        <v/>
      </c>
      <c r="H457" s="79"/>
      <c r="I457" s="88"/>
      <c r="J457" s="92"/>
      <c r="K457" s="93"/>
      <c r="L457" s="25" t="str">
        <f t="shared" si="22"/>
        <v/>
      </c>
      <c r="M457" s="94"/>
      <c r="N457" s="26" t="str">
        <f t="shared" si="23"/>
        <v/>
      </c>
      <c r="O457" s="80"/>
      <c r="P457" s="80"/>
      <c r="Q457" s="80"/>
      <c r="R457" s="80"/>
    </row>
    <row r="458" ht="18" customHeight="1" spans="1:18">
      <c r="A458" s="87" t="str">
        <f t="shared" si="21"/>
        <v/>
      </c>
      <c r="B458" s="78"/>
      <c r="C458" s="80"/>
      <c r="D458" s="80"/>
      <c r="E458" s="79"/>
      <c r="F458" s="87" t="str">
        <f>IF($E458="","",IFERROR(INDEX(基础资料!$O$4:$O$34,MATCH($E458,基础资料!$N$4:$N$34,0))&amp;"",""))</f>
        <v/>
      </c>
      <c r="G458" s="87" t="str">
        <f>IF($E458="","",IFERROR(INDEX(基础资料!$P$4:$P$34,MATCH($E458,基础资料!$N$4:$N$34,0))&amp;"",""))</f>
        <v/>
      </c>
      <c r="H458" s="79"/>
      <c r="I458" s="88"/>
      <c r="J458" s="92"/>
      <c r="K458" s="93"/>
      <c r="L458" s="25" t="str">
        <f t="shared" si="22"/>
        <v/>
      </c>
      <c r="M458" s="94"/>
      <c r="N458" s="26" t="str">
        <f t="shared" si="23"/>
        <v/>
      </c>
      <c r="O458" s="80"/>
      <c r="P458" s="80"/>
      <c r="Q458" s="80"/>
      <c r="R458" s="80"/>
    </row>
    <row r="459" ht="18" customHeight="1" spans="1:18">
      <c r="A459" s="87" t="str">
        <f t="shared" si="21"/>
        <v/>
      </c>
      <c r="B459" s="78"/>
      <c r="C459" s="80"/>
      <c r="D459" s="80"/>
      <c r="E459" s="79"/>
      <c r="F459" s="87" t="str">
        <f>IF($E459="","",IFERROR(INDEX(基础资料!$O$4:$O$34,MATCH($E459,基础资料!$N$4:$N$34,0))&amp;"",""))</f>
        <v/>
      </c>
      <c r="G459" s="87" t="str">
        <f>IF($E459="","",IFERROR(INDEX(基础资料!$P$4:$P$34,MATCH($E459,基础资料!$N$4:$N$34,0))&amp;"",""))</f>
        <v/>
      </c>
      <c r="H459" s="79"/>
      <c r="I459" s="88"/>
      <c r="J459" s="92"/>
      <c r="K459" s="93"/>
      <c r="L459" s="25" t="str">
        <f t="shared" si="22"/>
        <v/>
      </c>
      <c r="M459" s="94"/>
      <c r="N459" s="26" t="str">
        <f t="shared" si="23"/>
        <v/>
      </c>
      <c r="O459" s="80"/>
      <c r="P459" s="80"/>
      <c r="Q459" s="80"/>
      <c r="R459" s="80"/>
    </row>
    <row r="460" ht="18" customHeight="1" spans="1:18">
      <c r="A460" s="87" t="str">
        <f t="shared" si="21"/>
        <v/>
      </c>
      <c r="B460" s="78"/>
      <c r="C460" s="80"/>
      <c r="D460" s="80"/>
      <c r="E460" s="79"/>
      <c r="F460" s="87" t="str">
        <f>IF($E460="","",IFERROR(INDEX(基础资料!$O$4:$O$34,MATCH($E460,基础资料!$N$4:$N$34,0))&amp;"",""))</f>
        <v/>
      </c>
      <c r="G460" s="87" t="str">
        <f>IF($E460="","",IFERROR(INDEX(基础资料!$P$4:$P$34,MATCH($E460,基础资料!$N$4:$N$34,0))&amp;"",""))</f>
        <v/>
      </c>
      <c r="H460" s="79"/>
      <c r="I460" s="88"/>
      <c r="J460" s="92"/>
      <c r="K460" s="93"/>
      <c r="L460" s="25" t="str">
        <f t="shared" si="22"/>
        <v/>
      </c>
      <c r="M460" s="94"/>
      <c r="N460" s="26" t="str">
        <f t="shared" si="23"/>
        <v/>
      </c>
      <c r="O460" s="80"/>
      <c r="P460" s="80"/>
      <c r="Q460" s="80"/>
      <c r="R460" s="80"/>
    </row>
    <row r="461" ht="18" customHeight="1" spans="1:18">
      <c r="A461" s="87" t="str">
        <f t="shared" si="21"/>
        <v/>
      </c>
      <c r="B461" s="78"/>
      <c r="C461" s="80"/>
      <c r="D461" s="80"/>
      <c r="E461" s="79"/>
      <c r="F461" s="87" t="str">
        <f>IF($E461="","",IFERROR(INDEX(基础资料!$O$4:$O$34,MATCH($E461,基础资料!$N$4:$N$34,0))&amp;"",""))</f>
        <v/>
      </c>
      <c r="G461" s="87" t="str">
        <f>IF($E461="","",IFERROR(INDEX(基础资料!$P$4:$P$34,MATCH($E461,基础资料!$N$4:$N$34,0))&amp;"",""))</f>
        <v/>
      </c>
      <c r="H461" s="79"/>
      <c r="I461" s="88"/>
      <c r="J461" s="92"/>
      <c r="K461" s="93"/>
      <c r="L461" s="25" t="str">
        <f t="shared" si="22"/>
        <v/>
      </c>
      <c r="M461" s="94"/>
      <c r="N461" s="26" t="str">
        <f t="shared" si="23"/>
        <v/>
      </c>
      <c r="O461" s="80"/>
      <c r="P461" s="80"/>
      <c r="Q461" s="80"/>
      <c r="R461" s="80"/>
    </row>
    <row r="462" ht="18" customHeight="1" spans="1:18">
      <c r="A462" s="87" t="str">
        <f t="shared" si="21"/>
        <v/>
      </c>
      <c r="B462" s="78"/>
      <c r="C462" s="80"/>
      <c r="D462" s="80"/>
      <c r="E462" s="79"/>
      <c r="F462" s="87" t="str">
        <f>IF($E462="","",IFERROR(INDEX(基础资料!$O$4:$O$34,MATCH($E462,基础资料!$N$4:$N$34,0))&amp;"",""))</f>
        <v/>
      </c>
      <c r="G462" s="87" t="str">
        <f>IF($E462="","",IFERROR(INDEX(基础资料!$P$4:$P$34,MATCH($E462,基础资料!$N$4:$N$34,0))&amp;"",""))</f>
        <v/>
      </c>
      <c r="H462" s="79"/>
      <c r="I462" s="88"/>
      <c r="J462" s="92"/>
      <c r="K462" s="93"/>
      <c r="L462" s="25" t="str">
        <f t="shared" si="22"/>
        <v/>
      </c>
      <c r="M462" s="94"/>
      <c r="N462" s="26" t="str">
        <f t="shared" si="23"/>
        <v/>
      </c>
      <c r="O462" s="80"/>
      <c r="P462" s="80"/>
      <c r="Q462" s="80"/>
      <c r="R462" s="80"/>
    </row>
    <row r="463" ht="18" customHeight="1" spans="1:18">
      <c r="A463" s="87" t="str">
        <f t="shared" si="21"/>
        <v/>
      </c>
      <c r="B463" s="78"/>
      <c r="C463" s="80"/>
      <c r="D463" s="80"/>
      <c r="E463" s="79"/>
      <c r="F463" s="87" t="str">
        <f>IF($E463="","",IFERROR(INDEX(基础资料!$O$4:$O$34,MATCH($E463,基础资料!$N$4:$N$34,0))&amp;"",""))</f>
        <v/>
      </c>
      <c r="G463" s="87" t="str">
        <f>IF($E463="","",IFERROR(INDEX(基础资料!$P$4:$P$34,MATCH($E463,基础资料!$N$4:$N$34,0))&amp;"",""))</f>
        <v/>
      </c>
      <c r="H463" s="79"/>
      <c r="I463" s="88"/>
      <c r="J463" s="92"/>
      <c r="K463" s="93"/>
      <c r="L463" s="25" t="str">
        <f t="shared" si="22"/>
        <v/>
      </c>
      <c r="M463" s="94"/>
      <c r="N463" s="26" t="str">
        <f t="shared" si="23"/>
        <v/>
      </c>
      <c r="O463" s="80"/>
      <c r="P463" s="80"/>
      <c r="Q463" s="80"/>
      <c r="R463" s="80"/>
    </row>
    <row r="464" ht="18" customHeight="1" spans="1:18">
      <c r="A464" s="87" t="str">
        <f t="shared" si="21"/>
        <v/>
      </c>
      <c r="B464" s="78"/>
      <c r="C464" s="80"/>
      <c r="D464" s="80"/>
      <c r="E464" s="79"/>
      <c r="F464" s="87" t="str">
        <f>IF($E464="","",IFERROR(INDEX(基础资料!$O$4:$O$34,MATCH($E464,基础资料!$N$4:$N$34,0))&amp;"",""))</f>
        <v/>
      </c>
      <c r="G464" s="87" t="str">
        <f>IF($E464="","",IFERROR(INDEX(基础资料!$P$4:$P$34,MATCH($E464,基础资料!$N$4:$N$34,0))&amp;"",""))</f>
        <v/>
      </c>
      <c r="H464" s="79"/>
      <c r="I464" s="88"/>
      <c r="J464" s="92"/>
      <c r="K464" s="93"/>
      <c r="L464" s="25" t="str">
        <f t="shared" si="22"/>
        <v/>
      </c>
      <c r="M464" s="94"/>
      <c r="N464" s="26" t="str">
        <f t="shared" si="23"/>
        <v/>
      </c>
      <c r="O464" s="80"/>
      <c r="P464" s="80"/>
      <c r="Q464" s="80"/>
      <c r="R464" s="80"/>
    </row>
    <row r="465" ht="18" customHeight="1" spans="1:18">
      <c r="A465" s="87" t="str">
        <f t="shared" si="21"/>
        <v/>
      </c>
      <c r="B465" s="78"/>
      <c r="C465" s="80"/>
      <c r="D465" s="80"/>
      <c r="E465" s="79"/>
      <c r="F465" s="87" t="str">
        <f>IF($E465="","",IFERROR(INDEX(基础资料!$O$4:$O$34,MATCH($E465,基础资料!$N$4:$N$34,0))&amp;"",""))</f>
        <v/>
      </c>
      <c r="G465" s="87" t="str">
        <f>IF($E465="","",IFERROR(INDEX(基础资料!$P$4:$P$34,MATCH($E465,基础资料!$N$4:$N$34,0))&amp;"",""))</f>
        <v/>
      </c>
      <c r="H465" s="79"/>
      <c r="I465" s="88"/>
      <c r="J465" s="92"/>
      <c r="K465" s="93"/>
      <c r="L465" s="25" t="str">
        <f t="shared" si="22"/>
        <v/>
      </c>
      <c r="M465" s="94"/>
      <c r="N465" s="26" t="str">
        <f t="shared" si="23"/>
        <v/>
      </c>
      <c r="O465" s="80"/>
      <c r="P465" s="80"/>
      <c r="Q465" s="80"/>
      <c r="R465" s="80"/>
    </row>
    <row r="466" ht="18" customHeight="1" spans="1:18">
      <c r="A466" s="87" t="str">
        <f t="shared" si="21"/>
        <v/>
      </c>
      <c r="B466" s="78"/>
      <c r="C466" s="80"/>
      <c r="D466" s="80"/>
      <c r="E466" s="79"/>
      <c r="F466" s="87" t="str">
        <f>IF($E466="","",IFERROR(INDEX(基础资料!$O$4:$O$34,MATCH($E466,基础资料!$N$4:$N$34,0))&amp;"",""))</f>
        <v/>
      </c>
      <c r="G466" s="87" t="str">
        <f>IF($E466="","",IFERROR(INDEX(基础资料!$P$4:$P$34,MATCH($E466,基础资料!$N$4:$N$34,0))&amp;"",""))</f>
        <v/>
      </c>
      <c r="H466" s="79"/>
      <c r="I466" s="88"/>
      <c r="J466" s="92"/>
      <c r="K466" s="93"/>
      <c r="L466" s="25" t="str">
        <f t="shared" si="22"/>
        <v/>
      </c>
      <c r="M466" s="94"/>
      <c r="N466" s="26" t="str">
        <f t="shared" si="23"/>
        <v/>
      </c>
      <c r="O466" s="80"/>
      <c r="P466" s="80"/>
      <c r="Q466" s="80"/>
      <c r="R466" s="80"/>
    </row>
    <row r="467" ht="18" customHeight="1" spans="1:18">
      <c r="A467" s="87" t="str">
        <f t="shared" si="21"/>
        <v/>
      </c>
      <c r="B467" s="78"/>
      <c r="C467" s="80"/>
      <c r="D467" s="80"/>
      <c r="E467" s="79"/>
      <c r="F467" s="87" t="str">
        <f>IF($E467="","",IFERROR(INDEX(基础资料!$O$4:$O$34,MATCH($E467,基础资料!$N$4:$N$34,0))&amp;"",""))</f>
        <v/>
      </c>
      <c r="G467" s="87" t="str">
        <f>IF($E467="","",IFERROR(INDEX(基础资料!$P$4:$P$34,MATCH($E467,基础资料!$N$4:$N$34,0))&amp;"",""))</f>
        <v/>
      </c>
      <c r="H467" s="79"/>
      <c r="I467" s="88"/>
      <c r="J467" s="92"/>
      <c r="K467" s="93"/>
      <c r="L467" s="25" t="str">
        <f t="shared" si="22"/>
        <v/>
      </c>
      <c r="M467" s="94"/>
      <c r="N467" s="26" t="str">
        <f t="shared" si="23"/>
        <v/>
      </c>
      <c r="O467" s="80"/>
      <c r="P467" s="80"/>
      <c r="Q467" s="80"/>
      <c r="R467" s="80"/>
    </row>
    <row r="468" ht="18" customHeight="1" spans="1:18">
      <c r="A468" s="87" t="str">
        <f t="shared" si="21"/>
        <v/>
      </c>
      <c r="B468" s="78"/>
      <c r="C468" s="80"/>
      <c r="D468" s="80"/>
      <c r="E468" s="79"/>
      <c r="F468" s="87" t="str">
        <f>IF($E468="","",IFERROR(INDEX(基础资料!$O$4:$O$34,MATCH($E468,基础资料!$N$4:$N$34,0))&amp;"",""))</f>
        <v/>
      </c>
      <c r="G468" s="87" t="str">
        <f>IF($E468="","",IFERROR(INDEX(基础资料!$P$4:$P$34,MATCH($E468,基础资料!$N$4:$N$34,0))&amp;"",""))</f>
        <v/>
      </c>
      <c r="H468" s="79"/>
      <c r="I468" s="88"/>
      <c r="J468" s="92"/>
      <c r="K468" s="93"/>
      <c r="L468" s="25" t="str">
        <f t="shared" si="22"/>
        <v/>
      </c>
      <c r="M468" s="94"/>
      <c r="N468" s="26" t="str">
        <f t="shared" si="23"/>
        <v/>
      </c>
      <c r="O468" s="80"/>
      <c r="P468" s="80"/>
      <c r="Q468" s="80"/>
      <c r="R468" s="80"/>
    </row>
    <row r="469" ht="18" customHeight="1" spans="1:18">
      <c r="A469" s="87" t="str">
        <f t="shared" si="21"/>
        <v/>
      </c>
      <c r="B469" s="78"/>
      <c r="C469" s="80"/>
      <c r="D469" s="80"/>
      <c r="E469" s="79"/>
      <c r="F469" s="87" t="str">
        <f>IF($E469="","",IFERROR(INDEX(基础资料!$O$4:$O$34,MATCH($E469,基础资料!$N$4:$N$34,0))&amp;"",""))</f>
        <v/>
      </c>
      <c r="G469" s="87" t="str">
        <f>IF($E469="","",IFERROR(INDEX(基础资料!$P$4:$P$34,MATCH($E469,基础资料!$N$4:$N$34,0))&amp;"",""))</f>
        <v/>
      </c>
      <c r="H469" s="79"/>
      <c r="I469" s="88"/>
      <c r="J469" s="92"/>
      <c r="K469" s="93"/>
      <c r="L469" s="25" t="str">
        <f t="shared" si="22"/>
        <v/>
      </c>
      <c r="M469" s="94"/>
      <c r="N469" s="26" t="str">
        <f t="shared" si="23"/>
        <v/>
      </c>
      <c r="O469" s="80"/>
      <c r="P469" s="80"/>
      <c r="Q469" s="80"/>
      <c r="R469" s="80"/>
    </row>
    <row r="470" ht="18" customHeight="1" spans="1:18">
      <c r="A470" s="87" t="str">
        <f t="shared" si="21"/>
        <v/>
      </c>
      <c r="B470" s="78"/>
      <c r="C470" s="80"/>
      <c r="D470" s="80"/>
      <c r="E470" s="79"/>
      <c r="F470" s="87" t="str">
        <f>IF($E470="","",IFERROR(INDEX(基础资料!$O$4:$O$34,MATCH($E470,基础资料!$N$4:$N$34,0))&amp;"",""))</f>
        <v/>
      </c>
      <c r="G470" s="87" t="str">
        <f>IF($E470="","",IFERROR(INDEX(基础资料!$P$4:$P$34,MATCH($E470,基础资料!$N$4:$N$34,0))&amp;"",""))</f>
        <v/>
      </c>
      <c r="H470" s="79"/>
      <c r="I470" s="88"/>
      <c r="J470" s="92"/>
      <c r="K470" s="93"/>
      <c r="L470" s="25" t="str">
        <f t="shared" si="22"/>
        <v/>
      </c>
      <c r="M470" s="94"/>
      <c r="N470" s="26" t="str">
        <f t="shared" si="23"/>
        <v/>
      </c>
      <c r="O470" s="80"/>
      <c r="P470" s="80"/>
      <c r="Q470" s="80"/>
      <c r="R470" s="80"/>
    </row>
    <row r="471" ht="18" customHeight="1" spans="1:18">
      <c r="A471" s="87" t="str">
        <f t="shared" si="21"/>
        <v/>
      </c>
      <c r="B471" s="78"/>
      <c r="C471" s="80"/>
      <c r="D471" s="80"/>
      <c r="E471" s="79"/>
      <c r="F471" s="87" t="str">
        <f>IF($E471="","",IFERROR(INDEX(基础资料!$O$4:$O$34,MATCH($E471,基础资料!$N$4:$N$34,0))&amp;"",""))</f>
        <v/>
      </c>
      <c r="G471" s="87" t="str">
        <f>IF($E471="","",IFERROR(INDEX(基础资料!$P$4:$P$34,MATCH($E471,基础资料!$N$4:$N$34,0))&amp;"",""))</f>
        <v/>
      </c>
      <c r="H471" s="79"/>
      <c r="I471" s="88"/>
      <c r="J471" s="92"/>
      <c r="K471" s="93"/>
      <c r="L471" s="25" t="str">
        <f t="shared" si="22"/>
        <v/>
      </c>
      <c r="M471" s="94"/>
      <c r="N471" s="26" t="str">
        <f t="shared" si="23"/>
        <v/>
      </c>
      <c r="O471" s="80"/>
      <c r="P471" s="80"/>
      <c r="Q471" s="80"/>
      <c r="R471" s="80"/>
    </row>
    <row r="472" ht="18" customHeight="1" spans="1:18">
      <c r="A472" s="87" t="str">
        <f t="shared" si="21"/>
        <v/>
      </c>
      <c r="B472" s="78"/>
      <c r="C472" s="80"/>
      <c r="D472" s="80"/>
      <c r="E472" s="79"/>
      <c r="F472" s="87" t="str">
        <f>IF($E472="","",IFERROR(INDEX(基础资料!$O$4:$O$34,MATCH($E472,基础资料!$N$4:$N$34,0))&amp;"",""))</f>
        <v/>
      </c>
      <c r="G472" s="87" t="str">
        <f>IF($E472="","",IFERROR(INDEX(基础资料!$P$4:$P$34,MATCH($E472,基础资料!$N$4:$N$34,0))&amp;"",""))</f>
        <v/>
      </c>
      <c r="H472" s="79"/>
      <c r="I472" s="88"/>
      <c r="J472" s="92"/>
      <c r="K472" s="93"/>
      <c r="L472" s="25" t="str">
        <f t="shared" si="22"/>
        <v/>
      </c>
      <c r="M472" s="94"/>
      <c r="N472" s="26" t="str">
        <f t="shared" si="23"/>
        <v/>
      </c>
      <c r="O472" s="80"/>
      <c r="P472" s="80"/>
      <c r="Q472" s="80"/>
      <c r="R472" s="80"/>
    </row>
    <row r="473" ht="18" customHeight="1" spans="1:18">
      <c r="A473" s="87" t="str">
        <f t="shared" si="21"/>
        <v/>
      </c>
      <c r="B473" s="78"/>
      <c r="C473" s="80"/>
      <c r="D473" s="80"/>
      <c r="E473" s="79"/>
      <c r="F473" s="87" t="str">
        <f>IF($E473="","",IFERROR(INDEX(基础资料!$O$4:$O$34,MATCH($E473,基础资料!$N$4:$N$34,0))&amp;"",""))</f>
        <v/>
      </c>
      <c r="G473" s="87" t="str">
        <f>IF($E473="","",IFERROR(INDEX(基础资料!$P$4:$P$34,MATCH($E473,基础资料!$N$4:$N$34,0))&amp;"",""))</f>
        <v/>
      </c>
      <c r="H473" s="79"/>
      <c r="I473" s="88"/>
      <c r="J473" s="92"/>
      <c r="K473" s="93"/>
      <c r="L473" s="25" t="str">
        <f t="shared" si="22"/>
        <v/>
      </c>
      <c r="M473" s="94"/>
      <c r="N473" s="26" t="str">
        <f t="shared" si="23"/>
        <v/>
      </c>
      <c r="O473" s="80"/>
      <c r="P473" s="80"/>
      <c r="Q473" s="80"/>
      <c r="R473" s="80"/>
    </row>
    <row r="474" ht="18" customHeight="1" spans="1:18">
      <c r="A474" s="87" t="str">
        <f t="shared" si="21"/>
        <v/>
      </c>
      <c r="B474" s="78"/>
      <c r="C474" s="80"/>
      <c r="D474" s="80"/>
      <c r="E474" s="79"/>
      <c r="F474" s="87" t="str">
        <f>IF($E474="","",IFERROR(INDEX(基础资料!$O$4:$O$34,MATCH($E474,基础资料!$N$4:$N$34,0))&amp;"",""))</f>
        <v/>
      </c>
      <c r="G474" s="87" t="str">
        <f>IF($E474="","",IFERROR(INDEX(基础资料!$P$4:$P$34,MATCH($E474,基础资料!$N$4:$N$34,0))&amp;"",""))</f>
        <v/>
      </c>
      <c r="H474" s="79"/>
      <c r="I474" s="88"/>
      <c r="J474" s="92"/>
      <c r="K474" s="93"/>
      <c r="L474" s="25" t="str">
        <f t="shared" si="22"/>
        <v/>
      </c>
      <c r="M474" s="94"/>
      <c r="N474" s="26" t="str">
        <f t="shared" si="23"/>
        <v/>
      </c>
      <c r="O474" s="80"/>
      <c r="P474" s="80"/>
      <c r="Q474" s="80"/>
      <c r="R474" s="80"/>
    </row>
    <row r="475" ht="18" customHeight="1" spans="1:18">
      <c r="A475" s="87" t="str">
        <f t="shared" si="21"/>
        <v/>
      </c>
      <c r="B475" s="78"/>
      <c r="C475" s="80"/>
      <c r="D475" s="80"/>
      <c r="E475" s="79"/>
      <c r="F475" s="87" t="str">
        <f>IF($E475="","",IFERROR(INDEX(基础资料!$O$4:$O$34,MATCH($E475,基础资料!$N$4:$N$34,0))&amp;"",""))</f>
        <v/>
      </c>
      <c r="G475" s="87" t="str">
        <f>IF($E475="","",IFERROR(INDEX(基础资料!$P$4:$P$34,MATCH($E475,基础资料!$N$4:$N$34,0))&amp;"",""))</f>
        <v/>
      </c>
      <c r="H475" s="79"/>
      <c r="I475" s="88"/>
      <c r="J475" s="92"/>
      <c r="K475" s="93"/>
      <c r="L475" s="25" t="str">
        <f t="shared" si="22"/>
        <v/>
      </c>
      <c r="M475" s="94"/>
      <c r="N475" s="26" t="str">
        <f t="shared" si="23"/>
        <v/>
      </c>
      <c r="O475" s="80"/>
      <c r="P475" s="80"/>
      <c r="Q475" s="80"/>
      <c r="R475" s="80"/>
    </row>
    <row r="476" ht="18" customHeight="1" spans="1:18">
      <c r="A476" s="87" t="str">
        <f t="shared" si="21"/>
        <v/>
      </c>
      <c r="B476" s="78"/>
      <c r="C476" s="80"/>
      <c r="D476" s="80"/>
      <c r="E476" s="79"/>
      <c r="F476" s="87" t="str">
        <f>IF($E476="","",IFERROR(INDEX(基础资料!$O$4:$O$34,MATCH($E476,基础资料!$N$4:$N$34,0))&amp;"",""))</f>
        <v/>
      </c>
      <c r="G476" s="87" t="str">
        <f>IF($E476="","",IFERROR(INDEX(基础资料!$P$4:$P$34,MATCH($E476,基础资料!$N$4:$N$34,0))&amp;"",""))</f>
        <v/>
      </c>
      <c r="H476" s="79"/>
      <c r="I476" s="88"/>
      <c r="J476" s="92"/>
      <c r="K476" s="93"/>
      <c r="L476" s="25" t="str">
        <f t="shared" si="22"/>
        <v/>
      </c>
      <c r="M476" s="94"/>
      <c r="N476" s="26" t="str">
        <f t="shared" si="23"/>
        <v/>
      </c>
      <c r="O476" s="80"/>
      <c r="P476" s="80"/>
      <c r="Q476" s="80"/>
      <c r="R476" s="80"/>
    </row>
    <row r="477" ht="18" customHeight="1" spans="1:18">
      <c r="A477" s="87" t="str">
        <f t="shared" si="21"/>
        <v/>
      </c>
      <c r="B477" s="78"/>
      <c r="C477" s="80"/>
      <c r="D477" s="80"/>
      <c r="E477" s="79"/>
      <c r="F477" s="87" t="str">
        <f>IF($E477="","",IFERROR(INDEX(基础资料!$O$4:$O$34,MATCH($E477,基础资料!$N$4:$N$34,0))&amp;"",""))</f>
        <v/>
      </c>
      <c r="G477" s="87" t="str">
        <f>IF($E477="","",IFERROR(INDEX(基础资料!$P$4:$P$34,MATCH($E477,基础资料!$N$4:$N$34,0))&amp;"",""))</f>
        <v/>
      </c>
      <c r="H477" s="79"/>
      <c r="I477" s="88"/>
      <c r="J477" s="92"/>
      <c r="K477" s="93"/>
      <c r="L477" s="25" t="str">
        <f t="shared" si="22"/>
        <v/>
      </c>
      <c r="M477" s="94"/>
      <c r="N477" s="26" t="str">
        <f t="shared" si="23"/>
        <v/>
      </c>
      <c r="O477" s="80"/>
      <c r="P477" s="80"/>
      <c r="Q477" s="80"/>
      <c r="R477" s="80"/>
    </row>
    <row r="478" ht="18" customHeight="1" spans="1:18">
      <c r="A478" s="87" t="str">
        <f t="shared" si="21"/>
        <v/>
      </c>
      <c r="B478" s="78"/>
      <c r="C478" s="80"/>
      <c r="D478" s="80"/>
      <c r="E478" s="79"/>
      <c r="F478" s="87" t="str">
        <f>IF($E478="","",IFERROR(INDEX(基础资料!$O$4:$O$34,MATCH($E478,基础资料!$N$4:$N$34,0))&amp;"",""))</f>
        <v/>
      </c>
      <c r="G478" s="87" t="str">
        <f>IF($E478="","",IFERROR(INDEX(基础资料!$P$4:$P$34,MATCH($E478,基础资料!$N$4:$N$34,0))&amp;"",""))</f>
        <v/>
      </c>
      <c r="H478" s="79"/>
      <c r="I478" s="88"/>
      <c r="J478" s="92"/>
      <c r="K478" s="93"/>
      <c r="L478" s="25" t="str">
        <f t="shared" si="22"/>
        <v/>
      </c>
      <c r="M478" s="94"/>
      <c r="N478" s="26" t="str">
        <f t="shared" si="23"/>
        <v/>
      </c>
      <c r="O478" s="80"/>
      <c r="P478" s="80"/>
      <c r="Q478" s="80"/>
      <c r="R478" s="80"/>
    </row>
    <row r="479" ht="18" customHeight="1" spans="1:18">
      <c r="A479" s="87" t="str">
        <f t="shared" si="21"/>
        <v/>
      </c>
      <c r="B479" s="78"/>
      <c r="C479" s="80"/>
      <c r="D479" s="80"/>
      <c r="E479" s="79"/>
      <c r="F479" s="87" t="str">
        <f>IF($E479="","",IFERROR(INDEX(基础资料!$O$4:$O$34,MATCH($E479,基础资料!$N$4:$N$34,0))&amp;"",""))</f>
        <v/>
      </c>
      <c r="G479" s="87" t="str">
        <f>IF($E479="","",IFERROR(INDEX(基础资料!$P$4:$P$34,MATCH($E479,基础资料!$N$4:$N$34,0))&amp;"",""))</f>
        <v/>
      </c>
      <c r="H479" s="79"/>
      <c r="I479" s="88"/>
      <c r="J479" s="92"/>
      <c r="K479" s="93"/>
      <c r="L479" s="25" t="str">
        <f t="shared" si="22"/>
        <v/>
      </c>
      <c r="M479" s="94"/>
      <c r="N479" s="26" t="str">
        <f t="shared" si="23"/>
        <v/>
      </c>
      <c r="O479" s="80"/>
      <c r="P479" s="80"/>
      <c r="Q479" s="80"/>
      <c r="R479" s="80"/>
    </row>
    <row r="480" ht="18" customHeight="1" spans="1:18">
      <c r="A480" s="87" t="str">
        <f t="shared" si="21"/>
        <v/>
      </c>
      <c r="B480" s="78"/>
      <c r="C480" s="80"/>
      <c r="D480" s="80"/>
      <c r="E480" s="79"/>
      <c r="F480" s="87" t="str">
        <f>IF($E480="","",IFERROR(INDEX(基础资料!$O$4:$O$34,MATCH($E480,基础资料!$N$4:$N$34,0))&amp;"",""))</f>
        <v/>
      </c>
      <c r="G480" s="87" t="str">
        <f>IF($E480="","",IFERROR(INDEX(基础资料!$P$4:$P$34,MATCH($E480,基础资料!$N$4:$N$34,0))&amp;"",""))</f>
        <v/>
      </c>
      <c r="H480" s="79"/>
      <c r="I480" s="88"/>
      <c r="J480" s="92"/>
      <c r="K480" s="93"/>
      <c r="L480" s="25" t="str">
        <f t="shared" si="22"/>
        <v/>
      </c>
      <c r="M480" s="94"/>
      <c r="N480" s="26" t="str">
        <f t="shared" si="23"/>
        <v/>
      </c>
      <c r="O480" s="80"/>
      <c r="P480" s="80"/>
      <c r="Q480" s="80"/>
      <c r="R480" s="80"/>
    </row>
    <row r="481" ht="18" customHeight="1" spans="1:18">
      <c r="A481" s="87" t="str">
        <f t="shared" si="21"/>
        <v/>
      </c>
      <c r="B481" s="78"/>
      <c r="C481" s="80"/>
      <c r="D481" s="80"/>
      <c r="E481" s="79"/>
      <c r="F481" s="87" t="str">
        <f>IF($E481="","",IFERROR(INDEX(基础资料!$O$4:$O$34,MATCH($E481,基础资料!$N$4:$N$34,0))&amp;"",""))</f>
        <v/>
      </c>
      <c r="G481" s="87" t="str">
        <f>IF($E481="","",IFERROR(INDEX(基础资料!$P$4:$P$34,MATCH($E481,基础资料!$N$4:$N$34,0))&amp;"",""))</f>
        <v/>
      </c>
      <c r="H481" s="79"/>
      <c r="I481" s="88"/>
      <c r="J481" s="92"/>
      <c r="K481" s="93"/>
      <c r="L481" s="25" t="str">
        <f t="shared" si="22"/>
        <v/>
      </c>
      <c r="M481" s="94"/>
      <c r="N481" s="26" t="str">
        <f t="shared" si="23"/>
        <v/>
      </c>
      <c r="O481" s="80"/>
      <c r="P481" s="80"/>
      <c r="Q481" s="80"/>
      <c r="R481" s="80"/>
    </row>
    <row r="482" ht="18" customHeight="1" spans="1:18">
      <c r="A482" s="87" t="str">
        <f t="shared" si="21"/>
        <v/>
      </c>
      <c r="B482" s="78"/>
      <c r="C482" s="80"/>
      <c r="D482" s="80"/>
      <c r="E482" s="79"/>
      <c r="F482" s="87" t="str">
        <f>IF($E482="","",IFERROR(INDEX(基础资料!$O$4:$O$34,MATCH($E482,基础资料!$N$4:$N$34,0))&amp;"",""))</f>
        <v/>
      </c>
      <c r="G482" s="87" t="str">
        <f>IF($E482="","",IFERROR(INDEX(基础资料!$P$4:$P$34,MATCH($E482,基础资料!$N$4:$N$34,0))&amp;"",""))</f>
        <v/>
      </c>
      <c r="H482" s="79"/>
      <c r="I482" s="88"/>
      <c r="J482" s="92"/>
      <c r="K482" s="93"/>
      <c r="L482" s="25" t="str">
        <f t="shared" si="22"/>
        <v/>
      </c>
      <c r="M482" s="94"/>
      <c r="N482" s="26" t="str">
        <f t="shared" si="23"/>
        <v/>
      </c>
      <c r="O482" s="80"/>
      <c r="P482" s="80"/>
      <c r="Q482" s="80"/>
      <c r="R482" s="80"/>
    </row>
    <row r="483" ht="18" customHeight="1" spans="1:18">
      <c r="A483" s="87" t="str">
        <f t="shared" si="21"/>
        <v/>
      </c>
      <c r="B483" s="78"/>
      <c r="C483" s="80"/>
      <c r="D483" s="80"/>
      <c r="E483" s="79"/>
      <c r="F483" s="87" t="str">
        <f>IF($E483="","",IFERROR(INDEX(基础资料!$O$4:$O$34,MATCH($E483,基础资料!$N$4:$N$34,0))&amp;"",""))</f>
        <v/>
      </c>
      <c r="G483" s="87" t="str">
        <f>IF($E483="","",IFERROR(INDEX(基础资料!$P$4:$P$34,MATCH($E483,基础资料!$N$4:$N$34,0))&amp;"",""))</f>
        <v/>
      </c>
      <c r="H483" s="79"/>
      <c r="I483" s="88"/>
      <c r="J483" s="92"/>
      <c r="K483" s="93"/>
      <c r="L483" s="25" t="str">
        <f t="shared" si="22"/>
        <v/>
      </c>
      <c r="M483" s="94"/>
      <c r="N483" s="26" t="str">
        <f t="shared" si="23"/>
        <v/>
      </c>
      <c r="O483" s="80"/>
      <c r="P483" s="80"/>
      <c r="Q483" s="80"/>
      <c r="R483" s="80"/>
    </row>
    <row r="484" ht="18" customHeight="1" spans="1:18">
      <c r="A484" s="87" t="str">
        <f t="shared" si="21"/>
        <v/>
      </c>
      <c r="B484" s="78"/>
      <c r="C484" s="80"/>
      <c r="D484" s="80"/>
      <c r="E484" s="79"/>
      <c r="F484" s="87" t="str">
        <f>IF($E484="","",IFERROR(INDEX(基础资料!$O$4:$O$34,MATCH($E484,基础资料!$N$4:$N$34,0))&amp;"",""))</f>
        <v/>
      </c>
      <c r="G484" s="87" t="str">
        <f>IF($E484="","",IFERROR(INDEX(基础资料!$P$4:$P$34,MATCH($E484,基础资料!$N$4:$N$34,0))&amp;"",""))</f>
        <v/>
      </c>
      <c r="H484" s="79"/>
      <c r="I484" s="88"/>
      <c r="J484" s="92"/>
      <c r="K484" s="93"/>
      <c r="L484" s="25" t="str">
        <f t="shared" si="22"/>
        <v/>
      </c>
      <c r="M484" s="94"/>
      <c r="N484" s="26" t="str">
        <f t="shared" si="23"/>
        <v/>
      </c>
      <c r="O484" s="80"/>
      <c r="P484" s="80"/>
      <c r="Q484" s="80"/>
      <c r="R484" s="80"/>
    </row>
    <row r="485" ht="18" customHeight="1" spans="1:18">
      <c r="A485" s="87" t="str">
        <f t="shared" si="21"/>
        <v/>
      </c>
      <c r="B485" s="78"/>
      <c r="C485" s="80"/>
      <c r="D485" s="80"/>
      <c r="E485" s="79"/>
      <c r="F485" s="87" t="str">
        <f>IF($E485="","",IFERROR(INDEX(基础资料!$O$4:$O$34,MATCH($E485,基础资料!$N$4:$N$34,0))&amp;"",""))</f>
        <v/>
      </c>
      <c r="G485" s="87" t="str">
        <f>IF($E485="","",IFERROR(INDEX(基础资料!$P$4:$P$34,MATCH($E485,基础资料!$N$4:$N$34,0))&amp;"",""))</f>
        <v/>
      </c>
      <c r="H485" s="79"/>
      <c r="I485" s="88"/>
      <c r="J485" s="92"/>
      <c r="K485" s="93"/>
      <c r="L485" s="25" t="str">
        <f t="shared" si="22"/>
        <v/>
      </c>
      <c r="M485" s="94"/>
      <c r="N485" s="26" t="str">
        <f t="shared" si="23"/>
        <v/>
      </c>
      <c r="O485" s="80"/>
      <c r="P485" s="80"/>
      <c r="Q485" s="80"/>
      <c r="R485" s="80"/>
    </row>
    <row r="486" ht="18" customHeight="1" spans="1:18">
      <c r="A486" s="87" t="str">
        <f t="shared" si="21"/>
        <v/>
      </c>
      <c r="B486" s="78"/>
      <c r="C486" s="80"/>
      <c r="D486" s="80"/>
      <c r="E486" s="79"/>
      <c r="F486" s="87" t="str">
        <f>IF($E486="","",IFERROR(INDEX(基础资料!$O$4:$O$34,MATCH($E486,基础资料!$N$4:$N$34,0))&amp;"",""))</f>
        <v/>
      </c>
      <c r="G486" s="87" t="str">
        <f>IF($E486="","",IFERROR(INDEX(基础资料!$P$4:$P$34,MATCH($E486,基础资料!$N$4:$N$34,0))&amp;"",""))</f>
        <v/>
      </c>
      <c r="H486" s="79"/>
      <c r="I486" s="88"/>
      <c r="J486" s="92"/>
      <c r="K486" s="93"/>
      <c r="L486" s="25" t="str">
        <f t="shared" si="22"/>
        <v/>
      </c>
      <c r="M486" s="94"/>
      <c r="N486" s="26" t="str">
        <f t="shared" si="23"/>
        <v/>
      </c>
      <c r="O486" s="80"/>
      <c r="P486" s="80"/>
      <c r="Q486" s="80"/>
      <c r="R486" s="80"/>
    </row>
    <row r="487" ht="18" customHeight="1" spans="1:18">
      <c r="A487" s="87" t="str">
        <f t="shared" si="21"/>
        <v/>
      </c>
      <c r="B487" s="78"/>
      <c r="C487" s="80"/>
      <c r="D487" s="80"/>
      <c r="E487" s="79"/>
      <c r="F487" s="87" t="str">
        <f>IF($E487="","",IFERROR(INDEX(基础资料!$O$4:$O$34,MATCH($E487,基础资料!$N$4:$N$34,0))&amp;"",""))</f>
        <v/>
      </c>
      <c r="G487" s="87" t="str">
        <f>IF($E487="","",IFERROR(INDEX(基础资料!$P$4:$P$34,MATCH($E487,基础资料!$N$4:$N$34,0))&amp;"",""))</f>
        <v/>
      </c>
      <c r="H487" s="79"/>
      <c r="I487" s="88"/>
      <c r="J487" s="92"/>
      <c r="K487" s="93"/>
      <c r="L487" s="25" t="str">
        <f t="shared" si="22"/>
        <v/>
      </c>
      <c r="M487" s="94"/>
      <c r="N487" s="26" t="str">
        <f t="shared" si="23"/>
        <v/>
      </c>
      <c r="O487" s="80"/>
      <c r="P487" s="80"/>
      <c r="Q487" s="80"/>
      <c r="R487" s="80"/>
    </row>
    <row r="488" ht="18" customHeight="1" spans="1:18">
      <c r="A488" s="87" t="str">
        <f t="shared" si="21"/>
        <v/>
      </c>
      <c r="B488" s="78"/>
      <c r="C488" s="80"/>
      <c r="D488" s="80"/>
      <c r="E488" s="79"/>
      <c r="F488" s="87" t="str">
        <f>IF($E488="","",IFERROR(INDEX(基础资料!$O$4:$O$34,MATCH($E488,基础资料!$N$4:$N$34,0))&amp;"",""))</f>
        <v/>
      </c>
      <c r="G488" s="87" t="str">
        <f>IF($E488="","",IFERROR(INDEX(基础资料!$P$4:$P$34,MATCH($E488,基础资料!$N$4:$N$34,0))&amp;"",""))</f>
        <v/>
      </c>
      <c r="H488" s="79"/>
      <c r="I488" s="88"/>
      <c r="J488" s="92"/>
      <c r="K488" s="93"/>
      <c r="L488" s="25" t="str">
        <f t="shared" si="22"/>
        <v/>
      </c>
      <c r="M488" s="94"/>
      <c r="N488" s="26" t="str">
        <f t="shared" si="23"/>
        <v/>
      </c>
      <c r="O488" s="80"/>
      <c r="P488" s="80"/>
      <c r="Q488" s="80"/>
      <c r="R488" s="80"/>
    </row>
    <row r="489" ht="18" customHeight="1" spans="1:18">
      <c r="A489" s="87" t="str">
        <f t="shared" si="21"/>
        <v/>
      </c>
      <c r="B489" s="78"/>
      <c r="C489" s="80"/>
      <c r="D489" s="80"/>
      <c r="E489" s="79"/>
      <c r="F489" s="87" t="str">
        <f>IF($E489="","",IFERROR(INDEX(基础资料!$O$4:$O$34,MATCH($E489,基础资料!$N$4:$N$34,0))&amp;"",""))</f>
        <v/>
      </c>
      <c r="G489" s="87" t="str">
        <f>IF($E489="","",IFERROR(INDEX(基础资料!$P$4:$P$34,MATCH($E489,基础资料!$N$4:$N$34,0))&amp;"",""))</f>
        <v/>
      </c>
      <c r="H489" s="79"/>
      <c r="I489" s="88"/>
      <c r="J489" s="92"/>
      <c r="K489" s="93"/>
      <c r="L489" s="25" t="str">
        <f t="shared" si="22"/>
        <v/>
      </c>
      <c r="M489" s="94"/>
      <c r="N489" s="26" t="str">
        <f t="shared" si="23"/>
        <v/>
      </c>
      <c r="O489" s="80"/>
      <c r="P489" s="80"/>
      <c r="Q489" s="80"/>
      <c r="R489" s="80"/>
    </row>
    <row r="490" ht="18" customHeight="1" spans="1:18">
      <c r="A490" s="87" t="str">
        <f t="shared" si="21"/>
        <v/>
      </c>
      <c r="B490" s="78"/>
      <c r="C490" s="80"/>
      <c r="D490" s="80"/>
      <c r="E490" s="79"/>
      <c r="F490" s="87" t="str">
        <f>IF($E490="","",IFERROR(INDEX(基础资料!$O$4:$O$34,MATCH($E490,基础资料!$N$4:$N$34,0))&amp;"",""))</f>
        <v/>
      </c>
      <c r="G490" s="87" t="str">
        <f>IF($E490="","",IFERROR(INDEX(基础资料!$P$4:$P$34,MATCH($E490,基础资料!$N$4:$N$34,0))&amp;"",""))</f>
        <v/>
      </c>
      <c r="H490" s="79"/>
      <c r="I490" s="88"/>
      <c r="J490" s="92"/>
      <c r="K490" s="93"/>
      <c r="L490" s="25" t="str">
        <f t="shared" si="22"/>
        <v/>
      </c>
      <c r="M490" s="94"/>
      <c r="N490" s="26" t="str">
        <f t="shared" si="23"/>
        <v/>
      </c>
      <c r="O490" s="80"/>
      <c r="P490" s="80"/>
      <c r="Q490" s="80"/>
      <c r="R490" s="80"/>
    </row>
    <row r="491" ht="18" customHeight="1" spans="1:18">
      <c r="A491" s="87" t="str">
        <f t="shared" si="21"/>
        <v/>
      </c>
      <c r="B491" s="78"/>
      <c r="C491" s="80"/>
      <c r="D491" s="80"/>
      <c r="E491" s="79"/>
      <c r="F491" s="87" t="str">
        <f>IF($E491="","",IFERROR(INDEX(基础资料!$O$4:$O$34,MATCH($E491,基础资料!$N$4:$N$34,0))&amp;"",""))</f>
        <v/>
      </c>
      <c r="G491" s="87" t="str">
        <f>IF($E491="","",IFERROR(INDEX(基础资料!$P$4:$P$34,MATCH($E491,基础资料!$N$4:$N$34,0))&amp;"",""))</f>
        <v/>
      </c>
      <c r="H491" s="79"/>
      <c r="I491" s="88"/>
      <c r="J491" s="92"/>
      <c r="K491" s="93"/>
      <c r="L491" s="25" t="str">
        <f t="shared" si="22"/>
        <v/>
      </c>
      <c r="M491" s="94"/>
      <c r="N491" s="26" t="str">
        <f t="shared" si="23"/>
        <v/>
      </c>
      <c r="O491" s="80"/>
      <c r="P491" s="80"/>
      <c r="Q491" s="80"/>
      <c r="R491" s="80"/>
    </row>
    <row r="492" ht="18" customHeight="1" spans="1:18">
      <c r="A492" s="87" t="str">
        <f t="shared" si="21"/>
        <v/>
      </c>
      <c r="B492" s="78"/>
      <c r="C492" s="80"/>
      <c r="D492" s="80"/>
      <c r="E492" s="79"/>
      <c r="F492" s="87" t="str">
        <f>IF($E492="","",IFERROR(INDEX(基础资料!$O$4:$O$34,MATCH($E492,基础资料!$N$4:$N$34,0))&amp;"",""))</f>
        <v/>
      </c>
      <c r="G492" s="87" t="str">
        <f>IF($E492="","",IFERROR(INDEX(基础资料!$P$4:$P$34,MATCH($E492,基础资料!$N$4:$N$34,0))&amp;"",""))</f>
        <v/>
      </c>
      <c r="H492" s="79"/>
      <c r="I492" s="88"/>
      <c r="J492" s="92"/>
      <c r="K492" s="93"/>
      <c r="L492" s="25" t="str">
        <f t="shared" si="22"/>
        <v/>
      </c>
      <c r="M492" s="94"/>
      <c r="N492" s="26" t="str">
        <f t="shared" si="23"/>
        <v/>
      </c>
      <c r="O492" s="80"/>
      <c r="P492" s="80"/>
      <c r="Q492" s="80"/>
      <c r="R492" s="80"/>
    </row>
    <row r="493" ht="18" customHeight="1" spans="1:18">
      <c r="A493" s="87" t="str">
        <f t="shared" si="21"/>
        <v/>
      </c>
      <c r="B493" s="78"/>
      <c r="C493" s="80"/>
      <c r="D493" s="80"/>
      <c r="E493" s="79"/>
      <c r="F493" s="87" t="str">
        <f>IF($E493="","",IFERROR(INDEX(基础资料!$O$4:$O$34,MATCH($E493,基础资料!$N$4:$N$34,0))&amp;"",""))</f>
        <v/>
      </c>
      <c r="G493" s="87" t="str">
        <f>IF($E493="","",IFERROR(INDEX(基础资料!$P$4:$P$34,MATCH($E493,基础资料!$N$4:$N$34,0))&amp;"",""))</f>
        <v/>
      </c>
      <c r="H493" s="79"/>
      <c r="I493" s="88"/>
      <c r="J493" s="92"/>
      <c r="K493" s="93"/>
      <c r="L493" s="25" t="str">
        <f t="shared" si="22"/>
        <v/>
      </c>
      <c r="M493" s="94"/>
      <c r="N493" s="26" t="str">
        <f t="shared" si="23"/>
        <v/>
      </c>
      <c r="O493" s="80"/>
      <c r="P493" s="80"/>
      <c r="Q493" s="80"/>
      <c r="R493" s="80"/>
    </row>
    <row r="494" ht="18" customHeight="1" spans="1:18">
      <c r="A494" s="87" t="str">
        <f t="shared" si="21"/>
        <v/>
      </c>
      <c r="B494" s="78"/>
      <c r="C494" s="80"/>
      <c r="D494" s="80"/>
      <c r="E494" s="79"/>
      <c r="F494" s="87" t="str">
        <f>IF($E494="","",IFERROR(INDEX(基础资料!$O$4:$O$34,MATCH($E494,基础资料!$N$4:$N$34,0))&amp;"",""))</f>
        <v/>
      </c>
      <c r="G494" s="87" t="str">
        <f>IF($E494="","",IFERROR(INDEX(基础资料!$P$4:$P$34,MATCH($E494,基础资料!$N$4:$N$34,0))&amp;"",""))</f>
        <v/>
      </c>
      <c r="H494" s="79"/>
      <c r="I494" s="88"/>
      <c r="J494" s="92"/>
      <c r="K494" s="93"/>
      <c r="L494" s="25" t="str">
        <f t="shared" si="22"/>
        <v/>
      </c>
      <c r="M494" s="94"/>
      <c r="N494" s="26" t="str">
        <f t="shared" si="23"/>
        <v/>
      </c>
      <c r="O494" s="80"/>
      <c r="P494" s="80"/>
      <c r="Q494" s="80"/>
      <c r="R494" s="80"/>
    </row>
    <row r="495" ht="18" customHeight="1" spans="1:18">
      <c r="A495" s="87" t="str">
        <f t="shared" si="21"/>
        <v/>
      </c>
      <c r="B495" s="78"/>
      <c r="C495" s="80"/>
      <c r="D495" s="80"/>
      <c r="E495" s="79"/>
      <c r="F495" s="87" t="str">
        <f>IF($E495="","",IFERROR(INDEX(基础资料!$O$4:$O$34,MATCH($E495,基础资料!$N$4:$N$34,0))&amp;"",""))</f>
        <v/>
      </c>
      <c r="G495" s="87" t="str">
        <f>IF($E495="","",IFERROR(INDEX(基础资料!$P$4:$P$34,MATCH($E495,基础资料!$N$4:$N$34,0))&amp;"",""))</f>
        <v/>
      </c>
      <c r="H495" s="79"/>
      <c r="I495" s="88"/>
      <c r="J495" s="92"/>
      <c r="K495" s="93"/>
      <c r="L495" s="25" t="str">
        <f t="shared" si="22"/>
        <v/>
      </c>
      <c r="M495" s="94"/>
      <c r="N495" s="26" t="str">
        <f t="shared" si="23"/>
        <v/>
      </c>
      <c r="O495" s="80"/>
      <c r="P495" s="80"/>
      <c r="Q495" s="80"/>
      <c r="R495" s="80"/>
    </row>
    <row r="496" ht="18" customHeight="1" spans="1:18">
      <c r="A496" s="87" t="str">
        <f t="shared" si="21"/>
        <v/>
      </c>
      <c r="B496" s="78"/>
      <c r="C496" s="80"/>
      <c r="D496" s="80"/>
      <c r="E496" s="79"/>
      <c r="F496" s="87" t="str">
        <f>IF($E496="","",IFERROR(INDEX(基础资料!$O$4:$O$34,MATCH($E496,基础资料!$N$4:$N$34,0))&amp;"",""))</f>
        <v/>
      </c>
      <c r="G496" s="87" t="str">
        <f>IF($E496="","",IFERROR(INDEX(基础资料!$P$4:$P$34,MATCH($E496,基础资料!$N$4:$N$34,0))&amp;"",""))</f>
        <v/>
      </c>
      <c r="H496" s="79"/>
      <c r="I496" s="88"/>
      <c r="J496" s="92"/>
      <c r="K496" s="93"/>
      <c r="L496" s="25" t="str">
        <f t="shared" si="22"/>
        <v/>
      </c>
      <c r="M496" s="94"/>
      <c r="N496" s="26" t="str">
        <f t="shared" si="23"/>
        <v/>
      </c>
      <c r="O496" s="80"/>
      <c r="P496" s="80"/>
      <c r="Q496" s="80"/>
      <c r="R496" s="80"/>
    </row>
    <row r="497" ht="18" customHeight="1" spans="1:18">
      <c r="A497" s="87" t="str">
        <f t="shared" si="21"/>
        <v/>
      </c>
      <c r="B497" s="78"/>
      <c r="C497" s="80"/>
      <c r="D497" s="80"/>
      <c r="E497" s="79"/>
      <c r="F497" s="87" t="str">
        <f>IF($E497="","",IFERROR(INDEX(基础资料!$O$4:$O$34,MATCH($E497,基础资料!$N$4:$N$34,0))&amp;"",""))</f>
        <v/>
      </c>
      <c r="G497" s="87" t="str">
        <f>IF($E497="","",IFERROR(INDEX(基础资料!$P$4:$P$34,MATCH($E497,基础资料!$N$4:$N$34,0))&amp;"",""))</f>
        <v/>
      </c>
      <c r="H497" s="79"/>
      <c r="I497" s="88"/>
      <c r="J497" s="92"/>
      <c r="K497" s="93"/>
      <c r="L497" s="25" t="str">
        <f t="shared" si="22"/>
        <v/>
      </c>
      <c r="M497" s="94"/>
      <c r="N497" s="26" t="str">
        <f t="shared" si="23"/>
        <v/>
      </c>
      <c r="O497" s="80"/>
      <c r="P497" s="80"/>
      <c r="Q497" s="80"/>
      <c r="R497" s="80"/>
    </row>
    <row r="498" ht="18" customHeight="1" spans="1:18">
      <c r="A498" s="87" t="str">
        <f t="shared" si="21"/>
        <v/>
      </c>
      <c r="B498" s="78"/>
      <c r="C498" s="80"/>
      <c r="D498" s="80"/>
      <c r="E498" s="79"/>
      <c r="F498" s="87" t="str">
        <f>IF($E498="","",IFERROR(INDEX(基础资料!$O$4:$O$34,MATCH($E498,基础资料!$N$4:$N$34,0))&amp;"",""))</f>
        <v/>
      </c>
      <c r="G498" s="87" t="str">
        <f>IF($E498="","",IFERROR(INDEX(基础资料!$P$4:$P$34,MATCH($E498,基础资料!$N$4:$N$34,0))&amp;"",""))</f>
        <v/>
      </c>
      <c r="H498" s="79"/>
      <c r="I498" s="88"/>
      <c r="J498" s="92"/>
      <c r="K498" s="93"/>
      <c r="L498" s="25" t="str">
        <f t="shared" si="22"/>
        <v/>
      </c>
      <c r="M498" s="94"/>
      <c r="N498" s="26" t="str">
        <f t="shared" si="23"/>
        <v/>
      </c>
      <c r="O498" s="80"/>
      <c r="P498" s="80"/>
      <c r="Q498" s="80"/>
      <c r="R498" s="80"/>
    </row>
    <row r="499" ht="18" customHeight="1" spans="1:18">
      <c r="A499" s="87" t="str">
        <f t="shared" si="21"/>
        <v/>
      </c>
      <c r="B499" s="78"/>
      <c r="C499" s="80"/>
      <c r="D499" s="80"/>
      <c r="E499" s="79"/>
      <c r="F499" s="87" t="str">
        <f>IF($E499="","",IFERROR(INDEX(基础资料!$O$4:$O$34,MATCH($E499,基础资料!$N$4:$N$34,0))&amp;"",""))</f>
        <v/>
      </c>
      <c r="G499" s="87" t="str">
        <f>IF($E499="","",IFERROR(INDEX(基础资料!$P$4:$P$34,MATCH($E499,基础资料!$N$4:$N$34,0))&amp;"",""))</f>
        <v/>
      </c>
      <c r="H499" s="79"/>
      <c r="I499" s="88"/>
      <c r="J499" s="92"/>
      <c r="K499" s="93"/>
      <c r="L499" s="25" t="str">
        <f t="shared" si="22"/>
        <v/>
      </c>
      <c r="M499" s="94"/>
      <c r="N499" s="26" t="str">
        <f t="shared" si="23"/>
        <v/>
      </c>
      <c r="O499" s="80"/>
      <c r="P499" s="80"/>
      <c r="Q499" s="80"/>
      <c r="R499" s="80"/>
    </row>
    <row r="500" ht="18" customHeight="1" spans="1:18">
      <c r="A500" s="87" t="str">
        <f t="shared" si="21"/>
        <v/>
      </c>
      <c r="B500" s="78"/>
      <c r="C500" s="80"/>
      <c r="D500" s="80"/>
      <c r="E500" s="79"/>
      <c r="F500" s="87" t="str">
        <f>IF($E500="","",IFERROR(INDEX(基础资料!$O$4:$O$34,MATCH($E500,基础资料!$N$4:$N$34,0))&amp;"",""))</f>
        <v/>
      </c>
      <c r="G500" s="87" t="str">
        <f>IF($E500="","",IFERROR(INDEX(基础资料!$P$4:$P$34,MATCH($E500,基础资料!$N$4:$N$34,0))&amp;"",""))</f>
        <v/>
      </c>
      <c r="H500" s="79"/>
      <c r="I500" s="88"/>
      <c r="J500" s="92"/>
      <c r="K500" s="93"/>
      <c r="L500" s="25" t="str">
        <f t="shared" si="22"/>
        <v/>
      </c>
      <c r="M500" s="94"/>
      <c r="N500" s="26" t="str">
        <f t="shared" si="23"/>
        <v/>
      </c>
      <c r="O500" s="80"/>
      <c r="P500" s="80"/>
      <c r="Q500" s="80"/>
      <c r="R500" s="80"/>
    </row>
    <row r="501" ht="18" customHeight="1" spans="1:18">
      <c r="A501" s="87" t="str">
        <f t="shared" si="21"/>
        <v/>
      </c>
      <c r="B501" s="78"/>
      <c r="C501" s="80"/>
      <c r="D501" s="80"/>
      <c r="E501" s="79"/>
      <c r="F501" s="87" t="str">
        <f>IF($E501="","",IFERROR(INDEX(基础资料!$O$4:$O$34,MATCH($E501,基础资料!$N$4:$N$34,0))&amp;"",""))</f>
        <v/>
      </c>
      <c r="G501" s="87" t="str">
        <f>IF($E501="","",IFERROR(INDEX(基础资料!$P$4:$P$34,MATCH($E501,基础资料!$N$4:$N$34,0))&amp;"",""))</f>
        <v/>
      </c>
      <c r="H501" s="79"/>
      <c r="I501" s="88"/>
      <c r="J501" s="92"/>
      <c r="K501" s="93"/>
      <c r="L501" s="25" t="str">
        <f t="shared" si="22"/>
        <v/>
      </c>
      <c r="M501" s="94"/>
      <c r="N501" s="26" t="str">
        <f t="shared" si="23"/>
        <v/>
      </c>
      <c r="O501" s="80"/>
      <c r="P501" s="80"/>
      <c r="Q501" s="80"/>
      <c r="R501" s="80"/>
    </row>
    <row r="502" ht="18" customHeight="1" spans="1:18">
      <c r="A502" s="87" t="str">
        <f t="shared" si="21"/>
        <v/>
      </c>
      <c r="B502" s="78"/>
      <c r="C502" s="80"/>
      <c r="D502" s="80"/>
      <c r="E502" s="79"/>
      <c r="F502" s="87" t="str">
        <f>IF($E502="","",IFERROR(INDEX(基础资料!$O$4:$O$34,MATCH($E502,基础资料!$N$4:$N$34,0))&amp;"",""))</f>
        <v/>
      </c>
      <c r="G502" s="87" t="str">
        <f>IF($E502="","",IFERROR(INDEX(基础资料!$P$4:$P$34,MATCH($E502,基础资料!$N$4:$N$34,0))&amp;"",""))</f>
        <v/>
      </c>
      <c r="H502" s="79"/>
      <c r="I502" s="88"/>
      <c r="J502" s="92"/>
      <c r="K502" s="93"/>
      <c r="L502" s="25" t="str">
        <f t="shared" si="22"/>
        <v/>
      </c>
      <c r="M502" s="94"/>
      <c r="N502" s="26" t="str">
        <f t="shared" si="23"/>
        <v/>
      </c>
      <c r="O502" s="80"/>
      <c r="P502" s="80"/>
      <c r="Q502" s="80"/>
      <c r="R502" s="80"/>
    </row>
    <row r="503" ht="18" customHeight="1" spans="1:18">
      <c r="A503" s="87" t="str">
        <f t="shared" si="21"/>
        <v/>
      </c>
      <c r="B503" s="78"/>
      <c r="C503" s="80"/>
      <c r="D503" s="80"/>
      <c r="E503" s="79"/>
      <c r="F503" s="87" t="str">
        <f>IF($E503="","",IFERROR(INDEX(基础资料!$O$4:$O$34,MATCH($E503,基础资料!$N$4:$N$34,0))&amp;"",""))</f>
        <v/>
      </c>
      <c r="G503" s="87" t="str">
        <f>IF($E503="","",IFERROR(INDEX(基础资料!$P$4:$P$34,MATCH($E503,基础资料!$N$4:$N$34,0))&amp;"",""))</f>
        <v/>
      </c>
      <c r="H503" s="79"/>
      <c r="I503" s="88"/>
      <c r="J503" s="92"/>
      <c r="K503" s="93"/>
      <c r="L503" s="25" t="str">
        <f t="shared" si="22"/>
        <v/>
      </c>
      <c r="M503" s="94"/>
      <c r="N503" s="26" t="str">
        <f t="shared" si="23"/>
        <v/>
      </c>
      <c r="O503" s="80"/>
      <c r="P503" s="80"/>
      <c r="Q503" s="80"/>
      <c r="R503" s="80"/>
    </row>
    <row r="504" ht="18" customHeight="1" spans="1:18">
      <c r="A504" s="87" t="str">
        <f t="shared" si="21"/>
        <v/>
      </c>
      <c r="B504" s="78"/>
      <c r="C504" s="80"/>
      <c r="D504" s="80"/>
      <c r="E504" s="79"/>
      <c r="F504" s="87" t="str">
        <f>IF($E504="","",IFERROR(INDEX(基础资料!$O$4:$O$34,MATCH($E504,基础资料!$N$4:$N$34,0))&amp;"",""))</f>
        <v/>
      </c>
      <c r="G504" s="87" t="str">
        <f>IF($E504="","",IFERROR(INDEX(基础资料!$P$4:$P$34,MATCH($E504,基础资料!$N$4:$N$34,0))&amp;"",""))</f>
        <v/>
      </c>
      <c r="H504" s="79"/>
      <c r="I504" s="88"/>
      <c r="J504" s="92"/>
      <c r="K504" s="93"/>
      <c r="L504" s="25" t="str">
        <f t="shared" si="22"/>
        <v/>
      </c>
      <c r="M504" s="94"/>
      <c r="N504" s="26" t="str">
        <f t="shared" si="23"/>
        <v/>
      </c>
      <c r="O504" s="80"/>
      <c r="P504" s="80"/>
      <c r="Q504" s="80"/>
      <c r="R504" s="80"/>
    </row>
    <row r="505" ht="18" customHeight="1" spans="1:18">
      <c r="A505" s="87" t="str">
        <f t="shared" si="21"/>
        <v/>
      </c>
      <c r="B505" s="78"/>
      <c r="C505" s="80"/>
      <c r="D505" s="80"/>
      <c r="E505" s="79"/>
      <c r="F505" s="87" t="str">
        <f>IF($E505="","",IFERROR(INDEX(基础资料!$O$4:$O$34,MATCH($E505,基础资料!$N$4:$N$34,0))&amp;"",""))</f>
        <v/>
      </c>
      <c r="G505" s="87" t="str">
        <f>IF($E505="","",IFERROR(INDEX(基础资料!$P$4:$P$34,MATCH($E505,基础资料!$N$4:$N$34,0))&amp;"",""))</f>
        <v/>
      </c>
      <c r="H505" s="79"/>
      <c r="I505" s="88"/>
      <c r="J505" s="92"/>
      <c r="K505" s="93"/>
      <c r="L505" s="25" t="str">
        <f t="shared" si="22"/>
        <v/>
      </c>
      <c r="M505" s="94"/>
      <c r="N505" s="26" t="str">
        <f t="shared" si="23"/>
        <v/>
      </c>
      <c r="O505" s="80"/>
      <c r="P505" s="80"/>
      <c r="Q505" s="80"/>
      <c r="R505" s="80"/>
    </row>
    <row r="506" ht="18" customHeight="1" spans="1:18">
      <c r="A506" s="87" t="str">
        <f t="shared" si="21"/>
        <v/>
      </c>
      <c r="B506" s="78"/>
      <c r="C506" s="80"/>
      <c r="D506" s="80"/>
      <c r="E506" s="79"/>
      <c r="F506" s="87" t="str">
        <f>IF($E506="","",IFERROR(INDEX(基础资料!$O$4:$O$34,MATCH($E506,基础资料!$N$4:$N$34,0))&amp;"",""))</f>
        <v/>
      </c>
      <c r="G506" s="87" t="str">
        <f>IF($E506="","",IFERROR(INDEX(基础资料!$P$4:$P$34,MATCH($E506,基础资料!$N$4:$N$34,0))&amp;"",""))</f>
        <v/>
      </c>
      <c r="H506" s="79"/>
      <c r="I506" s="88"/>
      <c r="J506" s="92"/>
      <c r="K506" s="93"/>
      <c r="L506" s="25" t="str">
        <f t="shared" si="22"/>
        <v/>
      </c>
      <c r="M506" s="94"/>
      <c r="N506" s="26" t="str">
        <f t="shared" si="23"/>
        <v/>
      </c>
      <c r="O506" s="80"/>
      <c r="P506" s="80"/>
      <c r="Q506" s="80"/>
      <c r="R506" s="80"/>
    </row>
    <row r="507" ht="18" customHeight="1" spans="1:18">
      <c r="A507" s="87" t="str">
        <f t="shared" si="21"/>
        <v/>
      </c>
      <c r="B507" s="78"/>
      <c r="C507" s="80"/>
      <c r="D507" s="80"/>
      <c r="E507" s="79"/>
      <c r="F507" s="87" t="str">
        <f>IF($E507="","",IFERROR(INDEX(基础资料!$O$4:$O$34,MATCH($E507,基础资料!$N$4:$N$34,0))&amp;"",""))</f>
        <v/>
      </c>
      <c r="G507" s="87" t="str">
        <f>IF($E507="","",IFERROR(INDEX(基础资料!$P$4:$P$34,MATCH($E507,基础资料!$N$4:$N$34,0))&amp;"",""))</f>
        <v/>
      </c>
      <c r="H507" s="79"/>
      <c r="I507" s="88"/>
      <c r="J507" s="92"/>
      <c r="K507" s="93"/>
      <c r="L507" s="25" t="str">
        <f t="shared" si="22"/>
        <v/>
      </c>
      <c r="M507" s="94"/>
      <c r="N507" s="26" t="str">
        <f t="shared" si="23"/>
        <v/>
      </c>
      <c r="O507" s="80"/>
      <c r="P507" s="80"/>
      <c r="Q507" s="80"/>
      <c r="R507" s="80"/>
    </row>
    <row r="508" ht="18" customHeight="1" spans="1:18">
      <c r="A508" s="87" t="str">
        <f t="shared" si="21"/>
        <v/>
      </c>
      <c r="B508" s="78"/>
      <c r="C508" s="80"/>
      <c r="D508" s="80"/>
      <c r="E508" s="79"/>
      <c r="F508" s="87" t="str">
        <f>IF($E508="","",IFERROR(INDEX(基础资料!$O$4:$O$34,MATCH($E508,基础资料!$N$4:$N$34,0))&amp;"",""))</f>
        <v/>
      </c>
      <c r="G508" s="87" t="str">
        <f>IF($E508="","",IFERROR(INDEX(基础资料!$P$4:$P$34,MATCH($E508,基础资料!$N$4:$N$34,0))&amp;"",""))</f>
        <v/>
      </c>
      <c r="H508" s="79"/>
      <c r="I508" s="88"/>
      <c r="J508" s="92"/>
      <c r="K508" s="93"/>
      <c r="L508" s="25" t="str">
        <f t="shared" si="22"/>
        <v/>
      </c>
      <c r="M508" s="94"/>
      <c r="N508" s="26" t="str">
        <f t="shared" si="23"/>
        <v/>
      </c>
      <c r="O508" s="80"/>
      <c r="P508" s="80"/>
      <c r="Q508" s="80"/>
      <c r="R508" s="80"/>
    </row>
    <row r="509" ht="18" customHeight="1" spans="1:18">
      <c r="A509" s="87" t="str">
        <f t="shared" si="21"/>
        <v/>
      </c>
      <c r="B509" s="78"/>
      <c r="C509" s="80"/>
      <c r="D509" s="80"/>
      <c r="E509" s="79"/>
      <c r="F509" s="87" t="str">
        <f>IF($E509="","",IFERROR(INDEX(基础资料!$O$4:$O$34,MATCH($E509,基础资料!$N$4:$N$34,0))&amp;"",""))</f>
        <v/>
      </c>
      <c r="G509" s="87" t="str">
        <f>IF($E509="","",IFERROR(INDEX(基础资料!$P$4:$P$34,MATCH($E509,基础资料!$N$4:$N$34,0))&amp;"",""))</f>
        <v/>
      </c>
      <c r="H509" s="79"/>
      <c r="I509" s="88"/>
      <c r="J509" s="92"/>
      <c r="K509" s="93"/>
      <c r="L509" s="25" t="str">
        <f t="shared" si="22"/>
        <v/>
      </c>
      <c r="M509" s="94"/>
      <c r="N509" s="26" t="str">
        <f t="shared" si="23"/>
        <v/>
      </c>
      <c r="O509" s="80"/>
      <c r="P509" s="80"/>
      <c r="Q509" s="80"/>
      <c r="R509" s="80"/>
    </row>
    <row r="510" ht="18" customHeight="1" spans="1:18">
      <c r="A510" s="87" t="str">
        <f t="shared" si="21"/>
        <v/>
      </c>
      <c r="B510" s="78"/>
      <c r="C510" s="80"/>
      <c r="D510" s="80"/>
      <c r="E510" s="79"/>
      <c r="F510" s="87" t="str">
        <f>IF($E510="","",IFERROR(INDEX(基础资料!$O$4:$O$34,MATCH($E510,基础资料!$N$4:$N$34,0))&amp;"",""))</f>
        <v/>
      </c>
      <c r="G510" s="87" t="str">
        <f>IF($E510="","",IFERROR(INDEX(基础资料!$P$4:$P$34,MATCH($E510,基础资料!$N$4:$N$34,0))&amp;"",""))</f>
        <v/>
      </c>
      <c r="H510" s="79"/>
      <c r="I510" s="88"/>
      <c r="J510" s="92"/>
      <c r="K510" s="93"/>
      <c r="L510" s="25" t="str">
        <f t="shared" si="22"/>
        <v/>
      </c>
      <c r="M510" s="94"/>
      <c r="N510" s="26" t="str">
        <f t="shared" si="23"/>
        <v/>
      </c>
      <c r="O510" s="80"/>
      <c r="P510" s="80"/>
      <c r="Q510" s="80"/>
      <c r="R510" s="80"/>
    </row>
    <row r="511" ht="18" customHeight="1" spans="1:18">
      <c r="A511" s="87" t="str">
        <f t="shared" si="21"/>
        <v/>
      </c>
      <c r="B511" s="78"/>
      <c r="C511" s="80"/>
      <c r="D511" s="80"/>
      <c r="E511" s="79"/>
      <c r="F511" s="87" t="str">
        <f>IF($E511="","",IFERROR(INDEX(基础资料!$O$4:$O$34,MATCH($E511,基础资料!$N$4:$N$34,0))&amp;"",""))</f>
        <v/>
      </c>
      <c r="G511" s="87" t="str">
        <f>IF($E511="","",IFERROR(INDEX(基础资料!$P$4:$P$34,MATCH($E511,基础资料!$N$4:$N$34,0))&amp;"",""))</f>
        <v/>
      </c>
      <c r="H511" s="79"/>
      <c r="I511" s="88"/>
      <c r="J511" s="92"/>
      <c r="K511" s="93"/>
      <c r="L511" s="25" t="str">
        <f t="shared" si="22"/>
        <v/>
      </c>
      <c r="M511" s="94"/>
      <c r="N511" s="26" t="str">
        <f t="shared" si="23"/>
        <v/>
      </c>
      <c r="O511" s="80"/>
      <c r="P511" s="80"/>
      <c r="Q511" s="80"/>
      <c r="R511" s="80"/>
    </row>
    <row r="512" ht="18" customHeight="1" spans="1:18">
      <c r="A512" s="87" t="str">
        <f t="shared" si="21"/>
        <v/>
      </c>
      <c r="B512" s="78"/>
      <c r="C512" s="80"/>
      <c r="D512" s="80"/>
      <c r="E512" s="79"/>
      <c r="F512" s="87" t="str">
        <f>IF($E512="","",IFERROR(INDEX(基础资料!$O$4:$O$34,MATCH($E512,基础资料!$N$4:$N$34,0))&amp;"",""))</f>
        <v/>
      </c>
      <c r="G512" s="87" t="str">
        <f>IF($E512="","",IFERROR(INDEX(基础资料!$P$4:$P$34,MATCH($E512,基础资料!$N$4:$N$34,0))&amp;"",""))</f>
        <v/>
      </c>
      <c r="H512" s="79"/>
      <c r="I512" s="88"/>
      <c r="J512" s="92"/>
      <c r="K512" s="93"/>
      <c r="L512" s="25" t="str">
        <f t="shared" si="22"/>
        <v/>
      </c>
      <c r="M512" s="94"/>
      <c r="N512" s="26" t="str">
        <f t="shared" si="23"/>
        <v/>
      </c>
      <c r="O512" s="80"/>
      <c r="P512" s="80"/>
      <c r="Q512" s="80"/>
      <c r="R512" s="80"/>
    </row>
    <row r="513" ht="18" customHeight="1" spans="1:18">
      <c r="A513" s="87" t="str">
        <f t="shared" si="21"/>
        <v/>
      </c>
      <c r="B513" s="78"/>
      <c r="C513" s="80"/>
      <c r="D513" s="80"/>
      <c r="E513" s="79"/>
      <c r="F513" s="87" t="str">
        <f>IF($E513="","",IFERROR(INDEX(基础资料!$O$4:$O$34,MATCH($E513,基础资料!$N$4:$N$34,0))&amp;"",""))</f>
        <v/>
      </c>
      <c r="G513" s="87" t="str">
        <f>IF($E513="","",IFERROR(INDEX(基础资料!$P$4:$P$34,MATCH($E513,基础资料!$N$4:$N$34,0))&amp;"",""))</f>
        <v/>
      </c>
      <c r="H513" s="79"/>
      <c r="I513" s="88"/>
      <c r="J513" s="92"/>
      <c r="K513" s="93"/>
      <c r="L513" s="25" t="str">
        <f t="shared" si="22"/>
        <v/>
      </c>
      <c r="M513" s="94"/>
      <c r="N513" s="26" t="str">
        <f t="shared" si="23"/>
        <v/>
      </c>
      <c r="O513" s="80"/>
      <c r="P513" s="80"/>
      <c r="Q513" s="80"/>
      <c r="R513" s="80"/>
    </row>
    <row r="514" ht="18" customHeight="1" spans="1:18">
      <c r="A514" s="87" t="str">
        <f t="shared" si="21"/>
        <v/>
      </c>
      <c r="B514" s="78"/>
      <c r="C514" s="80"/>
      <c r="D514" s="80"/>
      <c r="E514" s="79"/>
      <c r="F514" s="87" t="str">
        <f>IF($E514="","",IFERROR(INDEX(基础资料!$O$4:$O$34,MATCH($E514,基础资料!$N$4:$N$34,0))&amp;"",""))</f>
        <v/>
      </c>
      <c r="G514" s="87" t="str">
        <f>IF($E514="","",IFERROR(INDEX(基础资料!$P$4:$P$34,MATCH($E514,基础资料!$N$4:$N$34,0))&amp;"",""))</f>
        <v/>
      </c>
      <c r="H514" s="79"/>
      <c r="I514" s="88"/>
      <c r="J514" s="92"/>
      <c r="K514" s="93"/>
      <c r="L514" s="25" t="str">
        <f t="shared" si="22"/>
        <v/>
      </c>
      <c r="M514" s="94"/>
      <c r="N514" s="26" t="str">
        <f t="shared" si="23"/>
        <v/>
      </c>
      <c r="O514" s="80"/>
      <c r="P514" s="80"/>
      <c r="Q514" s="80"/>
      <c r="R514" s="80"/>
    </row>
    <row r="515" ht="18" customHeight="1" spans="1:18">
      <c r="A515" s="87" t="str">
        <f t="shared" si="21"/>
        <v/>
      </c>
      <c r="B515" s="78"/>
      <c r="C515" s="80"/>
      <c r="D515" s="80"/>
      <c r="E515" s="79"/>
      <c r="F515" s="87" t="str">
        <f>IF($E515="","",IFERROR(INDEX(基础资料!$O$4:$O$34,MATCH($E515,基础资料!$N$4:$N$34,0))&amp;"",""))</f>
        <v/>
      </c>
      <c r="G515" s="87" t="str">
        <f>IF($E515="","",IFERROR(INDEX(基础资料!$P$4:$P$34,MATCH($E515,基础资料!$N$4:$N$34,0))&amp;"",""))</f>
        <v/>
      </c>
      <c r="H515" s="79"/>
      <c r="I515" s="88"/>
      <c r="J515" s="92"/>
      <c r="K515" s="93"/>
      <c r="L515" s="25" t="str">
        <f t="shared" si="22"/>
        <v/>
      </c>
      <c r="M515" s="94"/>
      <c r="N515" s="26" t="str">
        <f t="shared" si="23"/>
        <v/>
      </c>
      <c r="O515" s="80"/>
      <c r="P515" s="80"/>
      <c r="Q515" s="80"/>
      <c r="R515" s="80"/>
    </row>
    <row r="516" ht="18" customHeight="1" spans="1:18">
      <c r="A516" s="87" t="str">
        <f t="shared" ref="A516:A579" si="24">IF($E516="","",ROW()-3)</f>
        <v/>
      </c>
      <c r="B516" s="78"/>
      <c r="C516" s="80"/>
      <c r="D516" s="80"/>
      <c r="E516" s="79"/>
      <c r="F516" s="87" t="str">
        <f>IF($E516="","",IFERROR(INDEX(基础资料!$O$4:$O$34,MATCH($E516,基础资料!$N$4:$N$34,0))&amp;"",""))</f>
        <v/>
      </c>
      <c r="G516" s="87" t="str">
        <f>IF($E516="","",IFERROR(INDEX(基础资料!$P$4:$P$34,MATCH($E516,基础资料!$N$4:$N$34,0))&amp;"",""))</f>
        <v/>
      </c>
      <c r="H516" s="79"/>
      <c r="I516" s="88"/>
      <c r="J516" s="92"/>
      <c r="K516" s="93"/>
      <c r="L516" s="25" t="str">
        <f t="shared" ref="L516:L579" si="25">IF($E516="","",N($I516)+N($J516)-N($K516))</f>
        <v/>
      </c>
      <c r="M516" s="94"/>
      <c r="N516" s="26" t="str">
        <f t="shared" ref="N516:N579" si="26">IF($E516="","",ROUND(N($L516)*N($M516),2))</f>
        <v/>
      </c>
      <c r="O516" s="80"/>
      <c r="P516" s="80"/>
      <c r="Q516" s="80"/>
      <c r="R516" s="80"/>
    </row>
    <row r="517" ht="18" customHeight="1" spans="1:18">
      <c r="A517" s="87" t="str">
        <f t="shared" si="24"/>
        <v/>
      </c>
      <c r="B517" s="78"/>
      <c r="C517" s="80"/>
      <c r="D517" s="80"/>
      <c r="E517" s="79"/>
      <c r="F517" s="87" t="str">
        <f>IF($E517="","",IFERROR(INDEX(基础资料!$O$4:$O$34,MATCH($E517,基础资料!$N$4:$N$34,0))&amp;"",""))</f>
        <v/>
      </c>
      <c r="G517" s="87" t="str">
        <f>IF($E517="","",IFERROR(INDEX(基础资料!$P$4:$P$34,MATCH($E517,基础资料!$N$4:$N$34,0))&amp;"",""))</f>
        <v/>
      </c>
      <c r="H517" s="79"/>
      <c r="I517" s="88"/>
      <c r="J517" s="92"/>
      <c r="K517" s="93"/>
      <c r="L517" s="25" t="str">
        <f t="shared" si="25"/>
        <v/>
      </c>
      <c r="M517" s="94"/>
      <c r="N517" s="26" t="str">
        <f t="shared" si="26"/>
        <v/>
      </c>
      <c r="O517" s="80"/>
      <c r="P517" s="80"/>
      <c r="Q517" s="80"/>
      <c r="R517" s="80"/>
    </row>
    <row r="518" ht="18" customHeight="1" spans="1:18">
      <c r="A518" s="87" t="str">
        <f t="shared" si="24"/>
        <v/>
      </c>
      <c r="B518" s="78"/>
      <c r="C518" s="80"/>
      <c r="D518" s="80"/>
      <c r="E518" s="79"/>
      <c r="F518" s="87" t="str">
        <f>IF($E518="","",IFERROR(INDEX(基础资料!$O$4:$O$34,MATCH($E518,基础资料!$N$4:$N$34,0))&amp;"",""))</f>
        <v/>
      </c>
      <c r="G518" s="87" t="str">
        <f>IF($E518="","",IFERROR(INDEX(基础资料!$P$4:$P$34,MATCH($E518,基础资料!$N$4:$N$34,0))&amp;"",""))</f>
        <v/>
      </c>
      <c r="H518" s="79"/>
      <c r="I518" s="88"/>
      <c r="J518" s="92"/>
      <c r="K518" s="93"/>
      <c r="L518" s="25" t="str">
        <f t="shared" si="25"/>
        <v/>
      </c>
      <c r="M518" s="94"/>
      <c r="N518" s="26" t="str">
        <f t="shared" si="26"/>
        <v/>
      </c>
      <c r="O518" s="80"/>
      <c r="P518" s="80"/>
      <c r="Q518" s="80"/>
      <c r="R518" s="80"/>
    </row>
    <row r="519" ht="18" customHeight="1" spans="1:18">
      <c r="A519" s="87" t="str">
        <f t="shared" si="24"/>
        <v/>
      </c>
      <c r="B519" s="78"/>
      <c r="C519" s="80"/>
      <c r="D519" s="80"/>
      <c r="E519" s="79"/>
      <c r="F519" s="87" t="str">
        <f>IF($E519="","",IFERROR(INDEX(基础资料!$O$4:$O$34,MATCH($E519,基础资料!$N$4:$N$34,0))&amp;"",""))</f>
        <v/>
      </c>
      <c r="G519" s="87" t="str">
        <f>IF($E519="","",IFERROR(INDEX(基础资料!$P$4:$P$34,MATCH($E519,基础资料!$N$4:$N$34,0))&amp;"",""))</f>
        <v/>
      </c>
      <c r="H519" s="79"/>
      <c r="I519" s="88"/>
      <c r="J519" s="92"/>
      <c r="K519" s="93"/>
      <c r="L519" s="25" t="str">
        <f t="shared" si="25"/>
        <v/>
      </c>
      <c r="M519" s="94"/>
      <c r="N519" s="26" t="str">
        <f t="shared" si="26"/>
        <v/>
      </c>
      <c r="O519" s="80"/>
      <c r="P519" s="80"/>
      <c r="Q519" s="80"/>
      <c r="R519" s="80"/>
    </row>
    <row r="520" ht="18" customHeight="1" spans="1:18">
      <c r="A520" s="87" t="str">
        <f t="shared" si="24"/>
        <v/>
      </c>
      <c r="B520" s="78"/>
      <c r="C520" s="80"/>
      <c r="D520" s="80"/>
      <c r="E520" s="79"/>
      <c r="F520" s="87" t="str">
        <f>IF($E520="","",IFERROR(INDEX(基础资料!$O$4:$O$34,MATCH($E520,基础资料!$N$4:$N$34,0))&amp;"",""))</f>
        <v/>
      </c>
      <c r="G520" s="87" t="str">
        <f>IF($E520="","",IFERROR(INDEX(基础资料!$P$4:$P$34,MATCH($E520,基础资料!$N$4:$N$34,0))&amp;"",""))</f>
        <v/>
      </c>
      <c r="H520" s="79"/>
      <c r="I520" s="88"/>
      <c r="J520" s="92"/>
      <c r="K520" s="93"/>
      <c r="L520" s="25" t="str">
        <f t="shared" si="25"/>
        <v/>
      </c>
      <c r="M520" s="94"/>
      <c r="N520" s="26" t="str">
        <f t="shared" si="26"/>
        <v/>
      </c>
      <c r="O520" s="80"/>
      <c r="P520" s="80"/>
      <c r="Q520" s="80"/>
      <c r="R520" s="80"/>
    </row>
    <row r="521" ht="18" customHeight="1" spans="1:18">
      <c r="A521" s="87" t="str">
        <f t="shared" si="24"/>
        <v/>
      </c>
      <c r="B521" s="78"/>
      <c r="C521" s="80"/>
      <c r="D521" s="80"/>
      <c r="E521" s="79"/>
      <c r="F521" s="87" t="str">
        <f>IF($E521="","",IFERROR(INDEX(基础资料!$O$4:$O$34,MATCH($E521,基础资料!$N$4:$N$34,0))&amp;"",""))</f>
        <v/>
      </c>
      <c r="G521" s="87" t="str">
        <f>IF($E521="","",IFERROR(INDEX(基础资料!$P$4:$P$34,MATCH($E521,基础资料!$N$4:$N$34,0))&amp;"",""))</f>
        <v/>
      </c>
      <c r="H521" s="79"/>
      <c r="I521" s="88"/>
      <c r="J521" s="92"/>
      <c r="K521" s="93"/>
      <c r="L521" s="25" t="str">
        <f t="shared" si="25"/>
        <v/>
      </c>
      <c r="M521" s="94"/>
      <c r="N521" s="26" t="str">
        <f t="shared" si="26"/>
        <v/>
      </c>
      <c r="O521" s="80"/>
      <c r="P521" s="80"/>
      <c r="Q521" s="80"/>
      <c r="R521" s="80"/>
    </row>
    <row r="522" ht="18" customHeight="1" spans="1:18">
      <c r="A522" s="87" t="str">
        <f t="shared" si="24"/>
        <v/>
      </c>
      <c r="B522" s="78"/>
      <c r="C522" s="80"/>
      <c r="D522" s="80"/>
      <c r="E522" s="79"/>
      <c r="F522" s="87" t="str">
        <f>IF($E522="","",IFERROR(INDEX(基础资料!$O$4:$O$34,MATCH($E522,基础资料!$N$4:$N$34,0))&amp;"",""))</f>
        <v/>
      </c>
      <c r="G522" s="87" t="str">
        <f>IF($E522="","",IFERROR(INDEX(基础资料!$P$4:$P$34,MATCH($E522,基础资料!$N$4:$N$34,0))&amp;"",""))</f>
        <v/>
      </c>
      <c r="H522" s="79"/>
      <c r="I522" s="88"/>
      <c r="J522" s="92"/>
      <c r="K522" s="93"/>
      <c r="L522" s="25" t="str">
        <f t="shared" si="25"/>
        <v/>
      </c>
      <c r="M522" s="94"/>
      <c r="N522" s="26" t="str">
        <f t="shared" si="26"/>
        <v/>
      </c>
      <c r="O522" s="80"/>
      <c r="P522" s="80"/>
      <c r="Q522" s="80"/>
      <c r="R522" s="80"/>
    </row>
    <row r="523" ht="18" customHeight="1" spans="1:18">
      <c r="A523" s="87" t="str">
        <f t="shared" si="24"/>
        <v/>
      </c>
      <c r="B523" s="78"/>
      <c r="C523" s="80"/>
      <c r="D523" s="80"/>
      <c r="E523" s="79"/>
      <c r="F523" s="87" t="str">
        <f>IF($E523="","",IFERROR(INDEX(基础资料!$O$4:$O$34,MATCH($E523,基础资料!$N$4:$N$34,0))&amp;"",""))</f>
        <v/>
      </c>
      <c r="G523" s="87" t="str">
        <f>IF($E523="","",IFERROR(INDEX(基础资料!$P$4:$P$34,MATCH($E523,基础资料!$N$4:$N$34,0))&amp;"",""))</f>
        <v/>
      </c>
      <c r="H523" s="79"/>
      <c r="I523" s="88"/>
      <c r="J523" s="92"/>
      <c r="K523" s="93"/>
      <c r="L523" s="25" t="str">
        <f t="shared" si="25"/>
        <v/>
      </c>
      <c r="M523" s="94"/>
      <c r="N523" s="26" t="str">
        <f t="shared" si="26"/>
        <v/>
      </c>
      <c r="O523" s="80"/>
      <c r="P523" s="80"/>
      <c r="Q523" s="80"/>
      <c r="R523" s="80"/>
    </row>
    <row r="524" ht="18" customHeight="1" spans="1:18">
      <c r="A524" s="87" t="str">
        <f t="shared" si="24"/>
        <v/>
      </c>
      <c r="B524" s="78"/>
      <c r="C524" s="80"/>
      <c r="D524" s="80"/>
      <c r="E524" s="79"/>
      <c r="F524" s="87" t="str">
        <f>IF($E524="","",IFERROR(INDEX(基础资料!$O$4:$O$34,MATCH($E524,基础资料!$N$4:$N$34,0))&amp;"",""))</f>
        <v/>
      </c>
      <c r="G524" s="87" t="str">
        <f>IF($E524="","",IFERROR(INDEX(基础资料!$P$4:$P$34,MATCH($E524,基础资料!$N$4:$N$34,0))&amp;"",""))</f>
        <v/>
      </c>
      <c r="H524" s="79"/>
      <c r="I524" s="88"/>
      <c r="J524" s="92"/>
      <c r="K524" s="93"/>
      <c r="L524" s="25" t="str">
        <f t="shared" si="25"/>
        <v/>
      </c>
      <c r="M524" s="94"/>
      <c r="N524" s="26" t="str">
        <f t="shared" si="26"/>
        <v/>
      </c>
      <c r="O524" s="80"/>
      <c r="P524" s="80"/>
      <c r="Q524" s="80"/>
      <c r="R524" s="80"/>
    </row>
    <row r="525" ht="18" customHeight="1" spans="1:18">
      <c r="A525" s="87" t="str">
        <f t="shared" si="24"/>
        <v/>
      </c>
      <c r="B525" s="78"/>
      <c r="C525" s="80"/>
      <c r="D525" s="80"/>
      <c r="E525" s="79"/>
      <c r="F525" s="87" t="str">
        <f>IF($E525="","",IFERROR(INDEX(基础资料!$O$4:$O$34,MATCH($E525,基础资料!$N$4:$N$34,0))&amp;"",""))</f>
        <v/>
      </c>
      <c r="G525" s="87" t="str">
        <f>IF($E525="","",IFERROR(INDEX(基础资料!$P$4:$P$34,MATCH($E525,基础资料!$N$4:$N$34,0))&amp;"",""))</f>
        <v/>
      </c>
      <c r="H525" s="79"/>
      <c r="I525" s="88"/>
      <c r="J525" s="92"/>
      <c r="K525" s="93"/>
      <c r="L525" s="25" t="str">
        <f t="shared" si="25"/>
        <v/>
      </c>
      <c r="M525" s="94"/>
      <c r="N525" s="26" t="str">
        <f t="shared" si="26"/>
        <v/>
      </c>
      <c r="O525" s="80"/>
      <c r="P525" s="80"/>
      <c r="Q525" s="80"/>
      <c r="R525" s="80"/>
    </row>
    <row r="526" ht="18" customHeight="1" spans="1:18">
      <c r="A526" s="87" t="str">
        <f t="shared" si="24"/>
        <v/>
      </c>
      <c r="B526" s="78"/>
      <c r="C526" s="80"/>
      <c r="D526" s="80"/>
      <c r="E526" s="79"/>
      <c r="F526" s="87" t="str">
        <f>IF($E526="","",IFERROR(INDEX(基础资料!$O$4:$O$34,MATCH($E526,基础资料!$N$4:$N$34,0))&amp;"",""))</f>
        <v/>
      </c>
      <c r="G526" s="87" t="str">
        <f>IF($E526="","",IFERROR(INDEX(基础资料!$P$4:$P$34,MATCH($E526,基础资料!$N$4:$N$34,0))&amp;"",""))</f>
        <v/>
      </c>
      <c r="H526" s="79"/>
      <c r="I526" s="88"/>
      <c r="J526" s="92"/>
      <c r="K526" s="93"/>
      <c r="L526" s="25" t="str">
        <f t="shared" si="25"/>
        <v/>
      </c>
      <c r="M526" s="94"/>
      <c r="N526" s="26" t="str">
        <f t="shared" si="26"/>
        <v/>
      </c>
      <c r="O526" s="80"/>
      <c r="P526" s="80"/>
      <c r="Q526" s="80"/>
      <c r="R526" s="80"/>
    </row>
    <row r="527" ht="18" customHeight="1" spans="1:18">
      <c r="A527" s="87" t="str">
        <f t="shared" si="24"/>
        <v/>
      </c>
      <c r="B527" s="78"/>
      <c r="C527" s="80"/>
      <c r="D527" s="80"/>
      <c r="E527" s="79"/>
      <c r="F527" s="87" t="str">
        <f>IF($E527="","",IFERROR(INDEX(基础资料!$O$4:$O$34,MATCH($E527,基础资料!$N$4:$N$34,0))&amp;"",""))</f>
        <v/>
      </c>
      <c r="G527" s="87" t="str">
        <f>IF($E527="","",IFERROR(INDEX(基础资料!$P$4:$P$34,MATCH($E527,基础资料!$N$4:$N$34,0))&amp;"",""))</f>
        <v/>
      </c>
      <c r="H527" s="79"/>
      <c r="I527" s="88"/>
      <c r="J527" s="92"/>
      <c r="K527" s="93"/>
      <c r="L527" s="25" t="str">
        <f t="shared" si="25"/>
        <v/>
      </c>
      <c r="M527" s="94"/>
      <c r="N527" s="26" t="str">
        <f t="shared" si="26"/>
        <v/>
      </c>
      <c r="O527" s="80"/>
      <c r="P527" s="80"/>
      <c r="Q527" s="80"/>
      <c r="R527" s="80"/>
    </row>
    <row r="528" ht="18" customHeight="1" spans="1:18">
      <c r="A528" s="87" t="str">
        <f t="shared" si="24"/>
        <v/>
      </c>
      <c r="B528" s="78"/>
      <c r="C528" s="80"/>
      <c r="D528" s="80"/>
      <c r="E528" s="79"/>
      <c r="F528" s="87" t="str">
        <f>IF($E528="","",IFERROR(INDEX(基础资料!$O$4:$O$34,MATCH($E528,基础资料!$N$4:$N$34,0))&amp;"",""))</f>
        <v/>
      </c>
      <c r="G528" s="87" t="str">
        <f>IF($E528="","",IFERROR(INDEX(基础资料!$P$4:$P$34,MATCH($E528,基础资料!$N$4:$N$34,0))&amp;"",""))</f>
        <v/>
      </c>
      <c r="H528" s="79"/>
      <c r="I528" s="88"/>
      <c r="J528" s="92"/>
      <c r="K528" s="93"/>
      <c r="L528" s="25" t="str">
        <f t="shared" si="25"/>
        <v/>
      </c>
      <c r="M528" s="94"/>
      <c r="N528" s="26" t="str">
        <f t="shared" si="26"/>
        <v/>
      </c>
      <c r="O528" s="80"/>
      <c r="P528" s="80"/>
      <c r="Q528" s="80"/>
      <c r="R528" s="80"/>
    </row>
    <row r="529" ht="18" customHeight="1" spans="1:18">
      <c r="A529" s="87" t="str">
        <f t="shared" si="24"/>
        <v/>
      </c>
      <c r="B529" s="78"/>
      <c r="C529" s="80"/>
      <c r="D529" s="80"/>
      <c r="E529" s="79"/>
      <c r="F529" s="87" t="str">
        <f>IF($E529="","",IFERROR(INDEX(基础资料!$O$4:$O$34,MATCH($E529,基础资料!$N$4:$N$34,0))&amp;"",""))</f>
        <v/>
      </c>
      <c r="G529" s="87" t="str">
        <f>IF($E529="","",IFERROR(INDEX(基础资料!$P$4:$P$34,MATCH($E529,基础资料!$N$4:$N$34,0))&amp;"",""))</f>
        <v/>
      </c>
      <c r="H529" s="79"/>
      <c r="I529" s="88"/>
      <c r="J529" s="92"/>
      <c r="K529" s="93"/>
      <c r="L529" s="25" t="str">
        <f t="shared" si="25"/>
        <v/>
      </c>
      <c r="M529" s="94"/>
      <c r="N529" s="26" t="str">
        <f t="shared" si="26"/>
        <v/>
      </c>
      <c r="O529" s="80"/>
      <c r="P529" s="80"/>
      <c r="Q529" s="80"/>
      <c r="R529" s="80"/>
    </row>
    <row r="530" ht="18" customHeight="1" spans="1:18">
      <c r="A530" s="87" t="str">
        <f t="shared" si="24"/>
        <v/>
      </c>
      <c r="B530" s="78"/>
      <c r="C530" s="80"/>
      <c r="D530" s="80"/>
      <c r="E530" s="79"/>
      <c r="F530" s="87" t="str">
        <f>IF($E530="","",IFERROR(INDEX(基础资料!$O$4:$O$34,MATCH($E530,基础资料!$N$4:$N$34,0))&amp;"",""))</f>
        <v/>
      </c>
      <c r="G530" s="87" t="str">
        <f>IF($E530="","",IFERROR(INDEX(基础资料!$P$4:$P$34,MATCH($E530,基础资料!$N$4:$N$34,0))&amp;"",""))</f>
        <v/>
      </c>
      <c r="H530" s="79"/>
      <c r="I530" s="88"/>
      <c r="J530" s="92"/>
      <c r="K530" s="93"/>
      <c r="L530" s="25" t="str">
        <f t="shared" si="25"/>
        <v/>
      </c>
      <c r="M530" s="94"/>
      <c r="N530" s="26" t="str">
        <f t="shared" si="26"/>
        <v/>
      </c>
      <c r="O530" s="80"/>
      <c r="P530" s="80"/>
      <c r="Q530" s="80"/>
      <c r="R530" s="80"/>
    </row>
    <row r="531" ht="18" customHeight="1" spans="1:18">
      <c r="A531" s="87" t="str">
        <f t="shared" si="24"/>
        <v/>
      </c>
      <c r="B531" s="78"/>
      <c r="C531" s="80"/>
      <c r="D531" s="80"/>
      <c r="E531" s="79"/>
      <c r="F531" s="87" t="str">
        <f>IF($E531="","",IFERROR(INDEX(基础资料!$O$4:$O$34,MATCH($E531,基础资料!$N$4:$N$34,0))&amp;"",""))</f>
        <v/>
      </c>
      <c r="G531" s="87" t="str">
        <f>IF($E531="","",IFERROR(INDEX(基础资料!$P$4:$P$34,MATCH($E531,基础资料!$N$4:$N$34,0))&amp;"",""))</f>
        <v/>
      </c>
      <c r="H531" s="79"/>
      <c r="I531" s="88"/>
      <c r="J531" s="92"/>
      <c r="K531" s="93"/>
      <c r="L531" s="25" t="str">
        <f t="shared" si="25"/>
        <v/>
      </c>
      <c r="M531" s="94"/>
      <c r="N531" s="26" t="str">
        <f t="shared" si="26"/>
        <v/>
      </c>
      <c r="O531" s="80"/>
      <c r="P531" s="80"/>
      <c r="Q531" s="80"/>
      <c r="R531" s="80"/>
    </row>
    <row r="532" ht="18" customHeight="1" spans="1:18">
      <c r="A532" s="87" t="str">
        <f t="shared" si="24"/>
        <v/>
      </c>
      <c r="B532" s="78"/>
      <c r="C532" s="80"/>
      <c r="D532" s="80"/>
      <c r="E532" s="79"/>
      <c r="F532" s="87" t="str">
        <f>IF($E532="","",IFERROR(INDEX(基础资料!$O$4:$O$34,MATCH($E532,基础资料!$N$4:$N$34,0))&amp;"",""))</f>
        <v/>
      </c>
      <c r="G532" s="87" t="str">
        <f>IF($E532="","",IFERROR(INDEX(基础资料!$P$4:$P$34,MATCH($E532,基础资料!$N$4:$N$34,0))&amp;"",""))</f>
        <v/>
      </c>
      <c r="H532" s="79"/>
      <c r="I532" s="88"/>
      <c r="J532" s="92"/>
      <c r="K532" s="93"/>
      <c r="L532" s="25" t="str">
        <f t="shared" si="25"/>
        <v/>
      </c>
      <c r="M532" s="94"/>
      <c r="N532" s="26" t="str">
        <f t="shared" si="26"/>
        <v/>
      </c>
      <c r="O532" s="80"/>
      <c r="P532" s="80"/>
      <c r="Q532" s="80"/>
      <c r="R532" s="80"/>
    </row>
    <row r="533" ht="18" customHeight="1" spans="1:18">
      <c r="A533" s="87" t="str">
        <f t="shared" si="24"/>
        <v/>
      </c>
      <c r="B533" s="78"/>
      <c r="C533" s="80"/>
      <c r="D533" s="80"/>
      <c r="E533" s="79"/>
      <c r="F533" s="87" t="str">
        <f>IF($E533="","",IFERROR(INDEX(基础资料!$O$4:$O$34,MATCH($E533,基础资料!$N$4:$N$34,0))&amp;"",""))</f>
        <v/>
      </c>
      <c r="G533" s="87" t="str">
        <f>IF($E533="","",IFERROR(INDEX(基础资料!$P$4:$P$34,MATCH($E533,基础资料!$N$4:$N$34,0))&amp;"",""))</f>
        <v/>
      </c>
      <c r="H533" s="79"/>
      <c r="I533" s="88"/>
      <c r="J533" s="92"/>
      <c r="K533" s="93"/>
      <c r="L533" s="25" t="str">
        <f t="shared" si="25"/>
        <v/>
      </c>
      <c r="M533" s="94"/>
      <c r="N533" s="26" t="str">
        <f t="shared" si="26"/>
        <v/>
      </c>
      <c r="O533" s="80"/>
      <c r="P533" s="80"/>
      <c r="Q533" s="80"/>
      <c r="R533" s="80"/>
    </row>
    <row r="534" ht="18" customHeight="1" spans="1:18">
      <c r="A534" s="87" t="str">
        <f t="shared" si="24"/>
        <v/>
      </c>
      <c r="B534" s="78"/>
      <c r="C534" s="80"/>
      <c r="D534" s="80"/>
      <c r="E534" s="79"/>
      <c r="F534" s="87" t="str">
        <f>IF($E534="","",IFERROR(INDEX(基础资料!$O$4:$O$34,MATCH($E534,基础资料!$N$4:$N$34,0))&amp;"",""))</f>
        <v/>
      </c>
      <c r="G534" s="87" t="str">
        <f>IF($E534="","",IFERROR(INDEX(基础资料!$P$4:$P$34,MATCH($E534,基础资料!$N$4:$N$34,0))&amp;"",""))</f>
        <v/>
      </c>
      <c r="H534" s="79"/>
      <c r="I534" s="88"/>
      <c r="J534" s="92"/>
      <c r="K534" s="93"/>
      <c r="L534" s="25" t="str">
        <f t="shared" si="25"/>
        <v/>
      </c>
      <c r="M534" s="94"/>
      <c r="N534" s="26" t="str">
        <f t="shared" si="26"/>
        <v/>
      </c>
      <c r="O534" s="80"/>
      <c r="P534" s="80"/>
      <c r="Q534" s="80"/>
      <c r="R534" s="80"/>
    </row>
    <row r="535" ht="18" customHeight="1" spans="1:18">
      <c r="A535" s="87" t="str">
        <f t="shared" si="24"/>
        <v/>
      </c>
      <c r="B535" s="78"/>
      <c r="C535" s="80"/>
      <c r="D535" s="80"/>
      <c r="E535" s="79"/>
      <c r="F535" s="87" t="str">
        <f>IF($E535="","",IFERROR(INDEX(基础资料!$O$4:$O$34,MATCH($E535,基础资料!$N$4:$N$34,0))&amp;"",""))</f>
        <v/>
      </c>
      <c r="G535" s="87" t="str">
        <f>IF($E535="","",IFERROR(INDEX(基础资料!$P$4:$P$34,MATCH($E535,基础资料!$N$4:$N$34,0))&amp;"",""))</f>
        <v/>
      </c>
      <c r="H535" s="79"/>
      <c r="I535" s="88"/>
      <c r="J535" s="92"/>
      <c r="K535" s="93"/>
      <c r="L535" s="25" t="str">
        <f t="shared" si="25"/>
        <v/>
      </c>
      <c r="M535" s="94"/>
      <c r="N535" s="26" t="str">
        <f t="shared" si="26"/>
        <v/>
      </c>
      <c r="O535" s="80"/>
      <c r="P535" s="80"/>
      <c r="Q535" s="80"/>
      <c r="R535" s="80"/>
    </row>
    <row r="536" ht="18" customHeight="1" spans="1:18">
      <c r="A536" s="87" t="str">
        <f t="shared" si="24"/>
        <v/>
      </c>
      <c r="B536" s="78"/>
      <c r="C536" s="80"/>
      <c r="D536" s="80"/>
      <c r="E536" s="79"/>
      <c r="F536" s="87" t="str">
        <f>IF($E536="","",IFERROR(INDEX(基础资料!$O$4:$O$34,MATCH($E536,基础资料!$N$4:$N$34,0))&amp;"",""))</f>
        <v/>
      </c>
      <c r="G536" s="87" t="str">
        <f>IF($E536="","",IFERROR(INDEX(基础资料!$P$4:$P$34,MATCH($E536,基础资料!$N$4:$N$34,0))&amp;"",""))</f>
        <v/>
      </c>
      <c r="H536" s="79"/>
      <c r="I536" s="88"/>
      <c r="J536" s="92"/>
      <c r="K536" s="93"/>
      <c r="L536" s="25" t="str">
        <f t="shared" si="25"/>
        <v/>
      </c>
      <c r="M536" s="94"/>
      <c r="N536" s="26" t="str">
        <f t="shared" si="26"/>
        <v/>
      </c>
      <c r="O536" s="80"/>
      <c r="P536" s="80"/>
      <c r="Q536" s="80"/>
      <c r="R536" s="80"/>
    </row>
    <row r="537" ht="18" customHeight="1" spans="1:18">
      <c r="A537" s="87" t="str">
        <f t="shared" si="24"/>
        <v/>
      </c>
      <c r="B537" s="78"/>
      <c r="C537" s="80"/>
      <c r="D537" s="80"/>
      <c r="E537" s="79"/>
      <c r="F537" s="87" t="str">
        <f>IF($E537="","",IFERROR(INDEX(基础资料!$O$4:$O$34,MATCH($E537,基础资料!$N$4:$N$34,0))&amp;"",""))</f>
        <v/>
      </c>
      <c r="G537" s="87" t="str">
        <f>IF($E537="","",IFERROR(INDEX(基础资料!$P$4:$P$34,MATCH($E537,基础资料!$N$4:$N$34,0))&amp;"",""))</f>
        <v/>
      </c>
      <c r="H537" s="79"/>
      <c r="I537" s="88"/>
      <c r="J537" s="92"/>
      <c r="K537" s="93"/>
      <c r="L537" s="25" t="str">
        <f t="shared" si="25"/>
        <v/>
      </c>
      <c r="M537" s="94"/>
      <c r="N537" s="26" t="str">
        <f t="shared" si="26"/>
        <v/>
      </c>
      <c r="O537" s="80"/>
      <c r="P537" s="80"/>
      <c r="Q537" s="80"/>
      <c r="R537" s="80"/>
    </row>
    <row r="538" ht="18" customHeight="1" spans="1:18">
      <c r="A538" s="87" t="str">
        <f t="shared" si="24"/>
        <v/>
      </c>
      <c r="B538" s="78"/>
      <c r="C538" s="80"/>
      <c r="D538" s="80"/>
      <c r="E538" s="79"/>
      <c r="F538" s="87" t="str">
        <f>IF($E538="","",IFERROR(INDEX(基础资料!$O$4:$O$34,MATCH($E538,基础资料!$N$4:$N$34,0))&amp;"",""))</f>
        <v/>
      </c>
      <c r="G538" s="87" t="str">
        <f>IF($E538="","",IFERROR(INDEX(基础资料!$P$4:$P$34,MATCH($E538,基础资料!$N$4:$N$34,0))&amp;"",""))</f>
        <v/>
      </c>
      <c r="H538" s="79"/>
      <c r="I538" s="88"/>
      <c r="J538" s="92"/>
      <c r="K538" s="93"/>
      <c r="L538" s="25" t="str">
        <f t="shared" si="25"/>
        <v/>
      </c>
      <c r="M538" s="94"/>
      <c r="N538" s="26" t="str">
        <f t="shared" si="26"/>
        <v/>
      </c>
      <c r="O538" s="80"/>
      <c r="P538" s="80"/>
      <c r="Q538" s="80"/>
      <c r="R538" s="80"/>
    </row>
    <row r="539" ht="18" customHeight="1" spans="1:18">
      <c r="A539" s="87" t="str">
        <f t="shared" si="24"/>
        <v/>
      </c>
      <c r="B539" s="78"/>
      <c r="C539" s="80"/>
      <c r="D539" s="80"/>
      <c r="E539" s="79"/>
      <c r="F539" s="87" t="str">
        <f>IF($E539="","",IFERROR(INDEX(基础资料!$O$4:$O$34,MATCH($E539,基础资料!$N$4:$N$34,0))&amp;"",""))</f>
        <v/>
      </c>
      <c r="G539" s="87" t="str">
        <f>IF($E539="","",IFERROR(INDEX(基础资料!$P$4:$P$34,MATCH($E539,基础资料!$N$4:$N$34,0))&amp;"",""))</f>
        <v/>
      </c>
      <c r="H539" s="79"/>
      <c r="I539" s="88"/>
      <c r="J539" s="92"/>
      <c r="K539" s="93"/>
      <c r="L539" s="25" t="str">
        <f t="shared" si="25"/>
        <v/>
      </c>
      <c r="M539" s="94"/>
      <c r="N539" s="26" t="str">
        <f t="shared" si="26"/>
        <v/>
      </c>
      <c r="O539" s="80"/>
      <c r="P539" s="80"/>
      <c r="Q539" s="80"/>
      <c r="R539" s="80"/>
    </row>
    <row r="540" ht="18" customHeight="1" spans="1:18">
      <c r="A540" s="87" t="str">
        <f t="shared" si="24"/>
        <v/>
      </c>
      <c r="B540" s="78"/>
      <c r="C540" s="80"/>
      <c r="D540" s="80"/>
      <c r="E540" s="79"/>
      <c r="F540" s="87" t="str">
        <f>IF($E540="","",IFERROR(INDEX(基础资料!$O$4:$O$34,MATCH($E540,基础资料!$N$4:$N$34,0))&amp;"",""))</f>
        <v/>
      </c>
      <c r="G540" s="87" t="str">
        <f>IF($E540="","",IFERROR(INDEX(基础资料!$P$4:$P$34,MATCH($E540,基础资料!$N$4:$N$34,0))&amp;"",""))</f>
        <v/>
      </c>
      <c r="H540" s="79"/>
      <c r="I540" s="88"/>
      <c r="J540" s="92"/>
      <c r="K540" s="93"/>
      <c r="L540" s="25" t="str">
        <f t="shared" si="25"/>
        <v/>
      </c>
      <c r="M540" s="94"/>
      <c r="N540" s="26" t="str">
        <f t="shared" si="26"/>
        <v/>
      </c>
      <c r="O540" s="80"/>
      <c r="P540" s="80"/>
      <c r="Q540" s="80"/>
      <c r="R540" s="80"/>
    </row>
    <row r="541" ht="18" customHeight="1" spans="1:18">
      <c r="A541" s="87" t="str">
        <f t="shared" si="24"/>
        <v/>
      </c>
      <c r="B541" s="78"/>
      <c r="C541" s="80"/>
      <c r="D541" s="80"/>
      <c r="E541" s="79"/>
      <c r="F541" s="87" t="str">
        <f>IF($E541="","",IFERROR(INDEX(基础资料!$O$4:$O$34,MATCH($E541,基础资料!$N$4:$N$34,0))&amp;"",""))</f>
        <v/>
      </c>
      <c r="G541" s="87" t="str">
        <f>IF($E541="","",IFERROR(INDEX(基础资料!$P$4:$P$34,MATCH($E541,基础资料!$N$4:$N$34,0))&amp;"",""))</f>
        <v/>
      </c>
      <c r="H541" s="79"/>
      <c r="I541" s="88"/>
      <c r="J541" s="92"/>
      <c r="K541" s="93"/>
      <c r="L541" s="25" t="str">
        <f t="shared" si="25"/>
        <v/>
      </c>
      <c r="M541" s="94"/>
      <c r="N541" s="26" t="str">
        <f t="shared" si="26"/>
        <v/>
      </c>
      <c r="O541" s="80"/>
      <c r="P541" s="80"/>
      <c r="Q541" s="80"/>
      <c r="R541" s="80"/>
    </row>
    <row r="542" ht="18" customHeight="1" spans="1:18">
      <c r="A542" s="87" t="str">
        <f t="shared" si="24"/>
        <v/>
      </c>
      <c r="B542" s="78"/>
      <c r="C542" s="80"/>
      <c r="D542" s="80"/>
      <c r="E542" s="79"/>
      <c r="F542" s="87" t="str">
        <f>IF($E542="","",IFERROR(INDEX(基础资料!$O$4:$O$34,MATCH($E542,基础资料!$N$4:$N$34,0))&amp;"",""))</f>
        <v/>
      </c>
      <c r="G542" s="87" t="str">
        <f>IF($E542="","",IFERROR(INDEX(基础资料!$P$4:$P$34,MATCH($E542,基础资料!$N$4:$N$34,0))&amp;"",""))</f>
        <v/>
      </c>
      <c r="H542" s="79"/>
      <c r="I542" s="88"/>
      <c r="J542" s="92"/>
      <c r="K542" s="93"/>
      <c r="L542" s="25" t="str">
        <f t="shared" si="25"/>
        <v/>
      </c>
      <c r="M542" s="94"/>
      <c r="N542" s="26" t="str">
        <f t="shared" si="26"/>
        <v/>
      </c>
      <c r="O542" s="80"/>
      <c r="P542" s="80"/>
      <c r="Q542" s="80"/>
      <c r="R542" s="80"/>
    </row>
    <row r="543" ht="18" customHeight="1" spans="1:18">
      <c r="A543" s="87" t="str">
        <f t="shared" si="24"/>
        <v/>
      </c>
      <c r="B543" s="78"/>
      <c r="C543" s="80"/>
      <c r="D543" s="80"/>
      <c r="E543" s="79"/>
      <c r="F543" s="87" t="str">
        <f>IF($E543="","",IFERROR(INDEX(基础资料!$O$4:$O$34,MATCH($E543,基础资料!$N$4:$N$34,0))&amp;"",""))</f>
        <v/>
      </c>
      <c r="G543" s="87" t="str">
        <f>IF($E543="","",IFERROR(INDEX(基础资料!$P$4:$P$34,MATCH($E543,基础资料!$N$4:$N$34,0))&amp;"",""))</f>
        <v/>
      </c>
      <c r="H543" s="79"/>
      <c r="I543" s="88"/>
      <c r="J543" s="92"/>
      <c r="K543" s="93"/>
      <c r="L543" s="25" t="str">
        <f t="shared" si="25"/>
        <v/>
      </c>
      <c r="M543" s="94"/>
      <c r="N543" s="26" t="str">
        <f t="shared" si="26"/>
        <v/>
      </c>
      <c r="O543" s="80"/>
      <c r="P543" s="80"/>
      <c r="Q543" s="80"/>
      <c r="R543" s="80"/>
    </row>
    <row r="544" ht="18" customHeight="1" spans="1:18">
      <c r="A544" s="87" t="str">
        <f t="shared" si="24"/>
        <v/>
      </c>
      <c r="B544" s="78"/>
      <c r="C544" s="80"/>
      <c r="D544" s="80"/>
      <c r="E544" s="79"/>
      <c r="F544" s="87" t="str">
        <f>IF($E544="","",IFERROR(INDEX(基础资料!$O$4:$O$34,MATCH($E544,基础资料!$N$4:$N$34,0))&amp;"",""))</f>
        <v/>
      </c>
      <c r="G544" s="87" t="str">
        <f>IF($E544="","",IFERROR(INDEX(基础资料!$P$4:$P$34,MATCH($E544,基础资料!$N$4:$N$34,0))&amp;"",""))</f>
        <v/>
      </c>
      <c r="H544" s="79"/>
      <c r="I544" s="88"/>
      <c r="J544" s="92"/>
      <c r="K544" s="93"/>
      <c r="L544" s="25" t="str">
        <f t="shared" si="25"/>
        <v/>
      </c>
      <c r="M544" s="94"/>
      <c r="N544" s="26" t="str">
        <f t="shared" si="26"/>
        <v/>
      </c>
      <c r="O544" s="80"/>
      <c r="P544" s="80"/>
      <c r="Q544" s="80"/>
      <c r="R544" s="80"/>
    </row>
    <row r="545" ht="18" customHeight="1" spans="1:18">
      <c r="A545" s="87" t="str">
        <f t="shared" si="24"/>
        <v/>
      </c>
      <c r="B545" s="78"/>
      <c r="C545" s="80"/>
      <c r="D545" s="80"/>
      <c r="E545" s="79"/>
      <c r="F545" s="87" t="str">
        <f>IF($E545="","",IFERROR(INDEX(基础资料!$O$4:$O$34,MATCH($E545,基础资料!$N$4:$N$34,0))&amp;"",""))</f>
        <v/>
      </c>
      <c r="G545" s="87" t="str">
        <f>IF($E545="","",IFERROR(INDEX(基础资料!$P$4:$P$34,MATCH($E545,基础资料!$N$4:$N$34,0))&amp;"",""))</f>
        <v/>
      </c>
      <c r="H545" s="79"/>
      <c r="I545" s="88"/>
      <c r="J545" s="92"/>
      <c r="K545" s="93"/>
      <c r="L545" s="25" t="str">
        <f t="shared" si="25"/>
        <v/>
      </c>
      <c r="M545" s="94"/>
      <c r="N545" s="26" t="str">
        <f t="shared" si="26"/>
        <v/>
      </c>
      <c r="O545" s="80"/>
      <c r="P545" s="80"/>
      <c r="Q545" s="80"/>
      <c r="R545" s="80"/>
    </row>
    <row r="546" ht="18" customHeight="1" spans="1:18">
      <c r="A546" s="87" t="str">
        <f t="shared" si="24"/>
        <v/>
      </c>
      <c r="B546" s="78"/>
      <c r="C546" s="80"/>
      <c r="D546" s="80"/>
      <c r="E546" s="79"/>
      <c r="F546" s="87" t="str">
        <f>IF($E546="","",IFERROR(INDEX(基础资料!$O$4:$O$34,MATCH($E546,基础资料!$N$4:$N$34,0))&amp;"",""))</f>
        <v/>
      </c>
      <c r="G546" s="87" t="str">
        <f>IF($E546="","",IFERROR(INDEX(基础资料!$P$4:$P$34,MATCH($E546,基础资料!$N$4:$N$34,0))&amp;"",""))</f>
        <v/>
      </c>
      <c r="H546" s="79"/>
      <c r="I546" s="88"/>
      <c r="J546" s="92"/>
      <c r="K546" s="93"/>
      <c r="L546" s="25" t="str">
        <f t="shared" si="25"/>
        <v/>
      </c>
      <c r="M546" s="94"/>
      <c r="N546" s="26" t="str">
        <f t="shared" si="26"/>
        <v/>
      </c>
      <c r="O546" s="80"/>
      <c r="P546" s="80"/>
      <c r="Q546" s="80"/>
      <c r="R546" s="80"/>
    </row>
    <row r="547" ht="18" customHeight="1" spans="1:18">
      <c r="A547" s="87" t="str">
        <f t="shared" si="24"/>
        <v/>
      </c>
      <c r="B547" s="78"/>
      <c r="C547" s="80"/>
      <c r="D547" s="80"/>
      <c r="E547" s="79"/>
      <c r="F547" s="87" t="str">
        <f>IF($E547="","",IFERROR(INDEX(基础资料!$O$4:$O$34,MATCH($E547,基础资料!$N$4:$N$34,0))&amp;"",""))</f>
        <v/>
      </c>
      <c r="G547" s="87" t="str">
        <f>IF($E547="","",IFERROR(INDEX(基础资料!$P$4:$P$34,MATCH($E547,基础资料!$N$4:$N$34,0))&amp;"",""))</f>
        <v/>
      </c>
      <c r="H547" s="79"/>
      <c r="I547" s="88"/>
      <c r="J547" s="92"/>
      <c r="K547" s="93"/>
      <c r="L547" s="25" t="str">
        <f t="shared" si="25"/>
        <v/>
      </c>
      <c r="M547" s="94"/>
      <c r="N547" s="26" t="str">
        <f t="shared" si="26"/>
        <v/>
      </c>
      <c r="O547" s="80"/>
      <c r="P547" s="80"/>
      <c r="Q547" s="80"/>
      <c r="R547" s="80"/>
    </row>
    <row r="548" ht="18" customHeight="1" spans="1:18">
      <c r="A548" s="87" t="str">
        <f t="shared" si="24"/>
        <v/>
      </c>
      <c r="B548" s="78"/>
      <c r="C548" s="80"/>
      <c r="D548" s="80"/>
      <c r="E548" s="79"/>
      <c r="F548" s="87" t="str">
        <f>IF($E548="","",IFERROR(INDEX(基础资料!$O$4:$O$34,MATCH($E548,基础资料!$N$4:$N$34,0))&amp;"",""))</f>
        <v/>
      </c>
      <c r="G548" s="87" t="str">
        <f>IF($E548="","",IFERROR(INDEX(基础资料!$P$4:$P$34,MATCH($E548,基础资料!$N$4:$N$34,0))&amp;"",""))</f>
        <v/>
      </c>
      <c r="H548" s="79"/>
      <c r="I548" s="88"/>
      <c r="J548" s="92"/>
      <c r="K548" s="93"/>
      <c r="L548" s="25" t="str">
        <f t="shared" si="25"/>
        <v/>
      </c>
      <c r="M548" s="94"/>
      <c r="N548" s="26" t="str">
        <f t="shared" si="26"/>
        <v/>
      </c>
      <c r="O548" s="80"/>
      <c r="P548" s="80"/>
      <c r="Q548" s="80"/>
      <c r="R548" s="80"/>
    </row>
    <row r="549" ht="18" customHeight="1" spans="1:18">
      <c r="A549" s="87" t="str">
        <f t="shared" si="24"/>
        <v/>
      </c>
      <c r="B549" s="78"/>
      <c r="C549" s="80"/>
      <c r="D549" s="80"/>
      <c r="E549" s="79"/>
      <c r="F549" s="87" t="str">
        <f>IF($E549="","",IFERROR(INDEX(基础资料!$O$4:$O$34,MATCH($E549,基础资料!$N$4:$N$34,0))&amp;"",""))</f>
        <v/>
      </c>
      <c r="G549" s="87" t="str">
        <f>IF($E549="","",IFERROR(INDEX(基础资料!$P$4:$P$34,MATCH($E549,基础资料!$N$4:$N$34,0))&amp;"",""))</f>
        <v/>
      </c>
      <c r="H549" s="79"/>
      <c r="I549" s="88"/>
      <c r="J549" s="92"/>
      <c r="K549" s="93"/>
      <c r="L549" s="25" t="str">
        <f t="shared" si="25"/>
        <v/>
      </c>
      <c r="M549" s="94"/>
      <c r="N549" s="26" t="str">
        <f t="shared" si="26"/>
        <v/>
      </c>
      <c r="O549" s="80"/>
      <c r="P549" s="80"/>
      <c r="Q549" s="80"/>
      <c r="R549" s="80"/>
    </row>
    <row r="550" ht="18" customHeight="1" spans="1:18">
      <c r="A550" s="87" t="str">
        <f t="shared" si="24"/>
        <v/>
      </c>
      <c r="B550" s="78"/>
      <c r="C550" s="80"/>
      <c r="D550" s="80"/>
      <c r="E550" s="79"/>
      <c r="F550" s="87" t="str">
        <f>IF($E550="","",IFERROR(INDEX(基础资料!$O$4:$O$34,MATCH($E550,基础资料!$N$4:$N$34,0))&amp;"",""))</f>
        <v/>
      </c>
      <c r="G550" s="87" t="str">
        <f>IF($E550="","",IFERROR(INDEX(基础资料!$P$4:$P$34,MATCH($E550,基础资料!$N$4:$N$34,0))&amp;"",""))</f>
        <v/>
      </c>
      <c r="H550" s="79"/>
      <c r="I550" s="88"/>
      <c r="J550" s="92"/>
      <c r="K550" s="93"/>
      <c r="L550" s="25" t="str">
        <f t="shared" si="25"/>
        <v/>
      </c>
      <c r="M550" s="94"/>
      <c r="N550" s="26" t="str">
        <f t="shared" si="26"/>
        <v/>
      </c>
      <c r="O550" s="80"/>
      <c r="P550" s="80"/>
      <c r="Q550" s="80"/>
      <c r="R550" s="80"/>
    </row>
    <row r="551" ht="18" customHeight="1" spans="1:18">
      <c r="A551" s="87" t="str">
        <f t="shared" si="24"/>
        <v/>
      </c>
      <c r="B551" s="78"/>
      <c r="C551" s="80"/>
      <c r="D551" s="80"/>
      <c r="E551" s="79"/>
      <c r="F551" s="87" t="str">
        <f>IF($E551="","",IFERROR(INDEX(基础资料!$O$4:$O$34,MATCH($E551,基础资料!$N$4:$N$34,0))&amp;"",""))</f>
        <v/>
      </c>
      <c r="G551" s="87" t="str">
        <f>IF($E551="","",IFERROR(INDEX(基础资料!$P$4:$P$34,MATCH($E551,基础资料!$N$4:$N$34,0))&amp;"",""))</f>
        <v/>
      </c>
      <c r="H551" s="79"/>
      <c r="I551" s="88"/>
      <c r="J551" s="92"/>
      <c r="K551" s="93"/>
      <c r="L551" s="25" t="str">
        <f t="shared" si="25"/>
        <v/>
      </c>
      <c r="M551" s="94"/>
      <c r="N551" s="26" t="str">
        <f t="shared" si="26"/>
        <v/>
      </c>
      <c r="O551" s="80"/>
      <c r="P551" s="80"/>
      <c r="Q551" s="80"/>
      <c r="R551" s="80"/>
    </row>
    <row r="552" ht="18" customHeight="1" spans="1:18">
      <c r="A552" s="87" t="str">
        <f t="shared" si="24"/>
        <v/>
      </c>
      <c r="B552" s="78"/>
      <c r="C552" s="80"/>
      <c r="D552" s="80"/>
      <c r="E552" s="79"/>
      <c r="F552" s="87" t="str">
        <f>IF($E552="","",IFERROR(INDEX(基础资料!$O$4:$O$34,MATCH($E552,基础资料!$N$4:$N$34,0))&amp;"",""))</f>
        <v/>
      </c>
      <c r="G552" s="87" t="str">
        <f>IF($E552="","",IFERROR(INDEX(基础资料!$P$4:$P$34,MATCH($E552,基础资料!$N$4:$N$34,0))&amp;"",""))</f>
        <v/>
      </c>
      <c r="H552" s="79"/>
      <c r="I552" s="88"/>
      <c r="J552" s="92"/>
      <c r="K552" s="93"/>
      <c r="L552" s="25" t="str">
        <f t="shared" si="25"/>
        <v/>
      </c>
      <c r="M552" s="94"/>
      <c r="N552" s="26" t="str">
        <f t="shared" si="26"/>
        <v/>
      </c>
      <c r="O552" s="80"/>
      <c r="P552" s="80"/>
      <c r="Q552" s="80"/>
      <c r="R552" s="80"/>
    </row>
    <row r="553" ht="18" customHeight="1" spans="1:18">
      <c r="A553" s="87" t="str">
        <f t="shared" si="24"/>
        <v/>
      </c>
      <c r="B553" s="78"/>
      <c r="C553" s="80"/>
      <c r="D553" s="80"/>
      <c r="E553" s="79"/>
      <c r="F553" s="87" t="str">
        <f>IF($E553="","",IFERROR(INDEX(基础资料!$O$4:$O$34,MATCH($E553,基础资料!$N$4:$N$34,0))&amp;"",""))</f>
        <v/>
      </c>
      <c r="G553" s="87" t="str">
        <f>IF($E553="","",IFERROR(INDEX(基础资料!$P$4:$P$34,MATCH($E553,基础资料!$N$4:$N$34,0))&amp;"",""))</f>
        <v/>
      </c>
      <c r="H553" s="79"/>
      <c r="I553" s="88"/>
      <c r="J553" s="92"/>
      <c r="K553" s="93"/>
      <c r="L553" s="25" t="str">
        <f t="shared" si="25"/>
        <v/>
      </c>
      <c r="M553" s="94"/>
      <c r="N553" s="26" t="str">
        <f t="shared" si="26"/>
        <v/>
      </c>
      <c r="O553" s="80"/>
      <c r="P553" s="80"/>
      <c r="Q553" s="80"/>
      <c r="R553" s="80"/>
    </row>
    <row r="554" ht="18" customHeight="1" spans="1:18">
      <c r="A554" s="87" t="str">
        <f t="shared" si="24"/>
        <v/>
      </c>
      <c r="B554" s="78"/>
      <c r="C554" s="80"/>
      <c r="D554" s="80"/>
      <c r="E554" s="79"/>
      <c r="F554" s="87" t="str">
        <f>IF($E554="","",IFERROR(INDEX(基础资料!$O$4:$O$34,MATCH($E554,基础资料!$N$4:$N$34,0))&amp;"",""))</f>
        <v/>
      </c>
      <c r="G554" s="87" t="str">
        <f>IF($E554="","",IFERROR(INDEX(基础资料!$P$4:$P$34,MATCH($E554,基础资料!$N$4:$N$34,0))&amp;"",""))</f>
        <v/>
      </c>
      <c r="H554" s="79"/>
      <c r="I554" s="88"/>
      <c r="J554" s="92"/>
      <c r="K554" s="93"/>
      <c r="L554" s="25" t="str">
        <f t="shared" si="25"/>
        <v/>
      </c>
      <c r="M554" s="94"/>
      <c r="N554" s="26" t="str">
        <f t="shared" si="26"/>
        <v/>
      </c>
      <c r="O554" s="80"/>
      <c r="P554" s="80"/>
      <c r="Q554" s="80"/>
      <c r="R554" s="80"/>
    </row>
    <row r="555" ht="18" customHeight="1" spans="1:18">
      <c r="A555" s="87" t="str">
        <f t="shared" si="24"/>
        <v/>
      </c>
      <c r="B555" s="78"/>
      <c r="C555" s="80"/>
      <c r="D555" s="80"/>
      <c r="E555" s="79"/>
      <c r="F555" s="87" t="str">
        <f>IF($E555="","",IFERROR(INDEX(基础资料!$O$4:$O$34,MATCH($E555,基础资料!$N$4:$N$34,0))&amp;"",""))</f>
        <v/>
      </c>
      <c r="G555" s="87" t="str">
        <f>IF($E555="","",IFERROR(INDEX(基础资料!$P$4:$P$34,MATCH($E555,基础资料!$N$4:$N$34,0))&amp;"",""))</f>
        <v/>
      </c>
      <c r="H555" s="79"/>
      <c r="I555" s="88"/>
      <c r="J555" s="92"/>
      <c r="K555" s="93"/>
      <c r="L555" s="25" t="str">
        <f t="shared" si="25"/>
        <v/>
      </c>
      <c r="M555" s="94"/>
      <c r="N555" s="26" t="str">
        <f t="shared" si="26"/>
        <v/>
      </c>
      <c r="O555" s="80"/>
      <c r="P555" s="80"/>
      <c r="Q555" s="80"/>
      <c r="R555" s="80"/>
    </row>
    <row r="556" ht="18" customHeight="1" spans="1:18">
      <c r="A556" s="87" t="str">
        <f t="shared" si="24"/>
        <v/>
      </c>
      <c r="B556" s="78"/>
      <c r="C556" s="80"/>
      <c r="D556" s="80"/>
      <c r="E556" s="79"/>
      <c r="F556" s="87" t="str">
        <f>IF($E556="","",IFERROR(INDEX(基础资料!$O$4:$O$34,MATCH($E556,基础资料!$N$4:$N$34,0))&amp;"",""))</f>
        <v/>
      </c>
      <c r="G556" s="87" t="str">
        <f>IF($E556="","",IFERROR(INDEX(基础资料!$P$4:$P$34,MATCH($E556,基础资料!$N$4:$N$34,0))&amp;"",""))</f>
        <v/>
      </c>
      <c r="H556" s="79"/>
      <c r="I556" s="88"/>
      <c r="J556" s="92"/>
      <c r="K556" s="93"/>
      <c r="L556" s="25" t="str">
        <f t="shared" si="25"/>
        <v/>
      </c>
      <c r="M556" s="94"/>
      <c r="N556" s="26" t="str">
        <f t="shared" si="26"/>
        <v/>
      </c>
      <c r="O556" s="80"/>
      <c r="P556" s="80"/>
      <c r="Q556" s="80"/>
      <c r="R556" s="80"/>
    </row>
    <row r="557" ht="18" customHeight="1" spans="1:18">
      <c r="A557" s="87" t="str">
        <f t="shared" si="24"/>
        <v/>
      </c>
      <c r="B557" s="78"/>
      <c r="C557" s="80"/>
      <c r="D557" s="80"/>
      <c r="E557" s="79"/>
      <c r="F557" s="87" t="str">
        <f>IF($E557="","",IFERROR(INDEX(基础资料!$O$4:$O$34,MATCH($E557,基础资料!$N$4:$N$34,0))&amp;"",""))</f>
        <v/>
      </c>
      <c r="G557" s="87" t="str">
        <f>IF($E557="","",IFERROR(INDEX(基础资料!$P$4:$P$34,MATCH($E557,基础资料!$N$4:$N$34,0))&amp;"",""))</f>
        <v/>
      </c>
      <c r="H557" s="79"/>
      <c r="I557" s="88"/>
      <c r="J557" s="92"/>
      <c r="K557" s="93"/>
      <c r="L557" s="25" t="str">
        <f t="shared" si="25"/>
        <v/>
      </c>
      <c r="M557" s="94"/>
      <c r="N557" s="26" t="str">
        <f t="shared" si="26"/>
        <v/>
      </c>
      <c r="O557" s="80"/>
      <c r="P557" s="80"/>
      <c r="Q557" s="80"/>
      <c r="R557" s="80"/>
    </row>
    <row r="558" ht="18" customHeight="1" spans="1:18">
      <c r="A558" s="87" t="str">
        <f t="shared" si="24"/>
        <v/>
      </c>
      <c r="B558" s="78"/>
      <c r="C558" s="80"/>
      <c r="D558" s="80"/>
      <c r="E558" s="79"/>
      <c r="F558" s="87" t="str">
        <f>IF($E558="","",IFERROR(INDEX(基础资料!$O$4:$O$34,MATCH($E558,基础资料!$N$4:$N$34,0))&amp;"",""))</f>
        <v/>
      </c>
      <c r="G558" s="87" t="str">
        <f>IF($E558="","",IFERROR(INDEX(基础资料!$P$4:$P$34,MATCH($E558,基础资料!$N$4:$N$34,0))&amp;"",""))</f>
        <v/>
      </c>
      <c r="H558" s="79"/>
      <c r="I558" s="88"/>
      <c r="J558" s="92"/>
      <c r="K558" s="93"/>
      <c r="L558" s="25" t="str">
        <f t="shared" si="25"/>
        <v/>
      </c>
      <c r="M558" s="94"/>
      <c r="N558" s="26" t="str">
        <f t="shared" si="26"/>
        <v/>
      </c>
      <c r="O558" s="80"/>
      <c r="P558" s="80"/>
      <c r="Q558" s="80"/>
      <c r="R558" s="80"/>
    </row>
    <row r="559" ht="18" customHeight="1" spans="1:18">
      <c r="A559" s="87" t="str">
        <f t="shared" si="24"/>
        <v/>
      </c>
      <c r="B559" s="78"/>
      <c r="C559" s="80"/>
      <c r="D559" s="80"/>
      <c r="E559" s="79"/>
      <c r="F559" s="87" t="str">
        <f>IF($E559="","",IFERROR(INDEX(基础资料!$O$4:$O$34,MATCH($E559,基础资料!$N$4:$N$34,0))&amp;"",""))</f>
        <v/>
      </c>
      <c r="G559" s="87" t="str">
        <f>IF($E559="","",IFERROR(INDEX(基础资料!$P$4:$P$34,MATCH($E559,基础资料!$N$4:$N$34,0))&amp;"",""))</f>
        <v/>
      </c>
      <c r="H559" s="79"/>
      <c r="I559" s="88"/>
      <c r="J559" s="92"/>
      <c r="K559" s="93"/>
      <c r="L559" s="25" t="str">
        <f t="shared" si="25"/>
        <v/>
      </c>
      <c r="M559" s="94"/>
      <c r="N559" s="26" t="str">
        <f t="shared" si="26"/>
        <v/>
      </c>
      <c r="O559" s="80"/>
      <c r="P559" s="80"/>
      <c r="Q559" s="80"/>
      <c r="R559" s="80"/>
    </row>
    <row r="560" ht="18" customHeight="1" spans="1:18">
      <c r="A560" s="87" t="str">
        <f t="shared" si="24"/>
        <v/>
      </c>
      <c r="B560" s="78"/>
      <c r="C560" s="80"/>
      <c r="D560" s="80"/>
      <c r="E560" s="79"/>
      <c r="F560" s="87" t="str">
        <f>IF($E560="","",IFERROR(INDEX(基础资料!$O$4:$O$34,MATCH($E560,基础资料!$N$4:$N$34,0))&amp;"",""))</f>
        <v/>
      </c>
      <c r="G560" s="87" t="str">
        <f>IF($E560="","",IFERROR(INDEX(基础资料!$P$4:$P$34,MATCH($E560,基础资料!$N$4:$N$34,0))&amp;"",""))</f>
        <v/>
      </c>
      <c r="H560" s="79"/>
      <c r="I560" s="88"/>
      <c r="J560" s="92"/>
      <c r="K560" s="93"/>
      <c r="L560" s="25" t="str">
        <f t="shared" si="25"/>
        <v/>
      </c>
      <c r="M560" s="94"/>
      <c r="N560" s="26" t="str">
        <f t="shared" si="26"/>
        <v/>
      </c>
      <c r="O560" s="80"/>
      <c r="P560" s="80"/>
      <c r="Q560" s="80"/>
      <c r="R560" s="80"/>
    </row>
    <row r="561" ht="18" customHeight="1" spans="1:18">
      <c r="A561" s="87" t="str">
        <f t="shared" si="24"/>
        <v/>
      </c>
      <c r="B561" s="78"/>
      <c r="C561" s="80"/>
      <c r="D561" s="80"/>
      <c r="E561" s="79"/>
      <c r="F561" s="87" t="str">
        <f>IF($E561="","",IFERROR(INDEX(基础资料!$O$4:$O$34,MATCH($E561,基础资料!$N$4:$N$34,0))&amp;"",""))</f>
        <v/>
      </c>
      <c r="G561" s="87" t="str">
        <f>IF($E561="","",IFERROR(INDEX(基础资料!$P$4:$P$34,MATCH($E561,基础资料!$N$4:$N$34,0))&amp;"",""))</f>
        <v/>
      </c>
      <c r="H561" s="79"/>
      <c r="I561" s="88"/>
      <c r="J561" s="92"/>
      <c r="K561" s="93"/>
      <c r="L561" s="25" t="str">
        <f t="shared" si="25"/>
        <v/>
      </c>
      <c r="M561" s="94"/>
      <c r="N561" s="26" t="str">
        <f t="shared" si="26"/>
        <v/>
      </c>
      <c r="O561" s="80"/>
      <c r="P561" s="80"/>
      <c r="Q561" s="80"/>
      <c r="R561" s="80"/>
    </row>
    <row r="562" ht="18" customHeight="1" spans="1:18">
      <c r="A562" s="87" t="str">
        <f t="shared" si="24"/>
        <v/>
      </c>
      <c r="B562" s="78"/>
      <c r="C562" s="80"/>
      <c r="D562" s="80"/>
      <c r="E562" s="79"/>
      <c r="F562" s="87" t="str">
        <f>IF($E562="","",IFERROR(INDEX(基础资料!$O$4:$O$34,MATCH($E562,基础资料!$N$4:$N$34,0))&amp;"",""))</f>
        <v/>
      </c>
      <c r="G562" s="87" t="str">
        <f>IF($E562="","",IFERROR(INDEX(基础资料!$P$4:$P$34,MATCH($E562,基础资料!$N$4:$N$34,0))&amp;"",""))</f>
        <v/>
      </c>
      <c r="H562" s="79"/>
      <c r="I562" s="88"/>
      <c r="J562" s="92"/>
      <c r="K562" s="93"/>
      <c r="L562" s="25" t="str">
        <f t="shared" si="25"/>
        <v/>
      </c>
      <c r="M562" s="94"/>
      <c r="N562" s="26" t="str">
        <f t="shared" si="26"/>
        <v/>
      </c>
      <c r="O562" s="80"/>
      <c r="P562" s="80"/>
      <c r="Q562" s="80"/>
      <c r="R562" s="80"/>
    </row>
    <row r="563" ht="18" customHeight="1" spans="1:18">
      <c r="A563" s="87" t="str">
        <f t="shared" si="24"/>
        <v/>
      </c>
      <c r="B563" s="78"/>
      <c r="C563" s="80"/>
      <c r="D563" s="80"/>
      <c r="E563" s="79"/>
      <c r="F563" s="87" t="str">
        <f>IF($E563="","",IFERROR(INDEX(基础资料!$O$4:$O$34,MATCH($E563,基础资料!$N$4:$N$34,0))&amp;"",""))</f>
        <v/>
      </c>
      <c r="G563" s="87" t="str">
        <f>IF($E563="","",IFERROR(INDEX(基础资料!$P$4:$P$34,MATCH($E563,基础资料!$N$4:$N$34,0))&amp;"",""))</f>
        <v/>
      </c>
      <c r="H563" s="79"/>
      <c r="I563" s="88"/>
      <c r="J563" s="92"/>
      <c r="K563" s="93"/>
      <c r="L563" s="25" t="str">
        <f t="shared" si="25"/>
        <v/>
      </c>
      <c r="M563" s="94"/>
      <c r="N563" s="26" t="str">
        <f t="shared" si="26"/>
        <v/>
      </c>
      <c r="O563" s="80"/>
      <c r="P563" s="80"/>
      <c r="Q563" s="80"/>
      <c r="R563" s="80"/>
    </row>
    <row r="564" ht="18" customHeight="1" spans="1:18">
      <c r="A564" s="87" t="str">
        <f t="shared" si="24"/>
        <v/>
      </c>
      <c r="B564" s="78"/>
      <c r="C564" s="80"/>
      <c r="D564" s="80"/>
      <c r="E564" s="79"/>
      <c r="F564" s="87" t="str">
        <f>IF($E564="","",IFERROR(INDEX(基础资料!$O$4:$O$34,MATCH($E564,基础资料!$N$4:$N$34,0))&amp;"",""))</f>
        <v/>
      </c>
      <c r="G564" s="87" t="str">
        <f>IF($E564="","",IFERROR(INDEX(基础资料!$P$4:$P$34,MATCH($E564,基础资料!$N$4:$N$34,0))&amp;"",""))</f>
        <v/>
      </c>
      <c r="H564" s="79"/>
      <c r="I564" s="88"/>
      <c r="J564" s="92"/>
      <c r="K564" s="93"/>
      <c r="L564" s="25" t="str">
        <f t="shared" si="25"/>
        <v/>
      </c>
      <c r="M564" s="94"/>
      <c r="N564" s="26" t="str">
        <f t="shared" si="26"/>
        <v/>
      </c>
      <c r="O564" s="80"/>
      <c r="P564" s="80"/>
      <c r="Q564" s="80"/>
      <c r="R564" s="80"/>
    </row>
    <row r="565" ht="18" customHeight="1" spans="1:18">
      <c r="A565" s="87" t="str">
        <f t="shared" si="24"/>
        <v/>
      </c>
      <c r="B565" s="78"/>
      <c r="C565" s="80"/>
      <c r="D565" s="80"/>
      <c r="E565" s="79"/>
      <c r="F565" s="87" t="str">
        <f>IF($E565="","",IFERROR(INDEX(基础资料!$O$4:$O$34,MATCH($E565,基础资料!$N$4:$N$34,0))&amp;"",""))</f>
        <v/>
      </c>
      <c r="G565" s="87" t="str">
        <f>IF($E565="","",IFERROR(INDEX(基础资料!$P$4:$P$34,MATCH($E565,基础资料!$N$4:$N$34,0))&amp;"",""))</f>
        <v/>
      </c>
      <c r="H565" s="79"/>
      <c r="I565" s="88"/>
      <c r="J565" s="92"/>
      <c r="K565" s="93"/>
      <c r="L565" s="25" t="str">
        <f t="shared" si="25"/>
        <v/>
      </c>
      <c r="M565" s="94"/>
      <c r="N565" s="26" t="str">
        <f t="shared" si="26"/>
        <v/>
      </c>
      <c r="O565" s="80"/>
      <c r="P565" s="80"/>
      <c r="Q565" s="80"/>
      <c r="R565" s="80"/>
    </row>
    <row r="566" ht="18" customHeight="1" spans="1:18">
      <c r="A566" s="87" t="str">
        <f t="shared" si="24"/>
        <v/>
      </c>
      <c r="B566" s="78"/>
      <c r="C566" s="80"/>
      <c r="D566" s="80"/>
      <c r="E566" s="79"/>
      <c r="F566" s="87" t="str">
        <f>IF($E566="","",IFERROR(INDEX(基础资料!$O$4:$O$34,MATCH($E566,基础资料!$N$4:$N$34,0))&amp;"",""))</f>
        <v/>
      </c>
      <c r="G566" s="87" t="str">
        <f>IF($E566="","",IFERROR(INDEX(基础资料!$P$4:$P$34,MATCH($E566,基础资料!$N$4:$N$34,0))&amp;"",""))</f>
        <v/>
      </c>
      <c r="H566" s="79"/>
      <c r="I566" s="88"/>
      <c r="J566" s="92"/>
      <c r="K566" s="93"/>
      <c r="L566" s="25" t="str">
        <f t="shared" si="25"/>
        <v/>
      </c>
      <c r="M566" s="94"/>
      <c r="N566" s="26" t="str">
        <f t="shared" si="26"/>
        <v/>
      </c>
      <c r="O566" s="80"/>
      <c r="P566" s="80"/>
      <c r="Q566" s="80"/>
      <c r="R566" s="80"/>
    </row>
    <row r="567" ht="18" customHeight="1" spans="1:18">
      <c r="A567" s="87" t="str">
        <f t="shared" si="24"/>
        <v/>
      </c>
      <c r="B567" s="78"/>
      <c r="C567" s="80"/>
      <c r="D567" s="80"/>
      <c r="E567" s="79"/>
      <c r="F567" s="87" t="str">
        <f>IF($E567="","",IFERROR(INDEX(基础资料!$O$4:$O$34,MATCH($E567,基础资料!$N$4:$N$34,0))&amp;"",""))</f>
        <v/>
      </c>
      <c r="G567" s="87" t="str">
        <f>IF($E567="","",IFERROR(INDEX(基础资料!$P$4:$P$34,MATCH($E567,基础资料!$N$4:$N$34,0))&amp;"",""))</f>
        <v/>
      </c>
      <c r="H567" s="79"/>
      <c r="I567" s="88"/>
      <c r="J567" s="92"/>
      <c r="K567" s="93"/>
      <c r="L567" s="25" t="str">
        <f t="shared" si="25"/>
        <v/>
      </c>
      <c r="M567" s="94"/>
      <c r="N567" s="26" t="str">
        <f t="shared" si="26"/>
        <v/>
      </c>
      <c r="O567" s="80"/>
      <c r="P567" s="80"/>
      <c r="Q567" s="80"/>
      <c r="R567" s="80"/>
    </row>
    <row r="568" ht="18" customHeight="1" spans="1:18">
      <c r="A568" s="87" t="str">
        <f t="shared" si="24"/>
        <v/>
      </c>
      <c r="B568" s="78"/>
      <c r="C568" s="80"/>
      <c r="D568" s="80"/>
      <c r="E568" s="79"/>
      <c r="F568" s="87" t="str">
        <f>IF($E568="","",IFERROR(INDEX(基础资料!$O$4:$O$34,MATCH($E568,基础资料!$N$4:$N$34,0))&amp;"",""))</f>
        <v/>
      </c>
      <c r="G568" s="87" t="str">
        <f>IF($E568="","",IFERROR(INDEX(基础资料!$P$4:$P$34,MATCH($E568,基础资料!$N$4:$N$34,0))&amp;"",""))</f>
        <v/>
      </c>
      <c r="H568" s="79"/>
      <c r="I568" s="88"/>
      <c r="J568" s="92"/>
      <c r="K568" s="93"/>
      <c r="L568" s="25" t="str">
        <f t="shared" si="25"/>
        <v/>
      </c>
      <c r="M568" s="94"/>
      <c r="N568" s="26" t="str">
        <f t="shared" si="26"/>
        <v/>
      </c>
      <c r="O568" s="80"/>
      <c r="P568" s="80"/>
      <c r="Q568" s="80"/>
      <c r="R568" s="80"/>
    </row>
    <row r="569" ht="18" customHeight="1" spans="1:18">
      <c r="A569" s="87" t="str">
        <f t="shared" si="24"/>
        <v/>
      </c>
      <c r="B569" s="78"/>
      <c r="C569" s="80"/>
      <c r="D569" s="80"/>
      <c r="E569" s="79"/>
      <c r="F569" s="87" t="str">
        <f>IF($E569="","",IFERROR(INDEX(基础资料!$O$4:$O$34,MATCH($E569,基础资料!$N$4:$N$34,0))&amp;"",""))</f>
        <v/>
      </c>
      <c r="G569" s="87" t="str">
        <f>IF($E569="","",IFERROR(INDEX(基础资料!$P$4:$P$34,MATCH($E569,基础资料!$N$4:$N$34,0))&amp;"",""))</f>
        <v/>
      </c>
      <c r="H569" s="79"/>
      <c r="I569" s="88"/>
      <c r="J569" s="92"/>
      <c r="K569" s="93"/>
      <c r="L569" s="25" t="str">
        <f t="shared" si="25"/>
        <v/>
      </c>
      <c r="M569" s="94"/>
      <c r="N569" s="26" t="str">
        <f t="shared" si="26"/>
        <v/>
      </c>
      <c r="O569" s="80"/>
      <c r="P569" s="80"/>
      <c r="Q569" s="80"/>
      <c r="R569" s="80"/>
    </row>
    <row r="570" ht="18" customHeight="1" spans="1:18">
      <c r="A570" s="87" t="str">
        <f t="shared" si="24"/>
        <v/>
      </c>
      <c r="B570" s="78"/>
      <c r="C570" s="80"/>
      <c r="D570" s="80"/>
      <c r="E570" s="79"/>
      <c r="F570" s="87" t="str">
        <f>IF($E570="","",IFERROR(INDEX(基础资料!$O$4:$O$34,MATCH($E570,基础资料!$N$4:$N$34,0))&amp;"",""))</f>
        <v/>
      </c>
      <c r="G570" s="87" t="str">
        <f>IF($E570="","",IFERROR(INDEX(基础资料!$P$4:$P$34,MATCH($E570,基础资料!$N$4:$N$34,0))&amp;"",""))</f>
        <v/>
      </c>
      <c r="H570" s="79"/>
      <c r="I570" s="88"/>
      <c r="J570" s="92"/>
      <c r="K570" s="93"/>
      <c r="L570" s="25" t="str">
        <f t="shared" si="25"/>
        <v/>
      </c>
      <c r="M570" s="94"/>
      <c r="N570" s="26" t="str">
        <f t="shared" si="26"/>
        <v/>
      </c>
      <c r="O570" s="80"/>
      <c r="P570" s="80"/>
      <c r="Q570" s="80"/>
      <c r="R570" s="80"/>
    </row>
    <row r="571" ht="18" customHeight="1" spans="1:18">
      <c r="A571" s="87" t="str">
        <f t="shared" si="24"/>
        <v/>
      </c>
      <c r="B571" s="78"/>
      <c r="C571" s="80"/>
      <c r="D571" s="80"/>
      <c r="E571" s="79"/>
      <c r="F571" s="87" t="str">
        <f>IF($E571="","",IFERROR(INDEX(基础资料!$O$4:$O$34,MATCH($E571,基础资料!$N$4:$N$34,0))&amp;"",""))</f>
        <v/>
      </c>
      <c r="G571" s="87" t="str">
        <f>IF($E571="","",IFERROR(INDEX(基础资料!$P$4:$P$34,MATCH($E571,基础资料!$N$4:$N$34,0))&amp;"",""))</f>
        <v/>
      </c>
      <c r="H571" s="79"/>
      <c r="I571" s="88"/>
      <c r="J571" s="92"/>
      <c r="K571" s="93"/>
      <c r="L571" s="25" t="str">
        <f t="shared" si="25"/>
        <v/>
      </c>
      <c r="M571" s="94"/>
      <c r="N571" s="26" t="str">
        <f t="shared" si="26"/>
        <v/>
      </c>
      <c r="O571" s="80"/>
      <c r="P571" s="80"/>
      <c r="Q571" s="80"/>
      <c r="R571" s="80"/>
    </row>
    <row r="572" ht="18" customHeight="1" spans="1:18">
      <c r="A572" s="87" t="str">
        <f t="shared" si="24"/>
        <v/>
      </c>
      <c r="B572" s="78"/>
      <c r="C572" s="80"/>
      <c r="D572" s="80"/>
      <c r="E572" s="79"/>
      <c r="F572" s="87" t="str">
        <f>IF($E572="","",IFERROR(INDEX(基础资料!$O$4:$O$34,MATCH($E572,基础资料!$N$4:$N$34,0))&amp;"",""))</f>
        <v/>
      </c>
      <c r="G572" s="87" t="str">
        <f>IF($E572="","",IFERROR(INDEX(基础资料!$P$4:$P$34,MATCH($E572,基础资料!$N$4:$N$34,0))&amp;"",""))</f>
        <v/>
      </c>
      <c r="H572" s="79"/>
      <c r="I572" s="88"/>
      <c r="J572" s="92"/>
      <c r="K572" s="93"/>
      <c r="L572" s="25" t="str">
        <f t="shared" si="25"/>
        <v/>
      </c>
      <c r="M572" s="94"/>
      <c r="N572" s="26" t="str">
        <f t="shared" si="26"/>
        <v/>
      </c>
      <c r="O572" s="80"/>
      <c r="P572" s="80"/>
      <c r="Q572" s="80"/>
      <c r="R572" s="80"/>
    </row>
    <row r="573" ht="18" customHeight="1" spans="1:18">
      <c r="A573" s="87" t="str">
        <f t="shared" si="24"/>
        <v/>
      </c>
      <c r="B573" s="78"/>
      <c r="C573" s="80"/>
      <c r="D573" s="80"/>
      <c r="E573" s="79"/>
      <c r="F573" s="87" t="str">
        <f>IF($E573="","",IFERROR(INDEX(基础资料!$O$4:$O$34,MATCH($E573,基础资料!$N$4:$N$34,0))&amp;"",""))</f>
        <v/>
      </c>
      <c r="G573" s="87" t="str">
        <f>IF($E573="","",IFERROR(INDEX(基础资料!$P$4:$P$34,MATCH($E573,基础资料!$N$4:$N$34,0))&amp;"",""))</f>
        <v/>
      </c>
      <c r="H573" s="79"/>
      <c r="I573" s="88"/>
      <c r="J573" s="92"/>
      <c r="K573" s="93"/>
      <c r="L573" s="25" t="str">
        <f t="shared" si="25"/>
        <v/>
      </c>
      <c r="M573" s="94"/>
      <c r="N573" s="26" t="str">
        <f t="shared" si="26"/>
        <v/>
      </c>
      <c r="O573" s="80"/>
      <c r="P573" s="80"/>
      <c r="Q573" s="80"/>
      <c r="R573" s="80"/>
    </row>
    <row r="574" ht="18" customHeight="1" spans="1:18">
      <c r="A574" s="87" t="str">
        <f t="shared" si="24"/>
        <v/>
      </c>
      <c r="B574" s="78"/>
      <c r="C574" s="80"/>
      <c r="D574" s="80"/>
      <c r="E574" s="79"/>
      <c r="F574" s="87" t="str">
        <f>IF($E574="","",IFERROR(INDEX(基础资料!$O$4:$O$34,MATCH($E574,基础资料!$N$4:$N$34,0))&amp;"",""))</f>
        <v/>
      </c>
      <c r="G574" s="87" t="str">
        <f>IF($E574="","",IFERROR(INDEX(基础资料!$P$4:$P$34,MATCH($E574,基础资料!$N$4:$N$34,0))&amp;"",""))</f>
        <v/>
      </c>
      <c r="H574" s="79"/>
      <c r="I574" s="88"/>
      <c r="J574" s="92"/>
      <c r="K574" s="93"/>
      <c r="L574" s="25" t="str">
        <f t="shared" si="25"/>
        <v/>
      </c>
      <c r="M574" s="94"/>
      <c r="N574" s="26" t="str">
        <f t="shared" si="26"/>
        <v/>
      </c>
      <c r="O574" s="80"/>
      <c r="P574" s="80"/>
      <c r="Q574" s="80"/>
      <c r="R574" s="80"/>
    </row>
    <row r="575" ht="18" customHeight="1" spans="1:18">
      <c r="A575" s="87" t="str">
        <f t="shared" si="24"/>
        <v/>
      </c>
      <c r="B575" s="78"/>
      <c r="C575" s="80"/>
      <c r="D575" s="80"/>
      <c r="E575" s="79"/>
      <c r="F575" s="87" t="str">
        <f>IF($E575="","",IFERROR(INDEX(基础资料!$O$4:$O$34,MATCH($E575,基础资料!$N$4:$N$34,0))&amp;"",""))</f>
        <v/>
      </c>
      <c r="G575" s="87" t="str">
        <f>IF($E575="","",IFERROR(INDEX(基础资料!$P$4:$P$34,MATCH($E575,基础资料!$N$4:$N$34,0))&amp;"",""))</f>
        <v/>
      </c>
      <c r="H575" s="79"/>
      <c r="I575" s="88"/>
      <c r="J575" s="92"/>
      <c r="K575" s="93"/>
      <c r="L575" s="25" t="str">
        <f t="shared" si="25"/>
        <v/>
      </c>
      <c r="M575" s="94"/>
      <c r="N575" s="26" t="str">
        <f t="shared" si="26"/>
        <v/>
      </c>
      <c r="O575" s="80"/>
      <c r="P575" s="80"/>
      <c r="Q575" s="80"/>
      <c r="R575" s="80"/>
    </row>
    <row r="576" ht="18" customHeight="1" spans="1:18">
      <c r="A576" s="87" t="str">
        <f t="shared" si="24"/>
        <v/>
      </c>
      <c r="B576" s="78"/>
      <c r="C576" s="80"/>
      <c r="D576" s="80"/>
      <c r="E576" s="79"/>
      <c r="F576" s="87" t="str">
        <f>IF($E576="","",IFERROR(INDEX(基础资料!$O$4:$O$34,MATCH($E576,基础资料!$N$4:$N$34,0))&amp;"",""))</f>
        <v/>
      </c>
      <c r="G576" s="87" t="str">
        <f>IF($E576="","",IFERROR(INDEX(基础资料!$P$4:$P$34,MATCH($E576,基础资料!$N$4:$N$34,0))&amp;"",""))</f>
        <v/>
      </c>
      <c r="H576" s="79"/>
      <c r="I576" s="88"/>
      <c r="J576" s="92"/>
      <c r="K576" s="93"/>
      <c r="L576" s="25" t="str">
        <f t="shared" si="25"/>
        <v/>
      </c>
      <c r="M576" s="94"/>
      <c r="N576" s="26" t="str">
        <f t="shared" si="26"/>
        <v/>
      </c>
      <c r="O576" s="80"/>
      <c r="P576" s="80"/>
      <c r="Q576" s="80"/>
      <c r="R576" s="80"/>
    </row>
    <row r="577" ht="18" customHeight="1" spans="1:18">
      <c r="A577" s="87" t="str">
        <f t="shared" si="24"/>
        <v/>
      </c>
      <c r="B577" s="78"/>
      <c r="C577" s="80"/>
      <c r="D577" s="80"/>
      <c r="E577" s="79"/>
      <c r="F577" s="87" t="str">
        <f>IF($E577="","",IFERROR(INDEX(基础资料!$O$4:$O$34,MATCH($E577,基础资料!$N$4:$N$34,0))&amp;"",""))</f>
        <v/>
      </c>
      <c r="G577" s="87" t="str">
        <f>IF($E577="","",IFERROR(INDEX(基础资料!$P$4:$P$34,MATCH($E577,基础资料!$N$4:$N$34,0))&amp;"",""))</f>
        <v/>
      </c>
      <c r="H577" s="79"/>
      <c r="I577" s="88"/>
      <c r="J577" s="92"/>
      <c r="K577" s="93"/>
      <c r="L577" s="25" t="str">
        <f t="shared" si="25"/>
        <v/>
      </c>
      <c r="M577" s="94"/>
      <c r="N577" s="26" t="str">
        <f t="shared" si="26"/>
        <v/>
      </c>
      <c r="O577" s="80"/>
      <c r="P577" s="80"/>
      <c r="Q577" s="80"/>
      <c r="R577" s="80"/>
    </row>
    <row r="578" ht="18" customHeight="1" spans="1:18">
      <c r="A578" s="87" t="str">
        <f t="shared" si="24"/>
        <v/>
      </c>
      <c r="B578" s="78"/>
      <c r="C578" s="80"/>
      <c r="D578" s="80"/>
      <c r="E578" s="79"/>
      <c r="F578" s="87" t="str">
        <f>IF($E578="","",IFERROR(INDEX(基础资料!$O$4:$O$34,MATCH($E578,基础资料!$N$4:$N$34,0))&amp;"",""))</f>
        <v/>
      </c>
      <c r="G578" s="87" t="str">
        <f>IF($E578="","",IFERROR(INDEX(基础资料!$P$4:$P$34,MATCH($E578,基础资料!$N$4:$N$34,0))&amp;"",""))</f>
        <v/>
      </c>
      <c r="H578" s="79"/>
      <c r="I578" s="88"/>
      <c r="J578" s="92"/>
      <c r="K578" s="93"/>
      <c r="L578" s="25" t="str">
        <f t="shared" si="25"/>
        <v/>
      </c>
      <c r="M578" s="94"/>
      <c r="N578" s="26" t="str">
        <f t="shared" si="26"/>
        <v/>
      </c>
      <c r="O578" s="80"/>
      <c r="P578" s="80"/>
      <c r="Q578" s="80"/>
      <c r="R578" s="80"/>
    </row>
    <row r="579" ht="18" customHeight="1" spans="1:18">
      <c r="A579" s="87" t="str">
        <f t="shared" si="24"/>
        <v/>
      </c>
      <c r="B579" s="78"/>
      <c r="C579" s="80"/>
      <c r="D579" s="80"/>
      <c r="E579" s="79"/>
      <c r="F579" s="87" t="str">
        <f>IF($E579="","",IFERROR(INDEX(基础资料!$O$4:$O$34,MATCH($E579,基础资料!$N$4:$N$34,0))&amp;"",""))</f>
        <v/>
      </c>
      <c r="G579" s="87" t="str">
        <f>IF($E579="","",IFERROR(INDEX(基础资料!$P$4:$P$34,MATCH($E579,基础资料!$N$4:$N$34,0))&amp;"",""))</f>
        <v/>
      </c>
      <c r="H579" s="79"/>
      <c r="I579" s="88"/>
      <c r="J579" s="92"/>
      <c r="K579" s="93"/>
      <c r="L579" s="25" t="str">
        <f t="shared" si="25"/>
        <v/>
      </c>
      <c r="M579" s="94"/>
      <c r="N579" s="26" t="str">
        <f t="shared" si="26"/>
        <v/>
      </c>
      <c r="O579" s="80"/>
      <c r="P579" s="80"/>
      <c r="Q579" s="80"/>
      <c r="R579" s="80"/>
    </row>
    <row r="580" ht="18" customHeight="1" spans="1:18">
      <c r="A580" s="87" t="str">
        <f t="shared" ref="A580:A643" si="27">IF($E580="","",ROW()-3)</f>
        <v/>
      </c>
      <c r="B580" s="78"/>
      <c r="C580" s="80"/>
      <c r="D580" s="80"/>
      <c r="E580" s="79"/>
      <c r="F580" s="87" t="str">
        <f>IF($E580="","",IFERROR(INDEX(基础资料!$O$4:$O$34,MATCH($E580,基础资料!$N$4:$N$34,0))&amp;"",""))</f>
        <v/>
      </c>
      <c r="G580" s="87" t="str">
        <f>IF($E580="","",IFERROR(INDEX(基础资料!$P$4:$P$34,MATCH($E580,基础资料!$N$4:$N$34,0))&amp;"",""))</f>
        <v/>
      </c>
      <c r="H580" s="79"/>
      <c r="I580" s="88"/>
      <c r="J580" s="92"/>
      <c r="K580" s="93"/>
      <c r="L580" s="25" t="str">
        <f t="shared" ref="L580:L643" si="28">IF($E580="","",N($I580)+N($J580)-N($K580))</f>
        <v/>
      </c>
      <c r="M580" s="94"/>
      <c r="N580" s="26" t="str">
        <f t="shared" ref="N580:N643" si="29">IF($E580="","",ROUND(N($L580)*N($M580),2))</f>
        <v/>
      </c>
      <c r="O580" s="80"/>
      <c r="P580" s="80"/>
      <c r="Q580" s="80"/>
      <c r="R580" s="80"/>
    </row>
    <row r="581" ht="18" customHeight="1" spans="1:18">
      <c r="A581" s="87" t="str">
        <f t="shared" si="27"/>
        <v/>
      </c>
      <c r="B581" s="78"/>
      <c r="C581" s="80"/>
      <c r="D581" s="80"/>
      <c r="E581" s="79"/>
      <c r="F581" s="87" t="str">
        <f>IF($E581="","",IFERROR(INDEX(基础资料!$O$4:$O$34,MATCH($E581,基础资料!$N$4:$N$34,0))&amp;"",""))</f>
        <v/>
      </c>
      <c r="G581" s="87" t="str">
        <f>IF($E581="","",IFERROR(INDEX(基础资料!$P$4:$P$34,MATCH($E581,基础资料!$N$4:$N$34,0))&amp;"",""))</f>
        <v/>
      </c>
      <c r="H581" s="79"/>
      <c r="I581" s="88"/>
      <c r="J581" s="92"/>
      <c r="K581" s="93"/>
      <c r="L581" s="25" t="str">
        <f t="shared" si="28"/>
        <v/>
      </c>
      <c r="M581" s="94"/>
      <c r="N581" s="26" t="str">
        <f t="shared" si="29"/>
        <v/>
      </c>
      <c r="O581" s="80"/>
      <c r="P581" s="80"/>
      <c r="Q581" s="80"/>
      <c r="R581" s="80"/>
    </row>
    <row r="582" ht="18" customHeight="1" spans="1:18">
      <c r="A582" s="87" t="str">
        <f t="shared" si="27"/>
        <v/>
      </c>
      <c r="B582" s="78"/>
      <c r="C582" s="80"/>
      <c r="D582" s="80"/>
      <c r="E582" s="79"/>
      <c r="F582" s="87" t="str">
        <f>IF($E582="","",IFERROR(INDEX(基础资料!$O$4:$O$34,MATCH($E582,基础资料!$N$4:$N$34,0))&amp;"",""))</f>
        <v/>
      </c>
      <c r="G582" s="87" t="str">
        <f>IF($E582="","",IFERROR(INDEX(基础资料!$P$4:$P$34,MATCH($E582,基础资料!$N$4:$N$34,0))&amp;"",""))</f>
        <v/>
      </c>
      <c r="H582" s="79"/>
      <c r="I582" s="88"/>
      <c r="J582" s="92"/>
      <c r="K582" s="93"/>
      <c r="L582" s="25" t="str">
        <f t="shared" si="28"/>
        <v/>
      </c>
      <c r="M582" s="94"/>
      <c r="N582" s="26" t="str">
        <f t="shared" si="29"/>
        <v/>
      </c>
      <c r="O582" s="80"/>
      <c r="P582" s="80"/>
      <c r="Q582" s="80"/>
      <c r="R582" s="80"/>
    </row>
    <row r="583" ht="18" customHeight="1" spans="1:18">
      <c r="A583" s="87" t="str">
        <f t="shared" si="27"/>
        <v/>
      </c>
      <c r="B583" s="78"/>
      <c r="C583" s="80"/>
      <c r="D583" s="80"/>
      <c r="E583" s="79"/>
      <c r="F583" s="87" t="str">
        <f>IF($E583="","",IFERROR(INDEX(基础资料!$O$4:$O$34,MATCH($E583,基础资料!$N$4:$N$34,0))&amp;"",""))</f>
        <v/>
      </c>
      <c r="G583" s="87" t="str">
        <f>IF($E583="","",IFERROR(INDEX(基础资料!$P$4:$P$34,MATCH($E583,基础资料!$N$4:$N$34,0))&amp;"",""))</f>
        <v/>
      </c>
      <c r="H583" s="79"/>
      <c r="I583" s="88"/>
      <c r="J583" s="92"/>
      <c r="K583" s="93"/>
      <c r="L583" s="25" t="str">
        <f t="shared" si="28"/>
        <v/>
      </c>
      <c r="M583" s="94"/>
      <c r="N583" s="26" t="str">
        <f t="shared" si="29"/>
        <v/>
      </c>
      <c r="O583" s="80"/>
      <c r="P583" s="80"/>
      <c r="Q583" s="80"/>
      <c r="R583" s="80"/>
    </row>
    <row r="584" ht="18" customHeight="1" spans="1:18">
      <c r="A584" s="87" t="str">
        <f t="shared" si="27"/>
        <v/>
      </c>
      <c r="B584" s="78"/>
      <c r="C584" s="80"/>
      <c r="D584" s="80"/>
      <c r="E584" s="79"/>
      <c r="F584" s="87" t="str">
        <f>IF($E584="","",IFERROR(INDEX(基础资料!$O$4:$O$34,MATCH($E584,基础资料!$N$4:$N$34,0))&amp;"",""))</f>
        <v/>
      </c>
      <c r="G584" s="87" t="str">
        <f>IF($E584="","",IFERROR(INDEX(基础资料!$P$4:$P$34,MATCH($E584,基础资料!$N$4:$N$34,0))&amp;"",""))</f>
        <v/>
      </c>
      <c r="H584" s="79"/>
      <c r="I584" s="88"/>
      <c r="J584" s="92"/>
      <c r="K584" s="93"/>
      <c r="L584" s="25" t="str">
        <f t="shared" si="28"/>
        <v/>
      </c>
      <c r="M584" s="94"/>
      <c r="N584" s="26" t="str">
        <f t="shared" si="29"/>
        <v/>
      </c>
      <c r="O584" s="80"/>
      <c r="P584" s="80"/>
      <c r="Q584" s="80"/>
      <c r="R584" s="80"/>
    </row>
    <row r="585" ht="18" customHeight="1" spans="1:18">
      <c r="A585" s="87" t="str">
        <f t="shared" si="27"/>
        <v/>
      </c>
      <c r="B585" s="78"/>
      <c r="C585" s="80"/>
      <c r="D585" s="80"/>
      <c r="E585" s="79"/>
      <c r="F585" s="87" t="str">
        <f>IF($E585="","",IFERROR(INDEX(基础资料!$O$4:$O$34,MATCH($E585,基础资料!$N$4:$N$34,0))&amp;"",""))</f>
        <v/>
      </c>
      <c r="G585" s="87" t="str">
        <f>IF($E585="","",IFERROR(INDEX(基础资料!$P$4:$P$34,MATCH($E585,基础资料!$N$4:$N$34,0))&amp;"",""))</f>
        <v/>
      </c>
      <c r="H585" s="79"/>
      <c r="I585" s="88"/>
      <c r="J585" s="92"/>
      <c r="K585" s="93"/>
      <c r="L585" s="25" t="str">
        <f t="shared" si="28"/>
        <v/>
      </c>
      <c r="M585" s="94"/>
      <c r="N585" s="26" t="str">
        <f t="shared" si="29"/>
        <v/>
      </c>
      <c r="O585" s="80"/>
      <c r="P585" s="80"/>
      <c r="Q585" s="80"/>
      <c r="R585" s="80"/>
    </row>
    <row r="586" ht="18" customHeight="1" spans="1:18">
      <c r="A586" s="87" t="str">
        <f t="shared" si="27"/>
        <v/>
      </c>
      <c r="B586" s="78"/>
      <c r="C586" s="80"/>
      <c r="D586" s="80"/>
      <c r="E586" s="79"/>
      <c r="F586" s="87" t="str">
        <f>IF($E586="","",IFERROR(INDEX(基础资料!$O$4:$O$34,MATCH($E586,基础资料!$N$4:$N$34,0))&amp;"",""))</f>
        <v/>
      </c>
      <c r="G586" s="87" t="str">
        <f>IF($E586="","",IFERROR(INDEX(基础资料!$P$4:$P$34,MATCH($E586,基础资料!$N$4:$N$34,0))&amp;"",""))</f>
        <v/>
      </c>
      <c r="H586" s="79"/>
      <c r="I586" s="88"/>
      <c r="J586" s="92"/>
      <c r="K586" s="93"/>
      <c r="L586" s="25" t="str">
        <f t="shared" si="28"/>
        <v/>
      </c>
      <c r="M586" s="94"/>
      <c r="N586" s="26" t="str">
        <f t="shared" si="29"/>
        <v/>
      </c>
      <c r="O586" s="80"/>
      <c r="P586" s="80"/>
      <c r="Q586" s="80"/>
      <c r="R586" s="80"/>
    </row>
    <row r="587" ht="18" customHeight="1" spans="1:18">
      <c r="A587" s="87" t="str">
        <f t="shared" si="27"/>
        <v/>
      </c>
      <c r="B587" s="78"/>
      <c r="C587" s="80"/>
      <c r="D587" s="80"/>
      <c r="E587" s="79"/>
      <c r="F587" s="87" t="str">
        <f>IF($E587="","",IFERROR(INDEX(基础资料!$O$4:$O$34,MATCH($E587,基础资料!$N$4:$N$34,0))&amp;"",""))</f>
        <v/>
      </c>
      <c r="G587" s="87" t="str">
        <f>IF($E587="","",IFERROR(INDEX(基础资料!$P$4:$P$34,MATCH($E587,基础资料!$N$4:$N$34,0))&amp;"",""))</f>
        <v/>
      </c>
      <c r="H587" s="79"/>
      <c r="I587" s="88"/>
      <c r="J587" s="92"/>
      <c r="K587" s="93"/>
      <c r="L587" s="25" t="str">
        <f t="shared" si="28"/>
        <v/>
      </c>
      <c r="M587" s="94"/>
      <c r="N587" s="26" t="str">
        <f t="shared" si="29"/>
        <v/>
      </c>
      <c r="O587" s="80"/>
      <c r="P587" s="80"/>
      <c r="Q587" s="80"/>
      <c r="R587" s="80"/>
    </row>
    <row r="588" ht="18" customHeight="1" spans="1:18">
      <c r="A588" s="87" t="str">
        <f t="shared" si="27"/>
        <v/>
      </c>
      <c r="B588" s="78"/>
      <c r="C588" s="80"/>
      <c r="D588" s="80"/>
      <c r="E588" s="79"/>
      <c r="F588" s="87" t="str">
        <f>IF($E588="","",IFERROR(INDEX(基础资料!$O$4:$O$34,MATCH($E588,基础资料!$N$4:$N$34,0))&amp;"",""))</f>
        <v/>
      </c>
      <c r="G588" s="87" t="str">
        <f>IF($E588="","",IFERROR(INDEX(基础资料!$P$4:$P$34,MATCH($E588,基础资料!$N$4:$N$34,0))&amp;"",""))</f>
        <v/>
      </c>
      <c r="H588" s="79"/>
      <c r="I588" s="88"/>
      <c r="J588" s="92"/>
      <c r="K588" s="93"/>
      <c r="L588" s="25" t="str">
        <f t="shared" si="28"/>
        <v/>
      </c>
      <c r="M588" s="94"/>
      <c r="N588" s="26" t="str">
        <f t="shared" si="29"/>
        <v/>
      </c>
      <c r="O588" s="80"/>
      <c r="P588" s="80"/>
      <c r="Q588" s="80"/>
      <c r="R588" s="80"/>
    </row>
    <row r="589" ht="18" customHeight="1" spans="1:18">
      <c r="A589" s="87" t="str">
        <f t="shared" si="27"/>
        <v/>
      </c>
      <c r="B589" s="78"/>
      <c r="C589" s="80"/>
      <c r="D589" s="80"/>
      <c r="E589" s="79"/>
      <c r="F589" s="87" t="str">
        <f>IF($E589="","",IFERROR(INDEX(基础资料!$O$4:$O$34,MATCH($E589,基础资料!$N$4:$N$34,0))&amp;"",""))</f>
        <v/>
      </c>
      <c r="G589" s="87" t="str">
        <f>IF($E589="","",IFERROR(INDEX(基础资料!$P$4:$P$34,MATCH($E589,基础资料!$N$4:$N$34,0))&amp;"",""))</f>
        <v/>
      </c>
      <c r="H589" s="79"/>
      <c r="I589" s="88"/>
      <c r="J589" s="92"/>
      <c r="K589" s="93"/>
      <c r="L589" s="25" t="str">
        <f t="shared" si="28"/>
        <v/>
      </c>
      <c r="M589" s="94"/>
      <c r="N589" s="26" t="str">
        <f t="shared" si="29"/>
        <v/>
      </c>
      <c r="O589" s="80"/>
      <c r="P589" s="80"/>
      <c r="Q589" s="80"/>
      <c r="R589" s="80"/>
    </row>
    <row r="590" ht="18" customHeight="1" spans="1:18">
      <c r="A590" s="87" t="str">
        <f t="shared" si="27"/>
        <v/>
      </c>
      <c r="B590" s="78"/>
      <c r="C590" s="80"/>
      <c r="D590" s="80"/>
      <c r="E590" s="79"/>
      <c r="F590" s="87" t="str">
        <f>IF($E590="","",IFERROR(INDEX(基础资料!$O$4:$O$34,MATCH($E590,基础资料!$N$4:$N$34,0))&amp;"",""))</f>
        <v/>
      </c>
      <c r="G590" s="87" t="str">
        <f>IF($E590="","",IFERROR(INDEX(基础资料!$P$4:$P$34,MATCH($E590,基础资料!$N$4:$N$34,0))&amp;"",""))</f>
        <v/>
      </c>
      <c r="H590" s="79"/>
      <c r="I590" s="88"/>
      <c r="J590" s="92"/>
      <c r="K590" s="93"/>
      <c r="L590" s="25" t="str">
        <f t="shared" si="28"/>
        <v/>
      </c>
      <c r="M590" s="94"/>
      <c r="N590" s="26" t="str">
        <f t="shared" si="29"/>
        <v/>
      </c>
      <c r="O590" s="80"/>
      <c r="P590" s="80"/>
      <c r="Q590" s="80"/>
      <c r="R590" s="80"/>
    </row>
    <row r="591" ht="18" customHeight="1" spans="1:18">
      <c r="A591" s="87" t="str">
        <f t="shared" si="27"/>
        <v/>
      </c>
      <c r="B591" s="78"/>
      <c r="C591" s="80"/>
      <c r="D591" s="80"/>
      <c r="E591" s="79"/>
      <c r="F591" s="87" t="str">
        <f>IF($E591="","",IFERROR(INDEX(基础资料!$O$4:$O$34,MATCH($E591,基础资料!$N$4:$N$34,0))&amp;"",""))</f>
        <v/>
      </c>
      <c r="G591" s="87" t="str">
        <f>IF($E591="","",IFERROR(INDEX(基础资料!$P$4:$P$34,MATCH($E591,基础资料!$N$4:$N$34,0))&amp;"",""))</f>
        <v/>
      </c>
      <c r="H591" s="79"/>
      <c r="I591" s="88"/>
      <c r="J591" s="92"/>
      <c r="K591" s="93"/>
      <c r="L591" s="25" t="str">
        <f t="shared" si="28"/>
        <v/>
      </c>
      <c r="M591" s="94"/>
      <c r="N591" s="26" t="str">
        <f t="shared" si="29"/>
        <v/>
      </c>
      <c r="O591" s="80"/>
      <c r="P591" s="80"/>
      <c r="Q591" s="80"/>
      <c r="R591" s="80"/>
    </row>
    <row r="592" ht="18" customHeight="1" spans="1:18">
      <c r="A592" s="87" t="str">
        <f t="shared" si="27"/>
        <v/>
      </c>
      <c r="B592" s="78"/>
      <c r="C592" s="80"/>
      <c r="D592" s="80"/>
      <c r="E592" s="79"/>
      <c r="F592" s="87" t="str">
        <f>IF($E592="","",IFERROR(INDEX(基础资料!$O$4:$O$34,MATCH($E592,基础资料!$N$4:$N$34,0))&amp;"",""))</f>
        <v/>
      </c>
      <c r="G592" s="87" t="str">
        <f>IF($E592="","",IFERROR(INDEX(基础资料!$P$4:$P$34,MATCH($E592,基础资料!$N$4:$N$34,0))&amp;"",""))</f>
        <v/>
      </c>
      <c r="H592" s="79"/>
      <c r="I592" s="88"/>
      <c r="J592" s="92"/>
      <c r="K592" s="93"/>
      <c r="L592" s="25" t="str">
        <f t="shared" si="28"/>
        <v/>
      </c>
      <c r="M592" s="94"/>
      <c r="N592" s="26" t="str">
        <f t="shared" si="29"/>
        <v/>
      </c>
      <c r="O592" s="80"/>
      <c r="P592" s="80"/>
      <c r="Q592" s="80"/>
      <c r="R592" s="80"/>
    </row>
    <row r="593" ht="18" customHeight="1" spans="1:18">
      <c r="A593" s="87" t="str">
        <f t="shared" si="27"/>
        <v/>
      </c>
      <c r="B593" s="78"/>
      <c r="C593" s="80"/>
      <c r="D593" s="80"/>
      <c r="E593" s="79"/>
      <c r="F593" s="87" t="str">
        <f>IF($E593="","",IFERROR(INDEX(基础资料!$O$4:$O$34,MATCH($E593,基础资料!$N$4:$N$34,0))&amp;"",""))</f>
        <v/>
      </c>
      <c r="G593" s="87" t="str">
        <f>IF($E593="","",IFERROR(INDEX(基础资料!$P$4:$P$34,MATCH($E593,基础资料!$N$4:$N$34,0))&amp;"",""))</f>
        <v/>
      </c>
      <c r="H593" s="79"/>
      <c r="I593" s="88"/>
      <c r="J593" s="92"/>
      <c r="K593" s="93"/>
      <c r="L593" s="25" t="str">
        <f t="shared" si="28"/>
        <v/>
      </c>
      <c r="M593" s="94"/>
      <c r="N593" s="26" t="str">
        <f t="shared" si="29"/>
        <v/>
      </c>
      <c r="O593" s="80"/>
      <c r="P593" s="80"/>
      <c r="Q593" s="80"/>
      <c r="R593" s="80"/>
    </row>
    <row r="594" ht="18" customHeight="1" spans="1:18">
      <c r="A594" s="87" t="str">
        <f t="shared" si="27"/>
        <v/>
      </c>
      <c r="B594" s="78"/>
      <c r="C594" s="80"/>
      <c r="D594" s="80"/>
      <c r="E594" s="79"/>
      <c r="F594" s="87" t="str">
        <f>IF($E594="","",IFERROR(INDEX(基础资料!$O$4:$O$34,MATCH($E594,基础资料!$N$4:$N$34,0))&amp;"",""))</f>
        <v/>
      </c>
      <c r="G594" s="87" t="str">
        <f>IF($E594="","",IFERROR(INDEX(基础资料!$P$4:$P$34,MATCH($E594,基础资料!$N$4:$N$34,0))&amp;"",""))</f>
        <v/>
      </c>
      <c r="H594" s="79"/>
      <c r="I594" s="88"/>
      <c r="J594" s="92"/>
      <c r="K594" s="93"/>
      <c r="L594" s="25" t="str">
        <f t="shared" si="28"/>
        <v/>
      </c>
      <c r="M594" s="94"/>
      <c r="N594" s="26" t="str">
        <f t="shared" si="29"/>
        <v/>
      </c>
      <c r="O594" s="80"/>
      <c r="P594" s="80"/>
      <c r="Q594" s="80"/>
      <c r="R594" s="80"/>
    </row>
    <row r="595" ht="18" customHeight="1" spans="1:18">
      <c r="A595" s="87" t="str">
        <f t="shared" si="27"/>
        <v/>
      </c>
      <c r="B595" s="78"/>
      <c r="C595" s="80"/>
      <c r="D595" s="80"/>
      <c r="E595" s="79"/>
      <c r="F595" s="87" t="str">
        <f>IF($E595="","",IFERROR(INDEX(基础资料!$O$4:$O$34,MATCH($E595,基础资料!$N$4:$N$34,0))&amp;"",""))</f>
        <v/>
      </c>
      <c r="G595" s="87" t="str">
        <f>IF($E595="","",IFERROR(INDEX(基础资料!$P$4:$P$34,MATCH($E595,基础资料!$N$4:$N$34,0))&amp;"",""))</f>
        <v/>
      </c>
      <c r="H595" s="79"/>
      <c r="I595" s="88"/>
      <c r="J595" s="92"/>
      <c r="K595" s="93"/>
      <c r="L595" s="25" t="str">
        <f t="shared" si="28"/>
        <v/>
      </c>
      <c r="M595" s="94"/>
      <c r="N595" s="26" t="str">
        <f t="shared" si="29"/>
        <v/>
      </c>
      <c r="O595" s="80"/>
      <c r="P595" s="80"/>
      <c r="Q595" s="80"/>
      <c r="R595" s="80"/>
    </row>
    <row r="596" ht="18" customHeight="1" spans="1:18">
      <c r="A596" s="87" t="str">
        <f t="shared" si="27"/>
        <v/>
      </c>
      <c r="B596" s="78"/>
      <c r="C596" s="80"/>
      <c r="D596" s="80"/>
      <c r="E596" s="79"/>
      <c r="F596" s="87" t="str">
        <f>IF($E596="","",IFERROR(INDEX(基础资料!$O$4:$O$34,MATCH($E596,基础资料!$N$4:$N$34,0))&amp;"",""))</f>
        <v/>
      </c>
      <c r="G596" s="87" t="str">
        <f>IF($E596="","",IFERROR(INDEX(基础资料!$P$4:$P$34,MATCH($E596,基础资料!$N$4:$N$34,0))&amp;"",""))</f>
        <v/>
      </c>
      <c r="H596" s="79"/>
      <c r="I596" s="88"/>
      <c r="J596" s="92"/>
      <c r="K596" s="93"/>
      <c r="L596" s="25" t="str">
        <f t="shared" si="28"/>
        <v/>
      </c>
      <c r="M596" s="94"/>
      <c r="N596" s="26" t="str">
        <f t="shared" si="29"/>
        <v/>
      </c>
      <c r="O596" s="80"/>
      <c r="P596" s="80"/>
      <c r="Q596" s="80"/>
      <c r="R596" s="80"/>
    </row>
    <row r="597" ht="18" customHeight="1" spans="1:18">
      <c r="A597" s="87" t="str">
        <f t="shared" si="27"/>
        <v/>
      </c>
      <c r="B597" s="78"/>
      <c r="C597" s="80"/>
      <c r="D597" s="80"/>
      <c r="E597" s="79"/>
      <c r="F597" s="87" t="str">
        <f>IF($E597="","",IFERROR(INDEX(基础资料!$O$4:$O$34,MATCH($E597,基础资料!$N$4:$N$34,0))&amp;"",""))</f>
        <v/>
      </c>
      <c r="G597" s="87" t="str">
        <f>IF($E597="","",IFERROR(INDEX(基础资料!$P$4:$P$34,MATCH($E597,基础资料!$N$4:$N$34,0))&amp;"",""))</f>
        <v/>
      </c>
      <c r="H597" s="79"/>
      <c r="I597" s="88"/>
      <c r="J597" s="92"/>
      <c r="K597" s="93"/>
      <c r="L597" s="25" t="str">
        <f t="shared" si="28"/>
        <v/>
      </c>
      <c r="M597" s="94"/>
      <c r="N597" s="26" t="str">
        <f t="shared" si="29"/>
        <v/>
      </c>
      <c r="O597" s="80"/>
      <c r="P597" s="80"/>
      <c r="Q597" s="80"/>
      <c r="R597" s="80"/>
    </row>
    <row r="598" ht="18" customHeight="1" spans="1:18">
      <c r="A598" s="87" t="str">
        <f t="shared" si="27"/>
        <v/>
      </c>
      <c r="B598" s="78"/>
      <c r="C598" s="80"/>
      <c r="D598" s="80"/>
      <c r="E598" s="79"/>
      <c r="F598" s="87" t="str">
        <f>IF($E598="","",IFERROR(INDEX(基础资料!$O$4:$O$34,MATCH($E598,基础资料!$N$4:$N$34,0))&amp;"",""))</f>
        <v/>
      </c>
      <c r="G598" s="87" t="str">
        <f>IF($E598="","",IFERROR(INDEX(基础资料!$P$4:$P$34,MATCH($E598,基础资料!$N$4:$N$34,0))&amp;"",""))</f>
        <v/>
      </c>
      <c r="H598" s="79"/>
      <c r="I598" s="88"/>
      <c r="J598" s="92"/>
      <c r="K598" s="93"/>
      <c r="L598" s="25" t="str">
        <f t="shared" si="28"/>
        <v/>
      </c>
      <c r="M598" s="94"/>
      <c r="N598" s="26" t="str">
        <f t="shared" si="29"/>
        <v/>
      </c>
      <c r="O598" s="80"/>
      <c r="P598" s="80"/>
      <c r="Q598" s="80"/>
      <c r="R598" s="80"/>
    </row>
    <row r="599" ht="18" customHeight="1" spans="1:18">
      <c r="A599" s="87" t="str">
        <f t="shared" si="27"/>
        <v/>
      </c>
      <c r="B599" s="78"/>
      <c r="C599" s="80"/>
      <c r="D599" s="80"/>
      <c r="E599" s="79"/>
      <c r="F599" s="87" t="str">
        <f>IF($E599="","",IFERROR(INDEX(基础资料!$O$4:$O$34,MATCH($E599,基础资料!$N$4:$N$34,0))&amp;"",""))</f>
        <v/>
      </c>
      <c r="G599" s="87" t="str">
        <f>IF($E599="","",IFERROR(INDEX(基础资料!$P$4:$P$34,MATCH($E599,基础资料!$N$4:$N$34,0))&amp;"",""))</f>
        <v/>
      </c>
      <c r="H599" s="79"/>
      <c r="I599" s="88"/>
      <c r="J599" s="92"/>
      <c r="K599" s="93"/>
      <c r="L599" s="25" t="str">
        <f t="shared" si="28"/>
        <v/>
      </c>
      <c r="M599" s="94"/>
      <c r="N599" s="26" t="str">
        <f t="shared" si="29"/>
        <v/>
      </c>
      <c r="O599" s="80"/>
      <c r="P599" s="80"/>
      <c r="Q599" s="80"/>
      <c r="R599" s="80"/>
    </row>
    <row r="600" ht="18" customHeight="1" spans="1:18">
      <c r="A600" s="87" t="str">
        <f t="shared" si="27"/>
        <v/>
      </c>
      <c r="B600" s="78"/>
      <c r="C600" s="80"/>
      <c r="D600" s="80"/>
      <c r="E600" s="79"/>
      <c r="F600" s="87" t="str">
        <f>IF($E600="","",IFERROR(INDEX(基础资料!$O$4:$O$34,MATCH($E600,基础资料!$N$4:$N$34,0))&amp;"",""))</f>
        <v/>
      </c>
      <c r="G600" s="87" t="str">
        <f>IF($E600="","",IFERROR(INDEX(基础资料!$P$4:$P$34,MATCH($E600,基础资料!$N$4:$N$34,0))&amp;"",""))</f>
        <v/>
      </c>
      <c r="H600" s="79"/>
      <c r="I600" s="88"/>
      <c r="J600" s="92"/>
      <c r="K600" s="93"/>
      <c r="L600" s="25" t="str">
        <f t="shared" si="28"/>
        <v/>
      </c>
      <c r="M600" s="94"/>
      <c r="N600" s="26" t="str">
        <f t="shared" si="29"/>
        <v/>
      </c>
      <c r="O600" s="80"/>
      <c r="P600" s="80"/>
      <c r="Q600" s="80"/>
      <c r="R600" s="80"/>
    </row>
    <row r="601" ht="18" customHeight="1" spans="1:18">
      <c r="A601" s="87" t="str">
        <f t="shared" si="27"/>
        <v/>
      </c>
      <c r="B601" s="78"/>
      <c r="C601" s="80"/>
      <c r="D601" s="80"/>
      <c r="E601" s="79"/>
      <c r="F601" s="87" t="str">
        <f>IF($E601="","",IFERROR(INDEX(基础资料!$O$4:$O$34,MATCH($E601,基础资料!$N$4:$N$34,0))&amp;"",""))</f>
        <v/>
      </c>
      <c r="G601" s="87" t="str">
        <f>IF($E601="","",IFERROR(INDEX(基础资料!$P$4:$P$34,MATCH($E601,基础资料!$N$4:$N$34,0))&amp;"",""))</f>
        <v/>
      </c>
      <c r="H601" s="79"/>
      <c r="I601" s="88"/>
      <c r="J601" s="92"/>
      <c r="K601" s="93"/>
      <c r="L601" s="25" t="str">
        <f t="shared" si="28"/>
        <v/>
      </c>
      <c r="M601" s="94"/>
      <c r="N601" s="26" t="str">
        <f t="shared" si="29"/>
        <v/>
      </c>
      <c r="O601" s="80"/>
      <c r="P601" s="80"/>
      <c r="Q601" s="80"/>
      <c r="R601" s="80"/>
    </row>
    <row r="602" ht="18" customHeight="1" spans="1:18">
      <c r="A602" s="87" t="str">
        <f t="shared" si="27"/>
        <v/>
      </c>
      <c r="B602" s="78"/>
      <c r="C602" s="80"/>
      <c r="D602" s="80"/>
      <c r="E602" s="79"/>
      <c r="F602" s="87" t="str">
        <f>IF($E602="","",IFERROR(INDEX(基础资料!$O$4:$O$34,MATCH($E602,基础资料!$N$4:$N$34,0))&amp;"",""))</f>
        <v/>
      </c>
      <c r="G602" s="87" t="str">
        <f>IF($E602="","",IFERROR(INDEX(基础资料!$P$4:$P$34,MATCH($E602,基础资料!$N$4:$N$34,0))&amp;"",""))</f>
        <v/>
      </c>
      <c r="H602" s="79"/>
      <c r="I602" s="88"/>
      <c r="J602" s="92"/>
      <c r="K602" s="93"/>
      <c r="L602" s="25" t="str">
        <f t="shared" si="28"/>
        <v/>
      </c>
      <c r="M602" s="94"/>
      <c r="N602" s="26" t="str">
        <f t="shared" si="29"/>
        <v/>
      </c>
      <c r="O602" s="80"/>
      <c r="P602" s="80"/>
      <c r="Q602" s="80"/>
      <c r="R602" s="80"/>
    </row>
    <row r="603" ht="18" customHeight="1" spans="1:18">
      <c r="A603" s="87" t="str">
        <f t="shared" si="27"/>
        <v/>
      </c>
      <c r="B603" s="78"/>
      <c r="C603" s="80"/>
      <c r="D603" s="80"/>
      <c r="E603" s="79"/>
      <c r="F603" s="87" t="str">
        <f>IF($E603="","",IFERROR(INDEX(基础资料!$O$4:$O$34,MATCH($E603,基础资料!$N$4:$N$34,0))&amp;"",""))</f>
        <v/>
      </c>
      <c r="G603" s="87" t="str">
        <f>IF($E603="","",IFERROR(INDEX(基础资料!$P$4:$P$34,MATCH($E603,基础资料!$N$4:$N$34,0))&amp;"",""))</f>
        <v/>
      </c>
      <c r="H603" s="79"/>
      <c r="I603" s="88"/>
      <c r="J603" s="92"/>
      <c r="K603" s="93"/>
      <c r="L603" s="25" t="str">
        <f t="shared" si="28"/>
        <v/>
      </c>
      <c r="M603" s="94"/>
      <c r="N603" s="26" t="str">
        <f t="shared" si="29"/>
        <v/>
      </c>
      <c r="O603" s="80"/>
      <c r="P603" s="80"/>
      <c r="Q603" s="80"/>
      <c r="R603" s="80"/>
    </row>
    <row r="604" ht="18" customHeight="1" spans="1:18">
      <c r="A604" s="87" t="str">
        <f t="shared" si="27"/>
        <v/>
      </c>
      <c r="B604" s="78"/>
      <c r="C604" s="80"/>
      <c r="D604" s="80"/>
      <c r="E604" s="79"/>
      <c r="F604" s="87" t="str">
        <f>IF($E604="","",IFERROR(INDEX(基础资料!$O$4:$O$34,MATCH($E604,基础资料!$N$4:$N$34,0))&amp;"",""))</f>
        <v/>
      </c>
      <c r="G604" s="87" t="str">
        <f>IF($E604="","",IFERROR(INDEX(基础资料!$P$4:$P$34,MATCH($E604,基础资料!$N$4:$N$34,0))&amp;"",""))</f>
        <v/>
      </c>
      <c r="H604" s="79"/>
      <c r="I604" s="88"/>
      <c r="J604" s="92"/>
      <c r="K604" s="93"/>
      <c r="L604" s="25" t="str">
        <f t="shared" si="28"/>
        <v/>
      </c>
      <c r="M604" s="94"/>
      <c r="N604" s="26" t="str">
        <f t="shared" si="29"/>
        <v/>
      </c>
      <c r="O604" s="80"/>
      <c r="P604" s="80"/>
      <c r="Q604" s="80"/>
      <c r="R604" s="80"/>
    </row>
    <row r="605" ht="18" customHeight="1" spans="1:18">
      <c r="A605" s="87" t="str">
        <f t="shared" si="27"/>
        <v/>
      </c>
      <c r="B605" s="78"/>
      <c r="C605" s="80"/>
      <c r="D605" s="80"/>
      <c r="E605" s="79"/>
      <c r="F605" s="87" t="str">
        <f>IF($E605="","",IFERROR(INDEX(基础资料!$O$4:$O$34,MATCH($E605,基础资料!$N$4:$N$34,0))&amp;"",""))</f>
        <v/>
      </c>
      <c r="G605" s="87" t="str">
        <f>IF($E605="","",IFERROR(INDEX(基础资料!$P$4:$P$34,MATCH($E605,基础资料!$N$4:$N$34,0))&amp;"",""))</f>
        <v/>
      </c>
      <c r="H605" s="79"/>
      <c r="I605" s="88"/>
      <c r="J605" s="92"/>
      <c r="K605" s="93"/>
      <c r="L605" s="25" t="str">
        <f t="shared" si="28"/>
        <v/>
      </c>
      <c r="M605" s="94"/>
      <c r="N605" s="26" t="str">
        <f t="shared" si="29"/>
        <v/>
      </c>
      <c r="O605" s="80"/>
      <c r="P605" s="80"/>
      <c r="Q605" s="80"/>
      <c r="R605" s="80"/>
    </row>
    <row r="606" ht="18" customHeight="1" spans="1:18">
      <c r="A606" s="87" t="str">
        <f t="shared" si="27"/>
        <v/>
      </c>
      <c r="B606" s="78"/>
      <c r="C606" s="80"/>
      <c r="D606" s="80"/>
      <c r="E606" s="79"/>
      <c r="F606" s="87" t="str">
        <f>IF($E606="","",IFERROR(INDEX(基础资料!$O$4:$O$34,MATCH($E606,基础资料!$N$4:$N$34,0))&amp;"",""))</f>
        <v/>
      </c>
      <c r="G606" s="87" t="str">
        <f>IF($E606="","",IFERROR(INDEX(基础资料!$P$4:$P$34,MATCH($E606,基础资料!$N$4:$N$34,0))&amp;"",""))</f>
        <v/>
      </c>
      <c r="H606" s="79"/>
      <c r="I606" s="88"/>
      <c r="J606" s="92"/>
      <c r="K606" s="93"/>
      <c r="L606" s="25" t="str">
        <f t="shared" si="28"/>
        <v/>
      </c>
      <c r="M606" s="94"/>
      <c r="N606" s="26" t="str">
        <f t="shared" si="29"/>
        <v/>
      </c>
      <c r="O606" s="80"/>
      <c r="P606" s="80"/>
      <c r="Q606" s="80"/>
      <c r="R606" s="80"/>
    </row>
    <row r="607" ht="18" customHeight="1" spans="1:18">
      <c r="A607" s="87" t="str">
        <f t="shared" si="27"/>
        <v/>
      </c>
      <c r="B607" s="78"/>
      <c r="C607" s="80"/>
      <c r="D607" s="80"/>
      <c r="E607" s="79"/>
      <c r="F607" s="87" t="str">
        <f>IF($E607="","",IFERROR(INDEX(基础资料!$O$4:$O$34,MATCH($E607,基础资料!$N$4:$N$34,0))&amp;"",""))</f>
        <v/>
      </c>
      <c r="G607" s="87" t="str">
        <f>IF($E607="","",IFERROR(INDEX(基础资料!$P$4:$P$34,MATCH($E607,基础资料!$N$4:$N$34,0))&amp;"",""))</f>
        <v/>
      </c>
      <c r="H607" s="79"/>
      <c r="I607" s="88"/>
      <c r="J607" s="92"/>
      <c r="K607" s="93"/>
      <c r="L607" s="25" t="str">
        <f t="shared" si="28"/>
        <v/>
      </c>
      <c r="M607" s="94"/>
      <c r="N607" s="26" t="str">
        <f t="shared" si="29"/>
        <v/>
      </c>
      <c r="O607" s="80"/>
      <c r="P607" s="80"/>
      <c r="Q607" s="80"/>
      <c r="R607" s="80"/>
    </row>
    <row r="608" ht="18" customHeight="1" spans="1:18">
      <c r="A608" s="87" t="str">
        <f t="shared" si="27"/>
        <v/>
      </c>
      <c r="B608" s="78"/>
      <c r="C608" s="80"/>
      <c r="D608" s="80"/>
      <c r="E608" s="79"/>
      <c r="F608" s="87" t="str">
        <f>IF($E608="","",IFERROR(INDEX(基础资料!$O$4:$O$34,MATCH($E608,基础资料!$N$4:$N$34,0))&amp;"",""))</f>
        <v/>
      </c>
      <c r="G608" s="87" t="str">
        <f>IF($E608="","",IFERROR(INDEX(基础资料!$P$4:$P$34,MATCH($E608,基础资料!$N$4:$N$34,0))&amp;"",""))</f>
        <v/>
      </c>
      <c r="H608" s="79"/>
      <c r="I608" s="88"/>
      <c r="J608" s="92"/>
      <c r="K608" s="93"/>
      <c r="L608" s="25" t="str">
        <f t="shared" si="28"/>
        <v/>
      </c>
      <c r="M608" s="94"/>
      <c r="N608" s="26" t="str">
        <f t="shared" si="29"/>
        <v/>
      </c>
      <c r="O608" s="80"/>
      <c r="P608" s="80"/>
      <c r="Q608" s="80"/>
      <c r="R608" s="80"/>
    </row>
    <row r="609" ht="18" customHeight="1" spans="1:18">
      <c r="A609" s="87" t="str">
        <f t="shared" si="27"/>
        <v/>
      </c>
      <c r="B609" s="78"/>
      <c r="C609" s="80"/>
      <c r="D609" s="80"/>
      <c r="E609" s="79"/>
      <c r="F609" s="87" t="str">
        <f>IF($E609="","",IFERROR(INDEX(基础资料!$O$4:$O$34,MATCH($E609,基础资料!$N$4:$N$34,0))&amp;"",""))</f>
        <v/>
      </c>
      <c r="G609" s="87" t="str">
        <f>IF($E609="","",IFERROR(INDEX(基础资料!$P$4:$P$34,MATCH($E609,基础资料!$N$4:$N$34,0))&amp;"",""))</f>
        <v/>
      </c>
      <c r="H609" s="79"/>
      <c r="I609" s="88"/>
      <c r="J609" s="92"/>
      <c r="K609" s="93"/>
      <c r="L609" s="25" t="str">
        <f t="shared" si="28"/>
        <v/>
      </c>
      <c r="M609" s="94"/>
      <c r="N609" s="26" t="str">
        <f t="shared" si="29"/>
        <v/>
      </c>
      <c r="O609" s="80"/>
      <c r="P609" s="80"/>
      <c r="Q609" s="80"/>
      <c r="R609" s="80"/>
    </row>
    <row r="610" ht="18" customHeight="1" spans="1:18">
      <c r="A610" s="87" t="str">
        <f t="shared" si="27"/>
        <v/>
      </c>
      <c r="B610" s="78"/>
      <c r="C610" s="80"/>
      <c r="D610" s="80"/>
      <c r="E610" s="79"/>
      <c r="F610" s="87" t="str">
        <f>IF($E610="","",IFERROR(INDEX(基础资料!$O$4:$O$34,MATCH($E610,基础资料!$N$4:$N$34,0))&amp;"",""))</f>
        <v/>
      </c>
      <c r="G610" s="87" t="str">
        <f>IF($E610="","",IFERROR(INDEX(基础资料!$P$4:$P$34,MATCH($E610,基础资料!$N$4:$N$34,0))&amp;"",""))</f>
        <v/>
      </c>
      <c r="H610" s="79"/>
      <c r="I610" s="88"/>
      <c r="J610" s="92"/>
      <c r="K610" s="93"/>
      <c r="L610" s="25" t="str">
        <f t="shared" si="28"/>
        <v/>
      </c>
      <c r="M610" s="94"/>
      <c r="N610" s="26" t="str">
        <f t="shared" si="29"/>
        <v/>
      </c>
      <c r="O610" s="80"/>
      <c r="P610" s="80"/>
      <c r="Q610" s="80"/>
      <c r="R610" s="80"/>
    </row>
    <row r="611" ht="18" customHeight="1" spans="1:18">
      <c r="A611" s="87" t="str">
        <f t="shared" si="27"/>
        <v/>
      </c>
      <c r="B611" s="78"/>
      <c r="C611" s="80"/>
      <c r="D611" s="80"/>
      <c r="E611" s="79"/>
      <c r="F611" s="87" t="str">
        <f>IF($E611="","",IFERROR(INDEX(基础资料!$O$4:$O$34,MATCH($E611,基础资料!$N$4:$N$34,0))&amp;"",""))</f>
        <v/>
      </c>
      <c r="G611" s="87" t="str">
        <f>IF($E611="","",IFERROR(INDEX(基础资料!$P$4:$P$34,MATCH($E611,基础资料!$N$4:$N$34,0))&amp;"",""))</f>
        <v/>
      </c>
      <c r="H611" s="79"/>
      <c r="I611" s="88"/>
      <c r="J611" s="92"/>
      <c r="K611" s="93"/>
      <c r="L611" s="25" t="str">
        <f t="shared" si="28"/>
        <v/>
      </c>
      <c r="M611" s="94"/>
      <c r="N611" s="26" t="str">
        <f t="shared" si="29"/>
        <v/>
      </c>
      <c r="O611" s="80"/>
      <c r="P611" s="80"/>
      <c r="Q611" s="80"/>
      <c r="R611" s="80"/>
    </row>
    <row r="612" ht="18" customHeight="1" spans="1:18">
      <c r="A612" s="87" t="str">
        <f t="shared" si="27"/>
        <v/>
      </c>
      <c r="B612" s="78"/>
      <c r="C612" s="80"/>
      <c r="D612" s="80"/>
      <c r="E612" s="79"/>
      <c r="F612" s="87" t="str">
        <f>IF($E612="","",IFERROR(INDEX(基础资料!$O$4:$O$34,MATCH($E612,基础资料!$N$4:$N$34,0))&amp;"",""))</f>
        <v/>
      </c>
      <c r="G612" s="87" t="str">
        <f>IF($E612="","",IFERROR(INDEX(基础资料!$P$4:$P$34,MATCH($E612,基础资料!$N$4:$N$34,0))&amp;"",""))</f>
        <v/>
      </c>
      <c r="H612" s="79"/>
      <c r="I612" s="88"/>
      <c r="J612" s="92"/>
      <c r="K612" s="93"/>
      <c r="L612" s="25" t="str">
        <f t="shared" si="28"/>
        <v/>
      </c>
      <c r="M612" s="94"/>
      <c r="N612" s="26" t="str">
        <f t="shared" si="29"/>
        <v/>
      </c>
      <c r="O612" s="80"/>
      <c r="P612" s="80"/>
      <c r="Q612" s="80"/>
      <c r="R612" s="80"/>
    </row>
    <row r="613" ht="18" customHeight="1" spans="1:18">
      <c r="A613" s="87" t="str">
        <f t="shared" si="27"/>
        <v/>
      </c>
      <c r="B613" s="78"/>
      <c r="C613" s="80"/>
      <c r="D613" s="80"/>
      <c r="E613" s="79"/>
      <c r="F613" s="87" t="str">
        <f>IF($E613="","",IFERROR(INDEX(基础资料!$O$4:$O$34,MATCH($E613,基础资料!$N$4:$N$34,0))&amp;"",""))</f>
        <v/>
      </c>
      <c r="G613" s="87" t="str">
        <f>IF($E613="","",IFERROR(INDEX(基础资料!$P$4:$P$34,MATCH($E613,基础资料!$N$4:$N$34,0))&amp;"",""))</f>
        <v/>
      </c>
      <c r="H613" s="79"/>
      <c r="I613" s="88"/>
      <c r="J613" s="92"/>
      <c r="K613" s="93"/>
      <c r="L613" s="25" t="str">
        <f t="shared" si="28"/>
        <v/>
      </c>
      <c r="M613" s="94"/>
      <c r="N613" s="26" t="str">
        <f t="shared" si="29"/>
        <v/>
      </c>
      <c r="O613" s="80"/>
      <c r="P613" s="80"/>
      <c r="Q613" s="80"/>
      <c r="R613" s="80"/>
    </row>
    <row r="614" ht="18" customHeight="1" spans="1:18">
      <c r="A614" s="87" t="str">
        <f t="shared" si="27"/>
        <v/>
      </c>
      <c r="B614" s="78"/>
      <c r="C614" s="80"/>
      <c r="D614" s="80"/>
      <c r="E614" s="79"/>
      <c r="F614" s="87" t="str">
        <f>IF($E614="","",IFERROR(INDEX(基础资料!$O$4:$O$34,MATCH($E614,基础资料!$N$4:$N$34,0))&amp;"",""))</f>
        <v/>
      </c>
      <c r="G614" s="87" t="str">
        <f>IF($E614="","",IFERROR(INDEX(基础资料!$P$4:$P$34,MATCH($E614,基础资料!$N$4:$N$34,0))&amp;"",""))</f>
        <v/>
      </c>
      <c r="H614" s="79"/>
      <c r="I614" s="88"/>
      <c r="J614" s="92"/>
      <c r="K614" s="93"/>
      <c r="L614" s="25" t="str">
        <f t="shared" si="28"/>
        <v/>
      </c>
      <c r="M614" s="94"/>
      <c r="N614" s="26" t="str">
        <f t="shared" si="29"/>
        <v/>
      </c>
      <c r="O614" s="80"/>
      <c r="P614" s="80"/>
      <c r="Q614" s="80"/>
      <c r="R614" s="80"/>
    </row>
    <row r="615" ht="18" customHeight="1" spans="1:18">
      <c r="A615" s="87" t="str">
        <f t="shared" si="27"/>
        <v/>
      </c>
      <c r="B615" s="78"/>
      <c r="C615" s="80"/>
      <c r="D615" s="80"/>
      <c r="E615" s="79"/>
      <c r="F615" s="87" t="str">
        <f>IF($E615="","",IFERROR(INDEX(基础资料!$O$4:$O$34,MATCH($E615,基础资料!$N$4:$N$34,0))&amp;"",""))</f>
        <v/>
      </c>
      <c r="G615" s="87" t="str">
        <f>IF($E615="","",IFERROR(INDEX(基础资料!$P$4:$P$34,MATCH($E615,基础资料!$N$4:$N$34,0))&amp;"",""))</f>
        <v/>
      </c>
      <c r="H615" s="79"/>
      <c r="I615" s="88"/>
      <c r="J615" s="92"/>
      <c r="K615" s="93"/>
      <c r="L615" s="25" t="str">
        <f t="shared" si="28"/>
        <v/>
      </c>
      <c r="M615" s="94"/>
      <c r="N615" s="26" t="str">
        <f t="shared" si="29"/>
        <v/>
      </c>
      <c r="O615" s="80"/>
      <c r="P615" s="80"/>
      <c r="Q615" s="80"/>
      <c r="R615" s="80"/>
    </row>
    <row r="616" ht="18" customHeight="1" spans="1:18">
      <c r="A616" s="87" t="str">
        <f t="shared" si="27"/>
        <v/>
      </c>
      <c r="B616" s="78"/>
      <c r="C616" s="80"/>
      <c r="D616" s="80"/>
      <c r="E616" s="79"/>
      <c r="F616" s="87" t="str">
        <f>IF($E616="","",IFERROR(INDEX(基础资料!$O$4:$O$34,MATCH($E616,基础资料!$N$4:$N$34,0))&amp;"",""))</f>
        <v/>
      </c>
      <c r="G616" s="87" t="str">
        <f>IF($E616="","",IFERROR(INDEX(基础资料!$P$4:$P$34,MATCH($E616,基础资料!$N$4:$N$34,0))&amp;"",""))</f>
        <v/>
      </c>
      <c r="H616" s="79"/>
      <c r="I616" s="88"/>
      <c r="J616" s="92"/>
      <c r="K616" s="93"/>
      <c r="L616" s="25" t="str">
        <f t="shared" si="28"/>
        <v/>
      </c>
      <c r="M616" s="94"/>
      <c r="N616" s="26" t="str">
        <f t="shared" si="29"/>
        <v/>
      </c>
      <c r="O616" s="80"/>
      <c r="P616" s="80"/>
      <c r="Q616" s="80"/>
      <c r="R616" s="80"/>
    </row>
    <row r="617" ht="18" customHeight="1" spans="1:18">
      <c r="A617" s="87" t="str">
        <f t="shared" si="27"/>
        <v/>
      </c>
      <c r="B617" s="78"/>
      <c r="C617" s="80"/>
      <c r="D617" s="80"/>
      <c r="E617" s="79"/>
      <c r="F617" s="87" t="str">
        <f>IF($E617="","",IFERROR(INDEX(基础资料!$O$4:$O$34,MATCH($E617,基础资料!$N$4:$N$34,0))&amp;"",""))</f>
        <v/>
      </c>
      <c r="G617" s="87" t="str">
        <f>IF($E617="","",IFERROR(INDEX(基础资料!$P$4:$P$34,MATCH($E617,基础资料!$N$4:$N$34,0))&amp;"",""))</f>
        <v/>
      </c>
      <c r="H617" s="79"/>
      <c r="I617" s="88"/>
      <c r="J617" s="92"/>
      <c r="K617" s="93"/>
      <c r="L617" s="25" t="str">
        <f t="shared" si="28"/>
        <v/>
      </c>
      <c r="M617" s="94"/>
      <c r="N617" s="26" t="str">
        <f t="shared" si="29"/>
        <v/>
      </c>
      <c r="O617" s="80"/>
      <c r="P617" s="80"/>
      <c r="Q617" s="80"/>
      <c r="R617" s="80"/>
    </row>
    <row r="618" ht="18" customHeight="1" spans="1:18">
      <c r="A618" s="87" t="str">
        <f t="shared" si="27"/>
        <v/>
      </c>
      <c r="B618" s="78"/>
      <c r="C618" s="80"/>
      <c r="D618" s="80"/>
      <c r="E618" s="79"/>
      <c r="F618" s="87" t="str">
        <f>IF($E618="","",IFERROR(INDEX(基础资料!$O$4:$O$34,MATCH($E618,基础资料!$N$4:$N$34,0))&amp;"",""))</f>
        <v/>
      </c>
      <c r="G618" s="87" t="str">
        <f>IF($E618="","",IFERROR(INDEX(基础资料!$P$4:$P$34,MATCH($E618,基础资料!$N$4:$N$34,0))&amp;"",""))</f>
        <v/>
      </c>
      <c r="H618" s="79"/>
      <c r="I618" s="88"/>
      <c r="J618" s="92"/>
      <c r="K618" s="93"/>
      <c r="L618" s="25" t="str">
        <f t="shared" si="28"/>
        <v/>
      </c>
      <c r="M618" s="94"/>
      <c r="N618" s="26" t="str">
        <f t="shared" si="29"/>
        <v/>
      </c>
      <c r="O618" s="80"/>
      <c r="P618" s="80"/>
      <c r="Q618" s="80"/>
      <c r="R618" s="80"/>
    </row>
    <row r="619" ht="18" customHeight="1" spans="1:18">
      <c r="A619" s="87" t="str">
        <f t="shared" si="27"/>
        <v/>
      </c>
      <c r="B619" s="78"/>
      <c r="C619" s="80"/>
      <c r="D619" s="80"/>
      <c r="E619" s="79"/>
      <c r="F619" s="87" t="str">
        <f>IF($E619="","",IFERROR(INDEX(基础资料!$O$4:$O$34,MATCH($E619,基础资料!$N$4:$N$34,0))&amp;"",""))</f>
        <v/>
      </c>
      <c r="G619" s="87" t="str">
        <f>IF($E619="","",IFERROR(INDEX(基础资料!$P$4:$P$34,MATCH($E619,基础资料!$N$4:$N$34,0))&amp;"",""))</f>
        <v/>
      </c>
      <c r="H619" s="79"/>
      <c r="I619" s="88"/>
      <c r="J619" s="92"/>
      <c r="K619" s="93"/>
      <c r="L619" s="25" t="str">
        <f t="shared" si="28"/>
        <v/>
      </c>
      <c r="M619" s="94"/>
      <c r="N619" s="26" t="str">
        <f t="shared" si="29"/>
        <v/>
      </c>
      <c r="O619" s="80"/>
      <c r="P619" s="80"/>
      <c r="Q619" s="80"/>
      <c r="R619" s="80"/>
    </row>
    <row r="620" ht="18" customHeight="1" spans="1:18">
      <c r="A620" s="87" t="str">
        <f t="shared" si="27"/>
        <v/>
      </c>
      <c r="B620" s="78"/>
      <c r="C620" s="80"/>
      <c r="D620" s="80"/>
      <c r="E620" s="79"/>
      <c r="F620" s="87" t="str">
        <f>IF($E620="","",IFERROR(INDEX(基础资料!$O$4:$O$34,MATCH($E620,基础资料!$N$4:$N$34,0))&amp;"",""))</f>
        <v/>
      </c>
      <c r="G620" s="87" t="str">
        <f>IF($E620="","",IFERROR(INDEX(基础资料!$P$4:$P$34,MATCH($E620,基础资料!$N$4:$N$34,0))&amp;"",""))</f>
        <v/>
      </c>
      <c r="H620" s="79"/>
      <c r="I620" s="88"/>
      <c r="J620" s="92"/>
      <c r="K620" s="93"/>
      <c r="L620" s="25" t="str">
        <f t="shared" si="28"/>
        <v/>
      </c>
      <c r="M620" s="94"/>
      <c r="N620" s="26" t="str">
        <f t="shared" si="29"/>
        <v/>
      </c>
      <c r="O620" s="80"/>
      <c r="P620" s="80"/>
      <c r="Q620" s="80"/>
      <c r="R620" s="80"/>
    </row>
    <row r="621" ht="18" customHeight="1" spans="1:18">
      <c r="A621" s="87" t="str">
        <f t="shared" si="27"/>
        <v/>
      </c>
      <c r="B621" s="78"/>
      <c r="C621" s="80"/>
      <c r="D621" s="80"/>
      <c r="E621" s="79"/>
      <c r="F621" s="87" t="str">
        <f>IF($E621="","",IFERROR(INDEX(基础资料!$O$4:$O$34,MATCH($E621,基础资料!$N$4:$N$34,0))&amp;"",""))</f>
        <v/>
      </c>
      <c r="G621" s="87" t="str">
        <f>IF($E621="","",IFERROR(INDEX(基础资料!$P$4:$P$34,MATCH($E621,基础资料!$N$4:$N$34,0))&amp;"",""))</f>
        <v/>
      </c>
      <c r="H621" s="79"/>
      <c r="I621" s="88"/>
      <c r="J621" s="92"/>
      <c r="K621" s="93"/>
      <c r="L621" s="25" t="str">
        <f t="shared" si="28"/>
        <v/>
      </c>
      <c r="M621" s="94"/>
      <c r="N621" s="26" t="str">
        <f t="shared" si="29"/>
        <v/>
      </c>
      <c r="O621" s="80"/>
      <c r="P621" s="80"/>
      <c r="Q621" s="80"/>
      <c r="R621" s="80"/>
    </row>
    <row r="622" ht="18" customHeight="1" spans="1:18">
      <c r="A622" s="87" t="str">
        <f t="shared" si="27"/>
        <v/>
      </c>
      <c r="B622" s="78"/>
      <c r="C622" s="80"/>
      <c r="D622" s="80"/>
      <c r="E622" s="79"/>
      <c r="F622" s="87" t="str">
        <f>IF($E622="","",IFERROR(INDEX(基础资料!$O$4:$O$34,MATCH($E622,基础资料!$N$4:$N$34,0))&amp;"",""))</f>
        <v/>
      </c>
      <c r="G622" s="87" t="str">
        <f>IF($E622="","",IFERROR(INDEX(基础资料!$P$4:$P$34,MATCH($E622,基础资料!$N$4:$N$34,0))&amp;"",""))</f>
        <v/>
      </c>
      <c r="H622" s="79"/>
      <c r="I622" s="88"/>
      <c r="J622" s="92"/>
      <c r="K622" s="93"/>
      <c r="L622" s="25" t="str">
        <f t="shared" si="28"/>
        <v/>
      </c>
      <c r="M622" s="94"/>
      <c r="N622" s="26" t="str">
        <f t="shared" si="29"/>
        <v/>
      </c>
      <c r="O622" s="80"/>
      <c r="P622" s="80"/>
      <c r="Q622" s="80"/>
      <c r="R622" s="80"/>
    </row>
    <row r="623" ht="18" customHeight="1" spans="1:18">
      <c r="A623" s="87" t="str">
        <f t="shared" si="27"/>
        <v/>
      </c>
      <c r="B623" s="78"/>
      <c r="C623" s="80"/>
      <c r="D623" s="80"/>
      <c r="E623" s="79"/>
      <c r="F623" s="87" t="str">
        <f>IF($E623="","",IFERROR(INDEX(基础资料!$O$4:$O$34,MATCH($E623,基础资料!$N$4:$N$34,0))&amp;"",""))</f>
        <v/>
      </c>
      <c r="G623" s="87" t="str">
        <f>IF($E623="","",IFERROR(INDEX(基础资料!$P$4:$P$34,MATCH($E623,基础资料!$N$4:$N$34,0))&amp;"",""))</f>
        <v/>
      </c>
      <c r="H623" s="79"/>
      <c r="I623" s="88"/>
      <c r="J623" s="92"/>
      <c r="K623" s="93"/>
      <c r="L623" s="25" t="str">
        <f t="shared" si="28"/>
        <v/>
      </c>
      <c r="M623" s="94"/>
      <c r="N623" s="26" t="str">
        <f t="shared" si="29"/>
        <v/>
      </c>
      <c r="O623" s="80"/>
      <c r="P623" s="80"/>
      <c r="Q623" s="80"/>
      <c r="R623" s="80"/>
    </row>
    <row r="624" ht="18" customHeight="1" spans="1:18">
      <c r="A624" s="87" t="str">
        <f t="shared" si="27"/>
        <v/>
      </c>
      <c r="B624" s="78"/>
      <c r="C624" s="80"/>
      <c r="D624" s="80"/>
      <c r="E624" s="79"/>
      <c r="F624" s="87" t="str">
        <f>IF($E624="","",IFERROR(INDEX(基础资料!$O$4:$O$34,MATCH($E624,基础资料!$N$4:$N$34,0))&amp;"",""))</f>
        <v/>
      </c>
      <c r="G624" s="87" t="str">
        <f>IF($E624="","",IFERROR(INDEX(基础资料!$P$4:$P$34,MATCH($E624,基础资料!$N$4:$N$34,0))&amp;"",""))</f>
        <v/>
      </c>
      <c r="H624" s="79"/>
      <c r="I624" s="88"/>
      <c r="J624" s="92"/>
      <c r="K624" s="93"/>
      <c r="L624" s="25" t="str">
        <f t="shared" si="28"/>
        <v/>
      </c>
      <c r="M624" s="94"/>
      <c r="N624" s="26" t="str">
        <f t="shared" si="29"/>
        <v/>
      </c>
      <c r="O624" s="80"/>
      <c r="P624" s="80"/>
      <c r="Q624" s="80"/>
      <c r="R624" s="80"/>
    </row>
    <row r="625" ht="18" customHeight="1" spans="1:18">
      <c r="A625" s="87" t="str">
        <f t="shared" si="27"/>
        <v/>
      </c>
      <c r="B625" s="78"/>
      <c r="C625" s="80"/>
      <c r="D625" s="80"/>
      <c r="E625" s="79"/>
      <c r="F625" s="87" t="str">
        <f>IF($E625="","",IFERROR(INDEX(基础资料!$O$4:$O$34,MATCH($E625,基础资料!$N$4:$N$34,0))&amp;"",""))</f>
        <v/>
      </c>
      <c r="G625" s="87" t="str">
        <f>IF($E625="","",IFERROR(INDEX(基础资料!$P$4:$P$34,MATCH($E625,基础资料!$N$4:$N$34,0))&amp;"",""))</f>
        <v/>
      </c>
      <c r="H625" s="79"/>
      <c r="I625" s="88"/>
      <c r="J625" s="92"/>
      <c r="K625" s="93"/>
      <c r="L625" s="25" t="str">
        <f t="shared" si="28"/>
        <v/>
      </c>
      <c r="M625" s="94"/>
      <c r="N625" s="26" t="str">
        <f t="shared" si="29"/>
        <v/>
      </c>
      <c r="O625" s="80"/>
      <c r="P625" s="80"/>
      <c r="Q625" s="80"/>
      <c r="R625" s="80"/>
    </row>
    <row r="626" ht="18" customHeight="1" spans="1:18">
      <c r="A626" s="87" t="str">
        <f t="shared" si="27"/>
        <v/>
      </c>
      <c r="B626" s="78"/>
      <c r="C626" s="80"/>
      <c r="D626" s="80"/>
      <c r="E626" s="79"/>
      <c r="F626" s="87" t="str">
        <f>IF($E626="","",IFERROR(INDEX(基础资料!$O$4:$O$34,MATCH($E626,基础资料!$N$4:$N$34,0))&amp;"",""))</f>
        <v/>
      </c>
      <c r="G626" s="87" t="str">
        <f>IF($E626="","",IFERROR(INDEX(基础资料!$P$4:$P$34,MATCH($E626,基础资料!$N$4:$N$34,0))&amp;"",""))</f>
        <v/>
      </c>
      <c r="H626" s="79"/>
      <c r="I626" s="88"/>
      <c r="J626" s="92"/>
      <c r="K626" s="93"/>
      <c r="L626" s="25" t="str">
        <f t="shared" si="28"/>
        <v/>
      </c>
      <c r="M626" s="94"/>
      <c r="N626" s="26" t="str">
        <f t="shared" si="29"/>
        <v/>
      </c>
      <c r="O626" s="80"/>
      <c r="P626" s="80"/>
      <c r="Q626" s="80"/>
      <c r="R626" s="80"/>
    </row>
    <row r="627" ht="18" customHeight="1" spans="1:18">
      <c r="A627" s="87" t="str">
        <f t="shared" si="27"/>
        <v/>
      </c>
      <c r="B627" s="78"/>
      <c r="C627" s="80"/>
      <c r="D627" s="80"/>
      <c r="E627" s="79"/>
      <c r="F627" s="87" t="str">
        <f>IF($E627="","",IFERROR(INDEX(基础资料!$O$4:$O$34,MATCH($E627,基础资料!$N$4:$N$34,0))&amp;"",""))</f>
        <v/>
      </c>
      <c r="G627" s="87" t="str">
        <f>IF($E627="","",IFERROR(INDEX(基础资料!$P$4:$P$34,MATCH($E627,基础资料!$N$4:$N$34,0))&amp;"",""))</f>
        <v/>
      </c>
      <c r="H627" s="79"/>
      <c r="I627" s="88"/>
      <c r="J627" s="92"/>
      <c r="K627" s="93"/>
      <c r="L627" s="25" t="str">
        <f t="shared" si="28"/>
        <v/>
      </c>
      <c r="M627" s="94"/>
      <c r="N627" s="26" t="str">
        <f t="shared" si="29"/>
        <v/>
      </c>
      <c r="O627" s="80"/>
      <c r="P627" s="80"/>
      <c r="Q627" s="80"/>
      <c r="R627" s="80"/>
    </row>
    <row r="628" ht="18" customHeight="1" spans="1:18">
      <c r="A628" s="87" t="str">
        <f t="shared" si="27"/>
        <v/>
      </c>
      <c r="B628" s="78"/>
      <c r="C628" s="80"/>
      <c r="D628" s="80"/>
      <c r="E628" s="79"/>
      <c r="F628" s="87" t="str">
        <f>IF($E628="","",IFERROR(INDEX(基础资料!$O$4:$O$34,MATCH($E628,基础资料!$N$4:$N$34,0))&amp;"",""))</f>
        <v/>
      </c>
      <c r="G628" s="87" t="str">
        <f>IF($E628="","",IFERROR(INDEX(基础资料!$P$4:$P$34,MATCH($E628,基础资料!$N$4:$N$34,0))&amp;"",""))</f>
        <v/>
      </c>
      <c r="H628" s="79"/>
      <c r="I628" s="88"/>
      <c r="J628" s="92"/>
      <c r="K628" s="93"/>
      <c r="L628" s="25" t="str">
        <f t="shared" si="28"/>
        <v/>
      </c>
      <c r="M628" s="94"/>
      <c r="N628" s="26" t="str">
        <f t="shared" si="29"/>
        <v/>
      </c>
      <c r="O628" s="80"/>
      <c r="P628" s="80"/>
      <c r="Q628" s="80"/>
      <c r="R628" s="80"/>
    </row>
    <row r="629" ht="18" customHeight="1" spans="1:18">
      <c r="A629" s="87" t="str">
        <f t="shared" si="27"/>
        <v/>
      </c>
      <c r="B629" s="78"/>
      <c r="C629" s="80"/>
      <c r="D629" s="80"/>
      <c r="E629" s="79"/>
      <c r="F629" s="87" t="str">
        <f>IF($E629="","",IFERROR(INDEX(基础资料!$O$4:$O$34,MATCH($E629,基础资料!$N$4:$N$34,0))&amp;"",""))</f>
        <v/>
      </c>
      <c r="G629" s="87" t="str">
        <f>IF($E629="","",IFERROR(INDEX(基础资料!$P$4:$P$34,MATCH($E629,基础资料!$N$4:$N$34,0))&amp;"",""))</f>
        <v/>
      </c>
      <c r="H629" s="79"/>
      <c r="I629" s="88"/>
      <c r="J629" s="92"/>
      <c r="K629" s="93"/>
      <c r="L629" s="25" t="str">
        <f t="shared" si="28"/>
        <v/>
      </c>
      <c r="M629" s="94"/>
      <c r="N629" s="26" t="str">
        <f t="shared" si="29"/>
        <v/>
      </c>
      <c r="O629" s="80"/>
      <c r="P629" s="80"/>
      <c r="Q629" s="80"/>
      <c r="R629" s="80"/>
    </row>
    <row r="630" ht="18" customHeight="1" spans="1:18">
      <c r="A630" s="87" t="str">
        <f t="shared" si="27"/>
        <v/>
      </c>
      <c r="B630" s="78"/>
      <c r="C630" s="80"/>
      <c r="D630" s="80"/>
      <c r="E630" s="79"/>
      <c r="F630" s="87" t="str">
        <f>IF($E630="","",IFERROR(INDEX(基础资料!$O$4:$O$34,MATCH($E630,基础资料!$N$4:$N$34,0))&amp;"",""))</f>
        <v/>
      </c>
      <c r="G630" s="87" t="str">
        <f>IF($E630="","",IFERROR(INDEX(基础资料!$P$4:$P$34,MATCH($E630,基础资料!$N$4:$N$34,0))&amp;"",""))</f>
        <v/>
      </c>
      <c r="H630" s="79"/>
      <c r="I630" s="88"/>
      <c r="J630" s="92"/>
      <c r="K630" s="93"/>
      <c r="L630" s="25" t="str">
        <f t="shared" si="28"/>
        <v/>
      </c>
      <c r="M630" s="94"/>
      <c r="N630" s="26" t="str">
        <f t="shared" si="29"/>
        <v/>
      </c>
      <c r="O630" s="80"/>
      <c r="P630" s="80"/>
      <c r="Q630" s="80"/>
      <c r="R630" s="80"/>
    </row>
    <row r="631" ht="18" customHeight="1" spans="1:18">
      <c r="A631" s="87" t="str">
        <f t="shared" si="27"/>
        <v/>
      </c>
      <c r="B631" s="78"/>
      <c r="C631" s="80"/>
      <c r="D631" s="80"/>
      <c r="E631" s="79"/>
      <c r="F631" s="87" t="str">
        <f>IF($E631="","",IFERROR(INDEX(基础资料!$O$4:$O$34,MATCH($E631,基础资料!$N$4:$N$34,0))&amp;"",""))</f>
        <v/>
      </c>
      <c r="G631" s="87" t="str">
        <f>IF($E631="","",IFERROR(INDEX(基础资料!$P$4:$P$34,MATCH($E631,基础资料!$N$4:$N$34,0))&amp;"",""))</f>
        <v/>
      </c>
      <c r="H631" s="79"/>
      <c r="I631" s="88"/>
      <c r="J631" s="92"/>
      <c r="K631" s="93"/>
      <c r="L631" s="25" t="str">
        <f t="shared" si="28"/>
        <v/>
      </c>
      <c r="M631" s="94"/>
      <c r="N631" s="26" t="str">
        <f t="shared" si="29"/>
        <v/>
      </c>
      <c r="O631" s="80"/>
      <c r="P631" s="80"/>
      <c r="Q631" s="80"/>
      <c r="R631" s="80"/>
    </row>
    <row r="632" ht="18" customHeight="1" spans="1:18">
      <c r="A632" s="87" t="str">
        <f t="shared" si="27"/>
        <v/>
      </c>
      <c r="B632" s="78"/>
      <c r="C632" s="80"/>
      <c r="D632" s="80"/>
      <c r="E632" s="79"/>
      <c r="F632" s="87" t="str">
        <f>IF($E632="","",IFERROR(INDEX(基础资料!$O$4:$O$34,MATCH($E632,基础资料!$N$4:$N$34,0))&amp;"",""))</f>
        <v/>
      </c>
      <c r="G632" s="87" t="str">
        <f>IF($E632="","",IFERROR(INDEX(基础资料!$P$4:$P$34,MATCH($E632,基础资料!$N$4:$N$34,0))&amp;"",""))</f>
        <v/>
      </c>
      <c r="H632" s="79"/>
      <c r="I632" s="88"/>
      <c r="J632" s="92"/>
      <c r="K632" s="93"/>
      <c r="L632" s="25" t="str">
        <f t="shared" si="28"/>
        <v/>
      </c>
      <c r="M632" s="94"/>
      <c r="N632" s="26" t="str">
        <f t="shared" si="29"/>
        <v/>
      </c>
      <c r="O632" s="80"/>
      <c r="P632" s="80"/>
      <c r="Q632" s="80"/>
      <c r="R632" s="80"/>
    </row>
    <row r="633" ht="18" customHeight="1" spans="1:18">
      <c r="A633" s="87" t="str">
        <f t="shared" si="27"/>
        <v/>
      </c>
      <c r="B633" s="78"/>
      <c r="C633" s="80"/>
      <c r="D633" s="80"/>
      <c r="E633" s="79"/>
      <c r="F633" s="87" t="str">
        <f>IF($E633="","",IFERROR(INDEX(基础资料!$O$4:$O$34,MATCH($E633,基础资料!$N$4:$N$34,0))&amp;"",""))</f>
        <v/>
      </c>
      <c r="G633" s="87" t="str">
        <f>IF($E633="","",IFERROR(INDEX(基础资料!$P$4:$P$34,MATCH($E633,基础资料!$N$4:$N$34,0))&amp;"",""))</f>
        <v/>
      </c>
      <c r="H633" s="79"/>
      <c r="I633" s="88"/>
      <c r="J633" s="92"/>
      <c r="K633" s="93"/>
      <c r="L633" s="25" t="str">
        <f t="shared" si="28"/>
        <v/>
      </c>
      <c r="M633" s="94"/>
      <c r="N633" s="26" t="str">
        <f t="shared" si="29"/>
        <v/>
      </c>
      <c r="O633" s="80"/>
      <c r="P633" s="80"/>
      <c r="Q633" s="80"/>
      <c r="R633" s="80"/>
    </row>
    <row r="634" ht="18" customHeight="1" spans="1:18">
      <c r="A634" s="87" t="str">
        <f t="shared" si="27"/>
        <v/>
      </c>
      <c r="B634" s="78"/>
      <c r="C634" s="80"/>
      <c r="D634" s="80"/>
      <c r="E634" s="79"/>
      <c r="F634" s="87" t="str">
        <f>IF($E634="","",IFERROR(INDEX(基础资料!$O$4:$O$34,MATCH($E634,基础资料!$N$4:$N$34,0))&amp;"",""))</f>
        <v/>
      </c>
      <c r="G634" s="87" t="str">
        <f>IF($E634="","",IFERROR(INDEX(基础资料!$P$4:$P$34,MATCH($E634,基础资料!$N$4:$N$34,0))&amp;"",""))</f>
        <v/>
      </c>
      <c r="H634" s="79"/>
      <c r="I634" s="88"/>
      <c r="J634" s="92"/>
      <c r="K634" s="93"/>
      <c r="L634" s="25" t="str">
        <f t="shared" si="28"/>
        <v/>
      </c>
      <c r="M634" s="94"/>
      <c r="N634" s="26" t="str">
        <f t="shared" si="29"/>
        <v/>
      </c>
      <c r="O634" s="80"/>
      <c r="P634" s="80"/>
      <c r="Q634" s="80"/>
      <c r="R634" s="80"/>
    </row>
    <row r="635" ht="18" customHeight="1" spans="1:18">
      <c r="A635" s="87" t="str">
        <f t="shared" si="27"/>
        <v/>
      </c>
      <c r="B635" s="78"/>
      <c r="C635" s="80"/>
      <c r="D635" s="80"/>
      <c r="E635" s="79"/>
      <c r="F635" s="87" t="str">
        <f>IF($E635="","",IFERROR(INDEX(基础资料!$O$4:$O$34,MATCH($E635,基础资料!$N$4:$N$34,0))&amp;"",""))</f>
        <v/>
      </c>
      <c r="G635" s="87" t="str">
        <f>IF($E635="","",IFERROR(INDEX(基础资料!$P$4:$P$34,MATCH($E635,基础资料!$N$4:$N$34,0))&amp;"",""))</f>
        <v/>
      </c>
      <c r="H635" s="79"/>
      <c r="I635" s="88"/>
      <c r="J635" s="92"/>
      <c r="K635" s="93"/>
      <c r="L635" s="25" t="str">
        <f t="shared" si="28"/>
        <v/>
      </c>
      <c r="M635" s="94"/>
      <c r="N635" s="26" t="str">
        <f t="shared" si="29"/>
        <v/>
      </c>
      <c r="O635" s="80"/>
      <c r="P635" s="80"/>
      <c r="Q635" s="80"/>
      <c r="R635" s="80"/>
    </row>
    <row r="636" ht="18" customHeight="1" spans="1:18">
      <c r="A636" s="87" t="str">
        <f t="shared" si="27"/>
        <v/>
      </c>
      <c r="B636" s="78"/>
      <c r="C636" s="80"/>
      <c r="D636" s="80"/>
      <c r="E636" s="79"/>
      <c r="F636" s="87" t="str">
        <f>IF($E636="","",IFERROR(INDEX(基础资料!$O$4:$O$34,MATCH($E636,基础资料!$N$4:$N$34,0))&amp;"",""))</f>
        <v/>
      </c>
      <c r="G636" s="87" t="str">
        <f>IF($E636="","",IFERROR(INDEX(基础资料!$P$4:$P$34,MATCH($E636,基础资料!$N$4:$N$34,0))&amp;"",""))</f>
        <v/>
      </c>
      <c r="H636" s="79"/>
      <c r="I636" s="88"/>
      <c r="J636" s="92"/>
      <c r="K636" s="93"/>
      <c r="L636" s="25" t="str">
        <f t="shared" si="28"/>
        <v/>
      </c>
      <c r="M636" s="94"/>
      <c r="N636" s="26" t="str">
        <f t="shared" si="29"/>
        <v/>
      </c>
      <c r="O636" s="80"/>
      <c r="P636" s="80"/>
      <c r="Q636" s="80"/>
      <c r="R636" s="80"/>
    </row>
    <row r="637" ht="18" customHeight="1" spans="1:18">
      <c r="A637" s="87" t="str">
        <f t="shared" si="27"/>
        <v/>
      </c>
      <c r="B637" s="78"/>
      <c r="C637" s="80"/>
      <c r="D637" s="80"/>
      <c r="E637" s="79"/>
      <c r="F637" s="87" t="str">
        <f>IF($E637="","",IFERROR(INDEX(基础资料!$O$4:$O$34,MATCH($E637,基础资料!$N$4:$N$34,0))&amp;"",""))</f>
        <v/>
      </c>
      <c r="G637" s="87" t="str">
        <f>IF($E637="","",IFERROR(INDEX(基础资料!$P$4:$P$34,MATCH($E637,基础资料!$N$4:$N$34,0))&amp;"",""))</f>
        <v/>
      </c>
      <c r="H637" s="79"/>
      <c r="I637" s="88"/>
      <c r="J637" s="92"/>
      <c r="K637" s="93"/>
      <c r="L637" s="25" t="str">
        <f t="shared" si="28"/>
        <v/>
      </c>
      <c r="M637" s="94"/>
      <c r="N637" s="26" t="str">
        <f t="shared" si="29"/>
        <v/>
      </c>
      <c r="O637" s="80"/>
      <c r="P637" s="80"/>
      <c r="Q637" s="80"/>
      <c r="R637" s="80"/>
    </row>
    <row r="638" ht="18" customHeight="1" spans="1:18">
      <c r="A638" s="87" t="str">
        <f t="shared" si="27"/>
        <v/>
      </c>
      <c r="B638" s="78"/>
      <c r="C638" s="80"/>
      <c r="D638" s="80"/>
      <c r="E638" s="79"/>
      <c r="F638" s="87" t="str">
        <f>IF($E638="","",IFERROR(INDEX(基础资料!$O$4:$O$34,MATCH($E638,基础资料!$N$4:$N$34,0))&amp;"",""))</f>
        <v/>
      </c>
      <c r="G638" s="87" t="str">
        <f>IF($E638="","",IFERROR(INDEX(基础资料!$P$4:$P$34,MATCH($E638,基础资料!$N$4:$N$34,0))&amp;"",""))</f>
        <v/>
      </c>
      <c r="H638" s="79"/>
      <c r="I638" s="88"/>
      <c r="J638" s="92"/>
      <c r="K638" s="93"/>
      <c r="L638" s="25" t="str">
        <f t="shared" si="28"/>
        <v/>
      </c>
      <c r="M638" s="94"/>
      <c r="N638" s="26" t="str">
        <f t="shared" si="29"/>
        <v/>
      </c>
      <c r="O638" s="80"/>
      <c r="P638" s="80"/>
      <c r="Q638" s="80"/>
      <c r="R638" s="80"/>
    </row>
    <row r="639" ht="18" customHeight="1" spans="1:18">
      <c r="A639" s="87" t="str">
        <f t="shared" si="27"/>
        <v/>
      </c>
      <c r="B639" s="78"/>
      <c r="C639" s="80"/>
      <c r="D639" s="80"/>
      <c r="E639" s="79"/>
      <c r="F639" s="87" t="str">
        <f>IF($E639="","",IFERROR(INDEX(基础资料!$O$4:$O$34,MATCH($E639,基础资料!$N$4:$N$34,0))&amp;"",""))</f>
        <v/>
      </c>
      <c r="G639" s="87" t="str">
        <f>IF($E639="","",IFERROR(INDEX(基础资料!$P$4:$P$34,MATCH($E639,基础资料!$N$4:$N$34,0))&amp;"",""))</f>
        <v/>
      </c>
      <c r="H639" s="79"/>
      <c r="I639" s="88"/>
      <c r="J639" s="92"/>
      <c r="K639" s="93"/>
      <c r="L639" s="25" t="str">
        <f t="shared" si="28"/>
        <v/>
      </c>
      <c r="M639" s="94"/>
      <c r="N639" s="26" t="str">
        <f t="shared" si="29"/>
        <v/>
      </c>
      <c r="O639" s="80"/>
      <c r="P639" s="80"/>
      <c r="Q639" s="80"/>
      <c r="R639" s="80"/>
    </row>
    <row r="640" ht="18" customHeight="1" spans="1:18">
      <c r="A640" s="87" t="str">
        <f t="shared" si="27"/>
        <v/>
      </c>
      <c r="B640" s="78"/>
      <c r="C640" s="80"/>
      <c r="D640" s="80"/>
      <c r="E640" s="79"/>
      <c r="F640" s="87" t="str">
        <f>IF($E640="","",IFERROR(INDEX(基础资料!$O$4:$O$34,MATCH($E640,基础资料!$N$4:$N$34,0))&amp;"",""))</f>
        <v/>
      </c>
      <c r="G640" s="87" t="str">
        <f>IF($E640="","",IFERROR(INDEX(基础资料!$P$4:$P$34,MATCH($E640,基础资料!$N$4:$N$34,0))&amp;"",""))</f>
        <v/>
      </c>
      <c r="H640" s="79"/>
      <c r="I640" s="88"/>
      <c r="J640" s="92"/>
      <c r="K640" s="93"/>
      <c r="L640" s="25" t="str">
        <f t="shared" si="28"/>
        <v/>
      </c>
      <c r="M640" s="94"/>
      <c r="N640" s="26" t="str">
        <f t="shared" si="29"/>
        <v/>
      </c>
      <c r="O640" s="80"/>
      <c r="P640" s="80"/>
      <c r="Q640" s="80"/>
      <c r="R640" s="80"/>
    </row>
    <row r="641" ht="18" customHeight="1" spans="1:18">
      <c r="A641" s="87" t="str">
        <f t="shared" si="27"/>
        <v/>
      </c>
      <c r="B641" s="78"/>
      <c r="C641" s="80"/>
      <c r="D641" s="80"/>
      <c r="E641" s="79"/>
      <c r="F641" s="87" t="str">
        <f>IF($E641="","",IFERROR(INDEX(基础资料!$O$4:$O$34,MATCH($E641,基础资料!$N$4:$N$34,0))&amp;"",""))</f>
        <v/>
      </c>
      <c r="G641" s="87" t="str">
        <f>IF($E641="","",IFERROR(INDEX(基础资料!$P$4:$P$34,MATCH($E641,基础资料!$N$4:$N$34,0))&amp;"",""))</f>
        <v/>
      </c>
      <c r="H641" s="79"/>
      <c r="I641" s="88"/>
      <c r="J641" s="92"/>
      <c r="K641" s="93"/>
      <c r="L641" s="25" t="str">
        <f t="shared" si="28"/>
        <v/>
      </c>
      <c r="M641" s="94"/>
      <c r="N641" s="26" t="str">
        <f t="shared" si="29"/>
        <v/>
      </c>
      <c r="O641" s="80"/>
      <c r="P641" s="80"/>
      <c r="Q641" s="80"/>
      <c r="R641" s="80"/>
    </row>
    <row r="642" ht="18" customHeight="1" spans="1:18">
      <c r="A642" s="87" t="str">
        <f t="shared" si="27"/>
        <v/>
      </c>
      <c r="B642" s="78"/>
      <c r="C642" s="80"/>
      <c r="D642" s="80"/>
      <c r="E642" s="79"/>
      <c r="F642" s="87" t="str">
        <f>IF($E642="","",IFERROR(INDEX(基础资料!$O$4:$O$34,MATCH($E642,基础资料!$N$4:$N$34,0))&amp;"",""))</f>
        <v/>
      </c>
      <c r="G642" s="87" t="str">
        <f>IF($E642="","",IFERROR(INDEX(基础资料!$P$4:$P$34,MATCH($E642,基础资料!$N$4:$N$34,0))&amp;"",""))</f>
        <v/>
      </c>
      <c r="H642" s="79"/>
      <c r="I642" s="88"/>
      <c r="J642" s="92"/>
      <c r="K642" s="93"/>
      <c r="L642" s="25" t="str">
        <f t="shared" si="28"/>
        <v/>
      </c>
      <c r="M642" s="94"/>
      <c r="N642" s="26" t="str">
        <f t="shared" si="29"/>
        <v/>
      </c>
      <c r="O642" s="80"/>
      <c r="P642" s="80"/>
      <c r="Q642" s="80"/>
      <c r="R642" s="80"/>
    </row>
    <row r="643" ht="18" customHeight="1" spans="1:18">
      <c r="A643" s="87" t="str">
        <f t="shared" si="27"/>
        <v/>
      </c>
      <c r="B643" s="78"/>
      <c r="C643" s="80"/>
      <c r="D643" s="80"/>
      <c r="E643" s="79"/>
      <c r="F643" s="87" t="str">
        <f>IF($E643="","",IFERROR(INDEX(基础资料!$O$4:$O$34,MATCH($E643,基础资料!$N$4:$N$34,0))&amp;"",""))</f>
        <v/>
      </c>
      <c r="G643" s="87" t="str">
        <f>IF($E643="","",IFERROR(INDEX(基础资料!$P$4:$P$34,MATCH($E643,基础资料!$N$4:$N$34,0))&amp;"",""))</f>
        <v/>
      </c>
      <c r="H643" s="79"/>
      <c r="I643" s="88"/>
      <c r="J643" s="92"/>
      <c r="K643" s="93"/>
      <c r="L643" s="25" t="str">
        <f t="shared" si="28"/>
        <v/>
      </c>
      <c r="M643" s="94"/>
      <c r="N643" s="26" t="str">
        <f t="shared" si="29"/>
        <v/>
      </c>
      <c r="O643" s="80"/>
      <c r="P643" s="80"/>
      <c r="Q643" s="80"/>
      <c r="R643" s="80"/>
    </row>
    <row r="644" ht="18" customHeight="1" spans="1:18">
      <c r="A644" s="87" t="str">
        <f t="shared" ref="A644:A707" si="30">IF($E644="","",ROW()-3)</f>
        <v/>
      </c>
      <c r="B644" s="78"/>
      <c r="C644" s="80"/>
      <c r="D644" s="80"/>
      <c r="E644" s="79"/>
      <c r="F644" s="87" t="str">
        <f>IF($E644="","",IFERROR(INDEX(基础资料!$O$4:$O$34,MATCH($E644,基础资料!$N$4:$N$34,0))&amp;"",""))</f>
        <v/>
      </c>
      <c r="G644" s="87" t="str">
        <f>IF($E644="","",IFERROR(INDEX(基础资料!$P$4:$P$34,MATCH($E644,基础资料!$N$4:$N$34,0))&amp;"",""))</f>
        <v/>
      </c>
      <c r="H644" s="79"/>
      <c r="I644" s="88"/>
      <c r="J644" s="92"/>
      <c r="K644" s="93"/>
      <c r="L644" s="25" t="str">
        <f t="shared" ref="L644:L707" si="31">IF($E644="","",N($I644)+N($J644)-N($K644))</f>
        <v/>
      </c>
      <c r="M644" s="94"/>
      <c r="N644" s="26" t="str">
        <f t="shared" ref="N644:N707" si="32">IF($E644="","",ROUND(N($L644)*N($M644),2))</f>
        <v/>
      </c>
      <c r="O644" s="80"/>
      <c r="P644" s="80"/>
      <c r="Q644" s="80"/>
      <c r="R644" s="80"/>
    </row>
    <row r="645" ht="18" customHeight="1" spans="1:18">
      <c r="A645" s="87" t="str">
        <f t="shared" si="30"/>
        <v/>
      </c>
      <c r="B645" s="78"/>
      <c r="C645" s="80"/>
      <c r="D645" s="80"/>
      <c r="E645" s="79"/>
      <c r="F645" s="87" t="str">
        <f>IF($E645="","",IFERROR(INDEX(基础资料!$O$4:$O$34,MATCH($E645,基础资料!$N$4:$N$34,0))&amp;"",""))</f>
        <v/>
      </c>
      <c r="G645" s="87" t="str">
        <f>IF($E645="","",IFERROR(INDEX(基础资料!$P$4:$P$34,MATCH($E645,基础资料!$N$4:$N$34,0))&amp;"",""))</f>
        <v/>
      </c>
      <c r="H645" s="79"/>
      <c r="I645" s="88"/>
      <c r="J645" s="92"/>
      <c r="K645" s="93"/>
      <c r="L645" s="25" t="str">
        <f t="shared" si="31"/>
        <v/>
      </c>
      <c r="M645" s="94"/>
      <c r="N645" s="26" t="str">
        <f t="shared" si="32"/>
        <v/>
      </c>
      <c r="O645" s="80"/>
      <c r="P645" s="80"/>
      <c r="Q645" s="80"/>
      <c r="R645" s="80"/>
    </row>
    <row r="646" ht="18" customHeight="1" spans="1:18">
      <c r="A646" s="87" t="str">
        <f t="shared" si="30"/>
        <v/>
      </c>
      <c r="B646" s="78"/>
      <c r="C646" s="80"/>
      <c r="D646" s="80"/>
      <c r="E646" s="79"/>
      <c r="F646" s="87" t="str">
        <f>IF($E646="","",IFERROR(INDEX(基础资料!$O$4:$O$34,MATCH($E646,基础资料!$N$4:$N$34,0))&amp;"",""))</f>
        <v/>
      </c>
      <c r="G646" s="87" t="str">
        <f>IF($E646="","",IFERROR(INDEX(基础资料!$P$4:$P$34,MATCH($E646,基础资料!$N$4:$N$34,0))&amp;"",""))</f>
        <v/>
      </c>
      <c r="H646" s="79"/>
      <c r="I646" s="88"/>
      <c r="J646" s="92"/>
      <c r="K646" s="93"/>
      <c r="L646" s="25" t="str">
        <f t="shared" si="31"/>
        <v/>
      </c>
      <c r="M646" s="94"/>
      <c r="N646" s="26" t="str">
        <f t="shared" si="32"/>
        <v/>
      </c>
      <c r="O646" s="80"/>
      <c r="P646" s="80"/>
      <c r="Q646" s="80"/>
      <c r="R646" s="80"/>
    </row>
    <row r="647" ht="18" customHeight="1" spans="1:18">
      <c r="A647" s="87" t="str">
        <f t="shared" si="30"/>
        <v/>
      </c>
      <c r="B647" s="78"/>
      <c r="C647" s="80"/>
      <c r="D647" s="80"/>
      <c r="E647" s="79"/>
      <c r="F647" s="87" t="str">
        <f>IF($E647="","",IFERROR(INDEX(基础资料!$O$4:$O$34,MATCH($E647,基础资料!$N$4:$N$34,0))&amp;"",""))</f>
        <v/>
      </c>
      <c r="G647" s="87" t="str">
        <f>IF($E647="","",IFERROR(INDEX(基础资料!$P$4:$P$34,MATCH($E647,基础资料!$N$4:$N$34,0))&amp;"",""))</f>
        <v/>
      </c>
      <c r="H647" s="79"/>
      <c r="I647" s="88"/>
      <c r="J647" s="92"/>
      <c r="K647" s="93"/>
      <c r="L647" s="25" t="str">
        <f t="shared" si="31"/>
        <v/>
      </c>
      <c r="M647" s="94"/>
      <c r="N647" s="26" t="str">
        <f t="shared" si="32"/>
        <v/>
      </c>
      <c r="O647" s="80"/>
      <c r="P647" s="80"/>
      <c r="Q647" s="80"/>
      <c r="R647" s="80"/>
    </row>
    <row r="648" ht="18" customHeight="1" spans="1:18">
      <c r="A648" s="87" t="str">
        <f t="shared" si="30"/>
        <v/>
      </c>
      <c r="B648" s="78"/>
      <c r="C648" s="80"/>
      <c r="D648" s="80"/>
      <c r="E648" s="79"/>
      <c r="F648" s="87" t="str">
        <f>IF($E648="","",IFERROR(INDEX(基础资料!$O$4:$O$34,MATCH($E648,基础资料!$N$4:$N$34,0))&amp;"",""))</f>
        <v/>
      </c>
      <c r="G648" s="87" t="str">
        <f>IF($E648="","",IFERROR(INDEX(基础资料!$P$4:$P$34,MATCH($E648,基础资料!$N$4:$N$34,0))&amp;"",""))</f>
        <v/>
      </c>
      <c r="H648" s="79"/>
      <c r="I648" s="88"/>
      <c r="J648" s="92"/>
      <c r="K648" s="93"/>
      <c r="L648" s="25" t="str">
        <f t="shared" si="31"/>
        <v/>
      </c>
      <c r="M648" s="94"/>
      <c r="N648" s="26" t="str">
        <f t="shared" si="32"/>
        <v/>
      </c>
      <c r="O648" s="80"/>
      <c r="P648" s="80"/>
      <c r="Q648" s="80"/>
      <c r="R648" s="80"/>
    </row>
    <row r="649" ht="18" customHeight="1" spans="1:18">
      <c r="A649" s="87" t="str">
        <f t="shared" si="30"/>
        <v/>
      </c>
      <c r="B649" s="78"/>
      <c r="C649" s="80"/>
      <c r="D649" s="80"/>
      <c r="E649" s="79"/>
      <c r="F649" s="87" t="str">
        <f>IF($E649="","",IFERROR(INDEX(基础资料!$O$4:$O$34,MATCH($E649,基础资料!$N$4:$N$34,0))&amp;"",""))</f>
        <v/>
      </c>
      <c r="G649" s="87" t="str">
        <f>IF($E649="","",IFERROR(INDEX(基础资料!$P$4:$P$34,MATCH($E649,基础资料!$N$4:$N$34,0))&amp;"",""))</f>
        <v/>
      </c>
      <c r="H649" s="79"/>
      <c r="I649" s="88"/>
      <c r="J649" s="92"/>
      <c r="K649" s="93"/>
      <c r="L649" s="25" t="str">
        <f t="shared" si="31"/>
        <v/>
      </c>
      <c r="M649" s="94"/>
      <c r="N649" s="26" t="str">
        <f t="shared" si="32"/>
        <v/>
      </c>
      <c r="O649" s="80"/>
      <c r="P649" s="80"/>
      <c r="Q649" s="80"/>
      <c r="R649" s="80"/>
    </row>
    <row r="650" ht="18" customHeight="1" spans="1:18">
      <c r="A650" s="87" t="str">
        <f t="shared" si="30"/>
        <v/>
      </c>
      <c r="B650" s="78"/>
      <c r="C650" s="80"/>
      <c r="D650" s="80"/>
      <c r="E650" s="79"/>
      <c r="F650" s="87" t="str">
        <f>IF($E650="","",IFERROR(INDEX(基础资料!$O$4:$O$34,MATCH($E650,基础资料!$N$4:$N$34,0))&amp;"",""))</f>
        <v/>
      </c>
      <c r="G650" s="87" t="str">
        <f>IF($E650="","",IFERROR(INDEX(基础资料!$P$4:$P$34,MATCH($E650,基础资料!$N$4:$N$34,0))&amp;"",""))</f>
        <v/>
      </c>
      <c r="H650" s="79"/>
      <c r="I650" s="88"/>
      <c r="J650" s="92"/>
      <c r="K650" s="93"/>
      <c r="L650" s="25" t="str">
        <f t="shared" si="31"/>
        <v/>
      </c>
      <c r="M650" s="94"/>
      <c r="N650" s="26" t="str">
        <f t="shared" si="32"/>
        <v/>
      </c>
      <c r="O650" s="80"/>
      <c r="P650" s="80"/>
      <c r="Q650" s="80"/>
      <c r="R650" s="80"/>
    </row>
    <row r="651" ht="18" customHeight="1" spans="1:18">
      <c r="A651" s="87" t="str">
        <f t="shared" si="30"/>
        <v/>
      </c>
      <c r="B651" s="78"/>
      <c r="C651" s="80"/>
      <c r="D651" s="80"/>
      <c r="E651" s="79"/>
      <c r="F651" s="87" t="str">
        <f>IF($E651="","",IFERROR(INDEX(基础资料!$O$4:$O$34,MATCH($E651,基础资料!$N$4:$N$34,0))&amp;"",""))</f>
        <v/>
      </c>
      <c r="G651" s="87" t="str">
        <f>IF($E651="","",IFERROR(INDEX(基础资料!$P$4:$P$34,MATCH($E651,基础资料!$N$4:$N$34,0))&amp;"",""))</f>
        <v/>
      </c>
      <c r="H651" s="79"/>
      <c r="I651" s="88"/>
      <c r="J651" s="92"/>
      <c r="K651" s="93"/>
      <c r="L651" s="25" t="str">
        <f t="shared" si="31"/>
        <v/>
      </c>
      <c r="M651" s="94"/>
      <c r="N651" s="26" t="str">
        <f t="shared" si="32"/>
        <v/>
      </c>
      <c r="O651" s="80"/>
      <c r="P651" s="80"/>
      <c r="Q651" s="80"/>
      <c r="R651" s="80"/>
    </row>
    <row r="652" ht="18" customHeight="1" spans="1:18">
      <c r="A652" s="87" t="str">
        <f t="shared" si="30"/>
        <v/>
      </c>
      <c r="B652" s="78"/>
      <c r="C652" s="80"/>
      <c r="D652" s="80"/>
      <c r="E652" s="79"/>
      <c r="F652" s="87" t="str">
        <f>IF($E652="","",IFERROR(INDEX(基础资料!$O$4:$O$34,MATCH($E652,基础资料!$N$4:$N$34,0))&amp;"",""))</f>
        <v/>
      </c>
      <c r="G652" s="87" t="str">
        <f>IF($E652="","",IFERROR(INDEX(基础资料!$P$4:$P$34,MATCH($E652,基础资料!$N$4:$N$34,0))&amp;"",""))</f>
        <v/>
      </c>
      <c r="H652" s="79"/>
      <c r="I652" s="88"/>
      <c r="J652" s="92"/>
      <c r="K652" s="93"/>
      <c r="L652" s="25" t="str">
        <f t="shared" si="31"/>
        <v/>
      </c>
      <c r="M652" s="94"/>
      <c r="N652" s="26" t="str">
        <f t="shared" si="32"/>
        <v/>
      </c>
      <c r="O652" s="80"/>
      <c r="P652" s="80"/>
      <c r="Q652" s="80"/>
      <c r="R652" s="80"/>
    </row>
    <row r="653" ht="18" customHeight="1" spans="1:18">
      <c r="A653" s="87" t="str">
        <f t="shared" si="30"/>
        <v/>
      </c>
      <c r="B653" s="78"/>
      <c r="C653" s="80"/>
      <c r="D653" s="80"/>
      <c r="E653" s="79"/>
      <c r="F653" s="87" t="str">
        <f>IF($E653="","",IFERROR(INDEX(基础资料!$O$4:$O$34,MATCH($E653,基础资料!$N$4:$N$34,0))&amp;"",""))</f>
        <v/>
      </c>
      <c r="G653" s="87" t="str">
        <f>IF($E653="","",IFERROR(INDEX(基础资料!$P$4:$P$34,MATCH($E653,基础资料!$N$4:$N$34,0))&amp;"",""))</f>
        <v/>
      </c>
      <c r="H653" s="79"/>
      <c r="I653" s="88"/>
      <c r="J653" s="92"/>
      <c r="K653" s="93"/>
      <c r="L653" s="25" t="str">
        <f t="shared" si="31"/>
        <v/>
      </c>
      <c r="M653" s="94"/>
      <c r="N653" s="26" t="str">
        <f t="shared" si="32"/>
        <v/>
      </c>
      <c r="O653" s="80"/>
      <c r="P653" s="80"/>
      <c r="Q653" s="80"/>
      <c r="R653" s="80"/>
    </row>
    <row r="654" ht="18" customHeight="1" spans="1:18">
      <c r="A654" s="87" t="str">
        <f t="shared" si="30"/>
        <v/>
      </c>
      <c r="B654" s="78"/>
      <c r="C654" s="80"/>
      <c r="D654" s="80"/>
      <c r="E654" s="79"/>
      <c r="F654" s="87" t="str">
        <f>IF($E654="","",IFERROR(INDEX(基础资料!$O$4:$O$34,MATCH($E654,基础资料!$N$4:$N$34,0))&amp;"",""))</f>
        <v/>
      </c>
      <c r="G654" s="87" t="str">
        <f>IF($E654="","",IFERROR(INDEX(基础资料!$P$4:$P$34,MATCH($E654,基础资料!$N$4:$N$34,0))&amp;"",""))</f>
        <v/>
      </c>
      <c r="H654" s="79"/>
      <c r="I654" s="88"/>
      <c r="J654" s="92"/>
      <c r="K654" s="93"/>
      <c r="L654" s="25" t="str">
        <f t="shared" si="31"/>
        <v/>
      </c>
      <c r="M654" s="94"/>
      <c r="N654" s="26" t="str">
        <f t="shared" si="32"/>
        <v/>
      </c>
      <c r="O654" s="80"/>
      <c r="P654" s="80"/>
      <c r="Q654" s="80"/>
      <c r="R654" s="80"/>
    </row>
    <row r="655" ht="18" customHeight="1" spans="1:18">
      <c r="A655" s="87" t="str">
        <f t="shared" si="30"/>
        <v/>
      </c>
      <c r="B655" s="78"/>
      <c r="C655" s="80"/>
      <c r="D655" s="80"/>
      <c r="E655" s="79"/>
      <c r="F655" s="87" t="str">
        <f>IF($E655="","",IFERROR(INDEX(基础资料!$O$4:$O$34,MATCH($E655,基础资料!$N$4:$N$34,0))&amp;"",""))</f>
        <v/>
      </c>
      <c r="G655" s="87" t="str">
        <f>IF($E655="","",IFERROR(INDEX(基础资料!$P$4:$P$34,MATCH($E655,基础资料!$N$4:$N$34,0))&amp;"",""))</f>
        <v/>
      </c>
      <c r="H655" s="79"/>
      <c r="I655" s="88"/>
      <c r="J655" s="92"/>
      <c r="K655" s="93"/>
      <c r="L655" s="25" t="str">
        <f t="shared" si="31"/>
        <v/>
      </c>
      <c r="M655" s="94"/>
      <c r="N655" s="26" t="str">
        <f t="shared" si="32"/>
        <v/>
      </c>
      <c r="O655" s="80"/>
      <c r="P655" s="80"/>
      <c r="Q655" s="80"/>
      <c r="R655" s="80"/>
    </row>
    <row r="656" ht="18" customHeight="1" spans="1:18">
      <c r="A656" s="87" t="str">
        <f t="shared" si="30"/>
        <v/>
      </c>
      <c r="B656" s="78"/>
      <c r="C656" s="80"/>
      <c r="D656" s="80"/>
      <c r="E656" s="79"/>
      <c r="F656" s="87" t="str">
        <f>IF($E656="","",IFERROR(INDEX(基础资料!$O$4:$O$34,MATCH($E656,基础资料!$N$4:$N$34,0))&amp;"",""))</f>
        <v/>
      </c>
      <c r="G656" s="87" t="str">
        <f>IF($E656="","",IFERROR(INDEX(基础资料!$P$4:$P$34,MATCH($E656,基础资料!$N$4:$N$34,0))&amp;"",""))</f>
        <v/>
      </c>
      <c r="H656" s="79"/>
      <c r="I656" s="88"/>
      <c r="J656" s="92"/>
      <c r="K656" s="93"/>
      <c r="L656" s="25" t="str">
        <f t="shared" si="31"/>
        <v/>
      </c>
      <c r="M656" s="94"/>
      <c r="N656" s="26" t="str">
        <f t="shared" si="32"/>
        <v/>
      </c>
      <c r="O656" s="80"/>
      <c r="P656" s="80"/>
      <c r="Q656" s="80"/>
      <c r="R656" s="80"/>
    </row>
    <row r="657" ht="18" customHeight="1" spans="1:18">
      <c r="A657" s="87" t="str">
        <f t="shared" si="30"/>
        <v/>
      </c>
      <c r="B657" s="78"/>
      <c r="C657" s="80"/>
      <c r="D657" s="80"/>
      <c r="E657" s="79"/>
      <c r="F657" s="87" t="str">
        <f>IF($E657="","",IFERROR(INDEX(基础资料!$O$4:$O$34,MATCH($E657,基础资料!$N$4:$N$34,0))&amp;"",""))</f>
        <v/>
      </c>
      <c r="G657" s="87" t="str">
        <f>IF($E657="","",IFERROR(INDEX(基础资料!$P$4:$P$34,MATCH($E657,基础资料!$N$4:$N$34,0))&amp;"",""))</f>
        <v/>
      </c>
      <c r="H657" s="79"/>
      <c r="I657" s="88"/>
      <c r="J657" s="92"/>
      <c r="K657" s="93"/>
      <c r="L657" s="25" t="str">
        <f t="shared" si="31"/>
        <v/>
      </c>
      <c r="M657" s="94"/>
      <c r="N657" s="26" t="str">
        <f t="shared" si="32"/>
        <v/>
      </c>
      <c r="O657" s="80"/>
      <c r="P657" s="80"/>
      <c r="Q657" s="80"/>
      <c r="R657" s="80"/>
    </row>
    <row r="658" ht="18" customHeight="1" spans="1:18">
      <c r="A658" s="87" t="str">
        <f t="shared" si="30"/>
        <v/>
      </c>
      <c r="B658" s="78"/>
      <c r="C658" s="80"/>
      <c r="D658" s="80"/>
      <c r="E658" s="79"/>
      <c r="F658" s="87" t="str">
        <f>IF($E658="","",IFERROR(INDEX(基础资料!$O$4:$O$34,MATCH($E658,基础资料!$N$4:$N$34,0))&amp;"",""))</f>
        <v/>
      </c>
      <c r="G658" s="87" t="str">
        <f>IF($E658="","",IFERROR(INDEX(基础资料!$P$4:$P$34,MATCH($E658,基础资料!$N$4:$N$34,0))&amp;"",""))</f>
        <v/>
      </c>
      <c r="H658" s="79"/>
      <c r="I658" s="88"/>
      <c r="J658" s="92"/>
      <c r="K658" s="93"/>
      <c r="L658" s="25" t="str">
        <f t="shared" si="31"/>
        <v/>
      </c>
      <c r="M658" s="94"/>
      <c r="N658" s="26" t="str">
        <f t="shared" si="32"/>
        <v/>
      </c>
      <c r="O658" s="80"/>
      <c r="P658" s="80"/>
      <c r="Q658" s="80"/>
      <c r="R658" s="80"/>
    </row>
    <row r="659" ht="18" customHeight="1" spans="1:18">
      <c r="A659" s="87" t="str">
        <f t="shared" si="30"/>
        <v/>
      </c>
      <c r="B659" s="78"/>
      <c r="C659" s="80"/>
      <c r="D659" s="80"/>
      <c r="E659" s="79"/>
      <c r="F659" s="87" t="str">
        <f>IF($E659="","",IFERROR(INDEX(基础资料!$O$4:$O$34,MATCH($E659,基础资料!$N$4:$N$34,0))&amp;"",""))</f>
        <v/>
      </c>
      <c r="G659" s="87" t="str">
        <f>IF($E659="","",IFERROR(INDEX(基础资料!$P$4:$P$34,MATCH($E659,基础资料!$N$4:$N$34,0))&amp;"",""))</f>
        <v/>
      </c>
      <c r="H659" s="79"/>
      <c r="I659" s="88"/>
      <c r="J659" s="92"/>
      <c r="K659" s="93"/>
      <c r="L659" s="25" t="str">
        <f t="shared" si="31"/>
        <v/>
      </c>
      <c r="M659" s="94"/>
      <c r="N659" s="26" t="str">
        <f t="shared" si="32"/>
        <v/>
      </c>
      <c r="O659" s="80"/>
      <c r="P659" s="80"/>
      <c r="Q659" s="80"/>
      <c r="R659" s="80"/>
    </row>
    <row r="660" ht="18" customHeight="1" spans="1:18">
      <c r="A660" s="87" t="str">
        <f t="shared" si="30"/>
        <v/>
      </c>
      <c r="B660" s="78"/>
      <c r="C660" s="80"/>
      <c r="D660" s="80"/>
      <c r="E660" s="79"/>
      <c r="F660" s="87" t="str">
        <f>IF($E660="","",IFERROR(INDEX(基础资料!$O$4:$O$34,MATCH($E660,基础资料!$N$4:$N$34,0))&amp;"",""))</f>
        <v/>
      </c>
      <c r="G660" s="87" t="str">
        <f>IF($E660="","",IFERROR(INDEX(基础资料!$P$4:$P$34,MATCH($E660,基础资料!$N$4:$N$34,0))&amp;"",""))</f>
        <v/>
      </c>
      <c r="H660" s="79"/>
      <c r="I660" s="88"/>
      <c r="J660" s="92"/>
      <c r="K660" s="93"/>
      <c r="L660" s="25" t="str">
        <f t="shared" si="31"/>
        <v/>
      </c>
      <c r="M660" s="94"/>
      <c r="N660" s="26" t="str">
        <f t="shared" si="32"/>
        <v/>
      </c>
      <c r="O660" s="80"/>
      <c r="P660" s="80"/>
      <c r="Q660" s="80"/>
      <c r="R660" s="80"/>
    </row>
    <row r="661" ht="18" customHeight="1" spans="1:18">
      <c r="A661" s="87" t="str">
        <f t="shared" si="30"/>
        <v/>
      </c>
      <c r="B661" s="78"/>
      <c r="C661" s="80"/>
      <c r="D661" s="80"/>
      <c r="E661" s="79"/>
      <c r="F661" s="87" t="str">
        <f>IF($E661="","",IFERROR(INDEX(基础资料!$O$4:$O$34,MATCH($E661,基础资料!$N$4:$N$34,0))&amp;"",""))</f>
        <v/>
      </c>
      <c r="G661" s="87" t="str">
        <f>IF($E661="","",IFERROR(INDEX(基础资料!$P$4:$P$34,MATCH($E661,基础资料!$N$4:$N$34,0))&amp;"",""))</f>
        <v/>
      </c>
      <c r="H661" s="79"/>
      <c r="I661" s="88"/>
      <c r="J661" s="92"/>
      <c r="K661" s="93"/>
      <c r="L661" s="25" t="str">
        <f t="shared" si="31"/>
        <v/>
      </c>
      <c r="M661" s="94"/>
      <c r="N661" s="26" t="str">
        <f t="shared" si="32"/>
        <v/>
      </c>
      <c r="O661" s="80"/>
      <c r="P661" s="80"/>
      <c r="Q661" s="80"/>
      <c r="R661" s="80"/>
    </row>
    <row r="662" ht="18" customHeight="1" spans="1:18">
      <c r="A662" s="87" t="str">
        <f t="shared" si="30"/>
        <v/>
      </c>
      <c r="B662" s="78"/>
      <c r="C662" s="80"/>
      <c r="D662" s="80"/>
      <c r="E662" s="79"/>
      <c r="F662" s="87" t="str">
        <f>IF($E662="","",IFERROR(INDEX(基础资料!$O$4:$O$34,MATCH($E662,基础资料!$N$4:$N$34,0))&amp;"",""))</f>
        <v/>
      </c>
      <c r="G662" s="87" t="str">
        <f>IF($E662="","",IFERROR(INDEX(基础资料!$P$4:$P$34,MATCH($E662,基础资料!$N$4:$N$34,0))&amp;"",""))</f>
        <v/>
      </c>
      <c r="H662" s="79"/>
      <c r="I662" s="88"/>
      <c r="J662" s="92"/>
      <c r="K662" s="93"/>
      <c r="L662" s="25" t="str">
        <f t="shared" si="31"/>
        <v/>
      </c>
      <c r="M662" s="94"/>
      <c r="N662" s="26" t="str">
        <f t="shared" si="32"/>
        <v/>
      </c>
      <c r="O662" s="80"/>
      <c r="P662" s="80"/>
      <c r="Q662" s="80"/>
      <c r="R662" s="80"/>
    </row>
    <row r="663" ht="18" customHeight="1" spans="1:18">
      <c r="A663" s="87" t="str">
        <f t="shared" si="30"/>
        <v/>
      </c>
      <c r="B663" s="78"/>
      <c r="C663" s="80"/>
      <c r="D663" s="80"/>
      <c r="E663" s="79"/>
      <c r="F663" s="87" t="str">
        <f>IF($E663="","",IFERROR(INDEX(基础资料!$O$4:$O$34,MATCH($E663,基础资料!$N$4:$N$34,0))&amp;"",""))</f>
        <v/>
      </c>
      <c r="G663" s="87" t="str">
        <f>IF($E663="","",IFERROR(INDEX(基础资料!$P$4:$P$34,MATCH($E663,基础资料!$N$4:$N$34,0))&amp;"",""))</f>
        <v/>
      </c>
      <c r="H663" s="79"/>
      <c r="I663" s="88"/>
      <c r="J663" s="92"/>
      <c r="K663" s="93"/>
      <c r="L663" s="25" t="str">
        <f t="shared" si="31"/>
        <v/>
      </c>
      <c r="M663" s="94"/>
      <c r="N663" s="26" t="str">
        <f t="shared" si="32"/>
        <v/>
      </c>
      <c r="O663" s="80"/>
      <c r="P663" s="80"/>
      <c r="Q663" s="80"/>
      <c r="R663" s="80"/>
    </row>
    <row r="664" ht="18" customHeight="1" spans="1:18">
      <c r="A664" s="87" t="str">
        <f t="shared" si="30"/>
        <v/>
      </c>
      <c r="B664" s="78"/>
      <c r="C664" s="80"/>
      <c r="D664" s="80"/>
      <c r="E664" s="79"/>
      <c r="F664" s="87" t="str">
        <f>IF($E664="","",IFERROR(INDEX(基础资料!$O$4:$O$34,MATCH($E664,基础资料!$N$4:$N$34,0))&amp;"",""))</f>
        <v/>
      </c>
      <c r="G664" s="87" t="str">
        <f>IF($E664="","",IFERROR(INDEX(基础资料!$P$4:$P$34,MATCH($E664,基础资料!$N$4:$N$34,0))&amp;"",""))</f>
        <v/>
      </c>
      <c r="H664" s="79"/>
      <c r="I664" s="88"/>
      <c r="J664" s="92"/>
      <c r="K664" s="93"/>
      <c r="L664" s="25" t="str">
        <f t="shared" si="31"/>
        <v/>
      </c>
      <c r="M664" s="94"/>
      <c r="N664" s="26" t="str">
        <f t="shared" si="32"/>
        <v/>
      </c>
      <c r="O664" s="80"/>
      <c r="P664" s="80"/>
      <c r="Q664" s="80"/>
      <c r="R664" s="80"/>
    </row>
    <row r="665" ht="18" customHeight="1" spans="1:18">
      <c r="A665" s="87" t="str">
        <f t="shared" si="30"/>
        <v/>
      </c>
      <c r="B665" s="78"/>
      <c r="C665" s="80"/>
      <c r="D665" s="80"/>
      <c r="E665" s="79"/>
      <c r="F665" s="87" t="str">
        <f>IF($E665="","",IFERROR(INDEX(基础资料!$O$4:$O$34,MATCH($E665,基础资料!$N$4:$N$34,0))&amp;"",""))</f>
        <v/>
      </c>
      <c r="G665" s="87" t="str">
        <f>IF($E665="","",IFERROR(INDEX(基础资料!$P$4:$P$34,MATCH($E665,基础资料!$N$4:$N$34,0))&amp;"",""))</f>
        <v/>
      </c>
      <c r="H665" s="79"/>
      <c r="I665" s="88"/>
      <c r="J665" s="92"/>
      <c r="K665" s="93"/>
      <c r="L665" s="25" t="str">
        <f t="shared" si="31"/>
        <v/>
      </c>
      <c r="M665" s="94"/>
      <c r="N665" s="26" t="str">
        <f t="shared" si="32"/>
        <v/>
      </c>
      <c r="O665" s="80"/>
      <c r="P665" s="80"/>
      <c r="Q665" s="80"/>
      <c r="R665" s="80"/>
    </row>
    <row r="666" ht="18" customHeight="1" spans="1:18">
      <c r="A666" s="87" t="str">
        <f t="shared" si="30"/>
        <v/>
      </c>
      <c r="B666" s="78"/>
      <c r="C666" s="80"/>
      <c r="D666" s="80"/>
      <c r="E666" s="79"/>
      <c r="F666" s="87" t="str">
        <f>IF($E666="","",IFERROR(INDEX(基础资料!$O$4:$O$34,MATCH($E666,基础资料!$N$4:$N$34,0))&amp;"",""))</f>
        <v/>
      </c>
      <c r="G666" s="87" t="str">
        <f>IF($E666="","",IFERROR(INDEX(基础资料!$P$4:$P$34,MATCH($E666,基础资料!$N$4:$N$34,0))&amp;"",""))</f>
        <v/>
      </c>
      <c r="H666" s="79"/>
      <c r="I666" s="88"/>
      <c r="J666" s="92"/>
      <c r="K666" s="93"/>
      <c r="L666" s="25" t="str">
        <f t="shared" si="31"/>
        <v/>
      </c>
      <c r="M666" s="94"/>
      <c r="N666" s="26" t="str">
        <f t="shared" si="32"/>
        <v/>
      </c>
      <c r="O666" s="80"/>
      <c r="P666" s="80"/>
      <c r="Q666" s="80"/>
      <c r="R666" s="80"/>
    </row>
    <row r="667" ht="18" customHeight="1" spans="1:18">
      <c r="A667" s="87" t="str">
        <f t="shared" si="30"/>
        <v/>
      </c>
      <c r="B667" s="78"/>
      <c r="C667" s="80"/>
      <c r="D667" s="80"/>
      <c r="E667" s="79"/>
      <c r="F667" s="87" t="str">
        <f>IF($E667="","",IFERROR(INDEX(基础资料!$O$4:$O$34,MATCH($E667,基础资料!$N$4:$N$34,0))&amp;"",""))</f>
        <v/>
      </c>
      <c r="G667" s="87" t="str">
        <f>IF($E667="","",IFERROR(INDEX(基础资料!$P$4:$P$34,MATCH($E667,基础资料!$N$4:$N$34,0))&amp;"",""))</f>
        <v/>
      </c>
      <c r="H667" s="79"/>
      <c r="I667" s="88"/>
      <c r="J667" s="92"/>
      <c r="K667" s="93"/>
      <c r="L667" s="25" t="str">
        <f t="shared" si="31"/>
        <v/>
      </c>
      <c r="M667" s="94"/>
      <c r="N667" s="26" t="str">
        <f t="shared" si="32"/>
        <v/>
      </c>
      <c r="O667" s="80"/>
      <c r="P667" s="80"/>
      <c r="Q667" s="80"/>
      <c r="R667" s="80"/>
    </row>
    <row r="668" ht="18" customHeight="1" spans="1:18">
      <c r="A668" s="87" t="str">
        <f t="shared" si="30"/>
        <v/>
      </c>
      <c r="B668" s="78"/>
      <c r="C668" s="80"/>
      <c r="D668" s="80"/>
      <c r="E668" s="79"/>
      <c r="F668" s="87" t="str">
        <f>IF($E668="","",IFERROR(INDEX(基础资料!$O$4:$O$34,MATCH($E668,基础资料!$N$4:$N$34,0))&amp;"",""))</f>
        <v/>
      </c>
      <c r="G668" s="87" t="str">
        <f>IF($E668="","",IFERROR(INDEX(基础资料!$P$4:$P$34,MATCH($E668,基础资料!$N$4:$N$34,0))&amp;"",""))</f>
        <v/>
      </c>
      <c r="H668" s="79"/>
      <c r="I668" s="88"/>
      <c r="J668" s="92"/>
      <c r="K668" s="93"/>
      <c r="L668" s="25" t="str">
        <f t="shared" si="31"/>
        <v/>
      </c>
      <c r="M668" s="94"/>
      <c r="N668" s="26" t="str">
        <f t="shared" si="32"/>
        <v/>
      </c>
      <c r="O668" s="80"/>
      <c r="P668" s="80"/>
      <c r="Q668" s="80"/>
      <c r="R668" s="80"/>
    </row>
    <row r="669" ht="18" customHeight="1" spans="1:18">
      <c r="A669" s="87" t="str">
        <f t="shared" si="30"/>
        <v/>
      </c>
      <c r="B669" s="78"/>
      <c r="C669" s="80"/>
      <c r="D669" s="80"/>
      <c r="E669" s="79"/>
      <c r="F669" s="87" t="str">
        <f>IF($E669="","",IFERROR(INDEX(基础资料!$O$4:$O$34,MATCH($E669,基础资料!$N$4:$N$34,0))&amp;"",""))</f>
        <v/>
      </c>
      <c r="G669" s="87" t="str">
        <f>IF($E669="","",IFERROR(INDEX(基础资料!$P$4:$P$34,MATCH($E669,基础资料!$N$4:$N$34,0))&amp;"",""))</f>
        <v/>
      </c>
      <c r="H669" s="79"/>
      <c r="I669" s="88"/>
      <c r="J669" s="92"/>
      <c r="K669" s="93"/>
      <c r="L669" s="25" t="str">
        <f t="shared" si="31"/>
        <v/>
      </c>
      <c r="M669" s="94"/>
      <c r="N669" s="26" t="str">
        <f t="shared" si="32"/>
        <v/>
      </c>
      <c r="O669" s="80"/>
      <c r="P669" s="80"/>
      <c r="Q669" s="80"/>
      <c r="R669" s="80"/>
    </row>
    <row r="670" ht="18" customHeight="1" spans="1:18">
      <c r="A670" s="87" t="str">
        <f t="shared" si="30"/>
        <v/>
      </c>
      <c r="B670" s="78"/>
      <c r="C670" s="80"/>
      <c r="D670" s="80"/>
      <c r="E670" s="79"/>
      <c r="F670" s="87" t="str">
        <f>IF($E670="","",IFERROR(INDEX(基础资料!$O$4:$O$34,MATCH($E670,基础资料!$N$4:$N$34,0))&amp;"",""))</f>
        <v/>
      </c>
      <c r="G670" s="87" t="str">
        <f>IF($E670="","",IFERROR(INDEX(基础资料!$P$4:$P$34,MATCH($E670,基础资料!$N$4:$N$34,0))&amp;"",""))</f>
        <v/>
      </c>
      <c r="H670" s="79"/>
      <c r="I670" s="88"/>
      <c r="J670" s="92"/>
      <c r="K670" s="93"/>
      <c r="L670" s="25" t="str">
        <f t="shared" si="31"/>
        <v/>
      </c>
      <c r="M670" s="94"/>
      <c r="N670" s="26" t="str">
        <f t="shared" si="32"/>
        <v/>
      </c>
      <c r="O670" s="80"/>
      <c r="P670" s="80"/>
      <c r="Q670" s="80"/>
      <c r="R670" s="80"/>
    </row>
    <row r="671" ht="18" customHeight="1" spans="1:18">
      <c r="A671" s="87" t="str">
        <f t="shared" si="30"/>
        <v/>
      </c>
      <c r="B671" s="78"/>
      <c r="C671" s="80"/>
      <c r="D671" s="80"/>
      <c r="E671" s="79"/>
      <c r="F671" s="87" t="str">
        <f>IF($E671="","",IFERROR(INDEX(基础资料!$O$4:$O$34,MATCH($E671,基础资料!$N$4:$N$34,0))&amp;"",""))</f>
        <v/>
      </c>
      <c r="G671" s="87" t="str">
        <f>IF($E671="","",IFERROR(INDEX(基础资料!$P$4:$P$34,MATCH($E671,基础资料!$N$4:$N$34,0))&amp;"",""))</f>
        <v/>
      </c>
      <c r="H671" s="79"/>
      <c r="I671" s="88"/>
      <c r="J671" s="92"/>
      <c r="K671" s="93"/>
      <c r="L671" s="25" t="str">
        <f t="shared" si="31"/>
        <v/>
      </c>
      <c r="M671" s="94"/>
      <c r="N671" s="26" t="str">
        <f t="shared" si="32"/>
        <v/>
      </c>
      <c r="O671" s="80"/>
      <c r="P671" s="80"/>
      <c r="Q671" s="80"/>
      <c r="R671" s="80"/>
    </row>
    <row r="672" ht="18" customHeight="1" spans="1:18">
      <c r="A672" s="87" t="str">
        <f t="shared" si="30"/>
        <v/>
      </c>
      <c r="B672" s="78"/>
      <c r="C672" s="80"/>
      <c r="D672" s="80"/>
      <c r="E672" s="79"/>
      <c r="F672" s="87" t="str">
        <f>IF($E672="","",IFERROR(INDEX(基础资料!$O$4:$O$34,MATCH($E672,基础资料!$N$4:$N$34,0))&amp;"",""))</f>
        <v/>
      </c>
      <c r="G672" s="87" t="str">
        <f>IF($E672="","",IFERROR(INDEX(基础资料!$P$4:$P$34,MATCH($E672,基础资料!$N$4:$N$34,0))&amp;"",""))</f>
        <v/>
      </c>
      <c r="H672" s="79"/>
      <c r="I672" s="88"/>
      <c r="J672" s="92"/>
      <c r="K672" s="93"/>
      <c r="L672" s="25" t="str">
        <f t="shared" si="31"/>
        <v/>
      </c>
      <c r="M672" s="94"/>
      <c r="N672" s="26" t="str">
        <f t="shared" si="32"/>
        <v/>
      </c>
      <c r="O672" s="80"/>
      <c r="P672" s="80"/>
      <c r="Q672" s="80"/>
      <c r="R672" s="80"/>
    </row>
    <row r="673" ht="18" customHeight="1" spans="1:18">
      <c r="A673" s="87" t="str">
        <f t="shared" si="30"/>
        <v/>
      </c>
      <c r="B673" s="78"/>
      <c r="C673" s="80"/>
      <c r="D673" s="80"/>
      <c r="E673" s="79"/>
      <c r="F673" s="87" t="str">
        <f>IF($E673="","",IFERROR(INDEX(基础资料!$O$4:$O$34,MATCH($E673,基础资料!$N$4:$N$34,0))&amp;"",""))</f>
        <v/>
      </c>
      <c r="G673" s="87" t="str">
        <f>IF($E673="","",IFERROR(INDEX(基础资料!$P$4:$P$34,MATCH($E673,基础资料!$N$4:$N$34,0))&amp;"",""))</f>
        <v/>
      </c>
      <c r="H673" s="79"/>
      <c r="I673" s="88"/>
      <c r="J673" s="92"/>
      <c r="K673" s="93"/>
      <c r="L673" s="25" t="str">
        <f t="shared" si="31"/>
        <v/>
      </c>
      <c r="M673" s="94"/>
      <c r="N673" s="26" t="str">
        <f t="shared" si="32"/>
        <v/>
      </c>
      <c r="O673" s="80"/>
      <c r="P673" s="80"/>
      <c r="Q673" s="80"/>
      <c r="R673" s="80"/>
    </row>
    <row r="674" ht="18" customHeight="1" spans="1:18">
      <c r="A674" s="87" t="str">
        <f t="shared" si="30"/>
        <v/>
      </c>
      <c r="B674" s="78"/>
      <c r="C674" s="80"/>
      <c r="D674" s="80"/>
      <c r="E674" s="79"/>
      <c r="F674" s="87" t="str">
        <f>IF($E674="","",IFERROR(INDEX(基础资料!$O$4:$O$34,MATCH($E674,基础资料!$N$4:$N$34,0))&amp;"",""))</f>
        <v/>
      </c>
      <c r="G674" s="87" t="str">
        <f>IF($E674="","",IFERROR(INDEX(基础资料!$P$4:$P$34,MATCH($E674,基础资料!$N$4:$N$34,0))&amp;"",""))</f>
        <v/>
      </c>
      <c r="H674" s="79"/>
      <c r="I674" s="88"/>
      <c r="J674" s="92"/>
      <c r="K674" s="93"/>
      <c r="L674" s="25" t="str">
        <f t="shared" si="31"/>
        <v/>
      </c>
      <c r="M674" s="94"/>
      <c r="N674" s="26" t="str">
        <f t="shared" si="32"/>
        <v/>
      </c>
      <c r="O674" s="80"/>
      <c r="P674" s="80"/>
      <c r="Q674" s="80"/>
      <c r="R674" s="80"/>
    </row>
    <row r="675" ht="18" customHeight="1" spans="1:18">
      <c r="A675" s="87" t="str">
        <f t="shared" si="30"/>
        <v/>
      </c>
      <c r="B675" s="78"/>
      <c r="C675" s="80"/>
      <c r="D675" s="80"/>
      <c r="E675" s="79"/>
      <c r="F675" s="87" t="str">
        <f>IF($E675="","",IFERROR(INDEX(基础资料!$O$4:$O$34,MATCH($E675,基础资料!$N$4:$N$34,0))&amp;"",""))</f>
        <v/>
      </c>
      <c r="G675" s="87" t="str">
        <f>IF($E675="","",IFERROR(INDEX(基础资料!$P$4:$P$34,MATCH($E675,基础资料!$N$4:$N$34,0))&amp;"",""))</f>
        <v/>
      </c>
      <c r="H675" s="79"/>
      <c r="I675" s="88"/>
      <c r="J675" s="92"/>
      <c r="K675" s="93"/>
      <c r="L675" s="25" t="str">
        <f t="shared" si="31"/>
        <v/>
      </c>
      <c r="M675" s="94"/>
      <c r="N675" s="26" t="str">
        <f t="shared" si="32"/>
        <v/>
      </c>
      <c r="O675" s="80"/>
      <c r="P675" s="80"/>
      <c r="Q675" s="80"/>
      <c r="R675" s="80"/>
    </row>
    <row r="676" ht="18" customHeight="1" spans="1:18">
      <c r="A676" s="87" t="str">
        <f t="shared" si="30"/>
        <v/>
      </c>
      <c r="B676" s="78"/>
      <c r="C676" s="80"/>
      <c r="D676" s="80"/>
      <c r="E676" s="79"/>
      <c r="F676" s="87" t="str">
        <f>IF($E676="","",IFERROR(INDEX(基础资料!$O$4:$O$34,MATCH($E676,基础资料!$N$4:$N$34,0))&amp;"",""))</f>
        <v/>
      </c>
      <c r="G676" s="87" t="str">
        <f>IF($E676="","",IFERROR(INDEX(基础资料!$P$4:$P$34,MATCH($E676,基础资料!$N$4:$N$34,0))&amp;"",""))</f>
        <v/>
      </c>
      <c r="H676" s="79"/>
      <c r="I676" s="88"/>
      <c r="J676" s="92"/>
      <c r="K676" s="93"/>
      <c r="L676" s="25" t="str">
        <f t="shared" si="31"/>
        <v/>
      </c>
      <c r="M676" s="94"/>
      <c r="N676" s="26" t="str">
        <f t="shared" si="32"/>
        <v/>
      </c>
      <c r="O676" s="80"/>
      <c r="P676" s="80"/>
      <c r="Q676" s="80"/>
      <c r="R676" s="80"/>
    </row>
    <row r="677" ht="18" customHeight="1" spans="1:18">
      <c r="A677" s="87" t="str">
        <f t="shared" si="30"/>
        <v/>
      </c>
      <c r="B677" s="78"/>
      <c r="C677" s="80"/>
      <c r="D677" s="80"/>
      <c r="E677" s="79"/>
      <c r="F677" s="87" t="str">
        <f>IF($E677="","",IFERROR(INDEX(基础资料!$O$4:$O$34,MATCH($E677,基础资料!$N$4:$N$34,0))&amp;"",""))</f>
        <v/>
      </c>
      <c r="G677" s="87" t="str">
        <f>IF($E677="","",IFERROR(INDEX(基础资料!$P$4:$P$34,MATCH($E677,基础资料!$N$4:$N$34,0))&amp;"",""))</f>
        <v/>
      </c>
      <c r="H677" s="79"/>
      <c r="I677" s="88"/>
      <c r="J677" s="92"/>
      <c r="K677" s="93"/>
      <c r="L677" s="25" t="str">
        <f t="shared" si="31"/>
        <v/>
      </c>
      <c r="M677" s="94"/>
      <c r="N677" s="26" t="str">
        <f t="shared" si="32"/>
        <v/>
      </c>
      <c r="O677" s="80"/>
      <c r="P677" s="80"/>
      <c r="Q677" s="80"/>
      <c r="R677" s="80"/>
    </row>
    <row r="678" ht="18" customHeight="1" spans="1:18">
      <c r="A678" s="87" t="str">
        <f t="shared" si="30"/>
        <v/>
      </c>
      <c r="B678" s="78"/>
      <c r="C678" s="80"/>
      <c r="D678" s="80"/>
      <c r="E678" s="79"/>
      <c r="F678" s="87" t="str">
        <f>IF($E678="","",IFERROR(INDEX(基础资料!$O$4:$O$34,MATCH($E678,基础资料!$N$4:$N$34,0))&amp;"",""))</f>
        <v/>
      </c>
      <c r="G678" s="87" t="str">
        <f>IF($E678="","",IFERROR(INDEX(基础资料!$P$4:$P$34,MATCH($E678,基础资料!$N$4:$N$34,0))&amp;"",""))</f>
        <v/>
      </c>
      <c r="H678" s="79"/>
      <c r="I678" s="88"/>
      <c r="J678" s="92"/>
      <c r="K678" s="93"/>
      <c r="L678" s="25" t="str">
        <f t="shared" si="31"/>
        <v/>
      </c>
      <c r="M678" s="94"/>
      <c r="N678" s="26" t="str">
        <f t="shared" si="32"/>
        <v/>
      </c>
      <c r="O678" s="80"/>
      <c r="P678" s="80"/>
      <c r="Q678" s="80"/>
      <c r="R678" s="80"/>
    </row>
    <row r="679" ht="18" customHeight="1" spans="1:18">
      <c r="A679" s="87" t="str">
        <f t="shared" si="30"/>
        <v/>
      </c>
      <c r="B679" s="78"/>
      <c r="C679" s="80"/>
      <c r="D679" s="80"/>
      <c r="E679" s="79"/>
      <c r="F679" s="87" t="str">
        <f>IF($E679="","",IFERROR(INDEX(基础资料!$O$4:$O$34,MATCH($E679,基础资料!$N$4:$N$34,0))&amp;"",""))</f>
        <v/>
      </c>
      <c r="G679" s="87" t="str">
        <f>IF($E679="","",IFERROR(INDEX(基础资料!$P$4:$P$34,MATCH($E679,基础资料!$N$4:$N$34,0))&amp;"",""))</f>
        <v/>
      </c>
      <c r="H679" s="79"/>
      <c r="I679" s="88"/>
      <c r="J679" s="92"/>
      <c r="K679" s="93"/>
      <c r="L679" s="25" t="str">
        <f t="shared" si="31"/>
        <v/>
      </c>
      <c r="M679" s="94"/>
      <c r="N679" s="26" t="str">
        <f t="shared" si="32"/>
        <v/>
      </c>
      <c r="O679" s="80"/>
      <c r="P679" s="80"/>
      <c r="Q679" s="80"/>
      <c r="R679" s="80"/>
    </row>
    <row r="680" ht="18" customHeight="1" spans="1:18">
      <c r="A680" s="87" t="str">
        <f t="shared" si="30"/>
        <v/>
      </c>
      <c r="B680" s="78"/>
      <c r="C680" s="80"/>
      <c r="D680" s="80"/>
      <c r="E680" s="79"/>
      <c r="F680" s="87" t="str">
        <f>IF($E680="","",IFERROR(INDEX(基础资料!$O$4:$O$34,MATCH($E680,基础资料!$N$4:$N$34,0))&amp;"",""))</f>
        <v/>
      </c>
      <c r="G680" s="87" t="str">
        <f>IF($E680="","",IFERROR(INDEX(基础资料!$P$4:$P$34,MATCH($E680,基础资料!$N$4:$N$34,0))&amp;"",""))</f>
        <v/>
      </c>
      <c r="H680" s="79"/>
      <c r="I680" s="88"/>
      <c r="J680" s="92"/>
      <c r="K680" s="93"/>
      <c r="L680" s="25" t="str">
        <f t="shared" si="31"/>
        <v/>
      </c>
      <c r="M680" s="94"/>
      <c r="N680" s="26" t="str">
        <f t="shared" si="32"/>
        <v/>
      </c>
      <c r="O680" s="80"/>
      <c r="P680" s="80"/>
      <c r="Q680" s="80"/>
      <c r="R680" s="80"/>
    </row>
    <row r="681" ht="18" customHeight="1" spans="1:18">
      <c r="A681" s="87" t="str">
        <f t="shared" si="30"/>
        <v/>
      </c>
      <c r="B681" s="78"/>
      <c r="C681" s="80"/>
      <c r="D681" s="80"/>
      <c r="E681" s="79"/>
      <c r="F681" s="87" t="str">
        <f>IF($E681="","",IFERROR(INDEX(基础资料!$O$4:$O$34,MATCH($E681,基础资料!$N$4:$N$34,0))&amp;"",""))</f>
        <v/>
      </c>
      <c r="G681" s="87" t="str">
        <f>IF($E681="","",IFERROR(INDEX(基础资料!$P$4:$P$34,MATCH($E681,基础资料!$N$4:$N$34,0))&amp;"",""))</f>
        <v/>
      </c>
      <c r="H681" s="79"/>
      <c r="I681" s="88"/>
      <c r="J681" s="92"/>
      <c r="K681" s="93"/>
      <c r="L681" s="25" t="str">
        <f t="shared" si="31"/>
        <v/>
      </c>
      <c r="M681" s="94"/>
      <c r="N681" s="26" t="str">
        <f t="shared" si="32"/>
        <v/>
      </c>
      <c r="O681" s="80"/>
      <c r="P681" s="80"/>
      <c r="Q681" s="80"/>
      <c r="R681" s="80"/>
    </row>
    <row r="682" ht="18" customHeight="1" spans="1:18">
      <c r="A682" s="87" t="str">
        <f t="shared" si="30"/>
        <v/>
      </c>
      <c r="B682" s="78"/>
      <c r="C682" s="80"/>
      <c r="D682" s="80"/>
      <c r="E682" s="79"/>
      <c r="F682" s="87" t="str">
        <f>IF($E682="","",IFERROR(INDEX(基础资料!$O$4:$O$34,MATCH($E682,基础资料!$N$4:$N$34,0))&amp;"",""))</f>
        <v/>
      </c>
      <c r="G682" s="87" t="str">
        <f>IF($E682="","",IFERROR(INDEX(基础资料!$P$4:$P$34,MATCH($E682,基础资料!$N$4:$N$34,0))&amp;"",""))</f>
        <v/>
      </c>
      <c r="H682" s="79"/>
      <c r="I682" s="88"/>
      <c r="J682" s="92"/>
      <c r="K682" s="93"/>
      <c r="L682" s="25" t="str">
        <f t="shared" si="31"/>
        <v/>
      </c>
      <c r="M682" s="94"/>
      <c r="N682" s="26" t="str">
        <f t="shared" si="32"/>
        <v/>
      </c>
      <c r="O682" s="80"/>
      <c r="P682" s="80"/>
      <c r="Q682" s="80"/>
      <c r="R682" s="80"/>
    </row>
    <row r="683" ht="18" customHeight="1" spans="1:18">
      <c r="A683" s="87" t="str">
        <f t="shared" si="30"/>
        <v/>
      </c>
      <c r="B683" s="78"/>
      <c r="C683" s="80"/>
      <c r="D683" s="80"/>
      <c r="E683" s="79"/>
      <c r="F683" s="87" t="str">
        <f>IF($E683="","",IFERROR(INDEX(基础资料!$O$4:$O$34,MATCH($E683,基础资料!$N$4:$N$34,0))&amp;"",""))</f>
        <v/>
      </c>
      <c r="G683" s="87" t="str">
        <f>IF($E683="","",IFERROR(INDEX(基础资料!$P$4:$P$34,MATCH($E683,基础资料!$N$4:$N$34,0))&amp;"",""))</f>
        <v/>
      </c>
      <c r="H683" s="79"/>
      <c r="I683" s="88"/>
      <c r="J683" s="92"/>
      <c r="K683" s="93"/>
      <c r="L683" s="25" t="str">
        <f t="shared" si="31"/>
        <v/>
      </c>
      <c r="M683" s="94"/>
      <c r="N683" s="26" t="str">
        <f t="shared" si="32"/>
        <v/>
      </c>
      <c r="O683" s="80"/>
      <c r="P683" s="80"/>
      <c r="Q683" s="80"/>
      <c r="R683" s="80"/>
    </row>
    <row r="684" ht="18" customHeight="1" spans="1:18">
      <c r="A684" s="87" t="str">
        <f t="shared" si="30"/>
        <v/>
      </c>
      <c r="B684" s="78"/>
      <c r="C684" s="80"/>
      <c r="D684" s="80"/>
      <c r="E684" s="79"/>
      <c r="F684" s="87" t="str">
        <f>IF($E684="","",IFERROR(INDEX(基础资料!$O$4:$O$34,MATCH($E684,基础资料!$N$4:$N$34,0))&amp;"",""))</f>
        <v/>
      </c>
      <c r="G684" s="87" t="str">
        <f>IF($E684="","",IFERROR(INDEX(基础资料!$P$4:$P$34,MATCH($E684,基础资料!$N$4:$N$34,0))&amp;"",""))</f>
        <v/>
      </c>
      <c r="H684" s="79"/>
      <c r="I684" s="88"/>
      <c r="J684" s="92"/>
      <c r="K684" s="93"/>
      <c r="L684" s="25" t="str">
        <f t="shared" si="31"/>
        <v/>
      </c>
      <c r="M684" s="94"/>
      <c r="N684" s="26" t="str">
        <f t="shared" si="32"/>
        <v/>
      </c>
      <c r="O684" s="80"/>
      <c r="P684" s="80"/>
      <c r="Q684" s="80"/>
      <c r="R684" s="80"/>
    </row>
    <row r="685" ht="18" customHeight="1" spans="1:18">
      <c r="A685" s="87" t="str">
        <f t="shared" si="30"/>
        <v/>
      </c>
      <c r="B685" s="78"/>
      <c r="C685" s="80"/>
      <c r="D685" s="80"/>
      <c r="E685" s="79"/>
      <c r="F685" s="87" t="str">
        <f>IF($E685="","",IFERROR(INDEX(基础资料!$O$4:$O$34,MATCH($E685,基础资料!$N$4:$N$34,0))&amp;"",""))</f>
        <v/>
      </c>
      <c r="G685" s="87" t="str">
        <f>IF($E685="","",IFERROR(INDEX(基础资料!$P$4:$P$34,MATCH($E685,基础资料!$N$4:$N$34,0))&amp;"",""))</f>
        <v/>
      </c>
      <c r="H685" s="79"/>
      <c r="I685" s="88"/>
      <c r="J685" s="92"/>
      <c r="K685" s="93"/>
      <c r="L685" s="25" t="str">
        <f t="shared" si="31"/>
        <v/>
      </c>
      <c r="M685" s="94"/>
      <c r="N685" s="26" t="str">
        <f t="shared" si="32"/>
        <v/>
      </c>
      <c r="O685" s="80"/>
      <c r="P685" s="80"/>
      <c r="Q685" s="80"/>
      <c r="R685" s="80"/>
    </row>
    <row r="686" ht="18" customHeight="1" spans="1:18">
      <c r="A686" s="87" t="str">
        <f t="shared" si="30"/>
        <v/>
      </c>
      <c r="B686" s="78"/>
      <c r="C686" s="80"/>
      <c r="D686" s="80"/>
      <c r="E686" s="79"/>
      <c r="F686" s="87" t="str">
        <f>IF($E686="","",IFERROR(INDEX(基础资料!$O$4:$O$34,MATCH($E686,基础资料!$N$4:$N$34,0))&amp;"",""))</f>
        <v/>
      </c>
      <c r="G686" s="87" t="str">
        <f>IF($E686="","",IFERROR(INDEX(基础资料!$P$4:$P$34,MATCH($E686,基础资料!$N$4:$N$34,0))&amp;"",""))</f>
        <v/>
      </c>
      <c r="H686" s="79"/>
      <c r="I686" s="88"/>
      <c r="J686" s="92"/>
      <c r="K686" s="93"/>
      <c r="L686" s="25" t="str">
        <f t="shared" si="31"/>
        <v/>
      </c>
      <c r="M686" s="94"/>
      <c r="N686" s="26" t="str">
        <f t="shared" si="32"/>
        <v/>
      </c>
      <c r="O686" s="80"/>
      <c r="P686" s="80"/>
      <c r="Q686" s="80"/>
      <c r="R686" s="80"/>
    </row>
    <row r="687" ht="18" customHeight="1" spans="1:18">
      <c r="A687" s="87" t="str">
        <f t="shared" si="30"/>
        <v/>
      </c>
      <c r="B687" s="78"/>
      <c r="C687" s="80"/>
      <c r="D687" s="80"/>
      <c r="E687" s="79"/>
      <c r="F687" s="87" t="str">
        <f>IF($E687="","",IFERROR(INDEX(基础资料!$O$4:$O$34,MATCH($E687,基础资料!$N$4:$N$34,0))&amp;"",""))</f>
        <v/>
      </c>
      <c r="G687" s="87" t="str">
        <f>IF($E687="","",IFERROR(INDEX(基础资料!$P$4:$P$34,MATCH($E687,基础资料!$N$4:$N$34,0))&amp;"",""))</f>
        <v/>
      </c>
      <c r="H687" s="79"/>
      <c r="I687" s="88"/>
      <c r="J687" s="92"/>
      <c r="K687" s="93"/>
      <c r="L687" s="25" t="str">
        <f t="shared" si="31"/>
        <v/>
      </c>
      <c r="M687" s="94"/>
      <c r="N687" s="26" t="str">
        <f t="shared" si="32"/>
        <v/>
      </c>
      <c r="O687" s="80"/>
      <c r="P687" s="80"/>
      <c r="Q687" s="80"/>
      <c r="R687" s="80"/>
    </row>
    <row r="688" ht="18" customHeight="1" spans="1:18">
      <c r="A688" s="87" t="str">
        <f t="shared" si="30"/>
        <v/>
      </c>
      <c r="B688" s="78"/>
      <c r="C688" s="80"/>
      <c r="D688" s="80"/>
      <c r="E688" s="79"/>
      <c r="F688" s="87" t="str">
        <f>IF($E688="","",IFERROR(INDEX(基础资料!$O$4:$O$34,MATCH($E688,基础资料!$N$4:$N$34,0))&amp;"",""))</f>
        <v/>
      </c>
      <c r="G688" s="87" t="str">
        <f>IF($E688="","",IFERROR(INDEX(基础资料!$P$4:$P$34,MATCH($E688,基础资料!$N$4:$N$34,0))&amp;"",""))</f>
        <v/>
      </c>
      <c r="H688" s="79"/>
      <c r="I688" s="88"/>
      <c r="J688" s="92"/>
      <c r="K688" s="93"/>
      <c r="L688" s="25" t="str">
        <f t="shared" si="31"/>
        <v/>
      </c>
      <c r="M688" s="94"/>
      <c r="N688" s="26" t="str">
        <f t="shared" si="32"/>
        <v/>
      </c>
      <c r="O688" s="80"/>
      <c r="P688" s="80"/>
      <c r="Q688" s="80"/>
      <c r="R688" s="80"/>
    </row>
    <row r="689" ht="18" customHeight="1" spans="1:18">
      <c r="A689" s="87" t="str">
        <f t="shared" si="30"/>
        <v/>
      </c>
      <c r="B689" s="78"/>
      <c r="C689" s="80"/>
      <c r="D689" s="80"/>
      <c r="E689" s="79"/>
      <c r="F689" s="87" t="str">
        <f>IF($E689="","",IFERROR(INDEX(基础资料!$O$4:$O$34,MATCH($E689,基础资料!$N$4:$N$34,0))&amp;"",""))</f>
        <v/>
      </c>
      <c r="G689" s="87" t="str">
        <f>IF($E689="","",IFERROR(INDEX(基础资料!$P$4:$P$34,MATCH($E689,基础资料!$N$4:$N$34,0))&amp;"",""))</f>
        <v/>
      </c>
      <c r="H689" s="79"/>
      <c r="I689" s="88"/>
      <c r="J689" s="92"/>
      <c r="K689" s="93"/>
      <c r="L689" s="25" t="str">
        <f t="shared" si="31"/>
        <v/>
      </c>
      <c r="M689" s="94"/>
      <c r="N689" s="26" t="str">
        <f t="shared" si="32"/>
        <v/>
      </c>
      <c r="O689" s="80"/>
      <c r="P689" s="80"/>
      <c r="Q689" s="80"/>
      <c r="R689" s="80"/>
    </row>
    <row r="690" ht="18" customHeight="1" spans="1:18">
      <c r="A690" s="87" t="str">
        <f t="shared" si="30"/>
        <v/>
      </c>
      <c r="B690" s="78"/>
      <c r="C690" s="80"/>
      <c r="D690" s="80"/>
      <c r="E690" s="79"/>
      <c r="F690" s="87" t="str">
        <f>IF($E690="","",IFERROR(INDEX(基础资料!$O$4:$O$34,MATCH($E690,基础资料!$N$4:$N$34,0))&amp;"",""))</f>
        <v/>
      </c>
      <c r="G690" s="87" t="str">
        <f>IF($E690="","",IFERROR(INDEX(基础资料!$P$4:$P$34,MATCH($E690,基础资料!$N$4:$N$34,0))&amp;"",""))</f>
        <v/>
      </c>
      <c r="H690" s="79"/>
      <c r="I690" s="88"/>
      <c r="J690" s="92"/>
      <c r="K690" s="93"/>
      <c r="L690" s="25" t="str">
        <f t="shared" si="31"/>
        <v/>
      </c>
      <c r="M690" s="94"/>
      <c r="N690" s="26" t="str">
        <f t="shared" si="32"/>
        <v/>
      </c>
      <c r="O690" s="80"/>
      <c r="P690" s="80"/>
      <c r="Q690" s="80"/>
      <c r="R690" s="80"/>
    </row>
    <row r="691" ht="18" customHeight="1" spans="1:18">
      <c r="A691" s="87" t="str">
        <f t="shared" si="30"/>
        <v/>
      </c>
      <c r="B691" s="78"/>
      <c r="C691" s="80"/>
      <c r="D691" s="80"/>
      <c r="E691" s="79"/>
      <c r="F691" s="87" t="str">
        <f>IF($E691="","",IFERROR(INDEX(基础资料!$O$4:$O$34,MATCH($E691,基础资料!$N$4:$N$34,0))&amp;"",""))</f>
        <v/>
      </c>
      <c r="G691" s="87" t="str">
        <f>IF($E691="","",IFERROR(INDEX(基础资料!$P$4:$P$34,MATCH($E691,基础资料!$N$4:$N$34,0))&amp;"",""))</f>
        <v/>
      </c>
      <c r="H691" s="79"/>
      <c r="I691" s="88"/>
      <c r="J691" s="92"/>
      <c r="K691" s="93"/>
      <c r="L691" s="25" t="str">
        <f t="shared" si="31"/>
        <v/>
      </c>
      <c r="M691" s="94"/>
      <c r="N691" s="26" t="str">
        <f t="shared" si="32"/>
        <v/>
      </c>
      <c r="O691" s="80"/>
      <c r="P691" s="80"/>
      <c r="Q691" s="80"/>
      <c r="R691" s="80"/>
    </row>
    <row r="692" ht="18" customHeight="1" spans="1:18">
      <c r="A692" s="87" t="str">
        <f t="shared" si="30"/>
        <v/>
      </c>
      <c r="B692" s="78"/>
      <c r="C692" s="80"/>
      <c r="D692" s="80"/>
      <c r="E692" s="79"/>
      <c r="F692" s="87" t="str">
        <f>IF($E692="","",IFERROR(INDEX(基础资料!$O$4:$O$34,MATCH($E692,基础资料!$N$4:$N$34,0))&amp;"",""))</f>
        <v/>
      </c>
      <c r="G692" s="87" t="str">
        <f>IF($E692="","",IFERROR(INDEX(基础资料!$P$4:$P$34,MATCH($E692,基础资料!$N$4:$N$34,0))&amp;"",""))</f>
        <v/>
      </c>
      <c r="H692" s="79"/>
      <c r="I692" s="88"/>
      <c r="J692" s="92"/>
      <c r="K692" s="93"/>
      <c r="L692" s="25" t="str">
        <f t="shared" si="31"/>
        <v/>
      </c>
      <c r="M692" s="94"/>
      <c r="N692" s="26" t="str">
        <f t="shared" si="32"/>
        <v/>
      </c>
      <c r="O692" s="80"/>
      <c r="P692" s="80"/>
      <c r="Q692" s="80"/>
      <c r="R692" s="80"/>
    </row>
    <row r="693" ht="18" customHeight="1" spans="1:18">
      <c r="A693" s="87" t="str">
        <f t="shared" si="30"/>
        <v/>
      </c>
      <c r="B693" s="78"/>
      <c r="C693" s="80"/>
      <c r="D693" s="80"/>
      <c r="E693" s="79"/>
      <c r="F693" s="87" t="str">
        <f>IF($E693="","",IFERROR(INDEX(基础资料!$O$4:$O$34,MATCH($E693,基础资料!$N$4:$N$34,0))&amp;"",""))</f>
        <v/>
      </c>
      <c r="G693" s="87" t="str">
        <f>IF($E693="","",IFERROR(INDEX(基础资料!$P$4:$P$34,MATCH($E693,基础资料!$N$4:$N$34,0))&amp;"",""))</f>
        <v/>
      </c>
      <c r="H693" s="79"/>
      <c r="I693" s="88"/>
      <c r="J693" s="92"/>
      <c r="K693" s="93"/>
      <c r="L693" s="25" t="str">
        <f t="shared" si="31"/>
        <v/>
      </c>
      <c r="M693" s="94"/>
      <c r="N693" s="26" t="str">
        <f t="shared" si="32"/>
        <v/>
      </c>
      <c r="O693" s="80"/>
      <c r="P693" s="80"/>
      <c r="Q693" s="80"/>
      <c r="R693" s="80"/>
    </row>
    <row r="694" ht="18" customHeight="1" spans="1:18">
      <c r="A694" s="87" t="str">
        <f t="shared" si="30"/>
        <v/>
      </c>
      <c r="B694" s="78"/>
      <c r="C694" s="80"/>
      <c r="D694" s="80"/>
      <c r="E694" s="79"/>
      <c r="F694" s="87" t="str">
        <f>IF($E694="","",IFERROR(INDEX(基础资料!$O$4:$O$34,MATCH($E694,基础资料!$N$4:$N$34,0))&amp;"",""))</f>
        <v/>
      </c>
      <c r="G694" s="87" t="str">
        <f>IF($E694="","",IFERROR(INDEX(基础资料!$P$4:$P$34,MATCH($E694,基础资料!$N$4:$N$34,0))&amp;"",""))</f>
        <v/>
      </c>
      <c r="H694" s="79"/>
      <c r="I694" s="88"/>
      <c r="J694" s="92"/>
      <c r="K694" s="93"/>
      <c r="L694" s="25" t="str">
        <f t="shared" si="31"/>
        <v/>
      </c>
      <c r="M694" s="94"/>
      <c r="N694" s="26" t="str">
        <f t="shared" si="32"/>
        <v/>
      </c>
      <c r="O694" s="80"/>
      <c r="P694" s="80"/>
      <c r="Q694" s="80"/>
      <c r="R694" s="80"/>
    </row>
    <row r="695" ht="18" customHeight="1" spans="1:18">
      <c r="A695" s="87" t="str">
        <f t="shared" si="30"/>
        <v/>
      </c>
      <c r="B695" s="78"/>
      <c r="C695" s="80"/>
      <c r="D695" s="80"/>
      <c r="E695" s="79"/>
      <c r="F695" s="87" t="str">
        <f>IF($E695="","",IFERROR(INDEX(基础资料!$O$4:$O$34,MATCH($E695,基础资料!$N$4:$N$34,0))&amp;"",""))</f>
        <v/>
      </c>
      <c r="G695" s="87" t="str">
        <f>IF($E695="","",IFERROR(INDEX(基础资料!$P$4:$P$34,MATCH($E695,基础资料!$N$4:$N$34,0))&amp;"",""))</f>
        <v/>
      </c>
      <c r="H695" s="79"/>
      <c r="I695" s="88"/>
      <c r="J695" s="92"/>
      <c r="K695" s="93"/>
      <c r="L695" s="25" t="str">
        <f t="shared" si="31"/>
        <v/>
      </c>
      <c r="M695" s="94"/>
      <c r="N695" s="26" t="str">
        <f t="shared" si="32"/>
        <v/>
      </c>
      <c r="O695" s="80"/>
      <c r="P695" s="80"/>
      <c r="Q695" s="80"/>
      <c r="R695" s="80"/>
    </row>
    <row r="696" ht="18" customHeight="1" spans="1:18">
      <c r="A696" s="87" t="str">
        <f t="shared" si="30"/>
        <v/>
      </c>
      <c r="B696" s="78"/>
      <c r="C696" s="80"/>
      <c r="D696" s="80"/>
      <c r="E696" s="79"/>
      <c r="F696" s="87" t="str">
        <f>IF($E696="","",IFERROR(INDEX(基础资料!$O$4:$O$34,MATCH($E696,基础资料!$N$4:$N$34,0))&amp;"",""))</f>
        <v/>
      </c>
      <c r="G696" s="87" t="str">
        <f>IF($E696="","",IFERROR(INDEX(基础资料!$P$4:$P$34,MATCH($E696,基础资料!$N$4:$N$34,0))&amp;"",""))</f>
        <v/>
      </c>
      <c r="H696" s="79"/>
      <c r="I696" s="88"/>
      <c r="J696" s="92"/>
      <c r="K696" s="93"/>
      <c r="L696" s="25" t="str">
        <f t="shared" si="31"/>
        <v/>
      </c>
      <c r="M696" s="94"/>
      <c r="N696" s="26" t="str">
        <f t="shared" si="32"/>
        <v/>
      </c>
      <c r="O696" s="80"/>
      <c r="P696" s="80"/>
      <c r="Q696" s="80"/>
      <c r="R696" s="80"/>
    </row>
    <row r="697" ht="18" customHeight="1" spans="1:18">
      <c r="A697" s="87" t="str">
        <f t="shared" si="30"/>
        <v/>
      </c>
      <c r="B697" s="78"/>
      <c r="C697" s="80"/>
      <c r="D697" s="80"/>
      <c r="E697" s="79"/>
      <c r="F697" s="87" t="str">
        <f>IF($E697="","",IFERROR(INDEX(基础资料!$O$4:$O$34,MATCH($E697,基础资料!$N$4:$N$34,0))&amp;"",""))</f>
        <v/>
      </c>
      <c r="G697" s="87" t="str">
        <f>IF($E697="","",IFERROR(INDEX(基础资料!$P$4:$P$34,MATCH($E697,基础资料!$N$4:$N$34,0))&amp;"",""))</f>
        <v/>
      </c>
      <c r="H697" s="79"/>
      <c r="I697" s="88"/>
      <c r="J697" s="92"/>
      <c r="K697" s="93"/>
      <c r="L697" s="25" t="str">
        <f t="shared" si="31"/>
        <v/>
      </c>
      <c r="M697" s="94"/>
      <c r="N697" s="26" t="str">
        <f t="shared" si="32"/>
        <v/>
      </c>
      <c r="O697" s="80"/>
      <c r="P697" s="80"/>
      <c r="Q697" s="80"/>
      <c r="R697" s="80"/>
    </row>
    <row r="698" ht="18" customHeight="1" spans="1:18">
      <c r="A698" s="87" t="str">
        <f t="shared" si="30"/>
        <v/>
      </c>
      <c r="B698" s="78"/>
      <c r="C698" s="80"/>
      <c r="D698" s="80"/>
      <c r="E698" s="79"/>
      <c r="F698" s="87" t="str">
        <f>IF($E698="","",IFERROR(INDEX(基础资料!$O$4:$O$34,MATCH($E698,基础资料!$N$4:$N$34,0))&amp;"",""))</f>
        <v/>
      </c>
      <c r="G698" s="87" t="str">
        <f>IF($E698="","",IFERROR(INDEX(基础资料!$P$4:$P$34,MATCH($E698,基础资料!$N$4:$N$34,0))&amp;"",""))</f>
        <v/>
      </c>
      <c r="H698" s="79"/>
      <c r="I698" s="88"/>
      <c r="J698" s="92"/>
      <c r="K698" s="93"/>
      <c r="L698" s="25" t="str">
        <f t="shared" si="31"/>
        <v/>
      </c>
      <c r="M698" s="94"/>
      <c r="N698" s="26" t="str">
        <f t="shared" si="32"/>
        <v/>
      </c>
      <c r="O698" s="80"/>
      <c r="P698" s="80"/>
      <c r="Q698" s="80"/>
      <c r="R698" s="80"/>
    </row>
    <row r="699" ht="18" customHeight="1" spans="1:18">
      <c r="A699" s="87" t="str">
        <f t="shared" si="30"/>
        <v/>
      </c>
      <c r="B699" s="78"/>
      <c r="C699" s="80"/>
      <c r="D699" s="80"/>
      <c r="E699" s="79"/>
      <c r="F699" s="87" t="str">
        <f>IF($E699="","",IFERROR(INDEX(基础资料!$O$4:$O$34,MATCH($E699,基础资料!$N$4:$N$34,0))&amp;"",""))</f>
        <v/>
      </c>
      <c r="G699" s="87" t="str">
        <f>IF($E699="","",IFERROR(INDEX(基础资料!$P$4:$P$34,MATCH($E699,基础资料!$N$4:$N$34,0))&amp;"",""))</f>
        <v/>
      </c>
      <c r="H699" s="79"/>
      <c r="I699" s="88"/>
      <c r="J699" s="92"/>
      <c r="K699" s="93"/>
      <c r="L699" s="25" t="str">
        <f t="shared" si="31"/>
        <v/>
      </c>
      <c r="M699" s="94"/>
      <c r="N699" s="26" t="str">
        <f t="shared" si="32"/>
        <v/>
      </c>
      <c r="O699" s="80"/>
      <c r="P699" s="80"/>
      <c r="Q699" s="80"/>
      <c r="R699" s="80"/>
    </row>
    <row r="700" ht="18" customHeight="1" spans="1:18">
      <c r="A700" s="87" t="str">
        <f t="shared" si="30"/>
        <v/>
      </c>
      <c r="B700" s="78"/>
      <c r="C700" s="80"/>
      <c r="D700" s="80"/>
      <c r="E700" s="79"/>
      <c r="F700" s="87" t="str">
        <f>IF($E700="","",IFERROR(INDEX(基础资料!$O$4:$O$34,MATCH($E700,基础资料!$N$4:$N$34,0))&amp;"",""))</f>
        <v/>
      </c>
      <c r="G700" s="87" t="str">
        <f>IF($E700="","",IFERROR(INDEX(基础资料!$P$4:$P$34,MATCH($E700,基础资料!$N$4:$N$34,0))&amp;"",""))</f>
        <v/>
      </c>
      <c r="H700" s="79"/>
      <c r="I700" s="88"/>
      <c r="J700" s="92"/>
      <c r="K700" s="93"/>
      <c r="L700" s="25" t="str">
        <f t="shared" si="31"/>
        <v/>
      </c>
      <c r="M700" s="94"/>
      <c r="N700" s="26" t="str">
        <f t="shared" si="32"/>
        <v/>
      </c>
      <c r="O700" s="80"/>
      <c r="P700" s="80"/>
      <c r="Q700" s="80"/>
      <c r="R700" s="80"/>
    </row>
    <row r="701" ht="18" customHeight="1" spans="1:18">
      <c r="A701" s="87" t="str">
        <f t="shared" si="30"/>
        <v/>
      </c>
      <c r="B701" s="78"/>
      <c r="C701" s="80"/>
      <c r="D701" s="80"/>
      <c r="E701" s="79"/>
      <c r="F701" s="87" t="str">
        <f>IF($E701="","",IFERROR(INDEX(基础资料!$O$4:$O$34,MATCH($E701,基础资料!$N$4:$N$34,0))&amp;"",""))</f>
        <v/>
      </c>
      <c r="G701" s="87" t="str">
        <f>IF($E701="","",IFERROR(INDEX(基础资料!$P$4:$P$34,MATCH($E701,基础资料!$N$4:$N$34,0))&amp;"",""))</f>
        <v/>
      </c>
      <c r="H701" s="79"/>
      <c r="I701" s="88"/>
      <c r="J701" s="92"/>
      <c r="K701" s="93"/>
      <c r="L701" s="25" t="str">
        <f t="shared" si="31"/>
        <v/>
      </c>
      <c r="M701" s="94"/>
      <c r="N701" s="26" t="str">
        <f t="shared" si="32"/>
        <v/>
      </c>
      <c r="O701" s="80"/>
      <c r="P701" s="80"/>
      <c r="Q701" s="80"/>
      <c r="R701" s="80"/>
    </row>
    <row r="702" ht="18" customHeight="1" spans="1:18">
      <c r="A702" s="87" t="str">
        <f t="shared" si="30"/>
        <v/>
      </c>
      <c r="B702" s="78"/>
      <c r="C702" s="80"/>
      <c r="D702" s="80"/>
      <c r="E702" s="79"/>
      <c r="F702" s="87" t="str">
        <f>IF($E702="","",IFERROR(INDEX(基础资料!$O$4:$O$34,MATCH($E702,基础资料!$N$4:$N$34,0))&amp;"",""))</f>
        <v/>
      </c>
      <c r="G702" s="87" t="str">
        <f>IF($E702="","",IFERROR(INDEX(基础资料!$P$4:$P$34,MATCH($E702,基础资料!$N$4:$N$34,0))&amp;"",""))</f>
        <v/>
      </c>
      <c r="H702" s="79"/>
      <c r="I702" s="88"/>
      <c r="J702" s="92"/>
      <c r="K702" s="93"/>
      <c r="L702" s="25" t="str">
        <f t="shared" si="31"/>
        <v/>
      </c>
      <c r="M702" s="94"/>
      <c r="N702" s="26" t="str">
        <f t="shared" si="32"/>
        <v/>
      </c>
      <c r="O702" s="80"/>
      <c r="P702" s="80"/>
      <c r="Q702" s="80"/>
      <c r="R702" s="80"/>
    </row>
    <row r="703" ht="18" customHeight="1" spans="1:18">
      <c r="A703" s="87" t="str">
        <f t="shared" si="30"/>
        <v/>
      </c>
      <c r="B703" s="78"/>
      <c r="C703" s="80"/>
      <c r="D703" s="80"/>
      <c r="E703" s="79"/>
      <c r="F703" s="87" t="str">
        <f>IF($E703="","",IFERROR(INDEX(基础资料!$O$4:$O$34,MATCH($E703,基础资料!$N$4:$N$34,0))&amp;"",""))</f>
        <v/>
      </c>
      <c r="G703" s="87" t="str">
        <f>IF($E703="","",IFERROR(INDEX(基础资料!$P$4:$P$34,MATCH($E703,基础资料!$N$4:$N$34,0))&amp;"",""))</f>
        <v/>
      </c>
      <c r="H703" s="79"/>
      <c r="I703" s="88"/>
      <c r="J703" s="92"/>
      <c r="K703" s="93"/>
      <c r="L703" s="25" t="str">
        <f t="shared" si="31"/>
        <v/>
      </c>
      <c r="M703" s="94"/>
      <c r="N703" s="26" t="str">
        <f t="shared" si="32"/>
        <v/>
      </c>
      <c r="O703" s="80"/>
      <c r="P703" s="80"/>
      <c r="Q703" s="80"/>
      <c r="R703" s="80"/>
    </row>
    <row r="704" ht="18" customHeight="1" spans="1:18">
      <c r="A704" s="87" t="str">
        <f t="shared" si="30"/>
        <v/>
      </c>
      <c r="B704" s="78"/>
      <c r="C704" s="80"/>
      <c r="D704" s="80"/>
      <c r="E704" s="79"/>
      <c r="F704" s="87" t="str">
        <f>IF($E704="","",IFERROR(INDEX(基础资料!$O$4:$O$34,MATCH($E704,基础资料!$N$4:$N$34,0))&amp;"",""))</f>
        <v/>
      </c>
      <c r="G704" s="87" t="str">
        <f>IF($E704="","",IFERROR(INDEX(基础资料!$P$4:$P$34,MATCH($E704,基础资料!$N$4:$N$34,0))&amp;"",""))</f>
        <v/>
      </c>
      <c r="H704" s="79"/>
      <c r="I704" s="88"/>
      <c r="J704" s="92"/>
      <c r="K704" s="93"/>
      <c r="L704" s="25" t="str">
        <f t="shared" si="31"/>
        <v/>
      </c>
      <c r="M704" s="94"/>
      <c r="N704" s="26" t="str">
        <f t="shared" si="32"/>
        <v/>
      </c>
      <c r="O704" s="80"/>
      <c r="P704" s="80"/>
      <c r="Q704" s="80"/>
      <c r="R704" s="80"/>
    </row>
    <row r="705" ht="18" customHeight="1" spans="1:18">
      <c r="A705" s="87" t="str">
        <f t="shared" si="30"/>
        <v/>
      </c>
      <c r="B705" s="78"/>
      <c r="C705" s="80"/>
      <c r="D705" s="80"/>
      <c r="E705" s="79"/>
      <c r="F705" s="87" t="str">
        <f>IF($E705="","",IFERROR(INDEX(基础资料!$O$4:$O$34,MATCH($E705,基础资料!$N$4:$N$34,0))&amp;"",""))</f>
        <v/>
      </c>
      <c r="G705" s="87" t="str">
        <f>IF($E705="","",IFERROR(INDEX(基础资料!$P$4:$P$34,MATCH($E705,基础资料!$N$4:$N$34,0))&amp;"",""))</f>
        <v/>
      </c>
      <c r="H705" s="79"/>
      <c r="I705" s="88"/>
      <c r="J705" s="92"/>
      <c r="K705" s="93"/>
      <c r="L705" s="25" t="str">
        <f t="shared" si="31"/>
        <v/>
      </c>
      <c r="M705" s="94"/>
      <c r="N705" s="26" t="str">
        <f t="shared" si="32"/>
        <v/>
      </c>
      <c r="O705" s="80"/>
      <c r="P705" s="80"/>
      <c r="Q705" s="80"/>
      <c r="R705" s="80"/>
    </row>
    <row r="706" ht="18" customHeight="1" spans="1:18">
      <c r="A706" s="87" t="str">
        <f t="shared" si="30"/>
        <v/>
      </c>
      <c r="B706" s="78"/>
      <c r="C706" s="80"/>
      <c r="D706" s="80"/>
      <c r="E706" s="79"/>
      <c r="F706" s="87" t="str">
        <f>IF($E706="","",IFERROR(INDEX(基础资料!$O$4:$O$34,MATCH($E706,基础资料!$N$4:$N$34,0))&amp;"",""))</f>
        <v/>
      </c>
      <c r="G706" s="87" t="str">
        <f>IF($E706="","",IFERROR(INDEX(基础资料!$P$4:$P$34,MATCH($E706,基础资料!$N$4:$N$34,0))&amp;"",""))</f>
        <v/>
      </c>
      <c r="H706" s="79"/>
      <c r="I706" s="88"/>
      <c r="J706" s="92"/>
      <c r="K706" s="93"/>
      <c r="L706" s="25" t="str">
        <f t="shared" si="31"/>
        <v/>
      </c>
      <c r="M706" s="94"/>
      <c r="N706" s="26" t="str">
        <f t="shared" si="32"/>
        <v/>
      </c>
      <c r="O706" s="80"/>
      <c r="P706" s="80"/>
      <c r="Q706" s="80"/>
      <c r="R706" s="80"/>
    </row>
    <row r="707" ht="18" customHeight="1" spans="1:18">
      <c r="A707" s="87" t="str">
        <f t="shared" si="30"/>
        <v/>
      </c>
      <c r="B707" s="78"/>
      <c r="C707" s="80"/>
      <c r="D707" s="80"/>
      <c r="E707" s="79"/>
      <c r="F707" s="87" t="str">
        <f>IF($E707="","",IFERROR(INDEX(基础资料!$O$4:$O$34,MATCH($E707,基础资料!$N$4:$N$34,0))&amp;"",""))</f>
        <v/>
      </c>
      <c r="G707" s="87" t="str">
        <f>IF($E707="","",IFERROR(INDEX(基础资料!$P$4:$P$34,MATCH($E707,基础资料!$N$4:$N$34,0))&amp;"",""))</f>
        <v/>
      </c>
      <c r="H707" s="79"/>
      <c r="I707" s="88"/>
      <c r="J707" s="92"/>
      <c r="K707" s="93"/>
      <c r="L707" s="25" t="str">
        <f t="shared" si="31"/>
        <v/>
      </c>
      <c r="M707" s="94"/>
      <c r="N707" s="26" t="str">
        <f t="shared" si="32"/>
        <v/>
      </c>
      <c r="O707" s="80"/>
      <c r="P707" s="80"/>
      <c r="Q707" s="80"/>
      <c r="R707" s="80"/>
    </row>
    <row r="708" ht="18" customHeight="1" spans="1:18">
      <c r="A708" s="87" t="str">
        <f t="shared" ref="A708:A771" si="33">IF($E708="","",ROW()-3)</f>
        <v/>
      </c>
      <c r="B708" s="78"/>
      <c r="C708" s="80"/>
      <c r="D708" s="80"/>
      <c r="E708" s="79"/>
      <c r="F708" s="87" t="str">
        <f>IF($E708="","",IFERROR(INDEX(基础资料!$O$4:$O$34,MATCH($E708,基础资料!$N$4:$N$34,0))&amp;"",""))</f>
        <v/>
      </c>
      <c r="G708" s="87" t="str">
        <f>IF($E708="","",IFERROR(INDEX(基础资料!$P$4:$P$34,MATCH($E708,基础资料!$N$4:$N$34,0))&amp;"",""))</f>
        <v/>
      </c>
      <c r="H708" s="79"/>
      <c r="I708" s="88"/>
      <c r="J708" s="92"/>
      <c r="K708" s="93"/>
      <c r="L708" s="25" t="str">
        <f t="shared" ref="L708:L771" si="34">IF($E708="","",N($I708)+N($J708)-N($K708))</f>
        <v/>
      </c>
      <c r="M708" s="94"/>
      <c r="N708" s="26" t="str">
        <f t="shared" ref="N708:N771" si="35">IF($E708="","",ROUND(N($L708)*N($M708),2))</f>
        <v/>
      </c>
      <c r="O708" s="80"/>
      <c r="P708" s="80"/>
      <c r="Q708" s="80"/>
      <c r="R708" s="80"/>
    </row>
    <row r="709" ht="18" customHeight="1" spans="1:18">
      <c r="A709" s="87" t="str">
        <f t="shared" si="33"/>
        <v/>
      </c>
      <c r="B709" s="78"/>
      <c r="C709" s="80"/>
      <c r="D709" s="80"/>
      <c r="E709" s="79"/>
      <c r="F709" s="87" t="str">
        <f>IF($E709="","",IFERROR(INDEX(基础资料!$O$4:$O$34,MATCH($E709,基础资料!$N$4:$N$34,0))&amp;"",""))</f>
        <v/>
      </c>
      <c r="G709" s="87" t="str">
        <f>IF($E709="","",IFERROR(INDEX(基础资料!$P$4:$P$34,MATCH($E709,基础资料!$N$4:$N$34,0))&amp;"",""))</f>
        <v/>
      </c>
      <c r="H709" s="79"/>
      <c r="I709" s="88"/>
      <c r="J709" s="92"/>
      <c r="K709" s="93"/>
      <c r="L709" s="25" t="str">
        <f t="shared" si="34"/>
        <v/>
      </c>
      <c r="M709" s="94"/>
      <c r="N709" s="26" t="str">
        <f t="shared" si="35"/>
        <v/>
      </c>
      <c r="O709" s="80"/>
      <c r="P709" s="80"/>
      <c r="Q709" s="80"/>
      <c r="R709" s="80"/>
    </row>
    <row r="710" ht="18" customHeight="1" spans="1:18">
      <c r="A710" s="87" t="str">
        <f t="shared" si="33"/>
        <v/>
      </c>
      <c r="B710" s="78"/>
      <c r="C710" s="80"/>
      <c r="D710" s="80"/>
      <c r="E710" s="79"/>
      <c r="F710" s="87" t="str">
        <f>IF($E710="","",IFERROR(INDEX(基础资料!$O$4:$O$34,MATCH($E710,基础资料!$N$4:$N$34,0))&amp;"",""))</f>
        <v/>
      </c>
      <c r="G710" s="87" t="str">
        <f>IF($E710="","",IFERROR(INDEX(基础资料!$P$4:$P$34,MATCH($E710,基础资料!$N$4:$N$34,0))&amp;"",""))</f>
        <v/>
      </c>
      <c r="H710" s="79"/>
      <c r="I710" s="88"/>
      <c r="J710" s="92"/>
      <c r="K710" s="93"/>
      <c r="L710" s="25" t="str">
        <f t="shared" si="34"/>
        <v/>
      </c>
      <c r="M710" s="94"/>
      <c r="N710" s="26" t="str">
        <f t="shared" si="35"/>
        <v/>
      </c>
      <c r="O710" s="80"/>
      <c r="P710" s="80"/>
      <c r="Q710" s="80"/>
      <c r="R710" s="80"/>
    </row>
    <row r="711" ht="18" customHeight="1" spans="1:18">
      <c r="A711" s="87" t="str">
        <f t="shared" si="33"/>
        <v/>
      </c>
      <c r="B711" s="78"/>
      <c r="C711" s="80"/>
      <c r="D711" s="80"/>
      <c r="E711" s="79"/>
      <c r="F711" s="87" t="str">
        <f>IF($E711="","",IFERROR(INDEX(基础资料!$O$4:$O$34,MATCH($E711,基础资料!$N$4:$N$34,0))&amp;"",""))</f>
        <v/>
      </c>
      <c r="G711" s="87" t="str">
        <f>IF($E711="","",IFERROR(INDEX(基础资料!$P$4:$P$34,MATCH($E711,基础资料!$N$4:$N$34,0))&amp;"",""))</f>
        <v/>
      </c>
      <c r="H711" s="79"/>
      <c r="I711" s="88"/>
      <c r="J711" s="92"/>
      <c r="K711" s="93"/>
      <c r="L711" s="25" t="str">
        <f t="shared" si="34"/>
        <v/>
      </c>
      <c r="M711" s="94"/>
      <c r="N711" s="26" t="str">
        <f t="shared" si="35"/>
        <v/>
      </c>
      <c r="O711" s="80"/>
      <c r="P711" s="80"/>
      <c r="Q711" s="80"/>
      <c r="R711" s="80"/>
    </row>
    <row r="712" ht="18" customHeight="1" spans="1:18">
      <c r="A712" s="87" t="str">
        <f t="shared" si="33"/>
        <v/>
      </c>
      <c r="B712" s="78"/>
      <c r="C712" s="80"/>
      <c r="D712" s="80"/>
      <c r="E712" s="79"/>
      <c r="F712" s="87" t="str">
        <f>IF($E712="","",IFERROR(INDEX(基础资料!$O$4:$O$34,MATCH($E712,基础资料!$N$4:$N$34,0))&amp;"",""))</f>
        <v/>
      </c>
      <c r="G712" s="87" t="str">
        <f>IF($E712="","",IFERROR(INDEX(基础资料!$P$4:$P$34,MATCH($E712,基础资料!$N$4:$N$34,0))&amp;"",""))</f>
        <v/>
      </c>
      <c r="H712" s="79"/>
      <c r="I712" s="88"/>
      <c r="J712" s="92"/>
      <c r="K712" s="93"/>
      <c r="L712" s="25" t="str">
        <f t="shared" si="34"/>
        <v/>
      </c>
      <c r="M712" s="94"/>
      <c r="N712" s="26" t="str">
        <f t="shared" si="35"/>
        <v/>
      </c>
      <c r="O712" s="80"/>
      <c r="P712" s="80"/>
      <c r="Q712" s="80"/>
      <c r="R712" s="80"/>
    </row>
    <row r="713" ht="18" customHeight="1" spans="1:18">
      <c r="A713" s="87" t="str">
        <f t="shared" si="33"/>
        <v/>
      </c>
      <c r="B713" s="78"/>
      <c r="C713" s="80"/>
      <c r="D713" s="80"/>
      <c r="E713" s="79"/>
      <c r="F713" s="87" t="str">
        <f>IF($E713="","",IFERROR(INDEX(基础资料!$O$4:$O$34,MATCH($E713,基础资料!$N$4:$N$34,0))&amp;"",""))</f>
        <v/>
      </c>
      <c r="G713" s="87" t="str">
        <f>IF($E713="","",IFERROR(INDEX(基础资料!$P$4:$P$34,MATCH($E713,基础资料!$N$4:$N$34,0))&amp;"",""))</f>
        <v/>
      </c>
      <c r="H713" s="79"/>
      <c r="I713" s="88"/>
      <c r="J713" s="92"/>
      <c r="K713" s="93"/>
      <c r="L713" s="25" t="str">
        <f t="shared" si="34"/>
        <v/>
      </c>
      <c r="M713" s="94"/>
      <c r="N713" s="26" t="str">
        <f t="shared" si="35"/>
        <v/>
      </c>
      <c r="O713" s="80"/>
      <c r="P713" s="80"/>
      <c r="Q713" s="80"/>
      <c r="R713" s="80"/>
    </row>
    <row r="714" ht="18" customHeight="1" spans="1:18">
      <c r="A714" s="87" t="str">
        <f t="shared" si="33"/>
        <v/>
      </c>
      <c r="B714" s="78"/>
      <c r="C714" s="80"/>
      <c r="D714" s="80"/>
      <c r="E714" s="79"/>
      <c r="F714" s="87" t="str">
        <f>IF($E714="","",IFERROR(INDEX(基础资料!$O$4:$O$34,MATCH($E714,基础资料!$N$4:$N$34,0))&amp;"",""))</f>
        <v/>
      </c>
      <c r="G714" s="87" t="str">
        <f>IF($E714="","",IFERROR(INDEX(基础资料!$P$4:$P$34,MATCH($E714,基础资料!$N$4:$N$34,0))&amp;"",""))</f>
        <v/>
      </c>
      <c r="H714" s="79"/>
      <c r="I714" s="88"/>
      <c r="J714" s="92"/>
      <c r="K714" s="93"/>
      <c r="L714" s="25" t="str">
        <f t="shared" si="34"/>
        <v/>
      </c>
      <c r="M714" s="94"/>
      <c r="N714" s="26" t="str">
        <f t="shared" si="35"/>
        <v/>
      </c>
      <c r="O714" s="80"/>
      <c r="P714" s="80"/>
      <c r="Q714" s="80"/>
      <c r="R714" s="80"/>
    </row>
    <row r="715" ht="18" customHeight="1" spans="1:18">
      <c r="A715" s="87" t="str">
        <f t="shared" si="33"/>
        <v/>
      </c>
      <c r="B715" s="78"/>
      <c r="C715" s="80"/>
      <c r="D715" s="80"/>
      <c r="E715" s="79"/>
      <c r="F715" s="87" t="str">
        <f>IF($E715="","",IFERROR(INDEX(基础资料!$O$4:$O$34,MATCH($E715,基础资料!$N$4:$N$34,0))&amp;"",""))</f>
        <v/>
      </c>
      <c r="G715" s="87" t="str">
        <f>IF($E715="","",IFERROR(INDEX(基础资料!$P$4:$P$34,MATCH($E715,基础资料!$N$4:$N$34,0))&amp;"",""))</f>
        <v/>
      </c>
      <c r="H715" s="79"/>
      <c r="I715" s="88"/>
      <c r="J715" s="92"/>
      <c r="K715" s="93"/>
      <c r="L715" s="25" t="str">
        <f t="shared" si="34"/>
        <v/>
      </c>
      <c r="M715" s="94"/>
      <c r="N715" s="26" t="str">
        <f t="shared" si="35"/>
        <v/>
      </c>
      <c r="O715" s="80"/>
      <c r="P715" s="80"/>
      <c r="Q715" s="80"/>
      <c r="R715" s="80"/>
    </row>
    <row r="716" ht="18" customHeight="1" spans="1:18">
      <c r="A716" s="87" t="str">
        <f t="shared" si="33"/>
        <v/>
      </c>
      <c r="B716" s="78"/>
      <c r="C716" s="80"/>
      <c r="D716" s="80"/>
      <c r="E716" s="79"/>
      <c r="F716" s="87" t="str">
        <f>IF($E716="","",IFERROR(INDEX(基础资料!$O$4:$O$34,MATCH($E716,基础资料!$N$4:$N$34,0))&amp;"",""))</f>
        <v/>
      </c>
      <c r="G716" s="87" t="str">
        <f>IF($E716="","",IFERROR(INDEX(基础资料!$P$4:$P$34,MATCH($E716,基础资料!$N$4:$N$34,0))&amp;"",""))</f>
        <v/>
      </c>
      <c r="H716" s="79"/>
      <c r="I716" s="88"/>
      <c r="J716" s="92"/>
      <c r="K716" s="93"/>
      <c r="L716" s="25" t="str">
        <f t="shared" si="34"/>
        <v/>
      </c>
      <c r="M716" s="94"/>
      <c r="N716" s="26" t="str">
        <f t="shared" si="35"/>
        <v/>
      </c>
      <c r="O716" s="80"/>
      <c r="P716" s="80"/>
      <c r="Q716" s="80"/>
      <c r="R716" s="80"/>
    </row>
    <row r="717" ht="18" customHeight="1" spans="1:18">
      <c r="A717" s="87" t="str">
        <f t="shared" si="33"/>
        <v/>
      </c>
      <c r="B717" s="78"/>
      <c r="C717" s="80"/>
      <c r="D717" s="80"/>
      <c r="E717" s="79"/>
      <c r="F717" s="87" t="str">
        <f>IF($E717="","",IFERROR(INDEX(基础资料!$O$4:$O$34,MATCH($E717,基础资料!$N$4:$N$34,0))&amp;"",""))</f>
        <v/>
      </c>
      <c r="G717" s="87" t="str">
        <f>IF($E717="","",IFERROR(INDEX(基础资料!$P$4:$P$34,MATCH($E717,基础资料!$N$4:$N$34,0))&amp;"",""))</f>
        <v/>
      </c>
      <c r="H717" s="79"/>
      <c r="I717" s="88"/>
      <c r="J717" s="92"/>
      <c r="K717" s="93"/>
      <c r="L717" s="25" t="str">
        <f t="shared" si="34"/>
        <v/>
      </c>
      <c r="M717" s="94"/>
      <c r="N717" s="26" t="str">
        <f t="shared" si="35"/>
        <v/>
      </c>
      <c r="O717" s="80"/>
      <c r="P717" s="80"/>
      <c r="Q717" s="80"/>
      <c r="R717" s="80"/>
    </row>
    <row r="718" ht="18" customHeight="1" spans="1:18">
      <c r="A718" s="87" t="str">
        <f t="shared" si="33"/>
        <v/>
      </c>
      <c r="B718" s="78"/>
      <c r="C718" s="80"/>
      <c r="D718" s="80"/>
      <c r="E718" s="79"/>
      <c r="F718" s="87" t="str">
        <f>IF($E718="","",IFERROR(INDEX(基础资料!$O$4:$O$34,MATCH($E718,基础资料!$N$4:$N$34,0))&amp;"",""))</f>
        <v/>
      </c>
      <c r="G718" s="87" t="str">
        <f>IF($E718="","",IFERROR(INDEX(基础资料!$P$4:$P$34,MATCH($E718,基础资料!$N$4:$N$34,0))&amp;"",""))</f>
        <v/>
      </c>
      <c r="H718" s="79"/>
      <c r="I718" s="88"/>
      <c r="J718" s="92"/>
      <c r="K718" s="93"/>
      <c r="L718" s="25" t="str">
        <f t="shared" si="34"/>
        <v/>
      </c>
      <c r="M718" s="94"/>
      <c r="N718" s="26" t="str">
        <f t="shared" si="35"/>
        <v/>
      </c>
      <c r="O718" s="80"/>
      <c r="P718" s="80"/>
      <c r="Q718" s="80"/>
      <c r="R718" s="80"/>
    </row>
    <row r="719" ht="18" customHeight="1" spans="1:18">
      <c r="A719" s="87" t="str">
        <f t="shared" si="33"/>
        <v/>
      </c>
      <c r="B719" s="78"/>
      <c r="C719" s="80"/>
      <c r="D719" s="80"/>
      <c r="E719" s="79"/>
      <c r="F719" s="87" t="str">
        <f>IF($E719="","",IFERROR(INDEX(基础资料!$O$4:$O$34,MATCH($E719,基础资料!$N$4:$N$34,0))&amp;"",""))</f>
        <v/>
      </c>
      <c r="G719" s="87" t="str">
        <f>IF($E719="","",IFERROR(INDEX(基础资料!$P$4:$P$34,MATCH($E719,基础资料!$N$4:$N$34,0))&amp;"",""))</f>
        <v/>
      </c>
      <c r="H719" s="79"/>
      <c r="I719" s="88"/>
      <c r="J719" s="92"/>
      <c r="K719" s="93"/>
      <c r="L719" s="25" t="str">
        <f t="shared" si="34"/>
        <v/>
      </c>
      <c r="M719" s="94"/>
      <c r="N719" s="26" t="str">
        <f t="shared" si="35"/>
        <v/>
      </c>
      <c r="O719" s="80"/>
      <c r="P719" s="80"/>
      <c r="Q719" s="80"/>
      <c r="R719" s="80"/>
    </row>
    <row r="720" ht="18" customHeight="1" spans="1:18">
      <c r="A720" s="87" t="str">
        <f t="shared" si="33"/>
        <v/>
      </c>
      <c r="B720" s="78"/>
      <c r="C720" s="80"/>
      <c r="D720" s="80"/>
      <c r="E720" s="79"/>
      <c r="F720" s="87" t="str">
        <f>IF($E720="","",IFERROR(INDEX(基础资料!$O$4:$O$34,MATCH($E720,基础资料!$N$4:$N$34,0))&amp;"",""))</f>
        <v/>
      </c>
      <c r="G720" s="87" t="str">
        <f>IF($E720="","",IFERROR(INDEX(基础资料!$P$4:$P$34,MATCH($E720,基础资料!$N$4:$N$34,0))&amp;"",""))</f>
        <v/>
      </c>
      <c r="H720" s="79"/>
      <c r="I720" s="88"/>
      <c r="J720" s="92"/>
      <c r="K720" s="93"/>
      <c r="L720" s="25" t="str">
        <f t="shared" si="34"/>
        <v/>
      </c>
      <c r="M720" s="94"/>
      <c r="N720" s="26" t="str">
        <f t="shared" si="35"/>
        <v/>
      </c>
      <c r="O720" s="80"/>
      <c r="P720" s="80"/>
      <c r="Q720" s="80"/>
      <c r="R720" s="80"/>
    </row>
    <row r="721" ht="18" customHeight="1" spans="1:18">
      <c r="A721" s="87" t="str">
        <f t="shared" si="33"/>
        <v/>
      </c>
      <c r="B721" s="78"/>
      <c r="C721" s="80"/>
      <c r="D721" s="80"/>
      <c r="E721" s="79"/>
      <c r="F721" s="87" t="str">
        <f>IF($E721="","",IFERROR(INDEX(基础资料!$O$4:$O$34,MATCH($E721,基础资料!$N$4:$N$34,0))&amp;"",""))</f>
        <v/>
      </c>
      <c r="G721" s="87" t="str">
        <f>IF($E721="","",IFERROR(INDEX(基础资料!$P$4:$P$34,MATCH($E721,基础资料!$N$4:$N$34,0))&amp;"",""))</f>
        <v/>
      </c>
      <c r="H721" s="79"/>
      <c r="I721" s="88"/>
      <c r="J721" s="92"/>
      <c r="K721" s="93"/>
      <c r="L721" s="25" t="str">
        <f t="shared" si="34"/>
        <v/>
      </c>
      <c r="M721" s="94"/>
      <c r="N721" s="26" t="str">
        <f t="shared" si="35"/>
        <v/>
      </c>
      <c r="O721" s="80"/>
      <c r="P721" s="80"/>
      <c r="Q721" s="80"/>
      <c r="R721" s="80"/>
    </row>
    <row r="722" ht="18" customHeight="1" spans="1:18">
      <c r="A722" s="87" t="str">
        <f t="shared" si="33"/>
        <v/>
      </c>
      <c r="B722" s="78"/>
      <c r="C722" s="80"/>
      <c r="D722" s="80"/>
      <c r="E722" s="79"/>
      <c r="F722" s="87" t="str">
        <f>IF($E722="","",IFERROR(INDEX(基础资料!$O$4:$O$34,MATCH($E722,基础资料!$N$4:$N$34,0))&amp;"",""))</f>
        <v/>
      </c>
      <c r="G722" s="87" t="str">
        <f>IF($E722="","",IFERROR(INDEX(基础资料!$P$4:$P$34,MATCH($E722,基础资料!$N$4:$N$34,0))&amp;"",""))</f>
        <v/>
      </c>
      <c r="H722" s="79"/>
      <c r="I722" s="88"/>
      <c r="J722" s="92"/>
      <c r="K722" s="93"/>
      <c r="L722" s="25" t="str">
        <f t="shared" si="34"/>
        <v/>
      </c>
      <c r="M722" s="94"/>
      <c r="N722" s="26" t="str">
        <f t="shared" si="35"/>
        <v/>
      </c>
      <c r="O722" s="80"/>
      <c r="P722" s="80"/>
      <c r="Q722" s="80"/>
      <c r="R722" s="80"/>
    </row>
    <row r="723" ht="18" customHeight="1" spans="1:18">
      <c r="A723" s="87" t="str">
        <f t="shared" si="33"/>
        <v/>
      </c>
      <c r="B723" s="78"/>
      <c r="C723" s="80"/>
      <c r="D723" s="80"/>
      <c r="E723" s="79"/>
      <c r="F723" s="87" t="str">
        <f>IF($E723="","",IFERROR(INDEX(基础资料!$O$4:$O$34,MATCH($E723,基础资料!$N$4:$N$34,0))&amp;"",""))</f>
        <v/>
      </c>
      <c r="G723" s="87" t="str">
        <f>IF($E723="","",IFERROR(INDEX(基础资料!$P$4:$P$34,MATCH($E723,基础资料!$N$4:$N$34,0))&amp;"",""))</f>
        <v/>
      </c>
      <c r="H723" s="79"/>
      <c r="I723" s="88"/>
      <c r="J723" s="92"/>
      <c r="K723" s="93"/>
      <c r="L723" s="25" t="str">
        <f t="shared" si="34"/>
        <v/>
      </c>
      <c r="M723" s="94"/>
      <c r="N723" s="26" t="str">
        <f t="shared" si="35"/>
        <v/>
      </c>
      <c r="O723" s="80"/>
      <c r="P723" s="80"/>
      <c r="Q723" s="80"/>
      <c r="R723" s="80"/>
    </row>
    <row r="724" ht="18" customHeight="1" spans="1:18">
      <c r="A724" s="87" t="str">
        <f t="shared" si="33"/>
        <v/>
      </c>
      <c r="B724" s="78"/>
      <c r="C724" s="80"/>
      <c r="D724" s="80"/>
      <c r="E724" s="79"/>
      <c r="F724" s="87" t="str">
        <f>IF($E724="","",IFERROR(INDEX(基础资料!$O$4:$O$34,MATCH($E724,基础资料!$N$4:$N$34,0))&amp;"",""))</f>
        <v/>
      </c>
      <c r="G724" s="87" t="str">
        <f>IF($E724="","",IFERROR(INDEX(基础资料!$P$4:$P$34,MATCH($E724,基础资料!$N$4:$N$34,0))&amp;"",""))</f>
        <v/>
      </c>
      <c r="H724" s="79"/>
      <c r="I724" s="88"/>
      <c r="J724" s="92"/>
      <c r="K724" s="93"/>
      <c r="L724" s="25" t="str">
        <f t="shared" si="34"/>
        <v/>
      </c>
      <c r="M724" s="94"/>
      <c r="N724" s="26" t="str">
        <f t="shared" si="35"/>
        <v/>
      </c>
      <c r="O724" s="80"/>
      <c r="P724" s="80"/>
      <c r="Q724" s="80"/>
      <c r="R724" s="80"/>
    </row>
    <row r="725" ht="18" customHeight="1" spans="1:18">
      <c r="A725" s="87" t="str">
        <f t="shared" si="33"/>
        <v/>
      </c>
      <c r="B725" s="78"/>
      <c r="C725" s="80"/>
      <c r="D725" s="80"/>
      <c r="E725" s="79"/>
      <c r="F725" s="87" t="str">
        <f>IF($E725="","",IFERROR(INDEX(基础资料!$O$4:$O$34,MATCH($E725,基础资料!$N$4:$N$34,0))&amp;"",""))</f>
        <v/>
      </c>
      <c r="G725" s="87" t="str">
        <f>IF($E725="","",IFERROR(INDEX(基础资料!$P$4:$P$34,MATCH($E725,基础资料!$N$4:$N$34,0))&amp;"",""))</f>
        <v/>
      </c>
      <c r="H725" s="79"/>
      <c r="I725" s="88"/>
      <c r="J725" s="92"/>
      <c r="K725" s="93"/>
      <c r="L725" s="25" t="str">
        <f t="shared" si="34"/>
        <v/>
      </c>
      <c r="M725" s="94"/>
      <c r="N725" s="26" t="str">
        <f t="shared" si="35"/>
        <v/>
      </c>
      <c r="O725" s="80"/>
      <c r="P725" s="80"/>
      <c r="Q725" s="80"/>
      <c r="R725" s="80"/>
    </row>
    <row r="726" ht="18" customHeight="1" spans="1:18">
      <c r="A726" s="87" t="str">
        <f t="shared" si="33"/>
        <v/>
      </c>
      <c r="B726" s="78"/>
      <c r="C726" s="80"/>
      <c r="D726" s="80"/>
      <c r="E726" s="79"/>
      <c r="F726" s="87" t="str">
        <f>IF($E726="","",IFERROR(INDEX(基础资料!$O$4:$O$34,MATCH($E726,基础资料!$N$4:$N$34,0))&amp;"",""))</f>
        <v/>
      </c>
      <c r="G726" s="87" t="str">
        <f>IF($E726="","",IFERROR(INDEX(基础资料!$P$4:$P$34,MATCH($E726,基础资料!$N$4:$N$34,0))&amp;"",""))</f>
        <v/>
      </c>
      <c r="H726" s="79"/>
      <c r="I726" s="88"/>
      <c r="J726" s="92"/>
      <c r="K726" s="93"/>
      <c r="L726" s="25" t="str">
        <f t="shared" si="34"/>
        <v/>
      </c>
      <c r="M726" s="94"/>
      <c r="N726" s="26" t="str">
        <f t="shared" si="35"/>
        <v/>
      </c>
      <c r="O726" s="80"/>
      <c r="P726" s="80"/>
      <c r="Q726" s="80"/>
      <c r="R726" s="80"/>
    </row>
    <row r="727" ht="18" customHeight="1" spans="1:18">
      <c r="A727" s="87" t="str">
        <f t="shared" si="33"/>
        <v/>
      </c>
      <c r="B727" s="78"/>
      <c r="C727" s="80"/>
      <c r="D727" s="80"/>
      <c r="E727" s="79"/>
      <c r="F727" s="87" t="str">
        <f>IF($E727="","",IFERROR(INDEX(基础资料!$O$4:$O$34,MATCH($E727,基础资料!$N$4:$N$34,0))&amp;"",""))</f>
        <v/>
      </c>
      <c r="G727" s="87" t="str">
        <f>IF($E727="","",IFERROR(INDEX(基础资料!$P$4:$P$34,MATCH($E727,基础资料!$N$4:$N$34,0))&amp;"",""))</f>
        <v/>
      </c>
      <c r="H727" s="79"/>
      <c r="I727" s="88"/>
      <c r="J727" s="92"/>
      <c r="K727" s="93"/>
      <c r="L727" s="25" t="str">
        <f t="shared" si="34"/>
        <v/>
      </c>
      <c r="M727" s="94"/>
      <c r="N727" s="26" t="str">
        <f t="shared" si="35"/>
        <v/>
      </c>
      <c r="O727" s="80"/>
      <c r="P727" s="80"/>
      <c r="Q727" s="80"/>
      <c r="R727" s="80"/>
    </row>
    <row r="728" ht="18" customHeight="1" spans="1:18">
      <c r="A728" s="87" t="str">
        <f t="shared" si="33"/>
        <v/>
      </c>
      <c r="B728" s="78"/>
      <c r="C728" s="80"/>
      <c r="D728" s="80"/>
      <c r="E728" s="79"/>
      <c r="F728" s="87" t="str">
        <f>IF($E728="","",IFERROR(INDEX(基础资料!$O$4:$O$34,MATCH($E728,基础资料!$N$4:$N$34,0))&amp;"",""))</f>
        <v/>
      </c>
      <c r="G728" s="87" t="str">
        <f>IF($E728="","",IFERROR(INDEX(基础资料!$P$4:$P$34,MATCH($E728,基础资料!$N$4:$N$34,0))&amp;"",""))</f>
        <v/>
      </c>
      <c r="H728" s="79"/>
      <c r="I728" s="88"/>
      <c r="J728" s="92"/>
      <c r="K728" s="93"/>
      <c r="L728" s="25" t="str">
        <f t="shared" si="34"/>
        <v/>
      </c>
      <c r="M728" s="94"/>
      <c r="N728" s="26" t="str">
        <f t="shared" si="35"/>
        <v/>
      </c>
      <c r="O728" s="80"/>
      <c r="P728" s="80"/>
      <c r="Q728" s="80"/>
      <c r="R728" s="80"/>
    </row>
    <row r="729" ht="18" customHeight="1" spans="1:18">
      <c r="A729" s="87" t="str">
        <f t="shared" si="33"/>
        <v/>
      </c>
      <c r="B729" s="78"/>
      <c r="C729" s="80"/>
      <c r="D729" s="80"/>
      <c r="E729" s="79"/>
      <c r="F729" s="87" t="str">
        <f>IF($E729="","",IFERROR(INDEX(基础资料!$O$4:$O$34,MATCH($E729,基础资料!$N$4:$N$34,0))&amp;"",""))</f>
        <v/>
      </c>
      <c r="G729" s="87" t="str">
        <f>IF($E729="","",IFERROR(INDEX(基础资料!$P$4:$P$34,MATCH($E729,基础资料!$N$4:$N$34,0))&amp;"",""))</f>
        <v/>
      </c>
      <c r="H729" s="79"/>
      <c r="I729" s="88"/>
      <c r="J729" s="92"/>
      <c r="K729" s="93"/>
      <c r="L729" s="25" t="str">
        <f t="shared" si="34"/>
        <v/>
      </c>
      <c r="M729" s="94"/>
      <c r="N729" s="26" t="str">
        <f t="shared" si="35"/>
        <v/>
      </c>
      <c r="O729" s="80"/>
      <c r="P729" s="80"/>
      <c r="Q729" s="80"/>
      <c r="R729" s="80"/>
    </row>
    <row r="730" ht="18" customHeight="1" spans="1:18">
      <c r="A730" s="87" t="str">
        <f t="shared" si="33"/>
        <v/>
      </c>
      <c r="B730" s="78"/>
      <c r="C730" s="80"/>
      <c r="D730" s="80"/>
      <c r="E730" s="79"/>
      <c r="F730" s="87" t="str">
        <f>IF($E730="","",IFERROR(INDEX(基础资料!$O$4:$O$34,MATCH($E730,基础资料!$N$4:$N$34,0))&amp;"",""))</f>
        <v/>
      </c>
      <c r="G730" s="87" t="str">
        <f>IF($E730="","",IFERROR(INDEX(基础资料!$P$4:$P$34,MATCH($E730,基础资料!$N$4:$N$34,0))&amp;"",""))</f>
        <v/>
      </c>
      <c r="H730" s="79"/>
      <c r="I730" s="88"/>
      <c r="J730" s="92"/>
      <c r="K730" s="93"/>
      <c r="L730" s="25" t="str">
        <f t="shared" si="34"/>
        <v/>
      </c>
      <c r="M730" s="94"/>
      <c r="N730" s="26" t="str">
        <f t="shared" si="35"/>
        <v/>
      </c>
      <c r="O730" s="80"/>
      <c r="P730" s="80"/>
      <c r="Q730" s="80"/>
      <c r="R730" s="80"/>
    </row>
    <row r="731" ht="18" customHeight="1" spans="1:18">
      <c r="A731" s="87" t="str">
        <f t="shared" si="33"/>
        <v/>
      </c>
      <c r="B731" s="78"/>
      <c r="C731" s="80"/>
      <c r="D731" s="80"/>
      <c r="E731" s="79"/>
      <c r="F731" s="87" t="str">
        <f>IF($E731="","",IFERROR(INDEX(基础资料!$O$4:$O$34,MATCH($E731,基础资料!$N$4:$N$34,0))&amp;"",""))</f>
        <v/>
      </c>
      <c r="G731" s="87" t="str">
        <f>IF($E731="","",IFERROR(INDEX(基础资料!$P$4:$P$34,MATCH($E731,基础资料!$N$4:$N$34,0))&amp;"",""))</f>
        <v/>
      </c>
      <c r="H731" s="79"/>
      <c r="I731" s="88"/>
      <c r="J731" s="92"/>
      <c r="K731" s="93"/>
      <c r="L731" s="25" t="str">
        <f t="shared" si="34"/>
        <v/>
      </c>
      <c r="M731" s="94"/>
      <c r="N731" s="26" t="str">
        <f t="shared" si="35"/>
        <v/>
      </c>
      <c r="O731" s="80"/>
      <c r="P731" s="80"/>
      <c r="Q731" s="80"/>
      <c r="R731" s="80"/>
    </row>
    <row r="732" ht="18" customHeight="1" spans="1:18">
      <c r="A732" s="87" t="str">
        <f t="shared" si="33"/>
        <v/>
      </c>
      <c r="B732" s="78"/>
      <c r="C732" s="80"/>
      <c r="D732" s="80"/>
      <c r="E732" s="79"/>
      <c r="F732" s="87" t="str">
        <f>IF($E732="","",IFERROR(INDEX(基础资料!$O$4:$O$34,MATCH($E732,基础资料!$N$4:$N$34,0))&amp;"",""))</f>
        <v/>
      </c>
      <c r="G732" s="87" t="str">
        <f>IF($E732="","",IFERROR(INDEX(基础资料!$P$4:$P$34,MATCH($E732,基础资料!$N$4:$N$34,0))&amp;"",""))</f>
        <v/>
      </c>
      <c r="H732" s="79"/>
      <c r="I732" s="88"/>
      <c r="J732" s="92"/>
      <c r="K732" s="93"/>
      <c r="L732" s="25" t="str">
        <f t="shared" si="34"/>
        <v/>
      </c>
      <c r="M732" s="94"/>
      <c r="N732" s="26" t="str">
        <f t="shared" si="35"/>
        <v/>
      </c>
      <c r="O732" s="80"/>
      <c r="P732" s="80"/>
      <c r="Q732" s="80"/>
      <c r="R732" s="80"/>
    </row>
    <row r="733" ht="18" customHeight="1" spans="1:18">
      <c r="A733" s="87" t="str">
        <f t="shared" si="33"/>
        <v/>
      </c>
      <c r="B733" s="78"/>
      <c r="C733" s="80"/>
      <c r="D733" s="80"/>
      <c r="E733" s="79"/>
      <c r="F733" s="87" t="str">
        <f>IF($E733="","",IFERROR(INDEX(基础资料!$O$4:$O$34,MATCH($E733,基础资料!$N$4:$N$34,0))&amp;"",""))</f>
        <v/>
      </c>
      <c r="G733" s="87" t="str">
        <f>IF($E733="","",IFERROR(INDEX(基础资料!$P$4:$P$34,MATCH($E733,基础资料!$N$4:$N$34,0))&amp;"",""))</f>
        <v/>
      </c>
      <c r="H733" s="79"/>
      <c r="I733" s="88"/>
      <c r="J733" s="92"/>
      <c r="K733" s="93"/>
      <c r="L733" s="25" t="str">
        <f t="shared" si="34"/>
        <v/>
      </c>
      <c r="M733" s="94"/>
      <c r="N733" s="26" t="str">
        <f t="shared" si="35"/>
        <v/>
      </c>
      <c r="O733" s="80"/>
      <c r="P733" s="80"/>
      <c r="Q733" s="80"/>
      <c r="R733" s="80"/>
    </row>
    <row r="734" ht="18" customHeight="1" spans="1:18">
      <c r="A734" s="87" t="str">
        <f t="shared" si="33"/>
        <v/>
      </c>
      <c r="B734" s="78"/>
      <c r="C734" s="80"/>
      <c r="D734" s="80"/>
      <c r="E734" s="79"/>
      <c r="F734" s="87" t="str">
        <f>IF($E734="","",IFERROR(INDEX(基础资料!$O$4:$O$34,MATCH($E734,基础资料!$N$4:$N$34,0))&amp;"",""))</f>
        <v/>
      </c>
      <c r="G734" s="87" t="str">
        <f>IF($E734="","",IFERROR(INDEX(基础资料!$P$4:$P$34,MATCH($E734,基础资料!$N$4:$N$34,0))&amp;"",""))</f>
        <v/>
      </c>
      <c r="H734" s="79"/>
      <c r="I734" s="88"/>
      <c r="J734" s="92"/>
      <c r="K734" s="93"/>
      <c r="L734" s="25" t="str">
        <f t="shared" si="34"/>
        <v/>
      </c>
      <c r="M734" s="94"/>
      <c r="N734" s="26" t="str">
        <f t="shared" si="35"/>
        <v/>
      </c>
      <c r="O734" s="80"/>
      <c r="P734" s="80"/>
      <c r="Q734" s="80"/>
      <c r="R734" s="80"/>
    </row>
    <row r="735" ht="18" customHeight="1" spans="1:18">
      <c r="A735" s="87" t="str">
        <f t="shared" si="33"/>
        <v/>
      </c>
      <c r="B735" s="78"/>
      <c r="C735" s="80"/>
      <c r="D735" s="80"/>
      <c r="E735" s="79"/>
      <c r="F735" s="87" t="str">
        <f>IF($E735="","",IFERROR(INDEX(基础资料!$O$4:$O$34,MATCH($E735,基础资料!$N$4:$N$34,0))&amp;"",""))</f>
        <v/>
      </c>
      <c r="G735" s="87" t="str">
        <f>IF($E735="","",IFERROR(INDEX(基础资料!$P$4:$P$34,MATCH($E735,基础资料!$N$4:$N$34,0))&amp;"",""))</f>
        <v/>
      </c>
      <c r="H735" s="79"/>
      <c r="I735" s="88"/>
      <c r="J735" s="92"/>
      <c r="K735" s="93"/>
      <c r="L735" s="25" t="str">
        <f t="shared" si="34"/>
        <v/>
      </c>
      <c r="M735" s="94"/>
      <c r="N735" s="26" t="str">
        <f t="shared" si="35"/>
        <v/>
      </c>
      <c r="O735" s="80"/>
      <c r="P735" s="80"/>
      <c r="Q735" s="80"/>
      <c r="R735" s="80"/>
    </row>
    <row r="736" ht="18" customHeight="1" spans="1:18">
      <c r="A736" s="87" t="str">
        <f t="shared" si="33"/>
        <v/>
      </c>
      <c r="B736" s="78"/>
      <c r="C736" s="80"/>
      <c r="D736" s="80"/>
      <c r="E736" s="79"/>
      <c r="F736" s="87" t="str">
        <f>IF($E736="","",IFERROR(INDEX(基础资料!$O$4:$O$34,MATCH($E736,基础资料!$N$4:$N$34,0))&amp;"",""))</f>
        <v/>
      </c>
      <c r="G736" s="87" t="str">
        <f>IF($E736="","",IFERROR(INDEX(基础资料!$P$4:$P$34,MATCH($E736,基础资料!$N$4:$N$34,0))&amp;"",""))</f>
        <v/>
      </c>
      <c r="H736" s="79"/>
      <c r="I736" s="88"/>
      <c r="J736" s="92"/>
      <c r="K736" s="93"/>
      <c r="L736" s="25" t="str">
        <f t="shared" si="34"/>
        <v/>
      </c>
      <c r="M736" s="94"/>
      <c r="N736" s="26" t="str">
        <f t="shared" si="35"/>
        <v/>
      </c>
      <c r="O736" s="80"/>
      <c r="P736" s="80"/>
      <c r="Q736" s="80"/>
      <c r="R736" s="80"/>
    </row>
    <row r="737" ht="18" customHeight="1" spans="1:18">
      <c r="A737" s="87" t="str">
        <f t="shared" si="33"/>
        <v/>
      </c>
      <c r="B737" s="78"/>
      <c r="C737" s="80"/>
      <c r="D737" s="80"/>
      <c r="E737" s="79"/>
      <c r="F737" s="87" t="str">
        <f>IF($E737="","",IFERROR(INDEX(基础资料!$O$4:$O$34,MATCH($E737,基础资料!$N$4:$N$34,0))&amp;"",""))</f>
        <v/>
      </c>
      <c r="G737" s="87" t="str">
        <f>IF($E737="","",IFERROR(INDEX(基础资料!$P$4:$P$34,MATCH($E737,基础资料!$N$4:$N$34,0))&amp;"",""))</f>
        <v/>
      </c>
      <c r="H737" s="79"/>
      <c r="I737" s="88"/>
      <c r="J737" s="92"/>
      <c r="K737" s="93"/>
      <c r="L737" s="25" t="str">
        <f t="shared" si="34"/>
        <v/>
      </c>
      <c r="M737" s="94"/>
      <c r="N737" s="26" t="str">
        <f t="shared" si="35"/>
        <v/>
      </c>
      <c r="O737" s="80"/>
      <c r="P737" s="80"/>
      <c r="Q737" s="80"/>
      <c r="R737" s="80"/>
    </row>
    <row r="738" ht="18" customHeight="1" spans="1:18">
      <c r="A738" s="87" t="str">
        <f t="shared" si="33"/>
        <v/>
      </c>
      <c r="B738" s="78"/>
      <c r="C738" s="80"/>
      <c r="D738" s="80"/>
      <c r="E738" s="79"/>
      <c r="F738" s="87" t="str">
        <f>IF($E738="","",IFERROR(INDEX(基础资料!$O$4:$O$34,MATCH($E738,基础资料!$N$4:$N$34,0))&amp;"",""))</f>
        <v/>
      </c>
      <c r="G738" s="87" t="str">
        <f>IF($E738="","",IFERROR(INDEX(基础资料!$P$4:$P$34,MATCH($E738,基础资料!$N$4:$N$34,0))&amp;"",""))</f>
        <v/>
      </c>
      <c r="H738" s="79"/>
      <c r="I738" s="88"/>
      <c r="J738" s="92"/>
      <c r="K738" s="93"/>
      <c r="L738" s="25" t="str">
        <f t="shared" si="34"/>
        <v/>
      </c>
      <c r="M738" s="94"/>
      <c r="N738" s="26" t="str">
        <f t="shared" si="35"/>
        <v/>
      </c>
      <c r="O738" s="80"/>
      <c r="P738" s="80"/>
      <c r="Q738" s="80"/>
      <c r="R738" s="80"/>
    </row>
    <row r="739" ht="18" customHeight="1" spans="1:18">
      <c r="A739" s="87" t="str">
        <f t="shared" si="33"/>
        <v/>
      </c>
      <c r="B739" s="78"/>
      <c r="C739" s="80"/>
      <c r="D739" s="80"/>
      <c r="E739" s="79"/>
      <c r="F739" s="87" t="str">
        <f>IF($E739="","",IFERROR(INDEX(基础资料!$O$4:$O$34,MATCH($E739,基础资料!$N$4:$N$34,0))&amp;"",""))</f>
        <v/>
      </c>
      <c r="G739" s="87" t="str">
        <f>IF($E739="","",IFERROR(INDEX(基础资料!$P$4:$P$34,MATCH($E739,基础资料!$N$4:$N$34,0))&amp;"",""))</f>
        <v/>
      </c>
      <c r="H739" s="79"/>
      <c r="I739" s="88"/>
      <c r="J739" s="92"/>
      <c r="K739" s="93"/>
      <c r="L739" s="25" t="str">
        <f t="shared" si="34"/>
        <v/>
      </c>
      <c r="M739" s="94"/>
      <c r="N739" s="26" t="str">
        <f t="shared" si="35"/>
        <v/>
      </c>
      <c r="O739" s="80"/>
      <c r="P739" s="80"/>
      <c r="Q739" s="80"/>
      <c r="R739" s="80"/>
    </row>
    <row r="740" ht="18" customHeight="1" spans="1:18">
      <c r="A740" s="87" t="str">
        <f t="shared" si="33"/>
        <v/>
      </c>
      <c r="B740" s="78"/>
      <c r="C740" s="80"/>
      <c r="D740" s="80"/>
      <c r="E740" s="79"/>
      <c r="F740" s="87" t="str">
        <f>IF($E740="","",IFERROR(INDEX(基础资料!$O$4:$O$34,MATCH($E740,基础资料!$N$4:$N$34,0))&amp;"",""))</f>
        <v/>
      </c>
      <c r="G740" s="87" t="str">
        <f>IF($E740="","",IFERROR(INDEX(基础资料!$P$4:$P$34,MATCH($E740,基础资料!$N$4:$N$34,0))&amp;"",""))</f>
        <v/>
      </c>
      <c r="H740" s="79"/>
      <c r="I740" s="88"/>
      <c r="J740" s="92"/>
      <c r="K740" s="93"/>
      <c r="L740" s="25" t="str">
        <f t="shared" si="34"/>
        <v/>
      </c>
      <c r="M740" s="94"/>
      <c r="N740" s="26" t="str">
        <f t="shared" si="35"/>
        <v/>
      </c>
      <c r="O740" s="80"/>
      <c r="P740" s="80"/>
      <c r="Q740" s="80"/>
      <c r="R740" s="80"/>
    </row>
    <row r="741" ht="18" customHeight="1" spans="1:18">
      <c r="A741" s="87" t="str">
        <f t="shared" si="33"/>
        <v/>
      </c>
      <c r="B741" s="78"/>
      <c r="C741" s="80"/>
      <c r="D741" s="80"/>
      <c r="E741" s="79"/>
      <c r="F741" s="87" t="str">
        <f>IF($E741="","",IFERROR(INDEX(基础资料!$O$4:$O$34,MATCH($E741,基础资料!$N$4:$N$34,0))&amp;"",""))</f>
        <v/>
      </c>
      <c r="G741" s="87" t="str">
        <f>IF($E741="","",IFERROR(INDEX(基础资料!$P$4:$P$34,MATCH($E741,基础资料!$N$4:$N$34,0))&amp;"",""))</f>
        <v/>
      </c>
      <c r="H741" s="79"/>
      <c r="I741" s="88"/>
      <c r="J741" s="92"/>
      <c r="K741" s="93"/>
      <c r="L741" s="25" t="str">
        <f t="shared" si="34"/>
        <v/>
      </c>
      <c r="M741" s="94"/>
      <c r="N741" s="26" t="str">
        <f t="shared" si="35"/>
        <v/>
      </c>
      <c r="O741" s="80"/>
      <c r="P741" s="80"/>
      <c r="Q741" s="80"/>
      <c r="R741" s="80"/>
    </row>
    <row r="742" ht="18" customHeight="1" spans="1:18">
      <c r="A742" s="87" t="str">
        <f t="shared" si="33"/>
        <v/>
      </c>
      <c r="B742" s="78"/>
      <c r="C742" s="80"/>
      <c r="D742" s="80"/>
      <c r="E742" s="79"/>
      <c r="F742" s="87" t="str">
        <f>IF($E742="","",IFERROR(INDEX(基础资料!$O$4:$O$34,MATCH($E742,基础资料!$N$4:$N$34,0))&amp;"",""))</f>
        <v/>
      </c>
      <c r="G742" s="87" t="str">
        <f>IF($E742="","",IFERROR(INDEX(基础资料!$P$4:$P$34,MATCH($E742,基础资料!$N$4:$N$34,0))&amp;"",""))</f>
        <v/>
      </c>
      <c r="H742" s="79"/>
      <c r="I742" s="88"/>
      <c r="J742" s="92"/>
      <c r="K742" s="93"/>
      <c r="L742" s="25" t="str">
        <f t="shared" si="34"/>
        <v/>
      </c>
      <c r="M742" s="94"/>
      <c r="N742" s="26" t="str">
        <f t="shared" si="35"/>
        <v/>
      </c>
      <c r="O742" s="80"/>
      <c r="P742" s="80"/>
      <c r="Q742" s="80"/>
      <c r="R742" s="80"/>
    </row>
    <row r="743" ht="18" customHeight="1" spans="1:18">
      <c r="A743" s="87" t="str">
        <f t="shared" si="33"/>
        <v/>
      </c>
      <c r="B743" s="78"/>
      <c r="C743" s="80"/>
      <c r="D743" s="80"/>
      <c r="E743" s="79"/>
      <c r="F743" s="87" t="str">
        <f>IF($E743="","",IFERROR(INDEX(基础资料!$O$4:$O$34,MATCH($E743,基础资料!$N$4:$N$34,0))&amp;"",""))</f>
        <v/>
      </c>
      <c r="G743" s="87" t="str">
        <f>IF($E743="","",IFERROR(INDEX(基础资料!$P$4:$P$34,MATCH($E743,基础资料!$N$4:$N$34,0))&amp;"",""))</f>
        <v/>
      </c>
      <c r="H743" s="79"/>
      <c r="I743" s="88"/>
      <c r="J743" s="92"/>
      <c r="K743" s="93"/>
      <c r="L743" s="25" t="str">
        <f t="shared" si="34"/>
        <v/>
      </c>
      <c r="M743" s="94"/>
      <c r="N743" s="26" t="str">
        <f t="shared" si="35"/>
        <v/>
      </c>
      <c r="O743" s="80"/>
      <c r="P743" s="80"/>
      <c r="Q743" s="80"/>
      <c r="R743" s="80"/>
    </row>
    <row r="744" ht="18" customHeight="1" spans="1:18">
      <c r="A744" s="87" t="str">
        <f t="shared" si="33"/>
        <v/>
      </c>
      <c r="B744" s="78"/>
      <c r="C744" s="80"/>
      <c r="D744" s="80"/>
      <c r="E744" s="79"/>
      <c r="F744" s="87" t="str">
        <f>IF($E744="","",IFERROR(INDEX(基础资料!$O$4:$O$34,MATCH($E744,基础资料!$N$4:$N$34,0))&amp;"",""))</f>
        <v/>
      </c>
      <c r="G744" s="87" t="str">
        <f>IF($E744="","",IFERROR(INDEX(基础资料!$P$4:$P$34,MATCH($E744,基础资料!$N$4:$N$34,0))&amp;"",""))</f>
        <v/>
      </c>
      <c r="H744" s="79"/>
      <c r="I744" s="88"/>
      <c r="J744" s="92"/>
      <c r="K744" s="93"/>
      <c r="L744" s="25" t="str">
        <f t="shared" si="34"/>
        <v/>
      </c>
      <c r="M744" s="94"/>
      <c r="N744" s="26" t="str">
        <f t="shared" si="35"/>
        <v/>
      </c>
      <c r="O744" s="80"/>
      <c r="P744" s="80"/>
      <c r="Q744" s="80"/>
      <c r="R744" s="80"/>
    </row>
    <row r="745" ht="18" customHeight="1" spans="1:18">
      <c r="A745" s="87" t="str">
        <f t="shared" si="33"/>
        <v/>
      </c>
      <c r="B745" s="78"/>
      <c r="C745" s="80"/>
      <c r="D745" s="80"/>
      <c r="E745" s="79"/>
      <c r="F745" s="87" t="str">
        <f>IF($E745="","",IFERROR(INDEX(基础资料!$O$4:$O$34,MATCH($E745,基础资料!$N$4:$N$34,0))&amp;"",""))</f>
        <v/>
      </c>
      <c r="G745" s="87" t="str">
        <f>IF($E745="","",IFERROR(INDEX(基础资料!$P$4:$P$34,MATCH($E745,基础资料!$N$4:$N$34,0))&amp;"",""))</f>
        <v/>
      </c>
      <c r="H745" s="79"/>
      <c r="I745" s="88"/>
      <c r="J745" s="92"/>
      <c r="K745" s="93"/>
      <c r="L745" s="25" t="str">
        <f t="shared" si="34"/>
        <v/>
      </c>
      <c r="M745" s="94"/>
      <c r="N745" s="26" t="str">
        <f t="shared" si="35"/>
        <v/>
      </c>
      <c r="O745" s="80"/>
      <c r="P745" s="80"/>
      <c r="Q745" s="80"/>
      <c r="R745" s="80"/>
    </row>
    <row r="746" ht="18" customHeight="1" spans="1:18">
      <c r="A746" s="87" t="str">
        <f t="shared" si="33"/>
        <v/>
      </c>
      <c r="B746" s="78"/>
      <c r="C746" s="80"/>
      <c r="D746" s="80"/>
      <c r="E746" s="79"/>
      <c r="F746" s="87" t="str">
        <f>IF($E746="","",IFERROR(INDEX(基础资料!$O$4:$O$34,MATCH($E746,基础资料!$N$4:$N$34,0))&amp;"",""))</f>
        <v/>
      </c>
      <c r="G746" s="87" t="str">
        <f>IF($E746="","",IFERROR(INDEX(基础资料!$P$4:$P$34,MATCH($E746,基础资料!$N$4:$N$34,0))&amp;"",""))</f>
        <v/>
      </c>
      <c r="H746" s="79"/>
      <c r="I746" s="88"/>
      <c r="J746" s="92"/>
      <c r="K746" s="93"/>
      <c r="L746" s="25" t="str">
        <f t="shared" si="34"/>
        <v/>
      </c>
      <c r="M746" s="94"/>
      <c r="N746" s="26" t="str">
        <f t="shared" si="35"/>
        <v/>
      </c>
      <c r="O746" s="80"/>
      <c r="P746" s="80"/>
      <c r="Q746" s="80"/>
      <c r="R746" s="80"/>
    </row>
    <row r="747" ht="18" customHeight="1" spans="1:18">
      <c r="A747" s="87" t="str">
        <f t="shared" si="33"/>
        <v/>
      </c>
      <c r="B747" s="78"/>
      <c r="C747" s="80"/>
      <c r="D747" s="80"/>
      <c r="E747" s="79"/>
      <c r="F747" s="87" t="str">
        <f>IF($E747="","",IFERROR(INDEX(基础资料!$O$4:$O$34,MATCH($E747,基础资料!$N$4:$N$34,0))&amp;"",""))</f>
        <v/>
      </c>
      <c r="G747" s="87" t="str">
        <f>IF($E747="","",IFERROR(INDEX(基础资料!$P$4:$P$34,MATCH($E747,基础资料!$N$4:$N$34,0))&amp;"",""))</f>
        <v/>
      </c>
      <c r="H747" s="79"/>
      <c r="I747" s="88"/>
      <c r="J747" s="92"/>
      <c r="K747" s="93"/>
      <c r="L747" s="25" t="str">
        <f t="shared" si="34"/>
        <v/>
      </c>
      <c r="M747" s="94"/>
      <c r="N747" s="26" t="str">
        <f t="shared" si="35"/>
        <v/>
      </c>
      <c r="O747" s="80"/>
      <c r="P747" s="80"/>
      <c r="Q747" s="80"/>
      <c r="R747" s="80"/>
    </row>
    <row r="748" ht="18" customHeight="1" spans="1:18">
      <c r="A748" s="87" t="str">
        <f t="shared" si="33"/>
        <v/>
      </c>
      <c r="B748" s="78"/>
      <c r="C748" s="80"/>
      <c r="D748" s="80"/>
      <c r="E748" s="79"/>
      <c r="F748" s="87" t="str">
        <f>IF($E748="","",IFERROR(INDEX(基础资料!$O$4:$O$34,MATCH($E748,基础资料!$N$4:$N$34,0))&amp;"",""))</f>
        <v/>
      </c>
      <c r="G748" s="87" t="str">
        <f>IF($E748="","",IFERROR(INDEX(基础资料!$P$4:$P$34,MATCH($E748,基础资料!$N$4:$N$34,0))&amp;"",""))</f>
        <v/>
      </c>
      <c r="H748" s="79"/>
      <c r="I748" s="88"/>
      <c r="J748" s="92"/>
      <c r="K748" s="93"/>
      <c r="L748" s="25" t="str">
        <f t="shared" si="34"/>
        <v/>
      </c>
      <c r="M748" s="94"/>
      <c r="N748" s="26" t="str">
        <f t="shared" si="35"/>
        <v/>
      </c>
      <c r="O748" s="80"/>
      <c r="P748" s="80"/>
      <c r="Q748" s="80"/>
      <c r="R748" s="80"/>
    </row>
    <row r="749" ht="18" customHeight="1" spans="1:18">
      <c r="A749" s="87" t="str">
        <f t="shared" si="33"/>
        <v/>
      </c>
      <c r="B749" s="78"/>
      <c r="C749" s="80"/>
      <c r="D749" s="80"/>
      <c r="E749" s="79"/>
      <c r="F749" s="87" t="str">
        <f>IF($E749="","",IFERROR(INDEX(基础资料!$O$4:$O$34,MATCH($E749,基础资料!$N$4:$N$34,0))&amp;"",""))</f>
        <v/>
      </c>
      <c r="G749" s="87" t="str">
        <f>IF($E749="","",IFERROR(INDEX(基础资料!$P$4:$P$34,MATCH($E749,基础资料!$N$4:$N$34,0))&amp;"",""))</f>
        <v/>
      </c>
      <c r="H749" s="79"/>
      <c r="I749" s="88"/>
      <c r="J749" s="92"/>
      <c r="K749" s="93"/>
      <c r="L749" s="25" t="str">
        <f t="shared" si="34"/>
        <v/>
      </c>
      <c r="M749" s="94"/>
      <c r="N749" s="26" t="str">
        <f t="shared" si="35"/>
        <v/>
      </c>
      <c r="O749" s="80"/>
      <c r="P749" s="80"/>
      <c r="Q749" s="80"/>
      <c r="R749" s="80"/>
    </row>
    <row r="750" ht="18" customHeight="1" spans="1:18">
      <c r="A750" s="87" t="str">
        <f t="shared" si="33"/>
        <v/>
      </c>
      <c r="B750" s="78"/>
      <c r="C750" s="80"/>
      <c r="D750" s="80"/>
      <c r="E750" s="79"/>
      <c r="F750" s="87" t="str">
        <f>IF($E750="","",IFERROR(INDEX(基础资料!$O$4:$O$34,MATCH($E750,基础资料!$N$4:$N$34,0))&amp;"",""))</f>
        <v/>
      </c>
      <c r="G750" s="87" t="str">
        <f>IF($E750="","",IFERROR(INDEX(基础资料!$P$4:$P$34,MATCH($E750,基础资料!$N$4:$N$34,0))&amp;"",""))</f>
        <v/>
      </c>
      <c r="H750" s="79"/>
      <c r="I750" s="88"/>
      <c r="J750" s="92"/>
      <c r="K750" s="93"/>
      <c r="L750" s="25" t="str">
        <f t="shared" si="34"/>
        <v/>
      </c>
      <c r="M750" s="94"/>
      <c r="N750" s="26" t="str">
        <f t="shared" si="35"/>
        <v/>
      </c>
      <c r="O750" s="80"/>
      <c r="P750" s="80"/>
      <c r="Q750" s="80"/>
      <c r="R750" s="80"/>
    </row>
    <row r="751" ht="18" customHeight="1" spans="1:18">
      <c r="A751" s="87" t="str">
        <f t="shared" si="33"/>
        <v/>
      </c>
      <c r="B751" s="78"/>
      <c r="C751" s="80"/>
      <c r="D751" s="80"/>
      <c r="E751" s="79"/>
      <c r="F751" s="87" t="str">
        <f>IF($E751="","",IFERROR(INDEX(基础资料!$O$4:$O$34,MATCH($E751,基础资料!$N$4:$N$34,0))&amp;"",""))</f>
        <v/>
      </c>
      <c r="G751" s="87" t="str">
        <f>IF($E751="","",IFERROR(INDEX(基础资料!$P$4:$P$34,MATCH($E751,基础资料!$N$4:$N$34,0))&amp;"",""))</f>
        <v/>
      </c>
      <c r="H751" s="79"/>
      <c r="I751" s="88"/>
      <c r="J751" s="92"/>
      <c r="K751" s="93"/>
      <c r="L751" s="25" t="str">
        <f t="shared" si="34"/>
        <v/>
      </c>
      <c r="M751" s="94"/>
      <c r="N751" s="26" t="str">
        <f t="shared" si="35"/>
        <v/>
      </c>
      <c r="O751" s="80"/>
      <c r="P751" s="80"/>
      <c r="Q751" s="80"/>
      <c r="R751" s="80"/>
    </row>
    <row r="752" ht="18" customHeight="1" spans="1:18">
      <c r="A752" s="87" t="str">
        <f t="shared" si="33"/>
        <v/>
      </c>
      <c r="B752" s="78"/>
      <c r="C752" s="80"/>
      <c r="D752" s="80"/>
      <c r="E752" s="79"/>
      <c r="F752" s="87" t="str">
        <f>IF($E752="","",IFERROR(INDEX(基础资料!$O$4:$O$34,MATCH($E752,基础资料!$N$4:$N$34,0))&amp;"",""))</f>
        <v/>
      </c>
      <c r="G752" s="87" t="str">
        <f>IF($E752="","",IFERROR(INDEX(基础资料!$P$4:$P$34,MATCH($E752,基础资料!$N$4:$N$34,0))&amp;"",""))</f>
        <v/>
      </c>
      <c r="H752" s="79"/>
      <c r="I752" s="88"/>
      <c r="J752" s="92"/>
      <c r="K752" s="93"/>
      <c r="L752" s="25" t="str">
        <f t="shared" si="34"/>
        <v/>
      </c>
      <c r="M752" s="94"/>
      <c r="N752" s="26" t="str">
        <f t="shared" si="35"/>
        <v/>
      </c>
      <c r="O752" s="80"/>
      <c r="P752" s="80"/>
      <c r="Q752" s="80"/>
      <c r="R752" s="80"/>
    </row>
    <row r="753" ht="18" customHeight="1" spans="1:18">
      <c r="A753" s="87" t="str">
        <f t="shared" si="33"/>
        <v/>
      </c>
      <c r="B753" s="78"/>
      <c r="C753" s="80"/>
      <c r="D753" s="80"/>
      <c r="E753" s="79"/>
      <c r="F753" s="87" t="str">
        <f>IF($E753="","",IFERROR(INDEX(基础资料!$O$4:$O$34,MATCH($E753,基础资料!$N$4:$N$34,0))&amp;"",""))</f>
        <v/>
      </c>
      <c r="G753" s="87" t="str">
        <f>IF($E753="","",IFERROR(INDEX(基础资料!$P$4:$P$34,MATCH($E753,基础资料!$N$4:$N$34,0))&amp;"",""))</f>
        <v/>
      </c>
      <c r="H753" s="79"/>
      <c r="I753" s="88"/>
      <c r="J753" s="92"/>
      <c r="K753" s="93"/>
      <c r="L753" s="25" t="str">
        <f t="shared" si="34"/>
        <v/>
      </c>
      <c r="M753" s="94"/>
      <c r="N753" s="26" t="str">
        <f t="shared" si="35"/>
        <v/>
      </c>
      <c r="O753" s="80"/>
      <c r="P753" s="80"/>
      <c r="Q753" s="80"/>
      <c r="R753" s="80"/>
    </row>
    <row r="754" ht="18" customHeight="1" spans="1:18">
      <c r="A754" s="87" t="str">
        <f t="shared" si="33"/>
        <v/>
      </c>
      <c r="B754" s="78"/>
      <c r="C754" s="80"/>
      <c r="D754" s="80"/>
      <c r="E754" s="79"/>
      <c r="F754" s="87" t="str">
        <f>IF($E754="","",IFERROR(INDEX(基础资料!$O$4:$O$34,MATCH($E754,基础资料!$N$4:$N$34,0))&amp;"",""))</f>
        <v/>
      </c>
      <c r="G754" s="87" t="str">
        <f>IF($E754="","",IFERROR(INDEX(基础资料!$P$4:$P$34,MATCH($E754,基础资料!$N$4:$N$34,0))&amp;"",""))</f>
        <v/>
      </c>
      <c r="H754" s="79"/>
      <c r="I754" s="88"/>
      <c r="J754" s="92"/>
      <c r="K754" s="93"/>
      <c r="L754" s="25" t="str">
        <f t="shared" si="34"/>
        <v/>
      </c>
      <c r="M754" s="94"/>
      <c r="N754" s="26" t="str">
        <f t="shared" si="35"/>
        <v/>
      </c>
      <c r="O754" s="80"/>
      <c r="P754" s="80"/>
      <c r="Q754" s="80"/>
      <c r="R754" s="80"/>
    </row>
    <row r="755" ht="18" customHeight="1" spans="1:18">
      <c r="A755" s="87" t="str">
        <f t="shared" si="33"/>
        <v/>
      </c>
      <c r="B755" s="78"/>
      <c r="C755" s="80"/>
      <c r="D755" s="80"/>
      <c r="E755" s="79"/>
      <c r="F755" s="87" t="str">
        <f>IF($E755="","",IFERROR(INDEX(基础资料!$O$4:$O$34,MATCH($E755,基础资料!$N$4:$N$34,0))&amp;"",""))</f>
        <v/>
      </c>
      <c r="G755" s="87" t="str">
        <f>IF($E755="","",IFERROR(INDEX(基础资料!$P$4:$P$34,MATCH($E755,基础资料!$N$4:$N$34,0))&amp;"",""))</f>
        <v/>
      </c>
      <c r="H755" s="79"/>
      <c r="I755" s="88"/>
      <c r="J755" s="92"/>
      <c r="K755" s="93"/>
      <c r="L755" s="25" t="str">
        <f t="shared" si="34"/>
        <v/>
      </c>
      <c r="M755" s="94"/>
      <c r="N755" s="26" t="str">
        <f t="shared" si="35"/>
        <v/>
      </c>
      <c r="O755" s="80"/>
      <c r="P755" s="80"/>
      <c r="Q755" s="80"/>
      <c r="R755" s="80"/>
    </row>
    <row r="756" ht="18" customHeight="1" spans="1:18">
      <c r="A756" s="87" t="str">
        <f t="shared" si="33"/>
        <v/>
      </c>
      <c r="B756" s="78"/>
      <c r="C756" s="80"/>
      <c r="D756" s="80"/>
      <c r="E756" s="79"/>
      <c r="F756" s="87" t="str">
        <f>IF($E756="","",IFERROR(INDEX(基础资料!$O$4:$O$34,MATCH($E756,基础资料!$N$4:$N$34,0))&amp;"",""))</f>
        <v/>
      </c>
      <c r="G756" s="87" t="str">
        <f>IF($E756="","",IFERROR(INDEX(基础资料!$P$4:$P$34,MATCH($E756,基础资料!$N$4:$N$34,0))&amp;"",""))</f>
        <v/>
      </c>
      <c r="H756" s="79"/>
      <c r="I756" s="88"/>
      <c r="J756" s="92"/>
      <c r="K756" s="93"/>
      <c r="L756" s="25" t="str">
        <f t="shared" si="34"/>
        <v/>
      </c>
      <c r="M756" s="94"/>
      <c r="N756" s="26" t="str">
        <f t="shared" si="35"/>
        <v/>
      </c>
      <c r="O756" s="80"/>
      <c r="P756" s="80"/>
      <c r="Q756" s="80"/>
      <c r="R756" s="80"/>
    </row>
    <row r="757" ht="18" customHeight="1" spans="1:18">
      <c r="A757" s="87" t="str">
        <f t="shared" si="33"/>
        <v/>
      </c>
      <c r="B757" s="78"/>
      <c r="C757" s="80"/>
      <c r="D757" s="80"/>
      <c r="E757" s="79"/>
      <c r="F757" s="87" t="str">
        <f>IF($E757="","",IFERROR(INDEX(基础资料!$O$4:$O$34,MATCH($E757,基础资料!$N$4:$N$34,0))&amp;"",""))</f>
        <v/>
      </c>
      <c r="G757" s="87" t="str">
        <f>IF($E757="","",IFERROR(INDEX(基础资料!$P$4:$P$34,MATCH($E757,基础资料!$N$4:$N$34,0))&amp;"",""))</f>
        <v/>
      </c>
      <c r="H757" s="79"/>
      <c r="I757" s="88"/>
      <c r="J757" s="92"/>
      <c r="K757" s="93"/>
      <c r="L757" s="25" t="str">
        <f t="shared" si="34"/>
        <v/>
      </c>
      <c r="M757" s="94"/>
      <c r="N757" s="26" t="str">
        <f t="shared" si="35"/>
        <v/>
      </c>
      <c r="O757" s="80"/>
      <c r="P757" s="80"/>
      <c r="Q757" s="80"/>
      <c r="R757" s="80"/>
    </row>
    <row r="758" ht="18" customHeight="1" spans="1:18">
      <c r="A758" s="87" t="str">
        <f t="shared" si="33"/>
        <v/>
      </c>
      <c r="B758" s="78"/>
      <c r="C758" s="80"/>
      <c r="D758" s="80"/>
      <c r="E758" s="79"/>
      <c r="F758" s="87" t="str">
        <f>IF($E758="","",IFERROR(INDEX(基础资料!$O$4:$O$34,MATCH($E758,基础资料!$N$4:$N$34,0))&amp;"",""))</f>
        <v/>
      </c>
      <c r="G758" s="87" t="str">
        <f>IF($E758="","",IFERROR(INDEX(基础资料!$P$4:$P$34,MATCH($E758,基础资料!$N$4:$N$34,0))&amp;"",""))</f>
        <v/>
      </c>
      <c r="H758" s="79"/>
      <c r="I758" s="88"/>
      <c r="J758" s="92"/>
      <c r="K758" s="93"/>
      <c r="L758" s="25" t="str">
        <f t="shared" si="34"/>
        <v/>
      </c>
      <c r="M758" s="94"/>
      <c r="N758" s="26" t="str">
        <f t="shared" si="35"/>
        <v/>
      </c>
      <c r="O758" s="80"/>
      <c r="P758" s="80"/>
      <c r="Q758" s="80"/>
      <c r="R758" s="80"/>
    </row>
    <row r="759" ht="18" customHeight="1" spans="1:18">
      <c r="A759" s="87" t="str">
        <f t="shared" si="33"/>
        <v/>
      </c>
      <c r="B759" s="78"/>
      <c r="C759" s="80"/>
      <c r="D759" s="80"/>
      <c r="E759" s="79"/>
      <c r="F759" s="87" t="str">
        <f>IF($E759="","",IFERROR(INDEX(基础资料!$O$4:$O$34,MATCH($E759,基础资料!$N$4:$N$34,0))&amp;"",""))</f>
        <v/>
      </c>
      <c r="G759" s="87" t="str">
        <f>IF($E759="","",IFERROR(INDEX(基础资料!$P$4:$P$34,MATCH($E759,基础资料!$N$4:$N$34,0))&amp;"",""))</f>
        <v/>
      </c>
      <c r="H759" s="79"/>
      <c r="I759" s="88"/>
      <c r="J759" s="92"/>
      <c r="K759" s="93"/>
      <c r="L759" s="25" t="str">
        <f t="shared" si="34"/>
        <v/>
      </c>
      <c r="M759" s="94"/>
      <c r="N759" s="26" t="str">
        <f t="shared" si="35"/>
        <v/>
      </c>
      <c r="O759" s="80"/>
      <c r="P759" s="80"/>
      <c r="Q759" s="80"/>
      <c r="R759" s="80"/>
    </row>
    <row r="760" ht="18" customHeight="1" spans="1:18">
      <c r="A760" s="87" t="str">
        <f t="shared" si="33"/>
        <v/>
      </c>
      <c r="B760" s="78"/>
      <c r="C760" s="80"/>
      <c r="D760" s="80"/>
      <c r="E760" s="79"/>
      <c r="F760" s="87" t="str">
        <f>IF($E760="","",IFERROR(INDEX(基础资料!$O$4:$O$34,MATCH($E760,基础资料!$N$4:$N$34,0))&amp;"",""))</f>
        <v/>
      </c>
      <c r="G760" s="87" t="str">
        <f>IF($E760="","",IFERROR(INDEX(基础资料!$P$4:$P$34,MATCH($E760,基础资料!$N$4:$N$34,0))&amp;"",""))</f>
        <v/>
      </c>
      <c r="H760" s="79"/>
      <c r="I760" s="88"/>
      <c r="J760" s="92"/>
      <c r="K760" s="93"/>
      <c r="L760" s="25" t="str">
        <f t="shared" si="34"/>
        <v/>
      </c>
      <c r="M760" s="94"/>
      <c r="N760" s="26" t="str">
        <f t="shared" si="35"/>
        <v/>
      </c>
      <c r="O760" s="80"/>
      <c r="P760" s="80"/>
      <c r="Q760" s="80"/>
      <c r="R760" s="80"/>
    </row>
    <row r="761" ht="18" customHeight="1" spans="1:18">
      <c r="A761" s="87" t="str">
        <f t="shared" si="33"/>
        <v/>
      </c>
      <c r="B761" s="78"/>
      <c r="C761" s="80"/>
      <c r="D761" s="80"/>
      <c r="E761" s="79"/>
      <c r="F761" s="87" t="str">
        <f>IF($E761="","",IFERROR(INDEX(基础资料!$O$4:$O$34,MATCH($E761,基础资料!$N$4:$N$34,0))&amp;"",""))</f>
        <v/>
      </c>
      <c r="G761" s="87" t="str">
        <f>IF($E761="","",IFERROR(INDEX(基础资料!$P$4:$P$34,MATCH($E761,基础资料!$N$4:$N$34,0))&amp;"",""))</f>
        <v/>
      </c>
      <c r="H761" s="79"/>
      <c r="I761" s="88"/>
      <c r="J761" s="92"/>
      <c r="K761" s="93"/>
      <c r="L761" s="25" t="str">
        <f t="shared" si="34"/>
        <v/>
      </c>
      <c r="M761" s="94"/>
      <c r="N761" s="26" t="str">
        <f t="shared" si="35"/>
        <v/>
      </c>
      <c r="O761" s="80"/>
      <c r="P761" s="80"/>
      <c r="Q761" s="80"/>
      <c r="R761" s="80"/>
    </row>
    <row r="762" ht="18" customHeight="1" spans="1:18">
      <c r="A762" s="87" t="str">
        <f t="shared" si="33"/>
        <v/>
      </c>
      <c r="B762" s="78"/>
      <c r="C762" s="80"/>
      <c r="D762" s="80"/>
      <c r="E762" s="79"/>
      <c r="F762" s="87" t="str">
        <f>IF($E762="","",IFERROR(INDEX(基础资料!$O$4:$O$34,MATCH($E762,基础资料!$N$4:$N$34,0))&amp;"",""))</f>
        <v/>
      </c>
      <c r="G762" s="87" t="str">
        <f>IF($E762="","",IFERROR(INDEX(基础资料!$P$4:$P$34,MATCH($E762,基础资料!$N$4:$N$34,0))&amp;"",""))</f>
        <v/>
      </c>
      <c r="H762" s="79"/>
      <c r="I762" s="88"/>
      <c r="J762" s="92"/>
      <c r="K762" s="93"/>
      <c r="L762" s="25" t="str">
        <f t="shared" si="34"/>
        <v/>
      </c>
      <c r="M762" s="94"/>
      <c r="N762" s="26" t="str">
        <f t="shared" si="35"/>
        <v/>
      </c>
      <c r="O762" s="80"/>
      <c r="P762" s="80"/>
      <c r="Q762" s="80"/>
      <c r="R762" s="80"/>
    </row>
    <row r="763" ht="18" customHeight="1" spans="1:18">
      <c r="A763" s="87" t="str">
        <f t="shared" si="33"/>
        <v/>
      </c>
      <c r="B763" s="78"/>
      <c r="C763" s="80"/>
      <c r="D763" s="80"/>
      <c r="E763" s="79"/>
      <c r="F763" s="87" t="str">
        <f>IF($E763="","",IFERROR(INDEX(基础资料!$O$4:$O$34,MATCH($E763,基础资料!$N$4:$N$34,0))&amp;"",""))</f>
        <v/>
      </c>
      <c r="G763" s="87" t="str">
        <f>IF($E763="","",IFERROR(INDEX(基础资料!$P$4:$P$34,MATCH($E763,基础资料!$N$4:$N$34,0))&amp;"",""))</f>
        <v/>
      </c>
      <c r="H763" s="79"/>
      <c r="I763" s="88"/>
      <c r="J763" s="92"/>
      <c r="K763" s="93"/>
      <c r="L763" s="25" t="str">
        <f t="shared" si="34"/>
        <v/>
      </c>
      <c r="M763" s="94"/>
      <c r="N763" s="26" t="str">
        <f t="shared" si="35"/>
        <v/>
      </c>
      <c r="O763" s="80"/>
      <c r="P763" s="80"/>
      <c r="Q763" s="80"/>
      <c r="R763" s="80"/>
    </row>
    <row r="764" ht="18" customHeight="1" spans="1:18">
      <c r="A764" s="87" t="str">
        <f t="shared" si="33"/>
        <v/>
      </c>
      <c r="B764" s="78"/>
      <c r="C764" s="80"/>
      <c r="D764" s="80"/>
      <c r="E764" s="79"/>
      <c r="F764" s="87" t="str">
        <f>IF($E764="","",IFERROR(INDEX(基础资料!$O$4:$O$34,MATCH($E764,基础资料!$N$4:$N$34,0))&amp;"",""))</f>
        <v/>
      </c>
      <c r="G764" s="87" t="str">
        <f>IF($E764="","",IFERROR(INDEX(基础资料!$P$4:$P$34,MATCH($E764,基础资料!$N$4:$N$34,0))&amp;"",""))</f>
        <v/>
      </c>
      <c r="H764" s="79"/>
      <c r="I764" s="88"/>
      <c r="J764" s="92"/>
      <c r="K764" s="93"/>
      <c r="L764" s="25" t="str">
        <f t="shared" si="34"/>
        <v/>
      </c>
      <c r="M764" s="94"/>
      <c r="N764" s="26" t="str">
        <f t="shared" si="35"/>
        <v/>
      </c>
      <c r="O764" s="80"/>
      <c r="P764" s="80"/>
      <c r="Q764" s="80"/>
      <c r="R764" s="80"/>
    </row>
    <row r="765" ht="18" customHeight="1" spans="1:18">
      <c r="A765" s="87" t="str">
        <f t="shared" si="33"/>
        <v/>
      </c>
      <c r="B765" s="78"/>
      <c r="C765" s="80"/>
      <c r="D765" s="80"/>
      <c r="E765" s="79"/>
      <c r="F765" s="87" t="str">
        <f>IF($E765="","",IFERROR(INDEX(基础资料!$O$4:$O$34,MATCH($E765,基础资料!$N$4:$N$34,0))&amp;"",""))</f>
        <v/>
      </c>
      <c r="G765" s="87" t="str">
        <f>IF($E765="","",IFERROR(INDEX(基础资料!$P$4:$P$34,MATCH($E765,基础资料!$N$4:$N$34,0))&amp;"",""))</f>
        <v/>
      </c>
      <c r="H765" s="79"/>
      <c r="I765" s="88"/>
      <c r="J765" s="92"/>
      <c r="K765" s="93"/>
      <c r="L765" s="25" t="str">
        <f t="shared" si="34"/>
        <v/>
      </c>
      <c r="M765" s="94"/>
      <c r="N765" s="26" t="str">
        <f t="shared" si="35"/>
        <v/>
      </c>
      <c r="O765" s="80"/>
      <c r="P765" s="80"/>
      <c r="Q765" s="80"/>
      <c r="R765" s="80"/>
    </row>
    <row r="766" ht="18" customHeight="1" spans="1:18">
      <c r="A766" s="87" t="str">
        <f t="shared" si="33"/>
        <v/>
      </c>
      <c r="B766" s="78"/>
      <c r="C766" s="80"/>
      <c r="D766" s="80"/>
      <c r="E766" s="79"/>
      <c r="F766" s="87" t="str">
        <f>IF($E766="","",IFERROR(INDEX(基础资料!$O$4:$O$34,MATCH($E766,基础资料!$N$4:$N$34,0))&amp;"",""))</f>
        <v/>
      </c>
      <c r="G766" s="87" t="str">
        <f>IF($E766="","",IFERROR(INDEX(基础资料!$P$4:$P$34,MATCH($E766,基础资料!$N$4:$N$34,0))&amp;"",""))</f>
        <v/>
      </c>
      <c r="H766" s="79"/>
      <c r="I766" s="88"/>
      <c r="J766" s="92"/>
      <c r="K766" s="93"/>
      <c r="L766" s="25" t="str">
        <f t="shared" si="34"/>
        <v/>
      </c>
      <c r="M766" s="94"/>
      <c r="N766" s="26" t="str">
        <f t="shared" si="35"/>
        <v/>
      </c>
      <c r="O766" s="80"/>
      <c r="P766" s="80"/>
      <c r="Q766" s="80"/>
      <c r="R766" s="80"/>
    </row>
    <row r="767" ht="18" customHeight="1" spans="1:18">
      <c r="A767" s="87" t="str">
        <f t="shared" si="33"/>
        <v/>
      </c>
      <c r="B767" s="78"/>
      <c r="C767" s="80"/>
      <c r="D767" s="80"/>
      <c r="E767" s="79"/>
      <c r="F767" s="87" t="str">
        <f>IF($E767="","",IFERROR(INDEX(基础资料!$O$4:$O$34,MATCH($E767,基础资料!$N$4:$N$34,0))&amp;"",""))</f>
        <v/>
      </c>
      <c r="G767" s="87" t="str">
        <f>IF($E767="","",IFERROR(INDEX(基础资料!$P$4:$P$34,MATCH($E767,基础资料!$N$4:$N$34,0))&amp;"",""))</f>
        <v/>
      </c>
      <c r="H767" s="79"/>
      <c r="I767" s="88"/>
      <c r="J767" s="92"/>
      <c r="K767" s="93"/>
      <c r="L767" s="25" t="str">
        <f t="shared" si="34"/>
        <v/>
      </c>
      <c r="M767" s="94"/>
      <c r="N767" s="26" t="str">
        <f t="shared" si="35"/>
        <v/>
      </c>
      <c r="O767" s="80"/>
      <c r="P767" s="80"/>
      <c r="Q767" s="80"/>
      <c r="R767" s="80"/>
    </row>
    <row r="768" ht="18" customHeight="1" spans="1:18">
      <c r="A768" s="87" t="str">
        <f t="shared" si="33"/>
        <v/>
      </c>
      <c r="B768" s="78"/>
      <c r="C768" s="80"/>
      <c r="D768" s="80"/>
      <c r="E768" s="79"/>
      <c r="F768" s="87" t="str">
        <f>IF($E768="","",IFERROR(INDEX(基础资料!$O$4:$O$34,MATCH($E768,基础资料!$N$4:$N$34,0))&amp;"",""))</f>
        <v/>
      </c>
      <c r="G768" s="87" t="str">
        <f>IF($E768="","",IFERROR(INDEX(基础资料!$P$4:$P$34,MATCH($E768,基础资料!$N$4:$N$34,0))&amp;"",""))</f>
        <v/>
      </c>
      <c r="H768" s="79"/>
      <c r="I768" s="88"/>
      <c r="J768" s="92"/>
      <c r="K768" s="93"/>
      <c r="L768" s="25" t="str">
        <f t="shared" si="34"/>
        <v/>
      </c>
      <c r="M768" s="94"/>
      <c r="N768" s="26" t="str">
        <f t="shared" si="35"/>
        <v/>
      </c>
      <c r="O768" s="80"/>
      <c r="P768" s="80"/>
      <c r="Q768" s="80"/>
      <c r="R768" s="80"/>
    </row>
    <row r="769" ht="18" customHeight="1" spans="1:18">
      <c r="A769" s="87" t="str">
        <f t="shared" si="33"/>
        <v/>
      </c>
      <c r="B769" s="78"/>
      <c r="C769" s="80"/>
      <c r="D769" s="80"/>
      <c r="E769" s="79"/>
      <c r="F769" s="87" t="str">
        <f>IF($E769="","",IFERROR(INDEX(基础资料!$O$4:$O$34,MATCH($E769,基础资料!$N$4:$N$34,0))&amp;"",""))</f>
        <v/>
      </c>
      <c r="G769" s="87" t="str">
        <f>IF($E769="","",IFERROR(INDEX(基础资料!$P$4:$P$34,MATCH($E769,基础资料!$N$4:$N$34,0))&amp;"",""))</f>
        <v/>
      </c>
      <c r="H769" s="79"/>
      <c r="I769" s="88"/>
      <c r="J769" s="92"/>
      <c r="K769" s="93"/>
      <c r="L769" s="25" t="str">
        <f t="shared" si="34"/>
        <v/>
      </c>
      <c r="M769" s="94"/>
      <c r="N769" s="26" t="str">
        <f t="shared" si="35"/>
        <v/>
      </c>
      <c r="O769" s="80"/>
      <c r="P769" s="80"/>
      <c r="Q769" s="80"/>
      <c r="R769" s="80"/>
    </row>
    <row r="770" ht="18" customHeight="1" spans="1:18">
      <c r="A770" s="87" t="str">
        <f t="shared" si="33"/>
        <v/>
      </c>
      <c r="B770" s="78"/>
      <c r="C770" s="80"/>
      <c r="D770" s="80"/>
      <c r="E770" s="79"/>
      <c r="F770" s="87" t="str">
        <f>IF($E770="","",IFERROR(INDEX(基础资料!$O$4:$O$34,MATCH($E770,基础资料!$N$4:$N$34,0))&amp;"",""))</f>
        <v/>
      </c>
      <c r="G770" s="87" t="str">
        <f>IF($E770="","",IFERROR(INDEX(基础资料!$P$4:$P$34,MATCH($E770,基础资料!$N$4:$N$34,0))&amp;"",""))</f>
        <v/>
      </c>
      <c r="H770" s="79"/>
      <c r="I770" s="88"/>
      <c r="J770" s="92"/>
      <c r="K770" s="93"/>
      <c r="L770" s="25" t="str">
        <f t="shared" si="34"/>
        <v/>
      </c>
      <c r="M770" s="94"/>
      <c r="N770" s="26" t="str">
        <f t="shared" si="35"/>
        <v/>
      </c>
      <c r="O770" s="80"/>
      <c r="P770" s="80"/>
      <c r="Q770" s="80"/>
      <c r="R770" s="80"/>
    </row>
    <row r="771" ht="18" customHeight="1" spans="1:18">
      <c r="A771" s="87" t="str">
        <f t="shared" si="33"/>
        <v/>
      </c>
      <c r="B771" s="78"/>
      <c r="C771" s="80"/>
      <c r="D771" s="80"/>
      <c r="E771" s="79"/>
      <c r="F771" s="87" t="str">
        <f>IF($E771="","",IFERROR(INDEX(基础资料!$O$4:$O$34,MATCH($E771,基础资料!$N$4:$N$34,0))&amp;"",""))</f>
        <v/>
      </c>
      <c r="G771" s="87" t="str">
        <f>IF($E771="","",IFERROR(INDEX(基础资料!$P$4:$P$34,MATCH($E771,基础资料!$N$4:$N$34,0))&amp;"",""))</f>
        <v/>
      </c>
      <c r="H771" s="79"/>
      <c r="I771" s="88"/>
      <c r="J771" s="92"/>
      <c r="K771" s="93"/>
      <c r="L771" s="25" t="str">
        <f t="shared" si="34"/>
        <v/>
      </c>
      <c r="M771" s="94"/>
      <c r="N771" s="26" t="str">
        <f t="shared" si="35"/>
        <v/>
      </c>
      <c r="O771" s="80"/>
      <c r="P771" s="80"/>
      <c r="Q771" s="80"/>
      <c r="R771" s="80"/>
    </row>
    <row r="772" ht="18" customHeight="1" spans="1:18">
      <c r="A772" s="87" t="str">
        <f t="shared" ref="A772:A835" si="36">IF($E772="","",ROW()-3)</f>
        <v/>
      </c>
      <c r="B772" s="78"/>
      <c r="C772" s="80"/>
      <c r="D772" s="80"/>
      <c r="E772" s="79"/>
      <c r="F772" s="87" t="str">
        <f>IF($E772="","",IFERROR(INDEX(基础资料!$O$4:$O$34,MATCH($E772,基础资料!$N$4:$N$34,0))&amp;"",""))</f>
        <v/>
      </c>
      <c r="G772" s="87" t="str">
        <f>IF($E772="","",IFERROR(INDEX(基础资料!$P$4:$P$34,MATCH($E772,基础资料!$N$4:$N$34,0))&amp;"",""))</f>
        <v/>
      </c>
      <c r="H772" s="79"/>
      <c r="I772" s="88"/>
      <c r="J772" s="92"/>
      <c r="K772" s="93"/>
      <c r="L772" s="25" t="str">
        <f t="shared" ref="L772:L835" si="37">IF($E772="","",N($I772)+N($J772)-N($K772))</f>
        <v/>
      </c>
      <c r="M772" s="94"/>
      <c r="N772" s="26" t="str">
        <f t="shared" ref="N772:N835" si="38">IF($E772="","",ROUND(N($L772)*N($M772),2))</f>
        <v/>
      </c>
      <c r="O772" s="80"/>
      <c r="P772" s="80"/>
      <c r="Q772" s="80"/>
      <c r="R772" s="80"/>
    </row>
    <row r="773" ht="18" customHeight="1" spans="1:18">
      <c r="A773" s="87" t="str">
        <f t="shared" si="36"/>
        <v/>
      </c>
      <c r="B773" s="78"/>
      <c r="C773" s="80"/>
      <c r="D773" s="80"/>
      <c r="E773" s="79"/>
      <c r="F773" s="87" t="str">
        <f>IF($E773="","",IFERROR(INDEX(基础资料!$O$4:$O$34,MATCH($E773,基础资料!$N$4:$N$34,0))&amp;"",""))</f>
        <v/>
      </c>
      <c r="G773" s="87" t="str">
        <f>IF($E773="","",IFERROR(INDEX(基础资料!$P$4:$P$34,MATCH($E773,基础资料!$N$4:$N$34,0))&amp;"",""))</f>
        <v/>
      </c>
      <c r="H773" s="79"/>
      <c r="I773" s="88"/>
      <c r="J773" s="92"/>
      <c r="K773" s="93"/>
      <c r="L773" s="25" t="str">
        <f t="shared" si="37"/>
        <v/>
      </c>
      <c r="M773" s="94"/>
      <c r="N773" s="26" t="str">
        <f t="shared" si="38"/>
        <v/>
      </c>
      <c r="O773" s="80"/>
      <c r="P773" s="80"/>
      <c r="Q773" s="80"/>
      <c r="R773" s="80"/>
    </row>
    <row r="774" ht="18" customHeight="1" spans="1:18">
      <c r="A774" s="87" t="str">
        <f t="shared" si="36"/>
        <v/>
      </c>
      <c r="B774" s="78"/>
      <c r="C774" s="80"/>
      <c r="D774" s="80"/>
      <c r="E774" s="79"/>
      <c r="F774" s="87" t="str">
        <f>IF($E774="","",IFERROR(INDEX(基础资料!$O$4:$O$34,MATCH($E774,基础资料!$N$4:$N$34,0))&amp;"",""))</f>
        <v/>
      </c>
      <c r="G774" s="87" t="str">
        <f>IF($E774="","",IFERROR(INDEX(基础资料!$P$4:$P$34,MATCH($E774,基础资料!$N$4:$N$34,0))&amp;"",""))</f>
        <v/>
      </c>
      <c r="H774" s="79"/>
      <c r="I774" s="88"/>
      <c r="J774" s="92"/>
      <c r="K774" s="93"/>
      <c r="L774" s="25" t="str">
        <f t="shared" si="37"/>
        <v/>
      </c>
      <c r="M774" s="94"/>
      <c r="N774" s="26" t="str">
        <f t="shared" si="38"/>
        <v/>
      </c>
      <c r="O774" s="80"/>
      <c r="P774" s="80"/>
      <c r="Q774" s="80"/>
      <c r="R774" s="80"/>
    </row>
    <row r="775" ht="18" customHeight="1" spans="1:18">
      <c r="A775" s="87" t="str">
        <f t="shared" si="36"/>
        <v/>
      </c>
      <c r="B775" s="78"/>
      <c r="C775" s="80"/>
      <c r="D775" s="80"/>
      <c r="E775" s="79"/>
      <c r="F775" s="87" t="str">
        <f>IF($E775="","",IFERROR(INDEX(基础资料!$O$4:$O$34,MATCH($E775,基础资料!$N$4:$N$34,0))&amp;"",""))</f>
        <v/>
      </c>
      <c r="G775" s="87" t="str">
        <f>IF($E775="","",IFERROR(INDEX(基础资料!$P$4:$P$34,MATCH($E775,基础资料!$N$4:$N$34,0))&amp;"",""))</f>
        <v/>
      </c>
      <c r="H775" s="79"/>
      <c r="I775" s="88"/>
      <c r="J775" s="92"/>
      <c r="K775" s="93"/>
      <c r="L775" s="25" t="str">
        <f t="shared" si="37"/>
        <v/>
      </c>
      <c r="M775" s="94"/>
      <c r="N775" s="26" t="str">
        <f t="shared" si="38"/>
        <v/>
      </c>
      <c r="O775" s="80"/>
      <c r="P775" s="80"/>
      <c r="Q775" s="80"/>
      <c r="R775" s="80"/>
    </row>
    <row r="776" ht="18" customHeight="1" spans="1:18">
      <c r="A776" s="87" t="str">
        <f t="shared" si="36"/>
        <v/>
      </c>
      <c r="B776" s="78"/>
      <c r="C776" s="80"/>
      <c r="D776" s="80"/>
      <c r="E776" s="79"/>
      <c r="F776" s="87" t="str">
        <f>IF($E776="","",IFERROR(INDEX(基础资料!$O$4:$O$34,MATCH($E776,基础资料!$N$4:$N$34,0))&amp;"",""))</f>
        <v/>
      </c>
      <c r="G776" s="87" t="str">
        <f>IF($E776="","",IFERROR(INDEX(基础资料!$P$4:$P$34,MATCH($E776,基础资料!$N$4:$N$34,0))&amp;"",""))</f>
        <v/>
      </c>
      <c r="H776" s="79"/>
      <c r="I776" s="88"/>
      <c r="J776" s="92"/>
      <c r="K776" s="93"/>
      <c r="L776" s="25" t="str">
        <f t="shared" si="37"/>
        <v/>
      </c>
      <c r="M776" s="94"/>
      <c r="N776" s="26" t="str">
        <f t="shared" si="38"/>
        <v/>
      </c>
      <c r="O776" s="80"/>
      <c r="P776" s="80"/>
      <c r="Q776" s="80"/>
      <c r="R776" s="80"/>
    </row>
    <row r="777" ht="18" customHeight="1" spans="1:18">
      <c r="A777" s="87" t="str">
        <f t="shared" si="36"/>
        <v/>
      </c>
      <c r="B777" s="78"/>
      <c r="C777" s="80"/>
      <c r="D777" s="80"/>
      <c r="E777" s="79"/>
      <c r="F777" s="87" t="str">
        <f>IF($E777="","",IFERROR(INDEX(基础资料!$O$4:$O$34,MATCH($E777,基础资料!$N$4:$N$34,0))&amp;"",""))</f>
        <v/>
      </c>
      <c r="G777" s="87" t="str">
        <f>IF($E777="","",IFERROR(INDEX(基础资料!$P$4:$P$34,MATCH($E777,基础资料!$N$4:$N$34,0))&amp;"",""))</f>
        <v/>
      </c>
      <c r="H777" s="79"/>
      <c r="I777" s="88"/>
      <c r="J777" s="92"/>
      <c r="K777" s="93"/>
      <c r="L777" s="25" t="str">
        <f t="shared" si="37"/>
        <v/>
      </c>
      <c r="M777" s="94"/>
      <c r="N777" s="26" t="str">
        <f t="shared" si="38"/>
        <v/>
      </c>
      <c r="O777" s="80"/>
      <c r="P777" s="80"/>
      <c r="Q777" s="80"/>
      <c r="R777" s="80"/>
    </row>
    <row r="778" ht="18" customHeight="1" spans="1:18">
      <c r="A778" s="87" t="str">
        <f t="shared" si="36"/>
        <v/>
      </c>
      <c r="B778" s="78"/>
      <c r="C778" s="80"/>
      <c r="D778" s="80"/>
      <c r="E778" s="79"/>
      <c r="F778" s="87" t="str">
        <f>IF($E778="","",IFERROR(INDEX(基础资料!$O$4:$O$34,MATCH($E778,基础资料!$N$4:$N$34,0))&amp;"",""))</f>
        <v/>
      </c>
      <c r="G778" s="87" t="str">
        <f>IF($E778="","",IFERROR(INDEX(基础资料!$P$4:$P$34,MATCH($E778,基础资料!$N$4:$N$34,0))&amp;"",""))</f>
        <v/>
      </c>
      <c r="H778" s="79"/>
      <c r="I778" s="88"/>
      <c r="J778" s="92"/>
      <c r="K778" s="93"/>
      <c r="L778" s="25" t="str">
        <f t="shared" si="37"/>
        <v/>
      </c>
      <c r="M778" s="94"/>
      <c r="N778" s="26" t="str">
        <f t="shared" si="38"/>
        <v/>
      </c>
      <c r="O778" s="80"/>
      <c r="P778" s="80"/>
      <c r="Q778" s="80"/>
      <c r="R778" s="80"/>
    </row>
    <row r="779" ht="18" customHeight="1" spans="1:18">
      <c r="A779" s="87" t="str">
        <f t="shared" si="36"/>
        <v/>
      </c>
      <c r="B779" s="78"/>
      <c r="C779" s="80"/>
      <c r="D779" s="80"/>
      <c r="E779" s="79"/>
      <c r="F779" s="87" t="str">
        <f>IF($E779="","",IFERROR(INDEX(基础资料!$O$4:$O$34,MATCH($E779,基础资料!$N$4:$N$34,0))&amp;"",""))</f>
        <v/>
      </c>
      <c r="G779" s="87" t="str">
        <f>IF($E779="","",IFERROR(INDEX(基础资料!$P$4:$P$34,MATCH($E779,基础资料!$N$4:$N$34,0))&amp;"",""))</f>
        <v/>
      </c>
      <c r="H779" s="79"/>
      <c r="I779" s="88"/>
      <c r="J779" s="92"/>
      <c r="K779" s="93"/>
      <c r="L779" s="25" t="str">
        <f t="shared" si="37"/>
        <v/>
      </c>
      <c r="M779" s="94"/>
      <c r="N779" s="26" t="str">
        <f t="shared" si="38"/>
        <v/>
      </c>
      <c r="O779" s="80"/>
      <c r="P779" s="80"/>
      <c r="Q779" s="80"/>
      <c r="R779" s="80"/>
    </row>
    <row r="780" ht="18" customHeight="1" spans="1:18">
      <c r="A780" s="87" t="str">
        <f t="shared" si="36"/>
        <v/>
      </c>
      <c r="B780" s="78"/>
      <c r="C780" s="80"/>
      <c r="D780" s="80"/>
      <c r="E780" s="79"/>
      <c r="F780" s="87" t="str">
        <f>IF($E780="","",IFERROR(INDEX(基础资料!$O$4:$O$34,MATCH($E780,基础资料!$N$4:$N$34,0))&amp;"",""))</f>
        <v/>
      </c>
      <c r="G780" s="87" t="str">
        <f>IF($E780="","",IFERROR(INDEX(基础资料!$P$4:$P$34,MATCH($E780,基础资料!$N$4:$N$34,0))&amp;"",""))</f>
        <v/>
      </c>
      <c r="H780" s="79"/>
      <c r="I780" s="88"/>
      <c r="J780" s="92"/>
      <c r="K780" s="93"/>
      <c r="L780" s="25" t="str">
        <f t="shared" si="37"/>
        <v/>
      </c>
      <c r="M780" s="94"/>
      <c r="N780" s="26" t="str">
        <f t="shared" si="38"/>
        <v/>
      </c>
      <c r="O780" s="80"/>
      <c r="P780" s="80"/>
      <c r="Q780" s="80"/>
      <c r="R780" s="80"/>
    </row>
    <row r="781" ht="18" customHeight="1" spans="1:18">
      <c r="A781" s="87" t="str">
        <f t="shared" si="36"/>
        <v/>
      </c>
      <c r="B781" s="78"/>
      <c r="C781" s="80"/>
      <c r="D781" s="80"/>
      <c r="E781" s="79"/>
      <c r="F781" s="87" t="str">
        <f>IF($E781="","",IFERROR(INDEX(基础资料!$O$4:$O$34,MATCH($E781,基础资料!$N$4:$N$34,0))&amp;"",""))</f>
        <v/>
      </c>
      <c r="G781" s="87" t="str">
        <f>IF($E781="","",IFERROR(INDEX(基础资料!$P$4:$P$34,MATCH($E781,基础资料!$N$4:$N$34,0))&amp;"",""))</f>
        <v/>
      </c>
      <c r="H781" s="79"/>
      <c r="I781" s="88"/>
      <c r="J781" s="92"/>
      <c r="K781" s="93"/>
      <c r="L781" s="25" t="str">
        <f t="shared" si="37"/>
        <v/>
      </c>
      <c r="M781" s="94"/>
      <c r="N781" s="26" t="str">
        <f t="shared" si="38"/>
        <v/>
      </c>
      <c r="O781" s="80"/>
      <c r="P781" s="80"/>
      <c r="Q781" s="80"/>
      <c r="R781" s="80"/>
    </row>
    <row r="782" ht="18" customHeight="1" spans="1:18">
      <c r="A782" s="87" t="str">
        <f t="shared" si="36"/>
        <v/>
      </c>
      <c r="B782" s="78"/>
      <c r="C782" s="80"/>
      <c r="D782" s="80"/>
      <c r="E782" s="79"/>
      <c r="F782" s="87" t="str">
        <f>IF($E782="","",IFERROR(INDEX(基础资料!$O$4:$O$34,MATCH($E782,基础资料!$N$4:$N$34,0))&amp;"",""))</f>
        <v/>
      </c>
      <c r="G782" s="87" t="str">
        <f>IF($E782="","",IFERROR(INDEX(基础资料!$P$4:$P$34,MATCH($E782,基础资料!$N$4:$N$34,0))&amp;"",""))</f>
        <v/>
      </c>
      <c r="H782" s="79"/>
      <c r="I782" s="88"/>
      <c r="J782" s="92"/>
      <c r="K782" s="93"/>
      <c r="L782" s="25" t="str">
        <f t="shared" si="37"/>
        <v/>
      </c>
      <c r="M782" s="94"/>
      <c r="N782" s="26" t="str">
        <f t="shared" si="38"/>
        <v/>
      </c>
      <c r="O782" s="80"/>
      <c r="P782" s="80"/>
      <c r="Q782" s="80"/>
      <c r="R782" s="80"/>
    </row>
    <row r="783" ht="18" customHeight="1" spans="1:18">
      <c r="A783" s="87" t="str">
        <f t="shared" si="36"/>
        <v/>
      </c>
      <c r="B783" s="78"/>
      <c r="C783" s="80"/>
      <c r="D783" s="80"/>
      <c r="E783" s="79"/>
      <c r="F783" s="87" t="str">
        <f>IF($E783="","",IFERROR(INDEX(基础资料!$O$4:$O$34,MATCH($E783,基础资料!$N$4:$N$34,0))&amp;"",""))</f>
        <v/>
      </c>
      <c r="G783" s="87" t="str">
        <f>IF($E783="","",IFERROR(INDEX(基础资料!$P$4:$P$34,MATCH($E783,基础资料!$N$4:$N$34,0))&amp;"",""))</f>
        <v/>
      </c>
      <c r="H783" s="79"/>
      <c r="I783" s="88"/>
      <c r="J783" s="92"/>
      <c r="K783" s="93"/>
      <c r="L783" s="25" t="str">
        <f t="shared" si="37"/>
        <v/>
      </c>
      <c r="M783" s="94"/>
      <c r="N783" s="26" t="str">
        <f t="shared" si="38"/>
        <v/>
      </c>
      <c r="O783" s="80"/>
      <c r="P783" s="80"/>
      <c r="Q783" s="80"/>
      <c r="R783" s="80"/>
    </row>
    <row r="784" ht="18" customHeight="1" spans="1:18">
      <c r="A784" s="87" t="str">
        <f t="shared" si="36"/>
        <v/>
      </c>
      <c r="B784" s="78"/>
      <c r="C784" s="80"/>
      <c r="D784" s="80"/>
      <c r="E784" s="79"/>
      <c r="F784" s="87" t="str">
        <f>IF($E784="","",IFERROR(INDEX(基础资料!$O$4:$O$34,MATCH($E784,基础资料!$N$4:$N$34,0))&amp;"",""))</f>
        <v/>
      </c>
      <c r="G784" s="87" t="str">
        <f>IF($E784="","",IFERROR(INDEX(基础资料!$P$4:$P$34,MATCH($E784,基础资料!$N$4:$N$34,0))&amp;"",""))</f>
        <v/>
      </c>
      <c r="H784" s="79"/>
      <c r="I784" s="88"/>
      <c r="J784" s="92"/>
      <c r="K784" s="93"/>
      <c r="L784" s="25" t="str">
        <f t="shared" si="37"/>
        <v/>
      </c>
      <c r="M784" s="94"/>
      <c r="N784" s="26" t="str">
        <f t="shared" si="38"/>
        <v/>
      </c>
      <c r="O784" s="80"/>
      <c r="P784" s="80"/>
      <c r="Q784" s="80"/>
      <c r="R784" s="80"/>
    </row>
    <row r="785" ht="18" customHeight="1" spans="1:18">
      <c r="A785" s="87" t="str">
        <f t="shared" si="36"/>
        <v/>
      </c>
      <c r="B785" s="78"/>
      <c r="C785" s="80"/>
      <c r="D785" s="80"/>
      <c r="E785" s="79"/>
      <c r="F785" s="87" t="str">
        <f>IF($E785="","",IFERROR(INDEX(基础资料!$O$4:$O$34,MATCH($E785,基础资料!$N$4:$N$34,0))&amp;"",""))</f>
        <v/>
      </c>
      <c r="G785" s="87" t="str">
        <f>IF($E785="","",IFERROR(INDEX(基础资料!$P$4:$P$34,MATCH($E785,基础资料!$N$4:$N$34,0))&amp;"",""))</f>
        <v/>
      </c>
      <c r="H785" s="79"/>
      <c r="I785" s="88"/>
      <c r="J785" s="92"/>
      <c r="K785" s="93"/>
      <c r="L785" s="25" t="str">
        <f t="shared" si="37"/>
        <v/>
      </c>
      <c r="M785" s="94"/>
      <c r="N785" s="26" t="str">
        <f t="shared" si="38"/>
        <v/>
      </c>
      <c r="O785" s="80"/>
      <c r="P785" s="80"/>
      <c r="Q785" s="80"/>
      <c r="R785" s="80"/>
    </row>
    <row r="786" ht="18" customHeight="1" spans="1:18">
      <c r="A786" s="87" t="str">
        <f t="shared" si="36"/>
        <v/>
      </c>
      <c r="B786" s="78"/>
      <c r="C786" s="80"/>
      <c r="D786" s="80"/>
      <c r="E786" s="79"/>
      <c r="F786" s="87" t="str">
        <f>IF($E786="","",IFERROR(INDEX(基础资料!$O$4:$O$34,MATCH($E786,基础资料!$N$4:$N$34,0))&amp;"",""))</f>
        <v/>
      </c>
      <c r="G786" s="87" t="str">
        <f>IF($E786="","",IFERROR(INDEX(基础资料!$P$4:$P$34,MATCH($E786,基础资料!$N$4:$N$34,0))&amp;"",""))</f>
        <v/>
      </c>
      <c r="H786" s="79"/>
      <c r="I786" s="88"/>
      <c r="J786" s="92"/>
      <c r="K786" s="93"/>
      <c r="L786" s="25" t="str">
        <f t="shared" si="37"/>
        <v/>
      </c>
      <c r="M786" s="94"/>
      <c r="N786" s="26" t="str">
        <f t="shared" si="38"/>
        <v/>
      </c>
      <c r="O786" s="80"/>
      <c r="P786" s="80"/>
      <c r="Q786" s="80"/>
      <c r="R786" s="80"/>
    </row>
    <row r="787" ht="18" customHeight="1" spans="1:18">
      <c r="A787" s="87" t="str">
        <f t="shared" si="36"/>
        <v/>
      </c>
      <c r="B787" s="78"/>
      <c r="C787" s="80"/>
      <c r="D787" s="80"/>
      <c r="E787" s="79"/>
      <c r="F787" s="87" t="str">
        <f>IF($E787="","",IFERROR(INDEX(基础资料!$O$4:$O$34,MATCH($E787,基础资料!$N$4:$N$34,0))&amp;"",""))</f>
        <v/>
      </c>
      <c r="G787" s="87" t="str">
        <f>IF($E787="","",IFERROR(INDEX(基础资料!$P$4:$P$34,MATCH($E787,基础资料!$N$4:$N$34,0))&amp;"",""))</f>
        <v/>
      </c>
      <c r="H787" s="79"/>
      <c r="I787" s="88"/>
      <c r="J787" s="92"/>
      <c r="K787" s="93"/>
      <c r="L787" s="25" t="str">
        <f t="shared" si="37"/>
        <v/>
      </c>
      <c r="M787" s="94"/>
      <c r="N787" s="26" t="str">
        <f t="shared" si="38"/>
        <v/>
      </c>
      <c r="O787" s="80"/>
      <c r="P787" s="80"/>
      <c r="Q787" s="80"/>
      <c r="R787" s="80"/>
    </row>
    <row r="788" ht="18" customHeight="1" spans="1:18">
      <c r="A788" s="87" t="str">
        <f t="shared" si="36"/>
        <v/>
      </c>
      <c r="B788" s="78"/>
      <c r="C788" s="80"/>
      <c r="D788" s="80"/>
      <c r="E788" s="79"/>
      <c r="F788" s="87" t="str">
        <f>IF($E788="","",IFERROR(INDEX(基础资料!$O$4:$O$34,MATCH($E788,基础资料!$N$4:$N$34,0))&amp;"",""))</f>
        <v/>
      </c>
      <c r="G788" s="87" t="str">
        <f>IF($E788="","",IFERROR(INDEX(基础资料!$P$4:$P$34,MATCH($E788,基础资料!$N$4:$N$34,0))&amp;"",""))</f>
        <v/>
      </c>
      <c r="H788" s="79"/>
      <c r="I788" s="88"/>
      <c r="J788" s="92"/>
      <c r="K788" s="93"/>
      <c r="L788" s="25" t="str">
        <f t="shared" si="37"/>
        <v/>
      </c>
      <c r="M788" s="94"/>
      <c r="N788" s="26" t="str">
        <f t="shared" si="38"/>
        <v/>
      </c>
      <c r="O788" s="80"/>
      <c r="P788" s="80"/>
      <c r="Q788" s="80"/>
      <c r="R788" s="80"/>
    </row>
    <row r="789" ht="18" customHeight="1" spans="1:18">
      <c r="A789" s="87" t="str">
        <f t="shared" si="36"/>
        <v/>
      </c>
      <c r="B789" s="78"/>
      <c r="C789" s="80"/>
      <c r="D789" s="80"/>
      <c r="E789" s="79"/>
      <c r="F789" s="87" t="str">
        <f>IF($E789="","",IFERROR(INDEX(基础资料!$O$4:$O$34,MATCH($E789,基础资料!$N$4:$N$34,0))&amp;"",""))</f>
        <v/>
      </c>
      <c r="G789" s="87" t="str">
        <f>IF($E789="","",IFERROR(INDEX(基础资料!$P$4:$P$34,MATCH($E789,基础资料!$N$4:$N$34,0))&amp;"",""))</f>
        <v/>
      </c>
      <c r="H789" s="79"/>
      <c r="I789" s="88"/>
      <c r="J789" s="92"/>
      <c r="K789" s="93"/>
      <c r="L789" s="25" t="str">
        <f t="shared" si="37"/>
        <v/>
      </c>
      <c r="M789" s="94"/>
      <c r="N789" s="26" t="str">
        <f t="shared" si="38"/>
        <v/>
      </c>
      <c r="O789" s="80"/>
      <c r="P789" s="80"/>
      <c r="Q789" s="80"/>
      <c r="R789" s="80"/>
    </row>
    <row r="790" ht="18" customHeight="1" spans="1:18">
      <c r="A790" s="87" t="str">
        <f t="shared" si="36"/>
        <v/>
      </c>
      <c r="B790" s="78"/>
      <c r="C790" s="80"/>
      <c r="D790" s="80"/>
      <c r="E790" s="79"/>
      <c r="F790" s="87" t="str">
        <f>IF($E790="","",IFERROR(INDEX(基础资料!$O$4:$O$34,MATCH($E790,基础资料!$N$4:$N$34,0))&amp;"",""))</f>
        <v/>
      </c>
      <c r="G790" s="87" t="str">
        <f>IF($E790="","",IFERROR(INDEX(基础资料!$P$4:$P$34,MATCH($E790,基础资料!$N$4:$N$34,0))&amp;"",""))</f>
        <v/>
      </c>
      <c r="H790" s="79"/>
      <c r="I790" s="88"/>
      <c r="J790" s="92"/>
      <c r="K790" s="93"/>
      <c r="L790" s="25" t="str">
        <f t="shared" si="37"/>
        <v/>
      </c>
      <c r="M790" s="94"/>
      <c r="N790" s="26" t="str">
        <f t="shared" si="38"/>
        <v/>
      </c>
      <c r="O790" s="80"/>
      <c r="P790" s="80"/>
      <c r="Q790" s="80"/>
      <c r="R790" s="80"/>
    </row>
    <row r="791" ht="18" customHeight="1" spans="1:18">
      <c r="A791" s="87" t="str">
        <f t="shared" si="36"/>
        <v/>
      </c>
      <c r="B791" s="78"/>
      <c r="C791" s="80"/>
      <c r="D791" s="80"/>
      <c r="E791" s="79"/>
      <c r="F791" s="87" t="str">
        <f>IF($E791="","",IFERROR(INDEX(基础资料!$O$4:$O$34,MATCH($E791,基础资料!$N$4:$N$34,0))&amp;"",""))</f>
        <v/>
      </c>
      <c r="G791" s="87" t="str">
        <f>IF($E791="","",IFERROR(INDEX(基础资料!$P$4:$P$34,MATCH($E791,基础资料!$N$4:$N$34,0))&amp;"",""))</f>
        <v/>
      </c>
      <c r="H791" s="79"/>
      <c r="I791" s="88"/>
      <c r="J791" s="92"/>
      <c r="K791" s="93"/>
      <c r="L791" s="25" t="str">
        <f t="shared" si="37"/>
        <v/>
      </c>
      <c r="M791" s="94"/>
      <c r="N791" s="26" t="str">
        <f t="shared" si="38"/>
        <v/>
      </c>
      <c r="O791" s="80"/>
      <c r="P791" s="80"/>
      <c r="Q791" s="80"/>
      <c r="R791" s="80"/>
    </row>
    <row r="792" ht="18" customHeight="1" spans="1:18">
      <c r="A792" s="87" t="str">
        <f t="shared" si="36"/>
        <v/>
      </c>
      <c r="B792" s="78"/>
      <c r="C792" s="80"/>
      <c r="D792" s="80"/>
      <c r="E792" s="79"/>
      <c r="F792" s="87" t="str">
        <f>IF($E792="","",IFERROR(INDEX(基础资料!$O$4:$O$34,MATCH($E792,基础资料!$N$4:$N$34,0))&amp;"",""))</f>
        <v/>
      </c>
      <c r="G792" s="87" t="str">
        <f>IF($E792="","",IFERROR(INDEX(基础资料!$P$4:$P$34,MATCH($E792,基础资料!$N$4:$N$34,0))&amp;"",""))</f>
        <v/>
      </c>
      <c r="H792" s="79"/>
      <c r="I792" s="88"/>
      <c r="J792" s="92"/>
      <c r="K792" s="93"/>
      <c r="L792" s="25" t="str">
        <f t="shared" si="37"/>
        <v/>
      </c>
      <c r="M792" s="94"/>
      <c r="N792" s="26" t="str">
        <f t="shared" si="38"/>
        <v/>
      </c>
      <c r="O792" s="80"/>
      <c r="P792" s="80"/>
      <c r="Q792" s="80"/>
      <c r="R792" s="80"/>
    </row>
    <row r="793" ht="18" customHeight="1" spans="1:18">
      <c r="A793" s="87" t="str">
        <f t="shared" si="36"/>
        <v/>
      </c>
      <c r="B793" s="78"/>
      <c r="C793" s="80"/>
      <c r="D793" s="80"/>
      <c r="E793" s="79"/>
      <c r="F793" s="87" t="str">
        <f>IF($E793="","",IFERROR(INDEX(基础资料!$O$4:$O$34,MATCH($E793,基础资料!$N$4:$N$34,0))&amp;"",""))</f>
        <v/>
      </c>
      <c r="G793" s="87" t="str">
        <f>IF($E793="","",IFERROR(INDEX(基础资料!$P$4:$P$34,MATCH($E793,基础资料!$N$4:$N$34,0))&amp;"",""))</f>
        <v/>
      </c>
      <c r="H793" s="79"/>
      <c r="I793" s="88"/>
      <c r="J793" s="92"/>
      <c r="K793" s="93"/>
      <c r="L793" s="25" t="str">
        <f t="shared" si="37"/>
        <v/>
      </c>
      <c r="M793" s="94"/>
      <c r="N793" s="26" t="str">
        <f t="shared" si="38"/>
        <v/>
      </c>
      <c r="O793" s="80"/>
      <c r="P793" s="80"/>
      <c r="Q793" s="80"/>
      <c r="R793" s="80"/>
    </row>
    <row r="794" ht="18" customHeight="1" spans="1:18">
      <c r="A794" s="87" t="str">
        <f t="shared" si="36"/>
        <v/>
      </c>
      <c r="B794" s="78"/>
      <c r="C794" s="80"/>
      <c r="D794" s="80"/>
      <c r="E794" s="79"/>
      <c r="F794" s="87" t="str">
        <f>IF($E794="","",IFERROR(INDEX(基础资料!$O$4:$O$34,MATCH($E794,基础资料!$N$4:$N$34,0))&amp;"",""))</f>
        <v/>
      </c>
      <c r="G794" s="87" t="str">
        <f>IF($E794="","",IFERROR(INDEX(基础资料!$P$4:$P$34,MATCH($E794,基础资料!$N$4:$N$34,0))&amp;"",""))</f>
        <v/>
      </c>
      <c r="H794" s="79"/>
      <c r="I794" s="88"/>
      <c r="J794" s="92"/>
      <c r="K794" s="93"/>
      <c r="L794" s="25" t="str">
        <f t="shared" si="37"/>
        <v/>
      </c>
      <c r="M794" s="94"/>
      <c r="N794" s="26" t="str">
        <f t="shared" si="38"/>
        <v/>
      </c>
      <c r="O794" s="80"/>
      <c r="P794" s="80"/>
      <c r="Q794" s="80"/>
      <c r="R794" s="80"/>
    </row>
    <row r="795" ht="18" customHeight="1" spans="1:18">
      <c r="A795" s="87" t="str">
        <f t="shared" si="36"/>
        <v/>
      </c>
      <c r="B795" s="78"/>
      <c r="C795" s="80"/>
      <c r="D795" s="80"/>
      <c r="E795" s="79"/>
      <c r="F795" s="87" t="str">
        <f>IF($E795="","",IFERROR(INDEX(基础资料!$O$4:$O$34,MATCH($E795,基础资料!$N$4:$N$34,0))&amp;"",""))</f>
        <v/>
      </c>
      <c r="G795" s="87" t="str">
        <f>IF($E795="","",IFERROR(INDEX(基础资料!$P$4:$P$34,MATCH($E795,基础资料!$N$4:$N$34,0))&amp;"",""))</f>
        <v/>
      </c>
      <c r="H795" s="79"/>
      <c r="I795" s="88"/>
      <c r="J795" s="92"/>
      <c r="K795" s="93"/>
      <c r="L795" s="25" t="str">
        <f t="shared" si="37"/>
        <v/>
      </c>
      <c r="M795" s="94"/>
      <c r="N795" s="26" t="str">
        <f t="shared" si="38"/>
        <v/>
      </c>
      <c r="O795" s="80"/>
      <c r="P795" s="80"/>
      <c r="Q795" s="80"/>
      <c r="R795" s="80"/>
    </row>
    <row r="796" ht="18" customHeight="1" spans="1:18">
      <c r="A796" s="87" t="str">
        <f t="shared" si="36"/>
        <v/>
      </c>
      <c r="B796" s="78"/>
      <c r="C796" s="80"/>
      <c r="D796" s="80"/>
      <c r="E796" s="79"/>
      <c r="F796" s="87" t="str">
        <f>IF($E796="","",IFERROR(INDEX(基础资料!$O$4:$O$34,MATCH($E796,基础资料!$N$4:$N$34,0))&amp;"",""))</f>
        <v/>
      </c>
      <c r="G796" s="87" t="str">
        <f>IF($E796="","",IFERROR(INDEX(基础资料!$P$4:$P$34,MATCH($E796,基础资料!$N$4:$N$34,0))&amp;"",""))</f>
        <v/>
      </c>
      <c r="H796" s="79"/>
      <c r="I796" s="88"/>
      <c r="J796" s="92"/>
      <c r="K796" s="93"/>
      <c r="L796" s="25" t="str">
        <f t="shared" si="37"/>
        <v/>
      </c>
      <c r="M796" s="94"/>
      <c r="N796" s="26" t="str">
        <f t="shared" si="38"/>
        <v/>
      </c>
      <c r="O796" s="80"/>
      <c r="P796" s="80"/>
      <c r="Q796" s="80"/>
      <c r="R796" s="80"/>
    </row>
    <row r="797" ht="18" customHeight="1" spans="1:18">
      <c r="A797" s="87" t="str">
        <f t="shared" si="36"/>
        <v/>
      </c>
      <c r="B797" s="78"/>
      <c r="C797" s="80"/>
      <c r="D797" s="80"/>
      <c r="E797" s="79"/>
      <c r="F797" s="87" t="str">
        <f>IF($E797="","",IFERROR(INDEX(基础资料!$O$4:$O$34,MATCH($E797,基础资料!$N$4:$N$34,0))&amp;"",""))</f>
        <v/>
      </c>
      <c r="G797" s="87" t="str">
        <f>IF($E797="","",IFERROR(INDEX(基础资料!$P$4:$P$34,MATCH($E797,基础资料!$N$4:$N$34,0))&amp;"",""))</f>
        <v/>
      </c>
      <c r="H797" s="79"/>
      <c r="I797" s="88"/>
      <c r="J797" s="92"/>
      <c r="K797" s="93"/>
      <c r="L797" s="25" t="str">
        <f t="shared" si="37"/>
        <v/>
      </c>
      <c r="M797" s="94"/>
      <c r="N797" s="26" t="str">
        <f t="shared" si="38"/>
        <v/>
      </c>
      <c r="O797" s="80"/>
      <c r="P797" s="80"/>
      <c r="Q797" s="80"/>
      <c r="R797" s="80"/>
    </row>
    <row r="798" ht="18" customHeight="1" spans="1:18">
      <c r="A798" s="87" t="str">
        <f t="shared" si="36"/>
        <v/>
      </c>
      <c r="B798" s="78"/>
      <c r="C798" s="80"/>
      <c r="D798" s="80"/>
      <c r="E798" s="79"/>
      <c r="F798" s="87" t="str">
        <f>IF($E798="","",IFERROR(INDEX(基础资料!$O$4:$O$34,MATCH($E798,基础资料!$N$4:$N$34,0))&amp;"",""))</f>
        <v/>
      </c>
      <c r="G798" s="87" t="str">
        <f>IF($E798="","",IFERROR(INDEX(基础资料!$P$4:$P$34,MATCH($E798,基础资料!$N$4:$N$34,0))&amp;"",""))</f>
        <v/>
      </c>
      <c r="H798" s="79"/>
      <c r="I798" s="88"/>
      <c r="J798" s="92"/>
      <c r="K798" s="93"/>
      <c r="L798" s="25" t="str">
        <f t="shared" si="37"/>
        <v/>
      </c>
      <c r="M798" s="94"/>
      <c r="N798" s="26" t="str">
        <f t="shared" si="38"/>
        <v/>
      </c>
      <c r="O798" s="80"/>
      <c r="P798" s="80"/>
      <c r="Q798" s="80"/>
      <c r="R798" s="80"/>
    </row>
    <row r="799" ht="18" customHeight="1" spans="1:18">
      <c r="A799" s="87" t="str">
        <f t="shared" si="36"/>
        <v/>
      </c>
      <c r="B799" s="78"/>
      <c r="C799" s="80"/>
      <c r="D799" s="80"/>
      <c r="E799" s="79"/>
      <c r="F799" s="87" t="str">
        <f>IF($E799="","",IFERROR(INDEX(基础资料!$O$4:$O$34,MATCH($E799,基础资料!$N$4:$N$34,0))&amp;"",""))</f>
        <v/>
      </c>
      <c r="G799" s="87" t="str">
        <f>IF($E799="","",IFERROR(INDEX(基础资料!$P$4:$P$34,MATCH($E799,基础资料!$N$4:$N$34,0))&amp;"",""))</f>
        <v/>
      </c>
      <c r="H799" s="79"/>
      <c r="I799" s="88"/>
      <c r="J799" s="92"/>
      <c r="K799" s="93"/>
      <c r="L799" s="25" t="str">
        <f t="shared" si="37"/>
        <v/>
      </c>
      <c r="M799" s="94"/>
      <c r="N799" s="26" t="str">
        <f t="shared" si="38"/>
        <v/>
      </c>
      <c r="O799" s="80"/>
      <c r="P799" s="80"/>
      <c r="Q799" s="80"/>
      <c r="R799" s="80"/>
    </row>
    <row r="800" ht="18" customHeight="1" spans="1:18">
      <c r="A800" s="87" t="str">
        <f t="shared" si="36"/>
        <v/>
      </c>
      <c r="B800" s="78"/>
      <c r="C800" s="80"/>
      <c r="D800" s="80"/>
      <c r="E800" s="79"/>
      <c r="F800" s="87" t="str">
        <f>IF($E800="","",IFERROR(INDEX(基础资料!$O$4:$O$34,MATCH($E800,基础资料!$N$4:$N$34,0))&amp;"",""))</f>
        <v/>
      </c>
      <c r="G800" s="87" t="str">
        <f>IF($E800="","",IFERROR(INDEX(基础资料!$P$4:$P$34,MATCH($E800,基础资料!$N$4:$N$34,0))&amp;"",""))</f>
        <v/>
      </c>
      <c r="H800" s="79"/>
      <c r="I800" s="88"/>
      <c r="J800" s="92"/>
      <c r="K800" s="93"/>
      <c r="L800" s="25" t="str">
        <f t="shared" si="37"/>
        <v/>
      </c>
      <c r="M800" s="94"/>
      <c r="N800" s="26" t="str">
        <f t="shared" si="38"/>
        <v/>
      </c>
      <c r="O800" s="80"/>
      <c r="P800" s="80"/>
      <c r="Q800" s="80"/>
      <c r="R800" s="80"/>
    </row>
    <row r="801" ht="18" customHeight="1" spans="1:18">
      <c r="A801" s="87" t="str">
        <f t="shared" si="36"/>
        <v/>
      </c>
      <c r="B801" s="78"/>
      <c r="C801" s="80"/>
      <c r="D801" s="80"/>
      <c r="E801" s="79"/>
      <c r="F801" s="87" t="str">
        <f>IF($E801="","",IFERROR(INDEX(基础资料!$O$4:$O$34,MATCH($E801,基础资料!$N$4:$N$34,0))&amp;"",""))</f>
        <v/>
      </c>
      <c r="G801" s="87" t="str">
        <f>IF($E801="","",IFERROR(INDEX(基础资料!$P$4:$P$34,MATCH($E801,基础资料!$N$4:$N$34,0))&amp;"",""))</f>
        <v/>
      </c>
      <c r="H801" s="79"/>
      <c r="I801" s="88"/>
      <c r="J801" s="92"/>
      <c r="K801" s="93"/>
      <c r="L801" s="25" t="str">
        <f t="shared" si="37"/>
        <v/>
      </c>
      <c r="M801" s="94"/>
      <c r="N801" s="26" t="str">
        <f t="shared" si="38"/>
        <v/>
      </c>
      <c r="O801" s="80"/>
      <c r="P801" s="80"/>
      <c r="Q801" s="80"/>
      <c r="R801" s="80"/>
    </row>
    <row r="802" ht="18" customHeight="1" spans="1:18">
      <c r="A802" s="87" t="str">
        <f t="shared" si="36"/>
        <v/>
      </c>
      <c r="B802" s="78"/>
      <c r="C802" s="80"/>
      <c r="D802" s="80"/>
      <c r="E802" s="79"/>
      <c r="F802" s="87" t="str">
        <f>IF($E802="","",IFERROR(INDEX(基础资料!$O$4:$O$34,MATCH($E802,基础资料!$N$4:$N$34,0))&amp;"",""))</f>
        <v/>
      </c>
      <c r="G802" s="87" t="str">
        <f>IF($E802="","",IFERROR(INDEX(基础资料!$P$4:$P$34,MATCH($E802,基础资料!$N$4:$N$34,0))&amp;"",""))</f>
        <v/>
      </c>
      <c r="H802" s="79"/>
      <c r="I802" s="88"/>
      <c r="J802" s="92"/>
      <c r="K802" s="93"/>
      <c r="L802" s="25" t="str">
        <f t="shared" si="37"/>
        <v/>
      </c>
      <c r="M802" s="94"/>
      <c r="N802" s="26" t="str">
        <f t="shared" si="38"/>
        <v/>
      </c>
      <c r="O802" s="80"/>
      <c r="P802" s="80"/>
      <c r="Q802" s="80"/>
      <c r="R802" s="80"/>
    </row>
    <row r="803" ht="18" customHeight="1" spans="1:18">
      <c r="A803" s="87" t="str">
        <f t="shared" si="36"/>
        <v/>
      </c>
      <c r="B803" s="78"/>
      <c r="C803" s="80"/>
      <c r="D803" s="80"/>
      <c r="E803" s="79"/>
      <c r="F803" s="87" t="str">
        <f>IF($E803="","",IFERROR(INDEX(基础资料!$O$4:$O$34,MATCH($E803,基础资料!$N$4:$N$34,0))&amp;"",""))</f>
        <v/>
      </c>
      <c r="G803" s="87" t="str">
        <f>IF($E803="","",IFERROR(INDEX(基础资料!$P$4:$P$34,MATCH($E803,基础资料!$N$4:$N$34,0))&amp;"",""))</f>
        <v/>
      </c>
      <c r="H803" s="79"/>
      <c r="I803" s="88"/>
      <c r="J803" s="92"/>
      <c r="K803" s="93"/>
      <c r="L803" s="25" t="str">
        <f t="shared" si="37"/>
        <v/>
      </c>
      <c r="M803" s="94"/>
      <c r="N803" s="26" t="str">
        <f t="shared" si="38"/>
        <v/>
      </c>
      <c r="O803" s="80"/>
      <c r="P803" s="80"/>
      <c r="Q803" s="80"/>
      <c r="R803" s="80"/>
    </row>
    <row r="804" ht="18" customHeight="1" spans="1:18">
      <c r="A804" s="87" t="str">
        <f t="shared" si="36"/>
        <v/>
      </c>
      <c r="B804" s="78"/>
      <c r="C804" s="80"/>
      <c r="D804" s="80"/>
      <c r="E804" s="79"/>
      <c r="F804" s="87" t="str">
        <f>IF($E804="","",IFERROR(INDEX(基础资料!$O$4:$O$34,MATCH($E804,基础资料!$N$4:$N$34,0))&amp;"",""))</f>
        <v/>
      </c>
      <c r="G804" s="87" t="str">
        <f>IF($E804="","",IFERROR(INDEX(基础资料!$P$4:$P$34,MATCH($E804,基础资料!$N$4:$N$34,0))&amp;"",""))</f>
        <v/>
      </c>
      <c r="H804" s="79"/>
      <c r="I804" s="88"/>
      <c r="J804" s="92"/>
      <c r="K804" s="93"/>
      <c r="L804" s="25" t="str">
        <f t="shared" si="37"/>
        <v/>
      </c>
      <c r="M804" s="94"/>
      <c r="N804" s="26" t="str">
        <f t="shared" si="38"/>
        <v/>
      </c>
      <c r="O804" s="80"/>
      <c r="P804" s="80"/>
      <c r="Q804" s="80"/>
      <c r="R804" s="80"/>
    </row>
    <row r="805" ht="18" customHeight="1" spans="1:18">
      <c r="A805" s="87" t="str">
        <f t="shared" si="36"/>
        <v/>
      </c>
      <c r="B805" s="78"/>
      <c r="C805" s="80"/>
      <c r="D805" s="80"/>
      <c r="E805" s="79"/>
      <c r="F805" s="87" t="str">
        <f>IF($E805="","",IFERROR(INDEX(基础资料!$O$4:$O$34,MATCH($E805,基础资料!$N$4:$N$34,0))&amp;"",""))</f>
        <v/>
      </c>
      <c r="G805" s="87" t="str">
        <f>IF($E805="","",IFERROR(INDEX(基础资料!$P$4:$P$34,MATCH($E805,基础资料!$N$4:$N$34,0))&amp;"",""))</f>
        <v/>
      </c>
      <c r="H805" s="79"/>
      <c r="I805" s="88"/>
      <c r="J805" s="92"/>
      <c r="K805" s="93"/>
      <c r="L805" s="25" t="str">
        <f t="shared" si="37"/>
        <v/>
      </c>
      <c r="M805" s="94"/>
      <c r="N805" s="26" t="str">
        <f t="shared" si="38"/>
        <v/>
      </c>
      <c r="O805" s="80"/>
      <c r="P805" s="80"/>
      <c r="Q805" s="80"/>
      <c r="R805" s="80"/>
    </row>
    <row r="806" ht="18" customHeight="1" spans="1:18">
      <c r="A806" s="87" t="str">
        <f t="shared" si="36"/>
        <v/>
      </c>
      <c r="B806" s="78"/>
      <c r="C806" s="80"/>
      <c r="D806" s="80"/>
      <c r="E806" s="79"/>
      <c r="F806" s="87" t="str">
        <f>IF($E806="","",IFERROR(INDEX(基础资料!$O$4:$O$34,MATCH($E806,基础资料!$N$4:$N$34,0))&amp;"",""))</f>
        <v/>
      </c>
      <c r="G806" s="87" t="str">
        <f>IF($E806="","",IFERROR(INDEX(基础资料!$P$4:$P$34,MATCH($E806,基础资料!$N$4:$N$34,0))&amp;"",""))</f>
        <v/>
      </c>
      <c r="H806" s="79"/>
      <c r="I806" s="88"/>
      <c r="J806" s="92"/>
      <c r="K806" s="93"/>
      <c r="L806" s="25" t="str">
        <f t="shared" si="37"/>
        <v/>
      </c>
      <c r="M806" s="94"/>
      <c r="N806" s="26" t="str">
        <f t="shared" si="38"/>
        <v/>
      </c>
      <c r="O806" s="80"/>
      <c r="P806" s="80"/>
      <c r="Q806" s="80"/>
      <c r="R806" s="80"/>
    </row>
    <row r="807" ht="18" customHeight="1" spans="1:18">
      <c r="A807" s="87" t="str">
        <f t="shared" si="36"/>
        <v/>
      </c>
      <c r="B807" s="78"/>
      <c r="C807" s="80"/>
      <c r="D807" s="80"/>
      <c r="E807" s="79"/>
      <c r="F807" s="87" t="str">
        <f>IF($E807="","",IFERROR(INDEX(基础资料!$O$4:$O$34,MATCH($E807,基础资料!$N$4:$N$34,0))&amp;"",""))</f>
        <v/>
      </c>
      <c r="G807" s="87" t="str">
        <f>IF($E807="","",IFERROR(INDEX(基础资料!$P$4:$P$34,MATCH($E807,基础资料!$N$4:$N$34,0))&amp;"",""))</f>
        <v/>
      </c>
      <c r="H807" s="79"/>
      <c r="I807" s="88"/>
      <c r="J807" s="92"/>
      <c r="K807" s="93"/>
      <c r="L807" s="25" t="str">
        <f t="shared" si="37"/>
        <v/>
      </c>
      <c r="M807" s="94"/>
      <c r="N807" s="26" t="str">
        <f t="shared" si="38"/>
        <v/>
      </c>
      <c r="O807" s="80"/>
      <c r="P807" s="80"/>
      <c r="Q807" s="80"/>
      <c r="R807" s="80"/>
    </row>
    <row r="808" ht="18" customHeight="1" spans="1:18">
      <c r="A808" s="87" t="str">
        <f t="shared" si="36"/>
        <v/>
      </c>
      <c r="B808" s="78"/>
      <c r="C808" s="80"/>
      <c r="D808" s="80"/>
      <c r="E808" s="79"/>
      <c r="F808" s="87" t="str">
        <f>IF($E808="","",IFERROR(INDEX(基础资料!$O$4:$O$34,MATCH($E808,基础资料!$N$4:$N$34,0))&amp;"",""))</f>
        <v/>
      </c>
      <c r="G808" s="87" t="str">
        <f>IF($E808="","",IFERROR(INDEX(基础资料!$P$4:$P$34,MATCH($E808,基础资料!$N$4:$N$34,0))&amp;"",""))</f>
        <v/>
      </c>
      <c r="H808" s="79"/>
      <c r="I808" s="88"/>
      <c r="J808" s="92"/>
      <c r="K808" s="93"/>
      <c r="L808" s="25" t="str">
        <f t="shared" si="37"/>
        <v/>
      </c>
      <c r="M808" s="94"/>
      <c r="N808" s="26" t="str">
        <f t="shared" si="38"/>
        <v/>
      </c>
      <c r="O808" s="80"/>
      <c r="P808" s="80"/>
      <c r="Q808" s="80"/>
      <c r="R808" s="80"/>
    </row>
    <row r="809" ht="18" customHeight="1" spans="1:18">
      <c r="A809" s="87" t="str">
        <f t="shared" si="36"/>
        <v/>
      </c>
      <c r="B809" s="78"/>
      <c r="C809" s="80"/>
      <c r="D809" s="80"/>
      <c r="E809" s="79"/>
      <c r="F809" s="87" t="str">
        <f>IF($E809="","",IFERROR(INDEX(基础资料!$O$4:$O$34,MATCH($E809,基础资料!$N$4:$N$34,0))&amp;"",""))</f>
        <v/>
      </c>
      <c r="G809" s="87" t="str">
        <f>IF($E809="","",IFERROR(INDEX(基础资料!$P$4:$P$34,MATCH($E809,基础资料!$N$4:$N$34,0))&amp;"",""))</f>
        <v/>
      </c>
      <c r="H809" s="79"/>
      <c r="I809" s="88"/>
      <c r="J809" s="92"/>
      <c r="K809" s="93"/>
      <c r="L809" s="25" t="str">
        <f t="shared" si="37"/>
        <v/>
      </c>
      <c r="M809" s="94"/>
      <c r="N809" s="26" t="str">
        <f t="shared" si="38"/>
        <v/>
      </c>
      <c r="O809" s="80"/>
      <c r="P809" s="80"/>
      <c r="Q809" s="80"/>
      <c r="R809" s="80"/>
    </row>
    <row r="810" ht="18" customHeight="1" spans="1:18">
      <c r="A810" s="87" t="str">
        <f t="shared" si="36"/>
        <v/>
      </c>
      <c r="B810" s="78"/>
      <c r="C810" s="80"/>
      <c r="D810" s="80"/>
      <c r="E810" s="79"/>
      <c r="F810" s="87" t="str">
        <f>IF($E810="","",IFERROR(INDEX(基础资料!$O$4:$O$34,MATCH($E810,基础资料!$N$4:$N$34,0))&amp;"",""))</f>
        <v/>
      </c>
      <c r="G810" s="87" t="str">
        <f>IF($E810="","",IFERROR(INDEX(基础资料!$P$4:$P$34,MATCH($E810,基础资料!$N$4:$N$34,0))&amp;"",""))</f>
        <v/>
      </c>
      <c r="H810" s="79"/>
      <c r="I810" s="88"/>
      <c r="J810" s="92"/>
      <c r="K810" s="93"/>
      <c r="L810" s="25" t="str">
        <f t="shared" si="37"/>
        <v/>
      </c>
      <c r="M810" s="94"/>
      <c r="N810" s="26" t="str">
        <f t="shared" si="38"/>
        <v/>
      </c>
      <c r="O810" s="80"/>
      <c r="P810" s="80"/>
      <c r="Q810" s="80"/>
      <c r="R810" s="80"/>
    </row>
    <row r="811" ht="18" customHeight="1" spans="1:18">
      <c r="A811" s="87" t="str">
        <f t="shared" si="36"/>
        <v/>
      </c>
      <c r="B811" s="78"/>
      <c r="C811" s="80"/>
      <c r="D811" s="80"/>
      <c r="E811" s="79"/>
      <c r="F811" s="87" t="str">
        <f>IF($E811="","",IFERROR(INDEX(基础资料!$O$4:$O$34,MATCH($E811,基础资料!$N$4:$N$34,0))&amp;"",""))</f>
        <v/>
      </c>
      <c r="G811" s="87" t="str">
        <f>IF($E811="","",IFERROR(INDEX(基础资料!$P$4:$P$34,MATCH($E811,基础资料!$N$4:$N$34,0))&amp;"",""))</f>
        <v/>
      </c>
      <c r="H811" s="79"/>
      <c r="I811" s="88"/>
      <c r="J811" s="92"/>
      <c r="K811" s="93"/>
      <c r="L811" s="25" t="str">
        <f t="shared" si="37"/>
        <v/>
      </c>
      <c r="M811" s="94"/>
      <c r="N811" s="26" t="str">
        <f t="shared" si="38"/>
        <v/>
      </c>
      <c r="O811" s="80"/>
      <c r="P811" s="80"/>
      <c r="Q811" s="80"/>
      <c r="R811" s="80"/>
    </row>
    <row r="812" ht="18" customHeight="1" spans="1:18">
      <c r="A812" s="87" t="str">
        <f t="shared" si="36"/>
        <v/>
      </c>
      <c r="B812" s="78"/>
      <c r="C812" s="80"/>
      <c r="D812" s="80"/>
      <c r="E812" s="79"/>
      <c r="F812" s="87" t="str">
        <f>IF($E812="","",IFERROR(INDEX(基础资料!$O$4:$O$34,MATCH($E812,基础资料!$N$4:$N$34,0))&amp;"",""))</f>
        <v/>
      </c>
      <c r="G812" s="87" t="str">
        <f>IF($E812="","",IFERROR(INDEX(基础资料!$P$4:$P$34,MATCH($E812,基础资料!$N$4:$N$34,0))&amp;"",""))</f>
        <v/>
      </c>
      <c r="H812" s="79"/>
      <c r="I812" s="88"/>
      <c r="J812" s="92"/>
      <c r="K812" s="93"/>
      <c r="L812" s="25" t="str">
        <f t="shared" si="37"/>
        <v/>
      </c>
      <c r="M812" s="94"/>
      <c r="N812" s="26" t="str">
        <f t="shared" si="38"/>
        <v/>
      </c>
      <c r="O812" s="80"/>
      <c r="P812" s="80"/>
      <c r="Q812" s="80"/>
      <c r="R812" s="80"/>
    </row>
    <row r="813" ht="18" customHeight="1" spans="1:18">
      <c r="A813" s="87" t="str">
        <f t="shared" si="36"/>
        <v/>
      </c>
      <c r="B813" s="78"/>
      <c r="C813" s="80"/>
      <c r="D813" s="80"/>
      <c r="E813" s="79"/>
      <c r="F813" s="87" t="str">
        <f>IF($E813="","",IFERROR(INDEX(基础资料!$O$4:$O$34,MATCH($E813,基础资料!$N$4:$N$34,0))&amp;"",""))</f>
        <v/>
      </c>
      <c r="G813" s="87" t="str">
        <f>IF($E813="","",IFERROR(INDEX(基础资料!$P$4:$P$34,MATCH($E813,基础资料!$N$4:$N$34,0))&amp;"",""))</f>
        <v/>
      </c>
      <c r="H813" s="79"/>
      <c r="I813" s="88"/>
      <c r="J813" s="92"/>
      <c r="K813" s="93"/>
      <c r="L813" s="25" t="str">
        <f t="shared" si="37"/>
        <v/>
      </c>
      <c r="M813" s="94"/>
      <c r="N813" s="26" t="str">
        <f t="shared" si="38"/>
        <v/>
      </c>
      <c r="O813" s="80"/>
      <c r="P813" s="80"/>
      <c r="Q813" s="80"/>
      <c r="R813" s="80"/>
    </row>
    <row r="814" ht="18" customHeight="1" spans="1:18">
      <c r="A814" s="87" t="str">
        <f t="shared" si="36"/>
        <v/>
      </c>
      <c r="B814" s="78"/>
      <c r="C814" s="80"/>
      <c r="D814" s="80"/>
      <c r="E814" s="79"/>
      <c r="F814" s="87" t="str">
        <f>IF($E814="","",IFERROR(INDEX(基础资料!$O$4:$O$34,MATCH($E814,基础资料!$N$4:$N$34,0))&amp;"",""))</f>
        <v/>
      </c>
      <c r="G814" s="87" t="str">
        <f>IF($E814="","",IFERROR(INDEX(基础资料!$P$4:$P$34,MATCH($E814,基础资料!$N$4:$N$34,0))&amp;"",""))</f>
        <v/>
      </c>
      <c r="H814" s="79"/>
      <c r="I814" s="88"/>
      <c r="J814" s="92"/>
      <c r="K814" s="93"/>
      <c r="L814" s="25" t="str">
        <f t="shared" si="37"/>
        <v/>
      </c>
      <c r="M814" s="94"/>
      <c r="N814" s="26" t="str">
        <f t="shared" si="38"/>
        <v/>
      </c>
      <c r="O814" s="80"/>
      <c r="P814" s="80"/>
      <c r="Q814" s="80"/>
      <c r="R814" s="80"/>
    </row>
    <row r="815" ht="18" customHeight="1" spans="1:18">
      <c r="A815" s="87" t="str">
        <f t="shared" si="36"/>
        <v/>
      </c>
      <c r="B815" s="78"/>
      <c r="C815" s="80"/>
      <c r="D815" s="80"/>
      <c r="E815" s="79"/>
      <c r="F815" s="87" t="str">
        <f>IF($E815="","",IFERROR(INDEX(基础资料!$O$4:$O$34,MATCH($E815,基础资料!$N$4:$N$34,0))&amp;"",""))</f>
        <v/>
      </c>
      <c r="G815" s="87" t="str">
        <f>IF($E815="","",IFERROR(INDEX(基础资料!$P$4:$P$34,MATCH($E815,基础资料!$N$4:$N$34,0))&amp;"",""))</f>
        <v/>
      </c>
      <c r="H815" s="79"/>
      <c r="I815" s="88"/>
      <c r="J815" s="92"/>
      <c r="K815" s="93"/>
      <c r="L815" s="25" t="str">
        <f t="shared" si="37"/>
        <v/>
      </c>
      <c r="M815" s="94"/>
      <c r="N815" s="26" t="str">
        <f t="shared" si="38"/>
        <v/>
      </c>
      <c r="O815" s="80"/>
      <c r="P815" s="80"/>
      <c r="Q815" s="80"/>
      <c r="R815" s="80"/>
    </row>
    <row r="816" ht="18" customHeight="1" spans="1:18">
      <c r="A816" s="87" t="str">
        <f t="shared" si="36"/>
        <v/>
      </c>
      <c r="B816" s="78"/>
      <c r="C816" s="80"/>
      <c r="D816" s="80"/>
      <c r="E816" s="79"/>
      <c r="F816" s="87" t="str">
        <f>IF($E816="","",IFERROR(INDEX(基础资料!$O$4:$O$34,MATCH($E816,基础资料!$N$4:$N$34,0))&amp;"",""))</f>
        <v/>
      </c>
      <c r="G816" s="87" t="str">
        <f>IF($E816="","",IFERROR(INDEX(基础资料!$P$4:$P$34,MATCH($E816,基础资料!$N$4:$N$34,0))&amp;"",""))</f>
        <v/>
      </c>
      <c r="H816" s="79"/>
      <c r="I816" s="88"/>
      <c r="J816" s="92"/>
      <c r="K816" s="93"/>
      <c r="L816" s="25" t="str">
        <f t="shared" si="37"/>
        <v/>
      </c>
      <c r="M816" s="94"/>
      <c r="N816" s="26" t="str">
        <f t="shared" si="38"/>
        <v/>
      </c>
      <c r="O816" s="80"/>
      <c r="P816" s="80"/>
      <c r="Q816" s="80"/>
      <c r="R816" s="80"/>
    </row>
    <row r="817" ht="18" customHeight="1" spans="1:18">
      <c r="A817" s="87" t="str">
        <f t="shared" si="36"/>
        <v/>
      </c>
      <c r="B817" s="78"/>
      <c r="C817" s="80"/>
      <c r="D817" s="80"/>
      <c r="E817" s="79"/>
      <c r="F817" s="87" t="str">
        <f>IF($E817="","",IFERROR(INDEX(基础资料!$O$4:$O$34,MATCH($E817,基础资料!$N$4:$N$34,0))&amp;"",""))</f>
        <v/>
      </c>
      <c r="G817" s="87" t="str">
        <f>IF($E817="","",IFERROR(INDEX(基础资料!$P$4:$P$34,MATCH($E817,基础资料!$N$4:$N$34,0))&amp;"",""))</f>
        <v/>
      </c>
      <c r="H817" s="79"/>
      <c r="I817" s="88"/>
      <c r="J817" s="92"/>
      <c r="K817" s="93"/>
      <c r="L817" s="25" t="str">
        <f t="shared" si="37"/>
        <v/>
      </c>
      <c r="M817" s="94"/>
      <c r="N817" s="26" t="str">
        <f t="shared" si="38"/>
        <v/>
      </c>
      <c r="O817" s="80"/>
      <c r="P817" s="80"/>
      <c r="Q817" s="80"/>
      <c r="R817" s="80"/>
    </row>
    <row r="818" ht="18" customHeight="1" spans="1:18">
      <c r="A818" s="87" t="str">
        <f t="shared" si="36"/>
        <v/>
      </c>
      <c r="B818" s="78"/>
      <c r="C818" s="80"/>
      <c r="D818" s="80"/>
      <c r="E818" s="79"/>
      <c r="F818" s="87" t="str">
        <f>IF($E818="","",IFERROR(INDEX(基础资料!$O$4:$O$34,MATCH($E818,基础资料!$N$4:$N$34,0))&amp;"",""))</f>
        <v/>
      </c>
      <c r="G818" s="87" t="str">
        <f>IF($E818="","",IFERROR(INDEX(基础资料!$P$4:$P$34,MATCH($E818,基础资料!$N$4:$N$34,0))&amp;"",""))</f>
        <v/>
      </c>
      <c r="H818" s="79"/>
      <c r="I818" s="88"/>
      <c r="J818" s="92"/>
      <c r="K818" s="93"/>
      <c r="L818" s="25" t="str">
        <f t="shared" si="37"/>
        <v/>
      </c>
      <c r="M818" s="94"/>
      <c r="N818" s="26" t="str">
        <f t="shared" si="38"/>
        <v/>
      </c>
      <c r="O818" s="80"/>
      <c r="P818" s="80"/>
      <c r="Q818" s="80"/>
      <c r="R818" s="80"/>
    </row>
    <row r="819" ht="18" customHeight="1" spans="1:18">
      <c r="A819" s="87" t="str">
        <f t="shared" si="36"/>
        <v/>
      </c>
      <c r="B819" s="78"/>
      <c r="C819" s="80"/>
      <c r="D819" s="80"/>
      <c r="E819" s="79"/>
      <c r="F819" s="87" t="str">
        <f>IF($E819="","",IFERROR(INDEX(基础资料!$O$4:$O$34,MATCH($E819,基础资料!$N$4:$N$34,0))&amp;"",""))</f>
        <v/>
      </c>
      <c r="G819" s="87" t="str">
        <f>IF($E819="","",IFERROR(INDEX(基础资料!$P$4:$P$34,MATCH($E819,基础资料!$N$4:$N$34,0))&amp;"",""))</f>
        <v/>
      </c>
      <c r="H819" s="79"/>
      <c r="I819" s="88"/>
      <c r="J819" s="92"/>
      <c r="K819" s="93"/>
      <c r="L819" s="25" t="str">
        <f t="shared" si="37"/>
        <v/>
      </c>
      <c r="M819" s="94"/>
      <c r="N819" s="26" t="str">
        <f t="shared" si="38"/>
        <v/>
      </c>
      <c r="O819" s="80"/>
      <c r="P819" s="80"/>
      <c r="Q819" s="80"/>
      <c r="R819" s="80"/>
    </row>
    <row r="820" ht="18" customHeight="1" spans="1:18">
      <c r="A820" s="87" t="str">
        <f t="shared" si="36"/>
        <v/>
      </c>
      <c r="B820" s="78"/>
      <c r="C820" s="80"/>
      <c r="D820" s="80"/>
      <c r="E820" s="79"/>
      <c r="F820" s="87" t="str">
        <f>IF($E820="","",IFERROR(INDEX(基础资料!$O$4:$O$34,MATCH($E820,基础资料!$N$4:$N$34,0))&amp;"",""))</f>
        <v/>
      </c>
      <c r="G820" s="87" t="str">
        <f>IF($E820="","",IFERROR(INDEX(基础资料!$P$4:$P$34,MATCH($E820,基础资料!$N$4:$N$34,0))&amp;"",""))</f>
        <v/>
      </c>
      <c r="H820" s="79"/>
      <c r="I820" s="88"/>
      <c r="J820" s="92"/>
      <c r="K820" s="93"/>
      <c r="L820" s="25" t="str">
        <f t="shared" si="37"/>
        <v/>
      </c>
      <c r="M820" s="94"/>
      <c r="N820" s="26" t="str">
        <f t="shared" si="38"/>
        <v/>
      </c>
      <c r="O820" s="80"/>
      <c r="P820" s="80"/>
      <c r="Q820" s="80"/>
      <c r="R820" s="80"/>
    </row>
    <row r="821" ht="18" customHeight="1" spans="1:18">
      <c r="A821" s="87" t="str">
        <f t="shared" si="36"/>
        <v/>
      </c>
      <c r="B821" s="78"/>
      <c r="C821" s="80"/>
      <c r="D821" s="80"/>
      <c r="E821" s="79"/>
      <c r="F821" s="87" t="str">
        <f>IF($E821="","",IFERROR(INDEX(基础资料!$O$4:$O$34,MATCH($E821,基础资料!$N$4:$N$34,0))&amp;"",""))</f>
        <v/>
      </c>
      <c r="G821" s="87" t="str">
        <f>IF($E821="","",IFERROR(INDEX(基础资料!$P$4:$P$34,MATCH($E821,基础资料!$N$4:$N$34,0))&amp;"",""))</f>
        <v/>
      </c>
      <c r="H821" s="79"/>
      <c r="I821" s="88"/>
      <c r="J821" s="92"/>
      <c r="K821" s="93"/>
      <c r="L821" s="25" t="str">
        <f t="shared" si="37"/>
        <v/>
      </c>
      <c r="M821" s="94"/>
      <c r="N821" s="26" t="str">
        <f t="shared" si="38"/>
        <v/>
      </c>
      <c r="O821" s="80"/>
      <c r="P821" s="80"/>
      <c r="Q821" s="80"/>
      <c r="R821" s="80"/>
    </row>
    <row r="822" ht="18" customHeight="1" spans="1:18">
      <c r="A822" s="87" t="str">
        <f t="shared" si="36"/>
        <v/>
      </c>
      <c r="B822" s="78"/>
      <c r="C822" s="80"/>
      <c r="D822" s="80"/>
      <c r="E822" s="79"/>
      <c r="F822" s="87" t="str">
        <f>IF($E822="","",IFERROR(INDEX(基础资料!$O$4:$O$34,MATCH($E822,基础资料!$N$4:$N$34,0))&amp;"",""))</f>
        <v/>
      </c>
      <c r="G822" s="87" t="str">
        <f>IF($E822="","",IFERROR(INDEX(基础资料!$P$4:$P$34,MATCH($E822,基础资料!$N$4:$N$34,0))&amp;"",""))</f>
        <v/>
      </c>
      <c r="H822" s="79"/>
      <c r="I822" s="88"/>
      <c r="J822" s="92"/>
      <c r="K822" s="93"/>
      <c r="L822" s="25" t="str">
        <f t="shared" si="37"/>
        <v/>
      </c>
      <c r="M822" s="94"/>
      <c r="N822" s="26" t="str">
        <f t="shared" si="38"/>
        <v/>
      </c>
      <c r="O822" s="80"/>
      <c r="P822" s="80"/>
      <c r="Q822" s="80"/>
      <c r="R822" s="80"/>
    </row>
    <row r="823" ht="18" customHeight="1" spans="1:18">
      <c r="A823" s="87" t="str">
        <f t="shared" si="36"/>
        <v/>
      </c>
      <c r="B823" s="78"/>
      <c r="C823" s="80"/>
      <c r="D823" s="80"/>
      <c r="E823" s="79"/>
      <c r="F823" s="87" t="str">
        <f>IF($E823="","",IFERROR(INDEX(基础资料!$O$4:$O$34,MATCH($E823,基础资料!$N$4:$N$34,0))&amp;"",""))</f>
        <v/>
      </c>
      <c r="G823" s="87" t="str">
        <f>IF($E823="","",IFERROR(INDEX(基础资料!$P$4:$P$34,MATCH($E823,基础资料!$N$4:$N$34,0))&amp;"",""))</f>
        <v/>
      </c>
      <c r="H823" s="79"/>
      <c r="I823" s="88"/>
      <c r="J823" s="92"/>
      <c r="K823" s="93"/>
      <c r="L823" s="25" t="str">
        <f t="shared" si="37"/>
        <v/>
      </c>
      <c r="M823" s="94"/>
      <c r="N823" s="26" t="str">
        <f t="shared" si="38"/>
        <v/>
      </c>
      <c r="O823" s="80"/>
      <c r="P823" s="80"/>
      <c r="Q823" s="80"/>
      <c r="R823" s="80"/>
    </row>
    <row r="824" ht="18" customHeight="1" spans="1:18">
      <c r="A824" s="87" t="str">
        <f t="shared" si="36"/>
        <v/>
      </c>
      <c r="B824" s="78"/>
      <c r="C824" s="80"/>
      <c r="D824" s="80"/>
      <c r="E824" s="79"/>
      <c r="F824" s="87" t="str">
        <f>IF($E824="","",IFERROR(INDEX(基础资料!$O$4:$O$34,MATCH($E824,基础资料!$N$4:$N$34,0))&amp;"",""))</f>
        <v/>
      </c>
      <c r="G824" s="87" t="str">
        <f>IF($E824="","",IFERROR(INDEX(基础资料!$P$4:$P$34,MATCH($E824,基础资料!$N$4:$N$34,0))&amp;"",""))</f>
        <v/>
      </c>
      <c r="H824" s="79"/>
      <c r="I824" s="88"/>
      <c r="J824" s="92"/>
      <c r="K824" s="93"/>
      <c r="L824" s="25" t="str">
        <f t="shared" si="37"/>
        <v/>
      </c>
      <c r="M824" s="94"/>
      <c r="N824" s="26" t="str">
        <f t="shared" si="38"/>
        <v/>
      </c>
      <c r="O824" s="80"/>
      <c r="P824" s="80"/>
      <c r="Q824" s="80"/>
      <c r="R824" s="80"/>
    </row>
    <row r="825" ht="18" customHeight="1" spans="1:18">
      <c r="A825" s="87" t="str">
        <f t="shared" si="36"/>
        <v/>
      </c>
      <c r="B825" s="78"/>
      <c r="C825" s="80"/>
      <c r="D825" s="80"/>
      <c r="E825" s="79"/>
      <c r="F825" s="87" t="str">
        <f>IF($E825="","",IFERROR(INDEX(基础资料!$O$4:$O$34,MATCH($E825,基础资料!$N$4:$N$34,0))&amp;"",""))</f>
        <v/>
      </c>
      <c r="G825" s="87" t="str">
        <f>IF($E825="","",IFERROR(INDEX(基础资料!$P$4:$P$34,MATCH($E825,基础资料!$N$4:$N$34,0))&amp;"",""))</f>
        <v/>
      </c>
      <c r="H825" s="79"/>
      <c r="I825" s="88"/>
      <c r="J825" s="92"/>
      <c r="K825" s="93"/>
      <c r="L825" s="25" t="str">
        <f t="shared" si="37"/>
        <v/>
      </c>
      <c r="M825" s="94"/>
      <c r="N825" s="26" t="str">
        <f t="shared" si="38"/>
        <v/>
      </c>
      <c r="O825" s="80"/>
      <c r="P825" s="80"/>
      <c r="Q825" s="80"/>
      <c r="R825" s="80"/>
    </row>
    <row r="826" ht="18" customHeight="1" spans="1:18">
      <c r="A826" s="87" t="str">
        <f t="shared" si="36"/>
        <v/>
      </c>
      <c r="B826" s="78"/>
      <c r="C826" s="80"/>
      <c r="D826" s="80"/>
      <c r="E826" s="79"/>
      <c r="F826" s="87" t="str">
        <f>IF($E826="","",IFERROR(INDEX(基础资料!$O$4:$O$34,MATCH($E826,基础资料!$N$4:$N$34,0))&amp;"",""))</f>
        <v/>
      </c>
      <c r="G826" s="87" t="str">
        <f>IF($E826="","",IFERROR(INDEX(基础资料!$P$4:$P$34,MATCH($E826,基础资料!$N$4:$N$34,0))&amp;"",""))</f>
        <v/>
      </c>
      <c r="H826" s="79"/>
      <c r="I826" s="88"/>
      <c r="J826" s="92"/>
      <c r="K826" s="93"/>
      <c r="L826" s="25" t="str">
        <f t="shared" si="37"/>
        <v/>
      </c>
      <c r="M826" s="94"/>
      <c r="N826" s="26" t="str">
        <f t="shared" si="38"/>
        <v/>
      </c>
      <c r="O826" s="80"/>
      <c r="P826" s="80"/>
      <c r="Q826" s="80"/>
      <c r="R826" s="80"/>
    </row>
    <row r="827" ht="18" customHeight="1" spans="1:18">
      <c r="A827" s="87" t="str">
        <f t="shared" si="36"/>
        <v/>
      </c>
      <c r="B827" s="78"/>
      <c r="C827" s="80"/>
      <c r="D827" s="80"/>
      <c r="E827" s="79"/>
      <c r="F827" s="87" t="str">
        <f>IF($E827="","",IFERROR(INDEX(基础资料!$O$4:$O$34,MATCH($E827,基础资料!$N$4:$N$34,0))&amp;"",""))</f>
        <v/>
      </c>
      <c r="G827" s="87" t="str">
        <f>IF($E827="","",IFERROR(INDEX(基础资料!$P$4:$P$34,MATCH($E827,基础资料!$N$4:$N$34,0))&amp;"",""))</f>
        <v/>
      </c>
      <c r="H827" s="79"/>
      <c r="I827" s="88"/>
      <c r="J827" s="92"/>
      <c r="K827" s="93"/>
      <c r="L827" s="25" t="str">
        <f t="shared" si="37"/>
        <v/>
      </c>
      <c r="M827" s="94"/>
      <c r="N827" s="26" t="str">
        <f t="shared" si="38"/>
        <v/>
      </c>
      <c r="O827" s="80"/>
      <c r="P827" s="80"/>
      <c r="Q827" s="80"/>
      <c r="R827" s="80"/>
    </row>
    <row r="828" ht="18" customHeight="1" spans="1:18">
      <c r="A828" s="87" t="str">
        <f t="shared" si="36"/>
        <v/>
      </c>
      <c r="B828" s="78"/>
      <c r="C828" s="80"/>
      <c r="D828" s="80"/>
      <c r="E828" s="79"/>
      <c r="F828" s="87" t="str">
        <f>IF($E828="","",IFERROR(INDEX(基础资料!$O$4:$O$34,MATCH($E828,基础资料!$N$4:$N$34,0))&amp;"",""))</f>
        <v/>
      </c>
      <c r="G828" s="87" t="str">
        <f>IF($E828="","",IFERROR(INDEX(基础资料!$P$4:$P$34,MATCH($E828,基础资料!$N$4:$N$34,0))&amp;"",""))</f>
        <v/>
      </c>
      <c r="H828" s="79"/>
      <c r="I828" s="88"/>
      <c r="J828" s="92"/>
      <c r="K828" s="93"/>
      <c r="L828" s="25" t="str">
        <f t="shared" si="37"/>
        <v/>
      </c>
      <c r="M828" s="94"/>
      <c r="N828" s="26" t="str">
        <f t="shared" si="38"/>
        <v/>
      </c>
      <c r="O828" s="80"/>
      <c r="P828" s="80"/>
      <c r="Q828" s="80"/>
      <c r="R828" s="80"/>
    </row>
    <row r="829" ht="18" customHeight="1" spans="1:18">
      <c r="A829" s="87" t="str">
        <f t="shared" si="36"/>
        <v/>
      </c>
      <c r="B829" s="78"/>
      <c r="C829" s="80"/>
      <c r="D829" s="80"/>
      <c r="E829" s="79"/>
      <c r="F829" s="87" t="str">
        <f>IF($E829="","",IFERROR(INDEX(基础资料!$O$4:$O$34,MATCH($E829,基础资料!$N$4:$N$34,0))&amp;"",""))</f>
        <v/>
      </c>
      <c r="G829" s="87" t="str">
        <f>IF($E829="","",IFERROR(INDEX(基础资料!$P$4:$P$34,MATCH($E829,基础资料!$N$4:$N$34,0))&amp;"",""))</f>
        <v/>
      </c>
      <c r="H829" s="79"/>
      <c r="I829" s="88"/>
      <c r="J829" s="92"/>
      <c r="K829" s="93"/>
      <c r="L829" s="25" t="str">
        <f t="shared" si="37"/>
        <v/>
      </c>
      <c r="M829" s="94"/>
      <c r="N829" s="26" t="str">
        <f t="shared" si="38"/>
        <v/>
      </c>
      <c r="O829" s="80"/>
      <c r="P829" s="80"/>
      <c r="Q829" s="80"/>
      <c r="R829" s="80"/>
    </row>
    <row r="830" ht="18" customHeight="1" spans="1:18">
      <c r="A830" s="87" t="str">
        <f t="shared" si="36"/>
        <v/>
      </c>
      <c r="B830" s="78"/>
      <c r="C830" s="80"/>
      <c r="D830" s="80"/>
      <c r="E830" s="79"/>
      <c r="F830" s="87" t="str">
        <f>IF($E830="","",IFERROR(INDEX(基础资料!$O$4:$O$34,MATCH($E830,基础资料!$N$4:$N$34,0))&amp;"",""))</f>
        <v/>
      </c>
      <c r="G830" s="87" t="str">
        <f>IF($E830="","",IFERROR(INDEX(基础资料!$P$4:$P$34,MATCH($E830,基础资料!$N$4:$N$34,0))&amp;"",""))</f>
        <v/>
      </c>
      <c r="H830" s="79"/>
      <c r="I830" s="88"/>
      <c r="J830" s="92"/>
      <c r="K830" s="93"/>
      <c r="L830" s="25" t="str">
        <f t="shared" si="37"/>
        <v/>
      </c>
      <c r="M830" s="94"/>
      <c r="N830" s="26" t="str">
        <f t="shared" si="38"/>
        <v/>
      </c>
      <c r="O830" s="80"/>
      <c r="P830" s="80"/>
      <c r="Q830" s="80"/>
      <c r="R830" s="80"/>
    </row>
    <row r="831" ht="18" customHeight="1" spans="1:18">
      <c r="A831" s="87" t="str">
        <f t="shared" si="36"/>
        <v/>
      </c>
      <c r="B831" s="78"/>
      <c r="C831" s="80"/>
      <c r="D831" s="80"/>
      <c r="E831" s="79"/>
      <c r="F831" s="87" t="str">
        <f>IF($E831="","",IFERROR(INDEX(基础资料!$O$4:$O$34,MATCH($E831,基础资料!$N$4:$N$34,0))&amp;"",""))</f>
        <v/>
      </c>
      <c r="G831" s="87" t="str">
        <f>IF($E831="","",IFERROR(INDEX(基础资料!$P$4:$P$34,MATCH($E831,基础资料!$N$4:$N$34,0))&amp;"",""))</f>
        <v/>
      </c>
      <c r="H831" s="79"/>
      <c r="I831" s="88"/>
      <c r="J831" s="92"/>
      <c r="K831" s="93"/>
      <c r="L831" s="25" t="str">
        <f t="shared" si="37"/>
        <v/>
      </c>
      <c r="M831" s="94"/>
      <c r="N831" s="26" t="str">
        <f t="shared" si="38"/>
        <v/>
      </c>
      <c r="O831" s="80"/>
      <c r="P831" s="80"/>
      <c r="Q831" s="80"/>
      <c r="R831" s="80"/>
    </row>
    <row r="832" ht="18" customHeight="1" spans="1:18">
      <c r="A832" s="87" t="str">
        <f t="shared" si="36"/>
        <v/>
      </c>
      <c r="B832" s="78"/>
      <c r="C832" s="80"/>
      <c r="D832" s="80"/>
      <c r="E832" s="79"/>
      <c r="F832" s="87" t="str">
        <f>IF($E832="","",IFERROR(INDEX(基础资料!$O$4:$O$34,MATCH($E832,基础资料!$N$4:$N$34,0))&amp;"",""))</f>
        <v/>
      </c>
      <c r="G832" s="87" t="str">
        <f>IF($E832="","",IFERROR(INDEX(基础资料!$P$4:$P$34,MATCH($E832,基础资料!$N$4:$N$34,0))&amp;"",""))</f>
        <v/>
      </c>
      <c r="H832" s="79"/>
      <c r="I832" s="88"/>
      <c r="J832" s="92"/>
      <c r="K832" s="93"/>
      <c r="L832" s="25" t="str">
        <f t="shared" si="37"/>
        <v/>
      </c>
      <c r="M832" s="94"/>
      <c r="N832" s="26" t="str">
        <f t="shared" si="38"/>
        <v/>
      </c>
      <c r="O832" s="80"/>
      <c r="P832" s="80"/>
      <c r="Q832" s="80"/>
      <c r="R832" s="80"/>
    </row>
    <row r="833" ht="18" customHeight="1" spans="1:18">
      <c r="A833" s="87" t="str">
        <f t="shared" si="36"/>
        <v/>
      </c>
      <c r="B833" s="78"/>
      <c r="C833" s="80"/>
      <c r="D833" s="80"/>
      <c r="E833" s="79"/>
      <c r="F833" s="87" t="str">
        <f>IF($E833="","",IFERROR(INDEX(基础资料!$O$4:$O$34,MATCH($E833,基础资料!$N$4:$N$34,0))&amp;"",""))</f>
        <v/>
      </c>
      <c r="G833" s="87" t="str">
        <f>IF($E833="","",IFERROR(INDEX(基础资料!$P$4:$P$34,MATCH($E833,基础资料!$N$4:$N$34,0))&amp;"",""))</f>
        <v/>
      </c>
      <c r="H833" s="79"/>
      <c r="I833" s="88"/>
      <c r="J833" s="92"/>
      <c r="K833" s="93"/>
      <c r="L833" s="25" t="str">
        <f t="shared" si="37"/>
        <v/>
      </c>
      <c r="M833" s="94"/>
      <c r="N833" s="26" t="str">
        <f t="shared" si="38"/>
        <v/>
      </c>
      <c r="O833" s="80"/>
      <c r="P833" s="80"/>
      <c r="Q833" s="80"/>
      <c r="R833" s="80"/>
    </row>
    <row r="834" ht="18" customHeight="1" spans="1:18">
      <c r="A834" s="87" t="str">
        <f t="shared" si="36"/>
        <v/>
      </c>
      <c r="B834" s="78"/>
      <c r="C834" s="80"/>
      <c r="D834" s="80"/>
      <c r="E834" s="79"/>
      <c r="F834" s="87" t="str">
        <f>IF($E834="","",IFERROR(INDEX(基础资料!$O$4:$O$34,MATCH($E834,基础资料!$N$4:$N$34,0))&amp;"",""))</f>
        <v/>
      </c>
      <c r="G834" s="87" t="str">
        <f>IF($E834="","",IFERROR(INDEX(基础资料!$P$4:$P$34,MATCH($E834,基础资料!$N$4:$N$34,0))&amp;"",""))</f>
        <v/>
      </c>
      <c r="H834" s="79"/>
      <c r="I834" s="88"/>
      <c r="J834" s="92"/>
      <c r="K834" s="93"/>
      <c r="L834" s="25" t="str">
        <f t="shared" si="37"/>
        <v/>
      </c>
      <c r="M834" s="94"/>
      <c r="N834" s="26" t="str">
        <f t="shared" si="38"/>
        <v/>
      </c>
      <c r="O834" s="80"/>
      <c r="P834" s="80"/>
      <c r="Q834" s="80"/>
      <c r="R834" s="80"/>
    </row>
    <row r="835" ht="18" customHeight="1" spans="1:18">
      <c r="A835" s="87" t="str">
        <f t="shared" si="36"/>
        <v/>
      </c>
      <c r="B835" s="78"/>
      <c r="C835" s="80"/>
      <c r="D835" s="80"/>
      <c r="E835" s="79"/>
      <c r="F835" s="87" t="str">
        <f>IF($E835="","",IFERROR(INDEX(基础资料!$O$4:$O$34,MATCH($E835,基础资料!$N$4:$N$34,0))&amp;"",""))</f>
        <v/>
      </c>
      <c r="G835" s="87" t="str">
        <f>IF($E835="","",IFERROR(INDEX(基础资料!$P$4:$P$34,MATCH($E835,基础资料!$N$4:$N$34,0))&amp;"",""))</f>
        <v/>
      </c>
      <c r="H835" s="79"/>
      <c r="I835" s="88"/>
      <c r="J835" s="92"/>
      <c r="K835" s="93"/>
      <c r="L835" s="25" t="str">
        <f t="shared" si="37"/>
        <v/>
      </c>
      <c r="M835" s="94"/>
      <c r="N835" s="26" t="str">
        <f t="shared" si="38"/>
        <v/>
      </c>
      <c r="O835" s="80"/>
      <c r="P835" s="80"/>
      <c r="Q835" s="80"/>
      <c r="R835" s="80"/>
    </row>
    <row r="836" ht="18" customHeight="1" spans="1:18">
      <c r="A836" s="87" t="str">
        <f t="shared" ref="A836:A899" si="39">IF($E836="","",ROW()-3)</f>
        <v/>
      </c>
      <c r="B836" s="78"/>
      <c r="C836" s="80"/>
      <c r="D836" s="80"/>
      <c r="E836" s="79"/>
      <c r="F836" s="87" t="str">
        <f>IF($E836="","",IFERROR(INDEX(基础资料!$O$4:$O$34,MATCH($E836,基础资料!$N$4:$N$34,0))&amp;"",""))</f>
        <v/>
      </c>
      <c r="G836" s="87" t="str">
        <f>IF($E836="","",IFERROR(INDEX(基础资料!$P$4:$P$34,MATCH($E836,基础资料!$N$4:$N$34,0))&amp;"",""))</f>
        <v/>
      </c>
      <c r="H836" s="79"/>
      <c r="I836" s="88"/>
      <c r="J836" s="92"/>
      <c r="K836" s="93"/>
      <c r="L836" s="25" t="str">
        <f t="shared" ref="L836:L899" si="40">IF($E836="","",N($I836)+N($J836)-N($K836))</f>
        <v/>
      </c>
      <c r="M836" s="94"/>
      <c r="N836" s="26" t="str">
        <f t="shared" ref="N836:N899" si="41">IF($E836="","",ROUND(N($L836)*N($M836),2))</f>
        <v/>
      </c>
      <c r="O836" s="80"/>
      <c r="P836" s="80"/>
      <c r="Q836" s="80"/>
      <c r="R836" s="80"/>
    </row>
    <row r="837" ht="18" customHeight="1" spans="1:18">
      <c r="A837" s="87" t="str">
        <f t="shared" si="39"/>
        <v/>
      </c>
      <c r="B837" s="78"/>
      <c r="C837" s="80"/>
      <c r="D837" s="80"/>
      <c r="E837" s="79"/>
      <c r="F837" s="87" t="str">
        <f>IF($E837="","",IFERROR(INDEX(基础资料!$O$4:$O$34,MATCH($E837,基础资料!$N$4:$N$34,0))&amp;"",""))</f>
        <v/>
      </c>
      <c r="G837" s="87" t="str">
        <f>IF($E837="","",IFERROR(INDEX(基础资料!$P$4:$P$34,MATCH($E837,基础资料!$N$4:$N$34,0))&amp;"",""))</f>
        <v/>
      </c>
      <c r="H837" s="79"/>
      <c r="I837" s="88"/>
      <c r="J837" s="92"/>
      <c r="K837" s="93"/>
      <c r="L837" s="25" t="str">
        <f t="shared" si="40"/>
        <v/>
      </c>
      <c r="M837" s="94"/>
      <c r="N837" s="26" t="str">
        <f t="shared" si="41"/>
        <v/>
      </c>
      <c r="O837" s="80"/>
      <c r="P837" s="80"/>
      <c r="Q837" s="80"/>
      <c r="R837" s="80"/>
    </row>
    <row r="838" ht="18" customHeight="1" spans="1:18">
      <c r="A838" s="87" t="str">
        <f t="shared" si="39"/>
        <v/>
      </c>
      <c r="B838" s="78"/>
      <c r="C838" s="80"/>
      <c r="D838" s="80"/>
      <c r="E838" s="79"/>
      <c r="F838" s="87" t="str">
        <f>IF($E838="","",IFERROR(INDEX(基础资料!$O$4:$O$34,MATCH($E838,基础资料!$N$4:$N$34,0))&amp;"",""))</f>
        <v/>
      </c>
      <c r="G838" s="87" t="str">
        <f>IF($E838="","",IFERROR(INDEX(基础资料!$P$4:$P$34,MATCH($E838,基础资料!$N$4:$N$34,0))&amp;"",""))</f>
        <v/>
      </c>
      <c r="H838" s="79"/>
      <c r="I838" s="88"/>
      <c r="J838" s="92"/>
      <c r="K838" s="93"/>
      <c r="L838" s="25" t="str">
        <f t="shared" si="40"/>
        <v/>
      </c>
      <c r="M838" s="94"/>
      <c r="N838" s="26" t="str">
        <f t="shared" si="41"/>
        <v/>
      </c>
      <c r="O838" s="80"/>
      <c r="P838" s="80"/>
      <c r="Q838" s="80"/>
      <c r="R838" s="80"/>
    </row>
    <row r="839" ht="18" customHeight="1" spans="1:18">
      <c r="A839" s="87" t="str">
        <f t="shared" si="39"/>
        <v/>
      </c>
      <c r="B839" s="78"/>
      <c r="C839" s="80"/>
      <c r="D839" s="80"/>
      <c r="E839" s="79"/>
      <c r="F839" s="87" t="str">
        <f>IF($E839="","",IFERROR(INDEX(基础资料!$O$4:$O$34,MATCH($E839,基础资料!$N$4:$N$34,0))&amp;"",""))</f>
        <v/>
      </c>
      <c r="G839" s="87" t="str">
        <f>IF($E839="","",IFERROR(INDEX(基础资料!$P$4:$P$34,MATCH($E839,基础资料!$N$4:$N$34,0))&amp;"",""))</f>
        <v/>
      </c>
      <c r="H839" s="79"/>
      <c r="I839" s="88"/>
      <c r="J839" s="92"/>
      <c r="K839" s="93"/>
      <c r="L839" s="25" t="str">
        <f t="shared" si="40"/>
        <v/>
      </c>
      <c r="M839" s="94"/>
      <c r="N839" s="26" t="str">
        <f t="shared" si="41"/>
        <v/>
      </c>
      <c r="O839" s="80"/>
      <c r="P839" s="80"/>
      <c r="Q839" s="80"/>
      <c r="R839" s="80"/>
    </row>
    <row r="840" ht="18" customHeight="1" spans="1:18">
      <c r="A840" s="87" t="str">
        <f t="shared" si="39"/>
        <v/>
      </c>
      <c r="B840" s="78"/>
      <c r="C840" s="80"/>
      <c r="D840" s="80"/>
      <c r="E840" s="79"/>
      <c r="F840" s="87" t="str">
        <f>IF($E840="","",IFERROR(INDEX(基础资料!$O$4:$O$34,MATCH($E840,基础资料!$N$4:$N$34,0))&amp;"",""))</f>
        <v/>
      </c>
      <c r="G840" s="87" t="str">
        <f>IF($E840="","",IFERROR(INDEX(基础资料!$P$4:$P$34,MATCH($E840,基础资料!$N$4:$N$34,0))&amp;"",""))</f>
        <v/>
      </c>
      <c r="H840" s="79"/>
      <c r="I840" s="88"/>
      <c r="J840" s="92"/>
      <c r="K840" s="93"/>
      <c r="L840" s="25" t="str">
        <f t="shared" si="40"/>
        <v/>
      </c>
      <c r="M840" s="94"/>
      <c r="N840" s="26" t="str">
        <f t="shared" si="41"/>
        <v/>
      </c>
      <c r="O840" s="80"/>
      <c r="P840" s="80"/>
      <c r="Q840" s="80"/>
      <c r="R840" s="80"/>
    </row>
    <row r="841" ht="18" customHeight="1" spans="1:18">
      <c r="A841" s="87" t="str">
        <f t="shared" si="39"/>
        <v/>
      </c>
      <c r="B841" s="78"/>
      <c r="C841" s="80"/>
      <c r="D841" s="80"/>
      <c r="E841" s="79"/>
      <c r="F841" s="87" t="str">
        <f>IF($E841="","",IFERROR(INDEX(基础资料!$O$4:$O$34,MATCH($E841,基础资料!$N$4:$N$34,0))&amp;"",""))</f>
        <v/>
      </c>
      <c r="G841" s="87" t="str">
        <f>IF($E841="","",IFERROR(INDEX(基础资料!$P$4:$P$34,MATCH($E841,基础资料!$N$4:$N$34,0))&amp;"",""))</f>
        <v/>
      </c>
      <c r="H841" s="79"/>
      <c r="I841" s="88"/>
      <c r="J841" s="92"/>
      <c r="K841" s="93"/>
      <c r="L841" s="25" t="str">
        <f t="shared" si="40"/>
        <v/>
      </c>
      <c r="M841" s="94"/>
      <c r="N841" s="26" t="str">
        <f t="shared" si="41"/>
        <v/>
      </c>
      <c r="O841" s="80"/>
      <c r="P841" s="80"/>
      <c r="Q841" s="80"/>
      <c r="R841" s="80"/>
    </row>
    <row r="842" ht="18" customHeight="1" spans="1:18">
      <c r="A842" s="87" t="str">
        <f t="shared" si="39"/>
        <v/>
      </c>
      <c r="B842" s="78"/>
      <c r="C842" s="80"/>
      <c r="D842" s="80"/>
      <c r="E842" s="79"/>
      <c r="F842" s="87" t="str">
        <f>IF($E842="","",IFERROR(INDEX(基础资料!$O$4:$O$34,MATCH($E842,基础资料!$N$4:$N$34,0))&amp;"",""))</f>
        <v/>
      </c>
      <c r="G842" s="87" t="str">
        <f>IF($E842="","",IFERROR(INDEX(基础资料!$P$4:$P$34,MATCH($E842,基础资料!$N$4:$N$34,0))&amp;"",""))</f>
        <v/>
      </c>
      <c r="H842" s="79"/>
      <c r="I842" s="88"/>
      <c r="J842" s="92"/>
      <c r="K842" s="93"/>
      <c r="L842" s="25" t="str">
        <f t="shared" si="40"/>
        <v/>
      </c>
      <c r="M842" s="94"/>
      <c r="N842" s="26" t="str">
        <f t="shared" si="41"/>
        <v/>
      </c>
      <c r="O842" s="80"/>
      <c r="P842" s="80"/>
      <c r="Q842" s="80"/>
      <c r="R842" s="80"/>
    </row>
    <row r="843" ht="18" customHeight="1" spans="1:18">
      <c r="A843" s="87" t="str">
        <f t="shared" si="39"/>
        <v/>
      </c>
      <c r="B843" s="78"/>
      <c r="C843" s="80"/>
      <c r="D843" s="80"/>
      <c r="E843" s="79"/>
      <c r="F843" s="87" t="str">
        <f>IF($E843="","",IFERROR(INDEX(基础资料!$O$4:$O$34,MATCH($E843,基础资料!$N$4:$N$34,0))&amp;"",""))</f>
        <v/>
      </c>
      <c r="G843" s="87" t="str">
        <f>IF($E843="","",IFERROR(INDEX(基础资料!$P$4:$P$34,MATCH($E843,基础资料!$N$4:$N$34,0))&amp;"",""))</f>
        <v/>
      </c>
      <c r="H843" s="79"/>
      <c r="I843" s="88"/>
      <c r="J843" s="92"/>
      <c r="K843" s="93"/>
      <c r="L843" s="25" t="str">
        <f t="shared" si="40"/>
        <v/>
      </c>
      <c r="M843" s="94"/>
      <c r="N843" s="26" t="str">
        <f t="shared" si="41"/>
        <v/>
      </c>
      <c r="O843" s="80"/>
      <c r="P843" s="80"/>
      <c r="Q843" s="80"/>
      <c r="R843" s="80"/>
    </row>
    <row r="844" ht="18" customHeight="1" spans="1:18">
      <c r="A844" s="87" t="str">
        <f t="shared" si="39"/>
        <v/>
      </c>
      <c r="B844" s="78"/>
      <c r="C844" s="80"/>
      <c r="D844" s="80"/>
      <c r="E844" s="79"/>
      <c r="F844" s="87" t="str">
        <f>IF($E844="","",IFERROR(INDEX(基础资料!$O$4:$O$34,MATCH($E844,基础资料!$N$4:$N$34,0))&amp;"",""))</f>
        <v/>
      </c>
      <c r="G844" s="87" t="str">
        <f>IF($E844="","",IFERROR(INDEX(基础资料!$P$4:$P$34,MATCH($E844,基础资料!$N$4:$N$34,0))&amp;"",""))</f>
        <v/>
      </c>
      <c r="H844" s="79"/>
      <c r="I844" s="88"/>
      <c r="J844" s="92"/>
      <c r="K844" s="93"/>
      <c r="L844" s="25" t="str">
        <f t="shared" si="40"/>
        <v/>
      </c>
      <c r="M844" s="94"/>
      <c r="N844" s="26" t="str">
        <f t="shared" si="41"/>
        <v/>
      </c>
      <c r="O844" s="80"/>
      <c r="P844" s="80"/>
      <c r="Q844" s="80"/>
      <c r="R844" s="80"/>
    </row>
    <row r="845" ht="18" customHeight="1" spans="1:18">
      <c r="A845" s="87" t="str">
        <f t="shared" si="39"/>
        <v/>
      </c>
      <c r="B845" s="78"/>
      <c r="C845" s="80"/>
      <c r="D845" s="80"/>
      <c r="E845" s="79"/>
      <c r="F845" s="87" t="str">
        <f>IF($E845="","",IFERROR(INDEX(基础资料!$O$4:$O$34,MATCH($E845,基础资料!$N$4:$N$34,0))&amp;"",""))</f>
        <v/>
      </c>
      <c r="G845" s="87" t="str">
        <f>IF($E845="","",IFERROR(INDEX(基础资料!$P$4:$P$34,MATCH($E845,基础资料!$N$4:$N$34,0))&amp;"",""))</f>
        <v/>
      </c>
      <c r="H845" s="79"/>
      <c r="I845" s="88"/>
      <c r="J845" s="92"/>
      <c r="K845" s="93"/>
      <c r="L845" s="25" t="str">
        <f t="shared" si="40"/>
        <v/>
      </c>
      <c r="M845" s="94"/>
      <c r="N845" s="26" t="str">
        <f t="shared" si="41"/>
        <v/>
      </c>
      <c r="O845" s="80"/>
      <c r="P845" s="80"/>
      <c r="Q845" s="80"/>
      <c r="R845" s="80"/>
    </row>
    <row r="846" ht="18" customHeight="1" spans="1:18">
      <c r="A846" s="87" t="str">
        <f t="shared" si="39"/>
        <v/>
      </c>
      <c r="B846" s="78"/>
      <c r="C846" s="80"/>
      <c r="D846" s="80"/>
      <c r="E846" s="79"/>
      <c r="F846" s="87" t="str">
        <f>IF($E846="","",IFERROR(INDEX(基础资料!$O$4:$O$34,MATCH($E846,基础资料!$N$4:$N$34,0))&amp;"",""))</f>
        <v/>
      </c>
      <c r="G846" s="87" t="str">
        <f>IF($E846="","",IFERROR(INDEX(基础资料!$P$4:$P$34,MATCH($E846,基础资料!$N$4:$N$34,0))&amp;"",""))</f>
        <v/>
      </c>
      <c r="H846" s="79"/>
      <c r="I846" s="88"/>
      <c r="J846" s="92"/>
      <c r="K846" s="93"/>
      <c r="L846" s="25" t="str">
        <f t="shared" si="40"/>
        <v/>
      </c>
      <c r="M846" s="94"/>
      <c r="N846" s="26" t="str">
        <f t="shared" si="41"/>
        <v/>
      </c>
      <c r="O846" s="80"/>
      <c r="P846" s="80"/>
      <c r="Q846" s="80"/>
      <c r="R846" s="80"/>
    </row>
    <row r="847" ht="18" customHeight="1" spans="1:18">
      <c r="A847" s="87" t="str">
        <f t="shared" si="39"/>
        <v/>
      </c>
      <c r="B847" s="78"/>
      <c r="C847" s="80"/>
      <c r="D847" s="80"/>
      <c r="E847" s="79"/>
      <c r="F847" s="87" t="str">
        <f>IF($E847="","",IFERROR(INDEX(基础资料!$O$4:$O$34,MATCH($E847,基础资料!$N$4:$N$34,0))&amp;"",""))</f>
        <v/>
      </c>
      <c r="G847" s="87" t="str">
        <f>IF($E847="","",IFERROR(INDEX(基础资料!$P$4:$P$34,MATCH($E847,基础资料!$N$4:$N$34,0))&amp;"",""))</f>
        <v/>
      </c>
      <c r="H847" s="79"/>
      <c r="I847" s="88"/>
      <c r="J847" s="92"/>
      <c r="K847" s="93"/>
      <c r="L847" s="25" t="str">
        <f t="shared" si="40"/>
        <v/>
      </c>
      <c r="M847" s="94"/>
      <c r="N847" s="26" t="str">
        <f t="shared" si="41"/>
        <v/>
      </c>
      <c r="O847" s="80"/>
      <c r="P847" s="80"/>
      <c r="Q847" s="80"/>
      <c r="R847" s="80"/>
    </row>
    <row r="848" ht="18" customHeight="1" spans="1:18">
      <c r="A848" s="87" t="str">
        <f t="shared" si="39"/>
        <v/>
      </c>
      <c r="B848" s="78"/>
      <c r="C848" s="80"/>
      <c r="D848" s="80"/>
      <c r="E848" s="79"/>
      <c r="F848" s="87" t="str">
        <f>IF($E848="","",IFERROR(INDEX(基础资料!$O$4:$O$34,MATCH($E848,基础资料!$N$4:$N$34,0))&amp;"",""))</f>
        <v/>
      </c>
      <c r="G848" s="87" t="str">
        <f>IF($E848="","",IFERROR(INDEX(基础资料!$P$4:$P$34,MATCH($E848,基础资料!$N$4:$N$34,0))&amp;"",""))</f>
        <v/>
      </c>
      <c r="H848" s="79"/>
      <c r="I848" s="88"/>
      <c r="J848" s="92"/>
      <c r="K848" s="93"/>
      <c r="L848" s="25" t="str">
        <f t="shared" si="40"/>
        <v/>
      </c>
      <c r="M848" s="94"/>
      <c r="N848" s="26" t="str">
        <f t="shared" si="41"/>
        <v/>
      </c>
      <c r="O848" s="80"/>
      <c r="P848" s="80"/>
      <c r="Q848" s="80"/>
      <c r="R848" s="80"/>
    </row>
    <row r="849" ht="18" customHeight="1" spans="1:18">
      <c r="A849" s="87" t="str">
        <f t="shared" si="39"/>
        <v/>
      </c>
      <c r="B849" s="78"/>
      <c r="C849" s="80"/>
      <c r="D849" s="80"/>
      <c r="E849" s="79"/>
      <c r="F849" s="87" t="str">
        <f>IF($E849="","",IFERROR(INDEX(基础资料!$O$4:$O$34,MATCH($E849,基础资料!$N$4:$N$34,0))&amp;"",""))</f>
        <v/>
      </c>
      <c r="G849" s="87" t="str">
        <f>IF($E849="","",IFERROR(INDEX(基础资料!$P$4:$P$34,MATCH($E849,基础资料!$N$4:$N$34,0))&amp;"",""))</f>
        <v/>
      </c>
      <c r="H849" s="79"/>
      <c r="I849" s="88"/>
      <c r="J849" s="92"/>
      <c r="K849" s="93"/>
      <c r="L849" s="25" t="str">
        <f t="shared" si="40"/>
        <v/>
      </c>
      <c r="M849" s="94"/>
      <c r="N849" s="26" t="str">
        <f t="shared" si="41"/>
        <v/>
      </c>
      <c r="O849" s="80"/>
      <c r="P849" s="80"/>
      <c r="Q849" s="80"/>
      <c r="R849" s="80"/>
    </row>
    <row r="850" ht="18" customHeight="1" spans="1:18">
      <c r="A850" s="87" t="str">
        <f t="shared" si="39"/>
        <v/>
      </c>
      <c r="B850" s="78"/>
      <c r="C850" s="80"/>
      <c r="D850" s="80"/>
      <c r="E850" s="79"/>
      <c r="F850" s="87" t="str">
        <f>IF($E850="","",IFERROR(INDEX(基础资料!$O$4:$O$34,MATCH($E850,基础资料!$N$4:$N$34,0))&amp;"",""))</f>
        <v/>
      </c>
      <c r="G850" s="87" t="str">
        <f>IF($E850="","",IFERROR(INDEX(基础资料!$P$4:$P$34,MATCH($E850,基础资料!$N$4:$N$34,0))&amp;"",""))</f>
        <v/>
      </c>
      <c r="H850" s="79"/>
      <c r="I850" s="88"/>
      <c r="J850" s="92"/>
      <c r="K850" s="93"/>
      <c r="L850" s="25" t="str">
        <f t="shared" si="40"/>
        <v/>
      </c>
      <c r="M850" s="94"/>
      <c r="N850" s="26" t="str">
        <f t="shared" si="41"/>
        <v/>
      </c>
      <c r="O850" s="80"/>
      <c r="P850" s="80"/>
      <c r="Q850" s="80"/>
      <c r="R850" s="80"/>
    </row>
    <row r="851" ht="18" customHeight="1" spans="1:18">
      <c r="A851" s="87" t="str">
        <f t="shared" si="39"/>
        <v/>
      </c>
      <c r="B851" s="78"/>
      <c r="C851" s="80"/>
      <c r="D851" s="80"/>
      <c r="E851" s="79"/>
      <c r="F851" s="87" t="str">
        <f>IF($E851="","",IFERROR(INDEX(基础资料!$O$4:$O$34,MATCH($E851,基础资料!$N$4:$N$34,0))&amp;"",""))</f>
        <v/>
      </c>
      <c r="G851" s="87" t="str">
        <f>IF($E851="","",IFERROR(INDEX(基础资料!$P$4:$P$34,MATCH($E851,基础资料!$N$4:$N$34,0))&amp;"",""))</f>
        <v/>
      </c>
      <c r="H851" s="79"/>
      <c r="I851" s="88"/>
      <c r="J851" s="92"/>
      <c r="K851" s="93"/>
      <c r="L851" s="25" t="str">
        <f t="shared" si="40"/>
        <v/>
      </c>
      <c r="M851" s="94"/>
      <c r="N851" s="26" t="str">
        <f t="shared" si="41"/>
        <v/>
      </c>
      <c r="O851" s="80"/>
      <c r="P851" s="80"/>
      <c r="Q851" s="80"/>
      <c r="R851" s="80"/>
    </row>
    <row r="852" ht="18" customHeight="1" spans="1:18">
      <c r="A852" s="87" t="str">
        <f t="shared" si="39"/>
        <v/>
      </c>
      <c r="B852" s="78"/>
      <c r="C852" s="80"/>
      <c r="D852" s="80"/>
      <c r="E852" s="79"/>
      <c r="F852" s="87" t="str">
        <f>IF($E852="","",IFERROR(INDEX(基础资料!$O$4:$O$34,MATCH($E852,基础资料!$N$4:$N$34,0))&amp;"",""))</f>
        <v/>
      </c>
      <c r="G852" s="87" t="str">
        <f>IF($E852="","",IFERROR(INDEX(基础资料!$P$4:$P$34,MATCH($E852,基础资料!$N$4:$N$34,0))&amp;"",""))</f>
        <v/>
      </c>
      <c r="H852" s="79"/>
      <c r="I852" s="88"/>
      <c r="J852" s="92"/>
      <c r="K852" s="93"/>
      <c r="L852" s="25" t="str">
        <f t="shared" si="40"/>
        <v/>
      </c>
      <c r="M852" s="94"/>
      <c r="N852" s="26" t="str">
        <f t="shared" si="41"/>
        <v/>
      </c>
      <c r="O852" s="80"/>
      <c r="P852" s="80"/>
      <c r="Q852" s="80"/>
      <c r="R852" s="80"/>
    </row>
    <row r="853" ht="18" customHeight="1" spans="1:18">
      <c r="A853" s="87" t="str">
        <f t="shared" si="39"/>
        <v/>
      </c>
      <c r="B853" s="78"/>
      <c r="C853" s="80"/>
      <c r="D853" s="80"/>
      <c r="E853" s="79"/>
      <c r="F853" s="87" t="str">
        <f>IF($E853="","",IFERROR(INDEX(基础资料!$O$4:$O$34,MATCH($E853,基础资料!$N$4:$N$34,0))&amp;"",""))</f>
        <v/>
      </c>
      <c r="G853" s="87" t="str">
        <f>IF($E853="","",IFERROR(INDEX(基础资料!$P$4:$P$34,MATCH($E853,基础资料!$N$4:$N$34,0))&amp;"",""))</f>
        <v/>
      </c>
      <c r="H853" s="79"/>
      <c r="I853" s="88"/>
      <c r="J853" s="92"/>
      <c r="K853" s="93"/>
      <c r="L853" s="25" t="str">
        <f t="shared" si="40"/>
        <v/>
      </c>
      <c r="M853" s="94"/>
      <c r="N853" s="26" t="str">
        <f t="shared" si="41"/>
        <v/>
      </c>
      <c r="O853" s="80"/>
      <c r="P853" s="80"/>
      <c r="Q853" s="80"/>
      <c r="R853" s="80"/>
    </row>
    <row r="854" ht="18" customHeight="1" spans="1:18">
      <c r="A854" s="87" t="str">
        <f t="shared" si="39"/>
        <v/>
      </c>
      <c r="B854" s="78"/>
      <c r="C854" s="80"/>
      <c r="D854" s="80"/>
      <c r="E854" s="79"/>
      <c r="F854" s="87" t="str">
        <f>IF($E854="","",IFERROR(INDEX(基础资料!$O$4:$O$34,MATCH($E854,基础资料!$N$4:$N$34,0))&amp;"",""))</f>
        <v/>
      </c>
      <c r="G854" s="87" t="str">
        <f>IF($E854="","",IFERROR(INDEX(基础资料!$P$4:$P$34,MATCH($E854,基础资料!$N$4:$N$34,0))&amp;"",""))</f>
        <v/>
      </c>
      <c r="H854" s="79"/>
      <c r="I854" s="88"/>
      <c r="J854" s="92"/>
      <c r="K854" s="93"/>
      <c r="L854" s="25" t="str">
        <f t="shared" si="40"/>
        <v/>
      </c>
      <c r="M854" s="94"/>
      <c r="N854" s="26" t="str">
        <f t="shared" si="41"/>
        <v/>
      </c>
      <c r="O854" s="80"/>
      <c r="P854" s="80"/>
      <c r="Q854" s="80"/>
      <c r="R854" s="80"/>
    </row>
    <row r="855" ht="18" customHeight="1" spans="1:18">
      <c r="A855" s="87" t="str">
        <f t="shared" si="39"/>
        <v/>
      </c>
      <c r="B855" s="78"/>
      <c r="C855" s="80"/>
      <c r="D855" s="80"/>
      <c r="E855" s="79"/>
      <c r="F855" s="87" t="str">
        <f>IF($E855="","",IFERROR(INDEX(基础资料!$O$4:$O$34,MATCH($E855,基础资料!$N$4:$N$34,0))&amp;"",""))</f>
        <v/>
      </c>
      <c r="G855" s="87" t="str">
        <f>IF($E855="","",IFERROR(INDEX(基础资料!$P$4:$P$34,MATCH($E855,基础资料!$N$4:$N$34,0))&amp;"",""))</f>
        <v/>
      </c>
      <c r="H855" s="79"/>
      <c r="I855" s="88"/>
      <c r="J855" s="92"/>
      <c r="K855" s="93"/>
      <c r="L855" s="25" t="str">
        <f t="shared" si="40"/>
        <v/>
      </c>
      <c r="M855" s="94"/>
      <c r="N855" s="26" t="str">
        <f t="shared" si="41"/>
        <v/>
      </c>
      <c r="O855" s="80"/>
      <c r="P855" s="80"/>
      <c r="Q855" s="80"/>
      <c r="R855" s="80"/>
    </row>
    <row r="856" ht="18" customHeight="1" spans="1:18">
      <c r="A856" s="87" t="str">
        <f t="shared" si="39"/>
        <v/>
      </c>
      <c r="B856" s="78"/>
      <c r="C856" s="80"/>
      <c r="D856" s="80"/>
      <c r="E856" s="79"/>
      <c r="F856" s="87" t="str">
        <f>IF($E856="","",IFERROR(INDEX(基础资料!$O$4:$O$34,MATCH($E856,基础资料!$N$4:$N$34,0))&amp;"",""))</f>
        <v/>
      </c>
      <c r="G856" s="87" t="str">
        <f>IF($E856="","",IFERROR(INDEX(基础资料!$P$4:$P$34,MATCH($E856,基础资料!$N$4:$N$34,0))&amp;"",""))</f>
        <v/>
      </c>
      <c r="H856" s="79"/>
      <c r="I856" s="88"/>
      <c r="J856" s="92"/>
      <c r="K856" s="93"/>
      <c r="L856" s="25" t="str">
        <f t="shared" si="40"/>
        <v/>
      </c>
      <c r="M856" s="94"/>
      <c r="N856" s="26" t="str">
        <f t="shared" si="41"/>
        <v/>
      </c>
      <c r="O856" s="80"/>
      <c r="P856" s="80"/>
      <c r="Q856" s="80"/>
      <c r="R856" s="80"/>
    </row>
    <row r="857" ht="18" customHeight="1" spans="1:18">
      <c r="A857" s="87" t="str">
        <f t="shared" si="39"/>
        <v/>
      </c>
      <c r="B857" s="78"/>
      <c r="C857" s="80"/>
      <c r="D857" s="80"/>
      <c r="E857" s="79"/>
      <c r="F857" s="87" t="str">
        <f>IF($E857="","",IFERROR(INDEX(基础资料!$O$4:$O$34,MATCH($E857,基础资料!$N$4:$N$34,0))&amp;"",""))</f>
        <v/>
      </c>
      <c r="G857" s="87" t="str">
        <f>IF($E857="","",IFERROR(INDEX(基础资料!$P$4:$P$34,MATCH($E857,基础资料!$N$4:$N$34,0))&amp;"",""))</f>
        <v/>
      </c>
      <c r="H857" s="79"/>
      <c r="I857" s="88"/>
      <c r="J857" s="92"/>
      <c r="K857" s="93"/>
      <c r="L857" s="25" t="str">
        <f t="shared" si="40"/>
        <v/>
      </c>
      <c r="M857" s="94"/>
      <c r="N857" s="26" t="str">
        <f t="shared" si="41"/>
        <v/>
      </c>
      <c r="O857" s="80"/>
      <c r="P857" s="80"/>
      <c r="Q857" s="80"/>
      <c r="R857" s="80"/>
    </row>
    <row r="858" ht="18" customHeight="1" spans="1:18">
      <c r="A858" s="87" t="str">
        <f t="shared" si="39"/>
        <v/>
      </c>
      <c r="B858" s="78"/>
      <c r="C858" s="80"/>
      <c r="D858" s="80"/>
      <c r="E858" s="79"/>
      <c r="F858" s="87" t="str">
        <f>IF($E858="","",IFERROR(INDEX(基础资料!$O$4:$O$34,MATCH($E858,基础资料!$N$4:$N$34,0))&amp;"",""))</f>
        <v/>
      </c>
      <c r="G858" s="87" t="str">
        <f>IF($E858="","",IFERROR(INDEX(基础资料!$P$4:$P$34,MATCH($E858,基础资料!$N$4:$N$34,0))&amp;"",""))</f>
        <v/>
      </c>
      <c r="H858" s="79"/>
      <c r="I858" s="88"/>
      <c r="J858" s="92"/>
      <c r="K858" s="93"/>
      <c r="L858" s="25" t="str">
        <f t="shared" si="40"/>
        <v/>
      </c>
      <c r="M858" s="94"/>
      <c r="N858" s="26" t="str">
        <f t="shared" si="41"/>
        <v/>
      </c>
      <c r="O858" s="80"/>
      <c r="P858" s="80"/>
      <c r="Q858" s="80"/>
      <c r="R858" s="80"/>
    </row>
    <row r="859" ht="18" customHeight="1" spans="1:18">
      <c r="A859" s="87" t="str">
        <f t="shared" si="39"/>
        <v/>
      </c>
      <c r="B859" s="78"/>
      <c r="C859" s="80"/>
      <c r="D859" s="80"/>
      <c r="E859" s="79"/>
      <c r="F859" s="87" t="str">
        <f>IF($E859="","",IFERROR(INDEX(基础资料!$O$4:$O$34,MATCH($E859,基础资料!$N$4:$N$34,0))&amp;"",""))</f>
        <v/>
      </c>
      <c r="G859" s="87" t="str">
        <f>IF($E859="","",IFERROR(INDEX(基础资料!$P$4:$P$34,MATCH($E859,基础资料!$N$4:$N$34,0))&amp;"",""))</f>
        <v/>
      </c>
      <c r="H859" s="79"/>
      <c r="I859" s="88"/>
      <c r="J859" s="92"/>
      <c r="K859" s="93"/>
      <c r="L859" s="25" t="str">
        <f t="shared" si="40"/>
        <v/>
      </c>
      <c r="M859" s="94"/>
      <c r="N859" s="26" t="str">
        <f t="shared" si="41"/>
        <v/>
      </c>
      <c r="O859" s="80"/>
      <c r="P859" s="80"/>
      <c r="Q859" s="80"/>
      <c r="R859" s="80"/>
    </row>
    <row r="860" ht="18" customHeight="1" spans="1:18">
      <c r="A860" s="87" t="str">
        <f t="shared" si="39"/>
        <v/>
      </c>
      <c r="B860" s="78"/>
      <c r="C860" s="80"/>
      <c r="D860" s="80"/>
      <c r="E860" s="79"/>
      <c r="F860" s="87" t="str">
        <f>IF($E860="","",IFERROR(INDEX(基础资料!$O$4:$O$34,MATCH($E860,基础资料!$N$4:$N$34,0))&amp;"",""))</f>
        <v/>
      </c>
      <c r="G860" s="87" t="str">
        <f>IF($E860="","",IFERROR(INDEX(基础资料!$P$4:$P$34,MATCH($E860,基础资料!$N$4:$N$34,0))&amp;"",""))</f>
        <v/>
      </c>
      <c r="H860" s="79"/>
      <c r="I860" s="88"/>
      <c r="J860" s="92"/>
      <c r="K860" s="93"/>
      <c r="L860" s="25" t="str">
        <f t="shared" si="40"/>
        <v/>
      </c>
      <c r="M860" s="94"/>
      <c r="N860" s="26" t="str">
        <f t="shared" si="41"/>
        <v/>
      </c>
      <c r="O860" s="80"/>
      <c r="P860" s="80"/>
      <c r="Q860" s="80"/>
      <c r="R860" s="80"/>
    </row>
    <row r="861" ht="18" customHeight="1" spans="1:18">
      <c r="A861" s="87" t="str">
        <f t="shared" si="39"/>
        <v/>
      </c>
      <c r="B861" s="78"/>
      <c r="C861" s="80"/>
      <c r="D861" s="80"/>
      <c r="E861" s="79"/>
      <c r="F861" s="87" t="str">
        <f>IF($E861="","",IFERROR(INDEX(基础资料!$O$4:$O$34,MATCH($E861,基础资料!$N$4:$N$34,0))&amp;"",""))</f>
        <v/>
      </c>
      <c r="G861" s="87" t="str">
        <f>IF($E861="","",IFERROR(INDEX(基础资料!$P$4:$P$34,MATCH($E861,基础资料!$N$4:$N$34,0))&amp;"",""))</f>
        <v/>
      </c>
      <c r="H861" s="79"/>
      <c r="I861" s="88"/>
      <c r="J861" s="92"/>
      <c r="K861" s="93"/>
      <c r="L861" s="25" t="str">
        <f t="shared" si="40"/>
        <v/>
      </c>
      <c r="M861" s="94"/>
      <c r="N861" s="26" t="str">
        <f t="shared" si="41"/>
        <v/>
      </c>
      <c r="O861" s="80"/>
      <c r="P861" s="80"/>
      <c r="Q861" s="80"/>
      <c r="R861" s="80"/>
    </row>
    <row r="862" ht="18" customHeight="1" spans="1:18">
      <c r="A862" s="87" t="str">
        <f t="shared" si="39"/>
        <v/>
      </c>
      <c r="B862" s="78"/>
      <c r="C862" s="80"/>
      <c r="D862" s="80"/>
      <c r="E862" s="79"/>
      <c r="F862" s="87" t="str">
        <f>IF($E862="","",IFERROR(INDEX(基础资料!$O$4:$O$34,MATCH($E862,基础资料!$N$4:$N$34,0))&amp;"",""))</f>
        <v/>
      </c>
      <c r="G862" s="87" t="str">
        <f>IF($E862="","",IFERROR(INDEX(基础资料!$P$4:$P$34,MATCH($E862,基础资料!$N$4:$N$34,0))&amp;"",""))</f>
        <v/>
      </c>
      <c r="H862" s="79"/>
      <c r="I862" s="88"/>
      <c r="J862" s="92"/>
      <c r="K862" s="93"/>
      <c r="L862" s="25" t="str">
        <f t="shared" si="40"/>
        <v/>
      </c>
      <c r="M862" s="94"/>
      <c r="N862" s="26" t="str">
        <f t="shared" si="41"/>
        <v/>
      </c>
      <c r="O862" s="80"/>
      <c r="P862" s="80"/>
      <c r="Q862" s="80"/>
      <c r="R862" s="80"/>
    </row>
    <row r="863" ht="18" customHeight="1" spans="1:18">
      <c r="A863" s="87" t="str">
        <f t="shared" si="39"/>
        <v/>
      </c>
      <c r="B863" s="78"/>
      <c r="C863" s="80"/>
      <c r="D863" s="80"/>
      <c r="E863" s="79"/>
      <c r="F863" s="87" t="str">
        <f>IF($E863="","",IFERROR(INDEX(基础资料!$O$4:$O$34,MATCH($E863,基础资料!$N$4:$N$34,0))&amp;"",""))</f>
        <v/>
      </c>
      <c r="G863" s="87" t="str">
        <f>IF($E863="","",IFERROR(INDEX(基础资料!$P$4:$P$34,MATCH($E863,基础资料!$N$4:$N$34,0))&amp;"",""))</f>
        <v/>
      </c>
      <c r="H863" s="79"/>
      <c r="I863" s="88"/>
      <c r="J863" s="92"/>
      <c r="K863" s="93"/>
      <c r="L863" s="25" t="str">
        <f t="shared" si="40"/>
        <v/>
      </c>
      <c r="M863" s="94"/>
      <c r="N863" s="26" t="str">
        <f t="shared" si="41"/>
        <v/>
      </c>
      <c r="O863" s="80"/>
      <c r="P863" s="80"/>
      <c r="Q863" s="80"/>
      <c r="R863" s="80"/>
    </row>
    <row r="864" ht="18" customHeight="1" spans="1:18">
      <c r="A864" s="87" t="str">
        <f t="shared" si="39"/>
        <v/>
      </c>
      <c r="B864" s="78"/>
      <c r="C864" s="80"/>
      <c r="D864" s="80"/>
      <c r="E864" s="79"/>
      <c r="F864" s="87" t="str">
        <f>IF($E864="","",IFERROR(INDEX(基础资料!$O$4:$O$34,MATCH($E864,基础资料!$N$4:$N$34,0))&amp;"",""))</f>
        <v/>
      </c>
      <c r="G864" s="87" t="str">
        <f>IF($E864="","",IFERROR(INDEX(基础资料!$P$4:$P$34,MATCH($E864,基础资料!$N$4:$N$34,0))&amp;"",""))</f>
        <v/>
      </c>
      <c r="H864" s="79"/>
      <c r="I864" s="88"/>
      <c r="J864" s="92"/>
      <c r="K864" s="93"/>
      <c r="L864" s="25" t="str">
        <f t="shared" si="40"/>
        <v/>
      </c>
      <c r="M864" s="94"/>
      <c r="N864" s="26" t="str">
        <f t="shared" si="41"/>
        <v/>
      </c>
      <c r="O864" s="80"/>
      <c r="P864" s="80"/>
      <c r="Q864" s="80"/>
      <c r="R864" s="80"/>
    </row>
    <row r="865" ht="18" customHeight="1" spans="1:18">
      <c r="A865" s="87" t="str">
        <f t="shared" si="39"/>
        <v/>
      </c>
      <c r="B865" s="78"/>
      <c r="C865" s="80"/>
      <c r="D865" s="80"/>
      <c r="E865" s="79"/>
      <c r="F865" s="87" t="str">
        <f>IF($E865="","",IFERROR(INDEX(基础资料!$O$4:$O$34,MATCH($E865,基础资料!$N$4:$N$34,0))&amp;"",""))</f>
        <v/>
      </c>
      <c r="G865" s="87" t="str">
        <f>IF($E865="","",IFERROR(INDEX(基础资料!$P$4:$P$34,MATCH($E865,基础资料!$N$4:$N$34,0))&amp;"",""))</f>
        <v/>
      </c>
      <c r="H865" s="79"/>
      <c r="I865" s="88"/>
      <c r="J865" s="92"/>
      <c r="K865" s="93"/>
      <c r="L865" s="25" t="str">
        <f t="shared" si="40"/>
        <v/>
      </c>
      <c r="M865" s="94"/>
      <c r="N865" s="26" t="str">
        <f t="shared" si="41"/>
        <v/>
      </c>
      <c r="O865" s="80"/>
      <c r="P865" s="80"/>
      <c r="Q865" s="80"/>
      <c r="R865" s="80"/>
    </row>
    <row r="866" ht="18" customHeight="1" spans="1:18">
      <c r="A866" s="87" t="str">
        <f t="shared" si="39"/>
        <v/>
      </c>
      <c r="B866" s="78"/>
      <c r="C866" s="80"/>
      <c r="D866" s="80"/>
      <c r="E866" s="79"/>
      <c r="F866" s="87" t="str">
        <f>IF($E866="","",IFERROR(INDEX(基础资料!$O$4:$O$34,MATCH($E866,基础资料!$N$4:$N$34,0))&amp;"",""))</f>
        <v/>
      </c>
      <c r="G866" s="87" t="str">
        <f>IF($E866="","",IFERROR(INDEX(基础资料!$P$4:$P$34,MATCH($E866,基础资料!$N$4:$N$34,0))&amp;"",""))</f>
        <v/>
      </c>
      <c r="H866" s="79"/>
      <c r="I866" s="88"/>
      <c r="J866" s="92"/>
      <c r="K866" s="93"/>
      <c r="L866" s="25" t="str">
        <f t="shared" si="40"/>
        <v/>
      </c>
      <c r="M866" s="94"/>
      <c r="N866" s="26" t="str">
        <f t="shared" si="41"/>
        <v/>
      </c>
      <c r="O866" s="80"/>
      <c r="P866" s="80"/>
      <c r="Q866" s="80"/>
      <c r="R866" s="80"/>
    </row>
    <row r="867" ht="18" customHeight="1" spans="1:18">
      <c r="A867" s="87" t="str">
        <f t="shared" si="39"/>
        <v/>
      </c>
      <c r="B867" s="78"/>
      <c r="C867" s="80"/>
      <c r="D867" s="80"/>
      <c r="E867" s="79"/>
      <c r="F867" s="87" t="str">
        <f>IF($E867="","",IFERROR(INDEX(基础资料!$O$4:$O$34,MATCH($E867,基础资料!$N$4:$N$34,0))&amp;"",""))</f>
        <v/>
      </c>
      <c r="G867" s="87" t="str">
        <f>IF($E867="","",IFERROR(INDEX(基础资料!$P$4:$P$34,MATCH($E867,基础资料!$N$4:$N$34,0))&amp;"",""))</f>
        <v/>
      </c>
      <c r="H867" s="79"/>
      <c r="I867" s="88"/>
      <c r="J867" s="92"/>
      <c r="K867" s="93"/>
      <c r="L867" s="25" t="str">
        <f t="shared" si="40"/>
        <v/>
      </c>
      <c r="M867" s="94"/>
      <c r="N867" s="26" t="str">
        <f t="shared" si="41"/>
        <v/>
      </c>
      <c r="O867" s="80"/>
      <c r="P867" s="80"/>
      <c r="Q867" s="80"/>
      <c r="R867" s="80"/>
    </row>
    <row r="868" ht="18" customHeight="1" spans="1:18">
      <c r="A868" s="87" t="str">
        <f t="shared" si="39"/>
        <v/>
      </c>
      <c r="B868" s="78"/>
      <c r="C868" s="80"/>
      <c r="D868" s="80"/>
      <c r="E868" s="79"/>
      <c r="F868" s="87" t="str">
        <f>IF($E868="","",IFERROR(INDEX(基础资料!$O$4:$O$34,MATCH($E868,基础资料!$N$4:$N$34,0))&amp;"",""))</f>
        <v/>
      </c>
      <c r="G868" s="87" t="str">
        <f>IF($E868="","",IFERROR(INDEX(基础资料!$P$4:$P$34,MATCH($E868,基础资料!$N$4:$N$34,0))&amp;"",""))</f>
        <v/>
      </c>
      <c r="H868" s="79"/>
      <c r="I868" s="88"/>
      <c r="J868" s="92"/>
      <c r="K868" s="93"/>
      <c r="L868" s="25" t="str">
        <f t="shared" si="40"/>
        <v/>
      </c>
      <c r="M868" s="94"/>
      <c r="N868" s="26" t="str">
        <f t="shared" si="41"/>
        <v/>
      </c>
      <c r="O868" s="80"/>
      <c r="P868" s="80"/>
      <c r="Q868" s="80"/>
      <c r="R868" s="80"/>
    </row>
    <row r="869" ht="18" customHeight="1" spans="1:18">
      <c r="A869" s="87" t="str">
        <f t="shared" si="39"/>
        <v/>
      </c>
      <c r="B869" s="78"/>
      <c r="C869" s="80"/>
      <c r="D869" s="80"/>
      <c r="E869" s="79"/>
      <c r="F869" s="87" t="str">
        <f>IF($E869="","",IFERROR(INDEX(基础资料!$O$4:$O$34,MATCH($E869,基础资料!$N$4:$N$34,0))&amp;"",""))</f>
        <v/>
      </c>
      <c r="G869" s="87" t="str">
        <f>IF($E869="","",IFERROR(INDEX(基础资料!$P$4:$P$34,MATCH($E869,基础资料!$N$4:$N$34,0))&amp;"",""))</f>
        <v/>
      </c>
      <c r="H869" s="79"/>
      <c r="I869" s="88"/>
      <c r="J869" s="92"/>
      <c r="K869" s="93"/>
      <c r="L869" s="25" t="str">
        <f t="shared" si="40"/>
        <v/>
      </c>
      <c r="M869" s="94"/>
      <c r="N869" s="26" t="str">
        <f t="shared" si="41"/>
        <v/>
      </c>
      <c r="O869" s="80"/>
      <c r="P869" s="80"/>
      <c r="Q869" s="80"/>
      <c r="R869" s="80"/>
    </row>
    <row r="870" ht="18" customHeight="1" spans="1:18">
      <c r="A870" s="87" t="str">
        <f t="shared" si="39"/>
        <v/>
      </c>
      <c r="B870" s="78"/>
      <c r="C870" s="80"/>
      <c r="D870" s="80"/>
      <c r="E870" s="79"/>
      <c r="F870" s="87" t="str">
        <f>IF($E870="","",IFERROR(INDEX(基础资料!$O$4:$O$34,MATCH($E870,基础资料!$N$4:$N$34,0))&amp;"",""))</f>
        <v/>
      </c>
      <c r="G870" s="87" t="str">
        <f>IF($E870="","",IFERROR(INDEX(基础资料!$P$4:$P$34,MATCH($E870,基础资料!$N$4:$N$34,0))&amp;"",""))</f>
        <v/>
      </c>
      <c r="H870" s="79"/>
      <c r="I870" s="88"/>
      <c r="J870" s="92"/>
      <c r="K870" s="93"/>
      <c r="L870" s="25" t="str">
        <f t="shared" si="40"/>
        <v/>
      </c>
      <c r="M870" s="94"/>
      <c r="N870" s="26" t="str">
        <f t="shared" si="41"/>
        <v/>
      </c>
      <c r="O870" s="80"/>
      <c r="P870" s="80"/>
      <c r="Q870" s="80"/>
      <c r="R870" s="80"/>
    </row>
    <row r="871" ht="18" customHeight="1" spans="1:18">
      <c r="A871" s="87" t="str">
        <f t="shared" si="39"/>
        <v/>
      </c>
      <c r="B871" s="78"/>
      <c r="C871" s="80"/>
      <c r="D871" s="80"/>
      <c r="E871" s="79"/>
      <c r="F871" s="87" t="str">
        <f>IF($E871="","",IFERROR(INDEX(基础资料!$O$4:$O$34,MATCH($E871,基础资料!$N$4:$N$34,0))&amp;"",""))</f>
        <v/>
      </c>
      <c r="G871" s="87" t="str">
        <f>IF($E871="","",IFERROR(INDEX(基础资料!$P$4:$P$34,MATCH($E871,基础资料!$N$4:$N$34,0))&amp;"",""))</f>
        <v/>
      </c>
      <c r="H871" s="79"/>
      <c r="I871" s="88"/>
      <c r="J871" s="92"/>
      <c r="K871" s="93"/>
      <c r="L871" s="25" t="str">
        <f t="shared" si="40"/>
        <v/>
      </c>
      <c r="M871" s="94"/>
      <c r="N871" s="26" t="str">
        <f t="shared" si="41"/>
        <v/>
      </c>
      <c r="O871" s="80"/>
      <c r="P871" s="80"/>
      <c r="Q871" s="80"/>
      <c r="R871" s="80"/>
    </row>
    <row r="872" ht="18" customHeight="1" spans="1:18">
      <c r="A872" s="87" t="str">
        <f t="shared" si="39"/>
        <v/>
      </c>
      <c r="B872" s="78"/>
      <c r="C872" s="80"/>
      <c r="D872" s="80"/>
      <c r="E872" s="79"/>
      <c r="F872" s="87" t="str">
        <f>IF($E872="","",IFERROR(INDEX(基础资料!$O$4:$O$34,MATCH($E872,基础资料!$N$4:$N$34,0))&amp;"",""))</f>
        <v/>
      </c>
      <c r="G872" s="87" t="str">
        <f>IF($E872="","",IFERROR(INDEX(基础资料!$P$4:$P$34,MATCH($E872,基础资料!$N$4:$N$34,0))&amp;"",""))</f>
        <v/>
      </c>
      <c r="H872" s="79"/>
      <c r="I872" s="88"/>
      <c r="J872" s="92"/>
      <c r="K872" s="93"/>
      <c r="L872" s="25" t="str">
        <f t="shared" si="40"/>
        <v/>
      </c>
      <c r="M872" s="94"/>
      <c r="N872" s="26" t="str">
        <f t="shared" si="41"/>
        <v/>
      </c>
      <c r="O872" s="80"/>
      <c r="P872" s="80"/>
      <c r="Q872" s="80"/>
      <c r="R872" s="80"/>
    </row>
    <row r="873" ht="18" customHeight="1" spans="1:18">
      <c r="A873" s="87" t="str">
        <f t="shared" si="39"/>
        <v/>
      </c>
      <c r="B873" s="78"/>
      <c r="C873" s="80"/>
      <c r="D873" s="80"/>
      <c r="E873" s="79"/>
      <c r="F873" s="87" t="str">
        <f>IF($E873="","",IFERROR(INDEX(基础资料!$O$4:$O$34,MATCH($E873,基础资料!$N$4:$N$34,0))&amp;"",""))</f>
        <v/>
      </c>
      <c r="G873" s="87" t="str">
        <f>IF($E873="","",IFERROR(INDEX(基础资料!$P$4:$P$34,MATCH($E873,基础资料!$N$4:$N$34,0))&amp;"",""))</f>
        <v/>
      </c>
      <c r="H873" s="79"/>
      <c r="I873" s="88"/>
      <c r="J873" s="92"/>
      <c r="K873" s="93"/>
      <c r="L873" s="25" t="str">
        <f t="shared" si="40"/>
        <v/>
      </c>
      <c r="M873" s="94"/>
      <c r="N873" s="26" t="str">
        <f t="shared" si="41"/>
        <v/>
      </c>
      <c r="O873" s="80"/>
      <c r="P873" s="80"/>
      <c r="Q873" s="80"/>
      <c r="R873" s="80"/>
    </row>
    <row r="874" ht="18" customHeight="1" spans="1:18">
      <c r="A874" s="87" t="str">
        <f t="shared" si="39"/>
        <v/>
      </c>
      <c r="B874" s="78"/>
      <c r="C874" s="80"/>
      <c r="D874" s="80"/>
      <c r="E874" s="79"/>
      <c r="F874" s="87" t="str">
        <f>IF($E874="","",IFERROR(INDEX(基础资料!$O$4:$O$34,MATCH($E874,基础资料!$N$4:$N$34,0))&amp;"",""))</f>
        <v/>
      </c>
      <c r="G874" s="87" t="str">
        <f>IF($E874="","",IFERROR(INDEX(基础资料!$P$4:$P$34,MATCH($E874,基础资料!$N$4:$N$34,0))&amp;"",""))</f>
        <v/>
      </c>
      <c r="H874" s="79"/>
      <c r="I874" s="88"/>
      <c r="J874" s="92"/>
      <c r="K874" s="93"/>
      <c r="L874" s="25" t="str">
        <f t="shared" si="40"/>
        <v/>
      </c>
      <c r="M874" s="94"/>
      <c r="N874" s="26" t="str">
        <f t="shared" si="41"/>
        <v/>
      </c>
      <c r="O874" s="80"/>
      <c r="P874" s="80"/>
      <c r="Q874" s="80"/>
      <c r="R874" s="80"/>
    </row>
    <row r="875" ht="18" customHeight="1" spans="1:18">
      <c r="A875" s="87" t="str">
        <f t="shared" si="39"/>
        <v/>
      </c>
      <c r="B875" s="78"/>
      <c r="C875" s="80"/>
      <c r="D875" s="80"/>
      <c r="E875" s="79"/>
      <c r="F875" s="87" t="str">
        <f>IF($E875="","",IFERROR(INDEX(基础资料!$O$4:$O$34,MATCH($E875,基础资料!$N$4:$N$34,0))&amp;"",""))</f>
        <v/>
      </c>
      <c r="G875" s="87" t="str">
        <f>IF($E875="","",IFERROR(INDEX(基础资料!$P$4:$P$34,MATCH($E875,基础资料!$N$4:$N$34,0))&amp;"",""))</f>
        <v/>
      </c>
      <c r="H875" s="79"/>
      <c r="I875" s="88"/>
      <c r="J875" s="92"/>
      <c r="K875" s="93"/>
      <c r="L875" s="25" t="str">
        <f t="shared" si="40"/>
        <v/>
      </c>
      <c r="M875" s="94"/>
      <c r="N875" s="26" t="str">
        <f t="shared" si="41"/>
        <v/>
      </c>
      <c r="O875" s="80"/>
      <c r="P875" s="80"/>
      <c r="Q875" s="80"/>
      <c r="R875" s="80"/>
    </row>
    <row r="876" ht="18" customHeight="1" spans="1:18">
      <c r="A876" s="87" t="str">
        <f t="shared" si="39"/>
        <v/>
      </c>
      <c r="B876" s="78"/>
      <c r="C876" s="80"/>
      <c r="D876" s="80"/>
      <c r="E876" s="79"/>
      <c r="F876" s="87" t="str">
        <f>IF($E876="","",IFERROR(INDEX(基础资料!$O$4:$O$34,MATCH($E876,基础资料!$N$4:$N$34,0))&amp;"",""))</f>
        <v/>
      </c>
      <c r="G876" s="87" t="str">
        <f>IF($E876="","",IFERROR(INDEX(基础资料!$P$4:$P$34,MATCH($E876,基础资料!$N$4:$N$34,0))&amp;"",""))</f>
        <v/>
      </c>
      <c r="H876" s="79"/>
      <c r="I876" s="88"/>
      <c r="J876" s="92"/>
      <c r="K876" s="93"/>
      <c r="L876" s="25" t="str">
        <f t="shared" si="40"/>
        <v/>
      </c>
      <c r="M876" s="94"/>
      <c r="N876" s="26" t="str">
        <f t="shared" si="41"/>
        <v/>
      </c>
      <c r="O876" s="80"/>
      <c r="P876" s="80"/>
      <c r="Q876" s="80"/>
      <c r="R876" s="80"/>
    </row>
    <row r="877" ht="18" customHeight="1" spans="1:18">
      <c r="A877" s="87" t="str">
        <f t="shared" si="39"/>
        <v/>
      </c>
      <c r="B877" s="78"/>
      <c r="C877" s="80"/>
      <c r="D877" s="80"/>
      <c r="E877" s="79"/>
      <c r="F877" s="87" t="str">
        <f>IF($E877="","",IFERROR(INDEX(基础资料!$O$4:$O$34,MATCH($E877,基础资料!$N$4:$N$34,0))&amp;"",""))</f>
        <v/>
      </c>
      <c r="G877" s="87" t="str">
        <f>IF($E877="","",IFERROR(INDEX(基础资料!$P$4:$P$34,MATCH($E877,基础资料!$N$4:$N$34,0))&amp;"",""))</f>
        <v/>
      </c>
      <c r="H877" s="79"/>
      <c r="I877" s="88"/>
      <c r="J877" s="92"/>
      <c r="K877" s="93"/>
      <c r="L877" s="25" t="str">
        <f t="shared" si="40"/>
        <v/>
      </c>
      <c r="M877" s="94"/>
      <c r="N877" s="26" t="str">
        <f t="shared" si="41"/>
        <v/>
      </c>
      <c r="O877" s="80"/>
      <c r="P877" s="80"/>
      <c r="Q877" s="80"/>
      <c r="R877" s="80"/>
    </row>
    <row r="878" ht="18" customHeight="1" spans="1:18">
      <c r="A878" s="87" t="str">
        <f t="shared" si="39"/>
        <v/>
      </c>
      <c r="B878" s="78"/>
      <c r="C878" s="80"/>
      <c r="D878" s="80"/>
      <c r="E878" s="79"/>
      <c r="F878" s="87" t="str">
        <f>IF($E878="","",IFERROR(INDEX(基础资料!$O$4:$O$34,MATCH($E878,基础资料!$N$4:$N$34,0))&amp;"",""))</f>
        <v/>
      </c>
      <c r="G878" s="87" t="str">
        <f>IF($E878="","",IFERROR(INDEX(基础资料!$P$4:$P$34,MATCH($E878,基础资料!$N$4:$N$34,0))&amp;"",""))</f>
        <v/>
      </c>
      <c r="H878" s="79"/>
      <c r="I878" s="88"/>
      <c r="J878" s="92"/>
      <c r="K878" s="93"/>
      <c r="L878" s="25" t="str">
        <f t="shared" si="40"/>
        <v/>
      </c>
      <c r="M878" s="94"/>
      <c r="N878" s="26" t="str">
        <f t="shared" si="41"/>
        <v/>
      </c>
      <c r="O878" s="80"/>
      <c r="P878" s="80"/>
      <c r="Q878" s="80"/>
      <c r="R878" s="80"/>
    </row>
    <row r="879" ht="18" customHeight="1" spans="1:18">
      <c r="A879" s="87" t="str">
        <f t="shared" si="39"/>
        <v/>
      </c>
      <c r="B879" s="78"/>
      <c r="C879" s="80"/>
      <c r="D879" s="80"/>
      <c r="E879" s="79"/>
      <c r="F879" s="87" t="str">
        <f>IF($E879="","",IFERROR(INDEX(基础资料!$O$4:$O$34,MATCH($E879,基础资料!$N$4:$N$34,0))&amp;"",""))</f>
        <v/>
      </c>
      <c r="G879" s="87" t="str">
        <f>IF($E879="","",IFERROR(INDEX(基础资料!$P$4:$P$34,MATCH($E879,基础资料!$N$4:$N$34,0))&amp;"",""))</f>
        <v/>
      </c>
      <c r="H879" s="79"/>
      <c r="I879" s="88"/>
      <c r="J879" s="92"/>
      <c r="K879" s="93"/>
      <c r="L879" s="25" t="str">
        <f t="shared" si="40"/>
        <v/>
      </c>
      <c r="M879" s="94"/>
      <c r="N879" s="26" t="str">
        <f t="shared" si="41"/>
        <v/>
      </c>
      <c r="O879" s="80"/>
      <c r="P879" s="80"/>
      <c r="Q879" s="80"/>
      <c r="R879" s="80"/>
    </row>
    <row r="880" ht="18" customHeight="1" spans="1:18">
      <c r="A880" s="87" t="str">
        <f t="shared" si="39"/>
        <v/>
      </c>
      <c r="B880" s="78"/>
      <c r="C880" s="80"/>
      <c r="D880" s="80"/>
      <c r="E880" s="79"/>
      <c r="F880" s="87" t="str">
        <f>IF($E880="","",IFERROR(INDEX(基础资料!$O$4:$O$34,MATCH($E880,基础资料!$N$4:$N$34,0))&amp;"",""))</f>
        <v/>
      </c>
      <c r="G880" s="87" t="str">
        <f>IF($E880="","",IFERROR(INDEX(基础资料!$P$4:$P$34,MATCH($E880,基础资料!$N$4:$N$34,0))&amp;"",""))</f>
        <v/>
      </c>
      <c r="H880" s="79"/>
      <c r="I880" s="88"/>
      <c r="J880" s="92"/>
      <c r="K880" s="93"/>
      <c r="L880" s="25" t="str">
        <f t="shared" si="40"/>
        <v/>
      </c>
      <c r="M880" s="94"/>
      <c r="N880" s="26" t="str">
        <f t="shared" si="41"/>
        <v/>
      </c>
      <c r="O880" s="80"/>
      <c r="P880" s="80"/>
      <c r="Q880" s="80"/>
      <c r="R880" s="80"/>
    </row>
    <row r="881" ht="18" customHeight="1" spans="1:18">
      <c r="A881" s="87" t="str">
        <f t="shared" si="39"/>
        <v/>
      </c>
      <c r="B881" s="78"/>
      <c r="C881" s="80"/>
      <c r="D881" s="80"/>
      <c r="E881" s="79"/>
      <c r="F881" s="87" t="str">
        <f>IF($E881="","",IFERROR(INDEX(基础资料!$O$4:$O$34,MATCH($E881,基础资料!$N$4:$N$34,0))&amp;"",""))</f>
        <v/>
      </c>
      <c r="G881" s="87" t="str">
        <f>IF($E881="","",IFERROR(INDEX(基础资料!$P$4:$P$34,MATCH($E881,基础资料!$N$4:$N$34,0))&amp;"",""))</f>
        <v/>
      </c>
      <c r="H881" s="79"/>
      <c r="I881" s="88"/>
      <c r="J881" s="92"/>
      <c r="K881" s="93"/>
      <c r="L881" s="25" t="str">
        <f t="shared" si="40"/>
        <v/>
      </c>
      <c r="M881" s="94"/>
      <c r="N881" s="26" t="str">
        <f t="shared" si="41"/>
        <v/>
      </c>
      <c r="O881" s="80"/>
      <c r="P881" s="80"/>
      <c r="Q881" s="80"/>
      <c r="R881" s="80"/>
    </row>
    <row r="882" ht="18" customHeight="1" spans="1:18">
      <c r="A882" s="87" t="str">
        <f t="shared" si="39"/>
        <v/>
      </c>
      <c r="B882" s="78"/>
      <c r="C882" s="80"/>
      <c r="D882" s="80"/>
      <c r="E882" s="79"/>
      <c r="F882" s="87" t="str">
        <f>IF($E882="","",IFERROR(INDEX(基础资料!$O$4:$O$34,MATCH($E882,基础资料!$N$4:$N$34,0))&amp;"",""))</f>
        <v/>
      </c>
      <c r="G882" s="87" t="str">
        <f>IF($E882="","",IFERROR(INDEX(基础资料!$P$4:$P$34,MATCH($E882,基础资料!$N$4:$N$34,0))&amp;"",""))</f>
        <v/>
      </c>
      <c r="H882" s="79"/>
      <c r="I882" s="88"/>
      <c r="J882" s="92"/>
      <c r="K882" s="93"/>
      <c r="L882" s="25" t="str">
        <f t="shared" si="40"/>
        <v/>
      </c>
      <c r="M882" s="94"/>
      <c r="N882" s="26" t="str">
        <f t="shared" si="41"/>
        <v/>
      </c>
      <c r="O882" s="80"/>
      <c r="P882" s="80"/>
      <c r="Q882" s="80"/>
      <c r="R882" s="80"/>
    </row>
    <row r="883" ht="18" customHeight="1" spans="1:18">
      <c r="A883" s="87" t="str">
        <f t="shared" si="39"/>
        <v/>
      </c>
      <c r="B883" s="78"/>
      <c r="C883" s="80"/>
      <c r="D883" s="80"/>
      <c r="E883" s="79"/>
      <c r="F883" s="87" t="str">
        <f>IF($E883="","",IFERROR(INDEX(基础资料!$O$4:$O$34,MATCH($E883,基础资料!$N$4:$N$34,0))&amp;"",""))</f>
        <v/>
      </c>
      <c r="G883" s="87" t="str">
        <f>IF($E883="","",IFERROR(INDEX(基础资料!$P$4:$P$34,MATCH($E883,基础资料!$N$4:$N$34,0))&amp;"",""))</f>
        <v/>
      </c>
      <c r="H883" s="79"/>
      <c r="I883" s="88"/>
      <c r="J883" s="92"/>
      <c r="K883" s="93"/>
      <c r="L883" s="25" t="str">
        <f t="shared" si="40"/>
        <v/>
      </c>
      <c r="M883" s="94"/>
      <c r="N883" s="26" t="str">
        <f t="shared" si="41"/>
        <v/>
      </c>
      <c r="O883" s="80"/>
      <c r="P883" s="80"/>
      <c r="Q883" s="80"/>
      <c r="R883" s="80"/>
    </row>
    <row r="884" ht="18" customHeight="1" spans="1:18">
      <c r="A884" s="87" t="str">
        <f t="shared" si="39"/>
        <v/>
      </c>
      <c r="B884" s="78"/>
      <c r="C884" s="80"/>
      <c r="D884" s="80"/>
      <c r="E884" s="79"/>
      <c r="F884" s="87" t="str">
        <f>IF($E884="","",IFERROR(INDEX(基础资料!$O$4:$O$34,MATCH($E884,基础资料!$N$4:$N$34,0))&amp;"",""))</f>
        <v/>
      </c>
      <c r="G884" s="87" t="str">
        <f>IF($E884="","",IFERROR(INDEX(基础资料!$P$4:$P$34,MATCH($E884,基础资料!$N$4:$N$34,0))&amp;"",""))</f>
        <v/>
      </c>
      <c r="H884" s="79"/>
      <c r="I884" s="88"/>
      <c r="J884" s="92"/>
      <c r="K884" s="93"/>
      <c r="L884" s="25" t="str">
        <f t="shared" si="40"/>
        <v/>
      </c>
      <c r="M884" s="94"/>
      <c r="N884" s="26" t="str">
        <f t="shared" si="41"/>
        <v/>
      </c>
      <c r="O884" s="80"/>
      <c r="P884" s="80"/>
      <c r="Q884" s="80"/>
      <c r="R884" s="80"/>
    </row>
    <row r="885" ht="18" customHeight="1" spans="1:18">
      <c r="A885" s="87" t="str">
        <f t="shared" si="39"/>
        <v/>
      </c>
      <c r="B885" s="78"/>
      <c r="C885" s="80"/>
      <c r="D885" s="80"/>
      <c r="E885" s="79"/>
      <c r="F885" s="87" t="str">
        <f>IF($E885="","",IFERROR(INDEX(基础资料!$O$4:$O$34,MATCH($E885,基础资料!$N$4:$N$34,0))&amp;"",""))</f>
        <v/>
      </c>
      <c r="G885" s="87" t="str">
        <f>IF($E885="","",IFERROR(INDEX(基础资料!$P$4:$P$34,MATCH($E885,基础资料!$N$4:$N$34,0))&amp;"",""))</f>
        <v/>
      </c>
      <c r="H885" s="79"/>
      <c r="I885" s="88"/>
      <c r="J885" s="92"/>
      <c r="K885" s="93"/>
      <c r="L885" s="25" t="str">
        <f t="shared" si="40"/>
        <v/>
      </c>
      <c r="M885" s="94"/>
      <c r="N885" s="26" t="str">
        <f t="shared" si="41"/>
        <v/>
      </c>
      <c r="O885" s="80"/>
      <c r="P885" s="80"/>
      <c r="Q885" s="80"/>
      <c r="R885" s="80"/>
    </row>
    <row r="886" ht="18" customHeight="1" spans="1:18">
      <c r="A886" s="87" t="str">
        <f t="shared" si="39"/>
        <v/>
      </c>
      <c r="B886" s="78"/>
      <c r="C886" s="80"/>
      <c r="D886" s="80"/>
      <c r="E886" s="79"/>
      <c r="F886" s="87" t="str">
        <f>IF($E886="","",IFERROR(INDEX(基础资料!$O$4:$O$34,MATCH($E886,基础资料!$N$4:$N$34,0))&amp;"",""))</f>
        <v/>
      </c>
      <c r="G886" s="87" t="str">
        <f>IF($E886="","",IFERROR(INDEX(基础资料!$P$4:$P$34,MATCH($E886,基础资料!$N$4:$N$34,0))&amp;"",""))</f>
        <v/>
      </c>
      <c r="H886" s="79"/>
      <c r="I886" s="88"/>
      <c r="J886" s="92"/>
      <c r="K886" s="93"/>
      <c r="L886" s="25" t="str">
        <f t="shared" si="40"/>
        <v/>
      </c>
      <c r="M886" s="94"/>
      <c r="N886" s="26" t="str">
        <f t="shared" si="41"/>
        <v/>
      </c>
      <c r="O886" s="80"/>
      <c r="P886" s="80"/>
      <c r="Q886" s="80"/>
      <c r="R886" s="80"/>
    </row>
    <row r="887" ht="18" customHeight="1" spans="1:18">
      <c r="A887" s="87" t="str">
        <f t="shared" si="39"/>
        <v/>
      </c>
      <c r="B887" s="78"/>
      <c r="C887" s="80"/>
      <c r="D887" s="80"/>
      <c r="E887" s="79"/>
      <c r="F887" s="87" t="str">
        <f>IF($E887="","",IFERROR(INDEX(基础资料!$O$4:$O$34,MATCH($E887,基础资料!$N$4:$N$34,0))&amp;"",""))</f>
        <v/>
      </c>
      <c r="G887" s="87" t="str">
        <f>IF($E887="","",IFERROR(INDEX(基础资料!$P$4:$P$34,MATCH($E887,基础资料!$N$4:$N$34,0))&amp;"",""))</f>
        <v/>
      </c>
      <c r="H887" s="79"/>
      <c r="I887" s="88"/>
      <c r="J887" s="92"/>
      <c r="K887" s="93"/>
      <c r="L887" s="25" t="str">
        <f t="shared" si="40"/>
        <v/>
      </c>
      <c r="M887" s="94"/>
      <c r="N887" s="26" t="str">
        <f t="shared" si="41"/>
        <v/>
      </c>
      <c r="O887" s="80"/>
      <c r="P887" s="80"/>
      <c r="Q887" s="80"/>
      <c r="R887" s="80"/>
    </row>
    <row r="888" ht="18" customHeight="1" spans="1:18">
      <c r="A888" s="87" t="str">
        <f t="shared" si="39"/>
        <v/>
      </c>
      <c r="B888" s="78"/>
      <c r="C888" s="80"/>
      <c r="D888" s="80"/>
      <c r="E888" s="79"/>
      <c r="F888" s="87" t="str">
        <f>IF($E888="","",IFERROR(INDEX(基础资料!$O$4:$O$34,MATCH($E888,基础资料!$N$4:$N$34,0))&amp;"",""))</f>
        <v/>
      </c>
      <c r="G888" s="87" t="str">
        <f>IF($E888="","",IFERROR(INDEX(基础资料!$P$4:$P$34,MATCH($E888,基础资料!$N$4:$N$34,0))&amp;"",""))</f>
        <v/>
      </c>
      <c r="H888" s="79"/>
      <c r="I888" s="88"/>
      <c r="J888" s="92"/>
      <c r="K888" s="93"/>
      <c r="L888" s="25" t="str">
        <f t="shared" si="40"/>
        <v/>
      </c>
      <c r="M888" s="94"/>
      <c r="N888" s="26" t="str">
        <f t="shared" si="41"/>
        <v/>
      </c>
      <c r="O888" s="80"/>
      <c r="P888" s="80"/>
      <c r="Q888" s="80"/>
      <c r="R888" s="80"/>
    </row>
    <row r="889" ht="18" customHeight="1" spans="1:18">
      <c r="A889" s="87" t="str">
        <f t="shared" si="39"/>
        <v/>
      </c>
      <c r="B889" s="78"/>
      <c r="C889" s="80"/>
      <c r="D889" s="80"/>
      <c r="E889" s="79"/>
      <c r="F889" s="87" t="str">
        <f>IF($E889="","",IFERROR(INDEX(基础资料!$O$4:$O$34,MATCH($E889,基础资料!$N$4:$N$34,0))&amp;"",""))</f>
        <v/>
      </c>
      <c r="G889" s="87" t="str">
        <f>IF($E889="","",IFERROR(INDEX(基础资料!$P$4:$P$34,MATCH($E889,基础资料!$N$4:$N$34,0))&amp;"",""))</f>
        <v/>
      </c>
      <c r="H889" s="79"/>
      <c r="I889" s="88"/>
      <c r="J889" s="92"/>
      <c r="K889" s="93"/>
      <c r="L889" s="25" t="str">
        <f t="shared" si="40"/>
        <v/>
      </c>
      <c r="M889" s="94"/>
      <c r="N889" s="26" t="str">
        <f t="shared" si="41"/>
        <v/>
      </c>
      <c r="O889" s="80"/>
      <c r="P889" s="80"/>
      <c r="Q889" s="80"/>
      <c r="R889" s="80"/>
    </row>
    <row r="890" ht="18" customHeight="1" spans="1:18">
      <c r="A890" s="87" t="str">
        <f t="shared" si="39"/>
        <v/>
      </c>
      <c r="B890" s="78"/>
      <c r="C890" s="80"/>
      <c r="D890" s="80"/>
      <c r="E890" s="79"/>
      <c r="F890" s="87" t="str">
        <f>IF($E890="","",IFERROR(INDEX(基础资料!$O$4:$O$34,MATCH($E890,基础资料!$N$4:$N$34,0))&amp;"",""))</f>
        <v/>
      </c>
      <c r="G890" s="87" t="str">
        <f>IF($E890="","",IFERROR(INDEX(基础资料!$P$4:$P$34,MATCH($E890,基础资料!$N$4:$N$34,0))&amp;"",""))</f>
        <v/>
      </c>
      <c r="H890" s="79"/>
      <c r="I890" s="88"/>
      <c r="J890" s="92"/>
      <c r="K890" s="93"/>
      <c r="L890" s="25" t="str">
        <f t="shared" si="40"/>
        <v/>
      </c>
      <c r="M890" s="94"/>
      <c r="N890" s="26" t="str">
        <f t="shared" si="41"/>
        <v/>
      </c>
      <c r="O890" s="80"/>
      <c r="P890" s="80"/>
      <c r="Q890" s="80"/>
      <c r="R890" s="80"/>
    </row>
    <row r="891" ht="18" customHeight="1" spans="1:18">
      <c r="A891" s="87" t="str">
        <f t="shared" si="39"/>
        <v/>
      </c>
      <c r="B891" s="78"/>
      <c r="C891" s="80"/>
      <c r="D891" s="80"/>
      <c r="E891" s="79"/>
      <c r="F891" s="87" t="str">
        <f>IF($E891="","",IFERROR(INDEX(基础资料!$O$4:$O$34,MATCH($E891,基础资料!$N$4:$N$34,0))&amp;"",""))</f>
        <v/>
      </c>
      <c r="G891" s="87" t="str">
        <f>IF($E891="","",IFERROR(INDEX(基础资料!$P$4:$P$34,MATCH($E891,基础资料!$N$4:$N$34,0))&amp;"",""))</f>
        <v/>
      </c>
      <c r="H891" s="79"/>
      <c r="I891" s="88"/>
      <c r="J891" s="92"/>
      <c r="K891" s="93"/>
      <c r="L891" s="25" t="str">
        <f t="shared" si="40"/>
        <v/>
      </c>
      <c r="M891" s="94"/>
      <c r="N891" s="26" t="str">
        <f t="shared" si="41"/>
        <v/>
      </c>
      <c r="O891" s="80"/>
      <c r="P891" s="80"/>
      <c r="Q891" s="80"/>
      <c r="R891" s="80"/>
    </row>
    <row r="892" ht="18" customHeight="1" spans="1:18">
      <c r="A892" s="87" t="str">
        <f t="shared" si="39"/>
        <v/>
      </c>
      <c r="B892" s="78"/>
      <c r="C892" s="80"/>
      <c r="D892" s="80"/>
      <c r="E892" s="79"/>
      <c r="F892" s="87" t="str">
        <f>IF($E892="","",IFERROR(INDEX(基础资料!$O$4:$O$34,MATCH($E892,基础资料!$N$4:$N$34,0))&amp;"",""))</f>
        <v/>
      </c>
      <c r="G892" s="87" t="str">
        <f>IF($E892="","",IFERROR(INDEX(基础资料!$P$4:$P$34,MATCH($E892,基础资料!$N$4:$N$34,0))&amp;"",""))</f>
        <v/>
      </c>
      <c r="H892" s="79"/>
      <c r="I892" s="88"/>
      <c r="J892" s="92"/>
      <c r="K892" s="93"/>
      <c r="L892" s="25" t="str">
        <f t="shared" si="40"/>
        <v/>
      </c>
      <c r="M892" s="94"/>
      <c r="N892" s="26" t="str">
        <f t="shared" si="41"/>
        <v/>
      </c>
      <c r="O892" s="80"/>
      <c r="P892" s="80"/>
      <c r="Q892" s="80"/>
      <c r="R892" s="80"/>
    </row>
    <row r="893" ht="18" customHeight="1" spans="1:18">
      <c r="A893" s="87" t="str">
        <f t="shared" si="39"/>
        <v/>
      </c>
      <c r="B893" s="78"/>
      <c r="C893" s="80"/>
      <c r="D893" s="80"/>
      <c r="E893" s="79"/>
      <c r="F893" s="87" t="str">
        <f>IF($E893="","",IFERROR(INDEX(基础资料!$O$4:$O$34,MATCH($E893,基础资料!$N$4:$N$34,0))&amp;"",""))</f>
        <v/>
      </c>
      <c r="G893" s="87" t="str">
        <f>IF($E893="","",IFERROR(INDEX(基础资料!$P$4:$P$34,MATCH($E893,基础资料!$N$4:$N$34,0))&amp;"",""))</f>
        <v/>
      </c>
      <c r="H893" s="79"/>
      <c r="I893" s="88"/>
      <c r="J893" s="92"/>
      <c r="K893" s="93"/>
      <c r="L893" s="25" t="str">
        <f t="shared" si="40"/>
        <v/>
      </c>
      <c r="M893" s="94"/>
      <c r="N893" s="26" t="str">
        <f t="shared" si="41"/>
        <v/>
      </c>
      <c r="O893" s="80"/>
      <c r="P893" s="80"/>
      <c r="Q893" s="80"/>
      <c r="R893" s="80"/>
    </row>
    <row r="894" ht="18" customHeight="1" spans="1:18">
      <c r="A894" s="87" t="str">
        <f t="shared" si="39"/>
        <v/>
      </c>
      <c r="B894" s="78"/>
      <c r="C894" s="80"/>
      <c r="D894" s="80"/>
      <c r="E894" s="79"/>
      <c r="F894" s="87" t="str">
        <f>IF($E894="","",IFERROR(INDEX(基础资料!$O$4:$O$34,MATCH($E894,基础资料!$N$4:$N$34,0))&amp;"",""))</f>
        <v/>
      </c>
      <c r="G894" s="87" t="str">
        <f>IF($E894="","",IFERROR(INDEX(基础资料!$P$4:$P$34,MATCH($E894,基础资料!$N$4:$N$34,0))&amp;"",""))</f>
        <v/>
      </c>
      <c r="H894" s="79"/>
      <c r="I894" s="88"/>
      <c r="J894" s="92"/>
      <c r="K894" s="93"/>
      <c r="L894" s="25" t="str">
        <f t="shared" si="40"/>
        <v/>
      </c>
      <c r="M894" s="94"/>
      <c r="N894" s="26" t="str">
        <f t="shared" si="41"/>
        <v/>
      </c>
      <c r="O894" s="80"/>
      <c r="P894" s="80"/>
      <c r="Q894" s="80"/>
      <c r="R894" s="80"/>
    </row>
    <row r="895" ht="18" customHeight="1" spans="1:18">
      <c r="A895" s="87" t="str">
        <f t="shared" si="39"/>
        <v/>
      </c>
      <c r="B895" s="78"/>
      <c r="C895" s="80"/>
      <c r="D895" s="80"/>
      <c r="E895" s="79"/>
      <c r="F895" s="87" t="str">
        <f>IF($E895="","",IFERROR(INDEX(基础资料!$O$4:$O$34,MATCH($E895,基础资料!$N$4:$N$34,0))&amp;"",""))</f>
        <v/>
      </c>
      <c r="G895" s="87" t="str">
        <f>IF($E895="","",IFERROR(INDEX(基础资料!$P$4:$P$34,MATCH($E895,基础资料!$N$4:$N$34,0))&amp;"",""))</f>
        <v/>
      </c>
      <c r="H895" s="79"/>
      <c r="I895" s="88"/>
      <c r="J895" s="92"/>
      <c r="K895" s="93"/>
      <c r="L895" s="25" t="str">
        <f t="shared" si="40"/>
        <v/>
      </c>
      <c r="M895" s="94"/>
      <c r="N895" s="26" t="str">
        <f t="shared" si="41"/>
        <v/>
      </c>
      <c r="O895" s="80"/>
      <c r="P895" s="80"/>
      <c r="Q895" s="80"/>
      <c r="R895" s="80"/>
    </row>
    <row r="896" ht="18" customHeight="1" spans="1:18">
      <c r="A896" s="87" t="str">
        <f t="shared" si="39"/>
        <v/>
      </c>
      <c r="B896" s="78"/>
      <c r="C896" s="80"/>
      <c r="D896" s="80"/>
      <c r="E896" s="79"/>
      <c r="F896" s="87" t="str">
        <f>IF($E896="","",IFERROR(INDEX(基础资料!$O$4:$O$34,MATCH($E896,基础资料!$N$4:$N$34,0))&amp;"",""))</f>
        <v/>
      </c>
      <c r="G896" s="87" t="str">
        <f>IF($E896="","",IFERROR(INDEX(基础资料!$P$4:$P$34,MATCH($E896,基础资料!$N$4:$N$34,0))&amp;"",""))</f>
        <v/>
      </c>
      <c r="H896" s="79"/>
      <c r="I896" s="88"/>
      <c r="J896" s="92"/>
      <c r="K896" s="93"/>
      <c r="L896" s="25" t="str">
        <f t="shared" si="40"/>
        <v/>
      </c>
      <c r="M896" s="94"/>
      <c r="N896" s="26" t="str">
        <f t="shared" si="41"/>
        <v/>
      </c>
      <c r="O896" s="80"/>
      <c r="P896" s="80"/>
      <c r="Q896" s="80"/>
      <c r="R896" s="80"/>
    </row>
    <row r="897" ht="18" customHeight="1" spans="1:18">
      <c r="A897" s="87" t="str">
        <f t="shared" si="39"/>
        <v/>
      </c>
      <c r="B897" s="78"/>
      <c r="C897" s="80"/>
      <c r="D897" s="80"/>
      <c r="E897" s="79"/>
      <c r="F897" s="87" t="str">
        <f>IF($E897="","",IFERROR(INDEX(基础资料!$O$4:$O$34,MATCH($E897,基础资料!$N$4:$N$34,0))&amp;"",""))</f>
        <v/>
      </c>
      <c r="G897" s="87" t="str">
        <f>IF($E897="","",IFERROR(INDEX(基础资料!$P$4:$P$34,MATCH($E897,基础资料!$N$4:$N$34,0))&amp;"",""))</f>
        <v/>
      </c>
      <c r="H897" s="79"/>
      <c r="I897" s="88"/>
      <c r="J897" s="92"/>
      <c r="K897" s="93"/>
      <c r="L897" s="25" t="str">
        <f t="shared" si="40"/>
        <v/>
      </c>
      <c r="M897" s="94"/>
      <c r="N897" s="26" t="str">
        <f t="shared" si="41"/>
        <v/>
      </c>
      <c r="O897" s="80"/>
      <c r="P897" s="80"/>
      <c r="Q897" s="80"/>
      <c r="R897" s="80"/>
    </row>
    <row r="898" ht="18" customHeight="1" spans="1:18">
      <c r="A898" s="87" t="str">
        <f t="shared" si="39"/>
        <v/>
      </c>
      <c r="B898" s="78"/>
      <c r="C898" s="80"/>
      <c r="D898" s="80"/>
      <c r="E898" s="79"/>
      <c r="F898" s="87" t="str">
        <f>IF($E898="","",IFERROR(INDEX(基础资料!$O$4:$O$34,MATCH($E898,基础资料!$N$4:$N$34,0))&amp;"",""))</f>
        <v/>
      </c>
      <c r="G898" s="87" t="str">
        <f>IF($E898="","",IFERROR(INDEX(基础资料!$P$4:$P$34,MATCH($E898,基础资料!$N$4:$N$34,0))&amp;"",""))</f>
        <v/>
      </c>
      <c r="H898" s="79"/>
      <c r="I898" s="88"/>
      <c r="J898" s="92"/>
      <c r="K898" s="93"/>
      <c r="L898" s="25" t="str">
        <f t="shared" si="40"/>
        <v/>
      </c>
      <c r="M898" s="94"/>
      <c r="N898" s="26" t="str">
        <f t="shared" si="41"/>
        <v/>
      </c>
      <c r="O898" s="80"/>
      <c r="P898" s="80"/>
      <c r="Q898" s="80"/>
      <c r="R898" s="80"/>
    </row>
    <row r="899" ht="18" customHeight="1" spans="1:18">
      <c r="A899" s="87" t="str">
        <f t="shared" si="39"/>
        <v/>
      </c>
      <c r="B899" s="78"/>
      <c r="C899" s="80"/>
      <c r="D899" s="80"/>
      <c r="E899" s="79"/>
      <c r="F899" s="87" t="str">
        <f>IF($E899="","",IFERROR(INDEX(基础资料!$O$4:$O$34,MATCH($E899,基础资料!$N$4:$N$34,0))&amp;"",""))</f>
        <v/>
      </c>
      <c r="G899" s="87" t="str">
        <f>IF($E899="","",IFERROR(INDEX(基础资料!$P$4:$P$34,MATCH($E899,基础资料!$N$4:$N$34,0))&amp;"",""))</f>
        <v/>
      </c>
      <c r="H899" s="79"/>
      <c r="I899" s="88"/>
      <c r="J899" s="92"/>
      <c r="K899" s="93"/>
      <c r="L899" s="25" t="str">
        <f t="shared" si="40"/>
        <v/>
      </c>
      <c r="M899" s="94"/>
      <c r="N899" s="26" t="str">
        <f t="shared" si="41"/>
        <v/>
      </c>
      <c r="O899" s="80"/>
      <c r="P899" s="80"/>
      <c r="Q899" s="80"/>
      <c r="R899" s="80"/>
    </row>
    <row r="900" ht="18" customHeight="1" spans="1:18">
      <c r="A900" s="87" t="str">
        <f t="shared" ref="A900:A963" si="42">IF($E900="","",ROW()-3)</f>
        <v/>
      </c>
      <c r="B900" s="78"/>
      <c r="C900" s="80"/>
      <c r="D900" s="80"/>
      <c r="E900" s="79"/>
      <c r="F900" s="87" t="str">
        <f>IF($E900="","",IFERROR(INDEX(基础资料!$O$4:$O$34,MATCH($E900,基础资料!$N$4:$N$34,0))&amp;"",""))</f>
        <v/>
      </c>
      <c r="G900" s="87" t="str">
        <f>IF($E900="","",IFERROR(INDEX(基础资料!$P$4:$P$34,MATCH($E900,基础资料!$N$4:$N$34,0))&amp;"",""))</f>
        <v/>
      </c>
      <c r="H900" s="79"/>
      <c r="I900" s="88"/>
      <c r="J900" s="92"/>
      <c r="K900" s="93"/>
      <c r="L900" s="25" t="str">
        <f t="shared" ref="L900:L963" si="43">IF($E900="","",N($I900)+N($J900)-N($K900))</f>
        <v/>
      </c>
      <c r="M900" s="94"/>
      <c r="N900" s="26" t="str">
        <f t="shared" ref="N900:N963" si="44">IF($E900="","",ROUND(N($L900)*N($M900),2))</f>
        <v/>
      </c>
      <c r="O900" s="80"/>
      <c r="P900" s="80"/>
      <c r="Q900" s="80"/>
      <c r="R900" s="80"/>
    </row>
    <row r="901" ht="18" customHeight="1" spans="1:18">
      <c r="A901" s="87" t="str">
        <f t="shared" si="42"/>
        <v/>
      </c>
      <c r="B901" s="78"/>
      <c r="C901" s="80"/>
      <c r="D901" s="80"/>
      <c r="E901" s="79"/>
      <c r="F901" s="87" t="str">
        <f>IF($E901="","",IFERROR(INDEX(基础资料!$O$4:$O$34,MATCH($E901,基础资料!$N$4:$N$34,0))&amp;"",""))</f>
        <v/>
      </c>
      <c r="G901" s="87" t="str">
        <f>IF($E901="","",IFERROR(INDEX(基础资料!$P$4:$P$34,MATCH($E901,基础资料!$N$4:$N$34,0))&amp;"",""))</f>
        <v/>
      </c>
      <c r="H901" s="79"/>
      <c r="I901" s="88"/>
      <c r="J901" s="92"/>
      <c r="K901" s="93"/>
      <c r="L901" s="25" t="str">
        <f t="shared" si="43"/>
        <v/>
      </c>
      <c r="M901" s="94"/>
      <c r="N901" s="26" t="str">
        <f t="shared" si="44"/>
        <v/>
      </c>
      <c r="O901" s="80"/>
      <c r="P901" s="80"/>
      <c r="Q901" s="80"/>
      <c r="R901" s="80"/>
    </row>
    <row r="902" ht="18" customHeight="1" spans="1:18">
      <c r="A902" s="87" t="str">
        <f t="shared" si="42"/>
        <v/>
      </c>
      <c r="B902" s="78"/>
      <c r="C902" s="80"/>
      <c r="D902" s="80"/>
      <c r="E902" s="79"/>
      <c r="F902" s="87" t="str">
        <f>IF($E902="","",IFERROR(INDEX(基础资料!$O$4:$O$34,MATCH($E902,基础资料!$N$4:$N$34,0))&amp;"",""))</f>
        <v/>
      </c>
      <c r="G902" s="87" t="str">
        <f>IF($E902="","",IFERROR(INDEX(基础资料!$P$4:$P$34,MATCH($E902,基础资料!$N$4:$N$34,0))&amp;"",""))</f>
        <v/>
      </c>
      <c r="H902" s="79"/>
      <c r="I902" s="88"/>
      <c r="J902" s="92"/>
      <c r="K902" s="93"/>
      <c r="L902" s="25" t="str">
        <f t="shared" si="43"/>
        <v/>
      </c>
      <c r="M902" s="94"/>
      <c r="N902" s="26" t="str">
        <f t="shared" si="44"/>
        <v/>
      </c>
      <c r="O902" s="80"/>
      <c r="P902" s="80"/>
      <c r="Q902" s="80"/>
      <c r="R902" s="80"/>
    </row>
    <row r="903" ht="18" customHeight="1" spans="1:18">
      <c r="A903" s="87" t="str">
        <f t="shared" si="42"/>
        <v/>
      </c>
      <c r="B903" s="78"/>
      <c r="C903" s="80"/>
      <c r="D903" s="80"/>
      <c r="E903" s="79"/>
      <c r="F903" s="87" t="str">
        <f>IF($E903="","",IFERROR(INDEX(基础资料!$O$4:$O$34,MATCH($E903,基础资料!$N$4:$N$34,0))&amp;"",""))</f>
        <v/>
      </c>
      <c r="G903" s="87" t="str">
        <f>IF($E903="","",IFERROR(INDEX(基础资料!$P$4:$P$34,MATCH($E903,基础资料!$N$4:$N$34,0))&amp;"",""))</f>
        <v/>
      </c>
      <c r="H903" s="79"/>
      <c r="I903" s="88"/>
      <c r="J903" s="92"/>
      <c r="K903" s="93"/>
      <c r="L903" s="25" t="str">
        <f t="shared" si="43"/>
        <v/>
      </c>
      <c r="M903" s="94"/>
      <c r="N903" s="26" t="str">
        <f t="shared" si="44"/>
        <v/>
      </c>
      <c r="O903" s="80"/>
      <c r="P903" s="80"/>
      <c r="Q903" s="80"/>
      <c r="R903" s="80"/>
    </row>
    <row r="904" ht="18" customHeight="1" spans="1:18">
      <c r="A904" s="87" t="str">
        <f t="shared" si="42"/>
        <v/>
      </c>
      <c r="B904" s="78"/>
      <c r="C904" s="80"/>
      <c r="D904" s="80"/>
      <c r="E904" s="79"/>
      <c r="F904" s="87" t="str">
        <f>IF($E904="","",IFERROR(INDEX(基础资料!$O$4:$O$34,MATCH($E904,基础资料!$N$4:$N$34,0))&amp;"",""))</f>
        <v/>
      </c>
      <c r="G904" s="87" t="str">
        <f>IF($E904="","",IFERROR(INDEX(基础资料!$P$4:$P$34,MATCH($E904,基础资料!$N$4:$N$34,0))&amp;"",""))</f>
        <v/>
      </c>
      <c r="H904" s="79"/>
      <c r="I904" s="88"/>
      <c r="J904" s="92"/>
      <c r="K904" s="93"/>
      <c r="L904" s="25" t="str">
        <f t="shared" si="43"/>
        <v/>
      </c>
      <c r="M904" s="94"/>
      <c r="N904" s="26" t="str">
        <f t="shared" si="44"/>
        <v/>
      </c>
      <c r="O904" s="80"/>
      <c r="P904" s="80"/>
      <c r="Q904" s="80"/>
      <c r="R904" s="80"/>
    </row>
    <row r="905" ht="18" customHeight="1" spans="1:18">
      <c r="A905" s="87" t="str">
        <f t="shared" si="42"/>
        <v/>
      </c>
      <c r="B905" s="78"/>
      <c r="C905" s="80"/>
      <c r="D905" s="80"/>
      <c r="E905" s="79"/>
      <c r="F905" s="87" t="str">
        <f>IF($E905="","",IFERROR(INDEX(基础资料!$O$4:$O$34,MATCH($E905,基础资料!$N$4:$N$34,0))&amp;"",""))</f>
        <v/>
      </c>
      <c r="G905" s="87" t="str">
        <f>IF($E905="","",IFERROR(INDEX(基础资料!$P$4:$P$34,MATCH($E905,基础资料!$N$4:$N$34,0))&amp;"",""))</f>
        <v/>
      </c>
      <c r="H905" s="79"/>
      <c r="I905" s="88"/>
      <c r="J905" s="92"/>
      <c r="K905" s="93"/>
      <c r="L905" s="25" t="str">
        <f t="shared" si="43"/>
        <v/>
      </c>
      <c r="M905" s="94"/>
      <c r="N905" s="26" t="str">
        <f t="shared" si="44"/>
        <v/>
      </c>
      <c r="O905" s="80"/>
      <c r="P905" s="80"/>
      <c r="Q905" s="80"/>
      <c r="R905" s="80"/>
    </row>
    <row r="906" ht="18" customHeight="1" spans="1:18">
      <c r="A906" s="87" t="str">
        <f t="shared" si="42"/>
        <v/>
      </c>
      <c r="B906" s="78"/>
      <c r="C906" s="80"/>
      <c r="D906" s="80"/>
      <c r="E906" s="79"/>
      <c r="F906" s="87" t="str">
        <f>IF($E906="","",IFERROR(INDEX(基础资料!$O$4:$O$34,MATCH($E906,基础资料!$N$4:$N$34,0))&amp;"",""))</f>
        <v/>
      </c>
      <c r="G906" s="87" t="str">
        <f>IF($E906="","",IFERROR(INDEX(基础资料!$P$4:$P$34,MATCH($E906,基础资料!$N$4:$N$34,0))&amp;"",""))</f>
        <v/>
      </c>
      <c r="H906" s="79"/>
      <c r="I906" s="88"/>
      <c r="J906" s="92"/>
      <c r="K906" s="93"/>
      <c r="L906" s="25" t="str">
        <f t="shared" si="43"/>
        <v/>
      </c>
      <c r="M906" s="94"/>
      <c r="N906" s="26" t="str">
        <f t="shared" si="44"/>
        <v/>
      </c>
      <c r="O906" s="80"/>
      <c r="P906" s="80"/>
      <c r="Q906" s="80"/>
      <c r="R906" s="80"/>
    </row>
    <row r="907" ht="18" customHeight="1" spans="1:18">
      <c r="A907" s="87" t="str">
        <f t="shared" si="42"/>
        <v/>
      </c>
      <c r="B907" s="78"/>
      <c r="C907" s="80"/>
      <c r="D907" s="80"/>
      <c r="E907" s="79"/>
      <c r="F907" s="87" t="str">
        <f>IF($E907="","",IFERROR(INDEX(基础资料!$O$4:$O$34,MATCH($E907,基础资料!$N$4:$N$34,0))&amp;"",""))</f>
        <v/>
      </c>
      <c r="G907" s="87" t="str">
        <f>IF($E907="","",IFERROR(INDEX(基础资料!$P$4:$P$34,MATCH($E907,基础资料!$N$4:$N$34,0))&amp;"",""))</f>
        <v/>
      </c>
      <c r="H907" s="79"/>
      <c r="I907" s="88"/>
      <c r="J907" s="92"/>
      <c r="K907" s="93"/>
      <c r="L907" s="25" t="str">
        <f t="shared" si="43"/>
        <v/>
      </c>
      <c r="M907" s="94"/>
      <c r="N907" s="26" t="str">
        <f t="shared" si="44"/>
        <v/>
      </c>
      <c r="O907" s="80"/>
      <c r="P907" s="80"/>
      <c r="Q907" s="80"/>
      <c r="R907" s="80"/>
    </row>
    <row r="908" ht="18" customHeight="1" spans="1:18">
      <c r="A908" s="87" t="str">
        <f t="shared" si="42"/>
        <v/>
      </c>
      <c r="B908" s="78"/>
      <c r="C908" s="80"/>
      <c r="D908" s="80"/>
      <c r="E908" s="79"/>
      <c r="F908" s="87" t="str">
        <f>IF($E908="","",IFERROR(INDEX(基础资料!$O$4:$O$34,MATCH($E908,基础资料!$N$4:$N$34,0))&amp;"",""))</f>
        <v/>
      </c>
      <c r="G908" s="87" t="str">
        <f>IF($E908="","",IFERROR(INDEX(基础资料!$P$4:$P$34,MATCH($E908,基础资料!$N$4:$N$34,0))&amp;"",""))</f>
        <v/>
      </c>
      <c r="H908" s="79"/>
      <c r="I908" s="88"/>
      <c r="J908" s="92"/>
      <c r="K908" s="93"/>
      <c r="L908" s="25" t="str">
        <f t="shared" si="43"/>
        <v/>
      </c>
      <c r="M908" s="94"/>
      <c r="N908" s="26" t="str">
        <f t="shared" si="44"/>
        <v/>
      </c>
      <c r="O908" s="80"/>
      <c r="P908" s="80"/>
      <c r="Q908" s="80"/>
      <c r="R908" s="80"/>
    </row>
    <row r="909" ht="18" customHeight="1" spans="1:18">
      <c r="A909" s="87" t="str">
        <f t="shared" si="42"/>
        <v/>
      </c>
      <c r="B909" s="78"/>
      <c r="C909" s="80"/>
      <c r="D909" s="80"/>
      <c r="E909" s="79"/>
      <c r="F909" s="87" t="str">
        <f>IF($E909="","",IFERROR(INDEX(基础资料!$O$4:$O$34,MATCH($E909,基础资料!$N$4:$N$34,0))&amp;"",""))</f>
        <v/>
      </c>
      <c r="G909" s="87" t="str">
        <f>IF($E909="","",IFERROR(INDEX(基础资料!$P$4:$P$34,MATCH($E909,基础资料!$N$4:$N$34,0))&amp;"",""))</f>
        <v/>
      </c>
      <c r="H909" s="79"/>
      <c r="I909" s="88"/>
      <c r="J909" s="92"/>
      <c r="K909" s="93"/>
      <c r="L909" s="25" t="str">
        <f t="shared" si="43"/>
        <v/>
      </c>
      <c r="M909" s="94"/>
      <c r="N909" s="26" t="str">
        <f t="shared" si="44"/>
        <v/>
      </c>
      <c r="O909" s="80"/>
      <c r="P909" s="80"/>
      <c r="Q909" s="80"/>
      <c r="R909" s="80"/>
    </row>
    <row r="910" ht="18" customHeight="1" spans="1:18">
      <c r="A910" s="87" t="str">
        <f t="shared" si="42"/>
        <v/>
      </c>
      <c r="B910" s="78"/>
      <c r="C910" s="80"/>
      <c r="D910" s="80"/>
      <c r="E910" s="79"/>
      <c r="F910" s="87" t="str">
        <f>IF($E910="","",IFERROR(INDEX(基础资料!$O$4:$O$34,MATCH($E910,基础资料!$N$4:$N$34,0))&amp;"",""))</f>
        <v/>
      </c>
      <c r="G910" s="87" t="str">
        <f>IF($E910="","",IFERROR(INDEX(基础资料!$P$4:$P$34,MATCH($E910,基础资料!$N$4:$N$34,0))&amp;"",""))</f>
        <v/>
      </c>
      <c r="H910" s="79"/>
      <c r="I910" s="88"/>
      <c r="J910" s="92"/>
      <c r="K910" s="93"/>
      <c r="L910" s="25" t="str">
        <f t="shared" si="43"/>
        <v/>
      </c>
      <c r="M910" s="94"/>
      <c r="N910" s="26" t="str">
        <f t="shared" si="44"/>
        <v/>
      </c>
      <c r="O910" s="80"/>
      <c r="P910" s="80"/>
      <c r="Q910" s="80"/>
      <c r="R910" s="80"/>
    </row>
    <row r="911" ht="18" customHeight="1" spans="1:18">
      <c r="A911" s="87" t="str">
        <f t="shared" si="42"/>
        <v/>
      </c>
      <c r="B911" s="78"/>
      <c r="C911" s="80"/>
      <c r="D911" s="80"/>
      <c r="E911" s="79"/>
      <c r="F911" s="87" t="str">
        <f>IF($E911="","",IFERROR(INDEX(基础资料!$O$4:$O$34,MATCH($E911,基础资料!$N$4:$N$34,0))&amp;"",""))</f>
        <v/>
      </c>
      <c r="G911" s="87" t="str">
        <f>IF($E911="","",IFERROR(INDEX(基础资料!$P$4:$P$34,MATCH($E911,基础资料!$N$4:$N$34,0))&amp;"",""))</f>
        <v/>
      </c>
      <c r="H911" s="79"/>
      <c r="I911" s="88"/>
      <c r="J911" s="92"/>
      <c r="K911" s="93"/>
      <c r="L911" s="25" t="str">
        <f t="shared" si="43"/>
        <v/>
      </c>
      <c r="M911" s="94"/>
      <c r="N911" s="26" t="str">
        <f t="shared" si="44"/>
        <v/>
      </c>
      <c r="O911" s="80"/>
      <c r="P911" s="80"/>
      <c r="Q911" s="80"/>
      <c r="R911" s="80"/>
    </row>
    <row r="912" ht="18" customHeight="1" spans="1:18">
      <c r="A912" s="87" t="str">
        <f t="shared" si="42"/>
        <v/>
      </c>
      <c r="B912" s="78"/>
      <c r="C912" s="80"/>
      <c r="D912" s="80"/>
      <c r="E912" s="79"/>
      <c r="F912" s="87" t="str">
        <f>IF($E912="","",IFERROR(INDEX(基础资料!$O$4:$O$34,MATCH($E912,基础资料!$N$4:$N$34,0))&amp;"",""))</f>
        <v/>
      </c>
      <c r="G912" s="87" t="str">
        <f>IF($E912="","",IFERROR(INDEX(基础资料!$P$4:$P$34,MATCH($E912,基础资料!$N$4:$N$34,0))&amp;"",""))</f>
        <v/>
      </c>
      <c r="H912" s="79"/>
      <c r="I912" s="88"/>
      <c r="J912" s="92"/>
      <c r="K912" s="93"/>
      <c r="L912" s="25" t="str">
        <f t="shared" si="43"/>
        <v/>
      </c>
      <c r="M912" s="94"/>
      <c r="N912" s="26" t="str">
        <f t="shared" si="44"/>
        <v/>
      </c>
      <c r="O912" s="80"/>
      <c r="P912" s="80"/>
      <c r="Q912" s="80"/>
      <c r="R912" s="80"/>
    </row>
    <row r="913" ht="18" customHeight="1" spans="1:18">
      <c r="A913" s="87" t="str">
        <f t="shared" si="42"/>
        <v/>
      </c>
      <c r="B913" s="78"/>
      <c r="C913" s="80"/>
      <c r="D913" s="80"/>
      <c r="E913" s="79"/>
      <c r="F913" s="87" t="str">
        <f>IF($E913="","",IFERROR(INDEX(基础资料!$O$4:$O$34,MATCH($E913,基础资料!$N$4:$N$34,0))&amp;"",""))</f>
        <v/>
      </c>
      <c r="G913" s="87" t="str">
        <f>IF($E913="","",IFERROR(INDEX(基础资料!$P$4:$P$34,MATCH($E913,基础资料!$N$4:$N$34,0))&amp;"",""))</f>
        <v/>
      </c>
      <c r="H913" s="79"/>
      <c r="I913" s="88"/>
      <c r="J913" s="92"/>
      <c r="K913" s="93"/>
      <c r="L913" s="25" t="str">
        <f t="shared" si="43"/>
        <v/>
      </c>
      <c r="M913" s="94"/>
      <c r="N913" s="26" t="str">
        <f t="shared" si="44"/>
        <v/>
      </c>
      <c r="O913" s="80"/>
      <c r="P913" s="80"/>
      <c r="Q913" s="80"/>
      <c r="R913" s="80"/>
    </row>
    <row r="914" ht="18" customHeight="1" spans="1:18">
      <c r="A914" s="87" t="str">
        <f t="shared" si="42"/>
        <v/>
      </c>
      <c r="B914" s="78"/>
      <c r="C914" s="80"/>
      <c r="D914" s="80"/>
      <c r="E914" s="79"/>
      <c r="F914" s="87" t="str">
        <f>IF($E914="","",IFERROR(INDEX(基础资料!$O$4:$O$34,MATCH($E914,基础资料!$N$4:$N$34,0))&amp;"",""))</f>
        <v/>
      </c>
      <c r="G914" s="87" t="str">
        <f>IF($E914="","",IFERROR(INDEX(基础资料!$P$4:$P$34,MATCH($E914,基础资料!$N$4:$N$34,0))&amp;"",""))</f>
        <v/>
      </c>
      <c r="H914" s="79"/>
      <c r="I914" s="88"/>
      <c r="J914" s="92"/>
      <c r="K914" s="93"/>
      <c r="L914" s="25" t="str">
        <f t="shared" si="43"/>
        <v/>
      </c>
      <c r="M914" s="94"/>
      <c r="N914" s="26" t="str">
        <f t="shared" si="44"/>
        <v/>
      </c>
      <c r="O914" s="80"/>
      <c r="P914" s="80"/>
      <c r="Q914" s="80"/>
      <c r="R914" s="80"/>
    </row>
    <row r="915" ht="18" customHeight="1" spans="1:18">
      <c r="A915" s="87" t="str">
        <f t="shared" si="42"/>
        <v/>
      </c>
      <c r="B915" s="78"/>
      <c r="C915" s="80"/>
      <c r="D915" s="80"/>
      <c r="E915" s="79"/>
      <c r="F915" s="87" t="str">
        <f>IF($E915="","",IFERROR(INDEX(基础资料!$O$4:$O$34,MATCH($E915,基础资料!$N$4:$N$34,0))&amp;"",""))</f>
        <v/>
      </c>
      <c r="G915" s="87" t="str">
        <f>IF($E915="","",IFERROR(INDEX(基础资料!$P$4:$P$34,MATCH($E915,基础资料!$N$4:$N$34,0))&amp;"",""))</f>
        <v/>
      </c>
      <c r="H915" s="79"/>
      <c r="I915" s="88"/>
      <c r="J915" s="92"/>
      <c r="K915" s="93"/>
      <c r="L915" s="25" t="str">
        <f t="shared" si="43"/>
        <v/>
      </c>
      <c r="M915" s="94"/>
      <c r="N915" s="26" t="str">
        <f t="shared" si="44"/>
        <v/>
      </c>
      <c r="O915" s="80"/>
      <c r="P915" s="80"/>
      <c r="Q915" s="80"/>
      <c r="R915" s="80"/>
    </row>
    <row r="916" ht="18" customHeight="1" spans="1:18">
      <c r="A916" s="87" t="str">
        <f t="shared" si="42"/>
        <v/>
      </c>
      <c r="B916" s="78"/>
      <c r="C916" s="80"/>
      <c r="D916" s="80"/>
      <c r="E916" s="79"/>
      <c r="F916" s="87" t="str">
        <f>IF($E916="","",IFERROR(INDEX(基础资料!$O$4:$O$34,MATCH($E916,基础资料!$N$4:$N$34,0))&amp;"",""))</f>
        <v/>
      </c>
      <c r="G916" s="87" t="str">
        <f>IF($E916="","",IFERROR(INDEX(基础资料!$P$4:$P$34,MATCH($E916,基础资料!$N$4:$N$34,0))&amp;"",""))</f>
        <v/>
      </c>
      <c r="H916" s="79"/>
      <c r="I916" s="88"/>
      <c r="J916" s="92"/>
      <c r="K916" s="93"/>
      <c r="L916" s="25" t="str">
        <f t="shared" si="43"/>
        <v/>
      </c>
      <c r="M916" s="94"/>
      <c r="N916" s="26" t="str">
        <f t="shared" si="44"/>
        <v/>
      </c>
      <c r="O916" s="80"/>
      <c r="P916" s="80"/>
      <c r="Q916" s="80"/>
      <c r="R916" s="80"/>
    </row>
    <row r="917" ht="18" customHeight="1" spans="1:18">
      <c r="A917" s="87" t="str">
        <f t="shared" si="42"/>
        <v/>
      </c>
      <c r="B917" s="78"/>
      <c r="C917" s="80"/>
      <c r="D917" s="80"/>
      <c r="E917" s="79"/>
      <c r="F917" s="87" t="str">
        <f>IF($E917="","",IFERROR(INDEX(基础资料!$O$4:$O$34,MATCH($E917,基础资料!$N$4:$N$34,0))&amp;"",""))</f>
        <v/>
      </c>
      <c r="G917" s="87" t="str">
        <f>IF($E917="","",IFERROR(INDEX(基础资料!$P$4:$P$34,MATCH($E917,基础资料!$N$4:$N$34,0))&amp;"",""))</f>
        <v/>
      </c>
      <c r="H917" s="79"/>
      <c r="I917" s="88"/>
      <c r="J917" s="92"/>
      <c r="K917" s="93"/>
      <c r="L917" s="25" t="str">
        <f t="shared" si="43"/>
        <v/>
      </c>
      <c r="M917" s="94"/>
      <c r="N917" s="26" t="str">
        <f t="shared" si="44"/>
        <v/>
      </c>
      <c r="O917" s="80"/>
      <c r="P917" s="80"/>
      <c r="Q917" s="80"/>
      <c r="R917" s="80"/>
    </row>
    <row r="918" ht="18" customHeight="1" spans="1:18">
      <c r="A918" s="87" t="str">
        <f t="shared" si="42"/>
        <v/>
      </c>
      <c r="B918" s="78"/>
      <c r="C918" s="80"/>
      <c r="D918" s="80"/>
      <c r="E918" s="79"/>
      <c r="F918" s="87" t="str">
        <f>IF($E918="","",IFERROR(INDEX(基础资料!$O$4:$O$34,MATCH($E918,基础资料!$N$4:$N$34,0))&amp;"",""))</f>
        <v/>
      </c>
      <c r="G918" s="87" t="str">
        <f>IF($E918="","",IFERROR(INDEX(基础资料!$P$4:$P$34,MATCH($E918,基础资料!$N$4:$N$34,0))&amp;"",""))</f>
        <v/>
      </c>
      <c r="H918" s="79"/>
      <c r="I918" s="88"/>
      <c r="J918" s="92"/>
      <c r="K918" s="93"/>
      <c r="L918" s="25" t="str">
        <f t="shared" si="43"/>
        <v/>
      </c>
      <c r="M918" s="94"/>
      <c r="N918" s="26" t="str">
        <f t="shared" si="44"/>
        <v/>
      </c>
      <c r="O918" s="80"/>
      <c r="P918" s="80"/>
      <c r="Q918" s="80"/>
      <c r="R918" s="80"/>
    </row>
    <row r="919" ht="18" customHeight="1" spans="1:18">
      <c r="A919" s="87" t="str">
        <f t="shared" si="42"/>
        <v/>
      </c>
      <c r="B919" s="78"/>
      <c r="C919" s="80"/>
      <c r="D919" s="80"/>
      <c r="E919" s="79"/>
      <c r="F919" s="87" t="str">
        <f>IF($E919="","",IFERROR(INDEX(基础资料!$O$4:$O$34,MATCH($E919,基础资料!$N$4:$N$34,0))&amp;"",""))</f>
        <v/>
      </c>
      <c r="G919" s="87" t="str">
        <f>IF($E919="","",IFERROR(INDEX(基础资料!$P$4:$P$34,MATCH($E919,基础资料!$N$4:$N$34,0))&amp;"",""))</f>
        <v/>
      </c>
      <c r="H919" s="79"/>
      <c r="I919" s="88"/>
      <c r="J919" s="92"/>
      <c r="K919" s="93"/>
      <c r="L919" s="25" t="str">
        <f t="shared" si="43"/>
        <v/>
      </c>
      <c r="M919" s="94"/>
      <c r="N919" s="26" t="str">
        <f t="shared" si="44"/>
        <v/>
      </c>
      <c r="O919" s="80"/>
      <c r="P919" s="80"/>
      <c r="Q919" s="80"/>
      <c r="R919" s="80"/>
    </row>
    <row r="920" ht="18" customHeight="1" spans="1:18">
      <c r="A920" s="87" t="str">
        <f t="shared" si="42"/>
        <v/>
      </c>
      <c r="B920" s="78"/>
      <c r="C920" s="80"/>
      <c r="D920" s="80"/>
      <c r="E920" s="79"/>
      <c r="F920" s="87" t="str">
        <f>IF($E920="","",IFERROR(INDEX(基础资料!$O$4:$O$34,MATCH($E920,基础资料!$N$4:$N$34,0))&amp;"",""))</f>
        <v/>
      </c>
      <c r="G920" s="87" t="str">
        <f>IF($E920="","",IFERROR(INDEX(基础资料!$P$4:$P$34,MATCH($E920,基础资料!$N$4:$N$34,0))&amp;"",""))</f>
        <v/>
      </c>
      <c r="H920" s="79"/>
      <c r="I920" s="88"/>
      <c r="J920" s="92"/>
      <c r="K920" s="93"/>
      <c r="L920" s="25" t="str">
        <f t="shared" si="43"/>
        <v/>
      </c>
      <c r="M920" s="94"/>
      <c r="N920" s="26" t="str">
        <f t="shared" si="44"/>
        <v/>
      </c>
      <c r="O920" s="80"/>
      <c r="P920" s="80"/>
      <c r="Q920" s="80"/>
      <c r="R920" s="80"/>
    </row>
    <row r="921" ht="18" customHeight="1" spans="1:18">
      <c r="A921" s="87" t="str">
        <f t="shared" si="42"/>
        <v/>
      </c>
      <c r="B921" s="78"/>
      <c r="C921" s="80"/>
      <c r="D921" s="80"/>
      <c r="E921" s="79"/>
      <c r="F921" s="87" t="str">
        <f>IF($E921="","",IFERROR(INDEX(基础资料!$O$4:$O$34,MATCH($E921,基础资料!$N$4:$N$34,0))&amp;"",""))</f>
        <v/>
      </c>
      <c r="G921" s="87" t="str">
        <f>IF($E921="","",IFERROR(INDEX(基础资料!$P$4:$P$34,MATCH($E921,基础资料!$N$4:$N$34,0))&amp;"",""))</f>
        <v/>
      </c>
      <c r="H921" s="79"/>
      <c r="I921" s="88"/>
      <c r="J921" s="92"/>
      <c r="K921" s="93"/>
      <c r="L921" s="25" t="str">
        <f t="shared" si="43"/>
        <v/>
      </c>
      <c r="M921" s="94"/>
      <c r="N921" s="26" t="str">
        <f t="shared" si="44"/>
        <v/>
      </c>
      <c r="O921" s="80"/>
      <c r="P921" s="80"/>
      <c r="Q921" s="80"/>
      <c r="R921" s="80"/>
    </row>
    <row r="922" ht="18" customHeight="1" spans="1:18">
      <c r="A922" s="87" t="str">
        <f t="shared" si="42"/>
        <v/>
      </c>
      <c r="B922" s="78"/>
      <c r="C922" s="80"/>
      <c r="D922" s="80"/>
      <c r="E922" s="79"/>
      <c r="F922" s="87" t="str">
        <f>IF($E922="","",IFERROR(INDEX(基础资料!$O$4:$O$34,MATCH($E922,基础资料!$N$4:$N$34,0))&amp;"",""))</f>
        <v/>
      </c>
      <c r="G922" s="87" t="str">
        <f>IF($E922="","",IFERROR(INDEX(基础资料!$P$4:$P$34,MATCH($E922,基础资料!$N$4:$N$34,0))&amp;"",""))</f>
        <v/>
      </c>
      <c r="H922" s="79"/>
      <c r="I922" s="88"/>
      <c r="J922" s="92"/>
      <c r="K922" s="93"/>
      <c r="L922" s="25" t="str">
        <f t="shared" si="43"/>
        <v/>
      </c>
      <c r="M922" s="94"/>
      <c r="N922" s="26" t="str">
        <f t="shared" si="44"/>
        <v/>
      </c>
      <c r="O922" s="80"/>
      <c r="P922" s="80"/>
      <c r="Q922" s="80"/>
      <c r="R922" s="80"/>
    </row>
    <row r="923" ht="18" customHeight="1" spans="1:18">
      <c r="A923" s="87" t="str">
        <f t="shared" si="42"/>
        <v/>
      </c>
      <c r="B923" s="78"/>
      <c r="C923" s="80"/>
      <c r="D923" s="80"/>
      <c r="E923" s="79"/>
      <c r="F923" s="87" t="str">
        <f>IF($E923="","",IFERROR(INDEX(基础资料!$O$4:$O$34,MATCH($E923,基础资料!$N$4:$N$34,0))&amp;"",""))</f>
        <v/>
      </c>
      <c r="G923" s="87" t="str">
        <f>IF($E923="","",IFERROR(INDEX(基础资料!$P$4:$P$34,MATCH($E923,基础资料!$N$4:$N$34,0))&amp;"",""))</f>
        <v/>
      </c>
      <c r="H923" s="79"/>
      <c r="I923" s="88"/>
      <c r="J923" s="92"/>
      <c r="K923" s="93"/>
      <c r="L923" s="25" t="str">
        <f t="shared" si="43"/>
        <v/>
      </c>
      <c r="M923" s="94"/>
      <c r="N923" s="26" t="str">
        <f t="shared" si="44"/>
        <v/>
      </c>
      <c r="O923" s="80"/>
      <c r="P923" s="80"/>
      <c r="Q923" s="80"/>
      <c r="R923" s="80"/>
    </row>
    <row r="924" ht="18" customHeight="1" spans="1:18">
      <c r="A924" s="87" t="str">
        <f t="shared" si="42"/>
        <v/>
      </c>
      <c r="B924" s="78"/>
      <c r="C924" s="80"/>
      <c r="D924" s="80"/>
      <c r="E924" s="79"/>
      <c r="F924" s="87" t="str">
        <f>IF($E924="","",IFERROR(INDEX(基础资料!$O$4:$O$34,MATCH($E924,基础资料!$N$4:$N$34,0))&amp;"",""))</f>
        <v/>
      </c>
      <c r="G924" s="87" t="str">
        <f>IF($E924="","",IFERROR(INDEX(基础资料!$P$4:$P$34,MATCH($E924,基础资料!$N$4:$N$34,0))&amp;"",""))</f>
        <v/>
      </c>
      <c r="H924" s="79"/>
      <c r="I924" s="88"/>
      <c r="J924" s="92"/>
      <c r="K924" s="93"/>
      <c r="L924" s="25" t="str">
        <f t="shared" si="43"/>
        <v/>
      </c>
      <c r="M924" s="94"/>
      <c r="N924" s="26" t="str">
        <f t="shared" si="44"/>
        <v/>
      </c>
      <c r="O924" s="80"/>
      <c r="P924" s="80"/>
      <c r="Q924" s="80"/>
      <c r="R924" s="80"/>
    </row>
    <row r="925" ht="18" customHeight="1" spans="1:18">
      <c r="A925" s="87" t="str">
        <f t="shared" si="42"/>
        <v/>
      </c>
      <c r="B925" s="78"/>
      <c r="C925" s="80"/>
      <c r="D925" s="80"/>
      <c r="E925" s="79"/>
      <c r="F925" s="87" t="str">
        <f>IF($E925="","",IFERROR(INDEX(基础资料!$O$4:$O$34,MATCH($E925,基础资料!$N$4:$N$34,0))&amp;"",""))</f>
        <v/>
      </c>
      <c r="G925" s="87" t="str">
        <f>IF($E925="","",IFERROR(INDEX(基础资料!$P$4:$P$34,MATCH($E925,基础资料!$N$4:$N$34,0))&amp;"",""))</f>
        <v/>
      </c>
      <c r="H925" s="79"/>
      <c r="I925" s="88"/>
      <c r="J925" s="92"/>
      <c r="K925" s="93"/>
      <c r="L925" s="25" t="str">
        <f t="shared" si="43"/>
        <v/>
      </c>
      <c r="M925" s="94"/>
      <c r="N925" s="26" t="str">
        <f t="shared" si="44"/>
        <v/>
      </c>
      <c r="O925" s="80"/>
      <c r="P925" s="80"/>
      <c r="Q925" s="80"/>
      <c r="R925" s="80"/>
    </row>
    <row r="926" ht="18" customHeight="1" spans="1:18">
      <c r="A926" s="87" t="str">
        <f t="shared" si="42"/>
        <v/>
      </c>
      <c r="B926" s="78"/>
      <c r="C926" s="80"/>
      <c r="D926" s="80"/>
      <c r="E926" s="79"/>
      <c r="F926" s="87" t="str">
        <f>IF($E926="","",IFERROR(INDEX(基础资料!$O$4:$O$34,MATCH($E926,基础资料!$N$4:$N$34,0))&amp;"",""))</f>
        <v/>
      </c>
      <c r="G926" s="87" t="str">
        <f>IF($E926="","",IFERROR(INDEX(基础资料!$P$4:$P$34,MATCH($E926,基础资料!$N$4:$N$34,0))&amp;"",""))</f>
        <v/>
      </c>
      <c r="H926" s="79"/>
      <c r="I926" s="88"/>
      <c r="J926" s="92"/>
      <c r="K926" s="93"/>
      <c r="L926" s="25" t="str">
        <f t="shared" si="43"/>
        <v/>
      </c>
      <c r="M926" s="94"/>
      <c r="N926" s="26" t="str">
        <f t="shared" si="44"/>
        <v/>
      </c>
      <c r="O926" s="80"/>
      <c r="P926" s="80"/>
      <c r="Q926" s="80"/>
      <c r="R926" s="80"/>
    </row>
    <row r="927" ht="18" customHeight="1" spans="1:18">
      <c r="A927" s="87" t="str">
        <f t="shared" si="42"/>
        <v/>
      </c>
      <c r="B927" s="78"/>
      <c r="C927" s="80"/>
      <c r="D927" s="80"/>
      <c r="E927" s="79"/>
      <c r="F927" s="87" t="str">
        <f>IF($E927="","",IFERROR(INDEX(基础资料!$O$4:$O$34,MATCH($E927,基础资料!$N$4:$N$34,0))&amp;"",""))</f>
        <v/>
      </c>
      <c r="G927" s="87" t="str">
        <f>IF($E927="","",IFERROR(INDEX(基础资料!$P$4:$P$34,MATCH($E927,基础资料!$N$4:$N$34,0))&amp;"",""))</f>
        <v/>
      </c>
      <c r="H927" s="79"/>
      <c r="I927" s="88"/>
      <c r="J927" s="92"/>
      <c r="K927" s="93"/>
      <c r="L927" s="25" t="str">
        <f t="shared" si="43"/>
        <v/>
      </c>
      <c r="M927" s="94"/>
      <c r="N927" s="26" t="str">
        <f t="shared" si="44"/>
        <v/>
      </c>
      <c r="O927" s="80"/>
      <c r="P927" s="80"/>
      <c r="Q927" s="80"/>
      <c r="R927" s="80"/>
    </row>
    <row r="928" ht="18" customHeight="1" spans="1:18">
      <c r="A928" s="87" t="str">
        <f t="shared" si="42"/>
        <v/>
      </c>
      <c r="B928" s="78"/>
      <c r="C928" s="80"/>
      <c r="D928" s="80"/>
      <c r="E928" s="79"/>
      <c r="F928" s="87" t="str">
        <f>IF($E928="","",IFERROR(INDEX(基础资料!$O$4:$O$34,MATCH($E928,基础资料!$N$4:$N$34,0))&amp;"",""))</f>
        <v/>
      </c>
      <c r="G928" s="87" t="str">
        <f>IF($E928="","",IFERROR(INDEX(基础资料!$P$4:$P$34,MATCH($E928,基础资料!$N$4:$N$34,0))&amp;"",""))</f>
        <v/>
      </c>
      <c r="H928" s="79"/>
      <c r="I928" s="88"/>
      <c r="J928" s="92"/>
      <c r="K928" s="93"/>
      <c r="L928" s="25" t="str">
        <f t="shared" si="43"/>
        <v/>
      </c>
      <c r="M928" s="94"/>
      <c r="N928" s="26" t="str">
        <f t="shared" si="44"/>
        <v/>
      </c>
      <c r="O928" s="80"/>
      <c r="P928" s="80"/>
      <c r="Q928" s="80"/>
      <c r="R928" s="80"/>
    </row>
    <row r="929" ht="18" customHeight="1" spans="1:18">
      <c r="A929" s="87" t="str">
        <f t="shared" si="42"/>
        <v/>
      </c>
      <c r="B929" s="78"/>
      <c r="C929" s="80"/>
      <c r="D929" s="80"/>
      <c r="E929" s="79"/>
      <c r="F929" s="87" t="str">
        <f>IF($E929="","",IFERROR(INDEX(基础资料!$O$4:$O$34,MATCH($E929,基础资料!$N$4:$N$34,0))&amp;"",""))</f>
        <v/>
      </c>
      <c r="G929" s="87" t="str">
        <f>IF($E929="","",IFERROR(INDEX(基础资料!$P$4:$P$34,MATCH($E929,基础资料!$N$4:$N$34,0))&amp;"",""))</f>
        <v/>
      </c>
      <c r="H929" s="79"/>
      <c r="I929" s="88"/>
      <c r="J929" s="92"/>
      <c r="K929" s="93"/>
      <c r="L929" s="25" t="str">
        <f t="shared" si="43"/>
        <v/>
      </c>
      <c r="M929" s="94"/>
      <c r="N929" s="26" t="str">
        <f t="shared" si="44"/>
        <v/>
      </c>
      <c r="O929" s="80"/>
      <c r="P929" s="80"/>
      <c r="Q929" s="80"/>
      <c r="R929" s="80"/>
    </row>
    <row r="930" ht="18" customHeight="1" spans="1:18">
      <c r="A930" s="87" t="str">
        <f t="shared" si="42"/>
        <v/>
      </c>
      <c r="B930" s="78"/>
      <c r="C930" s="80"/>
      <c r="D930" s="80"/>
      <c r="E930" s="79"/>
      <c r="F930" s="87" t="str">
        <f>IF($E930="","",IFERROR(INDEX(基础资料!$O$4:$O$34,MATCH($E930,基础资料!$N$4:$N$34,0))&amp;"",""))</f>
        <v/>
      </c>
      <c r="G930" s="87" t="str">
        <f>IF($E930="","",IFERROR(INDEX(基础资料!$P$4:$P$34,MATCH($E930,基础资料!$N$4:$N$34,0))&amp;"",""))</f>
        <v/>
      </c>
      <c r="H930" s="79"/>
      <c r="I930" s="88"/>
      <c r="J930" s="92"/>
      <c r="K930" s="93"/>
      <c r="L930" s="25" t="str">
        <f t="shared" si="43"/>
        <v/>
      </c>
      <c r="M930" s="94"/>
      <c r="N930" s="26" t="str">
        <f t="shared" si="44"/>
        <v/>
      </c>
      <c r="O930" s="80"/>
      <c r="P930" s="80"/>
      <c r="Q930" s="80"/>
      <c r="R930" s="80"/>
    </row>
    <row r="931" ht="18" customHeight="1" spans="1:18">
      <c r="A931" s="87" t="str">
        <f t="shared" si="42"/>
        <v/>
      </c>
      <c r="B931" s="78"/>
      <c r="C931" s="80"/>
      <c r="D931" s="80"/>
      <c r="E931" s="79"/>
      <c r="F931" s="87" t="str">
        <f>IF($E931="","",IFERROR(INDEX(基础资料!$O$4:$O$34,MATCH($E931,基础资料!$N$4:$N$34,0))&amp;"",""))</f>
        <v/>
      </c>
      <c r="G931" s="87" t="str">
        <f>IF($E931="","",IFERROR(INDEX(基础资料!$P$4:$P$34,MATCH($E931,基础资料!$N$4:$N$34,0))&amp;"",""))</f>
        <v/>
      </c>
      <c r="H931" s="79"/>
      <c r="I931" s="88"/>
      <c r="J931" s="92"/>
      <c r="K931" s="93"/>
      <c r="L931" s="25" t="str">
        <f t="shared" si="43"/>
        <v/>
      </c>
      <c r="M931" s="94"/>
      <c r="N931" s="26" t="str">
        <f t="shared" si="44"/>
        <v/>
      </c>
      <c r="O931" s="80"/>
      <c r="P931" s="80"/>
      <c r="Q931" s="80"/>
      <c r="R931" s="80"/>
    </row>
    <row r="932" ht="18" customHeight="1" spans="1:18">
      <c r="A932" s="87" t="str">
        <f t="shared" si="42"/>
        <v/>
      </c>
      <c r="B932" s="78"/>
      <c r="C932" s="80"/>
      <c r="D932" s="80"/>
      <c r="E932" s="79"/>
      <c r="F932" s="87" t="str">
        <f>IF($E932="","",IFERROR(INDEX(基础资料!$O$4:$O$34,MATCH($E932,基础资料!$N$4:$N$34,0))&amp;"",""))</f>
        <v/>
      </c>
      <c r="G932" s="87" t="str">
        <f>IF($E932="","",IFERROR(INDEX(基础资料!$P$4:$P$34,MATCH($E932,基础资料!$N$4:$N$34,0))&amp;"",""))</f>
        <v/>
      </c>
      <c r="H932" s="79"/>
      <c r="I932" s="88"/>
      <c r="J932" s="92"/>
      <c r="K932" s="93"/>
      <c r="L932" s="25" t="str">
        <f t="shared" si="43"/>
        <v/>
      </c>
      <c r="M932" s="94"/>
      <c r="N932" s="26" t="str">
        <f t="shared" si="44"/>
        <v/>
      </c>
      <c r="O932" s="80"/>
      <c r="P932" s="80"/>
      <c r="Q932" s="80"/>
      <c r="R932" s="80"/>
    </row>
    <row r="933" ht="18" customHeight="1" spans="1:18">
      <c r="A933" s="87" t="str">
        <f t="shared" si="42"/>
        <v/>
      </c>
      <c r="B933" s="78"/>
      <c r="C933" s="80"/>
      <c r="D933" s="80"/>
      <c r="E933" s="79"/>
      <c r="F933" s="87" t="str">
        <f>IF($E933="","",IFERROR(INDEX(基础资料!$O$4:$O$34,MATCH($E933,基础资料!$N$4:$N$34,0))&amp;"",""))</f>
        <v/>
      </c>
      <c r="G933" s="87" t="str">
        <f>IF($E933="","",IFERROR(INDEX(基础资料!$P$4:$P$34,MATCH($E933,基础资料!$N$4:$N$34,0))&amp;"",""))</f>
        <v/>
      </c>
      <c r="H933" s="79"/>
      <c r="I933" s="88"/>
      <c r="J933" s="92"/>
      <c r="K933" s="93"/>
      <c r="L933" s="25" t="str">
        <f t="shared" si="43"/>
        <v/>
      </c>
      <c r="M933" s="94"/>
      <c r="N933" s="26" t="str">
        <f t="shared" si="44"/>
        <v/>
      </c>
      <c r="O933" s="80"/>
      <c r="P933" s="80"/>
      <c r="Q933" s="80"/>
      <c r="R933" s="80"/>
    </row>
    <row r="934" ht="18" customHeight="1" spans="1:18">
      <c r="A934" s="87" t="str">
        <f t="shared" si="42"/>
        <v/>
      </c>
      <c r="B934" s="78"/>
      <c r="C934" s="80"/>
      <c r="D934" s="80"/>
      <c r="E934" s="79"/>
      <c r="F934" s="87" t="str">
        <f>IF($E934="","",IFERROR(INDEX(基础资料!$O$4:$O$34,MATCH($E934,基础资料!$N$4:$N$34,0))&amp;"",""))</f>
        <v/>
      </c>
      <c r="G934" s="87" t="str">
        <f>IF($E934="","",IFERROR(INDEX(基础资料!$P$4:$P$34,MATCH($E934,基础资料!$N$4:$N$34,0))&amp;"",""))</f>
        <v/>
      </c>
      <c r="H934" s="79"/>
      <c r="I934" s="88"/>
      <c r="J934" s="92"/>
      <c r="K934" s="93"/>
      <c r="L934" s="25" t="str">
        <f t="shared" si="43"/>
        <v/>
      </c>
      <c r="M934" s="94"/>
      <c r="N934" s="26" t="str">
        <f t="shared" si="44"/>
        <v/>
      </c>
      <c r="O934" s="80"/>
      <c r="P934" s="80"/>
      <c r="Q934" s="80"/>
      <c r="R934" s="80"/>
    </row>
    <row r="935" ht="18" customHeight="1" spans="1:18">
      <c r="A935" s="87" t="str">
        <f t="shared" si="42"/>
        <v/>
      </c>
      <c r="B935" s="78"/>
      <c r="C935" s="80"/>
      <c r="D935" s="80"/>
      <c r="E935" s="79"/>
      <c r="F935" s="87" t="str">
        <f>IF($E935="","",IFERROR(INDEX(基础资料!$O$4:$O$34,MATCH($E935,基础资料!$N$4:$N$34,0))&amp;"",""))</f>
        <v/>
      </c>
      <c r="G935" s="87" t="str">
        <f>IF($E935="","",IFERROR(INDEX(基础资料!$P$4:$P$34,MATCH($E935,基础资料!$N$4:$N$34,0))&amp;"",""))</f>
        <v/>
      </c>
      <c r="H935" s="79"/>
      <c r="I935" s="88"/>
      <c r="J935" s="92"/>
      <c r="K935" s="93"/>
      <c r="L935" s="25" t="str">
        <f t="shared" si="43"/>
        <v/>
      </c>
      <c r="M935" s="94"/>
      <c r="N935" s="26" t="str">
        <f t="shared" si="44"/>
        <v/>
      </c>
      <c r="O935" s="80"/>
      <c r="P935" s="80"/>
      <c r="Q935" s="80"/>
      <c r="R935" s="80"/>
    </row>
    <row r="936" ht="18" customHeight="1" spans="1:18">
      <c r="A936" s="87" t="str">
        <f t="shared" si="42"/>
        <v/>
      </c>
      <c r="B936" s="78"/>
      <c r="C936" s="80"/>
      <c r="D936" s="80"/>
      <c r="E936" s="79"/>
      <c r="F936" s="87" t="str">
        <f>IF($E936="","",IFERROR(INDEX(基础资料!$O$4:$O$34,MATCH($E936,基础资料!$N$4:$N$34,0))&amp;"",""))</f>
        <v/>
      </c>
      <c r="G936" s="87" t="str">
        <f>IF($E936="","",IFERROR(INDEX(基础资料!$P$4:$P$34,MATCH($E936,基础资料!$N$4:$N$34,0))&amp;"",""))</f>
        <v/>
      </c>
      <c r="H936" s="79"/>
      <c r="I936" s="88"/>
      <c r="J936" s="92"/>
      <c r="K936" s="93"/>
      <c r="L936" s="25" t="str">
        <f t="shared" si="43"/>
        <v/>
      </c>
      <c r="M936" s="94"/>
      <c r="N936" s="26" t="str">
        <f t="shared" si="44"/>
        <v/>
      </c>
      <c r="O936" s="80"/>
      <c r="P936" s="80"/>
      <c r="Q936" s="80"/>
      <c r="R936" s="80"/>
    </row>
    <row r="937" ht="18" customHeight="1" spans="1:18">
      <c r="A937" s="87" t="str">
        <f t="shared" si="42"/>
        <v/>
      </c>
      <c r="B937" s="78"/>
      <c r="C937" s="80"/>
      <c r="D937" s="80"/>
      <c r="E937" s="79"/>
      <c r="F937" s="87" t="str">
        <f>IF($E937="","",IFERROR(INDEX(基础资料!$O$4:$O$34,MATCH($E937,基础资料!$N$4:$N$34,0))&amp;"",""))</f>
        <v/>
      </c>
      <c r="G937" s="87" t="str">
        <f>IF($E937="","",IFERROR(INDEX(基础资料!$P$4:$P$34,MATCH($E937,基础资料!$N$4:$N$34,0))&amp;"",""))</f>
        <v/>
      </c>
      <c r="H937" s="79"/>
      <c r="I937" s="88"/>
      <c r="J937" s="92"/>
      <c r="K937" s="93"/>
      <c r="L937" s="25" t="str">
        <f t="shared" si="43"/>
        <v/>
      </c>
      <c r="M937" s="94"/>
      <c r="N937" s="26" t="str">
        <f t="shared" si="44"/>
        <v/>
      </c>
      <c r="O937" s="80"/>
      <c r="P937" s="80"/>
      <c r="Q937" s="80"/>
      <c r="R937" s="80"/>
    </row>
    <row r="938" ht="18" customHeight="1" spans="1:18">
      <c r="A938" s="87" t="str">
        <f t="shared" si="42"/>
        <v/>
      </c>
      <c r="B938" s="78"/>
      <c r="C938" s="80"/>
      <c r="D938" s="80"/>
      <c r="E938" s="79"/>
      <c r="F938" s="87" t="str">
        <f>IF($E938="","",IFERROR(INDEX(基础资料!$O$4:$O$34,MATCH($E938,基础资料!$N$4:$N$34,0))&amp;"",""))</f>
        <v/>
      </c>
      <c r="G938" s="87" t="str">
        <f>IF($E938="","",IFERROR(INDEX(基础资料!$P$4:$P$34,MATCH($E938,基础资料!$N$4:$N$34,0))&amp;"",""))</f>
        <v/>
      </c>
      <c r="H938" s="79"/>
      <c r="I938" s="88"/>
      <c r="J938" s="92"/>
      <c r="K938" s="93"/>
      <c r="L938" s="25" t="str">
        <f t="shared" si="43"/>
        <v/>
      </c>
      <c r="M938" s="94"/>
      <c r="N938" s="26" t="str">
        <f t="shared" si="44"/>
        <v/>
      </c>
      <c r="O938" s="80"/>
      <c r="P938" s="80"/>
      <c r="Q938" s="80"/>
      <c r="R938" s="80"/>
    </row>
    <row r="939" ht="18" customHeight="1" spans="1:18">
      <c r="A939" s="87" t="str">
        <f t="shared" si="42"/>
        <v/>
      </c>
      <c r="B939" s="78"/>
      <c r="C939" s="80"/>
      <c r="D939" s="80"/>
      <c r="E939" s="79"/>
      <c r="F939" s="87" t="str">
        <f>IF($E939="","",IFERROR(INDEX(基础资料!$O$4:$O$34,MATCH($E939,基础资料!$N$4:$N$34,0))&amp;"",""))</f>
        <v/>
      </c>
      <c r="G939" s="87" t="str">
        <f>IF($E939="","",IFERROR(INDEX(基础资料!$P$4:$P$34,MATCH($E939,基础资料!$N$4:$N$34,0))&amp;"",""))</f>
        <v/>
      </c>
      <c r="H939" s="79"/>
      <c r="I939" s="88"/>
      <c r="J939" s="92"/>
      <c r="K939" s="93"/>
      <c r="L939" s="25" t="str">
        <f t="shared" si="43"/>
        <v/>
      </c>
      <c r="M939" s="94"/>
      <c r="N939" s="26" t="str">
        <f t="shared" si="44"/>
        <v/>
      </c>
      <c r="O939" s="80"/>
      <c r="P939" s="80"/>
      <c r="Q939" s="80"/>
      <c r="R939" s="80"/>
    </row>
    <row r="940" ht="18" customHeight="1" spans="1:18">
      <c r="A940" s="87" t="str">
        <f t="shared" si="42"/>
        <v/>
      </c>
      <c r="B940" s="78"/>
      <c r="C940" s="80"/>
      <c r="D940" s="80"/>
      <c r="E940" s="79"/>
      <c r="F940" s="87" t="str">
        <f>IF($E940="","",IFERROR(INDEX(基础资料!$O$4:$O$34,MATCH($E940,基础资料!$N$4:$N$34,0))&amp;"",""))</f>
        <v/>
      </c>
      <c r="G940" s="87" t="str">
        <f>IF($E940="","",IFERROR(INDEX(基础资料!$P$4:$P$34,MATCH($E940,基础资料!$N$4:$N$34,0))&amp;"",""))</f>
        <v/>
      </c>
      <c r="H940" s="79"/>
      <c r="I940" s="88"/>
      <c r="J940" s="92"/>
      <c r="K940" s="93"/>
      <c r="L940" s="25" t="str">
        <f t="shared" si="43"/>
        <v/>
      </c>
      <c r="M940" s="94"/>
      <c r="N940" s="26" t="str">
        <f t="shared" si="44"/>
        <v/>
      </c>
      <c r="O940" s="80"/>
      <c r="P940" s="80"/>
      <c r="Q940" s="80"/>
      <c r="R940" s="80"/>
    </row>
    <row r="941" ht="18" customHeight="1" spans="1:18">
      <c r="A941" s="87" t="str">
        <f t="shared" si="42"/>
        <v/>
      </c>
      <c r="B941" s="78"/>
      <c r="C941" s="80"/>
      <c r="D941" s="80"/>
      <c r="E941" s="79"/>
      <c r="F941" s="87" t="str">
        <f>IF($E941="","",IFERROR(INDEX(基础资料!$O$4:$O$34,MATCH($E941,基础资料!$N$4:$N$34,0))&amp;"",""))</f>
        <v/>
      </c>
      <c r="G941" s="87" t="str">
        <f>IF($E941="","",IFERROR(INDEX(基础资料!$P$4:$P$34,MATCH($E941,基础资料!$N$4:$N$34,0))&amp;"",""))</f>
        <v/>
      </c>
      <c r="H941" s="79"/>
      <c r="I941" s="88"/>
      <c r="J941" s="92"/>
      <c r="K941" s="93"/>
      <c r="L941" s="25" t="str">
        <f t="shared" si="43"/>
        <v/>
      </c>
      <c r="M941" s="94"/>
      <c r="N941" s="26" t="str">
        <f t="shared" si="44"/>
        <v/>
      </c>
      <c r="O941" s="80"/>
      <c r="P941" s="80"/>
      <c r="Q941" s="80"/>
      <c r="R941" s="80"/>
    </row>
    <row r="942" ht="18" customHeight="1" spans="1:18">
      <c r="A942" s="87" t="str">
        <f t="shared" si="42"/>
        <v/>
      </c>
      <c r="B942" s="78"/>
      <c r="C942" s="80"/>
      <c r="D942" s="80"/>
      <c r="E942" s="79"/>
      <c r="F942" s="87" t="str">
        <f>IF($E942="","",IFERROR(INDEX(基础资料!$O$4:$O$34,MATCH($E942,基础资料!$N$4:$N$34,0))&amp;"",""))</f>
        <v/>
      </c>
      <c r="G942" s="87" t="str">
        <f>IF($E942="","",IFERROR(INDEX(基础资料!$P$4:$P$34,MATCH($E942,基础资料!$N$4:$N$34,0))&amp;"",""))</f>
        <v/>
      </c>
      <c r="H942" s="79"/>
      <c r="I942" s="88"/>
      <c r="J942" s="92"/>
      <c r="K942" s="93"/>
      <c r="L942" s="25" t="str">
        <f t="shared" si="43"/>
        <v/>
      </c>
      <c r="M942" s="94"/>
      <c r="N942" s="26" t="str">
        <f t="shared" si="44"/>
        <v/>
      </c>
      <c r="O942" s="80"/>
      <c r="P942" s="80"/>
      <c r="Q942" s="80"/>
      <c r="R942" s="80"/>
    </row>
    <row r="943" ht="18" customHeight="1" spans="1:18">
      <c r="A943" s="87" t="str">
        <f t="shared" si="42"/>
        <v/>
      </c>
      <c r="B943" s="78"/>
      <c r="C943" s="80"/>
      <c r="D943" s="80"/>
      <c r="E943" s="79"/>
      <c r="F943" s="87" t="str">
        <f>IF($E943="","",IFERROR(INDEX(基础资料!$O$4:$O$34,MATCH($E943,基础资料!$N$4:$N$34,0))&amp;"",""))</f>
        <v/>
      </c>
      <c r="G943" s="87" t="str">
        <f>IF($E943="","",IFERROR(INDEX(基础资料!$P$4:$P$34,MATCH($E943,基础资料!$N$4:$N$34,0))&amp;"",""))</f>
        <v/>
      </c>
      <c r="H943" s="79"/>
      <c r="I943" s="88"/>
      <c r="J943" s="92"/>
      <c r="K943" s="93"/>
      <c r="L943" s="25" t="str">
        <f t="shared" si="43"/>
        <v/>
      </c>
      <c r="M943" s="94"/>
      <c r="N943" s="26" t="str">
        <f t="shared" si="44"/>
        <v/>
      </c>
      <c r="O943" s="80"/>
      <c r="P943" s="80"/>
      <c r="Q943" s="80"/>
      <c r="R943" s="80"/>
    </row>
    <row r="944" ht="18" customHeight="1" spans="1:18">
      <c r="A944" s="87" t="str">
        <f t="shared" si="42"/>
        <v/>
      </c>
      <c r="B944" s="78"/>
      <c r="C944" s="80"/>
      <c r="D944" s="80"/>
      <c r="E944" s="79"/>
      <c r="F944" s="87" t="str">
        <f>IF($E944="","",IFERROR(INDEX(基础资料!$O$4:$O$34,MATCH($E944,基础资料!$N$4:$N$34,0))&amp;"",""))</f>
        <v/>
      </c>
      <c r="G944" s="87" t="str">
        <f>IF($E944="","",IFERROR(INDEX(基础资料!$P$4:$P$34,MATCH($E944,基础资料!$N$4:$N$34,0))&amp;"",""))</f>
        <v/>
      </c>
      <c r="H944" s="79"/>
      <c r="I944" s="88"/>
      <c r="J944" s="92"/>
      <c r="K944" s="93"/>
      <c r="L944" s="25" t="str">
        <f t="shared" si="43"/>
        <v/>
      </c>
      <c r="M944" s="94"/>
      <c r="N944" s="26" t="str">
        <f t="shared" si="44"/>
        <v/>
      </c>
      <c r="O944" s="80"/>
      <c r="P944" s="80"/>
      <c r="Q944" s="80"/>
      <c r="R944" s="80"/>
    </row>
    <row r="945" ht="18" customHeight="1" spans="1:18">
      <c r="A945" s="87" t="str">
        <f t="shared" si="42"/>
        <v/>
      </c>
      <c r="B945" s="78"/>
      <c r="C945" s="80"/>
      <c r="D945" s="80"/>
      <c r="E945" s="79"/>
      <c r="F945" s="87" t="str">
        <f>IF($E945="","",IFERROR(INDEX(基础资料!$O$4:$O$34,MATCH($E945,基础资料!$N$4:$N$34,0))&amp;"",""))</f>
        <v/>
      </c>
      <c r="G945" s="87" t="str">
        <f>IF($E945="","",IFERROR(INDEX(基础资料!$P$4:$P$34,MATCH($E945,基础资料!$N$4:$N$34,0))&amp;"",""))</f>
        <v/>
      </c>
      <c r="H945" s="79"/>
      <c r="I945" s="88"/>
      <c r="J945" s="92"/>
      <c r="K945" s="93"/>
      <c r="L945" s="25" t="str">
        <f t="shared" si="43"/>
        <v/>
      </c>
      <c r="M945" s="94"/>
      <c r="N945" s="26" t="str">
        <f t="shared" si="44"/>
        <v/>
      </c>
      <c r="O945" s="80"/>
      <c r="P945" s="80"/>
      <c r="Q945" s="80"/>
      <c r="R945" s="80"/>
    </row>
    <row r="946" ht="18" customHeight="1" spans="1:18">
      <c r="A946" s="87" t="str">
        <f t="shared" si="42"/>
        <v/>
      </c>
      <c r="B946" s="78"/>
      <c r="C946" s="80"/>
      <c r="D946" s="80"/>
      <c r="E946" s="79"/>
      <c r="F946" s="87" t="str">
        <f>IF($E946="","",IFERROR(INDEX(基础资料!$O$4:$O$34,MATCH($E946,基础资料!$N$4:$N$34,0))&amp;"",""))</f>
        <v/>
      </c>
      <c r="G946" s="87" t="str">
        <f>IF($E946="","",IFERROR(INDEX(基础资料!$P$4:$P$34,MATCH($E946,基础资料!$N$4:$N$34,0))&amp;"",""))</f>
        <v/>
      </c>
      <c r="H946" s="79"/>
      <c r="I946" s="88"/>
      <c r="J946" s="92"/>
      <c r="K946" s="93"/>
      <c r="L946" s="25" t="str">
        <f t="shared" si="43"/>
        <v/>
      </c>
      <c r="M946" s="94"/>
      <c r="N946" s="26" t="str">
        <f t="shared" si="44"/>
        <v/>
      </c>
      <c r="O946" s="80"/>
      <c r="P946" s="80"/>
      <c r="Q946" s="80"/>
      <c r="R946" s="80"/>
    </row>
    <row r="947" ht="18" customHeight="1" spans="1:18">
      <c r="A947" s="87" t="str">
        <f t="shared" si="42"/>
        <v/>
      </c>
      <c r="B947" s="78"/>
      <c r="C947" s="80"/>
      <c r="D947" s="80"/>
      <c r="E947" s="79"/>
      <c r="F947" s="87" t="str">
        <f>IF($E947="","",IFERROR(INDEX(基础资料!$O$4:$O$34,MATCH($E947,基础资料!$N$4:$N$34,0))&amp;"",""))</f>
        <v/>
      </c>
      <c r="G947" s="87" t="str">
        <f>IF($E947="","",IFERROR(INDEX(基础资料!$P$4:$P$34,MATCH($E947,基础资料!$N$4:$N$34,0))&amp;"",""))</f>
        <v/>
      </c>
      <c r="H947" s="79"/>
      <c r="I947" s="88"/>
      <c r="J947" s="92"/>
      <c r="K947" s="93"/>
      <c r="L947" s="25" t="str">
        <f t="shared" si="43"/>
        <v/>
      </c>
      <c r="M947" s="94"/>
      <c r="N947" s="26" t="str">
        <f t="shared" si="44"/>
        <v/>
      </c>
      <c r="O947" s="80"/>
      <c r="P947" s="80"/>
      <c r="Q947" s="80"/>
      <c r="R947" s="80"/>
    </row>
    <row r="948" ht="18" customHeight="1" spans="1:18">
      <c r="A948" s="87" t="str">
        <f t="shared" si="42"/>
        <v/>
      </c>
      <c r="B948" s="78"/>
      <c r="C948" s="80"/>
      <c r="D948" s="80"/>
      <c r="E948" s="79"/>
      <c r="F948" s="87" t="str">
        <f>IF($E948="","",IFERROR(INDEX(基础资料!$O$4:$O$34,MATCH($E948,基础资料!$N$4:$N$34,0))&amp;"",""))</f>
        <v/>
      </c>
      <c r="G948" s="87" t="str">
        <f>IF($E948="","",IFERROR(INDEX(基础资料!$P$4:$P$34,MATCH($E948,基础资料!$N$4:$N$34,0))&amp;"",""))</f>
        <v/>
      </c>
      <c r="H948" s="79"/>
      <c r="I948" s="88"/>
      <c r="J948" s="92"/>
      <c r="K948" s="93"/>
      <c r="L948" s="25" t="str">
        <f t="shared" si="43"/>
        <v/>
      </c>
      <c r="M948" s="94"/>
      <c r="N948" s="26" t="str">
        <f t="shared" si="44"/>
        <v/>
      </c>
      <c r="O948" s="80"/>
      <c r="P948" s="80"/>
      <c r="Q948" s="80"/>
      <c r="R948" s="80"/>
    </row>
    <row r="949" ht="18" customHeight="1" spans="1:18">
      <c r="A949" s="87" t="str">
        <f t="shared" si="42"/>
        <v/>
      </c>
      <c r="B949" s="78"/>
      <c r="C949" s="80"/>
      <c r="D949" s="80"/>
      <c r="E949" s="79"/>
      <c r="F949" s="87" t="str">
        <f>IF($E949="","",IFERROR(INDEX(基础资料!$O$4:$O$34,MATCH($E949,基础资料!$N$4:$N$34,0))&amp;"",""))</f>
        <v/>
      </c>
      <c r="G949" s="87" t="str">
        <f>IF($E949="","",IFERROR(INDEX(基础资料!$P$4:$P$34,MATCH($E949,基础资料!$N$4:$N$34,0))&amp;"",""))</f>
        <v/>
      </c>
      <c r="H949" s="79"/>
      <c r="I949" s="88"/>
      <c r="J949" s="92"/>
      <c r="K949" s="93"/>
      <c r="L949" s="25" t="str">
        <f t="shared" si="43"/>
        <v/>
      </c>
      <c r="M949" s="94"/>
      <c r="N949" s="26" t="str">
        <f t="shared" si="44"/>
        <v/>
      </c>
      <c r="O949" s="80"/>
      <c r="P949" s="80"/>
      <c r="Q949" s="80"/>
      <c r="R949" s="80"/>
    </row>
    <row r="950" ht="18" customHeight="1" spans="1:18">
      <c r="A950" s="87" t="str">
        <f t="shared" si="42"/>
        <v/>
      </c>
      <c r="B950" s="78"/>
      <c r="C950" s="80"/>
      <c r="D950" s="80"/>
      <c r="E950" s="79"/>
      <c r="F950" s="87" t="str">
        <f>IF($E950="","",IFERROR(INDEX(基础资料!$O$4:$O$34,MATCH($E950,基础资料!$N$4:$N$34,0))&amp;"",""))</f>
        <v/>
      </c>
      <c r="G950" s="87" t="str">
        <f>IF($E950="","",IFERROR(INDEX(基础资料!$P$4:$P$34,MATCH($E950,基础资料!$N$4:$N$34,0))&amp;"",""))</f>
        <v/>
      </c>
      <c r="H950" s="79"/>
      <c r="I950" s="88"/>
      <c r="J950" s="92"/>
      <c r="K950" s="93"/>
      <c r="L950" s="25" t="str">
        <f t="shared" si="43"/>
        <v/>
      </c>
      <c r="M950" s="94"/>
      <c r="N950" s="26" t="str">
        <f t="shared" si="44"/>
        <v/>
      </c>
      <c r="O950" s="80"/>
      <c r="P950" s="80"/>
      <c r="Q950" s="80"/>
      <c r="R950" s="80"/>
    </row>
    <row r="951" ht="18" customHeight="1" spans="1:18">
      <c r="A951" s="87" t="str">
        <f t="shared" si="42"/>
        <v/>
      </c>
      <c r="B951" s="78"/>
      <c r="C951" s="80"/>
      <c r="D951" s="80"/>
      <c r="E951" s="79"/>
      <c r="F951" s="87" t="str">
        <f>IF($E951="","",IFERROR(INDEX(基础资料!$O$4:$O$34,MATCH($E951,基础资料!$N$4:$N$34,0))&amp;"",""))</f>
        <v/>
      </c>
      <c r="G951" s="87" t="str">
        <f>IF($E951="","",IFERROR(INDEX(基础资料!$P$4:$P$34,MATCH($E951,基础资料!$N$4:$N$34,0))&amp;"",""))</f>
        <v/>
      </c>
      <c r="H951" s="79"/>
      <c r="I951" s="88"/>
      <c r="J951" s="92"/>
      <c r="K951" s="93"/>
      <c r="L951" s="25" t="str">
        <f t="shared" si="43"/>
        <v/>
      </c>
      <c r="M951" s="94"/>
      <c r="N951" s="26" t="str">
        <f t="shared" si="44"/>
        <v/>
      </c>
      <c r="O951" s="80"/>
      <c r="P951" s="80"/>
      <c r="Q951" s="80"/>
      <c r="R951" s="80"/>
    </row>
    <row r="952" ht="18" customHeight="1" spans="1:18">
      <c r="A952" s="87" t="str">
        <f t="shared" si="42"/>
        <v/>
      </c>
      <c r="B952" s="78"/>
      <c r="C952" s="80"/>
      <c r="D952" s="80"/>
      <c r="E952" s="79"/>
      <c r="F952" s="87" t="str">
        <f>IF($E952="","",IFERROR(INDEX(基础资料!$O$4:$O$34,MATCH($E952,基础资料!$N$4:$N$34,0))&amp;"",""))</f>
        <v/>
      </c>
      <c r="G952" s="87" t="str">
        <f>IF($E952="","",IFERROR(INDEX(基础资料!$P$4:$P$34,MATCH($E952,基础资料!$N$4:$N$34,0))&amp;"",""))</f>
        <v/>
      </c>
      <c r="H952" s="79"/>
      <c r="I952" s="88"/>
      <c r="J952" s="92"/>
      <c r="K952" s="93"/>
      <c r="L952" s="25" t="str">
        <f t="shared" si="43"/>
        <v/>
      </c>
      <c r="M952" s="94"/>
      <c r="N952" s="26" t="str">
        <f t="shared" si="44"/>
        <v/>
      </c>
      <c r="O952" s="80"/>
      <c r="P952" s="80"/>
      <c r="Q952" s="80"/>
      <c r="R952" s="80"/>
    </row>
    <row r="953" ht="18" customHeight="1" spans="1:18">
      <c r="A953" s="87" t="str">
        <f t="shared" si="42"/>
        <v/>
      </c>
      <c r="B953" s="78"/>
      <c r="C953" s="80"/>
      <c r="D953" s="80"/>
      <c r="E953" s="79"/>
      <c r="F953" s="87" t="str">
        <f>IF($E953="","",IFERROR(INDEX(基础资料!$O$4:$O$34,MATCH($E953,基础资料!$N$4:$N$34,0))&amp;"",""))</f>
        <v/>
      </c>
      <c r="G953" s="87" t="str">
        <f>IF($E953="","",IFERROR(INDEX(基础资料!$P$4:$P$34,MATCH($E953,基础资料!$N$4:$N$34,0))&amp;"",""))</f>
        <v/>
      </c>
      <c r="H953" s="79"/>
      <c r="I953" s="88"/>
      <c r="J953" s="92"/>
      <c r="K953" s="93"/>
      <c r="L953" s="25" t="str">
        <f t="shared" si="43"/>
        <v/>
      </c>
      <c r="M953" s="94"/>
      <c r="N953" s="26" t="str">
        <f t="shared" si="44"/>
        <v/>
      </c>
      <c r="O953" s="80"/>
      <c r="P953" s="80"/>
      <c r="Q953" s="80"/>
      <c r="R953" s="80"/>
    </row>
    <row r="954" ht="18" customHeight="1" spans="1:18">
      <c r="A954" s="87" t="str">
        <f t="shared" si="42"/>
        <v/>
      </c>
      <c r="B954" s="78"/>
      <c r="C954" s="80"/>
      <c r="D954" s="80"/>
      <c r="E954" s="79"/>
      <c r="F954" s="87" t="str">
        <f>IF($E954="","",IFERROR(INDEX(基础资料!$O$4:$O$34,MATCH($E954,基础资料!$N$4:$N$34,0))&amp;"",""))</f>
        <v/>
      </c>
      <c r="G954" s="87" t="str">
        <f>IF($E954="","",IFERROR(INDEX(基础资料!$P$4:$P$34,MATCH($E954,基础资料!$N$4:$N$34,0))&amp;"",""))</f>
        <v/>
      </c>
      <c r="H954" s="79"/>
      <c r="I954" s="88"/>
      <c r="J954" s="92"/>
      <c r="K954" s="93"/>
      <c r="L954" s="25" t="str">
        <f t="shared" si="43"/>
        <v/>
      </c>
      <c r="M954" s="94"/>
      <c r="N954" s="26" t="str">
        <f t="shared" si="44"/>
        <v/>
      </c>
      <c r="O954" s="80"/>
      <c r="P954" s="80"/>
      <c r="Q954" s="80"/>
      <c r="R954" s="80"/>
    </row>
    <row r="955" ht="18" customHeight="1" spans="1:18">
      <c r="A955" s="87" t="str">
        <f t="shared" si="42"/>
        <v/>
      </c>
      <c r="B955" s="78"/>
      <c r="C955" s="80"/>
      <c r="D955" s="80"/>
      <c r="E955" s="79"/>
      <c r="F955" s="87" t="str">
        <f>IF($E955="","",IFERROR(INDEX(基础资料!$O$4:$O$34,MATCH($E955,基础资料!$N$4:$N$34,0))&amp;"",""))</f>
        <v/>
      </c>
      <c r="G955" s="87" t="str">
        <f>IF($E955="","",IFERROR(INDEX(基础资料!$P$4:$P$34,MATCH($E955,基础资料!$N$4:$N$34,0))&amp;"",""))</f>
        <v/>
      </c>
      <c r="H955" s="79"/>
      <c r="I955" s="88"/>
      <c r="J955" s="92"/>
      <c r="K955" s="93"/>
      <c r="L955" s="25" t="str">
        <f t="shared" si="43"/>
        <v/>
      </c>
      <c r="M955" s="94"/>
      <c r="N955" s="26" t="str">
        <f t="shared" si="44"/>
        <v/>
      </c>
      <c r="O955" s="80"/>
      <c r="P955" s="80"/>
      <c r="Q955" s="80"/>
      <c r="R955" s="80"/>
    </row>
    <row r="956" ht="18" customHeight="1" spans="1:18">
      <c r="A956" s="87" t="str">
        <f t="shared" si="42"/>
        <v/>
      </c>
      <c r="B956" s="78"/>
      <c r="C956" s="80"/>
      <c r="D956" s="80"/>
      <c r="E956" s="79"/>
      <c r="F956" s="87" t="str">
        <f>IF($E956="","",IFERROR(INDEX(基础资料!$O$4:$O$34,MATCH($E956,基础资料!$N$4:$N$34,0))&amp;"",""))</f>
        <v/>
      </c>
      <c r="G956" s="87" t="str">
        <f>IF($E956="","",IFERROR(INDEX(基础资料!$P$4:$P$34,MATCH($E956,基础资料!$N$4:$N$34,0))&amp;"",""))</f>
        <v/>
      </c>
      <c r="H956" s="79"/>
      <c r="I956" s="88"/>
      <c r="J956" s="92"/>
      <c r="K956" s="93"/>
      <c r="L956" s="25" t="str">
        <f t="shared" si="43"/>
        <v/>
      </c>
      <c r="M956" s="94"/>
      <c r="N956" s="26" t="str">
        <f t="shared" si="44"/>
        <v/>
      </c>
      <c r="O956" s="80"/>
      <c r="P956" s="80"/>
      <c r="Q956" s="80"/>
      <c r="R956" s="80"/>
    </row>
    <row r="957" ht="18" customHeight="1" spans="1:18">
      <c r="A957" s="87" t="str">
        <f t="shared" si="42"/>
        <v/>
      </c>
      <c r="B957" s="78"/>
      <c r="C957" s="80"/>
      <c r="D957" s="80"/>
      <c r="E957" s="79"/>
      <c r="F957" s="87" t="str">
        <f>IF($E957="","",IFERROR(INDEX(基础资料!$O$4:$O$34,MATCH($E957,基础资料!$N$4:$N$34,0))&amp;"",""))</f>
        <v/>
      </c>
      <c r="G957" s="87" t="str">
        <f>IF($E957="","",IFERROR(INDEX(基础资料!$P$4:$P$34,MATCH($E957,基础资料!$N$4:$N$34,0))&amp;"",""))</f>
        <v/>
      </c>
      <c r="H957" s="79"/>
      <c r="I957" s="88"/>
      <c r="J957" s="92"/>
      <c r="K957" s="93"/>
      <c r="L957" s="25" t="str">
        <f t="shared" si="43"/>
        <v/>
      </c>
      <c r="M957" s="94"/>
      <c r="N957" s="26" t="str">
        <f t="shared" si="44"/>
        <v/>
      </c>
      <c r="O957" s="80"/>
      <c r="P957" s="80"/>
      <c r="Q957" s="80"/>
      <c r="R957" s="80"/>
    </row>
    <row r="958" ht="18" customHeight="1" spans="1:18">
      <c r="A958" s="87" t="str">
        <f t="shared" si="42"/>
        <v/>
      </c>
      <c r="B958" s="78"/>
      <c r="C958" s="80"/>
      <c r="D958" s="80"/>
      <c r="E958" s="79"/>
      <c r="F958" s="87" t="str">
        <f>IF($E958="","",IFERROR(INDEX(基础资料!$O$4:$O$34,MATCH($E958,基础资料!$N$4:$N$34,0))&amp;"",""))</f>
        <v/>
      </c>
      <c r="G958" s="87" t="str">
        <f>IF($E958="","",IFERROR(INDEX(基础资料!$P$4:$P$34,MATCH($E958,基础资料!$N$4:$N$34,0))&amp;"",""))</f>
        <v/>
      </c>
      <c r="H958" s="79"/>
      <c r="I958" s="88"/>
      <c r="J958" s="92"/>
      <c r="K958" s="93"/>
      <c r="L958" s="25" t="str">
        <f t="shared" si="43"/>
        <v/>
      </c>
      <c r="M958" s="94"/>
      <c r="N958" s="26" t="str">
        <f t="shared" si="44"/>
        <v/>
      </c>
      <c r="O958" s="80"/>
      <c r="P958" s="80"/>
      <c r="Q958" s="80"/>
      <c r="R958" s="80"/>
    </row>
    <row r="959" ht="18" customHeight="1" spans="1:18">
      <c r="A959" s="87" t="str">
        <f t="shared" si="42"/>
        <v/>
      </c>
      <c r="B959" s="78"/>
      <c r="C959" s="80"/>
      <c r="D959" s="80"/>
      <c r="E959" s="79"/>
      <c r="F959" s="87" t="str">
        <f>IF($E959="","",IFERROR(INDEX(基础资料!$O$4:$O$34,MATCH($E959,基础资料!$N$4:$N$34,0))&amp;"",""))</f>
        <v/>
      </c>
      <c r="G959" s="87" t="str">
        <f>IF($E959="","",IFERROR(INDEX(基础资料!$P$4:$P$34,MATCH($E959,基础资料!$N$4:$N$34,0))&amp;"",""))</f>
        <v/>
      </c>
      <c r="H959" s="79"/>
      <c r="I959" s="88"/>
      <c r="J959" s="92"/>
      <c r="K959" s="93"/>
      <c r="L959" s="25" t="str">
        <f t="shared" si="43"/>
        <v/>
      </c>
      <c r="M959" s="94"/>
      <c r="N959" s="26" t="str">
        <f t="shared" si="44"/>
        <v/>
      </c>
      <c r="O959" s="80"/>
      <c r="P959" s="80"/>
      <c r="Q959" s="80"/>
      <c r="R959" s="80"/>
    </row>
    <row r="960" ht="18" customHeight="1" spans="1:18">
      <c r="A960" s="87" t="str">
        <f t="shared" si="42"/>
        <v/>
      </c>
      <c r="B960" s="78"/>
      <c r="C960" s="80"/>
      <c r="D960" s="80"/>
      <c r="E960" s="79"/>
      <c r="F960" s="87" t="str">
        <f>IF($E960="","",IFERROR(INDEX(基础资料!$O$4:$O$34,MATCH($E960,基础资料!$N$4:$N$34,0))&amp;"",""))</f>
        <v/>
      </c>
      <c r="G960" s="87" t="str">
        <f>IF($E960="","",IFERROR(INDEX(基础资料!$P$4:$P$34,MATCH($E960,基础资料!$N$4:$N$34,0))&amp;"",""))</f>
        <v/>
      </c>
      <c r="H960" s="79"/>
      <c r="I960" s="88"/>
      <c r="J960" s="92"/>
      <c r="K960" s="93"/>
      <c r="L960" s="25" t="str">
        <f t="shared" si="43"/>
        <v/>
      </c>
      <c r="M960" s="94"/>
      <c r="N960" s="26" t="str">
        <f t="shared" si="44"/>
        <v/>
      </c>
      <c r="O960" s="80"/>
      <c r="P960" s="80"/>
      <c r="Q960" s="80"/>
      <c r="R960" s="80"/>
    </row>
    <row r="961" ht="18" customHeight="1" spans="1:18">
      <c r="A961" s="87" t="str">
        <f t="shared" si="42"/>
        <v/>
      </c>
      <c r="B961" s="78"/>
      <c r="C961" s="80"/>
      <c r="D961" s="80"/>
      <c r="E961" s="79"/>
      <c r="F961" s="87" t="str">
        <f>IF($E961="","",IFERROR(INDEX(基础资料!$O$4:$O$34,MATCH($E961,基础资料!$N$4:$N$34,0))&amp;"",""))</f>
        <v/>
      </c>
      <c r="G961" s="87" t="str">
        <f>IF($E961="","",IFERROR(INDEX(基础资料!$P$4:$P$34,MATCH($E961,基础资料!$N$4:$N$34,0))&amp;"",""))</f>
        <v/>
      </c>
      <c r="H961" s="79"/>
      <c r="I961" s="88"/>
      <c r="J961" s="92"/>
      <c r="K961" s="93"/>
      <c r="L961" s="25" t="str">
        <f t="shared" si="43"/>
        <v/>
      </c>
      <c r="M961" s="94"/>
      <c r="N961" s="26" t="str">
        <f t="shared" si="44"/>
        <v/>
      </c>
      <c r="O961" s="80"/>
      <c r="P961" s="80"/>
      <c r="Q961" s="80"/>
      <c r="R961" s="80"/>
    </row>
    <row r="962" ht="18" customHeight="1" spans="1:18">
      <c r="A962" s="87" t="str">
        <f t="shared" si="42"/>
        <v/>
      </c>
      <c r="B962" s="78"/>
      <c r="C962" s="80"/>
      <c r="D962" s="80"/>
      <c r="E962" s="79"/>
      <c r="F962" s="87" t="str">
        <f>IF($E962="","",IFERROR(INDEX(基础资料!$O$4:$O$34,MATCH($E962,基础资料!$N$4:$N$34,0))&amp;"",""))</f>
        <v/>
      </c>
      <c r="G962" s="87" t="str">
        <f>IF($E962="","",IFERROR(INDEX(基础资料!$P$4:$P$34,MATCH($E962,基础资料!$N$4:$N$34,0))&amp;"",""))</f>
        <v/>
      </c>
      <c r="H962" s="79"/>
      <c r="I962" s="88"/>
      <c r="J962" s="92"/>
      <c r="K962" s="93"/>
      <c r="L962" s="25" t="str">
        <f t="shared" si="43"/>
        <v/>
      </c>
      <c r="M962" s="94"/>
      <c r="N962" s="26" t="str">
        <f t="shared" si="44"/>
        <v/>
      </c>
      <c r="O962" s="80"/>
      <c r="P962" s="80"/>
      <c r="Q962" s="80"/>
      <c r="R962" s="80"/>
    </row>
    <row r="963" ht="18" customHeight="1" spans="1:18">
      <c r="A963" s="87" t="str">
        <f t="shared" si="42"/>
        <v/>
      </c>
      <c r="B963" s="78"/>
      <c r="C963" s="80"/>
      <c r="D963" s="80"/>
      <c r="E963" s="79"/>
      <c r="F963" s="87" t="str">
        <f>IF($E963="","",IFERROR(INDEX(基础资料!$O$4:$O$34,MATCH($E963,基础资料!$N$4:$N$34,0))&amp;"",""))</f>
        <v/>
      </c>
      <c r="G963" s="87" t="str">
        <f>IF($E963="","",IFERROR(INDEX(基础资料!$P$4:$P$34,MATCH($E963,基础资料!$N$4:$N$34,0))&amp;"",""))</f>
        <v/>
      </c>
      <c r="H963" s="79"/>
      <c r="I963" s="88"/>
      <c r="J963" s="92"/>
      <c r="K963" s="93"/>
      <c r="L963" s="25" t="str">
        <f t="shared" si="43"/>
        <v/>
      </c>
      <c r="M963" s="94"/>
      <c r="N963" s="26" t="str">
        <f t="shared" si="44"/>
        <v/>
      </c>
      <c r="O963" s="80"/>
      <c r="P963" s="80"/>
      <c r="Q963" s="80"/>
      <c r="R963" s="80"/>
    </row>
    <row r="964" ht="18" customHeight="1" spans="1:18">
      <c r="A964" s="87" t="str">
        <f t="shared" ref="A964:A1027" si="45">IF($E964="","",ROW()-3)</f>
        <v/>
      </c>
      <c r="B964" s="78"/>
      <c r="C964" s="80"/>
      <c r="D964" s="80"/>
      <c r="E964" s="79"/>
      <c r="F964" s="87" t="str">
        <f>IF($E964="","",IFERROR(INDEX(基础资料!$O$4:$O$34,MATCH($E964,基础资料!$N$4:$N$34,0))&amp;"",""))</f>
        <v/>
      </c>
      <c r="G964" s="87" t="str">
        <f>IF($E964="","",IFERROR(INDEX(基础资料!$P$4:$P$34,MATCH($E964,基础资料!$N$4:$N$34,0))&amp;"",""))</f>
        <v/>
      </c>
      <c r="H964" s="79"/>
      <c r="I964" s="88"/>
      <c r="J964" s="92"/>
      <c r="K964" s="93"/>
      <c r="L964" s="25" t="str">
        <f t="shared" ref="L964:L1027" si="46">IF($E964="","",N($I964)+N($J964)-N($K964))</f>
        <v/>
      </c>
      <c r="M964" s="94"/>
      <c r="N964" s="26" t="str">
        <f t="shared" ref="N964:N1027" si="47">IF($E964="","",ROUND(N($L964)*N($M964),2))</f>
        <v/>
      </c>
      <c r="O964" s="80"/>
      <c r="P964" s="80"/>
      <c r="Q964" s="80"/>
      <c r="R964" s="80"/>
    </row>
    <row r="965" ht="18" customHeight="1" spans="1:18">
      <c r="A965" s="87" t="str">
        <f t="shared" si="45"/>
        <v/>
      </c>
      <c r="B965" s="78"/>
      <c r="C965" s="80"/>
      <c r="D965" s="80"/>
      <c r="E965" s="79"/>
      <c r="F965" s="87" t="str">
        <f>IF($E965="","",IFERROR(INDEX(基础资料!$O$4:$O$34,MATCH($E965,基础资料!$N$4:$N$34,0))&amp;"",""))</f>
        <v/>
      </c>
      <c r="G965" s="87" t="str">
        <f>IF($E965="","",IFERROR(INDEX(基础资料!$P$4:$P$34,MATCH($E965,基础资料!$N$4:$N$34,0))&amp;"",""))</f>
        <v/>
      </c>
      <c r="H965" s="79"/>
      <c r="I965" s="88"/>
      <c r="J965" s="92"/>
      <c r="K965" s="93"/>
      <c r="L965" s="25" t="str">
        <f t="shared" si="46"/>
        <v/>
      </c>
      <c r="M965" s="94"/>
      <c r="N965" s="26" t="str">
        <f t="shared" si="47"/>
        <v/>
      </c>
      <c r="O965" s="80"/>
      <c r="P965" s="80"/>
      <c r="Q965" s="80"/>
      <c r="R965" s="80"/>
    </row>
    <row r="966" ht="18" customHeight="1" spans="1:18">
      <c r="A966" s="87" t="str">
        <f t="shared" si="45"/>
        <v/>
      </c>
      <c r="B966" s="78"/>
      <c r="C966" s="80"/>
      <c r="D966" s="80"/>
      <c r="E966" s="79"/>
      <c r="F966" s="87" t="str">
        <f>IF($E966="","",IFERROR(INDEX(基础资料!$O$4:$O$34,MATCH($E966,基础资料!$N$4:$N$34,0))&amp;"",""))</f>
        <v/>
      </c>
      <c r="G966" s="87" t="str">
        <f>IF($E966="","",IFERROR(INDEX(基础资料!$P$4:$P$34,MATCH($E966,基础资料!$N$4:$N$34,0))&amp;"",""))</f>
        <v/>
      </c>
      <c r="H966" s="79"/>
      <c r="I966" s="88"/>
      <c r="J966" s="92"/>
      <c r="K966" s="93"/>
      <c r="L966" s="25" t="str">
        <f t="shared" si="46"/>
        <v/>
      </c>
      <c r="M966" s="94"/>
      <c r="N966" s="26" t="str">
        <f t="shared" si="47"/>
        <v/>
      </c>
      <c r="O966" s="80"/>
      <c r="P966" s="80"/>
      <c r="Q966" s="80"/>
      <c r="R966" s="80"/>
    </row>
    <row r="967" ht="18" customHeight="1" spans="1:18">
      <c r="A967" s="87" t="str">
        <f t="shared" si="45"/>
        <v/>
      </c>
      <c r="B967" s="78"/>
      <c r="C967" s="80"/>
      <c r="D967" s="80"/>
      <c r="E967" s="79"/>
      <c r="F967" s="87" t="str">
        <f>IF($E967="","",IFERROR(INDEX(基础资料!$O$4:$O$34,MATCH($E967,基础资料!$N$4:$N$34,0))&amp;"",""))</f>
        <v/>
      </c>
      <c r="G967" s="87" t="str">
        <f>IF($E967="","",IFERROR(INDEX(基础资料!$P$4:$P$34,MATCH($E967,基础资料!$N$4:$N$34,0))&amp;"",""))</f>
        <v/>
      </c>
      <c r="H967" s="79"/>
      <c r="I967" s="88"/>
      <c r="J967" s="92"/>
      <c r="K967" s="93"/>
      <c r="L967" s="25" t="str">
        <f t="shared" si="46"/>
        <v/>
      </c>
      <c r="M967" s="94"/>
      <c r="N967" s="26" t="str">
        <f t="shared" si="47"/>
        <v/>
      </c>
      <c r="O967" s="80"/>
      <c r="P967" s="80"/>
      <c r="Q967" s="80"/>
      <c r="R967" s="80"/>
    </row>
    <row r="968" ht="18" customHeight="1" spans="1:18">
      <c r="A968" s="87" t="str">
        <f t="shared" si="45"/>
        <v/>
      </c>
      <c r="B968" s="78"/>
      <c r="C968" s="80"/>
      <c r="D968" s="80"/>
      <c r="E968" s="79"/>
      <c r="F968" s="87" t="str">
        <f>IF($E968="","",IFERROR(INDEX(基础资料!$O$4:$O$34,MATCH($E968,基础资料!$N$4:$N$34,0))&amp;"",""))</f>
        <v/>
      </c>
      <c r="G968" s="87" t="str">
        <f>IF($E968="","",IFERROR(INDEX(基础资料!$P$4:$P$34,MATCH($E968,基础资料!$N$4:$N$34,0))&amp;"",""))</f>
        <v/>
      </c>
      <c r="H968" s="79"/>
      <c r="I968" s="88"/>
      <c r="J968" s="92"/>
      <c r="K968" s="93"/>
      <c r="L968" s="25" t="str">
        <f t="shared" si="46"/>
        <v/>
      </c>
      <c r="M968" s="94"/>
      <c r="N968" s="26" t="str">
        <f t="shared" si="47"/>
        <v/>
      </c>
      <c r="O968" s="80"/>
      <c r="P968" s="80"/>
      <c r="Q968" s="80"/>
      <c r="R968" s="80"/>
    </row>
    <row r="969" ht="18" customHeight="1" spans="1:18">
      <c r="A969" s="87" t="str">
        <f t="shared" si="45"/>
        <v/>
      </c>
      <c r="B969" s="78"/>
      <c r="C969" s="80"/>
      <c r="D969" s="80"/>
      <c r="E969" s="79"/>
      <c r="F969" s="87" t="str">
        <f>IF($E969="","",IFERROR(INDEX(基础资料!$O$4:$O$34,MATCH($E969,基础资料!$N$4:$N$34,0))&amp;"",""))</f>
        <v/>
      </c>
      <c r="G969" s="87" t="str">
        <f>IF($E969="","",IFERROR(INDEX(基础资料!$P$4:$P$34,MATCH($E969,基础资料!$N$4:$N$34,0))&amp;"",""))</f>
        <v/>
      </c>
      <c r="H969" s="79"/>
      <c r="I969" s="88"/>
      <c r="J969" s="92"/>
      <c r="K969" s="93"/>
      <c r="L969" s="25" t="str">
        <f t="shared" si="46"/>
        <v/>
      </c>
      <c r="M969" s="94"/>
      <c r="N969" s="26" t="str">
        <f t="shared" si="47"/>
        <v/>
      </c>
      <c r="O969" s="80"/>
      <c r="P969" s="80"/>
      <c r="Q969" s="80"/>
      <c r="R969" s="80"/>
    </row>
    <row r="970" ht="18" customHeight="1" spans="1:18">
      <c r="A970" s="87" t="str">
        <f t="shared" si="45"/>
        <v/>
      </c>
      <c r="B970" s="78"/>
      <c r="C970" s="80"/>
      <c r="D970" s="80"/>
      <c r="E970" s="79"/>
      <c r="F970" s="87" t="str">
        <f>IF($E970="","",IFERROR(INDEX(基础资料!$O$4:$O$34,MATCH($E970,基础资料!$N$4:$N$34,0))&amp;"",""))</f>
        <v/>
      </c>
      <c r="G970" s="87" t="str">
        <f>IF($E970="","",IFERROR(INDEX(基础资料!$P$4:$P$34,MATCH($E970,基础资料!$N$4:$N$34,0))&amp;"",""))</f>
        <v/>
      </c>
      <c r="H970" s="79"/>
      <c r="I970" s="88"/>
      <c r="J970" s="92"/>
      <c r="K970" s="93"/>
      <c r="L970" s="25" t="str">
        <f t="shared" si="46"/>
        <v/>
      </c>
      <c r="M970" s="94"/>
      <c r="N970" s="26" t="str">
        <f t="shared" si="47"/>
        <v/>
      </c>
      <c r="O970" s="80"/>
      <c r="P970" s="80"/>
      <c r="Q970" s="80"/>
      <c r="R970" s="80"/>
    </row>
    <row r="971" ht="18" customHeight="1" spans="1:18">
      <c r="A971" s="87" t="str">
        <f t="shared" si="45"/>
        <v/>
      </c>
      <c r="B971" s="78"/>
      <c r="C971" s="80"/>
      <c r="D971" s="80"/>
      <c r="E971" s="79"/>
      <c r="F971" s="87" t="str">
        <f>IF($E971="","",IFERROR(INDEX(基础资料!$O$4:$O$34,MATCH($E971,基础资料!$N$4:$N$34,0))&amp;"",""))</f>
        <v/>
      </c>
      <c r="G971" s="87" t="str">
        <f>IF($E971="","",IFERROR(INDEX(基础资料!$P$4:$P$34,MATCH($E971,基础资料!$N$4:$N$34,0))&amp;"",""))</f>
        <v/>
      </c>
      <c r="H971" s="79"/>
      <c r="I971" s="88"/>
      <c r="J971" s="92"/>
      <c r="K971" s="93"/>
      <c r="L971" s="25" t="str">
        <f t="shared" si="46"/>
        <v/>
      </c>
      <c r="M971" s="94"/>
      <c r="N971" s="26" t="str">
        <f t="shared" si="47"/>
        <v/>
      </c>
      <c r="O971" s="80"/>
      <c r="P971" s="80"/>
      <c r="Q971" s="80"/>
      <c r="R971" s="80"/>
    </row>
    <row r="972" ht="18" customHeight="1" spans="1:18">
      <c r="A972" s="87" t="str">
        <f t="shared" si="45"/>
        <v/>
      </c>
      <c r="B972" s="78"/>
      <c r="C972" s="80"/>
      <c r="D972" s="80"/>
      <c r="E972" s="79"/>
      <c r="F972" s="87" t="str">
        <f>IF($E972="","",IFERROR(INDEX(基础资料!$O$4:$O$34,MATCH($E972,基础资料!$N$4:$N$34,0))&amp;"",""))</f>
        <v/>
      </c>
      <c r="G972" s="87" t="str">
        <f>IF($E972="","",IFERROR(INDEX(基础资料!$P$4:$P$34,MATCH($E972,基础资料!$N$4:$N$34,0))&amp;"",""))</f>
        <v/>
      </c>
      <c r="H972" s="79"/>
      <c r="I972" s="88"/>
      <c r="J972" s="92"/>
      <c r="K972" s="93"/>
      <c r="L972" s="25" t="str">
        <f t="shared" si="46"/>
        <v/>
      </c>
      <c r="M972" s="94"/>
      <c r="N972" s="26" t="str">
        <f t="shared" si="47"/>
        <v/>
      </c>
      <c r="O972" s="80"/>
      <c r="P972" s="80"/>
      <c r="Q972" s="80"/>
      <c r="R972" s="80"/>
    </row>
    <row r="973" ht="18" customHeight="1" spans="1:18">
      <c r="A973" s="87" t="str">
        <f t="shared" si="45"/>
        <v/>
      </c>
      <c r="B973" s="78"/>
      <c r="C973" s="80"/>
      <c r="D973" s="80"/>
      <c r="E973" s="79"/>
      <c r="F973" s="87" t="str">
        <f>IF($E973="","",IFERROR(INDEX(基础资料!$O$4:$O$34,MATCH($E973,基础资料!$N$4:$N$34,0))&amp;"",""))</f>
        <v/>
      </c>
      <c r="G973" s="87" t="str">
        <f>IF($E973="","",IFERROR(INDEX(基础资料!$P$4:$P$34,MATCH($E973,基础资料!$N$4:$N$34,0))&amp;"",""))</f>
        <v/>
      </c>
      <c r="H973" s="79"/>
      <c r="I973" s="88"/>
      <c r="J973" s="92"/>
      <c r="K973" s="93"/>
      <c r="L973" s="25" t="str">
        <f t="shared" si="46"/>
        <v/>
      </c>
      <c r="M973" s="94"/>
      <c r="N973" s="26" t="str">
        <f t="shared" si="47"/>
        <v/>
      </c>
      <c r="O973" s="80"/>
      <c r="P973" s="80"/>
      <c r="Q973" s="80"/>
      <c r="R973" s="80"/>
    </row>
    <row r="974" ht="18" customHeight="1" spans="1:18">
      <c r="A974" s="87" t="str">
        <f t="shared" si="45"/>
        <v/>
      </c>
      <c r="B974" s="78"/>
      <c r="C974" s="80"/>
      <c r="D974" s="80"/>
      <c r="E974" s="79"/>
      <c r="F974" s="87" t="str">
        <f>IF($E974="","",IFERROR(INDEX(基础资料!$O$4:$O$34,MATCH($E974,基础资料!$N$4:$N$34,0))&amp;"",""))</f>
        <v/>
      </c>
      <c r="G974" s="87" t="str">
        <f>IF($E974="","",IFERROR(INDEX(基础资料!$P$4:$P$34,MATCH($E974,基础资料!$N$4:$N$34,0))&amp;"",""))</f>
        <v/>
      </c>
      <c r="H974" s="79"/>
      <c r="I974" s="88"/>
      <c r="J974" s="92"/>
      <c r="K974" s="93"/>
      <c r="L974" s="25" t="str">
        <f t="shared" si="46"/>
        <v/>
      </c>
      <c r="M974" s="94"/>
      <c r="N974" s="26" t="str">
        <f t="shared" si="47"/>
        <v/>
      </c>
      <c r="O974" s="80"/>
      <c r="P974" s="80"/>
      <c r="Q974" s="80"/>
      <c r="R974" s="80"/>
    </row>
    <row r="975" ht="18" customHeight="1" spans="1:18">
      <c r="A975" s="87" t="str">
        <f t="shared" si="45"/>
        <v/>
      </c>
      <c r="B975" s="78"/>
      <c r="C975" s="80"/>
      <c r="D975" s="80"/>
      <c r="E975" s="79"/>
      <c r="F975" s="87" t="str">
        <f>IF($E975="","",IFERROR(INDEX(基础资料!$O$4:$O$34,MATCH($E975,基础资料!$N$4:$N$34,0))&amp;"",""))</f>
        <v/>
      </c>
      <c r="G975" s="87" t="str">
        <f>IF($E975="","",IFERROR(INDEX(基础资料!$P$4:$P$34,MATCH($E975,基础资料!$N$4:$N$34,0))&amp;"",""))</f>
        <v/>
      </c>
      <c r="H975" s="79"/>
      <c r="I975" s="88"/>
      <c r="J975" s="92"/>
      <c r="K975" s="93"/>
      <c r="L975" s="25" t="str">
        <f t="shared" si="46"/>
        <v/>
      </c>
      <c r="M975" s="94"/>
      <c r="N975" s="26" t="str">
        <f t="shared" si="47"/>
        <v/>
      </c>
      <c r="O975" s="80"/>
      <c r="P975" s="80"/>
      <c r="Q975" s="80"/>
      <c r="R975" s="80"/>
    </row>
    <row r="976" ht="18" customHeight="1" spans="1:18">
      <c r="A976" s="87" t="str">
        <f t="shared" si="45"/>
        <v/>
      </c>
      <c r="B976" s="78"/>
      <c r="C976" s="80"/>
      <c r="D976" s="80"/>
      <c r="E976" s="79"/>
      <c r="F976" s="87" t="str">
        <f>IF($E976="","",IFERROR(INDEX(基础资料!$O$4:$O$34,MATCH($E976,基础资料!$N$4:$N$34,0))&amp;"",""))</f>
        <v/>
      </c>
      <c r="G976" s="87" t="str">
        <f>IF($E976="","",IFERROR(INDEX(基础资料!$P$4:$P$34,MATCH($E976,基础资料!$N$4:$N$34,0))&amp;"",""))</f>
        <v/>
      </c>
      <c r="H976" s="79"/>
      <c r="I976" s="88"/>
      <c r="J976" s="92"/>
      <c r="K976" s="93"/>
      <c r="L976" s="25" t="str">
        <f t="shared" si="46"/>
        <v/>
      </c>
      <c r="M976" s="94"/>
      <c r="N976" s="26" t="str">
        <f t="shared" si="47"/>
        <v/>
      </c>
      <c r="O976" s="80"/>
      <c r="P976" s="80"/>
      <c r="Q976" s="80"/>
      <c r="R976" s="80"/>
    </row>
    <row r="977" ht="18" customHeight="1" spans="1:18">
      <c r="A977" s="87" t="str">
        <f t="shared" si="45"/>
        <v/>
      </c>
      <c r="B977" s="78"/>
      <c r="C977" s="80"/>
      <c r="D977" s="80"/>
      <c r="E977" s="79"/>
      <c r="F977" s="87" t="str">
        <f>IF($E977="","",IFERROR(INDEX(基础资料!$O$4:$O$34,MATCH($E977,基础资料!$N$4:$N$34,0))&amp;"",""))</f>
        <v/>
      </c>
      <c r="G977" s="87" t="str">
        <f>IF($E977="","",IFERROR(INDEX(基础资料!$P$4:$P$34,MATCH($E977,基础资料!$N$4:$N$34,0))&amp;"",""))</f>
        <v/>
      </c>
      <c r="H977" s="79"/>
      <c r="I977" s="88"/>
      <c r="J977" s="92"/>
      <c r="K977" s="93"/>
      <c r="L977" s="25" t="str">
        <f t="shared" si="46"/>
        <v/>
      </c>
      <c r="M977" s="94"/>
      <c r="N977" s="26" t="str">
        <f t="shared" si="47"/>
        <v/>
      </c>
      <c r="O977" s="80"/>
      <c r="P977" s="80"/>
      <c r="Q977" s="80"/>
      <c r="R977" s="80"/>
    </row>
    <row r="978" ht="18" customHeight="1" spans="1:18">
      <c r="A978" s="87" t="str">
        <f t="shared" si="45"/>
        <v/>
      </c>
      <c r="B978" s="78"/>
      <c r="C978" s="80"/>
      <c r="D978" s="80"/>
      <c r="E978" s="79"/>
      <c r="F978" s="87" t="str">
        <f>IF($E978="","",IFERROR(INDEX(基础资料!$O$4:$O$34,MATCH($E978,基础资料!$N$4:$N$34,0))&amp;"",""))</f>
        <v/>
      </c>
      <c r="G978" s="87" t="str">
        <f>IF($E978="","",IFERROR(INDEX(基础资料!$P$4:$P$34,MATCH($E978,基础资料!$N$4:$N$34,0))&amp;"",""))</f>
        <v/>
      </c>
      <c r="H978" s="79"/>
      <c r="I978" s="88"/>
      <c r="J978" s="92"/>
      <c r="K978" s="93"/>
      <c r="L978" s="25" t="str">
        <f t="shared" si="46"/>
        <v/>
      </c>
      <c r="M978" s="94"/>
      <c r="N978" s="26" t="str">
        <f t="shared" si="47"/>
        <v/>
      </c>
      <c r="O978" s="80"/>
      <c r="P978" s="80"/>
      <c r="Q978" s="80"/>
      <c r="R978" s="80"/>
    </row>
    <row r="979" ht="18" customHeight="1" spans="1:18">
      <c r="A979" s="87" t="str">
        <f t="shared" si="45"/>
        <v/>
      </c>
      <c r="B979" s="78"/>
      <c r="C979" s="80"/>
      <c r="D979" s="80"/>
      <c r="E979" s="79"/>
      <c r="F979" s="87" t="str">
        <f>IF($E979="","",IFERROR(INDEX(基础资料!$O$4:$O$34,MATCH($E979,基础资料!$N$4:$N$34,0))&amp;"",""))</f>
        <v/>
      </c>
      <c r="G979" s="87" t="str">
        <f>IF($E979="","",IFERROR(INDEX(基础资料!$P$4:$P$34,MATCH($E979,基础资料!$N$4:$N$34,0))&amp;"",""))</f>
        <v/>
      </c>
      <c r="H979" s="79"/>
      <c r="I979" s="88"/>
      <c r="J979" s="92"/>
      <c r="K979" s="93"/>
      <c r="L979" s="25" t="str">
        <f t="shared" si="46"/>
        <v/>
      </c>
      <c r="M979" s="94"/>
      <c r="N979" s="26" t="str">
        <f t="shared" si="47"/>
        <v/>
      </c>
      <c r="O979" s="80"/>
      <c r="P979" s="80"/>
      <c r="Q979" s="80"/>
      <c r="R979" s="80"/>
    </row>
    <row r="980" ht="18" customHeight="1" spans="1:18">
      <c r="A980" s="87" t="str">
        <f t="shared" si="45"/>
        <v/>
      </c>
      <c r="B980" s="78"/>
      <c r="C980" s="80"/>
      <c r="D980" s="80"/>
      <c r="E980" s="79"/>
      <c r="F980" s="87" t="str">
        <f>IF($E980="","",IFERROR(INDEX(基础资料!$O$4:$O$34,MATCH($E980,基础资料!$N$4:$N$34,0))&amp;"",""))</f>
        <v/>
      </c>
      <c r="G980" s="87" t="str">
        <f>IF($E980="","",IFERROR(INDEX(基础资料!$P$4:$P$34,MATCH($E980,基础资料!$N$4:$N$34,0))&amp;"",""))</f>
        <v/>
      </c>
      <c r="H980" s="79"/>
      <c r="I980" s="88"/>
      <c r="J980" s="92"/>
      <c r="K980" s="93"/>
      <c r="L980" s="25" t="str">
        <f t="shared" si="46"/>
        <v/>
      </c>
      <c r="M980" s="94"/>
      <c r="N980" s="26" t="str">
        <f t="shared" si="47"/>
        <v/>
      </c>
      <c r="O980" s="80"/>
      <c r="P980" s="80"/>
      <c r="Q980" s="80"/>
      <c r="R980" s="80"/>
    </row>
    <row r="981" ht="18" customHeight="1" spans="1:18">
      <c r="A981" s="87" t="str">
        <f t="shared" si="45"/>
        <v/>
      </c>
      <c r="B981" s="78"/>
      <c r="C981" s="80"/>
      <c r="D981" s="80"/>
      <c r="E981" s="79"/>
      <c r="F981" s="87" t="str">
        <f>IF($E981="","",IFERROR(INDEX(基础资料!$O$4:$O$34,MATCH($E981,基础资料!$N$4:$N$34,0))&amp;"",""))</f>
        <v/>
      </c>
      <c r="G981" s="87" t="str">
        <f>IF($E981="","",IFERROR(INDEX(基础资料!$P$4:$P$34,MATCH($E981,基础资料!$N$4:$N$34,0))&amp;"",""))</f>
        <v/>
      </c>
      <c r="H981" s="79"/>
      <c r="I981" s="88"/>
      <c r="J981" s="92"/>
      <c r="K981" s="93"/>
      <c r="L981" s="25" t="str">
        <f t="shared" si="46"/>
        <v/>
      </c>
      <c r="M981" s="94"/>
      <c r="N981" s="26" t="str">
        <f t="shared" si="47"/>
        <v/>
      </c>
      <c r="O981" s="80"/>
      <c r="P981" s="80"/>
      <c r="Q981" s="80"/>
      <c r="R981" s="80"/>
    </row>
    <row r="982" ht="18" customHeight="1" spans="1:18">
      <c r="A982" s="87" t="str">
        <f t="shared" si="45"/>
        <v/>
      </c>
      <c r="B982" s="78"/>
      <c r="C982" s="80"/>
      <c r="D982" s="80"/>
      <c r="E982" s="79"/>
      <c r="F982" s="87" t="str">
        <f>IF($E982="","",IFERROR(INDEX(基础资料!$O$4:$O$34,MATCH($E982,基础资料!$N$4:$N$34,0))&amp;"",""))</f>
        <v/>
      </c>
      <c r="G982" s="87" t="str">
        <f>IF($E982="","",IFERROR(INDEX(基础资料!$P$4:$P$34,MATCH($E982,基础资料!$N$4:$N$34,0))&amp;"",""))</f>
        <v/>
      </c>
      <c r="H982" s="79"/>
      <c r="I982" s="88"/>
      <c r="J982" s="92"/>
      <c r="K982" s="93"/>
      <c r="L982" s="25" t="str">
        <f t="shared" si="46"/>
        <v/>
      </c>
      <c r="M982" s="94"/>
      <c r="N982" s="26" t="str">
        <f t="shared" si="47"/>
        <v/>
      </c>
      <c r="O982" s="80"/>
      <c r="P982" s="80"/>
      <c r="Q982" s="80"/>
      <c r="R982" s="80"/>
    </row>
    <row r="983" ht="18" customHeight="1" spans="1:18">
      <c r="A983" s="87" t="str">
        <f t="shared" si="45"/>
        <v/>
      </c>
      <c r="B983" s="78"/>
      <c r="C983" s="80"/>
      <c r="D983" s="80"/>
      <c r="E983" s="79"/>
      <c r="F983" s="87" t="str">
        <f>IF($E983="","",IFERROR(INDEX(基础资料!$O$4:$O$34,MATCH($E983,基础资料!$N$4:$N$34,0))&amp;"",""))</f>
        <v/>
      </c>
      <c r="G983" s="87" t="str">
        <f>IF($E983="","",IFERROR(INDEX(基础资料!$P$4:$P$34,MATCH($E983,基础资料!$N$4:$N$34,0))&amp;"",""))</f>
        <v/>
      </c>
      <c r="H983" s="79"/>
      <c r="I983" s="88"/>
      <c r="J983" s="92"/>
      <c r="K983" s="93"/>
      <c r="L983" s="25" t="str">
        <f t="shared" si="46"/>
        <v/>
      </c>
      <c r="M983" s="94"/>
      <c r="N983" s="26" t="str">
        <f t="shared" si="47"/>
        <v/>
      </c>
      <c r="O983" s="80"/>
      <c r="P983" s="80"/>
      <c r="Q983" s="80"/>
      <c r="R983" s="80"/>
    </row>
    <row r="984" ht="18" customHeight="1" spans="1:18">
      <c r="A984" s="87" t="str">
        <f t="shared" si="45"/>
        <v/>
      </c>
      <c r="B984" s="78"/>
      <c r="C984" s="80"/>
      <c r="D984" s="80"/>
      <c r="E984" s="79"/>
      <c r="F984" s="87" t="str">
        <f>IF($E984="","",IFERROR(INDEX(基础资料!$O$4:$O$34,MATCH($E984,基础资料!$N$4:$N$34,0))&amp;"",""))</f>
        <v/>
      </c>
      <c r="G984" s="87" t="str">
        <f>IF($E984="","",IFERROR(INDEX(基础资料!$P$4:$P$34,MATCH($E984,基础资料!$N$4:$N$34,0))&amp;"",""))</f>
        <v/>
      </c>
      <c r="H984" s="79"/>
      <c r="I984" s="88"/>
      <c r="J984" s="92"/>
      <c r="K984" s="93"/>
      <c r="L984" s="25" t="str">
        <f t="shared" si="46"/>
        <v/>
      </c>
      <c r="M984" s="94"/>
      <c r="N984" s="26" t="str">
        <f t="shared" si="47"/>
        <v/>
      </c>
      <c r="O984" s="80"/>
      <c r="P984" s="80"/>
      <c r="Q984" s="80"/>
      <c r="R984" s="80"/>
    </row>
    <row r="985" ht="18" customHeight="1" spans="1:18">
      <c r="A985" s="87" t="str">
        <f t="shared" si="45"/>
        <v/>
      </c>
      <c r="B985" s="78"/>
      <c r="C985" s="80"/>
      <c r="D985" s="80"/>
      <c r="E985" s="79"/>
      <c r="F985" s="87" t="str">
        <f>IF($E985="","",IFERROR(INDEX(基础资料!$O$4:$O$34,MATCH($E985,基础资料!$N$4:$N$34,0))&amp;"",""))</f>
        <v/>
      </c>
      <c r="G985" s="87" t="str">
        <f>IF($E985="","",IFERROR(INDEX(基础资料!$P$4:$P$34,MATCH($E985,基础资料!$N$4:$N$34,0))&amp;"",""))</f>
        <v/>
      </c>
      <c r="H985" s="79"/>
      <c r="I985" s="88"/>
      <c r="J985" s="92"/>
      <c r="K985" s="93"/>
      <c r="L985" s="25" t="str">
        <f t="shared" si="46"/>
        <v/>
      </c>
      <c r="M985" s="94"/>
      <c r="N985" s="26" t="str">
        <f t="shared" si="47"/>
        <v/>
      </c>
      <c r="O985" s="80"/>
      <c r="P985" s="80"/>
      <c r="Q985" s="80"/>
      <c r="R985" s="80"/>
    </row>
    <row r="986" ht="18" customHeight="1" spans="1:18">
      <c r="A986" s="87" t="str">
        <f t="shared" si="45"/>
        <v/>
      </c>
      <c r="B986" s="78"/>
      <c r="C986" s="80"/>
      <c r="D986" s="80"/>
      <c r="E986" s="79"/>
      <c r="F986" s="87" t="str">
        <f>IF($E986="","",IFERROR(INDEX(基础资料!$O$4:$O$34,MATCH($E986,基础资料!$N$4:$N$34,0))&amp;"",""))</f>
        <v/>
      </c>
      <c r="G986" s="87" t="str">
        <f>IF($E986="","",IFERROR(INDEX(基础资料!$P$4:$P$34,MATCH($E986,基础资料!$N$4:$N$34,0))&amp;"",""))</f>
        <v/>
      </c>
      <c r="H986" s="79"/>
      <c r="I986" s="88"/>
      <c r="J986" s="92"/>
      <c r="K986" s="93"/>
      <c r="L986" s="25" t="str">
        <f t="shared" si="46"/>
        <v/>
      </c>
      <c r="M986" s="94"/>
      <c r="N986" s="26" t="str">
        <f t="shared" si="47"/>
        <v/>
      </c>
      <c r="O986" s="80"/>
      <c r="P986" s="80"/>
      <c r="Q986" s="80"/>
      <c r="R986" s="80"/>
    </row>
    <row r="987" ht="18" customHeight="1" spans="1:18">
      <c r="A987" s="87" t="str">
        <f t="shared" si="45"/>
        <v/>
      </c>
      <c r="B987" s="78"/>
      <c r="C987" s="80"/>
      <c r="D987" s="80"/>
      <c r="E987" s="79"/>
      <c r="F987" s="87" t="str">
        <f>IF($E987="","",IFERROR(INDEX(基础资料!$O$4:$O$34,MATCH($E987,基础资料!$N$4:$N$34,0))&amp;"",""))</f>
        <v/>
      </c>
      <c r="G987" s="87" t="str">
        <f>IF($E987="","",IFERROR(INDEX(基础资料!$P$4:$P$34,MATCH($E987,基础资料!$N$4:$N$34,0))&amp;"",""))</f>
        <v/>
      </c>
      <c r="H987" s="79"/>
      <c r="I987" s="88"/>
      <c r="J987" s="92"/>
      <c r="K987" s="93"/>
      <c r="L987" s="25" t="str">
        <f t="shared" si="46"/>
        <v/>
      </c>
      <c r="M987" s="94"/>
      <c r="N987" s="26" t="str">
        <f t="shared" si="47"/>
        <v/>
      </c>
      <c r="O987" s="80"/>
      <c r="P987" s="80"/>
      <c r="Q987" s="80"/>
      <c r="R987" s="80"/>
    </row>
    <row r="988" ht="18" customHeight="1" spans="1:18">
      <c r="A988" s="87" t="str">
        <f t="shared" si="45"/>
        <v/>
      </c>
      <c r="B988" s="78"/>
      <c r="C988" s="80"/>
      <c r="D988" s="80"/>
      <c r="E988" s="79"/>
      <c r="F988" s="87" t="str">
        <f>IF($E988="","",IFERROR(INDEX(基础资料!$O$4:$O$34,MATCH($E988,基础资料!$N$4:$N$34,0))&amp;"",""))</f>
        <v/>
      </c>
      <c r="G988" s="87" t="str">
        <f>IF($E988="","",IFERROR(INDEX(基础资料!$P$4:$P$34,MATCH($E988,基础资料!$N$4:$N$34,0))&amp;"",""))</f>
        <v/>
      </c>
      <c r="H988" s="79"/>
      <c r="I988" s="88"/>
      <c r="J988" s="92"/>
      <c r="K988" s="93"/>
      <c r="L988" s="25" t="str">
        <f t="shared" si="46"/>
        <v/>
      </c>
      <c r="M988" s="94"/>
      <c r="N988" s="26" t="str">
        <f t="shared" si="47"/>
        <v/>
      </c>
      <c r="O988" s="80"/>
      <c r="P988" s="80"/>
      <c r="Q988" s="80"/>
      <c r="R988" s="80"/>
    </row>
    <row r="989" ht="18" customHeight="1" spans="1:18">
      <c r="A989" s="87" t="str">
        <f t="shared" si="45"/>
        <v/>
      </c>
      <c r="B989" s="78"/>
      <c r="C989" s="80"/>
      <c r="D989" s="80"/>
      <c r="E989" s="79"/>
      <c r="F989" s="87" t="str">
        <f>IF($E989="","",IFERROR(INDEX(基础资料!$O$4:$O$34,MATCH($E989,基础资料!$N$4:$N$34,0))&amp;"",""))</f>
        <v/>
      </c>
      <c r="G989" s="87" t="str">
        <f>IF($E989="","",IFERROR(INDEX(基础资料!$P$4:$P$34,MATCH($E989,基础资料!$N$4:$N$34,0))&amp;"",""))</f>
        <v/>
      </c>
      <c r="H989" s="79"/>
      <c r="I989" s="88"/>
      <c r="J989" s="92"/>
      <c r="K989" s="93"/>
      <c r="L989" s="25" t="str">
        <f t="shared" si="46"/>
        <v/>
      </c>
      <c r="M989" s="94"/>
      <c r="N989" s="26" t="str">
        <f t="shared" si="47"/>
        <v/>
      </c>
      <c r="O989" s="80"/>
      <c r="P989" s="80"/>
      <c r="Q989" s="80"/>
      <c r="R989" s="80"/>
    </row>
    <row r="990" ht="18" customHeight="1" spans="1:18">
      <c r="A990" s="87" t="str">
        <f t="shared" si="45"/>
        <v/>
      </c>
      <c r="B990" s="78"/>
      <c r="C990" s="80"/>
      <c r="D990" s="80"/>
      <c r="E990" s="79"/>
      <c r="F990" s="87" t="str">
        <f>IF($E990="","",IFERROR(INDEX(基础资料!$O$4:$O$34,MATCH($E990,基础资料!$N$4:$N$34,0))&amp;"",""))</f>
        <v/>
      </c>
      <c r="G990" s="87" t="str">
        <f>IF($E990="","",IFERROR(INDEX(基础资料!$P$4:$P$34,MATCH($E990,基础资料!$N$4:$N$34,0))&amp;"",""))</f>
        <v/>
      </c>
      <c r="H990" s="79"/>
      <c r="I990" s="88"/>
      <c r="J990" s="92"/>
      <c r="K990" s="93"/>
      <c r="L990" s="25" t="str">
        <f t="shared" si="46"/>
        <v/>
      </c>
      <c r="M990" s="94"/>
      <c r="N990" s="26" t="str">
        <f t="shared" si="47"/>
        <v/>
      </c>
      <c r="O990" s="80"/>
      <c r="P990" s="80"/>
      <c r="Q990" s="80"/>
      <c r="R990" s="80"/>
    </row>
    <row r="991" ht="18" customHeight="1" spans="1:18">
      <c r="A991" s="87" t="str">
        <f t="shared" si="45"/>
        <v/>
      </c>
      <c r="B991" s="78"/>
      <c r="C991" s="80"/>
      <c r="D991" s="80"/>
      <c r="E991" s="79"/>
      <c r="F991" s="87" t="str">
        <f>IF($E991="","",IFERROR(INDEX(基础资料!$O$4:$O$34,MATCH($E991,基础资料!$N$4:$N$34,0))&amp;"",""))</f>
        <v/>
      </c>
      <c r="G991" s="87" t="str">
        <f>IF($E991="","",IFERROR(INDEX(基础资料!$P$4:$P$34,MATCH($E991,基础资料!$N$4:$N$34,0))&amp;"",""))</f>
        <v/>
      </c>
      <c r="H991" s="79"/>
      <c r="I991" s="88"/>
      <c r="J991" s="92"/>
      <c r="K991" s="93"/>
      <c r="L991" s="25" t="str">
        <f t="shared" si="46"/>
        <v/>
      </c>
      <c r="M991" s="94"/>
      <c r="N991" s="26" t="str">
        <f t="shared" si="47"/>
        <v/>
      </c>
      <c r="O991" s="80"/>
      <c r="P991" s="80"/>
      <c r="Q991" s="80"/>
      <c r="R991" s="80"/>
    </row>
    <row r="992" ht="18" customHeight="1" spans="1:18">
      <c r="A992" s="87" t="str">
        <f t="shared" si="45"/>
        <v/>
      </c>
      <c r="B992" s="78"/>
      <c r="C992" s="80"/>
      <c r="D992" s="80"/>
      <c r="E992" s="79"/>
      <c r="F992" s="87" t="str">
        <f>IF($E992="","",IFERROR(INDEX(基础资料!$O$4:$O$34,MATCH($E992,基础资料!$N$4:$N$34,0))&amp;"",""))</f>
        <v/>
      </c>
      <c r="G992" s="87" t="str">
        <f>IF($E992="","",IFERROR(INDEX(基础资料!$P$4:$P$34,MATCH($E992,基础资料!$N$4:$N$34,0))&amp;"",""))</f>
        <v/>
      </c>
      <c r="H992" s="79"/>
      <c r="I992" s="88"/>
      <c r="J992" s="92"/>
      <c r="K992" s="93"/>
      <c r="L992" s="25" t="str">
        <f t="shared" si="46"/>
        <v/>
      </c>
      <c r="M992" s="94"/>
      <c r="N992" s="26" t="str">
        <f t="shared" si="47"/>
        <v/>
      </c>
      <c r="O992" s="80"/>
      <c r="P992" s="80"/>
      <c r="Q992" s="80"/>
      <c r="R992" s="80"/>
    </row>
    <row r="993" ht="18" customHeight="1" spans="1:18">
      <c r="A993" s="87" t="str">
        <f t="shared" si="45"/>
        <v/>
      </c>
      <c r="B993" s="78"/>
      <c r="C993" s="80"/>
      <c r="D993" s="80"/>
      <c r="E993" s="79"/>
      <c r="F993" s="87" t="str">
        <f>IF($E993="","",IFERROR(INDEX(基础资料!$O$4:$O$34,MATCH($E993,基础资料!$N$4:$N$34,0))&amp;"",""))</f>
        <v/>
      </c>
      <c r="G993" s="87" t="str">
        <f>IF($E993="","",IFERROR(INDEX(基础资料!$P$4:$P$34,MATCH($E993,基础资料!$N$4:$N$34,0))&amp;"",""))</f>
        <v/>
      </c>
      <c r="H993" s="79"/>
      <c r="I993" s="88"/>
      <c r="J993" s="92"/>
      <c r="K993" s="93"/>
      <c r="L993" s="25" t="str">
        <f t="shared" si="46"/>
        <v/>
      </c>
      <c r="M993" s="94"/>
      <c r="N993" s="26" t="str">
        <f t="shared" si="47"/>
        <v/>
      </c>
      <c r="O993" s="80"/>
      <c r="P993" s="80"/>
      <c r="Q993" s="80"/>
      <c r="R993" s="80"/>
    </row>
    <row r="994" ht="18" customHeight="1" spans="1:18">
      <c r="A994" s="87" t="str">
        <f t="shared" si="45"/>
        <v/>
      </c>
      <c r="B994" s="78"/>
      <c r="C994" s="80"/>
      <c r="D994" s="80"/>
      <c r="E994" s="79"/>
      <c r="F994" s="87" t="str">
        <f>IF($E994="","",IFERROR(INDEX(基础资料!$O$4:$O$34,MATCH($E994,基础资料!$N$4:$N$34,0))&amp;"",""))</f>
        <v/>
      </c>
      <c r="G994" s="87" t="str">
        <f>IF($E994="","",IFERROR(INDEX(基础资料!$P$4:$P$34,MATCH($E994,基础资料!$N$4:$N$34,0))&amp;"",""))</f>
        <v/>
      </c>
      <c r="H994" s="79"/>
      <c r="I994" s="88"/>
      <c r="J994" s="92"/>
      <c r="K994" s="93"/>
      <c r="L994" s="25" t="str">
        <f t="shared" si="46"/>
        <v/>
      </c>
      <c r="M994" s="94"/>
      <c r="N994" s="26" t="str">
        <f t="shared" si="47"/>
        <v/>
      </c>
      <c r="O994" s="80"/>
      <c r="P994" s="80"/>
      <c r="Q994" s="80"/>
      <c r="R994" s="80"/>
    </row>
    <row r="995" ht="18" customHeight="1" spans="1:18">
      <c r="A995" s="87" t="str">
        <f t="shared" si="45"/>
        <v/>
      </c>
      <c r="B995" s="78"/>
      <c r="C995" s="80"/>
      <c r="D995" s="80"/>
      <c r="E995" s="79"/>
      <c r="F995" s="87" t="str">
        <f>IF($E995="","",IFERROR(INDEX(基础资料!$O$4:$O$34,MATCH($E995,基础资料!$N$4:$N$34,0))&amp;"",""))</f>
        <v/>
      </c>
      <c r="G995" s="87" t="str">
        <f>IF($E995="","",IFERROR(INDEX(基础资料!$P$4:$P$34,MATCH($E995,基础资料!$N$4:$N$34,0))&amp;"",""))</f>
        <v/>
      </c>
      <c r="H995" s="79"/>
      <c r="I995" s="88"/>
      <c r="J995" s="92"/>
      <c r="K995" s="93"/>
      <c r="L995" s="25" t="str">
        <f t="shared" si="46"/>
        <v/>
      </c>
      <c r="M995" s="94"/>
      <c r="N995" s="26" t="str">
        <f t="shared" si="47"/>
        <v/>
      </c>
      <c r="O995" s="80"/>
      <c r="P995" s="80"/>
      <c r="Q995" s="80"/>
      <c r="R995" s="80"/>
    </row>
    <row r="996" ht="18" customHeight="1" spans="1:18">
      <c r="A996" s="87" t="str">
        <f t="shared" si="45"/>
        <v/>
      </c>
      <c r="B996" s="78"/>
      <c r="C996" s="80"/>
      <c r="D996" s="80"/>
      <c r="E996" s="79"/>
      <c r="F996" s="87" t="str">
        <f>IF($E996="","",IFERROR(INDEX(基础资料!$O$4:$O$34,MATCH($E996,基础资料!$N$4:$N$34,0))&amp;"",""))</f>
        <v/>
      </c>
      <c r="G996" s="87" t="str">
        <f>IF($E996="","",IFERROR(INDEX(基础资料!$P$4:$P$34,MATCH($E996,基础资料!$N$4:$N$34,0))&amp;"",""))</f>
        <v/>
      </c>
      <c r="H996" s="79"/>
      <c r="I996" s="88"/>
      <c r="J996" s="92"/>
      <c r="K996" s="93"/>
      <c r="L996" s="25" t="str">
        <f t="shared" si="46"/>
        <v/>
      </c>
      <c r="M996" s="94"/>
      <c r="N996" s="26" t="str">
        <f t="shared" si="47"/>
        <v/>
      </c>
      <c r="O996" s="80"/>
      <c r="P996" s="80"/>
      <c r="Q996" s="80"/>
      <c r="R996" s="80"/>
    </row>
    <row r="997" ht="18" customHeight="1" spans="1:18">
      <c r="A997" s="87" t="str">
        <f t="shared" si="45"/>
        <v/>
      </c>
      <c r="B997" s="78"/>
      <c r="C997" s="80"/>
      <c r="D997" s="80"/>
      <c r="E997" s="79"/>
      <c r="F997" s="87" t="str">
        <f>IF($E997="","",IFERROR(INDEX(基础资料!$O$4:$O$34,MATCH($E997,基础资料!$N$4:$N$34,0))&amp;"",""))</f>
        <v/>
      </c>
      <c r="G997" s="87" t="str">
        <f>IF($E997="","",IFERROR(INDEX(基础资料!$P$4:$P$34,MATCH($E997,基础资料!$N$4:$N$34,0))&amp;"",""))</f>
        <v/>
      </c>
      <c r="H997" s="79"/>
      <c r="I997" s="88"/>
      <c r="J997" s="92"/>
      <c r="K997" s="93"/>
      <c r="L997" s="25" t="str">
        <f t="shared" si="46"/>
        <v/>
      </c>
      <c r="M997" s="94"/>
      <c r="N997" s="26" t="str">
        <f t="shared" si="47"/>
        <v/>
      </c>
      <c r="O997" s="80"/>
      <c r="P997" s="80"/>
      <c r="Q997" s="80"/>
      <c r="R997" s="80"/>
    </row>
    <row r="998" ht="18" customHeight="1" spans="1:18">
      <c r="A998" s="87" t="str">
        <f t="shared" si="45"/>
        <v/>
      </c>
      <c r="B998" s="78"/>
      <c r="C998" s="80"/>
      <c r="D998" s="80"/>
      <c r="E998" s="79"/>
      <c r="F998" s="87" t="str">
        <f>IF($E998="","",IFERROR(INDEX(基础资料!$O$4:$O$34,MATCH($E998,基础资料!$N$4:$N$34,0))&amp;"",""))</f>
        <v/>
      </c>
      <c r="G998" s="87" t="str">
        <f>IF($E998="","",IFERROR(INDEX(基础资料!$P$4:$P$34,MATCH($E998,基础资料!$N$4:$N$34,0))&amp;"",""))</f>
        <v/>
      </c>
      <c r="H998" s="79"/>
      <c r="I998" s="88"/>
      <c r="J998" s="92"/>
      <c r="K998" s="93"/>
      <c r="L998" s="25" t="str">
        <f t="shared" si="46"/>
        <v/>
      </c>
      <c r="M998" s="94"/>
      <c r="N998" s="26" t="str">
        <f t="shared" si="47"/>
        <v/>
      </c>
      <c r="O998" s="80"/>
      <c r="P998" s="80"/>
      <c r="Q998" s="80"/>
      <c r="R998" s="80"/>
    </row>
    <row r="999" ht="18" customHeight="1" spans="1:18">
      <c r="A999" s="87" t="str">
        <f t="shared" si="45"/>
        <v/>
      </c>
      <c r="B999" s="78"/>
      <c r="C999" s="80"/>
      <c r="D999" s="80"/>
      <c r="E999" s="79"/>
      <c r="F999" s="87" t="str">
        <f>IF($E999="","",IFERROR(INDEX(基础资料!$O$4:$O$34,MATCH($E999,基础资料!$N$4:$N$34,0))&amp;"",""))</f>
        <v/>
      </c>
      <c r="G999" s="87" t="str">
        <f>IF($E999="","",IFERROR(INDEX(基础资料!$P$4:$P$34,MATCH($E999,基础资料!$N$4:$N$34,0))&amp;"",""))</f>
        <v/>
      </c>
      <c r="H999" s="79"/>
      <c r="I999" s="88"/>
      <c r="J999" s="92"/>
      <c r="K999" s="93"/>
      <c r="L999" s="25" t="str">
        <f t="shared" si="46"/>
        <v/>
      </c>
      <c r="M999" s="94"/>
      <c r="N999" s="26" t="str">
        <f t="shared" si="47"/>
        <v/>
      </c>
      <c r="O999" s="80"/>
      <c r="P999" s="80"/>
      <c r="Q999" s="80"/>
      <c r="R999" s="80"/>
    </row>
    <row r="1000" ht="18" customHeight="1" spans="1:18">
      <c r="A1000" s="87" t="str">
        <f t="shared" si="45"/>
        <v/>
      </c>
      <c r="B1000" s="78"/>
      <c r="C1000" s="80"/>
      <c r="D1000" s="80"/>
      <c r="E1000" s="79"/>
      <c r="F1000" s="87" t="str">
        <f>IF($E1000="","",IFERROR(INDEX(基础资料!$O$4:$O$34,MATCH($E1000,基础资料!$N$4:$N$34,0))&amp;"",""))</f>
        <v/>
      </c>
      <c r="G1000" s="87" t="str">
        <f>IF($E1000="","",IFERROR(INDEX(基础资料!$P$4:$P$34,MATCH($E1000,基础资料!$N$4:$N$34,0))&amp;"",""))</f>
        <v/>
      </c>
      <c r="H1000" s="79"/>
      <c r="I1000" s="88"/>
      <c r="J1000" s="92"/>
      <c r="K1000" s="93"/>
      <c r="L1000" s="25" t="str">
        <f t="shared" si="46"/>
        <v/>
      </c>
      <c r="M1000" s="94"/>
      <c r="N1000" s="26" t="str">
        <f t="shared" si="47"/>
        <v/>
      </c>
      <c r="O1000" s="80"/>
      <c r="P1000" s="80"/>
      <c r="Q1000" s="80"/>
      <c r="R1000" s="80"/>
    </row>
    <row r="1001" ht="18" customHeight="1" spans="1:18">
      <c r="A1001" s="87" t="str">
        <f t="shared" si="45"/>
        <v/>
      </c>
      <c r="B1001" s="78"/>
      <c r="C1001" s="80"/>
      <c r="D1001" s="80"/>
      <c r="E1001" s="79"/>
      <c r="F1001" s="87" t="str">
        <f>IF($E1001="","",IFERROR(INDEX(基础资料!$O$4:$O$34,MATCH($E1001,基础资料!$N$4:$N$34,0))&amp;"",""))</f>
        <v/>
      </c>
      <c r="G1001" s="87" t="str">
        <f>IF($E1001="","",IFERROR(INDEX(基础资料!$P$4:$P$34,MATCH($E1001,基础资料!$N$4:$N$34,0))&amp;"",""))</f>
        <v/>
      </c>
      <c r="H1001" s="79"/>
      <c r="I1001" s="88"/>
      <c r="J1001" s="92"/>
      <c r="K1001" s="93"/>
      <c r="L1001" s="25" t="str">
        <f t="shared" si="46"/>
        <v/>
      </c>
      <c r="M1001" s="94"/>
      <c r="N1001" s="26" t="str">
        <f t="shared" si="47"/>
        <v/>
      </c>
      <c r="O1001" s="80"/>
      <c r="P1001" s="80"/>
      <c r="Q1001" s="80"/>
      <c r="R1001" s="80"/>
    </row>
    <row r="1002" ht="18" customHeight="1" spans="1:18">
      <c r="A1002" s="87" t="str">
        <f t="shared" si="45"/>
        <v/>
      </c>
      <c r="B1002" s="78"/>
      <c r="C1002" s="80"/>
      <c r="D1002" s="80"/>
      <c r="E1002" s="79"/>
      <c r="F1002" s="87" t="str">
        <f>IF($E1002="","",IFERROR(INDEX(基础资料!$O$4:$O$34,MATCH($E1002,基础资料!$N$4:$N$34,0))&amp;"",""))</f>
        <v/>
      </c>
      <c r="G1002" s="87" t="str">
        <f>IF($E1002="","",IFERROR(INDEX(基础资料!$P$4:$P$34,MATCH($E1002,基础资料!$N$4:$N$34,0))&amp;"",""))</f>
        <v/>
      </c>
      <c r="H1002" s="79"/>
      <c r="I1002" s="88"/>
      <c r="J1002" s="92"/>
      <c r="K1002" s="93"/>
      <c r="L1002" s="25" t="str">
        <f t="shared" si="46"/>
        <v/>
      </c>
      <c r="M1002" s="94"/>
      <c r="N1002" s="26" t="str">
        <f t="shared" si="47"/>
        <v/>
      </c>
      <c r="O1002" s="80"/>
      <c r="P1002" s="80"/>
      <c r="Q1002" s="80"/>
      <c r="R1002" s="80"/>
    </row>
    <row r="1003" ht="18" customHeight="1" spans="1:18">
      <c r="A1003" s="87" t="str">
        <f t="shared" si="45"/>
        <v/>
      </c>
      <c r="B1003" s="78"/>
      <c r="C1003" s="80"/>
      <c r="D1003" s="80"/>
      <c r="E1003" s="79"/>
      <c r="F1003" s="87" t="str">
        <f>IF($E1003="","",IFERROR(INDEX(基础资料!$O$4:$O$34,MATCH($E1003,基础资料!$N$4:$N$34,0))&amp;"",""))</f>
        <v/>
      </c>
      <c r="G1003" s="87" t="str">
        <f>IF($E1003="","",IFERROR(INDEX(基础资料!$P$4:$P$34,MATCH($E1003,基础资料!$N$4:$N$34,0))&amp;"",""))</f>
        <v/>
      </c>
      <c r="H1003" s="79"/>
      <c r="I1003" s="88"/>
      <c r="J1003" s="92"/>
      <c r="K1003" s="93"/>
      <c r="L1003" s="25" t="str">
        <f t="shared" si="46"/>
        <v/>
      </c>
      <c r="M1003" s="94"/>
      <c r="N1003" s="26" t="str">
        <f t="shared" si="47"/>
        <v/>
      </c>
      <c r="O1003" s="80"/>
      <c r="P1003" s="80"/>
      <c r="Q1003" s="80"/>
      <c r="R1003" s="80"/>
    </row>
    <row r="1004" ht="18" customHeight="1" spans="1:18">
      <c r="A1004" s="87" t="str">
        <f t="shared" si="45"/>
        <v/>
      </c>
      <c r="B1004" s="78"/>
      <c r="C1004" s="80"/>
      <c r="D1004" s="80"/>
      <c r="E1004" s="79"/>
      <c r="F1004" s="87" t="str">
        <f>IF($E1004="","",IFERROR(INDEX(基础资料!$O$4:$O$34,MATCH($E1004,基础资料!$N$4:$N$34,0))&amp;"",""))</f>
        <v/>
      </c>
      <c r="G1004" s="87" t="str">
        <f>IF($E1004="","",IFERROR(INDEX(基础资料!$P$4:$P$34,MATCH($E1004,基础资料!$N$4:$N$34,0))&amp;"",""))</f>
        <v/>
      </c>
      <c r="H1004" s="79"/>
      <c r="I1004" s="88"/>
      <c r="J1004" s="92"/>
      <c r="K1004" s="93"/>
      <c r="L1004" s="25" t="str">
        <f t="shared" si="46"/>
        <v/>
      </c>
      <c r="M1004" s="94"/>
      <c r="N1004" s="26" t="str">
        <f t="shared" si="47"/>
        <v/>
      </c>
      <c r="O1004" s="80"/>
      <c r="P1004" s="80"/>
      <c r="Q1004" s="80"/>
      <c r="R1004" s="80"/>
    </row>
    <row r="1005" ht="18" customHeight="1" spans="1:18">
      <c r="A1005" s="87" t="str">
        <f t="shared" si="45"/>
        <v/>
      </c>
      <c r="B1005" s="78"/>
      <c r="C1005" s="80"/>
      <c r="D1005" s="80"/>
      <c r="E1005" s="79"/>
      <c r="F1005" s="87" t="str">
        <f>IF($E1005="","",IFERROR(INDEX(基础资料!$O$4:$O$34,MATCH($E1005,基础资料!$N$4:$N$34,0))&amp;"",""))</f>
        <v/>
      </c>
      <c r="G1005" s="87" t="str">
        <f>IF($E1005="","",IFERROR(INDEX(基础资料!$P$4:$P$34,MATCH($E1005,基础资料!$N$4:$N$34,0))&amp;"",""))</f>
        <v/>
      </c>
      <c r="H1005" s="79"/>
      <c r="I1005" s="88"/>
      <c r="J1005" s="92"/>
      <c r="K1005" s="93"/>
      <c r="L1005" s="25" t="str">
        <f t="shared" si="46"/>
        <v/>
      </c>
      <c r="M1005" s="94"/>
      <c r="N1005" s="26" t="str">
        <f t="shared" si="47"/>
        <v/>
      </c>
      <c r="O1005" s="80"/>
      <c r="P1005" s="80"/>
      <c r="Q1005" s="80"/>
      <c r="R1005" s="80"/>
    </row>
    <row r="1006" ht="18" customHeight="1" spans="1:18">
      <c r="A1006" s="87" t="str">
        <f t="shared" si="45"/>
        <v/>
      </c>
      <c r="B1006" s="78"/>
      <c r="C1006" s="80"/>
      <c r="D1006" s="80"/>
      <c r="E1006" s="79"/>
      <c r="F1006" s="87" t="str">
        <f>IF($E1006="","",IFERROR(INDEX(基础资料!$O$4:$O$34,MATCH($E1006,基础资料!$N$4:$N$34,0))&amp;"",""))</f>
        <v/>
      </c>
      <c r="G1006" s="87" t="str">
        <f>IF($E1006="","",IFERROR(INDEX(基础资料!$P$4:$P$34,MATCH($E1006,基础资料!$N$4:$N$34,0))&amp;"",""))</f>
        <v/>
      </c>
      <c r="H1006" s="79"/>
      <c r="I1006" s="88"/>
      <c r="J1006" s="92"/>
      <c r="K1006" s="93"/>
      <c r="L1006" s="25" t="str">
        <f t="shared" si="46"/>
        <v/>
      </c>
      <c r="M1006" s="94"/>
      <c r="N1006" s="26" t="str">
        <f t="shared" si="47"/>
        <v/>
      </c>
      <c r="O1006" s="80"/>
      <c r="P1006" s="80"/>
      <c r="Q1006" s="80"/>
      <c r="R1006" s="80"/>
    </row>
    <row r="1007" ht="18" customHeight="1" spans="1:18">
      <c r="A1007" s="87" t="str">
        <f t="shared" si="45"/>
        <v/>
      </c>
      <c r="B1007" s="78"/>
      <c r="C1007" s="80"/>
      <c r="D1007" s="80"/>
      <c r="E1007" s="79"/>
      <c r="F1007" s="87" t="str">
        <f>IF($E1007="","",IFERROR(INDEX(基础资料!$O$4:$O$34,MATCH($E1007,基础资料!$N$4:$N$34,0))&amp;"",""))</f>
        <v/>
      </c>
      <c r="G1007" s="87" t="str">
        <f>IF($E1007="","",IFERROR(INDEX(基础资料!$P$4:$P$34,MATCH($E1007,基础资料!$N$4:$N$34,0))&amp;"",""))</f>
        <v/>
      </c>
      <c r="H1007" s="79"/>
      <c r="I1007" s="88"/>
      <c r="J1007" s="92"/>
      <c r="K1007" s="93"/>
      <c r="L1007" s="25" t="str">
        <f t="shared" si="46"/>
        <v/>
      </c>
      <c r="M1007" s="94"/>
      <c r="N1007" s="26" t="str">
        <f t="shared" si="47"/>
        <v/>
      </c>
      <c r="O1007" s="80"/>
      <c r="P1007" s="80"/>
      <c r="Q1007" s="80"/>
      <c r="R1007" s="80"/>
    </row>
    <row r="1008" ht="18" customHeight="1" spans="1:18">
      <c r="A1008" s="87" t="str">
        <f t="shared" si="45"/>
        <v/>
      </c>
      <c r="B1008" s="78"/>
      <c r="C1008" s="80"/>
      <c r="D1008" s="80"/>
      <c r="E1008" s="79"/>
      <c r="F1008" s="87" t="str">
        <f>IF($E1008="","",IFERROR(INDEX(基础资料!$O$4:$O$34,MATCH($E1008,基础资料!$N$4:$N$34,0))&amp;"",""))</f>
        <v/>
      </c>
      <c r="G1008" s="87" t="str">
        <f>IF($E1008="","",IFERROR(INDEX(基础资料!$P$4:$P$34,MATCH($E1008,基础资料!$N$4:$N$34,0))&amp;"",""))</f>
        <v/>
      </c>
      <c r="H1008" s="79"/>
      <c r="I1008" s="88"/>
      <c r="J1008" s="92"/>
      <c r="K1008" s="93"/>
      <c r="L1008" s="25" t="str">
        <f t="shared" si="46"/>
        <v/>
      </c>
      <c r="M1008" s="94"/>
      <c r="N1008" s="26" t="str">
        <f t="shared" si="47"/>
        <v/>
      </c>
      <c r="O1008" s="80"/>
      <c r="P1008" s="80"/>
      <c r="Q1008" s="80"/>
      <c r="R1008" s="80"/>
    </row>
    <row r="1009" ht="18" customHeight="1" spans="1:18">
      <c r="A1009" s="87" t="str">
        <f t="shared" si="45"/>
        <v/>
      </c>
      <c r="B1009" s="78"/>
      <c r="C1009" s="80"/>
      <c r="D1009" s="80"/>
      <c r="E1009" s="79"/>
      <c r="F1009" s="87" t="str">
        <f>IF($E1009="","",IFERROR(INDEX(基础资料!$O$4:$O$34,MATCH($E1009,基础资料!$N$4:$N$34,0))&amp;"",""))</f>
        <v/>
      </c>
      <c r="G1009" s="87" t="str">
        <f>IF($E1009="","",IFERROR(INDEX(基础资料!$P$4:$P$34,MATCH($E1009,基础资料!$N$4:$N$34,0))&amp;"",""))</f>
        <v/>
      </c>
      <c r="H1009" s="79"/>
      <c r="I1009" s="88"/>
      <c r="J1009" s="92"/>
      <c r="K1009" s="93"/>
      <c r="L1009" s="25" t="str">
        <f t="shared" si="46"/>
        <v/>
      </c>
      <c r="M1009" s="94"/>
      <c r="N1009" s="26" t="str">
        <f t="shared" si="47"/>
        <v/>
      </c>
      <c r="O1009" s="80"/>
      <c r="P1009" s="80"/>
      <c r="Q1009" s="80"/>
      <c r="R1009" s="80"/>
    </row>
    <row r="1010" ht="18" customHeight="1" spans="1:18">
      <c r="A1010" s="87" t="str">
        <f t="shared" si="45"/>
        <v/>
      </c>
      <c r="B1010" s="78"/>
      <c r="C1010" s="80"/>
      <c r="D1010" s="80"/>
      <c r="E1010" s="79"/>
      <c r="F1010" s="87" t="str">
        <f>IF($E1010="","",IFERROR(INDEX(基础资料!$O$4:$O$34,MATCH($E1010,基础资料!$N$4:$N$34,0))&amp;"",""))</f>
        <v/>
      </c>
      <c r="G1010" s="87" t="str">
        <f>IF($E1010="","",IFERROR(INDEX(基础资料!$P$4:$P$34,MATCH($E1010,基础资料!$N$4:$N$34,0))&amp;"",""))</f>
        <v/>
      </c>
      <c r="H1010" s="79"/>
      <c r="I1010" s="88"/>
      <c r="J1010" s="92"/>
      <c r="K1010" s="93"/>
      <c r="L1010" s="25" t="str">
        <f t="shared" si="46"/>
        <v/>
      </c>
      <c r="M1010" s="94"/>
      <c r="N1010" s="26" t="str">
        <f t="shared" si="47"/>
        <v/>
      </c>
      <c r="O1010" s="80"/>
      <c r="P1010" s="80"/>
      <c r="Q1010" s="80"/>
      <c r="R1010" s="80"/>
    </row>
    <row r="1011" ht="18" customHeight="1" spans="1:18">
      <c r="A1011" s="87" t="str">
        <f t="shared" si="45"/>
        <v/>
      </c>
      <c r="B1011" s="78"/>
      <c r="C1011" s="80"/>
      <c r="D1011" s="80"/>
      <c r="E1011" s="79"/>
      <c r="F1011" s="87" t="str">
        <f>IF($E1011="","",IFERROR(INDEX(基础资料!$O$4:$O$34,MATCH($E1011,基础资料!$N$4:$N$34,0))&amp;"",""))</f>
        <v/>
      </c>
      <c r="G1011" s="87" t="str">
        <f>IF($E1011="","",IFERROR(INDEX(基础资料!$P$4:$P$34,MATCH($E1011,基础资料!$N$4:$N$34,0))&amp;"",""))</f>
        <v/>
      </c>
      <c r="H1011" s="79"/>
      <c r="I1011" s="88"/>
      <c r="J1011" s="92"/>
      <c r="K1011" s="93"/>
      <c r="L1011" s="25" t="str">
        <f t="shared" si="46"/>
        <v/>
      </c>
      <c r="M1011" s="94"/>
      <c r="N1011" s="26" t="str">
        <f t="shared" si="47"/>
        <v/>
      </c>
      <c r="O1011" s="80"/>
      <c r="P1011" s="80"/>
      <c r="Q1011" s="80"/>
      <c r="R1011" s="80"/>
    </row>
    <row r="1012" ht="18" customHeight="1" spans="1:18">
      <c r="A1012" s="87" t="str">
        <f t="shared" si="45"/>
        <v/>
      </c>
      <c r="B1012" s="78"/>
      <c r="C1012" s="80"/>
      <c r="D1012" s="80"/>
      <c r="E1012" s="79"/>
      <c r="F1012" s="87" t="str">
        <f>IF($E1012="","",IFERROR(INDEX(基础资料!$O$4:$O$34,MATCH($E1012,基础资料!$N$4:$N$34,0))&amp;"",""))</f>
        <v/>
      </c>
      <c r="G1012" s="87" t="str">
        <f>IF($E1012="","",IFERROR(INDEX(基础资料!$P$4:$P$34,MATCH($E1012,基础资料!$N$4:$N$34,0))&amp;"",""))</f>
        <v/>
      </c>
      <c r="H1012" s="79"/>
      <c r="I1012" s="88"/>
      <c r="J1012" s="92"/>
      <c r="K1012" s="93"/>
      <c r="L1012" s="25" t="str">
        <f t="shared" si="46"/>
        <v/>
      </c>
      <c r="M1012" s="94"/>
      <c r="N1012" s="26" t="str">
        <f t="shared" si="47"/>
        <v/>
      </c>
      <c r="O1012" s="80"/>
      <c r="P1012" s="80"/>
      <c r="Q1012" s="80"/>
      <c r="R1012" s="80"/>
    </row>
    <row r="1013" ht="18" customHeight="1" spans="1:18">
      <c r="A1013" s="87" t="str">
        <f t="shared" si="45"/>
        <v/>
      </c>
      <c r="B1013" s="78"/>
      <c r="C1013" s="80"/>
      <c r="D1013" s="80"/>
      <c r="E1013" s="79"/>
      <c r="F1013" s="87" t="str">
        <f>IF($E1013="","",IFERROR(INDEX(基础资料!$O$4:$O$34,MATCH($E1013,基础资料!$N$4:$N$34,0))&amp;"",""))</f>
        <v/>
      </c>
      <c r="G1013" s="87" t="str">
        <f>IF($E1013="","",IFERROR(INDEX(基础资料!$P$4:$P$34,MATCH($E1013,基础资料!$N$4:$N$34,0))&amp;"",""))</f>
        <v/>
      </c>
      <c r="H1013" s="79"/>
      <c r="I1013" s="88"/>
      <c r="J1013" s="92"/>
      <c r="K1013" s="93"/>
      <c r="L1013" s="25" t="str">
        <f t="shared" si="46"/>
        <v/>
      </c>
      <c r="M1013" s="94"/>
      <c r="N1013" s="26" t="str">
        <f t="shared" si="47"/>
        <v/>
      </c>
      <c r="O1013" s="80"/>
      <c r="P1013" s="80"/>
      <c r="Q1013" s="80"/>
      <c r="R1013" s="80"/>
    </row>
    <row r="1014" ht="18" customHeight="1" spans="1:18">
      <c r="A1014" s="87" t="str">
        <f t="shared" si="45"/>
        <v/>
      </c>
      <c r="B1014" s="78"/>
      <c r="C1014" s="80"/>
      <c r="D1014" s="80"/>
      <c r="E1014" s="79"/>
      <c r="F1014" s="87" t="str">
        <f>IF($E1014="","",IFERROR(INDEX(基础资料!$O$4:$O$34,MATCH($E1014,基础资料!$N$4:$N$34,0))&amp;"",""))</f>
        <v/>
      </c>
      <c r="G1014" s="87" t="str">
        <f>IF($E1014="","",IFERROR(INDEX(基础资料!$P$4:$P$34,MATCH($E1014,基础资料!$N$4:$N$34,0))&amp;"",""))</f>
        <v/>
      </c>
      <c r="H1014" s="79"/>
      <c r="I1014" s="88"/>
      <c r="J1014" s="92"/>
      <c r="K1014" s="93"/>
      <c r="L1014" s="25" t="str">
        <f t="shared" si="46"/>
        <v/>
      </c>
      <c r="M1014" s="94"/>
      <c r="N1014" s="26" t="str">
        <f t="shared" si="47"/>
        <v/>
      </c>
      <c r="O1014" s="80"/>
      <c r="P1014" s="80"/>
      <c r="Q1014" s="80"/>
      <c r="R1014" s="80"/>
    </row>
    <row r="1015" ht="18" customHeight="1" spans="1:18">
      <c r="A1015" s="87" t="str">
        <f t="shared" si="45"/>
        <v/>
      </c>
      <c r="B1015" s="78"/>
      <c r="C1015" s="80"/>
      <c r="D1015" s="80"/>
      <c r="E1015" s="79"/>
      <c r="F1015" s="87" t="str">
        <f>IF($E1015="","",IFERROR(INDEX(基础资料!$O$4:$O$34,MATCH($E1015,基础资料!$N$4:$N$34,0))&amp;"",""))</f>
        <v/>
      </c>
      <c r="G1015" s="87" t="str">
        <f>IF($E1015="","",IFERROR(INDEX(基础资料!$P$4:$P$34,MATCH($E1015,基础资料!$N$4:$N$34,0))&amp;"",""))</f>
        <v/>
      </c>
      <c r="H1015" s="79"/>
      <c r="I1015" s="88"/>
      <c r="J1015" s="92"/>
      <c r="K1015" s="93"/>
      <c r="L1015" s="25" t="str">
        <f t="shared" si="46"/>
        <v/>
      </c>
      <c r="M1015" s="94"/>
      <c r="N1015" s="26" t="str">
        <f t="shared" si="47"/>
        <v/>
      </c>
      <c r="O1015" s="80"/>
      <c r="P1015" s="80"/>
      <c r="Q1015" s="80"/>
      <c r="R1015" s="80"/>
    </row>
    <row r="1016" ht="18" customHeight="1" spans="1:18">
      <c r="A1016" s="87" t="str">
        <f t="shared" si="45"/>
        <v/>
      </c>
      <c r="B1016" s="78"/>
      <c r="C1016" s="80"/>
      <c r="D1016" s="80"/>
      <c r="E1016" s="79"/>
      <c r="F1016" s="87" t="str">
        <f>IF($E1016="","",IFERROR(INDEX(基础资料!$O$4:$O$34,MATCH($E1016,基础资料!$N$4:$N$34,0))&amp;"",""))</f>
        <v/>
      </c>
      <c r="G1016" s="87" t="str">
        <f>IF($E1016="","",IFERROR(INDEX(基础资料!$P$4:$P$34,MATCH($E1016,基础资料!$N$4:$N$34,0))&amp;"",""))</f>
        <v/>
      </c>
      <c r="H1016" s="79"/>
      <c r="I1016" s="88"/>
      <c r="J1016" s="92"/>
      <c r="K1016" s="93"/>
      <c r="L1016" s="25" t="str">
        <f t="shared" si="46"/>
        <v/>
      </c>
      <c r="M1016" s="94"/>
      <c r="N1016" s="26" t="str">
        <f t="shared" si="47"/>
        <v/>
      </c>
      <c r="O1016" s="80"/>
      <c r="P1016" s="80"/>
      <c r="Q1016" s="80"/>
      <c r="R1016" s="80"/>
    </row>
    <row r="1017" ht="18" customHeight="1" spans="1:18">
      <c r="A1017" s="87" t="str">
        <f t="shared" si="45"/>
        <v/>
      </c>
      <c r="B1017" s="78"/>
      <c r="C1017" s="80"/>
      <c r="D1017" s="80"/>
      <c r="E1017" s="79"/>
      <c r="F1017" s="87" t="str">
        <f>IF($E1017="","",IFERROR(INDEX(基础资料!$O$4:$O$34,MATCH($E1017,基础资料!$N$4:$N$34,0))&amp;"",""))</f>
        <v/>
      </c>
      <c r="G1017" s="87" t="str">
        <f>IF($E1017="","",IFERROR(INDEX(基础资料!$P$4:$P$34,MATCH($E1017,基础资料!$N$4:$N$34,0))&amp;"",""))</f>
        <v/>
      </c>
      <c r="H1017" s="79"/>
      <c r="I1017" s="88"/>
      <c r="J1017" s="92"/>
      <c r="K1017" s="93"/>
      <c r="L1017" s="25" t="str">
        <f t="shared" si="46"/>
        <v/>
      </c>
      <c r="M1017" s="94"/>
      <c r="N1017" s="26" t="str">
        <f t="shared" si="47"/>
        <v/>
      </c>
      <c r="O1017" s="80"/>
      <c r="P1017" s="80"/>
      <c r="Q1017" s="80"/>
      <c r="R1017" s="80"/>
    </row>
    <row r="1018" ht="18" customHeight="1" spans="1:18">
      <c r="A1018" s="87" t="str">
        <f t="shared" si="45"/>
        <v/>
      </c>
      <c r="B1018" s="78"/>
      <c r="C1018" s="80"/>
      <c r="D1018" s="80"/>
      <c r="E1018" s="79"/>
      <c r="F1018" s="87" t="str">
        <f>IF($E1018="","",IFERROR(INDEX(基础资料!$O$4:$O$34,MATCH($E1018,基础资料!$N$4:$N$34,0))&amp;"",""))</f>
        <v/>
      </c>
      <c r="G1018" s="87" t="str">
        <f>IF($E1018="","",IFERROR(INDEX(基础资料!$P$4:$P$34,MATCH($E1018,基础资料!$N$4:$N$34,0))&amp;"",""))</f>
        <v/>
      </c>
      <c r="H1018" s="79"/>
      <c r="I1018" s="88"/>
      <c r="J1018" s="92"/>
      <c r="K1018" s="93"/>
      <c r="L1018" s="25" t="str">
        <f t="shared" si="46"/>
        <v/>
      </c>
      <c r="M1018" s="94"/>
      <c r="N1018" s="26" t="str">
        <f t="shared" si="47"/>
        <v/>
      </c>
      <c r="O1018" s="80"/>
      <c r="P1018" s="80"/>
      <c r="Q1018" s="80"/>
      <c r="R1018" s="80"/>
    </row>
    <row r="1019" ht="18" customHeight="1" spans="1:18">
      <c r="A1019" s="87" t="str">
        <f t="shared" si="45"/>
        <v/>
      </c>
      <c r="B1019" s="78"/>
      <c r="C1019" s="80"/>
      <c r="D1019" s="80"/>
      <c r="E1019" s="79"/>
      <c r="F1019" s="87" t="str">
        <f>IF($E1019="","",IFERROR(INDEX(基础资料!$O$4:$O$34,MATCH($E1019,基础资料!$N$4:$N$34,0))&amp;"",""))</f>
        <v/>
      </c>
      <c r="G1019" s="87" t="str">
        <f>IF($E1019="","",IFERROR(INDEX(基础资料!$P$4:$P$34,MATCH($E1019,基础资料!$N$4:$N$34,0))&amp;"",""))</f>
        <v/>
      </c>
      <c r="H1019" s="79"/>
      <c r="I1019" s="88"/>
      <c r="J1019" s="92"/>
      <c r="K1019" s="93"/>
      <c r="L1019" s="25" t="str">
        <f t="shared" si="46"/>
        <v/>
      </c>
      <c r="M1019" s="94"/>
      <c r="N1019" s="26" t="str">
        <f t="shared" si="47"/>
        <v/>
      </c>
      <c r="O1019" s="80"/>
      <c r="P1019" s="80"/>
      <c r="Q1019" s="80"/>
      <c r="R1019" s="80"/>
    </row>
    <row r="1020" ht="18" customHeight="1" spans="1:18">
      <c r="A1020" s="87" t="str">
        <f t="shared" si="45"/>
        <v/>
      </c>
      <c r="B1020" s="78"/>
      <c r="C1020" s="80"/>
      <c r="D1020" s="80"/>
      <c r="E1020" s="79"/>
      <c r="F1020" s="87" t="str">
        <f>IF($E1020="","",IFERROR(INDEX(基础资料!$O$4:$O$34,MATCH($E1020,基础资料!$N$4:$N$34,0))&amp;"",""))</f>
        <v/>
      </c>
      <c r="G1020" s="87" t="str">
        <f>IF($E1020="","",IFERROR(INDEX(基础资料!$P$4:$P$34,MATCH($E1020,基础资料!$N$4:$N$34,0))&amp;"",""))</f>
        <v/>
      </c>
      <c r="H1020" s="79"/>
      <c r="I1020" s="88"/>
      <c r="J1020" s="92"/>
      <c r="K1020" s="93"/>
      <c r="L1020" s="25" t="str">
        <f t="shared" si="46"/>
        <v/>
      </c>
      <c r="M1020" s="94"/>
      <c r="N1020" s="26" t="str">
        <f t="shared" si="47"/>
        <v/>
      </c>
      <c r="O1020" s="80"/>
      <c r="P1020" s="80"/>
      <c r="Q1020" s="80"/>
      <c r="R1020" s="80"/>
    </row>
    <row r="1021" ht="18" customHeight="1" spans="1:18">
      <c r="A1021" s="87" t="str">
        <f t="shared" si="45"/>
        <v/>
      </c>
      <c r="B1021" s="78"/>
      <c r="C1021" s="80"/>
      <c r="D1021" s="80"/>
      <c r="E1021" s="79"/>
      <c r="F1021" s="87" t="str">
        <f>IF($E1021="","",IFERROR(INDEX(基础资料!$O$4:$O$34,MATCH($E1021,基础资料!$N$4:$N$34,0))&amp;"",""))</f>
        <v/>
      </c>
      <c r="G1021" s="87" t="str">
        <f>IF($E1021="","",IFERROR(INDEX(基础资料!$P$4:$P$34,MATCH($E1021,基础资料!$N$4:$N$34,0))&amp;"",""))</f>
        <v/>
      </c>
      <c r="H1021" s="79"/>
      <c r="I1021" s="88"/>
      <c r="J1021" s="92"/>
      <c r="K1021" s="93"/>
      <c r="L1021" s="25" t="str">
        <f t="shared" si="46"/>
        <v/>
      </c>
      <c r="M1021" s="94"/>
      <c r="N1021" s="26" t="str">
        <f t="shared" si="47"/>
        <v/>
      </c>
      <c r="O1021" s="80"/>
      <c r="P1021" s="80"/>
      <c r="Q1021" s="80"/>
      <c r="R1021" s="80"/>
    </row>
    <row r="1022" ht="18" customHeight="1" spans="1:18">
      <c r="A1022" s="87" t="str">
        <f t="shared" si="45"/>
        <v/>
      </c>
      <c r="B1022" s="78"/>
      <c r="C1022" s="80"/>
      <c r="D1022" s="80"/>
      <c r="E1022" s="79"/>
      <c r="F1022" s="87" t="str">
        <f>IF($E1022="","",IFERROR(INDEX(基础资料!$O$4:$O$34,MATCH($E1022,基础资料!$N$4:$N$34,0))&amp;"",""))</f>
        <v/>
      </c>
      <c r="G1022" s="87" t="str">
        <f>IF($E1022="","",IFERROR(INDEX(基础资料!$P$4:$P$34,MATCH($E1022,基础资料!$N$4:$N$34,0))&amp;"",""))</f>
        <v/>
      </c>
      <c r="H1022" s="79"/>
      <c r="I1022" s="88"/>
      <c r="J1022" s="92"/>
      <c r="K1022" s="93"/>
      <c r="L1022" s="25" t="str">
        <f t="shared" si="46"/>
        <v/>
      </c>
      <c r="M1022" s="94"/>
      <c r="N1022" s="26" t="str">
        <f t="shared" si="47"/>
        <v/>
      </c>
      <c r="O1022" s="80"/>
      <c r="P1022" s="80"/>
      <c r="Q1022" s="80"/>
      <c r="R1022" s="80"/>
    </row>
    <row r="1023" ht="18" customHeight="1" spans="1:18">
      <c r="A1023" s="87" t="str">
        <f t="shared" si="45"/>
        <v/>
      </c>
      <c r="B1023" s="78"/>
      <c r="C1023" s="80"/>
      <c r="D1023" s="80"/>
      <c r="E1023" s="79"/>
      <c r="F1023" s="87" t="str">
        <f>IF($E1023="","",IFERROR(INDEX(基础资料!$O$4:$O$34,MATCH($E1023,基础资料!$N$4:$N$34,0))&amp;"",""))</f>
        <v/>
      </c>
      <c r="G1023" s="87" t="str">
        <f>IF($E1023="","",IFERROR(INDEX(基础资料!$P$4:$P$34,MATCH($E1023,基础资料!$N$4:$N$34,0))&amp;"",""))</f>
        <v/>
      </c>
      <c r="H1023" s="79"/>
      <c r="I1023" s="88"/>
      <c r="J1023" s="92"/>
      <c r="K1023" s="93"/>
      <c r="L1023" s="25" t="str">
        <f t="shared" si="46"/>
        <v/>
      </c>
      <c r="M1023" s="94"/>
      <c r="N1023" s="26" t="str">
        <f t="shared" si="47"/>
        <v/>
      </c>
      <c r="O1023" s="80"/>
      <c r="P1023" s="80"/>
      <c r="Q1023" s="80"/>
      <c r="R1023" s="80"/>
    </row>
    <row r="1024" ht="18" customHeight="1" spans="1:18">
      <c r="A1024" s="87" t="str">
        <f t="shared" si="45"/>
        <v/>
      </c>
      <c r="B1024" s="78"/>
      <c r="C1024" s="80"/>
      <c r="D1024" s="80"/>
      <c r="E1024" s="79"/>
      <c r="F1024" s="87" t="str">
        <f>IF($E1024="","",IFERROR(INDEX(基础资料!$O$4:$O$34,MATCH($E1024,基础资料!$N$4:$N$34,0))&amp;"",""))</f>
        <v/>
      </c>
      <c r="G1024" s="87" t="str">
        <f>IF($E1024="","",IFERROR(INDEX(基础资料!$P$4:$P$34,MATCH($E1024,基础资料!$N$4:$N$34,0))&amp;"",""))</f>
        <v/>
      </c>
      <c r="H1024" s="79"/>
      <c r="I1024" s="88"/>
      <c r="J1024" s="92"/>
      <c r="K1024" s="93"/>
      <c r="L1024" s="25" t="str">
        <f t="shared" si="46"/>
        <v/>
      </c>
      <c r="M1024" s="94"/>
      <c r="N1024" s="26" t="str">
        <f t="shared" si="47"/>
        <v/>
      </c>
      <c r="O1024" s="80"/>
      <c r="P1024" s="80"/>
      <c r="Q1024" s="80"/>
      <c r="R1024" s="80"/>
    </row>
    <row r="1025" ht="18" customHeight="1" spans="1:18">
      <c r="A1025" s="87" t="str">
        <f t="shared" si="45"/>
        <v/>
      </c>
      <c r="B1025" s="78"/>
      <c r="C1025" s="80"/>
      <c r="D1025" s="80"/>
      <c r="E1025" s="79"/>
      <c r="F1025" s="87" t="str">
        <f>IF($E1025="","",IFERROR(INDEX(基础资料!$O$4:$O$34,MATCH($E1025,基础资料!$N$4:$N$34,0))&amp;"",""))</f>
        <v/>
      </c>
      <c r="G1025" s="87" t="str">
        <f>IF($E1025="","",IFERROR(INDEX(基础资料!$P$4:$P$34,MATCH($E1025,基础资料!$N$4:$N$34,0))&amp;"",""))</f>
        <v/>
      </c>
      <c r="H1025" s="79"/>
      <c r="I1025" s="88"/>
      <c r="J1025" s="92"/>
      <c r="K1025" s="93"/>
      <c r="L1025" s="25" t="str">
        <f t="shared" si="46"/>
        <v/>
      </c>
      <c r="M1025" s="94"/>
      <c r="N1025" s="26" t="str">
        <f t="shared" si="47"/>
        <v/>
      </c>
      <c r="O1025" s="80"/>
      <c r="P1025" s="80"/>
      <c r="Q1025" s="80"/>
      <c r="R1025" s="80"/>
    </row>
    <row r="1026" ht="18" customHeight="1" spans="1:18">
      <c r="A1026" s="87" t="str">
        <f t="shared" si="45"/>
        <v/>
      </c>
      <c r="B1026" s="78"/>
      <c r="C1026" s="80"/>
      <c r="D1026" s="80"/>
      <c r="E1026" s="79"/>
      <c r="F1026" s="87" t="str">
        <f>IF($E1026="","",IFERROR(INDEX(基础资料!$O$4:$O$34,MATCH($E1026,基础资料!$N$4:$N$34,0))&amp;"",""))</f>
        <v/>
      </c>
      <c r="G1026" s="87" t="str">
        <f>IF($E1026="","",IFERROR(INDEX(基础资料!$P$4:$P$34,MATCH($E1026,基础资料!$N$4:$N$34,0))&amp;"",""))</f>
        <v/>
      </c>
      <c r="H1026" s="79"/>
      <c r="I1026" s="88"/>
      <c r="J1026" s="92"/>
      <c r="K1026" s="93"/>
      <c r="L1026" s="25" t="str">
        <f t="shared" si="46"/>
        <v/>
      </c>
      <c r="M1026" s="94"/>
      <c r="N1026" s="26" t="str">
        <f t="shared" si="47"/>
        <v/>
      </c>
      <c r="O1026" s="80"/>
      <c r="P1026" s="80"/>
      <c r="Q1026" s="80"/>
      <c r="R1026" s="80"/>
    </row>
    <row r="1027" ht="18" customHeight="1" spans="1:18">
      <c r="A1027" s="87" t="str">
        <f t="shared" si="45"/>
        <v/>
      </c>
      <c r="B1027" s="78"/>
      <c r="C1027" s="80"/>
      <c r="D1027" s="80"/>
      <c r="E1027" s="79"/>
      <c r="F1027" s="87" t="str">
        <f>IF($E1027="","",IFERROR(INDEX(基础资料!$O$4:$O$34,MATCH($E1027,基础资料!$N$4:$N$34,0))&amp;"",""))</f>
        <v/>
      </c>
      <c r="G1027" s="87" t="str">
        <f>IF($E1027="","",IFERROR(INDEX(基础资料!$P$4:$P$34,MATCH($E1027,基础资料!$N$4:$N$34,0))&amp;"",""))</f>
        <v/>
      </c>
      <c r="H1027" s="79"/>
      <c r="I1027" s="88"/>
      <c r="J1027" s="92"/>
      <c r="K1027" s="93"/>
      <c r="L1027" s="25" t="str">
        <f t="shared" si="46"/>
        <v/>
      </c>
      <c r="M1027" s="94"/>
      <c r="N1027" s="26" t="str">
        <f t="shared" si="47"/>
        <v/>
      </c>
      <c r="O1027" s="80"/>
      <c r="P1027" s="80"/>
      <c r="Q1027" s="80"/>
      <c r="R1027" s="80"/>
    </row>
    <row r="1028" ht="18" customHeight="1" spans="1:18">
      <c r="A1028" s="87" t="str">
        <f t="shared" ref="A1028:A1091" si="48">IF($E1028="","",ROW()-3)</f>
        <v/>
      </c>
      <c r="B1028" s="78"/>
      <c r="C1028" s="80"/>
      <c r="D1028" s="80"/>
      <c r="E1028" s="79"/>
      <c r="F1028" s="87" t="str">
        <f>IF($E1028="","",IFERROR(INDEX(基础资料!$O$4:$O$34,MATCH($E1028,基础资料!$N$4:$N$34,0))&amp;"",""))</f>
        <v/>
      </c>
      <c r="G1028" s="87" t="str">
        <f>IF($E1028="","",IFERROR(INDEX(基础资料!$P$4:$P$34,MATCH($E1028,基础资料!$N$4:$N$34,0))&amp;"",""))</f>
        <v/>
      </c>
      <c r="H1028" s="79"/>
      <c r="I1028" s="88"/>
      <c r="J1028" s="92"/>
      <c r="K1028" s="93"/>
      <c r="L1028" s="25" t="str">
        <f t="shared" ref="L1028:L1091" si="49">IF($E1028="","",N($I1028)+N($J1028)-N($K1028))</f>
        <v/>
      </c>
      <c r="M1028" s="94"/>
      <c r="N1028" s="26" t="str">
        <f t="shared" ref="N1028:N1091" si="50">IF($E1028="","",ROUND(N($L1028)*N($M1028),2))</f>
        <v/>
      </c>
      <c r="O1028" s="80"/>
      <c r="P1028" s="80"/>
      <c r="Q1028" s="80"/>
      <c r="R1028" s="80"/>
    </row>
    <row r="1029" ht="18" customHeight="1" spans="1:18">
      <c r="A1029" s="87" t="str">
        <f t="shared" si="48"/>
        <v/>
      </c>
      <c r="B1029" s="78"/>
      <c r="C1029" s="80"/>
      <c r="D1029" s="80"/>
      <c r="E1029" s="79"/>
      <c r="F1029" s="87" t="str">
        <f>IF($E1029="","",IFERROR(INDEX(基础资料!$O$4:$O$34,MATCH($E1029,基础资料!$N$4:$N$34,0))&amp;"",""))</f>
        <v/>
      </c>
      <c r="G1029" s="87" t="str">
        <f>IF($E1029="","",IFERROR(INDEX(基础资料!$P$4:$P$34,MATCH($E1029,基础资料!$N$4:$N$34,0))&amp;"",""))</f>
        <v/>
      </c>
      <c r="H1029" s="79"/>
      <c r="I1029" s="88"/>
      <c r="J1029" s="92"/>
      <c r="K1029" s="93"/>
      <c r="L1029" s="25" t="str">
        <f t="shared" si="49"/>
        <v/>
      </c>
      <c r="M1029" s="94"/>
      <c r="N1029" s="26" t="str">
        <f t="shared" si="50"/>
        <v/>
      </c>
      <c r="O1029" s="80"/>
      <c r="P1029" s="80"/>
      <c r="Q1029" s="80"/>
      <c r="R1029" s="80"/>
    </row>
    <row r="1030" ht="18" customHeight="1" spans="1:18">
      <c r="A1030" s="87" t="str">
        <f t="shared" si="48"/>
        <v/>
      </c>
      <c r="B1030" s="78"/>
      <c r="C1030" s="80"/>
      <c r="D1030" s="80"/>
      <c r="E1030" s="79"/>
      <c r="F1030" s="87" t="str">
        <f>IF($E1030="","",IFERROR(INDEX(基础资料!$O$4:$O$34,MATCH($E1030,基础资料!$N$4:$N$34,0))&amp;"",""))</f>
        <v/>
      </c>
      <c r="G1030" s="87" t="str">
        <f>IF($E1030="","",IFERROR(INDEX(基础资料!$P$4:$P$34,MATCH($E1030,基础资料!$N$4:$N$34,0))&amp;"",""))</f>
        <v/>
      </c>
      <c r="H1030" s="79"/>
      <c r="I1030" s="88"/>
      <c r="J1030" s="92"/>
      <c r="K1030" s="93"/>
      <c r="L1030" s="25" t="str">
        <f t="shared" si="49"/>
        <v/>
      </c>
      <c r="M1030" s="94"/>
      <c r="N1030" s="26" t="str">
        <f t="shared" si="50"/>
        <v/>
      </c>
      <c r="O1030" s="80"/>
      <c r="P1030" s="80"/>
      <c r="Q1030" s="80"/>
      <c r="R1030" s="80"/>
    </row>
    <row r="1031" ht="18" customHeight="1" spans="1:18">
      <c r="A1031" s="87" t="str">
        <f t="shared" si="48"/>
        <v/>
      </c>
      <c r="B1031" s="78"/>
      <c r="C1031" s="80"/>
      <c r="D1031" s="80"/>
      <c r="E1031" s="79"/>
      <c r="F1031" s="87" t="str">
        <f>IF($E1031="","",IFERROR(INDEX(基础资料!$O$4:$O$34,MATCH($E1031,基础资料!$N$4:$N$34,0))&amp;"",""))</f>
        <v/>
      </c>
      <c r="G1031" s="87" t="str">
        <f>IF($E1031="","",IFERROR(INDEX(基础资料!$P$4:$P$34,MATCH($E1031,基础资料!$N$4:$N$34,0))&amp;"",""))</f>
        <v/>
      </c>
      <c r="H1031" s="79"/>
      <c r="I1031" s="88"/>
      <c r="J1031" s="92"/>
      <c r="K1031" s="93"/>
      <c r="L1031" s="25" t="str">
        <f t="shared" si="49"/>
        <v/>
      </c>
      <c r="M1031" s="94"/>
      <c r="N1031" s="26" t="str">
        <f t="shared" si="50"/>
        <v/>
      </c>
      <c r="O1031" s="80"/>
      <c r="P1031" s="80"/>
      <c r="Q1031" s="80"/>
      <c r="R1031" s="80"/>
    </row>
    <row r="1032" ht="18" customHeight="1" spans="1:18">
      <c r="A1032" s="87" t="str">
        <f t="shared" si="48"/>
        <v/>
      </c>
      <c r="B1032" s="78"/>
      <c r="C1032" s="80"/>
      <c r="D1032" s="80"/>
      <c r="E1032" s="79"/>
      <c r="F1032" s="87" t="str">
        <f>IF($E1032="","",IFERROR(INDEX(基础资料!$O$4:$O$34,MATCH($E1032,基础资料!$N$4:$N$34,0))&amp;"",""))</f>
        <v/>
      </c>
      <c r="G1032" s="87" t="str">
        <f>IF($E1032="","",IFERROR(INDEX(基础资料!$P$4:$P$34,MATCH($E1032,基础资料!$N$4:$N$34,0))&amp;"",""))</f>
        <v/>
      </c>
      <c r="H1032" s="79"/>
      <c r="I1032" s="88"/>
      <c r="J1032" s="92"/>
      <c r="K1032" s="93"/>
      <c r="L1032" s="25" t="str">
        <f t="shared" si="49"/>
        <v/>
      </c>
      <c r="M1032" s="94"/>
      <c r="N1032" s="26" t="str">
        <f t="shared" si="50"/>
        <v/>
      </c>
      <c r="O1032" s="80"/>
      <c r="P1032" s="80"/>
      <c r="Q1032" s="80"/>
      <c r="R1032" s="80"/>
    </row>
    <row r="1033" ht="18" customHeight="1" spans="1:18">
      <c r="A1033" s="87" t="str">
        <f t="shared" si="48"/>
        <v/>
      </c>
      <c r="B1033" s="78"/>
      <c r="C1033" s="80"/>
      <c r="D1033" s="80"/>
      <c r="E1033" s="79"/>
      <c r="F1033" s="87" t="str">
        <f>IF($E1033="","",IFERROR(INDEX(基础资料!$O$4:$O$34,MATCH($E1033,基础资料!$N$4:$N$34,0))&amp;"",""))</f>
        <v/>
      </c>
      <c r="G1033" s="87" t="str">
        <f>IF($E1033="","",IFERROR(INDEX(基础资料!$P$4:$P$34,MATCH($E1033,基础资料!$N$4:$N$34,0))&amp;"",""))</f>
        <v/>
      </c>
      <c r="H1033" s="79"/>
      <c r="I1033" s="88"/>
      <c r="J1033" s="92"/>
      <c r="K1033" s="93"/>
      <c r="L1033" s="25" t="str">
        <f t="shared" si="49"/>
        <v/>
      </c>
      <c r="M1033" s="94"/>
      <c r="N1033" s="26" t="str">
        <f t="shared" si="50"/>
        <v/>
      </c>
      <c r="O1033" s="80"/>
      <c r="P1033" s="80"/>
      <c r="Q1033" s="80"/>
      <c r="R1033" s="80"/>
    </row>
    <row r="1034" ht="18" customHeight="1" spans="1:18">
      <c r="A1034" s="87" t="str">
        <f t="shared" si="48"/>
        <v/>
      </c>
      <c r="B1034" s="78"/>
      <c r="C1034" s="80"/>
      <c r="D1034" s="80"/>
      <c r="E1034" s="79"/>
      <c r="F1034" s="87" t="str">
        <f>IF($E1034="","",IFERROR(INDEX(基础资料!$O$4:$O$34,MATCH($E1034,基础资料!$N$4:$N$34,0))&amp;"",""))</f>
        <v/>
      </c>
      <c r="G1034" s="87" t="str">
        <f>IF($E1034="","",IFERROR(INDEX(基础资料!$P$4:$P$34,MATCH($E1034,基础资料!$N$4:$N$34,0))&amp;"",""))</f>
        <v/>
      </c>
      <c r="H1034" s="79"/>
      <c r="I1034" s="88"/>
      <c r="J1034" s="92"/>
      <c r="K1034" s="93"/>
      <c r="L1034" s="25" t="str">
        <f t="shared" si="49"/>
        <v/>
      </c>
      <c r="M1034" s="94"/>
      <c r="N1034" s="26" t="str">
        <f t="shared" si="50"/>
        <v/>
      </c>
      <c r="O1034" s="80"/>
      <c r="P1034" s="80"/>
      <c r="Q1034" s="80"/>
      <c r="R1034" s="80"/>
    </row>
    <row r="1035" ht="18" customHeight="1" spans="1:18">
      <c r="A1035" s="87" t="str">
        <f t="shared" si="48"/>
        <v/>
      </c>
      <c r="B1035" s="78"/>
      <c r="C1035" s="80"/>
      <c r="D1035" s="80"/>
      <c r="E1035" s="79"/>
      <c r="F1035" s="87" t="str">
        <f>IF($E1035="","",IFERROR(INDEX(基础资料!$O$4:$O$34,MATCH($E1035,基础资料!$N$4:$N$34,0))&amp;"",""))</f>
        <v/>
      </c>
      <c r="G1035" s="87" t="str">
        <f>IF($E1035="","",IFERROR(INDEX(基础资料!$P$4:$P$34,MATCH($E1035,基础资料!$N$4:$N$34,0))&amp;"",""))</f>
        <v/>
      </c>
      <c r="H1035" s="79"/>
      <c r="I1035" s="88"/>
      <c r="J1035" s="92"/>
      <c r="K1035" s="93"/>
      <c r="L1035" s="25" t="str">
        <f t="shared" si="49"/>
        <v/>
      </c>
      <c r="M1035" s="94"/>
      <c r="N1035" s="26" t="str">
        <f t="shared" si="50"/>
        <v/>
      </c>
      <c r="O1035" s="80"/>
      <c r="P1035" s="80"/>
      <c r="Q1035" s="80"/>
      <c r="R1035" s="80"/>
    </row>
    <row r="1036" ht="18" customHeight="1" spans="1:18">
      <c r="A1036" s="87" t="str">
        <f t="shared" si="48"/>
        <v/>
      </c>
      <c r="B1036" s="78"/>
      <c r="C1036" s="80"/>
      <c r="D1036" s="80"/>
      <c r="E1036" s="79"/>
      <c r="F1036" s="87" t="str">
        <f>IF($E1036="","",IFERROR(INDEX(基础资料!$O$4:$O$34,MATCH($E1036,基础资料!$N$4:$N$34,0))&amp;"",""))</f>
        <v/>
      </c>
      <c r="G1036" s="87" t="str">
        <f>IF($E1036="","",IFERROR(INDEX(基础资料!$P$4:$P$34,MATCH($E1036,基础资料!$N$4:$N$34,0))&amp;"",""))</f>
        <v/>
      </c>
      <c r="H1036" s="79"/>
      <c r="I1036" s="88"/>
      <c r="J1036" s="92"/>
      <c r="K1036" s="93"/>
      <c r="L1036" s="25" t="str">
        <f t="shared" si="49"/>
        <v/>
      </c>
      <c r="M1036" s="94"/>
      <c r="N1036" s="26" t="str">
        <f t="shared" si="50"/>
        <v/>
      </c>
      <c r="O1036" s="80"/>
      <c r="P1036" s="80"/>
      <c r="Q1036" s="80"/>
      <c r="R1036" s="80"/>
    </row>
    <row r="1037" ht="18" customHeight="1" spans="1:18">
      <c r="A1037" s="87" t="str">
        <f t="shared" si="48"/>
        <v/>
      </c>
      <c r="B1037" s="78"/>
      <c r="C1037" s="80"/>
      <c r="D1037" s="80"/>
      <c r="E1037" s="79"/>
      <c r="F1037" s="87" t="str">
        <f>IF($E1037="","",IFERROR(INDEX(基础资料!$O$4:$O$34,MATCH($E1037,基础资料!$N$4:$N$34,0))&amp;"",""))</f>
        <v/>
      </c>
      <c r="G1037" s="87" t="str">
        <f>IF($E1037="","",IFERROR(INDEX(基础资料!$P$4:$P$34,MATCH($E1037,基础资料!$N$4:$N$34,0))&amp;"",""))</f>
        <v/>
      </c>
      <c r="H1037" s="79"/>
      <c r="I1037" s="88"/>
      <c r="J1037" s="92"/>
      <c r="K1037" s="93"/>
      <c r="L1037" s="25" t="str">
        <f t="shared" si="49"/>
        <v/>
      </c>
      <c r="M1037" s="94"/>
      <c r="N1037" s="26" t="str">
        <f t="shared" si="50"/>
        <v/>
      </c>
      <c r="O1037" s="80"/>
      <c r="P1037" s="80"/>
      <c r="Q1037" s="80"/>
      <c r="R1037" s="80"/>
    </row>
    <row r="1038" ht="18" customHeight="1" spans="1:18">
      <c r="A1038" s="87" t="str">
        <f t="shared" si="48"/>
        <v/>
      </c>
      <c r="B1038" s="78"/>
      <c r="C1038" s="80"/>
      <c r="D1038" s="80"/>
      <c r="E1038" s="79"/>
      <c r="F1038" s="87" t="str">
        <f>IF($E1038="","",IFERROR(INDEX(基础资料!$O$4:$O$34,MATCH($E1038,基础资料!$N$4:$N$34,0))&amp;"",""))</f>
        <v/>
      </c>
      <c r="G1038" s="87" t="str">
        <f>IF($E1038="","",IFERROR(INDEX(基础资料!$P$4:$P$34,MATCH($E1038,基础资料!$N$4:$N$34,0))&amp;"",""))</f>
        <v/>
      </c>
      <c r="H1038" s="79"/>
      <c r="I1038" s="88"/>
      <c r="J1038" s="92"/>
      <c r="K1038" s="93"/>
      <c r="L1038" s="25" t="str">
        <f t="shared" si="49"/>
        <v/>
      </c>
      <c r="M1038" s="94"/>
      <c r="N1038" s="26" t="str">
        <f t="shared" si="50"/>
        <v/>
      </c>
      <c r="O1038" s="80"/>
      <c r="P1038" s="80"/>
      <c r="Q1038" s="80"/>
      <c r="R1038" s="80"/>
    </row>
    <row r="1039" ht="18" customHeight="1" spans="1:18">
      <c r="A1039" s="87" t="str">
        <f t="shared" si="48"/>
        <v/>
      </c>
      <c r="B1039" s="78"/>
      <c r="C1039" s="80"/>
      <c r="D1039" s="80"/>
      <c r="E1039" s="79"/>
      <c r="F1039" s="87" t="str">
        <f>IF($E1039="","",IFERROR(INDEX(基础资料!$O$4:$O$34,MATCH($E1039,基础资料!$N$4:$N$34,0))&amp;"",""))</f>
        <v/>
      </c>
      <c r="G1039" s="87" t="str">
        <f>IF($E1039="","",IFERROR(INDEX(基础资料!$P$4:$P$34,MATCH($E1039,基础资料!$N$4:$N$34,0))&amp;"",""))</f>
        <v/>
      </c>
      <c r="H1039" s="79"/>
      <c r="I1039" s="88"/>
      <c r="J1039" s="92"/>
      <c r="K1039" s="93"/>
      <c r="L1039" s="25" t="str">
        <f t="shared" si="49"/>
        <v/>
      </c>
      <c r="M1039" s="94"/>
      <c r="N1039" s="26" t="str">
        <f t="shared" si="50"/>
        <v/>
      </c>
      <c r="O1039" s="80"/>
      <c r="P1039" s="80"/>
      <c r="Q1039" s="80"/>
      <c r="R1039" s="80"/>
    </row>
    <row r="1040" ht="18" customHeight="1" spans="1:18">
      <c r="A1040" s="87" t="str">
        <f t="shared" si="48"/>
        <v/>
      </c>
      <c r="B1040" s="78"/>
      <c r="C1040" s="80"/>
      <c r="D1040" s="80"/>
      <c r="E1040" s="79"/>
      <c r="F1040" s="87" t="str">
        <f>IF($E1040="","",IFERROR(INDEX(基础资料!$O$4:$O$34,MATCH($E1040,基础资料!$N$4:$N$34,0))&amp;"",""))</f>
        <v/>
      </c>
      <c r="G1040" s="87" t="str">
        <f>IF($E1040="","",IFERROR(INDEX(基础资料!$P$4:$P$34,MATCH($E1040,基础资料!$N$4:$N$34,0))&amp;"",""))</f>
        <v/>
      </c>
      <c r="H1040" s="79"/>
      <c r="I1040" s="88"/>
      <c r="J1040" s="92"/>
      <c r="K1040" s="93"/>
      <c r="L1040" s="25" t="str">
        <f t="shared" si="49"/>
        <v/>
      </c>
      <c r="M1040" s="94"/>
      <c r="N1040" s="26" t="str">
        <f t="shared" si="50"/>
        <v/>
      </c>
      <c r="O1040" s="80"/>
      <c r="P1040" s="80"/>
      <c r="Q1040" s="80"/>
      <c r="R1040" s="80"/>
    </row>
    <row r="1041" ht="18" customHeight="1" spans="1:18">
      <c r="A1041" s="87" t="str">
        <f t="shared" si="48"/>
        <v/>
      </c>
      <c r="B1041" s="78"/>
      <c r="C1041" s="80"/>
      <c r="D1041" s="80"/>
      <c r="E1041" s="79"/>
      <c r="F1041" s="87" t="str">
        <f>IF($E1041="","",IFERROR(INDEX(基础资料!$O$4:$O$34,MATCH($E1041,基础资料!$N$4:$N$34,0))&amp;"",""))</f>
        <v/>
      </c>
      <c r="G1041" s="87" t="str">
        <f>IF($E1041="","",IFERROR(INDEX(基础资料!$P$4:$P$34,MATCH($E1041,基础资料!$N$4:$N$34,0))&amp;"",""))</f>
        <v/>
      </c>
      <c r="H1041" s="79"/>
      <c r="I1041" s="88"/>
      <c r="J1041" s="92"/>
      <c r="K1041" s="93"/>
      <c r="L1041" s="25" t="str">
        <f t="shared" si="49"/>
        <v/>
      </c>
      <c r="M1041" s="94"/>
      <c r="N1041" s="26" t="str">
        <f t="shared" si="50"/>
        <v/>
      </c>
      <c r="O1041" s="80"/>
      <c r="P1041" s="80"/>
      <c r="Q1041" s="80"/>
      <c r="R1041" s="80"/>
    </row>
    <row r="1042" ht="18" customHeight="1" spans="1:18">
      <c r="A1042" s="87" t="str">
        <f t="shared" si="48"/>
        <v/>
      </c>
      <c r="B1042" s="78"/>
      <c r="C1042" s="80"/>
      <c r="D1042" s="80"/>
      <c r="E1042" s="79"/>
      <c r="F1042" s="87" t="str">
        <f>IF($E1042="","",IFERROR(INDEX(基础资料!$O$4:$O$34,MATCH($E1042,基础资料!$N$4:$N$34,0))&amp;"",""))</f>
        <v/>
      </c>
      <c r="G1042" s="87" t="str">
        <f>IF($E1042="","",IFERROR(INDEX(基础资料!$P$4:$P$34,MATCH($E1042,基础资料!$N$4:$N$34,0))&amp;"",""))</f>
        <v/>
      </c>
      <c r="H1042" s="79"/>
      <c r="I1042" s="88"/>
      <c r="J1042" s="92"/>
      <c r="K1042" s="93"/>
      <c r="L1042" s="25" t="str">
        <f t="shared" si="49"/>
        <v/>
      </c>
      <c r="M1042" s="94"/>
      <c r="N1042" s="26" t="str">
        <f t="shared" si="50"/>
        <v/>
      </c>
      <c r="O1042" s="80"/>
      <c r="P1042" s="80"/>
      <c r="Q1042" s="80"/>
      <c r="R1042" s="80"/>
    </row>
    <row r="1043" ht="18" customHeight="1" spans="1:18">
      <c r="A1043" s="87" t="str">
        <f t="shared" si="48"/>
        <v/>
      </c>
      <c r="B1043" s="78"/>
      <c r="C1043" s="80"/>
      <c r="D1043" s="80"/>
      <c r="E1043" s="79"/>
      <c r="F1043" s="87" t="str">
        <f>IF($E1043="","",IFERROR(INDEX(基础资料!$O$4:$O$34,MATCH($E1043,基础资料!$N$4:$N$34,0))&amp;"",""))</f>
        <v/>
      </c>
      <c r="G1043" s="87" t="str">
        <f>IF($E1043="","",IFERROR(INDEX(基础资料!$P$4:$P$34,MATCH($E1043,基础资料!$N$4:$N$34,0))&amp;"",""))</f>
        <v/>
      </c>
      <c r="H1043" s="79"/>
      <c r="I1043" s="88"/>
      <c r="J1043" s="92"/>
      <c r="K1043" s="93"/>
      <c r="L1043" s="25" t="str">
        <f t="shared" si="49"/>
        <v/>
      </c>
      <c r="M1043" s="94"/>
      <c r="N1043" s="26" t="str">
        <f t="shared" si="50"/>
        <v/>
      </c>
      <c r="O1043" s="80"/>
      <c r="P1043" s="80"/>
      <c r="Q1043" s="80"/>
      <c r="R1043" s="80"/>
    </row>
    <row r="1044" ht="18" customHeight="1" spans="1:18">
      <c r="A1044" s="87" t="str">
        <f t="shared" si="48"/>
        <v/>
      </c>
      <c r="B1044" s="78"/>
      <c r="C1044" s="80"/>
      <c r="D1044" s="80"/>
      <c r="E1044" s="79"/>
      <c r="F1044" s="87" t="str">
        <f>IF($E1044="","",IFERROR(INDEX(基础资料!$O$4:$O$34,MATCH($E1044,基础资料!$N$4:$N$34,0))&amp;"",""))</f>
        <v/>
      </c>
      <c r="G1044" s="87" t="str">
        <f>IF($E1044="","",IFERROR(INDEX(基础资料!$P$4:$P$34,MATCH($E1044,基础资料!$N$4:$N$34,0))&amp;"",""))</f>
        <v/>
      </c>
      <c r="H1044" s="79"/>
      <c r="I1044" s="88"/>
      <c r="J1044" s="92"/>
      <c r="K1044" s="93"/>
      <c r="L1044" s="25" t="str">
        <f t="shared" si="49"/>
        <v/>
      </c>
      <c r="M1044" s="94"/>
      <c r="N1044" s="26" t="str">
        <f t="shared" si="50"/>
        <v/>
      </c>
      <c r="O1044" s="80"/>
      <c r="P1044" s="80"/>
      <c r="Q1044" s="80"/>
      <c r="R1044" s="80"/>
    </row>
    <row r="1045" ht="18" customHeight="1" spans="1:18">
      <c r="A1045" s="87" t="str">
        <f t="shared" si="48"/>
        <v/>
      </c>
      <c r="B1045" s="78"/>
      <c r="C1045" s="80"/>
      <c r="D1045" s="80"/>
      <c r="E1045" s="79"/>
      <c r="F1045" s="87" t="str">
        <f>IF($E1045="","",IFERROR(INDEX(基础资料!$O$4:$O$34,MATCH($E1045,基础资料!$N$4:$N$34,0))&amp;"",""))</f>
        <v/>
      </c>
      <c r="G1045" s="87" t="str">
        <f>IF($E1045="","",IFERROR(INDEX(基础资料!$P$4:$P$34,MATCH($E1045,基础资料!$N$4:$N$34,0))&amp;"",""))</f>
        <v/>
      </c>
      <c r="H1045" s="79"/>
      <c r="I1045" s="88"/>
      <c r="J1045" s="92"/>
      <c r="K1045" s="93"/>
      <c r="L1045" s="25" t="str">
        <f t="shared" si="49"/>
        <v/>
      </c>
      <c r="M1045" s="94"/>
      <c r="N1045" s="26" t="str">
        <f t="shared" si="50"/>
        <v/>
      </c>
      <c r="O1045" s="80"/>
      <c r="P1045" s="80"/>
      <c r="Q1045" s="80"/>
      <c r="R1045" s="80"/>
    </row>
    <row r="1046" ht="18" customHeight="1" spans="1:18">
      <c r="A1046" s="87" t="str">
        <f t="shared" si="48"/>
        <v/>
      </c>
      <c r="B1046" s="78"/>
      <c r="C1046" s="80"/>
      <c r="D1046" s="80"/>
      <c r="E1046" s="79"/>
      <c r="F1046" s="87" t="str">
        <f>IF($E1046="","",IFERROR(INDEX(基础资料!$O$4:$O$34,MATCH($E1046,基础资料!$N$4:$N$34,0))&amp;"",""))</f>
        <v/>
      </c>
      <c r="G1046" s="87" t="str">
        <f>IF($E1046="","",IFERROR(INDEX(基础资料!$P$4:$P$34,MATCH($E1046,基础资料!$N$4:$N$34,0))&amp;"",""))</f>
        <v/>
      </c>
      <c r="H1046" s="79"/>
      <c r="I1046" s="88"/>
      <c r="J1046" s="92"/>
      <c r="K1046" s="93"/>
      <c r="L1046" s="25" t="str">
        <f t="shared" si="49"/>
        <v/>
      </c>
      <c r="M1046" s="94"/>
      <c r="N1046" s="26" t="str">
        <f t="shared" si="50"/>
        <v/>
      </c>
      <c r="O1046" s="80"/>
      <c r="P1046" s="80"/>
      <c r="Q1046" s="80"/>
      <c r="R1046" s="80"/>
    </row>
    <row r="1047" ht="18" customHeight="1" spans="1:18">
      <c r="A1047" s="87" t="str">
        <f t="shared" si="48"/>
        <v/>
      </c>
      <c r="B1047" s="78"/>
      <c r="C1047" s="80"/>
      <c r="D1047" s="80"/>
      <c r="E1047" s="79"/>
      <c r="F1047" s="87" t="str">
        <f>IF($E1047="","",IFERROR(INDEX(基础资料!$O$4:$O$34,MATCH($E1047,基础资料!$N$4:$N$34,0))&amp;"",""))</f>
        <v/>
      </c>
      <c r="G1047" s="87" t="str">
        <f>IF($E1047="","",IFERROR(INDEX(基础资料!$P$4:$P$34,MATCH($E1047,基础资料!$N$4:$N$34,0))&amp;"",""))</f>
        <v/>
      </c>
      <c r="H1047" s="79"/>
      <c r="I1047" s="88"/>
      <c r="J1047" s="92"/>
      <c r="K1047" s="93"/>
      <c r="L1047" s="25" t="str">
        <f t="shared" si="49"/>
        <v/>
      </c>
      <c r="M1047" s="94"/>
      <c r="N1047" s="26" t="str">
        <f t="shared" si="50"/>
        <v/>
      </c>
      <c r="O1047" s="80"/>
      <c r="P1047" s="80"/>
      <c r="Q1047" s="80"/>
      <c r="R1047" s="80"/>
    </row>
    <row r="1048" ht="18" customHeight="1" spans="1:18">
      <c r="A1048" s="87" t="str">
        <f t="shared" si="48"/>
        <v/>
      </c>
      <c r="B1048" s="78"/>
      <c r="C1048" s="80"/>
      <c r="D1048" s="80"/>
      <c r="E1048" s="79"/>
      <c r="F1048" s="87" t="str">
        <f>IF($E1048="","",IFERROR(INDEX(基础资料!$O$4:$O$34,MATCH($E1048,基础资料!$N$4:$N$34,0))&amp;"",""))</f>
        <v/>
      </c>
      <c r="G1048" s="87" t="str">
        <f>IF($E1048="","",IFERROR(INDEX(基础资料!$P$4:$P$34,MATCH($E1048,基础资料!$N$4:$N$34,0))&amp;"",""))</f>
        <v/>
      </c>
      <c r="H1048" s="79"/>
      <c r="I1048" s="88"/>
      <c r="J1048" s="92"/>
      <c r="K1048" s="93"/>
      <c r="L1048" s="25" t="str">
        <f t="shared" si="49"/>
        <v/>
      </c>
      <c r="M1048" s="94"/>
      <c r="N1048" s="26" t="str">
        <f t="shared" si="50"/>
        <v/>
      </c>
      <c r="O1048" s="80"/>
      <c r="P1048" s="80"/>
      <c r="Q1048" s="80"/>
      <c r="R1048" s="80"/>
    </row>
    <row r="1049" ht="18" customHeight="1" spans="1:18">
      <c r="A1049" s="87" t="str">
        <f t="shared" si="48"/>
        <v/>
      </c>
      <c r="B1049" s="78"/>
      <c r="C1049" s="80"/>
      <c r="D1049" s="80"/>
      <c r="E1049" s="79"/>
      <c r="F1049" s="87" t="str">
        <f>IF($E1049="","",IFERROR(INDEX(基础资料!$O$4:$O$34,MATCH($E1049,基础资料!$N$4:$N$34,0))&amp;"",""))</f>
        <v/>
      </c>
      <c r="G1049" s="87" t="str">
        <f>IF($E1049="","",IFERROR(INDEX(基础资料!$P$4:$P$34,MATCH($E1049,基础资料!$N$4:$N$34,0))&amp;"",""))</f>
        <v/>
      </c>
      <c r="H1049" s="79"/>
      <c r="I1049" s="88"/>
      <c r="J1049" s="92"/>
      <c r="K1049" s="93"/>
      <c r="L1049" s="25" t="str">
        <f t="shared" si="49"/>
        <v/>
      </c>
      <c r="M1049" s="94"/>
      <c r="N1049" s="26" t="str">
        <f t="shared" si="50"/>
        <v/>
      </c>
      <c r="O1049" s="80"/>
      <c r="P1049" s="80"/>
      <c r="Q1049" s="80"/>
      <c r="R1049" s="80"/>
    </row>
    <row r="1050" ht="18" customHeight="1" spans="1:18">
      <c r="A1050" s="87" t="str">
        <f t="shared" si="48"/>
        <v/>
      </c>
      <c r="B1050" s="78"/>
      <c r="C1050" s="80"/>
      <c r="D1050" s="80"/>
      <c r="E1050" s="79"/>
      <c r="F1050" s="87" t="str">
        <f>IF($E1050="","",IFERROR(INDEX(基础资料!$O$4:$O$34,MATCH($E1050,基础资料!$N$4:$N$34,0))&amp;"",""))</f>
        <v/>
      </c>
      <c r="G1050" s="87" t="str">
        <f>IF($E1050="","",IFERROR(INDEX(基础资料!$P$4:$P$34,MATCH($E1050,基础资料!$N$4:$N$34,0))&amp;"",""))</f>
        <v/>
      </c>
      <c r="H1050" s="79"/>
      <c r="I1050" s="88"/>
      <c r="J1050" s="92"/>
      <c r="K1050" s="93"/>
      <c r="L1050" s="25" t="str">
        <f t="shared" si="49"/>
        <v/>
      </c>
      <c r="M1050" s="94"/>
      <c r="N1050" s="26" t="str">
        <f t="shared" si="50"/>
        <v/>
      </c>
      <c r="O1050" s="80"/>
      <c r="P1050" s="80"/>
      <c r="Q1050" s="80"/>
      <c r="R1050" s="80"/>
    </row>
    <row r="1051" ht="18" customHeight="1" spans="1:18">
      <c r="A1051" s="87" t="str">
        <f t="shared" si="48"/>
        <v/>
      </c>
      <c r="B1051" s="78"/>
      <c r="C1051" s="80"/>
      <c r="D1051" s="80"/>
      <c r="E1051" s="79"/>
      <c r="F1051" s="87" t="str">
        <f>IF($E1051="","",IFERROR(INDEX(基础资料!$O$4:$O$34,MATCH($E1051,基础资料!$N$4:$N$34,0))&amp;"",""))</f>
        <v/>
      </c>
      <c r="G1051" s="87" t="str">
        <f>IF($E1051="","",IFERROR(INDEX(基础资料!$P$4:$P$34,MATCH($E1051,基础资料!$N$4:$N$34,0))&amp;"",""))</f>
        <v/>
      </c>
      <c r="H1051" s="79"/>
      <c r="I1051" s="88"/>
      <c r="J1051" s="92"/>
      <c r="K1051" s="93"/>
      <c r="L1051" s="25" t="str">
        <f t="shared" si="49"/>
        <v/>
      </c>
      <c r="M1051" s="94"/>
      <c r="N1051" s="26" t="str">
        <f t="shared" si="50"/>
        <v/>
      </c>
      <c r="O1051" s="80"/>
      <c r="P1051" s="80"/>
      <c r="Q1051" s="80"/>
      <c r="R1051" s="80"/>
    </row>
    <row r="1052" ht="18" customHeight="1" spans="1:18">
      <c r="A1052" s="87" t="str">
        <f t="shared" si="48"/>
        <v/>
      </c>
      <c r="B1052" s="78"/>
      <c r="C1052" s="80"/>
      <c r="D1052" s="80"/>
      <c r="E1052" s="79"/>
      <c r="F1052" s="87" t="str">
        <f>IF($E1052="","",IFERROR(INDEX(基础资料!$O$4:$O$34,MATCH($E1052,基础资料!$N$4:$N$34,0))&amp;"",""))</f>
        <v/>
      </c>
      <c r="G1052" s="87" t="str">
        <f>IF($E1052="","",IFERROR(INDEX(基础资料!$P$4:$P$34,MATCH($E1052,基础资料!$N$4:$N$34,0))&amp;"",""))</f>
        <v/>
      </c>
      <c r="H1052" s="79"/>
      <c r="I1052" s="88"/>
      <c r="J1052" s="92"/>
      <c r="K1052" s="93"/>
      <c r="L1052" s="25" t="str">
        <f t="shared" si="49"/>
        <v/>
      </c>
      <c r="M1052" s="94"/>
      <c r="N1052" s="26" t="str">
        <f t="shared" si="50"/>
        <v/>
      </c>
      <c r="O1052" s="80"/>
      <c r="P1052" s="80"/>
      <c r="Q1052" s="80"/>
      <c r="R1052" s="80"/>
    </row>
    <row r="1053" ht="18" customHeight="1" spans="1:18">
      <c r="A1053" s="87" t="str">
        <f t="shared" si="48"/>
        <v/>
      </c>
      <c r="B1053" s="78"/>
      <c r="C1053" s="80"/>
      <c r="D1053" s="80"/>
      <c r="E1053" s="79"/>
      <c r="F1053" s="87" t="str">
        <f>IF($E1053="","",IFERROR(INDEX(基础资料!$O$4:$O$34,MATCH($E1053,基础资料!$N$4:$N$34,0))&amp;"",""))</f>
        <v/>
      </c>
      <c r="G1053" s="87" t="str">
        <f>IF($E1053="","",IFERROR(INDEX(基础资料!$P$4:$P$34,MATCH($E1053,基础资料!$N$4:$N$34,0))&amp;"",""))</f>
        <v/>
      </c>
      <c r="H1053" s="79"/>
      <c r="I1053" s="88"/>
      <c r="J1053" s="92"/>
      <c r="K1053" s="93"/>
      <c r="L1053" s="25" t="str">
        <f t="shared" si="49"/>
        <v/>
      </c>
      <c r="M1053" s="94"/>
      <c r="N1053" s="26" t="str">
        <f t="shared" si="50"/>
        <v/>
      </c>
      <c r="O1053" s="80"/>
      <c r="P1053" s="80"/>
      <c r="Q1053" s="80"/>
      <c r="R1053" s="80"/>
    </row>
    <row r="1054" ht="18" customHeight="1" spans="1:18">
      <c r="A1054" s="87" t="str">
        <f t="shared" si="48"/>
        <v/>
      </c>
      <c r="B1054" s="78"/>
      <c r="C1054" s="80"/>
      <c r="D1054" s="80"/>
      <c r="E1054" s="79"/>
      <c r="F1054" s="87" t="str">
        <f>IF($E1054="","",IFERROR(INDEX(基础资料!$O$4:$O$34,MATCH($E1054,基础资料!$N$4:$N$34,0))&amp;"",""))</f>
        <v/>
      </c>
      <c r="G1054" s="87" t="str">
        <f>IF($E1054="","",IFERROR(INDEX(基础资料!$P$4:$P$34,MATCH($E1054,基础资料!$N$4:$N$34,0))&amp;"",""))</f>
        <v/>
      </c>
      <c r="H1054" s="79"/>
      <c r="I1054" s="88"/>
      <c r="J1054" s="92"/>
      <c r="K1054" s="93"/>
      <c r="L1054" s="25" t="str">
        <f t="shared" si="49"/>
        <v/>
      </c>
      <c r="M1054" s="94"/>
      <c r="N1054" s="26" t="str">
        <f t="shared" si="50"/>
        <v/>
      </c>
      <c r="O1054" s="80"/>
      <c r="P1054" s="80"/>
      <c r="Q1054" s="80"/>
      <c r="R1054" s="80"/>
    </row>
    <row r="1055" ht="18" customHeight="1" spans="1:18">
      <c r="A1055" s="87" t="str">
        <f t="shared" si="48"/>
        <v/>
      </c>
      <c r="B1055" s="78"/>
      <c r="C1055" s="80"/>
      <c r="D1055" s="80"/>
      <c r="E1055" s="79"/>
      <c r="F1055" s="87" t="str">
        <f>IF($E1055="","",IFERROR(INDEX(基础资料!$O$4:$O$34,MATCH($E1055,基础资料!$N$4:$N$34,0))&amp;"",""))</f>
        <v/>
      </c>
      <c r="G1055" s="87" t="str">
        <f>IF($E1055="","",IFERROR(INDEX(基础资料!$P$4:$P$34,MATCH($E1055,基础资料!$N$4:$N$34,0))&amp;"",""))</f>
        <v/>
      </c>
      <c r="H1055" s="79"/>
      <c r="I1055" s="88"/>
      <c r="J1055" s="92"/>
      <c r="K1055" s="93"/>
      <c r="L1055" s="25" t="str">
        <f t="shared" si="49"/>
        <v/>
      </c>
      <c r="M1055" s="94"/>
      <c r="N1055" s="26" t="str">
        <f t="shared" si="50"/>
        <v/>
      </c>
      <c r="O1055" s="80"/>
      <c r="P1055" s="80"/>
      <c r="Q1055" s="80"/>
      <c r="R1055" s="80"/>
    </row>
    <row r="1056" ht="18" customHeight="1" spans="1:18">
      <c r="A1056" s="87" t="str">
        <f t="shared" si="48"/>
        <v/>
      </c>
      <c r="B1056" s="78"/>
      <c r="C1056" s="80"/>
      <c r="D1056" s="80"/>
      <c r="E1056" s="79"/>
      <c r="F1056" s="87" t="str">
        <f>IF($E1056="","",IFERROR(INDEX(基础资料!$O$4:$O$34,MATCH($E1056,基础资料!$N$4:$N$34,0))&amp;"",""))</f>
        <v/>
      </c>
      <c r="G1056" s="87" t="str">
        <f>IF($E1056="","",IFERROR(INDEX(基础资料!$P$4:$P$34,MATCH($E1056,基础资料!$N$4:$N$34,0))&amp;"",""))</f>
        <v/>
      </c>
      <c r="H1056" s="79"/>
      <c r="I1056" s="88"/>
      <c r="J1056" s="92"/>
      <c r="K1056" s="93"/>
      <c r="L1056" s="25" t="str">
        <f t="shared" si="49"/>
        <v/>
      </c>
      <c r="M1056" s="94"/>
      <c r="N1056" s="26" t="str">
        <f t="shared" si="50"/>
        <v/>
      </c>
      <c r="O1056" s="80"/>
      <c r="P1056" s="80"/>
      <c r="Q1056" s="80"/>
      <c r="R1056" s="80"/>
    </row>
    <row r="1057" ht="18" customHeight="1" spans="1:18">
      <c r="A1057" s="87" t="str">
        <f t="shared" si="48"/>
        <v/>
      </c>
      <c r="B1057" s="78"/>
      <c r="C1057" s="80"/>
      <c r="D1057" s="80"/>
      <c r="E1057" s="79"/>
      <c r="F1057" s="87" t="str">
        <f>IF($E1057="","",IFERROR(INDEX(基础资料!$O$4:$O$34,MATCH($E1057,基础资料!$N$4:$N$34,0))&amp;"",""))</f>
        <v/>
      </c>
      <c r="G1057" s="87" t="str">
        <f>IF($E1057="","",IFERROR(INDEX(基础资料!$P$4:$P$34,MATCH($E1057,基础资料!$N$4:$N$34,0))&amp;"",""))</f>
        <v/>
      </c>
      <c r="H1057" s="79"/>
      <c r="I1057" s="88"/>
      <c r="J1057" s="92"/>
      <c r="K1057" s="93"/>
      <c r="L1057" s="25" t="str">
        <f t="shared" si="49"/>
        <v/>
      </c>
      <c r="M1057" s="94"/>
      <c r="N1057" s="26" t="str">
        <f t="shared" si="50"/>
        <v/>
      </c>
      <c r="O1057" s="80"/>
      <c r="P1057" s="80"/>
      <c r="Q1057" s="80"/>
      <c r="R1057" s="80"/>
    </row>
    <row r="1058" ht="18" customHeight="1" spans="1:18">
      <c r="A1058" s="87" t="str">
        <f t="shared" si="48"/>
        <v/>
      </c>
      <c r="B1058" s="78"/>
      <c r="C1058" s="80"/>
      <c r="D1058" s="80"/>
      <c r="E1058" s="79"/>
      <c r="F1058" s="87" t="str">
        <f>IF($E1058="","",IFERROR(INDEX(基础资料!$O$4:$O$34,MATCH($E1058,基础资料!$N$4:$N$34,0))&amp;"",""))</f>
        <v/>
      </c>
      <c r="G1058" s="87" t="str">
        <f>IF($E1058="","",IFERROR(INDEX(基础资料!$P$4:$P$34,MATCH($E1058,基础资料!$N$4:$N$34,0))&amp;"",""))</f>
        <v/>
      </c>
      <c r="H1058" s="79"/>
      <c r="I1058" s="88"/>
      <c r="J1058" s="92"/>
      <c r="K1058" s="93"/>
      <c r="L1058" s="25" t="str">
        <f t="shared" si="49"/>
        <v/>
      </c>
      <c r="M1058" s="94"/>
      <c r="N1058" s="26" t="str">
        <f t="shared" si="50"/>
        <v/>
      </c>
      <c r="O1058" s="80"/>
      <c r="P1058" s="80"/>
      <c r="Q1058" s="80"/>
      <c r="R1058" s="80"/>
    </row>
    <row r="1059" ht="18" customHeight="1" spans="1:18">
      <c r="A1059" s="87" t="str">
        <f t="shared" si="48"/>
        <v/>
      </c>
      <c r="B1059" s="78"/>
      <c r="C1059" s="80"/>
      <c r="D1059" s="80"/>
      <c r="E1059" s="79"/>
      <c r="F1059" s="87" t="str">
        <f>IF($E1059="","",IFERROR(INDEX(基础资料!$O$4:$O$34,MATCH($E1059,基础资料!$N$4:$N$34,0))&amp;"",""))</f>
        <v/>
      </c>
      <c r="G1059" s="87" t="str">
        <f>IF($E1059="","",IFERROR(INDEX(基础资料!$P$4:$P$34,MATCH($E1059,基础资料!$N$4:$N$34,0))&amp;"",""))</f>
        <v/>
      </c>
      <c r="H1059" s="79"/>
      <c r="I1059" s="88"/>
      <c r="J1059" s="92"/>
      <c r="K1059" s="93"/>
      <c r="L1059" s="25" t="str">
        <f t="shared" si="49"/>
        <v/>
      </c>
      <c r="M1059" s="94"/>
      <c r="N1059" s="26" t="str">
        <f t="shared" si="50"/>
        <v/>
      </c>
      <c r="O1059" s="80"/>
      <c r="P1059" s="80"/>
      <c r="Q1059" s="80"/>
      <c r="R1059" s="80"/>
    </row>
    <row r="1060" ht="18" customHeight="1" spans="1:18">
      <c r="A1060" s="87" t="str">
        <f t="shared" si="48"/>
        <v/>
      </c>
      <c r="B1060" s="78"/>
      <c r="C1060" s="80"/>
      <c r="D1060" s="80"/>
      <c r="E1060" s="79"/>
      <c r="F1060" s="87" t="str">
        <f>IF($E1060="","",IFERROR(INDEX(基础资料!$O$4:$O$34,MATCH($E1060,基础资料!$N$4:$N$34,0))&amp;"",""))</f>
        <v/>
      </c>
      <c r="G1060" s="87" t="str">
        <f>IF($E1060="","",IFERROR(INDEX(基础资料!$P$4:$P$34,MATCH($E1060,基础资料!$N$4:$N$34,0))&amp;"",""))</f>
        <v/>
      </c>
      <c r="H1060" s="79"/>
      <c r="I1060" s="88"/>
      <c r="J1060" s="92"/>
      <c r="K1060" s="93"/>
      <c r="L1060" s="25" t="str">
        <f t="shared" si="49"/>
        <v/>
      </c>
      <c r="M1060" s="94"/>
      <c r="N1060" s="26" t="str">
        <f t="shared" si="50"/>
        <v/>
      </c>
      <c r="O1060" s="80"/>
      <c r="P1060" s="80"/>
      <c r="Q1060" s="80"/>
      <c r="R1060" s="80"/>
    </row>
    <row r="1061" ht="18" customHeight="1" spans="1:18">
      <c r="A1061" s="87" t="str">
        <f t="shared" si="48"/>
        <v/>
      </c>
      <c r="B1061" s="78"/>
      <c r="C1061" s="80"/>
      <c r="D1061" s="80"/>
      <c r="E1061" s="79"/>
      <c r="F1061" s="87" t="str">
        <f>IF($E1061="","",IFERROR(INDEX(基础资料!$O$4:$O$34,MATCH($E1061,基础资料!$N$4:$N$34,0))&amp;"",""))</f>
        <v/>
      </c>
      <c r="G1061" s="87" t="str">
        <f>IF($E1061="","",IFERROR(INDEX(基础资料!$P$4:$P$34,MATCH($E1061,基础资料!$N$4:$N$34,0))&amp;"",""))</f>
        <v/>
      </c>
      <c r="H1061" s="79"/>
      <c r="I1061" s="88"/>
      <c r="J1061" s="92"/>
      <c r="K1061" s="93"/>
      <c r="L1061" s="25" t="str">
        <f t="shared" si="49"/>
        <v/>
      </c>
      <c r="M1061" s="94"/>
      <c r="N1061" s="26" t="str">
        <f t="shared" si="50"/>
        <v/>
      </c>
      <c r="O1061" s="80"/>
      <c r="P1061" s="80"/>
      <c r="Q1061" s="80"/>
      <c r="R1061" s="80"/>
    </row>
    <row r="1062" ht="18" customHeight="1" spans="1:18">
      <c r="A1062" s="87" t="str">
        <f t="shared" si="48"/>
        <v/>
      </c>
      <c r="B1062" s="78"/>
      <c r="C1062" s="80"/>
      <c r="D1062" s="80"/>
      <c r="E1062" s="79"/>
      <c r="F1062" s="87" t="str">
        <f>IF($E1062="","",IFERROR(INDEX(基础资料!$O$4:$O$34,MATCH($E1062,基础资料!$N$4:$N$34,0))&amp;"",""))</f>
        <v/>
      </c>
      <c r="G1062" s="87" t="str">
        <f>IF($E1062="","",IFERROR(INDEX(基础资料!$P$4:$P$34,MATCH($E1062,基础资料!$N$4:$N$34,0))&amp;"",""))</f>
        <v/>
      </c>
      <c r="H1062" s="79"/>
      <c r="I1062" s="88"/>
      <c r="J1062" s="92"/>
      <c r="K1062" s="93"/>
      <c r="L1062" s="25" t="str">
        <f t="shared" si="49"/>
        <v/>
      </c>
      <c r="M1062" s="94"/>
      <c r="N1062" s="26" t="str">
        <f t="shared" si="50"/>
        <v/>
      </c>
      <c r="O1062" s="80"/>
      <c r="P1062" s="80"/>
      <c r="Q1062" s="80"/>
      <c r="R1062" s="80"/>
    </row>
    <row r="1063" ht="18" customHeight="1" spans="1:18">
      <c r="A1063" s="87" t="str">
        <f t="shared" si="48"/>
        <v/>
      </c>
      <c r="B1063" s="78"/>
      <c r="C1063" s="80"/>
      <c r="D1063" s="80"/>
      <c r="E1063" s="79"/>
      <c r="F1063" s="87" t="str">
        <f>IF($E1063="","",IFERROR(INDEX(基础资料!$O$4:$O$34,MATCH($E1063,基础资料!$N$4:$N$34,0))&amp;"",""))</f>
        <v/>
      </c>
      <c r="G1063" s="87" t="str">
        <f>IF($E1063="","",IFERROR(INDEX(基础资料!$P$4:$P$34,MATCH($E1063,基础资料!$N$4:$N$34,0))&amp;"",""))</f>
        <v/>
      </c>
      <c r="H1063" s="79"/>
      <c r="I1063" s="88"/>
      <c r="J1063" s="92"/>
      <c r="K1063" s="93"/>
      <c r="L1063" s="25" t="str">
        <f t="shared" si="49"/>
        <v/>
      </c>
      <c r="M1063" s="94"/>
      <c r="N1063" s="26" t="str">
        <f t="shared" si="50"/>
        <v/>
      </c>
      <c r="O1063" s="80"/>
      <c r="P1063" s="80"/>
      <c r="Q1063" s="80"/>
      <c r="R1063" s="80"/>
    </row>
    <row r="1064" ht="18" customHeight="1" spans="1:18">
      <c r="A1064" s="87" t="str">
        <f t="shared" si="48"/>
        <v/>
      </c>
      <c r="B1064" s="78"/>
      <c r="C1064" s="80"/>
      <c r="D1064" s="80"/>
      <c r="E1064" s="79"/>
      <c r="F1064" s="87" t="str">
        <f>IF($E1064="","",IFERROR(INDEX(基础资料!$O$4:$O$34,MATCH($E1064,基础资料!$N$4:$N$34,0))&amp;"",""))</f>
        <v/>
      </c>
      <c r="G1064" s="87" t="str">
        <f>IF($E1064="","",IFERROR(INDEX(基础资料!$P$4:$P$34,MATCH($E1064,基础资料!$N$4:$N$34,0))&amp;"",""))</f>
        <v/>
      </c>
      <c r="H1064" s="79"/>
      <c r="I1064" s="88"/>
      <c r="J1064" s="92"/>
      <c r="K1064" s="93"/>
      <c r="L1064" s="25" t="str">
        <f t="shared" si="49"/>
        <v/>
      </c>
      <c r="M1064" s="94"/>
      <c r="N1064" s="26" t="str">
        <f t="shared" si="50"/>
        <v/>
      </c>
      <c r="O1064" s="80"/>
      <c r="P1064" s="80"/>
      <c r="Q1064" s="80"/>
      <c r="R1064" s="80"/>
    </row>
    <row r="1065" ht="18" customHeight="1" spans="1:18">
      <c r="A1065" s="87" t="str">
        <f t="shared" si="48"/>
        <v/>
      </c>
      <c r="B1065" s="78"/>
      <c r="C1065" s="80"/>
      <c r="D1065" s="80"/>
      <c r="E1065" s="79"/>
      <c r="F1065" s="87" t="str">
        <f>IF($E1065="","",IFERROR(INDEX(基础资料!$O$4:$O$34,MATCH($E1065,基础资料!$N$4:$N$34,0))&amp;"",""))</f>
        <v/>
      </c>
      <c r="G1065" s="87" t="str">
        <f>IF($E1065="","",IFERROR(INDEX(基础资料!$P$4:$P$34,MATCH($E1065,基础资料!$N$4:$N$34,0))&amp;"",""))</f>
        <v/>
      </c>
      <c r="H1065" s="79"/>
      <c r="I1065" s="88"/>
      <c r="J1065" s="92"/>
      <c r="K1065" s="93"/>
      <c r="L1065" s="25" t="str">
        <f t="shared" si="49"/>
        <v/>
      </c>
      <c r="M1065" s="94"/>
      <c r="N1065" s="26" t="str">
        <f t="shared" si="50"/>
        <v/>
      </c>
      <c r="O1065" s="80"/>
      <c r="P1065" s="80"/>
      <c r="Q1065" s="80"/>
      <c r="R1065" s="80"/>
    </row>
    <row r="1066" ht="18" customHeight="1" spans="1:18">
      <c r="A1066" s="87" t="str">
        <f t="shared" si="48"/>
        <v/>
      </c>
      <c r="B1066" s="78"/>
      <c r="C1066" s="80"/>
      <c r="D1066" s="80"/>
      <c r="E1066" s="79"/>
      <c r="F1066" s="87" t="str">
        <f>IF($E1066="","",IFERROR(INDEX(基础资料!$O$4:$O$34,MATCH($E1066,基础资料!$N$4:$N$34,0))&amp;"",""))</f>
        <v/>
      </c>
      <c r="G1066" s="87" t="str">
        <f>IF($E1066="","",IFERROR(INDEX(基础资料!$P$4:$P$34,MATCH($E1066,基础资料!$N$4:$N$34,0))&amp;"",""))</f>
        <v/>
      </c>
      <c r="H1066" s="79"/>
      <c r="I1066" s="88"/>
      <c r="J1066" s="92"/>
      <c r="K1066" s="93"/>
      <c r="L1066" s="25" t="str">
        <f t="shared" si="49"/>
        <v/>
      </c>
      <c r="M1066" s="94"/>
      <c r="N1066" s="26" t="str">
        <f t="shared" si="50"/>
        <v/>
      </c>
      <c r="O1066" s="80"/>
      <c r="P1066" s="80"/>
      <c r="Q1066" s="80"/>
      <c r="R1066" s="80"/>
    </row>
    <row r="1067" ht="18" customHeight="1" spans="1:18">
      <c r="A1067" s="87" t="str">
        <f t="shared" si="48"/>
        <v/>
      </c>
      <c r="B1067" s="78"/>
      <c r="C1067" s="80"/>
      <c r="D1067" s="80"/>
      <c r="E1067" s="79"/>
      <c r="F1067" s="87" t="str">
        <f>IF($E1067="","",IFERROR(INDEX(基础资料!$O$4:$O$34,MATCH($E1067,基础资料!$N$4:$N$34,0))&amp;"",""))</f>
        <v/>
      </c>
      <c r="G1067" s="87" t="str">
        <f>IF($E1067="","",IFERROR(INDEX(基础资料!$P$4:$P$34,MATCH($E1067,基础资料!$N$4:$N$34,0))&amp;"",""))</f>
        <v/>
      </c>
      <c r="H1067" s="79"/>
      <c r="I1067" s="88"/>
      <c r="J1067" s="92"/>
      <c r="K1067" s="93"/>
      <c r="L1067" s="25" t="str">
        <f t="shared" si="49"/>
        <v/>
      </c>
      <c r="M1067" s="94"/>
      <c r="N1067" s="26" t="str">
        <f t="shared" si="50"/>
        <v/>
      </c>
      <c r="O1067" s="80"/>
      <c r="P1067" s="80"/>
      <c r="Q1067" s="80"/>
      <c r="R1067" s="80"/>
    </row>
    <row r="1068" ht="18" customHeight="1" spans="1:18">
      <c r="A1068" s="87" t="str">
        <f t="shared" si="48"/>
        <v/>
      </c>
      <c r="B1068" s="78"/>
      <c r="C1068" s="80"/>
      <c r="D1068" s="80"/>
      <c r="E1068" s="79"/>
      <c r="F1068" s="87" t="str">
        <f>IF($E1068="","",IFERROR(INDEX(基础资料!$O$4:$O$34,MATCH($E1068,基础资料!$N$4:$N$34,0))&amp;"",""))</f>
        <v/>
      </c>
      <c r="G1068" s="87" t="str">
        <f>IF($E1068="","",IFERROR(INDEX(基础资料!$P$4:$P$34,MATCH($E1068,基础资料!$N$4:$N$34,0))&amp;"",""))</f>
        <v/>
      </c>
      <c r="H1068" s="79"/>
      <c r="I1068" s="88"/>
      <c r="J1068" s="92"/>
      <c r="K1068" s="93"/>
      <c r="L1068" s="25" t="str">
        <f t="shared" si="49"/>
        <v/>
      </c>
      <c r="M1068" s="94"/>
      <c r="N1068" s="26" t="str">
        <f t="shared" si="50"/>
        <v/>
      </c>
      <c r="O1068" s="80"/>
      <c r="P1068" s="80"/>
      <c r="Q1068" s="80"/>
      <c r="R1068" s="80"/>
    </row>
    <row r="1069" ht="18" customHeight="1" spans="1:18">
      <c r="A1069" s="87" t="str">
        <f t="shared" si="48"/>
        <v/>
      </c>
      <c r="B1069" s="78"/>
      <c r="C1069" s="80"/>
      <c r="D1069" s="80"/>
      <c r="E1069" s="79"/>
      <c r="F1069" s="87" t="str">
        <f>IF($E1069="","",IFERROR(INDEX(基础资料!$O$4:$O$34,MATCH($E1069,基础资料!$N$4:$N$34,0))&amp;"",""))</f>
        <v/>
      </c>
      <c r="G1069" s="87" t="str">
        <f>IF($E1069="","",IFERROR(INDEX(基础资料!$P$4:$P$34,MATCH($E1069,基础资料!$N$4:$N$34,0))&amp;"",""))</f>
        <v/>
      </c>
      <c r="H1069" s="79"/>
      <c r="I1069" s="88"/>
      <c r="J1069" s="92"/>
      <c r="K1069" s="93"/>
      <c r="L1069" s="25" t="str">
        <f t="shared" si="49"/>
        <v/>
      </c>
      <c r="M1069" s="94"/>
      <c r="N1069" s="26" t="str">
        <f t="shared" si="50"/>
        <v/>
      </c>
      <c r="O1069" s="80"/>
      <c r="P1069" s="80"/>
      <c r="Q1069" s="80"/>
      <c r="R1069" s="80"/>
    </row>
    <row r="1070" ht="18" customHeight="1" spans="1:18">
      <c r="A1070" s="87" t="str">
        <f t="shared" si="48"/>
        <v/>
      </c>
      <c r="B1070" s="78"/>
      <c r="C1070" s="80"/>
      <c r="D1070" s="80"/>
      <c r="E1070" s="79"/>
      <c r="F1070" s="87" t="str">
        <f>IF($E1070="","",IFERROR(INDEX(基础资料!$O$4:$O$34,MATCH($E1070,基础资料!$N$4:$N$34,0))&amp;"",""))</f>
        <v/>
      </c>
      <c r="G1070" s="87" t="str">
        <f>IF($E1070="","",IFERROR(INDEX(基础资料!$P$4:$P$34,MATCH($E1070,基础资料!$N$4:$N$34,0))&amp;"",""))</f>
        <v/>
      </c>
      <c r="H1070" s="79"/>
      <c r="I1070" s="88"/>
      <c r="J1070" s="92"/>
      <c r="K1070" s="93"/>
      <c r="L1070" s="25" t="str">
        <f t="shared" si="49"/>
        <v/>
      </c>
      <c r="M1070" s="94"/>
      <c r="N1070" s="26" t="str">
        <f t="shared" si="50"/>
        <v/>
      </c>
      <c r="O1070" s="80"/>
      <c r="P1070" s="80"/>
      <c r="Q1070" s="80"/>
      <c r="R1070" s="80"/>
    </row>
    <row r="1071" ht="18" customHeight="1" spans="1:18">
      <c r="A1071" s="87" t="str">
        <f t="shared" si="48"/>
        <v/>
      </c>
      <c r="B1071" s="78"/>
      <c r="C1071" s="80"/>
      <c r="D1071" s="80"/>
      <c r="E1071" s="79"/>
      <c r="F1071" s="87" t="str">
        <f>IF($E1071="","",IFERROR(INDEX(基础资料!$O$4:$O$34,MATCH($E1071,基础资料!$N$4:$N$34,0))&amp;"",""))</f>
        <v/>
      </c>
      <c r="G1071" s="87" t="str">
        <f>IF($E1071="","",IFERROR(INDEX(基础资料!$P$4:$P$34,MATCH($E1071,基础资料!$N$4:$N$34,0))&amp;"",""))</f>
        <v/>
      </c>
      <c r="H1071" s="79"/>
      <c r="I1071" s="88"/>
      <c r="J1071" s="92"/>
      <c r="K1071" s="93"/>
      <c r="L1071" s="25" t="str">
        <f t="shared" si="49"/>
        <v/>
      </c>
      <c r="M1071" s="94"/>
      <c r="N1071" s="26" t="str">
        <f t="shared" si="50"/>
        <v/>
      </c>
      <c r="O1071" s="80"/>
      <c r="P1071" s="80"/>
      <c r="Q1071" s="80"/>
      <c r="R1071" s="80"/>
    </row>
    <row r="1072" ht="18" customHeight="1" spans="1:18">
      <c r="A1072" s="87" t="str">
        <f t="shared" si="48"/>
        <v/>
      </c>
      <c r="B1072" s="78"/>
      <c r="C1072" s="80"/>
      <c r="D1072" s="80"/>
      <c r="E1072" s="79"/>
      <c r="F1072" s="87" t="str">
        <f>IF($E1072="","",IFERROR(INDEX(基础资料!$O$4:$O$34,MATCH($E1072,基础资料!$N$4:$N$34,0))&amp;"",""))</f>
        <v/>
      </c>
      <c r="G1072" s="87" t="str">
        <f>IF($E1072="","",IFERROR(INDEX(基础资料!$P$4:$P$34,MATCH($E1072,基础资料!$N$4:$N$34,0))&amp;"",""))</f>
        <v/>
      </c>
      <c r="H1072" s="79"/>
      <c r="I1072" s="88"/>
      <c r="J1072" s="92"/>
      <c r="K1072" s="93"/>
      <c r="L1072" s="25" t="str">
        <f t="shared" si="49"/>
        <v/>
      </c>
      <c r="M1072" s="94"/>
      <c r="N1072" s="26" t="str">
        <f t="shared" si="50"/>
        <v/>
      </c>
      <c r="O1072" s="80"/>
      <c r="P1072" s="80"/>
      <c r="Q1072" s="80"/>
      <c r="R1072" s="80"/>
    </row>
    <row r="1073" ht="18" customHeight="1" spans="1:18">
      <c r="A1073" s="87" t="str">
        <f t="shared" si="48"/>
        <v/>
      </c>
      <c r="B1073" s="78"/>
      <c r="C1073" s="80"/>
      <c r="D1073" s="80"/>
      <c r="E1073" s="79"/>
      <c r="F1073" s="87" t="str">
        <f>IF($E1073="","",IFERROR(INDEX(基础资料!$O$4:$O$34,MATCH($E1073,基础资料!$N$4:$N$34,0))&amp;"",""))</f>
        <v/>
      </c>
      <c r="G1073" s="87" t="str">
        <f>IF($E1073="","",IFERROR(INDEX(基础资料!$P$4:$P$34,MATCH($E1073,基础资料!$N$4:$N$34,0))&amp;"",""))</f>
        <v/>
      </c>
      <c r="H1073" s="79"/>
      <c r="I1073" s="88"/>
      <c r="J1073" s="92"/>
      <c r="K1073" s="93"/>
      <c r="L1073" s="25" t="str">
        <f t="shared" si="49"/>
        <v/>
      </c>
      <c r="M1073" s="94"/>
      <c r="N1073" s="26" t="str">
        <f t="shared" si="50"/>
        <v/>
      </c>
      <c r="O1073" s="80"/>
      <c r="P1073" s="80"/>
      <c r="Q1073" s="80"/>
      <c r="R1073" s="80"/>
    </row>
    <row r="1074" ht="18" customHeight="1" spans="1:18">
      <c r="A1074" s="87" t="str">
        <f t="shared" si="48"/>
        <v/>
      </c>
      <c r="B1074" s="78"/>
      <c r="C1074" s="80"/>
      <c r="D1074" s="80"/>
      <c r="E1074" s="79"/>
      <c r="F1074" s="87" t="str">
        <f>IF($E1074="","",IFERROR(INDEX(基础资料!$O$4:$O$34,MATCH($E1074,基础资料!$N$4:$N$34,0))&amp;"",""))</f>
        <v/>
      </c>
      <c r="G1074" s="87" t="str">
        <f>IF($E1074="","",IFERROR(INDEX(基础资料!$P$4:$P$34,MATCH($E1074,基础资料!$N$4:$N$34,0))&amp;"",""))</f>
        <v/>
      </c>
      <c r="H1074" s="79"/>
      <c r="I1074" s="88"/>
      <c r="J1074" s="92"/>
      <c r="K1074" s="93"/>
      <c r="L1074" s="25" t="str">
        <f t="shared" si="49"/>
        <v/>
      </c>
      <c r="M1074" s="94"/>
      <c r="N1074" s="26" t="str">
        <f t="shared" si="50"/>
        <v/>
      </c>
      <c r="O1074" s="80"/>
      <c r="P1074" s="80"/>
      <c r="Q1074" s="80"/>
      <c r="R1074" s="80"/>
    </row>
    <row r="1075" ht="18" customHeight="1" spans="1:18">
      <c r="A1075" s="87" t="str">
        <f t="shared" si="48"/>
        <v/>
      </c>
      <c r="B1075" s="78"/>
      <c r="C1075" s="80"/>
      <c r="D1075" s="80"/>
      <c r="E1075" s="79"/>
      <c r="F1075" s="87" t="str">
        <f>IF($E1075="","",IFERROR(INDEX(基础资料!$O$4:$O$34,MATCH($E1075,基础资料!$N$4:$N$34,0))&amp;"",""))</f>
        <v/>
      </c>
      <c r="G1075" s="87" t="str">
        <f>IF($E1075="","",IFERROR(INDEX(基础资料!$P$4:$P$34,MATCH($E1075,基础资料!$N$4:$N$34,0))&amp;"",""))</f>
        <v/>
      </c>
      <c r="H1075" s="79"/>
      <c r="I1075" s="88"/>
      <c r="J1075" s="92"/>
      <c r="K1075" s="93"/>
      <c r="L1075" s="25" t="str">
        <f t="shared" si="49"/>
        <v/>
      </c>
      <c r="M1075" s="94"/>
      <c r="N1075" s="26" t="str">
        <f t="shared" si="50"/>
        <v/>
      </c>
      <c r="O1075" s="80"/>
      <c r="P1075" s="80"/>
      <c r="Q1075" s="80"/>
      <c r="R1075" s="80"/>
    </row>
    <row r="1076" ht="18" customHeight="1" spans="1:18">
      <c r="A1076" s="87" t="str">
        <f t="shared" si="48"/>
        <v/>
      </c>
      <c r="B1076" s="78"/>
      <c r="C1076" s="80"/>
      <c r="D1076" s="80"/>
      <c r="E1076" s="79"/>
      <c r="F1076" s="87" t="str">
        <f>IF($E1076="","",IFERROR(INDEX(基础资料!$O$4:$O$34,MATCH($E1076,基础资料!$N$4:$N$34,0))&amp;"",""))</f>
        <v/>
      </c>
      <c r="G1076" s="87" t="str">
        <f>IF($E1076="","",IFERROR(INDEX(基础资料!$P$4:$P$34,MATCH($E1076,基础资料!$N$4:$N$34,0))&amp;"",""))</f>
        <v/>
      </c>
      <c r="H1076" s="79"/>
      <c r="I1076" s="88"/>
      <c r="J1076" s="92"/>
      <c r="K1076" s="93"/>
      <c r="L1076" s="25" t="str">
        <f t="shared" si="49"/>
        <v/>
      </c>
      <c r="M1076" s="94"/>
      <c r="N1076" s="26" t="str">
        <f t="shared" si="50"/>
        <v/>
      </c>
      <c r="O1076" s="80"/>
      <c r="P1076" s="80"/>
      <c r="Q1076" s="80"/>
      <c r="R1076" s="80"/>
    </row>
    <row r="1077" ht="18" customHeight="1" spans="1:18">
      <c r="A1077" s="87" t="str">
        <f t="shared" si="48"/>
        <v/>
      </c>
      <c r="B1077" s="78"/>
      <c r="C1077" s="80"/>
      <c r="D1077" s="80"/>
      <c r="E1077" s="79"/>
      <c r="F1077" s="87" t="str">
        <f>IF($E1077="","",IFERROR(INDEX(基础资料!$O$4:$O$34,MATCH($E1077,基础资料!$N$4:$N$34,0))&amp;"",""))</f>
        <v/>
      </c>
      <c r="G1077" s="87" t="str">
        <f>IF($E1077="","",IFERROR(INDEX(基础资料!$P$4:$P$34,MATCH($E1077,基础资料!$N$4:$N$34,0))&amp;"",""))</f>
        <v/>
      </c>
      <c r="H1077" s="79"/>
      <c r="I1077" s="88"/>
      <c r="J1077" s="92"/>
      <c r="K1077" s="93"/>
      <c r="L1077" s="25" t="str">
        <f t="shared" si="49"/>
        <v/>
      </c>
      <c r="M1077" s="94"/>
      <c r="N1077" s="26" t="str">
        <f t="shared" si="50"/>
        <v/>
      </c>
      <c r="O1077" s="80"/>
      <c r="P1077" s="80"/>
      <c r="Q1077" s="80"/>
      <c r="R1077" s="80"/>
    </row>
    <row r="1078" ht="18" customHeight="1" spans="1:18">
      <c r="A1078" s="87" t="str">
        <f t="shared" si="48"/>
        <v/>
      </c>
      <c r="B1078" s="78"/>
      <c r="C1078" s="80"/>
      <c r="D1078" s="80"/>
      <c r="E1078" s="79"/>
      <c r="F1078" s="87" t="str">
        <f>IF($E1078="","",IFERROR(INDEX(基础资料!$O$4:$O$34,MATCH($E1078,基础资料!$N$4:$N$34,0))&amp;"",""))</f>
        <v/>
      </c>
      <c r="G1078" s="87" t="str">
        <f>IF($E1078="","",IFERROR(INDEX(基础资料!$P$4:$P$34,MATCH($E1078,基础资料!$N$4:$N$34,0))&amp;"",""))</f>
        <v/>
      </c>
      <c r="H1078" s="79"/>
      <c r="I1078" s="88"/>
      <c r="J1078" s="92"/>
      <c r="K1078" s="93"/>
      <c r="L1078" s="25" t="str">
        <f t="shared" si="49"/>
        <v/>
      </c>
      <c r="M1078" s="94"/>
      <c r="N1078" s="26" t="str">
        <f t="shared" si="50"/>
        <v/>
      </c>
      <c r="O1078" s="80"/>
      <c r="P1078" s="80"/>
      <c r="Q1078" s="80"/>
      <c r="R1078" s="80"/>
    </row>
    <row r="1079" ht="18" customHeight="1" spans="1:18">
      <c r="A1079" s="87" t="str">
        <f t="shared" si="48"/>
        <v/>
      </c>
      <c r="B1079" s="78"/>
      <c r="C1079" s="80"/>
      <c r="D1079" s="80"/>
      <c r="E1079" s="79"/>
      <c r="F1079" s="87" t="str">
        <f>IF($E1079="","",IFERROR(INDEX(基础资料!$O$4:$O$34,MATCH($E1079,基础资料!$N$4:$N$34,0))&amp;"",""))</f>
        <v/>
      </c>
      <c r="G1079" s="87" t="str">
        <f>IF($E1079="","",IFERROR(INDEX(基础资料!$P$4:$P$34,MATCH($E1079,基础资料!$N$4:$N$34,0))&amp;"",""))</f>
        <v/>
      </c>
      <c r="H1079" s="79"/>
      <c r="I1079" s="88"/>
      <c r="J1079" s="92"/>
      <c r="K1079" s="93"/>
      <c r="L1079" s="25" t="str">
        <f t="shared" si="49"/>
        <v/>
      </c>
      <c r="M1079" s="94"/>
      <c r="N1079" s="26" t="str">
        <f t="shared" si="50"/>
        <v/>
      </c>
      <c r="O1079" s="80"/>
      <c r="P1079" s="80"/>
      <c r="Q1079" s="80"/>
      <c r="R1079" s="80"/>
    </row>
    <row r="1080" ht="18" customHeight="1" spans="1:18">
      <c r="A1080" s="87" t="str">
        <f t="shared" si="48"/>
        <v/>
      </c>
      <c r="B1080" s="78"/>
      <c r="C1080" s="80"/>
      <c r="D1080" s="80"/>
      <c r="E1080" s="79"/>
      <c r="F1080" s="87" t="str">
        <f>IF($E1080="","",IFERROR(INDEX(基础资料!$O$4:$O$34,MATCH($E1080,基础资料!$N$4:$N$34,0))&amp;"",""))</f>
        <v/>
      </c>
      <c r="G1080" s="87" t="str">
        <f>IF($E1080="","",IFERROR(INDEX(基础资料!$P$4:$P$34,MATCH($E1080,基础资料!$N$4:$N$34,0))&amp;"",""))</f>
        <v/>
      </c>
      <c r="H1080" s="79"/>
      <c r="I1080" s="88"/>
      <c r="J1080" s="92"/>
      <c r="K1080" s="93"/>
      <c r="L1080" s="25" t="str">
        <f t="shared" si="49"/>
        <v/>
      </c>
      <c r="M1080" s="94"/>
      <c r="N1080" s="26" t="str">
        <f t="shared" si="50"/>
        <v/>
      </c>
      <c r="O1080" s="80"/>
      <c r="P1080" s="80"/>
      <c r="Q1080" s="80"/>
      <c r="R1080" s="80"/>
    </row>
    <row r="1081" ht="18" customHeight="1" spans="1:18">
      <c r="A1081" s="87" t="str">
        <f t="shared" si="48"/>
        <v/>
      </c>
      <c r="B1081" s="78"/>
      <c r="C1081" s="80"/>
      <c r="D1081" s="80"/>
      <c r="E1081" s="79"/>
      <c r="F1081" s="87" t="str">
        <f>IF($E1081="","",IFERROR(INDEX(基础资料!$O$4:$O$34,MATCH($E1081,基础资料!$N$4:$N$34,0))&amp;"",""))</f>
        <v/>
      </c>
      <c r="G1081" s="87" t="str">
        <f>IF($E1081="","",IFERROR(INDEX(基础资料!$P$4:$P$34,MATCH($E1081,基础资料!$N$4:$N$34,0))&amp;"",""))</f>
        <v/>
      </c>
      <c r="H1081" s="79"/>
      <c r="I1081" s="88"/>
      <c r="J1081" s="92"/>
      <c r="K1081" s="93"/>
      <c r="L1081" s="25" t="str">
        <f t="shared" si="49"/>
        <v/>
      </c>
      <c r="M1081" s="94"/>
      <c r="N1081" s="26" t="str">
        <f t="shared" si="50"/>
        <v/>
      </c>
      <c r="O1081" s="80"/>
      <c r="P1081" s="80"/>
      <c r="Q1081" s="80"/>
      <c r="R1081" s="80"/>
    </row>
    <row r="1082" ht="18" customHeight="1" spans="1:18">
      <c r="A1082" s="87" t="str">
        <f t="shared" si="48"/>
        <v/>
      </c>
      <c r="B1082" s="78"/>
      <c r="C1082" s="80"/>
      <c r="D1082" s="80"/>
      <c r="E1082" s="79"/>
      <c r="F1082" s="87" t="str">
        <f>IF($E1082="","",IFERROR(INDEX(基础资料!$O$4:$O$34,MATCH($E1082,基础资料!$N$4:$N$34,0))&amp;"",""))</f>
        <v/>
      </c>
      <c r="G1082" s="87" t="str">
        <f>IF($E1082="","",IFERROR(INDEX(基础资料!$P$4:$P$34,MATCH($E1082,基础资料!$N$4:$N$34,0))&amp;"",""))</f>
        <v/>
      </c>
      <c r="H1082" s="79"/>
      <c r="I1082" s="88"/>
      <c r="J1082" s="92"/>
      <c r="K1082" s="93"/>
      <c r="L1082" s="25" t="str">
        <f t="shared" si="49"/>
        <v/>
      </c>
      <c r="M1082" s="94"/>
      <c r="N1082" s="26" t="str">
        <f t="shared" si="50"/>
        <v/>
      </c>
      <c r="O1082" s="80"/>
      <c r="P1082" s="80"/>
      <c r="Q1082" s="80"/>
      <c r="R1082" s="80"/>
    </row>
    <row r="1083" ht="18" customHeight="1" spans="1:18">
      <c r="A1083" s="87" t="str">
        <f t="shared" si="48"/>
        <v/>
      </c>
      <c r="B1083" s="78"/>
      <c r="C1083" s="80"/>
      <c r="D1083" s="80"/>
      <c r="E1083" s="79"/>
      <c r="F1083" s="87" t="str">
        <f>IF($E1083="","",IFERROR(INDEX(基础资料!$O$4:$O$34,MATCH($E1083,基础资料!$N$4:$N$34,0))&amp;"",""))</f>
        <v/>
      </c>
      <c r="G1083" s="87" t="str">
        <f>IF($E1083="","",IFERROR(INDEX(基础资料!$P$4:$P$34,MATCH($E1083,基础资料!$N$4:$N$34,0))&amp;"",""))</f>
        <v/>
      </c>
      <c r="H1083" s="79"/>
      <c r="I1083" s="88"/>
      <c r="J1083" s="92"/>
      <c r="K1083" s="93"/>
      <c r="L1083" s="25" t="str">
        <f t="shared" si="49"/>
        <v/>
      </c>
      <c r="M1083" s="94"/>
      <c r="N1083" s="26" t="str">
        <f t="shared" si="50"/>
        <v/>
      </c>
      <c r="O1083" s="80"/>
      <c r="P1083" s="80"/>
      <c r="Q1083" s="80"/>
      <c r="R1083" s="80"/>
    </row>
    <row r="1084" ht="18" customHeight="1" spans="1:18">
      <c r="A1084" s="87" t="str">
        <f t="shared" si="48"/>
        <v/>
      </c>
      <c r="B1084" s="78"/>
      <c r="C1084" s="80"/>
      <c r="D1084" s="80"/>
      <c r="E1084" s="79"/>
      <c r="F1084" s="87" t="str">
        <f>IF($E1084="","",IFERROR(INDEX(基础资料!$O$4:$O$34,MATCH($E1084,基础资料!$N$4:$N$34,0))&amp;"",""))</f>
        <v/>
      </c>
      <c r="G1084" s="87" t="str">
        <f>IF($E1084="","",IFERROR(INDEX(基础资料!$P$4:$P$34,MATCH($E1084,基础资料!$N$4:$N$34,0))&amp;"",""))</f>
        <v/>
      </c>
      <c r="H1084" s="79"/>
      <c r="I1084" s="88"/>
      <c r="J1084" s="92"/>
      <c r="K1084" s="93"/>
      <c r="L1084" s="25" t="str">
        <f t="shared" si="49"/>
        <v/>
      </c>
      <c r="M1084" s="94"/>
      <c r="N1084" s="26" t="str">
        <f t="shared" si="50"/>
        <v/>
      </c>
      <c r="O1084" s="80"/>
      <c r="P1084" s="80"/>
      <c r="Q1084" s="80"/>
      <c r="R1084" s="80"/>
    </row>
    <row r="1085" ht="18" customHeight="1" spans="1:18">
      <c r="A1085" s="87" t="str">
        <f t="shared" si="48"/>
        <v/>
      </c>
      <c r="B1085" s="78"/>
      <c r="C1085" s="80"/>
      <c r="D1085" s="80"/>
      <c r="E1085" s="79"/>
      <c r="F1085" s="87" t="str">
        <f>IF($E1085="","",IFERROR(INDEX(基础资料!$O$4:$O$34,MATCH($E1085,基础资料!$N$4:$N$34,0))&amp;"",""))</f>
        <v/>
      </c>
      <c r="G1085" s="87" t="str">
        <f>IF($E1085="","",IFERROR(INDEX(基础资料!$P$4:$P$34,MATCH($E1085,基础资料!$N$4:$N$34,0))&amp;"",""))</f>
        <v/>
      </c>
      <c r="H1085" s="79"/>
      <c r="I1085" s="88"/>
      <c r="J1085" s="92"/>
      <c r="K1085" s="93"/>
      <c r="L1085" s="25" t="str">
        <f t="shared" si="49"/>
        <v/>
      </c>
      <c r="M1085" s="94"/>
      <c r="N1085" s="26" t="str">
        <f t="shared" si="50"/>
        <v/>
      </c>
      <c r="O1085" s="80"/>
      <c r="P1085" s="80"/>
      <c r="Q1085" s="80"/>
      <c r="R1085" s="80"/>
    </row>
    <row r="1086" ht="18" customHeight="1" spans="1:18">
      <c r="A1086" s="87" t="str">
        <f t="shared" si="48"/>
        <v/>
      </c>
      <c r="B1086" s="78"/>
      <c r="C1086" s="80"/>
      <c r="D1086" s="80"/>
      <c r="E1086" s="79"/>
      <c r="F1086" s="87" t="str">
        <f>IF($E1086="","",IFERROR(INDEX(基础资料!$O$4:$O$34,MATCH($E1086,基础资料!$N$4:$N$34,0))&amp;"",""))</f>
        <v/>
      </c>
      <c r="G1086" s="87" t="str">
        <f>IF($E1086="","",IFERROR(INDEX(基础资料!$P$4:$P$34,MATCH($E1086,基础资料!$N$4:$N$34,0))&amp;"",""))</f>
        <v/>
      </c>
      <c r="H1086" s="79"/>
      <c r="I1086" s="88"/>
      <c r="J1086" s="92"/>
      <c r="K1086" s="93"/>
      <c r="L1086" s="25" t="str">
        <f t="shared" si="49"/>
        <v/>
      </c>
      <c r="M1086" s="94"/>
      <c r="N1086" s="26" t="str">
        <f t="shared" si="50"/>
        <v/>
      </c>
      <c r="O1086" s="80"/>
      <c r="P1086" s="80"/>
      <c r="Q1086" s="80"/>
      <c r="R1086" s="80"/>
    </row>
    <row r="1087" ht="18" customHeight="1" spans="1:18">
      <c r="A1087" s="87" t="str">
        <f t="shared" si="48"/>
        <v/>
      </c>
      <c r="B1087" s="78"/>
      <c r="C1087" s="80"/>
      <c r="D1087" s="80"/>
      <c r="E1087" s="79"/>
      <c r="F1087" s="87" t="str">
        <f>IF($E1087="","",IFERROR(INDEX(基础资料!$O$4:$O$34,MATCH($E1087,基础资料!$N$4:$N$34,0))&amp;"",""))</f>
        <v/>
      </c>
      <c r="G1087" s="87" t="str">
        <f>IF($E1087="","",IFERROR(INDEX(基础资料!$P$4:$P$34,MATCH($E1087,基础资料!$N$4:$N$34,0))&amp;"",""))</f>
        <v/>
      </c>
      <c r="H1087" s="79"/>
      <c r="I1087" s="88"/>
      <c r="J1087" s="92"/>
      <c r="K1087" s="93"/>
      <c r="L1087" s="25" t="str">
        <f t="shared" si="49"/>
        <v/>
      </c>
      <c r="M1087" s="94"/>
      <c r="N1087" s="26" t="str">
        <f t="shared" si="50"/>
        <v/>
      </c>
      <c r="O1087" s="80"/>
      <c r="P1087" s="80"/>
      <c r="Q1087" s="80"/>
      <c r="R1087" s="80"/>
    </row>
    <row r="1088" ht="18" customHeight="1" spans="1:18">
      <c r="A1088" s="87" t="str">
        <f t="shared" si="48"/>
        <v/>
      </c>
      <c r="B1088" s="78"/>
      <c r="C1088" s="80"/>
      <c r="D1088" s="80"/>
      <c r="E1088" s="79"/>
      <c r="F1088" s="87" t="str">
        <f>IF($E1088="","",IFERROR(INDEX(基础资料!$O$4:$O$34,MATCH($E1088,基础资料!$N$4:$N$34,0))&amp;"",""))</f>
        <v/>
      </c>
      <c r="G1088" s="87" t="str">
        <f>IF($E1088="","",IFERROR(INDEX(基础资料!$P$4:$P$34,MATCH($E1088,基础资料!$N$4:$N$34,0))&amp;"",""))</f>
        <v/>
      </c>
      <c r="H1088" s="79"/>
      <c r="I1088" s="88"/>
      <c r="J1088" s="92"/>
      <c r="K1088" s="93"/>
      <c r="L1088" s="25" t="str">
        <f t="shared" si="49"/>
        <v/>
      </c>
      <c r="M1088" s="94"/>
      <c r="N1088" s="26" t="str">
        <f t="shared" si="50"/>
        <v/>
      </c>
      <c r="O1088" s="80"/>
      <c r="P1088" s="80"/>
      <c r="Q1088" s="80"/>
      <c r="R1088" s="80"/>
    </row>
    <row r="1089" ht="18" customHeight="1" spans="1:18">
      <c r="A1089" s="87" t="str">
        <f t="shared" si="48"/>
        <v/>
      </c>
      <c r="B1089" s="78"/>
      <c r="C1089" s="80"/>
      <c r="D1089" s="80"/>
      <c r="E1089" s="79"/>
      <c r="F1089" s="87" t="str">
        <f>IF($E1089="","",IFERROR(INDEX(基础资料!$O$4:$O$34,MATCH($E1089,基础资料!$N$4:$N$34,0))&amp;"",""))</f>
        <v/>
      </c>
      <c r="G1089" s="87" t="str">
        <f>IF($E1089="","",IFERROR(INDEX(基础资料!$P$4:$P$34,MATCH($E1089,基础资料!$N$4:$N$34,0))&amp;"",""))</f>
        <v/>
      </c>
      <c r="H1089" s="79"/>
      <c r="I1089" s="88"/>
      <c r="J1089" s="92"/>
      <c r="K1089" s="93"/>
      <c r="L1089" s="25" t="str">
        <f t="shared" si="49"/>
        <v/>
      </c>
      <c r="M1089" s="94"/>
      <c r="N1089" s="26" t="str">
        <f t="shared" si="50"/>
        <v/>
      </c>
      <c r="O1089" s="80"/>
      <c r="P1089" s="80"/>
      <c r="Q1089" s="80"/>
      <c r="R1089" s="80"/>
    </row>
    <row r="1090" ht="18" customHeight="1" spans="1:18">
      <c r="A1090" s="87" t="str">
        <f t="shared" si="48"/>
        <v/>
      </c>
      <c r="B1090" s="78"/>
      <c r="C1090" s="80"/>
      <c r="D1090" s="80"/>
      <c r="E1090" s="79"/>
      <c r="F1090" s="87" t="str">
        <f>IF($E1090="","",IFERROR(INDEX(基础资料!$O$4:$O$34,MATCH($E1090,基础资料!$N$4:$N$34,0))&amp;"",""))</f>
        <v/>
      </c>
      <c r="G1090" s="87" t="str">
        <f>IF($E1090="","",IFERROR(INDEX(基础资料!$P$4:$P$34,MATCH($E1090,基础资料!$N$4:$N$34,0))&amp;"",""))</f>
        <v/>
      </c>
      <c r="H1090" s="79"/>
      <c r="I1090" s="88"/>
      <c r="J1090" s="92"/>
      <c r="K1090" s="93"/>
      <c r="L1090" s="25" t="str">
        <f t="shared" si="49"/>
        <v/>
      </c>
      <c r="M1090" s="94"/>
      <c r="N1090" s="26" t="str">
        <f t="shared" si="50"/>
        <v/>
      </c>
      <c r="O1090" s="80"/>
      <c r="P1090" s="80"/>
      <c r="Q1090" s="80"/>
      <c r="R1090" s="80"/>
    </row>
    <row r="1091" ht="18" customHeight="1" spans="1:18">
      <c r="A1091" s="87" t="str">
        <f t="shared" si="48"/>
        <v/>
      </c>
      <c r="B1091" s="78"/>
      <c r="C1091" s="80"/>
      <c r="D1091" s="80"/>
      <c r="E1091" s="79"/>
      <c r="F1091" s="87" t="str">
        <f>IF($E1091="","",IFERROR(INDEX(基础资料!$O$4:$O$34,MATCH($E1091,基础资料!$N$4:$N$34,0))&amp;"",""))</f>
        <v/>
      </c>
      <c r="G1091" s="87" t="str">
        <f>IF($E1091="","",IFERROR(INDEX(基础资料!$P$4:$P$34,MATCH($E1091,基础资料!$N$4:$N$34,0))&amp;"",""))</f>
        <v/>
      </c>
      <c r="H1091" s="79"/>
      <c r="I1091" s="88"/>
      <c r="J1091" s="92"/>
      <c r="K1091" s="93"/>
      <c r="L1091" s="25" t="str">
        <f t="shared" si="49"/>
        <v/>
      </c>
      <c r="M1091" s="94"/>
      <c r="N1091" s="26" t="str">
        <f t="shared" si="50"/>
        <v/>
      </c>
      <c r="O1091" s="80"/>
      <c r="P1091" s="80"/>
      <c r="Q1091" s="80"/>
      <c r="R1091" s="80"/>
    </row>
    <row r="1092" ht="18" customHeight="1" spans="1:18">
      <c r="A1092" s="87" t="str">
        <f t="shared" ref="A1092:A1155" si="51">IF($E1092="","",ROW()-3)</f>
        <v/>
      </c>
      <c r="B1092" s="78"/>
      <c r="C1092" s="80"/>
      <c r="D1092" s="80"/>
      <c r="E1092" s="79"/>
      <c r="F1092" s="87" t="str">
        <f>IF($E1092="","",IFERROR(INDEX(基础资料!$O$4:$O$34,MATCH($E1092,基础资料!$N$4:$N$34,0))&amp;"",""))</f>
        <v/>
      </c>
      <c r="G1092" s="87" t="str">
        <f>IF($E1092="","",IFERROR(INDEX(基础资料!$P$4:$P$34,MATCH($E1092,基础资料!$N$4:$N$34,0))&amp;"",""))</f>
        <v/>
      </c>
      <c r="H1092" s="79"/>
      <c r="I1092" s="88"/>
      <c r="J1092" s="92"/>
      <c r="K1092" s="93"/>
      <c r="L1092" s="25" t="str">
        <f t="shared" ref="L1092:L1155" si="52">IF($E1092="","",N($I1092)+N($J1092)-N($K1092))</f>
        <v/>
      </c>
      <c r="M1092" s="94"/>
      <c r="N1092" s="26" t="str">
        <f t="shared" ref="N1092:N1155" si="53">IF($E1092="","",ROUND(N($L1092)*N($M1092),2))</f>
        <v/>
      </c>
      <c r="O1092" s="80"/>
      <c r="P1092" s="80"/>
      <c r="Q1092" s="80"/>
      <c r="R1092" s="80"/>
    </row>
    <row r="1093" ht="18" customHeight="1" spans="1:18">
      <c r="A1093" s="87" t="str">
        <f t="shared" si="51"/>
        <v/>
      </c>
      <c r="B1093" s="78"/>
      <c r="C1093" s="80"/>
      <c r="D1093" s="80"/>
      <c r="E1093" s="79"/>
      <c r="F1093" s="87" t="str">
        <f>IF($E1093="","",IFERROR(INDEX(基础资料!$O$4:$O$34,MATCH($E1093,基础资料!$N$4:$N$34,0))&amp;"",""))</f>
        <v/>
      </c>
      <c r="G1093" s="87" t="str">
        <f>IF($E1093="","",IFERROR(INDEX(基础资料!$P$4:$P$34,MATCH($E1093,基础资料!$N$4:$N$34,0))&amp;"",""))</f>
        <v/>
      </c>
      <c r="H1093" s="79"/>
      <c r="I1093" s="88"/>
      <c r="J1093" s="92"/>
      <c r="K1093" s="93"/>
      <c r="L1093" s="25" t="str">
        <f t="shared" si="52"/>
        <v/>
      </c>
      <c r="M1093" s="94"/>
      <c r="N1093" s="26" t="str">
        <f t="shared" si="53"/>
        <v/>
      </c>
      <c r="O1093" s="80"/>
      <c r="P1093" s="80"/>
      <c r="Q1093" s="80"/>
      <c r="R1093" s="80"/>
    </row>
    <row r="1094" ht="18" customHeight="1" spans="1:18">
      <c r="A1094" s="87" t="str">
        <f t="shared" si="51"/>
        <v/>
      </c>
      <c r="B1094" s="78"/>
      <c r="C1094" s="80"/>
      <c r="D1094" s="80"/>
      <c r="E1094" s="79"/>
      <c r="F1094" s="87" t="str">
        <f>IF($E1094="","",IFERROR(INDEX(基础资料!$O$4:$O$34,MATCH($E1094,基础资料!$N$4:$N$34,0))&amp;"",""))</f>
        <v/>
      </c>
      <c r="G1094" s="87" t="str">
        <f>IF($E1094="","",IFERROR(INDEX(基础资料!$P$4:$P$34,MATCH($E1094,基础资料!$N$4:$N$34,0))&amp;"",""))</f>
        <v/>
      </c>
      <c r="H1094" s="79"/>
      <c r="I1094" s="88"/>
      <c r="J1094" s="92"/>
      <c r="K1094" s="93"/>
      <c r="L1094" s="25" t="str">
        <f t="shared" si="52"/>
        <v/>
      </c>
      <c r="M1094" s="94"/>
      <c r="N1094" s="26" t="str">
        <f t="shared" si="53"/>
        <v/>
      </c>
      <c r="O1094" s="80"/>
      <c r="P1094" s="80"/>
      <c r="Q1094" s="80"/>
      <c r="R1094" s="80"/>
    </row>
    <row r="1095" ht="18" customHeight="1" spans="1:18">
      <c r="A1095" s="87" t="str">
        <f t="shared" si="51"/>
        <v/>
      </c>
      <c r="B1095" s="78"/>
      <c r="C1095" s="80"/>
      <c r="D1095" s="80"/>
      <c r="E1095" s="79"/>
      <c r="F1095" s="87" t="str">
        <f>IF($E1095="","",IFERROR(INDEX(基础资料!$O$4:$O$34,MATCH($E1095,基础资料!$N$4:$N$34,0))&amp;"",""))</f>
        <v/>
      </c>
      <c r="G1095" s="87" t="str">
        <f>IF($E1095="","",IFERROR(INDEX(基础资料!$P$4:$P$34,MATCH($E1095,基础资料!$N$4:$N$34,0))&amp;"",""))</f>
        <v/>
      </c>
      <c r="H1095" s="79"/>
      <c r="I1095" s="88"/>
      <c r="J1095" s="92"/>
      <c r="K1095" s="93"/>
      <c r="L1095" s="25" t="str">
        <f t="shared" si="52"/>
        <v/>
      </c>
      <c r="M1095" s="94"/>
      <c r="N1095" s="26" t="str">
        <f t="shared" si="53"/>
        <v/>
      </c>
      <c r="O1095" s="80"/>
      <c r="P1095" s="80"/>
      <c r="Q1095" s="80"/>
      <c r="R1095" s="80"/>
    </row>
    <row r="1096" ht="18" customHeight="1" spans="1:18">
      <c r="A1096" s="87" t="str">
        <f t="shared" si="51"/>
        <v/>
      </c>
      <c r="B1096" s="78"/>
      <c r="C1096" s="80"/>
      <c r="D1096" s="80"/>
      <c r="E1096" s="79"/>
      <c r="F1096" s="87" t="str">
        <f>IF($E1096="","",IFERROR(INDEX(基础资料!$O$4:$O$34,MATCH($E1096,基础资料!$N$4:$N$34,0))&amp;"",""))</f>
        <v/>
      </c>
      <c r="G1096" s="87" t="str">
        <f>IF($E1096="","",IFERROR(INDEX(基础资料!$P$4:$P$34,MATCH($E1096,基础资料!$N$4:$N$34,0))&amp;"",""))</f>
        <v/>
      </c>
      <c r="H1096" s="79"/>
      <c r="I1096" s="88"/>
      <c r="J1096" s="92"/>
      <c r="K1096" s="93"/>
      <c r="L1096" s="25" t="str">
        <f t="shared" si="52"/>
        <v/>
      </c>
      <c r="M1096" s="94"/>
      <c r="N1096" s="26" t="str">
        <f t="shared" si="53"/>
        <v/>
      </c>
      <c r="O1096" s="80"/>
      <c r="P1096" s="80"/>
      <c r="Q1096" s="80"/>
      <c r="R1096" s="80"/>
    </row>
    <row r="1097" ht="18" customHeight="1" spans="1:18">
      <c r="A1097" s="87" t="str">
        <f t="shared" si="51"/>
        <v/>
      </c>
      <c r="B1097" s="78"/>
      <c r="C1097" s="80"/>
      <c r="D1097" s="80"/>
      <c r="E1097" s="79"/>
      <c r="F1097" s="87" t="str">
        <f>IF($E1097="","",IFERROR(INDEX(基础资料!$O$4:$O$34,MATCH($E1097,基础资料!$N$4:$N$34,0))&amp;"",""))</f>
        <v/>
      </c>
      <c r="G1097" s="87" t="str">
        <f>IF($E1097="","",IFERROR(INDEX(基础资料!$P$4:$P$34,MATCH($E1097,基础资料!$N$4:$N$34,0))&amp;"",""))</f>
        <v/>
      </c>
      <c r="H1097" s="79"/>
      <c r="I1097" s="88"/>
      <c r="J1097" s="92"/>
      <c r="K1097" s="93"/>
      <c r="L1097" s="25" t="str">
        <f t="shared" si="52"/>
        <v/>
      </c>
      <c r="M1097" s="94"/>
      <c r="N1097" s="26" t="str">
        <f t="shared" si="53"/>
        <v/>
      </c>
      <c r="O1097" s="80"/>
      <c r="P1097" s="80"/>
      <c r="Q1097" s="80"/>
      <c r="R1097" s="80"/>
    </row>
    <row r="1098" ht="18" customHeight="1" spans="1:18">
      <c r="A1098" s="87" t="str">
        <f t="shared" si="51"/>
        <v/>
      </c>
      <c r="B1098" s="78"/>
      <c r="C1098" s="80"/>
      <c r="D1098" s="80"/>
      <c r="E1098" s="79"/>
      <c r="F1098" s="87" t="str">
        <f>IF($E1098="","",IFERROR(INDEX(基础资料!$O$4:$O$34,MATCH($E1098,基础资料!$N$4:$N$34,0))&amp;"",""))</f>
        <v/>
      </c>
      <c r="G1098" s="87" t="str">
        <f>IF($E1098="","",IFERROR(INDEX(基础资料!$P$4:$P$34,MATCH($E1098,基础资料!$N$4:$N$34,0))&amp;"",""))</f>
        <v/>
      </c>
      <c r="H1098" s="79"/>
      <c r="I1098" s="88"/>
      <c r="J1098" s="92"/>
      <c r="K1098" s="93"/>
      <c r="L1098" s="25" t="str">
        <f t="shared" si="52"/>
        <v/>
      </c>
      <c r="M1098" s="94"/>
      <c r="N1098" s="26" t="str">
        <f t="shared" si="53"/>
        <v/>
      </c>
      <c r="O1098" s="80"/>
      <c r="P1098" s="80"/>
      <c r="Q1098" s="80"/>
      <c r="R1098" s="80"/>
    </row>
    <row r="1099" ht="18" customHeight="1" spans="1:18">
      <c r="A1099" s="87" t="str">
        <f t="shared" si="51"/>
        <v/>
      </c>
      <c r="B1099" s="78"/>
      <c r="C1099" s="80"/>
      <c r="D1099" s="80"/>
      <c r="E1099" s="79"/>
      <c r="F1099" s="87" t="str">
        <f>IF($E1099="","",IFERROR(INDEX(基础资料!$O$4:$O$34,MATCH($E1099,基础资料!$N$4:$N$34,0))&amp;"",""))</f>
        <v/>
      </c>
      <c r="G1099" s="87" t="str">
        <f>IF($E1099="","",IFERROR(INDEX(基础资料!$P$4:$P$34,MATCH($E1099,基础资料!$N$4:$N$34,0))&amp;"",""))</f>
        <v/>
      </c>
      <c r="H1099" s="79"/>
      <c r="I1099" s="88"/>
      <c r="J1099" s="92"/>
      <c r="K1099" s="93"/>
      <c r="L1099" s="25" t="str">
        <f t="shared" si="52"/>
        <v/>
      </c>
      <c r="M1099" s="94"/>
      <c r="N1099" s="26" t="str">
        <f t="shared" si="53"/>
        <v/>
      </c>
      <c r="O1099" s="80"/>
      <c r="P1099" s="80"/>
      <c r="Q1099" s="80"/>
      <c r="R1099" s="80"/>
    </row>
    <row r="1100" ht="18" customHeight="1" spans="1:18">
      <c r="A1100" s="87" t="str">
        <f t="shared" si="51"/>
        <v/>
      </c>
      <c r="B1100" s="78"/>
      <c r="C1100" s="80"/>
      <c r="D1100" s="80"/>
      <c r="E1100" s="79"/>
      <c r="F1100" s="87" t="str">
        <f>IF($E1100="","",IFERROR(INDEX(基础资料!$O$4:$O$34,MATCH($E1100,基础资料!$N$4:$N$34,0))&amp;"",""))</f>
        <v/>
      </c>
      <c r="G1100" s="87" t="str">
        <f>IF($E1100="","",IFERROR(INDEX(基础资料!$P$4:$P$34,MATCH($E1100,基础资料!$N$4:$N$34,0))&amp;"",""))</f>
        <v/>
      </c>
      <c r="H1100" s="79"/>
      <c r="I1100" s="88"/>
      <c r="J1100" s="92"/>
      <c r="K1100" s="93"/>
      <c r="L1100" s="25" t="str">
        <f t="shared" si="52"/>
        <v/>
      </c>
      <c r="M1100" s="94"/>
      <c r="N1100" s="26" t="str">
        <f t="shared" si="53"/>
        <v/>
      </c>
      <c r="O1100" s="80"/>
      <c r="P1100" s="80"/>
      <c r="Q1100" s="80"/>
      <c r="R1100" s="80"/>
    </row>
    <row r="1101" ht="18" customHeight="1" spans="1:18">
      <c r="A1101" s="87" t="str">
        <f t="shared" si="51"/>
        <v/>
      </c>
      <c r="B1101" s="78"/>
      <c r="C1101" s="80"/>
      <c r="D1101" s="80"/>
      <c r="E1101" s="79"/>
      <c r="F1101" s="87" t="str">
        <f>IF($E1101="","",IFERROR(INDEX(基础资料!$O$4:$O$34,MATCH($E1101,基础资料!$N$4:$N$34,0))&amp;"",""))</f>
        <v/>
      </c>
      <c r="G1101" s="87" t="str">
        <f>IF($E1101="","",IFERROR(INDEX(基础资料!$P$4:$P$34,MATCH($E1101,基础资料!$N$4:$N$34,0))&amp;"",""))</f>
        <v/>
      </c>
      <c r="H1101" s="79"/>
      <c r="I1101" s="88"/>
      <c r="J1101" s="92"/>
      <c r="K1101" s="93"/>
      <c r="L1101" s="25" t="str">
        <f t="shared" si="52"/>
        <v/>
      </c>
      <c r="M1101" s="94"/>
      <c r="N1101" s="26" t="str">
        <f t="shared" si="53"/>
        <v/>
      </c>
      <c r="O1101" s="80"/>
      <c r="P1101" s="80"/>
      <c r="Q1101" s="80"/>
      <c r="R1101" s="80"/>
    </row>
    <row r="1102" ht="18" customHeight="1" spans="1:18">
      <c r="A1102" s="87" t="str">
        <f t="shared" si="51"/>
        <v/>
      </c>
      <c r="B1102" s="78"/>
      <c r="C1102" s="80"/>
      <c r="D1102" s="80"/>
      <c r="E1102" s="79"/>
      <c r="F1102" s="87" t="str">
        <f>IF($E1102="","",IFERROR(INDEX(基础资料!$O$4:$O$34,MATCH($E1102,基础资料!$N$4:$N$34,0))&amp;"",""))</f>
        <v/>
      </c>
      <c r="G1102" s="87" t="str">
        <f>IF($E1102="","",IFERROR(INDEX(基础资料!$P$4:$P$34,MATCH($E1102,基础资料!$N$4:$N$34,0))&amp;"",""))</f>
        <v/>
      </c>
      <c r="H1102" s="79"/>
      <c r="I1102" s="88"/>
      <c r="J1102" s="92"/>
      <c r="K1102" s="93"/>
      <c r="L1102" s="25" t="str">
        <f t="shared" si="52"/>
        <v/>
      </c>
      <c r="M1102" s="94"/>
      <c r="N1102" s="26" t="str">
        <f t="shared" si="53"/>
        <v/>
      </c>
      <c r="O1102" s="80"/>
      <c r="P1102" s="80"/>
      <c r="Q1102" s="80"/>
      <c r="R1102" s="80"/>
    </row>
    <row r="1103" ht="18" customHeight="1" spans="1:18">
      <c r="A1103" s="87" t="str">
        <f t="shared" si="51"/>
        <v/>
      </c>
      <c r="B1103" s="78"/>
      <c r="C1103" s="80"/>
      <c r="D1103" s="80"/>
      <c r="E1103" s="79"/>
      <c r="F1103" s="87" t="str">
        <f>IF($E1103="","",IFERROR(INDEX(基础资料!$O$4:$O$34,MATCH($E1103,基础资料!$N$4:$N$34,0))&amp;"",""))</f>
        <v/>
      </c>
      <c r="G1103" s="87" t="str">
        <f>IF($E1103="","",IFERROR(INDEX(基础资料!$P$4:$P$34,MATCH($E1103,基础资料!$N$4:$N$34,0))&amp;"",""))</f>
        <v/>
      </c>
      <c r="H1103" s="79"/>
      <c r="I1103" s="88"/>
      <c r="J1103" s="92"/>
      <c r="K1103" s="93"/>
      <c r="L1103" s="25" t="str">
        <f t="shared" si="52"/>
        <v/>
      </c>
      <c r="M1103" s="94"/>
      <c r="N1103" s="26" t="str">
        <f t="shared" si="53"/>
        <v/>
      </c>
      <c r="O1103" s="80"/>
      <c r="P1103" s="80"/>
      <c r="Q1103" s="80"/>
      <c r="R1103" s="80"/>
    </row>
    <row r="1104" ht="18" customHeight="1" spans="1:18">
      <c r="A1104" s="87" t="str">
        <f t="shared" si="51"/>
        <v/>
      </c>
      <c r="B1104" s="78"/>
      <c r="C1104" s="80"/>
      <c r="D1104" s="80"/>
      <c r="E1104" s="79"/>
      <c r="F1104" s="87" t="str">
        <f>IF($E1104="","",IFERROR(INDEX(基础资料!$O$4:$O$34,MATCH($E1104,基础资料!$N$4:$N$34,0))&amp;"",""))</f>
        <v/>
      </c>
      <c r="G1104" s="87" t="str">
        <f>IF($E1104="","",IFERROR(INDEX(基础资料!$P$4:$P$34,MATCH($E1104,基础资料!$N$4:$N$34,0))&amp;"",""))</f>
        <v/>
      </c>
      <c r="H1104" s="79"/>
      <c r="I1104" s="88"/>
      <c r="J1104" s="92"/>
      <c r="K1104" s="93"/>
      <c r="L1104" s="25" t="str">
        <f t="shared" si="52"/>
        <v/>
      </c>
      <c r="M1104" s="94"/>
      <c r="N1104" s="26" t="str">
        <f t="shared" si="53"/>
        <v/>
      </c>
      <c r="O1104" s="80"/>
      <c r="P1104" s="80"/>
      <c r="Q1104" s="80"/>
      <c r="R1104" s="80"/>
    </row>
    <row r="1105" ht="18" customHeight="1" spans="1:18">
      <c r="A1105" s="87" t="str">
        <f t="shared" si="51"/>
        <v/>
      </c>
      <c r="B1105" s="78"/>
      <c r="C1105" s="80"/>
      <c r="D1105" s="80"/>
      <c r="E1105" s="79"/>
      <c r="F1105" s="87" t="str">
        <f>IF($E1105="","",IFERROR(INDEX(基础资料!$O$4:$O$34,MATCH($E1105,基础资料!$N$4:$N$34,0))&amp;"",""))</f>
        <v/>
      </c>
      <c r="G1105" s="87" t="str">
        <f>IF($E1105="","",IFERROR(INDEX(基础资料!$P$4:$P$34,MATCH($E1105,基础资料!$N$4:$N$34,0))&amp;"",""))</f>
        <v/>
      </c>
      <c r="H1105" s="79"/>
      <c r="I1105" s="88"/>
      <c r="J1105" s="92"/>
      <c r="K1105" s="93"/>
      <c r="L1105" s="25" t="str">
        <f t="shared" si="52"/>
        <v/>
      </c>
      <c r="M1105" s="94"/>
      <c r="N1105" s="26" t="str">
        <f t="shared" si="53"/>
        <v/>
      </c>
      <c r="O1105" s="80"/>
      <c r="P1105" s="80"/>
      <c r="Q1105" s="80"/>
      <c r="R1105" s="80"/>
    </row>
    <row r="1106" ht="18" customHeight="1" spans="1:18">
      <c r="A1106" s="87" t="str">
        <f t="shared" si="51"/>
        <v/>
      </c>
      <c r="B1106" s="78"/>
      <c r="C1106" s="80"/>
      <c r="D1106" s="80"/>
      <c r="E1106" s="79"/>
      <c r="F1106" s="87" t="str">
        <f>IF($E1106="","",IFERROR(INDEX(基础资料!$O$4:$O$34,MATCH($E1106,基础资料!$N$4:$N$34,0))&amp;"",""))</f>
        <v/>
      </c>
      <c r="G1106" s="87" t="str">
        <f>IF($E1106="","",IFERROR(INDEX(基础资料!$P$4:$P$34,MATCH($E1106,基础资料!$N$4:$N$34,0))&amp;"",""))</f>
        <v/>
      </c>
      <c r="H1106" s="79"/>
      <c r="I1106" s="88"/>
      <c r="J1106" s="92"/>
      <c r="K1106" s="93"/>
      <c r="L1106" s="25" t="str">
        <f t="shared" si="52"/>
        <v/>
      </c>
      <c r="M1106" s="94"/>
      <c r="N1106" s="26" t="str">
        <f t="shared" si="53"/>
        <v/>
      </c>
      <c r="O1106" s="80"/>
      <c r="P1106" s="80"/>
      <c r="Q1106" s="80"/>
      <c r="R1106" s="80"/>
    </row>
    <row r="1107" ht="18" customHeight="1" spans="1:18">
      <c r="A1107" s="87" t="str">
        <f t="shared" si="51"/>
        <v/>
      </c>
      <c r="B1107" s="78"/>
      <c r="C1107" s="80"/>
      <c r="D1107" s="80"/>
      <c r="E1107" s="79"/>
      <c r="F1107" s="87" t="str">
        <f>IF($E1107="","",IFERROR(INDEX(基础资料!$O$4:$O$34,MATCH($E1107,基础资料!$N$4:$N$34,0))&amp;"",""))</f>
        <v/>
      </c>
      <c r="G1107" s="87" t="str">
        <f>IF($E1107="","",IFERROR(INDEX(基础资料!$P$4:$P$34,MATCH($E1107,基础资料!$N$4:$N$34,0))&amp;"",""))</f>
        <v/>
      </c>
      <c r="H1107" s="79"/>
      <c r="I1107" s="88"/>
      <c r="J1107" s="92"/>
      <c r="K1107" s="93"/>
      <c r="L1107" s="25" t="str">
        <f t="shared" si="52"/>
        <v/>
      </c>
      <c r="M1107" s="94"/>
      <c r="N1107" s="26" t="str">
        <f t="shared" si="53"/>
        <v/>
      </c>
      <c r="O1107" s="80"/>
      <c r="P1107" s="80"/>
      <c r="Q1107" s="80"/>
      <c r="R1107" s="80"/>
    </row>
    <row r="1108" ht="18" customHeight="1" spans="1:18">
      <c r="A1108" s="87" t="str">
        <f t="shared" si="51"/>
        <v/>
      </c>
      <c r="B1108" s="78"/>
      <c r="C1108" s="80"/>
      <c r="D1108" s="80"/>
      <c r="E1108" s="79"/>
      <c r="F1108" s="87" t="str">
        <f>IF($E1108="","",IFERROR(INDEX(基础资料!$O$4:$O$34,MATCH($E1108,基础资料!$N$4:$N$34,0))&amp;"",""))</f>
        <v/>
      </c>
      <c r="G1108" s="87" t="str">
        <f>IF($E1108="","",IFERROR(INDEX(基础资料!$P$4:$P$34,MATCH($E1108,基础资料!$N$4:$N$34,0))&amp;"",""))</f>
        <v/>
      </c>
      <c r="H1108" s="79"/>
      <c r="I1108" s="88"/>
      <c r="J1108" s="92"/>
      <c r="K1108" s="93"/>
      <c r="L1108" s="25" t="str">
        <f t="shared" si="52"/>
        <v/>
      </c>
      <c r="M1108" s="94"/>
      <c r="N1108" s="26" t="str">
        <f t="shared" si="53"/>
        <v/>
      </c>
      <c r="O1108" s="80"/>
      <c r="P1108" s="80"/>
      <c r="Q1108" s="80"/>
      <c r="R1108" s="80"/>
    </row>
    <row r="1109" ht="18" customHeight="1" spans="1:18">
      <c r="A1109" s="87" t="str">
        <f t="shared" si="51"/>
        <v/>
      </c>
      <c r="B1109" s="78"/>
      <c r="C1109" s="80"/>
      <c r="D1109" s="80"/>
      <c r="E1109" s="79"/>
      <c r="F1109" s="87" t="str">
        <f>IF($E1109="","",IFERROR(INDEX(基础资料!$O$4:$O$34,MATCH($E1109,基础资料!$N$4:$N$34,0))&amp;"",""))</f>
        <v/>
      </c>
      <c r="G1109" s="87" t="str">
        <f>IF($E1109="","",IFERROR(INDEX(基础资料!$P$4:$P$34,MATCH($E1109,基础资料!$N$4:$N$34,0))&amp;"",""))</f>
        <v/>
      </c>
      <c r="H1109" s="79"/>
      <c r="I1109" s="88"/>
      <c r="J1109" s="92"/>
      <c r="K1109" s="93"/>
      <c r="L1109" s="25" t="str">
        <f t="shared" si="52"/>
        <v/>
      </c>
      <c r="M1109" s="94"/>
      <c r="N1109" s="26" t="str">
        <f t="shared" si="53"/>
        <v/>
      </c>
      <c r="O1109" s="80"/>
      <c r="P1109" s="80"/>
      <c r="Q1109" s="80"/>
      <c r="R1109" s="80"/>
    </row>
    <row r="1110" ht="18" customHeight="1" spans="1:18">
      <c r="A1110" s="87" t="str">
        <f t="shared" si="51"/>
        <v/>
      </c>
      <c r="B1110" s="78"/>
      <c r="C1110" s="80"/>
      <c r="D1110" s="80"/>
      <c r="E1110" s="79"/>
      <c r="F1110" s="87" t="str">
        <f>IF($E1110="","",IFERROR(INDEX(基础资料!$O$4:$O$34,MATCH($E1110,基础资料!$N$4:$N$34,0))&amp;"",""))</f>
        <v/>
      </c>
      <c r="G1110" s="87" t="str">
        <f>IF($E1110="","",IFERROR(INDEX(基础资料!$P$4:$P$34,MATCH($E1110,基础资料!$N$4:$N$34,0))&amp;"",""))</f>
        <v/>
      </c>
      <c r="H1110" s="79"/>
      <c r="I1110" s="88"/>
      <c r="J1110" s="92"/>
      <c r="K1110" s="93"/>
      <c r="L1110" s="25" t="str">
        <f t="shared" si="52"/>
        <v/>
      </c>
      <c r="M1110" s="94"/>
      <c r="N1110" s="26" t="str">
        <f t="shared" si="53"/>
        <v/>
      </c>
      <c r="O1110" s="80"/>
      <c r="P1110" s="80"/>
      <c r="Q1110" s="80"/>
      <c r="R1110" s="80"/>
    </row>
    <row r="1111" ht="18" customHeight="1" spans="1:18">
      <c r="A1111" s="87" t="str">
        <f t="shared" si="51"/>
        <v/>
      </c>
      <c r="B1111" s="78"/>
      <c r="C1111" s="80"/>
      <c r="D1111" s="80"/>
      <c r="E1111" s="79"/>
      <c r="F1111" s="87" t="str">
        <f>IF($E1111="","",IFERROR(INDEX(基础资料!$O$4:$O$34,MATCH($E1111,基础资料!$N$4:$N$34,0))&amp;"",""))</f>
        <v/>
      </c>
      <c r="G1111" s="87" t="str">
        <f>IF($E1111="","",IFERROR(INDEX(基础资料!$P$4:$P$34,MATCH($E1111,基础资料!$N$4:$N$34,0))&amp;"",""))</f>
        <v/>
      </c>
      <c r="H1111" s="79"/>
      <c r="I1111" s="88"/>
      <c r="J1111" s="92"/>
      <c r="K1111" s="93"/>
      <c r="L1111" s="25" t="str">
        <f t="shared" si="52"/>
        <v/>
      </c>
      <c r="M1111" s="94"/>
      <c r="N1111" s="26" t="str">
        <f t="shared" si="53"/>
        <v/>
      </c>
      <c r="O1111" s="80"/>
      <c r="P1111" s="80"/>
      <c r="Q1111" s="80"/>
      <c r="R1111" s="80"/>
    </row>
    <row r="1112" ht="18" customHeight="1" spans="1:18">
      <c r="A1112" s="87" t="str">
        <f t="shared" si="51"/>
        <v/>
      </c>
      <c r="B1112" s="78"/>
      <c r="C1112" s="80"/>
      <c r="D1112" s="80"/>
      <c r="E1112" s="79"/>
      <c r="F1112" s="87" t="str">
        <f>IF($E1112="","",IFERROR(INDEX(基础资料!$O$4:$O$34,MATCH($E1112,基础资料!$N$4:$N$34,0))&amp;"",""))</f>
        <v/>
      </c>
      <c r="G1112" s="87" t="str">
        <f>IF($E1112="","",IFERROR(INDEX(基础资料!$P$4:$P$34,MATCH($E1112,基础资料!$N$4:$N$34,0))&amp;"",""))</f>
        <v/>
      </c>
      <c r="H1112" s="79"/>
      <c r="I1112" s="88"/>
      <c r="J1112" s="92"/>
      <c r="K1112" s="93"/>
      <c r="L1112" s="25" t="str">
        <f t="shared" si="52"/>
        <v/>
      </c>
      <c r="M1112" s="94"/>
      <c r="N1112" s="26" t="str">
        <f t="shared" si="53"/>
        <v/>
      </c>
      <c r="O1112" s="80"/>
      <c r="P1112" s="80"/>
      <c r="Q1112" s="80"/>
      <c r="R1112" s="80"/>
    </row>
    <row r="1113" ht="18" customHeight="1" spans="1:18">
      <c r="A1113" s="87" t="str">
        <f t="shared" si="51"/>
        <v/>
      </c>
      <c r="B1113" s="78"/>
      <c r="C1113" s="80"/>
      <c r="D1113" s="80"/>
      <c r="E1113" s="79"/>
      <c r="F1113" s="87" t="str">
        <f>IF($E1113="","",IFERROR(INDEX(基础资料!$O$4:$O$34,MATCH($E1113,基础资料!$N$4:$N$34,0))&amp;"",""))</f>
        <v/>
      </c>
      <c r="G1113" s="87" t="str">
        <f>IF($E1113="","",IFERROR(INDEX(基础资料!$P$4:$P$34,MATCH($E1113,基础资料!$N$4:$N$34,0))&amp;"",""))</f>
        <v/>
      </c>
      <c r="H1113" s="79"/>
      <c r="I1113" s="88"/>
      <c r="J1113" s="92"/>
      <c r="K1113" s="93"/>
      <c r="L1113" s="25" t="str">
        <f t="shared" si="52"/>
        <v/>
      </c>
      <c r="M1113" s="94"/>
      <c r="N1113" s="26" t="str">
        <f t="shared" si="53"/>
        <v/>
      </c>
      <c r="O1113" s="80"/>
      <c r="P1113" s="80"/>
      <c r="Q1113" s="80"/>
      <c r="R1113" s="80"/>
    </row>
    <row r="1114" ht="18" customHeight="1" spans="1:18">
      <c r="A1114" s="87" t="str">
        <f t="shared" si="51"/>
        <v/>
      </c>
      <c r="B1114" s="78"/>
      <c r="C1114" s="80"/>
      <c r="D1114" s="80"/>
      <c r="E1114" s="79"/>
      <c r="F1114" s="87" t="str">
        <f>IF($E1114="","",IFERROR(INDEX(基础资料!$O$4:$O$34,MATCH($E1114,基础资料!$N$4:$N$34,0))&amp;"",""))</f>
        <v/>
      </c>
      <c r="G1114" s="87" t="str">
        <f>IF($E1114="","",IFERROR(INDEX(基础资料!$P$4:$P$34,MATCH($E1114,基础资料!$N$4:$N$34,0))&amp;"",""))</f>
        <v/>
      </c>
      <c r="H1114" s="79"/>
      <c r="I1114" s="88"/>
      <c r="J1114" s="92"/>
      <c r="K1114" s="93"/>
      <c r="L1114" s="25" t="str">
        <f t="shared" si="52"/>
        <v/>
      </c>
      <c r="M1114" s="94"/>
      <c r="N1114" s="26" t="str">
        <f t="shared" si="53"/>
        <v/>
      </c>
      <c r="O1114" s="80"/>
      <c r="P1114" s="80"/>
      <c r="Q1114" s="80"/>
      <c r="R1114" s="80"/>
    </row>
    <row r="1115" ht="18" customHeight="1" spans="1:18">
      <c r="A1115" s="87" t="str">
        <f t="shared" si="51"/>
        <v/>
      </c>
      <c r="B1115" s="78"/>
      <c r="C1115" s="80"/>
      <c r="D1115" s="80"/>
      <c r="E1115" s="79"/>
      <c r="F1115" s="87" t="str">
        <f>IF($E1115="","",IFERROR(INDEX(基础资料!$O$4:$O$34,MATCH($E1115,基础资料!$N$4:$N$34,0))&amp;"",""))</f>
        <v/>
      </c>
      <c r="G1115" s="87" t="str">
        <f>IF($E1115="","",IFERROR(INDEX(基础资料!$P$4:$P$34,MATCH($E1115,基础资料!$N$4:$N$34,0))&amp;"",""))</f>
        <v/>
      </c>
      <c r="H1115" s="79"/>
      <c r="I1115" s="88"/>
      <c r="J1115" s="92"/>
      <c r="K1115" s="93"/>
      <c r="L1115" s="25" t="str">
        <f t="shared" si="52"/>
        <v/>
      </c>
      <c r="M1115" s="94"/>
      <c r="N1115" s="26" t="str">
        <f t="shared" si="53"/>
        <v/>
      </c>
      <c r="O1115" s="80"/>
      <c r="P1115" s="80"/>
      <c r="Q1115" s="80"/>
      <c r="R1115" s="80"/>
    </row>
    <row r="1116" ht="18" customHeight="1" spans="1:18">
      <c r="A1116" s="87" t="str">
        <f t="shared" si="51"/>
        <v/>
      </c>
      <c r="B1116" s="78"/>
      <c r="C1116" s="80"/>
      <c r="D1116" s="80"/>
      <c r="E1116" s="79"/>
      <c r="F1116" s="87" t="str">
        <f>IF($E1116="","",IFERROR(INDEX(基础资料!$O$4:$O$34,MATCH($E1116,基础资料!$N$4:$N$34,0))&amp;"",""))</f>
        <v/>
      </c>
      <c r="G1116" s="87" t="str">
        <f>IF($E1116="","",IFERROR(INDEX(基础资料!$P$4:$P$34,MATCH($E1116,基础资料!$N$4:$N$34,0))&amp;"",""))</f>
        <v/>
      </c>
      <c r="H1116" s="79"/>
      <c r="I1116" s="88"/>
      <c r="J1116" s="92"/>
      <c r="K1116" s="93"/>
      <c r="L1116" s="25" t="str">
        <f t="shared" si="52"/>
        <v/>
      </c>
      <c r="M1116" s="94"/>
      <c r="N1116" s="26" t="str">
        <f t="shared" si="53"/>
        <v/>
      </c>
      <c r="O1116" s="80"/>
      <c r="P1116" s="80"/>
      <c r="Q1116" s="80"/>
      <c r="R1116" s="80"/>
    </row>
    <row r="1117" ht="18" customHeight="1" spans="1:18">
      <c r="A1117" s="87" t="str">
        <f t="shared" si="51"/>
        <v/>
      </c>
      <c r="B1117" s="78"/>
      <c r="C1117" s="80"/>
      <c r="D1117" s="80"/>
      <c r="E1117" s="79"/>
      <c r="F1117" s="87" t="str">
        <f>IF($E1117="","",IFERROR(INDEX(基础资料!$O$4:$O$34,MATCH($E1117,基础资料!$N$4:$N$34,0))&amp;"",""))</f>
        <v/>
      </c>
      <c r="G1117" s="87" t="str">
        <f>IF($E1117="","",IFERROR(INDEX(基础资料!$P$4:$P$34,MATCH($E1117,基础资料!$N$4:$N$34,0))&amp;"",""))</f>
        <v/>
      </c>
      <c r="H1117" s="79"/>
      <c r="I1117" s="88"/>
      <c r="J1117" s="92"/>
      <c r="K1117" s="93"/>
      <c r="L1117" s="25" t="str">
        <f t="shared" si="52"/>
        <v/>
      </c>
      <c r="M1117" s="94"/>
      <c r="N1117" s="26" t="str">
        <f t="shared" si="53"/>
        <v/>
      </c>
      <c r="O1117" s="80"/>
      <c r="P1117" s="80"/>
      <c r="Q1117" s="80"/>
      <c r="R1117" s="80"/>
    </row>
    <row r="1118" ht="18" customHeight="1" spans="1:18">
      <c r="A1118" s="87" t="str">
        <f t="shared" si="51"/>
        <v/>
      </c>
      <c r="B1118" s="78"/>
      <c r="C1118" s="80"/>
      <c r="D1118" s="80"/>
      <c r="E1118" s="79"/>
      <c r="F1118" s="87" t="str">
        <f>IF($E1118="","",IFERROR(INDEX(基础资料!$O$4:$O$34,MATCH($E1118,基础资料!$N$4:$N$34,0))&amp;"",""))</f>
        <v/>
      </c>
      <c r="G1118" s="87" t="str">
        <f>IF($E1118="","",IFERROR(INDEX(基础资料!$P$4:$P$34,MATCH($E1118,基础资料!$N$4:$N$34,0))&amp;"",""))</f>
        <v/>
      </c>
      <c r="H1118" s="79"/>
      <c r="I1118" s="88"/>
      <c r="J1118" s="92"/>
      <c r="K1118" s="93"/>
      <c r="L1118" s="25" t="str">
        <f t="shared" si="52"/>
        <v/>
      </c>
      <c r="M1118" s="94"/>
      <c r="N1118" s="26" t="str">
        <f t="shared" si="53"/>
        <v/>
      </c>
      <c r="O1118" s="80"/>
      <c r="P1118" s="80"/>
      <c r="Q1118" s="80"/>
      <c r="R1118" s="80"/>
    </row>
    <row r="1119" ht="18" customHeight="1" spans="1:18">
      <c r="A1119" s="87" t="str">
        <f t="shared" si="51"/>
        <v/>
      </c>
      <c r="B1119" s="78"/>
      <c r="C1119" s="80"/>
      <c r="D1119" s="80"/>
      <c r="E1119" s="79"/>
      <c r="F1119" s="87" t="str">
        <f>IF($E1119="","",IFERROR(INDEX(基础资料!$O$4:$O$34,MATCH($E1119,基础资料!$N$4:$N$34,0))&amp;"",""))</f>
        <v/>
      </c>
      <c r="G1119" s="87" t="str">
        <f>IF($E1119="","",IFERROR(INDEX(基础资料!$P$4:$P$34,MATCH($E1119,基础资料!$N$4:$N$34,0))&amp;"",""))</f>
        <v/>
      </c>
      <c r="H1119" s="79"/>
      <c r="I1119" s="88"/>
      <c r="J1119" s="92"/>
      <c r="K1119" s="93"/>
      <c r="L1119" s="25" t="str">
        <f t="shared" si="52"/>
        <v/>
      </c>
      <c r="M1119" s="94"/>
      <c r="N1119" s="26" t="str">
        <f t="shared" si="53"/>
        <v/>
      </c>
      <c r="O1119" s="80"/>
      <c r="P1119" s="80"/>
      <c r="Q1119" s="80"/>
      <c r="R1119" s="80"/>
    </row>
    <row r="1120" ht="18" customHeight="1" spans="1:18">
      <c r="A1120" s="87" t="str">
        <f t="shared" si="51"/>
        <v/>
      </c>
      <c r="B1120" s="78"/>
      <c r="C1120" s="80"/>
      <c r="D1120" s="80"/>
      <c r="E1120" s="79"/>
      <c r="F1120" s="87" t="str">
        <f>IF($E1120="","",IFERROR(INDEX(基础资料!$O$4:$O$34,MATCH($E1120,基础资料!$N$4:$N$34,0))&amp;"",""))</f>
        <v/>
      </c>
      <c r="G1120" s="87" t="str">
        <f>IF($E1120="","",IFERROR(INDEX(基础资料!$P$4:$P$34,MATCH($E1120,基础资料!$N$4:$N$34,0))&amp;"",""))</f>
        <v/>
      </c>
      <c r="H1120" s="79"/>
      <c r="I1120" s="88"/>
      <c r="J1120" s="92"/>
      <c r="K1120" s="93"/>
      <c r="L1120" s="25" t="str">
        <f t="shared" si="52"/>
        <v/>
      </c>
      <c r="M1120" s="94"/>
      <c r="N1120" s="26" t="str">
        <f t="shared" si="53"/>
        <v/>
      </c>
      <c r="O1120" s="80"/>
      <c r="P1120" s="80"/>
      <c r="Q1120" s="80"/>
      <c r="R1120" s="80"/>
    </row>
    <row r="1121" ht="18" customHeight="1" spans="1:18">
      <c r="A1121" s="87" t="str">
        <f t="shared" si="51"/>
        <v/>
      </c>
      <c r="B1121" s="78"/>
      <c r="C1121" s="80"/>
      <c r="D1121" s="80"/>
      <c r="E1121" s="79"/>
      <c r="F1121" s="87" t="str">
        <f>IF($E1121="","",IFERROR(INDEX(基础资料!$O$4:$O$34,MATCH($E1121,基础资料!$N$4:$N$34,0))&amp;"",""))</f>
        <v/>
      </c>
      <c r="G1121" s="87" t="str">
        <f>IF($E1121="","",IFERROR(INDEX(基础资料!$P$4:$P$34,MATCH($E1121,基础资料!$N$4:$N$34,0))&amp;"",""))</f>
        <v/>
      </c>
      <c r="H1121" s="79"/>
      <c r="I1121" s="88"/>
      <c r="J1121" s="92"/>
      <c r="K1121" s="93"/>
      <c r="L1121" s="25" t="str">
        <f t="shared" si="52"/>
        <v/>
      </c>
      <c r="M1121" s="94"/>
      <c r="N1121" s="26" t="str">
        <f t="shared" si="53"/>
        <v/>
      </c>
      <c r="O1121" s="80"/>
      <c r="P1121" s="80"/>
      <c r="Q1121" s="80"/>
      <c r="R1121" s="80"/>
    </row>
    <row r="1122" ht="18" customHeight="1" spans="1:18">
      <c r="A1122" s="87" t="str">
        <f t="shared" si="51"/>
        <v/>
      </c>
      <c r="B1122" s="78"/>
      <c r="C1122" s="80"/>
      <c r="D1122" s="80"/>
      <c r="E1122" s="79"/>
      <c r="F1122" s="87" t="str">
        <f>IF($E1122="","",IFERROR(INDEX(基础资料!$O$4:$O$34,MATCH($E1122,基础资料!$N$4:$N$34,0))&amp;"",""))</f>
        <v/>
      </c>
      <c r="G1122" s="87" t="str">
        <f>IF($E1122="","",IFERROR(INDEX(基础资料!$P$4:$P$34,MATCH($E1122,基础资料!$N$4:$N$34,0))&amp;"",""))</f>
        <v/>
      </c>
      <c r="H1122" s="79"/>
      <c r="I1122" s="88"/>
      <c r="J1122" s="92"/>
      <c r="K1122" s="93"/>
      <c r="L1122" s="25" t="str">
        <f t="shared" si="52"/>
        <v/>
      </c>
      <c r="M1122" s="94"/>
      <c r="N1122" s="26" t="str">
        <f t="shared" si="53"/>
        <v/>
      </c>
      <c r="O1122" s="80"/>
      <c r="P1122" s="80"/>
      <c r="Q1122" s="80"/>
      <c r="R1122" s="80"/>
    </row>
    <row r="1123" ht="18" customHeight="1" spans="1:18">
      <c r="A1123" s="87" t="str">
        <f t="shared" si="51"/>
        <v/>
      </c>
      <c r="B1123" s="78"/>
      <c r="C1123" s="80"/>
      <c r="D1123" s="80"/>
      <c r="E1123" s="79"/>
      <c r="F1123" s="87" t="str">
        <f>IF($E1123="","",IFERROR(INDEX(基础资料!$O$4:$O$34,MATCH($E1123,基础资料!$N$4:$N$34,0))&amp;"",""))</f>
        <v/>
      </c>
      <c r="G1123" s="87" t="str">
        <f>IF($E1123="","",IFERROR(INDEX(基础资料!$P$4:$P$34,MATCH($E1123,基础资料!$N$4:$N$34,0))&amp;"",""))</f>
        <v/>
      </c>
      <c r="H1123" s="79"/>
      <c r="I1123" s="88"/>
      <c r="J1123" s="92"/>
      <c r="K1123" s="93"/>
      <c r="L1123" s="25" t="str">
        <f t="shared" si="52"/>
        <v/>
      </c>
      <c r="M1123" s="94"/>
      <c r="N1123" s="26" t="str">
        <f t="shared" si="53"/>
        <v/>
      </c>
      <c r="O1123" s="80"/>
      <c r="P1123" s="80"/>
      <c r="Q1123" s="80"/>
      <c r="R1123" s="80"/>
    </row>
    <row r="1124" ht="18" customHeight="1" spans="1:18">
      <c r="A1124" s="87" t="str">
        <f t="shared" si="51"/>
        <v/>
      </c>
      <c r="B1124" s="78"/>
      <c r="C1124" s="80"/>
      <c r="D1124" s="80"/>
      <c r="E1124" s="79"/>
      <c r="F1124" s="87" t="str">
        <f>IF($E1124="","",IFERROR(INDEX(基础资料!$O$4:$O$34,MATCH($E1124,基础资料!$N$4:$N$34,0))&amp;"",""))</f>
        <v/>
      </c>
      <c r="G1124" s="87" t="str">
        <f>IF($E1124="","",IFERROR(INDEX(基础资料!$P$4:$P$34,MATCH($E1124,基础资料!$N$4:$N$34,0))&amp;"",""))</f>
        <v/>
      </c>
      <c r="H1124" s="79"/>
      <c r="I1124" s="88"/>
      <c r="J1124" s="92"/>
      <c r="K1124" s="93"/>
      <c r="L1124" s="25" t="str">
        <f t="shared" si="52"/>
        <v/>
      </c>
      <c r="M1124" s="94"/>
      <c r="N1124" s="26" t="str">
        <f t="shared" si="53"/>
        <v/>
      </c>
      <c r="O1124" s="80"/>
      <c r="P1124" s="80"/>
      <c r="Q1124" s="80"/>
      <c r="R1124" s="80"/>
    </row>
    <row r="1125" ht="18" customHeight="1" spans="1:18">
      <c r="A1125" s="87" t="str">
        <f t="shared" si="51"/>
        <v/>
      </c>
      <c r="B1125" s="78"/>
      <c r="C1125" s="80"/>
      <c r="D1125" s="80"/>
      <c r="E1125" s="79"/>
      <c r="F1125" s="87" t="str">
        <f>IF($E1125="","",IFERROR(INDEX(基础资料!$O$4:$O$34,MATCH($E1125,基础资料!$N$4:$N$34,0))&amp;"",""))</f>
        <v/>
      </c>
      <c r="G1125" s="87" t="str">
        <f>IF($E1125="","",IFERROR(INDEX(基础资料!$P$4:$P$34,MATCH($E1125,基础资料!$N$4:$N$34,0))&amp;"",""))</f>
        <v/>
      </c>
      <c r="H1125" s="79"/>
      <c r="I1125" s="88"/>
      <c r="J1125" s="92"/>
      <c r="K1125" s="93"/>
      <c r="L1125" s="25" t="str">
        <f t="shared" si="52"/>
        <v/>
      </c>
      <c r="M1125" s="94"/>
      <c r="N1125" s="26" t="str">
        <f t="shared" si="53"/>
        <v/>
      </c>
      <c r="O1125" s="80"/>
      <c r="P1125" s="80"/>
      <c r="Q1125" s="80"/>
      <c r="R1125" s="80"/>
    </row>
    <row r="1126" ht="18" customHeight="1" spans="1:18">
      <c r="A1126" s="87" t="str">
        <f t="shared" si="51"/>
        <v/>
      </c>
      <c r="B1126" s="78"/>
      <c r="C1126" s="80"/>
      <c r="D1126" s="80"/>
      <c r="E1126" s="79"/>
      <c r="F1126" s="87" t="str">
        <f>IF($E1126="","",IFERROR(INDEX(基础资料!$O$4:$O$34,MATCH($E1126,基础资料!$N$4:$N$34,0))&amp;"",""))</f>
        <v/>
      </c>
      <c r="G1126" s="87" t="str">
        <f>IF($E1126="","",IFERROR(INDEX(基础资料!$P$4:$P$34,MATCH($E1126,基础资料!$N$4:$N$34,0))&amp;"",""))</f>
        <v/>
      </c>
      <c r="H1126" s="79"/>
      <c r="I1126" s="88"/>
      <c r="J1126" s="92"/>
      <c r="K1126" s="93"/>
      <c r="L1126" s="25" t="str">
        <f t="shared" si="52"/>
        <v/>
      </c>
      <c r="M1126" s="94"/>
      <c r="N1126" s="26" t="str">
        <f t="shared" si="53"/>
        <v/>
      </c>
      <c r="O1126" s="80"/>
      <c r="P1126" s="80"/>
      <c r="Q1126" s="80"/>
      <c r="R1126" s="80"/>
    </row>
    <row r="1127" ht="18" customHeight="1" spans="1:18">
      <c r="A1127" s="87" t="str">
        <f t="shared" si="51"/>
        <v/>
      </c>
      <c r="B1127" s="78"/>
      <c r="C1127" s="80"/>
      <c r="D1127" s="80"/>
      <c r="E1127" s="79"/>
      <c r="F1127" s="87" t="str">
        <f>IF($E1127="","",IFERROR(INDEX(基础资料!$O$4:$O$34,MATCH($E1127,基础资料!$N$4:$N$34,0))&amp;"",""))</f>
        <v/>
      </c>
      <c r="G1127" s="87" t="str">
        <f>IF($E1127="","",IFERROR(INDEX(基础资料!$P$4:$P$34,MATCH($E1127,基础资料!$N$4:$N$34,0))&amp;"",""))</f>
        <v/>
      </c>
      <c r="H1127" s="79"/>
      <c r="I1127" s="88"/>
      <c r="J1127" s="92"/>
      <c r="K1127" s="93"/>
      <c r="L1127" s="25" t="str">
        <f t="shared" si="52"/>
        <v/>
      </c>
      <c r="M1127" s="94"/>
      <c r="N1127" s="26" t="str">
        <f t="shared" si="53"/>
        <v/>
      </c>
      <c r="O1127" s="80"/>
      <c r="P1127" s="80"/>
      <c r="Q1127" s="80"/>
      <c r="R1127" s="80"/>
    </row>
    <row r="1128" ht="18" customHeight="1" spans="1:18">
      <c r="A1128" s="87" t="str">
        <f t="shared" si="51"/>
        <v/>
      </c>
      <c r="B1128" s="78"/>
      <c r="C1128" s="80"/>
      <c r="D1128" s="80"/>
      <c r="E1128" s="79"/>
      <c r="F1128" s="87" t="str">
        <f>IF($E1128="","",IFERROR(INDEX(基础资料!$O$4:$O$34,MATCH($E1128,基础资料!$N$4:$N$34,0))&amp;"",""))</f>
        <v/>
      </c>
      <c r="G1128" s="87" t="str">
        <f>IF($E1128="","",IFERROR(INDEX(基础资料!$P$4:$P$34,MATCH($E1128,基础资料!$N$4:$N$34,0))&amp;"",""))</f>
        <v/>
      </c>
      <c r="H1128" s="79"/>
      <c r="I1128" s="88"/>
      <c r="J1128" s="92"/>
      <c r="K1128" s="93"/>
      <c r="L1128" s="25" t="str">
        <f t="shared" si="52"/>
        <v/>
      </c>
      <c r="M1128" s="94"/>
      <c r="N1128" s="26" t="str">
        <f t="shared" si="53"/>
        <v/>
      </c>
      <c r="O1128" s="80"/>
      <c r="P1128" s="80"/>
      <c r="Q1128" s="80"/>
      <c r="R1128" s="80"/>
    </row>
    <row r="1129" ht="18" customHeight="1" spans="1:18">
      <c r="A1129" s="87" t="str">
        <f t="shared" si="51"/>
        <v/>
      </c>
      <c r="B1129" s="78"/>
      <c r="C1129" s="80"/>
      <c r="D1129" s="80"/>
      <c r="E1129" s="79"/>
      <c r="F1129" s="87" t="str">
        <f>IF($E1129="","",IFERROR(INDEX(基础资料!$O$4:$O$34,MATCH($E1129,基础资料!$N$4:$N$34,0))&amp;"",""))</f>
        <v/>
      </c>
      <c r="G1129" s="87" t="str">
        <f>IF($E1129="","",IFERROR(INDEX(基础资料!$P$4:$P$34,MATCH($E1129,基础资料!$N$4:$N$34,0))&amp;"",""))</f>
        <v/>
      </c>
      <c r="H1129" s="79"/>
      <c r="I1129" s="88"/>
      <c r="J1129" s="92"/>
      <c r="K1129" s="93"/>
      <c r="L1129" s="25" t="str">
        <f t="shared" si="52"/>
        <v/>
      </c>
      <c r="M1129" s="94"/>
      <c r="N1129" s="26" t="str">
        <f t="shared" si="53"/>
        <v/>
      </c>
      <c r="O1129" s="80"/>
      <c r="P1129" s="80"/>
      <c r="Q1129" s="80"/>
      <c r="R1129" s="80"/>
    </row>
    <row r="1130" ht="18" customHeight="1" spans="1:18">
      <c r="A1130" s="87" t="str">
        <f t="shared" si="51"/>
        <v/>
      </c>
      <c r="B1130" s="78"/>
      <c r="C1130" s="80"/>
      <c r="D1130" s="80"/>
      <c r="E1130" s="79"/>
      <c r="F1130" s="87" t="str">
        <f>IF($E1130="","",IFERROR(INDEX(基础资料!$O$4:$O$34,MATCH($E1130,基础资料!$N$4:$N$34,0))&amp;"",""))</f>
        <v/>
      </c>
      <c r="G1130" s="87" t="str">
        <f>IF($E1130="","",IFERROR(INDEX(基础资料!$P$4:$P$34,MATCH($E1130,基础资料!$N$4:$N$34,0))&amp;"",""))</f>
        <v/>
      </c>
      <c r="H1130" s="79"/>
      <c r="I1130" s="88"/>
      <c r="J1130" s="92"/>
      <c r="K1130" s="93"/>
      <c r="L1130" s="25" t="str">
        <f t="shared" si="52"/>
        <v/>
      </c>
      <c r="M1130" s="94"/>
      <c r="N1130" s="26" t="str">
        <f t="shared" si="53"/>
        <v/>
      </c>
      <c r="O1130" s="80"/>
      <c r="P1130" s="80"/>
      <c r="Q1130" s="80"/>
      <c r="R1130" s="80"/>
    </row>
    <row r="1131" ht="18" customHeight="1" spans="1:18">
      <c r="A1131" s="87" t="str">
        <f t="shared" si="51"/>
        <v/>
      </c>
      <c r="B1131" s="78"/>
      <c r="C1131" s="80"/>
      <c r="D1131" s="80"/>
      <c r="E1131" s="79"/>
      <c r="F1131" s="87" t="str">
        <f>IF($E1131="","",IFERROR(INDEX(基础资料!$O$4:$O$34,MATCH($E1131,基础资料!$N$4:$N$34,0))&amp;"",""))</f>
        <v/>
      </c>
      <c r="G1131" s="87" t="str">
        <f>IF($E1131="","",IFERROR(INDEX(基础资料!$P$4:$P$34,MATCH($E1131,基础资料!$N$4:$N$34,0))&amp;"",""))</f>
        <v/>
      </c>
      <c r="H1131" s="79"/>
      <c r="I1131" s="88"/>
      <c r="J1131" s="92"/>
      <c r="K1131" s="93"/>
      <c r="L1131" s="25" t="str">
        <f t="shared" si="52"/>
        <v/>
      </c>
      <c r="M1131" s="94"/>
      <c r="N1131" s="26" t="str">
        <f t="shared" si="53"/>
        <v/>
      </c>
      <c r="O1131" s="80"/>
      <c r="P1131" s="80"/>
      <c r="Q1131" s="80"/>
      <c r="R1131" s="80"/>
    </row>
    <row r="1132" ht="18" customHeight="1" spans="1:18">
      <c r="A1132" s="87" t="str">
        <f t="shared" si="51"/>
        <v/>
      </c>
      <c r="B1132" s="78"/>
      <c r="C1132" s="80"/>
      <c r="D1132" s="80"/>
      <c r="E1132" s="79"/>
      <c r="F1132" s="87" t="str">
        <f>IF($E1132="","",IFERROR(INDEX(基础资料!$O$4:$O$34,MATCH($E1132,基础资料!$N$4:$N$34,0))&amp;"",""))</f>
        <v/>
      </c>
      <c r="G1132" s="87" t="str">
        <f>IF($E1132="","",IFERROR(INDEX(基础资料!$P$4:$P$34,MATCH($E1132,基础资料!$N$4:$N$34,0))&amp;"",""))</f>
        <v/>
      </c>
      <c r="H1132" s="79"/>
      <c r="I1132" s="88"/>
      <c r="J1132" s="92"/>
      <c r="K1132" s="93"/>
      <c r="L1132" s="25" t="str">
        <f t="shared" si="52"/>
        <v/>
      </c>
      <c r="M1132" s="94"/>
      <c r="N1132" s="26" t="str">
        <f t="shared" si="53"/>
        <v/>
      </c>
      <c r="O1132" s="80"/>
      <c r="P1132" s="80"/>
      <c r="Q1132" s="80"/>
      <c r="R1132" s="80"/>
    </row>
    <row r="1133" ht="18" customHeight="1" spans="1:18">
      <c r="A1133" s="87" t="str">
        <f t="shared" si="51"/>
        <v/>
      </c>
      <c r="B1133" s="78"/>
      <c r="C1133" s="80"/>
      <c r="D1133" s="80"/>
      <c r="E1133" s="79"/>
      <c r="F1133" s="87" t="str">
        <f>IF($E1133="","",IFERROR(INDEX(基础资料!$O$4:$O$34,MATCH($E1133,基础资料!$N$4:$N$34,0))&amp;"",""))</f>
        <v/>
      </c>
      <c r="G1133" s="87" t="str">
        <f>IF($E1133="","",IFERROR(INDEX(基础资料!$P$4:$P$34,MATCH($E1133,基础资料!$N$4:$N$34,0))&amp;"",""))</f>
        <v/>
      </c>
      <c r="H1133" s="79"/>
      <c r="I1133" s="88"/>
      <c r="J1133" s="92"/>
      <c r="K1133" s="93"/>
      <c r="L1133" s="25" t="str">
        <f t="shared" si="52"/>
        <v/>
      </c>
      <c r="M1133" s="94"/>
      <c r="N1133" s="26" t="str">
        <f t="shared" si="53"/>
        <v/>
      </c>
      <c r="O1133" s="80"/>
      <c r="P1133" s="80"/>
      <c r="Q1133" s="80"/>
      <c r="R1133" s="80"/>
    </row>
    <row r="1134" ht="18" customHeight="1" spans="1:18">
      <c r="A1134" s="87" t="str">
        <f t="shared" si="51"/>
        <v/>
      </c>
      <c r="B1134" s="78"/>
      <c r="C1134" s="80"/>
      <c r="D1134" s="80"/>
      <c r="E1134" s="79"/>
      <c r="F1134" s="87" t="str">
        <f>IF($E1134="","",IFERROR(INDEX(基础资料!$O$4:$O$34,MATCH($E1134,基础资料!$N$4:$N$34,0))&amp;"",""))</f>
        <v/>
      </c>
      <c r="G1134" s="87" t="str">
        <f>IF($E1134="","",IFERROR(INDEX(基础资料!$P$4:$P$34,MATCH($E1134,基础资料!$N$4:$N$34,0))&amp;"",""))</f>
        <v/>
      </c>
      <c r="H1134" s="79"/>
      <c r="I1134" s="88"/>
      <c r="J1134" s="92"/>
      <c r="K1134" s="93"/>
      <c r="L1134" s="25" t="str">
        <f t="shared" si="52"/>
        <v/>
      </c>
      <c r="M1134" s="94"/>
      <c r="N1134" s="26" t="str">
        <f t="shared" si="53"/>
        <v/>
      </c>
      <c r="O1134" s="80"/>
      <c r="P1134" s="80"/>
      <c r="Q1134" s="80"/>
      <c r="R1134" s="80"/>
    </row>
    <row r="1135" ht="18" customHeight="1" spans="1:18">
      <c r="A1135" s="87" t="str">
        <f t="shared" si="51"/>
        <v/>
      </c>
      <c r="B1135" s="78"/>
      <c r="C1135" s="80"/>
      <c r="D1135" s="80"/>
      <c r="E1135" s="79"/>
      <c r="F1135" s="87" t="str">
        <f>IF($E1135="","",IFERROR(INDEX(基础资料!$O$4:$O$34,MATCH($E1135,基础资料!$N$4:$N$34,0))&amp;"",""))</f>
        <v/>
      </c>
      <c r="G1135" s="87" t="str">
        <f>IF($E1135="","",IFERROR(INDEX(基础资料!$P$4:$P$34,MATCH($E1135,基础资料!$N$4:$N$34,0))&amp;"",""))</f>
        <v/>
      </c>
      <c r="H1135" s="79"/>
      <c r="I1135" s="88"/>
      <c r="J1135" s="92"/>
      <c r="K1135" s="93"/>
      <c r="L1135" s="25" t="str">
        <f t="shared" si="52"/>
        <v/>
      </c>
      <c r="M1135" s="94"/>
      <c r="N1135" s="26" t="str">
        <f t="shared" si="53"/>
        <v/>
      </c>
      <c r="O1135" s="80"/>
      <c r="P1135" s="80"/>
      <c r="Q1135" s="80"/>
      <c r="R1135" s="80"/>
    </row>
    <row r="1136" ht="18" customHeight="1" spans="1:18">
      <c r="A1136" s="87" t="str">
        <f t="shared" si="51"/>
        <v/>
      </c>
      <c r="B1136" s="78"/>
      <c r="C1136" s="80"/>
      <c r="D1136" s="80"/>
      <c r="E1136" s="79"/>
      <c r="F1136" s="87" t="str">
        <f>IF($E1136="","",IFERROR(INDEX(基础资料!$O$4:$O$34,MATCH($E1136,基础资料!$N$4:$N$34,0))&amp;"",""))</f>
        <v/>
      </c>
      <c r="G1136" s="87" t="str">
        <f>IF($E1136="","",IFERROR(INDEX(基础资料!$P$4:$P$34,MATCH($E1136,基础资料!$N$4:$N$34,0))&amp;"",""))</f>
        <v/>
      </c>
      <c r="H1136" s="79"/>
      <c r="I1136" s="88"/>
      <c r="J1136" s="92"/>
      <c r="K1136" s="93"/>
      <c r="L1136" s="25" t="str">
        <f t="shared" si="52"/>
        <v/>
      </c>
      <c r="M1136" s="94"/>
      <c r="N1136" s="26" t="str">
        <f t="shared" si="53"/>
        <v/>
      </c>
      <c r="O1136" s="80"/>
      <c r="P1136" s="80"/>
      <c r="Q1136" s="80"/>
      <c r="R1136" s="80"/>
    </row>
    <row r="1137" ht="18" customHeight="1" spans="1:18">
      <c r="A1137" s="87" t="str">
        <f t="shared" si="51"/>
        <v/>
      </c>
      <c r="B1137" s="78"/>
      <c r="C1137" s="80"/>
      <c r="D1137" s="80"/>
      <c r="E1137" s="79"/>
      <c r="F1137" s="87" t="str">
        <f>IF($E1137="","",IFERROR(INDEX(基础资料!$O$4:$O$34,MATCH($E1137,基础资料!$N$4:$N$34,0))&amp;"",""))</f>
        <v/>
      </c>
      <c r="G1137" s="87" t="str">
        <f>IF($E1137="","",IFERROR(INDEX(基础资料!$P$4:$P$34,MATCH($E1137,基础资料!$N$4:$N$34,0))&amp;"",""))</f>
        <v/>
      </c>
      <c r="H1137" s="79"/>
      <c r="I1137" s="88"/>
      <c r="J1137" s="92"/>
      <c r="K1137" s="93"/>
      <c r="L1137" s="25" t="str">
        <f t="shared" si="52"/>
        <v/>
      </c>
      <c r="M1137" s="94"/>
      <c r="N1137" s="26" t="str">
        <f t="shared" si="53"/>
        <v/>
      </c>
      <c r="O1137" s="80"/>
      <c r="P1137" s="80"/>
      <c r="Q1137" s="80"/>
      <c r="R1137" s="80"/>
    </row>
    <row r="1138" ht="18" customHeight="1" spans="1:18">
      <c r="A1138" s="87" t="str">
        <f t="shared" si="51"/>
        <v/>
      </c>
      <c r="B1138" s="78"/>
      <c r="C1138" s="80"/>
      <c r="D1138" s="80"/>
      <c r="E1138" s="79"/>
      <c r="F1138" s="87" t="str">
        <f>IF($E1138="","",IFERROR(INDEX(基础资料!$O$4:$O$34,MATCH($E1138,基础资料!$N$4:$N$34,0))&amp;"",""))</f>
        <v/>
      </c>
      <c r="G1138" s="87" t="str">
        <f>IF($E1138="","",IFERROR(INDEX(基础资料!$P$4:$P$34,MATCH($E1138,基础资料!$N$4:$N$34,0))&amp;"",""))</f>
        <v/>
      </c>
      <c r="H1138" s="79"/>
      <c r="I1138" s="88"/>
      <c r="J1138" s="92"/>
      <c r="K1138" s="93"/>
      <c r="L1138" s="25" t="str">
        <f t="shared" si="52"/>
        <v/>
      </c>
      <c r="M1138" s="94"/>
      <c r="N1138" s="26" t="str">
        <f t="shared" si="53"/>
        <v/>
      </c>
      <c r="O1138" s="80"/>
      <c r="P1138" s="80"/>
      <c r="Q1138" s="80"/>
      <c r="R1138" s="80"/>
    </row>
    <row r="1139" ht="18" customHeight="1" spans="1:18">
      <c r="A1139" s="87" t="str">
        <f t="shared" si="51"/>
        <v/>
      </c>
      <c r="B1139" s="78"/>
      <c r="C1139" s="80"/>
      <c r="D1139" s="80"/>
      <c r="E1139" s="79"/>
      <c r="F1139" s="87" t="str">
        <f>IF($E1139="","",IFERROR(INDEX(基础资料!$O$4:$O$34,MATCH($E1139,基础资料!$N$4:$N$34,0))&amp;"",""))</f>
        <v/>
      </c>
      <c r="G1139" s="87" t="str">
        <f>IF($E1139="","",IFERROR(INDEX(基础资料!$P$4:$P$34,MATCH($E1139,基础资料!$N$4:$N$34,0))&amp;"",""))</f>
        <v/>
      </c>
      <c r="H1139" s="79"/>
      <c r="I1139" s="88"/>
      <c r="J1139" s="92"/>
      <c r="K1139" s="93"/>
      <c r="L1139" s="25" t="str">
        <f t="shared" si="52"/>
        <v/>
      </c>
      <c r="M1139" s="94"/>
      <c r="N1139" s="26" t="str">
        <f t="shared" si="53"/>
        <v/>
      </c>
      <c r="O1139" s="80"/>
      <c r="P1139" s="80"/>
      <c r="Q1139" s="80"/>
      <c r="R1139" s="80"/>
    </row>
    <row r="1140" ht="18" customHeight="1" spans="1:18">
      <c r="A1140" s="87" t="str">
        <f t="shared" si="51"/>
        <v/>
      </c>
      <c r="B1140" s="78"/>
      <c r="C1140" s="80"/>
      <c r="D1140" s="80"/>
      <c r="E1140" s="79"/>
      <c r="F1140" s="87" t="str">
        <f>IF($E1140="","",IFERROR(INDEX(基础资料!$O$4:$O$34,MATCH($E1140,基础资料!$N$4:$N$34,0))&amp;"",""))</f>
        <v/>
      </c>
      <c r="G1140" s="87" t="str">
        <f>IF($E1140="","",IFERROR(INDEX(基础资料!$P$4:$P$34,MATCH($E1140,基础资料!$N$4:$N$34,0))&amp;"",""))</f>
        <v/>
      </c>
      <c r="H1140" s="79"/>
      <c r="I1140" s="88"/>
      <c r="J1140" s="92"/>
      <c r="K1140" s="93"/>
      <c r="L1140" s="25" t="str">
        <f t="shared" si="52"/>
        <v/>
      </c>
      <c r="M1140" s="94"/>
      <c r="N1140" s="26" t="str">
        <f t="shared" si="53"/>
        <v/>
      </c>
      <c r="O1140" s="80"/>
      <c r="P1140" s="80"/>
      <c r="Q1140" s="80"/>
      <c r="R1140" s="80"/>
    </row>
    <row r="1141" ht="18" customHeight="1" spans="1:18">
      <c r="A1141" s="87" t="str">
        <f t="shared" si="51"/>
        <v/>
      </c>
      <c r="B1141" s="78"/>
      <c r="C1141" s="80"/>
      <c r="D1141" s="80"/>
      <c r="E1141" s="79"/>
      <c r="F1141" s="87" t="str">
        <f>IF($E1141="","",IFERROR(INDEX(基础资料!$O$4:$O$34,MATCH($E1141,基础资料!$N$4:$N$34,0))&amp;"",""))</f>
        <v/>
      </c>
      <c r="G1141" s="87" t="str">
        <f>IF($E1141="","",IFERROR(INDEX(基础资料!$P$4:$P$34,MATCH($E1141,基础资料!$N$4:$N$34,0))&amp;"",""))</f>
        <v/>
      </c>
      <c r="H1141" s="79"/>
      <c r="I1141" s="88"/>
      <c r="J1141" s="92"/>
      <c r="K1141" s="93"/>
      <c r="L1141" s="25" t="str">
        <f t="shared" si="52"/>
        <v/>
      </c>
      <c r="M1141" s="94"/>
      <c r="N1141" s="26" t="str">
        <f t="shared" si="53"/>
        <v/>
      </c>
      <c r="O1141" s="80"/>
      <c r="P1141" s="80"/>
      <c r="Q1141" s="80"/>
      <c r="R1141" s="80"/>
    </row>
    <row r="1142" ht="18" customHeight="1" spans="1:18">
      <c r="A1142" s="87" t="str">
        <f t="shared" si="51"/>
        <v/>
      </c>
      <c r="B1142" s="78"/>
      <c r="C1142" s="80"/>
      <c r="D1142" s="80"/>
      <c r="E1142" s="79"/>
      <c r="F1142" s="87" t="str">
        <f>IF($E1142="","",IFERROR(INDEX(基础资料!$O$4:$O$34,MATCH($E1142,基础资料!$N$4:$N$34,0))&amp;"",""))</f>
        <v/>
      </c>
      <c r="G1142" s="87" t="str">
        <f>IF($E1142="","",IFERROR(INDEX(基础资料!$P$4:$P$34,MATCH($E1142,基础资料!$N$4:$N$34,0))&amp;"",""))</f>
        <v/>
      </c>
      <c r="H1142" s="79"/>
      <c r="I1142" s="88"/>
      <c r="J1142" s="92"/>
      <c r="K1142" s="93"/>
      <c r="L1142" s="25" t="str">
        <f t="shared" si="52"/>
        <v/>
      </c>
      <c r="M1142" s="94"/>
      <c r="N1142" s="26" t="str">
        <f t="shared" si="53"/>
        <v/>
      </c>
      <c r="O1142" s="80"/>
      <c r="P1142" s="80"/>
      <c r="Q1142" s="80"/>
      <c r="R1142" s="80"/>
    </row>
    <row r="1143" ht="18" customHeight="1" spans="1:18">
      <c r="A1143" s="87" t="str">
        <f t="shared" si="51"/>
        <v/>
      </c>
      <c r="B1143" s="78"/>
      <c r="C1143" s="80"/>
      <c r="D1143" s="80"/>
      <c r="E1143" s="79"/>
      <c r="F1143" s="87" t="str">
        <f>IF($E1143="","",IFERROR(INDEX(基础资料!$O$4:$O$34,MATCH($E1143,基础资料!$N$4:$N$34,0))&amp;"",""))</f>
        <v/>
      </c>
      <c r="G1143" s="87" t="str">
        <f>IF($E1143="","",IFERROR(INDEX(基础资料!$P$4:$P$34,MATCH($E1143,基础资料!$N$4:$N$34,0))&amp;"",""))</f>
        <v/>
      </c>
      <c r="H1143" s="79"/>
      <c r="I1143" s="88"/>
      <c r="J1143" s="92"/>
      <c r="K1143" s="93"/>
      <c r="L1143" s="25" t="str">
        <f t="shared" si="52"/>
        <v/>
      </c>
      <c r="M1143" s="94"/>
      <c r="N1143" s="26" t="str">
        <f t="shared" si="53"/>
        <v/>
      </c>
      <c r="O1143" s="80"/>
      <c r="P1143" s="80"/>
      <c r="Q1143" s="80"/>
      <c r="R1143" s="80"/>
    </row>
    <row r="1144" ht="18" customHeight="1" spans="1:18">
      <c r="A1144" s="87" t="str">
        <f t="shared" si="51"/>
        <v/>
      </c>
      <c r="B1144" s="78"/>
      <c r="C1144" s="80"/>
      <c r="D1144" s="80"/>
      <c r="E1144" s="79"/>
      <c r="F1144" s="87" t="str">
        <f>IF($E1144="","",IFERROR(INDEX(基础资料!$O$4:$O$34,MATCH($E1144,基础资料!$N$4:$N$34,0))&amp;"",""))</f>
        <v/>
      </c>
      <c r="G1144" s="87" t="str">
        <f>IF($E1144="","",IFERROR(INDEX(基础资料!$P$4:$P$34,MATCH($E1144,基础资料!$N$4:$N$34,0))&amp;"",""))</f>
        <v/>
      </c>
      <c r="H1144" s="79"/>
      <c r="I1144" s="88"/>
      <c r="J1144" s="92"/>
      <c r="K1144" s="93"/>
      <c r="L1144" s="25" t="str">
        <f t="shared" si="52"/>
        <v/>
      </c>
      <c r="M1144" s="94"/>
      <c r="N1144" s="26" t="str">
        <f t="shared" si="53"/>
        <v/>
      </c>
      <c r="O1144" s="80"/>
      <c r="P1144" s="80"/>
      <c r="Q1144" s="80"/>
      <c r="R1144" s="80"/>
    </row>
    <row r="1145" ht="18" customHeight="1" spans="1:18">
      <c r="A1145" s="87" t="str">
        <f t="shared" si="51"/>
        <v/>
      </c>
      <c r="B1145" s="78"/>
      <c r="C1145" s="80"/>
      <c r="D1145" s="80"/>
      <c r="E1145" s="79"/>
      <c r="F1145" s="87" t="str">
        <f>IF($E1145="","",IFERROR(INDEX(基础资料!$O$4:$O$34,MATCH($E1145,基础资料!$N$4:$N$34,0))&amp;"",""))</f>
        <v/>
      </c>
      <c r="G1145" s="87" t="str">
        <f>IF($E1145="","",IFERROR(INDEX(基础资料!$P$4:$P$34,MATCH($E1145,基础资料!$N$4:$N$34,0))&amp;"",""))</f>
        <v/>
      </c>
      <c r="H1145" s="79"/>
      <c r="I1145" s="88"/>
      <c r="J1145" s="92"/>
      <c r="K1145" s="93"/>
      <c r="L1145" s="25" t="str">
        <f t="shared" si="52"/>
        <v/>
      </c>
      <c r="M1145" s="94"/>
      <c r="N1145" s="26" t="str">
        <f t="shared" si="53"/>
        <v/>
      </c>
      <c r="O1145" s="80"/>
      <c r="P1145" s="80"/>
      <c r="Q1145" s="80"/>
      <c r="R1145" s="80"/>
    </row>
    <row r="1146" ht="18" customHeight="1" spans="1:18">
      <c r="A1146" s="87" t="str">
        <f t="shared" si="51"/>
        <v/>
      </c>
      <c r="B1146" s="78"/>
      <c r="C1146" s="80"/>
      <c r="D1146" s="80"/>
      <c r="E1146" s="79"/>
      <c r="F1146" s="87" t="str">
        <f>IF($E1146="","",IFERROR(INDEX(基础资料!$O$4:$O$34,MATCH($E1146,基础资料!$N$4:$N$34,0))&amp;"",""))</f>
        <v/>
      </c>
      <c r="G1146" s="87" t="str">
        <f>IF($E1146="","",IFERROR(INDEX(基础资料!$P$4:$P$34,MATCH($E1146,基础资料!$N$4:$N$34,0))&amp;"",""))</f>
        <v/>
      </c>
      <c r="H1146" s="79"/>
      <c r="I1146" s="88"/>
      <c r="J1146" s="92"/>
      <c r="K1146" s="93"/>
      <c r="L1146" s="25" t="str">
        <f t="shared" si="52"/>
        <v/>
      </c>
      <c r="M1146" s="94"/>
      <c r="N1146" s="26" t="str">
        <f t="shared" si="53"/>
        <v/>
      </c>
      <c r="O1146" s="80"/>
      <c r="P1146" s="80"/>
      <c r="Q1146" s="80"/>
      <c r="R1146" s="80"/>
    </row>
    <row r="1147" ht="18" customHeight="1" spans="1:18">
      <c r="A1147" s="87" t="str">
        <f t="shared" si="51"/>
        <v/>
      </c>
      <c r="B1147" s="78"/>
      <c r="C1147" s="80"/>
      <c r="D1147" s="80"/>
      <c r="E1147" s="79"/>
      <c r="F1147" s="87" t="str">
        <f>IF($E1147="","",IFERROR(INDEX(基础资料!$O$4:$O$34,MATCH($E1147,基础资料!$N$4:$N$34,0))&amp;"",""))</f>
        <v/>
      </c>
      <c r="G1147" s="87" t="str">
        <f>IF($E1147="","",IFERROR(INDEX(基础资料!$P$4:$P$34,MATCH($E1147,基础资料!$N$4:$N$34,0))&amp;"",""))</f>
        <v/>
      </c>
      <c r="H1147" s="79"/>
      <c r="I1147" s="88"/>
      <c r="J1147" s="92"/>
      <c r="K1147" s="93"/>
      <c r="L1147" s="25" t="str">
        <f t="shared" si="52"/>
        <v/>
      </c>
      <c r="M1147" s="94"/>
      <c r="N1147" s="26" t="str">
        <f t="shared" si="53"/>
        <v/>
      </c>
      <c r="O1147" s="80"/>
      <c r="P1147" s="80"/>
      <c r="Q1147" s="80"/>
      <c r="R1147" s="80"/>
    </row>
    <row r="1148" ht="18" customHeight="1" spans="1:18">
      <c r="A1148" s="87" t="str">
        <f t="shared" si="51"/>
        <v/>
      </c>
      <c r="B1148" s="78"/>
      <c r="C1148" s="80"/>
      <c r="D1148" s="80"/>
      <c r="E1148" s="79"/>
      <c r="F1148" s="87" t="str">
        <f>IF($E1148="","",IFERROR(INDEX(基础资料!$O$4:$O$34,MATCH($E1148,基础资料!$N$4:$N$34,0))&amp;"",""))</f>
        <v/>
      </c>
      <c r="G1148" s="87" t="str">
        <f>IF($E1148="","",IFERROR(INDEX(基础资料!$P$4:$P$34,MATCH($E1148,基础资料!$N$4:$N$34,0))&amp;"",""))</f>
        <v/>
      </c>
      <c r="H1148" s="79"/>
      <c r="I1148" s="88"/>
      <c r="J1148" s="92"/>
      <c r="K1148" s="93"/>
      <c r="L1148" s="25" t="str">
        <f t="shared" si="52"/>
        <v/>
      </c>
      <c r="M1148" s="94"/>
      <c r="N1148" s="26" t="str">
        <f t="shared" si="53"/>
        <v/>
      </c>
      <c r="O1148" s="80"/>
      <c r="P1148" s="80"/>
      <c r="Q1148" s="80"/>
      <c r="R1148" s="80"/>
    </row>
    <row r="1149" ht="18" customHeight="1" spans="1:18">
      <c r="A1149" s="87" t="str">
        <f t="shared" si="51"/>
        <v/>
      </c>
      <c r="B1149" s="78"/>
      <c r="C1149" s="80"/>
      <c r="D1149" s="80"/>
      <c r="E1149" s="79"/>
      <c r="F1149" s="87" t="str">
        <f>IF($E1149="","",IFERROR(INDEX(基础资料!$O$4:$O$34,MATCH($E1149,基础资料!$N$4:$N$34,0))&amp;"",""))</f>
        <v/>
      </c>
      <c r="G1149" s="87" t="str">
        <f>IF($E1149="","",IFERROR(INDEX(基础资料!$P$4:$P$34,MATCH($E1149,基础资料!$N$4:$N$34,0))&amp;"",""))</f>
        <v/>
      </c>
      <c r="H1149" s="79"/>
      <c r="I1149" s="88"/>
      <c r="J1149" s="92"/>
      <c r="K1149" s="93"/>
      <c r="L1149" s="25" t="str">
        <f t="shared" si="52"/>
        <v/>
      </c>
      <c r="M1149" s="94"/>
      <c r="N1149" s="26" t="str">
        <f t="shared" si="53"/>
        <v/>
      </c>
      <c r="O1149" s="80"/>
      <c r="P1149" s="80"/>
      <c r="Q1149" s="80"/>
      <c r="R1149" s="80"/>
    </row>
    <row r="1150" ht="18" customHeight="1" spans="1:18">
      <c r="A1150" s="87" t="str">
        <f t="shared" si="51"/>
        <v/>
      </c>
      <c r="B1150" s="78"/>
      <c r="C1150" s="80"/>
      <c r="D1150" s="80"/>
      <c r="E1150" s="79"/>
      <c r="F1150" s="87" t="str">
        <f>IF($E1150="","",IFERROR(INDEX(基础资料!$O$4:$O$34,MATCH($E1150,基础资料!$N$4:$N$34,0))&amp;"",""))</f>
        <v/>
      </c>
      <c r="G1150" s="87" t="str">
        <f>IF($E1150="","",IFERROR(INDEX(基础资料!$P$4:$P$34,MATCH($E1150,基础资料!$N$4:$N$34,0))&amp;"",""))</f>
        <v/>
      </c>
      <c r="H1150" s="79"/>
      <c r="I1150" s="88"/>
      <c r="J1150" s="92"/>
      <c r="K1150" s="93"/>
      <c r="L1150" s="25" t="str">
        <f t="shared" si="52"/>
        <v/>
      </c>
      <c r="M1150" s="94"/>
      <c r="N1150" s="26" t="str">
        <f t="shared" si="53"/>
        <v/>
      </c>
      <c r="O1150" s="80"/>
      <c r="P1150" s="80"/>
      <c r="Q1150" s="80"/>
      <c r="R1150" s="80"/>
    </row>
    <row r="1151" ht="18" customHeight="1" spans="1:18">
      <c r="A1151" s="87" t="str">
        <f t="shared" si="51"/>
        <v/>
      </c>
      <c r="B1151" s="78"/>
      <c r="C1151" s="80"/>
      <c r="D1151" s="80"/>
      <c r="E1151" s="79"/>
      <c r="F1151" s="87" t="str">
        <f>IF($E1151="","",IFERROR(INDEX(基础资料!$O$4:$O$34,MATCH($E1151,基础资料!$N$4:$N$34,0))&amp;"",""))</f>
        <v/>
      </c>
      <c r="G1151" s="87" t="str">
        <f>IF($E1151="","",IFERROR(INDEX(基础资料!$P$4:$P$34,MATCH($E1151,基础资料!$N$4:$N$34,0))&amp;"",""))</f>
        <v/>
      </c>
      <c r="H1151" s="79"/>
      <c r="I1151" s="88"/>
      <c r="J1151" s="92"/>
      <c r="K1151" s="93"/>
      <c r="L1151" s="25" t="str">
        <f t="shared" si="52"/>
        <v/>
      </c>
      <c r="M1151" s="94"/>
      <c r="N1151" s="26" t="str">
        <f t="shared" si="53"/>
        <v/>
      </c>
      <c r="O1151" s="80"/>
      <c r="P1151" s="80"/>
      <c r="Q1151" s="80"/>
      <c r="R1151" s="80"/>
    </row>
    <row r="1152" ht="18" customHeight="1" spans="1:18">
      <c r="A1152" s="87" t="str">
        <f t="shared" si="51"/>
        <v/>
      </c>
      <c r="B1152" s="78"/>
      <c r="C1152" s="80"/>
      <c r="D1152" s="80"/>
      <c r="E1152" s="79"/>
      <c r="F1152" s="87" t="str">
        <f>IF($E1152="","",IFERROR(INDEX(基础资料!$O$4:$O$34,MATCH($E1152,基础资料!$N$4:$N$34,0))&amp;"",""))</f>
        <v/>
      </c>
      <c r="G1152" s="87" t="str">
        <f>IF($E1152="","",IFERROR(INDEX(基础资料!$P$4:$P$34,MATCH($E1152,基础资料!$N$4:$N$34,0))&amp;"",""))</f>
        <v/>
      </c>
      <c r="H1152" s="79"/>
      <c r="I1152" s="88"/>
      <c r="J1152" s="92"/>
      <c r="K1152" s="93"/>
      <c r="L1152" s="25" t="str">
        <f t="shared" si="52"/>
        <v/>
      </c>
      <c r="M1152" s="94"/>
      <c r="N1152" s="26" t="str">
        <f t="shared" si="53"/>
        <v/>
      </c>
      <c r="O1152" s="80"/>
      <c r="P1152" s="80"/>
      <c r="Q1152" s="80"/>
      <c r="R1152" s="80"/>
    </row>
    <row r="1153" ht="18" customHeight="1" spans="1:18">
      <c r="A1153" s="87" t="str">
        <f t="shared" si="51"/>
        <v/>
      </c>
      <c r="B1153" s="78"/>
      <c r="C1153" s="80"/>
      <c r="D1153" s="80"/>
      <c r="E1153" s="79"/>
      <c r="F1153" s="87" t="str">
        <f>IF($E1153="","",IFERROR(INDEX(基础资料!$O$4:$O$34,MATCH($E1153,基础资料!$N$4:$N$34,0))&amp;"",""))</f>
        <v/>
      </c>
      <c r="G1153" s="87" t="str">
        <f>IF($E1153="","",IFERROR(INDEX(基础资料!$P$4:$P$34,MATCH($E1153,基础资料!$N$4:$N$34,0))&amp;"",""))</f>
        <v/>
      </c>
      <c r="H1153" s="79"/>
      <c r="I1153" s="88"/>
      <c r="J1153" s="92"/>
      <c r="K1153" s="93"/>
      <c r="L1153" s="25" t="str">
        <f t="shared" si="52"/>
        <v/>
      </c>
      <c r="M1153" s="94"/>
      <c r="N1153" s="26" t="str">
        <f t="shared" si="53"/>
        <v/>
      </c>
      <c r="O1153" s="80"/>
      <c r="P1153" s="80"/>
      <c r="Q1153" s="80"/>
      <c r="R1153" s="80"/>
    </row>
    <row r="1154" ht="18" customHeight="1" spans="1:18">
      <c r="A1154" s="87" t="str">
        <f t="shared" si="51"/>
        <v/>
      </c>
      <c r="B1154" s="78"/>
      <c r="C1154" s="80"/>
      <c r="D1154" s="80"/>
      <c r="E1154" s="79"/>
      <c r="F1154" s="87" t="str">
        <f>IF($E1154="","",IFERROR(INDEX(基础资料!$O$4:$O$34,MATCH($E1154,基础资料!$N$4:$N$34,0))&amp;"",""))</f>
        <v/>
      </c>
      <c r="G1154" s="87" t="str">
        <f>IF($E1154="","",IFERROR(INDEX(基础资料!$P$4:$P$34,MATCH($E1154,基础资料!$N$4:$N$34,0))&amp;"",""))</f>
        <v/>
      </c>
      <c r="H1154" s="79"/>
      <c r="I1154" s="88"/>
      <c r="J1154" s="92"/>
      <c r="K1154" s="93"/>
      <c r="L1154" s="25" t="str">
        <f t="shared" si="52"/>
        <v/>
      </c>
      <c r="M1154" s="94"/>
      <c r="N1154" s="26" t="str">
        <f t="shared" si="53"/>
        <v/>
      </c>
      <c r="O1154" s="80"/>
      <c r="P1154" s="80"/>
      <c r="Q1154" s="80"/>
      <c r="R1154" s="80"/>
    </row>
    <row r="1155" ht="18" customHeight="1" spans="1:18">
      <c r="A1155" s="87" t="str">
        <f t="shared" si="51"/>
        <v/>
      </c>
      <c r="B1155" s="78"/>
      <c r="C1155" s="80"/>
      <c r="D1155" s="80"/>
      <c r="E1155" s="79"/>
      <c r="F1155" s="87" t="str">
        <f>IF($E1155="","",IFERROR(INDEX(基础资料!$O$4:$O$34,MATCH($E1155,基础资料!$N$4:$N$34,0))&amp;"",""))</f>
        <v/>
      </c>
      <c r="G1155" s="87" t="str">
        <f>IF($E1155="","",IFERROR(INDEX(基础资料!$P$4:$P$34,MATCH($E1155,基础资料!$N$4:$N$34,0))&amp;"",""))</f>
        <v/>
      </c>
      <c r="H1155" s="79"/>
      <c r="I1155" s="88"/>
      <c r="J1155" s="92"/>
      <c r="K1155" s="93"/>
      <c r="L1155" s="25" t="str">
        <f t="shared" si="52"/>
        <v/>
      </c>
      <c r="M1155" s="94"/>
      <c r="N1155" s="26" t="str">
        <f t="shared" si="53"/>
        <v/>
      </c>
      <c r="O1155" s="80"/>
      <c r="P1155" s="80"/>
      <c r="Q1155" s="80"/>
      <c r="R1155" s="80"/>
    </row>
    <row r="1156" ht="18" customHeight="1" spans="1:18">
      <c r="A1156" s="87" t="str">
        <f t="shared" ref="A1156:A1219" si="54">IF($E1156="","",ROW()-3)</f>
        <v/>
      </c>
      <c r="B1156" s="78"/>
      <c r="C1156" s="80"/>
      <c r="D1156" s="80"/>
      <c r="E1156" s="79"/>
      <c r="F1156" s="87" t="str">
        <f>IF($E1156="","",IFERROR(INDEX(基础资料!$O$4:$O$34,MATCH($E1156,基础资料!$N$4:$N$34,0))&amp;"",""))</f>
        <v/>
      </c>
      <c r="G1156" s="87" t="str">
        <f>IF($E1156="","",IFERROR(INDEX(基础资料!$P$4:$P$34,MATCH($E1156,基础资料!$N$4:$N$34,0))&amp;"",""))</f>
        <v/>
      </c>
      <c r="H1156" s="79"/>
      <c r="I1156" s="88"/>
      <c r="J1156" s="92"/>
      <c r="K1156" s="93"/>
      <c r="L1156" s="25" t="str">
        <f t="shared" ref="L1156:L1219" si="55">IF($E1156="","",N($I1156)+N($J1156)-N($K1156))</f>
        <v/>
      </c>
      <c r="M1156" s="94"/>
      <c r="N1156" s="26" t="str">
        <f t="shared" ref="N1156:N1219" si="56">IF($E1156="","",ROUND(N($L1156)*N($M1156),2))</f>
        <v/>
      </c>
      <c r="O1156" s="80"/>
      <c r="P1156" s="80"/>
      <c r="Q1156" s="80"/>
      <c r="R1156" s="80"/>
    </row>
    <row r="1157" ht="18" customHeight="1" spans="1:18">
      <c r="A1157" s="87" t="str">
        <f t="shared" si="54"/>
        <v/>
      </c>
      <c r="B1157" s="78"/>
      <c r="C1157" s="80"/>
      <c r="D1157" s="80"/>
      <c r="E1157" s="79"/>
      <c r="F1157" s="87" t="str">
        <f>IF($E1157="","",IFERROR(INDEX(基础资料!$O$4:$O$34,MATCH($E1157,基础资料!$N$4:$N$34,0))&amp;"",""))</f>
        <v/>
      </c>
      <c r="G1157" s="87" t="str">
        <f>IF($E1157="","",IFERROR(INDEX(基础资料!$P$4:$P$34,MATCH($E1157,基础资料!$N$4:$N$34,0))&amp;"",""))</f>
        <v/>
      </c>
      <c r="H1157" s="79"/>
      <c r="I1157" s="88"/>
      <c r="J1157" s="92"/>
      <c r="K1157" s="93"/>
      <c r="L1157" s="25" t="str">
        <f t="shared" si="55"/>
        <v/>
      </c>
      <c r="M1157" s="94"/>
      <c r="N1157" s="26" t="str">
        <f t="shared" si="56"/>
        <v/>
      </c>
      <c r="O1157" s="80"/>
      <c r="P1157" s="80"/>
      <c r="Q1157" s="80"/>
      <c r="R1157" s="80"/>
    </row>
    <row r="1158" ht="18" customHeight="1" spans="1:18">
      <c r="A1158" s="87" t="str">
        <f t="shared" si="54"/>
        <v/>
      </c>
      <c r="B1158" s="78"/>
      <c r="C1158" s="80"/>
      <c r="D1158" s="80"/>
      <c r="E1158" s="79"/>
      <c r="F1158" s="87" t="str">
        <f>IF($E1158="","",IFERROR(INDEX(基础资料!$O$4:$O$34,MATCH($E1158,基础资料!$N$4:$N$34,0))&amp;"",""))</f>
        <v/>
      </c>
      <c r="G1158" s="87" t="str">
        <f>IF($E1158="","",IFERROR(INDEX(基础资料!$P$4:$P$34,MATCH($E1158,基础资料!$N$4:$N$34,0))&amp;"",""))</f>
        <v/>
      </c>
      <c r="H1158" s="79"/>
      <c r="I1158" s="88"/>
      <c r="J1158" s="92"/>
      <c r="K1158" s="93"/>
      <c r="L1158" s="25" t="str">
        <f t="shared" si="55"/>
        <v/>
      </c>
      <c r="M1158" s="94"/>
      <c r="N1158" s="26" t="str">
        <f t="shared" si="56"/>
        <v/>
      </c>
      <c r="O1158" s="80"/>
      <c r="P1158" s="80"/>
      <c r="Q1158" s="80"/>
      <c r="R1158" s="80"/>
    </row>
    <row r="1159" ht="18" customHeight="1" spans="1:18">
      <c r="A1159" s="87" t="str">
        <f t="shared" si="54"/>
        <v/>
      </c>
      <c r="B1159" s="78"/>
      <c r="C1159" s="80"/>
      <c r="D1159" s="80"/>
      <c r="E1159" s="79"/>
      <c r="F1159" s="87" t="str">
        <f>IF($E1159="","",IFERROR(INDEX(基础资料!$O$4:$O$34,MATCH($E1159,基础资料!$N$4:$N$34,0))&amp;"",""))</f>
        <v/>
      </c>
      <c r="G1159" s="87" t="str">
        <f>IF($E1159="","",IFERROR(INDEX(基础资料!$P$4:$P$34,MATCH($E1159,基础资料!$N$4:$N$34,0))&amp;"",""))</f>
        <v/>
      </c>
      <c r="H1159" s="79"/>
      <c r="I1159" s="88"/>
      <c r="J1159" s="92"/>
      <c r="K1159" s="93"/>
      <c r="L1159" s="25" t="str">
        <f t="shared" si="55"/>
        <v/>
      </c>
      <c r="M1159" s="94"/>
      <c r="N1159" s="26" t="str">
        <f t="shared" si="56"/>
        <v/>
      </c>
      <c r="O1159" s="80"/>
      <c r="P1159" s="80"/>
      <c r="Q1159" s="80"/>
      <c r="R1159" s="80"/>
    </row>
    <row r="1160" ht="18" customHeight="1" spans="1:18">
      <c r="A1160" s="87" t="str">
        <f t="shared" si="54"/>
        <v/>
      </c>
      <c r="B1160" s="78"/>
      <c r="C1160" s="80"/>
      <c r="D1160" s="80"/>
      <c r="E1160" s="79"/>
      <c r="F1160" s="87" t="str">
        <f>IF($E1160="","",IFERROR(INDEX(基础资料!$O$4:$O$34,MATCH($E1160,基础资料!$N$4:$N$34,0))&amp;"",""))</f>
        <v/>
      </c>
      <c r="G1160" s="87" t="str">
        <f>IF($E1160="","",IFERROR(INDEX(基础资料!$P$4:$P$34,MATCH($E1160,基础资料!$N$4:$N$34,0))&amp;"",""))</f>
        <v/>
      </c>
      <c r="H1160" s="79"/>
      <c r="I1160" s="88"/>
      <c r="J1160" s="92"/>
      <c r="K1160" s="93"/>
      <c r="L1160" s="25" t="str">
        <f t="shared" si="55"/>
        <v/>
      </c>
      <c r="M1160" s="94"/>
      <c r="N1160" s="26" t="str">
        <f t="shared" si="56"/>
        <v/>
      </c>
      <c r="O1160" s="80"/>
      <c r="P1160" s="80"/>
      <c r="Q1160" s="80"/>
      <c r="R1160" s="80"/>
    </row>
    <row r="1161" ht="18" customHeight="1" spans="1:18">
      <c r="A1161" s="87" t="str">
        <f t="shared" si="54"/>
        <v/>
      </c>
      <c r="B1161" s="78"/>
      <c r="C1161" s="80"/>
      <c r="D1161" s="80"/>
      <c r="E1161" s="79"/>
      <c r="F1161" s="87" t="str">
        <f>IF($E1161="","",IFERROR(INDEX(基础资料!$O$4:$O$34,MATCH($E1161,基础资料!$N$4:$N$34,0))&amp;"",""))</f>
        <v/>
      </c>
      <c r="G1161" s="87" t="str">
        <f>IF($E1161="","",IFERROR(INDEX(基础资料!$P$4:$P$34,MATCH($E1161,基础资料!$N$4:$N$34,0))&amp;"",""))</f>
        <v/>
      </c>
      <c r="H1161" s="79"/>
      <c r="I1161" s="88"/>
      <c r="J1161" s="92"/>
      <c r="K1161" s="93"/>
      <c r="L1161" s="25" t="str">
        <f t="shared" si="55"/>
        <v/>
      </c>
      <c r="M1161" s="94"/>
      <c r="N1161" s="26" t="str">
        <f t="shared" si="56"/>
        <v/>
      </c>
      <c r="O1161" s="80"/>
      <c r="P1161" s="80"/>
      <c r="Q1161" s="80"/>
      <c r="R1161" s="80"/>
    </row>
    <row r="1162" ht="18" customHeight="1" spans="1:18">
      <c r="A1162" s="87" t="str">
        <f t="shared" si="54"/>
        <v/>
      </c>
      <c r="B1162" s="78"/>
      <c r="C1162" s="80"/>
      <c r="D1162" s="80"/>
      <c r="E1162" s="79"/>
      <c r="F1162" s="87" t="str">
        <f>IF($E1162="","",IFERROR(INDEX(基础资料!$O$4:$O$34,MATCH($E1162,基础资料!$N$4:$N$34,0))&amp;"",""))</f>
        <v/>
      </c>
      <c r="G1162" s="87" t="str">
        <f>IF($E1162="","",IFERROR(INDEX(基础资料!$P$4:$P$34,MATCH($E1162,基础资料!$N$4:$N$34,0))&amp;"",""))</f>
        <v/>
      </c>
      <c r="H1162" s="79"/>
      <c r="I1162" s="88"/>
      <c r="J1162" s="92"/>
      <c r="K1162" s="93"/>
      <c r="L1162" s="25" t="str">
        <f t="shared" si="55"/>
        <v/>
      </c>
      <c r="M1162" s="94"/>
      <c r="N1162" s="26" t="str">
        <f t="shared" si="56"/>
        <v/>
      </c>
      <c r="O1162" s="80"/>
      <c r="P1162" s="80"/>
      <c r="Q1162" s="80"/>
      <c r="R1162" s="80"/>
    </row>
    <row r="1163" ht="18" customHeight="1" spans="1:18">
      <c r="A1163" s="87" t="str">
        <f t="shared" si="54"/>
        <v/>
      </c>
      <c r="B1163" s="78"/>
      <c r="C1163" s="80"/>
      <c r="D1163" s="80"/>
      <c r="E1163" s="79"/>
      <c r="F1163" s="87" t="str">
        <f>IF($E1163="","",IFERROR(INDEX(基础资料!$O$4:$O$34,MATCH($E1163,基础资料!$N$4:$N$34,0))&amp;"",""))</f>
        <v/>
      </c>
      <c r="G1163" s="87" t="str">
        <f>IF($E1163="","",IFERROR(INDEX(基础资料!$P$4:$P$34,MATCH($E1163,基础资料!$N$4:$N$34,0))&amp;"",""))</f>
        <v/>
      </c>
      <c r="H1163" s="79"/>
      <c r="I1163" s="88"/>
      <c r="J1163" s="92"/>
      <c r="K1163" s="93"/>
      <c r="L1163" s="25" t="str">
        <f t="shared" si="55"/>
        <v/>
      </c>
      <c r="M1163" s="94"/>
      <c r="N1163" s="26" t="str">
        <f t="shared" si="56"/>
        <v/>
      </c>
      <c r="O1163" s="80"/>
      <c r="P1163" s="80"/>
      <c r="Q1163" s="80"/>
      <c r="R1163" s="80"/>
    </row>
    <row r="1164" ht="18" customHeight="1" spans="1:18">
      <c r="A1164" s="87" t="str">
        <f t="shared" si="54"/>
        <v/>
      </c>
      <c r="B1164" s="78"/>
      <c r="C1164" s="80"/>
      <c r="D1164" s="80"/>
      <c r="E1164" s="79"/>
      <c r="F1164" s="87" t="str">
        <f>IF($E1164="","",IFERROR(INDEX(基础资料!$O$4:$O$34,MATCH($E1164,基础资料!$N$4:$N$34,0))&amp;"",""))</f>
        <v/>
      </c>
      <c r="G1164" s="87" t="str">
        <f>IF($E1164="","",IFERROR(INDEX(基础资料!$P$4:$P$34,MATCH($E1164,基础资料!$N$4:$N$34,0))&amp;"",""))</f>
        <v/>
      </c>
      <c r="H1164" s="79"/>
      <c r="I1164" s="88"/>
      <c r="J1164" s="92"/>
      <c r="K1164" s="93"/>
      <c r="L1164" s="25" t="str">
        <f t="shared" si="55"/>
        <v/>
      </c>
      <c r="M1164" s="94"/>
      <c r="N1164" s="26" t="str">
        <f t="shared" si="56"/>
        <v/>
      </c>
      <c r="O1164" s="80"/>
      <c r="P1164" s="80"/>
      <c r="Q1164" s="80"/>
      <c r="R1164" s="80"/>
    </row>
    <row r="1165" ht="18" customHeight="1" spans="1:18">
      <c r="A1165" s="87" t="str">
        <f t="shared" si="54"/>
        <v/>
      </c>
      <c r="B1165" s="78"/>
      <c r="C1165" s="80"/>
      <c r="D1165" s="80"/>
      <c r="E1165" s="79"/>
      <c r="F1165" s="87" t="str">
        <f>IF($E1165="","",IFERROR(INDEX(基础资料!$O$4:$O$34,MATCH($E1165,基础资料!$N$4:$N$34,0))&amp;"",""))</f>
        <v/>
      </c>
      <c r="G1165" s="87" t="str">
        <f>IF($E1165="","",IFERROR(INDEX(基础资料!$P$4:$P$34,MATCH($E1165,基础资料!$N$4:$N$34,0))&amp;"",""))</f>
        <v/>
      </c>
      <c r="H1165" s="79"/>
      <c r="I1165" s="88"/>
      <c r="J1165" s="92"/>
      <c r="K1165" s="93"/>
      <c r="L1165" s="25" t="str">
        <f t="shared" si="55"/>
        <v/>
      </c>
      <c r="M1165" s="94"/>
      <c r="N1165" s="26" t="str">
        <f t="shared" si="56"/>
        <v/>
      </c>
      <c r="O1165" s="80"/>
      <c r="P1165" s="80"/>
      <c r="Q1165" s="80"/>
      <c r="R1165" s="80"/>
    </row>
    <row r="1166" ht="18" customHeight="1" spans="1:18">
      <c r="A1166" s="87" t="str">
        <f t="shared" si="54"/>
        <v/>
      </c>
      <c r="B1166" s="78"/>
      <c r="C1166" s="80"/>
      <c r="D1166" s="80"/>
      <c r="E1166" s="79"/>
      <c r="F1166" s="87" t="str">
        <f>IF($E1166="","",IFERROR(INDEX(基础资料!$O$4:$O$34,MATCH($E1166,基础资料!$N$4:$N$34,0))&amp;"",""))</f>
        <v/>
      </c>
      <c r="G1166" s="87" t="str">
        <f>IF($E1166="","",IFERROR(INDEX(基础资料!$P$4:$P$34,MATCH($E1166,基础资料!$N$4:$N$34,0))&amp;"",""))</f>
        <v/>
      </c>
      <c r="H1166" s="79"/>
      <c r="I1166" s="88"/>
      <c r="J1166" s="92"/>
      <c r="K1166" s="93"/>
      <c r="L1166" s="25" t="str">
        <f t="shared" si="55"/>
        <v/>
      </c>
      <c r="M1166" s="94"/>
      <c r="N1166" s="26" t="str">
        <f t="shared" si="56"/>
        <v/>
      </c>
      <c r="O1166" s="80"/>
      <c r="P1166" s="80"/>
      <c r="Q1166" s="80"/>
      <c r="R1166" s="80"/>
    </row>
    <row r="1167" ht="18" customHeight="1" spans="1:18">
      <c r="A1167" s="87" t="str">
        <f t="shared" si="54"/>
        <v/>
      </c>
      <c r="B1167" s="78"/>
      <c r="C1167" s="80"/>
      <c r="D1167" s="80"/>
      <c r="E1167" s="79"/>
      <c r="F1167" s="87" t="str">
        <f>IF($E1167="","",IFERROR(INDEX(基础资料!$O$4:$O$34,MATCH($E1167,基础资料!$N$4:$N$34,0))&amp;"",""))</f>
        <v/>
      </c>
      <c r="G1167" s="87" t="str">
        <f>IF($E1167="","",IFERROR(INDEX(基础资料!$P$4:$P$34,MATCH($E1167,基础资料!$N$4:$N$34,0))&amp;"",""))</f>
        <v/>
      </c>
      <c r="H1167" s="79"/>
      <c r="I1167" s="88"/>
      <c r="J1167" s="92"/>
      <c r="K1167" s="93"/>
      <c r="L1167" s="25" t="str">
        <f t="shared" si="55"/>
        <v/>
      </c>
      <c r="M1167" s="94"/>
      <c r="N1167" s="26" t="str">
        <f t="shared" si="56"/>
        <v/>
      </c>
      <c r="O1167" s="80"/>
      <c r="P1167" s="80"/>
      <c r="Q1167" s="80"/>
      <c r="R1167" s="80"/>
    </row>
    <row r="1168" ht="18" customHeight="1" spans="1:18">
      <c r="A1168" s="87" t="str">
        <f t="shared" si="54"/>
        <v/>
      </c>
      <c r="B1168" s="78"/>
      <c r="C1168" s="80"/>
      <c r="D1168" s="80"/>
      <c r="E1168" s="79"/>
      <c r="F1168" s="87" t="str">
        <f>IF($E1168="","",IFERROR(INDEX(基础资料!$O$4:$O$34,MATCH($E1168,基础资料!$N$4:$N$34,0))&amp;"",""))</f>
        <v/>
      </c>
      <c r="G1168" s="87" t="str">
        <f>IF($E1168="","",IFERROR(INDEX(基础资料!$P$4:$P$34,MATCH($E1168,基础资料!$N$4:$N$34,0))&amp;"",""))</f>
        <v/>
      </c>
      <c r="H1168" s="79"/>
      <c r="I1168" s="88"/>
      <c r="J1168" s="92"/>
      <c r="K1168" s="93"/>
      <c r="L1168" s="25" t="str">
        <f t="shared" si="55"/>
        <v/>
      </c>
      <c r="M1168" s="94"/>
      <c r="N1168" s="26" t="str">
        <f t="shared" si="56"/>
        <v/>
      </c>
      <c r="O1168" s="80"/>
      <c r="P1168" s="80"/>
      <c r="Q1168" s="80"/>
      <c r="R1168" s="80"/>
    </row>
    <row r="1169" ht="18" customHeight="1" spans="1:18">
      <c r="A1169" s="87" t="str">
        <f t="shared" si="54"/>
        <v/>
      </c>
      <c r="B1169" s="78"/>
      <c r="C1169" s="80"/>
      <c r="D1169" s="80"/>
      <c r="E1169" s="79"/>
      <c r="F1169" s="87" t="str">
        <f>IF($E1169="","",IFERROR(INDEX(基础资料!$O$4:$O$34,MATCH($E1169,基础资料!$N$4:$N$34,0))&amp;"",""))</f>
        <v/>
      </c>
      <c r="G1169" s="87" t="str">
        <f>IF($E1169="","",IFERROR(INDEX(基础资料!$P$4:$P$34,MATCH($E1169,基础资料!$N$4:$N$34,0))&amp;"",""))</f>
        <v/>
      </c>
      <c r="H1169" s="79"/>
      <c r="I1169" s="88"/>
      <c r="J1169" s="92"/>
      <c r="K1169" s="93"/>
      <c r="L1169" s="25" t="str">
        <f t="shared" si="55"/>
        <v/>
      </c>
      <c r="M1169" s="94"/>
      <c r="N1169" s="26" t="str">
        <f t="shared" si="56"/>
        <v/>
      </c>
      <c r="O1169" s="80"/>
      <c r="P1169" s="80"/>
      <c r="Q1169" s="80"/>
      <c r="R1169" s="80"/>
    </row>
    <row r="1170" ht="18" customHeight="1" spans="1:18">
      <c r="A1170" s="87" t="str">
        <f t="shared" si="54"/>
        <v/>
      </c>
      <c r="B1170" s="78"/>
      <c r="C1170" s="80"/>
      <c r="D1170" s="80"/>
      <c r="E1170" s="79"/>
      <c r="F1170" s="87" t="str">
        <f>IF($E1170="","",IFERROR(INDEX(基础资料!$O$4:$O$34,MATCH($E1170,基础资料!$N$4:$N$34,0))&amp;"",""))</f>
        <v/>
      </c>
      <c r="G1170" s="87" t="str">
        <f>IF($E1170="","",IFERROR(INDEX(基础资料!$P$4:$P$34,MATCH($E1170,基础资料!$N$4:$N$34,0))&amp;"",""))</f>
        <v/>
      </c>
      <c r="H1170" s="79"/>
      <c r="I1170" s="88"/>
      <c r="J1170" s="92"/>
      <c r="K1170" s="93"/>
      <c r="L1170" s="25" t="str">
        <f t="shared" si="55"/>
        <v/>
      </c>
      <c r="M1170" s="94"/>
      <c r="N1170" s="26" t="str">
        <f t="shared" si="56"/>
        <v/>
      </c>
      <c r="O1170" s="80"/>
      <c r="P1170" s="80"/>
      <c r="Q1170" s="80"/>
      <c r="R1170" s="80"/>
    </row>
    <row r="1171" ht="18" customHeight="1" spans="1:18">
      <c r="A1171" s="87" t="str">
        <f t="shared" si="54"/>
        <v/>
      </c>
      <c r="B1171" s="78"/>
      <c r="C1171" s="80"/>
      <c r="D1171" s="80"/>
      <c r="E1171" s="79"/>
      <c r="F1171" s="87" t="str">
        <f>IF($E1171="","",IFERROR(INDEX(基础资料!$O$4:$O$34,MATCH($E1171,基础资料!$N$4:$N$34,0))&amp;"",""))</f>
        <v/>
      </c>
      <c r="G1171" s="87" t="str">
        <f>IF($E1171="","",IFERROR(INDEX(基础资料!$P$4:$P$34,MATCH($E1171,基础资料!$N$4:$N$34,0))&amp;"",""))</f>
        <v/>
      </c>
      <c r="H1171" s="79"/>
      <c r="I1171" s="88"/>
      <c r="J1171" s="92"/>
      <c r="K1171" s="93"/>
      <c r="L1171" s="25" t="str">
        <f t="shared" si="55"/>
        <v/>
      </c>
      <c r="M1171" s="94"/>
      <c r="N1171" s="26" t="str">
        <f t="shared" si="56"/>
        <v/>
      </c>
      <c r="O1171" s="80"/>
      <c r="P1171" s="80"/>
      <c r="Q1171" s="80"/>
      <c r="R1171" s="80"/>
    </row>
    <row r="1172" ht="18" customHeight="1" spans="1:18">
      <c r="A1172" s="87" t="str">
        <f t="shared" si="54"/>
        <v/>
      </c>
      <c r="B1172" s="78"/>
      <c r="C1172" s="80"/>
      <c r="D1172" s="80"/>
      <c r="E1172" s="79"/>
      <c r="F1172" s="87" t="str">
        <f>IF($E1172="","",IFERROR(INDEX(基础资料!$O$4:$O$34,MATCH($E1172,基础资料!$N$4:$N$34,0))&amp;"",""))</f>
        <v/>
      </c>
      <c r="G1172" s="87" t="str">
        <f>IF($E1172="","",IFERROR(INDEX(基础资料!$P$4:$P$34,MATCH($E1172,基础资料!$N$4:$N$34,0))&amp;"",""))</f>
        <v/>
      </c>
      <c r="H1172" s="79"/>
      <c r="I1172" s="88"/>
      <c r="J1172" s="92"/>
      <c r="K1172" s="93"/>
      <c r="L1172" s="25" t="str">
        <f t="shared" si="55"/>
        <v/>
      </c>
      <c r="M1172" s="94"/>
      <c r="N1172" s="26" t="str">
        <f t="shared" si="56"/>
        <v/>
      </c>
      <c r="O1172" s="80"/>
      <c r="P1172" s="80"/>
      <c r="Q1172" s="80"/>
      <c r="R1172" s="80"/>
    </row>
    <row r="1173" ht="18" customHeight="1" spans="1:18">
      <c r="A1173" s="87" t="str">
        <f t="shared" si="54"/>
        <v/>
      </c>
      <c r="B1173" s="78"/>
      <c r="C1173" s="80"/>
      <c r="D1173" s="80"/>
      <c r="E1173" s="79"/>
      <c r="F1173" s="87" t="str">
        <f>IF($E1173="","",IFERROR(INDEX(基础资料!$O$4:$O$34,MATCH($E1173,基础资料!$N$4:$N$34,0))&amp;"",""))</f>
        <v/>
      </c>
      <c r="G1173" s="87" t="str">
        <f>IF($E1173="","",IFERROR(INDEX(基础资料!$P$4:$P$34,MATCH($E1173,基础资料!$N$4:$N$34,0))&amp;"",""))</f>
        <v/>
      </c>
      <c r="H1173" s="79"/>
      <c r="I1173" s="88"/>
      <c r="J1173" s="92"/>
      <c r="K1173" s="93"/>
      <c r="L1173" s="25" t="str">
        <f t="shared" si="55"/>
        <v/>
      </c>
      <c r="M1173" s="94"/>
      <c r="N1173" s="26" t="str">
        <f t="shared" si="56"/>
        <v/>
      </c>
      <c r="O1173" s="80"/>
      <c r="P1173" s="80"/>
      <c r="Q1173" s="80"/>
      <c r="R1173" s="80"/>
    </row>
    <row r="1174" ht="18" customHeight="1" spans="1:18">
      <c r="A1174" s="87" t="str">
        <f t="shared" si="54"/>
        <v/>
      </c>
      <c r="B1174" s="78"/>
      <c r="C1174" s="80"/>
      <c r="D1174" s="80"/>
      <c r="E1174" s="79"/>
      <c r="F1174" s="87" t="str">
        <f>IF($E1174="","",IFERROR(INDEX(基础资料!$O$4:$O$34,MATCH($E1174,基础资料!$N$4:$N$34,0))&amp;"",""))</f>
        <v/>
      </c>
      <c r="G1174" s="87" t="str">
        <f>IF($E1174="","",IFERROR(INDEX(基础资料!$P$4:$P$34,MATCH($E1174,基础资料!$N$4:$N$34,0))&amp;"",""))</f>
        <v/>
      </c>
      <c r="H1174" s="79"/>
      <c r="I1174" s="88"/>
      <c r="J1174" s="92"/>
      <c r="K1174" s="93"/>
      <c r="L1174" s="25" t="str">
        <f t="shared" si="55"/>
        <v/>
      </c>
      <c r="M1174" s="94"/>
      <c r="N1174" s="26" t="str">
        <f t="shared" si="56"/>
        <v/>
      </c>
      <c r="O1174" s="80"/>
      <c r="P1174" s="80"/>
      <c r="Q1174" s="80"/>
      <c r="R1174" s="80"/>
    </row>
    <row r="1175" ht="18" customHeight="1" spans="1:18">
      <c r="A1175" s="87" t="str">
        <f t="shared" si="54"/>
        <v/>
      </c>
      <c r="B1175" s="78"/>
      <c r="C1175" s="80"/>
      <c r="D1175" s="80"/>
      <c r="E1175" s="79"/>
      <c r="F1175" s="87" t="str">
        <f>IF($E1175="","",IFERROR(INDEX(基础资料!$O$4:$O$34,MATCH($E1175,基础资料!$N$4:$N$34,0))&amp;"",""))</f>
        <v/>
      </c>
      <c r="G1175" s="87" t="str">
        <f>IF($E1175="","",IFERROR(INDEX(基础资料!$P$4:$P$34,MATCH($E1175,基础资料!$N$4:$N$34,0))&amp;"",""))</f>
        <v/>
      </c>
      <c r="H1175" s="79"/>
      <c r="I1175" s="88"/>
      <c r="J1175" s="92"/>
      <c r="K1175" s="93"/>
      <c r="L1175" s="25" t="str">
        <f t="shared" si="55"/>
        <v/>
      </c>
      <c r="M1175" s="94"/>
      <c r="N1175" s="26" t="str">
        <f t="shared" si="56"/>
        <v/>
      </c>
      <c r="O1175" s="80"/>
      <c r="P1175" s="80"/>
      <c r="Q1175" s="80"/>
      <c r="R1175" s="80"/>
    </row>
    <row r="1176" ht="18" customHeight="1" spans="1:18">
      <c r="A1176" s="87" t="str">
        <f t="shared" si="54"/>
        <v/>
      </c>
      <c r="B1176" s="78"/>
      <c r="C1176" s="80"/>
      <c r="D1176" s="80"/>
      <c r="E1176" s="79"/>
      <c r="F1176" s="87" t="str">
        <f>IF($E1176="","",IFERROR(INDEX(基础资料!$O$4:$O$34,MATCH($E1176,基础资料!$N$4:$N$34,0))&amp;"",""))</f>
        <v/>
      </c>
      <c r="G1176" s="87" t="str">
        <f>IF($E1176="","",IFERROR(INDEX(基础资料!$P$4:$P$34,MATCH($E1176,基础资料!$N$4:$N$34,0))&amp;"",""))</f>
        <v/>
      </c>
      <c r="H1176" s="79"/>
      <c r="I1176" s="88"/>
      <c r="J1176" s="92"/>
      <c r="K1176" s="93"/>
      <c r="L1176" s="25" t="str">
        <f t="shared" si="55"/>
        <v/>
      </c>
      <c r="M1176" s="94"/>
      <c r="N1176" s="26" t="str">
        <f t="shared" si="56"/>
        <v/>
      </c>
      <c r="O1176" s="80"/>
      <c r="P1176" s="80"/>
      <c r="Q1176" s="80"/>
      <c r="R1176" s="80"/>
    </row>
    <row r="1177" ht="18" customHeight="1" spans="1:18">
      <c r="A1177" s="87" t="str">
        <f t="shared" si="54"/>
        <v/>
      </c>
      <c r="B1177" s="78"/>
      <c r="C1177" s="80"/>
      <c r="D1177" s="80"/>
      <c r="E1177" s="79"/>
      <c r="F1177" s="87" t="str">
        <f>IF($E1177="","",IFERROR(INDEX(基础资料!$O$4:$O$34,MATCH($E1177,基础资料!$N$4:$N$34,0))&amp;"",""))</f>
        <v/>
      </c>
      <c r="G1177" s="87" t="str">
        <f>IF($E1177="","",IFERROR(INDEX(基础资料!$P$4:$P$34,MATCH($E1177,基础资料!$N$4:$N$34,0))&amp;"",""))</f>
        <v/>
      </c>
      <c r="H1177" s="79"/>
      <c r="I1177" s="88"/>
      <c r="J1177" s="92"/>
      <c r="K1177" s="93"/>
      <c r="L1177" s="25" t="str">
        <f t="shared" si="55"/>
        <v/>
      </c>
      <c r="M1177" s="94"/>
      <c r="N1177" s="26" t="str">
        <f t="shared" si="56"/>
        <v/>
      </c>
      <c r="O1177" s="80"/>
      <c r="P1177" s="80"/>
      <c r="Q1177" s="80"/>
      <c r="R1177" s="80"/>
    </row>
    <row r="1178" ht="18" customHeight="1" spans="1:18">
      <c r="A1178" s="87" t="str">
        <f t="shared" si="54"/>
        <v/>
      </c>
      <c r="B1178" s="78"/>
      <c r="C1178" s="80"/>
      <c r="D1178" s="80"/>
      <c r="E1178" s="79"/>
      <c r="F1178" s="87" t="str">
        <f>IF($E1178="","",IFERROR(INDEX(基础资料!$O$4:$O$34,MATCH($E1178,基础资料!$N$4:$N$34,0))&amp;"",""))</f>
        <v/>
      </c>
      <c r="G1178" s="87" t="str">
        <f>IF($E1178="","",IFERROR(INDEX(基础资料!$P$4:$P$34,MATCH($E1178,基础资料!$N$4:$N$34,0))&amp;"",""))</f>
        <v/>
      </c>
      <c r="H1178" s="79"/>
      <c r="I1178" s="88"/>
      <c r="J1178" s="92"/>
      <c r="K1178" s="93"/>
      <c r="L1178" s="25" t="str">
        <f t="shared" si="55"/>
        <v/>
      </c>
      <c r="M1178" s="94"/>
      <c r="N1178" s="26" t="str">
        <f t="shared" si="56"/>
        <v/>
      </c>
      <c r="O1178" s="80"/>
      <c r="P1178" s="80"/>
      <c r="Q1178" s="80"/>
      <c r="R1178" s="80"/>
    </row>
    <row r="1179" ht="18" customHeight="1" spans="1:18">
      <c r="A1179" s="87" t="str">
        <f t="shared" si="54"/>
        <v/>
      </c>
      <c r="B1179" s="78"/>
      <c r="C1179" s="80"/>
      <c r="D1179" s="80"/>
      <c r="E1179" s="79"/>
      <c r="F1179" s="87" t="str">
        <f>IF($E1179="","",IFERROR(INDEX(基础资料!$O$4:$O$34,MATCH($E1179,基础资料!$N$4:$N$34,0))&amp;"",""))</f>
        <v/>
      </c>
      <c r="G1179" s="87" t="str">
        <f>IF($E1179="","",IFERROR(INDEX(基础资料!$P$4:$P$34,MATCH($E1179,基础资料!$N$4:$N$34,0))&amp;"",""))</f>
        <v/>
      </c>
      <c r="H1179" s="79"/>
      <c r="I1179" s="88"/>
      <c r="J1179" s="92"/>
      <c r="K1179" s="93"/>
      <c r="L1179" s="25" t="str">
        <f t="shared" si="55"/>
        <v/>
      </c>
      <c r="M1179" s="94"/>
      <c r="N1179" s="26" t="str">
        <f t="shared" si="56"/>
        <v/>
      </c>
      <c r="O1179" s="80"/>
      <c r="P1179" s="80"/>
      <c r="Q1179" s="80"/>
      <c r="R1179" s="80"/>
    </row>
    <row r="1180" ht="18" customHeight="1" spans="1:18">
      <c r="A1180" s="87" t="str">
        <f t="shared" si="54"/>
        <v/>
      </c>
      <c r="B1180" s="78"/>
      <c r="C1180" s="80"/>
      <c r="D1180" s="80"/>
      <c r="E1180" s="79"/>
      <c r="F1180" s="87" t="str">
        <f>IF($E1180="","",IFERROR(INDEX(基础资料!$O$4:$O$34,MATCH($E1180,基础资料!$N$4:$N$34,0))&amp;"",""))</f>
        <v/>
      </c>
      <c r="G1180" s="87" t="str">
        <f>IF($E1180="","",IFERROR(INDEX(基础资料!$P$4:$P$34,MATCH($E1180,基础资料!$N$4:$N$34,0))&amp;"",""))</f>
        <v/>
      </c>
      <c r="H1180" s="79"/>
      <c r="I1180" s="88"/>
      <c r="J1180" s="92"/>
      <c r="K1180" s="93"/>
      <c r="L1180" s="25" t="str">
        <f t="shared" si="55"/>
        <v/>
      </c>
      <c r="M1180" s="94"/>
      <c r="N1180" s="26" t="str">
        <f t="shared" si="56"/>
        <v/>
      </c>
      <c r="O1180" s="80"/>
      <c r="P1180" s="80"/>
      <c r="Q1180" s="80"/>
      <c r="R1180" s="80"/>
    </row>
    <row r="1181" ht="18" customHeight="1" spans="1:18">
      <c r="A1181" s="87" t="str">
        <f t="shared" si="54"/>
        <v/>
      </c>
      <c r="B1181" s="78"/>
      <c r="C1181" s="80"/>
      <c r="D1181" s="80"/>
      <c r="E1181" s="79"/>
      <c r="F1181" s="87" t="str">
        <f>IF($E1181="","",IFERROR(INDEX(基础资料!$O$4:$O$34,MATCH($E1181,基础资料!$N$4:$N$34,0))&amp;"",""))</f>
        <v/>
      </c>
      <c r="G1181" s="87" t="str">
        <f>IF($E1181="","",IFERROR(INDEX(基础资料!$P$4:$P$34,MATCH($E1181,基础资料!$N$4:$N$34,0))&amp;"",""))</f>
        <v/>
      </c>
      <c r="H1181" s="79"/>
      <c r="I1181" s="88"/>
      <c r="J1181" s="92"/>
      <c r="K1181" s="93"/>
      <c r="L1181" s="25" t="str">
        <f t="shared" si="55"/>
        <v/>
      </c>
      <c r="M1181" s="94"/>
      <c r="N1181" s="26" t="str">
        <f t="shared" si="56"/>
        <v/>
      </c>
      <c r="O1181" s="80"/>
      <c r="P1181" s="80"/>
      <c r="Q1181" s="80"/>
      <c r="R1181" s="80"/>
    </row>
    <row r="1182" ht="18" customHeight="1" spans="1:18">
      <c r="A1182" s="87" t="str">
        <f t="shared" si="54"/>
        <v/>
      </c>
      <c r="B1182" s="78"/>
      <c r="C1182" s="80"/>
      <c r="D1182" s="80"/>
      <c r="E1182" s="79"/>
      <c r="F1182" s="87" t="str">
        <f>IF($E1182="","",IFERROR(INDEX(基础资料!$O$4:$O$34,MATCH($E1182,基础资料!$N$4:$N$34,0))&amp;"",""))</f>
        <v/>
      </c>
      <c r="G1182" s="87" t="str">
        <f>IF($E1182="","",IFERROR(INDEX(基础资料!$P$4:$P$34,MATCH($E1182,基础资料!$N$4:$N$34,0))&amp;"",""))</f>
        <v/>
      </c>
      <c r="H1182" s="79"/>
      <c r="I1182" s="88"/>
      <c r="J1182" s="92"/>
      <c r="K1182" s="93"/>
      <c r="L1182" s="25" t="str">
        <f t="shared" si="55"/>
        <v/>
      </c>
      <c r="M1182" s="94"/>
      <c r="N1182" s="26" t="str">
        <f t="shared" si="56"/>
        <v/>
      </c>
      <c r="O1182" s="80"/>
      <c r="P1182" s="80"/>
      <c r="Q1182" s="80"/>
      <c r="R1182" s="80"/>
    </row>
    <row r="1183" ht="18" customHeight="1" spans="1:18">
      <c r="A1183" s="87" t="str">
        <f t="shared" si="54"/>
        <v/>
      </c>
      <c r="B1183" s="78"/>
      <c r="C1183" s="80"/>
      <c r="D1183" s="80"/>
      <c r="E1183" s="79"/>
      <c r="F1183" s="87" t="str">
        <f>IF($E1183="","",IFERROR(INDEX(基础资料!$O$4:$O$34,MATCH($E1183,基础资料!$N$4:$N$34,0))&amp;"",""))</f>
        <v/>
      </c>
      <c r="G1183" s="87" t="str">
        <f>IF($E1183="","",IFERROR(INDEX(基础资料!$P$4:$P$34,MATCH($E1183,基础资料!$N$4:$N$34,0))&amp;"",""))</f>
        <v/>
      </c>
      <c r="H1183" s="79"/>
      <c r="I1183" s="88"/>
      <c r="J1183" s="92"/>
      <c r="K1183" s="93"/>
      <c r="L1183" s="25" t="str">
        <f t="shared" si="55"/>
        <v/>
      </c>
      <c r="M1183" s="94"/>
      <c r="N1183" s="26" t="str">
        <f t="shared" si="56"/>
        <v/>
      </c>
      <c r="O1183" s="80"/>
      <c r="P1183" s="80"/>
      <c r="Q1183" s="80"/>
      <c r="R1183" s="80"/>
    </row>
    <row r="1184" ht="18" customHeight="1" spans="1:18">
      <c r="A1184" s="87" t="str">
        <f t="shared" si="54"/>
        <v/>
      </c>
      <c r="B1184" s="78"/>
      <c r="C1184" s="80"/>
      <c r="D1184" s="80"/>
      <c r="E1184" s="79"/>
      <c r="F1184" s="87" t="str">
        <f>IF($E1184="","",IFERROR(INDEX(基础资料!$O$4:$O$34,MATCH($E1184,基础资料!$N$4:$N$34,0))&amp;"",""))</f>
        <v/>
      </c>
      <c r="G1184" s="87" t="str">
        <f>IF($E1184="","",IFERROR(INDEX(基础资料!$P$4:$P$34,MATCH($E1184,基础资料!$N$4:$N$34,0))&amp;"",""))</f>
        <v/>
      </c>
      <c r="H1184" s="79"/>
      <c r="I1184" s="88"/>
      <c r="J1184" s="92"/>
      <c r="K1184" s="93"/>
      <c r="L1184" s="25" t="str">
        <f t="shared" si="55"/>
        <v/>
      </c>
      <c r="M1184" s="94"/>
      <c r="N1184" s="26" t="str">
        <f t="shared" si="56"/>
        <v/>
      </c>
      <c r="O1184" s="80"/>
      <c r="P1184" s="80"/>
      <c r="Q1184" s="80"/>
      <c r="R1184" s="80"/>
    </row>
    <row r="1185" ht="18" customHeight="1" spans="1:18">
      <c r="A1185" s="87" t="str">
        <f t="shared" si="54"/>
        <v/>
      </c>
      <c r="B1185" s="78"/>
      <c r="C1185" s="80"/>
      <c r="D1185" s="80"/>
      <c r="E1185" s="79"/>
      <c r="F1185" s="87" t="str">
        <f>IF($E1185="","",IFERROR(INDEX(基础资料!$O$4:$O$34,MATCH($E1185,基础资料!$N$4:$N$34,0))&amp;"",""))</f>
        <v/>
      </c>
      <c r="G1185" s="87" t="str">
        <f>IF($E1185="","",IFERROR(INDEX(基础资料!$P$4:$P$34,MATCH($E1185,基础资料!$N$4:$N$34,0))&amp;"",""))</f>
        <v/>
      </c>
      <c r="H1185" s="79"/>
      <c r="I1185" s="88"/>
      <c r="J1185" s="92"/>
      <c r="K1185" s="93"/>
      <c r="L1185" s="25" t="str">
        <f t="shared" si="55"/>
        <v/>
      </c>
      <c r="M1185" s="94"/>
      <c r="N1185" s="26" t="str">
        <f t="shared" si="56"/>
        <v/>
      </c>
      <c r="O1185" s="80"/>
      <c r="P1185" s="80"/>
      <c r="Q1185" s="80"/>
      <c r="R1185" s="80"/>
    </row>
    <row r="1186" ht="18" customHeight="1" spans="1:18">
      <c r="A1186" s="87" t="str">
        <f t="shared" si="54"/>
        <v/>
      </c>
      <c r="B1186" s="78"/>
      <c r="C1186" s="80"/>
      <c r="D1186" s="80"/>
      <c r="E1186" s="79"/>
      <c r="F1186" s="87" t="str">
        <f>IF($E1186="","",IFERROR(INDEX(基础资料!$O$4:$O$34,MATCH($E1186,基础资料!$N$4:$N$34,0))&amp;"",""))</f>
        <v/>
      </c>
      <c r="G1186" s="87" t="str">
        <f>IF($E1186="","",IFERROR(INDEX(基础资料!$P$4:$P$34,MATCH($E1186,基础资料!$N$4:$N$34,0))&amp;"",""))</f>
        <v/>
      </c>
      <c r="H1186" s="79"/>
      <c r="I1186" s="88"/>
      <c r="J1186" s="92"/>
      <c r="K1186" s="93"/>
      <c r="L1186" s="25" t="str">
        <f t="shared" si="55"/>
        <v/>
      </c>
      <c r="M1186" s="94"/>
      <c r="N1186" s="26" t="str">
        <f t="shared" si="56"/>
        <v/>
      </c>
      <c r="O1186" s="80"/>
      <c r="P1186" s="80"/>
      <c r="Q1186" s="80"/>
      <c r="R1186" s="80"/>
    </row>
    <row r="1187" ht="18" customHeight="1" spans="1:18">
      <c r="A1187" s="87" t="str">
        <f t="shared" si="54"/>
        <v/>
      </c>
      <c r="B1187" s="78"/>
      <c r="C1187" s="80"/>
      <c r="D1187" s="80"/>
      <c r="E1187" s="79"/>
      <c r="F1187" s="87" t="str">
        <f>IF($E1187="","",IFERROR(INDEX(基础资料!$O$4:$O$34,MATCH($E1187,基础资料!$N$4:$N$34,0))&amp;"",""))</f>
        <v/>
      </c>
      <c r="G1187" s="87" t="str">
        <f>IF($E1187="","",IFERROR(INDEX(基础资料!$P$4:$P$34,MATCH($E1187,基础资料!$N$4:$N$34,0))&amp;"",""))</f>
        <v/>
      </c>
      <c r="H1187" s="79"/>
      <c r="I1187" s="88"/>
      <c r="J1187" s="92"/>
      <c r="K1187" s="93"/>
      <c r="L1187" s="25" t="str">
        <f t="shared" si="55"/>
        <v/>
      </c>
      <c r="M1187" s="94"/>
      <c r="N1187" s="26" t="str">
        <f t="shared" si="56"/>
        <v/>
      </c>
      <c r="O1187" s="80"/>
      <c r="P1187" s="80"/>
      <c r="Q1187" s="80"/>
      <c r="R1187" s="80"/>
    </row>
    <row r="1188" ht="18" customHeight="1" spans="1:18">
      <c r="A1188" s="87" t="str">
        <f t="shared" si="54"/>
        <v/>
      </c>
      <c r="B1188" s="78"/>
      <c r="C1188" s="80"/>
      <c r="D1188" s="80"/>
      <c r="E1188" s="79"/>
      <c r="F1188" s="87" t="str">
        <f>IF($E1188="","",IFERROR(INDEX(基础资料!$O$4:$O$34,MATCH($E1188,基础资料!$N$4:$N$34,0))&amp;"",""))</f>
        <v/>
      </c>
      <c r="G1188" s="87" t="str">
        <f>IF($E1188="","",IFERROR(INDEX(基础资料!$P$4:$P$34,MATCH($E1188,基础资料!$N$4:$N$34,0))&amp;"",""))</f>
        <v/>
      </c>
      <c r="H1188" s="79"/>
      <c r="I1188" s="88"/>
      <c r="J1188" s="92"/>
      <c r="K1188" s="93"/>
      <c r="L1188" s="25" t="str">
        <f t="shared" si="55"/>
        <v/>
      </c>
      <c r="M1188" s="94"/>
      <c r="N1188" s="26" t="str">
        <f t="shared" si="56"/>
        <v/>
      </c>
      <c r="O1188" s="80"/>
      <c r="P1188" s="80"/>
      <c r="Q1188" s="80"/>
      <c r="R1188" s="80"/>
    </row>
    <row r="1189" ht="18" customHeight="1" spans="1:18">
      <c r="A1189" s="87" t="str">
        <f t="shared" si="54"/>
        <v/>
      </c>
      <c r="B1189" s="78"/>
      <c r="C1189" s="80"/>
      <c r="D1189" s="80"/>
      <c r="E1189" s="79"/>
      <c r="F1189" s="87" t="str">
        <f>IF($E1189="","",IFERROR(INDEX(基础资料!$O$4:$O$34,MATCH($E1189,基础资料!$N$4:$N$34,0))&amp;"",""))</f>
        <v/>
      </c>
      <c r="G1189" s="87" t="str">
        <f>IF($E1189="","",IFERROR(INDEX(基础资料!$P$4:$P$34,MATCH($E1189,基础资料!$N$4:$N$34,0))&amp;"",""))</f>
        <v/>
      </c>
      <c r="H1189" s="79"/>
      <c r="I1189" s="88"/>
      <c r="J1189" s="92"/>
      <c r="K1189" s="93"/>
      <c r="L1189" s="25" t="str">
        <f t="shared" si="55"/>
        <v/>
      </c>
      <c r="M1189" s="94"/>
      <c r="N1189" s="26" t="str">
        <f t="shared" si="56"/>
        <v/>
      </c>
      <c r="O1189" s="80"/>
      <c r="P1189" s="80"/>
      <c r="Q1189" s="80"/>
      <c r="R1189" s="80"/>
    </row>
    <row r="1190" ht="18" customHeight="1" spans="1:18">
      <c r="A1190" s="87" t="str">
        <f t="shared" si="54"/>
        <v/>
      </c>
      <c r="B1190" s="78"/>
      <c r="C1190" s="80"/>
      <c r="D1190" s="80"/>
      <c r="E1190" s="79"/>
      <c r="F1190" s="87" t="str">
        <f>IF($E1190="","",IFERROR(INDEX(基础资料!$O$4:$O$34,MATCH($E1190,基础资料!$N$4:$N$34,0))&amp;"",""))</f>
        <v/>
      </c>
      <c r="G1190" s="87" t="str">
        <f>IF($E1190="","",IFERROR(INDEX(基础资料!$P$4:$P$34,MATCH($E1190,基础资料!$N$4:$N$34,0))&amp;"",""))</f>
        <v/>
      </c>
      <c r="H1190" s="79"/>
      <c r="I1190" s="88"/>
      <c r="J1190" s="92"/>
      <c r="K1190" s="93"/>
      <c r="L1190" s="25" t="str">
        <f t="shared" si="55"/>
        <v/>
      </c>
      <c r="M1190" s="94"/>
      <c r="N1190" s="26" t="str">
        <f t="shared" si="56"/>
        <v/>
      </c>
      <c r="O1190" s="80"/>
      <c r="P1190" s="80"/>
      <c r="Q1190" s="80"/>
      <c r="R1190" s="80"/>
    </row>
    <row r="1191" ht="18" customHeight="1" spans="1:18">
      <c r="A1191" s="87" t="str">
        <f t="shared" si="54"/>
        <v/>
      </c>
      <c r="B1191" s="78"/>
      <c r="C1191" s="80"/>
      <c r="D1191" s="80"/>
      <c r="E1191" s="79"/>
      <c r="F1191" s="87" t="str">
        <f>IF($E1191="","",IFERROR(INDEX(基础资料!$O$4:$O$34,MATCH($E1191,基础资料!$N$4:$N$34,0))&amp;"",""))</f>
        <v/>
      </c>
      <c r="G1191" s="87" t="str">
        <f>IF($E1191="","",IFERROR(INDEX(基础资料!$P$4:$P$34,MATCH($E1191,基础资料!$N$4:$N$34,0))&amp;"",""))</f>
        <v/>
      </c>
      <c r="H1191" s="79"/>
      <c r="I1191" s="88"/>
      <c r="J1191" s="92"/>
      <c r="K1191" s="93"/>
      <c r="L1191" s="25" t="str">
        <f t="shared" si="55"/>
        <v/>
      </c>
      <c r="M1191" s="94"/>
      <c r="N1191" s="26" t="str">
        <f t="shared" si="56"/>
        <v/>
      </c>
      <c r="O1191" s="80"/>
      <c r="P1191" s="80"/>
      <c r="Q1191" s="80"/>
      <c r="R1191" s="80"/>
    </row>
    <row r="1192" ht="18" customHeight="1" spans="1:18">
      <c r="A1192" s="87" t="str">
        <f t="shared" si="54"/>
        <v/>
      </c>
      <c r="B1192" s="78"/>
      <c r="C1192" s="80"/>
      <c r="D1192" s="80"/>
      <c r="E1192" s="79"/>
      <c r="F1192" s="87" t="str">
        <f>IF($E1192="","",IFERROR(INDEX(基础资料!$O$4:$O$34,MATCH($E1192,基础资料!$N$4:$N$34,0))&amp;"",""))</f>
        <v/>
      </c>
      <c r="G1192" s="87" t="str">
        <f>IF($E1192="","",IFERROR(INDEX(基础资料!$P$4:$P$34,MATCH($E1192,基础资料!$N$4:$N$34,0))&amp;"",""))</f>
        <v/>
      </c>
      <c r="H1192" s="79"/>
      <c r="I1192" s="88"/>
      <c r="J1192" s="92"/>
      <c r="K1192" s="93"/>
      <c r="L1192" s="25" t="str">
        <f t="shared" si="55"/>
        <v/>
      </c>
      <c r="M1192" s="94"/>
      <c r="N1192" s="26" t="str">
        <f t="shared" si="56"/>
        <v/>
      </c>
      <c r="O1192" s="80"/>
      <c r="P1192" s="80"/>
      <c r="Q1192" s="80"/>
      <c r="R1192" s="80"/>
    </row>
    <row r="1193" ht="18" customHeight="1" spans="1:18">
      <c r="A1193" s="87" t="str">
        <f t="shared" si="54"/>
        <v/>
      </c>
      <c r="B1193" s="78"/>
      <c r="C1193" s="80"/>
      <c r="D1193" s="80"/>
      <c r="E1193" s="79"/>
      <c r="F1193" s="87" t="str">
        <f>IF($E1193="","",IFERROR(INDEX(基础资料!$O$4:$O$34,MATCH($E1193,基础资料!$N$4:$N$34,0))&amp;"",""))</f>
        <v/>
      </c>
      <c r="G1193" s="87" t="str">
        <f>IF($E1193="","",IFERROR(INDEX(基础资料!$P$4:$P$34,MATCH($E1193,基础资料!$N$4:$N$34,0))&amp;"",""))</f>
        <v/>
      </c>
      <c r="H1193" s="79"/>
      <c r="I1193" s="88"/>
      <c r="J1193" s="92"/>
      <c r="K1193" s="93"/>
      <c r="L1193" s="25" t="str">
        <f t="shared" si="55"/>
        <v/>
      </c>
      <c r="M1193" s="94"/>
      <c r="N1193" s="26" t="str">
        <f t="shared" si="56"/>
        <v/>
      </c>
      <c r="O1193" s="80"/>
      <c r="P1193" s="80"/>
      <c r="Q1193" s="80"/>
      <c r="R1193" s="80"/>
    </row>
    <row r="1194" ht="18" customHeight="1" spans="1:18">
      <c r="A1194" s="87" t="str">
        <f t="shared" si="54"/>
        <v/>
      </c>
      <c r="B1194" s="78"/>
      <c r="C1194" s="80"/>
      <c r="D1194" s="80"/>
      <c r="E1194" s="79"/>
      <c r="F1194" s="87" t="str">
        <f>IF($E1194="","",IFERROR(INDEX(基础资料!$O$4:$O$34,MATCH($E1194,基础资料!$N$4:$N$34,0))&amp;"",""))</f>
        <v/>
      </c>
      <c r="G1194" s="87" t="str">
        <f>IF($E1194="","",IFERROR(INDEX(基础资料!$P$4:$P$34,MATCH($E1194,基础资料!$N$4:$N$34,0))&amp;"",""))</f>
        <v/>
      </c>
      <c r="H1194" s="79"/>
      <c r="I1194" s="88"/>
      <c r="J1194" s="92"/>
      <c r="K1194" s="93"/>
      <c r="L1194" s="25" t="str">
        <f t="shared" si="55"/>
        <v/>
      </c>
      <c r="M1194" s="94"/>
      <c r="N1194" s="26" t="str">
        <f t="shared" si="56"/>
        <v/>
      </c>
      <c r="O1194" s="80"/>
      <c r="P1194" s="80"/>
      <c r="Q1194" s="80"/>
      <c r="R1194" s="80"/>
    </row>
    <row r="1195" ht="18" customHeight="1" spans="1:18">
      <c r="A1195" s="87" t="str">
        <f t="shared" si="54"/>
        <v/>
      </c>
      <c r="B1195" s="78"/>
      <c r="C1195" s="80"/>
      <c r="D1195" s="80"/>
      <c r="E1195" s="79"/>
      <c r="F1195" s="87" t="str">
        <f>IF($E1195="","",IFERROR(INDEX(基础资料!$O$4:$O$34,MATCH($E1195,基础资料!$N$4:$N$34,0))&amp;"",""))</f>
        <v/>
      </c>
      <c r="G1195" s="87" t="str">
        <f>IF($E1195="","",IFERROR(INDEX(基础资料!$P$4:$P$34,MATCH($E1195,基础资料!$N$4:$N$34,0))&amp;"",""))</f>
        <v/>
      </c>
      <c r="H1195" s="79"/>
      <c r="I1195" s="88"/>
      <c r="J1195" s="92"/>
      <c r="K1195" s="93"/>
      <c r="L1195" s="25" t="str">
        <f t="shared" si="55"/>
        <v/>
      </c>
      <c r="M1195" s="94"/>
      <c r="N1195" s="26" t="str">
        <f t="shared" si="56"/>
        <v/>
      </c>
      <c r="O1195" s="80"/>
      <c r="P1195" s="80"/>
      <c r="Q1195" s="80"/>
      <c r="R1195" s="80"/>
    </row>
    <row r="1196" ht="18" customHeight="1" spans="1:18">
      <c r="A1196" s="87" t="str">
        <f t="shared" si="54"/>
        <v/>
      </c>
      <c r="B1196" s="78"/>
      <c r="C1196" s="80"/>
      <c r="D1196" s="80"/>
      <c r="E1196" s="79"/>
      <c r="F1196" s="87" t="str">
        <f>IF($E1196="","",IFERROR(INDEX(基础资料!$O$4:$O$34,MATCH($E1196,基础资料!$N$4:$N$34,0))&amp;"",""))</f>
        <v/>
      </c>
      <c r="G1196" s="87" t="str">
        <f>IF($E1196="","",IFERROR(INDEX(基础资料!$P$4:$P$34,MATCH($E1196,基础资料!$N$4:$N$34,0))&amp;"",""))</f>
        <v/>
      </c>
      <c r="H1196" s="79"/>
      <c r="I1196" s="88"/>
      <c r="J1196" s="92"/>
      <c r="K1196" s="93"/>
      <c r="L1196" s="25" t="str">
        <f t="shared" si="55"/>
        <v/>
      </c>
      <c r="M1196" s="94"/>
      <c r="N1196" s="26" t="str">
        <f t="shared" si="56"/>
        <v/>
      </c>
      <c r="O1196" s="80"/>
      <c r="P1196" s="80"/>
      <c r="Q1196" s="80"/>
      <c r="R1196" s="80"/>
    </row>
    <row r="1197" ht="18" customHeight="1" spans="1:18">
      <c r="A1197" s="87" t="str">
        <f t="shared" si="54"/>
        <v/>
      </c>
      <c r="B1197" s="78"/>
      <c r="C1197" s="80"/>
      <c r="D1197" s="80"/>
      <c r="E1197" s="79"/>
      <c r="F1197" s="87" t="str">
        <f>IF($E1197="","",IFERROR(INDEX(基础资料!$O$4:$O$34,MATCH($E1197,基础资料!$N$4:$N$34,0))&amp;"",""))</f>
        <v/>
      </c>
      <c r="G1197" s="87" t="str">
        <f>IF($E1197="","",IFERROR(INDEX(基础资料!$P$4:$P$34,MATCH($E1197,基础资料!$N$4:$N$34,0))&amp;"",""))</f>
        <v/>
      </c>
      <c r="H1197" s="79"/>
      <c r="I1197" s="88"/>
      <c r="J1197" s="92"/>
      <c r="K1197" s="93"/>
      <c r="L1197" s="25" t="str">
        <f t="shared" si="55"/>
        <v/>
      </c>
      <c r="M1197" s="94"/>
      <c r="N1197" s="26" t="str">
        <f t="shared" si="56"/>
        <v/>
      </c>
      <c r="O1197" s="80"/>
      <c r="P1197" s="80"/>
      <c r="Q1197" s="80"/>
      <c r="R1197" s="80"/>
    </row>
    <row r="1198" ht="18" customHeight="1" spans="1:18">
      <c r="A1198" s="87" t="str">
        <f t="shared" si="54"/>
        <v/>
      </c>
      <c r="B1198" s="78"/>
      <c r="C1198" s="80"/>
      <c r="D1198" s="80"/>
      <c r="E1198" s="79"/>
      <c r="F1198" s="87" t="str">
        <f>IF($E1198="","",IFERROR(INDEX(基础资料!$O$4:$O$34,MATCH($E1198,基础资料!$N$4:$N$34,0))&amp;"",""))</f>
        <v/>
      </c>
      <c r="G1198" s="87" t="str">
        <f>IF($E1198="","",IFERROR(INDEX(基础资料!$P$4:$P$34,MATCH($E1198,基础资料!$N$4:$N$34,0))&amp;"",""))</f>
        <v/>
      </c>
      <c r="H1198" s="79"/>
      <c r="I1198" s="88"/>
      <c r="J1198" s="92"/>
      <c r="K1198" s="93"/>
      <c r="L1198" s="25" t="str">
        <f t="shared" si="55"/>
        <v/>
      </c>
      <c r="M1198" s="94"/>
      <c r="N1198" s="26" t="str">
        <f t="shared" si="56"/>
        <v/>
      </c>
      <c r="O1198" s="80"/>
      <c r="P1198" s="80"/>
      <c r="Q1198" s="80"/>
      <c r="R1198" s="80"/>
    </row>
    <row r="1199" ht="18" customHeight="1" spans="1:18">
      <c r="A1199" s="87" t="str">
        <f t="shared" si="54"/>
        <v/>
      </c>
      <c r="B1199" s="78"/>
      <c r="C1199" s="80"/>
      <c r="D1199" s="80"/>
      <c r="E1199" s="79"/>
      <c r="F1199" s="87" t="str">
        <f>IF($E1199="","",IFERROR(INDEX(基础资料!$O$4:$O$34,MATCH($E1199,基础资料!$N$4:$N$34,0))&amp;"",""))</f>
        <v/>
      </c>
      <c r="G1199" s="87" t="str">
        <f>IF($E1199="","",IFERROR(INDEX(基础资料!$P$4:$P$34,MATCH($E1199,基础资料!$N$4:$N$34,0))&amp;"",""))</f>
        <v/>
      </c>
      <c r="H1199" s="79"/>
      <c r="I1199" s="88"/>
      <c r="J1199" s="92"/>
      <c r="K1199" s="93"/>
      <c r="L1199" s="25" t="str">
        <f t="shared" si="55"/>
        <v/>
      </c>
      <c r="M1199" s="94"/>
      <c r="N1199" s="26" t="str">
        <f t="shared" si="56"/>
        <v/>
      </c>
      <c r="O1199" s="80"/>
      <c r="P1199" s="80"/>
      <c r="Q1199" s="80"/>
      <c r="R1199" s="80"/>
    </row>
    <row r="1200" ht="18" customHeight="1" spans="1:18">
      <c r="A1200" s="87" t="str">
        <f t="shared" si="54"/>
        <v/>
      </c>
      <c r="B1200" s="78"/>
      <c r="C1200" s="80"/>
      <c r="D1200" s="80"/>
      <c r="E1200" s="79"/>
      <c r="F1200" s="87" t="str">
        <f>IF($E1200="","",IFERROR(INDEX(基础资料!$O$4:$O$34,MATCH($E1200,基础资料!$N$4:$N$34,0))&amp;"",""))</f>
        <v/>
      </c>
      <c r="G1200" s="87" t="str">
        <f>IF($E1200="","",IFERROR(INDEX(基础资料!$P$4:$P$34,MATCH($E1200,基础资料!$N$4:$N$34,0))&amp;"",""))</f>
        <v/>
      </c>
      <c r="H1200" s="79"/>
      <c r="I1200" s="88"/>
      <c r="J1200" s="92"/>
      <c r="K1200" s="93"/>
      <c r="L1200" s="25" t="str">
        <f t="shared" si="55"/>
        <v/>
      </c>
      <c r="M1200" s="94"/>
      <c r="N1200" s="26" t="str">
        <f t="shared" si="56"/>
        <v/>
      </c>
      <c r="O1200" s="80"/>
      <c r="P1200" s="80"/>
      <c r="Q1200" s="80"/>
      <c r="R1200" s="80"/>
    </row>
    <row r="1201" ht="18" customHeight="1" spans="1:18">
      <c r="A1201" s="87" t="str">
        <f t="shared" si="54"/>
        <v/>
      </c>
      <c r="B1201" s="78"/>
      <c r="C1201" s="80"/>
      <c r="D1201" s="80"/>
      <c r="E1201" s="79"/>
      <c r="F1201" s="87" t="str">
        <f>IF($E1201="","",IFERROR(INDEX(基础资料!$O$4:$O$34,MATCH($E1201,基础资料!$N$4:$N$34,0))&amp;"",""))</f>
        <v/>
      </c>
      <c r="G1201" s="87" t="str">
        <f>IF($E1201="","",IFERROR(INDEX(基础资料!$P$4:$P$34,MATCH($E1201,基础资料!$N$4:$N$34,0))&amp;"",""))</f>
        <v/>
      </c>
      <c r="H1201" s="79"/>
      <c r="I1201" s="88"/>
      <c r="J1201" s="92"/>
      <c r="K1201" s="93"/>
      <c r="L1201" s="25" t="str">
        <f t="shared" si="55"/>
        <v/>
      </c>
      <c r="M1201" s="94"/>
      <c r="N1201" s="26" t="str">
        <f t="shared" si="56"/>
        <v/>
      </c>
      <c r="O1201" s="80"/>
      <c r="P1201" s="80"/>
      <c r="Q1201" s="80"/>
      <c r="R1201" s="80"/>
    </row>
    <row r="1202" ht="18" customHeight="1" spans="1:18">
      <c r="A1202" s="87" t="str">
        <f t="shared" si="54"/>
        <v/>
      </c>
      <c r="B1202" s="78"/>
      <c r="C1202" s="80"/>
      <c r="D1202" s="80"/>
      <c r="E1202" s="79"/>
      <c r="F1202" s="87" t="str">
        <f>IF($E1202="","",IFERROR(INDEX(基础资料!$O$4:$O$34,MATCH($E1202,基础资料!$N$4:$N$34,0))&amp;"",""))</f>
        <v/>
      </c>
      <c r="G1202" s="87" t="str">
        <f>IF($E1202="","",IFERROR(INDEX(基础资料!$P$4:$P$34,MATCH($E1202,基础资料!$N$4:$N$34,0))&amp;"",""))</f>
        <v/>
      </c>
      <c r="H1202" s="79"/>
      <c r="I1202" s="88"/>
      <c r="J1202" s="92"/>
      <c r="K1202" s="93"/>
      <c r="L1202" s="25" t="str">
        <f t="shared" si="55"/>
        <v/>
      </c>
      <c r="M1202" s="94"/>
      <c r="N1202" s="26" t="str">
        <f t="shared" si="56"/>
        <v/>
      </c>
      <c r="O1202" s="80"/>
      <c r="P1202" s="80"/>
      <c r="Q1202" s="80"/>
      <c r="R1202" s="80"/>
    </row>
    <row r="1203" ht="18" customHeight="1" spans="1:18">
      <c r="A1203" s="87" t="str">
        <f t="shared" si="54"/>
        <v/>
      </c>
      <c r="B1203" s="78"/>
      <c r="C1203" s="80"/>
      <c r="D1203" s="80"/>
      <c r="E1203" s="79"/>
      <c r="F1203" s="87" t="str">
        <f>IF($E1203="","",IFERROR(INDEX(基础资料!$O$4:$O$34,MATCH($E1203,基础资料!$N$4:$N$34,0))&amp;"",""))</f>
        <v/>
      </c>
      <c r="G1203" s="87" t="str">
        <f>IF($E1203="","",IFERROR(INDEX(基础资料!$P$4:$P$34,MATCH($E1203,基础资料!$N$4:$N$34,0))&amp;"",""))</f>
        <v/>
      </c>
      <c r="H1203" s="79"/>
      <c r="I1203" s="88"/>
      <c r="J1203" s="92"/>
      <c r="K1203" s="93"/>
      <c r="L1203" s="25" t="str">
        <f t="shared" si="55"/>
        <v/>
      </c>
      <c r="M1203" s="94"/>
      <c r="N1203" s="26" t="str">
        <f t="shared" si="56"/>
        <v/>
      </c>
      <c r="O1203" s="80"/>
      <c r="P1203" s="80"/>
      <c r="Q1203" s="80"/>
      <c r="R1203" s="80"/>
    </row>
    <row r="1204" ht="18" customHeight="1" spans="1:18">
      <c r="A1204" s="87" t="str">
        <f t="shared" si="54"/>
        <v/>
      </c>
      <c r="B1204" s="78"/>
      <c r="C1204" s="80"/>
      <c r="D1204" s="80"/>
      <c r="E1204" s="79"/>
      <c r="F1204" s="87" t="str">
        <f>IF($E1204="","",IFERROR(INDEX(基础资料!$O$4:$O$34,MATCH($E1204,基础资料!$N$4:$N$34,0))&amp;"",""))</f>
        <v/>
      </c>
      <c r="G1204" s="87" t="str">
        <f>IF($E1204="","",IFERROR(INDEX(基础资料!$P$4:$P$34,MATCH($E1204,基础资料!$N$4:$N$34,0))&amp;"",""))</f>
        <v/>
      </c>
      <c r="H1204" s="79"/>
      <c r="I1204" s="88"/>
      <c r="J1204" s="92"/>
      <c r="K1204" s="93"/>
      <c r="L1204" s="25" t="str">
        <f t="shared" si="55"/>
        <v/>
      </c>
      <c r="M1204" s="94"/>
      <c r="N1204" s="26" t="str">
        <f t="shared" si="56"/>
        <v/>
      </c>
      <c r="O1204" s="80"/>
      <c r="P1204" s="80"/>
      <c r="Q1204" s="80"/>
      <c r="R1204" s="80"/>
    </row>
    <row r="1205" ht="18" customHeight="1" spans="1:18">
      <c r="A1205" s="87" t="str">
        <f t="shared" si="54"/>
        <v/>
      </c>
      <c r="B1205" s="78"/>
      <c r="C1205" s="80"/>
      <c r="D1205" s="80"/>
      <c r="E1205" s="79"/>
      <c r="F1205" s="87" t="str">
        <f>IF($E1205="","",IFERROR(INDEX(基础资料!$O$4:$O$34,MATCH($E1205,基础资料!$N$4:$N$34,0))&amp;"",""))</f>
        <v/>
      </c>
      <c r="G1205" s="87" t="str">
        <f>IF($E1205="","",IFERROR(INDEX(基础资料!$P$4:$P$34,MATCH($E1205,基础资料!$N$4:$N$34,0))&amp;"",""))</f>
        <v/>
      </c>
      <c r="H1205" s="79"/>
      <c r="I1205" s="88"/>
      <c r="J1205" s="92"/>
      <c r="K1205" s="93"/>
      <c r="L1205" s="25" t="str">
        <f t="shared" si="55"/>
        <v/>
      </c>
      <c r="M1205" s="94"/>
      <c r="N1205" s="26" t="str">
        <f t="shared" si="56"/>
        <v/>
      </c>
      <c r="O1205" s="80"/>
      <c r="P1205" s="80"/>
      <c r="Q1205" s="80"/>
      <c r="R1205" s="80"/>
    </row>
    <row r="1206" ht="18" customHeight="1" spans="1:18">
      <c r="A1206" s="87" t="str">
        <f t="shared" si="54"/>
        <v/>
      </c>
      <c r="B1206" s="78"/>
      <c r="C1206" s="80"/>
      <c r="D1206" s="80"/>
      <c r="E1206" s="79"/>
      <c r="F1206" s="87" t="str">
        <f>IF($E1206="","",IFERROR(INDEX(基础资料!$O$4:$O$34,MATCH($E1206,基础资料!$N$4:$N$34,0))&amp;"",""))</f>
        <v/>
      </c>
      <c r="G1206" s="87" t="str">
        <f>IF($E1206="","",IFERROR(INDEX(基础资料!$P$4:$P$34,MATCH($E1206,基础资料!$N$4:$N$34,0))&amp;"",""))</f>
        <v/>
      </c>
      <c r="H1206" s="79"/>
      <c r="I1206" s="88"/>
      <c r="J1206" s="92"/>
      <c r="K1206" s="93"/>
      <c r="L1206" s="25" t="str">
        <f t="shared" si="55"/>
        <v/>
      </c>
      <c r="M1206" s="94"/>
      <c r="N1206" s="26" t="str">
        <f t="shared" si="56"/>
        <v/>
      </c>
      <c r="O1206" s="80"/>
      <c r="P1206" s="80"/>
      <c r="Q1206" s="80"/>
      <c r="R1206" s="80"/>
    </row>
    <row r="1207" ht="18" customHeight="1" spans="1:18">
      <c r="A1207" s="87" t="str">
        <f t="shared" si="54"/>
        <v/>
      </c>
      <c r="B1207" s="78"/>
      <c r="C1207" s="80"/>
      <c r="D1207" s="80"/>
      <c r="E1207" s="79"/>
      <c r="F1207" s="87" t="str">
        <f>IF($E1207="","",IFERROR(INDEX(基础资料!$O$4:$O$34,MATCH($E1207,基础资料!$N$4:$N$34,0))&amp;"",""))</f>
        <v/>
      </c>
      <c r="G1207" s="87" t="str">
        <f>IF($E1207="","",IFERROR(INDEX(基础资料!$P$4:$P$34,MATCH($E1207,基础资料!$N$4:$N$34,0))&amp;"",""))</f>
        <v/>
      </c>
      <c r="H1207" s="79"/>
      <c r="I1207" s="88"/>
      <c r="J1207" s="92"/>
      <c r="K1207" s="93"/>
      <c r="L1207" s="25" t="str">
        <f t="shared" si="55"/>
        <v/>
      </c>
      <c r="M1207" s="94"/>
      <c r="N1207" s="26" t="str">
        <f t="shared" si="56"/>
        <v/>
      </c>
      <c r="O1207" s="80"/>
      <c r="P1207" s="80"/>
      <c r="Q1207" s="80"/>
      <c r="R1207" s="80"/>
    </row>
    <row r="1208" ht="18" customHeight="1" spans="1:18">
      <c r="A1208" s="87" t="str">
        <f t="shared" si="54"/>
        <v/>
      </c>
      <c r="B1208" s="78"/>
      <c r="C1208" s="80"/>
      <c r="D1208" s="80"/>
      <c r="E1208" s="79"/>
      <c r="F1208" s="87" t="str">
        <f>IF($E1208="","",IFERROR(INDEX(基础资料!$O$4:$O$34,MATCH($E1208,基础资料!$N$4:$N$34,0))&amp;"",""))</f>
        <v/>
      </c>
      <c r="G1208" s="87" t="str">
        <f>IF($E1208="","",IFERROR(INDEX(基础资料!$P$4:$P$34,MATCH($E1208,基础资料!$N$4:$N$34,0))&amp;"",""))</f>
        <v/>
      </c>
      <c r="H1208" s="79"/>
      <c r="I1208" s="88"/>
      <c r="J1208" s="92"/>
      <c r="K1208" s="93"/>
      <c r="L1208" s="25" t="str">
        <f t="shared" si="55"/>
        <v/>
      </c>
      <c r="M1208" s="94"/>
      <c r="N1208" s="26" t="str">
        <f t="shared" si="56"/>
        <v/>
      </c>
      <c r="O1208" s="80"/>
      <c r="P1208" s="80"/>
      <c r="Q1208" s="80"/>
      <c r="R1208" s="80"/>
    </row>
    <row r="1209" ht="18" customHeight="1" spans="1:18">
      <c r="A1209" s="87" t="str">
        <f t="shared" si="54"/>
        <v/>
      </c>
      <c r="B1209" s="78"/>
      <c r="C1209" s="80"/>
      <c r="D1209" s="80"/>
      <c r="E1209" s="79"/>
      <c r="F1209" s="87" t="str">
        <f>IF($E1209="","",IFERROR(INDEX(基础资料!$O$4:$O$34,MATCH($E1209,基础资料!$N$4:$N$34,0))&amp;"",""))</f>
        <v/>
      </c>
      <c r="G1209" s="87" t="str">
        <f>IF($E1209="","",IFERROR(INDEX(基础资料!$P$4:$P$34,MATCH($E1209,基础资料!$N$4:$N$34,0))&amp;"",""))</f>
        <v/>
      </c>
      <c r="H1209" s="79"/>
      <c r="I1209" s="88"/>
      <c r="J1209" s="92"/>
      <c r="K1209" s="93"/>
      <c r="L1209" s="25" t="str">
        <f t="shared" si="55"/>
        <v/>
      </c>
      <c r="M1209" s="94"/>
      <c r="N1209" s="26" t="str">
        <f t="shared" si="56"/>
        <v/>
      </c>
      <c r="O1209" s="80"/>
      <c r="P1209" s="80"/>
      <c r="Q1209" s="80"/>
      <c r="R1209" s="80"/>
    </row>
    <row r="1210" ht="18" customHeight="1" spans="1:18">
      <c r="A1210" s="87" t="str">
        <f t="shared" si="54"/>
        <v/>
      </c>
      <c r="B1210" s="78"/>
      <c r="C1210" s="80"/>
      <c r="D1210" s="80"/>
      <c r="E1210" s="79"/>
      <c r="F1210" s="87" t="str">
        <f>IF($E1210="","",IFERROR(INDEX(基础资料!$O$4:$O$34,MATCH($E1210,基础资料!$N$4:$N$34,0))&amp;"",""))</f>
        <v/>
      </c>
      <c r="G1210" s="87" t="str">
        <f>IF($E1210="","",IFERROR(INDEX(基础资料!$P$4:$P$34,MATCH($E1210,基础资料!$N$4:$N$34,0))&amp;"",""))</f>
        <v/>
      </c>
      <c r="H1210" s="79"/>
      <c r="I1210" s="88"/>
      <c r="J1210" s="92"/>
      <c r="K1210" s="93"/>
      <c r="L1210" s="25" t="str">
        <f t="shared" si="55"/>
        <v/>
      </c>
      <c r="M1210" s="94"/>
      <c r="N1210" s="26" t="str">
        <f t="shared" si="56"/>
        <v/>
      </c>
      <c r="O1210" s="80"/>
      <c r="P1210" s="80"/>
      <c r="Q1210" s="80"/>
      <c r="R1210" s="80"/>
    </row>
    <row r="1211" ht="18" customHeight="1" spans="1:18">
      <c r="A1211" s="87" t="str">
        <f t="shared" si="54"/>
        <v/>
      </c>
      <c r="B1211" s="78"/>
      <c r="C1211" s="80"/>
      <c r="D1211" s="80"/>
      <c r="E1211" s="79"/>
      <c r="F1211" s="87" t="str">
        <f>IF($E1211="","",IFERROR(INDEX(基础资料!$O$4:$O$34,MATCH($E1211,基础资料!$N$4:$N$34,0))&amp;"",""))</f>
        <v/>
      </c>
      <c r="G1211" s="87" t="str">
        <f>IF($E1211="","",IFERROR(INDEX(基础资料!$P$4:$P$34,MATCH($E1211,基础资料!$N$4:$N$34,0))&amp;"",""))</f>
        <v/>
      </c>
      <c r="H1211" s="79"/>
      <c r="I1211" s="88"/>
      <c r="J1211" s="92"/>
      <c r="K1211" s="93"/>
      <c r="L1211" s="25" t="str">
        <f t="shared" si="55"/>
        <v/>
      </c>
      <c r="M1211" s="94"/>
      <c r="N1211" s="26" t="str">
        <f t="shared" si="56"/>
        <v/>
      </c>
      <c r="O1211" s="80"/>
      <c r="P1211" s="80"/>
      <c r="Q1211" s="80"/>
      <c r="R1211" s="80"/>
    </row>
    <row r="1212" ht="18" customHeight="1" spans="1:18">
      <c r="A1212" s="87" t="str">
        <f t="shared" si="54"/>
        <v/>
      </c>
      <c r="B1212" s="78"/>
      <c r="C1212" s="80"/>
      <c r="D1212" s="80"/>
      <c r="E1212" s="79"/>
      <c r="F1212" s="87" t="str">
        <f>IF($E1212="","",IFERROR(INDEX(基础资料!$O$4:$O$34,MATCH($E1212,基础资料!$N$4:$N$34,0))&amp;"",""))</f>
        <v/>
      </c>
      <c r="G1212" s="87" t="str">
        <f>IF($E1212="","",IFERROR(INDEX(基础资料!$P$4:$P$34,MATCH($E1212,基础资料!$N$4:$N$34,0))&amp;"",""))</f>
        <v/>
      </c>
      <c r="H1212" s="79"/>
      <c r="I1212" s="88"/>
      <c r="J1212" s="92"/>
      <c r="K1212" s="93"/>
      <c r="L1212" s="25" t="str">
        <f t="shared" si="55"/>
        <v/>
      </c>
      <c r="M1212" s="94"/>
      <c r="N1212" s="26" t="str">
        <f t="shared" si="56"/>
        <v/>
      </c>
      <c r="O1212" s="80"/>
      <c r="P1212" s="80"/>
      <c r="Q1212" s="80"/>
      <c r="R1212" s="80"/>
    </row>
    <row r="1213" ht="18" customHeight="1" spans="1:18">
      <c r="A1213" s="87" t="str">
        <f t="shared" si="54"/>
        <v/>
      </c>
      <c r="B1213" s="78"/>
      <c r="C1213" s="80"/>
      <c r="D1213" s="80"/>
      <c r="E1213" s="79"/>
      <c r="F1213" s="87" t="str">
        <f>IF($E1213="","",IFERROR(INDEX(基础资料!$O$4:$O$34,MATCH($E1213,基础资料!$N$4:$N$34,0))&amp;"",""))</f>
        <v/>
      </c>
      <c r="G1213" s="87" t="str">
        <f>IF($E1213="","",IFERROR(INDEX(基础资料!$P$4:$P$34,MATCH($E1213,基础资料!$N$4:$N$34,0))&amp;"",""))</f>
        <v/>
      </c>
      <c r="H1213" s="79"/>
      <c r="I1213" s="88"/>
      <c r="J1213" s="92"/>
      <c r="K1213" s="93"/>
      <c r="L1213" s="25" t="str">
        <f t="shared" si="55"/>
        <v/>
      </c>
      <c r="M1213" s="94"/>
      <c r="N1213" s="26" t="str">
        <f t="shared" si="56"/>
        <v/>
      </c>
      <c r="O1213" s="80"/>
      <c r="P1213" s="80"/>
      <c r="Q1213" s="80"/>
      <c r="R1213" s="80"/>
    </row>
    <row r="1214" ht="18" customHeight="1" spans="1:18">
      <c r="A1214" s="87" t="str">
        <f t="shared" si="54"/>
        <v/>
      </c>
      <c r="B1214" s="78"/>
      <c r="C1214" s="80"/>
      <c r="D1214" s="80"/>
      <c r="E1214" s="79"/>
      <c r="F1214" s="87" t="str">
        <f>IF($E1214="","",IFERROR(INDEX(基础资料!$O$4:$O$34,MATCH($E1214,基础资料!$N$4:$N$34,0))&amp;"",""))</f>
        <v/>
      </c>
      <c r="G1214" s="87" t="str">
        <f>IF($E1214="","",IFERROR(INDEX(基础资料!$P$4:$P$34,MATCH($E1214,基础资料!$N$4:$N$34,0))&amp;"",""))</f>
        <v/>
      </c>
      <c r="H1214" s="79"/>
      <c r="I1214" s="88"/>
      <c r="J1214" s="92"/>
      <c r="K1214" s="93"/>
      <c r="L1214" s="25" t="str">
        <f t="shared" si="55"/>
        <v/>
      </c>
      <c r="M1214" s="94"/>
      <c r="N1214" s="26" t="str">
        <f t="shared" si="56"/>
        <v/>
      </c>
      <c r="O1214" s="80"/>
      <c r="P1214" s="80"/>
      <c r="Q1214" s="80"/>
      <c r="R1214" s="80"/>
    </row>
    <row r="1215" ht="18" customHeight="1" spans="1:18">
      <c r="A1215" s="87" t="str">
        <f t="shared" si="54"/>
        <v/>
      </c>
      <c r="B1215" s="78"/>
      <c r="C1215" s="80"/>
      <c r="D1215" s="80"/>
      <c r="E1215" s="79"/>
      <c r="F1215" s="87" t="str">
        <f>IF($E1215="","",IFERROR(INDEX(基础资料!$O$4:$O$34,MATCH($E1215,基础资料!$N$4:$N$34,0))&amp;"",""))</f>
        <v/>
      </c>
      <c r="G1215" s="87" t="str">
        <f>IF($E1215="","",IFERROR(INDEX(基础资料!$P$4:$P$34,MATCH($E1215,基础资料!$N$4:$N$34,0))&amp;"",""))</f>
        <v/>
      </c>
      <c r="H1215" s="79"/>
      <c r="I1215" s="88"/>
      <c r="J1215" s="92"/>
      <c r="K1215" s="93"/>
      <c r="L1215" s="25" t="str">
        <f t="shared" si="55"/>
        <v/>
      </c>
      <c r="M1215" s="94"/>
      <c r="N1215" s="26" t="str">
        <f t="shared" si="56"/>
        <v/>
      </c>
      <c r="O1215" s="80"/>
      <c r="P1215" s="80"/>
      <c r="Q1215" s="80"/>
      <c r="R1215" s="80"/>
    </row>
    <row r="1216" ht="18" customHeight="1" spans="1:18">
      <c r="A1216" s="87" t="str">
        <f t="shared" si="54"/>
        <v/>
      </c>
      <c r="B1216" s="78"/>
      <c r="C1216" s="80"/>
      <c r="D1216" s="80"/>
      <c r="E1216" s="79"/>
      <c r="F1216" s="87" t="str">
        <f>IF($E1216="","",IFERROR(INDEX(基础资料!$O$4:$O$34,MATCH($E1216,基础资料!$N$4:$N$34,0))&amp;"",""))</f>
        <v/>
      </c>
      <c r="G1216" s="87" t="str">
        <f>IF($E1216="","",IFERROR(INDEX(基础资料!$P$4:$P$34,MATCH($E1216,基础资料!$N$4:$N$34,0))&amp;"",""))</f>
        <v/>
      </c>
      <c r="H1216" s="79"/>
      <c r="I1216" s="88"/>
      <c r="J1216" s="92"/>
      <c r="K1216" s="93"/>
      <c r="L1216" s="25" t="str">
        <f t="shared" si="55"/>
        <v/>
      </c>
      <c r="M1216" s="94"/>
      <c r="N1216" s="26" t="str">
        <f t="shared" si="56"/>
        <v/>
      </c>
      <c r="O1216" s="80"/>
      <c r="P1216" s="80"/>
      <c r="Q1216" s="80"/>
      <c r="R1216" s="80"/>
    </row>
    <row r="1217" ht="18" customHeight="1" spans="1:18">
      <c r="A1217" s="87" t="str">
        <f t="shared" si="54"/>
        <v/>
      </c>
      <c r="B1217" s="78"/>
      <c r="C1217" s="80"/>
      <c r="D1217" s="80"/>
      <c r="E1217" s="79"/>
      <c r="F1217" s="87" t="str">
        <f>IF($E1217="","",IFERROR(INDEX(基础资料!$O$4:$O$34,MATCH($E1217,基础资料!$N$4:$N$34,0))&amp;"",""))</f>
        <v/>
      </c>
      <c r="G1217" s="87" t="str">
        <f>IF($E1217="","",IFERROR(INDEX(基础资料!$P$4:$P$34,MATCH($E1217,基础资料!$N$4:$N$34,0))&amp;"",""))</f>
        <v/>
      </c>
      <c r="H1217" s="79"/>
      <c r="I1217" s="88"/>
      <c r="J1217" s="92"/>
      <c r="K1217" s="93"/>
      <c r="L1217" s="25" t="str">
        <f t="shared" si="55"/>
        <v/>
      </c>
      <c r="M1217" s="94"/>
      <c r="N1217" s="26" t="str">
        <f t="shared" si="56"/>
        <v/>
      </c>
      <c r="O1217" s="80"/>
      <c r="P1217" s="80"/>
      <c r="Q1217" s="80"/>
      <c r="R1217" s="80"/>
    </row>
    <row r="1218" ht="18" customHeight="1" spans="1:18">
      <c r="A1218" s="87" t="str">
        <f t="shared" si="54"/>
        <v/>
      </c>
      <c r="B1218" s="78"/>
      <c r="C1218" s="80"/>
      <c r="D1218" s="80"/>
      <c r="E1218" s="79"/>
      <c r="F1218" s="87" t="str">
        <f>IF($E1218="","",IFERROR(INDEX(基础资料!$O$4:$O$34,MATCH($E1218,基础资料!$N$4:$N$34,0))&amp;"",""))</f>
        <v/>
      </c>
      <c r="G1218" s="87" t="str">
        <f>IF($E1218="","",IFERROR(INDEX(基础资料!$P$4:$P$34,MATCH($E1218,基础资料!$N$4:$N$34,0))&amp;"",""))</f>
        <v/>
      </c>
      <c r="H1218" s="79"/>
      <c r="I1218" s="88"/>
      <c r="J1218" s="92"/>
      <c r="K1218" s="93"/>
      <c r="L1218" s="25" t="str">
        <f t="shared" si="55"/>
        <v/>
      </c>
      <c r="M1218" s="94"/>
      <c r="N1218" s="26" t="str">
        <f t="shared" si="56"/>
        <v/>
      </c>
      <c r="O1218" s="80"/>
      <c r="P1218" s="80"/>
      <c r="Q1218" s="80"/>
      <c r="R1218" s="80"/>
    </row>
    <row r="1219" ht="18" customHeight="1" spans="1:18">
      <c r="A1219" s="87" t="str">
        <f t="shared" si="54"/>
        <v/>
      </c>
      <c r="B1219" s="78"/>
      <c r="C1219" s="80"/>
      <c r="D1219" s="80"/>
      <c r="E1219" s="79"/>
      <c r="F1219" s="87" t="str">
        <f>IF($E1219="","",IFERROR(INDEX(基础资料!$O$4:$O$34,MATCH($E1219,基础资料!$N$4:$N$34,0))&amp;"",""))</f>
        <v/>
      </c>
      <c r="G1219" s="87" t="str">
        <f>IF($E1219="","",IFERROR(INDEX(基础资料!$P$4:$P$34,MATCH($E1219,基础资料!$N$4:$N$34,0))&amp;"",""))</f>
        <v/>
      </c>
      <c r="H1219" s="79"/>
      <c r="I1219" s="88"/>
      <c r="J1219" s="92"/>
      <c r="K1219" s="93"/>
      <c r="L1219" s="25" t="str">
        <f t="shared" si="55"/>
        <v/>
      </c>
      <c r="M1219" s="94"/>
      <c r="N1219" s="26" t="str">
        <f t="shared" si="56"/>
        <v/>
      </c>
      <c r="O1219" s="80"/>
      <c r="P1219" s="80"/>
      <c r="Q1219" s="80"/>
      <c r="R1219" s="80"/>
    </row>
    <row r="1220" ht="18" customHeight="1" spans="1:18">
      <c r="A1220" s="87" t="str">
        <f t="shared" ref="A1220:A1283" si="57">IF($E1220="","",ROW()-3)</f>
        <v/>
      </c>
      <c r="B1220" s="78"/>
      <c r="C1220" s="80"/>
      <c r="D1220" s="80"/>
      <c r="E1220" s="79"/>
      <c r="F1220" s="87" t="str">
        <f>IF($E1220="","",IFERROR(INDEX(基础资料!$O$4:$O$34,MATCH($E1220,基础资料!$N$4:$N$34,0))&amp;"",""))</f>
        <v/>
      </c>
      <c r="G1220" s="87" t="str">
        <f>IF($E1220="","",IFERROR(INDEX(基础资料!$P$4:$P$34,MATCH($E1220,基础资料!$N$4:$N$34,0))&amp;"",""))</f>
        <v/>
      </c>
      <c r="H1220" s="79"/>
      <c r="I1220" s="88"/>
      <c r="J1220" s="92"/>
      <c r="K1220" s="93"/>
      <c r="L1220" s="25" t="str">
        <f t="shared" ref="L1220:L1283" si="58">IF($E1220="","",N($I1220)+N($J1220)-N($K1220))</f>
        <v/>
      </c>
      <c r="M1220" s="94"/>
      <c r="N1220" s="26" t="str">
        <f t="shared" ref="N1220:N1283" si="59">IF($E1220="","",ROUND(N($L1220)*N($M1220),2))</f>
        <v/>
      </c>
      <c r="O1220" s="80"/>
      <c r="P1220" s="80"/>
      <c r="Q1220" s="80"/>
      <c r="R1220" s="80"/>
    </row>
    <row r="1221" ht="18" customHeight="1" spans="1:18">
      <c r="A1221" s="87" t="str">
        <f t="shared" si="57"/>
        <v/>
      </c>
      <c r="B1221" s="78"/>
      <c r="C1221" s="80"/>
      <c r="D1221" s="80"/>
      <c r="E1221" s="79"/>
      <c r="F1221" s="87" t="str">
        <f>IF($E1221="","",IFERROR(INDEX(基础资料!$O$4:$O$34,MATCH($E1221,基础资料!$N$4:$N$34,0))&amp;"",""))</f>
        <v/>
      </c>
      <c r="G1221" s="87" t="str">
        <f>IF($E1221="","",IFERROR(INDEX(基础资料!$P$4:$P$34,MATCH($E1221,基础资料!$N$4:$N$34,0))&amp;"",""))</f>
        <v/>
      </c>
      <c r="H1221" s="79"/>
      <c r="I1221" s="88"/>
      <c r="J1221" s="92"/>
      <c r="K1221" s="93"/>
      <c r="L1221" s="25" t="str">
        <f t="shared" si="58"/>
        <v/>
      </c>
      <c r="M1221" s="94"/>
      <c r="N1221" s="26" t="str">
        <f t="shared" si="59"/>
        <v/>
      </c>
      <c r="O1221" s="80"/>
      <c r="P1221" s="80"/>
      <c r="Q1221" s="80"/>
      <c r="R1221" s="80"/>
    </row>
    <row r="1222" ht="18" customHeight="1" spans="1:18">
      <c r="A1222" s="87" t="str">
        <f t="shared" si="57"/>
        <v/>
      </c>
      <c r="B1222" s="78"/>
      <c r="C1222" s="80"/>
      <c r="D1222" s="80"/>
      <c r="E1222" s="79"/>
      <c r="F1222" s="87" t="str">
        <f>IF($E1222="","",IFERROR(INDEX(基础资料!$O$4:$O$34,MATCH($E1222,基础资料!$N$4:$N$34,0))&amp;"",""))</f>
        <v/>
      </c>
      <c r="G1222" s="87" t="str">
        <f>IF($E1222="","",IFERROR(INDEX(基础资料!$P$4:$P$34,MATCH($E1222,基础资料!$N$4:$N$34,0))&amp;"",""))</f>
        <v/>
      </c>
      <c r="H1222" s="79"/>
      <c r="I1222" s="88"/>
      <c r="J1222" s="92"/>
      <c r="K1222" s="93"/>
      <c r="L1222" s="25" t="str">
        <f t="shared" si="58"/>
        <v/>
      </c>
      <c r="M1222" s="94"/>
      <c r="N1222" s="26" t="str">
        <f t="shared" si="59"/>
        <v/>
      </c>
      <c r="O1222" s="80"/>
      <c r="P1222" s="80"/>
      <c r="Q1222" s="80"/>
      <c r="R1222" s="80"/>
    </row>
    <row r="1223" ht="18" customHeight="1" spans="1:18">
      <c r="A1223" s="87" t="str">
        <f t="shared" si="57"/>
        <v/>
      </c>
      <c r="B1223" s="78"/>
      <c r="C1223" s="80"/>
      <c r="D1223" s="80"/>
      <c r="E1223" s="79"/>
      <c r="F1223" s="87" t="str">
        <f>IF($E1223="","",IFERROR(INDEX(基础资料!$O$4:$O$34,MATCH($E1223,基础资料!$N$4:$N$34,0))&amp;"",""))</f>
        <v/>
      </c>
      <c r="G1223" s="87" t="str">
        <f>IF($E1223="","",IFERROR(INDEX(基础资料!$P$4:$P$34,MATCH($E1223,基础资料!$N$4:$N$34,0))&amp;"",""))</f>
        <v/>
      </c>
      <c r="H1223" s="79"/>
      <c r="I1223" s="88"/>
      <c r="J1223" s="92"/>
      <c r="K1223" s="93"/>
      <c r="L1223" s="25" t="str">
        <f t="shared" si="58"/>
        <v/>
      </c>
      <c r="M1223" s="94"/>
      <c r="N1223" s="26" t="str">
        <f t="shared" si="59"/>
        <v/>
      </c>
      <c r="O1223" s="80"/>
      <c r="P1223" s="80"/>
      <c r="Q1223" s="80"/>
      <c r="R1223" s="80"/>
    </row>
    <row r="1224" ht="18" customHeight="1" spans="1:18">
      <c r="A1224" s="87" t="str">
        <f t="shared" si="57"/>
        <v/>
      </c>
      <c r="B1224" s="78"/>
      <c r="C1224" s="80"/>
      <c r="D1224" s="80"/>
      <c r="E1224" s="79"/>
      <c r="F1224" s="87" t="str">
        <f>IF($E1224="","",IFERROR(INDEX(基础资料!$O$4:$O$34,MATCH($E1224,基础资料!$N$4:$N$34,0))&amp;"",""))</f>
        <v/>
      </c>
      <c r="G1224" s="87" t="str">
        <f>IF($E1224="","",IFERROR(INDEX(基础资料!$P$4:$P$34,MATCH($E1224,基础资料!$N$4:$N$34,0))&amp;"",""))</f>
        <v/>
      </c>
      <c r="H1224" s="79"/>
      <c r="I1224" s="88"/>
      <c r="J1224" s="92"/>
      <c r="K1224" s="93"/>
      <c r="L1224" s="25" t="str">
        <f t="shared" si="58"/>
        <v/>
      </c>
      <c r="M1224" s="94"/>
      <c r="N1224" s="26" t="str">
        <f t="shared" si="59"/>
        <v/>
      </c>
      <c r="O1224" s="80"/>
      <c r="P1224" s="80"/>
      <c r="Q1224" s="80"/>
      <c r="R1224" s="80"/>
    </row>
    <row r="1225" ht="18" customHeight="1" spans="1:18">
      <c r="A1225" s="87" t="str">
        <f t="shared" si="57"/>
        <v/>
      </c>
      <c r="B1225" s="78"/>
      <c r="C1225" s="80"/>
      <c r="D1225" s="80"/>
      <c r="E1225" s="79"/>
      <c r="F1225" s="87" t="str">
        <f>IF($E1225="","",IFERROR(INDEX(基础资料!$O$4:$O$34,MATCH($E1225,基础资料!$N$4:$N$34,0))&amp;"",""))</f>
        <v/>
      </c>
      <c r="G1225" s="87" t="str">
        <f>IF($E1225="","",IFERROR(INDEX(基础资料!$P$4:$P$34,MATCH($E1225,基础资料!$N$4:$N$34,0))&amp;"",""))</f>
        <v/>
      </c>
      <c r="H1225" s="79"/>
      <c r="I1225" s="88"/>
      <c r="J1225" s="92"/>
      <c r="K1225" s="93"/>
      <c r="L1225" s="25" t="str">
        <f t="shared" si="58"/>
        <v/>
      </c>
      <c r="M1225" s="94"/>
      <c r="N1225" s="26" t="str">
        <f t="shared" si="59"/>
        <v/>
      </c>
      <c r="O1225" s="80"/>
      <c r="P1225" s="80"/>
      <c r="Q1225" s="80"/>
      <c r="R1225" s="80"/>
    </row>
    <row r="1226" ht="18" customHeight="1" spans="1:18">
      <c r="A1226" s="87" t="str">
        <f t="shared" si="57"/>
        <v/>
      </c>
      <c r="B1226" s="78"/>
      <c r="C1226" s="80"/>
      <c r="D1226" s="80"/>
      <c r="E1226" s="79"/>
      <c r="F1226" s="87" t="str">
        <f>IF($E1226="","",IFERROR(INDEX(基础资料!$O$4:$O$34,MATCH($E1226,基础资料!$N$4:$N$34,0))&amp;"",""))</f>
        <v/>
      </c>
      <c r="G1226" s="87" t="str">
        <f>IF($E1226="","",IFERROR(INDEX(基础资料!$P$4:$P$34,MATCH($E1226,基础资料!$N$4:$N$34,0))&amp;"",""))</f>
        <v/>
      </c>
      <c r="H1226" s="79"/>
      <c r="I1226" s="88"/>
      <c r="J1226" s="92"/>
      <c r="K1226" s="93"/>
      <c r="L1226" s="25" t="str">
        <f t="shared" si="58"/>
        <v/>
      </c>
      <c r="M1226" s="94"/>
      <c r="N1226" s="26" t="str">
        <f t="shared" si="59"/>
        <v/>
      </c>
      <c r="O1226" s="80"/>
      <c r="P1226" s="80"/>
      <c r="Q1226" s="80"/>
      <c r="R1226" s="80"/>
    </row>
    <row r="1227" ht="18" customHeight="1" spans="1:18">
      <c r="A1227" s="87" t="str">
        <f t="shared" si="57"/>
        <v/>
      </c>
      <c r="B1227" s="78"/>
      <c r="C1227" s="80"/>
      <c r="D1227" s="80"/>
      <c r="E1227" s="79"/>
      <c r="F1227" s="87" t="str">
        <f>IF($E1227="","",IFERROR(INDEX(基础资料!$O$4:$O$34,MATCH($E1227,基础资料!$N$4:$N$34,0))&amp;"",""))</f>
        <v/>
      </c>
      <c r="G1227" s="87" t="str">
        <f>IF($E1227="","",IFERROR(INDEX(基础资料!$P$4:$P$34,MATCH($E1227,基础资料!$N$4:$N$34,0))&amp;"",""))</f>
        <v/>
      </c>
      <c r="H1227" s="79"/>
      <c r="I1227" s="88"/>
      <c r="J1227" s="92"/>
      <c r="K1227" s="93"/>
      <c r="L1227" s="25" t="str">
        <f t="shared" si="58"/>
        <v/>
      </c>
      <c r="M1227" s="94"/>
      <c r="N1227" s="26" t="str">
        <f t="shared" si="59"/>
        <v/>
      </c>
      <c r="O1227" s="80"/>
      <c r="P1227" s="80"/>
      <c r="Q1227" s="80"/>
      <c r="R1227" s="80"/>
    </row>
    <row r="1228" ht="18" customHeight="1" spans="1:18">
      <c r="A1228" s="87" t="str">
        <f t="shared" si="57"/>
        <v/>
      </c>
      <c r="B1228" s="78"/>
      <c r="C1228" s="80"/>
      <c r="D1228" s="80"/>
      <c r="E1228" s="79"/>
      <c r="F1228" s="87" t="str">
        <f>IF($E1228="","",IFERROR(INDEX(基础资料!$O$4:$O$34,MATCH($E1228,基础资料!$N$4:$N$34,0))&amp;"",""))</f>
        <v/>
      </c>
      <c r="G1228" s="87" t="str">
        <f>IF($E1228="","",IFERROR(INDEX(基础资料!$P$4:$P$34,MATCH($E1228,基础资料!$N$4:$N$34,0))&amp;"",""))</f>
        <v/>
      </c>
      <c r="H1228" s="79"/>
      <c r="I1228" s="88"/>
      <c r="J1228" s="92"/>
      <c r="K1228" s="93"/>
      <c r="L1228" s="25" t="str">
        <f t="shared" si="58"/>
        <v/>
      </c>
      <c r="M1228" s="94"/>
      <c r="N1228" s="26" t="str">
        <f t="shared" si="59"/>
        <v/>
      </c>
      <c r="O1228" s="80"/>
      <c r="P1228" s="80"/>
      <c r="Q1228" s="80"/>
      <c r="R1228" s="80"/>
    </row>
    <row r="1229" ht="18" customHeight="1" spans="1:18">
      <c r="A1229" s="87" t="str">
        <f t="shared" si="57"/>
        <v/>
      </c>
      <c r="B1229" s="78"/>
      <c r="C1229" s="80"/>
      <c r="D1229" s="80"/>
      <c r="E1229" s="79"/>
      <c r="F1229" s="87" t="str">
        <f>IF($E1229="","",IFERROR(INDEX(基础资料!$O$4:$O$34,MATCH($E1229,基础资料!$N$4:$N$34,0))&amp;"",""))</f>
        <v/>
      </c>
      <c r="G1229" s="87" t="str">
        <f>IF($E1229="","",IFERROR(INDEX(基础资料!$P$4:$P$34,MATCH($E1229,基础资料!$N$4:$N$34,0))&amp;"",""))</f>
        <v/>
      </c>
      <c r="H1229" s="79"/>
      <c r="I1229" s="88"/>
      <c r="J1229" s="92"/>
      <c r="K1229" s="93"/>
      <c r="L1229" s="25" t="str">
        <f t="shared" si="58"/>
        <v/>
      </c>
      <c r="M1229" s="94"/>
      <c r="N1229" s="26" t="str">
        <f t="shared" si="59"/>
        <v/>
      </c>
      <c r="O1229" s="80"/>
      <c r="P1229" s="80"/>
      <c r="Q1229" s="80"/>
      <c r="R1229" s="80"/>
    </row>
    <row r="1230" ht="18" customHeight="1" spans="1:18">
      <c r="A1230" s="87" t="str">
        <f t="shared" si="57"/>
        <v/>
      </c>
      <c r="B1230" s="78"/>
      <c r="C1230" s="80"/>
      <c r="D1230" s="80"/>
      <c r="E1230" s="79"/>
      <c r="F1230" s="87" t="str">
        <f>IF($E1230="","",IFERROR(INDEX(基础资料!$O$4:$O$34,MATCH($E1230,基础资料!$N$4:$N$34,0))&amp;"",""))</f>
        <v/>
      </c>
      <c r="G1230" s="87" t="str">
        <f>IF($E1230="","",IFERROR(INDEX(基础资料!$P$4:$P$34,MATCH($E1230,基础资料!$N$4:$N$34,0))&amp;"",""))</f>
        <v/>
      </c>
      <c r="H1230" s="79"/>
      <c r="I1230" s="88"/>
      <c r="J1230" s="92"/>
      <c r="K1230" s="93"/>
      <c r="L1230" s="25" t="str">
        <f t="shared" si="58"/>
        <v/>
      </c>
      <c r="M1230" s="94"/>
      <c r="N1230" s="26" t="str">
        <f t="shared" si="59"/>
        <v/>
      </c>
      <c r="O1230" s="80"/>
      <c r="P1230" s="80"/>
      <c r="Q1230" s="80"/>
      <c r="R1230" s="80"/>
    </row>
    <row r="1231" ht="18" customHeight="1" spans="1:18">
      <c r="A1231" s="87" t="str">
        <f t="shared" si="57"/>
        <v/>
      </c>
      <c r="B1231" s="78"/>
      <c r="C1231" s="80"/>
      <c r="D1231" s="80"/>
      <c r="E1231" s="79"/>
      <c r="F1231" s="87" t="str">
        <f>IF($E1231="","",IFERROR(INDEX(基础资料!$O$4:$O$34,MATCH($E1231,基础资料!$N$4:$N$34,0))&amp;"",""))</f>
        <v/>
      </c>
      <c r="G1231" s="87" t="str">
        <f>IF($E1231="","",IFERROR(INDEX(基础资料!$P$4:$P$34,MATCH($E1231,基础资料!$N$4:$N$34,0))&amp;"",""))</f>
        <v/>
      </c>
      <c r="H1231" s="79"/>
      <c r="I1231" s="88"/>
      <c r="J1231" s="92"/>
      <c r="K1231" s="93"/>
      <c r="L1231" s="25" t="str">
        <f t="shared" si="58"/>
        <v/>
      </c>
      <c r="M1231" s="94"/>
      <c r="N1231" s="26" t="str">
        <f t="shared" si="59"/>
        <v/>
      </c>
      <c r="O1231" s="80"/>
      <c r="P1231" s="80"/>
      <c r="Q1231" s="80"/>
      <c r="R1231" s="80"/>
    </row>
    <row r="1232" ht="18" customHeight="1" spans="1:18">
      <c r="A1232" s="87" t="str">
        <f t="shared" si="57"/>
        <v/>
      </c>
      <c r="B1232" s="78"/>
      <c r="C1232" s="80"/>
      <c r="D1232" s="80"/>
      <c r="E1232" s="79"/>
      <c r="F1232" s="87" t="str">
        <f>IF($E1232="","",IFERROR(INDEX(基础资料!$O$4:$O$34,MATCH($E1232,基础资料!$N$4:$N$34,0))&amp;"",""))</f>
        <v/>
      </c>
      <c r="G1232" s="87" t="str">
        <f>IF($E1232="","",IFERROR(INDEX(基础资料!$P$4:$P$34,MATCH($E1232,基础资料!$N$4:$N$34,0))&amp;"",""))</f>
        <v/>
      </c>
      <c r="H1232" s="79"/>
      <c r="I1232" s="88"/>
      <c r="J1232" s="92"/>
      <c r="K1232" s="93"/>
      <c r="L1232" s="25" t="str">
        <f t="shared" si="58"/>
        <v/>
      </c>
      <c r="M1232" s="94"/>
      <c r="N1232" s="26" t="str">
        <f t="shared" si="59"/>
        <v/>
      </c>
      <c r="O1232" s="80"/>
      <c r="P1232" s="80"/>
      <c r="Q1232" s="80"/>
      <c r="R1232" s="80"/>
    </row>
    <row r="1233" ht="18" customHeight="1" spans="1:18">
      <c r="A1233" s="87" t="str">
        <f t="shared" si="57"/>
        <v/>
      </c>
      <c r="B1233" s="78"/>
      <c r="C1233" s="80"/>
      <c r="D1233" s="80"/>
      <c r="E1233" s="79"/>
      <c r="F1233" s="87" t="str">
        <f>IF($E1233="","",IFERROR(INDEX(基础资料!$O$4:$O$34,MATCH($E1233,基础资料!$N$4:$N$34,0))&amp;"",""))</f>
        <v/>
      </c>
      <c r="G1233" s="87" t="str">
        <f>IF($E1233="","",IFERROR(INDEX(基础资料!$P$4:$P$34,MATCH($E1233,基础资料!$N$4:$N$34,0))&amp;"",""))</f>
        <v/>
      </c>
      <c r="H1233" s="79"/>
      <c r="I1233" s="88"/>
      <c r="J1233" s="92"/>
      <c r="K1233" s="93"/>
      <c r="L1233" s="25" t="str">
        <f t="shared" si="58"/>
        <v/>
      </c>
      <c r="M1233" s="94"/>
      <c r="N1233" s="26" t="str">
        <f t="shared" si="59"/>
        <v/>
      </c>
      <c r="O1233" s="80"/>
      <c r="P1233" s="80"/>
      <c r="Q1233" s="80"/>
      <c r="R1233" s="80"/>
    </row>
    <row r="1234" ht="18" customHeight="1" spans="1:18">
      <c r="A1234" s="87" t="str">
        <f t="shared" si="57"/>
        <v/>
      </c>
      <c r="B1234" s="78"/>
      <c r="C1234" s="80"/>
      <c r="D1234" s="80"/>
      <c r="E1234" s="79"/>
      <c r="F1234" s="87" t="str">
        <f>IF($E1234="","",IFERROR(INDEX(基础资料!$O$4:$O$34,MATCH($E1234,基础资料!$N$4:$N$34,0))&amp;"",""))</f>
        <v/>
      </c>
      <c r="G1234" s="87" t="str">
        <f>IF($E1234="","",IFERROR(INDEX(基础资料!$P$4:$P$34,MATCH($E1234,基础资料!$N$4:$N$34,0))&amp;"",""))</f>
        <v/>
      </c>
      <c r="H1234" s="79"/>
      <c r="I1234" s="88"/>
      <c r="J1234" s="92"/>
      <c r="K1234" s="93"/>
      <c r="L1234" s="25" t="str">
        <f t="shared" si="58"/>
        <v/>
      </c>
      <c r="M1234" s="94"/>
      <c r="N1234" s="26" t="str">
        <f t="shared" si="59"/>
        <v/>
      </c>
      <c r="O1234" s="80"/>
      <c r="P1234" s="80"/>
      <c r="Q1234" s="80"/>
      <c r="R1234" s="80"/>
    </row>
    <row r="1235" ht="18" customHeight="1" spans="1:18">
      <c r="A1235" s="87" t="str">
        <f t="shared" si="57"/>
        <v/>
      </c>
      <c r="B1235" s="78"/>
      <c r="C1235" s="80"/>
      <c r="D1235" s="80"/>
      <c r="E1235" s="79"/>
      <c r="F1235" s="87" t="str">
        <f>IF($E1235="","",IFERROR(INDEX(基础资料!$O$4:$O$34,MATCH($E1235,基础资料!$N$4:$N$34,0))&amp;"",""))</f>
        <v/>
      </c>
      <c r="G1235" s="87" t="str">
        <f>IF($E1235="","",IFERROR(INDEX(基础资料!$P$4:$P$34,MATCH($E1235,基础资料!$N$4:$N$34,0))&amp;"",""))</f>
        <v/>
      </c>
      <c r="H1235" s="79"/>
      <c r="I1235" s="88"/>
      <c r="J1235" s="92"/>
      <c r="K1235" s="93"/>
      <c r="L1235" s="25" t="str">
        <f t="shared" si="58"/>
        <v/>
      </c>
      <c r="M1235" s="94"/>
      <c r="N1235" s="26" t="str">
        <f t="shared" si="59"/>
        <v/>
      </c>
      <c r="O1235" s="80"/>
      <c r="P1235" s="80"/>
      <c r="Q1235" s="80"/>
      <c r="R1235" s="80"/>
    </row>
    <row r="1236" ht="18" customHeight="1" spans="1:18">
      <c r="A1236" s="87" t="str">
        <f t="shared" si="57"/>
        <v/>
      </c>
      <c r="B1236" s="78"/>
      <c r="C1236" s="80"/>
      <c r="D1236" s="80"/>
      <c r="E1236" s="79"/>
      <c r="F1236" s="87" t="str">
        <f>IF($E1236="","",IFERROR(INDEX(基础资料!$O$4:$O$34,MATCH($E1236,基础资料!$N$4:$N$34,0))&amp;"",""))</f>
        <v/>
      </c>
      <c r="G1236" s="87" t="str">
        <f>IF($E1236="","",IFERROR(INDEX(基础资料!$P$4:$P$34,MATCH($E1236,基础资料!$N$4:$N$34,0))&amp;"",""))</f>
        <v/>
      </c>
      <c r="H1236" s="79"/>
      <c r="I1236" s="88"/>
      <c r="J1236" s="92"/>
      <c r="K1236" s="93"/>
      <c r="L1236" s="25" t="str">
        <f t="shared" si="58"/>
        <v/>
      </c>
      <c r="M1236" s="94"/>
      <c r="N1236" s="26" t="str">
        <f t="shared" si="59"/>
        <v/>
      </c>
      <c r="O1236" s="80"/>
      <c r="P1236" s="80"/>
      <c r="Q1236" s="80"/>
      <c r="R1236" s="80"/>
    </row>
    <row r="1237" ht="18" customHeight="1" spans="1:18">
      <c r="A1237" s="87" t="str">
        <f t="shared" si="57"/>
        <v/>
      </c>
      <c r="B1237" s="78"/>
      <c r="C1237" s="80"/>
      <c r="D1237" s="80"/>
      <c r="E1237" s="79"/>
      <c r="F1237" s="87" t="str">
        <f>IF($E1237="","",IFERROR(INDEX(基础资料!$O$4:$O$34,MATCH($E1237,基础资料!$N$4:$N$34,0))&amp;"",""))</f>
        <v/>
      </c>
      <c r="G1237" s="87" t="str">
        <f>IF($E1237="","",IFERROR(INDEX(基础资料!$P$4:$P$34,MATCH($E1237,基础资料!$N$4:$N$34,0))&amp;"",""))</f>
        <v/>
      </c>
      <c r="H1237" s="79"/>
      <c r="I1237" s="88"/>
      <c r="J1237" s="92"/>
      <c r="K1237" s="93"/>
      <c r="L1237" s="25" t="str">
        <f t="shared" si="58"/>
        <v/>
      </c>
      <c r="M1237" s="94"/>
      <c r="N1237" s="26" t="str">
        <f t="shared" si="59"/>
        <v/>
      </c>
      <c r="O1237" s="80"/>
      <c r="P1237" s="80"/>
      <c r="Q1237" s="80"/>
      <c r="R1237" s="80"/>
    </row>
    <row r="1238" ht="18" customHeight="1" spans="1:18">
      <c r="A1238" s="87" t="str">
        <f t="shared" si="57"/>
        <v/>
      </c>
      <c r="B1238" s="78"/>
      <c r="C1238" s="80"/>
      <c r="D1238" s="80"/>
      <c r="E1238" s="79"/>
      <c r="F1238" s="87" t="str">
        <f>IF($E1238="","",IFERROR(INDEX(基础资料!$O$4:$O$34,MATCH($E1238,基础资料!$N$4:$N$34,0))&amp;"",""))</f>
        <v/>
      </c>
      <c r="G1238" s="87" t="str">
        <f>IF($E1238="","",IFERROR(INDEX(基础资料!$P$4:$P$34,MATCH($E1238,基础资料!$N$4:$N$34,0))&amp;"",""))</f>
        <v/>
      </c>
      <c r="H1238" s="79"/>
      <c r="I1238" s="88"/>
      <c r="J1238" s="92"/>
      <c r="K1238" s="93"/>
      <c r="L1238" s="25" t="str">
        <f t="shared" si="58"/>
        <v/>
      </c>
      <c r="M1238" s="94"/>
      <c r="N1238" s="26" t="str">
        <f t="shared" si="59"/>
        <v/>
      </c>
      <c r="O1238" s="80"/>
      <c r="P1238" s="80"/>
      <c r="Q1238" s="80"/>
      <c r="R1238" s="80"/>
    </row>
    <row r="1239" ht="18" customHeight="1" spans="1:18">
      <c r="A1239" s="87" t="str">
        <f t="shared" si="57"/>
        <v/>
      </c>
      <c r="B1239" s="78"/>
      <c r="C1239" s="80"/>
      <c r="D1239" s="80"/>
      <c r="E1239" s="79"/>
      <c r="F1239" s="87" t="str">
        <f>IF($E1239="","",IFERROR(INDEX(基础资料!$O$4:$O$34,MATCH($E1239,基础资料!$N$4:$N$34,0))&amp;"",""))</f>
        <v/>
      </c>
      <c r="G1239" s="87" t="str">
        <f>IF($E1239="","",IFERROR(INDEX(基础资料!$P$4:$P$34,MATCH($E1239,基础资料!$N$4:$N$34,0))&amp;"",""))</f>
        <v/>
      </c>
      <c r="H1239" s="79"/>
      <c r="I1239" s="88"/>
      <c r="J1239" s="92"/>
      <c r="K1239" s="93"/>
      <c r="L1239" s="25" t="str">
        <f t="shared" si="58"/>
        <v/>
      </c>
      <c r="M1239" s="94"/>
      <c r="N1239" s="26" t="str">
        <f t="shared" si="59"/>
        <v/>
      </c>
      <c r="O1239" s="80"/>
      <c r="P1239" s="80"/>
      <c r="Q1239" s="80"/>
      <c r="R1239" s="80"/>
    </row>
    <row r="1240" ht="18" customHeight="1" spans="1:18">
      <c r="A1240" s="87" t="str">
        <f t="shared" si="57"/>
        <v/>
      </c>
      <c r="B1240" s="78"/>
      <c r="C1240" s="80"/>
      <c r="D1240" s="80"/>
      <c r="E1240" s="79"/>
      <c r="F1240" s="87" t="str">
        <f>IF($E1240="","",IFERROR(INDEX(基础资料!$O$4:$O$34,MATCH($E1240,基础资料!$N$4:$N$34,0))&amp;"",""))</f>
        <v/>
      </c>
      <c r="G1240" s="87" t="str">
        <f>IF($E1240="","",IFERROR(INDEX(基础资料!$P$4:$P$34,MATCH($E1240,基础资料!$N$4:$N$34,0))&amp;"",""))</f>
        <v/>
      </c>
      <c r="H1240" s="79"/>
      <c r="I1240" s="88"/>
      <c r="J1240" s="92"/>
      <c r="K1240" s="93"/>
      <c r="L1240" s="25" t="str">
        <f t="shared" si="58"/>
        <v/>
      </c>
      <c r="M1240" s="94"/>
      <c r="N1240" s="26" t="str">
        <f t="shared" si="59"/>
        <v/>
      </c>
      <c r="O1240" s="80"/>
      <c r="P1240" s="80"/>
      <c r="Q1240" s="80"/>
      <c r="R1240" s="80"/>
    </row>
    <row r="1241" ht="18" customHeight="1" spans="1:18">
      <c r="A1241" s="87" t="str">
        <f t="shared" si="57"/>
        <v/>
      </c>
      <c r="B1241" s="78"/>
      <c r="C1241" s="80"/>
      <c r="D1241" s="80"/>
      <c r="E1241" s="79"/>
      <c r="F1241" s="87" t="str">
        <f>IF($E1241="","",IFERROR(INDEX(基础资料!$O$4:$O$34,MATCH($E1241,基础资料!$N$4:$N$34,0))&amp;"",""))</f>
        <v/>
      </c>
      <c r="G1241" s="87" t="str">
        <f>IF($E1241="","",IFERROR(INDEX(基础资料!$P$4:$P$34,MATCH($E1241,基础资料!$N$4:$N$34,0))&amp;"",""))</f>
        <v/>
      </c>
      <c r="H1241" s="79"/>
      <c r="I1241" s="88"/>
      <c r="J1241" s="92"/>
      <c r="K1241" s="93"/>
      <c r="L1241" s="25" t="str">
        <f t="shared" si="58"/>
        <v/>
      </c>
      <c r="M1241" s="94"/>
      <c r="N1241" s="26" t="str">
        <f t="shared" si="59"/>
        <v/>
      </c>
      <c r="O1241" s="80"/>
      <c r="P1241" s="80"/>
      <c r="Q1241" s="80"/>
      <c r="R1241" s="80"/>
    </row>
    <row r="1242" ht="18" customHeight="1" spans="1:18">
      <c r="A1242" s="87" t="str">
        <f t="shared" si="57"/>
        <v/>
      </c>
      <c r="B1242" s="78"/>
      <c r="C1242" s="80"/>
      <c r="D1242" s="80"/>
      <c r="E1242" s="79"/>
      <c r="F1242" s="87" t="str">
        <f>IF($E1242="","",IFERROR(INDEX(基础资料!$O$4:$O$34,MATCH($E1242,基础资料!$N$4:$N$34,0))&amp;"",""))</f>
        <v/>
      </c>
      <c r="G1242" s="87" t="str">
        <f>IF($E1242="","",IFERROR(INDEX(基础资料!$P$4:$P$34,MATCH($E1242,基础资料!$N$4:$N$34,0))&amp;"",""))</f>
        <v/>
      </c>
      <c r="H1242" s="79"/>
      <c r="I1242" s="88"/>
      <c r="J1242" s="92"/>
      <c r="K1242" s="93"/>
      <c r="L1242" s="25" t="str">
        <f t="shared" si="58"/>
        <v/>
      </c>
      <c r="M1242" s="94"/>
      <c r="N1242" s="26" t="str">
        <f t="shared" si="59"/>
        <v/>
      </c>
      <c r="O1242" s="80"/>
      <c r="P1242" s="80"/>
      <c r="Q1242" s="80"/>
      <c r="R1242" s="80"/>
    </row>
    <row r="1243" ht="18" customHeight="1" spans="1:18">
      <c r="A1243" s="87" t="str">
        <f t="shared" si="57"/>
        <v/>
      </c>
      <c r="B1243" s="78"/>
      <c r="C1243" s="80"/>
      <c r="D1243" s="80"/>
      <c r="E1243" s="79"/>
      <c r="F1243" s="87" t="str">
        <f>IF($E1243="","",IFERROR(INDEX(基础资料!$O$4:$O$34,MATCH($E1243,基础资料!$N$4:$N$34,0))&amp;"",""))</f>
        <v/>
      </c>
      <c r="G1243" s="87" t="str">
        <f>IF($E1243="","",IFERROR(INDEX(基础资料!$P$4:$P$34,MATCH($E1243,基础资料!$N$4:$N$34,0))&amp;"",""))</f>
        <v/>
      </c>
      <c r="H1243" s="79"/>
      <c r="I1243" s="88"/>
      <c r="J1243" s="92"/>
      <c r="K1243" s="93"/>
      <c r="L1243" s="25" t="str">
        <f t="shared" si="58"/>
        <v/>
      </c>
      <c r="M1243" s="94"/>
      <c r="N1243" s="26" t="str">
        <f t="shared" si="59"/>
        <v/>
      </c>
      <c r="O1243" s="80"/>
      <c r="P1243" s="80"/>
      <c r="Q1243" s="80"/>
      <c r="R1243" s="80"/>
    </row>
    <row r="1244" ht="18" customHeight="1" spans="1:18">
      <c r="A1244" s="87" t="str">
        <f t="shared" si="57"/>
        <v/>
      </c>
      <c r="B1244" s="78"/>
      <c r="C1244" s="80"/>
      <c r="D1244" s="80"/>
      <c r="E1244" s="79"/>
      <c r="F1244" s="87" t="str">
        <f>IF($E1244="","",IFERROR(INDEX(基础资料!$O$4:$O$34,MATCH($E1244,基础资料!$N$4:$N$34,0))&amp;"",""))</f>
        <v/>
      </c>
      <c r="G1244" s="87" t="str">
        <f>IF($E1244="","",IFERROR(INDEX(基础资料!$P$4:$P$34,MATCH($E1244,基础资料!$N$4:$N$34,0))&amp;"",""))</f>
        <v/>
      </c>
      <c r="H1244" s="79"/>
      <c r="I1244" s="88"/>
      <c r="J1244" s="92"/>
      <c r="K1244" s="93"/>
      <c r="L1244" s="25" t="str">
        <f t="shared" si="58"/>
        <v/>
      </c>
      <c r="M1244" s="94"/>
      <c r="N1244" s="26" t="str">
        <f t="shared" si="59"/>
        <v/>
      </c>
      <c r="O1244" s="80"/>
      <c r="P1244" s="80"/>
      <c r="Q1244" s="80"/>
      <c r="R1244" s="80"/>
    </row>
    <row r="1245" ht="18" customHeight="1" spans="1:18">
      <c r="A1245" s="87" t="str">
        <f t="shared" si="57"/>
        <v/>
      </c>
      <c r="B1245" s="78"/>
      <c r="C1245" s="80"/>
      <c r="D1245" s="80"/>
      <c r="E1245" s="79"/>
      <c r="F1245" s="87" t="str">
        <f>IF($E1245="","",IFERROR(INDEX(基础资料!$O$4:$O$34,MATCH($E1245,基础资料!$N$4:$N$34,0))&amp;"",""))</f>
        <v/>
      </c>
      <c r="G1245" s="87" t="str">
        <f>IF($E1245="","",IFERROR(INDEX(基础资料!$P$4:$P$34,MATCH($E1245,基础资料!$N$4:$N$34,0))&amp;"",""))</f>
        <v/>
      </c>
      <c r="H1245" s="79"/>
      <c r="I1245" s="88"/>
      <c r="J1245" s="92"/>
      <c r="K1245" s="93"/>
      <c r="L1245" s="25" t="str">
        <f t="shared" si="58"/>
        <v/>
      </c>
      <c r="M1245" s="94"/>
      <c r="N1245" s="26" t="str">
        <f t="shared" si="59"/>
        <v/>
      </c>
      <c r="O1245" s="80"/>
      <c r="P1245" s="80"/>
      <c r="Q1245" s="80"/>
      <c r="R1245" s="80"/>
    </row>
    <row r="1246" ht="18" customHeight="1" spans="1:18">
      <c r="A1246" s="87" t="str">
        <f t="shared" si="57"/>
        <v/>
      </c>
      <c r="B1246" s="78"/>
      <c r="C1246" s="80"/>
      <c r="D1246" s="80"/>
      <c r="E1246" s="79"/>
      <c r="F1246" s="87" t="str">
        <f>IF($E1246="","",IFERROR(INDEX(基础资料!$O$4:$O$34,MATCH($E1246,基础资料!$N$4:$N$34,0))&amp;"",""))</f>
        <v/>
      </c>
      <c r="G1246" s="87" t="str">
        <f>IF($E1246="","",IFERROR(INDEX(基础资料!$P$4:$P$34,MATCH($E1246,基础资料!$N$4:$N$34,0))&amp;"",""))</f>
        <v/>
      </c>
      <c r="H1246" s="79"/>
      <c r="I1246" s="88"/>
      <c r="J1246" s="92"/>
      <c r="K1246" s="93"/>
      <c r="L1246" s="25" t="str">
        <f t="shared" si="58"/>
        <v/>
      </c>
      <c r="M1246" s="94"/>
      <c r="N1246" s="26" t="str">
        <f t="shared" si="59"/>
        <v/>
      </c>
      <c r="O1246" s="80"/>
      <c r="P1246" s="80"/>
      <c r="Q1246" s="80"/>
      <c r="R1246" s="80"/>
    </row>
    <row r="1247" ht="18" customHeight="1" spans="1:18">
      <c r="A1247" s="87" t="str">
        <f t="shared" si="57"/>
        <v/>
      </c>
      <c r="B1247" s="78"/>
      <c r="C1247" s="80"/>
      <c r="D1247" s="80"/>
      <c r="E1247" s="79"/>
      <c r="F1247" s="87" t="str">
        <f>IF($E1247="","",IFERROR(INDEX(基础资料!$O$4:$O$34,MATCH($E1247,基础资料!$N$4:$N$34,0))&amp;"",""))</f>
        <v/>
      </c>
      <c r="G1247" s="87" t="str">
        <f>IF($E1247="","",IFERROR(INDEX(基础资料!$P$4:$P$34,MATCH($E1247,基础资料!$N$4:$N$34,0))&amp;"",""))</f>
        <v/>
      </c>
      <c r="H1247" s="79"/>
      <c r="I1247" s="88"/>
      <c r="J1247" s="92"/>
      <c r="K1247" s="93"/>
      <c r="L1247" s="25" t="str">
        <f t="shared" si="58"/>
        <v/>
      </c>
      <c r="M1247" s="94"/>
      <c r="N1247" s="26" t="str">
        <f t="shared" si="59"/>
        <v/>
      </c>
      <c r="O1247" s="80"/>
      <c r="P1247" s="80"/>
      <c r="Q1247" s="80"/>
      <c r="R1247" s="80"/>
    </row>
    <row r="1248" ht="18" customHeight="1" spans="1:18">
      <c r="A1248" s="87" t="str">
        <f t="shared" si="57"/>
        <v/>
      </c>
      <c r="B1248" s="78"/>
      <c r="C1248" s="80"/>
      <c r="D1248" s="80"/>
      <c r="E1248" s="79"/>
      <c r="F1248" s="87" t="str">
        <f>IF($E1248="","",IFERROR(INDEX(基础资料!$O$4:$O$34,MATCH($E1248,基础资料!$N$4:$N$34,0))&amp;"",""))</f>
        <v/>
      </c>
      <c r="G1248" s="87" t="str">
        <f>IF($E1248="","",IFERROR(INDEX(基础资料!$P$4:$P$34,MATCH($E1248,基础资料!$N$4:$N$34,0))&amp;"",""))</f>
        <v/>
      </c>
      <c r="H1248" s="79"/>
      <c r="I1248" s="88"/>
      <c r="J1248" s="92"/>
      <c r="K1248" s="93"/>
      <c r="L1248" s="25" t="str">
        <f t="shared" si="58"/>
        <v/>
      </c>
      <c r="M1248" s="94"/>
      <c r="N1248" s="26" t="str">
        <f t="shared" si="59"/>
        <v/>
      </c>
      <c r="O1248" s="80"/>
      <c r="P1248" s="80"/>
      <c r="Q1248" s="80"/>
      <c r="R1248" s="80"/>
    </row>
    <row r="1249" ht="18" customHeight="1" spans="1:18">
      <c r="A1249" s="87" t="str">
        <f t="shared" si="57"/>
        <v/>
      </c>
      <c r="B1249" s="78"/>
      <c r="C1249" s="80"/>
      <c r="D1249" s="80"/>
      <c r="E1249" s="79"/>
      <c r="F1249" s="87" t="str">
        <f>IF($E1249="","",IFERROR(INDEX(基础资料!$O$4:$O$34,MATCH($E1249,基础资料!$N$4:$N$34,0))&amp;"",""))</f>
        <v/>
      </c>
      <c r="G1249" s="87" t="str">
        <f>IF($E1249="","",IFERROR(INDEX(基础资料!$P$4:$P$34,MATCH($E1249,基础资料!$N$4:$N$34,0))&amp;"",""))</f>
        <v/>
      </c>
      <c r="H1249" s="79"/>
      <c r="I1249" s="88"/>
      <c r="J1249" s="92"/>
      <c r="K1249" s="93"/>
      <c r="L1249" s="25" t="str">
        <f t="shared" si="58"/>
        <v/>
      </c>
      <c r="M1249" s="94"/>
      <c r="N1249" s="26" t="str">
        <f t="shared" si="59"/>
        <v/>
      </c>
      <c r="O1249" s="80"/>
      <c r="P1249" s="80"/>
      <c r="Q1249" s="80"/>
      <c r="R1249" s="80"/>
    </row>
    <row r="1250" ht="18" customHeight="1" spans="1:18">
      <c r="A1250" s="87" t="str">
        <f t="shared" si="57"/>
        <v/>
      </c>
      <c r="B1250" s="78"/>
      <c r="C1250" s="80"/>
      <c r="D1250" s="80"/>
      <c r="E1250" s="79"/>
      <c r="F1250" s="87" t="str">
        <f>IF($E1250="","",IFERROR(INDEX(基础资料!$O$4:$O$34,MATCH($E1250,基础资料!$N$4:$N$34,0))&amp;"",""))</f>
        <v/>
      </c>
      <c r="G1250" s="87" t="str">
        <f>IF($E1250="","",IFERROR(INDEX(基础资料!$P$4:$P$34,MATCH($E1250,基础资料!$N$4:$N$34,0))&amp;"",""))</f>
        <v/>
      </c>
      <c r="H1250" s="79"/>
      <c r="I1250" s="88"/>
      <c r="J1250" s="92"/>
      <c r="K1250" s="93"/>
      <c r="L1250" s="25" t="str">
        <f t="shared" si="58"/>
        <v/>
      </c>
      <c r="M1250" s="94"/>
      <c r="N1250" s="26" t="str">
        <f t="shared" si="59"/>
        <v/>
      </c>
      <c r="O1250" s="80"/>
      <c r="P1250" s="80"/>
      <c r="Q1250" s="80"/>
      <c r="R1250" s="80"/>
    </row>
    <row r="1251" ht="18" customHeight="1" spans="1:18">
      <c r="A1251" s="87" t="str">
        <f t="shared" si="57"/>
        <v/>
      </c>
      <c r="B1251" s="78"/>
      <c r="C1251" s="80"/>
      <c r="D1251" s="80"/>
      <c r="E1251" s="79"/>
      <c r="F1251" s="87" t="str">
        <f>IF($E1251="","",IFERROR(INDEX(基础资料!$O$4:$O$34,MATCH($E1251,基础资料!$N$4:$N$34,0))&amp;"",""))</f>
        <v/>
      </c>
      <c r="G1251" s="87" t="str">
        <f>IF($E1251="","",IFERROR(INDEX(基础资料!$P$4:$P$34,MATCH($E1251,基础资料!$N$4:$N$34,0))&amp;"",""))</f>
        <v/>
      </c>
      <c r="H1251" s="79"/>
      <c r="I1251" s="88"/>
      <c r="J1251" s="92"/>
      <c r="K1251" s="93"/>
      <c r="L1251" s="25" t="str">
        <f t="shared" si="58"/>
        <v/>
      </c>
      <c r="M1251" s="94"/>
      <c r="N1251" s="26" t="str">
        <f t="shared" si="59"/>
        <v/>
      </c>
      <c r="O1251" s="80"/>
      <c r="P1251" s="80"/>
      <c r="Q1251" s="80"/>
      <c r="R1251" s="80"/>
    </row>
    <row r="1252" ht="18" customHeight="1" spans="1:18">
      <c r="A1252" s="87" t="str">
        <f t="shared" si="57"/>
        <v/>
      </c>
      <c r="B1252" s="78"/>
      <c r="C1252" s="80"/>
      <c r="D1252" s="80"/>
      <c r="E1252" s="79"/>
      <c r="F1252" s="87" t="str">
        <f>IF($E1252="","",IFERROR(INDEX(基础资料!$O$4:$O$34,MATCH($E1252,基础资料!$N$4:$N$34,0))&amp;"",""))</f>
        <v/>
      </c>
      <c r="G1252" s="87" t="str">
        <f>IF($E1252="","",IFERROR(INDEX(基础资料!$P$4:$P$34,MATCH($E1252,基础资料!$N$4:$N$34,0))&amp;"",""))</f>
        <v/>
      </c>
      <c r="H1252" s="79"/>
      <c r="I1252" s="88"/>
      <c r="J1252" s="92"/>
      <c r="K1252" s="93"/>
      <c r="L1252" s="25" t="str">
        <f t="shared" si="58"/>
        <v/>
      </c>
      <c r="M1252" s="94"/>
      <c r="N1252" s="26" t="str">
        <f t="shared" si="59"/>
        <v/>
      </c>
      <c r="O1252" s="80"/>
      <c r="P1252" s="80"/>
      <c r="Q1252" s="80"/>
      <c r="R1252" s="80"/>
    </row>
    <row r="1253" ht="18" customHeight="1" spans="1:18">
      <c r="A1253" s="87" t="str">
        <f t="shared" si="57"/>
        <v/>
      </c>
      <c r="B1253" s="78"/>
      <c r="C1253" s="80"/>
      <c r="D1253" s="80"/>
      <c r="E1253" s="79"/>
      <c r="F1253" s="87" t="str">
        <f>IF($E1253="","",IFERROR(INDEX(基础资料!$O$4:$O$34,MATCH($E1253,基础资料!$N$4:$N$34,0))&amp;"",""))</f>
        <v/>
      </c>
      <c r="G1253" s="87" t="str">
        <f>IF($E1253="","",IFERROR(INDEX(基础资料!$P$4:$P$34,MATCH($E1253,基础资料!$N$4:$N$34,0))&amp;"",""))</f>
        <v/>
      </c>
      <c r="H1253" s="79"/>
      <c r="I1253" s="88"/>
      <c r="J1253" s="92"/>
      <c r="K1253" s="93"/>
      <c r="L1253" s="25" t="str">
        <f t="shared" si="58"/>
        <v/>
      </c>
      <c r="M1253" s="94"/>
      <c r="N1253" s="26" t="str">
        <f t="shared" si="59"/>
        <v/>
      </c>
      <c r="O1253" s="80"/>
      <c r="P1253" s="80"/>
      <c r="Q1253" s="80"/>
      <c r="R1253" s="80"/>
    </row>
    <row r="1254" ht="18" customHeight="1" spans="1:18">
      <c r="A1254" s="87" t="str">
        <f t="shared" si="57"/>
        <v/>
      </c>
      <c r="B1254" s="78"/>
      <c r="C1254" s="80"/>
      <c r="D1254" s="80"/>
      <c r="E1254" s="79"/>
      <c r="F1254" s="87" t="str">
        <f>IF($E1254="","",IFERROR(INDEX(基础资料!$O$4:$O$34,MATCH($E1254,基础资料!$N$4:$N$34,0))&amp;"",""))</f>
        <v/>
      </c>
      <c r="G1254" s="87" t="str">
        <f>IF($E1254="","",IFERROR(INDEX(基础资料!$P$4:$P$34,MATCH($E1254,基础资料!$N$4:$N$34,0))&amp;"",""))</f>
        <v/>
      </c>
      <c r="H1254" s="79"/>
      <c r="I1254" s="88"/>
      <c r="J1254" s="92"/>
      <c r="K1254" s="93"/>
      <c r="L1254" s="25" t="str">
        <f t="shared" si="58"/>
        <v/>
      </c>
      <c r="M1254" s="94"/>
      <c r="N1254" s="26" t="str">
        <f t="shared" si="59"/>
        <v/>
      </c>
      <c r="O1254" s="80"/>
      <c r="P1254" s="80"/>
      <c r="Q1254" s="80"/>
      <c r="R1254" s="80"/>
    </row>
    <row r="1255" ht="18" customHeight="1" spans="1:18">
      <c r="A1255" s="87" t="str">
        <f t="shared" si="57"/>
        <v/>
      </c>
      <c r="B1255" s="78"/>
      <c r="C1255" s="80"/>
      <c r="D1255" s="80"/>
      <c r="E1255" s="79"/>
      <c r="F1255" s="87" t="str">
        <f>IF($E1255="","",IFERROR(INDEX(基础资料!$O$4:$O$34,MATCH($E1255,基础资料!$N$4:$N$34,0))&amp;"",""))</f>
        <v/>
      </c>
      <c r="G1255" s="87" t="str">
        <f>IF($E1255="","",IFERROR(INDEX(基础资料!$P$4:$P$34,MATCH($E1255,基础资料!$N$4:$N$34,0))&amp;"",""))</f>
        <v/>
      </c>
      <c r="H1255" s="79"/>
      <c r="I1255" s="88"/>
      <c r="J1255" s="92"/>
      <c r="K1255" s="93"/>
      <c r="L1255" s="25" t="str">
        <f t="shared" si="58"/>
        <v/>
      </c>
      <c r="M1255" s="94"/>
      <c r="N1255" s="26" t="str">
        <f t="shared" si="59"/>
        <v/>
      </c>
      <c r="O1255" s="80"/>
      <c r="P1255" s="80"/>
      <c r="Q1255" s="80"/>
      <c r="R1255" s="80"/>
    </row>
    <row r="1256" ht="18" customHeight="1" spans="1:18">
      <c r="A1256" s="87" t="str">
        <f t="shared" si="57"/>
        <v/>
      </c>
      <c r="B1256" s="78"/>
      <c r="C1256" s="80"/>
      <c r="D1256" s="80"/>
      <c r="E1256" s="79"/>
      <c r="F1256" s="87" t="str">
        <f>IF($E1256="","",IFERROR(INDEX(基础资料!$O$4:$O$34,MATCH($E1256,基础资料!$N$4:$N$34,0))&amp;"",""))</f>
        <v/>
      </c>
      <c r="G1256" s="87" t="str">
        <f>IF($E1256="","",IFERROR(INDEX(基础资料!$P$4:$P$34,MATCH($E1256,基础资料!$N$4:$N$34,0))&amp;"",""))</f>
        <v/>
      </c>
      <c r="H1256" s="79"/>
      <c r="I1256" s="88"/>
      <c r="J1256" s="92"/>
      <c r="K1256" s="93"/>
      <c r="L1256" s="25" t="str">
        <f t="shared" si="58"/>
        <v/>
      </c>
      <c r="M1256" s="94"/>
      <c r="N1256" s="26" t="str">
        <f t="shared" si="59"/>
        <v/>
      </c>
      <c r="O1256" s="80"/>
      <c r="P1256" s="80"/>
      <c r="Q1256" s="80"/>
      <c r="R1256" s="80"/>
    </row>
    <row r="1257" ht="18" customHeight="1" spans="1:18">
      <c r="A1257" s="87" t="str">
        <f t="shared" si="57"/>
        <v/>
      </c>
      <c r="B1257" s="78"/>
      <c r="C1257" s="80"/>
      <c r="D1257" s="80"/>
      <c r="E1257" s="79"/>
      <c r="F1257" s="87" t="str">
        <f>IF($E1257="","",IFERROR(INDEX(基础资料!$O$4:$O$34,MATCH($E1257,基础资料!$N$4:$N$34,0))&amp;"",""))</f>
        <v/>
      </c>
      <c r="G1257" s="87" t="str">
        <f>IF($E1257="","",IFERROR(INDEX(基础资料!$P$4:$P$34,MATCH($E1257,基础资料!$N$4:$N$34,0))&amp;"",""))</f>
        <v/>
      </c>
      <c r="H1257" s="79"/>
      <c r="I1257" s="88"/>
      <c r="J1257" s="92"/>
      <c r="K1257" s="93"/>
      <c r="L1257" s="25" t="str">
        <f t="shared" si="58"/>
        <v/>
      </c>
      <c r="M1257" s="94"/>
      <c r="N1257" s="26" t="str">
        <f t="shared" si="59"/>
        <v/>
      </c>
      <c r="O1257" s="80"/>
      <c r="P1257" s="80"/>
      <c r="Q1257" s="80"/>
      <c r="R1257" s="80"/>
    </row>
    <row r="1258" ht="18" customHeight="1" spans="1:18">
      <c r="A1258" s="87" t="str">
        <f t="shared" si="57"/>
        <v/>
      </c>
      <c r="B1258" s="78"/>
      <c r="C1258" s="80"/>
      <c r="D1258" s="80"/>
      <c r="E1258" s="79"/>
      <c r="F1258" s="87" t="str">
        <f>IF($E1258="","",IFERROR(INDEX(基础资料!$O$4:$O$34,MATCH($E1258,基础资料!$N$4:$N$34,0))&amp;"",""))</f>
        <v/>
      </c>
      <c r="G1258" s="87" t="str">
        <f>IF($E1258="","",IFERROR(INDEX(基础资料!$P$4:$P$34,MATCH($E1258,基础资料!$N$4:$N$34,0))&amp;"",""))</f>
        <v/>
      </c>
      <c r="H1258" s="79"/>
      <c r="I1258" s="88"/>
      <c r="J1258" s="92"/>
      <c r="K1258" s="93"/>
      <c r="L1258" s="25" t="str">
        <f t="shared" si="58"/>
        <v/>
      </c>
      <c r="M1258" s="94"/>
      <c r="N1258" s="26" t="str">
        <f t="shared" si="59"/>
        <v/>
      </c>
      <c r="O1258" s="80"/>
      <c r="P1258" s="80"/>
      <c r="Q1258" s="80"/>
      <c r="R1258" s="80"/>
    </row>
    <row r="1259" ht="18" customHeight="1" spans="1:18">
      <c r="A1259" s="87" t="str">
        <f t="shared" si="57"/>
        <v/>
      </c>
      <c r="B1259" s="78"/>
      <c r="C1259" s="80"/>
      <c r="D1259" s="80"/>
      <c r="E1259" s="79"/>
      <c r="F1259" s="87" t="str">
        <f>IF($E1259="","",IFERROR(INDEX(基础资料!$O$4:$O$34,MATCH($E1259,基础资料!$N$4:$N$34,0))&amp;"",""))</f>
        <v/>
      </c>
      <c r="G1259" s="87" t="str">
        <f>IF($E1259="","",IFERROR(INDEX(基础资料!$P$4:$P$34,MATCH($E1259,基础资料!$N$4:$N$34,0))&amp;"",""))</f>
        <v/>
      </c>
      <c r="H1259" s="79"/>
      <c r="I1259" s="88"/>
      <c r="J1259" s="92"/>
      <c r="K1259" s="93"/>
      <c r="L1259" s="25" t="str">
        <f t="shared" si="58"/>
        <v/>
      </c>
      <c r="M1259" s="94"/>
      <c r="N1259" s="26" t="str">
        <f t="shared" si="59"/>
        <v/>
      </c>
      <c r="O1259" s="80"/>
      <c r="P1259" s="80"/>
      <c r="Q1259" s="80"/>
      <c r="R1259" s="80"/>
    </row>
    <row r="1260" ht="18" customHeight="1" spans="1:18">
      <c r="A1260" s="87" t="str">
        <f t="shared" si="57"/>
        <v/>
      </c>
      <c r="B1260" s="78"/>
      <c r="C1260" s="80"/>
      <c r="D1260" s="80"/>
      <c r="E1260" s="79"/>
      <c r="F1260" s="87" t="str">
        <f>IF($E1260="","",IFERROR(INDEX(基础资料!$O$4:$O$34,MATCH($E1260,基础资料!$N$4:$N$34,0))&amp;"",""))</f>
        <v/>
      </c>
      <c r="G1260" s="87" t="str">
        <f>IF($E1260="","",IFERROR(INDEX(基础资料!$P$4:$P$34,MATCH($E1260,基础资料!$N$4:$N$34,0))&amp;"",""))</f>
        <v/>
      </c>
      <c r="H1260" s="79"/>
      <c r="I1260" s="88"/>
      <c r="J1260" s="92"/>
      <c r="K1260" s="93"/>
      <c r="L1260" s="25" t="str">
        <f t="shared" si="58"/>
        <v/>
      </c>
      <c r="M1260" s="94"/>
      <c r="N1260" s="26" t="str">
        <f t="shared" si="59"/>
        <v/>
      </c>
      <c r="O1260" s="80"/>
      <c r="P1260" s="80"/>
      <c r="Q1260" s="80"/>
      <c r="R1260" s="80"/>
    </row>
    <row r="1261" ht="18" customHeight="1" spans="1:18">
      <c r="A1261" s="87" t="str">
        <f t="shared" si="57"/>
        <v/>
      </c>
      <c r="B1261" s="78"/>
      <c r="C1261" s="80"/>
      <c r="D1261" s="80"/>
      <c r="E1261" s="79"/>
      <c r="F1261" s="87" t="str">
        <f>IF($E1261="","",IFERROR(INDEX(基础资料!$O$4:$O$34,MATCH($E1261,基础资料!$N$4:$N$34,0))&amp;"",""))</f>
        <v/>
      </c>
      <c r="G1261" s="87" t="str">
        <f>IF($E1261="","",IFERROR(INDEX(基础资料!$P$4:$P$34,MATCH($E1261,基础资料!$N$4:$N$34,0))&amp;"",""))</f>
        <v/>
      </c>
      <c r="H1261" s="79"/>
      <c r="I1261" s="88"/>
      <c r="J1261" s="92"/>
      <c r="K1261" s="93"/>
      <c r="L1261" s="25" t="str">
        <f t="shared" si="58"/>
        <v/>
      </c>
      <c r="M1261" s="94"/>
      <c r="N1261" s="26" t="str">
        <f t="shared" si="59"/>
        <v/>
      </c>
      <c r="O1261" s="80"/>
      <c r="P1261" s="80"/>
      <c r="Q1261" s="80"/>
      <c r="R1261" s="80"/>
    </row>
    <row r="1262" ht="18" customHeight="1" spans="1:18">
      <c r="A1262" s="87" t="str">
        <f t="shared" si="57"/>
        <v/>
      </c>
      <c r="B1262" s="78"/>
      <c r="C1262" s="80"/>
      <c r="D1262" s="80"/>
      <c r="E1262" s="79"/>
      <c r="F1262" s="87" t="str">
        <f>IF($E1262="","",IFERROR(INDEX(基础资料!$O$4:$O$34,MATCH($E1262,基础资料!$N$4:$N$34,0))&amp;"",""))</f>
        <v/>
      </c>
      <c r="G1262" s="87" t="str">
        <f>IF($E1262="","",IFERROR(INDEX(基础资料!$P$4:$P$34,MATCH($E1262,基础资料!$N$4:$N$34,0))&amp;"",""))</f>
        <v/>
      </c>
      <c r="H1262" s="79"/>
      <c r="I1262" s="88"/>
      <c r="J1262" s="92"/>
      <c r="K1262" s="93"/>
      <c r="L1262" s="25" t="str">
        <f t="shared" si="58"/>
        <v/>
      </c>
      <c r="M1262" s="94"/>
      <c r="N1262" s="26" t="str">
        <f t="shared" si="59"/>
        <v/>
      </c>
      <c r="O1262" s="80"/>
      <c r="P1262" s="80"/>
      <c r="Q1262" s="80"/>
      <c r="R1262" s="80"/>
    </row>
    <row r="1263" ht="18" customHeight="1" spans="1:18">
      <c r="A1263" s="87" t="str">
        <f t="shared" si="57"/>
        <v/>
      </c>
      <c r="B1263" s="78"/>
      <c r="C1263" s="80"/>
      <c r="D1263" s="80"/>
      <c r="E1263" s="79"/>
      <c r="F1263" s="87" t="str">
        <f>IF($E1263="","",IFERROR(INDEX(基础资料!$O$4:$O$34,MATCH($E1263,基础资料!$N$4:$N$34,0))&amp;"",""))</f>
        <v/>
      </c>
      <c r="G1263" s="87" t="str">
        <f>IF($E1263="","",IFERROR(INDEX(基础资料!$P$4:$P$34,MATCH($E1263,基础资料!$N$4:$N$34,0))&amp;"",""))</f>
        <v/>
      </c>
      <c r="H1263" s="79"/>
      <c r="I1263" s="88"/>
      <c r="J1263" s="92"/>
      <c r="K1263" s="93"/>
      <c r="L1263" s="25" t="str">
        <f t="shared" si="58"/>
        <v/>
      </c>
      <c r="M1263" s="94"/>
      <c r="N1263" s="26" t="str">
        <f t="shared" si="59"/>
        <v/>
      </c>
      <c r="O1263" s="80"/>
      <c r="P1263" s="80"/>
      <c r="Q1263" s="80"/>
      <c r="R1263" s="80"/>
    </row>
    <row r="1264" ht="18" customHeight="1" spans="1:18">
      <c r="A1264" s="87" t="str">
        <f t="shared" si="57"/>
        <v/>
      </c>
      <c r="B1264" s="78"/>
      <c r="C1264" s="80"/>
      <c r="D1264" s="80"/>
      <c r="E1264" s="79"/>
      <c r="F1264" s="87" t="str">
        <f>IF($E1264="","",IFERROR(INDEX(基础资料!$O$4:$O$34,MATCH($E1264,基础资料!$N$4:$N$34,0))&amp;"",""))</f>
        <v/>
      </c>
      <c r="G1264" s="87" t="str">
        <f>IF($E1264="","",IFERROR(INDEX(基础资料!$P$4:$P$34,MATCH($E1264,基础资料!$N$4:$N$34,0))&amp;"",""))</f>
        <v/>
      </c>
      <c r="H1264" s="79"/>
      <c r="I1264" s="88"/>
      <c r="J1264" s="92"/>
      <c r="K1264" s="93"/>
      <c r="L1264" s="25" t="str">
        <f t="shared" si="58"/>
        <v/>
      </c>
      <c r="M1264" s="94"/>
      <c r="N1264" s="26" t="str">
        <f t="shared" si="59"/>
        <v/>
      </c>
      <c r="O1264" s="80"/>
      <c r="P1264" s="80"/>
      <c r="Q1264" s="80"/>
      <c r="R1264" s="80"/>
    </row>
    <row r="1265" ht="18" customHeight="1" spans="1:18">
      <c r="A1265" s="87" t="str">
        <f t="shared" si="57"/>
        <v/>
      </c>
      <c r="B1265" s="78"/>
      <c r="C1265" s="80"/>
      <c r="D1265" s="80"/>
      <c r="E1265" s="79"/>
      <c r="F1265" s="87" t="str">
        <f>IF($E1265="","",IFERROR(INDEX(基础资料!$O$4:$O$34,MATCH($E1265,基础资料!$N$4:$N$34,0))&amp;"",""))</f>
        <v/>
      </c>
      <c r="G1265" s="87" t="str">
        <f>IF($E1265="","",IFERROR(INDEX(基础资料!$P$4:$P$34,MATCH($E1265,基础资料!$N$4:$N$34,0))&amp;"",""))</f>
        <v/>
      </c>
      <c r="H1265" s="79"/>
      <c r="I1265" s="88"/>
      <c r="J1265" s="92"/>
      <c r="K1265" s="93"/>
      <c r="L1265" s="25" t="str">
        <f t="shared" si="58"/>
        <v/>
      </c>
      <c r="M1265" s="94"/>
      <c r="N1265" s="26" t="str">
        <f t="shared" si="59"/>
        <v/>
      </c>
      <c r="O1265" s="80"/>
      <c r="P1265" s="80"/>
      <c r="Q1265" s="80"/>
      <c r="R1265" s="80"/>
    </row>
    <row r="1266" ht="18" customHeight="1" spans="1:18">
      <c r="A1266" s="87" t="str">
        <f t="shared" si="57"/>
        <v/>
      </c>
      <c r="B1266" s="78"/>
      <c r="C1266" s="80"/>
      <c r="D1266" s="80"/>
      <c r="E1266" s="79"/>
      <c r="F1266" s="87" t="str">
        <f>IF($E1266="","",IFERROR(INDEX(基础资料!$O$4:$O$34,MATCH($E1266,基础资料!$N$4:$N$34,0))&amp;"",""))</f>
        <v/>
      </c>
      <c r="G1266" s="87" t="str">
        <f>IF($E1266="","",IFERROR(INDEX(基础资料!$P$4:$P$34,MATCH($E1266,基础资料!$N$4:$N$34,0))&amp;"",""))</f>
        <v/>
      </c>
      <c r="H1266" s="79"/>
      <c r="I1266" s="88"/>
      <c r="J1266" s="92"/>
      <c r="K1266" s="93"/>
      <c r="L1266" s="25" t="str">
        <f t="shared" si="58"/>
        <v/>
      </c>
      <c r="M1266" s="94"/>
      <c r="N1266" s="26" t="str">
        <f t="shared" si="59"/>
        <v/>
      </c>
      <c r="O1266" s="80"/>
      <c r="P1266" s="80"/>
      <c r="Q1266" s="80"/>
      <c r="R1266" s="80"/>
    </row>
    <row r="1267" ht="18" customHeight="1" spans="1:18">
      <c r="A1267" s="87" t="str">
        <f t="shared" si="57"/>
        <v/>
      </c>
      <c r="B1267" s="78"/>
      <c r="C1267" s="80"/>
      <c r="D1267" s="80"/>
      <c r="E1267" s="79"/>
      <c r="F1267" s="87" t="str">
        <f>IF($E1267="","",IFERROR(INDEX(基础资料!$O$4:$O$34,MATCH($E1267,基础资料!$N$4:$N$34,0))&amp;"",""))</f>
        <v/>
      </c>
      <c r="G1267" s="87" t="str">
        <f>IF($E1267="","",IFERROR(INDEX(基础资料!$P$4:$P$34,MATCH($E1267,基础资料!$N$4:$N$34,0))&amp;"",""))</f>
        <v/>
      </c>
      <c r="H1267" s="79"/>
      <c r="I1267" s="88"/>
      <c r="J1267" s="92"/>
      <c r="K1267" s="93"/>
      <c r="L1267" s="25" t="str">
        <f t="shared" si="58"/>
        <v/>
      </c>
      <c r="M1267" s="94"/>
      <c r="N1267" s="26" t="str">
        <f t="shared" si="59"/>
        <v/>
      </c>
      <c r="O1267" s="80"/>
      <c r="P1267" s="80"/>
      <c r="Q1267" s="80"/>
      <c r="R1267" s="80"/>
    </row>
    <row r="1268" ht="18" customHeight="1" spans="1:18">
      <c r="A1268" s="87" t="str">
        <f t="shared" si="57"/>
        <v/>
      </c>
      <c r="B1268" s="78"/>
      <c r="C1268" s="80"/>
      <c r="D1268" s="80"/>
      <c r="E1268" s="79"/>
      <c r="F1268" s="87" t="str">
        <f>IF($E1268="","",IFERROR(INDEX(基础资料!$O$4:$O$34,MATCH($E1268,基础资料!$N$4:$N$34,0))&amp;"",""))</f>
        <v/>
      </c>
      <c r="G1268" s="87" t="str">
        <f>IF($E1268="","",IFERROR(INDEX(基础资料!$P$4:$P$34,MATCH($E1268,基础资料!$N$4:$N$34,0))&amp;"",""))</f>
        <v/>
      </c>
      <c r="H1268" s="79"/>
      <c r="I1268" s="88"/>
      <c r="J1268" s="92"/>
      <c r="K1268" s="93"/>
      <c r="L1268" s="25" t="str">
        <f t="shared" si="58"/>
        <v/>
      </c>
      <c r="M1268" s="94"/>
      <c r="N1268" s="26" t="str">
        <f t="shared" si="59"/>
        <v/>
      </c>
      <c r="O1268" s="80"/>
      <c r="P1268" s="80"/>
      <c r="Q1268" s="80"/>
      <c r="R1268" s="80"/>
    </row>
    <row r="1269" ht="18" customHeight="1" spans="1:18">
      <c r="A1269" s="87" t="str">
        <f t="shared" si="57"/>
        <v/>
      </c>
      <c r="B1269" s="78"/>
      <c r="C1269" s="80"/>
      <c r="D1269" s="80"/>
      <c r="E1269" s="79"/>
      <c r="F1269" s="87" t="str">
        <f>IF($E1269="","",IFERROR(INDEX(基础资料!$O$4:$O$34,MATCH($E1269,基础资料!$N$4:$N$34,0))&amp;"",""))</f>
        <v/>
      </c>
      <c r="G1269" s="87" t="str">
        <f>IF($E1269="","",IFERROR(INDEX(基础资料!$P$4:$P$34,MATCH($E1269,基础资料!$N$4:$N$34,0))&amp;"",""))</f>
        <v/>
      </c>
      <c r="H1269" s="79"/>
      <c r="I1269" s="88"/>
      <c r="J1269" s="92"/>
      <c r="K1269" s="93"/>
      <c r="L1269" s="25" t="str">
        <f t="shared" si="58"/>
        <v/>
      </c>
      <c r="M1269" s="94"/>
      <c r="N1269" s="26" t="str">
        <f t="shared" si="59"/>
        <v/>
      </c>
      <c r="O1269" s="80"/>
      <c r="P1269" s="80"/>
      <c r="Q1269" s="80"/>
      <c r="R1269" s="80"/>
    </row>
    <row r="1270" ht="18" customHeight="1" spans="1:18">
      <c r="A1270" s="87" t="str">
        <f t="shared" si="57"/>
        <v/>
      </c>
      <c r="B1270" s="78"/>
      <c r="C1270" s="80"/>
      <c r="D1270" s="80"/>
      <c r="E1270" s="79"/>
      <c r="F1270" s="87" t="str">
        <f>IF($E1270="","",IFERROR(INDEX(基础资料!$O$4:$O$34,MATCH($E1270,基础资料!$N$4:$N$34,0))&amp;"",""))</f>
        <v/>
      </c>
      <c r="G1270" s="87" t="str">
        <f>IF($E1270="","",IFERROR(INDEX(基础资料!$P$4:$P$34,MATCH($E1270,基础资料!$N$4:$N$34,0))&amp;"",""))</f>
        <v/>
      </c>
      <c r="H1270" s="79"/>
      <c r="I1270" s="88"/>
      <c r="J1270" s="92"/>
      <c r="K1270" s="93"/>
      <c r="L1270" s="25" t="str">
        <f t="shared" si="58"/>
        <v/>
      </c>
      <c r="M1270" s="94"/>
      <c r="N1270" s="26" t="str">
        <f t="shared" si="59"/>
        <v/>
      </c>
      <c r="O1270" s="80"/>
      <c r="P1270" s="80"/>
      <c r="Q1270" s="80"/>
      <c r="R1270" s="80"/>
    </row>
    <row r="1271" ht="18" customHeight="1" spans="1:18">
      <c r="A1271" s="87" t="str">
        <f t="shared" si="57"/>
        <v/>
      </c>
      <c r="B1271" s="78"/>
      <c r="C1271" s="80"/>
      <c r="D1271" s="80"/>
      <c r="E1271" s="79"/>
      <c r="F1271" s="87" t="str">
        <f>IF($E1271="","",IFERROR(INDEX(基础资料!$O$4:$O$34,MATCH($E1271,基础资料!$N$4:$N$34,0))&amp;"",""))</f>
        <v/>
      </c>
      <c r="G1271" s="87" t="str">
        <f>IF($E1271="","",IFERROR(INDEX(基础资料!$P$4:$P$34,MATCH($E1271,基础资料!$N$4:$N$34,0))&amp;"",""))</f>
        <v/>
      </c>
      <c r="H1271" s="79"/>
      <c r="I1271" s="88"/>
      <c r="J1271" s="92"/>
      <c r="K1271" s="93"/>
      <c r="L1271" s="25" t="str">
        <f t="shared" si="58"/>
        <v/>
      </c>
      <c r="M1271" s="94"/>
      <c r="N1271" s="26" t="str">
        <f t="shared" si="59"/>
        <v/>
      </c>
      <c r="O1271" s="80"/>
      <c r="P1271" s="80"/>
      <c r="Q1271" s="80"/>
      <c r="R1271" s="80"/>
    </row>
    <row r="1272" ht="18" customHeight="1" spans="1:18">
      <c r="A1272" s="87" t="str">
        <f t="shared" si="57"/>
        <v/>
      </c>
      <c r="B1272" s="78"/>
      <c r="C1272" s="80"/>
      <c r="D1272" s="80"/>
      <c r="E1272" s="79"/>
      <c r="F1272" s="87" t="str">
        <f>IF($E1272="","",IFERROR(INDEX(基础资料!$O$4:$O$34,MATCH($E1272,基础资料!$N$4:$N$34,0))&amp;"",""))</f>
        <v/>
      </c>
      <c r="G1272" s="87" t="str">
        <f>IF($E1272="","",IFERROR(INDEX(基础资料!$P$4:$P$34,MATCH($E1272,基础资料!$N$4:$N$34,0))&amp;"",""))</f>
        <v/>
      </c>
      <c r="H1272" s="79"/>
      <c r="I1272" s="88"/>
      <c r="J1272" s="92"/>
      <c r="K1272" s="93"/>
      <c r="L1272" s="25" t="str">
        <f t="shared" si="58"/>
        <v/>
      </c>
      <c r="M1272" s="94"/>
      <c r="N1272" s="26" t="str">
        <f t="shared" si="59"/>
        <v/>
      </c>
      <c r="O1272" s="80"/>
      <c r="P1272" s="80"/>
      <c r="Q1272" s="80"/>
      <c r="R1272" s="80"/>
    </row>
    <row r="1273" ht="18" customHeight="1" spans="1:18">
      <c r="A1273" s="87" t="str">
        <f t="shared" si="57"/>
        <v/>
      </c>
      <c r="B1273" s="78"/>
      <c r="C1273" s="80"/>
      <c r="D1273" s="80"/>
      <c r="E1273" s="79"/>
      <c r="F1273" s="87" t="str">
        <f>IF($E1273="","",IFERROR(INDEX(基础资料!$O$4:$O$34,MATCH($E1273,基础资料!$N$4:$N$34,0))&amp;"",""))</f>
        <v/>
      </c>
      <c r="G1273" s="87" t="str">
        <f>IF($E1273="","",IFERROR(INDEX(基础资料!$P$4:$P$34,MATCH($E1273,基础资料!$N$4:$N$34,0))&amp;"",""))</f>
        <v/>
      </c>
      <c r="H1273" s="79"/>
      <c r="I1273" s="88"/>
      <c r="J1273" s="92"/>
      <c r="K1273" s="93"/>
      <c r="L1273" s="25" t="str">
        <f t="shared" si="58"/>
        <v/>
      </c>
      <c r="M1273" s="94"/>
      <c r="N1273" s="26" t="str">
        <f t="shared" si="59"/>
        <v/>
      </c>
      <c r="O1273" s="80"/>
      <c r="P1273" s="80"/>
      <c r="Q1273" s="80"/>
      <c r="R1273" s="80"/>
    </row>
    <row r="1274" ht="18" customHeight="1" spans="1:18">
      <c r="A1274" s="87" t="str">
        <f t="shared" si="57"/>
        <v/>
      </c>
      <c r="B1274" s="78"/>
      <c r="C1274" s="80"/>
      <c r="D1274" s="80"/>
      <c r="E1274" s="79"/>
      <c r="F1274" s="87" t="str">
        <f>IF($E1274="","",IFERROR(INDEX(基础资料!$O$4:$O$34,MATCH($E1274,基础资料!$N$4:$N$34,0))&amp;"",""))</f>
        <v/>
      </c>
      <c r="G1274" s="87" t="str">
        <f>IF($E1274="","",IFERROR(INDEX(基础资料!$P$4:$P$34,MATCH($E1274,基础资料!$N$4:$N$34,0))&amp;"",""))</f>
        <v/>
      </c>
      <c r="H1274" s="79"/>
      <c r="I1274" s="88"/>
      <c r="J1274" s="92"/>
      <c r="K1274" s="93"/>
      <c r="L1274" s="25" t="str">
        <f t="shared" si="58"/>
        <v/>
      </c>
      <c r="M1274" s="94"/>
      <c r="N1274" s="26" t="str">
        <f t="shared" si="59"/>
        <v/>
      </c>
      <c r="O1274" s="80"/>
      <c r="P1274" s="80"/>
      <c r="Q1274" s="80"/>
      <c r="R1274" s="80"/>
    </row>
    <row r="1275" ht="18" customHeight="1" spans="1:18">
      <c r="A1275" s="87" t="str">
        <f t="shared" si="57"/>
        <v/>
      </c>
      <c r="B1275" s="78"/>
      <c r="C1275" s="80"/>
      <c r="D1275" s="80"/>
      <c r="E1275" s="79"/>
      <c r="F1275" s="87" t="str">
        <f>IF($E1275="","",IFERROR(INDEX(基础资料!$O$4:$O$34,MATCH($E1275,基础资料!$N$4:$N$34,0))&amp;"",""))</f>
        <v/>
      </c>
      <c r="G1275" s="87" t="str">
        <f>IF($E1275="","",IFERROR(INDEX(基础资料!$P$4:$P$34,MATCH($E1275,基础资料!$N$4:$N$34,0))&amp;"",""))</f>
        <v/>
      </c>
      <c r="H1275" s="79"/>
      <c r="I1275" s="88"/>
      <c r="J1275" s="92"/>
      <c r="K1275" s="93"/>
      <c r="L1275" s="25" t="str">
        <f t="shared" si="58"/>
        <v/>
      </c>
      <c r="M1275" s="94"/>
      <c r="N1275" s="26" t="str">
        <f t="shared" si="59"/>
        <v/>
      </c>
      <c r="O1275" s="80"/>
      <c r="P1275" s="80"/>
      <c r="Q1275" s="80"/>
      <c r="R1275" s="80"/>
    </row>
    <row r="1276" ht="18" customHeight="1" spans="1:18">
      <c r="A1276" s="87" t="str">
        <f t="shared" si="57"/>
        <v/>
      </c>
      <c r="B1276" s="78"/>
      <c r="C1276" s="80"/>
      <c r="D1276" s="80"/>
      <c r="E1276" s="79"/>
      <c r="F1276" s="87" t="str">
        <f>IF($E1276="","",IFERROR(INDEX(基础资料!$O$4:$O$34,MATCH($E1276,基础资料!$N$4:$N$34,0))&amp;"",""))</f>
        <v/>
      </c>
      <c r="G1276" s="87" t="str">
        <f>IF($E1276="","",IFERROR(INDEX(基础资料!$P$4:$P$34,MATCH($E1276,基础资料!$N$4:$N$34,0))&amp;"",""))</f>
        <v/>
      </c>
      <c r="H1276" s="79"/>
      <c r="I1276" s="88"/>
      <c r="J1276" s="92"/>
      <c r="K1276" s="93"/>
      <c r="L1276" s="25" t="str">
        <f t="shared" si="58"/>
        <v/>
      </c>
      <c r="M1276" s="94"/>
      <c r="N1276" s="26" t="str">
        <f t="shared" si="59"/>
        <v/>
      </c>
      <c r="O1276" s="80"/>
      <c r="P1276" s="80"/>
      <c r="Q1276" s="80"/>
      <c r="R1276" s="80"/>
    </row>
    <row r="1277" ht="18" customHeight="1" spans="1:18">
      <c r="A1277" s="87" t="str">
        <f t="shared" si="57"/>
        <v/>
      </c>
      <c r="B1277" s="78"/>
      <c r="C1277" s="80"/>
      <c r="D1277" s="80"/>
      <c r="E1277" s="79"/>
      <c r="F1277" s="87" t="str">
        <f>IF($E1277="","",IFERROR(INDEX(基础资料!$O$4:$O$34,MATCH($E1277,基础资料!$N$4:$N$34,0))&amp;"",""))</f>
        <v/>
      </c>
      <c r="G1277" s="87" t="str">
        <f>IF($E1277="","",IFERROR(INDEX(基础资料!$P$4:$P$34,MATCH($E1277,基础资料!$N$4:$N$34,0))&amp;"",""))</f>
        <v/>
      </c>
      <c r="H1277" s="79"/>
      <c r="I1277" s="88"/>
      <c r="J1277" s="92"/>
      <c r="K1277" s="93"/>
      <c r="L1277" s="25" t="str">
        <f t="shared" si="58"/>
        <v/>
      </c>
      <c r="M1277" s="94"/>
      <c r="N1277" s="26" t="str">
        <f t="shared" si="59"/>
        <v/>
      </c>
      <c r="O1277" s="80"/>
      <c r="P1277" s="80"/>
      <c r="Q1277" s="80"/>
      <c r="R1277" s="80"/>
    </row>
    <row r="1278" ht="18" customHeight="1" spans="1:18">
      <c r="A1278" s="87" t="str">
        <f t="shared" si="57"/>
        <v/>
      </c>
      <c r="B1278" s="78"/>
      <c r="C1278" s="80"/>
      <c r="D1278" s="80"/>
      <c r="E1278" s="79"/>
      <c r="F1278" s="87" t="str">
        <f>IF($E1278="","",IFERROR(INDEX(基础资料!$O$4:$O$34,MATCH($E1278,基础资料!$N$4:$N$34,0))&amp;"",""))</f>
        <v/>
      </c>
      <c r="G1278" s="87" t="str">
        <f>IF($E1278="","",IFERROR(INDEX(基础资料!$P$4:$P$34,MATCH($E1278,基础资料!$N$4:$N$34,0))&amp;"",""))</f>
        <v/>
      </c>
      <c r="H1278" s="79"/>
      <c r="I1278" s="88"/>
      <c r="J1278" s="92"/>
      <c r="K1278" s="93"/>
      <c r="L1278" s="25" t="str">
        <f t="shared" si="58"/>
        <v/>
      </c>
      <c r="M1278" s="94"/>
      <c r="N1278" s="26" t="str">
        <f t="shared" si="59"/>
        <v/>
      </c>
      <c r="O1278" s="80"/>
      <c r="P1278" s="80"/>
      <c r="Q1278" s="80"/>
      <c r="R1278" s="80"/>
    </row>
    <row r="1279" ht="18" customHeight="1" spans="1:18">
      <c r="A1279" s="87" t="str">
        <f t="shared" si="57"/>
        <v/>
      </c>
      <c r="B1279" s="78"/>
      <c r="C1279" s="80"/>
      <c r="D1279" s="80"/>
      <c r="E1279" s="79"/>
      <c r="F1279" s="87" t="str">
        <f>IF($E1279="","",IFERROR(INDEX(基础资料!$O$4:$O$34,MATCH($E1279,基础资料!$N$4:$N$34,0))&amp;"",""))</f>
        <v/>
      </c>
      <c r="G1279" s="87" t="str">
        <f>IF($E1279="","",IFERROR(INDEX(基础资料!$P$4:$P$34,MATCH($E1279,基础资料!$N$4:$N$34,0))&amp;"",""))</f>
        <v/>
      </c>
      <c r="H1279" s="79"/>
      <c r="I1279" s="88"/>
      <c r="J1279" s="92"/>
      <c r="K1279" s="93"/>
      <c r="L1279" s="25" t="str">
        <f t="shared" si="58"/>
        <v/>
      </c>
      <c r="M1279" s="94"/>
      <c r="N1279" s="26" t="str">
        <f t="shared" si="59"/>
        <v/>
      </c>
      <c r="O1279" s="80"/>
      <c r="P1279" s="80"/>
      <c r="Q1279" s="80"/>
      <c r="R1279" s="80"/>
    </row>
    <row r="1280" ht="18" customHeight="1" spans="1:18">
      <c r="A1280" s="87" t="str">
        <f t="shared" si="57"/>
        <v/>
      </c>
      <c r="B1280" s="78"/>
      <c r="C1280" s="80"/>
      <c r="D1280" s="80"/>
      <c r="E1280" s="79"/>
      <c r="F1280" s="87" t="str">
        <f>IF($E1280="","",IFERROR(INDEX(基础资料!$O$4:$O$34,MATCH($E1280,基础资料!$N$4:$N$34,0))&amp;"",""))</f>
        <v/>
      </c>
      <c r="G1280" s="87" t="str">
        <f>IF($E1280="","",IFERROR(INDEX(基础资料!$P$4:$P$34,MATCH($E1280,基础资料!$N$4:$N$34,0))&amp;"",""))</f>
        <v/>
      </c>
      <c r="H1280" s="79"/>
      <c r="I1280" s="88"/>
      <c r="J1280" s="92"/>
      <c r="K1280" s="93"/>
      <c r="L1280" s="25" t="str">
        <f t="shared" si="58"/>
        <v/>
      </c>
      <c r="M1280" s="94"/>
      <c r="N1280" s="26" t="str">
        <f t="shared" si="59"/>
        <v/>
      </c>
      <c r="O1280" s="80"/>
      <c r="P1280" s="80"/>
      <c r="Q1280" s="80"/>
      <c r="R1280" s="80"/>
    </row>
    <row r="1281" ht="18" customHeight="1" spans="1:18">
      <c r="A1281" s="87" t="str">
        <f t="shared" si="57"/>
        <v/>
      </c>
      <c r="B1281" s="78"/>
      <c r="C1281" s="80"/>
      <c r="D1281" s="80"/>
      <c r="E1281" s="79"/>
      <c r="F1281" s="87" t="str">
        <f>IF($E1281="","",IFERROR(INDEX(基础资料!$O$4:$O$34,MATCH($E1281,基础资料!$N$4:$N$34,0))&amp;"",""))</f>
        <v/>
      </c>
      <c r="G1281" s="87" t="str">
        <f>IF($E1281="","",IFERROR(INDEX(基础资料!$P$4:$P$34,MATCH($E1281,基础资料!$N$4:$N$34,0))&amp;"",""))</f>
        <v/>
      </c>
      <c r="H1281" s="79"/>
      <c r="I1281" s="88"/>
      <c r="J1281" s="92"/>
      <c r="K1281" s="93"/>
      <c r="L1281" s="25" t="str">
        <f t="shared" si="58"/>
        <v/>
      </c>
      <c r="M1281" s="94"/>
      <c r="N1281" s="26" t="str">
        <f t="shared" si="59"/>
        <v/>
      </c>
      <c r="O1281" s="80"/>
      <c r="P1281" s="80"/>
      <c r="Q1281" s="80"/>
      <c r="R1281" s="80"/>
    </row>
    <row r="1282" ht="18" customHeight="1" spans="1:18">
      <c r="A1282" s="87" t="str">
        <f t="shared" si="57"/>
        <v/>
      </c>
      <c r="B1282" s="78"/>
      <c r="C1282" s="80"/>
      <c r="D1282" s="80"/>
      <c r="E1282" s="79"/>
      <c r="F1282" s="87" t="str">
        <f>IF($E1282="","",IFERROR(INDEX(基础资料!$O$4:$O$34,MATCH($E1282,基础资料!$N$4:$N$34,0))&amp;"",""))</f>
        <v/>
      </c>
      <c r="G1282" s="87" t="str">
        <f>IF($E1282="","",IFERROR(INDEX(基础资料!$P$4:$P$34,MATCH($E1282,基础资料!$N$4:$N$34,0))&amp;"",""))</f>
        <v/>
      </c>
      <c r="H1282" s="79"/>
      <c r="I1282" s="88"/>
      <c r="J1282" s="92"/>
      <c r="K1282" s="93"/>
      <c r="L1282" s="25" t="str">
        <f t="shared" si="58"/>
        <v/>
      </c>
      <c r="M1282" s="94"/>
      <c r="N1282" s="26" t="str">
        <f t="shared" si="59"/>
        <v/>
      </c>
      <c r="O1282" s="80"/>
      <c r="P1282" s="80"/>
      <c r="Q1282" s="80"/>
      <c r="R1282" s="80"/>
    </row>
    <row r="1283" ht="18" customHeight="1" spans="1:18">
      <c r="A1283" s="87" t="str">
        <f t="shared" si="57"/>
        <v/>
      </c>
      <c r="B1283" s="78"/>
      <c r="C1283" s="80"/>
      <c r="D1283" s="80"/>
      <c r="E1283" s="79"/>
      <c r="F1283" s="87" t="str">
        <f>IF($E1283="","",IFERROR(INDEX(基础资料!$O$4:$O$34,MATCH($E1283,基础资料!$N$4:$N$34,0))&amp;"",""))</f>
        <v/>
      </c>
      <c r="G1283" s="87" t="str">
        <f>IF($E1283="","",IFERROR(INDEX(基础资料!$P$4:$P$34,MATCH($E1283,基础资料!$N$4:$N$34,0))&amp;"",""))</f>
        <v/>
      </c>
      <c r="H1283" s="79"/>
      <c r="I1283" s="88"/>
      <c r="J1283" s="92"/>
      <c r="K1283" s="93"/>
      <c r="L1283" s="25" t="str">
        <f t="shared" si="58"/>
        <v/>
      </c>
      <c r="M1283" s="94"/>
      <c r="N1283" s="26" t="str">
        <f t="shared" si="59"/>
        <v/>
      </c>
      <c r="O1283" s="80"/>
      <c r="P1283" s="80"/>
      <c r="Q1283" s="80"/>
      <c r="R1283" s="80"/>
    </row>
    <row r="1284" ht="18" customHeight="1" spans="1:18">
      <c r="A1284" s="87" t="str">
        <f t="shared" ref="A1284:A1347" si="60">IF($E1284="","",ROW()-3)</f>
        <v/>
      </c>
      <c r="B1284" s="78"/>
      <c r="C1284" s="80"/>
      <c r="D1284" s="80"/>
      <c r="E1284" s="79"/>
      <c r="F1284" s="87" t="str">
        <f>IF($E1284="","",IFERROR(INDEX(基础资料!$O$4:$O$34,MATCH($E1284,基础资料!$N$4:$N$34,0))&amp;"",""))</f>
        <v/>
      </c>
      <c r="G1284" s="87" t="str">
        <f>IF($E1284="","",IFERROR(INDEX(基础资料!$P$4:$P$34,MATCH($E1284,基础资料!$N$4:$N$34,0))&amp;"",""))</f>
        <v/>
      </c>
      <c r="H1284" s="79"/>
      <c r="I1284" s="88"/>
      <c r="J1284" s="92"/>
      <c r="K1284" s="93"/>
      <c r="L1284" s="25" t="str">
        <f t="shared" ref="L1284:L1347" si="61">IF($E1284="","",N($I1284)+N($J1284)-N($K1284))</f>
        <v/>
      </c>
      <c r="M1284" s="94"/>
      <c r="N1284" s="26" t="str">
        <f t="shared" ref="N1284:N1347" si="62">IF($E1284="","",ROUND(N($L1284)*N($M1284),2))</f>
        <v/>
      </c>
      <c r="O1284" s="80"/>
      <c r="P1284" s="80"/>
      <c r="Q1284" s="80"/>
      <c r="R1284" s="80"/>
    </row>
    <row r="1285" ht="18" customHeight="1" spans="1:18">
      <c r="A1285" s="87" t="str">
        <f t="shared" si="60"/>
        <v/>
      </c>
      <c r="B1285" s="78"/>
      <c r="C1285" s="80"/>
      <c r="D1285" s="80"/>
      <c r="E1285" s="79"/>
      <c r="F1285" s="87" t="str">
        <f>IF($E1285="","",IFERROR(INDEX(基础资料!$O$4:$O$34,MATCH($E1285,基础资料!$N$4:$N$34,0))&amp;"",""))</f>
        <v/>
      </c>
      <c r="G1285" s="87" t="str">
        <f>IF($E1285="","",IFERROR(INDEX(基础资料!$P$4:$P$34,MATCH($E1285,基础资料!$N$4:$N$34,0))&amp;"",""))</f>
        <v/>
      </c>
      <c r="H1285" s="79"/>
      <c r="I1285" s="88"/>
      <c r="J1285" s="92"/>
      <c r="K1285" s="93"/>
      <c r="L1285" s="25" t="str">
        <f t="shared" si="61"/>
        <v/>
      </c>
      <c r="M1285" s="94"/>
      <c r="N1285" s="26" t="str">
        <f t="shared" si="62"/>
        <v/>
      </c>
      <c r="O1285" s="80"/>
      <c r="P1285" s="80"/>
      <c r="Q1285" s="80"/>
      <c r="R1285" s="80"/>
    </row>
    <row r="1286" ht="18" customHeight="1" spans="1:18">
      <c r="A1286" s="87" t="str">
        <f t="shared" si="60"/>
        <v/>
      </c>
      <c r="B1286" s="78"/>
      <c r="C1286" s="80"/>
      <c r="D1286" s="80"/>
      <c r="E1286" s="79"/>
      <c r="F1286" s="87" t="str">
        <f>IF($E1286="","",IFERROR(INDEX(基础资料!$O$4:$O$34,MATCH($E1286,基础资料!$N$4:$N$34,0))&amp;"",""))</f>
        <v/>
      </c>
      <c r="G1286" s="87" t="str">
        <f>IF($E1286="","",IFERROR(INDEX(基础资料!$P$4:$P$34,MATCH($E1286,基础资料!$N$4:$N$34,0))&amp;"",""))</f>
        <v/>
      </c>
      <c r="H1286" s="79"/>
      <c r="I1286" s="88"/>
      <c r="J1286" s="92"/>
      <c r="K1286" s="93"/>
      <c r="L1286" s="25" t="str">
        <f t="shared" si="61"/>
        <v/>
      </c>
      <c r="M1286" s="94"/>
      <c r="N1286" s="26" t="str">
        <f t="shared" si="62"/>
        <v/>
      </c>
      <c r="O1286" s="80"/>
      <c r="P1286" s="80"/>
      <c r="Q1286" s="80"/>
      <c r="R1286" s="80"/>
    </row>
    <row r="1287" ht="18" customHeight="1" spans="1:18">
      <c r="A1287" s="87" t="str">
        <f t="shared" si="60"/>
        <v/>
      </c>
      <c r="B1287" s="78"/>
      <c r="C1287" s="80"/>
      <c r="D1287" s="80"/>
      <c r="E1287" s="79"/>
      <c r="F1287" s="87" t="str">
        <f>IF($E1287="","",IFERROR(INDEX(基础资料!$O$4:$O$34,MATCH($E1287,基础资料!$N$4:$N$34,0))&amp;"",""))</f>
        <v/>
      </c>
      <c r="G1287" s="87" t="str">
        <f>IF($E1287="","",IFERROR(INDEX(基础资料!$P$4:$P$34,MATCH($E1287,基础资料!$N$4:$N$34,0))&amp;"",""))</f>
        <v/>
      </c>
      <c r="H1287" s="79"/>
      <c r="I1287" s="88"/>
      <c r="J1287" s="92"/>
      <c r="K1287" s="93"/>
      <c r="L1287" s="25" t="str">
        <f t="shared" si="61"/>
        <v/>
      </c>
      <c r="M1287" s="94"/>
      <c r="N1287" s="26" t="str">
        <f t="shared" si="62"/>
        <v/>
      </c>
      <c r="O1287" s="80"/>
      <c r="P1287" s="80"/>
      <c r="Q1287" s="80"/>
      <c r="R1287" s="80"/>
    </row>
    <row r="1288" ht="18" customHeight="1" spans="1:18">
      <c r="A1288" s="87" t="str">
        <f t="shared" si="60"/>
        <v/>
      </c>
      <c r="B1288" s="78"/>
      <c r="C1288" s="80"/>
      <c r="D1288" s="80"/>
      <c r="E1288" s="79"/>
      <c r="F1288" s="87" t="str">
        <f>IF($E1288="","",IFERROR(INDEX(基础资料!$O$4:$O$34,MATCH($E1288,基础资料!$N$4:$N$34,0))&amp;"",""))</f>
        <v/>
      </c>
      <c r="G1288" s="87" t="str">
        <f>IF($E1288="","",IFERROR(INDEX(基础资料!$P$4:$P$34,MATCH($E1288,基础资料!$N$4:$N$34,0))&amp;"",""))</f>
        <v/>
      </c>
      <c r="H1288" s="79"/>
      <c r="I1288" s="88"/>
      <c r="J1288" s="92"/>
      <c r="K1288" s="93"/>
      <c r="L1288" s="25" t="str">
        <f t="shared" si="61"/>
        <v/>
      </c>
      <c r="M1288" s="94"/>
      <c r="N1288" s="26" t="str">
        <f t="shared" si="62"/>
        <v/>
      </c>
      <c r="O1288" s="80"/>
      <c r="P1288" s="80"/>
      <c r="Q1288" s="80"/>
      <c r="R1288" s="80"/>
    </row>
    <row r="1289" ht="18" customHeight="1" spans="1:18">
      <c r="A1289" s="87" t="str">
        <f t="shared" si="60"/>
        <v/>
      </c>
      <c r="B1289" s="78"/>
      <c r="C1289" s="80"/>
      <c r="D1289" s="80"/>
      <c r="E1289" s="79"/>
      <c r="F1289" s="87" t="str">
        <f>IF($E1289="","",IFERROR(INDEX(基础资料!$O$4:$O$34,MATCH($E1289,基础资料!$N$4:$N$34,0))&amp;"",""))</f>
        <v/>
      </c>
      <c r="G1289" s="87" t="str">
        <f>IF($E1289="","",IFERROR(INDEX(基础资料!$P$4:$P$34,MATCH($E1289,基础资料!$N$4:$N$34,0))&amp;"",""))</f>
        <v/>
      </c>
      <c r="H1289" s="79"/>
      <c r="I1289" s="88"/>
      <c r="J1289" s="92"/>
      <c r="K1289" s="93"/>
      <c r="L1289" s="25" t="str">
        <f t="shared" si="61"/>
        <v/>
      </c>
      <c r="M1289" s="94"/>
      <c r="N1289" s="26" t="str">
        <f t="shared" si="62"/>
        <v/>
      </c>
      <c r="O1289" s="80"/>
      <c r="P1289" s="80"/>
      <c r="Q1289" s="80"/>
      <c r="R1289" s="80"/>
    </row>
    <row r="1290" ht="18" customHeight="1" spans="1:18">
      <c r="A1290" s="87" t="str">
        <f t="shared" si="60"/>
        <v/>
      </c>
      <c r="B1290" s="78"/>
      <c r="C1290" s="80"/>
      <c r="D1290" s="80"/>
      <c r="E1290" s="79"/>
      <c r="F1290" s="87" t="str">
        <f>IF($E1290="","",IFERROR(INDEX(基础资料!$O$4:$O$34,MATCH($E1290,基础资料!$N$4:$N$34,0))&amp;"",""))</f>
        <v/>
      </c>
      <c r="G1290" s="87" t="str">
        <f>IF($E1290="","",IFERROR(INDEX(基础资料!$P$4:$P$34,MATCH($E1290,基础资料!$N$4:$N$34,0))&amp;"",""))</f>
        <v/>
      </c>
      <c r="H1290" s="79"/>
      <c r="I1290" s="88"/>
      <c r="J1290" s="92"/>
      <c r="K1290" s="93"/>
      <c r="L1290" s="25" t="str">
        <f t="shared" si="61"/>
        <v/>
      </c>
      <c r="M1290" s="94"/>
      <c r="N1290" s="26" t="str">
        <f t="shared" si="62"/>
        <v/>
      </c>
      <c r="O1290" s="80"/>
      <c r="P1290" s="80"/>
      <c r="Q1290" s="80"/>
      <c r="R1290" s="80"/>
    </row>
    <row r="1291" ht="18" customHeight="1" spans="1:18">
      <c r="A1291" s="87" t="str">
        <f t="shared" si="60"/>
        <v/>
      </c>
      <c r="B1291" s="78"/>
      <c r="C1291" s="80"/>
      <c r="D1291" s="80"/>
      <c r="E1291" s="79"/>
      <c r="F1291" s="87" t="str">
        <f>IF($E1291="","",IFERROR(INDEX(基础资料!$O$4:$O$34,MATCH($E1291,基础资料!$N$4:$N$34,0))&amp;"",""))</f>
        <v/>
      </c>
      <c r="G1291" s="87" t="str">
        <f>IF($E1291="","",IFERROR(INDEX(基础资料!$P$4:$P$34,MATCH($E1291,基础资料!$N$4:$N$34,0))&amp;"",""))</f>
        <v/>
      </c>
      <c r="H1291" s="79"/>
      <c r="I1291" s="88"/>
      <c r="J1291" s="92"/>
      <c r="K1291" s="93"/>
      <c r="L1291" s="25" t="str">
        <f t="shared" si="61"/>
        <v/>
      </c>
      <c r="M1291" s="94"/>
      <c r="N1291" s="26" t="str">
        <f t="shared" si="62"/>
        <v/>
      </c>
      <c r="O1291" s="80"/>
      <c r="P1291" s="80"/>
      <c r="Q1291" s="80"/>
      <c r="R1291" s="80"/>
    </row>
    <row r="1292" ht="18" customHeight="1" spans="1:18">
      <c r="A1292" s="87" t="str">
        <f t="shared" si="60"/>
        <v/>
      </c>
      <c r="B1292" s="78"/>
      <c r="C1292" s="80"/>
      <c r="D1292" s="80"/>
      <c r="E1292" s="79"/>
      <c r="F1292" s="87" t="str">
        <f>IF($E1292="","",IFERROR(INDEX(基础资料!$O$4:$O$34,MATCH($E1292,基础资料!$N$4:$N$34,0))&amp;"",""))</f>
        <v/>
      </c>
      <c r="G1292" s="87" t="str">
        <f>IF($E1292="","",IFERROR(INDEX(基础资料!$P$4:$P$34,MATCH($E1292,基础资料!$N$4:$N$34,0))&amp;"",""))</f>
        <v/>
      </c>
      <c r="H1292" s="79"/>
      <c r="I1292" s="88"/>
      <c r="J1292" s="92"/>
      <c r="K1292" s="93"/>
      <c r="L1292" s="25" t="str">
        <f t="shared" si="61"/>
        <v/>
      </c>
      <c r="M1292" s="94"/>
      <c r="N1292" s="26" t="str">
        <f t="shared" si="62"/>
        <v/>
      </c>
      <c r="O1292" s="80"/>
      <c r="P1292" s="80"/>
      <c r="Q1292" s="80"/>
      <c r="R1292" s="80"/>
    </row>
    <row r="1293" ht="18" customHeight="1" spans="1:18">
      <c r="A1293" s="87" t="str">
        <f t="shared" si="60"/>
        <v/>
      </c>
      <c r="B1293" s="78"/>
      <c r="C1293" s="80"/>
      <c r="D1293" s="80"/>
      <c r="E1293" s="79"/>
      <c r="F1293" s="87" t="str">
        <f>IF($E1293="","",IFERROR(INDEX(基础资料!$O$4:$O$34,MATCH($E1293,基础资料!$N$4:$N$34,0))&amp;"",""))</f>
        <v/>
      </c>
      <c r="G1293" s="87" t="str">
        <f>IF($E1293="","",IFERROR(INDEX(基础资料!$P$4:$P$34,MATCH($E1293,基础资料!$N$4:$N$34,0))&amp;"",""))</f>
        <v/>
      </c>
      <c r="H1293" s="79"/>
      <c r="I1293" s="88"/>
      <c r="J1293" s="92"/>
      <c r="K1293" s="93"/>
      <c r="L1293" s="25" t="str">
        <f t="shared" si="61"/>
        <v/>
      </c>
      <c r="M1293" s="94"/>
      <c r="N1293" s="26" t="str">
        <f t="shared" si="62"/>
        <v/>
      </c>
      <c r="O1293" s="80"/>
      <c r="P1293" s="80"/>
      <c r="Q1293" s="80"/>
      <c r="R1293" s="80"/>
    </row>
    <row r="1294" ht="18" customHeight="1" spans="1:18">
      <c r="A1294" s="87" t="str">
        <f t="shared" si="60"/>
        <v/>
      </c>
      <c r="B1294" s="78"/>
      <c r="C1294" s="80"/>
      <c r="D1294" s="80"/>
      <c r="E1294" s="79"/>
      <c r="F1294" s="87" t="str">
        <f>IF($E1294="","",IFERROR(INDEX(基础资料!$O$4:$O$34,MATCH($E1294,基础资料!$N$4:$N$34,0))&amp;"",""))</f>
        <v/>
      </c>
      <c r="G1294" s="87" t="str">
        <f>IF($E1294="","",IFERROR(INDEX(基础资料!$P$4:$P$34,MATCH($E1294,基础资料!$N$4:$N$34,0))&amp;"",""))</f>
        <v/>
      </c>
      <c r="H1294" s="79"/>
      <c r="I1294" s="88"/>
      <c r="J1294" s="92"/>
      <c r="K1294" s="93"/>
      <c r="L1294" s="25" t="str">
        <f t="shared" si="61"/>
        <v/>
      </c>
      <c r="M1294" s="94"/>
      <c r="N1294" s="26" t="str">
        <f t="shared" si="62"/>
        <v/>
      </c>
      <c r="O1294" s="80"/>
      <c r="P1294" s="80"/>
      <c r="Q1294" s="80"/>
      <c r="R1294" s="80"/>
    </row>
    <row r="1295" ht="18" customHeight="1" spans="1:18">
      <c r="A1295" s="87" t="str">
        <f t="shared" si="60"/>
        <v/>
      </c>
      <c r="B1295" s="78"/>
      <c r="C1295" s="80"/>
      <c r="D1295" s="80"/>
      <c r="E1295" s="79"/>
      <c r="F1295" s="87" t="str">
        <f>IF($E1295="","",IFERROR(INDEX(基础资料!$O$4:$O$34,MATCH($E1295,基础资料!$N$4:$N$34,0))&amp;"",""))</f>
        <v/>
      </c>
      <c r="G1295" s="87" t="str">
        <f>IF($E1295="","",IFERROR(INDEX(基础资料!$P$4:$P$34,MATCH($E1295,基础资料!$N$4:$N$34,0))&amp;"",""))</f>
        <v/>
      </c>
      <c r="H1295" s="79"/>
      <c r="I1295" s="88"/>
      <c r="J1295" s="92"/>
      <c r="K1295" s="93"/>
      <c r="L1295" s="25" t="str">
        <f t="shared" si="61"/>
        <v/>
      </c>
      <c r="M1295" s="94"/>
      <c r="N1295" s="26" t="str">
        <f t="shared" si="62"/>
        <v/>
      </c>
      <c r="O1295" s="80"/>
      <c r="P1295" s="80"/>
      <c r="Q1295" s="80"/>
      <c r="R1295" s="80"/>
    </row>
    <row r="1296" ht="18" customHeight="1" spans="1:18">
      <c r="A1296" s="87" t="str">
        <f t="shared" si="60"/>
        <v/>
      </c>
      <c r="B1296" s="78"/>
      <c r="C1296" s="80"/>
      <c r="D1296" s="80"/>
      <c r="E1296" s="79"/>
      <c r="F1296" s="87" t="str">
        <f>IF($E1296="","",IFERROR(INDEX(基础资料!$O$4:$O$34,MATCH($E1296,基础资料!$N$4:$N$34,0))&amp;"",""))</f>
        <v/>
      </c>
      <c r="G1296" s="87" t="str">
        <f>IF($E1296="","",IFERROR(INDEX(基础资料!$P$4:$P$34,MATCH($E1296,基础资料!$N$4:$N$34,0))&amp;"",""))</f>
        <v/>
      </c>
      <c r="H1296" s="79"/>
      <c r="I1296" s="88"/>
      <c r="J1296" s="92"/>
      <c r="K1296" s="93"/>
      <c r="L1296" s="25" t="str">
        <f t="shared" si="61"/>
        <v/>
      </c>
      <c r="M1296" s="94"/>
      <c r="N1296" s="26" t="str">
        <f t="shared" si="62"/>
        <v/>
      </c>
      <c r="O1296" s="80"/>
      <c r="P1296" s="80"/>
      <c r="Q1296" s="80"/>
      <c r="R1296" s="80"/>
    </row>
    <row r="1297" ht="18" customHeight="1" spans="1:18">
      <c r="A1297" s="87" t="str">
        <f t="shared" si="60"/>
        <v/>
      </c>
      <c r="B1297" s="78"/>
      <c r="C1297" s="80"/>
      <c r="D1297" s="80"/>
      <c r="E1297" s="79"/>
      <c r="F1297" s="87" t="str">
        <f>IF($E1297="","",IFERROR(INDEX(基础资料!$O$4:$O$34,MATCH($E1297,基础资料!$N$4:$N$34,0))&amp;"",""))</f>
        <v/>
      </c>
      <c r="G1297" s="87" t="str">
        <f>IF($E1297="","",IFERROR(INDEX(基础资料!$P$4:$P$34,MATCH($E1297,基础资料!$N$4:$N$34,0))&amp;"",""))</f>
        <v/>
      </c>
      <c r="H1297" s="79"/>
      <c r="I1297" s="88"/>
      <c r="J1297" s="92"/>
      <c r="K1297" s="93"/>
      <c r="L1297" s="25" t="str">
        <f t="shared" si="61"/>
        <v/>
      </c>
      <c r="M1297" s="94"/>
      <c r="N1297" s="26" t="str">
        <f t="shared" si="62"/>
        <v/>
      </c>
      <c r="O1297" s="80"/>
      <c r="P1297" s="80"/>
      <c r="Q1297" s="80"/>
      <c r="R1297" s="80"/>
    </row>
    <row r="1298" ht="18" customHeight="1" spans="1:18">
      <c r="A1298" s="87" t="str">
        <f t="shared" si="60"/>
        <v/>
      </c>
      <c r="B1298" s="78"/>
      <c r="C1298" s="80"/>
      <c r="D1298" s="80"/>
      <c r="E1298" s="79"/>
      <c r="F1298" s="87" t="str">
        <f>IF($E1298="","",IFERROR(INDEX(基础资料!$O$4:$O$34,MATCH($E1298,基础资料!$N$4:$N$34,0))&amp;"",""))</f>
        <v/>
      </c>
      <c r="G1298" s="87" t="str">
        <f>IF($E1298="","",IFERROR(INDEX(基础资料!$P$4:$P$34,MATCH($E1298,基础资料!$N$4:$N$34,0))&amp;"",""))</f>
        <v/>
      </c>
      <c r="H1298" s="79"/>
      <c r="I1298" s="88"/>
      <c r="J1298" s="92"/>
      <c r="K1298" s="93"/>
      <c r="L1298" s="25" t="str">
        <f t="shared" si="61"/>
        <v/>
      </c>
      <c r="M1298" s="94"/>
      <c r="N1298" s="26" t="str">
        <f t="shared" si="62"/>
        <v/>
      </c>
      <c r="O1298" s="80"/>
      <c r="P1298" s="80"/>
      <c r="Q1298" s="80"/>
      <c r="R1298" s="80"/>
    </row>
    <row r="1299" ht="18" customHeight="1" spans="1:18">
      <c r="A1299" s="87" t="str">
        <f t="shared" si="60"/>
        <v/>
      </c>
      <c r="B1299" s="78"/>
      <c r="C1299" s="80"/>
      <c r="D1299" s="80"/>
      <c r="E1299" s="79"/>
      <c r="F1299" s="87" t="str">
        <f>IF($E1299="","",IFERROR(INDEX(基础资料!$O$4:$O$34,MATCH($E1299,基础资料!$N$4:$N$34,0))&amp;"",""))</f>
        <v/>
      </c>
      <c r="G1299" s="87" t="str">
        <f>IF($E1299="","",IFERROR(INDEX(基础资料!$P$4:$P$34,MATCH($E1299,基础资料!$N$4:$N$34,0))&amp;"",""))</f>
        <v/>
      </c>
      <c r="H1299" s="79"/>
      <c r="I1299" s="88"/>
      <c r="J1299" s="92"/>
      <c r="K1299" s="93"/>
      <c r="L1299" s="25" t="str">
        <f t="shared" si="61"/>
        <v/>
      </c>
      <c r="M1299" s="94"/>
      <c r="N1299" s="26" t="str">
        <f t="shared" si="62"/>
        <v/>
      </c>
      <c r="O1299" s="80"/>
      <c r="P1299" s="80"/>
      <c r="Q1299" s="80"/>
      <c r="R1299" s="80"/>
    </row>
    <row r="1300" ht="18" customHeight="1" spans="1:18">
      <c r="A1300" s="87" t="str">
        <f t="shared" si="60"/>
        <v/>
      </c>
      <c r="B1300" s="78"/>
      <c r="C1300" s="80"/>
      <c r="D1300" s="80"/>
      <c r="E1300" s="79"/>
      <c r="F1300" s="87" t="str">
        <f>IF($E1300="","",IFERROR(INDEX(基础资料!$O$4:$O$34,MATCH($E1300,基础资料!$N$4:$N$34,0))&amp;"",""))</f>
        <v/>
      </c>
      <c r="G1300" s="87" t="str">
        <f>IF($E1300="","",IFERROR(INDEX(基础资料!$P$4:$P$34,MATCH($E1300,基础资料!$N$4:$N$34,0))&amp;"",""))</f>
        <v/>
      </c>
      <c r="H1300" s="79"/>
      <c r="I1300" s="88"/>
      <c r="J1300" s="92"/>
      <c r="K1300" s="93"/>
      <c r="L1300" s="25" t="str">
        <f t="shared" si="61"/>
        <v/>
      </c>
      <c r="M1300" s="94"/>
      <c r="N1300" s="26" t="str">
        <f t="shared" si="62"/>
        <v/>
      </c>
      <c r="O1300" s="80"/>
      <c r="P1300" s="80"/>
      <c r="Q1300" s="80"/>
      <c r="R1300" s="80"/>
    </row>
    <row r="1301" ht="18" customHeight="1" spans="1:18">
      <c r="A1301" s="87" t="str">
        <f t="shared" si="60"/>
        <v/>
      </c>
      <c r="B1301" s="78"/>
      <c r="C1301" s="80"/>
      <c r="D1301" s="80"/>
      <c r="E1301" s="79"/>
      <c r="F1301" s="87" t="str">
        <f>IF($E1301="","",IFERROR(INDEX(基础资料!$O$4:$O$34,MATCH($E1301,基础资料!$N$4:$N$34,0))&amp;"",""))</f>
        <v/>
      </c>
      <c r="G1301" s="87" t="str">
        <f>IF($E1301="","",IFERROR(INDEX(基础资料!$P$4:$P$34,MATCH($E1301,基础资料!$N$4:$N$34,0))&amp;"",""))</f>
        <v/>
      </c>
      <c r="H1301" s="79"/>
      <c r="I1301" s="88"/>
      <c r="J1301" s="92"/>
      <c r="K1301" s="93"/>
      <c r="L1301" s="25" t="str">
        <f t="shared" si="61"/>
        <v/>
      </c>
      <c r="M1301" s="94"/>
      <c r="N1301" s="26" t="str">
        <f t="shared" si="62"/>
        <v/>
      </c>
      <c r="O1301" s="80"/>
      <c r="P1301" s="80"/>
      <c r="Q1301" s="80"/>
      <c r="R1301" s="80"/>
    </row>
    <row r="1302" ht="18" customHeight="1" spans="1:18">
      <c r="A1302" s="87" t="str">
        <f t="shared" si="60"/>
        <v/>
      </c>
      <c r="B1302" s="78"/>
      <c r="C1302" s="80"/>
      <c r="D1302" s="80"/>
      <c r="E1302" s="79"/>
      <c r="F1302" s="87" t="str">
        <f>IF($E1302="","",IFERROR(INDEX(基础资料!$O$4:$O$34,MATCH($E1302,基础资料!$N$4:$N$34,0))&amp;"",""))</f>
        <v/>
      </c>
      <c r="G1302" s="87" t="str">
        <f>IF($E1302="","",IFERROR(INDEX(基础资料!$P$4:$P$34,MATCH($E1302,基础资料!$N$4:$N$34,0))&amp;"",""))</f>
        <v/>
      </c>
      <c r="H1302" s="79"/>
      <c r="I1302" s="88"/>
      <c r="J1302" s="92"/>
      <c r="K1302" s="93"/>
      <c r="L1302" s="25" t="str">
        <f t="shared" si="61"/>
        <v/>
      </c>
      <c r="M1302" s="94"/>
      <c r="N1302" s="26" t="str">
        <f t="shared" si="62"/>
        <v/>
      </c>
      <c r="O1302" s="80"/>
      <c r="P1302" s="80"/>
      <c r="Q1302" s="80"/>
      <c r="R1302" s="80"/>
    </row>
    <row r="1303" ht="18" customHeight="1" spans="1:18">
      <c r="A1303" s="87" t="str">
        <f t="shared" si="60"/>
        <v/>
      </c>
      <c r="B1303" s="78"/>
      <c r="C1303" s="80"/>
      <c r="D1303" s="80"/>
      <c r="E1303" s="79"/>
      <c r="F1303" s="87" t="str">
        <f>IF($E1303="","",IFERROR(INDEX(基础资料!$O$4:$O$34,MATCH($E1303,基础资料!$N$4:$N$34,0))&amp;"",""))</f>
        <v/>
      </c>
      <c r="G1303" s="87" t="str">
        <f>IF($E1303="","",IFERROR(INDEX(基础资料!$P$4:$P$34,MATCH($E1303,基础资料!$N$4:$N$34,0))&amp;"",""))</f>
        <v/>
      </c>
      <c r="H1303" s="79"/>
      <c r="I1303" s="88"/>
      <c r="J1303" s="92"/>
      <c r="K1303" s="93"/>
      <c r="L1303" s="25" t="str">
        <f t="shared" si="61"/>
        <v/>
      </c>
      <c r="M1303" s="94"/>
      <c r="N1303" s="26" t="str">
        <f t="shared" si="62"/>
        <v/>
      </c>
      <c r="O1303" s="80"/>
      <c r="P1303" s="80"/>
      <c r="Q1303" s="80"/>
      <c r="R1303" s="80"/>
    </row>
    <row r="1304" ht="18" customHeight="1" spans="1:18">
      <c r="A1304" s="87" t="str">
        <f t="shared" si="60"/>
        <v/>
      </c>
      <c r="B1304" s="78"/>
      <c r="C1304" s="80"/>
      <c r="D1304" s="80"/>
      <c r="E1304" s="79"/>
      <c r="F1304" s="87" t="str">
        <f>IF($E1304="","",IFERROR(INDEX(基础资料!$O$4:$O$34,MATCH($E1304,基础资料!$N$4:$N$34,0))&amp;"",""))</f>
        <v/>
      </c>
      <c r="G1304" s="87" t="str">
        <f>IF($E1304="","",IFERROR(INDEX(基础资料!$P$4:$P$34,MATCH($E1304,基础资料!$N$4:$N$34,0))&amp;"",""))</f>
        <v/>
      </c>
      <c r="H1304" s="79"/>
      <c r="I1304" s="88"/>
      <c r="J1304" s="92"/>
      <c r="K1304" s="93"/>
      <c r="L1304" s="25" t="str">
        <f t="shared" si="61"/>
        <v/>
      </c>
      <c r="M1304" s="94"/>
      <c r="N1304" s="26" t="str">
        <f t="shared" si="62"/>
        <v/>
      </c>
      <c r="O1304" s="80"/>
      <c r="P1304" s="80"/>
      <c r="Q1304" s="80"/>
      <c r="R1304" s="80"/>
    </row>
    <row r="1305" ht="18" customHeight="1" spans="1:18">
      <c r="A1305" s="87" t="str">
        <f t="shared" si="60"/>
        <v/>
      </c>
      <c r="B1305" s="78"/>
      <c r="C1305" s="80"/>
      <c r="D1305" s="80"/>
      <c r="E1305" s="79"/>
      <c r="F1305" s="87" t="str">
        <f>IF($E1305="","",IFERROR(INDEX(基础资料!$O$4:$O$34,MATCH($E1305,基础资料!$N$4:$N$34,0))&amp;"",""))</f>
        <v/>
      </c>
      <c r="G1305" s="87" t="str">
        <f>IF($E1305="","",IFERROR(INDEX(基础资料!$P$4:$P$34,MATCH($E1305,基础资料!$N$4:$N$34,0))&amp;"",""))</f>
        <v/>
      </c>
      <c r="H1305" s="79"/>
      <c r="I1305" s="88"/>
      <c r="J1305" s="92"/>
      <c r="K1305" s="93"/>
      <c r="L1305" s="25" t="str">
        <f t="shared" si="61"/>
        <v/>
      </c>
      <c r="M1305" s="94"/>
      <c r="N1305" s="26" t="str">
        <f t="shared" si="62"/>
        <v/>
      </c>
      <c r="O1305" s="80"/>
      <c r="P1305" s="80"/>
      <c r="Q1305" s="80"/>
      <c r="R1305" s="80"/>
    </row>
    <row r="1306" ht="18" customHeight="1" spans="1:18">
      <c r="A1306" s="87" t="str">
        <f t="shared" si="60"/>
        <v/>
      </c>
      <c r="B1306" s="78"/>
      <c r="C1306" s="80"/>
      <c r="D1306" s="80"/>
      <c r="E1306" s="79"/>
      <c r="F1306" s="87" t="str">
        <f>IF($E1306="","",IFERROR(INDEX(基础资料!$O$4:$O$34,MATCH($E1306,基础资料!$N$4:$N$34,0))&amp;"",""))</f>
        <v/>
      </c>
      <c r="G1306" s="87" t="str">
        <f>IF($E1306="","",IFERROR(INDEX(基础资料!$P$4:$P$34,MATCH($E1306,基础资料!$N$4:$N$34,0))&amp;"",""))</f>
        <v/>
      </c>
      <c r="H1306" s="79"/>
      <c r="I1306" s="88"/>
      <c r="J1306" s="92"/>
      <c r="K1306" s="93"/>
      <c r="L1306" s="25" t="str">
        <f t="shared" si="61"/>
        <v/>
      </c>
      <c r="M1306" s="94"/>
      <c r="N1306" s="26" t="str">
        <f t="shared" si="62"/>
        <v/>
      </c>
      <c r="O1306" s="80"/>
      <c r="P1306" s="80"/>
      <c r="Q1306" s="80"/>
      <c r="R1306" s="80"/>
    </row>
    <row r="1307" ht="18" customHeight="1" spans="1:18">
      <c r="A1307" s="87" t="str">
        <f t="shared" si="60"/>
        <v/>
      </c>
      <c r="B1307" s="78"/>
      <c r="C1307" s="80"/>
      <c r="D1307" s="80"/>
      <c r="E1307" s="79"/>
      <c r="F1307" s="87" t="str">
        <f>IF($E1307="","",IFERROR(INDEX(基础资料!$O$4:$O$34,MATCH($E1307,基础资料!$N$4:$N$34,0))&amp;"",""))</f>
        <v/>
      </c>
      <c r="G1307" s="87" t="str">
        <f>IF($E1307="","",IFERROR(INDEX(基础资料!$P$4:$P$34,MATCH($E1307,基础资料!$N$4:$N$34,0))&amp;"",""))</f>
        <v/>
      </c>
      <c r="H1307" s="79"/>
      <c r="I1307" s="88"/>
      <c r="J1307" s="92"/>
      <c r="K1307" s="93"/>
      <c r="L1307" s="25" t="str">
        <f t="shared" si="61"/>
        <v/>
      </c>
      <c r="M1307" s="94"/>
      <c r="N1307" s="26" t="str">
        <f t="shared" si="62"/>
        <v/>
      </c>
      <c r="O1307" s="80"/>
      <c r="P1307" s="80"/>
      <c r="Q1307" s="80"/>
      <c r="R1307" s="80"/>
    </row>
    <row r="1308" ht="18" customHeight="1" spans="1:18">
      <c r="A1308" s="87" t="str">
        <f t="shared" si="60"/>
        <v/>
      </c>
      <c r="B1308" s="78"/>
      <c r="C1308" s="80"/>
      <c r="D1308" s="80"/>
      <c r="E1308" s="79"/>
      <c r="F1308" s="87" t="str">
        <f>IF($E1308="","",IFERROR(INDEX(基础资料!$O$4:$O$34,MATCH($E1308,基础资料!$N$4:$N$34,0))&amp;"",""))</f>
        <v/>
      </c>
      <c r="G1308" s="87" t="str">
        <f>IF($E1308="","",IFERROR(INDEX(基础资料!$P$4:$P$34,MATCH($E1308,基础资料!$N$4:$N$34,0))&amp;"",""))</f>
        <v/>
      </c>
      <c r="H1308" s="79"/>
      <c r="I1308" s="88"/>
      <c r="J1308" s="92"/>
      <c r="K1308" s="93"/>
      <c r="L1308" s="25" t="str">
        <f t="shared" si="61"/>
        <v/>
      </c>
      <c r="M1308" s="94"/>
      <c r="N1308" s="26" t="str">
        <f t="shared" si="62"/>
        <v/>
      </c>
      <c r="O1308" s="80"/>
      <c r="P1308" s="80"/>
      <c r="Q1308" s="80"/>
      <c r="R1308" s="80"/>
    </row>
    <row r="1309" ht="18" customHeight="1" spans="1:18">
      <c r="A1309" s="87" t="str">
        <f t="shared" si="60"/>
        <v/>
      </c>
      <c r="B1309" s="78"/>
      <c r="C1309" s="80"/>
      <c r="D1309" s="80"/>
      <c r="E1309" s="79"/>
      <c r="F1309" s="87" t="str">
        <f>IF($E1309="","",IFERROR(INDEX(基础资料!$O$4:$O$34,MATCH($E1309,基础资料!$N$4:$N$34,0))&amp;"",""))</f>
        <v/>
      </c>
      <c r="G1309" s="87" t="str">
        <f>IF($E1309="","",IFERROR(INDEX(基础资料!$P$4:$P$34,MATCH($E1309,基础资料!$N$4:$N$34,0))&amp;"",""))</f>
        <v/>
      </c>
      <c r="H1309" s="79"/>
      <c r="I1309" s="88"/>
      <c r="J1309" s="92"/>
      <c r="K1309" s="93"/>
      <c r="L1309" s="25" t="str">
        <f t="shared" si="61"/>
        <v/>
      </c>
      <c r="M1309" s="94"/>
      <c r="N1309" s="26" t="str">
        <f t="shared" si="62"/>
        <v/>
      </c>
      <c r="O1309" s="80"/>
      <c r="P1309" s="80"/>
      <c r="Q1309" s="80"/>
      <c r="R1309" s="80"/>
    </row>
    <row r="1310" ht="18" customHeight="1" spans="1:18">
      <c r="A1310" s="87" t="str">
        <f t="shared" si="60"/>
        <v/>
      </c>
      <c r="B1310" s="78"/>
      <c r="C1310" s="80"/>
      <c r="D1310" s="80"/>
      <c r="E1310" s="79"/>
      <c r="F1310" s="87" t="str">
        <f>IF($E1310="","",IFERROR(INDEX(基础资料!$O$4:$O$34,MATCH($E1310,基础资料!$N$4:$N$34,0))&amp;"",""))</f>
        <v/>
      </c>
      <c r="G1310" s="87" t="str">
        <f>IF($E1310="","",IFERROR(INDEX(基础资料!$P$4:$P$34,MATCH($E1310,基础资料!$N$4:$N$34,0))&amp;"",""))</f>
        <v/>
      </c>
      <c r="H1310" s="79"/>
      <c r="I1310" s="88"/>
      <c r="J1310" s="92"/>
      <c r="K1310" s="93"/>
      <c r="L1310" s="25" t="str">
        <f t="shared" si="61"/>
        <v/>
      </c>
      <c r="M1310" s="94"/>
      <c r="N1310" s="26" t="str">
        <f t="shared" si="62"/>
        <v/>
      </c>
      <c r="O1310" s="80"/>
      <c r="P1310" s="80"/>
      <c r="Q1310" s="80"/>
      <c r="R1310" s="80"/>
    </row>
    <row r="1311" ht="18" customHeight="1" spans="1:18">
      <c r="A1311" s="87" t="str">
        <f t="shared" si="60"/>
        <v/>
      </c>
      <c r="B1311" s="78"/>
      <c r="C1311" s="80"/>
      <c r="D1311" s="80"/>
      <c r="E1311" s="79"/>
      <c r="F1311" s="87" t="str">
        <f>IF($E1311="","",IFERROR(INDEX(基础资料!$O$4:$O$34,MATCH($E1311,基础资料!$N$4:$N$34,0))&amp;"",""))</f>
        <v/>
      </c>
      <c r="G1311" s="87" t="str">
        <f>IF($E1311="","",IFERROR(INDEX(基础资料!$P$4:$P$34,MATCH($E1311,基础资料!$N$4:$N$34,0))&amp;"",""))</f>
        <v/>
      </c>
      <c r="H1311" s="79"/>
      <c r="I1311" s="88"/>
      <c r="J1311" s="92"/>
      <c r="K1311" s="93"/>
      <c r="L1311" s="25" t="str">
        <f t="shared" si="61"/>
        <v/>
      </c>
      <c r="M1311" s="94"/>
      <c r="N1311" s="26" t="str">
        <f t="shared" si="62"/>
        <v/>
      </c>
      <c r="O1311" s="80"/>
      <c r="P1311" s="80"/>
      <c r="Q1311" s="80"/>
      <c r="R1311" s="80"/>
    </row>
    <row r="1312" ht="18" customHeight="1" spans="1:18">
      <c r="A1312" s="87" t="str">
        <f t="shared" si="60"/>
        <v/>
      </c>
      <c r="B1312" s="78"/>
      <c r="C1312" s="80"/>
      <c r="D1312" s="80"/>
      <c r="E1312" s="79"/>
      <c r="F1312" s="87" t="str">
        <f>IF($E1312="","",IFERROR(INDEX(基础资料!$O$4:$O$34,MATCH($E1312,基础资料!$N$4:$N$34,0))&amp;"",""))</f>
        <v/>
      </c>
      <c r="G1312" s="87" t="str">
        <f>IF($E1312="","",IFERROR(INDEX(基础资料!$P$4:$P$34,MATCH($E1312,基础资料!$N$4:$N$34,0))&amp;"",""))</f>
        <v/>
      </c>
      <c r="H1312" s="79"/>
      <c r="I1312" s="88"/>
      <c r="J1312" s="92"/>
      <c r="K1312" s="93"/>
      <c r="L1312" s="25" t="str">
        <f t="shared" si="61"/>
        <v/>
      </c>
      <c r="M1312" s="94"/>
      <c r="N1312" s="26" t="str">
        <f t="shared" si="62"/>
        <v/>
      </c>
      <c r="O1312" s="80"/>
      <c r="P1312" s="80"/>
      <c r="Q1312" s="80"/>
      <c r="R1312" s="80"/>
    </row>
    <row r="1313" ht="18" customHeight="1" spans="1:18">
      <c r="A1313" s="87" t="str">
        <f t="shared" si="60"/>
        <v/>
      </c>
      <c r="B1313" s="78"/>
      <c r="C1313" s="80"/>
      <c r="D1313" s="80"/>
      <c r="E1313" s="79"/>
      <c r="F1313" s="87" t="str">
        <f>IF($E1313="","",IFERROR(INDEX(基础资料!$O$4:$O$34,MATCH($E1313,基础资料!$N$4:$N$34,0))&amp;"",""))</f>
        <v/>
      </c>
      <c r="G1313" s="87" t="str">
        <f>IF($E1313="","",IFERROR(INDEX(基础资料!$P$4:$P$34,MATCH($E1313,基础资料!$N$4:$N$34,0))&amp;"",""))</f>
        <v/>
      </c>
      <c r="H1313" s="79"/>
      <c r="I1313" s="88"/>
      <c r="J1313" s="92"/>
      <c r="K1313" s="93"/>
      <c r="L1313" s="25" t="str">
        <f t="shared" si="61"/>
        <v/>
      </c>
      <c r="M1313" s="94"/>
      <c r="N1313" s="26" t="str">
        <f t="shared" si="62"/>
        <v/>
      </c>
      <c r="O1313" s="80"/>
      <c r="P1313" s="80"/>
      <c r="Q1313" s="80"/>
      <c r="R1313" s="80"/>
    </row>
    <row r="1314" ht="18" customHeight="1" spans="1:18">
      <c r="A1314" s="87" t="str">
        <f t="shared" si="60"/>
        <v/>
      </c>
      <c r="B1314" s="78"/>
      <c r="C1314" s="80"/>
      <c r="D1314" s="80"/>
      <c r="E1314" s="79"/>
      <c r="F1314" s="87" t="str">
        <f>IF($E1314="","",IFERROR(INDEX(基础资料!$O$4:$O$34,MATCH($E1314,基础资料!$N$4:$N$34,0))&amp;"",""))</f>
        <v/>
      </c>
      <c r="G1314" s="87" t="str">
        <f>IF($E1314="","",IFERROR(INDEX(基础资料!$P$4:$P$34,MATCH($E1314,基础资料!$N$4:$N$34,0))&amp;"",""))</f>
        <v/>
      </c>
      <c r="H1314" s="79"/>
      <c r="I1314" s="88"/>
      <c r="J1314" s="92"/>
      <c r="K1314" s="93"/>
      <c r="L1314" s="25" t="str">
        <f t="shared" si="61"/>
        <v/>
      </c>
      <c r="M1314" s="94"/>
      <c r="N1314" s="26" t="str">
        <f t="shared" si="62"/>
        <v/>
      </c>
      <c r="O1314" s="80"/>
      <c r="P1314" s="80"/>
      <c r="Q1314" s="80"/>
      <c r="R1314" s="80"/>
    </row>
    <row r="1315" ht="18" customHeight="1" spans="1:18">
      <c r="A1315" s="87" t="str">
        <f t="shared" si="60"/>
        <v/>
      </c>
      <c r="B1315" s="78"/>
      <c r="C1315" s="80"/>
      <c r="D1315" s="80"/>
      <c r="E1315" s="79"/>
      <c r="F1315" s="87" t="str">
        <f>IF($E1315="","",IFERROR(INDEX(基础资料!$O$4:$O$34,MATCH($E1315,基础资料!$N$4:$N$34,0))&amp;"",""))</f>
        <v/>
      </c>
      <c r="G1315" s="87" t="str">
        <f>IF($E1315="","",IFERROR(INDEX(基础资料!$P$4:$P$34,MATCH($E1315,基础资料!$N$4:$N$34,0))&amp;"",""))</f>
        <v/>
      </c>
      <c r="H1315" s="79"/>
      <c r="I1315" s="88"/>
      <c r="J1315" s="92"/>
      <c r="K1315" s="93"/>
      <c r="L1315" s="25" t="str">
        <f t="shared" si="61"/>
        <v/>
      </c>
      <c r="M1315" s="94"/>
      <c r="N1315" s="26" t="str">
        <f t="shared" si="62"/>
        <v/>
      </c>
      <c r="O1315" s="80"/>
      <c r="P1315" s="80"/>
      <c r="Q1315" s="80"/>
      <c r="R1315" s="80"/>
    </row>
    <row r="1316" ht="18" customHeight="1" spans="1:18">
      <c r="A1316" s="87" t="str">
        <f t="shared" si="60"/>
        <v/>
      </c>
      <c r="B1316" s="78"/>
      <c r="C1316" s="80"/>
      <c r="D1316" s="80"/>
      <c r="E1316" s="79"/>
      <c r="F1316" s="87" t="str">
        <f>IF($E1316="","",IFERROR(INDEX(基础资料!$O$4:$O$34,MATCH($E1316,基础资料!$N$4:$N$34,0))&amp;"",""))</f>
        <v/>
      </c>
      <c r="G1316" s="87" t="str">
        <f>IF($E1316="","",IFERROR(INDEX(基础资料!$P$4:$P$34,MATCH($E1316,基础资料!$N$4:$N$34,0))&amp;"",""))</f>
        <v/>
      </c>
      <c r="H1316" s="79"/>
      <c r="I1316" s="88"/>
      <c r="J1316" s="92"/>
      <c r="K1316" s="93"/>
      <c r="L1316" s="25" t="str">
        <f t="shared" si="61"/>
        <v/>
      </c>
      <c r="M1316" s="94"/>
      <c r="N1316" s="26" t="str">
        <f t="shared" si="62"/>
        <v/>
      </c>
      <c r="O1316" s="80"/>
      <c r="P1316" s="80"/>
      <c r="Q1316" s="80"/>
      <c r="R1316" s="80"/>
    </row>
    <row r="1317" ht="18" customHeight="1" spans="1:18">
      <c r="A1317" s="87" t="str">
        <f t="shared" si="60"/>
        <v/>
      </c>
      <c r="B1317" s="78"/>
      <c r="C1317" s="80"/>
      <c r="D1317" s="80"/>
      <c r="E1317" s="79"/>
      <c r="F1317" s="87" t="str">
        <f>IF($E1317="","",IFERROR(INDEX(基础资料!$O$4:$O$34,MATCH($E1317,基础资料!$N$4:$N$34,0))&amp;"",""))</f>
        <v/>
      </c>
      <c r="G1317" s="87" t="str">
        <f>IF($E1317="","",IFERROR(INDEX(基础资料!$P$4:$P$34,MATCH($E1317,基础资料!$N$4:$N$34,0))&amp;"",""))</f>
        <v/>
      </c>
      <c r="H1317" s="79"/>
      <c r="I1317" s="88"/>
      <c r="J1317" s="92"/>
      <c r="K1317" s="93"/>
      <c r="L1317" s="25" t="str">
        <f t="shared" si="61"/>
        <v/>
      </c>
      <c r="M1317" s="94"/>
      <c r="N1317" s="26" t="str">
        <f t="shared" si="62"/>
        <v/>
      </c>
      <c r="O1317" s="80"/>
      <c r="P1317" s="80"/>
      <c r="Q1317" s="80"/>
      <c r="R1317" s="80"/>
    </row>
    <row r="1318" ht="18" customHeight="1" spans="1:18">
      <c r="A1318" s="87" t="str">
        <f t="shared" si="60"/>
        <v/>
      </c>
      <c r="B1318" s="78"/>
      <c r="C1318" s="80"/>
      <c r="D1318" s="80"/>
      <c r="E1318" s="79"/>
      <c r="F1318" s="87" t="str">
        <f>IF($E1318="","",IFERROR(INDEX(基础资料!$O$4:$O$34,MATCH($E1318,基础资料!$N$4:$N$34,0))&amp;"",""))</f>
        <v/>
      </c>
      <c r="G1318" s="87" t="str">
        <f>IF($E1318="","",IFERROR(INDEX(基础资料!$P$4:$P$34,MATCH($E1318,基础资料!$N$4:$N$34,0))&amp;"",""))</f>
        <v/>
      </c>
      <c r="H1318" s="79"/>
      <c r="I1318" s="88"/>
      <c r="J1318" s="92"/>
      <c r="K1318" s="93"/>
      <c r="L1318" s="25" t="str">
        <f t="shared" si="61"/>
        <v/>
      </c>
      <c r="M1318" s="94"/>
      <c r="N1318" s="26" t="str">
        <f t="shared" si="62"/>
        <v/>
      </c>
      <c r="O1318" s="80"/>
      <c r="P1318" s="80"/>
      <c r="Q1318" s="80"/>
      <c r="R1318" s="80"/>
    </row>
    <row r="1319" ht="18" customHeight="1" spans="1:18">
      <c r="A1319" s="87" t="str">
        <f t="shared" si="60"/>
        <v/>
      </c>
      <c r="B1319" s="78"/>
      <c r="C1319" s="80"/>
      <c r="D1319" s="80"/>
      <c r="E1319" s="79"/>
      <c r="F1319" s="87" t="str">
        <f>IF($E1319="","",IFERROR(INDEX(基础资料!$O$4:$O$34,MATCH($E1319,基础资料!$N$4:$N$34,0))&amp;"",""))</f>
        <v/>
      </c>
      <c r="G1319" s="87" t="str">
        <f>IF($E1319="","",IFERROR(INDEX(基础资料!$P$4:$P$34,MATCH($E1319,基础资料!$N$4:$N$34,0))&amp;"",""))</f>
        <v/>
      </c>
      <c r="H1319" s="79"/>
      <c r="I1319" s="88"/>
      <c r="J1319" s="92"/>
      <c r="K1319" s="93"/>
      <c r="L1319" s="25" t="str">
        <f t="shared" si="61"/>
        <v/>
      </c>
      <c r="M1319" s="94"/>
      <c r="N1319" s="26" t="str">
        <f t="shared" si="62"/>
        <v/>
      </c>
      <c r="O1319" s="80"/>
      <c r="P1319" s="80"/>
      <c r="Q1319" s="80"/>
      <c r="R1319" s="80"/>
    </row>
    <row r="1320" ht="18" customHeight="1" spans="1:18">
      <c r="A1320" s="87" t="str">
        <f t="shared" si="60"/>
        <v/>
      </c>
      <c r="B1320" s="78"/>
      <c r="C1320" s="80"/>
      <c r="D1320" s="80"/>
      <c r="E1320" s="79"/>
      <c r="F1320" s="87" t="str">
        <f>IF($E1320="","",IFERROR(INDEX(基础资料!$O$4:$O$34,MATCH($E1320,基础资料!$N$4:$N$34,0))&amp;"",""))</f>
        <v/>
      </c>
      <c r="G1320" s="87" t="str">
        <f>IF($E1320="","",IFERROR(INDEX(基础资料!$P$4:$P$34,MATCH($E1320,基础资料!$N$4:$N$34,0))&amp;"",""))</f>
        <v/>
      </c>
      <c r="H1320" s="79"/>
      <c r="I1320" s="88"/>
      <c r="J1320" s="92"/>
      <c r="K1320" s="93"/>
      <c r="L1320" s="25" t="str">
        <f t="shared" si="61"/>
        <v/>
      </c>
      <c r="M1320" s="94"/>
      <c r="N1320" s="26" t="str">
        <f t="shared" si="62"/>
        <v/>
      </c>
      <c r="O1320" s="80"/>
      <c r="P1320" s="80"/>
      <c r="Q1320" s="80"/>
      <c r="R1320" s="80"/>
    </row>
    <row r="1321" ht="18" customHeight="1" spans="1:18">
      <c r="A1321" s="87" t="str">
        <f t="shared" si="60"/>
        <v/>
      </c>
      <c r="B1321" s="78"/>
      <c r="C1321" s="80"/>
      <c r="D1321" s="80"/>
      <c r="E1321" s="79"/>
      <c r="F1321" s="87" t="str">
        <f>IF($E1321="","",IFERROR(INDEX(基础资料!$O$4:$O$34,MATCH($E1321,基础资料!$N$4:$N$34,0))&amp;"",""))</f>
        <v/>
      </c>
      <c r="G1321" s="87" t="str">
        <f>IF($E1321="","",IFERROR(INDEX(基础资料!$P$4:$P$34,MATCH($E1321,基础资料!$N$4:$N$34,0))&amp;"",""))</f>
        <v/>
      </c>
      <c r="H1321" s="79"/>
      <c r="I1321" s="88"/>
      <c r="J1321" s="92"/>
      <c r="K1321" s="93"/>
      <c r="L1321" s="25" t="str">
        <f t="shared" si="61"/>
        <v/>
      </c>
      <c r="M1321" s="94"/>
      <c r="N1321" s="26" t="str">
        <f t="shared" si="62"/>
        <v/>
      </c>
      <c r="O1321" s="80"/>
      <c r="P1321" s="80"/>
      <c r="Q1321" s="80"/>
      <c r="R1321" s="80"/>
    </row>
    <row r="1322" ht="18" customHeight="1" spans="1:18">
      <c r="A1322" s="87" t="str">
        <f t="shared" si="60"/>
        <v/>
      </c>
      <c r="B1322" s="78"/>
      <c r="C1322" s="80"/>
      <c r="D1322" s="80"/>
      <c r="E1322" s="79"/>
      <c r="F1322" s="87" t="str">
        <f>IF($E1322="","",IFERROR(INDEX(基础资料!$O$4:$O$34,MATCH($E1322,基础资料!$N$4:$N$34,0))&amp;"",""))</f>
        <v/>
      </c>
      <c r="G1322" s="87" t="str">
        <f>IF($E1322="","",IFERROR(INDEX(基础资料!$P$4:$P$34,MATCH($E1322,基础资料!$N$4:$N$34,0))&amp;"",""))</f>
        <v/>
      </c>
      <c r="H1322" s="79"/>
      <c r="I1322" s="88"/>
      <c r="J1322" s="92"/>
      <c r="K1322" s="93"/>
      <c r="L1322" s="25" t="str">
        <f t="shared" si="61"/>
        <v/>
      </c>
      <c r="M1322" s="94"/>
      <c r="N1322" s="26" t="str">
        <f t="shared" si="62"/>
        <v/>
      </c>
      <c r="O1322" s="80"/>
      <c r="P1322" s="80"/>
      <c r="Q1322" s="80"/>
      <c r="R1322" s="80"/>
    </row>
    <row r="1323" ht="18" customHeight="1" spans="1:18">
      <c r="A1323" s="87" t="str">
        <f t="shared" si="60"/>
        <v/>
      </c>
      <c r="B1323" s="78"/>
      <c r="C1323" s="80"/>
      <c r="D1323" s="80"/>
      <c r="E1323" s="79"/>
      <c r="F1323" s="87" t="str">
        <f>IF($E1323="","",IFERROR(INDEX(基础资料!$O$4:$O$34,MATCH($E1323,基础资料!$N$4:$N$34,0))&amp;"",""))</f>
        <v/>
      </c>
      <c r="G1323" s="87" t="str">
        <f>IF($E1323="","",IFERROR(INDEX(基础资料!$P$4:$P$34,MATCH($E1323,基础资料!$N$4:$N$34,0))&amp;"",""))</f>
        <v/>
      </c>
      <c r="H1323" s="79"/>
      <c r="I1323" s="88"/>
      <c r="J1323" s="92"/>
      <c r="K1323" s="93"/>
      <c r="L1323" s="25" t="str">
        <f t="shared" si="61"/>
        <v/>
      </c>
      <c r="M1323" s="94"/>
      <c r="N1323" s="26" t="str">
        <f t="shared" si="62"/>
        <v/>
      </c>
      <c r="O1323" s="80"/>
      <c r="P1323" s="80"/>
      <c r="Q1323" s="80"/>
      <c r="R1323" s="80"/>
    </row>
    <row r="1324" ht="18" customHeight="1" spans="1:18">
      <c r="A1324" s="87" t="str">
        <f t="shared" si="60"/>
        <v/>
      </c>
      <c r="B1324" s="78"/>
      <c r="C1324" s="80"/>
      <c r="D1324" s="80"/>
      <c r="E1324" s="79"/>
      <c r="F1324" s="87" t="str">
        <f>IF($E1324="","",IFERROR(INDEX(基础资料!$O$4:$O$34,MATCH($E1324,基础资料!$N$4:$N$34,0))&amp;"",""))</f>
        <v/>
      </c>
      <c r="G1324" s="87" t="str">
        <f>IF($E1324="","",IFERROR(INDEX(基础资料!$P$4:$P$34,MATCH($E1324,基础资料!$N$4:$N$34,0))&amp;"",""))</f>
        <v/>
      </c>
      <c r="H1324" s="79"/>
      <c r="I1324" s="88"/>
      <c r="J1324" s="92"/>
      <c r="K1324" s="93"/>
      <c r="L1324" s="25" t="str">
        <f t="shared" si="61"/>
        <v/>
      </c>
      <c r="M1324" s="94"/>
      <c r="N1324" s="26" t="str">
        <f t="shared" si="62"/>
        <v/>
      </c>
      <c r="O1324" s="80"/>
      <c r="P1324" s="80"/>
      <c r="Q1324" s="80"/>
      <c r="R1324" s="80"/>
    </row>
    <row r="1325" ht="18" customHeight="1" spans="1:18">
      <c r="A1325" s="87" t="str">
        <f t="shared" si="60"/>
        <v/>
      </c>
      <c r="B1325" s="78"/>
      <c r="C1325" s="80"/>
      <c r="D1325" s="80"/>
      <c r="E1325" s="79"/>
      <c r="F1325" s="87" t="str">
        <f>IF($E1325="","",IFERROR(INDEX(基础资料!$O$4:$O$34,MATCH($E1325,基础资料!$N$4:$N$34,0))&amp;"",""))</f>
        <v/>
      </c>
      <c r="G1325" s="87" t="str">
        <f>IF($E1325="","",IFERROR(INDEX(基础资料!$P$4:$P$34,MATCH($E1325,基础资料!$N$4:$N$34,0))&amp;"",""))</f>
        <v/>
      </c>
      <c r="H1325" s="79"/>
      <c r="I1325" s="88"/>
      <c r="J1325" s="92"/>
      <c r="K1325" s="93"/>
      <c r="L1325" s="25" t="str">
        <f t="shared" si="61"/>
        <v/>
      </c>
      <c r="M1325" s="94"/>
      <c r="N1325" s="26" t="str">
        <f t="shared" si="62"/>
        <v/>
      </c>
      <c r="O1325" s="80"/>
      <c r="P1325" s="80"/>
      <c r="Q1325" s="80"/>
      <c r="R1325" s="80"/>
    </row>
    <row r="1326" ht="18" customHeight="1" spans="1:18">
      <c r="A1326" s="87" t="str">
        <f t="shared" si="60"/>
        <v/>
      </c>
      <c r="B1326" s="78"/>
      <c r="C1326" s="80"/>
      <c r="D1326" s="80"/>
      <c r="E1326" s="79"/>
      <c r="F1326" s="87" t="str">
        <f>IF($E1326="","",IFERROR(INDEX(基础资料!$O$4:$O$34,MATCH($E1326,基础资料!$N$4:$N$34,0))&amp;"",""))</f>
        <v/>
      </c>
      <c r="G1326" s="87" t="str">
        <f>IF($E1326="","",IFERROR(INDEX(基础资料!$P$4:$P$34,MATCH($E1326,基础资料!$N$4:$N$34,0))&amp;"",""))</f>
        <v/>
      </c>
      <c r="H1326" s="79"/>
      <c r="I1326" s="88"/>
      <c r="J1326" s="92"/>
      <c r="K1326" s="93"/>
      <c r="L1326" s="25" t="str">
        <f t="shared" si="61"/>
        <v/>
      </c>
      <c r="M1326" s="94"/>
      <c r="N1326" s="26" t="str">
        <f t="shared" si="62"/>
        <v/>
      </c>
      <c r="O1326" s="80"/>
      <c r="P1326" s="80"/>
      <c r="Q1326" s="80"/>
      <c r="R1326" s="80"/>
    </row>
    <row r="1327" ht="18" customHeight="1" spans="1:18">
      <c r="A1327" s="87" t="str">
        <f t="shared" si="60"/>
        <v/>
      </c>
      <c r="B1327" s="78"/>
      <c r="C1327" s="80"/>
      <c r="D1327" s="80"/>
      <c r="E1327" s="79"/>
      <c r="F1327" s="87" t="str">
        <f>IF($E1327="","",IFERROR(INDEX(基础资料!$O$4:$O$34,MATCH($E1327,基础资料!$N$4:$N$34,0))&amp;"",""))</f>
        <v/>
      </c>
      <c r="G1327" s="87" t="str">
        <f>IF($E1327="","",IFERROR(INDEX(基础资料!$P$4:$P$34,MATCH($E1327,基础资料!$N$4:$N$34,0))&amp;"",""))</f>
        <v/>
      </c>
      <c r="H1327" s="79"/>
      <c r="I1327" s="88"/>
      <c r="J1327" s="92"/>
      <c r="K1327" s="93"/>
      <c r="L1327" s="25" t="str">
        <f t="shared" si="61"/>
        <v/>
      </c>
      <c r="M1327" s="94"/>
      <c r="N1327" s="26" t="str">
        <f t="shared" si="62"/>
        <v/>
      </c>
      <c r="O1327" s="80"/>
      <c r="P1327" s="80"/>
      <c r="Q1327" s="80"/>
      <c r="R1327" s="80"/>
    </row>
    <row r="1328" ht="18" customHeight="1" spans="1:18">
      <c r="A1328" s="87" t="str">
        <f t="shared" si="60"/>
        <v/>
      </c>
      <c r="B1328" s="78"/>
      <c r="C1328" s="80"/>
      <c r="D1328" s="80"/>
      <c r="E1328" s="79"/>
      <c r="F1328" s="87" t="str">
        <f>IF($E1328="","",IFERROR(INDEX(基础资料!$O$4:$O$34,MATCH($E1328,基础资料!$N$4:$N$34,0))&amp;"",""))</f>
        <v/>
      </c>
      <c r="G1328" s="87" t="str">
        <f>IF($E1328="","",IFERROR(INDEX(基础资料!$P$4:$P$34,MATCH($E1328,基础资料!$N$4:$N$34,0))&amp;"",""))</f>
        <v/>
      </c>
      <c r="H1328" s="79"/>
      <c r="I1328" s="88"/>
      <c r="J1328" s="92"/>
      <c r="K1328" s="93"/>
      <c r="L1328" s="25" t="str">
        <f t="shared" si="61"/>
        <v/>
      </c>
      <c r="M1328" s="94"/>
      <c r="N1328" s="26" t="str">
        <f t="shared" si="62"/>
        <v/>
      </c>
      <c r="O1328" s="80"/>
      <c r="P1328" s="80"/>
      <c r="Q1328" s="80"/>
      <c r="R1328" s="80"/>
    </row>
    <row r="1329" ht="18" customHeight="1" spans="1:18">
      <c r="A1329" s="87" t="str">
        <f t="shared" si="60"/>
        <v/>
      </c>
      <c r="B1329" s="78"/>
      <c r="C1329" s="80"/>
      <c r="D1329" s="80"/>
      <c r="E1329" s="79"/>
      <c r="F1329" s="87" t="str">
        <f>IF($E1329="","",IFERROR(INDEX(基础资料!$O$4:$O$34,MATCH($E1329,基础资料!$N$4:$N$34,0))&amp;"",""))</f>
        <v/>
      </c>
      <c r="G1329" s="87" t="str">
        <f>IF($E1329="","",IFERROR(INDEX(基础资料!$P$4:$P$34,MATCH($E1329,基础资料!$N$4:$N$34,0))&amp;"",""))</f>
        <v/>
      </c>
      <c r="H1329" s="79"/>
      <c r="I1329" s="88"/>
      <c r="J1329" s="92"/>
      <c r="K1329" s="93"/>
      <c r="L1329" s="25" t="str">
        <f t="shared" si="61"/>
        <v/>
      </c>
      <c r="M1329" s="94"/>
      <c r="N1329" s="26" t="str">
        <f t="shared" si="62"/>
        <v/>
      </c>
      <c r="O1329" s="80"/>
      <c r="P1329" s="80"/>
      <c r="Q1329" s="80"/>
      <c r="R1329" s="80"/>
    </row>
    <row r="1330" ht="18" customHeight="1" spans="1:18">
      <c r="A1330" s="87" t="str">
        <f t="shared" si="60"/>
        <v/>
      </c>
      <c r="B1330" s="78"/>
      <c r="C1330" s="80"/>
      <c r="D1330" s="80"/>
      <c r="E1330" s="79"/>
      <c r="F1330" s="87" t="str">
        <f>IF($E1330="","",IFERROR(INDEX(基础资料!$O$4:$O$34,MATCH($E1330,基础资料!$N$4:$N$34,0))&amp;"",""))</f>
        <v/>
      </c>
      <c r="G1330" s="87" t="str">
        <f>IF($E1330="","",IFERROR(INDEX(基础资料!$P$4:$P$34,MATCH($E1330,基础资料!$N$4:$N$34,0))&amp;"",""))</f>
        <v/>
      </c>
      <c r="H1330" s="79"/>
      <c r="I1330" s="88"/>
      <c r="J1330" s="92"/>
      <c r="K1330" s="93"/>
      <c r="L1330" s="25" t="str">
        <f t="shared" si="61"/>
        <v/>
      </c>
      <c r="M1330" s="94"/>
      <c r="N1330" s="26" t="str">
        <f t="shared" si="62"/>
        <v/>
      </c>
      <c r="O1330" s="80"/>
      <c r="P1330" s="80"/>
      <c r="Q1330" s="80"/>
      <c r="R1330" s="80"/>
    </row>
    <row r="1331" ht="18" customHeight="1" spans="1:18">
      <c r="A1331" s="87" t="str">
        <f t="shared" si="60"/>
        <v/>
      </c>
      <c r="B1331" s="78"/>
      <c r="C1331" s="80"/>
      <c r="D1331" s="80"/>
      <c r="E1331" s="79"/>
      <c r="F1331" s="87" t="str">
        <f>IF($E1331="","",IFERROR(INDEX(基础资料!$O$4:$O$34,MATCH($E1331,基础资料!$N$4:$N$34,0))&amp;"",""))</f>
        <v/>
      </c>
      <c r="G1331" s="87" t="str">
        <f>IF($E1331="","",IFERROR(INDEX(基础资料!$P$4:$P$34,MATCH($E1331,基础资料!$N$4:$N$34,0))&amp;"",""))</f>
        <v/>
      </c>
      <c r="H1331" s="79"/>
      <c r="I1331" s="88"/>
      <c r="J1331" s="92"/>
      <c r="K1331" s="93"/>
      <c r="L1331" s="25" t="str">
        <f t="shared" si="61"/>
        <v/>
      </c>
      <c r="M1331" s="94"/>
      <c r="N1331" s="26" t="str">
        <f t="shared" si="62"/>
        <v/>
      </c>
      <c r="O1331" s="80"/>
      <c r="P1331" s="80"/>
      <c r="Q1331" s="80"/>
      <c r="R1331" s="80"/>
    </row>
    <row r="1332" ht="18" customHeight="1" spans="1:18">
      <c r="A1332" s="87" t="str">
        <f t="shared" si="60"/>
        <v/>
      </c>
      <c r="B1332" s="78"/>
      <c r="C1332" s="80"/>
      <c r="D1332" s="80"/>
      <c r="E1332" s="79"/>
      <c r="F1332" s="87" t="str">
        <f>IF($E1332="","",IFERROR(INDEX(基础资料!$O$4:$O$34,MATCH($E1332,基础资料!$N$4:$N$34,0))&amp;"",""))</f>
        <v/>
      </c>
      <c r="G1332" s="87" t="str">
        <f>IF($E1332="","",IFERROR(INDEX(基础资料!$P$4:$P$34,MATCH($E1332,基础资料!$N$4:$N$34,0))&amp;"",""))</f>
        <v/>
      </c>
      <c r="H1332" s="79"/>
      <c r="I1332" s="88"/>
      <c r="J1332" s="92"/>
      <c r="K1332" s="93"/>
      <c r="L1332" s="25" t="str">
        <f t="shared" si="61"/>
        <v/>
      </c>
      <c r="M1332" s="94"/>
      <c r="N1332" s="26" t="str">
        <f t="shared" si="62"/>
        <v/>
      </c>
      <c r="O1332" s="80"/>
      <c r="P1332" s="80"/>
      <c r="Q1332" s="80"/>
      <c r="R1332" s="80"/>
    </row>
    <row r="1333" ht="18" customHeight="1" spans="1:18">
      <c r="A1333" s="87" t="str">
        <f t="shared" si="60"/>
        <v/>
      </c>
      <c r="B1333" s="78"/>
      <c r="C1333" s="80"/>
      <c r="D1333" s="80"/>
      <c r="E1333" s="79"/>
      <c r="F1333" s="87" t="str">
        <f>IF($E1333="","",IFERROR(INDEX(基础资料!$O$4:$O$34,MATCH($E1333,基础资料!$N$4:$N$34,0))&amp;"",""))</f>
        <v/>
      </c>
      <c r="G1333" s="87" t="str">
        <f>IF($E1333="","",IFERROR(INDEX(基础资料!$P$4:$P$34,MATCH($E1333,基础资料!$N$4:$N$34,0))&amp;"",""))</f>
        <v/>
      </c>
      <c r="H1333" s="79"/>
      <c r="I1333" s="88"/>
      <c r="J1333" s="92"/>
      <c r="K1333" s="93"/>
      <c r="L1333" s="25" t="str">
        <f t="shared" si="61"/>
        <v/>
      </c>
      <c r="M1333" s="94"/>
      <c r="N1333" s="26" t="str">
        <f t="shared" si="62"/>
        <v/>
      </c>
      <c r="O1333" s="80"/>
      <c r="P1333" s="80"/>
      <c r="Q1333" s="80"/>
      <c r="R1333" s="80"/>
    </row>
    <row r="1334" ht="18" customHeight="1" spans="1:18">
      <c r="A1334" s="87" t="str">
        <f t="shared" si="60"/>
        <v/>
      </c>
      <c r="B1334" s="78"/>
      <c r="C1334" s="80"/>
      <c r="D1334" s="80"/>
      <c r="E1334" s="79"/>
      <c r="F1334" s="87" t="str">
        <f>IF($E1334="","",IFERROR(INDEX(基础资料!$O$4:$O$34,MATCH($E1334,基础资料!$N$4:$N$34,0))&amp;"",""))</f>
        <v/>
      </c>
      <c r="G1334" s="87" t="str">
        <f>IF($E1334="","",IFERROR(INDEX(基础资料!$P$4:$P$34,MATCH($E1334,基础资料!$N$4:$N$34,0))&amp;"",""))</f>
        <v/>
      </c>
      <c r="H1334" s="79"/>
      <c r="I1334" s="88"/>
      <c r="J1334" s="92"/>
      <c r="K1334" s="93"/>
      <c r="L1334" s="25" t="str">
        <f t="shared" si="61"/>
        <v/>
      </c>
      <c r="M1334" s="94"/>
      <c r="N1334" s="26" t="str">
        <f t="shared" si="62"/>
        <v/>
      </c>
      <c r="O1334" s="80"/>
      <c r="P1334" s="80"/>
      <c r="Q1334" s="80"/>
      <c r="R1334" s="80"/>
    </row>
    <row r="1335" ht="18" customHeight="1" spans="1:18">
      <c r="A1335" s="87" t="str">
        <f t="shared" si="60"/>
        <v/>
      </c>
      <c r="B1335" s="78"/>
      <c r="C1335" s="80"/>
      <c r="D1335" s="80"/>
      <c r="E1335" s="79"/>
      <c r="F1335" s="87" t="str">
        <f>IF($E1335="","",IFERROR(INDEX(基础资料!$O$4:$O$34,MATCH($E1335,基础资料!$N$4:$N$34,0))&amp;"",""))</f>
        <v/>
      </c>
      <c r="G1335" s="87" t="str">
        <f>IF($E1335="","",IFERROR(INDEX(基础资料!$P$4:$P$34,MATCH($E1335,基础资料!$N$4:$N$34,0))&amp;"",""))</f>
        <v/>
      </c>
      <c r="H1335" s="79"/>
      <c r="I1335" s="88"/>
      <c r="J1335" s="92"/>
      <c r="K1335" s="93"/>
      <c r="L1335" s="25" t="str">
        <f t="shared" si="61"/>
        <v/>
      </c>
      <c r="M1335" s="94"/>
      <c r="N1335" s="26" t="str">
        <f t="shared" si="62"/>
        <v/>
      </c>
      <c r="O1335" s="80"/>
      <c r="P1335" s="80"/>
      <c r="Q1335" s="80"/>
      <c r="R1335" s="80"/>
    </row>
    <row r="1336" ht="18" customHeight="1" spans="1:18">
      <c r="A1336" s="87" t="str">
        <f t="shared" si="60"/>
        <v/>
      </c>
      <c r="B1336" s="78"/>
      <c r="C1336" s="80"/>
      <c r="D1336" s="80"/>
      <c r="E1336" s="79"/>
      <c r="F1336" s="87" t="str">
        <f>IF($E1336="","",IFERROR(INDEX(基础资料!$O$4:$O$34,MATCH($E1336,基础资料!$N$4:$N$34,0))&amp;"",""))</f>
        <v/>
      </c>
      <c r="G1336" s="87" t="str">
        <f>IF($E1336="","",IFERROR(INDEX(基础资料!$P$4:$P$34,MATCH($E1336,基础资料!$N$4:$N$34,0))&amp;"",""))</f>
        <v/>
      </c>
      <c r="H1336" s="79"/>
      <c r="I1336" s="88"/>
      <c r="J1336" s="92"/>
      <c r="K1336" s="93"/>
      <c r="L1336" s="25" t="str">
        <f t="shared" si="61"/>
        <v/>
      </c>
      <c r="M1336" s="94"/>
      <c r="N1336" s="26" t="str">
        <f t="shared" si="62"/>
        <v/>
      </c>
      <c r="O1336" s="80"/>
      <c r="P1336" s="80"/>
      <c r="Q1336" s="80"/>
      <c r="R1336" s="80"/>
    </row>
    <row r="1337" ht="18" customHeight="1" spans="1:18">
      <c r="A1337" s="87" t="str">
        <f t="shared" si="60"/>
        <v/>
      </c>
      <c r="B1337" s="78"/>
      <c r="C1337" s="80"/>
      <c r="D1337" s="80"/>
      <c r="E1337" s="79"/>
      <c r="F1337" s="87" t="str">
        <f>IF($E1337="","",IFERROR(INDEX(基础资料!$O$4:$O$34,MATCH($E1337,基础资料!$N$4:$N$34,0))&amp;"",""))</f>
        <v/>
      </c>
      <c r="G1337" s="87" t="str">
        <f>IF($E1337="","",IFERROR(INDEX(基础资料!$P$4:$P$34,MATCH($E1337,基础资料!$N$4:$N$34,0))&amp;"",""))</f>
        <v/>
      </c>
      <c r="H1337" s="79"/>
      <c r="I1337" s="88"/>
      <c r="J1337" s="92"/>
      <c r="K1337" s="93"/>
      <c r="L1337" s="25" t="str">
        <f t="shared" si="61"/>
        <v/>
      </c>
      <c r="M1337" s="94"/>
      <c r="N1337" s="26" t="str">
        <f t="shared" si="62"/>
        <v/>
      </c>
      <c r="O1337" s="80"/>
      <c r="P1337" s="80"/>
      <c r="Q1337" s="80"/>
      <c r="R1337" s="80"/>
    </row>
    <row r="1338" ht="18" customHeight="1" spans="1:18">
      <c r="A1338" s="87" t="str">
        <f t="shared" si="60"/>
        <v/>
      </c>
      <c r="B1338" s="78"/>
      <c r="C1338" s="80"/>
      <c r="D1338" s="80"/>
      <c r="E1338" s="79"/>
      <c r="F1338" s="87" t="str">
        <f>IF($E1338="","",IFERROR(INDEX(基础资料!$O$4:$O$34,MATCH($E1338,基础资料!$N$4:$N$34,0))&amp;"",""))</f>
        <v/>
      </c>
      <c r="G1338" s="87" t="str">
        <f>IF($E1338="","",IFERROR(INDEX(基础资料!$P$4:$P$34,MATCH($E1338,基础资料!$N$4:$N$34,0))&amp;"",""))</f>
        <v/>
      </c>
      <c r="H1338" s="79"/>
      <c r="I1338" s="88"/>
      <c r="J1338" s="92"/>
      <c r="K1338" s="93"/>
      <c r="L1338" s="25" t="str">
        <f t="shared" si="61"/>
        <v/>
      </c>
      <c r="M1338" s="94"/>
      <c r="N1338" s="26" t="str">
        <f t="shared" si="62"/>
        <v/>
      </c>
      <c r="O1338" s="80"/>
      <c r="P1338" s="80"/>
      <c r="Q1338" s="80"/>
      <c r="R1338" s="80"/>
    </row>
    <row r="1339" ht="18" customHeight="1" spans="1:18">
      <c r="A1339" s="87" t="str">
        <f t="shared" si="60"/>
        <v/>
      </c>
      <c r="B1339" s="78"/>
      <c r="C1339" s="80"/>
      <c r="D1339" s="80"/>
      <c r="E1339" s="79"/>
      <c r="F1339" s="87" t="str">
        <f>IF($E1339="","",IFERROR(INDEX(基础资料!$O$4:$O$34,MATCH($E1339,基础资料!$N$4:$N$34,0))&amp;"",""))</f>
        <v/>
      </c>
      <c r="G1339" s="87" t="str">
        <f>IF($E1339="","",IFERROR(INDEX(基础资料!$P$4:$P$34,MATCH($E1339,基础资料!$N$4:$N$34,0))&amp;"",""))</f>
        <v/>
      </c>
      <c r="H1339" s="79"/>
      <c r="I1339" s="88"/>
      <c r="J1339" s="92"/>
      <c r="K1339" s="93"/>
      <c r="L1339" s="25" t="str">
        <f t="shared" si="61"/>
        <v/>
      </c>
      <c r="M1339" s="94"/>
      <c r="N1339" s="26" t="str">
        <f t="shared" si="62"/>
        <v/>
      </c>
      <c r="O1339" s="80"/>
      <c r="P1339" s="80"/>
      <c r="Q1339" s="80"/>
      <c r="R1339" s="80"/>
    </row>
    <row r="1340" ht="18" customHeight="1" spans="1:18">
      <c r="A1340" s="87" t="str">
        <f t="shared" si="60"/>
        <v/>
      </c>
      <c r="B1340" s="78"/>
      <c r="C1340" s="80"/>
      <c r="D1340" s="80"/>
      <c r="E1340" s="79"/>
      <c r="F1340" s="87" t="str">
        <f>IF($E1340="","",IFERROR(INDEX(基础资料!$O$4:$O$34,MATCH($E1340,基础资料!$N$4:$N$34,0))&amp;"",""))</f>
        <v/>
      </c>
      <c r="G1340" s="87" t="str">
        <f>IF($E1340="","",IFERROR(INDEX(基础资料!$P$4:$P$34,MATCH($E1340,基础资料!$N$4:$N$34,0))&amp;"",""))</f>
        <v/>
      </c>
      <c r="H1340" s="79"/>
      <c r="I1340" s="88"/>
      <c r="J1340" s="92"/>
      <c r="K1340" s="93"/>
      <c r="L1340" s="25" t="str">
        <f t="shared" si="61"/>
        <v/>
      </c>
      <c r="M1340" s="94"/>
      <c r="N1340" s="26" t="str">
        <f t="shared" si="62"/>
        <v/>
      </c>
      <c r="O1340" s="80"/>
      <c r="P1340" s="80"/>
      <c r="Q1340" s="80"/>
      <c r="R1340" s="80"/>
    </row>
    <row r="1341" ht="18" customHeight="1" spans="1:18">
      <c r="A1341" s="87" t="str">
        <f t="shared" si="60"/>
        <v/>
      </c>
      <c r="B1341" s="78"/>
      <c r="C1341" s="80"/>
      <c r="D1341" s="80"/>
      <c r="E1341" s="79"/>
      <c r="F1341" s="87" t="str">
        <f>IF($E1341="","",IFERROR(INDEX(基础资料!$O$4:$O$34,MATCH($E1341,基础资料!$N$4:$N$34,0))&amp;"",""))</f>
        <v/>
      </c>
      <c r="G1341" s="87" t="str">
        <f>IF($E1341="","",IFERROR(INDEX(基础资料!$P$4:$P$34,MATCH($E1341,基础资料!$N$4:$N$34,0))&amp;"",""))</f>
        <v/>
      </c>
      <c r="H1341" s="79"/>
      <c r="I1341" s="88"/>
      <c r="J1341" s="92"/>
      <c r="K1341" s="93"/>
      <c r="L1341" s="25" t="str">
        <f t="shared" si="61"/>
        <v/>
      </c>
      <c r="M1341" s="94"/>
      <c r="N1341" s="26" t="str">
        <f t="shared" si="62"/>
        <v/>
      </c>
      <c r="O1341" s="80"/>
      <c r="P1341" s="80"/>
      <c r="Q1341" s="80"/>
      <c r="R1341" s="80"/>
    </row>
    <row r="1342" ht="18" customHeight="1" spans="1:18">
      <c r="A1342" s="87" t="str">
        <f t="shared" si="60"/>
        <v/>
      </c>
      <c r="B1342" s="78"/>
      <c r="C1342" s="80"/>
      <c r="D1342" s="80"/>
      <c r="E1342" s="79"/>
      <c r="F1342" s="87" t="str">
        <f>IF($E1342="","",IFERROR(INDEX(基础资料!$O$4:$O$34,MATCH($E1342,基础资料!$N$4:$N$34,0))&amp;"",""))</f>
        <v/>
      </c>
      <c r="G1342" s="87" t="str">
        <f>IF($E1342="","",IFERROR(INDEX(基础资料!$P$4:$P$34,MATCH($E1342,基础资料!$N$4:$N$34,0))&amp;"",""))</f>
        <v/>
      </c>
      <c r="H1342" s="79"/>
      <c r="I1342" s="88"/>
      <c r="J1342" s="92"/>
      <c r="K1342" s="93"/>
      <c r="L1342" s="25" t="str">
        <f t="shared" si="61"/>
        <v/>
      </c>
      <c r="M1342" s="94"/>
      <c r="N1342" s="26" t="str">
        <f t="shared" si="62"/>
        <v/>
      </c>
      <c r="O1342" s="80"/>
      <c r="P1342" s="80"/>
      <c r="Q1342" s="80"/>
      <c r="R1342" s="80"/>
    </row>
    <row r="1343" ht="18" customHeight="1" spans="1:18">
      <c r="A1343" s="87" t="str">
        <f t="shared" si="60"/>
        <v/>
      </c>
      <c r="B1343" s="78"/>
      <c r="C1343" s="80"/>
      <c r="D1343" s="80"/>
      <c r="E1343" s="79"/>
      <c r="F1343" s="87" t="str">
        <f>IF($E1343="","",IFERROR(INDEX(基础资料!$O$4:$O$34,MATCH($E1343,基础资料!$N$4:$N$34,0))&amp;"",""))</f>
        <v/>
      </c>
      <c r="G1343" s="87" t="str">
        <f>IF($E1343="","",IFERROR(INDEX(基础资料!$P$4:$P$34,MATCH($E1343,基础资料!$N$4:$N$34,0))&amp;"",""))</f>
        <v/>
      </c>
      <c r="H1343" s="79"/>
      <c r="I1343" s="88"/>
      <c r="J1343" s="92"/>
      <c r="K1343" s="93"/>
      <c r="L1343" s="25" t="str">
        <f t="shared" si="61"/>
        <v/>
      </c>
      <c r="M1343" s="94"/>
      <c r="N1343" s="26" t="str">
        <f t="shared" si="62"/>
        <v/>
      </c>
      <c r="O1343" s="80"/>
      <c r="P1343" s="80"/>
      <c r="Q1343" s="80"/>
      <c r="R1343" s="80"/>
    </row>
    <row r="1344" ht="18" customHeight="1" spans="1:18">
      <c r="A1344" s="87" t="str">
        <f t="shared" si="60"/>
        <v/>
      </c>
      <c r="B1344" s="78"/>
      <c r="C1344" s="80"/>
      <c r="D1344" s="80"/>
      <c r="E1344" s="79"/>
      <c r="F1344" s="87" t="str">
        <f>IF($E1344="","",IFERROR(INDEX(基础资料!$O$4:$O$34,MATCH($E1344,基础资料!$N$4:$N$34,0))&amp;"",""))</f>
        <v/>
      </c>
      <c r="G1344" s="87" t="str">
        <f>IF($E1344="","",IFERROR(INDEX(基础资料!$P$4:$P$34,MATCH($E1344,基础资料!$N$4:$N$34,0))&amp;"",""))</f>
        <v/>
      </c>
      <c r="H1344" s="79"/>
      <c r="I1344" s="88"/>
      <c r="J1344" s="92"/>
      <c r="K1344" s="93"/>
      <c r="L1344" s="25" t="str">
        <f t="shared" si="61"/>
        <v/>
      </c>
      <c r="M1344" s="94"/>
      <c r="N1344" s="26" t="str">
        <f t="shared" si="62"/>
        <v/>
      </c>
      <c r="O1344" s="80"/>
      <c r="P1344" s="80"/>
      <c r="Q1344" s="80"/>
      <c r="R1344" s="80"/>
    </row>
    <row r="1345" ht="18" customHeight="1" spans="1:18">
      <c r="A1345" s="87" t="str">
        <f t="shared" si="60"/>
        <v/>
      </c>
      <c r="B1345" s="78"/>
      <c r="C1345" s="80"/>
      <c r="D1345" s="80"/>
      <c r="E1345" s="79"/>
      <c r="F1345" s="87" t="str">
        <f>IF($E1345="","",IFERROR(INDEX(基础资料!$O$4:$O$34,MATCH($E1345,基础资料!$N$4:$N$34,0))&amp;"",""))</f>
        <v/>
      </c>
      <c r="G1345" s="87" t="str">
        <f>IF($E1345="","",IFERROR(INDEX(基础资料!$P$4:$P$34,MATCH($E1345,基础资料!$N$4:$N$34,0))&amp;"",""))</f>
        <v/>
      </c>
      <c r="H1345" s="79"/>
      <c r="I1345" s="88"/>
      <c r="J1345" s="92"/>
      <c r="K1345" s="93"/>
      <c r="L1345" s="25" t="str">
        <f t="shared" si="61"/>
        <v/>
      </c>
      <c r="M1345" s="94"/>
      <c r="N1345" s="26" t="str">
        <f t="shared" si="62"/>
        <v/>
      </c>
      <c r="O1345" s="80"/>
      <c r="P1345" s="80"/>
      <c r="Q1345" s="80"/>
      <c r="R1345" s="80"/>
    </row>
    <row r="1346" ht="18" customHeight="1" spans="1:18">
      <c r="A1346" s="87" t="str">
        <f t="shared" si="60"/>
        <v/>
      </c>
      <c r="B1346" s="78"/>
      <c r="C1346" s="80"/>
      <c r="D1346" s="80"/>
      <c r="E1346" s="79"/>
      <c r="F1346" s="87" t="str">
        <f>IF($E1346="","",IFERROR(INDEX(基础资料!$O$4:$O$34,MATCH($E1346,基础资料!$N$4:$N$34,0))&amp;"",""))</f>
        <v/>
      </c>
      <c r="G1346" s="87" t="str">
        <f>IF($E1346="","",IFERROR(INDEX(基础资料!$P$4:$P$34,MATCH($E1346,基础资料!$N$4:$N$34,0))&amp;"",""))</f>
        <v/>
      </c>
      <c r="H1346" s="79"/>
      <c r="I1346" s="88"/>
      <c r="J1346" s="92"/>
      <c r="K1346" s="93"/>
      <c r="L1346" s="25" t="str">
        <f t="shared" si="61"/>
        <v/>
      </c>
      <c r="M1346" s="94"/>
      <c r="N1346" s="26" t="str">
        <f t="shared" si="62"/>
        <v/>
      </c>
      <c r="O1346" s="80"/>
      <c r="P1346" s="80"/>
      <c r="Q1346" s="80"/>
      <c r="R1346" s="80"/>
    </row>
    <row r="1347" ht="18" customHeight="1" spans="1:18">
      <c r="A1347" s="87" t="str">
        <f t="shared" si="60"/>
        <v/>
      </c>
      <c r="B1347" s="78"/>
      <c r="C1347" s="80"/>
      <c r="D1347" s="80"/>
      <c r="E1347" s="79"/>
      <c r="F1347" s="87" t="str">
        <f>IF($E1347="","",IFERROR(INDEX(基础资料!$O$4:$O$34,MATCH($E1347,基础资料!$N$4:$N$34,0))&amp;"",""))</f>
        <v/>
      </c>
      <c r="G1347" s="87" t="str">
        <f>IF($E1347="","",IFERROR(INDEX(基础资料!$P$4:$P$34,MATCH($E1347,基础资料!$N$4:$N$34,0))&amp;"",""))</f>
        <v/>
      </c>
      <c r="H1347" s="79"/>
      <c r="I1347" s="88"/>
      <c r="J1347" s="92"/>
      <c r="K1347" s="93"/>
      <c r="L1347" s="25" t="str">
        <f t="shared" si="61"/>
        <v/>
      </c>
      <c r="M1347" s="94"/>
      <c r="N1347" s="26" t="str">
        <f t="shared" si="62"/>
        <v/>
      </c>
      <c r="O1347" s="80"/>
      <c r="P1347" s="80"/>
      <c r="Q1347" s="80"/>
      <c r="R1347" s="80"/>
    </row>
    <row r="1348" ht="18" customHeight="1" spans="1:18">
      <c r="A1348" s="87" t="str">
        <f t="shared" ref="A1348:A1411" si="63">IF($E1348="","",ROW()-3)</f>
        <v/>
      </c>
      <c r="B1348" s="78"/>
      <c r="C1348" s="80"/>
      <c r="D1348" s="80"/>
      <c r="E1348" s="79"/>
      <c r="F1348" s="87" t="str">
        <f>IF($E1348="","",IFERROR(INDEX(基础资料!$O$4:$O$34,MATCH($E1348,基础资料!$N$4:$N$34,0))&amp;"",""))</f>
        <v/>
      </c>
      <c r="G1348" s="87" t="str">
        <f>IF($E1348="","",IFERROR(INDEX(基础资料!$P$4:$P$34,MATCH($E1348,基础资料!$N$4:$N$34,0))&amp;"",""))</f>
        <v/>
      </c>
      <c r="H1348" s="79"/>
      <c r="I1348" s="88"/>
      <c r="J1348" s="92"/>
      <c r="K1348" s="93"/>
      <c r="L1348" s="25" t="str">
        <f t="shared" ref="L1348:L1411" si="64">IF($E1348="","",N($I1348)+N($J1348)-N($K1348))</f>
        <v/>
      </c>
      <c r="M1348" s="94"/>
      <c r="N1348" s="26" t="str">
        <f t="shared" ref="N1348:N1411" si="65">IF($E1348="","",ROUND(N($L1348)*N($M1348),2))</f>
        <v/>
      </c>
      <c r="O1348" s="80"/>
      <c r="P1348" s="80"/>
      <c r="Q1348" s="80"/>
      <c r="R1348" s="80"/>
    </row>
    <row r="1349" ht="18" customHeight="1" spans="1:18">
      <c r="A1349" s="87" t="str">
        <f t="shared" si="63"/>
        <v/>
      </c>
      <c r="B1349" s="78"/>
      <c r="C1349" s="80"/>
      <c r="D1349" s="80"/>
      <c r="E1349" s="79"/>
      <c r="F1349" s="87" t="str">
        <f>IF($E1349="","",IFERROR(INDEX(基础资料!$O$4:$O$34,MATCH($E1349,基础资料!$N$4:$N$34,0))&amp;"",""))</f>
        <v/>
      </c>
      <c r="G1349" s="87" t="str">
        <f>IF($E1349="","",IFERROR(INDEX(基础资料!$P$4:$P$34,MATCH($E1349,基础资料!$N$4:$N$34,0))&amp;"",""))</f>
        <v/>
      </c>
      <c r="H1349" s="79"/>
      <c r="I1349" s="88"/>
      <c r="J1349" s="92"/>
      <c r="K1349" s="93"/>
      <c r="L1349" s="25" t="str">
        <f t="shared" si="64"/>
        <v/>
      </c>
      <c r="M1349" s="94"/>
      <c r="N1349" s="26" t="str">
        <f t="shared" si="65"/>
        <v/>
      </c>
      <c r="O1349" s="80"/>
      <c r="P1349" s="80"/>
      <c r="Q1349" s="80"/>
      <c r="R1349" s="80"/>
    </row>
    <row r="1350" ht="18" customHeight="1" spans="1:18">
      <c r="A1350" s="87" t="str">
        <f t="shared" si="63"/>
        <v/>
      </c>
      <c r="B1350" s="78"/>
      <c r="C1350" s="80"/>
      <c r="D1350" s="80"/>
      <c r="E1350" s="79"/>
      <c r="F1350" s="87" t="str">
        <f>IF($E1350="","",IFERROR(INDEX(基础资料!$O$4:$O$34,MATCH($E1350,基础资料!$N$4:$N$34,0))&amp;"",""))</f>
        <v/>
      </c>
      <c r="G1350" s="87" t="str">
        <f>IF($E1350="","",IFERROR(INDEX(基础资料!$P$4:$P$34,MATCH($E1350,基础资料!$N$4:$N$34,0))&amp;"",""))</f>
        <v/>
      </c>
      <c r="H1350" s="79"/>
      <c r="I1350" s="88"/>
      <c r="J1350" s="92"/>
      <c r="K1350" s="93"/>
      <c r="L1350" s="25" t="str">
        <f t="shared" si="64"/>
        <v/>
      </c>
      <c r="M1350" s="94"/>
      <c r="N1350" s="26" t="str">
        <f t="shared" si="65"/>
        <v/>
      </c>
      <c r="O1350" s="80"/>
      <c r="P1350" s="80"/>
      <c r="Q1350" s="80"/>
      <c r="R1350" s="80"/>
    </row>
    <row r="1351" ht="18" customHeight="1" spans="1:18">
      <c r="A1351" s="87" t="str">
        <f t="shared" si="63"/>
        <v/>
      </c>
      <c r="B1351" s="78"/>
      <c r="C1351" s="80"/>
      <c r="D1351" s="80"/>
      <c r="E1351" s="79"/>
      <c r="F1351" s="87" t="str">
        <f>IF($E1351="","",IFERROR(INDEX(基础资料!$O$4:$O$34,MATCH($E1351,基础资料!$N$4:$N$34,0))&amp;"",""))</f>
        <v/>
      </c>
      <c r="G1351" s="87" t="str">
        <f>IF($E1351="","",IFERROR(INDEX(基础资料!$P$4:$P$34,MATCH($E1351,基础资料!$N$4:$N$34,0))&amp;"",""))</f>
        <v/>
      </c>
      <c r="H1351" s="79"/>
      <c r="I1351" s="88"/>
      <c r="J1351" s="92"/>
      <c r="K1351" s="93"/>
      <c r="L1351" s="25" t="str">
        <f t="shared" si="64"/>
        <v/>
      </c>
      <c r="M1351" s="94"/>
      <c r="N1351" s="26" t="str">
        <f t="shared" si="65"/>
        <v/>
      </c>
      <c r="O1351" s="80"/>
      <c r="P1351" s="80"/>
      <c r="Q1351" s="80"/>
      <c r="R1351" s="80"/>
    </row>
    <row r="1352" ht="18" customHeight="1" spans="1:18">
      <c r="A1352" s="87" t="str">
        <f t="shared" si="63"/>
        <v/>
      </c>
      <c r="B1352" s="78"/>
      <c r="C1352" s="80"/>
      <c r="D1352" s="80"/>
      <c r="E1352" s="79"/>
      <c r="F1352" s="87" t="str">
        <f>IF($E1352="","",IFERROR(INDEX(基础资料!$O$4:$O$34,MATCH($E1352,基础资料!$N$4:$N$34,0))&amp;"",""))</f>
        <v/>
      </c>
      <c r="G1352" s="87" t="str">
        <f>IF($E1352="","",IFERROR(INDEX(基础资料!$P$4:$P$34,MATCH($E1352,基础资料!$N$4:$N$34,0))&amp;"",""))</f>
        <v/>
      </c>
      <c r="H1352" s="79"/>
      <c r="I1352" s="88"/>
      <c r="J1352" s="92"/>
      <c r="K1352" s="93"/>
      <c r="L1352" s="25" t="str">
        <f t="shared" si="64"/>
        <v/>
      </c>
      <c r="M1352" s="94"/>
      <c r="N1352" s="26" t="str">
        <f t="shared" si="65"/>
        <v/>
      </c>
      <c r="O1352" s="80"/>
      <c r="P1352" s="80"/>
      <c r="Q1352" s="80"/>
      <c r="R1352" s="80"/>
    </row>
    <row r="1353" ht="18" customHeight="1" spans="1:18">
      <c r="A1353" s="87" t="str">
        <f t="shared" si="63"/>
        <v/>
      </c>
      <c r="B1353" s="78"/>
      <c r="C1353" s="80"/>
      <c r="D1353" s="80"/>
      <c r="E1353" s="79"/>
      <c r="F1353" s="87" t="str">
        <f>IF($E1353="","",IFERROR(INDEX(基础资料!$O$4:$O$34,MATCH($E1353,基础资料!$N$4:$N$34,0))&amp;"",""))</f>
        <v/>
      </c>
      <c r="G1353" s="87" t="str">
        <f>IF($E1353="","",IFERROR(INDEX(基础资料!$P$4:$P$34,MATCH($E1353,基础资料!$N$4:$N$34,0))&amp;"",""))</f>
        <v/>
      </c>
      <c r="H1353" s="79"/>
      <c r="I1353" s="88"/>
      <c r="J1353" s="92"/>
      <c r="K1353" s="93"/>
      <c r="L1353" s="25" t="str">
        <f t="shared" si="64"/>
        <v/>
      </c>
      <c r="M1353" s="94"/>
      <c r="N1353" s="26" t="str">
        <f t="shared" si="65"/>
        <v/>
      </c>
      <c r="O1353" s="80"/>
      <c r="P1353" s="80"/>
      <c r="Q1353" s="80"/>
      <c r="R1353" s="80"/>
    </row>
    <row r="1354" ht="18" customHeight="1" spans="1:18">
      <c r="A1354" s="87" t="str">
        <f t="shared" si="63"/>
        <v/>
      </c>
      <c r="B1354" s="78"/>
      <c r="C1354" s="80"/>
      <c r="D1354" s="80"/>
      <c r="E1354" s="79"/>
      <c r="F1354" s="87" t="str">
        <f>IF($E1354="","",IFERROR(INDEX(基础资料!$O$4:$O$34,MATCH($E1354,基础资料!$N$4:$N$34,0))&amp;"",""))</f>
        <v/>
      </c>
      <c r="G1354" s="87" t="str">
        <f>IF($E1354="","",IFERROR(INDEX(基础资料!$P$4:$P$34,MATCH($E1354,基础资料!$N$4:$N$34,0))&amp;"",""))</f>
        <v/>
      </c>
      <c r="H1354" s="79"/>
      <c r="I1354" s="88"/>
      <c r="J1354" s="92"/>
      <c r="K1354" s="93"/>
      <c r="L1354" s="25" t="str">
        <f t="shared" si="64"/>
        <v/>
      </c>
      <c r="M1354" s="94"/>
      <c r="N1354" s="26" t="str">
        <f t="shared" si="65"/>
        <v/>
      </c>
      <c r="O1354" s="80"/>
      <c r="P1354" s="80"/>
      <c r="Q1354" s="80"/>
      <c r="R1354" s="80"/>
    </row>
    <row r="1355" ht="18" customHeight="1" spans="1:18">
      <c r="A1355" s="87" t="str">
        <f t="shared" si="63"/>
        <v/>
      </c>
      <c r="B1355" s="78"/>
      <c r="C1355" s="80"/>
      <c r="D1355" s="80"/>
      <c r="E1355" s="79"/>
      <c r="F1355" s="87" t="str">
        <f>IF($E1355="","",IFERROR(INDEX(基础资料!$O$4:$O$34,MATCH($E1355,基础资料!$N$4:$N$34,0))&amp;"",""))</f>
        <v/>
      </c>
      <c r="G1355" s="87" t="str">
        <f>IF($E1355="","",IFERROR(INDEX(基础资料!$P$4:$P$34,MATCH($E1355,基础资料!$N$4:$N$34,0))&amp;"",""))</f>
        <v/>
      </c>
      <c r="H1355" s="79"/>
      <c r="I1355" s="88"/>
      <c r="J1355" s="92"/>
      <c r="K1355" s="93"/>
      <c r="L1355" s="25" t="str">
        <f t="shared" si="64"/>
        <v/>
      </c>
      <c r="M1355" s="94"/>
      <c r="N1355" s="26" t="str">
        <f t="shared" si="65"/>
        <v/>
      </c>
      <c r="O1355" s="80"/>
      <c r="P1355" s="80"/>
      <c r="Q1355" s="80"/>
      <c r="R1355" s="80"/>
    </row>
    <row r="1356" ht="18" customHeight="1" spans="1:18">
      <c r="A1356" s="87" t="str">
        <f t="shared" si="63"/>
        <v/>
      </c>
      <c r="B1356" s="78"/>
      <c r="C1356" s="80"/>
      <c r="D1356" s="80"/>
      <c r="E1356" s="79"/>
      <c r="F1356" s="87" t="str">
        <f>IF($E1356="","",IFERROR(INDEX(基础资料!$O$4:$O$34,MATCH($E1356,基础资料!$N$4:$N$34,0))&amp;"",""))</f>
        <v/>
      </c>
      <c r="G1356" s="87" t="str">
        <f>IF($E1356="","",IFERROR(INDEX(基础资料!$P$4:$P$34,MATCH($E1356,基础资料!$N$4:$N$34,0))&amp;"",""))</f>
        <v/>
      </c>
      <c r="H1356" s="79"/>
      <c r="I1356" s="88"/>
      <c r="J1356" s="92"/>
      <c r="K1356" s="93"/>
      <c r="L1356" s="25" t="str">
        <f t="shared" si="64"/>
        <v/>
      </c>
      <c r="M1356" s="94"/>
      <c r="N1356" s="26" t="str">
        <f t="shared" si="65"/>
        <v/>
      </c>
      <c r="O1356" s="80"/>
      <c r="P1356" s="80"/>
      <c r="Q1356" s="80"/>
      <c r="R1356" s="80"/>
    </row>
    <row r="1357" ht="18" customHeight="1" spans="1:18">
      <c r="A1357" s="87" t="str">
        <f t="shared" si="63"/>
        <v/>
      </c>
      <c r="B1357" s="78"/>
      <c r="C1357" s="80"/>
      <c r="D1357" s="80"/>
      <c r="E1357" s="79"/>
      <c r="F1357" s="87" t="str">
        <f>IF($E1357="","",IFERROR(INDEX(基础资料!$O$4:$O$34,MATCH($E1357,基础资料!$N$4:$N$34,0))&amp;"",""))</f>
        <v/>
      </c>
      <c r="G1357" s="87" t="str">
        <f>IF($E1357="","",IFERROR(INDEX(基础资料!$P$4:$P$34,MATCH($E1357,基础资料!$N$4:$N$34,0))&amp;"",""))</f>
        <v/>
      </c>
      <c r="H1357" s="79"/>
      <c r="I1357" s="88"/>
      <c r="J1357" s="92"/>
      <c r="K1357" s="93"/>
      <c r="L1357" s="25" t="str">
        <f t="shared" si="64"/>
        <v/>
      </c>
      <c r="M1357" s="94"/>
      <c r="N1357" s="26" t="str">
        <f t="shared" si="65"/>
        <v/>
      </c>
      <c r="O1357" s="80"/>
      <c r="P1357" s="80"/>
      <c r="Q1357" s="80"/>
      <c r="R1357" s="80"/>
    </row>
    <row r="1358" ht="18" customHeight="1" spans="1:18">
      <c r="A1358" s="87" t="str">
        <f t="shared" si="63"/>
        <v/>
      </c>
      <c r="B1358" s="78"/>
      <c r="C1358" s="80"/>
      <c r="D1358" s="80"/>
      <c r="E1358" s="79"/>
      <c r="F1358" s="87" t="str">
        <f>IF($E1358="","",IFERROR(INDEX(基础资料!$O$4:$O$34,MATCH($E1358,基础资料!$N$4:$N$34,0))&amp;"",""))</f>
        <v/>
      </c>
      <c r="G1358" s="87" t="str">
        <f>IF($E1358="","",IFERROR(INDEX(基础资料!$P$4:$P$34,MATCH($E1358,基础资料!$N$4:$N$34,0))&amp;"",""))</f>
        <v/>
      </c>
      <c r="H1358" s="79"/>
      <c r="I1358" s="88"/>
      <c r="J1358" s="92"/>
      <c r="K1358" s="93"/>
      <c r="L1358" s="25" t="str">
        <f t="shared" si="64"/>
        <v/>
      </c>
      <c r="M1358" s="94"/>
      <c r="N1358" s="26" t="str">
        <f t="shared" si="65"/>
        <v/>
      </c>
      <c r="O1358" s="80"/>
      <c r="P1358" s="80"/>
      <c r="Q1358" s="80"/>
      <c r="R1358" s="80"/>
    </row>
    <row r="1359" ht="18" customHeight="1" spans="1:18">
      <c r="A1359" s="87" t="str">
        <f t="shared" si="63"/>
        <v/>
      </c>
      <c r="B1359" s="78"/>
      <c r="C1359" s="80"/>
      <c r="D1359" s="80"/>
      <c r="E1359" s="79"/>
      <c r="F1359" s="87" t="str">
        <f>IF($E1359="","",IFERROR(INDEX(基础资料!$O$4:$O$34,MATCH($E1359,基础资料!$N$4:$N$34,0))&amp;"",""))</f>
        <v/>
      </c>
      <c r="G1359" s="87" t="str">
        <f>IF($E1359="","",IFERROR(INDEX(基础资料!$P$4:$P$34,MATCH($E1359,基础资料!$N$4:$N$34,0))&amp;"",""))</f>
        <v/>
      </c>
      <c r="H1359" s="79"/>
      <c r="I1359" s="88"/>
      <c r="J1359" s="92"/>
      <c r="K1359" s="93"/>
      <c r="L1359" s="25" t="str">
        <f t="shared" si="64"/>
        <v/>
      </c>
      <c r="M1359" s="94"/>
      <c r="N1359" s="26" t="str">
        <f t="shared" si="65"/>
        <v/>
      </c>
      <c r="O1359" s="80"/>
      <c r="P1359" s="80"/>
      <c r="Q1359" s="80"/>
      <c r="R1359" s="80"/>
    </row>
    <row r="1360" ht="18" customHeight="1" spans="1:18">
      <c r="A1360" s="87" t="str">
        <f t="shared" si="63"/>
        <v/>
      </c>
      <c r="B1360" s="78"/>
      <c r="C1360" s="80"/>
      <c r="D1360" s="80"/>
      <c r="E1360" s="79"/>
      <c r="F1360" s="87" t="str">
        <f>IF($E1360="","",IFERROR(INDEX(基础资料!$O$4:$O$34,MATCH($E1360,基础资料!$N$4:$N$34,0))&amp;"",""))</f>
        <v/>
      </c>
      <c r="G1360" s="87" t="str">
        <f>IF($E1360="","",IFERROR(INDEX(基础资料!$P$4:$P$34,MATCH($E1360,基础资料!$N$4:$N$34,0))&amp;"",""))</f>
        <v/>
      </c>
      <c r="H1360" s="79"/>
      <c r="I1360" s="88"/>
      <c r="J1360" s="92"/>
      <c r="K1360" s="93"/>
      <c r="L1360" s="25" t="str">
        <f t="shared" si="64"/>
        <v/>
      </c>
      <c r="M1360" s="94"/>
      <c r="N1360" s="26" t="str">
        <f t="shared" si="65"/>
        <v/>
      </c>
      <c r="O1360" s="80"/>
      <c r="P1360" s="80"/>
      <c r="Q1360" s="80"/>
      <c r="R1360" s="80"/>
    </row>
    <row r="1361" ht="18" customHeight="1" spans="1:18">
      <c r="A1361" s="87" t="str">
        <f t="shared" si="63"/>
        <v/>
      </c>
      <c r="B1361" s="78"/>
      <c r="C1361" s="80"/>
      <c r="D1361" s="80"/>
      <c r="E1361" s="79"/>
      <c r="F1361" s="87" t="str">
        <f>IF($E1361="","",IFERROR(INDEX(基础资料!$O$4:$O$34,MATCH($E1361,基础资料!$N$4:$N$34,0))&amp;"",""))</f>
        <v/>
      </c>
      <c r="G1361" s="87" t="str">
        <f>IF($E1361="","",IFERROR(INDEX(基础资料!$P$4:$P$34,MATCH($E1361,基础资料!$N$4:$N$34,0))&amp;"",""))</f>
        <v/>
      </c>
      <c r="H1361" s="79"/>
      <c r="I1361" s="88"/>
      <c r="J1361" s="92"/>
      <c r="K1361" s="93"/>
      <c r="L1361" s="25" t="str">
        <f t="shared" si="64"/>
        <v/>
      </c>
      <c r="M1361" s="94"/>
      <c r="N1361" s="26" t="str">
        <f t="shared" si="65"/>
        <v/>
      </c>
      <c r="O1361" s="80"/>
      <c r="P1361" s="80"/>
      <c r="Q1361" s="80"/>
      <c r="R1361" s="80"/>
    </row>
    <row r="1362" ht="18" customHeight="1" spans="1:18">
      <c r="A1362" s="87" t="str">
        <f t="shared" si="63"/>
        <v/>
      </c>
      <c r="B1362" s="78"/>
      <c r="C1362" s="80"/>
      <c r="D1362" s="80"/>
      <c r="E1362" s="79"/>
      <c r="F1362" s="87" t="str">
        <f>IF($E1362="","",IFERROR(INDEX(基础资料!$O$4:$O$34,MATCH($E1362,基础资料!$N$4:$N$34,0))&amp;"",""))</f>
        <v/>
      </c>
      <c r="G1362" s="87" t="str">
        <f>IF($E1362="","",IFERROR(INDEX(基础资料!$P$4:$P$34,MATCH($E1362,基础资料!$N$4:$N$34,0))&amp;"",""))</f>
        <v/>
      </c>
      <c r="H1362" s="79"/>
      <c r="I1362" s="88"/>
      <c r="J1362" s="92"/>
      <c r="K1362" s="93"/>
      <c r="L1362" s="25" t="str">
        <f t="shared" si="64"/>
        <v/>
      </c>
      <c r="M1362" s="94"/>
      <c r="N1362" s="26" t="str">
        <f t="shared" si="65"/>
        <v/>
      </c>
      <c r="O1362" s="80"/>
      <c r="P1362" s="80"/>
      <c r="Q1362" s="80"/>
      <c r="R1362" s="80"/>
    </row>
    <row r="1363" ht="18" customHeight="1" spans="1:18">
      <c r="A1363" s="87" t="str">
        <f t="shared" si="63"/>
        <v/>
      </c>
      <c r="B1363" s="78"/>
      <c r="C1363" s="80"/>
      <c r="D1363" s="80"/>
      <c r="E1363" s="79"/>
      <c r="F1363" s="87" t="str">
        <f>IF($E1363="","",IFERROR(INDEX(基础资料!$O$4:$O$34,MATCH($E1363,基础资料!$N$4:$N$34,0))&amp;"",""))</f>
        <v/>
      </c>
      <c r="G1363" s="87" t="str">
        <f>IF($E1363="","",IFERROR(INDEX(基础资料!$P$4:$P$34,MATCH($E1363,基础资料!$N$4:$N$34,0))&amp;"",""))</f>
        <v/>
      </c>
      <c r="H1363" s="79"/>
      <c r="I1363" s="88"/>
      <c r="J1363" s="92"/>
      <c r="K1363" s="93"/>
      <c r="L1363" s="25" t="str">
        <f t="shared" si="64"/>
        <v/>
      </c>
      <c r="M1363" s="94"/>
      <c r="N1363" s="26" t="str">
        <f t="shared" si="65"/>
        <v/>
      </c>
      <c r="O1363" s="80"/>
      <c r="P1363" s="80"/>
      <c r="Q1363" s="80"/>
      <c r="R1363" s="80"/>
    </row>
    <row r="1364" ht="18" customHeight="1" spans="1:18">
      <c r="A1364" s="87" t="str">
        <f t="shared" si="63"/>
        <v/>
      </c>
      <c r="B1364" s="78"/>
      <c r="C1364" s="80"/>
      <c r="D1364" s="80"/>
      <c r="E1364" s="79"/>
      <c r="F1364" s="87" t="str">
        <f>IF($E1364="","",IFERROR(INDEX(基础资料!$O$4:$O$34,MATCH($E1364,基础资料!$N$4:$N$34,0))&amp;"",""))</f>
        <v/>
      </c>
      <c r="G1364" s="87" t="str">
        <f>IF($E1364="","",IFERROR(INDEX(基础资料!$P$4:$P$34,MATCH($E1364,基础资料!$N$4:$N$34,0))&amp;"",""))</f>
        <v/>
      </c>
      <c r="H1364" s="79"/>
      <c r="I1364" s="88"/>
      <c r="J1364" s="92"/>
      <c r="K1364" s="93"/>
      <c r="L1364" s="25" t="str">
        <f t="shared" si="64"/>
        <v/>
      </c>
      <c r="M1364" s="94"/>
      <c r="N1364" s="26" t="str">
        <f t="shared" si="65"/>
        <v/>
      </c>
      <c r="O1364" s="80"/>
      <c r="P1364" s="80"/>
      <c r="Q1364" s="80"/>
      <c r="R1364" s="80"/>
    </row>
    <row r="1365" ht="18" customHeight="1" spans="1:18">
      <c r="A1365" s="87" t="str">
        <f t="shared" si="63"/>
        <v/>
      </c>
      <c r="B1365" s="78"/>
      <c r="C1365" s="80"/>
      <c r="D1365" s="80"/>
      <c r="E1365" s="79"/>
      <c r="F1365" s="87" t="str">
        <f>IF($E1365="","",IFERROR(INDEX(基础资料!$O$4:$O$34,MATCH($E1365,基础资料!$N$4:$N$34,0))&amp;"",""))</f>
        <v/>
      </c>
      <c r="G1365" s="87" t="str">
        <f>IF($E1365="","",IFERROR(INDEX(基础资料!$P$4:$P$34,MATCH($E1365,基础资料!$N$4:$N$34,0))&amp;"",""))</f>
        <v/>
      </c>
      <c r="H1365" s="79"/>
      <c r="I1365" s="88"/>
      <c r="J1365" s="92"/>
      <c r="K1365" s="93"/>
      <c r="L1365" s="25" t="str">
        <f t="shared" si="64"/>
        <v/>
      </c>
      <c r="M1365" s="94"/>
      <c r="N1365" s="26" t="str">
        <f t="shared" si="65"/>
        <v/>
      </c>
      <c r="O1365" s="80"/>
      <c r="P1365" s="80"/>
      <c r="Q1365" s="80"/>
      <c r="R1365" s="80"/>
    </row>
    <row r="1366" ht="18" customHeight="1" spans="1:18">
      <c r="A1366" s="87" t="str">
        <f t="shared" si="63"/>
        <v/>
      </c>
      <c r="B1366" s="78"/>
      <c r="C1366" s="80"/>
      <c r="D1366" s="80"/>
      <c r="E1366" s="79"/>
      <c r="F1366" s="87" t="str">
        <f>IF($E1366="","",IFERROR(INDEX(基础资料!$O$4:$O$34,MATCH($E1366,基础资料!$N$4:$N$34,0))&amp;"",""))</f>
        <v/>
      </c>
      <c r="G1366" s="87" t="str">
        <f>IF($E1366="","",IFERROR(INDEX(基础资料!$P$4:$P$34,MATCH($E1366,基础资料!$N$4:$N$34,0))&amp;"",""))</f>
        <v/>
      </c>
      <c r="H1366" s="79"/>
      <c r="I1366" s="88"/>
      <c r="J1366" s="92"/>
      <c r="K1366" s="93"/>
      <c r="L1366" s="25" t="str">
        <f t="shared" si="64"/>
        <v/>
      </c>
      <c r="M1366" s="94"/>
      <c r="N1366" s="26" t="str">
        <f t="shared" si="65"/>
        <v/>
      </c>
      <c r="O1366" s="80"/>
      <c r="P1366" s="80"/>
      <c r="Q1366" s="80"/>
      <c r="R1366" s="80"/>
    </row>
    <row r="1367" ht="18" customHeight="1" spans="1:18">
      <c r="A1367" s="87" t="str">
        <f t="shared" si="63"/>
        <v/>
      </c>
      <c r="B1367" s="78"/>
      <c r="C1367" s="80"/>
      <c r="D1367" s="80"/>
      <c r="E1367" s="79"/>
      <c r="F1367" s="87" t="str">
        <f>IF($E1367="","",IFERROR(INDEX(基础资料!$O$4:$O$34,MATCH($E1367,基础资料!$N$4:$N$34,0))&amp;"",""))</f>
        <v/>
      </c>
      <c r="G1367" s="87" t="str">
        <f>IF($E1367="","",IFERROR(INDEX(基础资料!$P$4:$P$34,MATCH($E1367,基础资料!$N$4:$N$34,0))&amp;"",""))</f>
        <v/>
      </c>
      <c r="H1367" s="79"/>
      <c r="I1367" s="88"/>
      <c r="J1367" s="92"/>
      <c r="K1367" s="93"/>
      <c r="L1367" s="25" t="str">
        <f t="shared" si="64"/>
        <v/>
      </c>
      <c r="M1367" s="94"/>
      <c r="N1367" s="26" t="str">
        <f t="shared" si="65"/>
        <v/>
      </c>
      <c r="O1367" s="80"/>
      <c r="P1367" s="80"/>
      <c r="Q1367" s="80"/>
      <c r="R1367" s="80"/>
    </row>
    <row r="1368" ht="18" customHeight="1" spans="1:18">
      <c r="A1368" s="87" t="str">
        <f t="shared" si="63"/>
        <v/>
      </c>
      <c r="B1368" s="78"/>
      <c r="C1368" s="80"/>
      <c r="D1368" s="80"/>
      <c r="E1368" s="79"/>
      <c r="F1368" s="87" t="str">
        <f>IF($E1368="","",IFERROR(INDEX(基础资料!$O$4:$O$34,MATCH($E1368,基础资料!$N$4:$N$34,0))&amp;"",""))</f>
        <v/>
      </c>
      <c r="G1368" s="87" t="str">
        <f>IF($E1368="","",IFERROR(INDEX(基础资料!$P$4:$P$34,MATCH($E1368,基础资料!$N$4:$N$34,0))&amp;"",""))</f>
        <v/>
      </c>
      <c r="H1368" s="79"/>
      <c r="I1368" s="88"/>
      <c r="J1368" s="92"/>
      <c r="K1368" s="93"/>
      <c r="L1368" s="25" t="str">
        <f t="shared" si="64"/>
        <v/>
      </c>
      <c r="M1368" s="94"/>
      <c r="N1368" s="26" t="str">
        <f t="shared" si="65"/>
        <v/>
      </c>
      <c r="O1368" s="80"/>
      <c r="P1368" s="80"/>
      <c r="Q1368" s="80"/>
      <c r="R1368" s="80"/>
    </row>
    <row r="1369" ht="18" customHeight="1" spans="1:18">
      <c r="A1369" s="87" t="str">
        <f t="shared" si="63"/>
        <v/>
      </c>
      <c r="B1369" s="78"/>
      <c r="C1369" s="80"/>
      <c r="D1369" s="80"/>
      <c r="E1369" s="79"/>
      <c r="F1369" s="87" t="str">
        <f>IF($E1369="","",IFERROR(INDEX(基础资料!$O$4:$O$34,MATCH($E1369,基础资料!$N$4:$N$34,0))&amp;"",""))</f>
        <v/>
      </c>
      <c r="G1369" s="87" t="str">
        <f>IF($E1369="","",IFERROR(INDEX(基础资料!$P$4:$P$34,MATCH($E1369,基础资料!$N$4:$N$34,0))&amp;"",""))</f>
        <v/>
      </c>
      <c r="H1369" s="79"/>
      <c r="I1369" s="88"/>
      <c r="J1369" s="92"/>
      <c r="K1369" s="93"/>
      <c r="L1369" s="25" t="str">
        <f t="shared" si="64"/>
        <v/>
      </c>
      <c r="M1369" s="94"/>
      <c r="N1369" s="26" t="str">
        <f t="shared" si="65"/>
        <v/>
      </c>
      <c r="O1369" s="80"/>
      <c r="P1369" s="80"/>
      <c r="Q1369" s="80"/>
      <c r="R1369" s="80"/>
    </row>
    <row r="1370" ht="18" customHeight="1" spans="1:18">
      <c r="A1370" s="87" t="str">
        <f t="shared" si="63"/>
        <v/>
      </c>
      <c r="B1370" s="78"/>
      <c r="C1370" s="80"/>
      <c r="D1370" s="80"/>
      <c r="E1370" s="79"/>
      <c r="F1370" s="87" t="str">
        <f>IF($E1370="","",IFERROR(INDEX(基础资料!$O$4:$O$34,MATCH($E1370,基础资料!$N$4:$N$34,0))&amp;"",""))</f>
        <v/>
      </c>
      <c r="G1370" s="87" t="str">
        <f>IF($E1370="","",IFERROR(INDEX(基础资料!$P$4:$P$34,MATCH($E1370,基础资料!$N$4:$N$34,0))&amp;"",""))</f>
        <v/>
      </c>
      <c r="H1370" s="79"/>
      <c r="I1370" s="88"/>
      <c r="J1370" s="92"/>
      <c r="K1370" s="93"/>
      <c r="L1370" s="25" t="str">
        <f t="shared" si="64"/>
        <v/>
      </c>
      <c r="M1370" s="94"/>
      <c r="N1370" s="26" t="str">
        <f t="shared" si="65"/>
        <v/>
      </c>
      <c r="O1370" s="80"/>
      <c r="P1370" s="80"/>
      <c r="Q1370" s="80"/>
      <c r="R1370" s="80"/>
    </row>
    <row r="1371" ht="18" customHeight="1" spans="1:18">
      <c r="A1371" s="87" t="str">
        <f t="shared" si="63"/>
        <v/>
      </c>
      <c r="B1371" s="78"/>
      <c r="C1371" s="80"/>
      <c r="D1371" s="80"/>
      <c r="E1371" s="79"/>
      <c r="F1371" s="87" t="str">
        <f>IF($E1371="","",IFERROR(INDEX(基础资料!$O$4:$O$34,MATCH($E1371,基础资料!$N$4:$N$34,0))&amp;"",""))</f>
        <v/>
      </c>
      <c r="G1371" s="87" t="str">
        <f>IF($E1371="","",IFERROR(INDEX(基础资料!$P$4:$P$34,MATCH($E1371,基础资料!$N$4:$N$34,0))&amp;"",""))</f>
        <v/>
      </c>
      <c r="H1371" s="79"/>
      <c r="I1371" s="88"/>
      <c r="J1371" s="92"/>
      <c r="K1371" s="93"/>
      <c r="L1371" s="25" t="str">
        <f t="shared" si="64"/>
        <v/>
      </c>
      <c r="M1371" s="94"/>
      <c r="N1371" s="26" t="str">
        <f t="shared" si="65"/>
        <v/>
      </c>
      <c r="O1371" s="80"/>
      <c r="P1371" s="80"/>
      <c r="Q1371" s="80"/>
      <c r="R1371" s="80"/>
    </row>
    <row r="1372" ht="18" customHeight="1" spans="1:18">
      <c r="A1372" s="87" t="str">
        <f t="shared" si="63"/>
        <v/>
      </c>
      <c r="B1372" s="78"/>
      <c r="C1372" s="80"/>
      <c r="D1372" s="80"/>
      <c r="E1372" s="79"/>
      <c r="F1372" s="87" t="str">
        <f>IF($E1372="","",IFERROR(INDEX(基础资料!$O$4:$O$34,MATCH($E1372,基础资料!$N$4:$N$34,0))&amp;"",""))</f>
        <v/>
      </c>
      <c r="G1372" s="87" t="str">
        <f>IF($E1372="","",IFERROR(INDEX(基础资料!$P$4:$P$34,MATCH($E1372,基础资料!$N$4:$N$34,0))&amp;"",""))</f>
        <v/>
      </c>
      <c r="H1372" s="79"/>
      <c r="I1372" s="88"/>
      <c r="J1372" s="92"/>
      <c r="K1372" s="93"/>
      <c r="L1372" s="25" t="str">
        <f t="shared" si="64"/>
        <v/>
      </c>
      <c r="M1372" s="94"/>
      <c r="N1372" s="26" t="str">
        <f t="shared" si="65"/>
        <v/>
      </c>
      <c r="O1372" s="80"/>
      <c r="P1372" s="80"/>
      <c r="Q1372" s="80"/>
      <c r="R1372" s="80"/>
    </row>
    <row r="1373" ht="18" customHeight="1" spans="1:18">
      <c r="A1373" s="87" t="str">
        <f t="shared" si="63"/>
        <v/>
      </c>
      <c r="B1373" s="78"/>
      <c r="C1373" s="80"/>
      <c r="D1373" s="80"/>
      <c r="E1373" s="79"/>
      <c r="F1373" s="87" t="str">
        <f>IF($E1373="","",IFERROR(INDEX(基础资料!$O$4:$O$34,MATCH($E1373,基础资料!$N$4:$N$34,0))&amp;"",""))</f>
        <v/>
      </c>
      <c r="G1373" s="87" t="str">
        <f>IF($E1373="","",IFERROR(INDEX(基础资料!$P$4:$P$34,MATCH($E1373,基础资料!$N$4:$N$34,0))&amp;"",""))</f>
        <v/>
      </c>
      <c r="H1373" s="79"/>
      <c r="I1373" s="88"/>
      <c r="J1373" s="92"/>
      <c r="K1373" s="93"/>
      <c r="L1373" s="25" t="str">
        <f t="shared" si="64"/>
        <v/>
      </c>
      <c r="M1373" s="94"/>
      <c r="N1373" s="26" t="str">
        <f t="shared" si="65"/>
        <v/>
      </c>
      <c r="O1373" s="80"/>
      <c r="P1373" s="80"/>
      <c r="Q1373" s="80"/>
      <c r="R1373" s="80"/>
    </row>
    <row r="1374" ht="18" customHeight="1" spans="1:18">
      <c r="A1374" s="87" t="str">
        <f t="shared" si="63"/>
        <v/>
      </c>
      <c r="B1374" s="78"/>
      <c r="C1374" s="80"/>
      <c r="D1374" s="80"/>
      <c r="E1374" s="79"/>
      <c r="F1374" s="87" t="str">
        <f>IF($E1374="","",IFERROR(INDEX(基础资料!$O$4:$O$34,MATCH($E1374,基础资料!$N$4:$N$34,0))&amp;"",""))</f>
        <v/>
      </c>
      <c r="G1374" s="87" t="str">
        <f>IF($E1374="","",IFERROR(INDEX(基础资料!$P$4:$P$34,MATCH($E1374,基础资料!$N$4:$N$34,0))&amp;"",""))</f>
        <v/>
      </c>
      <c r="H1374" s="79"/>
      <c r="I1374" s="88"/>
      <c r="J1374" s="92"/>
      <c r="K1374" s="93"/>
      <c r="L1374" s="25" t="str">
        <f t="shared" si="64"/>
        <v/>
      </c>
      <c r="M1374" s="94"/>
      <c r="N1374" s="26" t="str">
        <f t="shared" si="65"/>
        <v/>
      </c>
      <c r="O1374" s="80"/>
      <c r="P1374" s="80"/>
      <c r="Q1374" s="80"/>
      <c r="R1374" s="80"/>
    </row>
    <row r="1375" ht="18" customHeight="1" spans="1:18">
      <c r="A1375" s="87" t="str">
        <f t="shared" si="63"/>
        <v/>
      </c>
      <c r="B1375" s="78"/>
      <c r="C1375" s="80"/>
      <c r="D1375" s="80"/>
      <c r="E1375" s="79"/>
      <c r="F1375" s="87" t="str">
        <f>IF($E1375="","",IFERROR(INDEX(基础资料!$O$4:$O$34,MATCH($E1375,基础资料!$N$4:$N$34,0))&amp;"",""))</f>
        <v/>
      </c>
      <c r="G1375" s="87" t="str">
        <f>IF($E1375="","",IFERROR(INDEX(基础资料!$P$4:$P$34,MATCH($E1375,基础资料!$N$4:$N$34,0))&amp;"",""))</f>
        <v/>
      </c>
      <c r="H1375" s="79"/>
      <c r="I1375" s="88"/>
      <c r="J1375" s="92"/>
      <c r="K1375" s="93"/>
      <c r="L1375" s="25" t="str">
        <f t="shared" si="64"/>
        <v/>
      </c>
      <c r="M1375" s="94"/>
      <c r="N1375" s="26" t="str">
        <f t="shared" si="65"/>
        <v/>
      </c>
      <c r="O1375" s="80"/>
      <c r="P1375" s="80"/>
      <c r="Q1375" s="80"/>
      <c r="R1375" s="80"/>
    </row>
    <row r="1376" ht="18" customHeight="1" spans="1:18">
      <c r="A1376" s="87" t="str">
        <f t="shared" si="63"/>
        <v/>
      </c>
      <c r="B1376" s="78"/>
      <c r="C1376" s="80"/>
      <c r="D1376" s="80"/>
      <c r="E1376" s="79"/>
      <c r="F1376" s="87" t="str">
        <f>IF($E1376="","",IFERROR(INDEX(基础资料!$O$4:$O$34,MATCH($E1376,基础资料!$N$4:$N$34,0))&amp;"",""))</f>
        <v/>
      </c>
      <c r="G1376" s="87" t="str">
        <f>IF($E1376="","",IFERROR(INDEX(基础资料!$P$4:$P$34,MATCH($E1376,基础资料!$N$4:$N$34,0))&amp;"",""))</f>
        <v/>
      </c>
      <c r="H1376" s="79"/>
      <c r="I1376" s="88"/>
      <c r="J1376" s="92"/>
      <c r="K1376" s="93"/>
      <c r="L1376" s="25" t="str">
        <f t="shared" si="64"/>
        <v/>
      </c>
      <c r="M1376" s="94"/>
      <c r="N1376" s="26" t="str">
        <f t="shared" si="65"/>
        <v/>
      </c>
      <c r="O1376" s="80"/>
      <c r="P1376" s="80"/>
      <c r="Q1376" s="80"/>
      <c r="R1376" s="80"/>
    </row>
    <row r="1377" ht="18" customHeight="1" spans="1:18">
      <c r="A1377" s="87" t="str">
        <f t="shared" si="63"/>
        <v/>
      </c>
      <c r="B1377" s="78"/>
      <c r="C1377" s="80"/>
      <c r="D1377" s="80"/>
      <c r="E1377" s="79"/>
      <c r="F1377" s="87" t="str">
        <f>IF($E1377="","",IFERROR(INDEX(基础资料!$O$4:$O$34,MATCH($E1377,基础资料!$N$4:$N$34,0))&amp;"",""))</f>
        <v/>
      </c>
      <c r="G1377" s="87" t="str">
        <f>IF($E1377="","",IFERROR(INDEX(基础资料!$P$4:$P$34,MATCH($E1377,基础资料!$N$4:$N$34,0))&amp;"",""))</f>
        <v/>
      </c>
      <c r="H1377" s="79"/>
      <c r="I1377" s="88"/>
      <c r="J1377" s="92"/>
      <c r="K1377" s="93"/>
      <c r="L1377" s="25" t="str">
        <f t="shared" si="64"/>
        <v/>
      </c>
      <c r="M1377" s="94"/>
      <c r="N1377" s="26" t="str">
        <f t="shared" si="65"/>
        <v/>
      </c>
      <c r="O1377" s="80"/>
      <c r="P1377" s="80"/>
      <c r="Q1377" s="80"/>
      <c r="R1377" s="80"/>
    </row>
    <row r="1378" ht="18" customHeight="1" spans="1:18">
      <c r="A1378" s="87" t="str">
        <f t="shared" si="63"/>
        <v/>
      </c>
      <c r="B1378" s="78"/>
      <c r="C1378" s="80"/>
      <c r="D1378" s="80"/>
      <c r="E1378" s="79"/>
      <c r="F1378" s="87" t="str">
        <f>IF($E1378="","",IFERROR(INDEX(基础资料!$O$4:$O$34,MATCH($E1378,基础资料!$N$4:$N$34,0))&amp;"",""))</f>
        <v/>
      </c>
      <c r="G1378" s="87" t="str">
        <f>IF($E1378="","",IFERROR(INDEX(基础资料!$P$4:$P$34,MATCH($E1378,基础资料!$N$4:$N$34,0))&amp;"",""))</f>
        <v/>
      </c>
      <c r="H1378" s="79"/>
      <c r="I1378" s="88"/>
      <c r="J1378" s="92"/>
      <c r="K1378" s="93"/>
      <c r="L1378" s="25" t="str">
        <f t="shared" si="64"/>
        <v/>
      </c>
      <c r="M1378" s="94"/>
      <c r="N1378" s="26" t="str">
        <f t="shared" si="65"/>
        <v/>
      </c>
      <c r="O1378" s="80"/>
      <c r="P1378" s="80"/>
      <c r="Q1378" s="80"/>
      <c r="R1378" s="80"/>
    </row>
    <row r="1379" ht="18" customHeight="1" spans="1:18">
      <c r="A1379" s="87" t="str">
        <f t="shared" si="63"/>
        <v/>
      </c>
      <c r="B1379" s="78"/>
      <c r="C1379" s="80"/>
      <c r="D1379" s="80"/>
      <c r="E1379" s="79"/>
      <c r="F1379" s="87" t="str">
        <f>IF($E1379="","",IFERROR(INDEX(基础资料!$O$4:$O$34,MATCH($E1379,基础资料!$N$4:$N$34,0))&amp;"",""))</f>
        <v/>
      </c>
      <c r="G1379" s="87" t="str">
        <f>IF($E1379="","",IFERROR(INDEX(基础资料!$P$4:$P$34,MATCH($E1379,基础资料!$N$4:$N$34,0))&amp;"",""))</f>
        <v/>
      </c>
      <c r="H1379" s="79"/>
      <c r="I1379" s="88"/>
      <c r="J1379" s="92"/>
      <c r="K1379" s="93"/>
      <c r="L1379" s="25" t="str">
        <f t="shared" si="64"/>
        <v/>
      </c>
      <c r="M1379" s="94"/>
      <c r="N1379" s="26" t="str">
        <f t="shared" si="65"/>
        <v/>
      </c>
      <c r="O1379" s="80"/>
      <c r="P1379" s="80"/>
      <c r="Q1379" s="80"/>
      <c r="R1379" s="80"/>
    </row>
    <row r="1380" ht="18" customHeight="1" spans="1:18">
      <c r="A1380" s="87" t="str">
        <f t="shared" si="63"/>
        <v/>
      </c>
      <c r="B1380" s="78"/>
      <c r="C1380" s="80"/>
      <c r="D1380" s="80"/>
      <c r="E1380" s="79"/>
      <c r="F1380" s="87" t="str">
        <f>IF($E1380="","",IFERROR(INDEX(基础资料!$O$4:$O$34,MATCH($E1380,基础资料!$N$4:$N$34,0))&amp;"",""))</f>
        <v/>
      </c>
      <c r="G1380" s="87" t="str">
        <f>IF($E1380="","",IFERROR(INDEX(基础资料!$P$4:$P$34,MATCH($E1380,基础资料!$N$4:$N$34,0))&amp;"",""))</f>
        <v/>
      </c>
      <c r="H1380" s="79"/>
      <c r="I1380" s="88"/>
      <c r="J1380" s="92"/>
      <c r="K1380" s="93"/>
      <c r="L1380" s="25" t="str">
        <f t="shared" si="64"/>
        <v/>
      </c>
      <c r="M1380" s="94"/>
      <c r="N1380" s="26" t="str">
        <f t="shared" si="65"/>
        <v/>
      </c>
      <c r="O1380" s="80"/>
      <c r="P1380" s="80"/>
      <c r="Q1380" s="80"/>
      <c r="R1380" s="80"/>
    </row>
    <row r="1381" ht="18" customHeight="1" spans="1:18">
      <c r="A1381" s="87" t="str">
        <f t="shared" si="63"/>
        <v/>
      </c>
      <c r="B1381" s="78"/>
      <c r="C1381" s="80"/>
      <c r="D1381" s="80"/>
      <c r="E1381" s="79"/>
      <c r="F1381" s="87" t="str">
        <f>IF($E1381="","",IFERROR(INDEX(基础资料!$O$4:$O$34,MATCH($E1381,基础资料!$N$4:$N$34,0))&amp;"",""))</f>
        <v/>
      </c>
      <c r="G1381" s="87" t="str">
        <f>IF($E1381="","",IFERROR(INDEX(基础资料!$P$4:$P$34,MATCH($E1381,基础资料!$N$4:$N$34,0))&amp;"",""))</f>
        <v/>
      </c>
      <c r="H1381" s="79"/>
      <c r="I1381" s="88"/>
      <c r="J1381" s="92"/>
      <c r="K1381" s="93"/>
      <c r="L1381" s="25" t="str">
        <f t="shared" si="64"/>
        <v/>
      </c>
      <c r="M1381" s="94"/>
      <c r="N1381" s="26" t="str">
        <f t="shared" si="65"/>
        <v/>
      </c>
      <c r="O1381" s="80"/>
      <c r="P1381" s="80"/>
      <c r="Q1381" s="80"/>
      <c r="R1381" s="80"/>
    </row>
    <row r="1382" ht="18" customHeight="1" spans="1:18">
      <c r="A1382" s="87" t="str">
        <f t="shared" si="63"/>
        <v/>
      </c>
      <c r="B1382" s="78"/>
      <c r="C1382" s="80"/>
      <c r="D1382" s="80"/>
      <c r="E1382" s="79"/>
      <c r="F1382" s="87" t="str">
        <f>IF($E1382="","",IFERROR(INDEX(基础资料!$O$4:$O$34,MATCH($E1382,基础资料!$N$4:$N$34,0))&amp;"",""))</f>
        <v/>
      </c>
      <c r="G1382" s="87" t="str">
        <f>IF($E1382="","",IFERROR(INDEX(基础资料!$P$4:$P$34,MATCH($E1382,基础资料!$N$4:$N$34,0))&amp;"",""))</f>
        <v/>
      </c>
      <c r="H1382" s="79"/>
      <c r="I1382" s="88"/>
      <c r="J1382" s="92"/>
      <c r="K1382" s="93"/>
      <c r="L1382" s="25" t="str">
        <f t="shared" si="64"/>
        <v/>
      </c>
      <c r="M1382" s="94"/>
      <c r="N1382" s="26" t="str">
        <f t="shared" si="65"/>
        <v/>
      </c>
      <c r="O1382" s="80"/>
      <c r="P1382" s="80"/>
      <c r="Q1382" s="80"/>
      <c r="R1382" s="80"/>
    </row>
    <row r="1383" ht="18" customHeight="1" spans="1:18">
      <c r="A1383" s="87" t="str">
        <f t="shared" si="63"/>
        <v/>
      </c>
      <c r="B1383" s="78"/>
      <c r="C1383" s="80"/>
      <c r="D1383" s="80"/>
      <c r="E1383" s="79"/>
      <c r="F1383" s="87" t="str">
        <f>IF($E1383="","",IFERROR(INDEX(基础资料!$O$4:$O$34,MATCH($E1383,基础资料!$N$4:$N$34,0))&amp;"",""))</f>
        <v/>
      </c>
      <c r="G1383" s="87" t="str">
        <f>IF($E1383="","",IFERROR(INDEX(基础资料!$P$4:$P$34,MATCH($E1383,基础资料!$N$4:$N$34,0))&amp;"",""))</f>
        <v/>
      </c>
      <c r="H1383" s="79"/>
      <c r="I1383" s="88"/>
      <c r="J1383" s="92"/>
      <c r="K1383" s="93"/>
      <c r="L1383" s="25" t="str">
        <f t="shared" si="64"/>
        <v/>
      </c>
      <c r="M1383" s="94"/>
      <c r="N1383" s="26" t="str">
        <f t="shared" si="65"/>
        <v/>
      </c>
      <c r="O1383" s="80"/>
      <c r="P1383" s="80"/>
      <c r="Q1383" s="80"/>
      <c r="R1383" s="80"/>
    </row>
    <row r="1384" ht="18" customHeight="1" spans="1:18">
      <c r="A1384" s="87" t="str">
        <f t="shared" si="63"/>
        <v/>
      </c>
      <c r="B1384" s="78"/>
      <c r="C1384" s="80"/>
      <c r="D1384" s="80"/>
      <c r="E1384" s="79"/>
      <c r="F1384" s="87" t="str">
        <f>IF($E1384="","",IFERROR(INDEX(基础资料!$O$4:$O$34,MATCH($E1384,基础资料!$N$4:$N$34,0))&amp;"",""))</f>
        <v/>
      </c>
      <c r="G1384" s="87" t="str">
        <f>IF($E1384="","",IFERROR(INDEX(基础资料!$P$4:$P$34,MATCH($E1384,基础资料!$N$4:$N$34,0))&amp;"",""))</f>
        <v/>
      </c>
      <c r="H1384" s="79"/>
      <c r="I1384" s="88"/>
      <c r="J1384" s="92"/>
      <c r="K1384" s="93"/>
      <c r="L1384" s="25" t="str">
        <f t="shared" si="64"/>
        <v/>
      </c>
      <c r="M1384" s="94"/>
      <c r="N1384" s="26" t="str">
        <f t="shared" si="65"/>
        <v/>
      </c>
      <c r="O1384" s="80"/>
      <c r="P1384" s="80"/>
      <c r="Q1384" s="80"/>
      <c r="R1384" s="80"/>
    </row>
    <row r="1385" ht="18" customHeight="1" spans="1:18">
      <c r="A1385" s="87" t="str">
        <f t="shared" si="63"/>
        <v/>
      </c>
      <c r="B1385" s="78"/>
      <c r="C1385" s="80"/>
      <c r="D1385" s="80"/>
      <c r="E1385" s="79"/>
      <c r="F1385" s="87" t="str">
        <f>IF($E1385="","",IFERROR(INDEX(基础资料!$O$4:$O$34,MATCH($E1385,基础资料!$N$4:$N$34,0))&amp;"",""))</f>
        <v/>
      </c>
      <c r="G1385" s="87" t="str">
        <f>IF($E1385="","",IFERROR(INDEX(基础资料!$P$4:$P$34,MATCH($E1385,基础资料!$N$4:$N$34,0))&amp;"",""))</f>
        <v/>
      </c>
      <c r="H1385" s="79"/>
      <c r="I1385" s="88"/>
      <c r="J1385" s="92"/>
      <c r="K1385" s="93"/>
      <c r="L1385" s="25" t="str">
        <f t="shared" si="64"/>
        <v/>
      </c>
      <c r="M1385" s="94"/>
      <c r="N1385" s="26" t="str">
        <f t="shared" si="65"/>
        <v/>
      </c>
      <c r="O1385" s="80"/>
      <c r="P1385" s="80"/>
      <c r="Q1385" s="80"/>
      <c r="R1385" s="80"/>
    </row>
    <row r="1386" ht="18" customHeight="1" spans="1:18">
      <c r="A1386" s="87" t="str">
        <f t="shared" si="63"/>
        <v/>
      </c>
      <c r="B1386" s="78"/>
      <c r="C1386" s="80"/>
      <c r="D1386" s="80"/>
      <c r="E1386" s="79"/>
      <c r="F1386" s="87" t="str">
        <f>IF($E1386="","",IFERROR(INDEX(基础资料!$O$4:$O$34,MATCH($E1386,基础资料!$N$4:$N$34,0))&amp;"",""))</f>
        <v/>
      </c>
      <c r="G1386" s="87" t="str">
        <f>IF($E1386="","",IFERROR(INDEX(基础资料!$P$4:$P$34,MATCH($E1386,基础资料!$N$4:$N$34,0))&amp;"",""))</f>
        <v/>
      </c>
      <c r="H1386" s="79"/>
      <c r="I1386" s="88"/>
      <c r="J1386" s="92"/>
      <c r="K1386" s="93"/>
      <c r="L1386" s="25" t="str">
        <f t="shared" si="64"/>
        <v/>
      </c>
      <c r="M1386" s="94"/>
      <c r="N1386" s="26" t="str">
        <f t="shared" si="65"/>
        <v/>
      </c>
      <c r="O1386" s="80"/>
      <c r="P1386" s="80"/>
      <c r="Q1386" s="80"/>
      <c r="R1386" s="80"/>
    </row>
    <row r="1387" ht="18" customHeight="1" spans="1:18">
      <c r="A1387" s="87" t="str">
        <f t="shared" si="63"/>
        <v/>
      </c>
      <c r="B1387" s="78"/>
      <c r="C1387" s="80"/>
      <c r="D1387" s="80"/>
      <c r="E1387" s="79"/>
      <c r="F1387" s="87" t="str">
        <f>IF($E1387="","",IFERROR(INDEX(基础资料!$O$4:$O$34,MATCH($E1387,基础资料!$N$4:$N$34,0))&amp;"",""))</f>
        <v/>
      </c>
      <c r="G1387" s="87" t="str">
        <f>IF($E1387="","",IFERROR(INDEX(基础资料!$P$4:$P$34,MATCH($E1387,基础资料!$N$4:$N$34,0))&amp;"",""))</f>
        <v/>
      </c>
      <c r="H1387" s="79"/>
      <c r="I1387" s="88"/>
      <c r="J1387" s="92"/>
      <c r="K1387" s="93"/>
      <c r="L1387" s="25" t="str">
        <f t="shared" si="64"/>
        <v/>
      </c>
      <c r="M1387" s="94"/>
      <c r="N1387" s="26" t="str">
        <f t="shared" si="65"/>
        <v/>
      </c>
      <c r="O1387" s="80"/>
      <c r="P1387" s="80"/>
      <c r="Q1387" s="80"/>
      <c r="R1387" s="80"/>
    </row>
    <row r="1388" ht="18" customHeight="1" spans="1:18">
      <c r="A1388" s="87" t="str">
        <f t="shared" si="63"/>
        <v/>
      </c>
      <c r="B1388" s="78"/>
      <c r="C1388" s="80"/>
      <c r="D1388" s="80"/>
      <c r="E1388" s="79"/>
      <c r="F1388" s="87" t="str">
        <f>IF($E1388="","",IFERROR(INDEX(基础资料!$O$4:$O$34,MATCH($E1388,基础资料!$N$4:$N$34,0))&amp;"",""))</f>
        <v/>
      </c>
      <c r="G1388" s="87" t="str">
        <f>IF($E1388="","",IFERROR(INDEX(基础资料!$P$4:$P$34,MATCH($E1388,基础资料!$N$4:$N$34,0))&amp;"",""))</f>
        <v/>
      </c>
      <c r="H1388" s="79"/>
      <c r="I1388" s="88"/>
      <c r="J1388" s="92"/>
      <c r="K1388" s="93"/>
      <c r="L1388" s="25" t="str">
        <f t="shared" si="64"/>
        <v/>
      </c>
      <c r="M1388" s="94"/>
      <c r="N1388" s="26" t="str">
        <f t="shared" si="65"/>
        <v/>
      </c>
      <c r="O1388" s="80"/>
      <c r="P1388" s="80"/>
      <c r="Q1388" s="80"/>
      <c r="R1388" s="80"/>
    </row>
    <row r="1389" ht="18" customHeight="1" spans="1:18">
      <c r="A1389" s="87" t="str">
        <f t="shared" si="63"/>
        <v/>
      </c>
      <c r="B1389" s="78"/>
      <c r="C1389" s="80"/>
      <c r="D1389" s="80"/>
      <c r="E1389" s="79"/>
      <c r="F1389" s="87" t="str">
        <f>IF($E1389="","",IFERROR(INDEX(基础资料!$O$4:$O$34,MATCH($E1389,基础资料!$N$4:$N$34,0))&amp;"",""))</f>
        <v/>
      </c>
      <c r="G1389" s="87" t="str">
        <f>IF($E1389="","",IFERROR(INDEX(基础资料!$P$4:$P$34,MATCH($E1389,基础资料!$N$4:$N$34,0))&amp;"",""))</f>
        <v/>
      </c>
      <c r="H1389" s="79"/>
      <c r="I1389" s="88"/>
      <c r="J1389" s="92"/>
      <c r="K1389" s="93"/>
      <c r="L1389" s="25" t="str">
        <f t="shared" si="64"/>
        <v/>
      </c>
      <c r="M1389" s="94"/>
      <c r="N1389" s="26" t="str">
        <f t="shared" si="65"/>
        <v/>
      </c>
      <c r="O1389" s="80"/>
      <c r="P1389" s="80"/>
      <c r="Q1389" s="80"/>
      <c r="R1389" s="80"/>
    </row>
    <row r="1390" ht="18" customHeight="1" spans="1:18">
      <c r="A1390" s="87" t="str">
        <f t="shared" si="63"/>
        <v/>
      </c>
      <c r="B1390" s="78"/>
      <c r="C1390" s="80"/>
      <c r="D1390" s="80"/>
      <c r="E1390" s="79"/>
      <c r="F1390" s="87" t="str">
        <f>IF($E1390="","",IFERROR(INDEX(基础资料!$O$4:$O$34,MATCH($E1390,基础资料!$N$4:$N$34,0))&amp;"",""))</f>
        <v/>
      </c>
      <c r="G1390" s="87" t="str">
        <f>IF($E1390="","",IFERROR(INDEX(基础资料!$P$4:$P$34,MATCH($E1390,基础资料!$N$4:$N$34,0))&amp;"",""))</f>
        <v/>
      </c>
      <c r="H1390" s="79"/>
      <c r="I1390" s="88"/>
      <c r="J1390" s="92"/>
      <c r="K1390" s="93"/>
      <c r="L1390" s="25" t="str">
        <f t="shared" si="64"/>
        <v/>
      </c>
      <c r="M1390" s="94"/>
      <c r="N1390" s="26" t="str">
        <f t="shared" si="65"/>
        <v/>
      </c>
      <c r="O1390" s="80"/>
      <c r="P1390" s="80"/>
      <c r="Q1390" s="80"/>
      <c r="R1390" s="80"/>
    </row>
    <row r="1391" ht="18" customHeight="1" spans="1:18">
      <c r="A1391" s="87" t="str">
        <f t="shared" si="63"/>
        <v/>
      </c>
      <c r="B1391" s="78"/>
      <c r="C1391" s="80"/>
      <c r="D1391" s="80"/>
      <c r="E1391" s="79"/>
      <c r="F1391" s="87" t="str">
        <f>IF($E1391="","",IFERROR(INDEX(基础资料!$O$4:$O$34,MATCH($E1391,基础资料!$N$4:$N$34,0))&amp;"",""))</f>
        <v/>
      </c>
      <c r="G1391" s="87" t="str">
        <f>IF($E1391="","",IFERROR(INDEX(基础资料!$P$4:$P$34,MATCH($E1391,基础资料!$N$4:$N$34,0))&amp;"",""))</f>
        <v/>
      </c>
      <c r="H1391" s="79"/>
      <c r="I1391" s="88"/>
      <c r="J1391" s="92"/>
      <c r="K1391" s="93"/>
      <c r="L1391" s="25" t="str">
        <f t="shared" si="64"/>
        <v/>
      </c>
      <c r="M1391" s="94"/>
      <c r="N1391" s="26" t="str">
        <f t="shared" si="65"/>
        <v/>
      </c>
      <c r="O1391" s="80"/>
      <c r="P1391" s="80"/>
      <c r="Q1391" s="80"/>
      <c r="R1391" s="80"/>
    </row>
    <row r="1392" ht="18" customHeight="1" spans="1:18">
      <c r="A1392" s="87" t="str">
        <f t="shared" si="63"/>
        <v/>
      </c>
      <c r="B1392" s="78"/>
      <c r="C1392" s="80"/>
      <c r="D1392" s="80"/>
      <c r="E1392" s="79"/>
      <c r="F1392" s="87" t="str">
        <f>IF($E1392="","",IFERROR(INDEX(基础资料!$O$4:$O$34,MATCH($E1392,基础资料!$N$4:$N$34,0))&amp;"",""))</f>
        <v/>
      </c>
      <c r="G1392" s="87" t="str">
        <f>IF($E1392="","",IFERROR(INDEX(基础资料!$P$4:$P$34,MATCH($E1392,基础资料!$N$4:$N$34,0))&amp;"",""))</f>
        <v/>
      </c>
      <c r="H1392" s="79"/>
      <c r="I1392" s="88"/>
      <c r="J1392" s="92"/>
      <c r="K1392" s="93"/>
      <c r="L1392" s="25" t="str">
        <f t="shared" si="64"/>
        <v/>
      </c>
      <c r="M1392" s="94"/>
      <c r="N1392" s="26" t="str">
        <f t="shared" si="65"/>
        <v/>
      </c>
      <c r="O1392" s="80"/>
      <c r="P1392" s="80"/>
      <c r="Q1392" s="80"/>
      <c r="R1392" s="80"/>
    </row>
    <row r="1393" ht="18" customHeight="1" spans="1:18">
      <c r="A1393" s="87" t="str">
        <f t="shared" si="63"/>
        <v/>
      </c>
      <c r="B1393" s="78"/>
      <c r="C1393" s="80"/>
      <c r="D1393" s="80"/>
      <c r="E1393" s="79"/>
      <c r="F1393" s="87" t="str">
        <f>IF($E1393="","",IFERROR(INDEX(基础资料!$O$4:$O$34,MATCH($E1393,基础资料!$N$4:$N$34,0))&amp;"",""))</f>
        <v/>
      </c>
      <c r="G1393" s="87" t="str">
        <f>IF($E1393="","",IFERROR(INDEX(基础资料!$P$4:$P$34,MATCH($E1393,基础资料!$N$4:$N$34,0))&amp;"",""))</f>
        <v/>
      </c>
      <c r="H1393" s="79"/>
      <c r="I1393" s="88"/>
      <c r="J1393" s="92"/>
      <c r="K1393" s="93"/>
      <c r="L1393" s="25" t="str">
        <f t="shared" si="64"/>
        <v/>
      </c>
      <c r="M1393" s="94"/>
      <c r="N1393" s="26" t="str">
        <f t="shared" si="65"/>
        <v/>
      </c>
      <c r="O1393" s="80"/>
      <c r="P1393" s="80"/>
      <c r="Q1393" s="80"/>
      <c r="R1393" s="80"/>
    </row>
    <row r="1394" ht="18" customHeight="1" spans="1:18">
      <c r="A1394" s="87" t="str">
        <f t="shared" si="63"/>
        <v/>
      </c>
      <c r="B1394" s="78"/>
      <c r="C1394" s="80"/>
      <c r="D1394" s="80"/>
      <c r="E1394" s="79"/>
      <c r="F1394" s="87" t="str">
        <f>IF($E1394="","",IFERROR(INDEX(基础资料!$O$4:$O$34,MATCH($E1394,基础资料!$N$4:$N$34,0))&amp;"",""))</f>
        <v/>
      </c>
      <c r="G1394" s="87" t="str">
        <f>IF($E1394="","",IFERROR(INDEX(基础资料!$P$4:$P$34,MATCH($E1394,基础资料!$N$4:$N$34,0))&amp;"",""))</f>
        <v/>
      </c>
      <c r="H1394" s="79"/>
      <c r="I1394" s="88"/>
      <c r="J1394" s="92"/>
      <c r="K1394" s="93"/>
      <c r="L1394" s="25" t="str">
        <f t="shared" si="64"/>
        <v/>
      </c>
      <c r="M1394" s="94"/>
      <c r="N1394" s="26" t="str">
        <f t="shared" si="65"/>
        <v/>
      </c>
      <c r="O1394" s="80"/>
      <c r="P1394" s="80"/>
      <c r="Q1394" s="80"/>
      <c r="R1394" s="80"/>
    </row>
    <row r="1395" ht="18" customHeight="1" spans="1:18">
      <c r="A1395" s="87" t="str">
        <f t="shared" si="63"/>
        <v/>
      </c>
      <c r="B1395" s="78"/>
      <c r="C1395" s="80"/>
      <c r="D1395" s="80"/>
      <c r="E1395" s="79"/>
      <c r="F1395" s="87" t="str">
        <f>IF($E1395="","",IFERROR(INDEX(基础资料!$O$4:$O$34,MATCH($E1395,基础资料!$N$4:$N$34,0))&amp;"",""))</f>
        <v/>
      </c>
      <c r="G1395" s="87" t="str">
        <f>IF($E1395="","",IFERROR(INDEX(基础资料!$P$4:$P$34,MATCH($E1395,基础资料!$N$4:$N$34,0))&amp;"",""))</f>
        <v/>
      </c>
      <c r="H1395" s="79"/>
      <c r="I1395" s="88"/>
      <c r="J1395" s="92"/>
      <c r="K1395" s="93"/>
      <c r="L1395" s="25" t="str">
        <f t="shared" si="64"/>
        <v/>
      </c>
      <c r="M1395" s="94"/>
      <c r="N1395" s="26" t="str">
        <f t="shared" si="65"/>
        <v/>
      </c>
      <c r="O1395" s="80"/>
      <c r="P1395" s="80"/>
      <c r="Q1395" s="80"/>
      <c r="R1395" s="80"/>
    </row>
    <row r="1396" ht="18" customHeight="1" spans="1:18">
      <c r="A1396" s="87" t="str">
        <f t="shared" si="63"/>
        <v/>
      </c>
      <c r="B1396" s="78"/>
      <c r="C1396" s="80"/>
      <c r="D1396" s="80"/>
      <c r="E1396" s="79"/>
      <c r="F1396" s="87" t="str">
        <f>IF($E1396="","",IFERROR(INDEX(基础资料!$O$4:$O$34,MATCH($E1396,基础资料!$N$4:$N$34,0))&amp;"",""))</f>
        <v/>
      </c>
      <c r="G1396" s="87" t="str">
        <f>IF($E1396="","",IFERROR(INDEX(基础资料!$P$4:$P$34,MATCH($E1396,基础资料!$N$4:$N$34,0))&amp;"",""))</f>
        <v/>
      </c>
      <c r="H1396" s="79"/>
      <c r="I1396" s="88"/>
      <c r="J1396" s="92"/>
      <c r="K1396" s="93"/>
      <c r="L1396" s="25" t="str">
        <f t="shared" si="64"/>
        <v/>
      </c>
      <c r="M1396" s="94"/>
      <c r="N1396" s="26" t="str">
        <f t="shared" si="65"/>
        <v/>
      </c>
      <c r="O1396" s="80"/>
      <c r="P1396" s="80"/>
      <c r="Q1396" s="80"/>
      <c r="R1396" s="80"/>
    </row>
    <row r="1397" ht="18" customHeight="1" spans="1:18">
      <c r="A1397" s="87" t="str">
        <f t="shared" si="63"/>
        <v/>
      </c>
      <c r="B1397" s="78"/>
      <c r="C1397" s="80"/>
      <c r="D1397" s="80"/>
      <c r="E1397" s="79"/>
      <c r="F1397" s="87" t="str">
        <f>IF($E1397="","",IFERROR(INDEX(基础资料!$O$4:$O$34,MATCH($E1397,基础资料!$N$4:$N$34,0))&amp;"",""))</f>
        <v/>
      </c>
      <c r="G1397" s="87" t="str">
        <f>IF($E1397="","",IFERROR(INDEX(基础资料!$P$4:$P$34,MATCH($E1397,基础资料!$N$4:$N$34,0))&amp;"",""))</f>
        <v/>
      </c>
      <c r="H1397" s="79"/>
      <c r="I1397" s="88"/>
      <c r="J1397" s="92"/>
      <c r="K1397" s="93"/>
      <c r="L1397" s="25" t="str">
        <f t="shared" si="64"/>
        <v/>
      </c>
      <c r="M1397" s="94"/>
      <c r="N1397" s="26" t="str">
        <f t="shared" si="65"/>
        <v/>
      </c>
      <c r="O1397" s="80"/>
      <c r="P1397" s="80"/>
      <c r="Q1397" s="80"/>
      <c r="R1397" s="80"/>
    </row>
    <row r="1398" ht="18" customHeight="1" spans="1:18">
      <c r="A1398" s="87" t="str">
        <f t="shared" si="63"/>
        <v/>
      </c>
      <c r="B1398" s="78"/>
      <c r="C1398" s="80"/>
      <c r="D1398" s="80"/>
      <c r="E1398" s="79"/>
      <c r="F1398" s="87" t="str">
        <f>IF($E1398="","",IFERROR(INDEX(基础资料!$O$4:$O$34,MATCH($E1398,基础资料!$N$4:$N$34,0))&amp;"",""))</f>
        <v/>
      </c>
      <c r="G1398" s="87" t="str">
        <f>IF($E1398="","",IFERROR(INDEX(基础资料!$P$4:$P$34,MATCH($E1398,基础资料!$N$4:$N$34,0))&amp;"",""))</f>
        <v/>
      </c>
      <c r="H1398" s="79"/>
      <c r="I1398" s="88"/>
      <c r="J1398" s="92"/>
      <c r="K1398" s="93"/>
      <c r="L1398" s="25" t="str">
        <f t="shared" si="64"/>
        <v/>
      </c>
      <c r="M1398" s="94"/>
      <c r="N1398" s="26" t="str">
        <f t="shared" si="65"/>
        <v/>
      </c>
      <c r="O1398" s="80"/>
      <c r="P1398" s="80"/>
      <c r="Q1398" s="80"/>
      <c r="R1398" s="80"/>
    </row>
    <row r="1399" ht="18" customHeight="1" spans="1:18">
      <c r="A1399" s="87" t="str">
        <f t="shared" si="63"/>
        <v/>
      </c>
      <c r="B1399" s="78"/>
      <c r="C1399" s="80"/>
      <c r="D1399" s="80"/>
      <c r="E1399" s="79"/>
      <c r="F1399" s="87" t="str">
        <f>IF($E1399="","",IFERROR(INDEX(基础资料!$O$4:$O$34,MATCH($E1399,基础资料!$N$4:$N$34,0))&amp;"",""))</f>
        <v/>
      </c>
      <c r="G1399" s="87" t="str">
        <f>IF($E1399="","",IFERROR(INDEX(基础资料!$P$4:$P$34,MATCH($E1399,基础资料!$N$4:$N$34,0))&amp;"",""))</f>
        <v/>
      </c>
      <c r="H1399" s="79"/>
      <c r="I1399" s="88"/>
      <c r="J1399" s="92"/>
      <c r="K1399" s="93"/>
      <c r="L1399" s="25" t="str">
        <f t="shared" si="64"/>
        <v/>
      </c>
      <c r="M1399" s="94"/>
      <c r="N1399" s="26" t="str">
        <f t="shared" si="65"/>
        <v/>
      </c>
      <c r="O1399" s="80"/>
      <c r="P1399" s="80"/>
      <c r="Q1399" s="80"/>
      <c r="R1399" s="80"/>
    </row>
    <row r="1400" ht="18" customHeight="1" spans="1:18">
      <c r="A1400" s="87" t="str">
        <f t="shared" si="63"/>
        <v/>
      </c>
      <c r="B1400" s="78"/>
      <c r="C1400" s="80"/>
      <c r="D1400" s="80"/>
      <c r="E1400" s="79"/>
      <c r="F1400" s="87" t="str">
        <f>IF($E1400="","",IFERROR(INDEX(基础资料!$O$4:$O$34,MATCH($E1400,基础资料!$N$4:$N$34,0))&amp;"",""))</f>
        <v/>
      </c>
      <c r="G1400" s="87" t="str">
        <f>IF($E1400="","",IFERROR(INDEX(基础资料!$P$4:$P$34,MATCH($E1400,基础资料!$N$4:$N$34,0))&amp;"",""))</f>
        <v/>
      </c>
      <c r="H1400" s="79"/>
      <c r="I1400" s="88"/>
      <c r="J1400" s="92"/>
      <c r="K1400" s="93"/>
      <c r="L1400" s="25" t="str">
        <f t="shared" si="64"/>
        <v/>
      </c>
      <c r="M1400" s="94"/>
      <c r="N1400" s="26" t="str">
        <f t="shared" si="65"/>
        <v/>
      </c>
      <c r="O1400" s="80"/>
      <c r="P1400" s="80"/>
      <c r="Q1400" s="80"/>
      <c r="R1400" s="80"/>
    </row>
    <row r="1401" ht="18" customHeight="1" spans="1:18">
      <c r="A1401" s="87" t="str">
        <f t="shared" si="63"/>
        <v/>
      </c>
      <c r="B1401" s="78"/>
      <c r="C1401" s="80"/>
      <c r="D1401" s="80"/>
      <c r="E1401" s="79"/>
      <c r="F1401" s="87" t="str">
        <f>IF($E1401="","",IFERROR(INDEX(基础资料!$O$4:$O$34,MATCH($E1401,基础资料!$N$4:$N$34,0))&amp;"",""))</f>
        <v/>
      </c>
      <c r="G1401" s="87" t="str">
        <f>IF($E1401="","",IFERROR(INDEX(基础资料!$P$4:$P$34,MATCH($E1401,基础资料!$N$4:$N$34,0))&amp;"",""))</f>
        <v/>
      </c>
      <c r="H1401" s="79"/>
      <c r="I1401" s="88"/>
      <c r="J1401" s="92"/>
      <c r="K1401" s="93"/>
      <c r="L1401" s="25" t="str">
        <f t="shared" si="64"/>
        <v/>
      </c>
      <c r="M1401" s="94"/>
      <c r="N1401" s="26" t="str">
        <f t="shared" si="65"/>
        <v/>
      </c>
      <c r="O1401" s="80"/>
      <c r="P1401" s="80"/>
      <c r="Q1401" s="80"/>
      <c r="R1401" s="80"/>
    </row>
    <row r="1402" ht="18" customHeight="1" spans="1:18">
      <c r="A1402" s="87" t="str">
        <f t="shared" si="63"/>
        <v/>
      </c>
      <c r="B1402" s="78"/>
      <c r="C1402" s="80"/>
      <c r="D1402" s="80"/>
      <c r="E1402" s="79"/>
      <c r="F1402" s="87" t="str">
        <f>IF($E1402="","",IFERROR(INDEX(基础资料!$O$4:$O$34,MATCH($E1402,基础资料!$N$4:$N$34,0))&amp;"",""))</f>
        <v/>
      </c>
      <c r="G1402" s="87" t="str">
        <f>IF($E1402="","",IFERROR(INDEX(基础资料!$P$4:$P$34,MATCH($E1402,基础资料!$N$4:$N$34,0))&amp;"",""))</f>
        <v/>
      </c>
      <c r="H1402" s="79"/>
      <c r="I1402" s="88"/>
      <c r="J1402" s="92"/>
      <c r="K1402" s="93"/>
      <c r="L1402" s="25" t="str">
        <f t="shared" si="64"/>
        <v/>
      </c>
      <c r="M1402" s="94"/>
      <c r="N1402" s="26" t="str">
        <f t="shared" si="65"/>
        <v/>
      </c>
      <c r="O1402" s="80"/>
      <c r="P1402" s="80"/>
      <c r="Q1402" s="80"/>
      <c r="R1402" s="80"/>
    </row>
    <row r="1403" ht="18" customHeight="1" spans="1:18">
      <c r="A1403" s="87" t="str">
        <f t="shared" si="63"/>
        <v/>
      </c>
      <c r="B1403" s="78"/>
      <c r="C1403" s="80"/>
      <c r="D1403" s="80"/>
      <c r="E1403" s="79"/>
      <c r="F1403" s="87" t="str">
        <f>IF($E1403="","",IFERROR(INDEX(基础资料!$O$4:$O$34,MATCH($E1403,基础资料!$N$4:$N$34,0))&amp;"",""))</f>
        <v/>
      </c>
      <c r="G1403" s="87" t="str">
        <f>IF($E1403="","",IFERROR(INDEX(基础资料!$P$4:$P$34,MATCH($E1403,基础资料!$N$4:$N$34,0))&amp;"",""))</f>
        <v/>
      </c>
      <c r="H1403" s="79"/>
      <c r="I1403" s="88"/>
      <c r="J1403" s="92"/>
      <c r="K1403" s="93"/>
      <c r="L1403" s="25" t="str">
        <f t="shared" si="64"/>
        <v/>
      </c>
      <c r="M1403" s="94"/>
      <c r="N1403" s="26" t="str">
        <f t="shared" si="65"/>
        <v/>
      </c>
      <c r="O1403" s="80"/>
      <c r="P1403" s="80"/>
      <c r="Q1403" s="80"/>
      <c r="R1403" s="80"/>
    </row>
    <row r="1404" ht="18" customHeight="1" spans="1:18">
      <c r="A1404" s="87" t="str">
        <f t="shared" si="63"/>
        <v/>
      </c>
      <c r="B1404" s="78"/>
      <c r="C1404" s="80"/>
      <c r="D1404" s="80"/>
      <c r="E1404" s="79"/>
      <c r="F1404" s="87" t="str">
        <f>IF($E1404="","",IFERROR(INDEX(基础资料!$O$4:$O$34,MATCH($E1404,基础资料!$N$4:$N$34,0))&amp;"",""))</f>
        <v/>
      </c>
      <c r="G1404" s="87" t="str">
        <f>IF($E1404="","",IFERROR(INDEX(基础资料!$P$4:$P$34,MATCH($E1404,基础资料!$N$4:$N$34,0))&amp;"",""))</f>
        <v/>
      </c>
      <c r="H1404" s="79"/>
      <c r="I1404" s="88"/>
      <c r="J1404" s="92"/>
      <c r="K1404" s="93"/>
      <c r="L1404" s="25" t="str">
        <f t="shared" si="64"/>
        <v/>
      </c>
      <c r="M1404" s="94"/>
      <c r="N1404" s="26" t="str">
        <f t="shared" si="65"/>
        <v/>
      </c>
      <c r="O1404" s="80"/>
      <c r="P1404" s="80"/>
      <c r="Q1404" s="80"/>
      <c r="R1404" s="80"/>
    </row>
    <row r="1405" ht="18" customHeight="1" spans="1:18">
      <c r="A1405" s="87" t="str">
        <f t="shared" si="63"/>
        <v/>
      </c>
      <c r="B1405" s="78"/>
      <c r="C1405" s="80"/>
      <c r="D1405" s="80"/>
      <c r="E1405" s="79"/>
      <c r="F1405" s="87" t="str">
        <f>IF($E1405="","",IFERROR(INDEX(基础资料!$O$4:$O$34,MATCH($E1405,基础资料!$N$4:$N$34,0))&amp;"",""))</f>
        <v/>
      </c>
      <c r="G1405" s="87" t="str">
        <f>IF($E1405="","",IFERROR(INDEX(基础资料!$P$4:$P$34,MATCH($E1405,基础资料!$N$4:$N$34,0))&amp;"",""))</f>
        <v/>
      </c>
      <c r="H1405" s="79"/>
      <c r="I1405" s="88"/>
      <c r="J1405" s="92"/>
      <c r="K1405" s="93"/>
      <c r="L1405" s="25" t="str">
        <f t="shared" si="64"/>
        <v/>
      </c>
      <c r="M1405" s="94"/>
      <c r="N1405" s="26" t="str">
        <f t="shared" si="65"/>
        <v/>
      </c>
      <c r="O1405" s="80"/>
      <c r="P1405" s="80"/>
      <c r="Q1405" s="80"/>
      <c r="R1405" s="80"/>
    </row>
    <row r="1406" ht="18" customHeight="1" spans="1:18">
      <c r="A1406" s="87" t="str">
        <f t="shared" si="63"/>
        <v/>
      </c>
      <c r="B1406" s="78"/>
      <c r="C1406" s="80"/>
      <c r="D1406" s="80"/>
      <c r="E1406" s="79"/>
      <c r="F1406" s="87" t="str">
        <f>IF($E1406="","",IFERROR(INDEX(基础资料!$O$4:$O$34,MATCH($E1406,基础资料!$N$4:$N$34,0))&amp;"",""))</f>
        <v/>
      </c>
      <c r="G1406" s="87" t="str">
        <f>IF($E1406="","",IFERROR(INDEX(基础资料!$P$4:$P$34,MATCH($E1406,基础资料!$N$4:$N$34,0))&amp;"",""))</f>
        <v/>
      </c>
      <c r="H1406" s="79"/>
      <c r="I1406" s="88"/>
      <c r="J1406" s="92"/>
      <c r="K1406" s="93"/>
      <c r="L1406" s="25" t="str">
        <f t="shared" si="64"/>
        <v/>
      </c>
      <c r="M1406" s="94"/>
      <c r="N1406" s="26" t="str">
        <f t="shared" si="65"/>
        <v/>
      </c>
      <c r="O1406" s="80"/>
      <c r="P1406" s="80"/>
      <c r="Q1406" s="80"/>
      <c r="R1406" s="80"/>
    </row>
    <row r="1407" ht="18" customHeight="1" spans="1:18">
      <c r="A1407" s="87" t="str">
        <f t="shared" si="63"/>
        <v/>
      </c>
      <c r="B1407" s="78"/>
      <c r="C1407" s="80"/>
      <c r="D1407" s="80"/>
      <c r="E1407" s="79"/>
      <c r="F1407" s="87" t="str">
        <f>IF($E1407="","",IFERROR(INDEX(基础资料!$O$4:$O$34,MATCH($E1407,基础资料!$N$4:$N$34,0))&amp;"",""))</f>
        <v/>
      </c>
      <c r="G1407" s="87" t="str">
        <f>IF($E1407="","",IFERROR(INDEX(基础资料!$P$4:$P$34,MATCH($E1407,基础资料!$N$4:$N$34,0))&amp;"",""))</f>
        <v/>
      </c>
      <c r="H1407" s="79"/>
      <c r="I1407" s="88"/>
      <c r="J1407" s="92"/>
      <c r="K1407" s="93"/>
      <c r="L1407" s="25" t="str">
        <f t="shared" si="64"/>
        <v/>
      </c>
      <c r="M1407" s="94"/>
      <c r="N1407" s="26" t="str">
        <f t="shared" si="65"/>
        <v/>
      </c>
      <c r="O1407" s="80"/>
      <c r="P1407" s="80"/>
      <c r="Q1407" s="80"/>
      <c r="R1407" s="80"/>
    </row>
    <row r="1408" ht="18" customHeight="1" spans="1:18">
      <c r="A1408" s="87" t="str">
        <f t="shared" si="63"/>
        <v/>
      </c>
      <c r="B1408" s="78"/>
      <c r="C1408" s="80"/>
      <c r="D1408" s="80"/>
      <c r="E1408" s="79"/>
      <c r="F1408" s="87" t="str">
        <f>IF($E1408="","",IFERROR(INDEX(基础资料!$O$4:$O$34,MATCH($E1408,基础资料!$N$4:$N$34,0))&amp;"",""))</f>
        <v/>
      </c>
      <c r="G1408" s="87" t="str">
        <f>IF($E1408="","",IFERROR(INDEX(基础资料!$P$4:$P$34,MATCH($E1408,基础资料!$N$4:$N$34,0))&amp;"",""))</f>
        <v/>
      </c>
      <c r="H1408" s="79"/>
      <c r="I1408" s="88"/>
      <c r="J1408" s="92"/>
      <c r="K1408" s="93"/>
      <c r="L1408" s="25" t="str">
        <f t="shared" si="64"/>
        <v/>
      </c>
      <c r="M1408" s="94"/>
      <c r="N1408" s="26" t="str">
        <f t="shared" si="65"/>
        <v/>
      </c>
      <c r="O1408" s="80"/>
      <c r="P1408" s="80"/>
      <c r="Q1408" s="80"/>
      <c r="R1408" s="80"/>
    </row>
    <row r="1409" ht="18" customHeight="1" spans="1:18">
      <c r="A1409" s="87" t="str">
        <f t="shared" si="63"/>
        <v/>
      </c>
      <c r="B1409" s="78"/>
      <c r="C1409" s="80"/>
      <c r="D1409" s="80"/>
      <c r="E1409" s="79"/>
      <c r="F1409" s="87" t="str">
        <f>IF($E1409="","",IFERROR(INDEX(基础资料!$O$4:$O$34,MATCH($E1409,基础资料!$N$4:$N$34,0))&amp;"",""))</f>
        <v/>
      </c>
      <c r="G1409" s="87" t="str">
        <f>IF($E1409="","",IFERROR(INDEX(基础资料!$P$4:$P$34,MATCH($E1409,基础资料!$N$4:$N$34,0))&amp;"",""))</f>
        <v/>
      </c>
      <c r="H1409" s="79"/>
      <c r="I1409" s="88"/>
      <c r="J1409" s="92"/>
      <c r="K1409" s="93"/>
      <c r="L1409" s="25" t="str">
        <f t="shared" si="64"/>
        <v/>
      </c>
      <c r="M1409" s="94"/>
      <c r="N1409" s="26" t="str">
        <f t="shared" si="65"/>
        <v/>
      </c>
      <c r="O1409" s="80"/>
      <c r="P1409" s="80"/>
      <c r="Q1409" s="80"/>
      <c r="R1409" s="80"/>
    </row>
    <row r="1410" ht="18" customHeight="1" spans="1:18">
      <c r="A1410" s="87" t="str">
        <f t="shared" si="63"/>
        <v/>
      </c>
      <c r="B1410" s="78"/>
      <c r="C1410" s="80"/>
      <c r="D1410" s="80"/>
      <c r="E1410" s="79"/>
      <c r="F1410" s="87" t="str">
        <f>IF($E1410="","",IFERROR(INDEX(基础资料!$O$4:$O$34,MATCH($E1410,基础资料!$N$4:$N$34,0))&amp;"",""))</f>
        <v/>
      </c>
      <c r="G1410" s="87" t="str">
        <f>IF($E1410="","",IFERROR(INDEX(基础资料!$P$4:$P$34,MATCH($E1410,基础资料!$N$4:$N$34,0))&amp;"",""))</f>
        <v/>
      </c>
      <c r="H1410" s="79"/>
      <c r="I1410" s="88"/>
      <c r="J1410" s="92"/>
      <c r="K1410" s="93"/>
      <c r="L1410" s="25" t="str">
        <f t="shared" si="64"/>
        <v/>
      </c>
      <c r="M1410" s="94"/>
      <c r="N1410" s="26" t="str">
        <f t="shared" si="65"/>
        <v/>
      </c>
      <c r="O1410" s="80"/>
      <c r="P1410" s="80"/>
      <c r="Q1410" s="80"/>
      <c r="R1410" s="80"/>
    </row>
    <row r="1411" ht="18" customHeight="1" spans="1:18">
      <c r="A1411" s="87" t="str">
        <f t="shared" si="63"/>
        <v/>
      </c>
      <c r="B1411" s="78"/>
      <c r="C1411" s="80"/>
      <c r="D1411" s="80"/>
      <c r="E1411" s="79"/>
      <c r="F1411" s="87" t="str">
        <f>IF($E1411="","",IFERROR(INDEX(基础资料!$O$4:$O$34,MATCH($E1411,基础资料!$N$4:$N$34,0))&amp;"",""))</f>
        <v/>
      </c>
      <c r="G1411" s="87" t="str">
        <f>IF($E1411="","",IFERROR(INDEX(基础资料!$P$4:$P$34,MATCH($E1411,基础资料!$N$4:$N$34,0))&amp;"",""))</f>
        <v/>
      </c>
      <c r="H1411" s="79"/>
      <c r="I1411" s="88"/>
      <c r="J1411" s="92"/>
      <c r="K1411" s="93"/>
      <c r="L1411" s="25" t="str">
        <f t="shared" si="64"/>
        <v/>
      </c>
      <c r="M1411" s="94"/>
      <c r="N1411" s="26" t="str">
        <f t="shared" si="65"/>
        <v/>
      </c>
      <c r="O1411" s="80"/>
      <c r="P1411" s="80"/>
      <c r="Q1411" s="80"/>
      <c r="R1411" s="80"/>
    </row>
    <row r="1412" ht="18" customHeight="1" spans="1:18">
      <c r="A1412" s="87" t="str">
        <f t="shared" ref="A1412:A1475" si="66">IF($E1412="","",ROW()-3)</f>
        <v/>
      </c>
      <c r="B1412" s="78"/>
      <c r="C1412" s="80"/>
      <c r="D1412" s="80"/>
      <c r="E1412" s="79"/>
      <c r="F1412" s="87" t="str">
        <f>IF($E1412="","",IFERROR(INDEX(基础资料!$O$4:$O$34,MATCH($E1412,基础资料!$N$4:$N$34,0))&amp;"",""))</f>
        <v/>
      </c>
      <c r="G1412" s="87" t="str">
        <f>IF($E1412="","",IFERROR(INDEX(基础资料!$P$4:$P$34,MATCH($E1412,基础资料!$N$4:$N$34,0))&amp;"",""))</f>
        <v/>
      </c>
      <c r="H1412" s="79"/>
      <c r="I1412" s="88"/>
      <c r="J1412" s="92"/>
      <c r="K1412" s="93"/>
      <c r="L1412" s="25" t="str">
        <f t="shared" ref="L1412:L1475" si="67">IF($E1412="","",N($I1412)+N($J1412)-N($K1412))</f>
        <v/>
      </c>
      <c r="M1412" s="94"/>
      <c r="N1412" s="26" t="str">
        <f t="shared" ref="N1412:N1475" si="68">IF($E1412="","",ROUND(N($L1412)*N($M1412),2))</f>
        <v/>
      </c>
      <c r="O1412" s="80"/>
      <c r="P1412" s="80"/>
      <c r="Q1412" s="80"/>
      <c r="R1412" s="80"/>
    </row>
    <row r="1413" ht="18" customHeight="1" spans="1:18">
      <c r="A1413" s="87" t="str">
        <f t="shared" si="66"/>
        <v/>
      </c>
      <c r="B1413" s="78"/>
      <c r="C1413" s="80"/>
      <c r="D1413" s="80"/>
      <c r="E1413" s="79"/>
      <c r="F1413" s="87" t="str">
        <f>IF($E1413="","",IFERROR(INDEX(基础资料!$O$4:$O$34,MATCH($E1413,基础资料!$N$4:$N$34,0))&amp;"",""))</f>
        <v/>
      </c>
      <c r="G1413" s="87" t="str">
        <f>IF($E1413="","",IFERROR(INDEX(基础资料!$P$4:$P$34,MATCH($E1413,基础资料!$N$4:$N$34,0))&amp;"",""))</f>
        <v/>
      </c>
      <c r="H1413" s="79"/>
      <c r="I1413" s="88"/>
      <c r="J1413" s="92"/>
      <c r="K1413" s="93"/>
      <c r="L1413" s="25" t="str">
        <f t="shared" si="67"/>
        <v/>
      </c>
      <c r="M1413" s="94"/>
      <c r="N1413" s="26" t="str">
        <f t="shared" si="68"/>
        <v/>
      </c>
      <c r="O1413" s="80"/>
      <c r="P1413" s="80"/>
      <c r="Q1413" s="80"/>
      <c r="R1413" s="80"/>
    </row>
    <row r="1414" ht="18" customHeight="1" spans="1:18">
      <c r="A1414" s="87" t="str">
        <f t="shared" si="66"/>
        <v/>
      </c>
      <c r="B1414" s="78"/>
      <c r="C1414" s="80"/>
      <c r="D1414" s="80"/>
      <c r="E1414" s="79"/>
      <c r="F1414" s="87" t="str">
        <f>IF($E1414="","",IFERROR(INDEX(基础资料!$O$4:$O$34,MATCH($E1414,基础资料!$N$4:$N$34,0))&amp;"",""))</f>
        <v/>
      </c>
      <c r="G1414" s="87" t="str">
        <f>IF($E1414="","",IFERROR(INDEX(基础资料!$P$4:$P$34,MATCH($E1414,基础资料!$N$4:$N$34,0))&amp;"",""))</f>
        <v/>
      </c>
      <c r="H1414" s="79"/>
      <c r="I1414" s="88"/>
      <c r="J1414" s="92"/>
      <c r="K1414" s="93"/>
      <c r="L1414" s="25" t="str">
        <f t="shared" si="67"/>
        <v/>
      </c>
      <c r="M1414" s="94"/>
      <c r="N1414" s="26" t="str">
        <f t="shared" si="68"/>
        <v/>
      </c>
      <c r="O1414" s="80"/>
      <c r="P1414" s="80"/>
      <c r="Q1414" s="80"/>
      <c r="R1414" s="80"/>
    </row>
    <row r="1415" ht="18" customHeight="1" spans="1:18">
      <c r="A1415" s="87" t="str">
        <f t="shared" si="66"/>
        <v/>
      </c>
      <c r="B1415" s="78"/>
      <c r="C1415" s="80"/>
      <c r="D1415" s="80"/>
      <c r="E1415" s="79"/>
      <c r="F1415" s="87" t="str">
        <f>IF($E1415="","",IFERROR(INDEX(基础资料!$O$4:$O$34,MATCH($E1415,基础资料!$N$4:$N$34,0))&amp;"",""))</f>
        <v/>
      </c>
      <c r="G1415" s="87" t="str">
        <f>IF($E1415="","",IFERROR(INDEX(基础资料!$P$4:$P$34,MATCH($E1415,基础资料!$N$4:$N$34,0))&amp;"",""))</f>
        <v/>
      </c>
      <c r="H1415" s="79"/>
      <c r="I1415" s="88"/>
      <c r="J1415" s="92"/>
      <c r="K1415" s="93"/>
      <c r="L1415" s="25" t="str">
        <f t="shared" si="67"/>
        <v/>
      </c>
      <c r="M1415" s="94"/>
      <c r="N1415" s="26" t="str">
        <f t="shared" si="68"/>
        <v/>
      </c>
      <c r="O1415" s="80"/>
      <c r="P1415" s="80"/>
      <c r="Q1415" s="80"/>
      <c r="R1415" s="80"/>
    </row>
    <row r="1416" ht="18" customHeight="1" spans="1:18">
      <c r="A1416" s="87" t="str">
        <f t="shared" si="66"/>
        <v/>
      </c>
      <c r="B1416" s="78"/>
      <c r="C1416" s="80"/>
      <c r="D1416" s="80"/>
      <c r="E1416" s="79"/>
      <c r="F1416" s="87" t="str">
        <f>IF($E1416="","",IFERROR(INDEX(基础资料!$O$4:$O$34,MATCH($E1416,基础资料!$N$4:$N$34,0))&amp;"",""))</f>
        <v/>
      </c>
      <c r="G1416" s="87" t="str">
        <f>IF($E1416="","",IFERROR(INDEX(基础资料!$P$4:$P$34,MATCH($E1416,基础资料!$N$4:$N$34,0))&amp;"",""))</f>
        <v/>
      </c>
      <c r="H1416" s="79"/>
      <c r="I1416" s="88"/>
      <c r="J1416" s="92"/>
      <c r="K1416" s="93"/>
      <c r="L1416" s="25" t="str">
        <f t="shared" si="67"/>
        <v/>
      </c>
      <c r="M1416" s="94"/>
      <c r="N1416" s="26" t="str">
        <f t="shared" si="68"/>
        <v/>
      </c>
      <c r="O1416" s="80"/>
      <c r="P1416" s="80"/>
      <c r="Q1416" s="80"/>
      <c r="R1416" s="80"/>
    </row>
    <row r="1417" ht="18" customHeight="1" spans="1:18">
      <c r="A1417" s="87" t="str">
        <f t="shared" si="66"/>
        <v/>
      </c>
      <c r="B1417" s="78"/>
      <c r="C1417" s="80"/>
      <c r="D1417" s="80"/>
      <c r="E1417" s="79"/>
      <c r="F1417" s="87" t="str">
        <f>IF($E1417="","",IFERROR(INDEX(基础资料!$O$4:$O$34,MATCH($E1417,基础资料!$N$4:$N$34,0))&amp;"",""))</f>
        <v/>
      </c>
      <c r="G1417" s="87" t="str">
        <f>IF($E1417="","",IFERROR(INDEX(基础资料!$P$4:$P$34,MATCH($E1417,基础资料!$N$4:$N$34,0))&amp;"",""))</f>
        <v/>
      </c>
      <c r="H1417" s="79"/>
      <c r="I1417" s="88"/>
      <c r="J1417" s="92"/>
      <c r="K1417" s="93"/>
      <c r="L1417" s="25" t="str">
        <f t="shared" si="67"/>
        <v/>
      </c>
      <c r="M1417" s="94"/>
      <c r="N1417" s="26" t="str">
        <f t="shared" si="68"/>
        <v/>
      </c>
      <c r="O1417" s="80"/>
      <c r="P1417" s="80"/>
      <c r="Q1417" s="80"/>
      <c r="R1417" s="80"/>
    </row>
    <row r="1418" ht="18" customHeight="1" spans="1:18">
      <c r="A1418" s="87" t="str">
        <f t="shared" si="66"/>
        <v/>
      </c>
      <c r="B1418" s="78"/>
      <c r="C1418" s="80"/>
      <c r="D1418" s="80"/>
      <c r="E1418" s="79"/>
      <c r="F1418" s="87" t="str">
        <f>IF($E1418="","",IFERROR(INDEX(基础资料!$O$4:$O$34,MATCH($E1418,基础资料!$N$4:$N$34,0))&amp;"",""))</f>
        <v/>
      </c>
      <c r="G1418" s="87" t="str">
        <f>IF($E1418="","",IFERROR(INDEX(基础资料!$P$4:$P$34,MATCH($E1418,基础资料!$N$4:$N$34,0))&amp;"",""))</f>
        <v/>
      </c>
      <c r="H1418" s="79"/>
      <c r="I1418" s="88"/>
      <c r="J1418" s="92"/>
      <c r="K1418" s="93"/>
      <c r="L1418" s="25" t="str">
        <f t="shared" si="67"/>
        <v/>
      </c>
      <c r="M1418" s="94"/>
      <c r="N1418" s="26" t="str">
        <f t="shared" si="68"/>
        <v/>
      </c>
      <c r="O1418" s="80"/>
      <c r="P1418" s="80"/>
      <c r="Q1418" s="80"/>
      <c r="R1418" s="80"/>
    </row>
    <row r="1419" ht="18" customHeight="1" spans="1:18">
      <c r="A1419" s="87" t="str">
        <f t="shared" si="66"/>
        <v/>
      </c>
      <c r="B1419" s="78"/>
      <c r="C1419" s="80"/>
      <c r="D1419" s="80"/>
      <c r="E1419" s="79"/>
      <c r="F1419" s="87" t="str">
        <f>IF($E1419="","",IFERROR(INDEX(基础资料!$O$4:$O$34,MATCH($E1419,基础资料!$N$4:$N$34,0))&amp;"",""))</f>
        <v/>
      </c>
      <c r="G1419" s="87" t="str">
        <f>IF($E1419="","",IFERROR(INDEX(基础资料!$P$4:$P$34,MATCH($E1419,基础资料!$N$4:$N$34,0))&amp;"",""))</f>
        <v/>
      </c>
      <c r="H1419" s="79"/>
      <c r="I1419" s="88"/>
      <c r="J1419" s="92"/>
      <c r="K1419" s="93"/>
      <c r="L1419" s="25" t="str">
        <f t="shared" si="67"/>
        <v/>
      </c>
      <c r="M1419" s="94"/>
      <c r="N1419" s="26" t="str">
        <f t="shared" si="68"/>
        <v/>
      </c>
      <c r="O1419" s="80"/>
      <c r="P1419" s="80"/>
      <c r="Q1419" s="80"/>
      <c r="R1419" s="80"/>
    </row>
    <row r="1420" ht="18" customHeight="1" spans="1:18">
      <c r="A1420" s="87" t="str">
        <f t="shared" si="66"/>
        <v/>
      </c>
      <c r="B1420" s="78"/>
      <c r="C1420" s="80"/>
      <c r="D1420" s="80"/>
      <c r="E1420" s="79"/>
      <c r="F1420" s="87" t="str">
        <f>IF($E1420="","",IFERROR(INDEX(基础资料!$O$4:$O$34,MATCH($E1420,基础资料!$N$4:$N$34,0))&amp;"",""))</f>
        <v/>
      </c>
      <c r="G1420" s="87" t="str">
        <f>IF($E1420="","",IFERROR(INDEX(基础资料!$P$4:$P$34,MATCH($E1420,基础资料!$N$4:$N$34,0))&amp;"",""))</f>
        <v/>
      </c>
      <c r="H1420" s="79"/>
      <c r="I1420" s="88"/>
      <c r="J1420" s="92"/>
      <c r="K1420" s="93"/>
      <c r="L1420" s="25" t="str">
        <f t="shared" si="67"/>
        <v/>
      </c>
      <c r="M1420" s="94"/>
      <c r="N1420" s="26" t="str">
        <f t="shared" si="68"/>
        <v/>
      </c>
      <c r="O1420" s="80"/>
      <c r="P1420" s="80"/>
      <c r="Q1420" s="80"/>
      <c r="R1420" s="80"/>
    </row>
    <row r="1421" ht="18" customHeight="1" spans="1:18">
      <c r="A1421" s="87" t="str">
        <f t="shared" si="66"/>
        <v/>
      </c>
      <c r="B1421" s="78"/>
      <c r="C1421" s="80"/>
      <c r="D1421" s="80"/>
      <c r="E1421" s="79"/>
      <c r="F1421" s="87" t="str">
        <f>IF($E1421="","",IFERROR(INDEX(基础资料!$O$4:$O$34,MATCH($E1421,基础资料!$N$4:$N$34,0))&amp;"",""))</f>
        <v/>
      </c>
      <c r="G1421" s="87" t="str">
        <f>IF($E1421="","",IFERROR(INDEX(基础资料!$P$4:$P$34,MATCH($E1421,基础资料!$N$4:$N$34,0))&amp;"",""))</f>
        <v/>
      </c>
      <c r="H1421" s="79"/>
      <c r="I1421" s="88"/>
      <c r="J1421" s="92"/>
      <c r="K1421" s="93"/>
      <c r="L1421" s="25" t="str">
        <f t="shared" si="67"/>
        <v/>
      </c>
      <c r="M1421" s="94"/>
      <c r="N1421" s="26" t="str">
        <f t="shared" si="68"/>
        <v/>
      </c>
      <c r="O1421" s="80"/>
      <c r="P1421" s="80"/>
      <c r="Q1421" s="80"/>
      <c r="R1421" s="80"/>
    </row>
    <row r="1422" ht="18" customHeight="1" spans="1:18">
      <c r="A1422" s="87" t="str">
        <f t="shared" si="66"/>
        <v/>
      </c>
      <c r="B1422" s="78"/>
      <c r="C1422" s="80"/>
      <c r="D1422" s="80"/>
      <c r="E1422" s="79"/>
      <c r="F1422" s="87" t="str">
        <f>IF($E1422="","",IFERROR(INDEX(基础资料!$O$4:$O$34,MATCH($E1422,基础资料!$N$4:$N$34,0))&amp;"",""))</f>
        <v/>
      </c>
      <c r="G1422" s="87" t="str">
        <f>IF($E1422="","",IFERROR(INDEX(基础资料!$P$4:$P$34,MATCH($E1422,基础资料!$N$4:$N$34,0))&amp;"",""))</f>
        <v/>
      </c>
      <c r="H1422" s="79"/>
      <c r="I1422" s="88"/>
      <c r="J1422" s="92"/>
      <c r="K1422" s="93"/>
      <c r="L1422" s="25" t="str">
        <f t="shared" si="67"/>
        <v/>
      </c>
      <c r="M1422" s="94"/>
      <c r="N1422" s="26" t="str">
        <f t="shared" si="68"/>
        <v/>
      </c>
      <c r="O1422" s="80"/>
      <c r="P1422" s="80"/>
      <c r="Q1422" s="80"/>
      <c r="R1422" s="80"/>
    </row>
    <row r="1423" ht="18" customHeight="1" spans="1:18">
      <c r="A1423" s="87" t="str">
        <f t="shared" si="66"/>
        <v/>
      </c>
      <c r="B1423" s="78"/>
      <c r="C1423" s="80"/>
      <c r="D1423" s="80"/>
      <c r="E1423" s="79"/>
      <c r="F1423" s="87" t="str">
        <f>IF($E1423="","",IFERROR(INDEX(基础资料!$O$4:$O$34,MATCH($E1423,基础资料!$N$4:$N$34,0))&amp;"",""))</f>
        <v/>
      </c>
      <c r="G1423" s="87" t="str">
        <f>IF($E1423="","",IFERROR(INDEX(基础资料!$P$4:$P$34,MATCH($E1423,基础资料!$N$4:$N$34,0))&amp;"",""))</f>
        <v/>
      </c>
      <c r="H1423" s="79"/>
      <c r="I1423" s="88"/>
      <c r="J1423" s="92"/>
      <c r="K1423" s="93"/>
      <c r="L1423" s="25" t="str">
        <f t="shared" si="67"/>
        <v/>
      </c>
      <c r="M1423" s="94"/>
      <c r="N1423" s="26" t="str">
        <f t="shared" si="68"/>
        <v/>
      </c>
      <c r="O1423" s="80"/>
      <c r="P1423" s="80"/>
      <c r="Q1423" s="80"/>
      <c r="R1423" s="80"/>
    </row>
    <row r="1424" ht="18" customHeight="1" spans="1:18">
      <c r="A1424" s="87" t="str">
        <f t="shared" si="66"/>
        <v/>
      </c>
      <c r="B1424" s="78"/>
      <c r="C1424" s="80"/>
      <c r="D1424" s="80"/>
      <c r="E1424" s="79"/>
      <c r="F1424" s="87" t="str">
        <f>IF($E1424="","",IFERROR(INDEX(基础资料!$O$4:$O$34,MATCH($E1424,基础资料!$N$4:$N$34,0))&amp;"",""))</f>
        <v/>
      </c>
      <c r="G1424" s="87" t="str">
        <f>IF($E1424="","",IFERROR(INDEX(基础资料!$P$4:$P$34,MATCH($E1424,基础资料!$N$4:$N$34,0))&amp;"",""))</f>
        <v/>
      </c>
      <c r="H1424" s="79"/>
      <c r="I1424" s="88"/>
      <c r="J1424" s="92"/>
      <c r="K1424" s="93"/>
      <c r="L1424" s="25" t="str">
        <f t="shared" si="67"/>
        <v/>
      </c>
      <c r="M1424" s="94"/>
      <c r="N1424" s="26" t="str">
        <f t="shared" si="68"/>
        <v/>
      </c>
      <c r="O1424" s="80"/>
      <c r="P1424" s="80"/>
      <c r="Q1424" s="80"/>
      <c r="R1424" s="80"/>
    </row>
    <row r="1425" ht="18" customHeight="1" spans="1:18">
      <c r="A1425" s="87" t="str">
        <f t="shared" si="66"/>
        <v/>
      </c>
      <c r="B1425" s="78"/>
      <c r="C1425" s="80"/>
      <c r="D1425" s="80"/>
      <c r="E1425" s="79"/>
      <c r="F1425" s="87" t="str">
        <f>IF($E1425="","",IFERROR(INDEX(基础资料!$O$4:$O$34,MATCH($E1425,基础资料!$N$4:$N$34,0))&amp;"",""))</f>
        <v/>
      </c>
      <c r="G1425" s="87" t="str">
        <f>IF($E1425="","",IFERROR(INDEX(基础资料!$P$4:$P$34,MATCH($E1425,基础资料!$N$4:$N$34,0))&amp;"",""))</f>
        <v/>
      </c>
      <c r="H1425" s="79"/>
      <c r="I1425" s="88"/>
      <c r="J1425" s="92"/>
      <c r="K1425" s="93"/>
      <c r="L1425" s="25" t="str">
        <f t="shared" si="67"/>
        <v/>
      </c>
      <c r="M1425" s="94"/>
      <c r="N1425" s="26" t="str">
        <f t="shared" si="68"/>
        <v/>
      </c>
      <c r="O1425" s="80"/>
      <c r="P1425" s="80"/>
      <c r="Q1425" s="80"/>
      <c r="R1425" s="80"/>
    </row>
    <row r="1426" ht="18" customHeight="1" spans="1:18">
      <c r="A1426" s="87" t="str">
        <f t="shared" si="66"/>
        <v/>
      </c>
      <c r="B1426" s="78"/>
      <c r="C1426" s="80"/>
      <c r="D1426" s="80"/>
      <c r="E1426" s="79"/>
      <c r="F1426" s="87" t="str">
        <f>IF($E1426="","",IFERROR(INDEX(基础资料!$O$4:$O$34,MATCH($E1426,基础资料!$N$4:$N$34,0))&amp;"",""))</f>
        <v/>
      </c>
      <c r="G1426" s="87" t="str">
        <f>IF($E1426="","",IFERROR(INDEX(基础资料!$P$4:$P$34,MATCH($E1426,基础资料!$N$4:$N$34,0))&amp;"",""))</f>
        <v/>
      </c>
      <c r="H1426" s="79"/>
      <c r="I1426" s="88"/>
      <c r="J1426" s="92"/>
      <c r="K1426" s="93"/>
      <c r="L1426" s="25" t="str">
        <f t="shared" si="67"/>
        <v/>
      </c>
      <c r="M1426" s="94"/>
      <c r="N1426" s="26" t="str">
        <f t="shared" si="68"/>
        <v/>
      </c>
      <c r="O1426" s="80"/>
      <c r="P1426" s="80"/>
      <c r="Q1426" s="80"/>
      <c r="R1426" s="80"/>
    </row>
    <row r="1427" ht="18" customHeight="1" spans="1:18">
      <c r="A1427" s="87" t="str">
        <f t="shared" si="66"/>
        <v/>
      </c>
      <c r="B1427" s="78"/>
      <c r="C1427" s="80"/>
      <c r="D1427" s="80"/>
      <c r="E1427" s="79"/>
      <c r="F1427" s="87" t="str">
        <f>IF($E1427="","",IFERROR(INDEX(基础资料!$O$4:$O$34,MATCH($E1427,基础资料!$N$4:$N$34,0))&amp;"",""))</f>
        <v/>
      </c>
      <c r="G1427" s="87" t="str">
        <f>IF($E1427="","",IFERROR(INDEX(基础资料!$P$4:$P$34,MATCH($E1427,基础资料!$N$4:$N$34,0))&amp;"",""))</f>
        <v/>
      </c>
      <c r="H1427" s="79"/>
      <c r="I1427" s="88"/>
      <c r="J1427" s="92"/>
      <c r="K1427" s="93"/>
      <c r="L1427" s="25" t="str">
        <f t="shared" si="67"/>
        <v/>
      </c>
      <c r="M1427" s="94"/>
      <c r="N1427" s="26" t="str">
        <f t="shared" si="68"/>
        <v/>
      </c>
      <c r="O1427" s="80"/>
      <c r="P1427" s="80"/>
      <c r="Q1427" s="80"/>
      <c r="R1427" s="80"/>
    </row>
    <row r="1428" ht="18" customHeight="1" spans="1:18">
      <c r="A1428" s="87" t="str">
        <f t="shared" si="66"/>
        <v/>
      </c>
      <c r="B1428" s="78"/>
      <c r="C1428" s="80"/>
      <c r="D1428" s="80"/>
      <c r="E1428" s="79"/>
      <c r="F1428" s="87" t="str">
        <f>IF($E1428="","",IFERROR(INDEX(基础资料!$O$4:$O$34,MATCH($E1428,基础资料!$N$4:$N$34,0))&amp;"",""))</f>
        <v/>
      </c>
      <c r="G1428" s="87" t="str">
        <f>IF($E1428="","",IFERROR(INDEX(基础资料!$P$4:$P$34,MATCH($E1428,基础资料!$N$4:$N$34,0))&amp;"",""))</f>
        <v/>
      </c>
      <c r="H1428" s="79"/>
      <c r="I1428" s="88"/>
      <c r="J1428" s="92"/>
      <c r="K1428" s="93"/>
      <c r="L1428" s="25" t="str">
        <f t="shared" si="67"/>
        <v/>
      </c>
      <c r="M1428" s="94"/>
      <c r="N1428" s="26" t="str">
        <f t="shared" si="68"/>
        <v/>
      </c>
      <c r="O1428" s="80"/>
      <c r="P1428" s="80"/>
      <c r="Q1428" s="80"/>
      <c r="R1428" s="80"/>
    </row>
    <row r="1429" ht="18" customHeight="1" spans="1:18">
      <c r="A1429" s="87" t="str">
        <f t="shared" si="66"/>
        <v/>
      </c>
      <c r="B1429" s="78"/>
      <c r="C1429" s="80"/>
      <c r="D1429" s="80"/>
      <c r="E1429" s="79"/>
      <c r="F1429" s="87" t="str">
        <f>IF($E1429="","",IFERROR(INDEX(基础资料!$O$4:$O$34,MATCH($E1429,基础资料!$N$4:$N$34,0))&amp;"",""))</f>
        <v/>
      </c>
      <c r="G1429" s="87" t="str">
        <f>IF($E1429="","",IFERROR(INDEX(基础资料!$P$4:$P$34,MATCH($E1429,基础资料!$N$4:$N$34,0))&amp;"",""))</f>
        <v/>
      </c>
      <c r="H1429" s="79"/>
      <c r="I1429" s="88"/>
      <c r="J1429" s="92"/>
      <c r="K1429" s="93"/>
      <c r="L1429" s="25" t="str">
        <f t="shared" si="67"/>
        <v/>
      </c>
      <c r="M1429" s="94"/>
      <c r="N1429" s="26" t="str">
        <f t="shared" si="68"/>
        <v/>
      </c>
      <c r="O1429" s="80"/>
      <c r="P1429" s="80"/>
      <c r="Q1429" s="80"/>
      <c r="R1429" s="80"/>
    </row>
    <row r="1430" ht="18" customHeight="1" spans="1:18">
      <c r="A1430" s="87" t="str">
        <f t="shared" si="66"/>
        <v/>
      </c>
      <c r="B1430" s="78"/>
      <c r="C1430" s="80"/>
      <c r="D1430" s="80"/>
      <c r="E1430" s="79"/>
      <c r="F1430" s="87" t="str">
        <f>IF($E1430="","",IFERROR(INDEX(基础资料!$O$4:$O$34,MATCH($E1430,基础资料!$N$4:$N$34,0))&amp;"",""))</f>
        <v/>
      </c>
      <c r="G1430" s="87" t="str">
        <f>IF($E1430="","",IFERROR(INDEX(基础资料!$P$4:$P$34,MATCH($E1430,基础资料!$N$4:$N$34,0))&amp;"",""))</f>
        <v/>
      </c>
      <c r="H1430" s="79"/>
      <c r="I1430" s="88"/>
      <c r="J1430" s="92"/>
      <c r="K1430" s="93"/>
      <c r="L1430" s="25" t="str">
        <f t="shared" si="67"/>
        <v/>
      </c>
      <c r="M1430" s="94"/>
      <c r="N1430" s="26" t="str">
        <f t="shared" si="68"/>
        <v/>
      </c>
      <c r="O1430" s="80"/>
      <c r="P1430" s="80"/>
      <c r="Q1430" s="80"/>
      <c r="R1430" s="80"/>
    </row>
    <row r="1431" ht="18" customHeight="1" spans="1:18">
      <c r="A1431" s="87" t="str">
        <f t="shared" si="66"/>
        <v/>
      </c>
      <c r="B1431" s="78"/>
      <c r="C1431" s="80"/>
      <c r="D1431" s="80"/>
      <c r="E1431" s="79"/>
      <c r="F1431" s="87" t="str">
        <f>IF($E1431="","",IFERROR(INDEX(基础资料!$O$4:$O$34,MATCH($E1431,基础资料!$N$4:$N$34,0))&amp;"",""))</f>
        <v/>
      </c>
      <c r="G1431" s="87" t="str">
        <f>IF($E1431="","",IFERROR(INDEX(基础资料!$P$4:$P$34,MATCH($E1431,基础资料!$N$4:$N$34,0))&amp;"",""))</f>
        <v/>
      </c>
      <c r="H1431" s="79"/>
      <c r="I1431" s="88"/>
      <c r="J1431" s="92"/>
      <c r="K1431" s="93"/>
      <c r="L1431" s="25" t="str">
        <f t="shared" si="67"/>
        <v/>
      </c>
      <c r="M1431" s="94"/>
      <c r="N1431" s="26" t="str">
        <f t="shared" si="68"/>
        <v/>
      </c>
      <c r="O1431" s="80"/>
      <c r="P1431" s="80"/>
      <c r="Q1431" s="80"/>
      <c r="R1431" s="80"/>
    </row>
    <row r="1432" ht="18" customHeight="1" spans="1:18">
      <c r="A1432" s="87" t="str">
        <f t="shared" si="66"/>
        <v/>
      </c>
      <c r="B1432" s="78"/>
      <c r="C1432" s="80"/>
      <c r="D1432" s="80"/>
      <c r="E1432" s="79"/>
      <c r="F1432" s="87" t="str">
        <f>IF($E1432="","",IFERROR(INDEX(基础资料!$O$4:$O$34,MATCH($E1432,基础资料!$N$4:$N$34,0))&amp;"",""))</f>
        <v/>
      </c>
      <c r="G1432" s="87" t="str">
        <f>IF($E1432="","",IFERROR(INDEX(基础资料!$P$4:$P$34,MATCH($E1432,基础资料!$N$4:$N$34,0))&amp;"",""))</f>
        <v/>
      </c>
      <c r="H1432" s="79"/>
      <c r="I1432" s="88"/>
      <c r="J1432" s="92"/>
      <c r="K1432" s="93"/>
      <c r="L1432" s="25" t="str">
        <f t="shared" si="67"/>
        <v/>
      </c>
      <c r="M1432" s="94"/>
      <c r="N1432" s="26" t="str">
        <f t="shared" si="68"/>
        <v/>
      </c>
      <c r="O1432" s="80"/>
      <c r="P1432" s="80"/>
      <c r="Q1432" s="80"/>
      <c r="R1432" s="80"/>
    </row>
    <row r="1433" ht="18" customHeight="1" spans="1:18">
      <c r="A1433" s="87" t="str">
        <f t="shared" si="66"/>
        <v/>
      </c>
      <c r="B1433" s="78"/>
      <c r="C1433" s="80"/>
      <c r="D1433" s="80"/>
      <c r="E1433" s="79"/>
      <c r="F1433" s="87" t="str">
        <f>IF($E1433="","",IFERROR(INDEX(基础资料!$O$4:$O$34,MATCH($E1433,基础资料!$N$4:$N$34,0))&amp;"",""))</f>
        <v/>
      </c>
      <c r="G1433" s="87" t="str">
        <f>IF($E1433="","",IFERROR(INDEX(基础资料!$P$4:$P$34,MATCH($E1433,基础资料!$N$4:$N$34,0))&amp;"",""))</f>
        <v/>
      </c>
      <c r="H1433" s="79"/>
      <c r="I1433" s="88"/>
      <c r="J1433" s="92"/>
      <c r="K1433" s="93"/>
      <c r="L1433" s="25" t="str">
        <f t="shared" si="67"/>
        <v/>
      </c>
      <c r="M1433" s="94"/>
      <c r="N1433" s="26" t="str">
        <f t="shared" si="68"/>
        <v/>
      </c>
      <c r="O1433" s="80"/>
      <c r="P1433" s="80"/>
      <c r="Q1433" s="80"/>
      <c r="R1433" s="80"/>
    </row>
    <row r="1434" ht="18" customHeight="1" spans="1:18">
      <c r="A1434" s="87" t="str">
        <f t="shared" si="66"/>
        <v/>
      </c>
      <c r="B1434" s="78"/>
      <c r="C1434" s="80"/>
      <c r="D1434" s="80"/>
      <c r="E1434" s="79"/>
      <c r="F1434" s="87" t="str">
        <f>IF($E1434="","",IFERROR(INDEX(基础资料!$O$4:$O$34,MATCH($E1434,基础资料!$N$4:$N$34,0))&amp;"",""))</f>
        <v/>
      </c>
      <c r="G1434" s="87" t="str">
        <f>IF($E1434="","",IFERROR(INDEX(基础资料!$P$4:$P$34,MATCH($E1434,基础资料!$N$4:$N$34,0))&amp;"",""))</f>
        <v/>
      </c>
      <c r="H1434" s="79"/>
      <c r="I1434" s="88"/>
      <c r="J1434" s="92"/>
      <c r="K1434" s="93"/>
      <c r="L1434" s="25" t="str">
        <f t="shared" si="67"/>
        <v/>
      </c>
      <c r="M1434" s="94"/>
      <c r="N1434" s="26" t="str">
        <f t="shared" si="68"/>
        <v/>
      </c>
      <c r="O1434" s="80"/>
      <c r="P1434" s="80"/>
      <c r="Q1434" s="80"/>
      <c r="R1434" s="80"/>
    </row>
    <row r="1435" ht="18" customHeight="1" spans="1:18">
      <c r="A1435" s="87" t="str">
        <f t="shared" si="66"/>
        <v/>
      </c>
      <c r="B1435" s="78"/>
      <c r="C1435" s="80"/>
      <c r="D1435" s="80"/>
      <c r="E1435" s="79"/>
      <c r="F1435" s="87" t="str">
        <f>IF($E1435="","",IFERROR(INDEX(基础资料!$O$4:$O$34,MATCH($E1435,基础资料!$N$4:$N$34,0))&amp;"",""))</f>
        <v/>
      </c>
      <c r="G1435" s="87" t="str">
        <f>IF($E1435="","",IFERROR(INDEX(基础资料!$P$4:$P$34,MATCH($E1435,基础资料!$N$4:$N$34,0))&amp;"",""))</f>
        <v/>
      </c>
      <c r="H1435" s="79"/>
      <c r="I1435" s="88"/>
      <c r="J1435" s="92"/>
      <c r="K1435" s="93"/>
      <c r="L1435" s="25" t="str">
        <f t="shared" si="67"/>
        <v/>
      </c>
      <c r="M1435" s="94"/>
      <c r="N1435" s="26" t="str">
        <f t="shared" si="68"/>
        <v/>
      </c>
      <c r="O1435" s="80"/>
      <c r="P1435" s="80"/>
      <c r="Q1435" s="80"/>
      <c r="R1435" s="80"/>
    </row>
    <row r="1436" ht="18" customHeight="1" spans="1:18">
      <c r="A1436" s="87" t="str">
        <f t="shared" si="66"/>
        <v/>
      </c>
      <c r="B1436" s="78"/>
      <c r="C1436" s="80"/>
      <c r="D1436" s="80"/>
      <c r="E1436" s="79"/>
      <c r="F1436" s="87" t="str">
        <f>IF($E1436="","",IFERROR(INDEX(基础资料!$O$4:$O$34,MATCH($E1436,基础资料!$N$4:$N$34,0))&amp;"",""))</f>
        <v/>
      </c>
      <c r="G1436" s="87" t="str">
        <f>IF($E1436="","",IFERROR(INDEX(基础资料!$P$4:$P$34,MATCH($E1436,基础资料!$N$4:$N$34,0))&amp;"",""))</f>
        <v/>
      </c>
      <c r="H1436" s="79"/>
      <c r="I1436" s="88"/>
      <c r="J1436" s="92"/>
      <c r="K1436" s="93"/>
      <c r="L1436" s="25" t="str">
        <f t="shared" si="67"/>
        <v/>
      </c>
      <c r="M1436" s="94"/>
      <c r="N1436" s="26" t="str">
        <f t="shared" si="68"/>
        <v/>
      </c>
      <c r="O1436" s="80"/>
      <c r="P1436" s="80"/>
      <c r="Q1436" s="80"/>
      <c r="R1436" s="80"/>
    </row>
    <row r="1437" ht="18" customHeight="1" spans="1:18">
      <c r="A1437" s="87" t="str">
        <f t="shared" si="66"/>
        <v/>
      </c>
      <c r="B1437" s="78"/>
      <c r="C1437" s="80"/>
      <c r="D1437" s="80"/>
      <c r="E1437" s="79"/>
      <c r="F1437" s="87" t="str">
        <f>IF($E1437="","",IFERROR(INDEX(基础资料!$O$4:$O$34,MATCH($E1437,基础资料!$N$4:$N$34,0))&amp;"",""))</f>
        <v/>
      </c>
      <c r="G1437" s="87" t="str">
        <f>IF($E1437="","",IFERROR(INDEX(基础资料!$P$4:$P$34,MATCH($E1437,基础资料!$N$4:$N$34,0))&amp;"",""))</f>
        <v/>
      </c>
      <c r="H1437" s="79"/>
      <c r="I1437" s="88"/>
      <c r="J1437" s="92"/>
      <c r="K1437" s="93"/>
      <c r="L1437" s="25" t="str">
        <f t="shared" si="67"/>
        <v/>
      </c>
      <c r="M1437" s="94"/>
      <c r="N1437" s="26" t="str">
        <f t="shared" si="68"/>
        <v/>
      </c>
      <c r="O1437" s="80"/>
      <c r="P1437" s="80"/>
      <c r="Q1437" s="80"/>
      <c r="R1437" s="80"/>
    </row>
    <row r="1438" ht="18" customHeight="1" spans="1:18">
      <c r="A1438" s="87" t="str">
        <f t="shared" si="66"/>
        <v/>
      </c>
      <c r="B1438" s="78"/>
      <c r="C1438" s="80"/>
      <c r="D1438" s="80"/>
      <c r="E1438" s="79"/>
      <c r="F1438" s="87" t="str">
        <f>IF($E1438="","",IFERROR(INDEX(基础资料!$O$4:$O$34,MATCH($E1438,基础资料!$N$4:$N$34,0))&amp;"",""))</f>
        <v/>
      </c>
      <c r="G1438" s="87" t="str">
        <f>IF($E1438="","",IFERROR(INDEX(基础资料!$P$4:$P$34,MATCH($E1438,基础资料!$N$4:$N$34,0))&amp;"",""))</f>
        <v/>
      </c>
      <c r="H1438" s="79"/>
      <c r="I1438" s="88"/>
      <c r="J1438" s="92"/>
      <c r="K1438" s="93"/>
      <c r="L1438" s="25" t="str">
        <f t="shared" si="67"/>
        <v/>
      </c>
      <c r="M1438" s="94"/>
      <c r="N1438" s="26" t="str">
        <f t="shared" si="68"/>
        <v/>
      </c>
      <c r="O1438" s="80"/>
      <c r="P1438" s="80"/>
      <c r="Q1438" s="80"/>
      <c r="R1438" s="80"/>
    </row>
    <row r="1439" ht="18" customHeight="1" spans="1:18">
      <c r="A1439" s="87" t="str">
        <f t="shared" si="66"/>
        <v/>
      </c>
      <c r="B1439" s="78"/>
      <c r="C1439" s="80"/>
      <c r="D1439" s="80"/>
      <c r="E1439" s="79"/>
      <c r="F1439" s="87" t="str">
        <f>IF($E1439="","",IFERROR(INDEX(基础资料!$O$4:$O$34,MATCH($E1439,基础资料!$N$4:$N$34,0))&amp;"",""))</f>
        <v/>
      </c>
      <c r="G1439" s="87" t="str">
        <f>IF($E1439="","",IFERROR(INDEX(基础资料!$P$4:$P$34,MATCH($E1439,基础资料!$N$4:$N$34,0))&amp;"",""))</f>
        <v/>
      </c>
      <c r="H1439" s="79"/>
      <c r="I1439" s="88"/>
      <c r="J1439" s="92"/>
      <c r="K1439" s="93"/>
      <c r="L1439" s="25" t="str">
        <f t="shared" si="67"/>
        <v/>
      </c>
      <c r="M1439" s="94"/>
      <c r="N1439" s="26" t="str">
        <f t="shared" si="68"/>
        <v/>
      </c>
      <c r="O1439" s="80"/>
      <c r="P1439" s="80"/>
      <c r="Q1439" s="80"/>
      <c r="R1439" s="80"/>
    </row>
    <row r="1440" ht="18" customHeight="1" spans="1:18">
      <c r="A1440" s="87" t="str">
        <f t="shared" si="66"/>
        <v/>
      </c>
      <c r="B1440" s="78"/>
      <c r="C1440" s="80"/>
      <c r="D1440" s="80"/>
      <c r="E1440" s="79"/>
      <c r="F1440" s="87" t="str">
        <f>IF($E1440="","",IFERROR(INDEX(基础资料!$O$4:$O$34,MATCH($E1440,基础资料!$N$4:$N$34,0))&amp;"",""))</f>
        <v/>
      </c>
      <c r="G1440" s="87" t="str">
        <f>IF($E1440="","",IFERROR(INDEX(基础资料!$P$4:$P$34,MATCH($E1440,基础资料!$N$4:$N$34,0))&amp;"",""))</f>
        <v/>
      </c>
      <c r="H1440" s="79"/>
      <c r="I1440" s="88"/>
      <c r="J1440" s="92"/>
      <c r="K1440" s="93"/>
      <c r="L1440" s="25" t="str">
        <f t="shared" si="67"/>
        <v/>
      </c>
      <c r="M1440" s="94"/>
      <c r="N1440" s="26" t="str">
        <f t="shared" si="68"/>
        <v/>
      </c>
      <c r="O1440" s="80"/>
      <c r="P1440" s="80"/>
      <c r="Q1440" s="80"/>
      <c r="R1440" s="80"/>
    </row>
    <row r="1441" ht="18" customHeight="1" spans="1:18">
      <c r="A1441" s="87" t="str">
        <f t="shared" si="66"/>
        <v/>
      </c>
      <c r="B1441" s="78"/>
      <c r="C1441" s="80"/>
      <c r="D1441" s="80"/>
      <c r="E1441" s="79"/>
      <c r="F1441" s="87" t="str">
        <f>IF($E1441="","",IFERROR(INDEX(基础资料!$O$4:$O$34,MATCH($E1441,基础资料!$N$4:$N$34,0))&amp;"",""))</f>
        <v/>
      </c>
      <c r="G1441" s="87" t="str">
        <f>IF($E1441="","",IFERROR(INDEX(基础资料!$P$4:$P$34,MATCH($E1441,基础资料!$N$4:$N$34,0))&amp;"",""))</f>
        <v/>
      </c>
      <c r="H1441" s="79"/>
      <c r="I1441" s="88"/>
      <c r="J1441" s="92"/>
      <c r="K1441" s="93"/>
      <c r="L1441" s="25" t="str">
        <f t="shared" si="67"/>
        <v/>
      </c>
      <c r="M1441" s="94"/>
      <c r="N1441" s="26" t="str">
        <f t="shared" si="68"/>
        <v/>
      </c>
      <c r="O1441" s="80"/>
      <c r="P1441" s="80"/>
      <c r="Q1441" s="80"/>
      <c r="R1441" s="80"/>
    </row>
    <row r="1442" ht="18" customHeight="1" spans="1:18">
      <c r="A1442" s="87" t="str">
        <f t="shared" si="66"/>
        <v/>
      </c>
      <c r="B1442" s="78"/>
      <c r="C1442" s="80"/>
      <c r="D1442" s="80"/>
      <c r="E1442" s="79"/>
      <c r="F1442" s="87" t="str">
        <f>IF($E1442="","",IFERROR(INDEX(基础资料!$O$4:$O$34,MATCH($E1442,基础资料!$N$4:$N$34,0))&amp;"",""))</f>
        <v/>
      </c>
      <c r="G1442" s="87" t="str">
        <f>IF($E1442="","",IFERROR(INDEX(基础资料!$P$4:$P$34,MATCH($E1442,基础资料!$N$4:$N$34,0))&amp;"",""))</f>
        <v/>
      </c>
      <c r="H1442" s="79"/>
      <c r="I1442" s="88"/>
      <c r="J1442" s="92"/>
      <c r="K1442" s="93"/>
      <c r="L1442" s="25" t="str">
        <f t="shared" si="67"/>
        <v/>
      </c>
      <c r="M1442" s="94"/>
      <c r="N1442" s="26" t="str">
        <f t="shared" si="68"/>
        <v/>
      </c>
      <c r="O1442" s="80"/>
      <c r="P1442" s="80"/>
      <c r="Q1442" s="80"/>
      <c r="R1442" s="80"/>
    </row>
    <row r="1443" ht="18" customHeight="1" spans="1:18">
      <c r="A1443" s="87" t="str">
        <f t="shared" si="66"/>
        <v/>
      </c>
      <c r="B1443" s="78"/>
      <c r="C1443" s="80"/>
      <c r="D1443" s="80"/>
      <c r="E1443" s="79"/>
      <c r="F1443" s="87" t="str">
        <f>IF($E1443="","",IFERROR(INDEX(基础资料!$O$4:$O$34,MATCH($E1443,基础资料!$N$4:$N$34,0))&amp;"",""))</f>
        <v/>
      </c>
      <c r="G1443" s="87" t="str">
        <f>IF($E1443="","",IFERROR(INDEX(基础资料!$P$4:$P$34,MATCH($E1443,基础资料!$N$4:$N$34,0))&amp;"",""))</f>
        <v/>
      </c>
      <c r="H1443" s="79"/>
      <c r="I1443" s="88"/>
      <c r="J1443" s="92"/>
      <c r="K1443" s="93"/>
      <c r="L1443" s="25" t="str">
        <f t="shared" si="67"/>
        <v/>
      </c>
      <c r="M1443" s="94"/>
      <c r="N1443" s="26" t="str">
        <f t="shared" si="68"/>
        <v/>
      </c>
      <c r="O1443" s="80"/>
      <c r="P1443" s="80"/>
      <c r="Q1443" s="80"/>
      <c r="R1443" s="80"/>
    </row>
    <row r="1444" ht="18" customHeight="1" spans="1:18">
      <c r="A1444" s="87" t="str">
        <f t="shared" si="66"/>
        <v/>
      </c>
      <c r="B1444" s="78"/>
      <c r="C1444" s="80"/>
      <c r="D1444" s="80"/>
      <c r="E1444" s="79"/>
      <c r="F1444" s="87" t="str">
        <f>IF($E1444="","",IFERROR(INDEX(基础资料!$O$4:$O$34,MATCH($E1444,基础资料!$N$4:$N$34,0))&amp;"",""))</f>
        <v/>
      </c>
      <c r="G1444" s="87" t="str">
        <f>IF($E1444="","",IFERROR(INDEX(基础资料!$P$4:$P$34,MATCH($E1444,基础资料!$N$4:$N$34,0))&amp;"",""))</f>
        <v/>
      </c>
      <c r="H1444" s="79"/>
      <c r="I1444" s="88"/>
      <c r="J1444" s="92"/>
      <c r="K1444" s="93"/>
      <c r="L1444" s="25" t="str">
        <f t="shared" si="67"/>
        <v/>
      </c>
      <c r="M1444" s="94"/>
      <c r="N1444" s="26" t="str">
        <f t="shared" si="68"/>
        <v/>
      </c>
      <c r="O1444" s="80"/>
      <c r="P1444" s="80"/>
      <c r="Q1444" s="80"/>
      <c r="R1444" s="80"/>
    </row>
    <row r="1445" ht="18" customHeight="1" spans="1:18">
      <c r="A1445" s="87" t="str">
        <f t="shared" si="66"/>
        <v/>
      </c>
      <c r="B1445" s="78"/>
      <c r="C1445" s="80"/>
      <c r="D1445" s="80"/>
      <c r="E1445" s="79"/>
      <c r="F1445" s="87" t="str">
        <f>IF($E1445="","",IFERROR(INDEX(基础资料!$O$4:$O$34,MATCH($E1445,基础资料!$N$4:$N$34,0))&amp;"",""))</f>
        <v/>
      </c>
      <c r="G1445" s="87" t="str">
        <f>IF($E1445="","",IFERROR(INDEX(基础资料!$P$4:$P$34,MATCH($E1445,基础资料!$N$4:$N$34,0))&amp;"",""))</f>
        <v/>
      </c>
      <c r="H1445" s="79"/>
      <c r="I1445" s="88"/>
      <c r="J1445" s="92"/>
      <c r="K1445" s="93"/>
      <c r="L1445" s="25" t="str">
        <f t="shared" si="67"/>
        <v/>
      </c>
      <c r="M1445" s="94"/>
      <c r="N1445" s="26" t="str">
        <f t="shared" si="68"/>
        <v/>
      </c>
      <c r="O1445" s="80"/>
      <c r="P1445" s="80"/>
      <c r="Q1445" s="80"/>
      <c r="R1445" s="80"/>
    </row>
    <row r="1446" ht="18" customHeight="1" spans="1:18">
      <c r="A1446" s="87" t="str">
        <f t="shared" si="66"/>
        <v/>
      </c>
      <c r="B1446" s="78"/>
      <c r="C1446" s="80"/>
      <c r="D1446" s="80"/>
      <c r="E1446" s="79"/>
      <c r="F1446" s="87" t="str">
        <f>IF($E1446="","",IFERROR(INDEX(基础资料!$O$4:$O$34,MATCH($E1446,基础资料!$N$4:$N$34,0))&amp;"",""))</f>
        <v/>
      </c>
      <c r="G1446" s="87" t="str">
        <f>IF($E1446="","",IFERROR(INDEX(基础资料!$P$4:$P$34,MATCH($E1446,基础资料!$N$4:$N$34,0))&amp;"",""))</f>
        <v/>
      </c>
      <c r="H1446" s="79"/>
      <c r="I1446" s="88"/>
      <c r="J1446" s="92"/>
      <c r="K1446" s="93"/>
      <c r="L1446" s="25" t="str">
        <f t="shared" si="67"/>
        <v/>
      </c>
      <c r="M1446" s="94"/>
      <c r="N1446" s="26" t="str">
        <f t="shared" si="68"/>
        <v/>
      </c>
      <c r="O1446" s="80"/>
      <c r="P1446" s="80"/>
      <c r="Q1446" s="80"/>
      <c r="R1446" s="80"/>
    </row>
    <row r="1447" ht="18" customHeight="1" spans="1:18">
      <c r="A1447" s="87" t="str">
        <f t="shared" si="66"/>
        <v/>
      </c>
      <c r="B1447" s="78"/>
      <c r="C1447" s="80"/>
      <c r="D1447" s="80"/>
      <c r="E1447" s="79"/>
      <c r="F1447" s="87" t="str">
        <f>IF($E1447="","",IFERROR(INDEX(基础资料!$O$4:$O$34,MATCH($E1447,基础资料!$N$4:$N$34,0))&amp;"",""))</f>
        <v/>
      </c>
      <c r="G1447" s="87" t="str">
        <f>IF($E1447="","",IFERROR(INDEX(基础资料!$P$4:$P$34,MATCH($E1447,基础资料!$N$4:$N$34,0))&amp;"",""))</f>
        <v/>
      </c>
      <c r="H1447" s="79"/>
      <c r="I1447" s="88"/>
      <c r="J1447" s="92"/>
      <c r="K1447" s="93"/>
      <c r="L1447" s="25" t="str">
        <f t="shared" si="67"/>
        <v/>
      </c>
      <c r="M1447" s="94"/>
      <c r="N1447" s="26" t="str">
        <f t="shared" si="68"/>
        <v/>
      </c>
      <c r="O1447" s="80"/>
      <c r="P1447" s="80"/>
      <c r="Q1447" s="80"/>
      <c r="R1447" s="80"/>
    </row>
    <row r="1448" ht="18" customHeight="1" spans="1:18">
      <c r="A1448" s="87" t="str">
        <f t="shared" si="66"/>
        <v/>
      </c>
      <c r="B1448" s="78"/>
      <c r="C1448" s="80"/>
      <c r="D1448" s="80"/>
      <c r="E1448" s="79"/>
      <c r="F1448" s="87" t="str">
        <f>IF($E1448="","",IFERROR(INDEX(基础资料!$O$4:$O$34,MATCH($E1448,基础资料!$N$4:$N$34,0))&amp;"",""))</f>
        <v/>
      </c>
      <c r="G1448" s="87" t="str">
        <f>IF($E1448="","",IFERROR(INDEX(基础资料!$P$4:$P$34,MATCH($E1448,基础资料!$N$4:$N$34,0))&amp;"",""))</f>
        <v/>
      </c>
      <c r="H1448" s="79"/>
      <c r="I1448" s="88"/>
      <c r="J1448" s="92"/>
      <c r="K1448" s="93"/>
      <c r="L1448" s="25" t="str">
        <f t="shared" si="67"/>
        <v/>
      </c>
      <c r="M1448" s="94"/>
      <c r="N1448" s="26" t="str">
        <f t="shared" si="68"/>
        <v/>
      </c>
      <c r="O1448" s="80"/>
      <c r="P1448" s="80"/>
      <c r="Q1448" s="80"/>
      <c r="R1448" s="80"/>
    </row>
    <row r="1449" ht="18" customHeight="1" spans="1:18">
      <c r="A1449" s="87" t="str">
        <f t="shared" si="66"/>
        <v/>
      </c>
      <c r="B1449" s="78"/>
      <c r="C1449" s="80"/>
      <c r="D1449" s="80"/>
      <c r="E1449" s="79"/>
      <c r="F1449" s="87" t="str">
        <f>IF($E1449="","",IFERROR(INDEX(基础资料!$O$4:$O$34,MATCH($E1449,基础资料!$N$4:$N$34,0))&amp;"",""))</f>
        <v/>
      </c>
      <c r="G1449" s="87" t="str">
        <f>IF($E1449="","",IFERROR(INDEX(基础资料!$P$4:$P$34,MATCH($E1449,基础资料!$N$4:$N$34,0))&amp;"",""))</f>
        <v/>
      </c>
      <c r="H1449" s="79"/>
      <c r="I1449" s="88"/>
      <c r="J1449" s="92"/>
      <c r="K1449" s="93"/>
      <c r="L1449" s="25" t="str">
        <f t="shared" si="67"/>
        <v/>
      </c>
      <c r="M1449" s="94"/>
      <c r="N1449" s="26" t="str">
        <f t="shared" si="68"/>
        <v/>
      </c>
      <c r="O1449" s="80"/>
      <c r="P1449" s="80"/>
      <c r="Q1449" s="80"/>
      <c r="R1449" s="80"/>
    </row>
    <row r="1450" ht="18" customHeight="1" spans="1:18">
      <c r="A1450" s="87" t="str">
        <f t="shared" si="66"/>
        <v/>
      </c>
      <c r="B1450" s="78"/>
      <c r="C1450" s="80"/>
      <c r="D1450" s="80"/>
      <c r="E1450" s="79"/>
      <c r="F1450" s="87" t="str">
        <f>IF($E1450="","",IFERROR(INDEX(基础资料!$O$4:$O$34,MATCH($E1450,基础资料!$N$4:$N$34,0))&amp;"",""))</f>
        <v/>
      </c>
      <c r="G1450" s="87" t="str">
        <f>IF($E1450="","",IFERROR(INDEX(基础资料!$P$4:$P$34,MATCH($E1450,基础资料!$N$4:$N$34,0))&amp;"",""))</f>
        <v/>
      </c>
      <c r="H1450" s="79"/>
      <c r="I1450" s="88"/>
      <c r="J1450" s="92"/>
      <c r="K1450" s="93"/>
      <c r="L1450" s="25" t="str">
        <f t="shared" si="67"/>
        <v/>
      </c>
      <c r="M1450" s="94"/>
      <c r="N1450" s="26" t="str">
        <f t="shared" si="68"/>
        <v/>
      </c>
      <c r="O1450" s="80"/>
      <c r="P1450" s="80"/>
      <c r="Q1450" s="80"/>
      <c r="R1450" s="80"/>
    </row>
    <row r="1451" ht="18" customHeight="1" spans="1:18">
      <c r="A1451" s="87" t="str">
        <f t="shared" si="66"/>
        <v/>
      </c>
      <c r="B1451" s="78"/>
      <c r="C1451" s="80"/>
      <c r="D1451" s="80"/>
      <c r="E1451" s="79"/>
      <c r="F1451" s="87" t="str">
        <f>IF($E1451="","",IFERROR(INDEX(基础资料!$O$4:$O$34,MATCH($E1451,基础资料!$N$4:$N$34,0))&amp;"",""))</f>
        <v/>
      </c>
      <c r="G1451" s="87" t="str">
        <f>IF($E1451="","",IFERROR(INDEX(基础资料!$P$4:$P$34,MATCH($E1451,基础资料!$N$4:$N$34,0))&amp;"",""))</f>
        <v/>
      </c>
      <c r="H1451" s="79"/>
      <c r="I1451" s="88"/>
      <c r="J1451" s="92"/>
      <c r="K1451" s="93"/>
      <c r="L1451" s="25" t="str">
        <f t="shared" si="67"/>
        <v/>
      </c>
      <c r="M1451" s="94"/>
      <c r="N1451" s="26" t="str">
        <f t="shared" si="68"/>
        <v/>
      </c>
      <c r="O1451" s="80"/>
      <c r="P1451" s="80"/>
      <c r="Q1451" s="80"/>
      <c r="R1451" s="80"/>
    </row>
    <row r="1452" ht="18" customHeight="1" spans="1:18">
      <c r="A1452" s="87" t="str">
        <f t="shared" si="66"/>
        <v/>
      </c>
      <c r="B1452" s="78"/>
      <c r="C1452" s="80"/>
      <c r="D1452" s="80"/>
      <c r="E1452" s="79"/>
      <c r="F1452" s="87" t="str">
        <f>IF($E1452="","",IFERROR(INDEX(基础资料!$O$4:$O$34,MATCH($E1452,基础资料!$N$4:$N$34,0))&amp;"",""))</f>
        <v/>
      </c>
      <c r="G1452" s="87" t="str">
        <f>IF($E1452="","",IFERROR(INDEX(基础资料!$P$4:$P$34,MATCH($E1452,基础资料!$N$4:$N$34,0))&amp;"",""))</f>
        <v/>
      </c>
      <c r="H1452" s="79"/>
      <c r="I1452" s="88"/>
      <c r="J1452" s="92"/>
      <c r="K1452" s="93"/>
      <c r="L1452" s="25" t="str">
        <f t="shared" si="67"/>
        <v/>
      </c>
      <c r="M1452" s="94"/>
      <c r="N1452" s="26" t="str">
        <f t="shared" si="68"/>
        <v/>
      </c>
      <c r="O1452" s="80"/>
      <c r="P1452" s="80"/>
      <c r="Q1452" s="80"/>
      <c r="R1452" s="80"/>
    </row>
    <row r="1453" ht="18" customHeight="1" spans="1:18">
      <c r="A1453" s="87" t="str">
        <f t="shared" si="66"/>
        <v/>
      </c>
      <c r="B1453" s="78"/>
      <c r="C1453" s="80"/>
      <c r="D1453" s="80"/>
      <c r="E1453" s="79"/>
      <c r="F1453" s="87" t="str">
        <f>IF($E1453="","",IFERROR(INDEX(基础资料!$O$4:$O$34,MATCH($E1453,基础资料!$N$4:$N$34,0))&amp;"",""))</f>
        <v/>
      </c>
      <c r="G1453" s="87" t="str">
        <f>IF($E1453="","",IFERROR(INDEX(基础资料!$P$4:$P$34,MATCH($E1453,基础资料!$N$4:$N$34,0))&amp;"",""))</f>
        <v/>
      </c>
      <c r="H1453" s="79"/>
      <c r="I1453" s="88"/>
      <c r="J1453" s="92"/>
      <c r="K1453" s="93"/>
      <c r="L1453" s="25" t="str">
        <f t="shared" si="67"/>
        <v/>
      </c>
      <c r="M1453" s="94"/>
      <c r="N1453" s="26" t="str">
        <f t="shared" si="68"/>
        <v/>
      </c>
      <c r="O1453" s="80"/>
      <c r="P1453" s="80"/>
      <c r="Q1453" s="80"/>
      <c r="R1453" s="80"/>
    </row>
    <row r="1454" ht="18" customHeight="1" spans="1:18">
      <c r="A1454" s="87" t="str">
        <f t="shared" si="66"/>
        <v/>
      </c>
      <c r="B1454" s="78"/>
      <c r="C1454" s="80"/>
      <c r="D1454" s="80"/>
      <c r="E1454" s="79"/>
      <c r="F1454" s="87" t="str">
        <f>IF($E1454="","",IFERROR(INDEX(基础资料!$O$4:$O$34,MATCH($E1454,基础资料!$N$4:$N$34,0))&amp;"",""))</f>
        <v/>
      </c>
      <c r="G1454" s="87" t="str">
        <f>IF($E1454="","",IFERROR(INDEX(基础资料!$P$4:$P$34,MATCH($E1454,基础资料!$N$4:$N$34,0))&amp;"",""))</f>
        <v/>
      </c>
      <c r="H1454" s="79"/>
      <c r="I1454" s="88"/>
      <c r="J1454" s="92"/>
      <c r="K1454" s="93"/>
      <c r="L1454" s="25" t="str">
        <f t="shared" si="67"/>
        <v/>
      </c>
      <c r="M1454" s="94"/>
      <c r="N1454" s="26" t="str">
        <f t="shared" si="68"/>
        <v/>
      </c>
      <c r="O1454" s="80"/>
      <c r="P1454" s="80"/>
      <c r="Q1454" s="80"/>
      <c r="R1454" s="80"/>
    </row>
    <row r="1455" ht="18" customHeight="1" spans="1:18">
      <c r="A1455" s="87" t="str">
        <f t="shared" si="66"/>
        <v/>
      </c>
      <c r="B1455" s="78"/>
      <c r="C1455" s="80"/>
      <c r="D1455" s="80"/>
      <c r="E1455" s="79"/>
      <c r="F1455" s="87" t="str">
        <f>IF($E1455="","",IFERROR(INDEX(基础资料!$O$4:$O$34,MATCH($E1455,基础资料!$N$4:$N$34,0))&amp;"",""))</f>
        <v/>
      </c>
      <c r="G1455" s="87" t="str">
        <f>IF($E1455="","",IFERROR(INDEX(基础资料!$P$4:$P$34,MATCH($E1455,基础资料!$N$4:$N$34,0))&amp;"",""))</f>
        <v/>
      </c>
      <c r="H1455" s="79"/>
      <c r="I1455" s="88"/>
      <c r="J1455" s="92"/>
      <c r="K1455" s="93"/>
      <c r="L1455" s="25" t="str">
        <f t="shared" si="67"/>
        <v/>
      </c>
      <c r="M1455" s="94"/>
      <c r="N1455" s="26" t="str">
        <f t="shared" si="68"/>
        <v/>
      </c>
      <c r="O1455" s="80"/>
      <c r="P1455" s="80"/>
      <c r="Q1455" s="80"/>
      <c r="R1455" s="80"/>
    </row>
    <row r="1456" ht="18" customHeight="1" spans="1:18">
      <c r="A1456" s="87" t="str">
        <f t="shared" si="66"/>
        <v/>
      </c>
      <c r="B1456" s="78"/>
      <c r="C1456" s="80"/>
      <c r="D1456" s="80"/>
      <c r="E1456" s="79"/>
      <c r="F1456" s="87" t="str">
        <f>IF($E1456="","",IFERROR(INDEX(基础资料!$O$4:$O$34,MATCH($E1456,基础资料!$N$4:$N$34,0))&amp;"",""))</f>
        <v/>
      </c>
      <c r="G1456" s="87" t="str">
        <f>IF($E1456="","",IFERROR(INDEX(基础资料!$P$4:$P$34,MATCH($E1456,基础资料!$N$4:$N$34,0))&amp;"",""))</f>
        <v/>
      </c>
      <c r="H1456" s="79"/>
      <c r="I1456" s="88"/>
      <c r="J1456" s="92"/>
      <c r="K1456" s="93"/>
      <c r="L1456" s="25" t="str">
        <f t="shared" si="67"/>
        <v/>
      </c>
      <c r="M1456" s="94"/>
      <c r="N1456" s="26" t="str">
        <f t="shared" si="68"/>
        <v/>
      </c>
      <c r="O1456" s="80"/>
      <c r="P1456" s="80"/>
      <c r="Q1456" s="80"/>
      <c r="R1456" s="80"/>
    </row>
    <row r="1457" ht="18" customHeight="1" spans="1:18">
      <c r="A1457" s="87" t="str">
        <f t="shared" si="66"/>
        <v/>
      </c>
      <c r="B1457" s="78"/>
      <c r="C1457" s="80"/>
      <c r="D1457" s="80"/>
      <c r="E1457" s="79"/>
      <c r="F1457" s="87" t="str">
        <f>IF($E1457="","",IFERROR(INDEX(基础资料!$O$4:$O$34,MATCH($E1457,基础资料!$N$4:$N$34,0))&amp;"",""))</f>
        <v/>
      </c>
      <c r="G1457" s="87" t="str">
        <f>IF($E1457="","",IFERROR(INDEX(基础资料!$P$4:$P$34,MATCH($E1457,基础资料!$N$4:$N$34,0))&amp;"",""))</f>
        <v/>
      </c>
      <c r="H1457" s="79"/>
      <c r="I1457" s="88"/>
      <c r="J1457" s="92"/>
      <c r="K1457" s="93"/>
      <c r="L1457" s="25" t="str">
        <f t="shared" si="67"/>
        <v/>
      </c>
      <c r="M1457" s="94"/>
      <c r="N1457" s="26" t="str">
        <f t="shared" si="68"/>
        <v/>
      </c>
      <c r="O1457" s="80"/>
      <c r="P1457" s="80"/>
      <c r="Q1457" s="80"/>
      <c r="R1457" s="80"/>
    </row>
    <row r="1458" ht="18" customHeight="1" spans="1:18">
      <c r="A1458" s="87" t="str">
        <f t="shared" si="66"/>
        <v/>
      </c>
      <c r="B1458" s="78"/>
      <c r="C1458" s="80"/>
      <c r="D1458" s="80"/>
      <c r="E1458" s="79"/>
      <c r="F1458" s="87" t="str">
        <f>IF($E1458="","",IFERROR(INDEX(基础资料!$O$4:$O$34,MATCH($E1458,基础资料!$N$4:$N$34,0))&amp;"",""))</f>
        <v/>
      </c>
      <c r="G1458" s="87" t="str">
        <f>IF($E1458="","",IFERROR(INDEX(基础资料!$P$4:$P$34,MATCH($E1458,基础资料!$N$4:$N$34,0))&amp;"",""))</f>
        <v/>
      </c>
      <c r="H1458" s="79"/>
      <c r="I1458" s="88"/>
      <c r="J1458" s="92"/>
      <c r="K1458" s="93"/>
      <c r="L1458" s="25" t="str">
        <f t="shared" si="67"/>
        <v/>
      </c>
      <c r="M1458" s="94"/>
      <c r="N1458" s="26" t="str">
        <f t="shared" si="68"/>
        <v/>
      </c>
      <c r="O1458" s="80"/>
      <c r="P1458" s="80"/>
      <c r="Q1458" s="80"/>
      <c r="R1458" s="80"/>
    </row>
    <row r="1459" ht="18" customHeight="1" spans="1:18">
      <c r="A1459" s="87" t="str">
        <f t="shared" si="66"/>
        <v/>
      </c>
      <c r="B1459" s="78"/>
      <c r="C1459" s="80"/>
      <c r="D1459" s="80"/>
      <c r="E1459" s="79"/>
      <c r="F1459" s="87" t="str">
        <f>IF($E1459="","",IFERROR(INDEX(基础资料!$O$4:$O$34,MATCH($E1459,基础资料!$N$4:$N$34,0))&amp;"",""))</f>
        <v/>
      </c>
      <c r="G1459" s="87" t="str">
        <f>IF($E1459="","",IFERROR(INDEX(基础资料!$P$4:$P$34,MATCH($E1459,基础资料!$N$4:$N$34,0))&amp;"",""))</f>
        <v/>
      </c>
      <c r="H1459" s="79"/>
      <c r="I1459" s="88"/>
      <c r="J1459" s="92"/>
      <c r="K1459" s="93"/>
      <c r="L1459" s="25" t="str">
        <f t="shared" si="67"/>
        <v/>
      </c>
      <c r="M1459" s="94"/>
      <c r="N1459" s="26" t="str">
        <f t="shared" si="68"/>
        <v/>
      </c>
      <c r="O1459" s="80"/>
      <c r="P1459" s="80"/>
      <c r="Q1459" s="80"/>
      <c r="R1459" s="80"/>
    </row>
    <row r="1460" ht="18" customHeight="1" spans="1:18">
      <c r="A1460" s="87" t="str">
        <f t="shared" si="66"/>
        <v/>
      </c>
      <c r="B1460" s="78"/>
      <c r="C1460" s="80"/>
      <c r="D1460" s="80"/>
      <c r="E1460" s="79"/>
      <c r="F1460" s="87" t="str">
        <f>IF($E1460="","",IFERROR(INDEX(基础资料!$O$4:$O$34,MATCH($E1460,基础资料!$N$4:$N$34,0))&amp;"",""))</f>
        <v/>
      </c>
      <c r="G1460" s="87" t="str">
        <f>IF($E1460="","",IFERROR(INDEX(基础资料!$P$4:$P$34,MATCH($E1460,基础资料!$N$4:$N$34,0))&amp;"",""))</f>
        <v/>
      </c>
      <c r="H1460" s="79"/>
      <c r="I1460" s="88"/>
      <c r="J1460" s="92"/>
      <c r="K1460" s="93"/>
      <c r="L1460" s="25" t="str">
        <f t="shared" si="67"/>
        <v/>
      </c>
      <c r="M1460" s="94"/>
      <c r="N1460" s="26" t="str">
        <f t="shared" si="68"/>
        <v/>
      </c>
      <c r="O1460" s="80"/>
      <c r="P1460" s="80"/>
      <c r="Q1460" s="80"/>
      <c r="R1460" s="80"/>
    </row>
    <row r="1461" ht="18" customHeight="1" spans="1:18">
      <c r="A1461" s="87" t="str">
        <f t="shared" si="66"/>
        <v/>
      </c>
      <c r="B1461" s="78"/>
      <c r="C1461" s="80"/>
      <c r="D1461" s="80"/>
      <c r="E1461" s="79"/>
      <c r="F1461" s="87" t="str">
        <f>IF($E1461="","",IFERROR(INDEX(基础资料!$O$4:$O$34,MATCH($E1461,基础资料!$N$4:$N$34,0))&amp;"",""))</f>
        <v/>
      </c>
      <c r="G1461" s="87" t="str">
        <f>IF($E1461="","",IFERROR(INDEX(基础资料!$P$4:$P$34,MATCH($E1461,基础资料!$N$4:$N$34,0))&amp;"",""))</f>
        <v/>
      </c>
      <c r="H1461" s="79"/>
      <c r="I1461" s="88"/>
      <c r="J1461" s="92"/>
      <c r="K1461" s="93"/>
      <c r="L1461" s="25" t="str">
        <f t="shared" si="67"/>
        <v/>
      </c>
      <c r="M1461" s="94"/>
      <c r="N1461" s="26" t="str">
        <f t="shared" si="68"/>
        <v/>
      </c>
      <c r="O1461" s="80"/>
      <c r="P1461" s="80"/>
      <c r="Q1461" s="80"/>
      <c r="R1461" s="80"/>
    </row>
    <row r="1462" ht="18" customHeight="1" spans="1:18">
      <c r="A1462" s="87" t="str">
        <f t="shared" si="66"/>
        <v/>
      </c>
      <c r="B1462" s="78"/>
      <c r="C1462" s="80"/>
      <c r="D1462" s="80"/>
      <c r="E1462" s="79"/>
      <c r="F1462" s="87" t="str">
        <f>IF($E1462="","",IFERROR(INDEX(基础资料!$O$4:$O$34,MATCH($E1462,基础资料!$N$4:$N$34,0))&amp;"",""))</f>
        <v/>
      </c>
      <c r="G1462" s="87" t="str">
        <f>IF($E1462="","",IFERROR(INDEX(基础资料!$P$4:$P$34,MATCH($E1462,基础资料!$N$4:$N$34,0))&amp;"",""))</f>
        <v/>
      </c>
      <c r="H1462" s="79"/>
      <c r="I1462" s="88"/>
      <c r="J1462" s="92"/>
      <c r="K1462" s="93"/>
      <c r="L1462" s="25" t="str">
        <f t="shared" si="67"/>
        <v/>
      </c>
      <c r="M1462" s="94"/>
      <c r="N1462" s="26" t="str">
        <f t="shared" si="68"/>
        <v/>
      </c>
      <c r="O1462" s="80"/>
      <c r="P1462" s="80"/>
      <c r="Q1462" s="80"/>
      <c r="R1462" s="80"/>
    </row>
    <row r="1463" ht="18" customHeight="1" spans="1:18">
      <c r="A1463" s="87" t="str">
        <f t="shared" si="66"/>
        <v/>
      </c>
      <c r="B1463" s="78"/>
      <c r="C1463" s="80"/>
      <c r="D1463" s="80"/>
      <c r="E1463" s="79"/>
      <c r="F1463" s="87" t="str">
        <f>IF($E1463="","",IFERROR(INDEX(基础资料!$O$4:$O$34,MATCH($E1463,基础资料!$N$4:$N$34,0))&amp;"",""))</f>
        <v/>
      </c>
      <c r="G1463" s="87" t="str">
        <f>IF($E1463="","",IFERROR(INDEX(基础资料!$P$4:$P$34,MATCH($E1463,基础资料!$N$4:$N$34,0))&amp;"",""))</f>
        <v/>
      </c>
      <c r="H1463" s="79"/>
      <c r="I1463" s="88"/>
      <c r="J1463" s="92"/>
      <c r="K1463" s="93"/>
      <c r="L1463" s="25" t="str">
        <f t="shared" si="67"/>
        <v/>
      </c>
      <c r="M1463" s="94"/>
      <c r="N1463" s="26" t="str">
        <f t="shared" si="68"/>
        <v/>
      </c>
      <c r="O1463" s="80"/>
      <c r="P1463" s="80"/>
      <c r="Q1463" s="80"/>
      <c r="R1463" s="80"/>
    </row>
    <row r="1464" ht="18" customHeight="1" spans="1:18">
      <c r="A1464" s="87" t="str">
        <f t="shared" si="66"/>
        <v/>
      </c>
      <c r="B1464" s="78"/>
      <c r="C1464" s="80"/>
      <c r="D1464" s="80"/>
      <c r="E1464" s="79"/>
      <c r="F1464" s="87" t="str">
        <f>IF($E1464="","",IFERROR(INDEX(基础资料!$O$4:$O$34,MATCH($E1464,基础资料!$N$4:$N$34,0))&amp;"",""))</f>
        <v/>
      </c>
      <c r="G1464" s="87" t="str">
        <f>IF($E1464="","",IFERROR(INDEX(基础资料!$P$4:$P$34,MATCH($E1464,基础资料!$N$4:$N$34,0))&amp;"",""))</f>
        <v/>
      </c>
      <c r="H1464" s="79"/>
      <c r="I1464" s="88"/>
      <c r="J1464" s="92"/>
      <c r="K1464" s="93"/>
      <c r="L1464" s="25" t="str">
        <f t="shared" si="67"/>
        <v/>
      </c>
      <c r="M1464" s="94"/>
      <c r="N1464" s="26" t="str">
        <f t="shared" si="68"/>
        <v/>
      </c>
      <c r="O1464" s="80"/>
      <c r="P1464" s="80"/>
      <c r="Q1464" s="80"/>
      <c r="R1464" s="80"/>
    </row>
    <row r="1465" ht="18" customHeight="1" spans="1:18">
      <c r="A1465" s="87" t="str">
        <f t="shared" si="66"/>
        <v/>
      </c>
      <c r="B1465" s="78"/>
      <c r="C1465" s="80"/>
      <c r="D1465" s="80"/>
      <c r="E1465" s="79"/>
      <c r="F1465" s="87" t="str">
        <f>IF($E1465="","",IFERROR(INDEX(基础资料!$O$4:$O$34,MATCH($E1465,基础资料!$N$4:$N$34,0))&amp;"",""))</f>
        <v/>
      </c>
      <c r="G1465" s="87" t="str">
        <f>IF($E1465="","",IFERROR(INDEX(基础资料!$P$4:$P$34,MATCH($E1465,基础资料!$N$4:$N$34,0))&amp;"",""))</f>
        <v/>
      </c>
      <c r="H1465" s="79"/>
      <c r="I1465" s="88"/>
      <c r="J1465" s="92"/>
      <c r="K1465" s="93"/>
      <c r="L1465" s="25" t="str">
        <f t="shared" si="67"/>
        <v/>
      </c>
      <c r="M1465" s="94"/>
      <c r="N1465" s="26" t="str">
        <f t="shared" si="68"/>
        <v/>
      </c>
      <c r="O1465" s="80"/>
      <c r="P1465" s="80"/>
      <c r="Q1465" s="80"/>
      <c r="R1465" s="80"/>
    </row>
    <row r="1466" ht="18" customHeight="1" spans="1:18">
      <c r="A1466" s="87" t="str">
        <f t="shared" si="66"/>
        <v/>
      </c>
      <c r="B1466" s="78"/>
      <c r="C1466" s="80"/>
      <c r="D1466" s="80"/>
      <c r="E1466" s="79"/>
      <c r="F1466" s="87" t="str">
        <f>IF($E1466="","",IFERROR(INDEX(基础资料!$O$4:$O$34,MATCH($E1466,基础资料!$N$4:$N$34,0))&amp;"",""))</f>
        <v/>
      </c>
      <c r="G1466" s="87" t="str">
        <f>IF($E1466="","",IFERROR(INDEX(基础资料!$P$4:$P$34,MATCH($E1466,基础资料!$N$4:$N$34,0))&amp;"",""))</f>
        <v/>
      </c>
      <c r="H1466" s="79"/>
      <c r="I1466" s="88"/>
      <c r="J1466" s="92"/>
      <c r="K1466" s="93"/>
      <c r="L1466" s="25" t="str">
        <f t="shared" si="67"/>
        <v/>
      </c>
      <c r="M1466" s="94"/>
      <c r="N1466" s="26" t="str">
        <f t="shared" si="68"/>
        <v/>
      </c>
      <c r="O1466" s="80"/>
      <c r="P1466" s="80"/>
      <c r="Q1466" s="80"/>
      <c r="R1466" s="80"/>
    </row>
    <row r="1467" ht="18" customHeight="1" spans="1:18">
      <c r="A1467" s="87" t="str">
        <f t="shared" si="66"/>
        <v/>
      </c>
      <c r="B1467" s="78"/>
      <c r="C1467" s="80"/>
      <c r="D1467" s="80"/>
      <c r="E1467" s="79"/>
      <c r="F1467" s="87" t="str">
        <f>IF($E1467="","",IFERROR(INDEX(基础资料!$O$4:$O$34,MATCH($E1467,基础资料!$N$4:$N$34,0))&amp;"",""))</f>
        <v/>
      </c>
      <c r="G1467" s="87" t="str">
        <f>IF($E1467="","",IFERROR(INDEX(基础资料!$P$4:$P$34,MATCH($E1467,基础资料!$N$4:$N$34,0))&amp;"",""))</f>
        <v/>
      </c>
      <c r="H1467" s="79"/>
      <c r="I1467" s="88"/>
      <c r="J1467" s="92"/>
      <c r="K1467" s="93"/>
      <c r="L1467" s="25" t="str">
        <f t="shared" si="67"/>
        <v/>
      </c>
      <c r="M1467" s="94"/>
      <c r="N1467" s="26" t="str">
        <f t="shared" si="68"/>
        <v/>
      </c>
      <c r="O1467" s="80"/>
      <c r="P1467" s="80"/>
      <c r="Q1467" s="80"/>
      <c r="R1467" s="80"/>
    </row>
    <row r="1468" ht="18" customHeight="1" spans="1:18">
      <c r="A1468" s="87" t="str">
        <f t="shared" si="66"/>
        <v/>
      </c>
      <c r="B1468" s="78"/>
      <c r="C1468" s="80"/>
      <c r="D1468" s="80"/>
      <c r="E1468" s="79"/>
      <c r="F1468" s="87" t="str">
        <f>IF($E1468="","",IFERROR(INDEX(基础资料!$O$4:$O$34,MATCH($E1468,基础资料!$N$4:$N$34,0))&amp;"",""))</f>
        <v/>
      </c>
      <c r="G1468" s="87" t="str">
        <f>IF($E1468="","",IFERROR(INDEX(基础资料!$P$4:$P$34,MATCH($E1468,基础资料!$N$4:$N$34,0))&amp;"",""))</f>
        <v/>
      </c>
      <c r="H1468" s="79"/>
      <c r="I1468" s="88"/>
      <c r="J1468" s="92"/>
      <c r="K1468" s="93"/>
      <c r="L1468" s="25" t="str">
        <f t="shared" si="67"/>
        <v/>
      </c>
      <c r="M1468" s="94"/>
      <c r="N1468" s="26" t="str">
        <f t="shared" si="68"/>
        <v/>
      </c>
      <c r="O1468" s="80"/>
      <c r="P1468" s="80"/>
      <c r="Q1468" s="80"/>
      <c r="R1468" s="80"/>
    </row>
    <row r="1469" ht="18" customHeight="1" spans="1:18">
      <c r="A1469" s="87" t="str">
        <f t="shared" si="66"/>
        <v/>
      </c>
      <c r="B1469" s="78"/>
      <c r="C1469" s="80"/>
      <c r="D1469" s="80"/>
      <c r="E1469" s="79"/>
      <c r="F1469" s="87" t="str">
        <f>IF($E1469="","",IFERROR(INDEX(基础资料!$O$4:$O$34,MATCH($E1469,基础资料!$N$4:$N$34,0))&amp;"",""))</f>
        <v/>
      </c>
      <c r="G1469" s="87" t="str">
        <f>IF($E1469="","",IFERROR(INDEX(基础资料!$P$4:$P$34,MATCH($E1469,基础资料!$N$4:$N$34,0))&amp;"",""))</f>
        <v/>
      </c>
      <c r="H1469" s="79"/>
      <c r="I1469" s="88"/>
      <c r="J1469" s="92"/>
      <c r="K1469" s="93"/>
      <c r="L1469" s="25" t="str">
        <f t="shared" si="67"/>
        <v/>
      </c>
      <c r="M1469" s="94"/>
      <c r="N1469" s="26" t="str">
        <f t="shared" si="68"/>
        <v/>
      </c>
      <c r="O1469" s="80"/>
      <c r="P1469" s="80"/>
      <c r="Q1469" s="80"/>
      <c r="R1469" s="80"/>
    </row>
    <row r="1470" ht="18" customHeight="1" spans="1:18">
      <c r="A1470" s="87" t="str">
        <f t="shared" si="66"/>
        <v/>
      </c>
      <c r="B1470" s="78"/>
      <c r="C1470" s="80"/>
      <c r="D1470" s="80"/>
      <c r="E1470" s="79"/>
      <c r="F1470" s="87" t="str">
        <f>IF($E1470="","",IFERROR(INDEX(基础资料!$O$4:$O$34,MATCH($E1470,基础资料!$N$4:$N$34,0))&amp;"",""))</f>
        <v/>
      </c>
      <c r="G1470" s="87" t="str">
        <f>IF($E1470="","",IFERROR(INDEX(基础资料!$P$4:$P$34,MATCH($E1470,基础资料!$N$4:$N$34,0))&amp;"",""))</f>
        <v/>
      </c>
      <c r="H1470" s="79"/>
      <c r="I1470" s="88"/>
      <c r="J1470" s="92"/>
      <c r="K1470" s="93"/>
      <c r="L1470" s="25" t="str">
        <f t="shared" si="67"/>
        <v/>
      </c>
      <c r="M1470" s="94"/>
      <c r="N1470" s="26" t="str">
        <f t="shared" si="68"/>
        <v/>
      </c>
      <c r="O1470" s="80"/>
      <c r="P1470" s="80"/>
      <c r="Q1470" s="80"/>
      <c r="R1470" s="80"/>
    </row>
    <row r="1471" ht="18" customHeight="1" spans="1:18">
      <c r="A1471" s="87" t="str">
        <f t="shared" si="66"/>
        <v/>
      </c>
      <c r="B1471" s="78"/>
      <c r="C1471" s="80"/>
      <c r="D1471" s="80"/>
      <c r="E1471" s="79"/>
      <c r="F1471" s="87" t="str">
        <f>IF($E1471="","",IFERROR(INDEX(基础资料!$O$4:$O$34,MATCH($E1471,基础资料!$N$4:$N$34,0))&amp;"",""))</f>
        <v/>
      </c>
      <c r="G1471" s="87" t="str">
        <f>IF($E1471="","",IFERROR(INDEX(基础资料!$P$4:$P$34,MATCH($E1471,基础资料!$N$4:$N$34,0))&amp;"",""))</f>
        <v/>
      </c>
      <c r="H1471" s="79"/>
      <c r="I1471" s="88"/>
      <c r="J1471" s="92"/>
      <c r="K1471" s="93"/>
      <c r="L1471" s="25" t="str">
        <f t="shared" si="67"/>
        <v/>
      </c>
      <c r="M1471" s="94"/>
      <c r="N1471" s="26" t="str">
        <f t="shared" si="68"/>
        <v/>
      </c>
      <c r="O1471" s="80"/>
      <c r="P1471" s="80"/>
      <c r="Q1471" s="80"/>
      <c r="R1471" s="80"/>
    </row>
    <row r="1472" ht="18" customHeight="1" spans="1:18">
      <c r="A1472" s="87" t="str">
        <f t="shared" si="66"/>
        <v/>
      </c>
      <c r="B1472" s="78"/>
      <c r="C1472" s="80"/>
      <c r="D1472" s="80"/>
      <c r="E1472" s="79"/>
      <c r="F1472" s="87" t="str">
        <f>IF($E1472="","",IFERROR(INDEX(基础资料!$O$4:$O$34,MATCH($E1472,基础资料!$N$4:$N$34,0))&amp;"",""))</f>
        <v/>
      </c>
      <c r="G1472" s="87" t="str">
        <f>IF($E1472="","",IFERROR(INDEX(基础资料!$P$4:$P$34,MATCH($E1472,基础资料!$N$4:$N$34,0))&amp;"",""))</f>
        <v/>
      </c>
      <c r="H1472" s="79"/>
      <c r="I1472" s="88"/>
      <c r="J1472" s="92"/>
      <c r="K1472" s="93"/>
      <c r="L1472" s="25" t="str">
        <f t="shared" si="67"/>
        <v/>
      </c>
      <c r="M1472" s="94"/>
      <c r="N1472" s="26" t="str">
        <f t="shared" si="68"/>
        <v/>
      </c>
      <c r="O1472" s="80"/>
      <c r="P1472" s="80"/>
      <c r="Q1472" s="80"/>
      <c r="R1472" s="80"/>
    </row>
    <row r="1473" ht="18" customHeight="1" spans="1:18">
      <c r="A1473" s="87" t="str">
        <f t="shared" si="66"/>
        <v/>
      </c>
      <c r="B1473" s="78"/>
      <c r="C1473" s="80"/>
      <c r="D1473" s="80"/>
      <c r="E1473" s="79"/>
      <c r="F1473" s="87" t="str">
        <f>IF($E1473="","",IFERROR(INDEX(基础资料!$O$4:$O$34,MATCH($E1473,基础资料!$N$4:$N$34,0))&amp;"",""))</f>
        <v/>
      </c>
      <c r="G1473" s="87" t="str">
        <f>IF($E1473="","",IFERROR(INDEX(基础资料!$P$4:$P$34,MATCH($E1473,基础资料!$N$4:$N$34,0))&amp;"",""))</f>
        <v/>
      </c>
      <c r="H1473" s="79"/>
      <c r="I1473" s="88"/>
      <c r="J1473" s="92"/>
      <c r="K1473" s="93"/>
      <c r="L1473" s="25" t="str">
        <f t="shared" si="67"/>
        <v/>
      </c>
      <c r="M1473" s="94"/>
      <c r="N1473" s="26" t="str">
        <f t="shared" si="68"/>
        <v/>
      </c>
      <c r="O1473" s="80"/>
      <c r="P1473" s="80"/>
      <c r="Q1473" s="80"/>
      <c r="R1473" s="80"/>
    </row>
    <row r="1474" ht="18" customHeight="1" spans="1:18">
      <c r="A1474" s="87" t="str">
        <f t="shared" si="66"/>
        <v/>
      </c>
      <c r="B1474" s="78"/>
      <c r="C1474" s="80"/>
      <c r="D1474" s="80"/>
      <c r="E1474" s="79"/>
      <c r="F1474" s="87" t="str">
        <f>IF($E1474="","",IFERROR(INDEX(基础资料!$O$4:$O$34,MATCH($E1474,基础资料!$N$4:$N$34,0))&amp;"",""))</f>
        <v/>
      </c>
      <c r="G1474" s="87" t="str">
        <f>IF($E1474="","",IFERROR(INDEX(基础资料!$P$4:$P$34,MATCH($E1474,基础资料!$N$4:$N$34,0))&amp;"",""))</f>
        <v/>
      </c>
      <c r="H1474" s="79"/>
      <c r="I1474" s="88"/>
      <c r="J1474" s="92"/>
      <c r="K1474" s="93"/>
      <c r="L1474" s="25" t="str">
        <f t="shared" si="67"/>
        <v/>
      </c>
      <c r="M1474" s="94"/>
      <c r="N1474" s="26" t="str">
        <f t="shared" si="68"/>
        <v/>
      </c>
      <c r="O1474" s="80"/>
      <c r="P1474" s="80"/>
      <c r="Q1474" s="80"/>
      <c r="R1474" s="80"/>
    </row>
    <row r="1475" ht="18" customHeight="1" spans="1:18">
      <c r="A1475" s="87" t="str">
        <f t="shared" si="66"/>
        <v/>
      </c>
      <c r="B1475" s="78"/>
      <c r="C1475" s="80"/>
      <c r="D1475" s="80"/>
      <c r="E1475" s="79"/>
      <c r="F1475" s="87" t="str">
        <f>IF($E1475="","",IFERROR(INDEX(基础资料!$O$4:$O$34,MATCH($E1475,基础资料!$N$4:$N$34,0))&amp;"",""))</f>
        <v/>
      </c>
      <c r="G1475" s="87" t="str">
        <f>IF($E1475="","",IFERROR(INDEX(基础资料!$P$4:$P$34,MATCH($E1475,基础资料!$N$4:$N$34,0))&amp;"",""))</f>
        <v/>
      </c>
      <c r="H1475" s="79"/>
      <c r="I1475" s="88"/>
      <c r="J1475" s="92"/>
      <c r="K1475" s="93"/>
      <c r="L1475" s="25" t="str">
        <f t="shared" si="67"/>
        <v/>
      </c>
      <c r="M1475" s="94"/>
      <c r="N1475" s="26" t="str">
        <f t="shared" si="68"/>
        <v/>
      </c>
      <c r="O1475" s="80"/>
      <c r="P1475" s="80"/>
      <c r="Q1475" s="80"/>
      <c r="R1475" s="80"/>
    </row>
    <row r="1476" ht="18" customHeight="1" spans="1:18">
      <c r="A1476" s="87" t="str">
        <f t="shared" ref="A1476:A1539" si="69">IF($E1476="","",ROW()-3)</f>
        <v/>
      </c>
      <c r="B1476" s="78"/>
      <c r="C1476" s="80"/>
      <c r="D1476" s="80"/>
      <c r="E1476" s="79"/>
      <c r="F1476" s="87" t="str">
        <f>IF($E1476="","",IFERROR(INDEX(基础资料!$O$4:$O$34,MATCH($E1476,基础资料!$N$4:$N$34,0))&amp;"",""))</f>
        <v/>
      </c>
      <c r="G1476" s="87" t="str">
        <f>IF($E1476="","",IFERROR(INDEX(基础资料!$P$4:$P$34,MATCH($E1476,基础资料!$N$4:$N$34,0))&amp;"",""))</f>
        <v/>
      </c>
      <c r="H1476" s="79"/>
      <c r="I1476" s="88"/>
      <c r="J1476" s="92"/>
      <c r="K1476" s="93"/>
      <c r="L1476" s="25" t="str">
        <f t="shared" ref="L1476:L1539" si="70">IF($E1476="","",N($I1476)+N($J1476)-N($K1476))</f>
        <v/>
      </c>
      <c r="M1476" s="94"/>
      <c r="N1476" s="26" t="str">
        <f t="shared" ref="N1476:N1539" si="71">IF($E1476="","",ROUND(N($L1476)*N($M1476),2))</f>
        <v/>
      </c>
      <c r="O1476" s="80"/>
      <c r="P1476" s="80"/>
      <c r="Q1476" s="80"/>
      <c r="R1476" s="80"/>
    </row>
    <row r="1477" ht="18" customHeight="1" spans="1:18">
      <c r="A1477" s="87" t="str">
        <f t="shared" si="69"/>
        <v/>
      </c>
      <c r="B1477" s="78"/>
      <c r="C1477" s="80"/>
      <c r="D1477" s="80"/>
      <c r="E1477" s="79"/>
      <c r="F1477" s="87" t="str">
        <f>IF($E1477="","",IFERROR(INDEX(基础资料!$O$4:$O$34,MATCH($E1477,基础资料!$N$4:$N$34,0))&amp;"",""))</f>
        <v/>
      </c>
      <c r="G1477" s="87" t="str">
        <f>IF($E1477="","",IFERROR(INDEX(基础资料!$P$4:$P$34,MATCH($E1477,基础资料!$N$4:$N$34,0))&amp;"",""))</f>
        <v/>
      </c>
      <c r="H1477" s="79"/>
      <c r="I1477" s="88"/>
      <c r="J1477" s="92"/>
      <c r="K1477" s="93"/>
      <c r="L1477" s="25" t="str">
        <f t="shared" si="70"/>
        <v/>
      </c>
      <c r="M1477" s="94"/>
      <c r="N1477" s="26" t="str">
        <f t="shared" si="71"/>
        <v/>
      </c>
      <c r="O1477" s="80"/>
      <c r="P1477" s="80"/>
      <c r="Q1477" s="80"/>
      <c r="R1477" s="80"/>
    </row>
    <row r="1478" ht="18" customHeight="1" spans="1:18">
      <c r="A1478" s="87" t="str">
        <f t="shared" si="69"/>
        <v/>
      </c>
      <c r="B1478" s="78"/>
      <c r="C1478" s="80"/>
      <c r="D1478" s="80"/>
      <c r="E1478" s="79"/>
      <c r="F1478" s="87" t="str">
        <f>IF($E1478="","",IFERROR(INDEX(基础资料!$O$4:$O$34,MATCH($E1478,基础资料!$N$4:$N$34,0))&amp;"",""))</f>
        <v/>
      </c>
      <c r="G1478" s="87" t="str">
        <f>IF($E1478="","",IFERROR(INDEX(基础资料!$P$4:$P$34,MATCH($E1478,基础资料!$N$4:$N$34,0))&amp;"",""))</f>
        <v/>
      </c>
      <c r="H1478" s="79"/>
      <c r="I1478" s="88"/>
      <c r="J1478" s="92"/>
      <c r="K1478" s="93"/>
      <c r="L1478" s="25" t="str">
        <f t="shared" si="70"/>
        <v/>
      </c>
      <c r="M1478" s="94"/>
      <c r="N1478" s="26" t="str">
        <f t="shared" si="71"/>
        <v/>
      </c>
      <c r="O1478" s="80"/>
      <c r="P1478" s="80"/>
      <c r="Q1478" s="80"/>
      <c r="R1478" s="80"/>
    </row>
    <row r="1479" ht="18" customHeight="1" spans="1:18">
      <c r="A1479" s="87" t="str">
        <f t="shared" si="69"/>
        <v/>
      </c>
      <c r="B1479" s="78"/>
      <c r="C1479" s="80"/>
      <c r="D1479" s="80"/>
      <c r="E1479" s="79"/>
      <c r="F1479" s="87" t="str">
        <f>IF($E1479="","",IFERROR(INDEX(基础资料!$O$4:$O$34,MATCH($E1479,基础资料!$N$4:$N$34,0))&amp;"",""))</f>
        <v/>
      </c>
      <c r="G1479" s="87" t="str">
        <f>IF($E1479="","",IFERROR(INDEX(基础资料!$P$4:$P$34,MATCH($E1479,基础资料!$N$4:$N$34,0))&amp;"",""))</f>
        <v/>
      </c>
      <c r="H1479" s="79"/>
      <c r="I1479" s="88"/>
      <c r="J1479" s="92"/>
      <c r="K1479" s="93"/>
      <c r="L1479" s="25" t="str">
        <f t="shared" si="70"/>
        <v/>
      </c>
      <c r="M1479" s="94"/>
      <c r="N1479" s="26" t="str">
        <f t="shared" si="71"/>
        <v/>
      </c>
      <c r="O1479" s="80"/>
      <c r="P1479" s="80"/>
      <c r="Q1479" s="80"/>
      <c r="R1479" s="80"/>
    </row>
    <row r="1480" ht="18" customHeight="1" spans="1:18">
      <c r="A1480" s="87" t="str">
        <f t="shared" si="69"/>
        <v/>
      </c>
      <c r="B1480" s="78"/>
      <c r="C1480" s="80"/>
      <c r="D1480" s="80"/>
      <c r="E1480" s="79"/>
      <c r="F1480" s="87" t="str">
        <f>IF($E1480="","",IFERROR(INDEX(基础资料!$O$4:$O$34,MATCH($E1480,基础资料!$N$4:$N$34,0))&amp;"",""))</f>
        <v/>
      </c>
      <c r="G1480" s="87" t="str">
        <f>IF($E1480="","",IFERROR(INDEX(基础资料!$P$4:$P$34,MATCH($E1480,基础资料!$N$4:$N$34,0))&amp;"",""))</f>
        <v/>
      </c>
      <c r="H1480" s="79"/>
      <c r="I1480" s="88"/>
      <c r="J1480" s="92"/>
      <c r="K1480" s="93"/>
      <c r="L1480" s="25" t="str">
        <f t="shared" si="70"/>
        <v/>
      </c>
      <c r="M1480" s="94"/>
      <c r="N1480" s="26" t="str">
        <f t="shared" si="71"/>
        <v/>
      </c>
      <c r="O1480" s="80"/>
      <c r="P1480" s="80"/>
      <c r="Q1480" s="80"/>
      <c r="R1480" s="80"/>
    </row>
    <row r="1481" ht="18" customHeight="1" spans="1:18">
      <c r="A1481" s="87" t="str">
        <f t="shared" si="69"/>
        <v/>
      </c>
      <c r="B1481" s="78"/>
      <c r="C1481" s="80"/>
      <c r="D1481" s="80"/>
      <c r="E1481" s="79"/>
      <c r="F1481" s="87" t="str">
        <f>IF($E1481="","",IFERROR(INDEX(基础资料!$O$4:$O$34,MATCH($E1481,基础资料!$N$4:$N$34,0))&amp;"",""))</f>
        <v/>
      </c>
      <c r="G1481" s="87" t="str">
        <f>IF($E1481="","",IFERROR(INDEX(基础资料!$P$4:$P$34,MATCH($E1481,基础资料!$N$4:$N$34,0))&amp;"",""))</f>
        <v/>
      </c>
      <c r="H1481" s="79"/>
      <c r="I1481" s="88"/>
      <c r="J1481" s="92"/>
      <c r="K1481" s="93"/>
      <c r="L1481" s="25" t="str">
        <f t="shared" si="70"/>
        <v/>
      </c>
      <c r="M1481" s="94"/>
      <c r="N1481" s="26" t="str">
        <f t="shared" si="71"/>
        <v/>
      </c>
      <c r="O1481" s="80"/>
      <c r="P1481" s="80"/>
      <c r="Q1481" s="80"/>
      <c r="R1481" s="80"/>
    </row>
    <row r="1482" ht="18" customHeight="1" spans="1:18">
      <c r="A1482" s="87" t="str">
        <f t="shared" si="69"/>
        <v/>
      </c>
      <c r="B1482" s="78"/>
      <c r="C1482" s="80"/>
      <c r="D1482" s="80"/>
      <c r="E1482" s="79"/>
      <c r="F1482" s="87" t="str">
        <f>IF($E1482="","",IFERROR(INDEX(基础资料!$O$4:$O$34,MATCH($E1482,基础资料!$N$4:$N$34,0))&amp;"",""))</f>
        <v/>
      </c>
      <c r="G1482" s="87" t="str">
        <f>IF($E1482="","",IFERROR(INDEX(基础资料!$P$4:$P$34,MATCH($E1482,基础资料!$N$4:$N$34,0))&amp;"",""))</f>
        <v/>
      </c>
      <c r="H1482" s="79"/>
      <c r="I1482" s="88"/>
      <c r="J1482" s="92"/>
      <c r="K1482" s="93"/>
      <c r="L1482" s="25" t="str">
        <f t="shared" si="70"/>
        <v/>
      </c>
      <c r="M1482" s="94"/>
      <c r="N1482" s="26" t="str">
        <f t="shared" si="71"/>
        <v/>
      </c>
      <c r="O1482" s="80"/>
      <c r="P1482" s="80"/>
      <c r="Q1482" s="80"/>
      <c r="R1482" s="80"/>
    </row>
    <row r="1483" ht="18" customHeight="1" spans="1:18">
      <c r="A1483" s="87" t="str">
        <f t="shared" si="69"/>
        <v/>
      </c>
      <c r="B1483" s="78"/>
      <c r="C1483" s="80"/>
      <c r="D1483" s="80"/>
      <c r="E1483" s="79"/>
      <c r="F1483" s="87" t="str">
        <f>IF($E1483="","",IFERROR(INDEX(基础资料!$O$4:$O$34,MATCH($E1483,基础资料!$N$4:$N$34,0))&amp;"",""))</f>
        <v/>
      </c>
      <c r="G1483" s="87" t="str">
        <f>IF($E1483="","",IFERROR(INDEX(基础资料!$P$4:$P$34,MATCH($E1483,基础资料!$N$4:$N$34,0))&amp;"",""))</f>
        <v/>
      </c>
      <c r="H1483" s="79"/>
      <c r="I1483" s="88"/>
      <c r="J1483" s="92"/>
      <c r="K1483" s="93"/>
      <c r="L1483" s="25" t="str">
        <f t="shared" si="70"/>
        <v/>
      </c>
      <c r="M1483" s="94"/>
      <c r="N1483" s="26" t="str">
        <f t="shared" si="71"/>
        <v/>
      </c>
      <c r="O1483" s="80"/>
      <c r="P1483" s="80"/>
      <c r="Q1483" s="80"/>
      <c r="R1483" s="80"/>
    </row>
    <row r="1484" ht="18" customHeight="1" spans="1:18">
      <c r="A1484" s="87" t="str">
        <f t="shared" si="69"/>
        <v/>
      </c>
      <c r="B1484" s="78"/>
      <c r="C1484" s="80"/>
      <c r="D1484" s="80"/>
      <c r="E1484" s="79"/>
      <c r="F1484" s="87" t="str">
        <f>IF($E1484="","",IFERROR(INDEX(基础资料!$O$4:$O$34,MATCH($E1484,基础资料!$N$4:$N$34,0))&amp;"",""))</f>
        <v/>
      </c>
      <c r="G1484" s="87" t="str">
        <f>IF($E1484="","",IFERROR(INDEX(基础资料!$P$4:$P$34,MATCH($E1484,基础资料!$N$4:$N$34,0))&amp;"",""))</f>
        <v/>
      </c>
      <c r="H1484" s="79"/>
      <c r="I1484" s="88"/>
      <c r="J1484" s="92"/>
      <c r="K1484" s="93"/>
      <c r="L1484" s="25" t="str">
        <f t="shared" si="70"/>
        <v/>
      </c>
      <c r="M1484" s="94"/>
      <c r="N1484" s="26" t="str">
        <f t="shared" si="71"/>
        <v/>
      </c>
      <c r="O1484" s="80"/>
      <c r="P1484" s="80"/>
      <c r="Q1484" s="80"/>
      <c r="R1484" s="80"/>
    </row>
    <row r="1485" ht="18" customHeight="1" spans="1:18">
      <c r="A1485" s="87" t="str">
        <f t="shared" si="69"/>
        <v/>
      </c>
      <c r="B1485" s="78"/>
      <c r="C1485" s="80"/>
      <c r="D1485" s="80"/>
      <c r="E1485" s="79"/>
      <c r="F1485" s="87" t="str">
        <f>IF($E1485="","",IFERROR(INDEX(基础资料!$O$4:$O$34,MATCH($E1485,基础资料!$N$4:$N$34,0))&amp;"",""))</f>
        <v/>
      </c>
      <c r="G1485" s="87" t="str">
        <f>IF($E1485="","",IFERROR(INDEX(基础资料!$P$4:$P$34,MATCH($E1485,基础资料!$N$4:$N$34,0))&amp;"",""))</f>
        <v/>
      </c>
      <c r="H1485" s="79"/>
      <c r="I1485" s="88"/>
      <c r="J1485" s="92"/>
      <c r="K1485" s="93"/>
      <c r="L1485" s="25" t="str">
        <f t="shared" si="70"/>
        <v/>
      </c>
      <c r="M1485" s="94"/>
      <c r="N1485" s="26" t="str">
        <f t="shared" si="71"/>
        <v/>
      </c>
      <c r="O1485" s="80"/>
      <c r="P1485" s="80"/>
      <c r="Q1485" s="80"/>
      <c r="R1485" s="80"/>
    </row>
    <row r="1486" ht="18" customHeight="1" spans="1:18">
      <c r="A1486" s="87" t="str">
        <f t="shared" si="69"/>
        <v/>
      </c>
      <c r="B1486" s="78"/>
      <c r="C1486" s="80"/>
      <c r="D1486" s="80"/>
      <c r="E1486" s="79"/>
      <c r="F1486" s="87" t="str">
        <f>IF($E1486="","",IFERROR(INDEX(基础资料!$O$4:$O$34,MATCH($E1486,基础资料!$N$4:$N$34,0))&amp;"",""))</f>
        <v/>
      </c>
      <c r="G1486" s="87" t="str">
        <f>IF($E1486="","",IFERROR(INDEX(基础资料!$P$4:$P$34,MATCH($E1486,基础资料!$N$4:$N$34,0))&amp;"",""))</f>
        <v/>
      </c>
      <c r="H1486" s="79"/>
      <c r="I1486" s="88"/>
      <c r="J1486" s="92"/>
      <c r="K1486" s="93"/>
      <c r="L1486" s="25" t="str">
        <f t="shared" si="70"/>
        <v/>
      </c>
      <c r="M1486" s="94"/>
      <c r="N1486" s="26" t="str">
        <f t="shared" si="71"/>
        <v/>
      </c>
      <c r="O1486" s="80"/>
      <c r="P1486" s="80"/>
      <c r="Q1486" s="80"/>
      <c r="R1486" s="80"/>
    </row>
    <row r="1487" ht="18" customHeight="1" spans="1:18">
      <c r="A1487" s="87" t="str">
        <f t="shared" si="69"/>
        <v/>
      </c>
      <c r="B1487" s="78"/>
      <c r="C1487" s="80"/>
      <c r="D1487" s="80"/>
      <c r="E1487" s="79"/>
      <c r="F1487" s="87" t="str">
        <f>IF($E1487="","",IFERROR(INDEX(基础资料!$O$4:$O$34,MATCH($E1487,基础资料!$N$4:$N$34,0))&amp;"",""))</f>
        <v/>
      </c>
      <c r="G1487" s="87" t="str">
        <f>IF($E1487="","",IFERROR(INDEX(基础资料!$P$4:$P$34,MATCH($E1487,基础资料!$N$4:$N$34,0))&amp;"",""))</f>
        <v/>
      </c>
      <c r="H1487" s="79"/>
      <c r="I1487" s="88"/>
      <c r="J1487" s="92"/>
      <c r="K1487" s="93"/>
      <c r="L1487" s="25" t="str">
        <f t="shared" si="70"/>
        <v/>
      </c>
      <c r="M1487" s="94"/>
      <c r="N1487" s="26" t="str">
        <f t="shared" si="71"/>
        <v/>
      </c>
      <c r="O1487" s="80"/>
      <c r="P1487" s="80"/>
      <c r="Q1487" s="80"/>
      <c r="R1487" s="80"/>
    </row>
    <row r="1488" ht="18" customHeight="1" spans="1:18">
      <c r="A1488" s="87" t="str">
        <f t="shared" si="69"/>
        <v/>
      </c>
      <c r="B1488" s="78"/>
      <c r="C1488" s="80"/>
      <c r="D1488" s="80"/>
      <c r="E1488" s="79"/>
      <c r="F1488" s="87" t="str">
        <f>IF($E1488="","",IFERROR(INDEX(基础资料!$O$4:$O$34,MATCH($E1488,基础资料!$N$4:$N$34,0))&amp;"",""))</f>
        <v/>
      </c>
      <c r="G1488" s="87" t="str">
        <f>IF($E1488="","",IFERROR(INDEX(基础资料!$P$4:$P$34,MATCH($E1488,基础资料!$N$4:$N$34,0))&amp;"",""))</f>
        <v/>
      </c>
      <c r="H1488" s="79"/>
      <c r="I1488" s="88"/>
      <c r="J1488" s="92"/>
      <c r="K1488" s="93"/>
      <c r="L1488" s="25" t="str">
        <f t="shared" si="70"/>
        <v/>
      </c>
      <c r="M1488" s="94"/>
      <c r="N1488" s="26" t="str">
        <f t="shared" si="71"/>
        <v/>
      </c>
      <c r="O1488" s="80"/>
      <c r="P1488" s="80"/>
      <c r="Q1488" s="80"/>
      <c r="R1488" s="80"/>
    </row>
    <row r="1489" ht="18" customHeight="1" spans="1:18">
      <c r="A1489" s="87" t="str">
        <f t="shared" si="69"/>
        <v/>
      </c>
      <c r="B1489" s="78"/>
      <c r="C1489" s="80"/>
      <c r="D1489" s="80"/>
      <c r="E1489" s="79"/>
      <c r="F1489" s="87" t="str">
        <f>IF($E1489="","",IFERROR(INDEX(基础资料!$O$4:$O$34,MATCH($E1489,基础资料!$N$4:$N$34,0))&amp;"",""))</f>
        <v/>
      </c>
      <c r="G1489" s="87" t="str">
        <f>IF($E1489="","",IFERROR(INDEX(基础资料!$P$4:$P$34,MATCH($E1489,基础资料!$N$4:$N$34,0))&amp;"",""))</f>
        <v/>
      </c>
      <c r="H1489" s="79"/>
      <c r="I1489" s="88"/>
      <c r="J1489" s="92"/>
      <c r="K1489" s="93"/>
      <c r="L1489" s="25" t="str">
        <f t="shared" si="70"/>
        <v/>
      </c>
      <c r="M1489" s="94"/>
      <c r="N1489" s="26" t="str">
        <f t="shared" si="71"/>
        <v/>
      </c>
      <c r="O1489" s="80"/>
      <c r="P1489" s="80"/>
      <c r="Q1489" s="80"/>
      <c r="R1489" s="80"/>
    </row>
    <row r="1490" ht="18" customHeight="1" spans="1:18">
      <c r="A1490" s="87" t="str">
        <f t="shared" si="69"/>
        <v/>
      </c>
      <c r="B1490" s="78"/>
      <c r="C1490" s="80"/>
      <c r="D1490" s="80"/>
      <c r="E1490" s="79"/>
      <c r="F1490" s="87" t="str">
        <f>IF($E1490="","",IFERROR(INDEX(基础资料!$O$4:$O$34,MATCH($E1490,基础资料!$N$4:$N$34,0))&amp;"",""))</f>
        <v/>
      </c>
      <c r="G1490" s="87" t="str">
        <f>IF($E1490="","",IFERROR(INDEX(基础资料!$P$4:$P$34,MATCH($E1490,基础资料!$N$4:$N$34,0))&amp;"",""))</f>
        <v/>
      </c>
      <c r="H1490" s="79"/>
      <c r="I1490" s="88"/>
      <c r="J1490" s="92"/>
      <c r="K1490" s="93"/>
      <c r="L1490" s="25" t="str">
        <f t="shared" si="70"/>
        <v/>
      </c>
      <c r="M1490" s="94"/>
      <c r="N1490" s="26" t="str">
        <f t="shared" si="71"/>
        <v/>
      </c>
      <c r="O1490" s="80"/>
      <c r="P1490" s="80"/>
      <c r="Q1490" s="80"/>
      <c r="R1490" s="80"/>
    </row>
    <row r="1491" ht="18" customHeight="1" spans="1:18">
      <c r="A1491" s="87" t="str">
        <f t="shared" si="69"/>
        <v/>
      </c>
      <c r="B1491" s="78"/>
      <c r="C1491" s="80"/>
      <c r="D1491" s="80"/>
      <c r="E1491" s="79"/>
      <c r="F1491" s="87" t="str">
        <f>IF($E1491="","",IFERROR(INDEX(基础资料!$O$4:$O$34,MATCH($E1491,基础资料!$N$4:$N$34,0))&amp;"",""))</f>
        <v/>
      </c>
      <c r="G1491" s="87" t="str">
        <f>IF($E1491="","",IFERROR(INDEX(基础资料!$P$4:$P$34,MATCH($E1491,基础资料!$N$4:$N$34,0))&amp;"",""))</f>
        <v/>
      </c>
      <c r="H1491" s="79"/>
      <c r="I1491" s="88"/>
      <c r="J1491" s="92"/>
      <c r="K1491" s="93"/>
      <c r="L1491" s="25" t="str">
        <f t="shared" si="70"/>
        <v/>
      </c>
      <c r="M1491" s="94"/>
      <c r="N1491" s="26" t="str">
        <f t="shared" si="71"/>
        <v/>
      </c>
      <c r="O1491" s="80"/>
      <c r="P1491" s="80"/>
      <c r="Q1491" s="80"/>
      <c r="R1491" s="80"/>
    </row>
    <row r="1492" ht="18" customHeight="1" spans="1:18">
      <c r="A1492" s="87" t="str">
        <f t="shared" si="69"/>
        <v/>
      </c>
      <c r="B1492" s="78"/>
      <c r="C1492" s="80"/>
      <c r="D1492" s="80"/>
      <c r="E1492" s="79"/>
      <c r="F1492" s="87" t="str">
        <f>IF($E1492="","",IFERROR(INDEX(基础资料!$O$4:$O$34,MATCH($E1492,基础资料!$N$4:$N$34,0))&amp;"",""))</f>
        <v/>
      </c>
      <c r="G1492" s="87" t="str">
        <f>IF($E1492="","",IFERROR(INDEX(基础资料!$P$4:$P$34,MATCH($E1492,基础资料!$N$4:$N$34,0))&amp;"",""))</f>
        <v/>
      </c>
      <c r="H1492" s="79"/>
      <c r="I1492" s="88"/>
      <c r="J1492" s="92"/>
      <c r="K1492" s="93"/>
      <c r="L1492" s="25" t="str">
        <f t="shared" si="70"/>
        <v/>
      </c>
      <c r="M1492" s="94"/>
      <c r="N1492" s="26" t="str">
        <f t="shared" si="71"/>
        <v/>
      </c>
      <c r="O1492" s="80"/>
      <c r="P1492" s="80"/>
      <c r="Q1492" s="80"/>
      <c r="R1492" s="80"/>
    </row>
    <row r="1493" ht="18" customHeight="1" spans="1:18">
      <c r="A1493" s="87" t="str">
        <f t="shared" si="69"/>
        <v/>
      </c>
      <c r="B1493" s="78"/>
      <c r="C1493" s="80"/>
      <c r="D1493" s="80"/>
      <c r="E1493" s="79"/>
      <c r="F1493" s="87" t="str">
        <f>IF($E1493="","",IFERROR(INDEX(基础资料!$O$4:$O$34,MATCH($E1493,基础资料!$N$4:$N$34,0))&amp;"",""))</f>
        <v/>
      </c>
      <c r="G1493" s="87" t="str">
        <f>IF($E1493="","",IFERROR(INDEX(基础资料!$P$4:$P$34,MATCH($E1493,基础资料!$N$4:$N$34,0))&amp;"",""))</f>
        <v/>
      </c>
      <c r="H1493" s="79"/>
      <c r="I1493" s="88"/>
      <c r="J1493" s="92"/>
      <c r="K1493" s="93"/>
      <c r="L1493" s="25" t="str">
        <f t="shared" si="70"/>
        <v/>
      </c>
      <c r="M1493" s="94"/>
      <c r="N1493" s="26" t="str">
        <f t="shared" si="71"/>
        <v/>
      </c>
      <c r="O1493" s="80"/>
      <c r="P1493" s="80"/>
      <c r="Q1493" s="80"/>
      <c r="R1493" s="80"/>
    </row>
    <row r="1494" ht="18" customHeight="1" spans="1:18">
      <c r="A1494" s="87" t="str">
        <f t="shared" si="69"/>
        <v/>
      </c>
      <c r="B1494" s="78"/>
      <c r="C1494" s="80"/>
      <c r="D1494" s="80"/>
      <c r="E1494" s="79"/>
      <c r="F1494" s="87" t="str">
        <f>IF($E1494="","",IFERROR(INDEX(基础资料!$O$4:$O$34,MATCH($E1494,基础资料!$N$4:$N$34,0))&amp;"",""))</f>
        <v/>
      </c>
      <c r="G1494" s="87" t="str">
        <f>IF($E1494="","",IFERROR(INDEX(基础资料!$P$4:$P$34,MATCH($E1494,基础资料!$N$4:$N$34,0))&amp;"",""))</f>
        <v/>
      </c>
      <c r="H1494" s="79"/>
      <c r="I1494" s="88"/>
      <c r="J1494" s="92"/>
      <c r="K1494" s="93"/>
      <c r="L1494" s="25" t="str">
        <f t="shared" si="70"/>
        <v/>
      </c>
      <c r="M1494" s="94"/>
      <c r="N1494" s="26" t="str">
        <f t="shared" si="71"/>
        <v/>
      </c>
      <c r="O1494" s="80"/>
      <c r="P1494" s="80"/>
      <c r="Q1494" s="80"/>
      <c r="R1494" s="80"/>
    </row>
    <row r="1495" ht="18" customHeight="1" spans="1:18">
      <c r="A1495" s="87" t="str">
        <f t="shared" si="69"/>
        <v/>
      </c>
      <c r="B1495" s="78"/>
      <c r="C1495" s="80"/>
      <c r="D1495" s="80"/>
      <c r="E1495" s="79"/>
      <c r="F1495" s="87" t="str">
        <f>IF($E1495="","",IFERROR(INDEX(基础资料!$O$4:$O$34,MATCH($E1495,基础资料!$N$4:$N$34,0))&amp;"",""))</f>
        <v/>
      </c>
      <c r="G1495" s="87" t="str">
        <f>IF($E1495="","",IFERROR(INDEX(基础资料!$P$4:$P$34,MATCH($E1495,基础资料!$N$4:$N$34,0))&amp;"",""))</f>
        <v/>
      </c>
      <c r="H1495" s="79"/>
      <c r="I1495" s="88"/>
      <c r="J1495" s="92"/>
      <c r="K1495" s="93"/>
      <c r="L1495" s="25" t="str">
        <f t="shared" si="70"/>
        <v/>
      </c>
      <c r="M1495" s="94"/>
      <c r="N1495" s="26" t="str">
        <f t="shared" si="71"/>
        <v/>
      </c>
      <c r="O1495" s="80"/>
      <c r="P1495" s="80"/>
      <c r="Q1495" s="80"/>
      <c r="R1495" s="80"/>
    </row>
    <row r="1496" ht="18" customHeight="1" spans="1:18">
      <c r="A1496" s="87" t="str">
        <f t="shared" si="69"/>
        <v/>
      </c>
      <c r="B1496" s="78"/>
      <c r="C1496" s="80"/>
      <c r="D1496" s="80"/>
      <c r="E1496" s="79"/>
      <c r="F1496" s="87" t="str">
        <f>IF($E1496="","",IFERROR(INDEX(基础资料!$O$4:$O$34,MATCH($E1496,基础资料!$N$4:$N$34,0))&amp;"",""))</f>
        <v/>
      </c>
      <c r="G1496" s="87" t="str">
        <f>IF($E1496="","",IFERROR(INDEX(基础资料!$P$4:$P$34,MATCH($E1496,基础资料!$N$4:$N$34,0))&amp;"",""))</f>
        <v/>
      </c>
      <c r="H1496" s="79"/>
      <c r="I1496" s="88"/>
      <c r="J1496" s="92"/>
      <c r="K1496" s="93"/>
      <c r="L1496" s="25" t="str">
        <f t="shared" si="70"/>
        <v/>
      </c>
      <c r="M1496" s="94"/>
      <c r="N1496" s="26" t="str">
        <f t="shared" si="71"/>
        <v/>
      </c>
      <c r="O1496" s="80"/>
      <c r="P1496" s="80"/>
      <c r="Q1496" s="80"/>
      <c r="R1496" s="80"/>
    </row>
    <row r="1497" ht="18" customHeight="1" spans="1:18">
      <c r="A1497" s="87" t="str">
        <f t="shared" si="69"/>
        <v/>
      </c>
      <c r="B1497" s="78"/>
      <c r="C1497" s="80"/>
      <c r="D1497" s="80"/>
      <c r="E1497" s="79"/>
      <c r="F1497" s="87" t="str">
        <f>IF($E1497="","",IFERROR(INDEX(基础资料!$O$4:$O$34,MATCH($E1497,基础资料!$N$4:$N$34,0))&amp;"",""))</f>
        <v/>
      </c>
      <c r="G1497" s="87" t="str">
        <f>IF($E1497="","",IFERROR(INDEX(基础资料!$P$4:$P$34,MATCH($E1497,基础资料!$N$4:$N$34,0))&amp;"",""))</f>
        <v/>
      </c>
      <c r="H1497" s="79"/>
      <c r="I1497" s="88"/>
      <c r="J1497" s="92"/>
      <c r="K1497" s="93"/>
      <c r="L1497" s="25" t="str">
        <f t="shared" si="70"/>
        <v/>
      </c>
      <c r="M1497" s="94"/>
      <c r="N1497" s="26" t="str">
        <f t="shared" si="71"/>
        <v/>
      </c>
      <c r="O1497" s="80"/>
      <c r="P1497" s="80"/>
      <c r="Q1497" s="80"/>
      <c r="R1497" s="80"/>
    </row>
    <row r="1498" ht="18" customHeight="1" spans="1:18">
      <c r="A1498" s="87" t="str">
        <f t="shared" si="69"/>
        <v/>
      </c>
      <c r="B1498" s="78"/>
      <c r="C1498" s="80"/>
      <c r="D1498" s="80"/>
      <c r="E1498" s="79"/>
      <c r="F1498" s="87" t="str">
        <f>IF($E1498="","",IFERROR(INDEX(基础资料!$O$4:$O$34,MATCH($E1498,基础资料!$N$4:$N$34,0))&amp;"",""))</f>
        <v/>
      </c>
      <c r="G1498" s="87" t="str">
        <f>IF($E1498="","",IFERROR(INDEX(基础资料!$P$4:$P$34,MATCH($E1498,基础资料!$N$4:$N$34,0))&amp;"",""))</f>
        <v/>
      </c>
      <c r="H1498" s="79"/>
      <c r="I1498" s="88"/>
      <c r="J1498" s="92"/>
      <c r="K1498" s="93"/>
      <c r="L1498" s="25" t="str">
        <f t="shared" si="70"/>
        <v/>
      </c>
      <c r="M1498" s="94"/>
      <c r="N1498" s="26" t="str">
        <f t="shared" si="71"/>
        <v/>
      </c>
      <c r="O1498" s="80"/>
      <c r="P1498" s="80"/>
      <c r="Q1498" s="80"/>
      <c r="R1498" s="80"/>
    </row>
    <row r="1499" ht="18" customHeight="1" spans="1:18">
      <c r="A1499" s="87" t="str">
        <f t="shared" si="69"/>
        <v/>
      </c>
      <c r="B1499" s="78"/>
      <c r="C1499" s="80"/>
      <c r="D1499" s="80"/>
      <c r="E1499" s="79"/>
      <c r="F1499" s="87" t="str">
        <f>IF($E1499="","",IFERROR(INDEX(基础资料!$O$4:$O$34,MATCH($E1499,基础资料!$N$4:$N$34,0))&amp;"",""))</f>
        <v/>
      </c>
      <c r="G1499" s="87" t="str">
        <f>IF($E1499="","",IFERROR(INDEX(基础资料!$P$4:$P$34,MATCH($E1499,基础资料!$N$4:$N$34,0))&amp;"",""))</f>
        <v/>
      </c>
      <c r="H1499" s="79"/>
      <c r="I1499" s="88"/>
      <c r="J1499" s="92"/>
      <c r="K1499" s="93"/>
      <c r="L1499" s="25" t="str">
        <f t="shared" si="70"/>
        <v/>
      </c>
      <c r="M1499" s="94"/>
      <c r="N1499" s="26" t="str">
        <f t="shared" si="71"/>
        <v/>
      </c>
      <c r="O1499" s="80"/>
      <c r="P1499" s="80"/>
      <c r="Q1499" s="80"/>
      <c r="R1499" s="80"/>
    </row>
    <row r="1500" ht="18" customHeight="1" spans="1:18">
      <c r="A1500" s="87" t="str">
        <f t="shared" si="69"/>
        <v/>
      </c>
      <c r="B1500" s="78"/>
      <c r="C1500" s="80"/>
      <c r="D1500" s="80"/>
      <c r="E1500" s="79"/>
      <c r="F1500" s="87" t="str">
        <f>IF($E1500="","",IFERROR(INDEX(基础资料!$O$4:$O$34,MATCH($E1500,基础资料!$N$4:$N$34,0))&amp;"",""))</f>
        <v/>
      </c>
      <c r="G1500" s="87" t="str">
        <f>IF($E1500="","",IFERROR(INDEX(基础资料!$P$4:$P$34,MATCH($E1500,基础资料!$N$4:$N$34,0))&amp;"",""))</f>
        <v/>
      </c>
      <c r="H1500" s="79"/>
      <c r="I1500" s="88"/>
      <c r="J1500" s="92"/>
      <c r="K1500" s="93"/>
      <c r="L1500" s="25" t="str">
        <f t="shared" si="70"/>
        <v/>
      </c>
      <c r="M1500" s="94"/>
      <c r="N1500" s="26" t="str">
        <f t="shared" si="71"/>
        <v/>
      </c>
      <c r="O1500" s="80"/>
      <c r="P1500" s="80"/>
      <c r="Q1500" s="80"/>
      <c r="R1500" s="80"/>
    </row>
    <row r="1501" ht="18" customHeight="1" spans="1:18">
      <c r="A1501" s="87" t="str">
        <f t="shared" si="69"/>
        <v/>
      </c>
      <c r="B1501" s="78"/>
      <c r="C1501" s="80"/>
      <c r="D1501" s="80"/>
      <c r="E1501" s="79"/>
      <c r="F1501" s="87" t="str">
        <f>IF($E1501="","",IFERROR(INDEX(基础资料!$O$4:$O$34,MATCH($E1501,基础资料!$N$4:$N$34,0))&amp;"",""))</f>
        <v/>
      </c>
      <c r="G1501" s="87" t="str">
        <f>IF($E1501="","",IFERROR(INDEX(基础资料!$P$4:$P$34,MATCH($E1501,基础资料!$N$4:$N$34,0))&amp;"",""))</f>
        <v/>
      </c>
      <c r="H1501" s="79"/>
      <c r="I1501" s="88"/>
      <c r="J1501" s="92"/>
      <c r="K1501" s="93"/>
      <c r="L1501" s="25" t="str">
        <f t="shared" si="70"/>
        <v/>
      </c>
      <c r="M1501" s="94"/>
      <c r="N1501" s="26" t="str">
        <f t="shared" si="71"/>
        <v/>
      </c>
      <c r="O1501" s="80"/>
      <c r="P1501" s="80"/>
      <c r="Q1501" s="80"/>
      <c r="R1501" s="80"/>
    </row>
    <row r="1502" ht="18" customHeight="1" spans="1:18">
      <c r="A1502" s="87" t="str">
        <f t="shared" si="69"/>
        <v/>
      </c>
      <c r="B1502" s="78"/>
      <c r="C1502" s="80"/>
      <c r="D1502" s="80"/>
      <c r="E1502" s="79"/>
      <c r="F1502" s="87" t="str">
        <f>IF($E1502="","",IFERROR(INDEX(基础资料!$O$4:$O$34,MATCH($E1502,基础资料!$N$4:$N$34,0))&amp;"",""))</f>
        <v/>
      </c>
      <c r="G1502" s="87" t="str">
        <f>IF($E1502="","",IFERROR(INDEX(基础资料!$P$4:$P$34,MATCH($E1502,基础资料!$N$4:$N$34,0))&amp;"",""))</f>
        <v/>
      </c>
      <c r="H1502" s="79"/>
      <c r="I1502" s="88"/>
      <c r="J1502" s="92"/>
      <c r="K1502" s="93"/>
      <c r="L1502" s="25" t="str">
        <f t="shared" si="70"/>
        <v/>
      </c>
      <c r="M1502" s="94"/>
      <c r="N1502" s="26" t="str">
        <f t="shared" si="71"/>
        <v/>
      </c>
      <c r="O1502" s="80"/>
      <c r="P1502" s="80"/>
      <c r="Q1502" s="80"/>
      <c r="R1502" s="80"/>
    </row>
    <row r="1503" ht="18" customHeight="1" spans="1:18">
      <c r="A1503" s="87" t="str">
        <f t="shared" si="69"/>
        <v/>
      </c>
      <c r="B1503" s="78"/>
      <c r="C1503" s="80"/>
      <c r="D1503" s="80"/>
      <c r="E1503" s="79"/>
      <c r="F1503" s="87" t="str">
        <f>IF($E1503="","",IFERROR(INDEX(基础资料!$O$4:$O$34,MATCH($E1503,基础资料!$N$4:$N$34,0))&amp;"",""))</f>
        <v/>
      </c>
      <c r="G1503" s="87" t="str">
        <f>IF($E1503="","",IFERROR(INDEX(基础资料!$P$4:$P$34,MATCH($E1503,基础资料!$N$4:$N$34,0))&amp;"",""))</f>
        <v/>
      </c>
      <c r="H1503" s="79"/>
      <c r="I1503" s="88"/>
      <c r="J1503" s="92"/>
      <c r="K1503" s="93"/>
      <c r="L1503" s="25" t="str">
        <f t="shared" si="70"/>
        <v/>
      </c>
      <c r="M1503" s="94"/>
      <c r="N1503" s="26" t="str">
        <f t="shared" si="71"/>
        <v/>
      </c>
      <c r="O1503" s="80"/>
      <c r="P1503" s="80"/>
      <c r="Q1503" s="80"/>
      <c r="R1503" s="80"/>
    </row>
    <row r="1504" ht="18" customHeight="1" spans="1:18">
      <c r="A1504" s="87" t="str">
        <f t="shared" si="69"/>
        <v/>
      </c>
      <c r="B1504" s="78"/>
      <c r="C1504" s="80"/>
      <c r="D1504" s="80"/>
      <c r="E1504" s="79"/>
      <c r="F1504" s="87" t="str">
        <f>IF($E1504="","",IFERROR(INDEX(基础资料!$O$4:$O$34,MATCH($E1504,基础资料!$N$4:$N$34,0))&amp;"",""))</f>
        <v/>
      </c>
      <c r="G1504" s="87" t="str">
        <f>IF($E1504="","",IFERROR(INDEX(基础资料!$P$4:$P$34,MATCH($E1504,基础资料!$N$4:$N$34,0))&amp;"",""))</f>
        <v/>
      </c>
      <c r="H1504" s="79"/>
      <c r="I1504" s="88"/>
      <c r="J1504" s="92"/>
      <c r="K1504" s="93"/>
      <c r="L1504" s="25" t="str">
        <f t="shared" si="70"/>
        <v/>
      </c>
      <c r="M1504" s="94"/>
      <c r="N1504" s="26" t="str">
        <f t="shared" si="71"/>
        <v/>
      </c>
      <c r="O1504" s="80"/>
      <c r="P1504" s="80"/>
      <c r="Q1504" s="80"/>
      <c r="R1504" s="80"/>
    </row>
    <row r="1505" ht="18" customHeight="1" spans="1:18">
      <c r="A1505" s="87" t="str">
        <f t="shared" si="69"/>
        <v/>
      </c>
      <c r="B1505" s="78"/>
      <c r="C1505" s="80"/>
      <c r="D1505" s="80"/>
      <c r="E1505" s="79"/>
      <c r="F1505" s="87" t="str">
        <f>IF($E1505="","",IFERROR(INDEX(基础资料!$O$4:$O$34,MATCH($E1505,基础资料!$N$4:$N$34,0))&amp;"",""))</f>
        <v/>
      </c>
      <c r="G1505" s="87" t="str">
        <f>IF($E1505="","",IFERROR(INDEX(基础资料!$P$4:$P$34,MATCH($E1505,基础资料!$N$4:$N$34,0))&amp;"",""))</f>
        <v/>
      </c>
      <c r="H1505" s="79"/>
      <c r="I1505" s="88"/>
      <c r="J1505" s="92"/>
      <c r="K1505" s="93"/>
      <c r="L1505" s="25" t="str">
        <f t="shared" si="70"/>
        <v/>
      </c>
      <c r="M1505" s="94"/>
      <c r="N1505" s="26" t="str">
        <f t="shared" si="71"/>
        <v/>
      </c>
      <c r="O1505" s="80"/>
      <c r="P1505" s="80"/>
      <c r="Q1505" s="80"/>
      <c r="R1505" s="80"/>
    </row>
    <row r="1506" ht="18" customHeight="1" spans="1:18">
      <c r="A1506" s="87" t="str">
        <f t="shared" si="69"/>
        <v/>
      </c>
      <c r="B1506" s="78"/>
      <c r="C1506" s="80"/>
      <c r="D1506" s="80"/>
      <c r="E1506" s="79"/>
      <c r="F1506" s="87" t="str">
        <f>IF($E1506="","",IFERROR(INDEX(基础资料!$O$4:$O$34,MATCH($E1506,基础资料!$N$4:$N$34,0))&amp;"",""))</f>
        <v/>
      </c>
      <c r="G1506" s="87" t="str">
        <f>IF($E1506="","",IFERROR(INDEX(基础资料!$P$4:$P$34,MATCH($E1506,基础资料!$N$4:$N$34,0))&amp;"",""))</f>
        <v/>
      </c>
      <c r="H1506" s="79"/>
      <c r="I1506" s="88"/>
      <c r="J1506" s="92"/>
      <c r="K1506" s="93"/>
      <c r="L1506" s="25" t="str">
        <f t="shared" si="70"/>
        <v/>
      </c>
      <c r="M1506" s="94"/>
      <c r="N1506" s="26" t="str">
        <f t="shared" si="71"/>
        <v/>
      </c>
      <c r="O1506" s="80"/>
      <c r="P1506" s="80"/>
      <c r="Q1506" s="80"/>
      <c r="R1506" s="80"/>
    </row>
    <row r="1507" ht="18" customHeight="1" spans="1:18">
      <c r="A1507" s="87" t="str">
        <f t="shared" si="69"/>
        <v/>
      </c>
      <c r="B1507" s="78"/>
      <c r="C1507" s="80"/>
      <c r="D1507" s="80"/>
      <c r="E1507" s="79"/>
      <c r="F1507" s="87" t="str">
        <f>IF($E1507="","",IFERROR(INDEX(基础资料!$O$4:$O$34,MATCH($E1507,基础资料!$N$4:$N$34,0))&amp;"",""))</f>
        <v/>
      </c>
      <c r="G1507" s="87" t="str">
        <f>IF($E1507="","",IFERROR(INDEX(基础资料!$P$4:$P$34,MATCH($E1507,基础资料!$N$4:$N$34,0))&amp;"",""))</f>
        <v/>
      </c>
      <c r="H1507" s="79"/>
      <c r="I1507" s="88"/>
      <c r="J1507" s="92"/>
      <c r="K1507" s="93"/>
      <c r="L1507" s="25" t="str">
        <f t="shared" si="70"/>
        <v/>
      </c>
      <c r="M1507" s="94"/>
      <c r="N1507" s="26" t="str">
        <f t="shared" si="71"/>
        <v/>
      </c>
      <c r="O1507" s="80"/>
      <c r="P1507" s="80"/>
      <c r="Q1507" s="80"/>
      <c r="R1507" s="80"/>
    </row>
    <row r="1508" ht="18" customHeight="1" spans="1:18">
      <c r="A1508" s="87" t="str">
        <f t="shared" si="69"/>
        <v/>
      </c>
      <c r="B1508" s="78"/>
      <c r="C1508" s="80"/>
      <c r="D1508" s="80"/>
      <c r="E1508" s="79"/>
      <c r="F1508" s="87" t="str">
        <f>IF($E1508="","",IFERROR(INDEX(基础资料!$O$4:$O$34,MATCH($E1508,基础资料!$N$4:$N$34,0))&amp;"",""))</f>
        <v/>
      </c>
      <c r="G1508" s="87" t="str">
        <f>IF($E1508="","",IFERROR(INDEX(基础资料!$P$4:$P$34,MATCH($E1508,基础资料!$N$4:$N$34,0))&amp;"",""))</f>
        <v/>
      </c>
      <c r="H1508" s="79"/>
      <c r="I1508" s="88"/>
      <c r="J1508" s="92"/>
      <c r="K1508" s="93"/>
      <c r="L1508" s="25" t="str">
        <f t="shared" si="70"/>
        <v/>
      </c>
      <c r="M1508" s="94"/>
      <c r="N1508" s="26" t="str">
        <f t="shared" si="71"/>
        <v/>
      </c>
      <c r="O1508" s="80"/>
      <c r="P1508" s="80"/>
      <c r="Q1508" s="80"/>
      <c r="R1508" s="80"/>
    </row>
    <row r="1509" ht="18" customHeight="1" spans="1:18">
      <c r="A1509" s="87" t="str">
        <f t="shared" si="69"/>
        <v/>
      </c>
      <c r="B1509" s="78"/>
      <c r="C1509" s="80"/>
      <c r="D1509" s="80"/>
      <c r="E1509" s="79"/>
      <c r="F1509" s="87" t="str">
        <f>IF($E1509="","",IFERROR(INDEX(基础资料!$O$4:$O$34,MATCH($E1509,基础资料!$N$4:$N$34,0))&amp;"",""))</f>
        <v/>
      </c>
      <c r="G1509" s="87" t="str">
        <f>IF($E1509="","",IFERROR(INDEX(基础资料!$P$4:$P$34,MATCH($E1509,基础资料!$N$4:$N$34,0))&amp;"",""))</f>
        <v/>
      </c>
      <c r="H1509" s="79"/>
      <c r="I1509" s="88"/>
      <c r="J1509" s="92"/>
      <c r="K1509" s="93"/>
      <c r="L1509" s="25" t="str">
        <f t="shared" si="70"/>
        <v/>
      </c>
      <c r="M1509" s="94"/>
      <c r="N1509" s="26" t="str">
        <f t="shared" si="71"/>
        <v/>
      </c>
      <c r="O1509" s="80"/>
      <c r="P1509" s="80"/>
      <c r="Q1509" s="80"/>
      <c r="R1509" s="80"/>
    </row>
    <row r="1510" ht="18" customHeight="1" spans="1:18">
      <c r="A1510" s="87" t="str">
        <f t="shared" si="69"/>
        <v/>
      </c>
      <c r="B1510" s="78"/>
      <c r="C1510" s="80"/>
      <c r="D1510" s="80"/>
      <c r="E1510" s="79"/>
      <c r="F1510" s="87" t="str">
        <f>IF($E1510="","",IFERROR(INDEX(基础资料!$O$4:$O$34,MATCH($E1510,基础资料!$N$4:$N$34,0))&amp;"",""))</f>
        <v/>
      </c>
      <c r="G1510" s="87" t="str">
        <f>IF($E1510="","",IFERROR(INDEX(基础资料!$P$4:$P$34,MATCH($E1510,基础资料!$N$4:$N$34,0))&amp;"",""))</f>
        <v/>
      </c>
      <c r="H1510" s="79"/>
      <c r="I1510" s="88"/>
      <c r="J1510" s="92"/>
      <c r="K1510" s="93"/>
      <c r="L1510" s="25" t="str">
        <f t="shared" si="70"/>
        <v/>
      </c>
      <c r="M1510" s="94"/>
      <c r="N1510" s="26" t="str">
        <f t="shared" si="71"/>
        <v/>
      </c>
      <c r="O1510" s="80"/>
      <c r="P1510" s="80"/>
      <c r="Q1510" s="80"/>
      <c r="R1510" s="80"/>
    </row>
    <row r="1511" ht="18" customHeight="1" spans="1:18">
      <c r="A1511" s="87" t="str">
        <f t="shared" si="69"/>
        <v/>
      </c>
      <c r="B1511" s="78"/>
      <c r="C1511" s="80"/>
      <c r="D1511" s="80"/>
      <c r="E1511" s="79"/>
      <c r="F1511" s="87" t="str">
        <f>IF($E1511="","",IFERROR(INDEX(基础资料!$O$4:$O$34,MATCH($E1511,基础资料!$N$4:$N$34,0))&amp;"",""))</f>
        <v/>
      </c>
      <c r="G1511" s="87" t="str">
        <f>IF($E1511="","",IFERROR(INDEX(基础资料!$P$4:$P$34,MATCH($E1511,基础资料!$N$4:$N$34,0))&amp;"",""))</f>
        <v/>
      </c>
      <c r="H1511" s="79"/>
      <c r="I1511" s="88"/>
      <c r="J1511" s="92"/>
      <c r="K1511" s="93"/>
      <c r="L1511" s="25" t="str">
        <f t="shared" si="70"/>
        <v/>
      </c>
      <c r="M1511" s="94"/>
      <c r="N1511" s="26" t="str">
        <f t="shared" si="71"/>
        <v/>
      </c>
      <c r="O1511" s="80"/>
      <c r="P1511" s="80"/>
      <c r="Q1511" s="80"/>
      <c r="R1511" s="80"/>
    </row>
    <row r="1512" ht="18" customHeight="1" spans="1:18">
      <c r="A1512" s="87" t="str">
        <f t="shared" si="69"/>
        <v/>
      </c>
      <c r="B1512" s="78"/>
      <c r="C1512" s="80"/>
      <c r="D1512" s="80"/>
      <c r="E1512" s="79"/>
      <c r="F1512" s="87" t="str">
        <f>IF($E1512="","",IFERROR(INDEX(基础资料!$O$4:$O$34,MATCH($E1512,基础资料!$N$4:$N$34,0))&amp;"",""))</f>
        <v/>
      </c>
      <c r="G1512" s="87" t="str">
        <f>IF($E1512="","",IFERROR(INDEX(基础资料!$P$4:$P$34,MATCH($E1512,基础资料!$N$4:$N$34,0))&amp;"",""))</f>
        <v/>
      </c>
      <c r="H1512" s="79"/>
      <c r="I1512" s="88"/>
      <c r="J1512" s="92"/>
      <c r="K1512" s="93"/>
      <c r="L1512" s="25" t="str">
        <f t="shared" si="70"/>
        <v/>
      </c>
      <c r="M1512" s="94"/>
      <c r="N1512" s="26" t="str">
        <f t="shared" si="71"/>
        <v/>
      </c>
      <c r="O1512" s="80"/>
      <c r="P1512" s="80"/>
      <c r="Q1512" s="80"/>
      <c r="R1512" s="80"/>
    </row>
    <row r="1513" ht="18" customHeight="1" spans="1:18">
      <c r="A1513" s="87" t="str">
        <f t="shared" si="69"/>
        <v/>
      </c>
      <c r="B1513" s="78"/>
      <c r="C1513" s="80"/>
      <c r="D1513" s="80"/>
      <c r="E1513" s="79"/>
      <c r="F1513" s="87" t="str">
        <f>IF($E1513="","",IFERROR(INDEX(基础资料!$O$4:$O$34,MATCH($E1513,基础资料!$N$4:$N$34,0))&amp;"",""))</f>
        <v/>
      </c>
      <c r="G1513" s="87" t="str">
        <f>IF($E1513="","",IFERROR(INDEX(基础资料!$P$4:$P$34,MATCH($E1513,基础资料!$N$4:$N$34,0))&amp;"",""))</f>
        <v/>
      </c>
      <c r="H1513" s="79"/>
      <c r="I1513" s="88"/>
      <c r="J1513" s="92"/>
      <c r="K1513" s="93"/>
      <c r="L1513" s="25" t="str">
        <f t="shared" si="70"/>
        <v/>
      </c>
      <c r="M1513" s="94"/>
      <c r="N1513" s="26" t="str">
        <f t="shared" si="71"/>
        <v/>
      </c>
      <c r="O1513" s="80"/>
      <c r="P1513" s="80"/>
      <c r="Q1513" s="80"/>
      <c r="R1513" s="80"/>
    </row>
    <row r="1514" ht="18" customHeight="1" spans="1:18">
      <c r="A1514" s="87" t="str">
        <f t="shared" si="69"/>
        <v/>
      </c>
      <c r="B1514" s="78"/>
      <c r="C1514" s="80"/>
      <c r="D1514" s="80"/>
      <c r="E1514" s="79"/>
      <c r="F1514" s="87" t="str">
        <f>IF($E1514="","",IFERROR(INDEX(基础资料!$O$4:$O$34,MATCH($E1514,基础资料!$N$4:$N$34,0))&amp;"",""))</f>
        <v/>
      </c>
      <c r="G1514" s="87" t="str">
        <f>IF($E1514="","",IFERROR(INDEX(基础资料!$P$4:$P$34,MATCH($E1514,基础资料!$N$4:$N$34,0))&amp;"",""))</f>
        <v/>
      </c>
      <c r="H1514" s="79"/>
      <c r="I1514" s="88"/>
      <c r="J1514" s="92"/>
      <c r="K1514" s="93"/>
      <c r="L1514" s="25" t="str">
        <f t="shared" si="70"/>
        <v/>
      </c>
      <c r="M1514" s="94"/>
      <c r="N1514" s="26" t="str">
        <f t="shared" si="71"/>
        <v/>
      </c>
      <c r="O1514" s="80"/>
      <c r="P1514" s="80"/>
      <c r="Q1514" s="80"/>
      <c r="R1514" s="80"/>
    </row>
    <row r="1515" ht="18" customHeight="1" spans="1:18">
      <c r="A1515" s="87" t="str">
        <f t="shared" si="69"/>
        <v/>
      </c>
      <c r="B1515" s="78"/>
      <c r="C1515" s="80"/>
      <c r="D1515" s="80"/>
      <c r="E1515" s="79"/>
      <c r="F1515" s="87" t="str">
        <f>IF($E1515="","",IFERROR(INDEX(基础资料!$O$4:$O$34,MATCH($E1515,基础资料!$N$4:$N$34,0))&amp;"",""))</f>
        <v/>
      </c>
      <c r="G1515" s="87" t="str">
        <f>IF($E1515="","",IFERROR(INDEX(基础资料!$P$4:$P$34,MATCH($E1515,基础资料!$N$4:$N$34,0))&amp;"",""))</f>
        <v/>
      </c>
      <c r="H1515" s="79"/>
      <c r="I1515" s="88"/>
      <c r="J1515" s="92"/>
      <c r="K1515" s="93"/>
      <c r="L1515" s="25" t="str">
        <f t="shared" si="70"/>
        <v/>
      </c>
      <c r="M1515" s="94"/>
      <c r="N1515" s="26" t="str">
        <f t="shared" si="71"/>
        <v/>
      </c>
      <c r="O1515" s="80"/>
      <c r="P1515" s="80"/>
      <c r="Q1515" s="80"/>
      <c r="R1515" s="80"/>
    </row>
    <row r="1516" ht="18" customHeight="1" spans="1:18">
      <c r="A1516" s="87" t="str">
        <f t="shared" si="69"/>
        <v/>
      </c>
      <c r="B1516" s="78"/>
      <c r="C1516" s="80"/>
      <c r="D1516" s="80"/>
      <c r="E1516" s="79"/>
      <c r="F1516" s="87" t="str">
        <f>IF($E1516="","",IFERROR(INDEX(基础资料!$O$4:$O$34,MATCH($E1516,基础资料!$N$4:$N$34,0))&amp;"",""))</f>
        <v/>
      </c>
      <c r="G1516" s="87" t="str">
        <f>IF($E1516="","",IFERROR(INDEX(基础资料!$P$4:$P$34,MATCH($E1516,基础资料!$N$4:$N$34,0))&amp;"",""))</f>
        <v/>
      </c>
      <c r="H1516" s="79"/>
      <c r="I1516" s="88"/>
      <c r="J1516" s="92"/>
      <c r="K1516" s="93"/>
      <c r="L1516" s="25" t="str">
        <f t="shared" si="70"/>
        <v/>
      </c>
      <c r="M1516" s="94"/>
      <c r="N1516" s="26" t="str">
        <f t="shared" si="71"/>
        <v/>
      </c>
      <c r="O1516" s="80"/>
      <c r="P1516" s="80"/>
      <c r="Q1516" s="80"/>
      <c r="R1516" s="80"/>
    </row>
    <row r="1517" ht="18" customHeight="1" spans="1:18">
      <c r="A1517" s="87" t="str">
        <f t="shared" si="69"/>
        <v/>
      </c>
      <c r="B1517" s="78"/>
      <c r="C1517" s="80"/>
      <c r="D1517" s="80"/>
      <c r="E1517" s="79"/>
      <c r="F1517" s="87" t="str">
        <f>IF($E1517="","",IFERROR(INDEX(基础资料!$O$4:$O$34,MATCH($E1517,基础资料!$N$4:$N$34,0))&amp;"",""))</f>
        <v/>
      </c>
      <c r="G1517" s="87" t="str">
        <f>IF($E1517="","",IFERROR(INDEX(基础资料!$P$4:$P$34,MATCH($E1517,基础资料!$N$4:$N$34,0))&amp;"",""))</f>
        <v/>
      </c>
      <c r="H1517" s="79"/>
      <c r="I1517" s="88"/>
      <c r="J1517" s="92"/>
      <c r="K1517" s="93"/>
      <c r="L1517" s="25" t="str">
        <f t="shared" si="70"/>
        <v/>
      </c>
      <c r="M1517" s="94"/>
      <c r="N1517" s="26" t="str">
        <f t="shared" si="71"/>
        <v/>
      </c>
      <c r="O1517" s="80"/>
      <c r="P1517" s="80"/>
      <c r="Q1517" s="80"/>
      <c r="R1517" s="80"/>
    </row>
    <row r="1518" ht="18" customHeight="1" spans="1:18">
      <c r="A1518" s="87" t="str">
        <f t="shared" si="69"/>
        <v/>
      </c>
      <c r="B1518" s="78"/>
      <c r="C1518" s="80"/>
      <c r="D1518" s="80"/>
      <c r="E1518" s="79"/>
      <c r="F1518" s="87" t="str">
        <f>IF($E1518="","",IFERROR(INDEX(基础资料!$O$4:$O$34,MATCH($E1518,基础资料!$N$4:$N$34,0))&amp;"",""))</f>
        <v/>
      </c>
      <c r="G1518" s="87" t="str">
        <f>IF($E1518="","",IFERROR(INDEX(基础资料!$P$4:$P$34,MATCH($E1518,基础资料!$N$4:$N$34,0))&amp;"",""))</f>
        <v/>
      </c>
      <c r="H1518" s="79"/>
      <c r="I1518" s="88"/>
      <c r="J1518" s="92"/>
      <c r="K1518" s="93"/>
      <c r="L1518" s="25" t="str">
        <f t="shared" si="70"/>
        <v/>
      </c>
      <c r="M1518" s="94"/>
      <c r="N1518" s="26" t="str">
        <f t="shared" si="71"/>
        <v/>
      </c>
      <c r="O1518" s="80"/>
      <c r="P1518" s="80"/>
      <c r="Q1518" s="80"/>
      <c r="R1518" s="80"/>
    </row>
    <row r="1519" ht="18" customHeight="1" spans="1:18">
      <c r="A1519" s="87" t="str">
        <f t="shared" si="69"/>
        <v/>
      </c>
      <c r="B1519" s="78"/>
      <c r="C1519" s="80"/>
      <c r="D1519" s="80"/>
      <c r="E1519" s="79"/>
      <c r="F1519" s="87" t="str">
        <f>IF($E1519="","",IFERROR(INDEX(基础资料!$O$4:$O$34,MATCH($E1519,基础资料!$N$4:$N$34,0))&amp;"",""))</f>
        <v/>
      </c>
      <c r="G1519" s="87" t="str">
        <f>IF($E1519="","",IFERROR(INDEX(基础资料!$P$4:$P$34,MATCH($E1519,基础资料!$N$4:$N$34,0))&amp;"",""))</f>
        <v/>
      </c>
      <c r="H1519" s="79"/>
      <c r="I1519" s="88"/>
      <c r="J1519" s="92"/>
      <c r="K1519" s="93"/>
      <c r="L1519" s="25" t="str">
        <f t="shared" si="70"/>
        <v/>
      </c>
      <c r="M1519" s="94"/>
      <c r="N1519" s="26" t="str">
        <f t="shared" si="71"/>
        <v/>
      </c>
      <c r="O1519" s="80"/>
      <c r="P1519" s="80"/>
      <c r="Q1519" s="80"/>
      <c r="R1519" s="80"/>
    </row>
    <row r="1520" ht="18" customHeight="1" spans="1:18">
      <c r="A1520" s="87" t="str">
        <f t="shared" si="69"/>
        <v/>
      </c>
      <c r="B1520" s="78"/>
      <c r="C1520" s="80"/>
      <c r="D1520" s="80"/>
      <c r="E1520" s="79"/>
      <c r="F1520" s="87" t="str">
        <f>IF($E1520="","",IFERROR(INDEX(基础资料!$O$4:$O$34,MATCH($E1520,基础资料!$N$4:$N$34,0))&amp;"",""))</f>
        <v/>
      </c>
      <c r="G1520" s="87" t="str">
        <f>IF($E1520="","",IFERROR(INDEX(基础资料!$P$4:$P$34,MATCH($E1520,基础资料!$N$4:$N$34,0))&amp;"",""))</f>
        <v/>
      </c>
      <c r="H1520" s="79"/>
      <c r="I1520" s="88"/>
      <c r="J1520" s="92"/>
      <c r="K1520" s="93"/>
      <c r="L1520" s="25" t="str">
        <f t="shared" si="70"/>
        <v/>
      </c>
      <c r="M1520" s="94"/>
      <c r="N1520" s="26" t="str">
        <f t="shared" si="71"/>
        <v/>
      </c>
      <c r="O1520" s="80"/>
      <c r="P1520" s="80"/>
      <c r="Q1520" s="80"/>
      <c r="R1520" s="80"/>
    </row>
    <row r="1521" ht="18" customHeight="1" spans="1:18">
      <c r="A1521" s="87" t="str">
        <f t="shared" si="69"/>
        <v/>
      </c>
      <c r="B1521" s="78"/>
      <c r="C1521" s="80"/>
      <c r="D1521" s="80"/>
      <c r="E1521" s="79"/>
      <c r="F1521" s="87" t="str">
        <f>IF($E1521="","",IFERROR(INDEX(基础资料!$O$4:$O$34,MATCH($E1521,基础资料!$N$4:$N$34,0))&amp;"",""))</f>
        <v/>
      </c>
      <c r="G1521" s="87" t="str">
        <f>IF($E1521="","",IFERROR(INDEX(基础资料!$P$4:$P$34,MATCH($E1521,基础资料!$N$4:$N$34,0))&amp;"",""))</f>
        <v/>
      </c>
      <c r="H1521" s="79"/>
      <c r="I1521" s="88"/>
      <c r="J1521" s="92"/>
      <c r="K1521" s="93"/>
      <c r="L1521" s="25" t="str">
        <f t="shared" si="70"/>
        <v/>
      </c>
      <c r="M1521" s="94"/>
      <c r="N1521" s="26" t="str">
        <f t="shared" si="71"/>
        <v/>
      </c>
      <c r="O1521" s="80"/>
      <c r="P1521" s="80"/>
      <c r="Q1521" s="80"/>
      <c r="R1521" s="80"/>
    </row>
    <row r="1522" ht="18" customHeight="1" spans="1:18">
      <c r="A1522" s="87" t="str">
        <f t="shared" si="69"/>
        <v/>
      </c>
      <c r="B1522" s="78"/>
      <c r="C1522" s="80"/>
      <c r="D1522" s="80"/>
      <c r="E1522" s="79"/>
      <c r="F1522" s="87" t="str">
        <f>IF($E1522="","",IFERROR(INDEX(基础资料!$O$4:$O$34,MATCH($E1522,基础资料!$N$4:$N$34,0))&amp;"",""))</f>
        <v/>
      </c>
      <c r="G1522" s="87" t="str">
        <f>IF($E1522="","",IFERROR(INDEX(基础资料!$P$4:$P$34,MATCH($E1522,基础资料!$N$4:$N$34,0))&amp;"",""))</f>
        <v/>
      </c>
      <c r="H1522" s="79"/>
      <c r="I1522" s="88"/>
      <c r="J1522" s="92"/>
      <c r="K1522" s="93"/>
      <c r="L1522" s="25" t="str">
        <f t="shared" si="70"/>
        <v/>
      </c>
      <c r="M1522" s="94"/>
      <c r="N1522" s="26" t="str">
        <f t="shared" si="71"/>
        <v/>
      </c>
      <c r="O1522" s="80"/>
      <c r="P1522" s="80"/>
      <c r="Q1522" s="80"/>
      <c r="R1522" s="80"/>
    </row>
    <row r="1523" ht="18" customHeight="1" spans="1:18">
      <c r="A1523" s="87" t="str">
        <f t="shared" si="69"/>
        <v/>
      </c>
      <c r="B1523" s="78"/>
      <c r="C1523" s="80"/>
      <c r="D1523" s="80"/>
      <c r="E1523" s="79"/>
      <c r="F1523" s="87" t="str">
        <f>IF($E1523="","",IFERROR(INDEX(基础资料!$O$4:$O$34,MATCH($E1523,基础资料!$N$4:$N$34,0))&amp;"",""))</f>
        <v/>
      </c>
      <c r="G1523" s="87" t="str">
        <f>IF($E1523="","",IFERROR(INDEX(基础资料!$P$4:$P$34,MATCH($E1523,基础资料!$N$4:$N$34,0))&amp;"",""))</f>
        <v/>
      </c>
      <c r="H1523" s="79"/>
      <c r="I1523" s="88"/>
      <c r="J1523" s="92"/>
      <c r="K1523" s="93"/>
      <c r="L1523" s="25" t="str">
        <f t="shared" si="70"/>
        <v/>
      </c>
      <c r="M1523" s="94"/>
      <c r="N1523" s="26" t="str">
        <f t="shared" si="71"/>
        <v/>
      </c>
      <c r="O1523" s="80"/>
      <c r="P1523" s="80"/>
      <c r="Q1523" s="80"/>
      <c r="R1523" s="80"/>
    </row>
    <row r="1524" ht="18" customHeight="1" spans="1:18">
      <c r="A1524" s="87" t="str">
        <f t="shared" si="69"/>
        <v/>
      </c>
      <c r="B1524" s="78"/>
      <c r="C1524" s="80"/>
      <c r="D1524" s="80"/>
      <c r="E1524" s="79"/>
      <c r="F1524" s="87" t="str">
        <f>IF($E1524="","",IFERROR(INDEX(基础资料!$O$4:$O$34,MATCH($E1524,基础资料!$N$4:$N$34,0))&amp;"",""))</f>
        <v/>
      </c>
      <c r="G1524" s="87" t="str">
        <f>IF($E1524="","",IFERROR(INDEX(基础资料!$P$4:$P$34,MATCH($E1524,基础资料!$N$4:$N$34,0))&amp;"",""))</f>
        <v/>
      </c>
      <c r="H1524" s="79"/>
      <c r="I1524" s="88"/>
      <c r="J1524" s="92"/>
      <c r="K1524" s="93"/>
      <c r="L1524" s="25" t="str">
        <f t="shared" si="70"/>
        <v/>
      </c>
      <c r="M1524" s="94"/>
      <c r="N1524" s="26" t="str">
        <f t="shared" si="71"/>
        <v/>
      </c>
      <c r="O1524" s="80"/>
      <c r="P1524" s="80"/>
      <c r="Q1524" s="80"/>
      <c r="R1524" s="80"/>
    </row>
    <row r="1525" ht="18" customHeight="1" spans="1:18">
      <c r="A1525" s="87" t="str">
        <f t="shared" si="69"/>
        <v/>
      </c>
      <c r="B1525" s="78"/>
      <c r="C1525" s="80"/>
      <c r="D1525" s="80"/>
      <c r="E1525" s="79"/>
      <c r="F1525" s="87" t="str">
        <f>IF($E1525="","",IFERROR(INDEX(基础资料!$O$4:$O$34,MATCH($E1525,基础资料!$N$4:$N$34,0))&amp;"",""))</f>
        <v/>
      </c>
      <c r="G1525" s="87" t="str">
        <f>IF($E1525="","",IFERROR(INDEX(基础资料!$P$4:$P$34,MATCH($E1525,基础资料!$N$4:$N$34,0))&amp;"",""))</f>
        <v/>
      </c>
      <c r="H1525" s="79"/>
      <c r="I1525" s="88"/>
      <c r="J1525" s="92"/>
      <c r="K1525" s="93"/>
      <c r="L1525" s="25" t="str">
        <f t="shared" si="70"/>
        <v/>
      </c>
      <c r="M1525" s="94"/>
      <c r="N1525" s="26" t="str">
        <f t="shared" si="71"/>
        <v/>
      </c>
      <c r="O1525" s="80"/>
      <c r="P1525" s="80"/>
      <c r="Q1525" s="80"/>
      <c r="R1525" s="80"/>
    </row>
    <row r="1526" ht="18" customHeight="1" spans="1:18">
      <c r="A1526" s="87" t="str">
        <f t="shared" si="69"/>
        <v/>
      </c>
      <c r="B1526" s="78"/>
      <c r="C1526" s="80"/>
      <c r="D1526" s="80"/>
      <c r="E1526" s="79"/>
      <c r="F1526" s="87" t="str">
        <f>IF($E1526="","",IFERROR(INDEX(基础资料!$O$4:$O$34,MATCH($E1526,基础资料!$N$4:$N$34,0))&amp;"",""))</f>
        <v/>
      </c>
      <c r="G1526" s="87" t="str">
        <f>IF($E1526="","",IFERROR(INDEX(基础资料!$P$4:$P$34,MATCH($E1526,基础资料!$N$4:$N$34,0))&amp;"",""))</f>
        <v/>
      </c>
      <c r="H1526" s="79"/>
      <c r="I1526" s="88"/>
      <c r="J1526" s="92"/>
      <c r="K1526" s="93"/>
      <c r="L1526" s="25" t="str">
        <f t="shared" si="70"/>
        <v/>
      </c>
      <c r="M1526" s="94"/>
      <c r="N1526" s="26" t="str">
        <f t="shared" si="71"/>
        <v/>
      </c>
      <c r="O1526" s="80"/>
      <c r="P1526" s="80"/>
      <c r="Q1526" s="80"/>
      <c r="R1526" s="80"/>
    </row>
    <row r="1527" ht="18" customHeight="1" spans="1:18">
      <c r="A1527" s="87" t="str">
        <f t="shared" si="69"/>
        <v/>
      </c>
      <c r="B1527" s="78"/>
      <c r="C1527" s="80"/>
      <c r="D1527" s="80"/>
      <c r="E1527" s="79"/>
      <c r="F1527" s="87" t="str">
        <f>IF($E1527="","",IFERROR(INDEX(基础资料!$O$4:$O$34,MATCH($E1527,基础资料!$N$4:$N$34,0))&amp;"",""))</f>
        <v/>
      </c>
      <c r="G1527" s="87" t="str">
        <f>IF($E1527="","",IFERROR(INDEX(基础资料!$P$4:$P$34,MATCH($E1527,基础资料!$N$4:$N$34,0))&amp;"",""))</f>
        <v/>
      </c>
      <c r="H1527" s="79"/>
      <c r="I1527" s="88"/>
      <c r="J1527" s="92"/>
      <c r="K1527" s="93"/>
      <c r="L1527" s="25" t="str">
        <f t="shared" si="70"/>
        <v/>
      </c>
      <c r="M1527" s="94"/>
      <c r="N1527" s="26" t="str">
        <f t="shared" si="71"/>
        <v/>
      </c>
      <c r="O1527" s="80"/>
      <c r="P1527" s="80"/>
      <c r="Q1527" s="80"/>
      <c r="R1527" s="80"/>
    </row>
    <row r="1528" ht="18" customHeight="1" spans="1:18">
      <c r="A1528" s="87" t="str">
        <f t="shared" si="69"/>
        <v/>
      </c>
      <c r="B1528" s="78"/>
      <c r="C1528" s="80"/>
      <c r="D1528" s="80"/>
      <c r="E1528" s="79"/>
      <c r="F1528" s="87" t="str">
        <f>IF($E1528="","",IFERROR(INDEX(基础资料!$O$4:$O$34,MATCH($E1528,基础资料!$N$4:$N$34,0))&amp;"",""))</f>
        <v/>
      </c>
      <c r="G1528" s="87" t="str">
        <f>IF($E1528="","",IFERROR(INDEX(基础资料!$P$4:$P$34,MATCH($E1528,基础资料!$N$4:$N$34,0))&amp;"",""))</f>
        <v/>
      </c>
      <c r="H1528" s="79"/>
      <c r="I1528" s="88"/>
      <c r="J1528" s="92"/>
      <c r="K1528" s="93"/>
      <c r="L1528" s="25" t="str">
        <f t="shared" si="70"/>
        <v/>
      </c>
      <c r="M1528" s="94"/>
      <c r="N1528" s="26" t="str">
        <f t="shared" si="71"/>
        <v/>
      </c>
      <c r="O1528" s="80"/>
      <c r="P1528" s="80"/>
      <c r="Q1528" s="80"/>
      <c r="R1528" s="80"/>
    </row>
    <row r="1529" ht="18" customHeight="1" spans="1:18">
      <c r="A1529" s="87" t="str">
        <f t="shared" si="69"/>
        <v/>
      </c>
      <c r="B1529" s="78"/>
      <c r="C1529" s="80"/>
      <c r="D1529" s="80"/>
      <c r="E1529" s="79"/>
      <c r="F1529" s="87" t="str">
        <f>IF($E1529="","",IFERROR(INDEX(基础资料!$O$4:$O$34,MATCH($E1529,基础资料!$N$4:$N$34,0))&amp;"",""))</f>
        <v/>
      </c>
      <c r="G1529" s="87" t="str">
        <f>IF($E1529="","",IFERROR(INDEX(基础资料!$P$4:$P$34,MATCH($E1529,基础资料!$N$4:$N$34,0))&amp;"",""))</f>
        <v/>
      </c>
      <c r="H1529" s="79"/>
      <c r="I1529" s="88"/>
      <c r="J1529" s="92"/>
      <c r="K1529" s="93"/>
      <c r="L1529" s="25" t="str">
        <f t="shared" si="70"/>
        <v/>
      </c>
      <c r="M1529" s="94"/>
      <c r="N1529" s="26" t="str">
        <f t="shared" si="71"/>
        <v/>
      </c>
      <c r="O1529" s="80"/>
      <c r="P1529" s="80"/>
      <c r="Q1529" s="80"/>
      <c r="R1529" s="80"/>
    </row>
    <row r="1530" ht="18" customHeight="1" spans="1:18">
      <c r="A1530" s="87" t="str">
        <f t="shared" si="69"/>
        <v/>
      </c>
      <c r="B1530" s="78"/>
      <c r="C1530" s="80"/>
      <c r="D1530" s="80"/>
      <c r="E1530" s="79"/>
      <c r="F1530" s="87" t="str">
        <f>IF($E1530="","",IFERROR(INDEX(基础资料!$O$4:$O$34,MATCH($E1530,基础资料!$N$4:$N$34,0))&amp;"",""))</f>
        <v/>
      </c>
      <c r="G1530" s="87" t="str">
        <f>IF($E1530="","",IFERROR(INDEX(基础资料!$P$4:$P$34,MATCH($E1530,基础资料!$N$4:$N$34,0))&amp;"",""))</f>
        <v/>
      </c>
      <c r="H1530" s="79"/>
      <c r="I1530" s="88"/>
      <c r="J1530" s="92"/>
      <c r="K1530" s="93"/>
      <c r="L1530" s="25" t="str">
        <f t="shared" si="70"/>
        <v/>
      </c>
      <c r="M1530" s="94"/>
      <c r="N1530" s="26" t="str">
        <f t="shared" si="71"/>
        <v/>
      </c>
      <c r="O1530" s="80"/>
      <c r="P1530" s="80"/>
      <c r="Q1530" s="80"/>
      <c r="R1530" s="80"/>
    </row>
    <row r="1531" ht="18" customHeight="1" spans="1:18">
      <c r="A1531" s="87" t="str">
        <f t="shared" si="69"/>
        <v/>
      </c>
      <c r="B1531" s="78"/>
      <c r="C1531" s="80"/>
      <c r="D1531" s="80"/>
      <c r="E1531" s="79"/>
      <c r="F1531" s="87" t="str">
        <f>IF($E1531="","",IFERROR(INDEX(基础资料!$O$4:$O$34,MATCH($E1531,基础资料!$N$4:$N$34,0))&amp;"",""))</f>
        <v/>
      </c>
      <c r="G1531" s="87" t="str">
        <f>IF($E1531="","",IFERROR(INDEX(基础资料!$P$4:$P$34,MATCH($E1531,基础资料!$N$4:$N$34,0))&amp;"",""))</f>
        <v/>
      </c>
      <c r="H1531" s="79"/>
      <c r="I1531" s="88"/>
      <c r="J1531" s="92"/>
      <c r="K1531" s="93"/>
      <c r="L1531" s="25" t="str">
        <f t="shared" si="70"/>
        <v/>
      </c>
      <c r="M1531" s="94"/>
      <c r="N1531" s="26" t="str">
        <f t="shared" si="71"/>
        <v/>
      </c>
      <c r="O1531" s="80"/>
      <c r="P1531" s="80"/>
      <c r="Q1531" s="80"/>
      <c r="R1531" s="80"/>
    </row>
    <row r="1532" ht="18" customHeight="1" spans="1:18">
      <c r="A1532" s="87" t="str">
        <f t="shared" si="69"/>
        <v/>
      </c>
      <c r="B1532" s="78"/>
      <c r="C1532" s="80"/>
      <c r="D1532" s="80"/>
      <c r="E1532" s="79"/>
      <c r="F1532" s="87" t="str">
        <f>IF($E1532="","",IFERROR(INDEX(基础资料!$O$4:$O$34,MATCH($E1532,基础资料!$N$4:$N$34,0))&amp;"",""))</f>
        <v/>
      </c>
      <c r="G1532" s="87" t="str">
        <f>IF($E1532="","",IFERROR(INDEX(基础资料!$P$4:$P$34,MATCH($E1532,基础资料!$N$4:$N$34,0))&amp;"",""))</f>
        <v/>
      </c>
      <c r="H1532" s="79"/>
      <c r="I1532" s="88"/>
      <c r="J1532" s="92"/>
      <c r="K1532" s="93"/>
      <c r="L1532" s="25" t="str">
        <f t="shared" si="70"/>
        <v/>
      </c>
      <c r="M1532" s="94"/>
      <c r="N1532" s="26" t="str">
        <f t="shared" si="71"/>
        <v/>
      </c>
      <c r="O1532" s="80"/>
      <c r="P1532" s="80"/>
      <c r="Q1532" s="80"/>
      <c r="R1532" s="80"/>
    </row>
    <row r="1533" ht="18" customHeight="1" spans="1:18">
      <c r="A1533" s="87" t="str">
        <f t="shared" si="69"/>
        <v/>
      </c>
      <c r="B1533" s="78"/>
      <c r="C1533" s="80"/>
      <c r="D1533" s="80"/>
      <c r="E1533" s="79"/>
      <c r="F1533" s="87" t="str">
        <f>IF($E1533="","",IFERROR(INDEX(基础资料!$O$4:$O$34,MATCH($E1533,基础资料!$N$4:$N$34,0))&amp;"",""))</f>
        <v/>
      </c>
      <c r="G1533" s="87" t="str">
        <f>IF($E1533="","",IFERROR(INDEX(基础资料!$P$4:$P$34,MATCH($E1533,基础资料!$N$4:$N$34,0))&amp;"",""))</f>
        <v/>
      </c>
      <c r="H1533" s="79"/>
      <c r="I1533" s="88"/>
      <c r="J1533" s="92"/>
      <c r="K1533" s="93"/>
      <c r="L1533" s="25" t="str">
        <f t="shared" si="70"/>
        <v/>
      </c>
      <c r="M1533" s="94"/>
      <c r="N1533" s="26" t="str">
        <f t="shared" si="71"/>
        <v/>
      </c>
      <c r="O1533" s="80"/>
      <c r="P1533" s="80"/>
      <c r="Q1533" s="80"/>
      <c r="R1533" s="80"/>
    </row>
    <row r="1534" ht="18" customHeight="1" spans="1:18">
      <c r="A1534" s="87" t="str">
        <f t="shared" si="69"/>
        <v/>
      </c>
      <c r="B1534" s="78"/>
      <c r="C1534" s="80"/>
      <c r="D1534" s="80"/>
      <c r="E1534" s="79"/>
      <c r="F1534" s="87" t="str">
        <f>IF($E1534="","",IFERROR(INDEX(基础资料!$O$4:$O$34,MATCH($E1534,基础资料!$N$4:$N$34,0))&amp;"",""))</f>
        <v/>
      </c>
      <c r="G1534" s="87" t="str">
        <f>IF($E1534="","",IFERROR(INDEX(基础资料!$P$4:$P$34,MATCH($E1534,基础资料!$N$4:$N$34,0))&amp;"",""))</f>
        <v/>
      </c>
      <c r="H1534" s="79"/>
      <c r="I1534" s="88"/>
      <c r="J1534" s="92"/>
      <c r="K1534" s="93"/>
      <c r="L1534" s="25" t="str">
        <f t="shared" si="70"/>
        <v/>
      </c>
      <c r="M1534" s="94"/>
      <c r="N1534" s="26" t="str">
        <f t="shared" si="71"/>
        <v/>
      </c>
      <c r="O1534" s="80"/>
      <c r="P1534" s="80"/>
      <c r="Q1534" s="80"/>
      <c r="R1534" s="80"/>
    </row>
    <row r="1535" ht="18" customHeight="1" spans="1:18">
      <c r="A1535" s="87" t="str">
        <f t="shared" si="69"/>
        <v/>
      </c>
      <c r="B1535" s="78"/>
      <c r="C1535" s="80"/>
      <c r="D1535" s="80"/>
      <c r="E1535" s="79"/>
      <c r="F1535" s="87" t="str">
        <f>IF($E1535="","",IFERROR(INDEX(基础资料!$O$4:$O$34,MATCH($E1535,基础资料!$N$4:$N$34,0))&amp;"",""))</f>
        <v/>
      </c>
      <c r="G1535" s="87" t="str">
        <f>IF($E1535="","",IFERROR(INDEX(基础资料!$P$4:$P$34,MATCH($E1535,基础资料!$N$4:$N$34,0))&amp;"",""))</f>
        <v/>
      </c>
      <c r="H1535" s="79"/>
      <c r="I1535" s="88"/>
      <c r="J1535" s="92"/>
      <c r="K1535" s="93"/>
      <c r="L1535" s="25" t="str">
        <f t="shared" si="70"/>
        <v/>
      </c>
      <c r="M1535" s="94"/>
      <c r="N1535" s="26" t="str">
        <f t="shared" si="71"/>
        <v/>
      </c>
      <c r="O1535" s="80"/>
      <c r="P1535" s="80"/>
      <c r="Q1535" s="80"/>
      <c r="R1535" s="80"/>
    </row>
    <row r="1536" ht="18" customHeight="1" spans="1:18">
      <c r="A1536" s="87" t="str">
        <f t="shared" si="69"/>
        <v/>
      </c>
      <c r="B1536" s="78"/>
      <c r="C1536" s="80"/>
      <c r="D1536" s="80"/>
      <c r="E1536" s="79"/>
      <c r="F1536" s="87" t="str">
        <f>IF($E1536="","",IFERROR(INDEX(基础资料!$O$4:$O$34,MATCH($E1536,基础资料!$N$4:$N$34,0))&amp;"",""))</f>
        <v/>
      </c>
      <c r="G1536" s="87" t="str">
        <f>IF($E1536="","",IFERROR(INDEX(基础资料!$P$4:$P$34,MATCH($E1536,基础资料!$N$4:$N$34,0))&amp;"",""))</f>
        <v/>
      </c>
      <c r="H1536" s="79"/>
      <c r="I1536" s="88"/>
      <c r="J1536" s="92"/>
      <c r="K1536" s="93"/>
      <c r="L1536" s="25" t="str">
        <f t="shared" si="70"/>
        <v/>
      </c>
      <c r="M1536" s="94"/>
      <c r="N1536" s="26" t="str">
        <f t="shared" si="71"/>
        <v/>
      </c>
      <c r="O1536" s="80"/>
      <c r="P1536" s="80"/>
      <c r="Q1536" s="80"/>
      <c r="R1536" s="80"/>
    </row>
    <row r="1537" ht="18" customHeight="1" spans="1:18">
      <c r="A1537" s="87" t="str">
        <f t="shared" si="69"/>
        <v/>
      </c>
      <c r="B1537" s="78"/>
      <c r="C1537" s="80"/>
      <c r="D1537" s="80"/>
      <c r="E1537" s="79"/>
      <c r="F1537" s="87" t="str">
        <f>IF($E1537="","",IFERROR(INDEX(基础资料!$O$4:$O$34,MATCH($E1537,基础资料!$N$4:$N$34,0))&amp;"",""))</f>
        <v/>
      </c>
      <c r="G1537" s="87" t="str">
        <f>IF($E1537="","",IFERROR(INDEX(基础资料!$P$4:$P$34,MATCH($E1537,基础资料!$N$4:$N$34,0))&amp;"",""))</f>
        <v/>
      </c>
      <c r="H1537" s="79"/>
      <c r="I1537" s="88"/>
      <c r="J1537" s="92"/>
      <c r="K1537" s="93"/>
      <c r="L1537" s="25" t="str">
        <f t="shared" si="70"/>
        <v/>
      </c>
      <c r="M1537" s="94"/>
      <c r="N1537" s="26" t="str">
        <f t="shared" si="71"/>
        <v/>
      </c>
      <c r="O1537" s="80"/>
      <c r="P1537" s="80"/>
      <c r="Q1537" s="80"/>
      <c r="R1537" s="80"/>
    </row>
    <row r="1538" ht="18" customHeight="1" spans="1:18">
      <c r="A1538" s="87" t="str">
        <f t="shared" si="69"/>
        <v/>
      </c>
      <c r="B1538" s="78"/>
      <c r="C1538" s="80"/>
      <c r="D1538" s="80"/>
      <c r="E1538" s="79"/>
      <c r="F1538" s="87" t="str">
        <f>IF($E1538="","",IFERROR(INDEX(基础资料!$O$4:$O$34,MATCH($E1538,基础资料!$N$4:$N$34,0))&amp;"",""))</f>
        <v/>
      </c>
      <c r="G1538" s="87" t="str">
        <f>IF($E1538="","",IFERROR(INDEX(基础资料!$P$4:$P$34,MATCH($E1538,基础资料!$N$4:$N$34,0))&amp;"",""))</f>
        <v/>
      </c>
      <c r="H1538" s="79"/>
      <c r="I1538" s="88"/>
      <c r="J1538" s="92"/>
      <c r="K1538" s="93"/>
      <c r="L1538" s="25" t="str">
        <f t="shared" si="70"/>
        <v/>
      </c>
      <c r="M1538" s="94"/>
      <c r="N1538" s="26" t="str">
        <f t="shared" si="71"/>
        <v/>
      </c>
      <c r="O1538" s="80"/>
      <c r="P1538" s="80"/>
      <c r="Q1538" s="80"/>
      <c r="R1538" s="80"/>
    </row>
    <row r="1539" ht="18" customHeight="1" spans="1:18">
      <c r="A1539" s="87" t="str">
        <f t="shared" si="69"/>
        <v/>
      </c>
      <c r="B1539" s="78"/>
      <c r="C1539" s="80"/>
      <c r="D1539" s="80"/>
      <c r="E1539" s="79"/>
      <c r="F1539" s="87" t="str">
        <f>IF($E1539="","",IFERROR(INDEX(基础资料!$O$4:$O$34,MATCH($E1539,基础资料!$N$4:$N$34,0))&amp;"",""))</f>
        <v/>
      </c>
      <c r="G1539" s="87" t="str">
        <f>IF($E1539="","",IFERROR(INDEX(基础资料!$P$4:$P$34,MATCH($E1539,基础资料!$N$4:$N$34,0))&amp;"",""))</f>
        <v/>
      </c>
      <c r="H1539" s="79"/>
      <c r="I1539" s="88"/>
      <c r="J1539" s="92"/>
      <c r="K1539" s="93"/>
      <c r="L1539" s="25" t="str">
        <f t="shared" si="70"/>
        <v/>
      </c>
      <c r="M1539" s="94"/>
      <c r="N1539" s="26" t="str">
        <f t="shared" si="71"/>
        <v/>
      </c>
      <c r="O1539" s="80"/>
      <c r="P1539" s="80"/>
      <c r="Q1539" s="80"/>
      <c r="R1539" s="80"/>
    </row>
    <row r="1540" ht="18" customHeight="1" spans="1:18">
      <c r="A1540" s="87" t="str">
        <f t="shared" ref="A1540:A1603" si="72">IF($E1540="","",ROW()-3)</f>
        <v/>
      </c>
      <c r="B1540" s="78"/>
      <c r="C1540" s="80"/>
      <c r="D1540" s="80"/>
      <c r="E1540" s="79"/>
      <c r="F1540" s="87" t="str">
        <f>IF($E1540="","",IFERROR(INDEX(基础资料!$O$4:$O$34,MATCH($E1540,基础资料!$N$4:$N$34,0))&amp;"",""))</f>
        <v/>
      </c>
      <c r="G1540" s="87" t="str">
        <f>IF($E1540="","",IFERROR(INDEX(基础资料!$P$4:$P$34,MATCH($E1540,基础资料!$N$4:$N$34,0))&amp;"",""))</f>
        <v/>
      </c>
      <c r="H1540" s="79"/>
      <c r="I1540" s="88"/>
      <c r="J1540" s="92"/>
      <c r="K1540" s="93"/>
      <c r="L1540" s="25" t="str">
        <f t="shared" ref="L1540:L1603" si="73">IF($E1540="","",N($I1540)+N($J1540)-N($K1540))</f>
        <v/>
      </c>
      <c r="M1540" s="94"/>
      <c r="N1540" s="26" t="str">
        <f t="shared" ref="N1540:N1603" si="74">IF($E1540="","",ROUND(N($L1540)*N($M1540),2))</f>
        <v/>
      </c>
      <c r="O1540" s="80"/>
      <c r="P1540" s="80"/>
      <c r="Q1540" s="80"/>
      <c r="R1540" s="80"/>
    </row>
    <row r="1541" ht="18" customHeight="1" spans="1:18">
      <c r="A1541" s="87" t="str">
        <f t="shared" si="72"/>
        <v/>
      </c>
      <c r="B1541" s="78"/>
      <c r="C1541" s="80"/>
      <c r="D1541" s="80"/>
      <c r="E1541" s="79"/>
      <c r="F1541" s="87" t="str">
        <f>IF($E1541="","",IFERROR(INDEX(基础资料!$O$4:$O$34,MATCH($E1541,基础资料!$N$4:$N$34,0))&amp;"",""))</f>
        <v/>
      </c>
      <c r="G1541" s="87" t="str">
        <f>IF($E1541="","",IFERROR(INDEX(基础资料!$P$4:$P$34,MATCH($E1541,基础资料!$N$4:$N$34,0))&amp;"",""))</f>
        <v/>
      </c>
      <c r="H1541" s="79"/>
      <c r="I1541" s="88"/>
      <c r="J1541" s="92"/>
      <c r="K1541" s="93"/>
      <c r="L1541" s="25" t="str">
        <f t="shared" si="73"/>
        <v/>
      </c>
      <c r="M1541" s="94"/>
      <c r="N1541" s="26" t="str">
        <f t="shared" si="74"/>
        <v/>
      </c>
      <c r="O1541" s="80"/>
      <c r="P1541" s="80"/>
      <c r="Q1541" s="80"/>
      <c r="R1541" s="80"/>
    </row>
    <row r="1542" ht="18" customHeight="1" spans="1:18">
      <c r="A1542" s="87" t="str">
        <f t="shared" si="72"/>
        <v/>
      </c>
      <c r="B1542" s="78"/>
      <c r="C1542" s="80"/>
      <c r="D1542" s="80"/>
      <c r="E1542" s="79"/>
      <c r="F1542" s="87" t="str">
        <f>IF($E1542="","",IFERROR(INDEX(基础资料!$O$4:$O$34,MATCH($E1542,基础资料!$N$4:$N$34,0))&amp;"",""))</f>
        <v/>
      </c>
      <c r="G1542" s="87" t="str">
        <f>IF($E1542="","",IFERROR(INDEX(基础资料!$P$4:$P$34,MATCH($E1542,基础资料!$N$4:$N$34,0))&amp;"",""))</f>
        <v/>
      </c>
      <c r="H1542" s="79"/>
      <c r="I1542" s="88"/>
      <c r="J1542" s="92"/>
      <c r="K1542" s="93"/>
      <c r="L1542" s="25" t="str">
        <f t="shared" si="73"/>
        <v/>
      </c>
      <c r="M1542" s="94"/>
      <c r="N1542" s="26" t="str">
        <f t="shared" si="74"/>
        <v/>
      </c>
      <c r="O1542" s="80"/>
      <c r="P1542" s="80"/>
      <c r="Q1542" s="80"/>
      <c r="R1542" s="80"/>
    </row>
    <row r="1543" ht="18" customHeight="1" spans="1:18">
      <c r="A1543" s="87" t="str">
        <f t="shared" si="72"/>
        <v/>
      </c>
      <c r="B1543" s="78"/>
      <c r="C1543" s="80"/>
      <c r="D1543" s="80"/>
      <c r="E1543" s="79"/>
      <c r="F1543" s="87" t="str">
        <f>IF($E1543="","",IFERROR(INDEX(基础资料!$O$4:$O$34,MATCH($E1543,基础资料!$N$4:$N$34,0))&amp;"",""))</f>
        <v/>
      </c>
      <c r="G1543" s="87" t="str">
        <f>IF($E1543="","",IFERROR(INDEX(基础资料!$P$4:$P$34,MATCH($E1543,基础资料!$N$4:$N$34,0))&amp;"",""))</f>
        <v/>
      </c>
      <c r="H1543" s="79"/>
      <c r="I1543" s="88"/>
      <c r="J1543" s="92"/>
      <c r="K1543" s="93"/>
      <c r="L1543" s="25" t="str">
        <f t="shared" si="73"/>
        <v/>
      </c>
      <c r="M1543" s="94"/>
      <c r="N1543" s="26" t="str">
        <f t="shared" si="74"/>
        <v/>
      </c>
      <c r="O1543" s="80"/>
      <c r="P1543" s="80"/>
      <c r="Q1543" s="80"/>
      <c r="R1543" s="80"/>
    </row>
    <row r="1544" ht="18" customHeight="1" spans="1:18">
      <c r="A1544" s="87" t="str">
        <f t="shared" si="72"/>
        <v/>
      </c>
      <c r="B1544" s="78"/>
      <c r="C1544" s="80"/>
      <c r="D1544" s="80"/>
      <c r="E1544" s="79"/>
      <c r="F1544" s="87" t="str">
        <f>IF($E1544="","",IFERROR(INDEX(基础资料!$O$4:$O$34,MATCH($E1544,基础资料!$N$4:$N$34,0))&amp;"",""))</f>
        <v/>
      </c>
      <c r="G1544" s="87" t="str">
        <f>IF($E1544="","",IFERROR(INDEX(基础资料!$P$4:$P$34,MATCH($E1544,基础资料!$N$4:$N$34,0))&amp;"",""))</f>
        <v/>
      </c>
      <c r="H1544" s="79"/>
      <c r="I1544" s="88"/>
      <c r="J1544" s="92"/>
      <c r="K1544" s="93"/>
      <c r="L1544" s="25" t="str">
        <f t="shared" si="73"/>
        <v/>
      </c>
      <c r="M1544" s="94"/>
      <c r="N1544" s="26" t="str">
        <f t="shared" si="74"/>
        <v/>
      </c>
      <c r="O1544" s="80"/>
      <c r="P1544" s="80"/>
      <c r="Q1544" s="80"/>
      <c r="R1544" s="80"/>
    </row>
    <row r="1545" ht="18" customHeight="1" spans="1:18">
      <c r="A1545" s="87" t="str">
        <f t="shared" si="72"/>
        <v/>
      </c>
      <c r="B1545" s="78"/>
      <c r="C1545" s="80"/>
      <c r="D1545" s="80"/>
      <c r="E1545" s="79"/>
      <c r="F1545" s="87" t="str">
        <f>IF($E1545="","",IFERROR(INDEX(基础资料!$O$4:$O$34,MATCH($E1545,基础资料!$N$4:$N$34,0))&amp;"",""))</f>
        <v/>
      </c>
      <c r="G1545" s="87" t="str">
        <f>IF($E1545="","",IFERROR(INDEX(基础资料!$P$4:$P$34,MATCH($E1545,基础资料!$N$4:$N$34,0))&amp;"",""))</f>
        <v/>
      </c>
      <c r="H1545" s="79"/>
      <c r="I1545" s="88"/>
      <c r="J1545" s="92"/>
      <c r="K1545" s="93"/>
      <c r="L1545" s="25" t="str">
        <f t="shared" si="73"/>
        <v/>
      </c>
      <c r="M1545" s="94"/>
      <c r="N1545" s="26" t="str">
        <f t="shared" si="74"/>
        <v/>
      </c>
      <c r="O1545" s="80"/>
      <c r="P1545" s="80"/>
      <c r="Q1545" s="80"/>
      <c r="R1545" s="80"/>
    </row>
    <row r="1546" ht="18" customHeight="1" spans="1:18">
      <c r="A1546" s="87" t="str">
        <f t="shared" si="72"/>
        <v/>
      </c>
      <c r="B1546" s="78"/>
      <c r="C1546" s="80"/>
      <c r="D1546" s="80"/>
      <c r="E1546" s="79"/>
      <c r="F1546" s="87" t="str">
        <f>IF($E1546="","",IFERROR(INDEX(基础资料!$O$4:$O$34,MATCH($E1546,基础资料!$N$4:$N$34,0))&amp;"",""))</f>
        <v/>
      </c>
      <c r="G1546" s="87" t="str">
        <f>IF($E1546="","",IFERROR(INDEX(基础资料!$P$4:$P$34,MATCH($E1546,基础资料!$N$4:$N$34,0))&amp;"",""))</f>
        <v/>
      </c>
      <c r="H1546" s="79"/>
      <c r="I1546" s="88"/>
      <c r="J1546" s="92"/>
      <c r="K1546" s="93"/>
      <c r="L1546" s="25" t="str">
        <f t="shared" si="73"/>
        <v/>
      </c>
      <c r="M1546" s="94"/>
      <c r="N1546" s="26" t="str">
        <f t="shared" si="74"/>
        <v/>
      </c>
      <c r="O1546" s="80"/>
      <c r="P1546" s="80"/>
      <c r="Q1546" s="80"/>
      <c r="R1546" s="80"/>
    </row>
    <row r="1547" ht="18" customHeight="1" spans="1:18">
      <c r="A1547" s="87" t="str">
        <f t="shared" si="72"/>
        <v/>
      </c>
      <c r="B1547" s="78"/>
      <c r="C1547" s="80"/>
      <c r="D1547" s="80"/>
      <c r="E1547" s="79"/>
      <c r="F1547" s="87" t="str">
        <f>IF($E1547="","",IFERROR(INDEX(基础资料!$O$4:$O$34,MATCH($E1547,基础资料!$N$4:$N$34,0))&amp;"",""))</f>
        <v/>
      </c>
      <c r="G1547" s="87" t="str">
        <f>IF($E1547="","",IFERROR(INDEX(基础资料!$P$4:$P$34,MATCH($E1547,基础资料!$N$4:$N$34,0))&amp;"",""))</f>
        <v/>
      </c>
      <c r="H1547" s="79"/>
      <c r="I1547" s="88"/>
      <c r="J1547" s="92"/>
      <c r="K1547" s="93"/>
      <c r="L1547" s="25" t="str">
        <f t="shared" si="73"/>
        <v/>
      </c>
      <c r="M1547" s="94"/>
      <c r="N1547" s="26" t="str">
        <f t="shared" si="74"/>
        <v/>
      </c>
      <c r="O1547" s="80"/>
      <c r="P1547" s="80"/>
      <c r="Q1547" s="80"/>
      <c r="R1547" s="80"/>
    </row>
    <row r="1548" ht="18" customHeight="1" spans="1:18">
      <c r="A1548" s="87" t="str">
        <f t="shared" si="72"/>
        <v/>
      </c>
      <c r="B1548" s="78"/>
      <c r="C1548" s="80"/>
      <c r="D1548" s="80"/>
      <c r="E1548" s="79"/>
      <c r="F1548" s="87" t="str">
        <f>IF($E1548="","",IFERROR(INDEX(基础资料!$O$4:$O$34,MATCH($E1548,基础资料!$N$4:$N$34,0))&amp;"",""))</f>
        <v/>
      </c>
      <c r="G1548" s="87" t="str">
        <f>IF($E1548="","",IFERROR(INDEX(基础资料!$P$4:$P$34,MATCH($E1548,基础资料!$N$4:$N$34,0))&amp;"",""))</f>
        <v/>
      </c>
      <c r="H1548" s="79"/>
      <c r="I1548" s="88"/>
      <c r="J1548" s="92"/>
      <c r="K1548" s="93"/>
      <c r="L1548" s="25" t="str">
        <f t="shared" si="73"/>
        <v/>
      </c>
      <c r="M1548" s="94"/>
      <c r="N1548" s="26" t="str">
        <f t="shared" si="74"/>
        <v/>
      </c>
      <c r="O1548" s="80"/>
      <c r="P1548" s="80"/>
      <c r="Q1548" s="80"/>
      <c r="R1548" s="80"/>
    </row>
    <row r="1549" ht="18" customHeight="1" spans="1:18">
      <c r="A1549" s="87" t="str">
        <f t="shared" si="72"/>
        <v/>
      </c>
      <c r="B1549" s="78"/>
      <c r="C1549" s="80"/>
      <c r="D1549" s="80"/>
      <c r="E1549" s="79"/>
      <c r="F1549" s="87" t="str">
        <f>IF($E1549="","",IFERROR(INDEX(基础资料!$O$4:$O$34,MATCH($E1549,基础资料!$N$4:$N$34,0))&amp;"",""))</f>
        <v/>
      </c>
      <c r="G1549" s="87" t="str">
        <f>IF($E1549="","",IFERROR(INDEX(基础资料!$P$4:$P$34,MATCH($E1549,基础资料!$N$4:$N$34,0))&amp;"",""))</f>
        <v/>
      </c>
      <c r="H1549" s="79"/>
      <c r="I1549" s="88"/>
      <c r="J1549" s="92"/>
      <c r="K1549" s="93"/>
      <c r="L1549" s="25" t="str">
        <f t="shared" si="73"/>
        <v/>
      </c>
      <c r="M1549" s="94"/>
      <c r="N1549" s="26" t="str">
        <f t="shared" si="74"/>
        <v/>
      </c>
      <c r="O1549" s="80"/>
      <c r="P1549" s="80"/>
      <c r="Q1549" s="80"/>
      <c r="R1549" s="80"/>
    </row>
    <row r="1550" ht="18" customHeight="1" spans="1:18">
      <c r="A1550" s="87" t="str">
        <f t="shared" si="72"/>
        <v/>
      </c>
      <c r="B1550" s="78"/>
      <c r="C1550" s="80"/>
      <c r="D1550" s="80"/>
      <c r="E1550" s="79"/>
      <c r="F1550" s="87" t="str">
        <f>IF($E1550="","",IFERROR(INDEX(基础资料!$O$4:$O$34,MATCH($E1550,基础资料!$N$4:$N$34,0))&amp;"",""))</f>
        <v/>
      </c>
      <c r="G1550" s="87" t="str">
        <f>IF($E1550="","",IFERROR(INDEX(基础资料!$P$4:$P$34,MATCH($E1550,基础资料!$N$4:$N$34,0))&amp;"",""))</f>
        <v/>
      </c>
      <c r="H1550" s="79"/>
      <c r="I1550" s="88"/>
      <c r="J1550" s="92"/>
      <c r="K1550" s="93"/>
      <c r="L1550" s="25" t="str">
        <f t="shared" si="73"/>
        <v/>
      </c>
      <c r="M1550" s="94"/>
      <c r="N1550" s="26" t="str">
        <f t="shared" si="74"/>
        <v/>
      </c>
      <c r="O1550" s="80"/>
      <c r="P1550" s="80"/>
      <c r="Q1550" s="80"/>
      <c r="R1550" s="80"/>
    </row>
    <row r="1551" ht="18" customHeight="1" spans="1:18">
      <c r="A1551" s="87" t="str">
        <f t="shared" si="72"/>
        <v/>
      </c>
      <c r="B1551" s="78"/>
      <c r="C1551" s="80"/>
      <c r="D1551" s="80"/>
      <c r="E1551" s="79"/>
      <c r="F1551" s="87" t="str">
        <f>IF($E1551="","",IFERROR(INDEX(基础资料!$O$4:$O$34,MATCH($E1551,基础资料!$N$4:$N$34,0))&amp;"",""))</f>
        <v/>
      </c>
      <c r="G1551" s="87" t="str">
        <f>IF($E1551="","",IFERROR(INDEX(基础资料!$P$4:$P$34,MATCH($E1551,基础资料!$N$4:$N$34,0))&amp;"",""))</f>
        <v/>
      </c>
      <c r="H1551" s="79"/>
      <c r="I1551" s="88"/>
      <c r="J1551" s="92"/>
      <c r="K1551" s="93"/>
      <c r="L1551" s="25" t="str">
        <f t="shared" si="73"/>
        <v/>
      </c>
      <c r="M1551" s="94"/>
      <c r="N1551" s="26" t="str">
        <f t="shared" si="74"/>
        <v/>
      </c>
      <c r="O1551" s="80"/>
      <c r="P1551" s="80"/>
      <c r="Q1551" s="80"/>
      <c r="R1551" s="80"/>
    </row>
    <row r="1552" ht="18" customHeight="1" spans="1:18">
      <c r="A1552" s="87" t="str">
        <f t="shared" si="72"/>
        <v/>
      </c>
      <c r="B1552" s="78"/>
      <c r="C1552" s="80"/>
      <c r="D1552" s="80"/>
      <c r="E1552" s="79"/>
      <c r="F1552" s="87" t="str">
        <f>IF($E1552="","",IFERROR(INDEX(基础资料!$O$4:$O$34,MATCH($E1552,基础资料!$N$4:$N$34,0))&amp;"",""))</f>
        <v/>
      </c>
      <c r="G1552" s="87" t="str">
        <f>IF($E1552="","",IFERROR(INDEX(基础资料!$P$4:$P$34,MATCH($E1552,基础资料!$N$4:$N$34,0))&amp;"",""))</f>
        <v/>
      </c>
      <c r="H1552" s="79"/>
      <c r="I1552" s="88"/>
      <c r="J1552" s="92"/>
      <c r="K1552" s="93"/>
      <c r="L1552" s="25" t="str">
        <f t="shared" si="73"/>
        <v/>
      </c>
      <c r="M1552" s="94"/>
      <c r="N1552" s="26" t="str">
        <f t="shared" si="74"/>
        <v/>
      </c>
      <c r="O1552" s="80"/>
      <c r="P1552" s="80"/>
      <c r="Q1552" s="80"/>
      <c r="R1552" s="80"/>
    </row>
    <row r="1553" ht="18" customHeight="1" spans="1:18">
      <c r="A1553" s="87" t="str">
        <f t="shared" si="72"/>
        <v/>
      </c>
      <c r="B1553" s="78"/>
      <c r="C1553" s="80"/>
      <c r="D1553" s="80"/>
      <c r="E1553" s="79"/>
      <c r="F1553" s="87" t="str">
        <f>IF($E1553="","",IFERROR(INDEX(基础资料!$O$4:$O$34,MATCH($E1553,基础资料!$N$4:$N$34,0))&amp;"",""))</f>
        <v/>
      </c>
      <c r="G1553" s="87" t="str">
        <f>IF($E1553="","",IFERROR(INDEX(基础资料!$P$4:$P$34,MATCH($E1553,基础资料!$N$4:$N$34,0))&amp;"",""))</f>
        <v/>
      </c>
      <c r="H1553" s="79"/>
      <c r="I1553" s="88"/>
      <c r="J1553" s="92"/>
      <c r="K1553" s="93"/>
      <c r="L1553" s="25" t="str">
        <f t="shared" si="73"/>
        <v/>
      </c>
      <c r="M1553" s="94"/>
      <c r="N1553" s="26" t="str">
        <f t="shared" si="74"/>
        <v/>
      </c>
      <c r="O1553" s="80"/>
      <c r="P1553" s="80"/>
      <c r="Q1553" s="80"/>
      <c r="R1553" s="80"/>
    </row>
    <row r="1554" ht="18" customHeight="1" spans="1:18">
      <c r="A1554" s="87" t="str">
        <f t="shared" si="72"/>
        <v/>
      </c>
      <c r="B1554" s="78"/>
      <c r="C1554" s="80"/>
      <c r="D1554" s="80"/>
      <c r="E1554" s="79"/>
      <c r="F1554" s="87" t="str">
        <f>IF($E1554="","",IFERROR(INDEX(基础资料!$O$4:$O$34,MATCH($E1554,基础资料!$N$4:$N$34,0))&amp;"",""))</f>
        <v/>
      </c>
      <c r="G1554" s="87" t="str">
        <f>IF($E1554="","",IFERROR(INDEX(基础资料!$P$4:$P$34,MATCH($E1554,基础资料!$N$4:$N$34,0))&amp;"",""))</f>
        <v/>
      </c>
      <c r="H1554" s="79"/>
      <c r="I1554" s="88"/>
      <c r="J1554" s="92"/>
      <c r="K1554" s="93"/>
      <c r="L1554" s="25" t="str">
        <f t="shared" si="73"/>
        <v/>
      </c>
      <c r="M1554" s="94"/>
      <c r="N1554" s="26" t="str">
        <f t="shared" si="74"/>
        <v/>
      </c>
      <c r="O1554" s="80"/>
      <c r="P1554" s="80"/>
      <c r="Q1554" s="80"/>
      <c r="R1554" s="80"/>
    </row>
    <row r="1555" ht="18" customHeight="1" spans="1:18">
      <c r="A1555" s="87" t="str">
        <f t="shared" si="72"/>
        <v/>
      </c>
      <c r="B1555" s="78"/>
      <c r="C1555" s="80"/>
      <c r="D1555" s="80"/>
      <c r="E1555" s="79"/>
      <c r="F1555" s="87" t="str">
        <f>IF($E1555="","",IFERROR(INDEX(基础资料!$O$4:$O$34,MATCH($E1555,基础资料!$N$4:$N$34,0))&amp;"",""))</f>
        <v/>
      </c>
      <c r="G1555" s="87" t="str">
        <f>IF($E1555="","",IFERROR(INDEX(基础资料!$P$4:$P$34,MATCH($E1555,基础资料!$N$4:$N$34,0))&amp;"",""))</f>
        <v/>
      </c>
      <c r="H1555" s="79"/>
      <c r="I1555" s="88"/>
      <c r="J1555" s="92"/>
      <c r="K1555" s="93"/>
      <c r="L1555" s="25" t="str">
        <f t="shared" si="73"/>
        <v/>
      </c>
      <c r="M1555" s="94"/>
      <c r="N1555" s="26" t="str">
        <f t="shared" si="74"/>
        <v/>
      </c>
      <c r="O1555" s="80"/>
      <c r="P1555" s="80"/>
      <c r="Q1555" s="80"/>
      <c r="R1555" s="80"/>
    </row>
    <row r="1556" ht="18" customHeight="1" spans="1:18">
      <c r="A1556" s="87" t="str">
        <f t="shared" si="72"/>
        <v/>
      </c>
      <c r="B1556" s="78"/>
      <c r="C1556" s="80"/>
      <c r="D1556" s="80"/>
      <c r="E1556" s="79"/>
      <c r="F1556" s="87" t="str">
        <f>IF($E1556="","",IFERROR(INDEX(基础资料!$O$4:$O$34,MATCH($E1556,基础资料!$N$4:$N$34,0))&amp;"",""))</f>
        <v/>
      </c>
      <c r="G1556" s="87" t="str">
        <f>IF($E1556="","",IFERROR(INDEX(基础资料!$P$4:$P$34,MATCH($E1556,基础资料!$N$4:$N$34,0))&amp;"",""))</f>
        <v/>
      </c>
      <c r="H1556" s="79"/>
      <c r="I1556" s="88"/>
      <c r="J1556" s="92"/>
      <c r="K1556" s="93"/>
      <c r="L1556" s="25" t="str">
        <f t="shared" si="73"/>
        <v/>
      </c>
      <c r="M1556" s="94"/>
      <c r="N1556" s="26" t="str">
        <f t="shared" si="74"/>
        <v/>
      </c>
      <c r="O1556" s="80"/>
      <c r="P1556" s="80"/>
      <c r="Q1556" s="80"/>
      <c r="R1556" s="80"/>
    </row>
    <row r="1557" ht="18" customHeight="1" spans="1:18">
      <c r="A1557" s="87" t="str">
        <f t="shared" si="72"/>
        <v/>
      </c>
      <c r="B1557" s="78"/>
      <c r="C1557" s="80"/>
      <c r="D1557" s="80"/>
      <c r="E1557" s="79"/>
      <c r="F1557" s="87" t="str">
        <f>IF($E1557="","",IFERROR(INDEX(基础资料!$O$4:$O$34,MATCH($E1557,基础资料!$N$4:$N$34,0))&amp;"",""))</f>
        <v/>
      </c>
      <c r="G1557" s="87" t="str">
        <f>IF($E1557="","",IFERROR(INDEX(基础资料!$P$4:$P$34,MATCH($E1557,基础资料!$N$4:$N$34,0))&amp;"",""))</f>
        <v/>
      </c>
      <c r="H1557" s="79"/>
      <c r="I1557" s="88"/>
      <c r="J1557" s="92"/>
      <c r="K1557" s="93"/>
      <c r="L1557" s="25" t="str">
        <f t="shared" si="73"/>
        <v/>
      </c>
      <c r="M1557" s="94"/>
      <c r="N1557" s="26" t="str">
        <f t="shared" si="74"/>
        <v/>
      </c>
      <c r="O1557" s="80"/>
      <c r="P1557" s="80"/>
      <c r="Q1557" s="80"/>
      <c r="R1557" s="80"/>
    </row>
    <row r="1558" ht="18" customHeight="1" spans="1:18">
      <c r="A1558" s="87" t="str">
        <f t="shared" si="72"/>
        <v/>
      </c>
      <c r="B1558" s="78"/>
      <c r="C1558" s="80"/>
      <c r="D1558" s="80"/>
      <c r="E1558" s="79"/>
      <c r="F1558" s="87" t="str">
        <f>IF($E1558="","",IFERROR(INDEX(基础资料!$O$4:$O$34,MATCH($E1558,基础资料!$N$4:$N$34,0))&amp;"",""))</f>
        <v/>
      </c>
      <c r="G1558" s="87" t="str">
        <f>IF($E1558="","",IFERROR(INDEX(基础资料!$P$4:$P$34,MATCH($E1558,基础资料!$N$4:$N$34,0))&amp;"",""))</f>
        <v/>
      </c>
      <c r="H1558" s="79"/>
      <c r="I1558" s="88"/>
      <c r="J1558" s="92"/>
      <c r="K1558" s="93"/>
      <c r="L1558" s="25" t="str">
        <f t="shared" si="73"/>
        <v/>
      </c>
      <c r="M1558" s="94"/>
      <c r="N1558" s="26" t="str">
        <f t="shared" si="74"/>
        <v/>
      </c>
      <c r="O1558" s="80"/>
      <c r="P1558" s="80"/>
      <c r="Q1558" s="80"/>
      <c r="R1558" s="80"/>
    </row>
    <row r="1559" ht="18" customHeight="1" spans="1:18">
      <c r="A1559" s="87" t="str">
        <f t="shared" si="72"/>
        <v/>
      </c>
      <c r="B1559" s="78"/>
      <c r="C1559" s="80"/>
      <c r="D1559" s="80"/>
      <c r="E1559" s="79"/>
      <c r="F1559" s="87" t="str">
        <f>IF($E1559="","",IFERROR(INDEX(基础资料!$O$4:$O$34,MATCH($E1559,基础资料!$N$4:$N$34,0))&amp;"",""))</f>
        <v/>
      </c>
      <c r="G1559" s="87" t="str">
        <f>IF($E1559="","",IFERROR(INDEX(基础资料!$P$4:$P$34,MATCH($E1559,基础资料!$N$4:$N$34,0))&amp;"",""))</f>
        <v/>
      </c>
      <c r="H1559" s="79"/>
      <c r="I1559" s="88"/>
      <c r="J1559" s="92"/>
      <c r="K1559" s="93"/>
      <c r="L1559" s="25" t="str">
        <f t="shared" si="73"/>
        <v/>
      </c>
      <c r="M1559" s="94"/>
      <c r="N1559" s="26" t="str">
        <f t="shared" si="74"/>
        <v/>
      </c>
      <c r="O1559" s="80"/>
      <c r="P1559" s="80"/>
      <c r="Q1559" s="80"/>
      <c r="R1559" s="80"/>
    </row>
    <row r="1560" ht="18" customHeight="1" spans="1:18">
      <c r="A1560" s="87" t="str">
        <f t="shared" si="72"/>
        <v/>
      </c>
      <c r="B1560" s="78"/>
      <c r="C1560" s="80"/>
      <c r="D1560" s="80"/>
      <c r="E1560" s="79"/>
      <c r="F1560" s="87" t="str">
        <f>IF($E1560="","",IFERROR(INDEX(基础资料!$O$4:$O$34,MATCH($E1560,基础资料!$N$4:$N$34,0))&amp;"",""))</f>
        <v/>
      </c>
      <c r="G1560" s="87" t="str">
        <f>IF($E1560="","",IFERROR(INDEX(基础资料!$P$4:$P$34,MATCH($E1560,基础资料!$N$4:$N$34,0))&amp;"",""))</f>
        <v/>
      </c>
      <c r="H1560" s="79"/>
      <c r="I1560" s="88"/>
      <c r="J1560" s="92"/>
      <c r="K1560" s="93"/>
      <c r="L1560" s="25" t="str">
        <f t="shared" si="73"/>
        <v/>
      </c>
      <c r="M1560" s="94"/>
      <c r="N1560" s="26" t="str">
        <f t="shared" si="74"/>
        <v/>
      </c>
      <c r="O1560" s="80"/>
      <c r="P1560" s="80"/>
      <c r="Q1560" s="80"/>
      <c r="R1560" s="80"/>
    </row>
    <row r="1561" ht="18" customHeight="1" spans="1:18">
      <c r="A1561" s="87" t="str">
        <f t="shared" si="72"/>
        <v/>
      </c>
      <c r="B1561" s="78"/>
      <c r="C1561" s="80"/>
      <c r="D1561" s="80"/>
      <c r="E1561" s="79"/>
      <c r="F1561" s="87" t="str">
        <f>IF($E1561="","",IFERROR(INDEX(基础资料!$O$4:$O$34,MATCH($E1561,基础资料!$N$4:$N$34,0))&amp;"",""))</f>
        <v/>
      </c>
      <c r="G1561" s="87" t="str">
        <f>IF($E1561="","",IFERROR(INDEX(基础资料!$P$4:$P$34,MATCH($E1561,基础资料!$N$4:$N$34,0))&amp;"",""))</f>
        <v/>
      </c>
      <c r="H1561" s="79"/>
      <c r="I1561" s="88"/>
      <c r="J1561" s="92"/>
      <c r="K1561" s="93"/>
      <c r="L1561" s="25" t="str">
        <f t="shared" si="73"/>
        <v/>
      </c>
      <c r="M1561" s="94"/>
      <c r="N1561" s="26" t="str">
        <f t="shared" si="74"/>
        <v/>
      </c>
      <c r="O1561" s="80"/>
      <c r="P1561" s="80"/>
      <c r="Q1561" s="80"/>
      <c r="R1561" s="80"/>
    </row>
    <row r="1562" ht="18" customHeight="1" spans="1:18">
      <c r="A1562" s="87" t="str">
        <f t="shared" si="72"/>
        <v/>
      </c>
      <c r="B1562" s="78"/>
      <c r="C1562" s="80"/>
      <c r="D1562" s="80"/>
      <c r="E1562" s="79"/>
      <c r="F1562" s="87" t="str">
        <f>IF($E1562="","",IFERROR(INDEX(基础资料!$O$4:$O$34,MATCH($E1562,基础资料!$N$4:$N$34,0))&amp;"",""))</f>
        <v/>
      </c>
      <c r="G1562" s="87" t="str">
        <f>IF($E1562="","",IFERROR(INDEX(基础资料!$P$4:$P$34,MATCH($E1562,基础资料!$N$4:$N$34,0))&amp;"",""))</f>
        <v/>
      </c>
      <c r="H1562" s="79"/>
      <c r="I1562" s="88"/>
      <c r="J1562" s="92"/>
      <c r="K1562" s="93"/>
      <c r="L1562" s="25" t="str">
        <f t="shared" si="73"/>
        <v/>
      </c>
      <c r="M1562" s="94"/>
      <c r="N1562" s="26" t="str">
        <f t="shared" si="74"/>
        <v/>
      </c>
      <c r="O1562" s="80"/>
      <c r="P1562" s="80"/>
      <c r="Q1562" s="80"/>
      <c r="R1562" s="80"/>
    </row>
    <row r="1563" ht="18" customHeight="1" spans="1:18">
      <c r="A1563" s="87" t="str">
        <f t="shared" si="72"/>
        <v/>
      </c>
      <c r="B1563" s="78"/>
      <c r="C1563" s="80"/>
      <c r="D1563" s="80"/>
      <c r="E1563" s="79"/>
      <c r="F1563" s="87" t="str">
        <f>IF($E1563="","",IFERROR(INDEX(基础资料!$O$4:$O$34,MATCH($E1563,基础资料!$N$4:$N$34,0))&amp;"",""))</f>
        <v/>
      </c>
      <c r="G1563" s="87" t="str">
        <f>IF($E1563="","",IFERROR(INDEX(基础资料!$P$4:$P$34,MATCH($E1563,基础资料!$N$4:$N$34,0))&amp;"",""))</f>
        <v/>
      </c>
      <c r="H1563" s="79"/>
      <c r="I1563" s="88"/>
      <c r="J1563" s="92"/>
      <c r="K1563" s="93"/>
      <c r="L1563" s="25" t="str">
        <f t="shared" si="73"/>
        <v/>
      </c>
      <c r="M1563" s="94"/>
      <c r="N1563" s="26" t="str">
        <f t="shared" si="74"/>
        <v/>
      </c>
      <c r="O1563" s="80"/>
      <c r="P1563" s="80"/>
      <c r="Q1563" s="80"/>
      <c r="R1563" s="80"/>
    </row>
    <row r="1564" ht="18" customHeight="1" spans="1:18">
      <c r="A1564" s="87" t="str">
        <f t="shared" si="72"/>
        <v/>
      </c>
      <c r="B1564" s="78"/>
      <c r="C1564" s="80"/>
      <c r="D1564" s="80"/>
      <c r="E1564" s="79"/>
      <c r="F1564" s="87" t="str">
        <f>IF($E1564="","",IFERROR(INDEX(基础资料!$O$4:$O$34,MATCH($E1564,基础资料!$N$4:$N$34,0))&amp;"",""))</f>
        <v/>
      </c>
      <c r="G1564" s="87" t="str">
        <f>IF($E1564="","",IFERROR(INDEX(基础资料!$P$4:$P$34,MATCH($E1564,基础资料!$N$4:$N$34,0))&amp;"",""))</f>
        <v/>
      </c>
      <c r="H1564" s="79"/>
      <c r="I1564" s="88"/>
      <c r="J1564" s="92"/>
      <c r="K1564" s="93"/>
      <c r="L1564" s="25" t="str">
        <f t="shared" si="73"/>
        <v/>
      </c>
      <c r="M1564" s="94"/>
      <c r="N1564" s="26" t="str">
        <f t="shared" si="74"/>
        <v/>
      </c>
      <c r="O1564" s="80"/>
      <c r="P1564" s="80"/>
      <c r="Q1564" s="80"/>
      <c r="R1564" s="80"/>
    </row>
    <row r="1565" ht="18" customHeight="1" spans="1:18">
      <c r="A1565" s="87" t="str">
        <f t="shared" si="72"/>
        <v/>
      </c>
      <c r="B1565" s="78"/>
      <c r="C1565" s="80"/>
      <c r="D1565" s="80"/>
      <c r="E1565" s="79"/>
      <c r="F1565" s="87" t="str">
        <f>IF($E1565="","",IFERROR(INDEX(基础资料!$O$4:$O$34,MATCH($E1565,基础资料!$N$4:$N$34,0))&amp;"",""))</f>
        <v/>
      </c>
      <c r="G1565" s="87" t="str">
        <f>IF($E1565="","",IFERROR(INDEX(基础资料!$P$4:$P$34,MATCH($E1565,基础资料!$N$4:$N$34,0))&amp;"",""))</f>
        <v/>
      </c>
      <c r="H1565" s="79"/>
      <c r="I1565" s="88"/>
      <c r="J1565" s="92"/>
      <c r="K1565" s="93"/>
      <c r="L1565" s="25" t="str">
        <f t="shared" si="73"/>
        <v/>
      </c>
      <c r="M1565" s="94"/>
      <c r="N1565" s="26" t="str">
        <f t="shared" si="74"/>
        <v/>
      </c>
      <c r="O1565" s="80"/>
      <c r="P1565" s="80"/>
      <c r="Q1565" s="80"/>
      <c r="R1565" s="80"/>
    </row>
    <row r="1566" ht="18" customHeight="1" spans="1:18">
      <c r="A1566" s="87" t="str">
        <f t="shared" si="72"/>
        <v/>
      </c>
      <c r="B1566" s="78"/>
      <c r="C1566" s="80"/>
      <c r="D1566" s="80"/>
      <c r="E1566" s="79"/>
      <c r="F1566" s="87" t="str">
        <f>IF($E1566="","",IFERROR(INDEX(基础资料!$O$4:$O$34,MATCH($E1566,基础资料!$N$4:$N$34,0))&amp;"",""))</f>
        <v/>
      </c>
      <c r="G1566" s="87" t="str">
        <f>IF($E1566="","",IFERROR(INDEX(基础资料!$P$4:$P$34,MATCH($E1566,基础资料!$N$4:$N$34,0))&amp;"",""))</f>
        <v/>
      </c>
      <c r="H1566" s="79"/>
      <c r="I1566" s="88"/>
      <c r="J1566" s="92"/>
      <c r="K1566" s="93"/>
      <c r="L1566" s="25" t="str">
        <f t="shared" si="73"/>
        <v/>
      </c>
      <c r="M1566" s="94"/>
      <c r="N1566" s="26" t="str">
        <f t="shared" si="74"/>
        <v/>
      </c>
      <c r="O1566" s="80"/>
      <c r="P1566" s="80"/>
      <c r="Q1566" s="80"/>
      <c r="R1566" s="80"/>
    </row>
    <row r="1567" ht="18" customHeight="1" spans="1:18">
      <c r="A1567" s="87" t="str">
        <f t="shared" si="72"/>
        <v/>
      </c>
      <c r="B1567" s="78"/>
      <c r="C1567" s="80"/>
      <c r="D1567" s="80"/>
      <c r="E1567" s="79"/>
      <c r="F1567" s="87" t="str">
        <f>IF($E1567="","",IFERROR(INDEX(基础资料!$O$4:$O$34,MATCH($E1567,基础资料!$N$4:$N$34,0))&amp;"",""))</f>
        <v/>
      </c>
      <c r="G1567" s="87" t="str">
        <f>IF($E1567="","",IFERROR(INDEX(基础资料!$P$4:$P$34,MATCH($E1567,基础资料!$N$4:$N$34,0))&amp;"",""))</f>
        <v/>
      </c>
      <c r="H1567" s="79"/>
      <c r="I1567" s="88"/>
      <c r="J1567" s="92"/>
      <c r="K1567" s="93"/>
      <c r="L1567" s="25" t="str">
        <f t="shared" si="73"/>
        <v/>
      </c>
      <c r="M1567" s="94"/>
      <c r="N1567" s="26" t="str">
        <f t="shared" si="74"/>
        <v/>
      </c>
      <c r="O1567" s="80"/>
      <c r="P1567" s="80"/>
      <c r="Q1567" s="80"/>
      <c r="R1567" s="80"/>
    </row>
    <row r="1568" ht="18" customHeight="1" spans="1:18">
      <c r="A1568" s="87" t="str">
        <f t="shared" si="72"/>
        <v/>
      </c>
      <c r="B1568" s="78"/>
      <c r="C1568" s="80"/>
      <c r="D1568" s="80"/>
      <c r="E1568" s="79"/>
      <c r="F1568" s="87" t="str">
        <f>IF($E1568="","",IFERROR(INDEX(基础资料!$O$4:$O$34,MATCH($E1568,基础资料!$N$4:$N$34,0))&amp;"",""))</f>
        <v/>
      </c>
      <c r="G1568" s="87" t="str">
        <f>IF($E1568="","",IFERROR(INDEX(基础资料!$P$4:$P$34,MATCH($E1568,基础资料!$N$4:$N$34,0))&amp;"",""))</f>
        <v/>
      </c>
      <c r="H1568" s="79"/>
      <c r="I1568" s="88"/>
      <c r="J1568" s="92"/>
      <c r="K1568" s="93"/>
      <c r="L1568" s="25" t="str">
        <f t="shared" si="73"/>
        <v/>
      </c>
      <c r="M1568" s="94"/>
      <c r="N1568" s="26" t="str">
        <f t="shared" si="74"/>
        <v/>
      </c>
      <c r="O1568" s="80"/>
      <c r="P1568" s="80"/>
      <c r="Q1568" s="80"/>
      <c r="R1568" s="80"/>
    </row>
    <row r="1569" ht="18" customHeight="1" spans="1:18">
      <c r="A1569" s="87" t="str">
        <f t="shared" si="72"/>
        <v/>
      </c>
      <c r="B1569" s="78"/>
      <c r="C1569" s="80"/>
      <c r="D1569" s="80"/>
      <c r="E1569" s="79"/>
      <c r="F1569" s="87" t="str">
        <f>IF($E1569="","",IFERROR(INDEX(基础资料!$O$4:$O$34,MATCH($E1569,基础资料!$N$4:$N$34,0))&amp;"",""))</f>
        <v/>
      </c>
      <c r="G1569" s="87" t="str">
        <f>IF($E1569="","",IFERROR(INDEX(基础资料!$P$4:$P$34,MATCH($E1569,基础资料!$N$4:$N$34,0))&amp;"",""))</f>
        <v/>
      </c>
      <c r="H1569" s="79"/>
      <c r="I1569" s="88"/>
      <c r="J1569" s="92"/>
      <c r="K1569" s="93"/>
      <c r="L1569" s="25" t="str">
        <f t="shared" si="73"/>
        <v/>
      </c>
      <c r="M1569" s="94"/>
      <c r="N1569" s="26" t="str">
        <f t="shared" si="74"/>
        <v/>
      </c>
      <c r="O1569" s="80"/>
      <c r="P1569" s="80"/>
      <c r="Q1569" s="80"/>
      <c r="R1569" s="80"/>
    </row>
    <row r="1570" ht="18" customHeight="1" spans="1:18">
      <c r="A1570" s="87" t="str">
        <f t="shared" si="72"/>
        <v/>
      </c>
      <c r="B1570" s="78"/>
      <c r="C1570" s="80"/>
      <c r="D1570" s="80"/>
      <c r="E1570" s="79"/>
      <c r="F1570" s="87" t="str">
        <f>IF($E1570="","",IFERROR(INDEX(基础资料!$O$4:$O$34,MATCH($E1570,基础资料!$N$4:$N$34,0))&amp;"",""))</f>
        <v/>
      </c>
      <c r="G1570" s="87" t="str">
        <f>IF($E1570="","",IFERROR(INDEX(基础资料!$P$4:$P$34,MATCH($E1570,基础资料!$N$4:$N$34,0))&amp;"",""))</f>
        <v/>
      </c>
      <c r="H1570" s="79"/>
      <c r="I1570" s="88"/>
      <c r="J1570" s="92"/>
      <c r="K1570" s="93"/>
      <c r="L1570" s="25" t="str">
        <f t="shared" si="73"/>
        <v/>
      </c>
      <c r="M1570" s="94"/>
      <c r="N1570" s="26" t="str">
        <f t="shared" si="74"/>
        <v/>
      </c>
      <c r="O1570" s="80"/>
      <c r="P1570" s="80"/>
      <c r="Q1570" s="80"/>
      <c r="R1570" s="80"/>
    </row>
    <row r="1571" ht="18" customHeight="1" spans="1:18">
      <c r="A1571" s="87" t="str">
        <f t="shared" si="72"/>
        <v/>
      </c>
      <c r="B1571" s="78"/>
      <c r="C1571" s="80"/>
      <c r="D1571" s="80"/>
      <c r="E1571" s="79"/>
      <c r="F1571" s="87" t="str">
        <f>IF($E1571="","",IFERROR(INDEX(基础资料!$O$4:$O$34,MATCH($E1571,基础资料!$N$4:$N$34,0))&amp;"",""))</f>
        <v/>
      </c>
      <c r="G1571" s="87" t="str">
        <f>IF($E1571="","",IFERROR(INDEX(基础资料!$P$4:$P$34,MATCH($E1571,基础资料!$N$4:$N$34,0))&amp;"",""))</f>
        <v/>
      </c>
      <c r="H1571" s="79"/>
      <c r="I1571" s="88"/>
      <c r="J1571" s="92"/>
      <c r="K1571" s="93"/>
      <c r="L1571" s="25" t="str">
        <f t="shared" si="73"/>
        <v/>
      </c>
      <c r="M1571" s="94"/>
      <c r="N1571" s="26" t="str">
        <f t="shared" si="74"/>
        <v/>
      </c>
      <c r="O1571" s="80"/>
      <c r="P1571" s="80"/>
      <c r="Q1571" s="80"/>
      <c r="R1571" s="80"/>
    </row>
    <row r="1572" ht="18" customHeight="1" spans="1:18">
      <c r="A1572" s="87" t="str">
        <f t="shared" si="72"/>
        <v/>
      </c>
      <c r="B1572" s="78"/>
      <c r="C1572" s="80"/>
      <c r="D1572" s="80"/>
      <c r="E1572" s="79"/>
      <c r="F1572" s="87" t="str">
        <f>IF($E1572="","",IFERROR(INDEX(基础资料!$O$4:$O$34,MATCH($E1572,基础资料!$N$4:$N$34,0))&amp;"",""))</f>
        <v/>
      </c>
      <c r="G1572" s="87" t="str">
        <f>IF($E1572="","",IFERROR(INDEX(基础资料!$P$4:$P$34,MATCH($E1572,基础资料!$N$4:$N$34,0))&amp;"",""))</f>
        <v/>
      </c>
      <c r="H1572" s="79"/>
      <c r="I1572" s="88"/>
      <c r="J1572" s="92"/>
      <c r="K1572" s="93"/>
      <c r="L1572" s="25" t="str">
        <f t="shared" si="73"/>
        <v/>
      </c>
      <c r="M1572" s="94"/>
      <c r="N1572" s="26" t="str">
        <f t="shared" si="74"/>
        <v/>
      </c>
      <c r="O1572" s="80"/>
      <c r="P1572" s="80"/>
      <c r="Q1572" s="80"/>
      <c r="R1572" s="80"/>
    </row>
    <row r="1573" ht="18" customHeight="1" spans="1:18">
      <c r="A1573" s="87" t="str">
        <f t="shared" si="72"/>
        <v/>
      </c>
      <c r="B1573" s="78"/>
      <c r="C1573" s="80"/>
      <c r="D1573" s="80"/>
      <c r="E1573" s="79"/>
      <c r="F1573" s="87" t="str">
        <f>IF($E1573="","",IFERROR(INDEX(基础资料!$O$4:$O$34,MATCH($E1573,基础资料!$N$4:$N$34,0))&amp;"",""))</f>
        <v/>
      </c>
      <c r="G1573" s="87" t="str">
        <f>IF($E1573="","",IFERROR(INDEX(基础资料!$P$4:$P$34,MATCH($E1573,基础资料!$N$4:$N$34,0))&amp;"",""))</f>
        <v/>
      </c>
      <c r="H1573" s="79"/>
      <c r="I1573" s="88"/>
      <c r="J1573" s="92"/>
      <c r="K1573" s="93"/>
      <c r="L1573" s="25" t="str">
        <f t="shared" si="73"/>
        <v/>
      </c>
      <c r="M1573" s="94"/>
      <c r="N1573" s="26" t="str">
        <f t="shared" si="74"/>
        <v/>
      </c>
      <c r="O1573" s="80"/>
      <c r="P1573" s="80"/>
      <c r="Q1573" s="80"/>
      <c r="R1573" s="80"/>
    </row>
    <row r="1574" ht="18" customHeight="1" spans="1:18">
      <c r="A1574" s="87" t="str">
        <f t="shared" si="72"/>
        <v/>
      </c>
      <c r="B1574" s="78"/>
      <c r="C1574" s="80"/>
      <c r="D1574" s="80"/>
      <c r="E1574" s="79"/>
      <c r="F1574" s="87" t="str">
        <f>IF($E1574="","",IFERROR(INDEX(基础资料!$O$4:$O$34,MATCH($E1574,基础资料!$N$4:$N$34,0))&amp;"",""))</f>
        <v/>
      </c>
      <c r="G1574" s="87" t="str">
        <f>IF($E1574="","",IFERROR(INDEX(基础资料!$P$4:$P$34,MATCH($E1574,基础资料!$N$4:$N$34,0))&amp;"",""))</f>
        <v/>
      </c>
      <c r="H1574" s="79"/>
      <c r="I1574" s="88"/>
      <c r="J1574" s="92"/>
      <c r="K1574" s="93"/>
      <c r="L1574" s="25" t="str">
        <f t="shared" si="73"/>
        <v/>
      </c>
      <c r="M1574" s="94"/>
      <c r="N1574" s="26" t="str">
        <f t="shared" si="74"/>
        <v/>
      </c>
      <c r="O1574" s="80"/>
      <c r="P1574" s="80"/>
      <c r="Q1574" s="80"/>
      <c r="R1574" s="80"/>
    </row>
    <row r="1575" ht="18" customHeight="1" spans="1:18">
      <c r="A1575" s="87" t="str">
        <f t="shared" si="72"/>
        <v/>
      </c>
      <c r="B1575" s="78"/>
      <c r="C1575" s="80"/>
      <c r="D1575" s="80"/>
      <c r="E1575" s="79"/>
      <c r="F1575" s="87" t="str">
        <f>IF($E1575="","",IFERROR(INDEX(基础资料!$O$4:$O$34,MATCH($E1575,基础资料!$N$4:$N$34,0))&amp;"",""))</f>
        <v/>
      </c>
      <c r="G1575" s="87" t="str">
        <f>IF($E1575="","",IFERROR(INDEX(基础资料!$P$4:$P$34,MATCH($E1575,基础资料!$N$4:$N$34,0))&amp;"",""))</f>
        <v/>
      </c>
      <c r="H1575" s="79"/>
      <c r="I1575" s="88"/>
      <c r="J1575" s="92"/>
      <c r="K1575" s="93"/>
      <c r="L1575" s="25" t="str">
        <f t="shared" si="73"/>
        <v/>
      </c>
      <c r="M1575" s="94"/>
      <c r="N1575" s="26" t="str">
        <f t="shared" si="74"/>
        <v/>
      </c>
      <c r="O1575" s="80"/>
      <c r="P1575" s="80"/>
      <c r="Q1575" s="80"/>
      <c r="R1575" s="80"/>
    </row>
    <row r="1576" ht="18" customHeight="1" spans="1:18">
      <c r="A1576" s="87" t="str">
        <f t="shared" si="72"/>
        <v/>
      </c>
      <c r="B1576" s="78"/>
      <c r="C1576" s="80"/>
      <c r="D1576" s="80"/>
      <c r="E1576" s="79"/>
      <c r="F1576" s="87" t="str">
        <f>IF($E1576="","",IFERROR(INDEX(基础资料!$O$4:$O$34,MATCH($E1576,基础资料!$N$4:$N$34,0))&amp;"",""))</f>
        <v/>
      </c>
      <c r="G1576" s="87" t="str">
        <f>IF($E1576="","",IFERROR(INDEX(基础资料!$P$4:$P$34,MATCH($E1576,基础资料!$N$4:$N$34,0))&amp;"",""))</f>
        <v/>
      </c>
      <c r="H1576" s="79"/>
      <c r="I1576" s="88"/>
      <c r="J1576" s="92"/>
      <c r="K1576" s="93"/>
      <c r="L1576" s="25" t="str">
        <f t="shared" si="73"/>
        <v/>
      </c>
      <c r="M1576" s="94"/>
      <c r="N1576" s="26" t="str">
        <f t="shared" si="74"/>
        <v/>
      </c>
      <c r="O1576" s="80"/>
      <c r="P1576" s="80"/>
      <c r="Q1576" s="80"/>
      <c r="R1576" s="80"/>
    </row>
    <row r="1577" ht="18" customHeight="1" spans="1:18">
      <c r="A1577" s="87" t="str">
        <f t="shared" si="72"/>
        <v/>
      </c>
      <c r="B1577" s="78"/>
      <c r="C1577" s="80"/>
      <c r="D1577" s="80"/>
      <c r="E1577" s="79"/>
      <c r="F1577" s="87" t="str">
        <f>IF($E1577="","",IFERROR(INDEX(基础资料!$O$4:$O$34,MATCH($E1577,基础资料!$N$4:$N$34,0))&amp;"",""))</f>
        <v/>
      </c>
      <c r="G1577" s="87" t="str">
        <f>IF($E1577="","",IFERROR(INDEX(基础资料!$P$4:$P$34,MATCH($E1577,基础资料!$N$4:$N$34,0))&amp;"",""))</f>
        <v/>
      </c>
      <c r="H1577" s="79"/>
      <c r="I1577" s="88"/>
      <c r="J1577" s="92"/>
      <c r="K1577" s="93"/>
      <c r="L1577" s="25" t="str">
        <f t="shared" si="73"/>
        <v/>
      </c>
      <c r="M1577" s="94"/>
      <c r="N1577" s="26" t="str">
        <f t="shared" si="74"/>
        <v/>
      </c>
      <c r="O1577" s="80"/>
      <c r="P1577" s="80"/>
      <c r="Q1577" s="80"/>
      <c r="R1577" s="80"/>
    </row>
    <row r="1578" ht="18" customHeight="1" spans="1:18">
      <c r="A1578" s="87" t="str">
        <f t="shared" si="72"/>
        <v/>
      </c>
      <c r="B1578" s="78"/>
      <c r="C1578" s="80"/>
      <c r="D1578" s="80"/>
      <c r="E1578" s="79"/>
      <c r="F1578" s="87" t="str">
        <f>IF($E1578="","",IFERROR(INDEX(基础资料!$O$4:$O$34,MATCH($E1578,基础资料!$N$4:$N$34,0))&amp;"",""))</f>
        <v/>
      </c>
      <c r="G1578" s="87" t="str">
        <f>IF($E1578="","",IFERROR(INDEX(基础资料!$P$4:$P$34,MATCH($E1578,基础资料!$N$4:$N$34,0))&amp;"",""))</f>
        <v/>
      </c>
      <c r="H1578" s="79"/>
      <c r="I1578" s="88"/>
      <c r="J1578" s="92"/>
      <c r="K1578" s="93"/>
      <c r="L1578" s="25" t="str">
        <f t="shared" si="73"/>
        <v/>
      </c>
      <c r="M1578" s="94"/>
      <c r="N1578" s="26" t="str">
        <f t="shared" si="74"/>
        <v/>
      </c>
      <c r="O1578" s="80"/>
      <c r="P1578" s="80"/>
      <c r="Q1578" s="80"/>
      <c r="R1578" s="80"/>
    </row>
    <row r="1579" ht="18" customHeight="1" spans="1:18">
      <c r="A1579" s="87" t="str">
        <f t="shared" si="72"/>
        <v/>
      </c>
      <c r="B1579" s="78"/>
      <c r="C1579" s="80"/>
      <c r="D1579" s="80"/>
      <c r="E1579" s="79"/>
      <c r="F1579" s="87" t="str">
        <f>IF($E1579="","",IFERROR(INDEX(基础资料!$O$4:$O$34,MATCH($E1579,基础资料!$N$4:$N$34,0))&amp;"",""))</f>
        <v/>
      </c>
      <c r="G1579" s="87" t="str">
        <f>IF($E1579="","",IFERROR(INDEX(基础资料!$P$4:$P$34,MATCH($E1579,基础资料!$N$4:$N$34,0))&amp;"",""))</f>
        <v/>
      </c>
      <c r="H1579" s="79"/>
      <c r="I1579" s="88"/>
      <c r="J1579" s="92"/>
      <c r="K1579" s="93"/>
      <c r="L1579" s="25" t="str">
        <f t="shared" si="73"/>
        <v/>
      </c>
      <c r="M1579" s="94"/>
      <c r="N1579" s="26" t="str">
        <f t="shared" si="74"/>
        <v/>
      </c>
      <c r="O1579" s="80"/>
      <c r="P1579" s="80"/>
      <c r="Q1579" s="80"/>
      <c r="R1579" s="80"/>
    </row>
    <row r="1580" ht="18" customHeight="1" spans="1:18">
      <c r="A1580" s="87" t="str">
        <f t="shared" si="72"/>
        <v/>
      </c>
      <c r="B1580" s="78"/>
      <c r="C1580" s="80"/>
      <c r="D1580" s="80"/>
      <c r="E1580" s="79"/>
      <c r="F1580" s="87" t="str">
        <f>IF($E1580="","",IFERROR(INDEX(基础资料!$O$4:$O$34,MATCH($E1580,基础资料!$N$4:$N$34,0))&amp;"",""))</f>
        <v/>
      </c>
      <c r="G1580" s="87" t="str">
        <f>IF($E1580="","",IFERROR(INDEX(基础资料!$P$4:$P$34,MATCH($E1580,基础资料!$N$4:$N$34,0))&amp;"",""))</f>
        <v/>
      </c>
      <c r="H1580" s="79"/>
      <c r="I1580" s="88"/>
      <c r="J1580" s="92"/>
      <c r="K1580" s="93"/>
      <c r="L1580" s="25" t="str">
        <f t="shared" si="73"/>
        <v/>
      </c>
      <c r="M1580" s="94"/>
      <c r="N1580" s="26" t="str">
        <f t="shared" si="74"/>
        <v/>
      </c>
      <c r="O1580" s="80"/>
      <c r="P1580" s="80"/>
      <c r="Q1580" s="80"/>
      <c r="R1580" s="80"/>
    </row>
    <row r="1581" ht="18" customHeight="1" spans="1:18">
      <c r="A1581" s="87" t="str">
        <f t="shared" si="72"/>
        <v/>
      </c>
      <c r="B1581" s="78"/>
      <c r="C1581" s="80"/>
      <c r="D1581" s="80"/>
      <c r="E1581" s="79"/>
      <c r="F1581" s="87" t="str">
        <f>IF($E1581="","",IFERROR(INDEX(基础资料!$O$4:$O$34,MATCH($E1581,基础资料!$N$4:$N$34,0))&amp;"",""))</f>
        <v/>
      </c>
      <c r="G1581" s="87" t="str">
        <f>IF($E1581="","",IFERROR(INDEX(基础资料!$P$4:$P$34,MATCH($E1581,基础资料!$N$4:$N$34,0))&amp;"",""))</f>
        <v/>
      </c>
      <c r="H1581" s="79"/>
      <c r="I1581" s="88"/>
      <c r="J1581" s="92"/>
      <c r="K1581" s="93"/>
      <c r="L1581" s="25" t="str">
        <f t="shared" si="73"/>
        <v/>
      </c>
      <c r="M1581" s="94"/>
      <c r="N1581" s="26" t="str">
        <f t="shared" si="74"/>
        <v/>
      </c>
      <c r="O1581" s="80"/>
      <c r="P1581" s="80"/>
      <c r="Q1581" s="80"/>
      <c r="R1581" s="80"/>
    </row>
    <row r="1582" ht="18" customHeight="1" spans="1:18">
      <c r="A1582" s="87" t="str">
        <f t="shared" si="72"/>
        <v/>
      </c>
      <c r="B1582" s="78"/>
      <c r="C1582" s="80"/>
      <c r="D1582" s="80"/>
      <c r="E1582" s="79"/>
      <c r="F1582" s="87" t="str">
        <f>IF($E1582="","",IFERROR(INDEX(基础资料!$O$4:$O$34,MATCH($E1582,基础资料!$N$4:$N$34,0))&amp;"",""))</f>
        <v/>
      </c>
      <c r="G1582" s="87" t="str">
        <f>IF($E1582="","",IFERROR(INDEX(基础资料!$P$4:$P$34,MATCH($E1582,基础资料!$N$4:$N$34,0))&amp;"",""))</f>
        <v/>
      </c>
      <c r="H1582" s="79"/>
      <c r="I1582" s="88"/>
      <c r="J1582" s="92"/>
      <c r="K1582" s="93"/>
      <c r="L1582" s="25" t="str">
        <f t="shared" si="73"/>
        <v/>
      </c>
      <c r="M1582" s="94"/>
      <c r="N1582" s="26" t="str">
        <f t="shared" si="74"/>
        <v/>
      </c>
      <c r="O1582" s="80"/>
      <c r="P1582" s="80"/>
      <c r="Q1582" s="80"/>
      <c r="R1582" s="80"/>
    </row>
    <row r="1583" ht="18" customHeight="1" spans="1:18">
      <c r="A1583" s="87" t="str">
        <f t="shared" si="72"/>
        <v/>
      </c>
      <c r="B1583" s="78"/>
      <c r="C1583" s="80"/>
      <c r="D1583" s="80"/>
      <c r="E1583" s="79"/>
      <c r="F1583" s="87" t="str">
        <f>IF($E1583="","",IFERROR(INDEX(基础资料!$O$4:$O$34,MATCH($E1583,基础资料!$N$4:$N$34,0))&amp;"",""))</f>
        <v/>
      </c>
      <c r="G1583" s="87" t="str">
        <f>IF($E1583="","",IFERROR(INDEX(基础资料!$P$4:$P$34,MATCH($E1583,基础资料!$N$4:$N$34,0))&amp;"",""))</f>
        <v/>
      </c>
      <c r="H1583" s="79"/>
      <c r="I1583" s="88"/>
      <c r="J1583" s="92"/>
      <c r="K1583" s="93"/>
      <c r="L1583" s="25" t="str">
        <f t="shared" si="73"/>
        <v/>
      </c>
      <c r="M1583" s="94"/>
      <c r="N1583" s="26" t="str">
        <f t="shared" si="74"/>
        <v/>
      </c>
      <c r="O1583" s="80"/>
      <c r="P1583" s="80"/>
      <c r="Q1583" s="80"/>
      <c r="R1583" s="80"/>
    </row>
    <row r="1584" ht="18" customHeight="1" spans="1:18">
      <c r="A1584" s="87" t="str">
        <f t="shared" si="72"/>
        <v/>
      </c>
      <c r="B1584" s="78"/>
      <c r="C1584" s="80"/>
      <c r="D1584" s="80"/>
      <c r="E1584" s="79"/>
      <c r="F1584" s="87" t="str">
        <f>IF($E1584="","",IFERROR(INDEX(基础资料!$O$4:$O$34,MATCH($E1584,基础资料!$N$4:$N$34,0))&amp;"",""))</f>
        <v/>
      </c>
      <c r="G1584" s="87" t="str">
        <f>IF($E1584="","",IFERROR(INDEX(基础资料!$P$4:$P$34,MATCH($E1584,基础资料!$N$4:$N$34,0))&amp;"",""))</f>
        <v/>
      </c>
      <c r="H1584" s="79"/>
      <c r="I1584" s="88"/>
      <c r="J1584" s="92"/>
      <c r="K1584" s="93"/>
      <c r="L1584" s="25" t="str">
        <f t="shared" si="73"/>
        <v/>
      </c>
      <c r="M1584" s="94"/>
      <c r="N1584" s="26" t="str">
        <f t="shared" si="74"/>
        <v/>
      </c>
      <c r="O1584" s="80"/>
      <c r="P1584" s="80"/>
      <c r="Q1584" s="80"/>
      <c r="R1584" s="80"/>
    </row>
    <row r="1585" ht="18" customHeight="1" spans="1:18">
      <c r="A1585" s="87" t="str">
        <f t="shared" si="72"/>
        <v/>
      </c>
      <c r="B1585" s="78"/>
      <c r="C1585" s="80"/>
      <c r="D1585" s="80"/>
      <c r="E1585" s="79"/>
      <c r="F1585" s="87" t="str">
        <f>IF($E1585="","",IFERROR(INDEX(基础资料!$O$4:$O$34,MATCH($E1585,基础资料!$N$4:$N$34,0))&amp;"",""))</f>
        <v/>
      </c>
      <c r="G1585" s="87" t="str">
        <f>IF($E1585="","",IFERROR(INDEX(基础资料!$P$4:$P$34,MATCH($E1585,基础资料!$N$4:$N$34,0))&amp;"",""))</f>
        <v/>
      </c>
      <c r="H1585" s="79"/>
      <c r="I1585" s="88"/>
      <c r="J1585" s="92"/>
      <c r="K1585" s="93"/>
      <c r="L1585" s="25" t="str">
        <f t="shared" si="73"/>
        <v/>
      </c>
      <c r="M1585" s="94"/>
      <c r="N1585" s="26" t="str">
        <f t="shared" si="74"/>
        <v/>
      </c>
      <c r="O1585" s="80"/>
      <c r="P1585" s="80"/>
      <c r="Q1585" s="80"/>
      <c r="R1585" s="80"/>
    </row>
    <row r="1586" ht="18" customHeight="1" spans="1:18">
      <c r="A1586" s="87" t="str">
        <f t="shared" si="72"/>
        <v/>
      </c>
      <c r="B1586" s="78"/>
      <c r="C1586" s="80"/>
      <c r="D1586" s="80"/>
      <c r="E1586" s="79"/>
      <c r="F1586" s="87" t="str">
        <f>IF($E1586="","",IFERROR(INDEX(基础资料!$O$4:$O$34,MATCH($E1586,基础资料!$N$4:$N$34,0))&amp;"",""))</f>
        <v/>
      </c>
      <c r="G1586" s="87" t="str">
        <f>IF($E1586="","",IFERROR(INDEX(基础资料!$P$4:$P$34,MATCH($E1586,基础资料!$N$4:$N$34,0))&amp;"",""))</f>
        <v/>
      </c>
      <c r="H1586" s="79"/>
      <c r="I1586" s="88"/>
      <c r="J1586" s="92"/>
      <c r="K1586" s="93"/>
      <c r="L1586" s="25" t="str">
        <f t="shared" si="73"/>
        <v/>
      </c>
      <c r="M1586" s="94"/>
      <c r="N1586" s="26" t="str">
        <f t="shared" si="74"/>
        <v/>
      </c>
      <c r="O1586" s="80"/>
      <c r="P1586" s="80"/>
      <c r="Q1586" s="80"/>
      <c r="R1586" s="80"/>
    </row>
    <row r="1587" ht="18" customHeight="1" spans="1:18">
      <c r="A1587" s="87" t="str">
        <f t="shared" si="72"/>
        <v/>
      </c>
      <c r="B1587" s="78"/>
      <c r="C1587" s="80"/>
      <c r="D1587" s="80"/>
      <c r="E1587" s="79"/>
      <c r="F1587" s="87" t="str">
        <f>IF($E1587="","",IFERROR(INDEX(基础资料!$O$4:$O$34,MATCH($E1587,基础资料!$N$4:$N$34,0))&amp;"",""))</f>
        <v/>
      </c>
      <c r="G1587" s="87" t="str">
        <f>IF($E1587="","",IFERROR(INDEX(基础资料!$P$4:$P$34,MATCH($E1587,基础资料!$N$4:$N$34,0))&amp;"",""))</f>
        <v/>
      </c>
      <c r="H1587" s="79"/>
      <c r="I1587" s="88"/>
      <c r="J1587" s="92"/>
      <c r="K1587" s="93"/>
      <c r="L1587" s="25" t="str">
        <f t="shared" si="73"/>
        <v/>
      </c>
      <c r="M1587" s="94"/>
      <c r="N1587" s="26" t="str">
        <f t="shared" si="74"/>
        <v/>
      </c>
      <c r="O1587" s="80"/>
      <c r="P1587" s="80"/>
      <c r="Q1587" s="80"/>
      <c r="R1587" s="80"/>
    </row>
    <row r="1588" ht="18" customHeight="1" spans="1:18">
      <c r="A1588" s="87" t="str">
        <f t="shared" si="72"/>
        <v/>
      </c>
      <c r="B1588" s="78"/>
      <c r="C1588" s="80"/>
      <c r="D1588" s="80"/>
      <c r="E1588" s="79"/>
      <c r="F1588" s="87" t="str">
        <f>IF($E1588="","",IFERROR(INDEX(基础资料!$O$4:$O$34,MATCH($E1588,基础资料!$N$4:$N$34,0))&amp;"",""))</f>
        <v/>
      </c>
      <c r="G1588" s="87" t="str">
        <f>IF($E1588="","",IFERROR(INDEX(基础资料!$P$4:$P$34,MATCH($E1588,基础资料!$N$4:$N$34,0))&amp;"",""))</f>
        <v/>
      </c>
      <c r="H1588" s="79"/>
      <c r="I1588" s="88"/>
      <c r="J1588" s="92"/>
      <c r="K1588" s="93"/>
      <c r="L1588" s="25" t="str">
        <f t="shared" si="73"/>
        <v/>
      </c>
      <c r="M1588" s="94"/>
      <c r="N1588" s="26" t="str">
        <f t="shared" si="74"/>
        <v/>
      </c>
      <c r="O1588" s="80"/>
      <c r="P1588" s="80"/>
      <c r="Q1588" s="80"/>
      <c r="R1588" s="80"/>
    </row>
    <row r="1589" ht="18" customHeight="1" spans="1:18">
      <c r="A1589" s="87" t="str">
        <f t="shared" si="72"/>
        <v/>
      </c>
      <c r="B1589" s="78"/>
      <c r="C1589" s="80"/>
      <c r="D1589" s="80"/>
      <c r="E1589" s="79"/>
      <c r="F1589" s="87" t="str">
        <f>IF($E1589="","",IFERROR(INDEX(基础资料!$O$4:$O$34,MATCH($E1589,基础资料!$N$4:$N$34,0))&amp;"",""))</f>
        <v/>
      </c>
      <c r="G1589" s="87" t="str">
        <f>IF($E1589="","",IFERROR(INDEX(基础资料!$P$4:$P$34,MATCH($E1589,基础资料!$N$4:$N$34,0))&amp;"",""))</f>
        <v/>
      </c>
      <c r="H1589" s="79"/>
      <c r="I1589" s="88"/>
      <c r="J1589" s="92"/>
      <c r="K1589" s="93"/>
      <c r="L1589" s="25" t="str">
        <f t="shared" si="73"/>
        <v/>
      </c>
      <c r="M1589" s="94"/>
      <c r="N1589" s="26" t="str">
        <f t="shared" si="74"/>
        <v/>
      </c>
      <c r="O1589" s="80"/>
      <c r="P1589" s="80"/>
      <c r="Q1589" s="80"/>
      <c r="R1589" s="80"/>
    </row>
    <row r="1590" ht="18" customHeight="1" spans="1:18">
      <c r="A1590" s="87" t="str">
        <f t="shared" si="72"/>
        <v/>
      </c>
      <c r="B1590" s="78"/>
      <c r="C1590" s="80"/>
      <c r="D1590" s="80"/>
      <c r="E1590" s="79"/>
      <c r="F1590" s="87" t="str">
        <f>IF($E1590="","",IFERROR(INDEX(基础资料!$O$4:$O$34,MATCH($E1590,基础资料!$N$4:$N$34,0))&amp;"",""))</f>
        <v/>
      </c>
      <c r="G1590" s="87" t="str">
        <f>IF($E1590="","",IFERROR(INDEX(基础资料!$P$4:$P$34,MATCH($E1590,基础资料!$N$4:$N$34,0))&amp;"",""))</f>
        <v/>
      </c>
      <c r="H1590" s="79"/>
      <c r="I1590" s="88"/>
      <c r="J1590" s="92"/>
      <c r="K1590" s="93"/>
      <c r="L1590" s="25" t="str">
        <f t="shared" si="73"/>
        <v/>
      </c>
      <c r="M1590" s="94"/>
      <c r="N1590" s="26" t="str">
        <f t="shared" si="74"/>
        <v/>
      </c>
      <c r="O1590" s="80"/>
      <c r="P1590" s="80"/>
      <c r="Q1590" s="80"/>
      <c r="R1590" s="80"/>
    </row>
    <row r="1591" ht="18" customHeight="1" spans="1:18">
      <c r="A1591" s="87" t="str">
        <f t="shared" si="72"/>
        <v/>
      </c>
      <c r="B1591" s="78"/>
      <c r="C1591" s="80"/>
      <c r="D1591" s="80"/>
      <c r="E1591" s="79"/>
      <c r="F1591" s="87" t="str">
        <f>IF($E1591="","",IFERROR(INDEX(基础资料!$O$4:$O$34,MATCH($E1591,基础资料!$N$4:$N$34,0))&amp;"",""))</f>
        <v/>
      </c>
      <c r="G1591" s="87" t="str">
        <f>IF($E1591="","",IFERROR(INDEX(基础资料!$P$4:$P$34,MATCH($E1591,基础资料!$N$4:$N$34,0))&amp;"",""))</f>
        <v/>
      </c>
      <c r="H1591" s="79"/>
      <c r="I1591" s="88"/>
      <c r="J1591" s="92"/>
      <c r="K1591" s="93"/>
      <c r="L1591" s="25" t="str">
        <f t="shared" si="73"/>
        <v/>
      </c>
      <c r="M1591" s="94"/>
      <c r="N1591" s="26" t="str">
        <f t="shared" si="74"/>
        <v/>
      </c>
      <c r="O1591" s="80"/>
      <c r="P1591" s="80"/>
      <c r="Q1591" s="80"/>
      <c r="R1591" s="80"/>
    </row>
    <row r="1592" ht="18" customHeight="1" spans="1:18">
      <c r="A1592" s="87" t="str">
        <f t="shared" si="72"/>
        <v/>
      </c>
      <c r="B1592" s="78"/>
      <c r="C1592" s="80"/>
      <c r="D1592" s="80"/>
      <c r="E1592" s="79"/>
      <c r="F1592" s="87" t="str">
        <f>IF($E1592="","",IFERROR(INDEX(基础资料!$O$4:$O$34,MATCH($E1592,基础资料!$N$4:$N$34,0))&amp;"",""))</f>
        <v/>
      </c>
      <c r="G1592" s="87" t="str">
        <f>IF($E1592="","",IFERROR(INDEX(基础资料!$P$4:$P$34,MATCH($E1592,基础资料!$N$4:$N$34,0))&amp;"",""))</f>
        <v/>
      </c>
      <c r="H1592" s="79"/>
      <c r="I1592" s="88"/>
      <c r="J1592" s="92"/>
      <c r="K1592" s="93"/>
      <c r="L1592" s="25" t="str">
        <f t="shared" si="73"/>
        <v/>
      </c>
      <c r="M1592" s="94"/>
      <c r="N1592" s="26" t="str">
        <f t="shared" si="74"/>
        <v/>
      </c>
      <c r="O1592" s="80"/>
      <c r="P1592" s="80"/>
      <c r="Q1592" s="80"/>
      <c r="R1592" s="80"/>
    </row>
    <row r="1593" ht="18" customHeight="1" spans="1:18">
      <c r="A1593" s="87" t="str">
        <f t="shared" si="72"/>
        <v/>
      </c>
      <c r="B1593" s="78"/>
      <c r="C1593" s="80"/>
      <c r="D1593" s="80"/>
      <c r="E1593" s="79"/>
      <c r="F1593" s="87" t="str">
        <f>IF($E1593="","",IFERROR(INDEX(基础资料!$O$4:$O$34,MATCH($E1593,基础资料!$N$4:$N$34,0))&amp;"",""))</f>
        <v/>
      </c>
      <c r="G1593" s="87" t="str">
        <f>IF($E1593="","",IFERROR(INDEX(基础资料!$P$4:$P$34,MATCH($E1593,基础资料!$N$4:$N$34,0))&amp;"",""))</f>
        <v/>
      </c>
      <c r="H1593" s="79"/>
      <c r="I1593" s="88"/>
      <c r="J1593" s="92"/>
      <c r="K1593" s="93"/>
      <c r="L1593" s="25" t="str">
        <f t="shared" si="73"/>
        <v/>
      </c>
      <c r="M1593" s="94"/>
      <c r="N1593" s="26" t="str">
        <f t="shared" si="74"/>
        <v/>
      </c>
      <c r="O1593" s="80"/>
      <c r="P1593" s="80"/>
      <c r="Q1593" s="80"/>
      <c r="R1593" s="80"/>
    </row>
    <row r="1594" ht="18" customHeight="1" spans="1:18">
      <c r="A1594" s="87" t="str">
        <f t="shared" si="72"/>
        <v/>
      </c>
      <c r="B1594" s="78"/>
      <c r="C1594" s="80"/>
      <c r="D1594" s="80"/>
      <c r="E1594" s="79"/>
      <c r="F1594" s="87" t="str">
        <f>IF($E1594="","",IFERROR(INDEX(基础资料!$O$4:$O$34,MATCH($E1594,基础资料!$N$4:$N$34,0))&amp;"",""))</f>
        <v/>
      </c>
      <c r="G1594" s="87" t="str">
        <f>IF($E1594="","",IFERROR(INDEX(基础资料!$P$4:$P$34,MATCH($E1594,基础资料!$N$4:$N$34,0))&amp;"",""))</f>
        <v/>
      </c>
      <c r="H1594" s="79"/>
      <c r="I1594" s="88"/>
      <c r="J1594" s="92"/>
      <c r="K1594" s="93"/>
      <c r="L1594" s="25" t="str">
        <f t="shared" si="73"/>
        <v/>
      </c>
      <c r="M1594" s="94"/>
      <c r="N1594" s="26" t="str">
        <f t="shared" si="74"/>
        <v/>
      </c>
      <c r="O1594" s="80"/>
      <c r="P1594" s="80"/>
      <c r="Q1594" s="80"/>
      <c r="R1594" s="80"/>
    </row>
    <row r="1595" ht="18" customHeight="1" spans="1:18">
      <c r="A1595" s="87" t="str">
        <f t="shared" si="72"/>
        <v/>
      </c>
      <c r="B1595" s="78"/>
      <c r="C1595" s="80"/>
      <c r="D1595" s="80"/>
      <c r="E1595" s="79"/>
      <c r="F1595" s="87" t="str">
        <f>IF($E1595="","",IFERROR(INDEX(基础资料!$O$4:$O$34,MATCH($E1595,基础资料!$N$4:$N$34,0))&amp;"",""))</f>
        <v/>
      </c>
      <c r="G1595" s="87" t="str">
        <f>IF($E1595="","",IFERROR(INDEX(基础资料!$P$4:$P$34,MATCH($E1595,基础资料!$N$4:$N$34,0))&amp;"",""))</f>
        <v/>
      </c>
      <c r="H1595" s="79"/>
      <c r="I1595" s="88"/>
      <c r="J1595" s="92"/>
      <c r="K1595" s="93"/>
      <c r="L1595" s="25" t="str">
        <f t="shared" si="73"/>
        <v/>
      </c>
      <c r="M1595" s="94"/>
      <c r="N1595" s="26" t="str">
        <f t="shared" si="74"/>
        <v/>
      </c>
      <c r="O1595" s="80"/>
      <c r="P1595" s="80"/>
      <c r="Q1595" s="80"/>
      <c r="R1595" s="80"/>
    </row>
    <row r="1596" ht="18" customHeight="1" spans="1:18">
      <c r="A1596" s="87" t="str">
        <f t="shared" si="72"/>
        <v/>
      </c>
      <c r="B1596" s="78"/>
      <c r="C1596" s="80"/>
      <c r="D1596" s="80"/>
      <c r="E1596" s="79"/>
      <c r="F1596" s="87" t="str">
        <f>IF($E1596="","",IFERROR(INDEX(基础资料!$O$4:$O$34,MATCH($E1596,基础资料!$N$4:$N$34,0))&amp;"",""))</f>
        <v/>
      </c>
      <c r="G1596" s="87" t="str">
        <f>IF($E1596="","",IFERROR(INDEX(基础资料!$P$4:$P$34,MATCH($E1596,基础资料!$N$4:$N$34,0))&amp;"",""))</f>
        <v/>
      </c>
      <c r="H1596" s="79"/>
      <c r="I1596" s="88"/>
      <c r="J1596" s="92"/>
      <c r="K1596" s="93"/>
      <c r="L1596" s="25" t="str">
        <f t="shared" si="73"/>
        <v/>
      </c>
      <c r="M1596" s="94"/>
      <c r="N1596" s="26" t="str">
        <f t="shared" si="74"/>
        <v/>
      </c>
      <c r="O1596" s="80"/>
      <c r="P1596" s="80"/>
      <c r="Q1596" s="80"/>
      <c r="R1596" s="80"/>
    </row>
    <row r="1597" ht="18" customHeight="1" spans="1:18">
      <c r="A1597" s="87" t="str">
        <f t="shared" si="72"/>
        <v/>
      </c>
      <c r="B1597" s="78"/>
      <c r="C1597" s="80"/>
      <c r="D1597" s="80"/>
      <c r="E1597" s="79"/>
      <c r="F1597" s="87" t="str">
        <f>IF($E1597="","",IFERROR(INDEX(基础资料!$O$4:$O$34,MATCH($E1597,基础资料!$N$4:$N$34,0))&amp;"",""))</f>
        <v/>
      </c>
      <c r="G1597" s="87" t="str">
        <f>IF($E1597="","",IFERROR(INDEX(基础资料!$P$4:$P$34,MATCH($E1597,基础资料!$N$4:$N$34,0))&amp;"",""))</f>
        <v/>
      </c>
      <c r="H1597" s="79"/>
      <c r="I1597" s="88"/>
      <c r="J1597" s="92"/>
      <c r="K1597" s="93"/>
      <c r="L1597" s="25" t="str">
        <f t="shared" si="73"/>
        <v/>
      </c>
      <c r="M1597" s="94"/>
      <c r="N1597" s="26" t="str">
        <f t="shared" si="74"/>
        <v/>
      </c>
      <c r="O1597" s="80"/>
      <c r="P1597" s="80"/>
      <c r="Q1597" s="80"/>
      <c r="R1597" s="80"/>
    </row>
    <row r="1598" ht="18" customHeight="1" spans="1:18">
      <c r="A1598" s="87" t="str">
        <f t="shared" si="72"/>
        <v/>
      </c>
      <c r="B1598" s="78"/>
      <c r="C1598" s="80"/>
      <c r="D1598" s="80"/>
      <c r="E1598" s="79"/>
      <c r="F1598" s="87" t="str">
        <f>IF($E1598="","",IFERROR(INDEX(基础资料!$O$4:$O$34,MATCH($E1598,基础资料!$N$4:$N$34,0))&amp;"",""))</f>
        <v/>
      </c>
      <c r="G1598" s="87" t="str">
        <f>IF($E1598="","",IFERROR(INDEX(基础资料!$P$4:$P$34,MATCH($E1598,基础资料!$N$4:$N$34,0))&amp;"",""))</f>
        <v/>
      </c>
      <c r="H1598" s="79"/>
      <c r="I1598" s="88"/>
      <c r="J1598" s="92"/>
      <c r="K1598" s="93"/>
      <c r="L1598" s="25" t="str">
        <f t="shared" si="73"/>
        <v/>
      </c>
      <c r="M1598" s="94"/>
      <c r="N1598" s="26" t="str">
        <f t="shared" si="74"/>
        <v/>
      </c>
      <c r="O1598" s="80"/>
      <c r="P1598" s="80"/>
      <c r="Q1598" s="80"/>
      <c r="R1598" s="80"/>
    </row>
    <row r="1599" ht="18" customHeight="1" spans="1:18">
      <c r="A1599" s="87" t="str">
        <f t="shared" si="72"/>
        <v/>
      </c>
      <c r="B1599" s="78"/>
      <c r="C1599" s="80"/>
      <c r="D1599" s="80"/>
      <c r="E1599" s="79"/>
      <c r="F1599" s="87" t="str">
        <f>IF($E1599="","",IFERROR(INDEX(基础资料!$O$4:$O$34,MATCH($E1599,基础资料!$N$4:$N$34,0))&amp;"",""))</f>
        <v/>
      </c>
      <c r="G1599" s="87" t="str">
        <f>IF($E1599="","",IFERROR(INDEX(基础资料!$P$4:$P$34,MATCH($E1599,基础资料!$N$4:$N$34,0))&amp;"",""))</f>
        <v/>
      </c>
      <c r="H1599" s="79"/>
      <c r="I1599" s="88"/>
      <c r="J1599" s="92"/>
      <c r="K1599" s="93"/>
      <c r="L1599" s="25" t="str">
        <f t="shared" si="73"/>
        <v/>
      </c>
      <c r="M1599" s="94"/>
      <c r="N1599" s="26" t="str">
        <f t="shared" si="74"/>
        <v/>
      </c>
      <c r="O1599" s="80"/>
      <c r="P1599" s="80"/>
      <c r="Q1599" s="80"/>
      <c r="R1599" s="80"/>
    </row>
    <row r="1600" ht="18" customHeight="1" spans="1:18">
      <c r="A1600" s="87" t="str">
        <f t="shared" si="72"/>
        <v/>
      </c>
      <c r="B1600" s="78"/>
      <c r="C1600" s="80"/>
      <c r="D1600" s="80"/>
      <c r="E1600" s="79"/>
      <c r="F1600" s="87" t="str">
        <f>IF($E1600="","",IFERROR(INDEX(基础资料!$O$4:$O$34,MATCH($E1600,基础资料!$N$4:$N$34,0))&amp;"",""))</f>
        <v/>
      </c>
      <c r="G1600" s="87" t="str">
        <f>IF($E1600="","",IFERROR(INDEX(基础资料!$P$4:$P$34,MATCH($E1600,基础资料!$N$4:$N$34,0))&amp;"",""))</f>
        <v/>
      </c>
      <c r="H1600" s="79"/>
      <c r="I1600" s="88"/>
      <c r="J1600" s="92"/>
      <c r="K1600" s="93"/>
      <c r="L1600" s="25" t="str">
        <f t="shared" si="73"/>
        <v/>
      </c>
      <c r="M1600" s="94"/>
      <c r="N1600" s="26" t="str">
        <f t="shared" si="74"/>
        <v/>
      </c>
      <c r="O1600" s="80"/>
      <c r="P1600" s="80"/>
      <c r="Q1600" s="80"/>
      <c r="R1600" s="80"/>
    </row>
    <row r="1601" ht="18" customHeight="1" spans="1:18">
      <c r="A1601" s="87" t="str">
        <f t="shared" si="72"/>
        <v/>
      </c>
      <c r="B1601" s="78"/>
      <c r="C1601" s="80"/>
      <c r="D1601" s="80"/>
      <c r="E1601" s="79"/>
      <c r="F1601" s="87" t="str">
        <f>IF($E1601="","",IFERROR(INDEX(基础资料!$O$4:$O$34,MATCH($E1601,基础资料!$N$4:$N$34,0))&amp;"",""))</f>
        <v/>
      </c>
      <c r="G1601" s="87" t="str">
        <f>IF($E1601="","",IFERROR(INDEX(基础资料!$P$4:$P$34,MATCH($E1601,基础资料!$N$4:$N$34,0))&amp;"",""))</f>
        <v/>
      </c>
      <c r="H1601" s="79"/>
      <c r="I1601" s="88"/>
      <c r="J1601" s="92"/>
      <c r="K1601" s="93"/>
      <c r="L1601" s="25" t="str">
        <f t="shared" si="73"/>
        <v/>
      </c>
      <c r="M1601" s="94"/>
      <c r="N1601" s="26" t="str">
        <f t="shared" si="74"/>
        <v/>
      </c>
      <c r="O1601" s="80"/>
      <c r="P1601" s="80"/>
      <c r="Q1601" s="80"/>
      <c r="R1601" s="80"/>
    </row>
    <row r="1602" ht="18" customHeight="1" spans="1:18">
      <c r="A1602" s="87" t="str">
        <f t="shared" si="72"/>
        <v/>
      </c>
      <c r="B1602" s="78"/>
      <c r="C1602" s="80"/>
      <c r="D1602" s="80"/>
      <c r="E1602" s="79"/>
      <c r="F1602" s="87" t="str">
        <f>IF($E1602="","",IFERROR(INDEX(基础资料!$O$4:$O$34,MATCH($E1602,基础资料!$N$4:$N$34,0))&amp;"",""))</f>
        <v/>
      </c>
      <c r="G1602" s="87" t="str">
        <f>IF($E1602="","",IFERROR(INDEX(基础资料!$P$4:$P$34,MATCH($E1602,基础资料!$N$4:$N$34,0))&amp;"",""))</f>
        <v/>
      </c>
      <c r="H1602" s="79"/>
      <c r="I1602" s="88"/>
      <c r="J1602" s="92"/>
      <c r="K1602" s="93"/>
      <c r="L1602" s="25" t="str">
        <f t="shared" si="73"/>
        <v/>
      </c>
      <c r="M1602" s="94"/>
      <c r="N1602" s="26" t="str">
        <f t="shared" si="74"/>
        <v/>
      </c>
      <c r="O1602" s="80"/>
      <c r="P1602" s="80"/>
      <c r="Q1602" s="80"/>
      <c r="R1602" s="80"/>
    </row>
    <row r="1603" ht="18" customHeight="1" spans="1:18">
      <c r="A1603" s="87" t="str">
        <f t="shared" si="72"/>
        <v/>
      </c>
      <c r="B1603" s="78"/>
      <c r="C1603" s="80"/>
      <c r="D1603" s="80"/>
      <c r="E1603" s="79"/>
      <c r="F1603" s="87" t="str">
        <f>IF($E1603="","",IFERROR(INDEX(基础资料!$O$4:$O$34,MATCH($E1603,基础资料!$N$4:$N$34,0))&amp;"",""))</f>
        <v/>
      </c>
      <c r="G1603" s="87" t="str">
        <f>IF($E1603="","",IFERROR(INDEX(基础资料!$P$4:$P$34,MATCH($E1603,基础资料!$N$4:$N$34,0))&amp;"",""))</f>
        <v/>
      </c>
      <c r="H1603" s="79"/>
      <c r="I1603" s="88"/>
      <c r="J1603" s="92"/>
      <c r="K1603" s="93"/>
      <c r="L1603" s="25" t="str">
        <f t="shared" si="73"/>
        <v/>
      </c>
      <c r="M1603" s="94"/>
      <c r="N1603" s="26" t="str">
        <f t="shared" si="74"/>
        <v/>
      </c>
      <c r="O1603" s="80"/>
      <c r="P1603" s="80"/>
      <c r="Q1603" s="80"/>
      <c r="R1603" s="80"/>
    </row>
    <row r="1604" ht="18" customHeight="1" spans="1:18">
      <c r="A1604" s="87" t="str">
        <f t="shared" ref="A1604:A1667" si="75">IF($E1604="","",ROW()-3)</f>
        <v/>
      </c>
      <c r="B1604" s="78"/>
      <c r="C1604" s="80"/>
      <c r="D1604" s="80"/>
      <c r="E1604" s="79"/>
      <c r="F1604" s="87" t="str">
        <f>IF($E1604="","",IFERROR(INDEX(基础资料!$O$4:$O$34,MATCH($E1604,基础资料!$N$4:$N$34,0))&amp;"",""))</f>
        <v/>
      </c>
      <c r="G1604" s="87" t="str">
        <f>IF($E1604="","",IFERROR(INDEX(基础资料!$P$4:$P$34,MATCH($E1604,基础资料!$N$4:$N$34,0))&amp;"",""))</f>
        <v/>
      </c>
      <c r="H1604" s="79"/>
      <c r="I1604" s="88"/>
      <c r="J1604" s="92"/>
      <c r="K1604" s="93"/>
      <c r="L1604" s="25" t="str">
        <f t="shared" ref="L1604:L1667" si="76">IF($E1604="","",N($I1604)+N($J1604)-N($K1604))</f>
        <v/>
      </c>
      <c r="M1604" s="94"/>
      <c r="N1604" s="26" t="str">
        <f t="shared" ref="N1604:N1667" si="77">IF($E1604="","",ROUND(N($L1604)*N($M1604),2))</f>
        <v/>
      </c>
      <c r="O1604" s="80"/>
      <c r="P1604" s="80"/>
      <c r="Q1604" s="80"/>
      <c r="R1604" s="80"/>
    </row>
    <row r="1605" ht="18" customHeight="1" spans="1:18">
      <c r="A1605" s="87" t="str">
        <f t="shared" si="75"/>
        <v/>
      </c>
      <c r="B1605" s="78"/>
      <c r="C1605" s="80"/>
      <c r="D1605" s="80"/>
      <c r="E1605" s="79"/>
      <c r="F1605" s="87" t="str">
        <f>IF($E1605="","",IFERROR(INDEX(基础资料!$O$4:$O$34,MATCH($E1605,基础资料!$N$4:$N$34,0))&amp;"",""))</f>
        <v/>
      </c>
      <c r="G1605" s="87" t="str">
        <f>IF($E1605="","",IFERROR(INDEX(基础资料!$P$4:$P$34,MATCH($E1605,基础资料!$N$4:$N$34,0))&amp;"",""))</f>
        <v/>
      </c>
      <c r="H1605" s="79"/>
      <c r="I1605" s="88"/>
      <c r="J1605" s="92"/>
      <c r="K1605" s="93"/>
      <c r="L1605" s="25" t="str">
        <f t="shared" si="76"/>
        <v/>
      </c>
      <c r="M1605" s="94"/>
      <c r="N1605" s="26" t="str">
        <f t="shared" si="77"/>
        <v/>
      </c>
      <c r="O1605" s="80"/>
      <c r="P1605" s="80"/>
      <c r="Q1605" s="80"/>
      <c r="R1605" s="80"/>
    </row>
    <row r="1606" ht="18" customHeight="1" spans="1:18">
      <c r="A1606" s="87" t="str">
        <f t="shared" si="75"/>
        <v/>
      </c>
      <c r="B1606" s="78"/>
      <c r="C1606" s="80"/>
      <c r="D1606" s="80"/>
      <c r="E1606" s="79"/>
      <c r="F1606" s="87" t="str">
        <f>IF($E1606="","",IFERROR(INDEX(基础资料!$O$4:$O$34,MATCH($E1606,基础资料!$N$4:$N$34,0))&amp;"",""))</f>
        <v/>
      </c>
      <c r="G1606" s="87" t="str">
        <f>IF($E1606="","",IFERROR(INDEX(基础资料!$P$4:$P$34,MATCH($E1606,基础资料!$N$4:$N$34,0))&amp;"",""))</f>
        <v/>
      </c>
      <c r="H1606" s="79"/>
      <c r="I1606" s="88"/>
      <c r="J1606" s="92"/>
      <c r="K1606" s="93"/>
      <c r="L1606" s="25" t="str">
        <f t="shared" si="76"/>
        <v/>
      </c>
      <c r="M1606" s="94"/>
      <c r="N1606" s="26" t="str">
        <f t="shared" si="77"/>
        <v/>
      </c>
      <c r="O1606" s="80"/>
      <c r="P1606" s="80"/>
      <c r="Q1606" s="80"/>
      <c r="R1606" s="80"/>
    </row>
    <row r="1607" ht="18" customHeight="1" spans="1:18">
      <c r="A1607" s="87" t="str">
        <f t="shared" si="75"/>
        <v/>
      </c>
      <c r="B1607" s="78"/>
      <c r="C1607" s="80"/>
      <c r="D1607" s="80"/>
      <c r="E1607" s="79"/>
      <c r="F1607" s="87" t="str">
        <f>IF($E1607="","",IFERROR(INDEX(基础资料!$O$4:$O$34,MATCH($E1607,基础资料!$N$4:$N$34,0))&amp;"",""))</f>
        <v/>
      </c>
      <c r="G1607" s="87" t="str">
        <f>IF($E1607="","",IFERROR(INDEX(基础资料!$P$4:$P$34,MATCH($E1607,基础资料!$N$4:$N$34,0))&amp;"",""))</f>
        <v/>
      </c>
      <c r="H1607" s="79"/>
      <c r="I1607" s="88"/>
      <c r="J1607" s="92"/>
      <c r="K1607" s="93"/>
      <c r="L1607" s="25" t="str">
        <f t="shared" si="76"/>
        <v/>
      </c>
      <c r="M1607" s="94"/>
      <c r="N1607" s="26" t="str">
        <f t="shared" si="77"/>
        <v/>
      </c>
      <c r="O1607" s="80"/>
      <c r="P1607" s="80"/>
      <c r="Q1607" s="80"/>
      <c r="R1607" s="80"/>
    </row>
    <row r="1608" ht="18" customHeight="1" spans="1:18">
      <c r="A1608" s="87" t="str">
        <f t="shared" si="75"/>
        <v/>
      </c>
      <c r="B1608" s="78"/>
      <c r="C1608" s="80"/>
      <c r="D1608" s="80"/>
      <c r="E1608" s="79"/>
      <c r="F1608" s="87" t="str">
        <f>IF($E1608="","",IFERROR(INDEX(基础资料!$O$4:$O$34,MATCH($E1608,基础资料!$N$4:$N$34,0))&amp;"",""))</f>
        <v/>
      </c>
      <c r="G1608" s="87" t="str">
        <f>IF($E1608="","",IFERROR(INDEX(基础资料!$P$4:$P$34,MATCH($E1608,基础资料!$N$4:$N$34,0))&amp;"",""))</f>
        <v/>
      </c>
      <c r="H1608" s="79"/>
      <c r="I1608" s="88"/>
      <c r="J1608" s="92"/>
      <c r="K1608" s="93"/>
      <c r="L1608" s="25" t="str">
        <f t="shared" si="76"/>
        <v/>
      </c>
      <c r="M1608" s="94"/>
      <c r="N1608" s="26" t="str">
        <f t="shared" si="77"/>
        <v/>
      </c>
      <c r="O1608" s="80"/>
      <c r="P1608" s="80"/>
      <c r="Q1608" s="80"/>
      <c r="R1608" s="80"/>
    </row>
    <row r="1609" ht="18" customHeight="1" spans="1:18">
      <c r="A1609" s="87" t="str">
        <f t="shared" si="75"/>
        <v/>
      </c>
      <c r="B1609" s="78"/>
      <c r="C1609" s="80"/>
      <c r="D1609" s="80"/>
      <c r="E1609" s="79"/>
      <c r="F1609" s="87" t="str">
        <f>IF($E1609="","",IFERROR(INDEX(基础资料!$O$4:$O$34,MATCH($E1609,基础资料!$N$4:$N$34,0))&amp;"",""))</f>
        <v/>
      </c>
      <c r="G1609" s="87" t="str">
        <f>IF($E1609="","",IFERROR(INDEX(基础资料!$P$4:$P$34,MATCH($E1609,基础资料!$N$4:$N$34,0))&amp;"",""))</f>
        <v/>
      </c>
      <c r="H1609" s="79"/>
      <c r="I1609" s="88"/>
      <c r="J1609" s="92"/>
      <c r="K1609" s="93"/>
      <c r="L1609" s="25" t="str">
        <f t="shared" si="76"/>
        <v/>
      </c>
      <c r="M1609" s="94"/>
      <c r="N1609" s="26" t="str">
        <f t="shared" si="77"/>
        <v/>
      </c>
      <c r="O1609" s="80"/>
      <c r="P1609" s="80"/>
      <c r="Q1609" s="80"/>
      <c r="R1609" s="80"/>
    </row>
    <row r="1610" ht="18" customHeight="1" spans="1:18">
      <c r="A1610" s="87" t="str">
        <f t="shared" si="75"/>
        <v/>
      </c>
      <c r="B1610" s="78"/>
      <c r="C1610" s="80"/>
      <c r="D1610" s="80"/>
      <c r="E1610" s="79"/>
      <c r="F1610" s="87" t="str">
        <f>IF($E1610="","",IFERROR(INDEX(基础资料!$O$4:$O$34,MATCH($E1610,基础资料!$N$4:$N$34,0))&amp;"",""))</f>
        <v/>
      </c>
      <c r="G1610" s="87" t="str">
        <f>IF($E1610="","",IFERROR(INDEX(基础资料!$P$4:$P$34,MATCH($E1610,基础资料!$N$4:$N$34,0))&amp;"",""))</f>
        <v/>
      </c>
      <c r="H1610" s="79"/>
      <c r="I1610" s="88"/>
      <c r="J1610" s="92"/>
      <c r="K1610" s="93"/>
      <c r="L1610" s="25" t="str">
        <f t="shared" si="76"/>
        <v/>
      </c>
      <c r="M1610" s="94"/>
      <c r="N1610" s="26" t="str">
        <f t="shared" si="77"/>
        <v/>
      </c>
      <c r="O1610" s="80"/>
      <c r="P1610" s="80"/>
      <c r="Q1610" s="80"/>
      <c r="R1610" s="80"/>
    </row>
    <row r="1611" ht="18" customHeight="1" spans="1:18">
      <c r="A1611" s="87" t="str">
        <f t="shared" si="75"/>
        <v/>
      </c>
      <c r="B1611" s="78"/>
      <c r="C1611" s="80"/>
      <c r="D1611" s="80"/>
      <c r="E1611" s="79"/>
      <c r="F1611" s="87" t="str">
        <f>IF($E1611="","",IFERROR(INDEX(基础资料!$O$4:$O$34,MATCH($E1611,基础资料!$N$4:$N$34,0))&amp;"",""))</f>
        <v/>
      </c>
      <c r="G1611" s="87" t="str">
        <f>IF($E1611="","",IFERROR(INDEX(基础资料!$P$4:$P$34,MATCH($E1611,基础资料!$N$4:$N$34,0))&amp;"",""))</f>
        <v/>
      </c>
      <c r="H1611" s="79"/>
      <c r="I1611" s="88"/>
      <c r="J1611" s="92"/>
      <c r="K1611" s="93"/>
      <c r="L1611" s="25" t="str">
        <f t="shared" si="76"/>
        <v/>
      </c>
      <c r="M1611" s="94"/>
      <c r="N1611" s="26" t="str">
        <f t="shared" si="77"/>
        <v/>
      </c>
      <c r="O1611" s="80"/>
      <c r="P1611" s="80"/>
      <c r="Q1611" s="80"/>
      <c r="R1611" s="80"/>
    </row>
    <row r="1612" ht="18" customHeight="1" spans="1:18">
      <c r="A1612" s="87" t="str">
        <f t="shared" si="75"/>
        <v/>
      </c>
      <c r="B1612" s="78"/>
      <c r="C1612" s="80"/>
      <c r="D1612" s="80"/>
      <c r="E1612" s="79"/>
      <c r="F1612" s="87" t="str">
        <f>IF($E1612="","",IFERROR(INDEX(基础资料!$O$4:$O$34,MATCH($E1612,基础资料!$N$4:$N$34,0))&amp;"",""))</f>
        <v/>
      </c>
      <c r="G1612" s="87" t="str">
        <f>IF($E1612="","",IFERROR(INDEX(基础资料!$P$4:$P$34,MATCH($E1612,基础资料!$N$4:$N$34,0))&amp;"",""))</f>
        <v/>
      </c>
      <c r="H1612" s="79"/>
      <c r="I1612" s="88"/>
      <c r="J1612" s="92"/>
      <c r="K1612" s="93"/>
      <c r="L1612" s="25" t="str">
        <f t="shared" si="76"/>
        <v/>
      </c>
      <c r="M1612" s="94"/>
      <c r="N1612" s="26" t="str">
        <f t="shared" si="77"/>
        <v/>
      </c>
      <c r="O1612" s="80"/>
      <c r="P1612" s="80"/>
      <c r="Q1612" s="80"/>
      <c r="R1612" s="80"/>
    </row>
    <row r="1613" ht="18" customHeight="1" spans="1:18">
      <c r="A1613" s="87" t="str">
        <f t="shared" si="75"/>
        <v/>
      </c>
      <c r="B1613" s="78"/>
      <c r="C1613" s="80"/>
      <c r="D1613" s="80"/>
      <c r="E1613" s="79"/>
      <c r="F1613" s="87" t="str">
        <f>IF($E1613="","",IFERROR(INDEX(基础资料!$O$4:$O$34,MATCH($E1613,基础资料!$N$4:$N$34,0))&amp;"",""))</f>
        <v/>
      </c>
      <c r="G1613" s="87" t="str">
        <f>IF($E1613="","",IFERROR(INDEX(基础资料!$P$4:$P$34,MATCH($E1613,基础资料!$N$4:$N$34,0))&amp;"",""))</f>
        <v/>
      </c>
      <c r="H1613" s="79"/>
      <c r="I1613" s="88"/>
      <c r="J1613" s="92"/>
      <c r="K1613" s="93"/>
      <c r="L1613" s="25" t="str">
        <f t="shared" si="76"/>
        <v/>
      </c>
      <c r="M1613" s="94"/>
      <c r="N1613" s="26" t="str">
        <f t="shared" si="77"/>
        <v/>
      </c>
      <c r="O1613" s="80"/>
      <c r="P1613" s="80"/>
      <c r="Q1613" s="80"/>
      <c r="R1613" s="80"/>
    </row>
    <row r="1614" ht="18" customHeight="1" spans="1:18">
      <c r="A1614" s="87" t="str">
        <f t="shared" si="75"/>
        <v/>
      </c>
      <c r="B1614" s="78"/>
      <c r="C1614" s="80"/>
      <c r="D1614" s="80"/>
      <c r="E1614" s="79"/>
      <c r="F1614" s="87" t="str">
        <f>IF($E1614="","",IFERROR(INDEX(基础资料!$O$4:$O$34,MATCH($E1614,基础资料!$N$4:$N$34,0))&amp;"",""))</f>
        <v/>
      </c>
      <c r="G1614" s="87" t="str">
        <f>IF($E1614="","",IFERROR(INDEX(基础资料!$P$4:$P$34,MATCH($E1614,基础资料!$N$4:$N$34,0))&amp;"",""))</f>
        <v/>
      </c>
      <c r="H1614" s="79"/>
      <c r="I1614" s="88"/>
      <c r="J1614" s="92"/>
      <c r="K1614" s="93"/>
      <c r="L1614" s="25" t="str">
        <f t="shared" si="76"/>
        <v/>
      </c>
      <c r="M1614" s="94"/>
      <c r="N1614" s="26" t="str">
        <f t="shared" si="77"/>
        <v/>
      </c>
      <c r="O1614" s="80"/>
      <c r="P1614" s="80"/>
      <c r="Q1614" s="80"/>
      <c r="R1614" s="80"/>
    </row>
    <row r="1615" ht="18" customHeight="1" spans="1:18">
      <c r="A1615" s="87" t="str">
        <f t="shared" si="75"/>
        <v/>
      </c>
      <c r="B1615" s="78"/>
      <c r="C1615" s="80"/>
      <c r="D1615" s="80"/>
      <c r="E1615" s="79"/>
      <c r="F1615" s="87" t="str">
        <f>IF($E1615="","",IFERROR(INDEX(基础资料!$O$4:$O$34,MATCH($E1615,基础资料!$N$4:$N$34,0))&amp;"",""))</f>
        <v/>
      </c>
      <c r="G1615" s="87" t="str">
        <f>IF($E1615="","",IFERROR(INDEX(基础资料!$P$4:$P$34,MATCH($E1615,基础资料!$N$4:$N$34,0))&amp;"",""))</f>
        <v/>
      </c>
      <c r="H1615" s="79"/>
      <c r="I1615" s="88"/>
      <c r="J1615" s="92"/>
      <c r="K1615" s="93"/>
      <c r="L1615" s="25" t="str">
        <f t="shared" si="76"/>
        <v/>
      </c>
      <c r="M1615" s="94"/>
      <c r="N1615" s="26" t="str">
        <f t="shared" si="77"/>
        <v/>
      </c>
      <c r="O1615" s="80"/>
      <c r="P1615" s="80"/>
      <c r="Q1615" s="80"/>
      <c r="R1615" s="80"/>
    </row>
    <row r="1616" ht="18" customHeight="1" spans="1:18">
      <c r="A1616" s="87" t="str">
        <f t="shared" si="75"/>
        <v/>
      </c>
      <c r="B1616" s="78"/>
      <c r="C1616" s="80"/>
      <c r="D1616" s="80"/>
      <c r="E1616" s="79"/>
      <c r="F1616" s="87" t="str">
        <f>IF($E1616="","",IFERROR(INDEX(基础资料!$O$4:$O$34,MATCH($E1616,基础资料!$N$4:$N$34,0))&amp;"",""))</f>
        <v/>
      </c>
      <c r="G1616" s="87" t="str">
        <f>IF($E1616="","",IFERROR(INDEX(基础资料!$P$4:$P$34,MATCH($E1616,基础资料!$N$4:$N$34,0))&amp;"",""))</f>
        <v/>
      </c>
      <c r="H1616" s="79"/>
      <c r="I1616" s="88"/>
      <c r="J1616" s="92"/>
      <c r="K1616" s="93"/>
      <c r="L1616" s="25" t="str">
        <f t="shared" si="76"/>
        <v/>
      </c>
      <c r="M1616" s="94"/>
      <c r="N1616" s="26" t="str">
        <f t="shared" si="77"/>
        <v/>
      </c>
      <c r="O1616" s="80"/>
      <c r="P1616" s="80"/>
      <c r="Q1616" s="80"/>
      <c r="R1616" s="80"/>
    </row>
    <row r="1617" ht="18" customHeight="1" spans="1:18">
      <c r="A1617" s="87" t="str">
        <f t="shared" si="75"/>
        <v/>
      </c>
      <c r="B1617" s="78"/>
      <c r="C1617" s="80"/>
      <c r="D1617" s="80"/>
      <c r="E1617" s="79"/>
      <c r="F1617" s="87" t="str">
        <f>IF($E1617="","",IFERROR(INDEX(基础资料!$O$4:$O$34,MATCH($E1617,基础资料!$N$4:$N$34,0))&amp;"",""))</f>
        <v/>
      </c>
      <c r="G1617" s="87" t="str">
        <f>IF($E1617="","",IFERROR(INDEX(基础资料!$P$4:$P$34,MATCH($E1617,基础资料!$N$4:$N$34,0))&amp;"",""))</f>
        <v/>
      </c>
      <c r="H1617" s="79"/>
      <c r="I1617" s="88"/>
      <c r="J1617" s="92"/>
      <c r="K1617" s="93"/>
      <c r="L1617" s="25" t="str">
        <f t="shared" si="76"/>
        <v/>
      </c>
      <c r="M1617" s="94"/>
      <c r="N1617" s="26" t="str">
        <f t="shared" si="77"/>
        <v/>
      </c>
      <c r="O1617" s="80"/>
      <c r="P1617" s="80"/>
      <c r="Q1617" s="80"/>
      <c r="R1617" s="80"/>
    </row>
    <row r="1618" ht="18" customHeight="1" spans="1:18">
      <c r="A1618" s="87" t="str">
        <f t="shared" si="75"/>
        <v/>
      </c>
      <c r="B1618" s="78"/>
      <c r="C1618" s="80"/>
      <c r="D1618" s="80"/>
      <c r="E1618" s="79"/>
      <c r="F1618" s="87" t="str">
        <f>IF($E1618="","",IFERROR(INDEX(基础资料!$O$4:$O$34,MATCH($E1618,基础资料!$N$4:$N$34,0))&amp;"",""))</f>
        <v/>
      </c>
      <c r="G1618" s="87" t="str">
        <f>IF($E1618="","",IFERROR(INDEX(基础资料!$P$4:$P$34,MATCH($E1618,基础资料!$N$4:$N$34,0))&amp;"",""))</f>
        <v/>
      </c>
      <c r="H1618" s="79"/>
      <c r="I1618" s="88"/>
      <c r="J1618" s="92"/>
      <c r="K1618" s="93"/>
      <c r="L1618" s="25" t="str">
        <f t="shared" si="76"/>
        <v/>
      </c>
      <c r="M1618" s="94"/>
      <c r="N1618" s="26" t="str">
        <f t="shared" si="77"/>
        <v/>
      </c>
      <c r="O1618" s="80"/>
      <c r="P1618" s="80"/>
      <c r="Q1618" s="80"/>
      <c r="R1618" s="80"/>
    </row>
    <row r="1619" ht="18" customHeight="1" spans="1:18">
      <c r="A1619" s="87" t="str">
        <f t="shared" si="75"/>
        <v/>
      </c>
      <c r="B1619" s="78"/>
      <c r="C1619" s="80"/>
      <c r="D1619" s="80"/>
      <c r="E1619" s="79"/>
      <c r="F1619" s="87" t="str">
        <f>IF($E1619="","",IFERROR(INDEX(基础资料!$O$4:$O$34,MATCH($E1619,基础资料!$N$4:$N$34,0))&amp;"",""))</f>
        <v/>
      </c>
      <c r="G1619" s="87" t="str">
        <f>IF($E1619="","",IFERROR(INDEX(基础资料!$P$4:$P$34,MATCH($E1619,基础资料!$N$4:$N$34,0))&amp;"",""))</f>
        <v/>
      </c>
      <c r="H1619" s="79"/>
      <c r="I1619" s="88"/>
      <c r="J1619" s="92"/>
      <c r="K1619" s="93"/>
      <c r="L1619" s="25" t="str">
        <f t="shared" si="76"/>
        <v/>
      </c>
      <c r="M1619" s="94"/>
      <c r="N1619" s="26" t="str">
        <f t="shared" si="77"/>
        <v/>
      </c>
      <c r="O1619" s="80"/>
      <c r="P1619" s="80"/>
      <c r="Q1619" s="80"/>
      <c r="R1619" s="80"/>
    </row>
    <row r="1620" ht="18" customHeight="1" spans="1:18">
      <c r="A1620" s="87" t="str">
        <f t="shared" si="75"/>
        <v/>
      </c>
      <c r="B1620" s="78"/>
      <c r="C1620" s="80"/>
      <c r="D1620" s="80"/>
      <c r="E1620" s="79"/>
      <c r="F1620" s="87" t="str">
        <f>IF($E1620="","",IFERROR(INDEX(基础资料!$O$4:$O$34,MATCH($E1620,基础资料!$N$4:$N$34,0))&amp;"",""))</f>
        <v/>
      </c>
      <c r="G1620" s="87" t="str">
        <f>IF($E1620="","",IFERROR(INDEX(基础资料!$P$4:$P$34,MATCH($E1620,基础资料!$N$4:$N$34,0))&amp;"",""))</f>
        <v/>
      </c>
      <c r="H1620" s="79"/>
      <c r="I1620" s="88"/>
      <c r="J1620" s="92"/>
      <c r="K1620" s="93"/>
      <c r="L1620" s="25" t="str">
        <f t="shared" si="76"/>
        <v/>
      </c>
      <c r="M1620" s="94"/>
      <c r="N1620" s="26" t="str">
        <f t="shared" si="77"/>
        <v/>
      </c>
      <c r="O1620" s="80"/>
      <c r="P1620" s="80"/>
      <c r="Q1620" s="80"/>
      <c r="R1620" s="80"/>
    </row>
    <row r="1621" ht="18" customHeight="1" spans="1:18">
      <c r="A1621" s="87" t="str">
        <f t="shared" si="75"/>
        <v/>
      </c>
      <c r="B1621" s="78"/>
      <c r="C1621" s="80"/>
      <c r="D1621" s="80"/>
      <c r="E1621" s="79"/>
      <c r="F1621" s="87" t="str">
        <f>IF($E1621="","",IFERROR(INDEX(基础资料!$O$4:$O$34,MATCH($E1621,基础资料!$N$4:$N$34,0))&amp;"",""))</f>
        <v/>
      </c>
      <c r="G1621" s="87" t="str">
        <f>IF($E1621="","",IFERROR(INDEX(基础资料!$P$4:$P$34,MATCH($E1621,基础资料!$N$4:$N$34,0))&amp;"",""))</f>
        <v/>
      </c>
      <c r="H1621" s="79"/>
      <c r="I1621" s="88"/>
      <c r="J1621" s="92"/>
      <c r="K1621" s="93"/>
      <c r="L1621" s="25" t="str">
        <f t="shared" si="76"/>
        <v/>
      </c>
      <c r="M1621" s="94"/>
      <c r="N1621" s="26" t="str">
        <f t="shared" si="77"/>
        <v/>
      </c>
      <c r="O1621" s="80"/>
      <c r="P1621" s="80"/>
      <c r="Q1621" s="80"/>
      <c r="R1621" s="80"/>
    </row>
    <row r="1622" ht="18" customHeight="1" spans="1:18">
      <c r="A1622" s="87" t="str">
        <f t="shared" si="75"/>
        <v/>
      </c>
      <c r="B1622" s="78"/>
      <c r="C1622" s="80"/>
      <c r="D1622" s="80"/>
      <c r="E1622" s="79"/>
      <c r="F1622" s="87" t="str">
        <f>IF($E1622="","",IFERROR(INDEX(基础资料!$O$4:$O$34,MATCH($E1622,基础资料!$N$4:$N$34,0))&amp;"",""))</f>
        <v/>
      </c>
      <c r="G1622" s="87" t="str">
        <f>IF($E1622="","",IFERROR(INDEX(基础资料!$P$4:$P$34,MATCH($E1622,基础资料!$N$4:$N$34,0))&amp;"",""))</f>
        <v/>
      </c>
      <c r="H1622" s="79"/>
      <c r="I1622" s="88"/>
      <c r="J1622" s="92"/>
      <c r="K1622" s="93"/>
      <c r="L1622" s="25" t="str">
        <f t="shared" si="76"/>
        <v/>
      </c>
      <c r="M1622" s="94"/>
      <c r="N1622" s="26" t="str">
        <f t="shared" si="77"/>
        <v/>
      </c>
      <c r="O1622" s="80"/>
      <c r="P1622" s="80"/>
      <c r="Q1622" s="80"/>
      <c r="R1622" s="80"/>
    </row>
    <row r="1623" ht="18" customHeight="1" spans="1:18">
      <c r="A1623" s="87" t="str">
        <f t="shared" si="75"/>
        <v/>
      </c>
      <c r="B1623" s="78"/>
      <c r="C1623" s="80"/>
      <c r="D1623" s="80"/>
      <c r="E1623" s="79"/>
      <c r="F1623" s="87" t="str">
        <f>IF($E1623="","",IFERROR(INDEX(基础资料!$O$4:$O$34,MATCH($E1623,基础资料!$N$4:$N$34,0))&amp;"",""))</f>
        <v/>
      </c>
      <c r="G1623" s="87" t="str">
        <f>IF($E1623="","",IFERROR(INDEX(基础资料!$P$4:$P$34,MATCH($E1623,基础资料!$N$4:$N$34,0))&amp;"",""))</f>
        <v/>
      </c>
      <c r="H1623" s="79"/>
      <c r="I1623" s="88"/>
      <c r="J1623" s="92"/>
      <c r="K1623" s="93"/>
      <c r="L1623" s="25" t="str">
        <f t="shared" si="76"/>
        <v/>
      </c>
      <c r="M1623" s="94"/>
      <c r="N1623" s="26" t="str">
        <f t="shared" si="77"/>
        <v/>
      </c>
      <c r="O1623" s="80"/>
      <c r="P1623" s="80"/>
      <c r="Q1623" s="80"/>
      <c r="R1623" s="80"/>
    </row>
    <row r="1624" ht="18" customHeight="1" spans="1:18">
      <c r="A1624" s="87" t="str">
        <f t="shared" si="75"/>
        <v/>
      </c>
      <c r="B1624" s="78"/>
      <c r="C1624" s="80"/>
      <c r="D1624" s="80"/>
      <c r="E1624" s="79"/>
      <c r="F1624" s="87" t="str">
        <f>IF($E1624="","",IFERROR(INDEX(基础资料!$O$4:$O$34,MATCH($E1624,基础资料!$N$4:$N$34,0))&amp;"",""))</f>
        <v/>
      </c>
      <c r="G1624" s="87" t="str">
        <f>IF($E1624="","",IFERROR(INDEX(基础资料!$P$4:$P$34,MATCH($E1624,基础资料!$N$4:$N$34,0))&amp;"",""))</f>
        <v/>
      </c>
      <c r="H1624" s="79"/>
      <c r="I1624" s="88"/>
      <c r="J1624" s="92"/>
      <c r="K1624" s="93"/>
      <c r="L1624" s="25" t="str">
        <f t="shared" si="76"/>
        <v/>
      </c>
      <c r="M1624" s="94"/>
      <c r="N1624" s="26" t="str">
        <f t="shared" si="77"/>
        <v/>
      </c>
      <c r="O1624" s="80"/>
      <c r="P1624" s="80"/>
      <c r="Q1624" s="80"/>
      <c r="R1624" s="80"/>
    </row>
    <row r="1625" ht="18" customHeight="1" spans="1:18">
      <c r="A1625" s="87" t="str">
        <f t="shared" si="75"/>
        <v/>
      </c>
      <c r="B1625" s="78"/>
      <c r="C1625" s="80"/>
      <c r="D1625" s="80"/>
      <c r="E1625" s="79"/>
      <c r="F1625" s="87" t="str">
        <f>IF($E1625="","",IFERROR(INDEX(基础资料!$O$4:$O$34,MATCH($E1625,基础资料!$N$4:$N$34,0))&amp;"",""))</f>
        <v/>
      </c>
      <c r="G1625" s="87" t="str">
        <f>IF($E1625="","",IFERROR(INDEX(基础资料!$P$4:$P$34,MATCH($E1625,基础资料!$N$4:$N$34,0))&amp;"",""))</f>
        <v/>
      </c>
      <c r="H1625" s="79"/>
      <c r="I1625" s="88"/>
      <c r="J1625" s="92"/>
      <c r="K1625" s="93"/>
      <c r="L1625" s="25" t="str">
        <f t="shared" si="76"/>
        <v/>
      </c>
      <c r="M1625" s="94"/>
      <c r="N1625" s="26" t="str">
        <f t="shared" si="77"/>
        <v/>
      </c>
      <c r="O1625" s="80"/>
      <c r="P1625" s="80"/>
      <c r="Q1625" s="80"/>
      <c r="R1625" s="80"/>
    </row>
    <row r="1626" ht="18" customHeight="1" spans="1:18">
      <c r="A1626" s="87" t="str">
        <f t="shared" si="75"/>
        <v/>
      </c>
      <c r="B1626" s="78"/>
      <c r="C1626" s="80"/>
      <c r="D1626" s="80"/>
      <c r="E1626" s="79"/>
      <c r="F1626" s="87" t="str">
        <f>IF($E1626="","",IFERROR(INDEX(基础资料!$O$4:$O$34,MATCH($E1626,基础资料!$N$4:$N$34,0))&amp;"",""))</f>
        <v/>
      </c>
      <c r="G1626" s="87" t="str">
        <f>IF($E1626="","",IFERROR(INDEX(基础资料!$P$4:$P$34,MATCH($E1626,基础资料!$N$4:$N$34,0))&amp;"",""))</f>
        <v/>
      </c>
      <c r="H1626" s="79"/>
      <c r="I1626" s="88"/>
      <c r="J1626" s="92"/>
      <c r="K1626" s="93"/>
      <c r="L1626" s="25" t="str">
        <f t="shared" si="76"/>
        <v/>
      </c>
      <c r="M1626" s="94"/>
      <c r="N1626" s="26" t="str">
        <f t="shared" si="77"/>
        <v/>
      </c>
      <c r="O1626" s="80"/>
      <c r="P1626" s="80"/>
      <c r="Q1626" s="80"/>
      <c r="R1626" s="80"/>
    </row>
    <row r="1627" ht="18" customHeight="1" spans="1:18">
      <c r="A1627" s="87" t="str">
        <f t="shared" si="75"/>
        <v/>
      </c>
      <c r="B1627" s="78"/>
      <c r="C1627" s="80"/>
      <c r="D1627" s="80"/>
      <c r="E1627" s="79"/>
      <c r="F1627" s="87" t="str">
        <f>IF($E1627="","",IFERROR(INDEX(基础资料!$O$4:$O$34,MATCH($E1627,基础资料!$N$4:$N$34,0))&amp;"",""))</f>
        <v/>
      </c>
      <c r="G1627" s="87" t="str">
        <f>IF($E1627="","",IFERROR(INDEX(基础资料!$P$4:$P$34,MATCH($E1627,基础资料!$N$4:$N$34,0))&amp;"",""))</f>
        <v/>
      </c>
      <c r="H1627" s="79"/>
      <c r="I1627" s="88"/>
      <c r="J1627" s="92"/>
      <c r="K1627" s="93"/>
      <c r="L1627" s="25" t="str">
        <f t="shared" si="76"/>
        <v/>
      </c>
      <c r="M1627" s="94"/>
      <c r="N1627" s="26" t="str">
        <f t="shared" si="77"/>
        <v/>
      </c>
      <c r="O1627" s="80"/>
      <c r="P1627" s="80"/>
      <c r="Q1627" s="80"/>
      <c r="R1627" s="80"/>
    </row>
    <row r="1628" ht="18" customHeight="1" spans="1:18">
      <c r="A1628" s="87" t="str">
        <f t="shared" si="75"/>
        <v/>
      </c>
      <c r="B1628" s="78"/>
      <c r="C1628" s="80"/>
      <c r="D1628" s="80"/>
      <c r="E1628" s="79"/>
      <c r="F1628" s="87" t="str">
        <f>IF($E1628="","",IFERROR(INDEX(基础资料!$O$4:$O$34,MATCH($E1628,基础资料!$N$4:$N$34,0))&amp;"",""))</f>
        <v/>
      </c>
      <c r="G1628" s="87" t="str">
        <f>IF($E1628="","",IFERROR(INDEX(基础资料!$P$4:$P$34,MATCH($E1628,基础资料!$N$4:$N$34,0))&amp;"",""))</f>
        <v/>
      </c>
      <c r="H1628" s="79"/>
      <c r="I1628" s="88"/>
      <c r="J1628" s="92"/>
      <c r="K1628" s="93"/>
      <c r="L1628" s="25" t="str">
        <f t="shared" si="76"/>
        <v/>
      </c>
      <c r="M1628" s="94"/>
      <c r="N1628" s="26" t="str">
        <f t="shared" si="77"/>
        <v/>
      </c>
      <c r="O1628" s="80"/>
      <c r="P1628" s="80"/>
      <c r="Q1628" s="80"/>
      <c r="R1628" s="80"/>
    </row>
    <row r="1629" ht="18" customHeight="1" spans="1:18">
      <c r="A1629" s="87" t="str">
        <f t="shared" si="75"/>
        <v/>
      </c>
      <c r="B1629" s="78"/>
      <c r="C1629" s="80"/>
      <c r="D1629" s="80"/>
      <c r="E1629" s="79"/>
      <c r="F1629" s="87" t="str">
        <f>IF($E1629="","",IFERROR(INDEX(基础资料!$O$4:$O$34,MATCH($E1629,基础资料!$N$4:$N$34,0))&amp;"",""))</f>
        <v/>
      </c>
      <c r="G1629" s="87" t="str">
        <f>IF($E1629="","",IFERROR(INDEX(基础资料!$P$4:$P$34,MATCH($E1629,基础资料!$N$4:$N$34,0))&amp;"",""))</f>
        <v/>
      </c>
      <c r="H1629" s="79"/>
      <c r="I1629" s="88"/>
      <c r="J1629" s="92"/>
      <c r="K1629" s="93"/>
      <c r="L1629" s="25" t="str">
        <f t="shared" si="76"/>
        <v/>
      </c>
      <c r="M1629" s="94"/>
      <c r="N1629" s="26" t="str">
        <f t="shared" si="77"/>
        <v/>
      </c>
      <c r="O1629" s="80"/>
      <c r="P1629" s="80"/>
      <c r="Q1629" s="80"/>
      <c r="R1629" s="80"/>
    </row>
    <row r="1630" ht="18" customHeight="1" spans="1:18">
      <c r="A1630" s="87" t="str">
        <f t="shared" si="75"/>
        <v/>
      </c>
      <c r="B1630" s="78"/>
      <c r="C1630" s="80"/>
      <c r="D1630" s="80"/>
      <c r="E1630" s="79"/>
      <c r="F1630" s="87" t="str">
        <f>IF($E1630="","",IFERROR(INDEX(基础资料!$O$4:$O$34,MATCH($E1630,基础资料!$N$4:$N$34,0))&amp;"",""))</f>
        <v/>
      </c>
      <c r="G1630" s="87" t="str">
        <f>IF($E1630="","",IFERROR(INDEX(基础资料!$P$4:$P$34,MATCH($E1630,基础资料!$N$4:$N$34,0))&amp;"",""))</f>
        <v/>
      </c>
      <c r="H1630" s="79"/>
      <c r="I1630" s="88"/>
      <c r="J1630" s="92"/>
      <c r="K1630" s="93"/>
      <c r="L1630" s="25" t="str">
        <f t="shared" si="76"/>
        <v/>
      </c>
      <c r="M1630" s="94"/>
      <c r="N1630" s="26" t="str">
        <f t="shared" si="77"/>
        <v/>
      </c>
      <c r="O1630" s="80"/>
      <c r="P1630" s="80"/>
      <c r="Q1630" s="80"/>
      <c r="R1630" s="80"/>
    </row>
    <row r="1631" ht="18" customHeight="1" spans="1:18">
      <c r="A1631" s="87" t="str">
        <f t="shared" si="75"/>
        <v/>
      </c>
      <c r="B1631" s="78"/>
      <c r="C1631" s="80"/>
      <c r="D1631" s="80"/>
      <c r="E1631" s="79"/>
      <c r="F1631" s="87" t="str">
        <f>IF($E1631="","",IFERROR(INDEX(基础资料!$O$4:$O$34,MATCH($E1631,基础资料!$N$4:$N$34,0))&amp;"",""))</f>
        <v/>
      </c>
      <c r="G1631" s="87" t="str">
        <f>IF($E1631="","",IFERROR(INDEX(基础资料!$P$4:$P$34,MATCH($E1631,基础资料!$N$4:$N$34,0))&amp;"",""))</f>
        <v/>
      </c>
      <c r="H1631" s="79"/>
      <c r="I1631" s="88"/>
      <c r="J1631" s="92"/>
      <c r="K1631" s="93"/>
      <c r="L1631" s="25" t="str">
        <f t="shared" si="76"/>
        <v/>
      </c>
      <c r="M1631" s="94"/>
      <c r="N1631" s="26" t="str">
        <f t="shared" si="77"/>
        <v/>
      </c>
      <c r="O1631" s="80"/>
      <c r="P1631" s="80"/>
      <c r="Q1631" s="80"/>
      <c r="R1631" s="80"/>
    </row>
    <row r="1632" ht="18" customHeight="1" spans="1:18">
      <c r="A1632" s="87" t="str">
        <f t="shared" si="75"/>
        <v/>
      </c>
      <c r="B1632" s="78"/>
      <c r="C1632" s="80"/>
      <c r="D1632" s="80"/>
      <c r="E1632" s="79"/>
      <c r="F1632" s="87" t="str">
        <f>IF($E1632="","",IFERROR(INDEX(基础资料!$O$4:$O$34,MATCH($E1632,基础资料!$N$4:$N$34,0))&amp;"",""))</f>
        <v/>
      </c>
      <c r="G1632" s="87" t="str">
        <f>IF($E1632="","",IFERROR(INDEX(基础资料!$P$4:$P$34,MATCH($E1632,基础资料!$N$4:$N$34,0))&amp;"",""))</f>
        <v/>
      </c>
      <c r="H1632" s="79"/>
      <c r="I1632" s="88"/>
      <c r="J1632" s="92"/>
      <c r="K1632" s="93"/>
      <c r="L1632" s="25" t="str">
        <f t="shared" si="76"/>
        <v/>
      </c>
      <c r="M1632" s="94"/>
      <c r="N1632" s="26" t="str">
        <f t="shared" si="77"/>
        <v/>
      </c>
      <c r="O1632" s="80"/>
      <c r="P1632" s="80"/>
      <c r="Q1632" s="80"/>
      <c r="R1632" s="80"/>
    </row>
    <row r="1633" ht="18" customHeight="1" spans="1:18">
      <c r="A1633" s="87" t="str">
        <f t="shared" si="75"/>
        <v/>
      </c>
      <c r="B1633" s="78"/>
      <c r="C1633" s="80"/>
      <c r="D1633" s="80"/>
      <c r="E1633" s="79"/>
      <c r="F1633" s="87" t="str">
        <f>IF($E1633="","",IFERROR(INDEX(基础资料!$O$4:$O$34,MATCH($E1633,基础资料!$N$4:$N$34,0))&amp;"",""))</f>
        <v/>
      </c>
      <c r="G1633" s="87" t="str">
        <f>IF($E1633="","",IFERROR(INDEX(基础资料!$P$4:$P$34,MATCH($E1633,基础资料!$N$4:$N$34,0))&amp;"",""))</f>
        <v/>
      </c>
      <c r="H1633" s="79"/>
      <c r="I1633" s="88"/>
      <c r="J1633" s="92"/>
      <c r="K1633" s="93"/>
      <c r="L1633" s="25" t="str">
        <f t="shared" si="76"/>
        <v/>
      </c>
      <c r="M1633" s="94"/>
      <c r="N1633" s="26" t="str">
        <f t="shared" si="77"/>
        <v/>
      </c>
      <c r="O1633" s="80"/>
      <c r="P1633" s="80"/>
      <c r="Q1633" s="80"/>
      <c r="R1633" s="80"/>
    </row>
    <row r="1634" ht="18" customHeight="1" spans="1:18">
      <c r="A1634" s="87" t="str">
        <f t="shared" si="75"/>
        <v/>
      </c>
      <c r="B1634" s="78"/>
      <c r="C1634" s="80"/>
      <c r="D1634" s="80"/>
      <c r="E1634" s="79"/>
      <c r="F1634" s="87" t="str">
        <f>IF($E1634="","",IFERROR(INDEX(基础资料!$O$4:$O$34,MATCH($E1634,基础资料!$N$4:$N$34,0))&amp;"",""))</f>
        <v/>
      </c>
      <c r="G1634" s="87" t="str">
        <f>IF($E1634="","",IFERROR(INDEX(基础资料!$P$4:$P$34,MATCH($E1634,基础资料!$N$4:$N$34,0))&amp;"",""))</f>
        <v/>
      </c>
      <c r="H1634" s="79"/>
      <c r="I1634" s="88"/>
      <c r="J1634" s="92"/>
      <c r="K1634" s="93"/>
      <c r="L1634" s="25" t="str">
        <f t="shared" si="76"/>
        <v/>
      </c>
      <c r="M1634" s="94"/>
      <c r="N1634" s="26" t="str">
        <f t="shared" si="77"/>
        <v/>
      </c>
      <c r="O1634" s="80"/>
      <c r="P1634" s="80"/>
      <c r="Q1634" s="80"/>
      <c r="R1634" s="80"/>
    </row>
    <row r="1635" ht="18" customHeight="1" spans="1:18">
      <c r="A1635" s="87" t="str">
        <f t="shared" si="75"/>
        <v/>
      </c>
      <c r="B1635" s="78"/>
      <c r="C1635" s="80"/>
      <c r="D1635" s="80"/>
      <c r="E1635" s="79"/>
      <c r="F1635" s="87" t="str">
        <f>IF($E1635="","",IFERROR(INDEX(基础资料!$O$4:$O$34,MATCH($E1635,基础资料!$N$4:$N$34,0))&amp;"",""))</f>
        <v/>
      </c>
      <c r="G1635" s="87" t="str">
        <f>IF($E1635="","",IFERROR(INDEX(基础资料!$P$4:$P$34,MATCH($E1635,基础资料!$N$4:$N$34,0))&amp;"",""))</f>
        <v/>
      </c>
      <c r="H1635" s="79"/>
      <c r="I1635" s="88"/>
      <c r="J1635" s="92"/>
      <c r="K1635" s="93"/>
      <c r="L1635" s="25" t="str">
        <f t="shared" si="76"/>
        <v/>
      </c>
      <c r="M1635" s="94"/>
      <c r="N1635" s="26" t="str">
        <f t="shared" si="77"/>
        <v/>
      </c>
      <c r="O1635" s="80"/>
      <c r="P1635" s="80"/>
      <c r="Q1635" s="80"/>
      <c r="R1635" s="80"/>
    </row>
    <row r="1636" ht="18" customHeight="1" spans="1:18">
      <c r="A1636" s="87" t="str">
        <f t="shared" si="75"/>
        <v/>
      </c>
      <c r="B1636" s="78"/>
      <c r="C1636" s="80"/>
      <c r="D1636" s="80"/>
      <c r="E1636" s="79"/>
      <c r="F1636" s="87" t="str">
        <f>IF($E1636="","",IFERROR(INDEX(基础资料!$O$4:$O$34,MATCH($E1636,基础资料!$N$4:$N$34,0))&amp;"",""))</f>
        <v/>
      </c>
      <c r="G1636" s="87" t="str">
        <f>IF($E1636="","",IFERROR(INDEX(基础资料!$P$4:$P$34,MATCH($E1636,基础资料!$N$4:$N$34,0))&amp;"",""))</f>
        <v/>
      </c>
      <c r="H1636" s="79"/>
      <c r="I1636" s="88"/>
      <c r="J1636" s="92"/>
      <c r="K1636" s="93"/>
      <c r="L1636" s="25" t="str">
        <f t="shared" si="76"/>
        <v/>
      </c>
      <c r="M1636" s="94"/>
      <c r="N1636" s="26" t="str">
        <f t="shared" si="77"/>
        <v/>
      </c>
      <c r="O1636" s="80"/>
      <c r="P1636" s="80"/>
      <c r="Q1636" s="80"/>
      <c r="R1636" s="80"/>
    </row>
    <row r="1637" ht="18" customHeight="1" spans="1:18">
      <c r="A1637" s="87" t="str">
        <f t="shared" si="75"/>
        <v/>
      </c>
      <c r="B1637" s="78"/>
      <c r="C1637" s="80"/>
      <c r="D1637" s="80"/>
      <c r="E1637" s="79"/>
      <c r="F1637" s="87" t="str">
        <f>IF($E1637="","",IFERROR(INDEX(基础资料!$O$4:$O$34,MATCH($E1637,基础资料!$N$4:$N$34,0))&amp;"",""))</f>
        <v/>
      </c>
      <c r="G1637" s="87" t="str">
        <f>IF($E1637="","",IFERROR(INDEX(基础资料!$P$4:$P$34,MATCH($E1637,基础资料!$N$4:$N$34,0))&amp;"",""))</f>
        <v/>
      </c>
      <c r="H1637" s="79"/>
      <c r="I1637" s="88"/>
      <c r="J1637" s="92"/>
      <c r="K1637" s="93"/>
      <c r="L1637" s="25" t="str">
        <f t="shared" si="76"/>
        <v/>
      </c>
      <c r="M1637" s="94"/>
      <c r="N1637" s="26" t="str">
        <f t="shared" si="77"/>
        <v/>
      </c>
      <c r="O1637" s="80"/>
      <c r="P1637" s="80"/>
      <c r="Q1637" s="80"/>
      <c r="R1637" s="80"/>
    </row>
    <row r="1638" ht="18" customHeight="1" spans="1:18">
      <c r="A1638" s="87" t="str">
        <f t="shared" si="75"/>
        <v/>
      </c>
      <c r="B1638" s="78"/>
      <c r="C1638" s="80"/>
      <c r="D1638" s="80"/>
      <c r="E1638" s="79"/>
      <c r="F1638" s="87" t="str">
        <f>IF($E1638="","",IFERROR(INDEX(基础资料!$O$4:$O$34,MATCH($E1638,基础资料!$N$4:$N$34,0))&amp;"",""))</f>
        <v/>
      </c>
      <c r="G1638" s="87" t="str">
        <f>IF($E1638="","",IFERROR(INDEX(基础资料!$P$4:$P$34,MATCH($E1638,基础资料!$N$4:$N$34,0))&amp;"",""))</f>
        <v/>
      </c>
      <c r="H1638" s="79"/>
      <c r="I1638" s="88"/>
      <c r="J1638" s="92"/>
      <c r="K1638" s="93"/>
      <c r="L1638" s="25" t="str">
        <f t="shared" si="76"/>
        <v/>
      </c>
      <c r="M1638" s="94"/>
      <c r="N1638" s="26" t="str">
        <f t="shared" si="77"/>
        <v/>
      </c>
      <c r="O1638" s="80"/>
      <c r="P1638" s="80"/>
      <c r="Q1638" s="80"/>
      <c r="R1638" s="80"/>
    </row>
    <row r="1639" ht="18" customHeight="1" spans="1:18">
      <c r="A1639" s="87" t="str">
        <f t="shared" si="75"/>
        <v/>
      </c>
      <c r="B1639" s="78"/>
      <c r="C1639" s="80"/>
      <c r="D1639" s="80"/>
      <c r="E1639" s="79"/>
      <c r="F1639" s="87" t="str">
        <f>IF($E1639="","",IFERROR(INDEX(基础资料!$O$4:$O$34,MATCH($E1639,基础资料!$N$4:$N$34,0))&amp;"",""))</f>
        <v/>
      </c>
      <c r="G1639" s="87" t="str">
        <f>IF($E1639="","",IFERROR(INDEX(基础资料!$P$4:$P$34,MATCH($E1639,基础资料!$N$4:$N$34,0))&amp;"",""))</f>
        <v/>
      </c>
      <c r="H1639" s="79"/>
      <c r="I1639" s="88"/>
      <c r="J1639" s="92"/>
      <c r="K1639" s="93"/>
      <c r="L1639" s="25" t="str">
        <f t="shared" si="76"/>
        <v/>
      </c>
      <c r="M1639" s="94"/>
      <c r="N1639" s="26" t="str">
        <f t="shared" si="77"/>
        <v/>
      </c>
      <c r="O1639" s="80"/>
      <c r="P1639" s="80"/>
      <c r="Q1639" s="80"/>
      <c r="R1639" s="80"/>
    </row>
    <row r="1640" ht="18" customHeight="1" spans="1:18">
      <c r="A1640" s="87" t="str">
        <f t="shared" si="75"/>
        <v/>
      </c>
      <c r="B1640" s="78"/>
      <c r="C1640" s="80"/>
      <c r="D1640" s="80"/>
      <c r="E1640" s="79"/>
      <c r="F1640" s="87" t="str">
        <f>IF($E1640="","",IFERROR(INDEX(基础资料!$O$4:$O$34,MATCH($E1640,基础资料!$N$4:$N$34,0))&amp;"",""))</f>
        <v/>
      </c>
      <c r="G1640" s="87" t="str">
        <f>IF($E1640="","",IFERROR(INDEX(基础资料!$P$4:$P$34,MATCH($E1640,基础资料!$N$4:$N$34,0))&amp;"",""))</f>
        <v/>
      </c>
      <c r="H1640" s="79"/>
      <c r="I1640" s="88"/>
      <c r="J1640" s="92"/>
      <c r="K1640" s="93"/>
      <c r="L1640" s="25" t="str">
        <f t="shared" si="76"/>
        <v/>
      </c>
      <c r="M1640" s="94"/>
      <c r="N1640" s="26" t="str">
        <f t="shared" si="77"/>
        <v/>
      </c>
      <c r="O1640" s="80"/>
      <c r="P1640" s="80"/>
      <c r="Q1640" s="80"/>
      <c r="R1640" s="80"/>
    </row>
    <row r="1641" ht="18" customHeight="1" spans="1:18">
      <c r="A1641" s="87" t="str">
        <f t="shared" si="75"/>
        <v/>
      </c>
      <c r="B1641" s="78"/>
      <c r="C1641" s="80"/>
      <c r="D1641" s="80"/>
      <c r="E1641" s="79"/>
      <c r="F1641" s="87" t="str">
        <f>IF($E1641="","",IFERROR(INDEX(基础资料!$O$4:$O$34,MATCH($E1641,基础资料!$N$4:$N$34,0))&amp;"",""))</f>
        <v/>
      </c>
      <c r="G1641" s="87" t="str">
        <f>IF($E1641="","",IFERROR(INDEX(基础资料!$P$4:$P$34,MATCH($E1641,基础资料!$N$4:$N$34,0))&amp;"",""))</f>
        <v/>
      </c>
      <c r="H1641" s="79"/>
      <c r="I1641" s="88"/>
      <c r="J1641" s="92"/>
      <c r="K1641" s="93"/>
      <c r="L1641" s="25" t="str">
        <f t="shared" si="76"/>
        <v/>
      </c>
      <c r="M1641" s="94"/>
      <c r="N1641" s="26" t="str">
        <f t="shared" si="77"/>
        <v/>
      </c>
      <c r="O1641" s="80"/>
      <c r="P1641" s="80"/>
      <c r="Q1641" s="80"/>
      <c r="R1641" s="80"/>
    </row>
    <row r="1642" ht="18" customHeight="1" spans="1:18">
      <c r="A1642" s="87" t="str">
        <f t="shared" si="75"/>
        <v/>
      </c>
      <c r="B1642" s="78"/>
      <c r="C1642" s="80"/>
      <c r="D1642" s="80"/>
      <c r="E1642" s="79"/>
      <c r="F1642" s="87" t="str">
        <f>IF($E1642="","",IFERROR(INDEX(基础资料!$O$4:$O$34,MATCH($E1642,基础资料!$N$4:$N$34,0))&amp;"",""))</f>
        <v/>
      </c>
      <c r="G1642" s="87" t="str">
        <f>IF($E1642="","",IFERROR(INDEX(基础资料!$P$4:$P$34,MATCH($E1642,基础资料!$N$4:$N$34,0))&amp;"",""))</f>
        <v/>
      </c>
      <c r="H1642" s="79"/>
      <c r="I1642" s="88"/>
      <c r="J1642" s="92"/>
      <c r="K1642" s="93"/>
      <c r="L1642" s="25" t="str">
        <f t="shared" si="76"/>
        <v/>
      </c>
      <c r="M1642" s="94"/>
      <c r="N1642" s="26" t="str">
        <f t="shared" si="77"/>
        <v/>
      </c>
      <c r="O1642" s="80"/>
      <c r="P1642" s="80"/>
      <c r="Q1642" s="80"/>
      <c r="R1642" s="80"/>
    </row>
    <row r="1643" ht="18" customHeight="1" spans="1:18">
      <c r="A1643" s="87" t="str">
        <f t="shared" si="75"/>
        <v/>
      </c>
      <c r="B1643" s="78"/>
      <c r="C1643" s="80"/>
      <c r="D1643" s="80"/>
      <c r="E1643" s="79"/>
      <c r="F1643" s="87" t="str">
        <f>IF($E1643="","",IFERROR(INDEX(基础资料!$O$4:$O$34,MATCH($E1643,基础资料!$N$4:$N$34,0))&amp;"",""))</f>
        <v/>
      </c>
      <c r="G1643" s="87" t="str">
        <f>IF($E1643="","",IFERROR(INDEX(基础资料!$P$4:$P$34,MATCH($E1643,基础资料!$N$4:$N$34,0))&amp;"",""))</f>
        <v/>
      </c>
      <c r="H1643" s="79"/>
      <c r="I1643" s="88"/>
      <c r="J1643" s="92"/>
      <c r="K1643" s="93"/>
      <c r="L1643" s="25" t="str">
        <f t="shared" si="76"/>
        <v/>
      </c>
      <c r="M1643" s="94"/>
      <c r="N1643" s="26" t="str">
        <f t="shared" si="77"/>
        <v/>
      </c>
      <c r="O1643" s="80"/>
      <c r="P1643" s="80"/>
      <c r="Q1643" s="80"/>
      <c r="R1643" s="80"/>
    </row>
    <row r="1644" ht="18" customHeight="1" spans="1:18">
      <c r="A1644" s="87" t="str">
        <f t="shared" si="75"/>
        <v/>
      </c>
      <c r="B1644" s="78"/>
      <c r="C1644" s="80"/>
      <c r="D1644" s="80"/>
      <c r="E1644" s="79"/>
      <c r="F1644" s="87" t="str">
        <f>IF($E1644="","",IFERROR(INDEX(基础资料!$O$4:$O$34,MATCH($E1644,基础资料!$N$4:$N$34,0))&amp;"",""))</f>
        <v/>
      </c>
      <c r="G1644" s="87" t="str">
        <f>IF($E1644="","",IFERROR(INDEX(基础资料!$P$4:$P$34,MATCH($E1644,基础资料!$N$4:$N$34,0))&amp;"",""))</f>
        <v/>
      </c>
      <c r="H1644" s="79"/>
      <c r="I1644" s="88"/>
      <c r="J1644" s="92"/>
      <c r="K1644" s="93"/>
      <c r="L1644" s="25" t="str">
        <f t="shared" si="76"/>
        <v/>
      </c>
      <c r="M1644" s="94"/>
      <c r="N1644" s="26" t="str">
        <f t="shared" si="77"/>
        <v/>
      </c>
      <c r="O1644" s="80"/>
      <c r="P1644" s="80"/>
      <c r="Q1644" s="80"/>
      <c r="R1644" s="80"/>
    </row>
    <row r="1645" ht="18" customHeight="1" spans="1:18">
      <c r="A1645" s="87" t="str">
        <f t="shared" si="75"/>
        <v/>
      </c>
      <c r="B1645" s="78"/>
      <c r="C1645" s="80"/>
      <c r="D1645" s="80"/>
      <c r="E1645" s="79"/>
      <c r="F1645" s="87" t="str">
        <f>IF($E1645="","",IFERROR(INDEX(基础资料!$O$4:$O$34,MATCH($E1645,基础资料!$N$4:$N$34,0))&amp;"",""))</f>
        <v/>
      </c>
      <c r="G1645" s="87" t="str">
        <f>IF($E1645="","",IFERROR(INDEX(基础资料!$P$4:$P$34,MATCH($E1645,基础资料!$N$4:$N$34,0))&amp;"",""))</f>
        <v/>
      </c>
      <c r="H1645" s="79"/>
      <c r="I1645" s="88"/>
      <c r="J1645" s="92"/>
      <c r="K1645" s="93"/>
      <c r="L1645" s="25" t="str">
        <f t="shared" si="76"/>
        <v/>
      </c>
      <c r="M1645" s="94"/>
      <c r="N1645" s="26" t="str">
        <f t="shared" si="77"/>
        <v/>
      </c>
      <c r="O1645" s="80"/>
      <c r="P1645" s="80"/>
      <c r="Q1645" s="80"/>
      <c r="R1645" s="80"/>
    </row>
    <row r="1646" ht="18" customHeight="1" spans="1:18">
      <c r="A1646" s="87" t="str">
        <f t="shared" si="75"/>
        <v/>
      </c>
      <c r="B1646" s="78"/>
      <c r="C1646" s="80"/>
      <c r="D1646" s="80"/>
      <c r="E1646" s="79"/>
      <c r="F1646" s="87" t="str">
        <f>IF($E1646="","",IFERROR(INDEX(基础资料!$O$4:$O$34,MATCH($E1646,基础资料!$N$4:$N$34,0))&amp;"",""))</f>
        <v/>
      </c>
      <c r="G1646" s="87" t="str">
        <f>IF($E1646="","",IFERROR(INDEX(基础资料!$P$4:$P$34,MATCH($E1646,基础资料!$N$4:$N$34,0))&amp;"",""))</f>
        <v/>
      </c>
      <c r="H1646" s="79"/>
      <c r="I1646" s="88"/>
      <c r="J1646" s="92"/>
      <c r="K1646" s="93"/>
      <c r="L1646" s="25" t="str">
        <f t="shared" si="76"/>
        <v/>
      </c>
      <c r="M1646" s="94"/>
      <c r="N1646" s="26" t="str">
        <f t="shared" si="77"/>
        <v/>
      </c>
      <c r="O1646" s="80"/>
      <c r="P1646" s="80"/>
      <c r="Q1646" s="80"/>
      <c r="R1646" s="80"/>
    </row>
    <row r="1647" ht="18" customHeight="1" spans="1:18">
      <c r="A1647" s="87" t="str">
        <f t="shared" si="75"/>
        <v/>
      </c>
      <c r="B1647" s="78"/>
      <c r="C1647" s="80"/>
      <c r="D1647" s="80"/>
      <c r="E1647" s="79"/>
      <c r="F1647" s="87" t="str">
        <f>IF($E1647="","",IFERROR(INDEX(基础资料!$O$4:$O$34,MATCH($E1647,基础资料!$N$4:$N$34,0))&amp;"",""))</f>
        <v/>
      </c>
      <c r="G1647" s="87" t="str">
        <f>IF($E1647="","",IFERROR(INDEX(基础资料!$P$4:$P$34,MATCH($E1647,基础资料!$N$4:$N$34,0))&amp;"",""))</f>
        <v/>
      </c>
      <c r="H1647" s="79"/>
      <c r="I1647" s="88"/>
      <c r="J1647" s="92"/>
      <c r="K1647" s="93"/>
      <c r="L1647" s="25" t="str">
        <f t="shared" si="76"/>
        <v/>
      </c>
      <c r="M1647" s="94"/>
      <c r="N1647" s="26" t="str">
        <f t="shared" si="77"/>
        <v/>
      </c>
      <c r="O1647" s="80"/>
      <c r="P1647" s="80"/>
      <c r="Q1647" s="80"/>
      <c r="R1647" s="80"/>
    </row>
    <row r="1648" ht="18" customHeight="1" spans="1:18">
      <c r="A1648" s="87" t="str">
        <f t="shared" si="75"/>
        <v/>
      </c>
      <c r="B1648" s="78"/>
      <c r="C1648" s="80"/>
      <c r="D1648" s="80"/>
      <c r="E1648" s="79"/>
      <c r="F1648" s="87" t="str">
        <f>IF($E1648="","",IFERROR(INDEX(基础资料!$O$4:$O$34,MATCH($E1648,基础资料!$N$4:$N$34,0))&amp;"",""))</f>
        <v/>
      </c>
      <c r="G1648" s="87" t="str">
        <f>IF($E1648="","",IFERROR(INDEX(基础资料!$P$4:$P$34,MATCH($E1648,基础资料!$N$4:$N$34,0))&amp;"",""))</f>
        <v/>
      </c>
      <c r="H1648" s="79"/>
      <c r="I1648" s="88"/>
      <c r="J1648" s="92"/>
      <c r="K1648" s="93"/>
      <c r="L1648" s="25" t="str">
        <f t="shared" si="76"/>
        <v/>
      </c>
      <c r="M1648" s="94"/>
      <c r="N1648" s="26" t="str">
        <f t="shared" si="77"/>
        <v/>
      </c>
      <c r="O1648" s="80"/>
      <c r="P1648" s="80"/>
      <c r="Q1648" s="80"/>
      <c r="R1648" s="80"/>
    </row>
    <row r="1649" ht="18" customHeight="1" spans="1:18">
      <c r="A1649" s="87" t="str">
        <f t="shared" si="75"/>
        <v/>
      </c>
      <c r="B1649" s="78"/>
      <c r="C1649" s="80"/>
      <c r="D1649" s="80"/>
      <c r="E1649" s="79"/>
      <c r="F1649" s="87" t="str">
        <f>IF($E1649="","",IFERROR(INDEX(基础资料!$O$4:$O$34,MATCH($E1649,基础资料!$N$4:$N$34,0))&amp;"",""))</f>
        <v/>
      </c>
      <c r="G1649" s="87" t="str">
        <f>IF($E1649="","",IFERROR(INDEX(基础资料!$P$4:$P$34,MATCH($E1649,基础资料!$N$4:$N$34,0))&amp;"",""))</f>
        <v/>
      </c>
      <c r="H1649" s="79"/>
      <c r="I1649" s="88"/>
      <c r="J1649" s="92"/>
      <c r="K1649" s="93"/>
      <c r="L1649" s="25" t="str">
        <f t="shared" si="76"/>
        <v/>
      </c>
      <c r="M1649" s="94"/>
      <c r="N1649" s="26" t="str">
        <f t="shared" si="77"/>
        <v/>
      </c>
      <c r="O1649" s="80"/>
      <c r="P1649" s="80"/>
      <c r="Q1649" s="80"/>
      <c r="R1649" s="80"/>
    </row>
    <row r="1650" ht="18" customHeight="1" spans="1:18">
      <c r="A1650" s="87" t="str">
        <f t="shared" si="75"/>
        <v/>
      </c>
      <c r="B1650" s="78"/>
      <c r="C1650" s="80"/>
      <c r="D1650" s="80"/>
      <c r="E1650" s="79"/>
      <c r="F1650" s="87" t="str">
        <f>IF($E1650="","",IFERROR(INDEX(基础资料!$O$4:$O$34,MATCH($E1650,基础资料!$N$4:$N$34,0))&amp;"",""))</f>
        <v/>
      </c>
      <c r="G1650" s="87" t="str">
        <f>IF($E1650="","",IFERROR(INDEX(基础资料!$P$4:$P$34,MATCH($E1650,基础资料!$N$4:$N$34,0))&amp;"",""))</f>
        <v/>
      </c>
      <c r="H1650" s="79"/>
      <c r="I1650" s="88"/>
      <c r="J1650" s="92"/>
      <c r="K1650" s="93"/>
      <c r="L1650" s="25" t="str">
        <f t="shared" si="76"/>
        <v/>
      </c>
      <c r="M1650" s="94"/>
      <c r="N1650" s="26" t="str">
        <f t="shared" si="77"/>
        <v/>
      </c>
      <c r="O1650" s="80"/>
      <c r="P1650" s="80"/>
      <c r="Q1650" s="80"/>
      <c r="R1650" s="80"/>
    </row>
    <row r="1651" ht="18" customHeight="1" spans="1:18">
      <c r="A1651" s="87" t="str">
        <f t="shared" si="75"/>
        <v/>
      </c>
      <c r="B1651" s="78"/>
      <c r="C1651" s="80"/>
      <c r="D1651" s="80"/>
      <c r="E1651" s="79"/>
      <c r="F1651" s="87" t="str">
        <f>IF($E1651="","",IFERROR(INDEX(基础资料!$O$4:$O$34,MATCH($E1651,基础资料!$N$4:$N$34,0))&amp;"",""))</f>
        <v/>
      </c>
      <c r="G1651" s="87" t="str">
        <f>IF($E1651="","",IFERROR(INDEX(基础资料!$P$4:$P$34,MATCH($E1651,基础资料!$N$4:$N$34,0))&amp;"",""))</f>
        <v/>
      </c>
      <c r="H1651" s="79"/>
      <c r="I1651" s="88"/>
      <c r="J1651" s="92"/>
      <c r="K1651" s="93"/>
      <c r="L1651" s="25" t="str">
        <f t="shared" si="76"/>
        <v/>
      </c>
      <c r="M1651" s="94"/>
      <c r="N1651" s="26" t="str">
        <f t="shared" si="77"/>
        <v/>
      </c>
      <c r="O1651" s="80"/>
      <c r="P1651" s="80"/>
      <c r="Q1651" s="80"/>
      <c r="R1651" s="80"/>
    </row>
    <row r="1652" ht="18" customHeight="1" spans="1:18">
      <c r="A1652" s="87" t="str">
        <f t="shared" si="75"/>
        <v/>
      </c>
      <c r="B1652" s="78"/>
      <c r="C1652" s="80"/>
      <c r="D1652" s="80"/>
      <c r="E1652" s="79"/>
      <c r="F1652" s="87" t="str">
        <f>IF($E1652="","",IFERROR(INDEX(基础资料!$O$4:$O$34,MATCH($E1652,基础资料!$N$4:$N$34,0))&amp;"",""))</f>
        <v/>
      </c>
      <c r="G1652" s="87" t="str">
        <f>IF($E1652="","",IFERROR(INDEX(基础资料!$P$4:$P$34,MATCH($E1652,基础资料!$N$4:$N$34,0))&amp;"",""))</f>
        <v/>
      </c>
      <c r="H1652" s="79"/>
      <c r="I1652" s="88"/>
      <c r="J1652" s="92"/>
      <c r="K1652" s="93"/>
      <c r="L1652" s="25" t="str">
        <f t="shared" si="76"/>
        <v/>
      </c>
      <c r="M1652" s="94"/>
      <c r="N1652" s="26" t="str">
        <f t="shared" si="77"/>
        <v/>
      </c>
      <c r="O1652" s="80"/>
      <c r="P1652" s="80"/>
      <c r="Q1652" s="80"/>
      <c r="R1652" s="80"/>
    </row>
    <row r="1653" ht="18" customHeight="1" spans="1:18">
      <c r="A1653" s="87" t="str">
        <f t="shared" si="75"/>
        <v/>
      </c>
      <c r="B1653" s="78"/>
      <c r="C1653" s="80"/>
      <c r="D1653" s="80"/>
      <c r="E1653" s="79"/>
      <c r="F1653" s="87" t="str">
        <f>IF($E1653="","",IFERROR(INDEX(基础资料!$O$4:$O$34,MATCH($E1653,基础资料!$N$4:$N$34,0))&amp;"",""))</f>
        <v/>
      </c>
      <c r="G1653" s="87" t="str">
        <f>IF($E1653="","",IFERROR(INDEX(基础资料!$P$4:$P$34,MATCH($E1653,基础资料!$N$4:$N$34,0))&amp;"",""))</f>
        <v/>
      </c>
      <c r="H1653" s="79"/>
      <c r="I1653" s="88"/>
      <c r="J1653" s="92"/>
      <c r="K1653" s="93"/>
      <c r="L1653" s="25" t="str">
        <f t="shared" si="76"/>
        <v/>
      </c>
      <c r="M1653" s="94"/>
      <c r="N1653" s="26" t="str">
        <f t="shared" si="77"/>
        <v/>
      </c>
      <c r="O1653" s="80"/>
      <c r="P1653" s="80"/>
      <c r="Q1653" s="80"/>
      <c r="R1653" s="80"/>
    </row>
    <row r="1654" ht="18" customHeight="1" spans="1:18">
      <c r="A1654" s="87" t="str">
        <f t="shared" si="75"/>
        <v/>
      </c>
      <c r="B1654" s="78"/>
      <c r="C1654" s="80"/>
      <c r="D1654" s="80"/>
      <c r="E1654" s="79"/>
      <c r="F1654" s="87" t="str">
        <f>IF($E1654="","",IFERROR(INDEX(基础资料!$O$4:$O$34,MATCH($E1654,基础资料!$N$4:$N$34,0))&amp;"",""))</f>
        <v/>
      </c>
      <c r="G1654" s="87" t="str">
        <f>IF($E1654="","",IFERROR(INDEX(基础资料!$P$4:$P$34,MATCH($E1654,基础资料!$N$4:$N$34,0))&amp;"",""))</f>
        <v/>
      </c>
      <c r="H1654" s="79"/>
      <c r="I1654" s="88"/>
      <c r="J1654" s="92"/>
      <c r="K1654" s="93"/>
      <c r="L1654" s="25" t="str">
        <f t="shared" si="76"/>
        <v/>
      </c>
      <c r="M1654" s="94"/>
      <c r="N1654" s="26" t="str">
        <f t="shared" si="77"/>
        <v/>
      </c>
      <c r="O1654" s="80"/>
      <c r="P1654" s="80"/>
      <c r="Q1654" s="80"/>
      <c r="R1654" s="80"/>
    </row>
    <row r="1655" ht="18" customHeight="1" spans="1:18">
      <c r="A1655" s="87" t="str">
        <f t="shared" si="75"/>
        <v/>
      </c>
      <c r="B1655" s="78"/>
      <c r="C1655" s="80"/>
      <c r="D1655" s="80"/>
      <c r="E1655" s="79"/>
      <c r="F1655" s="87" t="str">
        <f>IF($E1655="","",IFERROR(INDEX(基础资料!$O$4:$O$34,MATCH($E1655,基础资料!$N$4:$N$34,0))&amp;"",""))</f>
        <v/>
      </c>
      <c r="G1655" s="87" t="str">
        <f>IF($E1655="","",IFERROR(INDEX(基础资料!$P$4:$P$34,MATCH($E1655,基础资料!$N$4:$N$34,0))&amp;"",""))</f>
        <v/>
      </c>
      <c r="H1655" s="79"/>
      <c r="I1655" s="88"/>
      <c r="J1655" s="92"/>
      <c r="K1655" s="93"/>
      <c r="L1655" s="25" t="str">
        <f t="shared" si="76"/>
        <v/>
      </c>
      <c r="M1655" s="94"/>
      <c r="N1655" s="26" t="str">
        <f t="shared" si="77"/>
        <v/>
      </c>
      <c r="O1655" s="80"/>
      <c r="P1655" s="80"/>
      <c r="Q1655" s="80"/>
      <c r="R1655" s="80"/>
    </row>
    <row r="1656" ht="18" customHeight="1" spans="1:18">
      <c r="A1656" s="87" t="str">
        <f t="shared" si="75"/>
        <v/>
      </c>
      <c r="B1656" s="78"/>
      <c r="C1656" s="80"/>
      <c r="D1656" s="80"/>
      <c r="E1656" s="79"/>
      <c r="F1656" s="87" t="str">
        <f>IF($E1656="","",IFERROR(INDEX(基础资料!$O$4:$O$34,MATCH($E1656,基础资料!$N$4:$N$34,0))&amp;"",""))</f>
        <v/>
      </c>
      <c r="G1656" s="87" t="str">
        <f>IF($E1656="","",IFERROR(INDEX(基础资料!$P$4:$P$34,MATCH($E1656,基础资料!$N$4:$N$34,0))&amp;"",""))</f>
        <v/>
      </c>
      <c r="H1656" s="79"/>
      <c r="I1656" s="88"/>
      <c r="J1656" s="92"/>
      <c r="K1656" s="93"/>
      <c r="L1656" s="25" t="str">
        <f t="shared" si="76"/>
        <v/>
      </c>
      <c r="M1656" s="94"/>
      <c r="N1656" s="26" t="str">
        <f t="shared" si="77"/>
        <v/>
      </c>
      <c r="O1656" s="80"/>
      <c r="P1656" s="80"/>
      <c r="Q1656" s="80"/>
      <c r="R1656" s="80"/>
    </row>
    <row r="1657" ht="18" customHeight="1" spans="1:18">
      <c r="A1657" s="87" t="str">
        <f t="shared" si="75"/>
        <v/>
      </c>
      <c r="B1657" s="78"/>
      <c r="C1657" s="80"/>
      <c r="D1657" s="80"/>
      <c r="E1657" s="79"/>
      <c r="F1657" s="87" t="str">
        <f>IF($E1657="","",IFERROR(INDEX(基础资料!$O$4:$O$34,MATCH($E1657,基础资料!$N$4:$N$34,0))&amp;"",""))</f>
        <v/>
      </c>
      <c r="G1657" s="87" t="str">
        <f>IF($E1657="","",IFERROR(INDEX(基础资料!$P$4:$P$34,MATCH($E1657,基础资料!$N$4:$N$34,0))&amp;"",""))</f>
        <v/>
      </c>
      <c r="H1657" s="79"/>
      <c r="I1657" s="88"/>
      <c r="J1657" s="92"/>
      <c r="K1657" s="93"/>
      <c r="L1657" s="25" t="str">
        <f t="shared" si="76"/>
        <v/>
      </c>
      <c r="M1657" s="94"/>
      <c r="N1657" s="26" t="str">
        <f t="shared" si="77"/>
        <v/>
      </c>
      <c r="O1657" s="80"/>
      <c r="P1657" s="80"/>
      <c r="Q1657" s="80"/>
      <c r="R1657" s="80"/>
    </row>
    <row r="1658" ht="18" customHeight="1" spans="1:18">
      <c r="A1658" s="87" t="str">
        <f t="shared" si="75"/>
        <v/>
      </c>
      <c r="B1658" s="78"/>
      <c r="C1658" s="80"/>
      <c r="D1658" s="80"/>
      <c r="E1658" s="79"/>
      <c r="F1658" s="87" t="str">
        <f>IF($E1658="","",IFERROR(INDEX(基础资料!$O$4:$O$34,MATCH($E1658,基础资料!$N$4:$N$34,0))&amp;"",""))</f>
        <v/>
      </c>
      <c r="G1658" s="87" t="str">
        <f>IF($E1658="","",IFERROR(INDEX(基础资料!$P$4:$P$34,MATCH($E1658,基础资料!$N$4:$N$34,0))&amp;"",""))</f>
        <v/>
      </c>
      <c r="H1658" s="79"/>
      <c r="I1658" s="88"/>
      <c r="J1658" s="92"/>
      <c r="K1658" s="93"/>
      <c r="L1658" s="25" t="str">
        <f t="shared" si="76"/>
        <v/>
      </c>
      <c r="M1658" s="94"/>
      <c r="N1658" s="26" t="str">
        <f t="shared" si="77"/>
        <v/>
      </c>
      <c r="O1658" s="80"/>
      <c r="P1658" s="80"/>
      <c r="Q1658" s="80"/>
      <c r="R1658" s="80"/>
    </row>
    <row r="1659" ht="18" customHeight="1" spans="1:18">
      <c r="A1659" s="87" t="str">
        <f t="shared" si="75"/>
        <v/>
      </c>
      <c r="B1659" s="78"/>
      <c r="C1659" s="80"/>
      <c r="D1659" s="80"/>
      <c r="E1659" s="79"/>
      <c r="F1659" s="87" t="str">
        <f>IF($E1659="","",IFERROR(INDEX(基础资料!$O$4:$O$34,MATCH($E1659,基础资料!$N$4:$N$34,0))&amp;"",""))</f>
        <v/>
      </c>
      <c r="G1659" s="87" t="str">
        <f>IF($E1659="","",IFERROR(INDEX(基础资料!$P$4:$P$34,MATCH($E1659,基础资料!$N$4:$N$34,0))&amp;"",""))</f>
        <v/>
      </c>
      <c r="H1659" s="79"/>
      <c r="I1659" s="88"/>
      <c r="J1659" s="92"/>
      <c r="K1659" s="93"/>
      <c r="L1659" s="25" t="str">
        <f t="shared" si="76"/>
        <v/>
      </c>
      <c r="M1659" s="94"/>
      <c r="N1659" s="26" t="str">
        <f t="shared" si="77"/>
        <v/>
      </c>
      <c r="O1659" s="80"/>
      <c r="P1659" s="80"/>
      <c r="Q1659" s="80"/>
      <c r="R1659" s="80"/>
    </row>
    <row r="1660" ht="18" customHeight="1" spans="1:18">
      <c r="A1660" s="87" t="str">
        <f t="shared" si="75"/>
        <v/>
      </c>
      <c r="B1660" s="78"/>
      <c r="C1660" s="80"/>
      <c r="D1660" s="80"/>
      <c r="E1660" s="79"/>
      <c r="F1660" s="87" t="str">
        <f>IF($E1660="","",IFERROR(INDEX(基础资料!$O$4:$O$34,MATCH($E1660,基础资料!$N$4:$N$34,0))&amp;"",""))</f>
        <v/>
      </c>
      <c r="G1660" s="87" t="str">
        <f>IF($E1660="","",IFERROR(INDEX(基础资料!$P$4:$P$34,MATCH($E1660,基础资料!$N$4:$N$34,0))&amp;"",""))</f>
        <v/>
      </c>
      <c r="H1660" s="79"/>
      <c r="I1660" s="88"/>
      <c r="J1660" s="92"/>
      <c r="K1660" s="93"/>
      <c r="L1660" s="25" t="str">
        <f t="shared" si="76"/>
        <v/>
      </c>
      <c r="M1660" s="94"/>
      <c r="N1660" s="26" t="str">
        <f t="shared" si="77"/>
        <v/>
      </c>
      <c r="O1660" s="80"/>
      <c r="P1660" s="80"/>
      <c r="Q1660" s="80"/>
      <c r="R1660" s="80"/>
    </row>
    <row r="1661" ht="18" customHeight="1" spans="1:18">
      <c r="A1661" s="87" t="str">
        <f t="shared" si="75"/>
        <v/>
      </c>
      <c r="B1661" s="78"/>
      <c r="C1661" s="80"/>
      <c r="D1661" s="80"/>
      <c r="E1661" s="79"/>
      <c r="F1661" s="87" t="str">
        <f>IF($E1661="","",IFERROR(INDEX(基础资料!$O$4:$O$34,MATCH($E1661,基础资料!$N$4:$N$34,0))&amp;"",""))</f>
        <v/>
      </c>
      <c r="G1661" s="87" t="str">
        <f>IF($E1661="","",IFERROR(INDEX(基础资料!$P$4:$P$34,MATCH($E1661,基础资料!$N$4:$N$34,0))&amp;"",""))</f>
        <v/>
      </c>
      <c r="H1661" s="79"/>
      <c r="I1661" s="88"/>
      <c r="J1661" s="92"/>
      <c r="K1661" s="93"/>
      <c r="L1661" s="25" t="str">
        <f t="shared" si="76"/>
        <v/>
      </c>
      <c r="M1661" s="94"/>
      <c r="N1661" s="26" t="str">
        <f t="shared" si="77"/>
        <v/>
      </c>
      <c r="O1661" s="80"/>
      <c r="P1661" s="80"/>
      <c r="Q1661" s="80"/>
      <c r="R1661" s="80"/>
    </row>
    <row r="1662" ht="18" customHeight="1" spans="1:18">
      <c r="A1662" s="87" t="str">
        <f t="shared" si="75"/>
        <v/>
      </c>
      <c r="B1662" s="78"/>
      <c r="C1662" s="80"/>
      <c r="D1662" s="80"/>
      <c r="E1662" s="79"/>
      <c r="F1662" s="87" t="str">
        <f>IF($E1662="","",IFERROR(INDEX(基础资料!$O$4:$O$34,MATCH($E1662,基础资料!$N$4:$N$34,0))&amp;"",""))</f>
        <v/>
      </c>
      <c r="G1662" s="87" t="str">
        <f>IF($E1662="","",IFERROR(INDEX(基础资料!$P$4:$P$34,MATCH($E1662,基础资料!$N$4:$N$34,0))&amp;"",""))</f>
        <v/>
      </c>
      <c r="H1662" s="79"/>
      <c r="I1662" s="88"/>
      <c r="J1662" s="92"/>
      <c r="K1662" s="93"/>
      <c r="L1662" s="25" t="str">
        <f t="shared" si="76"/>
        <v/>
      </c>
      <c r="M1662" s="94"/>
      <c r="N1662" s="26" t="str">
        <f t="shared" si="77"/>
        <v/>
      </c>
      <c r="O1662" s="80"/>
      <c r="P1662" s="80"/>
      <c r="Q1662" s="80"/>
      <c r="R1662" s="80"/>
    </row>
    <row r="1663" ht="18" customHeight="1" spans="1:18">
      <c r="A1663" s="87" t="str">
        <f t="shared" si="75"/>
        <v/>
      </c>
      <c r="B1663" s="78"/>
      <c r="C1663" s="80"/>
      <c r="D1663" s="80"/>
      <c r="E1663" s="79"/>
      <c r="F1663" s="87" t="str">
        <f>IF($E1663="","",IFERROR(INDEX(基础资料!$O$4:$O$34,MATCH($E1663,基础资料!$N$4:$N$34,0))&amp;"",""))</f>
        <v/>
      </c>
      <c r="G1663" s="87" t="str">
        <f>IF($E1663="","",IFERROR(INDEX(基础资料!$P$4:$P$34,MATCH($E1663,基础资料!$N$4:$N$34,0))&amp;"",""))</f>
        <v/>
      </c>
      <c r="H1663" s="79"/>
      <c r="I1663" s="88"/>
      <c r="J1663" s="92"/>
      <c r="K1663" s="93"/>
      <c r="L1663" s="25" t="str">
        <f t="shared" si="76"/>
        <v/>
      </c>
      <c r="M1663" s="94"/>
      <c r="N1663" s="26" t="str">
        <f t="shared" si="77"/>
        <v/>
      </c>
      <c r="O1663" s="80"/>
      <c r="P1663" s="80"/>
      <c r="Q1663" s="80"/>
      <c r="R1663" s="80"/>
    </row>
    <row r="1664" ht="18" customHeight="1" spans="1:18">
      <c r="A1664" s="87" t="str">
        <f t="shared" si="75"/>
        <v/>
      </c>
      <c r="B1664" s="78"/>
      <c r="C1664" s="80"/>
      <c r="D1664" s="80"/>
      <c r="E1664" s="79"/>
      <c r="F1664" s="87" t="str">
        <f>IF($E1664="","",IFERROR(INDEX(基础资料!$O$4:$O$34,MATCH($E1664,基础资料!$N$4:$N$34,0))&amp;"",""))</f>
        <v/>
      </c>
      <c r="G1664" s="87" t="str">
        <f>IF($E1664="","",IFERROR(INDEX(基础资料!$P$4:$P$34,MATCH($E1664,基础资料!$N$4:$N$34,0))&amp;"",""))</f>
        <v/>
      </c>
      <c r="H1664" s="79"/>
      <c r="I1664" s="88"/>
      <c r="J1664" s="92"/>
      <c r="K1664" s="93"/>
      <c r="L1664" s="25" t="str">
        <f t="shared" si="76"/>
        <v/>
      </c>
      <c r="M1664" s="94"/>
      <c r="N1664" s="26" t="str">
        <f t="shared" si="77"/>
        <v/>
      </c>
      <c r="O1664" s="80"/>
      <c r="P1664" s="80"/>
      <c r="Q1664" s="80"/>
      <c r="R1664" s="80"/>
    </row>
    <row r="1665" ht="18" customHeight="1" spans="1:18">
      <c r="A1665" s="87" t="str">
        <f t="shared" si="75"/>
        <v/>
      </c>
      <c r="B1665" s="78"/>
      <c r="C1665" s="80"/>
      <c r="D1665" s="80"/>
      <c r="E1665" s="79"/>
      <c r="F1665" s="87" t="str">
        <f>IF($E1665="","",IFERROR(INDEX(基础资料!$O$4:$O$34,MATCH($E1665,基础资料!$N$4:$N$34,0))&amp;"",""))</f>
        <v/>
      </c>
      <c r="G1665" s="87" t="str">
        <f>IF($E1665="","",IFERROR(INDEX(基础资料!$P$4:$P$34,MATCH($E1665,基础资料!$N$4:$N$34,0))&amp;"",""))</f>
        <v/>
      </c>
      <c r="H1665" s="79"/>
      <c r="I1665" s="88"/>
      <c r="J1665" s="92"/>
      <c r="K1665" s="93"/>
      <c r="L1665" s="25" t="str">
        <f t="shared" si="76"/>
        <v/>
      </c>
      <c r="M1665" s="94"/>
      <c r="N1665" s="26" t="str">
        <f t="shared" si="77"/>
        <v/>
      </c>
      <c r="O1665" s="80"/>
      <c r="P1665" s="80"/>
      <c r="Q1665" s="80"/>
      <c r="R1665" s="80"/>
    </row>
    <row r="1666" ht="18" customHeight="1" spans="1:18">
      <c r="A1666" s="87" t="str">
        <f t="shared" si="75"/>
        <v/>
      </c>
      <c r="B1666" s="78"/>
      <c r="C1666" s="80"/>
      <c r="D1666" s="80"/>
      <c r="E1666" s="79"/>
      <c r="F1666" s="87" t="str">
        <f>IF($E1666="","",IFERROR(INDEX(基础资料!$O$4:$O$34,MATCH($E1666,基础资料!$N$4:$N$34,0))&amp;"",""))</f>
        <v/>
      </c>
      <c r="G1666" s="87" t="str">
        <f>IF($E1666="","",IFERROR(INDEX(基础资料!$P$4:$P$34,MATCH($E1666,基础资料!$N$4:$N$34,0))&amp;"",""))</f>
        <v/>
      </c>
      <c r="H1666" s="79"/>
      <c r="I1666" s="88"/>
      <c r="J1666" s="92"/>
      <c r="K1666" s="93"/>
      <c r="L1666" s="25" t="str">
        <f t="shared" si="76"/>
        <v/>
      </c>
      <c r="M1666" s="94"/>
      <c r="N1666" s="26" t="str">
        <f t="shared" si="77"/>
        <v/>
      </c>
      <c r="O1666" s="80"/>
      <c r="P1666" s="80"/>
      <c r="Q1666" s="80"/>
      <c r="R1666" s="80"/>
    </row>
    <row r="1667" ht="18" customHeight="1" spans="1:18">
      <c r="A1667" s="87" t="str">
        <f t="shared" si="75"/>
        <v/>
      </c>
      <c r="B1667" s="78"/>
      <c r="C1667" s="80"/>
      <c r="D1667" s="80"/>
      <c r="E1667" s="79"/>
      <c r="F1667" s="87" t="str">
        <f>IF($E1667="","",IFERROR(INDEX(基础资料!$O$4:$O$34,MATCH($E1667,基础资料!$N$4:$N$34,0))&amp;"",""))</f>
        <v/>
      </c>
      <c r="G1667" s="87" t="str">
        <f>IF($E1667="","",IFERROR(INDEX(基础资料!$P$4:$P$34,MATCH($E1667,基础资料!$N$4:$N$34,0))&amp;"",""))</f>
        <v/>
      </c>
      <c r="H1667" s="79"/>
      <c r="I1667" s="88"/>
      <c r="J1667" s="92"/>
      <c r="K1667" s="93"/>
      <c r="L1667" s="25" t="str">
        <f t="shared" si="76"/>
        <v/>
      </c>
      <c r="M1667" s="94"/>
      <c r="N1667" s="26" t="str">
        <f t="shared" si="77"/>
        <v/>
      </c>
      <c r="O1667" s="80"/>
      <c r="P1667" s="80"/>
      <c r="Q1667" s="80"/>
      <c r="R1667" s="80"/>
    </row>
    <row r="1668" ht="18" customHeight="1" spans="1:18">
      <c r="A1668" s="87" t="str">
        <f t="shared" ref="A1668:A1731" si="78">IF($E1668="","",ROW()-3)</f>
        <v/>
      </c>
      <c r="B1668" s="78"/>
      <c r="C1668" s="80"/>
      <c r="D1668" s="80"/>
      <c r="E1668" s="79"/>
      <c r="F1668" s="87" t="str">
        <f>IF($E1668="","",IFERROR(INDEX(基础资料!$O$4:$O$34,MATCH($E1668,基础资料!$N$4:$N$34,0))&amp;"",""))</f>
        <v/>
      </c>
      <c r="G1668" s="87" t="str">
        <f>IF($E1668="","",IFERROR(INDEX(基础资料!$P$4:$P$34,MATCH($E1668,基础资料!$N$4:$N$34,0))&amp;"",""))</f>
        <v/>
      </c>
      <c r="H1668" s="79"/>
      <c r="I1668" s="88"/>
      <c r="J1668" s="92"/>
      <c r="K1668" s="93"/>
      <c r="L1668" s="25" t="str">
        <f t="shared" ref="L1668:L1731" si="79">IF($E1668="","",N($I1668)+N($J1668)-N($K1668))</f>
        <v/>
      </c>
      <c r="M1668" s="94"/>
      <c r="N1668" s="26" t="str">
        <f t="shared" ref="N1668:N1731" si="80">IF($E1668="","",ROUND(N($L1668)*N($M1668),2))</f>
        <v/>
      </c>
      <c r="O1668" s="80"/>
      <c r="P1668" s="80"/>
      <c r="Q1668" s="80"/>
      <c r="R1668" s="80"/>
    </row>
    <row r="1669" ht="18" customHeight="1" spans="1:18">
      <c r="A1669" s="87" t="str">
        <f t="shared" si="78"/>
        <v/>
      </c>
      <c r="B1669" s="78"/>
      <c r="C1669" s="80"/>
      <c r="D1669" s="80"/>
      <c r="E1669" s="79"/>
      <c r="F1669" s="87" t="str">
        <f>IF($E1669="","",IFERROR(INDEX(基础资料!$O$4:$O$34,MATCH($E1669,基础资料!$N$4:$N$34,0))&amp;"",""))</f>
        <v/>
      </c>
      <c r="G1669" s="87" t="str">
        <f>IF($E1669="","",IFERROR(INDEX(基础资料!$P$4:$P$34,MATCH($E1669,基础资料!$N$4:$N$34,0))&amp;"",""))</f>
        <v/>
      </c>
      <c r="H1669" s="79"/>
      <c r="I1669" s="88"/>
      <c r="J1669" s="92"/>
      <c r="K1669" s="93"/>
      <c r="L1669" s="25" t="str">
        <f t="shared" si="79"/>
        <v/>
      </c>
      <c r="M1669" s="94"/>
      <c r="N1669" s="26" t="str">
        <f t="shared" si="80"/>
        <v/>
      </c>
      <c r="O1669" s="80"/>
      <c r="P1669" s="80"/>
      <c r="Q1669" s="80"/>
      <c r="R1669" s="80"/>
    </row>
    <row r="1670" ht="18" customHeight="1" spans="1:18">
      <c r="A1670" s="87" t="str">
        <f t="shared" si="78"/>
        <v/>
      </c>
      <c r="B1670" s="78"/>
      <c r="C1670" s="80"/>
      <c r="D1670" s="80"/>
      <c r="E1670" s="79"/>
      <c r="F1670" s="87" t="str">
        <f>IF($E1670="","",IFERROR(INDEX(基础资料!$O$4:$O$34,MATCH($E1670,基础资料!$N$4:$N$34,0))&amp;"",""))</f>
        <v/>
      </c>
      <c r="G1670" s="87" t="str">
        <f>IF($E1670="","",IFERROR(INDEX(基础资料!$P$4:$P$34,MATCH($E1670,基础资料!$N$4:$N$34,0))&amp;"",""))</f>
        <v/>
      </c>
      <c r="H1670" s="79"/>
      <c r="I1670" s="88"/>
      <c r="J1670" s="92"/>
      <c r="K1670" s="93"/>
      <c r="L1670" s="25" t="str">
        <f t="shared" si="79"/>
        <v/>
      </c>
      <c r="M1670" s="94"/>
      <c r="N1670" s="26" t="str">
        <f t="shared" si="80"/>
        <v/>
      </c>
      <c r="O1670" s="80"/>
      <c r="P1670" s="80"/>
      <c r="Q1670" s="80"/>
      <c r="R1670" s="80"/>
    </row>
    <row r="1671" ht="18" customHeight="1" spans="1:18">
      <c r="A1671" s="87" t="str">
        <f t="shared" si="78"/>
        <v/>
      </c>
      <c r="B1671" s="78"/>
      <c r="C1671" s="80"/>
      <c r="D1671" s="80"/>
      <c r="E1671" s="79"/>
      <c r="F1671" s="87" t="str">
        <f>IF($E1671="","",IFERROR(INDEX(基础资料!$O$4:$O$34,MATCH($E1671,基础资料!$N$4:$N$34,0))&amp;"",""))</f>
        <v/>
      </c>
      <c r="G1671" s="87" t="str">
        <f>IF($E1671="","",IFERROR(INDEX(基础资料!$P$4:$P$34,MATCH($E1671,基础资料!$N$4:$N$34,0))&amp;"",""))</f>
        <v/>
      </c>
      <c r="H1671" s="79"/>
      <c r="I1671" s="88"/>
      <c r="J1671" s="92"/>
      <c r="K1671" s="93"/>
      <c r="L1671" s="25" t="str">
        <f t="shared" si="79"/>
        <v/>
      </c>
      <c r="M1671" s="94"/>
      <c r="N1671" s="26" t="str">
        <f t="shared" si="80"/>
        <v/>
      </c>
      <c r="O1671" s="80"/>
      <c r="P1671" s="80"/>
      <c r="Q1671" s="80"/>
      <c r="R1671" s="80"/>
    </row>
    <row r="1672" ht="18" customHeight="1" spans="1:18">
      <c r="A1672" s="87" t="str">
        <f t="shared" si="78"/>
        <v/>
      </c>
      <c r="B1672" s="78"/>
      <c r="C1672" s="80"/>
      <c r="D1672" s="80"/>
      <c r="E1672" s="79"/>
      <c r="F1672" s="87" t="str">
        <f>IF($E1672="","",IFERROR(INDEX(基础资料!$O$4:$O$34,MATCH($E1672,基础资料!$N$4:$N$34,0))&amp;"",""))</f>
        <v/>
      </c>
      <c r="G1672" s="87" t="str">
        <f>IF($E1672="","",IFERROR(INDEX(基础资料!$P$4:$P$34,MATCH($E1672,基础资料!$N$4:$N$34,0))&amp;"",""))</f>
        <v/>
      </c>
      <c r="H1672" s="79"/>
      <c r="I1672" s="88"/>
      <c r="J1672" s="92"/>
      <c r="K1672" s="93"/>
      <c r="L1672" s="25" t="str">
        <f t="shared" si="79"/>
        <v/>
      </c>
      <c r="M1672" s="94"/>
      <c r="N1672" s="26" t="str">
        <f t="shared" si="80"/>
        <v/>
      </c>
      <c r="O1672" s="80"/>
      <c r="P1672" s="80"/>
      <c r="Q1672" s="80"/>
      <c r="R1672" s="80"/>
    </row>
    <row r="1673" ht="18" customHeight="1" spans="1:18">
      <c r="A1673" s="87" t="str">
        <f t="shared" si="78"/>
        <v/>
      </c>
      <c r="B1673" s="78"/>
      <c r="C1673" s="80"/>
      <c r="D1673" s="80"/>
      <c r="E1673" s="79"/>
      <c r="F1673" s="87" t="str">
        <f>IF($E1673="","",IFERROR(INDEX(基础资料!$O$4:$O$34,MATCH($E1673,基础资料!$N$4:$N$34,0))&amp;"",""))</f>
        <v/>
      </c>
      <c r="G1673" s="87" t="str">
        <f>IF($E1673="","",IFERROR(INDEX(基础资料!$P$4:$P$34,MATCH($E1673,基础资料!$N$4:$N$34,0))&amp;"",""))</f>
        <v/>
      </c>
      <c r="H1673" s="79"/>
      <c r="I1673" s="88"/>
      <c r="J1673" s="92"/>
      <c r="K1673" s="93"/>
      <c r="L1673" s="25" t="str">
        <f t="shared" si="79"/>
        <v/>
      </c>
      <c r="M1673" s="94"/>
      <c r="N1673" s="26" t="str">
        <f t="shared" si="80"/>
        <v/>
      </c>
      <c r="O1673" s="80"/>
      <c r="P1673" s="80"/>
      <c r="Q1673" s="80"/>
      <c r="R1673" s="80"/>
    </row>
    <row r="1674" ht="18" customHeight="1" spans="1:18">
      <c r="A1674" s="87" t="str">
        <f t="shared" si="78"/>
        <v/>
      </c>
      <c r="B1674" s="78"/>
      <c r="C1674" s="80"/>
      <c r="D1674" s="80"/>
      <c r="E1674" s="79"/>
      <c r="F1674" s="87" t="str">
        <f>IF($E1674="","",IFERROR(INDEX(基础资料!$O$4:$O$34,MATCH($E1674,基础资料!$N$4:$N$34,0))&amp;"",""))</f>
        <v/>
      </c>
      <c r="G1674" s="87" t="str">
        <f>IF($E1674="","",IFERROR(INDEX(基础资料!$P$4:$P$34,MATCH($E1674,基础资料!$N$4:$N$34,0))&amp;"",""))</f>
        <v/>
      </c>
      <c r="H1674" s="79"/>
      <c r="I1674" s="88"/>
      <c r="J1674" s="92"/>
      <c r="K1674" s="93"/>
      <c r="L1674" s="25" t="str">
        <f t="shared" si="79"/>
        <v/>
      </c>
      <c r="M1674" s="94"/>
      <c r="N1674" s="26" t="str">
        <f t="shared" si="80"/>
        <v/>
      </c>
      <c r="O1674" s="80"/>
      <c r="P1674" s="80"/>
      <c r="Q1674" s="80"/>
      <c r="R1674" s="80"/>
    </row>
    <row r="1675" ht="18" customHeight="1" spans="1:18">
      <c r="A1675" s="87" t="str">
        <f t="shared" si="78"/>
        <v/>
      </c>
      <c r="B1675" s="78"/>
      <c r="C1675" s="80"/>
      <c r="D1675" s="80"/>
      <c r="E1675" s="79"/>
      <c r="F1675" s="87" t="str">
        <f>IF($E1675="","",IFERROR(INDEX(基础资料!$O$4:$O$34,MATCH($E1675,基础资料!$N$4:$N$34,0))&amp;"",""))</f>
        <v/>
      </c>
      <c r="G1675" s="87" t="str">
        <f>IF($E1675="","",IFERROR(INDEX(基础资料!$P$4:$P$34,MATCH($E1675,基础资料!$N$4:$N$34,0))&amp;"",""))</f>
        <v/>
      </c>
      <c r="H1675" s="79"/>
      <c r="I1675" s="88"/>
      <c r="J1675" s="92"/>
      <c r="K1675" s="93"/>
      <c r="L1675" s="25" t="str">
        <f t="shared" si="79"/>
        <v/>
      </c>
      <c r="M1675" s="94"/>
      <c r="N1675" s="26" t="str">
        <f t="shared" si="80"/>
        <v/>
      </c>
      <c r="O1675" s="80"/>
      <c r="P1675" s="80"/>
      <c r="Q1675" s="80"/>
      <c r="R1675" s="80"/>
    </row>
    <row r="1676" ht="18" customHeight="1" spans="1:18">
      <c r="A1676" s="87" t="str">
        <f t="shared" si="78"/>
        <v/>
      </c>
      <c r="B1676" s="78"/>
      <c r="C1676" s="80"/>
      <c r="D1676" s="80"/>
      <c r="E1676" s="79"/>
      <c r="F1676" s="87" t="str">
        <f>IF($E1676="","",IFERROR(INDEX(基础资料!$O$4:$O$34,MATCH($E1676,基础资料!$N$4:$N$34,0))&amp;"",""))</f>
        <v/>
      </c>
      <c r="G1676" s="87" t="str">
        <f>IF($E1676="","",IFERROR(INDEX(基础资料!$P$4:$P$34,MATCH($E1676,基础资料!$N$4:$N$34,0))&amp;"",""))</f>
        <v/>
      </c>
      <c r="H1676" s="79"/>
      <c r="I1676" s="88"/>
      <c r="J1676" s="92"/>
      <c r="K1676" s="93"/>
      <c r="L1676" s="25" t="str">
        <f t="shared" si="79"/>
        <v/>
      </c>
      <c r="M1676" s="94"/>
      <c r="N1676" s="26" t="str">
        <f t="shared" si="80"/>
        <v/>
      </c>
      <c r="O1676" s="80"/>
      <c r="P1676" s="80"/>
      <c r="Q1676" s="80"/>
      <c r="R1676" s="80"/>
    </row>
    <row r="1677" ht="18" customHeight="1" spans="1:18">
      <c r="A1677" s="87" t="str">
        <f t="shared" si="78"/>
        <v/>
      </c>
      <c r="B1677" s="78"/>
      <c r="C1677" s="80"/>
      <c r="D1677" s="80"/>
      <c r="E1677" s="79"/>
      <c r="F1677" s="87" t="str">
        <f>IF($E1677="","",IFERROR(INDEX(基础资料!$O$4:$O$34,MATCH($E1677,基础资料!$N$4:$N$34,0))&amp;"",""))</f>
        <v/>
      </c>
      <c r="G1677" s="87" t="str">
        <f>IF($E1677="","",IFERROR(INDEX(基础资料!$P$4:$P$34,MATCH($E1677,基础资料!$N$4:$N$34,0))&amp;"",""))</f>
        <v/>
      </c>
      <c r="H1677" s="79"/>
      <c r="I1677" s="88"/>
      <c r="J1677" s="92"/>
      <c r="K1677" s="93"/>
      <c r="L1677" s="25" t="str">
        <f t="shared" si="79"/>
        <v/>
      </c>
      <c r="M1677" s="94"/>
      <c r="N1677" s="26" t="str">
        <f t="shared" si="80"/>
        <v/>
      </c>
      <c r="O1677" s="80"/>
      <c r="P1677" s="80"/>
      <c r="Q1677" s="80"/>
      <c r="R1677" s="80"/>
    </row>
    <row r="1678" ht="18" customHeight="1" spans="1:18">
      <c r="A1678" s="87" t="str">
        <f t="shared" si="78"/>
        <v/>
      </c>
      <c r="B1678" s="78"/>
      <c r="C1678" s="80"/>
      <c r="D1678" s="80"/>
      <c r="E1678" s="79"/>
      <c r="F1678" s="87" t="str">
        <f>IF($E1678="","",IFERROR(INDEX(基础资料!$O$4:$O$34,MATCH($E1678,基础资料!$N$4:$N$34,0))&amp;"",""))</f>
        <v/>
      </c>
      <c r="G1678" s="87" t="str">
        <f>IF($E1678="","",IFERROR(INDEX(基础资料!$P$4:$P$34,MATCH($E1678,基础资料!$N$4:$N$34,0))&amp;"",""))</f>
        <v/>
      </c>
      <c r="H1678" s="79"/>
      <c r="I1678" s="88"/>
      <c r="J1678" s="92"/>
      <c r="K1678" s="93"/>
      <c r="L1678" s="25" t="str">
        <f t="shared" si="79"/>
        <v/>
      </c>
      <c r="M1678" s="94"/>
      <c r="N1678" s="26" t="str">
        <f t="shared" si="80"/>
        <v/>
      </c>
      <c r="O1678" s="80"/>
      <c r="P1678" s="80"/>
      <c r="Q1678" s="80"/>
      <c r="R1678" s="80"/>
    </row>
    <row r="1679" ht="18" customHeight="1" spans="1:18">
      <c r="A1679" s="87" t="str">
        <f t="shared" si="78"/>
        <v/>
      </c>
      <c r="B1679" s="78"/>
      <c r="C1679" s="80"/>
      <c r="D1679" s="80"/>
      <c r="E1679" s="79"/>
      <c r="F1679" s="87" t="str">
        <f>IF($E1679="","",IFERROR(INDEX(基础资料!$O$4:$O$34,MATCH($E1679,基础资料!$N$4:$N$34,0))&amp;"",""))</f>
        <v/>
      </c>
      <c r="G1679" s="87" t="str">
        <f>IF($E1679="","",IFERROR(INDEX(基础资料!$P$4:$P$34,MATCH($E1679,基础资料!$N$4:$N$34,0))&amp;"",""))</f>
        <v/>
      </c>
      <c r="H1679" s="79"/>
      <c r="I1679" s="88"/>
      <c r="J1679" s="92"/>
      <c r="K1679" s="93"/>
      <c r="L1679" s="25" t="str">
        <f t="shared" si="79"/>
        <v/>
      </c>
      <c r="M1679" s="94"/>
      <c r="N1679" s="26" t="str">
        <f t="shared" si="80"/>
        <v/>
      </c>
      <c r="O1679" s="80"/>
      <c r="P1679" s="80"/>
      <c r="Q1679" s="80"/>
      <c r="R1679" s="80"/>
    </row>
    <row r="1680" ht="18" customHeight="1" spans="1:18">
      <c r="A1680" s="87" t="str">
        <f t="shared" si="78"/>
        <v/>
      </c>
      <c r="B1680" s="78"/>
      <c r="C1680" s="80"/>
      <c r="D1680" s="80"/>
      <c r="E1680" s="79"/>
      <c r="F1680" s="87" t="str">
        <f>IF($E1680="","",IFERROR(INDEX(基础资料!$O$4:$O$34,MATCH($E1680,基础资料!$N$4:$N$34,0))&amp;"",""))</f>
        <v/>
      </c>
      <c r="G1680" s="87" t="str">
        <f>IF($E1680="","",IFERROR(INDEX(基础资料!$P$4:$P$34,MATCH($E1680,基础资料!$N$4:$N$34,0))&amp;"",""))</f>
        <v/>
      </c>
      <c r="H1680" s="79"/>
      <c r="I1680" s="88"/>
      <c r="J1680" s="92"/>
      <c r="K1680" s="93"/>
      <c r="L1680" s="25" t="str">
        <f t="shared" si="79"/>
        <v/>
      </c>
      <c r="M1680" s="94"/>
      <c r="N1680" s="26" t="str">
        <f t="shared" si="80"/>
        <v/>
      </c>
      <c r="O1680" s="80"/>
      <c r="P1680" s="80"/>
      <c r="Q1680" s="80"/>
      <c r="R1680" s="80"/>
    </row>
    <row r="1681" ht="18" customHeight="1" spans="1:18">
      <c r="A1681" s="87" t="str">
        <f t="shared" si="78"/>
        <v/>
      </c>
      <c r="B1681" s="78"/>
      <c r="C1681" s="80"/>
      <c r="D1681" s="80"/>
      <c r="E1681" s="79"/>
      <c r="F1681" s="87" t="str">
        <f>IF($E1681="","",IFERROR(INDEX(基础资料!$O$4:$O$34,MATCH($E1681,基础资料!$N$4:$N$34,0))&amp;"",""))</f>
        <v/>
      </c>
      <c r="G1681" s="87" t="str">
        <f>IF($E1681="","",IFERROR(INDEX(基础资料!$P$4:$P$34,MATCH($E1681,基础资料!$N$4:$N$34,0))&amp;"",""))</f>
        <v/>
      </c>
      <c r="H1681" s="79"/>
      <c r="I1681" s="88"/>
      <c r="J1681" s="92"/>
      <c r="K1681" s="93"/>
      <c r="L1681" s="25" t="str">
        <f t="shared" si="79"/>
        <v/>
      </c>
      <c r="M1681" s="94"/>
      <c r="N1681" s="26" t="str">
        <f t="shared" si="80"/>
        <v/>
      </c>
      <c r="O1681" s="80"/>
      <c r="P1681" s="80"/>
      <c r="Q1681" s="80"/>
      <c r="R1681" s="80"/>
    </row>
    <row r="1682" ht="18" customHeight="1" spans="1:18">
      <c r="A1682" s="87" t="str">
        <f t="shared" si="78"/>
        <v/>
      </c>
      <c r="B1682" s="78"/>
      <c r="C1682" s="80"/>
      <c r="D1682" s="80"/>
      <c r="E1682" s="79"/>
      <c r="F1682" s="87" t="str">
        <f>IF($E1682="","",IFERROR(INDEX(基础资料!$O$4:$O$34,MATCH($E1682,基础资料!$N$4:$N$34,0))&amp;"",""))</f>
        <v/>
      </c>
      <c r="G1682" s="87" t="str">
        <f>IF($E1682="","",IFERROR(INDEX(基础资料!$P$4:$P$34,MATCH($E1682,基础资料!$N$4:$N$34,0))&amp;"",""))</f>
        <v/>
      </c>
      <c r="H1682" s="79"/>
      <c r="I1682" s="88"/>
      <c r="J1682" s="92"/>
      <c r="K1682" s="93"/>
      <c r="L1682" s="25" t="str">
        <f t="shared" si="79"/>
        <v/>
      </c>
      <c r="M1682" s="94"/>
      <c r="N1682" s="26" t="str">
        <f t="shared" si="80"/>
        <v/>
      </c>
      <c r="O1682" s="80"/>
      <c r="P1682" s="80"/>
      <c r="Q1682" s="80"/>
      <c r="R1682" s="80"/>
    </row>
    <row r="1683" ht="18" customHeight="1" spans="1:18">
      <c r="A1683" s="87" t="str">
        <f t="shared" si="78"/>
        <v/>
      </c>
      <c r="B1683" s="78"/>
      <c r="C1683" s="80"/>
      <c r="D1683" s="80"/>
      <c r="E1683" s="79"/>
      <c r="F1683" s="87" t="str">
        <f>IF($E1683="","",IFERROR(INDEX(基础资料!$O$4:$O$34,MATCH($E1683,基础资料!$N$4:$N$34,0))&amp;"",""))</f>
        <v/>
      </c>
      <c r="G1683" s="87" t="str">
        <f>IF($E1683="","",IFERROR(INDEX(基础资料!$P$4:$P$34,MATCH($E1683,基础资料!$N$4:$N$34,0))&amp;"",""))</f>
        <v/>
      </c>
      <c r="H1683" s="79"/>
      <c r="I1683" s="88"/>
      <c r="J1683" s="92"/>
      <c r="K1683" s="93"/>
      <c r="L1683" s="25" t="str">
        <f t="shared" si="79"/>
        <v/>
      </c>
      <c r="M1683" s="94"/>
      <c r="N1683" s="26" t="str">
        <f t="shared" si="80"/>
        <v/>
      </c>
      <c r="O1683" s="80"/>
      <c r="P1683" s="80"/>
      <c r="Q1683" s="80"/>
      <c r="R1683" s="80"/>
    </row>
    <row r="1684" ht="18" customHeight="1" spans="1:18">
      <c r="A1684" s="87" t="str">
        <f t="shared" si="78"/>
        <v/>
      </c>
      <c r="B1684" s="78"/>
      <c r="C1684" s="80"/>
      <c r="D1684" s="80"/>
      <c r="E1684" s="79"/>
      <c r="F1684" s="87" t="str">
        <f>IF($E1684="","",IFERROR(INDEX(基础资料!$O$4:$O$34,MATCH($E1684,基础资料!$N$4:$N$34,0))&amp;"",""))</f>
        <v/>
      </c>
      <c r="G1684" s="87" t="str">
        <f>IF($E1684="","",IFERROR(INDEX(基础资料!$P$4:$P$34,MATCH($E1684,基础资料!$N$4:$N$34,0))&amp;"",""))</f>
        <v/>
      </c>
      <c r="H1684" s="79"/>
      <c r="I1684" s="88"/>
      <c r="J1684" s="92"/>
      <c r="K1684" s="93"/>
      <c r="L1684" s="25" t="str">
        <f t="shared" si="79"/>
        <v/>
      </c>
      <c r="M1684" s="94"/>
      <c r="N1684" s="26" t="str">
        <f t="shared" si="80"/>
        <v/>
      </c>
      <c r="O1684" s="80"/>
      <c r="P1684" s="80"/>
      <c r="Q1684" s="80"/>
      <c r="R1684" s="80"/>
    </row>
    <row r="1685" ht="18" customHeight="1" spans="1:18">
      <c r="A1685" s="87" t="str">
        <f t="shared" si="78"/>
        <v/>
      </c>
      <c r="B1685" s="78"/>
      <c r="C1685" s="80"/>
      <c r="D1685" s="80"/>
      <c r="E1685" s="79"/>
      <c r="F1685" s="87" t="str">
        <f>IF($E1685="","",IFERROR(INDEX(基础资料!$O$4:$O$34,MATCH($E1685,基础资料!$N$4:$N$34,0))&amp;"",""))</f>
        <v/>
      </c>
      <c r="G1685" s="87" t="str">
        <f>IF($E1685="","",IFERROR(INDEX(基础资料!$P$4:$P$34,MATCH($E1685,基础资料!$N$4:$N$34,0))&amp;"",""))</f>
        <v/>
      </c>
      <c r="H1685" s="79"/>
      <c r="I1685" s="88"/>
      <c r="J1685" s="92"/>
      <c r="K1685" s="93"/>
      <c r="L1685" s="25" t="str">
        <f t="shared" si="79"/>
        <v/>
      </c>
      <c r="M1685" s="94"/>
      <c r="N1685" s="26" t="str">
        <f t="shared" si="80"/>
        <v/>
      </c>
      <c r="O1685" s="80"/>
      <c r="P1685" s="80"/>
      <c r="Q1685" s="80"/>
      <c r="R1685" s="80"/>
    </row>
    <row r="1686" ht="18" customHeight="1" spans="1:18">
      <c r="A1686" s="87" t="str">
        <f t="shared" si="78"/>
        <v/>
      </c>
      <c r="B1686" s="78"/>
      <c r="C1686" s="80"/>
      <c r="D1686" s="80"/>
      <c r="E1686" s="79"/>
      <c r="F1686" s="87" t="str">
        <f>IF($E1686="","",IFERROR(INDEX(基础资料!$O$4:$O$34,MATCH($E1686,基础资料!$N$4:$N$34,0))&amp;"",""))</f>
        <v/>
      </c>
      <c r="G1686" s="87" t="str">
        <f>IF($E1686="","",IFERROR(INDEX(基础资料!$P$4:$P$34,MATCH($E1686,基础资料!$N$4:$N$34,0))&amp;"",""))</f>
        <v/>
      </c>
      <c r="H1686" s="79"/>
      <c r="I1686" s="88"/>
      <c r="J1686" s="92"/>
      <c r="K1686" s="93"/>
      <c r="L1686" s="25" t="str">
        <f t="shared" si="79"/>
        <v/>
      </c>
      <c r="M1686" s="94"/>
      <c r="N1686" s="26" t="str">
        <f t="shared" si="80"/>
        <v/>
      </c>
      <c r="O1686" s="80"/>
      <c r="P1686" s="80"/>
      <c r="Q1686" s="80"/>
      <c r="R1686" s="80"/>
    </row>
    <row r="1687" ht="18" customHeight="1" spans="1:18">
      <c r="A1687" s="87" t="str">
        <f t="shared" si="78"/>
        <v/>
      </c>
      <c r="B1687" s="78"/>
      <c r="C1687" s="80"/>
      <c r="D1687" s="80"/>
      <c r="E1687" s="79"/>
      <c r="F1687" s="87" t="str">
        <f>IF($E1687="","",IFERROR(INDEX(基础资料!$O$4:$O$34,MATCH($E1687,基础资料!$N$4:$N$34,0))&amp;"",""))</f>
        <v/>
      </c>
      <c r="G1687" s="87" t="str">
        <f>IF($E1687="","",IFERROR(INDEX(基础资料!$P$4:$P$34,MATCH($E1687,基础资料!$N$4:$N$34,0))&amp;"",""))</f>
        <v/>
      </c>
      <c r="H1687" s="79"/>
      <c r="I1687" s="88"/>
      <c r="J1687" s="92"/>
      <c r="K1687" s="93"/>
      <c r="L1687" s="25" t="str">
        <f t="shared" si="79"/>
        <v/>
      </c>
      <c r="M1687" s="94"/>
      <c r="N1687" s="26" t="str">
        <f t="shared" si="80"/>
        <v/>
      </c>
      <c r="O1687" s="80"/>
      <c r="P1687" s="80"/>
      <c r="Q1687" s="80"/>
      <c r="R1687" s="80"/>
    </row>
    <row r="1688" ht="18" customHeight="1" spans="1:18">
      <c r="A1688" s="87" t="str">
        <f t="shared" si="78"/>
        <v/>
      </c>
      <c r="B1688" s="78"/>
      <c r="C1688" s="80"/>
      <c r="D1688" s="80"/>
      <c r="E1688" s="79"/>
      <c r="F1688" s="87" t="str">
        <f>IF($E1688="","",IFERROR(INDEX(基础资料!$O$4:$O$34,MATCH($E1688,基础资料!$N$4:$N$34,0))&amp;"",""))</f>
        <v/>
      </c>
      <c r="G1688" s="87" t="str">
        <f>IF($E1688="","",IFERROR(INDEX(基础资料!$P$4:$P$34,MATCH($E1688,基础资料!$N$4:$N$34,0))&amp;"",""))</f>
        <v/>
      </c>
      <c r="H1688" s="79"/>
      <c r="I1688" s="88"/>
      <c r="J1688" s="92"/>
      <c r="K1688" s="93"/>
      <c r="L1688" s="25" t="str">
        <f t="shared" si="79"/>
        <v/>
      </c>
      <c r="M1688" s="94"/>
      <c r="N1688" s="26" t="str">
        <f t="shared" si="80"/>
        <v/>
      </c>
      <c r="O1688" s="80"/>
      <c r="P1688" s="80"/>
      <c r="Q1688" s="80"/>
      <c r="R1688" s="80"/>
    </row>
    <row r="1689" ht="18" customHeight="1" spans="1:18">
      <c r="A1689" s="87" t="str">
        <f t="shared" si="78"/>
        <v/>
      </c>
      <c r="B1689" s="78"/>
      <c r="C1689" s="80"/>
      <c r="D1689" s="80"/>
      <c r="E1689" s="79"/>
      <c r="F1689" s="87" t="str">
        <f>IF($E1689="","",IFERROR(INDEX(基础资料!$O$4:$O$34,MATCH($E1689,基础资料!$N$4:$N$34,0))&amp;"",""))</f>
        <v/>
      </c>
      <c r="G1689" s="87" t="str">
        <f>IF($E1689="","",IFERROR(INDEX(基础资料!$P$4:$P$34,MATCH($E1689,基础资料!$N$4:$N$34,0))&amp;"",""))</f>
        <v/>
      </c>
      <c r="H1689" s="79"/>
      <c r="I1689" s="88"/>
      <c r="J1689" s="92"/>
      <c r="K1689" s="93"/>
      <c r="L1689" s="25" t="str">
        <f t="shared" si="79"/>
        <v/>
      </c>
      <c r="M1689" s="94"/>
      <c r="N1689" s="26" t="str">
        <f t="shared" si="80"/>
        <v/>
      </c>
      <c r="O1689" s="80"/>
      <c r="P1689" s="80"/>
      <c r="Q1689" s="80"/>
      <c r="R1689" s="80"/>
    </row>
    <row r="1690" ht="18" customHeight="1" spans="1:18">
      <c r="A1690" s="87" t="str">
        <f t="shared" si="78"/>
        <v/>
      </c>
      <c r="B1690" s="78"/>
      <c r="C1690" s="80"/>
      <c r="D1690" s="80"/>
      <c r="E1690" s="79"/>
      <c r="F1690" s="87" t="str">
        <f>IF($E1690="","",IFERROR(INDEX(基础资料!$O$4:$O$34,MATCH($E1690,基础资料!$N$4:$N$34,0))&amp;"",""))</f>
        <v/>
      </c>
      <c r="G1690" s="87" t="str">
        <f>IF($E1690="","",IFERROR(INDEX(基础资料!$P$4:$P$34,MATCH($E1690,基础资料!$N$4:$N$34,0))&amp;"",""))</f>
        <v/>
      </c>
      <c r="H1690" s="79"/>
      <c r="I1690" s="88"/>
      <c r="J1690" s="92"/>
      <c r="K1690" s="93"/>
      <c r="L1690" s="25" t="str">
        <f t="shared" si="79"/>
        <v/>
      </c>
      <c r="M1690" s="94"/>
      <c r="N1690" s="26" t="str">
        <f t="shared" si="80"/>
        <v/>
      </c>
      <c r="O1690" s="80"/>
      <c r="P1690" s="80"/>
      <c r="Q1690" s="80"/>
      <c r="R1690" s="80"/>
    </row>
    <row r="1691" ht="18" customHeight="1" spans="1:18">
      <c r="A1691" s="87" t="str">
        <f t="shared" si="78"/>
        <v/>
      </c>
      <c r="B1691" s="78"/>
      <c r="C1691" s="80"/>
      <c r="D1691" s="80"/>
      <c r="E1691" s="79"/>
      <c r="F1691" s="87" t="str">
        <f>IF($E1691="","",IFERROR(INDEX(基础资料!$O$4:$O$34,MATCH($E1691,基础资料!$N$4:$N$34,0))&amp;"",""))</f>
        <v/>
      </c>
      <c r="G1691" s="87" t="str">
        <f>IF($E1691="","",IFERROR(INDEX(基础资料!$P$4:$P$34,MATCH($E1691,基础资料!$N$4:$N$34,0))&amp;"",""))</f>
        <v/>
      </c>
      <c r="H1691" s="79"/>
      <c r="I1691" s="88"/>
      <c r="J1691" s="92"/>
      <c r="K1691" s="93"/>
      <c r="L1691" s="25" t="str">
        <f t="shared" si="79"/>
        <v/>
      </c>
      <c r="M1691" s="94"/>
      <c r="N1691" s="26" t="str">
        <f t="shared" si="80"/>
        <v/>
      </c>
      <c r="O1691" s="80"/>
      <c r="P1691" s="80"/>
      <c r="Q1691" s="80"/>
      <c r="R1691" s="80"/>
    </row>
    <row r="1692" ht="18" customHeight="1" spans="1:18">
      <c r="A1692" s="87" t="str">
        <f t="shared" si="78"/>
        <v/>
      </c>
      <c r="B1692" s="78"/>
      <c r="C1692" s="80"/>
      <c r="D1692" s="80"/>
      <c r="E1692" s="79"/>
      <c r="F1692" s="87" t="str">
        <f>IF($E1692="","",IFERROR(INDEX(基础资料!$O$4:$O$34,MATCH($E1692,基础资料!$N$4:$N$34,0))&amp;"",""))</f>
        <v/>
      </c>
      <c r="G1692" s="87" t="str">
        <f>IF($E1692="","",IFERROR(INDEX(基础资料!$P$4:$P$34,MATCH($E1692,基础资料!$N$4:$N$34,0))&amp;"",""))</f>
        <v/>
      </c>
      <c r="H1692" s="79"/>
      <c r="I1692" s="88"/>
      <c r="J1692" s="92"/>
      <c r="K1692" s="93"/>
      <c r="L1692" s="25" t="str">
        <f t="shared" si="79"/>
        <v/>
      </c>
      <c r="M1692" s="94"/>
      <c r="N1692" s="26" t="str">
        <f t="shared" si="80"/>
        <v/>
      </c>
      <c r="O1692" s="80"/>
      <c r="P1692" s="80"/>
      <c r="Q1692" s="80"/>
      <c r="R1692" s="80"/>
    </row>
    <row r="1693" ht="18" customHeight="1" spans="1:18">
      <c r="A1693" s="87" t="str">
        <f t="shared" si="78"/>
        <v/>
      </c>
      <c r="B1693" s="78"/>
      <c r="C1693" s="80"/>
      <c r="D1693" s="80"/>
      <c r="E1693" s="79"/>
      <c r="F1693" s="87" t="str">
        <f>IF($E1693="","",IFERROR(INDEX(基础资料!$O$4:$O$34,MATCH($E1693,基础资料!$N$4:$N$34,0))&amp;"",""))</f>
        <v/>
      </c>
      <c r="G1693" s="87" t="str">
        <f>IF($E1693="","",IFERROR(INDEX(基础资料!$P$4:$P$34,MATCH($E1693,基础资料!$N$4:$N$34,0))&amp;"",""))</f>
        <v/>
      </c>
      <c r="H1693" s="79"/>
      <c r="I1693" s="88"/>
      <c r="J1693" s="92"/>
      <c r="K1693" s="93"/>
      <c r="L1693" s="25" t="str">
        <f t="shared" si="79"/>
        <v/>
      </c>
      <c r="M1693" s="94"/>
      <c r="N1693" s="26" t="str">
        <f t="shared" si="80"/>
        <v/>
      </c>
      <c r="O1693" s="80"/>
      <c r="P1693" s="80"/>
      <c r="Q1693" s="80"/>
      <c r="R1693" s="80"/>
    </row>
    <row r="1694" ht="18" customHeight="1" spans="1:18">
      <c r="A1694" s="87" t="str">
        <f t="shared" si="78"/>
        <v/>
      </c>
      <c r="B1694" s="78"/>
      <c r="C1694" s="80"/>
      <c r="D1694" s="80"/>
      <c r="E1694" s="79"/>
      <c r="F1694" s="87" t="str">
        <f>IF($E1694="","",IFERROR(INDEX(基础资料!$O$4:$O$34,MATCH($E1694,基础资料!$N$4:$N$34,0))&amp;"",""))</f>
        <v/>
      </c>
      <c r="G1694" s="87" t="str">
        <f>IF($E1694="","",IFERROR(INDEX(基础资料!$P$4:$P$34,MATCH($E1694,基础资料!$N$4:$N$34,0))&amp;"",""))</f>
        <v/>
      </c>
      <c r="H1694" s="79"/>
      <c r="I1694" s="88"/>
      <c r="J1694" s="92"/>
      <c r="K1694" s="93"/>
      <c r="L1694" s="25" t="str">
        <f t="shared" si="79"/>
        <v/>
      </c>
      <c r="M1694" s="94"/>
      <c r="N1694" s="26" t="str">
        <f t="shared" si="80"/>
        <v/>
      </c>
      <c r="O1694" s="80"/>
      <c r="P1694" s="80"/>
      <c r="Q1694" s="80"/>
      <c r="R1694" s="80"/>
    </row>
    <row r="1695" ht="18" customHeight="1" spans="1:18">
      <c r="A1695" s="87" t="str">
        <f t="shared" si="78"/>
        <v/>
      </c>
      <c r="B1695" s="78"/>
      <c r="C1695" s="80"/>
      <c r="D1695" s="80"/>
      <c r="E1695" s="79"/>
      <c r="F1695" s="87" t="str">
        <f>IF($E1695="","",IFERROR(INDEX(基础资料!$O$4:$O$34,MATCH($E1695,基础资料!$N$4:$N$34,0))&amp;"",""))</f>
        <v/>
      </c>
      <c r="G1695" s="87" t="str">
        <f>IF($E1695="","",IFERROR(INDEX(基础资料!$P$4:$P$34,MATCH($E1695,基础资料!$N$4:$N$34,0))&amp;"",""))</f>
        <v/>
      </c>
      <c r="H1695" s="79"/>
      <c r="I1695" s="88"/>
      <c r="J1695" s="92"/>
      <c r="K1695" s="93"/>
      <c r="L1695" s="25" t="str">
        <f t="shared" si="79"/>
        <v/>
      </c>
      <c r="M1695" s="94"/>
      <c r="N1695" s="26" t="str">
        <f t="shared" si="80"/>
        <v/>
      </c>
      <c r="O1695" s="80"/>
      <c r="P1695" s="80"/>
      <c r="Q1695" s="80"/>
      <c r="R1695" s="80"/>
    </row>
    <row r="1696" ht="18" customHeight="1" spans="1:18">
      <c r="A1696" s="87" t="str">
        <f t="shared" si="78"/>
        <v/>
      </c>
      <c r="B1696" s="78"/>
      <c r="C1696" s="80"/>
      <c r="D1696" s="80"/>
      <c r="E1696" s="79"/>
      <c r="F1696" s="87" t="str">
        <f>IF($E1696="","",IFERROR(INDEX(基础资料!$O$4:$O$34,MATCH($E1696,基础资料!$N$4:$N$34,0))&amp;"",""))</f>
        <v/>
      </c>
      <c r="G1696" s="87" t="str">
        <f>IF($E1696="","",IFERROR(INDEX(基础资料!$P$4:$P$34,MATCH($E1696,基础资料!$N$4:$N$34,0))&amp;"",""))</f>
        <v/>
      </c>
      <c r="H1696" s="79"/>
      <c r="I1696" s="88"/>
      <c r="J1696" s="92"/>
      <c r="K1696" s="93"/>
      <c r="L1696" s="25" t="str">
        <f t="shared" si="79"/>
        <v/>
      </c>
      <c r="M1696" s="94"/>
      <c r="N1696" s="26" t="str">
        <f t="shared" si="80"/>
        <v/>
      </c>
      <c r="O1696" s="80"/>
      <c r="P1696" s="80"/>
      <c r="Q1696" s="80"/>
      <c r="R1696" s="80"/>
    </row>
    <row r="1697" ht="18" customHeight="1" spans="1:18">
      <c r="A1697" s="87" t="str">
        <f t="shared" si="78"/>
        <v/>
      </c>
      <c r="B1697" s="78"/>
      <c r="C1697" s="80"/>
      <c r="D1697" s="80"/>
      <c r="E1697" s="79"/>
      <c r="F1697" s="87" t="str">
        <f>IF($E1697="","",IFERROR(INDEX(基础资料!$O$4:$O$34,MATCH($E1697,基础资料!$N$4:$N$34,0))&amp;"",""))</f>
        <v/>
      </c>
      <c r="G1697" s="87" t="str">
        <f>IF($E1697="","",IFERROR(INDEX(基础资料!$P$4:$P$34,MATCH($E1697,基础资料!$N$4:$N$34,0))&amp;"",""))</f>
        <v/>
      </c>
      <c r="H1697" s="79"/>
      <c r="I1697" s="88"/>
      <c r="J1697" s="92"/>
      <c r="K1697" s="93"/>
      <c r="L1697" s="25" t="str">
        <f t="shared" si="79"/>
        <v/>
      </c>
      <c r="M1697" s="94"/>
      <c r="N1697" s="26" t="str">
        <f t="shared" si="80"/>
        <v/>
      </c>
      <c r="O1697" s="80"/>
      <c r="P1697" s="80"/>
      <c r="Q1697" s="80"/>
      <c r="R1697" s="80"/>
    </row>
    <row r="1698" ht="18" customHeight="1" spans="1:18">
      <c r="A1698" s="87" t="str">
        <f t="shared" si="78"/>
        <v/>
      </c>
      <c r="B1698" s="78"/>
      <c r="C1698" s="80"/>
      <c r="D1698" s="80"/>
      <c r="E1698" s="79"/>
      <c r="F1698" s="87" t="str">
        <f>IF($E1698="","",IFERROR(INDEX(基础资料!$O$4:$O$34,MATCH($E1698,基础资料!$N$4:$N$34,0))&amp;"",""))</f>
        <v/>
      </c>
      <c r="G1698" s="87" t="str">
        <f>IF($E1698="","",IFERROR(INDEX(基础资料!$P$4:$P$34,MATCH($E1698,基础资料!$N$4:$N$34,0))&amp;"",""))</f>
        <v/>
      </c>
      <c r="H1698" s="79"/>
      <c r="I1698" s="88"/>
      <c r="J1698" s="92"/>
      <c r="K1698" s="93"/>
      <c r="L1698" s="25" t="str">
        <f t="shared" si="79"/>
        <v/>
      </c>
      <c r="M1698" s="94"/>
      <c r="N1698" s="26" t="str">
        <f t="shared" si="80"/>
        <v/>
      </c>
      <c r="O1698" s="80"/>
      <c r="P1698" s="80"/>
      <c r="Q1698" s="80"/>
      <c r="R1698" s="80"/>
    </row>
    <row r="1699" ht="18" customHeight="1" spans="1:18">
      <c r="A1699" s="87" t="str">
        <f t="shared" si="78"/>
        <v/>
      </c>
      <c r="B1699" s="78"/>
      <c r="C1699" s="80"/>
      <c r="D1699" s="80"/>
      <c r="E1699" s="79"/>
      <c r="F1699" s="87" t="str">
        <f>IF($E1699="","",IFERROR(INDEX(基础资料!$O$4:$O$34,MATCH($E1699,基础资料!$N$4:$N$34,0))&amp;"",""))</f>
        <v/>
      </c>
      <c r="G1699" s="87" t="str">
        <f>IF($E1699="","",IFERROR(INDEX(基础资料!$P$4:$P$34,MATCH($E1699,基础资料!$N$4:$N$34,0))&amp;"",""))</f>
        <v/>
      </c>
      <c r="H1699" s="79"/>
      <c r="I1699" s="88"/>
      <c r="J1699" s="92"/>
      <c r="K1699" s="93"/>
      <c r="L1699" s="25" t="str">
        <f t="shared" si="79"/>
        <v/>
      </c>
      <c r="M1699" s="94"/>
      <c r="N1699" s="26" t="str">
        <f t="shared" si="80"/>
        <v/>
      </c>
      <c r="O1699" s="80"/>
      <c r="P1699" s="80"/>
      <c r="Q1699" s="80"/>
      <c r="R1699" s="80"/>
    </row>
    <row r="1700" ht="18" customHeight="1" spans="1:18">
      <c r="A1700" s="87" t="str">
        <f t="shared" si="78"/>
        <v/>
      </c>
      <c r="B1700" s="78"/>
      <c r="C1700" s="80"/>
      <c r="D1700" s="80"/>
      <c r="E1700" s="79"/>
      <c r="F1700" s="87" t="str">
        <f>IF($E1700="","",IFERROR(INDEX(基础资料!$O$4:$O$34,MATCH($E1700,基础资料!$N$4:$N$34,0))&amp;"",""))</f>
        <v/>
      </c>
      <c r="G1700" s="87" t="str">
        <f>IF($E1700="","",IFERROR(INDEX(基础资料!$P$4:$P$34,MATCH($E1700,基础资料!$N$4:$N$34,0))&amp;"",""))</f>
        <v/>
      </c>
      <c r="H1700" s="79"/>
      <c r="I1700" s="88"/>
      <c r="J1700" s="92"/>
      <c r="K1700" s="93"/>
      <c r="L1700" s="25" t="str">
        <f t="shared" si="79"/>
        <v/>
      </c>
      <c r="M1700" s="94"/>
      <c r="N1700" s="26" t="str">
        <f t="shared" si="80"/>
        <v/>
      </c>
      <c r="O1700" s="80"/>
      <c r="P1700" s="80"/>
      <c r="Q1700" s="80"/>
      <c r="R1700" s="80"/>
    </row>
    <row r="1701" ht="18" customHeight="1" spans="1:18">
      <c r="A1701" s="87" t="str">
        <f t="shared" si="78"/>
        <v/>
      </c>
      <c r="B1701" s="78"/>
      <c r="C1701" s="80"/>
      <c r="D1701" s="80"/>
      <c r="E1701" s="79"/>
      <c r="F1701" s="87" t="str">
        <f>IF($E1701="","",IFERROR(INDEX(基础资料!$O$4:$O$34,MATCH($E1701,基础资料!$N$4:$N$34,0))&amp;"",""))</f>
        <v/>
      </c>
      <c r="G1701" s="87" t="str">
        <f>IF($E1701="","",IFERROR(INDEX(基础资料!$P$4:$P$34,MATCH($E1701,基础资料!$N$4:$N$34,0))&amp;"",""))</f>
        <v/>
      </c>
      <c r="H1701" s="79"/>
      <c r="I1701" s="88"/>
      <c r="J1701" s="92"/>
      <c r="K1701" s="93"/>
      <c r="L1701" s="25" t="str">
        <f t="shared" si="79"/>
        <v/>
      </c>
      <c r="M1701" s="94"/>
      <c r="N1701" s="26" t="str">
        <f t="shared" si="80"/>
        <v/>
      </c>
      <c r="O1701" s="80"/>
      <c r="P1701" s="80"/>
      <c r="Q1701" s="80"/>
      <c r="R1701" s="80"/>
    </row>
    <row r="1702" ht="18" customHeight="1" spans="1:18">
      <c r="A1702" s="87" t="str">
        <f t="shared" si="78"/>
        <v/>
      </c>
      <c r="B1702" s="78"/>
      <c r="C1702" s="80"/>
      <c r="D1702" s="80"/>
      <c r="E1702" s="79"/>
      <c r="F1702" s="87" t="str">
        <f>IF($E1702="","",IFERROR(INDEX(基础资料!$O$4:$O$34,MATCH($E1702,基础资料!$N$4:$N$34,0))&amp;"",""))</f>
        <v/>
      </c>
      <c r="G1702" s="87" t="str">
        <f>IF($E1702="","",IFERROR(INDEX(基础资料!$P$4:$P$34,MATCH($E1702,基础资料!$N$4:$N$34,0))&amp;"",""))</f>
        <v/>
      </c>
      <c r="H1702" s="79"/>
      <c r="I1702" s="88"/>
      <c r="J1702" s="92"/>
      <c r="K1702" s="93"/>
      <c r="L1702" s="25" t="str">
        <f t="shared" si="79"/>
        <v/>
      </c>
      <c r="M1702" s="94"/>
      <c r="N1702" s="26" t="str">
        <f t="shared" si="80"/>
        <v/>
      </c>
      <c r="O1702" s="80"/>
      <c r="P1702" s="80"/>
      <c r="Q1702" s="80"/>
      <c r="R1702" s="80"/>
    </row>
    <row r="1703" ht="18" customHeight="1" spans="1:18">
      <c r="A1703" s="87" t="str">
        <f t="shared" si="78"/>
        <v/>
      </c>
      <c r="B1703" s="78"/>
      <c r="C1703" s="80"/>
      <c r="D1703" s="80"/>
      <c r="E1703" s="79"/>
      <c r="F1703" s="87" t="str">
        <f>IF($E1703="","",IFERROR(INDEX(基础资料!$O$4:$O$34,MATCH($E1703,基础资料!$N$4:$N$34,0))&amp;"",""))</f>
        <v/>
      </c>
      <c r="G1703" s="87" t="str">
        <f>IF($E1703="","",IFERROR(INDEX(基础资料!$P$4:$P$34,MATCH($E1703,基础资料!$N$4:$N$34,0))&amp;"",""))</f>
        <v/>
      </c>
      <c r="H1703" s="79"/>
      <c r="I1703" s="88"/>
      <c r="J1703" s="92"/>
      <c r="K1703" s="93"/>
      <c r="L1703" s="25" t="str">
        <f t="shared" si="79"/>
        <v/>
      </c>
      <c r="M1703" s="94"/>
      <c r="N1703" s="26" t="str">
        <f t="shared" si="80"/>
        <v/>
      </c>
      <c r="O1703" s="80"/>
      <c r="P1703" s="80"/>
      <c r="Q1703" s="80"/>
      <c r="R1703" s="80"/>
    </row>
    <row r="1704" ht="18" customHeight="1" spans="1:18">
      <c r="A1704" s="87" t="str">
        <f t="shared" si="78"/>
        <v/>
      </c>
      <c r="B1704" s="78"/>
      <c r="C1704" s="80"/>
      <c r="D1704" s="80"/>
      <c r="E1704" s="79"/>
      <c r="F1704" s="87" t="str">
        <f>IF($E1704="","",IFERROR(INDEX(基础资料!$O$4:$O$34,MATCH($E1704,基础资料!$N$4:$N$34,0))&amp;"",""))</f>
        <v/>
      </c>
      <c r="G1704" s="87" t="str">
        <f>IF($E1704="","",IFERROR(INDEX(基础资料!$P$4:$P$34,MATCH($E1704,基础资料!$N$4:$N$34,0))&amp;"",""))</f>
        <v/>
      </c>
      <c r="H1704" s="79"/>
      <c r="I1704" s="88"/>
      <c r="J1704" s="92"/>
      <c r="K1704" s="93"/>
      <c r="L1704" s="25" t="str">
        <f t="shared" si="79"/>
        <v/>
      </c>
      <c r="M1704" s="94"/>
      <c r="N1704" s="26" t="str">
        <f t="shared" si="80"/>
        <v/>
      </c>
      <c r="O1704" s="80"/>
      <c r="P1704" s="80"/>
      <c r="Q1704" s="80"/>
      <c r="R1704" s="80"/>
    </row>
    <row r="1705" ht="18" customHeight="1" spans="1:18">
      <c r="A1705" s="87" t="str">
        <f t="shared" si="78"/>
        <v/>
      </c>
      <c r="B1705" s="78"/>
      <c r="C1705" s="80"/>
      <c r="D1705" s="80"/>
      <c r="E1705" s="79"/>
      <c r="F1705" s="87" t="str">
        <f>IF($E1705="","",IFERROR(INDEX(基础资料!$O$4:$O$34,MATCH($E1705,基础资料!$N$4:$N$34,0))&amp;"",""))</f>
        <v/>
      </c>
      <c r="G1705" s="87" t="str">
        <f>IF($E1705="","",IFERROR(INDEX(基础资料!$P$4:$P$34,MATCH($E1705,基础资料!$N$4:$N$34,0))&amp;"",""))</f>
        <v/>
      </c>
      <c r="H1705" s="79"/>
      <c r="I1705" s="88"/>
      <c r="J1705" s="92"/>
      <c r="K1705" s="93"/>
      <c r="L1705" s="25" t="str">
        <f t="shared" si="79"/>
        <v/>
      </c>
      <c r="M1705" s="94"/>
      <c r="N1705" s="26" t="str">
        <f t="shared" si="80"/>
        <v/>
      </c>
      <c r="O1705" s="80"/>
      <c r="P1705" s="80"/>
      <c r="Q1705" s="80"/>
      <c r="R1705" s="80"/>
    </row>
    <row r="1706" ht="18" customHeight="1" spans="1:18">
      <c r="A1706" s="87" t="str">
        <f t="shared" si="78"/>
        <v/>
      </c>
      <c r="B1706" s="78"/>
      <c r="C1706" s="80"/>
      <c r="D1706" s="80"/>
      <c r="E1706" s="79"/>
      <c r="F1706" s="87" t="str">
        <f>IF($E1706="","",IFERROR(INDEX(基础资料!$O$4:$O$34,MATCH($E1706,基础资料!$N$4:$N$34,0))&amp;"",""))</f>
        <v/>
      </c>
      <c r="G1706" s="87" t="str">
        <f>IF($E1706="","",IFERROR(INDEX(基础资料!$P$4:$P$34,MATCH($E1706,基础资料!$N$4:$N$34,0))&amp;"",""))</f>
        <v/>
      </c>
      <c r="H1706" s="79"/>
      <c r="I1706" s="88"/>
      <c r="J1706" s="92"/>
      <c r="K1706" s="93"/>
      <c r="L1706" s="25" t="str">
        <f t="shared" si="79"/>
        <v/>
      </c>
      <c r="M1706" s="94"/>
      <c r="N1706" s="26" t="str">
        <f t="shared" si="80"/>
        <v/>
      </c>
      <c r="O1706" s="80"/>
      <c r="P1706" s="80"/>
      <c r="Q1706" s="80"/>
      <c r="R1706" s="80"/>
    </row>
    <row r="1707" ht="18" customHeight="1" spans="1:18">
      <c r="A1707" s="87" t="str">
        <f t="shared" si="78"/>
        <v/>
      </c>
      <c r="B1707" s="78"/>
      <c r="C1707" s="80"/>
      <c r="D1707" s="80"/>
      <c r="E1707" s="79"/>
      <c r="F1707" s="87" t="str">
        <f>IF($E1707="","",IFERROR(INDEX(基础资料!$O$4:$O$34,MATCH($E1707,基础资料!$N$4:$N$34,0))&amp;"",""))</f>
        <v/>
      </c>
      <c r="G1707" s="87" t="str">
        <f>IF($E1707="","",IFERROR(INDEX(基础资料!$P$4:$P$34,MATCH($E1707,基础资料!$N$4:$N$34,0))&amp;"",""))</f>
        <v/>
      </c>
      <c r="H1707" s="79"/>
      <c r="I1707" s="88"/>
      <c r="J1707" s="92"/>
      <c r="K1707" s="93"/>
      <c r="L1707" s="25" t="str">
        <f t="shared" si="79"/>
        <v/>
      </c>
      <c r="M1707" s="94"/>
      <c r="N1707" s="26" t="str">
        <f t="shared" si="80"/>
        <v/>
      </c>
      <c r="O1707" s="80"/>
      <c r="P1707" s="80"/>
      <c r="Q1707" s="80"/>
      <c r="R1707" s="80"/>
    </row>
    <row r="1708" ht="18" customHeight="1" spans="1:18">
      <c r="A1708" s="87" t="str">
        <f t="shared" si="78"/>
        <v/>
      </c>
      <c r="B1708" s="78"/>
      <c r="C1708" s="80"/>
      <c r="D1708" s="80"/>
      <c r="E1708" s="79"/>
      <c r="F1708" s="87" t="str">
        <f>IF($E1708="","",IFERROR(INDEX(基础资料!$O$4:$O$34,MATCH($E1708,基础资料!$N$4:$N$34,0))&amp;"",""))</f>
        <v/>
      </c>
      <c r="G1708" s="87" t="str">
        <f>IF($E1708="","",IFERROR(INDEX(基础资料!$P$4:$P$34,MATCH($E1708,基础资料!$N$4:$N$34,0))&amp;"",""))</f>
        <v/>
      </c>
      <c r="H1708" s="79"/>
      <c r="I1708" s="88"/>
      <c r="J1708" s="92"/>
      <c r="K1708" s="93"/>
      <c r="L1708" s="25" t="str">
        <f t="shared" si="79"/>
        <v/>
      </c>
      <c r="M1708" s="94"/>
      <c r="N1708" s="26" t="str">
        <f t="shared" si="80"/>
        <v/>
      </c>
      <c r="O1708" s="80"/>
      <c r="P1708" s="80"/>
      <c r="Q1708" s="80"/>
      <c r="R1708" s="80"/>
    </row>
    <row r="1709" ht="18" customHeight="1" spans="1:18">
      <c r="A1709" s="87" t="str">
        <f t="shared" si="78"/>
        <v/>
      </c>
      <c r="B1709" s="78"/>
      <c r="C1709" s="80"/>
      <c r="D1709" s="80"/>
      <c r="E1709" s="79"/>
      <c r="F1709" s="87" t="str">
        <f>IF($E1709="","",IFERROR(INDEX(基础资料!$O$4:$O$34,MATCH($E1709,基础资料!$N$4:$N$34,0))&amp;"",""))</f>
        <v/>
      </c>
      <c r="G1709" s="87" t="str">
        <f>IF($E1709="","",IFERROR(INDEX(基础资料!$P$4:$P$34,MATCH($E1709,基础资料!$N$4:$N$34,0))&amp;"",""))</f>
        <v/>
      </c>
      <c r="H1709" s="79"/>
      <c r="I1709" s="88"/>
      <c r="J1709" s="92"/>
      <c r="K1709" s="93"/>
      <c r="L1709" s="25" t="str">
        <f t="shared" si="79"/>
        <v/>
      </c>
      <c r="M1709" s="94"/>
      <c r="N1709" s="26" t="str">
        <f t="shared" si="80"/>
        <v/>
      </c>
      <c r="O1709" s="80"/>
      <c r="P1709" s="80"/>
      <c r="Q1709" s="80"/>
      <c r="R1709" s="80"/>
    </row>
    <row r="1710" ht="18" customHeight="1" spans="1:18">
      <c r="A1710" s="87" t="str">
        <f t="shared" si="78"/>
        <v/>
      </c>
      <c r="B1710" s="78"/>
      <c r="C1710" s="80"/>
      <c r="D1710" s="80"/>
      <c r="E1710" s="79"/>
      <c r="F1710" s="87" t="str">
        <f>IF($E1710="","",IFERROR(INDEX(基础资料!$O$4:$O$34,MATCH($E1710,基础资料!$N$4:$N$34,0))&amp;"",""))</f>
        <v/>
      </c>
      <c r="G1710" s="87" t="str">
        <f>IF($E1710="","",IFERROR(INDEX(基础资料!$P$4:$P$34,MATCH($E1710,基础资料!$N$4:$N$34,0))&amp;"",""))</f>
        <v/>
      </c>
      <c r="H1710" s="79"/>
      <c r="I1710" s="88"/>
      <c r="J1710" s="92"/>
      <c r="K1710" s="93"/>
      <c r="L1710" s="25" t="str">
        <f t="shared" si="79"/>
        <v/>
      </c>
      <c r="M1710" s="94"/>
      <c r="N1710" s="26" t="str">
        <f t="shared" si="80"/>
        <v/>
      </c>
      <c r="O1710" s="80"/>
      <c r="P1710" s="80"/>
      <c r="Q1710" s="80"/>
      <c r="R1710" s="80"/>
    </row>
    <row r="1711" ht="18" customHeight="1" spans="1:18">
      <c r="A1711" s="87" t="str">
        <f t="shared" si="78"/>
        <v/>
      </c>
      <c r="B1711" s="78"/>
      <c r="C1711" s="80"/>
      <c r="D1711" s="80"/>
      <c r="E1711" s="79"/>
      <c r="F1711" s="87" t="str">
        <f>IF($E1711="","",IFERROR(INDEX(基础资料!$O$4:$O$34,MATCH($E1711,基础资料!$N$4:$N$34,0))&amp;"",""))</f>
        <v/>
      </c>
      <c r="G1711" s="87" t="str">
        <f>IF($E1711="","",IFERROR(INDEX(基础资料!$P$4:$P$34,MATCH($E1711,基础资料!$N$4:$N$34,0))&amp;"",""))</f>
        <v/>
      </c>
      <c r="H1711" s="79"/>
      <c r="I1711" s="88"/>
      <c r="J1711" s="92"/>
      <c r="K1711" s="93"/>
      <c r="L1711" s="25" t="str">
        <f t="shared" si="79"/>
        <v/>
      </c>
      <c r="M1711" s="94"/>
      <c r="N1711" s="26" t="str">
        <f t="shared" si="80"/>
        <v/>
      </c>
      <c r="O1711" s="80"/>
      <c r="P1711" s="80"/>
      <c r="Q1711" s="80"/>
      <c r="R1711" s="80"/>
    </row>
    <row r="1712" ht="18" customHeight="1" spans="1:18">
      <c r="A1712" s="87" t="str">
        <f t="shared" si="78"/>
        <v/>
      </c>
      <c r="B1712" s="78"/>
      <c r="C1712" s="80"/>
      <c r="D1712" s="80"/>
      <c r="E1712" s="79"/>
      <c r="F1712" s="87" t="str">
        <f>IF($E1712="","",IFERROR(INDEX(基础资料!$O$4:$O$34,MATCH($E1712,基础资料!$N$4:$N$34,0))&amp;"",""))</f>
        <v/>
      </c>
      <c r="G1712" s="87" t="str">
        <f>IF($E1712="","",IFERROR(INDEX(基础资料!$P$4:$P$34,MATCH($E1712,基础资料!$N$4:$N$34,0))&amp;"",""))</f>
        <v/>
      </c>
      <c r="H1712" s="79"/>
      <c r="I1712" s="88"/>
      <c r="J1712" s="92"/>
      <c r="K1712" s="93"/>
      <c r="L1712" s="25" t="str">
        <f t="shared" si="79"/>
        <v/>
      </c>
      <c r="M1712" s="94"/>
      <c r="N1712" s="26" t="str">
        <f t="shared" si="80"/>
        <v/>
      </c>
      <c r="O1712" s="80"/>
      <c r="P1712" s="80"/>
      <c r="Q1712" s="80"/>
      <c r="R1712" s="80"/>
    </row>
    <row r="1713" ht="18" customHeight="1" spans="1:18">
      <c r="A1713" s="87" t="str">
        <f t="shared" si="78"/>
        <v/>
      </c>
      <c r="B1713" s="78"/>
      <c r="C1713" s="80"/>
      <c r="D1713" s="80"/>
      <c r="E1713" s="79"/>
      <c r="F1713" s="87" t="str">
        <f>IF($E1713="","",IFERROR(INDEX(基础资料!$O$4:$O$34,MATCH($E1713,基础资料!$N$4:$N$34,0))&amp;"",""))</f>
        <v/>
      </c>
      <c r="G1713" s="87" t="str">
        <f>IF($E1713="","",IFERROR(INDEX(基础资料!$P$4:$P$34,MATCH($E1713,基础资料!$N$4:$N$34,0))&amp;"",""))</f>
        <v/>
      </c>
      <c r="H1713" s="79"/>
      <c r="I1713" s="88"/>
      <c r="J1713" s="92"/>
      <c r="K1713" s="93"/>
      <c r="L1713" s="25" t="str">
        <f t="shared" si="79"/>
        <v/>
      </c>
      <c r="M1713" s="94"/>
      <c r="N1713" s="26" t="str">
        <f t="shared" si="80"/>
        <v/>
      </c>
      <c r="O1713" s="80"/>
      <c r="P1713" s="80"/>
      <c r="Q1713" s="80"/>
      <c r="R1713" s="80"/>
    </row>
    <row r="1714" ht="18" customHeight="1" spans="1:18">
      <c r="A1714" s="87" t="str">
        <f t="shared" si="78"/>
        <v/>
      </c>
      <c r="B1714" s="78"/>
      <c r="C1714" s="80"/>
      <c r="D1714" s="80"/>
      <c r="E1714" s="79"/>
      <c r="F1714" s="87" t="str">
        <f>IF($E1714="","",IFERROR(INDEX(基础资料!$O$4:$O$34,MATCH($E1714,基础资料!$N$4:$N$34,0))&amp;"",""))</f>
        <v/>
      </c>
      <c r="G1714" s="87" t="str">
        <f>IF($E1714="","",IFERROR(INDEX(基础资料!$P$4:$P$34,MATCH($E1714,基础资料!$N$4:$N$34,0))&amp;"",""))</f>
        <v/>
      </c>
      <c r="H1714" s="79"/>
      <c r="I1714" s="88"/>
      <c r="J1714" s="92"/>
      <c r="K1714" s="93"/>
      <c r="L1714" s="25" t="str">
        <f t="shared" si="79"/>
        <v/>
      </c>
      <c r="M1714" s="94"/>
      <c r="N1714" s="26" t="str">
        <f t="shared" si="80"/>
        <v/>
      </c>
      <c r="O1714" s="80"/>
      <c r="P1714" s="80"/>
      <c r="Q1714" s="80"/>
      <c r="R1714" s="80"/>
    </row>
    <row r="1715" ht="18" customHeight="1" spans="1:18">
      <c r="A1715" s="87" t="str">
        <f t="shared" si="78"/>
        <v/>
      </c>
      <c r="B1715" s="78"/>
      <c r="C1715" s="80"/>
      <c r="D1715" s="80"/>
      <c r="E1715" s="79"/>
      <c r="F1715" s="87" t="str">
        <f>IF($E1715="","",IFERROR(INDEX(基础资料!$O$4:$O$34,MATCH($E1715,基础资料!$N$4:$N$34,0))&amp;"",""))</f>
        <v/>
      </c>
      <c r="G1715" s="87" t="str">
        <f>IF($E1715="","",IFERROR(INDEX(基础资料!$P$4:$P$34,MATCH($E1715,基础资料!$N$4:$N$34,0))&amp;"",""))</f>
        <v/>
      </c>
      <c r="H1715" s="79"/>
      <c r="I1715" s="88"/>
      <c r="J1715" s="92"/>
      <c r="K1715" s="93"/>
      <c r="L1715" s="25" t="str">
        <f t="shared" si="79"/>
        <v/>
      </c>
      <c r="M1715" s="94"/>
      <c r="N1715" s="26" t="str">
        <f t="shared" si="80"/>
        <v/>
      </c>
      <c r="O1715" s="80"/>
      <c r="P1715" s="80"/>
      <c r="Q1715" s="80"/>
      <c r="R1715" s="80"/>
    </row>
    <row r="1716" ht="18" customHeight="1" spans="1:18">
      <c r="A1716" s="87" t="str">
        <f t="shared" si="78"/>
        <v/>
      </c>
      <c r="B1716" s="78"/>
      <c r="C1716" s="80"/>
      <c r="D1716" s="80"/>
      <c r="E1716" s="79"/>
      <c r="F1716" s="87" t="str">
        <f>IF($E1716="","",IFERROR(INDEX(基础资料!$O$4:$O$34,MATCH($E1716,基础资料!$N$4:$N$34,0))&amp;"",""))</f>
        <v/>
      </c>
      <c r="G1716" s="87" t="str">
        <f>IF($E1716="","",IFERROR(INDEX(基础资料!$P$4:$P$34,MATCH($E1716,基础资料!$N$4:$N$34,0))&amp;"",""))</f>
        <v/>
      </c>
      <c r="H1716" s="79"/>
      <c r="I1716" s="88"/>
      <c r="J1716" s="92"/>
      <c r="K1716" s="93"/>
      <c r="L1716" s="25" t="str">
        <f t="shared" si="79"/>
        <v/>
      </c>
      <c r="M1716" s="94"/>
      <c r="N1716" s="26" t="str">
        <f t="shared" si="80"/>
        <v/>
      </c>
      <c r="O1716" s="80"/>
      <c r="P1716" s="80"/>
      <c r="Q1716" s="80"/>
      <c r="R1716" s="80"/>
    </row>
    <row r="1717" ht="18" customHeight="1" spans="1:18">
      <c r="A1717" s="87" t="str">
        <f t="shared" si="78"/>
        <v/>
      </c>
      <c r="B1717" s="78"/>
      <c r="C1717" s="80"/>
      <c r="D1717" s="80"/>
      <c r="E1717" s="79"/>
      <c r="F1717" s="87" t="str">
        <f>IF($E1717="","",IFERROR(INDEX(基础资料!$O$4:$O$34,MATCH($E1717,基础资料!$N$4:$N$34,0))&amp;"",""))</f>
        <v/>
      </c>
      <c r="G1717" s="87" t="str">
        <f>IF($E1717="","",IFERROR(INDEX(基础资料!$P$4:$P$34,MATCH($E1717,基础资料!$N$4:$N$34,0))&amp;"",""))</f>
        <v/>
      </c>
      <c r="H1717" s="79"/>
      <c r="I1717" s="88"/>
      <c r="J1717" s="92"/>
      <c r="K1717" s="93"/>
      <c r="L1717" s="25" t="str">
        <f t="shared" si="79"/>
        <v/>
      </c>
      <c r="M1717" s="94"/>
      <c r="N1717" s="26" t="str">
        <f t="shared" si="80"/>
        <v/>
      </c>
      <c r="O1717" s="80"/>
      <c r="P1717" s="80"/>
      <c r="Q1717" s="80"/>
      <c r="R1717" s="80"/>
    </row>
    <row r="1718" ht="18" customHeight="1" spans="1:18">
      <c r="A1718" s="87" t="str">
        <f t="shared" si="78"/>
        <v/>
      </c>
      <c r="B1718" s="78"/>
      <c r="C1718" s="80"/>
      <c r="D1718" s="80"/>
      <c r="E1718" s="79"/>
      <c r="F1718" s="87" t="str">
        <f>IF($E1718="","",IFERROR(INDEX(基础资料!$O$4:$O$34,MATCH($E1718,基础资料!$N$4:$N$34,0))&amp;"",""))</f>
        <v/>
      </c>
      <c r="G1718" s="87" t="str">
        <f>IF($E1718="","",IFERROR(INDEX(基础资料!$P$4:$P$34,MATCH($E1718,基础资料!$N$4:$N$34,0))&amp;"",""))</f>
        <v/>
      </c>
      <c r="H1718" s="79"/>
      <c r="I1718" s="88"/>
      <c r="J1718" s="92"/>
      <c r="K1718" s="93"/>
      <c r="L1718" s="25" t="str">
        <f t="shared" si="79"/>
        <v/>
      </c>
      <c r="M1718" s="94"/>
      <c r="N1718" s="26" t="str">
        <f t="shared" si="80"/>
        <v/>
      </c>
      <c r="O1718" s="80"/>
      <c r="P1718" s="80"/>
      <c r="Q1718" s="80"/>
      <c r="R1718" s="80"/>
    </row>
    <row r="1719" ht="18" customHeight="1" spans="1:18">
      <c r="A1719" s="87" t="str">
        <f t="shared" si="78"/>
        <v/>
      </c>
      <c r="B1719" s="78"/>
      <c r="C1719" s="80"/>
      <c r="D1719" s="80"/>
      <c r="E1719" s="79"/>
      <c r="F1719" s="87" t="str">
        <f>IF($E1719="","",IFERROR(INDEX(基础资料!$O$4:$O$34,MATCH($E1719,基础资料!$N$4:$N$34,0))&amp;"",""))</f>
        <v/>
      </c>
      <c r="G1719" s="87" t="str">
        <f>IF($E1719="","",IFERROR(INDEX(基础资料!$P$4:$P$34,MATCH($E1719,基础资料!$N$4:$N$34,0))&amp;"",""))</f>
        <v/>
      </c>
      <c r="H1719" s="79"/>
      <c r="I1719" s="88"/>
      <c r="J1719" s="92"/>
      <c r="K1719" s="93"/>
      <c r="L1719" s="25" t="str">
        <f t="shared" si="79"/>
        <v/>
      </c>
      <c r="M1719" s="94"/>
      <c r="N1719" s="26" t="str">
        <f t="shared" si="80"/>
        <v/>
      </c>
      <c r="O1719" s="80"/>
      <c r="P1719" s="80"/>
      <c r="Q1719" s="80"/>
      <c r="R1719" s="80"/>
    </row>
    <row r="1720" ht="18" customHeight="1" spans="1:18">
      <c r="A1720" s="87" t="str">
        <f t="shared" si="78"/>
        <v/>
      </c>
      <c r="B1720" s="78"/>
      <c r="C1720" s="80"/>
      <c r="D1720" s="80"/>
      <c r="E1720" s="79"/>
      <c r="F1720" s="87" t="str">
        <f>IF($E1720="","",IFERROR(INDEX(基础资料!$O$4:$O$34,MATCH($E1720,基础资料!$N$4:$N$34,0))&amp;"",""))</f>
        <v/>
      </c>
      <c r="G1720" s="87" t="str">
        <f>IF($E1720="","",IFERROR(INDEX(基础资料!$P$4:$P$34,MATCH($E1720,基础资料!$N$4:$N$34,0))&amp;"",""))</f>
        <v/>
      </c>
      <c r="H1720" s="79"/>
      <c r="I1720" s="88"/>
      <c r="J1720" s="92"/>
      <c r="K1720" s="93"/>
      <c r="L1720" s="25" t="str">
        <f t="shared" si="79"/>
        <v/>
      </c>
      <c r="M1720" s="94"/>
      <c r="N1720" s="26" t="str">
        <f t="shared" si="80"/>
        <v/>
      </c>
      <c r="O1720" s="80"/>
      <c r="P1720" s="80"/>
      <c r="Q1720" s="80"/>
      <c r="R1720" s="80"/>
    </row>
    <row r="1721" ht="18" customHeight="1" spans="1:18">
      <c r="A1721" s="87" t="str">
        <f t="shared" si="78"/>
        <v/>
      </c>
      <c r="B1721" s="78"/>
      <c r="C1721" s="80"/>
      <c r="D1721" s="80"/>
      <c r="E1721" s="79"/>
      <c r="F1721" s="87" t="str">
        <f>IF($E1721="","",IFERROR(INDEX(基础资料!$O$4:$O$34,MATCH($E1721,基础资料!$N$4:$N$34,0))&amp;"",""))</f>
        <v/>
      </c>
      <c r="G1721" s="87" t="str">
        <f>IF($E1721="","",IFERROR(INDEX(基础资料!$P$4:$P$34,MATCH($E1721,基础资料!$N$4:$N$34,0))&amp;"",""))</f>
        <v/>
      </c>
      <c r="H1721" s="79"/>
      <c r="I1721" s="88"/>
      <c r="J1721" s="92"/>
      <c r="K1721" s="93"/>
      <c r="L1721" s="25" t="str">
        <f t="shared" si="79"/>
        <v/>
      </c>
      <c r="M1721" s="94"/>
      <c r="N1721" s="26" t="str">
        <f t="shared" si="80"/>
        <v/>
      </c>
      <c r="O1721" s="80"/>
      <c r="P1721" s="80"/>
      <c r="Q1721" s="80"/>
      <c r="R1721" s="80"/>
    </row>
    <row r="1722" ht="18" customHeight="1" spans="1:18">
      <c r="A1722" s="87" t="str">
        <f t="shared" si="78"/>
        <v/>
      </c>
      <c r="B1722" s="78"/>
      <c r="C1722" s="80"/>
      <c r="D1722" s="80"/>
      <c r="E1722" s="79"/>
      <c r="F1722" s="87" t="str">
        <f>IF($E1722="","",IFERROR(INDEX(基础资料!$O$4:$O$34,MATCH($E1722,基础资料!$N$4:$N$34,0))&amp;"",""))</f>
        <v/>
      </c>
      <c r="G1722" s="87" t="str">
        <f>IF($E1722="","",IFERROR(INDEX(基础资料!$P$4:$P$34,MATCH($E1722,基础资料!$N$4:$N$34,0))&amp;"",""))</f>
        <v/>
      </c>
      <c r="H1722" s="79"/>
      <c r="I1722" s="88"/>
      <c r="J1722" s="92"/>
      <c r="K1722" s="93"/>
      <c r="L1722" s="25" t="str">
        <f t="shared" si="79"/>
        <v/>
      </c>
      <c r="M1722" s="94"/>
      <c r="N1722" s="26" t="str">
        <f t="shared" si="80"/>
        <v/>
      </c>
      <c r="O1722" s="80"/>
      <c r="P1722" s="80"/>
      <c r="Q1722" s="80"/>
      <c r="R1722" s="80"/>
    </row>
    <row r="1723" ht="18" customHeight="1" spans="1:18">
      <c r="A1723" s="87" t="str">
        <f t="shared" si="78"/>
        <v/>
      </c>
      <c r="B1723" s="78"/>
      <c r="C1723" s="80"/>
      <c r="D1723" s="80"/>
      <c r="E1723" s="79"/>
      <c r="F1723" s="87" t="str">
        <f>IF($E1723="","",IFERROR(INDEX(基础资料!$O$4:$O$34,MATCH($E1723,基础资料!$N$4:$N$34,0))&amp;"",""))</f>
        <v/>
      </c>
      <c r="G1723" s="87" t="str">
        <f>IF($E1723="","",IFERROR(INDEX(基础资料!$P$4:$P$34,MATCH($E1723,基础资料!$N$4:$N$34,0))&amp;"",""))</f>
        <v/>
      </c>
      <c r="H1723" s="79"/>
      <c r="I1723" s="88"/>
      <c r="J1723" s="92"/>
      <c r="K1723" s="93"/>
      <c r="L1723" s="25" t="str">
        <f t="shared" si="79"/>
        <v/>
      </c>
      <c r="M1723" s="94"/>
      <c r="N1723" s="26" t="str">
        <f t="shared" si="80"/>
        <v/>
      </c>
      <c r="O1723" s="80"/>
      <c r="P1723" s="80"/>
      <c r="Q1723" s="80"/>
      <c r="R1723" s="80"/>
    </row>
    <row r="1724" ht="18" customHeight="1" spans="1:18">
      <c r="A1724" s="87" t="str">
        <f t="shared" si="78"/>
        <v/>
      </c>
      <c r="B1724" s="78"/>
      <c r="C1724" s="80"/>
      <c r="D1724" s="80"/>
      <c r="E1724" s="79"/>
      <c r="F1724" s="87" t="str">
        <f>IF($E1724="","",IFERROR(INDEX(基础资料!$O$4:$O$34,MATCH($E1724,基础资料!$N$4:$N$34,0))&amp;"",""))</f>
        <v/>
      </c>
      <c r="G1724" s="87" t="str">
        <f>IF($E1724="","",IFERROR(INDEX(基础资料!$P$4:$P$34,MATCH($E1724,基础资料!$N$4:$N$34,0))&amp;"",""))</f>
        <v/>
      </c>
      <c r="H1724" s="79"/>
      <c r="I1724" s="88"/>
      <c r="J1724" s="92"/>
      <c r="K1724" s="93"/>
      <c r="L1724" s="25" t="str">
        <f t="shared" si="79"/>
        <v/>
      </c>
      <c r="M1724" s="94"/>
      <c r="N1724" s="26" t="str">
        <f t="shared" si="80"/>
        <v/>
      </c>
      <c r="O1724" s="80"/>
      <c r="P1724" s="80"/>
      <c r="Q1724" s="80"/>
      <c r="R1724" s="80"/>
    </row>
    <row r="1725" ht="18" customHeight="1" spans="1:18">
      <c r="A1725" s="87" t="str">
        <f t="shared" si="78"/>
        <v/>
      </c>
      <c r="B1725" s="78"/>
      <c r="C1725" s="80"/>
      <c r="D1725" s="80"/>
      <c r="E1725" s="79"/>
      <c r="F1725" s="87" t="str">
        <f>IF($E1725="","",IFERROR(INDEX(基础资料!$O$4:$O$34,MATCH($E1725,基础资料!$N$4:$N$34,0))&amp;"",""))</f>
        <v/>
      </c>
      <c r="G1725" s="87" t="str">
        <f>IF($E1725="","",IFERROR(INDEX(基础资料!$P$4:$P$34,MATCH($E1725,基础资料!$N$4:$N$34,0))&amp;"",""))</f>
        <v/>
      </c>
      <c r="H1725" s="79"/>
      <c r="I1725" s="88"/>
      <c r="J1725" s="92"/>
      <c r="K1725" s="93"/>
      <c r="L1725" s="25" t="str">
        <f t="shared" si="79"/>
        <v/>
      </c>
      <c r="M1725" s="94"/>
      <c r="N1725" s="26" t="str">
        <f t="shared" si="80"/>
        <v/>
      </c>
      <c r="O1725" s="80"/>
      <c r="P1725" s="80"/>
      <c r="Q1725" s="80"/>
      <c r="R1725" s="80"/>
    </row>
    <row r="1726" ht="18" customHeight="1" spans="1:18">
      <c r="A1726" s="87" t="str">
        <f t="shared" si="78"/>
        <v/>
      </c>
      <c r="B1726" s="78"/>
      <c r="C1726" s="80"/>
      <c r="D1726" s="80"/>
      <c r="E1726" s="79"/>
      <c r="F1726" s="87" t="str">
        <f>IF($E1726="","",IFERROR(INDEX(基础资料!$O$4:$O$34,MATCH($E1726,基础资料!$N$4:$N$34,0))&amp;"",""))</f>
        <v/>
      </c>
      <c r="G1726" s="87" t="str">
        <f>IF($E1726="","",IFERROR(INDEX(基础资料!$P$4:$P$34,MATCH($E1726,基础资料!$N$4:$N$34,0))&amp;"",""))</f>
        <v/>
      </c>
      <c r="H1726" s="79"/>
      <c r="I1726" s="88"/>
      <c r="J1726" s="92"/>
      <c r="K1726" s="93"/>
      <c r="L1726" s="25" t="str">
        <f t="shared" si="79"/>
        <v/>
      </c>
      <c r="M1726" s="94"/>
      <c r="N1726" s="26" t="str">
        <f t="shared" si="80"/>
        <v/>
      </c>
      <c r="O1726" s="80"/>
      <c r="P1726" s="80"/>
      <c r="Q1726" s="80"/>
      <c r="R1726" s="80"/>
    </row>
    <row r="1727" ht="18" customHeight="1" spans="1:18">
      <c r="A1727" s="87" t="str">
        <f t="shared" si="78"/>
        <v/>
      </c>
      <c r="B1727" s="78"/>
      <c r="C1727" s="80"/>
      <c r="D1727" s="80"/>
      <c r="E1727" s="79"/>
      <c r="F1727" s="87" t="str">
        <f>IF($E1727="","",IFERROR(INDEX(基础资料!$O$4:$O$34,MATCH($E1727,基础资料!$N$4:$N$34,0))&amp;"",""))</f>
        <v/>
      </c>
      <c r="G1727" s="87" t="str">
        <f>IF($E1727="","",IFERROR(INDEX(基础资料!$P$4:$P$34,MATCH($E1727,基础资料!$N$4:$N$34,0))&amp;"",""))</f>
        <v/>
      </c>
      <c r="H1727" s="79"/>
      <c r="I1727" s="88"/>
      <c r="J1727" s="92"/>
      <c r="K1727" s="93"/>
      <c r="L1727" s="25" t="str">
        <f t="shared" si="79"/>
        <v/>
      </c>
      <c r="M1727" s="94"/>
      <c r="N1727" s="26" t="str">
        <f t="shared" si="80"/>
        <v/>
      </c>
      <c r="O1727" s="80"/>
      <c r="P1727" s="80"/>
      <c r="Q1727" s="80"/>
      <c r="R1727" s="80"/>
    </row>
    <row r="1728" ht="18" customHeight="1" spans="1:18">
      <c r="A1728" s="87" t="str">
        <f t="shared" si="78"/>
        <v/>
      </c>
      <c r="B1728" s="78"/>
      <c r="C1728" s="80"/>
      <c r="D1728" s="80"/>
      <c r="E1728" s="79"/>
      <c r="F1728" s="87" t="str">
        <f>IF($E1728="","",IFERROR(INDEX(基础资料!$O$4:$O$34,MATCH($E1728,基础资料!$N$4:$N$34,0))&amp;"",""))</f>
        <v/>
      </c>
      <c r="G1728" s="87" t="str">
        <f>IF($E1728="","",IFERROR(INDEX(基础资料!$P$4:$P$34,MATCH($E1728,基础资料!$N$4:$N$34,0))&amp;"",""))</f>
        <v/>
      </c>
      <c r="H1728" s="79"/>
      <c r="I1728" s="88"/>
      <c r="J1728" s="92"/>
      <c r="K1728" s="93"/>
      <c r="L1728" s="25" t="str">
        <f t="shared" si="79"/>
        <v/>
      </c>
      <c r="M1728" s="94"/>
      <c r="N1728" s="26" t="str">
        <f t="shared" si="80"/>
        <v/>
      </c>
      <c r="O1728" s="80"/>
      <c r="P1728" s="80"/>
      <c r="Q1728" s="80"/>
      <c r="R1728" s="80"/>
    </row>
    <row r="1729" ht="18" customHeight="1" spans="1:18">
      <c r="A1729" s="87" t="str">
        <f t="shared" si="78"/>
        <v/>
      </c>
      <c r="B1729" s="78"/>
      <c r="C1729" s="80"/>
      <c r="D1729" s="80"/>
      <c r="E1729" s="79"/>
      <c r="F1729" s="87" t="str">
        <f>IF($E1729="","",IFERROR(INDEX(基础资料!$O$4:$O$34,MATCH($E1729,基础资料!$N$4:$N$34,0))&amp;"",""))</f>
        <v/>
      </c>
      <c r="G1729" s="87" t="str">
        <f>IF($E1729="","",IFERROR(INDEX(基础资料!$P$4:$P$34,MATCH($E1729,基础资料!$N$4:$N$34,0))&amp;"",""))</f>
        <v/>
      </c>
      <c r="H1729" s="79"/>
      <c r="I1729" s="88"/>
      <c r="J1729" s="92"/>
      <c r="K1729" s="93"/>
      <c r="L1729" s="25" t="str">
        <f t="shared" si="79"/>
        <v/>
      </c>
      <c r="M1729" s="94"/>
      <c r="N1729" s="26" t="str">
        <f t="shared" si="80"/>
        <v/>
      </c>
      <c r="O1729" s="80"/>
      <c r="P1729" s="80"/>
      <c r="Q1729" s="80"/>
      <c r="R1729" s="80"/>
    </row>
    <row r="1730" ht="18" customHeight="1" spans="1:18">
      <c r="A1730" s="87" t="str">
        <f t="shared" si="78"/>
        <v/>
      </c>
      <c r="B1730" s="78"/>
      <c r="C1730" s="80"/>
      <c r="D1730" s="80"/>
      <c r="E1730" s="79"/>
      <c r="F1730" s="87" t="str">
        <f>IF($E1730="","",IFERROR(INDEX(基础资料!$O$4:$O$34,MATCH($E1730,基础资料!$N$4:$N$34,0))&amp;"",""))</f>
        <v/>
      </c>
      <c r="G1730" s="87" t="str">
        <f>IF($E1730="","",IFERROR(INDEX(基础资料!$P$4:$P$34,MATCH($E1730,基础资料!$N$4:$N$34,0))&amp;"",""))</f>
        <v/>
      </c>
      <c r="H1730" s="79"/>
      <c r="I1730" s="88"/>
      <c r="J1730" s="92"/>
      <c r="K1730" s="93"/>
      <c r="L1730" s="25" t="str">
        <f t="shared" si="79"/>
        <v/>
      </c>
      <c r="M1730" s="94"/>
      <c r="N1730" s="26" t="str">
        <f t="shared" si="80"/>
        <v/>
      </c>
      <c r="O1730" s="80"/>
      <c r="P1730" s="80"/>
      <c r="Q1730" s="80"/>
      <c r="R1730" s="80"/>
    </row>
    <row r="1731" ht="18" customHeight="1" spans="1:18">
      <c r="A1731" s="87" t="str">
        <f t="shared" si="78"/>
        <v/>
      </c>
      <c r="B1731" s="78"/>
      <c r="C1731" s="80"/>
      <c r="D1731" s="80"/>
      <c r="E1731" s="79"/>
      <c r="F1731" s="87" t="str">
        <f>IF($E1731="","",IFERROR(INDEX(基础资料!$O$4:$O$34,MATCH($E1731,基础资料!$N$4:$N$34,0))&amp;"",""))</f>
        <v/>
      </c>
      <c r="G1731" s="87" t="str">
        <f>IF($E1731="","",IFERROR(INDEX(基础资料!$P$4:$P$34,MATCH($E1731,基础资料!$N$4:$N$34,0))&amp;"",""))</f>
        <v/>
      </c>
      <c r="H1731" s="79"/>
      <c r="I1731" s="88"/>
      <c r="J1731" s="92"/>
      <c r="K1731" s="93"/>
      <c r="L1731" s="25" t="str">
        <f t="shared" si="79"/>
        <v/>
      </c>
      <c r="M1731" s="94"/>
      <c r="N1731" s="26" t="str">
        <f t="shared" si="80"/>
        <v/>
      </c>
      <c r="O1731" s="80"/>
      <c r="P1731" s="80"/>
      <c r="Q1731" s="80"/>
      <c r="R1731" s="80"/>
    </row>
    <row r="1732" ht="18" customHeight="1" spans="1:18">
      <c r="A1732" s="87" t="str">
        <f t="shared" ref="A1732:A1795" si="81">IF($E1732="","",ROW()-3)</f>
        <v/>
      </c>
      <c r="B1732" s="78"/>
      <c r="C1732" s="80"/>
      <c r="D1732" s="80"/>
      <c r="E1732" s="79"/>
      <c r="F1732" s="87" t="str">
        <f>IF($E1732="","",IFERROR(INDEX(基础资料!$O$4:$O$34,MATCH($E1732,基础资料!$N$4:$N$34,0))&amp;"",""))</f>
        <v/>
      </c>
      <c r="G1732" s="87" t="str">
        <f>IF($E1732="","",IFERROR(INDEX(基础资料!$P$4:$P$34,MATCH($E1732,基础资料!$N$4:$N$34,0))&amp;"",""))</f>
        <v/>
      </c>
      <c r="H1732" s="79"/>
      <c r="I1732" s="88"/>
      <c r="J1732" s="92"/>
      <c r="K1732" s="93"/>
      <c r="L1732" s="25" t="str">
        <f t="shared" ref="L1732:L1795" si="82">IF($E1732="","",N($I1732)+N($J1732)-N($K1732))</f>
        <v/>
      </c>
      <c r="M1732" s="94"/>
      <c r="N1732" s="26" t="str">
        <f t="shared" ref="N1732:N1795" si="83">IF($E1732="","",ROUND(N($L1732)*N($M1732),2))</f>
        <v/>
      </c>
      <c r="O1732" s="80"/>
      <c r="P1732" s="80"/>
      <c r="Q1732" s="80"/>
      <c r="R1732" s="80"/>
    </row>
    <row r="1733" ht="18" customHeight="1" spans="1:18">
      <c r="A1733" s="87" t="str">
        <f t="shared" si="81"/>
        <v/>
      </c>
      <c r="B1733" s="78"/>
      <c r="C1733" s="80"/>
      <c r="D1733" s="80"/>
      <c r="E1733" s="79"/>
      <c r="F1733" s="87" t="str">
        <f>IF($E1733="","",IFERROR(INDEX(基础资料!$O$4:$O$34,MATCH($E1733,基础资料!$N$4:$N$34,0))&amp;"",""))</f>
        <v/>
      </c>
      <c r="G1733" s="87" t="str">
        <f>IF($E1733="","",IFERROR(INDEX(基础资料!$P$4:$P$34,MATCH($E1733,基础资料!$N$4:$N$34,0))&amp;"",""))</f>
        <v/>
      </c>
      <c r="H1733" s="79"/>
      <c r="I1733" s="88"/>
      <c r="J1733" s="92"/>
      <c r="K1733" s="93"/>
      <c r="L1733" s="25" t="str">
        <f t="shared" si="82"/>
        <v/>
      </c>
      <c r="M1733" s="94"/>
      <c r="N1733" s="26" t="str">
        <f t="shared" si="83"/>
        <v/>
      </c>
      <c r="O1733" s="80"/>
      <c r="P1733" s="80"/>
      <c r="Q1733" s="80"/>
      <c r="R1733" s="80"/>
    </row>
    <row r="1734" ht="18" customHeight="1" spans="1:18">
      <c r="A1734" s="87" t="str">
        <f t="shared" si="81"/>
        <v/>
      </c>
      <c r="B1734" s="78"/>
      <c r="C1734" s="80"/>
      <c r="D1734" s="80"/>
      <c r="E1734" s="79"/>
      <c r="F1734" s="87" t="str">
        <f>IF($E1734="","",IFERROR(INDEX(基础资料!$O$4:$O$34,MATCH($E1734,基础资料!$N$4:$N$34,0))&amp;"",""))</f>
        <v/>
      </c>
      <c r="G1734" s="87" t="str">
        <f>IF($E1734="","",IFERROR(INDEX(基础资料!$P$4:$P$34,MATCH($E1734,基础资料!$N$4:$N$34,0))&amp;"",""))</f>
        <v/>
      </c>
      <c r="H1734" s="79"/>
      <c r="I1734" s="88"/>
      <c r="J1734" s="92"/>
      <c r="K1734" s="93"/>
      <c r="L1734" s="25" t="str">
        <f t="shared" si="82"/>
        <v/>
      </c>
      <c r="M1734" s="94"/>
      <c r="N1734" s="26" t="str">
        <f t="shared" si="83"/>
        <v/>
      </c>
      <c r="O1734" s="80"/>
      <c r="P1734" s="80"/>
      <c r="Q1734" s="80"/>
      <c r="R1734" s="80"/>
    </row>
    <row r="1735" ht="18" customHeight="1" spans="1:18">
      <c r="A1735" s="87" t="str">
        <f t="shared" si="81"/>
        <v/>
      </c>
      <c r="B1735" s="78"/>
      <c r="C1735" s="80"/>
      <c r="D1735" s="80"/>
      <c r="E1735" s="79"/>
      <c r="F1735" s="87" t="str">
        <f>IF($E1735="","",IFERROR(INDEX(基础资料!$O$4:$O$34,MATCH($E1735,基础资料!$N$4:$N$34,0))&amp;"",""))</f>
        <v/>
      </c>
      <c r="G1735" s="87" t="str">
        <f>IF($E1735="","",IFERROR(INDEX(基础资料!$P$4:$P$34,MATCH($E1735,基础资料!$N$4:$N$34,0))&amp;"",""))</f>
        <v/>
      </c>
      <c r="H1735" s="79"/>
      <c r="I1735" s="88"/>
      <c r="J1735" s="92"/>
      <c r="K1735" s="93"/>
      <c r="L1735" s="25" t="str">
        <f t="shared" si="82"/>
        <v/>
      </c>
      <c r="M1735" s="94"/>
      <c r="N1735" s="26" t="str">
        <f t="shared" si="83"/>
        <v/>
      </c>
      <c r="O1735" s="80"/>
      <c r="P1735" s="80"/>
      <c r="Q1735" s="80"/>
      <c r="R1735" s="80"/>
    </row>
    <row r="1736" ht="18" customHeight="1" spans="1:18">
      <c r="A1736" s="87" t="str">
        <f t="shared" si="81"/>
        <v/>
      </c>
      <c r="B1736" s="78"/>
      <c r="C1736" s="80"/>
      <c r="D1736" s="80"/>
      <c r="E1736" s="79"/>
      <c r="F1736" s="87" t="str">
        <f>IF($E1736="","",IFERROR(INDEX(基础资料!$O$4:$O$34,MATCH($E1736,基础资料!$N$4:$N$34,0))&amp;"",""))</f>
        <v/>
      </c>
      <c r="G1736" s="87" t="str">
        <f>IF($E1736="","",IFERROR(INDEX(基础资料!$P$4:$P$34,MATCH($E1736,基础资料!$N$4:$N$34,0))&amp;"",""))</f>
        <v/>
      </c>
      <c r="H1736" s="79"/>
      <c r="I1736" s="88"/>
      <c r="J1736" s="92"/>
      <c r="K1736" s="93"/>
      <c r="L1736" s="25" t="str">
        <f t="shared" si="82"/>
        <v/>
      </c>
      <c r="M1736" s="94"/>
      <c r="N1736" s="26" t="str">
        <f t="shared" si="83"/>
        <v/>
      </c>
      <c r="O1736" s="80"/>
      <c r="P1736" s="80"/>
      <c r="Q1736" s="80"/>
      <c r="R1736" s="80"/>
    </row>
    <row r="1737" ht="18" customHeight="1" spans="1:18">
      <c r="A1737" s="87" t="str">
        <f t="shared" si="81"/>
        <v/>
      </c>
      <c r="B1737" s="78"/>
      <c r="C1737" s="80"/>
      <c r="D1737" s="80"/>
      <c r="E1737" s="79"/>
      <c r="F1737" s="87" t="str">
        <f>IF($E1737="","",IFERROR(INDEX(基础资料!$O$4:$O$34,MATCH($E1737,基础资料!$N$4:$N$34,0))&amp;"",""))</f>
        <v/>
      </c>
      <c r="G1737" s="87" t="str">
        <f>IF($E1737="","",IFERROR(INDEX(基础资料!$P$4:$P$34,MATCH($E1737,基础资料!$N$4:$N$34,0))&amp;"",""))</f>
        <v/>
      </c>
      <c r="H1737" s="79"/>
      <c r="I1737" s="88"/>
      <c r="J1737" s="92"/>
      <c r="K1737" s="93"/>
      <c r="L1737" s="25" t="str">
        <f t="shared" si="82"/>
        <v/>
      </c>
      <c r="M1737" s="94"/>
      <c r="N1737" s="26" t="str">
        <f t="shared" si="83"/>
        <v/>
      </c>
      <c r="O1737" s="80"/>
      <c r="P1737" s="80"/>
      <c r="Q1737" s="80"/>
      <c r="R1737" s="80"/>
    </row>
    <row r="1738" ht="18" customHeight="1" spans="1:18">
      <c r="A1738" s="87" t="str">
        <f t="shared" si="81"/>
        <v/>
      </c>
      <c r="B1738" s="78"/>
      <c r="C1738" s="80"/>
      <c r="D1738" s="80"/>
      <c r="E1738" s="79"/>
      <c r="F1738" s="87" t="str">
        <f>IF($E1738="","",IFERROR(INDEX(基础资料!$O$4:$O$34,MATCH($E1738,基础资料!$N$4:$N$34,0))&amp;"",""))</f>
        <v/>
      </c>
      <c r="G1738" s="87" t="str">
        <f>IF($E1738="","",IFERROR(INDEX(基础资料!$P$4:$P$34,MATCH($E1738,基础资料!$N$4:$N$34,0))&amp;"",""))</f>
        <v/>
      </c>
      <c r="H1738" s="79"/>
      <c r="I1738" s="88"/>
      <c r="J1738" s="92"/>
      <c r="K1738" s="93"/>
      <c r="L1738" s="25" t="str">
        <f t="shared" si="82"/>
        <v/>
      </c>
      <c r="M1738" s="94"/>
      <c r="N1738" s="26" t="str">
        <f t="shared" si="83"/>
        <v/>
      </c>
      <c r="O1738" s="80"/>
      <c r="P1738" s="80"/>
      <c r="Q1738" s="80"/>
      <c r="R1738" s="80"/>
    </row>
    <row r="1739" ht="18" customHeight="1" spans="1:18">
      <c r="A1739" s="87" t="str">
        <f t="shared" si="81"/>
        <v/>
      </c>
      <c r="B1739" s="78"/>
      <c r="C1739" s="80"/>
      <c r="D1739" s="80"/>
      <c r="E1739" s="79"/>
      <c r="F1739" s="87" t="str">
        <f>IF($E1739="","",IFERROR(INDEX(基础资料!$O$4:$O$34,MATCH($E1739,基础资料!$N$4:$N$34,0))&amp;"",""))</f>
        <v/>
      </c>
      <c r="G1739" s="87" t="str">
        <f>IF($E1739="","",IFERROR(INDEX(基础资料!$P$4:$P$34,MATCH($E1739,基础资料!$N$4:$N$34,0))&amp;"",""))</f>
        <v/>
      </c>
      <c r="H1739" s="79"/>
      <c r="I1739" s="88"/>
      <c r="J1739" s="92"/>
      <c r="K1739" s="93"/>
      <c r="L1739" s="25" t="str">
        <f t="shared" si="82"/>
        <v/>
      </c>
      <c r="M1739" s="94"/>
      <c r="N1739" s="26" t="str">
        <f t="shared" si="83"/>
        <v/>
      </c>
      <c r="O1739" s="80"/>
      <c r="P1739" s="80"/>
      <c r="Q1739" s="80"/>
      <c r="R1739" s="80"/>
    </row>
    <row r="1740" ht="18" customHeight="1" spans="1:18">
      <c r="A1740" s="87" t="str">
        <f t="shared" si="81"/>
        <v/>
      </c>
      <c r="B1740" s="78"/>
      <c r="C1740" s="80"/>
      <c r="D1740" s="80"/>
      <c r="E1740" s="79"/>
      <c r="F1740" s="87" t="str">
        <f>IF($E1740="","",IFERROR(INDEX(基础资料!$O$4:$O$34,MATCH($E1740,基础资料!$N$4:$N$34,0))&amp;"",""))</f>
        <v/>
      </c>
      <c r="G1740" s="87" t="str">
        <f>IF($E1740="","",IFERROR(INDEX(基础资料!$P$4:$P$34,MATCH($E1740,基础资料!$N$4:$N$34,0))&amp;"",""))</f>
        <v/>
      </c>
      <c r="H1740" s="79"/>
      <c r="I1740" s="88"/>
      <c r="J1740" s="92"/>
      <c r="K1740" s="93"/>
      <c r="L1740" s="25" t="str">
        <f t="shared" si="82"/>
        <v/>
      </c>
      <c r="M1740" s="94"/>
      <c r="N1740" s="26" t="str">
        <f t="shared" si="83"/>
        <v/>
      </c>
      <c r="O1740" s="80"/>
      <c r="P1740" s="80"/>
      <c r="Q1740" s="80"/>
      <c r="R1740" s="80"/>
    </row>
    <row r="1741" ht="18" customHeight="1" spans="1:18">
      <c r="A1741" s="87" t="str">
        <f t="shared" si="81"/>
        <v/>
      </c>
      <c r="B1741" s="78"/>
      <c r="C1741" s="80"/>
      <c r="D1741" s="80"/>
      <c r="E1741" s="79"/>
      <c r="F1741" s="87" t="str">
        <f>IF($E1741="","",IFERROR(INDEX(基础资料!$O$4:$O$34,MATCH($E1741,基础资料!$N$4:$N$34,0))&amp;"",""))</f>
        <v/>
      </c>
      <c r="G1741" s="87" t="str">
        <f>IF($E1741="","",IFERROR(INDEX(基础资料!$P$4:$P$34,MATCH($E1741,基础资料!$N$4:$N$34,0))&amp;"",""))</f>
        <v/>
      </c>
      <c r="H1741" s="79"/>
      <c r="I1741" s="88"/>
      <c r="J1741" s="92"/>
      <c r="K1741" s="93"/>
      <c r="L1741" s="25" t="str">
        <f t="shared" si="82"/>
        <v/>
      </c>
      <c r="M1741" s="94"/>
      <c r="N1741" s="26" t="str">
        <f t="shared" si="83"/>
        <v/>
      </c>
      <c r="O1741" s="80"/>
      <c r="P1741" s="80"/>
      <c r="Q1741" s="80"/>
      <c r="R1741" s="80"/>
    </row>
    <row r="1742" ht="18" customHeight="1" spans="1:18">
      <c r="A1742" s="87" t="str">
        <f t="shared" si="81"/>
        <v/>
      </c>
      <c r="B1742" s="78"/>
      <c r="C1742" s="80"/>
      <c r="D1742" s="80"/>
      <c r="E1742" s="79"/>
      <c r="F1742" s="87" t="str">
        <f>IF($E1742="","",IFERROR(INDEX(基础资料!$O$4:$O$34,MATCH($E1742,基础资料!$N$4:$N$34,0))&amp;"",""))</f>
        <v/>
      </c>
      <c r="G1742" s="87" t="str">
        <f>IF($E1742="","",IFERROR(INDEX(基础资料!$P$4:$P$34,MATCH($E1742,基础资料!$N$4:$N$34,0))&amp;"",""))</f>
        <v/>
      </c>
      <c r="H1742" s="79"/>
      <c r="I1742" s="88"/>
      <c r="J1742" s="92"/>
      <c r="K1742" s="93"/>
      <c r="L1742" s="25" t="str">
        <f t="shared" si="82"/>
        <v/>
      </c>
      <c r="M1742" s="94"/>
      <c r="N1742" s="26" t="str">
        <f t="shared" si="83"/>
        <v/>
      </c>
      <c r="O1742" s="80"/>
      <c r="P1742" s="80"/>
      <c r="Q1742" s="80"/>
      <c r="R1742" s="80"/>
    </row>
    <row r="1743" ht="18" customHeight="1" spans="1:18">
      <c r="A1743" s="87" t="str">
        <f t="shared" si="81"/>
        <v/>
      </c>
      <c r="B1743" s="78"/>
      <c r="C1743" s="80"/>
      <c r="D1743" s="80"/>
      <c r="E1743" s="79"/>
      <c r="F1743" s="87" t="str">
        <f>IF($E1743="","",IFERROR(INDEX(基础资料!$O$4:$O$34,MATCH($E1743,基础资料!$N$4:$N$34,0))&amp;"",""))</f>
        <v/>
      </c>
      <c r="G1743" s="87" t="str">
        <f>IF($E1743="","",IFERROR(INDEX(基础资料!$P$4:$P$34,MATCH($E1743,基础资料!$N$4:$N$34,0))&amp;"",""))</f>
        <v/>
      </c>
      <c r="H1743" s="79"/>
      <c r="I1743" s="88"/>
      <c r="J1743" s="92"/>
      <c r="K1743" s="93"/>
      <c r="L1743" s="25" t="str">
        <f t="shared" si="82"/>
        <v/>
      </c>
      <c r="M1743" s="94"/>
      <c r="N1743" s="26" t="str">
        <f t="shared" si="83"/>
        <v/>
      </c>
      <c r="O1743" s="80"/>
      <c r="P1743" s="80"/>
      <c r="Q1743" s="80"/>
      <c r="R1743" s="80"/>
    </row>
    <row r="1744" ht="18" customHeight="1" spans="1:18">
      <c r="A1744" s="87" t="str">
        <f t="shared" si="81"/>
        <v/>
      </c>
      <c r="B1744" s="78"/>
      <c r="C1744" s="80"/>
      <c r="D1744" s="80"/>
      <c r="E1744" s="79"/>
      <c r="F1744" s="87" t="str">
        <f>IF($E1744="","",IFERROR(INDEX(基础资料!$O$4:$O$34,MATCH($E1744,基础资料!$N$4:$N$34,0))&amp;"",""))</f>
        <v/>
      </c>
      <c r="G1744" s="87" t="str">
        <f>IF($E1744="","",IFERROR(INDEX(基础资料!$P$4:$P$34,MATCH($E1744,基础资料!$N$4:$N$34,0))&amp;"",""))</f>
        <v/>
      </c>
      <c r="H1744" s="79"/>
      <c r="I1744" s="88"/>
      <c r="J1744" s="92"/>
      <c r="K1744" s="93"/>
      <c r="L1744" s="25" t="str">
        <f t="shared" si="82"/>
        <v/>
      </c>
      <c r="M1744" s="94"/>
      <c r="N1744" s="26" t="str">
        <f t="shared" si="83"/>
        <v/>
      </c>
      <c r="O1744" s="80"/>
      <c r="P1744" s="80"/>
      <c r="Q1744" s="80"/>
      <c r="R1744" s="80"/>
    </row>
    <row r="1745" ht="18" customHeight="1" spans="1:18">
      <c r="A1745" s="87" t="str">
        <f t="shared" si="81"/>
        <v/>
      </c>
      <c r="B1745" s="78"/>
      <c r="C1745" s="80"/>
      <c r="D1745" s="80"/>
      <c r="E1745" s="79"/>
      <c r="F1745" s="87" t="str">
        <f>IF($E1745="","",IFERROR(INDEX(基础资料!$O$4:$O$34,MATCH($E1745,基础资料!$N$4:$N$34,0))&amp;"",""))</f>
        <v/>
      </c>
      <c r="G1745" s="87" t="str">
        <f>IF($E1745="","",IFERROR(INDEX(基础资料!$P$4:$P$34,MATCH($E1745,基础资料!$N$4:$N$34,0))&amp;"",""))</f>
        <v/>
      </c>
      <c r="H1745" s="79"/>
      <c r="I1745" s="88"/>
      <c r="J1745" s="92"/>
      <c r="K1745" s="93"/>
      <c r="L1745" s="25" t="str">
        <f t="shared" si="82"/>
        <v/>
      </c>
      <c r="M1745" s="94"/>
      <c r="N1745" s="26" t="str">
        <f t="shared" si="83"/>
        <v/>
      </c>
      <c r="O1745" s="80"/>
      <c r="P1745" s="80"/>
      <c r="Q1745" s="80"/>
      <c r="R1745" s="80"/>
    </row>
    <row r="1746" ht="18" customHeight="1" spans="1:18">
      <c r="A1746" s="87" t="str">
        <f t="shared" si="81"/>
        <v/>
      </c>
      <c r="B1746" s="78"/>
      <c r="C1746" s="80"/>
      <c r="D1746" s="80"/>
      <c r="E1746" s="79"/>
      <c r="F1746" s="87" t="str">
        <f>IF($E1746="","",IFERROR(INDEX(基础资料!$O$4:$O$34,MATCH($E1746,基础资料!$N$4:$N$34,0))&amp;"",""))</f>
        <v/>
      </c>
      <c r="G1746" s="87" t="str">
        <f>IF($E1746="","",IFERROR(INDEX(基础资料!$P$4:$P$34,MATCH($E1746,基础资料!$N$4:$N$34,0))&amp;"",""))</f>
        <v/>
      </c>
      <c r="H1746" s="79"/>
      <c r="I1746" s="88"/>
      <c r="J1746" s="92"/>
      <c r="K1746" s="93"/>
      <c r="L1746" s="25" t="str">
        <f t="shared" si="82"/>
        <v/>
      </c>
      <c r="M1746" s="94"/>
      <c r="N1746" s="26" t="str">
        <f t="shared" si="83"/>
        <v/>
      </c>
      <c r="O1746" s="80"/>
      <c r="P1746" s="80"/>
      <c r="Q1746" s="80"/>
      <c r="R1746" s="80"/>
    </row>
    <row r="1747" ht="18" customHeight="1" spans="1:18">
      <c r="A1747" s="87" t="str">
        <f t="shared" si="81"/>
        <v/>
      </c>
      <c r="B1747" s="78"/>
      <c r="C1747" s="80"/>
      <c r="D1747" s="80"/>
      <c r="E1747" s="79"/>
      <c r="F1747" s="87" t="str">
        <f>IF($E1747="","",IFERROR(INDEX(基础资料!$O$4:$O$34,MATCH($E1747,基础资料!$N$4:$N$34,0))&amp;"",""))</f>
        <v/>
      </c>
      <c r="G1747" s="87" t="str">
        <f>IF($E1747="","",IFERROR(INDEX(基础资料!$P$4:$P$34,MATCH($E1747,基础资料!$N$4:$N$34,0))&amp;"",""))</f>
        <v/>
      </c>
      <c r="H1747" s="79"/>
      <c r="I1747" s="88"/>
      <c r="J1747" s="92"/>
      <c r="K1747" s="93"/>
      <c r="L1747" s="25" t="str">
        <f t="shared" si="82"/>
        <v/>
      </c>
      <c r="M1747" s="94"/>
      <c r="N1747" s="26" t="str">
        <f t="shared" si="83"/>
        <v/>
      </c>
      <c r="O1747" s="80"/>
      <c r="P1747" s="80"/>
      <c r="Q1747" s="80"/>
      <c r="R1747" s="80"/>
    </row>
    <row r="1748" ht="18" customHeight="1" spans="1:18">
      <c r="A1748" s="87" t="str">
        <f t="shared" si="81"/>
        <v/>
      </c>
      <c r="B1748" s="78"/>
      <c r="C1748" s="80"/>
      <c r="D1748" s="80"/>
      <c r="E1748" s="79"/>
      <c r="F1748" s="87" t="str">
        <f>IF($E1748="","",IFERROR(INDEX(基础资料!$O$4:$O$34,MATCH($E1748,基础资料!$N$4:$N$34,0))&amp;"",""))</f>
        <v/>
      </c>
      <c r="G1748" s="87" t="str">
        <f>IF($E1748="","",IFERROR(INDEX(基础资料!$P$4:$P$34,MATCH($E1748,基础资料!$N$4:$N$34,0))&amp;"",""))</f>
        <v/>
      </c>
      <c r="H1748" s="79"/>
      <c r="I1748" s="88"/>
      <c r="J1748" s="92"/>
      <c r="K1748" s="93"/>
      <c r="L1748" s="25" t="str">
        <f t="shared" si="82"/>
        <v/>
      </c>
      <c r="M1748" s="94"/>
      <c r="N1748" s="26" t="str">
        <f t="shared" si="83"/>
        <v/>
      </c>
      <c r="O1748" s="80"/>
      <c r="P1748" s="80"/>
      <c r="Q1748" s="80"/>
      <c r="R1748" s="80"/>
    </row>
    <row r="1749" ht="18" customHeight="1" spans="1:18">
      <c r="A1749" s="87" t="str">
        <f t="shared" si="81"/>
        <v/>
      </c>
      <c r="B1749" s="78"/>
      <c r="C1749" s="80"/>
      <c r="D1749" s="80"/>
      <c r="E1749" s="79"/>
      <c r="F1749" s="87" t="str">
        <f>IF($E1749="","",IFERROR(INDEX(基础资料!$O$4:$O$34,MATCH($E1749,基础资料!$N$4:$N$34,0))&amp;"",""))</f>
        <v/>
      </c>
      <c r="G1749" s="87" t="str">
        <f>IF($E1749="","",IFERROR(INDEX(基础资料!$P$4:$P$34,MATCH($E1749,基础资料!$N$4:$N$34,0))&amp;"",""))</f>
        <v/>
      </c>
      <c r="H1749" s="79"/>
      <c r="I1749" s="88"/>
      <c r="J1749" s="92"/>
      <c r="K1749" s="93"/>
      <c r="L1749" s="25" t="str">
        <f t="shared" si="82"/>
        <v/>
      </c>
      <c r="M1749" s="94"/>
      <c r="N1749" s="26" t="str">
        <f t="shared" si="83"/>
        <v/>
      </c>
      <c r="O1749" s="80"/>
      <c r="P1749" s="80"/>
      <c r="Q1749" s="80"/>
      <c r="R1749" s="80"/>
    </row>
    <row r="1750" ht="18" customHeight="1" spans="1:18">
      <c r="A1750" s="87" t="str">
        <f t="shared" si="81"/>
        <v/>
      </c>
      <c r="B1750" s="78"/>
      <c r="C1750" s="80"/>
      <c r="D1750" s="80"/>
      <c r="E1750" s="79"/>
      <c r="F1750" s="87" t="str">
        <f>IF($E1750="","",IFERROR(INDEX(基础资料!$O$4:$O$34,MATCH($E1750,基础资料!$N$4:$N$34,0))&amp;"",""))</f>
        <v/>
      </c>
      <c r="G1750" s="87" t="str">
        <f>IF($E1750="","",IFERROR(INDEX(基础资料!$P$4:$P$34,MATCH($E1750,基础资料!$N$4:$N$34,0))&amp;"",""))</f>
        <v/>
      </c>
      <c r="H1750" s="79"/>
      <c r="I1750" s="88"/>
      <c r="J1750" s="92"/>
      <c r="K1750" s="93"/>
      <c r="L1750" s="25" t="str">
        <f t="shared" si="82"/>
        <v/>
      </c>
      <c r="M1750" s="94"/>
      <c r="N1750" s="26" t="str">
        <f t="shared" si="83"/>
        <v/>
      </c>
      <c r="O1750" s="80"/>
      <c r="P1750" s="80"/>
      <c r="Q1750" s="80"/>
      <c r="R1750" s="80"/>
    </row>
    <row r="1751" ht="18" customHeight="1" spans="1:18">
      <c r="A1751" s="87" t="str">
        <f t="shared" si="81"/>
        <v/>
      </c>
      <c r="B1751" s="78"/>
      <c r="C1751" s="80"/>
      <c r="D1751" s="80"/>
      <c r="E1751" s="79"/>
      <c r="F1751" s="87" t="str">
        <f>IF($E1751="","",IFERROR(INDEX(基础资料!$O$4:$O$34,MATCH($E1751,基础资料!$N$4:$N$34,0))&amp;"",""))</f>
        <v/>
      </c>
      <c r="G1751" s="87" t="str">
        <f>IF($E1751="","",IFERROR(INDEX(基础资料!$P$4:$P$34,MATCH($E1751,基础资料!$N$4:$N$34,0))&amp;"",""))</f>
        <v/>
      </c>
      <c r="H1751" s="79"/>
      <c r="I1751" s="88"/>
      <c r="J1751" s="92"/>
      <c r="K1751" s="93"/>
      <c r="L1751" s="25" t="str">
        <f t="shared" si="82"/>
        <v/>
      </c>
      <c r="M1751" s="94"/>
      <c r="N1751" s="26" t="str">
        <f t="shared" si="83"/>
        <v/>
      </c>
      <c r="O1751" s="80"/>
      <c r="P1751" s="80"/>
      <c r="Q1751" s="80"/>
      <c r="R1751" s="80"/>
    </row>
    <row r="1752" ht="18" customHeight="1" spans="1:18">
      <c r="A1752" s="87" t="str">
        <f t="shared" si="81"/>
        <v/>
      </c>
      <c r="B1752" s="78"/>
      <c r="C1752" s="80"/>
      <c r="D1752" s="80"/>
      <c r="E1752" s="79"/>
      <c r="F1752" s="87" t="str">
        <f>IF($E1752="","",IFERROR(INDEX(基础资料!$O$4:$O$34,MATCH($E1752,基础资料!$N$4:$N$34,0))&amp;"",""))</f>
        <v/>
      </c>
      <c r="G1752" s="87" t="str">
        <f>IF($E1752="","",IFERROR(INDEX(基础资料!$P$4:$P$34,MATCH($E1752,基础资料!$N$4:$N$34,0))&amp;"",""))</f>
        <v/>
      </c>
      <c r="H1752" s="79"/>
      <c r="I1752" s="88"/>
      <c r="J1752" s="92"/>
      <c r="K1752" s="93"/>
      <c r="L1752" s="25" t="str">
        <f t="shared" si="82"/>
        <v/>
      </c>
      <c r="M1752" s="94"/>
      <c r="N1752" s="26" t="str">
        <f t="shared" si="83"/>
        <v/>
      </c>
      <c r="O1752" s="80"/>
      <c r="P1752" s="80"/>
      <c r="Q1752" s="80"/>
      <c r="R1752" s="80"/>
    </row>
    <row r="1753" ht="18" customHeight="1" spans="1:18">
      <c r="A1753" s="87" t="str">
        <f t="shared" si="81"/>
        <v/>
      </c>
      <c r="B1753" s="78"/>
      <c r="C1753" s="80"/>
      <c r="D1753" s="80"/>
      <c r="E1753" s="79"/>
      <c r="F1753" s="87" t="str">
        <f>IF($E1753="","",IFERROR(INDEX(基础资料!$O$4:$O$34,MATCH($E1753,基础资料!$N$4:$N$34,0))&amp;"",""))</f>
        <v/>
      </c>
      <c r="G1753" s="87" t="str">
        <f>IF($E1753="","",IFERROR(INDEX(基础资料!$P$4:$P$34,MATCH($E1753,基础资料!$N$4:$N$34,0))&amp;"",""))</f>
        <v/>
      </c>
      <c r="H1753" s="79"/>
      <c r="I1753" s="88"/>
      <c r="J1753" s="92"/>
      <c r="K1753" s="93"/>
      <c r="L1753" s="25" t="str">
        <f t="shared" si="82"/>
        <v/>
      </c>
      <c r="M1753" s="94"/>
      <c r="N1753" s="26" t="str">
        <f t="shared" si="83"/>
        <v/>
      </c>
      <c r="O1753" s="80"/>
      <c r="P1753" s="80"/>
      <c r="Q1753" s="80"/>
      <c r="R1753" s="80"/>
    </row>
    <row r="1754" ht="18" customHeight="1" spans="1:18">
      <c r="A1754" s="87" t="str">
        <f t="shared" si="81"/>
        <v/>
      </c>
      <c r="B1754" s="78"/>
      <c r="C1754" s="80"/>
      <c r="D1754" s="80"/>
      <c r="E1754" s="79"/>
      <c r="F1754" s="87" t="str">
        <f>IF($E1754="","",IFERROR(INDEX(基础资料!$O$4:$O$34,MATCH($E1754,基础资料!$N$4:$N$34,0))&amp;"",""))</f>
        <v/>
      </c>
      <c r="G1754" s="87" t="str">
        <f>IF($E1754="","",IFERROR(INDEX(基础资料!$P$4:$P$34,MATCH($E1754,基础资料!$N$4:$N$34,0))&amp;"",""))</f>
        <v/>
      </c>
      <c r="H1754" s="79"/>
      <c r="I1754" s="88"/>
      <c r="J1754" s="92"/>
      <c r="K1754" s="93"/>
      <c r="L1754" s="25" t="str">
        <f t="shared" si="82"/>
        <v/>
      </c>
      <c r="M1754" s="94"/>
      <c r="N1754" s="26" t="str">
        <f t="shared" si="83"/>
        <v/>
      </c>
      <c r="O1754" s="80"/>
      <c r="P1754" s="80"/>
      <c r="Q1754" s="80"/>
      <c r="R1754" s="80"/>
    </row>
    <row r="1755" ht="18" customHeight="1" spans="1:18">
      <c r="A1755" s="87" t="str">
        <f t="shared" si="81"/>
        <v/>
      </c>
      <c r="B1755" s="78"/>
      <c r="C1755" s="80"/>
      <c r="D1755" s="80"/>
      <c r="E1755" s="79"/>
      <c r="F1755" s="87" t="str">
        <f>IF($E1755="","",IFERROR(INDEX(基础资料!$O$4:$O$34,MATCH($E1755,基础资料!$N$4:$N$34,0))&amp;"",""))</f>
        <v/>
      </c>
      <c r="G1755" s="87" t="str">
        <f>IF($E1755="","",IFERROR(INDEX(基础资料!$P$4:$P$34,MATCH($E1755,基础资料!$N$4:$N$34,0))&amp;"",""))</f>
        <v/>
      </c>
      <c r="H1755" s="79"/>
      <c r="I1755" s="88"/>
      <c r="J1755" s="92"/>
      <c r="K1755" s="93"/>
      <c r="L1755" s="25" t="str">
        <f t="shared" si="82"/>
        <v/>
      </c>
      <c r="M1755" s="94"/>
      <c r="N1755" s="26" t="str">
        <f t="shared" si="83"/>
        <v/>
      </c>
      <c r="O1755" s="80"/>
      <c r="P1755" s="80"/>
      <c r="Q1755" s="80"/>
      <c r="R1755" s="80"/>
    </row>
    <row r="1756" ht="18" customHeight="1" spans="1:18">
      <c r="A1756" s="87" t="str">
        <f t="shared" si="81"/>
        <v/>
      </c>
      <c r="B1756" s="78"/>
      <c r="C1756" s="80"/>
      <c r="D1756" s="80"/>
      <c r="E1756" s="79"/>
      <c r="F1756" s="87" t="str">
        <f>IF($E1756="","",IFERROR(INDEX(基础资料!$O$4:$O$34,MATCH($E1756,基础资料!$N$4:$N$34,0))&amp;"",""))</f>
        <v/>
      </c>
      <c r="G1756" s="87" t="str">
        <f>IF($E1756="","",IFERROR(INDEX(基础资料!$P$4:$P$34,MATCH($E1756,基础资料!$N$4:$N$34,0))&amp;"",""))</f>
        <v/>
      </c>
      <c r="H1756" s="79"/>
      <c r="I1756" s="88"/>
      <c r="J1756" s="92"/>
      <c r="K1756" s="93"/>
      <c r="L1756" s="25" t="str">
        <f t="shared" si="82"/>
        <v/>
      </c>
      <c r="M1756" s="94"/>
      <c r="N1756" s="26" t="str">
        <f t="shared" si="83"/>
        <v/>
      </c>
      <c r="O1756" s="80"/>
      <c r="P1756" s="80"/>
      <c r="Q1756" s="80"/>
      <c r="R1756" s="80"/>
    </row>
    <row r="1757" ht="18" customHeight="1" spans="1:18">
      <c r="A1757" s="87" t="str">
        <f t="shared" si="81"/>
        <v/>
      </c>
      <c r="B1757" s="78"/>
      <c r="C1757" s="80"/>
      <c r="D1757" s="80"/>
      <c r="E1757" s="79"/>
      <c r="F1757" s="87" t="str">
        <f>IF($E1757="","",IFERROR(INDEX(基础资料!$O$4:$O$34,MATCH($E1757,基础资料!$N$4:$N$34,0))&amp;"",""))</f>
        <v/>
      </c>
      <c r="G1757" s="87" t="str">
        <f>IF($E1757="","",IFERROR(INDEX(基础资料!$P$4:$P$34,MATCH($E1757,基础资料!$N$4:$N$34,0))&amp;"",""))</f>
        <v/>
      </c>
      <c r="H1757" s="79"/>
      <c r="I1757" s="88"/>
      <c r="J1757" s="92"/>
      <c r="K1757" s="93"/>
      <c r="L1757" s="25" t="str">
        <f t="shared" si="82"/>
        <v/>
      </c>
      <c r="M1757" s="94"/>
      <c r="N1757" s="26" t="str">
        <f t="shared" si="83"/>
        <v/>
      </c>
      <c r="O1757" s="80"/>
      <c r="P1757" s="80"/>
      <c r="Q1757" s="80"/>
      <c r="R1757" s="80"/>
    </row>
    <row r="1758" ht="18" customHeight="1" spans="1:18">
      <c r="A1758" s="87" t="str">
        <f t="shared" si="81"/>
        <v/>
      </c>
      <c r="B1758" s="78"/>
      <c r="C1758" s="80"/>
      <c r="D1758" s="80"/>
      <c r="E1758" s="79"/>
      <c r="F1758" s="87" t="str">
        <f>IF($E1758="","",IFERROR(INDEX(基础资料!$O$4:$O$34,MATCH($E1758,基础资料!$N$4:$N$34,0))&amp;"",""))</f>
        <v/>
      </c>
      <c r="G1758" s="87" t="str">
        <f>IF($E1758="","",IFERROR(INDEX(基础资料!$P$4:$P$34,MATCH($E1758,基础资料!$N$4:$N$34,0))&amp;"",""))</f>
        <v/>
      </c>
      <c r="H1758" s="79"/>
      <c r="I1758" s="88"/>
      <c r="J1758" s="92"/>
      <c r="K1758" s="93"/>
      <c r="L1758" s="25" t="str">
        <f t="shared" si="82"/>
        <v/>
      </c>
      <c r="M1758" s="94"/>
      <c r="N1758" s="26" t="str">
        <f t="shared" si="83"/>
        <v/>
      </c>
      <c r="O1758" s="80"/>
      <c r="P1758" s="80"/>
      <c r="Q1758" s="80"/>
      <c r="R1758" s="80"/>
    </row>
    <row r="1759" ht="18" customHeight="1" spans="1:18">
      <c r="A1759" s="87" t="str">
        <f t="shared" si="81"/>
        <v/>
      </c>
      <c r="B1759" s="78"/>
      <c r="C1759" s="80"/>
      <c r="D1759" s="80"/>
      <c r="E1759" s="79"/>
      <c r="F1759" s="87" t="str">
        <f>IF($E1759="","",IFERROR(INDEX(基础资料!$O$4:$O$34,MATCH($E1759,基础资料!$N$4:$N$34,0))&amp;"",""))</f>
        <v/>
      </c>
      <c r="G1759" s="87" t="str">
        <f>IF($E1759="","",IFERROR(INDEX(基础资料!$P$4:$P$34,MATCH($E1759,基础资料!$N$4:$N$34,0))&amp;"",""))</f>
        <v/>
      </c>
      <c r="H1759" s="79"/>
      <c r="I1759" s="88"/>
      <c r="J1759" s="92"/>
      <c r="K1759" s="93"/>
      <c r="L1759" s="25" t="str">
        <f t="shared" si="82"/>
        <v/>
      </c>
      <c r="M1759" s="94"/>
      <c r="N1759" s="26" t="str">
        <f t="shared" si="83"/>
        <v/>
      </c>
      <c r="O1759" s="80"/>
      <c r="P1759" s="80"/>
      <c r="Q1759" s="80"/>
      <c r="R1759" s="80"/>
    </row>
    <row r="1760" ht="18" customHeight="1" spans="1:18">
      <c r="A1760" s="87" t="str">
        <f t="shared" si="81"/>
        <v/>
      </c>
      <c r="B1760" s="78"/>
      <c r="C1760" s="80"/>
      <c r="D1760" s="80"/>
      <c r="E1760" s="79"/>
      <c r="F1760" s="87" t="str">
        <f>IF($E1760="","",IFERROR(INDEX(基础资料!$O$4:$O$34,MATCH($E1760,基础资料!$N$4:$N$34,0))&amp;"",""))</f>
        <v/>
      </c>
      <c r="G1760" s="87" t="str">
        <f>IF($E1760="","",IFERROR(INDEX(基础资料!$P$4:$P$34,MATCH($E1760,基础资料!$N$4:$N$34,0))&amp;"",""))</f>
        <v/>
      </c>
      <c r="H1760" s="79"/>
      <c r="I1760" s="88"/>
      <c r="J1760" s="92"/>
      <c r="K1760" s="93"/>
      <c r="L1760" s="25" t="str">
        <f t="shared" si="82"/>
        <v/>
      </c>
      <c r="M1760" s="94"/>
      <c r="N1760" s="26" t="str">
        <f t="shared" si="83"/>
        <v/>
      </c>
      <c r="O1760" s="80"/>
      <c r="P1760" s="80"/>
      <c r="Q1760" s="80"/>
      <c r="R1760" s="80"/>
    </row>
    <row r="1761" ht="18" customHeight="1" spans="1:18">
      <c r="A1761" s="87" t="str">
        <f t="shared" si="81"/>
        <v/>
      </c>
      <c r="B1761" s="78"/>
      <c r="C1761" s="80"/>
      <c r="D1761" s="80"/>
      <c r="E1761" s="79"/>
      <c r="F1761" s="87" t="str">
        <f>IF($E1761="","",IFERROR(INDEX(基础资料!$O$4:$O$34,MATCH($E1761,基础资料!$N$4:$N$34,0))&amp;"",""))</f>
        <v/>
      </c>
      <c r="G1761" s="87" t="str">
        <f>IF($E1761="","",IFERROR(INDEX(基础资料!$P$4:$P$34,MATCH($E1761,基础资料!$N$4:$N$34,0))&amp;"",""))</f>
        <v/>
      </c>
      <c r="H1761" s="79"/>
      <c r="I1761" s="88"/>
      <c r="J1761" s="92"/>
      <c r="K1761" s="93"/>
      <c r="L1761" s="25" t="str">
        <f t="shared" si="82"/>
        <v/>
      </c>
      <c r="M1761" s="94"/>
      <c r="N1761" s="26" t="str">
        <f t="shared" si="83"/>
        <v/>
      </c>
      <c r="O1761" s="80"/>
      <c r="P1761" s="80"/>
      <c r="Q1761" s="80"/>
      <c r="R1761" s="80"/>
    </row>
    <row r="1762" ht="18" customHeight="1" spans="1:18">
      <c r="A1762" s="87" t="str">
        <f t="shared" si="81"/>
        <v/>
      </c>
      <c r="B1762" s="78"/>
      <c r="C1762" s="80"/>
      <c r="D1762" s="80"/>
      <c r="E1762" s="79"/>
      <c r="F1762" s="87" t="str">
        <f>IF($E1762="","",IFERROR(INDEX(基础资料!$O$4:$O$34,MATCH($E1762,基础资料!$N$4:$N$34,0))&amp;"",""))</f>
        <v/>
      </c>
      <c r="G1762" s="87" t="str">
        <f>IF($E1762="","",IFERROR(INDEX(基础资料!$P$4:$P$34,MATCH($E1762,基础资料!$N$4:$N$34,0))&amp;"",""))</f>
        <v/>
      </c>
      <c r="H1762" s="79"/>
      <c r="I1762" s="88"/>
      <c r="J1762" s="92"/>
      <c r="K1762" s="93"/>
      <c r="L1762" s="25" t="str">
        <f t="shared" si="82"/>
        <v/>
      </c>
      <c r="M1762" s="94"/>
      <c r="N1762" s="26" t="str">
        <f t="shared" si="83"/>
        <v/>
      </c>
      <c r="O1762" s="80"/>
      <c r="P1762" s="80"/>
      <c r="Q1762" s="80"/>
      <c r="R1762" s="80"/>
    </row>
    <row r="1763" ht="18" customHeight="1" spans="1:18">
      <c r="A1763" s="87" t="str">
        <f t="shared" si="81"/>
        <v/>
      </c>
      <c r="B1763" s="78"/>
      <c r="C1763" s="80"/>
      <c r="D1763" s="80"/>
      <c r="E1763" s="79"/>
      <c r="F1763" s="87" t="str">
        <f>IF($E1763="","",IFERROR(INDEX(基础资料!$O$4:$O$34,MATCH($E1763,基础资料!$N$4:$N$34,0))&amp;"",""))</f>
        <v/>
      </c>
      <c r="G1763" s="87" t="str">
        <f>IF($E1763="","",IFERROR(INDEX(基础资料!$P$4:$P$34,MATCH($E1763,基础资料!$N$4:$N$34,0))&amp;"",""))</f>
        <v/>
      </c>
      <c r="H1763" s="79"/>
      <c r="I1763" s="88"/>
      <c r="J1763" s="92"/>
      <c r="K1763" s="93"/>
      <c r="L1763" s="25" t="str">
        <f t="shared" si="82"/>
        <v/>
      </c>
      <c r="M1763" s="94"/>
      <c r="N1763" s="26" t="str">
        <f t="shared" si="83"/>
        <v/>
      </c>
      <c r="O1763" s="80"/>
      <c r="P1763" s="80"/>
      <c r="Q1763" s="80"/>
      <c r="R1763" s="80"/>
    </row>
    <row r="1764" ht="18" customHeight="1" spans="1:18">
      <c r="A1764" s="87" t="str">
        <f t="shared" si="81"/>
        <v/>
      </c>
      <c r="B1764" s="78"/>
      <c r="C1764" s="80"/>
      <c r="D1764" s="80"/>
      <c r="E1764" s="79"/>
      <c r="F1764" s="87" t="str">
        <f>IF($E1764="","",IFERROR(INDEX(基础资料!$O$4:$O$34,MATCH($E1764,基础资料!$N$4:$N$34,0))&amp;"",""))</f>
        <v/>
      </c>
      <c r="G1764" s="87" t="str">
        <f>IF($E1764="","",IFERROR(INDEX(基础资料!$P$4:$P$34,MATCH($E1764,基础资料!$N$4:$N$34,0))&amp;"",""))</f>
        <v/>
      </c>
      <c r="H1764" s="79"/>
      <c r="I1764" s="88"/>
      <c r="J1764" s="92"/>
      <c r="K1764" s="93"/>
      <c r="L1764" s="25" t="str">
        <f t="shared" si="82"/>
        <v/>
      </c>
      <c r="M1764" s="94"/>
      <c r="N1764" s="26" t="str">
        <f t="shared" si="83"/>
        <v/>
      </c>
      <c r="O1764" s="80"/>
      <c r="P1764" s="80"/>
      <c r="Q1764" s="80"/>
      <c r="R1764" s="80"/>
    </row>
    <row r="1765" ht="18" customHeight="1" spans="1:18">
      <c r="A1765" s="87" t="str">
        <f t="shared" si="81"/>
        <v/>
      </c>
      <c r="B1765" s="78"/>
      <c r="C1765" s="80"/>
      <c r="D1765" s="80"/>
      <c r="E1765" s="79"/>
      <c r="F1765" s="87" t="str">
        <f>IF($E1765="","",IFERROR(INDEX(基础资料!$O$4:$O$34,MATCH($E1765,基础资料!$N$4:$N$34,0))&amp;"",""))</f>
        <v/>
      </c>
      <c r="G1765" s="87" t="str">
        <f>IF($E1765="","",IFERROR(INDEX(基础资料!$P$4:$P$34,MATCH($E1765,基础资料!$N$4:$N$34,0))&amp;"",""))</f>
        <v/>
      </c>
      <c r="H1765" s="79"/>
      <c r="I1765" s="88"/>
      <c r="J1765" s="92"/>
      <c r="K1765" s="93"/>
      <c r="L1765" s="25" t="str">
        <f t="shared" si="82"/>
        <v/>
      </c>
      <c r="M1765" s="94"/>
      <c r="N1765" s="26" t="str">
        <f t="shared" si="83"/>
        <v/>
      </c>
      <c r="O1765" s="80"/>
      <c r="P1765" s="80"/>
      <c r="Q1765" s="80"/>
      <c r="R1765" s="80"/>
    </row>
    <row r="1766" ht="18" customHeight="1" spans="1:18">
      <c r="A1766" s="87" t="str">
        <f t="shared" si="81"/>
        <v/>
      </c>
      <c r="B1766" s="78"/>
      <c r="C1766" s="80"/>
      <c r="D1766" s="80"/>
      <c r="E1766" s="79"/>
      <c r="F1766" s="87" t="str">
        <f>IF($E1766="","",IFERROR(INDEX(基础资料!$O$4:$O$34,MATCH($E1766,基础资料!$N$4:$N$34,0))&amp;"",""))</f>
        <v/>
      </c>
      <c r="G1766" s="87" t="str">
        <f>IF($E1766="","",IFERROR(INDEX(基础资料!$P$4:$P$34,MATCH($E1766,基础资料!$N$4:$N$34,0))&amp;"",""))</f>
        <v/>
      </c>
      <c r="H1766" s="79"/>
      <c r="I1766" s="88"/>
      <c r="J1766" s="92"/>
      <c r="K1766" s="93"/>
      <c r="L1766" s="25" t="str">
        <f t="shared" si="82"/>
        <v/>
      </c>
      <c r="M1766" s="94"/>
      <c r="N1766" s="26" t="str">
        <f t="shared" si="83"/>
        <v/>
      </c>
      <c r="O1766" s="80"/>
      <c r="P1766" s="80"/>
      <c r="Q1766" s="80"/>
      <c r="R1766" s="80"/>
    </row>
    <row r="1767" ht="18" customHeight="1" spans="1:18">
      <c r="A1767" s="87" t="str">
        <f t="shared" si="81"/>
        <v/>
      </c>
      <c r="B1767" s="78"/>
      <c r="C1767" s="80"/>
      <c r="D1767" s="80"/>
      <c r="E1767" s="79"/>
      <c r="F1767" s="87" t="str">
        <f>IF($E1767="","",IFERROR(INDEX(基础资料!$O$4:$O$34,MATCH($E1767,基础资料!$N$4:$N$34,0))&amp;"",""))</f>
        <v/>
      </c>
      <c r="G1767" s="87" t="str">
        <f>IF($E1767="","",IFERROR(INDEX(基础资料!$P$4:$P$34,MATCH($E1767,基础资料!$N$4:$N$34,0))&amp;"",""))</f>
        <v/>
      </c>
      <c r="H1767" s="79"/>
      <c r="I1767" s="88"/>
      <c r="J1767" s="92"/>
      <c r="K1767" s="93"/>
      <c r="L1767" s="25" t="str">
        <f t="shared" si="82"/>
        <v/>
      </c>
      <c r="M1767" s="94"/>
      <c r="N1767" s="26" t="str">
        <f t="shared" si="83"/>
        <v/>
      </c>
      <c r="O1767" s="80"/>
      <c r="P1767" s="80"/>
      <c r="Q1767" s="80"/>
      <c r="R1767" s="80"/>
    </row>
    <row r="1768" ht="18" customHeight="1" spans="1:18">
      <c r="A1768" s="87" t="str">
        <f t="shared" si="81"/>
        <v/>
      </c>
      <c r="B1768" s="78"/>
      <c r="C1768" s="80"/>
      <c r="D1768" s="80"/>
      <c r="E1768" s="79"/>
      <c r="F1768" s="87" t="str">
        <f>IF($E1768="","",IFERROR(INDEX(基础资料!$O$4:$O$34,MATCH($E1768,基础资料!$N$4:$N$34,0))&amp;"",""))</f>
        <v/>
      </c>
      <c r="G1768" s="87" t="str">
        <f>IF($E1768="","",IFERROR(INDEX(基础资料!$P$4:$P$34,MATCH($E1768,基础资料!$N$4:$N$34,0))&amp;"",""))</f>
        <v/>
      </c>
      <c r="H1768" s="79"/>
      <c r="I1768" s="88"/>
      <c r="J1768" s="92"/>
      <c r="K1768" s="93"/>
      <c r="L1768" s="25" t="str">
        <f t="shared" si="82"/>
        <v/>
      </c>
      <c r="M1768" s="94"/>
      <c r="N1768" s="26" t="str">
        <f t="shared" si="83"/>
        <v/>
      </c>
      <c r="O1768" s="80"/>
      <c r="P1768" s="80"/>
      <c r="Q1768" s="80"/>
      <c r="R1768" s="80"/>
    </row>
    <row r="1769" ht="18" customHeight="1" spans="1:18">
      <c r="A1769" s="87" t="str">
        <f t="shared" si="81"/>
        <v/>
      </c>
      <c r="B1769" s="78"/>
      <c r="C1769" s="80"/>
      <c r="D1769" s="80"/>
      <c r="E1769" s="79"/>
      <c r="F1769" s="87" t="str">
        <f>IF($E1769="","",IFERROR(INDEX(基础资料!$O$4:$O$34,MATCH($E1769,基础资料!$N$4:$N$34,0))&amp;"",""))</f>
        <v/>
      </c>
      <c r="G1769" s="87" t="str">
        <f>IF($E1769="","",IFERROR(INDEX(基础资料!$P$4:$P$34,MATCH($E1769,基础资料!$N$4:$N$34,0))&amp;"",""))</f>
        <v/>
      </c>
      <c r="H1769" s="79"/>
      <c r="I1769" s="88"/>
      <c r="J1769" s="92"/>
      <c r="K1769" s="93"/>
      <c r="L1769" s="25" t="str">
        <f t="shared" si="82"/>
        <v/>
      </c>
      <c r="M1769" s="94"/>
      <c r="N1769" s="26" t="str">
        <f t="shared" si="83"/>
        <v/>
      </c>
      <c r="O1769" s="80"/>
      <c r="P1769" s="80"/>
      <c r="Q1769" s="80"/>
      <c r="R1769" s="80"/>
    </row>
    <row r="1770" ht="18" customHeight="1" spans="1:18">
      <c r="A1770" s="87" t="str">
        <f t="shared" si="81"/>
        <v/>
      </c>
      <c r="B1770" s="78"/>
      <c r="C1770" s="80"/>
      <c r="D1770" s="80"/>
      <c r="E1770" s="79"/>
      <c r="F1770" s="87" t="str">
        <f>IF($E1770="","",IFERROR(INDEX(基础资料!$O$4:$O$34,MATCH($E1770,基础资料!$N$4:$N$34,0))&amp;"",""))</f>
        <v/>
      </c>
      <c r="G1770" s="87" t="str">
        <f>IF($E1770="","",IFERROR(INDEX(基础资料!$P$4:$P$34,MATCH($E1770,基础资料!$N$4:$N$34,0))&amp;"",""))</f>
        <v/>
      </c>
      <c r="H1770" s="79"/>
      <c r="I1770" s="88"/>
      <c r="J1770" s="92"/>
      <c r="K1770" s="93"/>
      <c r="L1770" s="25" t="str">
        <f t="shared" si="82"/>
        <v/>
      </c>
      <c r="M1770" s="94"/>
      <c r="N1770" s="26" t="str">
        <f t="shared" si="83"/>
        <v/>
      </c>
      <c r="O1770" s="80"/>
      <c r="P1770" s="80"/>
      <c r="Q1770" s="80"/>
      <c r="R1770" s="80"/>
    </row>
    <row r="1771" ht="18" customHeight="1" spans="1:18">
      <c r="A1771" s="87" t="str">
        <f t="shared" si="81"/>
        <v/>
      </c>
      <c r="B1771" s="78"/>
      <c r="C1771" s="80"/>
      <c r="D1771" s="80"/>
      <c r="E1771" s="79"/>
      <c r="F1771" s="87" t="str">
        <f>IF($E1771="","",IFERROR(INDEX(基础资料!$O$4:$O$34,MATCH($E1771,基础资料!$N$4:$N$34,0))&amp;"",""))</f>
        <v/>
      </c>
      <c r="G1771" s="87" t="str">
        <f>IF($E1771="","",IFERROR(INDEX(基础资料!$P$4:$P$34,MATCH($E1771,基础资料!$N$4:$N$34,0))&amp;"",""))</f>
        <v/>
      </c>
      <c r="H1771" s="79"/>
      <c r="I1771" s="88"/>
      <c r="J1771" s="92"/>
      <c r="K1771" s="93"/>
      <c r="L1771" s="25" t="str">
        <f t="shared" si="82"/>
        <v/>
      </c>
      <c r="M1771" s="94"/>
      <c r="N1771" s="26" t="str">
        <f t="shared" si="83"/>
        <v/>
      </c>
      <c r="O1771" s="80"/>
      <c r="P1771" s="80"/>
      <c r="Q1771" s="80"/>
      <c r="R1771" s="80"/>
    </row>
    <row r="1772" ht="18" customHeight="1" spans="1:18">
      <c r="A1772" s="87" t="str">
        <f t="shared" si="81"/>
        <v/>
      </c>
      <c r="B1772" s="78"/>
      <c r="C1772" s="80"/>
      <c r="D1772" s="80"/>
      <c r="E1772" s="79"/>
      <c r="F1772" s="87" t="str">
        <f>IF($E1772="","",IFERROR(INDEX(基础资料!$O$4:$O$34,MATCH($E1772,基础资料!$N$4:$N$34,0))&amp;"",""))</f>
        <v/>
      </c>
      <c r="G1772" s="87" t="str">
        <f>IF($E1772="","",IFERROR(INDEX(基础资料!$P$4:$P$34,MATCH($E1772,基础资料!$N$4:$N$34,0))&amp;"",""))</f>
        <v/>
      </c>
      <c r="H1772" s="79"/>
      <c r="I1772" s="88"/>
      <c r="J1772" s="92"/>
      <c r="K1772" s="93"/>
      <c r="L1772" s="25" t="str">
        <f t="shared" si="82"/>
        <v/>
      </c>
      <c r="M1772" s="94"/>
      <c r="N1772" s="26" t="str">
        <f t="shared" si="83"/>
        <v/>
      </c>
      <c r="O1772" s="80"/>
      <c r="P1772" s="80"/>
      <c r="Q1772" s="80"/>
      <c r="R1772" s="80"/>
    </row>
    <row r="1773" ht="18" customHeight="1" spans="1:18">
      <c r="A1773" s="87" t="str">
        <f t="shared" si="81"/>
        <v/>
      </c>
      <c r="B1773" s="78"/>
      <c r="C1773" s="80"/>
      <c r="D1773" s="80"/>
      <c r="E1773" s="79"/>
      <c r="F1773" s="87" t="str">
        <f>IF($E1773="","",IFERROR(INDEX(基础资料!$O$4:$O$34,MATCH($E1773,基础资料!$N$4:$N$34,0))&amp;"",""))</f>
        <v/>
      </c>
      <c r="G1773" s="87" t="str">
        <f>IF($E1773="","",IFERROR(INDEX(基础资料!$P$4:$P$34,MATCH($E1773,基础资料!$N$4:$N$34,0))&amp;"",""))</f>
        <v/>
      </c>
      <c r="H1773" s="79"/>
      <c r="I1773" s="88"/>
      <c r="J1773" s="92"/>
      <c r="K1773" s="93"/>
      <c r="L1773" s="25" t="str">
        <f t="shared" si="82"/>
        <v/>
      </c>
      <c r="M1773" s="94"/>
      <c r="N1773" s="26" t="str">
        <f t="shared" si="83"/>
        <v/>
      </c>
      <c r="O1773" s="80"/>
      <c r="P1773" s="80"/>
      <c r="Q1773" s="80"/>
      <c r="R1773" s="80"/>
    </row>
    <row r="1774" ht="18" customHeight="1" spans="1:18">
      <c r="A1774" s="87" t="str">
        <f t="shared" si="81"/>
        <v/>
      </c>
      <c r="B1774" s="78"/>
      <c r="C1774" s="80"/>
      <c r="D1774" s="80"/>
      <c r="E1774" s="79"/>
      <c r="F1774" s="87" t="str">
        <f>IF($E1774="","",IFERROR(INDEX(基础资料!$O$4:$O$34,MATCH($E1774,基础资料!$N$4:$N$34,0))&amp;"",""))</f>
        <v/>
      </c>
      <c r="G1774" s="87" t="str">
        <f>IF($E1774="","",IFERROR(INDEX(基础资料!$P$4:$P$34,MATCH($E1774,基础资料!$N$4:$N$34,0))&amp;"",""))</f>
        <v/>
      </c>
      <c r="H1774" s="79"/>
      <c r="I1774" s="88"/>
      <c r="J1774" s="92"/>
      <c r="K1774" s="93"/>
      <c r="L1774" s="25" t="str">
        <f t="shared" si="82"/>
        <v/>
      </c>
      <c r="M1774" s="94"/>
      <c r="N1774" s="26" t="str">
        <f t="shared" si="83"/>
        <v/>
      </c>
      <c r="O1774" s="80"/>
      <c r="P1774" s="80"/>
      <c r="Q1774" s="80"/>
      <c r="R1774" s="80"/>
    </row>
    <row r="1775" ht="18" customHeight="1" spans="1:18">
      <c r="A1775" s="87" t="str">
        <f t="shared" si="81"/>
        <v/>
      </c>
      <c r="B1775" s="78"/>
      <c r="C1775" s="80"/>
      <c r="D1775" s="80"/>
      <c r="E1775" s="79"/>
      <c r="F1775" s="87" t="str">
        <f>IF($E1775="","",IFERROR(INDEX(基础资料!$O$4:$O$34,MATCH($E1775,基础资料!$N$4:$N$34,0))&amp;"",""))</f>
        <v/>
      </c>
      <c r="G1775" s="87" t="str">
        <f>IF($E1775="","",IFERROR(INDEX(基础资料!$P$4:$P$34,MATCH($E1775,基础资料!$N$4:$N$34,0))&amp;"",""))</f>
        <v/>
      </c>
      <c r="H1775" s="79"/>
      <c r="I1775" s="88"/>
      <c r="J1775" s="92"/>
      <c r="K1775" s="93"/>
      <c r="L1775" s="25" t="str">
        <f t="shared" si="82"/>
        <v/>
      </c>
      <c r="M1775" s="94"/>
      <c r="N1775" s="26" t="str">
        <f t="shared" si="83"/>
        <v/>
      </c>
      <c r="O1775" s="80"/>
      <c r="P1775" s="80"/>
      <c r="Q1775" s="80"/>
      <c r="R1775" s="80"/>
    </row>
    <row r="1776" ht="18" customHeight="1" spans="1:18">
      <c r="A1776" s="87" t="str">
        <f t="shared" si="81"/>
        <v/>
      </c>
      <c r="B1776" s="78"/>
      <c r="C1776" s="80"/>
      <c r="D1776" s="80"/>
      <c r="E1776" s="79"/>
      <c r="F1776" s="87" t="str">
        <f>IF($E1776="","",IFERROR(INDEX(基础资料!$O$4:$O$34,MATCH($E1776,基础资料!$N$4:$N$34,0))&amp;"",""))</f>
        <v/>
      </c>
      <c r="G1776" s="87" t="str">
        <f>IF($E1776="","",IFERROR(INDEX(基础资料!$P$4:$P$34,MATCH($E1776,基础资料!$N$4:$N$34,0))&amp;"",""))</f>
        <v/>
      </c>
      <c r="H1776" s="79"/>
      <c r="I1776" s="88"/>
      <c r="J1776" s="92"/>
      <c r="K1776" s="93"/>
      <c r="L1776" s="25" t="str">
        <f t="shared" si="82"/>
        <v/>
      </c>
      <c r="M1776" s="94"/>
      <c r="N1776" s="26" t="str">
        <f t="shared" si="83"/>
        <v/>
      </c>
      <c r="O1776" s="80"/>
      <c r="P1776" s="80"/>
      <c r="Q1776" s="80"/>
      <c r="R1776" s="80"/>
    </row>
    <row r="1777" ht="18" customHeight="1" spans="1:18">
      <c r="A1777" s="87" t="str">
        <f t="shared" si="81"/>
        <v/>
      </c>
      <c r="B1777" s="78"/>
      <c r="C1777" s="80"/>
      <c r="D1777" s="80"/>
      <c r="E1777" s="79"/>
      <c r="F1777" s="87" t="str">
        <f>IF($E1777="","",IFERROR(INDEX(基础资料!$O$4:$O$34,MATCH($E1777,基础资料!$N$4:$N$34,0))&amp;"",""))</f>
        <v/>
      </c>
      <c r="G1777" s="87" t="str">
        <f>IF($E1777="","",IFERROR(INDEX(基础资料!$P$4:$P$34,MATCH($E1777,基础资料!$N$4:$N$34,0))&amp;"",""))</f>
        <v/>
      </c>
      <c r="H1777" s="79"/>
      <c r="I1777" s="88"/>
      <c r="J1777" s="92"/>
      <c r="K1777" s="93"/>
      <c r="L1777" s="25" t="str">
        <f t="shared" si="82"/>
        <v/>
      </c>
      <c r="M1777" s="94"/>
      <c r="N1777" s="26" t="str">
        <f t="shared" si="83"/>
        <v/>
      </c>
      <c r="O1777" s="80"/>
      <c r="P1777" s="80"/>
      <c r="Q1777" s="80"/>
      <c r="R1777" s="80"/>
    </row>
    <row r="1778" ht="18" customHeight="1" spans="1:18">
      <c r="A1778" s="87" t="str">
        <f t="shared" si="81"/>
        <v/>
      </c>
      <c r="B1778" s="78"/>
      <c r="C1778" s="80"/>
      <c r="D1778" s="80"/>
      <c r="E1778" s="79"/>
      <c r="F1778" s="87" t="str">
        <f>IF($E1778="","",IFERROR(INDEX(基础资料!$O$4:$O$34,MATCH($E1778,基础资料!$N$4:$N$34,0))&amp;"",""))</f>
        <v/>
      </c>
      <c r="G1778" s="87" t="str">
        <f>IF($E1778="","",IFERROR(INDEX(基础资料!$P$4:$P$34,MATCH($E1778,基础资料!$N$4:$N$34,0))&amp;"",""))</f>
        <v/>
      </c>
      <c r="H1778" s="79"/>
      <c r="I1778" s="88"/>
      <c r="J1778" s="92"/>
      <c r="K1778" s="93"/>
      <c r="L1778" s="25" t="str">
        <f t="shared" si="82"/>
        <v/>
      </c>
      <c r="M1778" s="94"/>
      <c r="N1778" s="26" t="str">
        <f t="shared" si="83"/>
        <v/>
      </c>
      <c r="O1778" s="80"/>
      <c r="P1778" s="80"/>
      <c r="Q1778" s="80"/>
      <c r="R1778" s="80"/>
    </row>
    <row r="1779" ht="18" customHeight="1" spans="1:18">
      <c r="A1779" s="87" t="str">
        <f t="shared" si="81"/>
        <v/>
      </c>
      <c r="B1779" s="78"/>
      <c r="C1779" s="80"/>
      <c r="D1779" s="80"/>
      <c r="E1779" s="79"/>
      <c r="F1779" s="87" t="str">
        <f>IF($E1779="","",IFERROR(INDEX(基础资料!$O$4:$O$34,MATCH($E1779,基础资料!$N$4:$N$34,0))&amp;"",""))</f>
        <v/>
      </c>
      <c r="G1779" s="87" t="str">
        <f>IF($E1779="","",IFERROR(INDEX(基础资料!$P$4:$P$34,MATCH($E1779,基础资料!$N$4:$N$34,0))&amp;"",""))</f>
        <v/>
      </c>
      <c r="H1779" s="79"/>
      <c r="I1779" s="88"/>
      <c r="J1779" s="92"/>
      <c r="K1779" s="93"/>
      <c r="L1779" s="25" t="str">
        <f t="shared" si="82"/>
        <v/>
      </c>
      <c r="M1779" s="94"/>
      <c r="N1779" s="26" t="str">
        <f t="shared" si="83"/>
        <v/>
      </c>
      <c r="O1779" s="80"/>
      <c r="P1779" s="80"/>
      <c r="Q1779" s="80"/>
      <c r="R1779" s="80"/>
    </row>
    <row r="1780" ht="18" customHeight="1" spans="1:18">
      <c r="A1780" s="87" t="str">
        <f t="shared" si="81"/>
        <v/>
      </c>
      <c r="B1780" s="78"/>
      <c r="C1780" s="80"/>
      <c r="D1780" s="80"/>
      <c r="E1780" s="79"/>
      <c r="F1780" s="87" t="str">
        <f>IF($E1780="","",IFERROR(INDEX(基础资料!$O$4:$O$34,MATCH($E1780,基础资料!$N$4:$N$34,0))&amp;"",""))</f>
        <v/>
      </c>
      <c r="G1780" s="87" t="str">
        <f>IF($E1780="","",IFERROR(INDEX(基础资料!$P$4:$P$34,MATCH($E1780,基础资料!$N$4:$N$34,0))&amp;"",""))</f>
        <v/>
      </c>
      <c r="H1780" s="79"/>
      <c r="I1780" s="88"/>
      <c r="J1780" s="92"/>
      <c r="K1780" s="93"/>
      <c r="L1780" s="25" t="str">
        <f t="shared" si="82"/>
        <v/>
      </c>
      <c r="M1780" s="94"/>
      <c r="N1780" s="26" t="str">
        <f t="shared" si="83"/>
        <v/>
      </c>
      <c r="O1780" s="80"/>
      <c r="P1780" s="80"/>
      <c r="Q1780" s="80"/>
      <c r="R1780" s="80"/>
    </row>
    <row r="1781" ht="18" customHeight="1" spans="1:18">
      <c r="A1781" s="87" t="str">
        <f t="shared" si="81"/>
        <v/>
      </c>
      <c r="B1781" s="78"/>
      <c r="C1781" s="80"/>
      <c r="D1781" s="80"/>
      <c r="E1781" s="79"/>
      <c r="F1781" s="87" t="str">
        <f>IF($E1781="","",IFERROR(INDEX(基础资料!$O$4:$O$34,MATCH($E1781,基础资料!$N$4:$N$34,0))&amp;"",""))</f>
        <v/>
      </c>
      <c r="G1781" s="87" t="str">
        <f>IF($E1781="","",IFERROR(INDEX(基础资料!$P$4:$P$34,MATCH($E1781,基础资料!$N$4:$N$34,0))&amp;"",""))</f>
        <v/>
      </c>
      <c r="H1781" s="79"/>
      <c r="I1781" s="88"/>
      <c r="J1781" s="92"/>
      <c r="K1781" s="93"/>
      <c r="L1781" s="25" t="str">
        <f t="shared" si="82"/>
        <v/>
      </c>
      <c r="M1781" s="94"/>
      <c r="N1781" s="26" t="str">
        <f t="shared" si="83"/>
        <v/>
      </c>
      <c r="O1781" s="80"/>
      <c r="P1781" s="80"/>
      <c r="Q1781" s="80"/>
      <c r="R1781" s="80"/>
    </row>
    <row r="1782" ht="18" customHeight="1" spans="1:18">
      <c r="A1782" s="87" t="str">
        <f t="shared" si="81"/>
        <v/>
      </c>
      <c r="B1782" s="78"/>
      <c r="C1782" s="80"/>
      <c r="D1782" s="80"/>
      <c r="E1782" s="79"/>
      <c r="F1782" s="87" t="str">
        <f>IF($E1782="","",IFERROR(INDEX(基础资料!$O$4:$O$34,MATCH($E1782,基础资料!$N$4:$N$34,0))&amp;"",""))</f>
        <v/>
      </c>
      <c r="G1782" s="87" t="str">
        <f>IF($E1782="","",IFERROR(INDEX(基础资料!$P$4:$P$34,MATCH($E1782,基础资料!$N$4:$N$34,0))&amp;"",""))</f>
        <v/>
      </c>
      <c r="H1782" s="79"/>
      <c r="I1782" s="88"/>
      <c r="J1782" s="92"/>
      <c r="K1782" s="93"/>
      <c r="L1782" s="25" t="str">
        <f t="shared" si="82"/>
        <v/>
      </c>
      <c r="M1782" s="94"/>
      <c r="N1782" s="26" t="str">
        <f t="shared" si="83"/>
        <v/>
      </c>
      <c r="O1782" s="80"/>
      <c r="P1782" s="80"/>
      <c r="Q1782" s="80"/>
      <c r="R1782" s="80"/>
    </row>
    <row r="1783" ht="18" customHeight="1" spans="1:18">
      <c r="A1783" s="87" t="str">
        <f t="shared" si="81"/>
        <v/>
      </c>
      <c r="B1783" s="78"/>
      <c r="C1783" s="80"/>
      <c r="D1783" s="80"/>
      <c r="E1783" s="79"/>
      <c r="F1783" s="87" t="str">
        <f>IF($E1783="","",IFERROR(INDEX(基础资料!$O$4:$O$34,MATCH($E1783,基础资料!$N$4:$N$34,0))&amp;"",""))</f>
        <v/>
      </c>
      <c r="G1783" s="87" t="str">
        <f>IF($E1783="","",IFERROR(INDEX(基础资料!$P$4:$P$34,MATCH($E1783,基础资料!$N$4:$N$34,0))&amp;"",""))</f>
        <v/>
      </c>
      <c r="H1783" s="79"/>
      <c r="I1783" s="88"/>
      <c r="J1783" s="92"/>
      <c r="K1783" s="93"/>
      <c r="L1783" s="25" t="str">
        <f t="shared" si="82"/>
        <v/>
      </c>
      <c r="M1783" s="94"/>
      <c r="N1783" s="26" t="str">
        <f t="shared" si="83"/>
        <v/>
      </c>
      <c r="O1783" s="80"/>
      <c r="P1783" s="80"/>
      <c r="Q1783" s="80"/>
      <c r="R1783" s="80"/>
    </row>
    <row r="1784" ht="18" customHeight="1" spans="1:18">
      <c r="A1784" s="87" t="str">
        <f t="shared" si="81"/>
        <v/>
      </c>
      <c r="B1784" s="78"/>
      <c r="C1784" s="80"/>
      <c r="D1784" s="80"/>
      <c r="E1784" s="79"/>
      <c r="F1784" s="87" t="str">
        <f>IF($E1784="","",IFERROR(INDEX(基础资料!$O$4:$O$34,MATCH($E1784,基础资料!$N$4:$N$34,0))&amp;"",""))</f>
        <v/>
      </c>
      <c r="G1784" s="87" t="str">
        <f>IF($E1784="","",IFERROR(INDEX(基础资料!$P$4:$P$34,MATCH($E1784,基础资料!$N$4:$N$34,0))&amp;"",""))</f>
        <v/>
      </c>
      <c r="H1784" s="79"/>
      <c r="I1784" s="88"/>
      <c r="J1784" s="92"/>
      <c r="K1784" s="93"/>
      <c r="L1784" s="25" t="str">
        <f t="shared" si="82"/>
        <v/>
      </c>
      <c r="M1784" s="94"/>
      <c r="N1784" s="26" t="str">
        <f t="shared" si="83"/>
        <v/>
      </c>
      <c r="O1784" s="80"/>
      <c r="P1784" s="80"/>
      <c r="Q1784" s="80"/>
      <c r="R1784" s="80"/>
    </row>
    <row r="1785" ht="18" customHeight="1" spans="1:18">
      <c r="A1785" s="87" t="str">
        <f t="shared" si="81"/>
        <v/>
      </c>
      <c r="B1785" s="78"/>
      <c r="C1785" s="80"/>
      <c r="D1785" s="80"/>
      <c r="E1785" s="79"/>
      <c r="F1785" s="87" t="str">
        <f>IF($E1785="","",IFERROR(INDEX(基础资料!$O$4:$O$34,MATCH($E1785,基础资料!$N$4:$N$34,0))&amp;"",""))</f>
        <v/>
      </c>
      <c r="G1785" s="87" t="str">
        <f>IF($E1785="","",IFERROR(INDEX(基础资料!$P$4:$P$34,MATCH($E1785,基础资料!$N$4:$N$34,0))&amp;"",""))</f>
        <v/>
      </c>
      <c r="H1785" s="79"/>
      <c r="I1785" s="88"/>
      <c r="J1785" s="92"/>
      <c r="K1785" s="93"/>
      <c r="L1785" s="25" t="str">
        <f t="shared" si="82"/>
        <v/>
      </c>
      <c r="M1785" s="94"/>
      <c r="N1785" s="26" t="str">
        <f t="shared" si="83"/>
        <v/>
      </c>
      <c r="O1785" s="80"/>
      <c r="P1785" s="80"/>
      <c r="Q1785" s="80"/>
      <c r="R1785" s="80"/>
    </row>
    <row r="1786" ht="18" customHeight="1" spans="1:18">
      <c r="A1786" s="87" t="str">
        <f t="shared" si="81"/>
        <v/>
      </c>
      <c r="B1786" s="78"/>
      <c r="C1786" s="80"/>
      <c r="D1786" s="80"/>
      <c r="E1786" s="79"/>
      <c r="F1786" s="87" t="str">
        <f>IF($E1786="","",IFERROR(INDEX(基础资料!$O$4:$O$34,MATCH($E1786,基础资料!$N$4:$N$34,0))&amp;"",""))</f>
        <v/>
      </c>
      <c r="G1786" s="87" t="str">
        <f>IF($E1786="","",IFERROR(INDEX(基础资料!$P$4:$P$34,MATCH($E1786,基础资料!$N$4:$N$34,0))&amp;"",""))</f>
        <v/>
      </c>
      <c r="H1786" s="79"/>
      <c r="I1786" s="88"/>
      <c r="J1786" s="92"/>
      <c r="K1786" s="93"/>
      <c r="L1786" s="25" t="str">
        <f t="shared" si="82"/>
        <v/>
      </c>
      <c r="M1786" s="94"/>
      <c r="N1786" s="26" t="str">
        <f t="shared" si="83"/>
        <v/>
      </c>
      <c r="O1786" s="80"/>
      <c r="P1786" s="80"/>
      <c r="Q1786" s="80"/>
      <c r="R1786" s="80"/>
    </row>
    <row r="1787" ht="18" customHeight="1" spans="1:18">
      <c r="A1787" s="87" t="str">
        <f t="shared" si="81"/>
        <v/>
      </c>
      <c r="B1787" s="78"/>
      <c r="C1787" s="80"/>
      <c r="D1787" s="80"/>
      <c r="E1787" s="79"/>
      <c r="F1787" s="87" t="str">
        <f>IF($E1787="","",IFERROR(INDEX(基础资料!$O$4:$O$34,MATCH($E1787,基础资料!$N$4:$N$34,0))&amp;"",""))</f>
        <v/>
      </c>
      <c r="G1787" s="87" t="str">
        <f>IF($E1787="","",IFERROR(INDEX(基础资料!$P$4:$P$34,MATCH($E1787,基础资料!$N$4:$N$34,0))&amp;"",""))</f>
        <v/>
      </c>
      <c r="H1787" s="79"/>
      <c r="I1787" s="88"/>
      <c r="J1787" s="92"/>
      <c r="K1787" s="93"/>
      <c r="L1787" s="25" t="str">
        <f t="shared" si="82"/>
        <v/>
      </c>
      <c r="M1787" s="94"/>
      <c r="N1787" s="26" t="str">
        <f t="shared" si="83"/>
        <v/>
      </c>
      <c r="O1787" s="80"/>
      <c r="P1787" s="80"/>
      <c r="Q1787" s="80"/>
      <c r="R1787" s="80"/>
    </row>
    <row r="1788" ht="18" customHeight="1" spans="1:18">
      <c r="A1788" s="87" t="str">
        <f t="shared" si="81"/>
        <v/>
      </c>
      <c r="B1788" s="78"/>
      <c r="C1788" s="80"/>
      <c r="D1788" s="80"/>
      <c r="E1788" s="79"/>
      <c r="F1788" s="87" t="str">
        <f>IF($E1788="","",IFERROR(INDEX(基础资料!$O$4:$O$34,MATCH($E1788,基础资料!$N$4:$N$34,0))&amp;"",""))</f>
        <v/>
      </c>
      <c r="G1788" s="87" t="str">
        <f>IF($E1788="","",IFERROR(INDEX(基础资料!$P$4:$P$34,MATCH($E1788,基础资料!$N$4:$N$34,0))&amp;"",""))</f>
        <v/>
      </c>
      <c r="H1788" s="79"/>
      <c r="I1788" s="88"/>
      <c r="J1788" s="92"/>
      <c r="K1788" s="93"/>
      <c r="L1788" s="25" t="str">
        <f t="shared" si="82"/>
        <v/>
      </c>
      <c r="M1788" s="94"/>
      <c r="N1788" s="26" t="str">
        <f t="shared" si="83"/>
        <v/>
      </c>
      <c r="O1788" s="80"/>
      <c r="P1788" s="80"/>
      <c r="Q1788" s="80"/>
      <c r="R1788" s="80"/>
    </row>
    <row r="1789" ht="18" customHeight="1" spans="1:18">
      <c r="A1789" s="87" t="str">
        <f t="shared" si="81"/>
        <v/>
      </c>
      <c r="B1789" s="78"/>
      <c r="C1789" s="80"/>
      <c r="D1789" s="80"/>
      <c r="E1789" s="79"/>
      <c r="F1789" s="87" t="str">
        <f>IF($E1789="","",IFERROR(INDEX(基础资料!$O$4:$O$34,MATCH($E1789,基础资料!$N$4:$N$34,0))&amp;"",""))</f>
        <v/>
      </c>
      <c r="G1789" s="87" t="str">
        <f>IF($E1789="","",IFERROR(INDEX(基础资料!$P$4:$P$34,MATCH($E1789,基础资料!$N$4:$N$34,0))&amp;"",""))</f>
        <v/>
      </c>
      <c r="H1789" s="79"/>
      <c r="I1789" s="88"/>
      <c r="J1789" s="92"/>
      <c r="K1789" s="93"/>
      <c r="L1789" s="25" t="str">
        <f t="shared" si="82"/>
        <v/>
      </c>
      <c r="M1789" s="94"/>
      <c r="N1789" s="26" t="str">
        <f t="shared" si="83"/>
        <v/>
      </c>
      <c r="O1789" s="80"/>
      <c r="P1789" s="80"/>
      <c r="Q1789" s="80"/>
      <c r="R1789" s="80"/>
    </row>
    <row r="1790" ht="18" customHeight="1" spans="1:18">
      <c r="A1790" s="87" t="str">
        <f t="shared" si="81"/>
        <v/>
      </c>
      <c r="B1790" s="78"/>
      <c r="C1790" s="80"/>
      <c r="D1790" s="80"/>
      <c r="E1790" s="79"/>
      <c r="F1790" s="87" t="str">
        <f>IF($E1790="","",IFERROR(INDEX(基础资料!$O$4:$O$34,MATCH($E1790,基础资料!$N$4:$N$34,0))&amp;"",""))</f>
        <v/>
      </c>
      <c r="G1790" s="87" t="str">
        <f>IF($E1790="","",IFERROR(INDEX(基础资料!$P$4:$P$34,MATCH($E1790,基础资料!$N$4:$N$34,0))&amp;"",""))</f>
        <v/>
      </c>
      <c r="H1790" s="79"/>
      <c r="I1790" s="88"/>
      <c r="J1790" s="92"/>
      <c r="K1790" s="93"/>
      <c r="L1790" s="25" t="str">
        <f t="shared" si="82"/>
        <v/>
      </c>
      <c r="M1790" s="94"/>
      <c r="N1790" s="26" t="str">
        <f t="shared" si="83"/>
        <v/>
      </c>
      <c r="O1790" s="80"/>
      <c r="P1790" s="80"/>
      <c r="Q1790" s="80"/>
      <c r="R1790" s="80"/>
    </row>
    <row r="1791" ht="18" customHeight="1" spans="1:18">
      <c r="A1791" s="87" t="str">
        <f t="shared" si="81"/>
        <v/>
      </c>
      <c r="B1791" s="78"/>
      <c r="C1791" s="80"/>
      <c r="D1791" s="80"/>
      <c r="E1791" s="79"/>
      <c r="F1791" s="87" t="str">
        <f>IF($E1791="","",IFERROR(INDEX(基础资料!$O$4:$O$34,MATCH($E1791,基础资料!$N$4:$N$34,0))&amp;"",""))</f>
        <v/>
      </c>
      <c r="G1791" s="87" t="str">
        <f>IF($E1791="","",IFERROR(INDEX(基础资料!$P$4:$P$34,MATCH($E1791,基础资料!$N$4:$N$34,0))&amp;"",""))</f>
        <v/>
      </c>
      <c r="H1791" s="79"/>
      <c r="I1791" s="88"/>
      <c r="J1791" s="92"/>
      <c r="K1791" s="93"/>
      <c r="L1791" s="25" t="str">
        <f t="shared" si="82"/>
        <v/>
      </c>
      <c r="M1791" s="94"/>
      <c r="N1791" s="26" t="str">
        <f t="shared" si="83"/>
        <v/>
      </c>
      <c r="O1791" s="80"/>
      <c r="P1791" s="80"/>
      <c r="Q1791" s="80"/>
      <c r="R1791" s="80"/>
    </row>
    <row r="1792" ht="18" customHeight="1" spans="1:18">
      <c r="A1792" s="87" t="str">
        <f t="shared" si="81"/>
        <v/>
      </c>
      <c r="B1792" s="78"/>
      <c r="C1792" s="80"/>
      <c r="D1792" s="80"/>
      <c r="E1792" s="79"/>
      <c r="F1792" s="87" t="str">
        <f>IF($E1792="","",IFERROR(INDEX(基础资料!$O$4:$O$34,MATCH($E1792,基础资料!$N$4:$N$34,0))&amp;"",""))</f>
        <v/>
      </c>
      <c r="G1792" s="87" t="str">
        <f>IF($E1792="","",IFERROR(INDEX(基础资料!$P$4:$P$34,MATCH($E1792,基础资料!$N$4:$N$34,0))&amp;"",""))</f>
        <v/>
      </c>
      <c r="H1792" s="79"/>
      <c r="I1792" s="88"/>
      <c r="J1792" s="92"/>
      <c r="K1792" s="93"/>
      <c r="L1792" s="25" t="str">
        <f t="shared" si="82"/>
        <v/>
      </c>
      <c r="M1792" s="94"/>
      <c r="N1792" s="26" t="str">
        <f t="shared" si="83"/>
        <v/>
      </c>
      <c r="O1792" s="80"/>
      <c r="P1792" s="80"/>
      <c r="Q1792" s="80"/>
      <c r="R1792" s="80"/>
    </row>
    <row r="1793" ht="18" customHeight="1" spans="1:18">
      <c r="A1793" s="87" t="str">
        <f t="shared" si="81"/>
        <v/>
      </c>
      <c r="B1793" s="78"/>
      <c r="C1793" s="80"/>
      <c r="D1793" s="80"/>
      <c r="E1793" s="79"/>
      <c r="F1793" s="87" t="str">
        <f>IF($E1793="","",IFERROR(INDEX(基础资料!$O$4:$O$34,MATCH($E1793,基础资料!$N$4:$N$34,0))&amp;"",""))</f>
        <v/>
      </c>
      <c r="G1793" s="87" t="str">
        <f>IF($E1793="","",IFERROR(INDEX(基础资料!$P$4:$P$34,MATCH($E1793,基础资料!$N$4:$N$34,0))&amp;"",""))</f>
        <v/>
      </c>
      <c r="H1793" s="79"/>
      <c r="I1793" s="88"/>
      <c r="J1793" s="92"/>
      <c r="K1793" s="93"/>
      <c r="L1793" s="25" t="str">
        <f t="shared" si="82"/>
        <v/>
      </c>
      <c r="M1793" s="94"/>
      <c r="N1793" s="26" t="str">
        <f t="shared" si="83"/>
        <v/>
      </c>
      <c r="O1793" s="80"/>
      <c r="P1793" s="80"/>
      <c r="Q1793" s="80"/>
      <c r="R1793" s="80"/>
    </row>
    <row r="1794" ht="18" customHeight="1" spans="1:18">
      <c r="A1794" s="87" t="str">
        <f t="shared" si="81"/>
        <v/>
      </c>
      <c r="B1794" s="78"/>
      <c r="C1794" s="80"/>
      <c r="D1794" s="80"/>
      <c r="E1794" s="79"/>
      <c r="F1794" s="87" t="str">
        <f>IF($E1794="","",IFERROR(INDEX(基础资料!$O$4:$O$34,MATCH($E1794,基础资料!$N$4:$N$34,0))&amp;"",""))</f>
        <v/>
      </c>
      <c r="G1794" s="87" t="str">
        <f>IF($E1794="","",IFERROR(INDEX(基础资料!$P$4:$P$34,MATCH($E1794,基础资料!$N$4:$N$34,0))&amp;"",""))</f>
        <v/>
      </c>
      <c r="H1794" s="79"/>
      <c r="I1794" s="88"/>
      <c r="J1794" s="92"/>
      <c r="K1794" s="93"/>
      <c r="L1794" s="25" t="str">
        <f t="shared" si="82"/>
        <v/>
      </c>
      <c r="M1794" s="94"/>
      <c r="N1794" s="26" t="str">
        <f t="shared" si="83"/>
        <v/>
      </c>
      <c r="O1794" s="80"/>
      <c r="P1794" s="80"/>
      <c r="Q1794" s="80"/>
      <c r="R1794" s="80"/>
    </row>
    <row r="1795" ht="18" customHeight="1" spans="1:18">
      <c r="A1795" s="87" t="str">
        <f t="shared" si="81"/>
        <v/>
      </c>
      <c r="B1795" s="78"/>
      <c r="C1795" s="80"/>
      <c r="D1795" s="80"/>
      <c r="E1795" s="79"/>
      <c r="F1795" s="87" t="str">
        <f>IF($E1795="","",IFERROR(INDEX(基础资料!$O$4:$O$34,MATCH($E1795,基础资料!$N$4:$N$34,0))&amp;"",""))</f>
        <v/>
      </c>
      <c r="G1795" s="87" t="str">
        <f>IF($E1795="","",IFERROR(INDEX(基础资料!$P$4:$P$34,MATCH($E1795,基础资料!$N$4:$N$34,0))&amp;"",""))</f>
        <v/>
      </c>
      <c r="H1795" s="79"/>
      <c r="I1795" s="88"/>
      <c r="J1795" s="92"/>
      <c r="K1795" s="93"/>
      <c r="L1795" s="25" t="str">
        <f t="shared" si="82"/>
        <v/>
      </c>
      <c r="M1795" s="94"/>
      <c r="N1795" s="26" t="str">
        <f t="shared" si="83"/>
        <v/>
      </c>
      <c r="O1795" s="80"/>
      <c r="P1795" s="80"/>
      <c r="Q1795" s="80"/>
      <c r="R1795" s="80"/>
    </row>
    <row r="1796" ht="18" customHeight="1" spans="1:18">
      <c r="A1796" s="87" t="str">
        <f t="shared" ref="A1796:A1859" si="84">IF($E1796="","",ROW()-3)</f>
        <v/>
      </c>
      <c r="B1796" s="78"/>
      <c r="C1796" s="80"/>
      <c r="D1796" s="80"/>
      <c r="E1796" s="79"/>
      <c r="F1796" s="87" t="str">
        <f>IF($E1796="","",IFERROR(INDEX(基础资料!$O$4:$O$34,MATCH($E1796,基础资料!$N$4:$N$34,0))&amp;"",""))</f>
        <v/>
      </c>
      <c r="G1796" s="87" t="str">
        <f>IF($E1796="","",IFERROR(INDEX(基础资料!$P$4:$P$34,MATCH($E1796,基础资料!$N$4:$N$34,0))&amp;"",""))</f>
        <v/>
      </c>
      <c r="H1796" s="79"/>
      <c r="I1796" s="88"/>
      <c r="J1796" s="92"/>
      <c r="K1796" s="93"/>
      <c r="L1796" s="25" t="str">
        <f t="shared" ref="L1796:L1859" si="85">IF($E1796="","",N($I1796)+N($J1796)-N($K1796))</f>
        <v/>
      </c>
      <c r="M1796" s="94"/>
      <c r="N1796" s="26" t="str">
        <f t="shared" ref="N1796:N1859" si="86">IF($E1796="","",ROUND(N($L1796)*N($M1796),2))</f>
        <v/>
      </c>
      <c r="O1796" s="80"/>
      <c r="P1796" s="80"/>
      <c r="Q1796" s="80"/>
      <c r="R1796" s="80"/>
    </row>
    <row r="1797" ht="18" customHeight="1" spans="1:18">
      <c r="A1797" s="87" t="str">
        <f t="shared" si="84"/>
        <v/>
      </c>
      <c r="B1797" s="78"/>
      <c r="C1797" s="80"/>
      <c r="D1797" s="80"/>
      <c r="E1797" s="79"/>
      <c r="F1797" s="87" t="str">
        <f>IF($E1797="","",IFERROR(INDEX(基础资料!$O$4:$O$34,MATCH($E1797,基础资料!$N$4:$N$34,0))&amp;"",""))</f>
        <v/>
      </c>
      <c r="G1797" s="87" t="str">
        <f>IF($E1797="","",IFERROR(INDEX(基础资料!$P$4:$P$34,MATCH($E1797,基础资料!$N$4:$N$34,0))&amp;"",""))</f>
        <v/>
      </c>
      <c r="H1797" s="79"/>
      <c r="I1797" s="88"/>
      <c r="J1797" s="92"/>
      <c r="K1797" s="93"/>
      <c r="L1797" s="25" t="str">
        <f t="shared" si="85"/>
        <v/>
      </c>
      <c r="M1797" s="94"/>
      <c r="N1797" s="26" t="str">
        <f t="shared" si="86"/>
        <v/>
      </c>
      <c r="O1797" s="80"/>
      <c r="P1797" s="80"/>
      <c r="Q1797" s="80"/>
      <c r="R1797" s="80"/>
    </row>
    <row r="1798" ht="18" customHeight="1" spans="1:18">
      <c r="A1798" s="87" t="str">
        <f t="shared" si="84"/>
        <v/>
      </c>
      <c r="B1798" s="78"/>
      <c r="C1798" s="80"/>
      <c r="D1798" s="80"/>
      <c r="E1798" s="79"/>
      <c r="F1798" s="87" t="str">
        <f>IF($E1798="","",IFERROR(INDEX(基础资料!$O$4:$O$34,MATCH($E1798,基础资料!$N$4:$N$34,0))&amp;"",""))</f>
        <v/>
      </c>
      <c r="G1798" s="87" t="str">
        <f>IF($E1798="","",IFERROR(INDEX(基础资料!$P$4:$P$34,MATCH($E1798,基础资料!$N$4:$N$34,0))&amp;"",""))</f>
        <v/>
      </c>
      <c r="H1798" s="79"/>
      <c r="I1798" s="88"/>
      <c r="J1798" s="92"/>
      <c r="K1798" s="93"/>
      <c r="L1798" s="25" t="str">
        <f t="shared" si="85"/>
        <v/>
      </c>
      <c r="M1798" s="94"/>
      <c r="N1798" s="26" t="str">
        <f t="shared" si="86"/>
        <v/>
      </c>
      <c r="O1798" s="80"/>
      <c r="P1798" s="80"/>
      <c r="Q1798" s="80"/>
      <c r="R1798" s="80"/>
    </row>
    <row r="1799" ht="18" customHeight="1" spans="1:18">
      <c r="A1799" s="87" t="str">
        <f t="shared" si="84"/>
        <v/>
      </c>
      <c r="B1799" s="78"/>
      <c r="C1799" s="80"/>
      <c r="D1799" s="80"/>
      <c r="E1799" s="79"/>
      <c r="F1799" s="87" t="str">
        <f>IF($E1799="","",IFERROR(INDEX(基础资料!$O$4:$O$34,MATCH($E1799,基础资料!$N$4:$N$34,0))&amp;"",""))</f>
        <v/>
      </c>
      <c r="G1799" s="87" t="str">
        <f>IF($E1799="","",IFERROR(INDEX(基础资料!$P$4:$P$34,MATCH($E1799,基础资料!$N$4:$N$34,0))&amp;"",""))</f>
        <v/>
      </c>
      <c r="H1799" s="79"/>
      <c r="I1799" s="88"/>
      <c r="J1799" s="92"/>
      <c r="K1799" s="93"/>
      <c r="L1799" s="25" t="str">
        <f t="shared" si="85"/>
        <v/>
      </c>
      <c r="M1799" s="94"/>
      <c r="N1799" s="26" t="str">
        <f t="shared" si="86"/>
        <v/>
      </c>
      <c r="O1799" s="80"/>
      <c r="P1799" s="80"/>
      <c r="Q1799" s="80"/>
      <c r="R1799" s="80"/>
    </row>
    <row r="1800" ht="18" customHeight="1" spans="1:18">
      <c r="A1800" s="87" t="str">
        <f t="shared" si="84"/>
        <v/>
      </c>
      <c r="B1800" s="78"/>
      <c r="C1800" s="80"/>
      <c r="D1800" s="80"/>
      <c r="E1800" s="79"/>
      <c r="F1800" s="87" t="str">
        <f>IF($E1800="","",IFERROR(INDEX(基础资料!$O$4:$O$34,MATCH($E1800,基础资料!$N$4:$N$34,0))&amp;"",""))</f>
        <v/>
      </c>
      <c r="G1800" s="87" t="str">
        <f>IF($E1800="","",IFERROR(INDEX(基础资料!$P$4:$P$34,MATCH($E1800,基础资料!$N$4:$N$34,0))&amp;"",""))</f>
        <v/>
      </c>
      <c r="H1800" s="79"/>
      <c r="I1800" s="88"/>
      <c r="J1800" s="92"/>
      <c r="K1800" s="93"/>
      <c r="L1800" s="25" t="str">
        <f t="shared" si="85"/>
        <v/>
      </c>
      <c r="M1800" s="94"/>
      <c r="N1800" s="26" t="str">
        <f t="shared" si="86"/>
        <v/>
      </c>
      <c r="O1800" s="80"/>
      <c r="P1800" s="80"/>
      <c r="Q1800" s="80"/>
      <c r="R1800" s="80"/>
    </row>
    <row r="1801" ht="18" customHeight="1" spans="1:18">
      <c r="A1801" s="87" t="str">
        <f t="shared" si="84"/>
        <v/>
      </c>
      <c r="B1801" s="78"/>
      <c r="C1801" s="80"/>
      <c r="D1801" s="80"/>
      <c r="E1801" s="79"/>
      <c r="F1801" s="87" t="str">
        <f>IF($E1801="","",IFERROR(INDEX(基础资料!$O$4:$O$34,MATCH($E1801,基础资料!$N$4:$N$34,0))&amp;"",""))</f>
        <v/>
      </c>
      <c r="G1801" s="87" t="str">
        <f>IF($E1801="","",IFERROR(INDEX(基础资料!$P$4:$P$34,MATCH($E1801,基础资料!$N$4:$N$34,0))&amp;"",""))</f>
        <v/>
      </c>
      <c r="H1801" s="79"/>
      <c r="I1801" s="88"/>
      <c r="J1801" s="92"/>
      <c r="K1801" s="93"/>
      <c r="L1801" s="25" t="str">
        <f t="shared" si="85"/>
        <v/>
      </c>
      <c r="M1801" s="94"/>
      <c r="N1801" s="26" t="str">
        <f t="shared" si="86"/>
        <v/>
      </c>
      <c r="O1801" s="80"/>
      <c r="P1801" s="80"/>
      <c r="Q1801" s="80"/>
      <c r="R1801" s="80"/>
    </row>
    <row r="1802" ht="18" customHeight="1" spans="1:18">
      <c r="A1802" s="87" t="str">
        <f t="shared" si="84"/>
        <v/>
      </c>
      <c r="B1802" s="78"/>
      <c r="C1802" s="80"/>
      <c r="D1802" s="80"/>
      <c r="E1802" s="79"/>
      <c r="F1802" s="87" t="str">
        <f>IF($E1802="","",IFERROR(INDEX(基础资料!$O$4:$O$34,MATCH($E1802,基础资料!$N$4:$N$34,0))&amp;"",""))</f>
        <v/>
      </c>
      <c r="G1802" s="87" t="str">
        <f>IF($E1802="","",IFERROR(INDEX(基础资料!$P$4:$P$34,MATCH($E1802,基础资料!$N$4:$N$34,0))&amp;"",""))</f>
        <v/>
      </c>
      <c r="H1802" s="79"/>
      <c r="I1802" s="88"/>
      <c r="J1802" s="92"/>
      <c r="K1802" s="93"/>
      <c r="L1802" s="25" t="str">
        <f t="shared" si="85"/>
        <v/>
      </c>
      <c r="M1802" s="94"/>
      <c r="N1802" s="26" t="str">
        <f t="shared" si="86"/>
        <v/>
      </c>
      <c r="O1802" s="80"/>
      <c r="P1802" s="80"/>
      <c r="Q1802" s="80"/>
      <c r="R1802" s="80"/>
    </row>
    <row r="1803" ht="18" customHeight="1" spans="1:18">
      <c r="A1803" s="87" t="str">
        <f t="shared" si="84"/>
        <v/>
      </c>
      <c r="B1803" s="78"/>
      <c r="C1803" s="80"/>
      <c r="D1803" s="80"/>
      <c r="E1803" s="79"/>
      <c r="F1803" s="87" t="str">
        <f>IF($E1803="","",IFERROR(INDEX(基础资料!$O$4:$O$34,MATCH($E1803,基础资料!$N$4:$N$34,0))&amp;"",""))</f>
        <v/>
      </c>
      <c r="G1803" s="87" t="str">
        <f>IF($E1803="","",IFERROR(INDEX(基础资料!$P$4:$P$34,MATCH($E1803,基础资料!$N$4:$N$34,0))&amp;"",""))</f>
        <v/>
      </c>
      <c r="H1803" s="79"/>
      <c r="I1803" s="88"/>
      <c r="J1803" s="92"/>
      <c r="K1803" s="93"/>
      <c r="L1803" s="25" t="str">
        <f t="shared" si="85"/>
        <v/>
      </c>
      <c r="M1803" s="94"/>
      <c r="N1803" s="26" t="str">
        <f t="shared" si="86"/>
        <v/>
      </c>
      <c r="O1803" s="80"/>
      <c r="P1803" s="80"/>
      <c r="Q1803" s="80"/>
      <c r="R1803" s="80"/>
    </row>
    <row r="1804" ht="18" customHeight="1" spans="1:18">
      <c r="A1804" s="87" t="str">
        <f t="shared" si="84"/>
        <v/>
      </c>
      <c r="B1804" s="78"/>
      <c r="C1804" s="80"/>
      <c r="D1804" s="80"/>
      <c r="E1804" s="79"/>
      <c r="F1804" s="87" t="str">
        <f>IF($E1804="","",IFERROR(INDEX(基础资料!$O$4:$O$34,MATCH($E1804,基础资料!$N$4:$N$34,0))&amp;"",""))</f>
        <v/>
      </c>
      <c r="G1804" s="87" t="str">
        <f>IF($E1804="","",IFERROR(INDEX(基础资料!$P$4:$P$34,MATCH($E1804,基础资料!$N$4:$N$34,0))&amp;"",""))</f>
        <v/>
      </c>
      <c r="H1804" s="79"/>
      <c r="I1804" s="88"/>
      <c r="J1804" s="92"/>
      <c r="K1804" s="93"/>
      <c r="L1804" s="25" t="str">
        <f t="shared" si="85"/>
        <v/>
      </c>
      <c r="M1804" s="94"/>
      <c r="N1804" s="26" t="str">
        <f t="shared" si="86"/>
        <v/>
      </c>
      <c r="O1804" s="80"/>
      <c r="P1804" s="80"/>
      <c r="Q1804" s="80"/>
      <c r="R1804" s="80"/>
    </row>
    <row r="1805" ht="18" customHeight="1" spans="1:18">
      <c r="A1805" s="87" t="str">
        <f t="shared" si="84"/>
        <v/>
      </c>
      <c r="B1805" s="78"/>
      <c r="C1805" s="80"/>
      <c r="D1805" s="80"/>
      <c r="E1805" s="79"/>
      <c r="F1805" s="87" t="str">
        <f>IF($E1805="","",IFERROR(INDEX(基础资料!$O$4:$O$34,MATCH($E1805,基础资料!$N$4:$N$34,0))&amp;"",""))</f>
        <v/>
      </c>
      <c r="G1805" s="87" t="str">
        <f>IF($E1805="","",IFERROR(INDEX(基础资料!$P$4:$P$34,MATCH($E1805,基础资料!$N$4:$N$34,0))&amp;"",""))</f>
        <v/>
      </c>
      <c r="H1805" s="79"/>
      <c r="I1805" s="88"/>
      <c r="J1805" s="92"/>
      <c r="K1805" s="93"/>
      <c r="L1805" s="25" t="str">
        <f t="shared" si="85"/>
        <v/>
      </c>
      <c r="M1805" s="94"/>
      <c r="N1805" s="26" t="str">
        <f t="shared" si="86"/>
        <v/>
      </c>
      <c r="O1805" s="80"/>
      <c r="P1805" s="80"/>
      <c r="Q1805" s="80"/>
      <c r="R1805" s="80"/>
    </row>
    <row r="1806" ht="18" customHeight="1" spans="1:18">
      <c r="A1806" s="87" t="str">
        <f t="shared" si="84"/>
        <v/>
      </c>
      <c r="B1806" s="78"/>
      <c r="C1806" s="80"/>
      <c r="D1806" s="80"/>
      <c r="E1806" s="79"/>
      <c r="F1806" s="87" t="str">
        <f>IF($E1806="","",IFERROR(INDEX(基础资料!$O$4:$O$34,MATCH($E1806,基础资料!$N$4:$N$34,0))&amp;"",""))</f>
        <v/>
      </c>
      <c r="G1806" s="87" t="str">
        <f>IF($E1806="","",IFERROR(INDEX(基础资料!$P$4:$P$34,MATCH($E1806,基础资料!$N$4:$N$34,0))&amp;"",""))</f>
        <v/>
      </c>
      <c r="H1806" s="79"/>
      <c r="I1806" s="88"/>
      <c r="J1806" s="92"/>
      <c r="K1806" s="93"/>
      <c r="L1806" s="25" t="str">
        <f t="shared" si="85"/>
        <v/>
      </c>
      <c r="M1806" s="94"/>
      <c r="N1806" s="26" t="str">
        <f t="shared" si="86"/>
        <v/>
      </c>
      <c r="O1806" s="80"/>
      <c r="P1806" s="80"/>
      <c r="Q1806" s="80"/>
      <c r="R1806" s="80"/>
    </row>
    <row r="1807" ht="18" customHeight="1" spans="1:18">
      <c r="A1807" s="87" t="str">
        <f t="shared" si="84"/>
        <v/>
      </c>
      <c r="B1807" s="78"/>
      <c r="C1807" s="80"/>
      <c r="D1807" s="80"/>
      <c r="E1807" s="79"/>
      <c r="F1807" s="87" t="str">
        <f>IF($E1807="","",IFERROR(INDEX(基础资料!$O$4:$O$34,MATCH($E1807,基础资料!$N$4:$N$34,0))&amp;"",""))</f>
        <v/>
      </c>
      <c r="G1807" s="87" t="str">
        <f>IF($E1807="","",IFERROR(INDEX(基础资料!$P$4:$P$34,MATCH($E1807,基础资料!$N$4:$N$34,0))&amp;"",""))</f>
        <v/>
      </c>
      <c r="H1807" s="79"/>
      <c r="I1807" s="88"/>
      <c r="J1807" s="92"/>
      <c r="K1807" s="93"/>
      <c r="L1807" s="25" t="str">
        <f t="shared" si="85"/>
        <v/>
      </c>
      <c r="M1807" s="94"/>
      <c r="N1807" s="26" t="str">
        <f t="shared" si="86"/>
        <v/>
      </c>
      <c r="O1807" s="80"/>
      <c r="P1807" s="80"/>
      <c r="Q1807" s="80"/>
      <c r="R1807" s="80"/>
    </row>
    <row r="1808" ht="18" customHeight="1" spans="1:18">
      <c r="A1808" s="87" t="str">
        <f t="shared" si="84"/>
        <v/>
      </c>
      <c r="B1808" s="78"/>
      <c r="C1808" s="80"/>
      <c r="D1808" s="80"/>
      <c r="E1808" s="79"/>
      <c r="F1808" s="87" t="str">
        <f>IF($E1808="","",IFERROR(INDEX(基础资料!$O$4:$O$34,MATCH($E1808,基础资料!$N$4:$N$34,0))&amp;"",""))</f>
        <v/>
      </c>
      <c r="G1808" s="87" t="str">
        <f>IF($E1808="","",IFERROR(INDEX(基础资料!$P$4:$P$34,MATCH($E1808,基础资料!$N$4:$N$34,0))&amp;"",""))</f>
        <v/>
      </c>
      <c r="H1808" s="79"/>
      <c r="I1808" s="88"/>
      <c r="J1808" s="92"/>
      <c r="K1808" s="93"/>
      <c r="L1808" s="25" t="str">
        <f t="shared" si="85"/>
        <v/>
      </c>
      <c r="M1808" s="94"/>
      <c r="N1808" s="26" t="str">
        <f t="shared" si="86"/>
        <v/>
      </c>
      <c r="O1808" s="80"/>
      <c r="P1808" s="80"/>
      <c r="Q1808" s="80"/>
      <c r="R1808" s="80"/>
    </row>
    <row r="1809" ht="18" customHeight="1" spans="1:18">
      <c r="A1809" s="87" t="str">
        <f t="shared" si="84"/>
        <v/>
      </c>
      <c r="B1809" s="78"/>
      <c r="C1809" s="80"/>
      <c r="D1809" s="80"/>
      <c r="E1809" s="79"/>
      <c r="F1809" s="87" t="str">
        <f>IF($E1809="","",IFERROR(INDEX(基础资料!$O$4:$O$34,MATCH($E1809,基础资料!$N$4:$N$34,0))&amp;"",""))</f>
        <v/>
      </c>
      <c r="G1809" s="87" t="str">
        <f>IF($E1809="","",IFERROR(INDEX(基础资料!$P$4:$P$34,MATCH($E1809,基础资料!$N$4:$N$34,0))&amp;"",""))</f>
        <v/>
      </c>
      <c r="H1809" s="79"/>
      <c r="I1809" s="88"/>
      <c r="J1809" s="92"/>
      <c r="K1809" s="93"/>
      <c r="L1809" s="25" t="str">
        <f t="shared" si="85"/>
        <v/>
      </c>
      <c r="M1809" s="94"/>
      <c r="N1809" s="26" t="str">
        <f t="shared" si="86"/>
        <v/>
      </c>
      <c r="O1809" s="80"/>
      <c r="P1809" s="80"/>
      <c r="Q1809" s="80"/>
      <c r="R1809" s="80"/>
    </row>
    <row r="1810" ht="18" customHeight="1" spans="1:18">
      <c r="A1810" s="87" t="str">
        <f t="shared" si="84"/>
        <v/>
      </c>
      <c r="B1810" s="78"/>
      <c r="C1810" s="80"/>
      <c r="D1810" s="80"/>
      <c r="E1810" s="79"/>
      <c r="F1810" s="87" t="str">
        <f>IF($E1810="","",IFERROR(INDEX(基础资料!$O$4:$O$34,MATCH($E1810,基础资料!$N$4:$N$34,0))&amp;"",""))</f>
        <v/>
      </c>
      <c r="G1810" s="87" t="str">
        <f>IF($E1810="","",IFERROR(INDEX(基础资料!$P$4:$P$34,MATCH($E1810,基础资料!$N$4:$N$34,0))&amp;"",""))</f>
        <v/>
      </c>
      <c r="H1810" s="79"/>
      <c r="I1810" s="88"/>
      <c r="J1810" s="92"/>
      <c r="K1810" s="93"/>
      <c r="L1810" s="25" t="str">
        <f t="shared" si="85"/>
        <v/>
      </c>
      <c r="M1810" s="94"/>
      <c r="N1810" s="26" t="str">
        <f t="shared" si="86"/>
        <v/>
      </c>
      <c r="O1810" s="80"/>
      <c r="P1810" s="80"/>
      <c r="Q1810" s="80"/>
      <c r="R1810" s="80"/>
    </row>
    <row r="1811" ht="18" customHeight="1" spans="1:18">
      <c r="A1811" s="87" t="str">
        <f t="shared" si="84"/>
        <v/>
      </c>
      <c r="B1811" s="78"/>
      <c r="C1811" s="80"/>
      <c r="D1811" s="80"/>
      <c r="E1811" s="79"/>
      <c r="F1811" s="87" t="str">
        <f>IF($E1811="","",IFERROR(INDEX(基础资料!$O$4:$O$34,MATCH($E1811,基础资料!$N$4:$N$34,0))&amp;"",""))</f>
        <v/>
      </c>
      <c r="G1811" s="87" t="str">
        <f>IF($E1811="","",IFERROR(INDEX(基础资料!$P$4:$P$34,MATCH($E1811,基础资料!$N$4:$N$34,0))&amp;"",""))</f>
        <v/>
      </c>
      <c r="H1811" s="79"/>
      <c r="I1811" s="88"/>
      <c r="J1811" s="92"/>
      <c r="K1811" s="93"/>
      <c r="L1811" s="25" t="str">
        <f t="shared" si="85"/>
        <v/>
      </c>
      <c r="M1811" s="94"/>
      <c r="N1811" s="26" t="str">
        <f t="shared" si="86"/>
        <v/>
      </c>
      <c r="O1811" s="80"/>
      <c r="P1811" s="80"/>
      <c r="Q1811" s="80"/>
      <c r="R1811" s="80"/>
    </row>
    <row r="1812" ht="18" customHeight="1" spans="1:18">
      <c r="A1812" s="87" t="str">
        <f t="shared" si="84"/>
        <v/>
      </c>
      <c r="B1812" s="78"/>
      <c r="C1812" s="80"/>
      <c r="D1812" s="80"/>
      <c r="E1812" s="79"/>
      <c r="F1812" s="87" t="str">
        <f>IF($E1812="","",IFERROR(INDEX(基础资料!$O$4:$O$34,MATCH($E1812,基础资料!$N$4:$N$34,0))&amp;"",""))</f>
        <v/>
      </c>
      <c r="G1812" s="87" t="str">
        <f>IF($E1812="","",IFERROR(INDEX(基础资料!$P$4:$P$34,MATCH($E1812,基础资料!$N$4:$N$34,0))&amp;"",""))</f>
        <v/>
      </c>
      <c r="H1812" s="79"/>
      <c r="I1812" s="88"/>
      <c r="J1812" s="92"/>
      <c r="K1812" s="93"/>
      <c r="L1812" s="25" t="str">
        <f t="shared" si="85"/>
        <v/>
      </c>
      <c r="M1812" s="94"/>
      <c r="N1812" s="26" t="str">
        <f t="shared" si="86"/>
        <v/>
      </c>
      <c r="O1812" s="80"/>
      <c r="P1812" s="80"/>
      <c r="Q1812" s="80"/>
      <c r="R1812" s="80"/>
    </row>
    <row r="1813" ht="18" customHeight="1" spans="1:18">
      <c r="A1813" s="87" t="str">
        <f t="shared" si="84"/>
        <v/>
      </c>
      <c r="B1813" s="78"/>
      <c r="C1813" s="80"/>
      <c r="D1813" s="80"/>
      <c r="E1813" s="79"/>
      <c r="F1813" s="87" t="str">
        <f>IF($E1813="","",IFERROR(INDEX(基础资料!$O$4:$O$34,MATCH($E1813,基础资料!$N$4:$N$34,0))&amp;"",""))</f>
        <v/>
      </c>
      <c r="G1813" s="87" t="str">
        <f>IF($E1813="","",IFERROR(INDEX(基础资料!$P$4:$P$34,MATCH($E1813,基础资料!$N$4:$N$34,0))&amp;"",""))</f>
        <v/>
      </c>
      <c r="H1813" s="79"/>
      <c r="I1813" s="88"/>
      <c r="J1813" s="92"/>
      <c r="K1813" s="93"/>
      <c r="L1813" s="25" t="str">
        <f t="shared" si="85"/>
        <v/>
      </c>
      <c r="M1813" s="94"/>
      <c r="N1813" s="26" t="str">
        <f t="shared" si="86"/>
        <v/>
      </c>
      <c r="O1813" s="80"/>
      <c r="P1813" s="80"/>
      <c r="Q1813" s="80"/>
      <c r="R1813" s="80"/>
    </row>
    <row r="1814" ht="18" customHeight="1" spans="1:18">
      <c r="A1814" s="87" t="str">
        <f t="shared" si="84"/>
        <v/>
      </c>
      <c r="B1814" s="78"/>
      <c r="C1814" s="80"/>
      <c r="D1814" s="80"/>
      <c r="E1814" s="79"/>
      <c r="F1814" s="87" t="str">
        <f>IF($E1814="","",IFERROR(INDEX(基础资料!$O$4:$O$34,MATCH($E1814,基础资料!$N$4:$N$34,0))&amp;"",""))</f>
        <v/>
      </c>
      <c r="G1814" s="87" t="str">
        <f>IF($E1814="","",IFERROR(INDEX(基础资料!$P$4:$P$34,MATCH($E1814,基础资料!$N$4:$N$34,0))&amp;"",""))</f>
        <v/>
      </c>
      <c r="H1814" s="79"/>
      <c r="I1814" s="88"/>
      <c r="J1814" s="92"/>
      <c r="K1814" s="93"/>
      <c r="L1814" s="25" t="str">
        <f t="shared" si="85"/>
        <v/>
      </c>
      <c r="M1814" s="94"/>
      <c r="N1814" s="26" t="str">
        <f t="shared" si="86"/>
        <v/>
      </c>
      <c r="O1814" s="80"/>
      <c r="P1814" s="80"/>
      <c r="Q1814" s="80"/>
      <c r="R1814" s="80"/>
    </row>
    <row r="1815" ht="18" customHeight="1" spans="1:18">
      <c r="A1815" s="87" t="str">
        <f t="shared" si="84"/>
        <v/>
      </c>
      <c r="B1815" s="78"/>
      <c r="C1815" s="80"/>
      <c r="D1815" s="80"/>
      <c r="E1815" s="79"/>
      <c r="F1815" s="87" t="str">
        <f>IF($E1815="","",IFERROR(INDEX(基础资料!$O$4:$O$34,MATCH($E1815,基础资料!$N$4:$N$34,0))&amp;"",""))</f>
        <v/>
      </c>
      <c r="G1815" s="87" t="str">
        <f>IF($E1815="","",IFERROR(INDEX(基础资料!$P$4:$P$34,MATCH($E1815,基础资料!$N$4:$N$34,0))&amp;"",""))</f>
        <v/>
      </c>
      <c r="H1815" s="79"/>
      <c r="I1815" s="88"/>
      <c r="J1815" s="92"/>
      <c r="K1815" s="93"/>
      <c r="L1815" s="25" t="str">
        <f t="shared" si="85"/>
        <v/>
      </c>
      <c r="M1815" s="94"/>
      <c r="N1815" s="26" t="str">
        <f t="shared" si="86"/>
        <v/>
      </c>
      <c r="O1815" s="80"/>
      <c r="P1815" s="80"/>
      <c r="Q1815" s="80"/>
      <c r="R1815" s="80"/>
    </row>
    <row r="1816" ht="18" customHeight="1" spans="1:18">
      <c r="A1816" s="87" t="str">
        <f t="shared" si="84"/>
        <v/>
      </c>
      <c r="B1816" s="78"/>
      <c r="C1816" s="80"/>
      <c r="D1816" s="80"/>
      <c r="E1816" s="79"/>
      <c r="F1816" s="87" t="str">
        <f>IF($E1816="","",IFERROR(INDEX(基础资料!$O$4:$O$34,MATCH($E1816,基础资料!$N$4:$N$34,0))&amp;"",""))</f>
        <v/>
      </c>
      <c r="G1816" s="87" t="str">
        <f>IF($E1816="","",IFERROR(INDEX(基础资料!$P$4:$P$34,MATCH($E1816,基础资料!$N$4:$N$34,0))&amp;"",""))</f>
        <v/>
      </c>
      <c r="H1816" s="79"/>
      <c r="I1816" s="88"/>
      <c r="J1816" s="92"/>
      <c r="K1816" s="93"/>
      <c r="L1816" s="25" t="str">
        <f t="shared" si="85"/>
        <v/>
      </c>
      <c r="M1816" s="94"/>
      <c r="N1816" s="26" t="str">
        <f t="shared" si="86"/>
        <v/>
      </c>
      <c r="O1816" s="80"/>
      <c r="P1816" s="80"/>
      <c r="Q1816" s="80"/>
      <c r="R1816" s="80"/>
    </row>
    <row r="1817" ht="18" customHeight="1" spans="1:18">
      <c r="A1817" s="87" t="str">
        <f t="shared" si="84"/>
        <v/>
      </c>
      <c r="B1817" s="78"/>
      <c r="C1817" s="80"/>
      <c r="D1817" s="80"/>
      <c r="E1817" s="79"/>
      <c r="F1817" s="87" t="str">
        <f>IF($E1817="","",IFERROR(INDEX(基础资料!$O$4:$O$34,MATCH($E1817,基础资料!$N$4:$N$34,0))&amp;"",""))</f>
        <v/>
      </c>
      <c r="G1817" s="87" t="str">
        <f>IF($E1817="","",IFERROR(INDEX(基础资料!$P$4:$P$34,MATCH($E1817,基础资料!$N$4:$N$34,0))&amp;"",""))</f>
        <v/>
      </c>
      <c r="H1817" s="79"/>
      <c r="I1817" s="88"/>
      <c r="J1817" s="92"/>
      <c r="K1817" s="93"/>
      <c r="L1817" s="25" t="str">
        <f t="shared" si="85"/>
        <v/>
      </c>
      <c r="M1817" s="94"/>
      <c r="N1817" s="26" t="str">
        <f t="shared" si="86"/>
        <v/>
      </c>
      <c r="O1817" s="80"/>
      <c r="P1817" s="80"/>
      <c r="Q1817" s="80"/>
      <c r="R1817" s="80"/>
    </row>
    <row r="1818" ht="18" customHeight="1" spans="1:18">
      <c r="A1818" s="87" t="str">
        <f t="shared" si="84"/>
        <v/>
      </c>
      <c r="B1818" s="78"/>
      <c r="C1818" s="80"/>
      <c r="D1818" s="80"/>
      <c r="E1818" s="79"/>
      <c r="F1818" s="87" t="str">
        <f>IF($E1818="","",IFERROR(INDEX(基础资料!$O$4:$O$34,MATCH($E1818,基础资料!$N$4:$N$34,0))&amp;"",""))</f>
        <v/>
      </c>
      <c r="G1818" s="87" t="str">
        <f>IF($E1818="","",IFERROR(INDEX(基础资料!$P$4:$P$34,MATCH($E1818,基础资料!$N$4:$N$34,0))&amp;"",""))</f>
        <v/>
      </c>
      <c r="H1818" s="79"/>
      <c r="I1818" s="88"/>
      <c r="J1818" s="92"/>
      <c r="K1818" s="93"/>
      <c r="L1818" s="25" t="str">
        <f t="shared" si="85"/>
        <v/>
      </c>
      <c r="M1818" s="94"/>
      <c r="N1818" s="26" t="str">
        <f t="shared" si="86"/>
        <v/>
      </c>
      <c r="O1818" s="80"/>
      <c r="P1818" s="80"/>
      <c r="Q1818" s="80"/>
      <c r="R1818" s="80"/>
    </row>
    <row r="1819" ht="18" customHeight="1" spans="1:18">
      <c r="A1819" s="87" t="str">
        <f t="shared" si="84"/>
        <v/>
      </c>
      <c r="B1819" s="78"/>
      <c r="C1819" s="80"/>
      <c r="D1819" s="80"/>
      <c r="E1819" s="79"/>
      <c r="F1819" s="87" t="str">
        <f>IF($E1819="","",IFERROR(INDEX(基础资料!$O$4:$O$34,MATCH($E1819,基础资料!$N$4:$N$34,0))&amp;"",""))</f>
        <v/>
      </c>
      <c r="G1819" s="87" t="str">
        <f>IF($E1819="","",IFERROR(INDEX(基础资料!$P$4:$P$34,MATCH($E1819,基础资料!$N$4:$N$34,0))&amp;"",""))</f>
        <v/>
      </c>
      <c r="H1819" s="79"/>
      <c r="I1819" s="88"/>
      <c r="J1819" s="92"/>
      <c r="K1819" s="93"/>
      <c r="L1819" s="25" t="str">
        <f t="shared" si="85"/>
        <v/>
      </c>
      <c r="M1819" s="94"/>
      <c r="N1819" s="26" t="str">
        <f t="shared" si="86"/>
        <v/>
      </c>
      <c r="O1819" s="80"/>
      <c r="P1819" s="80"/>
      <c r="Q1819" s="80"/>
      <c r="R1819" s="80"/>
    </row>
    <row r="1820" ht="18" customHeight="1" spans="1:18">
      <c r="A1820" s="87" t="str">
        <f t="shared" si="84"/>
        <v/>
      </c>
      <c r="B1820" s="78"/>
      <c r="C1820" s="80"/>
      <c r="D1820" s="80"/>
      <c r="E1820" s="79"/>
      <c r="F1820" s="87" t="str">
        <f>IF($E1820="","",IFERROR(INDEX(基础资料!$O$4:$O$34,MATCH($E1820,基础资料!$N$4:$N$34,0))&amp;"",""))</f>
        <v/>
      </c>
      <c r="G1820" s="87" t="str">
        <f>IF($E1820="","",IFERROR(INDEX(基础资料!$P$4:$P$34,MATCH($E1820,基础资料!$N$4:$N$34,0))&amp;"",""))</f>
        <v/>
      </c>
      <c r="H1820" s="79"/>
      <c r="I1820" s="88"/>
      <c r="J1820" s="92"/>
      <c r="K1820" s="93"/>
      <c r="L1820" s="25" t="str">
        <f t="shared" si="85"/>
        <v/>
      </c>
      <c r="M1820" s="94"/>
      <c r="N1820" s="26" t="str">
        <f t="shared" si="86"/>
        <v/>
      </c>
      <c r="O1820" s="80"/>
      <c r="P1820" s="80"/>
      <c r="Q1820" s="80"/>
      <c r="R1820" s="80"/>
    </row>
    <row r="1821" ht="18" customHeight="1" spans="1:18">
      <c r="A1821" s="87" t="str">
        <f t="shared" si="84"/>
        <v/>
      </c>
      <c r="B1821" s="78"/>
      <c r="C1821" s="80"/>
      <c r="D1821" s="80"/>
      <c r="E1821" s="79"/>
      <c r="F1821" s="87" t="str">
        <f>IF($E1821="","",IFERROR(INDEX(基础资料!$O$4:$O$34,MATCH($E1821,基础资料!$N$4:$N$34,0))&amp;"",""))</f>
        <v/>
      </c>
      <c r="G1821" s="87" t="str">
        <f>IF($E1821="","",IFERROR(INDEX(基础资料!$P$4:$P$34,MATCH($E1821,基础资料!$N$4:$N$34,0))&amp;"",""))</f>
        <v/>
      </c>
      <c r="H1821" s="79"/>
      <c r="I1821" s="88"/>
      <c r="J1821" s="92"/>
      <c r="K1821" s="93"/>
      <c r="L1821" s="25" t="str">
        <f t="shared" si="85"/>
        <v/>
      </c>
      <c r="M1821" s="94"/>
      <c r="N1821" s="26" t="str">
        <f t="shared" si="86"/>
        <v/>
      </c>
      <c r="O1821" s="80"/>
      <c r="P1821" s="80"/>
      <c r="Q1821" s="80"/>
      <c r="R1821" s="80"/>
    </row>
    <row r="1822" ht="18" customHeight="1" spans="1:18">
      <c r="A1822" s="87" t="str">
        <f t="shared" si="84"/>
        <v/>
      </c>
      <c r="B1822" s="78"/>
      <c r="C1822" s="80"/>
      <c r="D1822" s="80"/>
      <c r="E1822" s="79"/>
      <c r="F1822" s="87" t="str">
        <f>IF($E1822="","",IFERROR(INDEX(基础资料!$O$4:$O$34,MATCH($E1822,基础资料!$N$4:$N$34,0))&amp;"",""))</f>
        <v/>
      </c>
      <c r="G1822" s="87" t="str">
        <f>IF($E1822="","",IFERROR(INDEX(基础资料!$P$4:$P$34,MATCH($E1822,基础资料!$N$4:$N$34,0))&amp;"",""))</f>
        <v/>
      </c>
      <c r="H1822" s="79"/>
      <c r="I1822" s="88"/>
      <c r="J1822" s="92"/>
      <c r="K1822" s="93"/>
      <c r="L1822" s="25" t="str">
        <f t="shared" si="85"/>
        <v/>
      </c>
      <c r="M1822" s="94"/>
      <c r="N1822" s="26" t="str">
        <f t="shared" si="86"/>
        <v/>
      </c>
      <c r="O1822" s="80"/>
      <c r="P1822" s="80"/>
      <c r="Q1822" s="80"/>
      <c r="R1822" s="80"/>
    </row>
    <row r="1823" ht="18" customHeight="1" spans="1:18">
      <c r="A1823" s="87" t="str">
        <f t="shared" si="84"/>
        <v/>
      </c>
      <c r="B1823" s="78"/>
      <c r="C1823" s="80"/>
      <c r="D1823" s="80"/>
      <c r="E1823" s="79"/>
      <c r="F1823" s="87" t="str">
        <f>IF($E1823="","",IFERROR(INDEX(基础资料!$O$4:$O$34,MATCH($E1823,基础资料!$N$4:$N$34,0))&amp;"",""))</f>
        <v/>
      </c>
      <c r="G1823" s="87" t="str">
        <f>IF($E1823="","",IFERROR(INDEX(基础资料!$P$4:$P$34,MATCH($E1823,基础资料!$N$4:$N$34,0))&amp;"",""))</f>
        <v/>
      </c>
      <c r="H1823" s="79"/>
      <c r="I1823" s="88"/>
      <c r="J1823" s="92"/>
      <c r="K1823" s="93"/>
      <c r="L1823" s="25" t="str">
        <f t="shared" si="85"/>
        <v/>
      </c>
      <c r="M1823" s="94"/>
      <c r="N1823" s="26" t="str">
        <f t="shared" si="86"/>
        <v/>
      </c>
      <c r="O1823" s="80"/>
      <c r="P1823" s="80"/>
      <c r="Q1823" s="80"/>
      <c r="R1823" s="80"/>
    </row>
    <row r="1824" ht="18" customHeight="1" spans="1:18">
      <c r="A1824" s="87" t="str">
        <f t="shared" si="84"/>
        <v/>
      </c>
      <c r="B1824" s="78"/>
      <c r="C1824" s="80"/>
      <c r="D1824" s="80"/>
      <c r="E1824" s="79"/>
      <c r="F1824" s="87" t="str">
        <f>IF($E1824="","",IFERROR(INDEX(基础资料!$O$4:$O$34,MATCH($E1824,基础资料!$N$4:$N$34,0))&amp;"",""))</f>
        <v/>
      </c>
      <c r="G1824" s="87" t="str">
        <f>IF($E1824="","",IFERROR(INDEX(基础资料!$P$4:$P$34,MATCH($E1824,基础资料!$N$4:$N$34,0))&amp;"",""))</f>
        <v/>
      </c>
      <c r="H1824" s="79"/>
      <c r="I1824" s="88"/>
      <c r="J1824" s="92"/>
      <c r="K1824" s="93"/>
      <c r="L1824" s="25" t="str">
        <f t="shared" si="85"/>
        <v/>
      </c>
      <c r="M1824" s="94"/>
      <c r="N1824" s="26" t="str">
        <f t="shared" si="86"/>
        <v/>
      </c>
      <c r="O1824" s="80"/>
      <c r="P1824" s="80"/>
      <c r="Q1824" s="80"/>
      <c r="R1824" s="80"/>
    </row>
    <row r="1825" ht="18" customHeight="1" spans="1:18">
      <c r="A1825" s="87" t="str">
        <f t="shared" si="84"/>
        <v/>
      </c>
      <c r="B1825" s="78"/>
      <c r="C1825" s="80"/>
      <c r="D1825" s="80"/>
      <c r="E1825" s="79"/>
      <c r="F1825" s="87" t="str">
        <f>IF($E1825="","",IFERROR(INDEX(基础资料!$O$4:$O$34,MATCH($E1825,基础资料!$N$4:$N$34,0))&amp;"",""))</f>
        <v/>
      </c>
      <c r="G1825" s="87" t="str">
        <f>IF($E1825="","",IFERROR(INDEX(基础资料!$P$4:$P$34,MATCH($E1825,基础资料!$N$4:$N$34,0))&amp;"",""))</f>
        <v/>
      </c>
      <c r="H1825" s="79"/>
      <c r="I1825" s="88"/>
      <c r="J1825" s="92"/>
      <c r="K1825" s="93"/>
      <c r="L1825" s="25" t="str">
        <f t="shared" si="85"/>
        <v/>
      </c>
      <c r="M1825" s="94"/>
      <c r="N1825" s="26" t="str">
        <f t="shared" si="86"/>
        <v/>
      </c>
      <c r="O1825" s="80"/>
      <c r="P1825" s="80"/>
      <c r="Q1825" s="80"/>
      <c r="R1825" s="80"/>
    </row>
    <row r="1826" ht="18" customHeight="1" spans="1:18">
      <c r="A1826" s="87" t="str">
        <f t="shared" si="84"/>
        <v/>
      </c>
      <c r="B1826" s="78"/>
      <c r="C1826" s="80"/>
      <c r="D1826" s="80"/>
      <c r="E1826" s="79"/>
      <c r="F1826" s="87" t="str">
        <f>IF($E1826="","",IFERROR(INDEX(基础资料!$O$4:$O$34,MATCH($E1826,基础资料!$N$4:$N$34,0))&amp;"",""))</f>
        <v/>
      </c>
      <c r="G1826" s="87" t="str">
        <f>IF($E1826="","",IFERROR(INDEX(基础资料!$P$4:$P$34,MATCH($E1826,基础资料!$N$4:$N$34,0))&amp;"",""))</f>
        <v/>
      </c>
      <c r="H1826" s="79"/>
      <c r="I1826" s="88"/>
      <c r="J1826" s="92"/>
      <c r="K1826" s="93"/>
      <c r="L1826" s="25" t="str">
        <f t="shared" si="85"/>
        <v/>
      </c>
      <c r="M1826" s="94"/>
      <c r="N1826" s="26" t="str">
        <f t="shared" si="86"/>
        <v/>
      </c>
      <c r="O1826" s="80"/>
      <c r="P1826" s="80"/>
      <c r="Q1826" s="80"/>
      <c r="R1826" s="80"/>
    </row>
    <row r="1827" ht="18" customHeight="1" spans="1:18">
      <c r="A1827" s="87" t="str">
        <f t="shared" si="84"/>
        <v/>
      </c>
      <c r="B1827" s="78"/>
      <c r="C1827" s="80"/>
      <c r="D1827" s="80"/>
      <c r="E1827" s="79"/>
      <c r="F1827" s="87" t="str">
        <f>IF($E1827="","",IFERROR(INDEX(基础资料!$O$4:$O$34,MATCH($E1827,基础资料!$N$4:$N$34,0))&amp;"",""))</f>
        <v/>
      </c>
      <c r="G1827" s="87" t="str">
        <f>IF($E1827="","",IFERROR(INDEX(基础资料!$P$4:$P$34,MATCH($E1827,基础资料!$N$4:$N$34,0))&amp;"",""))</f>
        <v/>
      </c>
      <c r="H1827" s="79"/>
      <c r="I1827" s="88"/>
      <c r="J1827" s="92"/>
      <c r="K1827" s="93"/>
      <c r="L1827" s="25" t="str">
        <f t="shared" si="85"/>
        <v/>
      </c>
      <c r="M1827" s="94"/>
      <c r="N1827" s="26" t="str">
        <f t="shared" si="86"/>
        <v/>
      </c>
      <c r="O1827" s="80"/>
      <c r="P1827" s="80"/>
      <c r="Q1827" s="80"/>
      <c r="R1827" s="80"/>
    </row>
    <row r="1828" ht="18" customHeight="1" spans="1:18">
      <c r="A1828" s="87" t="str">
        <f t="shared" si="84"/>
        <v/>
      </c>
      <c r="B1828" s="78"/>
      <c r="C1828" s="80"/>
      <c r="D1828" s="80"/>
      <c r="E1828" s="79"/>
      <c r="F1828" s="87" t="str">
        <f>IF($E1828="","",IFERROR(INDEX(基础资料!$O$4:$O$34,MATCH($E1828,基础资料!$N$4:$N$34,0))&amp;"",""))</f>
        <v/>
      </c>
      <c r="G1828" s="87" t="str">
        <f>IF($E1828="","",IFERROR(INDEX(基础资料!$P$4:$P$34,MATCH($E1828,基础资料!$N$4:$N$34,0))&amp;"",""))</f>
        <v/>
      </c>
      <c r="H1828" s="79"/>
      <c r="I1828" s="88"/>
      <c r="J1828" s="92"/>
      <c r="K1828" s="93"/>
      <c r="L1828" s="25" t="str">
        <f t="shared" si="85"/>
        <v/>
      </c>
      <c r="M1828" s="94"/>
      <c r="N1828" s="26" t="str">
        <f t="shared" si="86"/>
        <v/>
      </c>
      <c r="O1828" s="80"/>
      <c r="P1828" s="80"/>
      <c r="Q1828" s="80"/>
      <c r="R1828" s="80"/>
    </row>
    <row r="1829" ht="18" customHeight="1" spans="1:18">
      <c r="A1829" s="87" t="str">
        <f t="shared" si="84"/>
        <v/>
      </c>
      <c r="B1829" s="78"/>
      <c r="C1829" s="80"/>
      <c r="D1829" s="80"/>
      <c r="E1829" s="79"/>
      <c r="F1829" s="87" t="str">
        <f>IF($E1829="","",IFERROR(INDEX(基础资料!$O$4:$O$34,MATCH($E1829,基础资料!$N$4:$N$34,0))&amp;"",""))</f>
        <v/>
      </c>
      <c r="G1829" s="87" t="str">
        <f>IF($E1829="","",IFERROR(INDEX(基础资料!$P$4:$P$34,MATCH($E1829,基础资料!$N$4:$N$34,0))&amp;"",""))</f>
        <v/>
      </c>
      <c r="H1829" s="79"/>
      <c r="I1829" s="88"/>
      <c r="J1829" s="92"/>
      <c r="K1829" s="93"/>
      <c r="L1829" s="25" t="str">
        <f t="shared" si="85"/>
        <v/>
      </c>
      <c r="M1829" s="94"/>
      <c r="N1829" s="26" t="str">
        <f t="shared" si="86"/>
        <v/>
      </c>
      <c r="O1829" s="80"/>
      <c r="P1829" s="80"/>
      <c r="Q1829" s="80"/>
      <c r="R1829" s="80"/>
    </row>
    <row r="1830" ht="18" customHeight="1" spans="1:18">
      <c r="A1830" s="87" t="str">
        <f t="shared" si="84"/>
        <v/>
      </c>
      <c r="B1830" s="78"/>
      <c r="C1830" s="80"/>
      <c r="D1830" s="80"/>
      <c r="E1830" s="79"/>
      <c r="F1830" s="87" t="str">
        <f>IF($E1830="","",IFERROR(INDEX(基础资料!$O$4:$O$34,MATCH($E1830,基础资料!$N$4:$N$34,0))&amp;"",""))</f>
        <v/>
      </c>
      <c r="G1830" s="87" t="str">
        <f>IF($E1830="","",IFERROR(INDEX(基础资料!$P$4:$P$34,MATCH($E1830,基础资料!$N$4:$N$34,0))&amp;"",""))</f>
        <v/>
      </c>
      <c r="H1830" s="79"/>
      <c r="I1830" s="88"/>
      <c r="J1830" s="92"/>
      <c r="K1830" s="93"/>
      <c r="L1830" s="25" t="str">
        <f t="shared" si="85"/>
        <v/>
      </c>
      <c r="M1830" s="94"/>
      <c r="N1830" s="26" t="str">
        <f t="shared" si="86"/>
        <v/>
      </c>
      <c r="O1830" s="80"/>
      <c r="P1830" s="80"/>
      <c r="Q1830" s="80"/>
      <c r="R1830" s="80"/>
    </row>
    <row r="1831" ht="18" customHeight="1" spans="1:18">
      <c r="A1831" s="87" t="str">
        <f t="shared" si="84"/>
        <v/>
      </c>
      <c r="B1831" s="78"/>
      <c r="C1831" s="80"/>
      <c r="D1831" s="80"/>
      <c r="E1831" s="79"/>
      <c r="F1831" s="87" t="str">
        <f>IF($E1831="","",IFERROR(INDEX(基础资料!$O$4:$O$34,MATCH($E1831,基础资料!$N$4:$N$34,0))&amp;"",""))</f>
        <v/>
      </c>
      <c r="G1831" s="87" t="str">
        <f>IF($E1831="","",IFERROR(INDEX(基础资料!$P$4:$P$34,MATCH($E1831,基础资料!$N$4:$N$34,0))&amp;"",""))</f>
        <v/>
      </c>
      <c r="H1831" s="79"/>
      <c r="I1831" s="88"/>
      <c r="J1831" s="92"/>
      <c r="K1831" s="93"/>
      <c r="L1831" s="25" t="str">
        <f t="shared" si="85"/>
        <v/>
      </c>
      <c r="M1831" s="94"/>
      <c r="N1831" s="26" t="str">
        <f t="shared" si="86"/>
        <v/>
      </c>
      <c r="O1831" s="80"/>
      <c r="P1831" s="80"/>
      <c r="Q1831" s="80"/>
      <c r="R1831" s="80"/>
    </row>
    <row r="1832" ht="18" customHeight="1" spans="1:18">
      <c r="A1832" s="87" t="str">
        <f t="shared" si="84"/>
        <v/>
      </c>
      <c r="B1832" s="78"/>
      <c r="C1832" s="80"/>
      <c r="D1832" s="80"/>
      <c r="E1832" s="79"/>
      <c r="F1832" s="87" t="str">
        <f>IF($E1832="","",IFERROR(INDEX(基础资料!$O$4:$O$34,MATCH($E1832,基础资料!$N$4:$N$34,0))&amp;"",""))</f>
        <v/>
      </c>
      <c r="G1832" s="87" t="str">
        <f>IF($E1832="","",IFERROR(INDEX(基础资料!$P$4:$P$34,MATCH($E1832,基础资料!$N$4:$N$34,0))&amp;"",""))</f>
        <v/>
      </c>
      <c r="H1832" s="79"/>
      <c r="I1832" s="88"/>
      <c r="J1832" s="92"/>
      <c r="K1832" s="93"/>
      <c r="L1832" s="25" t="str">
        <f t="shared" si="85"/>
        <v/>
      </c>
      <c r="M1832" s="94"/>
      <c r="N1832" s="26" t="str">
        <f t="shared" si="86"/>
        <v/>
      </c>
      <c r="O1832" s="80"/>
      <c r="P1832" s="80"/>
      <c r="Q1832" s="80"/>
      <c r="R1832" s="80"/>
    </row>
    <row r="1833" ht="18" customHeight="1" spans="1:18">
      <c r="A1833" s="87" t="str">
        <f t="shared" si="84"/>
        <v/>
      </c>
      <c r="B1833" s="78"/>
      <c r="C1833" s="80"/>
      <c r="D1833" s="80"/>
      <c r="E1833" s="79"/>
      <c r="F1833" s="87" t="str">
        <f>IF($E1833="","",IFERROR(INDEX(基础资料!$O$4:$O$34,MATCH($E1833,基础资料!$N$4:$N$34,0))&amp;"",""))</f>
        <v/>
      </c>
      <c r="G1833" s="87" t="str">
        <f>IF($E1833="","",IFERROR(INDEX(基础资料!$P$4:$P$34,MATCH($E1833,基础资料!$N$4:$N$34,0))&amp;"",""))</f>
        <v/>
      </c>
      <c r="H1833" s="79"/>
      <c r="I1833" s="88"/>
      <c r="J1833" s="92"/>
      <c r="K1833" s="93"/>
      <c r="L1833" s="25" t="str">
        <f t="shared" si="85"/>
        <v/>
      </c>
      <c r="M1833" s="94"/>
      <c r="N1833" s="26" t="str">
        <f t="shared" si="86"/>
        <v/>
      </c>
      <c r="O1833" s="80"/>
      <c r="P1833" s="80"/>
      <c r="Q1833" s="80"/>
      <c r="R1833" s="80"/>
    </row>
    <row r="1834" ht="18" customHeight="1" spans="1:18">
      <c r="A1834" s="87" t="str">
        <f t="shared" si="84"/>
        <v/>
      </c>
      <c r="B1834" s="78"/>
      <c r="C1834" s="80"/>
      <c r="D1834" s="80"/>
      <c r="E1834" s="79"/>
      <c r="F1834" s="87" t="str">
        <f>IF($E1834="","",IFERROR(INDEX(基础资料!$O$4:$O$34,MATCH($E1834,基础资料!$N$4:$N$34,0))&amp;"",""))</f>
        <v/>
      </c>
      <c r="G1834" s="87" t="str">
        <f>IF($E1834="","",IFERROR(INDEX(基础资料!$P$4:$P$34,MATCH($E1834,基础资料!$N$4:$N$34,0))&amp;"",""))</f>
        <v/>
      </c>
      <c r="H1834" s="79"/>
      <c r="I1834" s="88"/>
      <c r="J1834" s="92"/>
      <c r="K1834" s="93"/>
      <c r="L1834" s="25" t="str">
        <f t="shared" si="85"/>
        <v/>
      </c>
      <c r="M1834" s="94"/>
      <c r="N1834" s="26" t="str">
        <f t="shared" si="86"/>
        <v/>
      </c>
      <c r="O1834" s="80"/>
      <c r="P1834" s="80"/>
      <c r="Q1834" s="80"/>
      <c r="R1834" s="80"/>
    </row>
    <row r="1835" ht="18" customHeight="1" spans="1:18">
      <c r="A1835" s="87" t="str">
        <f t="shared" si="84"/>
        <v/>
      </c>
      <c r="B1835" s="78"/>
      <c r="C1835" s="80"/>
      <c r="D1835" s="80"/>
      <c r="E1835" s="79"/>
      <c r="F1835" s="87" t="str">
        <f>IF($E1835="","",IFERROR(INDEX(基础资料!$O$4:$O$34,MATCH($E1835,基础资料!$N$4:$N$34,0))&amp;"",""))</f>
        <v/>
      </c>
      <c r="G1835" s="87" t="str">
        <f>IF($E1835="","",IFERROR(INDEX(基础资料!$P$4:$P$34,MATCH($E1835,基础资料!$N$4:$N$34,0))&amp;"",""))</f>
        <v/>
      </c>
      <c r="H1835" s="79"/>
      <c r="I1835" s="88"/>
      <c r="J1835" s="92"/>
      <c r="K1835" s="93"/>
      <c r="L1835" s="25" t="str">
        <f t="shared" si="85"/>
        <v/>
      </c>
      <c r="M1835" s="94"/>
      <c r="N1835" s="26" t="str">
        <f t="shared" si="86"/>
        <v/>
      </c>
      <c r="O1835" s="80"/>
      <c r="P1835" s="80"/>
      <c r="Q1835" s="80"/>
      <c r="R1835" s="80"/>
    </row>
    <row r="1836" ht="18" customHeight="1" spans="1:18">
      <c r="A1836" s="87" t="str">
        <f t="shared" si="84"/>
        <v/>
      </c>
      <c r="B1836" s="78"/>
      <c r="C1836" s="80"/>
      <c r="D1836" s="80"/>
      <c r="E1836" s="79"/>
      <c r="F1836" s="87" t="str">
        <f>IF($E1836="","",IFERROR(INDEX(基础资料!$O$4:$O$34,MATCH($E1836,基础资料!$N$4:$N$34,0))&amp;"",""))</f>
        <v/>
      </c>
      <c r="G1836" s="87" t="str">
        <f>IF($E1836="","",IFERROR(INDEX(基础资料!$P$4:$P$34,MATCH($E1836,基础资料!$N$4:$N$34,0))&amp;"",""))</f>
        <v/>
      </c>
      <c r="H1836" s="79"/>
      <c r="I1836" s="88"/>
      <c r="J1836" s="92"/>
      <c r="K1836" s="93"/>
      <c r="L1836" s="25" t="str">
        <f t="shared" si="85"/>
        <v/>
      </c>
      <c r="M1836" s="94"/>
      <c r="N1836" s="26" t="str">
        <f t="shared" si="86"/>
        <v/>
      </c>
      <c r="O1836" s="80"/>
      <c r="P1836" s="80"/>
      <c r="Q1836" s="80"/>
      <c r="R1836" s="80"/>
    </row>
    <row r="1837" ht="18" customHeight="1" spans="1:18">
      <c r="A1837" s="87" t="str">
        <f t="shared" si="84"/>
        <v/>
      </c>
      <c r="B1837" s="78"/>
      <c r="C1837" s="80"/>
      <c r="D1837" s="80"/>
      <c r="E1837" s="79"/>
      <c r="F1837" s="87" t="str">
        <f>IF($E1837="","",IFERROR(INDEX(基础资料!$O$4:$O$34,MATCH($E1837,基础资料!$N$4:$N$34,0))&amp;"",""))</f>
        <v/>
      </c>
      <c r="G1837" s="87" t="str">
        <f>IF($E1837="","",IFERROR(INDEX(基础资料!$P$4:$P$34,MATCH($E1837,基础资料!$N$4:$N$34,0))&amp;"",""))</f>
        <v/>
      </c>
      <c r="H1837" s="79"/>
      <c r="I1837" s="88"/>
      <c r="J1837" s="92"/>
      <c r="K1837" s="93"/>
      <c r="L1837" s="25" t="str">
        <f t="shared" si="85"/>
        <v/>
      </c>
      <c r="M1837" s="94"/>
      <c r="N1837" s="26" t="str">
        <f t="shared" si="86"/>
        <v/>
      </c>
      <c r="O1837" s="80"/>
      <c r="P1837" s="80"/>
      <c r="Q1837" s="80"/>
      <c r="R1837" s="80"/>
    </row>
    <row r="1838" ht="18" customHeight="1" spans="1:18">
      <c r="A1838" s="87" t="str">
        <f t="shared" si="84"/>
        <v/>
      </c>
      <c r="B1838" s="78"/>
      <c r="C1838" s="80"/>
      <c r="D1838" s="80"/>
      <c r="E1838" s="79"/>
      <c r="F1838" s="87" t="str">
        <f>IF($E1838="","",IFERROR(INDEX(基础资料!$O$4:$O$34,MATCH($E1838,基础资料!$N$4:$N$34,0))&amp;"",""))</f>
        <v/>
      </c>
      <c r="G1838" s="87" t="str">
        <f>IF($E1838="","",IFERROR(INDEX(基础资料!$P$4:$P$34,MATCH($E1838,基础资料!$N$4:$N$34,0))&amp;"",""))</f>
        <v/>
      </c>
      <c r="H1838" s="79"/>
      <c r="I1838" s="88"/>
      <c r="J1838" s="92"/>
      <c r="K1838" s="93"/>
      <c r="L1838" s="25" t="str">
        <f t="shared" si="85"/>
        <v/>
      </c>
      <c r="M1838" s="94"/>
      <c r="N1838" s="26" t="str">
        <f t="shared" si="86"/>
        <v/>
      </c>
      <c r="O1838" s="80"/>
      <c r="P1838" s="80"/>
      <c r="Q1838" s="80"/>
      <c r="R1838" s="80"/>
    </row>
    <row r="1839" ht="18" customHeight="1" spans="1:18">
      <c r="A1839" s="87" t="str">
        <f t="shared" si="84"/>
        <v/>
      </c>
      <c r="B1839" s="78"/>
      <c r="C1839" s="80"/>
      <c r="D1839" s="80"/>
      <c r="E1839" s="79"/>
      <c r="F1839" s="87" t="str">
        <f>IF($E1839="","",IFERROR(INDEX(基础资料!$O$4:$O$34,MATCH($E1839,基础资料!$N$4:$N$34,0))&amp;"",""))</f>
        <v/>
      </c>
      <c r="G1839" s="87" t="str">
        <f>IF($E1839="","",IFERROR(INDEX(基础资料!$P$4:$P$34,MATCH($E1839,基础资料!$N$4:$N$34,0))&amp;"",""))</f>
        <v/>
      </c>
      <c r="H1839" s="79"/>
      <c r="I1839" s="88"/>
      <c r="J1839" s="92"/>
      <c r="K1839" s="93"/>
      <c r="L1839" s="25" t="str">
        <f t="shared" si="85"/>
        <v/>
      </c>
      <c r="M1839" s="94"/>
      <c r="N1839" s="26" t="str">
        <f t="shared" si="86"/>
        <v/>
      </c>
      <c r="O1839" s="80"/>
      <c r="P1839" s="80"/>
      <c r="Q1839" s="80"/>
      <c r="R1839" s="80"/>
    </row>
    <row r="1840" ht="18" customHeight="1" spans="1:18">
      <c r="A1840" s="87" t="str">
        <f t="shared" si="84"/>
        <v/>
      </c>
      <c r="B1840" s="78"/>
      <c r="C1840" s="80"/>
      <c r="D1840" s="80"/>
      <c r="E1840" s="79"/>
      <c r="F1840" s="87" t="str">
        <f>IF($E1840="","",IFERROR(INDEX(基础资料!$O$4:$O$34,MATCH($E1840,基础资料!$N$4:$N$34,0))&amp;"",""))</f>
        <v/>
      </c>
      <c r="G1840" s="87" t="str">
        <f>IF($E1840="","",IFERROR(INDEX(基础资料!$P$4:$P$34,MATCH($E1840,基础资料!$N$4:$N$34,0))&amp;"",""))</f>
        <v/>
      </c>
      <c r="H1840" s="79"/>
      <c r="I1840" s="88"/>
      <c r="J1840" s="92"/>
      <c r="K1840" s="93"/>
      <c r="L1840" s="25" t="str">
        <f t="shared" si="85"/>
        <v/>
      </c>
      <c r="M1840" s="94"/>
      <c r="N1840" s="26" t="str">
        <f t="shared" si="86"/>
        <v/>
      </c>
      <c r="O1840" s="80"/>
      <c r="P1840" s="80"/>
      <c r="Q1840" s="80"/>
      <c r="R1840" s="80"/>
    </row>
    <row r="1841" ht="18" customHeight="1" spans="1:18">
      <c r="A1841" s="87" t="str">
        <f t="shared" si="84"/>
        <v/>
      </c>
      <c r="B1841" s="78"/>
      <c r="C1841" s="80"/>
      <c r="D1841" s="80"/>
      <c r="E1841" s="79"/>
      <c r="F1841" s="87" t="str">
        <f>IF($E1841="","",IFERROR(INDEX(基础资料!$O$4:$O$34,MATCH($E1841,基础资料!$N$4:$N$34,0))&amp;"",""))</f>
        <v/>
      </c>
      <c r="G1841" s="87" t="str">
        <f>IF($E1841="","",IFERROR(INDEX(基础资料!$P$4:$P$34,MATCH($E1841,基础资料!$N$4:$N$34,0))&amp;"",""))</f>
        <v/>
      </c>
      <c r="H1841" s="79"/>
      <c r="I1841" s="88"/>
      <c r="J1841" s="92"/>
      <c r="K1841" s="93"/>
      <c r="L1841" s="25" t="str">
        <f t="shared" si="85"/>
        <v/>
      </c>
      <c r="M1841" s="94"/>
      <c r="N1841" s="26" t="str">
        <f t="shared" si="86"/>
        <v/>
      </c>
      <c r="O1841" s="80"/>
      <c r="P1841" s="80"/>
      <c r="Q1841" s="80"/>
      <c r="R1841" s="80"/>
    </row>
    <row r="1842" ht="18" customHeight="1" spans="1:18">
      <c r="A1842" s="87" t="str">
        <f t="shared" si="84"/>
        <v/>
      </c>
      <c r="B1842" s="78"/>
      <c r="C1842" s="80"/>
      <c r="D1842" s="80"/>
      <c r="E1842" s="79"/>
      <c r="F1842" s="87" t="str">
        <f>IF($E1842="","",IFERROR(INDEX(基础资料!$O$4:$O$34,MATCH($E1842,基础资料!$N$4:$N$34,0))&amp;"",""))</f>
        <v/>
      </c>
      <c r="G1842" s="87" t="str">
        <f>IF($E1842="","",IFERROR(INDEX(基础资料!$P$4:$P$34,MATCH($E1842,基础资料!$N$4:$N$34,0))&amp;"",""))</f>
        <v/>
      </c>
      <c r="H1842" s="79"/>
      <c r="I1842" s="88"/>
      <c r="J1842" s="92"/>
      <c r="K1842" s="93"/>
      <c r="L1842" s="25" t="str">
        <f t="shared" si="85"/>
        <v/>
      </c>
      <c r="M1842" s="94"/>
      <c r="N1842" s="26" t="str">
        <f t="shared" si="86"/>
        <v/>
      </c>
      <c r="O1842" s="80"/>
      <c r="P1842" s="80"/>
      <c r="Q1842" s="80"/>
      <c r="R1842" s="80"/>
    </row>
    <row r="1843" ht="18" customHeight="1" spans="1:18">
      <c r="A1843" s="87" t="str">
        <f t="shared" si="84"/>
        <v/>
      </c>
      <c r="B1843" s="78"/>
      <c r="C1843" s="80"/>
      <c r="D1843" s="80"/>
      <c r="E1843" s="79"/>
      <c r="F1843" s="87" t="str">
        <f>IF($E1843="","",IFERROR(INDEX(基础资料!$O$4:$O$34,MATCH($E1843,基础资料!$N$4:$N$34,0))&amp;"",""))</f>
        <v/>
      </c>
      <c r="G1843" s="87" t="str">
        <f>IF($E1843="","",IFERROR(INDEX(基础资料!$P$4:$P$34,MATCH($E1843,基础资料!$N$4:$N$34,0))&amp;"",""))</f>
        <v/>
      </c>
      <c r="H1843" s="79"/>
      <c r="I1843" s="88"/>
      <c r="J1843" s="92"/>
      <c r="K1843" s="93"/>
      <c r="L1843" s="25" t="str">
        <f t="shared" si="85"/>
        <v/>
      </c>
      <c r="M1843" s="94"/>
      <c r="N1843" s="26" t="str">
        <f t="shared" si="86"/>
        <v/>
      </c>
      <c r="O1843" s="80"/>
      <c r="P1843" s="80"/>
      <c r="Q1843" s="80"/>
      <c r="R1843" s="80"/>
    </row>
    <row r="1844" ht="18" customHeight="1" spans="1:18">
      <c r="A1844" s="87" t="str">
        <f t="shared" si="84"/>
        <v/>
      </c>
      <c r="B1844" s="78"/>
      <c r="C1844" s="80"/>
      <c r="D1844" s="80"/>
      <c r="E1844" s="79"/>
      <c r="F1844" s="87" t="str">
        <f>IF($E1844="","",IFERROR(INDEX(基础资料!$O$4:$O$34,MATCH($E1844,基础资料!$N$4:$N$34,0))&amp;"",""))</f>
        <v/>
      </c>
      <c r="G1844" s="87" t="str">
        <f>IF($E1844="","",IFERROR(INDEX(基础资料!$P$4:$P$34,MATCH($E1844,基础资料!$N$4:$N$34,0))&amp;"",""))</f>
        <v/>
      </c>
      <c r="H1844" s="79"/>
      <c r="I1844" s="88"/>
      <c r="J1844" s="92"/>
      <c r="K1844" s="93"/>
      <c r="L1844" s="25" t="str">
        <f t="shared" si="85"/>
        <v/>
      </c>
      <c r="M1844" s="94"/>
      <c r="N1844" s="26" t="str">
        <f t="shared" si="86"/>
        <v/>
      </c>
      <c r="O1844" s="80"/>
      <c r="P1844" s="80"/>
      <c r="Q1844" s="80"/>
      <c r="R1844" s="80"/>
    </row>
    <row r="1845" ht="18" customHeight="1" spans="1:18">
      <c r="A1845" s="87" t="str">
        <f t="shared" si="84"/>
        <v/>
      </c>
      <c r="B1845" s="78"/>
      <c r="C1845" s="80"/>
      <c r="D1845" s="80"/>
      <c r="E1845" s="79"/>
      <c r="F1845" s="87" t="str">
        <f>IF($E1845="","",IFERROR(INDEX(基础资料!$O$4:$O$34,MATCH($E1845,基础资料!$N$4:$N$34,0))&amp;"",""))</f>
        <v/>
      </c>
      <c r="G1845" s="87" t="str">
        <f>IF($E1845="","",IFERROR(INDEX(基础资料!$P$4:$P$34,MATCH($E1845,基础资料!$N$4:$N$34,0))&amp;"",""))</f>
        <v/>
      </c>
      <c r="H1845" s="79"/>
      <c r="I1845" s="88"/>
      <c r="J1845" s="92"/>
      <c r="K1845" s="93"/>
      <c r="L1845" s="25" t="str">
        <f t="shared" si="85"/>
        <v/>
      </c>
      <c r="M1845" s="94"/>
      <c r="N1845" s="26" t="str">
        <f t="shared" si="86"/>
        <v/>
      </c>
      <c r="O1845" s="80"/>
      <c r="P1845" s="80"/>
      <c r="Q1845" s="80"/>
      <c r="R1845" s="80"/>
    </row>
    <row r="1846" ht="18" customHeight="1" spans="1:18">
      <c r="A1846" s="87" t="str">
        <f t="shared" si="84"/>
        <v/>
      </c>
      <c r="B1846" s="78"/>
      <c r="C1846" s="80"/>
      <c r="D1846" s="80"/>
      <c r="E1846" s="79"/>
      <c r="F1846" s="87" t="str">
        <f>IF($E1846="","",IFERROR(INDEX(基础资料!$O$4:$O$34,MATCH($E1846,基础资料!$N$4:$N$34,0))&amp;"",""))</f>
        <v/>
      </c>
      <c r="G1846" s="87" t="str">
        <f>IF($E1846="","",IFERROR(INDEX(基础资料!$P$4:$P$34,MATCH($E1846,基础资料!$N$4:$N$34,0))&amp;"",""))</f>
        <v/>
      </c>
      <c r="H1846" s="79"/>
      <c r="I1846" s="88"/>
      <c r="J1846" s="92"/>
      <c r="K1846" s="93"/>
      <c r="L1846" s="25" t="str">
        <f t="shared" si="85"/>
        <v/>
      </c>
      <c r="M1846" s="94"/>
      <c r="N1846" s="26" t="str">
        <f t="shared" si="86"/>
        <v/>
      </c>
      <c r="O1846" s="80"/>
      <c r="P1846" s="80"/>
      <c r="Q1846" s="80"/>
      <c r="R1846" s="80"/>
    </row>
    <row r="1847" ht="18" customHeight="1" spans="1:18">
      <c r="A1847" s="87" t="str">
        <f t="shared" si="84"/>
        <v/>
      </c>
      <c r="B1847" s="78"/>
      <c r="C1847" s="80"/>
      <c r="D1847" s="80"/>
      <c r="E1847" s="79"/>
      <c r="F1847" s="87" t="str">
        <f>IF($E1847="","",IFERROR(INDEX(基础资料!$O$4:$O$34,MATCH($E1847,基础资料!$N$4:$N$34,0))&amp;"",""))</f>
        <v/>
      </c>
      <c r="G1847" s="87" t="str">
        <f>IF($E1847="","",IFERROR(INDEX(基础资料!$P$4:$P$34,MATCH($E1847,基础资料!$N$4:$N$34,0))&amp;"",""))</f>
        <v/>
      </c>
      <c r="H1847" s="79"/>
      <c r="I1847" s="88"/>
      <c r="J1847" s="92"/>
      <c r="K1847" s="93"/>
      <c r="L1847" s="25" t="str">
        <f t="shared" si="85"/>
        <v/>
      </c>
      <c r="M1847" s="94"/>
      <c r="N1847" s="26" t="str">
        <f t="shared" si="86"/>
        <v/>
      </c>
      <c r="O1847" s="80"/>
      <c r="P1847" s="80"/>
      <c r="Q1847" s="80"/>
      <c r="R1847" s="80"/>
    </row>
    <row r="1848" ht="18" customHeight="1" spans="1:18">
      <c r="A1848" s="87" t="str">
        <f t="shared" si="84"/>
        <v/>
      </c>
      <c r="B1848" s="78"/>
      <c r="C1848" s="80"/>
      <c r="D1848" s="80"/>
      <c r="E1848" s="79"/>
      <c r="F1848" s="87" t="str">
        <f>IF($E1848="","",IFERROR(INDEX(基础资料!$O$4:$O$34,MATCH($E1848,基础资料!$N$4:$N$34,0))&amp;"",""))</f>
        <v/>
      </c>
      <c r="G1848" s="87" t="str">
        <f>IF($E1848="","",IFERROR(INDEX(基础资料!$P$4:$P$34,MATCH($E1848,基础资料!$N$4:$N$34,0))&amp;"",""))</f>
        <v/>
      </c>
      <c r="H1848" s="79"/>
      <c r="I1848" s="88"/>
      <c r="J1848" s="92"/>
      <c r="K1848" s="93"/>
      <c r="L1848" s="25" t="str">
        <f t="shared" si="85"/>
        <v/>
      </c>
      <c r="M1848" s="94"/>
      <c r="N1848" s="26" t="str">
        <f t="shared" si="86"/>
        <v/>
      </c>
      <c r="O1848" s="80"/>
      <c r="P1848" s="80"/>
      <c r="Q1848" s="80"/>
      <c r="R1848" s="80"/>
    </row>
    <row r="1849" ht="18" customHeight="1" spans="1:18">
      <c r="A1849" s="87" t="str">
        <f t="shared" si="84"/>
        <v/>
      </c>
      <c r="B1849" s="78"/>
      <c r="C1849" s="80"/>
      <c r="D1849" s="80"/>
      <c r="E1849" s="79"/>
      <c r="F1849" s="87" t="str">
        <f>IF($E1849="","",IFERROR(INDEX(基础资料!$O$4:$O$34,MATCH($E1849,基础资料!$N$4:$N$34,0))&amp;"",""))</f>
        <v/>
      </c>
      <c r="G1849" s="87" t="str">
        <f>IF($E1849="","",IFERROR(INDEX(基础资料!$P$4:$P$34,MATCH($E1849,基础资料!$N$4:$N$34,0))&amp;"",""))</f>
        <v/>
      </c>
      <c r="H1849" s="79"/>
      <c r="I1849" s="88"/>
      <c r="J1849" s="92"/>
      <c r="K1849" s="93"/>
      <c r="L1849" s="25" t="str">
        <f t="shared" si="85"/>
        <v/>
      </c>
      <c r="M1849" s="94"/>
      <c r="N1849" s="26" t="str">
        <f t="shared" si="86"/>
        <v/>
      </c>
      <c r="O1849" s="80"/>
      <c r="P1849" s="80"/>
      <c r="Q1849" s="80"/>
      <c r="R1849" s="80"/>
    </row>
    <row r="1850" ht="18" customHeight="1" spans="1:18">
      <c r="A1850" s="87" t="str">
        <f t="shared" si="84"/>
        <v/>
      </c>
      <c r="B1850" s="78"/>
      <c r="C1850" s="80"/>
      <c r="D1850" s="80"/>
      <c r="E1850" s="79"/>
      <c r="F1850" s="87" t="str">
        <f>IF($E1850="","",IFERROR(INDEX(基础资料!$O$4:$O$34,MATCH($E1850,基础资料!$N$4:$N$34,0))&amp;"",""))</f>
        <v/>
      </c>
      <c r="G1850" s="87" t="str">
        <f>IF($E1850="","",IFERROR(INDEX(基础资料!$P$4:$P$34,MATCH($E1850,基础资料!$N$4:$N$34,0))&amp;"",""))</f>
        <v/>
      </c>
      <c r="H1850" s="79"/>
      <c r="I1850" s="88"/>
      <c r="J1850" s="92"/>
      <c r="K1850" s="93"/>
      <c r="L1850" s="25" t="str">
        <f t="shared" si="85"/>
        <v/>
      </c>
      <c r="M1850" s="94"/>
      <c r="N1850" s="26" t="str">
        <f t="shared" si="86"/>
        <v/>
      </c>
      <c r="O1850" s="80"/>
      <c r="P1850" s="80"/>
      <c r="Q1850" s="80"/>
      <c r="R1850" s="80"/>
    </row>
    <row r="1851" ht="18" customHeight="1" spans="1:18">
      <c r="A1851" s="87" t="str">
        <f t="shared" si="84"/>
        <v/>
      </c>
      <c r="B1851" s="78"/>
      <c r="C1851" s="80"/>
      <c r="D1851" s="80"/>
      <c r="E1851" s="79"/>
      <c r="F1851" s="87" t="str">
        <f>IF($E1851="","",IFERROR(INDEX(基础资料!$O$4:$O$34,MATCH($E1851,基础资料!$N$4:$N$34,0))&amp;"",""))</f>
        <v/>
      </c>
      <c r="G1851" s="87" t="str">
        <f>IF($E1851="","",IFERROR(INDEX(基础资料!$P$4:$P$34,MATCH($E1851,基础资料!$N$4:$N$34,0))&amp;"",""))</f>
        <v/>
      </c>
      <c r="H1851" s="79"/>
      <c r="I1851" s="88"/>
      <c r="J1851" s="92"/>
      <c r="K1851" s="93"/>
      <c r="L1851" s="25" t="str">
        <f t="shared" si="85"/>
        <v/>
      </c>
      <c r="M1851" s="94"/>
      <c r="N1851" s="26" t="str">
        <f t="shared" si="86"/>
        <v/>
      </c>
      <c r="O1851" s="80"/>
      <c r="P1851" s="80"/>
      <c r="Q1851" s="80"/>
      <c r="R1851" s="80"/>
    </row>
    <row r="1852" ht="18" customHeight="1" spans="1:18">
      <c r="A1852" s="87" t="str">
        <f t="shared" si="84"/>
        <v/>
      </c>
      <c r="B1852" s="78"/>
      <c r="C1852" s="80"/>
      <c r="D1852" s="80"/>
      <c r="E1852" s="79"/>
      <c r="F1852" s="87" t="str">
        <f>IF($E1852="","",IFERROR(INDEX(基础资料!$O$4:$O$34,MATCH($E1852,基础资料!$N$4:$N$34,0))&amp;"",""))</f>
        <v/>
      </c>
      <c r="G1852" s="87" t="str">
        <f>IF($E1852="","",IFERROR(INDEX(基础资料!$P$4:$P$34,MATCH($E1852,基础资料!$N$4:$N$34,0))&amp;"",""))</f>
        <v/>
      </c>
      <c r="H1852" s="79"/>
      <c r="I1852" s="88"/>
      <c r="J1852" s="92"/>
      <c r="K1852" s="93"/>
      <c r="L1852" s="25" t="str">
        <f t="shared" si="85"/>
        <v/>
      </c>
      <c r="M1852" s="94"/>
      <c r="N1852" s="26" t="str">
        <f t="shared" si="86"/>
        <v/>
      </c>
      <c r="O1852" s="80"/>
      <c r="P1852" s="80"/>
      <c r="Q1852" s="80"/>
      <c r="R1852" s="80"/>
    </row>
    <row r="1853" ht="18" customHeight="1" spans="1:18">
      <c r="A1853" s="87" t="str">
        <f t="shared" si="84"/>
        <v/>
      </c>
      <c r="B1853" s="78"/>
      <c r="C1853" s="80"/>
      <c r="D1853" s="80"/>
      <c r="E1853" s="79"/>
      <c r="F1853" s="87" t="str">
        <f>IF($E1853="","",IFERROR(INDEX(基础资料!$O$4:$O$34,MATCH($E1853,基础资料!$N$4:$N$34,0))&amp;"",""))</f>
        <v/>
      </c>
      <c r="G1853" s="87" t="str">
        <f>IF($E1853="","",IFERROR(INDEX(基础资料!$P$4:$P$34,MATCH($E1853,基础资料!$N$4:$N$34,0))&amp;"",""))</f>
        <v/>
      </c>
      <c r="H1853" s="79"/>
      <c r="I1853" s="88"/>
      <c r="J1853" s="92"/>
      <c r="K1853" s="93"/>
      <c r="L1853" s="25" t="str">
        <f t="shared" si="85"/>
        <v/>
      </c>
      <c r="M1853" s="94"/>
      <c r="N1853" s="26" t="str">
        <f t="shared" si="86"/>
        <v/>
      </c>
      <c r="O1853" s="80"/>
      <c r="P1853" s="80"/>
      <c r="Q1853" s="80"/>
      <c r="R1853" s="80"/>
    </row>
    <row r="1854" ht="18" customHeight="1" spans="1:18">
      <c r="A1854" s="87" t="str">
        <f t="shared" si="84"/>
        <v/>
      </c>
      <c r="B1854" s="78"/>
      <c r="C1854" s="80"/>
      <c r="D1854" s="80"/>
      <c r="E1854" s="79"/>
      <c r="F1854" s="87" t="str">
        <f>IF($E1854="","",IFERROR(INDEX(基础资料!$O$4:$O$34,MATCH($E1854,基础资料!$N$4:$N$34,0))&amp;"",""))</f>
        <v/>
      </c>
      <c r="G1854" s="87" t="str">
        <f>IF($E1854="","",IFERROR(INDEX(基础资料!$P$4:$P$34,MATCH($E1854,基础资料!$N$4:$N$34,0))&amp;"",""))</f>
        <v/>
      </c>
      <c r="H1854" s="79"/>
      <c r="I1854" s="88"/>
      <c r="J1854" s="92"/>
      <c r="K1854" s="93"/>
      <c r="L1854" s="25" t="str">
        <f t="shared" si="85"/>
        <v/>
      </c>
      <c r="M1854" s="94"/>
      <c r="N1854" s="26" t="str">
        <f t="shared" si="86"/>
        <v/>
      </c>
      <c r="O1854" s="80"/>
      <c r="P1854" s="80"/>
      <c r="Q1854" s="80"/>
      <c r="R1854" s="80"/>
    </row>
    <row r="1855" ht="18" customHeight="1" spans="1:18">
      <c r="A1855" s="87" t="str">
        <f t="shared" si="84"/>
        <v/>
      </c>
      <c r="B1855" s="78"/>
      <c r="C1855" s="80"/>
      <c r="D1855" s="80"/>
      <c r="E1855" s="79"/>
      <c r="F1855" s="87" t="str">
        <f>IF($E1855="","",IFERROR(INDEX(基础资料!$O$4:$O$34,MATCH($E1855,基础资料!$N$4:$N$34,0))&amp;"",""))</f>
        <v/>
      </c>
      <c r="G1855" s="87" t="str">
        <f>IF($E1855="","",IFERROR(INDEX(基础资料!$P$4:$P$34,MATCH($E1855,基础资料!$N$4:$N$34,0))&amp;"",""))</f>
        <v/>
      </c>
      <c r="H1855" s="79"/>
      <c r="I1855" s="88"/>
      <c r="J1855" s="92"/>
      <c r="K1855" s="93"/>
      <c r="L1855" s="25" t="str">
        <f t="shared" si="85"/>
        <v/>
      </c>
      <c r="M1855" s="94"/>
      <c r="N1855" s="26" t="str">
        <f t="shared" si="86"/>
        <v/>
      </c>
      <c r="O1855" s="80"/>
      <c r="P1855" s="80"/>
      <c r="Q1855" s="80"/>
      <c r="R1855" s="80"/>
    </row>
    <row r="1856" ht="18" customHeight="1" spans="1:18">
      <c r="A1856" s="87" t="str">
        <f t="shared" si="84"/>
        <v/>
      </c>
      <c r="B1856" s="78"/>
      <c r="C1856" s="80"/>
      <c r="D1856" s="80"/>
      <c r="E1856" s="79"/>
      <c r="F1856" s="87" t="str">
        <f>IF($E1856="","",IFERROR(INDEX(基础资料!$O$4:$O$34,MATCH($E1856,基础资料!$N$4:$N$34,0))&amp;"",""))</f>
        <v/>
      </c>
      <c r="G1856" s="87" t="str">
        <f>IF($E1856="","",IFERROR(INDEX(基础资料!$P$4:$P$34,MATCH($E1856,基础资料!$N$4:$N$34,0))&amp;"",""))</f>
        <v/>
      </c>
      <c r="H1856" s="79"/>
      <c r="I1856" s="88"/>
      <c r="J1856" s="92"/>
      <c r="K1856" s="93"/>
      <c r="L1856" s="25" t="str">
        <f t="shared" si="85"/>
        <v/>
      </c>
      <c r="M1856" s="94"/>
      <c r="N1856" s="26" t="str">
        <f t="shared" si="86"/>
        <v/>
      </c>
      <c r="O1856" s="80"/>
      <c r="P1856" s="80"/>
      <c r="Q1856" s="80"/>
      <c r="R1856" s="80"/>
    </row>
    <row r="1857" ht="18" customHeight="1" spans="1:18">
      <c r="A1857" s="87" t="str">
        <f t="shared" si="84"/>
        <v/>
      </c>
      <c r="B1857" s="78"/>
      <c r="C1857" s="80"/>
      <c r="D1857" s="80"/>
      <c r="E1857" s="79"/>
      <c r="F1857" s="87" t="str">
        <f>IF($E1857="","",IFERROR(INDEX(基础资料!$O$4:$O$34,MATCH($E1857,基础资料!$N$4:$N$34,0))&amp;"",""))</f>
        <v/>
      </c>
      <c r="G1857" s="87" t="str">
        <f>IF($E1857="","",IFERROR(INDEX(基础资料!$P$4:$P$34,MATCH($E1857,基础资料!$N$4:$N$34,0))&amp;"",""))</f>
        <v/>
      </c>
      <c r="H1857" s="79"/>
      <c r="I1857" s="88"/>
      <c r="J1857" s="92"/>
      <c r="K1857" s="93"/>
      <c r="L1857" s="25" t="str">
        <f t="shared" si="85"/>
        <v/>
      </c>
      <c r="M1857" s="94"/>
      <c r="N1857" s="26" t="str">
        <f t="shared" si="86"/>
        <v/>
      </c>
      <c r="O1857" s="80"/>
      <c r="P1857" s="80"/>
      <c r="Q1857" s="80"/>
      <c r="R1857" s="80"/>
    </row>
    <row r="1858" ht="18" customHeight="1" spans="1:18">
      <c r="A1858" s="87" t="str">
        <f t="shared" si="84"/>
        <v/>
      </c>
      <c r="B1858" s="78"/>
      <c r="C1858" s="80"/>
      <c r="D1858" s="80"/>
      <c r="E1858" s="79"/>
      <c r="F1858" s="87" t="str">
        <f>IF($E1858="","",IFERROR(INDEX(基础资料!$O$4:$O$34,MATCH($E1858,基础资料!$N$4:$N$34,0))&amp;"",""))</f>
        <v/>
      </c>
      <c r="G1858" s="87" t="str">
        <f>IF($E1858="","",IFERROR(INDEX(基础资料!$P$4:$P$34,MATCH($E1858,基础资料!$N$4:$N$34,0))&amp;"",""))</f>
        <v/>
      </c>
      <c r="H1858" s="79"/>
      <c r="I1858" s="88"/>
      <c r="J1858" s="92"/>
      <c r="K1858" s="93"/>
      <c r="L1858" s="25" t="str">
        <f t="shared" si="85"/>
        <v/>
      </c>
      <c r="M1858" s="94"/>
      <c r="N1858" s="26" t="str">
        <f t="shared" si="86"/>
        <v/>
      </c>
      <c r="O1858" s="80"/>
      <c r="P1858" s="80"/>
      <c r="Q1858" s="80"/>
      <c r="R1858" s="80"/>
    </row>
    <row r="1859" ht="18" customHeight="1" spans="1:18">
      <c r="A1859" s="87" t="str">
        <f t="shared" si="84"/>
        <v/>
      </c>
      <c r="B1859" s="78"/>
      <c r="C1859" s="80"/>
      <c r="D1859" s="80"/>
      <c r="E1859" s="79"/>
      <c r="F1859" s="87" t="str">
        <f>IF($E1859="","",IFERROR(INDEX(基础资料!$O$4:$O$34,MATCH($E1859,基础资料!$N$4:$N$34,0))&amp;"",""))</f>
        <v/>
      </c>
      <c r="G1859" s="87" t="str">
        <f>IF($E1859="","",IFERROR(INDEX(基础资料!$P$4:$P$34,MATCH($E1859,基础资料!$N$4:$N$34,0))&amp;"",""))</f>
        <v/>
      </c>
      <c r="H1859" s="79"/>
      <c r="I1859" s="88"/>
      <c r="J1859" s="92"/>
      <c r="K1859" s="93"/>
      <c r="L1859" s="25" t="str">
        <f t="shared" si="85"/>
        <v/>
      </c>
      <c r="M1859" s="94"/>
      <c r="N1859" s="26" t="str">
        <f t="shared" si="86"/>
        <v/>
      </c>
      <c r="O1859" s="80"/>
      <c r="P1859" s="80"/>
      <c r="Q1859" s="80"/>
      <c r="R1859" s="80"/>
    </row>
    <row r="1860" ht="18" customHeight="1" spans="1:18">
      <c r="A1860" s="87" t="str">
        <f t="shared" ref="A1860:A1923" si="87">IF($E1860="","",ROW()-3)</f>
        <v/>
      </c>
      <c r="B1860" s="78"/>
      <c r="C1860" s="80"/>
      <c r="D1860" s="80"/>
      <c r="E1860" s="79"/>
      <c r="F1860" s="87" t="str">
        <f>IF($E1860="","",IFERROR(INDEX(基础资料!$O$4:$O$34,MATCH($E1860,基础资料!$N$4:$N$34,0))&amp;"",""))</f>
        <v/>
      </c>
      <c r="G1860" s="87" t="str">
        <f>IF($E1860="","",IFERROR(INDEX(基础资料!$P$4:$P$34,MATCH($E1860,基础资料!$N$4:$N$34,0))&amp;"",""))</f>
        <v/>
      </c>
      <c r="H1860" s="79"/>
      <c r="I1860" s="88"/>
      <c r="J1860" s="92"/>
      <c r="K1860" s="93"/>
      <c r="L1860" s="25" t="str">
        <f t="shared" ref="L1860:L1923" si="88">IF($E1860="","",N($I1860)+N($J1860)-N($K1860))</f>
        <v/>
      </c>
      <c r="M1860" s="94"/>
      <c r="N1860" s="26" t="str">
        <f t="shared" ref="N1860:N1923" si="89">IF($E1860="","",ROUND(N($L1860)*N($M1860),2))</f>
        <v/>
      </c>
      <c r="O1860" s="80"/>
      <c r="P1860" s="80"/>
      <c r="Q1860" s="80"/>
      <c r="R1860" s="80"/>
    </row>
    <row r="1861" ht="18" customHeight="1" spans="1:18">
      <c r="A1861" s="87" t="str">
        <f t="shared" si="87"/>
        <v/>
      </c>
      <c r="B1861" s="78"/>
      <c r="C1861" s="80"/>
      <c r="D1861" s="80"/>
      <c r="E1861" s="79"/>
      <c r="F1861" s="87" t="str">
        <f>IF($E1861="","",IFERROR(INDEX(基础资料!$O$4:$O$34,MATCH($E1861,基础资料!$N$4:$N$34,0))&amp;"",""))</f>
        <v/>
      </c>
      <c r="G1861" s="87" t="str">
        <f>IF($E1861="","",IFERROR(INDEX(基础资料!$P$4:$P$34,MATCH($E1861,基础资料!$N$4:$N$34,0))&amp;"",""))</f>
        <v/>
      </c>
      <c r="H1861" s="79"/>
      <c r="I1861" s="88"/>
      <c r="J1861" s="92"/>
      <c r="K1861" s="93"/>
      <c r="L1861" s="25" t="str">
        <f t="shared" si="88"/>
        <v/>
      </c>
      <c r="M1861" s="94"/>
      <c r="N1861" s="26" t="str">
        <f t="shared" si="89"/>
        <v/>
      </c>
      <c r="O1861" s="80"/>
      <c r="P1861" s="80"/>
      <c r="Q1861" s="80"/>
      <c r="R1861" s="80"/>
    </row>
    <row r="1862" ht="18" customHeight="1" spans="1:18">
      <c r="A1862" s="87" t="str">
        <f t="shared" si="87"/>
        <v/>
      </c>
      <c r="B1862" s="78"/>
      <c r="C1862" s="80"/>
      <c r="D1862" s="80"/>
      <c r="E1862" s="79"/>
      <c r="F1862" s="87" t="str">
        <f>IF($E1862="","",IFERROR(INDEX(基础资料!$O$4:$O$34,MATCH($E1862,基础资料!$N$4:$N$34,0))&amp;"",""))</f>
        <v/>
      </c>
      <c r="G1862" s="87" t="str">
        <f>IF($E1862="","",IFERROR(INDEX(基础资料!$P$4:$P$34,MATCH($E1862,基础资料!$N$4:$N$34,0))&amp;"",""))</f>
        <v/>
      </c>
      <c r="H1862" s="79"/>
      <c r="I1862" s="88"/>
      <c r="J1862" s="92"/>
      <c r="K1862" s="93"/>
      <c r="L1862" s="25" t="str">
        <f t="shared" si="88"/>
        <v/>
      </c>
      <c r="M1862" s="94"/>
      <c r="N1862" s="26" t="str">
        <f t="shared" si="89"/>
        <v/>
      </c>
      <c r="O1862" s="80"/>
      <c r="P1862" s="80"/>
      <c r="Q1862" s="80"/>
      <c r="R1862" s="80"/>
    </row>
    <row r="1863" ht="18" customHeight="1" spans="1:18">
      <c r="A1863" s="87" t="str">
        <f t="shared" si="87"/>
        <v/>
      </c>
      <c r="B1863" s="78"/>
      <c r="C1863" s="80"/>
      <c r="D1863" s="80"/>
      <c r="E1863" s="79"/>
      <c r="F1863" s="87" t="str">
        <f>IF($E1863="","",IFERROR(INDEX(基础资料!$O$4:$O$34,MATCH($E1863,基础资料!$N$4:$N$34,0))&amp;"",""))</f>
        <v/>
      </c>
      <c r="G1863" s="87" t="str">
        <f>IF($E1863="","",IFERROR(INDEX(基础资料!$P$4:$P$34,MATCH($E1863,基础资料!$N$4:$N$34,0))&amp;"",""))</f>
        <v/>
      </c>
      <c r="H1863" s="79"/>
      <c r="I1863" s="88"/>
      <c r="J1863" s="92"/>
      <c r="K1863" s="93"/>
      <c r="L1863" s="25" t="str">
        <f t="shared" si="88"/>
        <v/>
      </c>
      <c r="M1863" s="94"/>
      <c r="N1863" s="26" t="str">
        <f t="shared" si="89"/>
        <v/>
      </c>
      <c r="O1863" s="80"/>
      <c r="P1863" s="80"/>
      <c r="Q1863" s="80"/>
      <c r="R1863" s="80"/>
    </row>
    <row r="1864" ht="18" customHeight="1" spans="1:18">
      <c r="A1864" s="87" t="str">
        <f t="shared" si="87"/>
        <v/>
      </c>
      <c r="B1864" s="78"/>
      <c r="C1864" s="80"/>
      <c r="D1864" s="80"/>
      <c r="E1864" s="79"/>
      <c r="F1864" s="87" t="str">
        <f>IF($E1864="","",IFERROR(INDEX(基础资料!$O$4:$O$34,MATCH($E1864,基础资料!$N$4:$N$34,0))&amp;"",""))</f>
        <v/>
      </c>
      <c r="G1864" s="87" t="str">
        <f>IF($E1864="","",IFERROR(INDEX(基础资料!$P$4:$P$34,MATCH($E1864,基础资料!$N$4:$N$34,0))&amp;"",""))</f>
        <v/>
      </c>
      <c r="H1864" s="79"/>
      <c r="I1864" s="88"/>
      <c r="J1864" s="92"/>
      <c r="K1864" s="93"/>
      <c r="L1864" s="25" t="str">
        <f t="shared" si="88"/>
        <v/>
      </c>
      <c r="M1864" s="94"/>
      <c r="N1864" s="26" t="str">
        <f t="shared" si="89"/>
        <v/>
      </c>
      <c r="O1864" s="80"/>
      <c r="P1864" s="80"/>
      <c r="Q1864" s="80"/>
      <c r="R1864" s="80"/>
    </row>
    <row r="1865" ht="18" customHeight="1" spans="1:18">
      <c r="A1865" s="87" t="str">
        <f t="shared" si="87"/>
        <v/>
      </c>
      <c r="B1865" s="78"/>
      <c r="C1865" s="80"/>
      <c r="D1865" s="80"/>
      <c r="E1865" s="79"/>
      <c r="F1865" s="87" t="str">
        <f>IF($E1865="","",IFERROR(INDEX(基础资料!$O$4:$O$34,MATCH($E1865,基础资料!$N$4:$N$34,0))&amp;"",""))</f>
        <v/>
      </c>
      <c r="G1865" s="87" t="str">
        <f>IF($E1865="","",IFERROR(INDEX(基础资料!$P$4:$P$34,MATCH($E1865,基础资料!$N$4:$N$34,0))&amp;"",""))</f>
        <v/>
      </c>
      <c r="H1865" s="79"/>
      <c r="I1865" s="88"/>
      <c r="J1865" s="92"/>
      <c r="K1865" s="93"/>
      <c r="L1865" s="25" t="str">
        <f t="shared" si="88"/>
        <v/>
      </c>
      <c r="M1865" s="94"/>
      <c r="N1865" s="26" t="str">
        <f t="shared" si="89"/>
        <v/>
      </c>
      <c r="O1865" s="80"/>
      <c r="P1865" s="80"/>
      <c r="Q1865" s="80"/>
      <c r="R1865" s="80"/>
    </row>
    <row r="1866" ht="18" customHeight="1" spans="1:18">
      <c r="A1866" s="87" t="str">
        <f t="shared" si="87"/>
        <v/>
      </c>
      <c r="B1866" s="78"/>
      <c r="C1866" s="80"/>
      <c r="D1866" s="80"/>
      <c r="E1866" s="79"/>
      <c r="F1866" s="87" t="str">
        <f>IF($E1866="","",IFERROR(INDEX(基础资料!$O$4:$O$34,MATCH($E1866,基础资料!$N$4:$N$34,0))&amp;"",""))</f>
        <v/>
      </c>
      <c r="G1866" s="87" t="str">
        <f>IF($E1866="","",IFERROR(INDEX(基础资料!$P$4:$P$34,MATCH($E1866,基础资料!$N$4:$N$34,0))&amp;"",""))</f>
        <v/>
      </c>
      <c r="H1866" s="79"/>
      <c r="I1866" s="88"/>
      <c r="J1866" s="92"/>
      <c r="K1866" s="93"/>
      <c r="L1866" s="25" t="str">
        <f t="shared" si="88"/>
        <v/>
      </c>
      <c r="M1866" s="94"/>
      <c r="N1866" s="26" t="str">
        <f t="shared" si="89"/>
        <v/>
      </c>
      <c r="O1866" s="80"/>
      <c r="P1866" s="80"/>
      <c r="Q1866" s="80"/>
      <c r="R1866" s="80"/>
    </row>
    <row r="1867" ht="18" customHeight="1" spans="1:18">
      <c r="A1867" s="87" t="str">
        <f t="shared" si="87"/>
        <v/>
      </c>
      <c r="B1867" s="78"/>
      <c r="C1867" s="80"/>
      <c r="D1867" s="80"/>
      <c r="E1867" s="79"/>
      <c r="F1867" s="87" t="str">
        <f>IF($E1867="","",IFERROR(INDEX(基础资料!$O$4:$O$34,MATCH($E1867,基础资料!$N$4:$N$34,0))&amp;"",""))</f>
        <v/>
      </c>
      <c r="G1867" s="87" t="str">
        <f>IF($E1867="","",IFERROR(INDEX(基础资料!$P$4:$P$34,MATCH($E1867,基础资料!$N$4:$N$34,0))&amp;"",""))</f>
        <v/>
      </c>
      <c r="H1867" s="79"/>
      <c r="I1867" s="88"/>
      <c r="J1867" s="92"/>
      <c r="K1867" s="93"/>
      <c r="L1867" s="25" t="str">
        <f t="shared" si="88"/>
        <v/>
      </c>
      <c r="M1867" s="94"/>
      <c r="N1867" s="26" t="str">
        <f t="shared" si="89"/>
        <v/>
      </c>
      <c r="O1867" s="80"/>
      <c r="P1867" s="80"/>
      <c r="Q1867" s="80"/>
      <c r="R1867" s="80"/>
    </row>
    <row r="1868" ht="18" customHeight="1" spans="1:18">
      <c r="A1868" s="87" t="str">
        <f t="shared" si="87"/>
        <v/>
      </c>
      <c r="B1868" s="78"/>
      <c r="C1868" s="80"/>
      <c r="D1868" s="80"/>
      <c r="E1868" s="79"/>
      <c r="F1868" s="87" t="str">
        <f>IF($E1868="","",IFERROR(INDEX(基础资料!$O$4:$O$34,MATCH($E1868,基础资料!$N$4:$N$34,0))&amp;"",""))</f>
        <v/>
      </c>
      <c r="G1868" s="87" t="str">
        <f>IF($E1868="","",IFERROR(INDEX(基础资料!$P$4:$P$34,MATCH($E1868,基础资料!$N$4:$N$34,0))&amp;"",""))</f>
        <v/>
      </c>
      <c r="H1868" s="79"/>
      <c r="I1868" s="88"/>
      <c r="J1868" s="92"/>
      <c r="K1868" s="93"/>
      <c r="L1868" s="25" t="str">
        <f t="shared" si="88"/>
        <v/>
      </c>
      <c r="M1868" s="94"/>
      <c r="N1868" s="26" t="str">
        <f t="shared" si="89"/>
        <v/>
      </c>
      <c r="O1868" s="80"/>
      <c r="P1868" s="80"/>
      <c r="Q1868" s="80"/>
      <c r="R1868" s="80"/>
    </row>
    <row r="1869" ht="18" customHeight="1" spans="1:18">
      <c r="A1869" s="87" t="str">
        <f t="shared" si="87"/>
        <v/>
      </c>
      <c r="B1869" s="78"/>
      <c r="C1869" s="80"/>
      <c r="D1869" s="80"/>
      <c r="E1869" s="79"/>
      <c r="F1869" s="87" t="str">
        <f>IF($E1869="","",IFERROR(INDEX(基础资料!$O$4:$O$34,MATCH($E1869,基础资料!$N$4:$N$34,0))&amp;"",""))</f>
        <v/>
      </c>
      <c r="G1869" s="87" t="str">
        <f>IF($E1869="","",IFERROR(INDEX(基础资料!$P$4:$P$34,MATCH($E1869,基础资料!$N$4:$N$34,0))&amp;"",""))</f>
        <v/>
      </c>
      <c r="H1869" s="79"/>
      <c r="I1869" s="88"/>
      <c r="J1869" s="92"/>
      <c r="K1869" s="93"/>
      <c r="L1869" s="25" t="str">
        <f t="shared" si="88"/>
        <v/>
      </c>
      <c r="M1869" s="94"/>
      <c r="N1869" s="26" t="str">
        <f t="shared" si="89"/>
        <v/>
      </c>
      <c r="O1869" s="80"/>
      <c r="P1869" s="80"/>
      <c r="Q1869" s="80"/>
      <c r="R1869" s="80"/>
    </row>
    <row r="1870" ht="18" customHeight="1" spans="1:18">
      <c r="A1870" s="87" t="str">
        <f t="shared" si="87"/>
        <v/>
      </c>
      <c r="B1870" s="78"/>
      <c r="C1870" s="80"/>
      <c r="D1870" s="80"/>
      <c r="E1870" s="79"/>
      <c r="F1870" s="87" t="str">
        <f>IF($E1870="","",IFERROR(INDEX(基础资料!$O$4:$O$34,MATCH($E1870,基础资料!$N$4:$N$34,0))&amp;"",""))</f>
        <v/>
      </c>
      <c r="G1870" s="87" t="str">
        <f>IF($E1870="","",IFERROR(INDEX(基础资料!$P$4:$P$34,MATCH($E1870,基础资料!$N$4:$N$34,0))&amp;"",""))</f>
        <v/>
      </c>
      <c r="H1870" s="79"/>
      <c r="I1870" s="88"/>
      <c r="J1870" s="92"/>
      <c r="K1870" s="93"/>
      <c r="L1870" s="25" t="str">
        <f t="shared" si="88"/>
        <v/>
      </c>
      <c r="M1870" s="94"/>
      <c r="N1870" s="26" t="str">
        <f t="shared" si="89"/>
        <v/>
      </c>
      <c r="O1870" s="80"/>
      <c r="P1870" s="80"/>
      <c r="Q1870" s="80"/>
      <c r="R1870" s="80"/>
    </row>
    <row r="1871" ht="18" customHeight="1" spans="1:18">
      <c r="A1871" s="87" t="str">
        <f t="shared" si="87"/>
        <v/>
      </c>
      <c r="B1871" s="78"/>
      <c r="C1871" s="80"/>
      <c r="D1871" s="80"/>
      <c r="E1871" s="79"/>
      <c r="F1871" s="87" t="str">
        <f>IF($E1871="","",IFERROR(INDEX(基础资料!$O$4:$O$34,MATCH($E1871,基础资料!$N$4:$N$34,0))&amp;"",""))</f>
        <v/>
      </c>
      <c r="G1871" s="87" t="str">
        <f>IF($E1871="","",IFERROR(INDEX(基础资料!$P$4:$P$34,MATCH($E1871,基础资料!$N$4:$N$34,0))&amp;"",""))</f>
        <v/>
      </c>
      <c r="H1871" s="79"/>
      <c r="I1871" s="88"/>
      <c r="J1871" s="92"/>
      <c r="K1871" s="93"/>
      <c r="L1871" s="25" t="str">
        <f t="shared" si="88"/>
        <v/>
      </c>
      <c r="M1871" s="94"/>
      <c r="N1871" s="26" t="str">
        <f t="shared" si="89"/>
        <v/>
      </c>
      <c r="O1871" s="80"/>
      <c r="P1871" s="80"/>
      <c r="Q1871" s="80"/>
      <c r="R1871" s="80"/>
    </row>
    <row r="1872" ht="18" customHeight="1" spans="1:18">
      <c r="A1872" s="87" t="str">
        <f t="shared" si="87"/>
        <v/>
      </c>
      <c r="B1872" s="78"/>
      <c r="C1872" s="80"/>
      <c r="D1872" s="80"/>
      <c r="E1872" s="79"/>
      <c r="F1872" s="87" t="str">
        <f>IF($E1872="","",IFERROR(INDEX(基础资料!$O$4:$O$34,MATCH($E1872,基础资料!$N$4:$N$34,0))&amp;"",""))</f>
        <v/>
      </c>
      <c r="G1872" s="87" t="str">
        <f>IF($E1872="","",IFERROR(INDEX(基础资料!$P$4:$P$34,MATCH($E1872,基础资料!$N$4:$N$34,0))&amp;"",""))</f>
        <v/>
      </c>
      <c r="H1872" s="79"/>
      <c r="I1872" s="88"/>
      <c r="J1872" s="92"/>
      <c r="K1872" s="93"/>
      <c r="L1872" s="25" t="str">
        <f t="shared" si="88"/>
        <v/>
      </c>
      <c r="M1872" s="94"/>
      <c r="N1872" s="26" t="str">
        <f t="shared" si="89"/>
        <v/>
      </c>
      <c r="O1872" s="80"/>
      <c r="P1872" s="80"/>
      <c r="Q1872" s="80"/>
      <c r="R1872" s="80"/>
    </row>
    <row r="1873" ht="18" customHeight="1" spans="1:18">
      <c r="A1873" s="87" t="str">
        <f t="shared" si="87"/>
        <v/>
      </c>
      <c r="B1873" s="78"/>
      <c r="C1873" s="80"/>
      <c r="D1873" s="80"/>
      <c r="E1873" s="79"/>
      <c r="F1873" s="87" t="str">
        <f>IF($E1873="","",IFERROR(INDEX(基础资料!$O$4:$O$34,MATCH($E1873,基础资料!$N$4:$N$34,0))&amp;"",""))</f>
        <v/>
      </c>
      <c r="G1873" s="87" t="str">
        <f>IF($E1873="","",IFERROR(INDEX(基础资料!$P$4:$P$34,MATCH($E1873,基础资料!$N$4:$N$34,0))&amp;"",""))</f>
        <v/>
      </c>
      <c r="H1873" s="79"/>
      <c r="I1873" s="88"/>
      <c r="J1873" s="92"/>
      <c r="K1873" s="93"/>
      <c r="L1873" s="25" t="str">
        <f t="shared" si="88"/>
        <v/>
      </c>
      <c r="M1873" s="94"/>
      <c r="N1873" s="26" t="str">
        <f t="shared" si="89"/>
        <v/>
      </c>
      <c r="O1873" s="80"/>
      <c r="P1873" s="80"/>
      <c r="Q1873" s="80"/>
      <c r="R1873" s="80"/>
    </row>
    <row r="1874" ht="18" customHeight="1" spans="1:18">
      <c r="A1874" s="87" t="str">
        <f t="shared" si="87"/>
        <v/>
      </c>
      <c r="B1874" s="78"/>
      <c r="C1874" s="80"/>
      <c r="D1874" s="80"/>
      <c r="E1874" s="79"/>
      <c r="F1874" s="87" t="str">
        <f>IF($E1874="","",IFERROR(INDEX(基础资料!$O$4:$O$34,MATCH($E1874,基础资料!$N$4:$N$34,0))&amp;"",""))</f>
        <v/>
      </c>
      <c r="G1874" s="87" t="str">
        <f>IF($E1874="","",IFERROR(INDEX(基础资料!$P$4:$P$34,MATCH($E1874,基础资料!$N$4:$N$34,0))&amp;"",""))</f>
        <v/>
      </c>
      <c r="H1874" s="79"/>
      <c r="I1874" s="88"/>
      <c r="J1874" s="92"/>
      <c r="K1874" s="93"/>
      <c r="L1874" s="25" t="str">
        <f t="shared" si="88"/>
        <v/>
      </c>
      <c r="M1874" s="94"/>
      <c r="N1874" s="26" t="str">
        <f t="shared" si="89"/>
        <v/>
      </c>
      <c r="O1874" s="80"/>
      <c r="P1874" s="80"/>
      <c r="Q1874" s="80"/>
      <c r="R1874" s="80"/>
    </row>
    <row r="1875" ht="18" customHeight="1" spans="1:18">
      <c r="A1875" s="87" t="str">
        <f t="shared" si="87"/>
        <v/>
      </c>
      <c r="B1875" s="78"/>
      <c r="C1875" s="80"/>
      <c r="D1875" s="80"/>
      <c r="E1875" s="79"/>
      <c r="F1875" s="87" t="str">
        <f>IF($E1875="","",IFERROR(INDEX(基础资料!$O$4:$O$34,MATCH($E1875,基础资料!$N$4:$N$34,0))&amp;"",""))</f>
        <v/>
      </c>
      <c r="G1875" s="87" t="str">
        <f>IF($E1875="","",IFERROR(INDEX(基础资料!$P$4:$P$34,MATCH($E1875,基础资料!$N$4:$N$34,0))&amp;"",""))</f>
        <v/>
      </c>
      <c r="H1875" s="79"/>
      <c r="I1875" s="88"/>
      <c r="J1875" s="92"/>
      <c r="K1875" s="93"/>
      <c r="L1875" s="25" t="str">
        <f t="shared" si="88"/>
        <v/>
      </c>
      <c r="M1875" s="94"/>
      <c r="N1875" s="26" t="str">
        <f t="shared" si="89"/>
        <v/>
      </c>
      <c r="O1875" s="80"/>
      <c r="P1875" s="80"/>
      <c r="Q1875" s="80"/>
      <c r="R1875" s="80"/>
    </row>
    <row r="1876" ht="18" customHeight="1" spans="1:18">
      <c r="A1876" s="87" t="str">
        <f t="shared" si="87"/>
        <v/>
      </c>
      <c r="B1876" s="78"/>
      <c r="C1876" s="80"/>
      <c r="D1876" s="80"/>
      <c r="E1876" s="79"/>
      <c r="F1876" s="87" t="str">
        <f>IF($E1876="","",IFERROR(INDEX(基础资料!$O$4:$O$34,MATCH($E1876,基础资料!$N$4:$N$34,0))&amp;"",""))</f>
        <v/>
      </c>
      <c r="G1876" s="87" t="str">
        <f>IF($E1876="","",IFERROR(INDEX(基础资料!$P$4:$P$34,MATCH($E1876,基础资料!$N$4:$N$34,0))&amp;"",""))</f>
        <v/>
      </c>
      <c r="H1876" s="79"/>
      <c r="I1876" s="88"/>
      <c r="J1876" s="92"/>
      <c r="K1876" s="93"/>
      <c r="L1876" s="25" t="str">
        <f t="shared" si="88"/>
        <v/>
      </c>
      <c r="M1876" s="94"/>
      <c r="N1876" s="26" t="str">
        <f t="shared" si="89"/>
        <v/>
      </c>
      <c r="O1876" s="80"/>
      <c r="P1876" s="80"/>
      <c r="Q1876" s="80"/>
      <c r="R1876" s="80"/>
    </row>
    <row r="1877" ht="18" customHeight="1" spans="1:18">
      <c r="A1877" s="87" t="str">
        <f t="shared" si="87"/>
        <v/>
      </c>
      <c r="B1877" s="78"/>
      <c r="C1877" s="80"/>
      <c r="D1877" s="80"/>
      <c r="E1877" s="79"/>
      <c r="F1877" s="87" t="str">
        <f>IF($E1877="","",IFERROR(INDEX(基础资料!$O$4:$O$34,MATCH($E1877,基础资料!$N$4:$N$34,0))&amp;"",""))</f>
        <v/>
      </c>
      <c r="G1877" s="87" t="str">
        <f>IF($E1877="","",IFERROR(INDEX(基础资料!$P$4:$P$34,MATCH($E1877,基础资料!$N$4:$N$34,0))&amp;"",""))</f>
        <v/>
      </c>
      <c r="H1877" s="79"/>
      <c r="I1877" s="88"/>
      <c r="J1877" s="92"/>
      <c r="K1877" s="93"/>
      <c r="L1877" s="25" t="str">
        <f t="shared" si="88"/>
        <v/>
      </c>
      <c r="M1877" s="94"/>
      <c r="N1877" s="26" t="str">
        <f t="shared" si="89"/>
        <v/>
      </c>
      <c r="O1877" s="80"/>
      <c r="P1877" s="80"/>
      <c r="Q1877" s="80"/>
      <c r="R1877" s="80"/>
    </row>
    <row r="1878" ht="18" customHeight="1" spans="1:18">
      <c r="A1878" s="87" t="str">
        <f t="shared" si="87"/>
        <v/>
      </c>
      <c r="B1878" s="78"/>
      <c r="C1878" s="80"/>
      <c r="D1878" s="80"/>
      <c r="E1878" s="79"/>
      <c r="F1878" s="87" t="str">
        <f>IF($E1878="","",IFERROR(INDEX(基础资料!$O$4:$O$34,MATCH($E1878,基础资料!$N$4:$N$34,0))&amp;"",""))</f>
        <v/>
      </c>
      <c r="G1878" s="87" t="str">
        <f>IF($E1878="","",IFERROR(INDEX(基础资料!$P$4:$P$34,MATCH($E1878,基础资料!$N$4:$N$34,0))&amp;"",""))</f>
        <v/>
      </c>
      <c r="H1878" s="79"/>
      <c r="I1878" s="88"/>
      <c r="J1878" s="92"/>
      <c r="K1878" s="93"/>
      <c r="L1878" s="25" t="str">
        <f t="shared" si="88"/>
        <v/>
      </c>
      <c r="M1878" s="94"/>
      <c r="N1878" s="26" t="str">
        <f t="shared" si="89"/>
        <v/>
      </c>
      <c r="O1878" s="80"/>
      <c r="P1878" s="80"/>
      <c r="Q1878" s="80"/>
      <c r="R1878" s="80"/>
    </row>
    <row r="1879" ht="18" customHeight="1" spans="1:18">
      <c r="A1879" s="87" t="str">
        <f t="shared" si="87"/>
        <v/>
      </c>
      <c r="B1879" s="78"/>
      <c r="C1879" s="80"/>
      <c r="D1879" s="80"/>
      <c r="E1879" s="79"/>
      <c r="F1879" s="87" t="str">
        <f>IF($E1879="","",IFERROR(INDEX(基础资料!$O$4:$O$34,MATCH($E1879,基础资料!$N$4:$N$34,0))&amp;"",""))</f>
        <v/>
      </c>
      <c r="G1879" s="87" t="str">
        <f>IF($E1879="","",IFERROR(INDEX(基础资料!$P$4:$P$34,MATCH($E1879,基础资料!$N$4:$N$34,0))&amp;"",""))</f>
        <v/>
      </c>
      <c r="H1879" s="79"/>
      <c r="I1879" s="88"/>
      <c r="J1879" s="92"/>
      <c r="K1879" s="93"/>
      <c r="L1879" s="25" t="str">
        <f t="shared" si="88"/>
        <v/>
      </c>
      <c r="M1879" s="94"/>
      <c r="N1879" s="26" t="str">
        <f t="shared" si="89"/>
        <v/>
      </c>
      <c r="O1879" s="80"/>
      <c r="P1879" s="80"/>
      <c r="Q1879" s="80"/>
      <c r="R1879" s="80"/>
    </row>
    <row r="1880" ht="18" customHeight="1" spans="1:18">
      <c r="A1880" s="87" t="str">
        <f t="shared" si="87"/>
        <v/>
      </c>
      <c r="B1880" s="78"/>
      <c r="C1880" s="80"/>
      <c r="D1880" s="80"/>
      <c r="E1880" s="79"/>
      <c r="F1880" s="87" t="str">
        <f>IF($E1880="","",IFERROR(INDEX(基础资料!$O$4:$O$34,MATCH($E1880,基础资料!$N$4:$N$34,0))&amp;"",""))</f>
        <v/>
      </c>
      <c r="G1880" s="87" t="str">
        <f>IF($E1880="","",IFERROR(INDEX(基础资料!$P$4:$P$34,MATCH($E1880,基础资料!$N$4:$N$34,0))&amp;"",""))</f>
        <v/>
      </c>
      <c r="H1880" s="79"/>
      <c r="I1880" s="88"/>
      <c r="J1880" s="92"/>
      <c r="K1880" s="93"/>
      <c r="L1880" s="25" t="str">
        <f t="shared" si="88"/>
        <v/>
      </c>
      <c r="M1880" s="94"/>
      <c r="N1880" s="26" t="str">
        <f t="shared" si="89"/>
        <v/>
      </c>
      <c r="O1880" s="80"/>
      <c r="P1880" s="80"/>
      <c r="Q1880" s="80"/>
      <c r="R1880" s="80"/>
    </row>
    <row r="1881" ht="18" customHeight="1" spans="1:18">
      <c r="A1881" s="87" t="str">
        <f t="shared" si="87"/>
        <v/>
      </c>
      <c r="B1881" s="78"/>
      <c r="C1881" s="80"/>
      <c r="D1881" s="80"/>
      <c r="E1881" s="79"/>
      <c r="F1881" s="87" t="str">
        <f>IF($E1881="","",IFERROR(INDEX(基础资料!$O$4:$O$34,MATCH($E1881,基础资料!$N$4:$N$34,0))&amp;"",""))</f>
        <v/>
      </c>
      <c r="G1881" s="87" t="str">
        <f>IF($E1881="","",IFERROR(INDEX(基础资料!$P$4:$P$34,MATCH($E1881,基础资料!$N$4:$N$34,0))&amp;"",""))</f>
        <v/>
      </c>
      <c r="H1881" s="79"/>
      <c r="I1881" s="88"/>
      <c r="J1881" s="92"/>
      <c r="K1881" s="93"/>
      <c r="L1881" s="25" t="str">
        <f t="shared" si="88"/>
        <v/>
      </c>
      <c r="M1881" s="94"/>
      <c r="N1881" s="26" t="str">
        <f t="shared" si="89"/>
        <v/>
      </c>
      <c r="O1881" s="80"/>
      <c r="P1881" s="80"/>
      <c r="Q1881" s="80"/>
      <c r="R1881" s="80"/>
    </row>
    <row r="1882" ht="18" customHeight="1" spans="1:18">
      <c r="A1882" s="87" t="str">
        <f t="shared" si="87"/>
        <v/>
      </c>
      <c r="B1882" s="78"/>
      <c r="C1882" s="80"/>
      <c r="D1882" s="80"/>
      <c r="E1882" s="79"/>
      <c r="F1882" s="87" t="str">
        <f>IF($E1882="","",IFERROR(INDEX(基础资料!$O$4:$O$34,MATCH($E1882,基础资料!$N$4:$N$34,0))&amp;"",""))</f>
        <v/>
      </c>
      <c r="G1882" s="87" t="str">
        <f>IF($E1882="","",IFERROR(INDEX(基础资料!$P$4:$P$34,MATCH($E1882,基础资料!$N$4:$N$34,0))&amp;"",""))</f>
        <v/>
      </c>
      <c r="H1882" s="79"/>
      <c r="I1882" s="88"/>
      <c r="J1882" s="92"/>
      <c r="K1882" s="93"/>
      <c r="L1882" s="25" t="str">
        <f t="shared" si="88"/>
        <v/>
      </c>
      <c r="M1882" s="94"/>
      <c r="N1882" s="26" t="str">
        <f t="shared" si="89"/>
        <v/>
      </c>
      <c r="O1882" s="80"/>
      <c r="P1882" s="80"/>
      <c r="Q1882" s="80"/>
      <c r="R1882" s="80"/>
    </row>
    <row r="1883" ht="18" customHeight="1" spans="1:18">
      <c r="A1883" s="87" t="str">
        <f t="shared" si="87"/>
        <v/>
      </c>
      <c r="B1883" s="78"/>
      <c r="C1883" s="80"/>
      <c r="D1883" s="80"/>
      <c r="E1883" s="79"/>
      <c r="F1883" s="87" t="str">
        <f>IF($E1883="","",IFERROR(INDEX(基础资料!$O$4:$O$34,MATCH($E1883,基础资料!$N$4:$N$34,0))&amp;"",""))</f>
        <v/>
      </c>
      <c r="G1883" s="87" t="str">
        <f>IF($E1883="","",IFERROR(INDEX(基础资料!$P$4:$P$34,MATCH($E1883,基础资料!$N$4:$N$34,0))&amp;"",""))</f>
        <v/>
      </c>
      <c r="H1883" s="79"/>
      <c r="I1883" s="88"/>
      <c r="J1883" s="92"/>
      <c r="K1883" s="93"/>
      <c r="L1883" s="25" t="str">
        <f t="shared" si="88"/>
        <v/>
      </c>
      <c r="M1883" s="94"/>
      <c r="N1883" s="26" t="str">
        <f t="shared" si="89"/>
        <v/>
      </c>
      <c r="O1883" s="80"/>
      <c r="P1883" s="80"/>
      <c r="Q1883" s="80"/>
      <c r="R1883" s="80"/>
    </row>
    <row r="1884" ht="18" customHeight="1" spans="1:18">
      <c r="A1884" s="87" t="str">
        <f t="shared" si="87"/>
        <v/>
      </c>
      <c r="B1884" s="78"/>
      <c r="C1884" s="80"/>
      <c r="D1884" s="80"/>
      <c r="E1884" s="79"/>
      <c r="F1884" s="87" t="str">
        <f>IF($E1884="","",IFERROR(INDEX(基础资料!$O$4:$O$34,MATCH($E1884,基础资料!$N$4:$N$34,0))&amp;"",""))</f>
        <v/>
      </c>
      <c r="G1884" s="87" t="str">
        <f>IF($E1884="","",IFERROR(INDEX(基础资料!$P$4:$P$34,MATCH($E1884,基础资料!$N$4:$N$34,0))&amp;"",""))</f>
        <v/>
      </c>
      <c r="H1884" s="79"/>
      <c r="I1884" s="88"/>
      <c r="J1884" s="92"/>
      <c r="K1884" s="93"/>
      <c r="L1884" s="25" t="str">
        <f t="shared" si="88"/>
        <v/>
      </c>
      <c r="M1884" s="94"/>
      <c r="N1884" s="26" t="str">
        <f t="shared" si="89"/>
        <v/>
      </c>
      <c r="O1884" s="80"/>
      <c r="P1884" s="80"/>
      <c r="Q1884" s="80"/>
      <c r="R1884" s="80"/>
    </row>
    <row r="1885" ht="18" customHeight="1" spans="1:18">
      <c r="A1885" s="87" t="str">
        <f t="shared" si="87"/>
        <v/>
      </c>
      <c r="B1885" s="78"/>
      <c r="C1885" s="80"/>
      <c r="D1885" s="80"/>
      <c r="E1885" s="79"/>
      <c r="F1885" s="87" t="str">
        <f>IF($E1885="","",IFERROR(INDEX(基础资料!$O$4:$O$34,MATCH($E1885,基础资料!$N$4:$N$34,0))&amp;"",""))</f>
        <v/>
      </c>
      <c r="G1885" s="87" t="str">
        <f>IF($E1885="","",IFERROR(INDEX(基础资料!$P$4:$P$34,MATCH($E1885,基础资料!$N$4:$N$34,0))&amp;"",""))</f>
        <v/>
      </c>
      <c r="H1885" s="79"/>
      <c r="I1885" s="88"/>
      <c r="J1885" s="92"/>
      <c r="K1885" s="93"/>
      <c r="L1885" s="25" t="str">
        <f t="shared" si="88"/>
        <v/>
      </c>
      <c r="M1885" s="94"/>
      <c r="N1885" s="26" t="str">
        <f t="shared" si="89"/>
        <v/>
      </c>
      <c r="O1885" s="80"/>
      <c r="P1885" s="80"/>
      <c r="Q1885" s="80"/>
      <c r="R1885" s="80"/>
    </row>
    <row r="1886" ht="18" customHeight="1" spans="1:18">
      <c r="A1886" s="87" t="str">
        <f t="shared" si="87"/>
        <v/>
      </c>
      <c r="B1886" s="78"/>
      <c r="C1886" s="80"/>
      <c r="D1886" s="80"/>
      <c r="E1886" s="79"/>
      <c r="F1886" s="87" t="str">
        <f>IF($E1886="","",IFERROR(INDEX(基础资料!$O$4:$O$34,MATCH($E1886,基础资料!$N$4:$N$34,0))&amp;"",""))</f>
        <v/>
      </c>
      <c r="G1886" s="87" t="str">
        <f>IF($E1886="","",IFERROR(INDEX(基础资料!$P$4:$P$34,MATCH($E1886,基础资料!$N$4:$N$34,0))&amp;"",""))</f>
        <v/>
      </c>
      <c r="H1886" s="79"/>
      <c r="I1886" s="88"/>
      <c r="J1886" s="92"/>
      <c r="K1886" s="93"/>
      <c r="L1886" s="25" t="str">
        <f t="shared" si="88"/>
        <v/>
      </c>
      <c r="M1886" s="94"/>
      <c r="N1886" s="26" t="str">
        <f t="shared" si="89"/>
        <v/>
      </c>
      <c r="O1886" s="80"/>
      <c r="P1886" s="80"/>
      <c r="Q1886" s="80"/>
      <c r="R1886" s="80"/>
    </row>
    <row r="1887" ht="18" customHeight="1" spans="1:18">
      <c r="A1887" s="87" t="str">
        <f t="shared" si="87"/>
        <v/>
      </c>
      <c r="B1887" s="78"/>
      <c r="C1887" s="80"/>
      <c r="D1887" s="80"/>
      <c r="E1887" s="79"/>
      <c r="F1887" s="87" t="str">
        <f>IF($E1887="","",IFERROR(INDEX(基础资料!$O$4:$O$34,MATCH($E1887,基础资料!$N$4:$N$34,0))&amp;"",""))</f>
        <v/>
      </c>
      <c r="G1887" s="87" t="str">
        <f>IF($E1887="","",IFERROR(INDEX(基础资料!$P$4:$P$34,MATCH($E1887,基础资料!$N$4:$N$34,0))&amp;"",""))</f>
        <v/>
      </c>
      <c r="H1887" s="79"/>
      <c r="I1887" s="88"/>
      <c r="J1887" s="92"/>
      <c r="K1887" s="93"/>
      <c r="L1887" s="25" t="str">
        <f t="shared" si="88"/>
        <v/>
      </c>
      <c r="M1887" s="94"/>
      <c r="N1887" s="26" t="str">
        <f t="shared" si="89"/>
        <v/>
      </c>
      <c r="O1887" s="80"/>
      <c r="P1887" s="80"/>
      <c r="Q1887" s="80"/>
      <c r="R1887" s="80"/>
    </row>
    <row r="1888" ht="18" customHeight="1" spans="1:18">
      <c r="A1888" s="87" t="str">
        <f t="shared" si="87"/>
        <v/>
      </c>
      <c r="B1888" s="78"/>
      <c r="C1888" s="80"/>
      <c r="D1888" s="80"/>
      <c r="E1888" s="79"/>
      <c r="F1888" s="87" t="str">
        <f>IF($E1888="","",IFERROR(INDEX(基础资料!$O$4:$O$34,MATCH($E1888,基础资料!$N$4:$N$34,0))&amp;"",""))</f>
        <v/>
      </c>
      <c r="G1888" s="87" t="str">
        <f>IF($E1888="","",IFERROR(INDEX(基础资料!$P$4:$P$34,MATCH($E1888,基础资料!$N$4:$N$34,0))&amp;"",""))</f>
        <v/>
      </c>
      <c r="H1888" s="79"/>
      <c r="I1888" s="88"/>
      <c r="J1888" s="92"/>
      <c r="K1888" s="93"/>
      <c r="L1888" s="25" t="str">
        <f t="shared" si="88"/>
        <v/>
      </c>
      <c r="M1888" s="94"/>
      <c r="N1888" s="26" t="str">
        <f t="shared" si="89"/>
        <v/>
      </c>
      <c r="O1888" s="80"/>
      <c r="P1888" s="80"/>
      <c r="Q1888" s="80"/>
      <c r="R1888" s="80"/>
    </row>
    <row r="1889" ht="18" customHeight="1" spans="1:18">
      <c r="A1889" s="87" t="str">
        <f t="shared" si="87"/>
        <v/>
      </c>
      <c r="B1889" s="78"/>
      <c r="C1889" s="80"/>
      <c r="D1889" s="80"/>
      <c r="E1889" s="79"/>
      <c r="F1889" s="87" t="str">
        <f>IF($E1889="","",IFERROR(INDEX(基础资料!$O$4:$O$34,MATCH($E1889,基础资料!$N$4:$N$34,0))&amp;"",""))</f>
        <v/>
      </c>
      <c r="G1889" s="87" t="str">
        <f>IF($E1889="","",IFERROR(INDEX(基础资料!$P$4:$P$34,MATCH($E1889,基础资料!$N$4:$N$34,0))&amp;"",""))</f>
        <v/>
      </c>
      <c r="H1889" s="79"/>
      <c r="I1889" s="88"/>
      <c r="J1889" s="92"/>
      <c r="K1889" s="93"/>
      <c r="L1889" s="25" t="str">
        <f t="shared" si="88"/>
        <v/>
      </c>
      <c r="M1889" s="94"/>
      <c r="N1889" s="26" t="str">
        <f t="shared" si="89"/>
        <v/>
      </c>
      <c r="O1889" s="80"/>
      <c r="P1889" s="80"/>
      <c r="Q1889" s="80"/>
      <c r="R1889" s="80"/>
    </row>
    <row r="1890" ht="18" customHeight="1" spans="1:18">
      <c r="A1890" s="87" t="str">
        <f t="shared" si="87"/>
        <v/>
      </c>
      <c r="B1890" s="78"/>
      <c r="C1890" s="80"/>
      <c r="D1890" s="80"/>
      <c r="E1890" s="79"/>
      <c r="F1890" s="87" t="str">
        <f>IF($E1890="","",IFERROR(INDEX(基础资料!$O$4:$O$34,MATCH($E1890,基础资料!$N$4:$N$34,0))&amp;"",""))</f>
        <v/>
      </c>
      <c r="G1890" s="87" t="str">
        <f>IF($E1890="","",IFERROR(INDEX(基础资料!$P$4:$P$34,MATCH($E1890,基础资料!$N$4:$N$34,0))&amp;"",""))</f>
        <v/>
      </c>
      <c r="H1890" s="79"/>
      <c r="I1890" s="88"/>
      <c r="J1890" s="92"/>
      <c r="K1890" s="93"/>
      <c r="L1890" s="25" t="str">
        <f t="shared" si="88"/>
        <v/>
      </c>
      <c r="M1890" s="94"/>
      <c r="N1890" s="26" t="str">
        <f t="shared" si="89"/>
        <v/>
      </c>
      <c r="O1890" s="80"/>
      <c r="P1890" s="80"/>
      <c r="Q1890" s="80"/>
      <c r="R1890" s="80"/>
    </row>
    <row r="1891" ht="18" customHeight="1" spans="1:18">
      <c r="A1891" s="87" t="str">
        <f t="shared" si="87"/>
        <v/>
      </c>
      <c r="B1891" s="78"/>
      <c r="C1891" s="80"/>
      <c r="D1891" s="80"/>
      <c r="E1891" s="79"/>
      <c r="F1891" s="87" t="str">
        <f>IF($E1891="","",IFERROR(INDEX(基础资料!$O$4:$O$34,MATCH($E1891,基础资料!$N$4:$N$34,0))&amp;"",""))</f>
        <v/>
      </c>
      <c r="G1891" s="87" t="str">
        <f>IF($E1891="","",IFERROR(INDEX(基础资料!$P$4:$P$34,MATCH($E1891,基础资料!$N$4:$N$34,0))&amp;"",""))</f>
        <v/>
      </c>
      <c r="H1891" s="79"/>
      <c r="I1891" s="88"/>
      <c r="J1891" s="92"/>
      <c r="K1891" s="93"/>
      <c r="L1891" s="25" t="str">
        <f t="shared" si="88"/>
        <v/>
      </c>
      <c r="M1891" s="94"/>
      <c r="N1891" s="26" t="str">
        <f t="shared" si="89"/>
        <v/>
      </c>
      <c r="O1891" s="80"/>
      <c r="P1891" s="80"/>
      <c r="Q1891" s="80"/>
      <c r="R1891" s="80"/>
    </row>
    <row r="1892" ht="18" customHeight="1" spans="1:18">
      <c r="A1892" s="87" t="str">
        <f t="shared" si="87"/>
        <v/>
      </c>
      <c r="B1892" s="78"/>
      <c r="C1892" s="80"/>
      <c r="D1892" s="80"/>
      <c r="E1892" s="79"/>
      <c r="F1892" s="87" t="str">
        <f>IF($E1892="","",IFERROR(INDEX(基础资料!$O$4:$O$34,MATCH($E1892,基础资料!$N$4:$N$34,0))&amp;"",""))</f>
        <v/>
      </c>
      <c r="G1892" s="87" t="str">
        <f>IF($E1892="","",IFERROR(INDEX(基础资料!$P$4:$P$34,MATCH($E1892,基础资料!$N$4:$N$34,0))&amp;"",""))</f>
        <v/>
      </c>
      <c r="H1892" s="79"/>
      <c r="I1892" s="88"/>
      <c r="J1892" s="92"/>
      <c r="K1892" s="93"/>
      <c r="L1892" s="25" t="str">
        <f t="shared" si="88"/>
        <v/>
      </c>
      <c r="M1892" s="94"/>
      <c r="N1892" s="26" t="str">
        <f t="shared" si="89"/>
        <v/>
      </c>
      <c r="O1892" s="80"/>
      <c r="P1892" s="80"/>
      <c r="Q1892" s="80"/>
      <c r="R1892" s="80"/>
    </row>
    <row r="1893" ht="18" customHeight="1" spans="1:18">
      <c r="A1893" s="87" t="str">
        <f t="shared" si="87"/>
        <v/>
      </c>
      <c r="B1893" s="78"/>
      <c r="C1893" s="80"/>
      <c r="D1893" s="80"/>
      <c r="E1893" s="79"/>
      <c r="F1893" s="87" t="str">
        <f>IF($E1893="","",IFERROR(INDEX(基础资料!$O$4:$O$34,MATCH($E1893,基础资料!$N$4:$N$34,0))&amp;"",""))</f>
        <v/>
      </c>
      <c r="G1893" s="87" t="str">
        <f>IF($E1893="","",IFERROR(INDEX(基础资料!$P$4:$P$34,MATCH($E1893,基础资料!$N$4:$N$34,0))&amp;"",""))</f>
        <v/>
      </c>
      <c r="H1893" s="79"/>
      <c r="I1893" s="88"/>
      <c r="J1893" s="92"/>
      <c r="K1893" s="93"/>
      <c r="L1893" s="25" t="str">
        <f t="shared" si="88"/>
        <v/>
      </c>
      <c r="M1893" s="94"/>
      <c r="N1893" s="26" t="str">
        <f t="shared" si="89"/>
        <v/>
      </c>
      <c r="O1893" s="80"/>
      <c r="P1893" s="80"/>
      <c r="Q1893" s="80"/>
      <c r="R1893" s="80"/>
    </row>
    <row r="1894" ht="18" customHeight="1" spans="1:18">
      <c r="A1894" s="87" t="str">
        <f t="shared" si="87"/>
        <v/>
      </c>
      <c r="B1894" s="78"/>
      <c r="C1894" s="80"/>
      <c r="D1894" s="80"/>
      <c r="E1894" s="79"/>
      <c r="F1894" s="87" t="str">
        <f>IF($E1894="","",IFERROR(INDEX(基础资料!$O$4:$O$34,MATCH($E1894,基础资料!$N$4:$N$34,0))&amp;"",""))</f>
        <v/>
      </c>
      <c r="G1894" s="87" t="str">
        <f>IF($E1894="","",IFERROR(INDEX(基础资料!$P$4:$P$34,MATCH($E1894,基础资料!$N$4:$N$34,0))&amp;"",""))</f>
        <v/>
      </c>
      <c r="H1894" s="79"/>
      <c r="I1894" s="88"/>
      <c r="J1894" s="92"/>
      <c r="K1894" s="93"/>
      <c r="L1894" s="25" t="str">
        <f t="shared" si="88"/>
        <v/>
      </c>
      <c r="M1894" s="94"/>
      <c r="N1894" s="26" t="str">
        <f t="shared" si="89"/>
        <v/>
      </c>
      <c r="O1894" s="80"/>
      <c r="P1894" s="80"/>
      <c r="Q1894" s="80"/>
      <c r="R1894" s="80"/>
    </row>
    <row r="1895" ht="18" customHeight="1" spans="1:18">
      <c r="A1895" s="87" t="str">
        <f t="shared" si="87"/>
        <v/>
      </c>
      <c r="B1895" s="78"/>
      <c r="C1895" s="80"/>
      <c r="D1895" s="80"/>
      <c r="E1895" s="79"/>
      <c r="F1895" s="87" t="str">
        <f>IF($E1895="","",IFERROR(INDEX(基础资料!$O$4:$O$34,MATCH($E1895,基础资料!$N$4:$N$34,0))&amp;"",""))</f>
        <v/>
      </c>
      <c r="G1895" s="87" t="str">
        <f>IF($E1895="","",IFERROR(INDEX(基础资料!$P$4:$P$34,MATCH($E1895,基础资料!$N$4:$N$34,0))&amp;"",""))</f>
        <v/>
      </c>
      <c r="H1895" s="79"/>
      <c r="I1895" s="88"/>
      <c r="J1895" s="92"/>
      <c r="K1895" s="93"/>
      <c r="L1895" s="25" t="str">
        <f t="shared" si="88"/>
        <v/>
      </c>
      <c r="M1895" s="94"/>
      <c r="N1895" s="26" t="str">
        <f t="shared" si="89"/>
        <v/>
      </c>
      <c r="O1895" s="80"/>
      <c r="P1895" s="80"/>
      <c r="Q1895" s="80"/>
      <c r="R1895" s="80"/>
    </row>
    <row r="1896" ht="18" customHeight="1" spans="1:18">
      <c r="A1896" s="87" t="str">
        <f t="shared" si="87"/>
        <v/>
      </c>
      <c r="B1896" s="78"/>
      <c r="C1896" s="80"/>
      <c r="D1896" s="80"/>
      <c r="E1896" s="79"/>
      <c r="F1896" s="87" t="str">
        <f>IF($E1896="","",IFERROR(INDEX(基础资料!$O$4:$O$34,MATCH($E1896,基础资料!$N$4:$N$34,0))&amp;"",""))</f>
        <v/>
      </c>
      <c r="G1896" s="87" t="str">
        <f>IF($E1896="","",IFERROR(INDEX(基础资料!$P$4:$P$34,MATCH($E1896,基础资料!$N$4:$N$34,0))&amp;"",""))</f>
        <v/>
      </c>
      <c r="H1896" s="79"/>
      <c r="I1896" s="88"/>
      <c r="J1896" s="92"/>
      <c r="K1896" s="93"/>
      <c r="L1896" s="25" t="str">
        <f t="shared" si="88"/>
        <v/>
      </c>
      <c r="M1896" s="94"/>
      <c r="N1896" s="26" t="str">
        <f t="shared" si="89"/>
        <v/>
      </c>
      <c r="O1896" s="80"/>
      <c r="P1896" s="80"/>
      <c r="Q1896" s="80"/>
      <c r="R1896" s="80"/>
    </row>
    <row r="1897" ht="18" customHeight="1" spans="1:18">
      <c r="A1897" s="87" t="str">
        <f t="shared" si="87"/>
        <v/>
      </c>
      <c r="B1897" s="78"/>
      <c r="C1897" s="80"/>
      <c r="D1897" s="80"/>
      <c r="E1897" s="79"/>
      <c r="F1897" s="87" t="str">
        <f>IF($E1897="","",IFERROR(INDEX(基础资料!$O$4:$O$34,MATCH($E1897,基础资料!$N$4:$N$34,0))&amp;"",""))</f>
        <v/>
      </c>
      <c r="G1897" s="87" t="str">
        <f>IF($E1897="","",IFERROR(INDEX(基础资料!$P$4:$P$34,MATCH($E1897,基础资料!$N$4:$N$34,0))&amp;"",""))</f>
        <v/>
      </c>
      <c r="H1897" s="79"/>
      <c r="I1897" s="88"/>
      <c r="J1897" s="92"/>
      <c r="K1897" s="93"/>
      <c r="L1897" s="25" t="str">
        <f t="shared" si="88"/>
        <v/>
      </c>
      <c r="M1897" s="94"/>
      <c r="N1897" s="26" t="str">
        <f t="shared" si="89"/>
        <v/>
      </c>
      <c r="O1897" s="80"/>
      <c r="P1897" s="80"/>
      <c r="Q1897" s="80"/>
      <c r="R1897" s="80"/>
    </row>
    <row r="1898" ht="18" customHeight="1" spans="1:18">
      <c r="A1898" s="87" t="str">
        <f t="shared" si="87"/>
        <v/>
      </c>
      <c r="B1898" s="78"/>
      <c r="C1898" s="80"/>
      <c r="D1898" s="80"/>
      <c r="E1898" s="79"/>
      <c r="F1898" s="87" t="str">
        <f>IF($E1898="","",IFERROR(INDEX(基础资料!$O$4:$O$34,MATCH($E1898,基础资料!$N$4:$N$34,0))&amp;"",""))</f>
        <v/>
      </c>
      <c r="G1898" s="87" t="str">
        <f>IF($E1898="","",IFERROR(INDEX(基础资料!$P$4:$P$34,MATCH($E1898,基础资料!$N$4:$N$34,0))&amp;"",""))</f>
        <v/>
      </c>
      <c r="H1898" s="79"/>
      <c r="I1898" s="88"/>
      <c r="J1898" s="92"/>
      <c r="K1898" s="93"/>
      <c r="L1898" s="25" t="str">
        <f t="shared" si="88"/>
        <v/>
      </c>
      <c r="M1898" s="94"/>
      <c r="N1898" s="26" t="str">
        <f t="shared" si="89"/>
        <v/>
      </c>
      <c r="O1898" s="80"/>
      <c r="P1898" s="80"/>
      <c r="Q1898" s="80"/>
      <c r="R1898" s="80"/>
    </row>
    <row r="1899" ht="18" customHeight="1" spans="1:18">
      <c r="A1899" s="87" t="str">
        <f t="shared" si="87"/>
        <v/>
      </c>
      <c r="B1899" s="78"/>
      <c r="C1899" s="80"/>
      <c r="D1899" s="80"/>
      <c r="E1899" s="79"/>
      <c r="F1899" s="87" t="str">
        <f>IF($E1899="","",IFERROR(INDEX(基础资料!$O$4:$O$34,MATCH($E1899,基础资料!$N$4:$N$34,0))&amp;"",""))</f>
        <v/>
      </c>
      <c r="G1899" s="87" t="str">
        <f>IF($E1899="","",IFERROR(INDEX(基础资料!$P$4:$P$34,MATCH($E1899,基础资料!$N$4:$N$34,0))&amp;"",""))</f>
        <v/>
      </c>
      <c r="H1899" s="79"/>
      <c r="I1899" s="88"/>
      <c r="J1899" s="92"/>
      <c r="K1899" s="93"/>
      <c r="L1899" s="25" t="str">
        <f t="shared" si="88"/>
        <v/>
      </c>
      <c r="M1899" s="94"/>
      <c r="N1899" s="26" t="str">
        <f t="shared" si="89"/>
        <v/>
      </c>
      <c r="O1899" s="80"/>
      <c r="P1899" s="80"/>
      <c r="Q1899" s="80"/>
      <c r="R1899" s="80"/>
    </row>
    <row r="1900" ht="18" customHeight="1" spans="1:18">
      <c r="A1900" s="87" t="str">
        <f t="shared" si="87"/>
        <v/>
      </c>
      <c r="B1900" s="78"/>
      <c r="C1900" s="80"/>
      <c r="D1900" s="80"/>
      <c r="E1900" s="79"/>
      <c r="F1900" s="87" t="str">
        <f>IF($E1900="","",IFERROR(INDEX(基础资料!$O$4:$O$34,MATCH($E1900,基础资料!$N$4:$N$34,0))&amp;"",""))</f>
        <v/>
      </c>
      <c r="G1900" s="87" t="str">
        <f>IF($E1900="","",IFERROR(INDEX(基础资料!$P$4:$P$34,MATCH($E1900,基础资料!$N$4:$N$34,0))&amp;"",""))</f>
        <v/>
      </c>
      <c r="H1900" s="79"/>
      <c r="I1900" s="88"/>
      <c r="J1900" s="92"/>
      <c r="K1900" s="93"/>
      <c r="L1900" s="25" t="str">
        <f t="shared" si="88"/>
        <v/>
      </c>
      <c r="M1900" s="94"/>
      <c r="N1900" s="26" t="str">
        <f t="shared" si="89"/>
        <v/>
      </c>
      <c r="O1900" s="80"/>
      <c r="P1900" s="80"/>
      <c r="Q1900" s="80"/>
      <c r="R1900" s="80"/>
    </row>
    <row r="1901" ht="18" customHeight="1" spans="1:18">
      <c r="A1901" s="87" t="str">
        <f t="shared" si="87"/>
        <v/>
      </c>
      <c r="B1901" s="78"/>
      <c r="C1901" s="80"/>
      <c r="D1901" s="80"/>
      <c r="E1901" s="79"/>
      <c r="F1901" s="87" t="str">
        <f>IF($E1901="","",IFERROR(INDEX(基础资料!$O$4:$O$34,MATCH($E1901,基础资料!$N$4:$N$34,0))&amp;"",""))</f>
        <v/>
      </c>
      <c r="G1901" s="87" t="str">
        <f>IF($E1901="","",IFERROR(INDEX(基础资料!$P$4:$P$34,MATCH($E1901,基础资料!$N$4:$N$34,0))&amp;"",""))</f>
        <v/>
      </c>
      <c r="H1901" s="79"/>
      <c r="I1901" s="88"/>
      <c r="J1901" s="92"/>
      <c r="K1901" s="93"/>
      <c r="L1901" s="25" t="str">
        <f t="shared" si="88"/>
        <v/>
      </c>
      <c r="M1901" s="94"/>
      <c r="N1901" s="26" t="str">
        <f t="shared" si="89"/>
        <v/>
      </c>
      <c r="O1901" s="80"/>
      <c r="P1901" s="80"/>
      <c r="Q1901" s="80"/>
      <c r="R1901" s="80"/>
    </row>
    <row r="1902" ht="18" customHeight="1" spans="1:18">
      <c r="A1902" s="87" t="str">
        <f t="shared" si="87"/>
        <v/>
      </c>
      <c r="B1902" s="78"/>
      <c r="C1902" s="80"/>
      <c r="D1902" s="80"/>
      <c r="E1902" s="79"/>
      <c r="F1902" s="87" t="str">
        <f>IF($E1902="","",IFERROR(INDEX(基础资料!$O$4:$O$34,MATCH($E1902,基础资料!$N$4:$N$34,0))&amp;"",""))</f>
        <v/>
      </c>
      <c r="G1902" s="87" t="str">
        <f>IF($E1902="","",IFERROR(INDEX(基础资料!$P$4:$P$34,MATCH($E1902,基础资料!$N$4:$N$34,0))&amp;"",""))</f>
        <v/>
      </c>
      <c r="H1902" s="79"/>
      <c r="I1902" s="88"/>
      <c r="J1902" s="92"/>
      <c r="K1902" s="93"/>
      <c r="L1902" s="25" t="str">
        <f t="shared" si="88"/>
        <v/>
      </c>
      <c r="M1902" s="94"/>
      <c r="N1902" s="26" t="str">
        <f t="shared" si="89"/>
        <v/>
      </c>
      <c r="O1902" s="80"/>
      <c r="P1902" s="80"/>
      <c r="Q1902" s="80"/>
      <c r="R1902" s="80"/>
    </row>
    <row r="1903" ht="18" customHeight="1" spans="1:18">
      <c r="A1903" s="87" t="str">
        <f t="shared" si="87"/>
        <v/>
      </c>
      <c r="B1903" s="78"/>
      <c r="C1903" s="80"/>
      <c r="D1903" s="80"/>
      <c r="E1903" s="79"/>
      <c r="F1903" s="87" t="str">
        <f>IF($E1903="","",IFERROR(INDEX(基础资料!$O$4:$O$34,MATCH($E1903,基础资料!$N$4:$N$34,0))&amp;"",""))</f>
        <v/>
      </c>
      <c r="G1903" s="87" t="str">
        <f>IF($E1903="","",IFERROR(INDEX(基础资料!$P$4:$P$34,MATCH($E1903,基础资料!$N$4:$N$34,0))&amp;"",""))</f>
        <v/>
      </c>
      <c r="H1903" s="79"/>
      <c r="I1903" s="88"/>
      <c r="J1903" s="92"/>
      <c r="K1903" s="93"/>
      <c r="L1903" s="25" t="str">
        <f t="shared" si="88"/>
        <v/>
      </c>
      <c r="M1903" s="94"/>
      <c r="N1903" s="26" t="str">
        <f t="shared" si="89"/>
        <v/>
      </c>
      <c r="O1903" s="80"/>
      <c r="P1903" s="80"/>
      <c r="Q1903" s="80"/>
      <c r="R1903" s="80"/>
    </row>
    <row r="1904" ht="18" customHeight="1" spans="1:18">
      <c r="A1904" s="87" t="str">
        <f t="shared" si="87"/>
        <v/>
      </c>
      <c r="B1904" s="78"/>
      <c r="C1904" s="80"/>
      <c r="D1904" s="80"/>
      <c r="E1904" s="79"/>
      <c r="F1904" s="87" t="str">
        <f>IF($E1904="","",IFERROR(INDEX(基础资料!$O$4:$O$34,MATCH($E1904,基础资料!$N$4:$N$34,0))&amp;"",""))</f>
        <v/>
      </c>
      <c r="G1904" s="87" t="str">
        <f>IF($E1904="","",IFERROR(INDEX(基础资料!$P$4:$P$34,MATCH($E1904,基础资料!$N$4:$N$34,0))&amp;"",""))</f>
        <v/>
      </c>
      <c r="H1904" s="79"/>
      <c r="I1904" s="88"/>
      <c r="J1904" s="92"/>
      <c r="K1904" s="93"/>
      <c r="L1904" s="25" t="str">
        <f t="shared" si="88"/>
        <v/>
      </c>
      <c r="M1904" s="94"/>
      <c r="N1904" s="26" t="str">
        <f t="shared" si="89"/>
        <v/>
      </c>
      <c r="O1904" s="80"/>
      <c r="P1904" s="80"/>
      <c r="Q1904" s="80"/>
      <c r="R1904" s="80"/>
    </row>
    <row r="1905" ht="18" customHeight="1" spans="1:18">
      <c r="A1905" s="87" t="str">
        <f t="shared" si="87"/>
        <v/>
      </c>
      <c r="B1905" s="78"/>
      <c r="C1905" s="80"/>
      <c r="D1905" s="80"/>
      <c r="E1905" s="79"/>
      <c r="F1905" s="87" t="str">
        <f>IF($E1905="","",IFERROR(INDEX(基础资料!$O$4:$O$34,MATCH($E1905,基础资料!$N$4:$N$34,0))&amp;"",""))</f>
        <v/>
      </c>
      <c r="G1905" s="87" t="str">
        <f>IF($E1905="","",IFERROR(INDEX(基础资料!$P$4:$P$34,MATCH($E1905,基础资料!$N$4:$N$34,0))&amp;"",""))</f>
        <v/>
      </c>
      <c r="H1905" s="79"/>
      <c r="I1905" s="88"/>
      <c r="J1905" s="92"/>
      <c r="K1905" s="93"/>
      <c r="L1905" s="25" t="str">
        <f t="shared" si="88"/>
        <v/>
      </c>
      <c r="M1905" s="94"/>
      <c r="N1905" s="26" t="str">
        <f t="shared" si="89"/>
        <v/>
      </c>
      <c r="O1905" s="80"/>
      <c r="P1905" s="80"/>
      <c r="Q1905" s="80"/>
      <c r="R1905" s="80"/>
    </row>
    <row r="1906" ht="18" customHeight="1" spans="1:18">
      <c r="A1906" s="87" t="str">
        <f t="shared" si="87"/>
        <v/>
      </c>
      <c r="B1906" s="78"/>
      <c r="C1906" s="80"/>
      <c r="D1906" s="80"/>
      <c r="E1906" s="79"/>
      <c r="F1906" s="87" t="str">
        <f>IF($E1906="","",IFERROR(INDEX(基础资料!$O$4:$O$34,MATCH($E1906,基础资料!$N$4:$N$34,0))&amp;"",""))</f>
        <v/>
      </c>
      <c r="G1906" s="87" t="str">
        <f>IF($E1906="","",IFERROR(INDEX(基础资料!$P$4:$P$34,MATCH($E1906,基础资料!$N$4:$N$34,0))&amp;"",""))</f>
        <v/>
      </c>
      <c r="H1906" s="79"/>
      <c r="I1906" s="88"/>
      <c r="J1906" s="92"/>
      <c r="K1906" s="93"/>
      <c r="L1906" s="25" t="str">
        <f t="shared" si="88"/>
        <v/>
      </c>
      <c r="M1906" s="94"/>
      <c r="N1906" s="26" t="str">
        <f t="shared" si="89"/>
        <v/>
      </c>
      <c r="O1906" s="80"/>
      <c r="P1906" s="80"/>
      <c r="Q1906" s="80"/>
      <c r="R1906" s="80"/>
    </row>
    <row r="1907" ht="18" customHeight="1" spans="1:18">
      <c r="A1907" s="87" t="str">
        <f t="shared" si="87"/>
        <v/>
      </c>
      <c r="B1907" s="78"/>
      <c r="C1907" s="80"/>
      <c r="D1907" s="80"/>
      <c r="E1907" s="79"/>
      <c r="F1907" s="87" t="str">
        <f>IF($E1907="","",IFERROR(INDEX(基础资料!$O$4:$O$34,MATCH($E1907,基础资料!$N$4:$N$34,0))&amp;"",""))</f>
        <v/>
      </c>
      <c r="G1907" s="87" t="str">
        <f>IF($E1907="","",IFERROR(INDEX(基础资料!$P$4:$P$34,MATCH($E1907,基础资料!$N$4:$N$34,0))&amp;"",""))</f>
        <v/>
      </c>
      <c r="H1907" s="79"/>
      <c r="I1907" s="88"/>
      <c r="J1907" s="92"/>
      <c r="K1907" s="93"/>
      <c r="L1907" s="25" t="str">
        <f t="shared" si="88"/>
        <v/>
      </c>
      <c r="M1907" s="94"/>
      <c r="N1907" s="26" t="str">
        <f t="shared" si="89"/>
        <v/>
      </c>
      <c r="O1907" s="80"/>
      <c r="P1907" s="80"/>
      <c r="Q1907" s="80"/>
      <c r="R1907" s="80"/>
    </row>
    <row r="1908" ht="18" customHeight="1" spans="1:18">
      <c r="A1908" s="87" t="str">
        <f t="shared" si="87"/>
        <v/>
      </c>
      <c r="B1908" s="78"/>
      <c r="C1908" s="80"/>
      <c r="D1908" s="80"/>
      <c r="E1908" s="79"/>
      <c r="F1908" s="87" t="str">
        <f>IF($E1908="","",IFERROR(INDEX(基础资料!$O$4:$O$34,MATCH($E1908,基础资料!$N$4:$N$34,0))&amp;"",""))</f>
        <v/>
      </c>
      <c r="G1908" s="87" t="str">
        <f>IF($E1908="","",IFERROR(INDEX(基础资料!$P$4:$P$34,MATCH($E1908,基础资料!$N$4:$N$34,0))&amp;"",""))</f>
        <v/>
      </c>
      <c r="H1908" s="79"/>
      <c r="I1908" s="88"/>
      <c r="J1908" s="92"/>
      <c r="K1908" s="93"/>
      <c r="L1908" s="25" t="str">
        <f t="shared" si="88"/>
        <v/>
      </c>
      <c r="M1908" s="94"/>
      <c r="N1908" s="26" t="str">
        <f t="shared" si="89"/>
        <v/>
      </c>
      <c r="O1908" s="80"/>
      <c r="P1908" s="80"/>
      <c r="Q1908" s="80"/>
      <c r="R1908" s="80"/>
    </row>
    <row r="1909" ht="18" customHeight="1" spans="1:18">
      <c r="A1909" s="87" t="str">
        <f t="shared" si="87"/>
        <v/>
      </c>
      <c r="B1909" s="78"/>
      <c r="C1909" s="80"/>
      <c r="D1909" s="80"/>
      <c r="E1909" s="79"/>
      <c r="F1909" s="87" t="str">
        <f>IF($E1909="","",IFERROR(INDEX(基础资料!$O$4:$O$34,MATCH($E1909,基础资料!$N$4:$N$34,0))&amp;"",""))</f>
        <v/>
      </c>
      <c r="G1909" s="87" t="str">
        <f>IF($E1909="","",IFERROR(INDEX(基础资料!$P$4:$P$34,MATCH($E1909,基础资料!$N$4:$N$34,0))&amp;"",""))</f>
        <v/>
      </c>
      <c r="H1909" s="79"/>
      <c r="I1909" s="88"/>
      <c r="J1909" s="92"/>
      <c r="K1909" s="93"/>
      <c r="L1909" s="25" t="str">
        <f t="shared" si="88"/>
        <v/>
      </c>
      <c r="M1909" s="94"/>
      <c r="N1909" s="26" t="str">
        <f t="shared" si="89"/>
        <v/>
      </c>
      <c r="O1909" s="80"/>
      <c r="P1909" s="80"/>
      <c r="Q1909" s="80"/>
      <c r="R1909" s="80"/>
    </row>
    <row r="1910" ht="18" customHeight="1" spans="1:18">
      <c r="A1910" s="87" t="str">
        <f t="shared" si="87"/>
        <v/>
      </c>
      <c r="B1910" s="78"/>
      <c r="C1910" s="80"/>
      <c r="D1910" s="80"/>
      <c r="E1910" s="79"/>
      <c r="F1910" s="87" t="str">
        <f>IF($E1910="","",IFERROR(INDEX(基础资料!$O$4:$O$34,MATCH($E1910,基础资料!$N$4:$N$34,0))&amp;"",""))</f>
        <v/>
      </c>
      <c r="G1910" s="87" t="str">
        <f>IF($E1910="","",IFERROR(INDEX(基础资料!$P$4:$P$34,MATCH($E1910,基础资料!$N$4:$N$34,0))&amp;"",""))</f>
        <v/>
      </c>
      <c r="H1910" s="79"/>
      <c r="I1910" s="88"/>
      <c r="J1910" s="92"/>
      <c r="K1910" s="93"/>
      <c r="L1910" s="25" t="str">
        <f t="shared" si="88"/>
        <v/>
      </c>
      <c r="M1910" s="94"/>
      <c r="N1910" s="26" t="str">
        <f t="shared" si="89"/>
        <v/>
      </c>
      <c r="O1910" s="80"/>
      <c r="P1910" s="80"/>
      <c r="Q1910" s="80"/>
      <c r="R1910" s="80"/>
    </row>
    <row r="1911" ht="18" customHeight="1" spans="1:18">
      <c r="A1911" s="87" t="str">
        <f t="shared" si="87"/>
        <v/>
      </c>
      <c r="B1911" s="78"/>
      <c r="C1911" s="80"/>
      <c r="D1911" s="80"/>
      <c r="E1911" s="79"/>
      <c r="F1911" s="87" t="str">
        <f>IF($E1911="","",IFERROR(INDEX(基础资料!$O$4:$O$34,MATCH($E1911,基础资料!$N$4:$N$34,0))&amp;"",""))</f>
        <v/>
      </c>
      <c r="G1911" s="87" t="str">
        <f>IF($E1911="","",IFERROR(INDEX(基础资料!$P$4:$P$34,MATCH($E1911,基础资料!$N$4:$N$34,0))&amp;"",""))</f>
        <v/>
      </c>
      <c r="H1911" s="79"/>
      <c r="I1911" s="88"/>
      <c r="J1911" s="92"/>
      <c r="K1911" s="93"/>
      <c r="L1911" s="25" t="str">
        <f t="shared" si="88"/>
        <v/>
      </c>
      <c r="M1911" s="94"/>
      <c r="N1911" s="26" t="str">
        <f t="shared" si="89"/>
        <v/>
      </c>
      <c r="O1911" s="80"/>
      <c r="P1911" s="80"/>
      <c r="Q1911" s="80"/>
      <c r="R1911" s="80"/>
    </row>
    <row r="1912" ht="18" customHeight="1" spans="1:18">
      <c r="A1912" s="87" t="str">
        <f t="shared" si="87"/>
        <v/>
      </c>
      <c r="B1912" s="78"/>
      <c r="C1912" s="80"/>
      <c r="D1912" s="80"/>
      <c r="E1912" s="79"/>
      <c r="F1912" s="87" t="str">
        <f>IF($E1912="","",IFERROR(INDEX(基础资料!$O$4:$O$34,MATCH($E1912,基础资料!$N$4:$N$34,0))&amp;"",""))</f>
        <v/>
      </c>
      <c r="G1912" s="87" t="str">
        <f>IF($E1912="","",IFERROR(INDEX(基础资料!$P$4:$P$34,MATCH($E1912,基础资料!$N$4:$N$34,0))&amp;"",""))</f>
        <v/>
      </c>
      <c r="H1912" s="79"/>
      <c r="I1912" s="88"/>
      <c r="J1912" s="92"/>
      <c r="K1912" s="93"/>
      <c r="L1912" s="25" t="str">
        <f t="shared" si="88"/>
        <v/>
      </c>
      <c r="M1912" s="94"/>
      <c r="N1912" s="26" t="str">
        <f t="shared" si="89"/>
        <v/>
      </c>
      <c r="O1912" s="80"/>
      <c r="P1912" s="80"/>
      <c r="Q1912" s="80"/>
      <c r="R1912" s="80"/>
    </row>
    <row r="1913" ht="18" customHeight="1" spans="1:18">
      <c r="A1913" s="87" t="str">
        <f t="shared" si="87"/>
        <v/>
      </c>
      <c r="B1913" s="78"/>
      <c r="C1913" s="80"/>
      <c r="D1913" s="80"/>
      <c r="E1913" s="79"/>
      <c r="F1913" s="87" t="str">
        <f>IF($E1913="","",IFERROR(INDEX(基础资料!$O$4:$O$34,MATCH($E1913,基础资料!$N$4:$N$34,0))&amp;"",""))</f>
        <v/>
      </c>
      <c r="G1913" s="87" t="str">
        <f>IF($E1913="","",IFERROR(INDEX(基础资料!$P$4:$P$34,MATCH($E1913,基础资料!$N$4:$N$34,0))&amp;"",""))</f>
        <v/>
      </c>
      <c r="H1913" s="79"/>
      <c r="I1913" s="88"/>
      <c r="J1913" s="92"/>
      <c r="K1913" s="93"/>
      <c r="L1913" s="25" t="str">
        <f t="shared" si="88"/>
        <v/>
      </c>
      <c r="M1913" s="94"/>
      <c r="N1913" s="26" t="str">
        <f t="shared" si="89"/>
        <v/>
      </c>
      <c r="O1913" s="80"/>
      <c r="P1913" s="80"/>
      <c r="Q1913" s="80"/>
      <c r="R1913" s="80"/>
    </row>
    <row r="1914" ht="18" customHeight="1" spans="1:18">
      <c r="A1914" s="87" t="str">
        <f t="shared" si="87"/>
        <v/>
      </c>
      <c r="B1914" s="78"/>
      <c r="C1914" s="80"/>
      <c r="D1914" s="80"/>
      <c r="E1914" s="79"/>
      <c r="F1914" s="87" t="str">
        <f>IF($E1914="","",IFERROR(INDEX(基础资料!$O$4:$O$34,MATCH($E1914,基础资料!$N$4:$N$34,0))&amp;"",""))</f>
        <v/>
      </c>
      <c r="G1914" s="87" t="str">
        <f>IF($E1914="","",IFERROR(INDEX(基础资料!$P$4:$P$34,MATCH($E1914,基础资料!$N$4:$N$34,0))&amp;"",""))</f>
        <v/>
      </c>
      <c r="H1914" s="79"/>
      <c r="I1914" s="88"/>
      <c r="J1914" s="92"/>
      <c r="K1914" s="93"/>
      <c r="L1914" s="25" t="str">
        <f t="shared" si="88"/>
        <v/>
      </c>
      <c r="M1914" s="94"/>
      <c r="N1914" s="26" t="str">
        <f t="shared" si="89"/>
        <v/>
      </c>
      <c r="O1914" s="80"/>
      <c r="P1914" s="80"/>
      <c r="Q1914" s="80"/>
      <c r="R1914" s="80"/>
    </row>
    <row r="1915" ht="18" customHeight="1" spans="1:18">
      <c r="A1915" s="87" t="str">
        <f t="shared" si="87"/>
        <v/>
      </c>
      <c r="B1915" s="78"/>
      <c r="C1915" s="80"/>
      <c r="D1915" s="80"/>
      <c r="E1915" s="79"/>
      <c r="F1915" s="87" t="str">
        <f>IF($E1915="","",IFERROR(INDEX(基础资料!$O$4:$O$34,MATCH($E1915,基础资料!$N$4:$N$34,0))&amp;"",""))</f>
        <v/>
      </c>
      <c r="G1915" s="87" t="str">
        <f>IF($E1915="","",IFERROR(INDEX(基础资料!$P$4:$P$34,MATCH($E1915,基础资料!$N$4:$N$34,0))&amp;"",""))</f>
        <v/>
      </c>
      <c r="H1915" s="79"/>
      <c r="I1915" s="88"/>
      <c r="J1915" s="92"/>
      <c r="K1915" s="93"/>
      <c r="L1915" s="25" t="str">
        <f t="shared" si="88"/>
        <v/>
      </c>
      <c r="M1915" s="94"/>
      <c r="N1915" s="26" t="str">
        <f t="shared" si="89"/>
        <v/>
      </c>
      <c r="O1915" s="80"/>
      <c r="P1915" s="80"/>
      <c r="Q1915" s="80"/>
      <c r="R1915" s="80"/>
    </row>
    <row r="1916" ht="18" customHeight="1" spans="1:18">
      <c r="A1916" s="87" t="str">
        <f t="shared" si="87"/>
        <v/>
      </c>
      <c r="B1916" s="78"/>
      <c r="C1916" s="80"/>
      <c r="D1916" s="80"/>
      <c r="E1916" s="79"/>
      <c r="F1916" s="87" t="str">
        <f>IF($E1916="","",IFERROR(INDEX(基础资料!$O$4:$O$34,MATCH($E1916,基础资料!$N$4:$N$34,0))&amp;"",""))</f>
        <v/>
      </c>
      <c r="G1916" s="87" t="str">
        <f>IF($E1916="","",IFERROR(INDEX(基础资料!$P$4:$P$34,MATCH($E1916,基础资料!$N$4:$N$34,0))&amp;"",""))</f>
        <v/>
      </c>
      <c r="H1916" s="79"/>
      <c r="I1916" s="88"/>
      <c r="J1916" s="92"/>
      <c r="K1916" s="93"/>
      <c r="L1916" s="25" t="str">
        <f t="shared" si="88"/>
        <v/>
      </c>
      <c r="M1916" s="94"/>
      <c r="N1916" s="26" t="str">
        <f t="shared" si="89"/>
        <v/>
      </c>
      <c r="O1916" s="80"/>
      <c r="P1916" s="80"/>
      <c r="Q1916" s="80"/>
      <c r="R1916" s="80"/>
    </row>
    <row r="1917" ht="18" customHeight="1" spans="1:18">
      <c r="A1917" s="87" t="str">
        <f t="shared" si="87"/>
        <v/>
      </c>
      <c r="B1917" s="78"/>
      <c r="C1917" s="80"/>
      <c r="D1917" s="80"/>
      <c r="E1917" s="79"/>
      <c r="F1917" s="87" t="str">
        <f>IF($E1917="","",IFERROR(INDEX(基础资料!$O$4:$O$34,MATCH($E1917,基础资料!$N$4:$N$34,0))&amp;"",""))</f>
        <v/>
      </c>
      <c r="G1917" s="87" t="str">
        <f>IF($E1917="","",IFERROR(INDEX(基础资料!$P$4:$P$34,MATCH($E1917,基础资料!$N$4:$N$34,0))&amp;"",""))</f>
        <v/>
      </c>
      <c r="H1917" s="79"/>
      <c r="I1917" s="88"/>
      <c r="J1917" s="92"/>
      <c r="K1917" s="93"/>
      <c r="L1917" s="25" t="str">
        <f t="shared" si="88"/>
        <v/>
      </c>
      <c r="M1917" s="94"/>
      <c r="N1917" s="26" t="str">
        <f t="shared" si="89"/>
        <v/>
      </c>
      <c r="O1917" s="80"/>
      <c r="P1917" s="80"/>
      <c r="Q1917" s="80"/>
      <c r="R1917" s="80"/>
    </row>
    <row r="1918" ht="18" customHeight="1" spans="1:18">
      <c r="A1918" s="87" t="str">
        <f t="shared" si="87"/>
        <v/>
      </c>
      <c r="B1918" s="78"/>
      <c r="C1918" s="80"/>
      <c r="D1918" s="80"/>
      <c r="E1918" s="79"/>
      <c r="F1918" s="87" t="str">
        <f>IF($E1918="","",IFERROR(INDEX(基础资料!$O$4:$O$34,MATCH($E1918,基础资料!$N$4:$N$34,0))&amp;"",""))</f>
        <v/>
      </c>
      <c r="G1918" s="87" t="str">
        <f>IF($E1918="","",IFERROR(INDEX(基础资料!$P$4:$P$34,MATCH($E1918,基础资料!$N$4:$N$34,0))&amp;"",""))</f>
        <v/>
      </c>
      <c r="H1918" s="79"/>
      <c r="I1918" s="88"/>
      <c r="J1918" s="92"/>
      <c r="K1918" s="93"/>
      <c r="L1918" s="25" t="str">
        <f t="shared" si="88"/>
        <v/>
      </c>
      <c r="M1918" s="94"/>
      <c r="N1918" s="26" t="str">
        <f t="shared" si="89"/>
        <v/>
      </c>
      <c r="O1918" s="80"/>
      <c r="P1918" s="80"/>
      <c r="Q1918" s="80"/>
      <c r="R1918" s="80"/>
    </row>
    <row r="1919" ht="18" customHeight="1" spans="1:18">
      <c r="A1919" s="87" t="str">
        <f t="shared" si="87"/>
        <v/>
      </c>
      <c r="B1919" s="78"/>
      <c r="C1919" s="80"/>
      <c r="D1919" s="80"/>
      <c r="E1919" s="79"/>
      <c r="F1919" s="87" t="str">
        <f>IF($E1919="","",IFERROR(INDEX(基础资料!$O$4:$O$34,MATCH($E1919,基础资料!$N$4:$N$34,0))&amp;"",""))</f>
        <v/>
      </c>
      <c r="G1919" s="87" t="str">
        <f>IF($E1919="","",IFERROR(INDEX(基础资料!$P$4:$P$34,MATCH($E1919,基础资料!$N$4:$N$34,0))&amp;"",""))</f>
        <v/>
      </c>
      <c r="H1919" s="79"/>
      <c r="I1919" s="88"/>
      <c r="J1919" s="92"/>
      <c r="K1919" s="93"/>
      <c r="L1919" s="25" t="str">
        <f t="shared" si="88"/>
        <v/>
      </c>
      <c r="M1919" s="94"/>
      <c r="N1919" s="26" t="str">
        <f t="shared" si="89"/>
        <v/>
      </c>
      <c r="O1919" s="80"/>
      <c r="P1919" s="80"/>
      <c r="Q1919" s="80"/>
      <c r="R1919" s="80"/>
    </row>
    <row r="1920" ht="18" customHeight="1" spans="1:18">
      <c r="A1920" s="87" t="str">
        <f t="shared" si="87"/>
        <v/>
      </c>
      <c r="B1920" s="78"/>
      <c r="C1920" s="80"/>
      <c r="D1920" s="80"/>
      <c r="E1920" s="79"/>
      <c r="F1920" s="87" t="str">
        <f>IF($E1920="","",IFERROR(INDEX(基础资料!$O$4:$O$34,MATCH($E1920,基础资料!$N$4:$N$34,0))&amp;"",""))</f>
        <v/>
      </c>
      <c r="G1920" s="87" t="str">
        <f>IF($E1920="","",IFERROR(INDEX(基础资料!$P$4:$P$34,MATCH($E1920,基础资料!$N$4:$N$34,0))&amp;"",""))</f>
        <v/>
      </c>
      <c r="H1920" s="79"/>
      <c r="I1920" s="88"/>
      <c r="J1920" s="92"/>
      <c r="K1920" s="93"/>
      <c r="L1920" s="25" t="str">
        <f t="shared" si="88"/>
        <v/>
      </c>
      <c r="M1920" s="94"/>
      <c r="N1920" s="26" t="str">
        <f t="shared" si="89"/>
        <v/>
      </c>
      <c r="O1920" s="80"/>
      <c r="P1920" s="80"/>
      <c r="Q1920" s="80"/>
      <c r="R1920" s="80"/>
    </row>
    <row r="1921" ht="18" customHeight="1" spans="1:18">
      <c r="A1921" s="87" t="str">
        <f t="shared" si="87"/>
        <v/>
      </c>
      <c r="B1921" s="78"/>
      <c r="C1921" s="80"/>
      <c r="D1921" s="80"/>
      <c r="E1921" s="79"/>
      <c r="F1921" s="87" t="str">
        <f>IF($E1921="","",IFERROR(INDEX(基础资料!$O$4:$O$34,MATCH($E1921,基础资料!$N$4:$N$34,0))&amp;"",""))</f>
        <v/>
      </c>
      <c r="G1921" s="87" t="str">
        <f>IF($E1921="","",IFERROR(INDEX(基础资料!$P$4:$P$34,MATCH($E1921,基础资料!$N$4:$N$34,0))&amp;"",""))</f>
        <v/>
      </c>
      <c r="H1921" s="79"/>
      <c r="I1921" s="88"/>
      <c r="J1921" s="92"/>
      <c r="K1921" s="93"/>
      <c r="L1921" s="25" t="str">
        <f t="shared" si="88"/>
        <v/>
      </c>
      <c r="M1921" s="94"/>
      <c r="N1921" s="26" t="str">
        <f t="shared" si="89"/>
        <v/>
      </c>
      <c r="O1921" s="80"/>
      <c r="P1921" s="80"/>
      <c r="Q1921" s="80"/>
      <c r="R1921" s="80"/>
    </row>
    <row r="1922" ht="18" customHeight="1" spans="1:18">
      <c r="A1922" s="87" t="str">
        <f t="shared" si="87"/>
        <v/>
      </c>
      <c r="B1922" s="78"/>
      <c r="C1922" s="80"/>
      <c r="D1922" s="80"/>
      <c r="E1922" s="79"/>
      <c r="F1922" s="87" t="str">
        <f>IF($E1922="","",IFERROR(INDEX(基础资料!$O$4:$O$34,MATCH($E1922,基础资料!$N$4:$N$34,0))&amp;"",""))</f>
        <v/>
      </c>
      <c r="G1922" s="87" t="str">
        <f>IF($E1922="","",IFERROR(INDEX(基础资料!$P$4:$P$34,MATCH($E1922,基础资料!$N$4:$N$34,0))&amp;"",""))</f>
        <v/>
      </c>
      <c r="H1922" s="79"/>
      <c r="I1922" s="88"/>
      <c r="J1922" s="92"/>
      <c r="K1922" s="93"/>
      <c r="L1922" s="25" t="str">
        <f t="shared" si="88"/>
        <v/>
      </c>
      <c r="M1922" s="94"/>
      <c r="N1922" s="26" t="str">
        <f t="shared" si="89"/>
        <v/>
      </c>
      <c r="O1922" s="80"/>
      <c r="P1922" s="80"/>
      <c r="Q1922" s="80"/>
      <c r="R1922" s="80"/>
    </row>
    <row r="1923" ht="18" customHeight="1" spans="1:18">
      <c r="A1923" s="87" t="str">
        <f t="shared" si="87"/>
        <v/>
      </c>
      <c r="B1923" s="78"/>
      <c r="C1923" s="80"/>
      <c r="D1923" s="80"/>
      <c r="E1923" s="79"/>
      <c r="F1923" s="87" t="str">
        <f>IF($E1923="","",IFERROR(INDEX(基础资料!$O$4:$O$34,MATCH($E1923,基础资料!$N$4:$N$34,0))&amp;"",""))</f>
        <v/>
      </c>
      <c r="G1923" s="87" t="str">
        <f>IF($E1923="","",IFERROR(INDEX(基础资料!$P$4:$P$34,MATCH($E1923,基础资料!$N$4:$N$34,0))&amp;"",""))</f>
        <v/>
      </c>
      <c r="H1923" s="79"/>
      <c r="I1923" s="88"/>
      <c r="J1923" s="92"/>
      <c r="K1923" s="93"/>
      <c r="L1923" s="25" t="str">
        <f t="shared" si="88"/>
        <v/>
      </c>
      <c r="M1923" s="94"/>
      <c r="N1923" s="26" t="str">
        <f t="shared" si="89"/>
        <v/>
      </c>
      <c r="O1923" s="80"/>
      <c r="P1923" s="80"/>
      <c r="Q1923" s="80"/>
      <c r="R1923" s="80"/>
    </row>
    <row r="1924" ht="18" customHeight="1" spans="1:18">
      <c r="A1924" s="87" t="str">
        <f t="shared" ref="A1924:A1987" si="90">IF($E1924="","",ROW()-3)</f>
        <v/>
      </c>
      <c r="B1924" s="78"/>
      <c r="C1924" s="80"/>
      <c r="D1924" s="80"/>
      <c r="E1924" s="79"/>
      <c r="F1924" s="87" t="str">
        <f>IF($E1924="","",IFERROR(INDEX(基础资料!$O$4:$O$34,MATCH($E1924,基础资料!$N$4:$N$34,0))&amp;"",""))</f>
        <v/>
      </c>
      <c r="G1924" s="87" t="str">
        <f>IF($E1924="","",IFERROR(INDEX(基础资料!$P$4:$P$34,MATCH($E1924,基础资料!$N$4:$N$34,0))&amp;"",""))</f>
        <v/>
      </c>
      <c r="H1924" s="79"/>
      <c r="I1924" s="88"/>
      <c r="J1924" s="92"/>
      <c r="K1924" s="93"/>
      <c r="L1924" s="25" t="str">
        <f t="shared" ref="L1924:L1987" si="91">IF($E1924="","",N($I1924)+N($J1924)-N($K1924))</f>
        <v/>
      </c>
      <c r="M1924" s="94"/>
      <c r="N1924" s="26" t="str">
        <f t="shared" ref="N1924:N1987" si="92">IF($E1924="","",ROUND(N($L1924)*N($M1924),2))</f>
        <v/>
      </c>
      <c r="O1924" s="80"/>
      <c r="P1924" s="80"/>
      <c r="Q1924" s="80"/>
      <c r="R1924" s="80"/>
    </row>
    <row r="1925" ht="18" customHeight="1" spans="1:18">
      <c r="A1925" s="87" t="str">
        <f t="shared" si="90"/>
        <v/>
      </c>
      <c r="B1925" s="78"/>
      <c r="C1925" s="80"/>
      <c r="D1925" s="80"/>
      <c r="E1925" s="79"/>
      <c r="F1925" s="87" t="str">
        <f>IF($E1925="","",IFERROR(INDEX(基础资料!$O$4:$O$34,MATCH($E1925,基础资料!$N$4:$N$34,0))&amp;"",""))</f>
        <v/>
      </c>
      <c r="G1925" s="87" t="str">
        <f>IF($E1925="","",IFERROR(INDEX(基础资料!$P$4:$P$34,MATCH($E1925,基础资料!$N$4:$N$34,0))&amp;"",""))</f>
        <v/>
      </c>
      <c r="H1925" s="79"/>
      <c r="I1925" s="88"/>
      <c r="J1925" s="92"/>
      <c r="K1925" s="93"/>
      <c r="L1925" s="25" t="str">
        <f t="shared" si="91"/>
        <v/>
      </c>
      <c r="M1925" s="94"/>
      <c r="N1925" s="26" t="str">
        <f t="shared" si="92"/>
        <v/>
      </c>
      <c r="O1925" s="80"/>
      <c r="P1925" s="80"/>
      <c r="Q1925" s="80"/>
      <c r="R1925" s="80"/>
    </row>
    <row r="1926" ht="18" customHeight="1" spans="1:18">
      <c r="A1926" s="87" t="str">
        <f t="shared" si="90"/>
        <v/>
      </c>
      <c r="B1926" s="78"/>
      <c r="C1926" s="80"/>
      <c r="D1926" s="80"/>
      <c r="E1926" s="79"/>
      <c r="F1926" s="87" t="str">
        <f>IF($E1926="","",IFERROR(INDEX(基础资料!$O$4:$O$34,MATCH($E1926,基础资料!$N$4:$N$34,0))&amp;"",""))</f>
        <v/>
      </c>
      <c r="G1926" s="87" t="str">
        <f>IF($E1926="","",IFERROR(INDEX(基础资料!$P$4:$P$34,MATCH($E1926,基础资料!$N$4:$N$34,0))&amp;"",""))</f>
        <v/>
      </c>
      <c r="H1926" s="79"/>
      <c r="I1926" s="88"/>
      <c r="J1926" s="92"/>
      <c r="K1926" s="93"/>
      <c r="L1926" s="25" t="str">
        <f t="shared" si="91"/>
        <v/>
      </c>
      <c r="M1926" s="94"/>
      <c r="N1926" s="26" t="str">
        <f t="shared" si="92"/>
        <v/>
      </c>
      <c r="O1926" s="80"/>
      <c r="P1926" s="80"/>
      <c r="Q1926" s="80"/>
      <c r="R1926" s="80"/>
    </row>
    <row r="1927" ht="18" customHeight="1" spans="1:18">
      <c r="A1927" s="87" t="str">
        <f t="shared" si="90"/>
        <v/>
      </c>
      <c r="B1927" s="78"/>
      <c r="C1927" s="80"/>
      <c r="D1927" s="80"/>
      <c r="E1927" s="79"/>
      <c r="F1927" s="87" t="str">
        <f>IF($E1927="","",IFERROR(INDEX(基础资料!$O$4:$O$34,MATCH($E1927,基础资料!$N$4:$N$34,0))&amp;"",""))</f>
        <v/>
      </c>
      <c r="G1927" s="87" t="str">
        <f>IF($E1927="","",IFERROR(INDEX(基础资料!$P$4:$P$34,MATCH($E1927,基础资料!$N$4:$N$34,0))&amp;"",""))</f>
        <v/>
      </c>
      <c r="H1927" s="79"/>
      <c r="I1927" s="88"/>
      <c r="J1927" s="92"/>
      <c r="K1927" s="93"/>
      <c r="L1927" s="25" t="str">
        <f t="shared" si="91"/>
        <v/>
      </c>
      <c r="M1927" s="94"/>
      <c r="N1927" s="26" t="str">
        <f t="shared" si="92"/>
        <v/>
      </c>
      <c r="O1927" s="80"/>
      <c r="P1927" s="80"/>
      <c r="Q1927" s="80"/>
      <c r="R1927" s="80"/>
    </row>
    <row r="1928" ht="18" customHeight="1" spans="1:18">
      <c r="A1928" s="87" t="str">
        <f t="shared" si="90"/>
        <v/>
      </c>
      <c r="B1928" s="78"/>
      <c r="C1928" s="80"/>
      <c r="D1928" s="80"/>
      <c r="E1928" s="79"/>
      <c r="F1928" s="87" t="str">
        <f>IF($E1928="","",IFERROR(INDEX(基础资料!$O$4:$O$34,MATCH($E1928,基础资料!$N$4:$N$34,0))&amp;"",""))</f>
        <v/>
      </c>
      <c r="G1928" s="87" t="str">
        <f>IF($E1928="","",IFERROR(INDEX(基础资料!$P$4:$P$34,MATCH($E1928,基础资料!$N$4:$N$34,0))&amp;"",""))</f>
        <v/>
      </c>
      <c r="H1928" s="79"/>
      <c r="I1928" s="88"/>
      <c r="J1928" s="92"/>
      <c r="K1928" s="93"/>
      <c r="L1928" s="25" t="str">
        <f t="shared" si="91"/>
        <v/>
      </c>
      <c r="M1928" s="94"/>
      <c r="N1928" s="26" t="str">
        <f t="shared" si="92"/>
        <v/>
      </c>
      <c r="O1928" s="80"/>
      <c r="P1928" s="80"/>
      <c r="Q1928" s="80"/>
      <c r="R1928" s="80"/>
    </row>
    <row r="1929" ht="18" customHeight="1" spans="1:18">
      <c r="A1929" s="87" t="str">
        <f t="shared" si="90"/>
        <v/>
      </c>
      <c r="B1929" s="78"/>
      <c r="C1929" s="80"/>
      <c r="D1929" s="80"/>
      <c r="E1929" s="79"/>
      <c r="F1929" s="87" t="str">
        <f>IF($E1929="","",IFERROR(INDEX(基础资料!$O$4:$O$34,MATCH($E1929,基础资料!$N$4:$N$34,0))&amp;"",""))</f>
        <v/>
      </c>
      <c r="G1929" s="87" t="str">
        <f>IF($E1929="","",IFERROR(INDEX(基础资料!$P$4:$P$34,MATCH($E1929,基础资料!$N$4:$N$34,0))&amp;"",""))</f>
        <v/>
      </c>
      <c r="H1929" s="79"/>
      <c r="I1929" s="88"/>
      <c r="J1929" s="92"/>
      <c r="K1929" s="93"/>
      <c r="L1929" s="25" t="str">
        <f t="shared" si="91"/>
        <v/>
      </c>
      <c r="M1929" s="94"/>
      <c r="N1929" s="26" t="str">
        <f t="shared" si="92"/>
        <v/>
      </c>
      <c r="O1929" s="80"/>
      <c r="P1929" s="80"/>
      <c r="Q1929" s="80"/>
      <c r="R1929" s="80"/>
    </row>
    <row r="1930" ht="18" customHeight="1" spans="1:18">
      <c r="A1930" s="87" t="str">
        <f t="shared" si="90"/>
        <v/>
      </c>
      <c r="B1930" s="78"/>
      <c r="C1930" s="80"/>
      <c r="D1930" s="80"/>
      <c r="E1930" s="79"/>
      <c r="F1930" s="87" t="str">
        <f>IF($E1930="","",IFERROR(INDEX(基础资料!$O$4:$O$34,MATCH($E1930,基础资料!$N$4:$N$34,0))&amp;"",""))</f>
        <v/>
      </c>
      <c r="G1930" s="87" t="str">
        <f>IF($E1930="","",IFERROR(INDEX(基础资料!$P$4:$P$34,MATCH($E1930,基础资料!$N$4:$N$34,0))&amp;"",""))</f>
        <v/>
      </c>
      <c r="H1930" s="79"/>
      <c r="I1930" s="88"/>
      <c r="J1930" s="92"/>
      <c r="K1930" s="93"/>
      <c r="L1930" s="25" t="str">
        <f t="shared" si="91"/>
        <v/>
      </c>
      <c r="M1930" s="94"/>
      <c r="N1930" s="26" t="str">
        <f t="shared" si="92"/>
        <v/>
      </c>
      <c r="O1930" s="80"/>
      <c r="P1930" s="80"/>
      <c r="Q1930" s="80"/>
      <c r="R1930" s="80"/>
    </row>
    <row r="1931" ht="18" customHeight="1" spans="1:18">
      <c r="A1931" s="87" t="str">
        <f t="shared" si="90"/>
        <v/>
      </c>
      <c r="B1931" s="78"/>
      <c r="C1931" s="80"/>
      <c r="D1931" s="80"/>
      <c r="E1931" s="79"/>
      <c r="F1931" s="87" t="str">
        <f>IF($E1931="","",IFERROR(INDEX(基础资料!$O$4:$O$34,MATCH($E1931,基础资料!$N$4:$N$34,0))&amp;"",""))</f>
        <v/>
      </c>
      <c r="G1931" s="87" t="str">
        <f>IF($E1931="","",IFERROR(INDEX(基础资料!$P$4:$P$34,MATCH($E1931,基础资料!$N$4:$N$34,0))&amp;"",""))</f>
        <v/>
      </c>
      <c r="H1931" s="79"/>
      <c r="I1931" s="88"/>
      <c r="J1931" s="92"/>
      <c r="K1931" s="93"/>
      <c r="L1931" s="25" t="str">
        <f t="shared" si="91"/>
        <v/>
      </c>
      <c r="M1931" s="94"/>
      <c r="N1931" s="26" t="str">
        <f t="shared" si="92"/>
        <v/>
      </c>
      <c r="O1931" s="80"/>
      <c r="P1931" s="80"/>
      <c r="Q1931" s="80"/>
      <c r="R1931" s="80"/>
    </row>
    <row r="1932" ht="18" customHeight="1" spans="1:18">
      <c r="A1932" s="87" t="str">
        <f t="shared" si="90"/>
        <v/>
      </c>
      <c r="B1932" s="78"/>
      <c r="C1932" s="80"/>
      <c r="D1932" s="80"/>
      <c r="E1932" s="79"/>
      <c r="F1932" s="87" t="str">
        <f>IF($E1932="","",IFERROR(INDEX(基础资料!$O$4:$O$34,MATCH($E1932,基础资料!$N$4:$N$34,0))&amp;"",""))</f>
        <v/>
      </c>
      <c r="G1932" s="87" t="str">
        <f>IF($E1932="","",IFERROR(INDEX(基础资料!$P$4:$P$34,MATCH($E1932,基础资料!$N$4:$N$34,0))&amp;"",""))</f>
        <v/>
      </c>
      <c r="H1932" s="79"/>
      <c r="I1932" s="88"/>
      <c r="J1932" s="92"/>
      <c r="K1932" s="93"/>
      <c r="L1932" s="25" t="str">
        <f t="shared" si="91"/>
        <v/>
      </c>
      <c r="M1932" s="94"/>
      <c r="N1932" s="26" t="str">
        <f t="shared" si="92"/>
        <v/>
      </c>
      <c r="O1932" s="80"/>
      <c r="P1932" s="80"/>
      <c r="Q1932" s="80"/>
      <c r="R1932" s="80"/>
    </row>
    <row r="1933" ht="18" customHeight="1" spans="1:18">
      <c r="A1933" s="87" t="str">
        <f t="shared" si="90"/>
        <v/>
      </c>
      <c r="B1933" s="78"/>
      <c r="C1933" s="80"/>
      <c r="D1933" s="80"/>
      <c r="E1933" s="79"/>
      <c r="F1933" s="87" t="str">
        <f>IF($E1933="","",IFERROR(INDEX(基础资料!$O$4:$O$34,MATCH($E1933,基础资料!$N$4:$N$34,0))&amp;"",""))</f>
        <v/>
      </c>
      <c r="G1933" s="87" t="str">
        <f>IF($E1933="","",IFERROR(INDEX(基础资料!$P$4:$P$34,MATCH($E1933,基础资料!$N$4:$N$34,0))&amp;"",""))</f>
        <v/>
      </c>
      <c r="H1933" s="79"/>
      <c r="I1933" s="88"/>
      <c r="J1933" s="92"/>
      <c r="K1933" s="93"/>
      <c r="L1933" s="25" t="str">
        <f t="shared" si="91"/>
        <v/>
      </c>
      <c r="M1933" s="94"/>
      <c r="N1933" s="26" t="str">
        <f t="shared" si="92"/>
        <v/>
      </c>
      <c r="O1933" s="80"/>
      <c r="P1933" s="80"/>
      <c r="Q1933" s="80"/>
      <c r="R1933" s="80"/>
    </row>
    <row r="1934" ht="18" customHeight="1" spans="1:18">
      <c r="A1934" s="87" t="str">
        <f t="shared" si="90"/>
        <v/>
      </c>
      <c r="B1934" s="78"/>
      <c r="C1934" s="80"/>
      <c r="D1934" s="80"/>
      <c r="E1934" s="79"/>
      <c r="F1934" s="87" t="str">
        <f>IF($E1934="","",IFERROR(INDEX(基础资料!$O$4:$O$34,MATCH($E1934,基础资料!$N$4:$N$34,0))&amp;"",""))</f>
        <v/>
      </c>
      <c r="G1934" s="87" t="str">
        <f>IF($E1934="","",IFERROR(INDEX(基础资料!$P$4:$P$34,MATCH($E1934,基础资料!$N$4:$N$34,0))&amp;"",""))</f>
        <v/>
      </c>
      <c r="H1934" s="79"/>
      <c r="I1934" s="88"/>
      <c r="J1934" s="92"/>
      <c r="K1934" s="93"/>
      <c r="L1934" s="25" t="str">
        <f t="shared" si="91"/>
        <v/>
      </c>
      <c r="M1934" s="94"/>
      <c r="N1934" s="26" t="str">
        <f t="shared" si="92"/>
        <v/>
      </c>
      <c r="O1934" s="80"/>
      <c r="P1934" s="80"/>
      <c r="Q1934" s="80"/>
      <c r="R1934" s="80"/>
    </row>
    <row r="1935" ht="18" customHeight="1" spans="1:18">
      <c r="A1935" s="87" t="str">
        <f t="shared" si="90"/>
        <v/>
      </c>
      <c r="B1935" s="78"/>
      <c r="C1935" s="80"/>
      <c r="D1935" s="80"/>
      <c r="E1935" s="79"/>
      <c r="F1935" s="87" t="str">
        <f>IF($E1935="","",IFERROR(INDEX(基础资料!$O$4:$O$34,MATCH($E1935,基础资料!$N$4:$N$34,0))&amp;"",""))</f>
        <v/>
      </c>
      <c r="G1935" s="87" t="str">
        <f>IF($E1935="","",IFERROR(INDEX(基础资料!$P$4:$P$34,MATCH($E1935,基础资料!$N$4:$N$34,0))&amp;"",""))</f>
        <v/>
      </c>
      <c r="H1935" s="79"/>
      <c r="I1935" s="88"/>
      <c r="J1935" s="92"/>
      <c r="K1935" s="93"/>
      <c r="L1935" s="25" t="str">
        <f t="shared" si="91"/>
        <v/>
      </c>
      <c r="M1935" s="94"/>
      <c r="N1935" s="26" t="str">
        <f t="shared" si="92"/>
        <v/>
      </c>
      <c r="O1935" s="80"/>
      <c r="P1935" s="80"/>
      <c r="Q1935" s="80"/>
      <c r="R1935" s="80"/>
    </row>
    <row r="1936" ht="18" customHeight="1" spans="1:18">
      <c r="A1936" s="87" t="str">
        <f t="shared" si="90"/>
        <v/>
      </c>
      <c r="B1936" s="78"/>
      <c r="C1936" s="80"/>
      <c r="D1936" s="80"/>
      <c r="E1936" s="79"/>
      <c r="F1936" s="87" t="str">
        <f>IF($E1936="","",IFERROR(INDEX(基础资料!$O$4:$O$34,MATCH($E1936,基础资料!$N$4:$N$34,0))&amp;"",""))</f>
        <v/>
      </c>
      <c r="G1936" s="87" t="str">
        <f>IF($E1936="","",IFERROR(INDEX(基础资料!$P$4:$P$34,MATCH($E1936,基础资料!$N$4:$N$34,0))&amp;"",""))</f>
        <v/>
      </c>
      <c r="H1936" s="79"/>
      <c r="I1936" s="88"/>
      <c r="J1936" s="92"/>
      <c r="K1936" s="93"/>
      <c r="L1936" s="25" t="str">
        <f t="shared" si="91"/>
        <v/>
      </c>
      <c r="M1936" s="94"/>
      <c r="N1936" s="26" t="str">
        <f t="shared" si="92"/>
        <v/>
      </c>
      <c r="O1936" s="80"/>
      <c r="P1936" s="80"/>
      <c r="Q1936" s="80"/>
      <c r="R1936" s="80"/>
    </row>
    <row r="1937" ht="18" customHeight="1" spans="1:18">
      <c r="A1937" s="87" t="str">
        <f t="shared" si="90"/>
        <v/>
      </c>
      <c r="B1937" s="78"/>
      <c r="C1937" s="80"/>
      <c r="D1937" s="80"/>
      <c r="E1937" s="79"/>
      <c r="F1937" s="87" t="str">
        <f>IF($E1937="","",IFERROR(INDEX(基础资料!$O$4:$O$34,MATCH($E1937,基础资料!$N$4:$N$34,0))&amp;"",""))</f>
        <v/>
      </c>
      <c r="G1937" s="87" t="str">
        <f>IF($E1937="","",IFERROR(INDEX(基础资料!$P$4:$P$34,MATCH($E1937,基础资料!$N$4:$N$34,0))&amp;"",""))</f>
        <v/>
      </c>
      <c r="H1937" s="79"/>
      <c r="I1937" s="88"/>
      <c r="J1937" s="92"/>
      <c r="K1937" s="93"/>
      <c r="L1937" s="25" t="str">
        <f t="shared" si="91"/>
        <v/>
      </c>
      <c r="M1937" s="94"/>
      <c r="N1937" s="26" t="str">
        <f t="shared" si="92"/>
        <v/>
      </c>
      <c r="O1937" s="80"/>
      <c r="P1937" s="80"/>
      <c r="Q1937" s="80"/>
      <c r="R1937" s="80"/>
    </row>
    <row r="1938" ht="18" customHeight="1" spans="1:18">
      <c r="A1938" s="87" t="str">
        <f t="shared" si="90"/>
        <v/>
      </c>
      <c r="B1938" s="78"/>
      <c r="C1938" s="80"/>
      <c r="D1938" s="80"/>
      <c r="E1938" s="79"/>
      <c r="F1938" s="87" t="str">
        <f>IF($E1938="","",IFERROR(INDEX(基础资料!$O$4:$O$34,MATCH($E1938,基础资料!$N$4:$N$34,0))&amp;"",""))</f>
        <v/>
      </c>
      <c r="G1938" s="87" t="str">
        <f>IF($E1938="","",IFERROR(INDEX(基础资料!$P$4:$P$34,MATCH($E1938,基础资料!$N$4:$N$34,0))&amp;"",""))</f>
        <v/>
      </c>
      <c r="H1938" s="79"/>
      <c r="I1938" s="88"/>
      <c r="J1938" s="92"/>
      <c r="K1938" s="93"/>
      <c r="L1938" s="25" t="str">
        <f t="shared" si="91"/>
        <v/>
      </c>
      <c r="M1938" s="94"/>
      <c r="N1938" s="26" t="str">
        <f t="shared" si="92"/>
        <v/>
      </c>
      <c r="O1938" s="80"/>
      <c r="P1938" s="80"/>
      <c r="Q1938" s="80"/>
      <c r="R1938" s="80"/>
    </row>
    <row r="1939" ht="18" customHeight="1" spans="1:18">
      <c r="A1939" s="87" t="str">
        <f t="shared" si="90"/>
        <v/>
      </c>
      <c r="B1939" s="78"/>
      <c r="C1939" s="80"/>
      <c r="D1939" s="80"/>
      <c r="E1939" s="79"/>
      <c r="F1939" s="87" t="str">
        <f>IF($E1939="","",IFERROR(INDEX(基础资料!$O$4:$O$34,MATCH($E1939,基础资料!$N$4:$N$34,0))&amp;"",""))</f>
        <v/>
      </c>
      <c r="G1939" s="87" t="str">
        <f>IF($E1939="","",IFERROR(INDEX(基础资料!$P$4:$P$34,MATCH($E1939,基础资料!$N$4:$N$34,0))&amp;"",""))</f>
        <v/>
      </c>
      <c r="H1939" s="79"/>
      <c r="I1939" s="88"/>
      <c r="J1939" s="92"/>
      <c r="K1939" s="93"/>
      <c r="L1939" s="25" t="str">
        <f t="shared" si="91"/>
        <v/>
      </c>
      <c r="M1939" s="94"/>
      <c r="N1939" s="26" t="str">
        <f t="shared" si="92"/>
        <v/>
      </c>
      <c r="O1939" s="80"/>
      <c r="P1939" s="80"/>
      <c r="Q1939" s="80"/>
      <c r="R1939" s="80"/>
    </row>
    <row r="1940" ht="18" customHeight="1" spans="1:18">
      <c r="A1940" s="87" t="str">
        <f t="shared" si="90"/>
        <v/>
      </c>
      <c r="B1940" s="78"/>
      <c r="C1940" s="80"/>
      <c r="D1940" s="80"/>
      <c r="E1940" s="79"/>
      <c r="F1940" s="87" t="str">
        <f>IF($E1940="","",IFERROR(INDEX(基础资料!$O$4:$O$34,MATCH($E1940,基础资料!$N$4:$N$34,0))&amp;"",""))</f>
        <v/>
      </c>
      <c r="G1940" s="87" t="str">
        <f>IF($E1940="","",IFERROR(INDEX(基础资料!$P$4:$P$34,MATCH($E1940,基础资料!$N$4:$N$34,0))&amp;"",""))</f>
        <v/>
      </c>
      <c r="H1940" s="79"/>
      <c r="I1940" s="88"/>
      <c r="J1940" s="92"/>
      <c r="K1940" s="93"/>
      <c r="L1940" s="25" t="str">
        <f t="shared" si="91"/>
        <v/>
      </c>
      <c r="M1940" s="94"/>
      <c r="N1940" s="26" t="str">
        <f t="shared" si="92"/>
        <v/>
      </c>
      <c r="O1940" s="80"/>
      <c r="P1940" s="80"/>
      <c r="Q1940" s="80"/>
      <c r="R1940" s="80"/>
    </row>
    <row r="1941" ht="18" customHeight="1" spans="1:18">
      <c r="A1941" s="87" t="str">
        <f t="shared" si="90"/>
        <v/>
      </c>
      <c r="B1941" s="78"/>
      <c r="C1941" s="80"/>
      <c r="D1941" s="80"/>
      <c r="E1941" s="79"/>
      <c r="F1941" s="87" t="str">
        <f>IF($E1941="","",IFERROR(INDEX(基础资料!$O$4:$O$34,MATCH($E1941,基础资料!$N$4:$N$34,0))&amp;"",""))</f>
        <v/>
      </c>
      <c r="G1941" s="87" t="str">
        <f>IF($E1941="","",IFERROR(INDEX(基础资料!$P$4:$P$34,MATCH($E1941,基础资料!$N$4:$N$34,0))&amp;"",""))</f>
        <v/>
      </c>
      <c r="H1941" s="79"/>
      <c r="I1941" s="88"/>
      <c r="J1941" s="92"/>
      <c r="K1941" s="93"/>
      <c r="L1941" s="25" t="str">
        <f t="shared" si="91"/>
        <v/>
      </c>
      <c r="M1941" s="94"/>
      <c r="N1941" s="26" t="str">
        <f t="shared" si="92"/>
        <v/>
      </c>
      <c r="O1941" s="80"/>
      <c r="P1941" s="80"/>
      <c r="Q1941" s="80"/>
      <c r="R1941" s="80"/>
    </row>
    <row r="1942" ht="18" customHeight="1" spans="1:18">
      <c r="A1942" s="87" t="str">
        <f t="shared" si="90"/>
        <v/>
      </c>
      <c r="B1942" s="78"/>
      <c r="C1942" s="80"/>
      <c r="D1942" s="80"/>
      <c r="E1942" s="79"/>
      <c r="F1942" s="87" t="str">
        <f>IF($E1942="","",IFERROR(INDEX(基础资料!$O$4:$O$34,MATCH($E1942,基础资料!$N$4:$N$34,0))&amp;"",""))</f>
        <v/>
      </c>
      <c r="G1942" s="87" t="str">
        <f>IF($E1942="","",IFERROR(INDEX(基础资料!$P$4:$P$34,MATCH($E1942,基础资料!$N$4:$N$34,0))&amp;"",""))</f>
        <v/>
      </c>
      <c r="H1942" s="79"/>
      <c r="I1942" s="88"/>
      <c r="J1942" s="92"/>
      <c r="K1942" s="93"/>
      <c r="L1942" s="25" t="str">
        <f t="shared" si="91"/>
        <v/>
      </c>
      <c r="M1942" s="94"/>
      <c r="N1942" s="26" t="str">
        <f t="shared" si="92"/>
        <v/>
      </c>
      <c r="O1942" s="80"/>
      <c r="P1942" s="80"/>
      <c r="Q1942" s="80"/>
      <c r="R1942" s="80"/>
    </row>
    <row r="1943" ht="18" customHeight="1" spans="1:18">
      <c r="A1943" s="87" t="str">
        <f t="shared" si="90"/>
        <v/>
      </c>
      <c r="B1943" s="78"/>
      <c r="C1943" s="80"/>
      <c r="D1943" s="80"/>
      <c r="E1943" s="79"/>
      <c r="F1943" s="87" t="str">
        <f>IF($E1943="","",IFERROR(INDEX(基础资料!$O$4:$O$34,MATCH($E1943,基础资料!$N$4:$N$34,0))&amp;"",""))</f>
        <v/>
      </c>
      <c r="G1943" s="87" t="str">
        <f>IF($E1943="","",IFERROR(INDEX(基础资料!$P$4:$P$34,MATCH($E1943,基础资料!$N$4:$N$34,0))&amp;"",""))</f>
        <v/>
      </c>
      <c r="H1943" s="79"/>
      <c r="I1943" s="88"/>
      <c r="J1943" s="92"/>
      <c r="K1943" s="93"/>
      <c r="L1943" s="25" t="str">
        <f t="shared" si="91"/>
        <v/>
      </c>
      <c r="M1943" s="94"/>
      <c r="N1943" s="26" t="str">
        <f t="shared" si="92"/>
        <v/>
      </c>
      <c r="O1943" s="80"/>
      <c r="P1943" s="80"/>
      <c r="Q1943" s="80"/>
      <c r="R1943" s="80"/>
    </row>
    <row r="1944" ht="18" customHeight="1" spans="1:18">
      <c r="A1944" s="87" t="str">
        <f t="shared" si="90"/>
        <v/>
      </c>
      <c r="B1944" s="78"/>
      <c r="C1944" s="80"/>
      <c r="D1944" s="80"/>
      <c r="E1944" s="79"/>
      <c r="F1944" s="87" t="str">
        <f>IF($E1944="","",IFERROR(INDEX(基础资料!$O$4:$O$34,MATCH($E1944,基础资料!$N$4:$N$34,0))&amp;"",""))</f>
        <v/>
      </c>
      <c r="G1944" s="87" t="str">
        <f>IF($E1944="","",IFERROR(INDEX(基础资料!$P$4:$P$34,MATCH($E1944,基础资料!$N$4:$N$34,0))&amp;"",""))</f>
        <v/>
      </c>
      <c r="H1944" s="79"/>
      <c r="I1944" s="88"/>
      <c r="J1944" s="92"/>
      <c r="K1944" s="93"/>
      <c r="L1944" s="25" t="str">
        <f t="shared" si="91"/>
        <v/>
      </c>
      <c r="M1944" s="94"/>
      <c r="N1944" s="26" t="str">
        <f t="shared" si="92"/>
        <v/>
      </c>
      <c r="O1944" s="80"/>
      <c r="P1944" s="80"/>
      <c r="Q1944" s="80"/>
      <c r="R1944" s="80"/>
    </row>
    <row r="1945" ht="18" customHeight="1" spans="1:18">
      <c r="A1945" s="87" t="str">
        <f t="shared" si="90"/>
        <v/>
      </c>
      <c r="B1945" s="78"/>
      <c r="C1945" s="80"/>
      <c r="D1945" s="80"/>
      <c r="E1945" s="79"/>
      <c r="F1945" s="87" t="str">
        <f>IF($E1945="","",IFERROR(INDEX(基础资料!$O$4:$O$34,MATCH($E1945,基础资料!$N$4:$N$34,0))&amp;"",""))</f>
        <v/>
      </c>
      <c r="G1945" s="87" t="str">
        <f>IF($E1945="","",IFERROR(INDEX(基础资料!$P$4:$P$34,MATCH($E1945,基础资料!$N$4:$N$34,0))&amp;"",""))</f>
        <v/>
      </c>
      <c r="H1945" s="79"/>
      <c r="I1945" s="88"/>
      <c r="J1945" s="92"/>
      <c r="K1945" s="93"/>
      <c r="L1945" s="25" t="str">
        <f t="shared" si="91"/>
        <v/>
      </c>
      <c r="M1945" s="94"/>
      <c r="N1945" s="26" t="str">
        <f t="shared" si="92"/>
        <v/>
      </c>
      <c r="O1945" s="80"/>
      <c r="P1945" s="80"/>
      <c r="Q1945" s="80"/>
      <c r="R1945" s="80"/>
    </row>
    <row r="1946" ht="18" customHeight="1" spans="1:18">
      <c r="A1946" s="87" t="str">
        <f t="shared" si="90"/>
        <v/>
      </c>
      <c r="B1946" s="78"/>
      <c r="C1946" s="80"/>
      <c r="D1946" s="80"/>
      <c r="E1946" s="79"/>
      <c r="F1946" s="87" t="str">
        <f>IF($E1946="","",IFERROR(INDEX(基础资料!$O$4:$O$34,MATCH($E1946,基础资料!$N$4:$N$34,0))&amp;"",""))</f>
        <v/>
      </c>
      <c r="G1946" s="87" t="str">
        <f>IF($E1946="","",IFERROR(INDEX(基础资料!$P$4:$P$34,MATCH($E1946,基础资料!$N$4:$N$34,0))&amp;"",""))</f>
        <v/>
      </c>
      <c r="H1946" s="79"/>
      <c r="I1946" s="88"/>
      <c r="J1946" s="92"/>
      <c r="K1946" s="93"/>
      <c r="L1946" s="25" t="str">
        <f t="shared" si="91"/>
        <v/>
      </c>
      <c r="M1946" s="94"/>
      <c r="N1946" s="26" t="str">
        <f t="shared" si="92"/>
        <v/>
      </c>
      <c r="O1946" s="80"/>
      <c r="P1946" s="80"/>
      <c r="Q1946" s="80"/>
      <c r="R1946" s="80"/>
    </row>
    <row r="1947" ht="18" customHeight="1" spans="1:18">
      <c r="A1947" s="87" t="str">
        <f t="shared" si="90"/>
        <v/>
      </c>
      <c r="B1947" s="78"/>
      <c r="C1947" s="80"/>
      <c r="D1947" s="80"/>
      <c r="E1947" s="79"/>
      <c r="F1947" s="87" t="str">
        <f>IF($E1947="","",IFERROR(INDEX(基础资料!$O$4:$O$34,MATCH($E1947,基础资料!$N$4:$N$34,0))&amp;"",""))</f>
        <v/>
      </c>
      <c r="G1947" s="87" t="str">
        <f>IF($E1947="","",IFERROR(INDEX(基础资料!$P$4:$P$34,MATCH($E1947,基础资料!$N$4:$N$34,0))&amp;"",""))</f>
        <v/>
      </c>
      <c r="H1947" s="79"/>
      <c r="I1947" s="88"/>
      <c r="J1947" s="92"/>
      <c r="K1947" s="93"/>
      <c r="L1947" s="25" t="str">
        <f t="shared" si="91"/>
        <v/>
      </c>
      <c r="M1947" s="94"/>
      <c r="N1947" s="26" t="str">
        <f t="shared" si="92"/>
        <v/>
      </c>
      <c r="O1947" s="80"/>
      <c r="P1947" s="80"/>
      <c r="Q1947" s="80"/>
      <c r="R1947" s="80"/>
    </row>
    <row r="1948" ht="18" customHeight="1" spans="1:18">
      <c r="A1948" s="87" t="str">
        <f t="shared" si="90"/>
        <v/>
      </c>
      <c r="B1948" s="78"/>
      <c r="C1948" s="80"/>
      <c r="D1948" s="80"/>
      <c r="E1948" s="79"/>
      <c r="F1948" s="87" t="str">
        <f>IF($E1948="","",IFERROR(INDEX(基础资料!$O$4:$O$34,MATCH($E1948,基础资料!$N$4:$N$34,0))&amp;"",""))</f>
        <v/>
      </c>
      <c r="G1948" s="87" t="str">
        <f>IF($E1948="","",IFERROR(INDEX(基础资料!$P$4:$P$34,MATCH($E1948,基础资料!$N$4:$N$34,0))&amp;"",""))</f>
        <v/>
      </c>
      <c r="H1948" s="79"/>
      <c r="I1948" s="88"/>
      <c r="J1948" s="92"/>
      <c r="K1948" s="93"/>
      <c r="L1948" s="25" t="str">
        <f t="shared" si="91"/>
        <v/>
      </c>
      <c r="M1948" s="94"/>
      <c r="N1948" s="26" t="str">
        <f t="shared" si="92"/>
        <v/>
      </c>
      <c r="O1948" s="80"/>
      <c r="P1948" s="80"/>
      <c r="Q1948" s="80"/>
      <c r="R1948" s="80"/>
    </row>
    <row r="1949" ht="18" customHeight="1" spans="1:18">
      <c r="A1949" s="87" t="str">
        <f t="shared" si="90"/>
        <v/>
      </c>
      <c r="B1949" s="78"/>
      <c r="C1949" s="80"/>
      <c r="D1949" s="80"/>
      <c r="E1949" s="79"/>
      <c r="F1949" s="87" t="str">
        <f>IF($E1949="","",IFERROR(INDEX(基础资料!$O$4:$O$34,MATCH($E1949,基础资料!$N$4:$N$34,0))&amp;"",""))</f>
        <v/>
      </c>
      <c r="G1949" s="87" t="str">
        <f>IF($E1949="","",IFERROR(INDEX(基础资料!$P$4:$P$34,MATCH($E1949,基础资料!$N$4:$N$34,0))&amp;"",""))</f>
        <v/>
      </c>
      <c r="H1949" s="79"/>
      <c r="I1949" s="88"/>
      <c r="J1949" s="92"/>
      <c r="K1949" s="93"/>
      <c r="L1949" s="25" t="str">
        <f t="shared" si="91"/>
        <v/>
      </c>
      <c r="M1949" s="94"/>
      <c r="N1949" s="26" t="str">
        <f t="shared" si="92"/>
        <v/>
      </c>
      <c r="O1949" s="80"/>
      <c r="P1949" s="80"/>
      <c r="Q1949" s="80"/>
      <c r="R1949" s="80"/>
    </row>
    <row r="1950" ht="18" customHeight="1" spans="1:18">
      <c r="A1950" s="87" t="str">
        <f t="shared" si="90"/>
        <v/>
      </c>
      <c r="B1950" s="78"/>
      <c r="C1950" s="80"/>
      <c r="D1950" s="80"/>
      <c r="E1950" s="79"/>
      <c r="F1950" s="87" t="str">
        <f>IF($E1950="","",IFERROR(INDEX(基础资料!$O$4:$O$34,MATCH($E1950,基础资料!$N$4:$N$34,0))&amp;"",""))</f>
        <v/>
      </c>
      <c r="G1950" s="87" t="str">
        <f>IF($E1950="","",IFERROR(INDEX(基础资料!$P$4:$P$34,MATCH($E1950,基础资料!$N$4:$N$34,0))&amp;"",""))</f>
        <v/>
      </c>
      <c r="H1950" s="79"/>
      <c r="I1950" s="88"/>
      <c r="J1950" s="92"/>
      <c r="K1950" s="93"/>
      <c r="L1950" s="25" t="str">
        <f t="shared" si="91"/>
        <v/>
      </c>
      <c r="M1950" s="94"/>
      <c r="N1950" s="26" t="str">
        <f t="shared" si="92"/>
        <v/>
      </c>
      <c r="O1950" s="80"/>
      <c r="P1950" s="80"/>
      <c r="Q1950" s="80"/>
      <c r="R1950" s="80"/>
    </row>
    <row r="1951" ht="18" customHeight="1" spans="1:18">
      <c r="A1951" s="87" t="str">
        <f t="shared" si="90"/>
        <v/>
      </c>
      <c r="B1951" s="78"/>
      <c r="C1951" s="80"/>
      <c r="D1951" s="80"/>
      <c r="E1951" s="79"/>
      <c r="F1951" s="87" t="str">
        <f>IF($E1951="","",IFERROR(INDEX(基础资料!$O$4:$O$34,MATCH($E1951,基础资料!$N$4:$N$34,0))&amp;"",""))</f>
        <v/>
      </c>
      <c r="G1951" s="87" t="str">
        <f>IF($E1951="","",IFERROR(INDEX(基础资料!$P$4:$P$34,MATCH($E1951,基础资料!$N$4:$N$34,0))&amp;"",""))</f>
        <v/>
      </c>
      <c r="H1951" s="79"/>
      <c r="I1951" s="88"/>
      <c r="J1951" s="92"/>
      <c r="K1951" s="93"/>
      <c r="L1951" s="25" t="str">
        <f t="shared" si="91"/>
        <v/>
      </c>
      <c r="M1951" s="94"/>
      <c r="N1951" s="26" t="str">
        <f t="shared" si="92"/>
        <v/>
      </c>
      <c r="O1951" s="80"/>
      <c r="P1951" s="80"/>
      <c r="Q1951" s="80"/>
      <c r="R1951" s="80"/>
    </row>
    <row r="1952" ht="18" customHeight="1" spans="1:18">
      <c r="A1952" s="87" t="str">
        <f t="shared" si="90"/>
        <v/>
      </c>
      <c r="B1952" s="78"/>
      <c r="C1952" s="80"/>
      <c r="D1952" s="80"/>
      <c r="E1952" s="79"/>
      <c r="F1952" s="87" t="str">
        <f>IF($E1952="","",IFERROR(INDEX(基础资料!$O$4:$O$34,MATCH($E1952,基础资料!$N$4:$N$34,0))&amp;"",""))</f>
        <v/>
      </c>
      <c r="G1952" s="87" t="str">
        <f>IF($E1952="","",IFERROR(INDEX(基础资料!$P$4:$P$34,MATCH($E1952,基础资料!$N$4:$N$34,0))&amp;"",""))</f>
        <v/>
      </c>
      <c r="H1952" s="79"/>
      <c r="I1952" s="88"/>
      <c r="J1952" s="92"/>
      <c r="K1952" s="93"/>
      <c r="L1952" s="25" t="str">
        <f t="shared" si="91"/>
        <v/>
      </c>
      <c r="M1952" s="94"/>
      <c r="N1952" s="26" t="str">
        <f t="shared" si="92"/>
        <v/>
      </c>
      <c r="O1952" s="80"/>
      <c r="P1952" s="80"/>
      <c r="Q1952" s="80"/>
      <c r="R1952" s="80"/>
    </row>
    <row r="1953" ht="18" customHeight="1" spans="1:18">
      <c r="A1953" s="87" t="str">
        <f t="shared" si="90"/>
        <v/>
      </c>
      <c r="B1953" s="78"/>
      <c r="C1953" s="80"/>
      <c r="D1953" s="80"/>
      <c r="E1953" s="79"/>
      <c r="F1953" s="87" t="str">
        <f>IF($E1953="","",IFERROR(INDEX(基础资料!$O$4:$O$34,MATCH($E1953,基础资料!$N$4:$N$34,0))&amp;"",""))</f>
        <v/>
      </c>
      <c r="G1953" s="87" t="str">
        <f>IF($E1953="","",IFERROR(INDEX(基础资料!$P$4:$P$34,MATCH($E1953,基础资料!$N$4:$N$34,0))&amp;"",""))</f>
        <v/>
      </c>
      <c r="H1953" s="79"/>
      <c r="I1953" s="88"/>
      <c r="J1953" s="92"/>
      <c r="K1953" s="93"/>
      <c r="L1953" s="25" t="str">
        <f t="shared" si="91"/>
        <v/>
      </c>
      <c r="M1953" s="94"/>
      <c r="N1953" s="26" t="str">
        <f t="shared" si="92"/>
        <v/>
      </c>
      <c r="O1953" s="80"/>
      <c r="P1953" s="80"/>
      <c r="Q1953" s="80"/>
      <c r="R1953" s="80"/>
    </row>
    <row r="1954" ht="18" customHeight="1" spans="1:18">
      <c r="A1954" s="87" t="str">
        <f t="shared" si="90"/>
        <v/>
      </c>
      <c r="B1954" s="78"/>
      <c r="C1954" s="80"/>
      <c r="D1954" s="80"/>
      <c r="E1954" s="79"/>
      <c r="F1954" s="87" t="str">
        <f>IF($E1954="","",IFERROR(INDEX(基础资料!$O$4:$O$34,MATCH($E1954,基础资料!$N$4:$N$34,0))&amp;"",""))</f>
        <v/>
      </c>
      <c r="G1954" s="87" t="str">
        <f>IF($E1954="","",IFERROR(INDEX(基础资料!$P$4:$P$34,MATCH($E1954,基础资料!$N$4:$N$34,0))&amp;"",""))</f>
        <v/>
      </c>
      <c r="H1954" s="79"/>
      <c r="I1954" s="88"/>
      <c r="J1954" s="92"/>
      <c r="K1954" s="93"/>
      <c r="L1954" s="25" t="str">
        <f t="shared" si="91"/>
        <v/>
      </c>
      <c r="M1954" s="94"/>
      <c r="N1954" s="26" t="str">
        <f t="shared" si="92"/>
        <v/>
      </c>
      <c r="O1954" s="80"/>
      <c r="P1954" s="80"/>
      <c r="Q1954" s="80"/>
      <c r="R1954" s="80"/>
    </row>
    <row r="1955" ht="18" customHeight="1" spans="1:18">
      <c r="A1955" s="87" t="str">
        <f t="shared" si="90"/>
        <v/>
      </c>
      <c r="B1955" s="78"/>
      <c r="C1955" s="80"/>
      <c r="D1955" s="80"/>
      <c r="E1955" s="79"/>
      <c r="F1955" s="87" t="str">
        <f>IF($E1955="","",IFERROR(INDEX(基础资料!$O$4:$O$34,MATCH($E1955,基础资料!$N$4:$N$34,0))&amp;"",""))</f>
        <v/>
      </c>
      <c r="G1955" s="87" t="str">
        <f>IF($E1955="","",IFERROR(INDEX(基础资料!$P$4:$P$34,MATCH($E1955,基础资料!$N$4:$N$34,0))&amp;"",""))</f>
        <v/>
      </c>
      <c r="H1955" s="79"/>
      <c r="I1955" s="88"/>
      <c r="J1955" s="92"/>
      <c r="K1955" s="93"/>
      <c r="L1955" s="25" t="str">
        <f t="shared" si="91"/>
        <v/>
      </c>
      <c r="M1955" s="94"/>
      <c r="N1955" s="26" t="str">
        <f t="shared" si="92"/>
        <v/>
      </c>
      <c r="O1955" s="80"/>
      <c r="P1955" s="80"/>
      <c r="Q1955" s="80"/>
      <c r="R1955" s="80"/>
    </row>
    <row r="1956" ht="18" customHeight="1" spans="1:18">
      <c r="A1956" s="87" t="str">
        <f t="shared" si="90"/>
        <v/>
      </c>
      <c r="B1956" s="78"/>
      <c r="C1956" s="80"/>
      <c r="D1956" s="80"/>
      <c r="E1956" s="79"/>
      <c r="F1956" s="87" t="str">
        <f>IF($E1956="","",IFERROR(INDEX(基础资料!$O$4:$O$34,MATCH($E1956,基础资料!$N$4:$N$34,0))&amp;"",""))</f>
        <v/>
      </c>
      <c r="G1956" s="87" t="str">
        <f>IF($E1956="","",IFERROR(INDEX(基础资料!$P$4:$P$34,MATCH($E1956,基础资料!$N$4:$N$34,0))&amp;"",""))</f>
        <v/>
      </c>
      <c r="H1956" s="79"/>
      <c r="I1956" s="88"/>
      <c r="J1956" s="92"/>
      <c r="K1956" s="93"/>
      <c r="L1956" s="25" t="str">
        <f t="shared" si="91"/>
        <v/>
      </c>
      <c r="M1956" s="94"/>
      <c r="N1956" s="26" t="str">
        <f t="shared" si="92"/>
        <v/>
      </c>
      <c r="O1956" s="80"/>
      <c r="P1956" s="80"/>
      <c r="Q1956" s="80"/>
      <c r="R1956" s="80"/>
    </row>
    <row r="1957" ht="18" customHeight="1" spans="1:18">
      <c r="A1957" s="87" t="str">
        <f t="shared" si="90"/>
        <v/>
      </c>
      <c r="B1957" s="78"/>
      <c r="C1957" s="80"/>
      <c r="D1957" s="80"/>
      <c r="E1957" s="79"/>
      <c r="F1957" s="87" t="str">
        <f>IF($E1957="","",IFERROR(INDEX(基础资料!$O$4:$O$34,MATCH($E1957,基础资料!$N$4:$N$34,0))&amp;"",""))</f>
        <v/>
      </c>
      <c r="G1957" s="87" t="str">
        <f>IF($E1957="","",IFERROR(INDEX(基础资料!$P$4:$P$34,MATCH($E1957,基础资料!$N$4:$N$34,0))&amp;"",""))</f>
        <v/>
      </c>
      <c r="H1957" s="79"/>
      <c r="I1957" s="88"/>
      <c r="J1957" s="92"/>
      <c r="K1957" s="93"/>
      <c r="L1957" s="25" t="str">
        <f t="shared" si="91"/>
        <v/>
      </c>
      <c r="M1957" s="94"/>
      <c r="N1957" s="26" t="str">
        <f t="shared" si="92"/>
        <v/>
      </c>
      <c r="O1957" s="80"/>
      <c r="P1957" s="80"/>
      <c r="Q1957" s="80"/>
      <c r="R1957" s="80"/>
    </row>
    <row r="1958" ht="18" customHeight="1" spans="1:18">
      <c r="A1958" s="87" t="str">
        <f t="shared" si="90"/>
        <v/>
      </c>
      <c r="B1958" s="78"/>
      <c r="C1958" s="80"/>
      <c r="D1958" s="80"/>
      <c r="E1958" s="79"/>
      <c r="F1958" s="87" t="str">
        <f>IF($E1958="","",IFERROR(INDEX(基础资料!$O$4:$O$34,MATCH($E1958,基础资料!$N$4:$N$34,0))&amp;"",""))</f>
        <v/>
      </c>
      <c r="G1958" s="87" t="str">
        <f>IF($E1958="","",IFERROR(INDEX(基础资料!$P$4:$P$34,MATCH($E1958,基础资料!$N$4:$N$34,0))&amp;"",""))</f>
        <v/>
      </c>
      <c r="H1958" s="79"/>
      <c r="I1958" s="88"/>
      <c r="J1958" s="92"/>
      <c r="K1958" s="93"/>
      <c r="L1958" s="25" t="str">
        <f t="shared" si="91"/>
        <v/>
      </c>
      <c r="M1958" s="94"/>
      <c r="N1958" s="26" t="str">
        <f t="shared" si="92"/>
        <v/>
      </c>
      <c r="O1958" s="80"/>
      <c r="P1958" s="80"/>
      <c r="Q1958" s="80"/>
      <c r="R1958" s="80"/>
    </row>
    <row r="1959" ht="18" customHeight="1" spans="1:18">
      <c r="A1959" s="87" t="str">
        <f t="shared" si="90"/>
        <v/>
      </c>
      <c r="B1959" s="78"/>
      <c r="C1959" s="80"/>
      <c r="D1959" s="80"/>
      <c r="E1959" s="79"/>
      <c r="F1959" s="87" t="str">
        <f>IF($E1959="","",IFERROR(INDEX(基础资料!$O$4:$O$34,MATCH($E1959,基础资料!$N$4:$N$34,0))&amp;"",""))</f>
        <v/>
      </c>
      <c r="G1959" s="87" t="str">
        <f>IF($E1959="","",IFERROR(INDEX(基础资料!$P$4:$P$34,MATCH($E1959,基础资料!$N$4:$N$34,0))&amp;"",""))</f>
        <v/>
      </c>
      <c r="H1959" s="79"/>
      <c r="I1959" s="88"/>
      <c r="J1959" s="92"/>
      <c r="K1959" s="93"/>
      <c r="L1959" s="25" t="str">
        <f t="shared" si="91"/>
        <v/>
      </c>
      <c r="M1959" s="94"/>
      <c r="N1959" s="26" t="str">
        <f t="shared" si="92"/>
        <v/>
      </c>
      <c r="O1959" s="80"/>
      <c r="P1959" s="80"/>
      <c r="Q1959" s="80"/>
      <c r="R1959" s="80"/>
    </row>
    <row r="1960" ht="18" customHeight="1" spans="1:18">
      <c r="A1960" s="87" t="str">
        <f t="shared" si="90"/>
        <v/>
      </c>
      <c r="B1960" s="78"/>
      <c r="C1960" s="80"/>
      <c r="D1960" s="80"/>
      <c r="E1960" s="79"/>
      <c r="F1960" s="87" t="str">
        <f>IF($E1960="","",IFERROR(INDEX(基础资料!$O$4:$O$34,MATCH($E1960,基础资料!$N$4:$N$34,0))&amp;"",""))</f>
        <v/>
      </c>
      <c r="G1960" s="87" t="str">
        <f>IF($E1960="","",IFERROR(INDEX(基础资料!$P$4:$P$34,MATCH($E1960,基础资料!$N$4:$N$34,0))&amp;"",""))</f>
        <v/>
      </c>
      <c r="H1960" s="79"/>
      <c r="I1960" s="88"/>
      <c r="J1960" s="92"/>
      <c r="K1960" s="93"/>
      <c r="L1960" s="25" t="str">
        <f t="shared" si="91"/>
        <v/>
      </c>
      <c r="M1960" s="94"/>
      <c r="N1960" s="26" t="str">
        <f t="shared" si="92"/>
        <v/>
      </c>
      <c r="O1960" s="80"/>
      <c r="P1960" s="80"/>
      <c r="Q1960" s="80"/>
      <c r="R1960" s="80"/>
    </row>
    <row r="1961" ht="18" customHeight="1" spans="1:18">
      <c r="A1961" s="87" t="str">
        <f t="shared" si="90"/>
        <v/>
      </c>
      <c r="B1961" s="78"/>
      <c r="C1961" s="80"/>
      <c r="D1961" s="80"/>
      <c r="E1961" s="79"/>
      <c r="F1961" s="87" t="str">
        <f>IF($E1961="","",IFERROR(INDEX(基础资料!$O$4:$O$34,MATCH($E1961,基础资料!$N$4:$N$34,0))&amp;"",""))</f>
        <v/>
      </c>
      <c r="G1961" s="87" t="str">
        <f>IF($E1961="","",IFERROR(INDEX(基础资料!$P$4:$P$34,MATCH($E1961,基础资料!$N$4:$N$34,0))&amp;"",""))</f>
        <v/>
      </c>
      <c r="H1961" s="79"/>
      <c r="I1961" s="88"/>
      <c r="J1961" s="92"/>
      <c r="K1961" s="93"/>
      <c r="L1961" s="25" t="str">
        <f t="shared" si="91"/>
        <v/>
      </c>
      <c r="M1961" s="94"/>
      <c r="N1961" s="26" t="str">
        <f t="shared" si="92"/>
        <v/>
      </c>
      <c r="O1961" s="80"/>
      <c r="P1961" s="80"/>
      <c r="Q1961" s="80"/>
      <c r="R1961" s="80"/>
    </row>
    <row r="1962" ht="18" customHeight="1" spans="1:18">
      <c r="A1962" s="87" t="str">
        <f t="shared" si="90"/>
        <v/>
      </c>
      <c r="B1962" s="78"/>
      <c r="C1962" s="80"/>
      <c r="D1962" s="80"/>
      <c r="E1962" s="79"/>
      <c r="F1962" s="87" t="str">
        <f>IF($E1962="","",IFERROR(INDEX(基础资料!$O$4:$O$34,MATCH($E1962,基础资料!$N$4:$N$34,0))&amp;"",""))</f>
        <v/>
      </c>
      <c r="G1962" s="87" t="str">
        <f>IF($E1962="","",IFERROR(INDEX(基础资料!$P$4:$P$34,MATCH($E1962,基础资料!$N$4:$N$34,0))&amp;"",""))</f>
        <v/>
      </c>
      <c r="H1962" s="79"/>
      <c r="I1962" s="88"/>
      <c r="J1962" s="92"/>
      <c r="K1962" s="93"/>
      <c r="L1962" s="25" t="str">
        <f t="shared" si="91"/>
        <v/>
      </c>
      <c r="M1962" s="94"/>
      <c r="N1962" s="26" t="str">
        <f t="shared" si="92"/>
        <v/>
      </c>
      <c r="O1962" s="80"/>
      <c r="P1962" s="80"/>
      <c r="Q1962" s="80"/>
      <c r="R1962" s="80"/>
    </row>
    <row r="1963" ht="18" customHeight="1" spans="1:18">
      <c r="A1963" s="87" t="str">
        <f t="shared" si="90"/>
        <v/>
      </c>
      <c r="B1963" s="78"/>
      <c r="C1963" s="80"/>
      <c r="D1963" s="80"/>
      <c r="E1963" s="79"/>
      <c r="F1963" s="87" t="str">
        <f>IF($E1963="","",IFERROR(INDEX(基础资料!$O$4:$O$34,MATCH($E1963,基础资料!$N$4:$N$34,0))&amp;"",""))</f>
        <v/>
      </c>
      <c r="G1963" s="87" t="str">
        <f>IF($E1963="","",IFERROR(INDEX(基础资料!$P$4:$P$34,MATCH($E1963,基础资料!$N$4:$N$34,0))&amp;"",""))</f>
        <v/>
      </c>
      <c r="H1963" s="79"/>
      <c r="I1963" s="88"/>
      <c r="J1963" s="92"/>
      <c r="K1963" s="93"/>
      <c r="L1963" s="25" t="str">
        <f t="shared" si="91"/>
        <v/>
      </c>
      <c r="M1963" s="94"/>
      <c r="N1963" s="26" t="str">
        <f t="shared" si="92"/>
        <v/>
      </c>
      <c r="O1963" s="80"/>
      <c r="P1963" s="80"/>
      <c r="Q1963" s="80"/>
      <c r="R1963" s="80"/>
    </row>
    <row r="1964" ht="18" customHeight="1" spans="1:18">
      <c r="A1964" s="87" t="str">
        <f t="shared" si="90"/>
        <v/>
      </c>
      <c r="B1964" s="78"/>
      <c r="C1964" s="80"/>
      <c r="D1964" s="80"/>
      <c r="E1964" s="79"/>
      <c r="F1964" s="87" t="str">
        <f>IF($E1964="","",IFERROR(INDEX(基础资料!$O$4:$O$34,MATCH($E1964,基础资料!$N$4:$N$34,0))&amp;"",""))</f>
        <v/>
      </c>
      <c r="G1964" s="87" t="str">
        <f>IF($E1964="","",IFERROR(INDEX(基础资料!$P$4:$P$34,MATCH($E1964,基础资料!$N$4:$N$34,0))&amp;"",""))</f>
        <v/>
      </c>
      <c r="H1964" s="79"/>
      <c r="I1964" s="88"/>
      <c r="J1964" s="92"/>
      <c r="K1964" s="93"/>
      <c r="L1964" s="25" t="str">
        <f t="shared" si="91"/>
        <v/>
      </c>
      <c r="M1964" s="94"/>
      <c r="N1964" s="26" t="str">
        <f t="shared" si="92"/>
        <v/>
      </c>
      <c r="O1964" s="80"/>
      <c r="P1964" s="80"/>
      <c r="Q1964" s="80"/>
      <c r="R1964" s="80"/>
    </row>
    <row r="1965" ht="18" customHeight="1" spans="1:18">
      <c r="A1965" s="87" t="str">
        <f t="shared" si="90"/>
        <v/>
      </c>
      <c r="B1965" s="78"/>
      <c r="C1965" s="80"/>
      <c r="D1965" s="80"/>
      <c r="E1965" s="79"/>
      <c r="F1965" s="87" t="str">
        <f>IF($E1965="","",IFERROR(INDEX(基础资料!$O$4:$O$34,MATCH($E1965,基础资料!$N$4:$N$34,0))&amp;"",""))</f>
        <v/>
      </c>
      <c r="G1965" s="87" t="str">
        <f>IF($E1965="","",IFERROR(INDEX(基础资料!$P$4:$P$34,MATCH($E1965,基础资料!$N$4:$N$34,0))&amp;"",""))</f>
        <v/>
      </c>
      <c r="H1965" s="79"/>
      <c r="I1965" s="88"/>
      <c r="J1965" s="92"/>
      <c r="K1965" s="93"/>
      <c r="L1965" s="25" t="str">
        <f t="shared" si="91"/>
        <v/>
      </c>
      <c r="M1965" s="94"/>
      <c r="N1965" s="26" t="str">
        <f t="shared" si="92"/>
        <v/>
      </c>
      <c r="O1965" s="80"/>
      <c r="P1965" s="80"/>
      <c r="Q1965" s="80"/>
      <c r="R1965" s="80"/>
    </row>
    <row r="1966" ht="18" customHeight="1" spans="1:18">
      <c r="A1966" s="87" t="str">
        <f t="shared" si="90"/>
        <v/>
      </c>
      <c r="B1966" s="78"/>
      <c r="C1966" s="80"/>
      <c r="D1966" s="80"/>
      <c r="E1966" s="79"/>
      <c r="F1966" s="87" t="str">
        <f>IF($E1966="","",IFERROR(INDEX(基础资料!$O$4:$O$34,MATCH($E1966,基础资料!$N$4:$N$34,0))&amp;"",""))</f>
        <v/>
      </c>
      <c r="G1966" s="87" t="str">
        <f>IF($E1966="","",IFERROR(INDEX(基础资料!$P$4:$P$34,MATCH($E1966,基础资料!$N$4:$N$34,0))&amp;"",""))</f>
        <v/>
      </c>
      <c r="H1966" s="79"/>
      <c r="I1966" s="88"/>
      <c r="J1966" s="92"/>
      <c r="K1966" s="93"/>
      <c r="L1966" s="25" t="str">
        <f t="shared" si="91"/>
        <v/>
      </c>
      <c r="M1966" s="94"/>
      <c r="N1966" s="26" t="str">
        <f t="shared" si="92"/>
        <v/>
      </c>
      <c r="O1966" s="80"/>
      <c r="P1966" s="80"/>
      <c r="Q1966" s="80"/>
      <c r="R1966" s="80"/>
    </row>
    <row r="1967" ht="18" customHeight="1" spans="1:18">
      <c r="A1967" s="87" t="str">
        <f t="shared" si="90"/>
        <v/>
      </c>
      <c r="B1967" s="78"/>
      <c r="C1967" s="80"/>
      <c r="D1967" s="80"/>
      <c r="E1967" s="79"/>
      <c r="F1967" s="87" t="str">
        <f>IF($E1967="","",IFERROR(INDEX(基础资料!$O$4:$O$34,MATCH($E1967,基础资料!$N$4:$N$34,0))&amp;"",""))</f>
        <v/>
      </c>
      <c r="G1967" s="87" t="str">
        <f>IF($E1967="","",IFERROR(INDEX(基础资料!$P$4:$P$34,MATCH($E1967,基础资料!$N$4:$N$34,0))&amp;"",""))</f>
        <v/>
      </c>
      <c r="H1967" s="79"/>
      <c r="I1967" s="88"/>
      <c r="J1967" s="92"/>
      <c r="K1967" s="93"/>
      <c r="L1967" s="25" t="str">
        <f t="shared" si="91"/>
        <v/>
      </c>
      <c r="M1967" s="94"/>
      <c r="N1967" s="26" t="str">
        <f t="shared" si="92"/>
        <v/>
      </c>
      <c r="O1967" s="80"/>
      <c r="P1967" s="80"/>
      <c r="Q1967" s="80"/>
      <c r="R1967" s="80"/>
    </row>
    <row r="1968" ht="18" customHeight="1" spans="1:18">
      <c r="A1968" s="87" t="str">
        <f t="shared" si="90"/>
        <v/>
      </c>
      <c r="B1968" s="78"/>
      <c r="C1968" s="80"/>
      <c r="D1968" s="80"/>
      <c r="E1968" s="79"/>
      <c r="F1968" s="87" t="str">
        <f>IF($E1968="","",IFERROR(INDEX(基础资料!$O$4:$O$34,MATCH($E1968,基础资料!$N$4:$N$34,0))&amp;"",""))</f>
        <v/>
      </c>
      <c r="G1968" s="87" t="str">
        <f>IF($E1968="","",IFERROR(INDEX(基础资料!$P$4:$P$34,MATCH($E1968,基础资料!$N$4:$N$34,0))&amp;"",""))</f>
        <v/>
      </c>
      <c r="H1968" s="79"/>
      <c r="I1968" s="88"/>
      <c r="J1968" s="92"/>
      <c r="K1968" s="93"/>
      <c r="L1968" s="25" t="str">
        <f t="shared" si="91"/>
        <v/>
      </c>
      <c r="M1968" s="94"/>
      <c r="N1968" s="26" t="str">
        <f t="shared" si="92"/>
        <v/>
      </c>
      <c r="O1968" s="80"/>
      <c r="P1968" s="80"/>
      <c r="Q1968" s="80"/>
      <c r="R1968" s="80"/>
    </row>
    <row r="1969" ht="18" customHeight="1" spans="1:18">
      <c r="A1969" s="87" t="str">
        <f t="shared" si="90"/>
        <v/>
      </c>
      <c r="B1969" s="78"/>
      <c r="C1969" s="80"/>
      <c r="D1969" s="80"/>
      <c r="E1969" s="79"/>
      <c r="F1969" s="87" t="str">
        <f>IF($E1969="","",IFERROR(INDEX(基础资料!$O$4:$O$34,MATCH($E1969,基础资料!$N$4:$N$34,0))&amp;"",""))</f>
        <v/>
      </c>
      <c r="G1969" s="87" t="str">
        <f>IF($E1969="","",IFERROR(INDEX(基础资料!$P$4:$P$34,MATCH($E1969,基础资料!$N$4:$N$34,0))&amp;"",""))</f>
        <v/>
      </c>
      <c r="H1969" s="79"/>
      <c r="I1969" s="88"/>
      <c r="J1969" s="92"/>
      <c r="K1969" s="93"/>
      <c r="L1969" s="25" t="str">
        <f t="shared" si="91"/>
        <v/>
      </c>
      <c r="M1969" s="94"/>
      <c r="N1969" s="26" t="str">
        <f t="shared" si="92"/>
        <v/>
      </c>
      <c r="O1969" s="80"/>
      <c r="P1969" s="80"/>
      <c r="Q1969" s="80"/>
      <c r="R1969" s="80"/>
    </row>
    <row r="1970" ht="18" customHeight="1" spans="1:18">
      <c r="A1970" s="87" t="str">
        <f t="shared" si="90"/>
        <v/>
      </c>
      <c r="B1970" s="78"/>
      <c r="C1970" s="80"/>
      <c r="D1970" s="80"/>
      <c r="E1970" s="79"/>
      <c r="F1970" s="87" t="str">
        <f>IF($E1970="","",IFERROR(INDEX(基础资料!$O$4:$O$34,MATCH($E1970,基础资料!$N$4:$N$34,0))&amp;"",""))</f>
        <v/>
      </c>
      <c r="G1970" s="87" t="str">
        <f>IF($E1970="","",IFERROR(INDEX(基础资料!$P$4:$P$34,MATCH($E1970,基础资料!$N$4:$N$34,0))&amp;"",""))</f>
        <v/>
      </c>
      <c r="H1970" s="79"/>
      <c r="I1970" s="88"/>
      <c r="J1970" s="92"/>
      <c r="K1970" s="93"/>
      <c r="L1970" s="25" t="str">
        <f t="shared" si="91"/>
        <v/>
      </c>
      <c r="M1970" s="94"/>
      <c r="N1970" s="26" t="str">
        <f t="shared" si="92"/>
        <v/>
      </c>
      <c r="O1970" s="80"/>
      <c r="P1970" s="80"/>
      <c r="Q1970" s="80"/>
      <c r="R1970" s="80"/>
    </row>
    <row r="1971" ht="18" customHeight="1" spans="1:18">
      <c r="A1971" s="87" t="str">
        <f t="shared" si="90"/>
        <v/>
      </c>
      <c r="B1971" s="78"/>
      <c r="C1971" s="80"/>
      <c r="D1971" s="80"/>
      <c r="E1971" s="79"/>
      <c r="F1971" s="87" t="str">
        <f>IF($E1971="","",IFERROR(INDEX(基础资料!$O$4:$O$34,MATCH($E1971,基础资料!$N$4:$N$34,0))&amp;"",""))</f>
        <v/>
      </c>
      <c r="G1971" s="87" t="str">
        <f>IF($E1971="","",IFERROR(INDEX(基础资料!$P$4:$P$34,MATCH($E1971,基础资料!$N$4:$N$34,0))&amp;"",""))</f>
        <v/>
      </c>
      <c r="H1971" s="79"/>
      <c r="I1971" s="88"/>
      <c r="J1971" s="92"/>
      <c r="K1971" s="93"/>
      <c r="L1971" s="25" t="str">
        <f t="shared" si="91"/>
        <v/>
      </c>
      <c r="M1971" s="94"/>
      <c r="N1971" s="26" t="str">
        <f t="shared" si="92"/>
        <v/>
      </c>
      <c r="O1971" s="80"/>
      <c r="P1971" s="80"/>
      <c r="Q1971" s="80"/>
      <c r="R1971" s="80"/>
    </row>
    <row r="1972" ht="18" customHeight="1" spans="1:18">
      <c r="A1972" s="87" t="str">
        <f t="shared" si="90"/>
        <v/>
      </c>
      <c r="B1972" s="78"/>
      <c r="C1972" s="80"/>
      <c r="D1972" s="80"/>
      <c r="E1972" s="79"/>
      <c r="F1972" s="87" t="str">
        <f>IF($E1972="","",IFERROR(INDEX(基础资料!$O$4:$O$34,MATCH($E1972,基础资料!$N$4:$N$34,0))&amp;"",""))</f>
        <v/>
      </c>
      <c r="G1972" s="87" t="str">
        <f>IF($E1972="","",IFERROR(INDEX(基础资料!$P$4:$P$34,MATCH($E1972,基础资料!$N$4:$N$34,0))&amp;"",""))</f>
        <v/>
      </c>
      <c r="H1972" s="79"/>
      <c r="I1972" s="88"/>
      <c r="J1972" s="92"/>
      <c r="K1972" s="93"/>
      <c r="L1972" s="25" t="str">
        <f t="shared" si="91"/>
        <v/>
      </c>
      <c r="M1972" s="94"/>
      <c r="N1972" s="26" t="str">
        <f t="shared" si="92"/>
        <v/>
      </c>
      <c r="O1972" s="80"/>
      <c r="P1972" s="80"/>
      <c r="Q1972" s="80"/>
      <c r="R1972" s="80"/>
    </row>
    <row r="1973" ht="18" customHeight="1" spans="1:18">
      <c r="A1973" s="87" t="str">
        <f t="shared" si="90"/>
        <v/>
      </c>
      <c r="B1973" s="78"/>
      <c r="C1973" s="80"/>
      <c r="D1973" s="80"/>
      <c r="E1973" s="79"/>
      <c r="F1973" s="87" t="str">
        <f>IF($E1973="","",IFERROR(INDEX(基础资料!$O$4:$O$34,MATCH($E1973,基础资料!$N$4:$N$34,0))&amp;"",""))</f>
        <v/>
      </c>
      <c r="G1973" s="87" t="str">
        <f>IF($E1973="","",IFERROR(INDEX(基础资料!$P$4:$P$34,MATCH($E1973,基础资料!$N$4:$N$34,0))&amp;"",""))</f>
        <v/>
      </c>
      <c r="H1973" s="79"/>
      <c r="I1973" s="88"/>
      <c r="J1973" s="92"/>
      <c r="K1973" s="93"/>
      <c r="L1973" s="25" t="str">
        <f t="shared" si="91"/>
        <v/>
      </c>
      <c r="M1973" s="94"/>
      <c r="N1973" s="26" t="str">
        <f t="shared" si="92"/>
        <v/>
      </c>
      <c r="O1973" s="80"/>
      <c r="P1973" s="80"/>
      <c r="Q1973" s="80"/>
      <c r="R1973" s="80"/>
    </row>
    <row r="1974" ht="18" customHeight="1" spans="1:18">
      <c r="A1974" s="87" t="str">
        <f t="shared" si="90"/>
        <v/>
      </c>
      <c r="B1974" s="78"/>
      <c r="C1974" s="80"/>
      <c r="D1974" s="80"/>
      <c r="E1974" s="79"/>
      <c r="F1974" s="87" t="str">
        <f>IF($E1974="","",IFERROR(INDEX(基础资料!$O$4:$O$34,MATCH($E1974,基础资料!$N$4:$N$34,0))&amp;"",""))</f>
        <v/>
      </c>
      <c r="G1974" s="87" t="str">
        <f>IF($E1974="","",IFERROR(INDEX(基础资料!$P$4:$P$34,MATCH($E1974,基础资料!$N$4:$N$34,0))&amp;"",""))</f>
        <v/>
      </c>
      <c r="H1974" s="79"/>
      <c r="I1974" s="88"/>
      <c r="J1974" s="92"/>
      <c r="K1974" s="93"/>
      <c r="L1974" s="25" t="str">
        <f t="shared" si="91"/>
        <v/>
      </c>
      <c r="M1974" s="94"/>
      <c r="N1974" s="26" t="str">
        <f t="shared" si="92"/>
        <v/>
      </c>
      <c r="O1974" s="80"/>
      <c r="P1974" s="80"/>
      <c r="Q1974" s="80"/>
      <c r="R1974" s="80"/>
    </row>
    <row r="1975" ht="18" customHeight="1" spans="1:18">
      <c r="A1975" s="87" t="str">
        <f t="shared" si="90"/>
        <v/>
      </c>
      <c r="B1975" s="78"/>
      <c r="C1975" s="80"/>
      <c r="D1975" s="80"/>
      <c r="E1975" s="79"/>
      <c r="F1975" s="87" t="str">
        <f>IF($E1975="","",IFERROR(INDEX(基础资料!$O$4:$O$34,MATCH($E1975,基础资料!$N$4:$N$34,0))&amp;"",""))</f>
        <v/>
      </c>
      <c r="G1975" s="87" t="str">
        <f>IF($E1975="","",IFERROR(INDEX(基础资料!$P$4:$P$34,MATCH($E1975,基础资料!$N$4:$N$34,0))&amp;"",""))</f>
        <v/>
      </c>
      <c r="H1975" s="79"/>
      <c r="I1975" s="88"/>
      <c r="J1975" s="92"/>
      <c r="K1975" s="93"/>
      <c r="L1975" s="25" t="str">
        <f t="shared" si="91"/>
        <v/>
      </c>
      <c r="M1975" s="94"/>
      <c r="N1975" s="26" t="str">
        <f t="shared" si="92"/>
        <v/>
      </c>
      <c r="O1975" s="80"/>
      <c r="P1975" s="80"/>
      <c r="Q1975" s="80"/>
      <c r="R1975" s="80"/>
    </row>
    <row r="1976" ht="18" customHeight="1" spans="1:18">
      <c r="A1976" s="87" t="str">
        <f t="shared" si="90"/>
        <v/>
      </c>
      <c r="B1976" s="78"/>
      <c r="C1976" s="80"/>
      <c r="D1976" s="80"/>
      <c r="E1976" s="79"/>
      <c r="F1976" s="87" t="str">
        <f>IF($E1976="","",IFERROR(INDEX(基础资料!$O$4:$O$34,MATCH($E1976,基础资料!$N$4:$N$34,0))&amp;"",""))</f>
        <v/>
      </c>
      <c r="G1976" s="87" t="str">
        <f>IF($E1976="","",IFERROR(INDEX(基础资料!$P$4:$P$34,MATCH($E1976,基础资料!$N$4:$N$34,0))&amp;"",""))</f>
        <v/>
      </c>
      <c r="H1976" s="79"/>
      <c r="I1976" s="88"/>
      <c r="J1976" s="92"/>
      <c r="K1976" s="93"/>
      <c r="L1976" s="25" t="str">
        <f t="shared" si="91"/>
        <v/>
      </c>
      <c r="M1976" s="94"/>
      <c r="N1976" s="26" t="str">
        <f t="shared" si="92"/>
        <v/>
      </c>
      <c r="O1976" s="80"/>
      <c r="P1976" s="80"/>
      <c r="Q1976" s="80"/>
      <c r="R1976" s="80"/>
    </row>
    <row r="1977" ht="18" customHeight="1" spans="1:18">
      <c r="A1977" s="87" t="str">
        <f t="shared" si="90"/>
        <v/>
      </c>
      <c r="B1977" s="78"/>
      <c r="C1977" s="80"/>
      <c r="D1977" s="80"/>
      <c r="E1977" s="79"/>
      <c r="F1977" s="87" t="str">
        <f>IF($E1977="","",IFERROR(INDEX(基础资料!$O$4:$O$34,MATCH($E1977,基础资料!$N$4:$N$34,0))&amp;"",""))</f>
        <v/>
      </c>
      <c r="G1977" s="87" t="str">
        <f>IF($E1977="","",IFERROR(INDEX(基础资料!$P$4:$P$34,MATCH($E1977,基础资料!$N$4:$N$34,0))&amp;"",""))</f>
        <v/>
      </c>
      <c r="H1977" s="79"/>
      <c r="I1977" s="88"/>
      <c r="J1977" s="92"/>
      <c r="K1977" s="93"/>
      <c r="L1977" s="25" t="str">
        <f t="shared" si="91"/>
        <v/>
      </c>
      <c r="M1977" s="94"/>
      <c r="N1977" s="26" t="str">
        <f t="shared" si="92"/>
        <v/>
      </c>
      <c r="O1977" s="80"/>
      <c r="P1977" s="80"/>
      <c r="Q1977" s="80"/>
      <c r="R1977" s="80"/>
    </row>
    <row r="1978" ht="18" customHeight="1" spans="1:18">
      <c r="A1978" s="87" t="str">
        <f t="shared" si="90"/>
        <v/>
      </c>
      <c r="B1978" s="78"/>
      <c r="C1978" s="80"/>
      <c r="D1978" s="80"/>
      <c r="E1978" s="79"/>
      <c r="F1978" s="87" t="str">
        <f>IF($E1978="","",IFERROR(INDEX(基础资料!$O$4:$O$34,MATCH($E1978,基础资料!$N$4:$N$34,0))&amp;"",""))</f>
        <v/>
      </c>
      <c r="G1978" s="87" t="str">
        <f>IF($E1978="","",IFERROR(INDEX(基础资料!$P$4:$P$34,MATCH($E1978,基础资料!$N$4:$N$34,0))&amp;"",""))</f>
        <v/>
      </c>
      <c r="H1978" s="79"/>
      <c r="I1978" s="88"/>
      <c r="J1978" s="92"/>
      <c r="K1978" s="93"/>
      <c r="L1978" s="25" t="str">
        <f t="shared" si="91"/>
        <v/>
      </c>
      <c r="M1978" s="94"/>
      <c r="N1978" s="26" t="str">
        <f t="shared" si="92"/>
        <v/>
      </c>
      <c r="O1978" s="80"/>
      <c r="P1978" s="80"/>
      <c r="Q1978" s="80"/>
      <c r="R1978" s="80"/>
    </row>
    <row r="1979" ht="18" customHeight="1" spans="1:18">
      <c r="A1979" s="87" t="str">
        <f t="shared" si="90"/>
        <v/>
      </c>
      <c r="B1979" s="78"/>
      <c r="C1979" s="80"/>
      <c r="D1979" s="80"/>
      <c r="E1979" s="79"/>
      <c r="F1979" s="87" t="str">
        <f>IF($E1979="","",IFERROR(INDEX(基础资料!$O$4:$O$34,MATCH($E1979,基础资料!$N$4:$N$34,0))&amp;"",""))</f>
        <v/>
      </c>
      <c r="G1979" s="87" t="str">
        <f>IF($E1979="","",IFERROR(INDEX(基础资料!$P$4:$P$34,MATCH($E1979,基础资料!$N$4:$N$34,0))&amp;"",""))</f>
        <v/>
      </c>
      <c r="H1979" s="79"/>
      <c r="I1979" s="88"/>
      <c r="J1979" s="92"/>
      <c r="K1979" s="93"/>
      <c r="L1979" s="25" t="str">
        <f t="shared" si="91"/>
        <v/>
      </c>
      <c r="M1979" s="94"/>
      <c r="N1979" s="26" t="str">
        <f t="shared" si="92"/>
        <v/>
      </c>
      <c r="O1979" s="80"/>
      <c r="P1979" s="80"/>
      <c r="Q1979" s="80"/>
      <c r="R1979" s="80"/>
    </row>
    <row r="1980" ht="18" customHeight="1" spans="1:18">
      <c r="A1980" s="87" t="str">
        <f t="shared" si="90"/>
        <v/>
      </c>
      <c r="B1980" s="78"/>
      <c r="C1980" s="80"/>
      <c r="D1980" s="80"/>
      <c r="E1980" s="79"/>
      <c r="F1980" s="87" t="str">
        <f>IF($E1980="","",IFERROR(INDEX(基础资料!$O$4:$O$34,MATCH($E1980,基础资料!$N$4:$N$34,0))&amp;"",""))</f>
        <v/>
      </c>
      <c r="G1980" s="87" t="str">
        <f>IF($E1980="","",IFERROR(INDEX(基础资料!$P$4:$P$34,MATCH($E1980,基础资料!$N$4:$N$34,0))&amp;"",""))</f>
        <v/>
      </c>
      <c r="H1980" s="79"/>
      <c r="I1980" s="88"/>
      <c r="J1980" s="92"/>
      <c r="K1980" s="93"/>
      <c r="L1980" s="25" t="str">
        <f t="shared" si="91"/>
        <v/>
      </c>
      <c r="M1980" s="94"/>
      <c r="N1980" s="26" t="str">
        <f t="shared" si="92"/>
        <v/>
      </c>
      <c r="O1980" s="80"/>
      <c r="P1980" s="80"/>
      <c r="Q1980" s="80"/>
      <c r="R1980" s="80"/>
    </row>
    <row r="1981" ht="18" customHeight="1" spans="1:18">
      <c r="A1981" s="87" t="str">
        <f t="shared" si="90"/>
        <v/>
      </c>
      <c r="B1981" s="78"/>
      <c r="C1981" s="80"/>
      <c r="D1981" s="80"/>
      <c r="E1981" s="79"/>
      <c r="F1981" s="87" t="str">
        <f>IF($E1981="","",IFERROR(INDEX(基础资料!$O$4:$O$34,MATCH($E1981,基础资料!$N$4:$N$34,0))&amp;"",""))</f>
        <v/>
      </c>
      <c r="G1981" s="87" t="str">
        <f>IF($E1981="","",IFERROR(INDEX(基础资料!$P$4:$P$34,MATCH($E1981,基础资料!$N$4:$N$34,0))&amp;"",""))</f>
        <v/>
      </c>
      <c r="H1981" s="79"/>
      <c r="I1981" s="88"/>
      <c r="J1981" s="92"/>
      <c r="K1981" s="93"/>
      <c r="L1981" s="25" t="str">
        <f t="shared" si="91"/>
        <v/>
      </c>
      <c r="M1981" s="94"/>
      <c r="N1981" s="26" t="str">
        <f t="shared" si="92"/>
        <v/>
      </c>
      <c r="O1981" s="80"/>
      <c r="P1981" s="80"/>
      <c r="Q1981" s="80"/>
      <c r="R1981" s="80"/>
    </row>
    <row r="1982" ht="18" customHeight="1" spans="1:18">
      <c r="A1982" s="87" t="str">
        <f t="shared" si="90"/>
        <v/>
      </c>
      <c r="B1982" s="78"/>
      <c r="C1982" s="80"/>
      <c r="D1982" s="80"/>
      <c r="E1982" s="79"/>
      <c r="F1982" s="87" t="str">
        <f>IF($E1982="","",IFERROR(INDEX(基础资料!$O$4:$O$34,MATCH($E1982,基础资料!$N$4:$N$34,0))&amp;"",""))</f>
        <v/>
      </c>
      <c r="G1982" s="87" t="str">
        <f>IF($E1982="","",IFERROR(INDEX(基础资料!$P$4:$P$34,MATCH($E1982,基础资料!$N$4:$N$34,0))&amp;"",""))</f>
        <v/>
      </c>
      <c r="H1982" s="79"/>
      <c r="I1982" s="88"/>
      <c r="J1982" s="92"/>
      <c r="K1982" s="93"/>
      <c r="L1982" s="25" t="str">
        <f t="shared" si="91"/>
        <v/>
      </c>
      <c r="M1982" s="94"/>
      <c r="N1982" s="26" t="str">
        <f t="shared" si="92"/>
        <v/>
      </c>
      <c r="O1982" s="80"/>
      <c r="P1982" s="80"/>
      <c r="Q1982" s="80"/>
      <c r="R1982" s="80"/>
    </row>
    <row r="1983" ht="18" customHeight="1" spans="1:18">
      <c r="A1983" s="87" t="str">
        <f t="shared" si="90"/>
        <v/>
      </c>
      <c r="B1983" s="78"/>
      <c r="C1983" s="80"/>
      <c r="D1983" s="80"/>
      <c r="E1983" s="79"/>
      <c r="F1983" s="87" t="str">
        <f>IF($E1983="","",IFERROR(INDEX(基础资料!$O$4:$O$34,MATCH($E1983,基础资料!$N$4:$N$34,0))&amp;"",""))</f>
        <v/>
      </c>
      <c r="G1983" s="87" t="str">
        <f>IF($E1983="","",IFERROR(INDEX(基础资料!$P$4:$P$34,MATCH($E1983,基础资料!$N$4:$N$34,0))&amp;"",""))</f>
        <v/>
      </c>
      <c r="H1983" s="79"/>
      <c r="I1983" s="88"/>
      <c r="J1983" s="92"/>
      <c r="K1983" s="93"/>
      <c r="L1983" s="25" t="str">
        <f t="shared" si="91"/>
        <v/>
      </c>
      <c r="M1983" s="94"/>
      <c r="N1983" s="26" t="str">
        <f t="shared" si="92"/>
        <v/>
      </c>
      <c r="O1983" s="80"/>
      <c r="P1983" s="80"/>
      <c r="Q1983" s="80"/>
      <c r="R1983" s="80"/>
    </row>
    <row r="1984" ht="18" customHeight="1" spans="1:18">
      <c r="A1984" s="87" t="str">
        <f t="shared" si="90"/>
        <v/>
      </c>
      <c r="B1984" s="78"/>
      <c r="C1984" s="80"/>
      <c r="D1984" s="80"/>
      <c r="E1984" s="79"/>
      <c r="F1984" s="87" t="str">
        <f>IF($E1984="","",IFERROR(INDEX(基础资料!$O$4:$O$34,MATCH($E1984,基础资料!$N$4:$N$34,0))&amp;"",""))</f>
        <v/>
      </c>
      <c r="G1984" s="87" t="str">
        <f>IF($E1984="","",IFERROR(INDEX(基础资料!$P$4:$P$34,MATCH($E1984,基础资料!$N$4:$N$34,0))&amp;"",""))</f>
        <v/>
      </c>
      <c r="H1984" s="79"/>
      <c r="I1984" s="88"/>
      <c r="J1984" s="92"/>
      <c r="K1984" s="93"/>
      <c r="L1984" s="25" t="str">
        <f t="shared" si="91"/>
        <v/>
      </c>
      <c r="M1984" s="94"/>
      <c r="N1984" s="26" t="str">
        <f t="shared" si="92"/>
        <v/>
      </c>
      <c r="O1984" s="80"/>
      <c r="P1984" s="80"/>
      <c r="Q1984" s="80"/>
      <c r="R1984" s="80"/>
    </row>
    <row r="1985" ht="18" customHeight="1" spans="1:18">
      <c r="A1985" s="87" t="str">
        <f t="shared" si="90"/>
        <v/>
      </c>
      <c r="B1985" s="78"/>
      <c r="C1985" s="80"/>
      <c r="D1985" s="80"/>
      <c r="E1985" s="79"/>
      <c r="F1985" s="87" t="str">
        <f>IF($E1985="","",IFERROR(INDEX(基础资料!$O$4:$O$34,MATCH($E1985,基础资料!$N$4:$N$34,0))&amp;"",""))</f>
        <v/>
      </c>
      <c r="G1985" s="87" t="str">
        <f>IF($E1985="","",IFERROR(INDEX(基础资料!$P$4:$P$34,MATCH($E1985,基础资料!$N$4:$N$34,0))&amp;"",""))</f>
        <v/>
      </c>
      <c r="H1985" s="79"/>
      <c r="I1985" s="88"/>
      <c r="J1985" s="92"/>
      <c r="K1985" s="93"/>
      <c r="L1985" s="25" t="str">
        <f t="shared" si="91"/>
        <v/>
      </c>
      <c r="M1985" s="94"/>
      <c r="N1985" s="26" t="str">
        <f t="shared" si="92"/>
        <v/>
      </c>
      <c r="O1985" s="80"/>
      <c r="P1985" s="80"/>
      <c r="Q1985" s="80"/>
      <c r="R1985" s="80"/>
    </row>
    <row r="1986" ht="18" customHeight="1" spans="1:18">
      <c r="A1986" s="87" t="str">
        <f t="shared" si="90"/>
        <v/>
      </c>
      <c r="B1986" s="78"/>
      <c r="C1986" s="80"/>
      <c r="D1986" s="80"/>
      <c r="E1986" s="79"/>
      <c r="F1986" s="87" t="str">
        <f>IF($E1986="","",IFERROR(INDEX(基础资料!$O$4:$O$34,MATCH($E1986,基础资料!$N$4:$N$34,0))&amp;"",""))</f>
        <v/>
      </c>
      <c r="G1986" s="87" t="str">
        <f>IF($E1986="","",IFERROR(INDEX(基础资料!$P$4:$P$34,MATCH($E1986,基础资料!$N$4:$N$34,0))&amp;"",""))</f>
        <v/>
      </c>
      <c r="H1986" s="79"/>
      <c r="I1986" s="88"/>
      <c r="J1986" s="92"/>
      <c r="K1986" s="93"/>
      <c r="L1986" s="25" t="str">
        <f t="shared" si="91"/>
        <v/>
      </c>
      <c r="M1986" s="94"/>
      <c r="N1986" s="26" t="str">
        <f t="shared" si="92"/>
        <v/>
      </c>
      <c r="O1986" s="80"/>
      <c r="P1986" s="80"/>
      <c r="Q1986" s="80"/>
      <c r="R1986" s="80"/>
    </row>
    <row r="1987" ht="18" customHeight="1" spans="1:18">
      <c r="A1987" s="87" t="str">
        <f t="shared" si="90"/>
        <v/>
      </c>
      <c r="B1987" s="78"/>
      <c r="C1987" s="80"/>
      <c r="D1987" s="80"/>
      <c r="E1987" s="79"/>
      <c r="F1987" s="87" t="str">
        <f>IF($E1987="","",IFERROR(INDEX(基础资料!$O$4:$O$34,MATCH($E1987,基础资料!$N$4:$N$34,0))&amp;"",""))</f>
        <v/>
      </c>
      <c r="G1987" s="87" t="str">
        <f>IF($E1987="","",IFERROR(INDEX(基础资料!$P$4:$P$34,MATCH($E1987,基础资料!$N$4:$N$34,0))&amp;"",""))</f>
        <v/>
      </c>
      <c r="H1987" s="79"/>
      <c r="I1987" s="88"/>
      <c r="J1987" s="92"/>
      <c r="K1987" s="93"/>
      <c r="L1987" s="25" t="str">
        <f t="shared" si="91"/>
        <v/>
      </c>
      <c r="M1987" s="94"/>
      <c r="N1987" s="26" t="str">
        <f t="shared" si="92"/>
        <v/>
      </c>
      <c r="O1987" s="80"/>
      <c r="P1987" s="80"/>
      <c r="Q1987" s="80"/>
      <c r="R1987" s="80"/>
    </row>
    <row r="1988" ht="18" customHeight="1" spans="1:18">
      <c r="A1988" s="87" t="str">
        <f t="shared" ref="A1988:A2003" si="93">IF($E1988="","",ROW()-3)</f>
        <v/>
      </c>
      <c r="B1988" s="78"/>
      <c r="C1988" s="80"/>
      <c r="D1988" s="80"/>
      <c r="E1988" s="79"/>
      <c r="F1988" s="87" t="str">
        <f>IF($E1988="","",IFERROR(INDEX(基础资料!$O$4:$O$34,MATCH($E1988,基础资料!$N$4:$N$34,0))&amp;"",""))</f>
        <v/>
      </c>
      <c r="G1988" s="87" t="str">
        <f>IF($E1988="","",IFERROR(INDEX(基础资料!$P$4:$P$34,MATCH($E1988,基础资料!$N$4:$N$34,0))&amp;"",""))</f>
        <v/>
      </c>
      <c r="H1988" s="79"/>
      <c r="I1988" s="88"/>
      <c r="J1988" s="92"/>
      <c r="K1988" s="93"/>
      <c r="L1988" s="25" t="str">
        <f t="shared" ref="L1988:L2003" si="94">IF($E1988="","",N($I1988)+N($J1988)-N($K1988))</f>
        <v/>
      </c>
      <c r="M1988" s="94"/>
      <c r="N1988" s="26" t="str">
        <f t="shared" ref="N1988:N2003" si="95">IF($E1988="","",ROUND(N($L1988)*N($M1988),2))</f>
        <v/>
      </c>
      <c r="O1988" s="80"/>
      <c r="P1988" s="80"/>
      <c r="Q1988" s="80"/>
      <c r="R1988" s="80"/>
    </row>
    <row r="1989" ht="18" customHeight="1" spans="1:18">
      <c r="A1989" s="87" t="str">
        <f t="shared" si="93"/>
        <v/>
      </c>
      <c r="B1989" s="78"/>
      <c r="C1989" s="80"/>
      <c r="D1989" s="80"/>
      <c r="E1989" s="79"/>
      <c r="F1989" s="87" t="str">
        <f>IF($E1989="","",IFERROR(INDEX(基础资料!$O$4:$O$34,MATCH($E1989,基础资料!$N$4:$N$34,0))&amp;"",""))</f>
        <v/>
      </c>
      <c r="G1989" s="87" t="str">
        <f>IF($E1989="","",IFERROR(INDEX(基础资料!$P$4:$P$34,MATCH($E1989,基础资料!$N$4:$N$34,0))&amp;"",""))</f>
        <v/>
      </c>
      <c r="H1989" s="79"/>
      <c r="I1989" s="88"/>
      <c r="J1989" s="92"/>
      <c r="K1989" s="93"/>
      <c r="L1989" s="25" t="str">
        <f t="shared" si="94"/>
        <v/>
      </c>
      <c r="M1989" s="94"/>
      <c r="N1989" s="26" t="str">
        <f t="shared" si="95"/>
        <v/>
      </c>
      <c r="O1989" s="80"/>
      <c r="P1989" s="80"/>
      <c r="Q1989" s="80"/>
      <c r="R1989" s="80"/>
    </row>
    <row r="1990" ht="18" customHeight="1" spans="1:18">
      <c r="A1990" s="87" t="str">
        <f t="shared" si="93"/>
        <v/>
      </c>
      <c r="B1990" s="78"/>
      <c r="C1990" s="80"/>
      <c r="D1990" s="80"/>
      <c r="E1990" s="79"/>
      <c r="F1990" s="87" t="str">
        <f>IF($E1990="","",IFERROR(INDEX(基础资料!$O$4:$O$34,MATCH($E1990,基础资料!$N$4:$N$34,0))&amp;"",""))</f>
        <v/>
      </c>
      <c r="G1990" s="87" t="str">
        <f>IF($E1990="","",IFERROR(INDEX(基础资料!$P$4:$P$34,MATCH($E1990,基础资料!$N$4:$N$34,0))&amp;"",""))</f>
        <v/>
      </c>
      <c r="H1990" s="79"/>
      <c r="I1990" s="88"/>
      <c r="J1990" s="92"/>
      <c r="K1990" s="93"/>
      <c r="L1990" s="25" t="str">
        <f t="shared" si="94"/>
        <v/>
      </c>
      <c r="M1990" s="94"/>
      <c r="N1990" s="26" t="str">
        <f t="shared" si="95"/>
        <v/>
      </c>
      <c r="O1990" s="80"/>
      <c r="P1990" s="80"/>
      <c r="Q1990" s="80"/>
      <c r="R1990" s="80"/>
    </row>
    <row r="1991" ht="18" customHeight="1" spans="1:18">
      <c r="A1991" s="87" t="str">
        <f t="shared" si="93"/>
        <v/>
      </c>
      <c r="B1991" s="78"/>
      <c r="C1991" s="80"/>
      <c r="D1991" s="80"/>
      <c r="E1991" s="79"/>
      <c r="F1991" s="87" t="str">
        <f>IF($E1991="","",IFERROR(INDEX(基础资料!$O$4:$O$34,MATCH($E1991,基础资料!$N$4:$N$34,0))&amp;"",""))</f>
        <v/>
      </c>
      <c r="G1991" s="87" t="str">
        <f>IF($E1991="","",IFERROR(INDEX(基础资料!$P$4:$P$34,MATCH($E1991,基础资料!$N$4:$N$34,0))&amp;"",""))</f>
        <v/>
      </c>
      <c r="H1991" s="79"/>
      <c r="I1991" s="88"/>
      <c r="J1991" s="92"/>
      <c r="K1991" s="93"/>
      <c r="L1991" s="25" t="str">
        <f t="shared" si="94"/>
        <v/>
      </c>
      <c r="M1991" s="94"/>
      <c r="N1991" s="26" t="str">
        <f t="shared" si="95"/>
        <v/>
      </c>
      <c r="O1991" s="80"/>
      <c r="P1991" s="80"/>
      <c r="Q1991" s="80"/>
      <c r="R1991" s="80"/>
    </row>
    <row r="1992" ht="18" customHeight="1" spans="1:18">
      <c r="A1992" s="87" t="str">
        <f t="shared" si="93"/>
        <v/>
      </c>
      <c r="B1992" s="78"/>
      <c r="C1992" s="80"/>
      <c r="D1992" s="80"/>
      <c r="E1992" s="79"/>
      <c r="F1992" s="87" t="str">
        <f>IF($E1992="","",IFERROR(INDEX(基础资料!$O$4:$O$34,MATCH($E1992,基础资料!$N$4:$N$34,0))&amp;"",""))</f>
        <v/>
      </c>
      <c r="G1992" s="87" t="str">
        <f>IF($E1992="","",IFERROR(INDEX(基础资料!$P$4:$P$34,MATCH($E1992,基础资料!$N$4:$N$34,0))&amp;"",""))</f>
        <v/>
      </c>
      <c r="H1992" s="79"/>
      <c r="I1992" s="88"/>
      <c r="J1992" s="92"/>
      <c r="K1992" s="93"/>
      <c r="L1992" s="25" t="str">
        <f t="shared" si="94"/>
        <v/>
      </c>
      <c r="M1992" s="94"/>
      <c r="N1992" s="26" t="str">
        <f t="shared" si="95"/>
        <v/>
      </c>
      <c r="O1992" s="80"/>
      <c r="P1992" s="80"/>
      <c r="Q1992" s="80"/>
      <c r="R1992" s="80"/>
    </row>
    <row r="1993" ht="18" customHeight="1" spans="1:18">
      <c r="A1993" s="87" t="str">
        <f t="shared" si="93"/>
        <v/>
      </c>
      <c r="B1993" s="78"/>
      <c r="C1993" s="80"/>
      <c r="D1993" s="80"/>
      <c r="E1993" s="79"/>
      <c r="F1993" s="87" t="str">
        <f>IF($E1993="","",IFERROR(INDEX(基础资料!$O$4:$O$34,MATCH($E1993,基础资料!$N$4:$N$34,0))&amp;"",""))</f>
        <v/>
      </c>
      <c r="G1993" s="87" t="str">
        <f>IF($E1993="","",IFERROR(INDEX(基础资料!$P$4:$P$34,MATCH($E1993,基础资料!$N$4:$N$34,0))&amp;"",""))</f>
        <v/>
      </c>
      <c r="H1993" s="79"/>
      <c r="I1993" s="88"/>
      <c r="J1993" s="92"/>
      <c r="K1993" s="93"/>
      <c r="L1993" s="25" t="str">
        <f t="shared" si="94"/>
        <v/>
      </c>
      <c r="M1993" s="94"/>
      <c r="N1993" s="26" t="str">
        <f t="shared" si="95"/>
        <v/>
      </c>
      <c r="O1993" s="80"/>
      <c r="P1993" s="80"/>
      <c r="Q1993" s="80"/>
      <c r="R1993" s="80"/>
    </row>
    <row r="1994" ht="18" customHeight="1" spans="1:18">
      <c r="A1994" s="87" t="str">
        <f t="shared" si="93"/>
        <v/>
      </c>
      <c r="B1994" s="78"/>
      <c r="C1994" s="80"/>
      <c r="D1994" s="80"/>
      <c r="E1994" s="79"/>
      <c r="F1994" s="87" t="str">
        <f>IF($E1994="","",IFERROR(INDEX(基础资料!$O$4:$O$34,MATCH($E1994,基础资料!$N$4:$N$34,0))&amp;"",""))</f>
        <v/>
      </c>
      <c r="G1994" s="87" t="str">
        <f>IF($E1994="","",IFERROR(INDEX(基础资料!$P$4:$P$34,MATCH($E1994,基础资料!$N$4:$N$34,0))&amp;"",""))</f>
        <v/>
      </c>
      <c r="H1994" s="79"/>
      <c r="I1994" s="88"/>
      <c r="J1994" s="92"/>
      <c r="K1994" s="93"/>
      <c r="L1994" s="25" t="str">
        <f t="shared" si="94"/>
        <v/>
      </c>
      <c r="M1994" s="94"/>
      <c r="N1994" s="26" t="str">
        <f t="shared" si="95"/>
        <v/>
      </c>
      <c r="O1994" s="80"/>
      <c r="P1994" s="80"/>
      <c r="Q1994" s="80"/>
      <c r="R1994" s="80"/>
    </row>
    <row r="1995" ht="18" customHeight="1" spans="1:18">
      <c r="A1995" s="87" t="str">
        <f t="shared" si="93"/>
        <v/>
      </c>
      <c r="B1995" s="78"/>
      <c r="C1995" s="80"/>
      <c r="D1995" s="80"/>
      <c r="E1995" s="79"/>
      <c r="F1995" s="87" t="str">
        <f>IF($E1995="","",IFERROR(INDEX(基础资料!$O$4:$O$34,MATCH($E1995,基础资料!$N$4:$N$34,0))&amp;"",""))</f>
        <v/>
      </c>
      <c r="G1995" s="87" t="str">
        <f>IF($E1995="","",IFERROR(INDEX(基础资料!$P$4:$P$34,MATCH($E1995,基础资料!$N$4:$N$34,0))&amp;"",""))</f>
        <v/>
      </c>
      <c r="H1995" s="79"/>
      <c r="I1995" s="88"/>
      <c r="J1995" s="92"/>
      <c r="K1995" s="93"/>
      <c r="L1995" s="25" t="str">
        <f t="shared" si="94"/>
        <v/>
      </c>
      <c r="M1995" s="94"/>
      <c r="N1995" s="26" t="str">
        <f t="shared" si="95"/>
        <v/>
      </c>
      <c r="O1995" s="80"/>
      <c r="P1995" s="80"/>
      <c r="Q1995" s="80"/>
      <c r="R1995" s="80"/>
    </row>
    <row r="1996" ht="18" customHeight="1" spans="1:18">
      <c r="A1996" s="87" t="str">
        <f t="shared" si="93"/>
        <v/>
      </c>
      <c r="B1996" s="78"/>
      <c r="C1996" s="80"/>
      <c r="D1996" s="80"/>
      <c r="E1996" s="79"/>
      <c r="F1996" s="87" t="str">
        <f>IF($E1996="","",IFERROR(INDEX(基础资料!$O$4:$O$34,MATCH($E1996,基础资料!$N$4:$N$34,0))&amp;"",""))</f>
        <v/>
      </c>
      <c r="G1996" s="87" t="str">
        <f>IF($E1996="","",IFERROR(INDEX(基础资料!$P$4:$P$34,MATCH($E1996,基础资料!$N$4:$N$34,0))&amp;"",""))</f>
        <v/>
      </c>
      <c r="H1996" s="79"/>
      <c r="I1996" s="88"/>
      <c r="J1996" s="92"/>
      <c r="K1996" s="93"/>
      <c r="L1996" s="25" t="str">
        <f t="shared" si="94"/>
        <v/>
      </c>
      <c r="M1996" s="94"/>
      <c r="N1996" s="26" t="str">
        <f t="shared" si="95"/>
        <v/>
      </c>
      <c r="O1996" s="80"/>
      <c r="P1996" s="80"/>
      <c r="Q1996" s="80"/>
      <c r="R1996" s="80"/>
    </row>
    <row r="1997" ht="18" customHeight="1" spans="1:18">
      <c r="A1997" s="87" t="str">
        <f t="shared" si="93"/>
        <v/>
      </c>
      <c r="B1997" s="78"/>
      <c r="C1997" s="80"/>
      <c r="D1997" s="80"/>
      <c r="E1997" s="79"/>
      <c r="F1997" s="87" t="str">
        <f>IF($E1997="","",IFERROR(INDEX(基础资料!$O$4:$O$34,MATCH($E1997,基础资料!$N$4:$N$34,0))&amp;"",""))</f>
        <v/>
      </c>
      <c r="G1997" s="87" t="str">
        <f>IF($E1997="","",IFERROR(INDEX(基础资料!$P$4:$P$34,MATCH($E1997,基础资料!$N$4:$N$34,0))&amp;"",""))</f>
        <v/>
      </c>
      <c r="H1997" s="79"/>
      <c r="I1997" s="88"/>
      <c r="J1997" s="92"/>
      <c r="K1997" s="93"/>
      <c r="L1997" s="25" t="str">
        <f t="shared" si="94"/>
        <v/>
      </c>
      <c r="M1997" s="94"/>
      <c r="N1997" s="26" t="str">
        <f t="shared" si="95"/>
        <v/>
      </c>
      <c r="O1997" s="80"/>
      <c r="P1997" s="80"/>
      <c r="Q1997" s="80"/>
      <c r="R1997" s="80"/>
    </row>
    <row r="1998" ht="18" customHeight="1" spans="1:18">
      <c r="A1998" s="87" t="str">
        <f t="shared" si="93"/>
        <v/>
      </c>
      <c r="B1998" s="78"/>
      <c r="C1998" s="80"/>
      <c r="D1998" s="80"/>
      <c r="E1998" s="79"/>
      <c r="F1998" s="87" t="str">
        <f>IF($E1998="","",IFERROR(INDEX(基础资料!$O$4:$O$34,MATCH($E1998,基础资料!$N$4:$N$34,0))&amp;"",""))</f>
        <v/>
      </c>
      <c r="G1998" s="87" t="str">
        <f>IF($E1998="","",IFERROR(INDEX(基础资料!$P$4:$P$34,MATCH($E1998,基础资料!$N$4:$N$34,0))&amp;"",""))</f>
        <v/>
      </c>
      <c r="H1998" s="79"/>
      <c r="I1998" s="88"/>
      <c r="J1998" s="92"/>
      <c r="K1998" s="93"/>
      <c r="L1998" s="25" t="str">
        <f t="shared" si="94"/>
        <v/>
      </c>
      <c r="M1998" s="94"/>
      <c r="N1998" s="26" t="str">
        <f t="shared" si="95"/>
        <v/>
      </c>
      <c r="O1998" s="80"/>
      <c r="P1998" s="80"/>
      <c r="Q1998" s="80"/>
      <c r="R1998" s="80"/>
    </row>
    <row r="1999" ht="18" customHeight="1" spans="1:18">
      <c r="A1999" s="87" t="str">
        <f t="shared" si="93"/>
        <v/>
      </c>
      <c r="B1999" s="78"/>
      <c r="C1999" s="80"/>
      <c r="D1999" s="80"/>
      <c r="E1999" s="79"/>
      <c r="F1999" s="87" t="str">
        <f>IF($E1999="","",IFERROR(INDEX(基础资料!$O$4:$O$34,MATCH($E1999,基础资料!$N$4:$N$34,0))&amp;"",""))</f>
        <v/>
      </c>
      <c r="G1999" s="87" t="str">
        <f>IF($E1999="","",IFERROR(INDEX(基础资料!$P$4:$P$34,MATCH($E1999,基础资料!$N$4:$N$34,0))&amp;"",""))</f>
        <v/>
      </c>
      <c r="H1999" s="79"/>
      <c r="I1999" s="88"/>
      <c r="J1999" s="92"/>
      <c r="K1999" s="93"/>
      <c r="L1999" s="25" t="str">
        <f t="shared" si="94"/>
        <v/>
      </c>
      <c r="M1999" s="94"/>
      <c r="N1999" s="26" t="str">
        <f t="shared" si="95"/>
        <v/>
      </c>
      <c r="O1999" s="80"/>
      <c r="P1999" s="80"/>
      <c r="Q1999" s="80"/>
      <c r="R1999" s="80"/>
    </row>
    <row r="2000" ht="18" customHeight="1" spans="1:18">
      <c r="A2000" s="87" t="str">
        <f t="shared" si="93"/>
        <v/>
      </c>
      <c r="B2000" s="78"/>
      <c r="C2000" s="80"/>
      <c r="D2000" s="80"/>
      <c r="E2000" s="79"/>
      <c r="F2000" s="87" t="str">
        <f>IF($E2000="","",IFERROR(INDEX(基础资料!$O$4:$O$34,MATCH($E2000,基础资料!$N$4:$N$34,0))&amp;"",""))</f>
        <v/>
      </c>
      <c r="G2000" s="87" t="str">
        <f>IF($E2000="","",IFERROR(INDEX(基础资料!$P$4:$P$34,MATCH($E2000,基础资料!$N$4:$N$34,0))&amp;"",""))</f>
        <v/>
      </c>
      <c r="H2000" s="79"/>
      <c r="I2000" s="88"/>
      <c r="J2000" s="92"/>
      <c r="K2000" s="93"/>
      <c r="L2000" s="25" t="str">
        <f t="shared" si="94"/>
        <v/>
      </c>
      <c r="M2000" s="94"/>
      <c r="N2000" s="26" t="str">
        <f t="shared" si="95"/>
        <v/>
      </c>
      <c r="O2000" s="80"/>
      <c r="P2000" s="80"/>
      <c r="Q2000" s="80"/>
      <c r="R2000" s="80"/>
    </row>
    <row r="2001" ht="18" customHeight="1" spans="1:18">
      <c r="A2001" s="87" t="str">
        <f t="shared" si="93"/>
        <v/>
      </c>
      <c r="B2001" s="78"/>
      <c r="C2001" s="80"/>
      <c r="D2001" s="80"/>
      <c r="E2001" s="79"/>
      <c r="F2001" s="87" t="str">
        <f>IF($E2001="","",IFERROR(INDEX(基础资料!$O$4:$O$34,MATCH($E2001,基础资料!$N$4:$N$34,0))&amp;"",""))</f>
        <v/>
      </c>
      <c r="G2001" s="87" t="str">
        <f>IF($E2001="","",IFERROR(INDEX(基础资料!$P$4:$P$34,MATCH($E2001,基础资料!$N$4:$N$34,0))&amp;"",""))</f>
        <v/>
      </c>
      <c r="H2001" s="79"/>
      <c r="I2001" s="88"/>
      <c r="J2001" s="92"/>
      <c r="K2001" s="93"/>
      <c r="L2001" s="25" t="str">
        <f t="shared" si="94"/>
        <v/>
      </c>
      <c r="M2001" s="94"/>
      <c r="N2001" s="26" t="str">
        <f t="shared" si="95"/>
        <v/>
      </c>
      <c r="O2001" s="80"/>
      <c r="P2001" s="80"/>
      <c r="Q2001" s="80"/>
      <c r="R2001" s="80"/>
    </row>
    <row r="2002" ht="18" customHeight="1" spans="1:18">
      <c r="A2002" s="87" t="str">
        <f t="shared" si="93"/>
        <v/>
      </c>
      <c r="B2002" s="78"/>
      <c r="C2002" s="80"/>
      <c r="D2002" s="80"/>
      <c r="E2002" s="79"/>
      <c r="F2002" s="87" t="str">
        <f>IF($E2002="","",IFERROR(INDEX(基础资料!$O$4:$O$34,MATCH($E2002,基础资料!$N$4:$N$34,0))&amp;"",""))</f>
        <v/>
      </c>
      <c r="G2002" s="87" t="str">
        <f>IF($E2002="","",IFERROR(INDEX(基础资料!$P$4:$P$34,MATCH($E2002,基础资料!$N$4:$N$34,0))&amp;"",""))</f>
        <v/>
      </c>
      <c r="H2002" s="79"/>
      <c r="I2002" s="88"/>
      <c r="J2002" s="92"/>
      <c r="K2002" s="93"/>
      <c r="L2002" s="25" t="str">
        <f t="shared" si="94"/>
        <v/>
      </c>
      <c r="M2002" s="94"/>
      <c r="N2002" s="26" t="str">
        <f t="shared" si="95"/>
        <v/>
      </c>
      <c r="O2002" s="80"/>
      <c r="P2002" s="80"/>
      <c r="Q2002" s="80"/>
      <c r="R2002" s="80"/>
    </row>
    <row r="2003" ht="18" customHeight="1" spans="1:18">
      <c r="A2003" s="87" t="str">
        <f t="shared" si="93"/>
        <v/>
      </c>
      <c r="B2003" s="78"/>
      <c r="C2003" s="80"/>
      <c r="D2003" s="80"/>
      <c r="E2003" s="79"/>
      <c r="F2003" s="87" t="str">
        <f>IF($E2003="","",IFERROR(INDEX(基础资料!$O$4:$O$34,MATCH($E2003,基础资料!$N$4:$N$34,0))&amp;"",""))</f>
        <v/>
      </c>
      <c r="G2003" s="87" t="str">
        <f>IF($E2003="","",IFERROR(INDEX(基础资料!$P$4:$P$34,MATCH($E2003,基础资料!$N$4:$N$34,0))&amp;"",""))</f>
        <v/>
      </c>
      <c r="H2003" s="79"/>
      <c r="I2003" s="88"/>
      <c r="J2003" s="92"/>
      <c r="K2003" s="93"/>
      <c r="L2003" s="25" t="str">
        <f t="shared" si="94"/>
        <v/>
      </c>
      <c r="M2003" s="94"/>
      <c r="N2003" s="26" t="str">
        <f t="shared" si="95"/>
        <v/>
      </c>
      <c r="O2003" s="80"/>
      <c r="P2003" s="80"/>
      <c r="Q2003" s="80"/>
      <c r="R2003" s="80"/>
    </row>
  </sheetData>
  <autoFilter xmlns:etc="http://www.wps.cn/officeDocument/2017/etCustomData" ref="A3:R2003" etc:filterBottomFollowUsedRange="0">
    <extLst/>
  </autoFilter>
  <mergeCells count="2">
    <mergeCell ref="A1:R1"/>
    <mergeCell ref="A2:R2"/>
  </mergeCells>
  <dataValidations count="5">
    <dataValidation type="list" allowBlank="1" sqref="D4:D2003">
      <formula1>_自动清单!$CL$4:$CL$203</formula1>
    </dataValidation>
    <dataValidation type="list" allowBlank="1" sqref="E4:E2003">
      <formula1>基础资料!$A$4:$A$103</formula1>
    </dataValidation>
    <dataValidation type="list" allowBlank="1" sqref="H4:H2003">
      <formula1>基础资料!$F$4:$F$103</formula1>
    </dataValidation>
    <dataValidation type="list" allowBlank="1" sqref="P4:P2003">
      <formula1>基础资料!$K$4:$K$103</formula1>
    </dataValidation>
    <dataValidation type="list" allowBlank="1" sqref="Q4:Q2003">
      <formula1>基础资料!$I$4:$I$103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203"/>
  <sheetViews>
    <sheetView showGridLines="0" workbookViewId="0">
      <pane xSplit="3" ySplit="3" topLeftCell="D4" activePane="bottomRight" state="frozen"/>
      <selection/>
      <selection pane="topRight"/>
      <selection pane="bottomLeft"/>
      <selection pane="bottomRight" activeCell="Q8" sqref="Q8"/>
    </sheetView>
  </sheetViews>
  <sheetFormatPr defaultColWidth="8.67619047619048" defaultRowHeight="15"/>
  <cols>
    <col min="1" max="1" width="6" style="53" customWidth="1"/>
    <col min="2" max="2" width="12" style="53" customWidth="1"/>
    <col min="3" max="5" width="13" style="53" customWidth="1"/>
    <col min="6" max="7" width="11" style="53" customWidth="1"/>
    <col min="8" max="8" width="15" style="53" customWidth="1"/>
    <col min="9" max="9" width="9" style="53" customWidth="1"/>
    <col min="10" max="10" width="14" style="53" customWidth="1"/>
    <col min="11" max="11" width="9" style="53" customWidth="1"/>
    <col min="12" max="12" width="24" style="53" customWidth="1"/>
    <col min="13" max="16384" width="8.67619047619048" style="53"/>
  </cols>
  <sheetData>
    <row r="1" ht="30" customHeight="1" spans="1:12">
      <c r="A1" s="85" t="s">
        <v>451</v>
      </c>
    </row>
    <row r="2" ht="18" customHeight="1" spans="1:12">
      <c r="A2" s="86" t="s">
        <v>452</v>
      </c>
    </row>
    <row r="3" ht="33.75" customHeight="1" spans="1:12">
      <c r="A3" s="4" t="s">
        <v>3</v>
      </c>
      <c r="B3" s="4" t="s">
        <v>289</v>
      </c>
      <c r="C3" s="4" t="s">
        <v>123</v>
      </c>
      <c r="D3" s="4" t="s">
        <v>291</v>
      </c>
      <c r="E3" s="4" t="s">
        <v>453</v>
      </c>
      <c r="F3" s="4" t="s">
        <v>293</v>
      </c>
      <c r="G3" s="4" t="s">
        <v>295</v>
      </c>
      <c r="H3" s="76" t="s">
        <v>298</v>
      </c>
      <c r="I3" s="4" t="s">
        <v>299</v>
      </c>
      <c r="J3" s="4" t="s">
        <v>454</v>
      </c>
      <c r="K3" s="4" t="s">
        <v>130</v>
      </c>
      <c r="L3" s="4" t="s">
        <v>306</v>
      </c>
    </row>
    <row r="4" ht="18" customHeight="1" spans="1:12">
      <c r="A4" s="87">
        <f t="shared" ref="A4:A67" si="0">IF($C4="","",ROW()-3)</f>
        <v>1</v>
      </c>
      <c r="B4" s="78">
        <v>46277</v>
      </c>
      <c r="C4" s="79" t="s">
        <v>200</v>
      </c>
      <c r="D4" s="80"/>
      <c r="E4" s="79" t="s">
        <v>155</v>
      </c>
      <c r="F4" s="88">
        <v>1000</v>
      </c>
      <c r="G4" s="88">
        <v>12</v>
      </c>
      <c r="H4" s="80"/>
      <c r="I4" s="80"/>
      <c r="J4" s="79" t="s">
        <v>175</v>
      </c>
      <c r="K4" s="80"/>
      <c r="L4" s="80"/>
    </row>
    <row r="5" ht="18" customHeight="1" spans="1:12">
      <c r="A5" s="87" t="str">
        <f t="shared" si="0"/>
        <v/>
      </c>
      <c r="B5" s="78"/>
      <c r="C5" s="79"/>
      <c r="D5" s="80"/>
      <c r="E5" s="79"/>
      <c r="F5" s="88"/>
      <c r="G5" s="88"/>
      <c r="H5" s="80"/>
      <c r="I5" s="80"/>
      <c r="J5" s="79"/>
      <c r="K5" s="80"/>
      <c r="L5" s="80"/>
    </row>
    <row r="6" ht="18" customHeight="1" spans="1:12">
      <c r="A6" s="87" t="str">
        <f t="shared" si="0"/>
        <v/>
      </c>
      <c r="B6" s="78"/>
      <c r="C6" s="79"/>
      <c r="D6" s="80"/>
      <c r="E6" s="79"/>
      <c r="F6" s="88"/>
      <c r="G6" s="88"/>
      <c r="H6" s="79"/>
      <c r="I6" s="80"/>
      <c r="J6" s="79"/>
      <c r="K6" s="80"/>
      <c r="L6" s="80"/>
    </row>
    <row r="7" ht="18" customHeight="1" spans="1:12">
      <c r="A7" s="87" t="str">
        <f t="shared" si="0"/>
        <v/>
      </c>
      <c r="B7" s="78"/>
      <c r="C7" s="79"/>
      <c r="D7" s="80"/>
      <c r="E7" s="79"/>
      <c r="F7" s="88"/>
      <c r="G7" s="88"/>
      <c r="H7" s="80"/>
      <c r="I7" s="80"/>
      <c r="J7" s="79"/>
      <c r="K7" s="80"/>
      <c r="L7" s="80"/>
    </row>
    <row r="8" ht="18" customHeight="1" spans="1:12">
      <c r="A8" s="87" t="str">
        <f t="shared" si="0"/>
        <v/>
      </c>
      <c r="B8" s="78"/>
      <c r="C8" s="79"/>
      <c r="D8" s="80"/>
      <c r="E8" s="79"/>
      <c r="F8" s="88"/>
      <c r="G8" s="88"/>
      <c r="H8" s="80"/>
      <c r="I8" s="80"/>
      <c r="J8" s="79"/>
      <c r="K8" s="80"/>
      <c r="L8" s="80"/>
    </row>
    <row r="9" ht="18" customHeight="1" spans="1:12">
      <c r="A9" s="87" t="str">
        <f t="shared" si="0"/>
        <v/>
      </c>
      <c r="B9" s="78"/>
      <c r="C9" s="79"/>
      <c r="D9" s="80"/>
      <c r="E9" s="79"/>
      <c r="F9" s="88"/>
      <c r="G9" s="88"/>
      <c r="H9" s="79"/>
      <c r="I9" s="80"/>
      <c r="J9" s="79"/>
      <c r="K9" s="80"/>
      <c r="L9" s="80"/>
    </row>
    <row r="10" ht="18" customHeight="1" spans="1:12">
      <c r="A10" s="87" t="str">
        <f t="shared" si="0"/>
        <v/>
      </c>
      <c r="B10" s="78"/>
      <c r="C10" s="79"/>
      <c r="D10" s="80"/>
      <c r="E10" s="79"/>
      <c r="F10" s="88"/>
      <c r="G10" s="88"/>
      <c r="H10" s="80"/>
      <c r="I10" s="80"/>
      <c r="J10" s="79"/>
      <c r="K10" s="80"/>
      <c r="L10" s="80"/>
    </row>
    <row r="11" ht="18" customHeight="1" spans="1:12">
      <c r="A11" s="87" t="str">
        <f t="shared" si="0"/>
        <v/>
      </c>
      <c r="B11" s="78"/>
      <c r="C11" s="79"/>
      <c r="D11" s="80"/>
      <c r="E11" s="79"/>
      <c r="F11" s="88"/>
      <c r="G11" s="88"/>
      <c r="H11" s="80"/>
      <c r="I11" s="80"/>
      <c r="J11" s="79"/>
      <c r="K11" s="80"/>
      <c r="L11" s="80"/>
    </row>
    <row r="12" ht="18" customHeight="1" spans="1:12">
      <c r="A12" s="87" t="str">
        <f t="shared" si="0"/>
        <v/>
      </c>
      <c r="B12" s="78"/>
      <c r="C12" s="79"/>
      <c r="D12" s="80"/>
      <c r="E12" s="79"/>
      <c r="F12" s="88"/>
      <c r="G12" s="88"/>
      <c r="H12" s="80"/>
      <c r="I12" s="80"/>
      <c r="J12" s="79"/>
      <c r="K12" s="80"/>
      <c r="L12" s="80"/>
    </row>
    <row r="13" ht="18" customHeight="1" spans="1:12">
      <c r="A13" s="87" t="str">
        <f t="shared" si="0"/>
        <v/>
      </c>
      <c r="B13" s="78"/>
      <c r="C13" s="79"/>
      <c r="D13" s="80"/>
      <c r="E13" s="79"/>
      <c r="F13" s="88"/>
      <c r="G13" s="88"/>
      <c r="H13" s="80"/>
      <c r="I13" s="80"/>
      <c r="J13" s="79"/>
      <c r="K13" s="80"/>
      <c r="L13" s="80"/>
    </row>
    <row r="14" ht="18" customHeight="1" spans="1:12">
      <c r="A14" s="87" t="str">
        <f t="shared" si="0"/>
        <v/>
      </c>
      <c r="B14" s="78"/>
      <c r="C14" s="79"/>
      <c r="D14" s="80"/>
      <c r="E14" s="79"/>
      <c r="F14" s="88"/>
      <c r="G14" s="88"/>
      <c r="H14" s="80"/>
      <c r="I14" s="80"/>
      <c r="J14" s="79"/>
      <c r="K14" s="80"/>
      <c r="L14" s="80"/>
    </row>
    <row r="15" ht="18" customHeight="1" spans="1:12">
      <c r="A15" s="87" t="str">
        <f t="shared" si="0"/>
        <v/>
      </c>
      <c r="B15" s="78"/>
      <c r="C15" s="79"/>
      <c r="D15" s="80"/>
      <c r="E15" s="79"/>
      <c r="F15" s="88"/>
      <c r="G15" s="88"/>
      <c r="H15" s="80"/>
      <c r="I15" s="80"/>
      <c r="J15" s="79"/>
      <c r="K15" s="80"/>
      <c r="L15" s="80"/>
    </row>
    <row r="16" ht="18" customHeight="1" spans="1:12">
      <c r="A16" s="87" t="str">
        <f t="shared" si="0"/>
        <v/>
      </c>
      <c r="B16" s="78"/>
      <c r="C16" s="79"/>
      <c r="D16" s="80"/>
      <c r="E16" s="79"/>
      <c r="F16" s="88"/>
      <c r="G16" s="88"/>
      <c r="H16" s="80"/>
      <c r="I16" s="80"/>
      <c r="J16" s="79"/>
      <c r="K16" s="80"/>
      <c r="L16" s="80"/>
    </row>
    <row r="17" ht="18" customHeight="1" spans="1:12">
      <c r="A17" s="87" t="str">
        <f t="shared" si="0"/>
        <v/>
      </c>
      <c r="B17" s="78"/>
      <c r="C17" s="79"/>
      <c r="D17" s="80"/>
      <c r="E17" s="79"/>
      <c r="F17" s="88"/>
      <c r="G17" s="88"/>
      <c r="H17" s="80"/>
      <c r="I17" s="80"/>
      <c r="J17" s="79"/>
      <c r="K17" s="80"/>
      <c r="L17" s="80"/>
    </row>
    <row r="18" ht="18" customHeight="1" spans="1:12">
      <c r="A18" s="87" t="str">
        <f t="shared" si="0"/>
        <v/>
      </c>
      <c r="B18" s="78"/>
      <c r="C18" s="79"/>
      <c r="D18" s="80"/>
      <c r="E18" s="79"/>
      <c r="F18" s="88"/>
      <c r="G18" s="88"/>
      <c r="H18" s="80"/>
      <c r="I18" s="80"/>
      <c r="J18" s="79"/>
      <c r="K18" s="80"/>
      <c r="L18" s="80"/>
    </row>
    <row r="19" ht="18" customHeight="1" spans="1:12">
      <c r="A19" s="87" t="str">
        <f t="shared" si="0"/>
        <v/>
      </c>
      <c r="B19" s="78"/>
      <c r="C19" s="79"/>
      <c r="D19" s="80"/>
      <c r="E19" s="79"/>
      <c r="F19" s="88"/>
      <c r="G19" s="88"/>
      <c r="H19" s="80"/>
      <c r="I19" s="80"/>
      <c r="J19" s="79"/>
      <c r="K19" s="80"/>
      <c r="L19" s="80"/>
    </row>
    <row r="20" ht="18" customHeight="1" spans="1:12">
      <c r="A20" s="87" t="str">
        <f t="shared" si="0"/>
        <v/>
      </c>
      <c r="B20" s="78"/>
      <c r="C20" s="79"/>
      <c r="D20" s="80"/>
      <c r="E20" s="79"/>
      <c r="F20" s="88"/>
      <c r="G20" s="88"/>
      <c r="H20" s="80"/>
      <c r="I20" s="80"/>
      <c r="J20" s="79"/>
      <c r="K20" s="80"/>
      <c r="L20" s="80"/>
    </row>
    <row r="21" ht="18" customHeight="1" spans="1:12">
      <c r="A21" s="87" t="str">
        <f t="shared" si="0"/>
        <v/>
      </c>
      <c r="B21" s="78"/>
      <c r="C21" s="79"/>
      <c r="D21" s="80"/>
      <c r="E21" s="79"/>
      <c r="F21" s="88"/>
      <c r="G21" s="88"/>
      <c r="H21" s="80"/>
      <c r="I21" s="80"/>
      <c r="J21" s="79"/>
      <c r="K21" s="80"/>
      <c r="L21" s="80"/>
    </row>
    <row r="22" ht="18" customHeight="1" spans="1:12">
      <c r="A22" s="87" t="str">
        <f t="shared" si="0"/>
        <v/>
      </c>
      <c r="B22" s="78"/>
      <c r="C22" s="79"/>
      <c r="D22" s="80"/>
      <c r="E22" s="79"/>
      <c r="F22" s="88"/>
      <c r="G22" s="88"/>
      <c r="H22" s="80"/>
      <c r="I22" s="80"/>
      <c r="J22" s="79"/>
      <c r="K22" s="80"/>
      <c r="L22" s="80"/>
    </row>
    <row r="23" ht="18" customHeight="1" spans="1:12">
      <c r="A23" s="87" t="str">
        <f t="shared" si="0"/>
        <v/>
      </c>
      <c r="B23" s="78"/>
      <c r="C23" s="79"/>
      <c r="D23" s="80"/>
      <c r="E23" s="79"/>
      <c r="F23" s="88"/>
      <c r="G23" s="88"/>
      <c r="H23" s="80"/>
      <c r="I23" s="80"/>
      <c r="J23" s="79"/>
      <c r="K23" s="80"/>
      <c r="L23" s="80"/>
    </row>
    <row r="24" ht="18" customHeight="1" spans="1:12">
      <c r="A24" s="87" t="str">
        <f t="shared" si="0"/>
        <v/>
      </c>
      <c r="B24" s="78"/>
      <c r="C24" s="79"/>
      <c r="D24" s="80"/>
      <c r="E24" s="79"/>
      <c r="F24" s="88"/>
      <c r="G24" s="88"/>
      <c r="H24" s="80"/>
      <c r="I24" s="80"/>
      <c r="J24" s="79"/>
      <c r="K24" s="80"/>
      <c r="L24" s="80"/>
    </row>
    <row r="25" ht="18" customHeight="1" spans="1:12">
      <c r="A25" s="87" t="str">
        <f t="shared" si="0"/>
        <v/>
      </c>
      <c r="B25" s="78"/>
      <c r="C25" s="79"/>
      <c r="D25" s="80"/>
      <c r="E25" s="79"/>
      <c r="F25" s="88"/>
      <c r="G25" s="88"/>
      <c r="H25" s="80"/>
      <c r="I25" s="80"/>
      <c r="J25" s="79"/>
      <c r="K25" s="80"/>
      <c r="L25" s="80"/>
    </row>
    <row r="26" ht="18" customHeight="1" spans="1:12">
      <c r="A26" s="87" t="str">
        <f t="shared" si="0"/>
        <v/>
      </c>
      <c r="B26" s="78"/>
      <c r="C26" s="79"/>
      <c r="D26" s="80"/>
      <c r="E26" s="79"/>
      <c r="F26" s="88"/>
      <c r="G26" s="88"/>
      <c r="H26" s="80"/>
      <c r="I26" s="80"/>
      <c r="J26" s="79"/>
      <c r="K26" s="80"/>
      <c r="L26" s="80"/>
    </row>
    <row r="27" ht="18" customHeight="1" spans="1:12">
      <c r="A27" s="87" t="str">
        <f t="shared" si="0"/>
        <v/>
      </c>
      <c r="B27" s="78"/>
      <c r="C27" s="79"/>
      <c r="D27" s="80"/>
      <c r="E27" s="79"/>
      <c r="F27" s="88"/>
      <c r="G27" s="88"/>
      <c r="H27" s="80"/>
      <c r="I27" s="80"/>
      <c r="J27" s="79"/>
      <c r="K27" s="80"/>
      <c r="L27" s="80"/>
    </row>
    <row r="28" ht="18" customHeight="1" spans="1:12">
      <c r="A28" s="87" t="str">
        <f t="shared" si="0"/>
        <v/>
      </c>
      <c r="B28" s="78"/>
      <c r="C28" s="79"/>
      <c r="D28" s="80"/>
      <c r="E28" s="79"/>
      <c r="F28" s="88"/>
      <c r="G28" s="88"/>
      <c r="H28" s="80"/>
      <c r="I28" s="80"/>
      <c r="J28" s="79"/>
      <c r="K28" s="80"/>
      <c r="L28" s="80"/>
    </row>
    <row r="29" ht="18" customHeight="1" spans="1:12">
      <c r="A29" s="87" t="str">
        <f t="shared" si="0"/>
        <v/>
      </c>
      <c r="B29" s="78"/>
      <c r="C29" s="79"/>
      <c r="D29" s="80"/>
      <c r="E29" s="79"/>
      <c r="F29" s="88"/>
      <c r="G29" s="88"/>
      <c r="H29" s="80"/>
      <c r="I29" s="80"/>
      <c r="J29" s="79"/>
      <c r="K29" s="80"/>
      <c r="L29" s="80"/>
    </row>
    <row r="30" ht="18" customHeight="1" spans="1:12">
      <c r="A30" s="87" t="str">
        <f t="shared" si="0"/>
        <v/>
      </c>
      <c r="B30" s="78"/>
      <c r="C30" s="79"/>
      <c r="D30" s="80"/>
      <c r="E30" s="79"/>
      <c r="F30" s="88"/>
      <c r="G30" s="88"/>
      <c r="H30" s="80"/>
      <c r="I30" s="80"/>
      <c r="J30" s="79"/>
      <c r="K30" s="80"/>
      <c r="L30" s="80"/>
    </row>
    <row r="31" ht="18" customHeight="1" spans="1:12">
      <c r="A31" s="87" t="str">
        <f t="shared" si="0"/>
        <v/>
      </c>
      <c r="B31" s="78"/>
      <c r="C31" s="79"/>
      <c r="D31" s="80"/>
      <c r="E31" s="79"/>
      <c r="F31" s="88"/>
      <c r="G31" s="88"/>
      <c r="H31" s="80"/>
      <c r="I31" s="80"/>
      <c r="J31" s="79"/>
      <c r="K31" s="80"/>
      <c r="L31" s="80"/>
    </row>
    <row r="32" ht="18" customHeight="1" spans="1:12">
      <c r="A32" s="87" t="str">
        <f t="shared" si="0"/>
        <v/>
      </c>
      <c r="B32" s="78"/>
      <c r="C32" s="79"/>
      <c r="D32" s="80"/>
      <c r="E32" s="79"/>
      <c r="F32" s="88"/>
      <c r="G32" s="88"/>
      <c r="H32" s="80"/>
      <c r="I32" s="80"/>
      <c r="J32" s="79"/>
      <c r="K32" s="80"/>
      <c r="L32" s="80"/>
    </row>
    <row r="33" ht="18" customHeight="1" spans="1:12">
      <c r="A33" s="87" t="str">
        <f t="shared" si="0"/>
        <v/>
      </c>
      <c r="B33" s="78"/>
      <c r="C33" s="79"/>
      <c r="D33" s="80"/>
      <c r="E33" s="79"/>
      <c r="F33" s="88"/>
      <c r="G33" s="88"/>
      <c r="H33" s="80"/>
      <c r="I33" s="80"/>
      <c r="J33" s="79"/>
      <c r="K33" s="80"/>
      <c r="L33" s="80"/>
    </row>
    <row r="34" ht="18" customHeight="1" spans="1:12">
      <c r="A34" s="87" t="str">
        <f t="shared" si="0"/>
        <v/>
      </c>
      <c r="B34" s="78"/>
      <c r="C34" s="79"/>
      <c r="D34" s="80"/>
      <c r="E34" s="79"/>
      <c r="F34" s="88"/>
      <c r="G34" s="88"/>
      <c r="H34" s="80"/>
      <c r="I34" s="80"/>
      <c r="J34" s="79"/>
      <c r="K34" s="80"/>
      <c r="L34" s="80"/>
    </row>
    <row r="35" ht="18" customHeight="1" spans="1:12">
      <c r="A35" s="87" t="str">
        <f t="shared" si="0"/>
        <v/>
      </c>
      <c r="B35" s="78"/>
      <c r="C35" s="79"/>
      <c r="D35" s="80"/>
      <c r="E35" s="79"/>
      <c r="F35" s="88"/>
      <c r="G35" s="88"/>
      <c r="H35" s="80"/>
      <c r="I35" s="80"/>
      <c r="J35" s="79"/>
      <c r="K35" s="80"/>
      <c r="L35" s="80"/>
    </row>
    <row r="36" ht="18" customHeight="1" spans="1:12">
      <c r="A36" s="87" t="str">
        <f t="shared" si="0"/>
        <v/>
      </c>
      <c r="B36" s="78"/>
      <c r="C36" s="79"/>
      <c r="D36" s="80"/>
      <c r="E36" s="79"/>
      <c r="F36" s="88"/>
      <c r="G36" s="88"/>
      <c r="H36" s="80"/>
      <c r="I36" s="80"/>
      <c r="J36" s="79"/>
      <c r="K36" s="80"/>
      <c r="L36" s="80"/>
    </row>
    <row r="37" ht="18" customHeight="1" spans="1:12">
      <c r="A37" s="87" t="str">
        <f t="shared" si="0"/>
        <v/>
      </c>
      <c r="B37" s="78"/>
      <c r="C37" s="79"/>
      <c r="D37" s="80"/>
      <c r="E37" s="79"/>
      <c r="F37" s="88"/>
      <c r="G37" s="88"/>
      <c r="H37" s="80"/>
      <c r="I37" s="80"/>
      <c r="J37" s="79"/>
      <c r="K37" s="80"/>
      <c r="L37" s="80"/>
    </row>
    <row r="38" ht="18" customHeight="1" spans="1:12">
      <c r="A38" s="87" t="str">
        <f t="shared" si="0"/>
        <v/>
      </c>
      <c r="B38" s="78"/>
      <c r="C38" s="79"/>
      <c r="D38" s="80"/>
      <c r="E38" s="79"/>
      <c r="F38" s="88"/>
      <c r="G38" s="88"/>
      <c r="H38" s="80"/>
      <c r="I38" s="80"/>
      <c r="J38" s="79"/>
      <c r="K38" s="80"/>
      <c r="L38" s="80"/>
    </row>
    <row r="39" ht="18" customHeight="1" spans="1:12">
      <c r="A39" s="87" t="str">
        <f t="shared" si="0"/>
        <v/>
      </c>
      <c r="B39" s="78"/>
      <c r="C39" s="79"/>
      <c r="D39" s="80"/>
      <c r="E39" s="79"/>
      <c r="F39" s="88"/>
      <c r="G39" s="88"/>
      <c r="H39" s="80"/>
      <c r="I39" s="80"/>
      <c r="J39" s="79"/>
      <c r="K39" s="80"/>
      <c r="L39" s="80"/>
    </row>
    <row r="40" ht="18" customHeight="1" spans="1:12">
      <c r="A40" s="87" t="str">
        <f t="shared" si="0"/>
        <v/>
      </c>
      <c r="B40" s="78"/>
      <c r="C40" s="79"/>
      <c r="D40" s="80"/>
      <c r="E40" s="79"/>
      <c r="F40" s="88"/>
      <c r="G40" s="88"/>
      <c r="H40" s="80"/>
      <c r="I40" s="80"/>
      <c r="J40" s="79"/>
      <c r="K40" s="80"/>
      <c r="L40" s="80"/>
    </row>
    <row r="41" ht="18" customHeight="1" spans="1:12">
      <c r="A41" s="87" t="str">
        <f t="shared" si="0"/>
        <v/>
      </c>
      <c r="B41" s="78"/>
      <c r="C41" s="79"/>
      <c r="D41" s="80"/>
      <c r="E41" s="79"/>
      <c r="F41" s="88"/>
      <c r="G41" s="88"/>
      <c r="H41" s="80"/>
      <c r="I41" s="80"/>
      <c r="J41" s="79"/>
      <c r="K41" s="80"/>
      <c r="L41" s="80"/>
    </row>
    <row r="42" ht="18" customHeight="1" spans="1:12">
      <c r="A42" s="87" t="str">
        <f t="shared" si="0"/>
        <v/>
      </c>
      <c r="B42" s="78"/>
      <c r="C42" s="79"/>
      <c r="D42" s="80"/>
      <c r="E42" s="79"/>
      <c r="F42" s="88"/>
      <c r="G42" s="88"/>
      <c r="H42" s="80"/>
      <c r="I42" s="80"/>
      <c r="J42" s="79"/>
      <c r="K42" s="80"/>
      <c r="L42" s="80"/>
    </row>
    <row r="43" ht="18" customHeight="1" spans="1:12">
      <c r="A43" s="87" t="str">
        <f t="shared" si="0"/>
        <v/>
      </c>
      <c r="B43" s="78"/>
      <c r="C43" s="79"/>
      <c r="D43" s="80"/>
      <c r="E43" s="79"/>
      <c r="F43" s="88"/>
      <c r="G43" s="88"/>
      <c r="H43" s="80"/>
      <c r="I43" s="80"/>
      <c r="J43" s="79"/>
      <c r="K43" s="80"/>
      <c r="L43" s="80"/>
    </row>
    <row r="44" ht="18" customHeight="1" spans="1:12">
      <c r="A44" s="87" t="str">
        <f t="shared" si="0"/>
        <v/>
      </c>
      <c r="B44" s="78"/>
      <c r="C44" s="79"/>
      <c r="D44" s="80"/>
      <c r="E44" s="79"/>
      <c r="F44" s="88"/>
      <c r="G44" s="88"/>
      <c r="H44" s="80"/>
      <c r="I44" s="80"/>
      <c r="J44" s="79"/>
      <c r="K44" s="80"/>
      <c r="L44" s="80"/>
    </row>
    <row r="45" ht="18" customHeight="1" spans="1:12">
      <c r="A45" s="87" t="str">
        <f t="shared" si="0"/>
        <v/>
      </c>
      <c r="B45" s="78"/>
      <c r="C45" s="79"/>
      <c r="D45" s="80"/>
      <c r="E45" s="79"/>
      <c r="F45" s="88"/>
      <c r="G45" s="88"/>
      <c r="H45" s="80"/>
      <c r="I45" s="80"/>
      <c r="J45" s="79"/>
      <c r="K45" s="80"/>
      <c r="L45" s="80"/>
    </row>
    <row r="46" ht="18" customHeight="1" spans="1:12">
      <c r="A46" s="87" t="str">
        <f t="shared" si="0"/>
        <v/>
      </c>
      <c r="B46" s="78"/>
      <c r="C46" s="79"/>
      <c r="D46" s="80"/>
      <c r="E46" s="79"/>
      <c r="F46" s="88"/>
      <c r="G46" s="88"/>
      <c r="H46" s="80"/>
      <c r="I46" s="80"/>
      <c r="J46" s="79"/>
      <c r="K46" s="80"/>
      <c r="L46" s="80"/>
    </row>
    <row r="47" ht="18" customHeight="1" spans="1:12">
      <c r="A47" s="87" t="str">
        <f t="shared" si="0"/>
        <v/>
      </c>
      <c r="B47" s="78"/>
      <c r="C47" s="79"/>
      <c r="D47" s="80"/>
      <c r="E47" s="79"/>
      <c r="F47" s="88"/>
      <c r="G47" s="88"/>
      <c r="H47" s="80"/>
      <c r="I47" s="80"/>
      <c r="J47" s="79"/>
      <c r="K47" s="80"/>
      <c r="L47" s="80"/>
    </row>
    <row r="48" ht="18" customHeight="1" spans="1:12">
      <c r="A48" s="87" t="str">
        <f t="shared" si="0"/>
        <v/>
      </c>
      <c r="B48" s="78"/>
      <c r="C48" s="79"/>
      <c r="D48" s="80"/>
      <c r="E48" s="79"/>
      <c r="F48" s="88"/>
      <c r="G48" s="88"/>
      <c r="H48" s="80"/>
      <c r="I48" s="80"/>
      <c r="J48" s="79"/>
      <c r="K48" s="80"/>
      <c r="L48" s="80"/>
    </row>
    <row r="49" ht="18" customHeight="1" spans="1:12">
      <c r="A49" s="87" t="str">
        <f t="shared" si="0"/>
        <v/>
      </c>
      <c r="B49" s="78"/>
      <c r="C49" s="79"/>
      <c r="D49" s="80"/>
      <c r="E49" s="79"/>
      <c r="F49" s="88"/>
      <c r="G49" s="88"/>
      <c r="H49" s="80"/>
      <c r="I49" s="80"/>
      <c r="J49" s="79"/>
      <c r="K49" s="80"/>
      <c r="L49" s="80"/>
    </row>
    <row r="50" ht="18" customHeight="1" spans="1:12">
      <c r="A50" s="87" t="str">
        <f t="shared" si="0"/>
        <v/>
      </c>
      <c r="B50" s="78"/>
      <c r="C50" s="79"/>
      <c r="D50" s="80"/>
      <c r="E50" s="79"/>
      <c r="F50" s="88"/>
      <c r="G50" s="88"/>
      <c r="H50" s="80"/>
      <c r="I50" s="80"/>
      <c r="J50" s="79"/>
      <c r="K50" s="80"/>
      <c r="L50" s="80"/>
    </row>
    <row r="51" ht="18" customHeight="1" spans="1:12">
      <c r="A51" s="87" t="str">
        <f t="shared" si="0"/>
        <v/>
      </c>
      <c r="B51" s="78"/>
      <c r="C51" s="79"/>
      <c r="D51" s="80"/>
      <c r="E51" s="79"/>
      <c r="F51" s="88"/>
      <c r="G51" s="88"/>
      <c r="H51" s="80"/>
      <c r="I51" s="80"/>
      <c r="J51" s="79"/>
      <c r="K51" s="80"/>
      <c r="L51" s="80"/>
    </row>
    <row r="52" ht="18" customHeight="1" spans="1:12">
      <c r="A52" s="87" t="str">
        <f t="shared" si="0"/>
        <v/>
      </c>
      <c r="B52" s="78"/>
      <c r="C52" s="79"/>
      <c r="D52" s="80"/>
      <c r="E52" s="79"/>
      <c r="F52" s="88"/>
      <c r="G52" s="88"/>
      <c r="H52" s="80"/>
      <c r="I52" s="80"/>
      <c r="J52" s="79"/>
      <c r="K52" s="80"/>
      <c r="L52" s="80"/>
    </row>
    <row r="53" ht="18" customHeight="1" spans="1:12">
      <c r="A53" s="87" t="str">
        <f t="shared" si="0"/>
        <v/>
      </c>
      <c r="B53" s="78"/>
      <c r="C53" s="79"/>
      <c r="D53" s="80"/>
      <c r="E53" s="79"/>
      <c r="F53" s="88"/>
      <c r="G53" s="88"/>
      <c r="H53" s="80"/>
      <c r="I53" s="80"/>
      <c r="J53" s="79"/>
      <c r="K53" s="80"/>
      <c r="L53" s="80"/>
    </row>
    <row r="54" ht="18" customHeight="1" spans="1:12">
      <c r="A54" s="87" t="str">
        <f t="shared" si="0"/>
        <v/>
      </c>
      <c r="B54" s="78"/>
      <c r="C54" s="79"/>
      <c r="D54" s="80"/>
      <c r="E54" s="79"/>
      <c r="F54" s="88"/>
      <c r="G54" s="88"/>
      <c r="H54" s="80"/>
      <c r="I54" s="80"/>
      <c r="J54" s="79"/>
      <c r="K54" s="80"/>
      <c r="L54" s="80"/>
    </row>
    <row r="55" ht="18" customHeight="1" spans="1:12">
      <c r="A55" s="87" t="str">
        <f t="shared" si="0"/>
        <v/>
      </c>
      <c r="B55" s="78"/>
      <c r="C55" s="79"/>
      <c r="D55" s="80"/>
      <c r="E55" s="79"/>
      <c r="F55" s="88"/>
      <c r="G55" s="88"/>
      <c r="H55" s="80"/>
      <c r="I55" s="80"/>
      <c r="J55" s="79"/>
      <c r="K55" s="80"/>
      <c r="L55" s="80"/>
    </row>
    <row r="56" ht="18" customHeight="1" spans="1:12">
      <c r="A56" s="87" t="str">
        <f t="shared" si="0"/>
        <v/>
      </c>
      <c r="B56" s="78"/>
      <c r="C56" s="79"/>
      <c r="D56" s="80"/>
      <c r="E56" s="79"/>
      <c r="F56" s="88"/>
      <c r="G56" s="88"/>
      <c r="H56" s="80"/>
      <c r="I56" s="80"/>
      <c r="J56" s="79"/>
      <c r="K56" s="80"/>
      <c r="L56" s="80"/>
    </row>
    <row r="57" ht="18" customHeight="1" spans="1:12">
      <c r="A57" s="87" t="str">
        <f t="shared" si="0"/>
        <v/>
      </c>
      <c r="B57" s="78"/>
      <c r="C57" s="79"/>
      <c r="D57" s="80"/>
      <c r="E57" s="79"/>
      <c r="F57" s="88"/>
      <c r="G57" s="88"/>
      <c r="H57" s="80"/>
      <c r="I57" s="80"/>
      <c r="J57" s="79"/>
      <c r="K57" s="80"/>
      <c r="L57" s="80"/>
    </row>
    <row r="58" ht="18" customHeight="1" spans="1:12">
      <c r="A58" s="87" t="str">
        <f t="shared" si="0"/>
        <v/>
      </c>
      <c r="B58" s="78"/>
      <c r="C58" s="79"/>
      <c r="D58" s="80"/>
      <c r="E58" s="79"/>
      <c r="F58" s="88"/>
      <c r="G58" s="88"/>
      <c r="H58" s="80"/>
      <c r="I58" s="80"/>
      <c r="J58" s="79"/>
      <c r="K58" s="80"/>
      <c r="L58" s="80"/>
    </row>
    <row r="59" ht="18" customHeight="1" spans="1:12">
      <c r="A59" s="87" t="str">
        <f t="shared" si="0"/>
        <v/>
      </c>
      <c r="B59" s="78"/>
      <c r="C59" s="79"/>
      <c r="D59" s="80"/>
      <c r="E59" s="79"/>
      <c r="F59" s="88"/>
      <c r="G59" s="88"/>
      <c r="H59" s="80"/>
      <c r="I59" s="80"/>
      <c r="J59" s="79"/>
      <c r="K59" s="80"/>
      <c r="L59" s="80"/>
    </row>
    <row r="60" ht="18" customHeight="1" spans="1:12">
      <c r="A60" s="87" t="str">
        <f t="shared" si="0"/>
        <v/>
      </c>
      <c r="B60" s="78"/>
      <c r="C60" s="79"/>
      <c r="D60" s="80"/>
      <c r="E60" s="79"/>
      <c r="F60" s="88"/>
      <c r="G60" s="88"/>
      <c r="H60" s="80"/>
      <c r="I60" s="80"/>
      <c r="J60" s="79"/>
      <c r="K60" s="80"/>
      <c r="L60" s="80"/>
    </row>
    <row r="61" ht="18" customHeight="1" spans="1:12">
      <c r="A61" s="87" t="str">
        <f t="shared" si="0"/>
        <v/>
      </c>
      <c r="B61" s="78"/>
      <c r="C61" s="79"/>
      <c r="D61" s="80"/>
      <c r="E61" s="79"/>
      <c r="F61" s="88"/>
      <c r="G61" s="88"/>
      <c r="H61" s="80"/>
      <c r="I61" s="80"/>
      <c r="J61" s="79"/>
      <c r="K61" s="80"/>
      <c r="L61" s="80"/>
    </row>
    <row r="62" ht="18" customHeight="1" spans="1:12">
      <c r="A62" s="87" t="str">
        <f t="shared" si="0"/>
        <v/>
      </c>
      <c r="B62" s="78"/>
      <c r="C62" s="79"/>
      <c r="D62" s="80"/>
      <c r="E62" s="79"/>
      <c r="F62" s="88"/>
      <c r="G62" s="88"/>
      <c r="H62" s="80"/>
      <c r="I62" s="80"/>
      <c r="J62" s="79"/>
      <c r="K62" s="80"/>
      <c r="L62" s="80"/>
    </row>
    <row r="63" ht="18" customHeight="1" spans="1:12">
      <c r="A63" s="87" t="str">
        <f t="shared" si="0"/>
        <v/>
      </c>
      <c r="B63" s="78"/>
      <c r="C63" s="79"/>
      <c r="D63" s="80"/>
      <c r="E63" s="79"/>
      <c r="F63" s="88"/>
      <c r="G63" s="88"/>
      <c r="H63" s="80"/>
      <c r="I63" s="80"/>
      <c r="J63" s="79"/>
      <c r="K63" s="80"/>
      <c r="L63" s="80"/>
    </row>
    <row r="64" ht="18" customHeight="1" spans="1:12">
      <c r="A64" s="87" t="str">
        <f t="shared" si="0"/>
        <v/>
      </c>
      <c r="B64" s="78"/>
      <c r="C64" s="79"/>
      <c r="D64" s="80"/>
      <c r="E64" s="79"/>
      <c r="F64" s="88"/>
      <c r="G64" s="88"/>
      <c r="H64" s="80"/>
      <c r="I64" s="80"/>
      <c r="J64" s="79"/>
      <c r="K64" s="80"/>
      <c r="L64" s="80"/>
    </row>
    <row r="65" ht="18" customHeight="1" spans="1:12">
      <c r="A65" s="87" t="str">
        <f t="shared" si="0"/>
        <v/>
      </c>
      <c r="B65" s="78"/>
      <c r="C65" s="79"/>
      <c r="D65" s="80"/>
      <c r="E65" s="79"/>
      <c r="F65" s="88"/>
      <c r="G65" s="88"/>
      <c r="H65" s="80"/>
      <c r="I65" s="80"/>
      <c r="J65" s="79"/>
      <c r="K65" s="80"/>
      <c r="L65" s="80"/>
    </row>
    <row r="66" ht="18" customHeight="1" spans="1:12">
      <c r="A66" s="87" t="str">
        <f t="shared" si="0"/>
        <v/>
      </c>
      <c r="B66" s="78"/>
      <c r="C66" s="79"/>
      <c r="D66" s="80"/>
      <c r="E66" s="79"/>
      <c r="F66" s="88"/>
      <c r="G66" s="88"/>
      <c r="H66" s="80"/>
      <c r="I66" s="80"/>
      <c r="J66" s="79"/>
      <c r="K66" s="80"/>
      <c r="L66" s="80"/>
    </row>
    <row r="67" ht="18" customHeight="1" spans="1:12">
      <c r="A67" s="87" t="str">
        <f t="shared" si="0"/>
        <v/>
      </c>
      <c r="B67" s="78"/>
      <c r="C67" s="79"/>
      <c r="D67" s="80"/>
      <c r="E67" s="79"/>
      <c r="F67" s="88"/>
      <c r="G67" s="88"/>
      <c r="H67" s="80"/>
      <c r="I67" s="80"/>
      <c r="J67" s="79"/>
      <c r="K67" s="80"/>
      <c r="L67" s="80"/>
    </row>
    <row r="68" ht="18" customHeight="1" spans="1:12">
      <c r="A68" s="87" t="str">
        <f t="shared" ref="A68:A131" si="1">IF($C68="","",ROW()-3)</f>
        <v/>
      </c>
      <c r="B68" s="78"/>
      <c r="C68" s="79"/>
      <c r="D68" s="80"/>
      <c r="E68" s="79"/>
      <c r="F68" s="88"/>
      <c r="G68" s="88"/>
      <c r="H68" s="80"/>
      <c r="I68" s="80"/>
      <c r="J68" s="79"/>
      <c r="K68" s="80"/>
      <c r="L68" s="80"/>
    </row>
    <row r="69" ht="18" customHeight="1" spans="1:12">
      <c r="A69" s="87" t="str">
        <f t="shared" si="1"/>
        <v/>
      </c>
      <c r="B69" s="78"/>
      <c r="C69" s="79"/>
      <c r="D69" s="80"/>
      <c r="E69" s="79"/>
      <c r="F69" s="88"/>
      <c r="G69" s="88"/>
      <c r="H69" s="80"/>
      <c r="I69" s="80"/>
      <c r="J69" s="79"/>
      <c r="K69" s="80"/>
      <c r="L69" s="80"/>
    </row>
    <row r="70" ht="18" customHeight="1" spans="1:12">
      <c r="A70" s="87" t="str">
        <f t="shared" si="1"/>
        <v/>
      </c>
      <c r="B70" s="78"/>
      <c r="C70" s="79"/>
      <c r="D70" s="80"/>
      <c r="E70" s="79"/>
      <c r="F70" s="88"/>
      <c r="G70" s="88"/>
      <c r="H70" s="80"/>
      <c r="I70" s="80"/>
      <c r="J70" s="79"/>
      <c r="K70" s="80"/>
      <c r="L70" s="80"/>
    </row>
    <row r="71" ht="18" customHeight="1" spans="1:12">
      <c r="A71" s="87" t="str">
        <f t="shared" si="1"/>
        <v/>
      </c>
      <c r="B71" s="78"/>
      <c r="C71" s="79"/>
      <c r="D71" s="80"/>
      <c r="E71" s="79"/>
      <c r="F71" s="88"/>
      <c r="G71" s="88"/>
      <c r="H71" s="80"/>
      <c r="I71" s="80"/>
      <c r="J71" s="79"/>
      <c r="K71" s="80"/>
      <c r="L71" s="80"/>
    </row>
    <row r="72" ht="18" customHeight="1" spans="1:12">
      <c r="A72" s="87" t="str">
        <f t="shared" si="1"/>
        <v/>
      </c>
      <c r="B72" s="78"/>
      <c r="C72" s="79"/>
      <c r="D72" s="80"/>
      <c r="E72" s="79"/>
      <c r="F72" s="88"/>
      <c r="G72" s="88"/>
      <c r="H72" s="80"/>
      <c r="I72" s="80"/>
      <c r="J72" s="79"/>
      <c r="K72" s="80"/>
      <c r="L72" s="80"/>
    </row>
    <row r="73" ht="18" customHeight="1" spans="1:12">
      <c r="A73" s="87" t="str">
        <f t="shared" si="1"/>
        <v/>
      </c>
      <c r="B73" s="78"/>
      <c r="C73" s="79"/>
      <c r="D73" s="80"/>
      <c r="E73" s="79"/>
      <c r="F73" s="88"/>
      <c r="G73" s="88"/>
      <c r="H73" s="80"/>
      <c r="I73" s="80"/>
      <c r="J73" s="79"/>
      <c r="K73" s="80"/>
      <c r="L73" s="80"/>
    </row>
    <row r="74" ht="18" customHeight="1" spans="1:12">
      <c r="A74" s="87" t="str">
        <f t="shared" si="1"/>
        <v/>
      </c>
      <c r="B74" s="78"/>
      <c r="C74" s="79"/>
      <c r="D74" s="80"/>
      <c r="E74" s="79"/>
      <c r="F74" s="88"/>
      <c r="G74" s="88"/>
      <c r="H74" s="80"/>
      <c r="I74" s="80"/>
      <c r="J74" s="79"/>
      <c r="K74" s="80"/>
      <c r="L74" s="80"/>
    </row>
    <row r="75" ht="18" customHeight="1" spans="1:12">
      <c r="A75" s="87" t="str">
        <f t="shared" si="1"/>
        <v/>
      </c>
      <c r="B75" s="78"/>
      <c r="C75" s="79"/>
      <c r="D75" s="80"/>
      <c r="E75" s="79"/>
      <c r="F75" s="88"/>
      <c r="G75" s="88"/>
      <c r="H75" s="80"/>
      <c r="I75" s="80"/>
      <c r="J75" s="79"/>
      <c r="K75" s="80"/>
      <c r="L75" s="80"/>
    </row>
    <row r="76" ht="18" customHeight="1" spans="1:12">
      <c r="A76" s="87" t="str">
        <f t="shared" si="1"/>
        <v/>
      </c>
      <c r="B76" s="78"/>
      <c r="C76" s="79"/>
      <c r="D76" s="80"/>
      <c r="E76" s="79"/>
      <c r="F76" s="88"/>
      <c r="G76" s="88"/>
      <c r="H76" s="80"/>
      <c r="I76" s="80"/>
      <c r="J76" s="79"/>
      <c r="K76" s="80"/>
      <c r="L76" s="80"/>
    </row>
    <row r="77" ht="18" customHeight="1" spans="1:12">
      <c r="A77" s="87" t="str">
        <f t="shared" si="1"/>
        <v/>
      </c>
      <c r="B77" s="78"/>
      <c r="C77" s="79"/>
      <c r="D77" s="80"/>
      <c r="E77" s="79"/>
      <c r="F77" s="88"/>
      <c r="G77" s="88"/>
      <c r="H77" s="80"/>
      <c r="I77" s="80"/>
      <c r="J77" s="79"/>
      <c r="K77" s="80"/>
      <c r="L77" s="80"/>
    </row>
    <row r="78" ht="18" customHeight="1" spans="1:12">
      <c r="A78" s="87" t="str">
        <f t="shared" si="1"/>
        <v/>
      </c>
      <c r="B78" s="78"/>
      <c r="C78" s="79"/>
      <c r="D78" s="80"/>
      <c r="E78" s="79"/>
      <c r="F78" s="88"/>
      <c r="G78" s="88"/>
      <c r="H78" s="80"/>
      <c r="I78" s="80"/>
      <c r="J78" s="79"/>
      <c r="K78" s="80"/>
      <c r="L78" s="80"/>
    </row>
    <row r="79" ht="18" customHeight="1" spans="1:12">
      <c r="A79" s="87" t="str">
        <f t="shared" si="1"/>
        <v/>
      </c>
      <c r="B79" s="78"/>
      <c r="C79" s="79"/>
      <c r="D79" s="80"/>
      <c r="E79" s="79"/>
      <c r="F79" s="88"/>
      <c r="G79" s="88"/>
      <c r="H79" s="80"/>
      <c r="I79" s="80"/>
      <c r="J79" s="79"/>
      <c r="K79" s="80"/>
      <c r="L79" s="80"/>
    </row>
    <row r="80" ht="18" customHeight="1" spans="1:12">
      <c r="A80" s="87" t="str">
        <f t="shared" si="1"/>
        <v/>
      </c>
      <c r="B80" s="78"/>
      <c r="C80" s="79"/>
      <c r="D80" s="80"/>
      <c r="E80" s="79"/>
      <c r="F80" s="88"/>
      <c r="G80" s="88"/>
      <c r="H80" s="80"/>
      <c r="I80" s="80"/>
      <c r="J80" s="79"/>
      <c r="K80" s="80"/>
      <c r="L80" s="80"/>
    </row>
    <row r="81" ht="18" customHeight="1" spans="1:12">
      <c r="A81" s="87" t="str">
        <f t="shared" si="1"/>
        <v/>
      </c>
      <c r="B81" s="78"/>
      <c r="C81" s="79"/>
      <c r="D81" s="80"/>
      <c r="E81" s="79"/>
      <c r="F81" s="88"/>
      <c r="G81" s="88"/>
      <c r="H81" s="80"/>
      <c r="I81" s="80"/>
      <c r="J81" s="79"/>
      <c r="K81" s="80"/>
      <c r="L81" s="80"/>
    </row>
    <row r="82" ht="18" customHeight="1" spans="1:12">
      <c r="A82" s="87" t="str">
        <f t="shared" si="1"/>
        <v/>
      </c>
      <c r="B82" s="78"/>
      <c r="C82" s="79"/>
      <c r="D82" s="80"/>
      <c r="E82" s="79"/>
      <c r="F82" s="88"/>
      <c r="G82" s="88"/>
      <c r="H82" s="80"/>
      <c r="I82" s="80"/>
      <c r="J82" s="79"/>
      <c r="K82" s="80"/>
      <c r="L82" s="80"/>
    </row>
    <row r="83" ht="18" customHeight="1" spans="1:12">
      <c r="A83" s="87" t="str">
        <f t="shared" si="1"/>
        <v/>
      </c>
      <c r="B83" s="78"/>
      <c r="C83" s="79"/>
      <c r="D83" s="80"/>
      <c r="E83" s="79"/>
      <c r="F83" s="88"/>
      <c r="G83" s="88"/>
      <c r="H83" s="80"/>
      <c r="I83" s="80"/>
      <c r="J83" s="79"/>
      <c r="K83" s="80"/>
      <c r="L83" s="80"/>
    </row>
    <row r="84" ht="18" customHeight="1" spans="1:12">
      <c r="A84" s="87" t="str">
        <f t="shared" si="1"/>
        <v/>
      </c>
      <c r="B84" s="78"/>
      <c r="C84" s="79"/>
      <c r="D84" s="80"/>
      <c r="E84" s="79"/>
      <c r="F84" s="88"/>
      <c r="G84" s="88"/>
      <c r="H84" s="80"/>
      <c r="I84" s="80"/>
      <c r="J84" s="79"/>
      <c r="K84" s="80"/>
      <c r="L84" s="80"/>
    </row>
    <row r="85" ht="18" customHeight="1" spans="1:12">
      <c r="A85" s="87" t="str">
        <f t="shared" si="1"/>
        <v/>
      </c>
      <c r="B85" s="78"/>
      <c r="C85" s="79"/>
      <c r="D85" s="80"/>
      <c r="E85" s="79"/>
      <c r="F85" s="88"/>
      <c r="G85" s="88"/>
      <c r="H85" s="80"/>
      <c r="I85" s="80"/>
      <c r="J85" s="79"/>
      <c r="K85" s="80"/>
      <c r="L85" s="80"/>
    </row>
    <row r="86" ht="18" customHeight="1" spans="1:12">
      <c r="A86" s="87" t="str">
        <f t="shared" si="1"/>
        <v/>
      </c>
      <c r="B86" s="78"/>
      <c r="C86" s="79"/>
      <c r="D86" s="80"/>
      <c r="E86" s="79"/>
      <c r="F86" s="88"/>
      <c r="G86" s="88"/>
      <c r="H86" s="80"/>
      <c r="I86" s="80"/>
      <c r="J86" s="79"/>
      <c r="K86" s="80"/>
      <c r="L86" s="80"/>
    </row>
    <row r="87" ht="18" customHeight="1" spans="1:12">
      <c r="A87" s="87" t="str">
        <f t="shared" si="1"/>
        <v/>
      </c>
      <c r="B87" s="78"/>
      <c r="C87" s="79"/>
      <c r="D87" s="80"/>
      <c r="E87" s="79"/>
      <c r="F87" s="88"/>
      <c r="G87" s="88"/>
      <c r="H87" s="80"/>
      <c r="I87" s="80"/>
      <c r="J87" s="79"/>
      <c r="K87" s="80"/>
      <c r="L87" s="80"/>
    </row>
    <row r="88" ht="18" customHeight="1" spans="1:12">
      <c r="A88" s="87" t="str">
        <f t="shared" si="1"/>
        <v/>
      </c>
      <c r="B88" s="78"/>
      <c r="C88" s="79"/>
      <c r="D88" s="80"/>
      <c r="E88" s="79"/>
      <c r="F88" s="88"/>
      <c r="G88" s="88"/>
      <c r="H88" s="80"/>
      <c r="I88" s="80"/>
      <c r="J88" s="79"/>
      <c r="K88" s="80"/>
      <c r="L88" s="80"/>
    </row>
    <row r="89" ht="18" customHeight="1" spans="1:12">
      <c r="A89" s="87" t="str">
        <f t="shared" si="1"/>
        <v/>
      </c>
      <c r="B89" s="78"/>
      <c r="C89" s="79"/>
      <c r="D89" s="80"/>
      <c r="E89" s="79"/>
      <c r="F89" s="88"/>
      <c r="G89" s="88"/>
      <c r="H89" s="80"/>
      <c r="I89" s="80"/>
      <c r="J89" s="79"/>
      <c r="K89" s="80"/>
      <c r="L89" s="80"/>
    </row>
    <row r="90" ht="18" customHeight="1" spans="1:12">
      <c r="A90" s="87" t="str">
        <f t="shared" si="1"/>
        <v/>
      </c>
      <c r="B90" s="78"/>
      <c r="C90" s="79"/>
      <c r="D90" s="80"/>
      <c r="E90" s="79"/>
      <c r="F90" s="88"/>
      <c r="G90" s="88"/>
      <c r="H90" s="80"/>
      <c r="I90" s="80"/>
      <c r="J90" s="79"/>
      <c r="K90" s="80"/>
      <c r="L90" s="80"/>
    </row>
    <row r="91" ht="18" customHeight="1" spans="1:12">
      <c r="A91" s="87" t="str">
        <f t="shared" si="1"/>
        <v/>
      </c>
      <c r="B91" s="78"/>
      <c r="C91" s="79"/>
      <c r="D91" s="80"/>
      <c r="E91" s="79"/>
      <c r="F91" s="88"/>
      <c r="G91" s="88"/>
      <c r="H91" s="80"/>
      <c r="I91" s="80"/>
      <c r="J91" s="79"/>
      <c r="K91" s="80"/>
      <c r="L91" s="80"/>
    </row>
    <row r="92" ht="18" customHeight="1" spans="1:12">
      <c r="A92" s="87" t="str">
        <f t="shared" si="1"/>
        <v/>
      </c>
      <c r="B92" s="78"/>
      <c r="C92" s="79"/>
      <c r="D92" s="80"/>
      <c r="E92" s="79"/>
      <c r="F92" s="88"/>
      <c r="G92" s="88"/>
      <c r="H92" s="80"/>
      <c r="I92" s="80"/>
      <c r="J92" s="79"/>
      <c r="K92" s="80"/>
      <c r="L92" s="80"/>
    </row>
    <row r="93" ht="18" customHeight="1" spans="1:12">
      <c r="A93" s="87" t="str">
        <f t="shared" si="1"/>
        <v/>
      </c>
      <c r="B93" s="78"/>
      <c r="C93" s="79"/>
      <c r="D93" s="80"/>
      <c r="E93" s="79"/>
      <c r="F93" s="88"/>
      <c r="G93" s="88"/>
      <c r="H93" s="80"/>
      <c r="I93" s="80"/>
      <c r="J93" s="79"/>
      <c r="K93" s="80"/>
      <c r="L93" s="80"/>
    </row>
    <row r="94" ht="18" customHeight="1" spans="1:12">
      <c r="A94" s="87" t="str">
        <f t="shared" si="1"/>
        <v/>
      </c>
      <c r="B94" s="78"/>
      <c r="C94" s="79"/>
      <c r="D94" s="80"/>
      <c r="E94" s="79"/>
      <c r="F94" s="88"/>
      <c r="G94" s="88"/>
      <c r="H94" s="80"/>
      <c r="I94" s="80"/>
      <c r="J94" s="79"/>
      <c r="K94" s="80"/>
      <c r="L94" s="80"/>
    </row>
    <row r="95" ht="18" customHeight="1" spans="1:12">
      <c r="A95" s="87" t="str">
        <f t="shared" si="1"/>
        <v/>
      </c>
      <c r="B95" s="78"/>
      <c r="C95" s="79"/>
      <c r="D95" s="80"/>
      <c r="E95" s="79"/>
      <c r="F95" s="88"/>
      <c r="G95" s="88"/>
      <c r="H95" s="80"/>
      <c r="I95" s="80"/>
      <c r="J95" s="79"/>
      <c r="K95" s="80"/>
      <c r="L95" s="80"/>
    </row>
    <row r="96" ht="18" customHeight="1" spans="1:12">
      <c r="A96" s="87" t="str">
        <f t="shared" si="1"/>
        <v/>
      </c>
      <c r="B96" s="78"/>
      <c r="C96" s="79"/>
      <c r="D96" s="80"/>
      <c r="E96" s="79"/>
      <c r="F96" s="88"/>
      <c r="G96" s="88"/>
      <c r="H96" s="80"/>
      <c r="I96" s="80"/>
      <c r="J96" s="79"/>
      <c r="K96" s="80"/>
      <c r="L96" s="80"/>
    </row>
    <row r="97" ht="18" customHeight="1" spans="1:12">
      <c r="A97" s="87" t="str">
        <f t="shared" si="1"/>
        <v/>
      </c>
      <c r="B97" s="78"/>
      <c r="C97" s="79"/>
      <c r="D97" s="80"/>
      <c r="E97" s="79"/>
      <c r="F97" s="88"/>
      <c r="G97" s="88"/>
      <c r="H97" s="80"/>
      <c r="I97" s="80"/>
      <c r="J97" s="79"/>
      <c r="K97" s="80"/>
      <c r="L97" s="80"/>
    </row>
    <row r="98" ht="18" customHeight="1" spans="1:12">
      <c r="A98" s="87" t="str">
        <f t="shared" si="1"/>
        <v/>
      </c>
      <c r="B98" s="78"/>
      <c r="C98" s="79"/>
      <c r="D98" s="80"/>
      <c r="E98" s="79"/>
      <c r="F98" s="88"/>
      <c r="G98" s="88"/>
      <c r="H98" s="80"/>
      <c r="I98" s="80"/>
      <c r="J98" s="79"/>
      <c r="K98" s="80"/>
      <c r="L98" s="80"/>
    </row>
    <row r="99" ht="18" customHeight="1" spans="1:12">
      <c r="A99" s="87" t="str">
        <f t="shared" si="1"/>
        <v/>
      </c>
      <c r="B99" s="78"/>
      <c r="C99" s="79"/>
      <c r="D99" s="80"/>
      <c r="E99" s="79"/>
      <c r="F99" s="88"/>
      <c r="G99" s="88"/>
      <c r="H99" s="80"/>
      <c r="I99" s="80"/>
      <c r="J99" s="79"/>
      <c r="K99" s="80"/>
      <c r="L99" s="80"/>
    </row>
    <row r="100" ht="18" customHeight="1" spans="1:12">
      <c r="A100" s="87" t="str">
        <f t="shared" si="1"/>
        <v/>
      </c>
      <c r="B100" s="78"/>
      <c r="C100" s="79"/>
      <c r="D100" s="80"/>
      <c r="E100" s="79"/>
      <c r="F100" s="88"/>
      <c r="G100" s="88"/>
      <c r="H100" s="80"/>
      <c r="I100" s="80"/>
      <c r="J100" s="79"/>
      <c r="K100" s="80"/>
      <c r="L100" s="80"/>
    </row>
    <row r="101" ht="18" customHeight="1" spans="1:12">
      <c r="A101" s="87" t="str">
        <f t="shared" si="1"/>
        <v/>
      </c>
      <c r="B101" s="78"/>
      <c r="C101" s="79"/>
      <c r="D101" s="80"/>
      <c r="E101" s="79"/>
      <c r="F101" s="88"/>
      <c r="G101" s="88"/>
      <c r="H101" s="80"/>
      <c r="I101" s="80"/>
      <c r="J101" s="79"/>
      <c r="K101" s="80"/>
      <c r="L101" s="80"/>
    </row>
    <row r="102" ht="18" customHeight="1" spans="1:12">
      <c r="A102" s="87" t="str">
        <f t="shared" si="1"/>
        <v/>
      </c>
      <c r="B102" s="78"/>
      <c r="C102" s="79"/>
      <c r="D102" s="80"/>
      <c r="E102" s="79"/>
      <c r="F102" s="88"/>
      <c r="G102" s="88"/>
      <c r="H102" s="80"/>
      <c r="I102" s="80"/>
      <c r="J102" s="79"/>
      <c r="K102" s="80"/>
      <c r="L102" s="80"/>
    </row>
    <row r="103" ht="18" customHeight="1" spans="1:12">
      <c r="A103" s="87" t="str">
        <f t="shared" si="1"/>
        <v/>
      </c>
      <c r="B103" s="78"/>
      <c r="C103" s="79"/>
      <c r="D103" s="80"/>
      <c r="E103" s="79"/>
      <c r="F103" s="88"/>
      <c r="G103" s="88"/>
      <c r="H103" s="80"/>
      <c r="I103" s="80"/>
      <c r="J103" s="79"/>
      <c r="K103" s="80"/>
      <c r="L103" s="80"/>
    </row>
    <row r="104" ht="18" customHeight="1" spans="1:12">
      <c r="A104" s="87" t="str">
        <f t="shared" si="1"/>
        <v/>
      </c>
      <c r="B104" s="78"/>
      <c r="C104" s="79"/>
      <c r="D104" s="80"/>
      <c r="E104" s="79"/>
      <c r="F104" s="88"/>
      <c r="G104" s="88"/>
      <c r="H104" s="80"/>
      <c r="I104" s="80"/>
      <c r="J104" s="79"/>
      <c r="K104" s="80"/>
      <c r="L104" s="80"/>
    </row>
    <row r="105" ht="18" customHeight="1" spans="1:12">
      <c r="A105" s="87" t="str">
        <f t="shared" si="1"/>
        <v/>
      </c>
      <c r="B105" s="78"/>
      <c r="C105" s="79"/>
      <c r="D105" s="80"/>
      <c r="E105" s="79"/>
      <c r="F105" s="88"/>
      <c r="G105" s="88"/>
      <c r="H105" s="80"/>
      <c r="I105" s="80"/>
      <c r="J105" s="79"/>
      <c r="K105" s="80"/>
      <c r="L105" s="80"/>
    </row>
    <row r="106" ht="18" customHeight="1" spans="1:12">
      <c r="A106" s="87" t="str">
        <f t="shared" si="1"/>
        <v/>
      </c>
      <c r="B106" s="78"/>
      <c r="C106" s="79"/>
      <c r="D106" s="80"/>
      <c r="E106" s="79"/>
      <c r="F106" s="88"/>
      <c r="G106" s="88"/>
      <c r="H106" s="80"/>
      <c r="I106" s="80"/>
      <c r="J106" s="79"/>
      <c r="K106" s="80"/>
      <c r="L106" s="80"/>
    </row>
    <row r="107" ht="18" customHeight="1" spans="1:12">
      <c r="A107" s="87" t="str">
        <f t="shared" si="1"/>
        <v/>
      </c>
      <c r="B107" s="78"/>
      <c r="C107" s="79"/>
      <c r="D107" s="80"/>
      <c r="E107" s="79"/>
      <c r="F107" s="88"/>
      <c r="G107" s="88"/>
      <c r="H107" s="80"/>
      <c r="I107" s="80"/>
      <c r="J107" s="79"/>
      <c r="K107" s="80"/>
      <c r="L107" s="80"/>
    </row>
    <row r="108" ht="18" customHeight="1" spans="1:12">
      <c r="A108" s="87" t="str">
        <f t="shared" si="1"/>
        <v/>
      </c>
      <c r="B108" s="78"/>
      <c r="C108" s="79"/>
      <c r="D108" s="80"/>
      <c r="E108" s="79"/>
      <c r="F108" s="88"/>
      <c r="G108" s="88"/>
      <c r="H108" s="80"/>
      <c r="I108" s="80"/>
      <c r="J108" s="79"/>
      <c r="K108" s="80"/>
      <c r="L108" s="80"/>
    </row>
    <row r="109" ht="18" customHeight="1" spans="1:12">
      <c r="A109" s="87" t="str">
        <f t="shared" si="1"/>
        <v/>
      </c>
      <c r="B109" s="78"/>
      <c r="C109" s="79"/>
      <c r="D109" s="80"/>
      <c r="E109" s="79"/>
      <c r="F109" s="88"/>
      <c r="G109" s="88"/>
      <c r="H109" s="80"/>
      <c r="I109" s="80"/>
      <c r="J109" s="79"/>
      <c r="K109" s="80"/>
      <c r="L109" s="80"/>
    </row>
    <row r="110" ht="18" customHeight="1" spans="1:12">
      <c r="A110" s="87" t="str">
        <f t="shared" si="1"/>
        <v/>
      </c>
      <c r="B110" s="78"/>
      <c r="C110" s="79"/>
      <c r="D110" s="80"/>
      <c r="E110" s="79"/>
      <c r="F110" s="88"/>
      <c r="G110" s="88"/>
      <c r="H110" s="80"/>
      <c r="I110" s="80"/>
      <c r="J110" s="79"/>
      <c r="K110" s="80"/>
      <c r="L110" s="80"/>
    </row>
    <row r="111" ht="18" customHeight="1" spans="1:12">
      <c r="A111" s="87" t="str">
        <f t="shared" si="1"/>
        <v/>
      </c>
      <c r="B111" s="78"/>
      <c r="C111" s="79"/>
      <c r="D111" s="80"/>
      <c r="E111" s="79"/>
      <c r="F111" s="88"/>
      <c r="G111" s="88"/>
      <c r="H111" s="80"/>
      <c r="I111" s="80"/>
      <c r="J111" s="79"/>
      <c r="K111" s="80"/>
      <c r="L111" s="80"/>
    </row>
    <row r="112" ht="18" customHeight="1" spans="1:12">
      <c r="A112" s="87" t="str">
        <f t="shared" si="1"/>
        <v/>
      </c>
      <c r="B112" s="78"/>
      <c r="C112" s="79"/>
      <c r="D112" s="80"/>
      <c r="E112" s="79"/>
      <c r="F112" s="88"/>
      <c r="G112" s="88"/>
      <c r="H112" s="80"/>
      <c r="I112" s="80"/>
      <c r="J112" s="79"/>
      <c r="K112" s="80"/>
      <c r="L112" s="80"/>
    </row>
    <row r="113" ht="18" customHeight="1" spans="1:12">
      <c r="A113" s="87" t="str">
        <f t="shared" si="1"/>
        <v/>
      </c>
      <c r="B113" s="78"/>
      <c r="C113" s="79"/>
      <c r="D113" s="80"/>
      <c r="E113" s="79"/>
      <c r="F113" s="88"/>
      <c r="G113" s="88"/>
      <c r="H113" s="80"/>
      <c r="I113" s="80"/>
      <c r="J113" s="79"/>
      <c r="K113" s="80"/>
      <c r="L113" s="80"/>
    </row>
    <row r="114" ht="18" customHeight="1" spans="1:12">
      <c r="A114" s="87" t="str">
        <f t="shared" si="1"/>
        <v/>
      </c>
      <c r="B114" s="78"/>
      <c r="C114" s="79"/>
      <c r="D114" s="80"/>
      <c r="E114" s="79"/>
      <c r="F114" s="88"/>
      <c r="G114" s="88"/>
      <c r="H114" s="80"/>
      <c r="I114" s="80"/>
      <c r="J114" s="79"/>
      <c r="K114" s="80"/>
      <c r="L114" s="80"/>
    </row>
    <row r="115" ht="18" customHeight="1" spans="1:12">
      <c r="A115" s="87" t="str">
        <f t="shared" si="1"/>
        <v/>
      </c>
      <c r="B115" s="78"/>
      <c r="C115" s="79"/>
      <c r="D115" s="80"/>
      <c r="E115" s="79"/>
      <c r="F115" s="88"/>
      <c r="G115" s="88"/>
      <c r="H115" s="80"/>
      <c r="I115" s="80"/>
      <c r="J115" s="79"/>
      <c r="K115" s="80"/>
      <c r="L115" s="80"/>
    </row>
    <row r="116" ht="18" customHeight="1" spans="1:12">
      <c r="A116" s="87" t="str">
        <f t="shared" si="1"/>
        <v/>
      </c>
      <c r="B116" s="78"/>
      <c r="C116" s="79"/>
      <c r="D116" s="80"/>
      <c r="E116" s="79"/>
      <c r="F116" s="88"/>
      <c r="G116" s="88"/>
      <c r="H116" s="80"/>
      <c r="I116" s="80"/>
      <c r="J116" s="79"/>
      <c r="K116" s="80"/>
      <c r="L116" s="80"/>
    </row>
    <row r="117" ht="18" customHeight="1" spans="1:12">
      <c r="A117" s="87" t="str">
        <f t="shared" si="1"/>
        <v/>
      </c>
      <c r="B117" s="78"/>
      <c r="C117" s="79"/>
      <c r="D117" s="80"/>
      <c r="E117" s="79"/>
      <c r="F117" s="88"/>
      <c r="G117" s="88"/>
      <c r="H117" s="80"/>
      <c r="I117" s="80"/>
      <c r="J117" s="79"/>
      <c r="K117" s="80"/>
      <c r="L117" s="80"/>
    </row>
    <row r="118" ht="18" customHeight="1" spans="1:12">
      <c r="A118" s="87" t="str">
        <f t="shared" si="1"/>
        <v/>
      </c>
      <c r="B118" s="78"/>
      <c r="C118" s="79"/>
      <c r="D118" s="80"/>
      <c r="E118" s="79"/>
      <c r="F118" s="88"/>
      <c r="G118" s="88"/>
      <c r="H118" s="80"/>
      <c r="I118" s="80"/>
      <c r="J118" s="79"/>
      <c r="K118" s="80"/>
      <c r="L118" s="80"/>
    </row>
    <row r="119" ht="18" customHeight="1" spans="1:12">
      <c r="A119" s="87" t="str">
        <f t="shared" si="1"/>
        <v/>
      </c>
      <c r="B119" s="78"/>
      <c r="C119" s="79"/>
      <c r="D119" s="80"/>
      <c r="E119" s="79"/>
      <c r="F119" s="88"/>
      <c r="G119" s="88"/>
      <c r="H119" s="80"/>
      <c r="I119" s="80"/>
      <c r="J119" s="79"/>
      <c r="K119" s="80"/>
      <c r="L119" s="80"/>
    </row>
    <row r="120" ht="18" customHeight="1" spans="1:12">
      <c r="A120" s="87" t="str">
        <f t="shared" si="1"/>
        <v/>
      </c>
      <c r="B120" s="78"/>
      <c r="C120" s="79"/>
      <c r="D120" s="80"/>
      <c r="E120" s="79"/>
      <c r="F120" s="88"/>
      <c r="G120" s="88"/>
      <c r="H120" s="80"/>
      <c r="I120" s="80"/>
      <c r="J120" s="79"/>
      <c r="K120" s="80"/>
      <c r="L120" s="80"/>
    </row>
    <row r="121" ht="18" customHeight="1" spans="1:12">
      <c r="A121" s="87" t="str">
        <f t="shared" si="1"/>
        <v/>
      </c>
      <c r="B121" s="78"/>
      <c r="C121" s="79"/>
      <c r="D121" s="80"/>
      <c r="E121" s="79"/>
      <c r="F121" s="88"/>
      <c r="G121" s="88"/>
      <c r="H121" s="80"/>
      <c r="I121" s="80"/>
      <c r="J121" s="79"/>
      <c r="K121" s="80"/>
      <c r="L121" s="80"/>
    </row>
    <row r="122" ht="18" customHeight="1" spans="1:12">
      <c r="A122" s="87" t="str">
        <f t="shared" si="1"/>
        <v/>
      </c>
      <c r="B122" s="78"/>
      <c r="C122" s="79"/>
      <c r="D122" s="80"/>
      <c r="E122" s="79"/>
      <c r="F122" s="88"/>
      <c r="G122" s="88"/>
      <c r="H122" s="80"/>
      <c r="I122" s="80"/>
      <c r="J122" s="79"/>
      <c r="K122" s="80"/>
      <c r="L122" s="80"/>
    </row>
    <row r="123" ht="18" customHeight="1" spans="1:12">
      <c r="A123" s="87" t="str">
        <f t="shared" si="1"/>
        <v/>
      </c>
      <c r="B123" s="78"/>
      <c r="C123" s="79"/>
      <c r="D123" s="80"/>
      <c r="E123" s="79"/>
      <c r="F123" s="88"/>
      <c r="G123" s="88"/>
      <c r="H123" s="80"/>
      <c r="I123" s="80"/>
      <c r="J123" s="79"/>
      <c r="K123" s="80"/>
      <c r="L123" s="80"/>
    </row>
    <row r="124" ht="18" customHeight="1" spans="1:12">
      <c r="A124" s="87" t="str">
        <f t="shared" si="1"/>
        <v/>
      </c>
      <c r="B124" s="78"/>
      <c r="C124" s="79"/>
      <c r="D124" s="80"/>
      <c r="E124" s="79"/>
      <c r="F124" s="88"/>
      <c r="G124" s="88"/>
      <c r="H124" s="80"/>
      <c r="I124" s="80"/>
      <c r="J124" s="79"/>
      <c r="K124" s="80"/>
      <c r="L124" s="80"/>
    </row>
    <row r="125" ht="18" customHeight="1" spans="1:12">
      <c r="A125" s="87" t="str">
        <f t="shared" si="1"/>
        <v/>
      </c>
      <c r="B125" s="78"/>
      <c r="C125" s="79"/>
      <c r="D125" s="80"/>
      <c r="E125" s="79"/>
      <c r="F125" s="88"/>
      <c r="G125" s="88"/>
      <c r="H125" s="80"/>
      <c r="I125" s="80"/>
      <c r="J125" s="79"/>
      <c r="K125" s="80"/>
      <c r="L125" s="80"/>
    </row>
    <row r="126" ht="18" customHeight="1" spans="1:12">
      <c r="A126" s="87" t="str">
        <f t="shared" si="1"/>
        <v/>
      </c>
      <c r="B126" s="78"/>
      <c r="C126" s="79"/>
      <c r="D126" s="80"/>
      <c r="E126" s="79"/>
      <c r="F126" s="88"/>
      <c r="G126" s="88"/>
      <c r="H126" s="80"/>
      <c r="I126" s="80"/>
      <c r="J126" s="79"/>
      <c r="K126" s="80"/>
      <c r="L126" s="80"/>
    </row>
    <row r="127" ht="18" customHeight="1" spans="1:12">
      <c r="A127" s="87" t="str">
        <f t="shared" si="1"/>
        <v/>
      </c>
      <c r="B127" s="78"/>
      <c r="C127" s="79"/>
      <c r="D127" s="80"/>
      <c r="E127" s="79"/>
      <c r="F127" s="88"/>
      <c r="G127" s="88"/>
      <c r="H127" s="80"/>
      <c r="I127" s="80"/>
      <c r="J127" s="79"/>
      <c r="K127" s="80"/>
      <c r="L127" s="80"/>
    </row>
    <row r="128" ht="18" customHeight="1" spans="1:12">
      <c r="A128" s="87" t="str">
        <f t="shared" si="1"/>
        <v/>
      </c>
      <c r="B128" s="78"/>
      <c r="C128" s="79"/>
      <c r="D128" s="80"/>
      <c r="E128" s="79"/>
      <c r="F128" s="88"/>
      <c r="G128" s="88"/>
      <c r="H128" s="80"/>
      <c r="I128" s="80"/>
      <c r="J128" s="79"/>
      <c r="K128" s="80"/>
      <c r="L128" s="80"/>
    </row>
    <row r="129" ht="18" customHeight="1" spans="1:12">
      <c r="A129" s="87" t="str">
        <f t="shared" si="1"/>
        <v/>
      </c>
      <c r="B129" s="78"/>
      <c r="C129" s="79"/>
      <c r="D129" s="80"/>
      <c r="E129" s="79"/>
      <c r="F129" s="88"/>
      <c r="G129" s="88"/>
      <c r="H129" s="80"/>
      <c r="I129" s="80"/>
      <c r="J129" s="79"/>
      <c r="K129" s="80"/>
      <c r="L129" s="80"/>
    </row>
    <row r="130" ht="18" customHeight="1" spans="1:12">
      <c r="A130" s="87" t="str">
        <f t="shared" si="1"/>
        <v/>
      </c>
      <c r="B130" s="78"/>
      <c r="C130" s="79"/>
      <c r="D130" s="80"/>
      <c r="E130" s="79"/>
      <c r="F130" s="88"/>
      <c r="G130" s="88"/>
      <c r="H130" s="80"/>
      <c r="I130" s="80"/>
      <c r="J130" s="79"/>
      <c r="K130" s="80"/>
      <c r="L130" s="80"/>
    </row>
    <row r="131" ht="18" customHeight="1" spans="1:12">
      <c r="A131" s="87" t="str">
        <f t="shared" si="1"/>
        <v/>
      </c>
      <c r="B131" s="78"/>
      <c r="C131" s="79"/>
      <c r="D131" s="80"/>
      <c r="E131" s="79"/>
      <c r="F131" s="88"/>
      <c r="G131" s="88"/>
      <c r="H131" s="80"/>
      <c r="I131" s="80"/>
      <c r="J131" s="79"/>
      <c r="K131" s="80"/>
      <c r="L131" s="80"/>
    </row>
    <row r="132" ht="18" customHeight="1" spans="1:12">
      <c r="A132" s="87" t="str">
        <f t="shared" ref="A132:A195" si="2">IF($C132="","",ROW()-3)</f>
        <v/>
      </c>
      <c r="B132" s="78"/>
      <c r="C132" s="79"/>
      <c r="D132" s="80"/>
      <c r="E132" s="79"/>
      <c r="F132" s="88"/>
      <c r="G132" s="88"/>
      <c r="H132" s="80"/>
      <c r="I132" s="80"/>
      <c r="J132" s="79"/>
      <c r="K132" s="80"/>
      <c r="L132" s="80"/>
    </row>
    <row r="133" ht="18" customHeight="1" spans="1:12">
      <c r="A133" s="87" t="str">
        <f t="shared" si="2"/>
        <v/>
      </c>
      <c r="B133" s="78"/>
      <c r="C133" s="79"/>
      <c r="D133" s="80"/>
      <c r="E133" s="79"/>
      <c r="F133" s="88"/>
      <c r="G133" s="88"/>
      <c r="H133" s="80"/>
      <c r="I133" s="80"/>
      <c r="J133" s="79"/>
      <c r="K133" s="80"/>
      <c r="L133" s="80"/>
    </row>
    <row r="134" ht="18" customHeight="1" spans="1:12">
      <c r="A134" s="87" t="str">
        <f t="shared" si="2"/>
        <v/>
      </c>
      <c r="B134" s="78"/>
      <c r="C134" s="79"/>
      <c r="D134" s="80"/>
      <c r="E134" s="79"/>
      <c r="F134" s="88"/>
      <c r="G134" s="88"/>
      <c r="H134" s="80"/>
      <c r="I134" s="80"/>
      <c r="J134" s="79"/>
      <c r="K134" s="80"/>
      <c r="L134" s="80"/>
    </row>
    <row r="135" ht="18" customHeight="1" spans="1:12">
      <c r="A135" s="87" t="str">
        <f t="shared" si="2"/>
        <v/>
      </c>
      <c r="B135" s="78"/>
      <c r="C135" s="79"/>
      <c r="D135" s="80"/>
      <c r="E135" s="79"/>
      <c r="F135" s="88"/>
      <c r="G135" s="88"/>
      <c r="H135" s="80"/>
      <c r="I135" s="80"/>
      <c r="J135" s="79"/>
      <c r="K135" s="80"/>
      <c r="L135" s="80"/>
    </row>
    <row r="136" ht="18" customHeight="1" spans="1:12">
      <c r="A136" s="87" t="str">
        <f t="shared" si="2"/>
        <v/>
      </c>
      <c r="B136" s="78"/>
      <c r="C136" s="79"/>
      <c r="D136" s="80"/>
      <c r="E136" s="79"/>
      <c r="F136" s="88"/>
      <c r="G136" s="88"/>
      <c r="H136" s="80"/>
      <c r="I136" s="80"/>
      <c r="J136" s="79"/>
      <c r="K136" s="80"/>
      <c r="L136" s="80"/>
    </row>
    <row r="137" ht="18" customHeight="1" spans="1:12">
      <c r="A137" s="87" t="str">
        <f t="shared" si="2"/>
        <v/>
      </c>
      <c r="B137" s="78"/>
      <c r="C137" s="79"/>
      <c r="D137" s="80"/>
      <c r="E137" s="79"/>
      <c r="F137" s="88"/>
      <c r="G137" s="88"/>
      <c r="H137" s="80"/>
      <c r="I137" s="80"/>
      <c r="J137" s="79"/>
      <c r="K137" s="80"/>
      <c r="L137" s="80"/>
    </row>
    <row r="138" ht="18" customHeight="1" spans="1:12">
      <c r="A138" s="87" t="str">
        <f t="shared" si="2"/>
        <v/>
      </c>
      <c r="B138" s="78"/>
      <c r="C138" s="79"/>
      <c r="D138" s="80"/>
      <c r="E138" s="79"/>
      <c r="F138" s="88"/>
      <c r="G138" s="88"/>
      <c r="H138" s="80"/>
      <c r="I138" s="80"/>
      <c r="J138" s="79"/>
      <c r="K138" s="80"/>
      <c r="L138" s="80"/>
    </row>
    <row r="139" ht="18" customHeight="1" spans="1:12">
      <c r="A139" s="87" t="str">
        <f t="shared" si="2"/>
        <v/>
      </c>
      <c r="B139" s="78"/>
      <c r="C139" s="79"/>
      <c r="D139" s="80"/>
      <c r="E139" s="79"/>
      <c r="F139" s="88"/>
      <c r="G139" s="88"/>
      <c r="H139" s="80"/>
      <c r="I139" s="80"/>
      <c r="J139" s="79"/>
      <c r="K139" s="80"/>
      <c r="L139" s="80"/>
    </row>
    <row r="140" ht="18" customHeight="1" spans="1:12">
      <c r="A140" s="87" t="str">
        <f t="shared" si="2"/>
        <v/>
      </c>
      <c r="B140" s="78"/>
      <c r="C140" s="79"/>
      <c r="D140" s="80"/>
      <c r="E140" s="79"/>
      <c r="F140" s="88"/>
      <c r="G140" s="88"/>
      <c r="H140" s="80"/>
      <c r="I140" s="80"/>
      <c r="J140" s="79"/>
      <c r="K140" s="80"/>
      <c r="L140" s="80"/>
    </row>
    <row r="141" ht="18" customHeight="1" spans="1:12">
      <c r="A141" s="87" t="str">
        <f t="shared" si="2"/>
        <v/>
      </c>
      <c r="B141" s="78"/>
      <c r="C141" s="79"/>
      <c r="D141" s="80"/>
      <c r="E141" s="79"/>
      <c r="F141" s="88"/>
      <c r="G141" s="88"/>
      <c r="H141" s="80"/>
      <c r="I141" s="80"/>
      <c r="J141" s="79"/>
      <c r="K141" s="80"/>
      <c r="L141" s="80"/>
    </row>
    <row r="142" ht="18" customHeight="1" spans="1:12">
      <c r="A142" s="87" t="str">
        <f t="shared" si="2"/>
        <v/>
      </c>
      <c r="B142" s="78"/>
      <c r="C142" s="79"/>
      <c r="D142" s="80"/>
      <c r="E142" s="79"/>
      <c r="F142" s="88"/>
      <c r="G142" s="88"/>
      <c r="H142" s="80"/>
      <c r="I142" s="80"/>
      <c r="J142" s="79"/>
      <c r="K142" s="80"/>
      <c r="L142" s="80"/>
    </row>
    <row r="143" ht="18" customHeight="1" spans="1:12">
      <c r="A143" s="87" t="str">
        <f t="shared" si="2"/>
        <v/>
      </c>
      <c r="B143" s="78"/>
      <c r="C143" s="79"/>
      <c r="D143" s="80"/>
      <c r="E143" s="79"/>
      <c r="F143" s="88"/>
      <c r="G143" s="88"/>
      <c r="H143" s="80"/>
      <c r="I143" s="80"/>
      <c r="J143" s="79"/>
      <c r="K143" s="80"/>
      <c r="L143" s="80"/>
    </row>
    <row r="144" ht="18" customHeight="1" spans="1:12">
      <c r="A144" s="87" t="str">
        <f t="shared" si="2"/>
        <v/>
      </c>
      <c r="B144" s="78"/>
      <c r="C144" s="79"/>
      <c r="D144" s="80"/>
      <c r="E144" s="79"/>
      <c r="F144" s="88"/>
      <c r="G144" s="88"/>
      <c r="H144" s="80"/>
      <c r="I144" s="80"/>
      <c r="J144" s="79"/>
      <c r="K144" s="80"/>
      <c r="L144" s="80"/>
    </row>
    <row r="145" ht="18" customHeight="1" spans="1:12">
      <c r="A145" s="87" t="str">
        <f t="shared" si="2"/>
        <v/>
      </c>
      <c r="B145" s="78"/>
      <c r="C145" s="79"/>
      <c r="D145" s="80"/>
      <c r="E145" s="79"/>
      <c r="F145" s="88"/>
      <c r="G145" s="88"/>
      <c r="H145" s="80"/>
      <c r="I145" s="80"/>
      <c r="J145" s="79"/>
      <c r="K145" s="80"/>
      <c r="L145" s="80"/>
    </row>
    <row r="146" ht="18" customHeight="1" spans="1:12">
      <c r="A146" s="87" t="str">
        <f t="shared" si="2"/>
        <v/>
      </c>
      <c r="B146" s="78"/>
      <c r="C146" s="79"/>
      <c r="D146" s="80"/>
      <c r="E146" s="79"/>
      <c r="F146" s="88"/>
      <c r="G146" s="88"/>
      <c r="H146" s="80"/>
      <c r="I146" s="80"/>
      <c r="J146" s="79"/>
      <c r="K146" s="80"/>
      <c r="L146" s="80"/>
    </row>
    <row r="147" ht="18" customHeight="1" spans="1:12">
      <c r="A147" s="87" t="str">
        <f t="shared" si="2"/>
        <v/>
      </c>
      <c r="B147" s="78"/>
      <c r="C147" s="79"/>
      <c r="D147" s="80"/>
      <c r="E147" s="79"/>
      <c r="F147" s="88"/>
      <c r="G147" s="88"/>
      <c r="H147" s="80"/>
      <c r="I147" s="80"/>
      <c r="J147" s="79"/>
      <c r="K147" s="80"/>
      <c r="L147" s="80"/>
    </row>
    <row r="148" ht="18" customHeight="1" spans="1:12">
      <c r="A148" s="87" t="str">
        <f t="shared" si="2"/>
        <v/>
      </c>
      <c r="B148" s="78"/>
      <c r="C148" s="79"/>
      <c r="D148" s="80"/>
      <c r="E148" s="79"/>
      <c r="F148" s="88"/>
      <c r="G148" s="88"/>
      <c r="H148" s="80"/>
      <c r="I148" s="80"/>
      <c r="J148" s="79"/>
      <c r="K148" s="80"/>
      <c r="L148" s="80"/>
    </row>
    <row r="149" ht="18" customHeight="1" spans="1:12">
      <c r="A149" s="87" t="str">
        <f t="shared" si="2"/>
        <v/>
      </c>
      <c r="B149" s="78"/>
      <c r="C149" s="79"/>
      <c r="D149" s="80"/>
      <c r="E149" s="79"/>
      <c r="F149" s="88"/>
      <c r="G149" s="88"/>
      <c r="H149" s="80"/>
      <c r="I149" s="80"/>
      <c r="J149" s="79"/>
      <c r="K149" s="80"/>
      <c r="L149" s="80"/>
    </row>
    <row r="150" ht="18" customHeight="1" spans="1:12">
      <c r="A150" s="87" t="str">
        <f t="shared" si="2"/>
        <v/>
      </c>
      <c r="B150" s="78"/>
      <c r="C150" s="79"/>
      <c r="D150" s="80"/>
      <c r="E150" s="79"/>
      <c r="F150" s="88"/>
      <c r="G150" s="88"/>
      <c r="H150" s="80"/>
      <c r="I150" s="80"/>
      <c r="J150" s="79"/>
      <c r="K150" s="80"/>
      <c r="L150" s="80"/>
    </row>
    <row r="151" ht="18" customHeight="1" spans="1:12">
      <c r="A151" s="87" t="str">
        <f t="shared" si="2"/>
        <v/>
      </c>
      <c r="B151" s="78"/>
      <c r="C151" s="79"/>
      <c r="D151" s="80"/>
      <c r="E151" s="79"/>
      <c r="F151" s="88"/>
      <c r="G151" s="88"/>
      <c r="H151" s="80"/>
      <c r="I151" s="80"/>
      <c r="J151" s="79"/>
      <c r="K151" s="80"/>
      <c r="L151" s="80"/>
    </row>
    <row r="152" ht="18" customHeight="1" spans="1:12">
      <c r="A152" s="87" t="str">
        <f t="shared" si="2"/>
        <v/>
      </c>
      <c r="B152" s="78"/>
      <c r="C152" s="79"/>
      <c r="D152" s="80"/>
      <c r="E152" s="79"/>
      <c r="F152" s="88"/>
      <c r="G152" s="88"/>
      <c r="H152" s="80"/>
      <c r="I152" s="80"/>
      <c r="J152" s="79"/>
      <c r="K152" s="80"/>
      <c r="L152" s="80"/>
    </row>
    <row r="153" ht="18" customHeight="1" spans="1:12">
      <c r="A153" s="87" t="str">
        <f t="shared" si="2"/>
        <v/>
      </c>
      <c r="B153" s="78"/>
      <c r="C153" s="79"/>
      <c r="D153" s="80"/>
      <c r="E153" s="79"/>
      <c r="F153" s="88"/>
      <c r="G153" s="88"/>
      <c r="H153" s="80"/>
      <c r="I153" s="80"/>
      <c r="J153" s="79"/>
      <c r="K153" s="80"/>
      <c r="L153" s="80"/>
    </row>
    <row r="154" ht="18" customHeight="1" spans="1:12">
      <c r="A154" s="87" t="str">
        <f t="shared" si="2"/>
        <v/>
      </c>
      <c r="B154" s="78"/>
      <c r="C154" s="79"/>
      <c r="D154" s="80"/>
      <c r="E154" s="79"/>
      <c r="F154" s="88"/>
      <c r="G154" s="88"/>
      <c r="H154" s="80"/>
      <c r="I154" s="80"/>
      <c r="J154" s="79"/>
      <c r="K154" s="80"/>
      <c r="L154" s="80"/>
    </row>
    <row r="155" ht="18" customHeight="1" spans="1:12">
      <c r="A155" s="87" t="str">
        <f t="shared" si="2"/>
        <v/>
      </c>
      <c r="B155" s="78"/>
      <c r="C155" s="79"/>
      <c r="D155" s="80"/>
      <c r="E155" s="79"/>
      <c r="F155" s="88"/>
      <c r="G155" s="88"/>
      <c r="H155" s="80"/>
      <c r="I155" s="80"/>
      <c r="J155" s="79"/>
      <c r="K155" s="80"/>
      <c r="L155" s="80"/>
    </row>
    <row r="156" ht="18" customHeight="1" spans="1:12">
      <c r="A156" s="87" t="str">
        <f t="shared" si="2"/>
        <v/>
      </c>
      <c r="B156" s="78"/>
      <c r="C156" s="79"/>
      <c r="D156" s="80"/>
      <c r="E156" s="79"/>
      <c r="F156" s="88"/>
      <c r="G156" s="88"/>
      <c r="H156" s="80"/>
      <c r="I156" s="80"/>
      <c r="J156" s="79"/>
      <c r="K156" s="80"/>
      <c r="L156" s="80"/>
    </row>
    <row r="157" ht="18" customHeight="1" spans="1:12">
      <c r="A157" s="87" t="str">
        <f t="shared" si="2"/>
        <v/>
      </c>
      <c r="B157" s="78"/>
      <c r="C157" s="79"/>
      <c r="D157" s="80"/>
      <c r="E157" s="79"/>
      <c r="F157" s="88"/>
      <c r="G157" s="88"/>
      <c r="H157" s="80"/>
      <c r="I157" s="80"/>
      <c r="J157" s="79"/>
      <c r="K157" s="80"/>
      <c r="L157" s="80"/>
    </row>
    <row r="158" ht="18" customHeight="1" spans="1:12">
      <c r="A158" s="87" t="str">
        <f t="shared" si="2"/>
        <v/>
      </c>
      <c r="B158" s="78"/>
      <c r="C158" s="79"/>
      <c r="D158" s="80"/>
      <c r="E158" s="79"/>
      <c r="F158" s="88"/>
      <c r="G158" s="88"/>
      <c r="H158" s="80"/>
      <c r="I158" s="80"/>
      <c r="J158" s="79"/>
      <c r="K158" s="80"/>
      <c r="L158" s="80"/>
    </row>
    <row r="159" ht="18" customHeight="1" spans="1:12">
      <c r="A159" s="87" t="str">
        <f t="shared" si="2"/>
        <v/>
      </c>
      <c r="B159" s="78"/>
      <c r="C159" s="79"/>
      <c r="D159" s="80"/>
      <c r="E159" s="79"/>
      <c r="F159" s="88"/>
      <c r="G159" s="88"/>
      <c r="H159" s="80"/>
      <c r="I159" s="80"/>
      <c r="J159" s="79"/>
      <c r="K159" s="80"/>
      <c r="L159" s="80"/>
    </row>
    <row r="160" ht="18" customHeight="1" spans="1:12">
      <c r="A160" s="87" t="str">
        <f t="shared" si="2"/>
        <v/>
      </c>
      <c r="B160" s="78"/>
      <c r="C160" s="79"/>
      <c r="D160" s="80"/>
      <c r="E160" s="79"/>
      <c r="F160" s="88"/>
      <c r="G160" s="88"/>
      <c r="H160" s="80"/>
      <c r="I160" s="80"/>
      <c r="J160" s="79"/>
      <c r="K160" s="80"/>
      <c r="L160" s="80"/>
    </row>
    <row r="161" ht="18" customHeight="1" spans="1:12">
      <c r="A161" s="87" t="str">
        <f t="shared" si="2"/>
        <v/>
      </c>
      <c r="B161" s="78"/>
      <c r="C161" s="79"/>
      <c r="D161" s="80"/>
      <c r="E161" s="79"/>
      <c r="F161" s="88"/>
      <c r="G161" s="88"/>
      <c r="H161" s="80"/>
      <c r="I161" s="80"/>
      <c r="J161" s="79"/>
      <c r="K161" s="80"/>
      <c r="L161" s="80"/>
    </row>
    <row r="162" ht="18" customHeight="1" spans="1:12">
      <c r="A162" s="87" t="str">
        <f t="shared" si="2"/>
        <v/>
      </c>
      <c r="B162" s="78"/>
      <c r="C162" s="79"/>
      <c r="D162" s="80"/>
      <c r="E162" s="79"/>
      <c r="F162" s="88"/>
      <c r="G162" s="88"/>
      <c r="H162" s="80"/>
      <c r="I162" s="80"/>
      <c r="J162" s="79"/>
      <c r="K162" s="80"/>
      <c r="L162" s="80"/>
    </row>
    <row r="163" ht="18" customHeight="1" spans="1:12">
      <c r="A163" s="87" t="str">
        <f t="shared" si="2"/>
        <v/>
      </c>
      <c r="B163" s="78"/>
      <c r="C163" s="79"/>
      <c r="D163" s="80"/>
      <c r="E163" s="79"/>
      <c r="F163" s="88"/>
      <c r="G163" s="88"/>
      <c r="H163" s="80"/>
      <c r="I163" s="80"/>
      <c r="J163" s="79"/>
      <c r="K163" s="80"/>
      <c r="L163" s="80"/>
    </row>
    <row r="164" ht="18" customHeight="1" spans="1:12">
      <c r="A164" s="87" t="str">
        <f t="shared" si="2"/>
        <v/>
      </c>
      <c r="B164" s="78"/>
      <c r="C164" s="79"/>
      <c r="D164" s="80"/>
      <c r="E164" s="79"/>
      <c r="F164" s="88"/>
      <c r="G164" s="88"/>
      <c r="H164" s="80"/>
      <c r="I164" s="80"/>
      <c r="J164" s="79"/>
      <c r="K164" s="80"/>
      <c r="L164" s="80"/>
    </row>
    <row r="165" ht="18" customHeight="1" spans="1:12">
      <c r="A165" s="87" t="str">
        <f t="shared" si="2"/>
        <v/>
      </c>
      <c r="B165" s="78"/>
      <c r="C165" s="79"/>
      <c r="D165" s="80"/>
      <c r="E165" s="79"/>
      <c r="F165" s="88"/>
      <c r="G165" s="88"/>
      <c r="H165" s="80"/>
      <c r="I165" s="80"/>
      <c r="J165" s="79"/>
      <c r="K165" s="80"/>
      <c r="L165" s="80"/>
    </row>
    <row r="166" ht="18" customHeight="1" spans="1:12">
      <c r="A166" s="87" t="str">
        <f t="shared" si="2"/>
        <v/>
      </c>
      <c r="B166" s="78"/>
      <c r="C166" s="79"/>
      <c r="D166" s="80"/>
      <c r="E166" s="79"/>
      <c r="F166" s="88"/>
      <c r="G166" s="88"/>
      <c r="H166" s="80"/>
      <c r="I166" s="80"/>
      <c r="J166" s="79"/>
      <c r="K166" s="80"/>
      <c r="L166" s="80"/>
    </row>
    <row r="167" ht="18" customHeight="1" spans="1:12">
      <c r="A167" s="87" t="str">
        <f t="shared" si="2"/>
        <v/>
      </c>
      <c r="B167" s="78"/>
      <c r="C167" s="79"/>
      <c r="D167" s="80"/>
      <c r="E167" s="79"/>
      <c r="F167" s="88"/>
      <c r="G167" s="88"/>
      <c r="H167" s="80"/>
      <c r="I167" s="80"/>
      <c r="J167" s="79"/>
      <c r="K167" s="80"/>
      <c r="L167" s="80"/>
    </row>
    <row r="168" ht="18" customHeight="1" spans="1:12">
      <c r="A168" s="87" t="str">
        <f t="shared" si="2"/>
        <v/>
      </c>
      <c r="B168" s="78"/>
      <c r="C168" s="79"/>
      <c r="D168" s="80"/>
      <c r="E168" s="79"/>
      <c r="F168" s="88"/>
      <c r="G168" s="88"/>
      <c r="H168" s="80"/>
      <c r="I168" s="80"/>
      <c r="J168" s="79"/>
      <c r="K168" s="80"/>
      <c r="L168" s="80"/>
    </row>
    <row r="169" ht="18" customHeight="1" spans="1:12">
      <c r="A169" s="87" t="str">
        <f t="shared" si="2"/>
        <v/>
      </c>
      <c r="B169" s="78"/>
      <c r="C169" s="79"/>
      <c r="D169" s="80"/>
      <c r="E169" s="79"/>
      <c r="F169" s="88"/>
      <c r="G169" s="88"/>
      <c r="H169" s="80"/>
      <c r="I169" s="80"/>
      <c r="J169" s="79"/>
      <c r="K169" s="80"/>
      <c r="L169" s="80"/>
    </row>
    <row r="170" ht="18" customHeight="1" spans="1:12">
      <c r="A170" s="87" t="str">
        <f t="shared" si="2"/>
        <v/>
      </c>
      <c r="B170" s="78"/>
      <c r="C170" s="79"/>
      <c r="D170" s="80"/>
      <c r="E170" s="79"/>
      <c r="F170" s="88"/>
      <c r="G170" s="88"/>
      <c r="H170" s="80"/>
      <c r="I170" s="80"/>
      <c r="J170" s="79"/>
      <c r="K170" s="80"/>
      <c r="L170" s="80"/>
    </row>
    <row r="171" ht="18" customHeight="1" spans="1:12">
      <c r="A171" s="87" t="str">
        <f t="shared" si="2"/>
        <v/>
      </c>
      <c r="B171" s="78"/>
      <c r="C171" s="79"/>
      <c r="D171" s="80"/>
      <c r="E171" s="79"/>
      <c r="F171" s="88"/>
      <c r="G171" s="88"/>
      <c r="H171" s="80"/>
      <c r="I171" s="80"/>
      <c r="J171" s="79"/>
      <c r="K171" s="80"/>
      <c r="L171" s="80"/>
    </row>
    <row r="172" ht="18" customHeight="1" spans="1:12">
      <c r="A172" s="87" t="str">
        <f t="shared" si="2"/>
        <v/>
      </c>
      <c r="B172" s="78"/>
      <c r="C172" s="79"/>
      <c r="D172" s="80"/>
      <c r="E172" s="79"/>
      <c r="F172" s="88"/>
      <c r="G172" s="88"/>
      <c r="H172" s="80"/>
      <c r="I172" s="80"/>
      <c r="J172" s="79"/>
      <c r="K172" s="80"/>
      <c r="L172" s="80"/>
    </row>
    <row r="173" ht="18" customHeight="1" spans="1:12">
      <c r="A173" s="87" t="str">
        <f t="shared" si="2"/>
        <v/>
      </c>
      <c r="B173" s="78"/>
      <c r="C173" s="79"/>
      <c r="D173" s="80"/>
      <c r="E173" s="79"/>
      <c r="F173" s="88"/>
      <c r="G173" s="88"/>
      <c r="H173" s="80"/>
      <c r="I173" s="80"/>
      <c r="J173" s="79"/>
      <c r="K173" s="80"/>
      <c r="L173" s="80"/>
    </row>
    <row r="174" ht="18" customHeight="1" spans="1:12">
      <c r="A174" s="87" t="str">
        <f t="shared" si="2"/>
        <v/>
      </c>
      <c r="B174" s="78"/>
      <c r="C174" s="79"/>
      <c r="D174" s="80"/>
      <c r="E174" s="79"/>
      <c r="F174" s="88"/>
      <c r="G174" s="88"/>
      <c r="H174" s="80"/>
      <c r="I174" s="80"/>
      <c r="J174" s="79"/>
      <c r="K174" s="80"/>
      <c r="L174" s="80"/>
    </row>
    <row r="175" ht="18" customHeight="1" spans="1:12">
      <c r="A175" s="87" t="str">
        <f t="shared" si="2"/>
        <v/>
      </c>
      <c r="B175" s="78"/>
      <c r="C175" s="79"/>
      <c r="D175" s="80"/>
      <c r="E175" s="79"/>
      <c r="F175" s="88"/>
      <c r="G175" s="88"/>
      <c r="H175" s="80"/>
      <c r="I175" s="80"/>
      <c r="J175" s="79"/>
      <c r="K175" s="80"/>
      <c r="L175" s="80"/>
    </row>
    <row r="176" ht="18" customHeight="1" spans="1:12">
      <c r="A176" s="87" t="str">
        <f t="shared" si="2"/>
        <v/>
      </c>
      <c r="B176" s="78"/>
      <c r="C176" s="79"/>
      <c r="D176" s="80"/>
      <c r="E176" s="79"/>
      <c r="F176" s="88"/>
      <c r="G176" s="88"/>
      <c r="H176" s="80"/>
      <c r="I176" s="80"/>
      <c r="J176" s="79"/>
      <c r="K176" s="80"/>
      <c r="L176" s="80"/>
    </row>
    <row r="177" ht="18" customHeight="1" spans="1:12">
      <c r="A177" s="87" t="str">
        <f t="shared" si="2"/>
        <v/>
      </c>
      <c r="B177" s="78"/>
      <c r="C177" s="79"/>
      <c r="D177" s="80"/>
      <c r="E177" s="79"/>
      <c r="F177" s="88"/>
      <c r="G177" s="88"/>
      <c r="H177" s="80"/>
      <c r="I177" s="80"/>
      <c r="J177" s="79"/>
      <c r="K177" s="80"/>
      <c r="L177" s="80"/>
    </row>
    <row r="178" ht="18" customHeight="1" spans="1:12">
      <c r="A178" s="87" t="str">
        <f t="shared" si="2"/>
        <v/>
      </c>
      <c r="B178" s="78"/>
      <c r="C178" s="79"/>
      <c r="D178" s="80"/>
      <c r="E178" s="79"/>
      <c r="F178" s="88"/>
      <c r="G178" s="88"/>
      <c r="H178" s="80"/>
      <c r="I178" s="80"/>
      <c r="J178" s="79"/>
      <c r="K178" s="80"/>
      <c r="L178" s="80"/>
    </row>
    <row r="179" ht="18" customHeight="1" spans="1:12">
      <c r="A179" s="87" t="str">
        <f t="shared" si="2"/>
        <v/>
      </c>
      <c r="B179" s="78"/>
      <c r="C179" s="79"/>
      <c r="D179" s="80"/>
      <c r="E179" s="79"/>
      <c r="F179" s="88"/>
      <c r="G179" s="88"/>
      <c r="H179" s="80"/>
      <c r="I179" s="80"/>
      <c r="J179" s="79"/>
      <c r="K179" s="80"/>
      <c r="L179" s="80"/>
    </row>
    <row r="180" ht="18" customHeight="1" spans="1:12">
      <c r="A180" s="87" t="str">
        <f t="shared" si="2"/>
        <v/>
      </c>
      <c r="B180" s="78"/>
      <c r="C180" s="79"/>
      <c r="D180" s="80"/>
      <c r="E180" s="79"/>
      <c r="F180" s="88"/>
      <c r="G180" s="88"/>
      <c r="H180" s="80"/>
      <c r="I180" s="80"/>
      <c r="J180" s="79"/>
      <c r="K180" s="80"/>
      <c r="L180" s="80"/>
    </row>
    <row r="181" ht="18" customHeight="1" spans="1:12">
      <c r="A181" s="87" t="str">
        <f t="shared" si="2"/>
        <v/>
      </c>
      <c r="B181" s="78"/>
      <c r="C181" s="79"/>
      <c r="D181" s="80"/>
      <c r="E181" s="79"/>
      <c r="F181" s="88"/>
      <c r="G181" s="88"/>
      <c r="H181" s="80"/>
      <c r="I181" s="80"/>
      <c r="J181" s="79"/>
      <c r="K181" s="80"/>
      <c r="L181" s="80"/>
    </row>
    <row r="182" ht="18" customHeight="1" spans="1:12">
      <c r="A182" s="87" t="str">
        <f t="shared" si="2"/>
        <v/>
      </c>
      <c r="B182" s="78"/>
      <c r="C182" s="79"/>
      <c r="D182" s="80"/>
      <c r="E182" s="79"/>
      <c r="F182" s="88"/>
      <c r="G182" s="88"/>
      <c r="H182" s="80"/>
      <c r="I182" s="80"/>
      <c r="J182" s="79"/>
      <c r="K182" s="80"/>
      <c r="L182" s="80"/>
    </row>
    <row r="183" ht="18" customHeight="1" spans="1:12">
      <c r="A183" s="87" t="str">
        <f t="shared" si="2"/>
        <v/>
      </c>
      <c r="B183" s="78"/>
      <c r="C183" s="79"/>
      <c r="D183" s="80"/>
      <c r="E183" s="79"/>
      <c r="F183" s="88"/>
      <c r="G183" s="88"/>
      <c r="H183" s="80"/>
      <c r="I183" s="80"/>
      <c r="J183" s="79"/>
      <c r="K183" s="80"/>
      <c r="L183" s="80"/>
    </row>
    <row r="184" ht="18" customHeight="1" spans="1:12">
      <c r="A184" s="87" t="str">
        <f t="shared" si="2"/>
        <v/>
      </c>
      <c r="B184" s="78"/>
      <c r="C184" s="79"/>
      <c r="D184" s="80"/>
      <c r="E184" s="79"/>
      <c r="F184" s="88"/>
      <c r="G184" s="88"/>
      <c r="H184" s="80"/>
      <c r="I184" s="80"/>
      <c r="J184" s="79"/>
      <c r="K184" s="80"/>
      <c r="L184" s="80"/>
    </row>
    <row r="185" ht="18" customHeight="1" spans="1:12">
      <c r="A185" s="87" t="str">
        <f t="shared" si="2"/>
        <v/>
      </c>
      <c r="B185" s="78"/>
      <c r="C185" s="79"/>
      <c r="D185" s="80"/>
      <c r="E185" s="79"/>
      <c r="F185" s="88"/>
      <c r="G185" s="88"/>
      <c r="H185" s="80"/>
      <c r="I185" s="80"/>
      <c r="J185" s="79"/>
      <c r="K185" s="80"/>
      <c r="L185" s="80"/>
    </row>
    <row r="186" ht="18" customHeight="1" spans="1:12">
      <c r="A186" s="87" t="str">
        <f t="shared" si="2"/>
        <v/>
      </c>
      <c r="B186" s="78"/>
      <c r="C186" s="79"/>
      <c r="D186" s="80"/>
      <c r="E186" s="79"/>
      <c r="F186" s="88"/>
      <c r="G186" s="88"/>
      <c r="H186" s="80"/>
      <c r="I186" s="80"/>
      <c r="J186" s="79"/>
      <c r="K186" s="80"/>
      <c r="L186" s="80"/>
    </row>
    <row r="187" ht="18" customHeight="1" spans="1:12">
      <c r="A187" s="87" t="str">
        <f t="shared" si="2"/>
        <v/>
      </c>
      <c r="B187" s="78"/>
      <c r="C187" s="79"/>
      <c r="D187" s="80"/>
      <c r="E187" s="79"/>
      <c r="F187" s="88"/>
      <c r="G187" s="88"/>
      <c r="H187" s="80"/>
      <c r="I187" s="80"/>
      <c r="J187" s="79"/>
      <c r="K187" s="80"/>
      <c r="L187" s="80"/>
    </row>
    <row r="188" ht="18" customHeight="1" spans="1:12">
      <c r="A188" s="87" t="str">
        <f t="shared" si="2"/>
        <v/>
      </c>
      <c r="B188" s="78"/>
      <c r="C188" s="79"/>
      <c r="D188" s="80"/>
      <c r="E188" s="79"/>
      <c r="F188" s="88"/>
      <c r="G188" s="88"/>
      <c r="H188" s="80"/>
      <c r="I188" s="80"/>
      <c r="J188" s="79"/>
      <c r="K188" s="80"/>
      <c r="L188" s="80"/>
    </row>
    <row r="189" ht="18" customHeight="1" spans="1:12">
      <c r="A189" s="87" t="str">
        <f t="shared" si="2"/>
        <v/>
      </c>
      <c r="B189" s="78"/>
      <c r="C189" s="79"/>
      <c r="D189" s="80"/>
      <c r="E189" s="79"/>
      <c r="F189" s="88"/>
      <c r="G189" s="88"/>
      <c r="H189" s="80"/>
      <c r="I189" s="80"/>
      <c r="J189" s="79"/>
      <c r="K189" s="80"/>
      <c r="L189" s="80"/>
    </row>
    <row r="190" ht="18" customHeight="1" spans="1:12">
      <c r="A190" s="87" t="str">
        <f t="shared" si="2"/>
        <v/>
      </c>
      <c r="B190" s="78"/>
      <c r="C190" s="79"/>
      <c r="D190" s="80"/>
      <c r="E190" s="79"/>
      <c r="F190" s="88"/>
      <c r="G190" s="88"/>
      <c r="H190" s="80"/>
      <c r="I190" s="80"/>
      <c r="J190" s="79"/>
      <c r="K190" s="80"/>
      <c r="L190" s="80"/>
    </row>
    <row r="191" ht="18" customHeight="1" spans="1:12">
      <c r="A191" s="87" t="str">
        <f t="shared" si="2"/>
        <v/>
      </c>
      <c r="B191" s="78"/>
      <c r="C191" s="79"/>
      <c r="D191" s="80"/>
      <c r="E191" s="79"/>
      <c r="F191" s="88"/>
      <c r="G191" s="88"/>
      <c r="H191" s="80"/>
      <c r="I191" s="80"/>
      <c r="J191" s="79"/>
      <c r="K191" s="80"/>
      <c r="L191" s="80"/>
    </row>
    <row r="192" ht="18" customHeight="1" spans="1:12">
      <c r="A192" s="87" t="str">
        <f t="shared" si="2"/>
        <v/>
      </c>
      <c r="B192" s="78"/>
      <c r="C192" s="79"/>
      <c r="D192" s="80"/>
      <c r="E192" s="79"/>
      <c r="F192" s="88"/>
      <c r="G192" s="88"/>
      <c r="H192" s="80"/>
      <c r="I192" s="80"/>
      <c r="J192" s="79"/>
      <c r="K192" s="80"/>
      <c r="L192" s="80"/>
    </row>
    <row r="193" ht="18" customHeight="1" spans="1:12">
      <c r="A193" s="87" t="str">
        <f t="shared" si="2"/>
        <v/>
      </c>
      <c r="B193" s="78"/>
      <c r="C193" s="79"/>
      <c r="D193" s="80"/>
      <c r="E193" s="79"/>
      <c r="F193" s="88"/>
      <c r="G193" s="88"/>
      <c r="H193" s="80"/>
      <c r="I193" s="80"/>
      <c r="J193" s="79"/>
      <c r="K193" s="80"/>
      <c r="L193" s="80"/>
    </row>
    <row r="194" ht="18" customHeight="1" spans="1:12">
      <c r="A194" s="87" t="str">
        <f t="shared" si="2"/>
        <v/>
      </c>
      <c r="B194" s="78"/>
      <c r="C194" s="79"/>
      <c r="D194" s="80"/>
      <c r="E194" s="79"/>
      <c r="F194" s="88"/>
      <c r="G194" s="88"/>
      <c r="H194" s="80"/>
      <c r="I194" s="80"/>
      <c r="J194" s="79"/>
      <c r="K194" s="80"/>
      <c r="L194" s="80"/>
    </row>
    <row r="195" ht="18" customHeight="1" spans="1:12">
      <c r="A195" s="87" t="str">
        <f t="shared" si="2"/>
        <v/>
      </c>
      <c r="B195" s="78"/>
      <c r="C195" s="79"/>
      <c r="D195" s="80"/>
      <c r="E195" s="79"/>
      <c r="F195" s="88"/>
      <c r="G195" s="88"/>
      <c r="H195" s="80"/>
      <c r="I195" s="80"/>
      <c r="J195" s="79"/>
      <c r="K195" s="80"/>
      <c r="L195" s="80"/>
    </row>
    <row r="196" ht="18" customHeight="1" spans="1:12">
      <c r="A196" s="87" t="str">
        <f t="shared" ref="A196:A259" si="3">IF($C196="","",ROW()-3)</f>
        <v/>
      </c>
      <c r="B196" s="78"/>
      <c r="C196" s="79"/>
      <c r="D196" s="80"/>
      <c r="E196" s="79"/>
      <c r="F196" s="88"/>
      <c r="G196" s="88"/>
      <c r="H196" s="80"/>
      <c r="I196" s="80"/>
      <c r="J196" s="79"/>
      <c r="K196" s="80"/>
      <c r="L196" s="80"/>
    </row>
    <row r="197" ht="18" customHeight="1" spans="1:12">
      <c r="A197" s="87" t="str">
        <f t="shared" si="3"/>
        <v/>
      </c>
      <c r="B197" s="78"/>
      <c r="C197" s="79"/>
      <c r="D197" s="80"/>
      <c r="E197" s="79"/>
      <c r="F197" s="88"/>
      <c r="G197" s="88"/>
      <c r="H197" s="80"/>
      <c r="I197" s="80"/>
      <c r="J197" s="79"/>
      <c r="K197" s="80"/>
      <c r="L197" s="80"/>
    </row>
    <row r="198" ht="18" customHeight="1" spans="1:12">
      <c r="A198" s="87" t="str">
        <f t="shared" si="3"/>
        <v/>
      </c>
      <c r="B198" s="78"/>
      <c r="C198" s="79"/>
      <c r="D198" s="80"/>
      <c r="E198" s="79"/>
      <c r="F198" s="88"/>
      <c r="G198" s="88"/>
      <c r="H198" s="80"/>
      <c r="I198" s="80"/>
      <c r="J198" s="79"/>
      <c r="K198" s="80"/>
      <c r="L198" s="80"/>
    </row>
    <row r="199" ht="18" customHeight="1" spans="1:12">
      <c r="A199" s="87" t="str">
        <f t="shared" si="3"/>
        <v/>
      </c>
      <c r="B199" s="78"/>
      <c r="C199" s="79"/>
      <c r="D199" s="80"/>
      <c r="E199" s="79"/>
      <c r="F199" s="88"/>
      <c r="G199" s="88"/>
      <c r="H199" s="80"/>
      <c r="I199" s="80"/>
      <c r="J199" s="79"/>
      <c r="K199" s="80"/>
      <c r="L199" s="80"/>
    </row>
    <row r="200" ht="18" customHeight="1" spans="1:12">
      <c r="A200" s="87" t="str">
        <f t="shared" si="3"/>
        <v/>
      </c>
      <c r="B200" s="78"/>
      <c r="C200" s="79"/>
      <c r="D200" s="80"/>
      <c r="E200" s="79"/>
      <c r="F200" s="88"/>
      <c r="G200" s="88"/>
      <c r="H200" s="80"/>
      <c r="I200" s="80"/>
      <c r="J200" s="79"/>
      <c r="K200" s="80"/>
      <c r="L200" s="80"/>
    </row>
    <row r="201" ht="18" customHeight="1" spans="1:12">
      <c r="A201" s="87" t="str">
        <f t="shared" si="3"/>
        <v/>
      </c>
      <c r="B201" s="78"/>
      <c r="C201" s="79"/>
      <c r="D201" s="80"/>
      <c r="E201" s="79"/>
      <c r="F201" s="88"/>
      <c r="G201" s="88"/>
      <c r="H201" s="80"/>
      <c r="I201" s="80"/>
      <c r="J201" s="79"/>
      <c r="K201" s="80"/>
      <c r="L201" s="80"/>
    </row>
    <row r="202" ht="18" customHeight="1" spans="1:12">
      <c r="A202" s="87" t="str">
        <f t="shared" si="3"/>
        <v/>
      </c>
      <c r="B202" s="78"/>
      <c r="C202" s="79"/>
      <c r="D202" s="80"/>
      <c r="E202" s="79"/>
      <c r="F202" s="88"/>
      <c r="G202" s="88"/>
      <c r="H202" s="80"/>
      <c r="I202" s="80"/>
      <c r="J202" s="79"/>
      <c r="K202" s="80"/>
      <c r="L202" s="80"/>
    </row>
    <row r="203" ht="18" customHeight="1" spans="1:12">
      <c r="A203" s="87" t="str">
        <f t="shared" si="3"/>
        <v/>
      </c>
      <c r="B203" s="78"/>
      <c r="C203" s="79"/>
      <c r="D203" s="80"/>
      <c r="E203" s="79"/>
      <c r="F203" s="88"/>
      <c r="G203" s="88"/>
      <c r="H203" s="80"/>
      <c r="I203" s="80"/>
      <c r="J203" s="79"/>
      <c r="K203" s="80"/>
      <c r="L203" s="80"/>
    </row>
    <row r="204" ht="18" customHeight="1" spans="1:12">
      <c r="A204" s="87" t="str">
        <f t="shared" si="3"/>
        <v/>
      </c>
      <c r="B204" s="78"/>
      <c r="C204" s="79"/>
      <c r="D204" s="80"/>
      <c r="E204" s="79"/>
      <c r="F204" s="88"/>
      <c r="G204" s="88"/>
      <c r="H204" s="80"/>
      <c r="I204" s="80"/>
      <c r="J204" s="79"/>
      <c r="K204" s="80"/>
      <c r="L204" s="80"/>
    </row>
    <row r="205" ht="18" customHeight="1" spans="1:12">
      <c r="A205" s="87" t="str">
        <f t="shared" si="3"/>
        <v/>
      </c>
      <c r="B205" s="78"/>
      <c r="C205" s="79"/>
      <c r="D205" s="80"/>
      <c r="E205" s="79"/>
      <c r="F205" s="88"/>
      <c r="G205" s="88"/>
      <c r="H205" s="80"/>
      <c r="I205" s="80"/>
      <c r="J205" s="79"/>
      <c r="K205" s="80"/>
      <c r="L205" s="80"/>
    </row>
    <row r="206" ht="18" customHeight="1" spans="1:12">
      <c r="A206" s="87" t="str">
        <f t="shared" si="3"/>
        <v/>
      </c>
      <c r="B206" s="78"/>
      <c r="C206" s="79"/>
      <c r="D206" s="80"/>
      <c r="E206" s="79"/>
      <c r="F206" s="88"/>
      <c r="G206" s="88"/>
      <c r="H206" s="80"/>
      <c r="I206" s="80"/>
      <c r="J206" s="79"/>
      <c r="K206" s="80"/>
      <c r="L206" s="80"/>
    </row>
    <row r="207" ht="18" customHeight="1" spans="1:12">
      <c r="A207" s="87" t="str">
        <f t="shared" si="3"/>
        <v/>
      </c>
      <c r="B207" s="78"/>
      <c r="C207" s="79"/>
      <c r="D207" s="80"/>
      <c r="E207" s="79"/>
      <c r="F207" s="88"/>
      <c r="G207" s="88"/>
      <c r="H207" s="80"/>
      <c r="I207" s="80"/>
      <c r="J207" s="79"/>
      <c r="K207" s="80"/>
      <c r="L207" s="80"/>
    </row>
    <row r="208" ht="18" customHeight="1" spans="1:12">
      <c r="A208" s="87" t="str">
        <f t="shared" si="3"/>
        <v/>
      </c>
      <c r="B208" s="78"/>
      <c r="C208" s="79"/>
      <c r="D208" s="80"/>
      <c r="E208" s="79"/>
      <c r="F208" s="88"/>
      <c r="G208" s="88"/>
      <c r="H208" s="80"/>
      <c r="I208" s="80"/>
      <c r="J208" s="79"/>
      <c r="K208" s="80"/>
      <c r="L208" s="80"/>
    </row>
    <row r="209" ht="18" customHeight="1" spans="1:12">
      <c r="A209" s="87" t="str">
        <f t="shared" si="3"/>
        <v/>
      </c>
      <c r="B209" s="78"/>
      <c r="C209" s="79"/>
      <c r="D209" s="80"/>
      <c r="E209" s="79"/>
      <c r="F209" s="88"/>
      <c r="G209" s="88"/>
      <c r="H209" s="80"/>
      <c r="I209" s="80"/>
      <c r="J209" s="79"/>
      <c r="K209" s="80"/>
      <c r="L209" s="80"/>
    </row>
    <row r="210" ht="18" customHeight="1" spans="1:12">
      <c r="A210" s="87" t="str">
        <f t="shared" si="3"/>
        <v/>
      </c>
      <c r="B210" s="78"/>
      <c r="C210" s="79"/>
      <c r="D210" s="80"/>
      <c r="E210" s="79"/>
      <c r="F210" s="88"/>
      <c r="G210" s="88"/>
      <c r="H210" s="80"/>
      <c r="I210" s="80"/>
      <c r="J210" s="79"/>
      <c r="K210" s="80"/>
      <c r="L210" s="80"/>
    </row>
    <row r="211" ht="18" customHeight="1" spans="1:12">
      <c r="A211" s="87" t="str">
        <f t="shared" si="3"/>
        <v/>
      </c>
      <c r="B211" s="78"/>
      <c r="C211" s="79"/>
      <c r="D211" s="80"/>
      <c r="E211" s="79"/>
      <c r="F211" s="88"/>
      <c r="G211" s="88"/>
      <c r="H211" s="80"/>
      <c r="I211" s="80"/>
      <c r="J211" s="79"/>
      <c r="K211" s="80"/>
      <c r="L211" s="80"/>
    </row>
    <row r="212" ht="18" customHeight="1" spans="1:12">
      <c r="A212" s="87" t="str">
        <f t="shared" si="3"/>
        <v/>
      </c>
      <c r="B212" s="78"/>
      <c r="C212" s="79"/>
      <c r="D212" s="80"/>
      <c r="E212" s="79"/>
      <c r="F212" s="88"/>
      <c r="G212" s="88"/>
      <c r="H212" s="80"/>
      <c r="I212" s="80"/>
      <c r="J212" s="79"/>
      <c r="K212" s="80"/>
      <c r="L212" s="80"/>
    </row>
    <row r="213" ht="18" customHeight="1" spans="1:12">
      <c r="A213" s="87" t="str">
        <f t="shared" si="3"/>
        <v/>
      </c>
      <c r="B213" s="78"/>
      <c r="C213" s="79"/>
      <c r="D213" s="80"/>
      <c r="E213" s="79"/>
      <c r="F213" s="88"/>
      <c r="G213" s="88"/>
      <c r="H213" s="80"/>
      <c r="I213" s="80"/>
      <c r="J213" s="79"/>
      <c r="K213" s="80"/>
      <c r="L213" s="80"/>
    </row>
    <row r="214" ht="18" customHeight="1" spans="1:12">
      <c r="A214" s="87" t="str">
        <f t="shared" si="3"/>
        <v/>
      </c>
      <c r="B214" s="78"/>
      <c r="C214" s="79"/>
      <c r="D214" s="80"/>
      <c r="E214" s="79"/>
      <c r="F214" s="88"/>
      <c r="G214" s="88"/>
      <c r="H214" s="80"/>
      <c r="I214" s="80"/>
      <c r="J214" s="79"/>
      <c r="K214" s="80"/>
      <c r="L214" s="80"/>
    </row>
    <row r="215" ht="18" customHeight="1" spans="1:12">
      <c r="A215" s="87" t="str">
        <f t="shared" si="3"/>
        <v/>
      </c>
      <c r="B215" s="78"/>
      <c r="C215" s="79"/>
      <c r="D215" s="80"/>
      <c r="E215" s="79"/>
      <c r="F215" s="88"/>
      <c r="G215" s="88"/>
      <c r="H215" s="80"/>
      <c r="I215" s="80"/>
      <c r="J215" s="79"/>
      <c r="K215" s="80"/>
      <c r="L215" s="80"/>
    </row>
    <row r="216" ht="18" customHeight="1" spans="1:12">
      <c r="A216" s="87" t="str">
        <f t="shared" si="3"/>
        <v/>
      </c>
      <c r="B216" s="78"/>
      <c r="C216" s="79"/>
      <c r="D216" s="80"/>
      <c r="E216" s="79"/>
      <c r="F216" s="88"/>
      <c r="G216" s="88"/>
      <c r="H216" s="80"/>
      <c r="I216" s="80"/>
      <c r="J216" s="79"/>
      <c r="K216" s="80"/>
      <c r="L216" s="80"/>
    </row>
    <row r="217" ht="18" customHeight="1" spans="1:12">
      <c r="A217" s="87" t="str">
        <f t="shared" si="3"/>
        <v/>
      </c>
      <c r="B217" s="78"/>
      <c r="C217" s="79"/>
      <c r="D217" s="80"/>
      <c r="E217" s="79"/>
      <c r="F217" s="88"/>
      <c r="G217" s="88"/>
      <c r="H217" s="80"/>
      <c r="I217" s="80"/>
      <c r="J217" s="79"/>
      <c r="K217" s="80"/>
      <c r="L217" s="80"/>
    </row>
    <row r="218" ht="18" customHeight="1" spans="1:12">
      <c r="A218" s="87" t="str">
        <f t="shared" si="3"/>
        <v/>
      </c>
      <c r="B218" s="78"/>
      <c r="C218" s="79"/>
      <c r="D218" s="80"/>
      <c r="E218" s="79"/>
      <c r="F218" s="88"/>
      <c r="G218" s="88"/>
      <c r="H218" s="80"/>
      <c r="I218" s="80"/>
      <c r="J218" s="79"/>
      <c r="K218" s="80"/>
      <c r="L218" s="80"/>
    </row>
    <row r="219" ht="18" customHeight="1" spans="1:12">
      <c r="A219" s="87" t="str">
        <f t="shared" si="3"/>
        <v/>
      </c>
      <c r="B219" s="78"/>
      <c r="C219" s="79"/>
      <c r="D219" s="80"/>
      <c r="E219" s="79"/>
      <c r="F219" s="88"/>
      <c r="G219" s="88"/>
      <c r="H219" s="80"/>
      <c r="I219" s="80"/>
      <c r="J219" s="79"/>
      <c r="K219" s="80"/>
      <c r="L219" s="80"/>
    </row>
    <row r="220" ht="18" customHeight="1" spans="1:12">
      <c r="A220" s="87" t="str">
        <f t="shared" si="3"/>
        <v/>
      </c>
      <c r="B220" s="78"/>
      <c r="C220" s="79"/>
      <c r="D220" s="80"/>
      <c r="E220" s="79"/>
      <c r="F220" s="88"/>
      <c r="G220" s="88"/>
      <c r="H220" s="80"/>
      <c r="I220" s="80"/>
      <c r="J220" s="79"/>
      <c r="K220" s="80"/>
      <c r="L220" s="80"/>
    </row>
    <row r="221" ht="18" customHeight="1" spans="1:12">
      <c r="A221" s="87" t="str">
        <f t="shared" si="3"/>
        <v/>
      </c>
      <c r="B221" s="78"/>
      <c r="C221" s="79"/>
      <c r="D221" s="80"/>
      <c r="E221" s="79"/>
      <c r="F221" s="88"/>
      <c r="G221" s="88"/>
      <c r="H221" s="80"/>
      <c r="I221" s="80"/>
      <c r="J221" s="79"/>
      <c r="K221" s="80"/>
      <c r="L221" s="80"/>
    </row>
    <row r="222" ht="18" customHeight="1" spans="1:12">
      <c r="A222" s="87" t="str">
        <f t="shared" si="3"/>
        <v/>
      </c>
      <c r="B222" s="78"/>
      <c r="C222" s="79"/>
      <c r="D222" s="80"/>
      <c r="E222" s="79"/>
      <c r="F222" s="88"/>
      <c r="G222" s="88"/>
      <c r="H222" s="80"/>
      <c r="I222" s="80"/>
      <c r="J222" s="79"/>
      <c r="K222" s="80"/>
      <c r="L222" s="80"/>
    </row>
    <row r="223" ht="18" customHeight="1" spans="1:12">
      <c r="A223" s="87" t="str">
        <f t="shared" si="3"/>
        <v/>
      </c>
      <c r="B223" s="78"/>
      <c r="C223" s="79"/>
      <c r="D223" s="80"/>
      <c r="E223" s="79"/>
      <c r="F223" s="88"/>
      <c r="G223" s="88"/>
      <c r="H223" s="80"/>
      <c r="I223" s="80"/>
      <c r="J223" s="79"/>
      <c r="K223" s="80"/>
      <c r="L223" s="80"/>
    </row>
    <row r="224" ht="18" customHeight="1" spans="1:12">
      <c r="A224" s="87" t="str">
        <f t="shared" si="3"/>
        <v/>
      </c>
      <c r="B224" s="78"/>
      <c r="C224" s="79"/>
      <c r="D224" s="80"/>
      <c r="E224" s="79"/>
      <c r="F224" s="88"/>
      <c r="G224" s="88"/>
      <c r="H224" s="80"/>
      <c r="I224" s="80"/>
      <c r="J224" s="79"/>
      <c r="K224" s="80"/>
      <c r="L224" s="80"/>
    </row>
    <row r="225" ht="18" customHeight="1" spans="1:12">
      <c r="A225" s="87" t="str">
        <f t="shared" si="3"/>
        <v/>
      </c>
      <c r="B225" s="78"/>
      <c r="C225" s="79"/>
      <c r="D225" s="80"/>
      <c r="E225" s="79"/>
      <c r="F225" s="88"/>
      <c r="G225" s="88"/>
      <c r="H225" s="80"/>
      <c r="I225" s="80"/>
      <c r="J225" s="79"/>
      <c r="K225" s="80"/>
      <c r="L225" s="80"/>
    </row>
    <row r="226" ht="18" customHeight="1" spans="1:12">
      <c r="A226" s="87" t="str">
        <f t="shared" si="3"/>
        <v/>
      </c>
      <c r="B226" s="78"/>
      <c r="C226" s="79"/>
      <c r="D226" s="80"/>
      <c r="E226" s="79"/>
      <c r="F226" s="88"/>
      <c r="G226" s="88"/>
      <c r="H226" s="80"/>
      <c r="I226" s="80"/>
      <c r="J226" s="79"/>
      <c r="K226" s="80"/>
      <c r="L226" s="80"/>
    </row>
    <row r="227" ht="18" customHeight="1" spans="1:12">
      <c r="A227" s="87" t="str">
        <f t="shared" si="3"/>
        <v/>
      </c>
      <c r="B227" s="78"/>
      <c r="C227" s="79"/>
      <c r="D227" s="80"/>
      <c r="E227" s="79"/>
      <c r="F227" s="88"/>
      <c r="G227" s="88"/>
      <c r="H227" s="80"/>
      <c r="I227" s="80"/>
      <c r="J227" s="79"/>
      <c r="K227" s="80"/>
      <c r="L227" s="80"/>
    </row>
    <row r="228" ht="18" customHeight="1" spans="1:12">
      <c r="A228" s="87" t="str">
        <f t="shared" si="3"/>
        <v/>
      </c>
      <c r="B228" s="78"/>
      <c r="C228" s="79"/>
      <c r="D228" s="80"/>
      <c r="E228" s="79"/>
      <c r="F228" s="88"/>
      <c r="G228" s="88"/>
      <c r="H228" s="80"/>
      <c r="I228" s="80"/>
      <c r="J228" s="79"/>
      <c r="K228" s="80"/>
      <c r="L228" s="80"/>
    </row>
    <row r="229" ht="18" customHeight="1" spans="1:12">
      <c r="A229" s="87" t="str">
        <f t="shared" si="3"/>
        <v/>
      </c>
      <c r="B229" s="78"/>
      <c r="C229" s="79"/>
      <c r="D229" s="80"/>
      <c r="E229" s="79"/>
      <c r="F229" s="88"/>
      <c r="G229" s="88"/>
      <c r="H229" s="80"/>
      <c r="I229" s="80"/>
      <c r="J229" s="79"/>
      <c r="K229" s="80"/>
      <c r="L229" s="80"/>
    </row>
    <row r="230" ht="18" customHeight="1" spans="1:12">
      <c r="A230" s="87" t="str">
        <f t="shared" si="3"/>
        <v/>
      </c>
      <c r="B230" s="78"/>
      <c r="C230" s="79"/>
      <c r="D230" s="80"/>
      <c r="E230" s="79"/>
      <c r="F230" s="88"/>
      <c r="G230" s="88"/>
      <c r="H230" s="80"/>
      <c r="I230" s="80"/>
      <c r="J230" s="79"/>
      <c r="K230" s="80"/>
      <c r="L230" s="80"/>
    </row>
    <row r="231" ht="18" customHeight="1" spans="1:12">
      <c r="A231" s="87" t="str">
        <f t="shared" si="3"/>
        <v/>
      </c>
      <c r="B231" s="78"/>
      <c r="C231" s="79"/>
      <c r="D231" s="80"/>
      <c r="E231" s="79"/>
      <c r="F231" s="88"/>
      <c r="G231" s="88"/>
      <c r="H231" s="80"/>
      <c r="I231" s="80"/>
      <c r="J231" s="79"/>
      <c r="K231" s="80"/>
      <c r="L231" s="80"/>
    </row>
    <row r="232" ht="18" customHeight="1" spans="1:12">
      <c r="A232" s="87" t="str">
        <f t="shared" si="3"/>
        <v/>
      </c>
      <c r="B232" s="78"/>
      <c r="C232" s="79"/>
      <c r="D232" s="80"/>
      <c r="E232" s="79"/>
      <c r="F232" s="88"/>
      <c r="G232" s="88"/>
      <c r="H232" s="80"/>
      <c r="I232" s="80"/>
      <c r="J232" s="79"/>
      <c r="K232" s="80"/>
      <c r="L232" s="80"/>
    </row>
    <row r="233" ht="18" customHeight="1" spans="1:12">
      <c r="A233" s="87" t="str">
        <f t="shared" si="3"/>
        <v/>
      </c>
      <c r="B233" s="78"/>
      <c r="C233" s="79"/>
      <c r="D233" s="80"/>
      <c r="E233" s="79"/>
      <c r="F233" s="88"/>
      <c r="G233" s="88"/>
      <c r="H233" s="80"/>
      <c r="I233" s="80"/>
      <c r="J233" s="79"/>
      <c r="K233" s="80"/>
      <c r="L233" s="80"/>
    </row>
    <row r="234" ht="18" customHeight="1" spans="1:12">
      <c r="A234" s="87" t="str">
        <f t="shared" si="3"/>
        <v/>
      </c>
      <c r="B234" s="78"/>
      <c r="C234" s="79"/>
      <c r="D234" s="80"/>
      <c r="E234" s="79"/>
      <c r="F234" s="88"/>
      <c r="G234" s="88"/>
      <c r="H234" s="80"/>
      <c r="I234" s="80"/>
      <c r="J234" s="79"/>
      <c r="K234" s="80"/>
      <c r="L234" s="80"/>
    </row>
    <row r="235" ht="18" customHeight="1" spans="1:12">
      <c r="A235" s="87" t="str">
        <f t="shared" si="3"/>
        <v/>
      </c>
      <c r="B235" s="78"/>
      <c r="C235" s="79"/>
      <c r="D235" s="80"/>
      <c r="E235" s="79"/>
      <c r="F235" s="88"/>
      <c r="G235" s="88"/>
      <c r="H235" s="80"/>
      <c r="I235" s="80"/>
      <c r="J235" s="79"/>
      <c r="K235" s="80"/>
      <c r="L235" s="80"/>
    </row>
    <row r="236" ht="18" customHeight="1" spans="1:12">
      <c r="A236" s="87" t="str">
        <f t="shared" si="3"/>
        <v/>
      </c>
      <c r="B236" s="78"/>
      <c r="C236" s="79"/>
      <c r="D236" s="80"/>
      <c r="E236" s="79"/>
      <c r="F236" s="88"/>
      <c r="G236" s="88"/>
      <c r="H236" s="80"/>
      <c r="I236" s="80"/>
      <c r="J236" s="79"/>
      <c r="K236" s="80"/>
      <c r="L236" s="80"/>
    </row>
    <row r="237" ht="18" customHeight="1" spans="1:12">
      <c r="A237" s="87" t="str">
        <f t="shared" si="3"/>
        <v/>
      </c>
      <c r="B237" s="78"/>
      <c r="C237" s="79"/>
      <c r="D237" s="80"/>
      <c r="E237" s="79"/>
      <c r="F237" s="88"/>
      <c r="G237" s="88"/>
      <c r="H237" s="80"/>
      <c r="I237" s="80"/>
      <c r="J237" s="79"/>
      <c r="K237" s="80"/>
      <c r="L237" s="80"/>
    </row>
    <row r="238" ht="18" customHeight="1" spans="1:12">
      <c r="A238" s="87" t="str">
        <f t="shared" si="3"/>
        <v/>
      </c>
      <c r="B238" s="78"/>
      <c r="C238" s="79"/>
      <c r="D238" s="80"/>
      <c r="E238" s="79"/>
      <c r="F238" s="88"/>
      <c r="G238" s="88"/>
      <c r="H238" s="80"/>
      <c r="I238" s="80"/>
      <c r="J238" s="79"/>
      <c r="K238" s="80"/>
      <c r="L238" s="80"/>
    </row>
    <row r="239" ht="18" customHeight="1" spans="1:12">
      <c r="A239" s="87" t="str">
        <f t="shared" si="3"/>
        <v/>
      </c>
      <c r="B239" s="78"/>
      <c r="C239" s="79"/>
      <c r="D239" s="80"/>
      <c r="E239" s="79"/>
      <c r="F239" s="88"/>
      <c r="G239" s="88"/>
      <c r="H239" s="80"/>
      <c r="I239" s="80"/>
      <c r="J239" s="79"/>
      <c r="K239" s="80"/>
      <c r="L239" s="80"/>
    </row>
    <row r="240" ht="18" customHeight="1" spans="1:12">
      <c r="A240" s="87" t="str">
        <f t="shared" si="3"/>
        <v/>
      </c>
      <c r="B240" s="78"/>
      <c r="C240" s="79"/>
      <c r="D240" s="80"/>
      <c r="E240" s="79"/>
      <c r="F240" s="88"/>
      <c r="G240" s="88"/>
      <c r="H240" s="80"/>
      <c r="I240" s="80"/>
      <c r="J240" s="79"/>
      <c r="K240" s="80"/>
      <c r="L240" s="80"/>
    </row>
    <row r="241" ht="18" customHeight="1" spans="1:12">
      <c r="A241" s="87" t="str">
        <f t="shared" si="3"/>
        <v/>
      </c>
      <c r="B241" s="78"/>
      <c r="C241" s="79"/>
      <c r="D241" s="80"/>
      <c r="E241" s="79"/>
      <c r="F241" s="88"/>
      <c r="G241" s="88"/>
      <c r="H241" s="80"/>
      <c r="I241" s="80"/>
      <c r="J241" s="79"/>
      <c r="K241" s="80"/>
      <c r="L241" s="80"/>
    </row>
    <row r="242" ht="18" customHeight="1" spans="1:12">
      <c r="A242" s="87" t="str">
        <f t="shared" si="3"/>
        <v/>
      </c>
      <c r="B242" s="78"/>
      <c r="C242" s="79"/>
      <c r="D242" s="80"/>
      <c r="E242" s="79"/>
      <c r="F242" s="88"/>
      <c r="G242" s="88"/>
      <c r="H242" s="80"/>
      <c r="I242" s="80"/>
      <c r="J242" s="79"/>
      <c r="K242" s="80"/>
      <c r="L242" s="80"/>
    </row>
    <row r="243" ht="18" customHeight="1" spans="1:12">
      <c r="A243" s="87" t="str">
        <f t="shared" si="3"/>
        <v/>
      </c>
      <c r="B243" s="78"/>
      <c r="C243" s="79"/>
      <c r="D243" s="80"/>
      <c r="E243" s="79"/>
      <c r="F243" s="88"/>
      <c r="G243" s="88"/>
      <c r="H243" s="80"/>
      <c r="I243" s="80"/>
      <c r="J243" s="79"/>
      <c r="K243" s="80"/>
      <c r="L243" s="80"/>
    </row>
    <row r="244" ht="18" customHeight="1" spans="1:12">
      <c r="A244" s="87" t="str">
        <f t="shared" si="3"/>
        <v/>
      </c>
      <c r="B244" s="78"/>
      <c r="C244" s="79"/>
      <c r="D244" s="80"/>
      <c r="E244" s="79"/>
      <c r="F244" s="88"/>
      <c r="G244" s="88"/>
      <c r="H244" s="80"/>
      <c r="I244" s="80"/>
      <c r="J244" s="79"/>
      <c r="K244" s="80"/>
      <c r="L244" s="80"/>
    </row>
    <row r="245" ht="18" customHeight="1" spans="1:12">
      <c r="A245" s="87" t="str">
        <f t="shared" si="3"/>
        <v/>
      </c>
      <c r="B245" s="78"/>
      <c r="C245" s="79"/>
      <c r="D245" s="80"/>
      <c r="E245" s="79"/>
      <c r="F245" s="88"/>
      <c r="G245" s="88"/>
      <c r="H245" s="80"/>
      <c r="I245" s="80"/>
      <c r="J245" s="79"/>
      <c r="K245" s="80"/>
      <c r="L245" s="80"/>
    </row>
    <row r="246" ht="18" customHeight="1" spans="1:12">
      <c r="A246" s="87" t="str">
        <f t="shared" si="3"/>
        <v/>
      </c>
      <c r="B246" s="78"/>
      <c r="C246" s="79"/>
      <c r="D246" s="80"/>
      <c r="E246" s="79"/>
      <c r="F246" s="88"/>
      <c r="G246" s="88"/>
      <c r="H246" s="80"/>
      <c r="I246" s="80"/>
      <c r="J246" s="79"/>
      <c r="K246" s="80"/>
      <c r="L246" s="80"/>
    </row>
    <row r="247" ht="18" customHeight="1" spans="1:12">
      <c r="A247" s="87" t="str">
        <f t="shared" si="3"/>
        <v/>
      </c>
      <c r="B247" s="78"/>
      <c r="C247" s="79"/>
      <c r="D247" s="80"/>
      <c r="E247" s="79"/>
      <c r="F247" s="88"/>
      <c r="G247" s="88"/>
      <c r="H247" s="80"/>
      <c r="I247" s="80"/>
      <c r="J247" s="79"/>
      <c r="K247" s="80"/>
      <c r="L247" s="80"/>
    </row>
    <row r="248" ht="18" customHeight="1" spans="1:12">
      <c r="A248" s="87" t="str">
        <f t="shared" si="3"/>
        <v/>
      </c>
      <c r="B248" s="78"/>
      <c r="C248" s="79"/>
      <c r="D248" s="80"/>
      <c r="E248" s="79"/>
      <c r="F248" s="88"/>
      <c r="G248" s="88"/>
      <c r="H248" s="80"/>
      <c r="I248" s="80"/>
      <c r="J248" s="79"/>
      <c r="K248" s="80"/>
      <c r="L248" s="80"/>
    </row>
    <row r="249" ht="18" customHeight="1" spans="1:12">
      <c r="A249" s="87" t="str">
        <f t="shared" si="3"/>
        <v/>
      </c>
      <c r="B249" s="78"/>
      <c r="C249" s="79"/>
      <c r="D249" s="80"/>
      <c r="E249" s="79"/>
      <c r="F249" s="88"/>
      <c r="G249" s="88"/>
      <c r="H249" s="80"/>
      <c r="I249" s="80"/>
      <c r="J249" s="79"/>
      <c r="K249" s="80"/>
      <c r="L249" s="80"/>
    </row>
    <row r="250" ht="18" customHeight="1" spans="1:12">
      <c r="A250" s="87" t="str">
        <f t="shared" si="3"/>
        <v/>
      </c>
      <c r="B250" s="78"/>
      <c r="C250" s="79"/>
      <c r="D250" s="80"/>
      <c r="E250" s="79"/>
      <c r="F250" s="88"/>
      <c r="G250" s="88"/>
      <c r="H250" s="80"/>
      <c r="I250" s="80"/>
      <c r="J250" s="79"/>
      <c r="K250" s="80"/>
      <c r="L250" s="80"/>
    </row>
    <row r="251" ht="18" customHeight="1" spans="1:12">
      <c r="A251" s="87" t="str">
        <f t="shared" si="3"/>
        <v/>
      </c>
      <c r="B251" s="78"/>
      <c r="C251" s="79"/>
      <c r="D251" s="80"/>
      <c r="E251" s="79"/>
      <c r="F251" s="88"/>
      <c r="G251" s="88"/>
      <c r="H251" s="80"/>
      <c r="I251" s="80"/>
      <c r="J251" s="79"/>
      <c r="K251" s="80"/>
      <c r="L251" s="80"/>
    </row>
    <row r="252" ht="18" customHeight="1" spans="1:12">
      <c r="A252" s="87" t="str">
        <f t="shared" si="3"/>
        <v/>
      </c>
      <c r="B252" s="78"/>
      <c r="C252" s="79"/>
      <c r="D252" s="80"/>
      <c r="E252" s="79"/>
      <c r="F252" s="88"/>
      <c r="G252" s="88"/>
      <c r="H252" s="80"/>
      <c r="I252" s="80"/>
      <c r="J252" s="79"/>
      <c r="K252" s="80"/>
      <c r="L252" s="80"/>
    </row>
    <row r="253" ht="18" customHeight="1" spans="1:12">
      <c r="A253" s="87" t="str">
        <f t="shared" si="3"/>
        <v/>
      </c>
      <c r="B253" s="78"/>
      <c r="C253" s="79"/>
      <c r="D253" s="80"/>
      <c r="E253" s="79"/>
      <c r="F253" s="88"/>
      <c r="G253" s="88"/>
      <c r="H253" s="80"/>
      <c r="I253" s="80"/>
      <c r="J253" s="79"/>
      <c r="K253" s="80"/>
      <c r="L253" s="80"/>
    </row>
    <row r="254" ht="18" customHeight="1" spans="1:12">
      <c r="A254" s="87" t="str">
        <f t="shared" si="3"/>
        <v/>
      </c>
      <c r="B254" s="78"/>
      <c r="C254" s="79"/>
      <c r="D254" s="80"/>
      <c r="E254" s="79"/>
      <c r="F254" s="88"/>
      <c r="G254" s="88"/>
      <c r="H254" s="80"/>
      <c r="I254" s="80"/>
      <c r="J254" s="79"/>
      <c r="K254" s="80"/>
      <c r="L254" s="80"/>
    </row>
    <row r="255" ht="18" customHeight="1" spans="1:12">
      <c r="A255" s="87" t="str">
        <f t="shared" si="3"/>
        <v/>
      </c>
      <c r="B255" s="78"/>
      <c r="C255" s="79"/>
      <c r="D255" s="80"/>
      <c r="E255" s="79"/>
      <c r="F255" s="88"/>
      <c r="G255" s="88"/>
      <c r="H255" s="80"/>
      <c r="I255" s="80"/>
      <c r="J255" s="79"/>
      <c r="K255" s="80"/>
      <c r="L255" s="80"/>
    </row>
    <row r="256" ht="18" customHeight="1" spans="1:12">
      <c r="A256" s="87" t="str">
        <f t="shared" si="3"/>
        <v/>
      </c>
      <c r="B256" s="78"/>
      <c r="C256" s="79"/>
      <c r="D256" s="80"/>
      <c r="E256" s="79"/>
      <c r="F256" s="88"/>
      <c r="G256" s="88"/>
      <c r="H256" s="80"/>
      <c r="I256" s="80"/>
      <c r="J256" s="79"/>
      <c r="K256" s="80"/>
      <c r="L256" s="80"/>
    </row>
    <row r="257" ht="18" customHeight="1" spans="1:12">
      <c r="A257" s="87" t="str">
        <f t="shared" si="3"/>
        <v/>
      </c>
      <c r="B257" s="78"/>
      <c r="C257" s="79"/>
      <c r="D257" s="80"/>
      <c r="E257" s="79"/>
      <c r="F257" s="88"/>
      <c r="G257" s="88"/>
      <c r="H257" s="80"/>
      <c r="I257" s="80"/>
      <c r="J257" s="79"/>
      <c r="K257" s="80"/>
      <c r="L257" s="80"/>
    </row>
    <row r="258" ht="18" customHeight="1" spans="1:12">
      <c r="A258" s="87" t="str">
        <f t="shared" si="3"/>
        <v/>
      </c>
      <c r="B258" s="78"/>
      <c r="C258" s="79"/>
      <c r="D258" s="80"/>
      <c r="E258" s="79"/>
      <c r="F258" s="88"/>
      <c r="G258" s="88"/>
      <c r="H258" s="80"/>
      <c r="I258" s="80"/>
      <c r="J258" s="79"/>
      <c r="K258" s="80"/>
      <c r="L258" s="80"/>
    </row>
    <row r="259" ht="18" customHeight="1" spans="1:12">
      <c r="A259" s="87" t="str">
        <f t="shared" si="3"/>
        <v/>
      </c>
      <c r="B259" s="78"/>
      <c r="C259" s="79"/>
      <c r="D259" s="80"/>
      <c r="E259" s="79"/>
      <c r="F259" s="88"/>
      <c r="G259" s="88"/>
      <c r="H259" s="80"/>
      <c r="I259" s="80"/>
      <c r="J259" s="79"/>
      <c r="K259" s="80"/>
      <c r="L259" s="80"/>
    </row>
    <row r="260" ht="18" customHeight="1" spans="1:12">
      <c r="A260" s="87" t="str">
        <f t="shared" ref="A260:A323" si="4">IF($C260="","",ROW()-3)</f>
        <v/>
      </c>
      <c r="B260" s="78"/>
      <c r="C260" s="79"/>
      <c r="D260" s="80"/>
      <c r="E260" s="79"/>
      <c r="F260" s="88"/>
      <c r="G260" s="88"/>
      <c r="H260" s="80"/>
      <c r="I260" s="80"/>
      <c r="J260" s="79"/>
      <c r="K260" s="80"/>
      <c r="L260" s="80"/>
    </row>
    <row r="261" ht="18" customHeight="1" spans="1:12">
      <c r="A261" s="87" t="str">
        <f t="shared" si="4"/>
        <v/>
      </c>
      <c r="B261" s="78"/>
      <c r="C261" s="79"/>
      <c r="D261" s="80"/>
      <c r="E261" s="79"/>
      <c r="F261" s="88"/>
      <c r="G261" s="88"/>
      <c r="H261" s="80"/>
      <c r="I261" s="80"/>
      <c r="J261" s="79"/>
      <c r="K261" s="80"/>
      <c r="L261" s="80"/>
    </row>
    <row r="262" ht="18" customHeight="1" spans="1:12">
      <c r="A262" s="87" t="str">
        <f t="shared" si="4"/>
        <v/>
      </c>
      <c r="B262" s="78"/>
      <c r="C262" s="79"/>
      <c r="D262" s="80"/>
      <c r="E262" s="79"/>
      <c r="F262" s="88"/>
      <c r="G262" s="88"/>
      <c r="H262" s="80"/>
      <c r="I262" s="80"/>
      <c r="J262" s="79"/>
      <c r="K262" s="80"/>
      <c r="L262" s="80"/>
    </row>
    <row r="263" ht="18" customHeight="1" spans="1:12">
      <c r="A263" s="87" t="str">
        <f t="shared" si="4"/>
        <v/>
      </c>
      <c r="B263" s="78"/>
      <c r="C263" s="79"/>
      <c r="D263" s="80"/>
      <c r="E263" s="79"/>
      <c r="F263" s="88"/>
      <c r="G263" s="88"/>
      <c r="H263" s="80"/>
      <c r="I263" s="80"/>
      <c r="J263" s="79"/>
      <c r="K263" s="80"/>
      <c r="L263" s="80"/>
    </row>
    <row r="264" ht="18" customHeight="1" spans="1:12">
      <c r="A264" s="87" t="str">
        <f t="shared" si="4"/>
        <v/>
      </c>
      <c r="B264" s="78"/>
      <c r="C264" s="79"/>
      <c r="D264" s="80"/>
      <c r="E264" s="79"/>
      <c r="F264" s="88"/>
      <c r="G264" s="88"/>
      <c r="H264" s="80"/>
      <c r="I264" s="80"/>
      <c r="J264" s="79"/>
      <c r="K264" s="80"/>
      <c r="L264" s="80"/>
    </row>
    <row r="265" ht="18" customHeight="1" spans="1:12">
      <c r="A265" s="87" t="str">
        <f t="shared" si="4"/>
        <v/>
      </c>
      <c r="B265" s="78"/>
      <c r="C265" s="79"/>
      <c r="D265" s="80"/>
      <c r="E265" s="79"/>
      <c r="F265" s="88"/>
      <c r="G265" s="88"/>
      <c r="H265" s="80"/>
      <c r="I265" s="80"/>
      <c r="J265" s="79"/>
      <c r="K265" s="80"/>
      <c r="L265" s="80"/>
    </row>
    <row r="266" ht="18" customHeight="1" spans="1:12">
      <c r="A266" s="87" t="str">
        <f t="shared" si="4"/>
        <v/>
      </c>
      <c r="B266" s="78"/>
      <c r="C266" s="79"/>
      <c r="D266" s="80"/>
      <c r="E266" s="79"/>
      <c r="F266" s="88"/>
      <c r="G266" s="88"/>
      <c r="H266" s="80"/>
      <c r="I266" s="80"/>
      <c r="J266" s="79"/>
      <c r="K266" s="80"/>
      <c r="L266" s="80"/>
    </row>
    <row r="267" ht="18" customHeight="1" spans="1:12">
      <c r="A267" s="87" t="str">
        <f t="shared" si="4"/>
        <v/>
      </c>
      <c r="B267" s="78"/>
      <c r="C267" s="79"/>
      <c r="D267" s="80"/>
      <c r="E267" s="79"/>
      <c r="F267" s="88"/>
      <c r="G267" s="88"/>
      <c r="H267" s="80"/>
      <c r="I267" s="80"/>
      <c r="J267" s="79"/>
      <c r="K267" s="80"/>
      <c r="L267" s="80"/>
    </row>
    <row r="268" ht="18" customHeight="1" spans="1:12">
      <c r="A268" s="87" t="str">
        <f t="shared" si="4"/>
        <v/>
      </c>
      <c r="B268" s="78"/>
      <c r="C268" s="79"/>
      <c r="D268" s="80"/>
      <c r="E268" s="79"/>
      <c r="F268" s="88"/>
      <c r="G268" s="88"/>
      <c r="H268" s="80"/>
      <c r="I268" s="80"/>
      <c r="J268" s="79"/>
      <c r="K268" s="80"/>
      <c r="L268" s="80"/>
    </row>
    <row r="269" ht="18" customHeight="1" spans="1:12">
      <c r="A269" s="87" t="str">
        <f t="shared" si="4"/>
        <v/>
      </c>
      <c r="B269" s="78"/>
      <c r="C269" s="79"/>
      <c r="D269" s="80"/>
      <c r="E269" s="79"/>
      <c r="F269" s="88"/>
      <c r="G269" s="88"/>
      <c r="H269" s="80"/>
      <c r="I269" s="80"/>
      <c r="J269" s="79"/>
      <c r="K269" s="80"/>
      <c r="L269" s="80"/>
    </row>
    <row r="270" ht="18" customHeight="1" spans="1:12">
      <c r="A270" s="87" t="str">
        <f t="shared" si="4"/>
        <v/>
      </c>
      <c r="B270" s="78"/>
      <c r="C270" s="79"/>
      <c r="D270" s="80"/>
      <c r="E270" s="79"/>
      <c r="F270" s="88"/>
      <c r="G270" s="88"/>
      <c r="H270" s="80"/>
      <c r="I270" s="80"/>
      <c r="J270" s="79"/>
      <c r="K270" s="80"/>
      <c r="L270" s="80"/>
    </row>
    <row r="271" ht="18" customHeight="1" spans="1:12">
      <c r="A271" s="87" t="str">
        <f t="shared" si="4"/>
        <v/>
      </c>
      <c r="B271" s="78"/>
      <c r="C271" s="79"/>
      <c r="D271" s="80"/>
      <c r="E271" s="79"/>
      <c r="F271" s="88"/>
      <c r="G271" s="88"/>
      <c r="H271" s="80"/>
      <c r="I271" s="80"/>
      <c r="J271" s="79"/>
      <c r="K271" s="80"/>
      <c r="L271" s="80"/>
    </row>
    <row r="272" ht="18" customHeight="1" spans="1:12">
      <c r="A272" s="87" t="str">
        <f t="shared" si="4"/>
        <v/>
      </c>
      <c r="B272" s="78"/>
      <c r="C272" s="79"/>
      <c r="D272" s="80"/>
      <c r="E272" s="79"/>
      <c r="F272" s="88"/>
      <c r="G272" s="88"/>
      <c r="H272" s="80"/>
      <c r="I272" s="80"/>
      <c r="J272" s="79"/>
      <c r="K272" s="80"/>
      <c r="L272" s="80"/>
    </row>
    <row r="273" ht="18" customHeight="1" spans="1:12">
      <c r="A273" s="87" t="str">
        <f t="shared" si="4"/>
        <v/>
      </c>
      <c r="B273" s="78"/>
      <c r="C273" s="79"/>
      <c r="D273" s="80"/>
      <c r="E273" s="79"/>
      <c r="F273" s="88"/>
      <c r="G273" s="88"/>
      <c r="H273" s="80"/>
      <c r="I273" s="80"/>
      <c r="J273" s="79"/>
      <c r="K273" s="80"/>
      <c r="L273" s="80"/>
    </row>
    <row r="274" ht="18" customHeight="1" spans="1:12">
      <c r="A274" s="87" t="str">
        <f t="shared" si="4"/>
        <v/>
      </c>
      <c r="B274" s="78"/>
      <c r="C274" s="79"/>
      <c r="D274" s="80"/>
      <c r="E274" s="79"/>
      <c r="F274" s="88"/>
      <c r="G274" s="88"/>
      <c r="H274" s="80"/>
      <c r="I274" s="80"/>
      <c r="J274" s="79"/>
      <c r="K274" s="80"/>
      <c r="L274" s="80"/>
    </row>
    <row r="275" ht="18" customHeight="1" spans="1:12">
      <c r="A275" s="87" t="str">
        <f t="shared" si="4"/>
        <v/>
      </c>
      <c r="B275" s="78"/>
      <c r="C275" s="79"/>
      <c r="D275" s="80"/>
      <c r="E275" s="79"/>
      <c r="F275" s="88"/>
      <c r="G275" s="88"/>
      <c r="H275" s="80"/>
      <c r="I275" s="80"/>
      <c r="J275" s="79"/>
      <c r="K275" s="80"/>
      <c r="L275" s="80"/>
    </row>
    <row r="276" ht="18" customHeight="1" spans="1:12">
      <c r="A276" s="87" t="str">
        <f t="shared" si="4"/>
        <v/>
      </c>
      <c r="B276" s="78"/>
      <c r="C276" s="79"/>
      <c r="D276" s="80"/>
      <c r="E276" s="79"/>
      <c r="F276" s="88"/>
      <c r="G276" s="88"/>
      <c r="H276" s="80"/>
      <c r="I276" s="80"/>
      <c r="J276" s="79"/>
      <c r="K276" s="80"/>
      <c r="L276" s="80"/>
    </row>
    <row r="277" ht="18" customHeight="1" spans="1:12">
      <c r="A277" s="87" t="str">
        <f t="shared" si="4"/>
        <v/>
      </c>
      <c r="B277" s="78"/>
      <c r="C277" s="79"/>
      <c r="D277" s="80"/>
      <c r="E277" s="79"/>
      <c r="F277" s="88"/>
      <c r="G277" s="88"/>
      <c r="H277" s="80"/>
      <c r="I277" s="80"/>
      <c r="J277" s="79"/>
      <c r="K277" s="80"/>
      <c r="L277" s="80"/>
    </row>
    <row r="278" ht="18" customHeight="1" spans="1:12">
      <c r="A278" s="87" t="str">
        <f t="shared" si="4"/>
        <v/>
      </c>
      <c r="B278" s="78"/>
      <c r="C278" s="79"/>
      <c r="D278" s="80"/>
      <c r="E278" s="79"/>
      <c r="F278" s="88"/>
      <c r="G278" s="88"/>
      <c r="H278" s="80"/>
      <c r="I278" s="80"/>
      <c r="J278" s="79"/>
      <c r="K278" s="80"/>
      <c r="L278" s="80"/>
    </row>
    <row r="279" ht="18" customHeight="1" spans="1:12">
      <c r="A279" s="87" t="str">
        <f t="shared" si="4"/>
        <v/>
      </c>
      <c r="B279" s="78"/>
      <c r="C279" s="79"/>
      <c r="D279" s="80"/>
      <c r="E279" s="79"/>
      <c r="F279" s="88"/>
      <c r="G279" s="88"/>
      <c r="H279" s="80"/>
      <c r="I279" s="80"/>
      <c r="J279" s="79"/>
      <c r="K279" s="80"/>
      <c r="L279" s="80"/>
    </row>
    <row r="280" ht="18" customHeight="1" spans="1:12">
      <c r="A280" s="87" t="str">
        <f t="shared" si="4"/>
        <v/>
      </c>
      <c r="B280" s="78"/>
      <c r="C280" s="79"/>
      <c r="D280" s="80"/>
      <c r="E280" s="79"/>
      <c r="F280" s="88"/>
      <c r="G280" s="88"/>
      <c r="H280" s="80"/>
      <c r="I280" s="80"/>
      <c r="J280" s="79"/>
      <c r="K280" s="80"/>
      <c r="L280" s="80"/>
    </row>
    <row r="281" ht="18" customHeight="1" spans="1:12">
      <c r="A281" s="87" t="str">
        <f t="shared" si="4"/>
        <v/>
      </c>
      <c r="B281" s="78"/>
      <c r="C281" s="79"/>
      <c r="D281" s="80"/>
      <c r="E281" s="79"/>
      <c r="F281" s="88"/>
      <c r="G281" s="88"/>
      <c r="H281" s="80"/>
      <c r="I281" s="80"/>
      <c r="J281" s="79"/>
      <c r="K281" s="80"/>
      <c r="L281" s="80"/>
    </row>
    <row r="282" ht="18" customHeight="1" spans="1:12">
      <c r="A282" s="87" t="str">
        <f t="shared" si="4"/>
        <v/>
      </c>
      <c r="B282" s="78"/>
      <c r="C282" s="79"/>
      <c r="D282" s="80"/>
      <c r="E282" s="79"/>
      <c r="F282" s="88"/>
      <c r="G282" s="88"/>
      <c r="H282" s="80"/>
      <c r="I282" s="80"/>
      <c r="J282" s="79"/>
      <c r="K282" s="80"/>
      <c r="L282" s="80"/>
    </row>
    <row r="283" ht="18" customHeight="1" spans="1:12">
      <c r="A283" s="87" t="str">
        <f t="shared" si="4"/>
        <v/>
      </c>
      <c r="B283" s="78"/>
      <c r="C283" s="79"/>
      <c r="D283" s="80"/>
      <c r="E283" s="79"/>
      <c r="F283" s="88"/>
      <c r="G283" s="88"/>
      <c r="H283" s="80"/>
      <c r="I283" s="80"/>
      <c r="J283" s="79"/>
      <c r="K283" s="80"/>
      <c r="L283" s="80"/>
    </row>
    <row r="284" ht="18" customHeight="1" spans="1:12">
      <c r="A284" s="87" t="str">
        <f t="shared" si="4"/>
        <v/>
      </c>
      <c r="B284" s="78"/>
      <c r="C284" s="79"/>
      <c r="D284" s="80"/>
      <c r="E284" s="79"/>
      <c r="F284" s="88"/>
      <c r="G284" s="88"/>
      <c r="H284" s="80"/>
      <c r="I284" s="80"/>
      <c r="J284" s="79"/>
      <c r="K284" s="80"/>
      <c r="L284" s="80"/>
    </row>
    <row r="285" ht="18" customHeight="1" spans="1:12">
      <c r="A285" s="87" t="str">
        <f t="shared" si="4"/>
        <v/>
      </c>
      <c r="B285" s="78"/>
      <c r="C285" s="79"/>
      <c r="D285" s="80"/>
      <c r="E285" s="79"/>
      <c r="F285" s="88"/>
      <c r="G285" s="88"/>
      <c r="H285" s="80"/>
      <c r="I285" s="80"/>
      <c r="J285" s="79"/>
      <c r="K285" s="80"/>
      <c r="L285" s="80"/>
    </row>
    <row r="286" ht="18" customHeight="1" spans="1:12">
      <c r="A286" s="87" t="str">
        <f t="shared" si="4"/>
        <v/>
      </c>
      <c r="B286" s="78"/>
      <c r="C286" s="79"/>
      <c r="D286" s="80"/>
      <c r="E286" s="79"/>
      <c r="F286" s="88"/>
      <c r="G286" s="88"/>
      <c r="H286" s="80"/>
      <c r="I286" s="80"/>
      <c r="J286" s="79"/>
      <c r="K286" s="80"/>
      <c r="L286" s="80"/>
    </row>
    <row r="287" ht="18" customHeight="1" spans="1:12">
      <c r="A287" s="87" t="str">
        <f t="shared" si="4"/>
        <v/>
      </c>
      <c r="B287" s="78"/>
      <c r="C287" s="79"/>
      <c r="D287" s="80"/>
      <c r="E287" s="79"/>
      <c r="F287" s="88"/>
      <c r="G287" s="88"/>
      <c r="H287" s="80"/>
      <c r="I287" s="80"/>
      <c r="J287" s="79"/>
      <c r="K287" s="80"/>
      <c r="L287" s="80"/>
    </row>
    <row r="288" ht="18" customHeight="1" spans="1:12">
      <c r="A288" s="87" t="str">
        <f t="shared" si="4"/>
        <v/>
      </c>
      <c r="B288" s="78"/>
      <c r="C288" s="79"/>
      <c r="D288" s="80"/>
      <c r="E288" s="79"/>
      <c r="F288" s="88"/>
      <c r="G288" s="88"/>
      <c r="H288" s="80"/>
      <c r="I288" s="80"/>
      <c r="J288" s="79"/>
      <c r="K288" s="80"/>
      <c r="L288" s="80"/>
    </row>
    <row r="289" ht="18" customHeight="1" spans="1:12">
      <c r="A289" s="87" t="str">
        <f t="shared" si="4"/>
        <v/>
      </c>
      <c r="B289" s="78"/>
      <c r="C289" s="79"/>
      <c r="D289" s="80"/>
      <c r="E289" s="79"/>
      <c r="F289" s="88"/>
      <c r="G289" s="88"/>
      <c r="H289" s="80"/>
      <c r="I289" s="80"/>
      <c r="J289" s="79"/>
      <c r="K289" s="80"/>
      <c r="L289" s="80"/>
    </row>
    <row r="290" ht="18" customHeight="1" spans="1:12">
      <c r="A290" s="87" t="str">
        <f t="shared" si="4"/>
        <v/>
      </c>
      <c r="B290" s="78"/>
      <c r="C290" s="79"/>
      <c r="D290" s="80"/>
      <c r="E290" s="79"/>
      <c r="F290" s="88"/>
      <c r="G290" s="88"/>
      <c r="H290" s="80"/>
      <c r="I290" s="80"/>
      <c r="J290" s="79"/>
      <c r="K290" s="80"/>
      <c r="L290" s="80"/>
    </row>
    <row r="291" ht="18" customHeight="1" spans="1:12">
      <c r="A291" s="87" t="str">
        <f t="shared" si="4"/>
        <v/>
      </c>
      <c r="B291" s="78"/>
      <c r="C291" s="79"/>
      <c r="D291" s="80"/>
      <c r="E291" s="79"/>
      <c r="F291" s="88"/>
      <c r="G291" s="88"/>
      <c r="H291" s="80"/>
      <c r="I291" s="80"/>
      <c r="J291" s="79"/>
      <c r="K291" s="80"/>
      <c r="L291" s="80"/>
    </row>
    <row r="292" ht="18" customHeight="1" spans="1:12">
      <c r="A292" s="87" t="str">
        <f t="shared" si="4"/>
        <v/>
      </c>
      <c r="B292" s="78"/>
      <c r="C292" s="79"/>
      <c r="D292" s="80"/>
      <c r="E292" s="79"/>
      <c r="F292" s="88"/>
      <c r="G292" s="88"/>
      <c r="H292" s="80"/>
      <c r="I292" s="80"/>
      <c r="J292" s="79"/>
      <c r="K292" s="80"/>
      <c r="L292" s="80"/>
    </row>
    <row r="293" ht="18" customHeight="1" spans="1:12">
      <c r="A293" s="87" t="str">
        <f t="shared" si="4"/>
        <v/>
      </c>
      <c r="B293" s="78"/>
      <c r="C293" s="79"/>
      <c r="D293" s="80"/>
      <c r="E293" s="79"/>
      <c r="F293" s="88"/>
      <c r="G293" s="88"/>
      <c r="H293" s="80"/>
      <c r="I293" s="80"/>
      <c r="J293" s="79"/>
      <c r="K293" s="80"/>
      <c r="L293" s="80"/>
    </row>
    <row r="294" ht="18" customHeight="1" spans="1:12">
      <c r="A294" s="87" t="str">
        <f t="shared" si="4"/>
        <v/>
      </c>
      <c r="B294" s="78"/>
      <c r="C294" s="79"/>
      <c r="D294" s="80"/>
      <c r="E294" s="79"/>
      <c r="F294" s="88"/>
      <c r="G294" s="88"/>
      <c r="H294" s="80"/>
      <c r="I294" s="80"/>
      <c r="J294" s="79"/>
      <c r="K294" s="80"/>
      <c r="L294" s="80"/>
    </row>
    <row r="295" ht="18" customHeight="1" spans="1:12">
      <c r="A295" s="87" t="str">
        <f t="shared" si="4"/>
        <v/>
      </c>
      <c r="B295" s="78"/>
      <c r="C295" s="79"/>
      <c r="D295" s="80"/>
      <c r="E295" s="79"/>
      <c r="F295" s="88"/>
      <c r="G295" s="88"/>
      <c r="H295" s="80"/>
      <c r="I295" s="80"/>
      <c r="J295" s="79"/>
      <c r="K295" s="80"/>
      <c r="L295" s="80"/>
    </row>
    <row r="296" ht="18" customHeight="1" spans="1:12">
      <c r="A296" s="87" t="str">
        <f t="shared" si="4"/>
        <v/>
      </c>
      <c r="B296" s="78"/>
      <c r="C296" s="79"/>
      <c r="D296" s="80"/>
      <c r="E296" s="79"/>
      <c r="F296" s="88"/>
      <c r="G296" s="88"/>
      <c r="H296" s="80"/>
      <c r="I296" s="80"/>
      <c r="J296" s="79"/>
      <c r="K296" s="80"/>
      <c r="L296" s="80"/>
    </row>
    <row r="297" ht="18" customHeight="1" spans="1:12">
      <c r="A297" s="87" t="str">
        <f t="shared" si="4"/>
        <v/>
      </c>
      <c r="B297" s="78"/>
      <c r="C297" s="79"/>
      <c r="D297" s="80"/>
      <c r="E297" s="79"/>
      <c r="F297" s="88"/>
      <c r="G297" s="88"/>
      <c r="H297" s="80"/>
      <c r="I297" s="80"/>
      <c r="J297" s="79"/>
      <c r="K297" s="80"/>
      <c r="L297" s="80"/>
    </row>
    <row r="298" ht="18" customHeight="1" spans="1:12">
      <c r="A298" s="87" t="str">
        <f t="shared" si="4"/>
        <v/>
      </c>
      <c r="B298" s="78"/>
      <c r="C298" s="79"/>
      <c r="D298" s="80"/>
      <c r="E298" s="79"/>
      <c r="F298" s="88"/>
      <c r="G298" s="88"/>
      <c r="H298" s="80"/>
      <c r="I298" s="80"/>
      <c r="J298" s="79"/>
      <c r="K298" s="80"/>
      <c r="L298" s="80"/>
    </row>
    <row r="299" ht="18" customHeight="1" spans="1:12">
      <c r="A299" s="87" t="str">
        <f t="shared" si="4"/>
        <v/>
      </c>
      <c r="B299" s="78"/>
      <c r="C299" s="79"/>
      <c r="D299" s="80"/>
      <c r="E299" s="79"/>
      <c r="F299" s="88"/>
      <c r="G299" s="88"/>
      <c r="H299" s="80"/>
      <c r="I299" s="80"/>
      <c r="J299" s="79"/>
      <c r="K299" s="80"/>
      <c r="L299" s="80"/>
    </row>
    <row r="300" ht="18" customHeight="1" spans="1:12">
      <c r="A300" s="87" t="str">
        <f t="shared" si="4"/>
        <v/>
      </c>
      <c r="B300" s="78"/>
      <c r="C300" s="79"/>
      <c r="D300" s="80"/>
      <c r="E300" s="79"/>
      <c r="F300" s="88"/>
      <c r="G300" s="88"/>
      <c r="H300" s="80"/>
      <c r="I300" s="80"/>
      <c r="J300" s="79"/>
      <c r="K300" s="80"/>
      <c r="L300" s="80"/>
    </row>
    <row r="301" ht="18" customHeight="1" spans="1:12">
      <c r="A301" s="87" t="str">
        <f t="shared" si="4"/>
        <v/>
      </c>
      <c r="B301" s="78"/>
      <c r="C301" s="79"/>
      <c r="D301" s="80"/>
      <c r="E301" s="79"/>
      <c r="F301" s="88"/>
      <c r="G301" s="88"/>
      <c r="H301" s="80"/>
      <c r="I301" s="80"/>
      <c r="J301" s="79"/>
      <c r="K301" s="80"/>
      <c r="L301" s="80"/>
    </row>
    <row r="302" ht="18" customHeight="1" spans="1:12">
      <c r="A302" s="87" t="str">
        <f t="shared" si="4"/>
        <v/>
      </c>
      <c r="B302" s="78"/>
      <c r="C302" s="79"/>
      <c r="D302" s="80"/>
      <c r="E302" s="79"/>
      <c r="F302" s="88"/>
      <c r="G302" s="88"/>
      <c r="H302" s="80"/>
      <c r="I302" s="80"/>
      <c r="J302" s="79"/>
      <c r="K302" s="80"/>
      <c r="L302" s="80"/>
    </row>
    <row r="303" ht="18" customHeight="1" spans="1:12">
      <c r="A303" s="87" t="str">
        <f t="shared" si="4"/>
        <v/>
      </c>
      <c r="B303" s="78"/>
      <c r="C303" s="79"/>
      <c r="D303" s="80"/>
      <c r="E303" s="79"/>
      <c r="F303" s="88"/>
      <c r="G303" s="88"/>
      <c r="H303" s="80"/>
      <c r="I303" s="80"/>
      <c r="J303" s="79"/>
      <c r="K303" s="80"/>
      <c r="L303" s="80"/>
    </row>
    <row r="304" ht="18" customHeight="1" spans="1:12">
      <c r="A304" s="87" t="str">
        <f t="shared" si="4"/>
        <v/>
      </c>
      <c r="B304" s="78"/>
      <c r="C304" s="79"/>
      <c r="D304" s="80"/>
      <c r="E304" s="79"/>
      <c r="F304" s="88"/>
      <c r="G304" s="88"/>
      <c r="H304" s="80"/>
      <c r="I304" s="80"/>
      <c r="J304" s="79"/>
      <c r="K304" s="80"/>
      <c r="L304" s="80"/>
    </row>
    <row r="305" ht="18" customHeight="1" spans="1:12">
      <c r="A305" s="87" t="str">
        <f t="shared" si="4"/>
        <v/>
      </c>
      <c r="B305" s="78"/>
      <c r="C305" s="79"/>
      <c r="D305" s="80"/>
      <c r="E305" s="79"/>
      <c r="F305" s="88"/>
      <c r="G305" s="88"/>
      <c r="H305" s="80"/>
      <c r="I305" s="80"/>
      <c r="J305" s="79"/>
      <c r="K305" s="80"/>
      <c r="L305" s="80"/>
    </row>
    <row r="306" ht="18" customHeight="1" spans="1:12">
      <c r="A306" s="87" t="str">
        <f t="shared" si="4"/>
        <v/>
      </c>
      <c r="B306" s="78"/>
      <c r="C306" s="79"/>
      <c r="D306" s="80"/>
      <c r="E306" s="79"/>
      <c r="F306" s="88"/>
      <c r="G306" s="88"/>
      <c r="H306" s="80"/>
      <c r="I306" s="80"/>
      <c r="J306" s="79"/>
      <c r="K306" s="80"/>
      <c r="L306" s="80"/>
    </row>
    <row r="307" ht="18" customHeight="1" spans="1:12">
      <c r="A307" s="87" t="str">
        <f t="shared" si="4"/>
        <v/>
      </c>
      <c r="B307" s="78"/>
      <c r="C307" s="79"/>
      <c r="D307" s="80"/>
      <c r="E307" s="79"/>
      <c r="F307" s="88"/>
      <c r="G307" s="88"/>
      <c r="H307" s="80"/>
      <c r="I307" s="80"/>
      <c r="J307" s="79"/>
      <c r="K307" s="80"/>
      <c r="L307" s="80"/>
    </row>
    <row r="308" ht="18" customHeight="1" spans="1:12">
      <c r="A308" s="87" t="str">
        <f t="shared" si="4"/>
        <v/>
      </c>
      <c r="B308" s="78"/>
      <c r="C308" s="79"/>
      <c r="D308" s="80"/>
      <c r="E308" s="79"/>
      <c r="F308" s="88"/>
      <c r="G308" s="88"/>
      <c r="H308" s="80"/>
      <c r="I308" s="80"/>
      <c r="J308" s="79"/>
      <c r="K308" s="80"/>
      <c r="L308" s="80"/>
    </row>
    <row r="309" ht="18" customHeight="1" spans="1:12">
      <c r="A309" s="87" t="str">
        <f t="shared" si="4"/>
        <v/>
      </c>
      <c r="B309" s="78"/>
      <c r="C309" s="79"/>
      <c r="D309" s="80"/>
      <c r="E309" s="79"/>
      <c r="F309" s="88"/>
      <c r="G309" s="88"/>
      <c r="H309" s="80"/>
      <c r="I309" s="80"/>
      <c r="J309" s="79"/>
      <c r="K309" s="80"/>
      <c r="L309" s="80"/>
    </row>
    <row r="310" ht="18" customHeight="1" spans="1:12">
      <c r="A310" s="87" t="str">
        <f t="shared" si="4"/>
        <v/>
      </c>
      <c r="B310" s="78"/>
      <c r="C310" s="79"/>
      <c r="D310" s="80"/>
      <c r="E310" s="79"/>
      <c r="F310" s="88"/>
      <c r="G310" s="88"/>
      <c r="H310" s="80"/>
      <c r="I310" s="80"/>
      <c r="J310" s="79"/>
      <c r="K310" s="80"/>
      <c r="L310" s="80"/>
    </row>
    <row r="311" ht="18" customHeight="1" spans="1:12">
      <c r="A311" s="87" t="str">
        <f t="shared" si="4"/>
        <v/>
      </c>
      <c r="B311" s="78"/>
      <c r="C311" s="79"/>
      <c r="D311" s="80"/>
      <c r="E311" s="79"/>
      <c r="F311" s="88"/>
      <c r="G311" s="88"/>
      <c r="H311" s="80"/>
      <c r="I311" s="80"/>
      <c r="J311" s="79"/>
      <c r="K311" s="80"/>
      <c r="L311" s="80"/>
    </row>
    <row r="312" ht="18" customHeight="1" spans="1:12">
      <c r="A312" s="87" t="str">
        <f t="shared" si="4"/>
        <v/>
      </c>
      <c r="B312" s="78"/>
      <c r="C312" s="79"/>
      <c r="D312" s="80"/>
      <c r="E312" s="79"/>
      <c r="F312" s="88"/>
      <c r="G312" s="88"/>
      <c r="H312" s="80"/>
      <c r="I312" s="80"/>
      <c r="J312" s="79"/>
      <c r="K312" s="80"/>
      <c r="L312" s="80"/>
    </row>
    <row r="313" ht="18" customHeight="1" spans="1:12">
      <c r="A313" s="87" t="str">
        <f t="shared" si="4"/>
        <v/>
      </c>
      <c r="B313" s="78"/>
      <c r="C313" s="79"/>
      <c r="D313" s="80"/>
      <c r="E313" s="79"/>
      <c r="F313" s="88"/>
      <c r="G313" s="88"/>
      <c r="H313" s="80"/>
      <c r="I313" s="80"/>
      <c r="J313" s="79"/>
      <c r="K313" s="80"/>
      <c r="L313" s="80"/>
    </row>
    <row r="314" ht="18" customHeight="1" spans="1:12">
      <c r="A314" s="87" t="str">
        <f t="shared" si="4"/>
        <v/>
      </c>
      <c r="B314" s="78"/>
      <c r="C314" s="79"/>
      <c r="D314" s="80"/>
      <c r="E314" s="79"/>
      <c r="F314" s="88"/>
      <c r="G314" s="88"/>
      <c r="H314" s="80"/>
      <c r="I314" s="80"/>
      <c r="J314" s="79"/>
      <c r="K314" s="80"/>
      <c r="L314" s="80"/>
    </row>
    <row r="315" ht="18" customHeight="1" spans="1:12">
      <c r="A315" s="87" t="str">
        <f t="shared" si="4"/>
        <v/>
      </c>
      <c r="B315" s="78"/>
      <c r="C315" s="79"/>
      <c r="D315" s="80"/>
      <c r="E315" s="79"/>
      <c r="F315" s="88"/>
      <c r="G315" s="88"/>
      <c r="H315" s="80"/>
      <c r="I315" s="80"/>
      <c r="J315" s="79"/>
      <c r="K315" s="80"/>
      <c r="L315" s="80"/>
    </row>
    <row r="316" ht="18" customHeight="1" spans="1:12">
      <c r="A316" s="87" t="str">
        <f t="shared" si="4"/>
        <v/>
      </c>
      <c r="B316" s="78"/>
      <c r="C316" s="79"/>
      <c r="D316" s="80"/>
      <c r="E316" s="79"/>
      <c r="F316" s="88"/>
      <c r="G316" s="88"/>
      <c r="H316" s="80"/>
      <c r="I316" s="80"/>
      <c r="J316" s="79"/>
      <c r="K316" s="80"/>
      <c r="L316" s="80"/>
    </row>
    <row r="317" ht="18" customHeight="1" spans="1:12">
      <c r="A317" s="87" t="str">
        <f t="shared" si="4"/>
        <v/>
      </c>
      <c r="B317" s="78"/>
      <c r="C317" s="79"/>
      <c r="D317" s="80"/>
      <c r="E317" s="79"/>
      <c r="F317" s="88"/>
      <c r="G317" s="88"/>
      <c r="H317" s="80"/>
      <c r="I317" s="80"/>
      <c r="J317" s="79"/>
      <c r="K317" s="80"/>
      <c r="L317" s="80"/>
    </row>
    <row r="318" ht="18" customHeight="1" spans="1:12">
      <c r="A318" s="87" t="str">
        <f t="shared" si="4"/>
        <v/>
      </c>
      <c r="B318" s="78"/>
      <c r="C318" s="79"/>
      <c r="D318" s="80"/>
      <c r="E318" s="79"/>
      <c r="F318" s="88"/>
      <c r="G318" s="88"/>
      <c r="H318" s="80"/>
      <c r="I318" s="80"/>
      <c r="J318" s="79"/>
      <c r="K318" s="80"/>
      <c r="L318" s="80"/>
    </row>
    <row r="319" ht="18" customHeight="1" spans="1:12">
      <c r="A319" s="87" t="str">
        <f t="shared" si="4"/>
        <v/>
      </c>
      <c r="B319" s="78"/>
      <c r="C319" s="79"/>
      <c r="D319" s="80"/>
      <c r="E319" s="79"/>
      <c r="F319" s="88"/>
      <c r="G319" s="88"/>
      <c r="H319" s="80"/>
      <c r="I319" s="80"/>
      <c r="J319" s="79"/>
      <c r="K319" s="80"/>
      <c r="L319" s="80"/>
    </row>
    <row r="320" ht="18" customHeight="1" spans="1:12">
      <c r="A320" s="87" t="str">
        <f t="shared" si="4"/>
        <v/>
      </c>
      <c r="B320" s="78"/>
      <c r="C320" s="79"/>
      <c r="D320" s="80"/>
      <c r="E320" s="79"/>
      <c r="F320" s="88"/>
      <c r="G320" s="88"/>
      <c r="H320" s="80"/>
      <c r="I320" s="80"/>
      <c r="J320" s="79"/>
      <c r="K320" s="80"/>
      <c r="L320" s="80"/>
    </row>
    <row r="321" ht="18" customHeight="1" spans="1:12">
      <c r="A321" s="87" t="str">
        <f t="shared" si="4"/>
        <v/>
      </c>
      <c r="B321" s="78"/>
      <c r="C321" s="79"/>
      <c r="D321" s="80"/>
      <c r="E321" s="79"/>
      <c r="F321" s="88"/>
      <c r="G321" s="88"/>
      <c r="H321" s="80"/>
      <c r="I321" s="80"/>
      <c r="J321" s="79"/>
      <c r="K321" s="80"/>
      <c r="L321" s="80"/>
    </row>
    <row r="322" ht="18" customHeight="1" spans="1:12">
      <c r="A322" s="87" t="str">
        <f t="shared" si="4"/>
        <v/>
      </c>
      <c r="B322" s="78"/>
      <c r="C322" s="79"/>
      <c r="D322" s="80"/>
      <c r="E322" s="79"/>
      <c r="F322" s="88"/>
      <c r="G322" s="88"/>
      <c r="H322" s="80"/>
      <c r="I322" s="80"/>
      <c r="J322" s="79"/>
      <c r="K322" s="80"/>
      <c r="L322" s="80"/>
    </row>
    <row r="323" ht="18" customHeight="1" spans="1:12">
      <c r="A323" s="87" t="str">
        <f t="shared" si="4"/>
        <v/>
      </c>
      <c r="B323" s="78"/>
      <c r="C323" s="79"/>
      <c r="D323" s="80"/>
      <c r="E323" s="79"/>
      <c r="F323" s="88"/>
      <c r="G323" s="88"/>
      <c r="H323" s="80"/>
      <c r="I323" s="80"/>
      <c r="J323" s="79"/>
      <c r="K323" s="80"/>
      <c r="L323" s="80"/>
    </row>
    <row r="324" ht="18" customHeight="1" spans="1:12">
      <c r="A324" s="87" t="str">
        <f t="shared" ref="A324:A387" si="5">IF($C324="","",ROW()-3)</f>
        <v/>
      </c>
      <c r="B324" s="78"/>
      <c r="C324" s="79"/>
      <c r="D324" s="80"/>
      <c r="E324" s="79"/>
      <c r="F324" s="88"/>
      <c r="G324" s="88"/>
      <c r="H324" s="80"/>
      <c r="I324" s="80"/>
      <c r="J324" s="79"/>
      <c r="K324" s="80"/>
      <c r="L324" s="80"/>
    </row>
    <row r="325" ht="18" customHeight="1" spans="1:12">
      <c r="A325" s="87" t="str">
        <f t="shared" si="5"/>
        <v/>
      </c>
      <c r="B325" s="78"/>
      <c r="C325" s="79"/>
      <c r="D325" s="80"/>
      <c r="E325" s="79"/>
      <c r="F325" s="88"/>
      <c r="G325" s="88"/>
      <c r="H325" s="80"/>
      <c r="I325" s="80"/>
      <c r="J325" s="79"/>
      <c r="K325" s="80"/>
      <c r="L325" s="80"/>
    </row>
    <row r="326" ht="18" customHeight="1" spans="1:12">
      <c r="A326" s="87" t="str">
        <f t="shared" si="5"/>
        <v/>
      </c>
      <c r="B326" s="78"/>
      <c r="C326" s="79"/>
      <c r="D326" s="80"/>
      <c r="E326" s="79"/>
      <c r="F326" s="88"/>
      <c r="G326" s="88"/>
      <c r="H326" s="80"/>
      <c r="I326" s="80"/>
      <c r="J326" s="79"/>
      <c r="K326" s="80"/>
      <c r="L326" s="80"/>
    </row>
    <row r="327" ht="18" customHeight="1" spans="1:12">
      <c r="A327" s="87" t="str">
        <f t="shared" si="5"/>
        <v/>
      </c>
      <c r="B327" s="78"/>
      <c r="C327" s="79"/>
      <c r="D327" s="80"/>
      <c r="E327" s="79"/>
      <c r="F327" s="88"/>
      <c r="G327" s="88"/>
      <c r="H327" s="80"/>
      <c r="I327" s="80"/>
      <c r="J327" s="79"/>
      <c r="K327" s="80"/>
      <c r="L327" s="80"/>
    </row>
    <row r="328" ht="18" customHeight="1" spans="1:12">
      <c r="A328" s="87" t="str">
        <f t="shared" si="5"/>
        <v/>
      </c>
      <c r="B328" s="78"/>
      <c r="C328" s="79"/>
      <c r="D328" s="80"/>
      <c r="E328" s="79"/>
      <c r="F328" s="88"/>
      <c r="G328" s="88"/>
      <c r="H328" s="80"/>
      <c r="I328" s="80"/>
      <c r="J328" s="79"/>
      <c r="K328" s="80"/>
      <c r="L328" s="80"/>
    </row>
    <row r="329" ht="18" customHeight="1" spans="1:12">
      <c r="A329" s="87" t="str">
        <f t="shared" si="5"/>
        <v/>
      </c>
      <c r="B329" s="78"/>
      <c r="C329" s="79"/>
      <c r="D329" s="80"/>
      <c r="E329" s="79"/>
      <c r="F329" s="88"/>
      <c r="G329" s="88"/>
      <c r="H329" s="80"/>
      <c r="I329" s="80"/>
      <c r="J329" s="79"/>
      <c r="K329" s="80"/>
      <c r="L329" s="80"/>
    </row>
    <row r="330" ht="18" customHeight="1" spans="1:12">
      <c r="A330" s="87" t="str">
        <f t="shared" si="5"/>
        <v/>
      </c>
      <c r="B330" s="78"/>
      <c r="C330" s="79"/>
      <c r="D330" s="80"/>
      <c r="E330" s="79"/>
      <c r="F330" s="88"/>
      <c r="G330" s="88"/>
      <c r="H330" s="80"/>
      <c r="I330" s="80"/>
      <c r="J330" s="79"/>
      <c r="K330" s="80"/>
      <c r="L330" s="80"/>
    </row>
    <row r="331" ht="18" customHeight="1" spans="1:12">
      <c r="A331" s="87" t="str">
        <f t="shared" si="5"/>
        <v/>
      </c>
      <c r="B331" s="78"/>
      <c r="C331" s="79"/>
      <c r="D331" s="80"/>
      <c r="E331" s="79"/>
      <c r="F331" s="88"/>
      <c r="G331" s="88"/>
      <c r="H331" s="80"/>
      <c r="I331" s="80"/>
      <c r="J331" s="79"/>
      <c r="K331" s="80"/>
      <c r="L331" s="80"/>
    </row>
    <row r="332" ht="18" customHeight="1" spans="1:12">
      <c r="A332" s="87" t="str">
        <f t="shared" si="5"/>
        <v/>
      </c>
      <c r="B332" s="78"/>
      <c r="C332" s="79"/>
      <c r="D332" s="80"/>
      <c r="E332" s="79"/>
      <c r="F332" s="88"/>
      <c r="G332" s="88"/>
      <c r="H332" s="80"/>
      <c r="I332" s="80"/>
      <c r="J332" s="79"/>
      <c r="K332" s="80"/>
      <c r="L332" s="80"/>
    </row>
    <row r="333" ht="18" customHeight="1" spans="1:12">
      <c r="A333" s="87" t="str">
        <f t="shared" si="5"/>
        <v/>
      </c>
      <c r="B333" s="78"/>
      <c r="C333" s="79"/>
      <c r="D333" s="80"/>
      <c r="E333" s="79"/>
      <c r="F333" s="88"/>
      <c r="G333" s="88"/>
      <c r="H333" s="80"/>
      <c r="I333" s="80"/>
      <c r="J333" s="79"/>
      <c r="K333" s="80"/>
      <c r="L333" s="80"/>
    </row>
    <row r="334" ht="18" customHeight="1" spans="1:12">
      <c r="A334" s="87" t="str">
        <f t="shared" si="5"/>
        <v/>
      </c>
      <c r="B334" s="78"/>
      <c r="C334" s="79"/>
      <c r="D334" s="80"/>
      <c r="E334" s="79"/>
      <c r="F334" s="88"/>
      <c r="G334" s="88"/>
      <c r="H334" s="80"/>
      <c r="I334" s="80"/>
      <c r="J334" s="79"/>
      <c r="K334" s="80"/>
      <c r="L334" s="80"/>
    </row>
    <row r="335" ht="18" customHeight="1" spans="1:12">
      <c r="A335" s="87" t="str">
        <f t="shared" si="5"/>
        <v/>
      </c>
      <c r="B335" s="78"/>
      <c r="C335" s="79"/>
      <c r="D335" s="80"/>
      <c r="E335" s="79"/>
      <c r="F335" s="88"/>
      <c r="G335" s="88"/>
      <c r="H335" s="80"/>
      <c r="I335" s="80"/>
      <c r="J335" s="79"/>
      <c r="K335" s="80"/>
      <c r="L335" s="80"/>
    </row>
    <row r="336" ht="18" customHeight="1" spans="1:12">
      <c r="A336" s="87" t="str">
        <f t="shared" si="5"/>
        <v/>
      </c>
      <c r="B336" s="78"/>
      <c r="C336" s="79"/>
      <c r="D336" s="80"/>
      <c r="E336" s="79"/>
      <c r="F336" s="88"/>
      <c r="G336" s="88"/>
      <c r="H336" s="80"/>
      <c r="I336" s="80"/>
      <c r="J336" s="79"/>
      <c r="K336" s="80"/>
      <c r="L336" s="80"/>
    </row>
    <row r="337" ht="18" customHeight="1" spans="1:12">
      <c r="A337" s="87" t="str">
        <f t="shared" si="5"/>
        <v/>
      </c>
      <c r="B337" s="78"/>
      <c r="C337" s="79"/>
      <c r="D337" s="80"/>
      <c r="E337" s="79"/>
      <c r="F337" s="88"/>
      <c r="G337" s="88"/>
      <c r="H337" s="80"/>
      <c r="I337" s="80"/>
      <c r="J337" s="79"/>
      <c r="K337" s="80"/>
      <c r="L337" s="80"/>
    </row>
    <row r="338" ht="18" customHeight="1" spans="1:12">
      <c r="A338" s="87" t="str">
        <f t="shared" si="5"/>
        <v/>
      </c>
      <c r="B338" s="78"/>
      <c r="C338" s="79"/>
      <c r="D338" s="80"/>
      <c r="E338" s="79"/>
      <c r="F338" s="88"/>
      <c r="G338" s="88"/>
      <c r="H338" s="80"/>
      <c r="I338" s="80"/>
      <c r="J338" s="79"/>
      <c r="K338" s="80"/>
      <c r="L338" s="80"/>
    </row>
    <row r="339" ht="18" customHeight="1" spans="1:12">
      <c r="A339" s="87" t="str">
        <f t="shared" si="5"/>
        <v/>
      </c>
      <c r="B339" s="78"/>
      <c r="C339" s="79"/>
      <c r="D339" s="80"/>
      <c r="E339" s="79"/>
      <c r="F339" s="88"/>
      <c r="G339" s="88"/>
      <c r="H339" s="80"/>
      <c r="I339" s="80"/>
      <c r="J339" s="79"/>
      <c r="K339" s="80"/>
      <c r="L339" s="80"/>
    </row>
    <row r="340" ht="18" customHeight="1" spans="1:12">
      <c r="A340" s="87" t="str">
        <f t="shared" si="5"/>
        <v/>
      </c>
      <c r="B340" s="78"/>
      <c r="C340" s="79"/>
      <c r="D340" s="80"/>
      <c r="E340" s="79"/>
      <c r="F340" s="88"/>
      <c r="G340" s="88"/>
      <c r="H340" s="80"/>
      <c r="I340" s="80"/>
      <c r="J340" s="79"/>
      <c r="K340" s="80"/>
      <c r="L340" s="80"/>
    </row>
    <row r="341" ht="18" customHeight="1" spans="1:12">
      <c r="A341" s="87" t="str">
        <f t="shared" si="5"/>
        <v/>
      </c>
      <c r="B341" s="78"/>
      <c r="C341" s="79"/>
      <c r="D341" s="80"/>
      <c r="E341" s="79"/>
      <c r="F341" s="88"/>
      <c r="G341" s="88"/>
      <c r="H341" s="80"/>
      <c r="I341" s="80"/>
      <c r="J341" s="79"/>
      <c r="K341" s="80"/>
      <c r="L341" s="80"/>
    </row>
    <row r="342" ht="18" customHeight="1" spans="1:12">
      <c r="A342" s="87" t="str">
        <f t="shared" si="5"/>
        <v/>
      </c>
      <c r="B342" s="78"/>
      <c r="C342" s="79"/>
      <c r="D342" s="80"/>
      <c r="E342" s="79"/>
      <c r="F342" s="88"/>
      <c r="G342" s="88"/>
      <c r="H342" s="80"/>
      <c r="I342" s="80"/>
      <c r="J342" s="79"/>
      <c r="K342" s="80"/>
      <c r="L342" s="80"/>
    </row>
    <row r="343" ht="18" customHeight="1" spans="1:12">
      <c r="A343" s="87" t="str">
        <f t="shared" si="5"/>
        <v/>
      </c>
      <c r="B343" s="78"/>
      <c r="C343" s="79"/>
      <c r="D343" s="80"/>
      <c r="E343" s="79"/>
      <c r="F343" s="88"/>
      <c r="G343" s="88"/>
      <c r="H343" s="80"/>
      <c r="I343" s="80"/>
      <c r="J343" s="79"/>
      <c r="K343" s="80"/>
      <c r="L343" s="80"/>
    </row>
    <row r="344" ht="18" customHeight="1" spans="1:12">
      <c r="A344" s="87" t="str">
        <f t="shared" si="5"/>
        <v/>
      </c>
      <c r="B344" s="78"/>
      <c r="C344" s="79"/>
      <c r="D344" s="80"/>
      <c r="E344" s="79"/>
      <c r="F344" s="88"/>
      <c r="G344" s="88"/>
      <c r="H344" s="80"/>
      <c r="I344" s="80"/>
      <c r="J344" s="79"/>
      <c r="K344" s="80"/>
      <c r="L344" s="80"/>
    </row>
    <row r="345" ht="18" customHeight="1" spans="1:12">
      <c r="A345" s="87" t="str">
        <f t="shared" si="5"/>
        <v/>
      </c>
      <c r="B345" s="78"/>
      <c r="C345" s="79"/>
      <c r="D345" s="80"/>
      <c r="E345" s="79"/>
      <c r="F345" s="88"/>
      <c r="G345" s="88"/>
      <c r="H345" s="80"/>
      <c r="I345" s="80"/>
      <c r="J345" s="79"/>
      <c r="K345" s="80"/>
      <c r="L345" s="80"/>
    </row>
    <row r="346" ht="18" customHeight="1" spans="1:12">
      <c r="A346" s="87" t="str">
        <f t="shared" si="5"/>
        <v/>
      </c>
      <c r="B346" s="78"/>
      <c r="C346" s="79"/>
      <c r="D346" s="80"/>
      <c r="E346" s="79"/>
      <c r="F346" s="88"/>
      <c r="G346" s="88"/>
      <c r="H346" s="80"/>
      <c r="I346" s="80"/>
      <c r="J346" s="79"/>
      <c r="K346" s="80"/>
      <c r="L346" s="80"/>
    </row>
    <row r="347" ht="18" customHeight="1" spans="1:12">
      <c r="A347" s="87" t="str">
        <f t="shared" si="5"/>
        <v/>
      </c>
      <c r="B347" s="78"/>
      <c r="C347" s="79"/>
      <c r="D347" s="80"/>
      <c r="E347" s="79"/>
      <c r="F347" s="88"/>
      <c r="G347" s="88"/>
      <c r="H347" s="80"/>
      <c r="I347" s="80"/>
      <c r="J347" s="79"/>
      <c r="K347" s="80"/>
      <c r="L347" s="80"/>
    </row>
    <row r="348" ht="18" customHeight="1" spans="1:12">
      <c r="A348" s="87" t="str">
        <f t="shared" si="5"/>
        <v/>
      </c>
      <c r="B348" s="78"/>
      <c r="C348" s="79"/>
      <c r="D348" s="80"/>
      <c r="E348" s="79"/>
      <c r="F348" s="88"/>
      <c r="G348" s="88"/>
      <c r="H348" s="80"/>
      <c r="I348" s="80"/>
      <c r="J348" s="79"/>
      <c r="K348" s="80"/>
      <c r="L348" s="80"/>
    </row>
    <row r="349" ht="18" customHeight="1" spans="1:12">
      <c r="A349" s="87" t="str">
        <f t="shared" si="5"/>
        <v/>
      </c>
      <c r="B349" s="78"/>
      <c r="C349" s="79"/>
      <c r="D349" s="80"/>
      <c r="E349" s="79"/>
      <c r="F349" s="88"/>
      <c r="G349" s="88"/>
      <c r="H349" s="80"/>
      <c r="I349" s="80"/>
      <c r="J349" s="79"/>
      <c r="K349" s="80"/>
      <c r="L349" s="80"/>
    </row>
    <row r="350" ht="18" customHeight="1" spans="1:12">
      <c r="A350" s="87" t="str">
        <f t="shared" si="5"/>
        <v/>
      </c>
      <c r="B350" s="78"/>
      <c r="C350" s="79"/>
      <c r="D350" s="80"/>
      <c r="E350" s="79"/>
      <c r="F350" s="88"/>
      <c r="G350" s="88"/>
      <c r="H350" s="80"/>
      <c r="I350" s="80"/>
      <c r="J350" s="79"/>
      <c r="K350" s="80"/>
      <c r="L350" s="80"/>
    </row>
    <row r="351" ht="18" customHeight="1" spans="1:12">
      <c r="A351" s="87" t="str">
        <f t="shared" si="5"/>
        <v/>
      </c>
      <c r="B351" s="78"/>
      <c r="C351" s="79"/>
      <c r="D351" s="80"/>
      <c r="E351" s="79"/>
      <c r="F351" s="88"/>
      <c r="G351" s="88"/>
      <c r="H351" s="80"/>
      <c r="I351" s="80"/>
      <c r="J351" s="79"/>
      <c r="K351" s="80"/>
      <c r="L351" s="80"/>
    </row>
    <row r="352" ht="18" customHeight="1" spans="1:12">
      <c r="A352" s="87" t="str">
        <f t="shared" si="5"/>
        <v/>
      </c>
      <c r="B352" s="78"/>
      <c r="C352" s="79"/>
      <c r="D352" s="80"/>
      <c r="E352" s="79"/>
      <c r="F352" s="88"/>
      <c r="G352" s="88"/>
      <c r="H352" s="80"/>
      <c r="I352" s="80"/>
      <c r="J352" s="79"/>
      <c r="K352" s="80"/>
      <c r="L352" s="80"/>
    </row>
    <row r="353" ht="18" customHeight="1" spans="1:12">
      <c r="A353" s="87" t="str">
        <f t="shared" si="5"/>
        <v/>
      </c>
      <c r="B353" s="78"/>
      <c r="C353" s="79"/>
      <c r="D353" s="80"/>
      <c r="E353" s="79"/>
      <c r="F353" s="88"/>
      <c r="G353" s="88"/>
      <c r="H353" s="80"/>
      <c r="I353" s="80"/>
      <c r="J353" s="79"/>
      <c r="K353" s="80"/>
      <c r="L353" s="80"/>
    </row>
    <row r="354" ht="18" customHeight="1" spans="1:12">
      <c r="A354" s="87" t="str">
        <f t="shared" si="5"/>
        <v/>
      </c>
      <c r="B354" s="78"/>
      <c r="C354" s="79"/>
      <c r="D354" s="80"/>
      <c r="E354" s="79"/>
      <c r="F354" s="88"/>
      <c r="G354" s="88"/>
      <c r="H354" s="80"/>
      <c r="I354" s="80"/>
      <c r="J354" s="79"/>
      <c r="K354" s="80"/>
      <c r="L354" s="80"/>
    </row>
    <row r="355" ht="18" customHeight="1" spans="1:12">
      <c r="A355" s="87" t="str">
        <f t="shared" si="5"/>
        <v/>
      </c>
      <c r="B355" s="78"/>
      <c r="C355" s="79"/>
      <c r="D355" s="80"/>
      <c r="E355" s="79"/>
      <c r="F355" s="88"/>
      <c r="G355" s="88"/>
      <c r="H355" s="80"/>
      <c r="I355" s="80"/>
      <c r="J355" s="79"/>
      <c r="K355" s="80"/>
      <c r="L355" s="80"/>
    </row>
    <row r="356" ht="18" customHeight="1" spans="1:12">
      <c r="A356" s="87" t="str">
        <f t="shared" si="5"/>
        <v/>
      </c>
      <c r="B356" s="78"/>
      <c r="C356" s="79"/>
      <c r="D356" s="80"/>
      <c r="E356" s="79"/>
      <c r="F356" s="88"/>
      <c r="G356" s="88"/>
      <c r="H356" s="80"/>
      <c r="I356" s="80"/>
      <c r="J356" s="79"/>
      <c r="K356" s="80"/>
      <c r="L356" s="80"/>
    </row>
    <row r="357" ht="18" customHeight="1" spans="1:12">
      <c r="A357" s="87" t="str">
        <f t="shared" si="5"/>
        <v/>
      </c>
      <c r="B357" s="78"/>
      <c r="C357" s="79"/>
      <c r="D357" s="80"/>
      <c r="E357" s="79"/>
      <c r="F357" s="88"/>
      <c r="G357" s="88"/>
      <c r="H357" s="80"/>
      <c r="I357" s="80"/>
      <c r="J357" s="79"/>
      <c r="K357" s="80"/>
      <c r="L357" s="80"/>
    </row>
    <row r="358" ht="18" customHeight="1" spans="1:12">
      <c r="A358" s="87" t="str">
        <f t="shared" si="5"/>
        <v/>
      </c>
      <c r="B358" s="78"/>
      <c r="C358" s="79"/>
      <c r="D358" s="80"/>
      <c r="E358" s="79"/>
      <c r="F358" s="88"/>
      <c r="G358" s="88"/>
      <c r="H358" s="80"/>
      <c r="I358" s="80"/>
      <c r="J358" s="79"/>
      <c r="K358" s="80"/>
      <c r="L358" s="80"/>
    </row>
    <row r="359" ht="18" customHeight="1" spans="1:12">
      <c r="A359" s="87" t="str">
        <f t="shared" si="5"/>
        <v/>
      </c>
      <c r="B359" s="78"/>
      <c r="C359" s="79"/>
      <c r="D359" s="80"/>
      <c r="E359" s="79"/>
      <c r="F359" s="88"/>
      <c r="G359" s="88"/>
      <c r="H359" s="80"/>
      <c r="I359" s="80"/>
      <c r="J359" s="79"/>
      <c r="K359" s="80"/>
      <c r="L359" s="80"/>
    </row>
    <row r="360" ht="18" customHeight="1" spans="1:12">
      <c r="A360" s="87" t="str">
        <f t="shared" si="5"/>
        <v/>
      </c>
      <c r="B360" s="78"/>
      <c r="C360" s="79"/>
      <c r="D360" s="80"/>
      <c r="E360" s="79"/>
      <c r="F360" s="88"/>
      <c r="G360" s="88"/>
      <c r="H360" s="80"/>
      <c r="I360" s="80"/>
      <c r="J360" s="79"/>
      <c r="K360" s="80"/>
      <c r="L360" s="80"/>
    </row>
    <row r="361" ht="18" customHeight="1" spans="1:12">
      <c r="A361" s="87" t="str">
        <f t="shared" si="5"/>
        <v/>
      </c>
      <c r="B361" s="78"/>
      <c r="C361" s="79"/>
      <c r="D361" s="80"/>
      <c r="E361" s="79"/>
      <c r="F361" s="88"/>
      <c r="G361" s="88"/>
      <c r="H361" s="80"/>
      <c r="I361" s="80"/>
      <c r="J361" s="79"/>
      <c r="K361" s="80"/>
      <c r="L361" s="80"/>
    </row>
    <row r="362" ht="18" customHeight="1" spans="1:12">
      <c r="A362" s="87" t="str">
        <f t="shared" si="5"/>
        <v/>
      </c>
      <c r="B362" s="78"/>
      <c r="C362" s="79"/>
      <c r="D362" s="80"/>
      <c r="E362" s="79"/>
      <c r="F362" s="88"/>
      <c r="G362" s="88"/>
      <c r="H362" s="80"/>
      <c r="I362" s="80"/>
      <c r="J362" s="79"/>
      <c r="K362" s="80"/>
      <c r="L362" s="80"/>
    </row>
    <row r="363" ht="18" customHeight="1" spans="1:12">
      <c r="A363" s="87" t="str">
        <f t="shared" si="5"/>
        <v/>
      </c>
      <c r="B363" s="78"/>
      <c r="C363" s="79"/>
      <c r="D363" s="80"/>
      <c r="E363" s="79"/>
      <c r="F363" s="88"/>
      <c r="G363" s="88"/>
      <c r="H363" s="80"/>
      <c r="I363" s="80"/>
      <c r="J363" s="79"/>
      <c r="K363" s="80"/>
      <c r="L363" s="80"/>
    </row>
    <row r="364" ht="18" customHeight="1" spans="1:12">
      <c r="A364" s="87" t="str">
        <f t="shared" si="5"/>
        <v/>
      </c>
      <c r="B364" s="78"/>
      <c r="C364" s="79"/>
      <c r="D364" s="80"/>
      <c r="E364" s="79"/>
      <c r="F364" s="88"/>
      <c r="G364" s="88"/>
      <c r="H364" s="80"/>
      <c r="I364" s="80"/>
      <c r="J364" s="79"/>
      <c r="K364" s="80"/>
      <c r="L364" s="80"/>
    </row>
    <row r="365" ht="18" customHeight="1" spans="1:12">
      <c r="A365" s="87" t="str">
        <f t="shared" si="5"/>
        <v/>
      </c>
      <c r="B365" s="78"/>
      <c r="C365" s="79"/>
      <c r="D365" s="80"/>
      <c r="E365" s="79"/>
      <c r="F365" s="88"/>
      <c r="G365" s="88"/>
      <c r="H365" s="80"/>
      <c r="I365" s="80"/>
      <c r="J365" s="79"/>
      <c r="K365" s="80"/>
      <c r="L365" s="80"/>
    </row>
    <row r="366" ht="18" customHeight="1" spans="1:12">
      <c r="A366" s="87" t="str">
        <f t="shared" si="5"/>
        <v/>
      </c>
      <c r="B366" s="78"/>
      <c r="C366" s="79"/>
      <c r="D366" s="80"/>
      <c r="E366" s="79"/>
      <c r="F366" s="88"/>
      <c r="G366" s="88"/>
      <c r="H366" s="80"/>
      <c r="I366" s="80"/>
      <c r="J366" s="79"/>
      <c r="K366" s="80"/>
      <c r="L366" s="80"/>
    </row>
    <row r="367" ht="18" customHeight="1" spans="1:12">
      <c r="A367" s="87" t="str">
        <f t="shared" si="5"/>
        <v/>
      </c>
      <c r="B367" s="78"/>
      <c r="C367" s="79"/>
      <c r="D367" s="80"/>
      <c r="E367" s="79"/>
      <c r="F367" s="88"/>
      <c r="G367" s="88"/>
      <c r="H367" s="80"/>
      <c r="I367" s="80"/>
      <c r="J367" s="79"/>
      <c r="K367" s="80"/>
      <c r="L367" s="80"/>
    </row>
    <row r="368" ht="18" customHeight="1" spans="1:12">
      <c r="A368" s="87" t="str">
        <f t="shared" si="5"/>
        <v/>
      </c>
      <c r="B368" s="78"/>
      <c r="C368" s="79"/>
      <c r="D368" s="80"/>
      <c r="E368" s="79"/>
      <c r="F368" s="88"/>
      <c r="G368" s="88"/>
      <c r="H368" s="80"/>
      <c r="I368" s="80"/>
      <c r="J368" s="79"/>
      <c r="K368" s="80"/>
      <c r="L368" s="80"/>
    </row>
    <row r="369" ht="18" customHeight="1" spans="1:12">
      <c r="A369" s="87" t="str">
        <f t="shared" si="5"/>
        <v/>
      </c>
      <c r="B369" s="78"/>
      <c r="C369" s="79"/>
      <c r="D369" s="80"/>
      <c r="E369" s="79"/>
      <c r="F369" s="88"/>
      <c r="G369" s="88"/>
      <c r="H369" s="80"/>
      <c r="I369" s="80"/>
      <c r="J369" s="79"/>
      <c r="K369" s="80"/>
      <c r="L369" s="80"/>
    </row>
    <row r="370" ht="18" customHeight="1" spans="1:12">
      <c r="A370" s="87" t="str">
        <f t="shared" si="5"/>
        <v/>
      </c>
      <c r="B370" s="78"/>
      <c r="C370" s="79"/>
      <c r="D370" s="80"/>
      <c r="E370" s="79"/>
      <c r="F370" s="88"/>
      <c r="G370" s="88"/>
      <c r="H370" s="80"/>
      <c r="I370" s="80"/>
      <c r="J370" s="79"/>
      <c r="K370" s="80"/>
      <c r="L370" s="80"/>
    </row>
    <row r="371" ht="18" customHeight="1" spans="1:12">
      <c r="A371" s="87" t="str">
        <f t="shared" si="5"/>
        <v/>
      </c>
      <c r="B371" s="78"/>
      <c r="C371" s="79"/>
      <c r="D371" s="80"/>
      <c r="E371" s="79"/>
      <c r="F371" s="88"/>
      <c r="G371" s="88"/>
      <c r="H371" s="80"/>
      <c r="I371" s="80"/>
      <c r="J371" s="79"/>
      <c r="K371" s="80"/>
      <c r="L371" s="80"/>
    </row>
    <row r="372" ht="18" customHeight="1" spans="1:12">
      <c r="A372" s="87" t="str">
        <f t="shared" si="5"/>
        <v/>
      </c>
      <c r="B372" s="78"/>
      <c r="C372" s="79"/>
      <c r="D372" s="80"/>
      <c r="E372" s="79"/>
      <c r="F372" s="88"/>
      <c r="G372" s="88"/>
      <c r="H372" s="80"/>
      <c r="I372" s="80"/>
      <c r="J372" s="79"/>
      <c r="K372" s="80"/>
      <c r="L372" s="80"/>
    </row>
    <row r="373" ht="18" customHeight="1" spans="1:12">
      <c r="A373" s="87" t="str">
        <f t="shared" si="5"/>
        <v/>
      </c>
      <c r="B373" s="78"/>
      <c r="C373" s="79"/>
      <c r="D373" s="80"/>
      <c r="E373" s="79"/>
      <c r="F373" s="88"/>
      <c r="G373" s="88"/>
      <c r="H373" s="80"/>
      <c r="I373" s="80"/>
      <c r="J373" s="79"/>
      <c r="K373" s="80"/>
      <c r="L373" s="80"/>
    </row>
    <row r="374" ht="18" customHeight="1" spans="1:12">
      <c r="A374" s="87" t="str">
        <f t="shared" si="5"/>
        <v/>
      </c>
      <c r="B374" s="78"/>
      <c r="C374" s="79"/>
      <c r="D374" s="80"/>
      <c r="E374" s="79"/>
      <c r="F374" s="88"/>
      <c r="G374" s="88"/>
      <c r="H374" s="80"/>
      <c r="I374" s="80"/>
      <c r="J374" s="79"/>
      <c r="K374" s="80"/>
      <c r="L374" s="80"/>
    </row>
    <row r="375" ht="18" customHeight="1" spans="1:12">
      <c r="A375" s="87" t="str">
        <f t="shared" si="5"/>
        <v/>
      </c>
      <c r="B375" s="78"/>
      <c r="C375" s="79"/>
      <c r="D375" s="80"/>
      <c r="E375" s="79"/>
      <c r="F375" s="88"/>
      <c r="G375" s="88"/>
      <c r="H375" s="80"/>
      <c r="I375" s="80"/>
      <c r="J375" s="79"/>
      <c r="K375" s="80"/>
      <c r="L375" s="80"/>
    </row>
    <row r="376" ht="18" customHeight="1" spans="1:12">
      <c r="A376" s="87" t="str">
        <f t="shared" si="5"/>
        <v/>
      </c>
      <c r="B376" s="78"/>
      <c r="C376" s="79"/>
      <c r="D376" s="80"/>
      <c r="E376" s="79"/>
      <c r="F376" s="88"/>
      <c r="G376" s="88"/>
      <c r="H376" s="80"/>
      <c r="I376" s="80"/>
      <c r="J376" s="79"/>
      <c r="K376" s="80"/>
      <c r="L376" s="80"/>
    </row>
    <row r="377" ht="18" customHeight="1" spans="1:12">
      <c r="A377" s="87" t="str">
        <f t="shared" si="5"/>
        <v/>
      </c>
      <c r="B377" s="78"/>
      <c r="C377" s="79"/>
      <c r="D377" s="80"/>
      <c r="E377" s="79"/>
      <c r="F377" s="88"/>
      <c r="G377" s="88"/>
      <c r="H377" s="80"/>
      <c r="I377" s="80"/>
      <c r="J377" s="79"/>
      <c r="K377" s="80"/>
      <c r="L377" s="80"/>
    </row>
    <row r="378" ht="18" customHeight="1" spans="1:12">
      <c r="A378" s="87" t="str">
        <f t="shared" si="5"/>
        <v/>
      </c>
      <c r="B378" s="78"/>
      <c r="C378" s="79"/>
      <c r="D378" s="80"/>
      <c r="E378" s="79"/>
      <c r="F378" s="88"/>
      <c r="G378" s="88"/>
      <c r="H378" s="80"/>
      <c r="I378" s="80"/>
      <c r="J378" s="79"/>
      <c r="K378" s="80"/>
      <c r="L378" s="80"/>
    </row>
    <row r="379" ht="18" customHeight="1" spans="1:12">
      <c r="A379" s="87" t="str">
        <f t="shared" si="5"/>
        <v/>
      </c>
      <c r="B379" s="78"/>
      <c r="C379" s="79"/>
      <c r="D379" s="80"/>
      <c r="E379" s="79"/>
      <c r="F379" s="88"/>
      <c r="G379" s="88"/>
      <c r="H379" s="80"/>
      <c r="I379" s="80"/>
      <c r="J379" s="79"/>
      <c r="K379" s="80"/>
      <c r="L379" s="80"/>
    </row>
    <row r="380" ht="18" customHeight="1" spans="1:12">
      <c r="A380" s="87" t="str">
        <f t="shared" si="5"/>
        <v/>
      </c>
      <c r="B380" s="78"/>
      <c r="C380" s="79"/>
      <c r="D380" s="80"/>
      <c r="E380" s="79"/>
      <c r="F380" s="88"/>
      <c r="G380" s="88"/>
      <c r="H380" s="80"/>
      <c r="I380" s="80"/>
      <c r="J380" s="79"/>
      <c r="K380" s="80"/>
      <c r="L380" s="80"/>
    </row>
    <row r="381" ht="18" customHeight="1" spans="1:12">
      <c r="A381" s="87" t="str">
        <f t="shared" si="5"/>
        <v/>
      </c>
      <c r="B381" s="78"/>
      <c r="C381" s="79"/>
      <c r="D381" s="80"/>
      <c r="E381" s="79"/>
      <c r="F381" s="88"/>
      <c r="G381" s="88"/>
      <c r="H381" s="80"/>
      <c r="I381" s="80"/>
      <c r="J381" s="79"/>
      <c r="K381" s="80"/>
      <c r="L381" s="80"/>
    </row>
    <row r="382" ht="18" customHeight="1" spans="1:12">
      <c r="A382" s="87" t="str">
        <f t="shared" si="5"/>
        <v/>
      </c>
      <c r="B382" s="78"/>
      <c r="C382" s="79"/>
      <c r="D382" s="80"/>
      <c r="E382" s="79"/>
      <c r="F382" s="88"/>
      <c r="G382" s="88"/>
      <c r="H382" s="80"/>
      <c r="I382" s="80"/>
      <c r="J382" s="79"/>
      <c r="K382" s="80"/>
      <c r="L382" s="80"/>
    </row>
    <row r="383" ht="18" customHeight="1" spans="1:12">
      <c r="A383" s="87" t="str">
        <f t="shared" si="5"/>
        <v/>
      </c>
      <c r="B383" s="78"/>
      <c r="C383" s="79"/>
      <c r="D383" s="80"/>
      <c r="E383" s="79"/>
      <c r="F383" s="88"/>
      <c r="G383" s="88"/>
      <c r="H383" s="80"/>
      <c r="I383" s="80"/>
      <c r="J383" s="79"/>
      <c r="K383" s="80"/>
      <c r="L383" s="80"/>
    </row>
    <row r="384" ht="18" customHeight="1" spans="1:12">
      <c r="A384" s="87" t="str">
        <f t="shared" si="5"/>
        <v/>
      </c>
      <c r="B384" s="78"/>
      <c r="C384" s="79"/>
      <c r="D384" s="80"/>
      <c r="E384" s="79"/>
      <c r="F384" s="88"/>
      <c r="G384" s="88"/>
      <c r="H384" s="80"/>
      <c r="I384" s="80"/>
      <c r="J384" s="79"/>
      <c r="K384" s="80"/>
      <c r="L384" s="80"/>
    </row>
    <row r="385" ht="18" customHeight="1" spans="1:12">
      <c r="A385" s="87" t="str">
        <f t="shared" si="5"/>
        <v/>
      </c>
      <c r="B385" s="78"/>
      <c r="C385" s="79"/>
      <c r="D385" s="80"/>
      <c r="E385" s="79"/>
      <c r="F385" s="88"/>
      <c r="G385" s="88"/>
      <c r="H385" s="80"/>
      <c r="I385" s="80"/>
      <c r="J385" s="79"/>
      <c r="K385" s="80"/>
      <c r="L385" s="80"/>
    </row>
    <row r="386" ht="18" customHeight="1" spans="1:12">
      <c r="A386" s="87" t="str">
        <f t="shared" si="5"/>
        <v/>
      </c>
      <c r="B386" s="78"/>
      <c r="C386" s="79"/>
      <c r="D386" s="80"/>
      <c r="E386" s="79"/>
      <c r="F386" s="88"/>
      <c r="G386" s="88"/>
      <c r="H386" s="80"/>
      <c r="I386" s="80"/>
      <c r="J386" s="79"/>
      <c r="K386" s="80"/>
      <c r="L386" s="80"/>
    </row>
    <row r="387" ht="18" customHeight="1" spans="1:12">
      <c r="A387" s="87" t="str">
        <f t="shared" si="5"/>
        <v/>
      </c>
      <c r="B387" s="78"/>
      <c r="C387" s="79"/>
      <c r="D387" s="80"/>
      <c r="E387" s="79"/>
      <c r="F387" s="88"/>
      <c r="G387" s="88"/>
      <c r="H387" s="80"/>
      <c r="I387" s="80"/>
      <c r="J387" s="79"/>
      <c r="K387" s="80"/>
      <c r="L387" s="80"/>
    </row>
    <row r="388" ht="18" customHeight="1" spans="1:12">
      <c r="A388" s="87" t="str">
        <f t="shared" ref="A388:A451" si="6">IF($C388="","",ROW()-3)</f>
        <v/>
      </c>
      <c r="B388" s="78"/>
      <c r="C388" s="79"/>
      <c r="D388" s="80"/>
      <c r="E388" s="79"/>
      <c r="F388" s="88"/>
      <c r="G388" s="88"/>
      <c r="H388" s="80"/>
      <c r="I388" s="80"/>
      <c r="J388" s="79"/>
      <c r="K388" s="80"/>
      <c r="L388" s="80"/>
    </row>
    <row r="389" ht="18" customHeight="1" spans="1:12">
      <c r="A389" s="87" t="str">
        <f t="shared" si="6"/>
        <v/>
      </c>
      <c r="B389" s="78"/>
      <c r="C389" s="79"/>
      <c r="D389" s="80"/>
      <c r="E389" s="79"/>
      <c r="F389" s="88"/>
      <c r="G389" s="88"/>
      <c r="H389" s="80"/>
      <c r="I389" s="80"/>
      <c r="J389" s="79"/>
      <c r="K389" s="80"/>
      <c r="L389" s="80"/>
    </row>
    <row r="390" ht="18" customHeight="1" spans="1:12">
      <c r="A390" s="87" t="str">
        <f t="shared" si="6"/>
        <v/>
      </c>
      <c r="B390" s="78"/>
      <c r="C390" s="79"/>
      <c r="D390" s="80"/>
      <c r="E390" s="79"/>
      <c r="F390" s="88"/>
      <c r="G390" s="88"/>
      <c r="H390" s="80"/>
      <c r="I390" s="80"/>
      <c r="J390" s="79"/>
      <c r="K390" s="80"/>
      <c r="L390" s="80"/>
    </row>
    <row r="391" ht="18" customHeight="1" spans="1:12">
      <c r="A391" s="87" t="str">
        <f t="shared" si="6"/>
        <v/>
      </c>
      <c r="B391" s="78"/>
      <c r="C391" s="79"/>
      <c r="D391" s="80"/>
      <c r="E391" s="79"/>
      <c r="F391" s="88"/>
      <c r="G391" s="88"/>
      <c r="H391" s="80"/>
      <c r="I391" s="80"/>
      <c r="J391" s="79"/>
      <c r="K391" s="80"/>
      <c r="L391" s="80"/>
    </row>
    <row r="392" ht="18" customHeight="1" spans="1:12">
      <c r="A392" s="87" t="str">
        <f t="shared" si="6"/>
        <v/>
      </c>
      <c r="B392" s="78"/>
      <c r="C392" s="79"/>
      <c r="D392" s="80"/>
      <c r="E392" s="79"/>
      <c r="F392" s="88"/>
      <c r="G392" s="88"/>
      <c r="H392" s="80"/>
      <c r="I392" s="80"/>
      <c r="J392" s="79"/>
      <c r="K392" s="80"/>
      <c r="L392" s="80"/>
    </row>
    <row r="393" ht="18" customHeight="1" spans="1:12">
      <c r="A393" s="87" t="str">
        <f t="shared" si="6"/>
        <v/>
      </c>
      <c r="B393" s="78"/>
      <c r="C393" s="79"/>
      <c r="D393" s="80"/>
      <c r="E393" s="79"/>
      <c r="F393" s="88"/>
      <c r="G393" s="88"/>
      <c r="H393" s="80"/>
      <c r="I393" s="80"/>
      <c r="J393" s="79"/>
      <c r="K393" s="80"/>
      <c r="L393" s="80"/>
    </row>
    <row r="394" ht="18" customHeight="1" spans="1:12">
      <c r="A394" s="87" t="str">
        <f t="shared" si="6"/>
        <v/>
      </c>
      <c r="B394" s="78"/>
      <c r="C394" s="79"/>
      <c r="D394" s="80"/>
      <c r="E394" s="79"/>
      <c r="F394" s="88"/>
      <c r="G394" s="88"/>
      <c r="H394" s="80"/>
      <c r="I394" s="80"/>
      <c r="J394" s="79"/>
      <c r="K394" s="80"/>
      <c r="L394" s="80"/>
    </row>
    <row r="395" ht="18" customHeight="1" spans="1:12">
      <c r="A395" s="87" t="str">
        <f t="shared" si="6"/>
        <v/>
      </c>
      <c r="B395" s="78"/>
      <c r="C395" s="79"/>
      <c r="D395" s="80"/>
      <c r="E395" s="79"/>
      <c r="F395" s="88"/>
      <c r="G395" s="88"/>
      <c r="H395" s="80"/>
      <c r="I395" s="80"/>
      <c r="J395" s="79"/>
      <c r="K395" s="80"/>
      <c r="L395" s="80"/>
    </row>
    <row r="396" ht="18" customHeight="1" spans="1:12">
      <c r="A396" s="87" t="str">
        <f t="shared" si="6"/>
        <v/>
      </c>
      <c r="B396" s="78"/>
      <c r="C396" s="79"/>
      <c r="D396" s="80"/>
      <c r="E396" s="79"/>
      <c r="F396" s="88"/>
      <c r="G396" s="88"/>
      <c r="H396" s="80"/>
      <c r="I396" s="80"/>
      <c r="J396" s="79"/>
      <c r="K396" s="80"/>
      <c r="L396" s="80"/>
    </row>
    <row r="397" ht="18" customHeight="1" spans="1:12">
      <c r="A397" s="87" t="str">
        <f t="shared" si="6"/>
        <v/>
      </c>
      <c r="B397" s="78"/>
      <c r="C397" s="79"/>
      <c r="D397" s="80"/>
      <c r="E397" s="79"/>
      <c r="F397" s="88"/>
      <c r="G397" s="88"/>
      <c r="H397" s="80"/>
      <c r="I397" s="80"/>
      <c r="J397" s="79"/>
      <c r="K397" s="80"/>
      <c r="L397" s="80"/>
    </row>
    <row r="398" ht="18" customHeight="1" spans="1:12">
      <c r="A398" s="87" t="str">
        <f t="shared" si="6"/>
        <v/>
      </c>
      <c r="B398" s="78"/>
      <c r="C398" s="79"/>
      <c r="D398" s="80"/>
      <c r="E398" s="79"/>
      <c r="F398" s="88"/>
      <c r="G398" s="88"/>
      <c r="H398" s="80"/>
      <c r="I398" s="80"/>
      <c r="J398" s="79"/>
      <c r="K398" s="80"/>
      <c r="L398" s="80"/>
    </row>
    <row r="399" ht="18" customHeight="1" spans="1:12">
      <c r="A399" s="87" t="str">
        <f t="shared" si="6"/>
        <v/>
      </c>
      <c r="B399" s="78"/>
      <c r="C399" s="79"/>
      <c r="D399" s="80"/>
      <c r="E399" s="79"/>
      <c r="F399" s="88"/>
      <c r="G399" s="88"/>
      <c r="H399" s="80"/>
      <c r="I399" s="80"/>
      <c r="J399" s="79"/>
      <c r="K399" s="80"/>
      <c r="L399" s="80"/>
    </row>
    <row r="400" ht="18" customHeight="1" spans="1:12">
      <c r="A400" s="87" t="str">
        <f t="shared" si="6"/>
        <v/>
      </c>
      <c r="B400" s="78"/>
      <c r="C400" s="79"/>
      <c r="D400" s="80"/>
      <c r="E400" s="79"/>
      <c r="F400" s="88"/>
      <c r="G400" s="88"/>
      <c r="H400" s="80"/>
      <c r="I400" s="80"/>
      <c r="J400" s="79"/>
      <c r="K400" s="80"/>
      <c r="L400" s="80"/>
    </row>
    <row r="401" ht="18" customHeight="1" spans="1:12">
      <c r="A401" s="87" t="str">
        <f t="shared" si="6"/>
        <v/>
      </c>
      <c r="B401" s="78"/>
      <c r="C401" s="79"/>
      <c r="D401" s="80"/>
      <c r="E401" s="79"/>
      <c r="F401" s="88"/>
      <c r="G401" s="88"/>
      <c r="H401" s="80"/>
      <c r="I401" s="80"/>
      <c r="J401" s="79"/>
      <c r="K401" s="80"/>
      <c r="L401" s="80"/>
    </row>
    <row r="402" ht="18" customHeight="1" spans="1:12">
      <c r="A402" s="87" t="str">
        <f t="shared" si="6"/>
        <v/>
      </c>
      <c r="B402" s="78"/>
      <c r="C402" s="79"/>
      <c r="D402" s="80"/>
      <c r="E402" s="79"/>
      <c r="F402" s="88"/>
      <c r="G402" s="88"/>
      <c r="H402" s="80"/>
      <c r="I402" s="80"/>
      <c r="J402" s="79"/>
      <c r="K402" s="80"/>
      <c r="L402" s="80"/>
    </row>
    <row r="403" ht="18" customHeight="1" spans="1:12">
      <c r="A403" s="87" t="str">
        <f t="shared" si="6"/>
        <v/>
      </c>
      <c r="B403" s="78"/>
      <c r="C403" s="79"/>
      <c r="D403" s="80"/>
      <c r="E403" s="79"/>
      <c r="F403" s="88"/>
      <c r="G403" s="88"/>
      <c r="H403" s="80"/>
      <c r="I403" s="80"/>
      <c r="J403" s="79"/>
      <c r="K403" s="80"/>
      <c r="L403" s="80"/>
    </row>
    <row r="404" ht="18" customHeight="1" spans="1:12">
      <c r="A404" s="87" t="str">
        <f t="shared" si="6"/>
        <v/>
      </c>
      <c r="B404" s="78"/>
      <c r="C404" s="79"/>
      <c r="D404" s="80"/>
      <c r="E404" s="79"/>
      <c r="F404" s="88"/>
      <c r="G404" s="88"/>
      <c r="H404" s="80"/>
      <c r="I404" s="80"/>
      <c r="J404" s="79"/>
      <c r="K404" s="80"/>
      <c r="L404" s="80"/>
    </row>
    <row r="405" ht="18" customHeight="1" spans="1:12">
      <c r="A405" s="87" t="str">
        <f t="shared" si="6"/>
        <v/>
      </c>
      <c r="B405" s="78"/>
      <c r="C405" s="79"/>
      <c r="D405" s="80"/>
      <c r="E405" s="79"/>
      <c r="F405" s="88"/>
      <c r="G405" s="88"/>
      <c r="H405" s="80"/>
      <c r="I405" s="80"/>
      <c r="J405" s="79"/>
      <c r="K405" s="80"/>
      <c r="L405" s="80"/>
    </row>
    <row r="406" ht="18" customHeight="1" spans="1:12">
      <c r="A406" s="87" t="str">
        <f t="shared" si="6"/>
        <v/>
      </c>
      <c r="B406" s="78"/>
      <c r="C406" s="79"/>
      <c r="D406" s="80"/>
      <c r="E406" s="79"/>
      <c r="F406" s="88"/>
      <c r="G406" s="88"/>
      <c r="H406" s="80"/>
      <c r="I406" s="80"/>
      <c r="J406" s="79"/>
      <c r="K406" s="80"/>
      <c r="L406" s="80"/>
    </row>
    <row r="407" ht="18" customHeight="1" spans="1:12">
      <c r="A407" s="87" t="str">
        <f t="shared" si="6"/>
        <v/>
      </c>
      <c r="B407" s="78"/>
      <c r="C407" s="79"/>
      <c r="D407" s="80"/>
      <c r="E407" s="79"/>
      <c r="F407" s="88"/>
      <c r="G407" s="88"/>
      <c r="H407" s="80"/>
      <c r="I407" s="80"/>
      <c r="J407" s="79"/>
      <c r="K407" s="80"/>
      <c r="L407" s="80"/>
    </row>
    <row r="408" ht="18" customHeight="1" spans="1:12">
      <c r="A408" s="87" t="str">
        <f t="shared" si="6"/>
        <v/>
      </c>
      <c r="B408" s="78"/>
      <c r="C408" s="79"/>
      <c r="D408" s="80"/>
      <c r="E408" s="79"/>
      <c r="F408" s="88"/>
      <c r="G408" s="88"/>
      <c r="H408" s="80"/>
      <c r="I408" s="80"/>
      <c r="J408" s="79"/>
      <c r="K408" s="80"/>
      <c r="L408" s="80"/>
    </row>
    <row r="409" ht="18" customHeight="1" spans="1:12">
      <c r="A409" s="87" t="str">
        <f t="shared" si="6"/>
        <v/>
      </c>
      <c r="B409" s="78"/>
      <c r="C409" s="79"/>
      <c r="D409" s="80"/>
      <c r="E409" s="79"/>
      <c r="F409" s="88"/>
      <c r="G409" s="88"/>
      <c r="H409" s="80"/>
      <c r="I409" s="80"/>
      <c r="J409" s="79"/>
      <c r="K409" s="80"/>
      <c r="L409" s="80"/>
    </row>
    <row r="410" ht="18" customHeight="1" spans="1:12">
      <c r="A410" s="87" t="str">
        <f t="shared" si="6"/>
        <v/>
      </c>
      <c r="B410" s="78"/>
      <c r="C410" s="79"/>
      <c r="D410" s="80"/>
      <c r="E410" s="79"/>
      <c r="F410" s="88"/>
      <c r="G410" s="88"/>
      <c r="H410" s="80"/>
      <c r="I410" s="80"/>
      <c r="J410" s="79"/>
      <c r="K410" s="80"/>
      <c r="L410" s="80"/>
    </row>
    <row r="411" ht="18" customHeight="1" spans="1:12">
      <c r="A411" s="87" t="str">
        <f t="shared" si="6"/>
        <v/>
      </c>
      <c r="B411" s="78"/>
      <c r="C411" s="79"/>
      <c r="D411" s="80"/>
      <c r="E411" s="79"/>
      <c r="F411" s="88"/>
      <c r="G411" s="88"/>
      <c r="H411" s="80"/>
      <c r="I411" s="80"/>
      <c r="J411" s="79"/>
      <c r="K411" s="80"/>
      <c r="L411" s="80"/>
    </row>
    <row r="412" ht="18" customHeight="1" spans="1:12">
      <c r="A412" s="87" t="str">
        <f t="shared" si="6"/>
        <v/>
      </c>
      <c r="B412" s="78"/>
      <c r="C412" s="79"/>
      <c r="D412" s="80"/>
      <c r="E412" s="79"/>
      <c r="F412" s="88"/>
      <c r="G412" s="88"/>
      <c r="H412" s="80"/>
      <c r="I412" s="80"/>
      <c r="J412" s="79"/>
      <c r="K412" s="80"/>
      <c r="L412" s="80"/>
    </row>
    <row r="413" ht="18" customHeight="1" spans="1:12">
      <c r="A413" s="87" t="str">
        <f t="shared" si="6"/>
        <v/>
      </c>
      <c r="B413" s="78"/>
      <c r="C413" s="79"/>
      <c r="D413" s="80"/>
      <c r="E413" s="79"/>
      <c r="F413" s="88"/>
      <c r="G413" s="88"/>
      <c r="H413" s="80"/>
      <c r="I413" s="80"/>
      <c r="J413" s="79"/>
      <c r="K413" s="80"/>
      <c r="L413" s="80"/>
    </row>
    <row r="414" ht="18" customHeight="1" spans="1:12">
      <c r="A414" s="87" t="str">
        <f t="shared" si="6"/>
        <v/>
      </c>
      <c r="B414" s="78"/>
      <c r="C414" s="79"/>
      <c r="D414" s="80"/>
      <c r="E414" s="79"/>
      <c r="F414" s="88"/>
      <c r="G414" s="88"/>
      <c r="H414" s="80"/>
      <c r="I414" s="80"/>
      <c r="J414" s="79"/>
      <c r="K414" s="80"/>
      <c r="L414" s="80"/>
    </row>
    <row r="415" ht="18" customHeight="1" spans="1:12">
      <c r="A415" s="87" t="str">
        <f t="shared" si="6"/>
        <v/>
      </c>
      <c r="B415" s="78"/>
      <c r="C415" s="79"/>
      <c r="D415" s="80"/>
      <c r="E415" s="79"/>
      <c r="F415" s="88"/>
      <c r="G415" s="88"/>
      <c r="H415" s="80"/>
      <c r="I415" s="80"/>
      <c r="J415" s="79"/>
      <c r="K415" s="80"/>
      <c r="L415" s="80"/>
    </row>
    <row r="416" ht="18" customHeight="1" spans="1:12">
      <c r="A416" s="87" t="str">
        <f t="shared" si="6"/>
        <v/>
      </c>
      <c r="B416" s="78"/>
      <c r="C416" s="79"/>
      <c r="D416" s="80"/>
      <c r="E416" s="79"/>
      <c r="F416" s="88"/>
      <c r="G416" s="88"/>
      <c r="H416" s="80"/>
      <c r="I416" s="80"/>
      <c r="J416" s="79"/>
      <c r="K416" s="80"/>
      <c r="L416" s="80"/>
    </row>
    <row r="417" ht="18" customHeight="1" spans="1:12">
      <c r="A417" s="87" t="str">
        <f t="shared" si="6"/>
        <v/>
      </c>
      <c r="B417" s="78"/>
      <c r="C417" s="79"/>
      <c r="D417" s="80"/>
      <c r="E417" s="79"/>
      <c r="F417" s="88"/>
      <c r="G417" s="88"/>
      <c r="H417" s="80"/>
      <c r="I417" s="80"/>
      <c r="J417" s="79"/>
      <c r="K417" s="80"/>
      <c r="L417" s="80"/>
    </row>
    <row r="418" ht="18" customHeight="1" spans="1:12">
      <c r="A418" s="87" t="str">
        <f t="shared" si="6"/>
        <v/>
      </c>
      <c r="B418" s="78"/>
      <c r="C418" s="79"/>
      <c r="D418" s="80"/>
      <c r="E418" s="79"/>
      <c r="F418" s="88"/>
      <c r="G418" s="88"/>
      <c r="H418" s="80"/>
      <c r="I418" s="80"/>
      <c r="J418" s="79"/>
      <c r="K418" s="80"/>
      <c r="L418" s="80"/>
    </row>
    <row r="419" ht="18" customHeight="1" spans="1:12">
      <c r="A419" s="87" t="str">
        <f t="shared" si="6"/>
        <v/>
      </c>
      <c r="B419" s="78"/>
      <c r="C419" s="79"/>
      <c r="D419" s="80"/>
      <c r="E419" s="79"/>
      <c r="F419" s="88"/>
      <c r="G419" s="88"/>
      <c r="H419" s="80"/>
      <c r="I419" s="80"/>
      <c r="J419" s="79"/>
      <c r="K419" s="80"/>
      <c r="L419" s="80"/>
    </row>
    <row r="420" ht="18" customHeight="1" spans="1:12">
      <c r="A420" s="87" t="str">
        <f t="shared" si="6"/>
        <v/>
      </c>
      <c r="B420" s="78"/>
      <c r="C420" s="79"/>
      <c r="D420" s="80"/>
      <c r="E420" s="79"/>
      <c r="F420" s="88"/>
      <c r="G420" s="88"/>
      <c r="H420" s="80"/>
      <c r="I420" s="80"/>
      <c r="J420" s="79"/>
      <c r="K420" s="80"/>
      <c r="L420" s="80"/>
    </row>
    <row r="421" ht="18" customHeight="1" spans="1:12">
      <c r="A421" s="87" t="str">
        <f t="shared" si="6"/>
        <v/>
      </c>
      <c r="B421" s="78"/>
      <c r="C421" s="79"/>
      <c r="D421" s="80"/>
      <c r="E421" s="79"/>
      <c r="F421" s="88"/>
      <c r="G421" s="88"/>
      <c r="H421" s="80"/>
      <c r="I421" s="80"/>
      <c r="J421" s="79"/>
      <c r="K421" s="80"/>
      <c r="L421" s="80"/>
    </row>
    <row r="422" ht="18" customHeight="1" spans="1:12">
      <c r="A422" s="87" t="str">
        <f t="shared" si="6"/>
        <v/>
      </c>
      <c r="B422" s="78"/>
      <c r="C422" s="79"/>
      <c r="D422" s="80"/>
      <c r="E422" s="79"/>
      <c r="F422" s="88"/>
      <c r="G422" s="88"/>
      <c r="H422" s="80"/>
      <c r="I422" s="80"/>
      <c r="J422" s="79"/>
      <c r="K422" s="80"/>
      <c r="L422" s="80"/>
    </row>
    <row r="423" ht="18" customHeight="1" spans="1:12">
      <c r="A423" s="87" t="str">
        <f t="shared" si="6"/>
        <v/>
      </c>
      <c r="B423" s="78"/>
      <c r="C423" s="79"/>
      <c r="D423" s="80"/>
      <c r="E423" s="79"/>
      <c r="F423" s="88"/>
      <c r="G423" s="88"/>
      <c r="H423" s="80"/>
      <c r="I423" s="80"/>
      <c r="J423" s="79"/>
      <c r="K423" s="80"/>
      <c r="L423" s="80"/>
    </row>
    <row r="424" ht="18" customHeight="1" spans="1:12">
      <c r="A424" s="87" t="str">
        <f t="shared" si="6"/>
        <v/>
      </c>
      <c r="B424" s="78"/>
      <c r="C424" s="79"/>
      <c r="D424" s="80"/>
      <c r="E424" s="79"/>
      <c r="F424" s="88"/>
      <c r="G424" s="88"/>
      <c r="H424" s="80"/>
      <c r="I424" s="80"/>
      <c r="J424" s="79"/>
      <c r="K424" s="80"/>
      <c r="L424" s="80"/>
    </row>
    <row r="425" ht="18" customHeight="1" spans="1:12">
      <c r="A425" s="87" t="str">
        <f t="shared" si="6"/>
        <v/>
      </c>
      <c r="B425" s="78"/>
      <c r="C425" s="79"/>
      <c r="D425" s="80"/>
      <c r="E425" s="79"/>
      <c r="F425" s="88"/>
      <c r="G425" s="88"/>
      <c r="H425" s="80"/>
      <c r="I425" s="80"/>
      <c r="J425" s="79"/>
      <c r="K425" s="80"/>
      <c r="L425" s="80"/>
    </row>
    <row r="426" ht="18" customHeight="1" spans="1:12">
      <c r="A426" s="87" t="str">
        <f t="shared" si="6"/>
        <v/>
      </c>
      <c r="B426" s="78"/>
      <c r="C426" s="79"/>
      <c r="D426" s="80"/>
      <c r="E426" s="79"/>
      <c r="F426" s="88"/>
      <c r="G426" s="88"/>
      <c r="H426" s="80"/>
      <c r="I426" s="80"/>
      <c r="J426" s="79"/>
      <c r="K426" s="80"/>
      <c r="L426" s="80"/>
    </row>
    <row r="427" ht="18" customHeight="1" spans="1:12">
      <c r="A427" s="87" t="str">
        <f t="shared" si="6"/>
        <v/>
      </c>
      <c r="B427" s="78"/>
      <c r="C427" s="79"/>
      <c r="D427" s="80"/>
      <c r="E427" s="79"/>
      <c r="F427" s="88"/>
      <c r="G427" s="88"/>
      <c r="H427" s="80"/>
      <c r="I427" s="80"/>
      <c r="J427" s="79"/>
      <c r="K427" s="80"/>
      <c r="L427" s="80"/>
    </row>
    <row r="428" ht="18" customHeight="1" spans="1:12">
      <c r="A428" s="87" t="str">
        <f t="shared" si="6"/>
        <v/>
      </c>
      <c r="B428" s="78"/>
      <c r="C428" s="79"/>
      <c r="D428" s="80"/>
      <c r="E428" s="79"/>
      <c r="F428" s="88"/>
      <c r="G428" s="88"/>
      <c r="H428" s="80"/>
      <c r="I428" s="80"/>
      <c r="J428" s="79"/>
      <c r="K428" s="80"/>
      <c r="L428" s="80"/>
    </row>
    <row r="429" ht="18" customHeight="1" spans="1:12">
      <c r="A429" s="87" t="str">
        <f t="shared" si="6"/>
        <v/>
      </c>
      <c r="B429" s="78"/>
      <c r="C429" s="79"/>
      <c r="D429" s="80"/>
      <c r="E429" s="79"/>
      <c r="F429" s="88"/>
      <c r="G429" s="88"/>
      <c r="H429" s="80"/>
      <c r="I429" s="80"/>
      <c r="J429" s="79"/>
      <c r="K429" s="80"/>
      <c r="L429" s="80"/>
    </row>
    <row r="430" ht="18" customHeight="1" spans="1:12">
      <c r="A430" s="87" t="str">
        <f t="shared" si="6"/>
        <v/>
      </c>
      <c r="B430" s="78"/>
      <c r="C430" s="79"/>
      <c r="D430" s="80"/>
      <c r="E430" s="79"/>
      <c r="F430" s="88"/>
      <c r="G430" s="88"/>
      <c r="H430" s="80"/>
      <c r="I430" s="80"/>
      <c r="J430" s="79"/>
      <c r="K430" s="80"/>
      <c r="L430" s="80"/>
    </row>
    <row r="431" ht="18" customHeight="1" spans="1:12">
      <c r="A431" s="87" t="str">
        <f t="shared" si="6"/>
        <v/>
      </c>
      <c r="B431" s="78"/>
      <c r="C431" s="79"/>
      <c r="D431" s="80"/>
      <c r="E431" s="79"/>
      <c r="F431" s="88"/>
      <c r="G431" s="88"/>
      <c r="H431" s="80"/>
      <c r="I431" s="80"/>
      <c r="J431" s="79"/>
      <c r="K431" s="80"/>
      <c r="L431" s="80"/>
    </row>
    <row r="432" ht="18" customHeight="1" spans="1:12">
      <c r="A432" s="87" t="str">
        <f t="shared" si="6"/>
        <v/>
      </c>
      <c r="B432" s="78"/>
      <c r="C432" s="79"/>
      <c r="D432" s="80"/>
      <c r="E432" s="79"/>
      <c r="F432" s="88"/>
      <c r="G432" s="88"/>
      <c r="H432" s="80"/>
      <c r="I432" s="80"/>
      <c r="J432" s="79"/>
      <c r="K432" s="80"/>
      <c r="L432" s="80"/>
    </row>
    <row r="433" ht="18" customHeight="1" spans="1:12">
      <c r="A433" s="87" t="str">
        <f t="shared" si="6"/>
        <v/>
      </c>
      <c r="B433" s="78"/>
      <c r="C433" s="79"/>
      <c r="D433" s="80"/>
      <c r="E433" s="79"/>
      <c r="F433" s="88"/>
      <c r="G433" s="88"/>
      <c r="H433" s="80"/>
      <c r="I433" s="80"/>
      <c r="J433" s="79"/>
      <c r="K433" s="80"/>
      <c r="L433" s="80"/>
    </row>
    <row r="434" ht="18" customHeight="1" spans="1:12">
      <c r="A434" s="87" t="str">
        <f t="shared" si="6"/>
        <v/>
      </c>
      <c r="B434" s="78"/>
      <c r="C434" s="79"/>
      <c r="D434" s="80"/>
      <c r="E434" s="79"/>
      <c r="F434" s="88"/>
      <c r="G434" s="88"/>
      <c r="H434" s="80"/>
      <c r="I434" s="80"/>
      <c r="J434" s="79"/>
      <c r="K434" s="80"/>
      <c r="L434" s="80"/>
    </row>
    <row r="435" ht="18" customHeight="1" spans="1:12">
      <c r="A435" s="87" t="str">
        <f t="shared" si="6"/>
        <v/>
      </c>
      <c r="B435" s="78"/>
      <c r="C435" s="79"/>
      <c r="D435" s="80"/>
      <c r="E435" s="79"/>
      <c r="F435" s="88"/>
      <c r="G435" s="88"/>
      <c r="H435" s="80"/>
      <c r="I435" s="80"/>
      <c r="J435" s="79"/>
      <c r="K435" s="80"/>
      <c r="L435" s="80"/>
    </row>
    <row r="436" ht="18" customHeight="1" spans="1:12">
      <c r="A436" s="87" t="str">
        <f t="shared" si="6"/>
        <v/>
      </c>
      <c r="B436" s="78"/>
      <c r="C436" s="79"/>
      <c r="D436" s="80"/>
      <c r="E436" s="79"/>
      <c r="F436" s="88"/>
      <c r="G436" s="88"/>
      <c r="H436" s="80"/>
      <c r="I436" s="80"/>
      <c r="J436" s="79"/>
      <c r="K436" s="80"/>
      <c r="L436" s="80"/>
    </row>
    <row r="437" ht="18" customHeight="1" spans="1:12">
      <c r="A437" s="87" t="str">
        <f t="shared" si="6"/>
        <v/>
      </c>
      <c r="B437" s="78"/>
      <c r="C437" s="79"/>
      <c r="D437" s="80"/>
      <c r="E437" s="79"/>
      <c r="F437" s="88"/>
      <c r="G437" s="88"/>
      <c r="H437" s="80"/>
      <c r="I437" s="80"/>
      <c r="J437" s="79"/>
      <c r="K437" s="80"/>
      <c r="L437" s="80"/>
    </row>
    <row r="438" ht="18" customHeight="1" spans="1:12">
      <c r="A438" s="87" t="str">
        <f t="shared" si="6"/>
        <v/>
      </c>
      <c r="B438" s="78"/>
      <c r="C438" s="79"/>
      <c r="D438" s="80"/>
      <c r="E438" s="79"/>
      <c r="F438" s="88"/>
      <c r="G438" s="88"/>
      <c r="H438" s="80"/>
      <c r="I438" s="80"/>
      <c r="J438" s="79"/>
      <c r="K438" s="80"/>
      <c r="L438" s="80"/>
    </row>
    <row r="439" ht="18" customHeight="1" spans="1:12">
      <c r="A439" s="87" t="str">
        <f t="shared" si="6"/>
        <v/>
      </c>
      <c r="B439" s="78"/>
      <c r="C439" s="79"/>
      <c r="D439" s="80"/>
      <c r="E439" s="79"/>
      <c r="F439" s="88"/>
      <c r="G439" s="88"/>
      <c r="H439" s="80"/>
      <c r="I439" s="80"/>
      <c r="J439" s="79"/>
      <c r="K439" s="80"/>
      <c r="L439" s="80"/>
    </row>
    <row r="440" ht="18" customHeight="1" spans="1:12">
      <c r="A440" s="87" t="str">
        <f t="shared" si="6"/>
        <v/>
      </c>
      <c r="B440" s="78"/>
      <c r="C440" s="79"/>
      <c r="D440" s="80"/>
      <c r="E440" s="79"/>
      <c r="F440" s="88"/>
      <c r="G440" s="88"/>
      <c r="H440" s="80"/>
      <c r="I440" s="80"/>
      <c r="J440" s="79"/>
      <c r="K440" s="80"/>
      <c r="L440" s="80"/>
    </row>
    <row r="441" ht="18" customHeight="1" spans="1:12">
      <c r="A441" s="87" t="str">
        <f t="shared" si="6"/>
        <v/>
      </c>
      <c r="B441" s="78"/>
      <c r="C441" s="79"/>
      <c r="D441" s="80"/>
      <c r="E441" s="79"/>
      <c r="F441" s="88"/>
      <c r="G441" s="88"/>
      <c r="H441" s="80"/>
      <c r="I441" s="80"/>
      <c r="J441" s="79"/>
      <c r="K441" s="80"/>
      <c r="L441" s="80"/>
    </row>
    <row r="442" ht="18" customHeight="1" spans="1:12">
      <c r="A442" s="87" t="str">
        <f t="shared" si="6"/>
        <v/>
      </c>
      <c r="B442" s="78"/>
      <c r="C442" s="79"/>
      <c r="D442" s="80"/>
      <c r="E442" s="79"/>
      <c r="F442" s="88"/>
      <c r="G442" s="88"/>
      <c r="H442" s="80"/>
      <c r="I442" s="80"/>
      <c r="J442" s="79"/>
      <c r="K442" s="80"/>
      <c r="L442" s="80"/>
    </row>
    <row r="443" ht="18" customHeight="1" spans="1:12">
      <c r="A443" s="87" t="str">
        <f t="shared" si="6"/>
        <v/>
      </c>
      <c r="B443" s="78"/>
      <c r="C443" s="79"/>
      <c r="D443" s="80"/>
      <c r="E443" s="79"/>
      <c r="F443" s="88"/>
      <c r="G443" s="88"/>
      <c r="H443" s="80"/>
      <c r="I443" s="80"/>
      <c r="J443" s="79"/>
      <c r="K443" s="80"/>
      <c r="L443" s="80"/>
    </row>
    <row r="444" ht="18" customHeight="1" spans="1:12">
      <c r="A444" s="87" t="str">
        <f t="shared" si="6"/>
        <v/>
      </c>
      <c r="B444" s="78"/>
      <c r="C444" s="79"/>
      <c r="D444" s="80"/>
      <c r="E444" s="79"/>
      <c r="F444" s="88"/>
      <c r="G444" s="88"/>
      <c r="H444" s="80"/>
      <c r="I444" s="80"/>
      <c r="J444" s="79"/>
      <c r="K444" s="80"/>
      <c r="L444" s="80"/>
    </row>
    <row r="445" ht="18" customHeight="1" spans="1:12">
      <c r="A445" s="87" t="str">
        <f t="shared" si="6"/>
        <v/>
      </c>
      <c r="B445" s="78"/>
      <c r="C445" s="79"/>
      <c r="D445" s="80"/>
      <c r="E445" s="79"/>
      <c r="F445" s="88"/>
      <c r="G445" s="88"/>
      <c r="H445" s="80"/>
      <c r="I445" s="80"/>
      <c r="J445" s="79"/>
      <c r="K445" s="80"/>
      <c r="L445" s="80"/>
    </row>
    <row r="446" ht="18" customHeight="1" spans="1:12">
      <c r="A446" s="87" t="str">
        <f t="shared" si="6"/>
        <v/>
      </c>
      <c r="B446" s="78"/>
      <c r="C446" s="79"/>
      <c r="D446" s="80"/>
      <c r="E446" s="79"/>
      <c r="F446" s="88"/>
      <c r="G446" s="88"/>
      <c r="H446" s="80"/>
      <c r="I446" s="80"/>
      <c r="J446" s="79"/>
      <c r="K446" s="80"/>
      <c r="L446" s="80"/>
    </row>
    <row r="447" ht="18" customHeight="1" spans="1:12">
      <c r="A447" s="87" t="str">
        <f t="shared" si="6"/>
        <v/>
      </c>
      <c r="B447" s="78"/>
      <c r="C447" s="79"/>
      <c r="D447" s="80"/>
      <c r="E447" s="79"/>
      <c r="F447" s="88"/>
      <c r="G447" s="88"/>
      <c r="H447" s="80"/>
      <c r="I447" s="80"/>
      <c r="J447" s="79"/>
      <c r="K447" s="80"/>
      <c r="L447" s="80"/>
    </row>
    <row r="448" ht="18" customHeight="1" spans="1:12">
      <c r="A448" s="87" t="str">
        <f t="shared" si="6"/>
        <v/>
      </c>
      <c r="B448" s="78"/>
      <c r="C448" s="79"/>
      <c r="D448" s="80"/>
      <c r="E448" s="79"/>
      <c r="F448" s="88"/>
      <c r="G448" s="88"/>
      <c r="H448" s="80"/>
      <c r="I448" s="80"/>
      <c r="J448" s="79"/>
      <c r="K448" s="80"/>
      <c r="L448" s="80"/>
    </row>
    <row r="449" ht="18" customHeight="1" spans="1:12">
      <c r="A449" s="87" t="str">
        <f t="shared" si="6"/>
        <v/>
      </c>
      <c r="B449" s="78"/>
      <c r="C449" s="79"/>
      <c r="D449" s="80"/>
      <c r="E449" s="79"/>
      <c r="F449" s="88"/>
      <c r="G449" s="88"/>
      <c r="H449" s="80"/>
      <c r="I449" s="80"/>
      <c r="J449" s="79"/>
      <c r="K449" s="80"/>
      <c r="L449" s="80"/>
    </row>
    <row r="450" ht="18" customHeight="1" spans="1:12">
      <c r="A450" s="87" t="str">
        <f t="shared" si="6"/>
        <v/>
      </c>
      <c r="B450" s="78"/>
      <c r="C450" s="79"/>
      <c r="D450" s="80"/>
      <c r="E450" s="79"/>
      <c r="F450" s="88"/>
      <c r="G450" s="88"/>
      <c r="H450" s="80"/>
      <c r="I450" s="80"/>
      <c r="J450" s="79"/>
      <c r="K450" s="80"/>
      <c r="L450" s="80"/>
    </row>
    <row r="451" ht="18" customHeight="1" spans="1:12">
      <c r="A451" s="87" t="str">
        <f t="shared" si="6"/>
        <v/>
      </c>
      <c r="B451" s="78"/>
      <c r="C451" s="79"/>
      <c r="D451" s="80"/>
      <c r="E451" s="79"/>
      <c r="F451" s="88"/>
      <c r="G451" s="88"/>
      <c r="H451" s="80"/>
      <c r="I451" s="80"/>
      <c r="J451" s="79"/>
      <c r="K451" s="80"/>
      <c r="L451" s="80"/>
    </row>
    <row r="452" ht="18" customHeight="1" spans="1:12">
      <c r="A452" s="87" t="str">
        <f t="shared" ref="A452:A515" si="7">IF($C452="","",ROW()-3)</f>
        <v/>
      </c>
      <c r="B452" s="78"/>
      <c r="C452" s="79"/>
      <c r="D452" s="80"/>
      <c r="E452" s="79"/>
      <c r="F452" s="88"/>
      <c r="G452" s="88"/>
      <c r="H452" s="80"/>
      <c r="I452" s="80"/>
      <c r="J452" s="79"/>
      <c r="K452" s="80"/>
      <c r="L452" s="80"/>
    </row>
    <row r="453" ht="18" customHeight="1" spans="1:12">
      <c r="A453" s="87" t="str">
        <f t="shared" si="7"/>
        <v/>
      </c>
      <c r="B453" s="78"/>
      <c r="C453" s="79"/>
      <c r="D453" s="80"/>
      <c r="E453" s="79"/>
      <c r="F453" s="88"/>
      <c r="G453" s="88"/>
      <c r="H453" s="80"/>
      <c r="I453" s="80"/>
      <c r="J453" s="79"/>
      <c r="K453" s="80"/>
      <c r="L453" s="80"/>
    </row>
    <row r="454" ht="18" customHeight="1" spans="1:12">
      <c r="A454" s="87" t="str">
        <f t="shared" si="7"/>
        <v/>
      </c>
      <c r="B454" s="78"/>
      <c r="C454" s="79"/>
      <c r="D454" s="80"/>
      <c r="E454" s="79"/>
      <c r="F454" s="88"/>
      <c r="G454" s="88"/>
      <c r="H454" s="80"/>
      <c r="I454" s="80"/>
      <c r="J454" s="79"/>
      <c r="K454" s="80"/>
      <c r="L454" s="80"/>
    </row>
    <row r="455" ht="18" customHeight="1" spans="1:12">
      <c r="A455" s="87" t="str">
        <f t="shared" si="7"/>
        <v/>
      </c>
      <c r="B455" s="78"/>
      <c r="C455" s="79"/>
      <c r="D455" s="80"/>
      <c r="E455" s="79"/>
      <c r="F455" s="88"/>
      <c r="G455" s="88"/>
      <c r="H455" s="80"/>
      <c r="I455" s="80"/>
      <c r="J455" s="79"/>
      <c r="K455" s="80"/>
      <c r="L455" s="80"/>
    </row>
    <row r="456" ht="18" customHeight="1" spans="1:12">
      <c r="A456" s="87" t="str">
        <f t="shared" si="7"/>
        <v/>
      </c>
      <c r="B456" s="78"/>
      <c r="C456" s="79"/>
      <c r="D456" s="80"/>
      <c r="E456" s="79"/>
      <c r="F456" s="88"/>
      <c r="G456" s="88"/>
      <c r="H456" s="80"/>
      <c r="I456" s="80"/>
      <c r="J456" s="79"/>
      <c r="K456" s="80"/>
      <c r="L456" s="80"/>
    </row>
    <row r="457" ht="18" customHeight="1" spans="1:12">
      <c r="A457" s="87" t="str">
        <f t="shared" si="7"/>
        <v/>
      </c>
      <c r="B457" s="78"/>
      <c r="C457" s="79"/>
      <c r="D457" s="80"/>
      <c r="E457" s="79"/>
      <c r="F457" s="88"/>
      <c r="G457" s="88"/>
      <c r="H457" s="80"/>
      <c r="I457" s="80"/>
      <c r="J457" s="79"/>
      <c r="K457" s="80"/>
      <c r="L457" s="80"/>
    </row>
    <row r="458" ht="18" customHeight="1" spans="1:12">
      <c r="A458" s="87" t="str">
        <f t="shared" si="7"/>
        <v/>
      </c>
      <c r="B458" s="78"/>
      <c r="C458" s="79"/>
      <c r="D458" s="80"/>
      <c r="E458" s="79"/>
      <c r="F458" s="88"/>
      <c r="G458" s="88"/>
      <c r="H458" s="80"/>
      <c r="I458" s="80"/>
      <c r="J458" s="79"/>
      <c r="K458" s="80"/>
      <c r="L458" s="80"/>
    </row>
    <row r="459" ht="18" customHeight="1" spans="1:12">
      <c r="A459" s="87" t="str">
        <f t="shared" si="7"/>
        <v/>
      </c>
      <c r="B459" s="78"/>
      <c r="C459" s="79"/>
      <c r="D459" s="80"/>
      <c r="E459" s="79"/>
      <c r="F459" s="88"/>
      <c r="G459" s="88"/>
      <c r="H459" s="80"/>
      <c r="I459" s="80"/>
      <c r="J459" s="79"/>
      <c r="K459" s="80"/>
      <c r="L459" s="80"/>
    </row>
    <row r="460" ht="18" customHeight="1" spans="1:12">
      <c r="A460" s="87" t="str">
        <f t="shared" si="7"/>
        <v/>
      </c>
      <c r="B460" s="78"/>
      <c r="C460" s="79"/>
      <c r="D460" s="80"/>
      <c r="E460" s="79"/>
      <c r="F460" s="88"/>
      <c r="G460" s="88"/>
      <c r="H460" s="80"/>
      <c r="I460" s="80"/>
      <c r="J460" s="79"/>
      <c r="K460" s="80"/>
      <c r="L460" s="80"/>
    </row>
    <row r="461" ht="18" customHeight="1" spans="1:12">
      <c r="A461" s="87" t="str">
        <f t="shared" si="7"/>
        <v/>
      </c>
      <c r="B461" s="78"/>
      <c r="C461" s="79"/>
      <c r="D461" s="80"/>
      <c r="E461" s="79"/>
      <c r="F461" s="88"/>
      <c r="G461" s="88"/>
      <c r="H461" s="80"/>
      <c r="I461" s="80"/>
      <c r="J461" s="79"/>
      <c r="K461" s="80"/>
      <c r="L461" s="80"/>
    </row>
    <row r="462" ht="18" customHeight="1" spans="1:12">
      <c r="A462" s="87" t="str">
        <f t="shared" si="7"/>
        <v/>
      </c>
      <c r="B462" s="78"/>
      <c r="C462" s="79"/>
      <c r="D462" s="80"/>
      <c r="E462" s="79"/>
      <c r="F462" s="88"/>
      <c r="G462" s="88"/>
      <c r="H462" s="80"/>
      <c r="I462" s="80"/>
      <c r="J462" s="79"/>
      <c r="K462" s="80"/>
      <c r="L462" s="80"/>
    </row>
    <row r="463" ht="18" customHeight="1" spans="1:12">
      <c r="A463" s="87" t="str">
        <f t="shared" si="7"/>
        <v/>
      </c>
      <c r="B463" s="78"/>
      <c r="C463" s="79"/>
      <c r="D463" s="80"/>
      <c r="E463" s="79"/>
      <c r="F463" s="88"/>
      <c r="G463" s="88"/>
      <c r="H463" s="80"/>
      <c r="I463" s="80"/>
      <c r="J463" s="79"/>
      <c r="K463" s="80"/>
      <c r="L463" s="80"/>
    </row>
    <row r="464" ht="18" customHeight="1" spans="1:12">
      <c r="A464" s="87" t="str">
        <f t="shared" si="7"/>
        <v/>
      </c>
      <c r="B464" s="78"/>
      <c r="C464" s="79"/>
      <c r="D464" s="80"/>
      <c r="E464" s="79"/>
      <c r="F464" s="88"/>
      <c r="G464" s="88"/>
      <c r="H464" s="80"/>
      <c r="I464" s="80"/>
      <c r="J464" s="79"/>
      <c r="K464" s="80"/>
      <c r="L464" s="80"/>
    </row>
    <row r="465" ht="18" customHeight="1" spans="1:12">
      <c r="A465" s="87" t="str">
        <f t="shared" si="7"/>
        <v/>
      </c>
      <c r="B465" s="78"/>
      <c r="C465" s="79"/>
      <c r="D465" s="80"/>
      <c r="E465" s="79"/>
      <c r="F465" s="88"/>
      <c r="G465" s="88"/>
      <c r="H465" s="80"/>
      <c r="I465" s="80"/>
      <c r="J465" s="79"/>
      <c r="K465" s="80"/>
      <c r="L465" s="80"/>
    </row>
    <row r="466" ht="18" customHeight="1" spans="1:12">
      <c r="A466" s="87" t="str">
        <f t="shared" si="7"/>
        <v/>
      </c>
      <c r="B466" s="78"/>
      <c r="C466" s="79"/>
      <c r="D466" s="80"/>
      <c r="E466" s="79"/>
      <c r="F466" s="88"/>
      <c r="G466" s="88"/>
      <c r="H466" s="80"/>
      <c r="I466" s="80"/>
      <c r="J466" s="79"/>
      <c r="K466" s="80"/>
      <c r="L466" s="80"/>
    </row>
    <row r="467" ht="18" customHeight="1" spans="1:12">
      <c r="A467" s="87" t="str">
        <f t="shared" si="7"/>
        <v/>
      </c>
      <c r="B467" s="78"/>
      <c r="C467" s="79"/>
      <c r="D467" s="80"/>
      <c r="E467" s="79"/>
      <c r="F467" s="88"/>
      <c r="G467" s="88"/>
      <c r="H467" s="80"/>
      <c r="I467" s="80"/>
      <c r="J467" s="79"/>
      <c r="K467" s="80"/>
      <c r="L467" s="80"/>
    </row>
    <row r="468" ht="18" customHeight="1" spans="1:12">
      <c r="A468" s="87" t="str">
        <f t="shared" si="7"/>
        <v/>
      </c>
      <c r="B468" s="78"/>
      <c r="C468" s="79"/>
      <c r="D468" s="80"/>
      <c r="E468" s="79"/>
      <c r="F468" s="88"/>
      <c r="G468" s="88"/>
      <c r="H468" s="80"/>
      <c r="I468" s="80"/>
      <c r="J468" s="79"/>
      <c r="K468" s="80"/>
      <c r="L468" s="80"/>
    </row>
    <row r="469" ht="18" customHeight="1" spans="1:12">
      <c r="A469" s="87" t="str">
        <f t="shared" si="7"/>
        <v/>
      </c>
      <c r="B469" s="78"/>
      <c r="C469" s="79"/>
      <c r="D469" s="80"/>
      <c r="E469" s="79"/>
      <c r="F469" s="88"/>
      <c r="G469" s="88"/>
      <c r="H469" s="80"/>
      <c r="I469" s="80"/>
      <c r="J469" s="79"/>
      <c r="K469" s="80"/>
      <c r="L469" s="80"/>
    </row>
    <row r="470" ht="18" customHeight="1" spans="1:12">
      <c r="A470" s="87" t="str">
        <f t="shared" si="7"/>
        <v/>
      </c>
      <c r="B470" s="78"/>
      <c r="C470" s="79"/>
      <c r="D470" s="80"/>
      <c r="E470" s="79"/>
      <c r="F470" s="88"/>
      <c r="G470" s="88"/>
      <c r="H470" s="80"/>
      <c r="I470" s="80"/>
      <c r="J470" s="79"/>
      <c r="K470" s="80"/>
      <c r="L470" s="80"/>
    </row>
    <row r="471" ht="18" customHeight="1" spans="1:12">
      <c r="A471" s="87" t="str">
        <f t="shared" si="7"/>
        <v/>
      </c>
      <c r="B471" s="78"/>
      <c r="C471" s="79"/>
      <c r="D471" s="80"/>
      <c r="E471" s="79"/>
      <c r="F471" s="88"/>
      <c r="G471" s="88"/>
      <c r="H471" s="80"/>
      <c r="I471" s="80"/>
      <c r="J471" s="79"/>
      <c r="K471" s="80"/>
      <c r="L471" s="80"/>
    </row>
    <row r="472" ht="18" customHeight="1" spans="1:12">
      <c r="A472" s="87" t="str">
        <f t="shared" si="7"/>
        <v/>
      </c>
      <c r="B472" s="78"/>
      <c r="C472" s="79"/>
      <c r="D472" s="80"/>
      <c r="E472" s="79"/>
      <c r="F472" s="88"/>
      <c r="G472" s="88"/>
      <c r="H472" s="80"/>
      <c r="I472" s="80"/>
      <c r="J472" s="79"/>
      <c r="K472" s="80"/>
      <c r="L472" s="80"/>
    </row>
    <row r="473" ht="18" customHeight="1" spans="1:12">
      <c r="A473" s="87" t="str">
        <f t="shared" si="7"/>
        <v/>
      </c>
      <c r="B473" s="78"/>
      <c r="C473" s="79"/>
      <c r="D473" s="80"/>
      <c r="E473" s="79"/>
      <c r="F473" s="88"/>
      <c r="G473" s="88"/>
      <c r="H473" s="80"/>
      <c r="I473" s="80"/>
      <c r="J473" s="79"/>
      <c r="K473" s="80"/>
      <c r="L473" s="80"/>
    </row>
    <row r="474" ht="18" customHeight="1" spans="1:12">
      <c r="A474" s="87" t="str">
        <f t="shared" si="7"/>
        <v/>
      </c>
      <c r="B474" s="78"/>
      <c r="C474" s="79"/>
      <c r="D474" s="80"/>
      <c r="E474" s="79"/>
      <c r="F474" s="88"/>
      <c r="G474" s="88"/>
      <c r="H474" s="80"/>
      <c r="I474" s="80"/>
      <c r="J474" s="79"/>
      <c r="K474" s="80"/>
      <c r="L474" s="80"/>
    </row>
    <row r="475" ht="18" customHeight="1" spans="1:12">
      <c r="A475" s="87" t="str">
        <f t="shared" si="7"/>
        <v/>
      </c>
      <c r="B475" s="78"/>
      <c r="C475" s="79"/>
      <c r="D475" s="80"/>
      <c r="E475" s="79"/>
      <c r="F475" s="88"/>
      <c r="G475" s="88"/>
      <c r="H475" s="80"/>
      <c r="I475" s="80"/>
      <c r="J475" s="79"/>
      <c r="K475" s="80"/>
      <c r="L475" s="80"/>
    </row>
    <row r="476" ht="18" customHeight="1" spans="1:12">
      <c r="A476" s="87" t="str">
        <f t="shared" si="7"/>
        <v/>
      </c>
      <c r="B476" s="78"/>
      <c r="C476" s="79"/>
      <c r="D476" s="80"/>
      <c r="E476" s="79"/>
      <c r="F476" s="88"/>
      <c r="G476" s="88"/>
      <c r="H476" s="80"/>
      <c r="I476" s="80"/>
      <c r="J476" s="79"/>
      <c r="K476" s="80"/>
      <c r="L476" s="80"/>
    </row>
    <row r="477" ht="18" customHeight="1" spans="1:12">
      <c r="A477" s="87" t="str">
        <f t="shared" si="7"/>
        <v/>
      </c>
      <c r="B477" s="78"/>
      <c r="C477" s="79"/>
      <c r="D477" s="80"/>
      <c r="E477" s="79"/>
      <c r="F477" s="88"/>
      <c r="G477" s="88"/>
      <c r="H477" s="80"/>
      <c r="I477" s="80"/>
      <c r="J477" s="79"/>
      <c r="K477" s="80"/>
      <c r="L477" s="80"/>
    </row>
    <row r="478" ht="18" customHeight="1" spans="1:12">
      <c r="A478" s="87" t="str">
        <f t="shared" si="7"/>
        <v/>
      </c>
      <c r="B478" s="78"/>
      <c r="C478" s="79"/>
      <c r="D478" s="80"/>
      <c r="E478" s="79"/>
      <c r="F478" s="88"/>
      <c r="G478" s="88"/>
      <c r="H478" s="80"/>
      <c r="I478" s="80"/>
      <c r="J478" s="79"/>
      <c r="K478" s="80"/>
      <c r="L478" s="80"/>
    </row>
    <row r="479" ht="18" customHeight="1" spans="1:12">
      <c r="A479" s="87" t="str">
        <f t="shared" si="7"/>
        <v/>
      </c>
      <c r="B479" s="78"/>
      <c r="C479" s="79"/>
      <c r="D479" s="80"/>
      <c r="E479" s="79"/>
      <c r="F479" s="88"/>
      <c r="G479" s="88"/>
      <c r="H479" s="80"/>
      <c r="I479" s="80"/>
      <c r="J479" s="79"/>
      <c r="K479" s="80"/>
      <c r="L479" s="80"/>
    </row>
    <row r="480" ht="18" customHeight="1" spans="1:12">
      <c r="A480" s="87" t="str">
        <f t="shared" si="7"/>
        <v/>
      </c>
      <c r="B480" s="78"/>
      <c r="C480" s="79"/>
      <c r="D480" s="80"/>
      <c r="E480" s="79"/>
      <c r="F480" s="88"/>
      <c r="G480" s="88"/>
      <c r="H480" s="80"/>
      <c r="I480" s="80"/>
      <c r="J480" s="79"/>
      <c r="K480" s="80"/>
      <c r="L480" s="80"/>
    </row>
    <row r="481" ht="18" customHeight="1" spans="1:12">
      <c r="A481" s="87" t="str">
        <f t="shared" si="7"/>
        <v/>
      </c>
      <c r="B481" s="78"/>
      <c r="C481" s="79"/>
      <c r="D481" s="80"/>
      <c r="E481" s="79"/>
      <c r="F481" s="88"/>
      <c r="G481" s="88"/>
      <c r="H481" s="80"/>
      <c r="I481" s="80"/>
      <c r="J481" s="79"/>
      <c r="K481" s="80"/>
      <c r="L481" s="80"/>
    </row>
    <row r="482" ht="18" customHeight="1" spans="1:12">
      <c r="A482" s="87" t="str">
        <f t="shared" si="7"/>
        <v/>
      </c>
      <c r="B482" s="78"/>
      <c r="C482" s="79"/>
      <c r="D482" s="80"/>
      <c r="E482" s="79"/>
      <c r="F482" s="88"/>
      <c r="G482" s="88"/>
      <c r="H482" s="80"/>
      <c r="I482" s="80"/>
      <c r="J482" s="79"/>
      <c r="K482" s="80"/>
      <c r="L482" s="80"/>
    </row>
    <row r="483" ht="18" customHeight="1" spans="1:12">
      <c r="A483" s="87" t="str">
        <f t="shared" si="7"/>
        <v/>
      </c>
      <c r="B483" s="78"/>
      <c r="C483" s="79"/>
      <c r="D483" s="80"/>
      <c r="E483" s="79"/>
      <c r="F483" s="88"/>
      <c r="G483" s="88"/>
      <c r="H483" s="80"/>
      <c r="I483" s="80"/>
      <c r="J483" s="79"/>
      <c r="K483" s="80"/>
      <c r="L483" s="80"/>
    </row>
    <row r="484" ht="18" customHeight="1" spans="1:12">
      <c r="A484" s="87" t="str">
        <f t="shared" si="7"/>
        <v/>
      </c>
      <c r="B484" s="78"/>
      <c r="C484" s="79"/>
      <c r="D484" s="80"/>
      <c r="E484" s="79"/>
      <c r="F484" s="88"/>
      <c r="G484" s="88"/>
      <c r="H484" s="80"/>
      <c r="I484" s="80"/>
      <c r="J484" s="79"/>
      <c r="K484" s="80"/>
      <c r="L484" s="80"/>
    </row>
    <row r="485" ht="18" customHeight="1" spans="1:12">
      <c r="A485" s="87" t="str">
        <f t="shared" si="7"/>
        <v/>
      </c>
      <c r="B485" s="78"/>
      <c r="C485" s="79"/>
      <c r="D485" s="80"/>
      <c r="E485" s="79"/>
      <c r="F485" s="88"/>
      <c r="G485" s="88"/>
      <c r="H485" s="80"/>
      <c r="I485" s="80"/>
      <c r="J485" s="79"/>
      <c r="K485" s="80"/>
      <c r="L485" s="80"/>
    </row>
    <row r="486" ht="18" customHeight="1" spans="1:12">
      <c r="A486" s="87" t="str">
        <f t="shared" si="7"/>
        <v/>
      </c>
      <c r="B486" s="78"/>
      <c r="C486" s="79"/>
      <c r="D486" s="80"/>
      <c r="E486" s="79"/>
      <c r="F486" s="88"/>
      <c r="G486" s="88"/>
      <c r="H486" s="80"/>
      <c r="I486" s="80"/>
      <c r="J486" s="79"/>
      <c r="K486" s="80"/>
      <c r="L486" s="80"/>
    </row>
    <row r="487" ht="18" customHeight="1" spans="1:12">
      <c r="A487" s="87" t="str">
        <f t="shared" si="7"/>
        <v/>
      </c>
      <c r="B487" s="78"/>
      <c r="C487" s="79"/>
      <c r="D487" s="80"/>
      <c r="E487" s="79"/>
      <c r="F487" s="88"/>
      <c r="G487" s="88"/>
      <c r="H487" s="80"/>
      <c r="I487" s="80"/>
      <c r="J487" s="79"/>
      <c r="K487" s="80"/>
      <c r="L487" s="80"/>
    </row>
    <row r="488" ht="18" customHeight="1" spans="1:12">
      <c r="A488" s="87" t="str">
        <f t="shared" si="7"/>
        <v/>
      </c>
      <c r="B488" s="78"/>
      <c r="C488" s="79"/>
      <c r="D488" s="80"/>
      <c r="E488" s="79"/>
      <c r="F488" s="88"/>
      <c r="G488" s="88"/>
      <c r="H488" s="80"/>
      <c r="I488" s="80"/>
      <c r="J488" s="79"/>
      <c r="K488" s="80"/>
      <c r="L488" s="80"/>
    </row>
    <row r="489" ht="18" customHeight="1" spans="1:12">
      <c r="A489" s="87" t="str">
        <f t="shared" si="7"/>
        <v/>
      </c>
      <c r="B489" s="78"/>
      <c r="C489" s="79"/>
      <c r="D489" s="80"/>
      <c r="E489" s="79"/>
      <c r="F489" s="88"/>
      <c r="G489" s="88"/>
      <c r="H489" s="80"/>
      <c r="I489" s="80"/>
      <c r="J489" s="79"/>
      <c r="K489" s="80"/>
      <c r="L489" s="80"/>
    </row>
    <row r="490" ht="18" customHeight="1" spans="1:12">
      <c r="A490" s="87" t="str">
        <f t="shared" si="7"/>
        <v/>
      </c>
      <c r="B490" s="78"/>
      <c r="C490" s="79"/>
      <c r="D490" s="80"/>
      <c r="E490" s="79"/>
      <c r="F490" s="88"/>
      <c r="G490" s="88"/>
      <c r="H490" s="80"/>
      <c r="I490" s="80"/>
      <c r="J490" s="79"/>
      <c r="K490" s="80"/>
      <c r="L490" s="80"/>
    </row>
    <row r="491" ht="18" customHeight="1" spans="1:12">
      <c r="A491" s="87" t="str">
        <f t="shared" si="7"/>
        <v/>
      </c>
      <c r="B491" s="78"/>
      <c r="C491" s="79"/>
      <c r="D491" s="80"/>
      <c r="E491" s="79"/>
      <c r="F491" s="88"/>
      <c r="G491" s="88"/>
      <c r="H491" s="80"/>
      <c r="I491" s="80"/>
      <c r="J491" s="79"/>
      <c r="K491" s="80"/>
      <c r="L491" s="80"/>
    </row>
    <row r="492" ht="18" customHeight="1" spans="1:12">
      <c r="A492" s="87" t="str">
        <f t="shared" si="7"/>
        <v/>
      </c>
      <c r="B492" s="78"/>
      <c r="C492" s="79"/>
      <c r="D492" s="80"/>
      <c r="E492" s="79"/>
      <c r="F492" s="88"/>
      <c r="G492" s="88"/>
      <c r="H492" s="80"/>
      <c r="I492" s="80"/>
      <c r="J492" s="79"/>
      <c r="K492" s="80"/>
      <c r="L492" s="80"/>
    </row>
    <row r="493" ht="18" customHeight="1" spans="1:12">
      <c r="A493" s="87" t="str">
        <f t="shared" si="7"/>
        <v/>
      </c>
      <c r="B493" s="78"/>
      <c r="C493" s="79"/>
      <c r="D493" s="80"/>
      <c r="E493" s="79"/>
      <c r="F493" s="88"/>
      <c r="G493" s="88"/>
      <c r="H493" s="80"/>
      <c r="I493" s="80"/>
      <c r="J493" s="79"/>
      <c r="K493" s="80"/>
      <c r="L493" s="80"/>
    </row>
    <row r="494" ht="18" customHeight="1" spans="1:12">
      <c r="A494" s="87" t="str">
        <f t="shared" si="7"/>
        <v/>
      </c>
      <c r="B494" s="78"/>
      <c r="C494" s="79"/>
      <c r="D494" s="80"/>
      <c r="E494" s="79"/>
      <c r="F494" s="88"/>
      <c r="G494" s="88"/>
      <c r="H494" s="80"/>
      <c r="I494" s="80"/>
      <c r="J494" s="79"/>
      <c r="K494" s="80"/>
      <c r="L494" s="80"/>
    </row>
    <row r="495" ht="18" customHeight="1" spans="1:12">
      <c r="A495" s="87" t="str">
        <f t="shared" si="7"/>
        <v/>
      </c>
      <c r="B495" s="78"/>
      <c r="C495" s="79"/>
      <c r="D495" s="80"/>
      <c r="E495" s="79"/>
      <c r="F495" s="88"/>
      <c r="G495" s="88"/>
      <c r="H495" s="80"/>
      <c r="I495" s="80"/>
      <c r="J495" s="79"/>
      <c r="K495" s="80"/>
      <c r="L495" s="80"/>
    </row>
    <row r="496" ht="18" customHeight="1" spans="1:12">
      <c r="A496" s="87" t="str">
        <f t="shared" si="7"/>
        <v/>
      </c>
      <c r="B496" s="78"/>
      <c r="C496" s="79"/>
      <c r="D496" s="80"/>
      <c r="E496" s="79"/>
      <c r="F496" s="88"/>
      <c r="G496" s="88"/>
      <c r="H496" s="80"/>
      <c r="I496" s="80"/>
      <c r="J496" s="79"/>
      <c r="K496" s="80"/>
      <c r="L496" s="80"/>
    </row>
    <row r="497" ht="18" customHeight="1" spans="1:12">
      <c r="A497" s="87" t="str">
        <f t="shared" si="7"/>
        <v/>
      </c>
      <c r="B497" s="78"/>
      <c r="C497" s="79"/>
      <c r="D497" s="80"/>
      <c r="E497" s="79"/>
      <c r="F497" s="88"/>
      <c r="G497" s="88"/>
      <c r="H497" s="80"/>
      <c r="I497" s="80"/>
      <c r="J497" s="79"/>
      <c r="K497" s="80"/>
      <c r="L497" s="80"/>
    </row>
    <row r="498" ht="18" customHeight="1" spans="1:12">
      <c r="A498" s="87" t="str">
        <f t="shared" si="7"/>
        <v/>
      </c>
      <c r="B498" s="78"/>
      <c r="C498" s="79"/>
      <c r="D498" s="80"/>
      <c r="E498" s="79"/>
      <c r="F498" s="88"/>
      <c r="G498" s="88"/>
      <c r="H498" s="80"/>
      <c r="I498" s="80"/>
      <c r="J498" s="79"/>
      <c r="K498" s="80"/>
      <c r="L498" s="80"/>
    </row>
    <row r="499" ht="18" customHeight="1" spans="1:12">
      <c r="A499" s="87" t="str">
        <f t="shared" si="7"/>
        <v/>
      </c>
      <c r="B499" s="78"/>
      <c r="C499" s="79"/>
      <c r="D499" s="80"/>
      <c r="E499" s="79"/>
      <c r="F499" s="88"/>
      <c r="G499" s="88"/>
      <c r="H499" s="80"/>
      <c r="I499" s="80"/>
      <c r="J499" s="79"/>
      <c r="K499" s="80"/>
      <c r="L499" s="80"/>
    </row>
    <row r="500" ht="18" customHeight="1" spans="1:12">
      <c r="A500" s="87" t="str">
        <f t="shared" si="7"/>
        <v/>
      </c>
      <c r="B500" s="78"/>
      <c r="C500" s="79"/>
      <c r="D500" s="80"/>
      <c r="E500" s="79"/>
      <c r="F500" s="88"/>
      <c r="G500" s="88"/>
      <c r="H500" s="80"/>
      <c r="I500" s="80"/>
      <c r="J500" s="79"/>
      <c r="K500" s="80"/>
      <c r="L500" s="80"/>
    </row>
    <row r="501" ht="18" customHeight="1" spans="1:12">
      <c r="A501" s="87" t="str">
        <f t="shared" si="7"/>
        <v/>
      </c>
      <c r="B501" s="78"/>
      <c r="C501" s="79"/>
      <c r="D501" s="80"/>
      <c r="E501" s="79"/>
      <c r="F501" s="88"/>
      <c r="G501" s="88"/>
      <c r="H501" s="80"/>
      <c r="I501" s="80"/>
      <c r="J501" s="79"/>
      <c r="K501" s="80"/>
      <c r="L501" s="80"/>
    </row>
    <row r="502" ht="18" customHeight="1" spans="1:12">
      <c r="A502" s="87" t="str">
        <f t="shared" si="7"/>
        <v/>
      </c>
      <c r="B502" s="78"/>
      <c r="C502" s="79"/>
      <c r="D502" s="80"/>
      <c r="E502" s="79"/>
      <c r="F502" s="88"/>
      <c r="G502" s="88"/>
      <c r="H502" s="80"/>
      <c r="I502" s="80"/>
      <c r="J502" s="79"/>
      <c r="K502" s="80"/>
      <c r="L502" s="80"/>
    </row>
    <row r="503" ht="18" customHeight="1" spans="1:12">
      <c r="A503" s="87" t="str">
        <f t="shared" si="7"/>
        <v/>
      </c>
      <c r="B503" s="78"/>
      <c r="C503" s="79"/>
      <c r="D503" s="80"/>
      <c r="E503" s="79"/>
      <c r="F503" s="88"/>
      <c r="G503" s="88"/>
      <c r="H503" s="80"/>
      <c r="I503" s="80"/>
      <c r="J503" s="79"/>
      <c r="K503" s="80"/>
      <c r="L503" s="80"/>
    </row>
    <row r="504" ht="18" customHeight="1" spans="1:12">
      <c r="A504" s="87" t="str">
        <f t="shared" si="7"/>
        <v/>
      </c>
      <c r="B504" s="78"/>
      <c r="C504" s="79"/>
      <c r="D504" s="80"/>
      <c r="E504" s="79"/>
      <c r="F504" s="88"/>
      <c r="G504" s="88"/>
      <c r="H504" s="80"/>
      <c r="I504" s="80"/>
      <c r="J504" s="79"/>
      <c r="K504" s="80"/>
      <c r="L504" s="80"/>
    </row>
    <row r="505" ht="18" customHeight="1" spans="1:12">
      <c r="A505" s="87" t="str">
        <f t="shared" si="7"/>
        <v/>
      </c>
      <c r="B505" s="78"/>
      <c r="C505" s="79"/>
      <c r="D505" s="80"/>
      <c r="E505" s="79"/>
      <c r="F505" s="88"/>
      <c r="G505" s="88"/>
      <c r="H505" s="80"/>
      <c r="I505" s="80"/>
      <c r="J505" s="79"/>
      <c r="K505" s="80"/>
      <c r="L505" s="80"/>
    </row>
    <row r="506" ht="18" customHeight="1" spans="1:12">
      <c r="A506" s="87" t="str">
        <f t="shared" si="7"/>
        <v/>
      </c>
      <c r="B506" s="78"/>
      <c r="C506" s="79"/>
      <c r="D506" s="80"/>
      <c r="E506" s="79"/>
      <c r="F506" s="88"/>
      <c r="G506" s="88"/>
      <c r="H506" s="80"/>
      <c r="I506" s="80"/>
      <c r="J506" s="79"/>
      <c r="K506" s="80"/>
      <c r="L506" s="80"/>
    </row>
    <row r="507" ht="18" customHeight="1" spans="1:12">
      <c r="A507" s="87" t="str">
        <f t="shared" si="7"/>
        <v/>
      </c>
      <c r="B507" s="78"/>
      <c r="C507" s="79"/>
      <c r="D507" s="80"/>
      <c r="E507" s="79"/>
      <c r="F507" s="88"/>
      <c r="G507" s="88"/>
      <c r="H507" s="80"/>
      <c r="I507" s="80"/>
      <c r="J507" s="79"/>
      <c r="K507" s="80"/>
      <c r="L507" s="80"/>
    </row>
    <row r="508" ht="18" customHeight="1" spans="1:12">
      <c r="A508" s="87" t="str">
        <f t="shared" si="7"/>
        <v/>
      </c>
      <c r="B508" s="78"/>
      <c r="C508" s="79"/>
      <c r="D508" s="80"/>
      <c r="E508" s="79"/>
      <c r="F508" s="88"/>
      <c r="G508" s="88"/>
      <c r="H508" s="80"/>
      <c r="I508" s="80"/>
      <c r="J508" s="79"/>
      <c r="K508" s="80"/>
      <c r="L508" s="80"/>
    </row>
    <row r="509" ht="18" customHeight="1" spans="1:12">
      <c r="A509" s="87" t="str">
        <f t="shared" si="7"/>
        <v/>
      </c>
      <c r="B509" s="78"/>
      <c r="C509" s="79"/>
      <c r="D509" s="80"/>
      <c r="E509" s="79"/>
      <c r="F509" s="88"/>
      <c r="G509" s="88"/>
      <c r="H509" s="80"/>
      <c r="I509" s="80"/>
      <c r="J509" s="79"/>
      <c r="K509" s="80"/>
      <c r="L509" s="80"/>
    </row>
    <row r="510" ht="18" customHeight="1" spans="1:12">
      <c r="A510" s="87" t="str">
        <f t="shared" si="7"/>
        <v/>
      </c>
      <c r="B510" s="78"/>
      <c r="C510" s="79"/>
      <c r="D510" s="80"/>
      <c r="E510" s="79"/>
      <c r="F510" s="88"/>
      <c r="G510" s="88"/>
      <c r="H510" s="80"/>
      <c r="I510" s="80"/>
      <c r="J510" s="79"/>
      <c r="K510" s="80"/>
      <c r="L510" s="80"/>
    </row>
    <row r="511" ht="18" customHeight="1" spans="1:12">
      <c r="A511" s="87" t="str">
        <f t="shared" si="7"/>
        <v/>
      </c>
      <c r="B511" s="78"/>
      <c r="C511" s="79"/>
      <c r="D511" s="80"/>
      <c r="E511" s="79"/>
      <c r="F511" s="88"/>
      <c r="G511" s="88"/>
      <c r="H511" s="80"/>
      <c r="I511" s="80"/>
      <c r="J511" s="79"/>
      <c r="K511" s="80"/>
      <c r="L511" s="80"/>
    </row>
    <row r="512" ht="18" customHeight="1" spans="1:12">
      <c r="A512" s="87" t="str">
        <f t="shared" si="7"/>
        <v/>
      </c>
      <c r="B512" s="78"/>
      <c r="C512" s="79"/>
      <c r="D512" s="80"/>
      <c r="E512" s="79"/>
      <c r="F512" s="88"/>
      <c r="G512" s="88"/>
      <c r="H512" s="80"/>
      <c r="I512" s="80"/>
      <c r="J512" s="79"/>
      <c r="K512" s="80"/>
      <c r="L512" s="80"/>
    </row>
    <row r="513" ht="18" customHeight="1" spans="1:12">
      <c r="A513" s="87" t="str">
        <f t="shared" si="7"/>
        <v/>
      </c>
      <c r="B513" s="78"/>
      <c r="C513" s="79"/>
      <c r="D513" s="80"/>
      <c r="E513" s="79"/>
      <c r="F513" s="88"/>
      <c r="G513" s="88"/>
      <c r="H513" s="80"/>
      <c r="I513" s="80"/>
      <c r="J513" s="79"/>
      <c r="K513" s="80"/>
      <c r="L513" s="80"/>
    </row>
    <row r="514" ht="18" customHeight="1" spans="1:12">
      <c r="A514" s="87" t="str">
        <f t="shared" si="7"/>
        <v/>
      </c>
      <c r="B514" s="78"/>
      <c r="C514" s="79"/>
      <c r="D514" s="80"/>
      <c r="E514" s="79"/>
      <c r="F514" s="88"/>
      <c r="G514" s="88"/>
      <c r="H514" s="80"/>
      <c r="I514" s="80"/>
      <c r="J514" s="79"/>
      <c r="K514" s="80"/>
      <c r="L514" s="80"/>
    </row>
    <row r="515" ht="18" customHeight="1" spans="1:12">
      <c r="A515" s="87" t="str">
        <f t="shared" si="7"/>
        <v/>
      </c>
      <c r="B515" s="78"/>
      <c r="C515" s="79"/>
      <c r="D515" s="80"/>
      <c r="E515" s="79"/>
      <c r="F515" s="88"/>
      <c r="G515" s="88"/>
      <c r="H515" s="80"/>
      <c r="I515" s="80"/>
      <c r="J515" s="79"/>
      <c r="K515" s="80"/>
      <c r="L515" s="80"/>
    </row>
    <row r="516" ht="18" customHeight="1" spans="1:12">
      <c r="A516" s="87" t="str">
        <f t="shared" ref="A516:A579" si="8">IF($C516="","",ROW()-3)</f>
        <v/>
      </c>
      <c r="B516" s="78"/>
      <c r="C516" s="79"/>
      <c r="D516" s="80"/>
      <c r="E516" s="79"/>
      <c r="F516" s="88"/>
      <c r="G516" s="88"/>
      <c r="H516" s="80"/>
      <c r="I516" s="80"/>
      <c r="J516" s="79"/>
      <c r="K516" s="80"/>
      <c r="L516" s="80"/>
    </row>
    <row r="517" ht="18" customHeight="1" spans="1:12">
      <c r="A517" s="87" t="str">
        <f t="shared" si="8"/>
        <v/>
      </c>
      <c r="B517" s="78"/>
      <c r="C517" s="79"/>
      <c r="D517" s="80"/>
      <c r="E517" s="79"/>
      <c r="F517" s="88"/>
      <c r="G517" s="88"/>
      <c r="H517" s="80"/>
      <c r="I517" s="80"/>
      <c r="J517" s="79"/>
      <c r="K517" s="80"/>
      <c r="L517" s="80"/>
    </row>
    <row r="518" ht="18" customHeight="1" spans="1:12">
      <c r="A518" s="87" t="str">
        <f t="shared" si="8"/>
        <v/>
      </c>
      <c r="B518" s="78"/>
      <c r="C518" s="79"/>
      <c r="D518" s="80"/>
      <c r="E518" s="79"/>
      <c r="F518" s="88"/>
      <c r="G518" s="88"/>
      <c r="H518" s="80"/>
      <c r="I518" s="80"/>
      <c r="J518" s="79"/>
      <c r="K518" s="80"/>
      <c r="L518" s="80"/>
    </row>
    <row r="519" ht="18" customHeight="1" spans="1:12">
      <c r="A519" s="87" t="str">
        <f t="shared" si="8"/>
        <v/>
      </c>
      <c r="B519" s="78"/>
      <c r="C519" s="79"/>
      <c r="D519" s="80"/>
      <c r="E519" s="79"/>
      <c r="F519" s="88"/>
      <c r="G519" s="88"/>
      <c r="H519" s="80"/>
      <c r="I519" s="80"/>
      <c r="J519" s="79"/>
      <c r="K519" s="80"/>
      <c r="L519" s="80"/>
    </row>
    <row r="520" ht="18" customHeight="1" spans="1:12">
      <c r="A520" s="87" t="str">
        <f t="shared" si="8"/>
        <v/>
      </c>
      <c r="B520" s="78"/>
      <c r="C520" s="79"/>
      <c r="D520" s="80"/>
      <c r="E520" s="79"/>
      <c r="F520" s="88"/>
      <c r="G520" s="88"/>
      <c r="H520" s="80"/>
      <c r="I520" s="80"/>
      <c r="J520" s="79"/>
      <c r="K520" s="80"/>
      <c r="L520" s="80"/>
    </row>
    <row r="521" ht="18" customHeight="1" spans="1:12">
      <c r="A521" s="87" t="str">
        <f t="shared" si="8"/>
        <v/>
      </c>
      <c r="B521" s="78"/>
      <c r="C521" s="79"/>
      <c r="D521" s="80"/>
      <c r="E521" s="79"/>
      <c r="F521" s="88"/>
      <c r="G521" s="88"/>
      <c r="H521" s="80"/>
      <c r="I521" s="80"/>
      <c r="J521" s="79"/>
      <c r="K521" s="80"/>
      <c r="L521" s="80"/>
    </row>
    <row r="522" ht="18" customHeight="1" spans="1:12">
      <c r="A522" s="87" t="str">
        <f t="shared" si="8"/>
        <v/>
      </c>
      <c r="B522" s="78"/>
      <c r="C522" s="79"/>
      <c r="D522" s="80"/>
      <c r="E522" s="79"/>
      <c r="F522" s="88"/>
      <c r="G522" s="88"/>
      <c r="H522" s="80"/>
      <c r="I522" s="80"/>
      <c r="J522" s="79"/>
      <c r="K522" s="80"/>
      <c r="L522" s="80"/>
    </row>
    <row r="523" ht="18" customHeight="1" spans="1:12">
      <c r="A523" s="87" t="str">
        <f t="shared" si="8"/>
        <v/>
      </c>
      <c r="B523" s="78"/>
      <c r="C523" s="79"/>
      <c r="D523" s="80"/>
      <c r="E523" s="79"/>
      <c r="F523" s="88"/>
      <c r="G523" s="88"/>
      <c r="H523" s="80"/>
      <c r="I523" s="80"/>
      <c r="J523" s="79"/>
      <c r="K523" s="80"/>
      <c r="L523" s="80"/>
    </row>
    <row r="524" ht="18" customHeight="1" spans="1:12">
      <c r="A524" s="87" t="str">
        <f t="shared" si="8"/>
        <v/>
      </c>
      <c r="B524" s="78"/>
      <c r="C524" s="79"/>
      <c r="D524" s="80"/>
      <c r="E524" s="79"/>
      <c r="F524" s="88"/>
      <c r="G524" s="88"/>
      <c r="H524" s="80"/>
      <c r="I524" s="80"/>
      <c r="J524" s="79"/>
      <c r="K524" s="80"/>
      <c r="L524" s="80"/>
    </row>
    <row r="525" ht="18" customHeight="1" spans="1:12">
      <c r="A525" s="87" t="str">
        <f t="shared" si="8"/>
        <v/>
      </c>
      <c r="B525" s="78"/>
      <c r="C525" s="79"/>
      <c r="D525" s="80"/>
      <c r="E525" s="79"/>
      <c r="F525" s="88"/>
      <c r="G525" s="88"/>
      <c r="H525" s="80"/>
      <c r="I525" s="80"/>
      <c r="J525" s="79"/>
      <c r="K525" s="80"/>
      <c r="L525" s="80"/>
    </row>
    <row r="526" ht="18" customHeight="1" spans="1:12">
      <c r="A526" s="87" t="str">
        <f t="shared" si="8"/>
        <v/>
      </c>
      <c r="B526" s="78"/>
      <c r="C526" s="79"/>
      <c r="D526" s="80"/>
      <c r="E526" s="79"/>
      <c r="F526" s="88"/>
      <c r="G526" s="88"/>
      <c r="H526" s="80"/>
      <c r="I526" s="80"/>
      <c r="J526" s="79"/>
      <c r="K526" s="80"/>
      <c r="L526" s="80"/>
    </row>
    <row r="527" ht="18" customHeight="1" spans="1:12">
      <c r="A527" s="87" t="str">
        <f t="shared" si="8"/>
        <v/>
      </c>
      <c r="B527" s="78"/>
      <c r="C527" s="79"/>
      <c r="D527" s="80"/>
      <c r="E527" s="79"/>
      <c r="F527" s="88"/>
      <c r="G527" s="88"/>
      <c r="H527" s="80"/>
      <c r="I527" s="80"/>
      <c r="J527" s="79"/>
      <c r="K527" s="80"/>
      <c r="L527" s="80"/>
    </row>
    <row r="528" ht="18" customHeight="1" spans="1:12">
      <c r="A528" s="87" t="str">
        <f t="shared" si="8"/>
        <v/>
      </c>
      <c r="B528" s="78"/>
      <c r="C528" s="79"/>
      <c r="D528" s="80"/>
      <c r="E528" s="79"/>
      <c r="F528" s="88"/>
      <c r="G528" s="88"/>
      <c r="H528" s="80"/>
      <c r="I528" s="80"/>
      <c r="J528" s="79"/>
      <c r="K528" s="80"/>
      <c r="L528" s="80"/>
    </row>
    <row r="529" ht="18" customHeight="1" spans="1:12">
      <c r="A529" s="87" t="str">
        <f t="shared" si="8"/>
        <v/>
      </c>
      <c r="B529" s="78"/>
      <c r="C529" s="79"/>
      <c r="D529" s="80"/>
      <c r="E529" s="79"/>
      <c r="F529" s="88"/>
      <c r="G529" s="88"/>
      <c r="H529" s="80"/>
      <c r="I529" s="80"/>
      <c r="J529" s="79"/>
      <c r="K529" s="80"/>
      <c r="L529" s="80"/>
    </row>
    <row r="530" ht="18" customHeight="1" spans="1:12">
      <c r="A530" s="87" t="str">
        <f t="shared" si="8"/>
        <v/>
      </c>
      <c r="B530" s="78"/>
      <c r="C530" s="79"/>
      <c r="D530" s="80"/>
      <c r="E530" s="79"/>
      <c r="F530" s="88"/>
      <c r="G530" s="88"/>
      <c r="H530" s="80"/>
      <c r="I530" s="80"/>
      <c r="J530" s="79"/>
      <c r="K530" s="80"/>
      <c r="L530" s="80"/>
    </row>
    <row r="531" ht="18" customHeight="1" spans="1:12">
      <c r="A531" s="87" t="str">
        <f t="shared" si="8"/>
        <v/>
      </c>
      <c r="B531" s="78"/>
      <c r="C531" s="79"/>
      <c r="D531" s="80"/>
      <c r="E531" s="79"/>
      <c r="F531" s="88"/>
      <c r="G531" s="88"/>
      <c r="H531" s="80"/>
      <c r="I531" s="80"/>
      <c r="J531" s="79"/>
      <c r="K531" s="80"/>
      <c r="L531" s="80"/>
    </row>
    <row r="532" ht="18" customHeight="1" spans="1:12">
      <c r="A532" s="87" t="str">
        <f t="shared" si="8"/>
        <v/>
      </c>
      <c r="B532" s="78"/>
      <c r="C532" s="79"/>
      <c r="D532" s="80"/>
      <c r="E532" s="79"/>
      <c r="F532" s="88"/>
      <c r="G532" s="88"/>
      <c r="H532" s="80"/>
      <c r="I532" s="80"/>
      <c r="J532" s="79"/>
      <c r="K532" s="80"/>
      <c r="L532" s="80"/>
    </row>
    <row r="533" ht="18" customHeight="1" spans="1:12">
      <c r="A533" s="87" t="str">
        <f t="shared" si="8"/>
        <v/>
      </c>
      <c r="B533" s="78"/>
      <c r="C533" s="79"/>
      <c r="D533" s="80"/>
      <c r="E533" s="79"/>
      <c r="F533" s="88"/>
      <c r="G533" s="88"/>
      <c r="H533" s="80"/>
      <c r="I533" s="80"/>
      <c r="J533" s="79"/>
      <c r="K533" s="80"/>
      <c r="L533" s="80"/>
    </row>
    <row r="534" ht="18" customHeight="1" spans="1:12">
      <c r="A534" s="87" t="str">
        <f t="shared" si="8"/>
        <v/>
      </c>
      <c r="B534" s="78"/>
      <c r="C534" s="79"/>
      <c r="D534" s="80"/>
      <c r="E534" s="79"/>
      <c r="F534" s="88"/>
      <c r="G534" s="88"/>
      <c r="H534" s="80"/>
      <c r="I534" s="80"/>
      <c r="J534" s="79"/>
      <c r="K534" s="80"/>
      <c r="L534" s="80"/>
    </row>
    <row r="535" ht="18" customHeight="1" spans="1:12">
      <c r="A535" s="87" t="str">
        <f t="shared" si="8"/>
        <v/>
      </c>
      <c r="B535" s="78"/>
      <c r="C535" s="79"/>
      <c r="D535" s="80"/>
      <c r="E535" s="79"/>
      <c r="F535" s="88"/>
      <c r="G535" s="88"/>
      <c r="H535" s="80"/>
      <c r="I535" s="80"/>
      <c r="J535" s="79"/>
      <c r="K535" s="80"/>
      <c r="L535" s="80"/>
    </row>
    <row r="536" ht="18" customHeight="1" spans="1:12">
      <c r="A536" s="87" t="str">
        <f t="shared" si="8"/>
        <v/>
      </c>
      <c r="B536" s="78"/>
      <c r="C536" s="79"/>
      <c r="D536" s="80"/>
      <c r="E536" s="79"/>
      <c r="F536" s="88"/>
      <c r="G536" s="88"/>
      <c r="H536" s="80"/>
      <c r="I536" s="80"/>
      <c r="J536" s="79"/>
      <c r="K536" s="80"/>
      <c r="L536" s="80"/>
    </row>
    <row r="537" ht="18" customHeight="1" spans="1:12">
      <c r="A537" s="87" t="str">
        <f t="shared" si="8"/>
        <v/>
      </c>
      <c r="B537" s="78"/>
      <c r="C537" s="79"/>
      <c r="D537" s="80"/>
      <c r="E537" s="79"/>
      <c r="F537" s="88"/>
      <c r="G537" s="88"/>
      <c r="H537" s="80"/>
      <c r="I537" s="80"/>
      <c r="J537" s="79"/>
      <c r="K537" s="80"/>
      <c r="L537" s="80"/>
    </row>
    <row r="538" ht="18" customHeight="1" spans="1:12">
      <c r="A538" s="87" t="str">
        <f t="shared" si="8"/>
        <v/>
      </c>
      <c r="B538" s="78"/>
      <c r="C538" s="79"/>
      <c r="D538" s="80"/>
      <c r="E538" s="79"/>
      <c r="F538" s="88"/>
      <c r="G538" s="88"/>
      <c r="H538" s="80"/>
      <c r="I538" s="80"/>
      <c r="J538" s="79"/>
      <c r="K538" s="80"/>
      <c r="L538" s="80"/>
    </row>
    <row r="539" ht="18" customHeight="1" spans="1:12">
      <c r="A539" s="87" t="str">
        <f t="shared" si="8"/>
        <v/>
      </c>
      <c r="B539" s="78"/>
      <c r="C539" s="79"/>
      <c r="D539" s="80"/>
      <c r="E539" s="79"/>
      <c r="F539" s="88"/>
      <c r="G539" s="88"/>
      <c r="H539" s="80"/>
      <c r="I539" s="80"/>
      <c r="J539" s="79"/>
      <c r="K539" s="80"/>
      <c r="L539" s="80"/>
    </row>
    <row r="540" ht="18" customHeight="1" spans="1:12">
      <c r="A540" s="87" t="str">
        <f t="shared" si="8"/>
        <v/>
      </c>
      <c r="B540" s="78"/>
      <c r="C540" s="79"/>
      <c r="D540" s="80"/>
      <c r="E540" s="79"/>
      <c r="F540" s="88"/>
      <c r="G540" s="88"/>
      <c r="H540" s="80"/>
      <c r="I540" s="80"/>
      <c r="J540" s="79"/>
      <c r="K540" s="80"/>
      <c r="L540" s="80"/>
    </row>
    <row r="541" ht="18" customHeight="1" spans="1:12">
      <c r="A541" s="87" t="str">
        <f t="shared" si="8"/>
        <v/>
      </c>
      <c r="B541" s="78"/>
      <c r="C541" s="79"/>
      <c r="D541" s="80"/>
      <c r="E541" s="79"/>
      <c r="F541" s="88"/>
      <c r="G541" s="88"/>
      <c r="H541" s="80"/>
      <c r="I541" s="80"/>
      <c r="J541" s="79"/>
      <c r="K541" s="80"/>
      <c r="L541" s="80"/>
    </row>
    <row r="542" ht="18" customHeight="1" spans="1:12">
      <c r="A542" s="87" t="str">
        <f t="shared" si="8"/>
        <v/>
      </c>
      <c r="B542" s="78"/>
      <c r="C542" s="79"/>
      <c r="D542" s="80"/>
      <c r="E542" s="79"/>
      <c r="F542" s="88"/>
      <c r="G542" s="88"/>
      <c r="H542" s="80"/>
      <c r="I542" s="80"/>
      <c r="J542" s="79"/>
      <c r="K542" s="80"/>
      <c r="L542" s="80"/>
    </row>
    <row r="543" ht="18" customHeight="1" spans="1:12">
      <c r="A543" s="87" t="str">
        <f t="shared" si="8"/>
        <v/>
      </c>
      <c r="B543" s="78"/>
      <c r="C543" s="79"/>
      <c r="D543" s="80"/>
      <c r="E543" s="79"/>
      <c r="F543" s="88"/>
      <c r="G543" s="88"/>
      <c r="H543" s="80"/>
      <c r="I543" s="80"/>
      <c r="J543" s="79"/>
      <c r="K543" s="80"/>
      <c r="L543" s="80"/>
    </row>
    <row r="544" ht="18" customHeight="1" spans="1:12">
      <c r="A544" s="87" t="str">
        <f t="shared" si="8"/>
        <v/>
      </c>
      <c r="B544" s="78"/>
      <c r="C544" s="79"/>
      <c r="D544" s="80"/>
      <c r="E544" s="79"/>
      <c r="F544" s="88"/>
      <c r="G544" s="88"/>
      <c r="H544" s="80"/>
      <c r="I544" s="80"/>
      <c r="J544" s="79"/>
      <c r="K544" s="80"/>
      <c r="L544" s="80"/>
    </row>
    <row r="545" ht="18" customHeight="1" spans="1:12">
      <c r="A545" s="87" t="str">
        <f t="shared" si="8"/>
        <v/>
      </c>
      <c r="B545" s="78"/>
      <c r="C545" s="79"/>
      <c r="D545" s="80"/>
      <c r="E545" s="79"/>
      <c r="F545" s="88"/>
      <c r="G545" s="88"/>
      <c r="H545" s="80"/>
      <c r="I545" s="80"/>
      <c r="J545" s="79"/>
      <c r="K545" s="80"/>
      <c r="L545" s="80"/>
    </row>
    <row r="546" ht="18" customHeight="1" spans="1:12">
      <c r="A546" s="87" t="str">
        <f t="shared" si="8"/>
        <v/>
      </c>
      <c r="B546" s="78"/>
      <c r="C546" s="79"/>
      <c r="D546" s="80"/>
      <c r="E546" s="79"/>
      <c r="F546" s="88"/>
      <c r="G546" s="88"/>
      <c r="H546" s="80"/>
      <c r="I546" s="80"/>
      <c r="J546" s="79"/>
      <c r="K546" s="80"/>
      <c r="L546" s="80"/>
    </row>
    <row r="547" ht="18" customHeight="1" spans="1:12">
      <c r="A547" s="87" t="str">
        <f t="shared" si="8"/>
        <v/>
      </c>
      <c r="B547" s="78"/>
      <c r="C547" s="79"/>
      <c r="D547" s="80"/>
      <c r="E547" s="79"/>
      <c r="F547" s="88"/>
      <c r="G547" s="88"/>
      <c r="H547" s="80"/>
      <c r="I547" s="80"/>
      <c r="J547" s="79"/>
      <c r="K547" s="80"/>
      <c r="L547" s="80"/>
    </row>
    <row r="548" ht="18" customHeight="1" spans="1:12">
      <c r="A548" s="87" t="str">
        <f t="shared" si="8"/>
        <v/>
      </c>
      <c r="B548" s="78"/>
      <c r="C548" s="79"/>
      <c r="D548" s="80"/>
      <c r="E548" s="79"/>
      <c r="F548" s="88"/>
      <c r="G548" s="88"/>
      <c r="H548" s="80"/>
      <c r="I548" s="80"/>
      <c r="J548" s="79"/>
      <c r="K548" s="80"/>
      <c r="L548" s="80"/>
    </row>
    <row r="549" ht="18" customHeight="1" spans="1:12">
      <c r="A549" s="87" t="str">
        <f t="shared" si="8"/>
        <v/>
      </c>
      <c r="B549" s="78"/>
      <c r="C549" s="79"/>
      <c r="D549" s="80"/>
      <c r="E549" s="79"/>
      <c r="F549" s="88"/>
      <c r="G549" s="88"/>
      <c r="H549" s="80"/>
      <c r="I549" s="80"/>
      <c r="J549" s="79"/>
      <c r="K549" s="80"/>
      <c r="L549" s="80"/>
    </row>
    <row r="550" ht="18" customHeight="1" spans="1:12">
      <c r="A550" s="87" t="str">
        <f t="shared" si="8"/>
        <v/>
      </c>
      <c r="B550" s="78"/>
      <c r="C550" s="79"/>
      <c r="D550" s="80"/>
      <c r="E550" s="79"/>
      <c r="F550" s="88"/>
      <c r="G550" s="88"/>
      <c r="H550" s="80"/>
      <c r="I550" s="80"/>
      <c r="J550" s="79"/>
      <c r="K550" s="80"/>
      <c r="L550" s="80"/>
    </row>
    <row r="551" ht="18" customHeight="1" spans="1:12">
      <c r="A551" s="87" t="str">
        <f t="shared" si="8"/>
        <v/>
      </c>
      <c r="B551" s="78"/>
      <c r="C551" s="79"/>
      <c r="D551" s="80"/>
      <c r="E551" s="79"/>
      <c r="F551" s="88"/>
      <c r="G551" s="88"/>
      <c r="H551" s="80"/>
      <c r="I551" s="80"/>
      <c r="J551" s="79"/>
      <c r="K551" s="80"/>
      <c r="L551" s="80"/>
    </row>
    <row r="552" ht="18" customHeight="1" spans="1:12">
      <c r="A552" s="87" t="str">
        <f t="shared" si="8"/>
        <v/>
      </c>
      <c r="B552" s="78"/>
      <c r="C552" s="79"/>
      <c r="D552" s="80"/>
      <c r="E552" s="79"/>
      <c r="F552" s="88"/>
      <c r="G552" s="88"/>
      <c r="H552" s="80"/>
      <c r="I552" s="80"/>
      <c r="J552" s="79"/>
      <c r="K552" s="80"/>
      <c r="L552" s="80"/>
    </row>
    <row r="553" ht="18" customHeight="1" spans="1:12">
      <c r="A553" s="87" t="str">
        <f t="shared" si="8"/>
        <v/>
      </c>
      <c r="B553" s="78"/>
      <c r="C553" s="79"/>
      <c r="D553" s="80"/>
      <c r="E553" s="79"/>
      <c r="F553" s="88"/>
      <c r="G553" s="88"/>
      <c r="H553" s="80"/>
      <c r="I553" s="80"/>
      <c r="J553" s="79"/>
      <c r="K553" s="80"/>
      <c r="L553" s="80"/>
    </row>
    <row r="554" ht="18" customHeight="1" spans="1:12">
      <c r="A554" s="87" t="str">
        <f t="shared" si="8"/>
        <v/>
      </c>
      <c r="B554" s="78"/>
      <c r="C554" s="79"/>
      <c r="D554" s="80"/>
      <c r="E554" s="79"/>
      <c r="F554" s="88"/>
      <c r="G554" s="88"/>
      <c r="H554" s="80"/>
      <c r="I554" s="80"/>
      <c r="J554" s="79"/>
      <c r="K554" s="80"/>
      <c r="L554" s="80"/>
    </row>
    <row r="555" ht="18" customHeight="1" spans="1:12">
      <c r="A555" s="87" t="str">
        <f t="shared" si="8"/>
        <v/>
      </c>
      <c r="B555" s="78"/>
      <c r="C555" s="79"/>
      <c r="D555" s="80"/>
      <c r="E555" s="79"/>
      <c r="F555" s="88"/>
      <c r="G555" s="88"/>
      <c r="H555" s="80"/>
      <c r="I555" s="80"/>
      <c r="J555" s="79"/>
      <c r="K555" s="80"/>
      <c r="L555" s="80"/>
    </row>
    <row r="556" ht="18" customHeight="1" spans="1:12">
      <c r="A556" s="87" t="str">
        <f t="shared" si="8"/>
        <v/>
      </c>
      <c r="B556" s="78"/>
      <c r="C556" s="79"/>
      <c r="D556" s="80"/>
      <c r="E556" s="79"/>
      <c r="F556" s="88"/>
      <c r="G556" s="88"/>
      <c r="H556" s="80"/>
      <c r="I556" s="80"/>
      <c r="J556" s="79"/>
      <c r="K556" s="80"/>
      <c r="L556" s="80"/>
    </row>
    <row r="557" ht="18" customHeight="1" spans="1:12">
      <c r="A557" s="87" t="str">
        <f t="shared" si="8"/>
        <v/>
      </c>
      <c r="B557" s="78"/>
      <c r="C557" s="79"/>
      <c r="D557" s="80"/>
      <c r="E557" s="79"/>
      <c r="F557" s="88"/>
      <c r="G557" s="88"/>
      <c r="H557" s="80"/>
      <c r="I557" s="80"/>
      <c r="J557" s="79"/>
      <c r="K557" s="80"/>
      <c r="L557" s="80"/>
    </row>
    <row r="558" ht="18" customHeight="1" spans="1:12">
      <c r="A558" s="87" t="str">
        <f t="shared" si="8"/>
        <v/>
      </c>
      <c r="B558" s="78"/>
      <c r="C558" s="79"/>
      <c r="D558" s="80"/>
      <c r="E558" s="79"/>
      <c r="F558" s="88"/>
      <c r="G558" s="88"/>
      <c r="H558" s="80"/>
      <c r="I558" s="80"/>
      <c r="J558" s="79"/>
      <c r="K558" s="80"/>
      <c r="L558" s="80"/>
    </row>
    <row r="559" ht="18" customHeight="1" spans="1:12">
      <c r="A559" s="87" t="str">
        <f t="shared" si="8"/>
        <v/>
      </c>
      <c r="B559" s="78"/>
      <c r="C559" s="79"/>
      <c r="D559" s="80"/>
      <c r="E559" s="79"/>
      <c r="F559" s="88"/>
      <c r="G559" s="88"/>
      <c r="H559" s="80"/>
      <c r="I559" s="80"/>
      <c r="J559" s="79"/>
      <c r="K559" s="80"/>
      <c r="L559" s="80"/>
    </row>
    <row r="560" ht="18" customHeight="1" spans="1:12">
      <c r="A560" s="87" t="str">
        <f t="shared" si="8"/>
        <v/>
      </c>
      <c r="B560" s="78"/>
      <c r="C560" s="79"/>
      <c r="D560" s="80"/>
      <c r="E560" s="79"/>
      <c r="F560" s="88"/>
      <c r="G560" s="88"/>
      <c r="H560" s="80"/>
      <c r="I560" s="80"/>
      <c r="J560" s="79"/>
      <c r="K560" s="80"/>
      <c r="L560" s="80"/>
    </row>
    <row r="561" ht="18" customHeight="1" spans="1:12">
      <c r="A561" s="87" t="str">
        <f t="shared" si="8"/>
        <v/>
      </c>
      <c r="B561" s="78"/>
      <c r="C561" s="79"/>
      <c r="D561" s="80"/>
      <c r="E561" s="79"/>
      <c r="F561" s="88"/>
      <c r="G561" s="88"/>
      <c r="H561" s="80"/>
      <c r="I561" s="80"/>
      <c r="J561" s="79"/>
      <c r="K561" s="80"/>
      <c r="L561" s="80"/>
    </row>
    <row r="562" ht="18" customHeight="1" spans="1:12">
      <c r="A562" s="87" t="str">
        <f t="shared" si="8"/>
        <v/>
      </c>
      <c r="B562" s="78"/>
      <c r="C562" s="79"/>
      <c r="D562" s="80"/>
      <c r="E562" s="79"/>
      <c r="F562" s="88"/>
      <c r="G562" s="88"/>
      <c r="H562" s="80"/>
      <c r="I562" s="80"/>
      <c r="J562" s="79"/>
      <c r="K562" s="80"/>
      <c r="L562" s="80"/>
    </row>
    <row r="563" ht="18" customHeight="1" spans="1:12">
      <c r="A563" s="87" t="str">
        <f t="shared" si="8"/>
        <v/>
      </c>
      <c r="B563" s="78"/>
      <c r="C563" s="79"/>
      <c r="D563" s="80"/>
      <c r="E563" s="79"/>
      <c r="F563" s="88"/>
      <c r="G563" s="88"/>
      <c r="H563" s="80"/>
      <c r="I563" s="80"/>
      <c r="J563" s="79"/>
      <c r="K563" s="80"/>
      <c r="L563" s="80"/>
    </row>
    <row r="564" ht="18" customHeight="1" spans="1:12">
      <c r="A564" s="87" t="str">
        <f t="shared" si="8"/>
        <v/>
      </c>
      <c r="B564" s="78"/>
      <c r="C564" s="79"/>
      <c r="D564" s="80"/>
      <c r="E564" s="79"/>
      <c r="F564" s="88"/>
      <c r="G564" s="88"/>
      <c r="H564" s="80"/>
      <c r="I564" s="80"/>
      <c r="J564" s="79"/>
      <c r="K564" s="80"/>
      <c r="L564" s="80"/>
    </row>
    <row r="565" ht="18" customHeight="1" spans="1:12">
      <c r="A565" s="87" t="str">
        <f t="shared" si="8"/>
        <v/>
      </c>
      <c r="B565" s="78"/>
      <c r="C565" s="79"/>
      <c r="D565" s="80"/>
      <c r="E565" s="79"/>
      <c r="F565" s="88"/>
      <c r="G565" s="88"/>
      <c r="H565" s="80"/>
      <c r="I565" s="80"/>
      <c r="J565" s="79"/>
      <c r="K565" s="80"/>
      <c r="L565" s="80"/>
    </row>
    <row r="566" ht="18" customHeight="1" spans="1:12">
      <c r="A566" s="87" t="str">
        <f t="shared" si="8"/>
        <v/>
      </c>
      <c r="B566" s="78"/>
      <c r="C566" s="79"/>
      <c r="D566" s="80"/>
      <c r="E566" s="79"/>
      <c r="F566" s="88"/>
      <c r="G566" s="88"/>
      <c r="H566" s="80"/>
      <c r="I566" s="80"/>
      <c r="J566" s="79"/>
      <c r="K566" s="80"/>
      <c r="L566" s="80"/>
    </row>
    <row r="567" ht="18" customHeight="1" spans="1:12">
      <c r="A567" s="87" t="str">
        <f t="shared" si="8"/>
        <v/>
      </c>
      <c r="B567" s="78"/>
      <c r="C567" s="79"/>
      <c r="D567" s="80"/>
      <c r="E567" s="79"/>
      <c r="F567" s="88"/>
      <c r="G567" s="88"/>
      <c r="H567" s="80"/>
      <c r="I567" s="80"/>
      <c r="J567" s="79"/>
      <c r="K567" s="80"/>
      <c r="L567" s="80"/>
    </row>
    <row r="568" ht="18" customHeight="1" spans="1:12">
      <c r="A568" s="87" t="str">
        <f t="shared" si="8"/>
        <v/>
      </c>
      <c r="B568" s="78"/>
      <c r="C568" s="79"/>
      <c r="D568" s="80"/>
      <c r="E568" s="79"/>
      <c r="F568" s="88"/>
      <c r="G568" s="88"/>
      <c r="H568" s="80"/>
      <c r="I568" s="80"/>
      <c r="J568" s="79"/>
      <c r="K568" s="80"/>
      <c r="L568" s="80"/>
    </row>
    <row r="569" ht="18" customHeight="1" spans="1:12">
      <c r="A569" s="87" t="str">
        <f t="shared" si="8"/>
        <v/>
      </c>
      <c r="B569" s="78"/>
      <c r="C569" s="79"/>
      <c r="D569" s="80"/>
      <c r="E569" s="79"/>
      <c r="F569" s="88"/>
      <c r="G569" s="88"/>
      <c r="H569" s="80"/>
      <c r="I569" s="80"/>
      <c r="J569" s="79"/>
      <c r="K569" s="80"/>
      <c r="L569" s="80"/>
    </row>
    <row r="570" ht="18" customHeight="1" spans="1:12">
      <c r="A570" s="87" t="str">
        <f t="shared" si="8"/>
        <v/>
      </c>
      <c r="B570" s="78"/>
      <c r="C570" s="79"/>
      <c r="D570" s="80"/>
      <c r="E570" s="79"/>
      <c r="F570" s="88"/>
      <c r="G570" s="88"/>
      <c r="H570" s="80"/>
      <c r="I570" s="80"/>
      <c r="J570" s="79"/>
      <c r="K570" s="80"/>
      <c r="L570" s="80"/>
    </row>
    <row r="571" ht="18" customHeight="1" spans="1:12">
      <c r="A571" s="87" t="str">
        <f t="shared" si="8"/>
        <v/>
      </c>
      <c r="B571" s="78"/>
      <c r="C571" s="79"/>
      <c r="D571" s="80"/>
      <c r="E571" s="79"/>
      <c r="F571" s="88"/>
      <c r="G571" s="88"/>
      <c r="H571" s="80"/>
      <c r="I571" s="80"/>
      <c r="J571" s="79"/>
      <c r="K571" s="80"/>
      <c r="L571" s="80"/>
    </row>
    <row r="572" ht="18" customHeight="1" spans="1:12">
      <c r="A572" s="87" t="str">
        <f t="shared" si="8"/>
        <v/>
      </c>
      <c r="B572" s="78"/>
      <c r="C572" s="79"/>
      <c r="D572" s="80"/>
      <c r="E572" s="79"/>
      <c r="F572" s="88"/>
      <c r="G572" s="88"/>
      <c r="H572" s="80"/>
      <c r="I572" s="80"/>
      <c r="J572" s="79"/>
      <c r="K572" s="80"/>
      <c r="L572" s="80"/>
    </row>
    <row r="573" ht="18" customHeight="1" spans="1:12">
      <c r="A573" s="87" t="str">
        <f t="shared" si="8"/>
        <v/>
      </c>
      <c r="B573" s="78"/>
      <c r="C573" s="79"/>
      <c r="D573" s="80"/>
      <c r="E573" s="79"/>
      <c r="F573" s="88"/>
      <c r="G573" s="88"/>
      <c r="H573" s="80"/>
      <c r="I573" s="80"/>
      <c r="J573" s="79"/>
      <c r="K573" s="80"/>
      <c r="L573" s="80"/>
    </row>
    <row r="574" ht="18" customHeight="1" spans="1:12">
      <c r="A574" s="87" t="str">
        <f t="shared" si="8"/>
        <v/>
      </c>
      <c r="B574" s="78"/>
      <c r="C574" s="79"/>
      <c r="D574" s="80"/>
      <c r="E574" s="79"/>
      <c r="F574" s="88"/>
      <c r="G574" s="88"/>
      <c r="H574" s="80"/>
      <c r="I574" s="80"/>
      <c r="J574" s="79"/>
      <c r="K574" s="80"/>
      <c r="L574" s="80"/>
    </row>
    <row r="575" ht="18" customHeight="1" spans="1:12">
      <c r="A575" s="87" t="str">
        <f t="shared" si="8"/>
        <v/>
      </c>
      <c r="B575" s="78"/>
      <c r="C575" s="79"/>
      <c r="D575" s="80"/>
      <c r="E575" s="79"/>
      <c r="F575" s="88"/>
      <c r="G575" s="88"/>
      <c r="H575" s="80"/>
      <c r="I575" s="80"/>
      <c r="J575" s="79"/>
      <c r="K575" s="80"/>
      <c r="L575" s="80"/>
    </row>
    <row r="576" ht="18" customHeight="1" spans="1:12">
      <c r="A576" s="87" t="str">
        <f t="shared" si="8"/>
        <v/>
      </c>
      <c r="B576" s="78"/>
      <c r="C576" s="79"/>
      <c r="D576" s="80"/>
      <c r="E576" s="79"/>
      <c r="F576" s="88"/>
      <c r="G576" s="88"/>
      <c r="H576" s="80"/>
      <c r="I576" s="80"/>
      <c r="J576" s="79"/>
      <c r="K576" s="80"/>
      <c r="L576" s="80"/>
    </row>
    <row r="577" ht="18" customHeight="1" spans="1:12">
      <c r="A577" s="87" t="str">
        <f t="shared" si="8"/>
        <v/>
      </c>
      <c r="B577" s="78"/>
      <c r="C577" s="79"/>
      <c r="D577" s="80"/>
      <c r="E577" s="79"/>
      <c r="F577" s="88"/>
      <c r="G577" s="88"/>
      <c r="H577" s="80"/>
      <c r="I577" s="80"/>
      <c r="J577" s="79"/>
      <c r="K577" s="80"/>
      <c r="L577" s="80"/>
    </row>
    <row r="578" ht="18" customHeight="1" spans="1:12">
      <c r="A578" s="87" t="str">
        <f t="shared" si="8"/>
        <v/>
      </c>
      <c r="B578" s="78"/>
      <c r="C578" s="79"/>
      <c r="D578" s="80"/>
      <c r="E578" s="79"/>
      <c r="F578" s="88"/>
      <c r="G578" s="88"/>
      <c r="H578" s="80"/>
      <c r="I578" s="80"/>
      <c r="J578" s="79"/>
      <c r="K578" s="80"/>
      <c r="L578" s="80"/>
    </row>
    <row r="579" ht="18" customHeight="1" spans="1:12">
      <c r="A579" s="87" t="str">
        <f t="shared" si="8"/>
        <v/>
      </c>
      <c r="B579" s="78"/>
      <c r="C579" s="79"/>
      <c r="D579" s="80"/>
      <c r="E579" s="79"/>
      <c r="F579" s="88"/>
      <c r="G579" s="88"/>
      <c r="H579" s="80"/>
      <c r="I579" s="80"/>
      <c r="J579" s="79"/>
      <c r="K579" s="80"/>
      <c r="L579" s="80"/>
    </row>
    <row r="580" ht="18" customHeight="1" spans="1:12">
      <c r="A580" s="87" t="str">
        <f t="shared" ref="A580:A643" si="9">IF($C580="","",ROW()-3)</f>
        <v/>
      </c>
      <c r="B580" s="78"/>
      <c r="C580" s="79"/>
      <c r="D580" s="80"/>
      <c r="E580" s="79"/>
      <c r="F580" s="88"/>
      <c r="G580" s="88"/>
      <c r="H580" s="80"/>
      <c r="I580" s="80"/>
      <c r="J580" s="79"/>
      <c r="K580" s="80"/>
      <c r="L580" s="80"/>
    </row>
    <row r="581" ht="18" customHeight="1" spans="1:12">
      <c r="A581" s="87" t="str">
        <f t="shared" si="9"/>
        <v/>
      </c>
      <c r="B581" s="78"/>
      <c r="C581" s="79"/>
      <c r="D581" s="80"/>
      <c r="E581" s="79"/>
      <c r="F581" s="88"/>
      <c r="G581" s="88"/>
      <c r="H581" s="80"/>
      <c r="I581" s="80"/>
      <c r="J581" s="79"/>
      <c r="K581" s="80"/>
      <c r="L581" s="80"/>
    </row>
    <row r="582" ht="18" customHeight="1" spans="1:12">
      <c r="A582" s="87" t="str">
        <f t="shared" si="9"/>
        <v/>
      </c>
      <c r="B582" s="78"/>
      <c r="C582" s="79"/>
      <c r="D582" s="80"/>
      <c r="E582" s="79"/>
      <c r="F582" s="88"/>
      <c r="G582" s="88"/>
      <c r="H582" s="80"/>
      <c r="I582" s="80"/>
      <c r="J582" s="79"/>
      <c r="K582" s="80"/>
      <c r="L582" s="80"/>
    </row>
    <row r="583" ht="18" customHeight="1" spans="1:12">
      <c r="A583" s="87" t="str">
        <f t="shared" si="9"/>
        <v/>
      </c>
      <c r="B583" s="78"/>
      <c r="C583" s="79"/>
      <c r="D583" s="80"/>
      <c r="E583" s="79"/>
      <c r="F583" s="88"/>
      <c r="G583" s="88"/>
      <c r="H583" s="80"/>
      <c r="I583" s="80"/>
      <c r="J583" s="79"/>
      <c r="K583" s="80"/>
      <c r="L583" s="80"/>
    </row>
    <row r="584" ht="18" customHeight="1" spans="1:12">
      <c r="A584" s="87" t="str">
        <f t="shared" si="9"/>
        <v/>
      </c>
      <c r="B584" s="78"/>
      <c r="C584" s="79"/>
      <c r="D584" s="80"/>
      <c r="E584" s="79"/>
      <c r="F584" s="88"/>
      <c r="G584" s="88"/>
      <c r="H584" s="80"/>
      <c r="I584" s="80"/>
      <c r="J584" s="79"/>
      <c r="K584" s="80"/>
      <c r="L584" s="80"/>
    </row>
    <row r="585" ht="18" customHeight="1" spans="1:12">
      <c r="A585" s="87" t="str">
        <f t="shared" si="9"/>
        <v/>
      </c>
      <c r="B585" s="78"/>
      <c r="C585" s="79"/>
      <c r="D585" s="80"/>
      <c r="E585" s="79"/>
      <c r="F585" s="88"/>
      <c r="G585" s="88"/>
      <c r="H585" s="80"/>
      <c r="I585" s="80"/>
      <c r="J585" s="79"/>
      <c r="K585" s="80"/>
      <c r="L585" s="80"/>
    </row>
    <row r="586" ht="18" customHeight="1" spans="1:12">
      <c r="A586" s="87" t="str">
        <f t="shared" si="9"/>
        <v/>
      </c>
      <c r="B586" s="78"/>
      <c r="C586" s="79"/>
      <c r="D586" s="80"/>
      <c r="E586" s="79"/>
      <c r="F586" s="88"/>
      <c r="G586" s="88"/>
      <c r="H586" s="80"/>
      <c r="I586" s="80"/>
      <c r="J586" s="79"/>
      <c r="K586" s="80"/>
      <c r="L586" s="80"/>
    </row>
    <row r="587" ht="18" customHeight="1" spans="1:12">
      <c r="A587" s="87" t="str">
        <f t="shared" si="9"/>
        <v/>
      </c>
      <c r="B587" s="78"/>
      <c r="C587" s="79"/>
      <c r="D587" s="80"/>
      <c r="E587" s="79"/>
      <c r="F587" s="88"/>
      <c r="G587" s="88"/>
      <c r="H587" s="80"/>
      <c r="I587" s="80"/>
      <c r="J587" s="79"/>
      <c r="K587" s="80"/>
      <c r="L587" s="80"/>
    </row>
    <row r="588" ht="18" customHeight="1" spans="1:12">
      <c r="A588" s="87" t="str">
        <f t="shared" si="9"/>
        <v/>
      </c>
      <c r="B588" s="78"/>
      <c r="C588" s="79"/>
      <c r="D588" s="80"/>
      <c r="E588" s="79"/>
      <c r="F588" s="88"/>
      <c r="G588" s="88"/>
      <c r="H588" s="80"/>
      <c r="I588" s="80"/>
      <c r="J588" s="79"/>
      <c r="K588" s="80"/>
      <c r="L588" s="80"/>
    </row>
    <row r="589" ht="18" customHeight="1" spans="1:12">
      <c r="A589" s="87" t="str">
        <f t="shared" si="9"/>
        <v/>
      </c>
      <c r="B589" s="78"/>
      <c r="C589" s="79"/>
      <c r="D589" s="80"/>
      <c r="E589" s="79"/>
      <c r="F589" s="88"/>
      <c r="G589" s="88"/>
      <c r="H589" s="80"/>
      <c r="I589" s="80"/>
      <c r="J589" s="79"/>
      <c r="K589" s="80"/>
      <c r="L589" s="80"/>
    </row>
    <row r="590" ht="18" customHeight="1" spans="1:12">
      <c r="A590" s="87" t="str">
        <f t="shared" si="9"/>
        <v/>
      </c>
      <c r="B590" s="78"/>
      <c r="C590" s="79"/>
      <c r="D590" s="80"/>
      <c r="E590" s="79"/>
      <c r="F590" s="88"/>
      <c r="G590" s="88"/>
      <c r="H590" s="80"/>
      <c r="I590" s="80"/>
      <c r="J590" s="79"/>
      <c r="K590" s="80"/>
      <c r="L590" s="80"/>
    </row>
    <row r="591" ht="18" customHeight="1" spans="1:12">
      <c r="A591" s="87" t="str">
        <f t="shared" si="9"/>
        <v/>
      </c>
      <c r="B591" s="78"/>
      <c r="C591" s="79"/>
      <c r="D591" s="80"/>
      <c r="E591" s="79"/>
      <c r="F591" s="88"/>
      <c r="G591" s="88"/>
      <c r="H591" s="80"/>
      <c r="I591" s="80"/>
      <c r="J591" s="79"/>
      <c r="K591" s="80"/>
      <c r="L591" s="80"/>
    </row>
    <row r="592" ht="18" customHeight="1" spans="1:12">
      <c r="A592" s="87" t="str">
        <f t="shared" si="9"/>
        <v/>
      </c>
      <c r="B592" s="78"/>
      <c r="C592" s="79"/>
      <c r="D592" s="80"/>
      <c r="E592" s="79"/>
      <c r="F592" s="88"/>
      <c r="G592" s="88"/>
      <c r="H592" s="80"/>
      <c r="I592" s="80"/>
      <c r="J592" s="79"/>
      <c r="K592" s="80"/>
      <c r="L592" s="80"/>
    </row>
    <row r="593" ht="18" customHeight="1" spans="1:12">
      <c r="A593" s="87" t="str">
        <f t="shared" si="9"/>
        <v/>
      </c>
      <c r="B593" s="78"/>
      <c r="C593" s="79"/>
      <c r="D593" s="80"/>
      <c r="E593" s="79"/>
      <c r="F593" s="88"/>
      <c r="G593" s="88"/>
      <c r="H593" s="80"/>
      <c r="I593" s="80"/>
      <c r="J593" s="79"/>
      <c r="K593" s="80"/>
      <c r="L593" s="80"/>
    </row>
    <row r="594" ht="18" customHeight="1" spans="1:12">
      <c r="A594" s="87" t="str">
        <f t="shared" si="9"/>
        <v/>
      </c>
      <c r="B594" s="78"/>
      <c r="C594" s="79"/>
      <c r="D594" s="80"/>
      <c r="E594" s="79"/>
      <c r="F594" s="88"/>
      <c r="G594" s="88"/>
      <c r="H594" s="80"/>
      <c r="I594" s="80"/>
      <c r="J594" s="79"/>
      <c r="K594" s="80"/>
      <c r="L594" s="80"/>
    </row>
    <row r="595" ht="18" customHeight="1" spans="1:12">
      <c r="A595" s="87" t="str">
        <f t="shared" si="9"/>
        <v/>
      </c>
      <c r="B595" s="78"/>
      <c r="C595" s="79"/>
      <c r="D595" s="80"/>
      <c r="E595" s="79"/>
      <c r="F595" s="88"/>
      <c r="G595" s="88"/>
      <c r="H595" s="80"/>
      <c r="I595" s="80"/>
      <c r="J595" s="79"/>
      <c r="K595" s="80"/>
      <c r="L595" s="80"/>
    </row>
    <row r="596" ht="18" customHeight="1" spans="1:12">
      <c r="A596" s="87" t="str">
        <f t="shared" si="9"/>
        <v/>
      </c>
      <c r="B596" s="78"/>
      <c r="C596" s="79"/>
      <c r="D596" s="80"/>
      <c r="E596" s="79"/>
      <c r="F596" s="88"/>
      <c r="G596" s="88"/>
      <c r="H596" s="80"/>
      <c r="I596" s="80"/>
      <c r="J596" s="79"/>
      <c r="K596" s="80"/>
      <c r="L596" s="80"/>
    </row>
    <row r="597" ht="18" customHeight="1" spans="1:12">
      <c r="A597" s="87" t="str">
        <f t="shared" si="9"/>
        <v/>
      </c>
      <c r="B597" s="78"/>
      <c r="C597" s="79"/>
      <c r="D597" s="80"/>
      <c r="E597" s="79"/>
      <c r="F597" s="88"/>
      <c r="G597" s="88"/>
      <c r="H597" s="80"/>
      <c r="I597" s="80"/>
      <c r="J597" s="79"/>
      <c r="K597" s="80"/>
      <c r="L597" s="80"/>
    </row>
    <row r="598" ht="18" customHeight="1" spans="1:12">
      <c r="A598" s="87" t="str">
        <f t="shared" si="9"/>
        <v/>
      </c>
      <c r="B598" s="78"/>
      <c r="C598" s="79"/>
      <c r="D598" s="80"/>
      <c r="E598" s="79"/>
      <c r="F598" s="88"/>
      <c r="G598" s="88"/>
      <c r="H598" s="80"/>
      <c r="I598" s="80"/>
      <c r="J598" s="79"/>
      <c r="K598" s="80"/>
      <c r="L598" s="80"/>
    </row>
    <row r="599" ht="18" customHeight="1" spans="1:12">
      <c r="A599" s="87" t="str">
        <f t="shared" si="9"/>
        <v/>
      </c>
      <c r="B599" s="78"/>
      <c r="C599" s="79"/>
      <c r="D599" s="80"/>
      <c r="E599" s="79"/>
      <c r="F599" s="88"/>
      <c r="G599" s="88"/>
      <c r="H599" s="80"/>
      <c r="I599" s="80"/>
      <c r="J599" s="79"/>
      <c r="K599" s="80"/>
      <c r="L599" s="80"/>
    </row>
    <row r="600" ht="18" customHeight="1" spans="1:12">
      <c r="A600" s="87" t="str">
        <f t="shared" si="9"/>
        <v/>
      </c>
      <c r="B600" s="78"/>
      <c r="C600" s="79"/>
      <c r="D600" s="80"/>
      <c r="E600" s="79"/>
      <c r="F600" s="88"/>
      <c r="G600" s="88"/>
      <c r="H600" s="80"/>
      <c r="I600" s="80"/>
      <c r="J600" s="79"/>
      <c r="K600" s="80"/>
      <c r="L600" s="80"/>
    </row>
    <row r="601" ht="18" customHeight="1" spans="1:12">
      <c r="A601" s="87" t="str">
        <f t="shared" si="9"/>
        <v/>
      </c>
      <c r="B601" s="78"/>
      <c r="C601" s="79"/>
      <c r="D601" s="80"/>
      <c r="E601" s="79"/>
      <c r="F601" s="88"/>
      <c r="G601" s="88"/>
      <c r="H601" s="80"/>
      <c r="I601" s="80"/>
      <c r="J601" s="79"/>
      <c r="K601" s="80"/>
      <c r="L601" s="80"/>
    </row>
    <row r="602" ht="18" customHeight="1" spans="1:12">
      <c r="A602" s="87" t="str">
        <f t="shared" si="9"/>
        <v/>
      </c>
      <c r="B602" s="78"/>
      <c r="C602" s="79"/>
      <c r="D602" s="80"/>
      <c r="E602" s="79"/>
      <c r="F602" s="88"/>
      <c r="G602" s="88"/>
      <c r="H602" s="80"/>
      <c r="I602" s="80"/>
      <c r="J602" s="79"/>
      <c r="K602" s="80"/>
      <c r="L602" s="80"/>
    </row>
    <row r="603" ht="18" customHeight="1" spans="1:12">
      <c r="A603" s="87" t="str">
        <f t="shared" si="9"/>
        <v/>
      </c>
      <c r="B603" s="78"/>
      <c r="C603" s="79"/>
      <c r="D603" s="80"/>
      <c r="E603" s="79"/>
      <c r="F603" s="88"/>
      <c r="G603" s="88"/>
      <c r="H603" s="80"/>
      <c r="I603" s="80"/>
      <c r="J603" s="79"/>
      <c r="K603" s="80"/>
      <c r="L603" s="80"/>
    </row>
    <row r="604" ht="18" customHeight="1" spans="1:12">
      <c r="A604" s="87" t="str">
        <f t="shared" si="9"/>
        <v/>
      </c>
      <c r="B604" s="78"/>
      <c r="C604" s="79"/>
      <c r="D604" s="80"/>
      <c r="E604" s="79"/>
      <c r="F604" s="88"/>
      <c r="G604" s="88"/>
      <c r="H604" s="80"/>
      <c r="I604" s="80"/>
      <c r="J604" s="79"/>
      <c r="K604" s="80"/>
      <c r="L604" s="80"/>
    </row>
    <row r="605" ht="18" customHeight="1" spans="1:12">
      <c r="A605" s="87" t="str">
        <f t="shared" si="9"/>
        <v/>
      </c>
      <c r="B605" s="78"/>
      <c r="C605" s="79"/>
      <c r="D605" s="80"/>
      <c r="E605" s="79"/>
      <c r="F605" s="88"/>
      <c r="G605" s="88"/>
      <c r="H605" s="80"/>
      <c r="I605" s="80"/>
      <c r="J605" s="79"/>
      <c r="K605" s="80"/>
      <c r="L605" s="80"/>
    </row>
    <row r="606" ht="18" customHeight="1" spans="1:12">
      <c r="A606" s="87" t="str">
        <f t="shared" si="9"/>
        <v/>
      </c>
      <c r="B606" s="78"/>
      <c r="C606" s="79"/>
      <c r="D606" s="80"/>
      <c r="E606" s="79"/>
      <c r="F606" s="88"/>
      <c r="G606" s="88"/>
      <c r="H606" s="80"/>
      <c r="I606" s="80"/>
      <c r="J606" s="79"/>
      <c r="K606" s="80"/>
      <c r="L606" s="80"/>
    </row>
    <row r="607" ht="18" customHeight="1" spans="1:12">
      <c r="A607" s="87" t="str">
        <f t="shared" si="9"/>
        <v/>
      </c>
      <c r="B607" s="78"/>
      <c r="C607" s="79"/>
      <c r="D607" s="80"/>
      <c r="E607" s="79"/>
      <c r="F607" s="88"/>
      <c r="G607" s="88"/>
      <c r="H607" s="80"/>
      <c r="I607" s="80"/>
      <c r="J607" s="79"/>
      <c r="K607" s="80"/>
      <c r="L607" s="80"/>
    </row>
    <row r="608" ht="18" customHeight="1" spans="1:12">
      <c r="A608" s="87" t="str">
        <f t="shared" si="9"/>
        <v/>
      </c>
      <c r="B608" s="78"/>
      <c r="C608" s="79"/>
      <c r="D608" s="80"/>
      <c r="E608" s="79"/>
      <c r="F608" s="88"/>
      <c r="G608" s="88"/>
      <c r="H608" s="80"/>
      <c r="I608" s="80"/>
      <c r="J608" s="79"/>
      <c r="K608" s="80"/>
      <c r="L608" s="80"/>
    </row>
    <row r="609" ht="18" customHeight="1" spans="1:12">
      <c r="A609" s="87" t="str">
        <f t="shared" si="9"/>
        <v/>
      </c>
      <c r="B609" s="78"/>
      <c r="C609" s="79"/>
      <c r="D609" s="80"/>
      <c r="E609" s="79"/>
      <c r="F609" s="88"/>
      <c r="G609" s="88"/>
      <c r="H609" s="80"/>
      <c r="I609" s="80"/>
      <c r="J609" s="79"/>
      <c r="K609" s="80"/>
      <c r="L609" s="80"/>
    </row>
    <row r="610" ht="18" customHeight="1" spans="1:12">
      <c r="A610" s="87" t="str">
        <f t="shared" si="9"/>
        <v/>
      </c>
      <c r="B610" s="78"/>
      <c r="C610" s="79"/>
      <c r="D610" s="80"/>
      <c r="E610" s="79"/>
      <c r="F610" s="88"/>
      <c r="G610" s="88"/>
      <c r="H610" s="80"/>
      <c r="I610" s="80"/>
      <c r="J610" s="79"/>
      <c r="K610" s="80"/>
      <c r="L610" s="80"/>
    </row>
    <row r="611" ht="18" customHeight="1" spans="1:12">
      <c r="A611" s="87" t="str">
        <f t="shared" si="9"/>
        <v/>
      </c>
      <c r="B611" s="78"/>
      <c r="C611" s="79"/>
      <c r="D611" s="80"/>
      <c r="E611" s="79"/>
      <c r="F611" s="88"/>
      <c r="G611" s="88"/>
      <c r="H611" s="80"/>
      <c r="I611" s="80"/>
      <c r="J611" s="79"/>
      <c r="K611" s="80"/>
      <c r="L611" s="80"/>
    </row>
    <row r="612" ht="18" customHeight="1" spans="1:12">
      <c r="A612" s="87" t="str">
        <f t="shared" si="9"/>
        <v/>
      </c>
      <c r="B612" s="78"/>
      <c r="C612" s="79"/>
      <c r="D612" s="80"/>
      <c r="E612" s="79"/>
      <c r="F612" s="88"/>
      <c r="G612" s="88"/>
      <c r="H612" s="80"/>
      <c r="I612" s="80"/>
      <c r="J612" s="79"/>
      <c r="K612" s="80"/>
      <c r="L612" s="80"/>
    </row>
    <row r="613" ht="18" customHeight="1" spans="1:12">
      <c r="A613" s="87" t="str">
        <f t="shared" si="9"/>
        <v/>
      </c>
      <c r="B613" s="78"/>
      <c r="C613" s="79"/>
      <c r="D613" s="80"/>
      <c r="E613" s="79"/>
      <c r="F613" s="88"/>
      <c r="G613" s="88"/>
      <c r="H613" s="80"/>
      <c r="I613" s="80"/>
      <c r="J613" s="79"/>
      <c r="K613" s="80"/>
      <c r="L613" s="80"/>
    </row>
    <row r="614" ht="18" customHeight="1" spans="1:12">
      <c r="A614" s="87" t="str">
        <f t="shared" si="9"/>
        <v/>
      </c>
      <c r="B614" s="78"/>
      <c r="C614" s="79"/>
      <c r="D614" s="80"/>
      <c r="E614" s="79"/>
      <c r="F614" s="88"/>
      <c r="G614" s="88"/>
      <c r="H614" s="80"/>
      <c r="I614" s="80"/>
      <c r="J614" s="79"/>
      <c r="K614" s="80"/>
      <c r="L614" s="80"/>
    </row>
    <row r="615" ht="18" customHeight="1" spans="1:12">
      <c r="A615" s="87" t="str">
        <f t="shared" si="9"/>
        <v/>
      </c>
      <c r="B615" s="78"/>
      <c r="C615" s="79"/>
      <c r="D615" s="80"/>
      <c r="E615" s="79"/>
      <c r="F615" s="88"/>
      <c r="G615" s="88"/>
      <c r="H615" s="80"/>
      <c r="I615" s="80"/>
      <c r="J615" s="79"/>
      <c r="K615" s="80"/>
      <c r="L615" s="80"/>
    </row>
    <row r="616" ht="18" customHeight="1" spans="1:12">
      <c r="A616" s="87" t="str">
        <f t="shared" si="9"/>
        <v/>
      </c>
      <c r="B616" s="78"/>
      <c r="C616" s="79"/>
      <c r="D616" s="80"/>
      <c r="E616" s="79"/>
      <c r="F616" s="88"/>
      <c r="G616" s="88"/>
      <c r="H616" s="80"/>
      <c r="I616" s="80"/>
      <c r="J616" s="79"/>
      <c r="K616" s="80"/>
      <c r="L616" s="80"/>
    </row>
    <row r="617" ht="18" customHeight="1" spans="1:12">
      <c r="A617" s="87" t="str">
        <f t="shared" si="9"/>
        <v/>
      </c>
      <c r="B617" s="78"/>
      <c r="C617" s="79"/>
      <c r="D617" s="80"/>
      <c r="E617" s="79"/>
      <c r="F617" s="88"/>
      <c r="G617" s="88"/>
      <c r="H617" s="80"/>
      <c r="I617" s="80"/>
      <c r="J617" s="79"/>
      <c r="K617" s="80"/>
      <c r="L617" s="80"/>
    </row>
    <row r="618" ht="18" customHeight="1" spans="1:12">
      <c r="A618" s="87" t="str">
        <f t="shared" si="9"/>
        <v/>
      </c>
      <c r="B618" s="78"/>
      <c r="C618" s="79"/>
      <c r="D618" s="80"/>
      <c r="E618" s="79"/>
      <c r="F618" s="88"/>
      <c r="G618" s="88"/>
      <c r="H618" s="80"/>
      <c r="I618" s="80"/>
      <c r="J618" s="79"/>
      <c r="K618" s="80"/>
      <c r="L618" s="80"/>
    </row>
    <row r="619" ht="18" customHeight="1" spans="1:12">
      <c r="A619" s="87" t="str">
        <f t="shared" si="9"/>
        <v/>
      </c>
      <c r="B619" s="78"/>
      <c r="C619" s="79"/>
      <c r="D619" s="80"/>
      <c r="E619" s="79"/>
      <c r="F619" s="88"/>
      <c r="G619" s="88"/>
      <c r="H619" s="80"/>
      <c r="I619" s="80"/>
      <c r="J619" s="79"/>
      <c r="K619" s="80"/>
      <c r="L619" s="80"/>
    </row>
    <row r="620" ht="18" customHeight="1" spans="1:12">
      <c r="A620" s="87" t="str">
        <f t="shared" si="9"/>
        <v/>
      </c>
      <c r="B620" s="78"/>
      <c r="C620" s="79"/>
      <c r="D620" s="80"/>
      <c r="E620" s="79"/>
      <c r="F620" s="88"/>
      <c r="G620" s="88"/>
      <c r="H620" s="80"/>
      <c r="I620" s="80"/>
      <c r="J620" s="79"/>
      <c r="K620" s="80"/>
      <c r="L620" s="80"/>
    </row>
    <row r="621" ht="18" customHeight="1" spans="1:12">
      <c r="A621" s="87" t="str">
        <f t="shared" si="9"/>
        <v/>
      </c>
      <c r="B621" s="78"/>
      <c r="C621" s="79"/>
      <c r="D621" s="80"/>
      <c r="E621" s="79"/>
      <c r="F621" s="88"/>
      <c r="G621" s="88"/>
      <c r="H621" s="80"/>
      <c r="I621" s="80"/>
      <c r="J621" s="79"/>
      <c r="K621" s="80"/>
      <c r="L621" s="80"/>
    </row>
    <row r="622" ht="18" customHeight="1" spans="1:12">
      <c r="A622" s="87" t="str">
        <f t="shared" si="9"/>
        <v/>
      </c>
      <c r="B622" s="78"/>
      <c r="C622" s="79"/>
      <c r="D622" s="80"/>
      <c r="E622" s="79"/>
      <c r="F622" s="88"/>
      <c r="G622" s="88"/>
      <c r="H622" s="80"/>
      <c r="I622" s="80"/>
      <c r="J622" s="79"/>
      <c r="K622" s="80"/>
      <c r="L622" s="80"/>
    </row>
    <row r="623" ht="18" customHeight="1" spans="1:12">
      <c r="A623" s="87" t="str">
        <f t="shared" si="9"/>
        <v/>
      </c>
      <c r="B623" s="78"/>
      <c r="C623" s="79"/>
      <c r="D623" s="80"/>
      <c r="E623" s="79"/>
      <c r="F623" s="88"/>
      <c r="G623" s="88"/>
      <c r="H623" s="80"/>
      <c r="I623" s="80"/>
      <c r="J623" s="79"/>
      <c r="K623" s="80"/>
      <c r="L623" s="80"/>
    </row>
    <row r="624" ht="18" customHeight="1" spans="1:12">
      <c r="A624" s="87" t="str">
        <f t="shared" si="9"/>
        <v/>
      </c>
      <c r="B624" s="78"/>
      <c r="C624" s="79"/>
      <c r="D624" s="80"/>
      <c r="E624" s="79"/>
      <c r="F624" s="88"/>
      <c r="G624" s="88"/>
      <c r="H624" s="80"/>
      <c r="I624" s="80"/>
      <c r="J624" s="79"/>
      <c r="K624" s="80"/>
      <c r="L624" s="80"/>
    </row>
    <row r="625" ht="18" customHeight="1" spans="1:12">
      <c r="A625" s="87" t="str">
        <f t="shared" si="9"/>
        <v/>
      </c>
      <c r="B625" s="78"/>
      <c r="C625" s="79"/>
      <c r="D625" s="80"/>
      <c r="E625" s="79"/>
      <c r="F625" s="88"/>
      <c r="G625" s="88"/>
      <c r="H625" s="80"/>
      <c r="I625" s="80"/>
      <c r="J625" s="79"/>
      <c r="K625" s="80"/>
      <c r="L625" s="80"/>
    </row>
    <row r="626" ht="18" customHeight="1" spans="1:12">
      <c r="A626" s="87" t="str">
        <f t="shared" si="9"/>
        <v/>
      </c>
      <c r="B626" s="78"/>
      <c r="C626" s="79"/>
      <c r="D626" s="80"/>
      <c r="E626" s="79"/>
      <c r="F626" s="88"/>
      <c r="G626" s="88"/>
      <c r="H626" s="80"/>
      <c r="I626" s="80"/>
      <c r="J626" s="79"/>
      <c r="K626" s="80"/>
      <c r="L626" s="80"/>
    </row>
    <row r="627" ht="18" customHeight="1" spans="1:12">
      <c r="A627" s="87" t="str">
        <f t="shared" si="9"/>
        <v/>
      </c>
      <c r="B627" s="78"/>
      <c r="C627" s="79"/>
      <c r="D627" s="80"/>
      <c r="E627" s="79"/>
      <c r="F627" s="88"/>
      <c r="G627" s="88"/>
      <c r="H627" s="80"/>
      <c r="I627" s="80"/>
      <c r="J627" s="79"/>
      <c r="K627" s="80"/>
      <c r="L627" s="80"/>
    </row>
    <row r="628" ht="18" customHeight="1" spans="1:12">
      <c r="A628" s="87" t="str">
        <f t="shared" si="9"/>
        <v/>
      </c>
      <c r="B628" s="78"/>
      <c r="C628" s="79"/>
      <c r="D628" s="80"/>
      <c r="E628" s="79"/>
      <c r="F628" s="88"/>
      <c r="G628" s="88"/>
      <c r="H628" s="80"/>
      <c r="I628" s="80"/>
      <c r="J628" s="79"/>
      <c r="K628" s="80"/>
      <c r="L628" s="80"/>
    </row>
    <row r="629" ht="18" customHeight="1" spans="1:12">
      <c r="A629" s="87" t="str">
        <f t="shared" si="9"/>
        <v/>
      </c>
      <c r="B629" s="78"/>
      <c r="C629" s="79"/>
      <c r="D629" s="80"/>
      <c r="E629" s="79"/>
      <c r="F629" s="88"/>
      <c r="G629" s="88"/>
      <c r="H629" s="80"/>
      <c r="I629" s="80"/>
      <c r="J629" s="79"/>
      <c r="K629" s="80"/>
      <c r="L629" s="80"/>
    </row>
    <row r="630" ht="18" customHeight="1" spans="1:12">
      <c r="A630" s="87" t="str">
        <f t="shared" si="9"/>
        <v/>
      </c>
      <c r="B630" s="78"/>
      <c r="C630" s="79"/>
      <c r="D630" s="80"/>
      <c r="E630" s="79"/>
      <c r="F630" s="88"/>
      <c r="G630" s="88"/>
      <c r="H630" s="80"/>
      <c r="I630" s="80"/>
      <c r="J630" s="79"/>
      <c r="K630" s="80"/>
      <c r="L630" s="80"/>
    </row>
    <row r="631" ht="18" customHeight="1" spans="1:12">
      <c r="A631" s="87" t="str">
        <f t="shared" si="9"/>
        <v/>
      </c>
      <c r="B631" s="78"/>
      <c r="C631" s="79"/>
      <c r="D631" s="80"/>
      <c r="E631" s="79"/>
      <c r="F631" s="88"/>
      <c r="G631" s="88"/>
      <c r="H631" s="80"/>
      <c r="I631" s="80"/>
      <c r="J631" s="79"/>
      <c r="K631" s="80"/>
      <c r="L631" s="80"/>
    </row>
    <row r="632" ht="18" customHeight="1" spans="1:12">
      <c r="A632" s="87" t="str">
        <f t="shared" si="9"/>
        <v/>
      </c>
      <c r="B632" s="78"/>
      <c r="C632" s="79"/>
      <c r="D632" s="80"/>
      <c r="E632" s="79"/>
      <c r="F632" s="88"/>
      <c r="G632" s="88"/>
      <c r="H632" s="80"/>
      <c r="I632" s="80"/>
      <c r="J632" s="79"/>
      <c r="K632" s="80"/>
      <c r="L632" s="80"/>
    </row>
    <row r="633" ht="18" customHeight="1" spans="1:12">
      <c r="A633" s="87" t="str">
        <f t="shared" si="9"/>
        <v/>
      </c>
      <c r="B633" s="78"/>
      <c r="C633" s="79"/>
      <c r="D633" s="80"/>
      <c r="E633" s="79"/>
      <c r="F633" s="88"/>
      <c r="G633" s="88"/>
      <c r="H633" s="80"/>
      <c r="I633" s="80"/>
      <c r="J633" s="79"/>
      <c r="K633" s="80"/>
      <c r="L633" s="80"/>
    </row>
    <row r="634" ht="18" customHeight="1" spans="1:12">
      <c r="A634" s="87" t="str">
        <f t="shared" si="9"/>
        <v/>
      </c>
      <c r="B634" s="78"/>
      <c r="C634" s="79"/>
      <c r="D634" s="80"/>
      <c r="E634" s="79"/>
      <c r="F634" s="88"/>
      <c r="G634" s="88"/>
      <c r="H634" s="80"/>
      <c r="I634" s="80"/>
      <c r="J634" s="79"/>
      <c r="K634" s="80"/>
      <c r="L634" s="80"/>
    </row>
    <row r="635" ht="18" customHeight="1" spans="1:12">
      <c r="A635" s="87" t="str">
        <f t="shared" si="9"/>
        <v/>
      </c>
      <c r="B635" s="78"/>
      <c r="C635" s="79"/>
      <c r="D635" s="80"/>
      <c r="E635" s="79"/>
      <c r="F635" s="88"/>
      <c r="G635" s="88"/>
      <c r="H635" s="80"/>
      <c r="I635" s="80"/>
      <c r="J635" s="79"/>
      <c r="K635" s="80"/>
      <c r="L635" s="80"/>
    </row>
    <row r="636" ht="18" customHeight="1" spans="1:12">
      <c r="A636" s="87" t="str">
        <f t="shared" si="9"/>
        <v/>
      </c>
      <c r="B636" s="78"/>
      <c r="C636" s="79"/>
      <c r="D636" s="80"/>
      <c r="E636" s="79"/>
      <c r="F636" s="88"/>
      <c r="G636" s="88"/>
      <c r="H636" s="80"/>
      <c r="I636" s="80"/>
      <c r="J636" s="79"/>
      <c r="K636" s="80"/>
      <c r="L636" s="80"/>
    </row>
    <row r="637" ht="18" customHeight="1" spans="1:12">
      <c r="A637" s="87" t="str">
        <f t="shared" si="9"/>
        <v/>
      </c>
      <c r="B637" s="78"/>
      <c r="C637" s="79"/>
      <c r="D637" s="80"/>
      <c r="E637" s="79"/>
      <c r="F637" s="88"/>
      <c r="G637" s="88"/>
      <c r="H637" s="80"/>
      <c r="I637" s="80"/>
      <c r="J637" s="79"/>
      <c r="K637" s="80"/>
      <c r="L637" s="80"/>
    </row>
    <row r="638" ht="18" customHeight="1" spans="1:12">
      <c r="A638" s="87" t="str">
        <f t="shared" si="9"/>
        <v/>
      </c>
      <c r="B638" s="78"/>
      <c r="C638" s="79"/>
      <c r="D638" s="80"/>
      <c r="E638" s="79"/>
      <c r="F638" s="88"/>
      <c r="G638" s="88"/>
      <c r="H638" s="80"/>
      <c r="I638" s="80"/>
      <c r="J638" s="79"/>
      <c r="K638" s="80"/>
      <c r="L638" s="80"/>
    </row>
    <row r="639" ht="18" customHeight="1" spans="1:12">
      <c r="A639" s="87" t="str">
        <f t="shared" si="9"/>
        <v/>
      </c>
      <c r="B639" s="78"/>
      <c r="C639" s="79"/>
      <c r="D639" s="80"/>
      <c r="E639" s="79"/>
      <c r="F639" s="88"/>
      <c r="G639" s="88"/>
      <c r="H639" s="80"/>
      <c r="I639" s="80"/>
      <c r="J639" s="79"/>
      <c r="K639" s="80"/>
      <c r="L639" s="80"/>
    </row>
    <row r="640" ht="18" customHeight="1" spans="1:12">
      <c r="A640" s="87" t="str">
        <f t="shared" si="9"/>
        <v/>
      </c>
      <c r="B640" s="78"/>
      <c r="C640" s="79"/>
      <c r="D640" s="80"/>
      <c r="E640" s="79"/>
      <c r="F640" s="88"/>
      <c r="G640" s="88"/>
      <c r="H640" s="80"/>
      <c r="I640" s="80"/>
      <c r="J640" s="79"/>
      <c r="K640" s="80"/>
      <c r="L640" s="80"/>
    </row>
    <row r="641" ht="18" customHeight="1" spans="1:12">
      <c r="A641" s="87" t="str">
        <f t="shared" si="9"/>
        <v/>
      </c>
      <c r="B641" s="78"/>
      <c r="C641" s="79"/>
      <c r="D641" s="80"/>
      <c r="E641" s="79"/>
      <c r="F641" s="88"/>
      <c r="G641" s="88"/>
      <c r="H641" s="80"/>
      <c r="I641" s="80"/>
      <c r="J641" s="79"/>
      <c r="K641" s="80"/>
      <c r="L641" s="80"/>
    </row>
    <row r="642" ht="18" customHeight="1" spans="1:12">
      <c r="A642" s="87" t="str">
        <f t="shared" si="9"/>
        <v/>
      </c>
      <c r="B642" s="78"/>
      <c r="C642" s="79"/>
      <c r="D642" s="80"/>
      <c r="E642" s="79"/>
      <c r="F642" s="88"/>
      <c r="G642" s="88"/>
      <c r="H642" s="80"/>
      <c r="I642" s="80"/>
      <c r="J642" s="79"/>
      <c r="K642" s="80"/>
      <c r="L642" s="80"/>
    </row>
    <row r="643" ht="18" customHeight="1" spans="1:12">
      <c r="A643" s="87" t="str">
        <f t="shared" si="9"/>
        <v/>
      </c>
      <c r="B643" s="78"/>
      <c r="C643" s="79"/>
      <c r="D643" s="80"/>
      <c r="E643" s="79"/>
      <c r="F643" s="88"/>
      <c r="G643" s="88"/>
      <c r="H643" s="80"/>
      <c r="I643" s="80"/>
      <c r="J643" s="79"/>
      <c r="K643" s="80"/>
      <c r="L643" s="80"/>
    </row>
    <row r="644" ht="18" customHeight="1" spans="1:12">
      <c r="A644" s="87" t="str">
        <f t="shared" ref="A644:A707" si="10">IF($C644="","",ROW()-3)</f>
        <v/>
      </c>
      <c r="B644" s="78"/>
      <c r="C644" s="79"/>
      <c r="D644" s="80"/>
      <c r="E644" s="79"/>
      <c r="F644" s="88"/>
      <c r="G644" s="88"/>
      <c r="H644" s="80"/>
      <c r="I644" s="80"/>
      <c r="J644" s="79"/>
      <c r="K644" s="80"/>
      <c r="L644" s="80"/>
    </row>
    <row r="645" ht="18" customHeight="1" spans="1:12">
      <c r="A645" s="87" t="str">
        <f t="shared" si="10"/>
        <v/>
      </c>
      <c r="B645" s="78"/>
      <c r="C645" s="79"/>
      <c r="D645" s="80"/>
      <c r="E645" s="79"/>
      <c r="F645" s="88"/>
      <c r="G645" s="88"/>
      <c r="H645" s="80"/>
      <c r="I645" s="80"/>
      <c r="J645" s="79"/>
      <c r="K645" s="80"/>
      <c r="L645" s="80"/>
    </row>
    <row r="646" ht="18" customHeight="1" spans="1:12">
      <c r="A646" s="87" t="str">
        <f t="shared" si="10"/>
        <v/>
      </c>
      <c r="B646" s="78"/>
      <c r="C646" s="79"/>
      <c r="D646" s="80"/>
      <c r="E646" s="79"/>
      <c r="F646" s="88"/>
      <c r="G646" s="88"/>
      <c r="H646" s="80"/>
      <c r="I646" s="80"/>
      <c r="J646" s="79"/>
      <c r="K646" s="80"/>
      <c r="L646" s="80"/>
    </row>
    <row r="647" ht="18" customHeight="1" spans="1:12">
      <c r="A647" s="87" t="str">
        <f t="shared" si="10"/>
        <v/>
      </c>
      <c r="B647" s="78"/>
      <c r="C647" s="79"/>
      <c r="D647" s="80"/>
      <c r="E647" s="79"/>
      <c r="F647" s="88"/>
      <c r="G647" s="88"/>
      <c r="H647" s="80"/>
      <c r="I647" s="80"/>
      <c r="J647" s="79"/>
      <c r="K647" s="80"/>
      <c r="L647" s="80"/>
    </row>
    <row r="648" ht="18" customHeight="1" spans="1:12">
      <c r="A648" s="87" t="str">
        <f t="shared" si="10"/>
        <v/>
      </c>
      <c r="B648" s="78"/>
      <c r="C648" s="79"/>
      <c r="D648" s="80"/>
      <c r="E648" s="79"/>
      <c r="F648" s="88"/>
      <c r="G648" s="88"/>
      <c r="H648" s="80"/>
      <c r="I648" s="80"/>
      <c r="J648" s="79"/>
      <c r="K648" s="80"/>
      <c r="L648" s="80"/>
    </row>
    <row r="649" ht="18" customHeight="1" spans="1:12">
      <c r="A649" s="87" t="str">
        <f t="shared" si="10"/>
        <v/>
      </c>
      <c r="B649" s="78"/>
      <c r="C649" s="79"/>
      <c r="D649" s="80"/>
      <c r="E649" s="79"/>
      <c r="F649" s="88"/>
      <c r="G649" s="88"/>
      <c r="H649" s="80"/>
      <c r="I649" s="80"/>
      <c r="J649" s="79"/>
      <c r="K649" s="80"/>
      <c r="L649" s="80"/>
    </row>
    <row r="650" ht="18" customHeight="1" spans="1:12">
      <c r="A650" s="87" t="str">
        <f t="shared" si="10"/>
        <v/>
      </c>
      <c r="B650" s="78"/>
      <c r="C650" s="79"/>
      <c r="D650" s="80"/>
      <c r="E650" s="79"/>
      <c r="F650" s="88"/>
      <c r="G650" s="88"/>
      <c r="H650" s="80"/>
      <c r="I650" s="80"/>
      <c r="J650" s="79"/>
      <c r="K650" s="80"/>
      <c r="L650" s="80"/>
    </row>
    <row r="651" ht="18" customHeight="1" spans="1:12">
      <c r="A651" s="87" t="str">
        <f t="shared" si="10"/>
        <v/>
      </c>
      <c r="B651" s="78"/>
      <c r="C651" s="79"/>
      <c r="D651" s="80"/>
      <c r="E651" s="79"/>
      <c r="F651" s="88"/>
      <c r="G651" s="88"/>
      <c r="H651" s="80"/>
      <c r="I651" s="80"/>
      <c r="J651" s="79"/>
      <c r="K651" s="80"/>
      <c r="L651" s="80"/>
    </row>
    <row r="652" ht="18" customHeight="1" spans="1:12">
      <c r="A652" s="87" t="str">
        <f t="shared" si="10"/>
        <v/>
      </c>
      <c r="B652" s="78"/>
      <c r="C652" s="79"/>
      <c r="D652" s="80"/>
      <c r="E652" s="79"/>
      <c r="F652" s="88"/>
      <c r="G652" s="88"/>
      <c r="H652" s="80"/>
      <c r="I652" s="80"/>
      <c r="J652" s="79"/>
      <c r="K652" s="80"/>
      <c r="L652" s="80"/>
    </row>
    <row r="653" ht="18" customHeight="1" spans="1:12">
      <c r="A653" s="87" t="str">
        <f t="shared" si="10"/>
        <v/>
      </c>
      <c r="B653" s="78"/>
      <c r="C653" s="79"/>
      <c r="D653" s="80"/>
      <c r="E653" s="79"/>
      <c r="F653" s="88"/>
      <c r="G653" s="88"/>
      <c r="H653" s="80"/>
      <c r="I653" s="80"/>
      <c r="J653" s="79"/>
      <c r="K653" s="80"/>
      <c r="L653" s="80"/>
    </row>
    <row r="654" ht="18" customHeight="1" spans="1:12">
      <c r="A654" s="87" t="str">
        <f t="shared" si="10"/>
        <v/>
      </c>
      <c r="B654" s="78"/>
      <c r="C654" s="79"/>
      <c r="D654" s="80"/>
      <c r="E654" s="79"/>
      <c r="F654" s="88"/>
      <c r="G654" s="88"/>
      <c r="H654" s="80"/>
      <c r="I654" s="80"/>
      <c r="J654" s="79"/>
      <c r="K654" s="80"/>
      <c r="L654" s="80"/>
    </row>
    <row r="655" ht="18" customHeight="1" spans="1:12">
      <c r="A655" s="87" t="str">
        <f t="shared" si="10"/>
        <v/>
      </c>
      <c r="B655" s="78"/>
      <c r="C655" s="79"/>
      <c r="D655" s="80"/>
      <c r="E655" s="79"/>
      <c r="F655" s="88"/>
      <c r="G655" s="88"/>
      <c r="H655" s="80"/>
      <c r="I655" s="80"/>
      <c r="J655" s="79"/>
      <c r="K655" s="80"/>
      <c r="L655" s="80"/>
    </row>
    <row r="656" ht="18" customHeight="1" spans="1:12">
      <c r="A656" s="87" t="str">
        <f t="shared" si="10"/>
        <v/>
      </c>
      <c r="B656" s="78"/>
      <c r="C656" s="79"/>
      <c r="D656" s="80"/>
      <c r="E656" s="79"/>
      <c r="F656" s="88"/>
      <c r="G656" s="88"/>
      <c r="H656" s="80"/>
      <c r="I656" s="80"/>
      <c r="J656" s="79"/>
      <c r="K656" s="80"/>
      <c r="L656" s="80"/>
    </row>
    <row r="657" ht="18" customHeight="1" spans="1:12">
      <c r="A657" s="87" t="str">
        <f t="shared" si="10"/>
        <v/>
      </c>
      <c r="B657" s="78"/>
      <c r="C657" s="79"/>
      <c r="D657" s="80"/>
      <c r="E657" s="79"/>
      <c r="F657" s="88"/>
      <c r="G657" s="88"/>
      <c r="H657" s="80"/>
      <c r="I657" s="80"/>
      <c r="J657" s="79"/>
      <c r="K657" s="80"/>
      <c r="L657" s="80"/>
    </row>
    <row r="658" ht="18" customHeight="1" spans="1:12">
      <c r="A658" s="87" t="str">
        <f t="shared" si="10"/>
        <v/>
      </c>
      <c r="B658" s="78"/>
      <c r="C658" s="79"/>
      <c r="D658" s="80"/>
      <c r="E658" s="79"/>
      <c r="F658" s="88"/>
      <c r="G658" s="88"/>
      <c r="H658" s="80"/>
      <c r="I658" s="80"/>
      <c r="J658" s="79"/>
      <c r="K658" s="80"/>
      <c r="L658" s="80"/>
    </row>
    <row r="659" ht="18" customHeight="1" spans="1:12">
      <c r="A659" s="87" t="str">
        <f t="shared" si="10"/>
        <v/>
      </c>
      <c r="B659" s="78"/>
      <c r="C659" s="79"/>
      <c r="D659" s="80"/>
      <c r="E659" s="79"/>
      <c r="F659" s="88"/>
      <c r="G659" s="88"/>
      <c r="H659" s="80"/>
      <c r="I659" s="80"/>
      <c r="J659" s="79"/>
      <c r="K659" s="80"/>
      <c r="L659" s="80"/>
    </row>
    <row r="660" ht="18" customHeight="1" spans="1:12">
      <c r="A660" s="87" t="str">
        <f t="shared" si="10"/>
        <v/>
      </c>
      <c r="B660" s="78"/>
      <c r="C660" s="79"/>
      <c r="D660" s="80"/>
      <c r="E660" s="79"/>
      <c r="F660" s="88"/>
      <c r="G660" s="88"/>
      <c r="H660" s="80"/>
      <c r="I660" s="80"/>
      <c r="J660" s="79"/>
      <c r="K660" s="80"/>
      <c r="L660" s="80"/>
    </row>
    <row r="661" ht="18" customHeight="1" spans="1:12">
      <c r="A661" s="87" t="str">
        <f t="shared" si="10"/>
        <v/>
      </c>
      <c r="B661" s="78"/>
      <c r="C661" s="79"/>
      <c r="D661" s="80"/>
      <c r="E661" s="79"/>
      <c r="F661" s="88"/>
      <c r="G661" s="88"/>
      <c r="H661" s="80"/>
      <c r="I661" s="80"/>
      <c r="J661" s="79"/>
      <c r="K661" s="80"/>
      <c r="L661" s="80"/>
    </row>
    <row r="662" ht="18" customHeight="1" spans="1:12">
      <c r="A662" s="87" t="str">
        <f t="shared" si="10"/>
        <v/>
      </c>
      <c r="B662" s="78"/>
      <c r="C662" s="79"/>
      <c r="D662" s="80"/>
      <c r="E662" s="79"/>
      <c r="F662" s="88"/>
      <c r="G662" s="88"/>
      <c r="H662" s="80"/>
      <c r="I662" s="80"/>
      <c r="J662" s="79"/>
      <c r="K662" s="80"/>
      <c r="L662" s="80"/>
    </row>
    <row r="663" ht="18" customHeight="1" spans="1:12">
      <c r="A663" s="87" t="str">
        <f t="shared" si="10"/>
        <v/>
      </c>
      <c r="B663" s="78"/>
      <c r="C663" s="79"/>
      <c r="D663" s="80"/>
      <c r="E663" s="79"/>
      <c r="F663" s="88"/>
      <c r="G663" s="88"/>
      <c r="H663" s="80"/>
      <c r="I663" s="80"/>
      <c r="J663" s="79"/>
      <c r="K663" s="80"/>
      <c r="L663" s="80"/>
    </row>
    <row r="664" ht="18" customHeight="1" spans="1:12">
      <c r="A664" s="87" t="str">
        <f t="shared" si="10"/>
        <v/>
      </c>
      <c r="B664" s="78"/>
      <c r="C664" s="79"/>
      <c r="D664" s="80"/>
      <c r="E664" s="79"/>
      <c r="F664" s="88"/>
      <c r="G664" s="88"/>
      <c r="H664" s="80"/>
      <c r="I664" s="80"/>
      <c r="J664" s="79"/>
      <c r="K664" s="80"/>
      <c r="L664" s="80"/>
    </row>
    <row r="665" ht="18" customHeight="1" spans="1:12">
      <c r="A665" s="87" t="str">
        <f t="shared" si="10"/>
        <v/>
      </c>
      <c r="B665" s="78"/>
      <c r="C665" s="79"/>
      <c r="D665" s="80"/>
      <c r="E665" s="79"/>
      <c r="F665" s="88"/>
      <c r="G665" s="88"/>
      <c r="H665" s="80"/>
      <c r="I665" s="80"/>
      <c r="J665" s="79"/>
      <c r="K665" s="80"/>
      <c r="L665" s="80"/>
    </row>
    <row r="666" ht="18" customHeight="1" spans="1:12">
      <c r="A666" s="87" t="str">
        <f t="shared" si="10"/>
        <v/>
      </c>
      <c r="B666" s="78"/>
      <c r="C666" s="79"/>
      <c r="D666" s="80"/>
      <c r="E666" s="79"/>
      <c r="F666" s="88"/>
      <c r="G666" s="88"/>
      <c r="H666" s="80"/>
      <c r="I666" s="80"/>
      <c r="J666" s="79"/>
      <c r="K666" s="80"/>
      <c r="L666" s="80"/>
    </row>
    <row r="667" ht="18" customHeight="1" spans="1:12">
      <c r="A667" s="87" t="str">
        <f t="shared" si="10"/>
        <v/>
      </c>
      <c r="B667" s="78"/>
      <c r="C667" s="79"/>
      <c r="D667" s="80"/>
      <c r="E667" s="79"/>
      <c r="F667" s="88"/>
      <c r="G667" s="88"/>
      <c r="H667" s="80"/>
      <c r="I667" s="80"/>
      <c r="J667" s="79"/>
      <c r="K667" s="80"/>
      <c r="L667" s="80"/>
    </row>
    <row r="668" ht="18" customHeight="1" spans="1:12">
      <c r="A668" s="87" t="str">
        <f t="shared" si="10"/>
        <v/>
      </c>
      <c r="B668" s="78"/>
      <c r="C668" s="79"/>
      <c r="D668" s="80"/>
      <c r="E668" s="79"/>
      <c r="F668" s="88"/>
      <c r="G668" s="88"/>
      <c r="H668" s="80"/>
      <c r="I668" s="80"/>
      <c r="J668" s="79"/>
      <c r="K668" s="80"/>
      <c r="L668" s="80"/>
    </row>
    <row r="669" ht="18" customHeight="1" spans="1:12">
      <c r="A669" s="87" t="str">
        <f t="shared" si="10"/>
        <v/>
      </c>
      <c r="B669" s="78"/>
      <c r="C669" s="79"/>
      <c r="D669" s="80"/>
      <c r="E669" s="79"/>
      <c r="F669" s="88"/>
      <c r="G669" s="88"/>
      <c r="H669" s="80"/>
      <c r="I669" s="80"/>
      <c r="J669" s="79"/>
      <c r="K669" s="80"/>
      <c r="L669" s="80"/>
    </row>
    <row r="670" ht="18" customHeight="1" spans="1:12">
      <c r="A670" s="87" t="str">
        <f t="shared" si="10"/>
        <v/>
      </c>
      <c r="B670" s="78"/>
      <c r="C670" s="79"/>
      <c r="D670" s="80"/>
      <c r="E670" s="79"/>
      <c r="F670" s="88"/>
      <c r="G670" s="88"/>
      <c r="H670" s="80"/>
      <c r="I670" s="80"/>
      <c r="J670" s="79"/>
      <c r="K670" s="80"/>
      <c r="L670" s="80"/>
    </row>
    <row r="671" ht="18" customHeight="1" spans="1:12">
      <c r="A671" s="87" t="str">
        <f t="shared" si="10"/>
        <v/>
      </c>
      <c r="B671" s="78"/>
      <c r="C671" s="79"/>
      <c r="D671" s="80"/>
      <c r="E671" s="79"/>
      <c r="F671" s="88"/>
      <c r="G671" s="88"/>
      <c r="H671" s="80"/>
      <c r="I671" s="80"/>
      <c r="J671" s="79"/>
      <c r="K671" s="80"/>
      <c r="L671" s="80"/>
    </row>
    <row r="672" ht="18" customHeight="1" spans="1:12">
      <c r="A672" s="87" t="str">
        <f t="shared" si="10"/>
        <v/>
      </c>
      <c r="B672" s="78"/>
      <c r="C672" s="79"/>
      <c r="D672" s="80"/>
      <c r="E672" s="79"/>
      <c r="F672" s="88"/>
      <c r="G672" s="88"/>
      <c r="H672" s="80"/>
      <c r="I672" s="80"/>
      <c r="J672" s="79"/>
      <c r="K672" s="80"/>
      <c r="L672" s="80"/>
    </row>
    <row r="673" ht="18" customHeight="1" spans="1:12">
      <c r="A673" s="87" t="str">
        <f t="shared" si="10"/>
        <v/>
      </c>
      <c r="B673" s="78"/>
      <c r="C673" s="79"/>
      <c r="D673" s="80"/>
      <c r="E673" s="79"/>
      <c r="F673" s="88"/>
      <c r="G673" s="88"/>
      <c r="H673" s="80"/>
      <c r="I673" s="80"/>
      <c r="J673" s="79"/>
      <c r="K673" s="80"/>
      <c r="L673" s="80"/>
    </row>
    <row r="674" ht="18" customHeight="1" spans="1:12">
      <c r="A674" s="87" t="str">
        <f t="shared" si="10"/>
        <v/>
      </c>
      <c r="B674" s="78"/>
      <c r="C674" s="79"/>
      <c r="D674" s="80"/>
      <c r="E674" s="79"/>
      <c r="F674" s="88"/>
      <c r="G674" s="88"/>
      <c r="H674" s="80"/>
      <c r="I674" s="80"/>
      <c r="J674" s="79"/>
      <c r="K674" s="80"/>
      <c r="L674" s="80"/>
    </row>
    <row r="675" ht="18" customHeight="1" spans="1:12">
      <c r="A675" s="87" t="str">
        <f t="shared" si="10"/>
        <v/>
      </c>
      <c r="B675" s="78"/>
      <c r="C675" s="79"/>
      <c r="D675" s="80"/>
      <c r="E675" s="79"/>
      <c r="F675" s="88"/>
      <c r="G675" s="88"/>
      <c r="H675" s="80"/>
      <c r="I675" s="80"/>
      <c r="J675" s="79"/>
      <c r="K675" s="80"/>
      <c r="L675" s="80"/>
    </row>
    <row r="676" ht="18" customHeight="1" spans="1:12">
      <c r="A676" s="87" t="str">
        <f t="shared" si="10"/>
        <v/>
      </c>
      <c r="B676" s="78"/>
      <c r="C676" s="79"/>
      <c r="D676" s="80"/>
      <c r="E676" s="79"/>
      <c r="F676" s="88"/>
      <c r="G676" s="88"/>
      <c r="H676" s="80"/>
      <c r="I676" s="80"/>
      <c r="J676" s="79"/>
      <c r="K676" s="80"/>
      <c r="L676" s="80"/>
    </row>
    <row r="677" ht="18" customHeight="1" spans="1:12">
      <c r="A677" s="87" t="str">
        <f t="shared" si="10"/>
        <v/>
      </c>
      <c r="B677" s="78"/>
      <c r="C677" s="79"/>
      <c r="D677" s="80"/>
      <c r="E677" s="79"/>
      <c r="F677" s="88"/>
      <c r="G677" s="88"/>
      <c r="H677" s="80"/>
      <c r="I677" s="80"/>
      <c r="J677" s="79"/>
      <c r="K677" s="80"/>
      <c r="L677" s="80"/>
    </row>
    <row r="678" ht="18" customHeight="1" spans="1:12">
      <c r="A678" s="87" t="str">
        <f t="shared" si="10"/>
        <v/>
      </c>
      <c r="B678" s="78"/>
      <c r="C678" s="79"/>
      <c r="D678" s="80"/>
      <c r="E678" s="79"/>
      <c r="F678" s="88"/>
      <c r="G678" s="88"/>
      <c r="H678" s="80"/>
      <c r="I678" s="80"/>
      <c r="J678" s="79"/>
      <c r="K678" s="80"/>
      <c r="L678" s="80"/>
    </row>
    <row r="679" ht="18" customHeight="1" spans="1:12">
      <c r="A679" s="87" t="str">
        <f t="shared" si="10"/>
        <v/>
      </c>
      <c r="B679" s="78"/>
      <c r="C679" s="79"/>
      <c r="D679" s="80"/>
      <c r="E679" s="79"/>
      <c r="F679" s="88"/>
      <c r="G679" s="88"/>
      <c r="H679" s="80"/>
      <c r="I679" s="80"/>
      <c r="J679" s="79"/>
      <c r="K679" s="80"/>
      <c r="L679" s="80"/>
    </row>
    <row r="680" ht="18" customHeight="1" spans="1:12">
      <c r="A680" s="87" t="str">
        <f t="shared" si="10"/>
        <v/>
      </c>
      <c r="B680" s="78"/>
      <c r="C680" s="79"/>
      <c r="D680" s="80"/>
      <c r="E680" s="79"/>
      <c r="F680" s="88"/>
      <c r="G680" s="88"/>
      <c r="H680" s="80"/>
      <c r="I680" s="80"/>
      <c r="J680" s="79"/>
      <c r="K680" s="80"/>
      <c r="L680" s="80"/>
    </row>
    <row r="681" ht="18" customHeight="1" spans="1:12">
      <c r="A681" s="87" t="str">
        <f t="shared" si="10"/>
        <v/>
      </c>
      <c r="B681" s="78"/>
      <c r="C681" s="79"/>
      <c r="D681" s="80"/>
      <c r="E681" s="79"/>
      <c r="F681" s="88"/>
      <c r="G681" s="88"/>
      <c r="H681" s="80"/>
      <c r="I681" s="80"/>
      <c r="J681" s="79"/>
      <c r="K681" s="80"/>
      <c r="L681" s="80"/>
    </row>
    <row r="682" ht="18" customHeight="1" spans="1:12">
      <c r="A682" s="87" t="str">
        <f t="shared" si="10"/>
        <v/>
      </c>
      <c r="B682" s="78"/>
      <c r="C682" s="79"/>
      <c r="D682" s="80"/>
      <c r="E682" s="79"/>
      <c r="F682" s="88"/>
      <c r="G682" s="88"/>
      <c r="H682" s="80"/>
      <c r="I682" s="80"/>
      <c r="J682" s="79"/>
      <c r="K682" s="80"/>
      <c r="L682" s="80"/>
    </row>
    <row r="683" ht="18" customHeight="1" spans="1:12">
      <c r="A683" s="87" t="str">
        <f t="shared" si="10"/>
        <v/>
      </c>
      <c r="B683" s="78"/>
      <c r="C683" s="79"/>
      <c r="D683" s="80"/>
      <c r="E683" s="79"/>
      <c r="F683" s="88"/>
      <c r="G683" s="88"/>
      <c r="H683" s="80"/>
      <c r="I683" s="80"/>
      <c r="J683" s="79"/>
      <c r="K683" s="80"/>
      <c r="L683" s="80"/>
    </row>
    <row r="684" ht="18" customHeight="1" spans="1:12">
      <c r="A684" s="87" t="str">
        <f t="shared" si="10"/>
        <v/>
      </c>
      <c r="B684" s="78"/>
      <c r="C684" s="79"/>
      <c r="D684" s="80"/>
      <c r="E684" s="79"/>
      <c r="F684" s="88"/>
      <c r="G684" s="88"/>
      <c r="H684" s="80"/>
      <c r="I684" s="80"/>
      <c r="J684" s="79"/>
      <c r="K684" s="80"/>
      <c r="L684" s="80"/>
    </row>
    <row r="685" ht="18" customHeight="1" spans="1:12">
      <c r="A685" s="87" t="str">
        <f t="shared" si="10"/>
        <v/>
      </c>
      <c r="B685" s="78"/>
      <c r="C685" s="79"/>
      <c r="D685" s="80"/>
      <c r="E685" s="79"/>
      <c r="F685" s="88"/>
      <c r="G685" s="88"/>
      <c r="H685" s="80"/>
      <c r="I685" s="80"/>
      <c r="J685" s="79"/>
      <c r="K685" s="80"/>
      <c r="L685" s="80"/>
    </row>
    <row r="686" ht="18" customHeight="1" spans="1:12">
      <c r="A686" s="87" t="str">
        <f t="shared" si="10"/>
        <v/>
      </c>
      <c r="B686" s="78"/>
      <c r="C686" s="79"/>
      <c r="D686" s="80"/>
      <c r="E686" s="79"/>
      <c r="F686" s="88"/>
      <c r="G686" s="88"/>
      <c r="H686" s="80"/>
      <c r="I686" s="80"/>
      <c r="J686" s="79"/>
      <c r="K686" s="80"/>
      <c r="L686" s="80"/>
    </row>
    <row r="687" ht="18" customHeight="1" spans="1:12">
      <c r="A687" s="87" t="str">
        <f t="shared" si="10"/>
        <v/>
      </c>
      <c r="B687" s="78"/>
      <c r="C687" s="79"/>
      <c r="D687" s="80"/>
      <c r="E687" s="79"/>
      <c r="F687" s="88"/>
      <c r="G687" s="88"/>
      <c r="H687" s="80"/>
      <c r="I687" s="80"/>
      <c r="J687" s="79"/>
      <c r="K687" s="80"/>
      <c r="L687" s="80"/>
    </row>
    <row r="688" ht="18" customHeight="1" spans="1:12">
      <c r="A688" s="87" t="str">
        <f t="shared" si="10"/>
        <v/>
      </c>
      <c r="B688" s="78"/>
      <c r="C688" s="79"/>
      <c r="D688" s="80"/>
      <c r="E688" s="79"/>
      <c r="F688" s="88"/>
      <c r="G688" s="88"/>
      <c r="H688" s="80"/>
      <c r="I688" s="80"/>
      <c r="J688" s="79"/>
      <c r="K688" s="80"/>
      <c r="L688" s="80"/>
    </row>
    <row r="689" ht="18" customHeight="1" spans="1:12">
      <c r="A689" s="87" t="str">
        <f t="shared" si="10"/>
        <v/>
      </c>
      <c r="B689" s="78"/>
      <c r="C689" s="79"/>
      <c r="D689" s="80"/>
      <c r="E689" s="79"/>
      <c r="F689" s="88"/>
      <c r="G689" s="88"/>
      <c r="H689" s="80"/>
      <c r="I689" s="80"/>
      <c r="J689" s="79"/>
      <c r="K689" s="80"/>
      <c r="L689" s="80"/>
    </row>
    <row r="690" ht="18" customHeight="1" spans="1:12">
      <c r="A690" s="87" t="str">
        <f t="shared" si="10"/>
        <v/>
      </c>
      <c r="B690" s="78"/>
      <c r="C690" s="79"/>
      <c r="D690" s="80"/>
      <c r="E690" s="79"/>
      <c r="F690" s="88"/>
      <c r="G690" s="88"/>
      <c r="H690" s="80"/>
      <c r="I690" s="80"/>
      <c r="J690" s="79"/>
      <c r="K690" s="80"/>
      <c r="L690" s="80"/>
    </row>
    <row r="691" ht="18" customHeight="1" spans="1:12">
      <c r="A691" s="87" t="str">
        <f t="shared" si="10"/>
        <v/>
      </c>
      <c r="B691" s="78"/>
      <c r="C691" s="79"/>
      <c r="D691" s="80"/>
      <c r="E691" s="79"/>
      <c r="F691" s="88"/>
      <c r="G691" s="88"/>
      <c r="H691" s="80"/>
      <c r="I691" s="80"/>
      <c r="J691" s="79"/>
      <c r="K691" s="80"/>
      <c r="L691" s="80"/>
    </row>
    <row r="692" ht="18" customHeight="1" spans="1:12">
      <c r="A692" s="87" t="str">
        <f t="shared" si="10"/>
        <v/>
      </c>
      <c r="B692" s="78"/>
      <c r="C692" s="79"/>
      <c r="D692" s="80"/>
      <c r="E692" s="79"/>
      <c r="F692" s="88"/>
      <c r="G692" s="88"/>
      <c r="H692" s="80"/>
      <c r="I692" s="80"/>
      <c r="J692" s="79"/>
      <c r="K692" s="80"/>
      <c r="L692" s="80"/>
    </row>
    <row r="693" ht="18" customHeight="1" spans="1:12">
      <c r="A693" s="87" t="str">
        <f t="shared" si="10"/>
        <v/>
      </c>
      <c r="B693" s="78"/>
      <c r="C693" s="79"/>
      <c r="D693" s="80"/>
      <c r="E693" s="79"/>
      <c r="F693" s="88"/>
      <c r="G693" s="88"/>
      <c r="H693" s="80"/>
      <c r="I693" s="80"/>
      <c r="J693" s="79"/>
      <c r="K693" s="80"/>
      <c r="L693" s="80"/>
    </row>
    <row r="694" ht="18" customHeight="1" spans="1:12">
      <c r="A694" s="87" t="str">
        <f t="shared" si="10"/>
        <v/>
      </c>
      <c r="B694" s="78"/>
      <c r="C694" s="79"/>
      <c r="D694" s="80"/>
      <c r="E694" s="79"/>
      <c r="F694" s="88"/>
      <c r="G694" s="88"/>
      <c r="H694" s="80"/>
      <c r="I694" s="80"/>
      <c r="J694" s="79"/>
      <c r="K694" s="80"/>
      <c r="L694" s="80"/>
    </row>
    <row r="695" ht="18" customHeight="1" spans="1:12">
      <c r="A695" s="87" t="str">
        <f t="shared" si="10"/>
        <v/>
      </c>
      <c r="B695" s="78"/>
      <c r="C695" s="79"/>
      <c r="D695" s="80"/>
      <c r="E695" s="79"/>
      <c r="F695" s="88"/>
      <c r="G695" s="88"/>
      <c r="H695" s="80"/>
      <c r="I695" s="80"/>
      <c r="J695" s="79"/>
      <c r="K695" s="80"/>
      <c r="L695" s="80"/>
    </row>
    <row r="696" ht="18" customHeight="1" spans="1:12">
      <c r="A696" s="87" t="str">
        <f t="shared" si="10"/>
        <v/>
      </c>
      <c r="B696" s="78"/>
      <c r="C696" s="79"/>
      <c r="D696" s="80"/>
      <c r="E696" s="79"/>
      <c r="F696" s="88"/>
      <c r="G696" s="88"/>
      <c r="H696" s="80"/>
      <c r="I696" s="80"/>
      <c r="J696" s="79"/>
      <c r="K696" s="80"/>
      <c r="L696" s="80"/>
    </row>
    <row r="697" ht="18" customHeight="1" spans="1:12">
      <c r="A697" s="87" t="str">
        <f t="shared" si="10"/>
        <v/>
      </c>
      <c r="B697" s="78"/>
      <c r="C697" s="79"/>
      <c r="D697" s="80"/>
      <c r="E697" s="79"/>
      <c r="F697" s="88"/>
      <c r="G697" s="88"/>
      <c r="H697" s="80"/>
      <c r="I697" s="80"/>
      <c r="J697" s="79"/>
      <c r="K697" s="80"/>
      <c r="L697" s="80"/>
    </row>
    <row r="698" ht="18" customHeight="1" spans="1:12">
      <c r="A698" s="87" t="str">
        <f t="shared" si="10"/>
        <v/>
      </c>
      <c r="B698" s="78"/>
      <c r="C698" s="79"/>
      <c r="D698" s="80"/>
      <c r="E698" s="79"/>
      <c r="F698" s="88"/>
      <c r="G698" s="88"/>
      <c r="H698" s="80"/>
      <c r="I698" s="80"/>
      <c r="J698" s="79"/>
      <c r="K698" s="80"/>
      <c r="L698" s="80"/>
    </row>
    <row r="699" ht="18" customHeight="1" spans="1:12">
      <c r="A699" s="87" t="str">
        <f t="shared" si="10"/>
        <v/>
      </c>
      <c r="B699" s="78"/>
      <c r="C699" s="79"/>
      <c r="D699" s="80"/>
      <c r="E699" s="79"/>
      <c r="F699" s="88"/>
      <c r="G699" s="88"/>
      <c r="H699" s="80"/>
      <c r="I699" s="80"/>
      <c r="J699" s="79"/>
      <c r="K699" s="80"/>
      <c r="L699" s="80"/>
    </row>
    <row r="700" ht="18" customHeight="1" spans="1:12">
      <c r="A700" s="87" t="str">
        <f t="shared" si="10"/>
        <v/>
      </c>
      <c r="B700" s="78"/>
      <c r="C700" s="79"/>
      <c r="D700" s="80"/>
      <c r="E700" s="79"/>
      <c r="F700" s="88"/>
      <c r="G700" s="88"/>
      <c r="H700" s="80"/>
      <c r="I700" s="80"/>
      <c r="J700" s="79"/>
      <c r="K700" s="80"/>
      <c r="L700" s="80"/>
    </row>
    <row r="701" ht="18" customHeight="1" spans="1:12">
      <c r="A701" s="87" t="str">
        <f t="shared" si="10"/>
        <v/>
      </c>
      <c r="B701" s="78"/>
      <c r="C701" s="79"/>
      <c r="D701" s="80"/>
      <c r="E701" s="79"/>
      <c r="F701" s="88"/>
      <c r="G701" s="88"/>
      <c r="H701" s="80"/>
      <c r="I701" s="80"/>
      <c r="J701" s="79"/>
      <c r="K701" s="80"/>
      <c r="L701" s="80"/>
    </row>
    <row r="702" ht="18" customHeight="1" spans="1:12">
      <c r="A702" s="87" t="str">
        <f t="shared" si="10"/>
        <v/>
      </c>
      <c r="B702" s="78"/>
      <c r="C702" s="79"/>
      <c r="D702" s="80"/>
      <c r="E702" s="79"/>
      <c r="F702" s="88"/>
      <c r="G702" s="88"/>
      <c r="H702" s="80"/>
      <c r="I702" s="80"/>
      <c r="J702" s="79"/>
      <c r="K702" s="80"/>
      <c r="L702" s="80"/>
    </row>
    <row r="703" ht="18" customHeight="1" spans="1:12">
      <c r="A703" s="87" t="str">
        <f t="shared" si="10"/>
        <v/>
      </c>
      <c r="B703" s="78"/>
      <c r="C703" s="79"/>
      <c r="D703" s="80"/>
      <c r="E703" s="79"/>
      <c r="F703" s="88"/>
      <c r="G703" s="88"/>
      <c r="H703" s="80"/>
      <c r="I703" s="80"/>
      <c r="J703" s="79"/>
      <c r="K703" s="80"/>
      <c r="L703" s="80"/>
    </row>
    <row r="704" ht="18" customHeight="1" spans="1:12">
      <c r="A704" s="87" t="str">
        <f t="shared" si="10"/>
        <v/>
      </c>
      <c r="B704" s="78"/>
      <c r="C704" s="79"/>
      <c r="D704" s="80"/>
      <c r="E704" s="79"/>
      <c r="F704" s="88"/>
      <c r="G704" s="88"/>
      <c r="H704" s="80"/>
      <c r="I704" s="80"/>
      <c r="J704" s="79"/>
      <c r="K704" s="80"/>
      <c r="L704" s="80"/>
    </row>
    <row r="705" ht="18" customHeight="1" spans="1:12">
      <c r="A705" s="87" t="str">
        <f t="shared" si="10"/>
        <v/>
      </c>
      <c r="B705" s="78"/>
      <c r="C705" s="79"/>
      <c r="D705" s="80"/>
      <c r="E705" s="79"/>
      <c r="F705" s="88"/>
      <c r="G705" s="88"/>
      <c r="H705" s="80"/>
      <c r="I705" s="80"/>
      <c r="J705" s="79"/>
      <c r="K705" s="80"/>
      <c r="L705" s="80"/>
    </row>
    <row r="706" ht="18" customHeight="1" spans="1:12">
      <c r="A706" s="87" t="str">
        <f t="shared" si="10"/>
        <v/>
      </c>
      <c r="B706" s="78"/>
      <c r="C706" s="79"/>
      <c r="D706" s="80"/>
      <c r="E706" s="79"/>
      <c r="F706" s="88"/>
      <c r="G706" s="88"/>
      <c r="H706" s="80"/>
      <c r="I706" s="80"/>
      <c r="J706" s="79"/>
      <c r="K706" s="80"/>
      <c r="L706" s="80"/>
    </row>
    <row r="707" ht="18" customHeight="1" spans="1:12">
      <c r="A707" s="87" t="str">
        <f t="shared" si="10"/>
        <v/>
      </c>
      <c r="B707" s="78"/>
      <c r="C707" s="79"/>
      <c r="D707" s="80"/>
      <c r="E707" s="79"/>
      <c r="F707" s="88"/>
      <c r="G707" s="88"/>
      <c r="H707" s="80"/>
      <c r="I707" s="80"/>
      <c r="J707" s="79"/>
      <c r="K707" s="80"/>
      <c r="L707" s="80"/>
    </row>
    <row r="708" ht="18" customHeight="1" spans="1:12">
      <c r="A708" s="87" t="str">
        <f t="shared" ref="A708:A771" si="11">IF($C708="","",ROW()-3)</f>
        <v/>
      </c>
      <c r="B708" s="78"/>
      <c r="C708" s="79"/>
      <c r="D708" s="80"/>
      <c r="E708" s="79"/>
      <c r="F708" s="88"/>
      <c r="G708" s="88"/>
      <c r="H708" s="80"/>
      <c r="I708" s="80"/>
      <c r="J708" s="79"/>
      <c r="K708" s="80"/>
      <c r="L708" s="80"/>
    </row>
    <row r="709" ht="18" customHeight="1" spans="1:12">
      <c r="A709" s="87" t="str">
        <f t="shared" si="11"/>
        <v/>
      </c>
      <c r="B709" s="78"/>
      <c r="C709" s="79"/>
      <c r="D709" s="80"/>
      <c r="E709" s="79"/>
      <c r="F709" s="88"/>
      <c r="G709" s="88"/>
      <c r="H709" s="80"/>
      <c r="I709" s="80"/>
      <c r="J709" s="79"/>
      <c r="K709" s="80"/>
      <c r="L709" s="80"/>
    </row>
    <row r="710" ht="18" customHeight="1" spans="1:12">
      <c r="A710" s="87" t="str">
        <f t="shared" si="11"/>
        <v/>
      </c>
      <c r="B710" s="78"/>
      <c r="C710" s="79"/>
      <c r="D710" s="80"/>
      <c r="E710" s="79"/>
      <c r="F710" s="88"/>
      <c r="G710" s="88"/>
      <c r="H710" s="80"/>
      <c r="I710" s="80"/>
      <c r="J710" s="79"/>
      <c r="K710" s="80"/>
      <c r="L710" s="80"/>
    </row>
    <row r="711" ht="18" customHeight="1" spans="1:12">
      <c r="A711" s="87" t="str">
        <f t="shared" si="11"/>
        <v/>
      </c>
      <c r="B711" s="78"/>
      <c r="C711" s="79"/>
      <c r="D711" s="80"/>
      <c r="E711" s="79"/>
      <c r="F711" s="88"/>
      <c r="G711" s="88"/>
      <c r="H711" s="80"/>
      <c r="I711" s="80"/>
      <c r="J711" s="79"/>
      <c r="K711" s="80"/>
      <c r="L711" s="80"/>
    </row>
    <row r="712" ht="18" customHeight="1" spans="1:12">
      <c r="A712" s="87" t="str">
        <f t="shared" si="11"/>
        <v/>
      </c>
      <c r="B712" s="78"/>
      <c r="C712" s="79"/>
      <c r="D712" s="80"/>
      <c r="E712" s="79"/>
      <c r="F712" s="88"/>
      <c r="G712" s="88"/>
      <c r="H712" s="80"/>
      <c r="I712" s="80"/>
      <c r="J712" s="79"/>
      <c r="K712" s="80"/>
      <c r="L712" s="80"/>
    </row>
    <row r="713" ht="18" customHeight="1" spans="1:12">
      <c r="A713" s="87" t="str">
        <f t="shared" si="11"/>
        <v/>
      </c>
      <c r="B713" s="78"/>
      <c r="C713" s="79"/>
      <c r="D713" s="80"/>
      <c r="E713" s="79"/>
      <c r="F713" s="88"/>
      <c r="G713" s="88"/>
      <c r="H713" s="80"/>
      <c r="I713" s="80"/>
      <c r="J713" s="79"/>
      <c r="K713" s="80"/>
      <c r="L713" s="80"/>
    </row>
    <row r="714" ht="18" customHeight="1" spans="1:12">
      <c r="A714" s="87" t="str">
        <f t="shared" si="11"/>
        <v/>
      </c>
      <c r="B714" s="78"/>
      <c r="C714" s="79"/>
      <c r="D714" s="80"/>
      <c r="E714" s="79"/>
      <c r="F714" s="88"/>
      <c r="G714" s="88"/>
      <c r="H714" s="80"/>
      <c r="I714" s="80"/>
      <c r="J714" s="79"/>
      <c r="K714" s="80"/>
      <c r="L714" s="80"/>
    </row>
    <row r="715" ht="18" customHeight="1" spans="1:12">
      <c r="A715" s="87" t="str">
        <f t="shared" si="11"/>
        <v/>
      </c>
      <c r="B715" s="78"/>
      <c r="C715" s="79"/>
      <c r="D715" s="80"/>
      <c r="E715" s="79"/>
      <c r="F715" s="88"/>
      <c r="G715" s="88"/>
      <c r="H715" s="80"/>
      <c r="I715" s="80"/>
      <c r="J715" s="79"/>
      <c r="K715" s="80"/>
      <c r="L715" s="80"/>
    </row>
    <row r="716" ht="18" customHeight="1" spans="1:12">
      <c r="A716" s="87" t="str">
        <f t="shared" si="11"/>
        <v/>
      </c>
      <c r="B716" s="78"/>
      <c r="C716" s="79"/>
      <c r="D716" s="80"/>
      <c r="E716" s="79"/>
      <c r="F716" s="88"/>
      <c r="G716" s="88"/>
      <c r="H716" s="80"/>
      <c r="I716" s="80"/>
      <c r="J716" s="79"/>
      <c r="K716" s="80"/>
      <c r="L716" s="80"/>
    </row>
    <row r="717" ht="18" customHeight="1" spans="1:12">
      <c r="A717" s="87" t="str">
        <f t="shared" si="11"/>
        <v/>
      </c>
      <c r="B717" s="78"/>
      <c r="C717" s="79"/>
      <c r="D717" s="80"/>
      <c r="E717" s="79"/>
      <c r="F717" s="88"/>
      <c r="G717" s="88"/>
      <c r="H717" s="80"/>
      <c r="I717" s="80"/>
      <c r="J717" s="79"/>
      <c r="K717" s="80"/>
      <c r="L717" s="80"/>
    </row>
    <row r="718" ht="18" customHeight="1" spans="1:12">
      <c r="A718" s="87" t="str">
        <f t="shared" si="11"/>
        <v/>
      </c>
      <c r="B718" s="78"/>
      <c r="C718" s="79"/>
      <c r="D718" s="80"/>
      <c r="E718" s="79"/>
      <c r="F718" s="88"/>
      <c r="G718" s="88"/>
      <c r="H718" s="80"/>
      <c r="I718" s="80"/>
      <c r="J718" s="79"/>
      <c r="K718" s="80"/>
      <c r="L718" s="80"/>
    </row>
    <row r="719" ht="18" customHeight="1" spans="1:12">
      <c r="A719" s="87" t="str">
        <f t="shared" si="11"/>
        <v/>
      </c>
      <c r="B719" s="78"/>
      <c r="C719" s="79"/>
      <c r="D719" s="80"/>
      <c r="E719" s="79"/>
      <c r="F719" s="88"/>
      <c r="G719" s="88"/>
      <c r="H719" s="80"/>
      <c r="I719" s="80"/>
      <c r="J719" s="79"/>
      <c r="K719" s="80"/>
      <c r="L719" s="80"/>
    </row>
    <row r="720" ht="18" customHeight="1" spans="1:12">
      <c r="A720" s="87" t="str">
        <f t="shared" si="11"/>
        <v/>
      </c>
      <c r="B720" s="78"/>
      <c r="C720" s="79"/>
      <c r="D720" s="80"/>
      <c r="E720" s="79"/>
      <c r="F720" s="88"/>
      <c r="G720" s="88"/>
      <c r="H720" s="80"/>
      <c r="I720" s="80"/>
      <c r="J720" s="79"/>
      <c r="K720" s="80"/>
      <c r="L720" s="80"/>
    </row>
    <row r="721" ht="18" customHeight="1" spans="1:12">
      <c r="A721" s="87" t="str">
        <f t="shared" si="11"/>
        <v/>
      </c>
      <c r="B721" s="78"/>
      <c r="C721" s="79"/>
      <c r="D721" s="80"/>
      <c r="E721" s="79"/>
      <c r="F721" s="88"/>
      <c r="G721" s="88"/>
      <c r="H721" s="80"/>
      <c r="I721" s="80"/>
      <c r="J721" s="79"/>
      <c r="K721" s="80"/>
      <c r="L721" s="80"/>
    </row>
    <row r="722" ht="18" customHeight="1" spans="1:12">
      <c r="A722" s="87" t="str">
        <f t="shared" si="11"/>
        <v/>
      </c>
      <c r="B722" s="78"/>
      <c r="C722" s="79"/>
      <c r="D722" s="80"/>
      <c r="E722" s="79"/>
      <c r="F722" s="88"/>
      <c r="G722" s="88"/>
      <c r="H722" s="80"/>
      <c r="I722" s="80"/>
      <c r="J722" s="79"/>
      <c r="K722" s="80"/>
      <c r="L722" s="80"/>
    </row>
    <row r="723" ht="18" customHeight="1" spans="1:12">
      <c r="A723" s="87" t="str">
        <f t="shared" si="11"/>
        <v/>
      </c>
      <c r="B723" s="78"/>
      <c r="C723" s="79"/>
      <c r="D723" s="80"/>
      <c r="E723" s="79"/>
      <c r="F723" s="88"/>
      <c r="G723" s="88"/>
      <c r="H723" s="80"/>
      <c r="I723" s="80"/>
      <c r="J723" s="79"/>
      <c r="K723" s="80"/>
      <c r="L723" s="80"/>
    </row>
    <row r="724" ht="18" customHeight="1" spans="1:12">
      <c r="A724" s="87" t="str">
        <f t="shared" si="11"/>
        <v/>
      </c>
      <c r="B724" s="78"/>
      <c r="C724" s="79"/>
      <c r="D724" s="80"/>
      <c r="E724" s="79"/>
      <c r="F724" s="88"/>
      <c r="G724" s="88"/>
      <c r="H724" s="80"/>
      <c r="I724" s="80"/>
      <c r="J724" s="79"/>
      <c r="K724" s="80"/>
      <c r="L724" s="80"/>
    </row>
    <row r="725" ht="18" customHeight="1" spans="1:12">
      <c r="A725" s="87" t="str">
        <f t="shared" si="11"/>
        <v/>
      </c>
      <c r="B725" s="78"/>
      <c r="C725" s="79"/>
      <c r="D725" s="80"/>
      <c r="E725" s="79"/>
      <c r="F725" s="88"/>
      <c r="G725" s="88"/>
      <c r="H725" s="80"/>
      <c r="I725" s="80"/>
      <c r="J725" s="79"/>
      <c r="K725" s="80"/>
      <c r="L725" s="80"/>
    </row>
    <row r="726" ht="18" customHeight="1" spans="1:12">
      <c r="A726" s="87" t="str">
        <f t="shared" si="11"/>
        <v/>
      </c>
      <c r="B726" s="78"/>
      <c r="C726" s="79"/>
      <c r="D726" s="80"/>
      <c r="E726" s="79"/>
      <c r="F726" s="88"/>
      <c r="G726" s="88"/>
      <c r="H726" s="80"/>
      <c r="I726" s="80"/>
      <c r="J726" s="79"/>
      <c r="K726" s="80"/>
      <c r="L726" s="80"/>
    </row>
    <row r="727" ht="18" customHeight="1" spans="1:12">
      <c r="A727" s="87" t="str">
        <f t="shared" si="11"/>
        <v/>
      </c>
      <c r="B727" s="78"/>
      <c r="C727" s="79"/>
      <c r="D727" s="80"/>
      <c r="E727" s="79"/>
      <c r="F727" s="88"/>
      <c r="G727" s="88"/>
      <c r="H727" s="80"/>
      <c r="I727" s="80"/>
      <c r="J727" s="79"/>
      <c r="K727" s="80"/>
      <c r="L727" s="80"/>
    </row>
    <row r="728" ht="18" customHeight="1" spans="1:12">
      <c r="A728" s="87" t="str">
        <f t="shared" si="11"/>
        <v/>
      </c>
      <c r="B728" s="78"/>
      <c r="C728" s="79"/>
      <c r="D728" s="80"/>
      <c r="E728" s="79"/>
      <c r="F728" s="88"/>
      <c r="G728" s="88"/>
      <c r="H728" s="80"/>
      <c r="I728" s="80"/>
      <c r="J728" s="79"/>
      <c r="K728" s="80"/>
      <c r="L728" s="80"/>
    </row>
    <row r="729" ht="18" customHeight="1" spans="1:12">
      <c r="A729" s="87" t="str">
        <f t="shared" si="11"/>
        <v/>
      </c>
      <c r="B729" s="78"/>
      <c r="C729" s="79"/>
      <c r="D729" s="80"/>
      <c r="E729" s="79"/>
      <c r="F729" s="88"/>
      <c r="G729" s="88"/>
      <c r="H729" s="80"/>
      <c r="I729" s="80"/>
      <c r="J729" s="79"/>
      <c r="K729" s="80"/>
      <c r="L729" s="80"/>
    </row>
    <row r="730" ht="18" customHeight="1" spans="1:12">
      <c r="A730" s="87" t="str">
        <f t="shared" si="11"/>
        <v/>
      </c>
      <c r="B730" s="78"/>
      <c r="C730" s="79"/>
      <c r="D730" s="80"/>
      <c r="E730" s="79"/>
      <c r="F730" s="88"/>
      <c r="G730" s="88"/>
      <c r="H730" s="80"/>
      <c r="I730" s="80"/>
      <c r="J730" s="79"/>
      <c r="K730" s="80"/>
      <c r="L730" s="80"/>
    </row>
    <row r="731" ht="18" customHeight="1" spans="1:12">
      <c r="A731" s="87" t="str">
        <f t="shared" si="11"/>
        <v/>
      </c>
      <c r="B731" s="78"/>
      <c r="C731" s="79"/>
      <c r="D731" s="80"/>
      <c r="E731" s="79"/>
      <c r="F731" s="88"/>
      <c r="G731" s="88"/>
      <c r="H731" s="80"/>
      <c r="I731" s="80"/>
      <c r="J731" s="79"/>
      <c r="K731" s="80"/>
      <c r="L731" s="80"/>
    </row>
    <row r="732" ht="18" customHeight="1" spans="1:12">
      <c r="A732" s="87" t="str">
        <f t="shared" si="11"/>
        <v/>
      </c>
      <c r="B732" s="78"/>
      <c r="C732" s="79"/>
      <c r="D732" s="80"/>
      <c r="E732" s="79"/>
      <c r="F732" s="88"/>
      <c r="G732" s="88"/>
      <c r="H732" s="80"/>
      <c r="I732" s="80"/>
      <c r="J732" s="79"/>
      <c r="K732" s="80"/>
      <c r="L732" s="80"/>
    </row>
    <row r="733" ht="18" customHeight="1" spans="1:12">
      <c r="A733" s="87" t="str">
        <f t="shared" si="11"/>
        <v/>
      </c>
      <c r="B733" s="78"/>
      <c r="C733" s="79"/>
      <c r="D733" s="80"/>
      <c r="E733" s="79"/>
      <c r="F733" s="88"/>
      <c r="G733" s="88"/>
      <c r="H733" s="80"/>
      <c r="I733" s="80"/>
      <c r="J733" s="79"/>
      <c r="K733" s="80"/>
      <c r="L733" s="80"/>
    </row>
    <row r="734" ht="18" customHeight="1" spans="1:12">
      <c r="A734" s="87" t="str">
        <f t="shared" si="11"/>
        <v/>
      </c>
      <c r="B734" s="78"/>
      <c r="C734" s="79"/>
      <c r="D734" s="80"/>
      <c r="E734" s="79"/>
      <c r="F734" s="88"/>
      <c r="G734" s="88"/>
      <c r="H734" s="80"/>
      <c r="I734" s="80"/>
      <c r="J734" s="79"/>
      <c r="K734" s="80"/>
      <c r="L734" s="80"/>
    </row>
    <row r="735" ht="18" customHeight="1" spans="1:12">
      <c r="A735" s="87" t="str">
        <f t="shared" si="11"/>
        <v/>
      </c>
      <c r="B735" s="78"/>
      <c r="C735" s="79"/>
      <c r="D735" s="80"/>
      <c r="E735" s="79"/>
      <c r="F735" s="88"/>
      <c r="G735" s="88"/>
      <c r="H735" s="80"/>
      <c r="I735" s="80"/>
      <c r="J735" s="79"/>
      <c r="K735" s="80"/>
      <c r="L735" s="80"/>
    </row>
    <row r="736" ht="18" customHeight="1" spans="1:12">
      <c r="A736" s="87" t="str">
        <f t="shared" si="11"/>
        <v/>
      </c>
      <c r="B736" s="78"/>
      <c r="C736" s="79"/>
      <c r="D736" s="80"/>
      <c r="E736" s="79"/>
      <c r="F736" s="88"/>
      <c r="G736" s="88"/>
      <c r="H736" s="80"/>
      <c r="I736" s="80"/>
      <c r="J736" s="79"/>
      <c r="K736" s="80"/>
      <c r="L736" s="80"/>
    </row>
    <row r="737" ht="18" customHeight="1" spans="1:12">
      <c r="A737" s="87" t="str">
        <f t="shared" si="11"/>
        <v/>
      </c>
      <c r="B737" s="78"/>
      <c r="C737" s="79"/>
      <c r="D737" s="80"/>
      <c r="E737" s="79"/>
      <c r="F737" s="88"/>
      <c r="G737" s="88"/>
      <c r="H737" s="80"/>
      <c r="I737" s="80"/>
      <c r="J737" s="79"/>
      <c r="K737" s="80"/>
      <c r="L737" s="80"/>
    </row>
    <row r="738" ht="18" customHeight="1" spans="1:12">
      <c r="A738" s="87" t="str">
        <f t="shared" si="11"/>
        <v/>
      </c>
      <c r="B738" s="78"/>
      <c r="C738" s="79"/>
      <c r="D738" s="80"/>
      <c r="E738" s="79"/>
      <c r="F738" s="88"/>
      <c r="G738" s="88"/>
      <c r="H738" s="80"/>
      <c r="I738" s="80"/>
      <c r="J738" s="79"/>
      <c r="K738" s="80"/>
      <c r="L738" s="80"/>
    </row>
    <row r="739" ht="18" customHeight="1" spans="1:12">
      <c r="A739" s="87" t="str">
        <f t="shared" si="11"/>
        <v/>
      </c>
      <c r="B739" s="78"/>
      <c r="C739" s="79"/>
      <c r="D739" s="80"/>
      <c r="E739" s="79"/>
      <c r="F739" s="88"/>
      <c r="G739" s="88"/>
      <c r="H739" s="80"/>
      <c r="I739" s="80"/>
      <c r="J739" s="79"/>
      <c r="K739" s="80"/>
      <c r="L739" s="80"/>
    </row>
    <row r="740" ht="18" customHeight="1" spans="1:12">
      <c r="A740" s="87" t="str">
        <f t="shared" si="11"/>
        <v/>
      </c>
      <c r="B740" s="78"/>
      <c r="C740" s="79"/>
      <c r="D740" s="80"/>
      <c r="E740" s="79"/>
      <c r="F740" s="88"/>
      <c r="G740" s="88"/>
      <c r="H740" s="80"/>
      <c r="I740" s="80"/>
      <c r="J740" s="79"/>
      <c r="K740" s="80"/>
      <c r="L740" s="80"/>
    </row>
    <row r="741" ht="18" customHeight="1" spans="1:12">
      <c r="A741" s="87" t="str">
        <f t="shared" si="11"/>
        <v/>
      </c>
      <c r="B741" s="78"/>
      <c r="C741" s="79"/>
      <c r="D741" s="80"/>
      <c r="E741" s="79"/>
      <c r="F741" s="88"/>
      <c r="G741" s="88"/>
      <c r="H741" s="80"/>
      <c r="I741" s="80"/>
      <c r="J741" s="79"/>
      <c r="K741" s="80"/>
      <c r="L741" s="80"/>
    </row>
    <row r="742" ht="18" customHeight="1" spans="1:12">
      <c r="A742" s="87" t="str">
        <f t="shared" si="11"/>
        <v/>
      </c>
      <c r="B742" s="78"/>
      <c r="C742" s="79"/>
      <c r="D742" s="80"/>
      <c r="E742" s="79"/>
      <c r="F742" s="88"/>
      <c r="G742" s="88"/>
      <c r="H742" s="80"/>
      <c r="I742" s="80"/>
      <c r="J742" s="79"/>
      <c r="K742" s="80"/>
      <c r="L742" s="80"/>
    </row>
    <row r="743" ht="18" customHeight="1" spans="1:12">
      <c r="A743" s="87" t="str">
        <f t="shared" si="11"/>
        <v/>
      </c>
      <c r="B743" s="78"/>
      <c r="C743" s="79"/>
      <c r="D743" s="80"/>
      <c r="E743" s="79"/>
      <c r="F743" s="88"/>
      <c r="G743" s="88"/>
      <c r="H743" s="80"/>
      <c r="I743" s="80"/>
      <c r="J743" s="79"/>
      <c r="K743" s="80"/>
      <c r="L743" s="80"/>
    </row>
    <row r="744" ht="18" customHeight="1" spans="1:12">
      <c r="A744" s="87" t="str">
        <f t="shared" si="11"/>
        <v/>
      </c>
      <c r="B744" s="78"/>
      <c r="C744" s="79"/>
      <c r="D744" s="80"/>
      <c r="E744" s="79"/>
      <c r="F744" s="88"/>
      <c r="G744" s="88"/>
      <c r="H744" s="80"/>
      <c r="I744" s="80"/>
      <c r="J744" s="79"/>
      <c r="K744" s="80"/>
      <c r="L744" s="80"/>
    </row>
    <row r="745" ht="18" customHeight="1" spans="1:12">
      <c r="A745" s="87" t="str">
        <f t="shared" si="11"/>
        <v/>
      </c>
      <c r="B745" s="78"/>
      <c r="C745" s="79"/>
      <c r="D745" s="80"/>
      <c r="E745" s="79"/>
      <c r="F745" s="88"/>
      <c r="G745" s="88"/>
      <c r="H745" s="80"/>
      <c r="I745" s="80"/>
      <c r="J745" s="79"/>
      <c r="K745" s="80"/>
      <c r="L745" s="80"/>
    </row>
    <row r="746" ht="18" customHeight="1" spans="1:12">
      <c r="A746" s="87" t="str">
        <f t="shared" si="11"/>
        <v/>
      </c>
      <c r="B746" s="78"/>
      <c r="C746" s="79"/>
      <c r="D746" s="80"/>
      <c r="E746" s="79"/>
      <c r="F746" s="88"/>
      <c r="G746" s="88"/>
      <c r="H746" s="80"/>
      <c r="I746" s="80"/>
      <c r="J746" s="79"/>
      <c r="K746" s="80"/>
      <c r="L746" s="80"/>
    </row>
    <row r="747" ht="18" customHeight="1" spans="1:12">
      <c r="A747" s="87" t="str">
        <f t="shared" si="11"/>
        <v/>
      </c>
      <c r="B747" s="78"/>
      <c r="C747" s="79"/>
      <c r="D747" s="80"/>
      <c r="E747" s="79"/>
      <c r="F747" s="88"/>
      <c r="G747" s="88"/>
      <c r="H747" s="80"/>
      <c r="I747" s="80"/>
      <c r="J747" s="79"/>
      <c r="K747" s="80"/>
      <c r="L747" s="80"/>
    </row>
    <row r="748" ht="18" customHeight="1" spans="1:12">
      <c r="A748" s="87" t="str">
        <f t="shared" si="11"/>
        <v/>
      </c>
      <c r="B748" s="78"/>
      <c r="C748" s="79"/>
      <c r="D748" s="80"/>
      <c r="E748" s="79"/>
      <c r="F748" s="88"/>
      <c r="G748" s="88"/>
      <c r="H748" s="80"/>
      <c r="I748" s="80"/>
      <c r="J748" s="79"/>
      <c r="K748" s="80"/>
      <c r="L748" s="80"/>
    </row>
    <row r="749" ht="18" customHeight="1" spans="1:12">
      <c r="A749" s="87" t="str">
        <f t="shared" si="11"/>
        <v/>
      </c>
      <c r="B749" s="78"/>
      <c r="C749" s="79"/>
      <c r="D749" s="80"/>
      <c r="E749" s="79"/>
      <c r="F749" s="88"/>
      <c r="G749" s="88"/>
      <c r="H749" s="80"/>
      <c r="I749" s="80"/>
      <c r="J749" s="79"/>
      <c r="K749" s="80"/>
      <c r="L749" s="80"/>
    </row>
    <row r="750" ht="18" customHeight="1" spans="1:12">
      <c r="A750" s="87" t="str">
        <f t="shared" si="11"/>
        <v/>
      </c>
      <c r="B750" s="78"/>
      <c r="C750" s="79"/>
      <c r="D750" s="80"/>
      <c r="E750" s="79"/>
      <c r="F750" s="88"/>
      <c r="G750" s="88"/>
      <c r="H750" s="80"/>
      <c r="I750" s="80"/>
      <c r="J750" s="79"/>
      <c r="K750" s="80"/>
      <c r="L750" s="80"/>
    </row>
    <row r="751" ht="18" customHeight="1" spans="1:12">
      <c r="A751" s="87" t="str">
        <f t="shared" si="11"/>
        <v/>
      </c>
      <c r="B751" s="78"/>
      <c r="C751" s="79"/>
      <c r="D751" s="80"/>
      <c r="E751" s="79"/>
      <c r="F751" s="88"/>
      <c r="G751" s="88"/>
      <c r="H751" s="80"/>
      <c r="I751" s="80"/>
      <c r="J751" s="79"/>
      <c r="K751" s="80"/>
      <c r="L751" s="80"/>
    </row>
    <row r="752" ht="18" customHeight="1" spans="1:12">
      <c r="A752" s="87" t="str">
        <f t="shared" si="11"/>
        <v/>
      </c>
      <c r="B752" s="78"/>
      <c r="C752" s="79"/>
      <c r="D752" s="80"/>
      <c r="E752" s="79"/>
      <c r="F752" s="88"/>
      <c r="G752" s="88"/>
      <c r="H752" s="80"/>
      <c r="I752" s="80"/>
      <c r="J752" s="79"/>
      <c r="K752" s="80"/>
      <c r="L752" s="80"/>
    </row>
    <row r="753" ht="18" customHeight="1" spans="1:12">
      <c r="A753" s="87" t="str">
        <f t="shared" si="11"/>
        <v/>
      </c>
      <c r="B753" s="78"/>
      <c r="C753" s="79"/>
      <c r="D753" s="80"/>
      <c r="E753" s="79"/>
      <c r="F753" s="88"/>
      <c r="G753" s="88"/>
      <c r="H753" s="80"/>
      <c r="I753" s="80"/>
      <c r="J753" s="79"/>
      <c r="K753" s="80"/>
      <c r="L753" s="80"/>
    </row>
    <row r="754" ht="18" customHeight="1" spans="1:12">
      <c r="A754" s="87" t="str">
        <f t="shared" si="11"/>
        <v/>
      </c>
      <c r="B754" s="78"/>
      <c r="C754" s="79"/>
      <c r="D754" s="80"/>
      <c r="E754" s="79"/>
      <c r="F754" s="88"/>
      <c r="G754" s="88"/>
      <c r="H754" s="80"/>
      <c r="I754" s="80"/>
      <c r="J754" s="79"/>
      <c r="K754" s="80"/>
      <c r="L754" s="80"/>
    </row>
    <row r="755" ht="18" customHeight="1" spans="1:12">
      <c r="A755" s="87" t="str">
        <f t="shared" si="11"/>
        <v/>
      </c>
      <c r="B755" s="78"/>
      <c r="C755" s="79"/>
      <c r="D755" s="80"/>
      <c r="E755" s="79"/>
      <c r="F755" s="88"/>
      <c r="G755" s="88"/>
      <c r="H755" s="80"/>
      <c r="I755" s="80"/>
      <c r="J755" s="79"/>
      <c r="K755" s="80"/>
      <c r="L755" s="80"/>
    </row>
    <row r="756" ht="18" customHeight="1" spans="1:12">
      <c r="A756" s="87" t="str">
        <f t="shared" si="11"/>
        <v/>
      </c>
      <c r="B756" s="78"/>
      <c r="C756" s="79"/>
      <c r="D756" s="80"/>
      <c r="E756" s="79"/>
      <c r="F756" s="88"/>
      <c r="G756" s="88"/>
      <c r="H756" s="80"/>
      <c r="I756" s="80"/>
      <c r="J756" s="79"/>
      <c r="K756" s="80"/>
      <c r="L756" s="80"/>
    </row>
    <row r="757" ht="18" customHeight="1" spans="1:12">
      <c r="A757" s="87" t="str">
        <f t="shared" si="11"/>
        <v/>
      </c>
      <c r="B757" s="78"/>
      <c r="C757" s="79"/>
      <c r="D757" s="80"/>
      <c r="E757" s="79"/>
      <c r="F757" s="88"/>
      <c r="G757" s="88"/>
      <c r="H757" s="80"/>
      <c r="I757" s="80"/>
      <c r="J757" s="79"/>
      <c r="K757" s="80"/>
      <c r="L757" s="80"/>
    </row>
    <row r="758" ht="18" customHeight="1" spans="1:12">
      <c r="A758" s="87" t="str">
        <f t="shared" si="11"/>
        <v/>
      </c>
      <c r="B758" s="78"/>
      <c r="C758" s="79"/>
      <c r="D758" s="80"/>
      <c r="E758" s="79"/>
      <c r="F758" s="88"/>
      <c r="G758" s="88"/>
      <c r="H758" s="80"/>
      <c r="I758" s="80"/>
      <c r="J758" s="79"/>
      <c r="K758" s="80"/>
      <c r="L758" s="80"/>
    </row>
    <row r="759" ht="18" customHeight="1" spans="1:12">
      <c r="A759" s="87" t="str">
        <f t="shared" si="11"/>
        <v/>
      </c>
      <c r="B759" s="78"/>
      <c r="C759" s="79"/>
      <c r="D759" s="80"/>
      <c r="E759" s="79"/>
      <c r="F759" s="88"/>
      <c r="G759" s="88"/>
      <c r="H759" s="80"/>
      <c r="I759" s="80"/>
      <c r="J759" s="79"/>
      <c r="K759" s="80"/>
      <c r="L759" s="80"/>
    </row>
    <row r="760" ht="18" customHeight="1" spans="1:12">
      <c r="A760" s="87" t="str">
        <f t="shared" si="11"/>
        <v/>
      </c>
      <c r="B760" s="78"/>
      <c r="C760" s="79"/>
      <c r="D760" s="80"/>
      <c r="E760" s="79"/>
      <c r="F760" s="88"/>
      <c r="G760" s="88"/>
      <c r="H760" s="80"/>
      <c r="I760" s="80"/>
      <c r="J760" s="79"/>
      <c r="K760" s="80"/>
      <c r="L760" s="80"/>
    </row>
    <row r="761" ht="18" customHeight="1" spans="1:12">
      <c r="A761" s="87" t="str">
        <f t="shared" si="11"/>
        <v/>
      </c>
      <c r="B761" s="78"/>
      <c r="C761" s="79"/>
      <c r="D761" s="80"/>
      <c r="E761" s="79"/>
      <c r="F761" s="88"/>
      <c r="G761" s="88"/>
      <c r="H761" s="80"/>
      <c r="I761" s="80"/>
      <c r="J761" s="79"/>
      <c r="K761" s="80"/>
      <c r="L761" s="80"/>
    </row>
    <row r="762" ht="18" customHeight="1" spans="1:12">
      <c r="A762" s="87" t="str">
        <f t="shared" si="11"/>
        <v/>
      </c>
      <c r="B762" s="78"/>
      <c r="C762" s="79"/>
      <c r="D762" s="80"/>
      <c r="E762" s="79"/>
      <c r="F762" s="88"/>
      <c r="G762" s="88"/>
      <c r="H762" s="80"/>
      <c r="I762" s="80"/>
      <c r="J762" s="79"/>
      <c r="K762" s="80"/>
      <c r="L762" s="80"/>
    </row>
    <row r="763" ht="18" customHeight="1" spans="1:12">
      <c r="A763" s="87" t="str">
        <f t="shared" si="11"/>
        <v/>
      </c>
      <c r="B763" s="78"/>
      <c r="C763" s="79"/>
      <c r="D763" s="80"/>
      <c r="E763" s="79"/>
      <c r="F763" s="88"/>
      <c r="G763" s="88"/>
      <c r="H763" s="80"/>
      <c r="I763" s="80"/>
      <c r="J763" s="79"/>
      <c r="K763" s="80"/>
      <c r="L763" s="80"/>
    </row>
    <row r="764" ht="18" customHeight="1" spans="1:12">
      <c r="A764" s="87" t="str">
        <f t="shared" si="11"/>
        <v/>
      </c>
      <c r="B764" s="78"/>
      <c r="C764" s="79"/>
      <c r="D764" s="80"/>
      <c r="E764" s="79"/>
      <c r="F764" s="88"/>
      <c r="G764" s="88"/>
      <c r="H764" s="80"/>
      <c r="I764" s="80"/>
      <c r="J764" s="79"/>
      <c r="K764" s="80"/>
      <c r="L764" s="80"/>
    </row>
    <row r="765" ht="18" customHeight="1" spans="1:12">
      <c r="A765" s="87" t="str">
        <f t="shared" si="11"/>
        <v/>
      </c>
      <c r="B765" s="78"/>
      <c r="C765" s="79"/>
      <c r="D765" s="80"/>
      <c r="E765" s="79"/>
      <c r="F765" s="88"/>
      <c r="G765" s="88"/>
      <c r="H765" s="80"/>
      <c r="I765" s="80"/>
      <c r="J765" s="79"/>
      <c r="K765" s="80"/>
      <c r="L765" s="80"/>
    </row>
    <row r="766" ht="18" customHeight="1" spans="1:12">
      <c r="A766" s="87" t="str">
        <f t="shared" si="11"/>
        <v/>
      </c>
      <c r="B766" s="78"/>
      <c r="C766" s="79"/>
      <c r="D766" s="80"/>
      <c r="E766" s="79"/>
      <c r="F766" s="88"/>
      <c r="G766" s="88"/>
      <c r="H766" s="80"/>
      <c r="I766" s="80"/>
      <c r="J766" s="79"/>
      <c r="K766" s="80"/>
      <c r="L766" s="80"/>
    </row>
    <row r="767" ht="18" customHeight="1" spans="1:12">
      <c r="A767" s="87" t="str">
        <f t="shared" si="11"/>
        <v/>
      </c>
      <c r="B767" s="78"/>
      <c r="C767" s="79"/>
      <c r="D767" s="80"/>
      <c r="E767" s="79"/>
      <c r="F767" s="88"/>
      <c r="G767" s="88"/>
      <c r="H767" s="80"/>
      <c r="I767" s="80"/>
      <c r="J767" s="79"/>
      <c r="K767" s="80"/>
      <c r="L767" s="80"/>
    </row>
    <row r="768" ht="18" customHeight="1" spans="1:12">
      <c r="A768" s="87" t="str">
        <f t="shared" si="11"/>
        <v/>
      </c>
      <c r="B768" s="78"/>
      <c r="C768" s="79"/>
      <c r="D768" s="80"/>
      <c r="E768" s="79"/>
      <c r="F768" s="88"/>
      <c r="G768" s="88"/>
      <c r="H768" s="80"/>
      <c r="I768" s="80"/>
      <c r="J768" s="79"/>
      <c r="K768" s="80"/>
      <c r="L768" s="80"/>
    </row>
    <row r="769" ht="18" customHeight="1" spans="1:12">
      <c r="A769" s="87" t="str">
        <f t="shared" si="11"/>
        <v/>
      </c>
      <c r="B769" s="78"/>
      <c r="C769" s="79"/>
      <c r="D769" s="80"/>
      <c r="E769" s="79"/>
      <c r="F769" s="88"/>
      <c r="G769" s="88"/>
      <c r="H769" s="80"/>
      <c r="I769" s="80"/>
      <c r="J769" s="79"/>
      <c r="K769" s="80"/>
      <c r="L769" s="80"/>
    </row>
    <row r="770" ht="18" customHeight="1" spans="1:12">
      <c r="A770" s="87" t="str">
        <f t="shared" si="11"/>
        <v/>
      </c>
      <c r="B770" s="78"/>
      <c r="C770" s="79"/>
      <c r="D770" s="80"/>
      <c r="E770" s="79"/>
      <c r="F770" s="88"/>
      <c r="G770" s="88"/>
      <c r="H770" s="80"/>
      <c r="I770" s="80"/>
      <c r="J770" s="79"/>
      <c r="K770" s="80"/>
      <c r="L770" s="80"/>
    </row>
    <row r="771" ht="18" customHeight="1" spans="1:12">
      <c r="A771" s="87" t="str">
        <f t="shared" si="11"/>
        <v/>
      </c>
      <c r="B771" s="78"/>
      <c r="C771" s="79"/>
      <c r="D771" s="80"/>
      <c r="E771" s="79"/>
      <c r="F771" s="88"/>
      <c r="G771" s="88"/>
      <c r="H771" s="80"/>
      <c r="I771" s="80"/>
      <c r="J771" s="79"/>
      <c r="K771" s="80"/>
      <c r="L771" s="80"/>
    </row>
    <row r="772" ht="18" customHeight="1" spans="1:12">
      <c r="A772" s="87" t="str">
        <f t="shared" ref="A772:A835" si="12">IF($C772="","",ROW()-3)</f>
        <v/>
      </c>
      <c r="B772" s="78"/>
      <c r="C772" s="79"/>
      <c r="D772" s="80"/>
      <c r="E772" s="79"/>
      <c r="F772" s="88"/>
      <c r="G772" s="88"/>
      <c r="H772" s="80"/>
      <c r="I772" s="80"/>
      <c r="J772" s="79"/>
      <c r="K772" s="80"/>
      <c r="L772" s="80"/>
    </row>
    <row r="773" ht="18" customHeight="1" spans="1:12">
      <c r="A773" s="87" t="str">
        <f t="shared" si="12"/>
        <v/>
      </c>
      <c r="B773" s="78"/>
      <c r="C773" s="79"/>
      <c r="D773" s="80"/>
      <c r="E773" s="79"/>
      <c r="F773" s="88"/>
      <c r="G773" s="88"/>
      <c r="H773" s="80"/>
      <c r="I773" s="80"/>
      <c r="J773" s="79"/>
      <c r="K773" s="80"/>
      <c r="L773" s="80"/>
    </row>
    <row r="774" ht="18" customHeight="1" spans="1:12">
      <c r="A774" s="87" t="str">
        <f t="shared" si="12"/>
        <v/>
      </c>
      <c r="B774" s="78"/>
      <c r="C774" s="79"/>
      <c r="D774" s="80"/>
      <c r="E774" s="79"/>
      <c r="F774" s="88"/>
      <c r="G774" s="88"/>
      <c r="H774" s="80"/>
      <c r="I774" s="80"/>
      <c r="J774" s="79"/>
      <c r="K774" s="80"/>
      <c r="L774" s="80"/>
    </row>
    <row r="775" ht="18" customHeight="1" spans="1:12">
      <c r="A775" s="87" t="str">
        <f t="shared" si="12"/>
        <v/>
      </c>
      <c r="B775" s="78"/>
      <c r="C775" s="79"/>
      <c r="D775" s="80"/>
      <c r="E775" s="79"/>
      <c r="F775" s="88"/>
      <c r="G775" s="88"/>
      <c r="H775" s="80"/>
      <c r="I775" s="80"/>
      <c r="J775" s="79"/>
      <c r="K775" s="80"/>
      <c r="L775" s="80"/>
    </row>
    <row r="776" ht="18" customHeight="1" spans="1:12">
      <c r="A776" s="87" t="str">
        <f t="shared" si="12"/>
        <v/>
      </c>
      <c r="B776" s="78"/>
      <c r="C776" s="79"/>
      <c r="D776" s="80"/>
      <c r="E776" s="79"/>
      <c r="F776" s="88"/>
      <c r="G776" s="88"/>
      <c r="H776" s="80"/>
      <c r="I776" s="80"/>
      <c r="J776" s="79"/>
      <c r="K776" s="80"/>
      <c r="L776" s="80"/>
    </row>
    <row r="777" ht="18" customHeight="1" spans="1:12">
      <c r="A777" s="87" t="str">
        <f t="shared" si="12"/>
        <v/>
      </c>
      <c r="B777" s="78"/>
      <c r="C777" s="79"/>
      <c r="D777" s="80"/>
      <c r="E777" s="79"/>
      <c r="F777" s="88"/>
      <c r="G777" s="88"/>
      <c r="H777" s="80"/>
      <c r="I777" s="80"/>
      <c r="J777" s="79"/>
      <c r="K777" s="80"/>
      <c r="L777" s="80"/>
    </row>
    <row r="778" ht="18" customHeight="1" spans="1:12">
      <c r="A778" s="87" t="str">
        <f t="shared" si="12"/>
        <v/>
      </c>
      <c r="B778" s="78"/>
      <c r="C778" s="79"/>
      <c r="D778" s="80"/>
      <c r="E778" s="79"/>
      <c r="F778" s="88"/>
      <c r="G778" s="88"/>
      <c r="H778" s="80"/>
      <c r="I778" s="80"/>
      <c r="J778" s="79"/>
      <c r="K778" s="80"/>
      <c r="L778" s="80"/>
    </row>
    <row r="779" ht="18" customHeight="1" spans="1:12">
      <c r="A779" s="87" t="str">
        <f t="shared" si="12"/>
        <v/>
      </c>
      <c r="B779" s="78"/>
      <c r="C779" s="79"/>
      <c r="D779" s="80"/>
      <c r="E779" s="79"/>
      <c r="F779" s="88"/>
      <c r="G779" s="88"/>
      <c r="H779" s="80"/>
      <c r="I779" s="80"/>
      <c r="J779" s="79"/>
      <c r="K779" s="80"/>
      <c r="L779" s="80"/>
    </row>
    <row r="780" ht="18" customHeight="1" spans="1:12">
      <c r="A780" s="87" t="str">
        <f t="shared" si="12"/>
        <v/>
      </c>
      <c r="B780" s="78"/>
      <c r="C780" s="79"/>
      <c r="D780" s="80"/>
      <c r="E780" s="79"/>
      <c r="F780" s="88"/>
      <c r="G780" s="88"/>
      <c r="H780" s="80"/>
      <c r="I780" s="80"/>
      <c r="J780" s="79"/>
      <c r="K780" s="80"/>
      <c r="L780" s="80"/>
    </row>
    <row r="781" ht="18" customHeight="1" spans="1:12">
      <c r="A781" s="87" t="str">
        <f t="shared" si="12"/>
        <v/>
      </c>
      <c r="B781" s="78"/>
      <c r="C781" s="79"/>
      <c r="D781" s="80"/>
      <c r="E781" s="79"/>
      <c r="F781" s="88"/>
      <c r="G781" s="88"/>
      <c r="H781" s="80"/>
      <c r="I781" s="80"/>
      <c r="J781" s="79"/>
      <c r="K781" s="80"/>
      <c r="L781" s="80"/>
    </row>
    <row r="782" ht="18" customHeight="1" spans="1:12">
      <c r="A782" s="87" t="str">
        <f t="shared" si="12"/>
        <v/>
      </c>
      <c r="B782" s="78"/>
      <c r="C782" s="79"/>
      <c r="D782" s="80"/>
      <c r="E782" s="79"/>
      <c r="F782" s="88"/>
      <c r="G782" s="88"/>
      <c r="H782" s="80"/>
      <c r="I782" s="80"/>
      <c r="J782" s="79"/>
      <c r="K782" s="80"/>
      <c r="L782" s="80"/>
    </row>
    <row r="783" ht="18" customHeight="1" spans="1:12">
      <c r="A783" s="87" t="str">
        <f t="shared" si="12"/>
        <v/>
      </c>
      <c r="B783" s="78"/>
      <c r="C783" s="79"/>
      <c r="D783" s="80"/>
      <c r="E783" s="79"/>
      <c r="F783" s="88"/>
      <c r="G783" s="88"/>
      <c r="H783" s="80"/>
      <c r="I783" s="80"/>
      <c r="J783" s="79"/>
      <c r="K783" s="80"/>
      <c r="L783" s="80"/>
    </row>
    <row r="784" ht="18" customHeight="1" spans="1:12">
      <c r="A784" s="87" t="str">
        <f t="shared" si="12"/>
        <v/>
      </c>
      <c r="B784" s="78"/>
      <c r="C784" s="79"/>
      <c r="D784" s="80"/>
      <c r="E784" s="79"/>
      <c r="F784" s="88"/>
      <c r="G784" s="88"/>
      <c r="H784" s="80"/>
      <c r="I784" s="80"/>
      <c r="J784" s="79"/>
      <c r="K784" s="80"/>
      <c r="L784" s="80"/>
    </row>
    <row r="785" ht="18" customHeight="1" spans="1:12">
      <c r="A785" s="87" t="str">
        <f t="shared" si="12"/>
        <v/>
      </c>
      <c r="B785" s="78"/>
      <c r="C785" s="79"/>
      <c r="D785" s="80"/>
      <c r="E785" s="79"/>
      <c r="F785" s="88"/>
      <c r="G785" s="88"/>
      <c r="H785" s="80"/>
      <c r="I785" s="80"/>
      <c r="J785" s="79"/>
      <c r="K785" s="80"/>
      <c r="L785" s="80"/>
    </row>
    <row r="786" ht="18" customHeight="1" spans="1:12">
      <c r="A786" s="87" t="str">
        <f t="shared" si="12"/>
        <v/>
      </c>
      <c r="B786" s="78"/>
      <c r="C786" s="79"/>
      <c r="D786" s="80"/>
      <c r="E786" s="79"/>
      <c r="F786" s="88"/>
      <c r="G786" s="88"/>
      <c r="H786" s="80"/>
      <c r="I786" s="80"/>
      <c r="J786" s="79"/>
      <c r="K786" s="80"/>
      <c r="L786" s="80"/>
    </row>
    <row r="787" ht="18" customHeight="1" spans="1:12">
      <c r="A787" s="87" t="str">
        <f t="shared" si="12"/>
        <v/>
      </c>
      <c r="B787" s="78"/>
      <c r="C787" s="79"/>
      <c r="D787" s="80"/>
      <c r="E787" s="79"/>
      <c r="F787" s="88"/>
      <c r="G787" s="88"/>
      <c r="H787" s="80"/>
      <c r="I787" s="80"/>
      <c r="J787" s="79"/>
      <c r="K787" s="80"/>
      <c r="L787" s="80"/>
    </row>
    <row r="788" ht="18" customHeight="1" spans="1:12">
      <c r="A788" s="87" t="str">
        <f t="shared" si="12"/>
        <v/>
      </c>
      <c r="B788" s="78"/>
      <c r="C788" s="79"/>
      <c r="D788" s="80"/>
      <c r="E788" s="79"/>
      <c r="F788" s="88"/>
      <c r="G788" s="88"/>
      <c r="H788" s="80"/>
      <c r="I788" s="80"/>
      <c r="J788" s="79"/>
      <c r="K788" s="80"/>
      <c r="L788" s="80"/>
    </row>
    <row r="789" ht="18" customHeight="1" spans="1:12">
      <c r="A789" s="87" t="str">
        <f t="shared" si="12"/>
        <v/>
      </c>
      <c r="B789" s="78"/>
      <c r="C789" s="79"/>
      <c r="D789" s="80"/>
      <c r="E789" s="79"/>
      <c r="F789" s="88"/>
      <c r="G789" s="88"/>
      <c r="H789" s="80"/>
      <c r="I789" s="80"/>
      <c r="J789" s="79"/>
      <c r="K789" s="80"/>
      <c r="L789" s="80"/>
    </row>
    <row r="790" ht="18" customHeight="1" spans="1:12">
      <c r="A790" s="87" t="str">
        <f t="shared" si="12"/>
        <v/>
      </c>
      <c r="B790" s="78"/>
      <c r="C790" s="79"/>
      <c r="D790" s="80"/>
      <c r="E790" s="79"/>
      <c r="F790" s="88"/>
      <c r="G790" s="88"/>
      <c r="H790" s="80"/>
      <c r="I790" s="80"/>
      <c r="J790" s="79"/>
      <c r="K790" s="80"/>
      <c r="L790" s="80"/>
    </row>
    <row r="791" ht="18" customHeight="1" spans="1:12">
      <c r="A791" s="87" t="str">
        <f t="shared" si="12"/>
        <v/>
      </c>
      <c r="B791" s="78"/>
      <c r="C791" s="79"/>
      <c r="D791" s="80"/>
      <c r="E791" s="79"/>
      <c r="F791" s="88"/>
      <c r="G791" s="88"/>
      <c r="H791" s="80"/>
      <c r="I791" s="80"/>
      <c r="J791" s="79"/>
      <c r="K791" s="80"/>
      <c r="L791" s="80"/>
    </row>
    <row r="792" ht="18" customHeight="1" spans="1:12">
      <c r="A792" s="87" t="str">
        <f t="shared" si="12"/>
        <v/>
      </c>
      <c r="B792" s="78"/>
      <c r="C792" s="79"/>
      <c r="D792" s="80"/>
      <c r="E792" s="79"/>
      <c r="F792" s="88"/>
      <c r="G792" s="88"/>
      <c r="H792" s="80"/>
      <c r="I792" s="80"/>
      <c r="J792" s="79"/>
      <c r="K792" s="80"/>
      <c r="L792" s="80"/>
    </row>
    <row r="793" ht="18" customHeight="1" spans="1:12">
      <c r="A793" s="87" t="str">
        <f t="shared" si="12"/>
        <v/>
      </c>
      <c r="B793" s="78"/>
      <c r="C793" s="79"/>
      <c r="D793" s="80"/>
      <c r="E793" s="79"/>
      <c r="F793" s="88"/>
      <c r="G793" s="88"/>
      <c r="H793" s="80"/>
      <c r="I793" s="80"/>
      <c r="J793" s="79"/>
      <c r="K793" s="80"/>
      <c r="L793" s="80"/>
    </row>
    <row r="794" ht="18" customHeight="1" spans="1:12">
      <c r="A794" s="87" t="str">
        <f t="shared" si="12"/>
        <v/>
      </c>
      <c r="B794" s="78"/>
      <c r="C794" s="79"/>
      <c r="D794" s="80"/>
      <c r="E794" s="79"/>
      <c r="F794" s="88"/>
      <c r="G794" s="88"/>
      <c r="H794" s="80"/>
      <c r="I794" s="80"/>
      <c r="J794" s="79"/>
      <c r="K794" s="80"/>
      <c r="L794" s="80"/>
    </row>
    <row r="795" ht="18" customHeight="1" spans="1:12">
      <c r="A795" s="87" t="str">
        <f t="shared" si="12"/>
        <v/>
      </c>
      <c r="B795" s="78"/>
      <c r="C795" s="79"/>
      <c r="D795" s="80"/>
      <c r="E795" s="79"/>
      <c r="F795" s="88"/>
      <c r="G795" s="88"/>
      <c r="H795" s="80"/>
      <c r="I795" s="80"/>
      <c r="J795" s="79"/>
      <c r="K795" s="80"/>
      <c r="L795" s="80"/>
    </row>
    <row r="796" ht="18" customHeight="1" spans="1:12">
      <c r="A796" s="87" t="str">
        <f t="shared" si="12"/>
        <v/>
      </c>
      <c r="B796" s="78"/>
      <c r="C796" s="79"/>
      <c r="D796" s="80"/>
      <c r="E796" s="79"/>
      <c r="F796" s="88"/>
      <c r="G796" s="88"/>
      <c r="H796" s="80"/>
      <c r="I796" s="80"/>
      <c r="J796" s="79"/>
      <c r="K796" s="80"/>
      <c r="L796" s="80"/>
    </row>
    <row r="797" ht="18" customHeight="1" spans="1:12">
      <c r="A797" s="87" t="str">
        <f t="shared" si="12"/>
        <v/>
      </c>
      <c r="B797" s="78"/>
      <c r="C797" s="79"/>
      <c r="D797" s="80"/>
      <c r="E797" s="79"/>
      <c r="F797" s="88"/>
      <c r="G797" s="88"/>
      <c r="H797" s="80"/>
      <c r="I797" s="80"/>
      <c r="J797" s="79"/>
      <c r="K797" s="80"/>
      <c r="L797" s="80"/>
    </row>
    <row r="798" ht="18" customHeight="1" spans="1:12">
      <c r="A798" s="87" t="str">
        <f t="shared" si="12"/>
        <v/>
      </c>
      <c r="B798" s="78"/>
      <c r="C798" s="79"/>
      <c r="D798" s="80"/>
      <c r="E798" s="79"/>
      <c r="F798" s="88"/>
      <c r="G798" s="88"/>
      <c r="H798" s="80"/>
      <c r="I798" s="80"/>
      <c r="J798" s="79"/>
      <c r="K798" s="80"/>
      <c r="L798" s="80"/>
    </row>
    <row r="799" ht="18" customHeight="1" spans="1:12">
      <c r="A799" s="87" t="str">
        <f t="shared" si="12"/>
        <v/>
      </c>
      <c r="B799" s="78"/>
      <c r="C799" s="79"/>
      <c r="D799" s="80"/>
      <c r="E799" s="79"/>
      <c r="F799" s="88"/>
      <c r="G799" s="88"/>
      <c r="H799" s="80"/>
      <c r="I799" s="80"/>
      <c r="J799" s="79"/>
      <c r="K799" s="80"/>
      <c r="L799" s="80"/>
    </row>
    <row r="800" ht="18" customHeight="1" spans="1:12">
      <c r="A800" s="87" t="str">
        <f t="shared" si="12"/>
        <v/>
      </c>
      <c r="B800" s="78"/>
      <c r="C800" s="79"/>
      <c r="D800" s="80"/>
      <c r="E800" s="79"/>
      <c r="F800" s="88"/>
      <c r="G800" s="88"/>
      <c r="H800" s="80"/>
      <c r="I800" s="80"/>
      <c r="J800" s="79"/>
      <c r="K800" s="80"/>
      <c r="L800" s="80"/>
    </row>
    <row r="801" ht="18" customHeight="1" spans="1:12">
      <c r="A801" s="87" t="str">
        <f t="shared" si="12"/>
        <v/>
      </c>
      <c r="B801" s="78"/>
      <c r="C801" s="79"/>
      <c r="D801" s="80"/>
      <c r="E801" s="79"/>
      <c r="F801" s="88"/>
      <c r="G801" s="88"/>
      <c r="H801" s="80"/>
      <c r="I801" s="80"/>
      <c r="J801" s="79"/>
      <c r="K801" s="80"/>
      <c r="L801" s="80"/>
    </row>
    <row r="802" ht="18" customHeight="1" spans="1:12">
      <c r="A802" s="87" t="str">
        <f t="shared" si="12"/>
        <v/>
      </c>
      <c r="B802" s="78"/>
      <c r="C802" s="79"/>
      <c r="D802" s="80"/>
      <c r="E802" s="79"/>
      <c r="F802" s="88"/>
      <c r="G802" s="88"/>
      <c r="H802" s="80"/>
      <c r="I802" s="80"/>
      <c r="J802" s="79"/>
      <c r="K802" s="80"/>
      <c r="L802" s="80"/>
    </row>
    <row r="803" ht="18" customHeight="1" spans="1:12">
      <c r="A803" s="87" t="str">
        <f t="shared" si="12"/>
        <v/>
      </c>
      <c r="B803" s="78"/>
      <c r="C803" s="79"/>
      <c r="D803" s="80"/>
      <c r="E803" s="79"/>
      <c r="F803" s="88"/>
      <c r="G803" s="88"/>
      <c r="H803" s="80"/>
      <c r="I803" s="80"/>
      <c r="J803" s="79"/>
      <c r="K803" s="80"/>
      <c r="L803" s="80"/>
    </row>
    <row r="804" ht="18" customHeight="1" spans="1:12">
      <c r="A804" s="87" t="str">
        <f t="shared" si="12"/>
        <v/>
      </c>
      <c r="B804" s="78"/>
      <c r="C804" s="79"/>
      <c r="D804" s="80"/>
      <c r="E804" s="79"/>
      <c r="F804" s="88"/>
      <c r="G804" s="88"/>
      <c r="H804" s="80"/>
      <c r="I804" s="80"/>
      <c r="J804" s="79"/>
      <c r="K804" s="80"/>
      <c r="L804" s="80"/>
    </row>
    <row r="805" ht="18" customHeight="1" spans="1:12">
      <c r="A805" s="87" t="str">
        <f t="shared" si="12"/>
        <v/>
      </c>
      <c r="B805" s="78"/>
      <c r="C805" s="79"/>
      <c r="D805" s="80"/>
      <c r="E805" s="79"/>
      <c r="F805" s="88"/>
      <c r="G805" s="88"/>
      <c r="H805" s="80"/>
      <c r="I805" s="80"/>
      <c r="J805" s="79"/>
      <c r="K805" s="80"/>
      <c r="L805" s="80"/>
    </row>
    <row r="806" ht="18" customHeight="1" spans="1:12">
      <c r="A806" s="87" t="str">
        <f t="shared" si="12"/>
        <v/>
      </c>
      <c r="B806" s="78"/>
      <c r="C806" s="79"/>
      <c r="D806" s="80"/>
      <c r="E806" s="79"/>
      <c r="F806" s="88"/>
      <c r="G806" s="88"/>
      <c r="H806" s="80"/>
      <c r="I806" s="80"/>
      <c r="J806" s="79"/>
      <c r="K806" s="80"/>
      <c r="L806" s="80"/>
    </row>
    <row r="807" ht="18" customHeight="1" spans="1:12">
      <c r="A807" s="87" t="str">
        <f t="shared" si="12"/>
        <v/>
      </c>
      <c r="B807" s="78"/>
      <c r="C807" s="79"/>
      <c r="D807" s="80"/>
      <c r="E807" s="79"/>
      <c r="F807" s="88"/>
      <c r="G807" s="88"/>
      <c r="H807" s="80"/>
      <c r="I807" s="80"/>
      <c r="J807" s="79"/>
      <c r="K807" s="80"/>
      <c r="L807" s="80"/>
    </row>
    <row r="808" ht="18" customHeight="1" spans="1:12">
      <c r="A808" s="87" t="str">
        <f t="shared" si="12"/>
        <v/>
      </c>
      <c r="B808" s="78"/>
      <c r="C808" s="79"/>
      <c r="D808" s="80"/>
      <c r="E808" s="79"/>
      <c r="F808" s="88"/>
      <c r="G808" s="88"/>
      <c r="H808" s="80"/>
      <c r="I808" s="80"/>
      <c r="J808" s="79"/>
      <c r="K808" s="80"/>
      <c r="L808" s="80"/>
    </row>
    <row r="809" ht="18" customHeight="1" spans="1:12">
      <c r="A809" s="87" t="str">
        <f t="shared" si="12"/>
        <v/>
      </c>
      <c r="B809" s="78"/>
      <c r="C809" s="79"/>
      <c r="D809" s="80"/>
      <c r="E809" s="79"/>
      <c r="F809" s="88"/>
      <c r="G809" s="88"/>
      <c r="H809" s="80"/>
      <c r="I809" s="80"/>
      <c r="J809" s="79"/>
      <c r="K809" s="80"/>
      <c r="L809" s="80"/>
    </row>
    <row r="810" ht="18" customHeight="1" spans="1:12">
      <c r="A810" s="87" t="str">
        <f t="shared" si="12"/>
        <v/>
      </c>
      <c r="B810" s="78"/>
      <c r="C810" s="79"/>
      <c r="D810" s="80"/>
      <c r="E810" s="79"/>
      <c r="F810" s="88"/>
      <c r="G810" s="88"/>
      <c r="H810" s="80"/>
      <c r="I810" s="80"/>
      <c r="J810" s="79"/>
      <c r="K810" s="80"/>
      <c r="L810" s="80"/>
    </row>
    <row r="811" ht="18" customHeight="1" spans="1:12">
      <c r="A811" s="87" t="str">
        <f t="shared" si="12"/>
        <v/>
      </c>
      <c r="B811" s="78"/>
      <c r="C811" s="79"/>
      <c r="D811" s="80"/>
      <c r="E811" s="79"/>
      <c r="F811" s="88"/>
      <c r="G811" s="88"/>
      <c r="H811" s="80"/>
      <c r="I811" s="80"/>
      <c r="J811" s="79"/>
      <c r="K811" s="80"/>
      <c r="L811" s="80"/>
    </row>
    <row r="812" ht="18" customHeight="1" spans="1:12">
      <c r="A812" s="87" t="str">
        <f t="shared" si="12"/>
        <v/>
      </c>
      <c r="B812" s="78"/>
      <c r="C812" s="79"/>
      <c r="D812" s="80"/>
      <c r="E812" s="79"/>
      <c r="F812" s="88"/>
      <c r="G812" s="88"/>
      <c r="H812" s="80"/>
      <c r="I812" s="80"/>
      <c r="J812" s="79"/>
      <c r="K812" s="80"/>
      <c r="L812" s="80"/>
    </row>
    <row r="813" ht="18" customHeight="1" spans="1:12">
      <c r="A813" s="87" t="str">
        <f t="shared" si="12"/>
        <v/>
      </c>
      <c r="B813" s="78"/>
      <c r="C813" s="79"/>
      <c r="D813" s="80"/>
      <c r="E813" s="79"/>
      <c r="F813" s="88"/>
      <c r="G813" s="88"/>
      <c r="H813" s="80"/>
      <c r="I813" s="80"/>
      <c r="J813" s="79"/>
      <c r="K813" s="80"/>
      <c r="L813" s="80"/>
    </row>
    <row r="814" ht="18" customHeight="1" spans="1:12">
      <c r="A814" s="87" t="str">
        <f t="shared" si="12"/>
        <v/>
      </c>
      <c r="B814" s="78"/>
      <c r="C814" s="79"/>
      <c r="D814" s="80"/>
      <c r="E814" s="79"/>
      <c r="F814" s="88"/>
      <c r="G814" s="88"/>
      <c r="H814" s="80"/>
      <c r="I814" s="80"/>
      <c r="J814" s="79"/>
      <c r="K814" s="80"/>
      <c r="L814" s="80"/>
    </row>
    <row r="815" ht="18" customHeight="1" spans="1:12">
      <c r="A815" s="87" t="str">
        <f t="shared" si="12"/>
        <v/>
      </c>
      <c r="B815" s="78"/>
      <c r="C815" s="79"/>
      <c r="D815" s="80"/>
      <c r="E815" s="79"/>
      <c r="F815" s="88"/>
      <c r="G815" s="88"/>
      <c r="H815" s="80"/>
      <c r="I815" s="80"/>
      <c r="J815" s="79"/>
      <c r="K815" s="80"/>
      <c r="L815" s="80"/>
    </row>
    <row r="816" ht="18" customHeight="1" spans="1:12">
      <c r="A816" s="87" t="str">
        <f t="shared" si="12"/>
        <v/>
      </c>
      <c r="B816" s="78"/>
      <c r="C816" s="79"/>
      <c r="D816" s="80"/>
      <c r="E816" s="79"/>
      <c r="F816" s="88"/>
      <c r="G816" s="88"/>
      <c r="H816" s="80"/>
      <c r="I816" s="80"/>
      <c r="J816" s="79"/>
      <c r="K816" s="80"/>
      <c r="L816" s="80"/>
    </row>
    <row r="817" ht="18" customHeight="1" spans="1:12">
      <c r="A817" s="87" t="str">
        <f t="shared" si="12"/>
        <v/>
      </c>
      <c r="B817" s="78"/>
      <c r="C817" s="79"/>
      <c r="D817" s="80"/>
      <c r="E817" s="79"/>
      <c r="F817" s="88"/>
      <c r="G817" s="88"/>
      <c r="H817" s="80"/>
      <c r="I817" s="80"/>
      <c r="J817" s="79"/>
      <c r="K817" s="80"/>
      <c r="L817" s="80"/>
    </row>
    <row r="818" ht="18" customHeight="1" spans="1:12">
      <c r="A818" s="87" t="str">
        <f t="shared" si="12"/>
        <v/>
      </c>
      <c r="B818" s="78"/>
      <c r="C818" s="79"/>
      <c r="D818" s="80"/>
      <c r="E818" s="79"/>
      <c r="F818" s="88"/>
      <c r="G818" s="88"/>
      <c r="H818" s="80"/>
      <c r="I818" s="80"/>
      <c r="J818" s="79"/>
      <c r="K818" s="80"/>
      <c r="L818" s="80"/>
    </row>
    <row r="819" ht="18" customHeight="1" spans="1:12">
      <c r="A819" s="87" t="str">
        <f t="shared" si="12"/>
        <v/>
      </c>
      <c r="B819" s="78"/>
      <c r="C819" s="79"/>
      <c r="D819" s="80"/>
      <c r="E819" s="79"/>
      <c r="F819" s="88"/>
      <c r="G819" s="88"/>
      <c r="H819" s="80"/>
      <c r="I819" s="80"/>
      <c r="J819" s="79"/>
      <c r="K819" s="80"/>
      <c r="L819" s="80"/>
    </row>
    <row r="820" ht="18" customHeight="1" spans="1:12">
      <c r="A820" s="87" t="str">
        <f t="shared" si="12"/>
        <v/>
      </c>
      <c r="B820" s="78"/>
      <c r="C820" s="79"/>
      <c r="D820" s="80"/>
      <c r="E820" s="79"/>
      <c r="F820" s="88"/>
      <c r="G820" s="88"/>
      <c r="H820" s="80"/>
      <c r="I820" s="80"/>
      <c r="J820" s="79"/>
      <c r="K820" s="80"/>
      <c r="L820" s="80"/>
    </row>
    <row r="821" ht="18" customHeight="1" spans="1:12">
      <c r="A821" s="87" t="str">
        <f t="shared" si="12"/>
        <v/>
      </c>
      <c r="B821" s="78"/>
      <c r="C821" s="79"/>
      <c r="D821" s="80"/>
      <c r="E821" s="79"/>
      <c r="F821" s="88"/>
      <c r="G821" s="88"/>
      <c r="H821" s="80"/>
      <c r="I821" s="80"/>
      <c r="J821" s="79"/>
      <c r="K821" s="80"/>
      <c r="L821" s="80"/>
    </row>
    <row r="822" ht="18" customHeight="1" spans="1:12">
      <c r="A822" s="87" t="str">
        <f t="shared" si="12"/>
        <v/>
      </c>
      <c r="B822" s="78"/>
      <c r="C822" s="79"/>
      <c r="D822" s="80"/>
      <c r="E822" s="79"/>
      <c r="F822" s="88"/>
      <c r="G822" s="88"/>
      <c r="H822" s="80"/>
      <c r="I822" s="80"/>
      <c r="J822" s="79"/>
      <c r="K822" s="80"/>
      <c r="L822" s="80"/>
    </row>
    <row r="823" ht="18" customHeight="1" spans="1:12">
      <c r="A823" s="87" t="str">
        <f t="shared" si="12"/>
        <v/>
      </c>
      <c r="B823" s="78"/>
      <c r="C823" s="79"/>
      <c r="D823" s="80"/>
      <c r="E823" s="79"/>
      <c r="F823" s="88"/>
      <c r="G823" s="88"/>
      <c r="H823" s="80"/>
      <c r="I823" s="80"/>
      <c r="J823" s="79"/>
      <c r="K823" s="80"/>
      <c r="L823" s="80"/>
    </row>
    <row r="824" ht="18" customHeight="1" spans="1:12">
      <c r="A824" s="87" t="str">
        <f t="shared" si="12"/>
        <v/>
      </c>
      <c r="B824" s="78"/>
      <c r="C824" s="79"/>
      <c r="D824" s="80"/>
      <c r="E824" s="79"/>
      <c r="F824" s="88"/>
      <c r="G824" s="88"/>
      <c r="H824" s="80"/>
      <c r="I824" s="80"/>
      <c r="J824" s="79"/>
      <c r="K824" s="80"/>
      <c r="L824" s="80"/>
    </row>
    <row r="825" ht="18" customHeight="1" spans="1:12">
      <c r="A825" s="87" t="str">
        <f t="shared" si="12"/>
        <v/>
      </c>
      <c r="B825" s="78"/>
      <c r="C825" s="79"/>
      <c r="D825" s="80"/>
      <c r="E825" s="79"/>
      <c r="F825" s="88"/>
      <c r="G825" s="88"/>
      <c r="H825" s="80"/>
      <c r="I825" s="80"/>
      <c r="J825" s="79"/>
      <c r="K825" s="80"/>
      <c r="L825" s="80"/>
    </row>
    <row r="826" ht="18" customHeight="1" spans="1:12">
      <c r="A826" s="87" t="str">
        <f t="shared" si="12"/>
        <v/>
      </c>
      <c r="B826" s="78"/>
      <c r="C826" s="79"/>
      <c r="D826" s="80"/>
      <c r="E826" s="79"/>
      <c r="F826" s="88"/>
      <c r="G826" s="88"/>
      <c r="H826" s="80"/>
      <c r="I826" s="80"/>
      <c r="J826" s="79"/>
      <c r="K826" s="80"/>
      <c r="L826" s="80"/>
    </row>
    <row r="827" ht="18" customHeight="1" spans="1:12">
      <c r="A827" s="87" t="str">
        <f t="shared" si="12"/>
        <v/>
      </c>
      <c r="B827" s="78"/>
      <c r="C827" s="79"/>
      <c r="D827" s="80"/>
      <c r="E827" s="79"/>
      <c r="F827" s="88"/>
      <c r="G827" s="88"/>
      <c r="H827" s="80"/>
      <c r="I827" s="80"/>
      <c r="J827" s="79"/>
      <c r="K827" s="80"/>
      <c r="L827" s="80"/>
    </row>
    <row r="828" ht="18" customHeight="1" spans="1:12">
      <c r="A828" s="87" t="str">
        <f t="shared" si="12"/>
        <v/>
      </c>
      <c r="B828" s="78"/>
      <c r="C828" s="79"/>
      <c r="D828" s="80"/>
      <c r="E828" s="79"/>
      <c r="F828" s="88"/>
      <c r="G828" s="88"/>
      <c r="H828" s="80"/>
      <c r="I828" s="80"/>
      <c r="J828" s="79"/>
      <c r="K828" s="80"/>
      <c r="L828" s="80"/>
    </row>
    <row r="829" ht="18" customHeight="1" spans="1:12">
      <c r="A829" s="87" t="str">
        <f t="shared" si="12"/>
        <v/>
      </c>
      <c r="B829" s="78"/>
      <c r="C829" s="79"/>
      <c r="D829" s="80"/>
      <c r="E829" s="79"/>
      <c r="F829" s="88"/>
      <c r="G829" s="88"/>
      <c r="H829" s="80"/>
      <c r="I829" s="80"/>
      <c r="J829" s="79"/>
      <c r="K829" s="80"/>
      <c r="L829" s="80"/>
    </row>
    <row r="830" ht="18" customHeight="1" spans="1:12">
      <c r="A830" s="87" t="str">
        <f t="shared" si="12"/>
        <v/>
      </c>
      <c r="B830" s="78"/>
      <c r="C830" s="79"/>
      <c r="D830" s="80"/>
      <c r="E830" s="79"/>
      <c r="F830" s="88"/>
      <c r="G830" s="88"/>
      <c r="H830" s="80"/>
      <c r="I830" s="80"/>
      <c r="J830" s="79"/>
      <c r="K830" s="80"/>
      <c r="L830" s="80"/>
    </row>
    <row r="831" ht="18" customHeight="1" spans="1:12">
      <c r="A831" s="87" t="str">
        <f t="shared" si="12"/>
        <v/>
      </c>
      <c r="B831" s="78"/>
      <c r="C831" s="79"/>
      <c r="D831" s="80"/>
      <c r="E831" s="79"/>
      <c r="F831" s="88"/>
      <c r="G831" s="88"/>
      <c r="H831" s="80"/>
      <c r="I831" s="80"/>
      <c r="J831" s="79"/>
      <c r="K831" s="80"/>
      <c r="L831" s="80"/>
    </row>
    <row r="832" ht="18" customHeight="1" spans="1:12">
      <c r="A832" s="87" t="str">
        <f t="shared" si="12"/>
        <v/>
      </c>
      <c r="B832" s="78"/>
      <c r="C832" s="79"/>
      <c r="D832" s="80"/>
      <c r="E832" s="79"/>
      <c r="F832" s="88"/>
      <c r="G832" s="88"/>
      <c r="H832" s="80"/>
      <c r="I832" s="80"/>
      <c r="J832" s="79"/>
      <c r="K832" s="80"/>
      <c r="L832" s="80"/>
    </row>
    <row r="833" ht="18" customHeight="1" spans="1:12">
      <c r="A833" s="87" t="str">
        <f t="shared" si="12"/>
        <v/>
      </c>
      <c r="B833" s="78"/>
      <c r="C833" s="79"/>
      <c r="D833" s="80"/>
      <c r="E833" s="79"/>
      <c r="F833" s="88"/>
      <c r="G833" s="88"/>
      <c r="H833" s="80"/>
      <c r="I833" s="80"/>
      <c r="J833" s="79"/>
      <c r="K833" s="80"/>
      <c r="L833" s="80"/>
    </row>
    <row r="834" ht="18" customHeight="1" spans="1:12">
      <c r="A834" s="87" t="str">
        <f t="shared" si="12"/>
        <v/>
      </c>
      <c r="B834" s="78"/>
      <c r="C834" s="79"/>
      <c r="D834" s="80"/>
      <c r="E834" s="79"/>
      <c r="F834" s="88"/>
      <c r="G834" s="88"/>
      <c r="H834" s="80"/>
      <c r="I834" s="80"/>
      <c r="J834" s="79"/>
      <c r="K834" s="80"/>
      <c r="L834" s="80"/>
    </row>
    <row r="835" ht="18" customHeight="1" spans="1:12">
      <c r="A835" s="87" t="str">
        <f t="shared" si="12"/>
        <v/>
      </c>
      <c r="B835" s="78"/>
      <c r="C835" s="79"/>
      <c r="D835" s="80"/>
      <c r="E835" s="79"/>
      <c r="F835" s="88"/>
      <c r="G835" s="88"/>
      <c r="H835" s="80"/>
      <c r="I835" s="80"/>
      <c r="J835" s="79"/>
      <c r="K835" s="80"/>
      <c r="L835" s="80"/>
    </row>
    <row r="836" ht="18" customHeight="1" spans="1:12">
      <c r="A836" s="87" t="str">
        <f t="shared" ref="A836:A899" si="13">IF($C836="","",ROW()-3)</f>
        <v/>
      </c>
      <c r="B836" s="78"/>
      <c r="C836" s="79"/>
      <c r="D836" s="80"/>
      <c r="E836" s="79"/>
      <c r="F836" s="88"/>
      <c r="G836" s="88"/>
      <c r="H836" s="80"/>
      <c r="I836" s="80"/>
      <c r="J836" s="79"/>
      <c r="K836" s="80"/>
      <c r="L836" s="80"/>
    </row>
    <row r="837" ht="18" customHeight="1" spans="1:12">
      <c r="A837" s="87" t="str">
        <f t="shared" si="13"/>
        <v/>
      </c>
      <c r="B837" s="78"/>
      <c r="C837" s="79"/>
      <c r="D837" s="80"/>
      <c r="E837" s="79"/>
      <c r="F837" s="88"/>
      <c r="G837" s="88"/>
      <c r="H837" s="80"/>
      <c r="I837" s="80"/>
      <c r="J837" s="79"/>
      <c r="K837" s="80"/>
      <c r="L837" s="80"/>
    </row>
    <row r="838" ht="18" customHeight="1" spans="1:12">
      <c r="A838" s="87" t="str">
        <f t="shared" si="13"/>
        <v/>
      </c>
      <c r="B838" s="78"/>
      <c r="C838" s="79"/>
      <c r="D838" s="80"/>
      <c r="E838" s="79"/>
      <c r="F838" s="88"/>
      <c r="G838" s="88"/>
      <c r="H838" s="80"/>
      <c r="I838" s="80"/>
      <c r="J838" s="79"/>
      <c r="K838" s="80"/>
      <c r="L838" s="80"/>
    </row>
    <row r="839" ht="18" customHeight="1" spans="1:12">
      <c r="A839" s="87" t="str">
        <f t="shared" si="13"/>
        <v/>
      </c>
      <c r="B839" s="78"/>
      <c r="C839" s="79"/>
      <c r="D839" s="80"/>
      <c r="E839" s="79"/>
      <c r="F839" s="88"/>
      <c r="G839" s="88"/>
      <c r="H839" s="80"/>
      <c r="I839" s="80"/>
      <c r="J839" s="79"/>
      <c r="K839" s="80"/>
      <c r="L839" s="80"/>
    </row>
    <row r="840" ht="18" customHeight="1" spans="1:12">
      <c r="A840" s="87" t="str">
        <f t="shared" si="13"/>
        <v/>
      </c>
      <c r="B840" s="78"/>
      <c r="C840" s="79"/>
      <c r="D840" s="80"/>
      <c r="E840" s="79"/>
      <c r="F840" s="88"/>
      <c r="G840" s="88"/>
      <c r="H840" s="80"/>
      <c r="I840" s="80"/>
      <c r="J840" s="79"/>
      <c r="K840" s="80"/>
      <c r="L840" s="80"/>
    </row>
    <row r="841" ht="18" customHeight="1" spans="1:12">
      <c r="A841" s="87" t="str">
        <f t="shared" si="13"/>
        <v/>
      </c>
      <c r="B841" s="78"/>
      <c r="C841" s="79"/>
      <c r="D841" s="80"/>
      <c r="E841" s="79"/>
      <c r="F841" s="88"/>
      <c r="G841" s="88"/>
      <c r="H841" s="80"/>
      <c r="I841" s="80"/>
      <c r="J841" s="79"/>
      <c r="K841" s="80"/>
      <c r="L841" s="80"/>
    </row>
    <row r="842" ht="18" customHeight="1" spans="1:12">
      <c r="A842" s="87" t="str">
        <f t="shared" si="13"/>
        <v/>
      </c>
      <c r="B842" s="78"/>
      <c r="C842" s="79"/>
      <c r="D842" s="80"/>
      <c r="E842" s="79"/>
      <c r="F842" s="88"/>
      <c r="G842" s="88"/>
      <c r="H842" s="80"/>
      <c r="I842" s="80"/>
      <c r="J842" s="79"/>
      <c r="K842" s="80"/>
      <c r="L842" s="80"/>
    </row>
    <row r="843" ht="18" customHeight="1" spans="1:12">
      <c r="A843" s="87" t="str">
        <f t="shared" si="13"/>
        <v/>
      </c>
      <c r="B843" s="78"/>
      <c r="C843" s="79"/>
      <c r="D843" s="80"/>
      <c r="E843" s="79"/>
      <c r="F843" s="88"/>
      <c r="G843" s="88"/>
      <c r="H843" s="80"/>
      <c r="I843" s="80"/>
      <c r="J843" s="79"/>
      <c r="K843" s="80"/>
      <c r="L843" s="80"/>
    </row>
    <row r="844" ht="18" customHeight="1" spans="1:12">
      <c r="A844" s="87" t="str">
        <f t="shared" si="13"/>
        <v/>
      </c>
      <c r="B844" s="78"/>
      <c r="C844" s="79"/>
      <c r="D844" s="80"/>
      <c r="E844" s="79"/>
      <c r="F844" s="88"/>
      <c r="G844" s="88"/>
      <c r="H844" s="80"/>
      <c r="I844" s="80"/>
      <c r="J844" s="79"/>
      <c r="K844" s="80"/>
      <c r="L844" s="80"/>
    </row>
    <row r="845" ht="18" customHeight="1" spans="1:12">
      <c r="A845" s="87" t="str">
        <f t="shared" si="13"/>
        <v/>
      </c>
      <c r="B845" s="78"/>
      <c r="C845" s="79"/>
      <c r="D845" s="80"/>
      <c r="E845" s="79"/>
      <c r="F845" s="88"/>
      <c r="G845" s="88"/>
      <c r="H845" s="80"/>
      <c r="I845" s="80"/>
      <c r="J845" s="79"/>
      <c r="K845" s="80"/>
      <c r="L845" s="80"/>
    </row>
    <row r="846" ht="18" customHeight="1" spans="1:12">
      <c r="A846" s="87" t="str">
        <f t="shared" si="13"/>
        <v/>
      </c>
      <c r="B846" s="78"/>
      <c r="C846" s="79"/>
      <c r="D846" s="80"/>
      <c r="E846" s="79"/>
      <c r="F846" s="88"/>
      <c r="G846" s="88"/>
      <c r="H846" s="80"/>
      <c r="I846" s="80"/>
      <c r="J846" s="79"/>
      <c r="K846" s="80"/>
      <c r="L846" s="80"/>
    </row>
    <row r="847" ht="18" customHeight="1" spans="1:12">
      <c r="A847" s="87" t="str">
        <f t="shared" si="13"/>
        <v/>
      </c>
      <c r="B847" s="78"/>
      <c r="C847" s="79"/>
      <c r="D847" s="80"/>
      <c r="E847" s="79"/>
      <c r="F847" s="88"/>
      <c r="G847" s="88"/>
      <c r="H847" s="80"/>
      <c r="I847" s="80"/>
      <c r="J847" s="79"/>
      <c r="K847" s="80"/>
      <c r="L847" s="80"/>
    </row>
    <row r="848" ht="18" customHeight="1" spans="1:12">
      <c r="A848" s="87" t="str">
        <f t="shared" si="13"/>
        <v/>
      </c>
      <c r="B848" s="78"/>
      <c r="C848" s="79"/>
      <c r="D848" s="80"/>
      <c r="E848" s="79"/>
      <c r="F848" s="88"/>
      <c r="G848" s="88"/>
      <c r="H848" s="80"/>
      <c r="I848" s="80"/>
      <c r="J848" s="79"/>
      <c r="K848" s="80"/>
      <c r="L848" s="80"/>
    </row>
    <row r="849" ht="18" customHeight="1" spans="1:12">
      <c r="A849" s="87" t="str">
        <f t="shared" si="13"/>
        <v/>
      </c>
      <c r="B849" s="78"/>
      <c r="C849" s="79"/>
      <c r="D849" s="80"/>
      <c r="E849" s="79"/>
      <c r="F849" s="88"/>
      <c r="G849" s="88"/>
      <c r="H849" s="80"/>
      <c r="I849" s="80"/>
      <c r="J849" s="79"/>
      <c r="K849" s="80"/>
      <c r="L849" s="80"/>
    </row>
    <row r="850" ht="18" customHeight="1" spans="1:12">
      <c r="A850" s="87" t="str">
        <f t="shared" si="13"/>
        <v/>
      </c>
      <c r="B850" s="78"/>
      <c r="C850" s="79"/>
      <c r="D850" s="80"/>
      <c r="E850" s="79"/>
      <c r="F850" s="88"/>
      <c r="G850" s="88"/>
      <c r="H850" s="80"/>
      <c r="I850" s="80"/>
      <c r="J850" s="79"/>
      <c r="K850" s="80"/>
      <c r="L850" s="80"/>
    </row>
    <row r="851" ht="18" customHeight="1" spans="1:12">
      <c r="A851" s="87" t="str">
        <f t="shared" si="13"/>
        <v/>
      </c>
      <c r="B851" s="78"/>
      <c r="C851" s="79"/>
      <c r="D851" s="80"/>
      <c r="E851" s="79"/>
      <c r="F851" s="88"/>
      <c r="G851" s="88"/>
      <c r="H851" s="80"/>
      <c r="I851" s="80"/>
      <c r="J851" s="79"/>
      <c r="K851" s="80"/>
      <c r="L851" s="80"/>
    </row>
    <row r="852" ht="18" customHeight="1" spans="1:12">
      <c r="A852" s="87" t="str">
        <f t="shared" si="13"/>
        <v/>
      </c>
      <c r="B852" s="78"/>
      <c r="C852" s="79"/>
      <c r="D852" s="80"/>
      <c r="E852" s="79"/>
      <c r="F852" s="88"/>
      <c r="G852" s="88"/>
      <c r="H852" s="80"/>
      <c r="I852" s="80"/>
      <c r="J852" s="79"/>
      <c r="K852" s="80"/>
      <c r="L852" s="80"/>
    </row>
    <row r="853" ht="18" customHeight="1" spans="1:12">
      <c r="A853" s="87" t="str">
        <f t="shared" si="13"/>
        <v/>
      </c>
      <c r="B853" s="78"/>
      <c r="C853" s="79"/>
      <c r="D853" s="80"/>
      <c r="E853" s="79"/>
      <c r="F853" s="88"/>
      <c r="G853" s="88"/>
      <c r="H853" s="80"/>
      <c r="I853" s="80"/>
      <c r="J853" s="79"/>
      <c r="K853" s="80"/>
      <c r="L853" s="80"/>
    </row>
    <row r="854" ht="18" customHeight="1" spans="1:12">
      <c r="A854" s="87" t="str">
        <f t="shared" si="13"/>
        <v/>
      </c>
      <c r="B854" s="78"/>
      <c r="C854" s="79"/>
      <c r="D854" s="80"/>
      <c r="E854" s="79"/>
      <c r="F854" s="88"/>
      <c r="G854" s="88"/>
      <c r="H854" s="80"/>
      <c r="I854" s="80"/>
      <c r="J854" s="79"/>
      <c r="K854" s="80"/>
      <c r="L854" s="80"/>
    </row>
    <row r="855" ht="18" customHeight="1" spans="1:12">
      <c r="A855" s="87" t="str">
        <f t="shared" si="13"/>
        <v/>
      </c>
      <c r="B855" s="78"/>
      <c r="C855" s="79"/>
      <c r="D855" s="80"/>
      <c r="E855" s="79"/>
      <c r="F855" s="88"/>
      <c r="G855" s="88"/>
      <c r="H855" s="80"/>
      <c r="I855" s="80"/>
      <c r="J855" s="79"/>
      <c r="K855" s="80"/>
      <c r="L855" s="80"/>
    </row>
    <row r="856" ht="18" customHeight="1" spans="1:12">
      <c r="A856" s="87" t="str">
        <f t="shared" si="13"/>
        <v/>
      </c>
      <c r="B856" s="78"/>
      <c r="C856" s="79"/>
      <c r="D856" s="80"/>
      <c r="E856" s="79"/>
      <c r="F856" s="88"/>
      <c r="G856" s="88"/>
      <c r="H856" s="80"/>
      <c r="I856" s="80"/>
      <c r="J856" s="79"/>
      <c r="K856" s="80"/>
      <c r="L856" s="80"/>
    </row>
    <row r="857" ht="18" customHeight="1" spans="1:12">
      <c r="A857" s="87" t="str">
        <f t="shared" si="13"/>
        <v/>
      </c>
      <c r="B857" s="78"/>
      <c r="C857" s="79"/>
      <c r="D857" s="80"/>
      <c r="E857" s="79"/>
      <c r="F857" s="88"/>
      <c r="G857" s="88"/>
      <c r="H857" s="80"/>
      <c r="I857" s="80"/>
      <c r="J857" s="79"/>
      <c r="K857" s="80"/>
      <c r="L857" s="80"/>
    </row>
    <row r="858" ht="18" customHeight="1" spans="1:12">
      <c r="A858" s="87" t="str">
        <f t="shared" si="13"/>
        <v/>
      </c>
      <c r="B858" s="78"/>
      <c r="C858" s="79"/>
      <c r="D858" s="80"/>
      <c r="E858" s="79"/>
      <c r="F858" s="88"/>
      <c r="G858" s="88"/>
      <c r="H858" s="80"/>
      <c r="I858" s="80"/>
      <c r="J858" s="79"/>
      <c r="K858" s="80"/>
      <c r="L858" s="80"/>
    </row>
    <row r="859" ht="18" customHeight="1" spans="1:12">
      <c r="A859" s="87" t="str">
        <f t="shared" si="13"/>
        <v/>
      </c>
      <c r="B859" s="78"/>
      <c r="C859" s="79"/>
      <c r="D859" s="80"/>
      <c r="E859" s="79"/>
      <c r="F859" s="88"/>
      <c r="G859" s="88"/>
      <c r="H859" s="80"/>
      <c r="I859" s="80"/>
      <c r="J859" s="79"/>
      <c r="K859" s="80"/>
      <c r="L859" s="80"/>
    </row>
    <row r="860" ht="18" customHeight="1" spans="1:12">
      <c r="A860" s="87" t="str">
        <f t="shared" si="13"/>
        <v/>
      </c>
      <c r="B860" s="78"/>
      <c r="C860" s="79"/>
      <c r="D860" s="80"/>
      <c r="E860" s="79"/>
      <c r="F860" s="88"/>
      <c r="G860" s="88"/>
      <c r="H860" s="80"/>
      <c r="I860" s="80"/>
      <c r="J860" s="79"/>
      <c r="K860" s="80"/>
      <c r="L860" s="80"/>
    </row>
    <row r="861" ht="18" customHeight="1" spans="1:12">
      <c r="A861" s="87" t="str">
        <f t="shared" si="13"/>
        <v/>
      </c>
      <c r="B861" s="78"/>
      <c r="C861" s="79"/>
      <c r="D861" s="80"/>
      <c r="E861" s="79"/>
      <c r="F861" s="88"/>
      <c r="G861" s="88"/>
      <c r="H861" s="80"/>
      <c r="I861" s="80"/>
      <c r="J861" s="79"/>
      <c r="K861" s="80"/>
      <c r="L861" s="80"/>
    </row>
    <row r="862" ht="18" customHeight="1" spans="1:12">
      <c r="A862" s="87" t="str">
        <f t="shared" si="13"/>
        <v/>
      </c>
      <c r="B862" s="78"/>
      <c r="C862" s="79"/>
      <c r="D862" s="80"/>
      <c r="E862" s="79"/>
      <c r="F862" s="88"/>
      <c r="G862" s="88"/>
      <c r="H862" s="80"/>
      <c r="I862" s="80"/>
      <c r="J862" s="79"/>
      <c r="K862" s="80"/>
      <c r="L862" s="80"/>
    </row>
    <row r="863" ht="18" customHeight="1" spans="1:12">
      <c r="A863" s="87" t="str">
        <f t="shared" si="13"/>
        <v/>
      </c>
      <c r="B863" s="78"/>
      <c r="C863" s="79"/>
      <c r="D863" s="80"/>
      <c r="E863" s="79"/>
      <c r="F863" s="88"/>
      <c r="G863" s="88"/>
      <c r="H863" s="80"/>
      <c r="I863" s="80"/>
      <c r="J863" s="79"/>
      <c r="K863" s="80"/>
      <c r="L863" s="80"/>
    </row>
    <row r="864" ht="18" customHeight="1" spans="1:12">
      <c r="A864" s="87" t="str">
        <f t="shared" si="13"/>
        <v/>
      </c>
      <c r="B864" s="78"/>
      <c r="C864" s="79"/>
      <c r="D864" s="80"/>
      <c r="E864" s="79"/>
      <c r="F864" s="88"/>
      <c r="G864" s="88"/>
      <c r="H864" s="80"/>
      <c r="I864" s="80"/>
      <c r="J864" s="79"/>
      <c r="K864" s="80"/>
      <c r="L864" s="80"/>
    </row>
    <row r="865" ht="18" customHeight="1" spans="1:12">
      <c r="A865" s="87" t="str">
        <f t="shared" si="13"/>
        <v/>
      </c>
      <c r="B865" s="78"/>
      <c r="C865" s="79"/>
      <c r="D865" s="80"/>
      <c r="E865" s="79"/>
      <c r="F865" s="88"/>
      <c r="G865" s="88"/>
      <c r="H865" s="80"/>
      <c r="I865" s="80"/>
      <c r="J865" s="79"/>
      <c r="K865" s="80"/>
      <c r="L865" s="80"/>
    </row>
    <row r="866" ht="18" customHeight="1" spans="1:12">
      <c r="A866" s="87" t="str">
        <f t="shared" si="13"/>
        <v/>
      </c>
      <c r="B866" s="78"/>
      <c r="C866" s="79"/>
      <c r="D866" s="80"/>
      <c r="E866" s="79"/>
      <c r="F866" s="88"/>
      <c r="G866" s="88"/>
      <c r="H866" s="80"/>
      <c r="I866" s="80"/>
      <c r="J866" s="79"/>
      <c r="K866" s="80"/>
      <c r="L866" s="80"/>
    </row>
    <row r="867" ht="18" customHeight="1" spans="1:12">
      <c r="A867" s="87" t="str">
        <f t="shared" si="13"/>
        <v/>
      </c>
      <c r="B867" s="78"/>
      <c r="C867" s="79"/>
      <c r="D867" s="80"/>
      <c r="E867" s="79"/>
      <c r="F867" s="88"/>
      <c r="G867" s="88"/>
      <c r="H867" s="80"/>
      <c r="I867" s="80"/>
      <c r="J867" s="79"/>
      <c r="K867" s="80"/>
      <c r="L867" s="80"/>
    </row>
    <row r="868" ht="18" customHeight="1" spans="1:12">
      <c r="A868" s="87" t="str">
        <f t="shared" si="13"/>
        <v/>
      </c>
      <c r="B868" s="78"/>
      <c r="C868" s="79"/>
      <c r="D868" s="80"/>
      <c r="E868" s="79"/>
      <c r="F868" s="88"/>
      <c r="G868" s="88"/>
      <c r="H868" s="80"/>
      <c r="I868" s="80"/>
      <c r="J868" s="79"/>
      <c r="K868" s="80"/>
      <c r="L868" s="80"/>
    </row>
    <row r="869" ht="18" customHeight="1" spans="1:12">
      <c r="A869" s="87" t="str">
        <f t="shared" si="13"/>
        <v/>
      </c>
      <c r="B869" s="78"/>
      <c r="C869" s="79"/>
      <c r="D869" s="80"/>
      <c r="E869" s="79"/>
      <c r="F869" s="88"/>
      <c r="G869" s="88"/>
      <c r="H869" s="80"/>
      <c r="I869" s="80"/>
      <c r="J869" s="79"/>
      <c r="K869" s="80"/>
      <c r="L869" s="80"/>
    </row>
    <row r="870" ht="18" customHeight="1" spans="1:12">
      <c r="A870" s="87" t="str">
        <f t="shared" si="13"/>
        <v/>
      </c>
      <c r="B870" s="78"/>
      <c r="C870" s="79"/>
      <c r="D870" s="80"/>
      <c r="E870" s="79"/>
      <c r="F870" s="88"/>
      <c r="G870" s="88"/>
      <c r="H870" s="80"/>
      <c r="I870" s="80"/>
      <c r="J870" s="79"/>
      <c r="K870" s="80"/>
      <c r="L870" s="80"/>
    </row>
    <row r="871" ht="18" customHeight="1" spans="1:12">
      <c r="A871" s="87" t="str">
        <f t="shared" si="13"/>
        <v/>
      </c>
      <c r="B871" s="78"/>
      <c r="C871" s="79"/>
      <c r="D871" s="80"/>
      <c r="E871" s="79"/>
      <c r="F871" s="88"/>
      <c r="G871" s="88"/>
      <c r="H871" s="80"/>
      <c r="I871" s="80"/>
      <c r="J871" s="79"/>
      <c r="K871" s="80"/>
      <c r="L871" s="80"/>
    </row>
    <row r="872" ht="18" customHeight="1" spans="1:12">
      <c r="A872" s="87" t="str">
        <f t="shared" si="13"/>
        <v/>
      </c>
      <c r="B872" s="78"/>
      <c r="C872" s="79"/>
      <c r="D872" s="80"/>
      <c r="E872" s="79"/>
      <c r="F872" s="88"/>
      <c r="G872" s="88"/>
      <c r="H872" s="80"/>
      <c r="I872" s="80"/>
      <c r="J872" s="79"/>
      <c r="K872" s="80"/>
      <c r="L872" s="80"/>
    </row>
    <row r="873" ht="18" customHeight="1" spans="1:12">
      <c r="A873" s="87" t="str">
        <f t="shared" si="13"/>
        <v/>
      </c>
      <c r="B873" s="78"/>
      <c r="C873" s="79"/>
      <c r="D873" s="80"/>
      <c r="E873" s="79"/>
      <c r="F873" s="88"/>
      <c r="G873" s="88"/>
      <c r="H873" s="80"/>
      <c r="I873" s="80"/>
      <c r="J873" s="79"/>
      <c r="K873" s="80"/>
      <c r="L873" s="80"/>
    </row>
    <row r="874" ht="18" customHeight="1" spans="1:12">
      <c r="A874" s="87" t="str">
        <f t="shared" si="13"/>
        <v/>
      </c>
      <c r="B874" s="78"/>
      <c r="C874" s="79"/>
      <c r="D874" s="80"/>
      <c r="E874" s="79"/>
      <c r="F874" s="88"/>
      <c r="G874" s="88"/>
      <c r="H874" s="80"/>
      <c r="I874" s="80"/>
      <c r="J874" s="79"/>
      <c r="K874" s="80"/>
      <c r="L874" s="80"/>
    </row>
    <row r="875" ht="18" customHeight="1" spans="1:12">
      <c r="A875" s="87" t="str">
        <f t="shared" si="13"/>
        <v/>
      </c>
      <c r="B875" s="78"/>
      <c r="C875" s="79"/>
      <c r="D875" s="80"/>
      <c r="E875" s="79"/>
      <c r="F875" s="88"/>
      <c r="G875" s="88"/>
      <c r="H875" s="80"/>
      <c r="I875" s="80"/>
      <c r="J875" s="79"/>
      <c r="K875" s="80"/>
      <c r="L875" s="80"/>
    </row>
    <row r="876" ht="18" customHeight="1" spans="1:12">
      <c r="A876" s="87" t="str">
        <f t="shared" si="13"/>
        <v/>
      </c>
      <c r="B876" s="78"/>
      <c r="C876" s="79"/>
      <c r="D876" s="80"/>
      <c r="E876" s="79"/>
      <c r="F876" s="88"/>
      <c r="G876" s="88"/>
      <c r="H876" s="80"/>
      <c r="I876" s="80"/>
      <c r="J876" s="79"/>
      <c r="K876" s="80"/>
      <c r="L876" s="80"/>
    </row>
    <row r="877" ht="18" customHeight="1" spans="1:12">
      <c r="A877" s="87" t="str">
        <f t="shared" si="13"/>
        <v/>
      </c>
      <c r="B877" s="78"/>
      <c r="C877" s="79"/>
      <c r="D877" s="80"/>
      <c r="E877" s="79"/>
      <c r="F877" s="88"/>
      <c r="G877" s="88"/>
      <c r="H877" s="80"/>
      <c r="I877" s="80"/>
      <c r="J877" s="79"/>
      <c r="K877" s="80"/>
      <c r="L877" s="80"/>
    </row>
    <row r="878" ht="18" customHeight="1" spans="1:12">
      <c r="A878" s="87" t="str">
        <f t="shared" si="13"/>
        <v/>
      </c>
      <c r="B878" s="78"/>
      <c r="C878" s="79"/>
      <c r="D878" s="80"/>
      <c r="E878" s="79"/>
      <c r="F878" s="88"/>
      <c r="G878" s="88"/>
      <c r="H878" s="80"/>
      <c r="I878" s="80"/>
      <c r="J878" s="79"/>
      <c r="K878" s="80"/>
      <c r="L878" s="80"/>
    </row>
    <row r="879" ht="18" customHeight="1" spans="1:12">
      <c r="A879" s="87" t="str">
        <f t="shared" si="13"/>
        <v/>
      </c>
      <c r="B879" s="78"/>
      <c r="C879" s="79"/>
      <c r="D879" s="80"/>
      <c r="E879" s="79"/>
      <c r="F879" s="88"/>
      <c r="G879" s="88"/>
      <c r="H879" s="80"/>
      <c r="I879" s="80"/>
      <c r="J879" s="79"/>
      <c r="K879" s="80"/>
      <c r="L879" s="80"/>
    </row>
    <row r="880" ht="18" customHeight="1" spans="1:12">
      <c r="A880" s="87" t="str">
        <f t="shared" si="13"/>
        <v/>
      </c>
      <c r="B880" s="78"/>
      <c r="C880" s="79"/>
      <c r="D880" s="80"/>
      <c r="E880" s="79"/>
      <c r="F880" s="88"/>
      <c r="G880" s="88"/>
      <c r="H880" s="80"/>
      <c r="I880" s="80"/>
      <c r="J880" s="79"/>
      <c r="K880" s="80"/>
      <c r="L880" s="80"/>
    </row>
    <row r="881" ht="18" customHeight="1" spans="1:12">
      <c r="A881" s="87" t="str">
        <f t="shared" si="13"/>
        <v/>
      </c>
      <c r="B881" s="78"/>
      <c r="C881" s="79"/>
      <c r="D881" s="80"/>
      <c r="E881" s="79"/>
      <c r="F881" s="88"/>
      <c r="G881" s="88"/>
      <c r="H881" s="80"/>
      <c r="I881" s="80"/>
      <c r="J881" s="79"/>
      <c r="K881" s="80"/>
      <c r="L881" s="80"/>
    </row>
    <row r="882" ht="18" customHeight="1" spans="1:12">
      <c r="A882" s="87" t="str">
        <f t="shared" si="13"/>
        <v/>
      </c>
      <c r="B882" s="78"/>
      <c r="C882" s="79"/>
      <c r="D882" s="80"/>
      <c r="E882" s="79"/>
      <c r="F882" s="88"/>
      <c r="G882" s="88"/>
      <c r="H882" s="80"/>
      <c r="I882" s="80"/>
      <c r="J882" s="79"/>
      <c r="K882" s="80"/>
      <c r="L882" s="80"/>
    </row>
    <row r="883" ht="18" customHeight="1" spans="1:12">
      <c r="A883" s="87" t="str">
        <f t="shared" si="13"/>
        <v/>
      </c>
      <c r="B883" s="78"/>
      <c r="C883" s="79"/>
      <c r="D883" s="80"/>
      <c r="E883" s="79"/>
      <c r="F883" s="88"/>
      <c r="G883" s="88"/>
      <c r="H883" s="80"/>
      <c r="I883" s="80"/>
      <c r="J883" s="79"/>
      <c r="K883" s="80"/>
      <c r="L883" s="80"/>
    </row>
    <row r="884" ht="18" customHeight="1" spans="1:12">
      <c r="A884" s="87" t="str">
        <f t="shared" si="13"/>
        <v/>
      </c>
      <c r="B884" s="78"/>
      <c r="C884" s="79"/>
      <c r="D884" s="80"/>
      <c r="E884" s="79"/>
      <c r="F884" s="88"/>
      <c r="G884" s="88"/>
      <c r="H884" s="80"/>
      <c r="I884" s="80"/>
      <c r="J884" s="79"/>
      <c r="K884" s="80"/>
      <c r="L884" s="80"/>
    </row>
    <row r="885" ht="18" customHeight="1" spans="1:12">
      <c r="A885" s="87" t="str">
        <f t="shared" si="13"/>
        <v/>
      </c>
      <c r="B885" s="78"/>
      <c r="C885" s="79"/>
      <c r="D885" s="80"/>
      <c r="E885" s="79"/>
      <c r="F885" s="88"/>
      <c r="G885" s="88"/>
      <c r="H885" s="80"/>
      <c r="I885" s="80"/>
      <c r="J885" s="79"/>
      <c r="K885" s="80"/>
      <c r="L885" s="80"/>
    </row>
    <row r="886" ht="18" customHeight="1" spans="1:12">
      <c r="A886" s="87" t="str">
        <f t="shared" si="13"/>
        <v/>
      </c>
      <c r="B886" s="78"/>
      <c r="C886" s="79"/>
      <c r="D886" s="80"/>
      <c r="E886" s="79"/>
      <c r="F886" s="88"/>
      <c r="G886" s="88"/>
      <c r="H886" s="80"/>
      <c r="I886" s="80"/>
      <c r="J886" s="79"/>
      <c r="K886" s="80"/>
      <c r="L886" s="80"/>
    </row>
    <row r="887" ht="18" customHeight="1" spans="1:12">
      <c r="A887" s="87" t="str">
        <f t="shared" si="13"/>
        <v/>
      </c>
      <c r="B887" s="78"/>
      <c r="C887" s="79"/>
      <c r="D887" s="80"/>
      <c r="E887" s="79"/>
      <c r="F887" s="88"/>
      <c r="G887" s="88"/>
      <c r="H887" s="80"/>
      <c r="I887" s="80"/>
      <c r="J887" s="79"/>
      <c r="K887" s="80"/>
      <c r="L887" s="80"/>
    </row>
    <row r="888" ht="18" customHeight="1" spans="1:12">
      <c r="A888" s="87" t="str">
        <f t="shared" si="13"/>
        <v/>
      </c>
      <c r="B888" s="78"/>
      <c r="C888" s="79"/>
      <c r="D888" s="80"/>
      <c r="E888" s="79"/>
      <c r="F888" s="88"/>
      <c r="G888" s="88"/>
      <c r="H888" s="80"/>
      <c r="I888" s="80"/>
      <c r="J888" s="79"/>
      <c r="K888" s="80"/>
      <c r="L888" s="80"/>
    </row>
    <row r="889" ht="18" customHeight="1" spans="1:12">
      <c r="A889" s="87" t="str">
        <f t="shared" si="13"/>
        <v/>
      </c>
      <c r="B889" s="78"/>
      <c r="C889" s="79"/>
      <c r="D889" s="80"/>
      <c r="E889" s="79"/>
      <c r="F889" s="88"/>
      <c r="G889" s="88"/>
      <c r="H889" s="80"/>
      <c r="I889" s="80"/>
      <c r="J889" s="79"/>
      <c r="K889" s="80"/>
      <c r="L889" s="80"/>
    </row>
    <row r="890" ht="18" customHeight="1" spans="1:12">
      <c r="A890" s="87" t="str">
        <f t="shared" si="13"/>
        <v/>
      </c>
      <c r="B890" s="78"/>
      <c r="C890" s="79"/>
      <c r="D890" s="80"/>
      <c r="E890" s="79"/>
      <c r="F890" s="88"/>
      <c r="G890" s="88"/>
      <c r="H890" s="80"/>
      <c r="I890" s="80"/>
      <c r="J890" s="79"/>
      <c r="K890" s="80"/>
      <c r="L890" s="80"/>
    </row>
    <row r="891" ht="18" customHeight="1" spans="1:12">
      <c r="A891" s="87" t="str">
        <f t="shared" si="13"/>
        <v/>
      </c>
      <c r="B891" s="78"/>
      <c r="C891" s="79"/>
      <c r="D891" s="80"/>
      <c r="E891" s="79"/>
      <c r="F891" s="88"/>
      <c r="G891" s="88"/>
      <c r="H891" s="80"/>
      <c r="I891" s="80"/>
      <c r="J891" s="79"/>
      <c r="K891" s="80"/>
      <c r="L891" s="80"/>
    </row>
    <row r="892" ht="18" customHeight="1" spans="1:12">
      <c r="A892" s="87" t="str">
        <f t="shared" si="13"/>
        <v/>
      </c>
      <c r="B892" s="78"/>
      <c r="C892" s="79"/>
      <c r="D892" s="80"/>
      <c r="E892" s="79"/>
      <c r="F892" s="88"/>
      <c r="G892" s="88"/>
      <c r="H892" s="80"/>
      <c r="I892" s="80"/>
      <c r="J892" s="79"/>
      <c r="K892" s="80"/>
      <c r="L892" s="80"/>
    </row>
    <row r="893" ht="18" customHeight="1" spans="1:12">
      <c r="A893" s="87" t="str">
        <f t="shared" si="13"/>
        <v/>
      </c>
      <c r="B893" s="78"/>
      <c r="C893" s="79"/>
      <c r="D893" s="80"/>
      <c r="E893" s="79"/>
      <c r="F893" s="88"/>
      <c r="G893" s="88"/>
      <c r="H893" s="80"/>
      <c r="I893" s="80"/>
      <c r="J893" s="79"/>
      <c r="K893" s="80"/>
      <c r="L893" s="80"/>
    </row>
    <row r="894" ht="18" customHeight="1" spans="1:12">
      <c r="A894" s="87" t="str">
        <f t="shared" si="13"/>
        <v/>
      </c>
      <c r="B894" s="78"/>
      <c r="C894" s="79"/>
      <c r="D894" s="80"/>
      <c r="E894" s="79"/>
      <c r="F894" s="88"/>
      <c r="G894" s="88"/>
      <c r="H894" s="80"/>
      <c r="I894" s="80"/>
      <c r="J894" s="79"/>
      <c r="K894" s="80"/>
      <c r="L894" s="80"/>
    </row>
    <row r="895" ht="18" customHeight="1" spans="1:12">
      <c r="A895" s="87" t="str">
        <f t="shared" si="13"/>
        <v/>
      </c>
      <c r="B895" s="78"/>
      <c r="C895" s="79"/>
      <c r="D895" s="80"/>
      <c r="E895" s="79"/>
      <c r="F895" s="88"/>
      <c r="G895" s="88"/>
      <c r="H895" s="80"/>
      <c r="I895" s="80"/>
      <c r="J895" s="79"/>
      <c r="K895" s="80"/>
      <c r="L895" s="80"/>
    </row>
    <row r="896" ht="18" customHeight="1" spans="1:12">
      <c r="A896" s="87" t="str">
        <f t="shared" si="13"/>
        <v/>
      </c>
      <c r="B896" s="78"/>
      <c r="C896" s="79"/>
      <c r="D896" s="80"/>
      <c r="E896" s="79"/>
      <c r="F896" s="88"/>
      <c r="G896" s="88"/>
      <c r="H896" s="80"/>
      <c r="I896" s="80"/>
      <c r="J896" s="79"/>
      <c r="K896" s="80"/>
      <c r="L896" s="80"/>
    </row>
    <row r="897" ht="18" customHeight="1" spans="1:12">
      <c r="A897" s="87" t="str">
        <f t="shared" si="13"/>
        <v/>
      </c>
      <c r="B897" s="78"/>
      <c r="C897" s="79"/>
      <c r="D897" s="80"/>
      <c r="E897" s="79"/>
      <c r="F897" s="88"/>
      <c r="G897" s="88"/>
      <c r="H897" s="80"/>
      <c r="I897" s="80"/>
      <c r="J897" s="79"/>
      <c r="K897" s="80"/>
      <c r="L897" s="80"/>
    </row>
    <row r="898" ht="18" customHeight="1" spans="1:12">
      <c r="A898" s="87" t="str">
        <f t="shared" si="13"/>
        <v/>
      </c>
      <c r="B898" s="78"/>
      <c r="C898" s="79"/>
      <c r="D898" s="80"/>
      <c r="E898" s="79"/>
      <c r="F898" s="88"/>
      <c r="G898" s="88"/>
      <c r="H898" s="80"/>
      <c r="I898" s="80"/>
      <c r="J898" s="79"/>
      <c r="K898" s="80"/>
      <c r="L898" s="80"/>
    </row>
    <row r="899" ht="18" customHeight="1" spans="1:12">
      <c r="A899" s="87" t="str">
        <f t="shared" si="13"/>
        <v/>
      </c>
      <c r="B899" s="78"/>
      <c r="C899" s="79"/>
      <c r="D899" s="80"/>
      <c r="E899" s="79"/>
      <c r="F899" s="88"/>
      <c r="G899" s="88"/>
      <c r="H899" s="80"/>
      <c r="I899" s="80"/>
      <c r="J899" s="79"/>
      <c r="K899" s="80"/>
      <c r="L899" s="80"/>
    </row>
    <row r="900" ht="18" customHeight="1" spans="1:12">
      <c r="A900" s="87" t="str">
        <f t="shared" ref="A900:A963" si="14">IF($C900="","",ROW()-3)</f>
        <v/>
      </c>
      <c r="B900" s="78"/>
      <c r="C900" s="79"/>
      <c r="D900" s="80"/>
      <c r="E900" s="79"/>
      <c r="F900" s="88"/>
      <c r="G900" s="88"/>
      <c r="H900" s="80"/>
      <c r="I900" s="80"/>
      <c r="J900" s="79"/>
      <c r="K900" s="80"/>
      <c r="L900" s="80"/>
    </row>
    <row r="901" ht="18" customHeight="1" spans="1:12">
      <c r="A901" s="87" t="str">
        <f t="shared" si="14"/>
        <v/>
      </c>
      <c r="B901" s="78"/>
      <c r="C901" s="79"/>
      <c r="D901" s="80"/>
      <c r="E901" s="79"/>
      <c r="F901" s="88"/>
      <c r="G901" s="88"/>
      <c r="H901" s="80"/>
      <c r="I901" s="80"/>
      <c r="J901" s="79"/>
      <c r="K901" s="80"/>
      <c r="L901" s="80"/>
    </row>
    <row r="902" ht="18" customHeight="1" spans="1:12">
      <c r="A902" s="87" t="str">
        <f t="shared" si="14"/>
        <v/>
      </c>
      <c r="B902" s="78"/>
      <c r="C902" s="79"/>
      <c r="D902" s="80"/>
      <c r="E902" s="79"/>
      <c r="F902" s="88"/>
      <c r="G902" s="88"/>
      <c r="H902" s="80"/>
      <c r="I902" s="80"/>
      <c r="J902" s="79"/>
      <c r="K902" s="80"/>
      <c r="L902" s="80"/>
    </row>
    <row r="903" ht="18" customHeight="1" spans="1:12">
      <c r="A903" s="87" t="str">
        <f t="shared" si="14"/>
        <v/>
      </c>
      <c r="B903" s="78"/>
      <c r="C903" s="79"/>
      <c r="D903" s="80"/>
      <c r="E903" s="79"/>
      <c r="F903" s="88"/>
      <c r="G903" s="88"/>
      <c r="H903" s="80"/>
      <c r="I903" s="80"/>
      <c r="J903" s="79"/>
      <c r="K903" s="80"/>
      <c r="L903" s="80"/>
    </row>
    <row r="904" ht="18" customHeight="1" spans="1:12">
      <c r="A904" s="87" t="str">
        <f t="shared" si="14"/>
        <v/>
      </c>
      <c r="B904" s="78"/>
      <c r="C904" s="79"/>
      <c r="D904" s="80"/>
      <c r="E904" s="79"/>
      <c r="F904" s="88"/>
      <c r="G904" s="88"/>
      <c r="H904" s="80"/>
      <c r="I904" s="80"/>
      <c r="J904" s="79"/>
      <c r="K904" s="80"/>
      <c r="L904" s="80"/>
    </row>
    <row r="905" ht="18" customHeight="1" spans="1:12">
      <c r="A905" s="87" t="str">
        <f t="shared" si="14"/>
        <v/>
      </c>
      <c r="B905" s="78"/>
      <c r="C905" s="79"/>
      <c r="D905" s="80"/>
      <c r="E905" s="79"/>
      <c r="F905" s="88"/>
      <c r="G905" s="88"/>
      <c r="H905" s="80"/>
      <c r="I905" s="80"/>
      <c r="J905" s="79"/>
      <c r="K905" s="80"/>
      <c r="L905" s="80"/>
    </row>
    <row r="906" ht="18" customHeight="1" spans="1:12">
      <c r="A906" s="87" t="str">
        <f t="shared" si="14"/>
        <v/>
      </c>
      <c r="B906" s="78"/>
      <c r="C906" s="79"/>
      <c r="D906" s="80"/>
      <c r="E906" s="79"/>
      <c r="F906" s="88"/>
      <c r="G906" s="88"/>
      <c r="H906" s="80"/>
      <c r="I906" s="80"/>
      <c r="J906" s="79"/>
      <c r="K906" s="80"/>
      <c r="L906" s="80"/>
    </row>
    <row r="907" ht="18" customHeight="1" spans="1:12">
      <c r="A907" s="87" t="str">
        <f t="shared" si="14"/>
        <v/>
      </c>
      <c r="B907" s="78"/>
      <c r="C907" s="79"/>
      <c r="D907" s="80"/>
      <c r="E907" s="79"/>
      <c r="F907" s="88"/>
      <c r="G907" s="88"/>
      <c r="H907" s="80"/>
      <c r="I907" s="80"/>
      <c r="J907" s="79"/>
      <c r="K907" s="80"/>
      <c r="L907" s="80"/>
    </row>
    <row r="908" ht="18" customHeight="1" spans="1:12">
      <c r="A908" s="87" t="str">
        <f t="shared" si="14"/>
        <v/>
      </c>
      <c r="B908" s="78"/>
      <c r="C908" s="79"/>
      <c r="D908" s="80"/>
      <c r="E908" s="79"/>
      <c r="F908" s="88"/>
      <c r="G908" s="88"/>
      <c r="H908" s="80"/>
      <c r="I908" s="80"/>
      <c r="J908" s="79"/>
      <c r="K908" s="80"/>
      <c r="L908" s="80"/>
    </row>
    <row r="909" ht="18" customHeight="1" spans="1:12">
      <c r="A909" s="87" t="str">
        <f t="shared" si="14"/>
        <v/>
      </c>
      <c r="B909" s="78"/>
      <c r="C909" s="79"/>
      <c r="D909" s="80"/>
      <c r="E909" s="79"/>
      <c r="F909" s="88"/>
      <c r="G909" s="88"/>
      <c r="H909" s="80"/>
      <c r="I909" s="80"/>
      <c r="J909" s="79"/>
      <c r="K909" s="80"/>
      <c r="L909" s="80"/>
    </row>
    <row r="910" ht="18" customHeight="1" spans="1:12">
      <c r="A910" s="87" t="str">
        <f t="shared" si="14"/>
        <v/>
      </c>
      <c r="B910" s="78"/>
      <c r="C910" s="79"/>
      <c r="D910" s="80"/>
      <c r="E910" s="79"/>
      <c r="F910" s="88"/>
      <c r="G910" s="88"/>
      <c r="H910" s="80"/>
      <c r="I910" s="80"/>
      <c r="J910" s="79"/>
      <c r="K910" s="80"/>
      <c r="L910" s="80"/>
    </row>
    <row r="911" ht="18" customHeight="1" spans="1:12">
      <c r="A911" s="87" t="str">
        <f t="shared" si="14"/>
        <v/>
      </c>
      <c r="B911" s="78"/>
      <c r="C911" s="79"/>
      <c r="D911" s="80"/>
      <c r="E911" s="79"/>
      <c r="F911" s="88"/>
      <c r="G911" s="88"/>
      <c r="H911" s="80"/>
      <c r="I911" s="80"/>
      <c r="J911" s="79"/>
      <c r="K911" s="80"/>
      <c r="L911" s="80"/>
    </row>
    <row r="912" ht="18" customHeight="1" spans="1:12">
      <c r="A912" s="87" t="str">
        <f t="shared" si="14"/>
        <v/>
      </c>
      <c r="B912" s="78"/>
      <c r="C912" s="79"/>
      <c r="D912" s="80"/>
      <c r="E912" s="79"/>
      <c r="F912" s="88"/>
      <c r="G912" s="88"/>
      <c r="H912" s="80"/>
      <c r="I912" s="80"/>
      <c r="J912" s="79"/>
      <c r="K912" s="80"/>
      <c r="L912" s="80"/>
    </row>
    <row r="913" ht="18" customHeight="1" spans="1:12">
      <c r="A913" s="87" t="str">
        <f t="shared" si="14"/>
        <v/>
      </c>
      <c r="B913" s="78"/>
      <c r="C913" s="79"/>
      <c r="D913" s="80"/>
      <c r="E913" s="79"/>
      <c r="F913" s="88"/>
      <c r="G913" s="88"/>
      <c r="H913" s="80"/>
      <c r="I913" s="80"/>
      <c r="J913" s="79"/>
      <c r="K913" s="80"/>
      <c r="L913" s="80"/>
    </row>
    <row r="914" ht="18" customHeight="1" spans="1:12">
      <c r="A914" s="87" t="str">
        <f t="shared" si="14"/>
        <v/>
      </c>
      <c r="B914" s="78"/>
      <c r="C914" s="79"/>
      <c r="D914" s="80"/>
      <c r="E914" s="79"/>
      <c r="F914" s="88"/>
      <c r="G914" s="88"/>
      <c r="H914" s="80"/>
      <c r="I914" s="80"/>
      <c r="J914" s="79"/>
      <c r="K914" s="80"/>
      <c r="L914" s="80"/>
    </row>
    <row r="915" ht="18" customHeight="1" spans="1:12">
      <c r="A915" s="87" t="str">
        <f t="shared" si="14"/>
        <v/>
      </c>
      <c r="B915" s="78"/>
      <c r="C915" s="79"/>
      <c r="D915" s="80"/>
      <c r="E915" s="79"/>
      <c r="F915" s="88"/>
      <c r="G915" s="88"/>
      <c r="H915" s="80"/>
      <c r="I915" s="80"/>
      <c r="J915" s="79"/>
      <c r="K915" s="80"/>
      <c r="L915" s="80"/>
    </row>
    <row r="916" ht="18" customHeight="1" spans="1:12">
      <c r="A916" s="87" t="str">
        <f t="shared" si="14"/>
        <v/>
      </c>
      <c r="B916" s="78"/>
      <c r="C916" s="79"/>
      <c r="D916" s="80"/>
      <c r="E916" s="79"/>
      <c r="F916" s="88"/>
      <c r="G916" s="88"/>
      <c r="H916" s="80"/>
      <c r="I916" s="80"/>
      <c r="J916" s="79"/>
      <c r="K916" s="80"/>
      <c r="L916" s="80"/>
    </row>
    <row r="917" ht="18" customHeight="1" spans="1:12">
      <c r="A917" s="87" t="str">
        <f t="shared" si="14"/>
        <v/>
      </c>
      <c r="B917" s="78"/>
      <c r="C917" s="79"/>
      <c r="D917" s="80"/>
      <c r="E917" s="79"/>
      <c r="F917" s="88"/>
      <c r="G917" s="88"/>
      <c r="H917" s="80"/>
      <c r="I917" s="80"/>
      <c r="J917" s="79"/>
      <c r="K917" s="80"/>
      <c r="L917" s="80"/>
    </row>
    <row r="918" ht="18" customHeight="1" spans="1:12">
      <c r="A918" s="87" t="str">
        <f t="shared" si="14"/>
        <v/>
      </c>
      <c r="B918" s="78"/>
      <c r="C918" s="79"/>
      <c r="D918" s="80"/>
      <c r="E918" s="79"/>
      <c r="F918" s="88"/>
      <c r="G918" s="88"/>
      <c r="H918" s="80"/>
      <c r="I918" s="80"/>
      <c r="J918" s="79"/>
      <c r="K918" s="80"/>
      <c r="L918" s="80"/>
    </row>
    <row r="919" ht="18" customHeight="1" spans="1:12">
      <c r="A919" s="87" t="str">
        <f t="shared" si="14"/>
        <v/>
      </c>
      <c r="B919" s="78"/>
      <c r="C919" s="79"/>
      <c r="D919" s="80"/>
      <c r="E919" s="79"/>
      <c r="F919" s="88"/>
      <c r="G919" s="88"/>
      <c r="H919" s="80"/>
      <c r="I919" s="80"/>
      <c r="J919" s="79"/>
      <c r="K919" s="80"/>
      <c r="L919" s="80"/>
    </row>
    <row r="920" ht="18" customHeight="1" spans="1:12">
      <c r="A920" s="87" t="str">
        <f t="shared" si="14"/>
        <v/>
      </c>
      <c r="B920" s="78"/>
      <c r="C920" s="79"/>
      <c r="D920" s="80"/>
      <c r="E920" s="79"/>
      <c r="F920" s="88"/>
      <c r="G920" s="88"/>
      <c r="H920" s="80"/>
      <c r="I920" s="80"/>
      <c r="J920" s="79"/>
      <c r="K920" s="80"/>
      <c r="L920" s="80"/>
    </row>
    <row r="921" ht="18" customHeight="1" spans="1:12">
      <c r="A921" s="87" t="str">
        <f t="shared" si="14"/>
        <v/>
      </c>
      <c r="B921" s="78"/>
      <c r="C921" s="79"/>
      <c r="D921" s="80"/>
      <c r="E921" s="79"/>
      <c r="F921" s="88"/>
      <c r="G921" s="88"/>
      <c r="H921" s="80"/>
      <c r="I921" s="80"/>
      <c r="J921" s="79"/>
      <c r="K921" s="80"/>
      <c r="L921" s="80"/>
    </row>
    <row r="922" ht="18" customHeight="1" spans="1:12">
      <c r="A922" s="87" t="str">
        <f t="shared" si="14"/>
        <v/>
      </c>
      <c r="B922" s="78"/>
      <c r="C922" s="79"/>
      <c r="D922" s="80"/>
      <c r="E922" s="79"/>
      <c r="F922" s="88"/>
      <c r="G922" s="88"/>
      <c r="H922" s="80"/>
      <c r="I922" s="80"/>
      <c r="J922" s="79"/>
      <c r="K922" s="80"/>
      <c r="L922" s="80"/>
    </row>
    <row r="923" ht="18" customHeight="1" spans="1:12">
      <c r="A923" s="87" t="str">
        <f t="shared" si="14"/>
        <v/>
      </c>
      <c r="B923" s="78"/>
      <c r="C923" s="79"/>
      <c r="D923" s="80"/>
      <c r="E923" s="79"/>
      <c r="F923" s="88"/>
      <c r="G923" s="88"/>
      <c r="H923" s="80"/>
      <c r="I923" s="80"/>
      <c r="J923" s="79"/>
      <c r="K923" s="80"/>
      <c r="L923" s="80"/>
    </row>
    <row r="924" ht="18" customHeight="1" spans="1:12">
      <c r="A924" s="87" t="str">
        <f t="shared" si="14"/>
        <v/>
      </c>
      <c r="B924" s="78"/>
      <c r="C924" s="79"/>
      <c r="D924" s="80"/>
      <c r="E924" s="79"/>
      <c r="F924" s="88"/>
      <c r="G924" s="88"/>
      <c r="H924" s="80"/>
      <c r="I924" s="80"/>
      <c r="J924" s="79"/>
      <c r="K924" s="80"/>
      <c r="L924" s="80"/>
    </row>
    <row r="925" ht="18" customHeight="1" spans="1:12">
      <c r="A925" s="87" t="str">
        <f t="shared" si="14"/>
        <v/>
      </c>
      <c r="B925" s="78"/>
      <c r="C925" s="79"/>
      <c r="D925" s="80"/>
      <c r="E925" s="79"/>
      <c r="F925" s="88"/>
      <c r="G925" s="88"/>
      <c r="H925" s="80"/>
      <c r="I925" s="80"/>
      <c r="J925" s="79"/>
      <c r="K925" s="80"/>
      <c r="L925" s="80"/>
    </row>
    <row r="926" ht="18" customHeight="1" spans="1:12">
      <c r="A926" s="87" t="str">
        <f t="shared" si="14"/>
        <v/>
      </c>
      <c r="B926" s="78"/>
      <c r="C926" s="79"/>
      <c r="D926" s="80"/>
      <c r="E926" s="79"/>
      <c r="F926" s="88"/>
      <c r="G926" s="88"/>
      <c r="H926" s="80"/>
      <c r="I926" s="80"/>
      <c r="J926" s="79"/>
      <c r="K926" s="80"/>
      <c r="L926" s="80"/>
    </row>
    <row r="927" ht="18" customHeight="1" spans="1:12">
      <c r="A927" s="87" t="str">
        <f t="shared" si="14"/>
        <v/>
      </c>
      <c r="B927" s="78"/>
      <c r="C927" s="79"/>
      <c r="D927" s="80"/>
      <c r="E927" s="79"/>
      <c r="F927" s="88"/>
      <c r="G927" s="88"/>
      <c r="H927" s="80"/>
      <c r="I927" s="80"/>
      <c r="J927" s="79"/>
      <c r="K927" s="80"/>
      <c r="L927" s="80"/>
    </row>
    <row r="928" ht="18" customHeight="1" spans="1:12">
      <c r="A928" s="87" t="str">
        <f t="shared" si="14"/>
        <v/>
      </c>
      <c r="B928" s="78"/>
      <c r="C928" s="79"/>
      <c r="D928" s="80"/>
      <c r="E928" s="79"/>
      <c r="F928" s="88"/>
      <c r="G928" s="88"/>
      <c r="H928" s="80"/>
      <c r="I928" s="80"/>
      <c r="J928" s="79"/>
      <c r="K928" s="80"/>
      <c r="L928" s="80"/>
    </row>
    <row r="929" ht="18" customHeight="1" spans="1:12">
      <c r="A929" s="87" t="str">
        <f t="shared" si="14"/>
        <v/>
      </c>
      <c r="B929" s="78"/>
      <c r="C929" s="79"/>
      <c r="D929" s="80"/>
      <c r="E929" s="79"/>
      <c r="F929" s="88"/>
      <c r="G929" s="88"/>
      <c r="H929" s="80"/>
      <c r="I929" s="80"/>
      <c r="J929" s="79"/>
      <c r="K929" s="80"/>
      <c r="L929" s="80"/>
    </row>
    <row r="930" ht="18" customHeight="1" spans="1:12">
      <c r="A930" s="87" t="str">
        <f t="shared" si="14"/>
        <v/>
      </c>
      <c r="B930" s="78"/>
      <c r="C930" s="79"/>
      <c r="D930" s="80"/>
      <c r="E930" s="79"/>
      <c r="F930" s="88"/>
      <c r="G930" s="88"/>
      <c r="H930" s="80"/>
      <c r="I930" s="80"/>
      <c r="J930" s="79"/>
      <c r="K930" s="80"/>
      <c r="L930" s="80"/>
    </row>
    <row r="931" ht="18" customHeight="1" spans="1:12">
      <c r="A931" s="87" t="str">
        <f t="shared" si="14"/>
        <v/>
      </c>
      <c r="B931" s="78"/>
      <c r="C931" s="79"/>
      <c r="D931" s="80"/>
      <c r="E931" s="79"/>
      <c r="F931" s="88"/>
      <c r="G931" s="88"/>
      <c r="H931" s="80"/>
      <c r="I931" s="80"/>
      <c r="J931" s="79"/>
      <c r="K931" s="80"/>
      <c r="L931" s="80"/>
    </row>
    <row r="932" ht="18" customHeight="1" spans="1:12">
      <c r="A932" s="87" t="str">
        <f t="shared" si="14"/>
        <v/>
      </c>
      <c r="B932" s="78"/>
      <c r="C932" s="79"/>
      <c r="D932" s="80"/>
      <c r="E932" s="79"/>
      <c r="F932" s="88"/>
      <c r="G932" s="88"/>
      <c r="H932" s="80"/>
      <c r="I932" s="80"/>
      <c r="J932" s="79"/>
      <c r="K932" s="80"/>
      <c r="L932" s="80"/>
    </row>
    <row r="933" ht="18" customHeight="1" spans="1:12">
      <c r="A933" s="87" t="str">
        <f t="shared" si="14"/>
        <v/>
      </c>
      <c r="B933" s="78"/>
      <c r="C933" s="79"/>
      <c r="D933" s="80"/>
      <c r="E933" s="79"/>
      <c r="F933" s="88"/>
      <c r="G933" s="88"/>
      <c r="H933" s="80"/>
      <c r="I933" s="80"/>
      <c r="J933" s="79"/>
      <c r="K933" s="80"/>
      <c r="L933" s="80"/>
    </row>
    <row r="934" ht="18" customHeight="1" spans="1:12">
      <c r="A934" s="87" t="str">
        <f t="shared" si="14"/>
        <v/>
      </c>
      <c r="B934" s="78"/>
      <c r="C934" s="79"/>
      <c r="D934" s="80"/>
      <c r="E934" s="79"/>
      <c r="F934" s="88"/>
      <c r="G934" s="88"/>
      <c r="H934" s="80"/>
      <c r="I934" s="80"/>
      <c r="J934" s="79"/>
      <c r="K934" s="80"/>
      <c r="L934" s="80"/>
    </row>
    <row r="935" ht="18" customHeight="1" spans="1:12">
      <c r="A935" s="87" t="str">
        <f t="shared" si="14"/>
        <v/>
      </c>
      <c r="B935" s="78"/>
      <c r="C935" s="79"/>
      <c r="D935" s="80"/>
      <c r="E935" s="79"/>
      <c r="F935" s="88"/>
      <c r="G935" s="88"/>
      <c r="H935" s="80"/>
      <c r="I935" s="80"/>
      <c r="J935" s="79"/>
      <c r="K935" s="80"/>
      <c r="L935" s="80"/>
    </row>
    <row r="936" ht="18" customHeight="1" spans="1:12">
      <c r="A936" s="87" t="str">
        <f t="shared" si="14"/>
        <v/>
      </c>
      <c r="B936" s="78"/>
      <c r="C936" s="79"/>
      <c r="D936" s="80"/>
      <c r="E936" s="79"/>
      <c r="F936" s="88"/>
      <c r="G936" s="88"/>
      <c r="H936" s="80"/>
      <c r="I936" s="80"/>
      <c r="J936" s="79"/>
      <c r="K936" s="80"/>
      <c r="L936" s="80"/>
    </row>
    <row r="937" ht="18" customHeight="1" spans="1:12">
      <c r="A937" s="87" t="str">
        <f t="shared" si="14"/>
        <v/>
      </c>
      <c r="B937" s="78"/>
      <c r="C937" s="79"/>
      <c r="D937" s="80"/>
      <c r="E937" s="79"/>
      <c r="F937" s="88"/>
      <c r="G937" s="88"/>
      <c r="H937" s="80"/>
      <c r="I937" s="80"/>
      <c r="J937" s="79"/>
      <c r="K937" s="80"/>
      <c r="L937" s="80"/>
    </row>
    <row r="938" ht="18" customHeight="1" spans="1:12">
      <c r="A938" s="87" t="str">
        <f t="shared" si="14"/>
        <v/>
      </c>
      <c r="B938" s="78"/>
      <c r="C938" s="79"/>
      <c r="D938" s="80"/>
      <c r="E938" s="79"/>
      <c r="F938" s="88"/>
      <c r="G938" s="88"/>
      <c r="H938" s="80"/>
      <c r="I938" s="80"/>
      <c r="J938" s="79"/>
      <c r="K938" s="80"/>
      <c r="L938" s="80"/>
    </row>
    <row r="939" ht="18" customHeight="1" spans="1:12">
      <c r="A939" s="87" t="str">
        <f t="shared" si="14"/>
        <v/>
      </c>
      <c r="B939" s="78"/>
      <c r="C939" s="79"/>
      <c r="D939" s="80"/>
      <c r="E939" s="79"/>
      <c r="F939" s="88"/>
      <c r="G939" s="88"/>
      <c r="H939" s="80"/>
      <c r="I939" s="80"/>
      <c r="J939" s="79"/>
      <c r="K939" s="80"/>
      <c r="L939" s="80"/>
    </row>
    <row r="940" ht="18" customHeight="1" spans="1:12">
      <c r="A940" s="87" t="str">
        <f t="shared" si="14"/>
        <v/>
      </c>
      <c r="B940" s="78"/>
      <c r="C940" s="79"/>
      <c r="D940" s="80"/>
      <c r="E940" s="79"/>
      <c r="F940" s="88"/>
      <c r="G940" s="88"/>
      <c r="H940" s="80"/>
      <c r="I940" s="80"/>
      <c r="J940" s="79"/>
      <c r="K940" s="80"/>
      <c r="L940" s="80"/>
    </row>
    <row r="941" ht="18" customHeight="1" spans="1:12">
      <c r="A941" s="87" t="str">
        <f t="shared" si="14"/>
        <v/>
      </c>
      <c r="B941" s="78"/>
      <c r="C941" s="79"/>
      <c r="D941" s="80"/>
      <c r="E941" s="79"/>
      <c r="F941" s="88"/>
      <c r="G941" s="88"/>
      <c r="H941" s="80"/>
      <c r="I941" s="80"/>
      <c r="J941" s="79"/>
      <c r="K941" s="80"/>
      <c r="L941" s="80"/>
    </row>
    <row r="942" ht="18" customHeight="1" spans="1:12">
      <c r="A942" s="87" t="str">
        <f t="shared" si="14"/>
        <v/>
      </c>
      <c r="B942" s="78"/>
      <c r="C942" s="79"/>
      <c r="D942" s="80"/>
      <c r="E942" s="79"/>
      <c r="F942" s="88"/>
      <c r="G942" s="88"/>
      <c r="H942" s="80"/>
      <c r="I942" s="80"/>
      <c r="J942" s="79"/>
      <c r="K942" s="80"/>
      <c r="L942" s="80"/>
    </row>
    <row r="943" ht="18" customHeight="1" spans="1:12">
      <c r="A943" s="87" t="str">
        <f t="shared" si="14"/>
        <v/>
      </c>
      <c r="B943" s="78"/>
      <c r="C943" s="79"/>
      <c r="D943" s="80"/>
      <c r="E943" s="79"/>
      <c r="F943" s="88"/>
      <c r="G943" s="88"/>
      <c r="H943" s="80"/>
      <c r="I943" s="80"/>
      <c r="J943" s="79"/>
      <c r="K943" s="80"/>
      <c r="L943" s="80"/>
    </row>
    <row r="944" ht="18" customHeight="1" spans="1:12">
      <c r="A944" s="87" t="str">
        <f t="shared" si="14"/>
        <v/>
      </c>
      <c r="B944" s="78"/>
      <c r="C944" s="79"/>
      <c r="D944" s="80"/>
      <c r="E944" s="79"/>
      <c r="F944" s="88"/>
      <c r="G944" s="88"/>
      <c r="H944" s="80"/>
      <c r="I944" s="80"/>
      <c r="J944" s="79"/>
      <c r="K944" s="80"/>
      <c r="L944" s="80"/>
    </row>
    <row r="945" ht="18" customHeight="1" spans="1:12">
      <c r="A945" s="87" t="str">
        <f t="shared" si="14"/>
        <v/>
      </c>
      <c r="B945" s="78"/>
      <c r="C945" s="79"/>
      <c r="D945" s="80"/>
      <c r="E945" s="79"/>
      <c r="F945" s="88"/>
      <c r="G945" s="88"/>
      <c r="H945" s="80"/>
      <c r="I945" s="80"/>
      <c r="J945" s="79"/>
      <c r="K945" s="80"/>
      <c r="L945" s="80"/>
    </row>
    <row r="946" ht="18" customHeight="1" spans="1:12">
      <c r="A946" s="87" t="str">
        <f t="shared" si="14"/>
        <v/>
      </c>
      <c r="B946" s="78"/>
      <c r="C946" s="79"/>
      <c r="D946" s="80"/>
      <c r="E946" s="79"/>
      <c r="F946" s="88"/>
      <c r="G946" s="88"/>
      <c r="H946" s="80"/>
      <c r="I946" s="80"/>
      <c r="J946" s="79"/>
      <c r="K946" s="80"/>
      <c r="L946" s="80"/>
    </row>
    <row r="947" ht="18" customHeight="1" spans="1:12">
      <c r="A947" s="87" t="str">
        <f t="shared" si="14"/>
        <v/>
      </c>
      <c r="B947" s="78"/>
      <c r="C947" s="79"/>
      <c r="D947" s="80"/>
      <c r="E947" s="79"/>
      <c r="F947" s="88"/>
      <c r="G947" s="88"/>
      <c r="H947" s="80"/>
      <c r="I947" s="80"/>
      <c r="J947" s="79"/>
      <c r="K947" s="80"/>
      <c r="L947" s="80"/>
    </row>
    <row r="948" ht="18" customHeight="1" spans="1:12">
      <c r="A948" s="87" t="str">
        <f t="shared" si="14"/>
        <v/>
      </c>
      <c r="B948" s="78"/>
      <c r="C948" s="79"/>
      <c r="D948" s="80"/>
      <c r="E948" s="79"/>
      <c r="F948" s="88"/>
      <c r="G948" s="88"/>
      <c r="H948" s="80"/>
      <c r="I948" s="80"/>
      <c r="J948" s="79"/>
      <c r="K948" s="80"/>
      <c r="L948" s="80"/>
    </row>
    <row r="949" ht="18" customHeight="1" spans="1:12">
      <c r="A949" s="87" t="str">
        <f t="shared" si="14"/>
        <v/>
      </c>
      <c r="B949" s="78"/>
      <c r="C949" s="79"/>
      <c r="D949" s="80"/>
      <c r="E949" s="79"/>
      <c r="F949" s="88"/>
      <c r="G949" s="88"/>
      <c r="H949" s="80"/>
      <c r="I949" s="80"/>
      <c r="J949" s="79"/>
      <c r="K949" s="80"/>
      <c r="L949" s="80"/>
    </row>
    <row r="950" ht="18" customHeight="1" spans="1:12">
      <c r="A950" s="87" t="str">
        <f t="shared" si="14"/>
        <v/>
      </c>
      <c r="B950" s="78"/>
      <c r="C950" s="79"/>
      <c r="D950" s="80"/>
      <c r="E950" s="79"/>
      <c r="F950" s="88"/>
      <c r="G950" s="88"/>
      <c r="H950" s="80"/>
      <c r="I950" s="80"/>
      <c r="J950" s="79"/>
      <c r="K950" s="80"/>
      <c r="L950" s="80"/>
    </row>
    <row r="951" ht="18" customHeight="1" spans="1:12">
      <c r="A951" s="87" t="str">
        <f t="shared" si="14"/>
        <v/>
      </c>
      <c r="B951" s="78"/>
      <c r="C951" s="79"/>
      <c r="D951" s="80"/>
      <c r="E951" s="79"/>
      <c r="F951" s="88"/>
      <c r="G951" s="88"/>
      <c r="H951" s="80"/>
      <c r="I951" s="80"/>
      <c r="J951" s="79"/>
      <c r="K951" s="80"/>
      <c r="L951" s="80"/>
    </row>
    <row r="952" ht="18" customHeight="1" spans="1:12">
      <c r="A952" s="87" t="str">
        <f t="shared" si="14"/>
        <v/>
      </c>
      <c r="B952" s="78"/>
      <c r="C952" s="79"/>
      <c r="D952" s="80"/>
      <c r="E952" s="79"/>
      <c r="F952" s="88"/>
      <c r="G952" s="88"/>
      <c r="H952" s="80"/>
      <c r="I952" s="80"/>
      <c r="J952" s="79"/>
      <c r="K952" s="80"/>
      <c r="L952" s="80"/>
    </row>
    <row r="953" ht="18" customHeight="1" spans="1:12">
      <c r="A953" s="87" t="str">
        <f t="shared" si="14"/>
        <v/>
      </c>
      <c r="B953" s="78"/>
      <c r="C953" s="79"/>
      <c r="D953" s="80"/>
      <c r="E953" s="79"/>
      <c r="F953" s="88"/>
      <c r="G953" s="88"/>
      <c r="H953" s="80"/>
      <c r="I953" s="80"/>
      <c r="J953" s="79"/>
      <c r="K953" s="80"/>
      <c r="L953" s="80"/>
    </row>
    <row r="954" ht="18" customHeight="1" spans="1:12">
      <c r="A954" s="87" t="str">
        <f t="shared" si="14"/>
        <v/>
      </c>
      <c r="B954" s="78"/>
      <c r="C954" s="79"/>
      <c r="D954" s="80"/>
      <c r="E954" s="79"/>
      <c r="F954" s="88"/>
      <c r="G954" s="88"/>
      <c r="H954" s="80"/>
      <c r="I954" s="80"/>
      <c r="J954" s="79"/>
      <c r="K954" s="80"/>
      <c r="L954" s="80"/>
    </row>
    <row r="955" ht="18" customHeight="1" spans="1:12">
      <c r="A955" s="87" t="str">
        <f t="shared" si="14"/>
        <v/>
      </c>
      <c r="B955" s="78"/>
      <c r="C955" s="79"/>
      <c r="D955" s="80"/>
      <c r="E955" s="79"/>
      <c r="F955" s="88"/>
      <c r="G955" s="88"/>
      <c r="H955" s="80"/>
      <c r="I955" s="80"/>
      <c r="J955" s="79"/>
      <c r="K955" s="80"/>
      <c r="L955" s="80"/>
    </row>
    <row r="956" ht="18" customHeight="1" spans="1:12">
      <c r="A956" s="87" t="str">
        <f t="shared" si="14"/>
        <v/>
      </c>
      <c r="B956" s="78"/>
      <c r="C956" s="79"/>
      <c r="D956" s="80"/>
      <c r="E956" s="79"/>
      <c r="F956" s="88"/>
      <c r="G956" s="88"/>
      <c r="H956" s="80"/>
      <c r="I956" s="80"/>
      <c r="J956" s="79"/>
      <c r="K956" s="80"/>
      <c r="L956" s="80"/>
    </row>
    <row r="957" ht="18" customHeight="1" spans="1:12">
      <c r="A957" s="87" t="str">
        <f t="shared" si="14"/>
        <v/>
      </c>
      <c r="B957" s="78"/>
      <c r="C957" s="79"/>
      <c r="D957" s="80"/>
      <c r="E957" s="79"/>
      <c r="F957" s="88"/>
      <c r="G957" s="88"/>
      <c r="H957" s="80"/>
      <c r="I957" s="80"/>
      <c r="J957" s="79"/>
      <c r="K957" s="80"/>
      <c r="L957" s="80"/>
    </row>
    <row r="958" ht="18" customHeight="1" spans="1:12">
      <c r="A958" s="87" t="str">
        <f t="shared" si="14"/>
        <v/>
      </c>
      <c r="B958" s="78"/>
      <c r="C958" s="79"/>
      <c r="D958" s="80"/>
      <c r="E958" s="79"/>
      <c r="F958" s="88"/>
      <c r="G958" s="88"/>
      <c r="H958" s="80"/>
      <c r="I958" s="80"/>
      <c r="J958" s="79"/>
      <c r="K958" s="80"/>
      <c r="L958" s="80"/>
    </row>
    <row r="959" ht="18" customHeight="1" spans="1:12">
      <c r="A959" s="87" t="str">
        <f t="shared" si="14"/>
        <v/>
      </c>
      <c r="B959" s="78"/>
      <c r="C959" s="79"/>
      <c r="D959" s="80"/>
      <c r="E959" s="79"/>
      <c r="F959" s="88"/>
      <c r="G959" s="88"/>
      <c r="H959" s="80"/>
      <c r="I959" s="80"/>
      <c r="J959" s="79"/>
      <c r="K959" s="80"/>
      <c r="L959" s="80"/>
    </row>
    <row r="960" ht="18" customHeight="1" spans="1:12">
      <c r="A960" s="87" t="str">
        <f t="shared" si="14"/>
        <v/>
      </c>
      <c r="B960" s="78"/>
      <c r="C960" s="79"/>
      <c r="D960" s="80"/>
      <c r="E960" s="79"/>
      <c r="F960" s="88"/>
      <c r="G960" s="88"/>
      <c r="H960" s="80"/>
      <c r="I960" s="80"/>
      <c r="J960" s="79"/>
      <c r="K960" s="80"/>
      <c r="L960" s="80"/>
    </row>
    <row r="961" ht="18" customHeight="1" spans="1:12">
      <c r="A961" s="87" t="str">
        <f t="shared" si="14"/>
        <v/>
      </c>
      <c r="B961" s="78"/>
      <c r="C961" s="79"/>
      <c r="D961" s="80"/>
      <c r="E961" s="79"/>
      <c r="F961" s="88"/>
      <c r="G961" s="88"/>
      <c r="H961" s="80"/>
      <c r="I961" s="80"/>
      <c r="J961" s="79"/>
      <c r="K961" s="80"/>
      <c r="L961" s="80"/>
    </row>
    <row r="962" ht="18" customHeight="1" spans="1:12">
      <c r="A962" s="87" t="str">
        <f t="shared" si="14"/>
        <v/>
      </c>
      <c r="B962" s="78"/>
      <c r="C962" s="79"/>
      <c r="D962" s="80"/>
      <c r="E962" s="79"/>
      <c r="F962" s="88"/>
      <c r="G962" s="88"/>
      <c r="H962" s="80"/>
      <c r="I962" s="80"/>
      <c r="J962" s="79"/>
      <c r="K962" s="80"/>
      <c r="L962" s="80"/>
    </row>
    <row r="963" ht="18" customHeight="1" spans="1:12">
      <c r="A963" s="87" t="str">
        <f t="shared" si="14"/>
        <v/>
      </c>
      <c r="B963" s="78"/>
      <c r="C963" s="79"/>
      <c r="D963" s="80"/>
      <c r="E963" s="79"/>
      <c r="F963" s="88"/>
      <c r="G963" s="88"/>
      <c r="H963" s="80"/>
      <c r="I963" s="80"/>
      <c r="J963" s="79"/>
      <c r="K963" s="80"/>
      <c r="L963" s="80"/>
    </row>
    <row r="964" ht="18" customHeight="1" spans="1:12">
      <c r="A964" s="87" t="str">
        <f t="shared" ref="A964:A1027" si="15">IF($C964="","",ROW()-3)</f>
        <v/>
      </c>
      <c r="B964" s="78"/>
      <c r="C964" s="79"/>
      <c r="D964" s="80"/>
      <c r="E964" s="79"/>
      <c r="F964" s="88"/>
      <c r="G964" s="88"/>
      <c r="H964" s="80"/>
      <c r="I964" s="80"/>
      <c r="J964" s="79"/>
      <c r="K964" s="80"/>
      <c r="L964" s="80"/>
    </row>
    <row r="965" ht="18" customHeight="1" spans="1:12">
      <c r="A965" s="87" t="str">
        <f t="shared" si="15"/>
        <v/>
      </c>
      <c r="B965" s="78"/>
      <c r="C965" s="79"/>
      <c r="D965" s="80"/>
      <c r="E965" s="79"/>
      <c r="F965" s="88"/>
      <c r="G965" s="88"/>
      <c r="H965" s="80"/>
      <c r="I965" s="80"/>
      <c r="J965" s="79"/>
      <c r="K965" s="80"/>
      <c r="L965" s="80"/>
    </row>
    <row r="966" ht="18" customHeight="1" spans="1:12">
      <c r="A966" s="87" t="str">
        <f t="shared" si="15"/>
        <v/>
      </c>
      <c r="B966" s="78"/>
      <c r="C966" s="79"/>
      <c r="D966" s="80"/>
      <c r="E966" s="79"/>
      <c r="F966" s="88"/>
      <c r="G966" s="88"/>
      <c r="H966" s="80"/>
      <c r="I966" s="80"/>
      <c r="J966" s="79"/>
      <c r="K966" s="80"/>
      <c r="L966" s="80"/>
    </row>
    <row r="967" ht="18" customHeight="1" spans="1:12">
      <c r="A967" s="87" t="str">
        <f t="shared" si="15"/>
        <v/>
      </c>
      <c r="B967" s="78"/>
      <c r="C967" s="79"/>
      <c r="D967" s="80"/>
      <c r="E967" s="79"/>
      <c r="F967" s="88"/>
      <c r="G967" s="88"/>
      <c r="H967" s="80"/>
      <c r="I967" s="80"/>
      <c r="J967" s="79"/>
      <c r="K967" s="80"/>
      <c r="L967" s="80"/>
    </row>
    <row r="968" ht="18" customHeight="1" spans="1:12">
      <c r="A968" s="87" t="str">
        <f t="shared" si="15"/>
        <v/>
      </c>
      <c r="B968" s="78"/>
      <c r="C968" s="79"/>
      <c r="D968" s="80"/>
      <c r="E968" s="79"/>
      <c r="F968" s="88"/>
      <c r="G968" s="88"/>
      <c r="H968" s="80"/>
      <c r="I968" s="80"/>
      <c r="J968" s="79"/>
      <c r="K968" s="80"/>
      <c r="L968" s="80"/>
    </row>
    <row r="969" ht="18" customHeight="1" spans="1:12">
      <c r="A969" s="87" t="str">
        <f t="shared" si="15"/>
        <v/>
      </c>
      <c r="B969" s="78"/>
      <c r="C969" s="79"/>
      <c r="D969" s="80"/>
      <c r="E969" s="79"/>
      <c r="F969" s="88"/>
      <c r="G969" s="88"/>
      <c r="H969" s="80"/>
      <c r="I969" s="80"/>
      <c r="J969" s="79"/>
      <c r="K969" s="80"/>
      <c r="L969" s="80"/>
    </row>
    <row r="970" ht="18" customHeight="1" spans="1:12">
      <c r="A970" s="87" t="str">
        <f t="shared" si="15"/>
        <v/>
      </c>
      <c r="B970" s="78"/>
      <c r="C970" s="79"/>
      <c r="D970" s="80"/>
      <c r="E970" s="79"/>
      <c r="F970" s="88"/>
      <c r="G970" s="88"/>
      <c r="H970" s="80"/>
      <c r="I970" s="80"/>
      <c r="J970" s="79"/>
      <c r="K970" s="80"/>
      <c r="L970" s="80"/>
    </row>
    <row r="971" ht="18" customHeight="1" spans="1:12">
      <c r="A971" s="87" t="str">
        <f t="shared" si="15"/>
        <v/>
      </c>
      <c r="B971" s="78"/>
      <c r="C971" s="79"/>
      <c r="D971" s="80"/>
      <c r="E971" s="79"/>
      <c r="F971" s="88"/>
      <c r="G971" s="88"/>
      <c r="H971" s="80"/>
      <c r="I971" s="80"/>
      <c r="J971" s="79"/>
      <c r="K971" s="80"/>
      <c r="L971" s="80"/>
    </row>
    <row r="972" ht="18" customHeight="1" spans="1:12">
      <c r="A972" s="87" t="str">
        <f t="shared" si="15"/>
        <v/>
      </c>
      <c r="B972" s="78"/>
      <c r="C972" s="79"/>
      <c r="D972" s="80"/>
      <c r="E972" s="79"/>
      <c r="F972" s="88"/>
      <c r="G972" s="88"/>
      <c r="H972" s="80"/>
      <c r="I972" s="80"/>
      <c r="J972" s="79"/>
      <c r="K972" s="80"/>
      <c r="L972" s="80"/>
    </row>
    <row r="973" ht="18" customHeight="1" spans="1:12">
      <c r="A973" s="87" t="str">
        <f t="shared" si="15"/>
        <v/>
      </c>
      <c r="B973" s="78"/>
      <c r="C973" s="79"/>
      <c r="D973" s="80"/>
      <c r="E973" s="79"/>
      <c r="F973" s="88"/>
      <c r="G973" s="88"/>
      <c r="H973" s="80"/>
      <c r="I973" s="80"/>
      <c r="J973" s="79"/>
      <c r="K973" s="80"/>
      <c r="L973" s="80"/>
    </row>
    <row r="974" ht="18" customHeight="1" spans="1:12">
      <c r="A974" s="87" t="str">
        <f t="shared" si="15"/>
        <v/>
      </c>
      <c r="B974" s="78"/>
      <c r="C974" s="79"/>
      <c r="D974" s="80"/>
      <c r="E974" s="79"/>
      <c r="F974" s="88"/>
      <c r="G974" s="88"/>
      <c r="H974" s="80"/>
      <c r="I974" s="80"/>
      <c r="J974" s="79"/>
      <c r="K974" s="80"/>
      <c r="L974" s="80"/>
    </row>
    <row r="975" ht="18" customHeight="1" spans="1:12">
      <c r="A975" s="87" t="str">
        <f t="shared" si="15"/>
        <v/>
      </c>
      <c r="B975" s="78"/>
      <c r="C975" s="79"/>
      <c r="D975" s="80"/>
      <c r="E975" s="79"/>
      <c r="F975" s="88"/>
      <c r="G975" s="88"/>
      <c r="H975" s="80"/>
      <c r="I975" s="80"/>
      <c r="J975" s="79"/>
      <c r="K975" s="80"/>
      <c r="L975" s="80"/>
    </row>
    <row r="976" ht="18" customHeight="1" spans="1:12">
      <c r="A976" s="87" t="str">
        <f t="shared" si="15"/>
        <v/>
      </c>
      <c r="B976" s="78"/>
      <c r="C976" s="79"/>
      <c r="D976" s="80"/>
      <c r="E976" s="79"/>
      <c r="F976" s="88"/>
      <c r="G976" s="88"/>
      <c r="H976" s="80"/>
      <c r="I976" s="80"/>
      <c r="J976" s="79"/>
      <c r="K976" s="80"/>
      <c r="L976" s="80"/>
    </row>
    <row r="977" ht="18" customHeight="1" spans="1:12">
      <c r="A977" s="87" t="str">
        <f t="shared" si="15"/>
        <v/>
      </c>
      <c r="B977" s="78"/>
      <c r="C977" s="79"/>
      <c r="D977" s="80"/>
      <c r="E977" s="79"/>
      <c r="F977" s="88"/>
      <c r="G977" s="88"/>
      <c r="H977" s="80"/>
      <c r="I977" s="80"/>
      <c r="J977" s="79"/>
      <c r="K977" s="80"/>
      <c r="L977" s="80"/>
    </row>
    <row r="978" ht="18" customHeight="1" spans="1:12">
      <c r="A978" s="87" t="str">
        <f t="shared" si="15"/>
        <v/>
      </c>
      <c r="B978" s="78"/>
      <c r="C978" s="79"/>
      <c r="D978" s="80"/>
      <c r="E978" s="79"/>
      <c r="F978" s="88"/>
      <c r="G978" s="88"/>
      <c r="H978" s="80"/>
      <c r="I978" s="80"/>
      <c r="J978" s="79"/>
      <c r="K978" s="80"/>
      <c r="L978" s="80"/>
    </row>
    <row r="979" ht="18" customHeight="1" spans="1:12">
      <c r="A979" s="87" t="str">
        <f t="shared" si="15"/>
        <v/>
      </c>
      <c r="B979" s="78"/>
      <c r="C979" s="79"/>
      <c r="D979" s="80"/>
      <c r="E979" s="79"/>
      <c r="F979" s="88"/>
      <c r="G979" s="88"/>
      <c r="H979" s="80"/>
      <c r="I979" s="80"/>
      <c r="J979" s="79"/>
      <c r="K979" s="80"/>
      <c r="L979" s="80"/>
    </row>
    <row r="980" ht="18" customHeight="1" spans="1:12">
      <c r="A980" s="87" t="str">
        <f t="shared" si="15"/>
        <v/>
      </c>
      <c r="B980" s="78"/>
      <c r="C980" s="79"/>
      <c r="D980" s="80"/>
      <c r="E980" s="79"/>
      <c r="F980" s="88"/>
      <c r="G980" s="88"/>
      <c r="H980" s="80"/>
      <c r="I980" s="80"/>
      <c r="J980" s="79"/>
      <c r="K980" s="80"/>
      <c r="L980" s="80"/>
    </row>
    <row r="981" ht="18" customHeight="1" spans="1:12">
      <c r="A981" s="87" t="str">
        <f t="shared" si="15"/>
        <v/>
      </c>
      <c r="B981" s="78"/>
      <c r="C981" s="79"/>
      <c r="D981" s="80"/>
      <c r="E981" s="79"/>
      <c r="F981" s="88"/>
      <c r="G981" s="88"/>
      <c r="H981" s="80"/>
      <c r="I981" s="80"/>
      <c r="J981" s="79"/>
      <c r="K981" s="80"/>
      <c r="L981" s="80"/>
    </row>
    <row r="982" ht="18" customHeight="1" spans="1:12">
      <c r="A982" s="87" t="str">
        <f t="shared" si="15"/>
        <v/>
      </c>
      <c r="B982" s="78"/>
      <c r="C982" s="79"/>
      <c r="D982" s="80"/>
      <c r="E982" s="79"/>
      <c r="F982" s="88"/>
      <c r="G982" s="88"/>
      <c r="H982" s="80"/>
      <c r="I982" s="80"/>
      <c r="J982" s="79"/>
      <c r="K982" s="80"/>
      <c r="L982" s="80"/>
    </row>
    <row r="983" ht="18" customHeight="1" spans="1:12">
      <c r="A983" s="87" t="str">
        <f t="shared" si="15"/>
        <v/>
      </c>
      <c r="B983" s="78"/>
      <c r="C983" s="79"/>
      <c r="D983" s="80"/>
      <c r="E983" s="79"/>
      <c r="F983" s="88"/>
      <c r="G983" s="88"/>
      <c r="H983" s="80"/>
      <c r="I983" s="80"/>
      <c r="J983" s="79"/>
      <c r="K983" s="80"/>
      <c r="L983" s="80"/>
    </row>
    <row r="984" ht="18" customHeight="1" spans="1:12">
      <c r="A984" s="87" t="str">
        <f t="shared" si="15"/>
        <v/>
      </c>
      <c r="B984" s="78"/>
      <c r="C984" s="79"/>
      <c r="D984" s="80"/>
      <c r="E984" s="79"/>
      <c r="F984" s="88"/>
      <c r="G984" s="88"/>
      <c r="H984" s="80"/>
      <c r="I984" s="80"/>
      <c r="J984" s="79"/>
      <c r="K984" s="80"/>
      <c r="L984" s="80"/>
    </row>
    <row r="985" ht="18" customHeight="1" spans="1:12">
      <c r="A985" s="87" t="str">
        <f t="shared" si="15"/>
        <v/>
      </c>
      <c r="B985" s="78"/>
      <c r="C985" s="79"/>
      <c r="D985" s="80"/>
      <c r="E985" s="79"/>
      <c r="F985" s="88"/>
      <c r="G985" s="88"/>
      <c r="H985" s="80"/>
      <c r="I985" s="80"/>
      <c r="J985" s="79"/>
      <c r="K985" s="80"/>
      <c r="L985" s="80"/>
    </row>
    <row r="986" ht="18" customHeight="1" spans="1:12">
      <c r="A986" s="87" t="str">
        <f t="shared" si="15"/>
        <v/>
      </c>
      <c r="B986" s="78"/>
      <c r="C986" s="79"/>
      <c r="D986" s="80"/>
      <c r="E986" s="79"/>
      <c r="F986" s="88"/>
      <c r="G986" s="88"/>
      <c r="H986" s="80"/>
      <c r="I986" s="80"/>
      <c r="J986" s="79"/>
      <c r="K986" s="80"/>
      <c r="L986" s="80"/>
    </row>
    <row r="987" ht="18" customHeight="1" spans="1:12">
      <c r="A987" s="87" t="str">
        <f t="shared" si="15"/>
        <v/>
      </c>
      <c r="B987" s="78"/>
      <c r="C987" s="79"/>
      <c r="D987" s="80"/>
      <c r="E987" s="79"/>
      <c r="F987" s="88"/>
      <c r="G987" s="88"/>
      <c r="H987" s="80"/>
      <c r="I987" s="80"/>
      <c r="J987" s="79"/>
      <c r="K987" s="80"/>
      <c r="L987" s="80"/>
    </row>
    <row r="988" ht="18" customHeight="1" spans="1:12">
      <c r="A988" s="87" t="str">
        <f t="shared" si="15"/>
        <v/>
      </c>
      <c r="B988" s="78"/>
      <c r="C988" s="79"/>
      <c r="D988" s="80"/>
      <c r="E988" s="79"/>
      <c r="F988" s="88"/>
      <c r="G988" s="88"/>
      <c r="H988" s="80"/>
      <c r="I988" s="80"/>
      <c r="J988" s="79"/>
      <c r="K988" s="80"/>
      <c r="L988" s="80"/>
    </row>
    <row r="989" ht="18" customHeight="1" spans="1:12">
      <c r="A989" s="87" t="str">
        <f t="shared" si="15"/>
        <v/>
      </c>
      <c r="B989" s="78"/>
      <c r="C989" s="79"/>
      <c r="D989" s="80"/>
      <c r="E989" s="79"/>
      <c r="F989" s="88"/>
      <c r="G989" s="88"/>
      <c r="H989" s="80"/>
      <c r="I989" s="80"/>
      <c r="J989" s="79"/>
      <c r="K989" s="80"/>
      <c r="L989" s="80"/>
    </row>
    <row r="990" ht="18" customHeight="1" spans="1:12">
      <c r="A990" s="87" t="str">
        <f t="shared" si="15"/>
        <v/>
      </c>
      <c r="B990" s="78"/>
      <c r="C990" s="79"/>
      <c r="D990" s="80"/>
      <c r="E990" s="79"/>
      <c r="F990" s="88"/>
      <c r="G990" s="88"/>
      <c r="H990" s="80"/>
      <c r="I990" s="80"/>
      <c r="J990" s="79"/>
      <c r="K990" s="80"/>
      <c r="L990" s="80"/>
    </row>
    <row r="991" ht="18" customHeight="1" spans="1:12">
      <c r="A991" s="87" t="str">
        <f t="shared" si="15"/>
        <v/>
      </c>
      <c r="B991" s="78"/>
      <c r="C991" s="79"/>
      <c r="D991" s="80"/>
      <c r="E991" s="79"/>
      <c r="F991" s="88"/>
      <c r="G991" s="88"/>
      <c r="H991" s="80"/>
      <c r="I991" s="80"/>
      <c r="J991" s="79"/>
      <c r="K991" s="80"/>
      <c r="L991" s="80"/>
    </row>
    <row r="992" ht="18" customHeight="1" spans="1:12">
      <c r="A992" s="87" t="str">
        <f t="shared" si="15"/>
        <v/>
      </c>
      <c r="B992" s="78"/>
      <c r="C992" s="79"/>
      <c r="D992" s="80"/>
      <c r="E992" s="79"/>
      <c r="F992" s="88"/>
      <c r="G992" s="88"/>
      <c r="H992" s="80"/>
      <c r="I992" s="80"/>
      <c r="J992" s="79"/>
      <c r="K992" s="80"/>
      <c r="L992" s="80"/>
    </row>
    <row r="993" ht="18" customHeight="1" spans="1:12">
      <c r="A993" s="87" t="str">
        <f t="shared" si="15"/>
        <v/>
      </c>
      <c r="B993" s="78"/>
      <c r="C993" s="79"/>
      <c r="D993" s="80"/>
      <c r="E993" s="79"/>
      <c r="F993" s="88"/>
      <c r="G993" s="88"/>
      <c r="H993" s="80"/>
      <c r="I993" s="80"/>
      <c r="J993" s="79"/>
      <c r="K993" s="80"/>
      <c r="L993" s="80"/>
    </row>
    <row r="994" ht="18" customHeight="1" spans="1:12">
      <c r="A994" s="87" t="str">
        <f t="shared" si="15"/>
        <v/>
      </c>
      <c r="B994" s="78"/>
      <c r="C994" s="79"/>
      <c r="D994" s="80"/>
      <c r="E994" s="79"/>
      <c r="F994" s="88"/>
      <c r="G994" s="88"/>
      <c r="H994" s="80"/>
      <c r="I994" s="80"/>
      <c r="J994" s="79"/>
      <c r="K994" s="80"/>
      <c r="L994" s="80"/>
    </row>
    <row r="995" ht="18" customHeight="1" spans="1:12">
      <c r="A995" s="87" t="str">
        <f t="shared" si="15"/>
        <v/>
      </c>
      <c r="B995" s="78"/>
      <c r="C995" s="79"/>
      <c r="D995" s="80"/>
      <c r="E995" s="79"/>
      <c r="F995" s="88"/>
      <c r="G995" s="88"/>
      <c r="H995" s="80"/>
      <c r="I995" s="80"/>
      <c r="J995" s="79"/>
      <c r="K995" s="80"/>
      <c r="L995" s="80"/>
    </row>
    <row r="996" ht="18" customHeight="1" spans="1:12">
      <c r="A996" s="87" t="str">
        <f t="shared" si="15"/>
        <v/>
      </c>
      <c r="B996" s="78"/>
      <c r="C996" s="79"/>
      <c r="D996" s="80"/>
      <c r="E996" s="79"/>
      <c r="F996" s="88"/>
      <c r="G996" s="88"/>
      <c r="H996" s="80"/>
      <c r="I996" s="80"/>
      <c r="J996" s="79"/>
      <c r="K996" s="80"/>
      <c r="L996" s="80"/>
    </row>
    <row r="997" ht="18" customHeight="1" spans="1:12">
      <c r="A997" s="87" t="str">
        <f t="shared" si="15"/>
        <v/>
      </c>
      <c r="B997" s="78"/>
      <c r="C997" s="79"/>
      <c r="D997" s="80"/>
      <c r="E997" s="79"/>
      <c r="F997" s="88"/>
      <c r="G997" s="88"/>
      <c r="H997" s="80"/>
      <c r="I997" s="80"/>
      <c r="J997" s="79"/>
      <c r="K997" s="80"/>
      <c r="L997" s="80"/>
    </row>
    <row r="998" ht="18" customHeight="1" spans="1:12">
      <c r="A998" s="87" t="str">
        <f t="shared" si="15"/>
        <v/>
      </c>
      <c r="B998" s="78"/>
      <c r="C998" s="79"/>
      <c r="D998" s="80"/>
      <c r="E998" s="79"/>
      <c r="F998" s="88"/>
      <c r="G998" s="88"/>
      <c r="H998" s="80"/>
      <c r="I998" s="80"/>
      <c r="J998" s="79"/>
      <c r="K998" s="80"/>
      <c r="L998" s="80"/>
    </row>
    <row r="999" ht="18" customHeight="1" spans="1:12">
      <c r="A999" s="87" t="str">
        <f t="shared" si="15"/>
        <v/>
      </c>
      <c r="B999" s="78"/>
      <c r="C999" s="79"/>
      <c r="D999" s="80"/>
      <c r="E999" s="79"/>
      <c r="F999" s="88"/>
      <c r="G999" s="88"/>
      <c r="H999" s="80"/>
      <c r="I999" s="80"/>
      <c r="J999" s="79"/>
      <c r="K999" s="80"/>
      <c r="L999" s="80"/>
    </row>
    <row r="1000" ht="18" customHeight="1" spans="1:12">
      <c r="A1000" s="87" t="str">
        <f t="shared" si="15"/>
        <v/>
      </c>
      <c r="B1000" s="78"/>
      <c r="C1000" s="79"/>
      <c r="D1000" s="80"/>
      <c r="E1000" s="79"/>
      <c r="F1000" s="88"/>
      <c r="G1000" s="88"/>
      <c r="H1000" s="80"/>
      <c r="I1000" s="80"/>
      <c r="J1000" s="79"/>
      <c r="K1000" s="80"/>
      <c r="L1000" s="80"/>
    </row>
    <row r="1001" ht="18" customHeight="1" spans="1:12">
      <c r="A1001" s="87" t="str">
        <f t="shared" si="15"/>
        <v/>
      </c>
      <c r="B1001" s="78"/>
      <c r="C1001" s="79"/>
      <c r="D1001" s="80"/>
      <c r="E1001" s="79"/>
      <c r="F1001" s="88"/>
      <c r="G1001" s="88"/>
      <c r="H1001" s="80"/>
      <c r="I1001" s="80"/>
      <c r="J1001" s="79"/>
      <c r="K1001" s="80"/>
      <c r="L1001" s="80"/>
    </row>
    <row r="1002" ht="18" customHeight="1" spans="1:12">
      <c r="A1002" s="87" t="str">
        <f t="shared" si="15"/>
        <v/>
      </c>
      <c r="B1002" s="78"/>
      <c r="C1002" s="79"/>
      <c r="D1002" s="80"/>
      <c r="E1002" s="79"/>
      <c r="F1002" s="88"/>
      <c r="G1002" s="88"/>
      <c r="H1002" s="80"/>
      <c r="I1002" s="80"/>
      <c r="J1002" s="79"/>
      <c r="K1002" s="80"/>
      <c r="L1002" s="80"/>
    </row>
    <row r="1003" ht="18" customHeight="1" spans="1:12">
      <c r="A1003" s="87" t="str">
        <f t="shared" si="15"/>
        <v/>
      </c>
      <c r="B1003" s="78"/>
      <c r="C1003" s="79"/>
      <c r="D1003" s="80"/>
      <c r="E1003" s="79"/>
      <c r="F1003" s="88"/>
      <c r="G1003" s="88"/>
      <c r="H1003" s="80"/>
      <c r="I1003" s="80"/>
      <c r="J1003" s="79"/>
      <c r="K1003" s="80"/>
      <c r="L1003" s="80"/>
    </row>
    <row r="1004" ht="18" customHeight="1" spans="1:12">
      <c r="A1004" s="87" t="str">
        <f t="shared" si="15"/>
        <v/>
      </c>
      <c r="B1004" s="78"/>
      <c r="C1004" s="79"/>
      <c r="D1004" s="80"/>
      <c r="E1004" s="79"/>
      <c r="F1004" s="88"/>
      <c r="G1004" s="88"/>
      <c r="H1004" s="80"/>
      <c r="I1004" s="80"/>
      <c r="J1004" s="79"/>
      <c r="K1004" s="80"/>
      <c r="L1004" s="80"/>
    </row>
    <row r="1005" ht="18" customHeight="1" spans="1:12">
      <c r="A1005" s="87" t="str">
        <f t="shared" si="15"/>
        <v/>
      </c>
      <c r="B1005" s="78"/>
      <c r="C1005" s="79"/>
      <c r="D1005" s="80"/>
      <c r="E1005" s="79"/>
      <c r="F1005" s="88"/>
      <c r="G1005" s="88"/>
      <c r="H1005" s="80"/>
      <c r="I1005" s="80"/>
      <c r="J1005" s="79"/>
      <c r="K1005" s="80"/>
      <c r="L1005" s="80"/>
    </row>
    <row r="1006" ht="18" customHeight="1" spans="1:12">
      <c r="A1006" s="87" t="str">
        <f t="shared" si="15"/>
        <v/>
      </c>
      <c r="B1006" s="78"/>
      <c r="C1006" s="79"/>
      <c r="D1006" s="80"/>
      <c r="E1006" s="79"/>
      <c r="F1006" s="88"/>
      <c r="G1006" s="88"/>
      <c r="H1006" s="80"/>
      <c r="I1006" s="80"/>
      <c r="J1006" s="79"/>
      <c r="K1006" s="80"/>
      <c r="L1006" s="80"/>
    </row>
    <row r="1007" ht="18" customHeight="1" spans="1:12">
      <c r="A1007" s="87" t="str">
        <f t="shared" si="15"/>
        <v/>
      </c>
      <c r="B1007" s="78"/>
      <c r="C1007" s="79"/>
      <c r="D1007" s="80"/>
      <c r="E1007" s="79"/>
      <c r="F1007" s="88"/>
      <c r="G1007" s="88"/>
      <c r="H1007" s="80"/>
      <c r="I1007" s="80"/>
      <c r="J1007" s="79"/>
      <c r="K1007" s="80"/>
      <c r="L1007" s="80"/>
    </row>
    <row r="1008" ht="18" customHeight="1" spans="1:12">
      <c r="A1008" s="87" t="str">
        <f t="shared" si="15"/>
        <v/>
      </c>
      <c r="B1008" s="78"/>
      <c r="C1008" s="79"/>
      <c r="D1008" s="80"/>
      <c r="E1008" s="79"/>
      <c r="F1008" s="88"/>
      <c r="G1008" s="88"/>
      <c r="H1008" s="80"/>
      <c r="I1008" s="80"/>
      <c r="J1008" s="79"/>
      <c r="K1008" s="80"/>
      <c r="L1008" s="80"/>
    </row>
    <row r="1009" ht="18" customHeight="1" spans="1:12">
      <c r="A1009" s="87" t="str">
        <f t="shared" si="15"/>
        <v/>
      </c>
      <c r="B1009" s="78"/>
      <c r="C1009" s="79"/>
      <c r="D1009" s="80"/>
      <c r="E1009" s="79"/>
      <c r="F1009" s="88"/>
      <c r="G1009" s="88"/>
      <c r="H1009" s="80"/>
      <c r="I1009" s="80"/>
      <c r="J1009" s="79"/>
      <c r="K1009" s="80"/>
      <c r="L1009" s="80"/>
    </row>
    <row r="1010" ht="18" customHeight="1" spans="1:12">
      <c r="A1010" s="87" t="str">
        <f t="shared" si="15"/>
        <v/>
      </c>
      <c r="B1010" s="78"/>
      <c r="C1010" s="79"/>
      <c r="D1010" s="80"/>
      <c r="E1010" s="79"/>
      <c r="F1010" s="88"/>
      <c r="G1010" s="88"/>
      <c r="H1010" s="80"/>
      <c r="I1010" s="80"/>
      <c r="J1010" s="79"/>
      <c r="K1010" s="80"/>
      <c r="L1010" s="80"/>
    </row>
    <row r="1011" ht="18" customHeight="1" spans="1:12">
      <c r="A1011" s="87" t="str">
        <f t="shared" si="15"/>
        <v/>
      </c>
      <c r="B1011" s="78"/>
      <c r="C1011" s="79"/>
      <c r="D1011" s="80"/>
      <c r="E1011" s="79"/>
      <c r="F1011" s="88"/>
      <c r="G1011" s="88"/>
      <c r="H1011" s="80"/>
      <c r="I1011" s="80"/>
      <c r="J1011" s="79"/>
      <c r="K1011" s="80"/>
      <c r="L1011" s="80"/>
    </row>
    <row r="1012" ht="18" customHeight="1" spans="1:12">
      <c r="A1012" s="87" t="str">
        <f t="shared" si="15"/>
        <v/>
      </c>
      <c r="B1012" s="78"/>
      <c r="C1012" s="79"/>
      <c r="D1012" s="80"/>
      <c r="E1012" s="79"/>
      <c r="F1012" s="88"/>
      <c r="G1012" s="88"/>
      <c r="H1012" s="80"/>
      <c r="I1012" s="80"/>
      <c r="J1012" s="79"/>
      <c r="K1012" s="80"/>
      <c r="L1012" s="80"/>
    </row>
    <row r="1013" ht="18" customHeight="1" spans="1:12">
      <c r="A1013" s="87" t="str">
        <f t="shared" si="15"/>
        <v/>
      </c>
      <c r="B1013" s="78"/>
      <c r="C1013" s="79"/>
      <c r="D1013" s="80"/>
      <c r="E1013" s="79"/>
      <c r="F1013" s="88"/>
      <c r="G1013" s="88"/>
      <c r="H1013" s="80"/>
      <c r="I1013" s="80"/>
      <c r="J1013" s="79"/>
      <c r="K1013" s="80"/>
      <c r="L1013" s="80"/>
    </row>
    <row r="1014" ht="18" customHeight="1" spans="1:12">
      <c r="A1014" s="87" t="str">
        <f t="shared" si="15"/>
        <v/>
      </c>
      <c r="B1014" s="78"/>
      <c r="C1014" s="79"/>
      <c r="D1014" s="80"/>
      <c r="E1014" s="79"/>
      <c r="F1014" s="88"/>
      <c r="G1014" s="88"/>
      <c r="H1014" s="80"/>
      <c r="I1014" s="80"/>
      <c r="J1014" s="79"/>
      <c r="K1014" s="80"/>
      <c r="L1014" s="80"/>
    </row>
    <row r="1015" ht="18" customHeight="1" spans="1:12">
      <c r="A1015" s="87" t="str">
        <f t="shared" si="15"/>
        <v/>
      </c>
      <c r="B1015" s="78"/>
      <c r="C1015" s="79"/>
      <c r="D1015" s="80"/>
      <c r="E1015" s="79"/>
      <c r="F1015" s="88"/>
      <c r="G1015" s="88"/>
      <c r="H1015" s="80"/>
      <c r="I1015" s="80"/>
      <c r="J1015" s="79"/>
      <c r="K1015" s="80"/>
      <c r="L1015" s="80"/>
    </row>
    <row r="1016" ht="18" customHeight="1" spans="1:12">
      <c r="A1016" s="87" t="str">
        <f t="shared" si="15"/>
        <v/>
      </c>
      <c r="B1016" s="78"/>
      <c r="C1016" s="79"/>
      <c r="D1016" s="80"/>
      <c r="E1016" s="79"/>
      <c r="F1016" s="88"/>
      <c r="G1016" s="88"/>
      <c r="H1016" s="80"/>
      <c r="I1016" s="80"/>
      <c r="J1016" s="79"/>
      <c r="K1016" s="80"/>
      <c r="L1016" s="80"/>
    </row>
    <row r="1017" ht="18" customHeight="1" spans="1:12">
      <c r="A1017" s="87" t="str">
        <f t="shared" si="15"/>
        <v/>
      </c>
      <c r="B1017" s="78"/>
      <c r="C1017" s="79"/>
      <c r="D1017" s="80"/>
      <c r="E1017" s="79"/>
      <c r="F1017" s="88"/>
      <c r="G1017" s="88"/>
      <c r="H1017" s="80"/>
      <c r="I1017" s="80"/>
      <c r="J1017" s="79"/>
      <c r="K1017" s="80"/>
      <c r="L1017" s="80"/>
    </row>
    <row r="1018" ht="18" customHeight="1" spans="1:12">
      <c r="A1018" s="87" t="str">
        <f t="shared" si="15"/>
        <v/>
      </c>
      <c r="B1018" s="78"/>
      <c r="C1018" s="79"/>
      <c r="D1018" s="80"/>
      <c r="E1018" s="79"/>
      <c r="F1018" s="88"/>
      <c r="G1018" s="88"/>
      <c r="H1018" s="80"/>
      <c r="I1018" s="80"/>
      <c r="J1018" s="79"/>
      <c r="K1018" s="80"/>
      <c r="L1018" s="80"/>
    </row>
    <row r="1019" ht="18" customHeight="1" spans="1:12">
      <c r="A1019" s="87" t="str">
        <f t="shared" si="15"/>
        <v/>
      </c>
      <c r="B1019" s="78"/>
      <c r="C1019" s="79"/>
      <c r="D1019" s="80"/>
      <c r="E1019" s="79"/>
      <c r="F1019" s="88"/>
      <c r="G1019" s="88"/>
      <c r="H1019" s="80"/>
      <c r="I1019" s="80"/>
      <c r="J1019" s="79"/>
      <c r="K1019" s="80"/>
      <c r="L1019" s="80"/>
    </row>
    <row r="1020" ht="18" customHeight="1" spans="1:12">
      <c r="A1020" s="87" t="str">
        <f t="shared" si="15"/>
        <v/>
      </c>
      <c r="B1020" s="78"/>
      <c r="C1020" s="79"/>
      <c r="D1020" s="80"/>
      <c r="E1020" s="79"/>
      <c r="F1020" s="88"/>
      <c r="G1020" s="88"/>
      <c r="H1020" s="80"/>
      <c r="I1020" s="80"/>
      <c r="J1020" s="79"/>
      <c r="K1020" s="80"/>
      <c r="L1020" s="80"/>
    </row>
    <row r="1021" ht="18" customHeight="1" spans="1:12">
      <c r="A1021" s="87" t="str">
        <f t="shared" si="15"/>
        <v/>
      </c>
      <c r="B1021" s="78"/>
      <c r="C1021" s="79"/>
      <c r="D1021" s="80"/>
      <c r="E1021" s="79"/>
      <c r="F1021" s="88"/>
      <c r="G1021" s="88"/>
      <c r="H1021" s="80"/>
      <c r="I1021" s="80"/>
      <c r="J1021" s="79"/>
      <c r="K1021" s="80"/>
      <c r="L1021" s="80"/>
    </row>
    <row r="1022" ht="18" customHeight="1" spans="1:12">
      <c r="A1022" s="87" t="str">
        <f t="shared" si="15"/>
        <v/>
      </c>
      <c r="B1022" s="78"/>
      <c r="C1022" s="79"/>
      <c r="D1022" s="80"/>
      <c r="E1022" s="79"/>
      <c r="F1022" s="88"/>
      <c r="G1022" s="88"/>
      <c r="H1022" s="80"/>
      <c r="I1022" s="80"/>
      <c r="J1022" s="79"/>
      <c r="K1022" s="80"/>
      <c r="L1022" s="80"/>
    </row>
    <row r="1023" ht="18" customHeight="1" spans="1:12">
      <c r="A1023" s="87" t="str">
        <f t="shared" si="15"/>
        <v/>
      </c>
      <c r="B1023" s="78"/>
      <c r="C1023" s="79"/>
      <c r="D1023" s="80"/>
      <c r="E1023" s="79"/>
      <c r="F1023" s="88"/>
      <c r="G1023" s="88"/>
      <c r="H1023" s="80"/>
      <c r="I1023" s="80"/>
      <c r="J1023" s="79"/>
      <c r="K1023" s="80"/>
      <c r="L1023" s="80"/>
    </row>
    <row r="1024" ht="18" customHeight="1" spans="1:12">
      <c r="A1024" s="87" t="str">
        <f t="shared" si="15"/>
        <v/>
      </c>
      <c r="B1024" s="78"/>
      <c r="C1024" s="79"/>
      <c r="D1024" s="80"/>
      <c r="E1024" s="79"/>
      <c r="F1024" s="88"/>
      <c r="G1024" s="88"/>
      <c r="H1024" s="80"/>
      <c r="I1024" s="80"/>
      <c r="J1024" s="79"/>
      <c r="K1024" s="80"/>
      <c r="L1024" s="80"/>
    </row>
    <row r="1025" ht="18" customHeight="1" spans="1:12">
      <c r="A1025" s="87" t="str">
        <f t="shared" si="15"/>
        <v/>
      </c>
      <c r="B1025" s="78"/>
      <c r="C1025" s="79"/>
      <c r="D1025" s="80"/>
      <c r="E1025" s="79"/>
      <c r="F1025" s="88"/>
      <c r="G1025" s="88"/>
      <c r="H1025" s="80"/>
      <c r="I1025" s="80"/>
      <c r="J1025" s="79"/>
      <c r="K1025" s="80"/>
      <c r="L1025" s="80"/>
    </row>
    <row r="1026" ht="18" customHeight="1" spans="1:12">
      <c r="A1026" s="87" t="str">
        <f t="shared" si="15"/>
        <v/>
      </c>
      <c r="B1026" s="78"/>
      <c r="C1026" s="79"/>
      <c r="D1026" s="80"/>
      <c r="E1026" s="79"/>
      <c r="F1026" s="88"/>
      <c r="G1026" s="88"/>
      <c r="H1026" s="80"/>
      <c r="I1026" s="80"/>
      <c r="J1026" s="79"/>
      <c r="K1026" s="80"/>
      <c r="L1026" s="80"/>
    </row>
    <row r="1027" ht="18" customHeight="1" spans="1:12">
      <c r="A1027" s="87" t="str">
        <f t="shared" si="15"/>
        <v/>
      </c>
      <c r="B1027" s="78"/>
      <c r="C1027" s="79"/>
      <c r="D1027" s="80"/>
      <c r="E1027" s="79"/>
      <c r="F1027" s="88"/>
      <c r="G1027" s="88"/>
      <c r="H1027" s="80"/>
      <c r="I1027" s="80"/>
      <c r="J1027" s="79"/>
      <c r="K1027" s="80"/>
      <c r="L1027" s="80"/>
    </row>
    <row r="1028" ht="18" customHeight="1" spans="1:12">
      <c r="A1028" s="87" t="str">
        <f t="shared" ref="A1028:A1091" si="16">IF($C1028="","",ROW()-3)</f>
        <v/>
      </c>
      <c r="B1028" s="78"/>
      <c r="C1028" s="79"/>
      <c r="D1028" s="80"/>
      <c r="E1028" s="79"/>
      <c r="F1028" s="88"/>
      <c r="G1028" s="88"/>
      <c r="H1028" s="80"/>
      <c r="I1028" s="80"/>
      <c r="J1028" s="79"/>
      <c r="K1028" s="80"/>
      <c r="L1028" s="80"/>
    </row>
    <row r="1029" ht="18" customHeight="1" spans="1:12">
      <c r="A1029" s="87" t="str">
        <f t="shared" si="16"/>
        <v/>
      </c>
      <c r="B1029" s="78"/>
      <c r="C1029" s="79"/>
      <c r="D1029" s="80"/>
      <c r="E1029" s="79"/>
      <c r="F1029" s="88"/>
      <c r="G1029" s="88"/>
      <c r="H1029" s="80"/>
      <c r="I1029" s="80"/>
      <c r="J1029" s="79"/>
      <c r="K1029" s="80"/>
      <c r="L1029" s="80"/>
    </row>
    <row r="1030" ht="18" customHeight="1" spans="1:12">
      <c r="A1030" s="87" t="str">
        <f t="shared" si="16"/>
        <v/>
      </c>
      <c r="B1030" s="78"/>
      <c r="C1030" s="79"/>
      <c r="D1030" s="80"/>
      <c r="E1030" s="79"/>
      <c r="F1030" s="88"/>
      <c r="G1030" s="88"/>
      <c r="H1030" s="80"/>
      <c r="I1030" s="80"/>
      <c r="J1030" s="79"/>
      <c r="K1030" s="80"/>
      <c r="L1030" s="80"/>
    </row>
    <row r="1031" ht="18" customHeight="1" spans="1:12">
      <c r="A1031" s="87" t="str">
        <f t="shared" si="16"/>
        <v/>
      </c>
      <c r="B1031" s="78"/>
      <c r="C1031" s="79"/>
      <c r="D1031" s="80"/>
      <c r="E1031" s="79"/>
      <c r="F1031" s="88"/>
      <c r="G1031" s="88"/>
      <c r="H1031" s="80"/>
      <c r="I1031" s="80"/>
      <c r="J1031" s="79"/>
      <c r="K1031" s="80"/>
      <c r="L1031" s="80"/>
    </row>
    <row r="1032" ht="18" customHeight="1" spans="1:12">
      <c r="A1032" s="87" t="str">
        <f t="shared" si="16"/>
        <v/>
      </c>
      <c r="B1032" s="78"/>
      <c r="C1032" s="79"/>
      <c r="D1032" s="80"/>
      <c r="E1032" s="79"/>
      <c r="F1032" s="88"/>
      <c r="G1032" s="88"/>
      <c r="H1032" s="80"/>
      <c r="I1032" s="80"/>
      <c r="J1032" s="79"/>
      <c r="K1032" s="80"/>
      <c r="L1032" s="80"/>
    </row>
    <row r="1033" ht="18" customHeight="1" spans="1:12">
      <c r="A1033" s="87" t="str">
        <f t="shared" si="16"/>
        <v/>
      </c>
      <c r="B1033" s="78"/>
      <c r="C1033" s="79"/>
      <c r="D1033" s="80"/>
      <c r="E1033" s="79"/>
      <c r="F1033" s="88"/>
      <c r="G1033" s="88"/>
      <c r="H1033" s="80"/>
      <c r="I1033" s="80"/>
      <c r="J1033" s="79"/>
      <c r="K1033" s="80"/>
      <c r="L1033" s="80"/>
    </row>
    <row r="1034" ht="18" customHeight="1" spans="1:12">
      <c r="A1034" s="87" t="str">
        <f t="shared" si="16"/>
        <v/>
      </c>
      <c r="B1034" s="78"/>
      <c r="C1034" s="79"/>
      <c r="D1034" s="80"/>
      <c r="E1034" s="79"/>
      <c r="F1034" s="88"/>
      <c r="G1034" s="88"/>
      <c r="H1034" s="80"/>
      <c r="I1034" s="80"/>
      <c r="J1034" s="79"/>
      <c r="K1034" s="80"/>
      <c r="L1034" s="80"/>
    </row>
    <row r="1035" ht="18" customHeight="1" spans="1:12">
      <c r="A1035" s="87" t="str">
        <f t="shared" si="16"/>
        <v/>
      </c>
      <c r="B1035" s="78"/>
      <c r="C1035" s="79"/>
      <c r="D1035" s="80"/>
      <c r="E1035" s="79"/>
      <c r="F1035" s="88"/>
      <c r="G1035" s="88"/>
      <c r="H1035" s="80"/>
      <c r="I1035" s="80"/>
      <c r="J1035" s="79"/>
      <c r="K1035" s="80"/>
      <c r="L1035" s="80"/>
    </row>
    <row r="1036" ht="18" customHeight="1" spans="1:12">
      <c r="A1036" s="87" t="str">
        <f t="shared" si="16"/>
        <v/>
      </c>
      <c r="B1036" s="78"/>
      <c r="C1036" s="79"/>
      <c r="D1036" s="80"/>
      <c r="E1036" s="79"/>
      <c r="F1036" s="88"/>
      <c r="G1036" s="88"/>
      <c r="H1036" s="80"/>
      <c r="I1036" s="80"/>
      <c r="J1036" s="79"/>
      <c r="K1036" s="80"/>
      <c r="L1036" s="80"/>
    </row>
    <row r="1037" ht="18" customHeight="1" spans="1:12">
      <c r="A1037" s="87" t="str">
        <f t="shared" si="16"/>
        <v/>
      </c>
      <c r="B1037" s="78"/>
      <c r="C1037" s="79"/>
      <c r="D1037" s="80"/>
      <c r="E1037" s="79"/>
      <c r="F1037" s="88"/>
      <c r="G1037" s="88"/>
      <c r="H1037" s="80"/>
      <c r="I1037" s="80"/>
      <c r="J1037" s="79"/>
      <c r="K1037" s="80"/>
      <c r="L1037" s="80"/>
    </row>
    <row r="1038" ht="18" customHeight="1" spans="1:12">
      <c r="A1038" s="87" t="str">
        <f t="shared" si="16"/>
        <v/>
      </c>
      <c r="B1038" s="78"/>
      <c r="C1038" s="79"/>
      <c r="D1038" s="80"/>
      <c r="E1038" s="79"/>
      <c r="F1038" s="88"/>
      <c r="G1038" s="88"/>
      <c r="H1038" s="80"/>
      <c r="I1038" s="80"/>
      <c r="J1038" s="79"/>
      <c r="K1038" s="80"/>
      <c r="L1038" s="80"/>
    </row>
    <row r="1039" ht="18" customHeight="1" spans="1:12">
      <c r="A1039" s="87" t="str">
        <f t="shared" si="16"/>
        <v/>
      </c>
      <c r="B1039" s="78"/>
      <c r="C1039" s="79"/>
      <c r="D1039" s="80"/>
      <c r="E1039" s="79"/>
      <c r="F1039" s="88"/>
      <c r="G1039" s="88"/>
      <c r="H1039" s="80"/>
      <c r="I1039" s="80"/>
      <c r="J1039" s="79"/>
      <c r="K1039" s="80"/>
      <c r="L1039" s="80"/>
    </row>
    <row r="1040" ht="18" customHeight="1" spans="1:12">
      <c r="A1040" s="87" t="str">
        <f t="shared" si="16"/>
        <v/>
      </c>
      <c r="B1040" s="78"/>
      <c r="C1040" s="79"/>
      <c r="D1040" s="80"/>
      <c r="E1040" s="79"/>
      <c r="F1040" s="88"/>
      <c r="G1040" s="88"/>
      <c r="H1040" s="80"/>
      <c r="I1040" s="80"/>
      <c r="J1040" s="79"/>
      <c r="K1040" s="80"/>
      <c r="L1040" s="80"/>
    </row>
    <row r="1041" ht="18" customHeight="1" spans="1:12">
      <c r="A1041" s="87" t="str">
        <f t="shared" si="16"/>
        <v/>
      </c>
      <c r="B1041" s="78"/>
      <c r="C1041" s="79"/>
      <c r="D1041" s="80"/>
      <c r="E1041" s="79"/>
      <c r="F1041" s="88"/>
      <c r="G1041" s="88"/>
      <c r="H1041" s="80"/>
      <c r="I1041" s="80"/>
      <c r="J1041" s="79"/>
      <c r="K1041" s="80"/>
      <c r="L1041" s="80"/>
    </row>
    <row r="1042" ht="18" customHeight="1" spans="1:12">
      <c r="A1042" s="87" t="str">
        <f t="shared" si="16"/>
        <v/>
      </c>
      <c r="B1042" s="78"/>
      <c r="C1042" s="79"/>
      <c r="D1042" s="80"/>
      <c r="E1042" s="79"/>
      <c r="F1042" s="88"/>
      <c r="G1042" s="88"/>
      <c r="H1042" s="80"/>
      <c r="I1042" s="80"/>
      <c r="J1042" s="79"/>
      <c r="K1042" s="80"/>
      <c r="L1042" s="80"/>
    </row>
    <row r="1043" ht="18" customHeight="1" spans="1:12">
      <c r="A1043" s="87" t="str">
        <f t="shared" si="16"/>
        <v/>
      </c>
      <c r="B1043" s="78"/>
      <c r="C1043" s="79"/>
      <c r="D1043" s="80"/>
      <c r="E1043" s="79"/>
      <c r="F1043" s="88"/>
      <c r="G1043" s="88"/>
      <c r="H1043" s="80"/>
      <c r="I1043" s="80"/>
      <c r="J1043" s="79"/>
      <c r="K1043" s="80"/>
      <c r="L1043" s="80"/>
    </row>
    <row r="1044" ht="18" customHeight="1" spans="1:12">
      <c r="A1044" s="87" t="str">
        <f t="shared" si="16"/>
        <v/>
      </c>
      <c r="B1044" s="78"/>
      <c r="C1044" s="79"/>
      <c r="D1044" s="80"/>
      <c r="E1044" s="79"/>
      <c r="F1044" s="88"/>
      <c r="G1044" s="88"/>
      <c r="H1044" s="80"/>
      <c r="I1044" s="80"/>
      <c r="J1044" s="79"/>
      <c r="K1044" s="80"/>
      <c r="L1044" s="80"/>
    </row>
    <row r="1045" ht="18" customHeight="1" spans="1:12">
      <c r="A1045" s="87" t="str">
        <f t="shared" si="16"/>
        <v/>
      </c>
      <c r="B1045" s="78"/>
      <c r="C1045" s="79"/>
      <c r="D1045" s="80"/>
      <c r="E1045" s="79"/>
      <c r="F1045" s="88"/>
      <c r="G1045" s="88"/>
      <c r="H1045" s="80"/>
      <c r="I1045" s="80"/>
      <c r="J1045" s="79"/>
      <c r="K1045" s="80"/>
      <c r="L1045" s="80"/>
    </row>
    <row r="1046" ht="18" customHeight="1" spans="1:12">
      <c r="A1046" s="87" t="str">
        <f t="shared" si="16"/>
        <v/>
      </c>
      <c r="B1046" s="78"/>
      <c r="C1046" s="79"/>
      <c r="D1046" s="80"/>
      <c r="E1046" s="79"/>
      <c r="F1046" s="88"/>
      <c r="G1046" s="88"/>
      <c r="H1046" s="80"/>
      <c r="I1046" s="80"/>
      <c r="J1046" s="79"/>
      <c r="K1046" s="80"/>
      <c r="L1046" s="80"/>
    </row>
    <row r="1047" ht="18" customHeight="1" spans="1:12">
      <c r="A1047" s="87" t="str">
        <f t="shared" si="16"/>
        <v/>
      </c>
      <c r="B1047" s="78"/>
      <c r="C1047" s="79"/>
      <c r="D1047" s="80"/>
      <c r="E1047" s="79"/>
      <c r="F1047" s="88"/>
      <c r="G1047" s="88"/>
      <c r="H1047" s="80"/>
      <c r="I1047" s="80"/>
      <c r="J1047" s="79"/>
      <c r="K1047" s="80"/>
      <c r="L1047" s="80"/>
    </row>
    <row r="1048" ht="18" customHeight="1" spans="1:12">
      <c r="A1048" s="87" t="str">
        <f t="shared" si="16"/>
        <v/>
      </c>
      <c r="B1048" s="78"/>
      <c r="C1048" s="79"/>
      <c r="D1048" s="80"/>
      <c r="E1048" s="79"/>
      <c r="F1048" s="88"/>
      <c r="G1048" s="88"/>
      <c r="H1048" s="80"/>
      <c r="I1048" s="80"/>
      <c r="J1048" s="79"/>
      <c r="K1048" s="80"/>
      <c r="L1048" s="80"/>
    </row>
    <row r="1049" ht="18" customHeight="1" spans="1:12">
      <c r="A1049" s="87" t="str">
        <f t="shared" si="16"/>
        <v/>
      </c>
      <c r="B1049" s="78"/>
      <c r="C1049" s="79"/>
      <c r="D1049" s="80"/>
      <c r="E1049" s="79"/>
      <c r="F1049" s="88"/>
      <c r="G1049" s="88"/>
      <c r="H1049" s="80"/>
      <c r="I1049" s="80"/>
      <c r="J1049" s="79"/>
      <c r="K1049" s="80"/>
      <c r="L1049" s="80"/>
    </row>
    <row r="1050" ht="18" customHeight="1" spans="1:12">
      <c r="A1050" s="87" t="str">
        <f t="shared" si="16"/>
        <v/>
      </c>
      <c r="B1050" s="78"/>
      <c r="C1050" s="79"/>
      <c r="D1050" s="80"/>
      <c r="E1050" s="79"/>
      <c r="F1050" s="88"/>
      <c r="G1050" s="88"/>
      <c r="H1050" s="80"/>
      <c r="I1050" s="80"/>
      <c r="J1050" s="79"/>
      <c r="K1050" s="80"/>
      <c r="L1050" s="80"/>
    </row>
    <row r="1051" ht="18" customHeight="1" spans="1:12">
      <c r="A1051" s="87" t="str">
        <f t="shared" si="16"/>
        <v/>
      </c>
      <c r="B1051" s="78"/>
      <c r="C1051" s="79"/>
      <c r="D1051" s="80"/>
      <c r="E1051" s="79"/>
      <c r="F1051" s="88"/>
      <c r="G1051" s="88"/>
      <c r="H1051" s="80"/>
      <c r="I1051" s="80"/>
      <c r="J1051" s="79"/>
      <c r="K1051" s="80"/>
      <c r="L1051" s="80"/>
    </row>
    <row r="1052" ht="18" customHeight="1" spans="1:12">
      <c r="A1052" s="87" t="str">
        <f t="shared" si="16"/>
        <v/>
      </c>
      <c r="B1052" s="78"/>
      <c r="C1052" s="79"/>
      <c r="D1052" s="80"/>
      <c r="E1052" s="79"/>
      <c r="F1052" s="88"/>
      <c r="G1052" s="88"/>
      <c r="H1052" s="80"/>
      <c r="I1052" s="80"/>
      <c r="J1052" s="79"/>
      <c r="K1052" s="80"/>
      <c r="L1052" s="80"/>
    </row>
    <row r="1053" ht="18" customHeight="1" spans="1:12">
      <c r="A1053" s="87" t="str">
        <f t="shared" si="16"/>
        <v/>
      </c>
      <c r="B1053" s="78"/>
      <c r="C1053" s="79"/>
      <c r="D1053" s="80"/>
      <c r="E1053" s="79"/>
      <c r="F1053" s="88"/>
      <c r="G1053" s="88"/>
      <c r="H1053" s="80"/>
      <c r="I1053" s="80"/>
      <c r="J1053" s="79"/>
      <c r="K1053" s="80"/>
      <c r="L1053" s="80"/>
    </row>
    <row r="1054" ht="18" customHeight="1" spans="1:12">
      <c r="A1054" s="87" t="str">
        <f t="shared" si="16"/>
        <v/>
      </c>
      <c r="B1054" s="78"/>
      <c r="C1054" s="79"/>
      <c r="D1054" s="80"/>
      <c r="E1054" s="79"/>
      <c r="F1054" s="88"/>
      <c r="G1054" s="88"/>
      <c r="H1054" s="80"/>
      <c r="I1054" s="80"/>
      <c r="J1054" s="79"/>
      <c r="K1054" s="80"/>
      <c r="L1054" s="80"/>
    </row>
    <row r="1055" ht="18" customHeight="1" spans="1:12">
      <c r="A1055" s="87" t="str">
        <f t="shared" si="16"/>
        <v/>
      </c>
      <c r="B1055" s="78"/>
      <c r="C1055" s="79"/>
      <c r="D1055" s="80"/>
      <c r="E1055" s="79"/>
      <c r="F1055" s="88"/>
      <c r="G1055" s="88"/>
      <c r="H1055" s="80"/>
      <c r="I1055" s="80"/>
      <c r="J1055" s="79"/>
      <c r="K1055" s="80"/>
      <c r="L1055" s="80"/>
    </row>
    <row r="1056" ht="18" customHeight="1" spans="1:12">
      <c r="A1056" s="87" t="str">
        <f t="shared" si="16"/>
        <v/>
      </c>
      <c r="B1056" s="78"/>
      <c r="C1056" s="79"/>
      <c r="D1056" s="80"/>
      <c r="E1056" s="79"/>
      <c r="F1056" s="88"/>
      <c r="G1056" s="88"/>
      <c r="H1056" s="80"/>
      <c r="I1056" s="80"/>
      <c r="J1056" s="79"/>
      <c r="K1056" s="80"/>
      <c r="L1056" s="80"/>
    </row>
    <row r="1057" ht="18" customHeight="1" spans="1:12">
      <c r="A1057" s="87" t="str">
        <f t="shared" si="16"/>
        <v/>
      </c>
      <c r="B1057" s="78"/>
      <c r="C1057" s="79"/>
      <c r="D1057" s="80"/>
      <c r="E1057" s="79"/>
      <c r="F1057" s="88"/>
      <c r="G1057" s="88"/>
      <c r="H1057" s="80"/>
      <c r="I1057" s="80"/>
      <c r="J1057" s="79"/>
      <c r="K1057" s="80"/>
      <c r="L1057" s="80"/>
    </row>
    <row r="1058" ht="18" customHeight="1" spans="1:12">
      <c r="A1058" s="87" t="str">
        <f t="shared" si="16"/>
        <v/>
      </c>
      <c r="B1058" s="78"/>
      <c r="C1058" s="79"/>
      <c r="D1058" s="80"/>
      <c r="E1058" s="79"/>
      <c r="F1058" s="88"/>
      <c r="G1058" s="88"/>
      <c r="H1058" s="80"/>
      <c r="I1058" s="80"/>
      <c r="J1058" s="79"/>
      <c r="K1058" s="80"/>
      <c r="L1058" s="80"/>
    </row>
    <row r="1059" ht="18" customHeight="1" spans="1:12">
      <c r="A1059" s="87" t="str">
        <f t="shared" si="16"/>
        <v/>
      </c>
      <c r="B1059" s="78"/>
      <c r="C1059" s="79"/>
      <c r="D1059" s="80"/>
      <c r="E1059" s="79"/>
      <c r="F1059" s="88"/>
      <c r="G1059" s="88"/>
      <c r="H1059" s="80"/>
      <c r="I1059" s="80"/>
      <c r="J1059" s="79"/>
      <c r="K1059" s="80"/>
      <c r="L1059" s="80"/>
    </row>
    <row r="1060" ht="18" customHeight="1" spans="1:12">
      <c r="A1060" s="87" t="str">
        <f t="shared" si="16"/>
        <v/>
      </c>
      <c r="B1060" s="78"/>
      <c r="C1060" s="79"/>
      <c r="D1060" s="80"/>
      <c r="E1060" s="79"/>
      <c r="F1060" s="88"/>
      <c r="G1060" s="88"/>
      <c r="H1060" s="80"/>
      <c r="I1060" s="80"/>
      <c r="J1060" s="79"/>
      <c r="K1060" s="80"/>
      <c r="L1060" s="80"/>
    </row>
    <row r="1061" ht="18" customHeight="1" spans="1:12">
      <c r="A1061" s="87" t="str">
        <f t="shared" si="16"/>
        <v/>
      </c>
      <c r="B1061" s="78"/>
      <c r="C1061" s="79"/>
      <c r="D1061" s="80"/>
      <c r="E1061" s="79"/>
      <c r="F1061" s="88"/>
      <c r="G1061" s="88"/>
      <c r="H1061" s="80"/>
      <c r="I1061" s="80"/>
      <c r="J1061" s="79"/>
      <c r="K1061" s="80"/>
      <c r="L1061" s="80"/>
    </row>
    <row r="1062" ht="18" customHeight="1" spans="1:12">
      <c r="A1062" s="87" t="str">
        <f t="shared" si="16"/>
        <v/>
      </c>
      <c r="B1062" s="78"/>
      <c r="C1062" s="79"/>
      <c r="D1062" s="80"/>
      <c r="E1062" s="79"/>
      <c r="F1062" s="88"/>
      <c r="G1062" s="88"/>
      <c r="H1062" s="80"/>
      <c r="I1062" s="80"/>
      <c r="J1062" s="79"/>
      <c r="K1062" s="80"/>
      <c r="L1062" s="80"/>
    </row>
    <row r="1063" ht="18" customHeight="1" spans="1:12">
      <c r="A1063" s="87" t="str">
        <f t="shared" si="16"/>
        <v/>
      </c>
      <c r="B1063" s="78"/>
      <c r="C1063" s="79"/>
      <c r="D1063" s="80"/>
      <c r="E1063" s="79"/>
      <c r="F1063" s="88"/>
      <c r="G1063" s="88"/>
      <c r="H1063" s="80"/>
      <c r="I1063" s="80"/>
      <c r="J1063" s="79"/>
      <c r="K1063" s="80"/>
      <c r="L1063" s="80"/>
    </row>
    <row r="1064" ht="18" customHeight="1" spans="1:12">
      <c r="A1064" s="87" t="str">
        <f t="shared" si="16"/>
        <v/>
      </c>
      <c r="B1064" s="78"/>
      <c r="C1064" s="79"/>
      <c r="D1064" s="80"/>
      <c r="E1064" s="79"/>
      <c r="F1064" s="88"/>
      <c r="G1064" s="88"/>
      <c r="H1064" s="80"/>
      <c r="I1064" s="80"/>
      <c r="J1064" s="79"/>
      <c r="K1064" s="80"/>
      <c r="L1064" s="80"/>
    </row>
    <row r="1065" ht="18" customHeight="1" spans="1:12">
      <c r="A1065" s="87" t="str">
        <f t="shared" si="16"/>
        <v/>
      </c>
      <c r="B1065" s="78"/>
      <c r="C1065" s="79"/>
      <c r="D1065" s="80"/>
      <c r="E1065" s="79"/>
      <c r="F1065" s="88"/>
      <c r="G1065" s="88"/>
      <c r="H1065" s="80"/>
      <c r="I1065" s="80"/>
      <c r="J1065" s="79"/>
      <c r="K1065" s="80"/>
      <c r="L1065" s="80"/>
    </row>
    <row r="1066" ht="18" customHeight="1" spans="1:12">
      <c r="A1066" s="87" t="str">
        <f t="shared" si="16"/>
        <v/>
      </c>
      <c r="B1066" s="78"/>
      <c r="C1066" s="79"/>
      <c r="D1066" s="80"/>
      <c r="E1066" s="79"/>
      <c r="F1066" s="88"/>
      <c r="G1066" s="88"/>
      <c r="H1066" s="80"/>
      <c r="I1066" s="80"/>
      <c r="J1066" s="79"/>
      <c r="K1066" s="80"/>
      <c r="L1066" s="80"/>
    </row>
    <row r="1067" ht="18" customHeight="1" spans="1:12">
      <c r="A1067" s="87" t="str">
        <f t="shared" si="16"/>
        <v/>
      </c>
      <c r="B1067" s="78"/>
      <c r="C1067" s="79"/>
      <c r="D1067" s="80"/>
      <c r="E1067" s="79"/>
      <c r="F1067" s="88"/>
      <c r="G1067" s="88"/>
      <c r="H1067" s="80"/>
      <c r="I1067" s="80"/>
      <c r="J1067" s="79"/>
      <c r="K1067" s="80"/>
      <c r="L1067" s="80"/>
    </row>
    <row r="1068" ht="18" customHeight="1" spans="1:12">
      <c r="A1068" s="87" t="str">
        <f t="shared" si="16"/>
        <v/>
      </c>
      <c r="B1068" s="78"/>
      <c r="C1068" s="79"/>
      <c r="D1068" s="80"/>
      <c r="E1068" s="79"/>
      <c r="F1068" s="88"/>
      <c r="G1068" s="88"/>
      <c r="H1068" s="80"/>
      <c r="I1068" s="80"/>
      <c r="J1068" s="79"/>
      <c r="K1068" s="80"/>
      <c r="L1068" s="80"/>
    </row>
    <row r="1069" ht="18" customHeight="1" spans="1:12">
      <c r="A1069" s="87" t="str">
        <f t="shared" si="16"/>
        <v/>
      </c>
      <c r="B1069" s="78"/>
      <c r="C1069" s="79"/>
      <c r="D1069" s="80"/>
      <c r="E1069" s="79"/>
      <c r="F1069" s="88"/>
      <c r="G1069" s="88"/>
      <c r="H1069" s="80"/>
      <c r="I1069" s="80"/>
      <c r="J1069" s="79"/>
      <c r="K1069" s="80"/>
      <c r="L1069" s="80"/>
    </row>
    <row r="1070" ht="18" customHeight="1" spans="1:12">
      <c r="A1070" s="87" t="str">
        <f t="shared" si="16"/>
        <v/>
      </c>
      <c r="B1070" s="78"/>
      <c r="C1070" s="79"/>
      <c r="D1070" s="80"/>
      <c r="E1070" s="79"/>
      <c r="F1070" s="88"/>
      <c r="G1070" s="88"/>
      <c r="H1070" s="80"/>
      <c r="I1070" s="80"/>
      <c r="J1070" s="79"/>
      <c r="K1070" s="80"/>
      <c r="L1070" s="80"/>
    </row>
    <row r="1071" ht="18" customHeight="1" spans="1:12">
      <c r="A1071" s="87" t="str">
        <f t="shared" si="16"/>
        <v/>
      </c>
      <c r="B1071" s="78"/>
      <c r="C1071" s="79"/>
      <c r="D1071" s="80"/>
      <c r="E1071" s="79"/>
      <c r="F1071" s="88"/>
      <c r="G1071" s="88"/>
      <c r="H1071" s="80"/>
      <c r="I1071" s="80"/>
      <c r="J1071" s="79"/>
      <c r="K1071" s="80"/>
      <c r="L1071" s="80"/>
    </row>
    <row r="1072" ht="18" customHeight="1" spans="1:12">
      <c r="A1072" s="87" t="str">
        <f t="shared" si="16"/>
        <v/>
      </c>
      <c r="B1072" s="78"/>
      <c r="C1072" s="79"/>
      <c r="D1072" s="80"/>
      <c r="E1072" s="79"/>
      <c r="F1072" s="88"/>
      <c r="G1072" s="88"/>
      <c r="H1072" s="80"/>
      <c r="I1072" s="80"/>
      <c r="J1072" s="79"/>
      <c r="K1072" s="80"/>
      <c r="L1072" s="80"/>
    </row>
    <row r="1073" ht="18" customHeight="1" spans="1:12">
      <c r="A1073" s="87" t="str">
        <f t="shared" si="16"/>
        <v/>
      </c>
      <c r="B1073" s="78"/>
      <c r="C1073" s="79"/>
      <c r="D1073" s="80"/>
      <c r="E1073" s="79"/>
      <c r="F1073" s="88"/>
      <c r="G1073" s="88"/>
      <c r="H1073" s="80"/>
      <c r="I1073" s="80"/>
      <c r="J1073" s="79"/>
      <c r="K1073" s="80"/>
      <c r="L1073" s="80"/>
    </row>
    <row r="1074" ht="18" customHeight="1" spans="1:12">
      <c r="A1074" s="87" t="str">
        <f t="shared" si="16"/>
        <v/>
      </c>
      <c r="B1074" s="78"/>
      <c r="C1074" s="79"/>
      <c r="D1074" s="80"/>
      <c r="E1074" s="79"/>
      <c r="F1074" s="88"/>
      <c r="G1074" s="88"/>
      <c r="H1074" s="80"/>
      <c r="I1074" s="80"/>
      <c r="J1074" s="79"/>
      <c r="K1074" s="80"/>
      <c r="L1074" s="80"/>
    </row>
    <row r="1075" ht="18" customHeight="1" spans="1:12">
      <c r="A1075" s="87" t="str">
        <f t="shared" si="16"/>
        <v/>
      </c>
      <c r="B1075" s="78"/>
      <c r="C1075" s="79"/>
      <c r="D1075" s="80"/>
      <c r="E1075" s="79"/>
      <c r="F1075" s="88"/>
      <c r="G1075" s="88"/>
      <c r="H1075" s="80"/>
      <c r="I1075" s="80"/>
      <c r="J1075" s="79"/>
      <c r="K1075" s="80"/>
      <c r="L1075" s="80"/>
    </row>
    <row r="1076" ht="18" customHeight="1" spans="1:12">
      <c r="A1076" s="87" t="str">
        <f t="shared" si="16"/>
        <v/>
      </c>
      <c r="B1076" s="78"/>
      <c r="C1076" s="79"/>
      <c r="D1076" s="80"/>
      <c r="E1076" s="79"/>
      <c r="F1076" s="88"/>
      <c r="G1076" s="88"/>
      <c r="H1076" s="80"/>
      <c r="I1076" s="80"/>
      <c r="J1076" s="79"/>
      <c r="K1076" s="80"/>
      <c r="L1076" s="80"/>
    </row>
    <row r="1077" ht="18" customHeight="1" spans="1:12">
      <c r="A1077" s="87" t="str">
        <f t="shared" si="16"/>
        <v/>
      </c>
      <c r="B1077" s="78"/>
      <c r="C1077" s="79"/>
      <c r="D1077" s="80"/>
      <c r="E1077" s="79"/>
      <c r="F1077" s="88"/>
      <c r="G1077" s="88"/>
      <c r="H1077" s="80"/>
      <c r="I1077" s="80"/>
      <c r="J1077" s="79"/>
      <c r="K1077" s="80"/>
      <c r="L1077" s="80"/>
    </row>
    <row r="1078" ht="18" customHeight="1" spans="1:12">
      <c r="A1078" s="87" t="str">
        <f t="shared" si="16"/>
        <v/>
      </c>
      <c r="B1078" s="78"/>
      <c r="C1078" s="79"/>
      <c r="D1078" s="80"/>
      <c r="E1078" s="79"/>
      <c r="F1078" s="88"/>
      <c r="G1078" s="88"/>
      <c r="H1078" s="80"/>
      <c r="I1078" s="80"/>
      <c r="J1078" s="79"/>
      <c r="K1078" s="80"/>
      <c r="L1078" s="80"/>
    </row>
    <row r="1079" ht="18" customHeight="1" spans="1:12">
      <c r="A1079" s="87" t="str">
        <f t="shared" si="16"/>
        <v/>
      </c>
      <c r="B1079" s="78"/>
      <c r="C1079" s="79"/>
      <c r="D1079" s="80"/>
      <c r="E1079" s="79"/>
      <c r="F1079" s="88"/>
      <c r="G1079" s="88"/>
      <c r="H1079" s="80"/>
      <c r="I1079" s="80"/>
      <c r="J1079" s="79"/>
      <c r="K1079" s="80"/>
      <c r="L1079" s="80"/>
    </row>
    <row r="1080" ht="18" customHeight="1" spans="1:12">
      <c r="A1080" s="87" t="str">
        <f t="shared" si="16"/>
        <v/>
      </c>
      <c r="B1080" s="78"/>
      <c r="C1080" s="79"/>
      <c r="D1080" s="80"/>
      <c r="E1080" s="79"/>
      <c r="F1080" s="88"/>
      <c r="G1080" s="88"/>
      <c r="H1080" s="80"/>
      <c r="I1080" s="80"/>
      <c r="J1080" s="79"/>
      <c r="K1080" s="80"/>
      <c r="L1080" s="80"/>
    </row>
    <row r="1081" ht="18" customHeight="1" spans="1:12">
      <c r="A1081" s="87" t="str">
        <f t="shared" si="16"/>
        <v/>
      </c>
      <c r="B1081" s="78"/>
      <c r="C1081" s="79"/>
      <c r="D1081" s="80"/>
      <c r="E1081" s="79"/>
      <c r="F1081" s="88"/>
      <c r="G1081" s="88"/>
      <c r="H1081" s="80"/>
      <c r="I1081" s="80"/>
      <c r="J1081" s="79"/>
      <c r="K1081" s="80"/>
      <c r="L1081" s="80"/>
    </row>
    <row r="1082" ht="18" customHeight="1" spans="1:12">
      <c r="A1082" s="87" t="str">
        <f t="shared" si="16"/>
        <v/>
      </c>
      <c r="B1082" s="78"/>
      <c r="C1082" s="79"/>
      <c r="D1082" s="80"/>
      <c r="E1082" s="79"/>
      <c r="F1082" s="88"/>
      <c r="G1082" s="88"/>
      <c r="H1082" s="80"/>
      <c r="I1082" s="80"/>
      <c r="J1082" s="79"/>
      <c r="K1082" s="80"/>
      <c r="L1082" s="80"/>
    </row>
    <row r="1083" ht="18" customHeight="1" spans="1:12">
      <c r="A1083" s="87" t="str">
        <f t="shared" si="16"/>
        <v/>
      </c>
      <c r="B1083" s="78"/>
      <c r="C1083" s="79"/>
      <c r="D1083" s="80"/>
      <c r="E1083" s="79"/>
      <c r="F1083" s="88"/>
      <c r="G1083" s="88"/>
      <c r="H1083" s="80"/>
      <c r="I1083" s="80"/>
      <c r="J1083" s="79"/>
      <c r="K1083" s="80"/>
      <c r="L1083" s="80"/>
    </row>
    <row r="1084" ht="18" customHeight="1" spans="1:12">
      <c r="A1084" s="87" t="str">
        <f t="shared" si="16"/>
        <v/>
      </c>
      <c r="B1084" s="78"/>
      <c r="C1084" s="79"/>
      <c r="D1084" s="80"/>
      <c r="E1084" s="79"/>
      <c r="F1084" s="88"/>
      <c r="G1084" s="88"/>
      <c r="H1084" s="80"/>
      <c r="I1084" s="80"/>
      <c r="J1084" s="79"/>
      <c r="K1084" s="80"/>
      <c r="L1084" s="80"/>
    </row>
    <row r="1085" ht="18" customHeight="1" spans="1:12">
      <c r="A1085" s="87" t="str">
        <f t="shared" si="16"/>
        <v/>
      </c>
      <c r="B1085" s="78"/>
      <c r="C1085" s="79"/>
      <c r="D1085" s="80"/>
      <c r="E1085" s="79"/>
      <c r="F1085" s="88"/>
      <c r="G1085" s="88"/>
      <c r="H1085" s="80"/>
      <c r="I1085" s="80"/>
      <c r="J1085" s="79"/>
      <c r="K1085" s="80"/>
      <c r="L1085" s="80"/>
    </row>
    <row r="1086" ht="18" customHeight="1" spans="1:12">
      <c r="A1086" s="87" t="str">
        <f t="shared" si="16"/>
        <v/>
      </c>
      <c r="B1086" s="78"/>
      <c r="C1086" s="79"/>
      <c r="D1086" s="80"/>
      <c r="E1086" s="79"/>
      <c r="F1086" s="88"/>
      <c r="G1086" s="88"/>
      <c r="H1086" s="80"/>
      <c r="I1086" s="80"/>
      <c r="J1086" s="79"/>
      <c r="K1086" s="80"/>
      <c r="L1086" s="80"/>
    </row>
    <row r="1087" ht="18" customHeight="1" spans="1:12">
      <c r="A1087" s="87" t="str">
        <f t="shared" si="16"/>
        <v/>
      </c>
      <c r="B1087" s="78"/>
      <c r="C1087" s="79"/>
      <c r="D1087" s="80"/>
      <c r="E1087" s="79"/>
      <c r="F1087" s="88"/>
      <c r="G1087" s="88"/>
      <c r="H1087" s="80"/>
      <c r="I1087" s="80"/>
      <c r="J1087" s="79"/>
      <c r="K1087" s="80"/>
      <c r="L1087" s="80"/>
    </row>
    <row r="1088" ht="18" customHeight="1" spans="1:12">
      <c r="A1088" s="87" t="str">
        <f t="shared" si="16"/>
        <v/>
      </c>
      <c r="B1088" s="78"/>
      <c r="C1088" s="79"/>
      <c r="D1088" s="80"/>
      <c r="E1088" s="79"/>
      <c r="F1088" s="88"/>
      <c r="G1088" s="88"/>
      <c r="H1088" s="80"/>
      <c r="I1088" s="80"/>
      <c r="J1088" s="79"/>
      <c r="K1088" s="80"/>
      <c r="L1088" s="80"/>
    </row>
    <row r="1089" ht="18" customHeight="1" spans="1:12">
      <c r="A1089" s="87" t="str">
        <f t="shared" si="16"/>
        <v/>
      </c>
      <c r="B1089" s="78"/>
      <c r="C1089" s="79"/>
      <c r="D1089" s="80"/>
      <c r="E1089" s="79"/>
      <c r="F1089" s="88"/>
      <c r="G1089" s="88"/>
      <c r="H1089" s="80"/>
      <c r="I1089" s="80"/>
      <c r="J1089" s="79"/>
      <c r="K1089" s="80"/>
      <c r="L1089" s="80"/>
    </row>
    <row r="1090" ht="18" customHeight="1" spans="1:12">
      <c r="A1090" s="87" t="str">
        <f t="shared" si="16"/>
        <v/>
      </c>
      <c r="B1090" s="78"/>
      <c r="C1090" s="79"/>
      <c r="D1090" s="80"/>
      <c r="E1090" s="79"/>
      <c r="F1090" s="88"/>
      <c r="G1090" s="88"/>
      <c r="H1090" s="80"/>
      <c r="I1090" s="80"/>
      <c r="J1090" s="79"/>
      <c r="K1090" s="80"/>
      <c r="L1090" s="80"/>
    </row>
    <row r="1091" ht="18" customHeight="1" spans="1:12">
      <c r="A1091" s="87" t="str">
        <f t="shared" si="16"/>
        <v/>
      </c>
      <c r="B1091" s="78"/>
      <c r="C1091" s="79"/>
      <c r="D1091" s="80"/>
      <c r="E1091" s="79"/>
      <c r="F1091" s="88"/>
      <c r="G1091" s="88"/>
      <c r="H1091" s="80"/>
      <c r="I1091" s="80"/>
      <c r="J1091" s="79"/>
      <c r="K1091" s="80"/>
      <c r="L1091" s="80"/>
    </row>
    <row r="1092" ht="18" customHeight="1" spans="1:12">
      <c r="A1092" s="87" t="str">
        <f t="shared" ref="A1092:A1155" si="17">IF($C1092="","",ROW()-3)</f>
        <v/>
      </c>
      <c r="B1092" s="78"/>
      <c r="C1092" s="79"/>
      <c r="D1092" s="80"/>
      <c r="E1092" s="79"/>
      <c r="F1092" s="88"/>
      <c r="G1092" s="88"/>
      <c r="H1092" s="80"/>
      <c r="I1092" s="80"/>
      <c r="J1092" s="79"/>
      <c r="K1092" s="80"/>
      <c r="L1092" s="80"/>
    </row>
    <row r="1093" ht="18" customHeight="1" spans="1:12">
      <c r="A1093" s="87" t="str">
        <f t="shared" si="17"/>
        <v/>
      </c>
      <c r="B1093" s="78"/>
      <c r="C1093" s="79"/>
      <c r="D1093" s="80"/>
      <c r="E1093" s="79"/>
      <c r="F1093" s="88"/>
      <c r="G1093" s="88"/>
      <c r="H1093" s="80"/>
      <c r="I1093" s="80"/>
      <c r="J1093" s="79"/>
      <c r="K1093" s="80"/>
      <c r="L1093" s="80"/>
    </row>
    <row r="1094" ht="18" customHeight="1" spans="1:12">
      <c r="A1094" s="87" t="str">
        <f t="shared" si="17"/>
        <v/>
      </c>
      <c r="B1094" s="78"/>
      <c r="C1094" s="79"/>
      <c r="D1094" s="80"/>
      <c r="E1094" s="79"/>
      <c r="F1094" s="88"/>
      <c r="G1094" s="88"/>
      <c r="H1094" s="80"/>
      <c r="I1094" s="80"/>
      <c r="J1094" s="79"/>
      <c r="K1094" s="80"/>
      <c r="L1094" s="80"/>
    </row>
    <row r="1095" ht="18" customHeight="1" spans="1:12">
      <c r="A1095" s="87" t="str">
        <f t="shared" si="17"/>
        <v/>
      </c>
      <c r="B1095" s="78"/>
      <c r="C1095" s="79"/>
      <c r="D1095" s="80"/>
      <c r="E1095" s="79"/>
      <c r="F1095" s="88"/>
      <c r="G1095" s="88"/>
      <c r="H1095" s="80"/>
      <c r="I1095" s="80"/>
      <c r="J1095" s="79"/>
      <c r="K1095" s="80"/>
      <c r="L1095" s="80"/>
    </row>
    <row r="1096" ht="18" customHeight="1" spans="1:12">
      <c r="A1096" s="87" t="str">
        <f t="shared" si="17"/>
        <v/>
      </c>
      <c r="B1096" s="78"/>
      <c r="C1096" s="79"/>
      <c r="D1096" s="80"/>
      <c r="E1096" s="79"/>
      <c r="F1096" s="88"/>
      <c r="G1096" s="88"/>
      <c r="H1096" s="80"/>
      <c r="I1096" s="80"/>
      <c r="J1096" s="79"/>
      <c r="K1096" s="80"/>
      <c r="L1096" s="80"/>
    </row>
    <row r="1097" ht="18" customHeight="1" spans="1:12">
      <c r="A1097" s="87" t="str">
        <f t="shared" si="17"/>
        <v/>
      </c>
      <c r="B1097" s="78"/>
      <c r="C1097" s="79"/>
      <c r="D1097" s="80"/>
      <c r="E1097" s="79"/>
      <c r="F1097" s="88"/>
      <c r="G1097" s="88"/>
      <c r="H1097" s="80"/>
      <c r="I1097" s="80"/>
      <c r="J1097" s="79"/>
      <c r="K1097" s="80"/>
      <c r="L1097" s="80"/>
    </row>
    <row r="1098" ht="18" customHeight="1" spans="1:12">
      <c r="A1098" s="87" t="str">
        <f t="shared" si="17"/>
        <v/>
      </c>
      <c r="B1098" s="78"/>
      <c r="C1098" s="79"/>
      <c r="D1098" s="80"/>
      <c r="E1098" s="79"/>
      <c r="F1098" s="88"/>
      <c r="G1098" s="88"/>
      <c r="H1098" s="80"/>
      <c r="I1098" s="80"/>
      <c r="J1098" s="79"/>
      <c r="K1098" s="80"/>
      <c r="L1098" s="80"/>
    </row>
    <row r="1099" ht="18" customHeight="1" spans="1:12">
      <c r="A1099" s="87" t="str">
        <f t="shared" si="17"/>
        <v/>
      </c>
      <c r="B1099" s="78"/>
      <c r="C1099" s="79"/>
      <c r="D1099" s="80"/>
      <c r="E1099" s="79"/>
      <c r="F1099" s="88"/>
      <c r="G1099" s="88"/>
      <c r="H1099" s="80"/>
      <c r="I1099" s="80"/>
      <c r="J1099" s="79"/>
      <c r="K1099" s="80"/>
      <c r="L1099" s="80"/>
    </row>
    <row r="1100" ht="18" customHeight="1" spans="1:12">
      <c r="A1100" s="87" t="str">
        <f t="shared" si="17"/>
        <v/>
      </c>
      <c r="B1100" s="78"/>
      <c r="C1100" s="79"/>
      <c r="D1100" s="80"/>
      <c r="E1100" s="79"/>
      <c r="F1100" s="88"/>
      <c r="G1100" s="88"/>
      <c r="H1100" s="80"/>
      <c r="I1100" s="80"/>
      <c r="J1100" s="79"/>
      <c r="K1100" s="80"/>
      <c r="L1100" s="80"/>
    </row>
    <row r="1101" ht="18" customHeight="1" spans="1:12">
      <c r="A1101" s="87" t="str">
        <f t="shared" si="17"/>
        <v/>
      </c>
      <c r="B1101" s="78"/>
      <c r="C1101" s="79"/>
      <c r="D1101" s="80"/>
      <c r="E1101" s="79"/>
      <c r="F1101" s="88"/>
      <c r="G1101" s="88"/>
      <c r="H1101" s="80"/>
      <c r="I1101" s="80"/>
      <c r="J1101" s="79"/>
      <c r="K1101" s="80"/>
      <c r="L1101" s="80"/>
    </row>
    <row r="1102" ht="18" customHeight="1" spans="1:12">
      <c r="A1102" s="87" t="str">
        <f t="shared" si="17"/>
        <v/>
      </c>
      <c r="B1102" s="78"/>
      <c r="C1102" s="79"/>
      <c r="D1102" s="80"/>
      <c r="E1102" s="79"/>
      <c r="F1102" s="88"/>
      <c r="G1102" s="88"/>
      <c r="H1102" s="80"/>
      <c r="I1102" s="80"/>
      <c r="J1102" s="79"/>
      <c r="K1102" s="80"/>
      <c r="L1102" s="80"/>
    </row>
    <row r="1103" ht="18" customHeight="1" spans="1:12">
      <c r="A1103" s="87" t="str">
        <f t="shared" si="17"/>
        <v/>
      </c>
      <c r="B1103" s="78"/>
      <c r="C1103" s="79"/>
      <c r="D1103" s="80"/>
      <c r="E1103" s="79"/>
      <c r="F1103" s="88"/>
      <c r="G1103" s="88"/>
      <c r="H1103" s="80"/>
      <c r="I1103" s="80"/>
      <c r="J1103" s="79"/>
      <c r="K1103" s="80"/>
      <c r="L1103" s="80"/>
    </row>
    <row r="1104" ht="18" customHeight="1" spans="1:12">
      <c r="A1104" s="87" t="str">
        <f t="shared" si="17"/>
        <v/>
      </c>
      <c r="B1104" s="78"/>
      <c r="C1104" s="79"/>
      <c r="D1104" s="80"/>
      <c r="E1104" s="79"/>
      <c r="F1104" s="88"/>
      <c r="G1104" s="88"/>
      <c r="H1104" s="80"/>
      <c r="I1104" s="80"/>
      <c r="J1104" s="79"/>
      <c r="K1104" s="80"/>
      <c r="L1104" s="80"/>
    </row>
    <row r="1105" ht="18" customHeight="1" spans="1:12">
      <c r="A1105" s="87" t="str">
        <f t="shared" si="17"/>
        <v/>
      </c>
      <c r="B1105" s="78"/>
      <c r="C1105" s="79"/>
      <c r="D1105" s="80"/>
      <c r="E1105" s="79"/>
      <c r="F1105" s="88"/>
      <c r="G1105" s="88"/>
      <c r="H1105" s="80"/>
      <c r="I1105" s="80"/>
      <c r="J1105" s="79"/>
      <c r="K1105" s="80"/>
      <c r="L1105" s="80"/>
    </row>
    <row r="1106" ht="18" customHeight="1" spans="1:12">
      <c r="A1106" s="87" t="str">
        <f t="shared" si="17"/>
        <v/>
      </c>
      <c r="B1106" s="78"/>
      <c r="C1106" s="79"/>
      <c r="D1106" s="80"/>
      <c r="E1106" s="79"/>
      <c r="F1106" s="88"/>
      <c r="G1106" s="88"/>
      <c r="H1106" s="80"/>
      <c r="I1106" s="80"/>
      <c r="J1106" s="79"/>
      <c r="K1106" s="80"/>
      <c r="L1106" s="80"/>
    </row>
    <row r="1107" ht="18" customHeight="1" spans="1:12">
      <c r="A1107" s="87" t="str">
        <f t="shared" si="17"/>
        <v/>
      </c>
      <c r="B1107" s="78"/>
      <c r="C1107" s="79"/>
      <c r="D1107" s="80"/>
      <c r="E1107" s="79"/>
      <c r="F1107" s="88"/>
      <c r="G1107" s="88"/>
      <c r="H1107" s="80"/>
      <c r="I1107" s="80"/>
      <c r="J1107" s="79"/>
      <c r="K1107" s="80"/>
      <c r="L1107" s="80"/>
    </row>
    <row r="1108" ht="18" customHeight="1" spans="1:12">
      <c r="A1108" s="87" t="str">
        <f t="shared" si="17"/>
        <v/>
      </c>
      <c r="B1108" s="78"/>
      <c r="C1108" s="79"/>
      <c r="D1108" s="80"/>
      <c r="E1108" s="79"/>
      <c r="F1108" s="88"/>
      <c r="G1108" s="88"/>
      <c r="H1108" s="80"/>
      <c r="I1108" s="80"/>
      <c r="J1108" s="79"/>
      <c r="K1108" s="80"/>
      <c r="L1108" s="80"/>
    </row>
    <row r="1109" ht="18" customHeight="1" spans="1:12">
      <c r="A1109" s="87" t="str">
        <f t="shared" si="17"/>
        <v/>
      </c>
      <c r="B1109" s="78"/>
      <c r="C1109" s="79"/>
      <c r="D1109" s="80"/>
      <c r="E1109" s="79"/>
      <c r="F1109" s="88"/>
      <c r="G1109" s="88"/>
      <c r="H1109" s="80"/>
      <c r="I1109" s="80"/>
      <c r="J1109" s="79"/>
      <c r="K1109" s="80"/>
      <c r="L1109" s="80"/>
    </row>
    <row r="1110" ht="18" customHeight="1" spans="1:12">
      <c r="A1110" s="87" t="str">
        <f t="shared" si="17"/>
        <v/>
      </c>
      <c r="B1110" s="78"/>
      <c r="C1110" s="79"/>
      <c r="D1110" s="80"/>
      <c r="E1110" s="79"/>
      <c r="F1110" s="88"/>
      <c r="G1110" s="88"/>
      <c r="H1110" s="80"/>
      <c r="I1110" s="80"/>
      <c r="J1110" s="79"/>
      <c r="K1110" s="80"/>
      <c r="L1110" s="80"/>
    </row>
    <row r="1111" ht="18" customHeight="1" spans="1:12">
      <c r="A1111" s="87" t="str">
        <f t="shared" si="17"/>
        <v/>
      </c>
      <c r="B1111" s="78"/>
      <c r="C1111" s="79"/>
      <c r="D1111" s="80"/>
      <c r="E1111" s="79"/>
      <c r="F1111" s="88"/>
      <c r="G1111" s="88"/>
      <c r="H1111" s="80"/>
      <c r="I1111" s="80"/>
      <c r="J1111" s="79"/>
      <c r="K1111" s="80"/>
      <c r="L1111" s="80"/>
    </row>
    <row r="1112" ht="18" customHeight="1" spans="1:12">
      <c r="A1112" s="87" t="str">
        <f t="shared" si="17"/>
        <v/>
      </c>
      <c r="B1112" s="78"/>
      <c r="C1112" s="79"/>
      <c r="D1112" s="80"/>
      <c r="E1112" s="79"/>
      <c r="F1112" s="88"/>
      <c r="G1112" s="88"/>
      <c r="H1112" s="80"/>
      <c r="I1112" s="80"/>
      <c r="J1112" s="79"/>
      <c r="K1112" s="80"/>
      <c r="L1112" s="80"/>
    </row>
    <row r="1113" ht="18" customHeight="1" spans="1:12">
      <c r="A1113" s="87" t="str">
        <f t="shared" si="17"/>
        <v/>
      </c>
      <c r="B1113" s="78"/>
      <c r="C1113" s="79"/>
      <c r="D1113" s="80"/>
      <c r="E1113" s="79"/>
      <c r="F1113" s="88"/>
      <c r="G1113" s="88"/>
      <c r="H1113" s="80"/>
      <c r="I1113" s="80"/>
      <c r="J1113" s="79"/>
      <c r="K1113" s="80"/>
      <c r="L1113" s="80"/>
    </row>
    <row r="1114" ht="18" customHeight="1" spans="1:12">
      <c r="A1114" s="87" t="str">
        <f t="shared" si="17"/>
        <v/>
      </c>
      <c r="B1114" s="78"/>
      <c r="C1114" s="79"/>
      <c r="D1114" s="80"/>
      <c r="E1114" s="79"/>
      <c r="F1114" s="88"/>
      <c r="G1114" s="88"/>
      <c r="H1114" s="80"/>
      <c r="I1114" s="80"/>
      <c r="J1114" s="79"/>
      <c r="K1114" s="80"/>
      <c r="L1114" s="80"/>
    </row>
    <row r="1115" ht="18" customHeight="1" spans="1:12">
      <c r="A1115" s="87" t="str">
        <f t="shared" si="17"/>
        <v/>
      </c>
      <c r="B1115" s="78"/>
      <c r="C1115" s="79"/>
      <c r="D1115" s="80"/>
      <c r="E1115" s="79"/>
      <c r="F1115" s="88"/>
      <c r="G1115" s="88"/>
      <c r="H1115" s="80"/>
      <c r="I1115" s="80"/>
      <c r="J1115" s="79"/>
      <c r="K1115" s="80"/>
      <c r="L1115" s="80"/>
    </row>
    <row r="1116" ht="18" customHeight="1" spans="1:12">
      <c r="A1116" s="87" t="str">
        <f t="shared" si="17"/>
        <v/>
      </c>
      <c r="B1116" s="78"/>
      <c r="C1116" s="79"/>
      <c r="D1116" s="80"/>
      <c r="E1116" s="79"/>
      <c r="F1116" s="88"/>
      <c r="G1116" s="88"/>
      <c r="H1116" s="80"/>
      <c r="I1116" s="80"/>
      <c r="J1116" s="79"/>
      <c r="K1116" s="80"/>
      <c r="L1116" s="80"/>
    </row>
    <row r="1117" ht="18" customHeight="1" spans="1:12">
      <c r="A1117" s="87" t="str">
        <f t="shared" si="17"/>
        <v/>
      </c>
      <c r="B1117" s="78"/>
      <c r="C1117" s="79"/>
      <c r="D1117" s="80"/>
      <c r="E1117" s="79"/>
      <c r="F1117" s="88"/>
      <c r="G1117" s="88"/>
      <c r="H1117" s="80"/>
      <c r="I1117" s="80"/>
      <c r="J1117" s="79"/>
      <c r="K1117" s="80"/>
      <c r="L1117" s="80"/>
    </row>
    <row r="1118" ht="18" customHeight="1" spans="1:12">
      <c r="A1118" s="87" t="str">
        <f t="shared" si="17"/>
        <v/>
      </c>
      <c r="B1118" s="78"/>
      <c r="C1118" s="79"/>
      <c r="D1118" s="80"/>
      <c r="E1118" s="79"/>
      <c r="F1118" s="88"/>
      <c r="G1118" s="88"/>
      <c r="H1118" s="80"/>
      <c r="I1118" s="80"/>
      <c r="J1118" s="79"/>
      <c r="K1118" s="80"/>
      <c r="L1118" s="80"/>
    </row>
    <row r="1119" ht="18" customHeight="1" spans="1:12">
      <c r="A1119" s="87" t="str">
        <f t="shared" si="17"/>
        <v/>
      </c>
      <c r="B1119" s="78"/>
      <c r="C1119" s="79"/>
      <c r="D1119" s="80"/>
      <c r="E1119" s="79"/>
      <c r="F1119" s="88"/>
      <c r="G1119" s="88"/>
      <c r="H1119" s="80"/>
      <c r="I1119" s="80"/>
      <c r="J1119" s="79"/>
      <c r="K1119" s="80"/>
      <c r="L1119" s="80"/>
    </row>
    <row r="1120" ht="18" customHeight="1" spans="1:12">
      <c r="A1120" s="87" t="str">
        <f t="shared" si="17"/>
        <v/>
      </c>
      <c r="B1120" s="78"/>
      <c r="C1120" s="79"/>
      <c r="D1120" s="80"/>
      <c r="E1120" s="79"/>
      <c r="F1120" s="88"/>
      <c r="G1120" s="88"/>
      <c r="H1120" s="80"/>
      <c r="I1120" s="80"/>
      <c r="J1120" s="79"/>
      <c r="K1120" s="80"/>
      <c r="L1120" s="80"/>
    </row>
    <row r="1121" ht="18" customHeight="1" spans="1:12">
      <c r="A1121" s="87" t="str">
        <f t="shared" si="17"/>
        <v/>
      </c>
      <c r="B1121" s="78"/>
      <c r="C1121" s="79"/>
      <c r="D1121" s="80"/>
      <c r="E1121" s="79"/>
      <c r="F1121" s="88"/>
      <c r="G1121" s="88"/>
      <c r="H1121" s="80"/>
      <c r="I1121" s="80"/>
      <c r="J1121" s="79"/>
      <c r="K1121" s="80"/>
      <c r="L1121" s="80"/>
    </row>
    <row r="1122" ht="18" customHeight="1" spans="1:12">
      <c r="A1122" s="87" t="str">
        <f t="shared" si="17"/>
        <v/>
      </c>
      <c r="B1122" s="78"/>
      <c r="C1122" s="79"/>
      <c r="D1122" s="80"/>
      <c r="E1122" s="79"/>
      <c r="F1122" s="88"/>
      <c r="G1122" s="88"/>
      <c r="H1122" s="80"/>
      <c r="I1122" s="80"/>
      <c r="J1122" s="79"/>
      <c r="K1122" s="80"/>
      <c r="L1122" s="80"/>
    </row>
    <row r="1123" ht="18" customHeight="1" spans="1:12">
      <c r="A1123" s="87" t="str">
        <f t="shared" si="17"/>
        <v/>
      </c>
      <c r="B1123" s="78"/>
      <c r="C1123" s="79"/>
      <c r="D1123" s="80"/>
      <c r="E1123" s="79"/>
      <c r="F1123" s="88"/>
      <c r="G1123" s="88"/>
      <c r="H1123" s="80"/>
      <c r="I1123" s="80"/>
      <c r="J1123" s="79"/>
      <c r="K1123" s="80"/>
      <c r="L1123" s="80"/>
    </row>
    <row r="1124" ht="18" customHeight="1" spans="1:12">
      <c r="A1124" s="87" t="str">
        <f t="shared" si="17"/>
        <v/>
      </c>
      <c r="B1124" s="78"/>
      <c r="C1124" s="79"/>
      <c r="D1124" s="80"/>
      <c r="E1124" s="79"/>
      <c r="F1124" s="88"/>
      <c r="G1124" s="88"/>
      <c r="H1124" s="80"/>
      <c r="I1124" s="80"/>
      <c r="J1124" s="79"/>
      <c r="K1124" s="80"/>
      <c r="L1124" s="80"/>
    </row>
    <row r="1125" ht="18" customHeight="1" spans="1:12">
      <c r="A1125" s="87" t="str">
        <f t="shared" si="17"/>
        <v/>
      </c>
      <c r="B1125" s="78"/>
      <c r="C1125" s="79"/>
      <c r="D1125" s="80"/>
      <c r="E1125" s="79"/>
      <c r="F1125" s="88"/>
      <c r="G1125" s="88"/>
      <c r="H1125" s="80"/>
      <c r="I1125" s="80"/>
      <c r="J1125" s="79"/>
      <c r="K1125" s="80"/>
      <c r="L1125" s="80"/>
    </row>
    <row r="1126" ht="18" customHeight="1" spans="1:12">
      <c r="A1126" s="87" t="str">
        <f t="shared" si="17"/>
        <v/>
      </c>
      <c r="B1126" s="78"/>
      <c r="C1126" s="79"/>
      <c r="D1126" s="80"/>
      <c r="E1126" s="79"/>
      <c r="F1126" s="88"/>
      <c r="G1126" s="88"/>
      <c r="H1126" s="80"/>
      <c r="I1126" s="80"/>
      <c r="J1126" s="79"/>
      <c r="K1126" s="80"/>
      <c r="L1126" s="80"/>
    </row>
    <row r="1127" ht="18" customHeight="1" spans="1:12">
      <c r="A1127" s="87" t="str">
        <f t="shared" si="17"/>
        <v/>
      </c>
      <c r="B1127" s="78"/>
      <c r="C1127" s="79"/>
      <c r="D1127" s="80"/>
      <c r="E1127" s="79"/>
      <c r="F1127" s="88"/>
      <c r="G1127" s="88"/>
      <c r="H1127" s="80"/>
      <c r="I1127" s="80"/>
      <c r="J1127" s="79"/>
      <c r="K1127" s="80"/>
      <c r="L1127" s="80"/>
    </row>
    <row r="1128" ht="18" customHeight="1" spans="1:12">
      <c r="A1128" s="87" t="str">
        <f t="shared" si="17"/>
        <v/>
      </c>
      <c r="B1128" s="78"/>
      <c r="C1128" s="79"/>
      <c r="D1128" s="80"/>
      <c r="E1128" s="79"/>
      <c r="F1128" s="88"/>
      <c r="G1128" s="88"/>
      <c r="H1128" s="80"/>
      <c r="I1128" s="80"/>
      <c r="J1128" s="79"/>
      <c r="K1128" s="80"/>
      <c r="L1128" s="80"/>
    </row>
    <row r="1129" ht="18" customHeight="1" spans="1:12">
      <c r="A1129" s="87" t="str">
        <f t="shared" si="17"/>
        <v/>
      </c>
      <c r="B1129" s="78"/>
      <c r="C1129" s="79"/>
      <c r="D1129" s="80"/>
      <c r="E1129" s="79"/>
      <c r="F1129" s="88"/>
      <c r="G1129" s="88"/>
      <c r="H1129" s="80"/>
      <c r="I1129" s="80"/>
      <c r="J1129" s="79"/>
      <c r="K1129" s="80"/>
      <c r="L1129" s="80"/>
    </row>
    <row r="1130" ht="18" customHeight="1" spans="1:12">
      <c r="A1130" s="87" t="str">
        <f t="shared" si="17"/>
        <v/>
      </c>
      <c r="B1130" s="78"/>
      <c r="C1130" s="79"/>
      <c r="D1130" s="80"/>
      <c r="E1130" s="79"/>
      <c r="F1130" s="88"/>
      <c r="G1130" s="88"/>
      <c r="H1130" s="80"/>
      <c r="I1130" s="80"/>
      <c r="J1130" s="79"/>
      <c r="K1130" s="80"/>
      <c r="L1130" s="80"/>
    </row>
    <row r="1131" ht="18" customHeight="1" spans="1:12">
      <c r="A1131" s="87" t="str">
        <f t="shared" si="17"/>
        <v/>
      </c>
      <c r="B1131" s="78"/>
      <c r="C1131" s="79"/>
      <c r="D1131" s="80"/>
      <c r="E1131" s="79"/>
      <c r="F1131" s="88"/>
      <c r="G1131" s="88"/>
      <c r="H1131" s="80"/>
      <c r="I1131" s="80"/>
      <c r="J1131" s="79"/>
      <c r="K1131" s="80"/>
      <c r="L1131" s="80"/>
    </row>
    <row r="1132" ht="18" customHeight="1" spans="1:12">
      <c r="A1132" s="87" t="str">
        <f t="shared" si="17"/>
        <v/>
      </c>
      <c r="B1132" s="78"/>
      <c r="C1132" s="79"/>
      <c r="D1132" s="80"/>
      <c r="E1132" s="79"/>
      <c r="F1132" s="88"/>
      <c r="G1132" s="88"/>
      <c r="H1132" s="80"/>
      <c r="I1132" s="80"/>
      <c r="J1132" s="79"/>
      <c r="K1132" s="80"/>
      <c r="L1132" s="80"/>
    </row>
    <row r="1133" ht="18" customHeight="1" spans="1:12">
      <c r="A1133" s="87" t="str">
        <f t="shared" si="17"/>
        <v/>
      </c>
      <c r="B1133" s="78"/>
      <c r="C1133" s="79"/>
      <c r="D1133" s="80"/>
      <c r="E1133" s="79"/>
      <c r="F1133" s="88"/>
      <c r="G1133" s="88"/>
      <c r="H1133" s="80"/>
      <c r="I1133" s="80"/>
      <c r="J1133" s="79"/>
      <c r="K1133" s="80"/>
      <c r="L1133" s="80"/>
    </row>
    <row r="1134" ht="18" customHeight="1" spans="1:12">
      <c r="A1134" s="87" t="str">
        <f t="shared" si="17"/>
        <v/>
      </c>
      <c r="B1134" s="78"/>
      <c r="C1134" s="79"/>
      <c r="D1134" s="80"/>
      <c r="E1134" s="79"/>
      <c r="F1134" s="88"/>
      <c r="G1134" s="88"/>
      <c r="H1134" s="80"/>
      <c r="I1134" s="80"/>
      <c r="J1134" s="79"/>
      <c r="K1134" s="80"/>
      <c r="L1134" s="80"/>
    </row>
    <row r="1135" ht="18" customHeight="1" spans="1:12">
      <c r="A1135" s="87" t="str">
        <f t="shared" si="17"/>
        <v/>
      </c>
      <c r="B1135" s="78"/>
      <c r="C1135" s="79"/>
      <c r="D1135" s="80"/>
      <c r="E1135" s="79"/>
      <c r="F1135" s="88"/>
      <c r="G1135" s="88"/>
      <c r="H1135" s="80"/>
      <c r="I1135" s="80"/>
      <c r="J1135" s="79"/>
      <c r="K1135" s="80"/>
      <c r="L1135" s="80"/>
    </row>
    <row r="1136" ht="18" customHeight="1" spans="1:12">
      <c r="A1136" s="87" t="str">
        <f t="shared" si="17"/>
        <v/>
      </c>
      <c r="B1136" s="78"/>
      <c r="C1136" s="79"/>
      <c r="D1136" s="80"/>
      <c r="E1136" s="79"/>
      <c r="F1136" s="88"/>
      <c r="G1136" s="88"/>
      <c r="H1136" s="80"/>
      <c r="I1136" s="80"/>
      <c r="J1136" s="79"/>
      <c r="K1136" s="80"/>
      <c r="L1136" s="80"/>
    </row>
    <row r="1137" ht="18" customHeight="1" spans="1:12">
      <c r="A1137" s="87" t="str">
        <f t="shared" si="17"/>
        <v/>
      </c>
      <c r="B1137" s="78"/>
      <c r="C1137" s="79"/>
      <c r="D1137" s="80"/>
      <c r="E1137" s="79"/>
      <c r="F1137" s="88"/>
      <c r="G1137" s="88"/>
      <c r="H1137" s="80"/>
      <c r="I1137" s="80"/>
      <c r="J1137" s="79"/>
      <c r="K1137" s="80"/>
      <c r="L1137" s="80"/>
    </row>
    <row r="1138" ht="18" customHeight="1" spans="1:12">
      <c r="A1138" s="87" t="str">
        <f t="shared" si="17"/>
        <v/>
      </c>
      <c r="B1138" s="78"/>
      <c r="C1138" s="79"/>
      <c r="D1138" s="80"/>
      <c r="E1138" s="79"/>
      <c r="F1138" s="88"/>
      <c r="G1138" s="88"/>
      <c r="H1138" s="80"/>
      <c r="I1138" s="80"/>
      <c r="J1138" s="79"/>
      <c r="K1138" s="80"/>
      <c r="L1138" s="80"/>
    </row>
    <row r="1139" ht="18" customHeight="1" spans="1:12">
      <c r="A1139" s="87" t="str">
        <f t="shared" si="17"/>
        <v/>
      </c>
      <c r="B1139" s="78"/>
      <c r="C1139" s="79"/>
      <c r="D1139" s="80"/>
      <c r="E1139" s="79"/>
      <c r="F1139" s="88"/>
      <c r="G1139" s="88"/>
      <c r="H1139" s="80"/>
      <c r="I1139" s="80"/>
      <c r="J1139" s="79"/>
      <c r="K1139" s="80"/>
      <c r="L1139" s="80"/>
    </row>
    <row r="1140" ht="18" customHeight="1" spans="1:12">
      <c r="A1140" s="87" t="str">
        <f t="shared" si="17"/>
        <v/>
      </c>
      <c r="B1140" s="78"/>
      <c r="C1140" s="79"/>
      <c r="D1140" s="80"/>
      <c r="E1140" s="79"/>
      <c r="F1140" s="88"/>
      <c r="G1140" s="88"/>
      <c r="H1140" s="80"/>
      <c r="I1140" s="80"/>
      <c r="J1140" s="79"/>
      <c r="K1140" s="80"/>
      <c r="L1140" s="80"/>
    </row>
    <row r="1141" ht="18" customHeight="1" spans="1:12">
      <c r="A1141" s="87" t="str">
        <f t="shared" si="17"/>
        <v/>
      </c>
      <c r="B1141" s="78"/>
      <c r="C1141" s="79"/>
      <c r="D1141" s="80"/>
      <c r="E1141" s="79"/>
      <c r="F1141" s="88"/>
      <c r="G1141" s="88"/>
      <c r="H1141" s="80"/>
      <c r="I1141" s="80"/>
      <c r="J1141" s="79"/>
      <c r="K1141" s="80"/>
      <c r="L1141" s="80"/>
    </row>
    <row r="1142" ht="18" customHeight="1" spans="1:12">
      <c r="A1142" s="87" t="str">
        <f t="shared" si="17"/>
        <v/>
      </c>
      <c r="B1142" s="78"/>
      <c r="C1142" s="79"/>
      <c r="D1142" s="80"/>
      <c r="E1142" s="79"/>
      <c r="F1142" s="88"/>
      <c r="G1142" s="88"/>
      <c r="H1142" s="80"/>
      <c r="I1142" s="80"/>
      <c r="J1142" s="79"/>
      <c r="K1142" s="80"/>
      <c r="L1142" s="80"/>
    </row>
    <row r="1143" ht="18" customHeight="1" spans="1:12">
      <c r="A1143" s="87" t="str">
        <f t="shared" si="17"/>
        <v/>
      </c>
      <c r="B1143" s="78"/>
      <c r="C1143" s="79"/>
      <c r="D1143" s="80"/>
      <c r="E1143" s="79"/>
      <c r="F1143" s="88"/>
      <c r="G1143" s="88"/>
      <c r="H1143" s="80"/>
      <c r="I1143" s="80"/>
      <c r="J1143" s="79"/>
      <c r="K1143" s="80"/>
      <c r="L1143" s="80"/>
    </row>
    <row r="1144" ht="18" customHeight="1" spans="1:12">
      <c r="A1144" s="87" t="str">
        <f t="shared" si="17"/>
        <v/>
      </c>
      <c r="B1144" s="78"/>
      <c r="C1144" s="79"/>
      <c r="D1144" s="80"/>
      <c r="E1144" s="79"/>
      <c r="F1144" s="88"/>
      <c r="G1144" s="88"/>
      <c r="H1144" s="80"/>
      <c r="I1144" s="80"/>
      <c r="J1144" s="79"/>
      <c r="K1144" s="80"/>
      <c r="L1144" s="80"/>
    </row>
    <row r="1145" ht="18" customHeight="1" spans="1:12">
      <c r="A1145" s="87" t="str">
        <f t="shared" si="17"/>
        <v/>
      </c>
      <c r="B1145" s="78"/>
      <c r="C1145" s="79"/>
      <c r="D1145" s="80"/>
      <c r="E1145" s="79"/>
      <c r="F1145" s="88"/>
      <c r="G1145" s="88"/>
      <c r="H1145" s="80"/>
      <c r="I1145" s="80"/>
      <c r="J1145" s="79"/>
      <c r="K1145" s="80"/>
      <c r="L1145" s="80"/>
    </row>
    <row r="1146" ht="18" customHeight="1" spans="1:12">
      <c r="A1146" s="87" t="str">
        <f t="shared" si="17"/>
        <v/>
      </c>
      <c r="B1146" s="78"/>
      <c r="C1146" s="79"/>
      <c r="D1146" s="80"/>
      <c r="E1146" s="79"/>
      <c r="F1146" s="88"/>
      <c r="G1146" s="88"/>
      <c r="H1146" s="80"/>
      <c r="I1146" s="80"/>
      <c r="J1146" s="79"/>
      <c r="K1146" s="80"/>
      <c r="L1146" s="80"/>
    </row>
    <row r="1147" ht="18" customHeight="1" spans="1:12">
      <c r="A1147" s="87" t="str">
        <f t="shared" si="17"/>
        <v/>
      </c>
      <c r="B1147" s="78"/>
      <c r="C1147" s="79"/>
      <c r="D1147" s="80"/>
      <c r="E1147" s="79"/>
      <c r="F1147" s="88"/>
      <c r="G1147" s="88"/>
      <c r="H1147" s="80"/>
      <c r="I1147" s="80"/>
      <c r="J1147" s="79"/>
      <c r="K1147" s="80"/>
      <c r="L1147" s="80"/>
    </row>
    <row r="1148" ht="18" customHeight="1" spans="1:12">
      <c r="A1148" s="87" t="str">
        <f t="shared" si="17"/>
        <v/>
      </c>
      <c r="B1148" s="78"/>
      <c r="C1148" s="79"/>
      <c r="D1148" s="80"/>
      <c r="E1148" s="79"/>
      <c r="F1148" s="88"/>
      <c r="G1148" s="88"/>
      <c r="H1148" s="80"/>
      <c r="I1148" s="80"/>
      <c r="J1148" s="79"/>
      <c r="K1148" s="80"/>
      <c r="L1148" s="80"/>
    </row>
    <row r="1149" ht="18" customHeight="1" spans="1:12">
      <c r="A1149" s="87" t="str">
        <f t="shared" si="17"/>
        <v/>
      </c>
      <c r="B1149" s="78"/>
      <c r="C1149" s="79"/>
      <c r="D1149" s="80"/>
      <c r="E1149" s="79"/>
      <c r="F1149" s="88"/>
      <c r="G1149" s="88"/>
      <c r="H1149" s="80"/>
      <c r="I1149" s="80"/>
      <c r="J1149" s="79"/>
      <c r="K1149" s="80"/>
      <c r="L1149" s="80"/>
    </row>
    <row r="1150" ht="18" customHeight="1" spans="1:12">
      <c r="A1150" s="87" t="str">
        <f t="shared" si="17"/>
        <v/>
      </c>
      <c r="B1150" s="78"/>
      <c r="C1150" s="79"/>
      <c r="D1150" s="80"/>
      <c r="E1150" s="79"/>
      <c r="F1150" s="88"/>
      <c r="G1150" s="88"/>
      <c r="H1150" s="80"/>
      <c r="I1150" s="80"/>
      <c r="J1150" s="79"/>
      <c r="K1150" s="80"/>
      <c r="L1150" s="80"/>
    </row>
    <row r="1151" ht="18" customHeight="1" spans="1:12">
      <c r="A1151" s="87" t="str">
        <f t="shared" si="17"/>
        <v/>
      </c>
      <c r="B1151" s="78"/>
      <c r="C1151" s="79"/>
      <c r="D1151" s="80"/>
      <c r="E1151" s="79"/>
      <c r="F1151" s="88"/>
      <c r="G1151" s="88"/>
      <c r="H1151" s="80"/>
      <c r="I1151" s="80"/>
      <c r="J1151" s="79"/>
      <c r="K1151" s="80"/>
      <c r="L1151" s="80"/>
    </row>
    <row r="1152" ht="18" customHeight="1" spans="1:12">
      <c r="A1152" s="87" t="str">
        <f t="shared" si="17"/>
        <v/>
      </c>
      <c r="B1152" s="78"/>
      <c r="C1152" s="79"/>
      <c r="D1152" s="80"/>
      <c r="E1152" s="79"/>
      <c r="F1152" s="88"/>
      <c r="G1152" s="88"/>
      <c r="H1152" s="80"/>
      <c r="I1152" s="80"/>
      <c r="J1152" s="79"/>
      <c r="K1152" s="80"/>
      <c r="L1152" s="80"/>
    </row>
    <row r="1153" ht="18" customHeight="1" spans="1:12">
      <c r="A1153" s="87" t="str">
        <f t="shared" si="17"/>
        <v/>
      </c>
      <c r="B1153" s="78"/>
      <c r="C1153" s="79"/>
      <c r="D1153" s="80"/>
      <c r="E1153" s="79"/>
      <c r="F1153" s="88"/>
      <c r="G1153" s="88"/>
      <c r="H1153" s="80"/>
      <c r="I1153" s="80"/>
      <c r="J1153" s="79"/>
      <c r="K1153" s="80"/>
      <c r="L1153" s="80"/>
    </row>
    <row r="1154" ht="18" customHeight="1" spans="1:12">
      <c r="A1154" s="87" t="str">
        <f t="shared" si="17"/>
        <v/>
      </c>
      <c r="B1154" s="78"/>
      <c r="C1154" s="79"/>
      <c r="D1154" s="80"/>
      <c r="E1154" s="79"/>
      <c r="F1154" s="88"/>
      <c r="G1154" s="88"/>
      <c r="H1154" s="80"/>
      <c r="I1154" s="80"/>
      <c r="J1154" s="79"/>
      <c r="K1154" s="80"/>
      <c r="L1154" s="80"/>
    </row>
    <row r="1155" ht="18" customHeight="1" spans="1:12">
      <c r="A1155" s="87" t="str">
        <f t="shared" si="17"/>
        <v/>
      </c>
      <c r="B1155" s="78"/>
      <c r="C1155" s="79"/>
      <c r="D1155" s="80"/>
      <c r="E1155" s="79"/>
      <c r="F1155" s="88"/>
      <c r="G1155" s="88"/>
      <c r="H1155" s="80"/>
      <c r="I1155" s="80"/>
      <c r="J1155" s="79"/>
      <c r="K1155" s="80"/>
      <c r="L1155" s="80"/>
    </row>
    <row r="1156" ht="18" customHeight="1" spans="1:12">
      <c r="A1156" s="87" t="str">
        <f t="shared" ref="A1156:A1203" si="18">IF($C1156="","",ROW()-3)</f>
        <v/>
      </c>
      <c r="B1156" s="78"/>
      <c r="C1156" s="79"/>
      <c r="D1156" s="80"/>
      <c r="E1156" s="79"/>
      <c r="F1156" s="88"/>
      <c r="G1156" s="88"/>
      <c r="H1156" s="80"/>
      <c r="I1156" s="80"/>
      <c r="J1156" s="79"/>
      <c r="K1156" s="80"/>
      <c r="L1156" s="80"/>
    </row>
    <row r="1157" ht="18" customHeight="1" spans="1:12">
      <c r="A1157" s="87" t="str">
        <f t="shared" si="18"/>
        <v/>
      </c>
      <c r="B1157" s="78"/>
      <c r="C1157" s="79"/>
      <c r="D1157" s="80"/>
      <c r="E1157" s="79"/>
      <c r="F1157" s="88"/>
      <c r="G1157" s="88"/>
      <c r="H1157" s="80"/>
      <c r="I1157" s="80"/>
      <c r="J1157" s="79"/>
      <c r="K1157" s="80"/>
      <c r="L1157" s="80"/>
    </row>
    <row r="1158" ht="18" customHeight="1" spans="1:12">
      <c r="A1158" s="87" t="str">
        <f t="shared" si="18"/>
        <v/>
      </c>
      <c r="B1158" s="78"/>
      <c r="C1158" s="79"/>
      <c r="D1158" s="80"/>
      <c r="E1158" s="79"/>
      <c r="F1158" s="88"/>
      <c r="G1158" s="88"/>
      <c r="H1158" s="80"/>
      <c r="I1158" s="80"/>
      <c r="J1158" s="79"/>
      <c r="K1158" s="80"/>
      <c r="L1158" s="80"/>
    </row>
    <row r="1159" ht="18" customHeight="1" spans="1:12">
      <c r="A1159" s="87" t="str">
        <f t="shared" si="18"/>
        <v/>
      </c>
      <c r="B1159" s="78"/>
      <c r="C1159" s="79"/>
      <c r="D1159" s="80"/>
      <c r="E1159" s="79"/>
      <c r="F1159" s="88"/>
      <c r="G1159" s="88"/>
      <c r="H1159" s="80"/>
      <c r="I1159" s="80"/>
      <c r="J1159" s="79"/>
      <c r="K1159" s="80"/>
      <c r="L1159" s="80"/>
    </row>
    <row r="1160" ht="18" customHeight="1" spans="1:12">
      <c r="A1160" s="87" t="str">
        <f t="shared" si="18"/>
        <v/>
      </c>
      <c r="B1160" s="78"/>
      <c r="C1160" s="79"/>
      <c r="D1160" s="80"/>
      <c r="E1160" s="79"/>
      <c r="F1160" s="88"/>
      <c r="G1160" s="88"/>
      <c r="H1160" s="80"/>
      <c r="I1160" s="80"/>
      <c r="J1160" s="79"/>
      <c r="K1160" s="80"/>
      <c r="L1160" s="80"/>
    </row>
    <row r="1161" ht="18" customHeight="1" spans="1:12">
      <c r="A1161" s="87" t="str">
        <f t="shared" si="18"/>
        <v/>
      </c>
      <c r="B1161" s="78"/>
      <c r="C1161" s="79"/>
      <c r="D1161" s="80"/>
      <c r="E1161" s="79"/>
      <c r="F1161" s="88"/>
      <c r="G1161" s="88"/>
      <c r="H1161" s="80"/>
      <c r="I1161" s="80"/>
      <c r="J1161" s="79"/>
      <c r="K1161" s="80"/>
      <c r="L1161" s="80"/>
    </row>
    <row r="1162" ht="18" customHeight="1" spans="1:12">
      <c r="A1162" s="87" t="str">
        <f t="shared" si="18"/>
        <v/>
      </c>
      <c r="B1162" s="78"/>
      <c r="C1162" s="79"/>
      <c r="D1162" s="80"/>
      <c r="E1162" s="79"/>
      <c r="F1162" s="88"/>
      <c r="G1162" s="88"/>
      <c r="H1162" s="80"/>
      <c r="I1162" s="80"/>
      <c r="J1162" s="79"/>
      <c r="K1162" s="80"/>
      <c r="L1162" s="80"/>
    </row>
    <row r="1163" ht="18" customHeight="1" spans="1:12">
      <c r="A1163" s="87" t="str">
        <f t="shared" si="18"/>
        <v/>
      </c>
      <c r="B1163" s="78"/>
      <c r="C1163" s="79"/>
      <c r="D1163" s="80"/>
      <c r="E1163" s="79"/>
      <c r="F1163" s="88"/>
      <c r="G1163" s="88"/>
      <c r="H1163" s="80"/>
      <c r="I1163" s="80"/>
      <c r="J1163" s="79"/>
      <c r="K1163" s="80"/>
      <c r="L1163" s="80"/>
    </row>
    <row r="1164" ht="18" customHeight="1" spans="1:12">
      <c r="A1164" s="87" t="str">
        <f t="shared" si="18"/>
        <v/>
      </c>
      <c r="B1164" s="78"/>
      <c r="C1164" s="79"/>
      <c r="D1164" s="80"/>
      <c r="E1164" s="79"/>
      <c r="F1164" s="88"/>
      <c r="G1164" s="88"/>
      <c r="H1164" s="80"/>
      <c r="I1164" s="80"/>
      <c r="J1164" s="79"/>
      <c r="K1164" s="80"/>
      <c r="L1164" s="80"/>
    </row>
    <row r="1165" ht="18" customHeight="1" spans="1:12">
      <c r="A1165" s="87" t="str">
        <f t="shared" si="18"/>
        <v/>
      </c>
      <c r="B1165" s="78"/>
      <c r="C1165" s="79"/>
      <c r="D1165" s="80"/>
      <c r="E1165" s="79"/>
      <c r="F1165" s="88"/>
      <c r="G1165" s="88"/>
      <c r="H1165" s="80"/>
      <c r="I1165" s="80"/>
      <c r="J1165" s="79"/>
      <c r="K1165" s="80"/>
      <c r="L1165" s="80"/>
    </row>
    <row r="1166" ht="18" customHeight="1" spans="1:12">
      <c r="A1166" s="87" t="str">
        <f t="shared" si="18"/>
        <v/>
      </c>
      <c r="B1166" s="78"/>
      <c r="C1166" s="79"/>
      <c r="D1166" s="80"/>
      <c r="E1166" s="79"/>
      <c r="F1166" s="88"/>
      <c r="G1166" s="88"/>
      <c r="H1166" s="80"/>
      <c r="I1166" s="80"/>
      <c r="J1166" s="79"/>
      <c r="K1166" s="80"/>
      <c r="L1166" s="80"/>
    </row>
    <row r="1167" ht="18" customHeight="1" spans="1:12">
      <c r="A1167" s="87" t="str">
        <f t="shared" si="18"/>
        <v/>
      </c>
      <c r="B1167" s="78"/>
      <c r="C1167" s="79"/>
      <c r="D1167" s="80"/>
      <c r="E1167" s="79"/>
      <c r="F1167" s="88"/>
      <c r="G1167" s="88"/>
      <c r="H1167" s="80"/>
      <c r="I1167" s="80"/>
      <c r="J1167" s="79"/>
      <c r="K1167" s="80"/>
      <c r="L1167" s="80"/>
    </row>
    <row r="1168" ht="18" customHeight="1" spans="1:12">
      <c r="A1168" s="87" t="str">
        <f t="shared" si="18"/>
        <v/>
      </c>
      <c r="B1168" s="78"/>
      <c r="C1168" s="79"/>
      <c r="D1168" s="80"/>
      <c r="E1168" s="79"/>
      <c r="F1168" s="88"/>
      <c r="G1168" s="88"/>
      <c r="H1168" s="80"/>
      <c r="I1168" s="80"/>
      <c r="J1168" s="79"/>
      <c r="K1168" s="80"/>
      <c r="L1168" s="80"/>
    </row>
    <row r="1169" ht="18" customHeight="1" spans="1:12">
      <c r="A1169" s="87" t="str">
        <f t="shared" si="18"/>
        <v/>
      </c>
      <c r="B1169" s="78"/>
      <c r="C1169" s="79"/>
      <c r="D1169" s="80"/>
      <c r="E1169" s="79"/>
      <c r="F1169" s="88"/>
      <c r="G1169" s="88"/>
      <c r="H1169" s="80"/>
      <c r="I1169" s="80"/>
      <c r="J1169" s="79"/>
      <c r="K1169" s="80"/>
      <c r="L1169" s="80"/>
    </row>
    <row r="1170" ht="18" customHeight="1" spans="1:12">
      <c r="A1170" s="87" t="str">
        <f t="shared" si="18"/>
        <v/>
      </c>
      <c r="B1170" s="78"/>
      <c r="C1170" s="79"/>
      <c r="D1170" s="80"/>
      <c r="E1170" s="79"/>
      <c r="F1170" s="88"/>
      <c r="G1170" s="88"/>
      <c r="H1170" s="80"/>
      <c r="I1170" s="80"/>
      <c r="J1170" s="79"/>
      <c r="K1170" s="80"/>
      <c r="L1170" s="80"/>
    </row>
    <row r="1171" ht="18" customHeight="1" spans="1:12">
      <c r="A1171" s="87" t="str">
        <f t="shared" si="18"/>
        <v/>
      </c>
      <c r="B1171" s="78"/>
      <c r="C1171" s="79"/>
      <c r="D1171" s="80"/>
      <c r="E1171" s="79"/>
      <c r="F1171" s="88"/>
      <c r="G1171" s="88"/>
      <c r="H1171" s="80"/>
      <c r="I1171" s="80"/>
      <c r="J1171" s="79"/>
      <c r="K1171" s="80"/>
      <c r="L1171" s="80"/>
    </row>
    <row r="1172" ht="18" customHeight="1" spans="1:12">
      <c r="A1172" s="87" t="str">
        <f t="shared" si="18"/>
        <v/>
      </c>
      <c r="B1172" s="78"/>
      <c r="C1172" s="79"/>
      <c r="D1172" s="80"/>
      <c r="E1172" s="79"/>
      <c r="F1172" s="88"/>
      <c r="G1172" s="88"/>
      <c r="H1172" s="80"/>
      <c r="I1172" s="80"/>
      <c r="J1172" s="79"/>
      <c r="K1172" s="80"/>
      <c r="L1172" s="80"/>
    </row>
    <row r="1173" ht="18" customHeight="1" spans="1:12">
      <c r="A1173" s="87" t="str">
        <f t="shared" si="18"/>
        <v/>
      </c>
      <c r="B1173" s="78"/>
      <c r="C1173" s="79"/>
      <c r="D1173" s="80"/>
      <c r="E1173" s="79"/>
      <c r="F1173" s="88"/>
      <c r="G1173" s="88"/>
      <c r="H1173" s="80"/>
      <c r="I1173" s="80"/>
      <c r="J1173" s="79"/>
      <c r="K1173" s="80"/>
      <c r="L1173" s="80"/>
    </row>
    <row r="1174" ht="18" customHeight="1" spans="1:12">
      <c r="A1174" s="87" t="str">
        <f t="shared" si="18"/>
        <v/>
      </c>
      <c r="B1174" s="78"/>
      <c r="C1174" s="79"/>
      <c r="D1174" s="80"/>
      <c r="E1174" s="79"/>
      <c r="F1174" s="88"/>
      <c r="G1174" s="88"/>
      <c r="H1174" s="80"/>
      <c r="I1174" s="80"/>
      <c r="J1174" s="79"/>
      <c r="K1174" s="80"/>
      <c r="L1174" s="80"/>
    </row>
    <row r="1175" ht="18" customHeight="1" spans="1:12">
      <c r="A1175" s="87" t="str">
        <f t="shared" si="18"/>
        <v/>
      </c>
      <c r="B1175" s="78"/>
      <c r="C1175" s="79"/>
      <c r="D1175" s="80"/>
      <c r="E1175" s="79"/>
      <c r="F1175" s="88"/>
      <c r="G1175" s="88"/>
      <c r="H1175" s="80"/>
      <c r="I1175" s="80"/>
      <c r="J1175" s="79"/>
      <c r="K1175" s="80"/>
      <c r="L1175" s="80"/>
    </row>
    <row r="1176" ht="18" customHeight="1" spans="1:12">
      <c r="A1176" s="87" t="str">
        <f t="shared" si="18"/>
        <v/>
      </c>
      <c r="B1176" s="78"/>
      <c r="C1176" s="79"/>
      <c r="D1176" s="80"/>
      <c r="E1176" s="79"/>
      <c r="F1176" s="88"/>
      <c r="G1176" s="88"/>
      <c r="H1176" s="80"/>
      <c r="I1176" s="80"/>
      <c r="J1176" s="79"/>
      <c r="K1176" s="80"/>
      <c r="L1176" s="80"/>
    </row>
    <row r="1177" ht="18" customHeight="1" spans="1:12">
      <c r="A1177" s="87" t="str">
        <f t="shared" si="18"/>
        <v/>
      </c>
      <c r="B1177" s="78"/>
      <c r="C1177" s="79"/>
      <c r="D1177" s="80"/>
      <c r="E1177" s="79"/>
      <c r="F1177" s="88"/>
      <c r="G1177" s="88"/>
      <c r="H1177" s="80"/>
      <c r="I1177" s="80"/>
      <c r="J1177" s="79"/>
      <c r="K1177" s="80"/>
      <c r="L1177" s="80"/>
    </row>
    <row r="1178" ht="18" customHeight="1" spans="1:12">
      <c r="A1178" s="87" t="str">
        <f t="shared" si="18"/>
        <v/>
      </c>
      <c r="B1178" s="78"/>
      <c r="C1178" s="79"/>
      <c r="D1178" s="80"/>
      <c r="E1178" s="79"/>
      <c r="F1178" s="88"/>
      <c r="G1178" s="88"/>
      <c r="H1178" s="80"/>
      <c r="I1178" s="80"/>
      <c r="J1178" s="79"/>
      <c r="K1178" s="80"/>
      <c r="L1178" s="80"/>
    </row>
    <row r="1179" ht="18" customHeight="1" spans="1:12">
      <c r="A1179" s="87" t="str">
        <f t="shared" si="18"/>
        <v/>
      </c>
      <c r="B1179" s="78"/>
      <c r="C1179" s="79"/>
      <c r="D1179" s="80"/>
      <c r="E1179" s="79"/>
      <c r="F1179" s="88"/>
      <c r="G1179" s="88"/>
      <c r="H1179" s="80"/>
      <c r="I1179" s="80"/>
      <c r="J1179" s="79"/>
      <c r="K1179" s="80"/>
      <c r="L1179" s="80"/>
    </row>
    <row r="1180" ht="18" customHeight="1" spans="1:12">
      <c r="A1180" s="87" t="str">
        <f t="shared" si="18"/>
        <v/>
      </c>
      <c r="B1180" s="78"/>
      <c r="C1180" s="79"/>
      <c r="D1180" s="80"/>
      <c r="E1180" s="79"/>
      <c r="F1180" s="88"/>
      <c r="G1180" s="88"/>
      <c r="H1180" s="80"/>
      <c r="I1180" s="80"/>
      <c r="J1180" s="79"/>
      <c r="K1180" s="80"/>
      <c r="L1180" s="80"/>
    </row>
    <row r="1181" ht="18" customHeight="1" spans="1:12">
      <c r="A1181" s="87" t="str">
        <f t="shared" si="18"/>
        <v/>
      </c>
      <c r="B1181" s="78"/>
      <c r="C1181" s="79"/>
      <c r="D1181" s="80"/>
      <c r="E1181" s="79"/>
      <c r="F1181" s="88"/>
      <c r="G1181" s="88"/>
      <c r="H1181" s="80"/>
      <c r="I1181" s="80"/>
      <c r="J1181" s="79"/>
      <c r="K1181" s="80"/>
      <c r="L1181" s="80"/>
    </row>
    <row r="1182" ht="18" customHeight="1" spans="1:12">
      <c r="A1182" s="87" t="str">
        <f t="shared" si="18"/>
        <v/>
      </c>
      <c r="B1182" s="78"/>
      <c r="C1182" s="79"/>
      <c r="D1182" s="80"/>
      <c r="E1182" s="79"/>
      <c r="F1182" s="88"/>
      <c r="G1182" s="88"/>
      <c r="H1182" s="80"/>
      <c r="I1182" s="80"/>
      <c r="J1182" s="79"/>
      <c r="K1182" s="80"/>
      <c r="L1182" s="80"/>
    </row>
    <row r="1183" ht="18" customHeight="1" spans="1:12">
      <c r="A1183" s="87" t="str">
        <f t="shared" si="18"/>
        <v/>
      </c>
      <c r="B1183" s="78"/>
      <c r="C1183" s="79"/>
      <c r="D1183" s="80"/>
      <c r="E1183" s="79"/>
      <c r="F1183" s="88"/>
      <c r="G1183" s="88"/>
      <c r="H1183" s="80"/>
      <c r="I1183" s="80"/>
      <c r="J1183" s="79"/>
      <c r="K1183" s="80"/>
      <c r="L1183" s="80"/>
    </row>
    <row r="1184" ht="18" customHeight="1" spans="1:12">
      <c r="A1184" s="87" t="str">
        <f t="shared" si="18"/>
        <v/>
      </c>
      <c r="B1184" s="78"/>
      <c r="C1184" s="79"/>
      <c r="D1184" s="80"/>
      <c r="E1184" s="79"/>
      <c r="F1184" s="88"/>
      <c r="G1184" s="88"/>
      <c r="H1184" s="80"/>
      <c r="I1184" s="80"/>
      <c r="J1184" s="79"/>
      <c r="K1184" s="80"/>
      <c r="L1184" s="80"/>
    </row>
    <row r="1185" ht="18" customHeight="1" spans="1:12">
      <c r="A1185" s="87" t="str">
        <f t="shared" si="18"/>
        <v/>
      </c>
      <c r="B1185" s="78"/>
      <c r="C1185" s="79"/>
      <c r="D1185" s="80"/>
      <c r="E1185" s="79"/>
      <c r="F1185" s="88"/>
      <c r="G1185" s="88"/>
      <c r="H1185" s="80"/>
      <c r="I1185" s="80"/>
      <c r="J1185" s="79"/>
      <c r="K1185" s="80"/>
      <c r="L1185" s="80"/>
    </row>
    <row r="1186" ht="18" customHeight="1" spans="1:12">
      <c r="A1186" s="87" t="str">
        <f t="shared" si="18"/>
        <v/>
      </c>
      <c r="B1186" s="78"/>
      <c r="C1186" s="79"/>
      <c r="D1186" s="80"/>
      <c r="E1186" s="79"/>
      <c r="F1186" s="88"/>
      <c r="G1186" s="88"/>
      <c r="H1186" s="80"/>
      <c r="I1186" s="80"/>
      <c r="J1186" s="79"/>
      <c r="K1186" s="80"/>
      <c r="L1186" s="80"/>
    </row>
    <row r="1187" ht="18" customHeight="1" spans="1:12">
      <c r="A1187" s="87" t="str">
        <f t="shared" si="18"/>
        <v/>
      </c>
      <c r="B1187" s="78"/>
      <c r="C1187" s="79"/>
      <c r="D1187" s="80"/>
      <c r="E1187" s="79"/>
      <c r="F1187" s="88"/>
      <c r="G1187" s="88"/>
      <c r="H1187" s="80"/>
      <c r="I1187" s="80"/>
      <c r="J1187" s="79"/>
      <c r="K1187" s="80"/>
      <c r="L1187" s="80"/>
    </row>
    <row r="1188" ht="18" customHeight="1" spans="1:12">
      <c r="A1188" s="87" t="str">
        <f t="shared" si="18"/>
        <v/>
      </c>
      <c r="B1188" s="78"/>
      <c r="C1188" s="79"/>
      <c r="D1188" s="80"/>
      <c r="E1188" s="79"/>
      <c r="F1188" s="88"/>
      <c r="G1188" s="88"/>
      <c r="H1188" s="80"/>
      <c r="I1188" s="80"/>
      <c r="J1188" s="79"/>
      <c r="K1188" s="80"/>
      <c r="L1188" s="80"/>
    </row>
    <row r="1189" ht="18" customHeight="1" spans="1:12">
      <c r="A1189" s="87" t="str">
        <f t="shared" si="18"/>
        <v/>
      </c>
      <c r="B1189" s="78"/>
      <c r="C1189" s="79"/>
      <c r="D1189" s="80"/>
      <c r="E1189" s="79"/>
      <c r="F1189" s="88"/>
      <c r="G1189" s="88"/>
      <c r="H1189" s="80"/>
      <c r="I1189" s="80"/>
      <c r="J1189" s="79"/>
      <c r="K1189" s="80"/>
      <c r="L1189" s="80"/>
    </row>
    <row r="1190" ht="18" customHeight="1" spans="1:12">
      <c r="A1190" s="87" t="str">
        <f t="shared" si="18"/>
        <v/>
      </c>
      <c r="B1190" s="78"/>
      <c r="C1190" s="79"/>
      <c r="D1190" s="80"/>
      <c r="E1190" s="79"/>
      <c r="F1190" s="88"/>
      <c r="G1190" s="88"/>
      <c r="H1190" s="80"/>
      <c r="I1190" s="80"/>
      <c r="J1190" s="79"/>
      <c r="K1190" s="80"/>
      <c r="L1190" s="80"/>
    </row>
    <row r="1191" ht="18" customHeight="1" spans="1:12">
      <c r="A1191" s="87" t="str">
        <f t="shared" si="18"/>
        <v/>
      </c>
      <c r="B1191" s="78"/>
      <c r="C1191" s="79"/>
      <c r="D1191" s="80"/>
      <c r="E1191" s="79"/>
      <c r="F1191" s="88"/>
      <c r="G1191" s="88"/>
      <c r="H1191" s="80"/>
      <c r="I1191" s="80"/>
      <c r="J1191" s="79"/>
      <c r="K1191" s="80"/>
      <c r="L1191" s="80"/>
    </row>
    <row r="1192" ht="18" customHeight="1" spans="1:12">
      <c r="A1192" s="87" t="str">
        <f t="shared" si="18"/>
        <v/>
      </c>
      <c r="B1192" s="78"/>
      <c r="C1192" s="79"/>
      <c r="D1192" s="80"/>
      <c r="E1192" s="79"/>
      <c r="F1192" s="88"/>
      <c r="G1192" s="88"/>
      <c r="H1192" s="80"/>
      <c r="I1192" s="80"/>
      <c r="J1192" s="79"/>
      <c r="K1192" s="80"/>
      <c r="L1192" s="80"/>
    </row>
    <row r="1193" ht="18" customHeight="1" spans="1:12">
      <c r="A1193" s="87" t="str">
        <f t="shared" si="18"/>
        <v/>
      </c>
      <c r="B1193" s="78"/>
      <c r="C1193" s="79"/>
      <c r="D1193" s="80"/>
      <c r="E1193" s="79"/>
      <c r="F1193" s="88"/>
      <c r="G1193" s="88"/>
      <c r="H1193" s="80"/>
      <c r="I1193" s="80"/>
      <c r="J1193" s="79"/>
      <c r="K1193" s="80"/>
      <c r="L1193" s="80"/>
    </row>
    <row r="1194" ht="18" customHeight="1" spans="1:12">
      <c r="A1194" s="87" t="str">
        <f t="shared" si="18"/>
        <v/>
      </c>
      <c r="B1194" s="78"/>
      <c r="C1194" s="79"/>
      <c r="D1194" s="80"/>
      <c r="E1194" s="79"/>
      <c r="F1194" s="88"/>
      <c r="G1194" s="88"/>
      <c r="H1194" s="80"/>
      <c r="I1194" s="80"/>
      <c r="J1194" s="79"/>
      <c r="K1194" s="80"/>
      <c r="L1194" s="80"/>
    </row>
    <row r="1195" ht="18" customHeight="1" spans="1:12">
      <c r="A1195" s="87" t="str">
        <f t="shared" si="18"/>
        <v/>
      </c>
      <c r="B1195" s="78"/>
      <c r="C1195" s="79"/>
      <c r="D1195" s="80"/>
      <c r="E1195" s="79"/>
      <c r="F1195" s="88"/>
      <c r="G1195" s="88"/>
      <c r="H1195" s="80"/>
      <c r="I1195" s="80"/>
      <c r="J1195" s="79"/>
      <c r="K1195" s="80"/>
      <c r="L1195" s="80"/>
    </row>
    <row r="1196" ht="18" customHeight="1" spans="1:12">
      <c r="A1196" s="87" t="str">
        <f t="shared" si="18"/>
        <v/>
      </c>
      <c r="B1196" s="78"/>
      <c r="C1196" s="79"/>
      <c r="D1196" s="80"/>
      <c r="E1196" s="79"/>
      <c r="F1196" s="88"/>
      <c r="G1196" s="88"/>
      <c r="H1196" s="80"/>
      <c r="I1196" s="80"/>
      <c r="J1196" s="79"/>
      <c r="K1196" s="80"/>
      <c r="L1196" s="80"/>
    </row>
    <row r="1197" ht="18" customHeight="1" spans="1:12">
      <c r="A1197" s="87" t="str">
        <f t="shared" si="18"/>
        <v/>
      </c>
      <c r="B1197" s="78"/>
      <c r="C1197" s="79"/>
      <c r="D1197" s="80"/>
      <c r="E1197" s="79"/>
      <c r="F1197" s="88"/>
      <c r="G1197" s="88"/>
      <c r="H1197" s="80"/>
      <c r="I1197" s="80"/>
      <c r="J1197" s="79"/>
      <c r="K1197" s="80"/>
      <c r="L1197" s="80"/>
    </row>
    <row r="1198" ht="18" customHeight="1" spans="1:12">
      <c r="A1198" s="87" t="str">
        <f t="shared" si="18"/>
        <v/>
      </c>
      <c r="B1198" s="78"/>
      <c r="C1198" s="79"/>
      <c r="D1198" s="80"/>
      <c r="E1198" s="79"/>
      <c r="F1198" s="88"/>
      <c r="G1198" s="88"/>
      <c r="H1198" s="80"/>
      <c r="I1198" s="80"/>
      <c r="J1198" s="79"/>
      <c r="K1198" s="80"/>
      <c r="L1198" s="80"/>
    </row>
    <row r="1199" ht="18" customHeight="1" spans="1:12">
      <c r="A1199" s="87" t="str">
        <f t="shared" si="18"/>
        <v/>
      </c>
      <c r="B1199" s="78"/>
      <c r="C1199" s="79"/>
      <c r="D1199" s="80"/>
      <c r="E1199" s="79"/>
      <c r="F1199" s="88"/>
      <c r="G1199" s="88"/>
      <c r="H1199" s="80"/>
      <c r="I1199" s="80"/>
      <c r="J1199" s="79"/>
      <c r="K1199" s="80"/>
      <c r="L1199" s="80"/>
    </row>
    <row r="1200" ht="18" customHeight="1" spans="1:12">
      <c r="A1200" s="87" t="str">
        <f t="shared" si="18"/>
        <v/>
      </c>
      <c r="B1200" s="78"/>
      <c r="C1200" s="79"/>
      <c r="D1200" s="80"/>
      <c r="E1200" s="79"/>
      <c r="F1200" s="88"/>
      <c r="G1200" s="88"/>
      <c r="H1200" s="80"/>
      <c r="I1200" s="80"/>
      <c r="J1200" s="79"/>
      <c r="K1200" s="80"/>
      <c r="L1200" s="80"/>
    </row>
    <row r="1201" ht="18" customHeight="1" spans="1:12">
      <c r="A1201" s="87" t="str">
        <f t="shared" si="18"/>
        <v/>
      </c>
      <c r="B1201" s="78"/>
      <c r="C1201" s="79"/>
      <c r="D1201" s="80"/>
      <c r="E1201" s="79"/>
      <c r="F1201" s="88"/>
      <c r="G1201" s="88"/>
      <c r="H1201" s="80"/>
      <c r="I1201" s="80"/>
      <c r="J1201" s="79"/>
      <c r="K1201" s="80"/>
      <c r="L1201" s="80"/>
    </row>
    <row r="1202" ht="18" customHeight="1" spans="1:12">
      <c r="A1202" s="87" t="str">
        <f t="shared" si="18"/>
        <v/>
      </c>
      <c r="B1202" s="78"/>
      <c r="C1202" s="79"/>
      <c r="D1202" s="80"/>
      <c r="E1202" s="79"/>
      <c r="F1202" s="88"/>
      <c r="G1202" s="88"/>
      <c r="H1202" s="80"/>
      <c r="I1202" s="80"/>
      <c r="J1202" s="79"/>
      <c r="K1202" s="80"/>
      <c r="L1202" s="80"/>
    </row>
    <row r="1203" ht="18" customHeight="1" spans="1:12">
      <c r="A1203" s="87" t="str">
        <f t="shared" si="18"/>
        <v/>
      </c>
      <c r="B1203" s="78"/>
      <c r="C1203" s="79"/>
      <c r="D1203" s="80"/>
      <c r="E1203" s="79"/>
      <c r="F1203" s="88"/>
      <c r="G1203" s="88"/>
      <c r="H1203" s="80"/>
      <c r="I1203" s="80"/>
      <c r="J1203" s="79"/>
      <c r="K1203" s="80"/>
      <c r="L1203" s="80"/>
    </row>
  </sheetData>
  <autoFilter xmlns:etc="http://www.wps.cn/officeDocument/2017/etCustomData" ref="A3:L1203" etc:filterBottomFollowUsedRange="0">
    <extLst/>
  </autoFilter>
  <mergeCells count="2">
    <mergeCell ref="A1:L1"/>
    <mergeCell ref="A2:L2"/>
  </mergeCells>
  <dataValidations count="5">
    <dataValidation type="list" allowBlank="1" sqref="C4:C1203">
      <formula1>基础资料!$B$4:$B$103</formula1>
    </dataValidation>
    <dataValidation type="list" allowBlank="1" sqref="E4:E1203">
      <formula1>_自动清单!$CL$4:$CL$203</formula1>
    </dataValidation>
    <dataValidation type="list" allowBlank="1" sqref="I4:I1203">
      <formula1>基础资料!$H$4:$H$103</formula1>
    </dataValidation>
    <dataValidation type="list" allowBlank="1" sqref="J4:J1203">
      <formula1>基础资料!$L$4:$L$103</formula1>
    </dataValidation>
    <dataValidation type="list" allowBlank="1" sqref="K4:K1203">
      <formula1>基础资料!$I$4:$I$103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603"/>
  <sheetViews>
    <sheetView showGridLines="0" workbookViewId="0">
      <pane xSplit="4" ySplit="3" topLeftCell="E4" activePane="bottomRight" state="frozen"/>
      <selection/>
      <selection pane="topRight"/>
      <selection pane="bottomLeft"/>
      <selection pane="bottomRight" activeCell="F4" sqref="F4"/>
    </sheetView>
  </sheetViews>
  <sheetFormatPr defaultColWidth="8.67619047619048" defaultRowHeight="15"/>
  <cols>
    <col min="1" max="1" width="6" customWidth="1"/>
    <col min="2" max="3" width="12" customWidth="1"/>
    <col min="4" max="6" width="13" customWidth="1"/>
    <col min="7" max="7" width="11" customWidth="1"/>
    <col min="8" max="8" width="15" customWidth="1"/>
    <col min="9" max="11" width="9" customWidth="1"/>
    <col min="12" max="12" width="12" customWidth="1"/>
    <col min="13" max="13" width="11" customWidth="1"/>
    <col min="14" max="14" width="14" customWidth="1"/>
    <col min="15" max="15" width="9" customWidth="1"/>
    <col min="16" max="16" width="22" customWidth="1"/>
  </cols>
  <sheetData>
    <row r="1" ht="30" customHeight="1" spans="1:16">
      <c r="A1" s="2" t="s">
        <v>455</v>
      </c>
    </row>
    <row r="2" ht="18" customHeight="1" spans="1:16">
      <c r="A2" s="3" t="s">
        <v>456</v>
      </c>
    </row>
    <row r="3" ht="33.75" customHeight="1" spans="1:16">
      <c r="A3" s="4" t="s">
        <v>3</v>
      </c>
      <c r="B3" s="4" t="s">
        <v>289</v>
      </c>
      <c r="C3" s="76" t="s">
        <v>457</v>
      </c>
      <c r="D3" s="76" t="s">
        <v>458</v>
      </c>
      <c r="E3" s="4" t="s">
        <v>291</v>
      </c>
      <c r="F3" s="76" t="s">
        <v>292</v>
      </c>
      <c r="G3" s="76" t="s">
        <v>138</v>
      </c>
      <c r="H3" s="4" t="s">
        <v>459</v>
      </c>
      <c r="I3" s="4" t="s">
        <v>299</v>
      </c>
      <c r="J3" s="76" t="s">
        <v>460</v>
      </c>
      <c r="K3" s="76" t="s">
        <v>461</v>
      </c>
      <c r="L3" s="4" t="s">
        <v>462</v>
      </c>
      <c r="M3" s="76" t="s">
        <v>463</v>
      </c>
      <c r="N3" s="4" t="s">
        <v>454</v>
      </c>
      <c r="O3" s="4" t="s">
        <v>130</v>
      </c>
      <c r="P3" s="4" t="s">
        <v>306</v>
      </c>
    </row>
    <row r="4" ht="18" customHeight="1" spans="1:16">
      <c r="A4" s="77">
        <f t="shared" ref="A4:A67" si="0">IF($D4="","",ROW()-3)</f>
        <v>1</v>
      </c>
      <c r="B4" s="78"/>
      <c r="C4" s="78" t="s">
        <v>155</v>
      </c>
      <c r="D4" s="79" t="s">
        <v>154</v>
      </c>
      <c r="E4" s="80"/>
      <c r="F4" s="80" t="s">
        <v>183</v>
      </c>
      <c r="G4" s="81"/>
      <c r="H4" s="6"/>
      <c r="I4" s="79"/>
      <c r="J4" s="79"/>
      <c r="K4" s="82"/>
      <c r="L4" s="83"/>
      <c r="M4" s="80"/>
      <c r="N4" s="79"/>
      <c r="O4" s="80"/>
      <c r="P4" s="5"/>
    </row>
    <row r="5" ht="18" customHeight="1" spans="1:16">
      <c r="A5" s="77" t="str">
        <f t="shared" si="0"/>
        <v/>
      </c>
      <c r="B5" s="78"/>
      <c r="C5" s="78"/>
      <c r="D5" s="79"/>
      <c r="E5" s="80"/>
      <c r="F5" s="80"/>
      <c r="G5" s="81"/>
      <c r="H5" s="5"/>
      <c r="I5" s="79"/>
      <c r="J5" s="79"/>
      <c r="K5" s="82"/>
      <c r="L5" s="83"/>
      <c r="M5" s="80"/>
      <c r="N5" s="79"/>
      <c r="O5" s="80"/>
      <c r="P5" s="5"/>
    </row>
    <row r="6" ht="18" customHeight="1" spans="1:16">
      <c r="A6" s="77" t="str">
        <f t="shared" si="0"/>
        <v/>
      </c>
      <c r="B6" s="78"/>
      <c r="C6" s="78"/>
      <c r="D6" s="79"/>
      <c r="E6" s="80"/>
      <c r="F6" s="80"/>
      <c r="G6" s="81"/>
      <c r="H6" s="6"/>
      <c r="I6" s="79"/>
      <c r="J6" s="79"/>
      <c r="K6" s="82"/>
      <c r="L6" s="83"/>
      <c r="M6" s="80"/>
      <c r="N6" s="79"/>
      <c r="O6" s="80"/>
      <c r="P6" s="5"/>
    </row>
    <row r="7" ht="18" customHeight="1" spans="1:16">
      <c r="A7" s="77" t="str">
        <f t="shared" si="0"/>
        <v/>
      </c>
      <c r="B7" s="78"/>
      <c r="C7" s="78"/>
      <c r="D7" s="79"/>
      <c r="E7" s="80"/>
      <c r="F7" s="80"/>
      <c r="G7" s="81"/>
      <c r="H7" s="5"/>
      <c r="I7" s="79"/>
      <c r="J7" s="79"/>
      <c r="K7" s="82"/>
      <c r="L7" s="83"/>
      <c r="M7" s="79"/>
      <c r="N7" s="79"/>
      <c r="O7" s="80"/>
      <c r="P7" s="5"/>
    </row>
    <row r="8" ht="18" customHeight="1" spans="1:16">
      <c r="A8" s="77" t="str">
        <f t="shared" si="0"/>
        <v/>
      </c>
      <c r="B8" s="78"/>
      <c r="C8" s="78"/>
      <c r="D8" s="79"/>
      <c r="E8" s="80"/>
      <c r="F8" s="80"/>
      <c r="G8" s="81"/>
      <c r="H8" s="5"/>
      <c r="I8" s="79"/>
      <c r="J8" s="79"/>
      <c r="K8" s="82"/>
      <c r="L8" s="83"/>
      <c r="M8" s="79"/>
      <c r="N8" s="79"/>
      <c r="O8" s="80"/>
      <c r="P8" s="5"/>
    </row>
    <row r="9" ht="18" customHeight="1" spans="1:16">
      <c r="A9" s="77" t="str">
        <f t="shared" si="0"/>
        <v/>
      </c>
      <c r="B9" s="78"/>
      <c r="C9" s="78"/>
      <c r="D9" s="84"/>
      <c r="E9" s="80"/>
      <c r="F9" s="80"/>
      <c r="G9" s="81"/>
      <c r="H9" s="5"/>
      <c r="I9" s="79"/>
      <c r="J9" s="79"/>
      <c r="K9" s="82"/>
      <c r="L9" s="83"/>
      <c r="M9" s="80"/>
      <c r="N9" s="79"/>
      <c r="O9" s="80"/>
      <c r="P9" s="5"/>
    </row>
    <row r="10" ht="18" customHeight="1" spans="1:16">
      <c r="A10" s="77" t="str">
        <f t="shared" si="0"/>
        <v/>
      </c>
      <c r="B10" s="78"/>
      <c r="C10" s="78"/>
      <c r="D10" s="84"/>
      <c r="E10" s="80"/>
      <c r="F10" s="80"/>
      <c r="G10" s="81"/>
      <c r="H10" s="5"/>
      <c r="I10" s="79"/>
      <c r="J10" s="79"/>
      <c r="K10" s="82"/>
      <c r="L10" s="83"/>
      <c r="M10" s="80"/>
      <c r="N10" s="79"/>
      <c r="O10" s="80"/>
      <c r="P10" s="5"/>
    </row>
    <row r="11" ht="18" customHeight="1" spans="1:16">
      <c r="A11" s="77" t="str">
        <f t="shared" si="0"/>
        <v/>
      </c>
      <c r="B11" s="78"/>
      <c r="C11" s="78"/>
      <c r="D11" s="84"/>
      <c r="E11" s="80"/>
      <c r="F11" s="80"/>
      <c r="G11" s="81"/>
      <c r="H11" s="5"/>
      <c r="I11" s="79"/>
      <c r="J11" s="79"/>
      <c r="K11" s="82"/>
      <c r="L11" s="83"/>
      <c r="M11" s="80"/>
      <c r="N11" s="79"/>
      <c r="O11" s="80"/>
      <c r="P11" s="5"/>
    </row>
    <row r="12" ht="18" customHeight="1" spans="1:16">
      <c r="A12" s="77" t="str">
        <f t="shared" si="0"/>
        <v/>
      </c>
      <c r="B12" s="78"/>
      <c r="C12" s="78"/>
      <c r="D12" s="79"/>
      <c r="E12" s="80"/>
      <c r="F12" s="80"/>
      <c r="G12" s="81"/>
      <c r="H12" s="5"/>
      <c r="I12" s="79"/>
      <c r="J12" s="79"/>
      <c r="K12" s="82"/>
      <c r="L12" s="83"/>
      <c r="M12" s="80"/>
      <c r="N12" s="79"/>
      <c r="O12" s="80"/>
      <c r="P12" s="5"/>
    </row>
    <row r="13" ht="18" customHeight="1" spans="1:16">
      <c r="A13" s="77" t="str">
        <f t="shared" si="0"/>
        <v/>
      </c>
      <c r="B13" s="78"/>
      <c r="C13" s="78"/>
      <c r="D13" s="79"/>
      <c r="E13" s="80"/>
      <c r="F13" s="80"/>
      <c r="G13" s="81"/>
      <c r="H13" s="5"/>
      <c r="I13" s="79"/>
      <c r="J13" s="79"/>
      <c r="K13" s="82"/>
      <c r="L13" s="83"/>
      <c r="M13" s="80"/>
      <c r="N13" s="79"/>
      <c r="O13" s="80"/>
      <c r="P13" s="5"/>
    </row>
    <row r="14" ht="18" customHeight="1" spans="1:16">
      <c r="A14" s="77" t="str">
        <f t="shared" si="0"/>
        <v/>
      </c>
      <c r="B14" s="78"/>
      <c r="C14" s="78"/>
      <c r="D14" s="79"/>
      <c r="E14" s="80"/>
      <c r="F14" s="80"/>
      <c r="G14" s="81"/>
      <c r="H14" s="5"/>
      <c r="I14" s="79"/>
      <c r="J14" s="79"/>
      <c r="K14" s="82"/>
      <c r="L14" s="83"/>
      <c r="M14" s="80"/>
      <c r="N14" s="79"/>
      <c r="O14" s="80"/>
      <c r="P14" s="5"/>
    </row>
    <row r="15" ht="18" customHeight="1" spans="1:16">
      <c r="A15" s="77" t="str">
        <f t="shared" si="0"/>
        <v/>
      </c>
      <c r="B15" s="78"/>
      <c r="C15" s="78"/>
      <c r="D15" s="79"/>
      <c r="E15" s="80"/>
      <c r="F15" s="80"/>
      <c r="G15" s="81"/>
      <c r="H15" s="5"/>
      <c r="I15" s="79"/>
      <c r="J15" s="79"/>
      <c r="K15" s="82"/>
      <c r="L15" s="83"/>
      <c r="M15" s="80"/>
      <c r="N15" s="79"/>
      <c r="O15" s="80"/>
      <c r="P15" s="5"/>
    </row>
    <row r="16" ht="18" customHeight="1" spans="1:16">
      <c r="A16" s="77" t="str">
        <f t="shared" si="0"/>
        <v/>
      </c>
      <c r="B16" s="78"/>
      <c r="C16" s="78"/>
      <c r="D16" s="79"/>
      <c r="E16" s="80"/>
      <c r="F16" s="80"/>
      <c r="G16" s="81"/>
      <c r="H16" s="5"/>
      <c r="I16" s="79"/>
      <c r="J16" s="79"/>
      <c r="K16" s="82"/>
      <c r="L16" s="83"/>
      <c r="M16" s="80"/>
      <c r="N16" s="79"/>
      <c r="O16" s="80"/>
      <c r="P16" s="5"/>
    </row>
    <row r="17" ht="18" customHeight="1" spans="1:16">
      <c r="A17" s="77" t="str">
        <f t="shared" si="0"/>
        <v/>
      </c>
      <c r="B17" s="78"/>
      <c r="C17" s="78"/>
      <c r="D17" s="79"/>
      <c r="E17" s="80"/>
      <c r="F17" s="80"/>
      <c r="G17" s="81"/>
      <c r="H17" s="5"/>
      <c r="I17" s="79"/>
      <c r="J17" s="79"/>
      <c r="K17" s="82"/>
      <c r="L17" s="83"/>
      <c r="M17" s="80"/>
      <c r="N17" s="79"/>
      <c r="O17" s="80"/>
      <c r="P17" s="5"/>
    </row>
    <row r="18" ht="18" customHeight="1" spans="1:16">
      <c r="A18" s="77" t="str">
        <f t="shared" si="0"/>
        <v/>
      </c>
      <c r="B18" s="78"/>
      <c r="C18" s="78"/>
      <c r="D18" s="79"/>
      <c r="E18" s="80"/>
      <c r="F18" s="80"/>
      <c r="G18" s="81"/>
      <c r="H18" s="5"/>
      <c r="I18" s="79"/>
      <c r="J18" s="79"/>
      <c r="K18" s="82"/>
      <c r="L18" s="83"/>
      <c r="M18" s="80"/>
      <c r="N18" s="79"/>
      <c r="O18" s="80"/>
      <c r="P18" s="5"/>
    </row>
    <row r="19" ht="18" customHeight="1" spans="1:16">
      <c r="A19" s="77" t="str">
        <f t="shared" si="0"/>
        <v/>
      </c>
      <c r="B19" s="78"/>
      <c r="C19" s="78"/>
      <c r="D19" s="79"/>
      <c r="E19" s="80"/>
      <c r="F19" s="80"/>
      <c r="G19" s="81"/>
      <c r="H19" s="5"/>
      <c r="I19" s="79"/>
      <c r="J19" s="79"/>
      <c r="K19" s="82"/>
      <c r="L19" s="83"/>
      <c r="M19" s="80"/>
      <c r="N19" s="79"/>
      <c r="O19" s="80"/>
      <c r="P19" s="5"/>
    </row>
    <row r="20" ht="18" customHeight="1" spans="1:16">
      <c r="A20" s="77" t="str">
        <f t="shared" si="0"/>
        <v/>
      </c>
      <c r="B20" s="78"/>
      <c r="C20" s="78"/>
      <c r="D20" s="79"/>
      <c r="E20" s="80"/>
      <c r="F20" s="80"/>
      <c r="G20" s="81"/>
      <c r="H20" s="5"/>
      <c r="I20" s="79"/>
      <c r="J20" s="79"/>
      <c r="K20" s="82"/>
      <c r="L20" s="83"/>
      <c r="M20" s="80"/>
      <c r="N20" s="79"/>
      <c r="O20" s="80"/>
      <c r="P20" s="5"/>
    </row>
    <row r="21" ht="18" customHeight="1" spans="1:16">
      <c r="A21" s="77" t="str">
        <f t="shared" si="0"/>
        <v/>
      </c>
      <c r="B21" s="78"/>
      <c r="C21" s="78"/>
      <c r="D21" s="79"/>
      <c r="E21" s="80"/>
      <c r="F21" s="80"/>
      <c r="G21" s="81"/>
      <c r="H21" s="5"/>
      <c r="I21" s="79"/>
      <c r="J21" s="79"/>
      <c r="K21" s="82"/>
      <c r="L21" s="83"/>
      <c r="M21" s="80"/>
      <c r="N21" s="79"/>
      <c r="O21" s="80"/>
      <c r="P21" s="5"/>
    </row>
    <row r="22" ht="18" customHeight="1" spans="1:16">
      <c r="A22" s="77" t="str">
        <f t="shared" si="0"/>
        <v/>
      </c>
      <c r="B22" s="78"/>
      <c r="C22" s="78"/>
      <c r="D22" s="79"/>
      <c r="E22" s="80"/>
      <c r="F22" s="80"/>
      <c r="G22" s="81"/>
      <c r="H22" s="5"/>
      <c r="I22" s="79"/>
      <c r="J22" s="79"/>
      <c r="K22" s="82"/>
      <c r="L22" s="83"/>
      <c r="M22" s="80"/>
      <c r="N22" s="79"/>
      <c r="O22" s="80"/>
      <c r="P22" s="5"/>
    </row>
    <row r="23" ht="18" customHeight="1" spans="1:16">
      <c r="A23" s="77" t="str">
        <f t="shared" si="0"/>
        <v/>
      </c>
      <c r="B23" s="78"/>
      <c r="C23" s="78"/>
      <c r="D23" s="79"/>
      <c r="E23" s="80"/>
      <c r="F23" s="80"/>
      <c r="G23" s="81"/>
      <c r="H23" s="5"/>
      <c r="I23" s="79"/>
      <c r="J23" s="79"/>
      <c r="K23" s="82"/>
      <c r="L23" s="83"/>
      <c r="M23" s="80"/>
      <c r="N23" s="79"/>
      <c r="O23" s="80"/>
      <c r="P23" s="5"/>
    </row>
    <row r="24" ht="18" customHeight="1" spans="1:16">
      <c r="A24" s="77" t="str">
        <f t="shared" si="0"/>
        <v/>
      </c>
      <c r="B24" s="78"/>
      <c r="C24" s="78"/>
      <c r="D24" s="79"/>
      <c r="E24" s="80"/>
      <c r="F24" s="80"/>
      <c r="G24" s="81"/>
      <c r="H24" s="5"/>
      <c r="I24" s="79"/>
      <c r="J24" s="79"/>
      <c r="K24" s="82"/>
      <c r="L24" s="83"/>
      <c r="M24" s="80"/>
      <c r="N24" s="79"/>
      <c r="O24" s="80"/>
      <c r="P24" s="5"/>
    </row>
    <row r="25" ht="18" customHeight="1" spans="1:16">
      <c r="A25" s="77" t="str">
        <f t="shared" si="0"/>
        <v/>
      </c>
      <c r="B25" s="78"/>
      <c r="C25" s="78"/>
      <c r="D25" s="79"/>
      <c r="E25" s="80"/>
      <c r="F25" s="80"/>
      <c r="G25" s="81"/>
      <c r="H25" s="5"/>
      <c r="I25" s="79"/>
      <c r="J25" s="79"/>
      <c r="K25" s="82"/>
      <c r="L25" s="83"/>
      <c r="M25" s="80"/>
      <c r="N25" s="79"/>
      <c r="O25" s="80"/>
      <c r="P25" s="5"/>
    </row>
    <row r="26" ht="18" customHeight="1" spans="1:16">
      <c r="A26" s="77" t="str">
        <f t="shared" si="0"/>
        <v/>
      </c>
      <c r="B26" s="78"/>
      <c r="C26" s="78"/>
      <c r="D26" s="79"/>
      <c r="E26" s="80"/>
      <c r="F26" s="80"/>
      <c r="G26" s="81"/>
      <c r="H26" s="5"/>
      <c r="I26" s="79"/>
      <c r="J26" s="79"/>
      <c r="K26" s="82"/>
      <c r="L26" s="83"/>
      <c r="M26" s="80"/>
      <c r="N26" s="79"/>
      <c r="O26" s="80"/>
      <c r="P26" s="5"/>
    </row>
    <row r="27" ht="18" customHeight="1" spans="1:16">
      <c r="A27" s="77" t="str">
        <f t="shared" si="0"/>
        <v/>
      </c>
      <c r="B27" s="78"/>
      <c r="C27" s="78"/>
      <c r="D27" s="79"/>
      <c r="E27" s="80"/>
      <c r="F27" s="80"/>
      <c r="G27" s="81"/>
      <c r="H27" s="5"/>
      <c r="I27" s="79"/>
      <c r="J27" s="79"/>
      <c r="K27" s="82"/>
      <c r="L27" s="83"/>
      <c r="M27" s="80"/>
      <c r="N27" s="79"/>
      <c r="O27" s="80"/>
      <c r="P27" s="5"/>
    </row>
    <row r="28" ht="18" customHeight="1" spans="1:16">
      <c r="A28" s="77" t="str">
        <f t="shared" si="0"/>
        <v/>
      </c>
      <c r="B28" s="78"/>
      <c r="C28" s="78"/>
      <c r="D28" s="79"/>
      <c r="E28" s="80"/>
      <c r="F28" s="80"/>
      <c r="G28" s="81"/>
      <c r="H28" s="5"/>
      <c r="I28" s="79"/>
      <c r="J28" s="79"/>
      <c r="K28" s="82"/>
      <c r="L28" s="83"/>
      <c r="M28" s="80"/>
      <c r="N28" s="79"/>
      <c r="O28" s="80"/>
      <c r="P28" s="5"/>
    </row>
    <row r="29" ht="18" customHeight="1" spans="1:16">
      <c r="A29" s="77" t="str">
        <f t="shared" si="0"/>
        <v/>
      </c>
      <c r="B29" s="78"/>
      <c r="C29" s="78"/>
      <c r="D29" s="79"/>
      <c r="E29" s="80"/>
      <c r="F29" s="80"/>
      <c r="G29" s="81"/>
      <c r="H29" s="5"/>
      <c r="I29" s="79"/>
      <c r="J29" s="79"/>
      <c r="K29" s="82"/>
      <c r="L29" s="83"/>
      <c r="M29" s="80"/>
      <c r="N29" s="79"/>
      <c r="O29" s="80"/>
      <c r="P29" s="5"/>
    </row>
    <row r="30" ht="18" customHeight="1" spans="1:16">
      <c r="A30" s="77" t="str">
        <f t="shared" si="0"/>
        <v/>
      </c>
      <c r="B30" s="78"/>
      <c r="C30" s="78"/>
      <c r="D30" s="79"/>
      <c r="E30" s="80"/>
      <c r="F30" s="80"/>
      <c r="G30" s="81"/>
      <c r="H30" s="5"/>
      <c r="I30" s="79"/>
      <c r="J30" s="79"/>
      <c r="K30" s="82"/>
      <c r="L30" s="83"/>
      <c r="M30" s="80"/>
      <c r="N30" s="79"/>
      <c r="O30" s="80"/>
      <c r="P30" s="5"/>
    </row>
    <row r="31" ht="18" customHeight="1" spans="1:16">
      <c r="A31" s="77" t="str">
        <f t="shared" si="0"/>
        <v/>
      </c>
      <c r="B31" s="78"/>
      <c r="C31" s="78"/>
      <c r="D31" s="79"/>
      <c r="E31" s="80"/>
      <c r="F31" s="80"/>
      <c r="G31" s="81"/>
      <c r="H31" s="5"/>
      <c r="I31" s="79"/>
      <c r="J31" s="79"/>
      <c r="K31" s="82"/>
      <c r="L31" s="83"/>
      <c r="M31" s="80"/>
      <c r="N31" s="79"/>
      <c r="O31" s="80"/>
      <c r="P31" s="5"/>
    </row>
    <row r="32" ht="18" customHeight="1" spans="1:16">
      <c r="A32" s="77" t="str">
        <f t="shared" si="0"/>
        <v/>
      </c>
      <c r="B32" s="78"/>
      <c r="C32" s="78"/>
      <c r="D32" s="79"/>
      <c r="E32" s="80"/>
      <c r="F32" s="80"/>
      <c r="G32" s="81"/>
      <c r="H32" s="5"/>
      <c r="I32" s="79"/>
      <c r="J32" s="79"/>
      <c r="K32" s="82"/>
      <c r="L32" s="83"/>
      <c r="M32" s="80"/>
      <c r="N32" s="79"/>
      <c r="O32" s="80"/>
      <c r="P32" s="5"/>
    </row>
    <row r="33" ht="18" customHeight="1" spans="1:16">
      <c r="A33" s="77" t="str">
        <f t="shared" si="0"/>
        <v/>
      </c>
      <c r="B33" s="78"/>
      <c r="C33" s="78"/>
      <c r="D33" s="79"/>
      <c r="E33" s="80"/>
      <c r="F33" s="80"/>
      <c r="G33" s="81"/>
      <c r="H33" s="5"/>
      <c r="I33" s="79"/>
      <c r="J33" s="79"/>
      <c r="K33" s="82"/>
      <c r="L33" s="83"/>
      <c r="M33" s="80"/>
      <c r="N33" s="79"/>
      <c r="O33" s="80"/>
      <c r="P33" s="5"/>
    </row>
    <row r="34" ht="18" customHeight="1" spans="1:16">
      <c r="A34" s="77" t="str">
        <f t="shared" si="0"/>
        <v/>
      </c>
      <c r="B34" s="78"/>
      <c r="C34" s="78"/>
      <c r="D34" s="79"/>
      <c r="E34" s="80"/>
      <c r="F34" s="80"/>
      <c r="G34" s="81"/>
      <c r="H34" s="5"/>
      <c r="I34" s="79"/>
      <c r="J34" s="79"/>
      <c r="K34" s="82"/>
      <c r="L34" s="83"/>
      <c r="M34" s="80"/>
      <c r="N34" s="79"/>
      <c r="O34" s="80"/>
      <c r="P34" s="5"/>
    </row>
    <row r="35" ht="18" customHeight="1" spans="1:16">
      <c r="A35" s="77" t="str">
        <f t="shared" si="0"/>
        <v/>
      </c>
      <c r="B35" s="78"/>
      <c r="C35" s="78"/>
      <c r="D35" s="79"/>
      <c r="E35" s="80"/>
      <c r="F35" s="80"/>
      <c r="G35" s="81"/>
      <c r="H35" s="5"/>
      <c r="I35" s="79"/>
      <c r="J35" s="79"/>
      <c r="K35" s="82"/>
      <c r="L35" s="83"/>
      <c r="M35" s="80"/>
      <c r="N35" s="79"/>
      <c r="O35" s="80"/>
      <c r="P35" s="5"/>
    </row>
    <row r="36" ht="18" customHeight="1" spans="1:16">
      <c r="A36" s="77" t="str">
        <f t="shared" si="0"/>
        <v/>
      </c>
      <c r="B36" s="78"/>
      <c r="C36" s="78"/>
      <c r="D36" s="79"/>
      <c r="E36" s="80"/>
      <c r="F36" s="80"/>
      <c r="G36" s="81"/>
      <c r="H36" s="5"/>
      <c r="I36" s="79"/>
      <c r="J36" s="79"/>
      <c r="K36" s="82"/>
      <c r="L36" s="83"/>
      <c r="M36" s="80"/>
      <c r="N36" s="79"/>
      <c r="O36" s="80"/>
      <c r="P36" s="5"/>
    </row>
    <row r="37" ht="18" customHeight="1" spans="1:16">
      <c r="A37" s="77" t="str">
        <f t="shared" si="0"/>
        <v/>
      </c>
      <c r="B37" s="78"/>
      <c r="C37" s="78"/>
      <c r="D37" s="79"/>
      <c r="E37" s="80"/>
      <c r="F37" s="80"/>
      <c r="G37" s="81"/>
      <c r="H37" s="5"/>
      <c r="I37" s="79"/>
      <c r="J37" s="79"/>
      <c r="K37" s="82"/>
      <c r="L37" s="83"/>
      <c r="M37" s="80"/>
      <c r="N37" s="79"/>
      <c r="O37" s="80"/>
      <c r="P37" s="5"/>
    </row>
    <row r="38" ht="18" customHeight="1" spans="1:16">
      <c r="A38" s="77" t="str">
        <f t="shared" si="0"/>
        <v/>
      </c>
      <c r="B38" s="78"/>
      <c r="C38" s="78"/>
      <c r="D38" s="79"/>
      <c r="E38" s="80"/>
      <c r="F38" s="80"/>
      <c r="G38" s="81"/>
      <c r="H38" s="5"/>
      <c r="I38" s="79"/>
      <c r="J38" s="79"/>
      <c r="K38" s="82"/>
      <c r="L38" s="83"/>
      <c r="M38" s="80"/>
      <c r="N38" s="79"/>
      <c r="O38" s="80"/>
      <c r="P38" s="5"/>
    </row>
    <row r="39" ht="18" customHeight="1" spans="1:16">
      <c r="A39" s="77" t="str">
        <f t="shared" si="0"/>
        <v/>
      </c>
      <c r="B39" s="78"/>
      <c r="C39" s="78"/>
      <c r="D39" s="79"/>
      <c r="E39" s="80"/>
      <c r="F39" s="80"/>
      <c r="G39" s="81"/>
      <c r="H39" s="5"/>
      <c r="I39" s="79"/>
      <c r="J39" s="79"/>
      <c r="K39" s="82"/>
      <c r="L39" s="83"/>
      <c r="M39" s="80"/>
      <c r="N39" s="79"/>
      <c r="O39" s="80"/>
      <c r="P39" s="5"/>
    </row>
    <row r="40" ht="18" customHeight="1" spans="1:16">
      <c r="A40" s="77" t="str">
        <f t="shared" si="0"/>
        <v/>
      </c>
      <c r="B40" s="78"/>
      <c r="C40" s="78"/>
      <c r="D40" s="79"/>
      <c r="E40" s="80"/>
      <c r="F40" s="80"/>
      <c r="G40" s="81"/>
      <c r="H40" s="5"/>
      <c r="I40" s="79"/>
      <c r="J40" s="79"/>
      <c r="K40" s="82"/>
      <c r="L40" s="83"/>
      <c r="M40" s="80"/>
      <c r="N40" s="79"/>
      <c r="O40" s="80"/>
      <c r="P40" s="5"/>
    </row>
    <row r="41" ht="18" customHeight="1" spans="1:16">
      <c r="A41" s="77" t="str">
        <f t="shared" si="0"/>
        <v/>
      </c>
      <c r="B41" s="78"/>
      <c r="C41" s="78"/>
      <c r="D41" s="79"/>
      <c r="E41" s="80"/>
      <c r="F41" s="80"/>
      <c r="G41" s="81"/>
      <c r="H41" s="5"/>
      <c r="I41" s="79"/>
      <c r="J41" s="79"/>
      <c r="K41" s="82"/>
      <c r="L41" s="83"/>
      <c r="M41" s="80"/>
      <c r="N41" s="79"/>
      <c r="O41" s="80"/>
      <c r="P41" s="5"/>
    </row>
    <row r="42" ht="18" customHeight="1" spans="1:16">
      <c r="A42" s="77" t="str">
        <f t="shared" si="0"/>
        <v/>
      </c>
      <c r="B42" s="78"/>
      <c r="C42" s="78"/>
      <c r="D42" s="79"/>
      <c r="E42" s="80"/>
      <c r="F42" s="80"/>
      <c r="G42" s="81"/>
      <c r="H42" s="5"/>
      <c r="I42" s="79"/>
      <c r="J42" s="79"/>
      <c r="K42" s="82"/>
      <c r="L42" s="83"/>
      <c r="M42" s="80"/>
      <c r="N42" s="79"/>
      <c r="O42" s="80"/>
      <c r="P42" s="5"/>
    </row>
    <row r="43" ht="18" customHeight="1" spans="1:16">
      <c r="A43" s="77" t="str">
        <f t="shared" si="0"/>
        <v/>
      </c>
      <c r="B43" s="78"/>
      <c r="C43" s="78"/>
      <c r="D43" s="79"/>
      <c r="E43" s="80"/>
      <c r="F43" s="80"/>
      <c r="G43" s="81"/>
      <c r="H43" s="5"/>
      <c r="I43" s="79"/>
      <c r="J43" s="79"/>
      <c r="K43" s="82"/>
      <c r="L43" s="83"/>
      <c r="M43" s="80"/>
      <c r="N43" s="79"/>
      <c r="O43" s="80"/>
      <c r="P43" s="5"/>
    </row>
    <row r="44" ht="18" customHeight="1" spans="1:16">
      <c r="A44" s="77" t="str">
        <f t="shared" si="0"/>
        <v/>
      </c>
      <c r="B44" s="78"/>
      <c r="C44" s="78"/>
      <c r="D44" s="79"/>
      <c r="E44" s="80"/>
      <c r="F44" s="80"/>
      <c r="G44" s="81"/>
      <c r="H44" s="5"/>
      <c r="I44" s="79"/>
      <c r="J44" s="79"/>
      <c r="K44" s="82"/>
      <c r="L44" s="83"/>
      <c r="M44" s="80"/>
      <c r="N44" s="79"/>
      <c r="O44" s="80"/>
      <c r="P44" s="5"/>
    </row>
    <row r="45" ht="18" customHeight="1" spans="1:16">
      <c r="A45" s="77" t="str">
        <f t="shared" si="0"/>
        <v/>
      </c>
      <c r="B45" s="78"/>
      <c r="C45" s="78"/>
      <c r="D45" s="79"/>
      <c r="E45" s="80"/>
      <c r="F45" s="80"/>
      <c r="G45" s="81"/>
      <c r="H45" s="5"/>
      <c r="I45" s="79"/>
      <c r="J45" s="79"/>
      <c r="K45" s="82"/>
      <c r="L45" s="83"/>
      <c r="M45" s="80"/>
      <c r="N45" s="79"/>
      <c r="O45" s="80"/>
      <c r="P45" s="5"/>
    </row>
    <row r="46" ht="18" customHeight="1" spans="1:16">
      <c r="A46" s="77" t="str">
        <f t="shared" si="0"/>
        <v/>
      </c>
      <c r="B46" s="78"/>
      <c r="C46" s="78"/>
      <c r="D46" s="79"/>
      <c r="E46" s="80"/>
      <c r="F46" s="80"/>
      <c r="G46" s="81"/>
      <c r="H46" s="5"/>
      <c r="I46" s="79"/>
      <c r="J46" s="79"/>
      <c r="K46" s="82"/>
      <c r="L46" s="83"/>
      <c r="M46" s="80"/>
      <c r="N46" s="79"/>
      <c r="O46" s="80"/>
      <c r="P46" s="5"/>
    </row>
    <row r="47" ht="18" customHeight="1" spans="1:16">
      <c r="A47" s="77" t="str">
        <f t="shared" si="0"/>
        <v/>
      </c>
      <c r="B47" s="78"/>
      <c r="C47" s="78"/>
      <c r="D47" s="79"/>
      <c r="E47" s="80"/>
      <c r="F47" s="80"/>
      <c r="G47" s="81"/>
      <c r="H47" s="5"/>
      <c r="I47" s="79"/>
      <c r="J47" s="79"/>
      <c r="K47" s="82"/>
      <c r="L47" s="83"/>
      <c r="M47" s="80"/>
      <c r="N47" s="79"/>
      <c r="O47" s="80"/>
      <c r="P47" s="5"/>
    </row>
    <row r="48" ht="18" customHeight="1" spans="1:16">
      <c r="A48" s="77" t="str">
        <f t="shared" si="0"/>
        <v/>
      </c>
      <c r="B48" s="78"/>
      <c r="C48" s="78"/>
      <c r="D48" s="79"/>
      <c r="E48" s="80"/>
      <c r="F48" s="80"/>
      <c r="G48" s="81"/>
      <c r="H48" s="5"/>
      <c r="I48" s="79"/>
      <c r="J48" s="79"/>
      <c r="K48" s="82"/>
      <c r="L48" s="83"/>
      <c r="M48" s="80"/>
      <c r="N48" s="79"/>
      <c r="O48" s="80"/>
      <c r="P48" s="5"/>
    </row>
    <row r="49" ht="18" customHeight="1" spans="1:16">
      <c r="A49" s="77" t="str">
        <f t="shared" si="0"/>
        <v/>
      </c>
      <c r="B49" s="78"/>
      <c r="C49" s="78"/>
      <c r="D49" s="79"/>
      <c r="E49" s="80"/>
      <c r="F49" s="80"/>
      <c r="G49" s="81"/>
      <c r="H49" s="5"/>
      <c r="I49" s="79"/>
      <c r="J49" s="79"/>
      <c r="K49" s="82"/>
      <c r="L49" s="83"/>
      <c r="M49" s="80"/>
      <c r="N49" s="79"/>
      <c r="O49" s="80"/>
      <c r="P49" s="5"/>
    </row>
    <row r="50" ht="18" customHeight="1" spans="1:16">
      <c r="A50" s="77" t="str">
        <f t="shared" si="0"/>
        <v/>
      </c>
      <c r="B50" s="78"/>
      <c r="C50" s="78"/>
      <c r="D50" s="79"/>
      <c r="E50" s="80"/>
      <c r="F50" s="80"/>
      <c r="G50" s="81"/>
      <c r="H50" s="5"/>
      <c r="I50" s="79"/>
      <c r="J50" s="79"/>
      <c r="K50" s="82"/>
      <c r="L50" s="83"/>
      <c r="M50" s="80"/>
      <c r="N50" s="79"/>
      <c r="O50" s="80"/>
      <c r="P50" s="5"/>
    </row>
    <row r="51" ht="18" customHeight="1" spans="1:16">
      <c r="A51" s="77" t="str">
        <f t="shared" si="0"/>
        <v/>
      </c>
      <c r="B51" s="78"/>
      <c r="C51" s="78"/>
      <c r="D51" s="79"/>
      <c r="E51" s="80"/>
      <c r="F51" s="80"/>
      <c r="G51" s="81"/>
      <c r="H51" s="5"/>
      <c r="I51" s="79"/>
      <c r="J51" s="79"/>
      <c r="K51" s="82"/>
      <c r="L51" s="83"/>
      <c r="M51" s="80"/>
      <c r="N51" s="79"/>
      <c r="O51" s="80"/>
      <c r="P51" s="5"/>
    </row>
    <row r="52" ht="18" customHeight="1" spans="1:16">
      <c r="A52" s="77" t="str">
        <f t="shared" si="0"/>
        <v/>
      </c>
      <c r="B52" s="78"/>
      <c r="C52" s="78"/>
      <c r="D52" s="79"/>
      <c r="E52" s="80"/>
      <c r="F52" s="80"/>
      <c r="G52" s="81"/>
      <c r="H52" s="5"/>
      <c r="I52" s="79"/>
      <c r="J52" s="79"/>
      <c r="K52" s="82"/>
      <c r="L52" s="83"/>
      <c r="M52" s="80"/>
      <c r="N52" s="79"/>
      <c r="O52" s="80"/>
      <c r="P52" s="5"/>
    </row>
    <row r="53" ht="18" customHeight="1" spans="1:16">
      <c r="A53" s="77" t="str">
        <f t="shared" si="0"/>
        <v/>
      </c>
      <c r="B53" s="78"/>
      <c r="C53" s="78"/>
      <c r="D53" s="79"/>
      <c r="E53" s="80"/>
      <c r="F53" s="80"/>
      <c r="G53" s="81"/>
      <c r="H53" s="5"/>
      <c r="I53" s="79"/>
      <c r="J53" s="79"/>
      <c r="K53" s="82"/>
      <c r="L53" s="83"/>
      <c r="M53" s="80"/>
      <c r="N53" s="79"/>
      <c r="O53" s="80"/>
      <c r="P53" s="5"/>
    </row>
    <row r="54" ht="18" customHeight="1" spans="1:16">
      <c r="A54" s="77" t="str">
        <f t="shared" si="0"/>
        <v/>
      </c>
      <c r="B54" s="78"/>
      <c r="C54" s="78"/>
      <c r="D54" s="79"/>
      <c r="E54" s="80"/>
      <c r="F54" s="80"/>
      <c r="G54" s="81"/>
      <c r="H54" s="5"/>
      <c r="I54" s="79"/>
      <c r="J54" s="79"/>
      <c r="K54" s="82"/>
      <c r="L54" s="83"/>
      <c r="M54" s="80"/>
      <c r="N54" s="79"/>
      <c r="O54" s="80"/>
      <c r="P54" s="5"/>
    </row>
    <row r="55" ht="18" customHeight="1" spans="1:16">
      <c r="A55" s="77" t="str">
        <f t="shared" si="0"/>
        <v/>
      </c>
      <c r="B55" s="78"/>
      <c r="C55" s="78"/>
      <c r="D55" s="79"/>
      <c r="E55" s="80"/>
      <c r="F55" s="80"/>
      <c r="G55" s="81"/>
      <c r="H55" s="5"/>
      <c r="I55" s="79"/>
      <c r="J55" s="79"/>
      <c r="K55" s="82"/>
      <c r="L55" s="83"/>
      <c r="M55" s="80"/>
      <c r="N55" s="79"/>
      <c r="O55" s="80"/>
      <c r="P55" s="5"/>
    </row>
    <row r="56" ht="18" customHeight="1" spans="1:16">
      <c r="A56" s="77" t="str">
        <f t="shared" si="0"/>
        <v/>
      </c>
      <c r="B56" s="78"/>
      <c r="C56" s="78"/>
      <c r="D56" s="79"/>
      <c r="E56" s="80"/>
      <c r="F56" s="80"/>
      <c r="G56" s="81"/>
      <c r="H56" s="5"/>
      <c r="I56" s="79"/>
      <c r="J56" s="79"/>
      <c r="K56" s="82"/>
      <c r="L56" s="83"/>
      <c r="M56" s="80"/>
      <c r="N56" s="79"/>
      <c r="O56" s="80"/>
      <c r="P56" s="5"/>
    </row>
    <row r="57" ht="18" customHeight="1" spans="1:16">
      <c r="A57" s="77" t="str">
        <f t="shared" si="0"/>
        <v/>
      </c>
      <c r="B57" s="78"/>
      <c r="C57" s="78"/>
      <c r="D57" s="79"/>
      <c r="E57" s="80"/>
      <c r="F57" s="80"/>
      <c r="G57" s="81"/>
      <c r="H57" s="5"/>
      <c r="I57" s="79"/>
      <c r="J57" s="79"/>
      <c r="K57" s="82"/>
      <c r="L57" s="83"/>
      <c r="M57" s="80"/>
      <c r="N57" s="79"/>
      <c r="O57" s="80"/>
      <c r="P57" s="5"/>
    </row>
    <row r="58" ht="18" customHeight="1" spans="1:16">
      <c r="A58" s="77" t="str">
        <f t="shared" si="0"/>
        <v/>
      </c>
      <c r="B58" s="78"/>
      <c r="C58" s="78"/>
      <c r="D58" s="79"/>
      <c r="E58" s="80"/>
      <c r="F58" s="80"/>
      <c r="G58" s="81"/>
      <c r="H58" s="5"/>
      <c r="I58" s="79"/>
      <c r="J58" s="79"/>
      <c r="K58" s="82"/>
      <c r="L58" s="83"/>
      <c r="M58" s="80"/>
      <c r="N58" s="79"/>
      <c r="O58" s="80"/>
      <c r="P58" s="5"/>
    </row>
    <row r="59" ht="18" customHeight="1" spans="1:16">
      <c r="A59" s="77" t="str">
        <f t="shared" si="0"/>
        <v/>
      </c>
      <c r="B59" s="78"/>
      <c r="C59" s="78"/>
      <c r="D59" s="79"/>
      <c r="E59" s="80"/>
      <c r="F59" s="80"/>
      <c r="G59" s="81"/>
      <c r="H59" s="5"/>
      <c r="I59" s="79"/>
      <c r="J59" s="79"/>
      <c r="K59" s="82"/>
      <c r="L59" s="83"/>
      <c r="M59" s="80"/>
      <c r="N59" s="79"/>
      <c r="O59" s="80"/>
      <c r="P59" s="5"/>
    </row>
    <row r="60" ht="18" customHeight="1" spans="1:16">
      <c r="A60" s="77" t="str">
        <f t="shared" si="0"/>
        <v/>
      </c>
      <c r="B60" s="78"/>
      <c r="C60" s="78"/>
      <c r="D60" s="79"/>
      <c r="E60" s="80"/>
      <c r="F60" s="80"/>
      <c r="G60" s="81"/>
      <c r="H60" s="5"/>
      <c r="I60" s="79"/>
      <c r="J60" s="79"/>
      <c r="K60" s="82"/>
      <c r="L60" s="83"/>
      <c r="M60" s="80"/>
      <c r="N60" s="79"/>
      <c r="O60" s="80"/>
      <c r="P60" s="5"/>
    </row>
    <row r="61" ht="18" customHeight="1" spans="1:16">
      <c r="A61" s="77" t="str">
        <f t="shared" si="0"/>
        <v/>
      </c>
      <c r="B61" s="78"/>
      <c r="C61" s="78"/>
      <c r="D61" s="79"/>
      <c r="E61" s="80"/>
      <c r="F61" s="80"/>
      <c r="G61" s="81"/>
      <c r="H61" s="5"/>
      <c r="I61" s="79"/>
      <c r="J61" s="79"/>
      <c r="K61" s="82"/>
      <c r="L61" s="83"/>
      <c r="M61" s="80"/>
      <c r="N61" s="79"/>
      <c r="O61" s="80"/>
      <c r="P61" s="5"/>
    </row>
    <row r="62" ht="18" customHeight="1" spans="1:16">
      <c r="A62" s="77" t="str">
        <f t="shared" si="0"/>
        <v/>
      </c>
      <c r="B62" s="78"/>
      <c r="C62" s="78"/>
      <c r="D62" s="79"/>
      <c r="E62" s="80"/>
      <c r="F62" s="80"/>
      <c r="G62" s="81"/>
      <c r="H62" s="5"/>
      <c r="I62" s="79"/>
      <c r="J62" s="79"/>
      <c r="K62" s="82"/>
      <c r="L62" s="83"/>
      <c r="M62" s="80"/>
      <c r="N62" s="79"/>
      <c r="O62" s="80"/>
      <c r="P62" s="5"/>
    </row>
    <row r="63" ht="18" customHeight="1" spans="1:16">
      <c r="A63" s="77" t="str">
        <f t="shared" si="0"/>
        <v/>
      </c>
      <c r="B63" s="78"/>
      <c r="C63" s="78"/>
      <c r="D63" s="79"/>
      <c r="E63" s="80"/>
      <c r="F63" s="80"/>
      <c r="G63" s="81"/>
      <c r="H63" s="5"/>
      <c r="I63" s="79"/>
      <c r="J63" s="79"/>
      <c r="K63" s="82"/>
      <c r="L63" s="83"/>
      <c r="M63" s="80"/>
      <c r="N63" s="79"/>
      <c r="O63" s="80"/>
      <c r="P63" s="5"/>
    </row>
    <row r="64" ht="18" customHeight="1" spans="1:16">
      <c r="A64" s="77" t="str">
        <f t="shared" si="0"/>
        <v/>
      </c>
      <c r="B64" s="78"/>
      <c r="C64" s="78"/>
      <c r="D64" s="79"/>
      <c r="E64" s="80"/>
      <c r="F64" s="80"/>
      <c r="G64" s="81"/>
      <c r="H64" s="5"/>
      <c r="I64" s="79"/>
      <c r="J64" s="79"/>
      <c r="K64" s="82"/>
      <c r="L64" s="83"/>
      <c r="M64" s="80"/>
      <c r="N64" s="79"/>
      <c r="O64" s="80"/>
      <c r="P64" s="5"/>
    </row>
    <row r="65" ht="18" customHeight="1" spans="1:16">
      <c r="A65" s="77" t="str">
        <f t="shared" si="0"/>
        <v/>
      </c>
      <c r="B65" s="78"/>
      <c r="C65" s="78"/>
      <c r="D65" s="79"/>
      <c r="E65" s="80"/>
      <c r="F65" s="80"/>
      <c r="G65" s="81"/>
      <c r="H65" s="5"/>
      <c r="I65" s="79"/>
      <c r="J65" s="79"/>
      <c r="K65" s="82"/>
      <c r="L65" s="83"/>
      <c r="M65" s="80"/>
      <c r="N65" s="79"/>
      <c r="O65" s="80"/>
      <c r="P65" s="5"/>
    </row>
    <row r="66" ht="18" customHeight="1" spans="1:16">
      <c r="A66" s="77" t="str">
        <f t="shared" si="0"/>
        <v/>
      </c>
      <c r="B66" s="78"/>
      <c r="C66" s="78"/>
      <c r="D66" s="79"/>
      <c r="E66" s="80"/>
      <c r="F66" s="80"/>
      <c r="G66" s="81"/>
      <c r="H66" s="5"/>
      <c r="I66" s="79"/>
      <c r="J66" s="79"/>
      <c r="K66" s="82"/>
      <c r="L66" s="83"/>
      <c r="M66" s="80"/>
      <c r="N66" s="79"/>
      <c r="O66" s="80"/>
      <c r="P66" s="5"/>
    </row>
    <row r="67" ht="18" customHeight="1" spans="1:16">
      <c r="A67" s="77" t="str">
        <f t="shared" si="0"/>
        <v/>
      </c>
      <c r="B67" s="78"/>
      <c r="C67" s="78"/>
      <c r="D67" s="79"/>
      <c r="E67" s="80"/>
      <c r="F67" s="80"/>
      <c r="G67" s="81"/>
      <c r="H67" s="5"/>
      <c r="I67" s="79"/>
      <c r="J67" s="79"/>
      <c r="K67" s="82"/>
      <c r="L67" s="83"/>
      <c r="M67" s="80"/>
      <c r="N67" s="79"/>
      <c r="O67" s="80"/>
      <c r="P67" s="5"/>
    </row>
    <row r="68" ht="18" customHeight="1" spans="1:16">
      <c r="A68" s="77" t="str">
        <f t="shared" ref="A68:A131" si="1">IF($D68="","",ROW()-3)</f>
        <v/>
      </c>
      <c r="B68" s="78"/>
      <c r="C68" s="78"/>
      <c r="D68" s="79"/>
      <c r="E68" s="80"/>
      <c r="F68" s="80"/>
      <c r="G68" s="81"/>
      <c r="H68" s="5"/>
      <c r="I68" s="79"/>
      <c r="J68" s="79"/>
      <c r="K68" s="82"/>
      <c r="L68" s="83"/>
      <c r="M68" s="80"/>
      <c r="N68" s="79"/>
      <c r="O68" s="80"/>
      <c r="P68" s="5"/>
    </row>
    <row r="69" ht="18" customHeight="1" spans="1:16">
      <c r="A69" s="77" t="str">
        <f t="shared" si="1"/>
        <v/>
      </c>
      <c r="B69" s="78"/>
      <c r="C69" s="78"/>
      <c r="D69" s="79"/>
      <c r="E69" s="80"/>
      <c r="F69" s="80"/>
      <c r="G69" s="81"/>
      <c r="H69" s="5"/>
      <c r="I69" s="79"/>
      <c r="J69" s="79"/>
      <c r="K69" s="82"/>
      <c r="L69" s="83"/>
      <c r="M69" s="80"/>
      <c r="N69" s="79"/>
      <c r="O69" s="80"/>
      <c r="P69" s="5"/>
    </row>
    <row r="70" ht="18" customHeight="1" spans="1:16">
      <c r="A70" s="77" t="str">
        <f t="shared" si="1"/>
        <v/>
      </c>
      <c r="B70" s="78"/>
      <c r="C70" s="78"/>
      <c r="D70" s="79"/>
      <c r="E70" s="80"/>
      <c r="F70" s="80"/>
      <c r="G70" s="81"/>
      <c r="H70" s="5"/>
      <c r="I70" s="79"/>
      <c r="J70" s="79"/>
      <c r="K70" s="82"/>
      <c r="L70" s="83"/>
      <c r="M70" s="80"/>
      <c r="N70" s="79"/>
      <c r="O70" s="80"/>
      <c r="P70" s="5"/>
    </row>
    <row r="71" ht="18" customHeight="1" spans="1:16">
      <c r="A71" s="77" t="str">
        <f t="shared" si="1"/>
        <v/>
      </c>
      <c r="B71" s="78"/>
      <c r="C71" s="78"/>
      <c r="D71" s="79"/>
      <c r="E71" s="80"/>
      <c r="F71" s="80"/>
      <c r="G71" s="81"/>
      <c r="H71" s="5"/>
      <c r="I71" s="79"/>
      <c r="J71" s="79"/>
      <c r="K71" s="82"/>
      <c r="L71" s="83"/>
      <c r="M71" s="80"/>
      <c r="N71" s="79"/>
      <c r="O71" s="80"/>
      <c r="P71" s="5"/>
    </row>
    <row r="72" ht="18" customHeight="1" spans="1:16">
      <c r="A72" s="77" t="str">
        <f t="shared" si="1"/>
        <v/>
      </c>
      <c r="B72" s="78"/>
      <c r="C72" s="78"/>
      <c r="D72" s="79"/>
      <c r="E72" s="80"/>
      <c r="F72" s="80"/>
      <c r="G72" s="81"/>
      <c r="H72" s="5"/>
      <c r="I72" s="79"/>
      <c r="J72" s="79"/>
      <c r="K72" s="82"/>
      <c r="L72" s="83"/>
      <c r="M72" s="80"/>
      <c r="N72" s="79"/>
      <c r="O72" s="80"/>
      <c r="P72" s="5"/>
    </row>
    <row r="73" ht="18" customHeight="1" spans="1:16">
      <c r="A73" s="77" t="str">
        <f t="shared" si="1"/>
        <v/>
      </c>
      <c r="B73" s="78"/>
      <c r="C73" s="78"/>
      <c r="D73" s="79"/>
      <c r="E73" s="80"/>
      <c r="F73" s="80"/>
      <c r="G73" s="81"/>
      <c r="H73" s="5"/>
      <c r="I73" s="79"/>
      <c r="J73" s="79"/>
      <c r="K73" s="82"/>
      <c r="L73" s="83"/>
      <c r="M73" s="80"/>
      <c r="N73" s="79"/>
      <c r="O73" s="80"/>
      <c r="P73" s="5"/>
    </row>
    <row r="74" ht="18" customHeight="1" spans="1:16">
      <c r="A74" s="77" t="str">
        <f t="shared" si="1"/>
        <v/>
      </c>
      <c r="B74" s="78"/>
      <c r="C74" s="78"/>
      <c r="D74" s="79"/>
      <c r="E74" s="80"/>
      <c r="F74" s="80"/>
      <c r="G74" s="81"/>
      <c r="H74" s="5"/>
      <c r="I74" s="79"/>
      <c r="J74" s="79"/>
      <c r="K74" s="82"/>
      <c r="L74" s="83"/>
      <c r="M74" s="80"/>
      <c r="N74" s="79"/>
      <c r="O74" s="80"/>
      <c r="P74" s="5"/>
    </row>
    <row r="75" ht="18" customHeight="1" spans="1:16">
      <c r="A75" s="77" t="str">
        <f t="shared" si="1"/>
        <v/>
      </c>
      <c r="B75" s="78"/>
      <c r="C75" s="78"/>
      <c r="D75" s="79"/>
      <c r="E75" s="80"/>
      <c r="F75" s="80"/>
      <c r="G75" s="81"/>
      <c r="H75" s="5"/>
      <c r="I75" s="79"/>
      <c r="J75" s="79"/>
      <c r="K75" s="82"/>
      <c r="L75" s="83"/>
      <c r="M75" s="80"/>
      <c r="N75" s="79"/>
      <c r="O75" s="80"/>
      <c r="P75" s="5"/>
    </row>
    <row r="76" ht="18" customHeight="1" spans="1:16">
      <c r="A76" s="77" t="str">
        <f t="shared" si="1"/>
        <v/>
      </c>
      <c r="B76" s="78"/>
      <c r="C76" s="78"/>
      <c r="D76" s="79"/>
      <c r="E76" s="80"/>
      <c r="F76" s="80"/>
      <c r="G76" s="81"/>
      <c r="H76" s="5"/>
      <c r="I76" s="79"/>
      <c r="J76" s="79"/>
      <c r="K76" s="82"/>
      <c r="L76" s="83"/>
      <c r="M76" s="80"/>
      <c r="N76" s="79"/>
      <c r="O76" s="80"/>
      <c r="P76" s="5"/>
    </row>
    <row r="77" ht="18" customHeight="1" spans="1:16">
      <c r="A77" s="77" t="str">
        <f t="shared" si="1"/>
        <v/>
      </c>
      <c r="B77" s="78"/>
      <c r="C77" s="78"/>
      <c r="D77" s="79"/>
      <c r="E77" s="80"/>
      <c r="F77" s="80"/>
      <c r="G77" s="81"/>
      <c r="H77" s="5"/>
      <c r="I77" s="79"/>
      <c r="J77" s="79"/>
      <c r="K77" s="82"/>
      <c r="L77" s="83"/>
      <c r="M77" s="80"/>
      <c r="N77" s="79"/>
      <c r="O77" s="80"/>
      <c r="P77" s="5"/>
    </row>
    <row r="78" ht="18" customHeight="1" spans="1:16">
      <c r="A78" s="77" t="str">
        <f t="shared" si="1"/>
        <v/>
      </c>
      <c r="B78" s="78"/>
      <c r="C78" s="78"/>
      <c r="D78" s="79"/>
      <c r="E78" s="80"/>
      <c r="F78" s="80"/>
      <c r="G78" s="81"/>
      <c r="H78" s="5"/>
      <c r="I78" s="79"/>
      <c r="J78" s="79"/>
      <c r="K78" s="82"/>
      <c r="L78" s="83"/>
      <c r="M78" s="80"/>
      <c r="N78" s="79"/>
      <c r="O78" s="80"/>
      <c r="P78" s="5"/>
    </row>
    <row r="79" ht="18" customHeight="1" spans="1:16">
      <c r="A79" s="77" t="str">
        <f t="shared" si="1"/>
        <v/>
      </c>
      <c r="B79" s="78"/>
      <c r="C79" s="78"/>
      <c r="D79" s="79"/>
      <c r="E79" s="80"/>
      <c r="F79" s="80"/>
      <c r="G79" s="81"/>
      <c r="H79" s="5"/>
      <c r="I79" s="79"/>
      <c r="J79" s="79"/>
      <c r="K79" s="82"/>
      <c r="L79" s="83"/>
      <c r="M79" s="80"/>
      <c r="N79" s="79"/>
      <c r="O79" s="80"/>
      <c r="P79" s="5"/>
    </row>
    <row r="80" ht="18" customHeight="1" spans="1:16">
      <c r="A80" s="77" t="str">
        <f t="shared" si="1"/>
        <v/>
      </c>
      <c r="B80" s="78"/>
      <c r="C80" s="78"/>
      <c r="D80" s="79"/>
      <c r="E80" s="80"/>
      <c r="F80" s="80"/>
      <c r="G80" s="81"/>
      <c r="H80" s="5"/>
      <c r="I80" s="79"/>
      <c r="J80" s="79"/>
      <c r="K80" s="82"/>
      <c r="L80" s="83"/>
      <c r="M80" s="80"/>
      <c r="N80" s="79"/>
      <c r="O80" s="80"/>
      <c r="P80" s="5"/>
    </row>
    <row r="81" ht="18" customHeight="1" spans="1:16">
      <c r="A81" s="77" t="str">
        <f t="shared" si="1"/>
        <v/>
      </c>
      <c r="B81" s="78"/>
      <c r="C81" s="78"/>
      <c r="D81" s="79"/>
      <c r="E81" s="80"/>
      <c r="F81" s="80"/>
      <c r="G81" s="81"/>
      <c r="H81" s="5"/>
      <c r="I81" s="79"/>
      <c r="J81" s="79"/>
      <c r="K81" s="82"/>
      <c r="L81" s="83"/>
      <c r="M81" s="80"/>
      <c r="N81" s="79"/>
      <c r="O81" s="80"/>
      <c r="P81" s="5"/>
    </row>
    <row r="82" ht="18" customHeight="1" spans="1:16">
      <c r="A82" s="77" t="str">
        <f t="shared" si="1"/>
        <v/>
      </c>
      <c r="B82" s="78"/>
      <c r="C82" s="78"/>
      <c r="D82" s="79"/>
      <c r="E82" s="80"/>
      <c r="F82" s="80"/>
      <c r="G82" s="81"/>
      <c r="H82" s="5"/>
      <c r="I82" s="79"/>
      <c r="J82" s="79"/>
      <c r="K82" s="82"/>
      <c r="L82" s="83"/>
      <c r="M82" s="80"/>
      <c r="N82" s="79"/>
      <c r="O82" s="80"/>
      <c r="P82" s="5"/>
    </row>
    <row r="83" ht="18" customHeight="1" spans="1:16">
      <c r="A83" s="77" t="str">
        <f t="shared" si="1"/>
        <v/>
      </c>
      <c r="B83" s="78"/>
      <c r="C83" s="78"/>
      <c r="D83" s="79"/>
      <c r="E83" s="80"/>
      <c r="F83" s="80"/>
      <c r="G83" s="81"/>
      <c r="H83" s="5"/>
      <c r="I83" s="79"/>
      <c r="J83" s="79"/>
      <c r="K83" s="82"/>
      <c r="L83" s="83"/>
      <c r="M83" s="80"/>
      <c r="N83" s="79"/>
      <c r="O83" s="80"/>
      <c r="P83" s="5"/>
    </row>
    <row r="84" ht="18" customHeight="1" spans="1:16">
      <c r="A84" s="77" t="str">
        <f t="shared" si="1"/>
        <v/>
      </c>
      <c r="B84" s="78"/>
      <c r="C84" s="78"/>
      <c r="D84" s="79"/>
      <c r="E84" s="80"/>
      <c r="F84" s="80"/>
      <c r="G84" s="81"/>
      <c r="H84" s="5"/>
      <c r="I84" s="79"/>
      <c r="J84" s="79"/>
      <c r="K84" s="82"/>
      <c r="L84" s="83"/>
      <c r="M84" s="80"/>
      <c r="N84" s="79"/>
      <c r="O84" s="80"/>
      <c r="P84" s="5"/>
    </row>
    <row r="85" ht="18" customHeight="1" spans="1:16">
      <c r="A85" s="77" t="str">
        <f t="shared" si="1"/>
        <v/>
      </c>
      <c r="B85" s="78"/>
      <c r="C85" s="78"/>
      <c r="D85" s="79"/>
      <c r="E85" s="80"/>
      <c r="F85" s="80"/>
      <c r="G85" s="81"/>
      <c r="H85" s="5"/>
      <c r="I85" s="79"/>
      <c r="J85" s="79"/>
      <c r="K85" s="82"/>
      <c r="L85" s="83"/>
      <c r="M85" s="80"/>
      <c r="N85" s="79"/>
      <c r="O85" s="80"/>
      <c r="P85" s="5"/>
    </row>
    <row r="86" ht="18" customHeight="1" spans="1:16">
      <c r="A86" s="77" t="str">
        <f t="shared" si="1"/>
        <v/>
      </c>
      <c r="B86" s="78"/>
      <c r="C86" s="78"/>
      <c r="D86" s="79"/>
      <c r="E86" s="80"/>
      <c r="F86" s="80"/>
      <c r="G86" s="81"/>
      <c r="H86" s="5"/>
      <c r="I86" s="79"/>
      <c r="J86" s="79"/>
      <c r="K86" s="82"/>
      <c r="L86" s="83"/>
      <c r="M86" s="80"/>
      <c r="N86" s="79"/>
      <c r="O86" s="80"/>
      <c r="P86" s="5"/>
    </row>
    <row r="87" ht="18" customHeight="1" spans="1:16">
      <c r="A87" s="77" t="str">
        <f t="shared" si="1"/>
        <v/>
      </c>
      <c r="B87" s="78"/>
      <c r="C87" s="78"/>
      <c r="D87" s="79"/>
      <c r="E87" s="80"/>
      <c r="F87" s="80"/>
      <c r="G87" s="81"/>
      <c r="H87" s="5"/>
      <c r="I87" s="79"/>
      <c r="J87" s="79"/>
      <c r="K87" s="82"/>
      <c r="L87" s="83"/>
      <c r="M87" s="80"/>
      <c r="N87" s="79"/>
      <c r="O87" s="80"/>
      <c r="P87" s="5"/>
    </row>
    <row r="88" ht="18" customHeight="1" spans="1:16">
      <c r="A88" s="77" t="str">
        <f t="shared" si="1"/>
        <v/>
      </c>
      <c r="B88" s="78"/>
      <c r="C88" s="78"/>
      <c r="D88" s="79"/>
      <c r="E88" s="80"/>
      <c r="F88" s="80"/>
      <c r="G88" s="81"/>
      <c r="H88" s="5"/>
      <c r="I88" s="79"/>
      <c r="J88" s="79"/>
      <c r="K88" s="82"/>
      <c r="L88" s="83"/>
      <c r="M88" s="80"/>
      <c r="N88" s="79"/>
      <c r="O88" s="80"/>
      <c r="P88" s="5"/>
    </row>
    <row r="89" ht="18" customHeight="1" spans="1:16">
      <c r="A89" s="77" t="str">
        <f t="shared" si="1"/>
        <v/>
      </c>
      <c r="B89" s="78"/>
      <c r="C89" s="78"/>
      <c r="D89" s="79"/>
      <c r="E89" s="80"/>
      <c r="F89" s="80"/>
      <c r="G89" s="81"/>
      <c r="H89" s="5"/>
      <c r="I89" s="79"/>
      <c r="J89" s="79"/>
      <c r="K89" s="82"/>
      <c r="L89" s="83"/>
      <c r="M89" s="80"/>
      <c r="N89" s="79"/>
      <c r="O89" s="80"/>
      <c r="P89" s="5"/>
    </row>
    <row r="90" ht="18" customHeight="1" spans="1:16">
      <c r="A90" s="77" t="str">
        <f t="shared" si="1"/>
        <v/>
      </c>
      <c r="B90" s="78"/>
      <c r="C90" s="78"/>
      <c r="D90" s="79"/>
      <c r="E90" s="80"/>
      <c r="F90" s="80"/>
      <c r="G90" s="81"/>
      <c r="H90" s="5"/>
      <c r="I90" s="79"/>
      <c r="J90" s="79"/>
      <c r="K90" s="82"/>
      <c r="L90" s="83"/>
      <c r="M90" s="80"/>
      <c r="N90" s="79"/>
      <c r="O90" s="80"/>
      <c r="P90" s="5"/>
    </row>
    <row r="91" ht="18" customHeight="1" spans="1:16">
      <c r="A91" s="77" t="str">
        <f t="shared" si="1"/>
        <v/>
      </c>
      <c r="B91" s="78"/>
      <c r="C91" s="78"/>
      <c r="D91" s="79"/>
      <c r="E91" s="80"/>
      <c r="F91" s="80"/>
      <c r="G91" s="81"/>
      <c r="H91" s="5"/>
      <c r="I91" s="79"/>
      <c r="J91" s="79"/>
      <c r="K91" s="82"/>
      <c r="L91" s="83"/>
      <c r="M91" s="80"/>
      <c r="N91" s="79"/>
      <c r="O91" s="80"/>
      <c r="P91" s="5"/>
    </row>
    <row r="92" ht="18" customHeight="1" spans="1:16">
      <c r="A92" s="77" t="str">
        <f t="shared" si="1"/>
        <v/>
      </c>
      <c r="B92" s="78"/>
      <c r="C92" s="78"/>
      <c r="D92" s="79"/>
      <c r="E92" s="80"/>
      <c r="F92" s="80"/>
      <c r="G92" s="81"/>
      <c r="H92" s="5"/>
      <c r="I92" s="79"/>
      <c r="J92" s="79"/>
      <c r="K92" s="82"/>
      <c r="L92" s="83"/>
      <c r="M92" s="80"/>
      <c r="N92" s="79"/>
      <c r="O92" s="80"/>
      <c r="P92" s="5"/>
    </row>
    <row r="93" ht="18" customHeight="1" spans="1:16">
      <c r="A93" s="77" t="str">
        <f t="shared" si="1"/>
        <v/>
      </c>
      <c r="B93" s="78"/>
      <c r="C93" s="78"/>
      <c r="D93" s="79"/>
      <c r="E93" s="80"/>
      <c r="F93" s="80"/>
      <c r="G93" s="81"/>
      <c r="H93" s="5"/>
      <c r="I93" s="79"/>
      <c r="J93" s="79"/>
      <c r="K93" s="82"/>
      <c r="L93" s="83"/>
      <c r="M93" s="80"/>
      <c r="N93" s="79"/>
      <c r="O93" s="80"/>
      <c r="P93" s="5"/>
    </row>
    <row r="94" ht="18" customHeight="1" spans="1:16">
      <c r="A94" s="77" t="str">
        <f t="shared" si="1"/>
        <v/>
      </c>
      <c r="B94" s="78"/>
      <c r="C94" s="78"/>
      <c r="D94" s="79"/>
      <c r="E94" s="80"/>
      <c r="F94" s="80"/>
      <c r="G94" s="81"/>
      <c r="H94" s="5"/>
      <c r="I94" s="79"/>
      <c r="J94" s="79"/>
      <c r="K94" s="82"/>
      <c r="L94" s="83"/>
      <c r="M94" s="80"/>
      <c r="N94" s="79"/>
      <c r="O94" s="80"/>
      <c r="P94" s="5"/>
    </row>
    <row r="95" ht="18" customHeight="1" spans="1:16">
      <c r="A95" s="77" t="str">
        <f t="shared" si="1"/>
        <v/>
      </c>
      <c r="B95" s="78"/>
      <c r="C95" s="78"/>
      <c r="D95" s="79"/>
      <c r="E95" s="80"/>
      <c r="F95" s="80"/>
      <c r="G95" s="81"/>
      <c r="H95" s="5"/>
      <c r="I95" s="79"/>
      <c r="J95" s="79"/>
      <c r="K95" s="82"/>
      <c r="L95" s="83"/>
      <c r="M95" s="80"/>
      <c r="N95" s="79"/>
      <c r="O95" s="80"/>
      <c r="P95" s="5"/>
    </row>
    <row r="96" ht="18" customHeight="1" spans="1:16">
      <c r="A96" s="77" t="str">
        <f t="shared" si="1"/>
        <v/>
      </c>
      <c r="B96" s="78"/>
      <c r="C96" s="78"/>
      <c r="D96" s="79"/>
      <c r="E96" s="80"/>
      <c r="F96" s="80"/>
      <c r="G96" s="81"/>
      <c r="H96" s="5"/>
      <c r="I96" s="79"/>
      <c r="J96" s="79"/>
      <c r="K96" s="82"/>
      <c r="L96" s="83"/>
      <c r="M96" s="80"/>
      <c r="N96" s="79"/>
      <c r="O96" s="80"/>
      <c r="P96" s="5"/>
    </row>
    <row r="97" ht="18" customHeight="1" spans="1:16">
      <c r="A97" s="77" t="str">
        <f t="shared" si="1"/>
        <v/>
      </c>
      <c r="B97" s="78"/>
      <c r="C97" s="78"/>
      <c r="D97" s="79"/>
      <c r="E97" s="80"/>
      <c r="F97" s="80"/>
      <c r="G97" s="81"/>
      <c r="H97" s="5"/>
      <c r="I97" s="79"/>
      <c r="J97" s="79"/>
      <c r="K97" s="82"/>
      <c r="L97" s="83"/>
      <c r="M97" s="80"/>
      <c r="N97" s="79"/>
      <c r="O97" s="80"/>
      <c r="P97" s="5"/>
    </row>
    <row r="98" ht="18" customHeight="1" spans="1:16">
      <c r="A98" s="77" t="str">
        <f t="shared" si="1"/>
        <v/>
      </c>
      <c r="B98" s="78"/>
      <c r="C98" s="78"/>
      <c r="D98" s="79"/>
      <c r="E98" s="80"/>
      <c r="F98" s="80"/>
      <c r="G98" s="81"/>
      <c r="H98" s="5"/>
      <c r="I98" s="79"/>
      <c r="J98" s="79"/>
      <c r="K98" s="82"/>
      <c r="L98" s="83"/>
      <c r="M98" s="80"/>
      <c r="N98" s="79"/>
      <c r="O98" s="80"/>
      <c r="P98" s="5"/>
    </row>
    <row r="99" ht="18" customHeight="1" spans="1:16">
      <c r="A99" s="77" t="str">
        <f t="shared" si="1"/>
        <v/>
      </c>
      <c r="B99" s="78"/>
      <c r="C99" s="78"/>
      <c r="D99" s="79"/>
      <c r="E99" s="80"/>
      <c r="F99" s="80"/>
      <c r="G99" s="81"/>
      <c r="H99" s="5"/>
      <c r="I99" s="79"/>
      <c r="J99" s="79"/>
      <c r="K99" s="82"/>
      <c r="L99" s="83"/>
      <c r="M99" s="80"/>
      <c r="N99" s="79"/>
      <c r="O99" s="80"/>
      <c r="P99" s="5"/>
    </row>
    <row r="100" ht="18" customHeight="1" spans="1:16">
      <c r="A100" s="77" t="str">
        <f t="shared" si="1"/>
        <v/>
      </c>
      <c r="B100" s="78"/>
      <c r="C100" s="78"/>
      <c r="D100" s="79"/>
      <c r="E100" s="80"/>
      <c r="F100" s="80"/>
      <c r="G100" s="81"/>
      <c r="H100" s="5"/>
      <c r="I100" s="79"/>
      <c r="J100" s="79"/>
      <c r="K100" s="82"/>
      <c r="L100" s="83"/>
      <c r="M100" s="80"/>
      <c r="N100" s="79"/>
      <c r="O100" s="80"/>
      <c r="P100" s="5"/>
    </row>
    <row r="101" ht="18" customHeight="1" spans="1:16">
      <c r="A101" s="77" t="str">
        <f t="shared" si="1"/>
        <v/>
      </c>
      <c r="B101" s="78"/>
      <c r="C101" s="78"/>
      <c r="D101" s="79"/>
      <c r="E101" s="80"/>
      <c r="F101" s="80"/>
      <c r="G101" s="81"/>
      <c r="H101" s="5"/>
      <c r="I101" s="79"/>
      <c r="J101" s="79"/>
      <c r="K101" s="82"/>
      <c r="L101" s="83"/>
      <c r="M101" s="80"/>
      <c r="N101" s="79"/>
      <c r="O101" s="80"/>
      <c r="P101" s="5"/>
    </row>
    <row r="102" ht="18" customHeight="1" spans="1:16">
      <c r="A102" s="77" t="str">
        <f t="shared" si="1"/>
        <v/>
      </c>
      <c r="B102" s="78"/>
      <c r="C102" s="78"/>
      <c r="D102" s="79"/>
      <c r="E102" s="80"/>
      <c r="F102" s="80"/>
      <c r="G102" s="81"/>
      <c r="H102" s="5"/>
      <c r="I102" s="79"/>
      <c r="J102" s="79"/>
      <c r="K102" s="82"/>
      <c r="L102" s="83"/>
      <c r="M102" s="80"/>
      <c r="N102" s="79"/>
      <c r="O102" s="80"/>
      <c r="P102" s="5"/>
    </row>
    <row r="103" ht="18" customHeight="1" spans="1:16">
      <c r="A103" s="77" t="str">
        <f t="shared" si="1"/>
        <v/>
      </c>
      <c r="B103" s="78"/>
      <c r="C103" s="78"/>
      <c r="D103" s="79"/>
      <c r="E103" s="80"/>
      <c r="F103" s="80"/>
      <c r="G103" s="81"/>
      <c r="H103" s="5"/>
      <c r="I103" s="79"/>
      <c r="J103" s="79"/>
      <c r="K103" s="82"/>
      <c r="L103" s="83"/>
      <c r="M103" s="80"/>
      <c r="N103" s="79"/>
      <c r="O103" s="80"/>
      <c r="P103" s="5"/>
    </row>
    <row r="104" ht="18" customHeight="1" spans="1:16">
      <c r="A104" s="77" t="str">
        <f t="shared" si="1"/>
        <v/>
      </c>
      <c r="B104" s="78"/>
      <c r="C104" s="78"/>
      <c r="D104" s="79"/>
      <c r="E104" s="80"/>
      <c r="F104" s="80"/>
      <c r="G104" s="81"/>
      <c r="H104" s="5"/>
      <c r="I104" s="79"/>
      <c r="J104" s="79"/>
      <c r="K104" s="82"/>
      <c r="L104" s="83"/>
      <c r="M104" s="80"/>
      <c r="N104" s="79"/>
      <c r="O104" s="80"/>
      <c r="P104" s="5"/>
    </row>
    <row r="105" ht="18" customHeight="1" spans="1:16">
      <c r="A105" s="77" t="str">
        <f t="shared" si="1"/>
        <v/>
      </c>
      <c r="B105" s="78"/>
      <c r="C105" s="78"/>
      <c r="D105" s="79"/>
      <c r="E105" s="80"/>
      <c r="F105" s="80"/>
      <c r="G105" s="81"/>
      <c r="H105" s="5"/>
      <c r="I105" s="79"/>
      <c r="J105" s="79"/>
      <c r="K105" s="82"/>
      <c r="L105" s="83"/>
      <c r="M105" s="80"/>
      <c r="N105" s="79"/>
      <c r="O105" s="80"/>
      <c r="P105" s="5"/>
    </row>
    <row r="106" ht="18" customHeight="1" spans="1:16">
      <c r="A106" s="77" t="str">
        <f t="shared" si="1"/>
        <v/>
      </c>
      <c r="B106" s="78"/>
      <c r="C106" s="78"/>
      <c r="D106" s="79"/>
      <c r="E106" s="80"/>
      <c r="F106" s="80"/>
      <c r="G106" s="81"/>
      <c r="H106" s="5"/>
      <c r="I106" s="79"/>
      <c r="J106" s="79"/>
      <c r="K106" s="82"/>
      <c r="L106" s="83"/>
      <c r="M106" s="80"/>
      <c r="N106" s="79"/>
      <c r="O106" s="80"/>
      <c r="P106" s="5"/>
    </row>
    <row r="107" ht="18" customHeight="1" spans="1:16">
      <c r="A107" s="77" t="str">
        <f t="shared" si="1"/>
        <v/>
      </c>
      <c r="B107" s="78"/>
      <c r="C107" s="78"/>
      <c r="D107" s="79"/>
      <c r="E107" s="80"/>
      <c r="F107" s="80"/>
      <c r="G107" s="81"/>
      <c r="H107" s="5"/>
      <c r="I107" s="79"/>
      <c r="J107" s="79"/>
      <c r="K107" s="82"/>
      <c r="L107" s="83"/>
      <c r="M107" s="80"/>
      <c r="N107" s="79"/>
      <c r="O107" s="80"/>
      <c r="P107" s="5"/>
    </row>
    <row r="108" ht="18" customHeight="1" spans="1:16">
      <c r="A108" s="77" t="str">
        <f t="shared" si="1"/>
        <v/>
      </c>
      <c r="B108" s="78"/>
      <c r="C108" s="78"/>
      <c r="D108" s="79"/>
      <c r="E108" s="80"/>
      <c r="F108" s="80"/>
      <c r="G108" s="81"/>
      <c r="H108" s="5"/>
      <c r="I108" s="79"/>
      <c r="J108" s="79"/>
      <c r="K108" s="82"/>
      <c r="L108" s="83"/>
      <c r="M108" s="80"/>
      <c r="N108" s="79"/>
      <c r="O108" s="80"/>
      <c r="P108" s="5"/>
    </row>
    <row r="109" ht="18" customHeight="1" spans="1:16">
      <c r="A109" s="77" t="str">
        <f t="shared" si="1"/>
        <v/>
      </c>
      <c r="B109" s="78"/>
      <c r="C109" s="78"/>
      <c r="D109" s="79"/>
      <c r="E109" s="80"/>
      <c r="F109" s="80"/>
      <c r="G109" s="81"/>
      <c r="H109" s="5"/>
      <c r="I109" s="79"/>
      <c r="J109" s="79"/>
      <c r="K109" s="82"/>
      <c r="L109" s="83"/>
      <c r="M109" s="80"/>
      <c r="N109" s="79"/>
      <c r="O109" s="80"/>
      <c r="P109" s="5"/>
    </row>
    <row r="110" ht="18" customHeight="1" spans="1:16">
      <c r="A110" s="77" t="str">
        <f t="shared" si="1"/>
        <v/>
      </c>
      <c r="B110" s="78"/>
      <c r="C110" s="78"/>
      <c r="D110" s="79"/>
      <c r="E110" s="80"/>
      <c r="F110" s="80"/>
      <c r="G110" s="81"/>
      <c r="H110" s="5"/>
      <c r="I110" s="79"/>
      <c r="J110" s="79"/>
      <c r="K110" s="82"/>
      <c r="L110" s="83"/>
      <c r="M110" s="80"/>
      <c r="N110" s="79"/>
      <c r="O110" s="80"/>
      <c r="P110" s="5"/>
    </row>
    <row r="111" ht="18" customHeight="1" spans="1:16">
      <c r="A111" s="77" t="str">
        <f t="shared" si="1"/>
        <v/>
      </c>
      <c r="B111" s="78"/>
      <c r="C111" s="78"/>
      <c r="D111" s="79"/>
      <c r="E111" s="80"/>
      <c r="F111" s="80"/>
      <c r="G111" s="81"/>
      <c r="H111" s="5"/>
      <c r="I111" s="79"/>
      <c r="J111" s="79"/>
      <c r="K111" s="82"/>
      <c r="L111" s="83"/>
      <c r="M111" s="80"/>
      <c r="N111" s="79"/>
      <c r="O111" s="80"/>
      <c r="P111" s="5"/>
    </row>
    <row r="112" ht="18" customHeight="1" spans="1:16">
      <c r="A112" s="77" t="str">
        <f t="shared" si="1"/>
        <v/>
      </c>
      <c r="B112" s="78"/>
      <c r="C112" s="78"/>
      <c r="D112" s="79"/>
      <c r="E112" s="80"/>
      <c r="F112" s="80"/>
      <c r="G112" s="81"/>
      <c r="H112" s="5"/>
      <c r="I112" s="79"/>
      <c r="J112" s="79"/>
      <c r="K112" s="82"/>
      <c r="L112" s="83"/>
      <c r="M112" s="80"/>
      <c r="N112" s="79"/>
      <c r="O112" s="80"/>
      <c r="P112" s="5"/>
    </row>
    <row r="113" ht="18" customHeight="1" spans="1:16">
      <c r="A113" s="77" t="str">
        <f t="shared" si="1"/>
        <v/>
      </c>
      <c r="B113" s="78"/>
      <c r="C113" s="78"/>
      <c r="D113" s="79"/>
      <c r="E113" s="80"/>
      <c r="F113" s="80"/>
      <c r="G113" s="81"/>
      <c r="H113" s="5"/>
      <c r="I113" s="79"/>
      <c r="J113" s="79"/>
      <c r="K113" s="82"/>
      <c r="L113" s="83"/>
      <c r="M113" s="80"/>
      <c r="N113" s="79"/>
      <c r="O113" s="80"/>
      <c r="P113" s="5"/>
    </row>
    <row r="114" ht="18" customHeight="1" spans="1:16">
      <c r="A114" s="77" t="str">
        <f t="shared" si="1"/>
        <v/>
      </c>
      <c r="B114" s="78"/>
      <c r="C114" s="78"/>
      <c r="D114" s="79"/>
      <c r="E114" s="80"/>
      <c r="F114" s="80"/>
      <c r="G114" s="81"/>
      <c r="H114" s="5"/>
      <c r="I114" s="79"/>
      <c r="J114" s="79"/>
      <c r="K114" s="82"/>
      <c r="L114" s="83"/>
      <c r="M114" s="80"/>
      <c r="N114" s="79"/>
      <c r="O114" s="80"/>
      <c r="P114" s="5"/>
    </row>
    <row r="115" ht="18" customHeight="1" spans="1:16">
      <c r="A115" s="77" t="str">
        <f t="shared" si="1"/>
        <v/>
      </c>
      <c r="B115" s="78"/>
      <c r="C115" s="78"/>
      <c r="D115" s="79"/>
      <c r="E115" s="80"/>
      <c r="F115" s="80"/>
      <c r="G115" s="81"/>
      <c r="H115" s="5"/>
      <c r="I115" s="79"/>
      <c r="J115" s="79"/>
      <c r="K115" s="82"/>
      <c r="L115" s="83"/>
      <c r="M115" s="80"/>
      <c r="N115" s="79"/>
      <c r="O115" s="80"/>
      <c r="P115" s="5"/>
    </row>
    <row r="116" ht="18" customHeight="1" spans="1:16">
      <c r="A116" s="77" t="str">
        <f t="shared" si="1"/>
        <v/>
      </c>
      <c r="B116" s="78"/>
      <c r="C116" s="78"/>
      <c r="D116" s="79"/>
      <c r="E116" s="80"/>
      <c r="F116" s="80"/>
      <c r="G116" s="81"/>
      <c r="H116" s="5"/>
      <c r="I116" s="79"/>
      <c r="J116" s="79"/>
      <c r="K116" s="82"/>
      <c r="L116" s="83"/>
      <c r="M116" s="80"/>
      <c r="N116" s="79"/>
      <c r="O116" s="80"/>
      <c r="P116" s="5"/>
    </row>
    <row r="117" ht="18" customHeight="1" spans="1:16">
      <c r="A117" s="77" t="str">
        <f t="shared" si="1"/>
        <v/>
      </c>
      <c r="B117" s="78"/>
      <c r="C117" s="78"/>
      <c r="D117" s="79"/>
      <c r="E117" s="80"/>
      <c r="F117" s="80"/>
      <c r="G117" s="81"/>
      <c r="H117" s="5"/>
      <c r="I117" s="79"/>
      <c r="J117" s="79"/>
      <c r="K117" s="82"/>
      <c r="L117" s="83"/>
      <c r="M117" s="80"/>
      <c r="N117" s="79"/>
      <c r="O117" s="80"/>
      <c r="P117" s="5"/>
    </row>
    <row r="118" ht="18" customHeight="1" spans="1:16">
      <c r="A118" s="77" t="str">
        <f t="shared" si="1"/>
        <v/>
      </c>
      <c r="B118" s="78"/>
      <c r="C118" s="78"/>
      <c r="D118" s="79"/>
      <c r="E118" s="80"/>
      <c r="F118" s="80"/>
      <c r="G118" s="81"/>
      <c r="H118" s="5"/>
      <c r="I118" s="79"/>
      <c r="J118" s="79"/>
      <c r="K118" s="82"/>
      <c r="L118" s="83"/>
      <c r="M118" s="80"/>
      <c r="N118" s="79"/>
      <c r="O118" s="80"/>
      <c r="P118" s="5"/>
    </row>
    <row r="119" ht="18" customHeight="1" spans="1:16">
      <c r="A119" s="77" t="str">
        <f t="shared" si="1"/>
        <v/>
      </c>
      <c r="B119" s="78"/>
      <c r="C119" s="78"/>
      <c r="D119" s="79"/>
      <c r="E119" s="80"/>
      <c r="F119" s="80"/>
      <c r="G119" s="81"/>
      <c r="H119" s="5"/>
      <c r="I119" s="79"/>
      <c r="J119" s="79"/>
      <c r="K119" s="82"/>
      <c r="L119" s="83"/>
      <c r="M119" s="80"/>
      <c r="N119" s="79"/>
      <c r="O119" s="80"/>
      <c r="P119" s="5"/>
    </row>
    <row r="120" ht="18" customHeight="1" spans="1:16">
      <c r="A120" s="77" t="str">
        <f t="shared" si="1"/>
        <v/>
      </c>
      <c r="B120" s="78"/>
      <c r="C120" s="78"/>
      <c r="D120" s="79"/>
      <c r="E120" s="80"/>
      <c r="F120" s="80"/>
      <c r="G120" s="81"/>
      <c r="H120" s="5"/>
      <c r="I120" s="79"/>
      <c r="J120" s="79"/>
      <c r="K120" s="82"/>
      <c r="L120" s="83"/>
      <c r="M120" s="80"/>
      <c r="N120" s="79"/>
      <c r="O120" s="80"/>
      <c r="P120" s="5"/>
    </row>
    <row r="121" ht="18" customHeight="1" spans="1:16">
      <c r="A121" s="77" t="str">
        <f t="shared" si="1"/>
        <v/>
      </c>
      <c r="B121" s="78"/>
      <c r="C121" s="78"/>
      <c r="D121" s="79"/>
      <c r="E121" s="80"/>
      <c r="F121" s="80"/>
      <c r="G121" s="81"/>
      <c r="H121" s="5"/>
      <c r="I121" s="79"/>
      <c r="J121" s="79"/>
      <c r="K121" s="82"/>
      <c r="L121" s="83"/>
      <c r="M121" s="80"/>
      <c r="N121" s="79"/>
      <c r="O121" s="80"/>
      <c r="P121" s="5"/>
    </row>
    <row r="122" ht="18" customHeight="1" spans="1:16">
      <c r="A122" s="77" t="str">
        <f t="shared" si="1"/>
        <v/>
      </c>
      <c r="B122" s="78"/>
      <c r="C122" s="78"/>
      <c r="D122" s="79"/>
      <c r="E122" s="80"/>
      <c r="F122" s="80"/>
      <c r="G122" s="81"/>
      <c r="H122" s="5"/>
      <c r="I122" s="79"/>
      <c r="J122" s="79"/>
      <c r="K122" s="82"/>
      <c r="L122" s="83"/>
      <c r="M122" s="80"/>
      <c r="N122" s="79"/>
      <c r="O122" s="80"/>
      <c r="P122" s="5"/>
    </row>
    <row r="123" ht="18" customHeight="1" spans="1:16">
      <c r="A123" s="77" t="str">
        <f t="shared" si="1"/>
        <v/>
      </c>
      <c r="B123" s="78"/>
      <c r="C123" s="78"/>
      <c r="D123" s="79"/>
      <c r="E123" s="80"/>
      <c r="F123" s="80"/>
      <c r="G123" s="81"/>
      <c r="H123" s="5"/>
      <c r="I123" s="79"/>
      <c r="J123" s="79"/>
      <c r="K123" s="82"/>
      <c r="L123" s="83"/>
      <c r="M123" s="80"/>
      <c r="N123" s="79"/>
      <c r="O123" s="80"/>
      <c r="P123" s="5"/>
    </row>
    <row r="124" ht="18" customHeight="1" spans="1:16">
      <c r="A124" s="77" t="str">
        <f t="shared" si="1"/>
        <v/>
      </c>
      <c r="B124" s="78"/>
      <c r="C124" s="78"/>
      <c r="D124" s="79"/>
      <c r="E124" s="80"/>
      <c r="F124" s="80"/>
      <c r="G124" s="81"/>
      <c r="H124" s="5"/>
      <c r="I124" s="79"/>
      <c r="J124" s="79"/>
      <c r="K124" s="82"/>
      <c r="L124" s="83"/>
      <c r="M124" s="80"/>
      <c r="N124" s="79"/>
      <c r="O124" s="80"/>
      <c r="P124" s="5"/>
    </row>
    <row r="125" ht="18" customHeight="1" spans="1:16">
      <c r="A125" s="77" t="str">
        <f t="shared" si="1"/>
        <v/>
      </c>
      <c r="B125" s="78"/>
      <c r="C125" s="78"/>
      <c r="D125" s="79"/>
      <c r="E125" s="80"/>
      <c r="F125" s="80"/>
      <c r="G125" s="81"/>
      <c r="H125" s="5"/>
      <c r="I125" s="79"/>
      <c r="J125" s="79"/>
      <c r="K125" s="82"/>
      <c r="L125" s="83"/>
      <c r="M125" s="80"/>
      <c r="N125" s="79"/>
      <c r="O125" s="80"/>
      <c r="P125" s="5"/>
    </row>
    <row r="126" ht="18" customHeight="1" spans="1:16">
      <c r="A126" s="77" t="str">
        <f t="shared" si="1"/>
        <v/>
      </c>
      <c r="B126" s="78"/>
      <c r="C126" s="78"/>
      <c r="D126" s="79"/>
      <c r="E126" s="80"/>
      <c r="F126" s="80"/>
      <c r="G126" s="81"/>
      <c r="H126" s="5"/>
      <c r="I126" s="79"/>
      <c r="J126" s="79"/>
      <c r="K126" s="82"/>
      <c r="L126" s="83"/>
      <c r="M126" s="80"/>
      <c r="N126" s="79"/>
      <c r="O126" s="80"/>
      <c r="P126" s="5"/>
    </row>
    <row r="127" ht="18" customHeight="1" spans="1:16">
      <c r="A127" s="77" t="str">
        <f t="shared" si="1"/>
        <v/>
      </c>
      <c r="B127" s="78"/>
      <c r="C127" s="78"/>
      <c r="D127" s="79"/>
      <c r="E127" s="80"/>
      <c r="F127" s="80"/>
      <c r="G127" s="81"/>
      <c r="H127" s="5"/>
      <c r="I127" s="79"/>
      <c r="J127" s="79"/>
      <c r="K127" s="82"/>
      <c r="L127" s="83"/>
      <c r="M127" s="80"/>
      <c r="N127" s="79"/>
      <c r="O127" s="80"/>
      <c r="P127" s="5"/>
    </row>
    <row r="128" ht="18" customHeight="1" spans="1:16">
      <c r="A128" s="77" t="str">
        <f t="shared" si="1"/>
        <v/>
      </c>
      <c r="B128" s="78"/>
      <c r="C128" s="78"/>
      <c r="D128" s="79"/>
      <c r="E128" s="80"/>
      <c r="F128" s="80"/>
      <c r="G128" s="81"/>
      <c r="H128" s="5"/>
      <c r="I128" s="79"/>
      <c r="J128" s="79"/>
      <c r="K128" s="82"/>
      <c r="L128" s="83"/>
      <c r="M128" s="80"/>
      <c r="N128" s="79"/>
      <c r="O128" s="80"/>
      <c r="P128" s="5"/>
    </row>
    <row r="129" ht="18" customHeight="1" spans="1:16">
      <c r="A129" s="77" t="str">
        <f t="shared" si="1"/>
        <v/>
      </c>
      <c r="B129" s="78"/>
      <c r="C129" s="78"/>
      <c r="D129" s="79"/>
      <c r="E129" s="80"/>
      <c r="F129" s="80"/>
      <c r="G129" s="81"/>
      <c r="H129" s="5"/>
      <c r="I129" s="79"/>
      <c r="J129" s="79"/>
      <c r="K129" s="82"/>
      <c r="L129" s="83"/>
      <c r="M129" s="80"/>
      <c r="N129" s="79"/>
      <c r="O129" s="80"/>
      <c r="P129" s="5"/>
    </row>
    <row r="130" ht="18" customHeight="1" spans="1:16">
      <c r="A130" s="77" t="str">
        <f t="shared" si="1"/>
        <v/>
      </c>
      <c r="B130" s="78"/>
      <c r="C130" s="78"/>
      <c r="D130" s="79"/>
      <c r="E130" s="80"/>
      <c r="F130" s="80"/>
      <c r="G130" s="81"/>
      <c r="H130" s="5"/>
      <c r="I130" s="79"/>
      <c r="J130" s="79"/>
      <c r="K130" s="82"/>
      <c r="L130" s="83"/>
      <c r="M130" s="80"/>
      <c r="N130" s="79"/>
      <c r="O130" s="80"/>
      <c r="P130" s="5"/>
    </row>
    <row r="131" ht="18" customHeight="1" spans="1:16">
      <c r="A131" s="77" t="str">
        <f t="shared" si="1"/>
        <v/>
      </c>
      <c r="B131" s="78"/>
      <c r="C131" s="78"/>
      <c r="D131" s="79"/>
      <c r="E131" s="80"/>
      <c r="F131" s="80"/>
      <c r="G131" s="81"/>
      <c r="H131" s="5"/>
      <c r="I131" s="79"/>
      <c r="J131" s="79"/>
      <c r="K131" s="82"/>
      <c r="L131" s="83"/>
      <c r="M131" s="80"/>
      <c r="N131" s="79"/>
      <c r="O131" s="80"/>
      <c r="P131" s="5"/>
    </row>
    <row r="132" ht="18" customHeight="1" spans="1:16">
      <c r="A132" s="77" t="str">
        <f t="shared" ref="A132:A195" si="2">IF($D132="","",ROW()-3)</f>
        <v/>
      </c>
      <c r="B132" s="78"/>
      <c r="C132" s="78"/>
      <c r="D132" s="79"/>
      <c r="E132" s="80"/>
      <c r="F132" s="80"/>
      <c r="G132" s="81"/>
      <c r="H132" s="5"/>
      <c r="I132" s="79"/>
      <c r="J132" s="79"/>
      <c r="K132" s="82"/>
      <c r="L132" s="83"/>
      <c r="M132" s="80"/>
      <c r="N132" s="79"/>
      <c r="O132" s="80"/>
      <c r="P132" s="5"/>
    </row>
    <row r="133" ht="18" customHeight="1" spans="1:16">
      <c r="A133" s="77" t="str">
        <f t="shared" si="2"/>
        <v/>
      </c>
      <c r="B133" s="78"/>
      <c r="C133" s="78"/>
      <c r="D133" s="79"/>
      <c r="E133" s="80"/>
      <c r="F133" s="80"/>
      <c r="G133" s="81"/>
      <c r="H133" s="5"/>
      <c r="I133" s="79"/>
      <c r="J133" s="79"/>
      <c r="K133" s="82"/>
      <c r="L133" s="83"/>
      <c r="M133" s="80"/>
      <c r="N133" s="79"/>
      <c r="O133" s="80"/>
      <c r="P133" s="5"/>
    </row>
    <row r="134" ht="18" customHeight="1" spans="1:16">
      <c r="A134" s="77" t="str">
        <f t="shared" si="2"/>
        <v/>
      </c>
      <c r="B134" s="78"/>
      <c r="C134" s="78"/>
      <c r="D134" s="79"/>
      <c r="E134" s="80"/>
      <c r="F134" s="80"/>
      <c r="G134" s="81"/>
      <c r="H134" s="5"/>
      <c r="I134" s="79"/>
      <c r="J134" s="79"/>
      <c r="K134" s="82"/>
      <c r="L134" s="83"/>
      <c r="M134" s="80"/>
      <c r="N134" s="79"/>
      <c r="O134" s="80"/>
      <c r="P134" s="5"/>
    </row>
    <row r="135" ht="18" customHeight="1" spans="1:16">
      <c r="A135" s="77" t="str">
        <f t="shared" si="2"/>
        <v/>
      </c>
      <c r="B135" s="78"/>
      <c r="C135" s="78"/>
      <c r="D135" s="79"/>
      <c r="E135" s="80"/>
      <c r="F135" s="80"/>
      <c r="G135" s="81"/>
      <c r="H135" s="5"/>
      <c r="I135" s="79"/>
      <c r="J135" s="79"/>
      <c r="K135" s="82"/>
      <c r="L135" s="83"/>
      <c r="M135" s="80"/>
      <c r="N135" s="79"/>
      <c r="O135" s="80"/>
      <c r="P135" s="5"/>
    </row>
    <row r="136" ht="18" customHeight="1" spans="1:16">
      <c r="A136" s="77" t="str">
        <f t="shared" si="2"/>
        <v/>
      </c>
      <c r="B136" s="78"/>
      <c r="C136" s="78"/>
      <c r="D136" s="79"/>
      <c r="E136" s="80"/>
      <c r="F136" s="80"/>
      <c r="G136" s="81"/>
      <c r="H136" s="5"/>
      <c r="I136" s="79"/>
      <c r="J136" s="79"/>
      <c r="K136" s="82"/>
      <c r="L136" s="83"/>
      <c r="M136" s="80"/>
      <c r="N136" s="79"/>
      <c r="O136" s="80"/>
      <c r="P136" s="5"/>
    </row>
    <row r="137" ht="18" customHeight="1" spans="1:16">
      <c r="A137" s="77" t="str">
        <f t="shared" si="2"/>
        <v/>
      </c>
      <c r="B137" s="78"/>
      <c r="C137" s="78"/>
      <c r="D137" s="79"/>
      <c r="E137" s="80"/>
      <c r="F137" s="80"/>
      <c r="G137" s="81"/>
      <c r="H137" s="5"/>
      <c r="I137" s="79"/>
      <c r="J137" s="79"/>
      <c r="K137" s="82"/>
      <c r="L137" s="83"/>
      <c r="M137" s="80"/>
      <c r="N137" s="79"/>
      <c r="O137" s="80"/>
      <c r="P137" s="5"/>
    </row>
    <row r="138" ht="18" customHeight="1" spans="1:16">
      <c r="A138" s="77" t="str">
        <f t="shared" si="2"/>
        <v/>
      </c>
      <c r="B138" s="78"/>
      <c r="C138" s="78"/>
      <c r="D138" s="79"/>
      <c r="E138" s="80"/>
      <c r="F138" s="80"/>
      <c r="G138" s="81"/>
      <c r="H138" s="5"/>
      <c r="I138" s="79"/>
      <c r="J138" s="79"/>
      <c r="K138" s="82"/>
      <c r="L138" s="83"/>
      <c r="M138" s="80"/>
      <c r="N138" s="79"/>
      <c r="O138" s="80"/>
      <c r="P138" s="5"/>
    </row>
    <row r="139" ht="18" customHeight="1" spans="1:16">
      <c r="A139" s="77" t="str">
        <f t="shared" si="2"/>
        <v/>
      </c>
      <c r="B139" s="78"/>
      <c r="C139" s="78"/>
      <c r="D139" s="79"/>
      <c r="E139" s="80"/>
      <c r="F139" s="80"/>
      <c r="G139" s="81"/>
      <c r="H139" s="5"/>
      <c r="I139" s="79"/>
      <c r="J139" s="79"/>
      <c r="K139" s="82"/>
      <c r="L139" s="83"/>
      <c r="M139" s="80"/>
      <c r="N139" s="79"/>
      <c r="O139" s="80"/>
      <c r="P139" s="5"/>
    </row>
    <row r="140" ht="18" customHeight="1" spans="1:16">
      <c r="A140" s="77" t="str">
        <f t="shared" si="2"/>
        <v/>
      </c>
      <c r="B140" s="78"/>
      <c r="C140" s="78"/>
      <c r="D140" s="79"/>
      <c r="E140" s="80"/>
      <c r="F140" s="80"/>
      <c r="G140" s="81"/>
      <c r="H140" s="5"/>
      <c r="I140" s="79"/>
      <c r="J140" s="79"/>
      <c r="K140" s="82"/>
      <c r="L140" s="83"/>
      <c r="M140" s="80"/>
      <c r="N140" s="79"/>
      <c r="O140" s="80"/>
      <c r="P140" s="5"/>
    </row>
    <row r="141" ht="18" customHeight="1" spans="1:16">
      <c r="A141" s="77" t="str">
        <f t="shared" si="2"/>
        <v/>
      </c>
      <c r="B141" s="78"/>
      <c r="C141" s="78"/>
      <c r="D141" s="79"/>
      <c r="E141" s="80"/>
      <c r="F141" s="80"/>
      <c r="G141" s="81"/>
      <c r="H141" s="5"/>
      <c r="I141" s="79"/>
      <c r="J141" s="79"/>
      <c r="K141" s="82"/>
      <c r="L141" s="83"/>
      <c r="M141" s="80"/>
      <c r="N141" s="79"/>
      <c r="O141" s="80"/>
      <c r="P141" s="5"/>
    </row>
    <row r="142" ht="18" customHeight="1" spans="1:16">
      <c r="A142" s="77" t="str">
        <f t="shared" si="2"/>
        <v/>
      </c>
      <c r="B142" s="78"/>
      <c r="C142" s="78"/>
      <c r="D142" s="79"/>
      <c r="E142" s="80"/>
      <c r="F142" s="80"/>
      <c r="G142" s="81"/>
      <c r="H142" s="5"/>
      <c r="I142" s="79"/>
      <c r="J142" s="79"/>
      <c r="K142" s="82"/>
      <c r="L142" s="83"/>
      <c r="M142" s="80"/>
      <c r="N142" s="79"/>
      <c r="O142" s="80"/>
      <c r="P142" s="5"/>
    </row>
    <row r="143" ht="18" customHeight="1" spans="1:16">
      <c r="A143" s="77" t="str">
        <f t="shared" si="2"/>
        <v/>
      </c>
      <c r="B143" s="78"/>
      <c r="C143" s="78"/>
      <c r="D143" s="79"/>
      <c r="E143" s="80"/>
      <c r="F143" s="80"/>
      <c r="G143" s="81"/>
      <c r="H143" s="5"/>
      <c r="I143" s="79"/>
      <c r="J143" s="79"/>
      <c r="K143" s="82"/>
      <c r="L143" s="83"/>
      <c r="M143" s="80"/>
      <c r="N143" s="79"/>
      <c r="O143" s="80"/>
      <c r="P143" s="5"/>
    </row>
    <row r="144" ht="18" customHeight="1" spans="1:16">
      <c r="A144" s="77" t="str">
        <f t="shared" si="2"/>
        <v/>
      </c>
      <c r="B144" s="78"/>
      <c r="C144" s="78"/>
      <c r="D144" s="79"/>
      <c r="E144" s="80"/>
      <c r="F144" s="80"/>
      <c r="G144" s="81"/>
      <c r="H144" s="5"/>
      <c r="I144" s="79"/>
      <c r="J144" s="79"/>
      <c r="K144" s="82"/>
      <c r="L144" s="83"/>
      <c r="M144" s="80"/>
      <c r="N144" s="79"/>
      <c r="O144" s="80"/>
      <c r="P144" s="5"/>
    </row>
    <row r="145" ht="18" customHeight="1" spans="1:16">
      <c r="A145" s="77" t="str">
        <f t="shared" si="2"/>
        <v/>
      </c>
      <c r="B145" s="78"/>
      <c r="C145" s="78"/>
      <c r="D145" s="79"/>
      <c r="E145" s="80"/>
      <c r="F145" s="80"/>
      <c r="G145" s="81"/>
      <c r="H145" s="5"/>
      <c r="I145" s="79"/>
      <c r="J145" s="79"/>
      <c r="K145" s="82"/>
      <c r="L145" s="83"/>
      <c r="M145" s="80"/>
      <c r="N145" s="79"/>
      <c r="O145" s="80"/>
      <c r="P145" s="5"/>
    </row>
    <row r="146" ht="18" customHeight="1" spans="1:16">
      <c r="A146" s="77" t="str">
        <f t="shared" si="2"/>
        <v/>
      </c>
      <c r="B146" s="78"/>
      <c r="C146" s="78"/>
      <c r="D146" s="79"/>
      <c r="E146" s="80"/>
      <c r="F146" s="80"/>
      <c r="G146" s="81"/>
      <c r="H146" s="5"/>
      <c r="I146" s="79"/>
      <c r="J146" s="79"/>
      <c r="K146" s="82"/>
      <c r="L146" s="83"/>
      <c r="M146" s="80"/>
      <c r="N146" s="79"/>
      <c r="O146" s="80"/>
      <c r="P146" s="5"/>
    </row>
    <row r="147" ht="18" customHeight="1" spans="1:16">
      <c r="A147" s="77" t="str">
        <f t="shared" si="2"/>
        <v/>
      </c>
      <c r="B147" s="78"/>
      <c r="C147" s="78"/>
      <c r="D147" s="79"/>
      <c r="E147" s="80"/>
      <c r="F147" s="80"/>
      <c r="G147" s="81"/>
      <c r="H147" s="5"/>
      <c r="I147" s="79"/>
      <c r="J147" s="79"/>
      <c r="K147" s="82"/>
      <c r="L147" s="83"/>
      <c r="M147" s="80"/>
      <c r="N147" s="79"/>
      <c r="O147" s="80"/>
      <c r="P147" s="5"/>
    </row>
    <row r="148" ht="18" customHeight="1" spans="1:16">
      <c r="A148" s="77" t="str">
        <f t="shared" si="2"/>
        <v/>
      </c>
      <c r="B148" s="78"/>
      <c r="C148" s="78"/>
      <c r="D148" s="79"/>
      <c r="E148" s="80"/>
      <c r="F148" s="80"/>
      <c r="G148" s="81"/>
      <c r="H148" s="5"/>
      <c r="I148" s="79"/>
      <c r="J148" s="79"/>
      <c r="K148" s="82"/>
      <c r="L148" s="83"/>
      <c r="M148" s="80"/>
      <c r="N148" s="79"/>
      <c r="O148" s="80"/>
      <c r="P148" s="5"/>
    </row>
    <row r="149" ht="18" customHeight="1" spans="1:16">
      <c r="A149" s="77" t="str">
        <f t="shared" si="2"/>
        <v/>
      </c>
      <c r="B149" s="78"/>
      <c r="C149" s="78"/>
      <c r="D149" s="79"/>
      <c r="E149" s="80"/>
      <c r="F149" s="80"/>
      <c r="G149" s="81"/>
      <c r="H149" s="5"/>
      <c r="I149" s="79"/>
      <c r="J149" s="79"/>
      <c r="K149" s="82"/>
      <c r="L149" s="83"/>
      <c r="M149" s="80"/>
      <c r="N149" s="79"/>
      <c r="O149" s="80"/>
      <c r="P149" s="5"/>
    </row>
    <row r="150" ht="18" customHeight="1" spans="1:16">
      <c r="A150" s="77" t="str">
        <f t="shared" si="2"/>
        <v/>
      </c>
      <c r="B150" s="78"/>
      <c r="C150" s="78"/>
      <c r="D150" s="79"/>
      <c r="E150" s="80"/>
      <c r="F150" s="80"/>
      <c r="G150" s="81"/>
      <c r="H150" s="5"/>
      <c r="I150" s="79"/>
      <c r="J150" s="79"/>
      <c r="K150" s="82"/>
      <c r="L150" s="83"/>
      <c r="M150" s="80"/>
      <c r="N150" s="79"/>
      <c r="O150" s="80"/>
      <c r="P150" s="5"/>
    </row>
    <row r="151" ht="18" customHeight="1" spans="1:16">
      <c r="A151" s="77" t="str">
        <f t="shared" si="2"/>
        <v/>
      </c>
      <c r="B151" s="78"/>
      <c r="C151" s="78"/>
      <c r="D151" s="79"/>
      <c r="E151" s="80"/>
      <c r="F151" s="80"/>
      <c r="G151" s="81"/>
      <c r="H151" s="5"/>
      <c r="I151" s="79"/>
      <c r="J151" s="79"/>
      <c r="K151" s="82"/>
      <c r="L151" s="83"/>
      <c r="M151" s="80"/>
      <c r="N151" s="79"/>
      <c r="O151" s="80"/>
      <c r="P151" s="5"/>
    </row>
    <row r="152" ht="18" customHeight="1" spans="1:16">
      <c r="A152" s="77" t="str">
        <f t="shared" si="2"/>
        <v/>
      </c>
      <c r="B152" s="78"/>
      <c r="C152" s="78"/>
      <c r="D152" s="79"/>
      <c r="E152" s="80"/>
      <c r="F152" s="80"/>
      <c r="G152" s="81"/>
      <c r="H152" s="5"/>
      <c r="I152" s="79"/>
      <c r="J152" s="79"/>
      <c r="K152" s="82"/>
      <c r="L152" s="83"/>
      <c r="M152" s="80"/>
      <c r="N152" s="79"/>
      <c r="O152" s="80"/>
      <c r="P152" s="5"/>
    </row>
    <row r="153" ht="18" customHeight="1" spans="1:16">
      <c r="A153" s="77" t="str">
        <f t="shared" si="2"/>
        <v/>
      </c>
      <c r="B153" s="78"/>
      <c r="C153" s="78"/>
      <c r="D153" s="79"/>
      <c r="E153" s="80"/>
      <c r="F153" s="80"/>
      <c r="G153" s="81"/>
      <c r="H153" s="5"/>
      <c r="I153" s="79"/>
      <c r="J153" s="79"/>
      <c r="K153" s="82"/>
      <c r="L153" s="83"/>
      <c r="M153" s="80"/>
      <c r="N153" s="79"/>
      <c r="O153" s="80"/>
      <c r="P153" s="5"/>
    </row>
    <row r="154" ht="18" customHeight="1" spans="1:16">
      <c r="A154" s="77" t="str">
        <f t="shared" si="2"/>
        <v/>
      </c>
      <c r="B154" s="78"/>
      <c r="C154" s="78"/>
      <c r="D154" s="79"/>
      <c r="E154" s="80"/>
      <c r="F154" s="80"/>
      <c r="G154" s="81"/>
      <c r="H154" s="5"/>
      <c r="I154" s="79"/>
      <c r="J154" s="79"/>
      <c r="K154" s="82"/>
      <c r="L154" s="83"/>
      <c r="M154" s="80"/>
      <c r="N154" s="79"/>
      <c r="O154" s="80"/>
      <c r="P154" s="5"/>
    </row>
    <row r="155" ht="18" customHeight="1" spans="1:16">
      <c r="A155" s="77" t="str">
        <f t="shared" si="2"/>
        <v/>
      </c>
      <c r="B155" s="78"/>
      <c r="C155" s="78"/>
      <c r="D155" s="79"/>
      <c r="E155" s="80"/>
      <c r="F155" s="80"/>
      <c r="G155" s="81"/>
      <c r="H155" s="5"/>
      <c r="I155" s="79"/>
      <c r="J155" s="79"/>
      <c r="K155" s="82"/>
      <c r="L155" s="83"/>
      <c r="M155" s="80"/>
      <c r="N155" s="79"/>
      <c r="O155" s="80"/>
      <c r="P155" s="5"/>
    </row>
    <row r="156" ht="18" customHeight="1" spans="1:16">
      <c r="A156" s="77" t="str">
        <f t="shared" si="2"/>
        <v/>
      </c>
      <c r="B156" s="78"/>
      <c r="C156" s="78"/>
      <c r="D156" s="79"/>
      <c r="E156" s="80"/>
      <c r="F156" s="80"/>
      <c r="G156" s="81"/>
      <c r="H156" s="5"/>
      <c r="I156" s="79"/>
      <c r="J156" s="79"/>
      <c r="K156" s="82"/>
      <c r="L156" s="83"/>
      <c r="M156" s="80"/>
      <c r="N156" s="79"/>
      <c r="O156" s="80"/>
      <c r="P156" s="5"/>
    </row>
    <row r="157" ht="18" customHeight="1" spans="1:16">
      <c r="A157" s="77" t="str">
        <f t="shared" si="2"/>
        <v/>
      </c>
      <c r="B157" s="78"/>
      <c r="C157" s="78"/>
      <c r="D157" s="79"/>
      <c r="E157" s="80"/>
      <c r="F157" s="80"/>
      <c r="G157" s="81"/>
      <c r="H157" s="5"/>
      <c r="I157" s="79"/>
      <c r="J157" s="79"/>
      <c r="K157" s="82"/>
      <c r="L157" s="83"/>
      <c r="M157" s="80"/>
      <c r="N157" s="79"/>
      <c r="O157" s="80"/>
      <c r="P157" s="5"/>
    </row>
    <row r="158" ht="18" customHeight="1" spans="1:16">
      <c r="A158" s="77" t="str">
        <f t="shared" si="2"/>
        <v/>
      </c>
      <c r="B158" s="78"/>
      <c r="C158" s="78"/>
      <c r="D158" s="79"/>
      <c r="E158" s="80"/>
      <c r="F158" s="80"/>
      <c r="G158" s="81"/>
      <c r="H158" s="5"/>
      <c r="I158" s="79"/>
      <c r="J158" s="79"/>
      <c r="K158" s="82"/>
      <c r="L158" s="83"/>
      <c r="M158" s="80"/>
      <c r="N158" s="79"/>
      <c r="O158" s="80"/>
      <c r="P158" s="5"/>
    </row>
    <row r="159" ht="18" customHeight="1" spans="1:16">
      <c r="A159" s="77" t="str">
        <f t="shared" si="2"/>
        <v/>
      </c>
      <c r="B159" s="78"/>
      <c r="C159" s="78"/>
      <c r="D159" s="79"/>
      <c r="E159" s="80"/>
      <c r="F159" s="80"/>
      <c r="G159" s="81"/>
      <c r="H159" s="5"/>
      <c r="I159" s="79"/>
      <c r="J159" s="79"/>
      <c r="K159" s="82"/>
      <c r="L159" s="83"/>
      <c r="M159" s="80"/>
      <c r="N159" s="79"/>
      <c r="O159" s="80"/>
      <c r="P159" s="5"/>
    </row>
    <row r="160" ht="18" customHeight="1" spans="1:16">
      <c r="A160" s="77" t="str">
        <f t="shared" si="2"/>
        <v/>
      </c>
      <c r="B160" s="78"/>
      <c r="C160" s="78"/>
      <c r="D160" s="79"/>
      <c r="E160" s="80"/>
      <c r="F160" s="80"/>
      <c r="G160" s="81"/>
      <c r="H160" s="5"/>
      <c r="I160" s="79"/>
      <c r="J160" s="79"/>
      <c r="K160" s="82"/>
      <c r="L160" s="83"/>
      <c r="M160" s="80"/>
      <c r="N160" s="79"/>
      <c r="O160" s="80"/>
      <c r="P160" s="5"/>
    </row>
    <row r="161" ht="18" customHeight="1" spans="1:16">
      <c r="A161" s="77" t="str">
        <f t="shared" si="2"/>
        <v/>
      </c>
      <c r="B161" s="78"/>
      <c r="C161" s="78"/>
      <c r="D161" s="79"/>
      <c r="E161" s="80"/>
      <c r="F161" s="80"/>
      <c r="G161" s="81"/>
      <c r="H161" s="5"/>
      <c r="I161" s="79"/>
      <c r="J161" s="79"/>
      <c r="K161" s="82"/>
      <c r="L161" s="83"/>
      <c r="M161" s="80"/>
      <c r="N161" s="79"/>
      <c r="O161" s="80"/>
      <c r="P161" s="5"/>
    </row>
    <row r="162" ht="18" customHeight="1" spans="1:16">
      <c r="A162" s="77" t="str">
        <f t="shared" si="2"/>
        <v/>
      </c>
      <c r="B162" s="78"/>
      <c r="C162" s="78"/>
      <c r="D162" s="79"/>
      <c r="E162" s="80"/>
      <c r="F162" s="80"/>
      <c r="G162" s="81"/>
      <c r="H162" s="5"/>
      <c r="I162" s="79"/>
      <c r="J162" s="79"/>
      <c r="K162" s="82"/>
      <c r="L162" s="83"/>
      <c r="M162" s="80"/>
      <c r="N162" s="79"/>
      <c r="O162" s="80"/>
      <c r="P162" s="5"/>
    </row>
    <row r="163" ht="18" customHeight="1" spans="1:16">
      <c r="A163" s="77" t="str">
        <f t="shared" si="2"/>
        <v/>
      </c>
      <c r="B163" s="78"/>
      <c r="C163" s="78"/>
      <c r="D163" s="79"/>
      <c r="E163" s="80"/>
      <c r="F163" s="80"/>
      <c r="G163" s="81"/>
      <c r="H163" s="5"/>
      <c r="I163" s="79"/>
      <c r="J163" s="79"/>
      <c r="K163" s="82"/>
      <c r="L163" s="83"/>
      <c r="M163" s="80"/>
      <c r="N163" s="79"/>
      <c r="O163" s="80"/>
      <c r="P163" s="5"/>
    </row>
    <row r="164" ht="18" customHeight="1" spans="1:16">
      <c r="A164" s="77" t="str">
        <f t="shared" si="2"/>
        <v/>
      </c>
      <c r="B164" s="78"/>
      <c r="C164" s="78"/>
      <c r="D164" s="79"/>
      <c r="E164" s="80"/>
      <c r="F164" s="80"/>
      <c r="G164" s="81"/>
      <c r="H164" s="5"/>
      <c r="I164" s="79"/>
      <c r="J164" s="79"/>
      <c r="K164" s="82"/>
      <c r="L164" s="83"/>
      <c r="M164" s="80"/>
      <c r="N164" s="79"/>
      <c r="O164" s="80"/>
      <c r="P164" s="5"/>
    </row>
    <row r="165" ht="18" customHeight="1" spans="1:16">
      <c r="A165" s="77" t="str">
        <f t="shared" si="2"/>
        <v/>
      </c>
      <c r="B165" s="78"/>
      <c r="C165" s="78"/>
      <c r="D165" s="79"/>
      <c r="E165" s="80"/>
      <c r="F165" s="80"/>
      <c r="G165" s="81"/>
      <c r="H165" s="5"/>
      <c r="I165" s="79"/>
      <c r="J165" s="79"/>
      <c r="K165" s="82"/>
      <c r="L165" s="83"/>
      <c r="M165" s="80"/>
      <c r="N165" s="79"/>
      <c r="O165" s="80"/>
      <c r="P165" s="5"/>
    </row>
    <row r="166" ht="18" customHeight="1" spans="1:16">
      <c r="A166" s="77" t="str">
        <f t="shared" si="2"/>
        <v/>
      </c>
      <c r="B166" s="78"/>
      <c r="C166" s="78"/>
      <c r="D166" s="79"/>
      <c r="E166" s="80"/>
      <c r="F166" s="80"/>
      <c r="G166" s="81"/>
      <c r="H166" s="5"/>
      <c r="I166" s="79"/>
      <c r="J166" s="79"/>
      <c r="K166" s="82"/>
      <c r="L166" s="83"/>
      <c r="M166" s="80"/>
      <c r="N166" s="79"/>
      <c r="O166" s="80"/>
      <c r="P166" s="5"/>
    </row>
    <row r="167" ht="18" customHeight="1" spans="1:16">
      <c r="A167" s="77" t="str">
        <f t="shared" si="2"/>
        <v/>
      </c>
      <c r="B167" s="78"/>
      <c r="C167" s="78"/>
      <c r="D167" s="79"/>
      <c r="E167" s="80"/>
      <c r="F167" s="80"/>
      <c r="G167" s="81"/>
      <c r="H167" s="5"/>
      <c r="I167" s="79"/>
      <c r="J167" s="79"/>
      <c r="K167" s="82"/>
      <c r="L167" s="83"/>
      <c r="M167" s="80"/>
      <c r="N167" s="79"/>
      <c r="O167" s="80"/>
      <c r="P167" s="5"/>
    </row>
    <row r="168" ht="18" customHeight="1" spans="1:16">
      <c r="A168" s="77" t="str">
        <f t="shared" si="2"/>
        <v/>
      </c>
      <c r="B168" s="78"/>
      <c r="C168" s="78"/>
      <c r="D168" s="79"/>
      <c r="E168" s="80"/>
      <c r="F168" s="80"/>
      <c r="G168" s="81"/>
      <c r="H168" s="5"/>
      <c r="I168" s="79"/>
      <c r="J168" s="79"/>
      <c r="K168" s="82"/>
      <c r="L168" s="83"/>
      <c r="M168" s="80"/>
      <c r="N168" s="79"/>
      <c r="O168" s="80"/>
      <c r="P168" s="5"/>
    </row>
    <row r="169" ht="18" customHeight="1" spans="1:16">
      <c r="A169" s="77" t="str">
        <f t="shared" si="2"/>
        <v/>
      </c>
      <c r="B169" s="78"/>
      <c r="C169" s="78"/>
      <c r="D169" s="79"/>
      <c r="E169" s="80"/>
      <c r="F169" s="80"/>
      <c r="G169" s="81"/>
      <c r="H169" s="5"/>
      <c r="I169" s="79"/>
      <c r="J169" s="79"/>
      <c r="K169" s="82"/>
      <c r="L169" s="83"/>
      <c r="M169" s="80"/>
      <c r="N169" s="79"/>
      <c r="O169" s="80"/>
      <c r="P169" s="5"/>
    </row>
    <row r="170" ht="18" customHeight="1" spans="1:16">
      <c r="A170" s="77" t="str">
        <f t="shared" si="2"/>
        <v/>
      </c>
      <c r="B170" s="78"/>
      <c r="C170" s="78"/>
      <c r="D170" s="79"/>
      <c r="E170" s="80"/>
      <c r="F170" s="80"/>
      <c r="G170" s="81"/>
      <c r="H170" s="5"/>
      <c r="I170" s="79"/>
      <c r="J170" s="79"/>
      <c r="K170" s="82"/>
      <c r="L170" s="83"/>
      <c r="M170" s="80"/>
      <c r="N170" s="79"/>
      <c r="O170" s="80"/>
      <c r="P170" s="5"/>
    </row>
    <row r="171" ht="18" customHeight="1" spans="1:16">
      <c r="A171" s="77" t="str">
        <f t="shared" si="2"/>
        <v/>
      </c>
      <c r="B171" s="78"/>
      <c r="C171" s="78"/>
      <c r="D171" s="79"/>
      <c r="E171" s="80"/>
      <c r="F171" s="80"/>
      <c r="G171" s="81"/>
      <c r="H171" s="5"/>
      <c r="I171" s="79"/>
      <c r="J171" s="79"/>
      <c r="K171" s="82"/>
      <c r="L171" s="83"/>
      <c r="M171" s="80"/>
      <c r="N171" s="79"/>
      <c r="O171" s="80"/>
      <c r="P171" s="5"/>
    </row>
    <row r="172" ht="18" customHeight="1" spans="1:16">
      <c r="A172" s="77" t="str">
        <f t="shared" si="2"/>
        <v/>
      </c>
      <c r="B172" s="78"/>
      <c r="C172" s="78"/>
      <c r="D172" s="79"/>
      <c r="E172" s="80"/>
      <c r="F172" s="80"/>
      <c r="G172" s="81"/>
      <c r="H172" s="5"/>
      <c r="I172" s="79"/>
      <c r="J172" s="79"/>
      <c r="K172" s="82"/>
      <c r="L172" s="83"/>
      <c r="M172" s="80"/>
      <c r="N172" s="79"/>
      <c r="O172" s="80"/>
      <c r="P172" s="5"/>
    </row>
    <row r="173" ht="18" customHeight="1" spans="1:16">
      <c r="A173" s="77" t="str">
        <f t="shared" si="2"/>
        <v/>
      </c>
      <c r="B173" s="78"/>
      <c r="C173" s="78"/>
      <c r="D173" s="79"/>
      <c r="E173" s="80"/>
      <c r="F173" s="80"/>
      <c r="G173" s="81"/>
      <c r="H173" s="5"/>
      <c r="I173" s="79"/>
      <c r="J173" s="79"/>
      <c r="K173" s="82"/>
      <c r="L173" s="83"/>
      <c r="M173" s="80"/>
      <c r="N173" s="79"/>
      <c r="O173" s="80"/>
      <c r="P173" s="5"/>
    </row>
    <row r="174" ht="18" customHeight="1" spans="1:16">
      <c r="A174" s="77" t="str">
        <f t="shared" si="2"/>
        <v/>
      </c>
      <c r="B174" s="78"/>
      <c r="C174" s="78"/>
      <c r="D174" s="79"/>
      <c r="E174" s="80"/>
      <c r="F174" s="80"/>
      <c r="G174" s="81"/>
      <c r="H174" s="5"/>
      <c r="I174" s="79"/>
      <c r="J174" s="79"/>
      <c r="K174" s="82"/>
      <c r="L174" s="83"/>
      <c r="M174" s="80"/>
      <c r="N174" s="79"/>
      <c r="O174" s="80"/>
      <c r="P174" s="5"/>
    </row>
    <row r="175" ht="18" customHeight="1" spans="1:16">
      <c r="A175" s="77" t="str">
        <f t="shared" si="2"/>
        <v/>
      </c>
      <c r="B175" s="78"/>
      <c r="C175" s="78"/>
      <c r="D175" s="79"/>
      <c r="E175" s="80"/>
      <c r="F175" s="80"/>
      <c r="G175" s="81"/>
      <c r="H175" s="5"/>
      <c r="I175" s="79"/>
      <c r="J175" s="79"/>
      <c r="K175" s="82"/>
      <c r="L175" s="83"/>
      <c r="M175" s="80"/>
      <c r="N175" s="79"/>
      <c r="O175" s="80"/>
      <c r="P175" s="5"/>
    </row>
    <row r="176" ht="18" customHeight="1" spans="1:16">
      <c r="A176" s="77" t="str">
        <f t="shared" si="2"/>
        <v/>
      </c>
      <c r="B176" s="78"/>
      <c r="C176" s="78"/>
      <c r="D176" s="79"/>
      <c r="E176" s="80"/>
      <c r="F176" s="80"/>
      <c r="G176" s="81"/>
      <c r="H176" s="5"/>
      <c r="I176" s="79"/>
      <c r="J176" s="79"/>
      <c r="K176" s="82"/>
      <c r="L176" s="83"/>
      <c r="M176" s="80"/>
      <c r="N176" s="79"/>
      <c r="O176" s="80"/>
      <c r="P176" s="5"/>
    </row>
    <row r="177" ht="18" customHeight="1" spans="1:16">
      <c r="A177" s="77" t="str">
        <f t="shared" si="2"/>
        <v/>
      </c>
      <c r="B177" s="78"/>
      <c r="C177" s="78"/>
      <c r="D177" s="79"/>
      <c r="E177" s="80"/>
      <c r="F177" s="80"/>
      <c r="G177" s="81"/>
      <c r="H177" s="5"/>
      <c r="I177" s="79"/>
      <c r="J177" s="79"/>
      <c r="K177" s="82"/>
      <c r="L177" s="83"/>
      <c r="M177" s="80"/>
      <c r="N177" s="79"/>
      <c r="O177" s="80"/>
      <c r="P177" s="5"/>
    </row>
    <row r="178" ht="18" customHeight="1" spans="1:16">
      <c r="A178" s="77" t="str">
        <f t="shared" si="2"/>
        <v/>
      </c>
      <c r="B178" s="78"/>
      <c r="C178" s="78"/>
      <c r="D178" s="79"/>
      <c r="E178" s="80"/>
      <c r="F178" s="80"/>
      <c r="G178" s="81"/>
      <c r="H178" s="5"/>
      <c r="I178" s="79"/>
      <c r="J178" s="79"/>
      <c r="K178" s="82"/>
      <c r="L178" s="83"/>
      <c r="M178" s="80"/>
      <c r="N178" s="79"/>
      <c r="O178" s="80"/>
      <c r="P178" s="5"/>
    </row>
    <row r="179" ht="18" customHeight="1" spans="1:16">
      <c r="A179" s="77" t="str">
        <f t="shared" si="2"/>
        <v/>
      </c>
      <c r="B179" s="78"/>
      <c r="C179" s="78"/>
      <c r="D179" s="79"/>
      <c r="E179" s="80"/>
      <c r="F179" s="80"/>
      <c r="G179" s="81"/>
      <c r="H179" s="5"/>
      <c r="I179" s="79"/>
      <c r="J179" s="79"/>
      <c r="K179" s="82"/>
      <c r="L179" s="83"/>
      <c r="M179" s="80"/>
      <c r="N179" s="79"/>
      <c r="O179" s="80"/>
      <c r="P179" s="5"/>
    </row>
    <row r="180" ht="18" customHeight="1" spans="1:16">
      <c r="A180" s="77" t="str">
        <f t="shared" si="2"/>
        <v/>
      </c>
      <c r="B180" s="78"/>
      <c r="C180" s="78"/>
      <c r="D180" s="79"/>
      <c r="E180" s="80"/>
      <c r="F180" s="80"/>
      <c r="G180" s="81"/>
      <c r="H180" s="5"/>
      <c r="I180" s="79"/>
      <c r="J180" s="79"/>
      <c r="K180" s="82"/>
      <c r="L180" s="83"/>
      <c r="M180" s="80"/>
      <c r="N180" s="79"/>
      <c r="O180" s="80"/>
      <c r="P180" s="5"/>
    </row>
    <row r="181" ht="18" customHeight="1" spans="1:16">
      <c r="A181" s="77" t="str">
        <f t="shared" si="2"/>
        <v/>
      </c>
      <c r="B181" s="78"/>
      <c r="C181" s="78"/>
      <c r="D181" s="79"/>
      <c r="E181" s="80"/>
      <c r="F181" s="80"/>
      <c r="G181" s="81"/>
      <c r="H181" s="5"/>
      <c r="I181" s="79"/>
      <c r="J181" s="79"/>
      <c r="K181" s="82"/>
      <c r="L181" s="83"/>
      <c r="M181" s="80"/>
      <c r="N181" s="79"/>
      <c r="O181" s="80"/>
      <c r="P181" s="5"/>
    </row>
    <row r="182" ht="18" customHeight="1" spans="1:16">
      <c r="A182" s="77" t="str">
        <f t="shared" si="2"/>
        <v/>
      </c>
      <c r="B182" s="78"/>
      <c r="C182" s="78"/>
      <c r="D182" s="79"/>
      <c r="E182" s="80"/>
      <c r="F182" s="80"/>
      <c r="G182" s="81"/>
      <c r="H182" s="5"/>
      <c r="I182" s="79"/>
      <c r="J182" s="79"/>
      <c r="K182" s="82"/>
      <c r="L182" s="83"/>
      <c r="M182" s="80"/>
      <c r="N182" s="79"/>
      <c r="O182" s="80"/>
      <c r="P182" s="5"/>
    </row>
    <row r="183" ht="18" customHeight="1" spans="1:16">
      <c r="A183" s="77" t="str">
        <f t="shared" si="2"/>
        <v/>
      </c>
      <c r="B183" s="78"/>
      <c r="C183" s="78"/>
      <c r="D183" s="79"/>
      <c r="E183" s="80"/>
      <c r="F183" s="80"/>
      <c r="G183" s="81"/>
      <c r="H183" s="5"/>
      <c r="I183" s="79"/>
      <c r="J183" s="79"/>
      <c r="K183" s="82"/>
      <c r="L183" s="83"/>
      <c r="M183" s="80"/>
      <c r="N183" s="79"/>
      <c r="O183" s="80"/>
      <c r="P183" s="5"/>
    </row>
    <row r="184" ht="18" customHeight="1" spans="1:16">
      <c r="A184" s="77" t="str">
        <f t="shared" si="2"/>
        <v/>
      </c>
      <c r="B184" s="78"/>
      <c r="C184" s="78"/>
      <c r="D184" s="79"/>
      <c r="E184" s="80"/>
      <c r="F184" s="80"/>
      <c r="G184" s="81"/>
      <c r="H184" s="5"/>
      <c r="I184" s="79"/>
      <c r="J184" s="79"/>
      <c r="K184" s="82"/>
      <c r="L184" s="83"/>
      <c r="M184" s="80"/>
      <c r="N184" s="79"/>
      <c r="O184" s="80"/>
      <c r="P184" s="5"/>
    </row>
    <row r="185" ht="18" customHeight="1" spans="1:16">
      <c r="A185" s="77" t="str">
        <f t="shared" si="2"/>
        <v/>
      </c>
      <c r="B185" s="78"/>
      <c r="C185" s="78"/>
      <c r="D185" s="79"/>
      <c r="E185" s="80"/>
      <c r="F185" s="80"/>
      <c r="G185" s="81"/>
      <c r="H185" s="5"/>
      <c r="I185" s="79"/>
      <c r="J185" s="79"/>
      <c r="K185" s="82"/>
      <c r="L185" s="83"/>
      <c r="M185" s="80"/>
      <c r="N185" s="79"/>
      <c r="O185" s="80"/>
      <c r="P185" s="5"/>
    </row>
    <row r="186" ht="18" customHeight="1" spans="1:16">
      <c r="A186" s="77" t="str">
        <f t="shared" si="2"/>
        <v/>
      </c>
      <c r="B186" s="78"/>
      <c r="C186" s="78"/>
      <c r="D186" s="79"/>
      <c r="E186" s="80"/>
      <c r="F186" s="80"/>
      <c r="G186" s="81"/>
      <c r="H186" s="5"/>
      <c r="I186" s="79"/>
      <c r="J186" s="79"/>
      <c r="K186" s="82"/>
      <c r="L186" s="83"/>
      <c r="M186" s="80"/>
      <c r="N186" s="79"/>
      <c r="O186" s="80"/>
      <c r="P186" s="5"/>
    </row>
    <row r="187" ht="18" customHeight="1" spans="1:16">
      <c r="A187" s="77" t="str">
        <f t="shared" si="2"/>
        <v/>
      </c>
      <c r="B187" s="78"/>
      <c r="C187" s="78"/>
      <c r="D187" s="79"/>
      <c r="E187" s="80"/>
      <c r="F187" s="80"/>
      <c r="G187" s="81"/>
      <c r="H187" s="5"/>
      <c r="I187" s="79"/>
      <c r="J187" s="79"/>
      <c r="K187" s="82"/>
      <c r="L187" s="83"/>
      <c r="M187" s="80"/>
      <c r="N187" s="79"/>
      <c r="O187" s="80"/>
      <c r="P187" s="5"/>
    </row>
    <row r="188" ht="18" customHeight="1" spans="1:16">
      <c r="A188" s="77" t="str">
        <f t="shared" si="2"/>
        <v/>
      </c>
      <c r="B188" s="78"/>
      <c r="C188" s="78"/>
      <c r="D188" s="79"/>
      <c r="E188" s="80"/>
      <c r="F188" s="80"/>
      <c r="G188" s="81"/>
      <c r="H188" s="5"/>
      <c r="I188" s="79"/>
      <c r="J188" s="79"/>
      <c r="K188" s="82"/>
      <c r="L188" s="83"/>
      <c r="M188" s="80"/>
      <c r="N188" s="79"/>
      <c r="O188" s="80"/>
      <c r="P188" s="5"/>
    </row>
    <row r="189" ht="18" customHeight="1" spans="1:16">
      <c r="A189" s="77" t="str">
        <f t="shared" si="2"/>
        <v/>
      </c>
      <c r="B189" s="78"/>
      <c r="C189" s="78"/>
      <c r="D189" s="79"/>
      <c r="E189" s="80"/>
      <c r="F189" s="80"/>
      <c r="G189" s="81"/>
      <c r="H189" s="5"/>
      <c r="I189" s="79"/>
      <c r="J189" s="79"/>
      <c r="K189" s="82"/>
      <c r="L189" s="83"/>
      <c r="M189" s="80"/>
      <c r="N189" s="79"/>
      <c r="O189" s="80"/>
      <c r="P189" s="5"/>
    </row>
    <row r="190" ht="18" customHeight="1" spans="1:16">
      <c r="A190" s="77" t="str">
        <f t="shared" si="2"/>
        <v/>
      </c>
      <c r="B190" s="78"/>
      <c r="C190" s="78"/>
      <c r="D190" s="79"/>
      <c r="E190" s="80"/>
      <c r="F190" s="80"/>
      <c r="G190" s="81"/>
      <c r="H190" s="5"/>
      <c r="I190" s="79"/>
      <c r="J190" s="79"/>
      <c r="K190" s="82"/>
      <c r="L190" s="83"/>
      <c r="M190" s="80"/>
      <c r="N190" s="79"/>
      <c r="O190" s="80"/>
      <c r="P190" s="5"/>
    </row>
    <row r="191" ht="18" customHeight="1" spans="1:16">
      <c r="A191" s="77" t="str">
        <f t="shared" si="2"/>
        <v/>
      </c>
      <c r="B191" s="78"/>
      <c r="C191" s="78"/>
      <c r="D191" s="79"/>
      <c r="E191" s="80"/>
      <c r="F191" s="80"/>
      <c r="G191" s="81"/>
      <c r="H191" s="5"/>
      <c r="I191" s="79"/>
      <c r="J191" s="79"/>
      <c r="K191" s="82"/>
      <c r="L191" s="83"/>
      <c r="M191" s="80"/>
      <c r="N191" s="79"/>
      <c r="O191" s="80"/>
      <c r="P191" s="5"/>
    </row>
    <row r="192" ht="18" customHeight="1" spans="1:16">
      <c r="A192" s="77" t="str">
        <f t="shared" si="2"/>
        <v/>
      </c>
      <c r="B192" s="78"/>
      <c r="C192" s="78"/>
      <c r="D192" s="79"/>
      <c r="E192" s="80"/>
      <c r="F192" s="80"/>
      <c r="G192" s="81"/>
      <c r="H192" s="5"/>
      <c r="I192" s="79"/>
      <c r="J192" s="79"/>
      <c r="K192" s="82"/>
      <c r="L192" s="83"/>
      <c r="M192" s="80"/>
      <c r="N192" s="79"/>
      <c r="O192" s="80"/>
      <c r="P192" s="5"/>
    </row>
    <row r="193" ht="18" customHeight="1" spans="1:16">
      <c r="A193" s="77" t="str">
        <f t="shared" si="2"/>
        <v/>
      </c>
      <c r="B193" s="78"/>
      <c r="C193" s="78"/>
      <c r="D193" s="79"/>
      <c r="E193" s="80"/>
      <c r="F193" s="80"/>
      <c r="G193" s="81"/>
      <c r="H193" s="5"/>
      <c r="I193" s="79"/>
      <c r="J193" s="79"/>
      <c r="K193" s="82"/>
      <c r="L193" s="83"/>
      <c r="M193" s="80"/>
      <c r="N193" s="79"/>
      <c r="O193" s="80"/>
      <c r="P193" s="5"/>
    </row>
    <row r="194" ht="18" customHeight="1" spans="1:16">
      <c r="A194" s="77" t="str">
        <f t="shared" si="2"/>
        <v/>
      </c>
      <c r="B194" s="78"/>
      <c r="C194" s="78"/>
      <c r="D194" s="79"/>
      <c r="E194" s="80"/>
      <c r="F194" s="80"/>
      <c r="G194" s="81"/>
      <c r="H194" s="5"/>
      <c r="I194" s="79"/>
      <c r="J194" s="79"/>
      <c r="K194" s="82"/>
      <c r="L194" s="83"/>
      <c r="M194" s="80"/>
      <c r="N194" s="79"/>
      <c r="O194" s="80"/>
      <c r="P194" s="5"/>
    </row>
    <row r="195" ht="18" customHeight="1" spans="1:16">
      <c r="A195" s="77" t="str">
        <f t="shared" si="2"/>
        <v/>
      </c>
      <c r="B195" s="78"/>
      <c r="C195" s="78"/>
      <c r="D195" s="79"/>
      <c r="E195" s="80"/>
      <c r="F195" s="80"/>
      <c r="G195" s="81"/>
      <c r="H195" s="5"/>
      <c r="I195" s="79"/>
      <c r="J195" s="79"/>
      <c r="K195" s="82"/>
      <c r="L195" s="83"/>
      <c r="M195" s="80"/>
      <c r="N195" s="79"/>
      <c r="O195" s="80"/>
      <c r="P195" s="5"/>
    </row>
    <row r="196" ht="18" customHeight="1" spans="1:16">
      <c r="A196" s="77" t="str">
        <f t="shared" ref="A196:A259" si="3">IF($D196="","",ROW()-3)</f>
        <v/>
      </c>
      <c r="B196" s="78"/>
      <c r="C196" s="78"/>
      <c r="D196" s="79"/>
      <c r="E196" s="80"/>
      <c r="F196" s="80"/>
      <c r="G196" s="81"/>
      <c r="H196" s="5"/>
      <c r="I196" s="79"/>
      <c r="J196" s="79"/>
      <c r="K196" s="82"/>
      <c r="L196" s="83"/>
      <c r="M196" s="80"/>
      <c r="N196" s="79"/>
      <c r="O196" s="80"/>
      <c r="P196" s="5"/>
    </row>
    <row r="197" ht="18" customHeight="1" spans="1:16">
      <c r="A197" s="77" t="str">
        <f t="shared" si="3"/>
        <v/>
      </c>
      <c r="B197" s="78"/>
      <c r="C197" s="78"/>
      <c r="D197" s="79"/>
      <c r="E197" s="80"/>
      <c r="F197" s="80"/>
      <c r="G197" s="81"/>
      <c r="H197" s="5"/>
      <c r="I197" s="79"/>
      <c r="J197" s="79"/>
      <c r="K197" s="82"/>
      <c r="L197" s="83"/>
      <c r="M197" s="80"/>
      <c r="N197" s="79"/>
      <c r="O197" s="80"/>
      <c r="P197" s="5"/>
    </row>
    <row r="198" ht="18" customHeight="1" spans="1:16">
      <c r="A198" s="77" t="str">
        <f t="shared" si="3"/>
        <v/>
      </c>
      <c r="B198" s="78"/>
      <c r="C198" s="78"/>
      <c r="D198" s="79"/>
      <c r="E198" s="80"/>
      <c r="F198" s="80"/>
      <c r="G198" s="81"/>
      <c r="H198" s="5"/>
      <c r="I198" s="79"/>
      <c r="J198" s="79"/>
      <c r="K198" s="82"/>
      <c r="L198" s="83"/>
      <c r="M198" s="80"/>
      <c r="N198" s="79"/>
      <c r="O198" s="80"/>
      <c r="P198" s="5"/>
    </row>
    <row r="199" ht="18" customHeight="1" spans="1:16">
      <c r="A199" s="77" t="str">
        <f t="shared" si="3"/>
        <v/>
      </c>
      <c r="B199" s="78"/>
      <c r="C199" s="78"/>
      <c r="D199" s="79"/>
      <c r="E199" s="80"/>
      <c r="F199" s="80"/>
      <c r="G199" s="81"/>
      <c r="H199" s="5"/>
      <c r="I199" s="79"/>
      <c r="J199" s="79"/>
      <c r="K199" s="82"/>
      <c r="L199" s="83"/>
      <c r="M199" s="80"/>
      <c r="N199" s="79"/>
      <c r="O199" s="80"/>
      <c r="P199" s="5"/>
    </row>
    <row r="200" ht="18" customHeight="1" spans="1:16">
      <c r="A200" s="77" t="str">
        <f t="shared" si="3"/>
        <v/>
      </c>
      <c r="B200" s="78"/>
      <c r="C200" s="78"/>
      <c r="D200" s="79"/>
      <c r="E200" s="80"/>
      <c r="F200" s="80"/>
      <c r="G200" s="81"/>
      <c r="H200" s="5"/>
      <c r="I200" s="79"/>
      <c r="J200" s="79"/>
      <c r="K200" s="82"/>
      <c r="L200" s="83"/>
      <c r="M200" s="80"/>
      <c r="N200" s="79"/>
      <c r="O200" s="80"/>
      <c r="P200" s="5"/>
    </row>
    <row r="201" ht="18" customHeight="1" spans="1:16">
      <c r="A201" s="77" t="str">
        <f t="shared" si="3"/>
        <v/>
      </c>
      <c r="B201" s="78"/>
      <c r="C201" s="78"/>
      <c r="D201" s="79"/>
      <c r="E201" s="80"/>
      <c r="F201" s="80"/>
      <c r="G201" s="81"/>
      <c r="H201" s="5"/>
      <c r="I201" s="79"/>
      <c r="J201" s="79"/>
      <c r="K201" s="82"/>
      <c r="L201" s="83"/>
      <c r="M201" s="80"/>
      <c r="N201" s="79"/>
      <c r="O201" s="80"/>
      <c r="P201" s="5"/>
    </row>
    <row r="202" ht="18" customHeight="1" spans="1:16">
      <c r="A202" s="77" t="str">
        <f t="shared" si="3"/>
        <v/>
      </c>
      <c r="B202" s="78"/>
      <c r="C202" s="78"/>
      <c r="D202" s="79"/>
      <c r="E202" s="80"/>
      <c r="F202" s="80"/>
      <c r="G202" s="81"/>
      <c r="H202" s="5"/>
      <c r="I202" s="79"/>
      <c r="J202" s="79"/>
      <c r="K202" s="82"/>
      <c r="L202" s="83"/>
      <c r="M202" s="80"/>
      <c r="N202" s="79"/>
      <c r="O202" s="80"/>
      <c r="P202" s="5"/>
    </row>
    <row r="203" ht="18" customHeight="1" spans="1:16">
      <c r="A203" s="77" t="str">
        <f t="shared" si="3"/>
        <v/>
      </c>
      <c r="B203" s="78"/>
      <c r="C203" s="78"/>
      <c r="D203" s="79"/>
      <c r="E203" s="80"/>
      <c r="F203" s="80"/>
      <c r="G203" s="81"/>
      <c r="H203" s="5"/>
      <c r="I203" s="79"/>
      <c r="J203" s="79"/>
      <c r="K203" s="82"/>
      <c r="L203" s="83"/>
      <c r="M203" s="80"/>
      <c r="N203" s="79"/>
      <c r="O203" s="80"/>
      <c r="P203" s="5"/>
    </row>
    <row r="204" ht="18" customHeight="1" spans="1:16">
      <c r="A204" s="77" t="str">
        <f t="shared" si="3"/>
        <v/>
      </c>
      <c r="B204" s="78"/>
      <c r="C204" s="78"/>
      <c r="D204" s="79"/>
      <c r="E204" s="80"/>
      <c r="F204" s="80"/>
      <c r="G204" s="81"/>
      <c r="H204" s="5"/>
      <c r="I204" s="79"/>
      <c r="J204" s="79"/>
      <c r="K204" s="82"/>
      <c r="L204" s="83"/>
      <c r="M204" s="80"/>
      <c r="N204" s="79"/>
      <c r="O204" s="80"/>
      <c r="P204" s="5"/>
    </row>
    <row r="205" ht="18" customHeight="1" spans="1:16">
      <c r="A205" s="77" t="str">
        <f t="shared" si="3"/>
        <v/>
      </c>
      <c r="B205" s="78"/>
      <c r="C205" s="78"/>
      <c r="D205" s="79"/>
      <c r="E205" s="80"/>
      <c r="F205" s="80"/>
      <c r="G205" s="81"/>
      <c r="H205" s="5"/>
      <c r="I205" s="79"/>
      <c r="J205" s="79"/>
      <c r="K205" s="82"/>
      <c r="L205" s="83"/>
      <c r="M205" s="80"/>
      <c r="N205" s="79"/>
      <c r="O205" s="80"/>
      <c r="P205" s="5"/>
    </row>
    <row r="206" ht="18" customHeight="1" spans="1:16">
      <c r="A206" s="77" t="str">
        <f t="shared" si="3"/>
        <v/>
      </c>
      <c r="B206" s="78"/>
      <c r="C206" s="78"/>
      <c r="D206" s="79"/>
      <c r="E206" s="80"/>
      <c r="F206" s="80"/>
      <c r="G206" s="81"/>
      <c r="H206" s="5"/>
      <c r="I206" s="79"/>
      <c r="J206" s="79"/>
      <c r="K206" s="82"/>
      <c r="L206" s="83"/>
      <c r="M206" s="80"/>
      <c r="N206" s="79"/>
      <c r="O206" s="80"/>
      <c r="P206" s="5"/>
    </row>
    <row r="207" ht="18" customHeight="1" spans="1:16">
      <c r="A207" s="77" t="str">
        <f t="shared" si="3"/>
        <v/>
      </c>
      <c r="B207" s="78"/>
      <c r="C207" s="78"/>
      <c r="D207" s="79"/>
      <c r="E207" s="80"/>
      <c r="F207" s="80"/>
      <c r="G207" s="81"/>
      <c r="H207" s="5"/>
      <c r="I207" s="79"/>
      <c r="J207" s="79"/>
      <c r="K207" s="82"/>
      <c r="L207" s="83"/>
      <c r="M207" s="80"/>
      <c r="N207" s="79"/>
      <c r="O207" s="80"/>
      <c r="P207" s="5"/>
    </row>
    <row r="208" ht="18" customHeight="1" spans="1:16">
      <c r="A208" s="77" t="str">
        <f t="shared" si="3"/>
        <v/>
      </c>
      <c r="B208" s="78"/>
      <c r="C208" s="78"/>
      <c r="D208" s="79"/>
      <c r="E208" s="80"/>
      <c r="F208" s="80"/>
      <c r="G208" s="81"/>
      <c r="H208" s="5"/>
      <c r="I208" s="79"/>
      <c r="J208" s="79"/>
      <c r="K208" s="82"/>
      <c r="L208" s="83"/>
      <c r="M208" s="80"/>
      <c r="N208" s="79"/>
      <c r="O208" s="80"/>
      <c r="P208" s="5"/>
    </row>
    <row r="209" ht="18" customHeight="1" spans="1:16">
      <c r="A209" s="77" t="str">
        <f t="shared" si="3"/>
        <v/>
      </c>
      <c r="B209" s="78"/>
      <c r="C209" s="78"/>
      <c r="D209" s="79"/>
      <c r="E209" s="80"/>
      <c r="F209" s="80"/>
      <c r="G209" s="81"/>
      <c r="H209" s="5"/>
      <c r="I209" s="79"/>
      <c r="J209" s="79"/>
      <c r="K209" s="82"/>
      <c r="L209" s="83"/>
      <c r="M209" s="80"/>
      <c r="N209" s="79"/>
      <c r="O209" s="80"/>
      <c r="P209" s="5"/>
    </row>
    <row r="210" ht="18" customHeight="1" spans="1:16">
      <c r="A210" s="77" t="str">
        <f t="shared" si="3"/>
        <v/>
      </c>
      <c r="B210" s="78"/>
      <c r="C210" s="78"/>
      <c r="D210" s="79"/>
      <c r="E210" s="80"/>
      <c r="F210" s="80"/>
      <c r="G210" s="81"/>
      <c r="H210" s="5"/>
      <c r="I210" s="79"/>
      <c r="J210" s="79"/>
      <c r="K210" s="82"/>
      <c r="L210" s="83"/>
      <c r="M210" s="80"/>
      <c r="N210" s="79"/>
      <c r="O210" s="80"/>
      <c r="P210" s="5"/>
    </row>
    <row r="211" ht="18" customHeight="1" spans="1:16">
      <c r="A211" s="77" t="str">
        <f t="shared" si="3"/>
        <v/>
      </c>
      <c r="B211" s="78"/>
      <c r="C211" s="78"/>
      <c r="D211" s="79"/>
      <c r="E211" s="80"/>
      <c r="F211" s="80"/>
      <c r="G211" s="81"/>
      <c r="H211" s="5"/>
      <c r="I211" s="79"/>
      <c r="J211" s="79"/>
      <c r="K211" s="82"/>
      <c r="L211" s="83"/>
      <c r="M211" s="80"/>
      <c r="N211" s="79"/>
      <c r="O211" s="80"/>
      <c r="P211" s="5"/>
    </row>
    <row r="212" ht="18" customHeight="1" spans="1:16">
      <c r="A212" s="77" t="str">
        <f t="shared" si="3"/>
        <v/>
      </c>
      <c r="B212" s="78"/>
      <c r="C212" s="78"/>
      <c r="D212" s="79"/>
      <c r="E212" s="80"/>
      <c r="F212" s="80"/>
      <c r="G212" s="81"/>
      <c r="H212" s="5"/>
      <c r="I212" s="79"/>
      <c r="J212" s="79"/>
      <c r="K212" s="82"/>
      <c r="L212" s="83"/>
      <c r="M212" s="80"/>
      <c r="N212" s="79"/>
      <c r="O212" s="80"/>
      <c r="P212" s="5"/>
    </row>
    <row r="213" ht="18" customHeight="1" spans="1:16">
      <c r="A213" s="77" t="str">
        <f t="shared" si="3"/>
        <v/>
      </c>
      <c r="B213" s="78"/>
      <c r="C213" s="78"/>
      <c r="D213" s="79"/>
      <c r="E213" s="80"/>
      <c r="F213" s="80"/>
      <c r="G213" s="81"/>
      <c r="H213" s="5"/>
      <c r="I213" s="79"/>
      <c r="J213" s="79"/>
      <c r="K213" s="82"/>
      <c r="L213" s="83"/>
      <c r="M213" s="80"/>
      <c r="N213" s="79"/>
      <c r="O213" s="80"/>
      <c r="P213" s="5"/>
    </row>
    <row r="214" ht="18" customHeight="1" spans="1:16">
      <c r="A214" s="77" t="str">
        <f t="shared" si="3"/>
        <v/>
      </c>
      <c r="B214" s="78"/>
      <c r="C214" s="78"/>
      <c r="D214" s="79"/>
      <c r="E214" s="80"/>
      <c r="F214" s="80"/>
      <c r="G214" s="81"/>
      <c r="H214" s="5"/>
      <c r="I214" s="79"/>
      <c r="J214" s="79"/>
      <c r="K214" s="82"/>
      <c r="L214" s="83"/>
      <c r="M214" s="80"/>
      <c r="N214" s="79"/>
      <c r="O214" s="80"/>
      <c r="P214" s="5"/>
    </row>
    <row r="215" ht="18" customHeight="1" spans="1:16">
      <c r="A215" s="77" t="str">
        <f t="shared" si="3"/>
        <v/>
      </c>
      <c r="B215" s="78"/>
      <c r="C215" s="78"/>
      <c r="D215" s="79"/>
      <c r="E215" s="80"/>
      <c r="F215" s="80"/>
      <c r="G215" s="81"/>
      <c r="H215" s="5"/>
      <c r="I215" s="79"/>
      <c r="J215" s="79"/>
      <c r="K215" s="82"/>
      <c r="L215" s="83"/>
      <c r="M215" s="80"/>
      <c r="N215" s="79"/>
      <c r="O215" s="80"/>
      <c r="P215" s="5"/>
    </row>
    <row r="216" ht="18" customHeight="1" spans="1:16">
      <c r="A216" s="77" t="str">
        <f t="shared" si="3"/>
        <v/>
      </c>
      <c r="B216" s="78"/>
      <c r="C216" s="78"/>
      <c r="D216" s="79"/>
      <c r="E216" s="80"/>
      <c r="F216" s="80"/>
      <c r="G216" s="81"/>
      <c r="H216" s="5"/>
      <c r="I216" s="79"/>
      <c r="J216" s="79"/>
      <c r="K216" s="82"/>
      <c r="L216" s="83"/>
      <c r="M216" s="80"/>
      <c r="N216" s="79"/>
      <c r="O216" s="80"/>
      <c r="P216" s="5"/>
    </row>
    <row r="217" ht="18" customHeight="1" spans="1:16">
      <c r="A217" s="77" t="str">
        <f t="shared" si="3"/>
        <v/>
      </c>
      <c r="B217" s="78"/>
      <c r="C217" s="78"/>
      <c r="D217" s="79"/>
      <c r="E217" s="80"/>
      <c r="F217" s="80"/>
      <c r="G217" s="81"/>
      <c r="H217" s="5"/>
      <c r="I217" s="79"/>
      <c r="J217" s="79"/>
      <c r="K217" s="82"/>
      <c r="L217" s="83"/>
      <c r="M217" s="80"/>
      <c r="N217" s="79"/>
      <c r="O217" s="80"/>
      <c r="P217" s="5"/>
    </row>
    <row r="218" ht="18" customHeight="1" spans="1:16">
      <c r="A218" s="77" t="str">
        <f t="shared" si="3"/>
        <v/>
      </c>
      <c r="B218" s="78"/>
      <c r="C218" s="78"/>
      <c r="D218" s="79"/>
      <c r="E218" s="80"/>
      <c r="F218" s="80"/>
      <c r="G218" s="81"/>
      <c r="H218" s="5"/>
      <c r="I218" s="79"/>
      <c r="J218" s="79"/>
      <c r="K218" s="82"/>
      <c r="L218" s="83"/>
      <c r="M218" s="80"/>
      <c r="N218" s="79"/>
      <c r="O218" s="80"/>
      <c r="P218" s="5"/>
    </row>
    <row r="219" ht="18" customHeight="1" spans="1:16">
      <c r="A219" s="77" t="str">
        <f t="shared" si="3"/>
        <v/>
      </c>
      <c r="B219" s="78"/>
      <c r="C219" s="78"/>
      <c r="D219" s="79"/>
      <c r="E219" s="80"/>
      <c r="F219" s="80"/>
      <c r="G219" s="81"/>
      <c r="H219" s="5"/>
      <c r="I219" s="79"/>
      <c r="J219" s="79"/>
      <c r="K219" s="82"/>
      <c r="L219" s="83"/>
      <c r="M219" s="80"/>
      <c r="N219" s="79"/>
      <c r="O219" s="80"/>
      <c r="P219" s="5"/>
    </row>
    <row r="220" ht="18" customHeight="1" spans="1:16">
      <c r="A220" s="77" t="str">
        <f t="shared" si="3"/>
        <v/>
      </c>
      <c r="B220" s="78"/>
      <c r="C220" s="78"/>
      <c r="D220" s="79"/>
      <c r="E220" s="80"/>
      <c r="F220" s="80"/>
      <c r="G220" s="81"/>
      <c r="H220" s="5"/>
      <c r="I220" s="79"/>
      <c r="J220" s="79"/>
      <c r="K220" s="82"/>
      <c r="L220" s="83"/>
      <c r="M220" s="80"/>
      <c r="N220" s="79"/>
      <c r="O220" s="80"/>
      <c r="P220" s="5"/>
    </row>
    <row r="221" ht="18" customHeight="1" spans="1:16">
      <c r="A221" s="77" t="str">
        <f t="shared" si="3"/>
        <v/>
      </c>
      <c r="B221" s="78"/>
      <c r="C221" s="78"/>
      <c r="D221" s="79"/>
      <c r="E221" s="80"/>
      <c r="F221" s="80"/>
      <c r="G221" s="81"/>
      <c r="H221" s="5"/>
      <c r="I221" s="79"/>
      <c r="J221" s="79"/>
      <c r="K221" s="82"/>
      <c r="L221" s="83"/>
      <c r="M221" s="80"/>
      <c r="N221" s="79"/>
      <c r="O221" s="80"/>
      <c r="P221" s="5"/>
    </row>
    <row r="222" ht="18" customHeight="1" spans="1:16">
      <c r="A222" s="77" t="str">
        <f t="shared" si="3"/>
        <v/>
      </c>
      <c r="B222" s="78"/>
      <c r="C222" s="78"/>
      <c r="D222" s="79"/>
      <c r="E222" s="80"/>
      <c r="F222" s="80"/>
      <c r="G222" s="81"/>
      <c r="H222" s="5"/>
      <c r="I222" s="79"/>
      <c r="J222" s="79"/>
      <c r="K222" s="82"/>
      <c r="L222" s="83"/>
      <c r="M222" s="80"/>
      <c r="N222" s="79"/>
      <c r="O222" s="80"/>
      <c r="P222" s="5"/>
    </row>
    <row r="223" ht="18" customHeight="1" spans="1:16">
      <c r="A223" s="77" t="str">
        <f t="shared" si="3"/>
        <v/>
      </c>
      <c r="B223" s="78"/>
      <c r="C223" s="78"/>
      <c r="D223" s="79"/>
      <c r="E223" s="80"/>
      <c r="F223" s="80"/>
      <c r="G223" s="81"/>
      <c r="H223" s="5"/>
      <c r="I223" s="79"/>
      <c r="J223" s="79"/>
      <c r="K223" s="82"/>
      <c r="L223" s="83"/>
      <c r="M223" s="80"/>
      <c r="N223" s="79"/>
      <c r="O223" s="80"/>
      <c r="P223" s="5"/>
    </row>
    <row r="224" ht="18" customHeight="1" spans="1:16">
      <c r="A224" s="77" t="str">
        <f t="shared" si="3"/>
        <v/>
      </c>
      <c r="B224" s="78"/>
      <c r="C224" s="78"/>
      <c r="D224" s="79"/>
      <c r="E224" s="80"/>
      <c r="F224" s="80"/>
      <c r="G224" s="81"/>
      <c r="H224" s="5"/>
      <c r="I224" s="79"/>
      <c r="J224" s="79"/>
      <c r="K224" s="82"/>
      <c r="L224" s="83"/>
      <c r="M224" s="80"/>
      <c r="N224" s="79"/>
      <c r="O224" s="80"/>
      <c r="P224" s="5"/>
    </row>
    <row r="225" ht="18" customHeight="1" spans="1:16">
      <c r="A225" s="77" t="str">
        <f t="shared" si="3"/>
        <v/>
      </c>
      <c r="B225" s="78"/>
      <c r="C225" s="78"/>
      <c r="D225" s="79"/>
      <c r="E225" s="80"/>
      <c r="F225" s="80"/>
      <c r="G225" s="81"/>
      <c r="H225" s="5"/>
      <c r="I225" s="79"/>
      <c r="J225" s="79"/>
      <c r="K225" s="82"/>
      <c r="L225" s="83"/>
      <c r="M225" s="80"/>
      <c r="N225" s="79"/>
      <c r="O225" s="80"/>
      <c r="P225" s="5"/>
    </row>
    <row r="226" ht="18" customHeight="1" spans="1:16">
      <c r="A226" s="77" t="str">
        <f t="shared" si="3"/>
        <v/>
      </c>
      <c r="B226" s="78"/>
      <c r="C226" s="78"/>
      <c r="D226" s="79"/>
      <c r="E226" s="80"/>
      <c r="F226" s="80"/>
      <c r="G226" s="81"/>
      <c r="H226" s="5"/>
      <c r="I226" s="79"/>
      <c r="J226" s="79"/>
      <c r="K226" s="82"/>
      <c r="L226" s="83"/>
      <c r="M226" s="80"/>
      <c r="N226" s="79"/>
      <c r="O226" s="80"/>
      <c r="P226" s="5"/>
    </row>
    <row r="227" ht="18" customHeight="1" spans="1:16">
      <c r="A227" s="77" t="str">
        <f t="shared" si="3"/>
        <v/>
      </c>
      <c r="B227" s="78"/>
      <c r="C227" s="78"/>
      <c r="D227" s="79"/>
      <c r="E227" s="80"/>
      <c r="F227" s="80"/>
      <c r="G227" s="81"/>
      <c r="H227" s="5"/>
      <c r="I227" s="79"/>
      <c r="J227" s="79"/>
      <c r="K227" s="82"/>
      <c r="L227" s="83"/>
      <c r="M227" s="80"/>
      <c r="N227" s="79"/>
      <c r="O227" s="80"/>
      <c r="P227" s="5"/>
    </row>
    <row r="228" ht="18" customHeight="1" spans="1:16">
      <c r="A228" s="77" t="str">
        <f t="shared" si="3"/>
        <v/>
      </c>
      <c r="B228" s="78"/>
      <c r="C228" s="78"/>
      <c r="D228" s="79"/>
      <c r="E228" s="80"/>
      <c r="F228" s="80"/>
      <c r="G228" s="81"/>
      <c r="H228" s="5"/>
      <c r="I228" s="79"/>
      <c r="J228" s="79"/>
      <c r="K228" s="82"/>
      <c r="L228" s="83"/>
      <c r="M228" s="80"/>
      <c r="N228" s="79"/>
      <c r="O228" s="80"/>
      <c r="P228" s="5"/>
    </row>
    <row r="229" ht="18" customHeight="1" spans="1:16">
      <c r="A229" s="77" t="str">
        <f t="shared" si="3"/>
        <v/>
      </c>
      <c r="B229" s="78"/>
      <c r="C229" s="78"/>
      <c r="D229" s="79"/>
      <c r="E229" s="80"/>
      <c r="F229" s="80"/>
      <c r="G229" s="81"/>
      <c r="H229" s="5"/>
      <c r="I229" s="79"/>
      <c r="J229" s="79"/>
      <c r="K229" s="82"/>
      <c r="L229" s="83"/>
      <c r="M229" s="80"/>
      <c r="N229" s="79"/>
      <c r="O229" s="80"/>
      <c r="P229" s="5"/>
    </row>
    <row r="230" ht="18" customHeight="1" spans="1:16">
      <c r="A230" s="77" t="str">
        <f t="shared" si="3"/>
        <v/>
      </c>
      <c r="B230" s="78"/>
      <c r="C230" s="78"/>
      <c r="D230" s="79"/>
      <c r="E230" s="80"/>
      <c r="F230" s="80"/>
      <c r="G230" s="81"/>
      <c r="H230" s="5"/>
      <c r="I230" s="79"/>
      <c r="J230" s="79"/>
      <c r="K230" s="82"/>
      <c r="L230" s="83"/>
      <c r="M230" s="80"/>
      <c r="N230" s="79"/>
      <c r="O230" s="80"/>
      <c r="P230" s="5"/>
    </row>
    <row r="231" ht="18" customHeight="1" spans="1:16">
      <c r="A231" s="77" t="str">
        <f t="shared" si="3"/>
        <v/>
      </c>
      <c r="B231" s="78"/>
      <c r="C231" s="78"/>
      <c r="D231" s="79"/>
      <c r="E231" s="80"/>
      <c r="F231" s="80"/>
      <c r="G231" s="81"/>
      <c r="H231" s="5"/>
      <c r="I231" s="79"/>
      <c r="J231" s="79"/>
      <c r="K231" s="82"/>
      <c r="L231" s="83"/>
      <c r="M231" s="80"/>
      <c r="N231" s="79"/>
      <c r="O231" s="80"/>
      <c r="P231" s="5"/>
    </row>
    <row r="232" ht="18" customHeight="1" spans="1:16">
      <c r="A232" s="77" t="str">
        <f t="shared" si="3"/>
        <v/>
      </c>
      <c r="B232" s="78"/>
      <c r="C232" s="78"/>
      <c r="D232" s="79"/>
      <c r="E232" s="80"/>
      <c r="F232" s="80"/>
      <c r="G232" s="81"/>
      <c r="H232" s="5"/>
      <c r="I232" s="79"/>
      <c r="J232" s="79"/>
      <c r="K232" s="82"/>
      <c r="L232" s="83"/>
      <c r="M232" s="80"/>
      <c r="N232" s="79"/>
      <c r="O232" s="80"/>
      <c r="P232" s="5"/>
    </row>
    <row r="233" ht="18" customHeight="1" spans="1:16">
      <c r="A233" s="77" t="str">
        <f t="shared" si="3"/>
        <v/>
      </c>
      <c r="B233" s="78"/>
      <c r="C233" s="78"/>
      <c r="D233" s="79"/>
      <c r="E233" s="80"/>
      <c r="F233" s="80"/>
      <c r="G233" s="81"/>
      <c r="H233" s="5"/>
      <c r="I233" s="79"/>
      <c r="J233" s="79"/>
      <c r="K233" s="82"/>
      <c r="L233" s="83"/>
      <c r="M233" s="80"/>
      <c r="N233" s="79"/>
      <c r="O233" s="80"/>
      <c r="P233" s="5"/>
    </row>
    <row r="234" ht="18" customHeight="1" spans="1:16">
      <c r="A234" s="77" t="str">
        <f t="shared" si="3"/>
        <v/>
      </c>
      <c r="B234" s="78"/>
      <c r="C234" s="78"/>
      <c r="D234" s="79"/>
      <c r="E234" s="80"/>
      <c r="F234" s="80"/>
      <c r="G234" s="81"/>
      <c r="H234" s="5"/>
      <c r="I234" s="79"/>
      <c r="J234" s="79"/>
      <c r="K234" s="82"/>
      <c r="L234" s="83"/>
      <c r="M234" s="80"/>
      <c r="N234" s="79"/>
      <c r="O234" s="80"/>
      <c r="P234" s="5"/>
    </row>
    <row r="235" ht="18" customHeight="1" spans="1:16">
      <c r="A235" s="77" t="str">
        <f t="shared" si="3"/>
        <v/>
      </c>
      <c r="B235" s="78"/>
      <c r="C235" s="78"/>
      <c r="D235" s="79"/>
      <c r="E235" s="80"/>
      <c r="F235" s="80"/>
      <c r="G235" s="81"/>
      <c r="H235" s="5"/>
      <c r="I235" s="79"/>
      <c r="J235" s="79"/>
      <c r="K235" s="82"/>
      <c r="L235" s="83"/>
      <c r="M235" s="80"/>
      <c r="N235" s="79"/>
      <c r="O235" s="80"/>
      <c r="P235" s="5"/>
    </row>
    <row r="236" ht="18" customHeight="1" spans="1:16">
      <c r="A236" s="77" t="str">
        <f t="shared" si="3"/>
        <v/>
      </c>
      <c r="B236" s="78"/>
      <c r="C236" s="78"/>
      <c r="D236" s="79"/>
      <c r="E236" s="80"/>
      <c r="F236" s="80"/>
      <c r="G236" s="81"/>
      <c r="H236" s="5"/>
      <c r="I236" s="79"/>
      <c r="J236" s="79"/>
      <c r="K236" s="82"/>
      <c r="L236" s="83"/>
      <c r="M236" s="80"/>
      <c r="N236" s="79"/>
      <c r="O236" s="80"/>
      <c r="P236" s="5"/>
    </row>
    <row r="237" ht="18" customHeight="1" spans="1:16">
      <c r="A237" s="77" t="str">
        <f t="shared" si="3"/>
        <v/>
      </c>
      <c r="B237" s="78"/>
      <c r="C237" s="78"/>
      <c r="D237" s="79"/>
      <c r="E237" s="80"/>
      <c r="F237" s="80"/>
      <c r="G237" s="81"/>
      <c r="H237" s="5"/>
      <c r="I237" s="79"/>
      <c r="J237" s="79"/>
      <c r="K237" s="82"/>
      <c r="L237" s="83"/>
      <c r="M237" s="80"/>
      <c r="N237" s="79"/>
      <c r="O237" s="80"/>
      <c r="P237" s="5"/>
    </row>
    <row r="238" ht="18" customHeight="1" spans="1:16">
      <c r="A238" s="77" t="str">
        <f t="shared" si="3"/>
        <v/>
      </c>
      <c r="B238" s="78"/>
      <c r="C238" s="78"/>
      <c r="D238" s="79"/>
      <c r="E238" s="80"/>
      <c r="F238" s="80"/>
      <c r="G238" s="81"/>
      <c r="H238" s="5"/>
      <c r="I238" s="79"/>
      <c r="J238" s="79"/>
      <c r="K238" s="82"/>
      <c r="L238" s="83"/>
      <c r="M238" s="80"/>
      <c r="N238" s="79"/>
      <c r="O238" s="80"/>
      <c r="P238" s="5"/>
    </row>
    <row r="239" ht="18" customHeight="1" spans="1:16">
      <c r="A239" s="77" t="str">
        <f t="shared" si="3"/>
        <v/>
      </c>
      <c r="B239" s="78"/>
      <c r="C239" s="78"/>
      <c r="D239" s="79"/>
      <c r="E239" s="80"/>
      <c r="F239" s="80"/>
      <c r="G239" s="81"/>
      <c r="H239" s="5"/>
      <c r="I239" s="79"/>
      <c r="J239" s="79"/>
      <c r="K239" s="82"/>
      <c r="L239" s="83"/>
      <c r="M239" s="80"/>
      <c r="N239" s="79"/>
      <c r="O239" s="80"/>
      <c r="P239" s="5"/>
    </row>
    <row r="240" ht="18" customHeight="1" spans="1:16">
      <c r="A240" s="77" t="str">
        <f t="shared" si="3"/>
        <v/>
      </c>
      <c r="B240" s="78"/>
      <c r="C240" s="78"/>
      <c r="D240" s="79"/>
      <c r="E240" s="80"/>
      <c r="F240" s="80"/>
      <c r="G240" s="81"/>
      <c r="H240" s="5"/>
      <c r="I240" s="79"/>
      <c r="J240" s="79"/>
      <c r="K240" s="82"/>
      <c r="L240" s="83"/>
      <c r="M240" s="80"/>
      <c r="N240" s="79"/>
      <c r="O240" s="80"/>
      <c r="P240" s="5"/>
    </row>
    <row r="241" ht="18" customHeight="1" spans="1:16">
      <c r="A241" s="77" t="str">
        <f t="shared" si="3"/>
        <v/>
      </c>
      <c r="B241" s="78"/>
      <c r="C241" s="78"/>
      <c r="D241" s="79"/>
      <c r="E241" s="80"/>
      <c r="F241" s="80"/>
      <c r="G241" s="81"/>
      <c r="H241" s="5"/>
      <c r="I241" s="79"/>
      <c r="J241" s="79"/>
      <c r="K241" s="82"/>
      <c r="L241" s="83"/>
      <c r="M241" s="80"/>
      <c r="N241" s="79"/>
      <c r="O241" s="80"/>
      <c r="P241" s="5"/>
    </row>
    <row r="242" ht="18" customHeight="1" spans="1:16">
      <c r="A242" s="77" t="str">
        <f t="shared" si="3"/>
        <v/>
      </c>
      <c r="B242" s="78"/>
      <c r="C242" s="78"/>
      <c r="D242" s="79"/>
      <c r="E242" s="80"/>
      <c r="F242" s="80"/>
      <c r="G242" s="81"/>
      <c r="H242" s="5"/>
      <c r="I242" s="79"/>
      <c r="J242" s="79"/>
      <c r="K242" s="82"/>
      <c r="L242" s="83"/>
      <c r="M242" s="80"/>
      <c r="N242" s="79"/>
      <c r="O242" s="80"/>
      <c r="P242" s="5"/>
    </row>
    <row r="243" ht="18" customHeight="1" spans="1:16">
      <c r="A243" s="77" t="str">
        <f t="shared" si="3"/>
        <v/>
      </c>
      <c r="B243" s="78"/>
      <c r="C243" s="78"/>
      <c r="D243" s="79"/>
      <c r="E243" s="80"/>
      <c r="F243" s="80"/>
      <c r="G243" s="81"/>
      <c r="H243" s="5"/>
      <c r="I243" s="79"/>
      <c r="J243" s="79"/>
      <c r="K243" s="82"/>
      <c r="L243" s="83"/>
      <c r="M243" s="80"/>
      <c r="N243" s="79"/>
      <c r="O243" s="80"/>
      <c r="P243" s="5"/>
    </row>
    <row r="244" ht="18" customHeight="1" spans="1:16">
      <c r="A244" s="77" t="str">
        <f t="shared" si="3"/>
        <v/>
      </c>
      <c r="B244" s="78"/>
      <c r="C244" s="78"/>
      <c r="D244" s="79"/>
      <c r="E244" s="80"/>
      <c r="F244" s="80"/>
      <c r="G244" s="81"/>
      <c r="H244" s="5"/>
      <c r="I244" s="79"/>
      <c r="J244" s="79"/>
      <c r="K244" s="82"/>
      <c r="L244" s="83"/>
      <c r="M244" s="80"/>
      <c r="N244" s="79"/>
      <c r="O244" s="80"/>
      <c r="P244" s="5"/>
    </row>
    <row r="245" ht="18" customHeight="1" spans="1:16">
      <c r="A245" s="77" t="str">
        <f t="shared" si="3"/>
        <v/>
      </c>
      <c r="B245" s="78"/>
      <c r="C245" s="78"/>
      <c r="D245" s="79"/>
      <c r="E245" s="80"/>
      <c r="F245" s="80"/>
      <c r="G245" s="81"/>
      <c r="H245" s="5"/>
      <c r="I245" s="79"/>
      <c r="J245" s="79"/>
      <c r="K245" s="82"/>
      <c r="L245" s="83"/>
      <c r="M245" s="80"/>
      <c r="N245" s="79"/>
      <c r="O245" s="80"/>
      <c r="P245" s="5"/>
    </row>
    <row r="246" ht="18" customHeight="1" spans="1:16">
      <c r="A246" s="77" t="str">
        <f t="shared" si="3"/>
        <v/>
      </c>
      <c r="B246" s="78"/>
      <c r="C246" s="78"/>
      <c r="D246" s="79"/>
      <c r="E246" s="80"/>
      <c r="F246" s="80"/>
      <c r="G246" s="81"/>
      <c r="H246" s="5"/>
      <c r="I246" s="79"/>
      <c r="J246" s="79"/>
      <c r="K246" s="82"/>
      <c r="L246" s="83"/>
      <c r="M246" s="80"/>
      <c r="N246" s="79"/>
      <c r="O246" s="80"/>
      <c r="P246" s="5"/>
    </row>
    <row r="247" ht="18" customHeight="1" spans="1:16">
      <c r="A247" s="77" t="str">
        <f t="shared" si="3"/>
        <v/>
      </c>
      <c r="B247" s="78"/>
      <c r="C247" s="78"/>
      <c r="D247" s="79"/>
      <c r="E247" s="80"/>
      <c r="F247" s="80"/>
      <c r="G247" s="81"/>
      <c r="H247" s="5"/>
      <c r="I247" s="79"/>
      <c r="J247" s="79"/>
      <c r="K247" s="82"/>
      <c r="L247" s="83"/>
      <c r="M247" s="80"/>
      <c r="N247" s="79"/>
      <c r="O247" s="80"/>
      <c r="P247" s="5"/>
    </row>
    <row r="248" ht="18" customHeight="1" spans="1:16">
      <c r="A248" s="77" t="str">
        <f t="shared" si="3"/>
        <v/>
      </c>
      <c r="B248" s="78"/>
      <c r="C248" s="78"/>
      <c r="D248" s="79"/>
      <c r="E248" s="80"/>
      <c r="F248" s="80"/>
      <c r="G248" s="81"/>
      <c r="H248" s="5"/>
      <c r="I248" s="79"/>
      <c r="J248" s="79"/>
      <c r="K248" s="82"/>
      <c r="L248" s="83"/>
      <c r="M248" s="80"/>
      <c r="N248" s="79"/>
      <c r="O248" s="80"/>
      <c r="P248" s="5"/>
    </row>
    <row r="249" ht="18" customHeight="1" spans="1:16">
      <c r="A249" s="77" t="str">
        <f t="shared" si="3"/>
        <v/>
      </c>
      <c r="B249" s="78"/>
      <c r="C249" s="78"/>
      <c r="D249" s="79"/>
      <c r="E249" s="80"/>
      <c r="F249" s="80"/>
      <c r="G249" s="81"/>
      <c r="H249" s="5"/>
      <c r="I249" s="79"/>
      <c r="J249" s="79"/>
      <c r="K249" s="82"/>
      <c r="L249" s="83"/>
      <c r="M249" s="80"/>
      <c r="N249" s="79"/>
      <c r="O249" s="80"/>
      <c r="P249" s="5"/>
    </row>
    <row r="250" ht="18" customHeight="1" spans="1:16">
      <c r="A250" s="77" t="str">
        <f t="shared" si="3"/>
        <v/>
      </c>
      <c r="B250" s="78"/>
      <c r="C250" s="78"/>
      <c r="D250" s="79"/>
      <c r="E250" s="80"/>
      <c r="F250" s="80"/>
      <c r="G250" s="81"/>
      <c r="H250" s="5"/>
      <c r="I250" s="79"/>
      <c r="J250" s="79"/>
      <c r="K250" s="82"/>
      <c r="L250" s="83"/>
      <c r="M250" s="80"/>
      <c r="N250" s="79"/>
      <c r="O250" s="80"/>
      <c r="P250" s="5"/>
    </row>
    <row r="251" ht="18" customHeight="1" spans="1:16">
      <c r="A251" s="77" t="str">
        <f t="shared" si="3"/>
        <v/>
      </c>
      <c r="B251" s="78"/>
      <c r="C251" s="78"/>
      <c r="D251" s="79"/>
      <c r="E251" s="80"/>
      <c r="F251" s="80"/>
      <c r="G251" s="81"/>
      <c r="H251" s="5"/>
      <c r="I251" s="79"/>
      <c r="J251" s="79"/>
      <c r="K251" s="82"/>
      <c r="L251" s="83"/>
      <c r="M251" s="80"/>
      <c r="N251" s="79"/>
      <c r="O251" s="80"/>
      <c r="P251" s="5"/>
    </row>
    <row r="252" ht="18" customHeight="1" spans="1:16">
      <c r="A252" s="77" t="str">
        <f t="shared" si="3"/>
        <v/>
      </c>
      <c r="B252" s="78"/>
      <c r="C252" s="78"/>
      <c r="D252" s="79"/>
      <c r="E252" s="80"/>
      <c r="F252" s="80"/>
      <c r="G252" s="81"/>
      <c r="H252" s="5"/>
      <c r="I252" s="79"/>
      <c r="J252" s="79"/>
      <c r="K252" s="82"/>
      <c r="L252" s="83"/>
      <c r="M252" s="80"/>
      <c r="N252" s="79"/>
      <c r="O252" s="80"/>
      <c r="P252" s="5"/>
    </row>
    <row r="253" ht="18" customHeight="1" spans="1:16">
      <c r="A253" s="77" t="str">
        <f t="shared" si="3"/>
        <v/>
      </c>
      <c r="B253" s="78"/>
      <c r="C253" s="78"/>
      <c r="D253" s="79"/>
      <c r="E253" s="80"/>
      <c r="F253" s="80"/>
      <c r="G253" s="81"/>
      <c r="H253" s="5"/>
      <c r="I253" s="79"/>
      <c r="J253" s="79"/>
      <c r="K253" s="82"/>
      <c r="L253" s="83"/>
      <c r="M253" s="80"/>
      <c r="N253" s="79"/>
      <c r="O253" s="80"/>
      <c r="P253" s="5"/>
    </row>
    <row r="254" ht="18" customHeight="1" spans="1:16">
      <c r="A254" s="77" t="str">
        <f t="shared" si="3"/>
        <v/>
      </c>
      <c r="B254" s="78"/>
      <c r="C254" s="78"/>
      <c r="D254" s="79"/>
      <c r="E254" s="80"/>
      <c r="F254" s="80"/>
      <c r="G254" s="81"/>
      <c r="H254" s="5"/>
      <c r="I254" s="79"/>
      <c r="J254" s="79"/>
      <c r="K254" s="82"/>
      <c r="L254" s="83"/>
      <c r="M254" s="80"/>
      <c r="N254" s="79"/>
      <c r="O254" s="80"/>
      <c r="P254" s="5"/>
    </row>
    <row r="255" ht="18" customHeight="1" spans="1:16">
      <c r="A255" s="77" t="str">
        <f t="shared" si="3"/>
        <v/>
      </c>
      <c r="B255" s="78"/>
      <c r="C255" s="78"/>
      <c r="D255" s="79"/>
      <c r="E255" s="80"/>
      <c r="F255" s="80"/>
      <c r="G255" s="81"/>
      <c r="H255" s="5"/>
      <c r="I255" s="79"/>
      <c r="J255" s="79"/>
      <c r="K255" s="82"/>
      <c r="L255" s="83"/>
      <c r="M255" s="80"/>
      <c r="N255" s="79"/>
      <c r="O255" s="80"/>
      <c r="P255" s="5"/>
    </row>
    <row r="256" ht="18" customHeight="1" spans="1:16">
      <c r="A256" s="77" t="str">
        <f t="shared" si="3"/>
        <v/>
      </c>
      <c r="B256" s="78"/>
      <c r="C256" s="78"/>
      <c r="D256" s="79"/>
      <c r="E256" s="80"/>
      <c r="F256" s="80"/>
      <c r="G256" s="81"/>
      <c r="H256" s="5"/>
      <c r="I256" s="79"/>
      <c r="J256" s="79"/>
      <c r="K256" s="82"/>
      <c r="L256" s="83"/>
      <c r="M256" s="80"/>
      <c r="N256" s="79"/>
      <c r="O256" s="80"/>
      <c r="P256" s="5"/>
    </row>
    <row r="257" ht="18" customHeight="1" spans="1:16">
      <c r="A257" s="77" t="str">
        <f t="shared" si="3"/>
        <v/>
      </c>
      <c r="B257" s="78"/>
      <c r="C257" s="78"/>
      <c r="D257" s="79"/>
      <c r="E257" s="80"/>
      <c r="F257" s="80"/>
      <c r="G257" s="81"/>
      <c r="H257" s="5"/>
      <c r="I257" s="79"/>
      <c r="J257" s="79"/>
      <c r="K257" s="82"/>
      <c r="L257" s="83"/>
      <c r="M257" s="80"/>
      <c r="N257" s="79"/>
      <c r="O257" s="80"/>
      <c r="P257" s="5"/>
    </row>
    <row r="258" ht="18" customHeight="1" spans="1:16">
      <c r="A258" s="77" t="str">
        <f t="shared" si="3"/>
        <v/>
      </c>
      <c r="B258" s="78"/>
      <c r="C258" s="78"/>
      <c r="D258" s="79"/>
      <c r="E258" s="80"/>
      <c r="F258" s="80"/>
      <c r="G258" s="81"/>
      <c r="H258" s="5"/>
      <c r="I258" s="79"/>
      <c r="J258" s="79"/>
      <c r="K258" s="82"/>
      <c r="L258" s="83"/>
      <c r="M258" s="80"/>
      <c r="N258" s="79"/>
      <c r="O258" s="80"/>
      <c r="P258" s="5"/>
    </row>
    <row r="259" ht="18" customHeight="1" spans="1:16">
      <c r="A259" s="77" t="str">
        <f t="shared" si="3"/>
        <v/>
      </c>
      <c r="B259" s="78"/>
      <c r="C259" s="78"/>
      <c r="D259" s="79"/>
      <c r="E259" s="80"/>
      <c r="F259" s="80"/>
      <c r="G259" s="81"/>
      <c r="H259" s="5"/>
      <c r="I259" s="79"/>
      <c r="J259" s="79"/>
      <c r="K259" s="82"/>
      <c r="L259" s="83"/>
      <c r="M259" s="80"/>
      <c r="N259" s="79"/>
      <c r="O259" s="80"/>
      <c r="P259" s="5"/>
    </row>
    <row r="260" ht="18" customHeight="1" spans="1:16">
      <c r="A260" s="77" t="str">
        <f t="shared" ref="A260:A323" si="4">IF($D260="","",ROW()-3)</f>
        <v/>
      </c>
      <c r="B260" s="78"/>
      <c r="C260" s="78"/>
      <c r="D260" s="79"/>
      <c r="E260" s="80"/>
      <c r="F260" s="80"/>
      <c r="G260" s="81"/>
      <c r="H260" s="5"/>
      <c r="I260" s="79"/>
      <c r="J260" s="79"/>
      <c r="K260" s="82"/>
      <c r="L260" s="83"/>
      <c r="M260" s="80"/>
      <c r="N260" s="79"/>
      <c r="O260" s="80"/>
      <c r="P260" s="5"/>
    </row>
    <row r="261" ht="18" customHeight="1" spans="1:16">
      <c r="A261" s="77" t="str">
        <f t="shared" si="4"/>
        <v/>
      </c>
      <c r="B261" s="78"/>
      <c r="C261" s="78"/>
      <c r="D261" s="79"/>
      <c r="E261" s="80"/>
      <c r="F261" s="80"/>
      <c r="G261" s="81"/>
      <c r="H261" s="5"/>
      <c r="I261" s="79"/>
      <c r="J261" s="79"/>
      <c r="K261" s="82"/>
      <c r="L261" s="83"/>
      <c r="M261" s="80"/>
      <c r="N261" s="79"/>
      <c r="O261" s="80"/>
      <c r="P261" s="5"/>
    </row>
    <row r="262" ht="18" customHeight="1" spans="1:16">
      <c r="A262" s="77" t="str">
        <f t="shared" si="4"/>
        <v/>
      </c>
      <c r="B262" s="78"/>
      <c r="C262" s="78"/>
      <c r="D262" s="79"/>
      <c r="E262" s="80"/>
      <c r="F262" s="80"/>
      <c r="G262" s="81"/>
      <c r="H262" s="5"/>
      <c r="I262" s="79"/>
      <c r="J262" s="79"/>
      <c r="K262" s="82"/>
      <c r="L262" s="83"/>
      <c r="M262" s="80"/>
      <c r="N262" s="79"/>
      <c r="O262" s="80"/>
      <c r="P262" s="5"/>
    </row>
    <row r="263" ht="18" customHeight="1" spans="1:16">
      <c r="A263" s="77" t="str">
        <f t="shared" si="4"/>
        <v/>
      </c>
      <c r="B263" s="78"/>
      <c r="C263" s="78"/>
      <c r="D263" s="79"/>
      <c r="E263" s="80"/>
      <c r="F263" s="80"/>
      <c r="G263" s="81"/>
      <c r="H263" s="5"/>
      <c r="I263" s="79"/>
      <c r="J263" s="79"/>
      <c r="K263" s="82"/>
      <c r="L263" s="83"/>
      <c r="M263" s="80"/>
      <c r="N263" s="79"/>
      <c r="O263" s="80"/>
      <c r="P263" s="5"/>
    </row>
    <row r="264" ht="18" customHeight="1" spans="1:16">
      <c r="A264" s="77" t="str">
        <f t="shared" si="4"/>
        <v/>
      </c>
      <c r="B264" s="78"/>
      <c r="C264" s="78"/>
      <c r="D264" s="79"/>
      <c r="E264" s="80"/>
      <c r="F264" s="80"/>
      <c r="G264" s="81"/>
      <c r="H264" s="5"/>
      <c r="I264" s="79"/>
      <c r="J264" s="79"/>
      <c r="K264" s="82"/>
      <c r="L264" s="83"/>
      <c r="M264" s="80"/>
      <c r="N264" s="79"/>
      <c r="O264" s="80"/>
      <c r="P264" s="5"/>
    </row>
    <row r="265" ht="18" customHeight="1" spans="1:16">
      <c r="A265" s="77" t="str">
        <f t="shared" si="4"/>
        <v/>
      </c>
      <c r="B265" s="78"/>
      <c r="C265" s="78"/>
      <c r="D265" s="79"/>
      <c r="E265" s="80"/>
      <c r="F265" s="80"/>
      <c r="G265" s="81"/>
      <c r="H265" s="5"/>
      <c r="I265" s="79"/>
      <c r="J265" s="79"/>
      <c r="K265" s="82"/>
      <c r="L265" s="83"/>
      <c r="M265" s="80"/>
      <c r="N265" s="79"/>
      <c r="O265" s="80"/>
      <c r="P265" s="5"/>
    </row>
    <row r="266" ht="18" customHeight="1" spans="1:16">
      <c r="A266" s="77" t="str">
        <f t="shared" si="4"/>
        <v/>
      </c>
      <c r="B266" s="78"/>
      <c r="C266" s="78"/>
      <c r="D266" s="79"/>
      <c r="E266" s="80"/>
      <c r="F266" s="80"/>
      <c r="G266" s="81"/>
      <c r="H266" s="5"/>
      <c r="I266" s="79"/>
      <c r="J266" s="79"/>
      <c r="K266" s="82"/>
      <c r="L266" s="83"/>
      <c r="M266" s="80"/>
      <c r="N266" s="79"/>
      <c r="O266" s="80"/>
      <c r="P266" s="5"/>
    </row>
    <row r="267" ht="18" customHeight="1" spans="1:16">
      <c r="A267" s="77" t="str">
        <f t="shared" si="4"/>
        <v/>
      </c>
      <c r="B267" s="78"/>
      <c r="C267" s="78"/>
      <c r="D267" s="79"/>
      <c r="E267" s="80"/>
      <c r="F267" s="80"/>
      <c r="G267" s="81"/>
      <c r="H267" s="5"/>
      <c r="I267" s="79"/>
      <c r="J267" s="79"/>
      <c r="K267" s="82"/>
      <c r="L267" s="83"/>
      <c r="M267" s="80"/>
      <c r="N267" s="79"/>
      <c r="O267" s="80"/>
      <c r="P267" s="5"/>
    </row>
    <row r="268" ht="18" customHeight="1" spans="1:16">
      <c r="A268" s="77" t="str">
        <f t="shared" si="4"/>
        <v/>
      </c>
      <c r="B268" s="78"/>
      <c r="C268" s="78"/>
      <c r="D268" s="79"/>
      <c r="E268" s="80"/>
      <c r="F268" s="80"/>
      <c r="G268" s="81"/>
      <c r="H268" s="5"/>
      <c r="I268" s="79"/>
      <c r="J268" s="79"/>
      <c r="K268" s="82"/>
      <c r="L268" s="83"/>
      <c r="M268" s="80"/>
      <c r="N268" s="79"/>
      <c r="O268" s="80"/>
      <c r="P268" s="5"/>
    </row>
    <row r="269" ht="18" customHeight="1" spans="1:16">
      <c r="A269" s="77" t="str">
        <f t="shared" si="4"/>
        <v/>
      </c>
      <c r="B269" s="78"/>
      <c r="C269" s="78"/>
      <c r="D269" s="79"/>
      <c r="E269" s="80"/>
      <c r="F269" s="80"/>
      <c r="G269" s="81"/>
      <c r="H269" s="5"/>
      <c r="I269" s="79"/>
      <c r="J269" s="79"/>
      <c r="K269" s="82"/>
      <c r="L269" s="83"/>
      <c r="M269" s="80"/>
      <c r="N269" s="79"/>
      <c r="O269" s="80"/>
      <c r="P269" s="5"/>
    </row>
    <row r="270" ht="18" customHeight="1" spans="1:16">
      <c r="A270" s="77" t="str">
        <f t="shared" si="4"/>
        <v/>
      </c>
      <c r="B270" s="78"/>
      <c r="C270" s="78"/>
      <c r="D270" s="79"/>
      <c r="E270" s="80"/>
      <c r="F270" s="80"/>
      <c r="G270" s="81"/>
      <c r="H270" s="5"/>
      <c r="I270" s="79"/>
      <c r="J270" s="79"/>
      <c r="K270" s="82"/>
      <c r="L270" s="83"/>
      <c r="M270" s="80"/>
      <c r="N270" s="79"/>
      <c r="O270" s="80"/>
      <c r="P270" s="5"/>
    </row>
    <row r="271" ht="18" customHeight="1" spans="1:16">
      <c r="A271" s="77" t="str">
        <f t="shared" si="4"/>
        <v/>
      </c>
      <c r="B271" s="78"/>
      <c r="C271" s="78"/>
      <c r="D271" s="79"/>
      <c r="E271" s="80"/>
      <c r="F271" s="80"/>
      <c r="G271" s="81"/>
      <c r="H271" s="5"/>
      <c r="I271" s="79"/>
      <c r="J271" s="79"/>
      <c r="K271" s="82"/>
      <c r="L271" s="83"/>
      <c r="M271" s="80"/>
      <c r="N271" s="79"/>
      <c r="O271" s="80"/>
      <c r="P271" s="5"/>
    </row>
    <row r="272" ht="18" customHeight="1" spans="1:16">
      <c r="A272" s="77" t="str">
        <f t="shared" si="4"/>
        <v/>
      </c>
      <c r="B272" s="78"/>
      <c r="C272" s="78"/>
      <c r="D272" s="79"/>
      <c r="E272" s="80"/>
      <c r="F272" s="80"/>
      <c r="G272" s="81"/>
      <c r="H272" s="5"/>
      <c r="I272" s="79"/>
      <c r="J272" s="79"/>
      <c r="K272" s="82"/>
      <c r="L272" s="83"/>
      <c r="M272" s="80"/>
      <c r="N272" s="79"/>
      <c r="O272" s="80"/>
      <c r="P272" s="5"/>
    </row>
    <row r="273" ht="18" customHeight="1" spans="1:16">
      <c r="A273" s="77" t="str">
        <f t="shared" si="4"/>
        <v/>
      </c>
      <c r="B273" s="78"/>
      <c r="C273" s="78"/>
      <c r="D273" s="79"/>
      <c r="E273" s="80"/>
      <c r="F273" s="80"/>
      <c r="G273" s="81"/>
      <c r="H273" s="5"/>
      <c r="I273" s="79"/>
      <c r="J273" s="79"/>
      <c r="K273" s="82"/>
      <c r="L273" s="83"/>
      <c r="M273" s="80"/>
      <c r="N273" s="79"/>
      <c r="O273" s="80"/>
      <c r="P273" s="5"/>
    </row>
    <row r="274" ht="18" customHeight="1" spans="1:16">
      <c r="A274" s="77" t="str">
        <f t="shared" si="4"/>
        <v/>
      </c>
      <c r="B274" s="78"/>
      <c r="C274" s="78"/>
      <c r="D274" s="79"/>
      <c r="E274" s="80"/>
      <c r="F274" s="80"/>
      <c r="G274" s="81"/>
      <c r="H274" s="5"/>
      <c r="I274" s="79"/>
      <c r="J274" s="79"/>
      <c r="K274" s="82"/>
      <c r="L274" s="83"/>
      <c r="M274" s="80"/>
      <c r="N274" s="79"/>
      <c r="O274" s="80"/>
      <c r="P274" s="5"/>
    </row>
    <row r="275" ht="18" customHeight="1" spans="1:16">
      <c r="A275" s="77" t="str">
        <f t="shared" si="4"/>
        <v/>
      </c>
      <c r="B275" s="78"/>
      <c r="C275" s="78"/>
      <c r="D275" s="79"/>
      <c r="E275" s="80"/>
      <c r="F275" s="80"/>
      <c r="G275" s="81"/>
      <c r="H275" s="5"/>
      <c r="I275" s="79"/>
      <c r="J275" s="79"/>
      <c r="K275" s="82"/>
      <c r="L275" s="83"/>
      <c r="M275" s="80"/>
      <c r="N275" s="79"/>
      <c r="O275" s="80"/>
      <c r="P275" s="5"/>
    </row>
    <row r="276" ht="18" customHeight="1" spans="1:16">
      <c r="A276" s="77" t="str">
        <f t="shared" si="4"/>
        <v/>
      </c>
      <c r="B276" s="78"/>
      <c r="C276" s="78"/>
      <c r="D276" s="79"/>
      <c r="E276" s="80"/>
      <c r="F276" s="80"/>
      <c r="G276" s="81"/>
      <c r="H276" s="5"/>
      <c r="I276" s="79"/>
      <c r="J276" s="79"/>
      <c r="K276" s="82"/>
      <c r="L276" s="83"/>
      <c r="M276" s="80"/>
      <c r="N276" s="79"/>
      <c r="O276" s="80"/>
      <c r="P276" s="5"/>
    </row>
    <row r="277" ht="18" customHeight="1" spans="1:16">
      <c r="A277" s="77" t="str">
        <f t="shared" si="4"/>
        <v/>
      </c>
      <c r="B277" s="78"/>
      <c r="C277" s="78"/>
      <c r="D277" s="79"/>
      <c r="E277" s="80"/>
      <c r="F277" s="80"/>
      <c r="G277" s="81"/>
      <c r="H277" s="5"/>
      <c r="I277" s="79"/>
      <c r="J277" s="79"/>
      <c r="K277" s="82"/>
      <c r="L277" s="83"/>
      <c r="M277" s="80"/>
      <c r="N277" s="79"/>
      <c r="O277" s="80"/>
      <c r="P277" s="5"/>
    </row>
    <row r="278" ht="18" customHeight="1" spans="1:16">
      <c r="A278" s="77" t="str">
        <f t="shared" si="4"/>
        <v/>
      </c>
      <c r="B278" s="78"/>
      <c r="C278" s="78"/>
      <c r="D278" s="79"/>
      <c r="E278" s="80"/>
      <c r="F278" s="80"/>
      <c r="G278" s="81"/>
      <c r="H278" s="5"/>
      <c r="I278" s="79"/>
      <c r="J278" s="79"/>
      <c r="K278" s="82"/>
      <c r="L278" s="83"/>
      <c r="M278" s="80"/>
      <c r="N278" s="79"/>
      <c r="O278" s="80"/>
      <c r="P278" s="5"/>
    </row>
    <row r="279" ht="18" customHeight="1" spans="1:16">
      <c r="A279" s="77" t="str">
        <f t="shared" si="4"/>
        <v/>
      </c>
      <c r="B279" s="78"/>
      <c r="C279" s="78"/>
      <c r="D279" s="79"/>
      <c r="E279" s="80"/>
      <c r="F279" s="80"/>
      <c r="G279" s="81"/>
      <c r="H279" s="5"/>
      <c r="I279" s="79"/>
      <c r="J279" s="79"/>
      <c r="K279" s="82"/>
      <c r="L279" s="83"/>
      <c r="M279" s="80"/>
      <c r="N279" s="79"/>
      <c r="O279" s="80"/>
      <c r="P279" s="5"/>
    </row>
    <row r="280" ht="18" customHeight="1" spans="1:16">
      <c r="A280" s="77" t="str">
        <f t="shared" si="4"/>
        <v/>
      </c>
      <c r="B280" s="78"/>
      <c r="C280" s="78"/>
      <c r="D280" s="79"/>
      <c r="E280" s="80"/>
      <c r="F280" s="80"/>
      <c r="G280" s="81"/>
      <c r="H280" s="5"/>
      <c r="I280" s="79"/>
      <c r="J280" s="79"/>
      <c r="K280" s="82"/>
      <c r="L280" s="83"/>
      <c r="M280" s="80"/>
      <c r="N280" s="79"/>
      <c r="O280" s="80"/>
      <c r="P280" s="5"/>
    </row>
    <row r="281" ht="18" customHeight="1" spans="1:16">
      <c r="A281" s="77" t="str">
        <f t="shared" si="4"/>
        <v/>
      </c>
      <c r="B281" s="78"/>
      <c r="C281" s="78"/>
      <c r="D281" s="79"/>
      <c r="E281" s="80"/>
      <c r="F281" s="80"/>
      <c r="G281" s="81"/>
      <c r="H281" s="5"/>
      <c r="I281" s="79"/>
      <c r="J281" s="79"/>
      <c r="K281" s="82"/>
      <c r="L281" s="83"/>
      <c r="M281" s="80"/>
      <c r="N281" s="79"/>
      <c r="O281" s="80"/>
      <c r="P281" s="5"/>
    </row>
    <row r="282" ht="18" customHeight="1" spans="1:16">
      <c r="A282" s="77" t="str">
        <f t="shared" si="4"/>
        <v/>
      </c>
      <c r="B282" s="78"/>
      <c r="C282" s="78"/>
      <c r="D282" s="79"/>
      <c r="E282" s="80"/>
      <c r="F282" s="80"/>
      <c r="G282" s="81"/>
      <c r="H282" s="5"/>
      <c r="I282" s="79"/>
      <c r="J282" s="79"/>
      <c r="K282" s="82"/>
      <c r="L282" s="83"/>
      <c r="M282" s="80"/>
      <c r="N282" s="79"/>
      <c r="O282" s="80"/>
      <c r="P282" s="5"/>
    </row>
    <row r="283" ht="18" customHeight="1" spans="1:16">
      <c r="A283" s="77" t="str">
        <f t="shared" si="4"/>
        <v/>
      </c>
      <c r="B283" s="78"/>
      <c r="C283" s="78"/>
      <c r="D283" s="79"/>
      <c r="E283" s="80"/>
      <c r="F283" s="80"/>
      <c r="G283" s="81"/>
      <c r="H283" s="5"/>
      <c r="I283" s="79"/>
      <c r="J283" s="79"/>
      <c r="K283" s="82"/>
      <c r="L283" s="83"/>
      <c r="M283" s="80"/>
      <c r="N283" s="79"/>
      <c r="O283" s="80"/>
      <c r="P283" s="5"/>
    </row>
    <row r="284" ht="18" customHeight="1" spans="1:16">
      <c r="A284" s="77" t="str">
        <f t="shared" si="4"/>
        <v/>
      </c>
      <c r="B284" s="78"/>
      <c r="C284" s="78"/>
      <c r="D284" s="79"/>
      <c r="E284" s="80"/>
      <c r="F284" s="80"/>
      <c r="G284" s="81"/>
      <c r="H284" s="5"/>
      <c r="I284" s="79"/>
      <c r="J284" s="79"/>
      <c r="K284" s="82"/>
      <c r="L284" s="83"/>
      <c r="M284" s="80"/>
      <c r="N284" s="79"/>
      <c r="O284" s="80"/>
      <c r="P284" s="5"/>
    </row>
    <row r="285" ht="18" customHeight="1" spans="1:16">
      <c r="A285" s="77" t="str">
        <f t="shared" si="4"/>
        <v/>
      </c>
      <c r="B285" s="78"/>
      <c r="C285" s="78"/>
      <c r="D285" s="79"/>
      <c r="E285" s="80"/>
      <c r="F285" s="80"/>
      <c r="G285" s="81"/>
      <c r="H285" s="5"/>
      <c r="I285" s="79"/>
      <c r="J285" s="79"/>
      <c r="K285" s="82"/>
      <c r="L285" s="83"/>
      <c r="M285" s="80"/>
      <c r="N285" s="79"/>
      <c r="O285" s="80"/>
      <c r="P285" s="5"/>
    </row>
    <row r="286" ht="18" customHeight="1" spans="1:16">
      <c r="A286" s="77" t="str">
        <f t="shared" si="4"/>
        <v/>
      </c>
      <c r="B286" s="78"/>
      <c r="C286" s="78"/>
      <c r="D286" s="79"/>
      <c r="E286" s="80"/>
      <c r="F286" s="80"/>
      <c r="G286" s="81"/>
      <c r="H286" s="5"/>
      <c r="I286" s="79"/>
      <c r="J286" s="79"/>
      <c r="K286" s="82"/>
      <c r="L286" s="83"/>
      <c r="M286" s="80"/>
      <c r="N286" s="79"/>
      <c r="O286" s="80"/>
      <c r="P286" s="5"/>
    </row>
    <row r="287" ht="18" customHeight="1" spans="1:16">
      <c r="A287" s="77" t="str">
        <f t="shared" si="4"/>
        <v/>
      </c>
      <c r="B287" s="78"/>
      <c r="C287" s="78"/>
      <c r="D287" s="79"/>
      <c r="E287" s="80"/>
      <c r="F287" s="80"/>
      <c r="G287" s="81"/>
      <c r="H287" s="5"/>
      <c r="I287" s="79"/>
      <c r="J287" s="79"/>
      <c r="K287" s="82"/>
      <c r="L287" s="83"/>
      <c r="M287" s="80"/>
      <c r="N287" s="79"/>
      <c r="O287" s="80"/>
      <c r="P287" s="5"/>
    </row>
    <row r="288" ht="18" customHeight="1" spans="1:16">
      <c r="A288" s="77" t="str">
        <f t="shared" si="4"/>
        <v/>
      </c>
      <c r="B288" s="78"/>
      <c r="C288" s="78"/>
      <c r="D288" s="79"/>
      <c r="E288" s="80"/>
      <c r="F288" s="80"/>
      <c r="G288" s="81"/>
      <c r="H288" s="5"/>
      <c r="I288" s="79"/>
      <c r="J288" s="79"/>
      <c r="K288" s="82"/>
      <c r="L288" s="83"/>
      <c r="M288" s="80"/>
      <c r="N288" s="79"/>
      <c r="O288" s="80"/>
      <c r="P288" s="5"/>
    </row>
    <row r="289" ht="18" customHeight="1" spans="1:16">
      <c r="A289" s="77" t="str">
        <f t="shared" si="4"/>
        <v/>
      </c>
      <c r="B289" s="78"/>
      <c r="C289" s="78"/>
      <c r="D289" s="79"/>
      <c r="E289" s="80"/>
      <c r="F289" s="80"/>
      <c r="G289" s="81"/>
      <c r="H289" s="5"/>
      <c r="I289" s="79"/>
      <c r="J289" s="79"/>
      <c r="K289" s="82"/>
      <c r="L289" s="83"/>
      <c r="M289" s="80"/>
      <c r="N289" s="79"/>
      <c r="O289" s="80"/>
      <c r="P289" s="5"/>
    </row>
    <row r="290" ht="18" customHeight="1" spans="1:16">
      <c r="A290" s="77" t="str">
        <f t="shared" si="4"/>
        <v/>
      </c>
      <c r="B290" s="78"/>
      <c r="C290" s="78"/>
      <c r="D290" s="79"/>
      <c r="E290" s="80"/>
      <c r="F290" s="80"/>
      <c r="G290" s="81"/>
      <c r="H290" s="5"/>
      <c r="I290" s="79"/>
      <c r="J290" s="79"/>
      <c r="K290" s="82"/>
      <c r="L290" s="83"/>
      <c r="M290" s="80"/>
      <c r="N290" s="79"/>
      <c r="O290" s="80"/>
      <c r="P290" s="5"/>
    </row>
    <row r="291" ht="18" customHeight="1" spans="1:16">
      <c r="A291" s="77" t="str">
        <f t="shared" si="4"/>
        <v/>
      </c>
      <c r="B291" s="78"/>
      <c r="C291" s="78"/>
      <c r="D291" s="79"/>
      <c r="E291" s="80"/>
      <c r="F291" s="80"/>
      <c r="G291" s="81"/>
      <c r="H291" s="5"/>
      <c r="I291" s="79"/>
      <c r="J291" s="79"/>
      <c r="K291" s="82"/>
      <c r="L291" s="83"/>
      <c r="M291" s="80"/>
      <c r="N291" s="79"/>
      <c r="O291" s="80"/>
      <c r="P291" s="5"/>
    </row>
    <row r="292" ht="18" customHeight="1" spans="1:16">
      <c r="A292" s="77" t="str">
        <f t="shared" si="4"/>
        <v/>
      </c>
      <c r="B292" s="78"/>
      <c r="C292" s="78"/>
      <c r="D292" s="79"/>
      <c r="E292" s="80"/>
      <c r="F292" s="80"/>
      <c r="G292" s="81"/>
      <c r="H292" s="5"/>
      <c r="I292" s="79"/>
      <c r="J292" s="79"/>
      <c r="K292" s="82"/>
      <c r="L292" s="83"/>
      <c r="M292" s="80"/>
      <c r="N292" s="79"/>
      <c r="O292" s="80"/>
      <c r="P292" s="5"/>
    </row>
    <row r="293" ht="18" customHeight="1" spans="1:16">
      <c r="A293" s="77" t="str">
        <f t="shared" si="4"/>
        <v/>
      </c>
      <c r="B293" s="78"/>
      <c r="C293" s="78"/>
      <c r="D293" s="79"/>
      <c r="E293" s="80"/>
      <c r="F293" s="80"/>
      <c r="G293" s="81"/>
      <c r="H293" s="5"/>
      <c r="I293" s="79"/>
      <c r="J293" s="79"/>
      <c r="K293" s="82"/>
      <c r="L293" s="83"/>
      <c r="M293" s="80"/>
      <c r="N293" s="79"/>
      <c r="O293" s="80"/>
      <c r="P293" s="5"/>
    </row>
    <row r="294" ht="18" customHeight="1" spans="1:16">
      <c r="A294" s="77" t="str">
        <f t="shared" si="4"/>
        <v/>
      </c>
      <c r="B294" s="78"/>
      <c r="C294" s="78"/>
      <c r="D294" s="79"/>
      <c r="E294" s="80"/>
      <c r="F294" s="80"/>
      <c r="G294" s="81"/>
      <c r="H294" s="5"/>
      <c r="I294" s="79"/>
      <c r="J294" s="79"/>
      <c r="K294" s="82"/>
      <c r="L294" s="83"/>
      <c r="M294" s="80"/>
      <c r="N294" s="79"/>
      <c r="O294" s="80"/>
      <c r="P294" s="5"/>
    </row>
    <row r="295" ht="18" customHeight="1" spans="1:16">
      <c r="A295" s="77" t="str">
        <f t="shared" si="4"/>
        <v/>
      </c>
      <c r="B295" s="78"/>
      <c r="C295" s="78"/>
      <c r="D295" s="79"/>
      <c r="E295" s="80"/>
      <c r="F295" s="80"/>
      <c r="G295" s="81"/>
      <c r="H295" s="5"/>
      <c r="I295" s="79"/>
      <c r="J295" s="79"/>
      <c r="K295" s="82"/>
      <c r="L295" s="83"/>
      <c r="M295" s="80"/>
      <c r="N295" s="79"/>
      <c r="O295" s="80"/>
      <c r="P295" s="5"/>
    </row>
    <row r="296" ht="18" customHeight="1" spans="1:16">
      <c r="A296" s="77" t="str">
        <f t="shared" si="4"/>
        <v/>
      </c>
      <c r="B296" s="78"/>
      <c r="C296" s="78"/>
      <c r="D296" s="79"/>
      <c r="E296" s="80"/>
      <c r="F296" s="80"/>
      <c r="G296" s="81"/>
      <c r="H296" s="5"/>
      <c r="I296" s="79"/>
      <c r="J296" s="79"/>
      <c r="K296" s="82"/>
      <c r="L296" s="83"/>
      <c r="M296" s="80"/>
      <c r="N296" s="79"/>
      <c r="O296" s="80"/>
      <c r="P296" s="5"/>
    </row>
    <row r="297" ht="18" customHeight="1" spans="1:16">
      <c r="A297" s="77" t="str">
        <f t="shared" si="4"/>
        <v/>
      </c>
      <c r="B297" s="78"/>
      <c r="C297" s="78"/>
      <c r="D297" s="79"/>
      <c r="E297" s="80"/>
      <c r="F297" s="80"/>
      <c r="G297" s="81"/>
      <c r="H297" s="5"/>
      <c r="I297" s="79"/>
      <c r="J297" s="79"/>
      <c r="K297" s="82"/>
      <c r="L297" s="83"/>
      <c r="M297" s="80"/>
      <c r="N297" s="79"/>
      <c r="O297" s="80"/>
      <c r="P297" s="5"/>
    </row>
    <row r="298" ht="18" customHeight="1" spans="1:16">
      <c r="A298" s="77" t="str">
        <f t="shared" si="4"/>
        <v/>
      </c>
      <c r="B298" s="78"/>
      <c r="C298" s="78"/>
      <c r="D298" s="79"/>
      <c r="E298" s="80"/>
      <c r="F298" s="80"/>
      <c r="G298" s="81"/>
      <c r="H298" s="5"/>
      <c r="I298" s="79"/>
      <c r="J298" s="79"/>
      <c r="K298" s="82"/>
      <c r="L298" s="83"/>
      <c r="M298" s="80"/>
      <c r="N298" s="79"/>
      <c r="O298" s="80"/>
      <c r="P298" s="5"/>
    </row>
    <row r="299" ht="18" customHeight="1" spans="1:16">
      <c r="A299" s="77" t="str">
        <f t="shared" si="4"/>
        <v/>
      </c>
      <c r="B299" s="78"/>
      <c r="C299" s="78"/>
      <c r="D299" s="79"/>
      <c r="E299" s="80"/>
      <c r="F299" s="80"/>
      <c r="G299" s="81"/>
      <c r="H299" s="5"/>
      <c r="I299" s="79"/>
      <c r="J299" s="79"/>
      <c r="K299" s="82"/>
      <c r="L299" s="83"/>
      <c r="M299" s="80"/>
      <c r="N299" s="79"/>
      <c r="O299" s="80"/>
      <c r="P299" s="5"/>
    </row>
    <row r="300" ht="18" customHeight="1" spans="1:16">
      <c r="A300" s="77" t="str">
        <f t="shared" si="4"/>
        <v/>
      </c>
      <c r="B300" s="78"/>
      <c r="C300" s="78"/>
      <c r="D300" s="79"/>
      <c r="E300" s="80"/>
      <c r="F300" s="80"/>
      <c r="G300" s="81"/>
      <c r="H300" s="5"/>
      <c r="I300" s="79"/>
      <c r="J300" s="79"/>
      <c r="K300" s="82"/>
      <c r="L300" s="83"/>
      <c r="M300" s="80"/>
      <c r="N300" s="79"/>
      <c r="O300" s="80"/>
      <c r="P300" s="5"/>
    </row>
    <row r="301" ht="18" customHeight="1" spans="1:16">
      <c r="A301" s="77" t="str">
        <f t="shared" si="4"/>
        <v/>
      </c>
      <c r="B301" s="78"/>
      <c r="C301" s="78"/>
      <c r="D301" s="79"/>
      <c r="E301" s="80"/>
      <c r="F301" s="80"/>
      <c r="G301" s="81"/>
      <c r="H301" s="5"/>
      <c r="I301" s="79"/>
      <c r="J301" s="79"/>
      <c r="K301" s="82"/>
      <c r="L301" s="83"/>
      <c r="M301" s="80"/>
      <c r="N301" s="79"/>
      <c r="O301" s="80"/>
      <c r="P301" s="5"/>
    </row>
    <row r="302" ht="18" customHeight="1" spans="1:16">
      <c r="A302" s="77" t="str">
        <f t="shared" si="4"/>
        <v/>
      </c>
      <c r="B302" s="78"/>
      <c r="C302" s="78"/>
      <c r="D302" s="79"/>
      <c r="E302" s="80"/>
      <c r="F302" s="80"/>
      <c r="G302" s="81"/>
      <c r="H302" s="5"/>
      <c r="I302" s="79"/>
      <c r="J302" s="79"/>
      <c r="K302" s="82"/>
      <c r="L302" s="83"/>
      <c r="M302" s="80"/>
      <c r="N302" s="79"/>
      <c r="O302" s="80"/>
      <c r="P302" s="5"/>
    </row>
    <row r="303" ht="18" customHeight="1" spans="1:16">
      <c r="A303" s="77" t="str">
        <f t="shared" si="4"/>
        <v/>
      </c>
      <c r="B303" s="78"/>
      <c r="C303" s="78"/>
      <c r="D303" s="79"/>
      <c r="E303" s="80"/>
      <c r="F303" s="80"/>
      <c r="G303" s="81"/>
      <c r="H303" s="5"/>
      <c r="I303" s="79"/>
      <c r="J303" s="79"/>
      <c r="K303" s="82"/>
      <c r="L303" s="83"/>
      <c r="M303" s="80"/>
      <c r="N303" s="79"/>
      <c r="O303" s="80"/>
      <c r="P303" s="5"/>
    </row>
    <row r="304" ht="18" customHeight="1" spans="1:16">
      <c r="A304" s="77" t="str">
        <f t="shared" si="4"/>
        <v/>
      </c>
      <c r="B304" s="78"/>
      <c r="C304" s="78"/>
      <c r="D304" s="79"/>
      <c r="E304" s="80"/>
      <c r="F304" s="80"/>
      <c r="G304" s="81"/>
      <c r="H304" s="5"/>
      <c r="I304" s="79"/>
      <c r="J304" s="79"/>
      <c r="K304" s="82"/>
      <c r="L304" s="83"/>
      <c r="M304" s="80"/>
      <c r="N304" s="79"/>
      <c r="O304" s="80"/>
      <c r="P304" s="5"/>
    </row>
    <row r="305" ht="18" customHeight="1" spans="1:16">
      <c r="A305" s="77" t="str">
        <f t="shared" si="4"/>
        <v/>
      </c>
      <c r="B305" s="78"/>
      <c r="C305" s="78"/>
      <c r="D305" s="79"/>
      <c r="E305" s="80"/>
      <c r="F305" s="80"/>
      <c r="G305" s="81"/>
      <c r="H305" s="5"/>
      <c r="I305" s="79"/>
      <c r="J305" s="79"/>
      <c r="K305" s="82"/>
      <c r="L305" s="83"/>
      <c r="M305" s="80"/>
      <c r="N305" s="79"/>
      <c r="O305" s="80"/>
      <c r="P305" s="5"/>
    </row>
    <row r="306" ht="18" customHeight="1" spans="1:16">
      <c r="A306" s="77" t="str">
        <f t="shared" si="4"/>
        <v/>
      </c>
      <c r="B306" s="78"/>
      <c r="C306" s="78"/>
      <c r="D306" s="79"/>
      <c r="E306" s="80"/>
      <c r="F306" s="80"/>
      <c r="G306" s="81"/>
      <c r="H306" s="5"/>
      <c r="I306" s="79"/>
      <c r="J306" s="79"/>
      <c r="K306" s="82"/>
      <c r="L306" s="83"/>
      <c r="M306" s="80"/>
      <c r="N306" s="79"/>
      <c r="O306" s="80"/>
      <c r="P306" s="5"/>
    </row>
    <row r="307" ht="18" customHeight="1" spans="1:16">
      <c r="A307" s="77" t="str">
        <f t="shared" si="4"/>
        <v/>
      </c>
      <c r="B307" s="78"/>
      <c r="C307" s="78"/>
      <c r="D307" s="79"/>
      <c r="E307" s="80"/>
      <c r="F307" s="80"/>
      <c r="G307" s="81"/>
      <c r="H307" s="5"/>
      <c r="I307" s="79"/>
      <c r="J307" s="79"/>
      <c r="K307" s="82"/>
      <c r="L307" s="83"/>
      <c r="M307" s="80"/>
      <c r="N307" s="79"/>
      <c r="O307" s="80"/>
      <c r="P307" s="5"/>
    </row>
    <row r="308" ht="18" customHeight="1" spans="1:16">
      <c r="A308" s="77" t="str">
        <f t="shared" si="4"/>
        <v/>
      </c>
      <c r="B308" s="78"/>
      <c r="C308" s="78"/>
      <c r="D308" s="79"/>
      <c r="E308" s="80"/>
      <c r="F308" s="80"/>
      <c r="G308" s="81"/>
      <c r="H308" s="5"/>
      <c r="I308" s="79"/>
      <c r="J308" s="79"/>
      <c r="K308" s="82"/>
      <c r="L308" s="83"/>
      <c r="M308" s="80"/>
      <c r="N308" s="79"/>
      <c r="O308" s="80"/>
      <c r="P308" s="5"/>
    </row>
    <row r="309" ht="18" customHeight="1" spans="1:16">
      <c r="A309" s="77" t="str">
        <f t="shared" si="4"/>
        <v/>
      </c>
      <c r="B309" s="78"/>
      <c r="C309" s="78"/>
      <c r="D309" s="79"/>
      <c r="E309" s="80"/>
      <c r="F309" s="80"/>
      <c r="G309" s="81"/>
      <c r="H309" s="5"/>
      <c r="I309" s="79"/>
      <c r="J309" s="79"/>
      <c r="K309" s="82"/>
      <c r="L309" s="83"/>
      <c r="M309" s="80"/>
      <c r="N309" s="79"/>
      <c r="O309" s="80"/>
      <c r="P309" s="5"/>
    </row>
    <row r="310" ht="18" customHeight="1" spans="1:16">
      <c r="A310" s="77" t="str">
        <f t="shared" si="4"/>
        <v/>
      </c>
      <c r="B310" s="78"/>
      <c r="C310" s="78"/>
      <c r="D310" s="79"/>
      <c r="E310" s="80"/>
      <c r="F310" s="80"/>
      <c r="G310" s="81"/>
      <c r="H310" s="5"/>
      <c r="I310" s="79"/>
      <c r="J310" s="79"/>
      <c r="K310" s="82"/>
      <c r="L310" s="83"/>
      <c r="M310" s="80"/>
      <c r="N310" s="79"/>
      <c r="O310" s="80"/>
      <c r="P310" s="5"/>
    </row>
    <row r="311" ht="18" customHeight="1" spans="1:16">
      <c r="A311" s="77" t="str">
        <f t="shared" si="4"/>
        <v/>
      </c>
      <c r="B311" s="78"/>
      <c r="C311" s="78"/>
      <c r="D311" s="79"/>
      <c r="E311" s="80"/>
      <c r="F311" s="80"/>
      <c r="G311" s="81"/>
      <c r="H311" s="5"/>
      <c r="I311" s="79"/>
      <c r="J311" s="79"/>
      <c r="K311" s="82"/>
      <c r="L311" s="83"/>
      <c r="M311" s="80"/>
      <c r="N311" s="79"/>
      <c r="O311" s="80"/>
      <c r="P311" s="5"/>
    </row>
    <row r="312" ht="18" customHeight="1" spans="1:16">
      <c r="A312" s="77" t="str">
        <f t="shared" si="4"/>
        <v/>
      </c>
      <c r="B312" s="78"/>
      <c r="C312" s="78"/>
      <c r="D312" s="79"/>
      <c r="E312" s="80"/>
      <c r="F312" s="80"/>
      <c r="G312" s="81"/>
      <c r="H312" s="5"/>
      <c r="I312" s="79"/>
      <c r="J312" s="79"/>
      <c r="K312" s="82"/>
      <c r="L312" s="83"/>
      <c r="M312" s="80"/>
      <c r="N312" s="79"/>
      <c r="O312" s="80"/>
      <c r="P312" s="5"/>
    </row>
    <row r="313" ht="18" customHeight="1" spans="1:16">
      <c r="A313" s="77" t="str">
        <f t="shared" si="4"/>
        <v/>
      </c>
      <c r="B313" s="78"/>
      <c r="C313" s="78"/>
      <c r="D313" s="79"/>
      <c r="E313" s="80"/>
      <c r="F313" s="80"/>
      <c r="G313" s="81"/>
      <c r="H313" s="5"/>
      <c r="I313" s="79"/>
      <c r="J313" s="79"/>
      <c r="K313" s="82"/>
      <c r="L313" s="83"/>
      <c r="M313" s="80"/>
      <c r="N313" s="79"/>
      <c r="O313" s="80"/>
      <c r="P313" s="5"/>
    </row>
    <row r="314" ht="18" customHeight="1" spans="1:16">
      <c r="A314" s="77" t="str">
        <f t="shared" si="4"/>
        <v/>
      </c>
      <c r="B314" s="78"/>
      <c r="C314" s="78"/>
      <c r="D314" s="79"/>
      <c r="E314" s="80"/>
      <c r="F314" s="80"/>
      <c r="G314" s="81"/>
      <c r="H314" s="5"/>
      <c r="I314" s="79"/>
      <c r="J314" s="79"/>
      <c r="K314" s="82"/>
      <c r="L314" s="83"/>
      <c r="M314" s="80"/>
      <c r="N314" s="79"/>
      <c r="O314" s="80"/>
      <c r="P314" s="5"/>
    </row>
    <row r="315" ht="18" customHeight="1" spans="1:16">
      <c r="A315" s="77" t="str">
        <f t="shared" si="4"/>
        <v/>
      </c>
      <c r="B315" s="78"/>
      <c r="C315" s="78"/>
      <c r="D315" s="79"/>
      <c r="E315" s="80"/>
      <c r="F315" s="80"/>
      <c r="G315" s="81"/>
      <c r="H315" s="5"/>
      <c r="I315" s="79"/>
      <c r="J315" s="79"/>
      <c r="K315" s="82"/>
      <c r="L315" s="83"/>
      <c r="M315" s="80"/>
      <c r="N315" s="79"/>
      <c r="O315" s="80"/>
      <c r="P315" s="5"/>
    </row>
    <row r="316" ht="18" customHeight="1" spans="1:16">
      <c r="A316" s="77" t="str">
        <f t="shared" si="4"/>
        <v/>
      </c>
      <c r="B316" s="78"/>
      <c r="C316" s="78"/>
      <c r="D316" s="79"/>
      <c r="E316" s="80"/>
      <c r="F316" s="80"/>
      <c r="G316" s="81"/>
      <c r="H316" s="5"/>
      <c r="I316" s="79"/>
      <c r="J316" s="79"/>
      <c r="K316" s="82"/>
      <c r="L316" s="83"/>
      <c r="M316" s="80"/>
      <c r="N316" s="79"/>
      <c r="O316" s="80"/>
      <c r="P316" s="5"/>
    </row>
    <row r="317" ht="18" customHeight="1" spans="1:16">
      <c r="A317" s="77" t="str">
        <f t="shared" si="4"/>
        <v/>
      </c>
      <c r="B317" s="78"/>
      <c r="C317" s="78"/>
      <c r="D317" s="79"/>
      <c r="E317" s="80"/>
      <c r="F317" s="80"/>
      <c r="G317" s="81"/>
      <c r="H317" s="5"/>
      <c r="I317" s="79"/>
      <c r="J317" s="79"/>
      <c r="K317" s="82"/>
      <c r="L317" s="83"/>
      <c r="M317" s="80"/>
      <c r="N317" s="79"/>
      <c r="O317" s="80"/>
      <c r="P317" s="5"/>
    </row>
    <row r="318" ht="18" customHeight="1" spans="1:16">
      <c r="A318" s="77" t="str">
        <f t="shared" si="4"/>
        <v/>
      </c>
      <c r="B318" s="78"/>
      <c r="C318" s="78"/>
      <c r="D318" s="79"/>
      <c r="E318" s="80"/>
      <c r="F318" s="80"/>
      <c r="G318" s="81"/>
      <c r="H318" s="5"/>
      <c r="I318" s="79"/>
      <c r="J318" s="79"/>
      <c r="K318" s="82"/>
      <c r="L318" s="83"/>
      <c r="M318" s="80"/>
      <c r="N318" s="79"/>
      <c r="O318" s="80"/>
      <c r="P318" s="5"/>
    </row>
    <row r="319" ht="18" customHeight="1" spans="1:16">
      <c r="A319" s="77" t="str">
        <f t="shared" si="4"/>
        <v/>
      </c>
      <c r="B319" s="78"/>
      <c r="C319" s="78"/>
      <c r="D319" s="79"/>
      <c r="E319" s="80"/>
      <c r="F319" s="80"/>
      <c r="G319" s="81"/>
      <c r="H319" s="5"/>
      <c r="I319" s="79"/>
      <c r="J319" s="79"/>
      <c r="K319" s="82"/>
      <c r="L319" s="83"/>
      <c r="M319" s="80"/>
      <c r="N319" s="79"/>
      <c r="O319" s="80"/>
      <c r="P319" s="5"/>
    </row>
    <row r="320" ht="18" customHeight="1" spans="1:16">
      <c r="A320" s="77" t="str">
        <f t="shared" si="4"/>
        <v/>
      </c>
      <c r="B320" s="78"/>
      <c r="C320" s="78"/>
      <c r="D320" s="79"/>
      <c r="E320" s="80"/>
      <c r="F320" s="80"/>
      <c r="G320" s="81"/>
      <c r="H320" s="5"/>
      <c r="I320" s="79"/>
      <c r="J320" s="79"/>
      <c r="K320" s="82"/>
      <c r="L320" s="83"/>
      <c r="M320" s="80"/>
      <c r="N320" s="79"/>
      <c r="O320" s="80"/>
      <c r="P320" s="5"/>
    </row>
    <row r="321" ht="18" customHeight="1" spans="1:16">
      <c r="A321" s="77" t="str">
        <f t="shared" si="4"/>
        <v/>
      </c>
      <c r="B321" s="78"/>
      <c r="C321" s="78"/>
      <c r="D321" s="79"/>
      <c r="E321" s="80"/>
      <c r="F321" s="80"/>
      <c r="G321" s="81"/>
      <c r="H321" s="5"/>
      <c r="I321" s="79"/>
      <c r="J321" s="79"/>
      <c r="K321" s="82"/>
      <c r="L321" s="83"/>
      <c r="M321" s="80"/>
      <c r="N321" s="79"/>
      <c r="O321" s="80"/>
      <c r="P321" s="5"/>
    </row>
    <row r="322" ht="18" customHeight="1" spans="1:16">
      <c r="A322" s="77" t="str">
        <f t="shared" si="4"/>
        <v/>
      </c>
      <c r="B322" s="78"/>
      <c r="C322" s="78"/>
      <c r="D322" s="79"/>
      <c r="E322" s="80"/>
      <c r="F322" s="80"/>
      <c r="G322" s="81"/>
      <c r="H322" s="5"/>
      <c r="I322" s="79"/>
      <c r="J322" s="79"/>
      <c r="K322" s="82"/>
      <c r="L322" s="83"/>
      <c r="M322" s="80"/>
      <c r="N322" s="79"/>
      <c r="O322" s="80"/>
      <c r="P322" s="5"/>
    </row>
    <row r="323" ht="18" customHeight="1" spans="1:16">
      <c r="A323" s="77" t="str">
        <f t="shared" si="4"/>
        <v/>
      </c>
      <c r="B323" s="78"/>
      <c r="C323" s="78"/>
      <c r="D323" s="79"/>
      <c r="E323" s="80"/>
      <c r="F323" s="80"/>
      <c r="G323" s="81"/>
      <c r="H323" s="5"/>
      <c r="I323" s="79"/>
      <c r="J323" s="79"/>
      <c r="K323" s="82"/>
      <c r="L323" s="83"/>
      <c r="M323" s="80"/>
      <c r="N323" s="79"/>
      <c r="O323" s="80"/>
      <c r="P323" s="5"/>
    </row>
    <row r="324" ht="18" customHeight="1" spans="1:16">
      <c r="A324" s="77" t="str">
        <f t="shared" ref="A324:A387" si="5">IF($D324="","",ROW()-3)</f>
        <v/>
      </c>
      <c r="B324" s="78"/>
      <c r="C324" s="78"/>
      <c r="D324" s="79"/>
      <c r="E324" s="80"/>
      <c r="F324" s="80"/>
      <c r="G324" s="81"/>
      <c r="H324" s="5"/>
      <c r="I324" s="79"/>
      <c r="J324" s="79"/>
      <c r="K324" s="82"/>
      <c r="L324" s="83"/>
      <c r="M324" s="80"/>
      <c r="N324" s="79"/>
      <c r="O324" s="80"/>
      <c r="P324" s="5"/>
    </row>
    <row r="325" ht="18" customHeight="1" spans="1:16">
      <c r="A325" s="77" t="str">
        <f t="shared" si="5"/>
        <v/>
      </c>
      <c r="B325" s="78"/>
      <c r="C325" s="78"/>
      <c r="D325" s="79"/>
      <c r="E325" s="80"/>
      <c r="F325" s="80"/>
      <c r="G325" s="81"/>
      <c r="H325" s="5"/>
      <c r="I325" s="79"/>
      <c r="J325" s="79"/>
      <c r="K325" s="82"/>
      <c r="L325" s="83"/>
      <c r="M325" s="80"/>
      <c r="N325" s="79"/>
      <c r="O325" s="80"/>
      <c r="P325" s="5"/>
    </row>
    <row r="326" ht="18" customHeight="1" spans="1:16">
      <c r="A326" s="77" t="str">
        <f t="shared" si="5"/>
        <v/>
      </c>
      <c r="B326" s="78"/>
      <c r="C326" s="78"/>
      <c r="D326" s="79"/>
      <c r="E326" s="80"/>
      <c r="F326" s="80"/>
      <c r="G326" s="81"/>
      <c r="H326" s="5"/>
      <c r="I326" s="79"/>
      <c r="J326" s="79"/>
      <c r="K326" s="82"/>
      <c r="L326" s="83"/>
      <c r="M326" s="80"/>
      <c r="N326" s="79"/>
      <c r="O326" s="80"/>
      <c r="P326" s="5"/>
    </row>
    <row r="327" ht="18" customHeight="1" spans="1:16">
      <c r="A327" s="77" t="str">
        <f t="shared" si="5"/>
        <v/>
      </c>
      <c r="B327" s="78"/>
      <c r="C327" s="78"/>
      <c r="D327" s="79"/>
      <c r="E327" s="80"/>
      <c r="F327" s="80"/>
      <c r="G327" s="81"/>
      <c r="H327" s="5"/>
      <c r="I327" s="79"/>
      <c r="J327" s="79"/>
      <c r="K327" s="82"/>
      <c r="L327" s="83"/>
      <c r="M327" s="80"/>
      <c r="N327" s="79"/>
      <c r="O327" s="80"/>
      <c r="P327" s="5"/>
    </row>
    <row r="328" ht="18" customHeight="1" spans="1:16">
      <c r="A328" s="77" t="str">
        <f t="shared" si="5"/>
        <v/>
      </c>
      <c r="B328" s="78"/>
      <c r="C328" s="78"/>
      <c r="D328" s="79"/>
      <c r="E328" s="80"/>
      <c r="F328" s="80"/>
      <c r="G328" s="81"/>
      <c r="H328" s="5"/>
      <c r="I328" s="79"/>
      <c r="J328" s="79"/>
      <c r="K328" s="82"/>
      <c r="L328" s="83"/>
      <c r="M328" s="80"/>
      <c r="N328" s="79"/>
      <c r="O328" s="80"/>
      <c r="P328" s="5"/>
    </row>
    <row r="329" ht="18" customHeight="1" spans="1:16">
      <c r="A329" s="77" t="str">
        <f t="shared" si="5"/>
        <v/>
      </c>
      <c r="B329" s="78"/>
      <c r="C329" s="78"/>
      <c r="D329" s="79"/>
      <c r="E329" s="80"/>
      <c r="F329" s="80"/>
      <c r="G329" s="81"/>
      <c r="H329" s="5"/>
      <c r="I329" s="79"/>
      <c r="J329" s="79"/>
      <c r="K329" s="82"/>
      <c r="L329" s="83"/>
      <c r="M329" s="80"/>
      <c r="N329" s="79"/>
      <c r="O329" s="80"/>
      <c r="P329" s="5"/>
    </row>
    <row r="330" ht="18" customHeight="1" spans="1:16">
      <c r="A330" s="77" t="str">
        <f t="shared" si="5"/>
        <v/>
      </c>
      <c r="B330" s="78"/>
      <c r="C330" s="78"/>
      <c r="D330" s="79"/>
      <c r="E330" s="80"/>
      <c r="F330" s="80"/>
      <c r="G330" s="81"/>
      <c r="H330" s="5"/>
      <c r="I330" s="79"/>
      <c r="J330" s="79"/>
      <c r="K330" s="82"/>
      <c r="L330" s="83"/>
      <c r="M330" s="80"/>
      <c r="N330" s="79"/>
      <c r="O330" s="80"/>
      <c r="P330" s="5"/>
    </row>
    <row r="331" ht="18" customHeight="1" spans="1:16">
      <c r="A331" s="77" t="str">
        <f t="shared" si="5"/>
        <v/>
      </c>
      <c r="B331" s="78"/>
      <c r="C331" s="78"/>
      <c r="D331" s="79"/>
      <c r="E331" s="80"/>
      <c r="F331" s="80"/>
      <c r="G331" s="81"/>
      <c r="H331" s="5"/>
      <c r="I331" s="79"/>
      <c r="J331" s="79"/>
      <c r="K331" s="82"/>
      <c r="L331" s="83"/>
      <c r="M331" s="80"/>
      <c r="N331" s="79"/>
      <c r="O331" s="80"/>
      <c r="P331" s="5"/>
    </row>
    <row r="332" ht="18" customHeight="1" spans="1:16">
      <c r="A332" s="77" t="str">
        <f t="shared" si="5"/>
        <v/>
      </c>
      <c r="B332" s="78"/>
      <c r="C332" s="78"/>
      <c r="D332" s="79"/>
      <c r="E332" s="80"/>
      <c r="F332" s="80"/>
      <c r="G332" s="81"/>
      <c r="H332" s="5"/>
      <c r="I332" s="79"/>
      <c r="J332" s="79"/>
      <c r="K332" s="82"/>
      <c r="L332" s="83"/>
      <c r="M332" s="80"/>
      <c r="N332" s="79"/>
      <c r="O332" s="80"/>
      <c r="P332" s="5"/>
    </row>
    <row r="333" ht="18" customHeight="1" spans="1:16">
      <c r="A333" s="77" t="str">
        <f t="shared" si="5"/>
        <v/>
      </c>
      <c r="B333" s="78"/>
      <c r="C333" s="78"/>
      <c r="D333" s="79"/>
      <c r="E333" s="80"/>
      <c r="F333" s="80"/>
      <c r="G333" s="81"/>
      <c r="H333" s="5"/>
      <c r="I333" s="79"/>
      <c r="J333" s="79"/>
      <c r="K333" s="82"/>
      <c r="L333" s="83"/>
      <c r="M333" s="80"/>
      <c r="N333" s="79"/>
      <c r="O333" s="80"/>
      <c r="P333" s="5"/>
    </row>
    <row r="334" ht="18" customHeight="1" spans="1:16">
      <c r="A334" s="77" t="str">
        <f t="shared" si="5"/>
        <v/>
      </c>
      <c r="B334" s="78"/>
      <c r="C334" s="78"/>
      <c r="D334" s="79"/>
      <c r="E334" s="80"/>
      <c r="F334" s="80"/>
      <c r="G334" s="81"/>
      <c r="H334" s="5"/>
      <c r="I334" s="79"/>
      <c r="J334" s="79"/>
      <c r="K334" s="82"/>
      <c r="L334" s="83"/>
      <c r="M334" s="80"/>
      <c r="N334" s="79"/>
      <c r="O334" s="80"/>
      <c r="P334" s="5"/>
    </row>
    <row r="335" ht="18" customHeight="1" spans="1:16">
      <c r="A335" s="77" t="str">
        <f t="shared" si="5"/>
        <v/>
      </c>
      <c r="B335" s="78"/>
      <c r="C335" s="78"/>
      <c r="D335" s="79"/>
      <c r="E335" s="80"/>
      <c r="F335" s="80"/>
      <c r="G335" s="81"/>
      <c r="H335" s="5"/>
      <c r="I335" s="79"/>
      <c r="J335" s="79"/>
      <c r="K335" s="82"/>
      <c r="L335" s="83"/>
      <c r="M335" s="80"/>
      <c r="N335" s="79"/>
      <c r="O335" s="80"/>
      <c r="P335" s="5"/>
    </row>
    <row r="336" ht="18" customHeight="1" spans="1:16">
      <c r="A336" s="77" t="str">
        <f t="shared" si="5"/>
        <v/>
      </c>
      <c r="B336" s="78"/>
      <c r="C336" s="78"/>
      <c r="D336" s="79"/>
      <c r="E336" s="80"/>
      <c r="F336" s="80"/>
      <c r="G336" s="81"/>
      <c r="H336" s="5"/>
      <c r="I336" s="79"/>
      <c r="J336" s="79"/>
      <c r="K336" s="82"/>
      <c r="L336" s="83"/>
      <c r="M336" s="80"/>
      <c r="N336" s="79"/>
      <c r="O336" s="80"/>
      <c r="P336" s="5"/>
    </row>
    <row r="337" ht="18" customHeight="1" spans="1:16">
      <c r="A337" s="77" t="str">
        <f t="shared" si="5"/>
        <v/>
      </c>
      <c r="B337" s="78"/>
      <c r="C337" s="78"/>
      <c r="D337" s="79"/>
      <c r="E337" s="80"/>
      <c r="F337" s="80"/>
      <c r="G337" s="81"/>
      <c r="H337" s="5"/>
      <c r="I337" s="79"/>
      <c r="J337" s="79"/>
      <c r="K337" s="82"/>
      <c r="L337" s="83"/>
      <c r="M337" s="80"/>
      <c r="N337" s="79"/>
      <c r="O337" s="80"/>
      <c r="P337" s="5"/>
    </row>
    <row r="338" ht="18" customHeight="1" spans="1:16">
      <c r="A338" s="77" t="str">
        <f t="shared" si="5"/>
        <v/>
      </c>
      <c r="B338" s="78"/>
      <c r="C338" s="78"/>
      <c r="D338" s="79"/>
      <c r="E338" s="80"/>
      <c r="F338" s="80"/>
      <c r="G338" s="81"/>
      <c r="H338" s="5"/>
      <c r="I338" s="79"/>
      <c r="J338" s="79"/>
      <c r="K338" s="82"/>
      <c r="L338" s="83"/>
      <c r="M338" s="80"/>
      <c r="N338" s="79"/>
      <c r="O338" s="80"/>
      <c r="P338" s="5"/>
    </row>
    <row r="339" ht="18" customHeight="1" spans="1:16">
      <c r="A339" s="77" t="str">
        <f t="shared" si="5"/>
        <v/>
      </c>
      <c r="B339" s="78"/>
      <c r="C339" s="78"/>
      <c r="D339" s="79"/>
      <c r="E339" s="80"/>
      <c r="F339" s="80"/>
      <c r="G339" s="81"/>
      <c r="H339" s="5"/>
      <c r="I339" s="79"/>
      <c r="J339" s="79"/>
      <c r="K339" s="82"/>
      <c r="L339" s="83"/>
      <c r="M339" s="80"/>
      <c r="N339" s="79"/>
      <c r="O339" s="80"/>
      <c r="P339" s="5"/>
    </row>
    <row r="340" ht="18" customHeight="1" spans="1:16">
      <c r="A340" s="77" t="str">
        <f t="shared" si="5"/>
        <v/>
      </c>
      <c r="B340" s="78"/>
      <c r="C340" s="78"/>
      <c r="D340" s="79"/>
      <c r="E340" s="80"/>
      <c r="F340" s="80"/>
      <c r="G340" s="81"/>
      <c r="H340" s="5"/>
      <c r="I340" s="79"/>
      <c r="J340" s="79"/>
      <c r="K340" s="82"/>
      <c r="L340" s="83"/>
      <c r="M340" s="80"/>
      <c r="N340" s="79"/>
      <c r="O340" s="80"/>
      <c r="P340" s="5"/>
    </row>
    <row r="341" ht="18" customHeight="1" spans="1:16">
      <c r="A341" s="77" t="str">
        <f t="shared" si="5"/>
        <v/>
      </c>
      <c r="B341" s="78"/>
      <c r="C341" s="78"/>
      <c r="D341" s="79"/>
      <c r="E341" s="80"/>
      <c r="F341" s="80"/>
      <c r="G341" s="81"/>
      <c r="H341" s="5"/>
      <c r="I341" s="79"/>
      <c r="J341" s="79"/>
      <c r="K341" s="82"/>
      <c r="L341" s="83"/>
      <c r="M341" s="80"/>
      <c r="N341" s="79"/>
      <c r="O341" s="80"/>
      <c r="P341" s="5"/>
    </row>
    <row r="342" ht="18" customHeight="1" spans="1:16">
      <c r="A342" s="77" t="str">
        <f t="shared" si="5"/>
        <v/>
      </c>
      <c r="B342" s="78"/>
      <c r="C342" s="78"/>
      <c r="D342" s="79"/>
      <c r="E342" s="80"/>
      <c r="F342" s="80"/>
      <c r="G342" s="81"/>
      <c r="H342" s="5"/>
      <c r="I342" s="79"/>
      <c r="J342" s="79"/>
      <c r="K342" s="82"/>
      <c r="L342" s="83"/>
      <c r="M342" s="80"/>
      <c r="N342" s="79"/>
      <c r="O342" s="80"/>
      <c r="P342" s="5"/>
    </row>
    <row r="343" ht="18" customHeight="1" spans="1:16">
      <c r="A343" s="77" t="str">
        <f t="shared" si="5"/>
        <v/>
      </c>
      <c r="B343" s="78"/>
      <c r="C343" s="78"/>
      <c r="D343" s="79"/>
      <c r="E343" s="80"/>
      <c r="F343" s="80"/>
      <c r="G343" s="81"/>
      <c r="H343" s="5"/>
      <c r="I343" s="79"/>
      <c r="J343" s="79"/>
      <c r="K343" s="82"/>
      <c r="L343" s="83"/>
      <c r="M343" s="80"/>
      <c r="N343" s="79"/>
      <c r="O343" s="80"/>
      <c r="P343" s="5"/>
    </row>
    <row r="344" ht="18" customHeight="1" spans="1:16">
      <c r="A344" s="77" t="str">
        <f t="shared" si="5"/>
        <v/>
      </c>
      <c r="B344" s="78"/>
      <c r="C344" s="78"/>
      <c r="D344" s="79"/>
      <c r="E344" s="80"/>
      <c r="F344" s="80"/>
      <c r="G344" s="81"/>
      <c r="H344" s="5"/>
      <c r="I344" s="79"/>
      <c r="J344" s="79"/>
      <c r="K344" s="82"/>
      <c r="L344" s="83"/>
      <c r="M344" s="80"/>
      <c r="N344" s="79"/>
      <c r="O344" s="80"/>
      <c r="P344" s="5"/>
    </row>
    <row r="345" ht="18" customHeight="1" spans="1:16">
      <c r="A345" s="77" t="str">
        <f t="shared" si="5"/>
        <v/>
      </c>
      <c r="B345" s="78"/>
      <c r="C345" s="78"/>
      <c r="D345" s="79"/>
      <c r="E345" s="80"/>
      <c r="F345" s="80"/>
      <c r="G345" s="81"/>
      <c r="H345" s="5"/>
      <c r="I345" s="79"/>
      <c r="J345" s="79"/>
      <c r="K345" s="82"/>
      <c r="L345" s="83"/>
      <c r="M345" s="80"/>
      <c r="N345" s="79"/>
      <c r="O345" s="80"/>
      <c r="P345" s="5"/>
    </row>
    <row r="346" ht="18" customHeight="1" spans="1:16">
      <c r="A346" s="77" t="str">
        <f t="shared" si="5"/>
        <v/>
      </c>
      <c r="B346" s="78"/>
      <c r="C346" s="78"/>
      <c r="D346" s="79"/>
      <c r="E346" s="80"/>
      <c r="F346" s="80"/>
      <c r="G346" s="81"/>
      <c r="H346" s="5"/>
      <c r="I346" s="79"/>
      <c r="J346" s="79"/>
      <c r="K346" s="82"/>
      <c r="L346" s="83"/>
      <c r="M346" s="80"/>
      <c r="N346" s="79"/>
      <c r="O346" s="80"/>
      <c r="P346" s="5"/>
    </row>
    <row r="347" ht="18" customHeight="1" spans="1:16">
      <c r="A347" s="77" t="str">
        <f t="shared" si="5"/>
        <v/>
      </c>
      <c r="B347" s="78"/>
      <c r="C347" s="78"/>
      <c r="D347" s="79"/>
      <c r="E347" s="80"/>
      <c r="F347" s="80"/>
      <c r="G347" s="81"/>
      <c r="H347" s="5"/>
      <c r="I347" s="79"/>
      <c r="J347" s="79"/>
      <c r="K347" s="82"/>
      <c r="L347" s="83"/>
      <c r="M347" s="80"/>
      <c r="N347" s="79"/>
      <c r="O347" s="80"/>
      <c r="P347" s="5"/>
    </row>
    <row r="348" ht="18" customHeight="1" spans="1:16">
      <c r="A348" s="77" t="str">
        <f t="shared" si="5"/>
        <v/>
      </c>
      <c r="B348" s="78"/>
      <c r="C348" s="78"/>
      <c r="D348" s="79"/>
      <c r="E348" s="80"/>
      <c r="F348" s="80"/>
      <c r="G348" s="81"/>
      <c r="H348" s="5"/>
      <c r="I348" s="79"/>
      <c r="J348" s="79"/>
      <c r="K348" s="82"/>
      <c r="L348" s="83"/>
      <c r="M348" s="80"/>
      <c r="N348" s="79"/>
      <c r="O348" s="80"/>
      <c r="P348" s="5"/>
    </row>
    <row r="349" ht="18" customHeight="1" spans="1:16">
      <c r="A349" s="77" t="str">
        <f t="shared" si="5"/>
        <v/>
      </c>
      <c r="B349" s="78"/>
      <c r="C349" s="78"/>
      <c r="D349" s="79"/>
      <c r="E349" s="80"/>
      <c r="F349" s="80"/>
      <c r="G349" s="81"/>
      <c r="H349" s="5"/>
      <c r="I349" s="79"/>
      <c r="J349" s="79"/>
      <c r="K349" s="82"/>
      <c r="L349" s="83"/>
      <c r="M349" s="80"/>
      <c r="N349" s="79"/>
      <c r="O349" s="80"/>
      <c r="P349" s="5"/>
    </row>
    <row r="350" ht="18" customHeight="1" spans="1:16">
      <c r="A350" s="77" t="str">
        <f t="shared" si="5"/>
        <v/>
      </c>
      <c r="B350" s="78"/>
      <c r="C350" s="78"/>
      <c r="D350" s="79"/>
      <c r="E350" s="80"/>
      <c r="F350" s="80"/>
      <c r="G350" s="81"/>
      <c r="H350" s="5"/>
      <c r="I350" s="79"/>
      <c r="J350" s="79"/>
      <c r="K350" s="82"/>
      <c r="L350" s="83"/>
      <c r="M350" s="80"/>
      <c r="N350" s="79"/>
      <c r="O350" s="80"/>
      <c r="P350" s="5"/>
    </row>
    <row r="351" ht="18" customHeight="1" spans="1:16">
      <c r="A351" s="77" t="str">
        <f t="shared" si="5"/>
        <v/>
      </c>
      <c r="B351" s="78"/>
      <c r="C351" s="78"/>
      <c r="D351" s="79"/>
      <c r="E351" s="80"/>
      <c r="F351" s="80"/>
      <c r="G351" s="81"/>
      <c r="H351" s="5"/>
      <c r="I351" s="79"/>
      <c r="J351" s="79"/>
      <c r="K351" s="82"/>
      <c r="L351" s="83"/>
      <c r="M351" s="80"/>
      <c r="N351" s="79"/>
      <c r="O351" s="80"/>
      <c r="P351" s="5"/>
    </row>
    <row r="352" ht="18" customHeight="1" spans="1:16">
      <c r="A352" s="77" t="str">
        <f t="shared" si="5"/>
        <v/>
      </c>
      <c r="B352" s="78"/>
      <c r="C352" s="78"/>
      <c r="D352" s="79"/>
      <c r="E352" s="80"/>
      <c r="F352" s="80"/>
      <c r="G352" s="81"/>
      <c r="H352" s="5"/>
      <c r="I352" s="79"/>
      <c r="J352" s="79"/>
      <c r="K352" s="82"/>
      <c r="L352" s="83"/>
      <c r="M352" s="80"/>
      <c r="N352" s="79"/>
      <c r="O352" s="80"/>
      <c r="P352" s="5"/>
    </row>
    <row r="353" ht="18" customHeight="1" spans="1:16">
      <c r="A353" s="77" t="str">
        <f t="shared" si="5"/>
        <v/>
      </c>
      <c r="B353" s="78"/>
      <c r="C353" s="78"/>
      <c r="D353" s="79"/>
      <c r="E353" s="80"/>
      <c r="F353" s="80"/>
      <c r="G353" s="81"/>
      <c r="H353" s="5"/>
      <c r="I353" s="79"/>
      <c r="J353" s="79"/>
      <c r="K353" s="82"/>
      <c r="L353" s="83"/>
      <c r="M353" s="80"/>
      <c r="N353" s="79"/>
      <c r="O353" s="80"/>
      <c r="P353" s="5"/>
    </row>
    <row r="354" ht="18" customHeight="1" spans="1:16">
      <c r="A354" s="77" t="str">
        <f t="shared" si="5"/>
        <v/>
      </c>
      <c r="B354" s="78"/>
      <c r="C354" s="78"/>
      <c r="D354" s="79"/>
      <c r="E354" s="80"/>
      <c r="F354" s="80"/>
      <c r="G354" s="81"/>
      <c r="H354" s="5"/>
      <c r="I354" s="79"/>
      <c r="J354" s="79"/>
      <c r="K354" s="82"/>
      <c r="L354" s="83"/>
      <c r="M354" s="80"/>
      <c r="N354" s="79"/>
      <c r="O354" s="80"/>
      <c r="P354" s="5"/>
    </row>
    <row r="355" ht="18" customHeight="1" spans="1:16">
      <c r="A355" s="77" t="str">
        <f t="shared" si="5"/>
        <v/>
      </c>
      <c r="B355" s="78"/>
      <c r="C355" s="78"/>
      <c r="D355" s="79"/>
      <c r="E355" s="80"/>
      <c r="F355" s="80"/>
      <c r="G355" s="81"/>
      <c r="H355" s="5"/>
      <c r="I355" s="79"/>
      <c r="J355" s="79"/>
      <c r="K355" s="82"/>
      <c r="L355" s="83"/>
      <c r="M355" s="80"/>
      <c r="N355" s="79"/>
      <c r="O355" s="80"/>
      <c r="P355" s="5"/>
    </row>
    <row r="356" ht="18" customHeight="1" spans="1:16">
      <c r="A356" s="77" t="str">
        <f t="shared" si="5"/>
        <v/>
      </c>
      <c r="B356" s="78"/>
      <c r="C356" s="78"/>
      <c r="D356" s="79"/>
      <c r="E356" s="80"/>
      <c r="F356" s="80"/>
      <c r="G356" s="81"/>
      <c r="H356" s="5"/>
      <c r="I356" s="79"/>
      <c r="J356" s="79"/>
      <c r="K356" s="82"/>
      <c r="L356" s="83"/>
      <c r="M356" s="80"/>
      <c r="N356" s="79"/>
      <c r="O356" s="80"/>
      <c r="P356" s="5"/>
    </row>
    <row r="357" ht="18" customHeight="1" spans="1:16">
      <c r="A357" s="77" t="str">
        <f t="shared" si="5"/>
        <v/>
      </c>
      <c r="B357" s="78"/>
      <c r="C357" s="78"/>
      <c r="D357" s="79"/>
      <c r="E357" s="80"/>
      <c r="F357" s="80"/>
      <c r="G357" s="81"/>
      <c r="H357" s="5"/>
      <c r="I357" s="79"/>
      <c r="J357" s="79"/>
      <c r="K357" s="82"/>
      <c r="L357" s="83"/>
      <c r="M357" s="80"/>
      <c r="N357" s="79"/>
      <c r="O357" s="80"/>
      <c r="P357" s="5"/>
    </row>
    <row r="358" ht="18" customHeight="1" spans="1:16">
      <c r="A358" s="77" t="str">
        <f t="shared" si="5"/>
        <v/>
      </c>
      <c r="B358" s="78"/>
      <c r="C358" s="78"/>
      <c r="D358" s="79"/>
      <c r="E358" s="80"/>
      <c r="F358" s="80"/>
      <c r="G358" s="81"/>
      <c r="H358" s="5"/>
      <c r="I358" s="79"/>
      <c r="J358" s="79"/>
      <c r="K358" s="82"/>
      <c r="L358" s="83"/>
      <c r="M358" s="80"/>
      <c r="N358" s="79"/>
      <c r="O358" s="80"/>
      <c r="P358" s="5"/>
    </row>
    <row r="359" ht="18" customHeight="1" spans="1:16">
      <c r="A359" s="77" t="str">
        <f t="shared" si="5"/>
        <v/>
      </c>
      <c r="B359" s="78"/>
      <c r="C359" s="78"/>
      <c r="D359" s="79"/>
      <c r="E359" s="80"/>
      <c r="F359" s="80"/>
      <c r="G359" s="81"/>
      <c r="H359" s="5"/>
      <c r="I359" s="79"/>
      <c r="J359" s="79"/>
      <c r="K359" s="82"/>
      <c r="L359" s="83"/>
      <c r="M359" s="80"/>
      <c r="N359" s="79"/>
      <c r="O359" s="80"/>
      <c r="P359" s="5"/>
    </row>
    <row r="360" ht="18" customHeight="1" spans="1:16">
      <c r="A360" s="77" t="str">
        <f t="shared" si="5"/>
        <v/>
      </c>
      <c r="B360" s="78"/>
      <c r="C360" s="78"/>
      <c r="D360" s="79"/>
      <c r="E360" s="80"/>
      <c r="F360" s="80"/>
      <c r="G360" s="81"/>
      <c r="H360" s="5"/>
      <c r="I360" s="79"/>
      <c r="J360" s="79"/>
      <c r="K360" s="82"/>
      <c r="L360" s="83"/>
      <c r="M360" s="80"/>
      <c r="N360" s="79"/>
      <c r="O360" s="80"/>
      <c r="P360" s="5"/>
    </row>
    <row r="361" ht="18" customHeight="1" spans="1:16">
      <c r="A361" s="77" t="str">
        <f t="shared" si="5"/>
        <v/>
      </c>
      <c r="B361" s="78"/>
      <c r="C361" s="78"/>
      <c r="D361" s="79"/>
      <c r="E361" s="80"/>
      <c r="F361" s="80"/>
      <c r="G361" s="81"/>
      <c r="H361" s="5"/>
      <c r="I361" s="79"/>
      <c r="J361" s="79"/>
      <c r="K361" s="82"/>
      <c r="L361" s="83"/>
      <c r="M361" s="80"/>
      <c r="N361" s="79"/>
      <c r="O361" s="80"/>
      <c r="P361" s="5"/>
    </row>
    <row r="362" ht="18" customHeight="1" spans="1:16">
      <c r="A362" s="77" t="str">
        <f t="shared" si="5"/>
        <v/>
      </c>
      <c r="B362" s="78"/>
      <c r="C362" s="78"/>
      <c r="D362" s="79"/>
      <c r="E362" s="80"/>
      <c r="F362" s="80"/>
      <c r="G362" s="81"/>
      <c r="H362" s="5"/>
      <c r="I362" s="79"/>
      <c r="J362" s="79"/>
      <c r="K362" s="82"/>
      <c r="L362" s="83"/>
      <c r="M362" s="80"/>
      <c r="N362" s="79"/>
      <c r="O362" s="80"/>
      <c r="P362" s="5"/>
    </row>
    <row r="363" ht="18" customHeight="1" spans="1:16">
      <c r="A363" s="77" t="str">
        <f t="shared" si="5"/>
        <v/>
      </c>
      <c r="B363" s="78"/>
      <c r="C363" s="78"/>
      <c r="D363" s="79"/>
      <c r="E363" s="80"/>
      <c r="F363" s="80"/>
      <c r="G363" s="81"/>
      <c r="H363" s="5"/>
      <c r="I363" s="79"/>
      <c r="J363" s="79"/>
      <c r="K363" s="82"/>
      <c r="L363" s="83"/>
      <c r="M363" s="80"/>
      <c r="N363" s="79"/>
      <c r="O363" s="80"/>
      <c r="P363" s="5"/>
    </row>
    <row r="364" ht="18" customHeight="1" spans="1:16">
      <c r="A364" s="77" t="str">
        <f t="shared" si="5"/>
        <v/>
      </c>
      <c r="B364" s="78"/>
      <c r="C364" s="78"/>
      <c r="D364" s="79"/>
      <c r="E364" s="80"/>
      <c r="F364" s="80"/>
      <c r="G364" s="81"/>
      <c r="H364" s="5"/>
      <c r="I364" s="79"/>
      <c r="J364" s="79"/>
      <c r="K364" s="82"/>
      <c r="L364" s="83"/>
      <c r="M364" s="80"/>
      <c r="N364" s="79"/>
      <c r="O364" s="80"/>
      <c r="P364" s="5"/>
    </row>
    <row r="365" ht="18" customHeight="1" spans="1:16">
      <c r="A365" s="77" t="str">
        <f t="shared" si="5"/>
        <v/>
      </c>
      <c r="B365" s="78"/>
      <c r="C365" s="78"/>
      <c r="D365" s="79"/>
      <c r="E365" s="80"/>
      <c r="F365" s="80"/>
      <c r="G365" s="81"/>
      <c r="H365" s="5"/>
      <c r="I365" s="79"/>
      <c r="J365" s="79"/>
      <c r="K365" s="82"/>
      <c r="L365" s="83"/>
      <c r="M365" s="80"/>
      <c r="N365" s="79"/>
      <c r="O365" s="80"/>
      <c r="P365" s="5"/>
    </row>
    <row r="366" ht="18" customHeight="1" spans="1:16">
      <c r="A366" s="77" t="str">
        <f t="shared" si="5"/>
        <v/>
      </c>
      <c r="B366" s="78"/>
      <c r="C366" s="78"/>
      <c r="D366" s="79"/>
      <c r="E366" s="80"/>
      <c r="F366" s="80"/>
      <c r="G366" s="81"/>
      <c r="H366" s="5"/>
      <c r="I366" s="79"/>
      <c r="J366" s="79"/>
      <c r="K366" s="82"/>
      <c r="L366" s="83"/>
      <c r="M366" s="80"/>
      <c r="N366" s="79"/>
      <c r="O366" s="80"/>
      <c r="P366" s="5"/>
    </row>
    <row r="367" ht="18" customHeight="1" spans="1:16">
      <c r="A367" s="77" t="str">
        <f t="shared" si="5"/>
        <v/>
      </c>
      <c r="B367" s="78"/>
      <c r="C367" s="78"/>
      <c r="D367" s="79"/>
      <c r="E367" s="80"/>
      <c r="F367" s="80"/>
      <c r="G367" s="81"/>
      <c r="H367" s="5"/>
      <c r="I367" s="79"/>
      <c r="J367" s="79"/>
      <c r="K367" s="82"/>
      <c r="L367" s="83"/>
      <c r="M367" s="80"/>
      <c r="N367" s="79"/>
      <c r="O367" s="80"/>
      <c r="P367" s="5"/>
    </row>
    <row r="368" ht="18" customHeight="1" spans="1:16">
      <c r="A368" s="77" t="str">
        <f t="shared" si="5"/>
        <v/>
      </c>
      <c r="B368" s="78"/>
      <c r="C368" s="78"/>
      <c r="D368" s="79"/>
      <c r="E368" s="80"/>
      <c r="F368" s="80"/>
      <c r="G368" s="81"/>
      <c r="H368" s="5"/>
      <c r="I368" s="79"/>
      <c r="J368" s="79"/>
      <c r="K368" s="82"/>
      <c r="L368" s="83"/>
      <c r="M368" s="80"/>
      <c r="N368" s="79"/>
      <c r="O368" s="80"/>
      <c r="P368" s="5"/>
    </row>
    <row r="369" ht="18" customHeight="1" spans="1:16">
      <c r="A369" s="77" t="str">
        <f t="shared" si="5"/>
        <v/>
      </c>
      <c r="B369" s="78"/>
      <c r="C369" s="78"/>
      <c r="D369" s="79"/>
      <c r="E369" s="80"/>
      <c r="F369" s="80"/>
      <c r="G369" s="81"/>
      <c r="H369" s="5"/>
      <c r="I369" s="79"/>
      <c r="J369" s="79"/>
      <c r="K369" s="82"/>
      <c r="L369" s="83"/>
      <c r="M369" s="80"/>
      <c r="N369" s="79"/>
      <c r="O369" s="80"/>
      <c r="P369" s="5"/>
    </row>
    <row r="370" ht="18" customHeight="1" spans="1:16">
      <c r="A370" s="77" t="str">
        <f t="shared" si="5"/>
        <v/>
      </c>
      <c r="B370" s="78"/>
      <c r="C370" s="78"/>
      <c r="D370" s="79"/>
      <c r="E370" s="80"/>
      <c r="F370" s="80"/>
      <c r="G370" s="81"/>
      <c r="H370" s="5"/>
      <c r="I370" s="79"/>
      <c r="J370" s="79"/>
      <c r="K370" s="82"/>
      <c r="L370" s="83"/>
      <c r="M370" s="80"/>
      <c r="N370" s="79"/>
      <c r="O370" s="80"/>
      <c r="P370" s="5"/>
    </row>
    <row r="371" ht="18" customHeight="1" spans="1:16">
      <c r="A371" s="77" t="str">
        <f t="shared" si="5"/>
        <v/>
      </c>
      <c r="B371" s="78"/>
      <c r="C371" s="78"/>
      <c r="D371" s="79"/>
      <c r="E371" s="80"/>
      <c r="F371" s="80"/>
      <c r="G371" s="81"/>
      <c r="H371" s="5"/>
      <c r="I371" s="79"/>
      <c r="J371" s="79"/>
      <c r="K371" s="82"/>
      <c r="L371" s="83"/>
      <c r="M371" s="80"/>
      <c r="N371" s="79"/>
      <c r="O371" s="80"/>
      <c r="P371" s="5"/>
    </row>
    <row r="372" ht="18" customHeight="1" spans="1:16">
      <c r="A372" s="77" t="str">
        <f t="shared" si="5"/>
        <v/>
      </c>
      <c r="B372" s="78"/>
      <c r="C372" s="78"/>
      <c r="D372" s="79"/>
      <c r="E372" s="80"/>
      <c r="F372" s="80"/>
      <c r="G372" s="81"/>
      <c r="H372" s="5"/>
      <c r="I372" s="79"/>
      <c r="J372" s="79"/>
      <c r="K372" s="82"/>
      <c r="L372" s="83"/>
      <c r="M372" s="80"/>
      <c r="N372" s="79"/>
      <c r="O372" s="80"/>
      <c r="P372" s="5"/>
    </row>
    <row r="373" ht="18" customHeight="1" spans="1:16">
      <c r="A373" s="77" t="str">
        <f t="shared" si="5"/>
        <v/>
      </c>
      <c r="B373" s="78"/>
      <c r="C373" s="78"/>
      <c r="D373" s="79"/>
      <c r="E373" s="80"/>
      <c r="F373" s="80"/>
      <c r="G373" s="81"/>
      <c r="H373" s="5"/>
      <c r="I373" s="79"/>
      <c r="J373" s="79"/>
      <c r="K373" s="82"/>
      <c r="L373" s="83"/>
      <c r="M373" s="80"/>
      <c r="N373" s="79"/>
      <c r="O373" s="80"/>
      <c r="P373" s="5"/>
    </row>
    <row r="374" ht="18" customHeight="1" spans="1:16">
      <c r="A374" s="77" t="str">
        <f t="shared" si="5"/>
        <v/>
      </c>
      <c r="B374" s="78"/>
      <c r="C374" s="78"/>
      <c r="D374" s="79"/>
      <c r="E374" s="80"/>
      <c r="F374" s="80"/>
      <c r="G374" s="81"/>
      <c r="H374" s="5"/>
      <c r="I374" s="79"/>
      <c r="J374" s="79"/>
      <c r="K374" s="82"/>
      <c r="L374" s="83"/>
      <c r="M374" s="80"/>
      <c r="N374" s="79"/>
      <c r="O374" s="80"/>
      <c r="P374" s="5"/>
    </row>
    <row r="375" ht="18" customHeight="1" spans="1:16">
      <c r="A375" s="77" t="str">
        <f t="shared" si="5"/>
        <v/>
      </c>
      <c r="B375" s="78"/>
      <c r="C375" s="78"/>
      <c r="D375" s="79"/>
      <c r="E375" s="80"/>
      <c r="F375" s="80"/>
      <c r="G375" s="81"/>
      <c r="H375" s="5"/>
      <c r="I375" s="79"/>
      <c r="J375" s="79"/>
      <c r="K375" s="82"/>
      <c r="L375" s="83"/>
      <c r="M375" s="80"/>
      <c r="N375" s="79"/>
      <c r="O375" s="80"/>
      <c r="P375" s="5"/>
    </row>
    <row r="376" ht="18" customHeight="1" spans="1:16">
      <c r="A376" s="77" t="str">
        <f t="shared" si="5"/>
        <v/>
      </c>
      <c r="B376" s="78"/>
      <c r="C376" s="78"/>
      <c r="D376" s="79"/>
      <c r="E376" s="80"/>
      <c r="F376" s="80"/>
      <c r="G376" s="81"/>
      <c r="H376" s="5"/>
      <c r="I376" s="79"/>
      <c r="J376" s="79"/>
      <c r="K376" s="82"/>
      <c r="L376" s="83"/>
      <c r="M376" s="80"/>
      <c r="N376" s="79"/>
      <c r="O376" s="80"/>
      <c r="P376" s="5"/>
    </row>
    <row r="377" ht="18" customHeight="1" spans="1:16">
      <c r="A377" s="77" t="str">
        <f t="shared" si="5"/>
        <v/>
      </c>
      <c r="B377" s="78"/>
      <c r="C377" s="78"/>
      <c r="D377" s="79"/>
      <c r="E377" s="80"/>
      <c r="F377" s="80"/>
      <c r="G377" s="81"/>
      <c r="H377" s="5"/>
      <c r="I377" s="79"/>
      <c r="J377" s="79"/>
      <c r="K377" s="82"/>
      <c r="L377" s="83"/>
      <c r="M377" s="80"/>
      <c r="N377" s="79"/>
      <c r="O377" s="80"/>
      <c r="P377" s="5"/>
    </row>
    <row r="378" ht="18" customHeight="1" spans="1:16">
      <c r="A378" s="77" t="str">
        <f t="shared" si="5"/>
        <v/>
      </c>
      <c r="B378" s="78"/>
      <c r="C378" s="78"/>
      <c r="D378" s="79"/>
      <c r="E378" s="80"/>
      <c r="F378" s="80"/>
      <c r="G378" s="81"/>
      <c r="H378" s="5"/>
      <c r="I378" s="79"/>
      <c r="J378" s="79"/>
      <c r="K378" s="82"/>
      <c r="L378" s="83"/>
      <c r="M378" s="80"/>
      <c r="N378" s="79"/>
      <c r="O378" s="80"/>
      <c r="P378" s="5"/>
    </row>
    <row r="379" ht="18" customHeight="1" spans="1:16">
      <c r="A379" s="77" t="str">
        <f t="shared" si="5"/>
        <v/>
      </c>
      <c r="B379" s="78"/>
      <c r="C379" s="78"/>
      <c r="D379" s="79"/>
      <c r="E379" s="80"/>
      <c r="F379" s="80"/>
      <c r="G379" s="81"/>
      <c r="H379" s="5"/>
      <c r="I379" s="79"/>
      <c r="J379" s="79"/>
      <c r="K379" s="82"/>
      <c r="L379" s="83"/>
      <c r="M379" s="80"/>
      <c r="N379" s="79"/>
      <c r="O379" s="80"/>
      <c r="P379" s="5"/>
    </row>
    <row r="380" ht="18" customHeight="1" spans="1:16">
      <c r="A380" s="77" t="str">
        <f t="shared" si="5"/>
        <v/>
      </c>
      <c r="B380" s="78"/>
      <c r="C380" s="78"/>
      <c r="D380" s="79"/>
      <c r="E380" s="80"/>
      <c r="F380" s="80"/>
      <c r="G380" s="81"/>
      <c r="H380" s="5"/>
      <c r="I380" s="79"/>
      <c r="J380" s="79"/>
      <c r="K380" s="82"/>
      <c r="L380" s="83"/>
      <c r="M380" s="80"/>
      <c r="N380" s="79"/>
      <c r="O380" s="80"/>
      <c r="P380" s="5"/>
    </row>
    <row r="381" ht="18" customHeight="1" spans="1:16">
      <c r="A381" s="77" t="str">
        <f t="shared" si="5"/>
        <v/>
      </c>
      <c r="B381" s="78"/>
      <c r="C381" s="78"/>
      <c r="D381" s="79"/>
      <c r="E381" s="80"/>
      <c r="F381" s="80"/>
      <c r="G381" s="81"/>
      <c r="H381" s="5"/>
      <c r="I381" s="79"/>
      <c r="J381" s="79"/>
      <c r="K381" s="82"/>
      <c r="L381" s="83"/>
      <c r="M381" s="80"/>
      <c r="N381" s="79"/>
      <c r="O381" s="80"/>
      <c r="P381" s="5"/>
    </row>
    <row r="382" ht="18" customHeight="1" spans="1:16">
      <c r="A382" s="77" t="str">
        <f t="shared" si="5"/>
        <v/>
      </c>
      <c r="B382" s="78"/>
      <c r="C382" s="78"/>
      <c r="D382" s="79"/>
      <c r="E382" s="80"/>
      <c r="F382" s="80"/>
      <c r="G382" s="81"/>
      <c r="H382" s="5"/>
      <c r="I382" s="79"/>
      <c r="J382" s="79"/>
      <c r="K382" s="82"/>
      <c r="L382" s="83"/>
      <c r="M382" s="80"/>
      <c r="N382" s="79"/>
      <c r="O382" s="80"/>
      <c r="P382" s="5"/>
    </row>
    <row r="383" ht="18" customHeight="1" spans="1:16">
      <c r="A383" s="77" t="str">
        <f t="shared" si="5"/>
        <v/>
      </c>
      <c r="B383" s="78"/>
      <c r="C383" s="78"/>
      <c r="D383" s="79"/>
      <c r="E383" s="80"/>
      <c r="F383" s="80"/>
      <c r="G383" s="81"/>
      <c r="H383" s="5"/>
      <c r="I383" s="79"/>
      <c r="J383" s="79"/>
      <c r="K383" s="82"/>
      <c r="L383" s="83"/>
      <c r="M383" s="80"/>
      <c r="N383" s="79"/>
      <c r="O383" s="80"/>
      <c r="P383" s="5"/>
    </row>
    <row r="384" ht="18" customHeight="1" spans="1:16">
      <c r="A384" s="77" t="str">
        <f t="shared" si="5"/>
        <v/>
      </c>
      <c r="B384" s="78"/>
      <c r="C384" s="78"/>
      <c r="D384" s="79"/>
      <c r="E384" s="80"/>
      <c r="F384" s="80"/>
      <c r="G384" s="81"/>
      <c r="H384" s="5"/>
      <c r="I384" s="79"/>
      <c r="J384" s="79"/>
      <c r="K384" s="82"/>
      <c r="L384" s="83"/>
      <c r="M384" s="80"/>
      <c r="N384" s="79"/>
      <c r="O384" s="80"/>
      <c r="P384" s="5"/>
    </row>
    <row r="385" ht="18" customHeight="1" spans="1:16">
      <c r="A385" s="77" t="str">
        <f t="shared" si="5"/>
        <v/>
      </c>
      <c r="B385" s="78"/>
      <c r="C385" s="78"/>
      <c r="D385" s="79"/>
      <c r="E385" s="80"/>
      <c r="F385" s="80"/>
      <c r="G385" s="81"/>
      <c r="H385" s="5"/>
      <c r="I385" s="79"/>
      <c r="J385" s="79"/>
      <c r="K385" s="82"/>
      <c r="L385" s="83"/>
      <c r="M385" s="80"/>
      <c r="N385" s="79"/>
      <c r="O385" s="80"/>
      <c r="P385" s="5"/>
    </row>
    <row r="386" ht="18" customHeight="1" spans="1:16">
      <c r="A386" s="77" t="str">
        <f t="shared" si="5"/>
        <v/>
      </c>
      <c r="B386" s="78"/>
      <c r="C386" s="78"/>
      <c r="D386" s="79"/>
      <c r="E386" s="80"/>
      <c r="F386" s="80"/>
      <c r="G386" s="81"/>
      <c r="H386" s="5"/>
      <c r="I386" s="79"/>
      <c r="J386" s="79"/>
      <c r="K386" s="82"/>
      <c r="L386" s="83"/>
      <c r="M386" s="80"/>
      <c r="N386" s="79"/>
      <c r="O386" s="80"/>
      <c r="P386" s="5"/>
    </row>
    <row r="387" ht="18" customHeight="1" spans="1:16">
      <c r="A387" s="77" t="str">
        <f t="shared" si="5"/>
        <v/>
      </c>
      <c r="B387" s="78"/>
      <c r="C387" s="78"/>
      <c r="D387" s="79"/>
      <c r="E387" s="80"/>
      <c r="F387" s="80"/>
      <c r="G387" s="81"/>
      <c r="H387" s="5"/>
      <c r="I387" s="79"/>
      <c r="J387" s="79"/>
      <c r="K387" s="82"/>
      <c r="L387" s="83"/>
      <c r="M387" s="80"/>
      <c r="N387" s="79"/>
      <c r="O387" s="80"/>
      <c r="P387" s="5"/>
    </row>
    <row r="388" ht="18" customHeight="1" spans="1:16">
      <c r="A388" s="77" t="str">
        <f t="shared" ref="A388:A451" si="6">IF($D388="","",ROW()-3)</f>
        <v/>
      </c>
      <c r="B388" s="78"/>
      <c r="C388" s="78"/>
      <c r="D388" s="79"/>
      <c r="E388" s="80"/>
      <c r="F388" s="80"/>
      <c r="G388" s="81"/>
      <c r="H388" s="5"/>
      <c r="I388" s="79"/>
      <c r="J388" s="79"/>
      <c r="K388" s="82"/>
      <c r="L388" s="83"/>
      <c r="M388" s="80"/>
      <c r="N388" s="79"/>
      <c r="O388" s="80"/>
      <c r="P388" s="5"/>
    </row>
    <row r="389" ht="18" customHeight="1" spans="1:16">
      <c r="A389" s="77" t="str">
        <f t="shared" si="6"/>
        <v/>
      </c>
      <c r="B389" s="78"/>
      <c r="C389" s="78"/>
      <c r="D389" s="79"/>
      <c r="E389" s="80"/>
      <c r="F389" s="80"/>
      <c r="G389" s="81"/>
      <c r="H389" s="5"/>
      <c r="I389" s="79"/>
      <c r="J389" s="79"/>
      <c r="K389" s="82"/>
      <c r="L389" s="83"/>
      <c r="M389" s="80"/>
      <c r="N389" s="79"/>
      <c r="O389" s="80"/>
      <c r="P389" s="5"/>
    </row>
    <row r="390" ht="18" customHeight="1" spans="1:16">
      <c r="A390" s="77" t="str">
        <f t="shared" si="6"/>
        <v/>
      </c>
      <c r="B390" s="78"/>
      <c r="C390" s="78"/>
      <c r="D390" s="79"/>
      <c r="E390" s="80"/>
      <c r="F390" s="80"/>
      <c r="G390" s="81"/>
      <c r="H390" s="5"/>
      <c r="I390" s="79"/>
      <c r="J390" s="79"/>
      <c r="K390" s="82"/>
      <c r="L390" s="83"/>
      <c r="M390" s="80"/>
      <c r="N390" s="79"/>
      <c r="O390" s="80"/>
      <c r="P390" s="5"/>
    </row>
    <row r="391" ht="18" customHeight="1" spans="1:16">
      <c r="A391" s="77" t="str">
        <f t="shared" si="6"/>
        <v/>
      </c>
      <c r="B391" s="78"/>
      <c r="C391" s="78"/>
      <c r="D391" s="79"/>
      <c r="E391" s="80"/>
      <c r="F391" s="80"/>
      <c r="G391" s="81"/>
      <c r="H391" s="5"/>
      <c r="I391" s="79"/>
      <c r="J391" s="79"/>
      <c r="K391" s="82"/>
      <c r="L391" s="83"/>
      <c r="M391" s="80"/>
      <c r="N391" s="79"/>
      <c r="O391" s="80"/>
      <c r="P391" s="5"/>
    </row>
    <row r="392" ht="18" customHeight="1" spans="1:16">
      <c r="A392" s="77" t="str">
        <f t="shared" si="6"/>
        <v/>
      </c>
      <c r="B392" s="78"/>
      <c r="C392" s="78"/>
      <c r="D392" s="79"/>
      <c r="E392" s="80"/>
      <c r="F392" s="80"/>
      <c r="G392" s="81"/>
      <c r="H392" s="5"/>
      <c r="I392" s="79"/>
      <c r="J392" s="79"/>
      <c r="K392" s="82"/>
      <c r="L392" s="83"/>
      <c r="M392" s="80"/>
      <c r="N392" s="79"/>
      <c r="O392" s="80"/>
      <c r="P392" s="5"/>
    </row>
    <row r="393" ht="18" customHeight="1" spans="1:16">
      <c r="A393" s="77" t="str">
        <f t="shared" si="6"/>
        <v/>
      </c>
      <c r="B393" s="78"/>
      <c r="C393" s="78"/>
      <c r="D393" s="79"/>
      <c r="E393" s="80"/>
      <c r="F393" s="80"/>
      <c r="G393" s="81"/>
      <c r="H393" s="5"/>
      <c r="I393" s="79"/>
      <c r="J393" s="79"/>
      <c r="K393" s="82"/>
      <c r="L393" s="83"/>
      <c r="M393" s="80"/>
      <c r="N393" s="79"/>
      <c r="O393" s="80"/>
      <c r="P393" s="5"/>
    </row>
    <row r="394" ht="18" customHeight="1" spans="1:16">
      <c r="A394" s="77" t="str">
        <f t="shared" si="6"/>
        <v/>
      </c>
      <c r="B394" s="78"/>
      <c r="C394" s="78"/>
      <c r="D394" s="79"/>
      <c r="E394" s="80"/>
      <c r="F394" s="80"/>
      <c r="G394" s="81"/>
      <c r="H394" s="5"/>
      <c r="I394" s="79"/>
      <c r="J394" s="79"/>
      <c r="K394" s="82"/>
      <c r="L394" s="83"/>
      <c r="M394" s="80"/>
      <c r="N394" s="79"/>
      <c r="O394" s="80"/>
      <c r="P394" s="5"/>
    </row>
    <row r="395" ht="18" customHeight="1" spans="1:16">
      <c r="A395" s="77" t="str">
        <f t="shared" si="6"/>
        <v/>
      </c>
      <c r="B395" s="78"/>
      <c r="C395" s="78"/>
      <c r="D395" s="79"/>
      <c r="E395" s="80"/>
      <c r="F395" s="80"/>
      <c r="G395" s="81"/>
      <c r="H395" s="5"/>
      <c r="I395" s="79"/>
      <c r="J395" s="79"/>
      <c r="K395" s="82"/>
      <c r="L395" s="83"/>
      <c r="M395" s="80"/>
      <c r="N395" s="79"/>
      <c r="O395" s="80"/>
      <c r="P395" s="5"/>
    </row>
    <row r="396" ht="18" customHeight="1" spans="1:16">
      <c r="A396" s="77" t="str">
        <f t="shared" si="6"/>
        <v/>
      </c>
      <c r="B396" s="78"/>
      <c r="C396" s="78"/>
      <c r="D396" s="79"/>
      <c r="E396" s="80"/>
      <c r="F396" s="80"/>
      <c r="G396" s="81"/>
      <c r="H396" s="5"/>
      <c r="I396" s="79"/>
      <c r="J396" s="79"/>
      <c r="K396" s="82"/>
      <c r="L396" s="83"/>
      <c r="M396" s="80"/>
      <c r="N396" s="79"/>
      <c r="O396" s="80"/>
      <c r="P396" s="5"/>
    </row>
    <row r="397" ht="18" customHeight="1" spans="1:16">
      <c r="A397" s="77" t="str">
        <f t="shared" si="6"/>
        <v/>
      </c>
      <c r="B397" s="78"/>
      <c r="C397" s="78"/>
      <c r="D397" s="79"/>
      <c r="E397" s="80"/>
      <c r="F397" s="80"/>
      <c r="G397" s="81"/>
      <c r="H397" s="5"/>
      <c r="I397" s="79"/>
      <c r="J397" s="79"/>
      <c r="K397" s="82"/>
      <c r="L397" s="83"/>
      <c r="M397" s="80"/>
      <c r="N397" s="79"/>
      <c r="O397" s="80"/>
      <c r="P397" s="5"/>
    </row>
    <row r="398" ht="18" customHeight="1" spans="1:16">
      <c r="A398" s="77" t="str">
        <f t="shared" si="6"/>
        <v/>
      </c>
      <c r="B398" s="78"/>
      <c r="C398" s="78"/>
      <c r="D398" s="79"/>
      <c r="E398" s="80"/>
      <c r="F398" s="80"/>
      <c r="G398" s="81"/>
      <c r="H398" s="5"/>
      <c r="I398" s="79"/>
      <c r="J398" s="79"/>
      <c r="K398" s="82"/>
      <c r="L398" s="83"/>
      <c r="M398" s="80"/>
      <c r="N398" s="79"/>
      <c r="O398" s="80"/>
      <c r="P398" s="5"/>
    </row>
    <row r="399" ht="18" customHeight="1" spans="1:16">
      <c r="A399" s="77" t="str">
        <f t="shared" si="6"/>
        <v/>
      </c>
      <c r="B399" s="78"/>
      <c r="C399" s="78"/>
      <c r="D399" s="79"/>
      <c r="E399" s="80"/>
      <c r="F399" s="80"/>
      <c r="G399" s="81"/>
      <c r="H399" s="5"/>
      <c r="I399" s="79"/>
      <c r="J399" s="79"/>
      <c r="K399" s="82"/>
      <c r="L399" s="83"/>
      <c r="M399" s="80"/>
      <c r="N399" s="79"/>
      <c r="O399" s="80"/>
      <c r="P399" s="5"/>
    </row>
    <row r="400" ht="18" customHeight="1" spans="1:16">
      <c r="A400" s="77" t="str">
        <f t="shared" si="6"/>
        <v/>
      </c>
      <c r="B400" s="78"/>
      <c r="C400" s="78"/>
      <c r="D400" s="79"/>
      <c r="E400" s="80"/>
      <c r="F400" s="80"/>
      <c r="G400" s="81"/>
      <c r="H400" s="5"/>
      <c r="I400" s="79"/>
      <c r="J400" s="79"/>
      <c r="K400" s="82"/>
      <c r="L400" s="83"/>
      <c r="M400" s="80"/>
      <c r="N400" s="79"/>
      <c r="O400" s="80"/>
      <c r="P400" s="5"/>
    </row>
    <row r="401" ht="18" customHeight="1" spans="1:16">
      <c r="A401" s="77" t="str">
        <f t="shared" si="6"/>
        <v/>
      </c>
      <c r="B401" s="78"/>
      <c r="C401" s="78"/>
      <c r="D401" s="79"/>
      <c r="E401" s="80"/>
      <c r="F401" s="80"/>
      <c r="G401" s="81"/>
      <c r="H401" s="5"/>
      <c r="I401" s="79"/>
      <c r="J401" s="79"/>
      <c r="K401" s="82"/>
      <c r="L401" s="83"/>
      <c r="M401" s="80"/>
      <c r="N401" s="79"/>
      <c r="O401" s="80"/>
      <c r="P401" s="5"/>
    </row>
    <row r="402" ht="18" customHeight="1" spans="1:16">
      <c r="A402" s="77" t="str">
        <f t="shared" si="6"/>
        <v/>
      </c>
      <c r="B402" s="78"/>
      <c r="C402" s="78"/>
      <c r="D402" s="79"/>
      <c r="E402" s="80"/>
      <c r="F402" s="80"/>
      <c r="G402" s="81"/>
      <c r="H402" s="5"/>
      <c r="I402" s="79"/>
      <c r="J402" s="79"/>
      <c r="K402" s="82"/>
      <c r="L402" s="83"/>
      <c r="M402" s="80"/>
      <c r="N402" s="79"/>
      <c r="O402" s="80"/>
      <c r="P402" s="5"/>
    </row>
    <row r="403" ht="18" customHeight="1" spans="1:16">
      <c r="A403" s="77" t="str">
        <f t="shared" si="6"/>
        <v/>
      </c>
      <c r="B403" s="78"/>
      <c r="C403" s="78"/>
      <c r="D403" s="79"/>
      <c r="E403" s="80"/>
      <c r="F403" s="80"/>
      <c r="G403" s="81"/>
      <c r="H403" s="5"/>
      <c r="I403" s="79"/>
      <c r="J403" s="79"/>
      <c r="K403" s="82"/>
      <c r="L403" s="83"/>
      <c r="M403" s="80"/>
      <c r="N403" s="79"/>
      <c r="O403" s="80"/>
      <c r="P403" s="5"/>
    </row>
    <row r="404" ht="18" customHeight="1" spans="1:16">
      <c r="A404" s="77" t="str">
        <f t="shared" si="6"/>
        <v/>
      </c>
      <c r="B404" s="78"/>
      <c r="C404" s="78"/>
      <c r="D404" s="79"/>
      <c r="E404" s="80"/>
      <c r="F404" s="80"/>
      <c r="G404" s="81"/>
      <c r="H404" s="5"/>
      <c r="I404" s="79"/>
      <c r="J404" s="79"/>
      <c r="K404" s="82"/>
      <c r="L404" s="83"/>
      <c r="M404" s="80"/>
      <c r="N404" s="79"/>
      <c r="O404" s="80"/>
      <c r="P404" s="5"/>
    </row>
    <row r="405" ht="18" customHeight="1" spans="1:16">
      <c r="A405" s="77" t="str">
        <f t="shared" si="6"/>
        <v/>
      </c>
      <c r="B405" s="78"/>
      <c r="C405" s="78"/>
      <c r="D405" s="79"/>
      <c r="E405" s="80"/>
      <c r="F405" s="80"/>
      <c r="G405" s="81"/>
      <c r="H405" s="5"/>
      <c r="I405" s="79"/>
      <c r="J405" s="79"/>
      <c r="K405" s="82"/>
      <c r="L405" s="83"/>
      <c r="M405" s="80"/>
      <c r="N405" s="79"/>
      <c r="O405" s="80"/>
      <c r="P405" s="5"/>
    </row>
    <row r="406" ht="18" customHeight="1" spans="1:16">
      <c r="A406" s="77" t="str">
        <f t="shared" si="6"/>
        <v/>
      </c>
      <c r="B406" s="78"/>
      <c r="C406" s="78"/>
      <c r="D406" s="79"/>
      <c r="E406" s="80"/>
      <c r="F406" s="80"/>
      <c r="G406" s="81"/>
      <c r="H406" s="5"/>
      <c r="I406" s="79"/>
      <c r="J406" s="79"/>
      <c r="K406" s="82"/>
      <c r="L406" s="83"/>
      <c r="M406" s="80"/>
      <c r="N406" s="79"/>
      <c r="O406" s="80"/>
      <c r="P406" s="5"/>
    </row>
    <row r="407" ht="18" customHeight="1" spans="1:16">
      <c r="A407" s="77" t="str">
        <f t="shared" si="6"/>
        <v/>
      </c>
      <c r="B407" s="78"/>
      <c r="C407" s="78"/>
      <c r="D407" s="79"/>
      <c r="E407" s="80"/>
      <c r="F407" s="80"/>
      <c r="G407" s="81"/>
      <c r="H407" s="5"/>
      <c r="I407" s="79"/>
      <c r="J407" s="79"/>
      <c r="K407" s="82"/>
      <c r="L407" s="83"/>
      <c r="M407" s="80"/>
      <c r="N407" s="79"/>
      <c r="O407" s="80"/>
      <c r="P407" s="5"/>
    </row>
    <row r="408" ht="18" customHeight="1" spans="1:16">
      <c r="A408" s="77" t="str">
        <f t="shared" si="6"/>
        <v/>
      </c>
      <c r="B408" s="78"/>
      <c r="C408" s="78"/>
      <c r="D408" s="79"/>
      <c r="E408" s="80"/>
      <c r="F408" s="80"/>
      <c r="G408" s="81"/>
      <c r="H408" s="5"/>
      <c r="I408" s="79"/>
      <c r="J408" s="79"/>
      <c r="K408" s="82"/>
      <c r="L408" s="83"/>
      <c r="M408" s="80"/>
      <c r="N408" s="79"/>
      <c r="O408" s="80"/>
      <c r="P408" s="5"/>
    </row>
    <row r="409" ht="18" customHeight="1" spans="1:16">
      <c r="A409" s="77" t="str">
        <f t="shared" si="6"/>
        <v/>
      </c>
      <c r="B409" s="78"/>
      <c r="C409" s="78"/>
      <c r="D409" s="79"/>
      <c r="E409" s="80"/>
      <c r="F409" s="80"/>
      <c r="G409" s="81"/>
      <c r="H409" s="5"/>
      <c r="I409" s="79"/>
      <c r="J409" s="79"/>
      <c r="K409" s="82"/>
      <c r="L409" s="83"/>
      <c r="M409" s="80"/>
      <c r="N409" s="79"/>
      <c r="O409" s="80"/>
      <c r="P409" s="5"/>
    </row>
    <row r="410" ht="18" customHeight="1" spans="1:16">
      <c r="A410" s="77" t="str">
        <f t="shared" si="6"/>
        <v/>
      </c>
      <c r="B410" s="78"/>
      <c r="C410" s="78"/>
      <c r="D410" s="79"/>
      <c r="E410" s="80"/>
      <c r="F410" s="80"/>
      <c r="G410" s="81"/>
      <c r="H410" s="5"/>
      <c r="I410" s="79"/>
      <c r="J410" s="79"/>
      <c r="K410" s="82"/>
      <c r="L410" s="83"/>
      <c r="M410" s="80"/>
      <c r="N410" s="79"/>
      <c r="O410" s="80"/>
      <c r="P410" s="5"/>
    </row>
    <row r="411" ht="18" customHeight="1" spans="1:16">
      <c r="A411" s="77" t="str">
        <f t="shared" si="6"/>
        <v/>
      </c>
      <c r="B411" s="78"/>
      <c r="C411" s="78"/>
      <c r="D411" s="79"/>
      <c r="E411" s="80"/>
      <c r="F411" s="80"/>
      <c r="G411" s="81"/>
      <c r="H411" s="5"/>
      <c r="I411" s="79"/>
      <c r="J411" s="79"/>
      <c r="K411" s="82"/>
      <c r="L411" s="83"/>
      <c r="M411" s="80"/>
      <c r="N411" s="79"/>
      <c r="O411" s="80"/>
      <c r="P411" s="5"/>
    </row>
    <row r="412" ht="18" customHeight="1" spans="1:16">
      <c r="A412" s="77" t="str">
        <f t="shared" si="6"/>
        <v/>
      </c>
      <c r="B412" s="78"/>
      <c r="C412" s="78"/>
      <c r="D412" s="79"/>
      <c r="E412" s="80"/>
      <c r="F412" s="80"/>
      <c r="G412" s="81"/>
      <c r="H412" s="5"/>
      <c r="I412" s="79"/>
      <c r="J412" s="79"/>
      <c r="K412" s="82"/>
      <c r="L412" s="83"/>
      <c r="M412" s="80"/>
      <c r="N412" s="79"/>
      <c r="O412" s="80"/>
      <c r="P412" s="5"/>
    </row>
    <row r="413" ht="18" customHeight="1" spans="1:16">
      <c r="A413" s="77" t="str">
        <f t="shared" si="6"/>
        <v/>
      </c>
      <c r="B413" s="78"/>
      <c r="C413" s="78"/>
      <c r="D413" s="79"/>
      <c r="E413" s="80"/>
      <c r="F413" s="80"/>
      <c r="G413" s="81"/>
      <c r="H413" s="5"/>
      <c r="I413" s="79"/>
      <c r="J413" s="79"/>
      <c r="K413" s="82"/>
      <c r="L413" s="83"/>
      <c r="M413" s="80"/>
      <c r="N413" s="79"/>
      <c r="O413" s="80"/>
      <c r="P413" s="5"/>
    </row>
    <row r="414" ht="18" customHeight="1" spans="1:16">
      <c r="A414" s="77" t="str">
        <f t="shared" si="6"/>
        <v/>
      </c>
      <c r="B414" s="78"/>
      <c r="C414" s="78"/>
      <c r="D414" s="79"/>
      <c r="E414" s="80"/>
      <c r="F414" s="80"/>
      <c r="G414" s="81"/>
      <c r="H414" s="5"/>
      <c r="I414" s="79"/>
      <c r="J414" s="79"/>
      <c r="K414" s="82"/>
      <c r="L414" s="83"/>
      <c r="M414" s="80"/>
      <c r="N414" s="79"/>
      <c r="O414" s="80"/>
      <c r="P414" s="5"/>
    </row>
    <row r="415" ht="18" customHeight="1" spans="1:16">
      <c r="A415" s="77" t="str">
        <f t="shared" si="6"/>
        <v/>
      </c>
      <c r="B415" s="78"/>
      <c r="C415" s="78"/>
      <c r="D415" s="79"/>
      <c r="E415" s="80"/>
      <c r="F415" s="80"/>
      <c r="G415" s="81"/>
      <c r="H415" s="5"/>
      <c r="I415" s="79"/>
      <c r="J415" s="79"/>
      <c r="K415" s="82"/>
      <c r="L415" s="83"/>
      <c r="M415" s="80"/>
      <c r="N415" s="79"/>
      <c r="O415" s="80"/>
      <c r="P415" s="5"/>
    </row>
    <row r="416" ht="18" customHeight="1" spans="1:16">
      <c r="A416" s="77" t="str">
        <f t="shared" si="6"/>
        <v/>
      </c>
      <c r="B416" s="78"/>
      <c r="C416" s="78"/>
      <c r="D416" s="79"/>
      <c r="E416" s="80"/>
      <c r="F416" s="80"/>
      <c r="G416" s="81"/>
      <c r="H416" s="5"/>
      <c r="I416" s="79"/>
      <c r="J416" s="79"/>
      <c r="K416" s="82"/>
      <c r="L416" s="83"/>
      <c r="M416" s="80"/>
      <c r="N416" s="79"/>
      <c r="O416" s="80"/>
      <c r="P416" s="5"/>
    </row>
    <row r="417" ht="18" customHeight="1" spans="1:16">
      <c r="A417" s="77" t="str">
        <f t="shared" si="6"/>
        <v/>
      </c>
      <c r="B417" s="78"/>
      <c r="C417" s="78"/>
      <c r="D417" s="79"/>
      <c r="E417" s="80"/>
      <c r="F417" s="80"/>
      <c r="G417" s="81"/>
      <c r="H417" s="5"/>
      <c r="I417" s="79"/>
      <c r="J417" s="79"/>
      <c r="K417" s="82"/>
      <c r="L417" s="83"/>
      <c r="M417" s="80"/>
      <c r="N417" s="79"/>
      <c r="O417" s="80"/>
      <c r="P417" s="5"/>
    </row>
    <row r="418" ht="18" customHeight="1" spans="1:16">
      <c r="A418" s="77" t="str">
        <f t="shared" si="6"/>
        <v/>
      </c>
      <c r="B418" s="78"/>
      <c r="C418" s="78"/>
      <c r="D418" s="79"/>
      <c r="E418" s="80"/>
      <c r="F418" s="80"/>
      <c r="G418" s="81"/>
      <c r="H418" s="5"/>
      <c r="I418" s="79"/>
      <c r="J418" s="79"/>
      <c r="K418" s="82"/>
      <c r="L418" s="83"/>
      <c r="M418" s="80"/>
      <c r="N418" s="79"/>
      <c r="O418" s="80"/>
      <c r="P418" s="5"/>
    </row>
    <row r="419" ht="18" customHeight="1" spans="1:16">
      <c r="A419" s="77" t="str">
        <f t="shared" si="6"/>
        <v/>
      </c>
      <c r="B419" s="78"/>
      <c r="C419" s="78"/>
      <c r="D419" s="79"/>
      <c r="E419" s="80"/>
      <c r="F419" s="80"/>
      <c r="G419" s="81"/>
      <c r="H419" s="5"/>
      <c r="I419" s="79"/>
      <c r="J419" s="79"/>
      <c r="K419" s="82"/>
      <c r="L419" s="83"/>
      <c r="M419" s="80"/>
      <c r="N419" s="79"/>
      <c r="O419" s="80"/>
      <c r="P419" s="5"/>
    </row>
    <row r="420" ht="18" customHeight="1" spans="1:16">
      <c r="A420" s="77" t="str">
        <f t="shared" si="6"/>
        <v/>
      </c>
      <c r="B420" s="78"/>
      <c r="C420" s="78"/>
      <c r="D420" s="79"/>
      <c r="E420" s="80"/>
      <c r="F420" s="80"/>
      <c r="G420" s="81"/>
      <c r="H420" s="5"/>
      <c r="I420" s="79"/>
      <c r="J420" s="79"/>
      <c r="K420" s="82"/>
      <c r="L420" s="83"/>
      <c r="M420" s="80"/>
      <c r="N420" s="79"/>
      <c r="O420" s="80"/>
      <c r="P420" s="5"/>
    </row>
    <row r="421" ht="18" customHeight="1" spans="1:16">
      <c r="A421" s="77" t="str">
        <f t="shared" si="6"/>
        <v/>
      </c>
      <c r="B421" s="78"/>
      <c r="C421" s="78"/>
      <c r="D421" s="79"/>
      <c r="E421" s="80"/>
      <c r="F421" s="80"/>
      <c r="G421" s="81"/>
      <c r="H421" s="5"/>
      <c r="I421" s="79"/>
      <c r="J421" s="79"/>
      <c r="K421" s="82"/>
      <c r="L421" s="83"/>
      <c r="M421" s="80"/>
      <c r="N421" s="79"/>
      <c r="O421" s="80"/>
      <c r="P421" s="5"/>
    </row>
    <row r="422" ht="18" customHeight="1" spans="1:16">
      <c r="A422" s="77" t="str">
        <f t="shared" si="6"/>
        <v/>
      </c>
      <c r="B422" s="78"/>
      <c r="C422" s="78"/>
      <c r="D422" s="79"/>
      <c r="E422" s="80"/>
      <c r="F422" s="80"/>
      <c r="G422" s="81"/>
      <c r="H422" s="5"/>
      <c r="I422" s="79"/>
      <c r="J422" s="79"/>
      <c r="K422" s="82"/>
      <c r="L422" s="83"/>
      <c r="M422" s="80"/>
      <c r="N422" s="79"/>
      <c r="O422" s="80"/>
      <c r="P422" s="5"/>
    </row>
    <row r="423" ht="18" customHeight="1" spans="1:16">
      <c r="A423" s="77" t="str">
        <f t="shared" si="6"/>
        <v/>
      </c>
      <c r="B423" s="78"/>
      <c r="C423" s="78"/>
      <c r="D423" s="79"/>
      <c r="E423" s="80"/>
      <c r="F423" s="80"/>
      <c r="G423" s="81"/>
      <c r="H423" s="5"/>
      <c r="I423" s="79"/>
      <c r="J423" s="79"/>
      <c r="K423" s="82"/>
      <c r="L423" s="83"/>
      <c r="M423" s="80"/>
      <c r="N423" s="79"/>
      <c r="O423" s="80"/>
      <c r="P423" s="5"/>
    </row>
    <row r="424" ht="18" customHeight="1" spans="1:16">
      <c r="A424" s="77" t="str">
        <f t="shared" si="6"/>
        <v/>
      </c>
      <c r="B424" s="78"/>
      <c r="C424" s="78"/>
      <c r="D424" s="79"/>
      <c r="E424" s="80"/>
      <c r="F424" s="80"/>
      <c r="G424" s="81"/>
      <c r="H424" s="5"/>
      <c r="I424" s="79"/>
      <c r="J424" s="79"/>
      <c r="K424" s="82"/>
      <c r="L424" s="83"/>
      <c r="M424" s="80"/>
      <c r="N424" s="79"/>
      <c r="O424" s="80"/>
      <c r="P424" s="5"/>
    </row>
    <row r="425" ht="18" customHeight="1" spans="1:16">
      <c r="A425" s="77" t="str">
        <f t="shared" si="6"/>
        <v/>
      </c>
      <c r="B425" s="78"/>
      <c r="C425" s="78"/>
      <c r="D425" s="79"/>
      <c r="E425" s="80"/>
      <c r="F425" s="80"/>
      <c r="G425" s="81"/>
      <c r="H425" s="5"/>
      <c r="I425" s="79"/>
      <c r="J425" s="79"/>
      <c r="K425" s="82"/>
      <c r="L425" s="83"/>
      <c r="M425" s="80"/>
      <c r="N425" s="79"/>
      <c r="O425" s="80"/>
      <c r="P425" s="5"/>
    </row>
    <row r="426" ht="18" customHeight="1" spans="1:16">
      <c r="A426" s="77" t="str">
        <f t="shared" si="6"/>
        <v/>
      </c>
      <c r="B426" s="78"/>
      <c r="C426" s="78"/>
      <c r="D426" s="79"/>
      <c r="E426" s="80"/>
      <c r="F426" s="80"/>
      <c r="G426" s="81"/>
      <c r="H426" s="5"/>
      <c r="I426" s="79"/>
      <c r="J426" s="79"/>
      <c r="K426" s="82"/>
      <c r="L426" s="83"/>
      <c r="M426" s="80"/>
      <c r="N426" s="79"/>
      <c r="O426" s="80"/>
      <c r="P426" s="5"/>
    </row>
    <row r="427" ht="18" customHeight="1" spans="1:16">
      <c r="A427" s="77" t="str">
        <f t="shared" si="6"/>
        <v/>
      </c>
      <c r="B427" s="78"/>
      <c r="C427" s="78"/>
      <c r="D427" s="79"/>
      <c r="E427" s="80"/>
      <c r="F427" s="80"/>
      <c r="G427" s="81"/>
      <c r="H427" s="5"/>
      <c r="I427" s="79"/>
      <c r="J427" s="79"/>
      <c r="K427" s="82"/>
      <c r="L427" s="83"/>
      <c r="M427" s="80"/>
      <c r="N427" s="79"/>
      <c r="O427" s="80"/>
      <c r="P427" s="5"/>
    </row>
    <row r="428" ht="18" customHeight="1" spans="1:16">
      <c r="A428" s="77" t="str">
        <f t="shared" si="6"/>
        <v/>
      </c>
      <c r="B428" s="78"/>
      <c r="C428" s="78"/>
      <c r="D428" s="79"/>
      <c r="E428" s="80"/>
      <c r="F428" s="80"/>
      <c r="G428" s="81"/>
      <c r="H428" s="5"/>
      <c r="I428" s="79"/>
      <c r="J428" s="79"/>
      <c r="K428" s="82"/>
      <c r="L428" s="83"/>
      <c r="M428" s="80"/>
      <c r="N428" s="79"/>
      <c r="O428" s="80"/>
      <c r="P428" s="5"/>
    </row>
    <row r="429" ht="18" customHeight="1" spans="1:16">
      <c r="A429" s="77" t="str">
        <f t="shared" si="6"/>
        <v/>
      </c>
      <c r="B429" s="78"/>
      <c r="C429" s="78"/>
      <c r="D429" s="79"/>
      <c r="E429" s="80"/>
      <c r="F429" s="80"/>
      <c r="G429" s="81"/>
      <c r="H429" s="5"/>
      <c r="I429" s="79"/>
      <c r="J429" s="79"/>
      <c r="K429" s="82"/>
      <c r="L429" s="83"/>
      <c r="M429" s="80"/>
      <c r="N429" s="79"/>
      <c r="O429" s="80"/>
      <c r="P429" s="5"/>
    </row>
    <row r="430" ht="18" customHeight="1" spans="1:16">
      <c r="A430" s="77" t="str">
        <f t="shared" si="6"/>
        <v/>
      </c>
      <c r="B430" s="78"/>
      <c r="C430" s="78"/>
      <c r="D430" s="79"/>
      <c r="E430" s="80"/>
      <c r="F430" s="80"/>
      <c r="G430" s="81"/>
      <c r="H430" s="5"/>
      <c r="I430" s="79"/>
      <c r="J430" s="79"/>
      <c r="K430" s="82"/>
      <c r="L430" s="83"/>
      <c r="M430" s="80"/>
      <c r="N430" s="79"/>
      <c r="O430" s="80"/>
      <c r="P430" s="5"/>
    </row>
    <row r="431" ht="18" customHeight="1" spans="1:16">
      <c r="A431" s="77" t="str">
        <f t="shared" si="6"/>
        <v/>
      </c>
      <c r="B431" s="78"/>
      <c r="C431" s="78"/>
      <c r="D431" s="79"/>
      <c r="E431" s="80"/>
      <c r="F431" s="80"/>
      <c r="G431" s="81"/>
      <c r="H431" s="5"/>
      <c r="I431" s="79"/>
      <c r="J431" s="79"/>
      <c r="K431" s="82"/>
      <c r="L431" s="83"/>
      <c r="M431" s="80"/>
      <c r="N431" s="79"/>
      <c r="O431" s="80"/>
      <c r="P431" s="5"/>
    </row>
    <row r="432" ht="18" customHeight="1" spans="1:16">
      <c r="A432" s="77" t="str">
        <f t="shared" si="6"/>
        <v/>
      </c>
      <c r="B432" s="78"/>
      <c r="C432" s="78"/>
      <c r="D432" s="79"/>
      <c r="E432" s="80"/>
      <c r="F432" s="80"/>
      <c r="G432" s="81"/>
      <c r="H432" s="5"/>
      <c r="I432" s="79"/>
      <c r="J432" s="79"/>
      <c r="K432" s="82"/>
      <c r="L432" s="83"/>
      <c r="M432" s="80"/>
      <c r="N432" s="79"/>
      <c r="O432" s="80"/>
      <c r="P432" s="5"/>
    </row>
    <row r="433" ht="18" customHeight="1" spans="1:16">
      <c r="A433" s="77" t="str">
        <f t="shared" si="6"/>
        <v/>
      </c>
      <c r="B433" s="78"/>
      <c r="C433" s="78"/>
      <c r="D433" s="79"/>
      <c r="E433" s="80"/>
      <c r="F433" s="80"/>
      <c r="G433" s="81"/>
      <c r="H433" s="5"/>
      <c r="I433" s="79"/>
      <c r="J433" s="79"/>
      <c r="K433" s="82"/>
      <c r="L433" s="83"/>
      <c r="M433" s="80"/>
      <c r="N433" s="79"/>
      <c r="O433" s="80"/>
      <c r="P433" s="5"/>
    </row>
    <row r="434" ht="18" customHeight="1" spans="1:16">
      <c r="A434" s="77" t="str">
        <f t="shared" si="6"/>
        <v/>
      </c>
      <c r="B434" s="78"/>
      <c r="C434" s="78"/>
      <c r="D434" s="79"/>
      <c r="E434" s="80"/>
      <c r="F434" s="80"/>
      <c r="G434" s="81"/>
      <c r="H434" s="5"/>
      <c r="I434" s="79"/>
      <c r="J434" s="79"/>
      <c r="K434" s="82"/>
      <c r="L434" s="83"/>
      <c r="M434" s="80"/>
      <c r="N434" s="79"/>
      <c r="O434" s="80"/>
      <c r="P434" s="5"/>
    </row>
    <row r="435" ht="18" customHeight="1" spans="1:16">
      <c r="A435" s="77" t="str">
        <f t="shared" si="6"/>
        <v/>
      </c>
      <c r="B435" s="78"/>
      <c r="C435" s="78"/>
      <c r="D435" s="79"/>
      <c r="E435" s="80"/>
      <c r="F435" s="80"/>
      <c r="G435" s="81"/>
      <c r="H435" s="5"/>
      <c r="I435" s="79"/>
      <c r="J435" s="79"/>
      <c r="K435" s="82"/>
      <c r="L435" s="83"/>
      <c r="M435" s="80"/>
      <c r="N435" s="79"/>
      <c r="O435" s="80"/>
      <c r="P435" s="5"/>
    </row>
    <row r="436" ht="18" customHeight="1" spans="1:16">
      <c r="A436" s="77" t="str">
        <f t="shared" si="6"/>
        <v/>
      </c>
      <c r="B436" s="78"/>
      <c r="C436" s="78"/>
      <c r="D436" s="79"/>
      <c r="E436" s="80"/>
      <c r="F436" s="80"/>
      <c r="G436" s="81"/>
      <c r="H436" s="5"/>
      <c r="I436" s="79"/>
      <c r="J436" s="79"/>
      <c r="K436" s="82"/>
      <c r="L436" s="83"/>
      <c r="M436" s="80"/>
      <c r="N436" s="79"/>
      <c r="O436" s="80"/>
      <c r="P436" s="5"/>
    </row>
    <row r="437" ht="18" customHeight="1" spans="1:16">
      <c r="A437" s="77" t="str">
        <f t="shared" si="6"/>
        <v/>
      </c>
      <c r="B437" s="78"/>
      <c r="C437" s="78"/>
      <c r="D437" s="79"/>
      <c r="E437" s="80"/>
      <c r="F437" s="80"/>
      <c r="G437" s="81"/>
      <c r="H437" s="5"/>
      <c r="I437" s="79"/>
      <c r="J437" s="79"/>
      <c r="K437" s="82"/>
      <c r="L437" s="83"/>
      <c r="M437" s="80"/>
      <c r="N437" s="79"/>
      <c r="O437" s="80"/>
      <c r="P437" s="5"/>
    </row>
    <row r="438" ht="18" customHeight="1" spans="1:16">
      <c r="A438" s="77" t="str">
        <f t="shared" si="6"/>
        <v/>
      </c>
      <c r="B438" s="78"/>
      <c r="C438" s="78"/>
      <c r="D438" s="79"/>
      <c r="E438" s="80"/>
      <c r="F438" s="80"/>
      <c r="G438" s="81"/>
      <c r="H438" s="5"/>
      <c r="I438" s="79"/>
      <c r="J438" s="79"/>
      <c r="K438" s="82"/>
      <c r="L438" s="83"/>
      <c r="M438" s="80"/>
      <c r="N438" s="79"/>
      <c r="O438" s="80"/>
      <c r="P438" s="5"/>
    </row>
    <row r="439" ht="18" customHeight="1" spans="1:16">
      <c r="A439" s="77" t="str">
        <f t="shared" si="6"/>
        <v/>
      </c>
      <c r="B439" s="78"/>
      <c r="C439" s="78"/>
      <c r="D439" s="79"/>
      <c r="E439" s="80"/>
      <c r="F439" s="80"/>
      <c r="G439" s="81"/>
      <c r="H439" s="5"/>
      <c r="I439" s="79"/>
      <c r="J439" s="79"/>
      <c r="K439" s="82"/>
      <c r="L439" s="83"/>
      <c r="M439" s="80"/>
      <c r="N439" s="79"/>
      <c r="O439" s="80"/>
      <c r="P439" s="5"/>
    </row>
    <row r="440" ht="18" customHeight="1" spans="1:16">
      <c r="A440" s="77" t="str">
        <f t="shared" si="6"/>
        <v/>
      </c>
      <c r="B440" s="78"/>
      <c r="C440" s="78"/>
      <c r="D440" s="79"/>
      <c r="E440" s="80"/>
      <c r="F440" s="80"/>
      <c r="G440" s="81"/>
      <c r="H440" s="5"/>
      <c r="I440" s="79"/>
      <c r="J440" s="79"/>
      <c r="K440" s="82"/>
      <c r="L440" s="83"/>
      <c r="M440" s="80"/>
      <c r="N440" s="79"/>
      <c r="O440" s="80"/>
      <c r="P440" s="5"/>
    </row>
    <row r="441" ht="18" customHeight="1" spans="1:16">
      <c r="A441" s="77" t="str">
        <f t="shared" si="6"/>
        <v/>
      </c>
      <c r="B441" s="78"/>
      <c r="C441" s="78"/>
      <c r="D441" s="79"/>
      <c r="E441" s="80"/>
      <c r="F441" s="80"/>
      <c r="G441" s="81"/>
      <c r="H441" s="5"/>
      <c r="I441" s="79"/>
      <c r="J441" s="79"/>
      <c r="K441" s="82"/>
      <c r="L441" s="83"/>
      <c r="M441" s="80"/>
      <c r="N441" s="79"/>
      <c r="O441" s="80"/>
      <c r="P441" s="5"/>
    </row>
    <row r="442" ht="18" customHeight="1" spans="1:16">
      <c r="A442" s="77" t="str">
        <f t="shared" si="6"/>
        <v/>
      </c>
      <c r="B442" s="78"/>
      <c r="C442" s="78"/>
      <c r="D442" s="79"/>
      <c r="E442" s="80"/>
      <c r="F442" s="80"/>
      <c r="G442" s="81"/>
      <c r="H442" s="5"/>
      <c r="I442" s="79"/>
      <c r="J442" s="79"/>
      <c r="K442" s="82"/>
      <c r="L442" s="83"/>
      <c r="M442" s="80"/>
      <c r="N442" s="79"/>
      <c r="O442" s="80"/>
      <c r="P442" s="5"/>
    </row>
    <row r="443" ht="18" customHeight="1" spans="1:16">
      <c r="A443" s="77" t="str">
        <f t="shared" si="6"/>
        <v/>
      </c>
      <c r="B443" s="78"/>
      <c r="C443" s="78"/>
      <c r="D443" s="79"/>
      <c r="E443" s="80"/>
      <c r="F443" s="80"/>
      <c r="G443" s="81"/>
      <c r="H443" s="5"/>
      <c r="I443" s="79"/>
      <c r="J443" s="79"/>
      <c r="K443" s="82"/>
      <c r="L443" s="83"/>
      <c r="M443" s="80"/>
      <c r="N443" s="79"/>
      <c r="O443" s="80"/>
      <c r="P443" s="5"/>
    </row>
    <row r="444" ht="18" customHeight="1" spans="1:16">
      <c r="A444" s="77" t="str">
        <f t="shared" si="6"/>
        <v/>
      </c>
      <c r="B444" s="78"/>
      <c r="C444" s="78"/>
      <c r="D444" s="79"/>
      <c r="E444" s="80"/>
      <c r="F444" s="80"/>
      <c r="G444" s="81"/>
      <c r="H444" s="5"/>
      <c r="I444" s="79"/>
      <c r="J444" s="79"/>
      <c r="K444" s="82"/>
      <c r="L444" s="83"/>
      <c r="M444" s="80"/>
      <c r="N444" s="79"/>
      <c r="O444" s="80"/>
      <c r="P444" s="5"/>
    </row>
    <row r="445" ht="18" customHeight="1" spans="1:16">
      <c r="A445" s="77" t="str">
        <f t="shared" si="6"/>
        <v/>
      </c>
      <c r="B445" s="78"/>
      <c r="C445" s="78"/>
      <c r="D445" s="79"/>
      <c r="E445" s="80"/>
      <c r="F445" s="80"/>
      <c r="G445" s="81"/>
      <c r="H445" s="5"/>
      <c r="I445" s="79"/>
      <c r="J445" s="79"/>
      <c r="K445" s="82"/>
      <c r="L445" s="83"/>
      <c r="M445" s="80"/>
      <c r="N445" s="79"/>
      <c r="O445" s="80"/>
      <c r="P445" s="5"/>
    </row>
    <row r="446" ht="18" customHeight="1" spans="1:16">
      <c r="A446" s="77" t="str">
        <f t="shared" si="6"/>
        <v/>
      </c>
      <c r="B446" s="78"/>
      <c r="C446" s="78"/>
      <c r="D446" s="79"/>
      <c r="E446" s="80"/>
      <c r="F446" s="80"/>
      <c r="G446" s="81"/>
      <c r="H446" s="5"/>
      <c r="I446" s="79"/>
      <c r="J446" s="79"/>
      <c r="K446" s="82"/>
      <c r="L446" s="83"/>
      <c r="M446" s="80"/>
      <c r="N446" s="79"/>
      <c r="O446" s="80"/>
      <c r="P446" s="5"/>
    </row>
    <row r="447" ht="18" customHeight="1" spans="1:16">
      <c r="A447" s="77" t="str">
        <f t="shared" si="6"/>
        <v/>
      </c>
      <c r="B447" s="78"/>
      <c r="C447" s="78"/>
      <c r="D447" s="79"/>
      <c r="E447" s="80"/>
      <c r="F447" s="80"/>
      <c r="G447" s="81"/>
      <c r="H447" s="5"/>
      <c r="I447" s="79"/>
      <c r="J447" s="79"/>
      <c r="K447" s="82"/>
      <c r="L447" s="83"/>
      <c r="M447" s="80"/>
      <c r="N447" s="79"/>
      <c r="O447" s="80"/>
      <c r="P447" s="5"/>
    </row>
    <row r="448" ht="18" customHeight="1" spans="1:16">
      <c r="A448" s="77" t="str">
        <f t="shared" si="6"/>
        <v/>
      </c>
      <c r="B448" s="78"/>
      <c r="C448" s="78"/>
      <c r="D448" s="79"/>
      <c r="E448" s="80"/>
      <c r="F448" s="80"/>
      <c r="G448" s="81"/>
      <c r="H448" s="5"/>
      <c r="I448" s="79"/>
      <c r="J448" s="79"/>
      <c r="K448" s="82"/>
      <c r="L448" s="83"/>
      <c r="M448" s="80"/>
      <c r="N448" s="79"/>
      <c r="O448" s="80"/>
      <c r="P448" s="5"/>
    </row>
    <row r="449" ht="18" customHeight="1" spans="1:16">
      <c r="A449" s="77" t="str">
        <f t="shared" si="6"/>
        <v/>
      </c>
      <c r="B449" s="78"/>
      <c r="C449" s="78"/>
      <c r="D449" s="79"/>
      <c r="E449" s="80"/>
      <c r="F449" s="80"/>
      <c r="G449" s="81"/>
      <c r="H449" s="5"/>
      <c r="I449" s="79"/>
      <c r="J449" s="79"/>
      <c r="K449" s="82"/>
      <c r="L449" s="83"/>
      <c r="M449" s="80"/>
      <c r="N449" s="79"/>
      <c r="O449" s="80"/>
      <c r="P449" s="5"/>
    </row>
    <row r="450" ht="18" customHeight="1" spans="1:16">
      <c r="A450" s="77" t="str">
        <f t="shared" si="6"/>
        <v/>
      </c>
      <c r="B450" s="78"/>
      <c r="C450" s="78"/>
      <c r="D450" s="79"/>
      <c r="E450" s="80"/>
      <c r="F450" s="80"/>
      <c r="G450" s="81"/>
      <c r="H450" s="5"/>
      <c r="I450" s="79"/>
      <c r="J450" s="79"/>
      <c r="K450" s="82"/>
      <c r="L450" s="83"/>
      <c r="M450" s="80"/>
      <c r="N450" s="79"/>
      <c r="O450" s="80"/>
      <c r="P450" s="5"/>
    </row>
    <row r="451" ht="18" customHeight="1" spans="1:16">
      <c r="A451" s="77" t="str">
        <f t="shared" si="6"/>
        <v/>
      </c>
      <c r="B451" s="78"/>
      <c r="C451" s="78"/>
      <c r="D451" s="79"/>
      <c r="E451" s="80"/>
      <c r="F451" s="80"/>
      <c r="G451" s="81"/>
      <c r="H451" s="5"/>
      <c r="I451" s="79"/>
      <c r="J451" s="79"/>
      <c r="K451" s="82"/>
      <c r="L451" s="83"/>
      <c r="M451" s="80"/>
      <c r="N451" s="79"/>
      <c r="O451" s="80"/>
      <c r="P451" s="5"/>
    </row>
    <row r="452" ht="18" customHeight="1" spans="1:16">
      <c r="A452" s="77" t="str">
        <f t="shared" ref="A452:A515" si="7">IF($D452="","",ROW()-3)</f>
        <v/>
      </c>
      <c r="B452" s="78"/>
      <c r="C452" s="78"/>
      <c r="D452" s="79"/>
      <c r="E452" s="80"/>
      <c r="F452" s="80"/>
      <c r="G452" s="81"/>
      <c r="H452" s="5"/>
      <c r="I452" s="79"/>
      <c r="J452" s="79"/>
      <c r="K452" s="82"/>
      <c r="L452" s="83"/>
      <c r="M452" s="80"/>
      <c r="N452" s="79"/>
      <c r="O452" s="80"/>
      <c r="P452" s="5"/>
    </row>
    <row r="453" ht="18" customHeight="1" spans="1:16">
      <c r="A453" s="77" t="str">
        <f t="shared" si="7"/>
        <v/>
      </c>
      <c r="B453" s="78"/>
      <c r="C453" s="78"/>
      <c r="D453" s="79"/>
      <c r="E453" s="80"/>
      <c r="F453" s="80"/>
      <c r="G453" s="81"/>
      <c r="H453" s="5"/>
      <c r="I453" s="79"/>
      <c r="J453" s="79"/>
      <c r="K453" s="82"/>
      <c r="L453" s="83"/>
      <c r="M453" s="80"/>
      <c r="N453" s="79"/>
      <c r="O453" s="80"/>
      <c r="P453" s="5"/>
    </row>
    <row r="454" ht="18" customHeight="1" spans="1:16">
      <c r="A454" s="77" t="str">
        <f t="shared" si="7"/>
        <v/>
      </c>
      <c r="B454" s="78"/>
      <c r="C454" s="78"/>
      <c r="D454" s="79"/>
      <c r="E454" s="80"/>
      <c r="F454" s="80"/>
      <c r="G454" s="81"/>
      <c r="H454" s="5"/>
      <c r="I454" s="79"/>
      <c r="J454" s="79"/>
      <c r="K454" s="82"/>
      <c r="L454" s="83"/>
      <c r="M454" s="80"/>
      <c r="N454" s="79"/>
      <c r="O454" s="80"/>
      <c r="P454" s="5"/>
    </row>
    <row r="455" ht="18" customHeight="1" spans="1:16">
      <c r="A455" s="77" t="str">
        <f t="shared" si="7"/>
        <v/>
      </c>
      <c r="B455" s="78"/>
      <c r="C455" s="78"/>
      <c r="D455" s="79"/>
      <c r="E455" s="80"/>
      <c r="F455" s="80"/>
      <c r="G455" s="81"/>
      <c r="H455" s="5"/>
      <c r="I455" s="79"/>
      <c r="J455" s="79"/>
      <c r="K455" s="82"/>
      <c r="L455" s="83"/>
      <c r="M455" s="80"/>
      <c r="N455" s="79"/>
      <c r="O455" s="80"/>
      <c r="P455" s="5"/>
    </row>
    <row r="456" ht="18" customHeight="1" spans="1:16">
      <c r="A456" s="77" t="str">
        <f t="shared" si="7"/>
        <v/>
      </c>
      <c r="B456" s="78"/>
      <c r="C456" s="78"/>
      <c r="D456" s="79"/>
      <c r="E456" s="80"/>
      <c r="F456" s="80"/>
      <c r="G456" s="81"/>
      <c r="H456" s="5"/>
      <c r="I456" s="79"/>
      <c r="J456" s="79"/>
      <c r="K456" s="82"/>
      <c r="L456" s="83"/>
      <c r="M456" s="80"/>
      <c r="N456" s="79"/>
      <c r="O456" s="80"/>
      <c r="P456" s="5"/>
    </row>
    <row r="457" ht="18" customHeight="1" spans="1:16">
      <c r="A457" s="77" t="str">
        <f t="shared" si="7"/>
        <v/>
      </c>
      <c r="B457" s="78"/>
      <c r="C457" s="78"/>
      <c r="D457" s="79"/>
      <c r="E457" s="80"/>
      <c r="F457" s="80"/>
      <c r="G457" s="81"/>
      <c r="H457" s="5"/>
      <c r="I457" s="79"/>
      <c r="J457" s="79"/>
      <c r="K457" s="82"/>
      <c r="L457" s="83"/>
      <c r="M457" s="80"/>
      <c r="N457" s="79"/>
      <c r="O457" s="80"/>
      <c r="P457" s="5"/>
    </row>
    <row r="458" ht="18" customHeight="1" spans="1:16">
      <c r="A458" s="77" t="str">
        <f t="shared" si="7"/>
        <v/>
      </c>
      <c r="B458" s="78"/>
      <c r="C458" s="78"/>
      <c r="D458" s="79"/>
      <c r="E458" s="80"/>
      <c r="F458" s="80"/>
      <c r="G458" s="81"/>
      <c r="H458" s="5"/>
      <c r="I458" s="79"/>
      <c r="J458" s="79"/>
      <c r="K458" s="82"/>
      <c r="L458" s="83"/>
      <c r="M458" s="80"/>
      <c r="N458" s="79"/>
      <c r="O458" s="80"/>
      <c r="P458" s="5"/>
    </row>
    <row r="459" ht="18" customHeight="1" spans="1:16">
      <c r="A459" s="77" t="str">
        <f t="shared" si="7"/>
        <v/>
      </c>
      <c r="B459" s="78"/>
      <c r="C459" s="78"/>
      <c r="D459" s="79"/>
      <c r="E459" s="80"/>
      <c r="F459" s="80"/>
      <c r="G459" s="81"/>
      <c r="H459" s="5"/>
      <c r="I459" s="79"/>
      <c r="J459" s="79"/>
      <c r="K459" s="82"/>
      <c r="L459" s="83"/>
      <c r="M459" s="80"/>
      <c r="N459" s="79"/>
      <c r="O459" s="80"/>
      <c r="P459" s="5"/>
    </row>
    <row r="460" ht="18" customHeight="1" spans="1:16">
      <c r="A460" s="77" t="str">
        <f t="shared" si="7"/>
        <v/>
      </c>
      <c r="B460" s="78"/>
      <c r="C460" s="78"/>
      <c r="D460" s="79"/>
      <c r="E460" s="80"/>
      <c r="F460" s="80"/>
      <c r="G460" s="81"/>
      <c r="H460" s="5"/>
      <c r="I460" s="79"/>
      <c r="J460" s="79"/>
      <c r="K460" s="82"/>
      <c r="L460" s="83"/>
      <c r="M460" s="80"/>
      <c r="N460" s="79"/>
      <c r="O460" s="80"/>
      <c r="P460" s="5"/>
    </row>
    <row r="461" ht="18" customHeight="1" spans="1:16">
      <c r="A461" s="77" t="str">
        <f t="shared" si="7"/>
        <v/>
      </c>
      <c r="B461" s="78"/>
      <c r="C461" s="78"/>
      <c r="D461" s="79"/>
      <c r="E461" s="80"/>
      <c r="F461" s="80"/>
      <c r="G461" s="81"/>
      <c r="H461" s="5"/>
      <c r="I461" s="79"/>
      <c r="J461" s="79"/>
      <c r="K461" s="82"/>
      <c r="L461" s="83"/>
      <c r="M461" s="80"/>
      <c r="N461" s="79"/>
      <c r="O461" s="80"/>
      <c r="P461" s="5"/>
    </row>
    <row r="462" ht="18" customHeight="1" spans="1:16">
      <c r="A462" s="77" t="str">
        <f t="shared" si="7"/>
        <v/>
      </c>
      <c r="B462" s="78"/>
      <c r="C462" s="78"/>
      <c r="D462" s="79"/>
      <c r="E462" s="80"/>
      <c r="F462" s="80"/>
      <c r="G462" s="81"/>
      <c r="H462" s="5"/>
      <c r="I462" s="79"/>
      <c r="J462" s="79"/>
      <c r="K462" s="82"/>
      <c r="L462" s="83"/>
      <c r="M462" s="80"/>
      <c r="N462" s="79"/>
      <c r="O462" s="80"/>
      <c r="P462" s="5"/>
    </row>
    <row r="463" ht="18" customHeight="1" spans="1:16">
      <c r="A463" s="77" t="str">
        <f t="shared" si="7"/>
        <v/>
      </c>
      <c r="B463" s="78"/>
      <c r="C463" s="78"/>
      <c r="D463" s="79"/>
      <c r="E463" s="80"/>
      <c r="F463" s="80"/>
      <c r="G463" s="81"/>
      <c r="H463" s="5"/>
      <c r="I463" s="79"/>
      <c r="J463" s="79"/>
      <c r="K463" s="82"/>
      <c r="L463" s="83"/>
      <c r="M463" s="80"/>
      <c r="N463" s="79"/>
      <c r="O463" s="80"/>
      <c r="P463" s="5"/>
    </row>
    <row r="464" ht="18" customHeight="1" spans="1:16">
      <c r="A464" s="77" t="str">
        <f t="shared" si="7"/>
        <v/>
      </c>
      <c r="B464" s="78"/>
      <c r="C464" s="78"/>
      <c r="D464" s="79"/>
      <c r="E464" s="80"/>
      <c r="F464" s="80"/>
      <c r="G464" s="81"/>
      <c r="H464" s="5"/>
      <c r="I464" s="79"/>
      <c r="J464" s="79"/>
      <c r="K464" s="82"/>
      <c r="L464" s="83"/>
      <c r="M464" s="80"/>
      <c r="N464" s="79"/>
      <c r="O464" s="80"/>
      <c r="P464" s="5"/>
    </row>
    <row r="465" ht="18" customHeight="1" spans="1:16">
      <c r="A465" s="77" t="str">
        <f t="shared" si="7"/>
        <v/>
      </c>
      <c r="B465" s="78"/>
      <c r="C465" s="78"/>
      <c r="D465" s="79"/>
      <c r="E465" s="80"/>
      <c r="F465" s="80"/>
      <c r="G465" s="81"/>
      <c r="H465" s="5"/>
      <c r="I465" s="79"/>
      <c r="J465" s="79"/>
      <c r="K465" s="82"/>
      <c r="L465" s="83"/>
      <c r="M465" s="80"/>
      <c r="N465" s="79"/>
      <c r="O465" s="80"/>
      <c r="P465" s="5"/>
    </row>
    <row r="466" ht="18" customHeight="1" spans="1:16">
      <c r="A466" s="77" t="str">
        <f t="shared" si="7"/>
        <v/>
      </c>
      <c r="B466" s="78"/>
      <c r="C466" s="78"/>
      <c r="D466" s="79"/>
      <c r="E466" s="80"/>
      <c r="F466" s="80"/>
      <c r="G466" s="81"/>
      <c r="H466" s="5"/>
      <c r="I466" s="79"/>
      <c r="J466" s="79"/>
      <c r="K466" s="82"/>
      <c r="L466" s="83"/>
      <c r="M466" s="80"/>
      <c r="N466" s="79"/>
      <c r="O466" s="80"/>
      <c r="P466" s="5"/>
    </row>
    <row r="467" ht="18" customHeight="1" spans="1:16">
      <c r="A467" s="77" t="str">
        <f t="shared" si="7"/>
        <v/>
      </c>
      <c r="B467" s="78"/>
      <c r="C467" s="78"/>
      <c r="D467" s="79"/>
      <c r="E467" s="80"/>
      <c r="F467" s="80"/>
      <c r="G467" s="81"/>
      <c r="H467" s="5"/>
      <c r="I467" s="79"/>
      <c r="J467" s="79"/>
      <c r="K467" s="82"/>
      <c r="L467" s="83"/>
      <c r="M467" s="80"/>
      <c r="N467" s="79"/>
      <c r="O467" s="80"/>
      <c r="P467" s="5"/>
    </row>
    <row r="468" ht="18" customHeight="1" spans="1:16">
      <c r="A468" s="77" t="str">
        <f t="shared" si="7"/>
        <v/>
      </c>
      <c r="B468" s="78"/>
      <c r="C468" s="78"/>
      <c r="D468" s="79"/>
      <c r="E468" s="80"/>
      <c r="F468" s="80"/>
      <c r="G468" s="81"/>
      <c r="H468" s="5"/>
      <c r="I468" s="79"/>
      <c r="J468" s="79"/>
      <c r="K468" s="82"/>
      <c r="L468" s="83"/>
      <c r="M468" s="80"/>
      <c r="N468" s="79"/>
      <c r="O468" s="80"/>
      <c r="P468" s="5"/>
    </row>
    <row r="469" ht="18" customHeight="1" spans="1:16">
      <c r="A469" s="77" t="str">
        <f t="shared" si="7"/>
        <v/>
      </c>
      <c r="B469" s="78"/>
      <c r="C469" s="78"/>
      <c r="D469" s="79"/>
      <c r="E469" s="80"/>
      <c r="F469" s="80"/>
      <c r="G469" s="81"/>
      <c r="H469" s="5"/>
      <c r="I469" s="79"/>
      <c r="J469" s="79"/>
      <c r="K469" s="82"/>
      <c r="L469" s="83"/>
      <c r="M469" s="80"/>
      <c r="N469" s="79"/>
      <c r="O469" s="80"/>
      <c r="P469" s="5"/>
    </row>
    <row r="470" ht="18" customHeight="1" spans="1:16">
      <c r="A470" s="77" t="str">
        <f t="shared" si="7"/>
        <v/>
      </c>
      <c r="B470" s="78"/>
      <c r="C470" s="78"/>
      <c r="D470" s="79"/>
      <c r="E470" s="80"/>
      <c r="F470" s="80"/>
      <c r="G470" s="81"/>
      <c r="H470" s="5"/>
      <c r="I470" s="79"/>
      <c r="J470" s="79"/>
      <c r="K470" s="82"/>
      <c r="L470" s="83"/>
      <c r="M470" s="80"/>
      <c r="N470" s="79"/>
      <c r="O470" s="80"/>
      <c r="P470" s="5"/>
    </row>
    <row r="471" ht="18" customHeight="1" spans="1:16">
      <c r="A471" s="77" t="str">
        <f t="shared" si="7"/>
        <v/>
      </c>
      <c r="B471" s="78"/>
      <c r="C471" s="78"/>
      <c r="D471" s="79"/>
      <c r="E471" s="80"/>
      <c r="F471" s="80"/>
      <c r="G471" s="81"/>
      <c r="H471" s="5"/>
      <c r="I471" s="79"/>
      <c r="J471" s="79"/>
      <c r="K471" s="82"/>
      <c r="L471" s="83"/>
      <c r="M471" s="80"/>
      <c r="N471" s="79"/>
      <c r="O471" s="80"/>
      <c r="P471" s="5"/>
    </row>
    <row r="472" ht="18" customHeight="1" spans="1:16">
      <c r="A472" s="77" t="str">
        <f t="shared" si="7"/>
        <v/>
      </c>
      <c r="B472" s="78"/>
      <c r="C472" s="78"/>
      <c r="D472" s="79"/>
      <c r="E472" s="80"/>
      <c r="F472" s="80"/>
      <c r="G472" s="81"/>
      <c r="H472" s="5"/>
      <c r="I472" s="79"/>
      <c r="J472" s="79"/>
      <c r="K472" s="82"/>
      <c r="L472" s="83"/>
      <c r="M472" s="80"/>
      <c r="N472" s="79"/>
      <c r="O472" s="80"/>
      <c r="P472" s="5"/>
    </row>
    <row r="473" ht="18" customHeight="1" spans="1:16">
      <c r="A473" s="77" t="str">
        <f t="shared" si="7"/>
        <v/>
      </c>
      <c r="B473" s="78"/>
      <c r="C473" s="78"/>
      <c r="D473" s="79"/>
      <c r="E473" s="80"/>
      <c r="F473" s="80"/>
      <c r="G473" s="81"/>
      <c r="H473" s="5"/>
      <c r="I473" s="79"/>
      <c r="J473" s="79"/>
      <c r="K473" s="82"/>
      <c r="L473" s="83"/>
      <c r="M473" s="80"/>
      <c r="N473" s="79"/>
      <c r="O473" s="80"/>
      <c r="P473" s="5"/>
    </row>
    <row r="474" ht="18" customHeight="1" spans="1:16">
      <c r="A474" s="77" t="str">
        <f t="shared" si="7"/>
        <v/>
      </c>
      <c r="B474" s="78"/>
      <c r="C474" s="78"/>
      <c r="D474" s="79"/>
      <c r="E474" s="80"/>
      <c r="F474" s="80"/>
      <c r="G474" s="81"/>
      <c r="H474" s="5"/>
      <c r="I474" s="79"/>
      <c r="J474" s="79"/>
      <c r="K474" s="82"/>
      <c r="L474" s="83"/>
      <c r="M474" s="80"/>
      <c r="N474" s="79"/>
      <c r="O474" s="80"/>
      <c r="P474" s="5"/>
    </row>
    <row r="475" ht="18" customHeight="1" spans="1:16">
      <c r="A475" s="77" t="str">
        <f t="shared" si="7"/>
        <v/>
      </c>
      <c r="B475" s="78"/>
      <c r="C475" s="78"/>
      <c r="D475" s="79"/>
      <c r="E475" s="80"/>
      <c r="F475" s="80"/>
      <c r="G475" s="81"/>
      <c r="H475" s="5"/>
      <c r="I475" s="79"/>
      <c r="J475" s="79"/>
      <c r="K475" s="82"/>
      <c r="L475" s="83"/>
      <c r="M475" s="80"/>
      <c r="N475" s="79"/>
      <c r="O475" s="80"/>
      <c r="P475" s="5"/>
    </row>
    <row r="476" ht="18" customHeight="1" spans="1:16">
      <c r="A476" s="77" t="str">
        <f t="shared" si="7"/>
        <v/>
      </c>
      <c r="B476" s="78"/>
      <c r="C476" s="78"/>
      <c r="D476" s="79"/>
      <c r="E476" s="80"/>
      <c r="F476" s="80"/>
      <c r="G476" s="81"/>
      <c r="H476" s="5"/>
      <c r="I476" s="79"/>
      <c r="J476" s="79"/>
      <c r="K476" s="82"/>
      <c r="L476" s="83"/>
      <c r="M476" s="80"/>
      <c r="N476" s="79"/>
      <c r="O476" s="80"/>
      <c r="P476" s="5"/>
    </row>
    <row r="477" ht="18" customHeight="1" spans="1:16">
      <c r="A477" s="77" t="str">
        <f t="shared" si="7"/>
        <v/>
      </c>
      <c r="B477" s="78"/>
      <c r="C477" s="78"/>
      <c r="D477" s="79"/>
      <c r="E477" s="80"/>
      <c r="F477" s="80"/>
      <c r="G477" s="81"/>
      <c r="H477" s="5"/>
      <c r="I477" s="79"/>
      <c r="J477" s="79"/>
      <c r="K477" s="82"/>
      <c r="L477" s="83"/>
      <c r="M477" s="80"/>
      <c r="N477" s="79"/>
      <c r="O477" s="80"/>
      <c r="P477" s="5"/>
    </row>
    <row r="478" ht="18" customHeight="1" spans="1:16">
      <c r="A478" s="77" t="str">
        <f t="shared" si="7"/>
        <v/>
      </c>
      <c r="B478" s="78"/>
      <c r="C478" s="78"/>
      <c r="D478" s="79"/>
      <c r="E478" s="80"/>
      <c r="F478" s="80"/>
      <c r="G478" s="81"/>
      <c r="H478" s="5"/>
      <c r="I478" s="79"/>
      <c r="J478" s="79"/>
      <c r="K478" s="82"/>
      <c r="L478" s="83"/>
      <c r="M478" s="80"/>
      <c r="N478" s="79"/>
      <c r="O478" s="80"/>
      <c r="P478" s="5"/>
    </row>
    <row r="479" ht="18" customHeight="1" spans="1:16">
      <c r="A479" s="77" t="str">
        <f t="shared" si="7"/>
        <v/>
      </c>
      <c r="B479" s="78"/>
      <c r="C479" s="78"/>
      <c r="D479" s="79"/>
      <c r="E479" s="80"/>
      <c r="F479" s="80"/>
      <c r="G479" s="81"/>
      <c r="H479" s="5"/>
      <c r="I479" s="79"/>
      <c r="J479" s="79"/>
      <c r="K479" s="82"/>
      <c r="L479" s="83"/>
      <c r="M479" s="80"/>
      <c r="N479" s="79"/>
      <c r="O479" s="80"/>
      <c r="P479" s="5"/>
    </row>
    <row r="480" ht="18" customHeight="1" spans="1:16">
      <c r="A480" s="77" t="str">
        <f t="shared" si="7"/>
        <v/>
      </c>
      <c r="B480" s="78"/>
      <c r="C480" s="78"/>
      <c r="D480" s="79"/>
      <c r="E480" s="80"/>
      <c r="F480" s="80"/>
      <c r="G480" s="81"/>
      <c r="H480" s="5"/>
      <c r="I480" s="79"/>
      <c r="J480" s="79"/>
      <c r="K480" s="82"/>
      <c r="L480" s="83"/>
      <c r="M480" s="80"/>
      <c r="N480" s="79"/>
      <c r="O480" s="80"/>
      <c r="P480" s="5"/>
    </row>
    <row r="481" ht="18" customHeight="1" spans="1:16">
      <c r="A481" s="77" t="str">
        <f t="shared" si="7"/>
        <v/>
      </c>
      <c r="B481" s="78"/>
      <c r="C481" s="78"/>
      <c r="D481" s="79"/>
      <c r="E481" s="80"/>
      <c r="F481" s="80"/>
      <c r="G481" s="81"/>
      <c r="H481" s="5"/>
      <c r="I481" s="79"/>
      <c r="J481" s="79"/>
      <c r="K481" s="82"/>
      <c r="L481" s="83"/>
      <c r="M481" s="80"/>
      <c r="N481" s="79"/>
      <c r="O481" s="80"/>
      <c r="P481" s="5"/>
    </row>
    <row r="482" ht="18" customHeight="1" spans="1:16">
      <c r="A482" s="77" t="str">
        <f t="shared" si="7"/>
        <v/>
      </c>
      <c r="B482" s="78"/>
      <c r="C482" s="78"/>
      <c r="D482" s="79"/>
      <c r="E482" s="80"/>
      <c r="F482" s="80"/>
      <c r="G482" s="81"/>
      <c r="H482" s="5"/>
      <c r="I482" s="79"/>
      <c r="J482" s="79"/>
      <c r="K482" s="82"/>
      <c r="L482" s="83"/>
      <c r="M482" s="80"/>
      <c r="N482" s="79"/>
      <c r="O482" s="80"/>
      <c r="P482" s="5"/>
    </row>
    <row r="483" ht="18" customHeight="1" spans="1:16">
      <c r="A483" s="77" t="str">
        <f t="shared" si="7"/>
        <v/>
      </c>
      <c r="B483" s="78"/>
      <c r="C483" s="78"/>
      <c r="D483" s="79"/>
      <c r="E483" s="80"/>
      <c r="F483" s="80"/>
      <c r="G483" s="81"/>
      <c r="H483" s="5"/>
      <c r="I483" s="79"/>
      <c r="J483" s="79"/>
      <c r="K483" s="82"/>
      <c r="L483" s="83"/>
      <c r="M483" s="80"/>
      <c r="N483" s="79"/>
      <c r="O483" s="80"/>
      <c r="P483" s="5"/>
    </row>
    <row r="484" ht="18" customHeight="1" spans="1:16">
      <c r="A484" s="77" t="str">
        <f t="shared" si="7"/>
        <v/>
      </c>
      <c r="B484" s="78"/>
      <c r="C484" s="78"/>
      <c r="D484" s="79"/>
      <c r="E484" s="80"/>
      <c r="F484" s="80"/>
      <c r="G484" s="81"/>
      <c r="H484" s="5"/>
      <c r="I484" s="79"/>
      <c r="J484" s="79"/>
      <c r="K484" s="82"/>
      <c r="L484" s="83"/>
      <c r="M484" s="80"/>
      <c r="N484" s="79"/>
      <c r="O484" s="80"/>
      <c r="P484" s="5"/>
    </row>
    <row r="485" ht="18" customHeight="1" spans="1:16">
      <c r="A485" s="77" t="str">
        <f t="shared" si="7"/>
        <v/>
      </c>
      <c r="B485" s="78"/>
      <c r="C485" s="78"/>
      <c r="D485" s="79"/>
      <c r="E485" s="80"/>
      <c r="F485" s="80"/>
      <c r="G485" s="81"/>
      <c r="H485" s="5"/>
      <c r="I485" s="79"/>
      <c r="J485" s="79"/>
      <c r="K485" s="82"/>
      <c r="L485" s="83"/>
      <c r="M485" s="80"/>
      <c r="N485" s="79"/>
      <c r="O485" s="80"/>
      <c r="P485" s="5"/>
    </row>
    <row r="486" ht="18" customHeight="1" spans="1:16">
      <c r="A486" s="77" t="str">
        <f t="shared" si="7"/>
        <v/>
      </c>
      <c r="B486" s="78"/>
      <c r="C486" s="78"/>
      <c r="D486" s="79"/>
      <c r="E486" s="80"/>
      <c r="F486" s="80"/>
      <c r="G486" s="81"/>
      <c r="H486" s="5"/>
      <c r="I486" s="79"/>
      <c r="J486" s="79"/>
      <c r="K486" s="82"/>
      <c r="L486" s="83"/>
      <c r="M486" s="80"/>
      <c r="N486" s="79"/>
      <c r="O486" s="80"/>
      <c r="P486" s="5"/>
    </row>
    <row r="487" ht="18" customHeight="1" spans="1:16">
      <c r="A487" s="77" t="str">
        <f t="shared" si="7"/>
        <v/>
      </c>
      <c r="B487" s="78"/>
      <c r="C487" s="78"/>
      <c r="D487" s="79"/>
      <c r="E487" s="80"/>
      <c r="F487" s="80"/>
      <c r="G487" s="81"/>
      <c r="H487" s="5"/>
      <c r="I487" s="79"/>
      <c r="J487" s="79"/>
      <c r="K487" s="82"/>
      <c r="L487" s="83"/>
      <c r="M487" s="80"/>
      <c r="N487" s="79"/>
      <c r="O487" s="80"/>
      <c r="P487" s="5"/>
    </row>
    <row r="488" ht="18" customHeight="1" spans="1:16">
      <c r="A488" s="77" t="str">
        <f t="shared" si="7"/>
        <v/>
      </c>
      <c r="B488" s="78"/>
      <c r="C488" s="78"/>
      <c r="D488" s="79"/>
      <c r="E488" s="80"/>
      <c r="F488" s="80"/>
      <c r="G488" s="81"/>
      <c r="H488" s="5"/>
      <c r="I488" s="79"/>
      <c r="J488" s="79"/>
      <c r="K488" s="82"/>
      <c r="L488" s="83"/>
      <c r="M488" s="80"/>
      <c r="N488" s="79"/>
      <c r="O488" s="80"/>
      <c r="P488" s="5"/>
    </row>
    <row r="489" ht="18" customHeight="1" spans="1:16">
      <c r="A489" s="77" t="str">
        <f t="shared" si="7"/>
        <v/>
      </c>
      <c r="B489" s="78"/>
      <c r="C489" s="78"/>
      <c r="D489" s="79"/>
      <c r="E489" s="80"/>
      <c r="F489" s="80"/>
      <c r="G489" s="81"/>
      <c r="H489" s="5"/>
      <c r="I489" s="79"/>
      <c r="J489" s="79"/>
      <c r="K489" s="82"/>
      <c r="L489" s="83"/>
      <c r="M489" s="80"/>
      <c r="N489" s="79"/>
      <c r="O489" s="80"/>
      <c r="P489" s="5"/>
    </row>
    <row r="490" ht="18" customHeight="1" spans="1:16">
      <c r="A490" s="77" t="str">
        <f t="shared" si="7"/>
        <v/>
      </c>
      <c r="B490" s="78"/>
      <c r="C490" s="78"/>
      <c r="D490" s="79"/>
      <c r="E490" s="80"/>
      <c r="F490" s="80"/>
      <c r="G490" s="81"/>
      <c r="H490" s="5"/>
      <c r="I490" s="79"/>
      <c r="J490" s="79"/>
      <c r="K490" s="82"/>
      <c r="L490" s="83"/>
      <c r="M490" s="80"/>
      <c r="N490" s="79"/>
      <c r="O490" s="80"/>
      <c r="P490" s="5"/>
    </row>
    <row r="491" ht="18" customHeight="1" spans="1:16">
      <c r="A491" s="77" t="str">
        <f t="shared" si="7"/>
        <v/>
      </c>
      <c r="B491" s="78"/>
      <c r="C491" s="78"/>
      <c r="D491" s="79"/>
      <c r="E491" s="80"/>
      <c r="F491" s="80"/>
      <c r="G491" s="81"/>
      <c r="H491" s="5"/>
      <c r="I491" s="79"/>
      <c r="J491" s="79"/>
      <c r="K491" s="82"/>
      <c r="L491" s="83"/>
      <c r="M491" s="80"/>
      <c r="N491" s="79"/>
      <c r="O491" s="80"/>
      <c r="P491" s="5"/>
    </row>
    <row r="492" ht="18" customHeight="1" spans="1:16">
      <c r="A492" s="77" t="str">
        <f t="shared" si="7"/>
        <v/>
      </c>
      <c r="B492" s="78"/>
      <c r="C492" s="78"/>
      <c r="D492" s="79"/>
      <c r="E492" s="80"/>
      <c r="F492" s="80"/>
      <c r="G492" s="81"/>
      <c r="H492" s="5"/>
      <c r="I492" s="79"/>
      <c r="J492" s="79"/>
      <c r="K492" s="82"/>
      <c r="L492" s="83"/>
      <c r="M492" s="80"/>
      <c r="N492" s="79"/>
      <c r="O492" s="80"/>
      <c r="P492" s="5"/>
    </row>
    <row r="493" ht="18" customHeight="1" spans="1:16">
      <c r="A493" s="77" t="str">
        <f t="shared" si="7"/>
        <v/>
      </c>
      <c r="B493" s="78"/>
      <c r="C493" s="78"/>
      <c r="D493" s="79"/>
      <c r="E493" s="80"/>
      <c r="F493" s="80"/>
      <c r="G493" s="81"/>
      <c r="H493" s="5"/>
      <c r="I493" s="79"/>
      <c r="J493" s="79"/>
      <c r="K493" s="82"/>
      <c r="L493" s="83"/>
      <c r="M493" s="80"/>
      <c r="N493" s="79"/>
      <c r="O493" s="80"/>
      <c r="P493" s="5"/>
    </row>
    <row r="494" ht="18" customHeight="1" spans="1:16">
      <c r="A494" s="77" t="str">
        <f t="shared" si="7"/>
        <v/>
      </c>
      <c r="B494" s="78"/>
      <c r="C494" s="78"/>
      <c r="D494" s="79"/>
      <c r="E494" s="80"/>
      <c r="F494" s="80"/>
      <c r="G494" s="81"/>
      <c r="H494" s="5"/>
      <c r="I494" s="79"/>
      <c r="J494" s="79"/>
      <c r="K494" s="82"/>
      <c r="L494" s="83"/>
      <c r="M494" s="80"/>
      <c r="N494" s="79"/>
      <c r="O494" s="80"/>
      <c r="P494" s="5"/>
    </row>
    <row r="495" ht="18" customHeight="1" spans="1:16">
      <c r="A495" s="77" t="str">
        <f t="shared" si="7"/>
        <v/>
      </c>
      <c r="B495" s="78"/>
      <c r="C495" s="78"/>
      <c r="D495" s="79"/>
      <c r="E495" s="80"/>
      <c r="F495" s="80"/>
      <c r="G495" s="81"/>
      <c r="H495" s="5"/>
      <c r="I495" s="79"/>
      <c r="J495" s="79"/>
      <c r="K495" s="82"/>
      <c r="L495" s="83"/>
      <c r="M495" s="80"/>
      <c r="N495" s="79"/>
      <c r="O495" s="80"/>
      <c r="P495" s="5"/>
    </row>
    <row r="496" ht="18" customHeight="1" spans="1:16">
      <c r="A496" s="77" t="str">
        <f t="shared" si="7"/>
        <v/>
      </c>
      <c r="B496" s="78"/>
      <c r="C496" s="78"/>
      <c r="D496" s="79"/>
      <c r="E496" s="80"/>
      <c r="F496" s="80"/>
      <c r="G496" s="81"/>
      <c r="H496" s="5"/>
      <c r="I496" s="79"/>
      <c r="J496" s="79"/>
      <c r="K496" s="82"/>
      <c r="L496" s="83"/>
      <c r="M496" s="80"/>
      <c r="N496" s="79"/>
      <c r="O496" s="80"/>
      <c r="P496" s="5"/>
    </row>
    <row r="497" ht="18" customHeight="1" spans="1:16">
      <c r="A497" s="77" t="str">
        <f t="shared" si="7"/>
        <v/>
      </c>
      <c r="B497" s="78"/>
      <c r="C497" s="78"/>
      <c r="D497" s="79"/>
      <c r="E497" s="80"/>
      <c r="F497" s="80"/>
      <c r="G497" s="81"/>
      <c r="H497" s="5"/>
      <c r="I497" s="79"/>
      <c r="J497" s="79"/>
      <c r="K497" s="82"/>
      <c r="L497" s="83"/>
      <c r="M497" s="80"/>
      <c r="N497" s="79"/>
      <c r="O497" s="80"/>
      <c r="P497" s="5"/>
    </row>
    <row r="498" ht="18" customHeight="1" spans="1:16">
      <c r="A498" s="77" t="str">
        <f t="shared" si="7"/>
        <v/>
      </c>
      <c r="B498" s="78"/>
      <c r="C498" s="78"/>
      <c r="D498" s="79"/>
      <c r="E498" s="80"/>
      <c r="F498" s="80"/>
      <c r="G498" s="81"/>
      <c r="H498" s="5"/>
      <c r="I498" s="79"/>
      <c r="J498" s="79"/>
      <c r="K498" s="82"/>
      <c r="L498" s="83"/>
      <c r="M498" s="80"/>
      <c r="N498" s="79"/>
      <c r="O498" s="80"/>
      <c r="P498" s="5"/>
    </row>
    <row r="499" ht="18" customHeight="1" spans="1:16">
      <c r="A499" s="77" t="str">
        <f t="shared" si="7"/>
        <v/>
      </c>
      <c r="B499" s="78"/>
      <c r="C499" s="78"/>
      <c r="D499" s="79"/>
      <c r="E499" s="80"/>
      <c r="F499" s="80"/>
      <c r="G499" s="81"/>
      <c r="H499" s="5"/>
      <c r="I499" s="79"/>
      <c r="J499" s="79"/>
      <c r="K499" s="82"/>
      <c r="L499" s="83"/>
      <c r="M499" s="80"/>
      <c r="N499" s="79"/>
      <c r="O499" s="80"/>
      <c r="P499" s="5"/>
    </row>
    <row r="500" ht="18" customHeight="1" spans="1:16">
      <c r="A500" s="77" t="str">
        <f t="shared" si="7"/>
        <v/>
      </c>
      <c r="B500" s="78"/>
      <c r="C500" s="78"/>
      <c r="D500" s="79"/>
      <c r="E500" s="80"/>
      <c r="F500" s="80"/>
      <c r="G500" s="81"/>
      <c r="H500" s="5"/>
      <c r="I500" s="79"/>
      <c r="J500" s="79"/>
      <c r="K500" s="82"/>
      <c r="L500" s="83"/>
      <c r="M500" s="80"/>
      <c r="N500" s="79"/>
      <c r="O500" s="80"/>
      <c r="P500" s="5"/>
    </row>
    <row r="501" ht="18" customHeight="1" spans="1:16">
      <c r="A501" s="77" t="str">
        <f t="shared" si="7"/>
        <v/>
      </c>
      <c r="B501" s="78"/>
      <c r="C501" s="78"/>
      <c r="D501" s="79"/>
      <c r="E501" s="80"/>
      <c r="F501" s="80"/>
      <c r="G501" s="81"/>
      <c r="H501" s="5"/>
      <c r="I501" s="79"/>
      <c r="J501" s="79"/>
      <c r="K501" s="82"/>
      <c r="L501" s="83"/>
      <c r="M501" s="80"/>
      <c r="N501" s="79"/>
      <c r="O501" s="80"/>
      <c r="P501" s="5"/>
    </row>
    <row r="502" ht="18" customHeight="1" spans="1:16">
      <c r="A502" s="77" t="str">
        <f t="shared" si="7"/>
        <v/>
      </c>
      <c r="B502" s="78"/>
      <c r="C502" s="78"/>
      <c r="D502" s="79"/>
      <c r="E502" s="80"/>
      <c r="F502" s="80"/>
      <c r="G502" s="81"/>
      <c r="H502" s="5"/>
      <c r="I502" s="79"/>
      <c r="J502" s="79"/>
      <c r="K502" s="82"/>
      <c r="L502" s="83"/>
      <c r="M502" s="80"/>
      <c r="N502" s="79"/>
      <c r="O502" s="80"/>
      <c r="P502" s="5"/>
    </row>
    <row r="503" ht="18" customHeight="1" spans="1:16">
      <c r="A503" s="77" t="str">
        <f t="shared" si="7"/>
        <v/>
      </c>
      <c r="B503" s="78"/>
      <c r="C503" s="78"/>
      <c r="D503" s="79"/>
      <c r="E503" s="80"/>
      <c r="F503" s="80"/>
      <c r="G503" s="81"/>
      <c r="H503" s="5"/>
      <c r="I503" s="79"/>
      <c r="J503" s="79"/>
      <c r="K503" s="82"/>
      <c r="L503" s="83"/>
      <c r="M503" s="80"/>
      <c r="N503" s="79"/>
      <c r="O503" s="80"/>
      <c r="P503" s="5"/>
    </row>
    <row r="504" ht="18" customHeight="1" spans="1:16">
      <c r="A504" s="77" t="str">
        <f t="shared" si="7"/>
        <v/>
      </c>
      <c r="B504" s="78"/>
      <c r="C504" s="78"/>
      <c r="D504" s="79"/>
      <c r="E504" s="80"/>
      <c r="F504" s="80"/>
      <c r="G504" s="81"/>
      <c r="H504" s="5"/>
      <c r="I504" s="79"/>
      <c r="J504" s="79"/>
      <c r="K504" s="82"/>
      <c r="L504" s="83"/>
      <c r="M504" s="80"/>
      <c r="N504" s="79"/>
      <c r="O504" s="80"/>
      <c r="P504" s="5"/>
    </row>
    <row r="505" ht="18" customHeight="1" spans="1:16">
      <c r="A505" s="77" t="str">
        <f t="shared" si="7"/>
        <v/>
      </c>
      <c r="B505" s="78"/>
      <c r="C505" s="78"/>
      <c r="D505" s="79"/>
      <c r="E505" s="80"/>
      <c r="F505" s="80"/>
      <c r="G505" s="81"/>
      <c r="H505" s="5"/>
      <c r="I505" s="79"/>
      <c r="J505" s="79"/>
      <c r="K505" s="82"/>
      <c r="L505" s="83"/>
      <c r="M505" s="80"/>
      <c r="N505" s="79"/>
      <c r="O505" s="80"/>
      <c r="P505" s="5"/>
    </row>
    <row r="506" ht="18" customHeight="1" spans="1:16">
      <c r="A506" s="77" t="str">
        <f t="shared" si="7"/>
        <v/>
      </c>
      <c r="B506" s="78"/>
      <c r="C506" s="78"/>
      <c r="D506" s="79"/>
      <c r="E506" s="80"/>
      <c r="F506" s="80"/>
      <c r="G506" s="81"/>
      <c r="H506" s="5"/>
      <c r="I506" s="79"/>
      <c r="J506" s="79"/>
      <c r="K506" s="82"/>
      <c r="L506" s="83"/>
      <c r="M506" s="80"/>
      <c r="N506" s="79"/>
      <c r="O506" s="80"/>
      <c r="P506" s="5"/>
    </row>
    <row r="507" ht="18" customHeight="1" spans="1:16">
      <c r="A507" s="77" t="str">
        <f t="shared" si="7"/>
        <v/>
      </c>
      <c r="B507" s="78"/>
      <c r="C507" s="78"/>
      <c r="D507" s="79"/>
      <c r="E507" s="80"/>
      <c r="F507" s="80"/>
      <c r="G507" s="81"/>
      <c r="H507" s="5"/>
      <c r="I507" s="79"/>
      <c r="J507" s="79"/>
      <c r="K507" s="82"/>
      <c r="L507" s="83"/>
      <c r="M507" s="80"/>
      <c r="N507" s="79"/>
      <c r="O507" s="80"/>
      <c r="P507" s="5"/>
    </row>
    <row r="508" ht="18" customHeight="1" spans="1:16">
      <c r="A508" s="77" t="str">
        <f t="shared" si="7"/>
        <v/>
      </c>
      <c r="B508" s="78"/>
      <c r="C508" s="78"/>
      <c r="D508" s="79"/>
      <c r="E508" s="80"/>
      <c r="F508" s="80"/>
      <c r="G508" s="81"/>
      <c r="H508" s="5"/>
      <c r="I508" s="79"/>
      <c r="J508" s="79"/>
      <c r="K508" s="82"/>
      <c r="L508" s="83"/>
      <c r="M508" s="80"/>
      <c r="N508" s="79"/>
      <c r="O508" s="80"/>
      <c r="P508" s="5"/>
    </row>
    <row r="509" ht="18" customHeight="1" spans="1:16">
      <c r="A509" s="77" t="str">
        <f t="shared" si="7"/>
        <v/>
      </c>
      <c r="B509" s="78"/>
      <c r="C509" s="78"/>
      <c r="D509" s="79"/>
      <c r="E509" s="80"/>
      <c r="F509" s="80"/>
      <c r="G509" s="81"/>
      <c r="H509" s="5"/>
      <c r="I509" s="79"/>
      <c r="J509" s="79"/>
      <c r="K509" s="82"/>
      <c r="L509" s="83"/>
      <c r="M509" s="80"/>
      <c r="N509" s="79"/>
      <c r="O509" s="80"/>
      <c r="P509" s="5"/>
    </row>
    <row r="510" ht="18" customHeight="1" spans="1:16">
      <c r="A510" s="77" t="str">
        <f t="shared" si="7"/>
        <v/>
      </c>
      <c r="B510" s="78"/>
      <c r="C510" s="78"/>
      <c r="D510" s="79"/>
      <c r="E510" s="80"/>
      <c r="F510" s="80"/>
      <c r="G510" s="81"/>
      <c r="H510" s="5"/>
      <c r="I510" s="79"/>
      <c r="J510" s="79"/>
      <c r="K510" s="82"/>
      <c r="L510" s="83"/>
      <c r="M510" s="80"/>
      <c r="N510" s="79"/>
      <c r="O510" s="80"/>
      <c r="P510" s="5"/>
    </row>
    <row r="511" ht="18" customHeight="1" spans="1:16">
      <c r="A511" s="77" t="str">
        <f t="shared" si="7"/>
        <v/>
      </c>
      <c r="B511" s="78"/>
      <c r="C511" s="78"/>
      <c r="D511" s="79"/>
      <c r="E511" s="80"/>
      <c r="F511" s="80"/>
      <c r="G511" s="81"/>
      <c r="H511" s="5"/>
      <c r="I511" s="79"/>
      <c r="J511" s="79"/>
      <c r="K511" s="82"/>
      <c r="L511" s="83"/>
      <c r="M511" s="80"/>
      <c r="N511" s="79"/>
      <c r="O511" s="80"/>
      <c r="P511" s="5"/>
    </row>
    <row r="512" ht="18" customHeight="1" spans="1:16">
      <c r="A512" s="77" t="str">
        <f t="shared" si="7"/>
        <v/>
      </c>
      <c r="B512" s="78"/>
      <c r="C512" s="78"/>
      <c r="D512" s="79"/>
      <c r="E512" s="80"/>
      <c r="F512" s="80"/>
      <c r="G512" s="81"/>
      <c r="H512" s="5"/>
      <c r="I512" s="79"/>
      <c r="J512" s="79"/>
      <c r="K512" s="82"/>
      <c r="L512" s="83"/>
      <c r="M512" s="80"/>
      <c r="N512" s="79"/>
      <c r="O512" s="80"/>
      <c r="P512" s="5"/>
    </row>
    <row r="513" ht="18" customHeight="1" spans="1:16">
      <c r="A513" s="77" t="str">
        <f t="shared" si="7"/>
        <v/>
      </c>
      <c r="B513" s="78"/>
      <c r="C513" s="78"/>
      <c r="D513" s="79"/>
      <c r="E513" s="80"/>
      <c r="F513" s="80"/>
      <c r="G513" s="81"/>
      <c r="H513" s="5"/>
      <c r="I513" s="79"/>
      <c r="J513" s="79"/>
      <c r="K513" s="82"/>
      <c r="L513" s="83"/>
      <c r="M513" s="80"/>
      <c r="N513" s="79"/>
      <c r="O513" s="80"/>
      <c r="P513" s="5"/>
    </row>
    <row r="514" ht="18" customHeight="1" spans="1:16">
      <c r="A514" s="77" t="str">
        <f t="shared" si="7"/>
        <v/>
      </c>
      <c r="B514" s="78"/>
      <c r="C514" s="78"/>
      <c r="D514" s="79"/>
      <c r="E514" s="80"/>
      <c r="F514" s="80"/>
      <c r="G514" s="81"/>
      <c r="H514" s="5"/>
      <c r="I514" s="79"/>
      <c r="J514" s="79"/>
      <c r="K514" s="82"/>
      <c r="L514" s="83"/>
      <c r="M514" s="80"/>
      <c r="N514" s="79"/>
      <c r="O514" s="80"/>
      <c r="P514" s="5"/>
    </row>
    <row r="515" ht="18" customHeight="1" spans="1:16">
      <c r="A515" s="77" t="str">
        <f t="shared" si="7"/>
        <v/>
      </c>
      <c r="B515" s="78"/>
      <c r="C515" s="78"/>
      <c r="D515" s="79"/>
      <c r="E515" s="80"/>
      <c r="F515" s="80"/>
      <c r="G515" s="81"/>
      <c r="H515" s="5"/>
      <c r="I515" s="79"/>
      <c r="J515" s="79"/>
      <c r="K515" s="82"/>
      <c r="L515" s="83"/>
      <c r="M515" s="80"/>
      <c r="N515" s="79"/>
      <c r="O515" s="80"/>
      <c r="P515" s="5"/>
    </row>
    <row r="516" ht="18" customHeight="1" spans="1:16">
      <c r="A516" s="77" t="str">
        <f t="shared" ref="A516:A579" si="8">IF($D516="","",ROW()-3)</f>
        <v/>
      </c>
      <c r="B516" s="78"/>
      <c r="C516" s="78"/>
      <c r="D516" s="79"/>
      <c r="E516" s="80"/>
      <c r="F516" s="80"/>
      <c r="G516" s="81"/>
      <c r="H516" s="5"/>
      <c r="I516" s="79"/>
      <c r="J516" s="79"/>
      <c r="K516" s="82"/>
      <c r="L516" s="83"/>
      <c r="M516" s="80"/>
      <c r="N516" s="79"/>
      <c r="O516" s="80"/>
      <c r="P516" s="5"/>
    </row>
    <row r="517" ht="18" customHeight="1" spans="1:16">
      <c r="A517" s="77" t="str">
        <f t="shared" si="8"/>
        <v/>
      </c>
      <c r="B517" s="78"/>
      <c r="C517" s="78"/>
      <c r="D517" s="79"/>
      <c r="E517" s="80"/>
      <c r="F517" s="80"/>
      <c r="G517" s="81"/>
      <c r="H517" s="5"/>
      <c r="I517" s="79"/>
      <c r="J517" s="79"/>
      <c r="K517" s="82"/>
      <c r="L517" s="83"/>
      <c r="M517" s="80"/>
      <c r="N517" s="79"/>
      <c r="O517" s="80"/>
      <c r="P517" s="5"/>
    </row>
    <row r="518" ht="18" customHeight="1" spans="1:16">
      <c r="A518" s="77" t="str">
        <f t="shared" si="8"/>
        <v/>
      </c>
      <c r="B518" s="78"/>
      <c r="C518" s="78"/>
      <c r="D518" s="79"/>
      <c r="E518" s="80"/>
      <c r="F518" s="80"/>
      <c r="G518" s="81"/>
      <c r="H518" s="5"/>
      <c r="I518" s="79"/>
      <c r="J518" s="79"/>
      <c r="K518" s="82"/>
      <c r="L518" s="83"/>
      <c r="M518" s="80"/>
      <c r="N518" s="79"/>
      <c r="O518" s="80"/>
      <c r="P518" s="5"/>
    </row>
    <row r="519" ht="18" customHeight="1" spans="1:16">
      <c r="A519" s="77" t="str">
        <f t="shared" si="8"/>
        <v/>
      </c>
      <c r="B519" s="78"/>
      <c r="C519" s="78"/>
      <c r="D519" s="79"/>
      <c r="E519" s="80"/>
      <c r="F519" s="80"/>
      <c r="G519" s="81"/>
      <c r="H519" s="5"/>
      <c r="I519" s="79"/>
      <c r="J519" s="79"/>
      <c r="K519" s="82"/>
      <c r="L519" s="83"/>
      <c r="M519" s="80"/>
      <c r="N519" s="79"/>
      <c r="O519" s="80"/>
      <c r="P519" s="5"/>
    </row>
    <row r="520" ht="18" customHeight="1" spans="1:16">
      <c r="A520" s="77" t="str">
        <f t="shared" si="8"/>
        <v/>
      </c>
      <c r="B520" s="78"/>
      <c r="C520" s="78"/>
      <c r="D520" s="79"/>
      <c r="E520" s="80"/>
      <c r="F520" s="80"/>
      <c r="G520" s="81"/>
      <c r="H520" s="5"/>
      <c r="I520" s="79"/>
      <c r="J520" s="79"/>
      <c r="K520" s="82"/>
      <c r="L520" s="83"/>
      <c r="M520" s="80"/>
      <c r="N520" s="79"/>
      <c r="O520" s="80"/>
      <c r="P520" s="5"/>
    </row>
    <row r="521" ht="18" customHeight="1" spans="1:16">
      <c r="A521" s="77" t="str">
        <f t="shared" si="8"/>
        <v/>
      </c>
      <c r="B521" s="78"/>
      <c r="C521" s="78"/>
      <c r="D521" s="79"/>
      <c r="E521" s="80"/>
      <c r="F521" s="80"/>
      <c r="G521" s="81"/>
      <c r="H521" s="5"/>
      <c r="I521" s="79"/>
      <c r="J521" s="79"/>
      <c r="K521" s="82"/>
      <c r="L521" s="83"/>
      <c r="M521" s="80"/>
      <c r="N521" s="79"/>
      <c r="O521" s="80"/>
      <c r="P521" s="5"/>
    </row>
    <row r="522" ht="18" customHeight="1" spans="1:16">
      <c r="A522" s="77" t="str">
        <f t="shared" si="8"/>
        <v/>
      </c>
      <c r="B522" s="78"/>
      <c r="C522" s="78"/>
      <c r="D522" s="79"/>
      <c r="E522" s="80"/>
      <c r="F522" s="80"/>
      <c r="G522" s="81"/>
      <c r="H522" s="5"/>
      <c r="I522" s="79"/>
      <c r="J522" s="79"/>
      <c r="K522" s="82"/>
      <c r="L522" s="83"/>
      <c r="M522" s="80"/>
      <c r="N522" s="79"/>
      <c r="O522" s="80"/>
      <c r="P522" s="5"/>
    </row>
    <row r="523" ht="18" customHeight="1" spans="1:16">
      <c r="A523" s="77" t="str">
        <f t="shared" si="8"/>
        <v/>
      </c>
      <c r="B523" s="78"/>
      <c r="C523" s="78"/>
      <c r="D523" s="79"/>
      <c r="E523" s="80"/>
      <c r="F523" s="80"/>
      <c r="G523" s="81"/>
      <c r="H523" s="5"/>
      <c r="I523" s="79"/>
      <c r="J523" s="79"/>
      <c r="K523" s="82"/>
      <c r="L523" s="83"/>
      <c r="M523" s="80"/>
      <c r="N523" s="79"/>
      <c r="O523" s="80"/>
      <c r="P523" s="5"/>
    </row>
    <row r="524" ht="18" customHeight="1" spans="1:16">
      <c r="A524" s="77" t="str">
        <f t="shared" si="8"/>
        <v/>
      </c>
      <c r="B524" s="78"/>
      <c r="C524" s="78"/>
      <c r="D524" s="79"/>
      <c r="E524" s="80"/>
      <c r="F524" s="80"/>
      <c r="G524" s="81"/>
      <c r="H524" s="5"/>
      <c r="I524" s="79"/>
      <c r="J524" s="79"/>
      <c r="K524" s="82"/>
      <c r="L524" s="83"/>
      <c r="M524" s="80"/>
      <c r="N524" s="79"/>
      <c r="O524" s="80"/>
      <c r="P524" s="5"/>
    </row>
    <row r="525" ht="18" customHeight="1" spans="1:16">
      <c r="A525" s="77" t="str">
        <f t="shared" si="8"/>
        <v/>
      </c>
      <c r="B525" s="78"/>
      <c r="C525" s="78"/>
      <c r="D525" s="79"/>
      <c r="E525" s="80"/>
      <c r="F525" s="80"/>
      <c r="G525" s="81"/>
      <c r="H525" s="5"/>
      <c r="I525" s="79"/>
      <c r="J525" s="79"/>
      <c r="K525" s="82"/>
      <c r="L525" s="83"/>
      <c r="M525" s="80"/>
      <c r="N525" s="79"/>
      <c r="O525" s="80"/>
      <c r="P525" s="5"/>
    </row>
    <row r="526" ht="18" customHeight="1" spans="1:16">
      <c r="A526" s="77" t="str">
        <f t="shared" si="8"/>
        <v/>
      </c>
      <c r="B526" s="78"/>
      <c r="C526" s="78"/>
      <c r="D526" s="79"/>
      <c r="E526" s="80"/>
      <c r="F526" s="80"/>
      <c r="G526" s="81"/>
      <c r="H526" s="5"/>
      <c r="I526" s="79"/>
      <c r="J526" s="79"/>
      <c r="K526" s="82"/>
      <c r="L526" s="83"/>
      <c r="M526" s="80"/>
      <c r="N526" s="79"/>
      <c r="O526" s="80"/>
      <c r="P526" s="5"/>
    </row>
    <row r="527" ht="18" customHeight="1" spans="1:16">
      <c r="A527" s="77" t="str">
        <f t="shared" si="8"/>
        <v/>
      </c>
      <c r="B527" s="78"/>
      <c r="C527" s="78"/>
      <c r="D527" s="79"/>
      <c r="E527" s="80"/>
      <c r="F527" s="80"/>
      <c r="G527" s="81"/>
      <c r="H527" s="5"/>
      <c r="I527" s="79"/>
      <c r="J527" s="79"/>
      <c r="K527" s="82"/>
      <c r="L527" s="83"/>
      <c r="M527" s="80"/>
      <c r="N527" s="79"/>
      <c r="O527" s="80"/>
      <c r="P527" s="5"/>
    </row>
    <row r="528" ht="18" customHeight="1" spans="1:16">
      <c r="A528" s="77" t="str">
        <f t="shared" si="8"/>
        <v/>
      </c>
      <c r="B528" s="78"/>
      <c r="C528" s="78"/>
      <c r="D528" s="79"/>
      <c r="E528" s="80"/>
      <c r="F528" s="80"/>
      <c r="G528" s="81"/>
      <c r="H528" s="5"/>
      <c r="I528" s="79"/>
      <c r="J528" s="79"/>
      <c r="K528" s="82"/>
      <c r="L528" s="83"/>
      <c r="M528" s="80"/>
      <c r="N528" s="79"/>
      <c r="O528" s="80"/>
      <c r="P528" s="5"/>
    </row>
    <row r="529" ht="18" customHeight="1" spans="1:16">
      <c r="A529" s="77" t="str">
        <f t="shared" si="8"/>
        <v/>
      </c>
      <c r="B529" s="78"/>
      <c r="C529" s="78"/>
      <c r="D529" s="79"/>
      <c r="E529" s="80"/>
      <c r="F529" s="80"/>
      <c r="G529" s="81"/>
      <c r="H529" s="5"/>
      <c r="I529" s="79"/>
      <c r="J529" s="79"/>
      <c r="K529" s="82"/>
      <c r="L529" s="83"/>
      <c r="M529" s="80"/>
      <c r="N529" s="79"/>
      <c r="O529" s="80"/>
      <c r="P529" s="5"/>
    </row>
    <row r="530" ht="18" customHeight="1" spans="1:16">
      <c r="A530" s="77" t="str">
        <f t="shared" si="8"/>
        <v/>
      </c>
      <c r="B530" s="78"/>
      <c r="C530" s="78"/>
      <c r="D530" s="79"/>
      <c r="E530" s="80"/>
      <c r="F530" s="80"/>
      <c r="G530" s="81"/>
      <c r="H530" s="5"/>
      <c r="I530" s="79"/>
      <c r="J530" s="79"/>
      <c r="K530" s="82"/>
      <c r="L530" s="83"/>
      <c r="M530" s="80"/>
      <c r="N530" s="79"/>
      <c r="O530" s="80"/>
      <c r="P530" s="5"/>
    </row>
    <row r="531" ht="18" customHeight="1" spans="1:16">
      <c r="A531" s="77" t="str">
        <f t="shared" si="8"/>
        <v/>
      </c>
      <c r="B531" s="78"/>
      <c r="C531" s="78"/>
      <c r="D531" s="79"/>
      <c r="E531" s="80"/>
      <c r="F531" s="80"/>
      <c r="G531" s="81"/>
      <c r="H531" s="5"/>
      <c r="I531" s="79"/>
      <c r="J531" s="79"/>
      <c r="K531" s="82"/>
      <c r="L531" s="83"/>
      <c r="M531" s="80"/>
      <c r="N531" s="79"/>
      <c r="O531" s="80"/>
      <c r="P531" s="5"/>
    </row>
    <row r="532" ht="18" customHeight="1" spans="1:16">
      <c r="A532" s="77" t="str">
        <f t="shared" si="8"/>
        <v/>
      </c>
      <c r="B532" s="78"/>
      <c r="C532" s="78"/>
      <c r="D532" s="79"/>
      <c r="E532" s="80"/>
      <c r="F532" s="80"/>
      <c r="G532" s="81"/>
      <c r="H532" s="5"/>
      <c r="I532" s="79"/>
      <c r="J532" s="79"/>
      <c r="K532" s="82"/>
      <c r="L532" s="83"/>
      <c r="M532" s="80"/>
      <c r="N532" s="79"/>
      <c r="O532" s="80"/>
      <c r="P532" s="5"/>
    </row>
    <row r="533" ht="18" customHeight="1" spans="1:16">
      <c r="A533" s="77" t="str">
        <f t="shared" si="8"/>
        <v/>
      </c>
      <c r="B533" s="78"/>
      <c r="C533" s="78"/>
      <c r="D533" s="79"/>
      <c r="E533" s="80"/>
      <c r="F533" s="80"/>
      <c r="G533" s="81"/>
      <c r="H533" s="5"/>
      <c r="I533" s="79"/>
      <c r="J533" s="79"/>
      <c r="K533" s="82"/>
      <c r="L533" s="83"/>
      <c r="M533" s="80"/>
      <c r="N533" s="79"/>
      <c r="O533" s="80"/>
      <c r="P533" s="5"/>
    </row>
    <row r="534" ht="18" customHeight="1" spans="1:16">
      <c r="A534" s="77" t="str">
        <f t="shared" si="8"/>
        <v/>
      </c>
      <c r="B534" s="78"/>
      <c r="C534" s="78"/>
      <c r="D534" s="79"/>
      <c r="E534" s="80"/>
      <c r="F534" s="80"/>
      <c r="G534" s="81"/>
      <c r="H534" s="5"/>
      <c r="I534" s="79"/>
      <c r="J534" s="79"/>
      <c r="K534" s="82"/>
      <c r="L534" s="83"/>
      <c r="M534" s="80"/>
      <c r="N534" s="79"/>
      <c r="O534" s="80"/>
      <c r="P534" s="5"/>
    </row>
    <row r="535" ht="18" customHeight="1" spans="1:16">
      <c r="A535" s="77" t="str">
        <f t="shared" si="8"/>
        <v/>
      </c>
      <c r="B535" s="78"/>
      <c r="C535" s="78"/>
      <c r="D535" s="79"/>
      <c r="E535" s="80"/>
      <c r="F535" s="80"/>
      <c r="G535" s="81"/>
      <c r="H535" s="5"/>
      <c r="I535" s="79"/>
      <c r="J535" s="79"/>
      <c r="K535" s="82"/>
      <c r="L535" s="83"/>
      <c r="M535" s="80"/>
      <c r="N535" s="79"/>
      <c r="O535" s="80"/>
      <c r="P535" s="5"/>
    </row>
    <row r="536" ht="18" customHeight="1" spans="1:16">
      <c r="A536" s="77" t="str">
        <f t="shared" si="8"/>
        <v/>
      </c>
      <c r="B536" s="78"/>
      <c r="C536" s="78"/>
      <c r="D536" s="79"/>
      <c r="E536" s="80"/>
      <c r="F536" s="80"/>
      <c r="G536" s="81"/>
      <c r="H536" s="5"/>
      <c r="I536" s="79"/>
      <c r="J536" s="79"/>
      <c r="K536" s="82"/>
      <c r="L536" s="83"/>
      <c r="M536" s="80"/>
      <c r="N536" s="79"/>
      <c r="O536" s="80"/>
      <c r="P536" s="5"/>
    </row>
    <row r="537" ht="18" customHeight="1" spans="1:16">
      <c r="A537" s="77" t="str">
        <f t="shared" si="8"/>
        <v/>
      </c>
      <c r="B537" s="78"/>
      <c r="C537" s="78"/>
      <c r="D537" s="79"/>
      <c r="E537" s="80"/>
      <c r="F537" s="80"/>
      <c r="G537" s="81"/>
      <c r="H537" s="5"/>
      <c r="I537" s="79"/>
      <c r="J537" s="79"/>
      <c r="K537" s="82"/>
      <c r="L537" s="83"/>
      <c r="M537" s="80"/>
      <c r="N537" s="79"/>
      <c r="O537" s="80"/>
      <c r="P537" s="5"/>
    </row>
    <row r="538" ht="18" customHeight="1" spans="1:16">
      <c r="A538" s="77" t="str">
        <f t="shared" si="8"/>
        <v/>
      </c>
      <c r="B538" s="78"/>
      <c r="C538" s="78"/>
      <c r="D538" s="79"/>
      <c r="E538" s="80"/>
      <c r="F538" s="80"/>
      <c r="G538" s="81"/>
      <c r="H538" s="5"/>
      <c r="I538" s="79"/>
      <c r="J538" s="79"/>
      <c r="K538" s="82"/>
      <c r="L538" s="83"/>
      <c r="M538" s="80"/>
      <c r="N538" s="79"/>
      <c r="O538" s="80"/>
      <c r="P538" s="5"/>
    </row>
    <row r="539" ht="18" customHeight="1" spans="1:16">
      <c r="A539" s="77" t="str">
        <f t="shared" si="8"/>
        <v/>
      </c>
      <c r="B539" s="78"/>
      <c r="C539" s="78"/>
      <c r="D539" s="79"/>
      <c r="E539" s="80"/>
      <c r="F539" s="80"/>
      <c r="G539" s="81"/>
      <c r="H539" s="5"/>
      <c r="I539" s="79"/>
      <c r="J539" s="79"/>
      <c r="K539" s="82"/>
      <c r="L539" s="83"/>
      <c r="M539" s="80"/>
      <c r="N539" s="79"/>
      <c r="O539" s="80"/>
      <c r="P539" s="5"/>
    </row>
    <row r="540" ht="18" customHeight="1" spans="1:16">
      <c r="A540" s="77" t="str">
        <f t="shared" si="8"/>
        <v/>
      </c>
      <c r="B540" s="78"/>
      <c r="C540" s="78"/>
      <c r="D540" s="79"/>
      <c r="E540" s="80"/>
      <c r="F540" s="80"/>
      <c r="G540" s="81"/>
      <c r="H540" s="5"/>
      <c r="I540" s="79"/>
      <c r="J540" s="79"/>
      <c r="K540" s="82"/>
      <c r="L540" s="83"/>
      <c r="M540" s="80"/>
      <c r="N540" s="79"/>
      <c r="O540" s="80"/>
      <c r="P540" s="5"/>
    </row>
    <row r="541" ht="18" customHeight="1" spans="1:16">
      <c r="A541" s="77" t="str">
        <f t="shared" si="8"/>
        <v/>
      </c>
      <c r="B541" s="78"/>
      <c r="C541" s="78"/>
      <c r="D541" s="79"/>
      <c r="E541" s="80"/>
      <c r="F541" s="80"/>
      <c r="G541" s="81"/>
      <c r="H541" s="5"/>
      <c r="I541" s="79"/>
      <c r="J541" s="79"/>
      <c r="K541" s="82"/>
      <c r="L541" s="83"/>
      <c r="M541" s="80"/>
      <c r="N541" s="79"/>
      <c r="O541" s="80"/>
      <c r="P541" s="5"/>
    </row>
    <row r="542" ht="18" customHeight="1" spans="1:16">
      <c r="A542" s="77" t="str">
        <f t="shared" si="8"/>
        <v/>
      </c>
      <c r="B542" s="78"/>
      <c r="C542" s="78"/>
      <c r="D542" s="79"/>
      <c r="E542" s="80"/>
      <c r="F542" s="80"/>
      <c r="G542" s="81"/>
      <c r="H542" s="5"/>
      <c r="I542" s="79"/>
      <c r="J542" s="79"/>
      <c r="K542" s="82"/>
      <c r="L542" s="83"/>
      <c r="M542" s="80"/>
      <c r="N542" s="79"/>
      <c r="O542" s="80"/>
      <c r="P542" s="5"/>
    </row>
    <row r="543" ht="18" customHeight="1" spans="1:16">
      <c r="A543" s="77" t="str">
        <f t="shared" si="8"/>
        <v/>
      </c>
      <c r="B543" s="78"/>
      <c r="C543" s="78"/>
      <c r="D543" s="79"/>
      <c r="E543" s="80"/>
      <c r="F543" s="80"/>
      <c r="G543" s="81"/>
      <c r="H543" s="5"/>
      <c r="I543" s="79"/>
      <c r="J543" s="79"/>
      <c r="K543" s="82"/>
      <c r="L543" s="83"/>
      <c r="M543" s="80"/>
      <c r="N543" s="79"/>
      <c r="O543" s="80"/>
      <c r="P543" s="5"/>
    </row>
    <row r="544" ht="18" customHeight="1" spans="1:16">
      <c r="A544" s="77" t="str">
        <f t="shared" si="8"/>
        <v/>
      </c>
      <c r="B544" s="78"/>
      <c r="C544" s="78"/>
      <c r="D544" s="79"/>
      <c r="E544" s="80"/>
      <c r="F544" s="80"/>
      <c r="G544" s="81"/>
      <c r="H544" s="5"/>
      <c r="I544" s="79"/>
      <c r="J544" s="79"/>
      <c r="K544" s="82"/>
      <c r="L544" s="83"/>
      <c r="M544" s="80"/>
      <c r="N544" s="79"/>
      <c r="O544" s="80"/>
      <c r="P544" s="5"/>
    </row>
    <row r="545" ht="18" customHeight="1" spans="1:16">
      <c r="A545" s="77" t="str">
        <f t="shared" si="8"/>
        <v/>
      </c>
      <c r="B545" s="78"/>
      <c r="C545" s="78"/>
      <c r="D545" s="79"/>
      <c r="E545" s="80"/>
      <c r="F545" s="80"/>
      <c r="G545" s="81"/>
      <c r="H545" s="5"/>
      <c r="I545" s="79"/>
      <c r="J545" s="79"/>
      <c r="K545" s="82"/>
      <c r="L545" s="83"/>
      <c r="M545" s="80"/>
      <c r="N545" s="79"/>
      <c r="O545" s="80"/>
      <c r="P545" s="5"/>
    </row>
    <row r="546" ht="18" customHeight="1" spans="1:16">
      <c r="A546" s="77" t="str">
        <f t="shared" si="8"/>
        <v/>
      </c>
      <c r="B546" s="78"/>
      <c r="C546" s="78"/>
      <c r="D546" s="79"/>
      <c r="E546" s="80"/>
      <c r="F546" s="80"/>
      <c r="G546" s="81"/>
      <c r="H546" s="5"/>
      <c r="I546" s="79"/>
      <c r="J546" s="79"/>
      <c r="K546" s="82"/>
      <c r="L546" s="83"/>
      <c r="M546" s="80"/>
      <c r="N546" s="79"/>
      <c r="O546" s="80"/>
      <c r="P546" s="5"/>
    </row>
    <row r="547" ht="18" customHeight="1" spans="1:16">
      <c r="A547" s="77" t="str">
        <f t="shared" si="8"/>
        <v/>
      </c>
      <c r="B547" s="78"/>
      <c r="C547" s="78"/>
      <c r="D547" s="79"/>
      <c r="E547" s="80"/>
      <c r="F547" s="80"/>
      <c r="G547" s="81"/>
      <c r="H547" s="5"/>
      <c r="I547" s="79"/>
      <c r="J547" s="79"/>
      <c r="K547" s="82"/>
      <c r="L547" s="83"/>
      <c r="M547" s="80"/>
      <c r="N547" s="79"/>
      <c r="O547" s="80"/>
      <c r="P547" s="5"/>
    </row>
    <row r="548" ht="18" customHeight="1" spans="1:16">
      <c r="A548" s="77" t="str">
        <f t="shared" si="8"/>
        <v/>
      </c>
      <c r="B548" s="78"/>
      <c r="C548" s="78"/>
      <c r="D548" s="79"/>
      <c r="E548" s="80"/>
      <c r="F548" s="80"/>
      <c r="G548" s="81"/>
      <c r="H548" s="5"/>
      <c r="I548" s="79"/>
      <c r="J548" s="79"/>
      <c r="K548" s="82"/>
      <c r="L548" s="83"/>
      <c r="M548" s="80"/>
      <c r="N548" s="79"/>
      <c r="O548" s="80"/>
      <c r="P548" s="5"/>
    </row>
    <row r="549" ht="18" customHeight="1" spans="1:16">
      <c r="A549" s="77" t="str">
        <f t="shared" si="8"/>
        <v/>
      </c>
      <c r="B549" s="78"/>
      <c r="C549" s="78"/>
      <c r="D549" s="79"/>
      <c r="E549" s="80"/>
      <c r="F549" s="80"/>
      <c r="G549" s="81"/>
      <c r="H549" s="5"/>
      <c r="I549" s="79"/>
      <c r="J549" s="79"/>
      <c r="K549" s="82"/>
      <c r="L549" s="83"/>
      <c r="M549" s="80"/>
      <c r="N549" s="79"/>
      <c r="O549" s="80"/>
      <c r="P549" s="5"/>
    </row>
    <row r="550" ht="18" customHeight="1" spans="1:16">
      <c r="A550" s="77" t="str">
        <f t="shared" si="8"/>
        <v/>
      </c>
      <c r="B550" s="78"/>
      <c r="C550" s="78"/>
      <c r="D550" s="79"/>
      <c r="E550" s="80"/>
      <c r="F550" s="80"/>
      <c r="G550" s="81"/>
      <c r="H550" s="5"/>
      <c r="I550" s="79"/>
      <c r="J550" s="79"/>
      <c r="K550" s="82"/>
      <c r="L550" s="83"/>
      <c r="M550" s="80"/>
      <c r="N550" s="79"/>
      <c r="O550" s="80"/>
      <c r="P550" s="5"/>
    </row>
    <row r="551" ht="18" customHeight="1" spans="1:16">
      <c r="A551" s="77" t="str">
        <f t="shared" si="8"/>
        <v/>
      </c>
      <c r="B551" s="78"/>
      <c r="C551" s="78"/>
      <c r="D551" s="79"/>
      <c r="E551" s="80"/>
      <c r="F551" s="80"/>
      <c r="G551" s="81"/>
      <c r="H551" s="5"/>
      <c r="I551" s="79"/>
      <c r="J551" s="79"/>
      <c r="K551" s="82"/>
      <c r="L551" s="83"/>
      <c r="M551" s="80"/>
      <c r="N551" s="79"/>
      <c r="O551" s="80"/>
      <c r="P551" s="5"/>
    </row>
    <row r="552" ht="18" customHeight="1" spans="1:16">
      <c r="A552" s="77" t="str">
        <f t="shared" si="8"/>
        <v/>
      </c>
      <c r="B552" s="78"/>
      <c r="C552" s="78"/>
      <c r="D552" s="79"/>
      <c r="E552" s="80"/>
      <c r="F552" s="80"/>
      <c r="G552" s="81"/>
      <c r="H552" s="5"/>
      <c r="I552" s="79"/>
      <c r="J552" s="79"/>
      <c r="K552" s="82"/>
      <c r="L552" s="83"/>
      <c r="M552" s="80"/>
      <c r="N552" s="79"/>
      <c r="O552" s="80"/>
      <c r="P552" s="5"/>
    </row>
    <row r="553" ht="18" customHeight="1" spans="1:16">
      <c r="A553" s="77" t="str">
        <f t="shared" si="8"/>
        <v/>
      </c>
      <c r="B553" s="78"/>
      <c r="C553" s="78"/>
      <c r="D553" s="79"/>
      <c r="E553" s="80"/>
      <c r="F553" s="80"/>
      <c r="G553" s="81"/>
      <c r="H553" s="5"/>
      <c r="I553" s="79"/>
      <c r="J553" s="79"/>
      <c r="K553" s="82"/>
      <c r="L553" s="83"/>
      <c r="M553" s="80"/>
      <c r="N553" s="79"/>
      <c r="O553" s="80"/>
      <c r="P553" s="5"/>
    </row>
    <row r="554" ht="18" customHeight="1" spans="1:16">
      <c r="A554" s="77" t="str">
        <f t="shared" si="8"/>
        <v/>
      </c>
      <c r="B554" s="78"/>
      <c r="C554" s="78"/>
      <c r="D554" s="79"/>
      <c r="E554" s="80"/>
      <c r="F554" s="80"/>
      <c r="G554" s="81"/>
      <c r="H554" s="5"/>
      <c r="I554" s="79"/>
      <c r="J554" s="79"/>
      <c r="K554" s="82"/>
      <c r="L554" s="83"/>
      <c r="M554" s="80"/>
      <c r="N554" s="79"/>
      <c r="O554" s="80"/>
      <c r="P554" s="5"/>
    </row>
    <row r="555" ht="18" customHeight="1" spans="1:16">
      <c r="A555" s="77" t="str">
        <f t="shared" si="8"/>
        <v/>
      </c>
      <c r="B555" s="78"/>
      <c r="C555" s="78"/>
      <c r="D555" s="79"/>
      <c r="E555" s="80"/>
      <c r="F555" s="80"/>
      <c r="G555" s="81"/>
      <c r="H555" s="5"/>
      <c r="I555" s="79"/>
      <c r="J555" s="79"/>
      <c r="K555" s="82"/>
      <c r="L555" s="83"/>
      <c r="M555" s="80"/>
      <c r="N555" s="79"/>
      <c r="O555" s="80"/>
      <c r="P555" s="5"/>
    </row>
    <row r="556" ht="18" customHeight="1" spans="1:16">
      <c r="A556" s="77" t="str">
        <f t="shared" si="8"/>
        <v/>
      </c>
      <c r="B556" s="78"/>
      <c r="C556" s="78"/>
      <c r="D556" s="79"/>
      <c r="E556" s="80"/>
      <c r="F556" s="80"/>
      <c r="G556" s="81"/>
      <c r="H556" s="5"/>
      <c r="I556" s="79"/>
      <c r="J556" s="79"/>
      <c r="K556" s="82"/>
      <c r="L556" s="83"/>
      <c r="M556" s="80"/>
      <c r="N556" s="79"/>
      <c r="O556" s="80"/>
      <c r="P556" s="5"/>
    </row>
    <row r="557" ht="18" customHeight="1" spans="1:16">
      <c r="A557" s="77" t="str">
        <f t="shared" si="8"/>
        <v/>
      </c>
      <c r="B557" s="78"/>
      <c r="C557" s="78"/>
      <c r="D557" s="79"/>
      <c r="E557" s="80"/>
      <c r="F557" s="80"/>
      <c r="G557" s="81"/>
      <c r="H557" s="5"/>
      <c r="I557" s="79"/>
      <c r="J557" s="79"/>
      <c r="K557" s="82"/>
      <c r="L557" s="83"/>
      <c r="M557" s="80"/>
      <c r="N557" s="79"/>
      <c r="O557" s="80"/>
      <c r="P557" s="5"/>
    </row>
    <row r="558" ht="18" customHeight="1" spans="1:16">
      <c r="A558" s="77" t="str">
        <f t="shared" si="8"/>
        <v/>
      </c>
      <c r="B558" s="78"/>
      <c r="C558" s="78"/>
      <c r="D558" s="79"/>
      <c r="E558" s="80"/>
      <c r="F558" s="80"/>
      <c r="G558" s="81"/>
      <c r="H558" s="5"/>
      <c r="I558" s="79"/>
      <c r="J558" s="79"/>
      <c r="K558" s="82"/>
      <c r="L558" s="83"/>
      <c r="M558" s="80"/>
      <c r="N558" s="79"/>
      <c r="O558" s="80"/>
      <c r="P558" s="5"/>
    </row>
    <row r="559" ht="18" customHeight="1" spans="1:16">
      <c r="A559" s="77" t="str">
        <f t="shared" si="8"/>
        <v/>
      </c>
      <c r="B559" s="78"/>
      <c r="C559" s="78"/>
      <c r="D559" s="79"/>
      <c r="E559" s="80"/>
      <c r="F559" s="80"/>
      <c r="G559" s="81"/>
      <c r="H559" s="5"/>
      <c r="I559" s="79"/>
      <c r="J559" s="79"/>
      <c r="K559" s="82"/>
      <c r="L559" s="83"/>
      <c r="M559" s="80"/>
      <c r="N559" s="79"/>
      <c r="O559" s="80"/>
      <c r="P559" s="5"/>
    </row>
    <row r="560" ht="18" customHeight="1" spans="1:16">
      <c r="A560" s="77" t="str">
        <f t="shared" si="8"/>
        <v/>
      </c>
      <c r="B560" s="78"/>
      <c r="C560" s="78"/>
      <c r="D560" s="79"/>
      <c r="E560" s="80"/>
      <c r="F560" s="80"/>
      <c r="G560" s="81"/>
      <c r="H560" s="5"/>
      <c r="I560" s="79"/>
      <c r="J560" s="79"/>
      <c r="K560" s="82"/>
      <c r="L560" s="83"/>
      <c r="M560" s="80"/>
      <c r="N560" s="79"/>
      <c r="O560" s="80"/>
      <c r="P560" s="5"/>
    </row>
    <row r="561" ht="18" customHeight="1" spans="1:16">
      <c r="A561" s="77" t="str">
        <f t="shared" si="8"/>
        <v/>
      </c>
      <c r="B561" s="78"/>
      <c r="C561" s="78"/>
      <c r="D561" s="79"/>
      <c r="E561" s="80"/>
      <c r="F561" s="80"/>
      <c r="G561" s="81"/>
      <c r="H561" s="5"/>
      <c r="I561" s="79"/>
      <c r="J561" s="79"/>
      <c r="K561" s="82"/>
      <c r="L561" s="83"/>
      <c r="M561" s="80"/>
      <c r="N561" s="79"/>
      <c r="O561" s="80"/>
      <c r="P561" s="5"/>
    </row>
    <row r="562" ht="18" customHeight="1" spans="1:16">
      <c r="A562" s="77" t="str">
        <f t="shared" si="8"/>
        <v/>
      </c>
      <c r="B562" s="78"/>
      <c r="C562" s="78"/>
      <c r="D562" s="79"/>
      <c r="E562" s="80"/>
      <c r="F562" s="80"/>
      <c r="G562" s="81"/>
      <c r="H562" s="5"/>
      <c r="I562" s="79"/>
      <c r="J562" s="79"/>
      <c r="K562" s="82"/>
      <c r="L562" s="83"/>
      <c r="M562" s="80"/>
      <c r="N562" s="79"/>
      <c r="O562" s="80"/>
      <c r="P562" s="5"/>
    </row>
    <row r="563" ht="18" customHeight="1" spans="1:16">
      <c r="A563" s="77" t="str">
        <f t="shared" si="8"/>
        <v/>
      </c>
      <c r="B563" s="78"/>
      <c r="C563" s="78"/>
      <c r="D563" s="79"/>
      <c r="E563" s="80"/>
      <c r="F563" s="80"/>
      <c r="G563" s="81"/>
      <c r="H563" s="5"/>
      <c r="I563" s="79"/>
      <c r="J563" s="79"/>
      <c r="K563" s="82"/>
      <c r="L563" s="83"/>
      <c r="M563" s="80"/>
      <c r="N563" s="79"/>
      <c r="O563" s="80"/>
      <c r="P563" s="5"/>
    </row>
    <row r="564" ht="18" customHeight="1" spans="1:16">
      <c r="A564" s="77" t="str">
        <f t="shared" si="8"/>
        <v/>
      </c>
      <c r="B564" s="78"/>
      <c r="C564" s="78"/>
      <c r="D564" s="79"/>
      <c r="E564" s="80"/>
      <c r="F564" s="80"/>
      <c r="G564" s="81"/>
      <c r="H564" s="5"/>
      <c r="I564" s="79"/>
      <c r="J564" s="79"/>
      <c r="K564" s="82"/>
      <c r="L564" s="83"/>
      <c r="M564" s="80"/>
      <c r="N564" s="79"/>
      <c r="O564" s="80"/>
      <c r="P564" s="5"/>
    </row>
    <row r="565" ht="18" customHeight="1" spans="1:16">
      <c r="A565" s="77" t="str">
        <f t="shared" si="8"/>
        <v/>
      </c>
      <c r="B565" s="78"/>
      <c r="C565" s="78"/>
      <c r="D565" s="79"/>
      <c r="E565" s="80"/>
      <c r="F565" s="80"/>
      <c r="G565" s="81"/>
      <c r="H565" s="5"/>
      <c r="I565" s="79"/>
      <c r="J565" s="79"/>
      <c r="K565" s="82"/>
      <c r="L565" s="83"/>
      <c r="M565" s="80"/>
      <c r="N565" s="79"/>
      <c r="O565" s="80"/>
      <c r="P565" s="5"/>
    </row>
    <row r="566" ht="18" customHeight="1" spans="1:16">
      <c r="A566" s="77" t="str">
        <f t="shared" si="8"/>
        <v/>
      </c>
      <c r="B566" s="78"/>
      <c r="C566" s="78"/>
      <c r="D566" s="79"/>
      <c r="E566" s="80"/>
      <c r="F566" s="80"/>
      <c r="G566" s="81"/>
      <c r="H566" s="5"/>
      <c r="I566" s="79"/>
      <c r="J566" s="79"/>
      <c r="K566" s="82"/>
      <c r="L566" s="83"/>
      <c r="M566" s="80"/>
      <c r="N566" s="79"/>
      <c r="O566" s="80"/>
      <c r="P566" s="5"/>
    </row>
    <row r="567" ht="18" customHeight="1" spans="1:16">
      <c r="A567" s="77" t="str">
        <f t="shared" si="8"/>
        <v/>
      </c>
      <c r="B567" s="78"/>
      <c r="C567" s="78"/>
      <c r="D567" s="79"/>
      <c r="E567" s="80"/>
      <c r="F567" s="80"/>
      <c r="G567" s="81"/>
      <c r="H567" s="5"/>
      <c r="I567" s="79"/>
      <c r="J567" s="79"/>
      <c r="K567" s="82"/>
      <c r="L567" s="83"/>
      <c r="M567" s="80"/>
      <c r="N567" s="79"/>
      <c r="O567" s="80"/>
      <c r="P567" s="5"/>
    </row>
    <row r="568" ht="18" customHeight="1" spans="1:16">
      <c r="A568" s="77" t="str">
        <f t="shared" si="8"/>
        <v/>
      </c>
      <c r="B568" s="78"/>
      <c r="C568" s="78"/>
      <c r="D568" s="79"/>
      <c r="E568" s="80"/>
      <c r="F568" s="80"/>
      <c r="G568" s="81"/>
      <c r="H568" s="5"/>
      <c r="I568" s="79"/>
      <c r="J568" s="79"/>
      <c r="K568" s="82"/>
      <c r="L568" s="83"/>
      <c r="M568" s="80"/>
      <c r="N568" s="79"/>
      <c r="O568" s="80"/>
      <c r="P568" s="5"/>
    </row>
    <row r="569" ht="18" customHeight="1" spans="1:16">
      <c r="A569" s="77" t="str">
        <f t="shared" si="8"/>
        <v/>
      </c>
      <c r="B569" s="78"/>
      <c r="C569" s="78"/>
      <c r="D569" s="79"/>
      <c r="E569" s="80"/>
      <c r="F569" s="80"/>
      <c r="G569" s="81"/>
      <c r="H569" s="5"/>
      <c r="I569" s="79"/>
      <c r="J569" s="79"/>
      <c r="K569" s="82"/>
      <c r="L569" s="83"/>
      <c r="M569" s="80"/>
      <c r="N569" s="79"/>
      <c r="O569" s="80"/>
      <c r="P569" s="5"/>
    </row>
    <row r="570" ht="18" customHeight="1" spans="1:16">
      <c r="A570" s="77" t="str">
        <f t="shared" si="8"/>
        <v/>
      </c>
      <c r="B570" s="78"/>
      <c r="C570" s="78"/>
      <c r="D570" s="79"/>
      <c r="E570" s="80"/>
      <c r="F570" s="80"/>
      <c r="G570" s="81"/>
      <c r="H570" s="5"/>
      <c r="I570" s="79"/>
      <c r="J570" s="79"/>
      <c r="K570" s="82"/>
      <c r="L570" s="83"/>
      <c r="M570" s="80"/>
      <c r="N570" s="79"/>
      <c r="O570" s="80"/>
      <c r="P570" s="5"/>
    </row>
    <row r="571" ht="18" customHeight="1" spans="1:16">
      <c r="A571" s="77" t="str">
        <f t="shared" si="8"/>
        <v/>
      </c>
      <c r="B571" s="78"/>
      <c r="C571" s="78"/>
      <c r="D571" s="79"/>
      <c r="E571" s="80"/>
      <c r="F571" s="80"/>
      <c r="G571" s="81"/>
      <c r="H571" s="5"/>
      <c r="I571" s="79"/>
      <c r="J571" s="79"/>
      <c r="K571" s="82"/>
      <c r="L571" s="83"/>
      <c r="M571" s="80"/>
      <c r="N571" s="79"/>
      <c r="O571" s="80"/>
      <c r="P571" s="5"/>
    </row>
    <row r="572" ht="18" customHeight="1" spans="1:16">
      <c r="A572" s="77" t="str">
        <f t="shared" si="8"/>
        <v/>
      </c>
      <c r="B572" s="78"/>
      <c r="C572" s="78"/>
      <c r="D572" s="79"/>
      <c r="E572" s="80"/>
      <c r="F572" s="80"/>
      <c r="G572" s="81"/>
      <c r="H572" s="5"/>
      <c r="I572" s="79"/>
      <c r="J572" s="79"/>
      <c r="K572" s="82"/>
      <c r="L572" s="83"/>
      <c r="M572" s="80"/>
      <c r="N572" s="79"/>
      <c r="O572" s="80"/>
      <c r="P572" s="5"/>
    </row>
    <row r="573" ht="18" customHeight="1" spans="1:16">
      <c r="A573" s="77" t="str">
        <f t="shared" si="8"/>
        <v/>
      </c>
      <c r="B573" s="78"/>
      <c r="C573" s="78"/>
      <c r="D573" s="79"/>
      <c r="E573" s="80"/>
      <c r="F573" s="80"/>
      <c r="G573" s="81"/>
      <c r="H573" s="5"/>
      <c r="I573" s="79"/>
      <c r="J573" s="79"/>
      <c r="K573" s="82"/>
      <c r="L573" s="83"/>
      <c r="M573" s="80"/>
      <c r="N573" s="79"/>
      <c r="O573" s="80"/>
      <c r="P573" s="5"/>
    </row>
    <row r="574" ht="18" customHeight="1" spans="1:16">
      <c r="A574" s="77" t="str">
        <f t="shared" si="8"/>
        <v/>
      </c>
      <c r="B574" s="78"/>
      <c r="C574" s="78"/>
      <c r="D574" s="79"/>
      <c r="E574" s="80"/>
      <c r="F574" s="80"/>
      <c r="G574" s="81"/>
      <c r="H574" s="5"/>
      <c r="I574" s="79"/>
      <c r="J574" s="79"/>
      <c r="K574" s="82"/>
      <c r="L574" s="83"/>
      <c r="M574" s="80"/>
      <c r="N574" s="79"/>
      <c r="O574" s="80"/>
      <c r="P574" s="5"/>
    </row>
    <row r="575" ht="18" customHeight="1" spans="1:16">
      <c r="A575" s="77" t="str">
        <f t="shared" si="8"/>
        <v/>
      </c>
      <c r="B575" s="78"/>
      <c r="C575" s="78"/>
      <c r="D575" s="79"/>
      <c r="E575" s="80"/>
      <c r="F575" s="80"/>
      <c r="G575" s="81"/>
      <c r="H575" s="5"/>
      <c r="I575" s="79"/>
      <c r="J575" s="79"/>
      <c r="K575" s="82"/>
      <c r="L575" s="83"/>
      <c r="M575" s="80"/>
      <c r="N575" s="79"/>
      <c r="O575" s="80"/>
      <c r="P575" s="5"/>
    </row>
    <row r="576" ht="18" customHeight="1" spans="1:16">
      <c r="A576" s="77" t="str">
        <f t="shared" si="8"/>
        <v/>
      </c>
      <c r="B576" s="78"/>
      <c r="C576" s="78"/>
      <c r="D576" s="79"/>
      <c r="E576" s="80"/>
      <c r="F576" s="80"/>
      <c r="G576" s="81"/>
      <c r="H576" s="5"/>
      <c r="I576" s="79"/>
      <c r="J576" s="79"/>
      <c r="K576" s="82"/>
      <c r="L576" s="83"/>
      <c r="M576" s="80"/>
      <c r="N576" s="79"/>
      <c r="O576" s="80"/>
      <c r="P576" s="5"/>
    </row>
    <row r="577" ht="18" customHeight="1" spans="1:16">
      <c r="A577" s="77" t="str">
        <f t="shared" si="8"/>
        <v/>
      </c>
      <c r="B577" s="78"/>
      <c r="C577" s="78"/>
      <c r="D577" s="79"/>
      <c r="E577" s="80"/>
      <c r="F577" s="80"/>
      <c r="G577" s="81"/>
      <c r="H577" s="5"/>
      <c r="I577" s="79"/>
      <c r="J577" s="79"/>
      <c r="K577" s="82"/>
      <c r="L577" s="83"/>
      <c r="M577" s="80"/>
      <c r="N577" s="79"/>
      <c r="O577" s="80"/>
      <c r="P577" s="5"/>
    </row>
    <row r="578" ht="18" customHeight="1" spans="1:16">
      <c r="A578" s="77" t="str">
        <f t="shared" si="8"/>
        <v/>
      </c>
      <c r="B578" s="78"/>
      <c r="C578" s="78"/>
      <c r="D578" s="79"/>
      <c r="E578" s="80"/>
      <c r="F578" s="80"/>
      <c r="G578" s="81"/>
      <c r="H578" s="5"/>
      <c r="I578" s="79"/>
      <c r="J578" s="79"/>
      <c r="K578" s="82"/>
      <c r="L578" s="83"/>
      <c r="M578" s="80"/>
      <c r="N578" s="79"/>
      <c r="O578" s="80"/>
      <c r="P578" s="5"/>
    </row>
    <row r="579" ht="18" customHeight="1" spans="1:16">
      <c r="A579" s="77" t="str">
        <f t="shared" si="8"/>
        <v/>
      </c>
      <c r="B579" s="78"/>
      <c r="C579" s="78"/>
      <c r="D579" s="79"/>
      <c r="E579" s="80"/>
      <c r="F579" s="80"/>
      <c r="G579" s="81"/>
      <c r="H579" s="5"/>
      <c r="I579" s="79"/>
      <c r="J579" s="79"/>
      <c r="K579" s="82"/>
      <c r="L579" s="83"/>
      <c r="M579" s="80"/>
      <c r="N579" s="79"/>
      <c r="O579" s="80"/>
      <c r="P579" s="5"/>
    </row>
    <row r="580" ht="18" customHeight="1" spans="1:16">
      <c r="A580" s="77" t="str">
        <f t="shared" ref="A580:A603" si="9">IF($D580="","",ROW()-3)</f>
        <v/>
      </c>
      <c r="B580" s="78"/>
      <c r="C580" s="78"/>
      <c r="D580" s="79"/>
      <c r="E580" s="80"/>
      <c r="F580" s="80"/>
      <c r="G580" s="81"/>
      <c r="H580" s="5"/>
      <c r="I580" s="79"/>
      <c r="J580" s="79"/>
      <c r="K580" s="82"/>
      <c r="L580" s="83"/>
      <c r="M580" s="80"/>
      <c r="N580" s="79"/>
      <c r="O580" s="80"/>
      <c r="P580" s="5"/>
    </row>
    <row r="581" ht="18" customHeight="1" spans="1:16">
      <c r="A581" s="77" t="str">
        <f t="shared" si="9"/>
        <v/>
      </c>
      <c r="B581" s="78"/>
      <c r="C581" s="78"/>
      <c r="D581" s="79"/>
      <c r="E581" s="80"/>
      <c r="F581" s="80"/>
      <c r="G581" s="81"/>
      <c r="H581" s="5"/>
      <c r="I581" s="79"/>
      <c r="J581" s="79"/>
      <c r="K581" s="82"/>
      <c r="L581" s="83"/>
      <c r="M581" s="80"/>
      <c r="N581" s="79"/>
      <c r="O581" s="80"/>
      <c r="P581" s="5"/>
    </row>
    <row r="582" ht="18" customHeight="1" spans="1:16">
      <c r="A582" s="77" t="str">
        <f t="shared" si="9"/>
        <v/>
      </c>
      <c r="B582" s="78"/>
      <c r="C582" s="78"/>
      <c r="D582" s="79"/>
      <c r="E582" s="80"/>
      <c r="F582" s="80"/>
      <c r="G582" s="81"/>
      <c r="H582" s="5"/>
      <c r="I582" s="79"/>
      <c r="J582" s="79"/>
      <c r="K582" s="82"/>
      <c r="L582" s="83"/>
      <c r="M582" s="80"/>
      <c r="N582" s="79"/>
      <c r="O582" s="80"/>
      <c r="P582" s="5"/>
    </row>
    <row r="583" ht="18" customHeight="1" spans="1:16">
      <c r="A583" s="77" t="str">
        <f t="shared" si="9"/>
        <v/>
      </c>
      <c r="B583" s="78"/>
      <c r="C583" s="78"/>
      <c r="D583" s="79"/>
      <c r="E583" s="80"/>
      <c r="F583" s="80"/>
      <c r="G583" s="81"/>
      <c r="H583" s="5"/>
      <c r="I583" s="79"/>
      <c r="J583" s="79"/>
      <c r="K583" s="82"/>
      <c r="L583" s="83"/>
      <c r="M583" s="80"/>
      <c r="N583" s="79"/>
      <c r="O583" s="80"/>
      <c r="P583" s="5"/>
    </row>
    <row r="584" ht="18" customHeight="1" spans="1:16">
      <c r="A584" s="77" t="str">
        <f t="shared" si="9"/>
        <v/>
      </c>
      <c r="B584" s="78"/>
      <c r="C584" s="78"/>
      <c r="D584" s="79"/>
      <c r="E584" s="80"/>
      <c r="F584" s="80"/>
      <c r="G584" s="81"/>
      <c r="H584" s="5"/>
      <c r="I584" s="79"/>
      <c r="J584" s="79"/>
      <c r="K584" s="82"/>
      <c r="L584" s="83"/>
      <c r="M584" s="80"/>
      <c r="N584" s="79"/>
      <c r="O584" s="80"/>
      <c r="P584" s="5"/>
    </row>
    <row r="585" ht="18" customHeight="1" spans="1:16">
      <c r="A585" s="77" t="str">
        <f t="shared" si="9"/>
        <v/>
      </c>
      <c r="B585" s="78"/>
      <c r="C585" s="78"/>
      <c r="D585" s="79"/>
      <c r="E585" s="80"/>
      <c r="F585" s="80"/>
      <c r="G585" s="81"/>
      <c r="H585" s="5"/>
      <c r="I585" s="79"/>
      <c r="J585" s="79"/>
      <c r="K585" s="82"/>
      <c r="L585" s="83"/>
      <c r="M585" s="80"/>
      <c r="N585" s="79"/>
      <c r="O585" s="80"/>
      <c r="P585" s="5"/>
    </row>
    <row r="586" ht="18" customHeight="1" spans="1:16">
      <c r="A586" s="77" t="str">
        <f t="shared" si="9"/>
        <v/>
      </c>
      <c r="B586" s="78"/>
      <c r="C586" s="78"/>
      <c r="D586" s="79"/>
      <c r="E586" s="80"/>
      <c r="F586" s="80"/>
      <c r="G586" s="81"/>
      <c r="H586" s="5"/>
      <c r="I586" s="79"/>
      <c r="J586" s="79"/>
      <c r="K586" s="82"/>
      <c r="L586" s="83"/>
      <c r="M586" s="80"/>
      <c r="N586" s="79"/>
      <c r="O586" s="80"/>
      <c r="P586" s="5"/>
    </row>
    <row r="587" ht="18" customHeight="1" spans="1:16">
      <c r="A587" s="77" t="str">
        <f t="shared" si="9"/>
        <v/>
      </c>
      <c r="B587" s="78"/>
      <c r="C587" s="78"/>
      <c r="D587" s="79"/>
      <c r="E587" s="80"/>
      <c r="F587" s="80"/>
      <c r="G587" s="81"/>
      <c r="H587" s="5"/>
      <c r="I587" s="79"/>
      <c r="J587" s="79"/>
      <c r="K587" s="82"/>
      <c r="L587" s="83"/>
      <c r="M587" s="80"/>
      <c r="N587" s="79"/>
      <c r="O587" s="80"/>
      <c r="P587" s="5"/>
    </row>
    <row r="588" ht="18" customHeight="1" spans="1:16">
      <c r="A588" s="77" t="str">
        <f t="shared" si="9"/>
        <v/>
      </c>
      <c r="B588" s="78"/>
      <c r="C588" s="78"/>
      <c r="D588" s="79"/>
      <c r="E588" s="80"/>
      <c r="F588" s="80"/>
      <c r="G588" s="81"/>
      <c r="H588" s="5"/>
      <c r="I588" s="79"/>
      <c r="J588" s="79"/>
      <c r="K588" s="82"/>
      <c r="L588" s="83"/>
      <c r="M588" s="80"/>
      <c r="N588" s="79"/>
      <c r="O588" s="80"/>
      <c r="P588" s="5"/>
    </row>
    <row r="589" ht="18" customHeight="1" spans="1:16">
      <c r="A589" s="77" t="str">
        <f t="shared" si="9"/>
        <v/>
      </c>
      <c r="B589" s="78"/>
      <c r="C589" s="78"/>
      <c r="D589" s="79"/>
      <c r="E589" s="80"/>
      <c r="F589" s="80"/>
      <c r="G589" s="81"/>
      <c r="H589" s="5"/>
      <c r="I589" s="79"/>
      <c r="J589" s="79"/>
      <c r="K589" s="82"/>
      <c r="L589" s="83"/>
      <c r="M589" s="80"/>
      <c r="N589" s="79"/>
      <c r="O589" s="80"/>
      <c r="P589" s="5"/>
    </row>
    <row r="590" ht="18" customHeight="1" spans="1:16">
      <c r="A590" s="77" t="str">
        <f t="shared" si="9"/>
        <v/>
      </c>
      <c r="B590" s="78"/>
      <c r="C590" s="78"/>
      <c r="D590" s="79"/>
      <c r="E590" s="80"/>
      <c r="F590" s="80"/>
      <c r="G590" s="81"/>
      <c r="H590" s="5"/>
      <c r="I590" s="79"/>
      <c r="J590" s="79"/>
      <c r="K590" s="82"/>
      <c r="L590" s="83"/>
      <c r="M590" s="80"/>
      <c r="N590" s="79"/>
      <c r="O590" s="80"/>
      <c r="P590" s="5"/>
    </row>
    <row r="591" ht="18" customHeight="1" spans="1:16">
      <c r="A591" s="77" t="str">
        <f t="shared" si="9"/>
        <v/>
      </c>
      <c r="B591" s="78"/>
      <c r="C591" s="78"/>
      <c r="D591" s="79"/>
      <c r="E591" s="80"/>
      <c r="F591" s="80"/>
      <c r="G591" s="81"/>
      <c r="H591" s="5"/>
      <c r="I591" s="79"/>
      <c r="J591" s="79"/>
      <c r="K591" s="82"/>
      <c r="L591" s="83"/>
      <c r="M591" s="80"/>
      <c r="N591" s="79"/>
      <c r="O591" s="80"/>
      <c r="P591" s="5"/>
    </row>
    <row r="592" ht="18" customHeight="1" spans="1:16">
      <c r="A592" s="77" t="str">
        <f t="shared" si="9"/>
        <v/>
      </c>
      <c r="B592" s="78"/>
      <c r="C592" s="78"/>
      <c r="D592" s="79"/>
      <c r="E592" s="80"/>
      <c r="F592" s="80"/>
      <c r="G592" s="81"/>
      <c r="H592" s="5"/>
      <c r="I592" s="79"/>
      <c r="J592" s="79"/>
      <c r="K592" s="82"/>
      <c r="L592" s="83"/>
      <c r="M592" s="80"/>
      <c r="N592" s="79"/>
      <c r="O592" s="80"/>
      <c r="P592" s="5"/>
    </row>
    <row r="593" ht="18" customHeight="1" spans="1:16">
      <c r="A593" s="77" t="str">
        <f t="shared" si="9"/>
        <v/>
      </c>
      <c r="B593" s="78"/>
      <c r="C593" s="78"/>
      <c r="D593" s="79"/>
      <c r="E593" s="80"/>
      <c r="F593" s="80"/>
      <c r="G593" s="81"/>
      <c r="H593" s="5"/>
      <c r="I593" s="79"/>
      <c r="J593" s="79"/>
      <c r="K593" s="82"/>
      <c r="L593" s="83"/>
      <c r="M593" s="80"/>
      <c r="N593" s="79"/>
      <c r="O593" s="80"/>
      <c r="P593" s="5"/>
    </row>
    <row r="594" ht="18" customHeight="1" spans="1:16">
      <c r="A594" s="77" t="str">
        <f t="shared" si="9"/>
        <v/>
      </c>
      <c r="B594" s="78"/>
      <c r="C594" s="78"/>
      <c r="D594" s="79"/>
      <c r="E594" s="80"/>
      <c r="F594" s="80"/>
      <c r="G594" s="81"/>
      <c r="H594" s="5"/>
      <c r="I594" s="79"/>
      <c r="J594" s="79"/>
      <c r="K594" s="82"/>
      <c r="L594" s="83"/>
      <c r="M594" s="80"/>
      <c r="N594" s="79"/>
      <c r="O594" s="80"/>
      <c r="P594" s="5"/>
    </row>
    <row r="595" ht="18" customHeight="1" spans="1:16">
      <c r="A595" s="77" t="str">
        <f t="shared" si="9"/>
        <v/>
      </c>
      <c r="B595" s="78"/>
      <c r="C595" s="78"/>
      <c r="D595" s="79"/>
      <c r="E595" s="80"/>
      <c r="F595" s="80"/>
      <c r="G595" s="81"/>
      <c r="H595" s="5"/>
      <c r="I595" s="79"/>
      <c r="J595" s="79"/>
      <c r="K595" s="82"/>
      <c r="L595" s="83"/>
      <c r="M595" s="80"/>
      <c r="N595" s="79"/>
      <c r="O595" s="80"/>
      <c r="P595" s="5"/>
    </row>
    <row r="596" ht="18" customHeight="1" spans="1:16">
      <c r="A596" s="77" t="str">
        <f t="shared" si="9"/>
        <v/>
      </c>
      <c r="B596" s="78"/>
      <c r="C596" s="78"/>
      <c r="D596" s="79"/>
      <c r="E596" s="80"/>
      <c r="F596" s="80"/>
      <c r="G596" s="81"/>
      <c r="H596" s="5"/>
      <c r="I596" s="79"/>
      <c r="J596" s="79"/>
      <c r="K596" s="82"/>
      <c r="L596" s="83"/>
      <c r="M596" s="80"/>
      <c r="N596" s="79"/>
      <c r="O596" s="80"/>
      <c r="P596" s="5"/>
    </row>
    <row r="597" ht="18" customHeight="1" spans="1:16">
      <c r="A597" s="77" t="str">
        <f t="shared" si="9"/>
        <v/>
      </c>
      <c r="B597" s="78"/>
      <c r="C597" s="78"/>
      <c r="D597" s="79"/>
      <c r="E597" s="80"/>
      <c r="F597" s="80"/>
      <c r="G597" s="81"/>
      <c r="H597" s="5"/>
      <c r="I597" s="79"/>
      <c r="J597" s="79"/>
      <c r="K597" s="82"/>
      <c r="L597" s="83"/>
      <c r="M597" s="80"/>
      <c r="N597" s="79"/>
      <c r="O597" s="80"/>
      <c r="P597" s="5"/>
    </row>
    <row r="598" ht="18" customHeight="1" spans="1:16">
      <c r="A598" s="77" t="str">
        <f t="shared" si="9"/>
        <v/>
      </c>
      <c r="B598" s="78"/>
      <c r="C598" s="78"/>
      <c r="D598" s="79"/>
      <c r="E598" s="80"/>
      <c r="F598" s="80"/>
      <c r="G598" s="81"/>
      <c r="H598" s="5"/>
      <c r="I598" s="79"/>
      <c r="J598" s="79"/>
      <c r="K598" s="82"/>
      <c r="L598" s="83"/>
      <c r="M598" s="80"/>
      <c r="N598" s="79"/>
      <c r="O598" s="80"/>
      <c r="P598" s="5"/>
    </row>
    <row r="599" ht="18" customHeight="1" spans="1:16">
      <c r="A599" s="77" t="str">
        <f t="shared" si="9"/>
        <v/>
      </c>
      <c r="B599" s="78"/>
      <c r="C599" s="78"/>
      <c r="D599" s="79"/>
      <c r="E599" s="80"/>
      <c r="F599" s="80"/>
      <c r="G599" s="81"/>
      <c r="H599" s="5"/>
      <c r="I599" s="79"/>
      <c r="J599" s="79"/>
      <c r="K599" s="82"/>
      <c r="L599" s="83"/>
      <c r="M599" s="80"/>
      <c r="N599" s="79"/>
      <c r="O599" s="80"/>
      <c r="P599" s="5"/>
    </row>
    <row r="600" ht="18" customHeight="1" spans="1:16">
      <c r="A600" s="77" t="str">
        <f t="shared" si="9"/>
        <v/>
      </c>
      <c r="B600" s="78"/>
      <c r="C600" s="78"/>
      <c r="D600" s="79"/>
      <c r="E600" s="80"/>
      <c r="F600" s="80"/>
      <c r="G600" s="81"/>
      <c r="H600" s="5"/>
      <c r="I600" s="79"/>
      <c r="J600" s="79"/>
      <c r="K600" s="82"/>
      <c r="L600" s="83"/>
      <c r="M600" s="80"/>
      <c r="N600" s="79"/>
      <c r="O600" s="80"/>
      <c r="P600" s="5"/>
    </row>
    <row r="601" ht="18" customHeight="1" spans="1:16">
      <c r="A601" s="77" t="str">
        <f t="shared" si="9"/>
        <v/>
      </c>
      <c r="B601" s="78"/>
      <c r="C601" s="78"/>
      <c r="D601" s="79"/>
      <c r="E601" s="80"/>
      <c r="F601" s="80"/>
      <c r="G601" s="81"/>
      <c r="H601" s="5"/>
      <c r="I601" s="79"/>
      <c r="J601" s="79"/>
      <c r="K601" s="82"/>
      <c r="L601" s="83"/>
      <c r="M601" s="80"/>
      <c r="N601" s="79"/>
      <c r="O601" s="80"/>
      <c r="P601" s="5"/>
    </row>
    <row r="602" ht="18" customHeight="1" spans="1:16">
      <c r="A602" s="77" t="str">
        <f t="shared" si="9"/>
        <v/>
      </c>
      <c r="B602" s="78"/>
      <c r="C602" s="78"/>
      <c r="D602" s="79"/>
      <c r="E602" s="80"/>
      <c r="F602" s="80"/>
      <c r="G602" s="81"/>
      <c r="H602" s="5"/>
      <c r="I602" s="79"/>
      <c r="J602" s="79"/>
      <c r="K602" s="82"/>
      <c r="L602" s="83"/>
      <c r="M602" s="80"/>
      <c r="N602" s="79"/>
      <c r="O602" s="80"/>
      <c r="P602" s="5"/>
    </row>
    <row r="603" ht="18" customHeight="1" spans="1:16">
      <c r="A603" s="77" t="str">
        <f t="shared" si="9"/>
        <v/>
      </c>
      <c r="B603" s="78"/>
      <c r="C603" s="78"/>
      <c r="D603" s="79"/>
      <c r="E603" s="80"/>
      <c r="F603" s="80"/>
      <c r="G603" s="81"/>
      <c r="H603" s="5"/>
      <c r="I603" s="79"/>
      <c r="J603" s="79"/>
      <c r="K603" s="82"/>
      <c r="L603" s="83"/>
      <c r="M603" s="80"/>
      <c r="N603" s="79"/>
      <c r="O603" s="80"/>
      <c r="P603" s="5"/>
    </row>
  </sheetData>
  <autoFilter xmlns:etc="http://www.wps.cn/officeDocument/2017/etCustomData" ref="A3:P603" etc:filterBottomFollowUsedRange="0">
    <extLst/>
  </autoFilter>
  <mergeCells count="2">
    <mergeCell ref="A1:P1"/>
    <mergeCell ref="A2:P2"/>
  </mergeCells>
  <dataValidations count="7">
    <dataValidation type="list" allowBlank="1" sqref="C4:C603">
      <formula1>_自动清单!$CL$4:$CL$203</formula1>
    </dataValidation>
    <dataValidation type="list" allowBlank="1" sqref="D4:D603">
      <formula1>基础资料!$B$4:$B$103</formula1>
    </dataValidation>
    <dataValidation type="list" allowBlank="1" sqref="F4:F603">
      <formula1>基础资料!$G$4:$G$103</formula1>
    </dataValidation>
    <dataValidation type="list" allowBlank="1" sqref="I4:I603">
      <formula1>基础资料!$H$4:$H$103</formula1>
    </dataValidation>
    <dataValidation type="list" allowBlank="1" sqref="M4:M603">
      <formula1>基础资料!$K$4:$K$103</formula1>
    </dataValidation>
    <dataValidation type="list" allowBlank="1" sqref="N4:N603">
      <formula1>基础资料!$L$4:$L$103</formula1>
    </dataValidation>
    <dataValidation type="list" allowBlank="1" sqref="O4:O603">
      <formula1>基础资料!$I$4:$I$103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S5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R8" sqref="R8"/>
    </sheetView>
  </sheetViews>
  <sheetFormatPr defaultColWidth="9" defaultRowHeight="15"/>
  <cols>
    <col min="1" max="1" width="5" style="53" customWidth="1"/>
    <col min="2" max="2" width="14" style="53" customWidth="1"/>
    <col min="3" max="3" width="10" style="53" customWidth="1"/>
    <col min="4" max="4" width="8" style="53" customWidth="1"/>
    <col min="5" max="5" width="9" style="53" customWidth="1"/>
    <col min="6" max="7" width="10" style="53" customWidth="1"/>
    <col min="8" max="8" width="11" style="53" customWidth="1"/>
    <col min="9" max="11" width="10" style="53" customWidth="1"/>
    <col min="12" max="12" width="11" style="53" customWidth="1"/>
    <col min="13" max="13" width="12" style="53" customWidth="1"/>
    <col min="14" max="14" width="10" style="53" customWidth="1"/>
    <col min="15" max="15" width="12" style="53" customWidth="1"/>
    <col min="16" max="18" width="9" style="53"/>
    <col min="19" max="19" width="10.1428571428571" style="53"/>
    <col min="20" max="16384" width="9" style="53"/>
  </cols>
  <sheetData>
    <row r="1" ht="30" customHeight="1" spans="1:19">
      <c r="A1" s="7" t="s">
        <v>464</v>
      </c>
      <c r="S1" s="54">
        <f>IF($M2="",DATE(1900,1,1),$M2)</f>
        <v>1</v>
      </c>
    </row>
    <row r="2" ht="20" customHeight="1" spans="1:19">
      <c r="A2" s="55" t="s">
        <v>465</v>
      </c>
      <c r="L2" s="13" t="s">
        <v>466</v>
      </c>
      <c r="M2" s="19"/>
      <c r="N2" s="13" t="s">
        <v>467</v>
      </c>
      <c r="O2" s="19"/>
      <c r="S2" s="54">
        <f>IF($O2="",DATE(2999,12,31),$O2)</f>
        <v>401768</v>
      </c>
    </row>
    <row r="3" ht="30" customHeight="1" spans="1:19">
      <c r="A3" s="21" t="s">
        <v>3</v>
      </c>
      <c r="B3" s="21" t="s">
        <v>122</v>
      </c>
      <c r="C3" s="21" t="s">
        <v>135</v>
      </c>
      <c r="D3" s="21" t="s">
        <v>136</v>
      </c>
      <c r="E3" s="21" t="s">
        <v>468</v>
      </c>
      <c r="F3" s="21" t="s">
        <v>144</v>
      </c>
      <c r="G3" s="21" t="s">
        <v>157</v>
      </c>
      <c r="H3" s="21" t="s">
        <v>469</v>
      </c>
      <c r="I3" s="21" t="s">
        <v>183</v>
      </c>
      <c r="J3" s="21" t="s">
        <v>192</v>
      </c>
      <c r="K3" s="21" t="s">
        <v>470</v>
      </c>
      <c r="L3" s="21" t="s">
        <v>297</v>
      </c>
      <c r="M3" s="21" t="s">
        <v>471</v>
      </c>
      <c r="N3" s="21" t="s">
        <v>472</v>
      </c>
      <c r="O3" s="21" t="s">
        <v>306</v>
      </c>
    </row>
    <row r="4" spans="1:19">
      <c r="A4" s="24">
        <f t="shared" ref="A4:A53" si="0">IF($B4="","",ROW()-3)</f>
        <v>1</v>
      </c>
      <c r="B4" s="24" t="str">
        <f>IFERROR(INDEX(_自动清单!$G$4:$G$63,ROW()-3),"")</f>
        <v>气泡垫</v>
      </c>
      <c r="C4" s="24" t="str">
        <f>IF($B4="","",IFERROR(IF(INDEX(基础资料!$O$4:$O$103,MATCH($B4,基础资料!$N$4:$N$103,0))="",IFERROR(INDEX(_自动清单!$H$4:$H$63,ROW()-3),""),INDEX(基础资料!$O$4:$O$103,MATCH($B4,基础资料!$N$4:$N$103,0))),IFERROR(INDEX(_自动清单!$H$4:$H$63,ROW()-3),"")))</f>
        <v>*1000</v>
      </c>
      <c r="D4" s="24" t="str">
        <f>IF($B4="","",IFERROR(IF(INDEX(基础资料!$P$4:$P$103,MATCH($B4,基础资料!$N$4:$N$103,0))="",IFERROR(INDEX(_自动清单!$I$4:$I$63,ROW()-3),""),INDEX(基础资料!$P$4:$P$103,MATCH($B4,基础资料!$N$4:$N$103,0))),IFERROR(INDEX(_自动清单!$I$4:$I$63,ROW()-3),"")))</f>
        <v>片</v>
      </c>
      <c r="E4" s="26">
        <f>IF($B4="","",IFERROR(ROUND(SUMIFS(包装物料出入库明细!$N$4:$N$2003,包装物料出入库明细!$E$4:$E$2003,$B4,包装物料出入库明细!$H$4:$H$2003,"采购入库",包装物料出入库明细!$B$4:$B$2003,"&gt;="&amp;$S$1,包装物料出入库明细!$B$4:$B$2003,"&lt;="&amp;$S$2)/SUMIFS(包装物料出入库明细!$I$4:$I$2003,包装物料出入库明细!$E$4:$E$2003,$B4,包装物料出入库明细!$H$4:$H$2003,"采购入库",包装物料出入库明细!$B$4:$B$2003,"&gt;="&amp;$S$1,包装物料出入库明细!$B$4:$B$2003,"&lt;="&amp;$S$2),4),0))</f>
        <v>0</v>
      </c>
      <c r="F4" s="25">
        <f>IF($B4="","",SUMIFS(包装物料出入库明细!$I$4:$I$2003,包装物料出入库明细!$E$4:$E$2003,$B4,包装物料出入库明细!$H$4:$H$2003,"期初库存",包装物料出入库明细!$B$4:$B$2003,"&gt;="&amp;$S$1,包装物料出入库明细!$B$4:$B$2003,"&lt;="&amp;$S$2))</f>
        <v>13800</v>
      </c>
      <c r="G4" s="25">
        <f>IF($B4="","",SUMIFS(包装物料出入库明细!$I$4:$I$2003,包装物料出入库明细!$E$4:$E$2003,$B4,包装物料出入库明细!$H$4:$H$2003,"采购入库",包装物料出入库明细!$B$4:$B$2003,"&gt;="&amp;$S$1,包装物料出入库明细!$B$4:$B$2003,"&lt;="&amp;$S$2))</f>
        <v>0</v>
      </c>
      <c r="H4" s="56">
        <f>IF($B4="","",SUMIFS(包装物料出入库明细!$K$4:$K$2003,包装物料出入库明细!$E$4:$E$2003,$B4,包装物料出入库明细!$B$4:$B$2003,"&gt;="&amp;$S$1,包装物料出入库明细!$B$4:$B$2003,"&lt;="&amp;$S$2))</f>
        <v>0</v>
      </c>
      <c r="I4" s="25">
        <f>IF($B4="","",SUMIFS(包装物料出入库明细!$J$4:$J$2003,包装物料出入库明细!$E$4:$E$2003,$B4,包装物料出入库明细!$H$4:$H$2003,"领用出库",包装物料出入库明细!$B$4:$B$2003,"&gt;="&amp;$S$1,包装物料出入库明细!$B$4:$B$2003,"&lt;="&amp;$S$2))</f>
        <v>0</v>
      </c>
      <c r="J4" s="25">
        <f>IF($B4="","",SUMIFS(包装物料出入库明细!$J$4:$J$2003,包装物料出入库明细!$E$4:$E$2003,$B4,包装物料出入库明细!$H$4:$H$2003,"销售出库",包装物料出入库明细!$B$4:$B$2003,"&gt;="&amp;$S$1,包装物料出入库明细!$B$4:$B$2003,"&lt;="&amp;$S$2))</f>
        <v>0</v>
      </c>
      <c r="K4" s="25">
        <f>IF($B4="","",SUMIFS(包装物料出入库明细!$J$4:$J$2003,包装物料出入库明细!$E$4:$E$2003,$B4,包装物料出入库明细!$B$4:$B$2003,"&gt;="&amp;$S$1,包装物料出入库明细!$B$4:$B$2003,"&lt;="&amp;$S$2)-$I4-$J4)</f>
        <v>0</v>
      </c>
      <c r="L4" s="25">
        <f t="shared" ref="L4:L53" si="1">IF($B4="","",$F4+$G4+$H4-$I4-$J4-$K4)</f>
        <v>13800</v>
      </c>
      <c r="M4" s="26">
        <f t="shared" ref="M4:M53" si="2">IF($B4="","",ROUND($L4*$E4,2))</f>
        <v>0</v>
      </c>
      <c r="N4" s="24" t="str">
        <f>IF($B4="","",IF($L4&lt;=0,"无库存",IF($L4&gt;=基础资料!$S$4,"充足",IF($L4&gt;=基础资料!$S$5,"正常","不足"))))</f>
        <v>充足</v>
      </c>
      <c r="O4" s="41"/>
    </row>
    <row r="5" spans="1:19">
      <c r="A5" s="24">
        <f t="shared" si="0"/>
        <v>2</v>
      </c>
      <c r="B5" s="24" t="str">
        <f>IFERROR(INDEX(_自动清单!$G$4:$G$63,ROW()-3),"")</f>
        <v>无纺布</v>
      </c>
      <c r="C5" s="24" t="str">
        <f>IF($B5="","",IFERROR(IF(INDEX(基础资料!$O$4:$O$103,MATCH($B5,基础资料!$N$4:$N$103,0))="",IFERROR(INDEX(_自动清单!$H$4:$H$63,ROW()-3),""),INDEX(基础资料!$O$4:$O$103,MATCH($B5,基础资料!$N$4:$N$103,0))),IFERROR(INDEX(_自动清单!$H$4:$H$63,ROW()-3),"")))</f>
        <v>*400</v>
      </c>
      <c r="D5" s="24" t="str">
        <f>IF($B5="","",IFERROR(IF(INDEX(基础资料!$P$4:$P$103,MATCH($B5,基础资料!$N$4:$N$103,0))="",IFERROR(INDEX(_自动清单!$I$4:$I$63,ROW()-3),""),INDEX(基础资料!$P$4:$P$103,MATCH($B5,基础资料!$N$4:$N$103,0))),IFERROR(INDEX(_自动清单!$I$4:$I$63,ROW()-3),"")))</f>
        <v>个</v>
      </c>
      <c r="E5" s="26">
        <f>IF($B5="","",IFERROR(ROUND(SUMIFS(包装物料出入库明细!$N$4:$N$2003,包装物料出入库明细!$E$4:$E$2003,$B5,包装物料出入库明细!$H$4:$H$2003,"采购入库",包装物料出入库明细!$B$4:$B$2003,"&gt;="&amp;$S$1,包装物料出入库明细!$B$4:$B$2003,"&lt;="&amp;$S$2)/SUMIFS(包装物料出入库明细!$I$4:$I$2003,包装物料出入库明细!$E$4:$E$2003,$B5,包装物料出入库明细!$H$4:$H$2003,"采购入库",包装物料出入库明细!$B$4:$B$2003,"&gt;="&amp;$S$1,包装物料出入库明细!$B$4:$B$2003,"&lt;="&amp;$S$2),4),0))</f>
        <v>0</v>
      </c>
      <c r="F5" s="25">
        <f>IF($B5="","",SUMIFS(包装物料出入库明细!$I$4:$I$2003,包装物料出入库明细!$E$4:$E$2003,$B5,包装物料出入库明细!$H$4:$H$2003,"期初库存",包装物料出入库明细!$B$4:$B$2003,"&gt;="&amp;$S$1,包装物料出入库明细!$B$4:$B$2003,"&lt;="&amp;$S$2))</f>
        <v>2400</v>
      </c>
      <c r="G5" s="25">
        <f>IF($B5="","",SUMIFS(包装物料出入库明细!$I$4:$I$2003,包装物料出入库明细!$E$4:$E$2003,$B5,包装物料出入库明细!$H$4:$H$2003,"采购入库",包装物料出入库明细!$B$4:$B$2003,"&gt;="&amp;$S$1,包装物料出入库明细!$B$4:$B$2003,"&lt;="&amp;$S$2))</f>
        <v>0</v>
      </c>
      <c r="H5" s="56">
        <f>IF($B5="","",SUMIFS(包装物料出入库明细!$K$4:$K$2003,包装物料出入库明细!$E$4:$E$2003,$B5,包装物料出入库明细!$B$4:$B$2003,"&gt;="&amp;$S$1,包装物料出入库明细!$B$4:$B$2003,"&lt;="&amp;$S$2))</f>
        <v>-800</v>
      </c>
      <c r="I5" s="25">
        <f>IF($B5="","",SUMIFS(包装物料出入库明细!$J$4:$J$2003,包装物料出入库明细!$E$4:$E$2003,$B5,包装物料出入库明细!$H$4:$H$2003,"领用出库",包装物料出入库明细!$B$4:$B$2003,"&gt;="&amp;$S$1,包装物料出入库明细!$B$4:$B$2003,"&lt;="&amp;$S$2))</f>
        <v>800</v>
      </c>
      <c r="J5" s="25">
        <f>IF($B5="","",SUMIFS(包装物料出入库明细!$J$4:$J$2003,包装物料出入库明细!$E$4:$E$2003,$B5,包装物料出入库明细!$H$4:$H$2003,"销售出库",包装物料出入库明细!$B$4:$B$2003,"&gt;="&amp;$S$1,包装物料出入库明细!$B$4:$B$2003,"&lt;="&amp;$S$2))</f>
        <v>0</v>
      </c>
      <c r="K5" s="25">
        <f>IF($B5="","",SUMIFS(包装物料出入库明细!$J$4:$J$2003,包装物料出入库明细!$E$4:$E$2003,$B5,包装物料出入库明细!$B$4:$B$2003,"&gt;="&amp;$S$1,包装物料出入库明细!$B$4:$B$2003,"&lt;="&amp;$S$2)-$I5-$J5)</f>
        <v>0</v>
      </c>
      <c r="L5" s="25">
        <f t="shared" si="1"/>
        <v>800</v>
      </c>
      <c r="M5" s="26">
        <f t="shared" si="2"/>
        <v>0</v>
      </c>
      <c r="N5" s="24" t="str">
        <f>IF($B5="","",IF($L5&lt;=0,"无库存",IF($L5&gt;=基础资料!$S$4,"充足",IF($L5&gt;=基础资料!$S$5,"正常","不足"))))</f>
        <v>正常</v>
      </c>
      <c r="O5" s="41"/>
    </row>
    <row r="6" spans="1:19">
      <c r="A6" s="24">
        <f t="shared" si="0"/>
        <v>3</v>
      </c>
      <c r="B6" s="24" t="str">
        <f>IFERROR(INDEX(_自动清单!$G$4:$G$63,ROW()-3),"")</f>
        <v>纸垫板</v>
      </c>
      <c r="C6" s="24" t="str">
        <f>IF($B6="","",IFERROR(IF(INDEX(基础资料!$O$4:$O$103,MATCH($B6,基础资料!$N$4:$N$103,0))="",IFERROR(INDEX(_自动清单!$H$4:$H$63,ROW()-3),""),INDEX(基础资料!$O$4:$O$103,MATCH($B6,基础资料!$N$4:$N$103,0))),IFERROR(INDEX(_自动清单!$H$4:$H$63,ROW()-3),"")))</f>
        <v>*100张</v>
      </c>
      <c r="D6" s="24" t="str">
        <f>IF($B6="","",IFERROR(IF(INDEX(基础资料!$P$4:$P$103,MATCH($B6,基础资料!$N$4:$N$103,0))="",IFERROR(INDEX(_自动清单!$I$4:$I$63,ROW()-3),""),INDEX(基础资料!$P$4:$P$103,MATCH($B6,基础资料!$N$4:$N$103,0))),IFERROR(INDEX(_自动清单!$I$4:$I$63,ROW()-3),"")))</f>
        <v>张</v>
      </c>
      <c r="E6" s="26">
        <f>IF($B6="","",IFERROR(ROUND(SUMIFS(包装物料出入库明细!$N$4:$N$2003,包装物料出入库明细!$E$4:$E$2003,$B6,包装物料出入库明细!$H$4:$H$2003,"采购入库",包装物料出入库明细!$B$4:$B$2003,"&gt;="&amp;$S$1,包装物料出入库明细!$B$4:$B$2003,"&lt;="&amp;$S$2)/SUMIFS(包装物料出入库明细!$I$4:$I$2003,包装物料出入库明细!$E$4:$E$2003,$B6,包装物料出入库明细!$H$4:$H$2003,"采购入库",包装物料出入库明细!$B$4:$B$2003,"&gt;="&amp;$S$1,包装物料出入库明细!$B$4:$B$2003,"&lt;="&amp;$S$2),4),0))</f>
        <v>0</v>
      </c>
      <c r="F6" s="25">
        <f>IF($B6="","",SUMIFS(包装物料出入库明细!$I$4:$I$2003,包装物料出入库明细!$E$4:$E$2003,$B6,包装物料出入库明细!$H$4:$H$2003,"期初库存",包装物料出入库明细!$B$4:$B$2003,"&gt;="&amp;$S$1,包装物料出入库明细!$B$4:$B$2003,"&lt;="&amp;$S$2))</f>
        <v>8700</v>
      </c>
      <c r="G6" s="25">
        <f>IF($B6="","",SUMIFS(包装物料出入库明细!$I$4:$I$2003,包装物料出入库明细!$E$4:$E$2003,$B6,包装物料出入库明细!$H$4:$H$2003,"采购入库",包装物料出入库明细!$B$4:$B$2003,"&gt;="&amp;$S$1,包装物料出入库明细!$B$4:$B$2003,"&lt;="&amp;$S$2))</f>
        <v>0</v>
      </c>
      <c r="H6" s="56">
        <f>IF($B6="","",SUMIFS(包装物料出入库明细!$K$4:$K$2003,包装物料出入库明细!$E$4:$E$2003,$B6,包装物料出入库明细!$B$4:$B$2003,"&gt;="&amp;$S$1,包装物料出入库明细!$B$4:$B$2003,"&lt;="&amp;$S$2))</f>
        <v>0</v>
      </c>
      <c r="I6" s="25">
        <f>IF($B6="","",SUMIFS(包装物料出入库明细!$J$4:$J$2003,包装物料出入库明细!$E$4:$E$2003,$B6,包装物料出入库明细!$H$4:$H$2003,"领用出库",包装物料出入库明细!$B$4:$B$2003,"&gt;="&amp;$S$1,包装物料出入库明细!$B$4:$B$2003,"&lt;="&amp;$S$2))</f>
        <v>0</v>
      </c>
      <c r="J6" s="25">
        <f>IF($B6="","",SUMIFS(包装物料出入库明细!$J$4:$J$2003,包装物料出入库明细!$E$4:$E$2003,$B6,包装物料出入库明细!$H$4:$H$2003,"销售出库",包装物料出入库明细!$B$4:$B$2003,"&gt;="&amp;$S$1,包装物料出入库明细!$B$4:$B$2003,"&lt;="&amp;$S$2))</f>
        <v>0</v>
      </c>
      <c r="K6" s="25">
        <f>IF($B6="","",SUMIFS(包装物料出入库明细!$J$4:$J$2003,包装物料出入库明细!$E$4:$E$2003,$B6,包装物料出入库明细!$B$4:$B$2003,"&gt;="&amp;$S$1,包装物料出入库明细!$B$4:$B$2003,"&lt;="&amp;$S$2)-$I6-$J6)</f>
        <v>0</v>
      </c>
      <c r="L6" s="25">
        <f t="shared" si="1"/>
        <v>8700</v>
      </c>
      <c r="M6" s="26">
        <f t="shared" si="2"/>
        <v>0</v>
      </c>
      <c r="N6" s="24" t="str">
        <f>IF($B6="","",IF($L6&lt;=0,"无库存",IF($L6&gt;=基础资料!$S$4,"充足",IF($L6&gt;=基础资料!$S$5,"正常","不足"))))</f>
        <v>充足</v>
      </c>
      <c r="O6" s="41"/>
    </row>
    <row r="7" spans="1:19">
      <c r="A7" s="24">
        <f t="shared" si="0"/>
        <v>4</v>
      </c>
      <c r="B7" s="24" t="str">
        <f>IFERROR(INDEX(_自动清单!$G$4:$G$63,ROW()-3),"")</f>
        <v>香梨纸</v>
      </c>
      <c r="C7" s="24" t="str">
        <f>IF($B7="","",IFERROR(IF(INDEX(基础资料!$O$4:$O$103,MATCH($B7,基础资料!$N$4:$N$103,0))="",IFERROR(INDEX(_自动清单!$H$4:$H$63,ROW()-3),""),INDEX(基础资料!$O$4:$O$103,MATCH($B7,基础资料!$N$4:$N$103,0))),IFERROR(INDEX(_自动清单!$H$4:$H$63,ROW()-3),"")))</f>
        <v>*捆</v>
      </c>
      <c r="D7" s="24" t="str">
        <f>IF($B7="","",IFERROR(IF(INDEX(基础资料!$P$4:$P$103,MATCH($B7,基础资料!$N$4:$N$103,0))="",IFERROR(INDEX(_自动清单!$I$4:$I$63,ROW()-3),""),INDEX(基础资料!$P$4:$P$103,MATCH($B7,基础资料!$N$4:$N$103,0))),IFERROR(INDEX(_自动清单!$I$4:$I$63,ROW()-3),"")))</f>
        <v>捆</v>
      </c>
      <c r="E7" s="26">
        <f>IF($B7="","",IFERROR(ROUND(SUMIFS(包装物料出入库明细!$N$4:$N$2003,包装物料出入库明细!$E$4:$E$2003,$B7,包装物料出入库明细!$H$4:$H$2003,"采购入库",包装物料出入库明细!$B$4:$B$2003,"&gt;="&amp;$S$1,包装物料出入库明细!$B$4:$B$2003,"&lt;="&amp;$S$2)/SUMIFS(包装物料出入库明细!$I$4:$I$2003,包装物料出入库明细!$E$4:$E$2003,$B7,包装物料出入库明细!$H$4:$H$2003,"采购入库",包装物料出入库明细!$B$4:$B$2003,"&gt;="&amp;$S$1,包装物料出入库明细!$B$4:$B$2003,"&lt;="&amp;$S$2),4),0))</f>
        <v>0</v>
      </c>
      <c r="F7" s="25">
        <f>IF($B7="","",SUMIFS(包装物料出入库明细!$I$4:$I$2003,包装物料出入库明细!$E$4:$E$2003,$B7,包装物料出入库明细!$H$4:$H$2003,"期初库存",包装物料出入库明细!$B$4:$B$2003,"&gt;="&amp;$S$1,包装物料出入库明细!$B$4:$B$2003,"&lt;="&amp;$S$2))</f>
        <v>48</v>
      </c>
      <c r="G7" s="25">
        <f>IF($B7="","",SUMIFS(包装物料出入库明细!$I$4:$I$2003,包装物料出入库明细!$E$4:$E$2003,$B7,包装物料出入库明细!$H$4:$H$2003,"采购入库",包装物料出入库明细!$B$4:$B$2003,"&gt;="&amp;$S$1,包装物料出入库明细!$B$4:$B$2003,"&lt;="&amp;$S$2))</f>
        <v>0</v>
      </c>
      <c r="H7" s="56">
        <f>IF($B7="","",SUMIFS(包装物料出入库明细!$K$4:$K$2003,包装物料出入库明细!$E$4:$E$2003,$B7,包装物料出入库明细!$B$4:$B$2003,"&gt;="&amp;$S$1,包装物料出入库明细!$B$4:$B$2003,"&lt;="&amp;$S$2))</f>
        <v>0</v>
      </c>
      <c r="I7" s="25">
        <f>IF($B7="","",SUMIFS(包装物料出入库明细!$J$4:$J$2003,包装物料出入库明细!$E$4:$E$2003,$B7,包装物料出入库明细!$H$4:$H$2003,"领用出库",包装物料出入库明细!$B$4:$B$2003,"&gt;="&amp;$S$1,包装物料出入库明细!$B$4:$B$2003,"&lt;="&amp;$S$2))</f>
        <v>16</v>
      </c>
      <c r="J7" s="25">
        <f>IF($B7="","",SUMIFS(包装物料出入库明细!$J$4:$J$2003,包装物料出入库明细!$E$4:$E$2003,$B7,包装物料出入库明细!$H$4:$H$2003,"销售出库",包装物料出入库明细!$B$4:$B$2003,"&gt;="&amp;$S$1,包装物料出入库明细!$B$4:$B$2003,"&lt;="&amp;$S$2))</f>
        <v>0</v>
      </c>
      <c r="K7" s="25">
        <f>IF($B7="","",SUMIFS(包装物料出入库明细!$J$4:$J$2003,包装物料出入库明细!$E$4:$E$2003,$B7,包装物料出入库明细!$B$4:$B$2003,"&gt;="&amp;$S$1,包装物料出入库明细!$B$4:$B$2003,"&lt;="&amp;$S$2)-$I7-$J7)</f>
        <v>0</v>
      </c>
      <c r="L7" s="25">
        <f t="shared" si="1"/>
        <v>32</v>
      </c>
      <c r="M7" s="26">
        <f t="shared" si="2"/>
        <v>0</v>
      </c>
      <c r="N7" s="24" t="str">
        <f>IF($B7="","",IF($L7&lt;=0,"无库存",IF($L7&gt;=基础资料!$S$4,"充足",IF($L7&gt;=基础资料!$S$5,"正常","不足"))))</f>
        <v>不足</v>
      </c>
      <c r="O7" s="41"/>
    </row>
    <row r="8" spans="1:19">
      <c r="A8" s="24">
        <f t="shared" si="0"/>
        <v>5</v>
      </c>
      <c r="B8" s="24" t="str">
        <f>IFERROR(INDEX(_自动清单!$G$4:$G$63,ROW()-3),"")</f>
        <v>冷煤/氟利昂</v>
      </c>
      <c r="C8" s="24" t="str">
        <f>IF($B8="","",IFERROR(IF(INDEX(基础资料!$O$4:$O$103,MATCH($B8,基础资料!$N$4:$N$103,0))="",IFERROR(INDEX(_自动清单!$H$4:$H$63,ROW()-3),""),INDEX(基础资料!$O$4:$O$103,MATCH($B8,基础资料!$N$4:$N$103,0))),IFERROR(INDEX(_自动清单!$H$4:$H$63,ROW()-3),"")))</f>
        <v>*瓶</v>
      </c>
      <c r="D8" s="24" t="str">
        <f>IF($B8="","",IFERROR(IF(INDEX(基础资料!$P$4:$P$103,MATCH($B8,基础资料!$N$4:$N$103,0))="",IFERROR(INDEX(_自动清单!$I$4:$I$63,ROW()-3),""),INDEX(基础资料!$P$4:$P$103,MATCH($B8,基础资料!$N$4:$N$103,0))),IFERROR(INDEX(_自动清单!$I$4:$I$63,ROW()-3),"")))</f>
        <v>瓶</v>
      </c>
      <c r="E8" s="26">
        <f>IF($B8="","",IFERROR(ROUND(SUMIFS(包装物料出入库明细!$N$4:$N$2003,包装物料出入库明细!$E$4:$E$2003,$B8,包装物料出入库明细!$H$4:$H$2003,"采购入库",包装物料出入库明细!$B$4:$B$2003,"&gt;="&amp;$S$1,包装物料出入库明细!$B$4:$B$2003,"&lt;="&amp;$S$2)/SUMIFS(包装物料出入库明细!$I$4:$I$2003,包装物料出入库明细!$E$4:$E$2003,$B8,包装物料出入库明细!$H$4:$H$2003,"采购入库",包装物料出入库明细!$B$4:$B$2003,"&gt;="&amp;$S$1,包装物料出入库明细!$B$4:$B$2003,"&lt;="&amp;$S$2),4),0))</f>
        <v>0</v>
      </c>
      <c r="F8" s="25">
        <f>IF($B8="","",SUMIFS(包装物料出入库明细!$I$4:$I$2003,包装物料出入库明细!$E$4:$E$2003,$B8,包装物料出入库明细!$H$4:$H$2003,"期初库存",包装物料出入库明细!$B$4:$B$2003,"&gt;="&amp;$S$1,包装物料出入库明细!$B$4:$B$2003,"&lt;="&amp;$S$2))</f>
        <v>23</v>
      </c>
      <c r="G8" s="25">
        <f>IF($B8="","",SUMIFS(包装物料出入库明细!$I$4:$I$2003,包装物料出入库明细!$E$4:$E$2003,$B8,包装物料出入库明细!$H$4:$H$2003,"采购入库",包装物料出入库明细!$B$4:$B$2003,"&gt;="&amp;$S$1,包装物料出入库明细!$B$4:$B$2003,"&lt;="&amp;$S$2))</f>
        <v>0</v>
      </c>
      <c r="H8" s="56">
        <f>IF($B8="","",SUMIFS(包装物料出入库明细!$K$4:$K$2003,包装物料出入库明细!$E$4:$E$2003,$B8,包装物料出入库明细!$B$4:$B$2003,"&gt;="&amp;$S$1,包装物料出入库明细!$B$4:$B$2003,"&lt;="&amp;$S$2))</f>
        <v>0</v>
      </c>
      <c r="I8" s="25">
        <f>IF($B8="","",SUMIFS(包装物料出入库明细!$J$4:$J$2003,包装物料出入库明细!$E$4:$E$2003,$B8,包装物料出入库明细!$H$4:$H$2003,"领用出库",包装物料出入库明细!$B$4:$B$2003,"&gt;="&amp;$S$1,包装物料出入库明细!$B$4:$B$2003,"&lt;="&amp;$S$2))</f>
        <v>0</v>
      </c>
      <c r="J8" s="25">
        <f>IF($B8="","",SUMIFS(包装物料出入库明细!$J$4:$J$2003,包装物料出入库明细!$E$4:$E$2003,$B8,包装物料出入库明细!$H$4:$H$2003,"销售出库",包装物料出入库明细!$B$4:$B$2003,"&gt;="&amp;$S$1,包装物料出入库明细!$B$4:$B$2003,"&lt;="&amp;$S$2))</f>
        <v>0</v>
      </c>
      <c r="K8" s="25">
        <f>IF($B8="","",SUMIFS(包装物料出入库明细!$J$4:$J$2003,包装物料出入库明细!$E$4:$E$2003,$B8,包装物料出入库明细!$B$4:$B$2003,"&gt;="&amp;$S$1,包装物料出入库明细!$B$4:$B$2003,"&lt;="&amp;$S$2)-$I8-$J8)</f>
        <v>0</v>
      </c>
      <c r="L8" s="25">
        <f t="shared" si="1"/>
        <v>23</v>
      </c>
      <c r="M8" s="26">
        <f t="shared" si="2"/>
        <v>0</v>
      </c>
      <c r="N8" s="24" t="str">
        <f>IF($B8="","",IF($L8&lt;=0,"无库存",IF($L8&gt;=基础资料!$S$4,"充足",IF($L8&gt;=基础资料!$S$5,"正常","不足"))))</f>
        <v>不足</v>
      </c>
      <c r="O8" s="41"/>
    </row>
    <row r="9" spans="1:19">
      <c r="A9" s="24">
        <f t="shared" si="0"/>
        <v>6</v>
      </c>
      <c r="B9" s="24" t="str">
        <f>IFERROR(INDEX(_自动清单!$G$4:$G$63,ROW()-3),"")</f>
        <v>胶带</v>
      </c>
      <c r="C9" s="24" t="str">
        <f>IF($B9="","",IFERROR(IF(INDEX(基础资料!$O$4:$O$103,MATCH($B9,基础资料!$N$4:$N$103,0))="",IFERROR(INDEX(_自动清单!$H$4:$H$63,ROW()-3),""),INDEX(基础资料!$O$4:$O$103,MATCH($B9,基础资料!$N$4:$N$103,0))),IFERROR(INDEX(_自动清单!$H$4:$H$63,ROW()-3),"")))</f>
        <v>*30卷</v>
      </c>
      <c r="D9" s="24" t="str">
        <f>IF($B9="","",IFERROR(IF(INDEX(基础资料!$P$4:$P$103,MATCH($B9,基础资料!$N$4:$N$103,0))="",IFERROR(INDEX(_自动清单!$I$4:$I$63,ROW()-3),""),INDEX(基础资料!$P$4:$P$103,MATCH($B9,基础资料!$N$4:$N$103,0))),IFERROR(INDEX(_自动清单!$I$4:$I$63,ROW()-3),"")))</f>
        <v>卷</v>
      </c>
      <c r="E9" s="26">
        <f>IF($B9="","",IFERROR(ROUND(SUMIFS(包装物料出入库明细!$N$4:$N$2003,包装物料出入库明细!$E$4:$E$2003,$B9,包装物料出入库明细!$H$4:$H$2003,"采购入库",包装物料出入库明细!$B$4:$B$2003,"&gt;="&amp;$S$1,包装物料出入库明细!$B$4:$B$2003,"&lt;="&amp;$S$2)/SUMIFS(包装物料出入库明细!$I$4:$I$2003,包装物料出入库明细!$E$4:$E$2003,$B9,包装物料出入库明细!$H$4:$H$2003,"采购入库",包装物料出入库明细!$B$4:$B$2003,"&gt;="&amp;$S$1,包装物料出入库明细!$B$4:$B$2003,"&lt;="&amp;$S$2),4),0))</f>
        <v>0</v>
      </c>
      <c r="F9" s="25">
        <f>IF($B9="","",SUMIFS(包装物料出入库明细!$I$4:$I$2003,包装物料出入库明细!$E$4:$E$2003,$B9,包装物料出入库明细!$H$4:$H$2003,"期初库存",包装物料出入库明细!$B$4:$B$2003,"&gt;="&amp;$S$1,包装物料出入库明细!$B$4:$B$2003,"&lt;="&amp;$S$2))</f>
        <v>2</v>
      </c>
      <c r="G9" s="25">
        <f>IF($B9="","",SUMIFS(包装物料出入库明细!$I$4:$I$2003,包装物料出入库明细!$E$4:$E$2003,$B9,包装物料出入库明细!$H$4:$H$2003,"采购入库",包装物料出入库明细!$B$4:$B$2003,"&gt;="&amp;$S$1,包装物料出入库明细!$B$4:$B$2003,"&lt;="&amp;$S$2))</f>
        <v>0</v>
      </c>
      <c r="H9" s="56">
        <f>IF($B9="","",SUMIFS(包装物料出入库明细!$K$4:$K$2003,包装物料出入库明细!$E$4:$E$2003,$B9,包装物料出入库明细!$B$4:$B$2003,"&gt;="&amp;$S$1,包装物料出入库明细!$B$4:$B$2003,"&lt;="&amp;$S$2))</f>
        <v>0</v>
      </c>
      <c r="I9" s="25">
        <f>IF($B9="","",SUMIFS(包装物料出入库明细!$J$4:$J$2003,包装物料出入库明细!$E$4:$E$2003,$B9,包装物料出入库明细!$H$4:$H$2003,"领用出库",包装物料出入库明细!$B$4:$B$2003,"&gt;="&amp;$S$1,包装物料出入库明细!$B$4:$B$2003,"&lt;="&amp;$S$2))</f>
        <v>0</v>
      </c>
      <c r="J9" s="25">
        <f>IF($B9="","",SUMIFS(包装物料出入库明细!$J$4:$J$2003,包装物料出入库明细!$E$4:$E$2003,$B9,包装物料出入库明细!$H$4:$H$2003,"销售出库",包装物料出入库明细!$B$4:$B$2003,"&gt;="&amp;$S$1,包装物料出入库明细!$B$4:$B$2003,"&lt;="&amp;$S$2))</f>
        <v>0</v>
      </c>
      <c r="K9" s="25">
        <f>IF($B9="","",SUMIFS(包装物料出入库明细!$J$4:$J$2003,包装物料出入库明细!$E$4:$E$2003,$B9,包装物料出入库明细!$B$4:$B$2003,"&gt;="&amp;$S$1,包装物料出入库明细!$B$4:$B$2003,"&lt;="&amp;$S$2)-$I9-$J9)</f>
        <v>0</v>
      </c>
      <c r="L9" s="25">
        <f t="shared" si="1"/>
        <v>2</v>
      </c>
      <c r="M9" s="26">
        <f t="shared" si="2"/>
        <v>0</v>
      </c>
      <c r="N9" s="24" t="str">
        <f>IF($B9="","",IF($L9&lt;=0,"无库存",IF($L9&gt;=基础资料!$S$4,"充足",IF($L9&gt;=基础资料!$S$5,"正常","不足"))))</f>
        <v>不足</v>
      </c>
      <c r="O9" s="41"/>
    </row>
    <row r="10" spans="1:19">
      <c r="A10" s="24">
        <f t="shared" si="0"/>
        <v>7</v>
      </c>
      <c r="B10" s="24" t="str">
        <f>IFERROR(INDEX(_自动清单!$G$4:$G$63,ROW()-3),"")</f>
        <v>香梨网</v>
      </c>
      <c r="C10" s="24" t="str">
        <f>IF($B10="","",IFERROR(IF(INDEX(基础资料!$O$4:$O$103,MATCH($B10,基础资料!$N$4:$N$103,0))="",IFERROR(INDEX(_自动清单!$H$4:$H$63,ROW()-3),""),INDEX(基础资料!$O$4:$O$103,MATCH($B10,基础资料!$N$4:$N$103,0))),IFERROR(INDEX(_自动清单!$H$4:$H$63,ROW()-3),"")))</f>
        <v>*包</v>
      </c>
      <c r="D10" s="24" t="str">
        <f>IF($B10="","",IFERROR(IF(INDEX(基础资料!$P$4:$P$103,MATCH($B10,基础资料!$N$4:$N$103,0))="",IFERROR(INDEX(_自动清单!$I$4:$I$63,ROW()-3),""),INDEX(基础资料!$P$4:$P$103,MATCH($B10,基础资料!$N$4:$N$103,0))),IFERROR(INDEX(_自动清单!$I$4:$I$63,ROW()-3),"")))</f>
        <v>包</v>
      </c>
      <c r="E10" s="26">
        <f>IF($B10="","",IFERROR(ROUND(SUMIFS(包装物料出入库明细!$N$4:$N$2003,包装物料出入库明细!$E$4:$E$2003,$B10,包装物料出入库明细!$H$4:$H$2003,"采购入库",包装物料出入库明细!$B$4:$B$2003,"&gt;="&amp;$S$1,包装物料出入库明细!$B$4:$B$2003,"&lt;="&amp;$S$2)/SUMIFS(包装物料出入库明细!$I$4:$I$2003,包装物料出入库明细!$E$4:$E$2003,$B10,包装物料出入库明细!$H$4:$H$2003,"采购入库",包装物料出入库明细!$B$4:$B$2003,"&gt;="&amp;$S$1,包装物料出入库明细!$B$4:$B$2003,"&lt;="&amp;$S$2),4),0))</f>
        <v>37</v>
      </c>
      <c r="F10" s="25">
        <f>IF($B10="","",SUMIFS(包装物料出入库明细!$I$4:$I$2003,包装物料出入库明细!$E$4:$E$2003,$B10,包装物料出入库明细!$H$4:$H$2003,"期初库存",包装物料出入库明细!$B$4:$B$2003,"&gt;="&amp;$S$1,包装物料出入库明细!$B$4:$B$2003,"&lt;="&amp;$S$2))</f>
        <v>0</v>
      </c>
      <c r="G10" s="25">
        <f>IF($B10="","",SUMIFS(包装物料出入库明细!$I$4:$I$2003,包装物料出入库明细!$E$4:$E$2003,$B10,包装物料出入库明细!$H$4:$H$2003,"采购入库",包装物料出入库明细!$B$4:$B$2003,"&gt;="&amp;$S$1,包装物料出入库明细!$B$4:$B$2003,"&lt;="&amp;$S$2))</f>
        <v>1104</v>
      </c>
      <c r="H10" s="56">
        <f>IF($B10="","",SUMIFS(包装物料出入库明细!$K$4:$K$2003,包装物料出入库明细!$E$4:$E$2003,$B10,包装物料出入库明细!$B$4:$B$2003,"&gt;="&amp;$S$1,包装物料出入库明细!$B$4:$B$2003,"&lt;="&amp;$S$2))</f>
        <v>0</v>
      </c>
      <c r="I10" s="25">
        <f>IF($B10="","",SUMIFS(包装物料出入库明细!$J$4:$J$2003,包装物料出入库明细!$E$4:$E$2003,$B10,包装物料出入库明细!$H$4:$H$2003,"领用出库",包装物料出入库明细!$B$4:$B$2003,"&gt;="&amp;$S$1,包装物料出入库明细!$B$4:$B$2003,"&lt;="&amp;$S$2))</f>
        <v>971</v>
      </c>
      <c r="J10" s="25">
        <f>IF($B10="","",SUMIFS(包装物料出入库明细!$J$4:$J$2003,包装物料出入库明细!$E$4:$E$2003,$B10,包装物料出入库明细!$H$4:$H$2003,"销售出库",包装物料出入库明细!$B$4:$B$2003,"&gt;="&amp;$S$1,包装物料出入库明细!$B$4:$B$2003,"&lt;="&amp;$S$2))</f>
        <v>0</v>
      </c>
      <c r="K10" s="25">
        <f>IF($B10="","",SUMIFS(包装物料出入库明细!$J$4:$J$2003,包装物料出入库明细!$E$4:$E$2003,$B10,包装物料出入库明细!$B$4:$B$2003,"&gt;="&amp;$S$1,包装物料出入库明细!$B$4:$B$2003,"&lt;="&amp;$S$2)-$I10-$J10)</f>
        <v>0</v>
      </c>
      <c r="L10" s="25">
        <f t="shared" si="1"/>
        <v>133</v>
      </c>
      <c r="M10" s="26">
        <f t="shared" si="2"/>
        <v>4921</v>
      </c>
      <c r="N10" s="24" t="str">
        <f>IF($B10="","",IF($L10&lt;=0,"无库存",IF($L10&gt;=基础资料!$S$4,"充足",IF($L10&gt;=基础资料!$S$5,"正常","不足"))))</f>
        <v>正常</v>
      </c>
      <c r="O10" s="41"/>
    </row>
    <row r="11" spans="1:19">
      <c r="A11" s="24" t="str">
        <f t="shared" si="0"/>
        <v/>
      </c>
      <c r="B11" s="24" t="str">
        <f>IFERROR(INDEX(_自动清单!$G$4:$G$63,ROW()-3),"")</f>
        <v/>
      </c>
      <c r="C11" s="24" t="str">
        <f>IF($B11="","",IFERROR(IF(INDEX(基础资料!$O$4:$O$103,MATCH($B11,基础资料!$N$4:$N$103,0))="",IFERROR(INDEX(_自动清单!$H$4:$H$63,ROW()-3),""),INDEX(基础资料!$O$4:$O$103,MATCH($B11,基础资料!$N$4:$N$103,0))),IFERROR(INDEX(_自动清单!$H$4:$H$63,ROW()-3),"")))</f>
        <v/>
      </c>
      <c r="D11" s="24" t="str">
        <f>IF($B11="","",IFERROR(IF(INDEX(基础资料!$P$4:$P$103,MATCH($B11,基础资料!$N$4:$N$103,0))="",IFERROR(INDEX(_自动清单!$I$4:$I$63,ROW()-3),""),INDEX(基础资料!$P$4:$P$103,MATCH($B11,基础资料!$N$4:$N$103,0))),IFERROR(INDEX(_自动清单!$I$4:$I$63,ROW()-3),"")))</f>
        <v/>
      </c>
      <c r="E11" s="26" t="str">
        <f>IF($B11="","",IFERROR(ROUND(SUMIFS(包装物料出入库明细!$N$4:$N$2003,包装物料出入库明细!$E$4:$E$2003,$B11,包装物料出入库明细!$H$4:$H$2003,"采购入库",包装物料出入库明细!$B$4:$B$2003,"&gt;="&amp;$S$1,包装物料出入库明细!$B$4:$B$2003,"&lt;="&amp;$S$2)/SUMIFS(包装物料出入库明细!$I$4:$I$2003,包装物料出入库明细!$E$4:$E$2003,$B11,包装物料出入库明细!$H$4:$H$2003,"采购入库",包装物料出入库明细!$B$4:$B$2003,"&gt;="&amp;$S$1,包装物料出入库明细!$B$4:$B$2003,"&lt;="&amp;$S$2),4),0))</f>
        <v/>
      </c>
      <c r="F11" s="25" t="str">
        <f>IF($B11="","",SUMIFS(包装物料出入库明细!$I$4:$I$2003,包装物料出入库明细!$E$4:$E$2003,$B11,包装物料出入库明细!$H$4:$H$2003,"期初库存",包装物料出入库明细!$B$4:$B$2003,"&gt;="&amp;$S$1,包装物料出入库明细!$B$4:$B$2003,"&lt;="&amp;$S$2))</f>
        <v/>
      </c>
      <c r="G11" s="25" t="str">
        <f>IF($B11="","",SUMIFS(包装物料出入库明细!$I$4:$I$2003,包装物料出入库明细!$E$4:$E$2003,$B11,包装物料出入库明细!$H$4:$H$2003,"采购入库",包装物料出入库明细!$B$4:$B$2003,"&gt;="&amp;$S$1,包装物料出入库明细!$B$4:$B$2003,"&lt;="&amp;$S$2))</f>
        <v/>
      </c>
      <c r="H11" s="56" t="str">
        <f>IF($B11="","",SUMIFS(包装物料出入库明细!$K$4:$K$2003,包装物料出入库明细!$E$4:$E$2003,$B11,包装物料出入库明细!$B$4:$B$2003,"&gt;="&amp;$S$1,包装物料出入库明细!$B$4:$B$2003,"&lt;="&amp;$S$2))</f>
        <v/>
      </c>
      <c r="I11" s="25" t="str">
        <f>IF($B11="","",SUMIFS(包装物料出入库明细!$J$4:$J$2003,包装物料出入库明细!$E$4:$E$2003,$B11,包装物料出入库明细!$H$4:$H$2003,"领用出库",包装物料出入库明细!$B$4:$B$2003,"&gt;="&amp;$S$1,包装物料出入库明细!$B$4:$B$2003,"&lt;="&amp;$S$2))</f>
        <v/>
      </c>
      <c r="J11" s="25" t="str">
        <f>IF($B11="","",SUMIFS(包装物料出入库明细!$J$4:$J$2003,包装物料出入库明细!$E$4:$E$2003,$B11,包装物料出入库明细!$H$4:$H$2003,"销售出库",包装物料出入库明细!$B$4:$B$2003,"&gt;="&amp;$S$1,包装物料出入库明细!$B$4:$B$2003,"&lt;="&amp;$S$2))</f>
        <v/>
      </c>
      <c r="K11" s="25" t="str">
        <f>IF($B11="","",SUMIFS(包装物料出入库明细!$J$4:$J$2003,包装物料出入库明细!$E$4:$E$2003,$B11,包装物料出入库明细!$B$4:$B$2003,"&gt;="&amp;$S$1,包装物料出入库明细!$B$4:$B$2003,"&lt;="&amp;$S$2)-$I11-$J11)</f>
        <v/>
      </c>
      <c r="L11" s="25" t="str">
        <f t="shared" si="1"/>
        <v/>
      </c>
      <c r="M11" s="26" t="str">
        <f t="shared" si="2"/>
        <v/>
      </c>
      <c r="N11" s="24" t="str">
        <f>IF($B11="","",IF($L11&lt;=0,"无库存",IF($L11&gt;=基础资料!$S$4,"充足",IF($L11&gt;=基础资料!$S$5,"正常","不足"))))</f>
        <v/>
      </c>
      <c r="O11" s="41"/>
    </row>
    <row r="12" spans="1:19">
      <c r="A12" s="24" t="str">
        <f t="shared" si="0"/>
        <v/>
      </c>
      <c r="B12" s="24" t="str">
        <f>IFERROR(INDEX(_自动清单!$G$4:$G$63,ROW()-3),"")</f>
        <v/>
      </c>
      <c r="C12" s="24" t="str">
        <f>IF($B12="","",IFERROR(IF(INDEX(基础资料!$O$4:$O$103,MATCH($B12,基础资料!$N$4:$N$103,0))="",IFERROR(INDEX(_自动清单!$H$4:$H$63,ROW()-3),""),INDEX(基础资料!$O$4:$O$103,MATCH($B12,基础资料!$N$4:$N$103,0))),IFERROR(INDEX(_自动清单!$H$4:$H$63,ROW()-3),"")))</f>
        <v/>
      </c>
      <c r="D12" s="24" t="str">
        <f>IF($B12="","",IFERROR(IF(INDEX(基础资料!$P$4:$P$103,MATCH($B12,基础资料!$N$4:$N$103,0))="",IFERROR(INDEX(_自动清单!$I$4:$I$63,ROW()-3),""),INDEX(基础资料!$P$4:$P$103,MATCH($B12,基础资料!$N$4:$N$103,0))),IFERROR(INDEX(_自动清单!$I$4:$I$63,ROW()-3),"")))</f>
        <v/>
      </c>
      <c r="E12" s="26" t="str">
        <f>IF($B12="","",IFERROR(ROUND(SUMIFS(包装物料出入库明细!$N$4:$N$2003,包装物料出入库明细!$E$4:$E$2003,$B12,包装物料出入库明细!$H$4:$H$2003,"采购入库",包装物料出入库明细!$B$4:$B$2003,"&gt;="&amp;$S$1,包装物料出入库明细!$B$4:$B$2003,"&lt;="&amp;$S$2)/SUMIFS(包装物料出入库明细!$I$4:$I$2003,包装物料出入库明细!$E$4:$E$2003,$B12,包装物料出入库明细!$H$4:$H$2003,"采购入库",包装物料出入库明细!$B$4:$B$2003,"&gt;="&amp;$S$1,包装物料出入库明细!$B$4:$B$2003,"&lt;="&amp;$S$2),4),0))</f>
        <v/>
      </c>
      <c r="F12" s="25" t="str">
        <f>IF($B12="","",SUMIFS(包装物料出入库明细!$I$4:$I$2003,包装物料出入库明细!$E$4:$E$2003,$B12,包装物料出入库明细!$H$4:$H$2003,"期初库存",包装物料出入库明细!$B$4:$B$2003,"&gt;="&amp;$S$1,包装物料出入库明细!$B$4:$B$2003,"&lt;="&amp;$S$2))</f>
        <v/>
      </c>
      <c r="G12" s="25" t="str">
        <f>IF($B12="","",SUMIFS(包装物料出入库明细!$I$4:$I$2003,包装物料出入库明细!$E$4:$E$2003,$B12,包装物料出入库明细!$H$4:$H$2003,"采购入库",包装物料出入库明细!$B$4:$B$2003,"&gt;="&amp;$S$1,包装物料出入库明细!$B$4:$B$2003,"&lt;="&amp;$S$2))</f>
        <v/>
      </c>
      <c r="H12" s="56" t="str">
        <f>IF($B12="","",SUMIFS(包装物料出入库明细!$K$4:$K$2003,包装物料出入库明细!$E$4:$E$2003,$B12,包装物料出入库明细!$B$4:$B$2003,"&gt;="&amp;$S$1,包装物料出入库明细!$B$4:$B$2003,"&lt;="&amp;$S$2))</f>
        <v/>
      </c>
      <c r="I12" s="25" t="str">
        <f>IF($B12="","",SUMIFS(包装物料出入库明细!$J$4:$J$2003,包装物料出入库明细!$E$4:$E$2003,$B12,包装物料出入库明细!$H$4:$H$2003,"领用出库",包装物料出入库明细!$B$4:$B$2003,"&gt;="&amp;$S$1,包装物料出入库明细!$B$4:$B$2003,"&lt;="&amp;$S$2))</f>
        <v/>
      </c>
      <c r="J12" s="25" t="str">
        <f>IF($B12="","",SUMIFS(包装物料出入库明细!$J$4:$J$2003,包装物料出入库明细!$E$4:$E$2003,$B12,包装物料出入库明细!$H$4:$H$2003,"销售出库",包装物料出入库明细!$B$4:$B$2003,"&gt;="&amp;$S$1,包装物料出入库明细!$B$4:$B$2003,"&lt;="&amp;$S$2))</f>
        <v/>
      </c>
      <c r="K12" s="25" t="str">
        <f>IF($B12="","",SUMIFS(包装物料出入库明细!$J$4:$J$2003,包装物料出入库明细!$E$4:$E$2003,$B12,包装物料出入库明细!$B$4:$B$2003,"&gt;="&amp;$S$1,包装物料出入库明细!$B$4:$B$2003,"&lt;="&amp;$S$2)-$I12-$J12)</f>
        <v/>
      </c>
      <c r="L12" s="25" t="str">
        <f t="shared" si="1"/>
        <v/>
      </c>
      <c r="M12" s="26" t="str">
        <f t="shared" si="2"/>
        <v/>
      </c>
      <c r="N12" s="24" t="str">
        <f>IF($B12="","",IF($L12&lt;=0,"无库存",IF($L12&gt;=基础资料!$S$4,"充足",IF($L12&gt;=基础资料!$S$5,"正常","不足"))))</f>
        <v/>
      </c>
      <c r="O12" s="41"/>
    </row>
    <row r="13" spans="1:19">
      <c r="A13" s="24" t="str">
        <f t="shared" si="0"/>
        <v/>
      </c>
      <c r="B13" s="24" t="str">
        <f>IFERROR(INDEX(_自动清单!$G$4:$G$63,ROW()-3),"")</f>
        <v/>
      </c>
      <c r="C13" s="24" t="str">
        <f>IF($B13="","",IFERROR(IF(INDEX(基础资料!$O$4:$O$103,MATCH($B13,基础资料!$N$4:$N$103,0))="",IFERROR(INDEX(_自动清单!$H$4:$H$63,ROW()-3),""),INDEX(基础资料!$O$4:$O$103,MATCH($B13,基础资料!$N$4:$N$103,0))),IFERROR(INDEX(_自动清单!$H$4:$H$63,ROW()-3),"")))</f>
        <v/>
      </c>
      <c r="D13" s="24" t="str">
        <f>IF($B13="","",IFERROR(IF(INDEX(基础资料!$P$4:$P$103,MATCH($B13,基础资料!$N$4:$N$103,0))="",IFERROR(INDEX(_自动清单!$I$4:$I$63,ROW()-3),""),INDEX(基础资料!$P$4:$P$103,MATCH($B13,基础资料!$N$4:$N$103,0))),IFERROR(INDEX(_自动清单!$I$4:$I$63,ROW()-3),"")))</f>
        <v/>
      </c>
      <c r="E13" s="26" t="str">
        <f>IF($B13="","",IFERROR(ROUND(SUMIFS(包装物料出入库明细!$N$4:$N$2003,包装物料出入库明细!$E$4:$E$2003,$B13,包装物料出入库明细!$H$4:$H$2003,"采购入库",包装物料出入库明细!$B$4:$B$2003,"&gt;="&amp;$S$1,包装物料出入库明细!$B$4:$B$2003,"&lt;="&amp;$S$2)/SUMIFS(包装物料出入库明细!$I$4:$I$2003,包装物料出入库明细!$E$4:$E$2003,$B13,包装物料出入库明细!$H$4:$H$2003,"采购入库",包装物料出入库明细!$B$4:$B$2003,"&gt;="&amp;$S$1,包装物料出入库明细!$B$4:$B$2003,"&lt;="&amp;$S$2),4),0))</f>
        <v/>
      </c>
      <c r="F13" s="25" t="str">
        <f>IF($B13="","",SUMIFS(包装物料出入库明细!$I$4:$I$2003,包装物料出入库明细!$E$4:$E$2003,$B13,包装物料出入库明细!$H$4:$H$2003,"期初库存",包装物料出入库明细!$B$4:$B$2003,"&gt;="&amp;$S$1,包装物料出入库明细!$B$4:$B$2003,"&lt;="&amp;$S$2))</f>
        <v/>
      </c>
      <c r="G13" s="25" t="str">
        <f>IF($B13="","",SUMIFS(包装物料出入库明细!$I$4:$I$2003,包装物料出入库明细!$E$4:$E$2003,$B13,包装物料出入库明细!$H$4:$H$2003,"采购入库",包装物料出入库明细!$B$4:$B$2003,"&gt;="&amp;$S$1,包装物料出入库明细!$B$4:$B$2003,"&lt;="&amp;$S$2))</f>
        <v/>
      </c>
      <c r="H13" s="56" t="str">
        <f>IF($B13="","",SUMIFS(包装物料出入库明细!$K$4:$K$2003,包装物料出入库明细!$E$4:$E$2003,$B13,包装物料出入库明细!$B$4:$B$2003,"&gt;="&amp;$S$1,包装物料出入库明细!$B$4:$B$2003,"&lt;="&amp;$S$2))</f>
        <v/>
      </c>
      <c r="I13" s="25" t="str">
        <f>IF($B13="","",SUMIFS(包装物料出入库明细!$J$4:$J$2003,包装物料出入库明细!$E$4:$E$2003,$B13,包装物料出入库明细!$H$4:$H$2003,"领用出库",包装物料出入库明细!$B$4:$B$2003,"&gt;="&amp;$S$1,包装物料出入库明细!$B$4:$B$2003,"&lt;="&amp;$S$2))</f>
        <v/>
      </c>
      <c r="J13" s="25" t="str">
        <f>IF($B13="","",SUMIFS(包装物料出入库明细!$J$4:$J$2003,包装物料出入库明细!$E$4:$E$2003,$B13,包装物料出入库明细!$H$4:$H$2003,"销售出库",包装物料出入库明细!$B$4:$B$2003,"&gt;="&amp;$S$1,包装物料出入库明细!$B$4:$B$2003,"&lt;="&amp;$S$2))</f>
        <v/>
      </c>
      <c r="K13" s="25" t="str">
        <f>IF($B13="","",SUMIFS(包装物料出入库明细!$J$4:$J$2003,包装物料出入库明细!$E$4:$E$2003,$B13,包装物料出入库明细!$B$4:$B$2003,"&gt;="&amp;$S$1,包装物料出入库明细!$B$4:$B$2003,"&lt;="&amp;$S$2)-$I13-$J13)</f>
        <v/>
      </c>
      <c r="L13" s="25" t="str">
        <f t="shared" si="1"/>
        <v/>
      </c>
      <c r="M13" s="26" t="str">
        <f t="shared" si="2"/>
        <v/>
      </c>
      <c r="N13" s="24" t="str">
        <f>IF($B13="","",IF($L13&lt;=0,"无库存",IF($L13&gt;=基础资料!$S$4,"充足",IF($L13&gt;=基础资料!$S$5,"正常","不足"))))</f>
        <v/>
      </c>
      <c r="O13" s="41"/>
    </row>
    <row r="14" spans="1:19">
      <c r="A14" s="24" t="str">
        <f t="shared" si="0"/>
        <v/>
      </c>
      <c r="B14" s="24" t="str">
        <f>IFERROR(INDEX(_自动清单!$G$4:$G$63,ROW()-3),"")</f>
        <v/>
      </c>
      <c r="C14" s="24" t="str">
        <f>IF($B14="","",IFERROR(IF(INDEX(基础资料!$O$4:$O$103,MATCH($B14,基础资料!$N$4:$N$103,0))="",IFERROR(INDEX(_自动清单!$H$4:$H$63,ROW()-3),""),INDEX(基础资料!$O$4:$O$103,MATCH($B14,基础资料!$N$4:$N$103,0))),IFERROR(INDEX(_自动清单!$H$4:$H$63,ROW()-3),"")))</f>
        <v/>
      </c>
      <c r="D14" s="24" t="str">
        <f>IF($B14="","",IFERROR(IF(INDEX(基础资料!$P$4:$P$103,MATCH($B14,基础资料!$N$4:$N$103,0))="",IFERROR(INDEX(_自动清单!$I$4:$I$63,ROW()-3),""),INDEX(基础资料!$P$4:$P$103,MATCH($B14,基础资料!$N$4:$N$103,0))),IFERROR(INDEX(_自动清单!$I$4:$I$63,ROW()-3),"")))</f>
        <v/>
      </c>
      <c r="E14" s="26" t="str">
        <f>IF($B14="","",IFERROR(ROUND(SUMIFS(包装物料出入库明细!$N$4:$N$2003,包装物料出入库明细!$E$4:$E$2003,$B14,包装物料出入库明细!$H$4:$H$2003,"采购入库",包装物料出入库明细!$B$4:$B$2003,"&gt;="&amp;$S$1,包装物料出入库明细!$B$4:$B$2003,"&lt;="&amp;$S$2)/SUMIFS(包装物料出入库明细!$I$4:$I$2003,包装物料出入库明细!$E$4:$E$2003,$B14,包装物料出入库明细!$H$4:$H$2003,"采购入库",包装物料出入库明细!$B$4:$B$2003,"&gt;="&amp;$S$1,包装物料出入库明细!$B$4:$B$2003,"&lt;="&amp;$S$2),4),0))</f>
        <v/>
      </c>
      <c r="F14" s="25" t="str">
        <f>IF($B14="","",SUMIFS(包装物料出入库明细!$I$4:$I$2003,包装物料出入库明细!$E$4:$E$2003,$B14,包装物料出入库明细!$H$4:$H$2003,"期初库存",包装物料出入库明细!$B$4:$B$2003,"&gt;="&amp;$S$1,包装物料出入库明细!$B$4:$B$2003,"&lt;="&amp;$S$2))</f>
        <v/>
      </c>
      <c r="G14" s="25" t="str">
        <f>IF($B14="","",SUMIFS(包装物料出入库明细!$I$4:$I$2003,包装物料出入库明细!$E$4:$E$2003,$B14,包装物料出入库明细!$H$4:$H$2003,"采购入库",包装物料出入库明细!$B$4:$B$2003,"&gt;="&amp;$S$1,包装物料出入库明细!$B$4:$B$2003,"&lt;="&amp;$S$2))</f>
        <v/>
      </c>
      <c r="H14" s="56" t="str">
        <f>IF($B14="","",SUMIFS(包装物料出入库明细!$K$4:$K$2003,包装物料出入库明细!$E$4:$E$2003,$B14,包装物料出入库明细!$B$4:$B$2003,"&gt;="&amp;$S$1,包装物料出入库明细!$B$4:$B$2003,"&lt;="&amp;$S$2))</f>
        <v/>
      </c>
      <c r="I14" s="25" t="str">
        <f>IF($B14="","",SUMIFS(包装物料出入库明细!$J$4:$J$2003,包装物料出入库明细!$E$4:$E$2003,$B14,包装物料出入库明细!$H$4:$H$2003,"领用出库",包装物料出入库明细!$B$4:$B$2003,"&gt;="&amp;$S$1,包装物料出入库明细!$B$4:$B$2003,"&lt;="&amp;$S$2))</f>
        <v/>
      </c>
      <c r="J14" s="25" t="str">
        <f>IF($B14="","",SUMIFS(包装物料出入库明细!$J$4:$J$2003,包装物料出入库明细!$E$4:$E$2003,$B14,包装物料出入库明细!$H$4:$H$2003,"销售出库",包装物料出入库明细!$B$4:$B$2003,"&gt;="&amp;$S$1,包装物料出入库明细!$B$4:$B$2003,"&lt;="&amp;$S$2))</f>
        <v/>
      </c>
      <c r="K14" s="25" t="str">
        <f>IF($B14="","",SUMIFS(包装物料出入库明细!$J$4:$J$2003,包装物料出入库明细!$E$4:$E$2003,$B14,包装物料出入库明细!$B$4:$B$2003,"&gt;="&amp;$S$1,包装物料出入库明细!$B$4:$B$2003,"&lt;="&amp;$S$2)-$I14-$J14)</f>
        <v/>
      </c>
      <c r="L14" s="25" t="str">
        <f t="shared" si="1"/>
        <v/>
      </c>
      <c r="M14" s="26" t="str">
        <f t="shared" si="2"/>
        <v/>
      </c>
      <c r="N14" s="24" t="str">
        <f>IF($B14="","",IF($L14&lt;=0,"无库存",IF($L14&gt;=基础资料!$S$4,"充足",IF($L14&gt;=基础资料!$S$5,"正常","不足"))))</f>
        <v/>
      </c>
      <c r="O14" s="41"/>
    </row>
    <row r="15" spans="1:19">
      <c r="A15" s="24" t="str">
        <f t="shared" si="0"/>
        <v/>
      </c>
      <c r="B15" s="24" t="str">
        <f>IFERROR(INDEX(_自动清单!$G$4:$G$63,ROW()-3),"")</f>
        <v/>
      </c>
      <c r="C15" s="24" t="str">
        <f>IF($B15="","",IFERROR(IF(INDEX(基础资料!$O$4:$O$103,MATCH($B15,基础资料!$N$4:$N$103,0))="",IFERROR(INDEX(_自动清单!$H$4:$H$63,ROW()-3),""),INDEX(基础资料!$O$4:$O$103,MATCH($B15,基础资料!$N$4:$N$103,0))),IFERROR(INDEX(_自动清单!$H$4:$H$63,ROW()-3),"")))</f>
        <v/>
      </c>
      <c r="D15" s="24" t="str">
        <f>IF($B15="","",IFERROR(IF(INDEX(基础资料!$P$4:$P$103,MATCH($B15,基础资料!$N$4:$N$103,0))="",IFERROR(INDEX(_自动清单!$I$4:$I$63,ROW()-3),""),INDEX(基础资料!$P$4:$P$103,MATCH($B15,基础资料!$N$4:$N$103,0))),IFERROR(INDEX(_自动清单!$I$4:$I$63,ROW()-3),"")))</f>
        <v/>
      </c>
      <c r="E15" s="26" t="str">
        <f>IF($B15="","",IFERROR(ROUND(SUMIFS(包装物料出入库明细!$N$4:$N$2003,包装物料出入库明细!$E$4:$E$2003,$B15,包装物料出入库明细!$H$4:$H$2003,"采购入库",包装物料出入库明细!$B$4:$B$2003,"&gt;="&amp;$S$1,包装物料出入库明细!$B$4:$B$2003,"&lt;="&amp;$S$2)/SUMIFS(包装物料出入库明细!$I$4:$I$2003,包装物料出入库明细!$E$4:$E$2003,$B15,包装物料出入库明细!$H$4:$H$2003,"采购入库",包装物料出入库明细!$B$4:$B$2003,"&gt;="&amp;$S$1,包装物料出入库明细!$B$4:$B$2003,"&lt;="&amp;$S$2),4),0))</f>
        <v/>
      </c>
      <c r="F15" s="25" t="str">
        <f>IF($B15="","",SUMIFS(包装物料出入库明细!$I$4:$I$2003,包装物料出入库明细!$E$4:$E$2003,$B15,包装物料出入库明细!$H$4:$H$2003,"期初库存",包装物料出入库明细!$B$4:$B$2003,"&gt;="&amp;$S$1,包装物料出入库明细!$B$4:$B$2003,"&lt;="&amp;$S$2))</f>
        <v/>
      </c>
      <c r="G15" s="25" t="str">
        <f>IF($B15="","",SUMIFS(包装物料出入库明细!$I$4:$I$2003,包装物料出入库明细!$E$4:$E$2003,$B15,包装物料出入库明细!$H$4:$H$2003,"采购入库",包装物料出入库明细!$B$4:$B$2003,"&gt;="&amp;$S$1,包装物料出入库明细!$B$4:$B$2003,"&lt;="&amp;$S$2))</f>
        <v/>
      </c>
      <c r="H15" s="56" t="str">
        <f>IF($B15="","",SUMIFS(包装物料出入库明细!$K$4:$K$2003,包装物料出入库明细!$E$4:$E$2003,$B15,包装物料出入库明细!$B$4:$B$2003,"&gt;="&amp;$S$1,包装物料出入库明细!$B$4:$B$2003,"&lt;="&amp;$S$2))</f>
        <v/>
      </c>
      <c r="I15" s="25" t="str">
        <f>IF($B15="","",SUMIFS(包装物料出入库明细!$J$4:$J$2003,包装物料出入库明细!$E$4:$E$2003,$B15,包装物料出入库明细!$H$4:$H$2003,"领用出库",包装物料出入库明细!$B$4:$B$2003,"&gt;="&amp;$S$1,包装物料出入库明细!$B$4:$B$2003,"&lt;="&amp;$S$2))</f>
        <v/>
      </c>
      <c r="J15" s="25" t="str">
        <f>IF($B15="","",SUMIFS(包装物料出入库明细!$J$4:$J$2003,包装物料出入库明细!$E$4:$E$2003,$B15,包装物料出入库明细!$H$4:$H$2003,"销售出库",包装物料出入库明细!$B$4:$B$2003,"&gt;="&amp;$S$1,包装物料出入库明细!$B$4:$B$2003,"&lt;="&amp;$S$2))</f>
        <v/>
      </c>
      <c r="K15" s="25" t="str">
        <f>IF($B15="","",SUMIFS(包装物料出入库明细!$J$4:$J$2003,包装物料出入库明细!$E$4:$E$2003,$B15,包装物料出入库明细!$B$4:$B$2003,"&gt;="&amp;$S$1,包装物料出入库明细!$B$4:$B$2003,"&lt;="&amp;$S$2)-$I15-$J15)</f>
        <v/>
      </c>
      <c r="L15" s="25" t="str">
        <f t="shared" si="1"/>
        <v/>
      </c>
      <c r="M15" s="26" t="str">
        <f t="shared" si="2"/>
        <v/>
      </c>
      <c r="N15" s="24" t="str">
        <f>IF($B15="","",IF($L15&lt;=0,"无库存",IF($L15&gt;=基础资料!$S$4,"充足",IF($L15&gt;=基础资料!$S$5,"正常","不足"))))</f>
        <v/>
      </c>
      <c r="O15" s="41"/>
    </row>
    <row r="16" spans="1:19">
      <c r="A16" s="24" t="str">
        <f t="shared" si="0"/>
        <v/>
      </c>
      <c r="B16" s="24" t="str">
        <f>IFERROR(INDEX(_自动清单!$G$4:$G$63,ROW()-3),"")</f>
        <v/>
      </c>
      <c r="C16" s="24" t="str">
        <f>IF($B16="","",IFERROR(IF(INDEX(基础资料!$O$4:$O$103,MATCH($B16,基础资料!$N$4:$N$103,0))="",IFERROR(INDEX(_自动清单!$H$4:$H$63,ROW()-3),""),INDEX(基础资料!$O$4:$O$103,MATCH($B16,基础资料!$N$4:$N$103,0))),IFERROR(INDEX(_自动清单!$H$4:$H$63,ROW()-3),"")))</f>
        <v/>
      </c>
      <c r="D16" s="24" t="str">
        <f>IF($B16="","",IFERROR(IF(INDEX(基础资料!$P$4:$P$103,MATCH($B16,基础资料!$N$4:$N$103,0))="",IFERROR(INDEX(_自动清单!$I$4:$I$63,ROW()-3),""),INDEX(基础资料!$P$4:$P$103,MATCH($B16,基础资料!$N$4:$N$103,0))),IFERROR(INDEX(_自动清单!$I$4:$I$63,ROW()-3),"")))</f>
        <v/>
      </c>
      <c r="E16" s="26" t="str">
        <f>IF($B16="","",IFERROR(ROUND(SUMIFS(包装物料出入库明细!$N$4:$N$2003,包装物料出入库明细!$E$4:$E$2003,$B16,包装物料出入库明细!$H$4:$H$2003,"采购入库",包装物料出入库明细!$B$4:$B$2003,"&gt;="&amp;$S$1,包装物料出入库明细!$B$4:$B$2003,"&lt;="&amp;$S$2)/SUMIFS(包装物料出入库明细!$I$4:$I$2003,包装物料出入库明细!$E$4:$E$2003,$B16,包装物料出入库明细!$H$4:$H$2003,"采购入库",包装物料出入库明细!$B$4:$B$2003,"&gt;="&amp;$S$1,包装物料出入库明细!$B$4:$B$2003,"&lt;="&amp;$S$2),4),0))</f>
        <v/>
      </c>
      <c r="F16" s="25" t="str">
        <f>IF($B16="","",SUMIFS(包装物料出入库明细!$I$4:$I$2003,包装物料出入库明细!$E$4:$E$2003,$B16,包装物料出入库明细!$H$4:$H$2003,"期初库存",包装物料出入库明细!$B$4:$B$2003,"&gt;="&amp;$S$1,包装物料出入库明细!$B$4:$B$2003,"&lt;="&amp;$S$2))</f>
        <v/>
      </c>
      <c r="G16" s="25" t="str">
        <f>IF($B16="","",SUMIFS(包装物料出入库明细!$I$4:$I$2003,包装物料出入库明细!$E$4:$E$2003,$B16,包装物料出入库明细!$H$4:$H$2003,"采购入库",包装物料出入库明细!$B$4:$B$2003,"&gt;="&amp;$S$1,包装物料出入库明细!$B$4:$B$2003,"&lt;="&amp;$S$2))</f>
        <v/>
      </c>
      <c r="H16" s="56" t="str">
        <f>IF($B16="","",SUMIFS(包装物料出入库明细!$K$4:$K$2003,包装物料出入库明细!$E$4:$E$2003,$B16,包装物料出入库明细!$B$4:$B$2003,"&gt;="&amp;$S$1,包装物料出入库明细!$B$4:$B$2003,"&lt;="&amp;$S$2))</f>
        <v/>
      </c>
      <c r="I16" s="25" t="str">
        <f>IF($B16="","",SUMIFS(包装物料出入库明细!$J$4:$J$2003,包装物料出入库明细!$E$4:$E$2003,$B16,包装物料出入库明细!$H$4:$H$2003,"领用出库",包装物料出入库明细!$B$4:$B$2003,"&gt;="&amp;$S$1,包装物料出入库明细!$B$4:$B$2003,"&lt;="&amp;$S$2))</f>
        <v/>
      </c>
      <c r="J16" s="25" t="str">
        <f>IF($B16="","",SUMIFS(包装物料出入库明细!$J$4:$J$2003,包装物料出入库明细!$E$4:$E$2003,$B16,包装物料出入库明细!$H$4:$H$2003,"销售出库",包装物料出入库明细!$B$4:$B$2003,"&gt;="&amp;$S$1,包装物料出入库明细!$B$4:$B$2003,"&lt;="&amp;$S$2))</f>
        <v/>
      </c>
      <c r="K16" s="25" t="str">
        <f>IF($B16="","",SUMIFS(包装物料出入库明细!$J$4:$J$2003,包装物料出入库明细!$E$4:$E$2003,$B16,包装物料出入库明细!$B$4:$B$2003,"&gt;="&amp;$S$1,包装物料出入库明细!$B$4:$B$2003,"&lt;="&amp;$S$2)-$I16-$J16)</f>
        <v/>
      </c>
      <c r="L16" s="25" t="str">
        <f t="shared" si="1"/>
        <v/>
      </c>
      <c r="M16" s="26" t="str">
        <f t="shared" si="2"/>
        <v/>
      </c>
      <c r="N16" s="24" t="str">
        <f>IF($B16="","",IF($L16&lt;=0,"无库存",IF($L16&gt;=基础资料!$S$4,"充足",IF($L16&gt;=基础资料!$S$5,"正常","不足"))))</f>
        <v/>
      </c>
      <c r="O16" s="41"/>
    </row>
    <row r="17" spans="1:15">
      <c r="A17" s="24" t="str">
        <f t="shared" si="0"/>
        <v/>
      </c>
      <c r="B17" s="24" t="str">
        <f>IFERROR(INDEX(_自动清单!$G$4:$G$63,ROW()-3),"")</f>
        <v/>
      </c>
      <c r="C17" s="24" t="str">
        <f>IF($B17="","",IFERROR(IF(INDEX(基础资料!$O$4:$O$103,MATCH($B17,基础资料!$N$4:$N$103,0))="",IFERROR(INDEX(_自动清单!$H$4:$H$63,ROW()-3),""),INDEX(基础资料!$O$4:$O$103,MATCH($B17,基础资料!$N$4:$N$103,0))),IFERROR(INDEX(_自动清单!$H$4:$H$63,ROW()-3),"")))</f>
        <v/>
      </c>
      <c r="D17" s="24" t="str">
        <f>IF($B17="","",IFERROR(IF(INDEX(基础资料!$P$4:$P$103,MATCH($B17,基础资料!$N$4:$N$103,0))="",IFERROR(INDEX(_自动清单!$I$4:$I$63,ROW()-3),""),INDEX(基础资料!$P$4:$P$103,MATCH($B17,基础资料!$N$4:$N$103,0))),IFERROR(INDEX(_自动清单!$I$4:$I$63,ROW()-3),"")))</f>
        <v/>
      </c>
      <c r="E17" s="26" t="str">
        <f>IF($B17="","",IFERROR(ROUND(SUMIFS(包装物料出入库明细!$N$4:$N$2003,包装物料出入库明细!$E$4:$E$2003,$B17,包装物料出入库明细!$H$4:$H$2003,"采购入库",包装物料出入库明细!$B$4:$B$2003,"&gt;="&amp;$S$1,包装物料出入库明细!$B$4:$B$2003,"&lt;="&amp;$S$2)/SUMIFS(包装物料出入库明细!$I$4:$I$2003,包装物料出入库明细!$E$4:$E$2003,$B17,包装物料出入库明细!$H$4:$H$2003,"采购入库",包装物料出入库明细!$B$4:$B$2003,"&gt;="&amp;$S$1,包装物料出入库明细!$B$4:$B$2003,"&lt;="&amp;$S$2),4),0))</f>
        <v/>
      </c>
      <c r="F17" s="25" t="str">
        <f>IF($B17="","",SUMIFS(包装物料出入库明细!$I$4:$I$2003,包装物料出入库明细!$E$4:$E$2003,$B17,包装物料出入库明细!$H$4:$H$2003,"期初库存",包装物料出入库明细!$B$4:$B$2003,"&gt;="&amp;$S$1,包装物料出入库明细!$B$4:$B$2003,"&lt;="&amp;$S$2))</f>
        <v/>
      </c>
      <c r="G17" s="25" t="str">
        <f>IF($B17="","",SUMIFS(包装物料出入库明细!$I$4:$I$2003,包装物料出入库明细!$E$4:$E$2003,$B17,包装物料出入库明细!$H$4:$H$2003,"采购入库",包装物料出入库明细!$B$4:$B$2003,"&gt;="&amp;$S$1,包装物料出入库明细!$B$4:$B$2003,"&lt;="&amp;$S$2))</f>
        <v/>
      </c>
      <c r="H17" s="56" t="str">
        <f>IF($B17="","",SUMIFS(包装物料出入库明细!$K$4:$K$2003,包装物料出入库明细!$E$4:$E$2003,$B17,包装物料出入库明细!$B$4:$B$2003,"&gt;="&amp;$S$1,包装物料出入库明细!$B$4:$B$2003,"&lt;="&amp;$S$2))</f>
        <v/>
      </c>
      <c r="I17" s="25" t="str">
        <f>IF($B17="","",SUMIFS(包装物料出入库明细!$J$4:$J$2003,包装物料出入库明细!$E$4:$E$2003,$B17,包装物料出入库明细!$H$4:$H$2003,"领用出库",包装物料出入库明细!$B$4:$B$2003,"&gt;="&amp;$S$1,包装物料出入库明细!$B$4:$B$2003,"&lt;="&amp;$S$2))</f>
        <v/>
      </c>
      <c r="J17" s="25" t="str">
        <f>IF($B17="","",SUMIFS(包装物料出入库明细!$J$4:$J$2003,包装物料出入库明细!$E$4:$E$2003,$B17,包装物料出入库明细!$H$4:$H$2003,"销售出库",包装物料出入库明细!$B$4:$B$2003,"&gt;="&amp;$S$1,包装物料出入库明细!$B$4:$B$2003,"&lt;="&amp;$S$2))</f>
        <v/>
      </c>
      <c r="K17" s="25" t="str">
        <f>IF($B17="","",SUMIFS(包装物料出入库明细!$J$4:$J$2003,包装物料出入库明细!$E$4:$E$2003,$B17,包装物料出入库明细!$B$4:$B$2003,"&gt;="&amp;$S$1,包装物料出入库明细!$B$4:$B$2003,"&lt;="&amp;$S$2)-$I17-$J17)</f>
        <v/>
      </c>
      <c r="L17" s="25" t="str">
        <f t="shared" si="1"/>
        <v/>
      </c>
      <c r="M17" s="26" t="str">
        <f t="shared" si="2"/>
        <v/>
      </c>
      <c r="N17" s="24" t="str">
        <f>IF($B17="","",IF($L17&lt;=0,"无库存",IF($L17&gt;=基础资料!$S$4,"充足",IF($L17&gt;=基础资料!$S$5,"正常","不足"))))</f>
        <v/>
      </c>
      <c r="O17" s="41"/>
    </row>
    <row r="18" spans="1:15">
      <c r="A18" s="24" t="str">
        <f t="shared" si="0"/>
        <v/>
      </c>
      <c r="B18" s="24" t="str">
        <f>IFERROR(INDEX(_自动清单!$G$4:$G$63,ROW()-3),"")</f>
        <v/>
      </c>
      <c r="C18" s="24" t="str">
        <f>IF($B18="","",IFERROR(IF(INDEX(基础资料!$O$4:$O$103,MATCH($B18,基础资料!$N$4:$N$103,0))="",IFERROR(INDEX(_自动清单!$H$4:$H$63,ROW()-3),""),INDEX(基础资料!$O$4:$O$103,MATCH($B18,基础资料!$N$4:$N$103,0))),IFERROR(INDEX(_自动清单!$H$4:$H$63,ROW()-3),"")))</f>
        <v/>
      </c>
      <c r="D18" s="24" t="str">
        <f>IF($B18="","",IFERROR(IF(INDEX(基础资料!$P$4:$P$103,MATCH($B18,基础资料!$N$4:$N$103,0))="",IFERROR(INDEX(_自动清单!$I$4:$I$63,ROW()-3),""),INDEX(基础资料!$P$4:$P$103,MATCH($B18,基础资料!$N$4:$N$103,0))),IFERROR(INDEX(_自动清单!$I$4:$I$63,ROW()-3),"")))</f>
        <v/>
      </c>
      <c r="E18" s="26" t="str">
        <f>IF($B18="","",IFERROR(ROUND(SUMIFS(包装物料出入库明细!$N$4:$N$2003,包装物料出入库明细!$E$4:$E$2003,$B18,包装物料出入库明细!$H$4:$H$2003,"采购入库",包装物料出入库明细!$B$4:$B$2003,"&gt;="&amp;$S$1,包装物料出入库明细!$B$4:$B$2003,"&lt;="&amp;$S$2)/SUMIFS(包装物料出入库明细!$I$4:$I$2003,包装物料出入库明细!$E$4:$E$2003,$B18,包装物料出入库明细!$H$4:$H$2003,"采购入库",包装物料出入库明细!$B$4:$B$2003,"&gt;="&amp;$S$1,包装物料出入库明细!$B$4:$B$2003,"&lt;="&amp;$S$2),4),0))</f>
        <v/>
      </c>
      <c r="F18" s="25" t="str">
        <f>IF($B18="","",SUMIFS(包装物料出入库明细!$I$4:$I$2003,包装物料出入库明细!$E$4:$E$2003,$B18,包装物料出入库明细!$H$4:$H$2003,"期初库存",包装物料出入库明细!$B$4:$B$2003,"&gt;="&amp;$S$1,包装物料出入库明细!$B$4:$B$2003,"&lt;="&amp;$S$2))</f>
        <v/>
      </c>
      <c r="G18" s="25" t="str">
        <f>IF($B18="","",SUMIFS(包装物料出入库明细!$I$4:$I$2003,包装物料出入库明细!$E$4:$E$2003,$B18,包装物料出入库明细!$H$4:$H$2003,"采购入库",包装物料出入库明细!$B$4:$B$2003,"&gt;="&amp;$S$1,包装物料出入库明细!$B$4:$B$2003,"&lt;="&amp;$S$2))</f>
        <v/>
      </c>
      <c r="H18" s="56" t="str">
        <f>IF($B18="","",SUMIFS(包装物料出入库明细!$K$4:$K$2003,包装物料出入库明细!$E$4:$E$2003,$B18,包装物料出入库明细!$B$4:$B$2003,"&gt;="&amp;$S$1,包装物料出入库明细!$B$4:$B$2003,"&lt;="&amp;$S$2))</f>
        <v/>
      </c>
      <c r="I18" s="25" t="str">
        <f>IF($B18="","",SUMIFS(包装物料出入库明细!$J$4:$J$2003,包装物料出入库明细!$E$4:$E$2003,$B18,包装物料出入库明细!$H$4:$H$2003,"领用出库",包装物料出入库明细!$B$4:$B$2003,"&gt;="&amp;$S$1,包装物料出入库明细!$B$4:$B$2003,"&lt;="&amp;$S$2))</f>
        <v/>
      </c>
      <c r="J18" s="25" t="str">
        <f>IF($B18="","",SUMIFS(包装物料出入库明细!$J$4:$J$2003,包装物料出入库明细!$E$4:$E$2003,$B18,包装物料出入库明细!$H$4:$H$2003,"销售出库",包装物料出入库明细!$B$4:$B$2003,"&gt;="&amp;$S$1,包装物料出入库明细!$B$4:$B$2003,"&lt;="&amp;$S$2))</f>
        <v/>
      </c>
      <c r="K18" s="25" t="str">
        <f>IF($B18="","",SUMIFS(包装物料出入库明细!$J$4:$J$2003,包装物料出入库明细!$E$4:$E$2003,$B18,包装物料出入库明细!$B$4:$B$2003,"&gt;="&amp;$S$1,包装物料出入库明细!$B$4:$B$2003,"&lt;="&amp;$S$2)-$I18-$J18)</f>
        <v/>
      </c>
      <c r="L18" s="25" t="str">
        <f t="shared" si="1"/>
        <v/>
      </c>
      <c r="M18" s="26" t="str">
        <f t="shared" si="2"/>
        <v/>
      </c>
      <c r="N18" s="24" t="str">
        <f>IF($B18="","",IF($L18&lt;=0,"无库存",IF($L18&gt;=基础资料!$S$4,"充足",IF($L18&gt;=基础资料!$S$5,"正常","不足"))))</f>
        <v/>
      </c>
      <c r="O18" s="41"/>
    </row>
    <row r="19" spans="1:15">
      <c r="A19" s="24" t="str">
        <f t="shared" si="0"/>
        <v/>
      </c>
      <c r="B19" s="24" t="str">
        <f>IFERROR(INDEX(_自动清单!$G$4:$G$63,ROW()-3),"")</f>
        <v/>
      </c>
      <c r="C19" s="24" t="str">
        <f>IF($B19="","",IFERROR(IF(INDEX(基础资料!$O$4:$O$103,MATCH($B19,基础资料!$N$4:$N$103,0))="",IFERROR(INDEX(_自动清单!$H$4:$H$63,ROW()-3),""),INDEX(基础资料!$O$4:$O$103,MATCH($B19,基础资料!$N$4:$N$103,0))),IFERROR(INDEX(_自动清单!$H$4:$H$63,ROW()-3),"")))</f>
        <v/>
      </c>
      <c r="D19" s="24" t="str">
        <f>IF($B19="","",IFERROR(IF(INDEX(基础资料!$P$4:$P$103,MATCH($B19,基础资料!$N$4:$N$103,0))="",IFERROR(INDEX(_自动清单!$I$4:$I$63,ROW()-3),""),INDEX(基础资料!$P$4:$P$103,MATCH($B19,基础资料!$N$4:$N$103,0))),IFERROR(INDEX(_自动清单!$I$4:$I$63,ROW()-3),"")))</f>
        <v/>
      </c>
      <c r="E19" s="26" t="str">
        <f>IF($B19="","",IFERROR(ROUND(SUMIFS(包装物料出入库明细!$N$4:$N$2003,包装物料出入库明细!$E$4:$E$2003,$B19,包装物料出入库明细!$H$4:$H$2003,"采购入库",包装物料出入库明细!$B$4:$B$2003,"&gt;="&amp;$S$1,包装物料出入库明细!$B$4:$B$2003,"&lt;="&amp;$S$2)/SUMIFS(包装物料出入库明细!$I$4:$I$2003,包装物料出入库明细!$E$4:$E$2003,$B19,包装物料出入库明细!$H$4:$H$2003,"采购入库",包装物料出入库明细!$B$4:$B$2003,"&gt;="&amp;$S$1,包装物料出入库明细!$B$4:$B$2003,"&lt;="&amp;$S$2),4),0))</f>
        <v/>
      </c>
      <c r="F19" s="25" t="str">
        <f>IF($B19="","",SUMIFS(包装物料出入库明细!$I$4:$I$2003,包装物料出入库明细!$E$4:$E$2003,$B19,包装物料出入库明细!$H$4:$H$2003,"期初库存",包装物料出入库明细!$B$4:$B$2003,"&gt;="&amp;$S$1,包装物料出入库明细!$B$4:$B$2003,"&lt;="&amp;$S$2))</f>
        <v/>
      </c>
      <c r="G19" s="25" t="str">
        <f>IF($B19="","",SUMIFS(包装物料出入库明细!$I$4:$I$2003,包装物料出入库明细!$E$4:$E$2003,$B19,包装物料出入库明细!$H$4:$H$2003,"采购入库",包装物料出入库明细!$B$4:$B$2003,"&gt;="&amp;$S$1,包装物料出入库明细!$B$4:$B$2003,"&lt;="&amp;$S$2))</f>
        <v/>
      </c>
      <c r="H19" s="56" t="str">
        <f>IF($B19="","",SUMIFS(包装物料出入库明细!$K$4:$K$2003,包装物料出入库明细!$E$4:$E$2003,$B19,包装物料出入库明细!$B$4:$B$2003,"&gt;="&amp;$S$1,包装物料出入库明细!$B$4:$B$2003,"&lt;="&amp;$S$2))</f>
        <v/>
      </c>
      <c r="I19" s="25" t="str">
        <f>IF($B19="","",SUMIFS(包装物料出入库明细!$J$4:$J$2003,包装物料出入库明细!$E$4:$E$2003,$B19,包装物料出入库明细!$H$4:$H$2003,"领用出库",包装物料出入库明细!$B$4:$B$2003,"&gt;="&amp;$S$1,包装物料出入库明细!$B$4:$B$2003,"&lt;="&amp;$S$2))</f>
        <v/>
      </c>
      <c r="J19" s="25" t="str">
        <f>IF($B19="","",SUMIFS(包装物料出入库明细!$J$4:$J$2003,包装物料出入库明细!$E$4:$E$2003,$B19,包装物料出入库明细!$H$4:$H$2003,"销售出库",包装物料出入库明细!$B$4:$B$2003,"&gt;="&amp;$S$1,包装物料出入库明细!$B$4:$B$2003,"&lt;="&amp;$S$2))</f>
        <v/>
      </c>
      <c r="K19" s="25" t="str">
        <f>IF($B19="","",SUMIFS(包装物料出入库明细!$J$4:$J$2003,包装物料出入库明细!$E$4:$E$2003,$B19,包装物料出入库明细!$B$4:$B$2003,"&gt;="&amp;$S$1,包装物料出入库明细!$B$4:$B$2003,"&lt;="&amp;$S$2)-$I19-$J19)</f>
        <v/>
      </c>
      <c r="L19" s="25" t="str">
        <f t="shared" si="1"/>
        <v/>
      </c>
      <c r="M19" s="26" t="str">
        <f t="shared" si="2"/>
        <v/>
      </c>
      <c r="N19" s="24" t="str">
        <f>IF($B19="","",IF($L19&lt;=0,"无库存",IF($L19&gt;=基础资料!$S$4,"充足",IF($L19&gt;=基础资料!$S$5,"正常","不足"))))</f>
        <v/>
      </c>
      <c r="O19" s="41"/>
    </row>
    <row r="20" spans="1:15">
      <c r="A20" s="24" t="str">
        <f t="shared" si="0"/>
        <v/>
      </c>
      <c r="B20" s="24" t="str">
        <f>IFERROR(INDEX(_自动清单!$G$4:$G$63,ROW()-3),"")</f>
        <v/>
      </c>
      <c r="C20" s="24" t="str">
        <f>IF($B20="","",IFERROR(IF(INDEX(基础资料!$O$4:$O$103,MATCH($B20,基础资料!$N$4:$N$103,0))="",IFERROR(INDEX(_自动清单!$H$4:$H$63,ROW()-3),""),INDEX(基础资料!$O$4:$O$103,MATCH($B20,基础资料!$N$4:$N$103,0))),IFERROR(INDEX(_自动清单!$H$4:$H$63,ROW()-3),"")))</f>
        <v/>
      </c>
      <c r="D20" s="24" t="str">
        <f>IF($B20="","",IFERROR(IF(INDEX(基础资料!$P$4:$P$103,MATCH($B20,基础资料!$N$4:$N$103,0))="",IFERROR(INDEX(_自动清单!$I$4:$I$63,ROW()-3),""),INDEX(基础资料!$P$4:$P$103,MATCH($B20,基础资料!$N$4:$N$103,0))),IFERROR(INDEX(_自动清单!$I$4:$I$63,ROW()-3),"")))</f>
        <v/>
      </c>
      <c r="E20" s="26" t="str">
        <f>IF($B20="","",IFERROR(ROUND(SUMIFS(包装物料出入库明细!$N$4:$N$2003,包装物料出入库明细!$E$4:$E$2003,$B20,包装物料出入库明细!$H$4:$H$2003,"采购入库",包装物料出入库明细!$B$4:$B$2003,"&gt;="&amp;$S$1,包装物料出入库明细!$B$4:$B$2003,"&lt;="&amp;$S$2)/SUMIFS(包装物料出入库明细!$I$4:$I$2003,包装物料出入库明细!$E$4:$E$2003,$B20,包装物料出入库明细!$H$4:$H$2003,"采购入库",包装物料出入库明细!$B$4:$B$2003,"&gt;="&amp;$S$1,包装物料出入库明细!$B$4:$B$2003,"&lt;="&amp;$S$2),4),0))</f>
        <v/>
      </c>
      <c r="F20" s="25" t="str">
        <f>IF($B20="","",SUMIFS(包装物料出入库明细!$I$4:$I$2003,包装物料出入库明细!$E$4:$E$2003,$B20,包装物料出入库明细!$H$4:$H$2003,"期初库存",包装物料出入库明细!$B$4:$B$2003,"&gt;="&amp;$S$1,包装物料出入库明细!$B$4:$B$2003,"&lt;="&amp;$S$2))</f>
        <v/>
      </c>
      <c r="G20" s="25" t="str">
        <f>IF($B20="","",SUMIFS(包装物料出入库明细!$I$4:$I$2003,包装物料出入库明细!$E$4:$E$2003,$B20,包装物料出入库明细!$H$4:$H$2003,"采购入库",包装物料出入库明细!$B$4:$B$2003,"&gt;="&amp;$S$1,包装物料出入库明细!$B$4:$B$2003,"&lt;="&amp;$S$2))</f>
        <v/>
      </c>
      <c r="H20" s="56" t="str">
        <f>IF($B20="","",SUMIFS(包装物料出入库明细!$K$4:$K$2003,包装物料出入库明细!$E$4:$E$2003,$B20,包装物料出入库明细!$B$4:$B$2003,"&gt;="&amp;$S$1,包装物料出入库明细!$B$4:$B$2003,"&lt;="&amp;$S$2))</f>
        <v/>
      </c>
      <c r="I20" s="25" t="str">
        <f>IF($B20="","",SUMIFS(包装物料出入库明细!$J$4:$J$2003,包装物料出入库明细!$E$4:$E$2003,$B20,包装物料出入库明细!$H$4:$H$2003,"领用出库",包装物料出入库明细!$B$4:$B$2003,"&gt;="&amp;$S$1,包装物料出入库明细!$B$4:$B$2003,"&lt;="&amp;$S$2))</f>
        <v/>
      </c>
      <c r="J20" s="25" t="str">
        <f>IF($B20="","",SUMIFS(包装物料出入库明细!$J$4:$J$2003,包装物料出入库明细!$E$4:$E$2003,$B20,包装物料出入库明细!$H$4:$H$2003,"销售出库",包装物料出入库明细!$B$4:$B$2003,"&gt;="&amp;$S$1,包装物料出入库明细!$B$4:$B$2003,"&lt;="&amp;$S$2))</f>
        <v/>
      </c>
      <c r="K20" s="25" t="str">
        <f>IF($B20="","",SUMIFS(包装物料出入库明细!$J$4:$J$2003,包装物料出入库明细!$E$4:$E$2003,$B20,包装物料出入库明细!$B$4:$B$2003,"&gt;="&amp;$S$1,包装物料出入库明细!$B$4:$B$2003,"&lt;="&amp;$S$2)-$I20-$J20)</f>
        <v/>
      </c>
      <c r="L20" s="25" t="str">
        <f t="shared" si="1"/>
        <v/>
      </c>
      <c r="M20" s="26" t="str">
        <f t="shared" si="2"/>
        <v/>
      </c>
      <c r="N20" s="24" t="str">
        <f>IF($B20="","",IF($L20&lt;=0,"无库存",IF($L20&gt;=基础资料!$S$4,"充足",IF($L20&gt;=基础资料!$S$5,"正常","不足"))))</f>
        <v/>
      </c>
      <c r="O20" s="41"/>
    </row>
    <row r="21" spans="1:15">
      <c r="A21" s="24" t="str">
        <f t="shared" si="0"/>
        <v/>
      </c>
      <c r="B21" s="24" t="str">
        <f>IFERROR(INDEX(_自动清单!$G$4:$G$63,ROW()-3),"")</f>
        <v/>
      </c>
      <c r="C21" s="24" t="str">
        <f>IF($B21="","",IFERROR(IF(INDEX(基础资料!$O$4:$O$103,MATCH($B21,基础资料!$N$4:$N$103,0))="",IFERROR(INDEX(_自动清单!$H$4:$H$63,ROW()-3),""),INDEX(基础资料!$O$4:$O$103,MATCH($B21,基础资料!$N$4:$N$103,0))),IFERROR(INDEX(_自动清单!$H$4:$H$63,ROW()-3),"")))</f>
        <v/>
      </c>
      <c r="D21" s="24" t="str">
        <f>IF($B21="","",IFERROR(IF(INDEX(基础资料!$P$4:$P$103,MATCH($B21,基础资料!$N$4:$N$103,0))="",IFERROR(INDEX(_自动清单!$I$4:$I$63,ROW()-3),""),INDEX(基础资料!$P$4:$P$103,MATCH($B21,基础资料!$N$4:$N$103,0))),IFERROR(INDEX(_自动清单!$I$4:$I$63,ROW()-3),"")))</f>
        <v/>
      </c>
      <c r="E21" s="26" t="str">
        <f>IF($B21="","",IFERROR(ROUND(SUMIFS(包装物料出入库明细!$N$4:$N$2003,包装物料出入库明细!$E$4:$E$2003,$B21,包装物料出入库明细!$H$4:$H$2003,"采购入库",包装物料出入库明细!$B$4:$B$2003,"&gt;="&amp;$S$1,包装物料出入库明细!$B$4:$B$2003,"&lt;="&amp;$S$2)/SUMIFS(包装物料出入库明细!$I$4:$I$2003,包装物料出入库明细!$E$4:$E$2003,$B21,包装物料出入库明细!$H$4:$H$2003,"采购入库",包装物料出入库明细!$B$4:$B$2003,"&gt;="&amp;$S$1,包装物料出入库明细!$B$4:$B$2003,"&lt;="&amp;$S$2),4),0))</f>
        <v/>
      </c>
      <c r="F21" s="25" t="str">
        <f>IF($B21="","",SUMIFS(包装物料出入库明细!$I$4:$I$2003,包装物料出入库明细!$E$4:$E$2003,$B21,包装物料出入库明细!$H$4:$H$2003,"期初库存",包装物料出入库明细!$B$4:$B$2003,"&gt;="&amp;$S$1,包装物料出入库明细!$B$4:$B$2003,"&lt;="&amp;$S$2))</f>
        <v/>
      </c>
      <c r="G21" s="25" t="str">
        <f>IF($B21="","",SUMIFS(包装物料出入库明细!$I$4:$I$2003,包装物料出入库明细!$E$4:$E$2003,$B21,包装物料出入库明细!$H$4:$H$2003,"采购入库",包装物料出入库明细!$B$4:$B$2003,"&gt;="&amp;$S$1,包装物料出入库明细!$B$4:$B$2003,"&lt;="&amp;$S$2))</f>
        <v/>
      </c>
      <c r="H21" s="56" t="str">
        <f>IF($B21="","",SUMIFS(包装物料出入库明细!$K$4:$K$2003,包装物料出入库明细!$E$4:$E$2003,$B21,包装物料出入库明细!$B$4:$B$2003,"&gt;="&amp;$S$1,包装物料出入库明细!$B$4:$B$2003,"&lt;="&amp;$S$2))</f>
        <v/>
      </c>
      <c r="I21" s="25" t="str">
        <f>IF($B21="","",SUMIFS(包装物料出入库明细!$J$4:$J$2003,包装物料出入库明细!$E$4:$E$2003,$B21,包装物料出入库明细!$H$4:$H$2003,"领用出库",包装物料出入库明细!$B$4:$B$2003,"&gt;="&amp;$S$1,包装物料出入库明细!$B$4:$B$2003,"&lt;="&amp;$S$2))</f>
        <v/>
      </c>
      <c r="J21" s="25" t="str">
        <f>IF($B21="","",SUMIFS(包装物料出入库明细!$J$4:$J$2003,包装物料出入库明细!$E$4:$E$2003,$B21,包装物料出入库明细!$H$4:$H$2003,"销售出库",包装物料出入库明细!$B$4:$B$2003,"&gt;="&amp;$S$1,包装物料出入库明细!$B$4:$B$2003,"&lt;="&amp;$S$2))</f>
        <v/>
      </c>
      <c r="K21" s="25" t="str">
        <f>IF($B21="","",SUMIFS(包装物料出入库明细!$J$4:$J$2003,包装物料出入库明细!$E$4:$E$2003,$B21,包装物料出入库明细!$B$4:$B$2003,"&gt;="&amp;$S$1,包装物料出入库明细!$B$4:$B$2003,"&lt;="&amp;$S$2)-$I21-$J21)</f>
        <v/>
      </c>
      <c r="L21" s="25" t="str">
        <f t="shared" si="1"/>
        <v/>
      </c>
      <c r="M21" s="26" t="str">
        <f t="shared" si="2"/>
        <v/>
      </c>
      <c r="N21" s="24" t="str">
        <f>IF($B21="","",IF($L21&lt;=0,"无库存",IF($L21&gt;=基础资料!$S$4,"充足",IF($L21&gt;=基础资料!$S$5,"正常","不足"))))</f>
        <v/>
      </c>
      <c r="O21" s="41"/>
    </row>
    <row r="22" spans="1:15">
      <c r="A22" s="24" t="str">
        <f t="shared" si="0"/>
        <v/>
      </c>
      <c r="B22" s="24" t="str">
        <f>IFERROR(INDEX(_自动清单!$G$4:$G$63,ROW()-3),"")</f>
        <v/>
      </c>
      <c r="C22" s="24" t="str">
        <f>IF($B22="","",IFERROR(IF(INDEX(基础资料!$O$4:$O$103,MATCH($B22,基础资料!$N$4:$N$103,0))="",IFERROR(INDEX(_自动清单!$H$4:$H$63,ROW()-3),""),INDEX(基础资料!$O$4:$O$103,MATCH($B22,基础资料!$N$4:$N$103,0))),IFERROR(INDEX(_自动清单!$H$4:$H$63,ROW()-3),"")))</f>
        <v/>
      </c>
      <c r="D22" s="24" t="str">
        <f>IF($B22="","",IFERROR(IF(INDEX(基础资料!$P$4:$P$103,MATCH($B22,基础资料!$N$4:$N$103,0))="",IFERROR(INDEX(_自动清单!$I$4:$I$63,ROW()-3),""),INDEX(基础资料!$P$4:$P$103,MATCH($B22,基础资料!$N$4:$N$103,0))),IFERROR(INDEX(_自动清单!$I$4:$I$63,ROW()-3),"")))</f>
        <v/>
      </c>
      <c r="E22" s="26" t="str">
        <f>IF($B22="","",IFERROR(ROUND(SUMIFS(包装物料出入库明细!$N$4:$N$2003,包装物料出入库明细!$E$4:$E$2003,$B22,包装物料出入库明细!$H$4:$H$2003,"采购入库",包装物料出入库明细!$B$4:$B$2003,"&gt;="&amp;$S$1,包装物料出入库明细!$B$4:$B$2003,"&lt;="&amp;$S$2)/SUMIFS(包装物料出入库明细!$I$4:$I$2003,包装物料出入库明细!$E$4:$E$2003,$B22,包装物料出入库明细!$H$4:$H$2003,"采购入库",包装物料出入库明细!$B$4:$B$2003,"&gt;="&amp;$S$1,包装物料出入库明细!$B$4:$B$2003,"&lt;="&amp;$S$2),4),0))</f>
        <v/>
      </c>
      <c r="F22" s="25" t="str">
        <f>IF($B22="","",SUMIFS(包装物料出入库明细!$I$4:$I$2003,包装物料出入库明细!$E$4:$E$2003,$B22,包装物料出入库明细!$H$4:$H$2003,"期初库存",包装物料出入库明细!$B$4:$B$2003,"&gt;="&amp;$S$1,包装物料出入库明细!$B$4:$B$2003,"&lt;="&amp;$S$2))</f>
        <v/>
      </c>
      <c r="G22" s="25" t="str">
        <f>IF($B22="","",SUMIFS(包装物料出入库明细!$I$4:$I$2003,包装物料出入库明细!$E$4:$E$2003,$B22,包装物料出入库明细!$H$4:$H$2003,"采购入库",包装物料出入库明细!$B$4:$B$2003,"&gt;="&amp;$S$1,包装物料出入库明细!$B$4:$B$2003,"&lt;="&amp;$S$2))</f>
        <v/>
      </c>
      <c r="H22" s="56" t="str">
        <f>IF($B22="","",SUMIFS(包装物料出入库明细!$K$4:$K$2003,包装物料出入库明细!$E$4:$E$2003,$B22,包装物料出入库明细!$B$4:$B$2003,"&gt;="&amp;$S$1,包装物料出入库明细!$B$4:$B$2003,"&lt;="&amp;$S$2))</f>
        <v/>
      </c>
      <c r="I22" s="25" t="str">
        <f>IF($B22="","",SUMIFS(包装物料出入库明细!$J$4:$J$2003,包装物料出入库明细!$E$4:$E$2003,$B22,包装物料出入库明细!$H$4:$H$2003,"领用出库",包装物料出入库明细!$B$4:$B$2003,"&gt;="&amp;$S$1,包装物料出入库明细!$B$4:$B$2003,"&lt;="&amp;$S$2))</f>
        <v/>
      </c>
      <c r="J22" s="25" t="str">
        <f>IF($B22="","",SUMIFS(包装物料出入库明细!$J$4:$J$2003,包装物料出入库明细!$E$4:$E$2003,$B22,包装物料出入库明细!$H$4:$H$2003,"销售出库",包装物料出入库明细!$B$4:$B$2003,"&gt;="&amp;$S$1,包装物料出入库明细!$B$4:$B$2003,"&lt;="&amp;$S$2))</f>
        <v/>
      </c>
      <c r="K22" s="25" t="str">
        <f>IF($B22="","",SUMIFS(包装物料出入库明细!$J$4:$J$2003,包装物料出入库明细!$E$4:$E$2003,$B22,包装物料出入库明细!$B$4:$B$2003,"&gt;="&amp;$S$1,包装物料出入库明细!$B$4:$B$2003,"&lt;="&amp;$S$2)-$I22-$J22)</f>
        <v/>
      </c>
      <c r="L22" s="25" t="str">
        <f t="shared" si="1"/>
        <v/>
      </c>
      <c r="M22" s="26" t="str">
        <f t="shared" si="2"/>
        <v/>
      </c>
      <c r="N22" s="24" t="str">
        <f>IF($B22="","",IF($L22&lt;=0,"无库存",IF($L22&gt;=基础资料!$S$4,"充足",IF($L22&gt;=基础资料!$S$5,"正常","不足"))))</f>
        <v/>
      </c>
      <c r="O22" s="41"/>
    </row>
    <row r="23" spans="1:15">
      <c r="A23" s="24" t="str">
        <f t="shared" si="0"/>
        <v/>
      </c>
      <c r="B23" s="24" t="str">
        <f>IFERROR(INDEX(_自动清单!$G$4:$G$63,ROW()-3),"")</f>
        <v/>
      </c>
      <c r="C23" s="24" t="str">
        <f>IF($B23="","",IFERROR(IF(INDEX(基础资料!$O$4:$O$103,MATCH($B23,基础资料!$N$4:$N$103,0))="",IFERROR(INDEX(_自动清单!$H$4:$H$63,ROW()-3),""),INDEX(基础资料!$O$4:$O$103,MATCH($B23,基础资料!$N$4:$N$103,0))),IFERROR(INDEX(_自动清单!$H$4:$H$63,ROW()-3),"")))</f>
        <v/>
      </c>
      <c r="D23" s="24" t="str">
        <f>IF($B23="","",IFERROR(IF(INDEX(基础资料!$P$4:$P$103,MATCH($B23,基础资料!$N$4:$N$103,0))="",IFERROR(INDEX(_自动清单!$I$4:$I$63,ROW()-3),""),INDEX(基础资料!$P$4:$P$103,MATCH($B23,基础资料!$N$4:$N$103,0))),IFERROR(INDEX(_自动清单!$I$4:$I$63,ROW()-3),"")))</f>
        <v/>
      </c>
      <c r="E23" s="26" t="str">
        <f>IF($B23="","",IFERROR(ROUND(SUMIFS(包装物料出入库明细!$N$4:$N$2003,包装物料出入库明细!$E$4:$E$2003,$B23,包装物料出入库明细!$H$4:$H$2003,"采购入库",包装物料出入库明细!$B$4:$B$2003,"&gt;="&amp;$S$1,包装物料出入库明细!$B$4:$B$2003,"&lt;="&amp;$S$2)/SUMIFS(包装物料出入库明细!$I$4:$I$2003,包装物料出入库明细!$E$4:$E$2003,$B23,包装物料出入库明细!$H$4:$H$2003,"采购入库",包装物料出入库明细!$B$4:$B$2003,"&gt;="&amp;$S$1,包装物料出入库明细!$B$4:$B$2003,"&lt;="&amp;$S$2),4),0))</f>
        <v/>
      </c>
      <c r="F23" s="25" t="str">
        <f>IF($B23="","",SUMIFS(包装物料出入库明细!$I$4:$I$2003,包装物料出入库明细!$E$4:$E$2003,$B23,包装物料出入库明细!$H$4:$H$2003,"期初库存",包装物料出入库明细!$B$4:$B$2003,"&gt;="&amp;$S$1,包装物料出入库明细!$B$4:$B$2003,"&lt;="&amp;$S$2))</f>
        <v/>
      </c>
      <c r="G23" s="25" t="str">
        <f>IF($B23="","",SUMIFS(包装物料出入库明细!$I$4:$I$2003,包装物料出入库明细!$E$4:$E$2003,$B23,包装物料出入库明细!$H$4:$H$2003,"采购入库",包装物料出入库明细!$B$4:$B$2003,"&gt;="&amp;$S$1,包装物料出入库明细!$B$4:$B$2003,"&lt;="&amp;$S$2))</f>
        <v/>
      </c>
      <c r="H23" s="56" t="str">
        <f>IF($B23="","",SUMIFS(包装物料出入库明细!$K$4:$K$2003,包装物料出入库明细!$E$4:$E$2003,$B23,包装物料出入库明细!$B$4:$B$2003,"&gt;="&amp;$S$1,包装物料出入库明细!$B$4:$B$2003,"&lt;="&amp;$S$2))</f>
        <v/>
      </c>
      <c r="I23" s="25" t="str">
        <f>IF($B23="","",SUMIFS(包装物料出入库明细!$J$4:$J$2003,包装物料出入库明细!$E$4:$E$2003,$B23,包装物料出入库明细!$H$4:$H$2003,"领用出库",包装物料出入库明细!$B$4:$B$2003,"&gt;="&amp;$S$1,包装物料出入库明细!$B$4:$B$2003,"&lt;="&amp;$S$2))</f>
        <v/>
      </c>
      <c r="J23" s="25" t="str">
        <f>IF($B23="","",SUMIFS(包装物料出入库明细!$J$4:$J$2003,包装物料出入库明细!$E$4:$E$2003,$B23,包装物料出入库明细!$H$4:$H$2003,"销售出库",包装物料出入库明细!$B$4:$B$2003,"&gt;="&amp;$S$1,包装物料出入库明细!$B$4:$B$2003,"&lt;="&amp;$S$2))</f>
        <v/>
      </c>
      <c r="K23" s="25" t="str">
        <f>IF($B23="","",SUMIFS(包装物料出入库明细!$J$4:$J$2003,包装物料出入库明细!$E$4:$E$2003,$B23,包装物料出入库明细!$B$4:$B$2003,"&gt;="&amp;$S$1,包装物料出入库明细!$B$4:$B$2003,"&lt;="&amp;$S$2)-$I23-$J23)</f>
        <v/>
      </c>
      <c r="L23" s="25" t="str">
        <f t="shared" si="1"/>
        <v/>
      </c>
      <c r="M23" s="26" t="str">
        <f t="shared" si="2"/>
        <v/>
      </c>
      <c r="N23" s="24" t="str">
        <f>IF($B23="","",IF($L23&lt;=0,"无库存",IF($L23&gt;=基础资料!$S$4,"充足",IF($L23&gt;=基础资料!$S$5,"正常","不足"))))</f>
        <v/>
      </c>
      <c r="O23" s="41"/>
    </row>
    <row r="24" spans="1:15">
      <c r="A24" s="24" t="str">
        <f t="shared" si="0"/>
        <v/>
      </c>
      <c r="B24" s="24" t="str">
        <f>IFERROR(INDEX(_自动清单!$G$4:$G$63,ROW()-3),"")</f>
        <v/>
      </c>
      <c r="C24" s="24" t="str">
        <f>IF($B24="","",IFERROR(IF(INDEX(基础资料!$O$4:$O$103,MATCH($B24,基础资料!$N$4:$N$103,0))="",IFERROR(INDEX(_自动清单!$H$4:$H$63,ROW()-3),""),INDEX(基础资料!$O$4:$O$103,MATCH($B24,基础资料!$N$4:$N$103,0))),IFERROR(INDEX(_自动清单!$H$4:$H$63,ROW()-3),"")))</f>
        <v/>
      </c>
      <c r="D24" s="24" t="str">
        <f>IF($B24="","",IFERROR(IF(INDEX(基础资料!$P$4:$P$103,MATCH($B24,基础资料!$N$4:$N$103,0))="",IFERROR(INDEX(_自动清单!$I$4:$I$63,ROW()-3),""),INDEX(基础资料!$P$4:$P$103,MATCH($B24,基础资料!$N$4:$N$103,0))),IFERROR(INDEX(_自动清单!$I$4:$I$63,ROW()-3),"")))</f>
        <v/>
      </c>
      <c r="E24" s="26" t="str">
        <f>IF($B24="","",IFERROR(ROUND(SUMIFS(包装物料出入库明细!$N$4:$N$2003,包装物料出入库明细!$E$4:$E$2003,$B24,包装物料出入库明细!$H$4:$H$2003,"采购入库",包装物料出入库明细!$B$4:$B$2003,"&gt;="&amp;$S$1,包装物料出入库明细!$B$4:$B$2003,"&lt;="&amp;$S$2)/SUMIFS(包装物料出入库明细!$I$4:$I$2003,包装物料出入库明细!$E$4:$E$2003,$B24,包装物料出入库明细!$H$4:$H$2003,"采购入库",包装物料出入库明细!$B$4:$B$2003,"&gt;="&amp;$S$1,包装物料出入库明细!$B$4:$B$2003,"&lt;="&amp;$S$2),4),0))</f>
        <v/>
      </c>
      <c r="F24" s="25" t="str">
        <f>IF($B24="","",SUMIFS(包装物料出入库明细!$I$4:$I$2003,包装物料出入库明细!$E$4:$E$2003,$B24,包装物料出入库明细!$H$4:$H$2003,"期初库存",包装物料出入库明细!$B$4:$B$2003,"&gt;="&amp;$S$1,包装物料出入库明细!$B$4:$B$2003,"&lt;="&amp;$S$2))</f>
        <v/>
      </c>
      <c r="G24" s="25" t="str">
        <f>IF($B24="","",SUMIFS(包装物料出入库明细!$I$4:$I$2003,包装物料出入库明细!$E$4:$E$2003,$B24,包装物料出入库明细!$H$4:$H$2003,"采购入库",包装物料出入库明细!$B$4:$B$2003,"&gt;="&amp;$S$1,包装物料出入库明细!$B$4:$B$2003,"&lt;="&amp;$S$2))</f>
        <v/>
      </c>
      <c r="H24" s="56" t="str">
        <f>IF($B24="","",SUMIFS(包装物料出入库明细!$K$4:$K$2003,包装物料出入库明细!$E$4:$E$2003,$B24,包装物料出入库明细!$B$4:$B$2003,"&gt;="&amp;$S$1,包装物料出入库明细!$B$4:$B$2003,"&lt;="&amp;$S$2))</f>
        <v/>
      </c>
      <c r="I24" s="25" t="str">
        <f>IF($B24="","",SUMIFS(包装物料出入库明细!$J$4:$J$2003,包装物料出入库明细!$E$4:$E$2003,$B24,包装物料出入库明细!$H$4:$H$2003,"领用出库",包装物料出入库明细!$B$4:$B$2003,"&gt;="&amp;$S$1,包装物料出入库明细!$B$4:$B$2003,"&lt;="&amp;$S$2))</f>
        <v/>
      </c>
      <c r="J24" s="25" t="str">
        <f>IF($B24="","",SUMIFS(包装物料出入库明细!$J$4:$J$2003,包装物料出入库明细!$E$4:$E$2003,$B24,包装物料出入库明细!$H$4:$H$2003,"销售出库",包装物料出入库明细!$B$4:$B$2003,"&gt;="&amp;$S$1,包装物料出入库明细!$B$4:$B$2003,"&lt;="&amp;$S$2))</f>
        <v/>
      </c>
      <c r="K24" s="25" t="str">
        <f>IF($B24="","",SUMIFS(包装物料出入库明细!$J$4:$J$2003,包装物料出入库明细!$E$4:$E$2003,$B24,包装物料出入库明细!$B$4:$B$2003,"&gt;="&amp;$S$1,包装物料出入库明细!$B$4:$B$2003,"&lt;="&amp;$S$2)-$I24-$J24)</f>
        <v/>
      </c>
      <c r="L24" s="25" t="str">
        <f t="shared" si="1"/>
        <v/>
      </c>
      <c r="M24" s="26" t="str">
        <f t="shared" si="2"/>
        <v/>
      </c>
      <c r="N24" s="24" t="str">
        <f>IF($B24="","",IF($L24&lt;=0,"无库存",IF($L24&gt;=基础资料!$S$4,"充足",IF($L24&gt;=基础资料!$S$5,"正常","不足"))))</f>
        <v/>
      </c>
      <c r="O24" s="41"/>
    </row>
    <row r="25" spans="1:15">
      <c r="A25" s="24" t="str">
        <f t="shared" si="0"/>
        <v/>
      </c>
      <c r="B25" s="24" t="str">
        <f>IFERROR(INDEX(_自动清单!$G$4:$G$63,ROW()-3),"")</f>
        <v/>
      </c>
      <c r="C25" s="24" t="str">
        <f>IF($B25="","",IFERROR(IF(INDEX(基础资料!$O$4:$O$103,MATCH($B25,基础资料!$N$4:$N$103,0))="",IFERROR(INDEX(_自动清单!$H$4:$H$63,ROW()-3),""),INDEX(基础资料!$O$4:$O$103,MATCH($B25,基础资料!$N$4:$N$103,0))),IFERROR(INDEX(_自动清单!$H$4:$H$63,ROW()-3),"")))</f>
        <v/>
      </c>
      <c r="D25" s="24" t="str">
        <f>IF($B25="","",IFERROR(IF(INDEX(基础资料!$P$4:$P$103,MATCH($B25,基础资料!$N$4:$N$103,0))="",IFERROR(INDEX(_自动清单!$I$4:$I$63,ROW()-3),""),INDEX(基础资料!$P$4:$P$103,MATCH($B25,基础资料!$N$4:$N$103,0))),IFERROR(INDEX(_自动清单!$I$4:$I$63,ROW()-3),"")))</f>
        <v/>
      </c>
      <c r="E25" s="26" t="str">
        <f>IF($B25="","",IFERROR(ROUND(SUMIFS(包装物料出入库明细!$N$4:$N$2003,包装物料出入库明细!$E$4:$E$2003,$B25,包装物料出入库明细!$H$4:$H$2003,"采购入库",包装物料出入库明细!$B$4:$B$2003,"&gt;="&amp;$S$1,包装物料出入库明细!$B$4:$B$2003,"&lt;="&amp;$S$2)/SUMIFS(包装物料出入库明细!$I$4:$I$2003,包装物料出入库明细!$E$4:$E$2003,$B25,包装物料出入库明细!$H$4:$H$2003,"采购入库",包装物料出入库明细!$B$4:$B$2003,"&gt;="&amp;$S$1,包装物料出入库明细!$B$4:$B$2003,"&lt;="&amp;$S$2),4),0))</f>
        <v/>
      </c>
      <c r="F25" s="25" t="str">
        <f>IF($B25="","",SUMIFS(包装物料出入库明细!$I$4:$I$2003,包装物料出入库明细!$E$4:$E$2003,$B25,包装物料出入库明细!$H$4:$H$2003,"期初库存",包装物料出入库明细!$B$4:$B$2003,"&gt;="&amp;$S$1,包装物料出入库明细!$B$4:$B$2003,"&lt;="&amp;$S$2))</f>
        <v/>
      </c>
      <c r="G25" s="25" t="str">
        <f>IF($B25="","",SUMIFS(包装物料出入库明细!$I$4:$I$2003,包装物料出入库明细!$E$4:$E$2003,$B25,包装物料出入库明细!$H$4:$H$2003,"采购入库",包装物料出入库明细!$B$4:$B$2003,"&gt;="&amp;$S$1,包装物料出入库明细!$B$4:$B$2003,"&lt;="&amp;$S$2))</f>
        <v/>
      </c>
      <c r="H25" s="56" t="str">
        <f>IF($B25="","",SUMIFS(包装物料出入库明细!$K$4:$K$2003,包装物料出入库明细!$E$4:$E$2003,$B25,包装物料出入库明细!$B$4:$B$2003,"&gt;="&amp;$S$1,包装物料出入库明细!$B$4:$B$2003,"&lt;="&amp;$S$2))</f>
        <v/>
      </c>
      <c r="I25" s="25" t="str">
        <f>IF($B25="","",SUMIFS(包装物料出入库明细!$J$4:$J$2003,包装物料出入库明细!$E$4:$E$2003,$B25,包装物料出入库明细!$H$4:$H$2003,"领用出库",包装物料出入库明细!$B$4:$B$2003,"&gt;="&amp;$S$1,包装物料出入库明细!$B$4:$B$2003,"&lt;="&amp;$S$2))</f>
        <v/>
      </c>
      <c r="J25" s="25" t="str">
        <f>IF($B25="","",SUMIFS(包装物料出入库明细!$J$4:$J$2003,包装物料出入库明细!$E$4:$E$2003,$B25,包装物料出入库明细!$H$4:$H$2003,"销售出库",包装物料出入库明细!$B$4:$B$2003,"&gt;="&amp;$S$1,包装物料出入库明细!$B$4:$B$2003,"&lt;="&amp;$S$2))</f>
        <v/>
      </c>
      <c r="K25" s="25" t="str">
        <f>IF($B25="","",SUMIFS(包装物料出入库明细!$J$4:$J$2003,包装物料出入库明细!$E$4:$E$2003,$B25,包装物料出入库明细!$B$4:$B$2003,"&gt;="&amp;$S$1,包装物料出入库明细!$B$4:$B$2003,"&lt;="&amp;$S$2)-$I25-$J25)</f>
        <v/>
      </c>
      <c r="L25" s="25" t="str">
        <f t="shared" si="1"/>
        <v/>
      </c>
      <c r="M25" s="26" t="str">
        <f t="shared" si="2"/>
        <v/>
      </c>
      <c r="N25" s="24" t="str">
        <f>IF($B25="","",IF($L25&lt;=0,"无库存",IF($L25&gt;=基础资料!$S$4,"充足",IF($L25&gt;=基础资料!$S$5,"正常","不足"))))</f>
        <v/>
      </c>
      <c r="O25" s="41"/>
    </row>
    <row r="26" spans="1:15">
      <c r="A26" s="24" t="str">
        <f t="shared" si="0"/>
        <v/>
      </c>
      <c r="B26" s="24" t="str">
        <f>IFERROR(INDEX(_自动清单!$G$4:$G$63,ROW()-3),"")</f>
        <v/>
      </c>
      <c r="C26" s="24" t="str">
        <f>IF($B26="","",IFERROR(IF(INDEX(基础资料!$O$4:$O$103,MATCH($B26,基础资料!$N$4:$N$103,0))="",IFERROR(INDEX(_自动清单!$H$4:$H$63,ROW()-3),""),INDEX(基础资料!$O$4:$O$103,MATCH($B26,基础资料!$N$4:$N$103,0))),IFERROR(INDEX(_自动清单!$H$4:$H$63,ROW()-3),"")))</f>
        <v/>
      </c>
      <c r="D26" s="24" t="str">
        <f>IF($B26="","",IFERROR(IF(INDEX(基础资料!$P$4:$P$103,MATCH($B26,基础资料!$N$4:$N$103,0))="",IFERROR(INDEX(_自动清单!$I$4:$I$63,ROW()-3),""),INDEX(基础资料!$P$4:$P$103,MATCH($B26,基础资料!$N$4:$N$103,0))),IFERROR(INDEX(_自动清单!$I$4:$I$63,ROW()-3),"")))</f>
        <v/>
      </c>
      <c r="E26" s="26" t="str">
        <f>IF($B26="","",IFERROR(ROUND(SUMIFS(包装物料出入库明细!$N$4:$N$2003,包装物料出入库明细!$E$4:$E$2003,$B26,包装物料出入库明细!$H$4:$H$2003,"采购入库",包装物料出入库明细!$B$4:$B$2003,"&gt;="&amp;$S$1,包装物料出入库明细!$B$4:$B$2003,"&lt;="&amp;$S$2)/SUMIFS(包装物料出入库明细!$I$4:$I$2003,包装物料出入库明细!$E$4:$E$2003,$B26,包装物料出入库明细!$H$4:$H$2003,"采购入库",包装物料出入库明细!$B$4:$B$2003,"&gt;="&amp;$S$1,包装物料出入库明细!$B$4:$B$2003,"&lt;="&amp;$S$2),4),0))</f>
        <v/>
      </c>
      <c r="F26" s="25" t="str">
        <f>IF($B26="","",SUMIFS(包装物料出入库明细!$I$4:$I$2003,包装物料出入库明细!$E$4:$E$2003,$B26,包装物料出入库明细!$H$4:$H$2003,"期初库存",包装物料出入库明细!$B$4:$B$2003,"&gt;="&amp;$S$1,包装物料出入库明细!$B$4:$B$2003,"&lt;="&amp;$S$2))</f>
        <v/>
      </c>
      <c r="G26" s="25" t="str">
        <f>IF($B26="","",SUMIFS(包装物料出入库明细!$I$4:$I$2003,包装物料出入库明细!$E$4:$E$2003,$B26,包装物料出入库明细!$H$4:$H$2003,"采购入库",包装物料出入库明细!$B$4:$B$2003,"&gt;="&amp;$S$1,包装物料出入库明细!$B$4:$B$2003,"&lt;="&amp;$S$2))</f>
        <v/>
      </c>
      <c r="H26" s="56" t="str">
        <f>IF($B26="","",SUMIFS(包装物料出入库明细!$K$4:$K$2003,包装物料出入库明细!$E$4:$E$2003,$B26,包装物料出入库明细!$B$4:$B$2003,"&gt;="&amp;$S$1,包装物料出入库明细!$B$4:$B$2003,"&lt;="&amp;$S$2))</f>
        <v/>
      </c>
      <c r="I26" s="25" t="str">
        <f>IF($B26="","",SUMIFS(包装物料出入库明细!$J$4:$J$2003,包装物料出入库明细!$E$4:$E$2003,$B26,包装物料出入库明细!$H$4:$H$2003,"领用出库",包装物料出入库明细!$B$4:$B$2003,"&gt;="&amp;$S$1,包装物料出入库明细!$B$4:$B$2003,"&lt;="&amp;$S$2))</f>
        <v/>
      </c>
      <c r="J26" s="25" t="str">
        <f>IF($B26="","",SUMIFS(包装物料出入库明细!$J$4:$J$2003,包装物料出入库明细!$E$4:$E$2003,$B26,包装物料出入库明细!$H$4:$H$2003,"销售出库",包装物料出入库明细!$B$4:$B$2003,"&gt;="&amp;$S$1,包装物料出入库明细!$B$4:$B$2003,"&lt;="&amp;$S$2))</f>
        <v/>
      </c>
      <c r="K26" s="25" t="str">
        <f>IF($B26="","",SUMIFS(包装物料出入库明细!$J$4:$J$2003,包装物料出入库明细!$E$4:$E$2003,$B26,包装物料出入库明细!$B$4:$B$2003,"&gt;="&amp;$S$1,包装物料出入库明细!$B$4:$B$2003,"&lt;="&amp;$S$2)-$I26-$J26)</f>
        <v/>
      </c>
      <c r="L26" s="25" t="str">
        <f t="shared" si="1"/>
        <v/>
      </c>
      <c r="M26" s="26" t="str">
        <f t="shared" si="2"/>
        <v/>
      </c>
      <c r="N26" s="24" t="str">
        <f>IF($B26="","",IF($L26&lt;=0,"无库存",IF($L26&gt;=基础资料!$S$4,"充足",IF($L26&gt;=基础资料!$S$5,"正常","不足"))))</f>
        <v/>
      </c>
      <c r="O26" s="41"/>
    </row>
    <row r="27" spans="1:15">
      <c r="A27" s="24" t="str">
        <f t="shared" si="0"/>
        <v/>
      </c>
      <c r="B27" s="24" t="str">
        <f>IFERROR(INDEX(_自动清单!$G$4:$G$63,ROW()-3),"")</f>
        <v/>
      </c>
      <c r="C27" s="24" t="str">
        <f>IF($B27="","",IFERROR(IF(INDEX(基础资料!$O$4:$O$103,MATCH($B27,基础资料!$N$4:$N$103,0))="",IFERROR(INDEX(_自动清单!$H$4:$H$63,ROW()-3),""),INDEX(基础资料!$O$4:$O$103,MATCH($B27,基础资料!$N$4:$N$103,0))),IFERROR(INDEX(_自动清单!$H$4:$H$63,ROW()-3),"")))</f>
        <v/>
      </c>
      <c r="D27" s="24" t="str">
        <f>IF($B27="","",IFERROR(IF(INDEX(基础资料!$P$4:$P$103,MATCH($B27,基础资料!$N$4:$N$103,0))="",IFERROR(INDEX(_自动清单!$I$4:$I$63,ROW()-3),""),INDEX(基础资料!$P$4:$P$103,MATCH($B27,基础资料!$N$4:$N$103,0))),IFERROR(INDEX(_自动清单!$I$4:$I$63,ROW()-3),"")))</f>
        <v/>
      </c>
      <c r="E27" s="26" t="str">
        <f>IF($B27="","",IFERROR(ROUND(SUMIFS(包装物料出入库明细!$N$4:$N$2003,包装物料出入库明细!$E$4:$E$2003,$B27,包装物料出入库明细!$H$4:$H$2003,"采购入库",包装物料出入库明细!$B$4:$B$2003,"&gt;="&amp;$S$1,包装物料出入库明细!$B$4:$B$2003,"&lt;="&amp;$S$2)/SUMIFS(包装物料出入库明细!$I$4:$I$2003,包装物料出入库明细!$E$4:$E$2003,$B27,包装物料出入库明细!$H$4:$H$2003,"采购入库",包装物料出入库明细!$B$4:$B$2003,"&gt;="&amp;$S$1,包装物料出入库明细!$B$4:$B$2003,"&lt;="&amp;$S$2),4),0))</f>
        <v/>
      </c>
      <c r="F27" s="25" t="str">
        <f>IF($B27="","",SUMIFS(包装物料出入库明细!$I$4:$I$2003,包装物料出入库明细!$E$4:$E$2003,$B27,包装物料出入库明细!$H$4:$H$2003,"期初库存",包装物料出入库明细!$B$4:$B$2003,"&gt;="&amp;$S$1,包装物料出入库明细!$B$4:$B$2003,"&lt;="&amp;$S$2))</f>
        <v/>
      </c>
      <c r="G27" s="25" t="str">
        <f>IF($B27="","",SUMIFS(包装物料出入库明细!$I$4:$I$2003,包装物料出入库明细!$E$4:$E$2003,$B27,包装物料出入库明细!$H$4:$H$2003,"采购入库",包装物料出入库明细!$B$4:$B$2003,"&gt;="&amp;$S$1,包装物料出入库明细!$B$4:$B$2003,"&lt;="&amp;$S$2))</f>
        <v/>
      </c>
      <c r="H27" s="56" t="str">
        <f>IF($B27="","",SUMIFS(包装物料出入库明细!$K$4:$K$2003,包装物料出入库明细!$E$4:$E$2003,$B27,包装物料出入库明细!$B$4:$B$2003,"&gt;="&amp;$S$1,包装物料出入库明细!$B$4:$B$2003,"&lt;="&amp;$S$2))</f>
        <v/>
      </c>
      <c r="I27" s="25" t="str">
        <f>IF($B27="","",SUMIFS(包装物料出入库明细!$J$4:$J$2003,包装物料出入库明细!$E$4:$E$2003,$B27,包装物料出入库明细!$H$4:$H$2003,"领用出库",包装物料出入库明细!$B$4:$B$2003,"&gt;="&amp;$S$1,包装物料出入库明细!$B$4:$B$2003,"&lt;="&amp;$S$2))</f>
        <v/>
      </c>
      <c r="J27" s="25" t="str">
        <f>IF($B27="","",SUMIFS(包装物料出入库明细!$J$4:$J$2003,包装物料出入库明细!$E$4:$E$2003,$B27,包装物料出入库明细!$H$4:$H$2003,"销售出库",包装物料出入库明细!$B$4:$B$2003,"&gt;="&amp;$S$1,包装物料出入库明细!$B$4:$B$2003,"&lt;="&amp;$S$2))</f>
        <v/>
      </c>
      <c r="K27" s="25" t="str">
        <f>IF($B27="","",SUMIFS(包装物料出入库明细!$J$4:$J$2003,包装物料出入库明细!$E$4:$E$2003,$B27,包装物料出入库明细!$B$4:$B$2003,"&gt;="&amp;$S$1,包装物料出入库明细!$B$4:$B$2003,"&lt;="&amp;$S$2)-$I27-$J27)</f>
        <v/>
      </c>
      <c r="L27" s="25" t="str">
        <f t="shared" si="1"/>
        <v/>
      </c>
      <c r="M27" s="26" t="str">
        <f t="shared" si="2"/>
        <v/>
      </c>
      <c r="N27" s="24" t="str">
        <f>IF($B27="","",IF($L27&lt;=0,"无库存",IF($L27&gt;=基础资料!$S$4,"充足",IF($L27&gt;=基础资料!$S$5,"正常","不足"))))</f>
        <v/>
      </c>
      <c r="O27" s="41"/>
    </row>
    <row r="28" spans="1:15">
      <c r="A28" s="24" t="str">
        <f t="shared" si="0"/>
        <v/>
      </c>
      <c r="B28" s="24" t="str">
        <f>IFERROR(INDEX(_自动清单!$G$4:$G$63,ROW()-3),"")</f>
        <v/>
      </c>
      <c r="C28" s="24" t="str">
        <f>IF($B28="","",IFERROR(IF(INDEX(基础资料!$O$4:$O$103,MATCH($B28,基础资料!$N$4:$N$103,0))="",IFERROR(INDEX(_自动清单!$H$4:$H$63,ROW()-3),""),INDEX(基础资料!$O$4:$O$103,MATCH($B28,基础资料!$N$4:$N$103,0))),IFERROR(INDEX(_自动清单!$H$4:$H$63,ROW()-3),"")))</f>
        <v/>
      </c>
      <c r="D28" s="24" t="str">
        <f>IF($B28="","",IFERROR(IF(INDEX(基础资料!$P$4:$P$103,MATCH($B28,基础资料!$N$4:$N$103,0))="",IFERROR(INDEX(_自动清单!$I$4:$I$63,ROW()-3),""),INDEX(基础资料!$P$4:$P$103,MATCH($B28,基础资料!$N$4:$N$103,0))),IFERROR(INDEX(_自动清单!$I$4:$I$63,ROW()-3),"")))</f>
        <v/>
      </c>
      <c r="E28" s="26" t="str">
        <f>IF($B28="","",IFERROR(ROUND(SUMIFS(包装物料出入库明细!$N$4:$N$2003,包装物料出入库明细!$E$4:$E$2003,$B28,包装物料出入库明细!$H$4:$H$2003,"采购入库",包装物料出入库明细!$B$4:$B$2003,"&gt;="&amp;$S$1,包装物料出入库明细!$B$4:$B$2003,"&lt;="&amp;$S$2)/SUMIFS(包装物料出入库明细!$I$4:$I$2003,包装物料出入库明细!$E$4:$E$2003,$B28,包装物料出入库明细!$H$4:$H$2003,"采购入库",包装物料出入库明细!$B$4:$B$2003,"&gt;="&amp;$S$1,包装物料出入库明细!$B$4:$B$2003,"&lt;="&amp;$S$2),4),0))</f>
        <v/>
      </c>
      <c r="F28" s="25" t="str">
        <f>IF($B28="","",SUMIFS(包装物料出入库明细!$I$4:$I$2003,包装物料出入库明细!$E$4:$E$2003,$B28,包装物料出入库明细!$H$4:$H$2003,"期初库存",包装物料出入库明细!$B$4:$B$2003,"&gt;="&amp;$S$1,包装物料出入库明细!$B$4:$B$2003,"&lt;="&amp;$S$2))</f>
        <v/>
      </c>
      <c r="G28" s="25" t="str">
        <f>IF($B28="","",SUMIFS(包装物料出入库明细!$I$4:$I$2003,包装物料出入库明细!$E$4:$E$2003,$B28,包装物料出入库明细!$H$4:$H$2003,"采购入库",包装物料出入库明细!$B$4:$B$2003,"&gt;="&amp;$S$1,包装物料出入库明细!$B$4:$B$2003,"&lt;="&amp;$S$2))</f>
        <v/>
      </c>
      <c r="H28" s="56" t="str">
        <f>IF($B28="","",SUMIFS(包装物料出入库明细!$K$4:$K$2003,包装物料出入库明细!$E$4:$E$2003,$B28,包装物料出入库明细!$B$4:$B$2003,"&gt;="&amp;$S$1,包装物料出入库明细!$B$4:$B$2003,"&lt;="&amp;$S$2))</f>
        <v/>
      </c>
      <c r="I28" s="25" t="str">
        <f>IF($B28="","",SUMIFS(包装物料出入库明细!$J$4:$J$2003,包装物料出入库明细!$E$4:$E$2003,$B28,包装物料出入库明细!$H$4:$H$2003,"领用出库",包装物料出入库明细!$B$4:$B$2003,"&gt;="&amp;$S$1,包装物料出入库明细!$B$4:$B$2003,"&lt;="&amp;$S$2))</f>
        <v/>
      </c>
      <c r="J28" s="25" t="str">
        <f>IF($B28="","",SUMIFS(包装物料出入库明细!$J$4:$J$2003,包装物料出入库明细!$E$4:$E$2003,$B28,包装物料出入库明细!$H$4:$H$2003,"销售出库",包装物料出入库明细!$B$4:$B$2003,"&gt;="&amp;$S$1,包装物料出入库明细!$B$4:$B$2003,"&lt;="&amp;$S$2))</f>
        <v/>
      </c>
      <c r="K28" s="25" t="str">
        <f>IF($B28="","",SUMIFS(包装物料出入库明细!$J$4:$J$2003,包装物料出入库明细!$E$4:$E$2003,$B28,包装物料出入库明细!$B$4:$B$2003,"&gt;="&amp;$S$1,包装物料出入库明细!$B$4:$B$2003,"&lt;="&amp;$S$2)-$I28-$J28)</f>
        <v/>
      </c>
      <c r="L28" s="25" t="str">
        <f t="shared" si="1"/>
        <v/>
      </c>
      <c r="M28" s="26" t="str">
        <f t="shared" si="2"/>
        <v/>
      </c>
      <c r="N28" s="24" t="str">
        <f>IF($B28="","",IF($L28&lt;=0,"无库存",IF($L28&gt;=基础资料!$S$4,"充足",IF($L28&gt;=基础资料!$S$5,"正常","不足"))))</f>
        <v/>
      </c>
      <c r="O28" s="41"/>
    </row>
    <row r="29" spans="1:15">
      <c r="A29" s="24" t="str">
        <f t="shared" si="0"/>
        <v/>
      </c>
      <c r="B29" s="24" t="str">
        <f>IFERROR(INDEX(_自动清单!$G$4:$G$63,ROW()-3),"")</f>
        <v/>
      </c>
      <c r="C29" s="24" t="str">
        <f>IF($B29="","",IFERROR(IF(INDEX(基础资料!$O$4:$O$103,MATCH($B29,基础资料!$N$4:$N$103,0))="",IFERROR(INDEX(_自动清单!$H$4:$H$63,ROW()-3),""),INDEX(基础资料!$O$4:$O$103,MATCH($B29,基础资料!$N$4:$N$103,0))),IFERROR(INDEX(_自动清单!$H$4:$H$63,ROW()-3),"")))</f>
        <v/>
      </c>
      <c r="D29" s="24" t="str">
        <f>IF($B29="","",IFERROR(IF(INDEX(基础资料!$P$4:$P$103,MATCH($B29,基础资料!$N$4:$N$103,0))="",IFERROR(INDEX(_自动清单!$I$4:$I$63,ROW()-3),""),INDEX(基础资料!$P$4:$P$103,MATCH($B29,基础资料!$N$4:$N$103,0))),IFERROR(INDEX(_自动清单!$I$4:$I$63,ROW()-3),"")))</f>
        <v/>
      </c>
      <c r="E29" s="26" t="str">
        <f>IF($B29="","",IFERROR(ROUND(SUMIFS(包装物料出入库明细!$N$4:$N$2003,包装物料出入库明细!$E$4:$E$2003,$B29,包装物料出入库明细!$H$4:$H$2003,"采购入库",包装物料出入库明细!$B$4:$B$2003,"&gt;="&amp;$S$1,包装物料出入库明细!$B$4:$B$2003,"&lt;="&amp;$S$2)/SUMIFS(包装物料出入库明细!$I$4:$I$2003,包装物料出入库明细!$E$4:$E$2003,$B29,包装物料出入库明细!$H$4:$H$2003,"采购入库",包装物料出入库明细!$B$4:$B$2003,"&gt;="&amp;$S$1,包装物料出入库明细!$B$4:$B$2003,"&lt;="&amp;$S$2),4),0))</f>
        <v/>
      </c>
      <c r="F29" s="25" t="str">
        <f>IF($B29="","",SUMIFS(包装物料出入库明细!$I$4:$I$2003,包装物料出入库明细!$E$4:$E$2003,$B29,包装物料出入库明细!$H$4:$H$2003,"期初库存",包装物料出入库明细!$B$4:$B$2003,"&gt;="&amp;$S$1,包装物料出入库明细!$B$4:$B$2003,"&lt;="&amp;$S$2))</f>
        <v/>
      </c>
      <c r="G29" s="25" t="str">
        <f>IF($B29="","",SUMIFS(包装物料出入库明细!$I$4:$I$2003,包装物料出入库明细!$E$4:$E$2003,$B29,包装物料出入库明细!$H$4:$H$2003,"采购入库",包装物料出入库明细!$B$4:$B$2003,"&gt;="&amp;$S$1,包装物料出入库明细!$B$4:$B$2003,"&lt;="&amp;$S$2))</f>
        <v/>
      </c>
      <c r="H29" s="56" t="str">
        <f>IF($B29="","",SUMIFS(包装物料出入库明细!$K$4:$K$2003,包装物料出入库明细!$E$4:$E$2003,$B29,包装物料出入库明细!$B$4:$B$2003,"&gt;="&amp;$S$1,包装物料出入库明细!$B$4:$B$2003,"&lt;="&amp;$S$2))</f>
        <v/>
      </c>
      <c r="I29" s="25" t="str">
        <f>IF($B29="","",SUMIFS(包装物料出入库明细!$J$4:$J$2003,包装物料出入库明细!$E$4:$E$2003,$B29,包装物料出入库明细!$H$4:$H$2003,"领用出库",包装物料出入库明细!$B$4:$B$2003,"&gt;="&amp;$S$1,包装物料出入库明细!$B$4:$B$2003,"&lt;="&amp;$S$2))</f>
        <v/>
      </c>
      <c r="J29" s="25" t="str">
        <f>IF($B29="","",SUMIFS(包装物料出入库明细!$J$4:$J$2003,包装物料出入库明细!$E$4:$E$2003,$B29,包装物料出入库明细!$H$4:$H$2003,"销售出库",包装物料出入库明细!$B$4:$B$2003,"&gt;="&amp;$S$1,包装物料出入库明细!$B$4:$B$2003,"&lt;="&amp;$S$2))</f>
        <v/>
      </c>
      <c r="K29" s="25" t="str">
        <f>IF($B29="","",SUMIFS(包装物料出入库明细!$J$4:$J$2003,包装物料出入库明细!$E$4:$E$2003,$B29,包装物料出入库明细!$B$4:$B$2003,"&gt;="&amp;$S$1,包装物料出入库明细!$B$4:$B$2003,"&lt;="&amp;$S$2)-$I29-$J29)</f>
        <v/>
      </c>
      <c r="L29" s="25" t="str">
        <f t="shared" si="1"/>
        <v/>
      </c>
      <c r="M29" s="26" t="str">
        <f t="shared" si="2"/>
        <v/>
      </c>
      <c r="N29" s="24" t="str">
        <f>IF($B29="","",IF($L29&lt;=0,"无库存",IF($L29&gt;=基础资料!$S$4,"充足",IF($L29&gt;=基础资料!$S$5,"正常","不足"))))</f>
        <v/>
      </c>
      <c r="O29" s="41"/>
    </row>
    <row r="30" spans="1:15">
      <c r="A30" s="24" t="str">
        <f t="shared" si="0"/>
        <v/>
      </c>
      <c r="B30" s="24" t="str">
        <f>IFERROR(INDEX(_自动清单!$G$4:$G$63,ROW()-3),"")</f>
        <v/>
      </c>
      <c r="C30" s="24" t="str">
        <f>IF($B30="","",IFERROR(IF(INDEX(基础资料!$O$4:$O$103,MATCH($B30,基础资料!$N$4:$N$103,0))="",IFERROR(INDEX(_自动清单!$H$4:$H$63,ROW()-3),""),INDEX(基础资料!$O$4:$O$103,MATCH($B30,基础资料!$N$4:$N$103,0))),IFERROR(INDEX(_自动清单!$H$4:$H$63,ROW()-3),"")))</f>
        <v/>
      </c>
      <c r="D30" s="24" t="str">
        <f>IF($B30="","",IFERROR(IF(INDEX(基础资料!$P$4:$P$103,MATCH($B30,基础资料!$N$4:$N$103,0))="",IFERROR(INDEX(_自动清单!$I$4:$I$63,ROW()-3),""),INDEX(基础资料!$P$4:$P$103,MATCH($B30,基础资料!$N$4:$N$103,0))),IFERROR(INDEX(_自动清单!$I$4:$I$63,ROW()-3),"")))</f>
        <v/>
      </c>
      <c r="E30" s="26" t="str">
        <f>IF($B30="","",IFERROR(ROUND(SUMIFS(包装物料出入库明细!$N$4:$N$2003,包装物料出入库明细!$E$4:$E$2003,$B30,包装物料出入库明细!$H$4:$H$2003,"采购入库",包装物料出入库明细!$B$4:$B$2003,"&gt;="&amp;$S$1,包装物料出入库明细!$B$4:$B$2003,"&lt;="&amp;$S$2)/SUMIFS(包装物料出入库明细!$I$4:$I$2003,包装物料出入库明细!$E$4:$E$2003,$B30,包装物料出入库明细!$H$4:$H$2003,"采购入库",包装物料出入库明细!$B$4:$B$2003,"&gt;="&amp;$S$1,包装物料出入库明细!$B$4:$B$2003,"&lt;="&amp;$S$2),4),0))</f>
        <v/>
      </c>
      <c r="F30" s="25" t="str">
        <f>IF($B30="","",SUMIFS(包装物料出入库明细!$I$4:$I$2003,包装物料出入库明细!$E$4:$E$2003,$B30,包装物料出入库明细!$H$4:$H$2003,"期初库存",包装物料出入库明细!$B$4:$B$2003,"&gt;="&amp;$S$1,包装物料出入库明细!$B$4:$B$2003,"&lt;="&amp;$S$2))</f>
        <v/>
      </c>
      <c r="G30" s="25" t="str">
        <f>IF($B30="","",SUMIFS(包装物料出入库明细!$I$4:$I$2003,包装物料出入库明细!$E$4:$E$2003,$B30,包装物料出入库明细!$H$4:$H$2003,"采购入库",包装物料出入库明细!$B$4:$B$2003,"&gt;="&amp;$S$1,包装物料出入库明细!$B$4:$B$2003,"&lt;="&amp;$S$2))</f>
        <v/>
      </c>
      <c r="H30" s="56" t="str">
        <f>IF($B30="","",SUMIFS(包装物料出入库明细!$K$4:$K$2003,包装物料出入库明细!$E$4:$E$2003,$B30,包装物料出入库明细!$B$4:$B$2003,"&gt;="&amp;$S$1,包装物料出入库明细!$B$4:$B$2003,"&lt;="&amp;$S$2))</f>
        <v/>
      </c>
      <c r="I30" s="25" t="str">
        <f>IF($B30="","",SUMIFS(包装物料出入库明细!$J$4:$J$2003,包装物料出入库明细!$E$4:$E$2003,$B30,包装物料出入库明细!$H$4:$H$2003,"领用出库",包装物料出入库明细!$B$4:$B$2003,"&gt;="&amp;$S$1,包装物料出入库明细!$B$4:$B$2003,"&lt;="&amp;$S$2))</f>
        <v/>
      </c>
      <c r="J30" s="25" t="str">
        <f>IF($B30="","",SUMIFS(包装物料出入库明细!$J$4:$J$2003,包装物料出入库明细!$E$4:$E$2003,$B30,包装物料出入库明细!$H$4:$H$2003,"销售出库",包装物料出入库明细!$B$4:$B$2003,"&gt;="&amp;$S$1,包装物料出入库明细!$B$4:$B$2003,"&lt;="&amp;$S$2))</f>
        <v/>
      </c>
      <c r="K30" s="25" t="str">
        <f>IF($B30="","",SUMIFS(包装物料出入库明细!$J$4:$J$2003,包装物料出入库明细!$E$4:$E$2003,$B30,包装物料出入库明细!$B$4:$B$2003,"&gt;="&amp;$S$1,包装物料出入库明细!$B$4:$B$2003,"&lt;="&amp;$S$2)-$I30-$J30)</f>
        <v/>
      </c>
      <c r="L30" s="25" t="str">
        <f t="shared" si="1"/>
        <v/>
      </c>
      <c r="M30" s="26" t="str">
        <f t="shared" si="2"/>
        <v/>
      </c>
      <c r="N30" s="24" t="str">
        <f>IF($B30="","",IF($L30&lt;=0,"无库存",IF($L30&gt;=基础资料!$S$4,"充足",IF($L30&gt;=基础资料!$S$5,"正常","不足"))))</f>
        <v/>
      </c>
      <c r="O30" s="41"/>
    </row>
    <row r="31" spans="1:15">
      <c r="A31" s="24" t="str">
        <f t="shared" si="0"/>
        <v/>
      </c>
      <c r="B31" s="24" t="str">
        <f>IFERROR(INDEX(_自动清单!$G$4:$G$63,ROW()-3),"")</f>
        <v/>
      </c>
      <c r="C31" s="24" t="str">
        <f>IF($B31="","",IFERROR(IF(INDEX(基础资料!$O$4:$O$103,MATCH($B31,基础资料!$N$4:$N$103,0))="",IFERROR(INDEX(_自动清单!$H$4:$H$63,ROW()-3),""),INDEX(基础资料!$O$4:$O$103,MATCH($B31,基础资料!$N$4:$N$103,0))),IFERROR(INDEX(_自动清单!$H$4:$H$63,ROW()-3),"")))</f>
        <v/>
      </c>
      <c r="D31" s="24" t="str">
        <f>IF($B31="","",IFERROR(IF(INDEX(基础资料!$P$4:$P$103,MATCH($B31,基础资料!$N$4:$N$103,0))="",IFERROR(INDEX(_自动清单!$I$4:$I$63,ROW()-3),""),INDEX(基础资料!$P$4:$P$103,MATCH($B31,基础资料!$N$4:$N$103,0))),IFERROR(INDEX(_自动清单!$I$4:$I$63,ROW()-3),"")))</f>
        <v/>
      </c>
      <c r="E31" s="26" t="str">
        <f>IF($B31="","",IFERROR(ROUND(SUMIFS(包装物料出入库明细!$N$4:$N$2003,包装物料出入库明细!$E$4:$E$2003,$B31,包装物料出入库明细!$H$4:$H$2003,"采购入库",包装物料出入库明细!$B$4:$B$2003,"&gt;="&amp;$S$1,包装物料出入库明细!$B$4:$B$2003,"&lt;="&amp;$S$2)/SUMIFS(包装物料出入库明细!$I$4:$I$2003,包装物料出入库明细!$E$4:$E$2003,$B31,包装物料出入库明细!$H$4:$H$2003,"采购入库",包装物料出入库明细!$B$4:$B$2003,"&gt;="&amp;$S$1,包装物料出入库明细!$B$4:$B$2003,"&lt;="&amp;$S$2),4),0))</f>
        <v/>
      </c>
      <c r="F31" s="25" t="str">
        <f>IF($B31="","",SUMIFS(包装物料出入库明细!$I$4:$I$2003,包装物料出入库明细!$E$4:$E$2003,$B31,包装物料出入库明细!$H$4:$H$2003,"期初库存",包装物料出入库明细!$B$4:$B$2003,"&gt;="&amp;$S$1,包装物料出入库明细!$B$4:$B$2003,"&lt;="&amp;$S$2))</f>
        <v/>
      </c>
      <c r="G31" s="25" t="str">
        <f>IF($B31="","",SUMIFS(包装物料出入库明细!$I$4:$I$2003,包装物料出入库明细!$E$4:$E$2003,$B31,包装物料出入库明细!$H$4:$H$2003,"采购入库",包装物料出入库明细!$B$4:$B$2003,"&gt;="&amp;$S$1,包装物料出入库明细!$B$4:$B$2003,"&lt;="&amp;$S$2))</f>
        <v/>
      </c>
      <c r="H31" s="56" t="str">
        <f>IF($B31="","",SUMIFS(包装物料出入库明细!$K$4:$K$2003,包装物料出入库明细!$E$4:$E$2003,$B31,包装物料出入库明细!$B$4:$B$2003,"&gt;="&amp;$S$1,包装物料出入库明细!$B$4:$B$2003,"&lt;="&amp;$S$2))</f>
        <v/>
      </c>
      <c r="I31" s="25" t="str">
        <f>IF($B31="","",SUMIFS(包装物料出入库明细!$J$4:$J$2003,包装物料出入库明细!$E$4:$E$2003,$B31,包装物料出入库明细!$H$4:$H$2003,"领用出库",包装物料出入库明细!$B$4:$B$2003,"&gt;="&amp;$S$1,包装物料出入库明细!$B$4:$B$2003,"&lt;="&amp;$S$2))</f>
        <v/>
      </c>
      <c r="J31" s="25" t="str">
        <f>IF($B31="","",SUMIFS(包装物料出入库明细!$J$4:$J$2003,包装物料出入库明细!$E$4:$E$2003,$B31,包装物料出入库明细!$H$4:$H$2003,"销售出库",包装物料出入库明细!$B$4:$B$2003,"&gt;="&amp;$S$1,包装物料出入库明细!$B$4:$B$2003,"&lt;="&amp;$S$2))</f>
        <v/>
      </c>
      <c r="K31" s="25" t="str">
        <f>IF($B31="","",SUMIFS(包装物料出入库明细!$J$4:$J$2003,包装物料出入库明细!$E$4:$E$2003,$B31,包装物料出入库明细!$B$4:$B$2003,"&gt;="&amp;$S$1,包装物料出入库明细!$B$4:$B$2003,"&lt;="&amp;$S$2)-$I31-$J31)</f>
        <v/>
      </c>
      <c r="L31" s="25" t="str">
        <f t="shared" si="1"/>
        <v/>
      </c>
      <c r="M31" s="26" t="str">
        <f t="shared" si="2"/>
        <v/>
      </c>
      <c r="N31" s="24" t="str">
        <f>IF($B31="","",IF($L31&lt;=0,"无库存",IF($L31&gt;=基础资料!$S$4,"充足",IF($L31&gt;=基础资料!$S$5,"正常","不足"))))</f>
        <v/>
      </c>
      <c r="O31" s="41"/>
    </row>
    <row r="32" spans="1:15">
      <c r="A32" s="24" t="str">
        <f t="shared" si="0"/>
        <v/>
      </c>
      <c r="B32" s="24" t="str">
        <f>IFERROR(INDEX(_自动清单!$G$4:$G$63,ROW()-3),"")</f>
        <v/>
      </c>
      <c r="C32" s="24" t="str">
        <f>IF($B32="","",IFERROR(IF(INDEX(基础资料!$O$4:$O$103,MATCH($B32,基础资料!$N$4:$N$103,0))="",IFERROR(INDEX(_自动清单!$H$4:$H$63,ROW()-3),""),INDEX(基础资料!$O$4:$O$103,MATCH($B32,基础资料!$N$4:$N$103,0))),IFERROR(INDEX(_自动清单!$H$4:$H$63,ROW()-3),"")))</f>
        <v/>
      </c>
      <c r="D32" s="24" t="str">
        <f>IF($B32="","",IFERROR(IF(INDEX(基础资料!$P$4:$P$103,MATCH($B32,基础资料!$N$4:$N$103,0))="",IFERROR(INDEX(_自动清单!$I$4:$I$63,ROW()-3),""),INDEX(基础资料!$P$4:$P$103,MATCH($B32,基础资料!$N$4:$N$103,0))),IFERROR(INDEX(_自动清单!$I$4:$I$63,ROW()-3),"")))</f>
        <v/>
      </c>
      <c r="E32" s="26" t="str">
        <f>IF($B32="","",IFERROR(ROUND(SUMIFS(包装物料出入库明细!$N$4:$N$2003,包装物料出入库明细!$E$4:$E$2003,$B32,包装物料出入库明细!$H$4:$H$2003,"采购入库",包装物料出入库明细!$B$4:$B$2003,"&gt;="&amp;$S$1,包装物料出入库明细!$B$4:$B$2003,"&lt;="&amp;$S$2)/SUMIFS(包装物料出入库明细!$I$4:$I$2003,包装物料出入库明细!$E$4:$E$2003,$B32,包装物料出入库明细!$H$4:$H$2003,"采购入库",包装物料出入库明细!$B$4:$B$2003,"&gt;="&amp;$S$1,包装物料出入库明细!$B$4:$B$2003,"&lt;="&amp;$S$2),4),0))</f>
        <v/>
      </c>
      <c r="F32" s="25" t="str">
        <f>IF($B32="","",SUMIFS(包装物料出入库明细!$I$4:$I$2003,包装物料出入库明细!$E$4:$E$2003,$B32,包装物料出入库明细!$H$4:$H$2003,"期初库存",包装物料出入库明细!$B$4:$B$2003,"&gt;="&amp;$S$1,包装物料出入库明细!$B$4:$B$2003,"&lt;="&amp;$S$2))</f>
        <v/>
      </c>
      <c r="G32" s="25" t="str">
        <f>IF($B32="","",SUMIFS(包装物料出入库明细!$I$4:$I$2003,包装物料出入库明细!$E$4:$E$2003,$B32,包装物料出入库明细!$H$4:$H$2003,"采购入库",包装物料出入库明细!$B$4:$B$2003,"&gt;="&amp;$S$1,包装物料出入库明细!$B$4:$B$2003,"&lt;="&amp;$S$2))</f>
        <v/>
      </c>
      <c r="H32" s="56" t="str">
        <f>IF($B32="","",SUMIFS(包装物料出入库明细!$K$4:$K$2003,包装物料出入库明细!$E$4:$E$2003,$B32,包装物料出入库明细!$B$4:$B$2003,"&gt;="&amp;$S$1,包装物料出入库明细!$B$4:$B$2003,"&lt;="&amp;$S$2))</f>
        <v/>
      </c>
      <c r="I32" s="25" t="str">
        <f>IF($B32="","",SUMIFS(包装物料出入库明细!$J$4:$J$2003,包装物料出入库明细!$E$4:$E$2003,$B32,包装物料出入库明细!$H$4:$H$2003,"领用出库",包装物料出入库明细!$B$4:$B$2003,"&gt;="&amp;$S$1,包装物料出入库明细!$B$4:$B$2003,"&lt;="&amp;$S$2))</f>
        <v/>
      </c>
      <c r="J32" s="25" t="str">
        <f>IF($B32="","",SUMIFS(包装物料出入库明细!$J$4:$J$2003,包装物料出入库明细!$E$4:$E$2003,$B32,包装物料出入库明细!$H$4:$H$2003,"销售出库",包装物料出入库明细!$B$4:$B$2003,"&gt;="&amp;$S$1,包装物料出入库明细!$B$4:$B$2003,"&lt;="&amp;$S$2))</f>
        <v/>
      </c>
      <c r="K32" s="25" t="str">
        <f>IF($B32="","",SUMIFS(包装物料出入库明细!$J$4:$J$2003,包装物料出入库明细!$E$4:$E$2003,$B32,包装物料出入库明细!$B$4:$B$2003,"&gt;="&amp;$S$1,包装物料出入库明细!$B$4:$B$2003,"&lt;="&amp;$S$2)-$I32-$J32)</f>
        <v/>
      </c>
      <c r="L32" s="25" t="str">
        <f t="shared" si="1"/>
        <v/>
      </c>
      <c r="M32" s="26" t="str">
        <f t="shared" si="2"/>
        <v/>
      </c>
      <c r="N32" s="24" t="str">
        <f>IF($B32="","",IF($L32&lt;=0,"无库存",IF($L32&gt;=基础资料!$S$4,"充足",IF($L32&gt;=基础资料!$S$5,"正常","不足"))))</f>
        <v/>
      </c>
      <c r="O32" s="41"/>
    </row>
    <row r="33" spans="1:15">
      <c r="A33" s="24" t="str">
        <f t="shared" si="0"/>
        <v/>
      </c>
      <c r="B33" s="24" t="str">
        <f>IFERROR(INDEX(_自动清单!$G$4:$G$63,ROW()-3),"")</f>
        <v/>
      </c>
      <c r="C33" s="24" t="str">
        <f>IF($B33="","",IFERROR(IF(INDEX(基础资料!$O$4:$O$103,MATCH($B33,基础资料!$N$4:$N$103,0))="",IFERROR(INDEX(_自动清单!$H$4:$H$63,ROW()-3),""),INDEX(基础资料!$O$4:$O$103,MATCH($B33,基础资料!$N$4:$N$103,0))),IFERROR(INDEX(_自动清单!$H$4:$H$63,ROW()-3),"")))</f>
        <v/>
      </c>
      <c r="D33" s="24" t="str">
        <f>IF($B33="","",IFERROR(IF(INDEX(基础资料!$P$4:$P$103,MATCH($B33,基础资料!$N$4:$N$103,0))="",IFERROR(INDEX(_自动清单!$I$4:$I$63,ROW()-3),""),INDEX(基础资料!$P$4:$P$103,MATCH($B33,基础资料!$N$4:$N$103,0))),IFERROR(INDEX(_自动清单!$I$4:$I$63,ROW()-3),"")))</f>
        <v/>
      </c>
      <c r="E33" s="26" t="str">
        <f>IF($B33="","",IFERROR(ROUND(SUMIFS(包装物料出入库明细!$N$4:$N$2003,包装物料出入库明细!$E$4:$E$2003,$B33,包装物料出入库明细!$H$4:$H$2003,"采购入库",包装物料出入库明细!$B$4:$B$2003,"&gt;="&amp;$S$1,包装物料出入库明细!$B$4:$B$2003,"&lt;="&amp;$S$2)/SUMIFS(包装物料出入库明细!$I$4:$I$2003,包装物料出入库明细!$E$4:$E$2003,$B33,包装物料出入库明细!$H$4:$H$2003,"采购入库",包装物料出入库明细!$B$4:$B$2003,"&gt;="&amp;$S$1,包装物料出入库明细!$B$4:$B$2003,"&lt;="&amp;$S$2),4),0))</f>
        <v/>
      </c>
      <c r="F33" s="25" t="str">
        <f>IF($B33="","",SUMIFS(包装物料出入库明细!$I$4:$I$2003,包装物料出入库明细!$E$4:$E$2003,$B33,包装物料出入库明细!$H$4:$H$2003,"期初库存",包装物料出入库明细!$B$4:$B$2003,"&gt;="&amp;$S$1,包装物料出入库明细!$B$4:$B$2003,"&lt;="&amp;$S$2))</f>
        <v/>
      </c>
      <c r="G33" s="25" t="str">
        <f>IF($B33="","",SUMIFS(包装物料出入库明细!$I$4:$I$2003,包装物料出入库明细!$E$4:$E$2003,$B33,包装物料出入库明细!$H$4:$H$2003,"采购入库",包装物料出入库明细!$B$4:$B$2003,"&gt;="&amp;$S$1,包装物料出入库明细!$B$4:$B$2003,"&lt;="&amp;$S$2))</f>
        <v/>
      </c>
      <c r="H33" s="56" t="str">
        <f>IF($B33="","",SUMIFS(包装物料出入库明细!$K$4:$K$2003,包装物料出入库明细!$E$4:$E$2003,$B33,包装物料出入库明细!$B$4:$B$2003,"&gt;="&amp;$S$1,包装物料出入库明细!$B$4:$B$2003,"&lt;="&amp;$S$2))</f>
        <v/>
      </c>
      <c r="I33" s="25" t="str">
        <f>IF($B33="","",SUMIFS(包装物料出入库明细!$J$4:$J$2003,包装物料出入库明细!$E$4:$E$2003,$B33,包装物料出入库明细!$H$4:$H$2003,"领用出库",包装物料出入库明细!$B$4:$B$2003,"&gt;="&amp;$S$1,包装物料出入库明细!$B$4:$B$2003,"&lt;="&amp;$S$2))</f>
        <v/>
      </c>
      <c r="J33" s="25" t="str">
        <f>IF($B33="","",SUMIFS(包装物料出入库明细!$J$4:$J$2003,包装物料出入库明细!$E$4:$E$2003,$B33,包装物料出入库明细!$H$4:$H$2003,"销售出库",包装物料出入库明细!$B$4:$B$2003,"&gt;="&amp;$S$1,包装物料出入库明细!$B$4:$B$2003,"&lt;="&amp;$S$2))</f>
        <v/>
      </c>
      <c r="K33" s="25" t="str">
        <f>IF($B33="","",SUMIFS(包装物料出入库明细!$J$4:$J$2003,包装物料出入库明细!$E$4:$E$2003,$B33,包装物料出入库明细!$B$4:$B$2003,"&gt;="&amp;$S$1,包装物料出入库明细!$B$4:$B$2003,"&lt;="&amp;$S$2)-$I33-$J33)</f>
        <v/>
      </c>
      <c r="L33" s="25" t="str">
        <f t="shared" si="1"/>
        <v/>
      </c>
      <c r="M33" s="26" t="str">
        <f t="shared" si="2"/>
        <v/>
      </c>
      <c r="N33" s="24" t="str">
        <f>IF($B33="","",IF($L33&lt;=0,"无库存",IF($L33&gt;=基础资料!$S$4,"充足",IF($L33&gt;=基础资料!$S$5,"正常","不足"))))</f>
        <v/>
      </c>
      <c r="O33" s="41"/>
    </row>
    <row r="34" spans="1:15">
      <c r="A34" s="24" t="str">
        <f t="shared" si="0"/>
        <v/>
      </c>
      <c r="B34" s="24" t="str">
        <f>IFERROR(INDEX(_自动清单!$G$4:$G$63,ROW()-3),"")</f>
        <v/>
      </c>
      <c r="C34" s="24" t="str">
        <f>IF($B34="","",IFERROR(IF(INDEX(基础资料!$O$4:$O$103,MATCH($B34,基础资料!$N$4:$N$103,0))="",IFERROR(INDEX(_自动清单!$H$4:$H$63,ROW()-3),""),INDEX(基础资料!$O$4:$O$103,MATCH($B34,基础资料!$N$4:$N$103,0))),IFERROR(INDEX(_自动清单!$H$4:$H$63,ROW()-3),"")))</f>
        <v/>
      </c>
      <c r="D34" s="24" t="str">
        <f>IF($B34="","",IFERROR(IF(INDEX(基础资料!$P$4:$P$103,MATCH($B34,基础资料!$N$4:$N$103,0))="",IFERROR(INDEX(_自动清单!$I$4:$I$63,ROW()-3),""),INDEX(基础资料!$P$4:$P$103,MATCH($B34,基础资料!$N$4:$N$103,0))),IFERROR(INDEX(_自动清单!$I$4:$I$63,ROW()-3),"")))</f>
        <v/>
      </c>
      <c r="E34" s="26" t="str">
        <f>IF($B34="","",IFERROR(ROUND(SUMIFS(包装物料出入库明细!$N$4:$N$2003,包装物料出入库明细!$E$4:$E$2003,$B34,包装物料出入库明细!$H$4:$H$2003,"采购入库",包装物料出入库明细!$B$4:$B$2003,"&gt;="&amp;$S$1,包装物料出入库明细!$B$4:$B$2003,"&lt;="&amp;$S$2)/SUMIFS(包装物料出入库明细!$I$4:$I$2003,包装物料出入库明细!$E$4:$E$2003,$B34,包装物料出入库明细!$H$4:$H$2003,"采购入库",包装物料出入库明细!$B$4:$B$2003,"&gt;="&amp;$S$1,包装物料出入库明细!$B$4:$B$2003,"&lt;="&amp;$S$2),4),0))</f>
        <v/>
      </c>
      <c r="F34" s="25" t="str">
        <f>IF($B34="","",SUMIFS(包装物料出入库明细!$I$4:$I$2003,包装物料出入库明细!$E$4:$E$2003,$B34,包装物料出入库明细!$H$4:$H$2003,"期初库存",包装物料出入库明细!$B$4:$B$2003,"&gt;="&amp;$S$1,包装物料出入库明细!$B$4:$B$2003,"&lt;="&amp;$S$2))</f>
        <v/>
      </c>
      <c r="G34" s="25" t="str">
        <f>IF($B34="","",SUMIFS(包装物料出入库明细!$I$4:$I$2003,包装物料出入库明细!$E$4:$E$2003,$B34,包装物料出入库明细!$H$4:$H$2003,"采购入库",包装物料出入库明细!$B$4:$B$2003,"&gt;="&amp;$S$1,包装物料出入库明细!$B$4:$B$2003,"&lt;="&amp;$S$2))</f>
        <v/>
      </c>
      <c r="H34" s="56" t="str">
        <f>IF($B34="","",SUMIFS(包装物料出入库明细!$K$4:$K$2003,包装物料出入库明细!$E$4:$E$2003,$B34,包装物料出入库明细!$B$4:$B$2003,"&gt;="&amp;$S$1,包装物料出入库明细!$B$4:$B$2003,"&lt;="&amp;$S$2))</f>
        <v/>
      </c>
      <c r="I34" s="25" t="str">
        <f>IF($B34="","",SUMIFS(包装物料出入库明细!$J$4:$J$2003,包装物料出入库明细!$E$4:$E$2003,$B34,包装物料出入库明细!$H$4:$H$2003,"领用出库",包装物料出入库明细!$B$4:$B$2003,"&gt;="&amp;$S$1,包装物料出入库明细!$B$4:$B$2003,"&lt;="&amp;$S$2))</f>
        <v/>
      </c>
      <c r="J34" s="25" t="str">
        <f>IF($B34="","",SUMIFS(包装物料出入库明细!$J$4:$J$2003,包装物料出入库明细!$E$4:$E$2003,$B34,包装物料出入库明细!$H$4:$H$2003,"销售出库",包装物料出入库明细!$B$4:$B$2003,"&gt;="&amp;$S$1,包装物料出入库明细!$B$4:$B$2003,"&lt;="&amp;$S$2))</f>
        <v/>
      </c>
      <c r="K34" s="25" t="str">
        <f>IF($B34="","",SUMIFS(包装物料出入库明细!$J$4:$J$2003,包装物料出入库明细!$E$4:$E$2003,$B34,包装物料出入库明细!$B$4:$B$2003,"&gt;="&amp;$S$1,包装物料出入库明细!$B$4:$B$2003,"&lt;="&amp;$S$2)-$I34-$J34)</f>
        <v/>
      </c>
      <c r="L34" s="25" t="str">
        <f t="shared" si="1"/>
        <v/>
      </c>
      <c r="M34" s="26" t="str">
        <f t="shared" si="2"/>
        <v/>
      </c>
      <c r="N34" s="24" t="str">
        <f>IF($B34="","",IF($L34&lt;=0,"无库存",IF($L34&gt;=基础资料!$S$4,"充足",IF($L34&gt;=基础资料!$S$5,"正常","不足"))))</f>
        <v/>
      </c>
      <c r="O34" s="41"/>
    </row>
    <row r="35" spans="1:15">
      <c r="A35" s="24" t="str">
        <f t="shared" si="0"/>
        <v/>
      </c>
      <c r="B35" s="24" t="str">
        <f>IFERROR(INDEX(_自动清单!$G$4:$G$63,ROW()-3),"")</f>
        <v/>
      </c>
      <c r="C35" s="24" t="str">
        <f>IF($B35="","",IFERROR(IF(INDEX(基础资料!$O$4:$O$103,MATCH($B35,基础资料!$N$4:$N$103,0))="",IFERROR(INDEX(_自动清单!$H$4:$H$63,ROW()-3),""),INDEX(基础资料!$O$4:$O$103,MATCH($B35,基础资料!$N$4:$N$103,0))),IFERROR(INDEX(_自动清单!$H$4:$H$63,ROW()-3),"")))</f>
        <v/>
      </c>
      <c r="D35" s="24" t="str">
        <f>IF($B35="","",IFERROR(IF(INDEX(基础资料!$P$4:$P$103,MATCH($B35,基础资料!$N$4:$N$103,0))="",IFERROR(INDEX(_自动清单!$I$4:$I$63,ROW()-3),""),INDEX(基础资料!$P$4:$P$103,MATCH($B35,基础资料!$N$4:$N$103,0))),IFERROR(INDEX(_自动清单!$I$4:$I$63,ROW()-3),"")))</f>
        <v/>
      </c>
      <c r="E35" s="26" t="str">
        <f>IF($B35="","",IFERROR(ROUND(SUMIFS(包装物料出入库明细!$N$4:$N$2003,包装物料出入库明细!$E$4:$E$2003,$B35,包装物料出入库明细!$H$4:$H$2003,"采购入库",包装物料出入库明细!$B$4:$B$2003,"&gt;="&amp;$S$1,包装物料出入库明细!$B$4:$B$2003,"&lt;="&amp;$S$2)/SUMIFS(包装物料出入库明细!$I$4:$I$2003,包装物料出入库明细!$E$4:$E$2003,$B35,包装物料出入库明细!$H$4:$H$2003,"采购入库",包装物料出入库明细!$B$4:$B$2003,"&gt;="&amp;$S$1,包装物料出入库明细!$B$4:$B$2003,"&lt;="&amp;$S$2),4),0))</f>
        <v/>
      </c>
      <c r="F35" s="25" t="str">
        <f>IF($B35="","",SUMIFS(包装物料出入库明细!$I$4:$I$2003,包装物料出入库明细!$E$4:$E$2003,$B35,包装物料出入库明细!$H$4:$H$2003,"期初库存",包装物料出入库明细!$B$4:$B$2003,"&gt;="&amp;$S$1,包装物料出入库明细!$B$4:$B$2003,"&lt;="&amp;$S$2))</f>
        <v/>
      </c>
      <c r="G35" s="25" t="str">
        <f>IF($B35="","",SUMIFS(包装物料出入库明细!$I$4:$I$2003,包装物料出入库明细!$E$4:$E$2003,$B35,包装物料出入库明细!$H$4:$H$2003,"采购入库",包装物料出入库明细!$B$4:$B$2003,"&gt;="&amp;$S$1,包装物料出入库明细!$B$4:$B$2003,"&lt;="&amp;$S$2))</f>
        <v/>
      </c>
      <c r="H35" s="56" t="str">
        <f>IF($B35="","",SUMIFS(包装物料出入库明细!$K$4:$K$2003,包装物料出入库明细!$E$4:$E$2003,$B35,包装物料出入库明细!$B$4:$B$2003,"&gt;="&amp;$S$1,包装物料出入库明细!$B$4:$B$2003,"&lt;="&amp;$S$2))</f>
        <v/>
      </c>
      <c r="I35" s="25" t="str">
        <f>IF($B35="","",SUMIFS(包装物料出入库明细!$J$4:$J$2003,包装物料出入库明细!$E$4:$E$2003,$B35,包装物料出入库明细!$H$4:$H$2003,"领用出库",包装物料出入库明细!$B$4:$B$2003,"&gt;="&amp;$S$1,包装物料出入库明细!$B$4:$B$2003,"&lt;="&amp;$S$2))</f>
        <v/>
      </c>
      <c r="J35" s="25" t="str">
        <f>IF($B35="","",SUMIFS(包装物料出入库明细!$J$4:$J$2003,包装物料出入库明细!$E$4:$E$2003,$B35,包装物料出入库明细!$H$4:$H$2003,"销售出库",包装物料出入库明细!$B$4:$B$2003,"&gt;="&amp;$S$1,包装物料出入库明细!$B$4:$B$2003,"&lt;="&amp;$S$2))</f>
        <v/>
      </c>
      <c r="K35" s="25" t="str">
        <f>IF($B35="","",SUMIFS(包装物料出入库明细!$J$4:$J$2003,包装物料出入库明细!$E$4:$E$2003,$B35,包装物料出入库明细!$B$4:$B$2003,"&gt;="&amp;$S$1,包装物料出入库明细!$B$4:$B$2003,"&lt;="&amp;$S$2)-$I35-$J35)</f>
        <v/>
      </c>
      <c r="L35" s="25" t="str">
        <f t="shared" si="1"/>
        <v/>
      </c>
      <c r="M35" s="26" t="str">
        <f t="shared" si="2"/>
        <v/>
      </c>
      <c r="N35" s="24" t="str">
        <f>IF($B35="","",IF($L35&lt;=0,"无库存",IF($L35&gt;=基础资料!$S$4,"充足",IF($L35&gt;=基础资料!$S$5,"正常","不足"))))</f>
        <v/>
      </c>
      <c r="O35" s="41"/>
    </row>
    <row r="36" spans="1:15">
      <c r="A36" s="24" t="str">
        <f t="shared" si="0"/>
        <v/>
      </c>
      <c r="B36" s="24" t="str">
        <f>IFERROR(INDEX(_自动清单!$G$4:$G$63,ROW()-3),"")</f>
        <v/>
      </c>
      <c r="C36" s="24" t="str">
        <f>IF($B36="","",IFERROR(IF(INDEX(基础资料!$O$4:$O$103,MATCH($B36,基础资料!$N$4:$N$103,0))="",IFERROR(INDEX(_自动清单!$H$4:$H$63,ROW()-3),""),INDEX(基础资料!$O$4:$O$103,MATCH($B36,基础资料!$N$4:$N$103,0))),IFERROR(INDEX(_自动清单!$H$4:$H$63,ROW()-3),"")))</f>
        <v/>
      </c>
      <c r="D36" s="24" t="str">
        <f>IF($B36="","",IFERROR(IF(INDEX(基础资料!$P$4:$P$103,MATCH($B36,基础资料!$N$4:$N$103,0))="",IFERROR(INDEX(_自动清单!$I$4:$I$63,ROW()-3),""),INDEX(基础资料!$P$4:$P$103,MATCH($B36,基础资料!$N$4:$N$103,0))),IFERROR(INDEX(_自动清单!$I$4:$I$63,ROW()-3),"")))</f>
        <v/>
      </c>
      <c r="E36" s="26" t="str">
        <f>IF($B36="","",IFERROR(ROUND(SUMIFS(包装物料出入库明细!$N$4:$N$2003,包装物料出入库明细!$E$4:$E$2003,$B36,包装物料出入库明细!$H$4:$H$2003,"采购入库",包装物料出入库明细!$B$4:$B$2003,"&gt;="&amp;$S$1,包装物料出入库明细!$B$4:$B$2003,"&lt;="&amp;$S$2)/SUMIFS(包装物料出入库明细!$I$4:$I$2003,包装物料出入库明细!$E$4:$E$2003,$B36,包装物料出入库明细!$H$4:$H$2003,"采购入库",包装物料出入库明细!$B$4:$B$2003,"&gt;="&amp;$S$1,包装物料出入库明细!$B$4:$B$2003,"&lt;="&amp;$S$2),4),0))</f>
        <v/>
      </c>
      <c r="F36" s="25" t="str">
        <f>IF($B36="","",SUMIFS(包装物料出入库明细!$I$4:$I$2003,包装物料出入库明细!$E$4:$E$2003,$B36,包装物料出入库明细!$H$4:$H$2003,"期初库存",包装物料出入库明细!$B$4:$B$2003,"&gt;="&amp;$S$1,包装物料出入库明细!$B$4:$B$2003,"&lt;="&amp;$S$2))</f>
        <v/>
      </c>
      <c r="G36" s="25" t="str">
        <f>IF($B36="","",SUMIFS(包装物料出入库明细!$I$4:$I$2003,包装物料出入库明细!$E$4:$E$2003,$B36,包装物料出入库明细!$H$4:$H$2003,"采购入库",包装物料出入库明细!$B$4:$B$2003,"&gt;="&amp;$S$1,包装物料出入库明细!$B$4:$B$2003,"&lt;="&amp;$S$2))</f>
        <v/>
      </c>
      <c r="H36" s="56" t="str">
        <f>IF($B36="","",SUMIFS(包装物料出入库明细!$K$4:$K$2003,包装物料出入库明细!$E$4:$E$2003,$B36,包装物料出入库明细!$B$4:$B$2003,"&gt;="&amp;$S$1,包装物料出入库明细!$B$4:$B$2003,"&lt;="&amp;$S$2))</f>
        <v/>
      </c>
      <c r="I36" s="25" t="str">
        <f>IF($B36="","",SUMIFS(包装物料出入库明细!$J$4:$J$2003,包装物料出入库明细!$E$4:$E$2003,$B36,包装物料出入库明细!$H$4:$H$2003,"领用出库",包装物料出入库明细!$B$4:$B$2003,"&gt;="&amp;$S$1,包装物料出入库明细!$B$4:$B$2003,"&lt;="&amp;$S$2))</f>
        <v/>
      </c>
      <c r="J36" s="25" t="str">
        <f>IF($B36="","",SUMIFS(包装物料出入库明细!$J$4:$J$2003,包装物料出入库明细!$E$4:$E$2003,$B36,包装物料出入库明细!$H$4:$H$2003,"销售出库",包装物料出入库明细!$B$4:$B$2003,"&gt;="&amp;$S$1,包装物料出入库明细!$B$4:$B$2003,"&lt;="&amp;$S$2))</f>
        <v/>
      </c>
      <c r="K36" s="25" t="str">
        <f>IF($B36="","",SUMIFS(包装物料出入库明细!$J$4:$J$2003,包装物料出入库明细!$E$4:$E$2003,$B36,包装物料出入库明细!$B$4:$B$2003,"&gt;="&amp;$S$1,包装物料出入库明细!$B$4:$B$2003,"&lt;="&amp;$S$2)-$I36-$J36)</f>
        <v/>
      </c>
      <c r="L36" s="25" t="str">
        <f t="shared" si="1"/>
        <v/>
      </c>
      <c r="M36" s="26" t="str">
        <f t="shared" si="2"/>
        <v/>
      </c>
      <c r="N36" s="24" t="str">
        <f>IF($B36="","",IF($L36&lt;=0,"无库存",IF($L36&gt;=基础资料!$S$4,"充足",IF($L36&gt;=基础资料!$S$5,"正常","不足"))))</f>
        <v/>
      </c>
      <c r="O36" s="41"/>
    </row>
    <row r="37" spans="1:15">
      <c r="A37" s="24" t="str">
        <f t="shared" si="0"/>
        <v/>
      </c>
      <c r="B37" s="24" t="str">
        <f>IFERROR(INDEX(_自动清单!$G$4:$G$63,ROW()-3),"")</f>
        <v/>
      </c>
      <c r="C37" s="24" t="str">
        <f>IF($B37="","",IFERROR(IF(INDEX(基础资料!$O$4:$O$103,MATCH($B37,基础资料!$N$4:$N$103,0))="",IFERROR(INDEX(_自动清单!$H$4:$H$63,ROW()-3),""),INDEX(基础资料!$O$4:$O$103,MATCH($B37,基础资料!$N$4:$N$103,0))),IFERROR(INDEX(_自动清单!$H$4:$H$63,ROW()-3),"")))</f>
        <v/>
      </c>
      <c r="D37" s="24" t="str">
        <f>IF($B37="","",IFERROR(IF(INDEX(基础资料!$P$4:$P$103,MATCH($B37,基础资料!$N$4:$N$103,0))="",IFERROR(INDEX(_自动清单!$I$4:$I$63,ROW()-3),""),INDEX(基础资料!$P$4:$P$103,MATCH($B37,基础资料!$N$4:$N$103,0))),IFERROR(INDEX(_自动清单!$I$4:$I$63,ROW()-3),"")))</f>
        <v/>
      </c>
      <c r="E37" s="26" t="str">
        <f>IF($B37="","",IFERROR(ROUND(SUMIFS(包装物料出入库明细!$N$4:$N$2003,包装物料出入库明细!$E$4:$E$2003,$B37,包装物料出入库明细!$H$4:$H$2003,"采购入库",包装物料出入库明细!$B$4:$B$2003,"&gt;="&amp;$S$1,包装物料出入库明细!$B$4:$B$2003,"&lt;="&amp;$S$2)/SUMIFS(包装物料出入库明细!$I$4:$I$2003,包装物料出入库明细!$E$4:$E$2003,$B37,包装物料出入库明细!$H$4:$H$2003,"采购入库",包装物料出入库明细!$B$4:$B$2003,"&gt;="&amp;$S$1,包装物料出入库明细!$B$4:$B$2003,"&lt;="&amp;$S$2),4),0))</f>
        <v/>
      </c>
      <c r="F37" s="25" t="str">
        <f>IF($B37="","",SUMIFS(包装物料出入库明细!$I$4:$I$2003,包装物料出入库明细!$E$4:$E$2003,$B37,包装物料出入库明细!$H$4:$H$2003,"期初库存",包装物料出入库明细!$B$4:$B$2003,"&gt;="&amp;$S$1,包装物料出入库明细!$B$4:$B$2003,"&lt;="&amp;$S$2))</f>
        <v/>
      </c>
      <c r="G37" s="25" t="str">
        <f>IF($B37="","",SUMIFS(包装物料出入库明细!$I$4:$I$2003,包装物料出入库明细!$E$4:$E$2003,$B37,包装物料出入库明细!$H$4:$H$2003,"采购入库",包装物料出入库明细!$B$4:$B$2003,"&gt;="&amp;$S$1,包装物料出入库明细!$B$4:$B$2003,"&lt;="&amp;$S$2))</f>
        <v/>
      </c>
      <c r="H37" s="56" t="str">
        <f>IF($B37="","",SUMIFS(包装物料出入库明细!$K$4:$K$2003,包装物料出入库明细!$E$4:$E$2003,$B37,包装物料出入库明细!$B$4:$B$2003,"&gt;="&amp;$S$1,包装物料出入库明细!$B$4:$B$2003,"&lt;="&amp;$S$2))</f>
        <v/>
      </c>
      <c r="I37" s="25" t="str">
        <f>IF($B37="","",SUMIFS(包装物料出入库明细!$J$4:$J$2003,包装物料出入库明细!$E$4:$E$2003,$B37,包装物料出入库明细!$H$4:$H$2003,"领用出库",包装物料出入库明细!$B$4:$B$2003,"&gt;="&amp;$S$1,包装物料出入库明细!$B$4:$B$2003,"&lt;="&amp;$S$2))</f>
        <v/>
      </c>
      <c r="J37" s="25" t="str">
        <f>IF($B37="","",SUMIFS(包装物料出入库明细!$J$4:$J$2003,包装物料出入库明细!$E$4:$E$2003,$B37,包装物料出入库明细!$H$4:$H$2003,"销售出库",包装物料出入库明细!$B$4:$B$2003,"&gt;="&amp;$S$1,包装物料出入库明细!$B$4:$B$2003,"&lt;="&amp;$S$2))</f>
        <v/>
      </c>
      <c r="K37" s="25" t="str">
        <f>IF($B37="","",SUMIFS(包装物料出入库明细!$J$4:$J$2003,包装物料出入库明细!$E$4:$E$2003,$B37,包装物料出入库明细!$B$4:$B$2003,"&gt;="&amp;$S$1,包装物料出入库明细!$B$4:$B$2003,"&lt;="&amp;$S$2)-$I37-$J37)</f>
        <v/>
      </c>
      <c r="L37" s="25" t="str">
        <f t="shared" si="1"/>
        <v/>
      </c>
      <c r="M37" s="26" t="str">
        <f t="shared" si="2"/>
        <v/>
      </c>
      <c r="N37" s="24" t="str">
        <f>IF($B37="","",IF($L37&lt;=0,"无库存",IF($L37&gt;=基础资料!$S$4,"充足",IF($L37&gt;=基础资料!$S$5,"正常","不足"))))</f>
        <v/>
      </c>
      <c r="O37" s="41"/>
    </row>
    <row r="38" spans="1:15">
      <c r="A38" s="24" t="str">
        <f t="shared" si="0"/>
        <v/>
      </c>
      <c r="B38" s="24" t="str">
        <f>IFERROR(INDEX(_自动清单!$G$4:$G$63,ROW()-3),"")</f>
        <v/>
      </c>
      <c r="C38" s="24" t="str">
        <f>IF($B38="","",IFERROR(IF(INDEX(基础资料!$O$4:$O$103,MATCH($B38,基础资料!$N$4:$N$103,0))="",IFERROR(INDEX(_自动清单!$H$4:$H$63,ROW()-3),""),INDEX(基础资料!$O$4:$O$103,MATCH($B38,基础资料!$N$4:$N$103,0))),IFERROR(INDEX(_自动清单!$H$4:$H$63,ROW()-3),"")))</f>
        <v/>
      </c>
      <c r="D38" s="24" t="str">
        <f>IF($B38="","",IFERROR(IF(INDEX(基础资料!$P$4:$P$103,MATCH($B38,基础资料!$N$4:$N$103,0))="",IFERROR(INDEX(_自动清单!$I$4:$I$63,ROW()-3),""),INDEX(基础资料!$P$4:$P$103,MATCH($B38,基础资料!$N$4:$N$103,0))),IFERROR(INDEX(_自动清单!$I$4:$I$63,ROW()-3),"")))</f>
        <v/>
      </c>
      <c r="E38" s="26" t="str">
        <f>IF($B38="","",IFERROR(ROUND(SUMIFS(包装物料出入库明细!$N$4:$N$2003,包装物料出入库明细!$E$4:$E$2003,$B38,包装物料出入库明细!$H$4:$H$2003,"采购入库",包装物料出入库明细!$B$4:$B$2003,"&gt;="&amp;$S$1,包装物料出入库明细!$B$4:$B$2003,"&lt;="&amp;$S$2)/SUMIFS(包装物料出入库明细!$I$4:$I$2003,包装物料出入库明细!$E$4:$E$2003,$B38,包装物料出入库明细!$H$4:$H$2003,"采购入库",包装物料出入库明细!$B$4:$B$2003,"&gt;="&amp;$S$1,包装物料出入库明细!$B$4:$B$2003,"&lt;="&amp;$S$2),4),0))</f>
        <v/>
      </c>
      <c r="F38" s="25" t="str">
        <f>IF($B38="","",SUMIFS(包装物料出入库明细!$I$4:$I$2003,包装物料出入库明细!$E$4:$E$2003,$B38,包装物料出入库明细!$H$4:$H$2003,"期初库存",包装物料出入库明细!$B$4:$B$2003,"&gt;="&amp;$S$1,包装物料出入库明细!$B$4:$B$2003,"&lt;="&amp;$S$2))</f>
        <v/>
      </c>
      <c r="G38" s="25" t="str">
        <f>IF($B38="","",SUMIFS(包装物料出入库明细!$I$4:$I$2003,包装物料出入库明细!$E$4:$E$2003,$B38,包装物料出入库明细!$H$4:$H$2003,"采购入库",包装物料出入库明细!$B$4:$B$2003,"&gt;="&amp;$S$1,包装物料出入库明细!$B$4:$B$2003,"&lt;="&amp;$S$2))</f>
        <v/>
      </c>
      <c r="H38" s="56" t="str">
        <f>IF($B38="","",SUMIFS(包装物料出入库明细!$K$4:$K$2003,包装物料出入库明细!$E$4:$E$2003,$B38,包装物料出入库明细!$B$4:$B$2003,"&gt;="&amp;$S$1,包装物料出入库明细!$B$4:$B$2003,"&lt;="&amp;$S$2))</f>
        <v/>
      </c>
      <c r="I38" s="25" t="str">
        <f>IF($B38="","",SUMIFS(包装物料出入库明细!$J$4:$J$2003,包装物料出入库明细!$E$4:$E$2003,$B38,包装物料出入库明细!$H$4:$H$2003,"领用出库",包装物料出入库明细!$B$4:$B$2003,"&gt;="&amp;$S$1,包装物料出入库明细!$B$4:$B$2003,"&lt;="&amp;$S$2))</f>
        <v/>
      </c>
      <c r="J38" s="25" t="str">
        <f>IF($B38="","",SUMIFS(包装物料出入库明细!$J$4:$J$2003,包装物料出入库明细!$E$4:$E$2003,$B38,包装物料出入库明细!$H$4:$H$2003,"销售出库",包装物料出入库明细!$B$4:$B$2003,"&gt;="&amp;$S$1,包装物料出入库明细!$B$4:$B$2003,"&lt;="&amp;$S$2))</f>
        <v/>
      </c>
      <c r="K38" s="25" t="str">
        <f>IF($B38="","",SUMIFS(包装物料出入库明细!$J$4:$J$2003,包装物料出入库明细!$E$4:$E$2003,$B38,包装物料出入库明细!$B$4:$B$2003,"&gt;="&amp;$S$1,包装物料出入库明细!$B$4:$B$2003,"&lt;="&amp;$S$2)-$I38-$J38)</f>
        <v/>
      </c>
      <c r="L38" s="25" t="str">
        <f t="shared" si="1"/>
        <v/>
      </c>
      <c r="M38" s="26" t="str">
        <f t="shared" si="2"/>
        <v/>
      </c>
      <c r="N38" s="24" t="str">
        <f>IF($B38="","",IF($L38&lt;=0,"无库存",IF($L38&gt;=基础资料!$S$4,"充足",IF($L38&gt;=基础资料!$S$5,"正常","不足"))))</f>
        <v/>
      </c>
      <c r="O38" s="41"/>
    </row>
    <row r="39" spans="1:15">
      <c r="A39" s="24" t="str">
        <f t="shared" si="0"/>
        <v/>
      </c>
      <c r="B39" s="24" t="str">
        <f>IFERROR(INDEX(_自动清单!$G$4:$G$63,ROW()-3),"")</f>
        <v/>
      </c>
      <c r="C39" s="24" t="str">
        <f>IF($B39="","",IFERROR(IF(INDEX(基础资料!$O$4:$O$103,MATCH($B39,基础资料!$N$4:$N$103,0))="",IFERROR(INDEX(_自动清单!$H$4:$H$63,ROW()-3),""),INDEX(基础资料!$O$4:$O$103,MATCH($B39,基础资料!$N$4:$N$103,0))),IFERROR(INDEX(_自动清单!$H$4:$H$63,ROW()-3),"")))</f>
        <v/>
      </c>
      <c r="D39" s="24" t="str">
        <f>IF($B39="","",IFERROR(IF(INDEX(基础资料!$P$4:$P$103,MATCH($B39,基础资料!$N$4:$N$103,0))="",IFERROR(INDEX(_自动清单!$I$4:$I$63,ROW()-3),""),INDEX(基础资料!$P$4:$P$103,MATCH($B39,基础资料!$N$4:$N$103,0))),IFERROR(INDEX(_自动清单!$I$4:$I$63,ROW()-3),"")))</f>
        <v/>
      </c>
      <c r="E39" s="26" t="str">
        <f>IF($B39="","",IFERROR(ROUND(SUMIFS(包装物料出入库明细!$N$4:$N$2003,包装物料出入库明细!$E$4:$E$2003,$B39,包装物料出入库明细!$H$4:$H$2003,"采购入库",包装物料出入库明细!$B$4:$B$2003,"&gt;="&amp;$S$1,包装物料出入库明细!$B$4:$B$2003,"&lt;="&amp;$S$2)/SUMIFS(包装物料出入库明细!$I$4:$I$2003,包装物料出入库明细!$E$4:$E$2003,$B39,包装物料出入库明细!$H$4:$H$2003,"采购入库",包装物料出入库明细!$B$4:$B$2003,"&gt;="&amp;$S$1,包装物料出入库明细!$B$4:$B$2003,"&lt;="&amp;$S$2),4),0))</f>
        <v/>
      </c>
      <c r="F39" s="25" t="str">
        <f>IF($B39="","",SUMIFS(包装物料出入库明细!$I$4:$I$2003,包装物料出入库明细!$E$4:$E$2003,$B39,包装物料出入库明细!$H$4:$H$2003,"期初库存",包装物料出入库明细!$B$4:$B$2003,"&gt;="&amp;$S$1,包装物料出入库明细!$B$4:$B$2003,"&lt;="&amp;$S$2))</f>
        <v/>
      </c>
      <c r="G39" s="25" t="str">
        <f>IF($B39="","",SUMIFS(包装物料出入库明细!$I$4:$I$2003,包装物料出入库明细!$E$4:$E$2003,$B39,包装物料出入库明细!$H$4:$H$2003,"采购入库",包装物料出入库明细!$B$4:$B$2003,"&gt;="&amp;$S$1,包装物料出入库明细!$B$4:$B$2003,"&lt;="&amp;$S$2))</f>
        <v/>
      </c>
      <c r="H39" s="56" t="str">
        <f>IF($B39="","",SUMIFS(包装物料出入库明细!$K$4:$K$2003,包装物料出入库明细!$E$4:$E$2003,$B39,包装物料出入库明细!$B$4:$B$2003,"&gt;="&amp;$S$1,包装物料出入库明细!$B$4:$B$2003,"&lt;="&amp;$S$2))</f>
        <v/>
      </c>
      <c r="I39" s="25" t="str">
        <f>IF($B39="","",SUMIFS(包装物料出入库明细!$J$4:$J$2003,包装物料出入库明细!$E$4:$E$2003,$B39,包装物料出入库明细!$H$4:$H$2003,"领用出库",包装物料出入库明细!$B$4:$B$2003,"&gt;="&amp;$S$1,包装物料出入库明细!$B$4:$B$2003,"&lt;="&amp;$S$2))</f>
        <v/>
      </c>
      <c r="J39" s="25" t="str">
        <f>IF($B39="","",SUMIFS(包装物料出入库明细!$J$4:$J$2003,包装物料出入库明细!$E$4:$E$2003,$B39,包装物料出入库明细!$H$4:$H$2003,"销售出库",包装物料出入库明细!$B$4:$B$2003,"&gt;="&amp;$S$1,包装物料出入库明细!$B$4:$B$2003,"&lt;="&amp;$S$2))</f>
        <v/>
      </c>
      <c r="K39" s="25" t="str">
        <f>IF($B39="","",SUMIFS(包装物料出入库明细!$J$4:$J$2003,包装物料出入库明细!$E$4:$E$2003,$B39,包装物料出入库明细!$B$4:$B$2003,"&gt;="&amp;$S$1,包装物料出入库明细!$B$4:$B$2003,"&lt;="&amp;$S$2)-$I39-$J39)</f>
        <v/>
      </c>
      <c r="L39" s="25" t="str">
        <f t="shared" si="1"/>
        <v/>
      </c>
      <c r="M39" s="26" t="str">
        <f t="shared" si="2"/>
        <v/>
      </c>
      <c r="N39" s="24" t="str">
        <f>IF($B39="","",IF($L39&lt;=0,"无库存",IF($L39&gt;=基础资料!$S$4,"充足",IF($L39&gt;=基础资料!$S$5,"正常","不足"))))</f>
        <v/>
      </c>
      <c r="O39" s="41"/>
    </row>
    <row r="40" spans="1:15">
      <c r="A40" s="24" t="str">
        <f t="shared" si="0"/>
        <v/>
      </c>
      <c r="B40" s="24" t="str">
        <f>IFERROR(INDEX(_自动清单!$G$4:$G$63,ROW()-3),"")</f>
        <v/>
      </c>
      <c r="C40" s="24" t="str">
        <f>IF($B40="","",IFERROR(IF(INDEX(基础资料!$O$4:$O$103,MATCH($B40,基础资料!$N$4:$N$103,0))="",IFERROR(INDEX(_自动清单!$H$4:$H$63,ROW()-3),""),INDEX(基础资料!$O$4:$O$103,MATCH($B40,基础资料!$N$4:$N$103,0))),IFERROR(INDEX(_自动清单!$H$4:$H$63,ROW()-3),"")))</f>
        <v/>
      </c>
      <c r="D40" s="24" t="str">
        <f>IF($B40="","",IFERROR(IF(INDEX(基础资料!$P$4:$P$103,MATCH($B40,基础资料!$N$4:$N$103,0))="",IFERROR(INDEX(_自动清单!$I$4:$I$63,ROW()-3),""),INDEX(基础资料!$P$4:$P$103,MATCH($B40,基础资料!$N$4:$N$103,0))),IFERROR(INDEX(_自动清单!$I$4:$I$63,ROW()-3),"")))</f>
        <v/>
      </c>
      <c r="E40" s="26" t="str">
        <f>IF($B40="","",IFERROR(ROUND(SUMIFS(包装物料出入库明细!$N$4:$N$2003,包装物料出入库明细!$E$4:$E$2003,$B40,包装物料出入库明细!$H$4:$H$2003,"采购入库",包装物料出入库明细!$B$4:$B$2003,"&gt;="&amp;$S$1,包装物料出入库明细!$B$4:$B$2003,"&lt;="&amp;$S$2)/SUMIFS(包装物料出入库明细!$I$4:$I$2003,包装物料出入库明细!$E$4:$E$2003,$B40,包装物料出入库明细!$H$4:$H$2003,"采购入库",包装物料出入库明细!$B$4:$B$2003,"&gt;="&amp;$S$1,包装物料出入库明细!$B$4:$B$2003,"&lt;="&amp;$S$2),4),0))</f>
        <v/>
      </c>
      <c r="F40" s="25" t="str">
        <f>IF($B40="","",SUMIFS(包装物料出入库明细!$I$4:$I$2003,包装物料出入库明细!$E$4:$E$2003,$B40,包装物料出入库明细!$H$4:$H$2003,"期初库存",包装物料出入库明细!$B$4:$B$2003,"&gt;="&amp;$S$1,包装物料出入库明细!$B$4:$B$2003,"&lt;="&amp;$S$2))</f>
        <v/>
      </c>
      <c r="G40" s="25" t="str">
        <f>IF($B40="","",SUMIFS(包装物料出入库明细!$I$4:$I$2003,包装物料出入库明细!$E$4:$E$2003,$B40,包装物料出入库明细!$H$4:$H$2003,"采购入库",包装物料出入库明细!$B$4:$B$2003,"&gt;="&amp;$S$1,包装物料出入库明细!$B$4:$B$2003,"&lt;="&amp;$S$2))</f>
        <v/>
      </c>
      <c r="H40" s="56" t="str">
        <f>IF($B40="","",SUMIFS(包装物料出入库明细!$K$4:$K$2003,包装物料出入库明细!$E$4:$E$2003,$B40,包装物料出入库明细!$B$4:$B$2003,"&gt;="&amp;$S$1,包装物料出入库明细!$B$4:$B$2003,"&lt;="&amp;$S$2))</f>
        <v/>
      </c>
      <c r="I40" s="25" t="str">
        <f>IF($B40="","",SUMIFS(包装物料出入库明细!$J$4:$J$2003,包装物料出入库明细!$E$4:$E$2003,$B40,包装物料出入库明细!$H$4:$H$2003,"领用出库",包装物料出入库明细!$B$4:$B$2003,"&gt;="&amp;$S$1,包装物料出入库明细!$B$4:$B$2003,"&lt;="&amp;$S$2))</f>
        <v/>
      </c>
      <c r="J40" s="25" t="str">
        <f>IF($B40="","",SUMIFS(包装物料出入库明细!$J$4:$J$2003,包装物料出入库明细!$E$4:$E$2003,$B40,包装物料出入库明细!$H$4:$H$2003,"销售出库",包装物料出入库明细!$B$4:$B$2003,"&gt;="&amp;$S$1,包装物料出入库明细!$B$4:$B$2003,"&lt;="&amp;$S$2))</f>
        <v/>
      </c>
      <c r="K40" s="25" t="str">
        <f>IF($B40="","",SUMIFS(包装物料出入库明细!$J$4:$J$2003,包装物料出入库明细!$E$4:$E$2003,$B40,包装物料出入库明细!$B$4:$B$2003,"&gt;="&amp;$S$1,包装物料出入库明细!$B$4:$B$2003,"&lt;="&amp;$S$2)-$I40-$J40)</f>
        <v/>
      </c>
      <c r="L40" s="25" t="str">
        <f t="shared" si="1"/>
        <v/>
      </c>
      <c r="M40" s="26" t="str">
        <f t="shared" si="2"/>
        <v/>
      </c>
      <c r="N40" s="24" t="str">
        <f>IF($B40="","",IF($L40&lt;=0,"无库存",IF($L40&gt;=基础资料!$S$4,"充足",IF($L40&gt;=基础资料!$S$5,"正常","不足"))))</f>
        <v/>
      </c>
      <c r="O40" s="41"/>
    </row>
    <row r="41" spans="1:15">
      <c r="A41" s="24" t="str">
        <f t="shared" si="0"/>
        <v/>
      </c>
      <c r="B41" s="24" t="str">
        <f>IFERROR(INDEX(_自动清单!$G$4:$G$63,ROW()-3),"")</f>
        <v/>
      </c>
      <c r="C41" s="24" t="str">
        <f>IF($B41="","",IFERROR(IF(INDEX(基础资料!$O$4:$O$103,MATCH($B41,基础资料!$N$4:$N$103,0))="",IFERROR(INDEX(_自动清单!$H$4:$H$63,ROW()-3),""),INDEX(基础资料!$O$4:$O$103,MATCH($B41,基础资料!$N$4:$N$103,0))),IFERROR(INDEX(_自动清单!$H$4:$H$63,ROW()-3),"")))</f>
        <v/>
      </c>
      <c r="D41" s="24" t="str">
        <f>IF($B41="","",IFERROR(IF(INDEX(基础资料!$P$4:$P$103,MATCH($B41,基础资料!$N$4:$N$103,0))="",IFERROR(INDEX(_自动清单!$I$4:$I$63,ROW()-3),""),INDEX(基础资料!$P$4:$P$103,MATCH($B41,基础资料!$N$4:$N$103,0))),IFERROR(INDEX(_自动清单!$I$4:$I$63,ROW()-3),"")))</f>
        <v/>
      </c>
      <c r="E41" s="26" t="str">
        <f>IF($B41="","",IFERROR(ROUND(SUMIFS(包装物料出入库明细!$N$4:$N$2003,包装物料出入库明细!$E$4:$E$2003,$B41,包装物料出入库明细!$H$4:$H$2003,"采购入库",包装物料出入库明细!$B$4:$B$2003,"&gt;="&amp;$S$1,包装物料出入库明细!$B$4:$B$2003,"&lt;="&amp;$S$2)/SUMIFS(包装物料出入库明细!$I$4:$I$2003,包装物料出入库明细!$E$4:$E$2003,$B41,包装物料出入库明细!$H$4:$H$2003,"采购入库",包装物料出入库明细!$B$4:$B$2003,"&gt;="&amp;$S$1,包装物料出入库明细!$B$4:$B$2003,"&lt;="&amp;$S$2),4),0))</f>
        <v/>
      </c>
      <c r="F41" s="25" t="str">
        <f>IF($B41="","",SUMIFS(包装物料出入库明细!$I$4:$I$2003,包装物料出入库明细!$E$4:$E$2003,$B41,包装物料出入库明细!$H$4:$H$2003,"期初库存",包装物料出入库明细!$B$4:$B$2003,"&gt;="&amp;$S$1,包装物料出入库明细!$B$4:$B$2003,"&lt;="&amp;$S$2))</f>
        <v/>
      </c>
      <c r="G41" s="25" t="str">
        <f>IF($B41="","",SUMIFS(包装物料出入库明细!$I$4:$I$2003,包装物料出入库明细!$E$4:$E$2003,$B41,包装物料出入库明细!$H$4:$H$2003,"采购入库",包装物料出入库明细!$B$4:$B$2003,"&gt;="&amp;$S$1,包装物料出入库明细!$B$4:$B$2003,"&lt;="&amp;$S$2))</f>
        <v/>
      </c>
      <c r="H41" s="56" t="str">
        <f>IF($B41="","",SUMIFS(包装物料出入库明细!$K$4:$K$2003,包装物料出入库明细!$E$4:$E$2003,$B41,包装物料出入库明细!$B$4:$B$2003,"&gt;="&amp;$S$1,包装物料出入库明细!$B$4:$B$2003,"&lt;="&amp;$S$2))</f>
        <v/>
      </c>
      <c r="I41" s="25" t="str">
        <f>IF($B41="","",SUMIFS(包装物料出入库明细!$J$4:$J$2003,包装物料出入库明细!$E$4:$E$2003,$B41,包装物料出入库明细!$H$4:$H$2003,"领用出库",包装物料出入库明细!$B$4:$B$2003,"&gt;="&amp;$S$1,包装物料出入库明细!$B$4:$B$2003,"&lt;="&amp;$S$2))</f>
        <v/>
      </c>
      <c r="J41" s="25" t="str">
        <f>IF($B41="","",SUMIFS(包装物料出入库明细!$J$4:$J$2003,包装物料出入库明细!$E$4:$E$2003,$B41,包装物料出入库明细!$H$4:$H$2003,"销售出库",包装物料出入库明细!$B$4:$B$2003,"&gt;="&amp;$S$1,包装物料出入库明细!$B$4:$B$2003,"&lt;="&amp;$S$2))</f>
        <v/>
      </c>
      <c r="K41" s="25" t="str">
        <f>IF($B41="","",SUMIFS(包装物料出入库明细!$J$4:$J$2003,包装物料出入库明细!$E$4:$E$2003,$B41,包装物料出入库明细!$B$4:$B$2003,"&gt;="&amp;$S$1,包装物料出入库明细!$B$4:$B$2003,"&lt;="&amp;$S$2)-$I41-$J41)</f>
        <v/>
      </c>
      <c r="L41" s="25" t="str">
        <f t="shared" si="1"/>
        <v/>
      </c>
      <c r="M41" s="26" t="str">
        <f t="shared" si="2"/>
        <v/>
      </c>
      <c r="N41" s="24" t="str">
        <f>IF($B41="","",IF($L41&lt;=0,"无库存",IF($L41&gt;=基础资料!$S$4,"充足",IF($L41&gt;=基础资料!$S$5,"正常","不足"))))</f>
        <v/>
      </c>
      <c r="O41" s="41"/>
    </row>
    <row r="42" spans="1:15">
      <c r="A42" s="24" t="str">
        <f t="shared" si="0"/>
        <v/>
      </c>
      <c r="B42" s="24" t="str">
        <f>IFERROR(INDEX(_自动清单!$G$4:$G$63,ROW()-3),"")</f>
        <v/>
      </c>
      <c r="C42" s="24" t="str">
        <f>IF($B42="","",IFERROR(IF(INDEX(基础资料!$O$4:$O$103,MATCH($B42,基础资料!$N$4:$N$103,0))="",IFERROR(INDEX(_自动清单!$H$4:$H$63,ROW()-3),""),INDEX(基础资料!$O$4:$O$103,MATCH($B42,基础资料!$N$4:$N$103,0))),IFERROR(INDEX(_自动清单!$H$4:$H$63,ROW()-3),"")))</f>
        <v/>
      </c>
      <c r="D42" s="24" t="str">
        <f>IF($B42="","",IFERROR(IF(INDEX(基础资料!$P$4:$P$103,MATCH($B42,基础资料!$N$4:$N$103,0))="",IFERROR(INDEX(_自动清单!$I$4:$I$63,ROW()-3),""),INDEX(基础资料!$P$4:$P$103,MATCH($B42,基础资料!$N$4:$N$103,0))),IFERROR(INDEX(_自动清单!$I$4:$I$63,ROW()-3),"")))</f>
        <v/>
      </c>
      <c r="E42" s="26" t="str">
        <f>IF($B42="","",IFERROR(ROUND(SUMIFS(包装物料出入库明细!$N$4:$N$2003,包装物料出入库明细!$E$4:$E$2003,$B42,包装物料出入库明细!$H$4:$H$2003,"采购入库",包装物料出入库明细!$B$4:$B$2003,"&gt;="&amp;$S$1,包装物料出入库明细!$B$4:$B$2003,"&lt;="&amp;$S$2)/SUMIFS(包装物料出入库明细!$I$4:$I$2003,包装物料出入库明细!$E$4:$E$2003,$B42,包装物料出入库明细!$H$4:$H$2003,"采购入库",包装物料出入库明细!$B$4:$B$2003,"&gt;="&amp;$S$1,包装物料出入库明细!$B$4:$B$2003,"&lt;="&amp;$S$2),4),0))</f>
        <v/>
      </c>
      <c r="F42" s="25" t="str">
        <f>IF($B42="","",SUMIFS(包装物料出入库明细!$I$4:$I$2003,包装物料出入库明细!$E$4:$E$2003,$B42,包装物料出入库明细!$H$4:$H$2003,"期初库存",包装物料出入库明细!$B$4:$B$2003,"&gt;="&amp;$S$1,包装物料出入库明细!$B$4:$B$2003,"&lt;="&amp;$S$2))</f>
        <v/>
      </c>
      <c r="G42" s="25" t="str">
        <f>IF($B42="","",SUMIFS(包装物料出入库明细!$I$4:$I$2003,包装物料出入库明细!$E$4:$E$2003,$B42,包装物料出入库明细!$H$4:$H$2003,"采购入库",包装物料出入库明细!$B$4:$B$2003,"&gt;="&amp;$S$1,包装物料出入库明细!$B$4:$B$2003,"&lt;="&amp;$S$2))</f>
        <v/>
      </c>
      <c r="H42" s="56" t="str">
        <f>IF($B42="","",SUMIFS(包装物料出入库明细!$K$4:$K$2003,包装物料出入库明细!$E$4:$E$2003,$B42,包装物料出入库明细!$B$4:$B$2003,"&gt;="&amp;$S$1,包装物料出入库明细!$B$4:$B$2003,"&lt;="&amp;$S$2))</f>
        <v/>
      </c>
      <c r="I42" s="25" t="str">
        <f>IF($B42="","",SUMIFS(包装物料出入库明细!$J$4:$J$2003,包装物料出入库明细!$E$4:$E$2003,$B42,包装物料出入库明细!$H$4:$H$2003,"领用出库",包装物料出入库明细!$B$4:$B$2003,"&gt;="&amp;$S$1,包装物料出入库明细!$B$4:$B$2003,"&lt;="&amp;$S$2))</f>
        <v/>
      </c>
      <c r="J42" s="25" t="str">
        <f>IF($B42="","",SUMIFS(包装物料出入库明细!$J$4:$J$2003,包装物料出入库明细!$E$4:$E$2003,$B42,包装物料出入库明细!$H$4:$H$2003,"销售出库",包装物料出入库明细!$B$4:$B$2003,"&gt;="&amp;$S$1,包装物料出入库明细!$B$4:$B$2003,"&lt;="&amp;$S$2))</f>
        <v/>
      </c>
      <c r="K42" s="25" t="str">
        <f>IF($B42="","",SUMIFS(包装物料出入库明细!$J$4:$J$2003,包装物料出入库明细!$E$4:$E$2003,$B42,包装物料出入库明细!$B$4:$B$2003,"&gt;="&amp;$S$1,包装物料出入库明细!$B$4:$B$2003,"&lt;="&amp;$S$2)-$I42-$J42)</f>
        <v/>
      </c>
      <c r="L42" s="25" t="str">
        <f t="shared" si="1"/>
        <v/>
      </c>
      <c r="M42" s="26" t="str">
        <f t="shared" si="2"/>
        <v/>
      </c>
      <c r="N42" s="24" t="str">
        <f>IF($B42="","",IF($L42&lt;=0,"无库存",IF($L42&gt;=基础资料!$S$4,"充足",IF($L42&gt;=基础资料!$S$5,"正常","不足"))))</f>
        <v/>
      </c>
      <c r="O42" s="41"/>
    </row>
    <row r="43" spans="1:15">
      <c r="A43" s="24" t="str">
        <f t="shared" si="0"/>
        <v/>
      </c>
      <c r="B43" s="24" t="str">
        <f>IFERROR(INDEX(_自动清单!$G$4:$G$63,ROW()-3),"")</f>
        <v/>
      </c>
      <c r="C43" s="24" t="str">
        <f>IF($B43="","",IFERROR(IF(INDEX(基础资料!$O$4:$O$103,MATCH($B43,基础资料!$N$4:$N$103,0))="",IFERROR(INDEX(_自动清单!$H$4:$H$63,ROW()-3),""),INDEX(基础资料!$O$4:$O$103,MATCH($B43,基础资料!$N$4:$N$103,0))),IFERROR(INDEX(_自动清单!$H$4:$H$63,ROW()-3),"")))</f>
        <v/>
      </c>
      <c r="D43" s="24" t="str">
        <f>IF($B43="","",IFERROR(IF(INDEX(基础资料!$P$4:$P$103,MATCH($B43,基础资料!$N$4:$N$103,0))="",IFERROR(INDEX(_自动清单!$I$4:$I$63,ROW()-3),""),INDEX(基础资料!$P$4:$P$103,MATCH($B43,基础资料!$N$4:$N$103,0))),IFERROR(INDEX(_自动清单!$I$4:$I$63,ROW()-3),"")))</f>
        <v/>
      </c>
      <c r="E43" s="26" t="str">
        <f>IF($B43="","",IFERROR(ROUND(SUMIFS(包装物料出入库明细!$N$4:$N$2003,包装物料出入库明细!$E$4:$E$2003,$B43,包装物料出入库明细!$H$4:$H$2003,"采购入库",包装物料出入库明细!$B$4:$B$2003,"&gt;="&amp;$S$1,包装物料出入库明细!$B$4:$B$2003,"&lt;="&amp;$S$2)/SUMIFS(包装物料出入库明细!$I$4:$I$2003,包装物料出入库明细!$E$4:$E$2003,$B43,包装物料出入库明细!$H$4:$H$2003,"采购入库",包装物料出入库明细!$B$4:$B$2003,"&gt;="&amp;$S$1,包装物料出入库明细!$B$4:$B$2003,"&lt;="&amp;$S$2),4),0))</f>
        <v/>
      </c>
      <c r="F43" s="25" t="str">
        <f>IF($B43="","",SUMIFS(包装物料出入库明细!$I$4:$I$2003,包装物料出入库明细!$E$4:$E$2003,$B43,包装物料出入库明细!$H$4:$H$2003,"期初库存",包装物料出入库明细!$B$4:$B$2003,"&gt;="&amp;$S$1,包装物料出入库明细!$B$4:$B$2003,"&lt;="&amp;$S$2))</f>
        <v/>
      </c>
      <c r="G43" s="25" t="str">
        <f>IF($B43="","",SUMIFS(包装物料出入库明细!$I$4:$I$2003,包装物料出入库明细!$E$4:$E$2003,$B43,包装物料出入库明细!$H$4:$H$2003,"采购入库",包装物料出入库明细!$B$4:$B$2003,"&gt;="&amp;$S$1,包装物料出入库明细!$B$4:$B$2003,"&lt;="&amp;$S$2))</f>
        <v/>
      </c>
      <c r="H43" s="56" t="str">
        <f>IF($B43="","",SUMIFS(包装物料出入库明细!$K$4:$K$2003,包装物料出入库明细!$E$4:$E$2003,$B43,包装物料出入库明细!$B$4:$B$2003,"&gt;="&amp;$S$1,包装物料出入库明细!$B$4:$B$2003,"&lt;="&amp;$S$2))</f>
        <v/>
      </c>
      <c r="I43" s="25" t="str">
        <f>IF($B43="","",SUMIFS(包装物料出入库明细!$J$4:$J$2003,包装物料出入库明细!$E$4:$E$2003,$B43,包装物料出入库明细!$H$4:$H$2003,"领用出库",包装物料出入库明细!$B$4:$B$2003,"&gt;="&amp;$S$1,包装物料出入库明细!$B$4:$B$2003,"&lt;="&amp;$S$2))</f>
        <v/>
      </c>
      <c r="J43" s="25" t="str">
        <f>IF($B43="","",SUMIFS(包装物料出入库明细!$J$4:$J$2003,包装物料出入库明细!$E$4:$E$2003,$B43,包装物料出入库明细!$H$4:$H$2003,"销售出库",包装物料出入库明细!$B$4:$B$2003,"&gt;="&amp;$S$1,包装物料出入库明细!$B$4:$B$2003,"&lt;="&amp;$S$2))</f>
        <v/>
      </c>
      <c r="K43" s="25" t="str">
        <f>IF($B43="","",SUMIFS(包装物料出入库明细!$J$4:$J$2003,包装物料出入库明细!$E$4:$E$2003,$B43,包装物料出入库明细!$B$4:$B$2003,"&gt;="&amp;$S$1,包装物料出入库明细!$B$4:$B$2003,"&lt;="&amp;$S$2)-$I43-$J43)</f>
        <v/>
      </c>
      <c r="L43" s="25" t="str">
        <f t="shared" si="1"/>
        <v/>
      </c>
      <c r="M43" s="26" t="str">
        <f t="shared" si="2"/>
        <v/>
      </c>
      <c r="N43" s="24" t="str">
        <f>IF($B43="","",IF($L43&lt;=0,"无库存",IF($L43&gt;=基础资料!$S$4,"充足",IF($L43&gt;=基础资料!$S$5,"正常","不足"))))</f>
        <v/>
      </c>
      <c r="O43" s="41"/>
    </row>
    <row r="44" spans="1:15">
      <c r="A44" s="24" t="str">
        <f t="shared" si="0"/>
        <v/>
      </c>
      <c r="B44" s="24" t="str">
        <f>IFERROR(INDEX(_自动清单!$G$4:$G$63,ROW()-3),"")</f>
        <v/>
      </c>
      <c r="C44" s="24" t="str">
        <f>IF($B44="","",IFERROR(IF(INDEX(基础资料!$O$4:$O$103,MATCH($B44,基础资料!$N$4:$N$103,0))="",IFERROR(INDEX(_自动清单!$H$4:$H$63,ROW()-3),""),INDEX(基础资料!$O$4:$O$103,MATCH($B44,基础资料!$N$4:$N$103,0))),IFERROR(INDEX(_自动清单!$H$4:$H$63,ROW()-3),"")))</f>
        <v/>
      </c>
      <c r="D44" s="24" t="str">
        <f>IF($B44="","",IFERROR(IF(INDEX(基础资料!$P$4:$P$103,MATCH($B44,基础资料!$N$4:$N$103,0))="",IFERROR(INDEX(_自动清单!$I$4:$I$63,ROW()-3),""),INDEX(基础资料!$P$4:$P$103,MATCH($B44,基础资料!$N$4:$N$103,0))),IFERROR(INDEX(_自动清单!$I$4:$I$63,ROW()-3),"")))</f>
        <v/>
      </c>
      <c r="E44" s="26" t="str">
        <f>IF($B44="","",IFERROR(ROUND(SUMIFS(包装物料出入库明细!$N$4:$N$2003,包装物料出入库明细!$E$4:$E$2003,$B44,包装物料出入库明细!$H$4:$H$2003,"采购入库",包装物料出入库明细!$B$4:$B$2003,"&gt;="&amp;$S$1,包装物料出入库明细!$B$4:$B$2003,"&lt;="&amp;$S$2)/SUMIFS(包装物料出入库明细!$I$4:$I$2003,包装物料出入库明细!$E$4:$E$2003,$B44,包装物料出入库明细!$H$4:$H$2003,"采购入库",包装物料出入库明细!$B$4:$B$2003,"&gt;="&amp;$S$1,包装物料出入库明细!$B$4:$B$2003,"&lt;="&amp;$S$2),4),0))</f>
        <v/>
      </c>
      <c r="F44" s="25" t="str">
        <f>IF($B44="","",SUMIFS(包装物料出入库明细!$I$4:$I$2003,包装物料出入库明细!$E$4:$E$2003,$B44,包装物料出入库明细!$H$4:$H$2003,"期初库存",包装物料出入库明细!$B$4:$B$2003,"&gt;="&amp;$S$1,包装物料出入库明细!$B$4:$B$2003,"&lt;="&amp;$S$2))</f>
        <v/>
      </c>
      <c r="G44" s="25" t="str">
        <f>IF($B44="","",SUMIFS(包装物料出入库明细!$I$4:$I$2003,包装物料出入库明细!$E$4:$E$2003,$B44,包装物料出入库明细!$H$4:$H$2003,"采购入库",包装物料出入库明细!$B$4:$B$2003,"&gt;="&amp;$S$1,包装物料出入库明细!$B$4:$B$2003,"&lt;="&amp;$S$2))</f>
        <v/>
      </c>
      <c r="H44" s="56" t="str">
        <f>IF($B44="","",SUMIFS(包装物料出入库明细!$K$4:$K$2003,包装物料出入库明细!$E$4:$E$2003,$B44,包装物料出入库明细!$B$4:$B$2003,"&gt;="&amp;$S$1,包装物料出入库明细!$B$4:$B$2003,"&lt;="&amp;$S$2))</f>
        <v/>
      </c>
      <c r="I44" s="25" t="str">
        <f>IF($B44="","",SUMIFS(包装物料出入库明细!$J$4:$J$2003,包装物料出入库明细!$E$4:$E$2003,$B44,包装物料出入库明细!$H$4:$H$2003,"领用出库",包装物料出入库明细!$B$4:$B$2003,"&gt;="&amp;$S$1,包装物料出入库明细!$B$4:$B$2003,"&lt;="&amp;$S$2))</f>
        <v/>
      </c>
      <c r="J44" s="25" t="str">
        <f>IF($B44="","",SUMIFS(包装物料出入库明细!$J$4:$J$2003,包装物料出入库明细!$E$4:$E$2003,$B44,包装物料出入库明细!$H$4:$H$2003,"销售出库",包装物料出入库明细!$B$4:$B$2003,"&gt;="&amp;$S$1,包装物料出入库明细!$B$4:$B$2003,"&lt;="&amp;$S$2))</f>
        <v/>
      </c>
      <c r="K44" s="25" t="str">
        <f>IF($B44="","",SUMIFS(包装物料出入库明细!$J$4:$J$2003,包装物料出入库明细!$E$4:$E$2003,$B44,包装物料出入库明细!$B$4:$B$2003,"&gt;="&amp;$S$1,包装物料出入库明细!$B$4:$B$2003,"&lt;="&amp;$S$2)-$I44-$J44)</f>
        <v/>
      </c>
      <c r="L44" s="25" t="str">
        <f t="shared" si="1"/>
        <v/>
      </c>
      <c r="M44" s="26" t="str">
        <f t="shared" si="2"/>
        <v/>
      </c>
      <c r="N44" s="24" t="str">
        <f>IF($B44="","",IF($L44&lt;=0,"无库存",IF($L44&gt;=基础资料!$S$4,"充足",IF($L44&gt;=基础资料!$S$5,"正常","不足"))))</f>
        <v/>
      </c>
      <c r="O44" s="41"/>
    </row>
    <row r="45" spans="1:15">
      <c r="A45" s="24" t="str">
        <f t="shared" si="0"/>
        <v/>
      </c>
      <c r="B45" s="24" t="str">
        <f>IFERROR(INDEX(_自动清单!$G$4:$G$63,ROW()-3),"")</f>
        <v/>
      </c>
      <c r="C45" s="24" t="str">
        <f>IF($B45="","",IFERROR(IF(INDEX(基础资料!$O$4:$O$103,MATCH($B45,基础资料!$N$4:$N$103,0))="",IFERROR(INDEX(_自动清单!$H$4:$H$63,ROW()-3),""),INDEX(基础资料!$O$4:$O$103,MATCH($B45,基础资料!$N$4:$N$103,0))),IFERROR(INDEX(_自动清单!$H$4:$H$63,ROW()-3),"")))</f>
        <v/>
      </c>
      <c r="D45" s="24" t="str">
        <f>IF($B45="","",IFERROR(IF(INDEX(基础资料!$P$4:$P$103,MATCH($B45,基础资料!$N$4:$N$103,0))="",IFERROR(INDEX(_自动清单!$I$4:$I$63,ROW()-3),""),INDEX(基础资料!$P$4:$P$103,MATCH($B45,基础资料!$N$4:$N$103,0))),IFERROR(INDEX(_自动清单!$I$4:$I$63,ROW()-3),"")))</f>
        <v/>
      </c>
      <c r="E45" s="26" t="str">
        <f>IF($B45="","",IFERROR(ROUND(SUMIFS(包装物料出入库明细!$N$4:$N$2003,包装物料出入库明细!$E$4:$E$2003,$B45,包装物料出入库明细!$H$4:$H$2003,"采购入库",包装物料出入库明细!$B$4:$B$2003,"&gt;="&amp;$S$1,包装物料出入库明细!$B$4:$B$2003,"&lt;="&amp;$S$2)/SUMIFS(包装物料出入库明细!$I$4:$I$2003,包装物料出入库明细!$E$4:$E$2003,$B45,包装物料出入库明细!$H$4:$H$2003,"采购入库",包装物料出入库明细!$B$4:$B$2003,"&gt;="&amp;$S$1,包装物料出入库明细!$B$4:$B$2003,"&lt;="&amp;$S$2),4),0))</f>
        <v/>
      </c>
      <c r="F45" s="25" t="str">
        <f>IF($B45="","",SUMIFS(包装物料出入库明细!$I$4:$I$2003,包装物料出入库明细!$E$4:$E$2003,$B45,包装物料出入库明细!$H$4:$H$2003,"期初库存",包装物料出入库明细!$B$4:$B$2003,"&gt;="&amp;$S$1,包装物料出入库明细!$B$4:$B$2003,"&lt;="&amp;$S$2))</f>
        <v/>
      </c>
      <c r="G45" s="25" t="str">
        <f>IF($B45="","",SUMIFS(包装物料出入库明细!$I$4:$I$2003,包装物料出入库明细!$E$4:$E$2003,$B45,包装物料出入库明细!$H$4:$H$2003,"采购入库",包装物料出入库明细!$B$4:$B$2003,"&gt;="&amp;$S$1,包装物料出入库明细!$B$4:$B$2003,"&lt;="&amp;$S$2))</f>
        <v/>
      </c>
      <c r="H45" s="56" t="str">
        <f>IF($B45="","",SUMIFS(包装物料出入库明细!$K$4:$K$2003,包装物料出入库明细!$E$4:$E$2003,$B45,包装物料出入库明细!$B$4:$B$2003,"&gt;="&amp;$S$1,包装物料出入库明细!$B$4:$B$2003,"&lt;="&amp;$S$2))</f>
        <v/>
      </c>
      <c r="I45" s="25" t="str">
        <f>IF($B45="","",SUMIFS(包装物料出入库明细!$J$4:$J$2003,包装物料出入库明细!$E$4:$E$2003,$B45,包装物料出入库明细!$H$4:$H$2003,"领用出库",包装物料出入库明细!$B$4:$B$2003,"&gt;="&amp;$S$1,包装物料出入库明细!$B$4:$B$2003,"&lt;="&amp;$S$2))</f>
        <v/>
      </c>
      <c r="J45" s="25" t="str">
        <f>IF($B45="","",SUMIFS(包装物料出入库明细!$J$4:$J$2003,包装物料出入库明细!$E$4:$E$2003,$B45,包装物料出入库明细!$H$4:$H$2003,"销售出库",包装物料出入库明细!$B$4:$B$2003,"&gt;="&amp;$S$1,包装物料出入库明细!$B$4:$B$2003,"&lt;="&amp;$S$2))</f>
        <v/>
      </c>
      <c r="K45" s="25" t="str">
        <f>IF($B45="","",SUMIFS(包装物料出入库明细!$J$4:$J$2003,包装物料出入库明细!$E$4:$E$2003,$B45,包装物料出入库明细!$B$4:$B$2003,"&gt;="&amp;$S$1,包装物料出入库明细!$B$4:$B$2003,"&lt;="&amp;$S$2)-$I45-$J45)</f>
        <v/>
      </c>
      <c r="L45" s="25" t="str">
        <f t="shared" si="1"/>
        <v/>
      </c>
      <c r="M45" s="26" t="str">
        <f t="shared" si="2"/>
        <v/>
      </c>
      <c r="N45" s="24" t="str">
        <f>IF($B45="","",IF($L45&lt;=0,"无库存",IF($L45&gt;=基础资料!$S$4,"充足",IF($L45&gt;=基础资料!$S$5,"正常","不足"))))</f>
        <v/>
      </c>
      <c r="O45" s="41"/>
    </row>
    <row r="46" spans="1:15">
      <c r="A46" s="24" t="str">
        <f t="shared" si="0"/>
        <v/>
      </c>
      <c r="B46" s="24" t="str">
        <f>IFERROR(INDEX(_自动清单!$G$4:$G$63,ROW()-3),"")</f>
        <v/>
      </c>
      <c r="C46" s="24" t="str">
        <f>IF($B46="","",IFERROR(IF(INDEX(基础资料!$O$4:$O$103,MATCH($B46,基础资料!$N$4:$N$103,0))="",IFERROR(INDEX(_自动清单!$H$4:$H$63,ROW()-3),""),INDEX(基础资料!$O$4:$O$103,MATCH($B46,基础资料!$N$4:$N$103,0))),IFERROR(INDEX(_自动清单!$H$4:$H$63,ROW()-3),"")))</f>
        <v/>
      </c>
      <c r="D46" s="24" t="str">
        <f>IF($B46="","",IFERROR(IF(INDEX(基础资料!$P$4:$P$103,MATCH($B46,基础资料!$N$4:$N$103,0))="",IFERROR(INDEX(_自动清单!$I$4:$I$63,ROW()-3),""),INDEX(基础资料!$P$4:$P$103,MATCH($B46,基础资料!$N$4:$N$103,0))),IFERROR(INDEX(_自动清单!$I$4:$I$63,ROW()-3),"")))</f>
        <v/>
      </c>
      <c r="E46" s="26" t="str">
        <f>IF($B46="","",IFERROR(ROUND(SUMIFS(包装物料出入库明细!$N$4:$N$2003,包装物料出入库明细!$E$4:$E$2003,$B46,包装物料出入库明细!$H$4:$H$2003,"采购入库",包装物料出入库明细!$B$4:$B$2003,"&gt;="&amp;$S$1,包装物料出入库明细!$B$4:$B$2003,"&lt;="&amp;$S$2)/SUMIFS(包装物料出入库明细!$I$4:$I$2003,包装物料出入库明细!$E$4:$E$2003,$B46,包装物料出入库明细!$H$4:$H$2003,"采购入库",包装物料出入库明细!$B$4:$B$2003,"&gt;="&amp;$S$1,包装物料出入库明细!$B$4:$B$2003,"&lt;="&amp;$S$2),4),0))</f>
        <v/>
      </c>
      <c r="F46" s="25" t="str">
        <f>IF($B46="","",SUMIFS(包装物料出入库明细!$I$4:$I$2003,包装物料出入库明细!$E$4:$E$2003,$B46,包装物料出入库明细!$H$4:$H$2003,"期初库存",包装物料出入库明细!$B$4:$B$2003,"&gt;="&amp;$S$1,包装物料出入库明细!$B$4:$B$2003,"&lt;="&amp;$S$2))</f>
        <v/>
      </c>
      <c r="G46" s="25" t="str">
        <f>IF($B46="","",SUMIFS(包装物料出入库明细!$I$4:$I$2003,包装物料出入库明细!$E$4:$E$2003,$B46,包装物料出入库明细!$H$4:$H$2003,"采购入库",包装物料出入库明细!$B$4:$B$2003,"&gt;="&amp;$S$1,包装物料出入库明细!$B$4:$B$2003,"&lt;="&amp;$S$2))</f>
        <v/>
      </c>
      <c r="H46" s="56" t="str">
        <f>IF($B46="","",SUMIFS(包装物料出入库明细!$K$4:$K$2003,包装物料出入库明细!$E$4:$E$2003,$B46,包装物料出入库明细!$B$4:$B$2003,"&gt;="&amp;$S$1,包装物料出入库明细!$B$4:$B$2003,"&lt;="&amp;$S$2))</f>
        <v/>
      </c>
      <c r="I46" s="25" t="str">
        <f>IF($B46="","",SUMIFS(包装物料出入库明细!$J$4:$J$2003,包装物料出入库明细!$E$4:$E$2003,$B46,包装物料出入库明细!$H$4:$H$2003,"领用出库",包装物料出入库明细!$B$4:$B$2003,"&gt;="&amp;$S$1,包装物料出入库明细!$B$4:$B$2003,"&lt;="&amp;$S$2))</f>
        <v/>
      </c>
      <c r="J46" s="25" t="str">
        <f>IF($B46="","",SUMIFS(包装物料出入库明细!$J$4:$J$2003,包装物料出入库明细!$E$4:$E$2003,$B46,包装物料出入库明细!$H$4:$H$2003,"销售出库",包装物料出入库明细!$B$4:$B$2003,"&gt;="&amp;$S$1,包装物料出入库明细!$B$4:$B$2003,"&lt;="&amp;$S$2))</f>
        <v/>
      </c>
      <c r="K46" s="25" t="str">
        <f>IF($B46="","",SUMIFS(包装物料出入库明细!$J$4:$J$2003,包装物料出入库明细!$E$4:$E$2003,$B46,包装物料出入库明细!$B$4:$B$2003,"&gt;="&amp;$S$1,包装物料出入库明细!$B$4:$B$2003,"&lt;="&amp;$S$2)-$I46-$J46)</f>
        <v/>
      </c>
      <c r="L46" s="25" t="str">
        <f t="shared" si="1"/>
        <v/>
      </c>
      <c r="M46" s="26" t="str">
        <f t="shared" si="2"/>
        <v/>
      </c>
      <c r="N46" s="24" t="str">
        <f>IF($B46="","",IF($L46&lt;=0,"无库存",IF($L46&gt;=基础资料!$S$4,"充足",IF($L46&gt;=基础资料!$S$5,"正常","不足"))))</f>
        <v/>
      </c>
      <c r="O46" s="41"/>
    </row>
    <row r="47" spans="1:15">
      <c r="A47" s="24" t="str">
        <f t="shared" si="0"/>
        <v/>
      </c>
      <c r="B47" s="24" t="str">
        <f>IFERROR(INDEX(_自动清单!$G$4:$G$63,ROW()-3),"")</f>
        <v/>
      </c>
      <c r="C47" s="24" t="str">
        <f>IF($B47="","",IFERROR(IF(INDEX(基础资料!$O$4:$O$103,MATCH($B47,基础资料!$N$4:$N$103,0))="",IFERROR(INDEX(_自动清单!$H$4:$H$63,ROW()-3),""),INDEX(基础资料!$O$4:$O$103,MATCH($B47,基础资料!$N$4:$N$103,0))),IFERROR(INDEX(_自动清单!$H$4:$H$63,ROW()-3),"")))</f>
        <v/>
      </c>
      <c r="D47" s="24" t="str">
        <f>IF($B47="","",IFERROR(IF(INDEX(基础资料!$P$4:$P$103,MATCH($B47,基础资料!$N$4:$N$103,0))="",IFERROR(INDEX(_自动清单!$I$4:$I$63,ROW()-3),""),INDEX(基础资料!$P$4:$P$103,MATCH($B47,基础资料!$N$4:$N$103,0))),IFERROR(INDEX(_自动清单!$I$4:$I$63,ROW()-3),"")))</f>
        <v/>
      </c>
      <c r="E47" s="26" t="str">
        <f>IF($B47="","",IFERROR(ROUND(SUMIFS(包装物料出入库明细!$N$4:$N$2003,包装物料出入库明细!$E$4:$E$2003,$B47,包装物料出入库明细!$H$4:$H$2003,"采购入库",包装物料出入库明细!$B$4:$B$2003,"&gt;="&amp;$S$1,包装物料出入库明细!$B$4:$B$2003,"&lt;="&amp;$S$2)/SUMIFS(包装物料出入库明细!$I$4:$I$2003,包装物料出入库明细!$E$4:$E$2003,$B47,包装物料出入库明细!$H$4:$H$2003,"采购入库",包装物料出入库明细!$B$4:$B$2003,"&gt;="&amp;$S$1,包装物料出入库明细!$B$4:$B$2003,"&lt;="&amp;$S$2),4),0))</f>
        <v/>
      </c>
      <c r="F47" s="25" t="str">
        <f>IF($B47="","",SUMIFS(包装物料出入库明细!$I$4:$I$2003,包装物料出入库明细!$E$4:$E$2003,$B47,包装物料出入库明细!$H$4:$H$2003,"期初库存",包装物料出入库明细!$B$4:$B$2003,"&gt;="&amp;$S$1,包装物料出入库明细!$B$4:$B$2003,"&lt;="&amp;$S$2))</f>
        <v/>
      </c>
      <c r="G47" s="25" t="str">
        <f>IF($B47="","",SUMIFS(包装物料出入库明细!$I$4:$I$2003,包装物料出入库明细!$E$4:$E$2003,$B47,包装物料出入库明细!$H$4:$H$2003,"采购入库",包装物料出入库明细!$B$4:$B$2003,"&gt;="&amp;$S$1,包装物料出入库明细!$B$4:$B$2003,"&lt;="&amp;$S$2))</f>
        <v/>
      </c>
      <c r="H47" s="56" t="str">
        <f>IF($B47="","",SUMIFS(包装物料出入库明细!$K$4:$K$2003,包装物料出入库明细!$E$4:$E$2003,$B47,包装物料出入库明细!$B$4:$B$2003,"&gt;="&amp;$S$1,包装物料出入库明细!$B$4:$B$2003,"&lt;="&amp;$S$2))</f>
        <v/>
      </c>
      <c r="I47" s="25" t="str">
        <f>IF($B47="","",SUMIFS(包装物料出入库明细!$J$4:$J$2003,包装物料出入库明细!$E$4:$E$2003,$B47,包装物料出入库明细!$H$4:$H$2003,"领用出库",包装物料出入库明细!$B$4:$B$2003,"&gt;="&amp;$S$1,包装物料出入库明细!$B$4:$B$2003,"&lt;="&amp;$S$2))</f>
        <v/>
      </c>
      <c r="J47" s="25" t="str">
        <f>IF($B47="","",SUMIFS(包装物料出入库明细!$J$4:$J$2003,包装物料出入库明细!$E$4:$E$2003,$B47,包装物料出入库明细!$H$4:$H$2003,"销售出库",包装物料出入库明细!$B$4:$B$2003,"&gt;="&amp;$S$1,包装物料出入库明细!$B$4:$B$2003,"&lt;="&amp;$S$2))</f>
        <v/>
      </c>
      <c r="K47" s="25" t="str">
        <f>IF($B47="","",SUMIFS(包装物料出入库明细!$J$4:$J$2003,包装物料出入库明细!$E$4:$E$2003,$B47,包装物料出入库明细!$B$4:$B$2003,"&gt;="&amp;$S$1,包装物料出入库明细!$B$4:$B$2003,"&lt;="&amp;$S$2)-$I47-$J47)</f>
        <v/>
      </c>
      <c r="L47" s="25" t="str">
        <f t="shared" si="1"/>
        <v/>
      </c>
      <c r="M47" s="26" t="str">
        <f t="shared" si="2"/>
        <v/>
      </c>
      <c r="N47" s="24" t="str">
        <f>IF($B47="","",IF($L47&lt;=0,"无库存",IF($L47&gt;=基础资料!$S$4,"充足",IF($L47&gt;=基础资料!$S$5,"正常","不足"))))</f>
        <v/>
      </c>
      <c r="O47" s="41"/>
    </row>
    <row r="48" spans="1:15">
      <c r="A48" s="24" t="str">
        <f t="shared" si="0"/>
        <v/>
      </c>
      <c r="B48" s="24" t="str">
        <f>IFERROR(INDEX(_自动清单!$G$4:$G$63,ROW()-3),"")</f>
        <v/>
      </c>
      <c r="C48" s="24" t="str">
        <f>IF($B48="","",IFERROR(IF(INDEX(基础资料!$O$4:$O$103,MATCH($B48,基础资料!$N$4:$N$103,0))="",IFERROR(INDEX(_自动清单!$H$4:$H$63,ROW()-3),""),INDEX(基础资料!$O$4:$O$103,MATCH($B48,基础资料!$N$4:$N$103,0))),IFERROR(INDEX(_自动清单!$H$4:$H$63,ROW()-3),"")))</f>
        <v/>
      </c>
      <c r="D48" s="24" t="str">
        <f>IF($B48="","",IFERROR(IF(INDEX(基础资料!$P$4:$P$103,MATCH($B48,基础资料!$N$4:$N$103,0))="",IFERROR(INDEX(_自动清单!$I$4:$I$63,ROW()-3),""),INDEX(基础资料!$P$4:$P$103,MATCH($B48,基础资料!$N$4:$N$103,0))),IFERROR(INDEX(_自动清单!$I$4:$I$63,ROW()-3),"")))</f>
        <v/>
      </c>
      <c r="E48" s="26" t="str">
        <f>IF($B48="","",IFERROR(ROUND(SUMIFS(包装物料出入库明细!$N$4:$N$2003,包装物料出入库明细!$E$4:$E$2003,$B48,包装物料出入库明细!$H$4:$H$2003,"采购入库",包装物料出入库明细!$B$4:$B$2003,"&gt;="&amp;$S$1,包装物料出入库明细!$B$4:$B$2003,"&lt;="&amp;$S$2)/SUMIFS(包装物料出入库明细!$I$4:$I$2003,包装物料出入库明细!$E$4:$E$2003,$B48,包装物料出入库明细!$H$4:$H$2003,"采购入库",包装物料出入库明细!$B$4:$B$2003,"&gt;="&amp;$S$1,包装物料出入库明细!$B$4:$B$2003,"&lt;="&amp;$S$2),4),0))</f>
        <v/>
      </c>
      <c r="F48" s="25" t="str">
        <f>IF($B48="","",SUMIFS(包装物料出入库明细!$I$4:$I$2003,包装物料出入库明细!$E$4:$E$2003,$B48,包装物料出入库明细!$H$4:$H$2003,"期初库存",包装物料出入库明细!$B$4:$B$2003,"&gt;="&amp;$S$1,包装物料出入库明细!$B$4:$B$2003,"&lt;="&amp;$S$2))</f>
        <v/>
      </c>
      <c r="G48" s="25" t="str">
        <f>IF($B48="","",SUMIFS(包装物料出入库明细!$I$4:$I$2003,包装物料出入库明细!$E$4:$E$2003,$B48,包装物料出入库明细!$H$4:$H$2003,"采购入库",包装物料出入库明细!$B$4:$B$2003,"&gt;="&amp;$S$1,包装物料出入库明细!$B$4:$B$2003,"&lt;="&amp;$S$2))</f>
        <v/>
      </c>
      <c r="H48" s="56" t="str">
        <f>IF($B48="","",SUMIFS(包装物料出入库明细!$K$4:$K$2003,包装物料出入库明细!$E$4:$E$2003,$B48,包装物料出入库明细!$B$4:$B$2003,"&gt;="&amp;$S$1,包装物料出入库明细!$B$4:$B$2003,"&lt;="&amp;$S$2))</f>
        <v/>
      </c>
      <c r="I48" s="25" t="str">
        <f>IF($B48="","",SUMIFS(包装物料出入库明细!$J$4:$J$2003,包装物料出入库明细!$E$4:$E$2003,$B48,包装物料出入库明细!$H$4:$H$2003,"领用出库",包装物料出入库明细!$B$4:$B$2003,"&gt;="&amp;$S$1,包装物料出入库明细!$B$4:$B$2003,"&lt;="&amp;$S$2))</f>
        <v/>
      </c>
      <c r="J48" s="25" t="str">
        <f>IF($B48="","",SUMIFS(包装物料出入库明细!$J$4:$J$2003,包装物料出入库明细!$E$4:$E$2003,$B48,包装物料出入库明细!$H$4:$H$2003,"销售出库",包装物料出入库明细!$B$4:$B$2003,"&gt;="&amp;$S$1,包装物料出入库明细!$B$4:$B$2003,"&lt;="&amp;$S$2))</f>
        <v/>
      </c>
      <c r="K48" s="25" t="str">
        <f>IF($B48="","",SUMIFS(包装物料出入库明细!$J$4:$J$2003,包装物料出入库明细!$E$4:$E$2003,$B48,包装物料出入库明细!$B$4:$B$2003,"&gt;="&amp;$S$1,包装物料出入库明细!$B$4:$B$2003,"&lt;="&amp;$S$2)-$I48-$J48)</f>
        <v/>
      </c>
      <c r="L48" s="25" t="str">
        <f t="shared" si="1"/>
        <v/>
      </c>
      <c r="M48" s="26" t="str">
        <f t="shared" si="2"/>
        <v/>
      </c>
      <c r="N48" s="24" t="str">
        <f>IF($B48="","",IF($L48&lt;=0,"无库存",IF($L48&gt;=基础资料!$S$4,"充足",IF($L48&gt;=基础资料!$S$5,"正常","不足"))))</f>
        <v/>
      </c>
      <c r="O48" s="41"/>
    </row>
    <row r="49" spans="1:15">
      <c r="A49" s="24" t="str">
        <f t="shared" si="0"/>
        <v/>
      </c>
      <c r="B49" s="24" t="str">
        <f>IFERROR(INDEX(_自动清单!$G$4:$G$63,ROW()-3),"")</f>
        <v/>
      </c>
      <c r="C49" s="24" t="str">
        <f>IF($B49="","",IFERROR(IF(INDEX(基础资料!$O$4:$O$103,MATCH($B49,基础资料!$N$4:$N$103,0))="",IFERROR(INDEX(_自动清单!$H$4:$H$63,ROW()-3),""),INDEX(基础资料!$O$4:$O$103,MATCH($B49,基础资料!$N$4:$N$103,0))),IFERROR(INDEX(_自动清单!$H$4:$H$63,ROW()-3),"")))</f>
        <v/>
      </c>
      <c r="D49" s="24" t="str">
        <f>IF($B49="","",IFERROR(IF(INDEX(基础资料!$P$4:$P$103,MATCH($B49,基础资料!$N$4:$N$103,0))="",IFERROR(INDEX(_自动清单!$I$4:$I$63,ROW()-3),""),INDEX(基础资料!$P$4:$P$103,MATCH($B49,基础资料!$N$4:$N$103,0))),IFERROR(INDEX(_自动清单!$I$4:$I$63,ROW()-3),"")))</f>
        <v/>
      </c>
      <c r="E49" s="26" t="str">
        <f>IF($B49="","",IFERROR(ROUND(SUMIFS(包装物料出入库明细!$N$4:$N$2003,包装物料出入库明细!$E$4:$E$2003,$B49,包装物料出入库明细!$H$4:$H$2003,"采购入库",包装物料出入库明细!$B$4:$B$2003,"&gt;="&amp;$S$1,包装物料出入库明细!$B$4:$B$2003,"&lt;="&amp;$S$2)/SUMIFS(包装物料出入库明细!$I$4:$I$2003,包装物料出入库明细!$E$4:$E$2003,$B49,包装物料出入库明细!$H$4:$H$2003,"采购入库",包装物料出入库明细!$B$4:$B$2003,"&gt;="&amp;$S$1,包装物料出入库明细!$B$4:$B$2003,"&lt;="&amp;$S$2),4),0))</f>
        <v/>
      </c>
      <c r="F49" s="25" t="str">
        <f>IF($B49="","",SUMIFS(包装物料出入库明细!$I$4:$I$2003,包装物料出入库明细!$E$4:$E$2003,$B49,包装物料出入库明细!$H$4:$H$2003,"期初库存",包装物料出入库明细!$B$4:$B$2003,"&gt;="&amp;$S$1,包装物料出入库明细!$B$4:$B$2003,"&lt;="&amp;$S$2))</f>
        <v/>
      </c>
      <c r="G49" s="25" t="str">
        <f>IF($B49="","",SUMIFS(包装物料出入库明细!$I$4:$I$2003,包装物料出入库明细!$E$4:$E$2003,$B49,包装物料出入库明细!$H$4:$H$2003,"采购入库",包装物料出入库明细!$B$4:$B$2003,"&gt;="&amp;$S$1,包装物料出入库明细!$B$4:$B$2003,"&lt;="&amp;$S$2))</f>
        <v/>
      </c>
      <c r="H49" s="56" t="str">
        <f>IF($B49="","",SUMIFS(包装物料出入库明细!$K$4:$K$2003,包装物料出入库明细!$E$4:$E$2003,$B49,包装物料出入库明细!$B$4:$B$2003,"&gt;="&amp;$S$1,包装物料出入库明细!$B$4:$B$2003,"&lt;="&amp;$S$2))</f>
        <v/>
      </c>
      <c r="I49" s="25" t="str">
        <f>IF($B49="","",SUMIFS(包装物料出入库明细!$J$4:$J$2003,包装物料出入库明细!$E$4:$E$2003,$B49,包装物料出入库明细!$H$4:$H$2003,"领用出库",包装物料出入库明细!$B$4:$B$2003,"&gt;="&amp;$S$1,包装物料出入库明细!$B$4:$B$2003,"&lt;="&amp;$S$2))</f>
        <v/>
      </c>
      <c r="J49" s="25" t="str">
        <f>IF($B49="","",SUMIFS(包装物料出入库明细!$J$4:$J$2003,包装物料出入库明细!$E$4:$E$2003,$B49,包装物料出入库明细!$H$4:$H$2003,"销售出库",包装物料出入库明细!$B$4:$B$2003,"&gt;="&amp;$S$1,包装物料出入库明细!$B$4:$B$2003,"&lt;="&amp;$S$2))</f>
        <v/>
      </c>
      <c r="K49" s="25" t="str">
        <f>IF($B49="","",SUMIFS(包装物料出入库明细!$J$4:$J$2003,包装物料出入库明细!$E$4:$E$2003,$B49,包装物料出入库明细!$B$4:$B$2003,"&gt;="&amp;$S$1,包装物料出入库明细!$B$4:$B$2003,"&lt;="&amp;$S$2)-$I49-$J49)</f>
        <v/>
      </c>
      <c r="L49" s="25" t="str">
        <f t="shared" si="1"/>
        <v/>
      </c>
      <c r="M49" s="26" t="str">
        <f t="shared" si="2"/>
        <v/>
      </c>
      <c r="N49" s="24" t="str">
        <f>IF($B49="","",IF($L49&lt;=0,"无库存",IF($L49&gt;=基础资料!$S$4,"充足",IF($L49&gt;=基础资料!$S$5,"正常","不足"))))</f>
        <v/>
      </c>
      <c r="O49" s="41"/>
    </row>
    <row r="50" spans="1:15">
      <c r="A50" s="24" t="str">
        <f t="shared" si="0"/>
        <v/>
      </c>
      <c r="B50" s="24" t="str">
        <f>IFERROR(INDEX(_自动清单!$G$4:$G$63,ROW()-3),"")</f>
        <v/>
      </c>
      <c r="C50" s="24" t="str">
        <f>IF($B50="","",IFERROR(IF(INDEX(基础资料!$O$4:$O$103,MATCH($B50,基础资料!$N$4:$N$103,0))="",IFERROR(INDEX(_自动清单!$H$4:$H$63,ROW()-3),""),INDEX(基础资料!$O$4:$O$103,MATCH($B50,基础资料!$N$4:$N$103,0))),IFERROR(INDEX(_自动清单!$H$4:$H$63,ROW()-3),"")))</f>
        <v/>
      </c>
      <c r="D50" s="24" t="str">
        <f>IF($B50="","",IFERROR(IF(INDEX(基础资料!$P$4:$P$103,MATCH($B50,基础资料!$N$4:$N$103,0))="",IFERROR(INDEX(_自动清单!$I$4:$I$63,ROW()-3),""),INDEX(基础资料!$P$4:$P$103,MATCH($B50,基础资料!$N$4:$N$103,0))),IFERROR(INDEX(_自动清单!$I$4:$I$63,ROW()-3),"")))</f>
        <v/>
      </c>
      <c r="E50" s="26" t="str">
        <f>IF($B50="","",IFERROR(ROUND(SUMIFS(包装物料出入库明细!$N$4:$N$2003,包装物料出入库明细!$E$4:$E$2003,$B50,包装物料出入库明细!$H$4:$H$2003,"采购入库",包装物料出入库明细!$B$4:$B$2003,"&gt;="&amp;$S$1,包装物料出入库明细!$B$4:$B$2003,"&lt;="&amp;$S$2)/SUMIFS(包装物料出入库明细!$I$4:$I$2003,包装物料出入库明细!$E$4:$E$2003,$B50,包装物料出入库明细!$H$4:$H$2003,"采购入库",包装物料出入库明细!$B$4:$B$2003,"&gt;="&amp;$S$1,包装物料出入库明细!$B$4:$B$2003,"&lt;="&amp;$S$2),4),0))</f>
        <v/>
      </c>
      <c r="F50" s="25" t="str">
        <f>IF($B50="","",SUMIFS(包装物料出入库明细!$I$4:$I$2003,包装物料出入库明细!$E$4:$E$2003,$B50,包装物料出入库明细!$H$4:$H$2003,"期初库存",包装物料出入库明细!$B$4:$B$2003,"&gt;="&amp;$S$1,包装物料出入库明细!$B$4:$B$2003,"&lt;="&amp;$S$2))</f>
        <v/>
      </c>
      <c r="G50" s="25" t="str">
        <f>IF($B50="","",SUMIFS(包装物料出入库明细!$I$4:$I$2003,包装物料出入库明细!$E$4:$E$2003,$B50,包装物料出入库明细!$H$4:$H$2003,"采购入库",包装物料出入库明细!$B$4:$B$2003,"&gt;="&amp;$S$1,包装物料出入库明细!$B$4:$B$2003,"&lt;="&amp;$S$2))</f>
        <v/>
      </c>
      <c r="H50" s="56" t="str">
        <f>IF($B50="","",SUMIFS(包装物料出入库明细!$K$4:$K$2003,包装物料出入库明细!$E$4:$E$2003,$B50,包装物料出入库明细!$B$4:$B$2003,"&gt;="&amp;$S$1,包装物料出入库明细!$B$4:$B$2003,"&lt;="&amp;$S$2))</f>
        <v/>
      </c>
      <c r="I50" s="25" t="str">
        <f>IF($B50="","",SUMIFS(包装物料出入库明细!$J$4:$J$2003,包装物料出入库明细!$E$4:$E$2003,$B50,包装物料出入库明细!$H$4:$H$2003,"领用出库",包装物料出入库明细!$B$4:$B$2003,"&gt;="&amp;$S$1,包装物料出入库明细!$B$4:$B$2003,"&lt;="&amp;$S$2))</f>
        <v/>
      </c>
      <c r="J50" s="25" t="str">
        <f>IF($B50="","",SUMIFS(包装物料出入库明细!$J$4:$J$2003,包装物料出入库明细!$E$4:$E$2003,$B50,包装物料出入库明细!$H$4:$H$2003,"销售出库",包装物料出入库明细!$B$4:$B$2003,"&gt;="&amp;$S$1,包装物料出入库明细!$B$4:$B$2003,"&lt;="&amp;$S$2))</f>
        <v/>
      </c>
      <c r="K50" s="25" t="str">
        <f>IF($B50="","",SUMIFS(包装物料出入库明细!$J$4:$J$2003,包装物料出入库明细!$E$4:$E$2003,$B50,包装物料出入库明细!$B$4:$B$2003,"&gt;="&amp;$S$1,包装物料出入库明细!$B$4:$B$2003,"&lt;="&amp;$S$2)-$I50-$J50)</f>
        <v/>
      </c>
      <c r="L50" s="25" t="str">
        <f t="shared" si="1"/>
        <v/>
      </c>
      <c r="M50" s="26" t="str">
        <f t="shared" si="2"/>
        <v/>
      </c>
      <c r="N50" s="24" t="str">
        <f>IF($B50="","",IF($L50&lt;=0,"无库存",IF($L50&gt;=基础资料!$S$4,"充足",IF($L50&gt;=基础资料!$S$5,"正常","不足"))))</f>
        <v/>
      </c>
      <c r="O50" s="41"/>
    </row>
    <row r="51" spans="1:15">
      <c r="A51" s="24" t="str">
        <f t="shared" si="0"/>
        <v/>
      </c>
      <c r="B51" s="24" t="str">
        <f>IFERROR(INDEX(_自动清单!$G$4:$G$63,ROW()-3),"")</f>
        <v/>
      </c>
      <c r="C51" s="24" t="str">
        <f>IF($B51="","",IFERROR(IF(INDEX(基础资料!$O$4:$O$103,MATCH($B51,基础资料!$N$4:$N$103,0))="",IFERROR(INDEX(_自动清单!$H$4:$H$63,ROW()-3),""),INDEX(基础资料!$O$4:$O$103,MATCH($B51,基础资料!$N$4:$N$103,0))),IFERROR(INDEX(_自动清单!$H$4:$H$63,ROW()-3),"")))</f>
        <v/>
      </c>
      <c r="D51" s="24" t="str">
        <f>IF($B51="","",IFERROR(IF(INDEX(基础资料!$P$4:$P$103,MATCH($B51,基础资料!$N$4:$N$103,0))="",IFERROR(INDEX(_自动清单!$I$4:$I$63,ROW()-3),""),INDEX(基础资料!$P$4:$P$103,MATCH($B51,基础资料!$N$4:$N$103,0))),IFERROR(INDEX(_自动清单!$I$4:$I$63,ROW()-3),"")))</f>
        <v/>
      </c>
      <c r="E51" s="26" t="str">
        <f>IF($B51="","",IFERROR(ROUND(SUMIFS(包装物料出入库明细!$N$4:$N$2003,包装物料出入库明细!$E$4:$E$2003,$B51,包装物料出入库明细!$H$4:$H$2003,"采购入库",包装物料出入库明细!$B$4:$B$2003,"&gt;="&amp;$S$1,包装物料出入库明细!$B$4:$B$2003,"&lt;="&amp;$S$2)/SUMIFS(包装物料出入库明细!$I$4:$I$2003,包装物料出入库明细!$E$4:$E$2003,$B51,包装物料出入库明细!$H$4:$H$2003,"采购入库",包装物料出入库明细!$B$4:$B$2003,"&gt;="&amp;$S$1,包装物料出入库明细!$B$4:$B$2003,"&lt;="&amp;$S$2),4),0))</f>
        <v/>
      </c>
      <c r="F51" s="25" t="str">
        <f>IF($B51="","",SUMIFS(包装物料出入库明细!$I$4:$I$2003,包装物料出入库明细!$E$4:$E$2003,$B51,包装物料出入库明细!$H$4:$H$2003,"期初库存",包装物料出入库明细!$B$4:$B$2003,"&gt;="&amp;$S$1,包装物料出入库明细!$B$4:$B$2003,"&lt;="&amp;$S$2))</f>
        <v/>
      </c>
      <c r="G51" s="25" t="str">
        <f>IF($B51="","",SUMIFS(包装物料出入库明细!$I$4:$I$2003,包装物料出入库明细!$E$4:$E$2003,$B51,包装物料出入库明细!$H$4:$H$2003,"采购入库",包装物料出入库明细!$B$4:$B$2003,"&gt;="&amp;$S$1,包装物料出入库明细!$B$4:$B$2003,"&lt;="&amp;$S$2))</f>
        <v/>
      </c>
      <c r="H51" s="56" t="str">
        <f>IF($B51="","",SUMIFS(包装物料出入库明细!$K$4:$K$2003,包装物料出入库明细!$E$4:$E$2003,$B51,包装物料出入库明细!$B$4:$B$2003,"&gt;="&amp;$S$1,包装物料出入库明细!$B$4:$B$2003,"&lt;="&amp;$S$2))</f>
        <v/>
      </c>
      <c r="I51" s="25" t="str">
        <f>IF($B51="","",SUMIFS(包装物料出入库明细!$J$4:$J$2003,包装物料出入库明细!$E$4:$E$2003,$B51,包装物料出入库明细!$H$4:$H$2003,"领用出库",包装物料出入库明细!$B$4:$B$2003,"&gt;="&amp;$S$1,包装物料出入库明细!$B$4:$B$2003,"&lt;="&amp;$S$2))</f>
        <v/>
      </c>
      <c r="J51" s="25" t="str">
        <f>IF($B51="","",SUMIFS(包装物料出入库明细!$J$4:$J$2003,包装物料出入库明细!$E$4:$E$2003,$B51,包装物料出入库明细!$H$4:$H$2003,"销售出库",包装物料出入库明细!$B$4:$B$2003,"&gt;="&amp;$S$1,包装物料出入库明细!$B$4:$B$2003,"&lt;="&amp;$S$2))</f>
        <v/>
      </c>
      <c r="K51" s="25" t="str">
        <f>IF($B51="","",SUMIFS(包装物料出入库明细!$J$4:$J$2003,包装物料出入库明细!$E$4:$E$2003,$B51,包装物料出入库明细!$B$4:$B$2003,"&gt;="&amp;$S$1,包装物料出入库明细!$B$4:$B$2003,"&lt;="&amp;$S$2)-$I51-$J51)</f>
        <v/>
      </c>
      <c r="L51" s="25" t="str">
        <f t="shared" si="1"/>
        <v/>
      </c>
      <c r="M51" s="26" t="str">
        <f t="shared" si="2"/>
        <v/>
      </c>
      <c r="N51" s="24" t="str">
        <f>IF($B51="","",IF($L51&lt;=0,"无库存",IF($L51&gt;=基础资料!$S$4,"充足",IF($L51&gt;=基础资料!$S$5,"正常","不足"))))</f>
        <v/>
      </c>
      <c r="O51" s="41"/>
    </row>
    <row r="52" spans="1:15">
      <c r="A52" s="24" t="str">
        <f t="shared" si="0"/>
        <v/>
      </c>
      <c r="B52" s="24" t="str">
        <f>IFERROR(INDEX(_自动清单!$G$4:$G$63,ROW()-3),"")</f>
        <v/>
      </c>
      <c r="C52" s="24" t="str">
        <f>IF($B52="","",IFERROR(IF(INDEX(基础资料!$O$4:$O$103,MATCH($B52,基础资料!$N$4:$N$103,0))="",IFERROR(INDEX(_自动清单!$H$4:$H$63,ROW()-3),""),INDEX(基础资料!$O$4:$O$103,MATCH($B52,基础资料!$N$4:$N$103,0))),IFERROR(INDEX(_自动清单!$H$4:$H$63,ROW()-3),"")))</f>
        <v/>
      </c>
      <c r="D52" s="24" t="str">
        <f>IF($B52="","",IFERROR(IF(INDEX(基础资料!$P$4:$P$103,MATCH($B52,基础资料!$N$4:$N$103,0))="",IFERROR(INDEX(_自动清单!$I$4:$I$63,ROW()-3),""),INDEX(基础资料!$P$4:$P$103,MATCH($B52,基础资料!$N$4:$N$103,0))),IFERROR(INDEX(_自动清单!$I$4:$I$63,ROW()-3),"")))</f>
        <v/>
      </c>
      <c r="E52" s="26" t="str">
        <f>IF($B52="","",IFERROR(ROUND(SUMIFS(包装物料出入库明细!$N$4:$N$2003,包装物料出入库明细!$E$4:$E$2003,$B52,包装物料出入库明细!$H$4:$H$2003,"采购入库",包装物料出入库明细!$B$4:$B$2003,"&gt;="&amp;$S$1,包装物料出入库明细!$B$4:$B$2003,"&lt;="&amp;$S$2)/SUMIFS(包装物料出入库明细!$I$4:$I$2003,包装物料出入库明细!$E$4:$E$2003,$B52,包装物料出入库明细!$H$4:$H$2003,"采购入库",包装物料出入库明细!$B$4:$B$2003,"&gt;="&amp;$S$1,包装物料出入库明细!$B$4:$B$2003,"&lt;="&amp;$S$2),4),0))</f>
        <v/>
      </c>
      <c r="F52" s="25" t="str">
        <f>IF($B52="","",SUMIFS(包装物料出入库明细!$I$4:$I$2003,包装物料出入库明细!$E$4:$E$2003,$B52,包装物料出入库明细!$H$4:$H$2003,"期初库存",包装物料出入库明细!$B$4:$B$2003,"&gt;="&amp;$S$1,包装物料出入库明细!$B$4:$B$2003,"&lt;="&amp;$S$2))</f>
        <v/>
      </c>
      <c r="G52" s="25" t="str">
        <f>IF($B52="","",SUMIFS(包装物料出入库明细!$I$4:$I$2003,包装物料出入库明细!$E$4:$E$2003,$B52,包装物料出入库明细!$H$4:$H$2003,"采购入库",包装物料出入库明细!$B$4:$B$2003,"&gt;="&amp;$S$1,包装物料出入库明细!$B$4:$B$2003,"&lt;="&amp;$S$2))</f>
        <v/>
      </c>
      <c r="H52" s="56" t="str">
        <f>IF($B52="","",SUMIFS(包装物料出入库明细!$K$4:$K$2003,包装物料出入库明细!$E$4:$E$2003,$B52,包装物料出入库明细!$B$4:$B$2003,"&gt;="&amp;$S$1,包装物料出入库明细!$B$4:$B$2003,"&lt;="&amp;$S$2))</f>
        <v/>
      </c>
      <c r="I52" s="25" t="str">
        <f>IF($B52="","",SUMIFS(包装物料出入库明细!$J$4:$J$2003,包装物料出入库明细!$E$4:$E$2003,$B52,包装物料出入库明细!$H$4:$H$2003,"领用出库",包装物料出入库明细!$B$4:$B$2003,"&gt;="&amp;$S$1,包装物料出入库明细!$B$4:$B$2003,"&lt;="&amp;$S$2))</f>
        <v/>
      </c>
      <c r="J52" s="25" t="str">
        <f>IF($B52="","",SUMIFS(包装物料出入库明细!$J$4:$J$2003,包装物料出入库明细!$E$4:$E$2003,$B52,包装物料出入库明细!$H$4:$H$2003,"销售出库",包装物料出入库明细!$B$4:$B$2003,"&gt;="&amp;$S$1,包装物料出入库明细!$B$4:$B$2003,"&lt;="&amp;$S$2))</f>
        <v/>
      </c>
      <c r="K52" s="25" t="str">
        <f>IF($B52="","",SUMIFS(包装物料出入库明细!$J$4:$J$2003,包装物料出入库明细!$E$4:$E$2003,$B52,包装物料出入库明细!$B$4:$B$2003,"&gt;="&amp;$S$1,包装物料出入库明细!$B$4:$B$2003,"&lt;="&amp;$S$2)-$I52-$J52)</f>
        <v/>
      </c>
      <c r="L52" s="25" t="str">
        <f t="shared" si="1"/>
        <v/>
      </c>
      <c r="M52" s="26" t="str">
        <f t="shared" si="2"/>
        <v/>
      </c>
      <c r="N52" s="24" t="str">
        <f>IF($B52="","",IF($L52&lt;=0,"无库存",IF($L52&gt;=基础资料!$S$4,"充足",IF($L52&gt;=基础资料!$S$5,"正常","不足"))))</f>
        <v/>
      </c>
      <c r="O52" s="41"/>
    </row>
    <row r="53" spans="1:15">
      <c r="A53" s="24" t="str">
        <f t="shared" si="0"/>
        <v/>
      </c>
      <c r="B53" s="24" t="str">
        <f>IFERROR(INDEX(_自动清单!$G$4:$G$63,ROW()-3),"")</f>
        <v/>
      </c>
      <c r="C53" s="24" t="str">
        <f>IF($B53="","",IFERROR(IF(INDEX(基础资料!$O$4:$O$103,MATCH($B53,基础资料!$N$4:$N$103,0))="",IFERROR(INDEX(_自动清单!$H$4:$H$63,ROW()-3),""),INDEX(基础资料!$O$4:$O$103,MATCH($B53,基础资料!$N$4:$N$103,0))),IFERROR(INDEX(_自动清单!$H$4:$H$63,ROW()-3),"")))</f>
        <v/>
      </c>
      <c r="D53" s="24" t="str">
        <f>IF($B53="","",IFERROR(IF(INDEX(基础资料!$P$4:$P$103,MATCH($B53,基础资料!$N$4:$N$103,0))="",IFERROR(INDEX(_自动清单!$I$4:$I$63,ROW()-3),""),INDEX(基础资料!$P$4:$P$103,MATCH($B53,基础资料!$N$4:$N$103,0))),IFERROR(INDEX(_自动清单!$I$4:$I$63,ROW()-3),"")))</f>
        <v/>
      </c>
      <c r="E53" s="26" t="str">
        <f>IF($B53="","",IFERROR(ROUND(SUMIFS(包装物料出入库明细!$N$4:$N$2003,包装物料出入库明细!$E$4:$E$2003,$B53,包装物料出入库明细!$H$4:$H$2003,"采购入库",包装物料出入库明细!$B$4:$B$2003,"&gt;="&amp;$S$1,包装物料出入库明细!$B$4:$B$2003,"&lt;="&amp;$S$2)/SUMIFS(包装物料出入库明细!$I$4:$I$2003,包装物料出入库明细!$E$4:$E$2003,$B53,包装物料出入库明细!$H$4:$H$2003,"采购入库",包装物料出入库明细!$B$4:$B$2003,"&gt;="&amp;$S$1,包装物料出入库明细!$B$4:$B$2003,"&lt;="&amp;$S$2),4),0))</f>
        <v/>
      </c>
      <c r="F53" s="25" t="str">
        <f>IF($B53="","",SUMIFS(包装物料出入库明细!$I$4:$I$2003,包装物料出入库明细!$E$4:$E$2003,$B53,包装物料出入库明细!$H$4:$H$2003,"期初库存",包装物料出入库明细!$B$4:$B$2003,"&gt;="&amp;$S$1,包装物料出入库明细!$B$4:$B$2003,"&lt;="&amp;$S$2))</f>
        <v/>
      </c>
      <c r="G53" s="25" t="str">
        <f>IF($B53="","",SUMIFS(包装物料出入库明细!$I$4:$I$2003,包装物料出入库明细!$E$4:$E$2003,$B53,包装物料出入库明细!$H$4:$H$2003,"采购入库",包装物料出入库明细!$B$4:$B$2003,"&gt;="&amp;$S$1,包装物料出入库明细!$B$4:$B$2003,"&lt;="&amp;$S$2))</f>
        <v/>
      </c>
      <c r="H53" s="56" t="str">
        <f>IF($B53="","",SUMIFS(包装物料出入库明细!$K$4:$K$2003,包装物料出入库明细!$E$4:$E$2003,$B53,包装物料出入库明细!$B$4:$B$2003,"&gt;="&amp;$S$1,包装物料出入库明细!$B$4:$B$2003,"&lt;="&amp;$S$2))</f>
        <v/>
      </c>
      <c r="I53" s="25" t="str">
        <f>IF($B53="","",SUMIFS(包装物料出入库明细!$J$4:$J$2003,包装物料出入库明细!$E$4:$E$2003,$B53,包装物料出入库明细!$H$4:$H$2003,"领用出库",包装物料出入库明细!$B$4:$B$2003,"&gt;="&amp;$S$1,包装物料出入库明细!$B$4:$B$2003,"&lt;="&amp;$S$2))</f>
        <v/>
      </c>
      <c r="J53" s="25" t="str">
        <f>IF($B53="","",SUMIFS(包装物料出入库明细!$J$4:$J$2003,包装物料出入库明细!$E$4:$E$2003,$B53,包装物料出入库明细!$H$4:$H$2003,"销售出库",包装物料出入库明细!$B$4:$B$2003,"&gt;="&amp;$S$1,包装物料出入库明细!$B$4:$B$2003,"&lt;="&amp;$S$2))</f>
        <v/>
      </c>
      <c r="K53" s="25" t="str">
        <f>IF($B53="","",SUMIFS(包装物料出入库明细!$J$4:$J$2003,包装物料出入库明细!$E$4:$E$2003,$B53,包装物料出入库明细!$B$4:$B$2003,"&gt;="&amp;$S$1,包装物料出入库明细!$B$4:$B$2003,"&lt;="&amp;$S$2)-$I53-$J53)</f>
        <v/>
      </c>
      <c r="L53" s="25" t="str">
        <f t="shared" si="1"/>
        <v/>
      </c>
      <c r="M53" s="26" t="str">
        <f t="shared" si="2"/>
        <v/>
      </c>
      <c r="N53" s="24" t="str">
        <f>IF($B53="","",IF($L53&lt;=0,"无库存",IF($L53&gt;=基础资料!$S$4,"充足",IF($L53&gt;=基础资料!$S$5,"正常","不足"))))</f>
        <v/>
      </c>
      <c r="O53" s="41"/>
    </row>
    <row r="54" spans="1:15">
      <c r="A54" s="51"/>
      <c r="B54" s="51" t="s">
        <v>473</v>
      </c>
      <c r="C54" s="51"/>
      <c r="D54" s="51"/>
      <c r="E54" s="51"/>
      <c r="F54" s="57">
        <f t="shared" ref="F54:M54" si="3">ROUND(SUM(F4:F53),2)</f>
        <v>24973</v>
      </c>
      <c r="G54" s="57">
        <f t="shared" si="3"/>
        <v>1104</v>
      </c>
      <c r="H54" s="57">
        <f t="shared" si="3"/>
        <v>-800</v>
      </c>
      <c r="I54" s="57">
        <f t="shared" si="3"/>
        <v>1787</v>
      </c>
      <c r="J54" s="57">
        <f t="shared" si="3"/>
        <v>0</v>
      </c>
      <c r="K54" s="57">
        <f t="shared" si="3"/>
        <v>0</v>
      </c>
      <c r="L54" s="57">
        <f t="shared" si="3"/>
        <v>23490</v>
      </c>
      <c r="M54" s="59">
        <f t="shared" si="3"/>
        <v>4921</v>
      </c>
      <c r="N54" s="51"/>
      <c r="O54" s="51"/>
    </row>
  </sheetData>
  <mergeCells count="2">
    <mergeCell ref="A1:O1"/>
    <mergeCell ref="A2:K2"/>
  </mergeCells>
  <conditionalFormatting sqref="A2">
    <cfRule type="expression" dxfId="0" priority="1">
      <formula>(N(_自动清单!$A$1)&gt;50)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Q6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O8" sqref="O8"/>
    </sheetView>
  </sheetViews>
  <sheetFormatPr defaultColWidth="9" defaultRowHeight="15"/>
  <cols>
    <col min="1" max="1" width="5" style="53" customWidth="1"/>
    <col min="2" max="2" width="15" style="53" customWidth="1"/>
    <col min="3" max="3" width="16.2857142857143" style="53" customWidth="1"/>
    <col min="4" max="4" width="11" style="53" customWidth="1"/>
    <col min="5" max="5" width="13" style="53" customWidth="1"/>
    <col min="6" max="8" width="11" style="53" customWidth="1"/>
    <col min="9" max="9" width="13" style="53" customWidth="1"/>
    <col min="10" max="10" width="14" style="53" customWidth="1"/>
    <col min="11" max="11" width="19.7142857142857" style="53" customWidth="1"/>
    <col min="12" max="12" width="14" style="53" customWidth="1"/>
    <col min="13" max="13" width="39.7142857142857" style="53" customWidth="1"/>
    <col min="14" max="16" width="9" style="53"/>
    <col min="17" max="17" width="10.1428571428571" style="53"/>
    <col min="18" max="16384" width="9" style="53"/>
  </cols>
  <sheetData>
    <row r="1" ht="30" customHeight="1" spans="1:17">
      <c r="A1" s="7" t="s">
        <v>474</v>
      </c>
      <c r="Q1" s="54">
        <f>IF($K2="",DATE(1900,1,1),$K2)</f>
        <v>1</v>
      </c>
    </row>
    <row r="2" ht="20" customHeight="1" spans="1:17">
      <c r="A2" s="55" t="s">
        <v>475</v>
      </c>
      <c r="J2" s="13" t="s">
        <v>466</v>
      </c>
      <c r="K2" s="19"/>
      <c r="L2" s="13" t="s">
        <v>467</v>
      </c>
      <c r="M2" s="19"/>
      <c r="Q2" s="54">
        <f>IF($M2="",DATE(2999,12,31),$M2)</f>
        <v>401768</v>
      </c>
    </row>
    <row r="3" ht="30" customHeight="1" spans="1:17">
      <c r="A3" s="21" t="s">
        <v>3</v>
      </c>
      <c r="B3" s="21" t="s">
        <v>476</v>
      </c>
      <c r="C3" s="74" t="s">
        <v>477</v>
      </c>
      <c r="D3" s="21" t="s">
        <v>157</v>
      </c>
      <c r="E3" s="21" t="s">
        <v>469</v>
      </c>
      <c r="F3" s="21" t="s">
        <v>478</v>
      </c>
      <c r="G3" s="21" t="s">
        <v>192</v>
      </c>
      <c r="H3" s="21" t="s">
        <v>479</v>
      </c>
      <c r="I3" s="21" t="s">
        <v>480</v>
      </c>
      <c r="J3" s="74" t="s">
        <v>481</v>
      </c>
      <c r="K3" s="74" t="s">
        <v>482</v>
      </c>
      <c r="L3" s="21" t="s">
        <v>483</v>
      </c>
      <c r="M3" s="21" t="s">
        <v>306</v>
      </c>
    </row>
    <row r="4" spans="1:17">
      <c r="A4" s="24">
        <f t="shared" ref="A4:A63" si="0">IF($B4="","",ROW()-3)</f>
        <v>1</v>
      </c>
      <c r="B4" s="75" t="str">
        <f>IFERROR(INDEX(_自动清单!$BQ$4:$BQ$63,ROW()-3),"")</f>
        <v>公司一次性筐</v>
      </c>
      <c r="C4" s="25">
        <f>IF(OR($B4="",LEFT($B4,2)="自备"),"",SUMIFS(周转筐出入库明细!$H$4:$H$2004,周转筐出入库明细!$D$4:$D$2004,$B4,周转筐出入库明细!$F$4:$F$2004,"期初库存"))</f>
        <v>69840</v>
      </c>
      <c r="D4" s="25">
        <f>IF(OR($B4="",LEFT($B4,2)="自备"),"",SUMIFS(周转筐出入库明细!$H$4:$H$2004,周转筐出入库明细!$D$4:$D$2004,$B4,周转筐出入库明细!$F$4:$F$2004,"采购入库",周转筐出入库明细!$B$4:$B$2004,"&gt;="&amp;$Q$1,周转筐出入库明细!$B$4:$B$2004,"&lt;="&amp;$Q$2))</f>
        <v>0</v>
      </c>
      <c r="E4" s="56">
        <f>IF(OR($B4="",LEFT($B4,2)="自备"),"",SUMIFS(周转筐出入库明细!$I$4:$I$2004,周转筐出入库明细!$D$4:$D$2004,$B4,周转筐出入库明细!$B$4:$B$2004,"&gt;="&amp;$Q$1,周转筐出入库明细!$B$4:$B$2004,"&lt;="&amp;$Q$2))</f>
        <v>1</v>
      </c>
      <c r="F4" s="25">
        <f>IF(OR($B4="",LEFT($B4,2)="自备"),"",SUMIFS(周转筐出入库明细!$J$4:$J$2004,周转筐出入库明细!$D$4:$D$2004,$B4,周转筐出入库明细!$B$4:$B$2004,"&gt;="&amp;$Q$1,周转筐出入库明细!$B$4:$B$2004,"&lt;="&amp;$Q$2))</f>
        <v>5214</v>
      </c>
      <c r="G4" s="25">
        <f>IF(OR($B4="",LEFT($B4,2)="自备"),"",SUMIFS(周转筐出入库明细!$K$4:$K$2004,周转筐出入库明细!$D$4:$D$2004,$B4,周转筐出入库明细!$B$4:$B$2004,"&gt;="&amp;$Q$1,周转筐出入库明细!$B$4:$B$2004,"&lt;="&amp;$Q$2))</f>
        <v>0</v>
      </c>
      <c r="H4" s="25">
        <f>IF(OR($B4="",LEFT($B4,2)="自备"),"",SUMIFS(周转筐出入库明细!$H$4:$H$2004,周转筐出入库明细!$D$4:$D$2004,$B4,周转筐出入库明细!$B$4:$B$2004,"&gt;="&amp;$Q$1,周转筐出入库明细!$B$4:$B$2004,"&lt;="&amp;$Q$2)-SUMIFS(周转筐出入库明细!$H$4:$H$2004,周转筐出入库明细!$D$4:$D$2004,$B4,周转筐出入库明细!$F$4:$F$2004,"采购入库",周转筐出入库明细!$B$4:$B$2004,"&gt;="&amp;$Q$1,周转筐出入库明细!$B$4:$B$2004,"&lt;="&amp;$Q$2))</f>
        <v>0</v>
      </c>
      <c r="I4" s="25">
        <f t="shared" ref="I4:I63" si="1">IF(OR($B4="",LEFT($B4,2)="自备"),"",N($C4)+N($D4)+N($E4)-N($F4)-N($G4)+N($H4))</f>
        <v>64627</v>
      </c>
      <c r="J4" s="25">
        <f t="shared" ref="J4:J63" si="2">IF(OR($B4="",LEFT($B4,2)="自备"),"",N($F4)-N($E4))</f>
        <v>5213</v>
      </c>
      <c r="K4" s="25">
        <f>IF(OR($B4="",LEFT($B4,2)="自备"),"",SUMIFS(对接源_01水果筐数!$E$5:$E$304,对接源_01水果筐数!$C$5:$C$304,$B4)+SUMIFS(对接源_01水果筐数!$F$5:$F$304,对接源_01水果筐数!$C$5:$C$304,$B4)-SUMIFS(对接源_01水果筐数!$D$5:$D$304,对接源_01水果筐数!$C$5:$C$304,$B4))</f>
        <v>-1619</v>
      </c>
      <c r="L4" s="25">
        <f t="shared" ref="L4:L63" si="3">IF(OR($B4="",LEFT($B4,2)="自备"),"",N($I4)+N($J4)+N($K4))</f>
        <v>68221</v>
      </c>
      <c r="M4" s="22" t="str">
        <f t="shared" ref="M4:M63" si="4">IF($B4="","",IF(LEFT($B4,2)="自备","客户自备筐，不计公司资产，见【自备筐汇总】",""))</f>
        <v/>
      </c>
    </row>
    <row r="5" spans="1:17">
      <c r="A5" s="24">
        <f t="shared" si="0"/>
        <v>2</v>
      </c>
      <c r="B5" s="75" t="str">
        <f>IFERROR(INDEX(_自动清单!$BQ$4:$BQ$63,ROW()-3),"")</f>
        <v>公司杂周转筐</v>
      </c>
      <c r="C5" s="25">
        <f>IF(OR($B5="",LEFT($B5,2)="自备"),"",SUMIFS(周转筐出入库明细!$H$4:$H$2004,周转筐出入库明细!$D$4:$D$2004,$B5,周转筐出入库明细!$F$4:$F$2004,"期初库存"))</f>
        <v>35928</v>
      </c>
      <c r="D5" s="25">
        <f>IF(OR($B5="",LEFT($B5,2)="自备"),"",SUMIFS(周转筐出入库明细!$H$4:$H$2004,周转筐出入库明细!$D$4:$D$2004,$B5,周转筐出入库明细!$F$4:$F$2004,"采购入库",周转筐出入库明细!$B$4:$B$2004,"&gt;="&amp;$Q$1,周转筐出入库明细!$B$4:$B$2004,"&lt;="&amp;$Q$2))</f>
        <v>0</v>
      </c>
      <c r="E5" s="56">
        <f>IF(OR($B5="",LEFT($B5,2)="自备"),"",SUMIFS(周转筐出入库明细!$I$4:$I$2004,周转筐出入库明细!$D$4:$D$2004,$B5,周转筐出入库明细!$B$4:$B$2004,"&gt;="&amp;$Q$1,周转筐出入库明细!$B$4:$B$2004,"&lt;="&amp;$Q$2))</f>
        <v>81</v>
      </c>
      <c r="F5" s="25">
        <f>IF(OR($B5="",LEFT($B5,2)="自备"),"",SUMIFS(周转筐出入库明细!$J$4:$J$2004,周转筐出入库明细!$D$4:$D$2004,$B5,周转筐出入库明细!$B$4:$B$2004,"&gt;="&amp;$Q$1,周转筐出入库明细!$B$4:$B$2004,"&lt;="&amp;$Q$2))</f>
        <v>6607</v>
      </c>
      <c r="G5" s="25">
        <f>IF(OR($B5="",LEFT($B5,2)="自备"),"",SUMIFS(周转筐出入库明细!$K$4:$K$2004,周转筐出入库明细!$D$4:$D$2004,$B5,周转筐出入库明细!$B$4:$B$2004,"&gt;="&amp;$Q$1,周转筐出入库明细!$B$4:$B$2004,"&lt;="&amp;$Q$2))</f>
        <v>0</v>
      </c>
      <c r="H5" s="25">
        <f>IF(OR($B5="",LEFT($B5,2)="自备"),"",SUMIFS(周转筐出入库明细!$H$4:$H$2004,周转筐出入库明细!$D$4:$D$2004,$B5,周转筐出入库明细!$B$4:$B$2004,"&gt;="&amp;$Q$1,周转筐出入库明细!$B$4:$B$2004,"&lt;="&amp;$Q$2)-SUMIFS(周转筐出入库明细!$H$4:$H$2004,周转筐出入库明细!$D$4:$D$2004,$B5,周转筐出入库明细!$F$4:$F$2004,"采购入库",周转筐出入库明细!$B$4:$B$2004,"&gt;="&amp;$Q$1,周转筐出入库明细!$B$4:$B$2004,"&lt;="&amp;$Q$2))</f>
        <v>0</v>
      </c>
      <c r="I5" s="25">
        <f t="shared" si="1"/>
        <v>29402</v>
      </c>
      <c r="J5" s="25">
        <f t="shared" si="2"/>
        <v>6526</v>
      </c>
      <c r="K5" s="25">
        <f>IF(OR($B5="",LEFT($B5,2)="自备"),"",SUMIFS(对接源_01水果筐数!$E$5:$E$304,对接源_01水果筐数!$C$5:$C$304,$B5)+SUMIFS(对接源_01水果筐数!$F$5:$F$304,对接源_01水果筐数!$C$5:$C$304,$B5)-SUMIFS(对接源_01水果筐数!$D$5:$D$304,对接源_01水果筐数!$C$5:$C$304,$B5))</f>
        <v>-3565</v>
      </c>
      <c r="L5" s="25">
        <f t="shared" si="3"/>
        <v>32363</v>
      </c>
      <c r="M5" s="22" t="str">
        <f t="shared" si="4"/>
        <v/>
      </c>
    </row>
    <row r="6" spans="1:17">
      <c r="A6" s="24">
        <f t="shared" si="0"/>
        <v>3</v>
      </c>
      <c r="B6" s="75" t="str">
        <f>IFERROR(INDEX(_自动清单!$BQ$4:$BQ$63,ROW()-3),"")</f>
        <v>公司新周转筐</v>
      </c>
      <c r="C6" s="25">
        <f>IF(OR($B6="",LEFT($B6,2)="自备"),"",SUMIFS(周转筐出入库明细!$H$4:$H$2004,周转筐出入库明细!$D$4:$D$2004,$B6,周转筐出入库明细!$F$4:$F$2004,"期初库存"))</f>
        <v>58032</v>
      </c>
      <c r="D6" s="25">
        <f>IF(OR($B6="",LEFT($B6,2)="自备"),"",SUMIFS(周转筐出入库明细!$H$4:$H$2004,周转筐出入库明细!$D$4:$D$2004,$B6,周转筐出入库明细!$F$4:$F$2004,"采购入库",周转筐出入库明细!$B$4:$B$2004,"&gt;="&amp;$Q$1,周转筐出入库明细!$B$4:$B$2004,"&lt;="&amp;$Q$2))</f>
        <v>0</v>
      </c>
      <c r="E6" s="56">
        <f>IF(OR($B6="",LEFT($B6,2)="自备"),"",SUMIFS(周转筐出入库明细!$I$4:$I$2004,周转筐出入库明细!$D$4:$D$2004,$B6,周转筐出入库明细!$B$4:$B$2004,"&gt;="&amp;$Q$1,周转筐出入库明细!$B$4:$B$2004,"&lt;="&amp;$Q$2))</f>
        <v>0</v>
      </c>
      <c r="F6" s="25">
        <f>IF(OR($B6="",LEFT($B6,2)="自备"),"",SUMIFS(周转筐出入库明细!$J$4:$J$2004,周转筐出入库明细!$D$4:$D$2004,$B6,周转筐出入库明细!$B$4:$B$2004,"&gt;="&amp;$Q$1,周转筐出入库明细!$B$4:$B$2004,"&lt;="&amp;$Q$2))</f>
        <v>1011</v>
      </c>
      <c r="G6" s="25">
        <f>IF(OR($B6="",LEFT($B6,2)="自备"),"",SUMIFS(周转筐出入库明细!$K$4:$K$2004,周转筐出入库明细!$D$4:$D$2004,$B6,周转筐出入库明细!$B$4:$B$2004,"&gt;="&amp;$Q$1,周转筐出入库明细!$B$4:$B$2004,"&lt;="&amp;$Q$2))</f>
        <v>0</v>
      </c>
      <c r="H6" s="25">
        <f>IF(OR($B6="",LEFT($B6,2)="自备"),"",SUMIFS(周转筐出入库明细!$H$4:$H$2004,周转筐出入库明细!$D$4:$D$2004,$B6,周转筐出入库明细!$B$4:$B$2004,"&gt;="&amp;$Q$1,周转筐出入库明细!$B$4:$B$2004,"&lt;="&amp;$Q$2)-SUMIFS(周转筐出入库明细!$H$4:$H$2004,周转筐出入库明细!$D$4:$D$2004,$B6,周转筐出入库明细!$F$4:$F$2004,"采购入库",周转筐出入库明细!$B$4:$B$2004,"&gt;="&amp;$Q$1,周转筐出入库明细!$B$4:$B$2004,"&lt;="&amp;$Q$2))</f>
        <v>0</v>
      </c>
      <c r="I6" s="25">
        <f t="shared" si="1"/>
        <v>57021</v>
      </c>
      <c r="J6" s="25">
        <f t="shared" si="2"/>
        <v>1011</v>
      </c>
      <c r="K6" s="25">
        <f>IF(OR($B6="",LEFT($B6,2)="自备"),"",SUMIFS(对接源_01水果筐数!$E$5:$E$304,对接源_01水果筐数!$C$5:$C$304,$B6)+SUMIFS(对接源_01水果筐数!$F$5:$F$304,对接源_01水果筐数!$C$5:$C$304,$B6)-SUMIFS(对接源_01水果筐数!$D$5:$D$304,对接源_01水果筐数!$C$5:$C$304,$B6))</f>
        <v>-74</v>
      </c>
      <c r="L6" s="25">
        <f t="shared" si="3"/>
        <v>57958</v>
      </c>
      <c r="M6" s="22" t="str">
        <f t="shared" si="4"/>
        <v/>
      </c>
    </row>
    <row r="7" spans="1:17">
      <c r="A7" s="24">
        <f t="shared" si="0"/>
        <v>4</v>
      </c>
      <c r="B7" s="75" t="str">
        <f>IFERROR(INDEX(_自动清单!$BQ$4:$BQ$63,ROW()-3),"")</f>
        <v>公司白周转筐</v>
      </c>
      <c r="C7" s="25">
        <f>IF(OR($B7="",LEFT($B7,2)="自备"),"",SUMIFS(周转筐出入库明细!$H$4:$H$2004,周转筐出入库明细!$D$4:$D$2004,$B7,周转筐出入库明细!$F$4:$F$2004,"期初库存"))</f>
        <v>13968</v>
      </c>
      <c r="D7" s="25">
        <f>IF(OR($B7="",LEFT($B7,2)="自备"),"",SUMIFS(周转筐出入库明细!$H$4:$H$2004,周转筐出入库明细!$D$4:$D$2004,$B7,周转筐出入库明细!$F$4:$F$2004,"采购入库",周转筐出入库明细!$B$4:$B$2004,"&gt;="&amp;$Q$1,周转筐出入库明细!$B$4:$B$2004,"&lt;="&amp;$Q$2))</f>
        <v>0</v>
      </c>
      <c r="E7" s="56">
        <f>IF(OR($B7="",LEFT($B7,2)="自备"),"",SUMIFS(周转筐出入库明细!$I$4:$I$2004,周转筐出入库明细!$D$4:$D$2004,$B7,周转筐出入库明细!$B$4:$B$2004,"&gt;="&amp;$Q$1,周转筐出入库明细!$B$4:$B$2004,"&lt;="&amp;$Q$2))</f>
        <v>0</v>
      </c>
      <c r="F7" s="25">
        <f>IF(OR($B7="",LEFT($B7,2)="自备"),"",SUMIFS(周转筐出入库明细!$J$4:$J$2004,周转筐出入库明细!$D$4:$D$2004,$B7,周转筐出入库明细!$B$4:$B$2004,"&gt;="&amp;$Q$1,周转筐出入库明细!$B$4:$B$2004,"&lt;="&amp;$Q$2))</f>
        <v>0</v>
      </c>
      <c r="G7" s="25">
        <f>IF(OR($B7="",LEFT($B7,2)="自备"),"",SUMIFS(周转筐出入库明细!$K$4:$K$2004,周转筐出入库明细!$D$4:$D$2004,$B7,周转筐出入库明细!$B$4:$B$2004,"&gt;="&amp;$Q$1,周转筐出入库明细!$B$4:$B$2004,"&lt;="&amp;$Q$2))</f>
        <v>0</v>
      </c>
      <c r="H7" s="25">
        <f>IF(OR($B7="",LEFT($B7,2)="自备"),"",SUMIFS(周转筐出入库明细!$H$4:$H$2004,周转筐出入库明细!$D$4:$D$2004,$B7,周转筐出入库明细!$B$4:$B$2004,"&gt;="&amp;$Q$1,周转筐出入库明细!$B$4:$B$2004,"&lt;="&amp;$Q$2)-SUMIFS(周转筐出入库明细!$H$4:$H$2004,周转筐出入库明细!$D$4:$D$2004,$B7,周转筐出入库明细!$F$4:$F$2004,"采购入库",周转筐出入库明细!$B$4:$B$2004,"&gt;="&amp;$Q$1,周转筐出入库明细!$B$4:$B$2004,"&lt;="&amp;$Q$2))</f>
        <v>0</v>
      </c>
      <c r="I7" s="25">
        <f t="shared" si="1"/>
        <v>13968</v>
      </c>
      <c r="J7" s="25">
        <f t="shared" si="2"/>
        <v>0</v>
      </c>
      <c r="K7" s="25">
        <f>IF(OR($B7="",LEFT($B7,2)="自备"),"",SUMIFS(对接源_01水果筐数!$E$5:$E$304,对接源_01水果筐数!$C$5:$C$304,$B7)+SUMIFS(对接源_01水果筐数!$F$5:$F$304,对接源_01水果筐数!$C$5:$C$304,$B7)-SUMIFS(对接源_01水果筐数!$D$5:$D$304,对接源_01水果筐数!$C$5:$C$304,$B7))</f>
        <v>0</v>
      </c>
      <c r="L7" s="25">
        <f t="shared" si="3"/>
        <v>13968</v>
      </c>
      <c r="M7" s="22" t="str">
        <f t="shared" si="4"/>
        <v/>
      </c>
    </row>
    <row r="8" spans="1:17">
      <c r="A8" s="24">
        <f t="shared" si="0"/>
        <v>5</v>
      </c>
      <c r="B8" s="75" t="str">
        <f>IFERROR(INDEX(_自动清单!$BQ$4:$BQ$63,ROW()-3),"")</f>
        <v>公司红周转筐</v>
      </c>
      <c r="C8" s="25">
        <f>IF(OR($B8="",LEFT($B8,2)="自备"),"",SUMIFS(周转筐出入库明细!$H$4:$H$2004,周转筐出入库明细!$D$4:$D$2004,$B8,周转筐出入库明细!$F$4:$F$2004,"期初库存"))</f>
        <v>0</v>
      </c>
      <c r="D8" s="25">
        <f>IF(OR($B8="",LEFT($B8,2)="自备"),"",SUMIFS(周转筐出入库明细!$H$4:$H$2004,周转筐出入库明细!$D$4:$D$2004,$B8,周转筐出入库明细!$F$4:$F$2004,"采购入库",周转筐出入库明细!$B$4:$B$2004,"&gt;="&amp;$Q$1,周转筐出入库明细!$B$4:$B$2004,"&lt;="&amp;$Q$2))</f>
        <v>17472</v>
      </c>
      <c r="E8" s="56">
        <f>IF(OR($B8="",LEFT($B8,2)="自备"),"",SUMIFS(周转筐出入库明细!$I$4:$I$2004,周转筐出入库明细!$D$4:$D$2004,$B8,周转筐出入库明细!$B$4:$B$2004,"&gt;="&amp;$Q$1,周转筐出入库明细!$B$4:$B$2004,"&lt;="&amp;$Q$2))</f>
        <v>0</v>
      </c>
      <c r="F8" s="25">
        <f>IF(OR($B8="",LEFT($B8,2)="自备"),"",SUMIFS(周转筐出入库明细!$J$4:$J$2004,周转筐出入库明细!$D$4:$D$2004,$B8,周转筐出入库明细!$B$4:$B$2004,"&gt;="&amp;$Q$1,周转筐出入库明细!$B$4:$B$2004,"&lt;="&amp;$Q$2))</f>
        <v>16512</v>
      </c>
      <c r="G8" s="25">
        <f>IF(OR($B8="",LEFT($B8,2)="自备"),"",SUMIFS(周转筐出入库明细!$K$4:$K$2004,周转筐出入库明细!$D$4:$D$2004,$B8,周转筐出入库明细!$B$4:$B$2004,"&gt;="&amp;$Q$1,周转筐出入库明细!$B$4:$B$2004,"&lt;="&amp;$Q$2))</f>
        <v>960</v>
      </c>
      <c r="H8" s="25">
        <f>IF(OR($B8="",LEFT($B8,2)="自备"),"",SUMIFS(周转筐出入库明细!$H$4:$H$2004,周转筐出入库明细!$D$4:$D$2004,$B8,周转筐出入库明细!$B$4:$B$2004,"&gt;="&amp;$Q$1,周转筐出入库明细!$B$4:$B$2004,"&lt;="&amp;$Q$2)-SUMIFS(周转筐出入库明细!$H$4:$H$2004,周转筐出入库明细!$D$4:$D$2004,$B8,周转筐出入库明细!$F$4:$F$2004,"采购入库",周转筐出入库明细!$B$4:$B$2004,"&gt;="&amp;$Q$1,周转筐出入库明细!$B$4:$B$2004,"&lt;="&amp;$Q$2))</f>
        <v>0</v>
      </c>
      <c r="I8" s="25">
        <f t="shared" si="1"/>
        <v>0</v>
      </c>
      <c r="J8" s="25">
        <f t="shared" si="2"/>
        <v>16512</v>
      </c>
      <c r="K8" s="25">
        <f>IF(OR($B8="",LEFT($B8,2)="自备"),"",SUMIFS(对接源_01水果筐数!$E$5:$E$304,对接源_01水果筐数!$C$5:$C$304,$B8)+SUMIFS(对接源_01水果筐数!$F$5:$F$304,对接源_01水果筐数!$C$5:$C$304,$B8)-SUMIFS(对接源_01水果筐数!$D$5:$D$304,对接源_01水果筐数!$C$5:$C$304,$B8))</f>
        <v>-8796</v>
      </c>
      <c r="L8" s="25">
        <f t="shared" si="3"/>
        <v>7716</v>
      </c>
      <c r="M8" s="22" t="str">
        <f t="shared" si="4"/>
        <v/>
      </c>
    </row>
    <row r="9" spans="1:17">
      <c r="A9" s="24">
        <f t="shared" si="0"/>
        <v>6</v>
      </c>
      <c r="B9" s="75" t="str">
        <f>IFERROR(INDEX(_自动清单!$BQ$4:$BQ$63,ROW()-3),"")</f>
        <v>自备一次性筐</v>
      </c>
      <c r="C9" s="25" t="str">
        <f>IF(OR($B9="",LEFT($B9,2)="自备"),"",SUMIFS(周转筐出入库明细!$H$4:$H$2004,周转筐出入库明细!$D$4:$D$2004,$B9,周转筐出入库明细!$F$4:$F$2004,"期初库存"))</f>
        <v/>
      </c>
      <c r="D9" s="25" t="str">
        <f>IF(OR($B9="",LEFT($B9,2)="自备"),"",SUMIFS(周转筐出入库明细!$H$4:$H$2004,周转筐出入库明细!$D$4:$D$2004,$B9,周转筐出入库明细!$F$4:$F$2004,"采购入库",周转筐出入库明细!$B$4:$B$2004,"&gt;="&amp;$Q$1,周转筐出入库明细!$B$4:$B$2004,"&lt;="&amp;$Q$2))</f>
        <v/>
      </c>
      <c r="E9" s="56" t="str">
        <f>IF(OR($B9="",LEFT($B9,2)="自备"),"",SUMIFS(周转筐出入库明细!$I$4:$I$2004,周转筐出入库明细!$D$4:$D$2004,$B9,周转筐出入库明细!$B$4:$B$2004,"&gt;="&amp;$Q$1,周转筐出入库明细!$B$4:$B$2004,"&lt;="&amp;$Q$2))</f>
        <v/>
      </c>
      <c r="F9" s="25" t="str">
        <f>IF(OR($B9="",LEFT($B9,2)="自备"),"",SUMIFS(周转筐出入库明细!$J$4:$J$2004,周转筐出入库明细!$D$4:$D$2004,$B9,周转筐出入库明细!$B$4:$B$2004,"&gt;="&amp;$Q$1,周转筐出入库明细!$B$4:$B$2004,"&lt;="&amp;$Q$2))</f>
        <v/>
      </c>
      <c r="G9" s="25" t="str">
        <f>IF(OR($B9="",LEFT($B9,2)="自备"),"",SUMIFS(周转筐出入库明细!$K$4:$K$2004,周转筐出入库明细!$D$4:$D$2004,$B9,周转筐出入库明细!$B$4:$B$2004,"&gt;="&amp;$Q$1,周转筐出入库明细!$B$4:$B$2004,"&lt;="&amp;$Q$2))</f>
        <v/>
      </c>
      <c r="H9" s="25" t="str">
        <f>IF(OR($B9="",LEFT($B9,2)="自备"),"",SUMIFS(周转筐出入库明细!$H$4:$H$2004,周转筐出入库明细!$D$4:$D$2004,$B9,周转筐出入库明细!$B$4:$B$2004,"&gt;="&amp;$Q$1,周转筐出入库明细!$B$4:$B$2004,"&lt;="&amp;$Q$2)-SUMIFS(周转筐出入库明细!$H$4:$H$2004,周转筐出入库明细!$D$4:$D$2004,$B9,周转筐出入库明细!$F$4:$F$2004,"采购入库",周转筐出入库明细!$B$4:$B$2004,"&gt;="&amp;$Q$1,周转筐出入库明细!$B$4:$B$2004,"&lt;="&amp;$Q$2))</f>
        <v/>
      </c>
      <c r="I9" s="25" t="str">
        <f t="shared" si="1"/>
        <v/>
      </c>
      <c r="J9" s="25" t="str">
        <f t="shared" si="2"/>
        <v/>
      </c>
      <c r="K9" s="25" t="str">
        <f>IF(OR($B9="",LEFT($B9,2)="自备"),"",SUMIFS(对接源_01水果筐数!$E$5:$E$304,对接源_01水果筐数!$C$5:$C$304,$B9)+SUMIFS(对接源_01水果筐数!$F$5:$F$304,对接源_01水果筐数!$C$5:$C$304,$B9)-SUMIFS(对接源_01水果筐数!$D$5:$D$304,对接源_01水果筐数!$C$5:$C$304,$B9))</f>
        <v/>
      </c>
      <c r="L9" s="25" t="str">
        <f t="shared" si="3"/>
        <v/>
      </c>
      <c r="M9" s="22" t="str">
        <f t="shared" si="4"/>
        <v>客户自备筐，不计公司资产，见【自备筐汇总】</v>
      </c>
    </row>
    <row r="10" spans="1:17">
      <c r="A10" s="24">
        <f t="shared" si="0"/>
        <v>7</v>
      </c>
      <c r="B10" s="75" t="str">
        <f>IFERROR(INDEX(_自动清单!$BQ$4:$BQ$63,ROW()-3),"")</f>
        <v>自备杂周转筐</v>
      </c>
      <c r="C10" s="25" t="str">
        <f>IF(OR($B10="",LEFT($B10,2)="自备"),"",SUMIFS(周转筐出入库明细!$H$4:$H$2004,周转筐出入库明细!$D$4:$D$2004,$B10,周转筐出入库明细!$F$4:$F$2004,"期初库存"))</f>
        <v/>
      </c>
      <c r="D10" s="25" t="str">
        <f>IF(OR($B10="",LEFT($B10,2)="自备"),"",SUMIFS(周转筐出入库明细!$H$4:$H$2004,周转筐出入库明细!$D$4:$D$2004,$B10,周转筐出入库明细!$F$4:$F$2004,"采购入库",周转筐出入库明细!$B$4:$B$2004,"&gt;="&amp;$Q$1,周转筐出入库明细!$B$4:$B$2004,"&lt;="&amp;$Q$2))</f>
        <v/>
      </c>
      <c r="E10" s="56" t="str">
        <f>IF(OR($B10="",LEFT($B10,2)="自备"),"",SUMIFS(周转筐出入库明细!$I$4:$I$2004,周转筐出入库明细!$D$4:$D$2004,$B10,周转筐出入库明细!$B$4:$B$2004,"&gt;="&amp;$Q$1,周转筐出入库明细!$B$4:$B$2004,"&lt;="&amp;$Q$2))</f>
        <v/>
      </c>
      <c r="F10" s="25" t="str">
        <f>IF(OR($B10="",LEFT($B10,2)="自备"),"",SUMIFS(周转筐出入库明细!$J$4:$J$2004,周转筐出入库明细!$D$4:$D$2004,$B10,周转筐出入库明细!$B$4:$B$2004,"&gt;="&amp;$Q$1,周转筐出入库明细!$B$4:$B$2004,"&lt;="&amp;$Q$2))</f>
        <v/>
      </c>
      <c r="G10" s="25" t="str">
        <f>IF(OR($B10="",LEFT($B10,2)="自备"),"",SUMIFS(周转筐出入库明细!$K$4:$K$2004,周转筐出入库明细!$D$4:$D$2004,$B10,周转筐出入库明细!$B$4:$B$2004,"&gt;="&amp;$Q$1,周转筐出入库明细!$B$4:$B$2004,"&lt;="&amp;$Q$2))</f>
        <v/>
      </c>
      <c r="H10" s="25" t="str">
        <f>IF(OR($B10="",LEFT($B10,2)="自备"),"",SUMIFS(周转筐出入库明细!$H$4:$H$2004,周转筐出入库明细!$D$4:$D$2004,$B10,周转筐出入库明细!$B$4:$B$2004,"&gt;="&amp;$Q$1,周转筐出入库明细!$B$4:$B$2004,"&lt;="&amp;$Q$2)-SUMIFS(周转筐出入库明细!$H$4:$H$2004,周转筐出入库明细!$D$4:$D$2004,$B10,周转筐出入库明细!$F$4:$F$2004,"采购入库",周转筐出入库明细!$B$4:$B$2004,"&gt;="&amp;$Q$1,周转筐出入库明细!$B$4:$B$2004,"&lt;="&amp;$Q$2))</f>
        <v/>
      </c>
      <c r="I10" s="25" t="str">
        <f t="shared" si="1"/>
        <v/>
      </c>
      <c r="J10" s="25" t="str">
        <f t="shared" si="2"/>
        <v/>
      </c>
      <c r="K10" s="25" t="str">
        <f>IF(OR($B10="",LEFT($B10,2)="自备"),"",SUMIFS(对接源_01水果筐数!$E$5:$E$304,对接源_01水果筐数!$C$5:$C$304,$B10)+SUMIFS(对接源_01水果筐数!$F$5:$F$304,对接源_01水果筐数!$C$5:$C$304,$B10)-SUMIFS(对接源_01水果筐数!$D$5:$D$304,对接源_01水果筐数!$C$5:$C$304,$B10))</f>
        <v/>
      </c>
      <c r="L10" s="25" t="str">
        <f t="shared" si="3"/>
        <v/>
      </c>
      <c r="M10" s="22" t="str">
        <f t="shared" si="4"/>
        <v>客户自备筐，不计公司资产，见【自备筐汇总】</v>
      </c>
    </row>
    <row r="11" spans="1:17">
      <c r="A11" s="24">
        <f t="shared" si="0"/>
        <v>8</v>
      </c>
      <c r="B11" s="75" t="str">
        <f>IFERROR(INDEX(_自动清单!$BQ$4:$BQ$63,ROW()-3),"")</f>
        <v>纸箱</v>
      </c>
      <c r="C11" s="25">
        <f>IF(OR($B11="",LEFT($B11,2)="自备"),"",SUMIFS(周转筐出入库明细!$H$4:$H$2004,周转筐出入库明细!$D$4:$D$2004,$B11,周转筐出入库明细!$F$4:$F$2004,"期初库存"))</f>
        <v>0</v>
      </c>
      <c r="D11" s="25">
        <f>IF(OR($B11="",LEFT($B11,2)="自备"),"",SUMIFS(周转筐出入库明细!$H$4:$H$2004,周转筐出入库明细!$D$4:$D$2004,$B11,周转筐出入库明细!$F$4:$F$2004,"采购入库",周转筐出入库明细!$B$4:$B$2004,"&gt;="&amp;$Q$1,周转筐出入库明细!$B$4:$B$2004,"&lt;="&amp;$Q$2))</f>
        <v>0</v>
      </c>
      <c r="E11" s="56">
        <f>IF(OR($B11="",LEFT($B11,2)="自备"),"",SUMIFS(周转筐出入库明细!$I$4:$I$2004,周转筐出入库明细!$D$4:$D$2004,$B11,周转筐出入库明细!$B$4:$B$2004,"&gt;="&amp;$Q$1,周转筐出入库明细!$B$4:$B$2004,"&lt;="&amp;$Q$2))</f>
        <v>0</v>
      </c>
      <c r="F11" s="25">
        <f>IF(OR($B11="",LEFT($B11,2)="自备"),"",SUMIFS(周转筐出入库明细!$J$4:$J$2004,周转筐出入库明细!$D$4:$D$2004,$B11,周转筐出入库明细!$B$4:$B$2004,"&gt;="&amp;$Q$1,周转筐出入库明细!$B$4:$B$2004,"&lt;="&amp;$Q$2))</f>
        <v>0</v>
      </c>
      <c r="G11" s="25">
        <f>IF(OR($B11="",LEFT($B11,2)="自备"),"",SUMIFS(周转筐出入库明细!$K$4:$K$2004,周转筐出入库明细!$D$4:$D$2004,$B11,周转筐出入库明细!$B$4:$B$2004,"&gt;="&amp;$Q$1,周转筐出入库明细!$B$4:$B$2004,"&lt;="&amp;$Q$2))</f>
        <v>0</v>
      </c>
      <c r="H11" s="25">
        <f>IF(OR($B11="",LEFT($B11,2)="自备"),"",SUMIFS(周转筐出入库明细!$H$4:$H$2004,周转筐出入库明细!$D$4:$D$2004,$B11,周转筐出入库明细!$B$4:$B$2004,"&gt;="&amp;$Q$1,周转筐出入库明细!$B$4:$B$2004,"&lt;="&amp;$Q$2)-SUMIFS(周转筐出入库明细!$H$4:$H$2004,周转筐出入库明细!$D$4:$D$2004,$B11,周转筐出入库明细!$F$4:$F$2004,"采购入库",周转筐出入库明细!$B$4:$B$2004,"&gt;="&amp;$Q$1,周转筐出入库明细!$B$4:$B$2004,"&lt;="&amp;$Q$2))</f>
        <v>0</v>
      </c>
      <c r="I11" s="25">
        <f t="shared" si="1"/>
        <v>0</v>
      </c>
      <c r="J11" s="25">
        <f t="shared" si="2"/>
        <v>0</v>
      </c>
      <c r="K11" s="25">
        <f>IF(OR($B11="",LEFT($B11,2)="自备"),"",SUMIFS(对接源_01水果筐数!$E$5:$E$304,对接源_01水果筐数!$C$5:$C$304,$B11)+SUMIFS(对接源_01水果筐数!$F$5:$F$304,对接源_01水果筐数!$C$5:$C$304,$B11)-SUMIFS(对接源_01水果筐数!$D$5:$D$304,对接源_01水果筐数!$C$5:$C$304,$B11))</f>
        <v>0</v>
      </c>
      <c r="L11" s="25">
        <f t="shared" si="3"/>
        <v>0</v>
      </c>
      <c r="M11" s="22" t="str">
        <f t="shared" si="4"/>
        <v/>
      </c>
    </row>
    <row r="12" spans="1:17">
      <c r="A12" s="24" t="str">
        <f t="shared" si="0"/>
        <v/>
      </c>
      <c r="B12" s="75" t="str">
        <f>IFERROR(INDEX(_自动清单!$BQ$4:$BQ$63,ROW()-3),"")</f>
        <v/>
      </c>
      <c r="C12" s="25" t="str">
        <f>IF(OR($B12="",LEFT($B12,2)="自备"),"",SUMIFS(周转筐出入库明细!$H$4:$H$2004,周转筐出入库明细!$D$4:$D$2004,$B12,周转筐出入库明细!$F$4:$F$2004,"期初库存"))</f>
        <v/>
      </c>
      <c r="D12" s="25" t="str">
        <f>IF(OR($B12="",LEFT($B12,2)="自备"),"",SUMIFS(周转筐出入库明细!$H$4:$H$2004,周转筐出入库明细!$D$4:$D$2004,$B12,周转筐出入库明细!$F$4:$F$2004,"采购入库",周转筐出入库明细!$B$4:$B$2004,"&gt;="&amp;$Q$1,周转筐出入库明细!$B$4:$B$2004,"&lt;="&amp;$Q$2))</f>
        <v/>
      </c>
      <c r="E12" s="56" t="str">
        <f>IF(OR($B12="",LEFT($B12,2)="自备"),"",SUMIFS(周转筐出入库明细!$I$4:$I$2004,周转筐出入库明细!$D$4:$D$2004,$B12,周转筐出入库明细!$B$4:$B$2004,"&gt;="&amp;$Q$1,周转筐出入库明细!$B$4:$B$2004,"&lt;="&amp;$Q$2))</f>
        <v/>
      </c>
      <c r="F12" s="25" t="str">
        <f>IF(OR($B12="",LEFT($B12,2)="自备"),"",SUMIFS(周转筐出入库明细!$J$4:$J$2004,周转筐出入库明细!$D$4:$D$2004,$B12,周转筐出入库明细!$B$4:$B$2004,"&gt;="&amp;$Q$1,周转筐出入库明细!$B$4:$B$2004,"&lt;="&amp;$Q$2))</f>
        <v/>
      </c>
      <c r="G12" s="25" t="str">
        <f>IF(OR($B12="",LEFT($B12,2)="自备"),"",SUMIFS(周转筐出入库明细!$K$4:$K$2004,周转筐出入库明细!$D$4:$D$2004,$B12,周转筐出入库明细!$B$4:$B$2004,"&gt;="&amp;$Q$1,周转筐出入库明细!$B$4:$B$2004,"&lt;="&amp;$Q$2))</f>
        <v/>
      </c>
      <c r="H12" s="25" t="str">
        <f>IF(OR($B12="",LEFT($B12,2)="自备"),"",SUMIFS(周转筐出入库明细!$H$4:$H$2004,周转筐出入库明细!$D$4:$D$2004,$B12,周转筐出入库明细!$B$4:$B$2004,"&gt;="&amp;$Q$1,周转筐出入库明细!$B$4:$B$2004,"&lt;="&amp;$Q$2)-SUMIFS(周转筐出入库明细!$H$4:$H$2004,周转筐出入库明细!$D$4:$D$2004,$B12,周转筐出入库明细!$F$4:$F$2004,"采购入库",周转筐出入库明细!$B$4:$B$2004,"&gt;="&amp;$Q$1,周转筐出入库明细!$B$4:$B$2004,"&lt;="&amp;$Q$2))</f>
        <v/>
      </c>
      <c r="I12" s="25" t="str">
        <f t="shared" si="1"/>
        <v/>
      </c>
      <c r="J12" s="25" t="str">
        <f t="shared" si="2"/>
        <v/>
      </c>
      <c r="K12" s="25" t="str">
        <f>IF(OR($B12="",LEFT($B12,2)="自备"),"",SUMIFS(对接源_01水果筐数!$E$5:$E$304,对接源_01水果筐数!$C$5:$C$304,$B12)+SUMIFS(对接源_01水果筐数!$F$5:$F$304,对接源_01水果筐数!$C$5:$C$304,$B12)-SUMIFS(对接源_01水果筐数!$D$5:$D$304,对接源_01水果筐数!$C$5:$C$304,$B12))</f>
        <v/>
      </c>
      <c r="L12" s="25" t="str">
        <f t="shared" si="3"/>
        <v/>
      </c>
      <c r="M12" s="22" t="str">
        <f t="shared" si="4"/>
        <v/>
      </c>
    </row>
    <row r="13" spans="1:17">
      <c r="A13" s="24" t="str">
        <f t="shared" si="0"/>
        <v/>
      </c>
      <c r="B13" s="75" t="str">
        <f>IFERROR(INDEX(_自动清单!$BQ$4:$BQ$63,ROW()-3),"")</f>
        <v/>
      </c>
      <c r="C13" s="25" t="str">
        <f>IF(OR($B13="",LEFT($B13,2)="自备"),"",SUMIFS(周转筐出入库明细!$H$4:$H$2004,周转筐出入库明细!$D$4:$D$2004,$B13,周转筐出入库明细!$F$4:$F$2004,"期初库存"))</f>
        <v/>
      </c>
      <c r="D13" s="25" t="str">
        <f>IF(OR($B13="",LEFT($B13,2)="自备"),"",SUMIFS(周转筐出入库明细!$H$4:$H$2004,周转筐出入库明细!$D$4:$D$2004,$B13,周转筐出入库明细!$F$4:$F$2004,"采购入库",周转筐出入库明细!$B$4:$B$2004,"&gt;="&amp;$Q$1,周转筐出入库明细!$B$4:$B$2004,"&lt;="&amp;$Q$2))</f>
        <v/>
      </c>
      <c r="E13" s="56" t="str">
        <f>IF(OR($B13="",LEFT($B13,2)="自备"),"",SUMIFS(周转筐出入库明细!$I$4:$I$2004,周转筐出入库明细!$D$4:$D$2004,$B13,周转筐出入库明细!$B$4:$B$2004,"&gt;="&amp;$Q$1,周转筐出入库明细!$B$4:$B$2004,"&lt;="&amp;$Q$2))</f>
        <v/>
      </c>
      <c r="F13" s="25" t="str">
        <f>IF(OR($B13="",LEFT($B13,2)="自备"),"",SUMIFS(周转筐出入库明细!$J$4:$J$2004,周转筐出入库明细!$D$4:$D$2004,$B13,周转筐出入库明细!$B$4:$B$2004,"&gt;="&amp;$Q$1,周转筐出入库明细!$B$4:$B$2004,"&lt;="&amp;$Q$2))</f>
        <v/>
      </c>
      <c r="G13" s="25" t="str">
        <f>IF(OR($B13="",LEFT($B13,2)="自备"),"",SUMIFS(周转筐出入库明细!$K$4:$K$2004,周转筐出入库明细!$D$4:$D$2004,$B13,周转筐出入库明细!$B$4:$B$2004,"&gt;="&amp;$Q$1,周转筐出入库明细!$B$4:$B$2004,"&lt;="&amp;$Q$2))</f>
        <v/>
      </c>
      <c r="H13" s="25" t="str">
        <f>IF(OR($B13="",LEFT($B13,2)="自备"),"",SUMIFS(周转筐出入库明细!$H$4:$H$2004,周转筐出入库明细!$D$4:$D$2004,$B13,周转筐出入库明细!$B$4:$B$2004,"&gt;="&amp;$Q$1,周转筐出入库明细!$B$4:$B$2004,"&lt;="&amp;$Q$2)-SUMIFS(周转筐出入库明细!$H$4:$H$2004,周转筐出入库明细!$D$4:$D$2004,$B13,周转筐出入库明细!$F$4:$F$2004,"采购入库",周转筐出入库明细!$B$4:$B$2004,"&gt;="&amp;$Q$1,周转筐出入库明细!$B$4:$B$2004,"&lt;="&amp;$Q$2))</f>
        <v/>
      </c>
      <c r="I13" s="25" t="str">
        <f t="shared" si="1"/>
        <v/>
      </c>
      <c r="J13" s="25" t="str">
        <f t="shared" si="2"/>
        <v/>
      </c>
      <c r="K13" s="25" t="str">
        <f>IF(OR($B13="",LEFT($B13,2)="自备"),"",SUMIFS(对接源_01水果筐数!$E$5:$E$304,对接源_01水果筐数!$C$5:$C$304,$B13)+SUMIFS(对接源_01水果筐数!$F$5:$F$304,对接源_01水果筐数!$C$5:$C$304,$B13)-SUMIFS(对接源_01水果筐数!$D$5:$D$304,对接源_01水果筐数!$C$5:$C$304,$B13))</f>
        <v/>
      </c>
      <c r="L13" s="25" t="str">
        <f t="shared" si="3"/>
        <v/>
      </c>
      <c r="M13" s="22" t="str">
        <f t="shared" si="4"/>
        <v/>
      </c>
    </row>
    <row r="14" spans="1:17">
      <c r="A14" s="24" t="str">
        <f t="shared" si="0"/>
        <v/>
      </c>
      <c r="B14" s="75" t="str">
        <f>IFERROR(INDEX(_自动清单!$BQ$4:$BQ$63,ROW()-3),"")</f>
        <v/>
      </c>
      <c r="C14" s="25" t="str">
        <f>IF(OR($B14="",LEFT($B14,2)="自备"),"",SUMIFS(周转筐出入库明细!$H$4:$H$2004,周转筐出入库明细!$D$4:$D$2004,$B14,周转筐出入库明细!$F$4:$F$2004,"期初库存"))</f>
        <v/>
      </c>
      <c r="D14" s="25" t="str">
        <f>IF(OR($B14="",LEFT($B14,2)="自备"),"",SUMIFS(周转筐出入库明细!$H$4:$H$2004,周转筐出入库明细!$D$4:$D$2004,$B14,周转筐出入库明细!$F$4:$F$2004,"采购入库",周转筐出入库明细!$B$4:$B$2004,"&gt;="&amp;$Q$1,周转筐出入库明细!$B$4:$B$2004,"&lt;="&amp;$Q$2))</f>
        <v/>
      </c>
      <c r="E14" s="56" t="str">
        <f>IF(OR($B14="",LEFT($B14,2)="自备"),"",SUMIFS(周转筐出入库明细!$I$4:$I$2004,周转筐出入库明细!$D$4:$D$2004,$B14,周转筐出入库明细!$B$4:$B$2004,"&gt;="&amp;$Q$1,周转筐出入库明细!$B$4:$B$2004,"&lt;="&amp;$Q$2))</f>
        <v/>
      </c>
      <c r="F14" s="25" t="str">
        <f>IF(OR($B14="",LEFT($B14,2)="自备"),"",SUMIFS(周转筐出入库明细!$J$4:$J$2004,周转筐出入库明细!$D$4:$D$2004,$B14,周转筐出入库明细!$B$4:$B$2004,"&gt;="&amp;$Q$1,周转筐出入库明细!$B$4:$B$2004,"&lt;="&amp;$Q$2))</f>
        <v/>
      </c>
      <c r="G14" s="25" t="str">
        <f>IF(OR($B14="",LEFT($B14,2)="自备"),"",SUMIFS(周转筐出入库明细!$K$4:$K$2004,周转筐出入库明细!$D$4:$D$2004,$B14,周转筐出入库明细!$B$4:$B$2004,"&gt;="&amp;$Q$1,周转筐出入库明细!$B$4:$B$2004,"&lt;="&amp;$Q$2))</f>
        <v/>
      </c>
      <c r="H14" s="25" t="str">
        <f>IF(OR($B14="",LEFT($B14,2)="自备"),"",SUMIFS(周转筐出入库明细!$H$4:$H$2004,周转筐出入库明细!$D$4:$D$2004,$B14,周转筐出入库明细!$B$4:$B$2004,"&gt;="&amp;$Q$1,周转筐出入库明细!$B$4:$B$2004,"&lt;="&amp;$Q$2)-SUMIFS(周转筐出入库明细!$H$4:$H$2004,周转筐出入库明细!$D$4:$D$2004,$B14,周转筐出入库明细!$F$4:$F$2004,"采购入库",周转筐出入库明细!$B$4:$B$2004,"&gt;="&amp;$Q$1,周转筐出入库明细!$B$4:$B$2004,"&lt;="&amp;$Q$2))</f>
        <v/>
      </c>
      <c r="I14" s="25" t="str">
        <f t="shared" si="1"/>
        <v/>
      </c>
      <c r="J14" s="25" t="str">
        <f t="shared" si="2"/>
        <v/>
      </c>
      <c r="K14" s="25" t="str">
        <f>IF(OR($B14="",LEFT($B14,2)="自备"),"",SUMIFS(对接源_01水果筐数!$E$5:$E$304,对接源_01水果筐数!$C$5:$C$304,$B14)+SUMIFS(对接源_01水果筐数!$F$5:$F$304,对接源_01水果筐数!$C$5:$C$304,$B14)-SUMIFS(对接源_01水果筐数!$D$5:$D$304,对接源_01水果筐数!$C$5:$C$304,$B14))</f>
        <v/>
      </c>
      <c r="L14" s="25" t="str">
        <f t="shared" si="3"/>
        <v/>
      </c>
      <c r="M14" s="22" t="str">
        <f t="shared" si="4"/>
        <v/>
      </c>
    </row>
    <row r="15" spans="1:17">
      <c r="A15" s="24" t="str">
        <f t="shared" si="0"/>
        <v/>
      </c>
      <c r="B15" s="75" t="str">
        <f>IFERROR(INDEX(_自动清单!$BQ$4:$BQ$63,ROW()-3),"")</f>
        <v/>
      </c>
      <c r="C15" s="25" t="str">
        <f>IF(OR($B15="",LEFT($B15,2)="自备"),"",SUMIFS(周转筐出入库明细!$H$4:$H$2004,周转筐出入库明细!$D$4:$D$2004,$B15,周转筐出入库明细!$F$4:$F$2004,"期初库存"))</f>
        <v/>
      </c>
      <c r="D15" s="25" t="str">
        <f>IF(OR($B15="",LEFT($B15,2)="自备"),"",SUMIFS(周转筐出入库明细!$H$4:$H$2004,周转筐出入库明细!$D$4:$D$2004,$B15,周转筐出入库明细!$F$4:$F$2004,"采购入库",周转筐出入库明细!$B$4:$B$2004,"&gt;="&amp;$Q$1,周转筐出入库明细!$B$4:$B$2004,"&lt;="&amp;$Q$2))</f>
        <v/>
      </c>
      <c r="E15" s="56" t="str">
        <f>IF(OR($B15="",LEFT($B15,2)="自备"),"",SUMIFS(周转筐出入库明细!$I$4:$I$2004,周转筐出入库明细!$D$4:$D$2004,$B15,周转筐出入库明细!$B$4:$B$2004,"&gt;="&amp;$Q$1,周转筐出入库明细!$B$4:$B$2004,"&lt;="&amp;$Q$2))</f>
        <v/>
      </c>
      <c r="F15" s="25" t="str">
        <f>IF(OR($B15="",LEFT($B15,2)="自备"),"",SUMIFS(周转筐出入库明细!$J$4:$J$2004,周转筐出入库明细!$D$4:$D$2004,$B15,周转筐出入库明细!$B$4:$B$2004,"&gt;="&amp;$Q$1,周转筐出入库明细!$B$4:$B$2004,"&lt;="&amp;$Q$2))</f>
        <v/>
      </c>
      <c r="G15" s="25" t="str">
        <f>IF(OR($B15="",LEFT($B15,2)="自备"),"",SUMIFS(周转筐出入库明细!$K$4:$K$2004,周转筐出入库明细!$D$4:$D$2004,$B15,周转筐出入库明细!$B$4:$B$2004,"&gt;="&amp;$Q$1,周转筐出入库明细!$B$4:$B$2004,"&lt;="&amp;$Q$2))</f>
        <v/>
      </c>
      <c r="H15" s="25" t="str">
        <f>IF(OR($B15="",LEFT($B15,2)="自备"),"",SUMIFS(周转筐出入库明细!$H$4:$H$2004,周转筐出入库明细!$D$4:$D$2004,$B15,周转筐出入库明细!$B$4:$B$2004,"&gt;="&amp;$Q$1,周转筐出入库明细!$B$4:$B$2004,"&lt;="&amp;$Q$2)-SUMIFS(周转筐出入库明细!$H$4:$H$2004,周转筐出入库明细!$D$4:$D$2004,$B15,周转筐出入库明细!$F$4:$F$2004,"采购入库",周转筐出入库明细!$B$4:$B$2004,"&gt;="&amp;$Q$1,周转筐出入库明细!$B$4:$B$2004,"&lt;="&amp;$Q$2))</f>
        <v/>
      </c>
      <c r="I15" s="25" t="str">
        <f t="shared" si="1"/>
        <v/>
      </c>
      <c r="J15" s="25" t="str">
        <f t="shared" si="2"/>
        <v/>
      </c>
      <c r="K15" s="25" t="str">
        <f>IF(OR($B15="",LEFT($B15,2)="自备"),"",SUMIFS(对接源_01水果筐数!$E$5:$E$304,对接源_01水果筐数!$C$5:$C$304,$B15)+SUMIFS(对接源_01水果筐数!$F$5:$F$304,对接源_01水果筐数!$C$5:$C$304,$B15)-SUMIFS(对接源_01水果筐数!$D$5:$D$304,对接源_01水果筐数!$C$5:$C$304,$B15))</f>
        <v/>
      </c>
      <c r="L15" s="25" t="str">
        <f t="shared" si="3"/>
        <v/>
      </c>
      <c r="M15" s="22" t="str">
        <f t="shared" si="4"/>
        <v/>
      </c>
    </row>
    <row r="16" spans="1:17">
      <c r="A16" s="24" t="str">
        <f t="shared" si="0"/>
        <v/>
      </c>
      <c r="B16" s="75" t="str">
        <f>IFERROR(INDEX(_自动清单!$BQ$4:$BQ$63,ROW()-3),"")</f>
        <v/>
      </c>
      <c r="C16" s="25" t="str">
        <f>IF(OR($B16="",LEFT($B16,2)="自备"),"",SUMIFS(周转筐出入库明细!$H$4:$H$2004,周转筐出入库明细!$D$4:$D$2004,$B16,周转筐出入库明细!$F$4:$F$2004,"期初库存"))</f>
        <v/>
      </c>
      <c r="D16" s="25" t="str">
        <f>IF(OR($B16="",LEFT($B16,2)="自备"),"",SUMIFS(周转筐出入库明细!$H$4:$H$2004,周转筐出入库明细!$D$4:$D$2004,$B16,周转筐出入库明细!$F$4:$F$2004,"采购入库",周转筐出入库明细!$B$4:$B$2004,"&gt;="&amp;$Q$1,周转筐出入库明细!$B$4:$B$2004,"&lt;="&amp;$Q$2))</f>
        <v/>
      </c>
      <c r="E16" s="56" t="str">
        <f>IF(OR($B16="",LEFT($B16,2)="自备"),"",SUMIFS(周转筐出入库明细!$I$4:$I$2004,周转筐出入库明细!$D$4:$D$2004,$B16,周转筐出入库明细!$B$4:$B$2004,"&gt;="&amp;$Q$1,周转筐出入库明细!$B$4:$B$2004,"&lt;="&amp;$Q$2))</f>
        <v/>
      </c>
      <c r="F16" s="25" t="str">
        <f>IF(OR($B16="",LEFT($B16,2)="自备"),"",SUMIFS(周转筐出入库明细!$J$4:$J$2004,周转筐出入库明细!$D$4:$D$2004,$B16,周转筐出入库明细!$B$4:$B$2004,"&gt;="&amp;$Q$1,周转筐出入库明细!$B$4:$B$2004,"&lt;="&amp;$Q$2))</f>
        <v/>
      </c>
      <c r="G16" s="25" t="str">
        <f>IF(OR($B16="",LEFT($B16,2)="自备"),"",SUMIFS(周转筐出入库明细!$K$4:$K$2004,周转筐出入库明细!$D$4:$D$2004,$B16,周转筐出入库明细!$B$4:$B$2004,"&gt;="&amp;$Q$1,周转筐出入库明细!$B$4:$B$2004,"&lt;="&amp;$Q$2))</f>
        <v/>
      </c>
      <c r="H16" s="25" t="str">
        <f>IF(OR($B16="",LEFT($B16,2)="自备"),"",SUMIFS(周转筐出入库明细!$H$4:$H$2004,周转筐出入库明细!$D$4:$D$2004,$B16,周转筐出入库明细!$B$4:$B$2004,"&gt;="&amp;$Q$1,周转筐出入库明细!$B$4:$B$2004,"&lt;="&amp;$Q$2)-SUMIFS(周转筐出入库明细!$H$4:$H$2004,周转筐出入库明细!$D$4:$D$2004,$B16,周转筐出入库明细!$F$4:$F$2004,"采购入库",周转筐出入库明细!$B$4:$B$2004,"&gt;="&amp;$Q$1,周转筐出入库明细!$B$4:$B$2004,"&lt;="&amp;$Q$2))</f>
        <v/>
      </c>
      <c r="I16" s="25" t="str">
        <f t="shared" si="1"/>
        <v/>
      </c>
      <c r="J16" s="25" t="str">
        <f t="shared" si="2"/>
        <v/>
      </c>
      <c r="K16" s="25" t="str">
        <f>IF(OR($B16="",LEFT($B16,2)="自备"),"",SUMIFS(对接源_01水果筐数!$E$5:$E$304,对接源_01水果筐数!$C$5:$C$304,$B16)+SUMIFS(对接源_01水果筐数!$F$5:$F$304,对接源_01水果筐数!$C$5:$C$304,$B16)-SUMIFS(对接源_01水果筐数!$D$5:$D$304,对接源_01水果筐数!$C$5:$C$304,$B16))</f>
        <v/>
      </c>
      <c r="L16" s="25" t="str">
        <f t="shared" si="3"/>
        <v/>
      </c>
      <c r="M16" s="22" t="str">
        <f t="shared" si="4"/>
        <v/>
      </c>
    </row>
    <row r="17" spans="1:13">
      <c r="A17" s="24" t="str">
        <f t="shared" si="0"/>
        <v/>
      </c>
      <c r="B17" s="75" t="str">
        <f>IFERROR(INDEX(_自动清单!$BQ$4:$BQ$63,ROW()-3),"")</f>
        <v/>
      </c>
      <c r="C17" s="25" t="str">
        <f>IF(OR($B17="",LEFT($B17,2)="自备"),"",SUMIFS(周转筐出入库明细!$H$4:$H$2004,周转筐出入库明细!$D$4:$D$2004,$B17,周转筐出入库明细!$F$4:$F$2004,"期初库存"))</f>
        <v/>
      </c>
      <c r="D17" s="25" t="str">
        <f>IF(OR($B17="",LEFT($B17,2)="自备"),"",SUMIFS(周转筐出入库明细!$H$4:$H$2004,周转筐出入库明细!$D$4:$D$2004,$B17,周转筐出入库明细!$F$4:$F$2004,"采购入库",周转筐出入库明细!$B$4:$B$2004,"&gt;="&amp;$Q$1,周转筐出入库明细!$B$4:$B$2004,"&lt;="&amp;$Q$2))</f>
        <v/>
      </c>
      <c r="E17" s="56" t="str">
        <f>IF(OR($B17="",LEFT($B17,2)="自备"),"",SUMIFS(周转筐出入库明细!$I$4:$I$2004,周转筐出入库明细!$D$4:$D$2004,$B17,周转筐出入库明细!$B$4:$B$2004,"&gt;="&amp;$Q$1,周转筐出入库明细!$B$4:$B$2004,"&lt;="&amp;$Q$2))</f>
        <v/>
      </c>
      <c r="F17" s="25" t="str">
        <f>IF(OR($B17="",LEFT($B17,2)="自备"),"",SUMIFS(周转筐出入库明细!$J$4:$J$2004,周转筐出入库明细!$D$4:$D$2004,$B17,周转筐出入库明细!$B$4:$B$2004,"&gt;="&amp;$Q$1,周转筐出入库明细!$B$4:$B$2004,"&lt;="&amp;$Q$2))</f>
        <v/>
      </c>
      <c r="G17" s="25" t="str">
        <f>IF(OR($B17="",LEFT($B17,2)="自备"),"",SUMIFS(周转筐出入库明细!$K$4:$K$2004,周转筐出入库明细!$D$4:$D$2004,$B17,周转筐出入库明细!$B$4:$B$2004,"&gt;="&amp;$Q$1,周转筐出入库明细!$B$4:$B$2004,"&lt;="&amp;$Q$2))</f>
        <v/>
      </c>
      <c r="H17" s="25" t="str">
        <f>IF(OR($B17="",LEFT($B17,2)="自备"),"",SUMIFS(周转筐出入库明细!$H$4:$H$2004,周转筐出入库明细!$D$4:$D$2004,$B17,周转筐出入库明细!$B$4:$B$2004,"&gt;="&amp;$Q$1,周转筐出入库明细!$B$4:$B$2004,"&lt;="&amp;$Q$2)-SUMIFS(周转筐出入库明细!$H$4:$H$2004,周转筐出入库明细!$D$4:$D$2004,$B17,周转筐出入库明细!$F$4:$F$2004,"采购入库",周转筐出入库明细!$B$4:$B$2004,"&gt;="&amp;$Q$1,周转筐出入库明细!$B$4:$B$2004,"&lt;="&amp;$Q$2))</f>
        <v/>
      </c>
      <c r="I17" s="25" t="str">
        <f t="shared" si="1"/>
        <v/>
      </c>
      <c r="J17" s="25" t="str">
        <f t="shared" si="2"/>
        <v/>
      </c>
      <c r="K17" s="25" t="str">
        <f>IF(OR($B17="",LEFT($B17,2)="自备"),"",SUMIFS(对接源_01水果筐数!$E$5:$E$304,对接源_01水果筐数!$C$5:$C$304,$B17)+SUMIFS(对接源_01水果筐数!$F$5:$F$304,对接源_01水果筐数!$C$5:$C$304,$B17)-SUMIFS(对接源_01水果筐数!$D$5:$D$304,对接源_01水果筐数!$C$5:$C$304,$B17))</f>
        <v/>
      </c>
      <c r="L17" s="25" t="str">
        <f t="shared" si="3"/>
        <v/>
      </c>
      <c r="M17" s="22" t="str">
        <f t="shared" si="4"/>
        <v/>
      </c>
    </row>
    <row r="18" spans="1:13">
      <c r="A18" s="24" t="str">
        <f t="shared" si="0"/>
        <v/>
      </c>
      <c r="B18" s="75" t="str">
        <f>IFERROR(INDEX(_自动清单!$BQ$4:$BQ$63,ROW()-3),"")</f>
        <v/>
      </c>
      <c r="C18" s="25" t="str">
        <f>IF(OR($B18="",LEFT($B18,2)="自备"),"",SUMIFS(周转筐出入库明细!$H$4:$H$2004,周转筐出入库明细!$D$4:$D$2004,$B18,周转筐出入库明细!$F$4:$F$2004,"期初库存"))</f>
        <v/>
      </c>
      <c r="D18" s="25" t="str">
        <f>IF(OR($B18="",LEFT($B18,2)="自备"),"",SUMIFS(周转筐出入库明细!$H$4:$H$2004,周转筐出入库明细!$D$4:$D$2004,$B18,周转筐出入库明细!$F$4:$F$2004,"采购入库",周转筐出入库明细!$B$4:$B$2004,"&gt;="&amp;$Q$1,周转筐出入库明细!$B$4:$B$2004,"&lt;="&amp;$Q$2))</f>
        <v/>
      </c>
      <c r="E18" s="56" t="str">
        <f>IF(OR($B18="",LEFT($B18,2)="自备"),"",SUMIFS(周转筐出入库明细!$I$4:$I$2004,周转筐出入库明细!$D$4:$D$2004,$B18,周转筐出入库明细!$B$4:$B$2004,"&gt;="&amp;$Q$1,周转筐出入库明细!$B$4:$B$2004,"&lt;="&amp;$Q$2))</f>
        <v/>
      </c>
      <c r="F18" s="25" t="str">
        <f>IF(OR($B18="",LEFT($B18,2)="自备"),"",SUMIFS(周转筐出入库明细!$J$4:$J$2004,周转筐出入库明细!$D$4:$D$2004,$B18,周转筐出入库明细!$B$4:$B$2004,"&gt;="&amp;$Q$1,周转筐出入库明细!$B$4:$B$2004,"&lt;="&amp;$Q$2))</f>
        <v/>
      </c>
      <c r="G18" s="25" t="str">
        <f>IF(OR($B18="",LEFT($B18,2)="自备"),"",SUMIFS(周转筐出入库明细!$K$4:$K$2004,周转筐出入库明细!$D$4:$D$2004,$B18,周转筐出入库明细!$B$4:$B$2004,"&gt;="&amp;$Q$1,周转筐出入库明细!$B$4:$B$2004,"&lt;="&amp;$Q$2))</f>
        <v/>
      </c>
      <c r="H18" s="25" t="str">
        <f>IF(OR($B18="",LEFT($B18,2)="自备"),"",SUMIFS(周转筐出入库明细!$H$4:$H$2004,周转筐出入库明细!$D$4:$D$2004,$B18,周转筐出入库明细!$B$4:$B$2004,"&gt;="&amp;$Q$1,周转筐出入库明细!$B$4:$B$2004,"&lt;="&amp;$Q$2)-SUMIFS(周转筐出入库明细!$H$4:$H$2004,周转筐出入库明细!$D$4:$D$2004,$B18,周转筐出入库明细!$F$4:$F$2004,"采购入库",周转筐出入库明细!$B$4:$B$2004,"&gt;="&amp;$Q$1,周转筐出入库明细!$B$4:$B$2004,"&lt;="&amp;$Q$2))</f>
        <v/>
      </c>
      <c r="I18" s="25" t="str">
        <f t="shared" si="1"/>
        <v/>
      </c>
      <c r="J18" s="25" t="str">
        <f t="shared" si="2"/>
        <v/>
      </c>
      <c r="K18" s="25" t="str">
        <f>IF(OR($B18="",LEFT($B18,2)="自备"),"",SUMIFS(对接源_01水果筐数!$E$5:$E$304,对接源_01水果筐数!$C$5:$C$304,$B18)+SUMIFS(对接源_01水果筐数!$F$5:$F$304,对接源_01水果筐数!$C$5:$C$304,$B18)-SUMIFS(对接源_01水果筐数!$D$5:$D$304,对接源_01水果筐数!$C$5:$C$304,$B18))</f>
        <v/>
      </c>
      <c r="L18" s="25" t="str">
        <f t="shared" si="3"/>
        <v/>
      </c>
      <c r="M18" s="22" t="str">
        <f t="shared" si="4"/>
        <v/>
      </c>
    </row>
    <row r="19" spans="1:13">
      <c r="A19" s="24" t="str">
        <f t="shared" si="0"/>
        <v/>
      </c>
      <c r="B19" s="75" t="str">
        <f>IFERROR(INDEX(_自动清单!$BQ$4:$BQ$63,ROW()-3),"")</f>
        <v/>
      </c>
      <c r="C19" s="25" t="str">
        <f>IF(OR($B19="",LEFT($B19,2)="自备"),"",SUMIFS(周转筐出入库明细!$H$4:$H$2004,周转筐出入库明细!$D$4:$D$2004,$B19,周转筐出入库明细!$F$4:$F$2004,"期初库存"))</f>
        <v/>
      </c>
      <c r="D19" s="25" t="str">
        <f>IF(OR($B19="",LEFT($B19,2)="自备"),"",SUMIFS(周转筐出入库明细!$H$4:$H$2004,周转筐出入库明细!$D$4:$D$2004,$B19,周转筐出入库明细!$F$4:$F$2004,"采购入库",周转筐出入库明细!$B$4:$B$2004,"&gt;="&amp;$Q$1,周转筐出入库明细!$B$4:$B$2004,"&lt;="&amp;$Q$2))</f>
        <v/>
      </c>
      <c r="E19" s="56" t="str">
        <f>IF(OR($B19="",LEFT($B19,2)="自备"),"",SUMIFS(周转筐出入库明细!$I$4:$I$2004,周转筐出入库明细!$D$4:$D$2004,$B19,周转筐出入库明细!$B$4:$B$2004,"&gt;="&amp;$Q$1,周转筐出入库明细!$B$4:$B$2004,"&lt;="&amp;$Q$2))</f>
        <v/>
      </c>
      <c r="F19" s="25" t="str">
        <f>IF(OR($B19="",LEFT($B19,2)="自备"),"",SUMIFS(周转筐出入库明细!$J$4:$J$2004,周转筐出入库明细!$D$4:$D$2004,$B19,周转筐出入库明细!$B$4:$B$2004,"&gt;="&amp;$Q$1,周转筐出入库明细!$B$4:$B$2004,"&lt;="&amp;$Q$2))</f>
        <v/>
      </c>
      <c r="G19" s="25" t="str">
        <f>IF(OR($B19="",LEFT($B19,2)="自备"),"",SUMIFS(周转筐出入库明细!$K$4:$K$2004,周转筐出入库明细!$D$4:$D$2004,$B19,周转筐出入库明细!$B$4:$B$2004,"&gt;="&amp;$Q$1,周转筐出入库明细!$B$4:$B$2004,"&lt;="&amp;$Q$2))</f>
        <v/>
      </c>
      <c r="H19" s="25" t="str">
        <f>IF(OR($B19="",LEFT($B19,2)="自备"),"",SUMIFS(周转筐出入库明细!$H$4:$H$2004,周转筐出入库明细!$D$4:$D$2004,$B19,周转筐出入库明细!$B$4:$B$2004,"&gt;="&amp;$Q$1,周转筐出入库明细!$B$4:$B$2004,"&lt;="&amp;$Q$2)-SUMIFS(周转筐出入库明细!$H$4:$H$2004,周转筐出入库明细!$D$4:$D$2004,$B19,周转筐出入库明细!$F$4:$F$2004,"采购入库",周转筐出入库明细!$B$4:$B$2004,"&gt;="&amp;$Q$1,周转筐出入库明细!$B$4:$B$2004,"&lt;="&amp;$Q$2))</f>
        <v/>
      </c>
      <c r="I19" s="25" t="str">
        <f t="shared" si="1"/>
        <v/>
      </c>
      <c r="J19" s="25" t="str">
        <f t="shared" si="2"/>
        <v/>
      </c>
      <c r="K19" s="25" t="str">
        <f>IF(OR($B19="",LEFT($B19,2)="自备"),"",SUMIFS(对接源_01水果筐数!$E$5:$E$304,对接源_01水果筐数!$C$5:$C$304,$B19)+SUMIFS(对接源_01水果筐数!$F$5:$F$304,对接源_01水果筐数!$C$5:$C$304,$B19)-SUMIFS(对接源_01水果筐数!$D$5:$D$304,对接源_01水果筐数!$C$5:$C$304,$B19))</f>
        <v/>
      </c>
      <c r="L19" s="25" t="str">
        <f t="shared" si="3"/>
        <v/>
      </c>
      <c r="M19" s="22" t="str">
        <f t="shared" si="4"/>
        <v/>
      </c>
    </row>
    <row r="20" spans="1:13">
      <c r="A20" s="24" t="str">
        <f t="shared" si="0"/>
        <v/>
      </c>
      <c r="B20" s="75" t="str">
        <f>IFERROR(INDEX(_自动清单!$BQ$4:$BQ$63,ROW()-3),"")</f>
        <v/>
      </c>
      <c r="C20" s="25" t="str">
        <f>IF(OR($B20="",LEFT($B20,2)="自备"),"",SUMIFS(周转筐出入库明细!$H$4:$H$2004,周转筐出入库明细!$D$4:$D$2004,$B20,周转筐出入库明细!$F$4:$F$2004,"期初库存"))</f>
        <v/>
      </c>
      <c r="D20" s="25" t="str">
        <f>IF(OR($B20="",LEFT($B20,2)="自备"),"",SUMIFS(周转筐出入库明细!$H$4:$H$2004,周转筐出入库明细!$D$4:$D$2004,$B20,周转筐出入库明细!$F$4:$F$2004,"采购入库",周转筐出入库明细!$B$4:$B$2004,"&gt;="&amp;$Q$1,周转筐出入库明细!$B$4:$B$2004,"&lt;="&amp;$Q$2))</f>
        <v/>
      </c>
      <c r="E20" s="56" t="str">
        <f>IF(OR($B20="",LEFT($B20,2)="自备"),"",SUMIFS(周转筐出入库明细!$I$4:$I$2004,周转筐出入库明细!$D$4:$D$2004,$B20,周转筐出入库明细!$B$4:$B$2004,"&gt;="&amp;$Q$1,周转筐出入库明细!$B$4:$B$2004,"&lt;="&amp;$Q$2))</f>
        <v/>
      </c>
      <c r="F20" s="25" t="str">
        <f>IF(OR($B20="",LEFT($B20,2)="自备"),"",SUMIFS(周转筐出入库明细!$J$4:$J$2004,周转筐出入库明细!$D$4:$D$2004,$B20,周转筐出入库明细!$B$4:$B$2004,"&gt;="&amp;$Q$1,周转筐出入库明细!$B$4:$B$2004,"&lt;="&amp;$Q$2))</f>
        <v/>
      </c>
      <c r="G20" s="25" t="str">
        <f>IF(OR($B20="",LEFT($B20,2)="自备"),"",SUMIFS(周转筐出入库明细!$K$4:$K$2004,周转筐出入库明细!$D$4:$D$2004,$B20,周转筐出入库明细!$B$4:$B$2004,"&gt;="&amp;$Q$1,周转筐出入库明细!$B$4:$B$2004,"&lt;="&amp;$Q$2))</f>
        <v/>
      </c>
      <c r="H20" s="25" t="str">
        <f>IF(OR($B20="",LEFT($B20,2)="自备"),"",SUMIFS(周转筐出入库明细!$H$4:$H$2004,周转筐出入库明细!$D$4:$D$2004,$B20,周转筐出入库明细!$B$4:$B$2004,"&gt;="&amp;$Q$1,周转筐出入库明细!$B$4:$B$2004,"&lt;="&amp;$Q$2)-SUMIFS(周转筐出入库明细!$H$4:$H$2004,周转筐出入库明细!$D$4:$D$2004,$B20,周转筐出入库明细!$F$4:$F$2004,"采购入库",周转筐出入库明细!$B$4:$B$2004,"&gt;="&amp;$Q$1,周转筐出入库明细!$B$4:$B$2004,"&lt;="&amp;$Q$2))</f>
        <v/>
      </c>
      <c r="I20" s="25" t="str">
        <f t="shared" si="1"/>
        <v/>
      </c>
      <c r="J20" s="25" t="str">
        <f t="shared" si="2"/>
        <v/>
      </c>
      <c r="K20" s="25" t="str">
        <f>IF(OR($B20="",LEFT($B20,2)="自备"),"",SUMIFS(对接源_01水果筐数!$E$5:$E$304,对接源_01水果筐数!$C$5:$C$304,$B20)+SUMIFS(对接源_01水果筐数!$F$5:$F$304,对接源_01水果筐数!$C$5:$C$304,$B20)-SUMIFS(对接源_01水果筐数!$D$5:$D$304,对接源_01水果筐数!$C$5:$C$304,$B20))</f>
        <v/>
      </c>
      <c r="L20" s="25" t="str">
        <f t="shared" si="3"/>
        <v/>
      </c>
      <c r="M20" s="22" t="str">
        <f t="shared" si="4"/>
        <v/>
      </c>
    </row>
    <row r="21" spans="1:13">
      <c r="A21" s="24" t="str">
        <f t="shared" si="0"/>
        <v/>
      </c>
      <c r="B21" s="75" t="str">
        <f>IFERROR(INDEX(_自动清单!$BQ$4:$BQ$63,ROW()-3),"")</f>
        <v/>
      </c>
      <c r="C21" s="25" t="str">
        <f>IF(OR($B21="",LEFT($B21,2)="自备"),"",SUMIFS(周转筐出入库明细!$H$4:$H$2004,周转筐出入库明细!$D$4:$D$2004,$B21,周转筐出入库明细!$F$4:$F$2004,"期初库存"))</f>
        <v/>
      </c>
      <c r="D21" s="25" t="str">
        <f>IF(OR($B21="",LEFT($B21,2)="自备"),"",SUMIFS(周转筐出入库明细!$H$4:$H$2004,周转筐出入库明细!$D$4:$D$2004,$B21,周转筐出入库明细!$F$4:$F$2004,"采购入库",周转筐出入库明细!$B$4:$B$2004,"&gt;="&amp;$Q$1,周转筐出入库明细!$B$4:$B$2004,"&lt;="&amp;$Q$2))</f>
        <v/>
      </c>
      <c r="E21" s="56" t="str">
        <f>IF(OR($B21="",LEFT($B21,2)="自备"),"",SUMIFS(周转筐出入库明细!$I$4:$I$2004,周转筐出入库明细!$D$4:$D$2004,$B21,周转筐出入库明细!$B$4:$B$2004,"&gt;="&amp;$Q$1,周转筐出入库明细!$B$4:$B$2004,"&lt;="&amp;$Q$2))</f>
        <v/>
      </c>
      <c r="F21" s="25" t="str">
        <f>IF(OR($B21="",LEFT($B21,2)="自备"),"",SUMIFS(周转筐出入库明细!$J$4:$J$2004,周转筐出入库明细!$D$4:$D$2004,$B21,周转筐出入库明细!$B$4:$B$2004,"&gt;="&amp;$Q$1,周转筐出入库明细!$B$4:$B$2004,"&lt;="&amp;$Q$2))</f>
        <v/>
      </c>
      <c r="G21" s="25" t="str">
        <f>IF(OR($B21="",LEFT($B21,2)="自备"),"",SUMIFS(周转筐出入库明细!$K$4:$K$2004,周转筐出入库明细!$D$4:$D$2004,$B21,周转筐出入库明细!$B$4:$B$2004,"&gt;="&amp;$Q$1,周转筐出入库明细!$B$4:$B$2004,"&lt;="&amp;$Q$2))</f>
        <v/>
      </c>
      <c r="H21" s="25" t="str">
        <f>IF(OR($B21="",LEFT($B21,2)="自备"),"",SUMIFS(周转筐出入库明细!$H$4:$H$2004,周转筐出入库明细!$D$4:$D$2004,$B21,周转筐出入库明细!$B$4:$B$2004,"&gt;="&amp;$Q$1,周转筐出入库明细!$B$4:$B$2004,"&lt;="&amp;$Q$2)-SUMIFS(周转筐出入库明细!$H$4:$H$2004,周转筐出入库明细!$D$4:$D$2004,$B21,周转筐出入库明细!$F$4:$F$2004,"采购入库",周转筐出入库明细!$B$4:$B$2004,"&gt;="&amp;$Q$1,周转筐出入库明细!$B$4:$B$2004,"&lt;="&amp;$Q$2))</f>
        <v/>
      </c>
      <c r="I21" s="25" t="str">
        <f t="shared" si="1"/>
        <v/>
      </c>
      <c r="J21" s="25" t="str">
        <f t="shared" si="2"/>
        <v/>
      </c>
      <c r="K21" s="25" t="str">
        <f>IF(OR($B21="",LEFT($B21,2)="自备"),"",SUMIFS(对接源_01水果筐数!$E$5:$E$304,对接源_01水果筐数!$C$5:$C$304,$B21)+SUMIFS(对接源_01水果筐数!$F$5:$F$304,对接源_01水果筐数!$C$5:$C$304,$B21)-SUMIFS(对接源_01水果筐数!$D$5:$D$304,对接源_01水果筐数!$C$5:$C$304,$B21))</f>
        <v/>
      </c>
      <c r="L21" s="25" t="str">
        <f t="shared" si="3"/>
        <v/>
      </c>
      <c r="M21" s="22" t="str">
        <f t="shared" si="4"/>
        <v/>
      </c>
    </row>
    <row r="22" spans="1:13">
      <c r="A22" s="24" t="str">
        <f t="shared" si="0"/>
        <v/>
      </c>
      <c r="B22" s="75" t="str">
        <f>IFERROR(INDEX(_自动清单!$BQ$4:$BQ$63,ROW()-3),"")</f>
        <v/>
      </c>
      <c r="C22" s="25" t="str">
        <f>IF(OR($B22="",LEFT($B22,2)="自备"),"",SUMIFS(周转筐出入库明细!$H$4:$H$2004,周转筐出入库明细!$D$4:$D$2004,$B22,周转筐出入库明细!$F$4:$F$2004,"期初库存"))</f>
        <v/>
      </c>
      <c r="D22" s="25" t="str">
        <f>IF(OR($B22="",LEFT($B22,2)="自备"),"",SUMIFS(周转筐出入库明细!$H$4:$H$2004,周转筐出入库明细!$D$4:$D$2004,$B22,周转筐出入库明细!$F$4:$F$2004,"采购入库",周转筐出入库明细!$B$4:$B$2004,"&gt;="&amp;$Q$1,周转筐出入库明细!$B$4:$B$2004,"&lt;="&amp;$Q$2))</f>
        <v/>
      </c>
      <c r="E22" s="56" t="str">
        <f>IF(OR($B22="",LEFT($B22,2)="自备"),"",SUMIFS(周转筐出入库明细!$I$4:$I$2004,周转筐出入库明细!$D$4:$D$2004,$B22,周转筐出入库明细!$B$4:$B$2004,"&gt;="&amp;$Q$1,周转筐出入库明细!$B$4:$B$2004,"&lt;="&amp;$Q$2))</f>
        <v/>
      </c>
      <c r="F22" s="25" t="str">
        <f>IF(OR($B22="",LEFT($B22,2)="自备"),"",SUMIFS(周转筐出入库明细!$J$4:$J$2004,周转筐出入库明细!$D$4:$D$2004,$B22,周转筐出入库明细!$B$4:$B$2004,"&gt;="&amp;$Q$1,周转筐出入库明细!$B$4:$B$2004,"&lt;="&amp;$Q$2))</f>
        <v/>
      </c>
      <c r="G22" s="25" t="str">
        <f>IF(OR($B22="",LEFT($B22,2)="自备"),"",SUMIFS(周转筐出入库明细!$K$4:$K$2004,周转筐出入库明细!$D$4:$D$2004,$B22,周转筐出入库明细!$B$4:$B$2004,"&gt;="&amp;$Q$1,周转筐出入库明细!$B$4:$B$2004,"&lt;="&amp;$Q$2))</f>
        <v/>
      </c>
      <c r="H22" s="25" t="str">
        <f>IF(OR($B22="",LEFT($B22,2)="自备"),"",SUMIFS(周转筐出入库明细!$H$4:$H$2004,周转筐出入库明细!$D$4:$D$2004,$B22,周转筐出入库明细!$B$4:$B$2004,"&gt;="&amp;$Q$1,周转筐出入库明细!$B$4:$B$2004,"&lt;="&amp;$Q$2)-SUMIFS(周转筐出入库明细!$H$4:$H$2004,周转筐出入库明细!$D$4:$D$2004,$B22,周转筐出入库明细!$F$4:$F$2004,"采购入库",周转筐出入库明细!$B$4:$B$2004,"&gt;="&amp;$Q$1,周转筐出入库明细!$B$4:$B$2004,"&lt;="&amp;$Q$2))</f>
        <v/>
      </c>
      <c r="I22" s="25" t="str">
        <f t="shared" si="1"/>
        <v/>
      </c>
      <c r="J22" s="25" t="str">
        <f t="shared" si="2"/>
        <v/>
      </c>
      <c r="K22" s="25" t="str">
        <f>IF(OR($B22="",LEFT($B22,2)="自备"),"",SUMIFS(对接源_01水果筐数!$E$5:$E$304,对接源_01水果筐数!$C$5:$C$304,$B22)+SUMIFS(对接源_01水果筐数!$F$5:$F$304,对接源_01水果筐数!$C$5:$C$304,$B22)-SUMIFS(对接源_01水果筐数!$D$5:$D$304,对接源_01水果筐数!$C$5:$C$304,$B22))</f>
        <v/>
      </c>
      <c r="L22" s="25" t="str">
        <f t="shared" si="3"/>
        <v/>
      </c>
      <c r="M22" s="22" t="str">
        <f t="shared" si="4"/>
        <v/>
      </c>
    </row>
    <row r="23" spans="1:13">
      <c r="A23" s="24" t="str">
        <f t="shared" si="0"/>
        <v/>
      </c>
      <c r="B23" s="75" t="str">
        <f>IFERROR(INDEX(_自动清单!$BQ$4:$BQ$63,ROW()-3),"")</f>
        <v/>
      </c>
      <c r="C23" s="25" t="str">
        <f>IF(OR($B23="",LEFT($B23,2)="自备"),"",SUMIFS(周转筐出入库明细!$H$4:$H$2004,周转筐出入库明细!$D$4:$D$2004,$B23,周转筐出入库明细!$F$4:$F$2004,"期初库存"))</f>
        <v/>
      </c>
      <c r="D23" s="25" t="str">
        <f>IF(OR($B23="",LEFT($B23,2)="自备"),"",SUMIFS(周转筐出入库明细!$H$4:$H$2004,周转筐出入库明细!$D$4:$D$2004,$B23,周转筐出入库明细!$F$4:$F$2004,"采购入库",周转筐出入库明细!$B$4:$B$2004,"&gt;="&amp;$Q$1,周转筐出入库明细!$B$4:$B$2004,"&lt;="&amp;$Q$2))</f>
        <v/>
      </c>
      <c r="E23" s="56" t="str">
        <f>IF(OR($B23="",LEFT($B23,2)="自备"),"",SUMIFS(周转筐出入库明细!$I$4:$I$2004,周转筐出入库明细!$D$4:$D$2004,$B23,周转筐出入库明细!$B$4:$B$2004,"&gt;="&amp;$Q$1,周转筐出入库明细!$B$4:$B$2004,"&lt;="&amp;$Q$2))</f>
        <v/>
      </c>
      <c r="F23" s="25" t="str">
        <f>IF(OR($B23="",LEFT($B23,2)="自备"),"",SUMIFS(周转筐出入库明细!$J$4:$J$2004,周转筐出入库明细!$D$4:$D$2004,$B23,周转筐出入库明细!$B$4:$B$2004,"&gt;="&amp;$Q$1,周转筐出入库明细!$B$4:$B$2004,"&lt;="&amp;$Q$2))</f>
        <v/>
      </c>
      <c r="G23" s="25" t="str">
        <f>IF(OR($B23="",LEFT($B23,2)="自备"),"",SUMIFS(周转筐出入库明细!$K$4:$K$2004,周转筐出入库明细!$D$4:$D$2004,$B23,周转筐出入库明细!$B$4:$B$2004,"&gt;="&amp;$Q$1,周转筐出入库明细!$B$4:$B$2004,"&lt;="&amp;$Q$2))</f>
        <v/>
      </c>
      <c r="H23" s="25" t="str">
        <f>IF(OR($B23="",LEFT($B23,2)="自备"),"",SUMIFS(周转筐出入库明细!$H$4:$H$2004,周转筐出入库明细!$D$4:$D$2004,$B23,周转筐出入库明细!$B$4:$B$2004,"&gt;="&amp;$Q$1,周转筐出入库明细!$B$4:$B$2004,"&lt;="&amp;$Q$2)-SUMIFS(周转筐出入库明细!$H$4:$H$2004,周转筐出入库明细!$D$4:$D$2004,$B23,周转筐出入库明细!$F$4:$F$2004,"采购入库",周转筐出入库明细!$B$4:$B$2004,"&gt;="&amp;$Q$1,周转筐出入库明细!$B$4:$B$2004,"&lt;="&amp;$Q$2))</f>
        <v/>
      </c>
      <c r="I23" s="25" t="str">
        <f t="shared" si="1"/>
        <v/>
      </c>
      <c r="J23" s="25" t="str">
        <f t="shared" si="2"/>
        <v/>
      </c>
      <c r="K23" s="25" t="str">
        <f>IF(OR($B23="",LEFT($B23,2)="自备"),"",SUMIFS(对接源_01水果筐数!$E$5:$E$304,对接源_01水果筐数!$C$5:$C$304,$B23)+SUMIFS(对接源_01水果筐数!$F$5:$F$304,对接源_01水果筐数!$C$5:$C$304,$B23)-SUMIFS(对接源_01水果筐数!$D$5:$D$304,对接源_01水果筐数!$C$5:$C$304,$B23))</f>
        <v/>
      </c>
      <c r="L23" s="25" t="str">
        <f t="shared" si="3"/>
        <v/>
      </c>
      <c r="M23" s="22" t="str">
        <f t="shared" si="4"/>
        <v/>
      </c>
    </row>
    <row r="24" spans="1:13">
      <c r="A24" s="24" t="str">
        <f t="shared" si="0"/>
        <v/>
      </c>
      <c r="B24" s="75" t="str">
        <f>IFERROR(INDEX(_自动清单!$BQ$4:$BQ$63,ROW()-3),"")</f>
        <v/>
      </c>
      <c r="C24" s="25" t="str">
        <f>IF(OR($B24="",LEFT($B24,2)="自备"),"",SUMIFS(周转筐出入库明细!$H$4:$H$2004,周转筐出入库明细!$D$4:$D$2004,$B24,周转筐出入库明细!$F$4:$F$2004,"期初库存"))</f>
        <v/>
      </c>
      <c r="D24" s="25" t="str">
        <f>IF(OR($B24="",LEFT($B24,2)="自备"),"",SUMIFS(周转筐出入库明细!$H$4:$H$2004,周转筐出入库明细!$D$4:$D$2004,$B24,周转筐出入库明细!$F$4:$F$2004,"采购入库",周转筐出入库明细!$B$4:$B$2004,"&gt;="&amp;$Q$1,周转筐出入库明细!$B$4:$B$2004,"&lt;="&amp;$Q$2))</f>
        <v/>
      </c>
      <c r="E24" s="56" t="str">
        <f>IF(OR($B24="",LEFT($B24,2)="自备"),"",SUMIFS(周转筐出入库明细!$I$4:$I$2004,周转筐出入库明细!$D$4:$D$2004,$B24,周转筐出入库明细!$B$4:$B$2004,"&gt;="&amp;$Q$1,周转筐出入库明细!$B$4:$B$2004,"&lt;="&amp;$Q$2))</f>
        <v/>
      </c>
      <c r="F24" s="25" t="str">
        <f>IF(OR($B24="",LEFT($B24,2)="自备"),"",SUMIFS(周转筐出入库明细!$J$4:$J$2004,周转筐出入库明细!$D$4:$D$2004,$B24,周转筐出入库明细!$B$4:$B$2004,"&gt;="&amp;$Q$1,周转筐出入库明细!$B$4:$B$2004,"&lt;="&amp;$Q$2))</f>
        <v/>
      </c>
      <c r="G24" s="25" t="str">
        <f>IF(OR($B24="",LEFT($B24,2)="自备"),"",SUMIFS(周转筐出入库明细!$K$4:$K$2004,周转筐出入库明细!$D$4:$D$2004,$B24,周转筐出入库明细!$B$4:$B$2004,"&gt;="&amp;$Q$1,周转筐出入库明细!$B$4:$B$2004,"&lt;="&amp;$Q$2))</f>
        <v/>
      </c>
      <c r="H24" s="25" t="str">
        <f>IF(OR($B24="",LEFT($B24,2)="自备"),"",SUMIFS(周转筐出入库明细!$H$4:$H$2004,周转筐出入库明细!$D$4:$D$2004,$B24,周转筐出入库明细!$B$4:$B$2004,"&gt;="&amp;$Q$1,周转筐出入库明细!$B$4:$B$2004,"&lt;="&amp;$Q$2)-SUMIFS(周转筐出入库明细!$H$4:$H$2004,周转筐出入库明细!$D$4:$D$2004,$B24,周转筐出入库明细!$F$4:$F$2004,"采购入库",周转筐出入库明细!$B$4:$B$2004,"&gt;="&amp;$Q$1,周转筐出入库明细!$B$4:$B$2004,"&lt;="&amp;$Q$2))</f>
        <v/>
      </c>
      <c r="I24" s="25" t="str">
        <f t="shared" si="1"/>
        <v/>
      </c>
      <c r="J24" s="25" t="str">
        <f t="shared" si="2"/>
        <v/>
      </c>
      <c r="K24" s="25" t="str">
        <f>IF(OR($B24="",LEFT($B24,2)="自备"),"",SUMIFS(对接源_01水果筐数!$E$5:$E$304,对接源_01水果筐数!$C$5:$C$304,$B24)+SUMIFS(对接源_01水果筐数!$F$5:$F$304,对接源_01水果筐数!$C$5:$C$304,$B24)-SUMIFS(对接源_01水果筐数!$D$5:$D$304,对接源_01水果筐数!$C$5:$C$304,$B24))</f>
        <v/>
      </c>
      <c r="L24" s="25" t="str">
        <f t="shared" si="3"/>
        <v/>
      </c>
      <c r="M24" s="22" t="str">
        <f t="shared" si="4"/>
        <v/>
      </c>
    </row>
    <row r="25" spans="1:13">
      <c r="A25" s="24" t="str">
        <f t="shared" si="0"/>
        <v/>
      </c>
      <c r="B25" s="75" t="str">
        <f>IFERROR(INDEX(_自动清单!$BQ$4:$BQ$63,ROW()-3),"")</f>
        <v/>
      </c>
      <c r="C25" s="25" t="str">
        <f>IF(OR($B25="",LEFT($B25,2)="自备"),"",SUMIFS(周转筐出入库明细!$H$4:$H$2004,周转筐出入库明细!$D$4:$D$2004,$B25,周转筐出入库明细!$F$4:$F$2004,"期初库存"))</f>
        <v/>
      </c>
      <c r="D25" s="25" t="str">
        <f>IF(OR($B25="",LEFT($B25,2)="自备"),"",SUMIFS(周转筐出入库明细!$H$4:$H$2004,周转筐出入库明细!$D$4:$D$2004,$B25,周转筐出入库明细!$F$4:$F$2004,"采购入库",周转筐出入库明细!$B$4:$B$2004,"&gt;="&amp;$Q$1,周转筐出入库明细!$B$4:$B$2004,"&lt;="&amp;$Q$2))</f>
        <v/>
      </c>
      <c r="E25" s="56" t="str">
        <f>IF(OR($B25="",LEFT($B25,2)="自备"),"",SUMIFS(周转筐出入库明细!$I$4:$I$2004,周转筐出入库明细!$D$4:$D$2004,$B25,周转筐出入库明细!$B$4:$B$2004,"&gt;="&amp;$Q$1,周转筐出入库明细!$B$4:$B$2004,"&lt;="&amp;$Q$2))</f>
        <v/>
      </c>
      <c r="F25" s="25" t="str">
        <f>IF(OR($B25="",LEFT($B25,2)="自备"),"",SUMIFS(周转筐出入库明细!$J$4:$J$2004,周转筐出入库明细!$D$4:$D$2004,$B25,周转筐出入库明细!$B$4:$B$2004,"&gt;="&amp;$Q$1,周转筐出入库明细!$B$4:$B$2004,"&lt;="&amp;$Q$2))</f>
        <v/>
      </c>
      <c r="G25" s="25" t="str">
        <f>IF(OR($B25="",LEFT($B25,2)="自备"),"",SUMIFS(周转筐出入库明细!$K$4:$K$2004,周转筐出入库明细!$D$4:$D$2004,$B25,周转筐出入库明细!$B$4:$B$2004,"&gt;="&amp;$Q$1,周转筐出入库明细!$B$4:$B$2004,"&lt;="&amp;$Q$2))</f>
        <v/>
      </c>
      <c r="H25" s="25" t="str">
        <f>IF(OR($B25="",LEFT($B25,2)="自备"),"",SUMIFS(周转筐出入库明细!$H$4:$H$2004,周转筐出入库明细!$D$4:$D$2004,$B25,周转筐出入库明细!$B$4:$B$2004,"&gt;="&amp;$Q$1,周转筐出入库明细!$B$4:$B$2004,"&lt;="&amp;$Q$2)-SUMIFS(周转筐出入库明细!$H$4:$H$2004,周转筐出入库明细!$D$4:$D$2004,$B25,周转筐出入库明细!$F$4:$F$2004,"采购入库",周转筐出入库明细!$B$4:$B$2004,"&gt;="&amp;$Q$1,周转筐出入库明细!$B$4:$B$2004,"&lt;="&amp;$Q$2))</f>
        <v/>
      </c>
      <c r="I25" s="25" t="str">
        <f t="shared" si="1"/>
        <v/>
      </c>
      <c r="J25" s="25" t="str">
        <f t="shared" si="2"/>
        <v/>
      </c>
      <c r="K25" s="25" t="str">
        <f>IF(OR($B25="",LEFT($B25,2)="自备"),"",SUMIFS(对接源_01水果筐数!$E$5:$E$304,对接源_01水果筐数!$C$5:$C$304,$B25)+SUMIFS(对接源_01水果筐数!$F$5:$F$304,对接源_01水果筐数!$C$5:$C$304,$B25)-SUMIFS(对接源_01水果筐数!$D$5:$D$304,对接源_01水果筐数!$C$5:$C$304,$B25))</f>
        <v/>
      </c>
      <c r="L25" s="25" t="str">
        <f t="shared" si="3"/>
        <v/>
      </c>
      <c r="M25" s="22" t="str">
        <f t="shared" si="4"/>
        <v/>
      </c>
    </row>
    <row r="26" spans="1:13">
      <c r="A26" s="24" t="str">
        <f t="shared" si="0"/>
        <v/>
      </c>
      <c r="B26" s="75" t="str">
        <f>IFERROR(INDEX(_自动清单!$BQ$4:$BQ$63,ROW()-3),"")</f>
        <v/>
      </c>
      <c r="C26" s="25" t="str">
        <f>IF(OR($B26="",LEFT($B26,2)="自备"),"",SUMIFS(周转筐出入库明细!$H$4:$H$2004,周转筐出入库明细!$D$4:$D$2004,$B26,周转筐出入库明细!$F$4:$F$2004,"期初库存"))</f>
        <v/>
      </c>
      <c r="D26" s="25" t="str">
        <f>IF(OR($B26="",LEFT($B26,2)="自备"),"",SUMIFS(周转筐出入库明细!$H$4:$H$2004,周转筐出入库明细!$D$4:$D$2004,$B26,周转筐出入库明细!$F$4:$F$2004,"采购入库",周转筐出入库明细!$B$4:$B$2004,"&gt;="&amp;$Q$1,周转筐出入库明细!$B$4:$B$2004,"&lt;="&amp;$Q$2))</f>
        <v/>
      </c>
      <c r="E26" s="56" t="str">
        <f>IF(OR($B26="",LEFT($B26,2)="自备"),"",SUMIFS(周转筐出入库明细!$I$4:$I$2004,周转筐出入库明细!$D$4:$D$2004,$B26,周转筐出入库明细!$B$4:$B$2004,"&gt;="&amp;$Q$1,周转筐出入库明细!$B$4:$B$2004,"&lt;="&amp;$Q$2))</f>
        <v/>
      </c>
      <c r="F26" s="25" t="str">
        <f>IF(OR($B26="",LEFT($B26,2)="自备"),"",SUMIFS(周转筐出入库明细!$J$4:$J$2004,周转筐出入库明细!$D$4:$D$2004,$B26,周转筐出入库明细!$B$4:$B$2004,"&gt;="&amp;$Q$1,周转筐出入库明细!$B$4:$B$2004,"&lt;="&amp;$Q$2))</f>
        <v/>
      </c>
      <c r="G26" s="25" t="str">
        <f>IF(OR($B26="",LEFT($B26,2)="自备"),"",SUMIFS(周转筐出入库明细!$K$4:$K$2004,周转筐出入库明细!$D$4:$D$2004,$B26,周转筐出入库明细!$B$4:$B$2004,"&gt;="&amp;$Q$1,周转筐出入库明细!$B$4:$B$2004,"&lt;="&amp;$Q$2))</f>
        <v/>
      </c>
      <c r="H26" s="25" t="str">
        <f>IF(OR($B26="",LEFT($B26,2)="自备"),"",SUMIFS(周转筐出入库明细!$H$4:$H$2004,周转筐出入库明细!$D$4:$D$2004,$B26,周转筐出入库明细!$B$4:$B$2004,"&gt;="&amp;$Q$1,周转筐出入库明细!$B$4:$B$2004,"&lt;="&amp;$Q$2)-SUMIFS(周转筐出入库明细!$H$4:$H$2004,周转筐出入库明细!$D$4:$D$2004,$B26,周转筐出入库明细!$F$4:$F$2004,"采购入库",周转筐出入库明细!$B$4:$B$2004,"&gt;="&amp;$Q$1,周转筐出入库明细!$B$4:$B$2004,"&lt;="&amp;$Q$2))</f>
        <v/>
      </c>
      <c r="I26" s="25" t="str">
        <f t="shared" si="1"/>
        <v/>
      </c>
      <c r="J26" s="25" t="str">
        <f t="shared" si="2"/>
        <v/>
      </c>
      <c r="K26" s="25" t="str">
        <f>IF(OR($B26="",LEFT($B26,2)="自备"),"",SUMIFS(对接源_01水果筐数!$E$5:$E$304,对接源_01水果筐数!$C$5:$C$304,$B26)+SUMIFS(对接源_01水果筐数!$F$5:$F$304,对接源_01水果筐数!$C$5:$C$304,$B26)-SUMIFS(对接源_01水果筐数!$D$5:$D$304,对接源_01水果筐数!$C$5:$C$304,$B26))</f>
        <v/>
      </c>
      <c r="L26" s="25" t="str">
        <f t="shared" si="3"/>
        <v/>
      </c>
      <c r="M26" s="22" t="str">
        <f t="shared" si="4"/>
        <v/>
      </c>
    </row>
    <row r="27" spans="1:13">
      <c r="A27" s="24" t="str">
        <f t="shared" si="0"/>
        <v/>
      </c>
      <c r="B27" s="75" t="str">
        <f>IFERROR(INDEX(_自动清单!$BQ$4:$BQ$63,ROW()-3),"")</f>
        <v/>
      </c>
      <c r="C27" s="25" t="str">
        <f>IF(OR($B27="",LEFT($B27,2)="自备"),"",SUMIFS(周转筐出入库明细!$H$4:$H$2004,周转筐出入库明细!$D$4:$D$2004,$B27,周转筐出入库明细!$F$4:$F$2004,"期初库存"))</f>
        <v/>
      </c>
      <c r="D27" s="25" t="str">
        <f>IF(OR($B27="",LEFT($B27,2)="自备"),"",SUMIFS(周转筐出入库明细!$H$4:$H$2004,周转筐出入库明细!$D$4:$D$2004,$B27,周转筐出入库明细!$F$4:$F$2004,"采购入库",周转筐出入库明细!$B$4:$B$2004,"&gt;="&amp;$Q$1,周转筐出入库明细!$B$4:$B$2004,"&lt;="&amp;$Q$2))</f>
        <v/>
      </c>
      <c r="E27" s="56" t="str">
        <f>IF(OR($B27="",LEFT($B27,2)="自备"),"",SUMIFS(周转筐出入库明细!$I$4:$I$2004,周转筐出入库明细!$D$4:$D$2004,$B27,周转筐出入库明细!$B$4:$B$2004,"&gt;="&amp;$Q$1,周转筐出入库明细!$B$4:$B$2004,"&lt;="&amp;$Q$2))</f>
        <v/>
      </c>
      <c r="F27" s="25" t="str">
        <f>IF(OR($B27="",LEFT($B27,2)="自备"),"",SUMIFS(周转筐出入库明细!$J$4:$J$2004,周转筐出入库明细!$D$4:$D$2004,$B27,周转筐出入库明细!$B$4:$B$2004,"&gt;="&amp;$Q$1,周转筐出入库明细!$B$4:$B$2004,"&lt;="&amp;$Q$2))</f>
        <v/>
      </c>
      <c r="G27" s="25" t="str">
        <f>IF(OR($B27="",LEFT($B27,2)="自备"),"",SUMIFS(周转筐出入库明细!$K$4:$K$2004,周转筐出入库明细!$D$4:$D$2004,$B27,周转筐出入库明细!$B$4:$B$2004,"&gt;="&amp;$Q$1,周转筐出入库明细!$B$4:$B$2004,"&lt;="&amp;$Q$2))</f>
        <v/>
      </c>
      <c r="H27" s="25" t="str">
        <f>IF(OR($B27="",LEFT($B27,2)="自备"),"",SUMIFS(周转筐出入库明细!$H$4:$H$2004,周转筐出入库明细!$D$4:$D$2004,$B27,周转筐出入库明细!$B$4:$B$2004,"&gt;="&amp;$Q$1,周转筐出入库明细!$B$4:$B$2004,"&lt;="&amp;$Q$2)-SUMIFS(周转筐出入库明细!$H$4:$H$2004,周转筐出入库明细!$D$4:$D$2004,$B27,周转筐出入库明细!$F$4:$F$2004,"采购入库",周转筐出入库明细!$B$4:$B$2004,"&gt;="&amp;$Q$1,周转筐出入库明细!$B$4:$B$2004,"&lt;="&amp;$Q$2))</f>
        <v/>
      </c>
      <c r="I27" s="25" t="str">
        <f t="shared" si="1"/>
        <v/>
      </c>
      <c r="J27" s="25" t="str">
        <f t="shared" si="2"/>
        <v/>
      </c>
      <c r="K27" s="25" t="str">
        <f>IF(OR($B27="",LEFT($B27,2)="自备"),"",SUMIFS(对接源_01水果筐数!$E$5:$E$304,对接源_01水果筐数!$C$5:$C$304,$B27)+SUMIFS(对接源_01水果筐数!$F$5:$F$304,对接源_01水果筐数!$C$5:$C$304,$B27)-SUMIFS(对接源_01水果筐数!$D$5:$D$304,对接源_01水果筐数!$C$5:$C$304,$B27))</f>
        <v/>
      </c>
      <c r="L27" s="25" t="str">
        <f t="shared" si="3"/>
        <v/>
      </c>
      <c r="M27" s="22" t="str">
        <f t="shared" si="4"/>
        <v/>
      </c>
    </row>
    <row r="28" spans="1:13">
      <c r="A28" s="24" t="str">
        <f t="shared" si="0"/>
        <v/>
      </c>
      <c r="B28" s="75" t="str">
        <f>IFERROR(INDEX(_自动清单!$BQ$4:$BQ$63,ROW()-3),"")</f>
        <v/>
      </c>
      <c r="C28" s="25" t="str">
        <f>IF(OR($B28="",LEFT($B28,2)="自备"),"",SUMIFS(周转筐出入库明细!$H$4:$H$2004,周转筐出入库明细!$D$4:$D$2004,$B28,周转筐出入库明细!$F$4:$F$2004,"期初库存"))</f>
        <v/>
      </c>
      <c r="D28" s="25" t="str">
        <f>IF(OR($B28="",LEFT($B28,2)="自备"),"",SUMIFS(周转筐出入库明细!$H$4:$H$2004,周转筐出入库明细!$D$4:$D$2004,$B28,周转筐出入库明细!$F$4:$F$2004,"采购入库",周转筐出入库明细!$B$4:$B$2004,"&gt;="&amp;$Q$1,周转筐出入库明细!$B$4:$B$2004,"&lt;="&amp;$Q$2))</f>
        <v/>
      </c>
      <c r="E28" s="56" t="str">
        <f>IF(OR($B28="",LEFT($B28,2)="自备"),"",SUMIFS(周转筐出入库明细!$I$4:$I$2004,周转筐出入库明细!$D$4:$D$2004,$B28,周转筐出入库明细!$B$4:$B$2004,"&gt;="&amp;$Q$1,周转筐出入库明细!$B$4:$B$2004,"&lt;="&amp;$Q$2))</f>
        <v/>
      </c>
      <c r="F28" s="25" t="str">
        <f>IF(OR($B28="",LEFT($B28,2)="自备"),"",SUMIFS(周转筐出入库明细!$J$4:$J$2004,周转筐出入库明细!$D$4:$D$2004,$B28,周转筐出入库明细!$B$4:$B$2004,"&gt;="&amp;$Q$1,周转筐出入库明细!$B$4:$B$2004,"&lt;="&amp;$Q$2))</f>
        <v/>
      </c>
      <c r="G28" s="25" t="str">
        <f>IF(OR($B28="",LEFT($B28,2)="自备"),"",SUMIFS(周转筐出入库明细!$K$4:$K$2004,周转筐出入库明细!$D$4:$D$2004,$B28,周转筐出入库明细!$B$4:$B$2004,"&gt;="&amp;$Q$1,周转筐出入库明细!$B$4:$B$2004,"&lt;="&amp;$Q$2))</f>
        <v/>
      </c>
      <c r="H28" s="25" t="str">
        <f>IF(OR($B28="",LEFT($B28,2)="自备"),"",SUMIFS(周转筐出入库明细!$H$4:$H$2004,周转筐出入库明细!$D$4:$D$2004,$B28,周转筐出入库明细!$B$4:$B$2004,"&gt;="&amp;$Q$1,周转筐出入库明细!$B$4:$B$2004,"&lt;="&amp;$Q$2)-SUMIFS(周转筐出入库明细!$H$4:$H$2004,周转筐出入库明细!$D$4:$D$2004,$B28,周转筐出入库明细!$F$4:$F$2004,"采购入库",周转筐出入库明细!$B$4:$B$2004,"&gt;="&amp;$Q$1,周转筐出入库明细!$B$4:$B$2004,"&lt;="&amp;$Q$2))</f>
        <v/>
      </c>
      <c r="I28" s="25" t="str">
        <f t="shared" si="1"/>
        <v/>
      </c>
      <c r="J28" s="25" t="str">
        <f t="shared" si="2"/>
        <v/>
      </c>
      <c r="K28" s="25" t="str">
        <f>IF(OR($B28="",LEFT($B28,2)="自备"),"",SUMIFS(对接源_01水果筐数!$E$5:$E$304,对接源_01水果筐数!$C$5:$C$304,$B28)+SUMIFS(对接源_01水果筐数!$F$5:$F$304,对接源_01水果筐数!$C$5:$C$304,$B28)-SUMIFS(对接源_01水果筐数!$D$5:$D$304,对接源_01水果筐数!$C$5:$C$304,$B28))</f>
        <v/>
      </c>
      <c r="L28" s="25" t="str">
        <f t="shared" si="3"/>
        <v/>
      </c>
      <c r="M28" s="22" t="str">
        <f t="shared" si="4"/>
        <v/>
      </c>
    </row>
    <row r="29" spans="1:13">
      <c r="A29" s="24" t="str">
        <f t="shared" si="0"/>
        <v/>
      </c>
      <c r="B29" s="75" t="str">
        <f>IFERROR(INDEX(_自动清单!$BQ$4:$BQ$63,ROW()-3),"")</f>
        <v/>
      </c>
      <c r="C29" s="25" t="str">
        <f>IF(OR($B29="",LEFT($B29,2)="自备"),"",SUMIFS(周转筐出入库明细!$H$4:$H$2004,周转筐出入库明细!$D$4:$D$2004,$B29,周转筐出入库明细!$F$4:$F$2004,"期初库存"))</f>
        <v/>
      </c>
      <c r="D29" s="25" t="str">
        <f>IF(OR($B29="",LEFT($B29,2)="自备"),"",SUMIFS(周转筐出入库明细!$H$4:$H$2004,周转筐出入库明细!$D$4:$D$2004,$B29,周转筐出入库明细!$F$4:$F$2004,"采购入库",周转筐出入库明细!$B$4:$B$2004,"&gt;="&amp;$Q$1,周转筐出入库明细!$B$4:$B$2004,"&lt;="&amp;$Q$2))</f>
        <v/>
      </c>
      <c r="E29" s="56" t="str">
        <f>IF(OR($B29="",LEFT($B29,2)="自备"),"",SUMIFS(周转筐出入库明细!$I$4:$I$2004,周转筐出入库明细!$D$4:$D$2004,$B29,周转筐出入库明细!$B$4:$B$2004,"&gt;="&amp;$Q$1,周转筐出入库明细!$B$4:$B$2004,"&lt;="&amp;$Q$2))</f>
        <v/>
      </c>
      <c r="F29" s="25" t="str">
        <f>IF(OR($B29="",LEFT($B29,2)="自备"),"",SUMIFS(周转筐出入库明细!$J$4:$J$2004,周转筐出入库明细!$D$4:$D$2004,$B29,周转筐出入库明细!$B$4:$B$2004,"&gt;="&amp;$Q$1,周转筐出入库明细!$B$4:$B$2004,"&lt;="&amp;$Q$2))</f>
        <v/>
      </c>
      <c r="G29" s="25" t="str">
        <f>IF(OR($B29="",LEFT($B29,2)="自备"),"",SUMIFS(周转筐出入库明细!$K$4:$K$2004,周转筐出入库明细!$D$4:$D$2004,$B29,周转筐出入库明细!$B$4:$B$2004,"&gt;="&amp;$Q$1,周转筐出入库明细!$B$4:$B$2004,"&lt;="&amp;$Q$2))</f>
        <v/>
      </c>
      <c r="H29" s="25" t="str">
        <f>IF(OR($B29="",LEFT($B29,2)="自备"),"",SUMIFS(周转筐出入库明细!$H$4:$H$2004,周转筐出入库明细!$D$4:$D$2004,$B29,周转筐出入库明细!$B$4:$B$2004,"&gt;="&amp;$Q$1,周转筐出入库明细!$B$4:$B$2004,"&lt;="&amp;$Q$2)-SUMIFS(周转筐出入库明细!$H$4:$H$2004,周转筐出入库明细!$D$4:$D$2004,$B29,周转筐出入库明细!$F$4:$F$2004,"采购入库",周转筐出入库明细!$B$4:$B$2004,"&gt;="&amp;$Q$1,周转筐出入库明细!$B$4:$B$2004,"&lt;="&amp;$Q$2))</f>
        <v/>
      </c>
      <c r="I29" s="25" t="str">
        <f t="shared" si="1"/>
        <v/>
      </c>
      <c r="J29" s="25" t="str">
        <f t="shared" si="2"/>
        <v/>
      </c>
      <c r="K29" s="25" t="str">
        <f>IF(OR($B29="",LEFT($B29,2)="自备"),"",SUMIFS(对接源_01水果筐数!$E$5:$E$304,对接源_01水果筐数!$C$5:$C$304,$B29)+SUMIFS(对接源_01水果筐数!$F$5:$F$304,对接源_01水果筐数!$C$5:$C$304,$B29)-SUMIFS(对接源_01水果筐数!$D$5:$D$304,对接源_01水果筐数!$C$5:$C$304,$B29))</f>
        <v/>
      </c>
      <c r="L29" s="25" t="str">
        <f t="shared" si="3"/>
        <v/>
      </c>
      <c r="M29" s="22" t="str">
        <f t="shared" si="4"/>
        <v/>
      </c>
    </row>
    <row r="30" spans="1:13">
      <c r="A30" s="24" t="str">
        <f t="shared" si="0"/>
        <v/>
      </c>
      <c r="B30" s="75" t="str">
        <f>IFERROR(INDEX(_自动清单!$BQ$4:$BQ$63,ROW()-3),"")</f>
        <v/>
      </c>
      <c r="C30" s="25" t="str">
        <f>IF(OR($B30="",LEFT($B30,2)="自备"),"",SUMIFS(周转筐出入库明细!$H$4:$H$2004,周转筐出入库明细!$D$4:$D$2004,$B30,周转筐出入库明细!$F$4:$F$2004,"期初库存"))</f>
        <v/>
      </c>
      <c r="D30" s="25" t="str">
        <f>IF(OR($B30="",LEFT($B30,2)="自备"),"",SUMIFS(周转筐出入库明细!$H$4:$H$2004,周转筐出入库明细!$D$4:$D$2004,$B30,周转筐出入库明细!$F$4:$F$2004,"采购入库",周转筐出入库明细!$B$4:$B$2004,"&gt;="&amp;$Q$1,周转筐出入库明细!$B$4:$B$2004,"&lt;="&amp;$Q$2))</f>
        <v/>
      </c>
      <c r="E30" s="56" t="str">
        <f>IF(OR($B30="",LEFT($B30,2)="自备"),"",SUMIFS(周转筐出入库明细!$I$4:$I$2004,周转筐出入库明细!$D$4:$D$2004,$B30,周转筐出入库明细!$B$4:$B$2004,"&gt;="&amp;$Q$1,周转筐出入库明细!$B$4:$B$2004,"&lt;="&amp;$Q$2))</f>
        <v/>
      </c>
      <c r="F30" s="25" t="str">
        <f>IF(OR($B30="",LEFT($B30,2)="自备"),"",SUMIFS(周转筐出入库明细!$J$4:$J$2004,周转筐出入库明细!$D$4:$D$2004,$B30,周转筐出入库明细!$B$4:$B$2004,"&gt;="&amp;$Q$1,周转筐出入库明细!$B$4:$B$2004,"&lt;="&amp;$Q$2))</f>
        <v/>
      </c>
      <c r="G30" s="25" t="str">
        <f>IF(OR($B30="",LEFT($B30,2)="自备"),"",SUMIFS(周转筐出入库明细!$K$4:$K$2004,周转筐出入库明细!$D$4:$D$2004,$B30,周转筐出入库明细!$B$4:$B$2004,"&gt;="&amp;$Q$1,周转筐出入库明细!$B$4:$B$2004,"&lt;="&amp;$Q$2))</f>
        <v/>
      </c>
      <c r="H30" s="25" t="str">
        <f>IF(OR($B30="",LEFT($B30,2)="自备"),"",SUMIFS(周转筐出入库明细!$H$4:$H$2004,周转筐出入库明细!$D$4:$D$2004,$B30,周转筐出入库明细!$B$4:$B$2004,"&gt;="&amp;$Q$1,周转筐出入库明细!$B$4:$B$2004,"&lt;="&amp;$Q$2)-SUMIFS(周转筐出入库明细!$H$4:$H$2004,周转筐出入库明细!$D$4:$D$2004,$B30,周转筐出入库明细!$F$4:$F$2004,"采购入库",周转筐出入库明细!$B$4:$B$2004,"&gt;="&amp;$Q$1,周转筐出入库明细!$B$4:$B$2004,"&lt;="&amp;$Q$2))</f>
        <v/>
      </c>
      <c r="I30" s="25" t="str">
        <f t="shared" si="1"/>
        <v/>
      </c>
      <c r="J30" s="25" t="str">
        <f t="shared" si="2"/>
        <v/>
      </c>
      <c r="K30" s="25" t="str">
        <f>IF(OR($B30="",LEFT($B30,2)="自备"),"",SUMIFS(对接源_01水果筐数!$E$5:$E$304,对接源_01水果筐数!$C$5:$C$304,$B30)+SUMIFS(对接源_01水果筐数!$F$5:$F$304,对接源_01水果筐数!$C$5:$C$304,$B30)-SUMIFS(对接源_01水果筐数!$D$5:$D$304,对接源_01水果筐数!$C$5:$C$304,$B30))</f>
        <v/>
      </c>
      <c r="L30" s="25" t="str">
        <f t="shared" si="3"/>
        <v/>
      </c>
      <c r="M30" s="22" t="str">
        <f t="shared" si="4"/>
        <v/>
      </c>
    </row>
    <row r="31" spans="1:13">
      <c r="A31" s="24" t="str">
        <f t="shared" si="0"/>
        <v/>
      </c>
      <c r="B31" s="75" t="str">
        <f>IFERROR(INDEX(_自动清单!$BQ$4:$BQ$63,ROW()-3),"")</f>
        <v/>
      </c>
      <c r="C31" s="25" t="str">
        <f>IF(OR($B31="",LEFT($B31,2)="自备"),"",SUMIFS(周转筐出入库明细!$H$4:$H$2004,周转筐出入库明细!$D$4:$D$2004,$B31,周转筐出入库明细!$F$4:$F$2004,"期初库存"))</f>
        <v/>
      </c>
      <c r="D31" s="25" t="str">
        <f>IF(OR($B31="",LEFT($B31,2)="自备"),"",SUMIFS(周转筐出入库明细!$H$4:$H$2004,周转筐出入库明细!$D$4:$D$2004,$B31,周转筐出入库明细!$F$4:$F$2004,"采购入库",周转筐出入库明细!$B$4:$B$2004,"&gt;="&amp;$Q$1,周转筐出入库明细!$B$4:$B$2004,"&lt;="&amp;$Q$2))</f>
        <v/>
      </c>
      <c r="E31" s="56" t="str">
        <f>IF(OR($B31="",LEFT($B31,2)="自备"),"",SUMIFS(周转筐出入库明细!$I$4:$I$2004,周转筐出入库明细!$D$4:$D$2004,$B31,周转筐出入库明细!$B$4:$B$2004,"&gt;="&amp;$Q$1,周转筐出入库明细!$B$4:$B$2004,"&lt;="&amp;$Q$2))</f>
        <v/>
      </c>
      <c r="F31" s="25" t="str">
        <f>IF(OR($B31="",LEFT($B31,2)="自备"),"",SUMIFS(周转筐出入库明细!$J$4:$J$2004,周转筐出入库明细!$D$4:$D$2004,$B31,周转筐出入库明细!$B$4:$B$2004,"&gt;="&amp;$Q$1,周转筐出入库明细!$B$4:$B$2004,"&lt;="&amp;$Q$2))</f>
        <v/>
      </c>
      <c r="G31" s="25" t="str">
        <f>IF(OR($B31="",LEFT($B31,2)="自备"),"",SUMIFS(周转筐出入库明细!$K$4:$K$2004,周转筐出入库明细!$D$4:$D$2004,$B31,周转筐出入库明细!$B$4:$B$2004,"&gt;="&amp;$Q$1,周转筐出入库明细!$B$4:$B$2004,"&lt;="&amp;$Q$2))</f>
        <v/>
      </c>
      <c r="H31" s="25" t="str">
        <f>IF(OR($B31="",LEFT($B31,2)="自备"),"",SUMIFS(周转筐出入库明细!$H$4:$H$2004,周转筐出入库明细!$D$4:$D$2004,$B31,周转筐出入库明细!$B$4:$B$2004,"&gt;="&amp;$Q$1,周转筐出入库明细!$B$4:$B$2004,"&lt;="&amp;$Q$2)-SUMIFS(周转筐出入库明细!$H$4:$H$2004,周转筐出入库明细!$D$4:$D$2004,$B31,周转筐出入库明细!$F$4:$F$2004,"采购入库",周转筐出入库明细!$B$4:$B$2004,"&gt;="&amp;$Q$1,周转筐出入库明细!$B$4:$B$2004,"&lt;="&amp;$Q$2))</f>
        <v/>
      </c>
      <c r="I31" s="25" t="str">
        <f t="shared" si="1"/>
        <v/>
      </c>
      <c r="J31" s="25" t="str">
        <f t="shared" si="2"/>
        <v/>
      </c>
      <c r="K31" s="25" t="str">
        <f>IF(OR($B31="",LEFT($B31,2)="自备"),"",SUMIFS(对接源_01水果筐数!$E$5:$E$304,对接源_01水果筐数!$C$5:$C$304,$B31)+SUMIFS(对接源_01水果筐数!$F$5:$F$304,对接源_01水果筐数!$C$5:$C$304,$B31)-SUMIFS(对接源_01水果筐数!$D$5:$D$304,对接源_01水果筐数!$C$5:$C$304,$B31))</f>
        <v/>
      </c>
      <c r="L31" s="25" t="str">
        <f t="shared" si="3"/>
        <v/>
      </c>
      <c r="M31" s="22" t="str">
        <f t="shared" si="4"/>
        <v/>
      </c>
    </row>
    <row r="32" spans="1:13">
      <c r="A32" s="24" t="str">
        <f t="shared" si="0"/>
        <v/>
      </c>
      <c r="B32" s="75" t="str">
        <f>IFERROR(INDEX(_自动清单!$BQ$4:$BQ$63,ROW()-3),"")</f>
        <v/>
      </c>
      <c r="C32" s="25" t="str">
        <f>IF(OR($B32="",LEFT($B32,2)="自备"),"",SUMIFS(周转筐出入库明细!$H$4:$H$2004,周转筐出入库明细!$D$4:$D$2004,$B32,周转筐出入库明细!$F$4:$F$2004,"期初库存"))</f>
        <v/>
      </c>
      <c r="D32" s="25" t="str">
        <f>IF(OR($B32="",LEFT($B32,2)="自备"),"",SUMIFS(周转筐出入库明细!$H$4:$H$2004,周转筐出入库明细!$D$4:$D$2004,$B32,周转筐出入库明细!$F$4:$F$2004,"采购入库",周转筐出入库明细!$B$4:$B$2004,"&gt;="&amp;$Q$1,周转筐出入库明细!$B$4:$B$2004,"&lt;="&amp;$Q$2))</f>
        <v/>
      </c>
      <c r="E32" s="56" t="str">
        <f>IF(OR($B32="",LEFT($B32,2)="自备"),"",SUMIFS(周转筐出入库明细!$I$4:$I$2004,周转筐出入库明细!$D$4:$D$2004,$B32,周转筐出入库明细!$B$4:$B$2004,"&gt;="&amp;$Q$1,周转筐出入库明细!$B$4:$B$2004,"&lt;="&amp;$Q$2))</f>
        <v/>
      </c>
      <c r="F32" s="25" t="str">
        <f>IF(OR($B32="",LEFT($B32,2)="自备"),"",SUMIFS(周转筐出入库明细!$J$4:$J$2004,周转筐出入库明细!$D$4:$D$2004,$B32,周转筐出入库明细!$B$4:$B$2004,"&gt;="&amp;$Q$1,周转筐出入库明细!$B$4:$B$2004,"&lt;="&amp;$Q$2))</f>
        <v/>
      </c>
      <c r="G32" s="25" t="str">
        <f>IF(OR($B32="",LEFT($B32,2)="自备"),"",SUMIFS(周转筐出入库明细!$K$4:$K$2004,周转筐出入库明细!$D$4:$D$2004,$B32,周转筐出入库明细!$B$4:$B$2004,"&gt;="&amp;$Q$1,周转筐出入库明细!$B$4:$B$2004,"&lt;="&amp;$Q$2))</f>
        <v/>
      </c>
      <c r="H32" s="25" t="str">
        <f>IF(OR($B32="",LEFT($B32,2)="自备"),"",SUMIFS(周转筐出入库明细!$H$4:$H$2004,周转筐出入库明细!$D$4:$D$2004,$B32,周转筐出入库明细!$B$4:$B$2004,"&gt;="&amp;$Q$1,周转筐出入库明细!$B$4:$B$2004,"&lt;="&amp;$Q$2)-SUMIFS(周转筐出入库明细!$H$4:$H$2004,周转筐出入库明细!$D$4:$D$2004,$B32,周转筐出入库明细!$F$4:$F$2004,"采购入库",周转筐出入库明细!$B$4:$B$2004,"&gt;="&amp;$Q$1,周转筐出入库明细!$B$4:$B$2004,"&lt;="&amp;$Q$2))</f>
        <v/>
      </c>
      <c r="I32" s="25" t="str">
        <f t="shared" si="1"/>
        <v/>
      </c>
      <c r="J32" s="25" t="str">
        <f t="shared" si="2"/>
        <v/>
      </c>
      <c r="K32" s="25" t="str">
        <f>IF(OR($B32="",LEFT($B32,2)="自备"),"",SUMIFS(对接源_01水果筐数!$E$5:$E$304,对接源_01水果筐数!$C$5:$C$304,$B32)+SUMIFS(对接源_01水果筐数!$F$5:$F$304,对接源_01水果筐数!$C$5:$C$304,$B32)-SUMIFS(对接源_01水果筐数!$D$5:$D$304,对接源_01水果筐数!$C$5:$C$304,$B32))</f>
        <v/>
      </c>
      <c r="L32" s="25" t="str">
        <f t="shared" si="3"/>
        <v/>
      </c>
      <c r="M32" s="22" t="str">
        <f t="shared" si="4"/>
        <v/>
      </c>
    </row>
    <row r="33" spans="1:13">
      <c r="A33" s="24" t="str">
        <f t="shared" si="0"/>
        <v/>
      </c>
      <c r="B33" s="75" t="str">
        <f>IFERROR(INDEX(_自动清单!$BQ$4:$BQ$63,ROW()-3),"")</f>
        <v/>
      </c>
      <c r="C33" s="25" t="str">
        <f>IF(OR($B33="",LEFT($B33,2)="自备"),"",SUMIFS(周转筐出入库明细!$H$4:$H$2004,周转筐出入库明细!$D$4:$D$2004,$B33,周转筐出入库明细!$F$4:$F$2004,"期初库存"))</f>
        <v/>
      </c>
      <c r="D33" s="25" t="str">
        <f>IF(OR($B33="",LEFT($B33,2)="自备"),"",SUMIFS(周转筐出入库明细!$H$4:$H$2004,周转筐出入库明细!$D$4:$D$2004,$B33,周转筐出入库明细!$F$4:$F$2004,"采购入库",周转筐出入库明细!$B$4:$B$2004,"&gt;="&amp;$Q$1,周转筐出入库明细!$B$4:$B$2004,"&lt;="&amp;$Q$2))</f>
        <v/>
      </c>
      <c r="E33" s="56" t="str">
        <f>IF(OR($B33="",LEFT($B33,2)="自备"),"",SUMIFS(周转筐出入库明细!$I$4:$I$2004,周转筐出入库明细!$D$4:$D$2004,$B33,周转筐出入库明细!$B$4:$B$2004,"&gt;="&amp;$Q$1,周转筐出入库明细!$B$4:$B$2004,"&lt;="&amp;$Q$2))</f>
        <v/>
      </c>
      <c r="F33" s="25" t="str">
        <f>IF(OR($B33="",LEFT($B33,2)="自备"),"",SUMIFS(周转筐出入库明细!$J$4:$J$2004,周转筐出入库明细!$D$4:$D$2004,$B33,周转筐出入库明细!$B$4:$B$2004,"&gt;="&amp;$Q$1,周转筐出入库明细!$B$4:$B$2004,"&lt;="&amp;$Q$2))</f>
        <v/>
      </c>
      <c r="G33" s="25" t="str">
        <f>IF(OR($B33="",LEFT($B33,2)="自备"),"",SUMIFS(周转筐出入库明细!$K$4:$K$2004,周转筐出入库明细!$D$4:$D$2004,$B33,周转筐出入库明细!$B$4:$B$2004,"&gt;="&amp;$Q$1,周转筐出入库明细!$B$4:$B$2004,"&lt;="&amp;$Q$2))</f>
        <v/>
      </c>
      <c r="H33" s="25" t="str">
        <f>IF(OR($B33="",LEFT($B33,2)="自备"),"",SUMIFS(周转筐出入库明细!$H$4:$H$2004,周转筐出入库明细!$D$4:$D$2004,$B33,周转筐出入库明细!$B$4:$B$2004,"&gt;="&amp;$Q$1,周转筐出入库明细!$B$4:$B$2004,"&lt;="&amp;$Q$2)-SUMIFS(周转筐出入库明细!$H$4:$H$2004,周转筐出入库明细!$D$4:$D$2004,$B33,周转筐出入库明细!$F$4:$F$2004,"采购入库",周转筐出入库明细!$B$4:$B$2004,"&gt;="&amp;$Q$1,周转筐出入库明细!$B$4:$B$2004,"&lt;="&amp;$Q$2))</f>
        <v/>
      </c>
      <c r="I33" s="25" t="str">
        <f t="shared" si="1"/>
        <v/>
      </c>
      <c r="J33" s="25" t="str">
        <f t="shared" si="2"/>
        <v/>
      </c>
      <c r="K33" s="25" t="str">
        <f>IF(OR($B33="",LEFT($B33,2)="自备"),"",SUMIFS(对接源_01水果筐数!$E$5:$E$304,对接源_01水果筐数!$C$5:$C$304,$B33)+SUMIFS(对接源_01水果筐数!$F$5:$F$304,对接源_01水果筐数!$C$5:$C$304,$B33)-SUMIFS(对接源_01水果筐数!$D$5:$D$304,对接源_01水果筐数!$C$5:$C$304,$B33))</f>
        <v/>
      </c>
      <c r="L33" s="25" t="str">
        <f t="shared" si="3"/>
        <v/>
      </c>
      <c r="M33" s="22" t="str">
        <f t="shared" si="4"/>
        <v/>
      </c>
    </row>
    <row r="34" spans="1:13">
      <c r="A34" s="24" t="str">
        <f t="shared" si="0"/>
        <v/>
      </c>
      <c r="B34" s="75" t="str">
        <f>IFERROR(INDEX(_自动清单!$BQ$4:$BQ$63,ROW()-3),"")</f>
        <v/>
      </c>
      <c r="C34" s="25" t="str">
        <f>IF(OR($B34="",LEFT($B34,2)="自备"),"",SUMIFS(周转筐出入库明细!$H$4:$H$2004,周转筐出入库明细!$D$4:$D$2004,$B34,周转筐出入库明细!$F$4:$F$2004,"期初库存"))</f>
        <v/>
      </c>
      <c r="D34" s="25" t="str">
        <f>IF(OR($B34="",LEFT($B34,2)="自备"),"",SUMIFS(周转筐出入库明细!$H$4:$H$2004,周转筐出入库明细!$D$4:$D$2004,$B34,周转筐出入库明细!$F$4:$F$2004,"采购入库",周转筐出入库明细!$B$4:$B$2004,"&gt;="&amp;$Q$1,周转筐出入库明细!$B$4:$B$2004,"&lt;="&amp;$Q$2))</f>
        <v/>
      </c>
      <c r="E34" s="56" t="str">
        <f>IF(OR($B34="",LEFT($B34,2)="自备"),"",SUMIFS(周转筐出入库明细!$I$4:$I$2004,周转筐出入库明细!$D$4:$D$2004,$B34,周转筐出入库明细!$B$4:$B$2004,"&gt;="&amp;$Q$1,周转筐出入库明细!$B$4:$B$2004,"&lt;="&amp;$Q$2))</f>
        <v/>
      </c>
      <c r="F34" s="25" t="str">
        <f>IF(OR($B34="",LEFT($B34,2)="自备"),"",SUMIFS(周转筐出入库明细!$J$4:$J$2004,周转筐出入库明细!$D$4:$D$2004,$B34,周转筐出入库明细!$B$4:$B$2004,"&gt;="&amp;$Q$1,周转筐出入库明细!$B$4:$B$2004,"&lt;="&amp;$Q$2))</f>
        <v/>
      </c>
      <c r="G34" s="25" t="str">
        <f>IF(OR($B34="",LEFT($B34,2)="自备"),"",SUMIFS(周转筐出入库明细!$K$4:$K$2004,周转筐出入库明细!$D$4:$D$2004,$B34,周转筐出入库明细!$B$4:$B$2004,"&gt;="&amp;$Q$1,周转筐出入库明细!$B$4:$B$2004,"&lt;="&amp;$Q$2))</f>
        <v/>
      </c>
      <c r="H34" s="25" t="str">
        <f>IF(OR($B34="",LEFT($B34,2)="自备"),"",SUMIFS(周转筐出入库明细!$H$4:$H$2004,周转筐出入库明细!$D$4:$D$2004,$B34,周转筐出入库明细!$B$4:$B$2004,"&gt;="&amp;$Q$1,周转筐出入库明细!$B$4:$B$2004,"&lt;="&amp;$Q$2)-SUMIFS(周转筐出入库明细!$H$4:$H$2004,周转筐出入库明细!$D$4:$D$2004,$B34,周转筐出入库明细!$F$4:$F$2004,"采购入库",周转筐出入库明细!$B$4:$B$2004,"&gt;="&amp;$Q$1,周转筐出入库明细!$B$4:$B$2004,"&lt;="&amp;$Q$2))</f>
        <v/>
      </c>
      <c r="I34" s="25" t="str">
        <f t="shared" si="1"/>
        <v/>
      </c>
      <c r="J34" s="25" t="str">
        <f t="shared" si="2"/>
        <v/>
      </c>
      <c r="K34" s="25" t="str">
        <f>IF(OR($B34="",LEFT($B34,2)="自备"),"",SUMIFS(对接源_01水果筐数!$E$5:$E$304,对接源_01水果筐数!$C$5:$C$304,$B34)+SUMIFS(对接源_01水果筐数!$F$5:$F$304,对接源_01水果筐数!$C$5:$C$304,$B34)-SUMIFS(对接源_01水果筐数!$D$5:$D$304,对接源_01水果筐数!$C$5:$C$304,$B34))</f>
        <v/>
      </c>
      <c r="L34" s="25" t="str">
        <f t="shared" si="3"/>
        <v/>
      </c>
      <c r="M34" s="22" t="str">
        <f t="shared" si="4"/>
        <v/>
      </c>
    </row>
    <row r="35" spans="1:13">
      <c r="A35" s="24" t="str">
        <f t="shared" si="0"/>
        <v/>
      </c>
      <c r="B35" s="75" t="str">
        <f>IFERROR(INDEX(_自动清单!$BQ$4:$BQ$63,ROW()-3),"")</f>
        <v/>
      </c>
      <c r="C35" s="25" t="str">
        <f>IF(OR($B35="",LEFT($B35,2)="自备"),"",SUMIFS(周转筐出入库明细!$H$4:$H$2004,周转筐出入库明细!$D$4:$D$2004,$B35,周转筐出入库明细!$F$4:$F$2004,"期初库存"))</f>
        <v/>
      </c>
      <c r="D35" s="25" t="str">
        <f>IF(OR($B35="",LEFT($B35,2)="自备"),"",SUMIFS(周转筐出入库明细!$H$4:$H$2004,周转筐出入库明细!$D$4:$D$2004,$B35,周转筐出入库明细!$F$4:$F$2004,"采购入库",周转筐出入库明细!$B$4:$B$2004,"&gt;="&amp;$Q$1,周转筐出入库明细!$B$4:$B$2004,"&lt;="&amp;$Q$2))</f>
        <v/>
      </c>
      <c r="E35" s="56" t="str">
        <f>IF(OR($B35="",LEFT($B35,2)="自备"),"",SUMIFS(周转筐出入库明细!$I$4:$I$2004,周转筐出入库明细!$D$4:$D$2004,$B35,周转筐出入库明细!$B$4:$B$2004,"&gt;="&amp;$Q$1,周转筐出入库明细!$B$4:$B$2004,"&lt;="&amp;$Q$2))</f>
        <v/>
      </c>
      <c r="F35" s="25" t="str">
        <f>IF(OR($B35="",LEFT($B35,2)="自备"),"",SUMIFS(周转筐出入库明细!$J$4:$J$2004,周转筐出入库明细!$D$4:$D$2004,$B35,周转筐出入库明细!$B$4:$B$2004,"&gt;="&amp;$Q$1,周转筐出入库明细!$B$4:$B$2004,"&lt;="&amp;$Q$2))</f>
        <v/>
      </c>
      <c r="G35" s="25" t="str">
        <f>IF(OR($B35="",LEFT($B35,2)="自备"),"",SUMIFS(周转筐出入库明细!$K$4:$K$2004,周转筐出入库明细!$D$4:$D$2004,$B35,周转筐出入库明细!$B$4:$B$2004,"&gt;="&amp;$Q$1,周转筐出入库明细!$B$4:$B$2004,"&lt;="&amp;$Q$2))</f>
        <v/>
      </c>
      <c r="H35" s="25" t="str">
        <f>IF(OR($B35="",LEFT($B35,2)="自备"),"",SUMIFS(周转筐出入库明细!$H$4:$H$2004,周转筐出入库明细!$D$4:$D$2004,$B35,周转筐出入库明细!$B$4:$B$2004,"&gt;="&amp;$Q$1,周转筐出入库明细!$B$4:$B$2004,"&lt;="&amp;$Q$2)-SUMIFS(周转筐出入库明细!$H$4:$H$2004,周转筐出入库明细!$D$4:$D$2004,$B35,周转筐出入库明细!$F$4:$F$2004,"采购入库",周转筐出入库明细!$B$4:$B$2004,"&gt;="&amp;$Q$1,周转筐出入库明细!$B$4:$B$2004,"&lt;="&amp;$Q$2))</f>
        <v/>
      </c>
      <c r="I35" s="25" t="str">
        <f t="shared" si="1"/>
        <v/>
      </c>
      <c r="J35" s="25" t="str">
        <f t="shared" si="2"/>
        <v/>
      </c>
      <c r="K35" s="25" t="str">
        <f>IF(OR($B35="",LEFT($B35,2)="自备"),"",SUMIFS(对接源_01水果筐数!$E$5:$E$304,对接源_01水果筐数!$C$5:$C$304,$B35)+SUMIFS(对接源_01水果筐数!$F$5:$F$304,对接源_01水果筐数!$C$5:$C$304,$B35)-SUMIFS(对接源_01水果筐数!$D$5:$D$304,对接源_01水果筐数!$C$5:$C$304,$B35))</f>
        <v/>
      </c>
      <c r="L35" s="25" t="str">
        <f t="shared" si="3"/>
        <v/>
      </c>
      <c r="M35" s="22" t="str">
        <f t="shared" si="4"/>
        <v/>
      </c>
    </row>
    <row r="36" spans="1:13">
      <c r="A36" s="24" t="str">
        <f t="shared" si="0"/>
        <v/>
      </c>
      <c r="B36" s="75" t="str">
        <f>IFERROR(INDEX(_自动清单!$BQ$4:$BQ$63,ROW()-3),"")</f>
        <v/>
      </c>
      <c r="C36" s="25" t="str">
        <f>IF(OR($B36="",LEFT($B36,2)="自备"),"",SUMIFS(周转筐出入库明细!$H$4:$H$2004,周转筐出入库明细!$D$4:$D$2004,$B36,周转筐出入库明细!$F$4:$F$2004,"期初库存"))</f>
        <v/>
      </c>
      <c r="D36" s="25" t="str">
        <f>IF(OR($B36="",LEFT($B36,2)="自备"),"",SUMIFS(周转筐出入库明细!$H$4:$H$2004,周转筐出入库明细!$D$4:$D$2004,$B36,周转筐出入库明细!$F$4:$F$2004,"采购入库",周转筐出入库明细!$B$4:$B$2004,"&gt;="&amp;$Q$1,周转筐出入库明细!$B$4:$B$2004,"&lt;="&amp;$Q$2))</f>
        <v/>
      </c>
      <c r="E36" s="56" t="str">
        <f>IF(OR($B36="",LEFT($B36,2)="自备"),"",SUMIFS(周转筐出入库明细!$I$4:$I$2004,周转筐出入库明细!$D$4:$D$2004,$B36,周转筐出入库明细!$B$4:$B$2004,"&gt;="&amp;$Q$1,周转筐出入库明细!$B$4:$B$2004,"&lt;="&amp;$Q$2))</f>
        <v/>
      </c>
      <c r="F36" s="25" t="str">
        <f>IF(OR($B36="",LEFT($B36,2)="自备"),"",SUMIFS(周转筐出入库明细!$J$4:$J$2004,周转筐出入库明细!$D$4:$D$2004,$B36,周转筐出入库明细!$B$4:$B$2004,"&gt;="&amp;$Q$1,周转筐出入库明细!$B$4:$B$2004,"&lt;="&amp;$Q$2))</f>
        <v/>
      </c>
      <c r="G36" s="25" t="str">
        <f>IF(OR($B36="",LEFT($B36,2)="自备"),"",SUMIFS(周转筐出入库明细!$K$4:$K$2004,周转筐出入库明细!$D$4:$D$2004,$B36,周转筐出入库明细!$B$4:$B$2004,"&gt;="&amp;$Q$1,周转筐出入库明细!$B$4:$B$2004,"&lt;="&amp;$Q$2))</f>
        <v/>
      </c>
      <c r="H36" s="25" t="str">
        <f>IF(OR($B36="",LEFT($B36,2)="自备"),"",SUMIFS(周转筐出入库明细!$H$4:$H$2004,周转筐出入库明细!$D$4:$D$2004,$B36,周转筐出入库明细!$B$4:$B$2004,"&gt;="&amp;$Q$1,周转筐出入库明细!$B$4:$B$2004,"&lt;="&amp;$Q$2)-SUMIFS(周转筐出入库明细!$H$4:$H$2004,周转筐出入库明细!$D$4:$D$2004,$B36,周转筐出入库明细!$F$4:$F$2004,"采购入库",周转筐出入库明细!$B$4:$B$2004,"&gt;="&amp;$Q$1,周转筐出入库明细!$B$4:$B$2004,"&lt;="&amp;$Q$2))</f>
        <v/>
      </c>
      <c r="I36" s="25" t="str">
        <f t="shared" si="1"/>
        <v/>
      </c>
      <c r="J36" s="25" t="str">
        <f t="shared" si="2"/>
        <v/>
      </c>
      <c r="K36" s="25" t="str">
        <f>IF(OR($B36="",LEFT($B36,2)="自备"),"",SUMIFS(对接源_01水果筐数!$E$5:$E$304,对接源_01水果筐数!$C$5:$C$304,$B36)+SUMIFS(对接源_01水果筐数!$F$5:$F$304,对接源_01水果筐数!$C$5:$C$304,$B36)-SUMIFS(对接源_01水果筐数!$D$5:$D$304,对接源_01水果筐数!$C$5:$C$304,$B36))</f>
        <v/>
      </c>
      <c r="L36" s="25" t="str">
        <f t="shared" si="3"/>
        <v/>
      </c>
      <c r="M36" s="22" t="str">
        <f t="shared" si="4"/>
        <v/>
      </c>
    </row>
    <row r="37" spans="1:13">
      <c r="A37" s="24" t="str">
        <f t="shared" si="0"/>
        <v/>
      </c>
      <c r="B37" s="75" t="str">
        <f>IFERROR(INDEX(_自动清单!$BQ$4:$BQ$63,ROW()-3),"")</f>
        <v/>
      </c>
      <c r="C37" s="25" t="str">
        <f>IF(OR($B37="",LEFT($B37,2)="自备"),"",SUMIFS(周转筐出入库明细!$H$4:$H$2004,周转筐出入库明细!$D$4:$D$2004,$B37,周转筐出入库明细!$F$4:$F$2004,"期初库存"))</f>
        <v/>
      </c>
      <c r="D37" s="25" t="str">
        <f>IF(OR($B37="",LEFT($B37,2)="自备"),"",SUMIFS(周转筐出入库明细!$H$4:$H$2004,周转筐出入库明细!$D$4:$D$2004,$B37,周转筐出入库明细!$F$4:$F$2004,"采购入库",周转筐出入库明细!$B$4:$B$2004,"&gt;="&amp;$Q$1,周转筐出入库明细!$B$4:$B$2004,"&lt;="&amp;$Q$2))</f>
        <v/>
      </c>
      <c r="E37" s="56" t="str">
        <f>IF(OR($B37="",LEFT($B37,2)="自备"),"",SUMIFS(周转筐出入库明细!$I$4:$I$2004,周转筐出入库明细!$D$4:$D$2004,$B37,周转筐出入库明细!$B$4:$B$2004,"&gt;="&amp;$Q$1,周转筐出入库明细!$B$4:$B$2004,"&lt;="&amp;$Q$2))</f>
        <v/>
      </c>
      <c r="F37" s="25" t="str">
        <f>IF(OR($B37="",LEFT($B37,2)="自备"),"",SUMIFS(周转筐出入库明细!$J$4:$J$2004,周转筐出入库明细!$D$4:$D$2004,$B37,周转筐出入库明细!$B$4:$B$2004,"&gt;="&amp;$Q$1,周转筐出入库明细!$B$4:$B$2004,"&lt;="&amp;$Q$2))</f>
        <v/>
      </c>
      <c r="G37" s="25" t="str">
        <f>IF(OR($B37="",LEFT($B37,2)="自备"),"",SUMIFS(周转筐出入库明细!$K$4:$K$2004,周转筐出入库明细!$D$4:$D$2004,$B37,周转筐出入库明细!$B$4:$B$2004,"&gt;="&amp;$Q$1,周转筐出入库明细!$B$4:$B$2004,"&lt;="&amp;$Q$2))</f>
        <v/>
      </c>
      <c r="H37" s="25" t="str">
        <f>IF(OR($B37="",LEFT($B37,2)="自备"),"",SUMIFS(周转筐出入库明细!$H$4:$H$2004,周转筐出入库明细!$D$4:$D$2004,$B37,周转筐出入库明细!$B$4:$B$2004,"&gt;="&amp;$Q$1,周转筐出入库明细!$B$4:$B$2004,"&lt;="&amp;$Q$2)-SUMIFS(周转筐出入库明细!$H$4:$H$2004,周转筐出入库明细!$D$4:$D$2004,$B37,周转筐出入库明细!$F$4:$F$2004,"采购入库",周转筐出入库明细!$B$4:$B$2004,"&gt;="&amp;$Q$1,周转筐出入库明细!$B$4:$B$2004,"&lt;="&amp;$Q$2))</f>
        <v/>
      </c>
      <c r="I37" s="25" t="str">
        <f t="shared" si="1"/>
        <v/>
      </c>
      <c r="J37" s="25" t="str">
        <f t="shared" si="2"/>
        <v/>
      </c>
      <c r="K37" s="25" t="str">
        <f>IF(OR($B37="",LEFT($B37,2)="自备"),"",SUMIFS(对接源_01水果筐数!$E$5:$E$304,对接源_01水果筐数!$C$5:$C$304,$B37)+SUMIFS(对接源_01水果筐数!$F$5:$F$304,对接源_01水果筐数!$C$5:$C$304,$B37)-SUMIFS(对接源_01水果筐数!$D$5:$D$304,对接源_01水果筐数!$C$5:$C$304,$B37))</f>
        <v/>
      </c>
      <c r="L37" s="25" t="str">
        <f t="shared" si="3"/>
        <v/>
      </c>
      <c r="M37" s="22" t="str">
        <f t="shared" si="4"/>
        <v/>
      </c>
    </row>
    <row r="38" spans="1:13">
      <c r="A38" s="24" t="str">
        <f t="shared" si="0"/>
        <v/>
      </c>
      <c r="B38" s="75" t="str">
        <f>IFERROR(INDEX(_自动清单!$BQ$4:$BQ$63,ROW()-3),"")</f>
        <v/>
      </c>
      <c r="C38" s="25" t="str">
        <f>IF(OR($B38="",LEFT($B38,2)="自备"),"",SUMIFS(周转筐出入库明细!$H$4:$H$2004,周转筐出入库明细!$D$4:$D$2004,$B38,周转筐出入库明细!$F$4:$F$2004,"期初库存"))</f>
        <v/>
      </c>
      <c r="D38" s="25" t="str">
        <f>IF(OR($B38="",LEFT($B38,2)="自备"),"",SUMIFS(周转筐出入库明细!$H$4:$H$2004,周转筐出入库明细!$D$4:$D$2004,$B38,周转筐出入库明细!$F$4:$F$2004,"采购入库",周转筐出入库明细!$B$4:$B$2004,"&gt;="&amp;$Q$1,周转筐出入库明细!$B$4:$B$2004,"&lt;="&amp;$Q$2))</f>
        <v/>
      </c>
      <c r="E38" s="56" t="str">
        <f>IF(OR($B38="",LEFT($B38,2)="自备"),"",SUMIFS(周转筐出入库明细!$I$4:$I$2004,周转筐出入库明细!$D$4:$D$2004,$B38,周转筐出入库明细!$B$4:$B$2004,"&gt;="&amp;$Q$1,周转筐出入库明细!$B$4:$B$2004,"&lt;="&amp;$Q$2))</f>
        <v/>
      </c>
      <c r="F38" s="25" t="str">
        <f>IF(OR($B38="",LEFT($B38,2)="自备"),"",SUMIFS(周转筐出入库明细!$J$4:$J$2004,周转筐出入库明细!$D$4:$D$2004,$B38,周转筐出入库明细!$B$4:$B$2004,"&gt;="&amp;$Q$1,周转筐出入库明细!$B$4:$B$2004,"&lt;="&amp;$Q$2))</f>
        <v/>
      </c>
      <c r="G38" s="25" t="str">
        <f>IF(OR($B38="",LEFT($B38,2)="自备"),"",SUMIFS(周转筐出入库明细!$K$4:$K$2004,周转筐出入库明细!$D$4:$D$2004,$B38,周转筐出入库明细!$B$4:$B$2004,"&gt;="&amp;$Q$1,周转筐出入库明细!$B$4:$B$2004,"&lt;="&amp;$Q$2))</f>
        <v/>
      </c>
      <c r="H38" s="25" t="str">
        <f>IF(OR($B38="",LEFT($B38,2)="自备"),"",SUMIFS(周转筐出入库明细!$H$4:$H$2004,周转筐出入库明细!$D$4:$D$2004,$B38,周转筐出入库明细!$B$4:$B$2004,"&gt;="&amp;$Q$1,周转筐出入库明细!$B$4:$B$2004,"&lt;="&amp;$Q$2)-SUMIFS(周转筐出入库明细!$H$4:$H$2004,周转筐出入库明细!$D$4:$D$2004,$B38,周转筐出入库明细!$F$4:$F$2004,"采购入库",周转筐出入库明细!$B$4:$B$2004,"&gt;="&amp;$Q$1,周转筐出入库明细!$B$4:$B$2004,"&lt;="&amp;$Q$2))</f>
        <v/>
      </c>
      <c r="I38" s="25" t="str">
        <f t="shared" si="1"/>
        <v/>
      </c>
      <c r="J38" s="25" t="str">
        <f t="shared" si="2"/>
        <v/>
      </c>
      <c r="K38" s="25" t="str">
        <f>IF(OR($B38="",LEFT($B38,2)="自备"),"",SUMIFS(对接源_01水果筐数!$E$5:$E$304,对接源_01水果筐数!$C$5:$C$304,$B38)+SUMIFS(对接源_01水果筐数!$F$5:$F$304,对接源_01水果筐数!$C$5:$C$304,$B38)-SUMIFS(对接源_01水果筐数!$D$5:$D$304,对接源_01水果筐数!$C$5:$C$304,$B38))</f>
        <v/>
      </c>
      <c r="L38" s="25" t="str">
        <f t="shared" si="3"/>
        <v/>
      </c>
      <c r="M38" s="22" t="str">
        <f t="shared" si="4"/>
        <v/>
      </c>
    </row>
    <row r="39" spans="1:13">
      <c r="A39" s="24" t="str">
        <f t="shared" si="0"/>
        <v/>
      </c>
      <c r="B39" s="75" t="str">
        <f>IFERROR(INDEX(_自动清单!$BQ$4:$BQ$63,ROW()-3),"")</f>
        <v/>
      </c>
      <c r="C39" s="25" t="str">
        <f>IF(OR($B39="",LEFT($B39,2)="自备"),"",SUMIFS(周转筐出入库明细!$H$4:$H$2004,周转筐出入库明细!$D$4:$D$2004,$B39,周转筐出入库明细!$F$4:$F$2004,"期初库存"))</f>
        <v/>
      </c>
      <c r="D39" s="25" t="str">
        <f>IF(OR($B39="",LEFT($B39,2)="自备"),"",SUMIFS(周转筐出入库明细!$H$4:$H$2004,周转筐出入库明细!$D$4:$D$2004,$B39,周转筐出入库明细!$F$4:$F$2004,"采购入库",周转筐出入库明细!$B$4:$B$2004,"&gt;="&amp;$Q$1,周转筐出入库明细!$B$4:$B$2004,"&lt;="&amp;$Q$2))</f>
        <v/>
      </c>
      <c r="E39" s="56" t="str">
        <f>IF(OR($B39="",LEFT($B39,2)="自备"),"",SUMIFS(周转筐出入库明细!$I$4:$I$2004,周转筐出入库明细!$D$4:$D$2004,$B39,周转筐出入库明细!$B$4:$B$2004,"&gt;="&amp;$Q$1,周转筐出入库明细!$B$4:$B$2004,"&lt;="&amp;$Q$2))</f>
        <v/>
      </c>
      <c r="F39" s="25" t="str">
        <f>IF(OR($B39="",LEFT($B39,2)="自备"),"",SUMIFS(周转筐出入库明细!$J$4:$J$2004,周转筐出入库明细!$D$4:$D$2004,$B39,周转筐出入库明细!$B$4:$B$2004,"&gt;="&amp;$Q$1,周转筐出入库明细!$B$4:$B$2004,"&lt;="&amp;$Q$2))</f>
        <v/>
      </c>
      <c r="G39" s="25" t="str">
        <f>IF(OR($B39="",LEFT($B39,2)="自备"),"",SUMIFS(周转筐出入库明细!$K$4:$K$2004,周转筐出入库明细!$D$4:$D$2004,$B39,周转筐出入库明细!$B$4:$B$2004,"&gt;="&amp;$Q$1,周转筐出入库明细!$B$4:$B$2004,"&lt;="&amp;$Q$2))</f>
        <v/>
      </c>
      <c r="H39" s="25" t="str">
        <f>IF(OR($B39="",LEFT($B39,2)="自备"),"",SUMIFS(周转筐出入库明细!$H$4:$H$2004,周转筐出入库明细!$D$4:$D$2004,$B39,周转筐出入库明细!$B$4:$B$2004,"&gt;="&amp;$Q$1,周转筐出入库明细!$B$4:$B$2004,"&lt;="&amp;$Q$2)-SUMIFS(周转筐出入库明细!$H$4:$H$2004,周转筐出入库明细!$D$4:$D$2004,$B39,周转筐出入库明细!$F$4:$F$2004,"采购入库",周转筐出入库明细!$B$4:$B$2004,"&gt;="&amp;$Q$1,周转筐出入库明细!$B$4:$B$2004,"&lt;="&amp;$Q$2))</f>
        <v/>
      </c>
      <c r="I39" s="25" t="str">
        <f t="shared" si="1"/>
        <v/>
      </c>
      <c r="J39" s="25" t="str">
        <f t="shared" si="2"/>
        <v/>
      </c>
      <c r="K39" s="25" t="str">
        <f>IF(OR($B39="",LEFT($B39,2)="自备"),"",SUMIFS(对接源_01水果筐数!$E$5:$E$304,对接源_01水果筐数!$C$5:$C$304,$B39)+SUMIFS(对接源_01水果筐数!$F$5:$F$304,对接源_01水果筐数!$C$5:$C$304,$B39)-SUMIFS(对接源_01水果筐数!$D$5:$D$304,对接源_01水果筐数!$C$5:$C$304,$B39))</f>
        <v/>
      </c>
      <c r="L39" s="25" t="str">
        <f t="shared" si="3"/>
        <v/>
      </c>
      <c r="M39" s="22" t="str">
        <f t="shared" si="4"/>
        <v/>
      </c>
    </row>
    <row r="40" spans="1:13">
      <c r="A40" s="24" t="str">
        <f t="shared" si="0"/>
        <v/>
      </c>
      <c r="B40" s="75" t="str">
        <f>IFERROR(INDEX(_自动清单!$BQ$4:$BQ$63,ROW()-3),"")</f>
        <v/>
      </c>
      <c r="C40" s="25" t="str">
        <f>IF(OR($B40="",LEFT($B40,2)="自备"),"",SUMIFS(周转筐出入库明细!$H$4:$H$2004,周转筐出入库明细!$D$4:$D$2004,$B40,周转筐出入库明细!$F$4:$F$2004,"期初库存"))</f>
        <v/>
      </c>
      <c r="D40" s="25" t="str">
        <f>IF(OR($B40="",LEFT($B40,2)="自备"),"",SUMIFS(周转筐出入库明细!$H$4:$H$2004,周转筐出入库明细!$D$4:$D$2004,$B40,周转筐出入库明细!$F$4:$F$2004,"采购入库",周转筐出入库明细!$B$4:$B$2004,"&gt;="&amp;$Q$1,周转筐出入库明细!$B$4:$B$2004,"&lt;="&amp;$Q$2))</f>
        <v/>
      </c>
      <c r="E40" s="56" t="str">
        <f>IF(OR($B40="",LEFT($B40,2)="自备"),"",SUMIFS(周转筐出入库明细!$I$4:$I$2004,周转筐出入库明细!$D$4:$D$2004,$B40,周转筐出入库明细!$B$4:$B$2004,"&gt;="&amp;$Q$1,周转筐出入库明细!$B$4:$B$2004,"&lt;="&amp;$Q$2))</f>
        <v/>
      </c>
      <c r="F40" s="25" t="str">
        <f>IF(OR($B40="",LEFT($B40,2)="自备"),"",SUMIFS(周转筐出入库明细!$J$4:$J$2004,周转筐出入库明细!$D$4:$D$2004,$B40,周转筐出入库明细!$B$4:$B$2004,"&gt;="&amp;$Q$1,周转筐出入库明细!$B$4:$B$2004,"&lt;="&amp;$Q$2))</f>
        <v/>
      </c>
      <c r="G40" s="25" t="str">
        <f>IF(OR($B40="",LEFT($B40,2)="自备"),"",SUMIFS(周转筐出入库明细!$K$4:$K$2004,周转筐出入库明细!$D$4:$D$2004,$B40,周转筐出入库明细!$B$4:$B$2004,"&gt;="&amp;$Q$1,周转筐出入库明细!$B$4:$B$2004,"&lt;="&amp;$Q$2))</f>
        <v/>
      </c>
      <c r="H40" s="25" t="str">
        <f>IF(OR($B40="",LEFT($B40,2)="自备"),"",SUMIFS(周转筐出入库明细!$H$4:$H$2004,周转筐出入库明细!$D$4:$D$2004,$B40,周转筐出入库明细!$B$4:$B$2004,"&gt;="&amp;$Q$1,周转筐出入库明细!$B$4:$B$2004,"&lt;="&amp;$Q$2)-SUMIFS(周转筐出入库明细!$H$4:$H$2004,周转筐出入库明细!$D$4:$D$2004,$B40,周转筐出入库明细!$F$4:$F$2004,"采购入库",周转筐出入库明细!$B$4:$B$2004,"&gt;="&amp;$Q$1,周转筐出入库明细!$B$4:$B$2004,"&lt;="&amp;$Q$2))</f>
        <v/>
      </c>
      <c r="I40" s="25" t="str">
        <f t="shared" si="1"/>
        <v/>
      </c>
      <c r="J40" s="25" t="str">
        <f t="shared" si="2"/>
        <v/>
      </c>
      <c r="K40" s="25" t="str">
        <f>IF(OR($B40="",LEFT($B40,2)="自备"),"",SUMIFS(对接源_01水果筐数!$E$5:$E$304,对接源_01水果筐数!$C$5:$C$304,$B40)+SUMIFS(对接源_01水果筐数!$F$5:$F$304,对接源_01水果筐数!$C$5:$C$304,$B40)-SUMIFS(对接源_01水果筐数!$D$5:$D$304,对接源_01水果筐数!$C$5:$C$304,$B40))</f>
        <v/>
      </c>
      <c r="L40" s="25" t="str">
        <f t="shared" si="3"/>
        <v/>
      </c>
      <c r="M40" s="22" t="str">
        <f t="shared" si="4"/>
        <v/>
      </c>
    </row>
    <row r="41" spans="1:13">
      <c r="A41" s="24" t="str">
        <f t="shared" si="0"/>
        <v/>
      </c>
      <c r="B41" s="75" t="str">
        <f>IFERROR(INDEX(_自动清单!$BQ$4:$BQ$63,ROW()-3),"")</f>
        <v/>
      </c>
      <c r="C41" s="25" t="str">
        <f>IF(OR($B41="",LEFT($B41,2)="自备"),"",SUMIFS(周转筐出入库明细!$H$4:$H$2004,周转筐出入库明细!$D$4:$D$2004,$B41,周转筐出入库明细!$F$4:$F$2004,"期初库存"))</f>
        <v/>
      </c>
      <c r="D41" s="25" t="str">
        <f>IF(OR($B41="",LEFT($B41,2)="自备"),"",SUMIFS(周转筐出入库明细!$H$4:$H$2004,周转筐出入库明细!$D$4:$D$2004,$B41,周转筐出入库明细!$F$4:$F$2004,"采购入库",周转筐出入库明细!$B$4:$B$2004,"&gt;="&amp;$Q$1,周转筐出入库明细!$B$4:$B$2004,"&lt;="&amp;$Q$2))</f>
        <v/>
      </c>
      <c r="E41" s="56" t="str">
        <f>IF(OR($B41="",LEFT($B41,2)="自备"),"",SUMIFS(周转筐出入库明细!$I$4:$I$2004,周转筐出入库明细!$D$4:$D$2004,$B41,周转筐出入库明细!$B$4:$B$2004,"&gt;="&amp;$Q$1,周转筐出入库明细!$B$4:$B$2004,"&lt;="&amp;$Q$2))</f>
        <v/>
      </c>
      <c r="F41" s="25" t="str">
        <f>IF(OR($B41="",LEFT($B41,2)="自备"),"",SUMIFS(周转筐出入库明细!$J$4:$J$2004,周转筐出入库明细!$D$4:$D$2004,$B41,周转筐出入库明细!$B$4:$B$2004,"&gt;="&amp;$Q$1,周转筐出入库明细!$B$4:$B$2004,"&lt;="&amp;$Q$2))</f>
        <v/>
      </c>
      <c r="G41" s="25" t="str">
        <f>IF(OR($B41="",LEFT($B41,2)="自备"),"",SUMIFS(周转筐出入库明细!$K$4:$K$2004,周转筐出入库明细!$D$4:$D$2004,$B41,周转筐出入库明细!$B$4:$B$2004,"&gt;="&amp;$Q$1,周转筐出入库明细!$B$4:$B$2004,"&lt;="&amp;$Q$2))</f>
        <v/>
      </c>
      <c r="H41" s="25" t="str">
        <f>IF(OR($B41="",LEFT($B41,2)="自备"),"",SUMIFS(周转筐出入库明细!$H$4:$H$2004,周转筐出入库明细!$D$4:$D$2004,$B41,周转筐出入库明细!$B$4:$B$2004,"&gt;="&amp;$Q$1,周转筐出入库明细!$B$4:$B$2004,"&lt;="&amp;$Q$2)-SUMIFS(周转筐出入库明细!$H$4:$H$2004,周转筐出入库明细!$D$4:$D$2004,$B41,周转筐出入库明细!$F$4:$F$2004,"采购入库",周转筐出入库明细!$B$4:$B$2004,"&gt;="&amp;$Q$1,周转筐出入库明细!$B$4:$B$2004,"&lt;="&amp;$Q$2))</f>
        <v/>
      </c>
      <c r="I41" s="25" t="str">
        <f t="shared" si="1"/>
        <v/>
      </c>
      <c r="J41" s="25" t="str">
        <f t="shared" si="2"/>
        <v/>
      </c>
      <c r="K41" s="25" t="str">
        <f>IF(OR($B41="",LEFT($B41,2)="自备"),"",SUMIFS(对接源_01水果筐数!$E$5:$E$304,对接源_01水果筐数!$C$5:$C$304,$B41)+SUMIFS(对接源_01水果筐数!$F$5:$F$304,对接源_01水果筐数!$C$5:$C$304,$B41)-SUMIFS(对接源_01水果筐数!$D$5:$D$304,对接源_01水果筐数!$C$5:$C$304,$B41))</f>
        <v/>
      </c>
      <c r="L41" s="25" t="str">
        <f t="shared" si="3"/>
        <v/>
      </c>
      <c r="M41" s="22" t="str">
        <f t="shared" si="4"/>
        <v/>
      </c>
    </row>
    <row r="42" spans="1:13">
      <c r="A42" s="24" t="str">
        <f t="shared" si="0"/>
        <v/>
      </c>
      <c r="B42" s="75" t="str">
        <f>IFERROR(INDEX(_自动清单!$BQ$4:$BQ$63,ROW()-3),"")</f>
        <v/>
      </c>
      <c r="C42" s="25" t="str">
        <f>IF(OR($B42="",LEFT($B42,2)="自备"),"",SUMIFS(周转筐出入库明细!$H$4:$H$2004,周转筐出入库明细!$D$4:$D$2004,$B42,周转筐出入库明细!$F$4:$F$2004,"期初库存"))</f>
        <v/>
      </c>
      <c r="D42" s="25" t="str">
        <f>IF(OR($B42="",LEFT($B42,2)="自备"),"",SUMIFS(周转筐出入库明细!$H$4:$H$2004,周转筐出入库明细!$D$4:$D$2004,$B42,周转筐出入库明细!$F$4:$F$2004,"采购入库",周转筐出入库明细!$B$4:$B$2004,"&gt;="&amp;$Q$1,周转筐出入库明细!$B$4:$B$2004,"&lt;="&amp;$Q$2))</f>
        <v/>
      </c>
      <c r="E42" s="56" t="str">
        <f>IF(OR($B42="",LEFT($B42,2)="自备"),"",SUMIFS(周转筐出入库明细!$I$4:$I$2004,周转筐出入库明细!$D$4:$D$2004,$B42,周转筐出入库明细!$B$4:$B$2004,"&gt;="&amp;$Q$1,周转筐出入库明细!$B$4:$B$2004,"&lt;="&amp;$Q$2))</f>
        <v/>
      </c>
      <c r="F42" s="25" t="str">
        <f>IF(OR($B42="",LEFT($B42,2)="自备"),"",SUMIFS(周转筐出入库明细!$J$4:$J$2004,周转筐出入库明细!$D$4:$D$2004,$B42,周转筐出入库明细!$B$4:$B$2004,"&gt;="&amp;$Q$1,周转筐出入库明细!$B$4:$B$2004,"&lt;="&amp;$Q$2))</f>
        <v/>
      </c>
      <c r="G42" s="25" t="str">
        <f>IF(OR($B42="",LEFT($B42,2)="自备"),"",SUMIFS(周转筐出入库明细!$K$4:$K$2004,周转筐出入库明细!$D$4:$D$2004,$B42,周转筐出入库明细!$B$4:$B$2004,"&gt;="&amp;$Q$1,周转筐出入库明细!$B$4:$B$2004,"&lt;="&amp;$Q$2))</f>
        <v/>
      </c>
      <c r="H42" s="25" t="str">
        <f>IF(OR($B42="",LEFT($B42,2)="自备"),"",SUMIFS(周转筐出入库明细!$H$4:$H$2004,周转筐出入库明细!$D$4:$D$2004,$B42,周转筐出入库明细!$B$4:$B$2004,"&gt;="&amp;$Q$1,周转筐出入库明细!$B$4:$B$2004,"&lt;="&amp;$Q$2)-SUMIFS(周转筐出入库明细!$H$4:$H$2004,周转筐出入库明细!$D$4:$D$2004,$B42,周转筐出入库明细!$F$4:$F$2004,"采购入库",周转筐出入库明细!$B$4:$B$2004,"&gt;="&amp;$Q$1,周转筐出入库明细!$B$4:$B$2004,"&lt;="&amp;$Q$2))</f>
        <v/>
      </c>
      <c r="I42" s="25" t="str">
        <f t="shared" si="1"/>
        <v/>
      </c>
      <c r="J42" s="25" t="str">
        <f t="shared" si="2"/>
        <v/>
      </c>
      <c r="K42" s="25" t="str">
        <f>IF(OR($B42="",LEFT($B42,2)="自备"),"",SUMIFS(对接源_01水果筐数!$E$5:$E$304,对接源_01水果筐数!$C$5:$C$304,$B42)+SUMIFS(对接源_01水果筐数!$F$5:$F$304,对接源_01水果筐数!$C$5:$C$304,$B42)-SUMIFS(对接源_01水果筐数!$D$5:$D$304,对接源_01水果筐数!$C$5:$C$304,$B42))</f>
        <v/>
      </c>
      <c r="L42" s="25" t="str">
        <f t="shared" si="3"/>
        <v/>
      </c>
      <c r="M42" s="22" t="str">
        <f t="shared" si="4"/>
        <v/>
      </c>
    </row>
    <row r="43" spans="1:13">
      <c r="A43" s="24" t="str">
        <f t="shared" si="0"/>
        <v/>
      </c>
      <c r="B43" s="75" t="str">
        <f>IFERROR(INDEX(_自动清单!$BQ$4:$BQ$63,ROW()-3),"")</f>
        <v/>
      </c>
      <c r="C43" s="25" t="str">
        <f>IF(OR($B43="",LEFT($B43,2)="自备"),"",SUMIFS(周转筐出入库明细!$H$4:$H$2004,周转筐出入库明细!$D$4:$D$2004,$B43,周转筐出入库明细!$F$4:$F$2004,"期初库存"))</f>
        <v/>
      </c>
      <c r="D43" s="25" t="str">
        <f>IF(OR($B43="",LEFT($B43,2)="自备"),"",SUMIFS(周转筐出入库明细!$H$4:$H$2004,周转筐出入库明细!$D$4:$D$2004,$B43,周转筐出入库明细!$F$4:$F$2004,"采购入库",周转筐出入库明细!$B$4:$B$2004,"&gt;="&amp;$Q$1,周转筐出入库明细!$B$4:$B$2004,"&lt;="&amp;$Q$2))</f>
        <v/>
      </c>
      <c r="E43" s="56" t="str">
        <f>IF(OR($B43="",LEFT($B43,2)="自备"),"",SUMIFS(周转筐出入库明细!$I$4:$I$2004,周转筐出入库明细!$D$4:$D$2004,$B43,周转筐出入库明细!$B$4:$B$2004,"&gt;="&amp;$Q$1,周转筐出入库明细!$B$4:$B$2004,"&lt;="&amp;$Q$2))</f>
        <v/>
      </c>
      <c r="F43" s="25" t="str">
        <f>IF(OR($B43="",LEFT($B43,2)="自备"),"",SUMIFS(周转筐出入库明细!$J$4:$J$2004,周转筐出入库明细!$D$4:$D$2004,$B43,周转筐出入库明细!$B$4:$B$2004,"&gt;="&amp;$Q$1,周转筐出入库明细!$B$4:$B$2004,"&lt;="&amp;$Q$2))</f>
        <v/>
      </c>
      <c r="G43" s="25" t="str">
        <f>IF(OR($B43="",LEFT($B43,2)="自备"),"",SUMIFS(周转筐出入库明细!$K$4:$K$2004,周转筐出入库明细!$D$4:$D$2004,$B43,周转筐出入库明细!$B$4:$B$2004,"&gt;="&amp;$Q$1,周转筐出入库明细!$B$4:$B$2004,"&lt;="&amp;$Q$2))</f>
        <v/>
      </c>
      <c r="H43" s="25" t="str">
        <f>IF(OR($B43="",LEFT($B43,2)="自备"),"",SUMIFS(周转筐出入库明细!$H$4:$H$2004,周转筐出入库明细!$D$4:$D$2004,$B43,周转筐出入库明细!$B$4:$B$2004,"&gt;="&amp;$Q$1,周转筐出入库明细!$B$4:$B$2004,"&lt;="&amp;$Q$2)-SUMIFS(周转筐出入库明细!$H$4:$H$2004,周转筐出入库明细!$D$4:$D$2004,$B43,周转筐出入库明细!$F$4:$F$2004,"采购入库",周转筐出入库明细!$B$4:$B$2004,"&gt;="&amp;$Q$1,周转筐出入库明细!$B$4:$B$2004,"&lt;="&amp;$Q$2))</f>
        <v/>
      </c>
      <c r="I43" s="25" t="str">
        <f t="shared" si="1"/>
        <v/>
      </c>
      <c r="J43" s="25" t="str">
        <f t="shared" si="2"/>
        <v/>
      </c>
      <c r="K43" s="25" t="str">
        <f>IF(OR($B43="",LEFT($B43,2)="自备"),"",SUMIFS(对接源_01水果筐数!$E$5:$E$304,对接源_01水果筐数!$C$5:$C$304,$B43)+SUMIFS(对接源_01水果筐数!$F$5:$F$304,对接源_01水果筐数!$C$5:$C$304,$B43)-SUMIFS(对接源_01水果筐数!$D$5:$D$304,对接源_01水果筐数!$C$5:$C$304,$B43))</f>
        <v/>
      </c>
      <c r="L43" s="25" t="str">
        <f t="shared" si="3"/>
        <v/>
      </c>
      <c r="M43" s="22" t="str">
        <f t="shared" si="4"/>
        <v/>
      </c>
    </row>
    <row r="44" spans="1:13">
      <c r="A44" s="24" t="str">
        <f t="shared" si="0"/>
        <v/>
      </c>
      <c r="B44" s="75" t="str">
        <f>IFERROR(INDEX(_自动清单!$BQ$4:$BQ$63,ROW()-3),"")</f>
        <v/>
      </c>
      <c r="C44" s="25" t="str">
        <f>IF(OR($B44="",LEFT($B44,2)="自备"),"",SUMIFS(周转筐出入库明细!$H$4:$H$2004,周转筐出入库明细!$D$4:$D$2004,$B44,周转筐出入库明细!$F$4:$F$2004,"期初库存"))</f>
        <v/>
      </c>
      <c r="D44" s="25" t="str">
        <f>IF(OR($B44="",LEFT($B44,2)="自备"),"",SUMIFS(周转筐出入库明细!$H$4:$H$2004,周转筐出入库明细!$D$4:$D$2004,$B44,周转筐出入库明细!$F$4:$F$2004,"采购入库",周转筐出入库明细!$B$4:$B$2004,"&gt;="&amp;$Q$1,周转筐出入库明细!$B$4:$B$2004,"&lt;="&amp;$Q$2))</f>
        <v/>
      </c>
      <c r="E44" s="56" t="str">
        <f>IF(OR($B44="",LEFT($B44,2)="自备"),"",SUMIFS(周转筐出入库明细!$I$4:$I$2004,周转筐出入库明细!$D$4:$D$2004,$B44,周转筐出入库明细!$B$4:$B$2004,"&gt;="&amp;$Q$1,周转筐出入库明细!$B$4:$B$2004,"&lt;="&amp;$Q$2))</f>
        <v/>
      </c>
      <c r="F44" s="25" t="str">
        <f>IF(OR($B44="",LEFT($B44,2)="自备"),"",SUMIFS(周转筐出入库明细!$J$4:$J$2004,周转筐出入库明细!$D$4:$D$2004,$B44,周转筐出入库明细!$B$4:$B$2004,"&gt;="&amp;$Q$1,周转筐出入库明细!$B$4:$B$2004,"&lt;="&amp;$Q$2))</f>
        <v/>
      </c>
      <c r="G44" s="25" t="str">
        <f>IF(OR($B44="",LEFT($B44,2)="自备"),"",SUMIFS(周转筐出入库明细!$K$4:$K$2004,周转筐出入库明细!$D$4:$D$2004,$B44,周转筐出入库明细!$B$4:$B$2004,"&gt;="&amp;$Q$1,周转筐出入库明细!$B$4:$B$2004,"&lt;="&amp;$Q$2))</f>
        <v/>
      </c>
      <c r="H44" s="25" t="str">
        <f>IF(OR($B44="",LEFT($B44,2)="自备"),"",SUMIFS(周转筐出入库明细!$H$4:$H$2004,周转筐出入库明细!$D$4:$D$2004,$B44,周转筐出入库明细!$B$4:$B$2004,"&gt;="&amp;$Q$1,周转筐出入库明细!$B$4:$B$2004,"&lt;="&amp;$Q$2)-SUMIFS(周转筐出入库明细!$H$4:$H$2004,周转筐出入库明细!$D$4:$D$2004,$B44,周转筐出入库明细!$F$4:$F$2004,"采购入库",周转筐出入库明细!$B$4:$B$2004,"&gt;="&amp;$Q$1,周转筐出入库明细!$B$4:$B$2004,"&lt;="&amp;$Q$2))</f>
        <v/>
      </c>
      <c r="I44" s="25" t="str">
        <f t="shared" si="1"/>
        <v/>
      </c>
      <c r="J44" s="25" t="str">
        <f t="shared" si="2"/>
        <v/>
      </c>
      <c r="K44" s="25" t="str">
        <f>IF(OR($B44="",LEFT($B44,2)="自备"),"",SUMIFS(对接源_01水果筐数!$E$5:$E$304,对接源_01水果筐数!$C$5:$C$304,$B44)+SUMIFS(对接源_01水果筐数!$F$5:$F$304,对接源_01水果筐数!$C$5:$C$304,$B44)-SUMIFS(对接源_01水果筐数!$D$5:$D$304,对接源_01水果筐数!$C$5:$C$304,$B44))</f>
        <v/>
      </c>
      <c r="L44" s="25" t="str">
        <f t="shared" si="3"/>
        <v/>
      </c>
      <c r="M44" s="22" t="str">
        <f t="shared" si="4"/>
        <v/>
      </c>
    </row>
    <row r="45" spans="1:13">
      <c r="A45" s="24" t="str">
        <f t="shared" si="0"/>
        <v/>
      </c>
      <c r="B45" s="75" t="str">
        <f>IFERROR(INDEX(_自动清单!$BQ$4:$BQ$63,ROW()-3),"")</f>
        <v/>
      </c>
      <c r="C45" s="25" t="str">
        <f>IF(OR($B45="",LEFT($B45,2)="自备"),"",SUMIFS(周转筐出入库明细!$H$4:$H$2004,周转筐出入库明细!$D$4:$D$2004,$B45,周转筐出入库明细!$F$4:$F$2004,"期初库存"))</f>
        <v/>
      </c>
      <c r="D45" s="25" t="str">
        <f>IF(OR($B45="",LEFT($B45,2)="自备"),"",SUMIFS(周转筐出入库明细!$H$4:$H$2004,周转筐出入库明细!$D$4:$D$2004,$B45,周转筐出入库明细!$F$4:$F$2004,"采购入库",周转筐出入库明细!$B$4:$B$2004,"&gt;="&amp;$Q$1,周转筐出入库明细!$B$4:$B$2004,"&lt;="&amp;$Q$2))</f>
        <v/>
      </c>
      <c r="E45" s="56" t="str">
        <f>IF(OR($B45="",LEFT($B45,2)="自备"),"",SUMIFS(周转筐出入库明细!$I$4:$I$2004,周转筐出入库明细!$D$4:$D$2004,$B45,周转筐出入库明细!$B$4:$B$2004,"&gt;="&amp;$Q$1,周转筐出入库明细!$B$4:$B$2004,"&lt;="&amp;$Q$2))</f>
        <v/>
      </c>
      <c r="F45" s="25" t="str">
        <f>IF(OR($B45="",LEFT($B45,2)="自备"),"",SUMIFS(周转筐出入库明细!$J$4:$J$2004,周转筐出入库明细!$D$4:$D$2004,$B45,周转筐出入库明细!$B$4:$B$2004,"&gt;="&amp;$Q$1,周转筐出入库明细!$B$4:$B$2004,"&lt;="&amp;$Q$2))</f>
        <v/>
      </c>
      <c r="G45" s="25" t="str">
        <f>IF(OR($B45="",LEFT($B45,2)="自备"),"",SUMIFS(周转筐出入库明细!$K$4:$K$2004,周转筐出入库明细!$D$4:$D$2004,$B45,周转筐出入库明细!$B$4:$B$2004,"&gt;="&amp;$Q$1,周转筐出入库明细!$B$4:$B$2004,"&lt;="&amp;$Q$2))</f>
        <v/>
      </c>
      <c r="H45" s="25" t="str">
        <f>IF(OR($B45="",LEFT($B45,2)="自备"),"",SUMIFS(周转筐出入库明细!$H$4:$H$2004,周转筐出入库明细!$D$4:$D$2004,$B45,周转筐出入库明细!$B$4:$B$2004,"&gt;="&amp;$Q$1,周转筐出入库明细!$B$4:$B$2004,"&lt;="&amp;$Q$2)-SUMIFS(周转筐出入库明细!$H$4:$H$2004,周转筐出入库明细!$D$4:$D$2004,$B45,周转筐出入库明细!$F$4:$F$2004,"采购入库",周转筐出入库明细!$B$4:$B$2004,"&gt;="&amp;$Q$1,周转筐出入库明细!$B$4:$B$2004,"&lt;="&amp;$Q$2))</f>
        <v/>
      </c>
      <c r="I45" s="25" t="str">
        <f t="shared" si="1"/>
        <v/>
      </c>
      <c r="J45" s="25" t="str">
        <f t="shared" si="2"/>
        <v/>
      </c>
      <c r="K45" s="25" t="str">
        <f>IF(OR($B45="",LEFT($B45,2)="自备"),"",SUMIFS(对接源_01水果筐数!$E$5:$E$304,对接源_01水果筐数!$C$5:$C$304,$B45)+SUMIFS(对接源_01水果筐数!$F$5:$F$304,对接源_01水果筐数!$C$5:$C$304,$B45)-SUMIFS(对接源_01水果筐数!$D$5:$D$304,对接源_01水果筐数!$C$5:$C$304,$B45))</f>
        <v/>
      </c>
      <c r="L45" s="25" t="str">
        <f t="shared" si="3"/>
        <v/>
      </c>
      <c r="M45" s="22" t="str">
        <f t="shared" si="4"/>
        <v/>
      </c>
    </row>
    <row r="46" spans="1:13">
      <c r="A46" s="24" t="str">
        <f t="shared" si="0"/>
        <v/>
      </c>
      <c r="B46" s="75" t="str">
        <f>IFERROR(INDEX(_自动清单!$BQ$4:$BQ$63,ROW()-3),"")</f>
        <v/>
      </c>
      <c r="C46" s="25" t="str">
        <f>IF(OR($B46="",LEFT($B46,2)="自备"),"",SUMIFS(周转筐出入库明细!$H$4:$H$2004,周转筐出入库明细!$D$4:$D$2004,$B46,周转筐出入库明细!$F$4:$F$2004,"期初库存"))</f>
        <v/>
      </c>
      <c r="D46" s="25" t="str">
        <f>IF(OR($B46="",LEFT($B46,2)="自备"),"",SUMIFS(周转筐出入库明细!$H$4:$H$2004,周转筐出入库明细!$D$4:$D$2004,$B46,周转筐出入库明细!$F$4:$F$2004,"采购入库",周转筐出入库明细!$B$4:$B$2004,"&gt;="&amp;$Q$1,周转筐出入库明细!$B$4:$B$2004,"&lt;="&amp;$Q$2))</f>
        <v/>
      </c>
      <c r="E46" s="56" t="str">
        <f>IF(OR($B46="",LEFT($B46,2)="自备"),"",SUMIFS(周转筐出入库明细!$I$4:$I$2004,周转筐出入库明细!$D$4:$D$2004,$B46,周转筐出入库明细!$B$4:$B$2004,"&gt;="&amp;$Q$1,周转筐出入库明细!$B$4:$B$2004,"&lt;="&amp;$Q$2))</f>
        <v/>
      </c>
      <c r="F46" s="25" t="str">
        <f>IF(OR($B46="",LEFT($B46,2)="自备"),"",SUMIFS(周转筐出入库明细!$J$4:$J$2004,周转筐出入库明细!$D$4:$D$2004,$B46,周转筐出入库明细!$B$4:$B$2004,"&gt;="&amp;$Q$1,周转筐出入库明细!$B$4:$B$2004,"&lt;="&amp;$Q$2))</f>
        <v/>
      </c>
      <c r="G46" s="25" t="str">
        <f>IF(OR($B46="",LEFT($B46,2)="自备"),"",SUMIFS(周转筐出入库明细!$K$4:$K$2004,周转筐出入库明细!$D$4:$D$2004,$B46,周转筐出入库明细!$B$4:$B$2004,"&gt;="&amp;$Q$1,周转筐出入库明细!$B$4:$B$2004,"&lt;="&amp;$Q$2))</f>
        <v/>
      </c>
      <c r="H46" s="25" t="str">
        <f>IF(OR($B46="",LEFT($B46,2)="自备"),"",SUMIFS(周转筐出入库明细!$H$4:$H$2004,周转筐出入库明细!$D$4:$D$2004,$B46,周转筐出入库明细!$B$4:$B$2004,"&gt;="&amp;$Q$1,周转筐出入库明细!$B$4:$B$2004,"&lt;="&amp;$Q$2)-SUMIFS(周转筐出入库明细!$H$4:$H$2004,周转筐出入库明细!$D$4:$D$2004,$B46,周转筐出入库明细!$F$4:$F$2004,"采购入库",周转筐出入库明细!$B$4:$B$2004,"&gt;="&amp;$Q$1,周转筐出入库明细!$B$4:$B$2004,"&lt;="&amp;$Q$2))</f>
        <v/>
      </c>
      <c r="I46" s="25" t="str">
        <f t="shared" si="1"/>
        <v/>
      </c>
      <c r="J46" s="25" t="str">
        <f t="shared" si="2"/>
        <v/>
      </c>
      <c r="K46" s="25" t="str">
        <f>IF(OR($B46="",LEFT($B46,2)="自备"),"",SUMIFS(对接源_01水果筐数!$E$5:$E$304,对接源_01水果筐数!$C$5:$C$304,$B46)+SUMIFS(对接源_01水果筐数!$F$5:$F$304,对接源_01水果筐数!$C$5:$C$304,$B46)-SUMIFS(对接源_01水果筐数!$D$5:$D$304,对接源_01水果筐数!$C$5:$C$304,$B46))</f>
        <v/>
      </c>
      <c r="L46" s="25" t="str">
        <f t="shared" si="3"/>
        <v/>
      </c>
      <c r="M46" s="22" t="str">
        <f t="shared" si="4"/>
        <v/>
      </c>
    </row>
    <row r="47" spans="1:13">
      <c r="A47" s="24" t="str">
        <f t="shared" si="0"/>
        <v/>
      </c>
      <c r="B47" s="75" t="str">
        <f>IFERROR(INDEX(_自动清单!$BQ$4:$BQ$63,ROW()-3),"")</f>
        <v/>
      </c>
      <c r="C47" s="25" t="str">
        <f>IF(OR($B47="",LEFT($B47,2)="自备"),"",SUMIFS(周转筐出入库明细!$H$4:$H$2004,周转筐出入库明细!$D$4:$D$2004,$B47,周转筐出入库明细!$F$4:$F$2004,"期初库存"))</f>
        <v/>
      </c>
      <c r="D47" s="25" t="str">
        <f>IF(OR($B47="",LEFT($B47,2)="自备"),"",SUMIFS(周转筐出入库明细!$H$4:$H$2004,周转筐出入库明细!$D$4:$D$2004,$B47,周转筐出入库明细!$F$4:$F$2004,"采购入库",周转筐出入库明细!$B$4:$B$2004,"&gt;="&amp;$Q$1,周转筐出入库明细!$B$4:$B$2004,"&lt;="&amp;$Q$2))</f>
        <v/>
      </c>
      <c r="E47" s="56" t="str">
        <f>IF(OR($B47="",LEFT($B47,2)="自备"),"",SUMIFS(周转筐出入库明细!$I$4:$I$2004,周转筐出入库明细!$D$4:$D$2004,$B47,周转筐出入库明细!$B$4:$B$2004,"&gt;="&amp;$Q$1,周转筐出入库明细!$B$4:$B$2004,"&lt;="&amp;$Q$2))</f>
        <v/>
      </c>
      <c r="F47" s="25" t="str">
        <f>IF(OR($B47="",LEFT($B47,2)="自备"),"",SUMIFS(周转筐出入库明细!$J$4:$J$2004,周转筐出入库明细!$D$4:$D$2004,$B47,周转筐出入库明细!$B$4:$B$2004,"&gt;="&amp;$Q$1,周转筐出入库明细!$B$4:$B$2004,"&lt;="&amp;$Q$2))</f>
        <v/>
      </c>
      <c r="G47" s="25" t="str">
        <f>IF(OR($B47="",LEFT($B47,2)="自备"),"",SUMIFS(周转筐出入库明细!$K$4:$K$2004,周转筐出入库明细!$D$4:$D$2004,$B47,周转筐出入库明细!$B$4:$B$2004,"&gt;="&amp;$Q$1,周转筐出入库明细!$B$4:$B$2004,"&lt;="&amp;$Q$2))</f>
        <v/>
      </c>
      <c r="H47" s="25" t="str">
        <f>IF(OR($B47="",LEFT($B47,2)="自备"),"",SUMIFS(周转筐出入库明细!$H$4:$H$2004,周转筐出入库明细!$D$4:$D$2004,$B47,周转筐出入库明细!$B$4:$B$2004,"&gt;="&amp;$Q$1,周转筐出入库明细!$B$4:$B$2004,"&lt;="&amp;$Q$2)-SUMIFS(周转筐出入库明细!$H$4:$H$2004,周转筐出入库明细!$D$4:$D$2004,$B47,周转筐出入库明细!$F$4:$F$2004,"采购入库",周转筐出入库明细!$B$4:$B$2004,"&gt;="&amp;$Q$1,周转筐出入库明细!$B$4:$B$2004,"&lt;="&amp;$Q$2))</f>
        <v/>
      </c>
      <c r="I47" s="25" t="str">
        <f t="shared" si="1"/>
        <v/>
      </c>
      <c r="J47" s="25" t="str">
        <f t="shared" si="2"/>
        <v/>
      </c>
      <c r="K47" s="25" t="str">
        <f>IF(OR($B47="",LEFT($B47,2)="自备"),"",SUMIFS(对接源_01水果筐数!$E$5:$E$304,对接源_01水果筐数!$C$5:$C$304,$B47)+SUMIFS(对接源_01水果筐数!$F$5:$F$304,对接源_01水果筐数!$C$5:$C$304,$B47)-SUMIFS(对接源_01水果筐数!$D$5:$D$304,对接源_01水果筐数!$C$5:$C$304,$B47))</f>
        <v/>
      </c>
      <c r="L47" s="25" t="str">
        <f t="shared" si="3"/>
        <v/>
      </c>
      <c r="M47" s="22" t="str">
        <f t="shared" si="4"/>
        <v/>
      </c>
    </row>
    <row r="48" spans="1:13">
      <c r="A48" s="24" t="str">
        <f t="shared" si="0"/>
        <v/>
      </c>
      <c r="B48" s="75" t="str">
        <f>IFERROR(INDEX(_自动清单!$BQ$4:$BQ$63,ROW()-3),"")</f>
        <v/>
      </c>
      <c r="C48" s="25" t="str">
        <f>IF(OR($B48="",LEFT($B48,2)="自备"),"",SUMIFS(周转筐出入库明细!$H$4:$H$2004,周转筐出入库明细!$D$4:$D$2004,$B48,周转筐出入库明细!$F$4:$F$2004,"期初库存"))</f>
        <v/>
      </c>
      <c r="D48" s="25" t="str">
        <f>IF(OR($B48="",LEFT($B48,2)="自备"),"",SUMIFS(周转筐出入库明细!$H$4:$H$2004,周转筐出入库明细!$D$4:$D$2004,$B48,周转筐出入库明细!$F$4:$F$2004,"采购入库",周转筐出入库明细!$B$4:$B$2004,"&gt;="&amp;$Q$1,周转筐出入库明细!$B$4:$B$2004,"&lt;="&amp;$Q$2))</f>
        <v/>
      </c>
      <c r="E48" s="56" t="str">
        <f>IF(OR($B48="",LEFT($B48,2)="自备"),"",SUMIFS(周转筐出入库明细!$I$4:$I$2004,周转筐出入库明细!$D$4:$D$2004,$B48,周转筐出入库明细!$B$4:$B$2004,"&gt;="&amp;$Q$1,周转筐出入库明细!$B$4:$B$2004,"&lt;="&amp;$Q$2))</f>
        <v/>
      </c>
      <c r="F48" s="25" t="str">
        <f>IF(OR($B48="",LEFT($B48,2)="自备"),"",SUMIFS(周转筐出入库明细!$J$4:$J$2004,周转筐出入库明细!$D$4:$D$2004,$B48,周转筐出入库明细!$B$4:$B$2004,"&gt;="&amp;$Q$1,周转筐出入库明细!$B$4:$B$2004,"&lt;="&amp;$Q$2))</f>
        <v/>
      </c>
      <c r="G48" s="25" t="str">
        <f>IF(OR($B48="",LEFT($B48,2)="自备"),"",SUMIFS(周转筐出入库明细!$K$4:$K$2004,周转筐出入库明细!$D$4:$D$2004,$B48,周转筐出入库明细!$B$4:$B$2004,"&gt;="&amp;$Q$1,周转筐出入库明细!$B$4:$B$2004,"&lt;="&amp;$Q$2))</f>
        <v/>
      </c>
      <c r="H48" s="25" t="str">
        <f>IF(OR($B48="",LEFT($B48,2)="自备"),"",SUMIFS(周转筐出入库明细!$H$4:$H$2004,周转筐出入库明细!$D$4:$D$2004,$B48,周转筐出入库明细!$B$4:$B$2004,"&gt;="&amp;$Q$1,周转筐出入库明细!$B$4:$B$2004,"&lt;="&amp;$Q$2)-SUMIFS(周转筐出入库明细!$H$4:$H$2004,周转筐出入库明细!$D$4:$D$2004,$B48,周转筐出入库明细!$F$4:$F$2004,"采购入库",周转筐出入库明细!$B$4:$B$2004,"&gt;="&amp;$Q$1,周转筐出入库明细!$B$4:$B$2004,"&lt;="&amp;$Q$2))</f>
        <v/>
      </c>
      <c r="I48" s="25" t="str">
        <f t="shared" si="1"/>
        <v/>
      </c>
      <c r="J48" s="25" t="str">
        <f t="shared" si="2"/>
        <v/>
      </c>
      <c r="K48" s="25" t="str">
        <f>IF(OR($B48="",LEFT($B48,2)="自备"),"",SUMIFS(对接源_01水果筐数!$E$5:$E$304,对接源_01水果筐数!$C$5:$C$304,$B48)+SUMIFS(对接源_01水果筐数!$F$5:$F$304,对接源_01水果筐数!$C$5:$C$304,$B48)-SUMIFS(对接源_01水果筐数!$D$5:$D$304,对接源_01水果筐数!$C$5:$C$304,$B48))</f>
        <v/>
      </c>
      <c r="L48" s="25" t="str">
        <f t="shared" si="3"/>
        <v/>
      </c>
      <c r="M48" s="22" t="str">
        <f t="shared" si="4"/>
        <v/>
      </c>
    </row>
    <row r="49" spans="1:13">
      <c r="A49" s="24" t="str">
        <f t="shared" si="0"/>
        <v/>
      </c>
      <c r="B49" s="75" t="str">
        <f>IFERROR(INDEX(_自动清单!$BQ$4:$BQ$63,ROW()-3),"")</f>
        <v/>
      </c>
      <c r="C49" s="25" t="str">
        <f>IF(OR($B49="",LEFT($B49,2)="自备"),"",SUMIFS(周转筐出入库明细!$H$4:$H$2004,周转筐出入库明细!$D$4:$D$2004,$B49,周转筐出入库明细!$F$4:$F$2004,"期初库存"))</f>
        <v/>
      </c>
      <c r="D49" s="25" t="str">
        <f>IF(OR($B49="",LEFT($B49,2)="自备"),"",SUMIFS(周转筐出入库明细!$H$4:$H$2004,周转筐出入库明细!$D$4:$D$2004,$B49,周转筐出入库明细!$F$4:$F$2004,"采购入库",周转筐出入库明细!$B$4:$B$2004,"&gt;="&amp;$Q$1,周转筐出入库明细!$B$4:$B$2004,"&lt;="&amp;$Q$2))</f>
        <v/>
      </c>
      <c r="E49" s="56" t="str">
        <f>IF(OR($B49="",LEFT($B49,2)="自备"),"",SUMIFS(周转筐出入库明细!$I$4:$I$2004,周转筐出入库明细!$D$4:$D$2004,$B49,周转筐出入库明细!$B$4:$B$2004,"&gt;="&amp;$Q$1,周转筐出入库明细!$B$4:$B$2004,"&lt;="&amp;$Q$2))</f>
        <v/>
      </c>
      <c r="F49" s="25" t="str">
        <f>IF(OR($B49="",LEFT($B49,2)="自备"),"",SUMIFS(周转筐出入库明细!$J$4:$J$2004,周转筐出入库明细!$D$4:$D$2004,$B49,周转筐出入库明细!$B$4:$B$2004,"&gt;="&amp;$Q$1,周转筐出入库明细!$B$4:$B$2004,"&lt;="&amp;$Q$2))</f>
        <v/>
      </c>
      <c r="G49" s="25" t="str">
        <f>IF(OR($B49="",LEFT($B49,2)="自备"),"",SUMIFS(周转筐出入库明细!$K$4:$K$2004,周转筐出入库明细!$D$4:$D$2004,$B49,周转筐出入库明细!$B$4:$B$2004,"&gt;="&amp;$Q$1,周转筐出入库明细!$B$4:$B$2004,"&lt;="&amp;$Q$2))</f>
        <v/>
      </c>
      <c r="H49" s="25" t="str">
        <f>IF(OR($B49="",LEFT($B49,2)="自备"),"",SUMIFS(周转筐出入库明细!$H$4:$H$2004,周转筐出入库明细!$D$4:$D$2004,$B49,周转筐出入库明细!$B$4:$B$2004,"&gt;="&amp;$Q$1,周转筐出入库明细!$B$4:$B$2004,"&lt;="&amp;$Q$2)-SUMIFS(周转筐出入库明细!$H$4:$H$2004,周转筐出入库明细!$D$4:$D$2004,$B49,周转筐出入库明细!$F$4:$F$2004,"采购入库",周转筐出入库明细!$B$4:$B$2004,"&gt;="&amp;$Q$1,周转筐出入库明细!$B$4:$B$2004,"&lt;="&amp;$Q$2))</f>
        <v/>
      </c>
      <c r="I49" s="25" t="str">
        <f t="shared" si="1"/>
        <v/>
      </c>
      <c r="J49" s="25" t="str">
        <f t="shared" si="2"/>
        <v/>
      </c>
      <c r="K49" s="25" t="str">
        <f>IF(OR($B49="",LEFT($B49,2)="自备"),"",SUMIFS(对接源_01水果筐数!$E$5:$E$304,对接源_01水果筐数!$C$5:$C$304,$B49)+SUMIFS(对接源_01水果筐数!$F$5:$F$304,对接源_01水果筐数!$C$5:$C$304,$B49)-SUMIFS(对接源_01水果筐数!$D$5:$D$304,对接源_01水果筐数!$C$5:$C$304,$B49))</f>
        <v/>
      </c>
      <c r="L49" s="25" t="str">
        <f t="shared" si="3"/>
        <v/>
      </c>
      <c r="M49" s="22" t="str">
        <f t="shared" si="4"/>
        <v/>
      </c>
    </row>
    <row r="50" spans="1:13">
      <c r="A50" s="24" t="str">
        <f t="shared" si="0"/>
        <v/>
      </c>
      <c r="B50" s="75" t="str">
        <f>IFERROR(INDEX(_自动清单!$BQ$4:$BQ$63,ROW()-3),"")</f>
        <v/>
      </c>
      <c r="C50" s="25" t="str">
        <f>IF(OR($B50="",LEFT($B50,2)="自备"),"",SUMIFS(周转筐出入库明细!$H$4:$H$2004,周转筐出入库明细!$D$4:$D$2004,$B50,周转筐出入库明细!$F$4:$F$2004,"期初库存"))</f>
        <v/>
      </c>
      <c r="D50" s="25" t="str">
        <f>IF(OR($B50="",LEFT($B50,2)="自备"),"",SUMIFS(周转筐出入库明细!$H$4:$H$2004,周转筐出入库明细!$D$4:$D$2004,$B50,周转筐出入库明细!$F$4:$F$2004,"采购入库",周转筐出入库明细!$B$4:$B$2004,"&gt;="&amp;$Q$1,周转筐出入库明细!$B$4:$B$2004,"&lt;="&amp;$Q$2))</f>
        <v/>
      </c>
      <c r="E50" s="56" t="str">
        <f>IF(OR($B50="",LEFT($B50,2)="自备"),"",SUMIFS(周转筐出入库明细!$I$4:$I$2004,周转筐出入库明细!$D$4:$D$2004,$B50,周转筐出入库明细!$B$4:$B$2004,"&gt;="&amp;$Q$1,周转筐出入库明细!$B$4:$B$2004,"&lt;="&amp;$Q$2))</f>
        <v/>
      </c>
      <c r="F50" s="25" t="str">
        <f>IF(OR($B50="",LEFT($B50,2)="自备"),"",SUMIFS(周转筐出入库明细!$J$4:$J$2004,周转筐出入库明细!$D$4:$D$2004,$B50,周转筐出入库明细!$B$4:$B$2004,"&gt;="&amp;$Q$1,周转筐出入库明细!$B$4:$B$2004,"&lt;="&amp;$Q$2))</f>
        <v/>
      </c>
      <c r="G50" s="25" t="str">
        <f>IF(OR($B50="",LEFT($B50,2)="自备"),"",SUMIFS(周转筐出入库明细!$K$4:$K$2004,周转筐出入库明细!$D$4:$D$2004,$B50,周转筐出入库明细!$B$4:$B$2004,"&gt;="&amp;$Q$1,周转筐出入库明细!$B$4:$B$2004,"&lt;="&amp;$Q$2))</f>
        <v/>
      </c>
      <c r="H50" s="25" t="str">
        <f>IF(OR($B50="",LEFT($B50,2)="自备"),"",SUMIFS(周转筐出入库明细!$H$4:$H$2004,周转筐出入库明细!$D$4:$D$2004,$B50,周转筐出入库明细!$B$4:$B$2004,"&gt;="&amp;$Q$1,周转筐出入库明细!$B$4:$B$2004,"&lt;="&amp;$Q$2)-SUMIFS(周转筐出入库明细!$H$4:$H$2004,周转筐出入库明细!$D$4:$D$2004,$B50,周转筐出入库明细!$F$4:$F$2004,"采购入库",周转筐出入库明细!$B$4:$B$2004,"&gt;="&amp;$Q$1,周转筐出入库明细!$B$4:$B$2004,"&lt;="&amp;$Q$2))</f>
        <v/>
      </c>
      <c r="I50" s="25" t="str">
        <f t="shared" si="1"/>
        <v/>
      </c>
      <c r="J50" s="25" t="str">
        <f t="shared" si="2"/>
        <v/>
      </c>
      <c r="K50" s="25" t="str">
        <f>IF(OR($B50="",LEFT($B50,2)="自备"),"",SUMIFS(对接源_01水果筐数!$E$5:$E$304,对接源_01水果筐数!$C$5:$C$304,$B50)+SUMIFS(对接源_01水果筐数!$F$5:$F$304,对接源_01水果筐数!$C$5:$C$304,$B50)-SUMIFS(对接源_01水果筐数!$D$5:$D$304,对接源_01水果筐数!$C$5:$C$304,$B50))</f>
        <v/>
      </c>
      <c r="L50" s="25" t="str">
        <f t="shared" si="3"/>
        <v/>
      </c>
      <c r="M50" s="22" t="str">
        <f t="shared" si="4"/>
        <v/>
      </c>
    </row>
    <row r="51" spans="1:13">
      <c r="A51" s="24" t="str">
        <f t="shared" si="0"/>
        <v/>
      </c>
      <c r="B51" s="75" t="str">
        <f>IFERROR(INDEX(_自动清单!$BQ$4:$BQ$63,ROW()-3),"")</f>
        <v/>
      </c>
      <c r="C51" s="25" t="str">
        <f>IF(OR($B51="",LEFT($B51,2)="自备"),"",SUMIFS(周转筐出入库明细!$H$4:$H$2004,周转筐出入库明细!$D$4:$D$2004,$B51,周转筐出入库明细!$F$4:$F$2004,"期初库存"))</f>
        <v/>
      </c>
      <c r="D51" s="25" t="str">
        <f>IF(OR($B51="",LEFT($B51,2)="自备"),"",SUMIFS(周转筐出入库明细!$H$4:$H$2004,周转筐出入库明细!$D$4:$D$2004,$B51,周转筐出入库明细!$F$4:$F$2004,"采购入库",周转筐出入库明细!$B$4:$B$2004,"&gt;="&amp;$Q$1,周转筐出入库明细!$B$4:$B$2004,"&lt;="&amp;$Q$2))</f>
        <v/>
      </c>
      <c r="E51" s="56" t="str">
        <f>IF(OR($B51="",LEFT($B51,2)="自备"),"",SUMIFS(周转筐出入库明细!$I$4:$I$2004,周转筐出入库明细!$D$4:$D$2004,$B51,周转筐出入库明细!$B$4:$B$2004,"&gt;="&amp;$Q$1,周转筐出入库明细!$B$4:$B$2004,"&lt;="&amp;$Q$2))</f>
        <v/>
      </c>
      <c r="F51" s="25" t="str">
        <f>IF(OR($B51="",LEFT($B51,2)="自备"),"",SUMIFS(周转筐出入库明细!$J$4:$J$2004,周转筐出入库明细!$D$4:$D$2004,$B51,周转筐出入库明细!$B$4:$B$2004,"&gt;="&amp;$Q$1,周转筐出入库明细!$B$4:$B$2004,"&lt;="&amp;$Q$2))</f>
        <v/>
      </c>
      <c r="G51" s="25" t="str">
        <f>IF(OR($B51="",LEFT($B51,2)="自备"),"",SUMIFS(周转筐出入库明细!$K$4:$K$2004,周转筐出入库明细!$D$4:$D$2004,$B51,周转筐出入库明细!$B$4:$B$2004,"&gt;="&amp;$Q$1,周转筐出入库明细!$B$4:$B$2004,"&lt;="&amp;$Q$2))</f>
        <v/>
      </c>
      <c r="H51" s="25" t="str">
        <f>IF(OR($B51="",LEFT($B51,2)="自备"),"",SUMIFS(周转筐出入库明细!$H$4:$H$2004,周转筐出入库明细!$D$4:$D$2004,$B51,周转筐出入库明细!$B$4:$B$2004,"&gt;="&amp;$Q$1,周转筐出入库明细!$B$4:$B$2004,"&lt;="&amp;$Q$2)-SUMIFS(周转筐出入库明细!$H$4:$H$2004,周转筐出入库明细!$D$4:$D$2004,$B51,周转筐出入库明细!$F$4:$F$2004,"采购入库",周转筐出入库明细!$B$4:$B$2004,"&gt;="&amp;$Q$1,周转筐出入库明细!$B$4:$B$2004,"&lt;="&amp;$Q$2))</f>
        <v/>
      </c>
      <c r="I51" s="25" t="str">
        <f t="shared" si="1"/>
        <v/>
      </c>
      <c r="J51" s="25" t="str">
        <f t="shared" si="2"/>
        <v/>
      </c>
      <c r="K51" s="25" t="str">
        <f>IF(OR($B51="",LEFT($B51,2)="自备"),"",SUMIFS(对接源_01水果筐数!$E$5:$E$304,对接源_01水果筐数!$C$5:$C$304,$B51)+SUMIFS(对接源_01水果筐数!$F$5:$F$304,对接源_01水果筐数!$C$5:$C$304,$B51)-SUMIFS(对接源_01水果筐数!$D$5:$D$304,对接源_01水果筐数!$C$5:$C$304,$B51))</f>
        <v/>
      </c>
      <c r="L51" s="25" t="str">
        <f t="shared" si="3"/>
        <v/>
      </c>
      <c r="M51" s="22" t="str">
        <f t="shared" si="4"/>
        <v/>
      </c>
    </row>
    <row r="52" spans="1:13">
      <c r="A52" s="24" t="str">
        <f t="shared" si="0"/>
        <v/>
      </c>
      <c r="B52" s="75" t="str">
        <f>IFERROR(INDEX(_自动清单!$BQ$4:$BQ$63,ROW()-3),"")</f>
        <v/>
      </c>
      <c r="C52" s="25" t="str">
        <f>IF(OR($B52="",LEFT($B52,2)="自备"),"",SUMIFS(周转筐出入库明细!$H$4:$H$2004,周转筐出入库明细!$D$4:$D$2004,$B52,周转筐出入库明细!$F$4:$F$2004,"期初库存"))</f>
        <v/>
      </c>
      <c r="D52" s="25" t="str">
        <f>IF(OR($B52="",LEFT($B52,2)="自备"),"",SUMIFS(周转筐出入库明细!$H$4:$H$2004,周转筐出入库明细!$D$4:$D$2004,$B52,周转筐出入库明细!$F$4:$F$2004,"采购入库",周转筐出入库明细!$B$4:$B$2004,"&gt;="&amp;$Q$1,周转筐出入库明细!$B$4:$B$2004,"&lt;="&amp;$Q$2))</f>
        <v/>
      </c>
      <c r="E52" s="56" t="str">
        <f>IF(OR($B52="",LEFT($B52,2)="自备"),"",SUMIFS(周转筐出入库明细!$I$4:$I$2004,周转筐出入库明细!$D$4:$D$2004,$B52,周转筐出入库明细!$B$4:$B$2004,"&gt;="&amp;$Q$1,周转筐出入库明细!$B$4:$B$2004,"&lt;="&amp;$Q$2))</f>
        <v/>
      </c>
      <c r="F52" s="25" t="str">
        <f>IF(OR($B52="",LEFT($B52,2)="自备"),"",SUMIFS(周转筐出入库明细!$J$4:$J$2004,周转筐出入库明细!$D$4:$D$2004,$B52,周转筐出入库明细!$B$4:$B$2004,"&gt;="&amp;$Q$1,周转筐出入库明细!$B$4:$B$2004,"&lt;="&amp;$Q$2))</f>
        <v/>
      </c>
      <c r="G52" s="25" t="str">
        <f>IF(OR($B52="",LEFT($B52,2)="自备"),"",SUMIFS(周转筐出入库明细!$K$4:$K$2004,周转筐出入库明细!$D$4:$D$2004,$B52,周转筐出入库明细!$B$4:$B$2004,"&gt;="&amp;$Q$1,周转筐出入库明细!$B$4:$B$2004,"&lt;="&amp;$Q$2))</f>
        <v/>
      </c>
      <c r="H52" s="25" t="str">
        <f>IF(OR($B52="",LEFT($B52,2)="自备"),"",SUMIFS(周转筐出入库明细!$H$4:$H$2004,周转筐出入库明细!$D$4:$D$2004,$B52,周转筐出入库明细!$B$4:$B$2004,"&gt;="&amp;$Q$1,周转筐出入库明细!$B$4:$B$2004,"&lt;="&amp;$Q$2)-SUMIFS(周转筐出入库明细!$H$4:$H$2004,周转筐出入库明细!$D$4:$D$2004,$B52,周转筐出入库明细!$F$4:$F$2004,"采购入库",周转筐出入库明细!$B$4:$B$2004,"&gt;="&amp;$Q$1,周转筐出入库明细!$B$4:$B$2004,"&lt;="&amp;$Q$2))</f>
        <v/>
      </c>
      <c r="I52" s="25" t="str">
        <f t="shared" si="1"/>
        <v/>
      </c>
      <c r="J52" s="25" t="str">
        <f t="shared" si="2"/>
        <v/>
      </c>
      <c r="K52" s="25" t="str">
        <f>IF(OR($B52="",LEFT($B52,2)="自备"),"",SUMIFS(对接源_01水果筐数!$E$5:$E$304,对接源_01水果筐数!$C$5:$C$304,$B52)+SUMIFS(对接源_01水果筐数!$F$5:$F$304,对接源_01水果筐数!$C$5:$C$304,$B52)-SUMIFS(对接源_01水果筐数!$D$5:$D$304,对接源_01水果筐数!$C$5:$C$304,$B52))</f>
        <v/>
      </c>
      <c r="L52" s="25" t="str">
        <f t="shared" si="3"/>
        <v/>
      </c>
      <c r="M52" s="22" t="str">
        <f t="shared" si="4"/>
        <v/>
      </c>
    </row>
    <row r="53" spans="1:13">
      <c r="A53" s="24" t="str">
        <f t="shared" si="0"/>
        <v/>
      </c>
      <c r="B53" s="75" t="str">
        <f>IFERROR(INDEX(_自动清单!$BQ$4:$BQ$63,ROW()-3),"")</f>
        <v/>
      </c>
      <c r="C53" s="25" t="str">
        <f>IF(OR($B53="",LEFT($B53,2)="自备"),"",SUMIFS(周转筐出入库明细!$H$4:$H$2004,周转筐出入库明细!$D$4:$D$2004,$B53,周转筐出入库明细!$F$4:$F$2004,"期初库存"))</f>
        <v/>
      </c>
      <c r="D53" s="25" t="str">
        <f>IF(OR($B53="",LEFT($B53,2)="自备"),"",SUMIFS(周转筐出入库明细!$H$4:$H$2004,周转筐出入库明细!$D$4:$D$2004,$B53,周转筐出入库明细!$F$4:$F$2004,"采购入库",周转筐出入库明细!$B$4:$B$2004,"&gt;="&amp;$Q$1,周转筐出入库明细!$B$4:$B$2004,"&lt;="&amp;$Q$2))</f>
        <v/>
      </c>
      <c r="E53" s="56" t="str">
        <f>IF(OR($B53="",LEFT($B53,2)="自备"),"",SUMIFS(周转筐出入库明细!$I$4:$I$2004,周转筐出入库明细!$D$4:$D$2004,$B53,周转筐出入库明细!$B$4:$B$2004,"&gt;="&amp;$Q$1,周转筐出入库明细!$B$4:$B$2004,"&lt;="&amp;$Q$2))</f>
        <v/>
      </c>
      <c r="F53" s="25" t="str">
        <f>IF(OR($B53="",LEFT($B53,2)="自备"),"",SUMIFS(周转筐出入库明细!$J$4:$J$2004,周转筐出入库明细!$D$4:$D$2004,$B53,周转筐出入库明细!$B$4:$B$2004,"&gt;="&amp;$Q$1,周转筐出入库明细!$B$4:$B$2004,"&lt;="&amp;$Q$2))</f>
        <v/>
      </c>
      <c r="G53" s="25" t="str">
        <f>IF(OR($B53="",LEFT($B53,2)="自备"),"",SUMIFS(周转筐出入库明细!$K$4:$K$2004,周转筐出入库明细!$D$4:$D$2004,$B53,周转筐出入库明细!$B$4:$B$2004,"&gt;="&amp;$Q$1,周转筐出入库明细!$B$4:$B$2004,"&lt;="&amp;$Q$2))</f>
        <v/>
      </c>
      <c r="H53" s="25" t="str">
        <f>IF(OR($B53="",LEFT($B53,2)="自备"),"",SUMIFS(周转筐出入库明细!$H$4:$H$2004,周转筐出入库明细!$D$4:$D$2004,$B53,周转筐出入库明细!$B$4:$B$2004,"&gt;="&amp;$Q$1,周转筐出入库明细!$B$4:$B$2004,"&lt;="&amp;$Q$2)-SUMIFS(周转筐出入库明细!$H$4:$H$2004,周转筐出入库明细!$D$4:$D$2004,$B53,周转筐出入库明细!$F$4:$F$2004,"采购入库",周转筐出入库明细!$B$4:$B$2004,"&gt;="&amp;$Q$1,周转筐出入库明细!$B$4:$B$2004,"&lt;="&amp;$Q$2))</f>
        <v/>
      </c>
      <c r="I53" s="25" t="str">
        <f t="shared" si="1"/>
        <v/>
      </c>
      <c r="J53" s="25" t="str">
        <f t="shared" si="2"/>
        <v/>
      </c>
      <c r="K53" s="25" t="str">
        <f>IF(OR($B53="",LEFT($B53,2)="自备"),"",SUMIFS(对接源_01水果筐数!$E$5:$E$304,对接源_01水果筐数!$C$5:$C$304,$B53)+SUMIFS(对接源_01水果筐数!$F$5:$F$304,对接源_01水果筐数!$C$5:$C$304,$B53)-SUMIFS(对接源_01水果筐数!$D$5:$D$304,对接源_01水果筐数!$C$5:$C$304,$B53))</f>
        <v/>
      </c>
      <c r="L53" s="25" t="str">
        <f t="shared" si="3"/>
        <v/>
      </c>
      <c r="M53" s="22" t="str">
        <f t="shared" si="4"/>
        <v/>
      </c>
    </row>
    <row r="54" spans="1:13">
      <c r="A54" s="24" t="str">
        <f t="shared" si="0"/>
        <v/>
      </c>
      <c r="B54" s="75" t="str">
        <f>IFERROR(INDEX(_自动清单!$BQ$4:$BQ$63,ROW()-3),"")</f>
        <v/>
      </c>
      <c r="C54" s="25" t="str">
        <f>IF(OR($B54="",LEFT($B54,2)="自备"),"",SUMIFS(周转筐出入库明细!$H$4:$H$2004,周转筐出入库明细!$D$4:$D$2004,$B54,周转筐出入库明细!$F$4:$F$2004,"期初库存"))</f>
        <v/>
      </c>
      <c r="D54" s="25" t="str">
        <f>IF(OR($B54="",LEFT($B54,2)="自备"),"",SUMIFS(周转筐出入库明细!$H$4:$H$2004,周转筐出入库明细!$D$4:$D$2004,$B54,周转筐出入库明细!$F$4:$F$2004,"采购入库",周转筐出入库明细!$B$4:$B$2004,"&gt;="&amp;$Q$1,周转筐出入库明细!$B$4:$B$2004,"&lt;="&amp;$Q$2))</f>
        <v/>
      </c>
      <c r="E54" s="56" t="str">
        <f>IF(OR($B54="",LEFT($B54,2)="自备"),"",SUMIFS(周转筐出入库明细!$I$4:$I$2004,周转筐出入库明细!$D$4:$D$2004,$B54,周转筐出入库明细!$B$4:$B$2004,"&gt;="&amp;$Q$1,周转筐出入库明细!$B$4:$B$2004,"&lt;="&amp;$Q$2))</f>
        <v/>
      </c>
      <c r="F54" s="25" t="str">
        <f>IF(OR($B54="",LEFT($B54,2)="自备"),"",SUMIFS(周转筐出入库明细!$J$4:$J$2004,周转筐出入库明细!$D$4:$D$2004,$B54,周转筐出入库明细!$B$4:$B$2004,"&gt;="&amp;$Q$1,周转筐出入库明细!$B$4:$B$2004,"&lt;="&amp;$Q$2))</f>
        <v/>
      </c>
      <c r="G54" s="25" t="str">
        <f>IF(OR($B54="",LEFT($B54,2)="自备"),"",SUMIFS(周转筐出入库明细!$K$4:$K$2004,周转筐出入库明细!$D$4:$D$2004,$B54,周转筐出入库明细!$B$4:$B$2004,"&gt;="&amp;$Q$1,周转筐出入库明细!$B$4:$B$2004,"&lt;="&amp;$Q$2))</f>
        <v/>
      </c>
      <c r="H54" s="25" t="str">
        <f>IF(OR($B54="",LEFT($B54,2)="自备"),"",SUMIFS(周转筐出入库明细!$H$4:$H$2004,周转筐出入库明细!$D$4:$D$2004,$B54,周转筐出入库明细!$B$4:$B$2004,"&gt;="&amp;$Q$1,周转筐出入库明细!$B$4:$B$2004,"&lt;="&amp;$Q$2)-SUMIFS(周转筐出入库明细!$H$4:$H$2004,周转筐出入库明细!$D$4:$D$2004,$B54,周转筐出入库明细!$F$4:$F$2004,"采购入库",周转筐出入库明细!$B$4:$B$2004,"&gt;="&amp;$Q$1,周转筐出入库明细!$B$4:$B$2004,"&lt;="&amp;$Q$2))</f>
        <v/>
      </c>
      <c r="I54" s="25" t="str">
        <f t="shared" si="1"/>
        <v/>
      </c>
      <c r="J54" s="25" t="str">
        <f t="shared" si="2"/>
        <v/>
      </c>
      <c r="K54" s="25" t="str">
        <f>IF(OR($B54="",LEFT($B54,2)="自备"),"",SUMIFS(对接源_01水果筐数!$E$5:$E$304,对接源_01水果筐数!$C$5:$C$304,$B54)+SUMIFS(对接源_01水果筐数!$F$5:$F$304,对接源_01水果筐数!$C$5:$C$304,$B54)-SUMIFS(对接源_01水果筐数!$D$5:$D$304,对接源_01水果筐数!$C$5:$C$304,$B54))</f>
        <v/>
      </c>
      <c r="L54" s="25" t="str">
        <f t="shared" si="3"/>
        <v/>
      </c>
      <c r="M54" s="22" t="str">
        <f t="shared" si="4"/>
        <v/>
      </c>
    </row>
    <row r="55" spans="1:13">
      <c r="A55" s="24" t="str">
        <f t="shared" si="0"/>
        <v/>
      </c>
      <c r="B55" s="75" t="str">
        <f>IFERROR(INDEX(_自动清单!$BQ$4:$BQ$63,ROW()-3),"")</f>
        <v/>
      </c>
      <c r="C55" s="25" t="str">
        <f>IF(OR($B55="",LEFT($B55,2)="自备"),"",SUMIFS(周转筐出入库明细!$H$4:$H$2004,周转筐出入库明细!$D$4:$D$2004,$B55,周转筐出入库明细!$F$4:$F$2004,"期初库存"))</f>
        <v/>
      </c>
      <c r="D55" s="25" t="str">
        <f>IF(OR($B55="",LEFT($B55,2)="自备"),"",SUMIFS(周转筐出入库明细!$H$4:$H$2004,周转筐出入库明细!$D$4:$D$2004,$B55,周转筐出入库明细!$F$4:$F$2004,"采购入库",周转筐出入库明细!$B$4:$B$2004,"&gt;="&amp;$Q$1,周转筐出入库明细!$B$4:$B$2004,"&lt;="&amp;$Q$2))</f>
        <v/>
      </c>
      <c r="E55" s="56" t="str">
        <f>IF(OR($B55="",LEFT($B55,2)="自备"),"",SUMIFS(周转筐出入库明细!$I$4:$I$2004,周转筐出入库明细!$D$4:$D$2004,$B55,周转筐出入库明细!$B$4:$B$2004,"&gt;="&amp;$Q$1,周转筐出入库明细!$B$4:$B$2004,"&lt;="&amp;$Q$2))</f>
        <v/>
      </c>
      <c r="F55" s="25" t="str">
        <f>IF(OR($B55="",LEFT($B55,2)="自备"),"",SUMIFS(周转筐出入库明细!$J$4:$J$2004,周转筐出入库明细!$D$4:$D$2004,$B55,周转筐出入库明细!$B$4:$B$2004,"&gt;="&amp;$Q$1,周转筐出入库明细!$B$4:$B$2004,"&lt;="&amp;$Q$2))</f>
        <v/>
      </c>
      <c r="G55" s="25" t="str">
        <f>IF(OR($B55="",LEFT($B55,2)="自备"),"",SUMIFS(周转筐出入库明细!$K$4:$K$2004,周转筐出入库明细!$D$4:$D$2004,$B55,周转筐出入库明细!$B$4:$B$2004,"&gt;="&amp;$Q$1,周转筐出入库明细!$B$4:$B$2004,"&lt;="&amp;$Q$2))</f>
        <v/>
      </c>
      <c r="H55" s="25" t="str">
        <f>IF(OR($B55="",LEFT($B55,2)="自备"),"",SUMIFS(周转筐出入库明细!$H$4:$H$2004,周转筐出入库明细!$D$4:$D$2004,$B55,周转筐出入库明细!$B$4:$B$2004,"&gt;="&amp;$Q$1,周转筐出入库明细!$B$4:$B$2004,"&lt;="&amp;$Q$2)-SUMIFS(周转筐出入库明细!$H$4:$H$2004,周转筐出入库明细!$D$4:$D$2004,$B55,周转筐出入库明细!$F$4:$F$2004,"采购入库",周转筐出入库明细!$B$4:$B$2004,"&gt;="&amp;$Q$1,周转筐出入库明细!$B$4:$B$2004,"&lt;="&amp;$Q$2))</f>
        <v/>
      </c>
      <c r="I55" s="25" t="str">
        <f t="shared" si="1"/>
        <v/>
      </c>
      <c r="J55" s="25" t="str">
        <f t="shared" si="2"/>
        <v/>
      </c>
      <c r="K55" s="25" t="str">
        <f>IF(OR($B55="",LEFT($B55,2)="自备"),"",SUMIFS(对接源_01水果筐数!$E$5:$E$304,对接源_01水果筐数!$C$5:$C$304,$B55)+SUMIFS(对接源_01水果筐数!$F$5:$F$304,对接源_01水果筐数!$C$5:$C$304,$B55)-SUMIFS(对接源_01水果筐数!$D$5:$D$304,对接源_01水果筐数!$C$5:$C$304,$B55))</f>
        <v/>
      </c>
      <c r="L55" s="25" t="str">
        <f t="shared" si="3"/>
        <v/>
      </c>
      <c r="M55" s="22" t="str">
        <f t="shared" si="4"/>
        <v/>
      </c>
    </row>
    <row r="56" spans="1:13">
      <c r="A56" s="24" t="str">
        <f t="shared" si="0"/>
        <v/>
      </c>
      <c r="B56" s="75" t="str">
        <f>IFERROR(INDEX(_自动清单!$BQ$4:$BQ$63,ROW()-3),"")</f>
        <v/>
      </c>
      <c r="C56" s="25" t="str">
        <f>IF(OR($B56="",LEFT($B56,2)="自备"),"",SUMIFS(周转筐出入库明细!$H$4:$H$2004,周转筐出入库明细!$D$4:$D$2004,$B56,周转筐出入库明细!$F$4:$F$2004,"期初库存"))</f>
        <v/>
      </c>
      <c r="D56" s="25" t="str">
        <f>IF(OR($B56="",LEFT($B56,2)="自备"),"",SUMIFS(周转筐出入库明细!$H$4:$H$2004,周转筐出入库明细!$D$4:$D$2004,$B56,周转筐出入库明细!$F$4:$F$2004,"采购入库",周转筐出入库明细!$B$4:$B$2004,"&gt;="&amp;$Q$1,周转筐出入库明细!$B$4:$B$2004,"&lt;="&amp;$Q$2))</f>
        <v/>
      </c>
      <c r="E56" s="56" t="str">
        <f>IF(OR($B56="",LEFT($B56,2)="自备"),"",SUMIFS(周转筐出入库明细!$I$4:$I$2004,周转筐出入库明细!$D$4:$D$2004,$B56,周转筐出入库明细!$B$4:$B$2004,"&gt;="&amp;$Q$1,周转筐出入库明细!$B$4:$B$2004,"&lt;="&amp;$Q$2))</f>
        <v/>
      </c>
      <c r="F56" s="25" t="str">
        <f>IF(OR($B56="",LEFT($B56,2)="自备"),"",SUMIFS(周转筐出入库明细!$J$4:$J$2004,周转筐出入库明细!$D$4:$D$2004,$B56,周转筐出入库明细!$B$4:$B$2004,"&gt;="&amp;$Q$1,周转筐出入库明细!$B$4:$B$2004,"&lt;="&amp;$Q$2))</f>
        <v/>
      </c>
      <c r="G56" s="25" t="str">
        <f>IF(OR($B56="",LEFT($B56,2)="自备"),"",SUMIFS(周转筐出入库明细!$K$4:$K$2004,周转筐出入库明细!$D$4:$D$2004,$B56,周转筐出入库明细!$B$4:$B$2004,"&gt;="&amp;$Q$1,周转筐出入库明细!$B$4:$B$2004,"&lt;="&amp;$Q$2))</f>
        <v/>
      </c>
      <c r="H56" s="25" t="str">
        <f>IF(OR($B56="",LEFT($B56,2)="自备"),"",SUMIFS(周转筐出入库明细!$H$4:$H$2004,周转筐出入库明细!$D$4:$D$2004,$B56,周转筐出入库明细!$B$4:$B$2004,"&gt;="&amp;$Q$1,周转筐出入库明细!$B$4:$B$2004,"&lt;="&amp;$Q$2)-SUMIFS(周转筐出入库明细!$H$4:$H$2004,周转筐出入库明细!$D$4:$D$2004,$B56,周转筐出入库明细!$F$4:$F$2004,"采购入库",周转筐出入库明细!$B$4:$B$2004,"&gt;="&amp;$Q$1,周转筐出入库明细!$B$4:$B$2004,"&lt;="&amp;$Q$2))</f>
        <v/>
      </c>
      <c r="I56" s="25" t="str">
        <f t="shared" si="1"/>
        <v/>
      </c>
      <c r="J56" s="25" t="str">
        <f t="shared" si="2"/>
        <v/>
      </c>
      <c r="K56" s="25" t="str">
        <f>IF(OR($B56="",LEFT($B56,2)="自备"),"",SUMIFS(对接源_01水果筐数!$E$5:$E$304,对接源_01水果筐数!$C$5:$C$304,$B56)+SUMIFS(对接源_01水果筐数!$F$5:$F$304,对接源_01水果筐数!$C$5:$C$304,$B56)-SUMIFS(对接源_01水果筐数!$D$5:$D$304,对接源_01水果筐数!$C$5:$C$304,$B56))</f>
        <v/>
      </c>
      <c r="L56" s="25" t="str">
        <f t="shared" si="3"/>
        <v/>
      </c>
      <c r="M56" s="22" t="str">
        <f t="shared" si="4"/>
        <v/>
      </c>
    </row>
    <row r="57" spans="1:13">
      <c r="A57" s="24" t="str">
        <f t="shared" si="0"/>
        <v/>
      </c>
      <c r="B57" s="75" t="str">
        <f>IFERROR(INDEX(_自动清单!$BQ$4:$BQ$63,ROW()-3),"")</f>
        <v/>
      </c>
      <c r="C57" s="25" t="str">
        <f>IF(OR($B57="",LEFT($B57,2)="自备"),"",SUMIFS(周转筐出入库明细!$H$4:$H$2004,周转筐出入库明细!$D$4:$D$2004,$B57,周转筐出入库明细!$F$4:$F$2004,"期初库存"))</f>
        <v/>
      </c>
      <c r="D57" s="25" t="str">
        <f>IF(OR($B57="",LEFT($B57,2)="自备"),"",SUMIFS(周转筐出入库明细!$H$4:$H$2004,周转筐出入库明细!$D$4:$D$2004,$B57,周转筐出入库明细!$F$4:$F$2004,"采购入库",周转筐出入库明细!$B$4:$B$2004,"&gt;="&amp;$Q$1,周转筐出入库明细!$B$4:$B$2004,"&lt;="&amp;$Q$2))</f>
        <v/>
      </c>
      <c r="E57" s="56" t="str">
        <f>IF(OR($B57="",LEFT($B57,2)="自备"),"",SUMIFS(周转筐出入库明细!$I$4:$I$2004,周转筐出入库明细!$D$4:$D$2004,$B57,周转筐出入库明细!$B$4:$B$2004,"&gt;="&amp;$Q$1,周转筐出入库明细!$B$4:$B$2004,"&lt;="&amp;$Q$2))</f>
        <v/>
      </c>
      <c r="F57" s="25" t="str">
        <f>IF(OR($B57="",LEFT($B57,2)="自备"),"",SUMIFS(周转筐出入库明细!$J$4:$J$2004,周转筐出入库明细!$D$4:$D$2004,$B57,周转筐出入库明细!$B$4:$B$2004,"&gt;="&amp;$Q$1,周转筐出入库明细!$B$4:$B$2004,"&lt;="&amp;$Q$2))</f>
        <v/>
      </c>
      <c r="G57" s="25" t="str">
        <f>IF(OR($B57="",LEFT($B57,2)="自备"),"",SUMIFS(周转筐出入库明细!$K$4:$K$2004,周转筐出入库明细!$D$4:$D$2004,$B57,周转筐出入库明细!$B$4:$B$2004,"&gt;="&amp;$Q$1,周转筐出入库明细!$B$4:$B$2004,"&lt;="&amp;$Q$2))</f>
        <v/>
      </c>
      <c r="H57" s="25" t="str">
        <f>IF(OR($B57="",LEFT($B57,2)="自备"),"",SUMIFS(周转筐出入库明细!$H$4:$H$2004,周转筐出入库明细!$D$4:$D$2004,$B57,周转筐出入库明细!$B$4:$B$2004,"&gt;="&amp;$Q$1,周转筐出入库明细!$B$4:$B$2004,"&lt;="&amp;$Q$2)-SUMIFS(周转筐出入库明细!$H$4:$H$2004,周转筐出入库明细!$D$4:$D$2004,$B57,周转筐出入库明细!$F$4:$F$2004,"采购入库",周转筐出入库明细!$B$4:$B$2004,"&gt;="&amp;$Q$1,周转筐出入库明细!$B$4:$B$2004,"&lt;="&amp;$Q$2))</f>
        <v/>
      </c>
      <c r="I57" s="25" t="str">
        <f t="shared" si="1"/>
        <v/>
      </c>
      <c r="J57" s="25" t="str">
        <f t="shared" si="2"/>
        <v/>
      </c>
      <c r="K57" s="25" t="str">
        <f>IF(OR($B57="",LEFT($B57,2)="自备"),"",SUMIFS(对接源_01水果筐数!$E$5:$E$304,对接源_01水果筐数!$C$5:$C$304,$B57)+SUMIFS(对接源_01水果筐数!$F$5:$F$304,对接源_01水果筐数!$C$5:$C$304,$B57)-SUMIFS(对接源_01水果筐数!$D$5:$D$304,对接源_01水果筐数!$C$5:$C$304,$B57))</f>
        <v/>
      </c>
      <c r="L57" s="25" t="str">
        <f t="shared" si="3"/>
        <v/>
      </c>
      <c r="M57" s="22" t="str">
        <f t="shared" si="4"/>
        <v/>
      </c>
    </row>
    <row r="58" spans="1:13">
      <c r="A58" s="24" t="str">
        <f t="shared" si="0"/>
        <v/>
      </c>
      <c r="B58" s="75" t="str">
        <f>IFERROR(INDEX(_自动清单!$BQ$4:$BQ$63,ROW()-3),"")</f>
        <v/>
      </c>
      <c r="C58" s="25" t="str">
        <f>IF(OR($B58="",LEFT($B58,2)="自备"),"",SUMIFS(周转筐出入库明细!$H$4:$H$2004,周转筐出入库明细!$D$4:$D$2004,$B58,周转筐出入库明细!$F$4:$F$2004,"期初库存"))</f>
        <v/>
      </c>
      <c r="D58" s="25" t="str">
        <f>IF(OR($B58="",LEFT($B58,2)="自备"),"",SUMIFS(周转筐出入库明细!$H$4:$H$2004,周转筐出入库明细!$D$4:$D$2004,$B58,周转筐出入库明细!$F$4:$F$2004,"采购入库",周转筐出入库明细!$B$4:$B$2004,"&gt;="&amp;$Q$1,周转筐出入库明细!$B$4:$B$2004,"&lt;="&amp;$Q$2))</f>
        <v/>
      </c>
      <c r="E58" s="56" t="str">
        <f>IF(OR($B58="",LEFT($B58,2)="自备"),"",SUMIFS(周转筐出入库明细!$I$4:$I$2004,周转筐出入库明细!$D$4:$D$2004,$B58,周转筐出入库明细!$B$4:$B$2004,"&gt;="&amp;$Q$1,周转筐出入库明细!$B$4:$B$2004,"&lt;="&amp;$Q$2))</f>
        <v/>
      </c>
      <c r="F58" s="25" t="str">
        <f>IF(OR($B58="",LEFT($B58,2)="自备"),"",SUMIFS(周转筐出入库明细!$J$4:$J$2004,周转筐出入库明细!$D$4:$D$2004,$B58,周转筐出入库明细!$B$4:$B$2004,"&gt;="&amp;$Q$1,周转筐出入库明细!$B$4:$B$2004,"&lt;="&amp;$Q$2))</f>
        <v/>
      </c>
      <c r="G58" s="25" t="str">
        <f>IF(OR($B58="",LEFT($B58,2)="自备"),"",SUMIFS(周转筐出入库明细!$K$4:$K$2004,周转筐出入库明细!$D$4:$D$2004,$B58,周转筐出入库明细!$B$4:$B$2004,"&gt;="&amp;$Q$1,周转筐出入库明细!$B$4:$B$2004,"&lt;="&amp;$Q$2))</f>
        <v/>
      </c>
      <c r="H58" s="25" t="str">
        <f>IF(OR($B58="",LEFT($B58,2)="自备"),"",SUMIFS(周转筐出入库明细!$H$4:$H$2004,周转筐出入库明细!$D$4:$D$2004,$B58,周转筐出入库明细!$B$4:$B$2004,"&gt;="&amp;$Q$1,周转筐出入库明细!$B$4:$B$2004,"&lt;="&amp;$Q$2)-SUMIFS(周转筐出入库明细!$H$4:$H$2004,周转筐出入库明细!$D$4:$D$2004,$B58,周转筐出入库明细!$F$4:$F$2004,"采购入库",周转筐出入库明细!$B$4:$B$2004,"&gt;="&amp;$Q$1,周转筐出入库明细!$B$4:$B$2004,"&lt;="&amp;$Q$2))</f>
        <v/>
      </c>
      <c r="I58" s="25" t="str">
        <f t="shared" si="1"/>
        <v/>
      </c>
      <c r="J58" s="25" t="str">
        <f t="shared" si="2"/>
        <v/>
      </c>
      <c r="K58" s="25" t="str">
        <f>IF(OR($B58="",LEFT($B58,2)="自备"),"",SUMIFS(对接源_01水果筐数!$E$5:$E$304,对接源_01水果筐数!$C$5:$C$304,$B58)+SUMIFS(对接源_01水果筐数!$F$5:$F$304,对接源_01水果筐数!$C$5:$C$304,$B58)-SUMIFS(对接源_01水果筐数!$D$5:$D$304,对接源_01水果筐数!$C$5:$C$304,$B58))</f>
        <v/>
      </c>
      <c r="L58" s="25" t="str">
        <f t="shared" si="3"/>
        <v/>
      </c>
      <c r="M58" s="22" t="str">
        <f t="shared" si="4"/>
        <v/>
      </c>
    </row>
    <row r="59" spans="1:13">
      <c r="A59" s="24" t="str">
        <f t="shared" si="0"/>
        <v/>
      </c>
      <c r="B59" s="75" t="str">
        <f>IFERROR(INDEX(_自动清单!$BQ$4:$BQ$63,ROW()-3),"")</f>
        <v/>
      </c>
      <c r="C59" s="25" t="str">
        <f>IF(OR($B59="",LEFT($B59,2)="自备"),"",SUMIFS(周转筐出入库明细!$H$4:$H$2004,周转筐出入库明细!$D$4:$D$2004,$B59,周转筐出入库明细!$F$4:$F$2004,"期初库存"))</f>
        <v/>
      </c>
      <c r="D59" s="25" t="str">
        <f>IF(OR($B59="",LEFT($B59,2)="自备"),"",SUMIFS(周转筐出入库明细!$H$4:$H$2004,周转筐出入库明细!$D$4:$D$2004,$B59,周转筐出入库明细!$F$4:$F$2004,"采购入库",周转筐出入库明细!$B$4:$B$2004,"&gt;="&amp;$Q$1,周转筐出入库明细!$B$4:$B$2004,"&lt;="&amp;$Q$2))</f>
        <v/>
      </c>
      <c r="E59" s="56" t="str">
        <f>IF(OR($B59="",LEFT($B59,2)="自备"),"",SUMIFS(周转筐出入库明细!$I$4:$I$2004,周转筐出入库明细!$D$4:$D$2004,$B59,周转筐出入库明细!$B$4:$B$2004,"&gt;="&amp;$Q$1,周转筐出入库明细!$B$4:$B$2004,"&lt;="&amp;$Q$2))</f>
        <v/>
      </c>
      <c r="F59" s="25" t="str">
        <f>IF(OR($B59="",LEFT($B59,2)="自备"),"",SUMIFS(周转筐出入库明细!$J$4:$J$2004,周转筐出入库明细!$D$4:$D$2004,$B59,周转筐出入库明细!$B$4:$B$2004,"&gt;="&amp;$Q$1,周转筐出入库明细!$B$4:$B$2004,"&lt;="&amp;$Q$2))</f>
        <v/>
      </c>
      <c r="G59" s="25" t="str">
        <f>IF(OR($B59="",LEFT($B59,2)="自备"),"",SUMIFS(周转筐出入库明细!$K$4:$K$2004,周转筐出入库明细!$D$4:$D$2004,$B59,周转筐出入库明细!$B$4:$B$2004,"&gt;="&amp;$Q$1,周转筐出入库明细!$B$4:$B$2004,"&lt;="&amp;$Q$2))</f>
        <v/>
      </c>
      <c r="H59" s="25" t="str">
        <f>IF(OR($B59="",LEFT($B59,2)="自备"),"",SUMIFS(周转筐出入库明细!$H$4:$H$2004,周转筐出入库明细!$D$4:$D$2004,$B59,周转筐出入库明细!$B$4:$B$2004,"&gt;="&amp;$Q$1,周转筐出入库明细!$B$4:$B$2004,"&lt;="&amp;$Q$2)-SUMIFS(周转筐出入库明细!$H$4:$H$2004,周转筐出入库明细!$D$4:$D$2004,$B59,周转筐出入库明细!$F$4:$F$2004,"采购入库",周转筐出入库明细!$B$4:$B$2004,"&gt;="&amp;$Q$1,周转筐出入库明细!$B$4:$B$2004,"&lt;="&amp;$Q$2))</f>
        <v/>
      </c>
      <c r="I59" s="25" t="str">
        <f t="shared" si="1"/>
        <v/>
      </c>
      <c r="J59" s="25" t="str">
        <f t="shared" si="2"/>
        <v/>
      </c>
      <c r="K59" s="25" t="str">
        <f>IF(OR($B59="",LEFT($B59,2)="自备"),"",SUMIFS(对接源_01水果筐数!$E$5:$E$304,对接源_01水果筐数!$C$5:$C$304,$B59)+SUMIFS(对接源_01水果筐数!$F$5:$F$304,对接源_01水果筐数!$C$5:$C$304,$B59)-SUMIFS(对接源_01水果筐数!$D$5:$D$304,对接源_01水果筐数!$C$5:$C$304,$B59))</f>
        <v/>
      </c>
      <c r="L59" s="25" t="str">
        <f t="shared" si="3"/>
        <v/>
      </c>
      <c r="M59" s="22" t="str">
        <f t="shared" si="4"/>
        <v/>
      </c>
    </row>
    <row r="60" spans="1:13">
      <c r="A60" s="24" t="str">
        <f t="shared" si="0"/>
        <v/>
      </c>
      <c r="B60" s="75" t="str">
        <f>IFERROR(INDEX(_自动清单!$BQ$4:$BQ$63,ROW()-3),"")</f>
        <v/>
      </c>
      <c r="C60" s="25" t="str">
        <f>IF(OR($B60="",LEFT($B60,2)="自备"),"",SUMIFS(周转筐出入库明细!$H$4:$H$2004,周转筐出入库明细!$D$4:$D$2004,$B60,周转筐出入库明细!$F$4:$F$2004,"期初库存"))</f>
        <v/>
      </c>
      <c r="D60" s="25" t="str">
        <f>IF(OR($B60="",LEFT($B60,2)="自备"),"",SUMIFS(周转筐出入库明细!$H$4:$H$2004,周转筐出入库明细!$D$4:$D$2004,$B60,周转筐出入库明细!$F$4:$F$2004,"采购入库",周转筐出入库明细!$B$4:$B$2004,"&gt;="&amp;$Q$1,周转筐出入库明细!$B$4:$B$2004,"&lt;="&amp;$Q$2))</f>
        <v/>
      </c>
      <c r="E60" s="56" t="str">
        <f>IF(OR($B60="",LEFT($B60,2)="自备"),"",SUMIFS(周转筐出入库明细!$I$4:$I$2004,周转筐出入库明细!$D$4:$D$2004,$B60,周转筐出入库明细!$B$4:$B$2004,"&gt;="&amp;$Q$1,周转筐出入库明细!$B$4:$B$2004,"&lt;="&amp;$Q$2))</f>
        <v/>
      </c>
      <c r="F60" s="25" t="str">
        <f>IF(OR($B60="",LEFT($B60,2)="自备"),"",SUMIFS(周转筐出入库明细!$J$4:$J$2004,周转筐出入库明细!$D$4:$D$2004,$B60,周转筐出入库明细!$B$4:$B$2004,"&gt;="&amp;$Q$1,周转筐出入库明细!$B$4:$B$2004,"&lt;="&amp;$Q$2))</f>
        <v/>
      </c>
      <c r="G60" s="25" t="str">
        <f>IF(OR($B60="",LEFT($B60,2)="自备"),"",SUMIFS(周转筐出入库明细!$K$4:$K$2004,周转筐出入库明细!$D$4:$D$2004,$B60,周转筐出入库明细!$B$4:$B$2004,"&gt;="&amp;$Q$1,周转筐出入库明细!$B$4:$B$2004,"&lt;="&amp;$Q$2))</f>
        <v/>
      </c>
      <c r="H60" s="25" t="str">
        <f>IF(OR($B60="",LEFT($B60,2)="自备"),"",SUMIFS(周转筐出入库明细!$H$4:$H$2004,周转筐出入库明细!$D$4:$D$2004,$B60,周转筐出入库明细!$B$4:$B$2004,"&gt;="&amp;$Q$1,周转筐出入库明细!$B$4:$B$2004,"&lt;="&amp;$Q$2)-SUMIFS(周转筐出入库明细!$H$4:$H$2004,周转筐出入库明细!$D$4:$D$2004,$B60,周转筐出入库明细!$F$4:$F$2004,"采购入库",周转筐出入库明细!$B$4:$B$2004,"&gt;="&amp;$Q$1,周转筐出入库明细!$B$4:$B$2004,"&lt;="&amp;$Q$2))</f>
        <v/>
      </c>
      <c r="I60" s="25" t="str">
        <f t="shared" si="1"/>
        <v/>
      </c>
      <c r="J60" s="25" t="str">
        <f t="shared" si="2"/>
        <v/>
      </c>
      <c r="K60" s="25" t="str">
        <f>IF(OR($B60="",LEFT($B60,2)="自备"),"",SUMIFS(对接源_01水果筐数!$E$5:$E$304,对接源_01水果筐数!$C$5:$C$304,$B60)+SUMIFS(对接源_01水果筐数!$F$5:$F$304,对接源_01水果筐数!$C$5:$C$304,$B60)-SUMIFS(对接源_01水果筐数!$D$5:$D$304,对接源_01水果筐数!$C$5:$C$304,$B60))</f>
        <v/>
      </c>
      <c r="L60" s="25" t="str">
        <f t="shared" si="3"/>
        <v/>
      </c>
      <c r="M60" s="22" t="str">
        <f t="shared" si="4"/>
        <v/>
      </c>
    </row>
    <row r="61" spans="1:13">
      <c r="A61" s="24" t="str">
        <f t="shared" si="0"/>
        <v/>
      </c>
      <c r="B61" s="75" t="str">
        <f>IFERROR(INDEX(_自动清单!$BQ$4:$BQ$63,ROW()-3),"")</f>
        <v/>
      </c>
      <c r="C61" s="25" t="str">
        <f>IF(OR($B61="",LEFT($B61,2)="自备"),"",SUMIFS(周转筐出入库明细!$H$4:$H$2004,周转筐出入库明细!$D$4:$D$2004,$B61,周转筐出入库明细!$F$4:$F$2004,"期初库存"))</f>
        <v/>
      </c>
      <c r="D61" s="25" t="str">
        <f>IF(OR($B61="",LEFT($B61,2)="自备"),"",SUMIFS(周转筐出入库明细!$H$4:$H$2004,周转筐出入库明细!$D$4:$D$2004,$B61,周转筐出入库明细!$F$4:$F$2004,"采购入库",周转筐出入库明细!$B$4:$B$2004,"&gt;="&amp;$Q$1,周转筐出入库明细!$B$4:$B$2004,"&lt;="&amp;$Q$2))</f>
        <v/>
      </c>
      <c r="E61" s="56" t="str">
        <f>IF(OR($B61="",LEFT($B61,2)="自备"),"",SUMIFS(周转筐出入库明细!$I$4:$I$2004,周转筐出入库明细!$D$4:$D$2004,$B61,周转筐出入库明细!$B$4:$B$2004,"&gt;="&amp;$Q$1,周转筐出入库明细!$B$4:$B$2004,"&lt;="&amp;$Q$2))</f>
        <v/>
      </c>
      <c r="F61" s="25" t="str">
        <f>IF(OR($B61="",LEFT($B61,2)="自备"),"",SUMIFS(周转筐出入库明细!$J$4:$J$2004,周转筐出入库明细!$D$4:$D$2004,$B61,周转筐出入库明细!$B$4:$B$2004,"&gt;="&amp;$Q$1,周转筐出入库明细!$B$4:$B$2004,"&lt;="&amp;$Q$2))</f>
        <v/>
      </c>
      <c r="G61" s="25" t="str">
        <f>IF(OR($B61="",LEFT($B61,2)="自备"),"",SUMIFS(周转筐出入库明细!$K$4:$K$2004,周转筐出入库明细!$D$4:$D$2004,$B61,周转筐出入库明细!$B$4:$B$2004,"&gt;="&amp;$Q$1,周转筐出入库明细!$B$4:$B$2004,"&lt;="&amp;$Q$2))</f>
        <v/>
      </c>
      <c r="H61" s="25" t="str">
        <f>IF(OR($B61="",LEFT($B61,2)="自备"),"",SUMIFS(周转筐出入库明细!$H$4:$H$2004,周转筐出入库明细!$D$4:$D$2004,$B61,周转筐出入库明细!$B$4:$B$2004,"&gt;="&amp;$Q$1,周转筐出入库明细!$B$4:$B$2004,"&lt;="&amp;$Q$2)-SUMIFS(周转筐出入库明细!$H$4:$H$2004,周转筐出入库明细!$D$4:$D$2004,$B61,周转筐出入库明细!$F$4:$F$2004,"采购入库",周转筐出入库明细!$B$4:$B$2004,"&gt;="&amp;$Q$1,周转筐出入库明细!$B$4:$B$2004,"&lt;="&amp;$Q$2))</f>
        <v/>
      </c>
      <c r="I61" s="25" t="str">
        <f t="shared" si="1"/>
        <v/>
      </c>
      <c r="J61" s="25" t="str">
        <f t="shared" si="2"/>
        <v/>
      </c>
      <c r="K61" s="25" t="str">
        <f>IF(OR($B61="",LEFT($B61,2)="自备"),"",SUMIFS(对接源_01水果筐数!$E$5:$E$304,对接源_01水果筐数!$C$5:$C$304,$B61)+SUMIFS(对接源_01水果筐数!$F$5:$F$304,对接源_01水果筐数!$C$5:$C$304,$B61)-SUMIFS(对接源_01水果筐数!$D$5:$D$304,对接源_01水果筐数!$C$5:$C$304,$B61))</f>
        <v/>
      </c>
      <c r="L61" s="25" t="str">
        <f t="shared" si="3"/>
        <v/>
      </c>
      <c r="M61" s="22" t="str">
        <f t="shared" si="4"/>
        <v/>
      </c>
    </row>
    <row r="62" spans="1:13">
      <c r="A62" s="24" t="str">
        <f t="shared" si="0"/>
        <v/>
      </c>
      <c r="B62" s="75" t="str">
        <f>IFERROR(INDEX(_自动清单!$BQ$4:$BQ$63,ROW()-3),"")</f>
        <v/>
      </c>
      <c r="C62" s="25" t="str">
        <f>IF(OR($B62="",LEFT($B62,2)="自备"),"",SUMIFS(周转筐出入库明细!$H$4:$H$2004,周转筐出入库明细!$D$4:$D$2004,$B62,周转筐出入库明细!$F$4:$F$2004,"期初库存"))</f>
        <v/>
      </c>
      <c r="D62" s="25" t="str">
        <f>IF(OR($B62="",LEFT($B62,2)="自备"),"",SUMIFS(周转筐出入库明细!$H$4:$H$2004,周转筐出入库明细!$D$4:$D$2004,$B62,周转筐出入库明细!$F$4:$F$2004,"采购入库",周转筐出入库明细!$B$4:$B$2004,"&gt;="&amp;$Q$1,周转筐出入库明细!$B$4:$B$2004,"&lt;="&amp;$Q$2))</f>
        <v/>
      </c>
      <c r="E62" s="56" t="str">
        <f>IF(OR($B62="",LEFT($B62,2)="自备"),"",SUMIFS(周转筐出入库明细!$I$4:$I$2004,周转筐出入库明细!$D$4:$D$2004,$B62,周转筐出入库明细!$B$4:$B$2004,"&gt;="&amp;$Q$1,周转筐出入库明细!$B$4:$B$2004,"&lt;="&amp;$Q$2))</f>
        <v/>
      </c>
      <c r="F62" s="25" t="str">
        <f>IF(OR($B62="",LEFT($B62,2)="自备"),"",SUMIFS(周转筐出入库明细!$J$4:$J$2004,周转筐出入库明细!$D$4:$D$2004,$B62,周转筐出入库明细!$B$4:$B$2004,"&gt;="&amp;$Q$1,周转筐出入库明细!$B$4:$B$2004,"&lt;="&amp;$Q$2))</f>
        <v/>
      </c>
      <c r="G62" s="25" t="str">
        <f>IF(OR($B62="",LEFT($B62,2)="自备"),"",SUMIFS(周转筐出入库明细!$K$4:$K$2004,周转筐出入库明细!$D$4:$D$2004,$B62,周转筐出入库明细!$B$4:$B$2004,"&gt;="&amp;$Q$1,周转筐出入库明细!$B$4:$B$2004,"&lt;="&amp;$Q$2))</f>
        <v/>
      </c>
      <c r="H62" s="25" t="str">
        <f>IF(OR($B62="",LEFT($B62,2)="自备"),"",SUMIFS(周转筐出入库明细!$H$4:$H$2004,周转筐出入库明细!$D$4:$D$2004,$B62,周转筐出入库明细!$B$4:$B$2004,"&gt;="&amp;$Q$1,周转筐出入库明细!$B$4:$B$2004,"&lt;="&amp;$Q$2)-SUMIFS(周转筐出入库明细!$H$4:$H$2004,周转筐出入库明细!$D$4:$D$2004,$B62,周转筐出入库明细!$F$4:$F$2004,"采购入库",周转筐出入库明细!$B$4:$B$2004,"&gt;="&amp;$Q$1,周转筐出入库明细!$B$4:$B$2004,"&lt;="&amp;$Q$2))</f>
        <v/>
      </c>
      <c r="I62" s="25" t="str">
        <f t="shared" si="1"/>
        <v/>
      </c>
      <c r="J62" s="25" t="str">
        <f t="shared" si="2"/>
        <v/>
      </c>
      <c r="K62" s="25" t="str">
        <f>IF(OR($B62="",LEFT($B62,2)="自备"),"",SUMIFS(对接源_01水果筐数!$E$5:$E$304,对接源_01水果筐数!$C$5:$C$304,$B62)+SUMIFS(对接源_01水果筐数!$F$5:$F$304,对接源_01水果筐数!$C$5:$C$304,$B62)-SUMIFS(对接源_01水果筐数!$D$5:$D$304,对接源_01水果筐数!$C$5:$C$304,$B62))</f>
        <v/>
      </c>
      <c r="L62" s="25" t="str">
        <f t="shared" si="3"/>
        <v/>
      </c>
      <c r="M62" s="22" t="str">
        <f t="shared" si="4"/>
        <v/>
      </c>
    </row>
    <row r="63" spans="1:13">
      <c r="A63" s="24" t="str">
        <f t="shared" si="0"/>
        <v/>
      </c>
      <c r="B63" s="75" t="str">
        <f>IFERROR(INDEX(_自动清单!$BQ$4:$BQ$63,ROW()-3),"")</f>
        <v/>
      </c>
      <c r="C63" s="25" t="str">
        <f>IF(OR($B63="",LEFT($B63,2)="自备"),"",SUMIFS(周转筐出入库明细!$H$4:$H$2004,周转筐出入库明细!$D$4:$D$2004,$B63,周转筐出入库明细!$F$4:$F$2004,"期初库存"))</f>
        <v/>
      </c>
      <c r="D63" s="25" t="str">
        <f>IF(OR($B63="",LEFT($B63,2)="自备"),"",SUMIFS(周转筐出入库明细!$H$4:$H$2004,周转筐出入库明细!$D$4:$D$2004,$B63,周转筐出入库明细!$F$4:$F$2004,"采购入库",周转筐出入库明细!$B$4:$B$2004,"&gt;="&amp;$Q$1,周转筐出入库明细!$B$4:$B$2004,"&lt;="&amp;$Q$2))</f>
        <v/>
      </c>
      <c r="E63" s="56" t="str">
        <f>IF(OR($B63="",LEFT($B63,2)="自备"),"",SUMIFS(周转筐出入库明细!$I$4:$I$2004,周转筐出入库明细!$D$4:$D$2004,$B63,周转筐出入库明细!$B$4:$B$2004,"&gt;="&amp;$Q$1,周转筐出入库明细!$B$4:$B$2004,"&lt;="&amp;$Q$2))</f>
        <v/>
      </c>
      <c r="F63" s="25" t="str">
        <f>IF(OR($B63="",LEFT($B63,2)="自备"),"",SUMIFS(周转筐出入库明细!$J$4:$J$2004,周转筐出入库明细!$D$4:$D$2004,$B63,周转筐出入库明细!$B$4:$B$2004,"&gt;="&amp;$Q$1,周转筐出入库明细!$B$4:$B$2004,"&lt;="&amp;$Q$2))</f>
        <v/>
      </c>
      <c r="G63" s="25" t="str">
        <f>IF(OR($B63="",LEFT($B63,2)="自备"),"",SUMIFS(周转筐出入库明细!$K$4:$K$2004,周转筐出入库明细!$D$4:$D$2004,$B63,周转筐出入库明细!$B$4:$B$2004,"&gt;="&amp;$Q$1,周转筐出入库明细!$B$4:$B$2004,"&lt;="&amp;$Q$2))</f>
        <v/>
      </c>
      <c r="H63" s="25" t="str">
        <f>IF(OR($B63="",LEFT($B63,2)="自备"),"",SUMIFS(周转筐出入库明细!$H$4:$H$2004,周转筐出入库明细!$D$4:$D$2004,$B63,周转筐出入库明细!$B$4:$B$2004,"&gt;="&amp;$Q$1,周转筐出入库明细!$B$4:$B$2004,"&lt;="&amp;$Q$2)-SUMIFS(周转筐出入库明细!$H$4:$H$2004,周转筐出入库明细!$D$4:$D$2004,$B63,周转筐出入库明细!$F$4:$F$2004,"采购入库",周转筐出入库明细!$B$4:$B$2004,"&gt;="&amp;$Q$1,周转筐出入库明细!$B$4:$B$2004,"&lt;="&amp;$Q$2))</f>
        <v/>
      </c>
      <c r="I63" s="25" t="str">
        <f t="shared" si="1"/>
        <v/>
      </c>
      <c r="J63" s="25" t="str">
        <f t="shared" si="2"/>
        <v/>
      </c>
      <c r="K63" s="25" t="str">
        <f>IF(OR($B63="",LEFT($B63,2)="自备"),"",SUMIFS(对接源_01水果筐数!$E$5:$E$304,对接源_01水果筐数!$C$5:$C$304,$B63)+SUMIFS(对接源_01水果筐数!$F$5:$F$304,对接源_01水果筐数!$C$5:$C$304,$B63)-SUMIFS(对接源_01水果筐数!$D$5:$D$304,对接源_01水果筐数!$C$5:$C$304,$B63))</f>
        <v/>
      </c>
      <c r="L63" s="25" t="str">
        <f t="shared" si="3"/>
        <v/>
      </c>
      <c r="M63" s="22" t="str">
        <f t="shared" si="4"/>
        <v/>
      </c>
    </row>
    <row r="64" spans="1:13">
      <c r="A64" s="51"/>
      <c r="B64" s="51" t="s">
        <v>473</v>
      </c>
      <c r="C64" s="57">
        <f t="shared" ref="C64:L64" si="5">ROUND(SUM(C4:C63),2)</f>
        <v>177768</v>
      </c>
      <c r="D64" s="57">
        <f t="shared" si="5"/>
        <v>17472</v>
      </c>
      <c r="E64" s="58">
        <f t="shared" si="5"/>
        <v>82</v>
      </c>
      <c r="F64" s="57">
        <f t="shared" si="5"/>
        <v>29344</v>
      </c>
      <c r="G64" s="57">
        <f t="shared" si="5"/>
        <v>960</v>
      </c>
      <c r="H64" s="57">
        <f t="shared" si="5"/>
        <v>0</v>
      </c>
      <c r="I64" s="57">
        <f t="shared" si="5"/>
        <v>165018</v>
      </c>
      <c r="J64" s="57">
        <f t="shared" si="5"/>
        <v>29262</v>
      </c>
      <c r="K64" s="57">
        <f t="shared" si="5"/>
        <v>-14054</v>
      </c>
      <c r="L64" s="57">
        <f t="shared" si="5"/>
        <v>180226</v>
      </c>
      <c r="M64" s="51"/>
    </row>
  </sheetData>
  <mergeCells count="2">
    <mergeCell ref="A1:M1"/>
    <mergeCell ref="A2:I2"/>
  </mergeCells>
  <conditionalFormatting sqref="A2">
    <cfRule type="expression" dxfId="0" priority="1">
      <formula>(N(_自动清单!$BM$1)&gt;60)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BC254"/>
  <sheetViews>
    <sheetView showGridLines="0" workbookViewId="0">
      <pane xSplit="2" ySplit="3" topLeftCell="AH4" activePane="bottomRight" state="frozen"/>
      <selection/>
      <selection pane="topRight"/>
      <selection pane="bottomLeft"/>
      <selection pane="bottomRight" activeCell="B20" sqref="B20"/>
    </sheetView>
  </sheetViews>
  <sheetFormatPr defaultColWidth="9" defaultRowHeight="15"/>
  <cols>
    <col min="1" max="1" width="6" style="53" customWidth="1"/>
    <col min="2" max="2" width="15" style="53" customWidth="1"/>
    <col min="3" max="47" width="13" style="53" customWidth="1"/>
    <col min="48" max="48" width="20.4285714285714" style="53" customWidth="1"/>
    <col min="49" max="49" width="18" style="53" customWidth="1"/>
    <col min="50" max="54" width="9" style="53"/>
    <col min="55" max="55" width="10.1428571428571" style="53"/>
    <col min="56" max="16384" width="9" style="53"/>
  </cols>
  <sheetData>
    <row r="1" ht="30" customHeight="1" spans="1:55">
      <c r="A1" s="7" t="s">
        <v>484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BC1" s="54">
        <f>IF($J2="",DATE(1900,1,1),$J2)</f>
        <v>1</v>
      </c>
    </row>
    <row r="2" ht="20" customHeight="1" spans="1:55">
      <c r="A2" s="55" t="s">
        <v>485</v>
      </c>
      <c r="I2" s="13" t="s">
        <v>466</v>
      </c>
      <c r="J2" s="19"/>
      <c r="K2" s="13" t="s">
        <v>467</v>
      </c>
      <c r="L2" s="19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BC2" s="54">
        <f>IF($L2="",DATE(2999,12,31),$L2)</f>
        <v>401768</v>
      </c>
    </row>
    <row r="3" ht="45" customHeight="1" spans="1:55">
      <c r="A3" s="21" t="s">
        <v>3</v>
      </c>
      <c r="B3" s="21" t="s">
        <v>486</v>
      </c>
      <c r="C3" s="21" t="str">
        <f>"发出-"&amp;基础资料!$B$4</f>
        <v>发出-公司一次性筐</v>
      </c>
      <c r="D3" s="21" t="str">
        <f>"发出-"&amp;基础资料!$B$5</f>
        <v>发出-公司杂周转筐</v>
      </c>
      <c r="E3" s="21" t="str">
        <f>"发出-"&amp;基础资料!$B$6</f>
        <v>发出-公司新周转筐</v>
      </c>
      <c r="F3" s="21" t="str">
        <f>"发出-"&amp;基础资料!$B$7</f>
        <v>发出-公司白周转筐</v>
      </c>
      <c r="G3" s="21" t="str">
        <f>"发出-"&amp;基础资料!$B$8</f>
        <v>发出-公司红周转筐</v>
      </c>
      <c r="H3" s="21" t="s">
        <v>274</v>
      </c>
      <c r="I3" s="21" t="str">
        <f>"退回-"&amp;基础资料!$B$4</f>
        <v>退回-公司一次性筐</v>
      </c>
      <c r="J3" s="21" t="str">
        <f>"退回-"&amp;基础资料!$B$5</f>
        <v>退回-公司杂周转筐</v>
      </c>
      <c r="K3" s="21" t="str">
        <f>"退回-"&amp;基础资料!$B$6</f>
        <v>退回-公司新周转筐</v>
      </c>
      <c r="L3" s="21" t="str">
        <f>"退回-"&amp;基础资料!$B$7</f>
        <v>退回-公司白周转筐</v>
      </c>
      <c r="M3" s="21" t="str">
        <f>"退回-"&amp;基础资料!$B$8</f>
        <v>退回-公司红周转筐</v>
      </c>
      <c r="N3" s="21" t="s">
        <v>487</v>
      </c>
      <c r="O3" s="21" t="str">
        <f>"采购入库-"&amp;基础资料!$B$4</f>
        <v>采购入库-公司一次性筐</v>
      </c>
      <c r="P3" s="21" t="str">
        <f>"采购入库-"&amp;基础资料!$B$5</f>
        <v>采购入库-公司杂周转筐</v>
      </c>
      <c r="Q3" s="21" t="str">
        <f>"采购入库-"&amp;基础资料!$B$6</f>
        <v>采购入库-公司新周转筐</v>
      </c>
      <c r="R3" s="21" t="str">
        <f>"采购入库-"&amp;基础资料!$B$7</f>
        <v>采购入库-公司白周转筐</v>
      </c>
      <c r="S3" s="21" t="str">
        <f>"采购入库-"&amp;基础资料!$B$8</f>
        <v>采购入库-公司红周转筐</v>
      </c>
      <c r="T3" s="21" t="s">
        <v>488</v>
      </c>
      <c r="U3" s="21" t="str">
        <f>"销售数量-"&amp;基础资料!$B$4</f>
        <v>销售数量-公司一次性筐</v>
      </c>
      <c r="V3" s="21" t="str">
        <f>"销售数量-"&amp;基础资料!$B$5</f>
        <v>销售数量-公司杂周转筐</v>
      </c>
      <c r="W3" s="21" t="str">
        <f>"销售数量-"&amp;基础资料!$B$6</f>
        <v>销售数量-公司新周转筐</v>
      </c>
      <c r="X3" s="21" t="str">
        <f>"销售数量-"&amp;基础资料!$B$7</f>
        <v>销售数量-公司白周转筐</v>
      </c>
      <c r="Y3" s="21" t="str">
        <f>"销售数量-"&amp;基础资料!$B$8</f>
        <v>销售数量-公司红周转筐</v>
      </c>
      <c r="Z3" s="21" t="s">
        <v>489</v>
      </c>
      <c r="AA3" s="21" t="str">
        <f>"01册原料入库-"&amp;基础资料!$B$4</f>
        <v>01册原料入库-公司一次性筐</v>
      </c>
      <c r="AB3" s="21" t="str">
        <f>"01册原料入库-"&amp;基础资料!$B$5</f>
        <v>01册原料入库-公司杂周转筐</v>
      </c>
      <c r="AC3" s="21" t="str">
        <f>"01册原料入库-"&amp;基础资料!$B$6</f>
        <v>01册原料入库-公司新周转筐</v>
      </c>
      <c r="AD3" s="21" t="str">
        <f>"01册原料入库-"&amp;基础资料!$B$7</f>
        <v>01册原料入库-公司白周转筐</v>
      </c>
      <c r="AE3" s="21" t="str">
        <f>"01册原料入库-"&amp;基础资料!$B$8</f>
        <v>01册原料入库-公司红周转筐</v>
      </c>
      <c r="AF3" s="21" t="str">
        <f>"01册原料出库-"&amp;基础资料!$B$4</f>
        <v>01册原料出库-公司一次性筐</v>
      </c>
      <c r="AG3" s="21" t="str">
        <f>"01册原料出库-"&amp;基础资料!$B$5</f>
        <v>01册原料出库-公司杂周转筐</v>
      </c>
      <c r="AH3" s="21" t="str">
        <f>"01册原料出库-"&amp;基础资料!$B$6</f>
        <v>01册原料出库-公司新周转筐</v>
      </c>
      <c r="AI3" s="21" t="str">
        <f>"01册原料出库-"&amp;基础资料!$B$7</f>
        <v>01册原料出库-公司白周转筐</v>
      </c>
      <c r="AJ3" s="21" t="str">
        <f>"01册原料出库-"&amp;基础资料!$B$8</f>
        <v>01册原料出库-公司红周转筐</v>
      </c>
      <c r="AK3" s="21" t="str">
        <f>"01册成品出库-"&amp;基础资料!$B$4</f>
        <v>01册成品出库-公司一次性筐</v>
      </c>
      <c r="AL3" s="21" t="str">
        <f>"01册成品出库-"&amp;基础资料!$B$5</f>
        <v>01册成品出库-公司杂周转筐</v>
      </c>
      <c r="AM3" s="21" t="str">
        <f>"01册成品出库-"&amp;基础资料!$B$6</f>
        <v>01册成品出库-公司新周转筐</v>
      </c>
      <c r="AN3" s="21" t="str">
        <f>"01册成品出库-"&amp;基础资料!$B$7</f>
        <v>01册成品出库-公司白周转筐</v>
      </c>
      <c r="AO3" s="21" t="str">
        <f>"01册成品出库-"&amp;基础资料!$B$8</f>
        <v>01册成品出库-公司红周转筐</v>
      </c>
      <c r="AP3" s="21" t="str">
        <f>"未回库-"&amp;基础资料!$B$4</f>
        <v>未回库-公司一次性筐</v>
      </c>
      <c r="AQ3" s="21" t="str">
        <f>"未回库-"&amp;基础资料!$B$5</f>
        <v>未回库-公司杂周转筐</v>
      </c>
      <c r="AR3" s="21" t="str">
        <f>"未回库-"&amp;基础资料!$B$6</f>
        <v>未回库-公司新周转筐</v>
      </c>
      <c r="AS3" s="21" t="str">
        <f>"未回库-"&amp;基础资料!$B$7</f>
        <v>未回库-公司白周转筐</v>
      </c>
      <c r="AT3" s="21" t="str">
        <f>"未回库-"&amp;基础资料!$B$8</f>
        <v>未回库-公司红周转筐</v>
      </c>
      <c r="AU3" s="21" t="s">
        <v>490</v>
      </c>
      <c r="AV3" s="21" t="s">
        <v>130</v>
      </c>
      <c r="AW3" s="21" t="s">
        <v>306</v>
      </c>
    </row>
    <row r="4" spans="1:55">
      <c r="A4" s="22">
        <f t="shared" ref="A4:A67" si="0">IF($B4="","",ROW()-3)</f>
        <v>1</v>
      </c>
      <c r="B4" s="24" t="str">
        <f>IFERROR(INDEX(_自动清单!$CC$4:$CC$253,ROW()-3),"")</f>
        <v>王照雪</v>
      </c>
      <c r="C4" s="25">
        <f>IF(OR($B4="",基础资料!$B$4=""),"",SUMIFS(周转筐出入库明细!$J$4:$J$2004,周转筐出入库明细!$C$4:$C$2004,$B4,周转筐出入库明细!$D$4:$D$2004,基础资料!$B$4,周转筐出入库明细!$B$4:$B$2004,"&gt;="&amp;$BC$1,周转筐出入库明细!$B$4:$B$2004,"&lt;="&amp;$BC$2))</f>
        <v>846</v>
      </c>
      <c r="D4" s="25">
        <f>IF(OR($B4="",基础资料!$B$5=""),"",SUMIFS(周转筐出入库明细!$J$4:$J$2004,周转筐出入库明细!$C$4:$C$2004,$B4,周转筐出入库明细!$D$4:$D$2004,基础资料!$B$5,周转筐出入库明细!$B$4:$B$2004,"&gt;="&amp;$BC$1,周转筐出入库明细!$B$4:$B$2004,"&lt;="&amp;$BC$2))</f>
        <v>3681</v>
      </c>
      <c r="E4" s="25">
        <f>IF(OR($B4="",基础资料!$B$6=""),"",SUMIFS(周转筐出入库明细!$J$4:$J$2004,周转筐出入库明细!$C$4:$C$2004,$B4,周转筐出入库明细!$D$4:$D$2004,基础资料!$B$6,周转筐出入库明细!$B$4:$B$2004,"&gt;="&amp;$BC$1,周转筐出入库明细!$B$4:$B$2004,"&lt;="&amp;$BC$2))</f>
        <v>0</v>
      </c>
      <c r="F4" s="25">
        <f>IF(OR($B4="",基础资料!$B$7=""),"",SUMIFS(周转筐出入库明细!$J$4:$J$2004,周转筐出入库明细!$C$4:$C$2004,$B4,周转筐出入库明细!$D$4:$D$2004,基础资料!$B$7,周转筐出入库明细!$B$4:$B$2004,"&gt;="&amp;$BC$1,周转筐出入库明细!$B$4:$B$2004,"&lt;="&amp;$BC$2))</f>
        <v>0</v>
      </c>
      <c r="G4" s="25">
        <f>IF(OR($B4="",基础资料!$B$8=""),"",SUMIFS(周转筐出入库明细!$J$4:$J$2004,周转筐出入库明细!$C$4:$C$2004,$B4,周转筐出入库明细!$D$4:$D$2004,基础资料!$B$8,周转筐出入库明细!$B$4:$B$2004,"&gt;="&amp;$BC$1,周转筐出入库明细!$B$4:$B$2004,"&lt;="&amp;$BC$2))</f>
        <v>0</v>
      </c>
      <c r="H4" s="25">
        <f t="shared" ref="H4:H67" si="1">IF($B4="","",SUM(C4:G4))</f>
        <v>4527</v>
      </c>
      <c r="I4" s="67">
        <f>IF(OR($B4="",基础资料!$B$4=""),"",-SUMIFS(周转筐出入库明细!$I$4:$I$2004,周转筐出入库明细!$C$4:$C$2004,$B4,周转筐出入库明细!$D$4:$D$2004,基础资料!$B$4,周转筐出入库明细!$B$4:$B$2004,"&gt;="&amp;$BC$1,周转筐出入库明细!$B$4:$B$2004,"&lt;="&amp;$BC$2))</f>
        <v>-1</v>
      </c>
      <c r="J4" s="67">
        <f>IF(OR($B4="",基础资料!$B$5=""),"",-SUMIFS(周转筐出入库明细!$I$4:$I$2004,周转筐出入库明细!$C$4:$C$2004,$B4,周转筐出入库明细!$D$4:$D$2004,基础资料!$B$5,周转筐出入库明细!$B$4:$B$2004,"&gt;="&amp;$BC$1,周转筐出入库明细!$B$4:$B$2004,"&lt;="&amp;$BC$2))</f>
        <v>-81</v>
      </c>
      <c r="K4" s="67">
        <f>IF(OR($B4="",基础资料!$B$6=""),"",-SUMIFS(周转筐出入库明细!$I$4:$I$2004,周转筐出入库明细!$C$4:$C$2004,$B4,周转筐出入库明细!$D$4:$D$2004,基础资料!$B$6,周转筐出入库明细!$B$4:$B$2004,"&gt;="&amp;$BC$1,周转筐出入库明细!$B$4:$B$2004,"&lt;="&amp;$BC$2))</f>
        <v>0</v>
      </c>
      <c r="L4" s="67">
        <f>IF(OR($B4="",基础资料!$B$7=""),"",-SUMIFS(周转筐出入库明细!$I$4:$I$2004,周转筐出入库明细!$C$4:$C$2004,$B4,周转筐出入库明细!$D$4:$D$2004,基础资料!$B$7,周转筐出入库明细!$B$4:$B$2004,"&gt;="&amp;$BC$1,周转筐出入库明细!$B$4:$B$2004,"&lt;="&amp;$BC$2))</f>
        <v>0</v>
      </c>
      <c r="M4" s="67">
        <f>IF(OR($B4="",基础资料!$B$8=""),"",-SUMIFS(周转筐出入库明细!$I$4:$I$2004,周转筐出入库明细!$C$4:$C$2004,$B4,周转筐出入库明细!$D$4:$D$2004,基础资料!$B$8,周转筐出入库明细!$B$4:$B$2004,"&gt;="&amp;$BC$1,周转筐出入库明细!$B$4:$B$2004,"&lt;="&amp;$BC$2))</f>
        <v>0</v>
      </c>
      <c r="N4" s="67">
        <f t="shared" ref="N4:N67" si="2">IF($B4="","",SUM(I4:M4))</f>
        <v>-82</v>
      </c>
      <c r="O4" s="25">
        <f>IF(OR($B4="",基础资料!$B$4=""),"",SUMIFS(周转筐出入库明细!$H$4:$H$2004,周转筐出入库明细!$C$4:$C$2004,$B4,周转筐出入库明细!$D$4:$D$2004,基础资料!$B$4,周转筐出入库明细!$F$4:$F$2004,"采购入库",周转筐出入库明细!$B$4:$B$2004,"&gt;="&amp;$BC$1,周转筐出入库明细!$B$4:$B$2004,"&lt;="&amp;$BC$2))</f>
        <v>0</v>
      </c>
      <c r="P4" s="25">
        <f>IF(OR($B4="",基础资料!$B$5=""),"",SUMIFS(周转筐出入库明细!$H$4:$H$2004,周转筐出入库明细!$C$4:$C$2004,$B4,周转筐出入库明细!$D$4:$D$2004,基础资料!$B$5,周转筐出入库明细!$F$4:$F$2004,"采购入库",周转筐出入库明细!$B$4:$B$2004,"&gt;="&amp;$BC$1,周转筐出入库明细!$B$4:$B$2004,"&lt;="&amp;$BC$2))</f>
        <v>0</v>
      </c>
      <c r="Q4" s="25">
        <f>IF(OR($B4="",基础资料!$B$6=""),"",SUMIFS(周转筐出入库明细!$H$4:$H$2004,周转筐出入库明细!$C$4:$C$2004,$B4,周转筐出入库明细!$D$4:$D$2004,基础资料!$B$6,周转筐出入库明细!$F$4:$F$2004,"采购入库",周转筐出入库明细!$B$4:$B$2004,"&gt;="&amp;$BC$1,周转筐出入库明细!$B$4:$B$2004,"&lt;="&amp;$BC$2))</f>
        <v>0</v>
      </c>
      <c r="R4" s="25">
        <f>IF(OR($B4="",基础资料!$B$7=""),"",SUMIFS(周转筐出入库明细!$H$4:$H$2004,周转筐出入库明细!$C$4:$C$2004,$B4,周转筐出入库明细!$D$4:$D$2004,基础资料!$B$7,周转筐出入库明细!$F$4:$F$2004,"采购入库",周转筐出入库明细!$B$4:$B$2004,"&gt;="&amp;$BC$1,周转筐出入库明细!$B$4:$B$2004,"&lt;="&amp;$BC$2))</f>
        <v>0</v>
      </c>
      <c r="S4" s="25">
        <f>IF(OR($B4="",基础资料!$B$8=""),"",SUMIFS(周转筐出入库明细!$H$4:$H$2004,周转筐出入库明细!$C$4:$C$2004,$B4,周转筐出入库明细!$D$4:$D$2004,基础资料!$B$8,周转筐出入库明细!$F$4:$F$2004,"采购入库",周转筐出入库明细!$B$4:$B$2004,"&gt;="&amp;$BC$1,周转筐出入库明细!$B$4:$B$2004,"&lt;="&amp;$BC$2))</f>
        <v>0</v>
      </c>
      <c r="T4" s="25">
        <f t="shared" ref="T4:T67" si="3">IF($B4="","",SUM(O4:S4))</f>
        <v>0</v>
      </c>
      <c r="U4" s="25">
        <f>IF(OR($B4="",基础资料!$B$4=""),"",SUMIFS(周转筐出入库明细!$K$4:$K$2004,周转筐出入库明细!$C$4:$C$2004,$B4,周转筐出入库明细!$D$4:$D$2004,基础资料!$B$4,周转筐出入库明细!$B$4:$B$2004,"&gt;="&amp;$BC$1,周转筐出入库明细!$B$4:$B$2004,"&lt;="&amp;$BC$2))</f>
        <v>0</v>
      </c>
      <c r="V4" s="25">
        <f>IF(OR($B4="",基础资料!$B$5=""),"",SUMIFS(周转筐出入库明细!$K$4:$K$2004,周转筐出入库明细!$C$4:$C$2004,$B4,周转筐出入库明细!$D$4:$D$2004,基础资料!$B$5,周转筐出入库明细!$B$4:$B$2004,"&gt;="&amp;$BC$1,周转筐出入库明细!$B$4:$B$2004,"&lt;="&amp;$BC$2))</f>
        <v>0</v>
      </c>
      <c r="W4" s="25">
        <f>IF(OR($B4="",基础资料!$B$6=""),"",SUMIFS(周转筐出入库明细!$K$4:$K$2004,周转筐出入库明细!$C$4:$C$2004,$B4,周转筐出入库明细!$D$4:$D$2004,基础资料!$B$6,周转筐出入库明细!$B$4:$B$2004,"&gt;="&amp;$BC$1,周转筐出入库明细!$B$4:$B$2004,"&lt;="&amp;$BC$2))</f>
        <v>0</v>
      </c>
      <c r="X4" s="25">
        <f>IF(OR($B4="",基础资料!$B$7=""),"",SUMIFS(周转筐出入库明细!$K$4:$K$2004,周转筐出入库明细!$C$4:$C$2004,$B4,周转筐出入库明细!$D$4:$D$2004,基础资料!$B$7,周转筐出入库明细!$B$4:$B$2004,"&gt;="&amp;$BC$1,周转筐出入库明细!$B$4:$B$2004,"&lt;="&amp;$BC$2))</f>
        <v>0</v>
      </c>
      <c r="Y4" s="25">
        <f>IF(OR($B4="",基础资料!$B$8=""),"",SUMIFS(周转筐出入库明细!$K$4:$K$2004,周转筐出入库明细!$C$4:$C$2004,$B4,周转筐出入库明细!$D$4:$D$2004,基础资料!$B$8,周转筐出入库明细!$B$4:$B$2004,"&gt;="&amp;$BC$1,周转筐出入库明细!$B$4:$B$2004,"&lt;="&amp;$BC$2))</f>
        <v>0</v>
      </c>
      <c r="Z4" s="25">
        <f t="shared" ref="Z4:Z67" si="4">IF($B4="","",SUM(U4:Y4))</f>
        <v>0</v>
      </c>
      <c r="AA4" s="67">
        <f>IF(OR($B4="",基础资料!$B$4=""),"",-SUMIFS(对接源_01水果筐数!$D$5:$D$304,对接源_01水果筐数!$B$5:$B$304,$B4,对接源_01水果筐数!$C$5:$C$304,基础资料!$B$4))</f>
        <v>-543</v>
      </c>
      <c r="AB4" s="67">
        <f>IF(OR($B4="",基础资料!$B$5=""),"",-SUMIFS(对接源_01水果筐数!$D$5:$D$304,对接源_01水果筐数!$B$5:$B$304,$B4,对接源_01水果筐数!$C$5:$C$304,基础资料!$B$5))</f>
        <v>-1670</v>
      </c>
      <c r="AC4" s="67">
        <f>IF(OR($B4="",基础资料!$B$6=""),"",-SUMIFS(对接源_01水果筐数!$D$5:$D$304,对接源_01水果筐数!$B$5:$B$304,$B4,对接源_01水果筐数!$C$5:$C$304,基础资料!$B$6))</f>
        <v>0</v>
      </c>
      <c r="AD4" s="67">
        <f>IF(OR($B4="",基础资料!$B$7=""),"",-SUMIFS(对接源_01水果筐数!$D$5:$D$304,对接源_01水果筐数!$B$5:$B$304,$B4,对接源_01水果筐数!$C$5:$C$304,基础资料!$B$7))</f>
        <v>0</v>
      </c>
      <c r="AE4" s="67">
        <f>IF(OR($B4="",基础资料!$B$8=""),"",-SUMIFS(对接源_01水果筐数!$D$5:$D$304,对接源_01水果筐数!$B$5:$B$304,$B4,对接源_01水果筐数!$C$5:$C$304,基础资料!$B$8))</f>
        <v>0</v>
      </c>
      <c r="AF4" s="25">
        <f>IF(OR($B4="",基础资料!$B$4=""),"",SUMIFS(对接源_01水果筐数!$E$5:$E$304,对接源_01水果筐数!$B$5:$B$304,$B4,对接源_01水果筐数!$C$5:$C$304,基础资料!$B$4))</f>
        <v>0</v>
      </c>
      <c r="AG4" s="25">
        <f>IF(OR($B4="",基础资料!$B$5=""),"",SUMIFS(对接源_01水果筐数!$E$5:$E$304,对接源_01水果筐数!$B$5:$B$304,$B4,对接源_01水果筐数!$C$5:$C$304,基础资料!$B$5))</f>
        <v>1</v>
      </c>
      <c r="AH4" s="25">
        <f>IF(OR($B4="",基础资料!$B$6=""),"",SUMIFS(对接源_01水果筐数!$E$5:$E$304,对接源_01水果筐数!$B$5:$B$304,$B4,对接源_01水果筐数!$C$5:$C$304,基础资料!$B$6))</f>
        <v>0</v>
      </c>
      <c r="AI4" s="25">
        <f>IF(OR($B4="",基础资料!$B$7=""),"",SUMIFS(对接源_01水果筐数!$E$5:$E$304,对接源_01水果筐数!$B$5:$B$304,$B4,对接源_01水果筐数!$C$5:$C$304,基础资料!$B$7))</f>
        <v>0</v>
      </c>
      <c r="AJ4" s="25">
        <f>IF(OR($B4="",基础资料!$B$8=""),"",SUMIFS(对接源_01水果筐数!$E$5:$E$304,对接源_01水果筐数!$B$5:$B$304,$B4,对接源_01水果筐数!$C$5:$C$304,基础资料!$B$8))</f>
        <v>0</v>
      </c>
      <c r="AK4" s="25">
        <f>IF(OR($B4="",基础资料!$B$4=""),"",SUMIFS(对接源_01水果筐数!$F$5:$F$304,对接源_01水果筐数!$B$5:$B$304,$B4,对接源_01水果筐数!$C$5:$C$304,基础资料!$B$4))</f>
        <v>0</v>
      </c>
      <c r="AL4" s="25">
        <f>IF(OR($B4="",基础资料!$B$5=""),"",SUMIFS(对接源_01水果筐数!$F$5:$F$304,对接源_01水果筐数!$B$5:$B$304,$B4,对接源_01水果筐数!$C$5:$C$304,基础资料!$B$5))</f>
        <v>4</v>
      </c>
      <c r="AM4" s="25">
        <f>IF(OR($B4="",基础资料!$B$6=""),"",SUMIFS(对接源_01水果筐数!$F$5:$F$304,对接源_01水果筐数!$B$5:$B$304,$B4,对接源_01水果筐数!$C$5:$C$304,基础资料!$B$6))</f>
        <v>0</v>
      </c>
      <c r="AN4" s="25">
        <f>IF(OR($B4="",基础资料!$B$7=""),"",SUMIFS(对接源_01水果筐数!$F$5:$F$304,对接源_01水果筐数!$B$5:$B$304,$B4,对接源_01水果筐数!$C$5:$C$304,基础资料!$B$7))</f>
        <v>0</v>
      </c>
      <c r="AO4" s="25">
        <f>IF(OR($B4="",基础资料!$B$8=""),"",SUMIFS(对接源_01水果筐数!$F$5:$F$304,对接源_01水果筐数!$B$5:$B$304,$B4,对接源_01水果筐数!$C$5:$C$304,基础资料!$B$8))</f>
        <v>0</v>
      </c>
      <c r="AP4" s="25">
        <f t="shared" ref="AP4:AP67" si="5">IF($B4="","",N(C4)+N(I4)+N(AA4)+N(AF4)+N(AK4))</f>
        <v>302</v>
      </c>
      <c r="AQ4" s="25">
        <f>IF($B4="","",N(D4)+N(J4)+N(AB4)+N(AG4)+N(AL4))</f>
        <v>1935</v>
      </c>
      <c r="AR4" s="25">
        <f t="shared" ref="AR4:AR67" si="6">IF($B4="","",N(E4)+N(K4)+N(AC4)+N(AH4)+N(AM4))</f>
        <v>0</v>
      </c>
      <c r="AS4" s="25">
        <f t="shared" ref="AS4:AS67" si="7">IF($B4="","",N(F4)+N(L4)+N(AD4)+N(AI4)+N(AN4))</f>
        <v>0</v>
      </c>
      <c r="AT4" s="25">
        <f t="shared" ref="AT4:AT67" si="8">IF($B4="","",N(G4)+N(M4)+N(AE4)+N(AJ4)+N(AO4))</f>
        <v>0</v>
      </c>
      <c r="AU4" s="25">
        <f t="shared" ref="AU4:AU67" si="9">IF($B4="","",SUM(AP4:AT4))</f>
        <v>2237</v>
      </c>
      <c r="AV4" s="24" t="str">
        <f t="shared" ref="AV4:AV67" si="10">IF($B4="","",IF(N($AU4)&gt;0,"⚠ 有 "&amp;N($AU4)&amp;" 个筐未回","✔ 已回清"))</f>
        <v>⚠ 有 2237 个筐未回</v>
      </c>
      <c r="AW4" s="72"/>
    </row>
    <row r="5" spans="1:55">
      <c r="A5" s="22">
        <f t="shared" si="0"/>
        <v>2</v>
      </c>
      <c r="B5" s="24" t="str">
        <f>IFERROR(INDEX(_自动清单!$CC$4:$CC$253,ROW()-3),"")</f>
        <v>王浩</v>
      </c>
      <c r="C5" s="25">
        <f>IF(OR($B5="",基础资料!$B$4=""),"",SUMIFS(周转筐出入库明细!$J$4:$J$2004,周转筐出入库明细!$C$4:$C$2004,$B5,周转筐出入库明细!$D$4:$D$2004,基础资料!$B$4,周转筐出入库明细!$B$4:$B$2004,"&gt;="&amp;$BC$1,周转筐出入库明细!$B$4:$B$2004,"&lt;="&amp;$BC$2))</f>
        <v>3360</v>
      </c>
      <c r="D5" s="25">
        <f>IF(OR($B5="",基础资料!$B$5=""),"",SUMIFS(周转筐出入库明细!$J$4:$J$2004,周转筐出入库明细!$C$4:$C$2004,$B5,周转筐出入库明细!$D$4:$D$2004,基础资料!$B$5,周转筐出入库明细!$B$4:$B$2004,"&gt;="&amp;$BC$1,周转筐出入库明细!$B$4:$B$2004,"&lt;="&amp;$BC$2))</f>
        <v>0</v>
      </c>
      <c r="E5" s="25">
        <f>IF(OR($B5="",基础资料!$B$6=""),"",SUMIFS(周转筐出入库明细!$J$4:$J$2004,周转筐出入库明细!$C$4:$C$2004,$B5,周转筐出入库明细!$D$4:$D$2004,基础资料!$B$6,周转筐出入库明细!$B$4:$B$2004,"&gt;="&amp;$BC$1,周转筐出入库明细!$B$4:$B$2004,"&lt;="&amp;$BC$2))</f>
        <v>0</v>
      </c>
      <c r="F5" s="25">
        <f>IF(OR($B5="",基础资料!$B$7=""),"",SUMIFS(周转筐出入库明细!$J$4:$J$2004,周转筐出入库明细!$C$4:$C$2004,$B5,周转筐出入库明细!$D$4:$D$2004,基础资料!$B$7,周转筐出入库明细!$B$4:$B$2004,"&gt;="&amp;$BC$1,周转筐出入库明细!$B$4:$B$2004,"&lt;="&amp;$BC$2))</f>
        <v>0</v>
      </c>
      <c r="G5" s="25">
        <f>IF(OR($B5="",基础资料!$B$8=""),"",SUMIFS(周转筐出入库明细!$J$4:$J$2004,周转筐出入库明细!$C$4:$C$2004,$B5,周转筐出入库明细!$D$4:$D$2004,基础资料!$B$8,周转筐出入库明细!$B$4:$B$2004,"&gt;="&amp;$BC$1,周转筐出入库明细!$B$4:$B$2004,"&lt;="&amp;$BC$2))</f>
        <v>0</v>
      </c>
      <c r="H5" s="25">
        <f t="shared" si="1"/>
        <v>3360</v>
      </c>
      <c r="I5" s="67">
        <f>IF(OR($B5="",基础资料!$B$4=""),"",-SUMIFS(周转筐出入库明细!$I$4:$I$2004,周转筐出入库明细!$C$4:$C$2004,$B5,周转筐出入库明细!$D$4:$D$2004,基础资料!$B$4,周转筐出入库明细!$B$4:$B$2004,"&gt;="&amp;$BC$1,周转筐出入库明细!$B$4:$B$2004,"&lt;="&amp;$BC$2))</f>
        <v>0</v>
      </c>
      <c r="J5" s="67">
        <f>IF(OR($B5="",基础资料!$B$5=""),"",-SUMIFS(周转筐出入库明细!$I$4:$I$2004,周转筐出入库明细!$C$4:$C$2004,$B5,周转筐出入库明细!$D$4:$D$2004,基础资料!$B$5,周转筐出入库明细!$B$4:$B$2004,"&gt;="&amp;$BC$1,周转筐出入库明细!$B$4:$B$2004,"&lt;="&amp;$BC$2))</f>
        <v>0</v>
      </c>
      <c r="K5" s="67">
        <f>IF(OR($B5="",基础资料!$B$6=""),"",-SUMIFS(周转筐出入库明细!$I$4:$I$2004,周转筐出入库明细!$C$4:$C$2004,$B5,周转筐出入库明细!$D$4:$D$2004,基础资料!$B$6,周转筐出入库明细!$B$4:$B$2004,"&gt;="&amp;$BC$1,周转筐出入库明细!$B$4:$B$2004,"&lt;="&amp;$BC$2))</f>
        <v>0</v>
      </c>
      <c r="L5" s="67">
        <f>IF(OR($B5="",基础资料!$B$7=""),"",-SUMIFS(周转筐出入库明细!$I$4:$I$2004,周转筐出入库明细!$C$4:$C$2004,$B5,周转筐出入库明细!$D$4:$D$2004,基础资料!$B$7,周转筐出入库明细!$B$4:$B$2004,"&gt;="&amp;$BC$1,周转筐出入库明细!$B$4:$B$2004,"&lt;="&amp;$BC$2))</f>
        <v>0</v>
      </c>
      <c r="M5" s="67">
        <f>IF(OR($B5="",基础资料!$B$8=""),"",-SUMIFS(周转筐出入库明细!$I$4:$I$2004,周转筐出入库明细!$C$4:$C$2004,$B5,周转筐出入库明细!$D$4:$D$2004,基础资料!$B$8,周转筐出入库明细!$B$4:$B$2004,"&gt;="&amp;$BC$1,周转筐出入库明细!$B$4:$B$2004,"&lt;="&amp;$BC$2))</f>
        <v>0</v>
      </c>
      <c r="N5" s="67">
        <f t="shared" si="2"/>
        <v>0</v>
      </c>
      <c r="O5" s="25">
        <f>IF(OR($B5="",基础资料!$B$4=""),"",SUMIFS(周转筐出入库明细!$H$4:$H$2004,周转筐出入库明细!$C$4:$C$2004,$B5,周转筐出入库明细!$D$4:$D$2004,基础资料!$B$4,周转筐出入库明细!$F$4:$F$2004,"采购入库",周转筐出入库明细!$B$4:$B$2004,"&gt;="&amp;$BC$1,周转筐出入库明细!$B$4:$B$2004,"&lt;="&amp;$BC$2))</f>
        <v>0</v>
      </c>
      <c r="P5" s="25">
        <f>IF(OR($B5="",基础资料!$B$5=""),"",SUMIFS(周转筐出入库明细!$H$4:$H$2004,周转筐出入库明细!$C$4:$C$2004,$B5,周转筐出入库明细!$D$4:$D$2004,基础资料!$B$5,周转筐出入库明细!$F$4:$F$2004,"采购入库",周转筐出入库明细!$B$4:$B$2004,"&gt;="&amp;$BC$1,周转筐出入库明细!$B$4:$B$2004,"&lt;="&amp;$BC$2))</f>
        <v>0</v>
      </c>
      <c r="Q5" s="25">
        <f>IF(OR($B5="",基础资料!$B$6=""),"",SUMIFS(周转筐出入库明细!$H$4:$H$2004,周转筐出入库明细!$C$4:$C$2004,$B5,周转筐出入库明细!$D$4:$D$2004,基础资料!$B$6,周转筐出入库明细!$F$4:$F$2004,"采购入库",周转筐出入库明细!$B$4:$B$2004,"&gt;="&amp;$BC$1,周转筐出入库明细!$B$4:$B$2004,"&lt;="&amp;$BC$2))</f>
        <v>0</v>
      </c>
      <c r="R5" s="25">
        <f>IF(OR($B5="",基础资料!$B$7=""),"",SUMIFS(周转筐出入库明细!$H$4:$H$2004,周转筐出入库明细!$C$4:$C$2004,$B5,周转筐出入库明细!$D$4:$D$2004,基础资料!$B$7,周转筐出入库明细!$F$4:$F$2004,"采购入库",周转筐出入库明细!$B$4:$B$2004,"&gt;="&amp;$BC$1,周转筐出入库明细!$B$4:$B$2004,"&lt;="&amp;$BC$2))</f>
        <v>0</v>
      </c>
      <c r="S5" s="25">
        <f>IF(OR($B5="",基础资料!$B$8=""),"",SUMIFS(周转筐出入库明细!$H$4:$H$2004,周转筐出入库明细!$C$4:$C$2004,$B5,周转筐出入库明细!$D$4:$D$2004,基础资料!$B$8,周转筐出入库明细!$F$4:$F$2004,"采购入库",周转筐出入库明细!$B$4:$B$2004,"&gt;="&amp;$BC$1,周转筐出入库明细!$B$4:$B$2004,"&lt;="&amp;$BC$2))</f>
        <v>0</v>
      </c>
      <c r="T5" s="25">
        <f t="shared" si="3"/>
        <v>0</v>
      </c>
      <c r="U5" s="25">
        <f>IF(OR($B5="",基础资料!$B$4=""),"",SUMIFS(周转筐出入库明细!$K$4:$K$2004,周转筐出入库明细!$C$4:$C$2004,$B5,周转筐出入库明细!$D$4:$D$2004,基础资料!$B$4,周转筐出入库明细!$B$4:$B$2004,"&gt;="&amp;$BC$1,周转筐出入库明细!$B$4:$B$2004,"&lt;="&amp;$BC$2))</f>
        <v>0</v>
      </c>
      <c r="V5" s="25">
        <f>IF(OR($B5="",基础资料!$B$5=""),"",SUMIFS(周转筐出入库明细!$K$4:$K$2004,周转筐出入库明细!$C$4:$C$2004,$B5,周转筐出入库明细!$D$4:$D$2004,基础资料!$B$5,周转筐出入库明细!$B$4:$B$2004,"&gt;="&amp;$BC$1,周转筐出入库明细!$B$4:$B$2004,"&lt;="&amp;$BC$2))</f>
        <v>0</v>
      </c>
      <c r="W5" s="25">
        <f>IF(OR($B5="",基础资料!$B$6=""),"",SUMIFS(周转筐出入库明细!$K$4:$K$2004,周转筐出入库明细!$C$4:$C$2004,$B5,周转筐出入库明细!$D$4:$D$2004,基础资料!$B$6,周转筐出入库明细!$B$4:$B$2004,"&gt;="&amp;$BC$1,周转筐出入库明细!$B$4:$B$2004,"&lt;="&amp;$BC$2))</f>
        <v>0</v>
      </c>
      <c r="X5" s="25">
        <f>IF(OR($B5="",基础资料!$B$7=""),"",SUMIFS(周转筐出入库明细!$K$4:$K$2004,周转筐出入库明细!$C$4:$C$2004,$B5,周转筐出入库明细!$D$4:$D$2004,基础资料!$B$7,周转筐出入库明细!$B$4:$B$2004,"&gt;="&amp;$BC$1,周转筐出入库明细!$B$4:$B$2004,"&lt;="&amp;$BC$2))</f>
        <v>0</v>
      </c>
      <c r="Y5" s="25">
        <f>IF(OR($B5="",基础资料!$B$8=""),"",SUMIFS(周转筐出入库明细!$K$4:$K$2004,周转筐出入库明细!$C$4:$C$2004,$B5,周转筐出入库明细!$D$4:$D$2004,基础资料!$B$8,周转筐出入库明细!$B$4:$B$2004,"&gt;="&amp;$BC$1,周转筐出入库明细!$B$4:$B$2004,"&lt;="&amp;$BC$2))</f>
        <v>0</v>
      </c>
      <c r="Z5" s="25">
        <f t="shared" si="4"/>
        <v>0</v>
      </c>
      <c r="AA5" s="67">
        <f>IF(OR($B5="",基础资料!$B$4=""),"",-SUMIFS(对接源_01水果筐数!$D$5:$D$304,对接源_01水果筐数!$B$5:$B$304,$B5,对接源_01水果筐数!$C$5:$C$304,基础资料!$B$4))</f>
        <v>-1184</v>
      </c>
      <c r="AB5" s="67">
        <f>IF(OR($B5="",基础资料!$B$5=""),"",-SUMIFS(对接源_01水果筐数!$D$5:$D$304,对接源_01水果筐数!$B$5:$B$304,$B5,对接源_01水果筐数!$C$5:$C$304,基础资料!$B$5))</f>
        <v>0</v>
      </c>
      <c r="AC5" s="67">
        <f>IF(OR($B5="",基础资料!$B$6=""),"",-SUMIFS(对接源_01水果筐数!$D$5:$D$304,对接源_01水果筐数!$B$5:$B$304,$B5,对接源_01水果筐数!$C$5:$C$304,基础资料!$B$6))</f>
        <v>0</v>
      </c>
      <c r="AD5" s="67">
        <f>IF(OR($B5="",基础资料!$B$7=""),"",-SUMIFS(对接源_01水果筐数!$D$5:$D$304,对接源_01水果筐数!$B$5:$B$304,$B5,对接源_01水果筐数!$C$5:$C$304,基础资料!$B$7))</f>
        <v>0</v>
      </c>
      <c r="AE5" s="67">
        <f>IF(OR($B5="",基础资料!$B$8=""),"",-SUMIFS(对接源_01水果筐数!$D$5:$D$304,对接源_01水果筐数!$B$5:$B$304,$B5,对接源_01水果筐数!$C$5:$C$304,基础资料!$B$8))</f>
        <v>0</v>
      </c>
      <c r="AF5" s="25">
        <f>IF(OR($B5="",基础资料!$B$4=""),"",SUMIFS(对接源_01水果筐数!$E$5:$E$304,对接源_01水果筐数!$B$5:$B$304,$B5,对接源_01水果筐数!$C$5:$C$304,基础资料!$B$4))</f>
        <v>0</v>
      </c>
      <c r="AG5" s="25">
        <f>IF(OR($B5="",基础资料!$B$5=""),"",SUMIFS(对接源_01水果筐数!$E$5:$E$304,对接源_01水果筐数!$B$5:$B$304,$B5,对接源_01水果筐数!$C$5:$C$304,基础资料!$B$5))</f>
        <v>0</v>
      </c>
      <c r="AH5" s="25">
        <f>IF(OR($B5="",基础资料!$B$6=""),"",SUMIFS(对接源_01水果筐数!$E$5:$E$304,对接源_01水果筐数!$B$5:$B$304,$B5,对接源_01水果筐数!$C$5:$C$304,基础资料!$B$6))</f>
        <v>0</v>
      </c>
      <c r="AI5" s="25">
        <f>IF(OR($B5="",基础资料!$B$7=""),"",SUMIFS(对接源_01水果筐数!$E$5:$E$304,对接源_01水果筐数!$B$5:$B$304,$B5,对接源_01水果筐数!$C$5:$C$304,基础资料!$B$7))</f>
        <v>0</v>
      </c>
      <c r="AJ5" s="25">
        <f>IF(OR($B5="",基础资料!$B$8=""),"",SUMIFS(对接源_01水果筐数!$E$5:$E$304,对接源_01水果筐数!$B$5:$B$304,$B5,对接源_01水果筐数!$C$5:$C$304,基础资料!$B$8))</f>
        <v>0</v>
      </c>
      <c r="AK5" s="25">
        <f>IF(OR($B5="",基础资料!$B$4=""),"",SUMIFS(对接源_01水果筐数!$F$5:$F$304,对接源_01水果筐数!$B$5:$B$304,$B5,对接源_01水果筐数!$C$5:$C$304,基础资料!$B$4))</f>
        <v>0</v>
      </c>
      <c r="AL5" s="25">
        <f>IF(OR($B5="",基础资料!$B$5=""),"",SUMIFS(对接源_01水果筐数!$F$5:$F$304,对接源_01水果筐数!$B$5:$B$304,$B5,对接源_01水果筐数!$C$5:$C$304,基础资料!$B$5))</f>
        <v>0</v>
      </c>
      <c r="AM5" s="25">
        <f>IF(OR($B5="",基础资料!$B$6=""),"",SUMIFS(对接源_01水果筐数!$F$5:$F$304,对接源_01水果筐数!$B$5:$B$304,$B5,对接源_01水果筐数!$C$5:$C$304,基础资料!$B$6))</f>
        <v>0</v>
      </c>
      <c r="AN5" s="25">
        <f>IF(OR($B5="",基础资料!$B$7=""),"",SUMIFS(对接源_01水果筐数!$F$5:$F$304,对接源_01水果筐数!$B$5:$B$304,$B5,对接源_01水果筐数!$C$5:$C$304,基础资料!$B$7))</f>
        <v>0</v>
      </c>
      <c r="AO5" s="25">
        <f>IF(OR($B5="",基础资料!$B$8=""),"",SUMIFS(对接源_01水果筐数!$F$5:$F$304,对接源_01水果筐数!$B$5:$B$304,$B5,对接源_01水果筐数!$C$5:$C$304,基础资料!$B$8))</f>
        <v>0</v>
      </c>
      <c r="AP5" s="25">
        <f t="shared" si="5"/>
        <v>2176</v>
      </c>
      <c r="AQ5" s="25">
        <f t="shared" ref="AQ4:AQ67" si="11">IF($B5="","",N(D5)+N(J5)+N(AB5)+N(AG5)+N(AL5))</f>
        <v>0</v>
      </c>
      <c r="AR5" s="25">
        <f t="shared" si="6"/>
        <v>0</v>
      </c>
      <c r="AS5" s="25">
        <f t="shared" si="7"/>
        <v>0</v>
      </c>
      <c r="AT5" s="25">
        <f t="shared" si="8"/>
        <v>0</v>
      </c>
      <c r="AU5" s="25">
        <f t="shared" si="9"/>
        <v>2176</v>
      </c>
      <c r="AV5" s="24" t="str">
        <f t="shared" si="10"/>
        <v>⚠ 有 2176 个筐未回</v>
      </c>
      <c r="AW5" s="72"/>
    </row>
    <row r="6" spans="1:55">
      <c r="A6" s="22">
        <f t="shared" si="0"/>
        <v>3</v>
      </c>
      <c r="B6" s="24" t="str">
        <f>IFERROR(INDEX(_自动清单!$CC$4:$CC$253,ROW()-3),"")</f>
        <v>马锦祥</v>
      </c>
      <c r="C6" s="25">
        <f>IF(OR($B6="",基础资料!$B$4=""),"",SUMIFS(周转筐出入库明细!$J$4:$J$2004,周转筐出入库明细!$C$4:$C$2004,$B6,周转筐出入库明细!$D$4:$D$2004,基础资料!$B$4,周转筐出入库明细!$B$4:$B$2004,"&gt;="&amp;$BC$1,周转筐出入库明细!$B$4:$B$2004,"&lt;="&amp;$BC$2))</f>
        <v>0</v>
      </c>
      <c r="D6" s="25">
        <f>IF(OR($B6="",基础资料!$B$5=""),"",SUMIFS(周转筐出入库明细!$J$4:$J$2004,周转筐出入库明细!$C$4:$C$2004,$B6,周转筐出入库明细!$D$4:$D$2004,基础资料!$B$5,周转筐出入库明细!$B$4:$B$2004,"&gt;="&amp;$BC$1,周转筐出入库明细!$B$4:$B$2004,"&lt;="&amp;$BC$2))</f>
        <v>2926</v>
      </c>
      <c r="E6" s="25">
        <f>IF(OR($B6="",基础资料!$B$6=""),"",SUMIFS(周转筐出入库明细!$J$4:$J$2004,周转筐出入库明细!$C$4:$C$2004,$B6,周转筐出入库明细!$D$4:$D$2004,基础资料!$B$6,周转筐出入库明细!$B$4:$B$2004,"&gt;="&amp;$BC$1,周转筐出入库明细!$B$4:$B$2004,"&lt;="&amp;$BC$2))</f>
        <v>0</v>
      </c>
      <c r="F6" s="25">
        <f>IF(OR($B6="",基础资料!$B$7=""),"",SUMIFS(周转筐出入库明细!$J$4:$J$2004,周转筐出入库明细!$C$4:$C$2004,$B6,周转筐出入库明细!$D$4:$D$2004,基础资料!$B$7,周转筐出入库明细!$B$4:$B$2004,"&gt;="&amp;$BC$1,周转筐出入库明细!$B$4:$B$2004,"&lt;="&amp;$BC$2))</f>
        <v>0</v>
      </c>
      <c r="G6" s="25">
        <f>IF(OR($B6="",基础资料!$B$8=""),"",SUMIFS(周转筐出入库明细!$J$4:$J$2004,周转筐出入库明细!$C$4:$C$2004,$B6,周转筐出入库明细!$D$4:$D$2004,基础资料!$B$8,周转筐出入库明细!$B$4:$B$2004,"&gt;="&amp;$BC$1,周转筐出入库明细!$B$4:$B$2004,"&lt;="&amp;$BC$2))</f>
        <v>0</v>
      </c>
      <c r="H6" s="25">
        <f t="shared" si="1"/>
        <v>2926</v>
      </c>
      <c r="I6" s="67">
        <f>IF(OR($B6="",基础资料!$B$4=""),"",-SUMIFS(周转筐出入库明细!$I$4:$I$2004,周转筐出入库明细!$C$4:$C$2004,$B6,周转筐出入库明细!$D$4:$D$2004,基础资料!$B$4,周转筐出入库明细!$B$4:$B$2004,"&gt;="&amp;$BC$1,周转筐出入库明细!$B$4:$B$2004,"&lt;="&amp;$BC$2))</f>
        <v>0</v>
      </c>
      <c r="J6" s="67">
        <f>IF(OR($B6="",基础资料!$B$5=""),"",-SUMIFS(周转筐出入库明细!$I$4:$I$2004,周转筐出入库明细!$C$4:$C$2004,$B6,周转筐出入库明细!$D$4:$D$2004,基础资料!$B$5,周转筐出入库明细!$B$4:$B$2004,"&gt;="&amp;$BC$1,周转筐出入库明细!$B$4:$B$2004,"&lt;="&amp;$BC$2))</f>
        <v>0</v>
      </c>
      <c r="K6" s="67">
        <f>IF(OR($B6="",基础资料!$B$6=""),"",-SUMIFS(周转筐出入库明细!$I$4:$I$2004,周转筐出入库明细!$C$4:$C$2004,$B6,周转筐出入库明细!$D$4:$D$2004,基础资料!$B$6,周转筐出入库明细!$B$4:$B$2004,"&gt;="&amp;$BC$1,周转筐出入库明细!$B$4:$B$2004,"&lt;="&amp;$BC$2))</f>
        <v>0</v>
      </c>
      <c r="L6" s="67">
        <f>IF(OR($B6="",基础资料!$B$7=""),"",-SUMIFS(周转筐出入库明细!$I$4:$I$2004,周转筐出入库明细!$C$4:$C$2004,$B6,周转筐出入库明细!$D$4:$D$2004,基础资料!$B$7,周转筐出入库明细!$B$4:$B$2004,"&gt;="&amp;$BC$1,周转筐出入库明细!$B$4:$B$2004,"&lt;="&amp;$BC$2))</f>
        <v>0</v>
      </c>
      <c r="M6" s="67">
        <f>IF(OR($B6="",基础资料!$B$8=""),"",-SUMIFS(周转筐出入库明细!$I$4:$I$2004,周转筐出入库明细!$C$4:$C$2004,$B6,周转筐出入库明细!$D$4:$D$2004,基础资料!$B$8,周转筐出入库明细!$B$4:$B$2004,"&gt;="&amp;$BC$1,周转筐出入库明细!$B$4:$B$2004,"&lt;="&amp;$BC$2))</f>
        <v>0</v>
      </c>
      <c r="N6" s="67">
        <f t="shared" si="2"/>
        <v>0</v>
      </c>
      <c r="O6" s="25">
        <f>IF(OR($B6="",基础资料!$B$4=""),"",SUMIFS(周转筐出入库明细!$H$4:$H$2004,周转筐出入库明细!$C$4:$C$2004,$B6,周转筐出入库明细!$D$4:$D$2004,基础资料!$B$4,周转筐出入库明细!$F$4:$F$2004,"采购入库",周转筐出入库明细!$B$4:$B$2004,"&gt;="&amp;$BC$1,周转筐出入库明细!$B$4:$B$2004,"&lt;="&amp;$BC$2))</f>
        <v>0</v>
      </c>
      <c r="P6" s="25">
        <f>IF(OR($B6="",基础资料!$B$5=""),"",SUMIFS(周转筐出入库明细!$H$4:$H$2004,周转筐出入库明细!$C$4:$C$2004,$B6,周转筐出入库明细!$D$4:$D$2004,基础资料!$B$5,周转筐出入库明细!$F$4:$F$2004,"采购入库",周转筐出入库明细!$B$4:$B$2004,"&gt;="&amp;$BC$1,周转筐出入库明细!$B$4:$B$2004,"&lt;="&amp;$BC$2))</f>
        <v>0</v>
      </c>
      <c r="Q6" s="25">
        <f>IF(OR($B6="",基础资料!$B$6=""),"",SUMIFS(周转筐出入库明细!$H$4:$H$2004,周转筐出入库明细!$C$4:$C$2004,$B6,周转筐出入库明细!$D$4:$D$2004,基础资料!$B$6,周转筐出入库明细!$F$4:$F$2004,"采购入库",周转筐出入库明细!$B$4:$B$2004,"&gt;="&amp;$BC$1,周转筐出入库明细!$B$4:$B$2004,"&lt;="&amp;$BC$2))</f>
        <v>0</v>
      </c>
      <c r="R6" s="25">
        <f>IF(OR($B6="",基础资料!$B$7=""),"",SUMIFS(周转筐出入库明细!$H$4:$H$2004,周转筐出入库明细!$C$4:$C$2004,$B6,周转筐出入库明细!$D$4:$D$2004,基础资料!$B$7,周转筐出入库明细!$F$4:$F$2004,"采购入库",周转筐出入库明细!$B$4:$B$2004,"&gt;="&amp;$BC$1,周转筐出入库明细!$B$4:$B$2004,"&lt;="&amp;$BC$2))</f>
        <v>0</v>
      </c>
      <c r="S6" s="25">
        <f>IF(OR($B6="",基础资料!$B$8=""),"",SUMIFS(周转筐出入库明细!$H$4:$H$2004,周转筐出入库明细!$C$4:$C$2004,$B6,周转筐出入库明细!$D$4:$D$2004,基础资料!$B$8,周转筐出入库明细!$F$4:$F$2004,"采购入库",周转筐出入库明细!$B$4:$B$2004,"&gt;="&amp;$BC$1,周转筐出入库明细!$B$4:$B$2004,"&lt;="&amp;$BC$2))</f>
        <v>0</v>
      </c>
      <c r="T6" s="25">
        <f t="shared" si="3"/>
        <v>0</v>
      </c>
      <c r="U6" s="25">
        <f>IF(OR($B6="",基础资料!$B$4=""),"",SUMIFS(周转筐出入库明细!$K$4:$K$2004,周转筐出入库明细!$C$4:$C$2004,$B6,周转筐出入库明细!$D$4:$D$2004,基础资料!$B$4,周转筐出入库明细!$B$4:$B$2004,"&gt;="&amp;$BC$1,周转筐出入库明细!$B$4:$B$2004,"&lt;="&amp;$BC$2))</f>
        <v>0</v>
      </c>
      <c r="V6" s="25">
        <f>IF(OR($B6="",基础资料!$B$5=""),"",SUMIFS(周转筐出入库明细!$K$4:$K$2004,周转筐出入库明细!$C$4:$C$2004,$B6,周转筐出入库明细!$D$4:$D$2004,基础资料!$B$5,周转筐出入库明细!$B$4:$B$2004,"&gt;="&amp;$BC$1,周转筐出入库明细!$B$4:$B$2004,"&lt;="&amp;$BC$2))</f>
        <v>0</v>
      </c>
      <c r="W6" s="25">
        <f>IF(OR($B6="",基础资料!$B$6=""),"",SUMIFS(周转筐出入库明细!$K$4:$K$2004,周转筐出入库明细!$C$4:$C$2004,$B6,周转筐出入库明细!$D$4:$D$2004,基础资料!$B$6,周转筐出入库明细!$B$4:$B$2004,"&gt;="&amp;$BC$1,周转筐出入库明细!$B$4:$B$2004,"&lt;="&amp;$BC$2))</f>
        <v>0</v>
      </c>
      <c r="X6" s="25">
        <f>IF(OR($B6="",基础资料!$B$7=""),"",SUMIFS(周转筐出入库明细!$K$4:$K$2004,周转筐出入库明细!$C$4:$C$2004,$B6,周转筐出入库明细!$D$4:$D$2004,基础资料!$B$7,周转筐出入库明细!$B$4:$B$2004,"&gt;="&amp;$BC$1,周转筐出入库明细!$B$4:$B$2004,"&lt;="&amp;$BC$2))</f>
        <v>0</v>
      </c>
      <c r="Y6" s="25">
        <f>IF(OR($B6="",基础资料!$B$8=""),"",SUMIFS(周转筐出入库明细!$K$4:$K$2004,周转筐出入库明细!$C$4:$C$2004,$B6,周转筐出入库明细!$D$4:$D$2004,基础资料!$B$8,周转筐出入库明细!$B$4:$B$2004,"&gt;="&amp;$BC$1,周转筐出入库明细!$B$4:$B$2004,"&lt;="&amp;$BC$2))</f>
        <v>0</v>
      </c>
      <c r="Z6" s="25">
        <f t="shared" si="4"/>
        <v>0</v>
      </c>
      <c r="AA6" s="67">
        <f>IF(OR($B6="",基础资料!$B$4=""),"",-SUMIFS(对接源_01水果筐数!$D$5:$D$304,对接源_01水果筐数!$B$5:$B$304,$B6,对接源_01水果筐数!$C$5:$C$304,基础资料!$B$4))</f>
        <v>0</v>
      </c>
      <c r="AB6" s="67">
        <f>IF(OR($B6="",基础资料!$B$5=""),"",-SUMIFS(对接源_01水果筐数!$D$5:$D$304,对接源_01水果筐数!$B$5:$B$304,$B6,对接源_01水果筐数!$C$5:$C$304,基础资料!$B$5))</f>
        <v>-1900</v>
      </c>
      <c r="AC6" s="67">
        <f>IF(OR($B6="",基础资料!$B$6=""),"",-SUMIFS(对接源_01水果筐数!$D$5:$D$304,对接源_01水果筐数!$B$5:$B$304,$B6,对接源_01水果筐数!$C$5:$C$304,基础资料!$B$6))</f>
        <v>0</v>
      </c>
      <c r="AD6" s="67">
        <f>IF(OR($B6="",基础资料!$B$7=""),"",-SUMIFS(对接源_01水果筐数!$D$5:$D$304,对接源_01水果筐数!$B$5:$B$304,$B6,对接源_01水果筐数!$C$5:$C$304,基础资料!$B$7))</f>
        <v>0</v>
      </c>
      <c r="AE6" s="67">
        <f>IF(OR($B6="",基础资料!$B$8=""),"",-SUMIFS(对接源_01水果筐数!$D$5:$D$304,对接源_01水果筐数!$B$5:$B$304,$B6,对接源_01水果筐数!$C$5:$C$304,基础资料!$B$8))</f>
        <v>0</v>
      </c>
      <c r="AF6" s="25">
        <f>IF(OR($B6="",基础资料!$B$4=""),"",SUMIFS(对接源_01水果筐数!$E$5:$E$304,对接源_01水果筐数!$B$5:$B$304,$B6,对接源_01水果筐数!$C$5:$C$304,基础资料!$B$4))</f>
        <v>0</v>
      </c>
      <c r="AG6" s="25">
        <f>IF(OR($B6="",基础资料!$B$5=""),"",SUMIFS(对接源_01水果筐数!$E$5:$E$304,对接源_01水果筐数!$B$5:$B$304,$B6,对接源_01水果筐数!$C$5:$C$304,基础资料!$B$5))</f>
        <v>0</v>
      </c>
      <c r="AH6" s="25">
        <f>IF(OR($B6="",基础资料!$B$6=""),"",SUMIFS(对接源_01水果筐数!$E$5:$E$304,对接源_01水果筐数!$B$5:$B$304,$B6,对接源_01水果筐数!$C$5:$C$304,基础资料!$B$6))</f>
        <v>0</v>
      </c>
      <c r="AI6" s="25">
        <f>IF(OR($B6="",基础资料!$B$7=""),"",SUMIFS(对接源_01水果筐数!$E$5:$E$304,对接源_01水果筐数!$B$5:$B$304,$B6,对接源_01水果筐数!$C$5:$C$304,基础资料!$B$7))</f>
        <v>0</v>
      </c>
      <c r="AJ6" s="25">
        <f>IF(OR($B6="",基础资料!$B$8=""),"",SUMIFS(对接源_01水果筐数!$E$5:$E$304,对接源_01水果筐数!$B$5:$B$304,$B6,对接源_01水果筐数!$C$5:$C$304,基础资料!$B$8))</f>
        <v>0</v>
      </c>
      <c r="AK6" s="25">
        <f>IF(OR($B6="",基础资料!$B$4=""),"",SUMIFS(对接源_01水果筐数!$F$5:$F$304,对接源_01水果筐数!$B$5:$B$304,$B6,对接源_01水果筐数!$C$5:$C$304,基础资料!$B$4))</f>
        <v>0</v>
      </c>
      <c r="AL6" s="25">
        <f>IF(OR($B6="",基础资料!$B$5=""),"",SUMIFS(对接源_01水果筐数!$F$5:$F$304,对接源_01水果筐数!$B$5:$B$304,$B6,对接源_01水果筐数!$C$5:$C$304,基础资料!$B$5))</f>
        <v>0</v>
      </c>
      <c r="AM6" s="25">
        <f>IF(OR($B6="",基础资料!$B$6=""),"",SUMIFS(对接源_01水果筐数!$F$5:$F$304,对接源_01水果筐数!$B$5:$B$304,$B6,对接源_01水果筐数!$C$5:$C$304,基础资料!$B$6))</f>
        <v>0</v>
      </c>
      <c r="AN6" s="25">
        <f>IF(OR($B6="",基础资料!$B$7=""),"",SUMIFS(对接源_01水果筐数!$F$5:$F$304,对接源_01水果筐数!$B$5:$B$304,$B6,对接源_01水果筐数!$C$5:$C$304,基础资料!$B$7))</f>
        <v>0</v>
      </c>
      <c r="AO6" s="25">
        <f>IF(OR($B6="",基础资料!$B$8=""),"",SUMIFS(对接源_01水果筐数!$F$5:$F$304,对接源_01水果筐数!$B$5:$B$304,$B6,对接源_01水果筐数!$C$5:$C$304,基础资料!$B$8))</f>
        <v>0</v>
      </c>
      <c r="AP6" s="25">
        <f t="shared" si="5"/>
        <v>0</v>
      </c>
      <c r="AQ6" s="25">
        <f t="shared" si="11"/>
        <v>1026</v>
      </c>
      <c r="AR6" s="25">
        <f t="shared" si="6"/>
        <v>0</v>
      </c>
      <c r="AS6" s="25">
        <f t="shared" si="7"/>
        <v>0</v>
      </c>
      <c r="AT6" s="25">
        <f t="shared" si="8"/>
        <v>0</v>
      </c>
      <c r="AU6" s="25">
        <f t="shared" si="9"/>
        <v>1026</v>
      </c>
      <c r="AV6" s="24" t="str">
        <f t="shared" si="10"/>
        <v>⚠ 有 1026 个筐未回</v>
      </c>
      <c r="AW6" s="72"/>
    </row>
    <row r="7" spans="1:55">
      <c r="A7" s="22">
        <f t="shared" si="0"/>
        <v>4</v>
      </c>
      <c r="B7" s="24" t="str">
        <f>IFERROR(INDEX(_自动清单!$CC$4:$CC$253,ROW()-3),"")</f>
        <v>全修塑业</v>
      </c>
      <c r="C7" s="25">
        <f>IF(OR($B7="",基础资料!$B$4=""),"",SUMIFS(周转筐出入库明细!$J$4:$J$2004,周转筐出入库明细!$C$4:$C$2004,$B7,周转筐出入库明细!$D$4:$D$2004,基础资料!$B$4,周转筐出入库明细!$B$4:$B$2004,"&gt;="&amp;$BC$1,周转筐出入库明细!$B$4:$B$2004,"&lt;="&amp;$BC$2))</f>
        <v>0</v>
      </c>
      <c r="D7" s="25">
        <f>IF(OR($B7="",基础资料!$B$5=""),"",SUMIFS(周转筐出入库明细!$J$4:$J$2004,周转筐出入库明细!$C$4:$C$2004,$B7,周转筐出入库明细!$D$4:$D$2004,基础资料!$B$5,周转筐出入库明细!$B$4:$B$2004,"&gt;="&amp;$BC$1,周转筐出入库明细!$B$4:$B$2004,"&lt;="&amp;$BC$2))</f>
        <v>0</v>
      </c>
      <c r="E7" s="25">
        <f>IF(OR($B7="",基础资料!$B$6=""),"",SUMIFS(周转筐出入库明细!$J$4:$J$2004,周转筐出入库明细!$C$4:$C$2004,$B7,周转筐出入库明细!$D$4:$D$2004,基础资料!$B$6,周转筐出入库明细!$B$4:$B$2004,"&gt;="&amp;$BC$1,周转筐出入库明细!$B$4:$B$2004,"&lt;="&amp;$BC$2))</f>
        <v>0</v>
      </c>
      <c r="F7" s="25">
        <f>IF(OR($B7="",基础资料!$B$7=""),"",SUMIFS(周转筐出入库明细!$J$4:$J$2004,周转筐出入库明细!$C$4:$C$2004,$B7,周转筐出入库明细!$D$4:$D$2004,基础资料!$B$7,周转筐出入库明细!$B$4:$B$2004,"&gt;="&amp;$BC$1,周转筐出入库明细!$B$4:$B$2004,"&lt;="&amp;$BC$2))</f>
        <v>0</v>
      </c>
      <c r="G7" s="25">
        <f>IF(OR($B7="",基础资料!$B$8=""),"",SUMIFS(周转筐出入库明细!$J$4:$J$2004,周转筐出入库明细!$C$4:$C$2004,$B7,周转筐出入库明细!$D$4:$D$2004,基础资料!$B$8,周转筐出入库明细!$B$4:$B$2004,"&gt;="&amp;$BC$1,周转筐出入库明细!$B$4:$B$2004,"&lt;="&amp;$BC$2))</f>
        <v>0</v>
      </c>
      <c r="H7" s="25">
        <f t="shared" si="1"/>
        <v>0</v>
      </c>
      <c r="I7" s="67">
        <f>IF(OR($B7="",基础资料!$B$4=""),"",-SUMIFS(周转筐出入库明细!$I$4:$I$2004,周转筐出入库明细!$C$4:$C$2004,$B7,周转筐出入库明细!$D$4:$D$2004,基础资料!$B$4,周转筐出入库明细!$B$4:$B$2004,"&gt;="&amp;$BC$1,周转筐出入库明细!$B$4:$B$2004,"&lt;="&amp;$BC$2))</f>
        <v>0</v>
      </c>
      <c r="J7" s="67">
        <f>IF(OR($B7="",基础资料!$B$5=""),"",-SUMIFS(周转筐出入库明细!$I$4:$I$2004,周转筐出入库明细!$C$4:$C$2004,$B7,周转筐出入库明细!$D$4:$D$2004,基础资料!$B$5,周转筐出入库明细!$B$4:$B$2004,"&gt;="&amp;$BC$1,周转筐出入库明细!$B$4:$B$2004,"&lt;="&amp;$BC$2))</f>
        <v>0</v>
      </c>
      <c r="K7" s="67">
        <f>IF(OR($B7="",基础资料!$B$6=""),"",-SUMIFS(周转筐出入库明细!$I$4:$I$2004,周转筐出入库明细!$C$4:$C$2004,$B7,周转筐出入库明细!$D$4:$D$2004,基础资料!$B$6,周转筐出入库明细!$B$4:$B$2004,"&gt;="&amp;$BC$1,周转筐出入库明细!$B$4:$B$2004,"&lt;="&amp;$BC$2))</f>
        <v>0</v>
      </c>
      <c r="L7" s="67">
        <f>IF(OR($B7="",基础资料!$B$7=""),"",-SUMIFS(周转筐出入库明细!$I$4:$I$2004,周转筐出入库明细!$C$4:$C$2004,$B7,周转筐出入库明细!$D$4:$D$2004,基础资料!$B$7,周转筐出入库明细!$B$4:$B$2004,"&gt;="&amp;$BC$1,周转筐出入库明细!$B$4:$B$2004,"&lt;="&amp;$BC$2))</f>
        <v>0</v>
      </c>
      <c r="M7" s="67">
        <f>IF(OR($B7="",基础资料!$B$8=""),"",-SUMIFS(周转筐出入库明细!$I$4:$I$2004,周转筐出入库明细!$C$4:$C$2004,$B7,周转筐出入库明细!$D$4:$D$2004,基础资料!$B$8,周转筐出入库明细!$B$4:$B$2004,"&gt;="&amp;$BC$1,周转筐出入库明细!$B$4:$B$2004,"&lt;="&amp;$BC$2))</f>
        <v>0</v>
      </c>
      <c r="N7" s="67">
        <f t="shared" si="2"/>
        <v>0</v>
      </c>
      <c r="O7" s="25">
        <f>IF(OR($B7="",基础资料!$B$4=""),"",SUMIFS(周转筐出入库明细!$H$4:$H$2004,周转筐出入库明细!$C$4:$C$2004,$B7,周转筐出入库明细!$D$4:$D$2004,基础资料!$B$4,周转筐出入库明细!$F$4:$F$2004,"采购入库",周转筐出入库明细!$B$4:$B$2004,"&gt;="&amp;$BC$1,周转筐出入库明细!$B$4:$B$2004,"&lt;="&amp;$BC$2))</f>
        <v>0</v>
      </c>
      <c r="P7" s="25">
        <f>IF(OR($B7="",基础资料!$B$5=""),"",SUMIFS(周转筐出入库明细!$H$4:$H$2004,周转筐出入库明细!$C$4:$C$2004,$B7,周转筐出入库明细!$D$4:$D$2004,基础资料!$B$5,周转筐出入库明细!$F$4:$F$2004,"采购入库",周转筐出入库明细!$B$4:$B$2004,"&gt;="&amp;$BC$1,周转筐出入库明细!$B$4:$B$2004,"&lt;="&amp;$BC$2))</f>
        <v>0</v>
      </c>
      <c r="Q7" s="25">
        <f>IF(OR($B7="",基础资料!$B$6=""),"",SUMIFS(周转筐出入库明细!$H$4:$H$2004,周转筐出入库明细!$C$4:$C$2004,$B7,周转筐出入库明细!$D$4:$D$2004,基础资料!$B$6,周转筐出入库明细!$F$4:$F$2004,"采购入库",周转筐出入库明细!$B$4:$B$2004,"&gt;="&amp;$BC$1,周转筐出入库明细!$B$4:$B$2004,"&lt;="&amp;$BC$2))</f>
        <v>0</v>
      </c>
      <c r="R7" s="25">
        <f>IF(OR($B7="",基础资料!$B$7=""),"",SUMIFS(周转筐出入库明细!$H$4:$H$2004,周转筐出入库明细!$C$4:$C$2004,$B7,周转筐出入库明细!$D$4:$D$2004,基础资料!$B$7,周转筐出入库明细!$F$4:$F$2004,"采购入库",周转筐出入库明细!$B$4:$B$2004,"&gt;="&amp;$BC$1,周转筐出入库明细!$B$4:$B$2004,"&lt;="&amp;$BC$2))</f>
        <v>0</v>
      </c>
      <c r="S7" s="25">
        <f>IF(OR($B7="",基础资料!$B$8=""),"",SUMIFS(周转筐出入库明细!$H$4:$H$2004,周转筐出入库明细!$C$4:$C$2004,$B7,周转筐出入库明细!$D$4:$D$2004,基础资料!$B$8,周转筐出入库明细!$F$4:$F$2004,"采购入库",周转筐出入库明细!$B$4:$B$2004,"&gt;="&amp;$BC$1,周转筐出入库明细!$B$4:$B$2004,"&lt;="&amp;$BC$2))</f>
        <v>17472</v>
      </c>
      <c r="T7" s="25">
        <f t="shared" si="3"/>
        <v>17472</v>
      </c>
      <c r="U7" s="25">
        <f>IF(OR($B7="",基础资料!$B$4=""),"",SUMIFS(周转筐出入库明细!$K$4:$K$2004,周转筐出入库明细!$C$4:$C$2004,$B7,周转筐出入库明细!$D$4:$D$2004,基础资料!$B$4,周转筐出入库明细!$B$4:$B$2004,"&gt;="&amp;$BC$1,周转筐出入库明细!$B$4:$B$2004,"&lt;="&amp;$BC$2))</f>
        <v>0</v>
      </c>
      <c r="V7" s="25">
        <f>IF(OR($B7="",基础资料!$B$5=""),"",SUMIFS(周转筐出入库明细!$K$4:$K$2004,周转筐出入库明细!$C$4:$C$2004,$B7,周转筐出入库明细!$D$4:$D$2004,基础资料!$B$5,周转筐出入库明细!$B$4:$B$2004,"&gt;="&amp;$BC$1,周转筐出入库明细!$B$4:$B$2004,"&lt;="&amp;$BC$2))</f>
        <v>0</v>
      </c>
      <c r="W7" s="25">
        <f>IF(OR($B7="",基础资料!$B$6=""),"",SUMIFS(周转筐出入库明细!$K$4:$K$2004,周转筐出入库明细!$C$4:$C$2004,$B7,周转筐出入库明细!$D$4:$D$2004,基础资料!$B$6,周转筐出入库明细!$B$4:$B$2004,"&gt;="&amp;$BC$1,周转筐出入库明细!$B$4:$B$2004,"&lt;="&amp;$BC$2))</f>
        <v>0</v>
      </c>
      <c r="X7" s="25">
        <f>IF(OR($B7="",基础资料!$B$7=""),"",SUMIFS(周转筐出入库明细!$K$4:$K$2004,周转筐出入库明细!$C$4:$C$2004,$B7,周转筐出入库明细!$D$4:$D$2004,基础资料!$B$7,周转筐出入库明细!$B$4:$B$2004,"&gt;="&amp;$BC$1,周转筐出入库明细!$B$4:$B$2004,"&lt;="&amp;$BC$2))</f>
        <v>0</v>
      </c>
      <c r="Y7" s="25">
        <f>IF(OR($B7="",基础资料!$B$8=""),"",SUMIFS(周转筐出入库明细!$K$4:$K$2004,周转筐出入库明细!$C$4:$C$2004,$B7,周转筐出入库明细!$D$4:$D$2004,基础资料!$B$8,周转筐出入库明细!$B$4:$B$2004,"&gt;="&amp;$BC$1,周转筐出入库明细!$B$4:$B$2004,"&lt;="&amp;$BC$2))</f>
        <v>0</v>
      </c>
      <c r="Z7" s="25">
        <f t="shared" si="4"/>
        <v>0</v>
      </c>
      <c r="AA7" s="67">
        <f>IF(OR($B7="",基础资料!$B$4=""),"",-SUMIFS(对接源_01水果筐数!$D$5:$D$304,对接源_01水果筐数!$B$5:$B$304,$B7,对接源_01水果筐数!$C$5:$C$304,基础资料!$B$4))</f>
        <v>0</v>
      </c>
      <c r="AB7" s="67">
        <f>IF(OR($B7="",基础资料!$B$5=""),"",-SUMIFS(对接源_01水果筐数!$D$5:$D$304,对接源_01水果筐数!$B$5:$B$304,$B7,对接源_01水果筐数!$C$5:$C$304,基础资料!$B$5))</f>
        <v>0</v>
      </c>
      <c r="AC7" s="67">
        <f>IF(OR($B7="",基础资料!$B$6=""),"",-SUMIFS(对接源_01水果筐数!$D$5:$D$304,对接源_01水果筐数!$B$5:$B$304,$B7,对接源_01水果筐数!$C$5:$C$304,基础资料!$B$6))</f>
        <v>0</v>
      </c>
      <c r="AD7" s="67">
        <f>IF(OR($B7="",基础资料!$B$7=""),"",-SUMIFS(对接源_01水果筐数!$D$5:$D$304,对接源_01水果筐数!$B$5:$B$304,$B7,对接源_01水果筐数!$C$5:$C$304,基础资料!$B$7))</f>
        <v>0</v>
      </c>
      <c r="AE7" s="67">
        <f>IF(OR($B7="",基础资料!$B$8=""),"",-SUMIFS(对接源_01水果筐数!$D$5:$D$304,对接源_01水果筐数!$B$5:$B$304,$B7,对接源_01水果筐数!$C$5:$C$304,基础资料!$B$8))</f>
        <v>0</v>
      </c>
      <c r="AF7" s="25">
        <f>IF(OR($B7="",基础资料!$B$4=""),"",SUMIFS(对接源_01水果筐数!$E$5:$E$304,对接源_01水果筐数!$B$5:$B$304,$B7,对接源_01水果筐数!$C$5:$C$304,基础资料!$B$4))</f>
        <v>0</v>
      </c>
      <c r="AG7" s="25">
        <f>IF(OR($B7="",基础资料!$B$5=""),"",SUMIFS(对接源_01水果筐数!$E$5:$E$304,对接源_01水果筐数!$B$5:$B$304,$B7,对接源_01水果筐数!$C$5:$C$304,基础资料!$B$5))</f>
        <v>0</v>
      </c>
      <c r="AH7" s="25">
        <f>IF(OR($B7="",基础资料!$B$6=""),"",SUMIFS(对接源_01水果筐数!$E$5:$E$304,对接源_01水果筐数!$B$5:$B$304,$B7,对接源_01水果筐数!$C$5:$C$304,基础资料!$B$6))</f>
        <v>0</v>
      </c>
      <c r="AI7" s="25">
        <f>IF(OR($B7="",基础资料!$B$7=""),"",SUMIFS(对接源_01水果筐数!$E$5:$E$304,对接源_01水果筐数!$B$5:$B$304,$B7,对接源_01水果筐数!$C$5:$C$304,基础资料!$B$7))</f>
        <v>0</v>
      </c>
      <c r="AJ7" s="25">
        <f>IF(OR($B7="",基础资料!$B$8=""),"",SUMIFS(对接源_01水果筐数!$E$5:$E$304,对接源_01水果筐数!$B$5:$B$304,$B7,对接源_01水果筐数!$C$5:$C$304,基础资料!$B$8))</f>
        <v>0</v>
      </c>
      <c r="AK7" s="25">
        <f>IF(OR($B7="",基础资料!$B$4=""),"",SUMIFS(对接源_01水果筐数!$F$5:$F$304,对接源_01水果筐数!$B$5:$B$304,$B7,对接源_01水果筐数!$C$5:$C$304,基础资料!$B$4))</f>
        <v>0</v>
      </c>
      <c r="AL7" s="25">
        <f>IF(OR($B7="",基础资料!$B$5=""),"",SUMIFS(对接源_01水果筐数!$F$5:$F$304,对接源_01水果筐数!$B$5:$B$304,$B7,对接源_01水果筐数!$C$5:$C$304,基础资料!$B$5))</f>
        <v>0</v>
      </c>
      <c r="AM7" s="25">
        <f>IF(OR($B7="",基础资料!$B$6=""),"",SUMIFS(对接源_01水果筐数!$F$5:$F$304,对接源_01水果筐数!$B$5:$B$304,$B7,对接源_01水果筐数!$C$5:$C$304,基础资料!$B$6))</f>
        <v>0</v>
      </c>
      <c r="AN7" s="25">
        <f>IF(OR($B7="",基础资料!$B$7=""),"",SUMIFS(对接源_01水果筐数!$F$5:$F$304,对接源_01水果筐数!$B$5:$B$304,$B7,对接源_01水果筐数!$C$5:$C$304,基础资料!$B$7))</f>
        <v>0</v>
      </c>
      <c r="AO7" s="25">
        <f>IF(OR($B7="",基础资料!$B$8=""),"",SUMIFS(对接源_01水果筐数!$F$5:$F$304,对接源_01水果筐数!$B$5:$B$304,$B7,对接源_01水果筐数!$C$5:$C$304,基础资料!$B$8))</f>
        <v>0</v>
      </c>
      <c r="AP7" s="25">
        <f t="shared" si="5"/>
        <v>0</v>
      </c>
      <c r="AQ7" s="25">
        <f t="shared" si="11"/>
        <v>0</v>
      </c>
      <c r="AR7" s="25">
        <f t="shared" si="6"/>
        <v>0</v>
      </c>
      <c r="AS7" s="25">
        <f t="shared" si="7"/>
        <v>0</v>
      </c>
      <c r="AT7" s="25">
        <f t="shared" si="8"/>
        <v>0</v>
      </c>
      <c r="AU7" s="25">
        <f t="shared" si="9"/>
        <v>0</v>
      </c>
      <c r="AV7" s="24" t="str">
        <f t="shared" si="10"/>
        <v>✔ 已回清</v>
      </c>
      <c r="AW7" s="72"/>
    </row>
    <row r="8" spans="1:55">
      <c r="A8" s="22">
        <f t="shared" si="0"/>
        <v>5</v>
      </c>
      <c r="B8" s="24" t="str">
        <f>IFERROR(INDEX(_自动清单!$CC$4:$CC$253,ROW()-3),"")</f>
        <v>吐尔洪</v>
      </c>
      <c r="C8" s="25">
        <f>IF(OR($B8="",基础资料!$B$4=""),"",SUMIFS(周转筐出入库明细!$J$4:$J$2004,周转筐出入库明细!$C$4:$C$2004,$B8,周转筐出入库明细!$D$4:$D$2004,基础资料!$B$4,周转筐出入库明细!$B$4:$B$2004,"&gt;="&amp;$BC$1,周转筐出入库明细!$B$4:$B$2004,"&lt;="&amp;$BC$2))</f>
        <v>0</v>
      </c>
      <c r="D8" s="25">
        <f>IF(OR($B8="",基础资料!$B$5=""),"",SUMIFS(周转筐出入库明细!$J$4:$J$2004,周转筐出入库明细!$C$4:$C$2004,$B8,周转筐出入库明细!$D$4:$D$2004,基础资料!$B$5,周转筐出入库明细!$B$4:$B$2004,"&gt;="&amp;$BC$1,周转筐出入库明细!$B$4:$B$2004,"&lt;="&amp;$BC$2))</f>
        <v>0</v>
      </c>
      <c r="E8" s="25">
        <f>IF(OR($B8="",基础资料!$B$6=""),"",SUMIFS(周转筐出入库明细!$J$4:$J$2004,周转筐出入库明细!$C$4:$C$2004,$B8,周转筐出入库明细!$D$4:$D$2004,基础资料!$B$6,周转筐出入库明细!$B$4:$B$2004,"&gt;="&amp;$BC$1,周转筐出入库明细!$B$4:$B$2004,"&lt;="&amp;$BC$2))</f>
        <v>0</v>
      </c>
      <c r="F8" s="25">
        <f>IF(OR($B8="",基础资料!$B$7=""),"",SUMIFS(周转筐出入库明细!$J$4:$J$2004,周转筐出入库明细!$C$4:$C$2004,$B8,周转筐出入库明细!$D$4:$D$2004,基础资料!$B$7,周转筐出入库明细!$B$4:$B$2004,"&gt;="&amp;$BC$1,周转筐出入库明细!$B$4:$B$2004,"&lt;="&amp;$BC$2))</f>
        <v>0</v>
      </c>
      <c r="G8" s="25">
        <f>IF(OR($B8="",基础资料!$B$8=""),"",SUMIFS(周转筐出入库明细!$J$4:$J$2004,周转筐出入库明细!$C$4:$C$2004,$B8,周转筐出入库明细!$D$4:$D$2004,基础资料!$B$8,周转筐出入库明细!$B$4:$B$2004,"&gt;="&amp;$BC$1,周转筐出入库明细!$B$4:$B$2004,"&lt;="&amp;$BC$2))</f>
        <v>1755</v>
      </c>
      <c r="H8" s="25">
        <f t="shared" si="1"/>
        <v>1755</v>
      </c>
      <c r="I8" s="67">
        <f>IF(OR($B8="",基础资料!$B$4=""),"",-SUMIFS(周转筐出入库明细!$I$4:$I$2004,周转筐出入库明细!$C$4:$C$2004,$B8,周转筐出入库明细!$D$4:$D$2004,基础资料!$B$4,周转筐出入库明细!$B$4:$B$2004,"&gt;="&amp;$BC$1,周转筐出入库明细!$B$4:$B$2004,"&lt;="&amp;$BC$2))</f>
        <v>0</v>
      </c>
      <c r="J8" s="67">
        <f>IF(OR($B8="",基础资料!$B$5=""),"",-SUMIFS(周转筐出入库明细!$I$4:$I$2004,周转筐出入库明细!$C$4:$C$2004,$B8,周转筐出入库明细!$D$4:$D$2004,基础资料!$B$5,周转筐出入库明细!$B$4:$B$2004,"&gt;="&amp;$BC$1,周转筐出入库明细!$B$4:$B$2004,"&lt;="&amp;$BC$2))</f>
        <v>0</v>
      </c>
      <c r="K8" s="67">
        <f>IF(OR($B8="",基础资料!$B$6=""),"",-SUMIFS(周转筐出入库明细!$I$4:$I$2004,周转筐出入库明细!$C$4:$C$2004,$B8,周转筐出入库明细!$D$4:$D$2004,基础资料!$B$6,周转筐出入库明细!$B$4:$B$2004,"&gt;="&amp;$BC$1,周转筐出入库明细!$B$4:$B$2004,"&lt;="&amp;$BC$2))</f>
        <v>0</v>
      </c>
      <c r="L8" s="67">
        <f>IF(OR($B8="",基础资料!$B$7=""),"",-SUMIFS(周转筐出入库明细!$I$4:$I$2004,周转筐出入库明细!$C$4:$C$2004,$B8,周转筐出入库明细!$D$4:$D$2004,基础资料!$B$7,周转筐出入库明细!$B$4:$B$2004,"&gt;="&amp;$BC$1,周转筐出入库明细!$B$4:$B$2004,"&lt;="&amp;$BC$2))</f>
        <v>0</v>
      </c>
      <c r="M8" s="67">
        <f>IF(OR($B8="",基础资料!$B$8=""),"",-SUMIFS(周转筐出入库明细!$I$4:$I$2004,周转筐出入库明细!$C$4:$C$2004,$B8,周转筐出入库明细!$D$4:$D$2004,基础资料!$B$8,周转筐出入库明细!$B$4:$B$2004,"&gt;="&amp;$BC$1,周转筐出入库明细!$B$4:$B$2004,"&lt;="&amp;$BC$2))</f>
        <v>0</v>
      </c>
      <c r="N8" s="67">
        <f t="shared" si="2"/>
        <v>0</v>
      </c>
      <c r="O8" s="25">
        <f>IF(OR($B8="",基础资料!$B$4=""),"",SUMIFS(周转筐出入库明细!$H$4:$H$2004,周转筐出入库明细!$C$4:$C$2004,$B8,周转筐出入库明细!$D$4:$D$2004,基础资料!$B$4,周转筐出入库明细!$F$4:$F$2004,"采购入库",周转筐出入库明细!$B$4:$B$2004,"&gt;="&amp;$BC$1,周转筐出入库明细!$B$4:$B$2004,"&lt;="&amp;$BC$2))</f>
        <v>0</v>
      </c>
      <c r="P8" s="25">
        <f>IF(OR($B8="",基础资料!$B$5=""),"",SUMIFS(周转筐出入库明细!$H$4:$H$2004,周转筐出入库明细!$C$4:$C$2004,$B8,周转筐出入库明细!$D$4:$D$2004,基础资料!$B$5,周转筐出入库明细!$F$4:$F$2004,"采购入库",周转筐出入库明细!$B$4:$B$2004,"&gt;="&amp;$BC$1,周转筐出入库明细!$B$4:$B$2004,"&lt;="&amp;$BC$2))</f>
        <v>0</v>
      </c>
      <c r="Q8" s="25">
        <f>IF(OR($B8="",基础资料!$B$6=""),"",SUMIFS(周转筐出入库明细!$H$4:$H$2004,周转筐出入库明细!$C$4:$C$2004,$B8,周转筐出入库明细!$D$4:$D$2004,基础资料!$B$6,周转筐出入库明细!$F$4:$F$2004,"采购入库",周转筐出入库明细!$B$4:$B$2004,"&gt;="&amp;$BC$1,周转筐出入库明细!$B$4:$B$2004,"&lt;="&amp;$BC$2))</f>
        <v>0</v>
      </c>
      <c r="R8" s="25">
        <f>IF(OR($B8="",基础资料!$B$7=""),"",SUMIFS(周转筐出入库明细!$H$4:$H$2004,周转筐出入库明细!$C$4:$C$2004,$B8,周转筐出入库明细!$D$4:$D$2004,基础资料!$B$7,周转筐出入库明细!$F$4:$F$2004,"采购入库",周转筐出入库明细!$B$4:$B$2004,"&gt;="&amp;$BC$1,周转筐出入库明细!$B$4:$B$2004,"&lt;="&amp;$BC$2))</f>
        <v>0</v>
      </c>
      <c r="S8" s="25">
        <f>IF(OR($B8="",基础资料!$B$8=""),"",SUMIFS(周转筐出入库明细!$H$4:$H$2004,周转筐出入库明细!$C$4:$C$2004,$B8,周转筐出入库明细!$D$4:$D$2004,基础资料!$B$8,周转筐出入库明细!$F$4:$F$2004,"采购入库",周转筐出入库明细!$B$4:$B$2004,"&gt;="&amp;$BC$1,周转筐出入库明细!$B$4:$B$2004,"&lt;="&amp;$BC$2))</f>
        <v>0</v>
      </c>
      <c r="T8" s="25">
        <f t="shared" si="3"/>
        <v>0</v>
      </c>
      <c r="U8" s="25">
        <f>IF(OR($B8="",基础资料!$B$4=""),"",SUMIFS(周转筐出入库明细!$K$4:$K$2004,周转筐出入库明细!$C$4:$C$2004,$B8,周转筐出入库明细!$D$4:$D$2004,基础资料!$B$4,周转筐出入库明细!$B$4:$B$2004,"&gt;="&amp;$BC$1,周转筐出入库明细!$B$4:$B$2004,"&lt;="&amp;$BC$2))</f>
        <v>0</v>
      </c>
      <c r="V8" s="25">
        <f>IF(OR($B8="",基础资料!$B$5=""),"",SUMIFS(周转筐出入库明细!$K$4:$K$2004,周转筐出入库明细!$C$4:$C$2004,$B8,周转筐出入库明细!$D$4:$D$2004,基础资料!$B$5,周转筐出入库明细!$B$4:$B$2004,"&gt;="&amp;$BC$1,周转筐出入库明细!$B$4:$B$2004,"&lt;="&amp;$BC$2))</f>
        <v>0</v>
      </c>
      <c r="W8" s="25">
        <f>IF(OR($B8="",基础资料!$B$6=""),"",SUMIFS(周转筐出入库明细!$K$4:$K$2004,周转筐出入库明细!$C$4:$C$2004,$B8,周转筐出入库明细!$D$4:$D$2004,基础资料!$B$6,周转筐出入库明细!$B$4:$B$2004,"&gt;="&amp;$BC$1,周转筐出入库明细!$B$4:$B$2004,"&lt;="&amp;$BC$2))</f>
        <v>0</v>
      </c>
      <c r="X8" s="25">
        <f>IF(OR($B8="",基础资料!$B$7=""),"",SUMIFS(周转筐出入库明细!$K$4:$K$2004,周转筐出入库明细!$C$4:$C$2004,$B8,周转筐出入库明细!$D$4:$D$2004,基础资料!$B$7,周转筐出入库明细!$B$4:$B$2004,"&gt;="&amp;$BC$1,周转筐出入库明细!$B$4:$B$2004,"&lt;="&amp;$BC$2))</f>
        <v>0</v>
      </c>
      <c r="Y8" s="25">
        <f>IF(OR($B8="",基础资料!$B$8=""),"",SUMIFS(周转筐出入库明细!$K$4:$K$2004,周转筐出入库明细!$C$4:$C$2004,$B8,周转筐出入库明细!$D$4:$D$2004,基础资料!$B$8,周转筐出入库明细!$B$4:$B$2004,"&gt;="&amp;$BC$1,周转筐出入库明细!$B$4:$B$2004,"&lt;="&amp;$BC$2))</f>
        <v>0</v>
      </c>
      <c r="Z8" s="25">
        <f t="shared" si="4"/>
        <v>0</v>
      </c>
      <c r="AA8" s="67">
        <f>IF(OR($B8="",基础资料!$B$4=""),"",-SUMIFS(对接源_01水果筐数!$D$5:$D$304,对接源_01水果筐数!$B$5:$B$304,$B8,对接源_01水果筐数!$C$5:$C$304,基础资料!$B$4))</f>
        <v>0</v>
      </c>
      <c r="AB8" s="67">
        <f>IF(OR($B8="",基础资料!$B$5=""),"",-SUMIFS(对接源_01水果筐数!$D$5:$D$304,对接源_01水果筐数!$B$5:$B$304,$B8,对接源_01水果筐数!$C$5:$C$304,基础资料!$B$5))</f>
        <v>0</v>
      </c>
      <c r="AC8" s="67">
        <f>IF(OR($B8="",基础资料!$B$6=""),"",-SUMIFS(对接源_01水果筐数!$D$5:$D$304,对接源_01水果筐数!$B$5:$B$304,$B8,对接源_01水果筐数!$C$5:$C$304,基础资料!$B$6))</f>
        <v>0</v>
      </c>
      <c r="AD8" s="67">
        <f>IF(OR($B8="",基础资料!$B$7=""),"",-SUMIFS(对接源_01水果筐数!$D$5:$D$304,对接源_01水果筐数!$B$5:$B$304,$B8,对接源_01水果筐数!$C$5:$C$304,基础资料!$B$7))</f>
        <v>0</v>
      </c>
      <c r="AE8" s="67">
        <f>IF(OR($B8="",基础资料!$B$8=""),"",-SUMIFS(对接源_01水果筐数!$D$5:$D$304,对接源_01水果筐数!$B$5:$B$304,$B8,对接源_01水果筐数!$C$5:$C$304,基础资料!$B$8))</f>
        <v>-1195</v>
      </c>
      <c r="AF8" s="25">
        <f>IF(OR($B8="",基础资料!$B$4=""),"",SUMIFS(对接源_01水果筐数!$E$5:$E$304,对接源_01水果筐数!$B$5:$B$304,$B8,对接源_01水果筐数!$C$5:$C$304,基础资料!$B$4))</f>
        <v>0</v>
      </c>
      <c r="AG8" s="25">
        <f>IF(OR($B8="",基础资料!$B$5=""),"",SUMIFS(对接源_01水果筐数!$E$5:$E$304,对接源_01水果筐数!$B$5:$B$304,$B8,对接源_01水果筐数!$C$5:$C$304,基础资料!$B$5))</f>
        <v>0</v>
      </c>
      <c r="AH8" s="25">
        <f>IF(OR($B8="",基础资料!$B$6=""),"",SUMIFS(对接源_01水果筐数!$E$5:$E$304,对接源_01水果筐数!$B$5:$B$304,$B8,对接源_01水果筐数!$C$5:$C$304,基础资料!$B$6))</f>
        <v>0</v>
      </c>
      <c r="AI8" s="25">
        <f>IF(OR($B8="",基础资料!$B$7=""),"",SUMIFS(对接源_01水果筐数!$E$5:$E$304,对接源_01水果筐数!$B$5:$B$304,$B8,对接源_01水果筐数!$C$5:$C$304,基础资料!$B$7))</f>
        <v>0</v>
      </c>
      <c r="AJ8" s="25">
        <f>IF(OR($B8="",基础资料!$B$8=""),"",SUMIFS(对接源_01水果筐数!$E$5:$E$304,对接源_01水果筐数!$B$5:$B$304,$B8,对接源_01水果筐数!$C$5:$C$304,基础资料!$B$8))</f>
        <v>0</v>
      </c>
      <c r="AK8" s="25">
        <f>IF(OR($B8="",基础资料!$B$4=""),"",SUMIFS(对接源_01水果筐数!$F$5:$F$304,对接源_01水果筐数!$B$5:$B$304,$B8,对接源_01水果筐数!$C$5:$C$304,基础资料!$B$4))</f>
        <v>0</v>
      </c>
      <c r="AL8" s="25">
        <f>IF(OR($B8="",基础资料!$B$5=""),"",SUMIFS(对接源_01水果筐数!$F$5:$F$304,对接源_01水果筐数!$B$5:$B$304,$B8,对接源_01水果筐数!$C$5:$C$304,基础资料!$B$5))</f>
        <v>0</v>
      </c>
      <c r="AM8" s="25">
        <f>IF(OR($B8="",基础资料!$B$6=""),"",SUMIFS(对接源_01水果筐数!$F$5:$F$304,对接源_01水果筐数!$B$5:$B$304,$B8,对接源_01水果筐数!$C$5:$C$304,基础资料!$B$6))</f>
        <v>0</v>
      </c>
      <c r="AN8" s="25">
        <f>IF(OR($B8="",基础资料!$B$7=""),"",SUMIFS(对接源_01水果筐数!$F$5:$F$304,对接源_01水果筐数!$B$5:$B$304,$B8,对接源_01水果筐数!$C$5:$C$304,基础资料!$B$7))</f>
        <v>0</v>
      </c>
      <c r="AO8" s="25">
        <f>IF(OR($B8="",基础资料!$B$8=""),"",SUMIFS(对接源_01水果筐数!$F$5:$F$304,对接源_01水果筐数!$B$5:$B$304,$B8,对接源_01水果筐数!$C$5:$C$304,基础资料!$B$8))</f>
        <v>0</v>
      </c>
      <c r="AP8" s="25">
        <f t="shared" si="5"/>
        <v>0</v>
      </c>
      <c r="AQ8" s="25">
        <f t="shared" si="11"/>
        <v>0</v>
      </c>
      <c r="AR8" s="25">
        <f t="shared" si="6"/>
        <v>0</v>
      </c>
      <c r="AS8" s="25">
        <f t="shared" si="7"/>
        <v>0</v>
      </c>
      <c r="AT8" s="25">
        <f t="shared" si="8"/>
        <v>560</v>
      </c>
      <c r="AU8" s="25">
        <f t="shared" si="9"/>
        <v>560</v>
      </c>
      <c r="AV8" s="24" t="str">
        <f t="shared" si="10"/>
        <v>⚠ 有 560 个筐未回</v>
      </c>
      <c r="AW8" s="72"/>
    </row>
    <row r="9" spans="1:55">
      <c r="A9" s="22">
        <f t="shared" si="0"/>
        <v>6</v>
      </c>
      <c r="B9" s="24" t="str">
        <f>IFERROR(INDEX(_自动清单!$CC$4:$CC$253,ROW()-3),"")</f>
        <v>热合曼</v>
      </c>
      <c r="C9" s="25">
        <f>IF(OR($B9="",基础资料!$B$4=""),"",SUMIFS(周转筐出入库明细!$J$4:$J$2004,周转筐出入库明细!$C$4:$C$2004,$B9,周转筐出入库明细!$D$4:$D$2004,基础资料!$B$4,周转筐出入库明细!$B$4:$B$2004,"&gt;="&amp;$BC$1,周转筐出入库明细!$B$4:$B$2004,"&lt;="&amp;$BC$2))</f>
        <v>0</v>
      </c>
      <c r="D9" s="25">
        <f>IF(OR($B9="",基础资料!$B$5=""),"",SUMIFS(周转筐出入库明细!$J$4:$J$2004,周转筐出入库明细!$C$4:$C$2004,$B9,周转筐出入库明细!$D$4:$D$2004,基础资料!$B$5,周转筐出入库明细!$B$4:$B$2004,"&gt;="&amp;$BC$1,周转筐出入库明细!$B$4:$B$2004,"&lt;="&amp;$BC$2))</f>
        <v>0</v>
      </c>
      <c r="E9" s="25">
        <f>IF(OR($B9="",基础资料!$B$6=""),"",SUMIFS(周转筐出入库明细!$J$4:$J$2004,周转筐出入库明细!$C$4:$C$2004,$B9,周转筐出入库明细!$D$4:$D$2004,基础资料!$B$6,周转筐出入库明细!$B$4:$B$2004,"&gt;="&amp;$BC$1,周转筐出入库明细!$B$4:$B$2004,"&lt;="&amp;$BC$2))</f>
        <v>0</v>
      </c>
      <c r="F9" s="25">
        <f>IF(OR($B9="",基础资料!$B$7=""),"",SUMIFS(周转筐出入库明细!$J$4:$J$2004,周转筐出入库明细!$C$4:$C$2004,$B9,周转筐出入库明细!$D$4:$D$2004,基础资料!$B$7,周转筐出入库明细!$B$4:$B$2004,"&gt;="&amp;$BC$1,周转筐出入库明细!$B$4:$B$2004,"&lt;="&amp;$BC$2))</f>
        <v>0</v>
      </c>
      <c r="G9" s="25">
        <f>IF(OR($B9="",基础资料!$B$8=""),"",SUMIFS(周转筐出入库明细!$J$4:$J$2004,周转筐出入库明细!$C$4:$C$2004,$B9,周转筐出入库明细!$D$4:$D$2004,基础资料!$B$8,周转筐出入库明细!$B$4:$B$2004,"&gt;="&amp;$BC$1,周转筐出入库明细!$B$4:$B$2004,"&lt;="&amp;$BC$2))</f>
        <v>2538</v>
      </c>
      <c r="H9" s="25">
        <f t="shared" si="1"/>
        <v>2538</v>
      </c>
      <c r="I9" s="67">
        <f>IF(OR($B9="",基础资料!$B$4=""),"",-SUMIFS(周转筐出入库明细!$I$4:$I$2004,周转筐出入库明细!$C$4:$C$2004,$B9,周转筐出入库明细!$D$4:$D$2004,基础资料!$B$4,周转筐出入库明细!$B$4:$B$2004,"&gt;="&amp;$BC$1,周转筐出入库明细!$B$4:$B$2004,"&lt;="&amp;$BC$2))</f>
        <v>0</v>
      </c>
      <c r="J9" s="67">
        <f>IF(OR($B9="",基础资料!$B$5=""),"",-SUMIFS(周转筐出入库明细!$I$4:$I$2004,周转筐出入库明细!$C$4:$C$2004,$B9,周转筐出入库明细!$D$4:$D$2004,基础资料!$B$5,周转筐出入库明细!$B$4:$B$2004,"&gt;="&amp;$BC$1,周转筐出入库明细!$B$4:$B$2004,"&lt;="&amp;$BC$2))</f>
        <v>0</v>
      </c>
      <c r="K9" s="67">
        <f>IF(OR($B9="",基础资料!$B$6=""),"",-SUMIFS(周转筐出入库明细!$I$4:$I$2004,周转筐出入库明细!$C$4:$C$2004,$B9,周转筐出入库明细!$D$4:$D$2004,基础资料!$B$6,周转筐出入库明细!$B$4:$B$2004,"&gt;="&amp;$BC$1,周转筐出入库明细!$B$4:$B$2004,"&lt;="&amp;$BC$2))</f>
        <v>0</v>
      </c>
      <c r="L9" s="67">
        <f>IF(OR($B9="",基础资料!$B$7=""),"",-SUMIFS(周转筐出入库明细!$I$4:$I$2004,周转筐出入库明细!$C$4:$C$2004,$B9,周转筐出入库明细!$D$4:$D$2004,基础资料!$B$7,周转筐出入库明细!$B$4:$B$2004,"&gt;="&amp;$BC$1,周转筐出入库明细!$B$4:$B$2004,"&lt;="&amp;$BC$2))</f>
        <v>0</v>
      </c>
      <c r="M9" s="67">
        <f>IF(OR($B9="",基础资料!$B$8=""),"",-SUMIFS(周转筐出入库明细!$I$4:$I$2004,周转筐出入库明细!$C$4:$C$2004,$B9,周转筐出入库明细!$D$4:$D$2004,基础资料!$B$8,周转筐出入库明细!$B$4:$B$2004,"&gt;="&amp;$BC$1,周转筐出入库明细!$B$4:$B$2004,"&lt;="&amp;$BC$2))</f>
        <v>0</v>
      </c>
      <c r="N9" s="67">
        <f t="shared" si="2"/>
        <v>0</v>
      </c>
      <c r="O9" s="25">
        <f>IF(OR($B9="",基础资料!$B$4=""),"",SUMIFS(周转筐出入库明细!$H$4:$H$2004,周转筐出入库明细!$C$4:$C$2004,$B9,周转筐出入库明细!$D$4:$D$2004,基础资料!$B$4,周转筐出入库明细!$F$4:$F$2004,"采购入库",周转筐出入库明细!$B$4:$B$2004,"&gt;="&amp;$BC$1,周转筐出入库明细!$B$4:$B$2004,"&lt;="&amp;$BC$2))</f>
        <v>0</v>
      </c>
      <c r="P9" s="25">
        <f>IF(OR($B9="",基础资料!$B$5=""),"",SUMIFS(周转筐出入库明细!$H$4:$H$2004,周转筐出入库明细!$C$4:$C$2004,$B9,周转筐出入库明细!$D$4:$D$2004,基础资料!$B$5,周转筐出入库明细!$F$4:$F$2004,"采购入库",周转筐出入库明细!$B$4:$B$2004,"&gt;="&amp;$BC$1,周转筐出入库明细!$B$4:$B$2004,"&lt;="&amp;$BC$2))</f>
        <v>0</v>
      </c>
      <c r="Q9" s="25">
        <f>IF(OR($B9="",基础资料!$B$6=""),"",SUMIFS(周转筐出入库明细!$H$4:$H$2004,周转筐出入库明细!$C$4:$C$2004,$B9,周转筐出入库明细!$D$4:$D$2004,基础资料!$B$6,周转筐出入库明细!$F$4:$F$2004,"采购入库",周转筐出入库明细!$B$4:$B$2004,"&gt;="&amp;$BC$1,周转筐出入库明细!$B$4:$B$2004,"&lt;="&amp;$BC$2))</f>
        <v>0</v>
      </c>
      <c r="R9" s="25">
        <f>IF(OR($B9="",基础资料!$B$7=""),"",SUMIFS(周转筐出入库明细!$H$4:$H$2004,周转筐出入库明细!$C$4:$C$2004,$B9,周转筐出入库明细!$D$4:$D$2004,基础资料!$B$7,周转筐出入库明细!$F$4:$F$2004,"采购入库",周转筐出入库明细!$B$4:$B$2004,"&gt;="&amp;$BC$1,周转筐出入库明细!$B$4:$B$2004,"&lt;="&amp;$BC$2))</f>
        <v>0</v>
      </c>
      <c r="S9" s="25">
        <f>IF(OR($B9="",基础资料!$B$8=""),"",SUMIFS(周转筐出入库明细!$H$4:$H$2004,周转筐出入库明细!$C$4:$C$2004,$B9,周转筐出入库明细!$D$4:$D$2004,基础资料!$B$8,周转筐出入库明细!$F$4:$F$2004,"采购入库",周转筐出入库明细!$B$4:$B$2004,"&gt;="&amp;$BC$1,周转筐出入库明细!$B$4:$B$2004,"&lt;="&amp;$BC$2))</f>
        <v>0</v>
      </c>
      <c r="T9" s="25">
        <f t="shared" si="3"/>
        <v>0</v>
      </c>
      <c r="U9" s="25">
        <f>IF(OR($B9="",基础资料!$B$4=""),"",SUMIFS(周转筐出入库明细!$K$4:$K$2004,周转筐出入库明细!$C$4:$C$2004,$B9,周转筐出入库明细!$D$4:$D$2004,基础资料!$B$4,周转筐出入库明细!$B$4:$B$2004,"&gt;="&amp;$BC$1,周转筐出入库明细!$B$4:$B$2004,"&lt;="&amp;$BC$2))</f>
        <v>0</v>
      </c>
      <c r="V9" s="25">
        <f>IF(OR($B9="",基础资料!$B$5=""),"",SUMIFS(周转筐出入库明细!$K$4:$K$2004,周转筐出入库明细!$C$4:$C$2004,$B9,周转筐出入库明细!$D$4:$D$2004,基础资料!$B$5,周转筐出入库明细!$B$4:$B$2004,"&gt;="&amp;$BC$1,周转筐出入库明细!$B$4:$B$2004,"&lt;="&amp;$BC$2))</f>
        <v>0</v>
      </c>
      <c r="W9" s="25">
        <f>IF(OR($B9="",基础资料!$B$6=""),"",SUMIFS(周转筐出入库明细!$K$4:$K$2004,周转筐出入库明细!$C$4:$C$2004,$B9,周转筐出入库明细!$D$4:$D$2004,基础资料!$B$6,周转筐出入库明细!$B$4:$B$2004,"&gt;="&amp;$BC$1,周转筐出入库明细!$B$4:$B$2004,"&lt;="&amp;$BC$2))</f>
        <v>0</v>
      </c>
      <c r="X9" s="25">
        <f>IF(OR($B9="",基础资料!$B$7=""),"",SUMIFS(周转筐出入库明细!$K$4:$K$2004,周转筐出入库明细!$C$4:$C$2004,$B9,周转筐出入库明细!$D$4:$D$2004,基础资料!$B$7,周转筐出入库明细!$B$4:$B$2004,"&gt;="&amp;$BC$1,周转筐出入库明细!$B$4:$B$2004,"&lt;="&amp;$BC$2))</f>
        <v>0</v>
      </c>
      <c r="Y9" s="25">
        <f>IF(OR($B9="",基础资料!$B$8=""),"",SUMIFS(周转筐出入库明细!$K$4:$K$2004,周转筐出入库明细!$C$4:$C$2004,$B9,周转筐出入库明细!$D$4:$D$2004,基础资料!$B$8,周转筐出入库明细!$B$4:$B$2004,"&gt;="&amp;$BC$1,周转筐出入库明细!$B$4:$B$2004,"&lt;="&amp;$BC$2))</f>
        <v>0</v>
      </c>
      <c r="Z9" s="25">
        <f t="shared" si="4"/>
        <v>0</v>
      </c>
      <c r="AA9" s="67">
        <f>IF(OR($B9="",基础资料!$B$4=""),"",-SUMIFS(对接源_01水果筐数!$D$5:$D$304,对接源_01水果筐数!$B$5:$B$304,$B9,对接源_01水果筐数!$C$5:$C$304,基础资料!$B$4))</f>
        <v>0</v>
      </c>
      <c r="AB9" s="67">
        <f>IF(OR($B9="",基础资料!$B$5=""),"",-SUMIFS(对接源_01水果筐数!$D$5:$D$304,对接源_01水果筐数!$B$5:$B$304,$B9,对接源_01水果筐数!$C$5:$C$304,基础资料!$B$5))</f>
        <v>0</v>
      </c>
      <c r="AC9" s="67">
        <f>IF(OR($B9="",基础资料!$B$6=""),"",-SUMIFS(对接源_01水果筐数!$D$5:$D$304,对接源_01水果筐数!$B$5:$B$304,$B9,对接源_01水果筐数!$C$5:$C$304,基础资料!$B$6))</f>
        <v>0</v>
      </c>
      <c r="AD9" s="67">
        <f>IF(OR($B9="",基础资料!$B$7=""),"",-SUMIFS(对接源_01水果筐数!$D$5:$D$304,对接源_01水果筐数!$B$5:$B$304,$B9,对接源_01水果筐数!$C$5:$C$304,基础资料!$B$7))</f>
        <v>0</v>
      </c>
      <c r="AE9" s="67">
        <f>IF(OR($B9="",基础资料!$B$8=""),"",-SUMIFS(对接源_01水果筐数!$D$5:$D$304,对接源_01水果筐数!$B$5:$B$304,$B9,对接源_01水果筐数!$C$5:$C$304,基础资料!$B$8))</f>
        <v>-1521</v>
      </c>
      <c r="AF9" s="25">
        <f>IF(OR($B9="",基础资料!$B$4=""),"",SUMIFS(对接源_01水果筐数!$E$5:$E$304,对接源_01水果筐数!$B$5:$B$304,$B9,对接源_01水果筐数!$C$5:$C$304,基础资料!$B$4))</f>
        <v>0</v>
      </c>
      <c r="AG9" s="25">
        <f>IF(OR($B9="",基础资料!$B$5=""),"",SUMIFS(对接源_01水果筐数!$E$5:$E$304,对接源_01水果筐数!$B$5:$B$304,$B9,对接源_01水果筐数!$C$5:$C$304,基础资料!$B$5))</f>
        <v>0</v>
      </c>
      <c r="AH9" s="25">
        <f>IF(OR($B9="",基础资料!$B$6=""),"",SUMIFS(对接源_01水果筐数!$E$5:$E$304,对接源_01水果筐数!$B$5:$B$304,$B9,对接源_01水果筐数!$C$5:$C$304,基础资料!$B$6))</f>
        <v>0</v>
      </c>
      <c r="AI9" s="25">
        <f>IF(OR($B9="",基础资料!$B$7=""),"",SUMIFS(对接源_01水果筐数!$E$5:$E$304,对接源_01水果筐数!$B$5:$B$304,$B9,对接源_01水果筐数!$C$5:$C$304,基础资料!$B$7))</f>
        <v>0</v>
      </c>
      <c r="AJ9" s="25">
        <f>IF(OR($B9="",基础资料!$B$8=""),"",SUMIFS(对接源_01水果筐数!$E$5:$E$304,对接源_01水果筐数!$B$5:$B$304,$B9,对接源_01水果筐数!$C$5:$C$304,基础资料!$B$8))</f>
        <v>0</v>
      </c>
      <c r="AK9" s="25">
        <f>IF(OR($B9="",基础资料!$B$4=""),"",SUMIFS(对接源_01水果筐数!$F$5:$F$304,对接源_01水果筐数!$B$5:$B$304,$B9,对接源_01水果筐数!$C$5:$C$304,基础资料!$B$4))</f>
        <v>0</v>
      </c>
      <c r="AL9" s="25">
        <f>IF(OR($B9="",基础资料!$B$5=""),"",SUMIFS(对接源_01水果筐数!$F$5:$F$304,对接源_01水果筐数!$B$5:$B$304,$B9,对接源_01水果筐数!$C$5:$C$304,基础资料!$B$5))</f>
        <v>0</v>
      </c>
      <c r="AM9" s="25">
        <f>IF(OR($B9="",基础资料!$B$6=""),"",SUMIFS(对接源_01水果筐数!$F$5:$F$304,对接源_01水果筐数!$B$5:$B$304,$B9,对接源_01水果筐数!$C$5:$C$304,基础资料!$B$6))</f>
        <v>0</v>
      </c>
      <c r="AN9" s="25">
        <f>IF(OR($B9="",基础资料!$B$7=""),"",SUMIFS(对接源_01水果筐数!$F$5:$F$304,对接源_01水果筐数!$B$5:$B$304,$B9,对接源_01水果筐数!$C$5:$C$304,基础资料!$B$7))</f>
        <v>0</v>
      </c>
      <c r="AO9" s="25">
        <f>IF(OR($B9="",基础资料!$B$8=""),"",SUMIFS(对接源_01水果筐数!$F$5:$F$304,对接源_01水果筐数!$B$5:$B$304,$B9,对接源_01水果筐数!$C$5:$C$304,基础资料!$B$8))</f>
        <v>0</v>
      </c>
      <c r="AP9" s="25">
        <f t="shared" si="5"/>
        <v>0</v>
      </c>
      <c r="AQ9" s="25">
        <f t="shared" si="11"/>
        <v>0</v>
      </c>
      <c r="AR9" s="25">
        <f t="shared" si="6"/>
        <v>0</v>
      </c>
      <c r="AS9" s="25">
        <f t="shared" si="7"/>
        <v>0</v>
      </c>
      <c r="AT9" s="25">
        <f t="shared" si="8"/>
        <v>1017</v>
      </c>
      <c r="AU9" s="25">
        <f t="shared" si="9"/>
        <v>1017</v>
      </c>
      <c r="AV9" s="24" t="str">
        <f t="shared" si="10"/>
        <v>⚠ 有 1017 个筐未回</v>
      </c>
      <c r="AW9" s="72"/>
    </row>
    <row r="10" spans="1:55">
      <c r="A10" s="22">
        <f t="shared" si="0"/>
        <v>7</v>
      </c>
      <c r="B10" s="24" t="str">
        <f>IFERROR(INDEX(_自动清单!$CC$4:$CC$253,ROW()-3),"")</f>
        <v>王灵云</v>
      </c>
      <c r="C10" s="25">
        <f>IF(OR($B10="",基础资料!$B$4=""),"",SUMIFS(周转筐出入库明细!$J$4:$J$2004,周转筐出入库明细!$C$4:$C$2004,$B10,周转筐出入库明细!$D$4:$D$2004,基础资料!$B$4,周转筐出入库明细!$B$4:$B$2004,"&gt;="&amp;$BC$1,周转筐出入库明细!$B$4:$B$2004,"&lt;="&amp;$BC$2))</f>
        <v>0</v>
      </c>
      <c r="D10" s="25">
        <f>IF(OR($B10="",基础资料!$B$5=""),"",SUMIFS(周转筐出入库明细!$J$4:$J$2004,周转筐出入库明细!$C$4:$C$2004,$B10,周转筐出入库明细!$D$4:$D$2004,基础资料!$B$5,周转筐出入库明细!$B$4:$B$2004,"&gt;="&amp;$BC$1,周转筐出入库明细!$B$4:$B$2004,"&lt;="&amp;$BC$2))</f>
        <v>0</v>
      </c>
      <c r="E10" s="25">
        <f>IF(OR($B10="",基础资料!$B$6=""),"",SUMIFS(周转筐出入库明细!$J$4:$J$2004,周转筐出入库明细!$C$4:$C$2004,$B10,周转筐出入库明细!$D$4:$D$2004,基础资料!$B$6,周转筐出入库明细!$B$4:$B$2004,"&gt;="&amp;$BC$1,周转筐出入库明细!$B$4:$B$2004,"&lt;="&amp;$BC$2))</f>
        <v>0</v>
      </c>
      <c r="F10" s="25">
        <f>IF(OR($B10="",基础资料!$B$7=""),"",SUMIFS(周转筐出入库明细!$J$4:$J$2004,周转筐出入库明细!$C$4:$C$2004,$B10,周转筐出入库明细!$D$4:$D$2004,基础资料!$B$7,周转筐出入库明细!$B$4:$B$2004,"&gt;="&amp;$BC$1,周转筐出入库明细!$B$4:$B$2004,"&lt;="&amp;$BC$2))</f>
        <v>0</v>
      </c>
      <c r="G10" s="25">
        <f>IF(OR($B10="",基础资料!$B$8=""),"",SUMIFS(周转筐出入库明细!$J$4:$J$2004,周转筐出入库明细!$C$4:$C$2004,$B10,周转筐出入库明细!$D$4:$D$2004,基础资料!$B$8,周转筐出入库明细!$B$4:$B$2004,"&gt;="&amp;$BC$1,周转筐出入库明细!$B$4:$B$2004,"&lt;="&amp;$BC$2))</f>
        <v>2880</v>
      </c>
      <c r="H10" s="25">
        <f t="shared" si="1"/>
        <v>2880</v>
      </c>
      <c r="I10" s="67">
        <f>IF(OR($B10="",基础资料!$B$4=""),"",-SUMIFS(周转筐出入库明细!$I$4:$I$2004,周转筐出入库明细!$C$4:$C$2004,$B10,周转筐出入库明细!$D$4:$D$2004,基础资料!$B$4,周转筐出入库明细!$B$4:$B$2004,"&gt;="&amp;$BC$1,周转筐出入库明细!$B$4:$B$2004,"&lt;="&amp;$BC$2))</f>
        <v>0</v>
      </c>
      <c r="J10" s="67">
        <f>IF(OR($B10="",基础资料!$B$5=""),"",-SUMIFS(周转筐出入库明细!$I$4:$I$2004,周转筐出入库明细!$C$4:$C$2004,$B10,周转筐出入库明细!$D$4:$D$2004,基础资料!$B$5,周转筐出入库明细!$B$4:$B$2004,"&gt;="&amp;$BC$1,周转筐出入库明细!$B$4:$B$2004,"&lt;="&amp;$BC$2))</f>
        <v>0</v>
      </c>
      <c r="K10" s="67">
        <f>IF(OR($B10="",基础资料!$B$6=""),"",-SUMIFS(周转筐出入库明细!$I$4:$I$2004,周转筐出入库明细!$C$4:$C$2004,$B10,周转筐出入库明细!$D$4:$D$2004,基础资料!$B$6,周转筐出入库明细!$B$4:$B$2004,"&gt;="&amp;$BC$1,周转筐出入库明细!$B$4:$B$2004,"&lt;="&amp;$BC$2))</f>
        <v>0</v>
      </c>
      <c r="L10" s="67">
        <f>IF(OR($B10="",基础资料!$B$7=""),"",-SUMIFS(周转筐出入库明细!$I$4:$I$2004,周转筐出入库明细!$C$4:$C$2004,$B10,周转筐出入库明细!$D$4:$D$2004,基础资料!$B$7,周转筐出入库明细!$B$4:$B$2004,"&gt;="&amp;$BC$1,周转筐出入库明细!$B$4:$B$2004,"&lt;="&amp;$BC$2))</f>
        <v>0</v>
      </c>
      <c r="M10" s="67">
        <f>IF(OR($B10="",基础资料!$B$8=""),"",-SUMIFS(周转筐出入库明细!$I$4:$I$2004,周转筐出入库明细!$C$4:$C$2004,$B10,周转筐出入库明细!$D$4:$D$2004,基础资料!$B$8,周转筐出入库明细!$B$4:$B$2004,"&gt;="&amp;$BC$1,周转筐出入库明细!$B$4:$B$2004,"&lt;="&amp;$BC$2))</f>
        <v>0</v>
      </c>
      <c r="N10" s="67">
        <f t="shared" si="2"/>
        <v>0</v>
      </c>
      <c r="O10" s="25">
        <f>IF(OR($B10="",基础资料!$B$4=""),"",SUMIFS(周转筐出入库明细!$H$4:$H$2004,周转筐出入库明细!$C$4:$C$2004,$B10,周转筐出入库明细!$D$4:$D$2004,基础资料!$B$4,周转筐出入库明细!$F$4:$F$2004,"采购入库",周转筐出入库明细!$B$4:$B$2004,"&gt;="&amp;$BC$1,周转筐出入库明细!$B$4:$B$2004,"&lt;="&amp;$BC$2))</f>
        <v>0</v>
      </c>
      <c r="P10" s="25">
        <f>IF(OR($B10="",基础资料!$B$5=""),"",SUMIFS(周转筐出入库明细!$H$4:$H$2004,周转筐出入库明细!$C$4:$C$2004,$B10,周转筐出入库明细!$D$4:$D$2004,基础资料!$B$5,周转筐出入库明细!$F$4:$F$2004,"采购入库",周转筐出入库明细!$B$4:$B$2004,"&gt;="&amp;$BC$1,周转筐出入库明细!$B$4:$B$2004,"&lt;="&amp;$BC$2))</f>
        <v>0</v>
      </c>
      <c r="Q10" s="25">
        <f>IF(OR($B10="",基础资料!$B$6=""),"",SUMIFS(周转筐出入库明细!$H$4:$H$2004,周转筐出入库明细!$C$4:$C$2004,$B10,周转筐出入库明细!$D$4:$D$2004,基础资料!$B$6,周转筐出入库明细!$F$4:$F$2004,"采购入库",周转筐出入库明细!$B$4:$B$2004,"&gt;="&amp;$BC$1,周转筐出入库明细!$B$4:$B$2004,"&lt;="&amp;$BC$2))</f>
        <v>0</v>
      </c>
      <c r="R10" s="25">
        <f>IF(OR($B10="",基础资料!$B$7=""),"",SUMIFS(周转筐出入库明细!$H$4:$H$2004,周转筐出入库明细!$C$4:$C$2004,$B10,周转筐出入库明细!$D$4:$D$2004,基础资料!$B$7,周转筐出入库明细!$F$4:$F$2004,"采购入库",周转筐出入库明细!$B$4:$B$2004,"&gt;="&amp;$BC$1,周转筐出入库明细!$B$4:$B$2004,"&lt;="&amp;$BC$2))</f>
        <v>0</v>
      </c>
      <c r="S10" s="25">
        <f>IF(OR($B10="",基础资料!$B$8=""),"",SUMIFS(周转筐出入库明细!$H$4:$H$2004,周转筐出入库明细!$C$4:$C$2004,$B10,周转筐出入库明细!$D$4:$D$2004,基础资料!$B$8,周转筐出入库明细!$F$4:$F$2004,"采购入库",周转筐出入库明细!$B$4:$B$2004,"&gt;="&amp;$BC$1,周转筐出入库明细!$B$4:$B$2004,"&lt;="&amp;$BC$2))</f>
        <v>0</v>
      </c>
      <c r="T10" s="25">
        <f t="shared" si="3"/>
        <v>0</v>
      </c>
      <c r="U10" s="25">
        <f>IF(OR($B10="",基础资料!$B$4=""),"",SUMIFS(周转筐出入库明细!$K$4:$K$2004,周转筐出入库明细!$C$4:$C$2004,$B10,周转筐出入库明细!$D$4:$D$2004,基础资料!$B$4,周转筐出入库明细!$B$4:$B$2004,"&gt;="&amp;$BC$1,周转筐出入库明细!$B$4:$B$2004,"&lt;="&amp;$BC$2))</f>
        <v>0</v>
      </c>
      <c r="V10" s="25">
        <f>IF(OR($B10="",基础资料!$B$5=""),"",SUMIFS(周转筐出入库明细!$K$4:$K$2004,周转筐出入库明细!$C$4:$C$2004,$B10,周转筐出入库明细!$D$4:$D$2004,基础资料!$B$5,周转筐出入库明细!$B$4:$B$2004,"&gt;="&amp;$BC$1,周转筐出入库明细!$B$4:$B$2004,"&lt;="&amp;$BC$2))</f>
        <v>0</v>
      </c>
      <c r="W10" s="25">
        <f>IF(OR($B10="",基础资料!$B$6=""),"",SUMIFS(周转筐出入库明细!$K$4:$K$2004,周转筐出入库明细!$C$4:$C$2004,$B10,周转筐出入库明细!$D$4:$D$2004,基础资料!$B$6,周转筐出入库明细!$B$4:$B$2004,"&gt;="&amp;$BC$1,周转筐出入库明细!$B$4:$B$2004,"&lt;="&amp;$BC$2))</f>
        <v>0</v>
      </c>
      <c r="X10" s="25">
        <f>IF(OR($B10="",基础资料!$B$7=""),"",SUMIFS(周转筐出入库明细!$K$4:$K$2004,周转筐出入库明细!$C$4:$C$2004,$B10,周转筐出入库明细!$D$4:$D$2004,基础资料!$B$7,周转筐出入库明细!$B$4:$B$2004,"&gt;="&amp;$BC$1,周转筐出入库明细!$B$4:$B$2004,"&lt;="&amp;$BC$2))</f>
        <v>0</v>
      </c>
      <c r="Y10" s="25">
        <f>IF(OR($B10="",基础资料!$B$8=""),"",SUMIFS(周转筐出入库明细!$K$4:$K$2004,周转筐出入库明细!$C$4:$C$2004,$B10,周转筐出入库明细!$D$4:$D$2004,基础资料!$B$8,周转筐出入库明细!$B$4:$B$2004,"&gt;="&amp;$BC$1,周转筐出入库明细!$B$4:$B$2004,"&lt;="&amp;$BC$2))</f>
        <v>960</v>
      </c>
      <c r="Z10" s="25">
        <f t="shared" si="4"/>
        <v>960</v>
      </c>
      <c r="AA10" s="67">
        <f>IF(OR($B10="",基础资料!$B$4=""),"",-SUMIFS(对接源_01水果筐数!$D$5:$D$304,对接源_01水果筐数!$B$5:$B$304,$B10,对接源_01水果筐数!$C$5:$C$304,基础资料!$B$4))</f>
        <v>0</v>
      </c>
      <c r="AB10" s="67">
        <f>IF(OR($B10="",基础资料!$B$5=""),"",-SUMIFS(对接源_01水果筐数!$D$5:$D$304,对接源_01水果筐数!$B$5:$B$304,$B10,对接源_01水果筐数!$C$5:$C$304,基础资料!$B$5))</f>
        <v>0</v>
      </c>
      <c r="AC10" s="67">
        <f>IF(OR($B10="",基础资料!$B$6=""),"",-SUMIFS(对接源_01水果筐数!$D$5:$D$304,对接源_01水果筐数!$B$5:$B$304,$B10,对接源_01水果筐数!$C$5:$C$304,基础资料!$B$6))</f>
        <v>0</v>
      </c>
      <c r="AD10" s="67">
        <f>IF(OR($B10="",基础资料!$B$7=""),"",-SUMIFS(对接源_01水果筐数!$D$5:$D$304,对接源_01水果筐数!$B$5:$B$304,$B10,对接源_01水果筐数!$C$5:$C$304,基础资料!$B$7))</f>
        <v>0</v>
      </c>
      <c r="AE10" s="67">
        <f>IF(OR($B10="",基础资料!$B$8=""),"",-SUMIFS(对接源_01水果筐数!$D$5:$D$304,对接源_01水果筐数!$B$5:$B$304,$B10,对接源_01水果筐数!$C$5:$C$304,基础资料!$B$8))</f>
        <v>-1037</v>
      </c>
      <c r="AF10" s="25">
        <f>IF(OR($B10="",基础资料!$B$4=""),"",SUMIFS(对接源_01水果筐数!$E$5:$E$304,对接源_01水果筐数!$B$5:$B$304,$B10,对接源_01水果筐数!$C$5:$C$304,基础资料!$B$4))</f>
        <v>0</v>
      </c>
      <c r="AG10" s="25">
        <f>IF(OR($B10="",基础资料!$B$5=""),"",SUMIFS(对接源_01水果筐数!$E$5:$E$304,对接源_01水果筐数!$B$5:$B$304,$B10,对接源_01水果筐数!$C$5:$C$304,基础资料!$B$5))</f>
        <v>0</v>
      </c>
      <c r="AH10" s="25">
        <f>IF(OR($B10="",基础资料!$B$6=""),"",SUMIFS(对接源_01水果筐数!$E$5:$E$304,对接源_01水果筐数!$B$5:$B$304,$B10,对接源_01水果筐数!$C$5:$C$304,基础资料!$B$6))</f>
        <v>0</v>
      </c>
      <c r="AI10" s="25">
        <f>IF(OR($B10="",基础资料!$B$7=""),"",SUMIFS(对接源_01水果筐数!$E$5:$E$304,对接源_01水果筐数!$B$5:$B$304,$B10,对接源_01水果筐数!$C$5:$C$304,基础资料!$B$7))</f>
        <v>0</v>
      </c>
      <c r="AJ10" s="25">
        <f>IF(OR($B10="",基础资料!$B$8=""),"",SUMIFS(对接源_01水果筐数!$E$5:$E$304,对接源_01水果筐数!$B$5:$B$304,$B10,对接源_01水果筐数!$C$5:$C$304,基础资料!$B$8))</f>
        <v>0</v>
      </c>
      <c r="AK10" s="25">
        <f>IF(OR($B10="",基础资料!$B$4=""),"",SUMIFS(对接源_01水果筐数!$F$5:$F$304,对接源_01水果筐数!$B$5:$B$304,$B10,对接源_01水果筐数!$C$5:$C$304,基础资料!$B$4))</f>
        <v>0</v>
      </c>
      <c r="AL10" s="25">
        <f>IF(OR($B10="",基础资料!$B$5=""),"",SUMIFS(对接源_01水果筐数!$F$5:$F$304,对接源_01水果筐数!$B$5:$B$304,$B10,对接源_01水果筐数!$C$5:$C$304,基础资料!$B$5))</f>
        <v>0</v>
      </c>
      <c r="AM10" s="25">
        <f>IF(OR($B10="",基础资料!$B$6=""),"",SUMIFS(对接源_01水果筐数!$F$5:$F$304,对接源_01水果筐数!$B$5:$B$304,$B10,对接源_01水果筐数!$C$5:$C$304,基础资料!$B$6))</f>
        <v>0</v>
      </c>
      <c r="AN10" s="25">
        <f>IF(OR($B10="",基础资料!$B$7=""),"",SUMIFS(对接源_01水果筐数!$F$5:$F$304,对接源_01水果筐数!$B$5:$B$304,$B10,对接源_01水果筐数!$C$5:$C$304,基础资料!$B$7))</f>
        <v>0</v>
      </c>
      <c r="AO10" s="25">
        <f>IF(OR($B10="",基础资料!$B$8=""),"",SUMIFS(对接源_01水果筐数!$F$5:$F$304,对接源_01水果筐数!$B$5:$B$304,$B10,对接源_01水果筐数!$C$5:$C$304,基础资料!$B$8))</f>
        <v>0</v>
      </c>
      <c r="AP10" s="25">
        <f t="shared" si="5"/>
        <v>0</v>
      </c>
      <c r="AQ10" s="25">
        <f t="shared" si="11"/>
        <v>0</v>
      </c>
      <c r="AR10" s="25">
        <f t="shared" si="6"/>
        <v>0</v>
      </c>
      <c r="AS10" s="25">
        <f t="shared" si="7"/>
        <v>0</v>
      </c>
      <c r="AT10" s="25">
        <f t="shared" si="8"/>
        <v>1843</v>
      </c>
      <c r="AU10" s="25">
        <f t="shared" si="9"/>
        <v>1843</v>
      </c>
      <c r="AV10" s="24" t="str">
        <f t="shared" si="10"/>
        <v>⚠ 有 1843 个筐未回</v>
      </c>
      <c r="AW10" s="72"/>
    </row>
    <row r="11" spans="1:55">
      <c r="A11" s="22">
        <f t="shared" si="0"/>
        <v>8</v>
      </c>
      <c r="B11" s="24" t="str">
        <f>IFERROR(INDEX(_自动清单!$CC$4:$CC$253,ROW()-3),"")</f>
        <v>麦麦提</v>
      </c>
      <c r="C11" s="25">
        <f>IF(OR($B11="",基础资料!$B$4=""),"",SUMIFS(周转筐出入库明细!$J$4:$J$2004,周转筐出入库明细!$C$4:$C$2004,$B11,周转筐出入库明细!$D$4:$D$2004,基础资料!$B$4,周转筐出入库明细!$B$4:$B$2004,"&gt;="&amp;$BC$1,周转筐出入库明细!$B$4:$B$2004,"&lt;="&amp;$BC$2))</f>
        <v>0</v>
      </c>
      <c r="D11" s="25">
        <f>IF(OR($B11="",基础资料!$B$5=""),"",SUMIFS(周转筐出入库明细!$J$4:$J$2004,周转筐出入库明细!$C$4:$C$2004,$B11,周转筐出入库明细!$D$4:$D$2004,基础资料!$B$5,周转筐出入库明细!$B$4:$B$2004,"&gt;="&amp;$BC$1,周转筐出入库明细!$B$4:$B$2004,"&lt;="&amp;$BC$2))</f>
        <v>0</v>
      </c>
      <c r="E11" s="25">
        <f>IF(OR($B11="",基础资料!$B$6=""),"",SUMIFS(周转筐出入库明细!$J$4:$J$2004,周转筐出入库明细!$C$4:$C$2004,$B11,周转筐出入库明细!$D$4:$D$2004,基础资料!$B$6,周转筐出入库明细!$B$4:$B$2004,"&gt;="&amp;$BC$1,周转筐出入库明细!$B$4:$B$2004,"&lt;="&amp;$BC$2))</f>
        <v>0</v>
      </c>
      <c r="F11" s="25">
        <f>IF(OR($B11="",基础资料!$B$7=""),"",SUMIFS(周转筐出入库明细!$J$4:$J$2004,周转筐出入库明细!$C$4:$C$2004,$B11,周转筐出入库明细!$D$4:$D$2004,基础资料!$B$7,周转筐出入库明细!$B$4:$B$2004,"&gt;="&amp;$BC$1,周转筐出入库明细!$B$4:$B$2004,"&lt;="&amp;$BC$2))</f>
        <v>0</v>
      </c>
      <c r="G11" s="25">
        <f>IF(OR($B11="",基础资料!$B$8=""),"",SUMIFS(周转筐出入库明细!$J$4:$J$2004,周转筐出入库明细!$C$4:$C$2004,$B11,周转筐出入库明细!$D$4:$D$2004,基础资料!$B$8,周转筐出入库明细!$B$4:$B$2004,"&gt;="&amp;$BC$1,周转筐出入库明细!$B$4:$B$2004,"&lt;="&amp;$BC$2))</f>
        <v>4230</v>
      </c>
      <c r="H11" s="25">
        <f t="shared" si="1"/>
        <v>4230</v>
      </c>
      <c r="I11" s="67">
        <f>IF(OR($B11="",基础资料!$B$4=""),"",-SUMIFS(周转筐出入库明细!$I$4:$I$2004,周转筐出入库明细!$C$4:$C$2004,$B11,周转筐出入库明细!$D$4:$D$2004,基础资料!$B$4,周转筐出入库明细!$B$4:$B$2004,"&gt;="&amp;$BC$1,周转筐出入库明细!$B$4:$B$2004,"&lt;="&amp;$BC$2))</f>
        <v>0</v>
      </c>
      <c r="J11" s="67">
        <f>IF(OR($B11="",基础资料!$B$5=""),"",-SUMIFS(周转筐出入库明细!$I$4:$I$2004,周转筐出入库明细!$C$4:$C$2004,$B11,周转筐出入库明细!$D$4:$D$2004,基础资料!$B$5,周转筐出入库明细!$B$4:$B$2004,"&gt;="&amp;$BC$1,周转筐出入库明细!$B$4:$B$2004,"&lt;="&amp;$BC$2))</f>
        <v>0</v>
      </c>
      <c r="K11" s="67">
        <f>IF(OR($B11="",基础资料!$B$6=""),"",-SUMIFS(周转筐出入库明细!$I$4:$I$2004,周转筐出入库明细!$C$4:$C$2004,$B11,周转筐出入库明细!$D$4:$D$2004,基础资料!$B$6,周转筐出入库明细!$B$4:$B$2004,"&gt;="&amp;$BC$1,周转筐出入库明细!$B$4:$B$2004,"&lt;="&amp;$BC$2))</f>
        <v>0</v>
      </c>
      <c r="L11" s="67">
        <f>IF(OR($B11="",基础资料!$B$7=""),"",-SUMIFS(周转筐出入库明细!$I$4:$I$2004,周转筐出入库明细!$C$4:$C$2004,$B11,周转筐出入库明细!$D$4:$D$2004,基础资料!$B$7,周转筐出入库明细!$B$4:$B$2004,"&gt;="&amp;$BC$1,周转筐出入库明细!$B$4:$B$2004,"&lt;="&amp;$BC$2))</f>
        <v>0</v>
      </c>
      <c r="M11" s="67">
        <f>IF(OR($B11="",基础资料!$B$8=""),"",-SUMIFS(周转筐出入库明细!$I$4:$I$2004,周转筐出入库明细!$C$4:$C$2004,$B11,周转筐出入库明细!$D$4:$D$2004,基础资料!$B$8,周转筐出入库明细!$B$4:$B$2004,"&gt;="&amp;$BC$1,周转筐出入库明细!$B$4:$B$2004,"&lt;="&amp;$BC$2))</f>
        <v>0</v>
      </c>
      <c r="N11" s="67">
        <f t="shared" si="2"/>
        <v>0</v>
      </c>
      <c r="O11" s="25">
        <f>IF(OR($B11="",基础资料!$B$4=""),"",SUMIFS(周转筐出入库明细!$H$4:$H$2004,周转筐出入库明细!$C$4:$C$2004,$B11,周转筐出入库明细!$D$4:$D$2004,基础资料!$B$4,周转筐出入库明细!$F$4:$F$2004,"采购入库",周转筐出入库明细!$B$4:$B$2004,"&gt;="&amp;$BC$1,周转筐出入库明细!$B$4:$B$2004,"&lt;="&amp;$BC$2))</f>
        <v>0</v>
      </c>
      <c r="P11" s="25">
        <f>IF(OR($B11="",基础资料!$B$5=""),"",SUMIFS(周转筐出入库明细!$H$4:$H$2004,周转筐出入库明细!$C$4:$C$2004,$B11,周转筐出入库明细!$D$4:$D$2004,基础资料!$B$5,周转筐出入库明细!$F$4:$F$2004,"采购入库",周转筐出入库明细!$B$4:$B$2004,"&gt;="&amp;$BC$1,周转筐出入库明细!$B$4:$B$2004,"&lt;="&amp;$BC$2))</f>
        <v>0</v>
      </c>
      <c r="Q11" s="25">
        <f>IF(OR($B11="",基础资料!$B$6=""),"",SUMIFS(周转筐出入库明细!$H$4:$H$2004,周转筐出入库明细!$C$4:$C$2004,$B11,周转筐出入库明细!$D$4:$D$2004,基础资料!$B$6,周转筐出入库明细!$F$4:$F$2004,"采购入库",周转筐出入库明细!$B$4:$B$2004,"&gt;="&amp;$BC$1,周转筐出入库明细!$B$4:$B$2004,"&lt;="&amp;$BC$2))</f>
        <v>0</v>
      </c>
      <c r="R11" s="25">
        <f>IF(OR($B11="",基础资料!$B$7=""),"",SUMIFS(周转筐出入库明细!$H$4:$H$2004,周转筐出入库明细!$C$4:$C$2004,$B11,周转筐出入库明细!$D$4:$D$2004,基础资料!$B$7,周转筐出入库明细!$F$4:$F$2004,"采购入库",周转筐出入库明细!$B$4:$B$2004,"&gt;="&amp;$BC$1,周转筐出入库明细!$B$4:$B$2004,"&lt;="&amp;$BC$2))</f>
        <v>0</v>
      </c>
      <c r="S11" s="25">
        <f>IF(OR($B11="",基础资料!$B$8=""),"",SUMIFS(周转筐出入库明细!$H$4:$H$2004,周转筐出入库明细!$C$4:$C$2004,$B11,周转筐出入库明细!$D$4:$D$2004,基础资料!$B$8,周转筐出入库明细!$F$4:$F$2004,"采购入库",周转筐出入库明细!$B$4:$B$2004,"&gt;="&amp;$BC$1,周转筐出入库明细!$B$4:$B$2004,"&lt;="&amp;$BC$2))</f>
        <v>0</v>
      </c>
      <c r="T11" s="25">
        <f t="shared" si="3"/>
        <v>0</v>
      </c>
      <c r="U11" s="25">
        <f>IF(OR($B11="",基础资料!$B$4=""),"",SUMIFS(周转筐出入库明细!$K$4:$K$2004,周转筐出入库明细!$C$4:$C$2004,$B11,周转筐出入库明细!$D$4:$D$2004,基础资料!$B$4,周转筐出入库明细!$B$4:$B$2004,"&gt;="&amp;$BC$1,周转筐出入库明细!$B$4:$B$2004,"&lt;="&amp;$BC$2))</f>
        <v>0</v>
      </c>
      <c r="V11" s="25">
        <f>IF(OR($B11="",基础资料!$B$5=""),"",SUMIFS(周转筐出入库明细!$K$4:$K$2004,周转筐出入库明细!$C$4:$C$2004,$B11,周转筐出入库明细!$D$4:$D$2004,基础资料!$B$5,周转筐出入库明细!$B$4:$B$2004,"&gt;="&amp;$BC$1,周转筐出入库明细!$B$4:$B$2004,"&lt;="&amp;$BC$2))</f>
        <v>0</v>
      </c>
      <c r="W11" s="25">
        <f>IF(OR($B11="",基础资料!$B$6=""),"",SUMIFS(周转筐出入库明细!$K$4:$K$2004,周转筐出入库明细!$C$4:$C$2004,$B11,周转筐出入库明细!$D$4:$D$2004,基础资料!$B$6,周转筐出入库明细!$B$4:$B$2004,"&gt;="&amp;$BC$1,周转筐出入库明细!$B$4:$B$2004,"&lt;="&amp;$BC$2))</f>
        <v>0</v>
      </c>
      <c r="X11" s="25">
        <f>IF(OR($B11="",基础资料!$B$7=""),"",SUMIFS(周转筐出入库明细!$K$4:$K$2004,周转筐出入库明细!$C$4:$C$2004,$B11,周转筐出入库明细!$D$4:$D$2004,基础资料!$B$7,周转筐出入库明细!$B$4:$B$2004,"&gt;="&amp;$BC$1,周转筐出入库明细!$B$4:$B$2004,"&lt;="&amp;$BC$2))</f>
        <v>0</v>
      </c>
      <c r="Y11" s="25">
        <f>IF(OR($B11="",基础资料!$B$8=""),"",SUMIFS(周转筐出入库明细!$K$4:$K$2004,周转筐出入库明细!$C$4:$C$2004,$B11,周转筐出入库明细!$D$4:$D$2004,基础资料!$B$8,周转筐出入库明细!$B$4:$B$2004,"&gt;="&amp;$BC$1,周转筐出入库明细!$B$4:$B$2004,"&lt;="&amp;$BC$2))</f>
        <v>0</v>
      </c>
      <c r="Z11" s="25">
        <f t="shared" si="4"/>
        <v>0</v>
      </c>
      <c r="AA11" s="67">
        <f>IF(OR($B11="",基础资料!$B$4=""),"",-SUMIFS(对接源_01水果筐数!$D$5:$D$304,对接源_01水果筐数!$B$5:$B$304,$B11,对接源_01水果筐数!$C$5:$C$304,基础资料!$B$4))</f>
        <v>0</v>
      </c>
      <c r="AB11" s="67">
        <f>IF(OR($B11="",基础资料!$B$5=""),"",-SUMIFS(对接源_01水果筐数!$D$5:$D$304,对接源_01水果筐数!$B$5:$B$304,$B11,对接源_01水果筐数!$C$5:$C$304,基础资料!$B$5))</f>
        <v>0</v>
      </c>
      <c r="AC11" s="67">
        <f>IF(OR($B11="",基础资料!$B$6=""),"",-SUMIFS(对接源_01水果筐数!$D$5:$D$304,对接源_01水果筐数!$B$5:$B$304,$B11,对接源_01水果筐数!$C$5:$C$304,基础资料!$B$6))</f>
        <v>0</v>
      </c>
      <c r="AD11" s="67">
        <f>IF(OR($B11="",基础资料!$B$7=""),"",-SUMIFS(对接源_01水果筐数!$D$5:$D$304,对接源_01水果筐数!$B$5:$B$304,$B11,对接源_01水果筐数!$C$5:$C$304,基础资料!$B$7))</f>
        <v>0</v>
      </c>
      <c r="AE11" s="67">
        <f>IF(OR($B11="",基础资料!$B$8=""),"",-SUMIFS(对接源_01水果筐数!$D$5:$D$304,对接源_01水果筐数!$B$5:$B$304,$B11,对接源_01水果筐数!$C$5:$C$304,基础资料!$B$8))</f>
        <v>-2537</v>
      </c>
      <c r="AF11" s="25">
        <f>IF(OR($B11="",基础资料!$B$4=""),"",SUMIFS(对接源_01水果筐数!$E$5:$E$304,对接源_01水果筐数!$B$5:$B$304,$B11,对接源_01水果筐数!$C$5:$C$304,基础资料!$B$4))</f>
        <v>0</v>
      </c>
      <c r="AG11" s="25">
        <f>IF(OR($B11="",基础资料!$B$5=""),"",SUMIFS(对接源_01水果筐数!$E$5:$E$304,对接源_01水果筐数!$B$5:$B$304,$B11,对接源_01水果筐数!$C$5:$C$304,基础资料!$B$5))</f>
        <v>0</v>
      </c>
      <c r="AH11" s="25">
        <f>IF(OR($B11="",基础资料!$B$6=""),"",SUMIFS(对接源_01水果筐数!$E$5:$E$304,对接源_01水果筐数!$B$5:$B$304,$B11,对接源_01水果筐数!$C$5:$C$304,基础资料!$B$6))</f>
        <v>0</v>
      </c>
      <c r="AI11" s="25">
        <f>IF(OR($B11="",基础资料!$B$7=""),"",SUMIFS(对接源_01水果筐数!$E$5:$E$304,对接源_01水果筐数!$B$5:$B$304,$B11,对接源_01水果筐数!$C$5:$C$304,基础资料!$B$7))</f>
        <v>0</v>
      </c>
      <c r="AJ11" s="25">
        <f>IF(OR($B11="",基础资料!$B$8=""),"",SUMIFS(对接源_01水果筐数!$E$5:$E$304,对接源_01水果筐数!$B$5:$B$304,$B11,对接源_01水果筐数!$C$5:$C$304,基础资料!$B$8))</f>
        <v>0</v>
      </c>
      <c r="AK11" s="25">
        <f>IF(OR($B11="",基础资料!$B$4=""),"",SUMIFS(对接源_01水果筐数!$F$5:$F$304,对接源_01水果筐数!$B$5:$B$304,$B11,对接源_01水果筐数!$C$5:$C$304,基础资料!$B$4))</f>
        <v>0</v>
      </c>
      <c r="AL11" s="25">
        <f>IF(OR($B11="",基础资料!$B$5=""),"",SUMIFS(对接源_01水果筐数!$F$5:$F$304,对接源_01水果筐数!$B$5:$B$304,$B11,对接源_01水果筐数!$C$5:$C$304,基础资料!$B$5))</f>
        <v>0</v>
      </c>
      <c r="AM11" s="25">
        <f>IF(OR($B11="",基础资料!$B$6=""),"",SUMIFS(对接源_01水果筐数!$F$5:$F$304,对接源_01水果筐数!$B$5:$B$304,$B11,对接源_01水果筐数!$C$5:$C$304,基础资料!$B$6))</f>
        <v>0</v>
      </c>
      <c r="AN11" s="25">
        <f>IF(OR($B11="",基础资料!$B$7=""),"",SUMIFS(对接源_01水果筐数!$F$5:$F$304,对接源_01水果筐数!$B$5:$B$304,$B11,对接源_01水果筐数!$C$5:$C$304,基础资料!$B$7))</f>
        <v>0</v>
      </c>
      <c r="AO11" s="25">
        <f>IF(OR($B11="",基础资料!$B$8=""),"",SUMIFS(对接源_01水果筐数!$F$5:$F$304,对接源_01水果筐数!$B$5:$B$304,$B11,对接源_01水果筐数!$C$5:$C$304,基础资料!$B$8))</f>
        <v>0</v>
      </c>
      <c r="AP11" s="25">
        <f t="shared" si="5"/>
        <v>0</v>
      </c>
      <c r="AQ11" s="25">
        <f t="shared" si="11"/>
        <v>0</v>
      </c>
      <c r="AR11" s="25">
        <f t="shared" si="6"/>
        <v>0</v>
      </c>
      <c r="AS11" s="25">
        <f t="shared" si="7"/>
        <v>0</v>
      </c>
      <c r="AT11" s="25">
        <f t="shared" si="8"/>
        <v>1693</v>
      </c>
      <c r="AU11" s="25">
        <f t="shared" si="9"/>
        <v>1693</v>
      </c>
      <c r="AV11" s="24" t="str">
        <f t="shared" si="10"/>
        <v>⚠ 有 1693 个筐未回</v>
      </c>
      <c r="AW11" s="72"/>
    </row>
    <row r="12" spans="1:55">
      <c r="A12" s="22">
        <f t="shared" si="0"/>
        <v>9</v>
      </c>
      <c r="B12" s="24" t="str">
        <f>IFERROR(INDEX(_自动清单!$CC$4:$CC$253,ROW()-3),"")</f>
        <v>努尔敦</v>
      </c>
      <c r="C12" s="25">
        <f>IF(OR($B12="",基础资料!$B$4=""),"",SUMIFS(周转筐出入库明细!$J$4:$J$2004,周转筐出入库明细!$C$4:$C$2004,$B12,周转筐出入库明细!$D$4:$D$2004,基础资料!$B$4,周转筐出入库明细!$B$4:$B$2004,"&gt;="&amp;$BC$1,周转筐出入库明细!$B$4:$B$2004,"&lt;="&amp;$BC$2))</f>
        <v>0</v>
      </c>
      <c r="D12" s="25">
        <f>IF(OR($B12="",基础资料!$B$5=""),"",SUMIFS(周转筐出入库明细!$J$4:$J$2004,周转筐出入库明细!$C$4:$C$2004,$B12,周转筐出入库明细!$D$4:$D$2004,基础资料!$B$5,周转筐出入库明细!$B$4:$B$2004,"&gt;="&amp;$BC$1,周转筐出入库明细!$B$4:$B$2004,"&lt;="&amp;$BC$2))</f>
        <v>0</v>
      </c>
      <c r="E12" s="25">
        <f>IF(OR($B12="",基础资料!$B$6=""),"",SUMIFS(周转筐出入库明细!$J$4:$J$2004,周转筐出入库明细!$C$4:$C$2004,$B12,周转筐出入库明细!$D$4:$D$2004,基础资料!$B$6,周转筐出入库明细!$B$4:$B$2004,"&gt;="&amp;$BC$1,周转筐出入库明细!$B$4:$B$2004,"&lt;="&amp;$BC$2))</f>
        <v>0</v>
      </c>
      <c r="F12" s="25">
        <f>IF(OR($B12="",基础资料!$B$7=""),"",SUMIFS(周转筐出入库明细!$J$4:$J$2004,周转筐出入库明细!$C$4:$C$2004,$B12,周转筐出入库明细!$D$4:$D$2004,基础资料!$B$7,周转筐出入库明细!$B$4:$B$2004,"&gt;="&amp;$BC$1,周转筐出入库明细!$B$4:$B$2004,"&lt;="&amp;$BC$2))</f>
        <v>0</v>
      </c>
      <c r="G12" s="25">
        <f>IF(OR($B12="",基础资料!$B$8=""),"",SUMIFS(周转筐出入库明细!$J$4:$J$2004,周转筐出入库明细!$C$4:$C$2004,$B12,周转筐出入库明细!$D$4:$D$2004,基础资料!$B$8,周转筐出入库明细!$B$4:$B$2004,"&gt;="&amp;$BC$1,周转筐出入库明细!$B$4:$B$2004,"&lt;="&amp;$BC$2))</f>
        <v>2808</v>
      </c>
      <c r="H12" s="25">
        <f t="shared" si="1"/>
        <v>2808</v>
      </c>
      <c r="I12" s="67">
        <f>IF(OR($B12="",基础资料!$B$4=""),"",-SUMIFS(周转筐出入库明细!$I$4:$I$2004,周转筐出入库明细!$C$4:$C$2004,$B12,周转筐出入库明细!$D$4:$D$2004,基础资料!$B$4,周转筐出入库明细!$B$4:$B$2004,"&gt;="&amp;$BC$1,周转筐出入库明细!$B$4:$B$2004,"&lt;="&amp;$BC$2))</f>
        <v>0</v>
      </c>
      <c r="J12" s="67">
        <f>IF(OR($B12="",基础资料!$B$5=""),"",-SUMIFS(周转筐出入库明细!$I$4:$I$2004,周转筐出入库明细!$C$4:$C$2004,$B12,周转筐出入库明细!$D$4:$D$2004,基础资料!$B$5,周转筐出入库明细!$B$4:$B$2004,"&gt;="&amp;$BC$1,周转筐出入库明细!$B$4:$B$2004,"&lt;="&amp;$BC$2))</f>
        <v>0</v>
      </c>
      <c r="K12" s="67">
        <f>IF(OR($B12="",基础资料!$B$6=""),"",-SUMIFS(周转筐出入库明细!$I$4:$I$2004,周转筐出入库明细!$C$4:$C$2004,$B12,周转筐出入库明细!$D$4:$D$2004,基础资料!$B$6,周转筐出入库明细!$B$4:$B$2004,"&gt;="&amp;$BC$1,周转筐出入库明细!$B$4:$B$2004,"&lt;="&amp;$BC$2))</f>
        <v>0</v>
      </c>
      <c r="L12" s="67">
        <f>IF(OR($B12="",基础资料!$B$7=""),"",-SUMIFS(周转筐出入库明细!$I$4:$I$2004,周转筐出入库明细!$C$4:$C$2004,$B12,周转筐出入库明细!$D$4:$D$2004,基础资料!$B$7,周转筐出入库明细!$B$4:$B$2004,"&gt;="&amp;$BC$1,周转筐出入库明细!$B$4:$B$2004,"&lt;="&amp;$BC$2))</f>
        <v>0</v>
      </c>
      <c r="M12" s="67">
        <f>IF(OR($B12="",基础资料!$B$8=""),"",-SUMIFS(周转筐出入库明细!$I$4:$I$2004,周转筐出入库明细!$C$4:$C$2004,$B12,周转筐出入库明细!$D$4:$D$2004,基础资料!$B$8,周转筐出入库明细!$B$4:$B$2004,"&gt;="&amp;$BC$1,周转筐出入库明细!$B$4:$B$2004,"&lt;="&amp;$BC$2))</f>
        <v>0</v>
      </c>
      <c r="N12" s="67">
        <f t="shared" si="2"/>
        <v>0</v>
      </c>
      <c r="O12" s="25">
        <f>IF(OR($B12="",基础资料!$B$4=""),"",SUMIFS(周转筐出入库明细!$H$4:$H$2004,周转筐出入库明细!$C$4:$C$2004,$B12,周转筐出入库明细!$D$4:$D$2004,基础资料!$B$4,周转筐出入库明细!$F$4:$F$2004,"采购入库",周转筐出入库明细!$B$4:$B$2004,"&gt;="&amp;$BC$1,周转筐出入库明细!$B$4:$B$2004,"&lt;="&amp;$BC$2))</f>
        <v>0</v>
      </c>
      <c r="P12" s="25">
        <f>IF(OR($B12="",基础资料!$B$5=""),"",SUMIFS(周转筐出入库明细!$H$4:$H$2004,周转筐出入库明细!$C$4:$C$2004,$B12,周转筐出入库明细!$D$4:$D$2004,基础资料!$B$5,周转筐出入库明细!$F$4:$F$2004,"采购入库",周转筐出入库明细!$B$4:$B$2004,"&gt;="&amp;$BC$1,周转筐出入库明细!$B$4:$B$2004,"&lt;="&amp;$BC$2))</f>
        <v>0</v>
      </c>
      <c r="Q12" s="25">
        <f>IF(OR($B12="",基础资料!$B$6=""),"",SUMIFS(周转筐出入库明细!$H$4:$H$2004,周转筐出入库明细!$C$4:$C$2004,$B12,周转筐出入库明细!$D$4:$D$2004,基础资料!$B$6,周转筐出入库明细!$F$4:$F$2004,"采购入库",周转筐出入库明细!$B$4:$B$2004,"&gt;="&amp;$BC$1,周转筐出入库明细!$B$4:$B$2004,"&lt;="&amp;$BC$2))</f>
        <v>0</v>
      </c>
      <c r="R12" s="25">
        <f>IF(OR($B12="",基础资料!$B$7=""),"",SUMIFS(周转筐出入库明细!$H$4:$H$2004,周转筐出入库明细!$C$4:$C$2004,$B12,周转筐出入库明细!$D$4:$D$2004,基础资料!$B$7,周转筐出入库明细!$F$4:$F$2004,"采购入库",周转筐出入库明细!$B$4:$B$2004,"&gt;="&amp;$BC$1,周转筐出入库明细!$B$4:$B$2004,"&lt;="&amp;$BC$2))</f>
        <v>0</v>
      </c>
      <c r="S12" s="25">
        <f>IF(OR($B12="",基础资料!$B$8=""),"",SUMIFS(周转筐出入库明细!$H$4:$H$2004,周转筐出入库明细!$C$4:$C$2004,$B12,周转筐出入库明细!$D$4:$D$2004,基础资料!$B$8,周转筐出入库明细!$F$4:$F$2004,"采购入库",周转筐出入库明细!$B$4:$B$2004,"&gt;="&amp;$BC$1,周转筐出入库明细!$B$4:$B$2004,"&lt;="&amp;$BC$2))</f>
        <v>0</v>
      </c>
      <c r="T12" s="25">
        <f t="shared" si="3"/>
        <v>0</v>
      </c>
      <c r="U12" s="25">
        <f>IF(OR($B12="",基础资料!$B$4=""),"",SUMIFS(周转筐出入库明细!$K$4:$K$2004,周转筐出入库明细!$C$4:$C$2004,$B12,周转筐出入库明细!$D$4:$D$2004,基础资料!$B$4,周转筐出入库明细!$B$4:$B$2004,"&gt;="&amp;$BC$1,周转筐出入库明细!$B$4:$B$2004,"&lt;="&amp;$BC$2))</f>
        <v>0</v>
      </c>
      <c r="V12" s="25">
        <f>IF(OR($B12="",基础资料!$B$5=""),"",SUMIFS(周转筐出入库明细!$K$4:$K$2004,周转筐出入库明细!$C$4:$C$2004,$B12,周转筐出入库明细!$D$4:$D$2004,基础资料!$B$5,周转筐出入库明细!$B$4:$B$2004,"&gt;="&amp;$BC$1,周转筐出入库明细!$B$4:$B$2004,"&lt;="&amp;$BC$2))</f>
        <v>0</v>
      </c>
      <c r="W12" s="25">
        <f>IF(OR($B12="",基础资料!$B$6=""),"",SUMIFS(周转筐出入库明细!$K$4:$K$2004,周转筐出入库明细!$C$4:$C$2004,$B12,周转筐出入库明细!$D$4:$D$2004,基础资料!$B$6,周转筐出入库明细!$B$4:$B$2004,"&gt;="&amp;$BC$1,周转筐出入库明细!$B$4:$B$2004,"&lt;="&amp;$BC$2))</f>
        <v>0</v>
      </c>
      <c r="X12" s="25">
        <f>IF(OR($B12="",基础资料!$B$7=""),"",SUMIFS(周转筐出入库明细!$K$4:$K$2004,周转筐出入库明细!$C$4:$C$2004,$B12,周转筐出入库明细!$D$4:$D$2004,基础资料!$B$7,周转筐出入库明细!$B$4:$B$2004,"&gt;="&amp;$BC$1,周转筐出入库明细!$B$4:$B$2004,"&lt;="&amp;$BC$2))</f>
        <v>0</v>
      </c>
      <c r="Y12" s="25">
        <f>IF(OR($B12="",基础资料!$B$8=""),"",SUMIFS(周转筐出入库明细!$K$4:$K$2004,周转筐出入库明细!$C$4:$C$2004,$B12,周转筐出入库明细!$D$4:$D$2004,基础资料!$B$8,周转筐出入库明细!$B$4:$B$2004,"&gt;="&amp;$BC$1,周转筐出入库明细!$B$4:$B$2004,"&lt;="&amp;$BC$2))</f>
        <v>0</v>
      </c>
      <c r="Z12" s="25">
        <f t="shared" si="4"/>
        <v>0</v>
      </c>
      <c r="AA12" s="67">
        <f>IF(OR($B12="",基础资料!$B$4=""),"",-SUMIFS(对接源_01水果筐数!$D$5:$D$304,对接源_01水果筐数!$B$5:$B$304,$B12,对接源_01水果筐数!$C$5:$C$304,基础资料!$B$4))</f>
        <v>0</v>
      </c>
      <c r="AB12" s="67">
        <f>IF(OR($B12="",基础资料!$B$5=""),"",-SUMIFS(对接源_01水果筐数!$D$5:$D$304,对接源_01水果筐数!$B$5:$B$304,$B12,对接源_01水果筐数!$C$5:$C$304,基础资料!$B$5))</f>
        <v>0</v>
      </c>
      <c r="AC12" s="67">
        <f>IF(OR($B12="",基础资料!$B$6=""),"",-SUMIFS(对接源_01水果筐数!$D$5:$D$304,对接源_01水果筐数!$B$5:$B$304,$B12,对接源_01水果筐数!$C$5:$C$304,基础资料!$B$6))</f>
        <v>0</v>
      </c>
      <c r="AD12" s="67">
        <f>IF(OR($B12="",基础资料!$B$7=""),"",-SUMIFS(对接源_01水果筐数!$D$5:$D$304,对接源_01水果筐数!$B$5:$B$304,$B12,对接源_01水果筐数!$C$5:$C$304,基础资料!$B$7))</f>
        <v>0</v>
      </c>
      <c r="AE12" s="67">
        <f>IF(OR($B12="",基础资料!$B$8=""),"",-SUMIFS(对接源_01水果筐数!$D$5:$D$304,对接源_01水果筐数!$B$5:$B$304,$B12,对接源_01水果筐数!$C$5:$C$304,基础资料!$B$8))</f>
        <v>-1290</v>
      </c>
      <c r="AF12" s="25">
        <f>IF(OR($B12="",基础资料!$B$4=""),"",SUMIFS(对接源_01水果筐数!$E$5:$E$304,对接源_01水果筐数!$B$5:$B$304,$B12,对接源_01水果筐数!$C$5:$C$304,基础资料!$B$4))</f>
        <v>0</v>
      </c>
      <c r="AG12" s="25">
        <f>IF(OR($B12="",基础资料!$B$5=""),"",SUMIFS(对接源_01水果筐数!$E$5:$E$304,对接源_01水果筐数!$B$5:$B$304,$B12,对接源_01水果筐数!$C$5:$C$304,基础资料!$B$5))</f>
        <v>0</v>
      </c>
      <c r="AH12" s="25">
        <f>IF(OR($B12="",基础资料!$B$6=""),"",SUMIFS(对接源_01水果筐数!$E$5:$E$304,对接源_01水果筐数!$B$5:$B$304,$B12,对接源_01水果筐数!$C$5:$C$304,基础资料!$B$6))</f>
        <v>0</v>
      </c>
      <c r="AI12" s="25">
        <f>IF(OR($B12="",基础资料!$B$7=""),"",SUMIFS(对接源_01水果筐数!$E$5:$E$304,对接源_01水果筐数!$B$5:$B$304,$B12,对接源_01水果筐数!$C$5:$C$304,基础资料!$B$7))</f>
        <v>0</v>
      </c>
      <c r="AJ12" s="25">
        <f>IF(OR($B12="",基础资料!$B$8=""),"",SUMIFS(对接源_01水果筐数!$E$5:$E$304,对接源_01水果筐数!$B$5:$B$304,$B12,对接源_01水果筐数!$C$5:$C$304,基础资料!$B$8))</f>
        <v>0</v>
      </c>
      <c r="AK12" s="25">
        <f>IF(OR($B12="",基础资料!$B$4=""),"",SUMIFS(对接源_01水果筐数!$F$5:$F$304,对接源_01水果筐数!$B$5:$B$304,$B12,对接源_01水果筐数!$C$5:$C$304,基础资料!$B$4))</f>
        <v>0</v>
      </c>
      <c r="AL12" s="25">
        <f>IF(OR($B12="",基础资料!$B$5=""),"",SUMIFS(对接源_01水果筐数!$F$5:$F$304,对接源_01水果筐数!$B$5:$B$304,$B12,对接源_01水果筐数!$C$5:$C$304,基础资料!$B$5))</f>
        <v>0</v>
      </c>
      <c r="AM12" s="25">
        <f>IF(OR($B12="",基础资料!$B$6=""),"",SUMIFS(对接源_01水果筐数!$F$5:$F$304,对接源_01水果筐数!$B$5:$B$304,$B12,对接源_01水果筐数!$C$5:$C$304,基础资料!$B$6))</f>
        <v>0</v>
      </c>
      <c r="AN12" s="25">
        <f>IF(OR($B12="",基础资料!$B$7=""),"",SUMIFS(对接源_01水果筐数!$F$5:$F$304,对接源_01水果筐数!$B$5:$B$304,$B12,对接源_01水果筐数!$C$5:$C$304,基础资料!$B$7))</f>
        <v>0</v>
      </c>
      <c r="AO12" s="25">
        <f>IF(OR($B12="",基础资料!$B$8=""),"",SUMIFS(对接源_01水果筐数!$F$5:$F$304,对接源_01水果筐数!$B$5:$B$304,$B12,对接源_01水果筐数!$C$5:$C$304,基础资料!$B$8))</f>
        <v>0</v>
      </c>
      <c r="AP12" s="25">
        <f t="shared" si="5"/>
        <v>0</v>
      </c>
      <c r="AQ12" s="25">
        <f t="shared" si="11"/>
        <v>0</v>
      </c>
      <c r="AR12" s="25">
        <f t="shared" si="6"/>
        <v>0</v>
      </c>
      <c r="AS12" s="25">
        <f t="shared" si="7"/>
        <v>0</v>
      </c>
      <c r="AT12" s="25">
        <f t="shared" si="8"/>
        <v>1518</v>
      </c>
      <c r="AU12" s="25">
        <f t="shared" si="9"/>
        <v>1518</v>
      </c>
      <c r="AV12" s="24" t="str">
        <f t="shared" si="10"/>
        <v>⚠ 有 1518 个筐未回</v>
      </c>
      <c r="AW12" s="72"/>
    </row>
    <row r="13" spans="1:55">
      <c r="A13" s="22">
        <f t="shared" si="0"/>
        <v>10</v>
      </c>
      <c r="B13" s="24" t="str">
        <f>IFERROR(INDEX(_自动清单!$CC$4:$CC$253,ROW()-3),"")</f>
        <v>荆建君</v>
      </c>
      <c r="C13" s="25">
        <f>IF(OR($B13="",基础资料!$B$4=""),"",SUMIFS(周转筐出入库明细!$J$4:$J$2004,周转筐出入库明细!$C$4:$C$2004,$B13,周转筐出入库明细!$D$4:$D$2004,基础资料!$B$4,周转筐出入库明细!$B$4:$B$2004,"&gt;="&amp;$BC$1,周转筐出入库明细!$B$4:$B$2004,"&lt;="&amp;$BC$2))</f>
        <v>0</v>
      </c>
      <c r="D13" s="25">
        <f>IF(OR($B13="",基础资料!$B$5=""),"",SUMIFS(周转筐出入库明细!$J$4:$J$2004,周转筐出入库明细!$C$4:$C$2004,$B13,周转筐出入库明细!$D$4:$D$2004,基础资料!$B$5,周转筐出入库明细!$B$4:$B$2004,"&gt;="&amp;$BC$1,周转筐出入库明细!$B$4:$B$2004,"&lt;="&amp;$BC$2))</f>
        <v>0</v>
      </c>
      <c r="E13" s="25">
        <f>IF(OR($B13="",基础资料!$B$6=""),"",SUMIFS(周转筐出入库明细!$J$4:$J$2004,周转筐出入库明细!$C$4:$C$2004,$B13,周转筐出入库明细!$D$4:$D$2004,基础资料!$B$6,周转筐出入库明细!$B$4:$B$2004,"&gt;="&amp;$BC$1,周转筐出入库明细!$B$4:$B$2004,"&lt;="&amp;$BC$2))</f>
        <v>0</v>
      </c>
      <c r="F13" s="25">
        <f>IF(OR($B13="",基础资料!$B$7=""),"",SUMIFS(周转筐出入库明细!$J$4:$J$2004,周转筐出入库明细!$C$4:$C$2004,$B13,周转筐出入库明细!$D$4:$D$2004,基础资料!$B$7,周转筐出入库明细!$B$4:$B$2004,"&gt;="&amp;$BC$1,周转筐出入库明细!$B$4:$B$2004,"&lt;="&amp;$BC$2))</f>
        <v>0</v>
      </c>
      <c r="G13" s="25">
        <f>IF(OR($B13="",基础资料!$B$8=""),"",SUMIFS(周转筐出入库明细!$J$4:$J$2004,周转筐出入库明细!$C$4:$C$2004,$B13,周转筐出入库明细!$D$4:$D$2004,基础资料!$B$8,周转筐出入库明细!$B$4:$B$2004,"&gt;="&amp;$BC$1,周转筐出入库明细!$B$4:$B$2004,"&lt;="&amp;$BC$2))</f>
        <v>2301</v>
      </c>
      <c r="H13" s="25">
        <f t="shared" si="1"/>
        <v>2301</v>
      </c>
      <c r="I13" s="67">
        <f>IF(OR($B13="",基础资料!$B$4=""),"",-SUMIFS(周转筐出入库明细!$I$4:$I$2004,周转筐出入库明细!$C$4:$C$2004,$B13,周转筐出入库明细!$D$4:$D$2004,基础资料!$B$4,周转筐出入库明细!$B$4:$B$2004,"&gt;="&amp;$BC$1,周转筐出入库明细!$B$4:$B$2004,"&lt;="&amp;$BC$2))</f>
        <v>0</v>
      </c>
      <c r="J13" s="67">
        <f>IF(OR($B13="",基础资料!$B$5=""),"",-SUMIFS(周转筐出入库明细!$I$4:$I$2004,周转筐出入库明细!$C$4:$C$2004,$B13,周转筐出入库明细!$D$4:$D$2004,基础资料!$B$5,周转筐出入库明细!$B$4:$B$2004,"&gt;="&amp;$BC$1,周转筐出入库明细!$B$4:$B$2004,"&lt;="&amp;$BC$2))</f>
        <v>0</v>
      </c>
      <c r="K13" s="67">
        <f>IF(OR($B13="",基础资料!$B$6=""),"",-SUMIFS(周转筐出入库明细!$I$4:$I$2004,周转筐出入库明细!$C$4:$C$2004,$B13,周转筐出入库明细!$D$4:$D$2004,基础资料!$B$6,周转筐出入库明细!$B$4:$B$2004,"&gt;="&amp;$BC$1,周转筐出入库明细!$B$4:$B$2004,"&lt;="&amp;$BC$2))</f>
        <v>0</v>
      </c>
      <c r="L13" s="67">
        <f>IF(OR($B13="",基础资料!$B$7=""),"",-SUMIFS(周转筐出入库明细!$I$4:$I$2004,周转筐出入库明细!$C$4:$C$2004,$B13,周转筐出入库明细!$D$4:$D$2004,基础资料!$B$7,周转筐出入库明细!$B$4:$B$2004,"&gt;="&amp;$BC$1,周转筐出入库明细!$B$4:$B$2004,"&lt;="&amp;$BC$2))</f>
        <v>0</v>
      </c>
      <c r="M13" s="67">
        <f>IF(OR($B13="",基础资料!$B$8=""),"",-SUMIFS(周转筐出入库明细!$I$4:$I$2004,周转筐出入库明细!$C$4:$C$2004,$B13,周转筐出入库明细!$D$4:$D$2004,基础资料!$B$8,周转筐出入库明细!$B$4:$B$2004,"&gt;="&amp;$BC$1,周转筐出入库明细!$B$4:$B$2004,"&lt;="&amp;$BC$2))</f>
        <v>0</v>
      </c>
      <c r="N13" s="67">
        <f t="shared" si="2"/>
        <v>0</v>
      </c>
      <c r="O13" s="25">
        <f>IF(OR($B13="",基础资料!$B$4=""),"",SUMIFS(周转筐出入库明细!$H$4:$H$2004,周转筐出入库明细!$C$4:$C$2004,$B13,周转筐出入库明细!$D$4:$D$2004,基础资料!$B$4,周转筐出入库明细!$F$4:$F$2004,"采购入库",周转筐出入库明细!$B$4:$B$2004,"&gt;="&amp;$BC$1,周转筐出入库明细!$B$4:$B$2004,"&lt;="&amp;$BC$2))</f>
        <v>0</v>
      </c>
      <c r="P13" s="25">
        <f>IF(OR($B13="",基础资料!$B$5=""),"",SUMIFS(周转筐出入库明细!$H$4:$H$2004,周转筐出入库明细!$C$4:$C$2004,$B13,周转筐出入库明细!$D$4:$D$2004,基础资料!$B$5,周转筐出入库明细!$F$4:$F$2004,"采购入库",周转筐出入库明细!$B$4:$B$2004,"&gt;="&amp;$BC$1,周转筐出入库明细!$B$4:$B$2004,"&lt;="&amp;$BC$2))</f>
        <v>0</v>
      </c>
      <c r="Q13" s="25">
        <f>IF(OR($B13="",基础资料!$B$6=""),"",SUMIFS(周转筐出入库明细!$H$4:$H$2004,周转筐出入库明细!$C$4:$C$2004,$B13,周转筐出入库明细!$D$4:$D$2004,基础资料!$B$6,周转筐出入库明细!$F$4:$F$2004,"采购入库",周转筐出入库明细!$B$4:$B$2004,"&gt;="&amp;$BC$1,周转筐出入库明细!$B$4:$B$2004,"&lt;="&amp;$BC$2))</f>
        <v>0</v>
      </c>
      <c r="R13" s="25">
        <f>IF(OR($B13="",基础资料!$B$7=""),"",SUMIFS(周转筐出入库明细!$H$4:$H$2004,周转筐出入库明细!$C$4:$C$2004,$B13,周转筐出入库明细!$D$4:$D$2004,基础资料!$B$7,周转筐出入库明细!$F$4:$F$2004,"采购入库",周转筐出入库明细!$B$4:$B$2004,"&gt;="&amp;$BC$1,周转筐出入库明细!$B$4:$B$2004,"&lt;="&amp;$BC$2))</f>
        <v>0</v>
      </c>
      <c r="S13" s="25">
        <f>IF(OR($B13="",基础资料!$B$8=""),"",SUMIFS(周转筐出入库明细!$H$4:$H$2004,周转筐出入库明细!$C$4:$C$2004,$B13,周转筐出入库明细!$D$4:$D$2004,基础资料!$B$8,周转筐出入库明细!$F$4:$F$2004,"采购入库",周转筐出入库明细!$B$4:$B$2004,"&gt;="&amp;$BC$1,周转筐出入库明细!$B$4:$B$2004,"&lt;="&amp;$BC$2))</f>
        <v>0</v>
      </c>
      <c r="T13" s="25">
        <f t="shared" si="3"/>
        <v>0</v>
      </c>
      <c r="U13" s="25">
        <f>IF(OR($B13="",基础资料!$B$4=""),"",SUMIFS(周转筐出入库明细!$K$4:$K$2004,周转筐出入库明细!$C$4:$C$2004,$B13,周转筐出入库明细!$D$4:$D$2004,基础资料!$B$4,周转筐出入库明细!$B$4:$B$2004,"&gt;="&amp;$BC$1,周转筐出入库明细!$B$4:$B$2004,"&lt;="&amp;$BC$2))</f>
        <v>0</v>
      </c>
      <c r="V13" s="25">
        <f>IF(OR($B13="",基础资料!$B$5=""),"",SUMIFS(周转筐出入库明细!$K$4:$K$2004,周转筐出入库明细!$C$4:$C$2004,$B13,周转筐出入库明细!$D$4:$D$2004,基础资料!$B$5,周转筐出入库明细!$B$4:$B$2004,"&gt;="&amp;$BC$1,周转筐出入库明细!$B$4:$B$2004,"&lt;="&amp;$BC$2))</f>
        <v>0</v>
      </c>
      <c r="W13" s="25">
        <f>IF(OR($B13="",基础资料!$B$6=""),"",SUMIFS(周转筐出入库明细!$K$4:$K$2004,周转筐出入库明细!$C$4:$C$2004,$B13,周转筐出入库明细!$D$4:$D$2004,基础资料!$B$6,周转筐出入库明细!$B$4:$B$2004,"&gt;="&amp;$BC$1,周转筐出入库明细!$B$4:$B$2004,"&lt;="&amp;$BC$2))</f>
        <v>0</v>
      </c>
      <c r="X13" s="25">
        <f>IF(OR($B13="",基础资料!$B$7=""),"",SUMIFS(周转筐出入库明细!$K$4:$K$2004,周转筐出入库明细!$C$4:$C$2004,$B13,周转筐出入库明细!$D$4:$D$2004,基础资料!$B$7,周转筐出入库明细!$B$4:$B$2004,"&gt;="&amp;$BC$1,周转筐出入库明细!$B$4:$B$2004,"&lt;="&amp;$BC$2))</f>
        <v>0</v>
      </c>
      <c r="Y13" s="25">
        <f>IF(OR($B13="",基础资料!$B$8=""),"",SUMIFS(周转筐出入库明细!$K$4:$K$2004,周转筐出入库明细!$C$4:$C$2004,$B13,周转筐出入库明细!$D$4:$D$2004,基础资料!$B$8,周转筐出入库明细!$B$4:$B$2004,"&gt;="&amp;$BC$1,周转筐出入库明细!$B$4:$B$2004,"&lt;="&amp;$BC$2))</f>
        <v>0</v>
      </c>
      <c r="Z13" s="25">
        <f t="shared" si="4"/>
        <v>0</v>
      </c>
      <c r="AA13" s="67">
        <f>IF(OR($B13="",基础资料!$B$4=""),"",-SUMIFS(对接源_01水果筐数!$D$5:$D$304,对接源_01水果筐数!$B$5:$B$304,$B13,对接源_01水果筐数!$C$5:$C$304,基础资料!$B$4))</f>
        <v>0</v>
      </c>
      <c r="AB13" s="67">
        <f>IF(OR($B13="",基础资料!$B$5=""),"",-SUMIFS(对接源_01水果筐数!$D$5:$D$304,对接源_01水果筐数!$B$5:$B$304,$B13,对接源_01水果筐数!$C$5:$C$304,基础资料!$B$5))</f>
        <v>0</v>
      </c>
      <c r="AC13" s="67">
        <f>IF(OR($B13="",基础资料!$B$6=""),"",-SUMIFS(对接源_01水果筐数!$D$5:$D$304,对接源_01水果筐数!$B$5:$B$304,$B13,对接源_01水果筐数!$C$5:$C$304,基础资料!$B$6))</f>
        <v>0</v>
      </c>
      <c r="AD13" s="67">
        <f>IF(OR($B13="",基础资料!$B$7=""),"",-SUMIFS(对接源_01水果筐数!$D$5:$D$304,对接源_01水果筐数!$B$5:$B$304,$B13,对接源_01水果筐数!$C$5:$C$304,基础资料!$B$7))</f>
        <v>0</v>
      </c>
      <c r="AE13" s="67">
        <f>IF(OR($B13="",基础资料!$B$8=""),"",-SUMIFS(对接源_01水果筐数!$D$5:$D$304,对接源_01水果筐数!$B$5:$B$304,$B13,对接源_01水果筐数!$C$5:$C$304,基础资料!$B$8))</f>
        <v>-1216</v>
      </c>
      <c r="AF13" s="25">
        <f>IF(OR($B13="",基础资料!$B$4=""),"",SUMIFS(对接源_01水果筐数!$E$5:$E$304,对接源_01水果筐数!$B$5:$B$304,$B13,对接源_01水果筐数!$C$5:$C$304,基础资料!$B$4))</f>
        <v>0</v>
      </c>
      <c r="AG13" s="25">
        <f>IF(OR($B13="",基础资料!$B$5=""),"",SUMIFS(对接源_01水果筐数!$E$5:$E$304,对接源_01水果筐数!$B$5:$B$304,$B13,对接源_01水果筐数!$C$5:$C$304,基础资料!$B$5))</f>
        <v>0</v>
      </c>
      <c r="AH13" s="25">
        <f>IF(OR($B13="",基础资料!$B$6=""),"",SUMIFS(对接源_01水果筐数!$E$5:$E$304,对接源_01水果筐数!$B$5:$B$304,$B13,对接源_01水果筐数!$C$5:$C$304,基础资料!$B$6))</f>
        <v>0</v>
      </c>
      <c r="AI13" s="25">
        <f>IF(OR($B13="",基础资料!$B$7=""),"",SUMIFS(对接源_01水果筐数!$E$5:$E$304,对接源_01水果筐数!$B$5:$B$304,$B13,对接源_01水果筐数!$C$5:$C$304,基础资料!$B$7))</f>
        <v>0</v>
      </c>
      <c r="AJ13" s="25">
        <f>IF(OR($B13="",基础资料!$B$8=""),"",SUMIFS(对接源_01水果筐数!$E$5:$E$304,对接源_01水果筐数!$B$5:$B$304,$B13,对接源_01水果筐数!$C$5:$C$304,基础资料!$B$8))</f>
        <v>0</v>
      </c>
      <c r="AK13" s="25">
        <f>IF(OR($B13="",基础资料!$B$4=""),"",SUMIFS(对接源_01水果筐数!$F$5:$F$304,对接源_01水果筐数!$B$5:$B$304,$B13,对接源_01水果筐数!$C$5:$C$304,基础资料!$B$4))</f>
        <v>0</v>
      </c>
      <c r="AL13" s="25">
        <f>IF(OR($B13="",基础资料!$B$5=""),"",SUMIFS(对接源_01水果筐数!$F$5:$F$304,对接源_01水果筐数!$B$5:$B$304,$B13,对接源_01水果筐数!$C$5:$C$304,基础资料!$B$5))</f>
        <v>0</v>
      </c>
      <c r="AM13" s="25">
        <f>IF(OR($B13="",基础资料!$B$6=""),"",SUMIFS(对接源_01水果筐数!$F$5:$F$304,对接源_01水果筐数!$B$5:$B$304,$B13,对接源_01水果筐数!$C$5:$C$304,基础资料!$B$6))</f>
        <v>0</v>
      </c>
      <c r="AN13" s="25">
        <f>IF(OR($B13="",基础资料!$B$7=""),"",SUMIFS(对接源_01水果筐数!$F$5:$F$304,对接源_01水果筐数!$B$5:$B$304,$B13,对接源_01水果筐数!$C$5:$C$304,基础资料!$B$7))</f>
        <v>0</v>
      </c>
      <c r="AO13" s="25">
        <f>IF(OR($B13="",基础资料!$B$8=""),"",SUMIFS(对接源_01水果筐数!$F$5:$F$304,对接源_01水果筐数!$B$5:$B$304,$B13,对接源_01水果筐数!$C$5:$C$304,基础资料!$B$8))</f>
        <v>0</v>
      </c>
      <c r="AP13" s="25">
        <f t="shared" si="5"/>
        <v>0</v>
      </c>
      <c r="AQ13" s="25">
        <f t="shared" si="11"/>
        <v>0</v>
      </c>
      <c r="AR13" s="25">
        <f t="shared" si="6"/>
        <v>0</v>
      </c>
      <c r="AS13" s="25">
        <f t="shared" si="7"/>
        <v>0</v>
      </c>
      <c r="AT13" s="25">
        <f t="shared" si="8"/>
        <v>1085</v>
      </c>
      <c r="AU13" s="25">
        <f t="shared" si="9"/>
        <v>1085</v>
      </c>
      <c r="AV13" s="24" t="str">
        <f t="shared" si="10"/>
        <v>⚠ 有 1085 个筐未回</v>
      </c>
      <c r="AW13" s="72"/>
    </row>
    <row r="14" spans="1:55">
      <c r="A14" s="22">
        <f t="shared" si="0"/>
        <v>11</v>
      </c>
      <c r="B14" s="24" t="str">
        <f>IFERROR(INDEX(_自动清单!$CC$4:$CC$253,ROW()-3),"")</f>
        <v>贾建国</v>
      </c>
      <c r="C14" s="25">
        <f>IF(OR($B14="",基础资料!$B$4=""),"",SUMIFS(周转筐出入库明细!$J$4:$J$2004,周转筐出入库明细!$C$4:$C$2004,$B14,周转筐出入库明细!$D$4:$D$2004,基础资料!$B$4,周转筐出入库明细!$B$4:$B$2004,"&gt;="&amp;$BC$1,周转筐出入库明细!$B$4:$B$2004,"&lt;="&amp;$BC$2))</f>
        <v>0</v>
      </c>
      <c r="D14" s="25">
        <f>IF(OR($B14="",基础资料!$B$5=""),"",SUMIFS(周转筐出入库明细!$J$4:$J$2004,周转筐出入库明细!$C$4:$C$2004,$B14,周转筐出入库明细!$D$4:$D$2004,基础资料!$B$5,周转筐出入库明细!$B$4:$B$2004,"&gt;="&amp;$BC$1,周转筐出入库明细!$B$4:$B$2004,"&lt;="&amp;$BC$2))</f>
        <v>0</v>
      </c>
      <c r="E14" s="25">
        <f>IF(OR($B14="",基础资料!$B$6=""),"",SUMIFS(周转筐出入库明细!$J$4:$J$2004,周转筐出入库明细!$C$4:$C$2004,$B14,周转筐出入库明细!$D$4:$D$2004,基础资料!$B$6,周转筐出入库明细!$B$4:$B$2004,"&gt;="&amp;$BC$1,周转筐出入库明细!$B$4:$B$2004,"&lt;="&amp;$BC$2))</f>
        <v>1011</v>
      </c>
      <c r="F14" s="25">
        <f>IF(OR($B14="",基础资料!$B$7=""),"",SUMIFS(周转筐出入库明细!$J$4:$J$2004,周转筐出入库明细!$C$4:$C$2004,$B14,周转筐出入库明细!$D$4:$D$2004,基础资料!$B$7,周转筐出入库明细!$B$4:$B$2004,"&gt;="&amp;$BC$1,周转筐出入库明细!$B$4:$B$2004,"&lt;="&amp;$BC$2))</f>
        <v>0</v>
      </c>
      <c r="G14" s="25">
        <f>IF(OR($B14="",基础资料!$B$8=""),"",SUMIFS(周转筐出入库明细!$J$4:$J$2004,周转筐出入库明细!$C$4:$C$2004,$B14,周转筐出入库明细!$D$4:$D$2004,基础资料!$B$8,周转筐出入库明细!$B$4:$B$2004,"&gt;="&amp;$BC$1,周转筐出入库明细!$B$4:$B$2004,"&lt;="&amp;$BC$2))</f>
        <v>0</v>
      </c>
      <c r="H14" s="25">
        <f t="shared" si="1"/>
        <v>1011</v>
      </c>
      <c r="I14" s="67">
        <f>IF(OR($B14="",基础资料!$B$4=""),"",-SUMIFS(周转筐出入库明细!$I$4:$I$2004,周转筐出入库明细!$C$4:$C$2004,$B14,周转筐出入库明细!$D$4:$D$2004,基础资料!$B$4,周转筐出入库明细!$B$4:$B$2004,"&gt;="&amp;$BC$1,周转筐出入库明细!$B$4:$B$2004,"&lt;="&amp;$BC$2))</f>
        <v>0</v>
      </c>
      <c r="J14" s="67">
        <f>IF(OR($B14="",基础资料!$B$5=""),"",-SUMIFS(周转筐出入库明细!$I$4:$I$2004,周转筐出入库明细!$C$4:$C$2004,$B14,周转筐出入库明细!$D$4:$D$2004,基础资料!$B$5,周转筐出入库明细!$B$4:$B$2004,"&gt;="&amp;$BC$1,周转筐出入库明细!$B$4:$B$2004,"&lt;="&amp;$BC$2))</f>
        <v>0</v>
      </c>
      <c r="K14" s="67">
        <f>IF(OR($B14="",基础资料!$B$6=""),"",-SUMIFS(周转筐出入库明细!$I$4:$I$2004,周转筐出入库明细!$C$4:$C$2004,$B14,周转筐出入库明细!$D$4:$D$2004,基础资料!$B$6,周转筐出入库明细!$B$4:$B$2004,"&gt;="&amp;$BC$1,周转筐出入库明细!$B$4:$B$2004,"&lt;="&amp;$BC$2))</f>
        <v>0</v>
      </c>
      <c r="L14" s="67">
        <f>IF(OR($B14="",基础资料!$B$7=""),"",-SUMIFS(周转筐出入库明细!$I$4:$I$2004,周转筐出入库明细!$C$4:$C$2004,$B14,周转筐出入库明细!$D$4:$D$2004,基础资料!$B$7,周转筐出入库明细!$B$4:$B$2004,"&gt;="&amp;$BC$1,周转筐出入库明细!$B$4:$B$2004,"&lt;="&amp;$BC$2))</f>
        <v>0</v>
      </c>
      <c r="M14" s="67">
        <f>IF(OR($B14="",基础资料!$B$8=""),"",-SUMIFS(周转筐出入库明细!$I$4:$I$2004,周转筐出入库明细!$C$4:$C$2004,$B14,周转筐出入库明细!$D$4:$D$2004,基础资料!$B$8,周转筐出入库明细!$B$4:$B$2004,"&gt;="&amp;$BC$1,周转筐出入库明细!$B$4:$B$2004,"&lt;="&amp;$BC$2))</f>
        <v>0</v>
      </c>
      <c r="N14" s="67">
        <f t="shared" si="2"/>
        <v>0</v>
      </c>
      <c r="O14" s="25">
        <f>IF(OR($B14="",基础资料!$B$4=""),"",SUMIFS(周转筐出入库明细!$H$4:$H$2004,周转筐出入库明细!$C$4:$C$2004,$B14,周转筐出入库明细!$D$4:$D$2004,基础资料!$B$4,周转筐出入库明细!$F$4:$F$2004,"采购入库",周转筐出入库明细!$B$4:$B$2004,"&gt;="&amp;$BC$1,周转筐出入库明细!$B$4:$B$2004,"&lt;="&amp;$BC$2))</f>
        <v>0</v>
      </c>
      <c r="P14" s="25">
        <f>IF(OR($B14="",基础资料!$B$5=""),"",SUMIFS(周转筐出入库明细!$H$4:$H$2004,周转筐出入库明细!$C$4:$C$2004,$B14,周转筐出入库明细!$D$4:$D$2004,基础资料!$B$5,周转筐出入库明细!$F$4:$F$2004,"采购入库",周转筐出入库明细!$B$4:$B$2004,"&gt;="&amp;$BC$1,周转筐出入库明细!$B$4:$B$2004,"&lt;="&amp;$BC$2))</f>
        <v>0</v>
      </c>
      <c r="Q14" s="25">
        <f>IF(OR($B14="",基础资料!$B$6=""),"",SUMIFS(周转筐出入库明细!$H$4:$H$2004,周转筐出入库明细!$C$4:$C$2004,$B14,周转筐出入库明细!$D$4:$D$2004,基础资料!$B$6,周转筐出入库明细!$F$4:$F$2004,"采购入库",周转筐出入库明细!$B$4:$B$2004,"&gt;="&amp;$BC$1,周转筐出入库明细!$B$4:$B$2004,"&lt;="&amp;$BC$2))</f>
        <v>0</v>
      </c>
      <c r="R14" s="25">
        <f>IF(OR($B14="",基础资料!$B$7=""),"",SUMIFS(周转筐出入库明细!$H$4:$H$2004,周转筐出入库明细!$C$4:$C$2004,$B14,周转筐出入库明细!$D$4:$D$2004,基础资料!$B$7,周转筐出入库明细!$F$4:$F$2004,"采购入库",周转筐出入库明细!$B$4:$B$2004,"&gt;="&amp;$BC$1,周转筐出入库明细!$B$4:$B$2004,"&lt;="&amp;$BC$2))</f>
        <v>0</v>
      </c>
      <c r="S14" s="25">
        <f>IF(OR($B14="",基础资料!$B$8=""),"",SUMIFS(周转筐出入库明细!$H$4:$H$2004,周转筐出入库明细!$C$4:$C$2004,$B14,周转筐出入库明细!$D$4:$D$2004,基础资料!$B$8,周转筐出入库明细!$F$4:$F$2004,"采购入库",周转筐出入库明细!$B$4:$B$2004,"&gt;="&amp;$BC$1,周转筐出入库明细!$B$4:$B$2004,"&lt;="&amp;$BC$2))</f>
        <v>0</v>
      </c>
      <c r="T14" s="25">
        <f t="shared" si="3"/>
        <v>0</v>
      </c>
      <c r="U14" s="25">
        <f>IF(OR($B14="",基础资料!$B$4=""),"",SUMIFS(周转筐出入库明细!$K$4:$K$2004,周转筐出入库明细!$C$4:$C$2004,$B14,周转筐出入库明细!$D$4:$D$2004,基础资料!$B$4,周转筐出入库明细!$B$4:$B$2004,"&gt;="&amp;$BC$1,周转筐出入库明细!$B$4:$B$2004,"&lt;="&amp;$BC$2))</f>
        <v>0</v>
      </c>
      <c r="V14" s="25">
        <f>IF(OR($B14="",基础资料!$B$5=""),"",SUMIFS(周转筐出入库明细!$K$4:$K$2004,周转筐出入库明细!$C$4:$C$2004,$B14,周转筐出入库明细!$D$4:$D$2004,基础资料!$B$5,周转筐出入库明细!$B$4:$B$2004,"&gt;="&amp;$BC$1,周转筐出入库明细!$B$4:$B$2004,"&lt;="&amp;$BC$2))</f>
        <v>0</v>
      </c>
      <c r="W14" s="25">
        <f>IF(OR($B14="",基础资料!$B$6=""),"",SUMIFS(周转筐出入库明细!$K$4:$K$2004,周转筐出入库明细!$C$4:$C$2004,$B14,周转筐出入库明细!$D$4:$D$2004,基础资料!$B$6,周转筐出入库明细!$B$4:$B$2004,"&gt;="&amp;$BC$1,周转筐出入库明细!$B$4:$B$2004,"&lt;="&amp;$BC$2))</f>
        <v>0</v>
      </c>
      <c r="X14" s="25">
        <f>IF(OR($B14="",基础资料!$B$7=""),"",SUMIFS(周转筐出入库明细!$K$4:$K$2004,周转筐出入库明细!$C$4:$C$2004,$B14,周转筐出入库明细!$D$4:$D$2004,基础资料!$B$7,周转筐出入库明细!$B$4:$B$2004,"&gt;="&amp;$BC$1,周转筐出入库明细!$B$4:$B$2004,"&lt;="&amp;$BC$2))</f>
        <v>0</v>
      </c>
      <c r="Y14" s="25">
        <f>IF(OR($B14="",基础资料!$B$8=""),"",SUMIFS(周转筐出入库明细!$K$4:$K$2004,周转筐出入库明细!$C$4:$C$2004,$B14,周转筐出入库明细!$D$4:$D$2004,基础资料!$B$8,周转筐出入库明细!$B$4:$B$2004,"&gt;="&amp;$BC$1,周转筐出入库明细!$B$4:$B$2004,"&lt;="&amp;$BC$2))</f>
        <v>0</v>
      </c>
      <c r="Z14" s="25">
        <f t="shared" si="4"/>
        <v>0</v>
      </c>
      <c r="AA14" s="67">
        <f>IF(OR($B14="",基础资料!$B$4=""),"",-SUMIFS(对接源_01水果筐数!$D$5:$D$304,对接源_01水果筐数!$B$5:$B$304,$B14,对接源_01水果筐数!$C$5:$C$304,基础资料!$B$4))</f>
        <v>-5</v>
      </c>
      <c r="AB14" s="67">
        <f>IF(OR($B14="",基础资料!$B$5=""),"",-SUMIFS(对接源_01水果筐数!$D$5:$D$304,对接源_01水果筐数!$B$5:$B$304,$B14,对接源_01水果筐数!$C$5:$C$304,基础资料!$B$5))</f>
        <v>0</v>
      </c>
      <c r="AC14" s="67">
        <f>IF(OR($B14="",基础资料!$B$6=""),"",-SUMIFS(对接源_01水果筐数!$D$5:$D$304,对接源_01水果筐数!$B$5:$B$304,$B14,对接源_01水果筐数!$C$5:$C$304,基础资料!$B$6))</f>
        <v>-74</v>
      </c>
      <c r="AD14" s="67">
        <f>IF(OR($B14="",基础资料!$B$7=""),"",-SUMIFS(对接源_01水果筐数!$D$5:$D$304,对接源_01水果筐数!$B$5:$B$304,$B14,对接源_01水果筐数!$C$5:$C$304,基础资料!$B$7))</f>
        <v>0</v>
      </c>
      <c r="AE14" s="67">
        <f>IF(OR($B14="",基础资料!$B$8=""),"",-SUMIFS(对接源_01水果筐数!$D$5:$D$304,对接源_01水果筐数!$B$5:$B$304,$B14,对接源_01水果筐数!$C$5:$C$304,基础资料!$B$8))</f>
        <v>0</v>
      </c>
      <c r="AF14" s="25">
        <f>IF(OR($B14="",基础资料!$B$4=""),"",SUMIFS(对接源_01水果筐数!$E$5:$E$304,对接源_01水果筐数!$B$5:$B$304,$B14,对接源_01水果筐数!$C$5:$C$304,基础资料!$B$4))</f>
        <v>0</v>
      </c>
      <c r="AG14" s="25">
        <f>IF(OR($B14="",基础资料!$B$5=""),"",SUMIFS(对接源_01水果筐数!$E$5:$E$304,对接源_01水果筐数!$B$5:$B$304,$B14,对接源_01水果筐数!$C$5:$C$304,基础资料!$B$5))</f>
        <v>0</v>
      </c>
      <c r="AH14" s="25">
        <f>IF(OR($B14="",基础资料!$B$6=""),"",SUMIFS(对接源_01水果筐数!$E$5:$E$304,对接源_01水果筐数!$B$5:$B$304,$B14,对接源_01水果筐数!$C$5:$C$304,基础资料!$B$6))</f>
        <v>0</v>
      </c>
      <c r="AI14" s="25">
        <f>IF(OR($B14="",基础资料!$B$7=""),"",SUMIFS(对接源_01水果筐数!$E$5:$E$304,对接源_01水果筐数!$B$5:$B$304,$B14,对接源_01水果筐数!$C$5:$C$304,基础资料!$B$7))</f>
        <v>0</v>
      </c>
      <c r="AJ14" s="25">
        <f>IF(OR($B14="",基础资料!$B$8=""),"",SUMIFS(对接源_01水果筐数!$E$5:$E$304,对接源_01水果筐数!$B$5:$B$304,$B14,对接源_01水果筐数!$C$5:$C$304,基础资料!$B$8))</f>
        <v>0</v>
      </c>
      <c r="AK14" s="25">
        <f>IF(OR($B14="",基础资料!$B$4=""),"",SUMIFS(对接源_01水果筐数!$F$5:$F$304,对接源_01水果筐数!$B$5:$B$304,$B14,对接源_01水果筐数!$C$5:$C$304,基础资料!$B$4))</f>
        <v>0</v>
      </c>
      <c r="AL14" s="25">
        <f>IF(OR($B14="",基础资料!$B$5=""),"",SUMIFS(对接源_01水果筐数!$F$5:$F$304,对接源_01水果筐数!$B$5:$B$304,$B14,对接源_01水果筐数!$C$5:$C$304,基础资料!$B$5))</f>
        <v>0</v>
      </c>
      <c r="AM14" s="25">
        <f>IF(OR($B14="",基础资料!$B$6=""),"",SUMIFS(对接源_01水果筐数!$F$5:$F$304,对接源_01水果筐数!$B$5:$B$304,$B14,对接源_01水果筐数!$C$5:$C$304,基础资料!$B$6))</f>
        <v>0</v>
      </c>
      <c r="AN14" s="25">
        <f>IF(OR($B14="",基础资料!$B$7=""),"",SUMIFS(对接源_01水果筐数!$F$5:$F$304,对接源_01水果筐数!$B$5:$B$304,$B14,对接源_01水果筐数!$C$5:$C$304,基础资料!$B$7))</f>
        <v>0</v>
      </c>
      <c r="AO14" s="25">
        <f>IF(OR($B14="",基础资料!$B$8=""),"",SUMIFS(对接源_01水果筐数!$F$5:$F$304,对接源_01水果筐数!$B$5:$B$304,$B14,对接源_01水果筐数!$C$5:$C$304,基础资料!$B$8))</f>
        <v>0</v>
      </c>
      <c r="AP14" s="25">
        <f t="shared" si="5"/>
        <v>-5</v>
      </c>
      <c r="AQ14" s="25">
        <f t="shared" si="11"/>
        <v>0</v>
      </c>
      <c r="AR14" s="25">
        <f t="shared" si="6"/>
        <v>937</v>
      </c>
      <c r="AS14" s="25">
        <f t="shared" si="7"/>
        <v>0</v>
      </c>
      <c r="AT14" s="25">
        <f t="shared" si="8"/>
        <v>0</v>
      </c>
      <c r="AU14" s="25">
        <f t="shared" si="9"/>
        <v>932</v>
      </c>
      <c r="AV14" s="24" t="str">
        <f t="shared" si="10"/>
        <v>⚠ 有 932 个筐未回</v>
      </c>
      <c r="AW14" s="72"/>
    </row>
    <row r="15" spans="1:55">
      <c r="A15" s="22">
        <f t="shared" si="0"/>
        <v>12</v>
      </c>
      <c r="B15" s="24" t="str">
        <f>IFERROR(INDEX(_自动清单!$CC$4:$CC$253,ROW()-3),"")</f>
        <v>吐尔逊</v>
      </c>
      <c r="C15" s="25">
        <f>IF(OR($B15="",基础资料!$B$4=""),"",SUMIFS(周转筐出入库明细!$J$4:$J$2004,周转筐出入库明细!$C$4:$C$2004,$B15,周转筐出入库明细!$D$4:$D$2004,基础资料!$B$4,周转筐出入库明细!$B$4:$B$2004,"&gt;="&amp;$BC$1,周转筐出入库明细!$B$4:$B$2004,"&lt;="&amp;$BC$2))</f>
        <v>1008</v>
      </c>
      <c r="D15" s="25">
        <f>IF(OR($B15="",基础资料!$B$5=""),"",SUMIFS(周转筐出入库明细!$J$4:$J$2004,周转筐出入库明细!$C$4:$C$2004,$B15,周转筐出入库明细!$D$4:$D$2004,基础资料!$B$5,周转筐出入库明细!$B$4:$B$2004,"&gt;="&amp;$BC$1,周转筐出入库明细!$B$4:$B$2004,"&lt;="&amp;$BC$2))</f>
        <v>0</v>
      </c>
      <c r="E15" s="25">
        <f>IF(OR($B15="",基础资料!$B$6=""),"",SUMIFS(周转筐出入库明细!$J$4:$J$2004,周转筐出入库明细!$C$4:$C$2004,$B15,周转筐出入库明细!$D$4:$D$2004,基础资料!$B$6,周转筐出入库明细!$B$4:$B$2004,"&gt;="&amp;$BC$1,周转筐出入库明细!$B$4:$B$2004,"&lt;="&amp;$BC$2))</f>
        <v>0</v>
      </c>
      <c r="F15" s="25">
        <f>IF(OR($B15="",基础资料!$B$7=""),"",SUMIFS(周转筐出入库明细!$J$4:$J$2004,周转筐出入库明细!$C$4:$C$2004,$B15,周转筐出入库明细!$D$4:$D$2004,基础资料!$B$7,周转筐出入库明细!$B$4:$B$2004,"&gt;="&amp;$BC$1,周转筐出入库明细!$B$4:$B$2004,"&lt;="&amp;$BC$2))</f>
        <v>0</v>
      </c>
      <c r="G15" s="25">
        <f>IF(OR($B15="",基础资料!$B$8=""),"",SUMIFS(周转筐出入库明细!$J$4:$J$2004,周转筐出入库明细!$C$4:$C$2004,$B15,周转筐出入库明细!$D$4:$D$2004,基础资料!$B$8,周转筐出入库明细!$B$4:$B$2004,"&gt;="&amp;$BC$1,周转筐出入库明细!$B$4:$B$2004,"&lt;="&amp;$BC$2))</f>
        <v>0</v>
      </c>
      <c r="H15" s="25">
        <f t="shared" si="1"/>
        <v>1008</v>
      </c>
      <c r="I15" s="67">
        <f>IF(OR($B15="",基础资料!$B$4=""),"",-SUMIFS(周转筐出入库明细!$I$4:$I$2004,周转筐出入库明细!$C$4:$C$2004,$B15,周转筐出入库明细!$D$4:$D$2004,基础资料!$B$4,周转筐出入库明细!$B$4:$B$2004,"&gt;="&amp;$BC$1,周转筐出入库明细!$B$4:$B$2004,"&lt;="&amp;$BC$2))</f>
        <v>0</v>
      </c>
      <c r="J15" s="67">
        <f>IF(OR($B15="",基础资料!$B$5=""),"",-SUMIFS(周转筐出入库明细!$I$4:$I$2004,周转筐出入库明细!$C$4:$C$2004,$B15,周转筐出入库明细!$D$4:$D$2004,基础资料!$B$5,周转筐出入库明细!$B$4:$B$2004,"&gt;="&amp;$BC$1,周转筐出入库明细!$B$4:$B$2004,"&lt;="&amp;$BC$2))</f>
        <v>0</v>
      </c>
      <c r="K15" s="67">
        <f>IF(OR($B15="",基础资料!$B$6=""),"",-SUMIFS(周转筐出入库明细!$I$4:$I$2004,周转筐出入库明细!$C$4:$C$2004,$B15,周转筐出入库明细!$D$4:$D$2004,基础资料!$B$6,周转筐出入库明细!$B$4:$B$2004,"&gt;="&amp;$BC$1,周转筐出入库明细!$B$4:$B$2004,"&lt;="&amp;$BC$2))</f>
        <v>0</v>
      </c>
      <c r="L15" s="67">
        <f>IF(OR($B15="",基础资料!$B$7=""),"",-SUMIFS(周转筐出入库明细!$I$4:$I$2004,周转筐出入库明细!$C$4:$C$2004,$B15,周转筐出入库明细!$D$4:$D$2004,基础资料!$B$7,周转筐出入库明细!$B$4:$B$2004,"&gt;="&amp;$BC$1,周转筐出入库明细!$B$4:$B$2004,"&lt;="&amp;$BC$2))</f>
        <v>0</v>
      </c>
      <c r="M15" s="67">
        <f>IF(OR($B15="",基础资料!$B$8=""),"",-SUMIFS(周转筐出入库明细!$I$4:$I$2004,周转筐出入库明细!$C$4:$C$2004,$B15,周转筐出入库明细!$D$4:$D$2004,基础资料!$B$8,周转筐出入库明细!$B$4:$B$2004,"&gt;="&amp;$BC$1,周转筐出入库明细!$B$4:$B$2004,"&lt;="&amp;$BC$2))</f>
        <v>0</v>
      </c>
      <c r="N15" s="67">
        <f t="shared" si="2"/>
        <v>0</v>
      </c>
      <c r="O15" s="25">
        <f>IF(OR($B15="",基础资料!$B$4=""),"",SUMIFS(周转筐出入库明细!$H$4:$H$2004,周转筐出入库明细!$C$4:$C$2004,$B15,周转筐出入库明细!$D$4:$D$2004,基础资料!$B$4,周转筐出入库明细!$F$4:$F$2004,"采购入库",周转筐出入库明细!$B$4:$B$2004,"&gt;="&amp;$BC$1,周转筐出入库明细!$B$4:$B$2004,"&lt;="&amp;$BC$2))</f>
        <v>0</v>
      </c>
      <c r="P15" s="25">
        <f>IF(OR($B15="",基础资料!$B$5=""),"",SUMIFS(周转筐出入库明细!$H$4:$H$2004,周转筐出入库明细!$C$4:$C$2004,$B15,周转筐出入库明细!$D$4:$D$2004,基础资料!$B$5,周转筐出入库明细!$F$4:$F$2004,"采购入库",周转筐出入库明细!$B$4:$B$2004,"&gt;="&amp;$BC$1,周转筐出入库明细!$B$4:$B$2004,"&lt;="&amp;$BC$2))</f>
        <v>0</v>
      </c>
      <c r="Q15" s="25">
        <f>IF(OR($B15="",基础资料!$B$6=""),"",SUMIFS(周转筐出入库明细!$H$4:$H$2004,周转筐出入库明细!$C$4:$C$2004,$B15,周转筐出入库明细!$D$4:$D$2004,基础资料!$B$6,周转筐出入库明细!$F$4:$F$2004,"采购入库",周转筐出入库明细!$B$4:$B$2004,"&gt;="&amp;$BC$1,周转筐出入库明细!$B$4:$B$2004,"&lt;="&amp;$BC$2))</f>
        <v>0</v>
      </c>
      <c r="R15" s="25">
        <f>IF(OR($B15="",基础资料!$B$7=""),"",SUMIFS(周转筐出入库明细!$H$4:$H$2004,周转筐出入库明细!$C$4:$C$2004,$B15,周转筐出入库明细!$D$4:$D$2004,基础资料!$B$7,周转筐出入库明细!$F$4:$F$2004,"采购入库",周转筐出入库明细!$B$4:$B$2004,"&gt;="&amp;$BC$1,周转筐出入库明细!$B$4:$B$2004,"&lt;="&amp;$BC$2))</f>
        <v>0</v>
      </c>
      <c r="S15" s="25">
        <f>IF(OR($B15="",基础资料!$B$8=""),"",SUMIFS(周转筐出入库明细!$H$4:$H$2004,周转筐出入库明细!$C$4:$C$2004,$B15,周转筐出入库明细!$D$4:$D$2004,基础资料!$B$8,周转筐出入库明细!$F$4:$F$2004,"采购入库",周转筐出入库明细!$B$4:$B$2004,"&gt;="&amp;$BC$1,周转筐出入库明细!$B$4:$B$2004,"&lt;="&amp;$BC$2))</f>
        <v>0</v>
      </c>
      <c r="T15" s="25">
        <f t="shared" si="3"/>
        <v>0</v>
      </c>
      <c r="U15" s="25">
        <f>IF(OR($B15="",基础资料!$B$4=""),"",SUMIFS(周转筐出入库明细!$K$4:$K$2004,周转筐出入库明细!$C$4:$C$2004,$B15,周转筐出入库明细!$D$4:$D$2004,基础资料!$B$4,周转筐出入库明细!$B$4:$B$2004,"&gt;="&amp;$BC$1,周转筐出入库明细!$B$4:$B$2004,"&lt;="&amp;$BC$2))</f>
        <v>0</v>
      </c>
      <c r="V15" s="25">
        <f>IF(OR($B15="",基础资料!$B$5=""),"",SUMIFS(周转筐出入库明细!$K$4:$K$2004,周转筐出入库明细!$C$4:$C$2004,$B15,周转筐出入库明细!$D$4:$D$2004,基础资料!$B$5,周转筐出入库明细!$B$4:$B$2004,"&gt;="&amp;$BC$1,周转筐出入库明细!$B$4:$B$2004,"&lt;="&amp;$BC$2))</f>
        <v>0</v>
      </c>
      <c r="W15" s="25">
        <f>IF(OR($B15="",基础资料!$B$6=""),"",SUMIFS(周转筐出入库明细!$K$4:$K$2004,周转筐出入库明细!$C$4:$C$2004,$B15,周转筐出入库明细!$D$4:$D$2004,基础资料!$B$6,周转筐出入库明细!$B$4:$B$2004,"&gt;="&amp;$BC$1,周转筐出入库明细!$B$4:$B$2004,"&lt;="&amp;$BC$2))</f>
        <v>0</v>
      </c>
      <c r="X15" s="25">
        <f>IF(OR($B15="",基础资料!$B$7=""),"",SUMIFS(周转筐出入库明细!$K$4:$K$2004,周转筐出入库明细!$C$4:$C$2004,$B15,周转筐出入库明细!$D$4:$D$2004,基础资料!$B$7,周转筐出入库明细!$B$4:$B$2004,"&gt;="&amp;$BC$1,周转筐出入库明细!$B$4:$B$2004,"&lt;="&amp;$BC$2))</f>
        <v>0</v>
      </c>
      <c r="Y15" s="25">
        <f>IF(OR($B15="",基础资料!$B$8=""),"",SUMIFS(周转筐出入库明细!$K$4:$K$2004,周转筐出入库明细!$C$4:$C$2004,$B15,周转筐出入库明细!$D$4:$D$2004,基础资料!$B$8,周转筐出入库明细!$B$4:$B$2004,"&gt;="&amp;$BC$1,周转筐出入库明细!$B$4:$B$2004,"&lt;="&amp;$BC$2))</f>
        <v>0</v>
      </c>
      <c r="Z15" s="25">
        <f t="shared" si="4"/>
        <v>0</v>
      </c>
      <c r="AA15" s="67">
        <f>IF(OR($B15="",基础资料!$B$4=""),"",-SUMIFS(对接源_01水果筐数!$D$5:$D$304,对接源_01水果筐数!$B$5:$B$304,$B15,对接源_01水果筐数!$C$5:$C$304,基础资料!$B$4))</f>
        <v>0</v>
      </c>
      <c r="AB15" s="67">
        <f>IF(OR($B15="",基础资料!$B$5=""),"",-SUMIFS(对接源_01水果筐数!$D$5:$D$304,对接源_01水果筐数!$B$5:$B$304,$B15,对接源_01水果筐数!$C$5:$C$304,基础资料!$B$5))</f>
        <v>0</v>
      </c>
      <c r="AC15" s="67">
        <f>IF(OR($B15="",基础资料!$B$6=""),"",-SUMIFS(对接源_01水果筐数!$D$5:$D$304,对接源_01水果筐数!$B$5:$B$304,$B15,对接源_01水果筐数!$C$5:$C$304,基础资料!$B$6))</f>
        <v>0</v>
      </c>
      <c r="AD15" s="67">
        <f>IF(OR($B15="",基础资料!$B$7=""),"",-SUMIFS(对接源_01水果筐数!$D$5:$D$304,对接源_01水果筐数!$B$5:$B$304,$B15,对接源_01水果筐数!$C$5:$C$304,基础资料!$B$7))</f>
        <v>0</v>
      </c>
      <c r="AE15" s="67">
        <f>IF(OR($B15="",基础资料!$B$8=""),"",-SUMIFS(对接源_01水果筐数!$D$5:$D$304,对接源_01水果筐数!$B$5:$B$304,$B15,对接源_01水果筐数!$C$5:$C$304,基础资料!$B$8))</f>
        <v>0</v>
      </c>
      <c r="AF15" s="25">
        <f>IF(OR($B15="",基础资料!$B$4=""),"",SUMIFS(对接源_01水果筐数!$E$5:$E$304,对接源_01水果筐数!$B$5:$B$304,$B15,对接源_01水果筐数!$C$5:$C$304,基础资料!$B$4))</f>
        <v>0</v>
      </c>
      <c r="AG15" s="25">
        <f>IF(OR($B15="",基础资料!$B$5=""),"",SUMIFS(对接源_01水果筐数!$E$5:$E$304,对接源_01水果筐数!$B$5:$B$304,$B15,对接源_01水果筐数!$C$5:$C$304,基础资料!$B$5))</f>
        <v>0</v>
      </c>
      <c r="AH15" s="25">
        <f>IF(OR($B15="",基础资料!$B$6=""),"",SUMIFS(对接源_01水果筐数!$E$5:$E$304,对接源_01水果筐数!$B$5:$B$304,$B15,对接源_01水果筐数!$C$5:$C$304,基础资料!$B$6))</f>
        <v>0</v>
      </c>
      <c r="AI15" s="25">
        <f>IF(OR($B15="",基础资料!$B$7=""),"",SUMIFS(对接源_01水果筐数!$E$5:$E$304,对接源_01水果筐数!$B$5:$B$304,$B15,对接源_01水果筐数!$C$5:$C$304,基础资料!$B$7))</f>
        <v>0</v>
      </c>
      <c r="AJ15" s="25">
        <f>IF(OR($B15="",基础资料!$B$8=""),"",SUMIFS(对接源_01水果筐数!$E$5:$E$304,对接源_01水果筐数!$B$5:$B$304,$B15,对接源_01水果筐数!$C$5:$C$304,基础资料!$B$8))</f>
        <v>0</v>
      </c>
      <c r="AK15" s="25">
        <f>IF(OR($B15="",基础资料!$B$4=""),"",SUMIFS(对接源_01水果筐数!$F$5:$F$304,对接源_01水果筐数!$B$5:$B$304,$B15,对接源_01水果筐数!$C$5:$C$304,基础资料!$B$4))</f>
        <v>0</v>
      </c>
      <c r="AL15" s="25">
        <f>IF(OR($B15="",基础资料!$B$5=""),"",SUMIFS(对接源_01水果筐数!$F$5:$F$304,对接源_01水果筐数!$B$5:$B$304,$B15,对接源_01水果筐数!$C$5:$C$304,基础资料!$B$5))</f>
        <v>0</v>
      </c>
      <c r="AM15" s="25">
        <f>IF(OR($B15="",基础资料!$B$6=""),"",SUMIFS(对接源_01水果筐数!$F$5:$F$304,对接源_01水果筐数!$B$5:$B$304,$B15,对接源_01水果筐数!$C$5:$C$304,基础资料!$B$6))</f>
        <v>0</v>
      </c>
      <c r="AN15" s="25">
        <f>IF(OR($B15="",基础资料!$B$7=""),"",SUMIFS(对接源_01水果筐数!$F$5:$F$304,对接源_01水果筐数!$B$5:$B$304,$B15,对接源_01水果筐数!$C$5:$C$304,基础资料!$B$7))</f>
        <v>0</v>
      </c>
      <c r="AO15" s="25">
        <f>IF(OR($B15="",基础资料!$B$8=""),"",SUMIFS(对接源_01水果筐数!$F$5:$F$304,对接源_01水果筐数!$B$5:$B$304,$B15,对接源_01水果筐数!$C$5:$C$304,基础资料!$B$8))</f>
        <v>0</v>
      </c>
      <c r="AP15" s="25">
        <f t="shared" si="5"/>
        <v>1008</v>
      </c>
      <c r="AQ15" s="25">
        <f t="shared" si="11"/>
        <v>0</v>
      </c>
      <c r="AR15" s="25">
        <f t="shared" si="6"/>
        <v>0</v>
      </c>
      <c r="AS15" s="25">
        <f t="shared" si="7"/>
        <v>0</v>
      </c>
      <c r="AT15" s="25">
        <f t="shared" si="8"/>
        <v>0</v>
      </c>
      <c r="AU15" s="25">
        <f t="shared" si="9"/>
        <v>1008</v>
      </c>
      <c r="AV15" s="24" t="str">
        <f t="shared" si="10"/>
        <v>⚠ 有 1008 个筐未回</v>
      </c>
      <c r="AW15" s="72"/>
    </row>
    <row r="16" spans="1:55">
      <c r="A16" s="22">
        <f t="shared" si="0"/>
        <v>13</v>
      </c>
      <c r="B16" s="24" t="str">
        <f>IFERROR(INDEX(_自动清单!$CC$4:$CC$253,ROW()-3),"")</f>
        <v>聂新平</v>
      </c>
      <c r="C16" s="25">
        <f>IF(OR($B16="",基础资料!$B$4=""),"",SUMIFS(周转筐出入库明细!$J$4:$J$2004,周转筐出入库明细!$C$4:$C$2004,$B16,周转筐出入库明细!$D$4:$D$2004,基础资料!$B$4,周转筐出入库明细!$B$4:$B$2004,"&gt;="&amp;$BC$1,周转筐出入库明细!$B$4:$B$2004,"&lt;="&amp;$BC$2))</f>
        <v>0</v>
      </c>
      <c r="D16" s="25">
        <f>IF(OR($B16="",基础资料!$B$5=""),"",SUMIFS(周转筐出入库明细!$J$4:$J$2004,周转筐出入库明细!$C$4:$C$2004,$B16,周转筐出入库明细!$D$4:$D$2004,基础资料!$B$5,周转筐出入库明细!$B$4:$B$2004,"&gt;="&amp;$BC$1,周转筐出入库明细!$B$4:$B$2004,"&lt;="&amp;$BC$2))</f>
        <v>0</v>
      </c>
      <c r="E16" s="25">
        <f>IF(OR($B16="",基础资料!$B$6=""),"",SUMIFS(周转筐出入库明细!$J$4:$J$2004,周转筐出入库明细!$C$4:$C$2004,$B16,周转筐出入库明细!$D$4:$D$2004,基础资料!$B$6,周转筐出入库明细!$B$4:$B$2004,"&gt;="&amp;$BC$1,周转筐出入库明细!$B$4:$B$2004,"&lt;="&amp;$BC$2))</f>
        <v>0</v>
      </c>
      <c r="F16" s="25">
        <f>IF(OR($B16="",基础资料!$B$7=""),"",SUMIFS(周转筐出入库明细!$J$4:$J$2004,周转筐出入库明细!$C$4:$C$2004,$B16,周转筐出入库明细!$D$4:$D$2004,基础资料!$B$7,周转筐出入库明细!$B$4:$B$2004,"&gt;="&amp;$BC$1,周转筐出入库明细!$B$4:$B$2004,"&lt;="&amp;$BC$2))</f>
        <v>0</v>
      </c>
      <c r="G16" s="25">
        <f>IF(OR($B16="",基础资料!$B$8=""),"",SUMIFS(周转筐出入库明细!$J$4:$J$2004,周转筐出入库明细!$C$4:$C$2004,$B16,周转筐出入库明细!$D$4:$D$2004,基础资料!$B$8,周转筐出入库明细!$B$4:$B$2004,"&gt;="&amp;$BC$1,周转筐出入库明细!$B$4:$B$2004,"&lt;="&amp;$BC$2))</f>
        <v>0</v>
      </c>
      <c r="H16" s="25">
        <f t="shared" si="1"/>
        <v>0</v>
      </c>
      <c r="I16" s="67">
        <f>IF(OR($B16="",基础资料!$B$4=""),"",-SUMIFS(周转筐出入库明细!$I$4:$I$2004,周转筐出入库明细!$C$4:$C$2004,$B16,周转筐出入库明细!$D$4:$D$2004,基础资料!$B$4,周转筐出入库明细!$B$4:$B$2004,"&gt;="&amp;$BC$1,周转筐出入库明细!$B$4:$B$2004,"&lt;="&amp;$BC$2))</f>
        <v>0</v>
      </c>
      <c r="J16" s="67">
        <f>IF(OR($B16="",基础资料!$B$5=""),"",-SUMIFS(周转筐出入库明细!$I$4:$I$2004,周转筐出入库明细!$C$4:$C$2004,$B16,周转筐出入库明细!$D$4:$D$2004,基础资料!$B$5,周转筐出入库明细!$B$4:$B$2004,"&gt;="&amp;$BC$1,周转筐出入库明细!$B$4:$B$2004,"&lt;="&amp;$BC$2))</f>
        <v>0</v>
      </c>
      <c r="K16" s="67">
        <f>IF(OR($B16="",基础资料!$B$6=""),"",-SUMIFS(周转筐出入库明细!$I$4:$I$2004,周转筐出入库明细!$C$4:$C$2004,$B16,周转筐出入库明细!$D$4:$D$2004,基础资料!$B$6,周转筐出入库明细!$B$4:$B$2004,"&gt;="&amp;$BC$1,周转筐出入库明细!$B$4:$B$2004,"&lt;="&amp;$BC$2))</f>
        <v>0</v>
      </c>
      <c r="L16" s="67">
        <f>IF(OR($B16="",基础资料!$B$7=""),"",-SUMIFS(周转筐出入库明细!$I$4:$I$2004,周转筐出入库明细!$C$4:$C$2004,$B16,周转筐出入库明细!$D$4:$D$2004,基础资料!$B$7,周转筐出入库明细!$B$4:$B$2004,"&gt;="&amp;$BC$1,周转筐出入库明细!$B$4:$B$2004,"&lt;="&amp;$BC$2))</f>
        <v>0</v>
      </c>
      <c r="M16" s="67">
        <f>IF(OR($B16="",基础资料!$B$8=""),"",-SUMIFS(周转筐出入库明细!$I$4:$I$2004,周转筐出入库明细!$C$4:$C$2004,$B16,周转筐出入库明细!$D$4:$D$2004,基础资料!$B$8,周转筐出入库明细!$B$4:$B$2004,"&gt;="&amp;$BC$1,周转筐出入库明细!$B$4:$B$2004,"&lt;="&amp;$BC$2))</f>
        <v>0</v>
      </c>
      <c r="N16" s="67">
        <f t="shared" si="2"/>
        <v>0</v>
      </c>
      <c r="O16" s="25">
        <f>IF(OR($B16="",基础资料!$B$4=""),"",SUMIFS(周转筐出入库明细!$H$4:$H$2004,周转筐出入库明细!$C$4:$C$2004,$B16,周转筐出入库明细!$D$4:$D$2004,基础资料!$B$4,周转筐出入库明细!$F$4:$F$2004,"采购入库",周转筐出入库明细!$B$4:$B$2004,"&gt;="&amp;$BC$1,周转筐出入库明细!$B$4:$B$2004,"&lt;="&amp;$BC$2))</f>
        <v>0</v>
      </c>
      <c r="P16" s="25">
        <f>IF(OR($B16="",基础资料!$B$5=""),"",SUMIFS(周转筐出入库明细!$H$4:$H$2004,周转筐出入库明细!$C$4:$C$2004,$B16,周转筐出入库明细!$D$4:$D$2004,基础资料!$B$5,周转筐出入库明细!$F$4:$F$2004,"采购入库",周转筐出入库明细!$B$4:$B$2004,"&gt;="&amp;$BC$1,周转筐出入库明细!$B$4:$B$2004,"&lt;="&amp;$BC$2))</f>
        <v>0</v>
      </c>
      <c r="Q16" s="25">
        <f>IF(OR($B16="",基础资料!$B$6=""),"",SUMIFS(周转筐出入库明细!$H$4:$H$2004,周转筐出入库明细!$C$4:$C$2004,$B16,周转筐出入库明细!$D$4:$D$2004,基础资料!$B$6,周转筐出入库明细!$F$4:$F$2004,"采购入库",周转筐出入库明细!$B$4:$B$2004,"&gt;="&amp;$BC$1,周转筐出入库明细!$B$4:$B$2004,"&lt;="&amp;$BC$2))</f>
        <v>0</v>
      </c>
      <c r="R16" s="25">
        <f>IF(OR($B16="",基础资料!$B$7=""),"",SUMIFS(周转筐出入库明细!$H$4:$H$2004,周转筐出入库明细!$C$4:$C$2004,$B16,周转筐出入库明细!$D$4:$D$2004,基础资料!$B$7,周转筐出入库明细!$F$4:$F$2004,"采购入库",周转筐出入库明细!$B$4:$B$2004,"&gt;="&amp;$BC$1,周转筐出入库明细!$B$4:$B$2004,"&lt;="&amp;$BC$2))</f>
        <v>0</v>
      </c>
      <c r="S16" s="25">
        <f>IF(OR($B16="",基础资料!$B$8=""),"",SUMIFS(周转筐出入库明细!$H$4:$H$2004,周转筐出入库明细!$C$4:$C$2004,$B16,周转筐出入库明细!$D$4:$D$2004,基础资料!$B$8,周转筐出入库明细!$F$4:$F$2004,"采购入库",周转筐出入库明细!$B$4:$B$2004,"&gt;="&amp;$BC$1,周转筐出入库明细!$B$4:$B$2004,"&lt;="&amp;$BC$2))</f>
        <v>0</v>
      </c>
      <c r="T16" s="25">
        <f t="shared" si="3"/>
        <v>0</v>
      </c>
      <c r="U16" s="25">
        <f>IF(OR($B16="",基础资料!$B$4=""),"",SUMIFS(周转筐出入库明细!$K$4:$K$2004,周转筐出入库明细!$C$4:$C$2004,$B16,周转筐出入库明细!$D$4:$D$2004,基础资料!$B$4,周转筐出入库明细!$B$4:$B$2004,"&gt;="&amp;$BC$1,周转筐出入库明细!$B$4:$B$2004,"&lt;="&amp;$BC$2))</f>
        <v>0</v>
      </c>
      <c r="V16" s="25">
        <f>IF(OR($B16="",基础资料!$B$5=""),"",SUMIFS(周转筐出入库明细!$K$4:$K$2004,周转筐出入库明细!$C$4:$C$2004,$B16,周转筐出入库明细!$D$4:$D$2004,基础资料!$B$5,周转筐出入库明细!$B$4:$B$2004,"&gt;="&amp;$BC$1,周转筐出入库明细!$B$4:$B$2004,"&lt;="&amp;$BC$2))</f>
        <v>0</v>
      </c>
      <c r="W16" s="25">
        <f>IF(OR($B16="",基础资料!$B$6=""),"",SUMIFS(周转筐出入库明细!$K$4:$K$2004,周转筐出入库明细!$C$4:$C$2004,$B16,周转筐出入库明细!$D$4:$D$2004,基础资料!$B$6,周转筐出入库明细!$B$4:$B$2004,"&gt;="&amp;$BC$1,周转筐出入库明细!$B$4:$B$2004,"&lt;="&amp;$BC$2))</f>
        <v>0</v>
      </c>
      <c r="X16" s="25">
        <f>IF(OR($B16="",基础资料!$B$7=""),"",SUMIFS(周转筐出入库明细!$K$4:$K$2004,周转筐出入库明细!$C$4:$C$2004,$B16,周转筐出入库明细!$D$4:$D$2004,基础资料!$B$7,周转筐出入库明细!$B$4:$B$2004,"&gt;="&amp;$BC$1,周转筐出入库明细!$B$4:$B$2004,"&lt;="&amp;$BC$2))</f>
        <v>0</v>
      </c>
      <c r="Y16" s="25">
        <f>IF(OR($B16="",基础资料!$B$8=""),"",SUMIFS(周转筐出入库明细!$K$4:$K$2004,周转筐出入库明细!$C$4:$C$2004,$B16,周转筐出入库明细!$D$4:$D$2004,基础资料!$B$8,周转筐出入库明细!$B$4:$B$2004,"&gt;="&amp;$BC$1,周转筐出入库明细!$B$4:$B$2004,"&lt;="&amp;$BC$2))</f>
        <v>0</v>
      </c>
      <c r="Z16" s="25">
        <f t="shared" si="4"/>
        <v>0</v>
      </c>
      <c r="AA16" s="67">
        <f>IF(OR($B16="",基础资料!$B$4=""),"",-SUMIFS(对接源_01水果筐数!$D$5:$D$304,对接源_01水果筐数!$B$5:$B$304,$B16,对接源_01水果筐数!$C$5:$C$304,基础资料!$B$4))</f>
        <v>0</v>
      </c>
      <c r="AB16" s="67">
        <f>IF(OR($B16="",基础资料!$B$5=""),"",-SUMIFS(对接源_01水果筐数!$D$5:$D$304,对接源_01水果筐数!$B$5:$B$304,$B16,对接源_01水果筐数!$C$5:$C$304,基础资料!$B$5))</f>
        <v>0</v>
      </c>
      <c r="AC16" s="67">
        <f>IF(OR($B16="",基础资料!$B$6=""),"",-SUMIFS(对接源_01水果筐数!$D$5:$D$304,对接源_01水果筐数!$B$5:$B$304,$B16,对接源_01水果筐数!$C$5:$C$304,基础资料!$B$6))</f>
        <v>0</v>
      </c>
      <c r="AD16" s="67">
        <f>IF(OR($B16="",基础资料!$B$7=""),"",-SUMIFS(对接源_01水果筐数!$D$5:$D$304,对接源_01水果筐数!$B$5:$B$304,$B16,对接源_01水果筐数!$C$5:$C$304,基础资料!$B$7))</f>
        <v>0</v>
      </c>
      <c r="AE16" s="67">
        <f>IF(OR($B16="",基础资料!$B$8=""),"",-SUMIFS(对接源_01水果筐数!$D$5:$D$304,对接源_01水果筐数!$B$5:$B$304,$B16,对接源_01水果筐数!$C$5:$C$304,基础资料!$B$8))</f>
        <v>0</v>
      </c>
      <c r="AF16" s="25">
        <f>IF(OR($B16="",基础资料!$B$4=""),"",SUMIFS(对接源_01水果筐数!$E$5:$E$304,对接源_01水果筐数!$B$5:$B$304,$B16,对接源_01水果筐数!$C$5:$C$304,基础资料!$B$4))</f>
        <v>0</v>
      </c>
      <c r="AG16" s="25">
        <f>IF(OR($B16="",基础资料!$B$5=""),"",SUMIFS(对接源_01水果筐数!$E$5:$E$304,对接源_01水果筐数!$B$5:$B$304,$B16,对接源_01水果筐数!$C$5:$C$304,基础资料!$B$5))</f>
        <v>0</v>
      </c>
      <c r="AH16" s="25">
        <f>IF(OR($B16="",基础资料!$B$6=""),"",SUMIFS(对接源_01水果筐数!$E$5:$E$304,对接源_01水果筐数!$B$5:$B$304,$B16,对接源_01水果筐数!$C$5:$C$304,基础资料!$B$6))</f>
        <v>0</v>
      </c>
      <c r="AI16" s="25">
        <f>IF(OR($B16="",基础资料!$B$7=""),"",SUMIFS(对接源_01水果筐数!$E$5:$E$304,对接源_01水果筐数!$B$5:$B$304,$B16,对接源_01水果筐数!$C$5:$C$304,基础资料!$B$7))</f>
        <v>0</v>
      </c>
      <c r="AJ16" s="25">
        <f>IF(OR($B16="",基础资料!$B$8=""),"",SUMIFS(对接源_01水果筐数!$E$5:$E$304,对接源_01水果筐数!$B$5:$B$304,$B16,对接源_01水果筐数!$C$5:$C$304,基础资料!$B$8))</f>
        <v>0</v>
      </c>
      <c r="AK16" s="25">
        <f>IF(OR($B16="",基础资料!$B$4=""),"",SUMIFS(对接源_01水果筐数!$F$5:$F$304,对接源_01水果筐数!$B$5:$B$304,$B16,对接源_01水果筐数!$C$5:$C$304,基础资料!$B$4))</f>
        <v>0</v>
      </c>
      <c r="AL16" s="25">
        <f>IF(OR($B16="",基础资料!$B$5=""),"",SUMIFS(对接源_01水果筐数!$F$5:$F$304,对接源_01水果筐数!$B$5:$B$304,$B16,对接源_01水果筐数!$C$5:$C$304,基础资料!$B$5))</f>
        <v>0</v>
      </c>
      <c r="AM16" s="25">
        <f>IF(OR($B16="",基础资料!$B$6=""),"",SUMIFS(对接源_01水果筐数!$F$5:$F$304,对接源_01水果筐数!$B$5:$B$304,$B16,对接源_01水果筐数!$C$5:$C$304,基础资料!$B$6))</f>
        <v>0</v>
      </c>
      <c r="AN16" s="25">
        <f>IF(OR($B16="",基础资料!$B$7=""),"",SUMIFS(对接源_01水果筐数!$F$5:$F$304,对接源_01水果筐数!$B$5:$B$304,$B16,对接源_01水果筐数!$C$5:$C$304,基础资料!$B$7))</f>
        <v>0</v>
      </c>
      <c r="AO16" s="25">
        <f>IF(OR($B16="",基础资料!$B$8=""),"",SUMIFS(对接源_01水果筐数!$F$5:$F$304,对接源_01水果筐数!$B$5:$B$304,$B16,对接源_01水果筐数!$C$5:$C$304,基础资料!$B$8))</f>
        <v>0</v>
      </c>
      <c r="AP16" s="25">
        <f t="shared" si="5"/>
        <v>0</v>
      </c>
      <c r="AQ16" s="25">
        <f t="shared" si="11"/>
        <v>0</v>
      </c>
      <c r="AR16" s="25">
        <f t="shared" si="6"/>
        <v>0</v>
      </c>
      <c r="AS16" s="25">
        <f t="shared" si="7"/>
        <v>0</v>
      </c>
      <c r="AT16" s="25">
        <f t="shared" si="8"/>
        <v>0</v>
      </c>
      <c r="AU16" s="25">
        <f t="shared" si="9"/>
        <v>0</v>
      </c>
      <c r="AV16" s="24" t="str">
        <f t="shared" si="10"/>
        <v>✔ 已回清</v>
      </c>
      <c r="AW16" s="72"/>
    </row>
    <row r="17" spans="1:49">
      <c r="A17" s="22">
        <f t="shared" si="0"/>
        <v>14</v>
      </c>
      <c r="B17" s="24" t="str">
        <f>IFERROR(INDEX(_自动清单!$CC$4:$CC$253,ROW()-3),"")</f>
        <v>伍元虎</v>
      </c>
      <c r="C17" s="25">
        <f>IF(OR($B17="",基础资料!$B$4=""),"",SUMIFS(周转筐出入库明细!$J$4:$J$2004,周转筐出入库明细!$C$4:$C$2004,$B17,周转筐出入库明细!$D$4:$D$2004,基础资料!$B$4,周转筐出入库明细!$B$4:$B$2004,"&gt;="&amp;$BC$1,周转筐出入库明细!$B$4:$B$2004,"&lt;="&amp;$BC$2))</f>
        <v>0</v>
      </c>
      <c r="D17" s="25">
        <f>IF(OR($B17="",基础资料!$B$5=""),"",SUMIFS(周转筐出入库明细!$J$4:$J$2004,周转筐出入库明细!$C$4:$C$2004,$B17,周转筐出入库明细!$D$4:$D$2004,基础资料!$B$5,周转筐出入库明细!$B$4:$B$2004,"&gt;="&amp;$BC$1,周转筐出入库明细!$B$4:$B$2004,"&lt;="&amp;$BC$2))</f>
        <v>0</v>
      </c>
      <c r="E17" s="25">
        <f>IF(OR($B17="",基础资料!$B$6=""),"",SUMIFS(周转筐出入库明细!$J$4:$J$2004,周转筐出入库明细!$C$4:$C$2004,$B17,周转筐出入库明细!$D$4:$D$2004,基础资料!$B$6,周转筐出入库明细!$B$4:$B$2004,"&gt;="&amp;$BC$1,周转筐出入库明细!$B$4:$B$2004,"&lt;="&amp;$BC$2))</f>
        <v>0</v>
      </c>
      <c r="F17" s="25">
        <f>IF(OR($B17="",基础资料!$B$7=""),"",SUMIFS(周转筐出入库明细!$J$4:$J$2004,周转筐出入库明细!$C$4:$C$2004,$B17,周转筐出入库明细!$D$4:$D$2004,基础资料!$B$7,周转筐出入库明细!$B$4:$B$2004,"&gt;="&amp;$BC$1,周转筐出入库明细!$B$4:$B$2004,"&lt;="&amp;$BC$2))</f>
        <v>0</v>
      </c>
      <c r="G17" s="25">
        <f>IF(OR($B17="",基础资料!$B$8=""),"",SUMIFS(周转筐出入库明细!$J$4:$J$2004,周转筐出入库明细!$C$4:$C$2004,$B17,周转筐出入库明细!$D$4:$D$2004,基础资料!$B$8,周转筐出入库明细!$B$4:$B$2004,"&gt;="&amp;$BC$1,周转筐出入库明细!$B$4:$B$2004,"&lt;="&amp;$BC$2))</f>
        <v>0</v>
      </c>
      <c r="H17" s="25">
        <f t="shared" si="1"/>
        <v>0</v>
      </c>
      <c r="I17" s="67">
        <f>IF(OR($B17="",基础资料!$B$4=""),"",-SUMIFS(周转筐出入库明细!$I$4:$I$2004,周转筐出入库明细!$C$4:$C$2004,$B17,周转筐出入库明细!$D$4:$D$2004,基础资料!$B$4,周转筐出入库明细!$B$4:$B$2004,"&gt;="&amp;$BC$1,周转筐出入库明细!$B$4:$B$2004,"&lt;="&amp;$BC$2))</f>
        <v>0</v>
      </c>
      <c r="J17" s="67">
        <f>IF(OR($B17="",基础资料!$B$5=""),"",-SUMIFS(周转筐出入库明细!$I$4:$I$2004,周转筐出入库明细!$C$4:$C$2004,$B17,周转筐出入库明细!$D$4:$D$2004,基础资料!$B$5,周转筐出入库明细!$B$4:$B$2004,"&gt;="&amp;$BC$1,周转筐出入库明细!$B$4:$B$2004,"&lt;="&amp;$BC$2))</f>
        <v>0</v>
      </c>
      <c r="K17" s="67">
        <f>IF(OR($B17="",基础资料!$B$6=""),"",-SUMIFS(周转筐出入库明细!$I$4:$I$2004,周转筐出入库明细!$C$4:$C$2004,$B17,周转筐出入库明细!$D$4:$D$2004,基础资料!$B$6,周转筐出入库明细!$B$4:$B$2004,"&gt;="&amp;$BC$1,周转筐出入库明细!$B$4:$B$2004,"&lt;="&amp;$BC$2))</f>
        <v>0</v>
      </c>
      <c r="L17" s="67">
        <f>IF(OR($B17="",基础资料!$B$7=""),"",-SUMIFS(周转筐出入库明细!$I$4:$I$2004,周转筐出入库明细!$C$4:$C$2004,$B17,周转筐出入库明细!$D$4:$D$2004,基础资料!$B$7,周转筐出入库明细!$B$4:$B$2004,"&gt;="&amp;$BC$1,周转筐出入库明细!$B$4:$B$2004,"&lt;="&amp;$BC$2))</f>
        <v>0</v>
      </c>
      <c r="M17" s="67">
        <f>IF(OR($B17="",基础资料!$B$8=""),"",-SUMIFS(周转筐出入库明细!$I$4:$I$2004,周转筐出入库明细!$C$4:$C$2004,$B17,周转筐出入库明细!$D$4:$D$2004,基础资料!$B$8,周转筐出入库明细!$B$4:$B$2004,"&gt;="&amp;$BC$1,周转筐出入库明细!$B$4:$B$2004,"&lt;="&amp;$BC$2))</f>
        <v>0</v>
      </c>
      <c r="N17" s="67">
        <f t="shared" si="2"/>
        <v>0</v>
      </c>
      <c r="O17" s="25">
        <f>IF(OR($B17="",基础资料!$B$4=""),"",SUMIFS(周转筐出入库明细!$H$4:$H$2004,周转筐出入库明细!$C$4:$C$2004,$B17,周转筐出入库明细!$D$4:$D$2004,基础资料!$B$4,周转筐出入库明细!$F$4:$F$2004,"采购入库",周转筐出入库明细!$B$4:$B$2004,"&gt;="&amp;$BC$1,周转筐出入库明细!$B$4:$B$2004,"&lt;="&amp;$BC$2))</f>
        <v>0</v>
      </c>
      <c r="P17" s="25">
        <f>IF(OR($B17="",基础资料!$B$5=""),"",SUMIFS(周转筐出入库明细!$H$4:$H$2004,周转筐出入库明细!$C$4:$C$2004,$B17,周转筐出入库明细!$D$4:$D$2004,基础资料!$B$5,周转筐出入库明细!$F$4:$F$2004,"采购入库",周转筐出入库明细!$B$4:$B$2004,"&gt;="&amp;$BC$1,周转筐出入库明细!$B$4:$B$2004,"&lt;="&amp;$BC$2))</f>
        <v>0</v>
      </c>
      <c r="Q17" s="25">
        <f>IF(OR($B17="",基础资料!$B$6=""),"",SUMIFS(周转筐出入库明细!$H$4:$H$2004,周转筐出入库明细!$C$4:$C$2004,$B17,周转筐出入库明细!$D$4:$D$2004,基础资料!$B$6,周转筐出入库明细!$F$4:$F$2004,"采购入库",周转筐出入库明细!$B$4:$B$2004,"&gt;="&amp;$BC$1,周转筐出入库明细!$B$4:$B$2004,"&lt;="&amp;$BC$2))</f>
        <v>0</v>
      </c>
      <c r="R17" s="25">
        <f>IF(OR($B17="",基础资料!$B$7=""),"",SUMIFS(周转筐出入库明细!$H$4:$H$2004,周转筐出入库明细!$C$4:$C$2004,$B17,周转筐出入库明细!$D$4:$D$2004,基础资料!$B$7,周转筐出入库明细!$F$4:$F$2004,"采购入库",周转筐出入库明细!$B$4:$B$2004,"&gt;="&amp;$BC$1,周转筐出入库明细!$B$4:$B$2004,"&lt;="&amp;$BC$2))</f>
        <v>0</v>
      </c>
      <c r="S17" s="25">
        <f>IF(OR($B17="",基础资料!$B$8=""),"",SUMIFS(周转筐出入库明细!$H$4:$H$2004,周转筐出入库明细!$C$4:$C$2004,$B17,周转筐出入库明细!$D$4:$D$2004,基础资料!$B$8,周转筐出入库明细!$F$4:$F$2004,"采购入库",周转筐出入库明细!$B$4:$B$2004,"&gt;="&amp;$BC$1,周转筐出入库明细!$B$4:$B$2004,"&lt;="&amp;$BC$2))</f>
        <v>0</v>
      </c>
      <c r="T17" s="25">
        <f t="shared" si="3"/>
        <v>0</v>
      </c>
      <c r="U17" s="25">
        <f>IF(OR($B17="",基础资料!$B$4=""),"",SUMIFS(周转筐出入库明细!$K$4:$K$2004,周转筐出入库明细!$C$4:$C$2004,$B17,周转筐出入库明细!$D$4:$D$2004,基础资料!$B$4,周转筐出入库明细!$B$4:$B$2004,"&gt;="&amp;$BC$1,周转筐出入库明细!$B$4:$B$2004,"&lt;="&amp;$BC$2))</f>
        <v>0</v>
      </c>
      <c r="V17" s="25">
        <f>IF(OR($B17="",基础资料!$B$5=""),"",SUMIFS(周转筐出入库明细!$K$4:$K$2004,周转筐出入库明细!$C$4:$C$2004,$B17,周转筐出入库明细!$D$4:$D$2004,基础资料!$B$5,周转筐出入库明细!$B$4:$B$2004,"&gt;="&amp;$BC$1,周转筐出入库明细!$B$4:$B$2004,"&lt;="&amp;$BC$2))</f>
        <v>0</v>
      </c>
      <c r="W17" s="25">
        <f>IF(OR($B17="",基础资料!$B$6=""),"",SUMIFS(周转筐出入库明细!$K$4:$K$2004,周转筐出入库明细!$C$4:$C$2004,$B17,周转筐出入库明细!$D$4:$D$2004,基础资料!$B$6,周转筐出入库明细!$B$4:$B$2004,"&gt;="&amp;$BC$1,周转筐出入库明细!$B$4:$B$2004,"&lt;="&amp;$BC$2))</f>
        <v>0</v>
      </c>
      <c r="X17" s="25">
        <f>IF(OR($B17="",基础资料!$B$7=""),"",SUMIFS(周转筐出入库明细!$K$4:$K$2004,周转筐出入库明细!$C$4:$C$2004,$B17,周转筐出入库明细!$D$4:$D$2004,基础资料!$B$7,周转筐出入库明细!$B$4:$B$2004,"&gt;="&amp;$BC$1,周转筐出入库明细!$B$4:$B$2004,"&lt;="&amp;$BC$2))</f>
        <v>0</v>
      </c>
      <c r="Y17" s="25">
        <f>IF(OR($B17="",基础资料!$B$8=""),"",SUMIFS(周转筐出入库明细!$K$4:$K$2004,周转筐出入库明细!$C$4:$C$2004,$B17,周转筐出入库明细!$D$4:$D$2004,基础资料!$B$8,周转筐出入库明细!$B$4:$B$2004,"&gt;="&amp;$BC$1,周转筐出入库明细!$B$4:$B$2004,"&lt;="&amp;$BC$2))</f>
        <v>0</v>
      </c>
      <c r="Z17" s="25">
        <f t="shared" si="4"/>
        <v>0</v>
      </c>
      <c r="AA17" s="67">
        <f>IF(OR($B17="",基础资料!$B$4=""),"",-SUMIFS(对接源_01水果筐数!$D$5:$D$304,对接源_01水果筐数!$B$5:$B$304,$B17,对接源_01水果筐数!$C$5:$C$304,基础资料!$B$4))</f>
        <v>0</v>
      </c>
      <c r="AB17" s="67">
        <f>IF(OR($B17="",基础资料!$B$5=""),"",-SUMIFS(对接源_01水果筐数!$D$5:$D$304,对接源_01水果筐数!$B$5:$B$304,$B17,对接源_01水果筐数!$C$5:$C$304,基础资料!$B$5))</f>
        <v>0</v>
      </c>
      <c r="AC17" s="67">
        <f>IF(OR($B17="",基础资料!$B$6=""),"",-SUMIFS(对接源_01水果筐数!$D$5:$D$304,对接源_01水果筐数!$B$5:$B$304,$B17,对接源_01水果筐数!$C$5:$C$304,基础资料!$B$6))</f>
        <v>0</v>
      </c>
      <c r="AD17" s="67">
        <f>IF(OR($B17="",基础资料!$B$7=""),"",-SUMIFS(对接源_01水果筐数!$D$5:$D$304,对接源_01水果筐数!$B$5:$B$304,$B17,对接源_01水果筐数!$C$5:$C$304,基础资料!$B$7))</f>
        <v>0</v>
      </c>
      <c r="AE17" s="67">
        <f>IF(OR($B17="",基础资料!$B$8=""),"",-SUMIFS(对接源_01水果筐数!$D$5:$D$304,对接源_01水果筐数!$B$5:$B$304,$B17,对接源_01水果筐数!$C$5:$C$304,基础资料!$B$8))</f>
        <v>0</v>
      </c>
      <c r="AF17" s="25">
        <f>IF(OR($B17="",基础资料!$B$4=""),"",SUMIFS(对接源_01水果筐数!$E$5:$E$304,对接源_01水果筐数!$B$5:$B$304,$B17,对接源_01水果筐数!$C$5:$C$304,基础资料!$B$4))</f>
        <v>0</v>
      </c>
      <c r="AG17" s="25">
        <f>IF(OR($B17="",基础资料!$B$5=""),"",SUMIFS(对接源_01水果筐数!$E$5:$E$304,对接源_01水果筐数!$B$5:$B$304,$B17,对接源_01水果筐数!$C$5:$C$304,基础资料!$B$5))</f>
        <v>0</v>
      </c>
      <c r="AH17" s="25">
        <f>IF(OR($B17="",基础资料!$B$6=""),"",SUMIFS(对接源_01水果筐数!$E$5:$E$304,对接源_01水果筐数!$B$5:$B$304,$B17,对接源_01水果筐数!$C$5:$C$304,基础资料!$B$6))</f>
        <v>0</v>
      </c>
      <c r="AI17" s="25">
        <f>IF(OR($B17="",基础资料!$B$7=""),"",SUMIFS(对接源_01水果筐数!$E$5:$E$304,对接源_01水果筐数!$B$5:$B$304,$B17,对接源_01水果筐数!$C$5:$C$304,基础资料!$B$7))</f>
        <v>0</v>
      </c>
      <c r="AJ17" s="25">
        <f>IF(OR($B17="",基础资料!$B$8=""),"",SUMIFS(对接源_01水果筐数!$E$5:$E$304,对接源_01水果筐数!$B$5:$B$304,$B17,对接源_01水果筐数!$C$5:$C$304,基础资料!$B$8))</f>
        <v>0</v>
      </c>
      <c r="AK17" s="25">
        <f>IF(OR($B17="",基础资料!$B$4=""),"",SUMIFS(对接源_01水果筐数!$F$5:$F$304,对接源_01水果筐数!$B$5:$B$304,$B17,对接源_01水果筐数!$C$5:$C$304,基础资料!$B$4))</f>
        <v>113</v>
      </c>
      <c r="AL17" s="25">
        <f>IF(OR($B17="",基础资料!$B$5=""),"",SUMIFS(对接源_01水果筐数!$F$5:$F$304,对接源_01水果筐数!$B$5:$B$304,$B17,对接源_01水果筐数!$C$5:$C$304,基础资料!$B$5))</f>
        <v>0</v>
      </c>
      <c r="AM17" s="25">
        <f>IF(OR($B17="",基础资料!$B$6=""),"",SUMIFS(对接源_01水果筐数!$F$5:$F$304,对接源_01水果筐数!$B$5:$B$304,$B17,对接源_01水果筐数!$C$5:$C$304,基础资料!$B$6))</f>
        <v>0</v>
      </c>
      <c r="AN17" s="25">
        <f>IF(OR($B17="",基础资料!$B$7=""),"",SUMIFS(对接源_01水果筐数!$F$5:$F$304,对接源_01水果筐数!$B$5:$B$304,$B17,对接源_01水果筐数!$C$5:$C$304,基础资料!$B$7))</f>
        <v>0</v>
      </c>
      <c r="AO17" s="25">
        <f>IF(OR($B17="",基础资料!$B$8=""),"",SUMIFS(对接源_01水果筐数!$F$5:$F$304,对接源_01水果筐数!$B$5:$B$304,$B17,对接源_01水果筐数!$C$5:$C$304,基础资料!$B$8))</f>
        <v>0</v>
      </c>
      <c r="AP17" s="25">
        <f t="shared" si="5"/>
        <v>113</v>
      </c>
      <c r="AQ17" s="25">
        <f t="shared" si="11"/>
        <v>0</v>
      </c>
      <c r="AR17" s="25">
        <f t="shared" si="6"/>
        <v>0</v>
      </c>
      <c r="AS17" s="25">
        <f t="shared" si="7"/>
        <v>0</v>
      </c>
      <c r="AT17" s="25">
        <f t="shared" si="8"/>
        <v>0</v>
      </c>
      <c r="AU17" s="25">
        <f t="shared" si="9"/>
        <v>113</v>
      </c>
      <c r="AV17" s="24" t="str">
        <f t="shared" si="10"/>
        <v>⚠ 有 113 个筐未回</v>
      </c>
      <c r="AW17" s="72"/>
    </row>
    <row r="18" spans="1:49">
      <c r="A18" s="22">
        <f t="shared" si="0"/>
        <v>15</v>
      </c>
      <c r="B18" s="24" t="str">
        <f>IFERROR(INDEX(_自动清单!$CC$4:$CC$253,ROW()-3),"")</f>
        <v>杨艳玲</v>
      </c>
      <c r="C18" s="25">
        <f>IF(OR($B18="",基础资料!$B$4=""),"",SUMIFS(周转筐出入库明细!$J$4:$J$2004,周转筐出入库明细!$C$4:$C$2004,$B18,周转筐出入库明细!$D$4:$D$2004,基础资料!$B$4,周转筐出入库明细!$B$4:$B$2004,"&gt;="&amp;$BC$1,周转筐出入库明细!$B$4:$B$2004,"&lt;="&amp;$BC$2))</f>
        <v>0</v>
      </c>
      <c r="D18" s="25">
        <f>IF(OR($B18="",基础资料!$B$5=""),"",SUMIFS(周转筐出入库明细!$J$4:$J$2004,周转筐出入库明细!$C$4:$C$2004,$B18,周转筐出入库明细!$D$4:$D$2004,基础资料!$B$5,周转筐出入库明细!$B$4:$B$2004,"&gt;="&amp;$BC$1,周转筐出入库明细!$B$4:$B$2004,"&lt;="&amp;$BC$2))</f>
        <v>0</v>
      </c>
      <c r="E18" s="25">
        <f>IF(OR($B18="",基础资料!$B$6=""),"",SUMIFS(周转筐出入库明细!$J$4:$J$2004,周转筐出入库明细!$C$4:$C$2004,$B18,周转筐出入库明细!$D$4:$D$2004,基础资料!$B$6,周转筐出入库明细!$B$4:$B$2004,"&gt;="&amp;$BC$1,周转筐出入库明细!$B$4:$B$2004,"&lt;="&amp;$BC$2))</f>
        <v>0</v>
      </c>
      <c r="F18" s="25">
        <f>IF(OR($B18="",基础资料!$B$7=""),"",SUMIFS(周转筐出入库明细!$J$4:$J$2004,周转筐出入库明细!$C$4:$C$2004,$B18,周转筐出入库明细!$D$4:$D$2004,基础资料!$B$7,周转筐出入库明细!$B$4:$B$2004,"&gt;="&amp;$BC$1,周转筐出入库明细!$B$4:$B$2004,"&lt;="&amp;$BC$2))</f>
        <v>0</v>
      </c>
      <c r="G18" s="25">
        <f>IF(OR($B18="",基础资料!$B$8=""),"",SUMIFS(周转筐出入库明细!$J$4:$J$2004,周转筐出入库明细!$C$4:$C$2004,$B18,周转筐出入库明细!$D$4:$D$2004,基础资料!$B$8,周转筐出入库明细!$B$4:$B$2004,"&gt;="&amp;$BC$1,周转筐出入库明细!$B$4:$B$2004,"&lt;="&amp;$BC$2))</f>
        <v>0</v>
      </c>
      <c r="H18" s="25">
        <f t="shared" si="1"/>
        <v>0</v>
      </c>
      <c r="I18" s="67">
        <f>IF(OR($B18="",基础资料!$B$4=""),"",-SUMIFS(周转筐出入库明细!$I$4:$I$2004,周转筐出入库明细!$C$4:$C$2004,$B18,周转筐出入库明细!$D$4:$D$2004,基础资料!$B$4,周转筐出入库明细!$B$4:$B$2004,"&gt;="&amp;$BC$1,周转筐出入库明细!$B$4:$B$2004,"&lt;="&amp;$BC$2))</f>
        <v>0</v>
      </c>
      <c r="J18" s="67">
        <f>IF(OR($B18="",基础资料!$B$5=""),"",-SUMIFS(周转筐出入库明细!$I$4:$I$2004,周转筐出入库明细!$C$4:$C$2004,$B18,周转筐出入库明细!$D$4:$D$2004,基础资料!$B$5,周转筐出入库明细!$B$4:$B$2004,"&gt;="&amp;$BC$1,周转筐出入库明细!$B$4:$B$2004,"&lt;="&amp;$BC$2))</f>
        <v>0</v>
      </c>
      <c r="K18" s="67">
        <f>IF(OR($B18="",基础资料!$B$6=""),"",-SUMIFS(周转筐出入库明细!$I$4:$I$2004,周转筐出入库明细!$C$4:$C$2004,$B18,周转筐出入库明细!$D$4:$D$2004,基础资料!$B$6,周转筐出入库明细!$B$4:$B$2004,"&gt;="&amp;$BC$1,周转筐出入库明细!$B$4:$B$2004,"&lt;="&amp;$BC$2))</f>
        <v>0</v>
      </c>
      <c r="L18" s="67">
        <f>IF(OR($B18="",基础资料!$B$7=""),"",-SUMIFS(周转筐出入库明细!$I$4:$I$2004,周转筐出入库明细!$C$4:$C$2004,$B18,周转筐出入库明细!$D$4:$D$2004,基础资料!$B$7,周转筐出入库明细!$B$4:$B$2004,"&gt;="&amp;$BC$1,周转筐出入库明细!$B$4:$B$2004,"&lt;="&amp;$BC$2))</f>
        <v>0</v>
      </c>
      <c r="M18" s="67">
        <f>IF(OR($B18="",基础资料!$B$8=""),"",-SUMIFS(周转筐出入库明细!$I$4:$I$2004,周转筐出入库明细!$C$4:$C$2004,$B18,周转筐出入库明细!$D$4:$D$2004,基础资料!$B$8,周转筐出入库明细!$B$4:$B$2004,"&gt;="&amp;$BC$1,周转筐出入库明细!$B$4:$B$2004,"&lt;="&amp;$BC$2))</f>
        <v>0</v>
      </c>
      <c r="N18" s="67">
        <f t="shared" si="2"/>
        <v>0</v>
      </c>
      <c r="O18" s="25">
        <f>IF(OR($B18="",基础资料!$B$4=""),"",SUMIFS(周转筐出入库明细!$H$4:$H$2004,周转筐出入库明细!$C$4:$C$2004,$B18,周转筐出入库明细!$D$4:$D$2004,基础资料!$B$4,周转筐出入库明细!$F$4:$F$2004,"采购入库",周转筐出入库明细!$B$4:$B$2004,"&gt;="&amp;$BC$1,周转筐出入库明细!$B$4:$B$2004,"&lt;="&amp;$BC$2))</f>
        <v>0</v>
      </c>
      <c r="P18" s="25">
        <f>IF(OR($B18="",基础资料!$B$5=""),"",SUMIFS(周转筐出入库明细!$H$4:$H$2004,周转筐出入库明细!$C$4:$C$2004,$B18,周转筐出入库明细!$D$4:$D$2004,基础资料!$B$5,周转筐出入库明细!$F$4:$F$2004,"采购入库",周转筐出入库明细!$B$4:$B$2004,"&gt;="&amp;$BC$1,周转筐出入库明细!$B$4:$B$2004,"&lt;="&amp;$BC$2))</f>
        <v>0</v>
      </c>
      <c r="Q18" s="25">
        <f>IF(OR($B18="",基础资料!$B$6=""),"",SUMIFS(周转筐出入库明细!$H$4:$H$2004,周转筐出入库明细!$C$4:$C$2004,$B18,周转筐出入库明细!$D$4:$D$2004,基础资料!$B$6,周转筐出入库明细!$F$4:$F$2004,"采购入库",周转筐出入库明细!$B$4:$B$2004,"&gt;="&amp;$BC$1,周转筐出入库明细!$B$4:$B$2004,"&lt;="&amp;$BC$2))</f>
        <v>0</v>
      </c>
      <c r="R18" s="25">
        <f>IF(OR($B18="",基础资料!$B$7=""),"",SUMIFS(周转筐出入库明细!$H$4:$H$2004,周转筐出入库明细!$C$4:$C$2004,$B18,周转筐出入库明细!$D$4:$D$2004,基础资料!$B$7,周转筐出入库明细!$F$4:$F$2004,"采购入库",周转筐出入库明细!$B$4:$B$2004,"&gt;="&amp;$BC$1,周转筐出入库明细!$B$4:$B$2004,"&lt;="&amp;$BC$2))</f>
        <v>0</v>
      </c>
      <c r="S18" s="25">
        <f>IF(OR($B18="",基础资料!$B$8=""),"",SUMIFS(周转筐出入库明细!$H$4:$H$2004,周转筐出入库明细!$C$4:$C$2004,$B18,周转筐出入库明细!$D$4:$D$2004,基础资料!$B$8,周转筐出入库明细!$F$4:$F$2004,"采购入库",周转筐出入库明细!$B$4:$B$2004,"&gt;="&amp;$BC$1,周转筐出入库明细!$B$4:$B$2004,"&lt;="&amp;$BC$2))</f>
        <v>0</v>
      </c>
      <c r="T18" s="25">
        <f t="shared" si="3"/>
        <v>0</v>
      </c>
      <c r="U18" s="25">
        <f>IF(OR($B18="",基础资料!$B$4=""),"",SUMIFS(周转筐出入库明细!$K$4:$K$2004,周转筐出入库明细!$C$4:$C$2004,$B18,周转筐出入库明细!$D$4:$D$2004,基础资料!$B$4,周转筐出入库明细!$B$4:$B$2004,"&gt;="&amp;$BC$1,周转筐出入库明细!$B$4:$B$2004,"&lt;="&amp;$BC$2))</f>
        <v>0</v>
      </c>
      <c r="V18" s="25">
        <f>IF(OR($B18="",基础资料!$B$5=""),"",SUMIFS(周转筐出入库明细!$K$4:$K$2004,周转筐出入库明细!$C$4:$C$2004,$B18,周转筐出入库明细!$D$4:$D$2004,基础资料!$B$5,周转筐出入库明细!$B$4:$B$2004,"&gt;="&amp;$BC$1,周转筐出入库明细!$B$4:$B$2004,"&lt;="&amp;$BC$2))</f>
        <v>0</v>
      </c>
      <c r="W18" s="25">
        <f>IF(OR($B18="",基础资料!$B$6=""),"",SUMIFS(周转筐出入库明细!$K$4:$K$2004,周转筐出入库明细!$C$4:$C$2004,$B18,周转筐出入库明细!$D$4:$D$2004,基础资料!$B$6,周转筐出入库明细!$B$4:$B$2004,"&gt;="&amp;$BC$1,周转筐出入库明细!$B$4:$B$2004,"&lt;="&amp;$BC$2))</f>
        <v>0</v>
      </c>
      <c r="X18" s="25">
        <f>IF(OR($B18="",基础资料!$B$7=""),"",SUMIFS(周转筐出入库明细!$K$4:$K$2004,周转筐出入库明细!$C$4:$C$2004,$B18,周转筐出入库明细!$D$4:$D$2004,基础资料!$B$7,周转筐出入库明细!$B$4:$B$2004,"&gt;="&amp;$BC$1,周转筐出入库明细!$B$4:$B$2004,"&lt;="&amp;$BC$2))</f>
        <v>0</v>
      </c>
      <c r="Y18" s="25">
        <f>IF(OR($B18="",基础资料!$B$8=""),"",SUMIFS(周转筐出入库明细!$K$4:$K$2004,周转筐出入库明细!$C$4:$C$2004,$B18,周转筐出入库明细!$D$4:$D$2004,基础资料!$B$8,周转筐出入库明细!$B$4:$B$2004,"&gt;="&amp;$BC$1,周转筐出入库明细!$B$4:$B$2004,"&lt;="&amp;$BC$2))</f>
        <v>0</v>
      </c>
      <c r="Z18" s="25">
        <f t="shared" si="4"/>
        <v>0</v>
      </c>
      <c r="AA18" s="67">
        <f>IF(OR($B18="",基础资料!$B$4=""),"",-SUMIFS(对接源_01水果筐数!$D$5:$D$304,对接源_01水果筐数!$B$5:$B$304,$B18,对接源_01水果筐数!$C$5:$C$304,基础资料!$B$4))</f>
        <v>0</v>
      </c>
      <c r="AB18" s="67">
        <f>IF(OR($B18="",基础资料!$B$5=""),"",-SUMIFS(对接源_01水果筐数!$D$5:$D$304,对接源_01水果筐数!$B$5:$B$304,$B18,对接源_01水果筐数!$C$5:$C$304,基础资料!$B$5))</f>
        <v>0</v>
      </c>
      <c r="AC18" s="67">
        <f>IF(OR($B18="",基础资料!$B$6=""),"",-SUMIFS(对接源_01水果筐数!$D$5:$D$304,对接源_01水果筐数!$B$5:$B$304,$B18,对接源_01水果筐数!$C$5:$C$304,基础资料!$B$6))</f>
        <v>0</v>
      </c>
      <c r="AD18" s="67">
        <f>IF(OR($B18="",基础资料!$B$7=""),"",-SUMIFS(对接源_01水果筐数!$D$5:$D$304,对接源_01水果筐数!$B$5:$B$304,$B18,对接源_01水果筐数!$C$5:$C$304,基础资料!$B$7))</f>
        <v>0</v>
      </c>
      <c r="AE18" s="67">
        <f>IF(OR($B18="",基础资料!$B$8=""),"",-SUMIFS(对接源_01水果筐数!$D$5:$D$304,对接源_01水果筐数!$B$5:$B$304,$B18,对接源_01水果筐数!$C$5:$C$304,基础资料!$B$8))</f>
        <v>0</v>
      </c>
      <c r="AF18" s="25">
        <f>IF(OR($B18="",基础资料!$B$4=""),"",SUMIFS(对接源_01水果筐数!$E$5:$E$304,对接源_01水果筐数!$B$5:$B$304,$B18,对接源_01水果筐数!$C$5:$C$304,基础资料!$B$4))</f>
        <v>0</v>
      </c>
      <c r="AG18" s="25">
        <f>IF(OR($B18="",基础资料!$B$5=""),"",SUMIFS(对接源_01水果筐数!$E$5:$E$304,对接源_01水果筐数!$B$5:$B$304,$B18,对接源_01水果筐数!$C$5:$C$304,基础资料!$B$5))</f>
        <v>0</v>
      </c>
      <c r="AH18" s="25">
        <f>IF(OR($B18="",基础资料!$B$6=""),"",SUMIFS(对接源_01水果筐数!$E$5:$E$304,对接源_01水果筐数!$B$5:$B$304,$B18,对接源_01水果筐数!$C$5:$C$304,基础资料!$B$6))</f>
        <v>0</v>
      </c>
      <c r="AI18" s="25">
        <f>IF(OR($B18="",基础资料!$B$7=""),"",SUMIFS(对接源_01水果筐数!$E$5:$E$304,对接源_01水果筐数!$B$5:$B$304,$B18,对接源_01水果筐数!$C$5:$C$304,基础资料!$B$7))</f>
        <v>0</v>
      </c>
      <c r="AJ18" s="25">
        <f>IF(OR($B18="",基础资料!$B$8=""),"",SUMIFS(对接源_01水果筐数!$E$5:$E$304,对接源_01水果筐数!$B$5:$B$304,$B18,对接源_01水果筐数!$C$5:$C$304,基础资料!$B$8))</f>
        <v>0</v>
      </c>
      <c r="AK18" s="25">
        <f>IF(OR($B18="",基础资料!$B$4=""),"",SUMIFS(对接源_01水果筐数!$F$5:$F$304,对接源_01水果筐数!$B$5:$B$304,$B18,对接源_01水果筐数!$C$5:$C$304,基础资料!$B$4))</f>
        <v>0</v>
      </c>
      <c r="AL18" s="25">
        <f>IF(OR($B18="",基础资料!$B$5=""),"",SUMIFS(对接源_01水果筐数!$F$5:$F$304,对接源_01水果筐数!$B$5:$B$304,$B18,对接源_01水果筐数!$C$5:$C$304,基础资料!$B$5))</f>
        <v>0</v>
      </c>
      <c r="AM18" s="25">
        <f>IF(OR($B18="",基础资料!$B$6=""),"",SUMIFS(对接源_01水果筐数!$F$5:$F$304,对接源_01水果筐数!$B$5:$B$304,$B18,对接源_01水果筐数!$C$5:$C$304,基础资料!$B$6))</f>
        <v>0</v>
      </c>
      <c r="AN18" s="25">
        <f>IF(OR($B18="",基础资料!$B$7=""),"",SUMIFS(对接源_01水果筐数!$F$5:$F$304,对接源_01水果筐数!$B$5:$B$304,$B18,对接源_01水果筐数!$C$5:$C$304,基础资料!$B$7))</f>
        <v>0</v>
      </c>
      <c r="AO18" s="25">
        <f>IF(OR($B18="",基础资料!$B$8=""),"",SUMIFS(对接源_01水果筐数!$F$5:$F$304,对接源_01水果筐数!$B$5:$B$304,$B18,对接源_01水果筐数!$C$5:$C$304,基础资料!$B$8))</f>
        <v>0</v>
      </c>
      <c r="AP18" s="25">
        <f t="shared" si="5"/>
        <v>0</v>
      </c>
      <c r="AQ18" s="25">
        <f t="shared" si="11"/>
        <v>0</v>
      </c>
      <c r="AR18" s="25">
        <f t="shared" si="6"/>
        <v>0</v>
      </c>
      <c r="AS18" s="25">
        <f t="shared" si="7"/>
        <v>0</v>
      </c>
      <c r="AT18" s="25">
        <f t="shared" si="8"/>
        <v>0</v>
      </c>
      <c r="AU18" s="25">
        <f t="shared" si="9"/>
        <v>0</v>
      </c>
      <c r="AV18" s="24" t="str">
        <f t="shared" si="10"/>
        <v>✔ 已回清</v>
      </c>
      <c r="AW18" s="72"/>
    </row>
    <row r="19" spans="1:49">
      <c r="A19" s="22">
        <f t="shared" si="0"/>
        <v>16</v>
      </c>
      <c r="B19" s="24" t="str">
        <f>IFERROR(INDEX(_自动清单!$CC$4:$CC$253,ROW()-3),"")</f>
        <v>电商/主播</v>
      </c>
      <c r="C19" s="25">
        <f>IF(OR($B19="",基础资料!$B$4=""),"",SUMIFS(周转筐出入库明细!$J$4:$J$2004,周转筐出入库明细!$C$4:$C$2004,$B19,周转筐出入库明细!$D$4:$D$2004,基础资料!$B$4,周转筐出入库明细!$B$4:$B$2004,"&gt;="&amp;$BC$1,周转筐出入库明细!$B$4:$B$2004,"&lt;="&amp;$BC$2))</f>
        <v>0</v>
      </c>
      <c r="D19" s="25">
        <f>IF(OR($B19="",基础资料!$B$5=""),"",SUMIFS(周转筐出入库明细!$J$4:$J$2004,周转筐出入库明细!$C$4:$C$2004,$B19,周转筐出入库明细!$D$4:$D$2004,基础资料!$B$5,周转筐出入库明细!$B$4:$B$2004,"&gt;="&amp;$BC$1,周转筐出入库明细!$B$4:$B$2004,"&lt;="&amp;$BC$2))</f>
        <v>0</v>
      </c>
      <c r="E19" s="25">
        <f>IF(OR($B19="",基础资料!$B$6=""),"",SUMIFS(周转筐出入库明细!$J$4:$J$2004,周转筐出入库明细!$C$4:$C$2004,$B19,周转筐出入库明细!$D$4:$D$2004,基础资料!$B$6,周转筐出入库明细!$B$4:$B$2004,"&gt;="&amp;$BC$1,周转筐出入库明细!$B$4:$B$2004,"&lt;="&amp;$BC$2))</f>
        <v>0</v>
      </c>
      <c r="F19" s="25">
        <f>IF(OR($B19="",基础资料!$B$7=""),"",SUMIFS(周转筐出入库明细!$J$4:$J$2004,周转筐出入库明细!$C$4:$C$2004,$B19,周转筐出入库明细!$D$4:$D$2004,基础资料!$B$7,周转筐出入库明细!$B$4:$B$2004,"&gt;="&amp;$BC$1,周转筐出入库明细!$B$4:$B$2004,"&lt;="&amp;$BC$2))</f>
        <v>0</v>
      </c>
      <c r="G19" s="25">
        <f>IF(OR($B19="",基础资料!$B$8=""),"",SUMIFS(周转筐出入库明细!$J$4:$J$2004,周转筐出入库明细!$C$4:$C$2004,$B19,周转筐出入库明细!$D$4:$D$2004,基础资料!$B$8,周转筐出入库明细!$B$4:$B$2004,"&gt;="&amp;$BC$1,周转筐出入库明细!$B$4:$B$2004,"&lt;="&amp;$BC$2))</f>
        <v>0</v>
      </c>
      <c r="H19" s="25">
        <f t="shared" si="1"/>
        <v>0</v>
      </c>
      <c r="I19" s="67">
        <f>IF(OR($B19="",基础资料!$B$4=""),"",-SUMIFS(周转筐出入库明细!$I$4:$I$2004,周转筐出入库明细!$C$4:$C$2004,$B19,周转筐出入库明细!$D$4:$D$2004,基础资料!$B$4,周转筐出入库明细!$B$4:$B$2004,"&gt;="&amp;$BC$1,周转筐出入库明细!$B$4:$B$2004,"&lt;="&amp;$BC$2))</f>
        <v>0</v>
      </c>
      <c r="J19" s="67">
        <f>IF(OR($B19="",基础资料!$B$5=""),"",-SUMIFS(周转筐出入库明细!$I$4:$I$2004,周转筐出入库明细!$C$4:$C$2004,$B19,周转筐出入库明细!$D$4:$D$2004,基础资料!$B$5,周转筐出入库明细!$B$4:$B$2004,"&gt;="&amp;$BC$1,周转筐出入库明细!$B$4:$B$2004,"&lt;="&amp;$BC$2))</f>
        <v>0</v>
      </c>
      <c r="K19" s="67">
        <f>IF(OR($B19="",基础资料!$B$6=""),"",-SUMIFS(周转筐出入库明细!$I$4:$I$2004,周转筐出入库明细!$C$4:$C$2004,$B19,周转筐出入库明细!$D$4:$D$2004,基础资料!$B$6,周转筐出入库明细!$B$4:$B$2004,"&gt;="&amp;$BC$1,周转筐出入库明细!$B$4:$B$2004,"&lt;="&amp;$BC$2))</f>
        <v>0</v>
      </c>
      <c r="L19" s="67">
        <f>IF(OR($B19="",基础资料!$B$7=""),"",-SUMIFS(周转筐出入库明细!$I$4:$I$2004,周转筐出入库明细!$C$4:$C$2004,$B19,周转筐出入库明细!$D$4:$D$2004,基础资料!$B$7,周转筐出入库明细!$B$4:$B$2004,"&gt;="&amp;$BC$1,周转筐出入库明细!$B$4:$B$2004,"&lt;="&amp;$BC$2))</f>
        <v>0</v>
      </c>
      <c r="M19" s="67">
        <f>IF(OR($B19="",基础资料!$B$8=""),"",-SUMIFS(周转筐出入库明细!$I$4:$I$2004,周转筐出入库明细!$C$4:$C$2004,$B19,周转筐出入库明细!$D$4:$D$2004,基础资料!$B$8,周转筐出入库明细!$B$4:$B$2004,"&gt;="&amp;$BC$1,周转筐出入库明细!$B$4:$B$2004,"&lt;="&amp;$BC$2))</f>
        <v>0</v>
      </c>
      <c r="N19" s="67">
        <f t="shared" si="2"/>
        <v>0</v>
      </c>
      <c r="O19" s="25">
        <f>IF(OR($B19="",基础资料!$B$4=""),"",SUMIFS(周转筐出入库明细!$H$4:$H$2004,周转筐出入库明细!$C$4:$C$2004,$B19,周转筐出入库明细!$D$4:$D$2004,基础资料!$B$4,周转筐出入库明细!$F$4:$F$2004,"采购入库",周转筐出入库明细!$B$4:$B$2004,"&gt;="&amp;$BC$1,周转筐出入库明细!$B$4:$B$2004,"&lt;="&amp;$BC$2))</f>
        <v>0</v>
      </c>
      <c r="P19" s="25">
        <f>IF(OR($B19="",基础资料!$B$5=""),"",SUMIFS(周转筐出入库明细!$H$4:$H$2004,周转筐出入库明细!$C$4:$C$2004,$B19,周转筐出入库明细!$D$4:$D$2004,基础资料!$B$5,周转筐出入库明细!$F$4:$F$2004,"采购入库",周转筐出入库明细!$B$4:$B$2004,"&gt;="&amp;$BC$1,周转筐出入库明细!$B$4:$B$2004,"&lt;="&amp;$BC$2))</f>
        <v>0</v>
      </c>
      <c r="Q19" s="25">
        <f>IF(OR($B19="",基础资料!$B$6=""),"",SUMIFS(周转筐出入库明细!$H$4:$H$2004,周转筐出入库明细!$C$4:$C$2004,$B19,周转筐出入库明细!$D$4:$D$2004,基础资料!$B$6,周转筐出入库明细!$F$4:$F$2004,"采购入库",周转筐出入库明细!$B$4:$B$2004,"&gt;="&amp;$BC$1,周转筐出入库明细!$B$4:$B$2004,"&lt;="&amp;$BC$2))</f>
        <v>0</v>
      </c>
      <c r="R19" s="25">
        <f>IF(OR($B19="",基础资料!$B$7=""),"",SUMIFS(周转筐出入库明细!$H$4:$H$2004,周转筐出入库明细!$C$4:$C$2004,$B19,周转筐出入库明细!$D$4:$D$2004,基础资料!$B$7,周转筐出入库明细!$F$4:$F$2004,"采购入库",周转筐出入库明细!$B$4:$B$2004,"&gt;="&amp;$BC$1,周转筐出入库明细!$B$4:$B$2004,"&lt;="&amp;$BC$2))</f>
        <v>0</v>
      </c>
      <c r="S19" s="25">
        <f>IF(OR($B19="",基础资料!$B$8=""),"",SUMIFS(周转筐出入库明细!$H$4:$H$2004,周转筐出入库明细!$C$4:$C$2004,$B19,周转筐出入库明细!$D$4:$D$2004,基础资料!$B$8,周转筐出入库明细!$F$4:$F$2004,"采购入库",周转筐出入库明细!$B$4:$B$2004,"&gt;="&amp;$BC$1,周转筐出入库明细!$B$4:$B$2004,"&lt;="&amp;$BC$2))</f>
        <v>0</v>
      </c>
      <c r="T19" s="25">
        <f t="shared" si="3"/>
        <v>0</v>
      </c>
      <c r="U19" s="25">
        <f>IF(OR($B19="",基础资料!$B$4=""),"",SUMIFS(周转筐出入库明细!$K$4:$K$2004,周转筐出入库明细!$C$4:$C$2004,$B19,周转筐出入库明细!$D$4:$D$2004,基础资料!$B$4,周转筐出入库明细!$B$4:$B$2004,"&gt;="&amp;$BC$1,周转筐出入库明细!$B$4:$B$2004,"&lt;="&amp;$BC$2))</f>
        <v>0</v>
      </c>
      <c r="V19" s="25">
        <f>IF(OR($B19="",基础资料!$B$5=""),"",SUMIFS(周转筐出入库明细!$K$4:$K$2004,周转筐出入库明细!$C$4:$C$2004,$B19,周转筐出入库明细!$D$4:$D$2004,基础资料!$B$5,周转筐出入库明细!$B$4:$B$2004,"&gt;="&amp;$BC$1,周转筐出入库明细!$B$4:$B$2004,"&lt;="&amp;$BC$2))</f>
        <v>0</v>
      </c>
      <c r="W19" s="25">
        <f>IF(OR($B19="",基础资料!$B$6=""),"",SUMIFS(周转筐出入库明细!$K$4:$K$2004,周转筐出入库明细!$C$4:$C$2004,$B19,周转筐出入库明细!$D$4:$D$2004,基础资料!$B$6,周转筐出入库明细!$B$4:$B$2004,"&gt;="&amp;$BC$1,周转筐出入库明细!$B$4:$B$2004,"&lt;="&amp;$BC$2))</f>
        <v>0</v>
      </c>
      <c r="X19" s="25">
        <f>IF(OR($B19="",基础资料!$B$7=""),"",SUMIFS(周转筐出入库明细!$K$4:$K$2004,周转筐出入库明细!$C$4:$C$2004,$B19,周转筐出入库明细!$D$4:$D$2004,基础资料!$B$7,周转筐出入库明细!$B$4:$B$2004,"&gt;="&amp;$BC$1,周转筐出入库明细!$B$4:$B$2004,"&lt;="&amp;$BC$2))</f>
        <v>0</v>
      </c>
      <c r="Y19" s="25">
        <f>IF(OR($B19="",基础资料!$B$8=""),"",SUMIFS(周转筐出入库明细!$K$4:$K$2004,周转筐出入库明细!$C$4:$C$2004,$B19,周转筐出入库明细!$D$4:$D$2004,基础资料!$B$8,周转筐出入库明细!$B$4:$B$2004,"&gt;="&amp;$BC$1,周转筐出入库明细!$B$4:$B$2004,"&lt;="&amp;$BC$2))</f>
        <v>0</v>
      </c>
      <c r="Z19" s="25">
        <f t="shared" si="4"/>
        <v>0</v>
      </c>
      <c r="AA19" s="67">
        <f>IF(OR($B19="",基础资料!$B$4=""),"",-SUMIFS(对接源_01水果筐数!$D$5:$D$304,对接源_01水果筐数!$B$5:$B$304,$B19,对接源_01水果筐数!$C$5:$C$304,基础资料!$B$4))</f>
        <v>0</v>
      </c>
      <c r="AB19" s="67">
        <f>IF(OR($B19="",基础资料!$B$5=""),"",-SUMIFS(对接源_01水果筐数!$D$5:$D$304,对接源_01水果筐数!$B$5:$B$304,$B19,对接源_01水果筐数!$C$5:$C$304,基础资料!$B$5))</f>
        <v>0</v>
      </c>
      <c r="AC19" s="67">
        <f>IF(OR($B19="",基础资料!$B$6=""),"",-SUMIFS(对接源_01水果筐数!$D$5:$D$304,对接源_01水果筐数!$B$5:$B$304,$B19,对接源_01水果筐数!$C$5:$C$304,基础资料!$B$6))</f>
        <v>0</v>
      </c>
      <c r="AD19" s="67">
        <f>IF(OR($B19="",基础资料!$B$7=""),"",-SUMIFS(对接源_01水果筐数!$D$5:$D$304,对接源_01水果筐数!$B$5:$B$304,$B19,对接源_01水果筐数!$C$5:$C$304,基础资料!$B$7))</f>
        <v>0</v>
      </c>
      <c r="AE19" s="67">
        <f>IF(OR($B19="",基础资料!$B$8=""),"",-SUMIFS(对接源_01水果筐数!$D$5:$D$304,对接源_01水果筐数!$B$5:$B$304,$B19,对接源_01水果筐数!$C$5:$C$304,基础资料!$B$8))</f>
        <v>0</v>
      </c>
      <c r="AF19" s="25">
        <f>IF(OR($B19="",基础资料!$B$4=""),"",SUMIFS(对接源_01水果筐数!$E$5:$E$304,对接源_01水果筐数!$B$5:$B$304,$B19,对接源_01水果筐数!$C$5:$C$304,基础资料!$B$4))</f>
        <v>0</v>
      </c>
      <c r="AG19" s="25">
        <f>IF(OR($B19="",基础资料!$B$5=""),"",SUMIFS(对接源_01水果筐数!$E$5:$E$304,对接源_01水果筐数!$B$5:$B$304,$B19,对接源_01水果筐数!$C$5:$C$304,基础资料!$B$5))</f>
        <v>0</v>
      </c>
      <c r="AH19" s="25">
        <f>IF(OR($B19="",基础资料!$B$6=""),"",SUMIFS(对接源_01水果筐数!$E$5:$E$304,对接源_01水果筐数!$B$5:$B$304,$B19,对接源_01水果筐数!$C$5:$C$304,基础资料!$B$6))</f>
        <v>0</v>
      </c>
      <c r="AI19" s="25">
        <f>IF(OR($B19="",基础资料!$B$7=""),"",SUMIFS(对接源_01水果筐数!$E$5:$E$304,对接源_01水果筐数!$B$5:$B$304,$B19,对接源_01水果筐数!$C$5:$C$304,基础资料!$B$7))</f>
        <v>0</v>
      </c>
      <c r="AJ19" s="25">
        <f>IF(OR($B19="",基础资料!$B$8=""),"",SUMIFS(对接源_01水果筐数!$E$5:$E$304,对接源_01水果筐数!$B$5:$B$304,$B19,对接源_01水果筐数!$C$5:$C$304,基础资料!$B$8))</f>
        <v>0</v>
      </c>
      <c r="AK19" s="25">
        <f>IF(OR($B19="",基础资料!$B$4=""),"",SUMIFS(对接源_01水果筐数!$F$5:$F$304,对接源_01水果筐数!$B$5:$B$304,$B19,对接源_01水果筐数!$C$5:$C$304,基础资料!$B$4))</f>
        <v>0</v>
      </c>
      <c r="AL19" s="25">
        <f>IF(OR($B19="",基础资料!$B$5=""),"",SUMIFS(对接源_01水果筐数!$F$5:$F$304,对接源_01水果筐数!$B$5:$B$304,$B19,对接源_01水果筐数!$C$5:$C$304,基础资料!$B$5))</f>
        <v>0</v>
      </c>
      <c r="AM19" s="25">
        <f>IF(OR($B19="",基础资料!$B$6=""),"",SUMIFS(对接源_01水果筐数!$F$5:$F$304,对接源_01水果筐数!$B$5:$B$304,$B19,对接源_01水果筐数!$C$5:$C$304,基础资料!$B$6))</f>
        <v>0</v>
      </c>
      <c r="AN19" s="25">
        <f>IF(OR($B19="",基础资料!$B$7=""),"",SUMIFS(对接源_01水果筐数!$F$5:$F$304,对接源_01水果筐数!$B$5:$B$304,$B19,对接源_01水果筐数!$C$5:$C$304,基础资料!$B$7))</f>
        <v>0</v>
      </c>
      <c r="AO19" s="25">
        <f>IF(OR($B19="",基础资料!$B$8=""),"",SUMIFS(对接源_01水果筐数!$F$5:$F$304,对接源_01水果筐数!$B$5:$B$304,$B19,对接源_01水果筐数!$C$5:$C$304,基础资料!$B$8))</f>
        <v>0</v>
      </c>
      <c r="AP19" s="25">
        <f t="shared" si="5"/>
        <v>0</v>
      </c>
      <c r="AQ19" s="25">
        <f t="shared" si="11"/>
        <v>0</v>
      </c>
      <c r="AR19" s="25">
        <f t="shared" si="6"/>
        <v>0</v>
      </c>
      <c r="AS19" s="25">
        <f t="shared" si="7"/>
        <v>0</v>
      </c>
      <c r="AT19" s="25">
        <f t="shared" si="8"/>
        <v>0</v>
      </c>
      <c r="AU19" s="25">
        <f t="shared" si="9"/>
        <v>0</v>
      </c>
      <c r="AV19" s="24" t="str">
        <f t="shared" si="10"/>
        <v>✔ 已回清</v>
      </c>
      <c r="AW19" s="72"/>
    </row>
    <row r="20" spans="1:49">
      <c r="A20" s="22" t="str">
        <f t="shared" si="0"/>
        <v/>
      </c>
      <c r="B20" s="24" t="str">
        <f>IFERROR(INDEX(_自动清单!$CC$4:$CC$253,ROW()-3),"")</f>
        <v/>
      </c>
      <c r="C20" s="25" t="str">
        <f>IF(OR($B20="",基础资料!$B$4=""),"",SUMIFS(周转筐出入库明细!$J$4:$J$2004,周转筐出入库明细!$C$4:$C$2004,$B20,周转筐出入库明细!$D$4:$D$2004,基础资料!$B$4,周转筐出入库明细!$B$4:$B$2004,"&gt;="&amp;$BC$1,周转筐出入库明细!$B$4:$B$2004,"&lt;="&amp;$BC$2))</f>
        <v/>
      </c>
      <c r="D20" s="25" t="str">
        <f>IF(OR($B20="",基础资料!$B$5=""),"",SUMIFS(周转筐出入库明细!$J$4:$J$2004,周转筐出入库明细!$C$4:$C$2004,$B20,周转筐出入库明细!$D$4:$D$2004,基础资料!$B$5,周转筐出入库明细!$B$4:$B$2004,"&gt;="&amp;$BC$1,周转筐出入库明细!$B$4:$B$2004,"&lt;="&amp;$BC$2))</f>
        <v/>
      </c>
      <c r="E20" s="25" t="str">
        <f>IF(OR($B20="",基础资料!$B$6=""),"",SUMIFS(周转筐出入库明细!$J$4:$J$2004,周转筐出入库明细!$C$4:$C$2004,$B20,周转筐出入库明细!$D$4:$D$2004,基础资料!$B$6,周转筐出入库明细!$B$4:$B$2004,"&gt;="&amp;$BC$1,周转筐出入库明细!$B$4:$B$2004,"&lt;="&amp;$BC$2))</f>
        <v/>
      </c>
      <c r="F20" s="25" t="str">
        <f>IF(OR($B20="",基础资料!$B$7=""),"",SUMIFS(周转筐出入库明细!$J$4:$J$2004,周转筐出入库明细!$C$4:$C$2004,$B20,周转筐出入库明细!$D$4:$D$2004,基础资料!$B$7,周转筐出入库明细!$B$4:$B$2004,"&gt;="&amp;$BC$1,周转筐出入库明细!$B$4:$B$2004,"&lt;="&amp;$BC$2))</f>
        <v/>
      </c>
      <c r="G20" s="25" t="str">
        <f>IF(OR($B20="",基础资料!$B$8=""),"",SUMIFS(周转筐出入库明细!$J$4:$J$2004,周转筐出入库明细!$C$4:$C$2004,$B20,周转筐出入库明细!$D$4:$D$2004,基础资料!$B$8,周转筐出入库明细!$B$4:$B$2004,"&gt;="&amp;$BC$1,周转筐出入库明细!$B$4:$B$2004,"&lt;="&amp;$BC$2))</f>
        <v/>
      </c>
      <c r="H20" s="25" t="str">
        <f t="shared" si="1"/>
        <v/>
      </c>
      <c r="I20" s="67" t="str">
        <f>IF(OR($B20="",基础资料!$B$4=""),"",-SUMIFS(周转筐出入库明细!$I$4:$I$2004,周转筐出入库明细!$C$4:$C$2004,$B20,周转筐出入库明细!$D$4:$D$2004,基础资料!$B$4,周转筐出入库明细!$B$4:$B$2004,"&gt;="&amp;$BC$1,周转筐出入库明细!$B$4:$B$2004,"&lt;="&amp;$BC$2))</f>
        <v/>
      </c>
      <c r="J20" s="67" t="str">
        <f>IF(OR($B20="",基础资料!$B$5=""),"",-SUMIFS(周转筐出入库明细!$I$4:$I$2004,周转筐出入库明细!$C$4:$C$2004,$B20,周转筐出入库明细!$D$4:$D$2004,基础资料!$B$5,周转筐出入库明细!$B$4:$B$2004,"&gt;="&amp;$BC$1,周转筐出入库明细!$B$4:$B$2004,"&lt;="&amp;$BC$2))</f>
        <v/>
      </c>
      <c r="K20" s="67" t="str">
        <f>IF(OR($B20="",基础资料!$B$6=""),"",-SUMIFS(周转筐出入库明细!$I$4:$I$2004,周转筐出入库明细!$C$4:$C$2004,$B20,周转筐出入库明细!$D$4:$D$2004,基础资料!$B$6,周转筐出入库明细!$B$4:$B$2004,"&gt;="&amp;$BC$1,周转筐出入库明细!$B$4:$B$2004,"&lt;="&amp;$BC$2))</f>
        <v/>
      </c>
      <c r="L20" s="67" t="str">
        <f>IF(OR($B20="",基础资料!$B$7=""),"",-SUMIFS(周转筐出入库明细!$I$4:$I$2004,周转筐出入库明细!$C$4:$C$2004,$B20,周转筐出入库明细!$D$4:$D$2004,基础资料!$B$7,周转筐出入库明细!$B$4:$B$2004,"&gt;="&amp;$BC$1,周转筐出入库明细!$B$4:$B$2004,"&lt;="&amp;$BC$2))</f>
        <v/>
      </c>
      <c r="M20" s="67" t="str">
        <f>IF(OR($B20="",基础资料!$B$8=""),"",-SUMIFS(周转筐出入库明细!$I$4:$I$2004,周转筐出入库明细!$C$4:$C$2004,$B20,周转筐出入库明细!$D$4:$D$2004,基础资料!$B$8,周转筐出入库明细!$B$4:$B$2004,"&gt;="&amp;$BC$1,周转筐出入库明细!$B$4:$B$2004,"&lt;="&amp;$BC$2))</f>
        <v/>
      </c>
      <c r="N20" s="67" t="str">
        <f t="shared" si="2"/>
        <v/>
      </c>
      <c r="O20" s="25" t="str">
        <f>IF(OR($B20="",基础资料!$B$4=""),"",SUMIFS(周转筐出入库明细!$H$4:$H$2004,周转筐出入库明细!$C$4:$C$2004,$B20,周转筐出入库明细!$D$4:$D$2004,基础资料!$B$4,周转筐出入库明细!$F$4:$F$2004,"采购入库",周转筐出入库明细!$B$4:$B$2004,"&gt;="&amp;$BC$1,周转筐出入库明细!$B$4:$B$2004,"&lt;="&amp;$BC$2))</f>
        <v/>
      </c>
      <c r="P20" s="25" t="str">
        <f>IF(OR($B20="",基础资料!$B$5=""),"",SUMIFS(周转筐出入库明细!$H$4:$H$2004,周转筐出入库明细!$C$4:$C$2004,$B20,周转筐出入库明细!$D$4:$D$2004,基础资料!$B$5,周转筐出入库明细!$F$4:$F$2004,"采购入库",周转筐出入库明细!$B$4:$B$2004,"&gt;="&amp;$BC$1,周转筐出入库明细!$B$4:$B$2004,"&lt;="&amp;$BC$2))</f>
        <v/>
      </c>
      <c r="Q20" s="25" t="str">
        <f>IF(OR($B20="",基础资料!$B$6=""),"",SUMIFS(周转筐出入库明细!$H$4:$H$2004,周转筐出入库明细!$C$4:$C$2004,$B20,周转筐出入库明细!$D$4:$D$2004,基础资料!$B$6,周转筐出入库明细!$F$4:$F$2004,"采购入库",周转筐出入库明细!$B$4:$B$2004,"&gt;="&amp;$BC$1,周转筐出入库明细!$B$4:$B$2004,"&lt;="&amp;$BC$2))</f>
        <v/>
      </c>
      <c r="R20" s="25" t="str">
        <f>IF(OR($B20="",基础资料!$B$7=""),"",SUMIFS(周转筐出入库明细!$H$4:$H$2004,周转筐出入库明细!$C$4:$C$2004,$B20,周转筐出入库明细!$D$4:$D$2004,基础资料!$B$7,周转筐出入库明细!$F$4:$F$2004,"采购入库",周转筐出入库明细!$B$4:$B$2004,"&gt;="&amp;$BC$1,周转筐出入库明细!$B$4:$B$2004,"&lt;="&amp;$BC$2))</f>
        <v/>
      </c>
      <c r="S20" s="25" t="str">
        <f>IF(OR($B20="",基础资料!$B$8=""),"",SUMIFS(周转筐出入库明细!$H$4:$H$2004,周转筐出入库明细!$C$4:$C$2004,$B20,周转筐出入库明细!$D$4:$D$2004,基础资料!$B$8,周转筐出入库明细!$F$4:$F$2004,"采购入库",周转筐出入库明细!$B$4:$B$2004,"&gt;="&amp;$BC$1,周转筐出入库明细!$B$4:$B$2004,"&lt;="&amp;$BC$2))</f>
        <v/>
      </c>
      <c r="T20" s="25" t="str">
        <f t="shared" si="3"/>
        <v/>
      </c>
      <c r="U20" s="25" t="str">
        <f>IF(OR($B20="",基础资料!$B$4=""),"",SUMIFS(周转筐出入库明细!$K$4:$K$2004,周转筐出入库明细!$C$4:$C$2004,$B20,周转筐出入库明细!$D$4:$D$2004,基础资料!$B$4,周转筐出入库明细!$B$4:$B$2004,"&gt;="&amp;$BC$1,周转筐出入库明细!$B$4:$B$2004,"&lt;="&amp;$BC$2))</f>
        <v/>
      </c>
      <c r="V20" s="25" t="str">
        <f>IF(OR($B20="",基础资料!$B$5=""),"",SUMIFS(周转筐出入库明细!$K$4:$K$2004,周转筐出入库明细!$C$4:$C$2004,$B20,周转筐出入库明细!$D$4:$D$2004,基础资料!$B$5,周转筐出入库明细!$B$4:$B$2004,"&gt;="&amp;$BC$1,周转筐出入库明细!$B$4:$B$2004,"&lt;="&amp;$BC$2))</f>
        <v/>
      </c>
      <c r="W20" s="25" t="str">
        <f>IF(OR($B20="",基础资料!$B$6=""),"",SUMIFS(周转筐出入库明细!$K$4:$K$2004,周转筐出入库明细!$C$4:$C$2004,$B20,周转筐出入库明细!$D$4:$D$2004,基础资料!$B$6,周转筐出入库明细!$B$4:$B$2004,"&gt;="&amp;$BC$1,周转筐出入库明细!$B$4:$B$2004,"&lt;="&amp;$BC$2))</f>
        <v/>
      </c>
      <c r="X20" s="25" t="str">
        <f>IF(OR($B20="",基础资料!$B$7=""),"",SUMIFS(周转筐出入库明细!$K$4:$K$2004,周转筐出入库明细!$C$4:$C$2004,$B20,周转筐出入库明细!$D$4:$D$2004,基础资料!$B$7,周转筐出入库明细!$B$4:$B$2004,"&gt;="&amp;$BC$1,周转筐出入库明细!$B$4:$B$2004,"&lt;="&amp;$BC$2))</f>
        <v/>
      </c>
      <c r="Y20" s="25" t="str">
        <f>IF(OR($B20="",基础资料!$B$8=""),"",SUMIFS(周转筐出入库明细!$K$4:$K$2004,周转筐出入库明细!$C$4:$C$2004,$B20,周转筐出入库明细!$D$4:$D$2004,基础资料!$B$8,周转筐出入库明细!$B$4:$B$2004,"&gt;="&amp;$BC$1,周转筐出入库明细!$B$4:$B$2004,"&lt;="&amp;$BC$2))</f>
        <v/>
      </c>
      <c r="Z20" s="25" t="str">
        <f t="shared" si="4"/>
        <v/>
      </c>
      <c r="AA20" s="67" t="str">
        <f>IF(OR($B20="",基础资料!$B$4=""),"",-SUMIFS(对接源_01水果筐数!$D$5:$D$304,对接源_01水果筐数!$B$5:$B$304,$B20,对接源_01水果筐数!$C$5:$C$304,基础资料!$B$4))</f>
        <v/>
      </c>
      <c r="AB20" s="67" t="str">
        <f>IF(OR($B20="",基础资料!$B$5=""),"",-SUMIFS(对接源_01水果筐数!$D$5:$D$304,对接源_01水果筐数!$B$5:$B$304,$B20,对接源_01水果筐数!$C$5:$C$304,基础资料!$B$5))</f>
        <v/>
      </c>
      <c r="AC20" s="67" t="str">
        <f>IF(OR($B20="",基础资料!$B$6=""),"",-SUMIFS(对接源_01水果筐数!$D$5:$D$304,对接源_01水果筐数!$B$5:$B$304,$B20,对接源_01水果筐数!$C$5:$C$304,基础资料!$B$6))</f>
        <v/>
      </c>
      <c r="AD20" s="67" t="str">
        <f>IF(OR($B20="",基础资料!$B$7=""),"",-SUMIFS(对接源_01水果筐数!$D$5:$D$304,对接源_01水果筐数!$B$5:$B$304,$B20,对接源_01水果筐数!$C$5:$C$304,基础资料!$B$7))</f>
        <v/>
      </c>
      <c r="AE20" s="67" t="str">
        <f>IF(OR($B20="",基础资料!$B$8=""),"",-SUMIFS(对接源_01水果筐数!$D$5:$D$304,对接源_01水果筐数!$B$5:$B$304,$B20,对接源_01水果筐数!$C$5:$C$304,基础资料!$B$8))</f>
        <v/>
      </c>
      <c r="AF20" s="25" t="str">
        <f>IF(OR($B20="",基础资料!$B$4=""),"",SUMIFS(对接源_01水果筐数!$E$5:$E$304,对接源_01水果筐数!$B$5:$B$304,$B20,对接源_01水果筐数!$C$5:$C$304,基础资料!$B$4))</f>
        <v/>
      </c>
      <c r="AG20" s="25" t="str">
        <f>IF(OR($B20="",基础资料!$B$5=""),"",SUMIFS(对接源_01水果筐数!$E$5:$E$304,对接源_01水果筐数!$B$5:$B$304,$B20,对接源_01水果筐数!$C$5:$C$304,基础资料!$B$5))</f>
        <v/>
      </c>
      <c r="AH20" s="25" t="str">
        <f>IF(OR($B20="",基础资料!$B$6=""),"",SUMIFS(对接源_01水果筐数!$E$5:$E$304,对接源_01水果筐数!$B$5:$B$304,$B20,对接源_01水果筐数!$C$5:$C$304,基础资料!$B$6))</f>
        <v/>
      </c>
      <c r="AI20" s="25" t="str">
        <f>IF(OR($B20="",基础资料!$B$7=""),"",SUMIFS(对接源_01水果筐数!$E$5:$E$304,对接源_01水果筐数!$B$5:$B$304,$B20,对接源_01水果筐数!$C$5:$C$304,基础资料!$B$7))</f>
        <v/>
      </c>
      <c r="AJ20" s="25" t="str">
        <f>IF(OR($B20="",基础资料!$B$8=""),"",SUMIFS(对接源_01水果筐数!$E$5:$E$304,对接源_01水果筐数!$B$5:$B$304,$B20,对接源_01水果筐数!$C$5:$C$304,基础资料!$B$8))</f>
        <v/>
      </c>
      <c r="AK20" s="25" t="str">
        <f>IF(OR($B20="",基础资料!$B$4=""),"",SUMIFS(对接源_01水果筐数!$F$5:$F$304,对接源_01水果筐数!$B$5:$B$304,$B20,对接源_01水果筐数!$C$5:$C$304,基础资料!$B$4))</f>
        <v/>
      </c>
      <c r="AL20" s="25" t="str">
        <f>IF(OR($B20="",基础资料!$B$5=""),"",SUMIFS(对接源_01水果筐数!$F$5:$F$304,对接源_01水果筐数!$B$5:$B$304,$B20,对接源_01水果筐数!$C$5:$C$304,基础资料!$B$5))</f>
        <v/>
      </c>
      <c r="AM20" s="25" t="str">
        <f>IF(OR($B20="",基础资料!$B$6=""),"",SUMIFS(对接源_01水果筐数!$F$5:$F$304,对接源_01水果筐数!$B$5:$B$304,$B20,对接源_01水果筐数!$C$5:$C$304,基础资料!$B$6))</f>
        <v/>
      </c>
      <c r="AN20" s="25" t="str">
        <f>IF(OR($B20="",基础资料!$B$7=""),"",SUMIFS(对接源_01水果筐数!$F$5:$F$304,对接源_01水果筐数!$B$5:$B$304,$B20,对接源_01水果筐数!$C$5:$C$304,基础资料!$B$7))</f>
        <v/>
      </c>
      <c r="AO20" s="25" t="str">
        <f>IF(OR($B20="",基础资料!$B$8=""),"",SUMIFS(对接源_01水果筐数!$F$5:$F$304,对接源_01水果筐数!$B$5:$B$304,$B20,对接源_01水果筐数!$C$5:$C$304,基础资料!$B$8))</f>
        <v/>
      </c>
      <c r="AP20" s="25" t="str">
        <f t="shared" si="5"/>
        <v/>
      </c>
      <c r="AQ20" s="25" t="str">
        <f t="shared" si="11"/>
        <v/>
      </c>
      <c r="AR20" s="25" t="str">
        <f t="shared" si="6"/>
        <v/>
      </c>
      <c r="AS20" s="25" t="str">
        <f t="shared" si="7"/>
        <v/>
      </c>
      <c r="AT20" s="25" t="str">
        <f t="shared" si="8"/>
        <v/>
      </c>
      <c r="AU20" s="25" t="str">
        <f t="shared" si="9"/>
        <v/>
      </c>
      <c r="AV20" s="24" t="str">
        <f t="shared" si="10"/>
        <v/>
      </c>
      <c r="AW20" s="72"/>
    </row>
    <row r="21" spans="1:49">
      <c r="A21" s="22" t="str">
        <f t="shared" si="0"/>
        <v/>
      </c>
      <c r="B21" s="24" t="str">
        <f>IFERROR(INDEX(_自动清单!$CC$4:$CC$253,ROW()-3),"")</f>
        <v/>
      </c>
      <c r="C21" s="25" t="str">
        <f>IF(OR($B21="",基础资料!$B$4=""),"",SUMIFS(周转筐出入库明细!$J$4:$J$2004,周转筐出入库明细!$C$4:$C$2004,$B21,周转筐出入库明细!$D$4:$D$2004,基础资料!$B$4,周转筐出入库明细!$B$4:$B$2004,"&gt;="&amp;$BC$1,周转筐出入库明细!$B$4:$B$2004,"&lt;="&amp;$BC$2))</f>
        <v/>
      </c>
      <c r="D21" s="25" t="str">
        <f>IF(OR($B21="",基础资料!$B$5=""),"",SUMIFS(周转筐出入库明细!$J$4:$J$2004,周转筐出入库明细!$C$4:$C$2004,$B21,周转筐出入库明细!$D$4:$D$2004,基础资料!$B$5,周转筐出入库明细!$B$4:$B$2004,"&gt;="&amp;$BC$1,周转筐出入库明细!$B$4:$B$2004,"&lt;="&amp;$BC$2))</f>
        <v/>
      </c>
      <c r="E21" s="25" t="str">
        <f>IF(OR($B21="",基础资料!$B$6=""),"",SUMIFS(周转筐出入库明细!$J$4:$J$2004,周转筐出入库明细!$C$4:$C$2004,$B21,周转筐出入库明细!$D$4:$D$2004,基础资料!$B$6,周转筐出入库明细!$B$4:$B$2004,"&gt;="&amp;$BC$1,周转筐出入库明细!$B$4:$B$2004,"&lt;="&amp;$BC$2))</f>
        <v/>
      </c>
      <c r="F21" s="25" t="str">
        <f>IF(OR($B21="",基础资料!$B$7=""),"",SUMIFS(周转筐出入库明细!$J$4:$J$2004,周转筐出入库明细!$C$4:$C$2004,$B21,周转筐出入库明细!$D$4:$D$2004,基础资料!$B$7,周转筐出入库明细!$B$4:$B$2004,"&gt;="&amp;$BC$1,周转筐出入库明细!$B$4:$B$2004,"&lt;="&amp;$BC$2))</f>
        <v/>
      </c>
      <c r="G21" s="25" t="str">
        <f>IF(OR($B21="",基础资料!$B$8=""),"",SUMIFS(周转筐出入库明细!$J$4:$J$2004,周转筐出入库明细!$C$4:$C$2004,$B21,周转筐出入库明细!$D$4:$D$2004,基础资料!$B$8,周转筐出入库明细!$B$4:$B$2004,"&gt;="&amp;$BC$1,周转筐出入库明细!$B$4:$B$2004,"&lt;="&amp;$BC$2))</f>
        <v/>
      </c>
      <c r="H21" s="25" t="str">
        <f t="shared" si="1"/>
        <v/>
      </c>
      <c r="I21" s="67" t="str">
        <f>IF(OR($B21="",基础资料!$B$4=""),"",-SUMIFS(周转筐出入库明细!$I$4:$I$2004,周转筐出入库明细!$C$4:$C$2004,$B21,周转筐出入库明细!$D$4:$D$2004,基础资料!$B$4,周转筐出入库明细!$B$4:$B$2004,"&gt;="&amp;$BC$1,周转筐出入库明细!$B$4:$B$2004,"&lt;="&amp;$BC$2))</f>
        <v/>
      </c>
      <c r="J21" s="67" t="str">
        <f>IF(OR($B21="",基础资料!$B$5=""),"",-SUMIFS(周转筐出入库明细!$I$4:$I$2004,周转筐出入库明细!$C$4:$C$2004,$B21,周转筐出入库明细!$D$4:$D$2004,基础资料!$B$5,周转筐出入库明细!$B$4:$B$2004,"&gt;="&amp;$BC$1,周转筐出入库明细!$B$4:$B$2004,"&lt;="&amp;$BC$2))</f>
        <v/>
      </c>
      <c r="K21" s="67" t="str">
        <f>IF(OR($B21="",基础资料!$B$6=""),"",-SUMIFS(周转筐出入库明细!$I$4:$I$2004,周转筐出入库明细!$C$4:$C$2004,$B21,周转筐出入库明细!$D$4:$D$2004,基础资料!$B$6,周转筐出入库明细!$B$4:$B$2004,"&gt;="&amp;$BC$1,周转筐出入库明细!$B$4:$B$2004,"&lt;="&amp;$BC$2))</f>
        <v/>
      </c>
      <c r="L21" s="67" t="str">
        <f>IF(OR($B21="",基础资料!$B$7=""),"",-SUMIFS(周转筐出入库明细!$I$4:$I$2004,周转筐出入库明细!$C$4:$C$2004,$B21,周转筐出入库明细!$D$4:$D$2004,基础资料!$B$7,周转筐出入库明细!$B$4:$B$2004,"&gt;="&amp;$BC$1,周转筐出入库明细!$B$4:$B$2004,"&lt;="&amp;$BC$2))</f>
        <v/>
      </c>
      <c r="M21" s="67" t="str">
        <f>IF(OR($B21="",基础资料!$B$8=""),"",-SUMIFS(周转筐出入库明细!$I$4:$I$2004,周转筐出入库明细!$C$4:$C$2004,$B21,周转筐出入库明细!$D$4:$D$2004,基础资料!$B$8,周转筐出入库明细!$B$4:$B$2004,"&gt;="&amp;$BC$1,周转筐出入库明细!$B$4:$B$2004,"&lt;="&amp;$BC$2))</f>
        <v/>
      </c>
      <c r="N21" s="67" t="str">
        <f t="shared" si="2"/>
        <v/>
      </c>
      <c r="O21" s="25" t="str">
        <f>IF(OR($B21="",基础资料!$B$4=""),"",SUMIFS(周转筐出入库明细!$H$4:$H$2004,周转筐出入库明细!$C$4:$C$2004,$B21,周转筐出入库明细!$D$4:$D$2004,基础资料!$B$4,周转筐出入库明细!$F$4:$F$2004,"采购入库",周转筐出入库明细!$B$4:$B$2004,"&gt;="&amp;$BC$1,周转筐出入库明细!$B$4:$B$2004,"&lt;="&amp;$BC$2))</f>
        <v/>
      </c>
      <c r="P21" s="25" t="str">
        <f>IF(OR($B21="",基础资料!$B$5=""),"",SUMIFS(周转筐出入库明细!$H$4:$H$2004,周转筐出入库明细!$C$4:$C$2004,$B21,周转筐出入库明细!$D$4:$D$2004,基础资料!$B$5,周转筐出入库明细!$F$4:$F$2004,"采购入库",周转筐出入库明细!$B$4:$B$2004,"&gt;="&amp;$BC$1,周转筐出入库明细!$B$4:$B$2004,"&lt;="&amp;$BC$2))</f>
        <v/>
      </c>
      <c r="Q21" s="25" t="str">
        <f>IF(OR($B21="",基础资料!$B$6=""),"",SUMIFS(周转筐出入库明细!$H$4:$H$2004,周转筐出入库明细!$C$4:$C$2004,$B21,周转筐出入库明细!$D$4:$D$2004,基础资料!$B$6,周转筐出入库明细!$F$4:$F$2004,"采购入库",周转筐出入库明细!$B$4:$B$2004,"&gt;="&amp;$BC$1,周转筐出入库明细!$B$4:$B$2004,"&lt;="&amp;$BC$2))</f>
        <v/>
      </c>
      <c r="R21" s="25" t="str">
        <f>IF(OR($B21="",基础资料!$B$7=""),"",SUMIFS(周转筐出入库明细!$H$4:$H$2004,周转筐出入库明细!$C$4:$C$2004,$B21,周转筐出入库明细!$D$4:$D$2004,基础资料!$B$7,周转筐出入库明细!$F$4:$F$2004,"采购入库",周转筐出入库明细!$B$4:$B$2004,"&gt;="&amp;$BC$1,周转筐出入库明细!$B$4:$B$2004,"&lt;="&amp;$BC$2))</f>
        <v/>
      </c>
      <c r="S21" s="25" t="str">
        <f>IF(OR($B21="",基础资料!$B$8=""),"",SUMIFS(周转筐出入库明细!$H$4:$H$2004,周转筐出入库明细!$C$4:$C$2004,$B21,周转筐出入库明细!$D$4:$D$2004,基础资料!$B$8,周转筐出入库明细!$F$4:$F$2004,"采购入库",周转筐出入库明细!$B$4:$B$2004,"&gt;="&amp;$BC$1,周转筐出入库明细!$B$4:$B$2004,"&lt;="&amp;$BC$2))</f>
        <v/>
      </c>
      <c r="T21" s="25" t="str">
        <f t="shared" si="3"/>
        <v/>
      </c>
      <c r="U21" s="25" t="str">
        <f>IF(OR($B21="",基础资料!$B$4=""),"",SUMIFS(周转筐出入库明细!$K$4:$K$2004,周转筐出入库明细!$C$4:$C$2004,$B21,周转筐出入库明细!$D$4:$D$2004,基础资料!$B$4,周转筐出入库明细!$B$4:$B$2004,"&gt;="&amp;$BC$1,周转筐出入库明细!$B$4:$B$2004,"&lt;="&amp;$BC$2))</f>
        <v/>
      </c>
      <c r="V21" s="25" t="str">
        <f>IF(OR($B21="",基础资料!$B$5=""),"",SUMIFS(周转筐出入库明细!$K$4:$K$2004,周转筐出入库明细!$C$4:$C$2004,$B21,周转筐出入库明细!$D$4:$D$2004,基础资料!$B$5,周转筐出入库明细!$B$4:$B$2004,"&gt;="&amp;$BC$1,周转筐出入库明细!$B$4:$B$2004,"&lt;="&amp;$BC$2))</f>
        <v/>
      </c>
      <c r="W21" s="25" t="str">
        <f>IF(OR($B21="",基础资料!$B$6=""),"",SUMIFS(周转筐出入库明细!$K$4:$K$2004,周转筐出入库明细!$C$4:$C$2004,$B21,周转筐出入库明细!$D$4:$D$2004,基础资料!$B$6,周转筐出入库明细!$B$4:$B$2004,"&gt;="&amp;$BC$1,周转筐出入库明细!$B$4:$B$2004,"&lt;="&amp;$BC$2))</f>
        <v/>
      </c>
      <c r="X21" s="25" t="str">
        <f>IF(OR($B21="",基础资料!$B$7=""),"",SUMIFS(周转筐出入库明细!$K$4:$K$2004,周转筐出入库明细!$C$4:$C$2004,$B21,周转筐出入库明细!$D$4:$D$2004,基础资料!$B$7,周转筐出入库明细!$B$4:$B$2004,"&gt;="&amp;$BC$1,周转筐出入库明细!$B$4:$B$2004,"&lt;="&amp;$BC$2))</f>
        <v/>
      </c>
      <c r="Y21" s="25" t="str">
        <f>IF(OR($B21="",基础资料!$B$8=""),"",SUMIFS(周转筐出入库明细!$K$4:$K$2004,周转筐出入库明细!$C$4:$C$2004,$B21,周转筐出入库明细!$D$4:$D$2004,基础资料!$B$8,周转筐出入库明细!$B$4:$B$2004,"&gt;="&amp;$BC$1,周转筐出入库明细!$B$4:$B$2004,"&lt;="&amp;$BC$2))</f>
        <v/>
      </c>
      <c r="Z21" s="25" t="str">
        <f t="shared" si="4"/>
        <v/>
      </c>
      <c r="AA21" s="67" t="str">
        <f>IF(OR($B21="",基础资料!$B$4=""),"",-SUMIFS(对接源_01水果筐数!$D$5:$D$304,对接源_01水果筐数!$B$5:$B$304,$B21,对接源_01水果筐数!$C$5:$C$304,基础资料!$B$4))</f>
        <v/>
      </c>
      <c r="AB21" s="67" t="str">
        <f>IF(OR($B21="",基础资料!$B$5=""),"",-SUMIFS(对接源_01水果筐数!$D$5:$D$304,对接源_01水果筐数!$B$5:$B$304,$B21,对接源_01水果筐数!$C$5:$C$304,基础资料!$B$5))</f>
        <v/>
      </c>
      <c r="AC21" s="67" t="str">
        <f>IF(OR($B21="",基础资料!$B$6=""),"",-SUMIFS(对接源_01水果筐数!$D$5:$D$304,对接源_01水果筐数!$B$5:$B$304,$B21,对接源_01水果筐数!$C$5:$C$304,基础资料!$B$6))</f>
        <v/>
      </c>
      <c r="AD21" s="67" t="str">
        <f>IF(OR($B21="",基础资料!$B$7=""),"",-SUMIFS(对接源_01水果筐数!$D$5:$D$304,对接源_01水果筐数!$B$5:$B$304,$B21,对接源_01水果筐数!$C$5:$C$304,基础资料!$B$7))</f>
        <v/>
      </c>
      <c r="AE21" s="67" t="str">
        <f>IF(OR($B21="",基础资料!$B$8=""),"",-SUMIFS(对接源_01水果筐数!$D$5:$D$304,对接源_01水果筐数!$B$5:$B$304,$B21,对接源_01水果筐数!$C$5:$C$304,基础资料!$B$8))</f>
        <v/>
      </c>
      <c r="AF21" s="25" t="str">
        <f>IF(OR($B21="",基础资料!$B$4=""),"",SUMIFS(对接源_01水果筐数!$E$5:$E$304,对接源_01水果筐数!$B$5:$B$304,$B21,对接源_01水果筐数!$C$5:$C$304,基础资料!$B$4))</f>
        <v/>
      </c>
      <c r="AG21" s="25" t="str">
        <f>IF(OR($B21="",基础资料!$B$5=""),"",SUMIFS(对接源_01水果筐数!$E$5:$E$304,对接源_01水果筐数!$B$5:$B$304,$B21,对接源_01水果筐数!$C$5:$C$304,基础资料!$B$5))</f>
        <v/>
      </c>
      <c r="AH21" s="25" t="str">
        <f>IF(OR($B21="",基础资料!$B$6=""),"",SUMIFS(对接源_01水果筐数!$E$5:$E$304,对接源_01水果筐数!$B$5:$B$304,$B21,对接源_01水果筐数!$C$5:$C$304,基础资料!$B$6))</f>
        <v/>
      </c>
      <c r="AI21" s="25" t="str">
        <f>IF(OR($B21="",基础资料!$B$7=""),"",SUMIFS(对接源_01水果筐数!$E$5:$E$304,对接源_01水果筐数!$B$5:$B$304,$B21,对接源_01水果筐数!$C$5:$C$304,基础资料!$B$7))</f>
        <v/>
      </c>
      <c r="AJ21" s="25" t="str">
        <f>IF(OR($B21="",基础资料!$B$8=""),"",SUMIFS(对接源_01水果筐数!$E$5:$E$304,对接源_01水果筐数!$B$5:$B$304,$B21,对接源_01水果筐数!$C$5:$C$304,基础资料!$B$8))</f>
        <v/>
      </c>
      <c r="AK21" s="25" t="str">
        <f>IF(OR($B21="",基础资料!$B$4=""),"",SUMIFS(对接源_01水果筐数!$F$5:$F$304,对接源_01水果筐数!$B$5:$B$304,$B21,对接源_01水果筐数!$C$5:$C$304,基础资料!$B$4))</f>
        <v/>
      </c>
      <c r="AL21" s="25" t="str">
        <f>IF(OR($B21="",基础资料!$B$5=""),"",SUMIFS(对接源_01水果筐数!$F$5:$F$304,对接源_01水果筐数!$B$5:$B$304,$B21,对接源_01水果筐数!$C$5:$C$304,基础资料!$B$5))</f>
        <v/>
      </c>
      <c r="AM21" s="25" t="str">
        <f>IF(OR($B21="",基础资料!$B$6=""),"",SUMIFS(对接源_01水果筐数!$F$5:$F$304,对接源_01水果筐数!$B$5:$B$304,$B21,对接源_01水果筐数!$C$5:$C$304,基础资料!$B$6))</f>
        <v/>
      </c>
      <c r="AN21" s="25" t="str">
        <f>IF(OR($B21="",基础资料!$B$7=""),"",SUMIFS(对接源_01水果筐数!$F$5:$F$304,对接源_01水果筐数!$B$5:$B$304,$B21,对接源_01水果筐数!$C$5:$C$304,基础资料!$B$7))</f>
        <v/>
      </c>
      <c r="AO21" s="25" t="str">
        <f>IF(OR($B21="",基础资料!$B$8=""),"",SUMIFS(对接源_01水果筐数!$F$5:$F$304,对接源_01水果筐数!$B$5:$B$304,$B21,对接源_01水果筐数!$C$5:$C$304,基础资料!$B$8))</f>
        <v/>
      </c>
      <c r="AP21" s="25" t="str">
        <f t="shared" si="5"/>
        <v/>
      </c>
      <c r="AQ21" s="25" t="str">
        <f t="shared" si="11"/>
        <v/>
      </c>
      <c r="AR21" s="25" t="str">
        <f t="shared" si="6"/>
        <v/>
      </c>
      <c r="AS21" s="25" t="str">
        <f t="shared" si="7"/>
        <v/>
      </c>
      <c r="AT21" s="25" t="str">
        <f t="shared" si="8"/>
        <v/>
      </c>
      <c r="AU21" s="25" t="str">
        <f t="shared" si="9"/>
        <v/>
      </c>
      <c r="AV21" s="24" t="str">
        <f t="shared" si="10"/>
        <v/>
      </c>
      <c r="AW21" s="72"/>
    </row>
    <row r="22" spans="1:49">
      <c r="A22" s="22" t="str">
        <f t="shared" si="0"/>
        <v/>
      </c>
      <c r="B22" s="24" t="str">
        <f>IFERROR(INDEX(_自动清单!$CC$4:$CC$253,ROW()-3),"")</f>
        <v/>
      </c>
      <c r="C22" s="25" t="str">
        <f>IF(OR($B22="",基础资料!$B$4=""),"",SUMIFS(周转筐出入库明细!$J$4:$J$2004,周转筐出入库明细!$C$4:$C$2004,$B22,周转筐出入库明细!$D$4:$D$2004,基础资料!$B$4,周转筐出入库明细!$B$4:$B$2004,"&gt;="&amp;$BC$1,周转筐出入库明细!$B$4:$B$2004,"&lt;="&amp;$BC$2))</f>
        <v/>
      </c>
      <c r="D22" s="25" t="str">
        <f>IF(OR($B22="",基础资料!$B$5=""),"",SUMIFS(周转筐出入库明细!$J$4:$J$2004,周转筐出入库明细!$C$4:$C$2004,$B22,周转筐出入库明细!$D$4:$D$2004,基础资料!$B$5,周转筐出入库明细!$B$4:$B$2004,"&gt;="&amp;$BC$1,周转筐出入库明细!$B$4:$B$2004,"&lt;="&amp;$BC$2))</f>
        <v/>
      </c>
      <c r="E22" s="25" t="str">
        <f>IF(OR($B22="",基础资料!$B$6=""),"",SUMIFS(周转筐出入库明细!$J$4:$J$2004,周转筐出入库明细!$C$4:$C$2004,$B22,周转筐出入库明细!$D$4:$D$2004,基础资料!$B$6,周转筐出入库明细!$B$4:$B$2004,"&gt;="&amp;$BC$1,周转筐出入库明细!$B$4:$B$2004,"&lt;="&amp;$BC$2))</f>
        <v/>
      </c>
      <c r="F22" s="25" t="str">
        <f>IF(OR($B22="",基础资料!$B$7=""),"",SUMIFS(周转筐出入库明细!$J$4:$J$2004,周转筐出入库明细!$C$4:$C$2004,$B22,周转筐出入库明细!$D$4:$D$2004,基础资料!$B$7,周转筐出入库明细!$B$4:$B$2004,"&gt;="&amp;$BC$1,周转筐出入库明细!$B$4:$B$2004,"&lt;="&amp;$BC$2))</f>
        <v/>
      </c>
      <c r="G22" s="25" t="str">
        <f>IF(OR($B22="",基础资料!$B$8=""),"",SUMIFS(周转筐出入库明细!$J$4:$J$2004,周转筐出入库明细!$C$4:$C$2004,$B22,周转筐出入库明细!$D$4:$D$2004,基础资料!$B$8,周转筐出入库明细!$B$4:$B$2004,"&gt;="&amp;$BC$1,周转筐出入库明细!$B$4:$B$2004,"&lt;="&amp;$BC$2))</f>
        <v/>
      </c>
      <c r="H22" s="25" t="str">
        <f t="shared" si="1"/>
        <v/>
      </c>
      <c r="I22" s="67" t="str">
        <f>IF(OR($B22="",基础资料!$B$4=""),"",-SUMIFS(周转筐出入库明细!$I$4:$I$2004,周转筐出入库明细!$C$4:$C$2004,$B22,周转筐出入库明细!$D$4:$D$2004,基础资料!$B$4,周转筐出入库明细!$B$4:$B$2004,"&gt;="&amp;$BC$1,周转筐出入库明细!$B$4:$B$2004,"&lt;="&amp;$BC$2))</f>
        <v/>
      </c>
      <c r="J22" s="67" t="str">
        <f>IF(OR($B22="",基础资料!$B$5=""),"",-SUMIFS(周转筐出入库明细!$I$4:$I$2004,周转筐出入库明细!$C$4:$C$2004,$B22,周转筐出入库明细!$D$4:$D$2004,基础资料!$B$5,周转筐出入库明细!$B$4:$B$2004,"&gt;="&amp;$BC$1,周转筐出入库明细!$B$4:$B$2004,"&lt;="&amp;$BC$2))</f>
        <v/>
      </c>
      <c r="K22" s="67" t="str">
        <f>IF(OR($B22="",基础资料!$B$6=""),"",-SUMIFS(周转筐出入库明细!$I$4:$I$2004,周转筐出入库明细!$C$4:$C$2004,$B22,周转筐出入库明细!$D$4:$D$2004,基础资料!$B$6,周转筐出入库明细!$B$4:$B$2004,"&gt;="&amp;$BC$1,周转筐出入库明细!$B$4:$B$2004,"&lt;="&amp;$BC$2))</f>
        <v/>
      </c>
      <c r="L22" s="67" t="str">
        <f>IF(OR($B22="",基础资料!$B$7=""),"",-SUMIFS(周转筐出入库明细!$I$4:$I$2004,周转筐出入库明细!$C$4:$C$2004,$B22,周转筐出入库明细!$D$4:$D$2004,基础资料!$B$7,周转筐出入库明细!$B$4:$B$2004,"&gt;="&amp;$BC$1,周转筐出入库明细!$B$4:$B$2004,"&lt;="&amp;$BC$2))</f>
        <v/>
      </c>
      <c r="M22" s="67" t="str">
        <f>IF(OR($B22="",基础资料!$B$8=""),"",-SUMIFS(周转筐出入库明细!$I$4:$I$2004,周转筐出入库明细!$C$4:$C$2004,$B22,周转筐出入库明细!$D$4:$D$2004,基础资料!$B$8,周转筐出入库明细!$B$4:$B$2004,"&gt;="&amp;$BC$1,周转筐出入库明细!$B$4:$B$2004,"&lt;="&amp;$BC$2))</f>
        <v/>
      </c>
      <c r="N22" s="67" t="str">
        <f t="shared" si="2"/>
        <v/>
      </c>
      <c r="O22" s="25" t="str">
        <f>IF(OR($B22="",基础资料!$B$4=""),"",SUMIFS(周转筐出入库明细!$H$4:$H$2004,周转筐出入库明细!$C$4:$C$2004,$B22,周转筐出入库明细!$D$4:$D$2004,基础资料!$B$4,周转筐出入库明细!$F$4:$F$2004,"采购入库",周转筐出入库明细!$B$4:$B$2004,"&gt;="&amp;$BC$1,周转筐出入库明细!$B$4:$B$2004,"&lt;="&amp;$BC$2))</f>
        <v/>
      </c>
      <c r="P22" s="25" t="str">
        <f>IF(OR($B22="",基础资料!$B$5=""),"",SUMIFS(周转筐出入库明细!$H$4:$H$2004,周转筐出入库明细!$C$4:$C$2004,$B22,周转筐出入库明细!$D$4:$D$2004,基础资料!$B$5,周转筐出入库明细!$F$4:$F$2004,"采购入库",周转筐出入库明细!$B$4:$B$2004,"&gt;="&amp;$BC$1,周转筐出入库明细!$B$4:$B$2004,"&lt;="&amp;$BC$2))</f>
        <v/>
      </c>
      <c r="Q22" s="25" t="str">
        <f>IF(OR($B22="",基础资料!$B$6=""),"",SUMIFS(周转筐出入库明细!$H$4:$H$2004,周转筐出入库明细!$C$4:$C$2004,$B22,周转筐出入库明细!$D$4:$D$2004,基础资料!$B$6,周转筐出入库明细!$F$4:$F$2004,"采购入库",周转筐出入库明细!$B$4:$B$2004,"&gt;="&amp;$BC$1,周转筐出入库明细!$B$4:$B$2004,"&lt;="&amp;$BC$2))</f>
        <v/>
      </c>
      <c r="R22" s="25" t="str">
        <f>IF(OR($B22="",基础资料!$B$7=""),"",SUMIFS(周转筐出入库明细!$H$4:$H$2004,周转筐出入库明细!$C$4:$C$2004,$B22,周转筐出入库明细!$D$4:$D$2004,基础资料!$B$7,周转筐出入库明细!$F$4:$F$2004,"采购入库",周转筐出入库明细!$B$4:$B$2004,"&gt;="&amp;$BC$1,周转筐出入库明细!$B$4:$B$2004,"&lt;="&amp;$BC$2))</f>
        <v/>
      </c>
      <c r="S22" s="25" t="str">
        <f>IF(OR($B22="",基础资料!$B$8=""),"",SUMIFS(周转筐出入库明细!$H$4:$H$2004,周转筐出入库明细!$C$4:$C$2004,$B22,周转筐出入库明细!$D$4:$D$2004,基础资料!$B$8,周转筐出入库明细!$F$4:$F$2004,"采购入库",周转筐出入库明细!$B$4:$B$2004,"&gt;="&amp;$BC$1,周转筐出入库明细!$B$4:$B$2004,"&lt;="&amp;$BC$2))</f>
        <v/>
      </c>
      <c r="T22" s="25" t="str">
        <f t="shared" si="3"/>
        <v/>
      </c>
      <c r="U22" s="25" t="str">
        <f>IF(OR($B22="",基础资料!$B$4=""),"",SUMIFS(周转筐出入库明细!$K$4:$K$2004,周转筐出入库明细!$C$4:$C$2004,$B22,周转筐出入库明细!$D$4:$D$2004,基础资料!$B$4,周转筐出入库明细!$B$4:$B$2004,"&gt;="&amp;$BC$1,周转筐出入库明细!$B$4:$B$2004,"&lt;="&amp;$BC$2))</f>
        <v/>
      </c>
      <c r="V22" s="25" t="str">
        <f>IF(OR($B22="",基础资料!$B$5=""),"",SUMIFS(周转筐出入库明细!$K$4:$K$2004,周转筐出入库明细!$C$4:$C$2004,$B22,周转筐出入库明细!$D$4:$D$2004,基础资料!$B$5,周转筐出入库明细!$B$4:$B$2004,"&gt;="&amp;$BC$1,周转筐出入库明细!$B$4:$B$2004,"&lt;="&amp;$BC$2))</f>
        <v/>
      </c>
      <c r="W22" s="25" t="str">
        <f>IF(OR($B22="",基础资料!$B$6=""),"",SUMIFS(周转筐出入库明细!$K$4:$K$2004,周转筐出入库明细!$C$4:$C$2004,$B22,周转筐出入库明细!$D$4:$D$2004,基础资料!$B$6,周转筐出入库明细!$B$4:$B$2004,"&gt;="&amp;$BC$1,周转筐出入库明细!$B$4:$B$2004,"&lt;="&amp;$BC$2))</f>
        <v/>
      </c>
      <c r="X22" s="25" t="str">
        <f>IF(OR($B22="",基础资料!$B$7=""),"",SUMIFS(周转筐出入库明细!$K$4:$K$2004,周转筐出入库明细!$C$4:$C$2004,$B22,周转筐出入库明细!$D$4:$D$2004,基础资料!$B$7,周转筐出入库明细!$B$4:$B$2004,"&gt;="&amp;$BC$1,周转筐出入库明细!$B$4:$B$2004,"&lt;="&amp;$BC$2))</f>
        <v/>
      </c>
      <c r="Y22" s="25" t="str">
        <f>IF(OR($B22="",基础资料!$B$8=""),"",SUMIFS(周转筐出入库明细!$K$4:$K$2004,周转筐出入库明细!$C$4:$C$2004,$B22,周转筐出入库明细!$D$4:$D$2004,基础资料!$B$8,周转筐出入库明细!$B$4:$B$2004,"&gt;="&amp;$BC$1,周转筐出入库明细!$B$4:$B$2004,"&lt;="&amp;$BC$2))</f>
        <v/>
      </c>
      <c r="Z22" s="25" t="str">
        <f t="shared" si="4"/>
        <v/>
      </c>
      <c r="AA22" s="67" t="str">
        <f>IF(OR($B22="",基础资料!$B$4=""),"",-SUMIFS(对接源_01水果筐数!$D$5:$D$304,对接源_01水果筐数!$B$5:$B$304,$B22,对接源_01水果筐数!$C$5:$C$304,基础资料!$B$4))</f>
        <v/>
      </c>
      <c r="AB22" s="67" t="str">
        <f>IF(OR($B22="",基础资料!$B$5=""),"",-SUMIFS(对接源_01水果筐数!$D$5:$D$304,对接源_01水果筐数!$B$5:$B$304,$B22,对接源_01水果筐数!$C$5:$C$304,基础资料!$B$5))</f>
        <v/>
      </c>
      <c r="AC22" s="67" t="str">
        <f>IF(OR($B22="",基础资料!$B$6=""),"",-SUMIFS(对接源_01水果筐数!$D$5:$D$304,对接源_01水果筐数!$B$5:$B$304,$B22,对接源_01水果筐数!$C$5:$C$304,基础资料!$B$6))</f>
        <v/>
      </c>
      <c r="AD22" s="67" t="str">
        <f>IF(OR($B22="",基础资料!$B$7=""),"",-SUMIFS(对接源_01水果筐数!$D$5:$D$304,对接源_01水果筐数!$B$5:$B$304,$B22,对接源_01水果筐数!$C$5:$C$304,基础资料!$B$7))</f>
        <v/>
      </c>
      <c r="AE22" s="67" t="str">
        <f>IF(OR($B22="",基础资料!$B$8=""),"",-SUMIFS(对接源_01水果筐数!$D$5:$D$304,对接源_01水果筐数!$B$5:$B$304,$B22,对接源_01水果筐数!$C$5:$C$304,基础资料!$B$8))</f>
        <v/>
      </c>
      <c r="AF22" s="25" t="str">
        <f>IF(OR($B22="",基础资料!$B$4=""),"",SUMIFS(对接源_01水果筐数!$E$5:$E$304,对接源_01水果筐数!$B$5:$B$304,$B22,对接源_01水果筐数!$C$5:$C$304,基础资料!$B$4))</f>
        <v/>
      </c>
      <c r="AG22" s="25" t="str">
        <f>IF(OR($B22="",基础资料!$B$5=""),"",SUMIFS(对接源_01水果筐数!$E$5:$E$304,对接源_01水果筐数!$B$5:$B$304,$B22,对接源_01水果筐数!$C$5:$C$304,基础资料!$B$5))</f>
        <v/>
      </c>
      <c r="AH22" s="25" t="str">
        <f>IF(OR($B22="",基础资料!$B$6=""),"",SUMIFS(对接源_01水果筐数!$E$5:$E$304,对接源_01水果筐数!$B$5:$B$304,$B22,对接源_01水果筐数!$C$5:$C$304,基础资料!$B$6))</f>
        <v/>
      </c>
      <c r="AI22" s="25" t="str">
        <f>IF(OR($B22="",基础资料!$B$7=""),"",SUMIFS(对接源_01水果筐数!$E$5:$E$304,对接源_01水果筐数!$B$5:$B$304,$B22,对接源_01水果筐数!$C$5:$C$304,基础资料!$B$7))</f>
        <v/>
      </c>
      <c r="AJ22" s="25" t="str">
        <f>IF(OR($B22="",基础资料!$B$8=""),"",SUMIFS(对接源_01水果筐数!$E$5:$E$304,对接源_01水果筐数!$B$5:$B$304,$B22,对接源_01水果筐数!$C$5:$C$304,基础资料!$B$8))</f>
        <v/>
      </c>
      <c r="AK22" s="25" t="str">
        <f>IF(OR($B22="",基础资料!$B$4=""),"",SUMIFS(对接源_01水果筐数!$F$5:$F$304,对接源_01水果筐数!$B$5:$B$304,$B22,对接源_01水果筐数!$C$5:$C$304,基础资料!$B$4))</f>
        <v/>
      </c>
      <c r="AL22" s="25" t="str">
        <f>IF(OR($B22="",基础资料!$B$5=""),"",SUMIFS(对接源_01水果筐数!$F$5:$F$304,对接源_01水果筐数!$B$5:$B$304,$B22,对接源_01水果筐数!$C$5:$C$304,基础资料!$B$5))</f>
        <v/>
      </c>
      <c r="AM22" s="25" t="str">
        <f>IF(OR($B22="",基础资料!$B$6=""),"",SUMIFS(对接源_01水果筐数!$F$5:$F$304,对接源_01水果筐数!$B$5:$B$304,$B22,对接源_01水果筐数!$C$5:$C$304,基础资料!$B$6))</f>
        <v/>
      </c>
      <c r="AN22" s="25" t="str">
        <f>IF(OR($B22="",基础资料!$B$7=""),"",SUMIFS(对接源_01水果筐数!$F$5:$F$304,对接源_01水果筐数!$B$5:$B$304,$B22,对接源_01水果筐数!$C$5:$C$304,基础资料!$B$7))</f>
        <v/>
      </c>
      <c r="AO22" s="25" t="str">
        <f>IF(OR($B22="",基础资料!$B$8=""),"",SUMIFS(对接源_01水果筐数!$F$5:$F$304,对接源_01水果筐数!$B$5:$B$304,$B22,对接源_01水果筐数!$C$5:$C$304,基础资料!$B$8))</f>
        <v/>
      </c>
      <c r="AP22" s="25" t="str">
        <f t="shared" si="5"/>
        <v/>
      </c>
      <c r="AQ22" s="25" t="str">
        <f t="shared" si="11"/>
        <v/>
      </c>
      <c r="AR22" s="25" t="str">
        <f t="shared" si="6"/>
        <v/>
      </c>
      <c r="AS22" s="25" t="str">
        <f t="shared" si="7"/>
        <v/>
      </c>
      <c r="AT22" s="25" t="str">
        <f t="shared" si="8"/>
        <v/>
      </c>
      <c r="AU22" s="25" t="str">
        <f t="shared" si="9"/>
        <v/>
      </c>
      <c r="AV22" s="24" t="str">
        <f t="shared" si="10"/>
        <v/>
      </c>
      <c r="AW22" s="72"/>
    </row>
    <row r="23" spans="1:49">
      <c r="A23" s="22" t="str">
        <f t="shared" si="0"/>
        <v/>
      </c>
      <c r="B23" s="24" t="str">
        <f>IFERROR(INDEX(_自动清单!$CC$4:$CC$253,ROW()-3),"")</f>
        <v/>
      </c>
      <c r="C23" s="25" t="str">
        <f>IF(OR($B23="",基础资料!$B$4=""),"",SUMIFS(周转筐出入库明细!$J$4:$J$2004,周转筐出入库明细!$C$4:$C$2004,$B23,周转筐出入库明细!$D$4:$D$2004,基础资料!$B$4,周转筐出入库明细!$B$4:$B$2004,"&gt;="&amp;$BC$1,周转筐出入库明细!$B$4:$B$2004,"&lt;="&amp;$BC$2))</f>
        <v/>
      </c>
      <c r="D23" s="25" t="str">
        <f>IF(OR($B23="",基础资料!$B$5=""),"",SUMIFS(周转筐出入库明细!$J$4:$J$2004,周转筐出入库明细!$C$4:$C$2004,$B23,周转筐出入库明细!$D$4:$D$2004,基础资料!$B$5,周转筐出入库明细!$B$4:$B$2004,"&gt;="&amp;$BC$1,周转筐出入库明细!$B$4:$B$2004,"&lt;="&amp;$BC$2))</f>
        <v/>
      </c>
      <c r="E23" s="25" t="str">
        <f>IF(OR($B23="",基础资料!$B$6=""),"",SUMIFS(周转筐出入库明细!$J$4:$J$2004,周转筐出入库明细!$C$4:$C$2004,$B23,周转筐出入库明细!$D$4:$D$2004,基础资料!$B$6,周转筐出入库明细!$B$4:$B$2004,"&gt;="&amp;$BC$1,周转筐出入库明细!$B$4:$B$2004,"&lt;="&amp;$BC$2))</f>
        <v/>
      </c>
      <c r="F23" s="25" t="str">
        <f>IF(OR($B23="",基础资料!$B$7=""),"",SUMIFS(周转筐出入库明细!$J$4:$J$2004,周转筐出入库明细!$C$4:$C$2004,$B23,周转筐出入库明细!$D$4:$D$2004,基础资料!$B$7,周转筐出入库明细!$B$4:$B$2004,"&gt;="&amp;$BC$1,周转筐出入库明细!$B$4:$B$2004,"&lt;="&amp;$BC$2))</f>
        <v/>
      </c>
      <c r="G23" s="25" t="str">
        <f>IF(OR($B23="",基础资料!$B$8=""),"",SUMIFS(周转筐出入库明细!$J$4:$J$2004,周转筐出入库明细!$C$4:$C$2004,$B23,周转筐出入库明细!$D$4:$D$2004,基础资料!$B$8,周转筐出入库明细!$B$4:$B$2004,"&gt;="&amp;$BC$1,周转筐出入库明细!$B$4:$B$2004,"&lt;="&amp;$BC$2))</f>
        <v/>
      </c>
      <c r="H23" s="25" t="str">
        <f t="shared" si="1"/>
        <v/>
      </c>
      <c r="I23" s="67" t="str">
        <f>IF(OR($B23="",基础资料!$B$4=""),"",-SUMIFS(周转筐出入库明细!$I$4:$I$2004,周转筐出入库明细!$C$4:$C$2004,$B23,周转筐出入库明细!$D$4:$D$2004,基础资料!$B$4,周转筐出入库明细!$B$4:$B$2004,"&gt;="&amp;$BC$1,周转筐出入库明细!$B$4:$B$2004,"&lt;="&amp;$BC$2))</f>
        <v/>
      </c>
      <c r="J23" s="67" t="str">
        <f>IF(OR($B23="",基础资料!$B$5=""),"",-SUMIFS(周转筐出入库明细!$I$4:$I$2004,周转筐出入库明细!$C$4:$C$2004,$B23,周转筐出入库明细!$D$4:$D$2004,基础资料!$B$5,周转筐出入库明细!$B$4:$B$2004,"&gt;="&amp;$BC$1,周转筐出入库明细!$B$4:$B$2004,"&lt;="&amp;$BC$2))</f>
        <v/>
      </c>
      <c r="K23" s="67" t="str">
        <f>IF(OR($B23="",基础资料!$B$6=""),"",-SUMIFS(周转筐出入库明细!$I$4:$I$2004,周转筐出入库明细!$C$4:$C$2004,$B23,周转筐出入库明细!$D$4:$D$2004,基础资料!$B$6,周转筐出入库明细!$B$4:$B$2004,"&gt;="&amp;$BC$1,周转筐出入库明细!$B$4:$B$2004,"&lt;="&amp;$BC$2))</f>
        <v/>
      </c>
      <c r="L23" s="67" t="str">
        <f>IF(OR($B23="",基础资料!$B$7=""),"",-SUMIFS(周转筐出入库明细!$I$4:$I$2004,周转筐出入库明细!$C$4:$C$2004,$B23,周转筐出入库明细!$D$4:$D$2004,基础资料!$B$7,周转筐出入库明细!$B$4:$B$2004,"&gt;="&amp;$BC$1,周转筐出入库明细!$B$4:$B$2004,"&lt;="&amp;$BC$2))</f>
        <v/>
      </c>
      <c r="M23" s="67" t="str">
        <f>IF(OR($B23="",基础资料!$B$8=""),"",-SUMIFS(周转筐出入库明细!$I$4:$I$2004,周转筐出入库明细!$C$4:$C$2004,$B23,周转筐出入库明细!$D$4:$D$2004,基础资料!$B$8,周转筐出入库明细!$B$4:$B$2004,"&gt;="&amp;$BC$1,周转筐出入库明细!$B$4:$B$2004,"&lt;="&amp;$BC$2))</f>
        <v/>
      </c>
      <c r="N23" s="67" t="str">
        <f t="shared" si="2"/>
        <v/>
      </c>
      <c r="O23" s="25" t="str">
        <f>IF(OR($B23="",基础资料!$B$4=""),"",SUMIFS(周转筐出入库明细!$H$4:$H$2004,周转筐出入库明细!$C$4:$C$2004,$B23,周转筐出入库明细!$D$4:$D$2004,基础资料!$B$4,周转筐出入库明细!$F$4:$F$2004,"采购入库",周转筐出入库明细!$B$4:$B$2004,"&gt;="&amp;$BC$1,周转筐出入库明细!$B$4:$B$2004,"&lt;="&amp;$BC$2))</f>
        <v/>
      </c>
      <c r="P23" s="25" t="str">
        <f>IF(OR($B23="",基础资料!$B$5=""),"",SUMIFS(周转筐出入库明细!$H$4:$H$2004,周转筐出入库明细!$C$4:$C$2004,$B23,周转筐出入库明细!$D$4:$D$2004,基础资料!$B$5,周转筐出入库明细!$F$4:$F$2004,"采购入库",周转筐出入库明细!$B$4:$B$2004,"&gt;="&amp;$BC$1,周转筐出入库明细!$B$4:$B$2004,"&lt;="&amp;$BC$2))</f>
        <v/>
      </c>
      <c r="Q23" s="25" t="str">
        <f>IF(OR($B23="",基础资料!$B$6=""),"",SUMIFS(周转筐出入库明细!$H$4:$H$2004,周转筐出入库明细!$C$4:$C$2004,$B23,周转筐出入库明细!$D$4:$D$2004,基础资料!$B$6,周转筐出入库明细!$F$4:$F$2004,"采购入库",周转筐出入库明细!$B$4:$B$2004,"&gt;="&amp;$BC$1,周转筐出入库明细!$B$4:$B$2004,"&lt;="&amp;$BC$2))</f>
        <v/>
      </c>
      <c r="R23" s="25" t="str">
        <f>IF(OR($B23="",基础资料!$B$7=""),"",SUMIFS(周转筐出入库明细!$H$4:$H$2004,周转筐出入库明细!$C$4:$C$2004,$B23,周转筐出入库明细!$D$4:$D$2004,基础资料!$B$7,周转筐出入库明细!$F$4:$F$2004,"采购入库",周转筐出入库明细!$B$4:$B$2004,"&gt;="&amp;$BC$1,周转筐出入库明细!$B$4:$B$2004,"&lt;="&amp;$BC$2))</f>
        <v/>
      </c>
      <c r="S23" s="25" t="str">
        <f>IF(OR($B23="",基础资料!$B$8=""),"",SUMIFS(周转筐出入库明细!$H$4:$H$2004,周转筐出入库明细!$C$4:$C$2004,$B23,周转筐出入库明细!$D$4:$D$2004,基础资料!$B$8,周转筐出入库明细!$F$4:$F$2004,"采购入库",周转筐出入库明细!$B$4:$B$2004,"&gt;="&amp;$BC$1,周转筐出入库明细!$B$4:$B$2004,"&lt;="&amp;$BC$2))</f>
        <v/>
      </c>
      <c r="T23" s="25" t="str">
        <f t="shared" si="3"/>
        <v/>
      </c>
      <c r="U23" s="25" t="str">
        <f>IF(OR($B23="",基础资料!$B$4=""),"",SUMIFS(周转筐出入库明细!$K$4:$K$2004,周转筐出入库明细!$C$4:$C$2004,$B23,周转筐出入库明细!$D$4:$D$2004,基础资料!$B$4,周转筐出入库明细!$B$4:$B$2004,"&gt;="&amp;$BC$1,周转筐出入库明细!$B$4:$B$2004,"&lt;="&amp;$BC$2))</f>
        <v/>
      </c>
      <c r="V23" s="25" t="str">
        <f>IF(OR($B23="",基础资料!$B$5=""),"",SUMIFS(周转筐出入库明细!$K$4:$K$2004,周转筐出入库明细!$C$4:$C$2004,$B23,周转筐出入库明细!$D$4:$D$2004,基础资料!$B$5,周转筐出入库明细!$B$4:$B$2004,"&gt;="&amp;$BC$1,周转筐出入库明细!$B$4:$B$2004,"&lt;="&amp;$BC$2))</f>
        <v/>
      </c>
      <c r="W23" s="25" t="str">
        <f>IF(OR($B23="",基础资料!$B$6=""),"",SUMIFS(周转筐出入库明细!$K$4:$K$2004,周转筐出入库明细!$C$4:$C$2004,$B23,周转筐出入库明细!$D$4:$D$2004,基础资料!$B$6,周转筐出入库明细!$B$4:$B$2004,"&gt;="&amp;$BC$1,周转筐出入库明细!$B$4:$B$2004,"&lt;="&amp;$BC$2))</f>
        <v/>
      </c>
      <c r="X23" s="25" t="str">
        <f>IF(OR($B23="",基础资料!$B$7=""),"",SUMIFS(周转筐出入库明细!$K$4:$K$2004,周转筐出入库明细!$C$4:$C$2004,$B23,周转筐出入库明细!$D$4:$D$2004,基础资料!$B$7,周转筐出入库明细!$B$4:$B$2004,"&gt;="&amp;$BC$1,周转筐出入库明细!$B$4:$B$2004,"&lt;="&amp;$BC$2))</f>
        <v/>
      </c>
      <c r="Y23" s="25" t="str">
        <f>IF(OR($B23="",基础资料!$B$8=""),"",SUMIFS(周转筐出入库明细!$K$4:$K$2004,周转筐出入库明细!$C$4:$C$2004,$B23,周转筐出入库明细!$D$4:$D$2004,基础资料!$B$8,周转筐出入库明细!$B$4:$B$2004,"&gt;="&amp;$BC$1,周转筐出入库明细!$B$4:$B$2004,"&lt;="&amp;$BC$2))</f>
        <v/>
      </c>
      <c r="Z23" s="25" t="str">
        <f t="shared" si="4"/>
        <v/>
      </c>
      <c r="AA23" s="67" t="str">
        <f>IF(OR($B23="",基础资料!$B$4=""),"",-SUMIFS(对接源_01水果筐数!$D$5:$D$304,对接源_01水果筐数!$B$5:$B$304,$B23,对接源_01水果筐数!$C$5:$C$304,基础资料!$B$4))</f>
        <v/>
      </c>
      <c r="AB23" s="67" t="str">
        <f>IF(OR($B23="",基础资料!$B$5=""),"",-SUMIFS(对接源_01水果筐数!$D$5:$D$304,对接源_01水果筐数!$B$5:$B$304,$B23,对接源_01水果筐数!$C$5:$C$304,基础资料!$B$5))</f>
        <v/>
      </c>
      <c r="AC23" s="67" t="str">
        <f>IF(OR($B23="",基础资料!$B$6=""),"",-SUMIFS(对接源_01水果筐数!$D$5:$D$304,对接源_01水果筐数!$B$5:$B$304,$B23,对接源_01水果筐数!$C$5:$C$304,基础资料!$B$6))</f>
        <v/>
      </c>
      <c r="AD23" s="67" t="str">
        <f>IF(OR($B23="",基础资料!$B$7=""),"",-SUMIFS(对接源_01水果筐数!$D$5:$D$304,对接源_01水果筐数!$B$5:$B$304,$B23,对接源_01水果筐数!$C$5:$C$304,基础资料!$B$7))</f>
        <v/>
      </c>
      <c r="AE23" s="67" t="str">
        <f>IF(OR($B23="",基础资料!$B$8=""),"",-SUMIFS(对接源_01水果筐数!$D$5:$D$304,对接源_01水果筐数!$B$5:$B$304,$B23,对接源_01水果筐数!$C$5:$C$304,基础资料!$B$8))</f>
        <v/>
      </c>
      <c r="AF23" s="25" t="str">
        <f>IF(OR($B23="",基础资料!$B$4=""),"",SUMIFS(对接源_01水果筐数!$E$5:$E$304,对接源_01水果筐数!$B$5:$B$304,$B23,对接源_01水果筐数!$C$5:$C$304,基础资料!$B$4))</f>
        <v/>
      </c>
      <c r="AG23" s="25" t="str">
        <f>IF(OR($B23="",基础资料!$B$5=""),"",SUMIFS(对接源_01水果筐数!$E$5:$E$304,对接源_01水果筐数!$B$5:$B$304,$B23,对接源_01水果筐数!$C$5:$C$304,基础资料!$B$5))</f>
        <v/>
      </c>
      <c r="AH23" s="25" t="str">
        <f>IF(OR($B23="",基础资料!$B$6=""),"",SUMIFS(对接源_01水果筐数!$E$5:$E$304,对接源_01水果筐数!$B$5:$B$304,$B23,对接源_01水果筐数!$C$5:$C$304,基础资料!$B$6))</f>
        <v/>
      </c>
      <c r="AI23" s="25" t="str">
        <f>IF(OR($B23="",基础资料!$B$7=""),"",SUMIFS(对接源_01水果筐数!$E$5:$E$304,对接源_01水果筐数!$B$5:$B$304,$B23,对接源_01水果筐数!$C$5:$C$304,基础资料!$B$7))</f>
        <v/>
      </c>
      <c r="AJ23" s="25" t="str">
        <f>IF(OR($B23="",基础资料!$B$8=""),"",SUMIFS(对接源_01水果筐数!$E$5:$E$304,对接源_01水果筐数!$B$5:$B$304,$B23,对接源_01水果筐数!$C$5:$C$304,基础资料!$B$8))</f>
        <v/>
      </c>
      <c r="AK23" s="25" t="str">
        <f>IF(OR($B23="",基础资料!$B$4=""),"",SUMIFS(对接源_01水果筐数!$F$5:$F$304,对接源_01水果筐数!$B$5:$B$304,$B23,对接源_01水果筐数!$C$5:$C$304,基础资料!$B$4))</f>
        <v/>
      </c>
      <c r="AL23" s="25" t="str">
        <f>IF(OR($B23="",基础资料!$B$5=""),"",SUMIFS(对接源_01水果筐数!$F$5:$F$304,对接源_01水果筐数!$B$5:$B$304,$B23,对接源_01水果筐数!$C$5:$C$304,基础资料!$B$5))</f>
        <v/>
      </c>
      <c r="AM23" s="25" t="str">
        <f>IF(OR($B23="",基础资料!$B$6=""),"",SUMIFS(对接源_01水果筐数!$F$5:$F$304,对接源_01水果筐数!$B$5:$B$304,$B23,对接源_01水果筐数!$C$5:$C$304,基础资料!$B$6))</f>
        <v/>
      </c>
      <c r="AN23" s="25" t="str">
        <f>IF(OR($B23="",基础资料!$B$7=""),"",SUMIFS(对接源_01水果筐数!$F$5:$F$304,对接源_01水果筐数!$B$5:$B$304,$B23,对接源_01水果筐数!$C$5:$C$304,基础资料!$B$7))</f>
        <v/>
      </c>
      <c r="AO23" s="25" t="str">
        <f>IF(OR($B23="",基础资料!$B$8=""),"",SUMIFS(对接源_01水果筐数!$F$5:$F$304,对接源_01水果筐数!$B$5:$B$304,$B23,对接源_01水果筐数!$C$5:$C$304,基础资料!$B$8))</f>
        <v/>
      </c>
      <c r="AP23" s="25" t="str">
        <f t="shared" si="5"/>
        <v/>
      </c>
      <c r="AQ23" s="25" t="str">
        <f t="shared" si="11"/>
        <v/>
      </c>
      <c r="AR23" s="25" t="str">
        <f t="shared" si="6"/>
        <v/>
      </c>
      <c r="AS23" s="25" t="str">
        <f t="shared" si="7"/>
        <v/>
      </c>
      <c r="AT23" s="25" t="str">
        <f t="shared" si="8"/>
        <v/>
      </c>
      <c r="AU23" s="25" t="str">
        <f t="shared" si="9"/>
        <v/>
      </c>
      <c r="AV23" s="24" t="str">
        <f t="shared" si="10"/>
        <v/>
      </c>
      <c r="AW23" s="72"/>
    </row>
    <row r="24" spans="1:49">
      <c r="A24" s="22" t="str">
        <f t="shared" si="0"/>
        <v/>
      </c>
      <c r="B24" s="24" t="str">
        <f>IFERROR(INDEX(_自动清单!$CC$4:$CC$253,ROW()-3),"")</f>
        <v/>
      </c>
      <c r="C24" s="25" t="str">
        <f>IF(OR($B24="",基础资料!$B$4=""),"",SUMIFS(周转筐出入库明细!$J$4:$J$2004,周转筐出入库明细!$C$4:$C$2004,$B24,周转筐出入库明细!$D$4:$D$2004,基础资料!$B$4,周转筐出入库明细!$B$4:$B$2004,"&gt;="&amp;$BC$1,周转筐出入库明细!$B$4:$B$2004,"&lt;="&amp;$BC$2))</f>
        <v/>
      </c>
      <c r="D24" s="25" t="str">
        <f>IF(OR($B24="",基础资料!$B$5=""),"",SUMIFS(周转筐出入库明细!$J$4:$J$2004,周转筐出入库明细!$C$4:$C$2004,$B24,周转筐出入库明细!$D$4:$D$2004,基础资料!$B$5,周转筐出入库明细!$B$4:$B$2004,"&gt;="&amp;$BC$1,周转筐出入库明细!$B$4:$B$2004,"&lt;="&amp;$BC$2))</f>
        <v/>
      </c>
      <c r="E24" s="25" t="str">
        <f>IF(OR($B24="",基础资料!$B$6=""),"",SUMIFS(周转筐出入库明细!$J$4:$J$2004,周转筐出入库明细!$C$4:$C$2004,$B24,周转筐出入库明细!$D$4:$D$2004,基础资料!$B$6,周转筐出入库明细!$B$4:$B$2004,"&gt;="&amp;$BC$1,周转筐出入库明细!$B$4:$B$2004,"&lt;="&amp;$BC$2))</f>
        <v/>
      </c>
      <c r="F24" s="25" t="str">
        <f>IF(OR($B24="",基础资料!$B$7=""),"",SUMIFS(周转筐出入库明细!$J$4:$J$2004,周转筐出入库明细!$C$4:$C$2004,$B24,周转筐出入库明细!$D$4:$D$2004,基础资料!$B$7,周转筐出入库明细!$B$4:$B$2004,"&gt;="&amp;$BC$1,周转筐出入库明细!$B$4:$B$2004,"&lt;="&amp;$BC$2))</f>
        <v/>
      </c>
      <c r="G24" s="25" t="str">
        <f>IF(OR($B24="",基础资料!$B$8=""),"",SUMIFS(周转筐出入库明细!$J$4:$J$2004,周转筐出入库明细!$C$4:$C$2004,$B24,周转筐出入库明细!$D$4:$D$2004,基础资料!$B$8,周转筐出入库明细!$B$4:$B$2004,"&gt;="&amp;$BC$1,周转筐出入库明细!$B$4:$B$2004,"&lt;="&amp;$BC$2))</f>
        <v/>
      </c>
      <c r="H24" s="25" t="str">
        <f t="shared" si="1"/>
        <v/>
      </c>
      <c r="I24" s="67" t="str">
        <f>IF(OR($B24="",基础资料!$B$4=""),"",-SUMIFS(周转筐出入库明细!$I$4:$I$2004,周转筐出入库明细!$C$4:$C$2004,$B24,周转筐出入库明细!$D$4:$D$2004,基础资料!$B$4,周转筐出入库明细!$B$4:$B$2004,"&gt;="&amp;$BC$1,周转筐出入库明细!$B$4:$B$2004,"&lt;="&amp;$BC$2))</f>
        <v/>
      </c>
      <c r="J24" s="67" t="str">
        <f>IF(OR($B24="",基础资料!$B$5=""),"",-SUMIFS(周转筐出入库明细!$I$4:$I$2004,周转筐出入库明细!$C$4:$C$2004,$B24,周转筐出入库明细!$D$4:$D$2004,基础资料!$B$5,周转筐出入库明细!$B$4:$B$2004,"&gt;="&amp;$BC$1,周转筐出入库明细!$B$4:$B$2004,"&lt;="&amp;$BC$2))</f>
        <v/>
      </c>
      <c r="K24" s="67" t="str">
        <f>IF(OR($B24="",基础资料!$B$6=""),"",-SUMIFS(周转筐出入库明细!$I$4:$I$2004,周转筐出入库明细!$C$4:$C$2004,$B24,周转筐出入库明细!$D$4:$D$2004,基础资料!$B$6,周转筐出入库明细!$B$4:$B$2004,"&gt;="&amp;$BC$1,周转筐出入库明细!$B$4:$B$2004,"&lt;="&amp;$BC$2))</f>
        <v/>
      </c>
      <c r="L24" s="67" t="str">
        <f>IF(OR($B24="",基础资料!$B$7=""),"",-SUMIFS(周转筐出入库明细!$I$4:$I$2004,周转筐出入库明细!$C$4:$C$2004,$B24,周转筐出入库明细!$D$4:$D$2004,基础资料!$B$7,周转筐出入库明细!$B$4:$B$2004,"&gt;="&amp;$BC$1,周转筐出入库明细!$B$4:$B$2004,"&lt;="&amp;$BC$2))</f>
        <v/>
      </c>
      <c r="M24" s="67" t="str">
        <f>IF(OR($B24="",基础资料!$B$8=""),"",-SUMIFS(周转筐出入库明细!$I$4:$I$2004,周转筐出入库明细!$C$4:$C$2004,$B24,周转筐出入库明细!$D$4:$D$2004,基础资料!$B$8,周转筐出入库明细!$B$4:$B$2004,"&gt;="&amp;$BC$1,周转筐出入库明细!$B$4:$B$2004,"&lt;="&amp;$BC$2))</f>
        <v/>
      </c>
      <c r="N24" s="67" t="str">
        <f t="shared" si="2"/>
        <v/>
      </c>
      <c r="O24" s="25" t="str">
        <f>IF(OR($B24="",基础资料!$B$4=""),"",SUMIFS(周转筐出入库明细!$H$4:$H$2004,周转筐出入库明细!$C$4:$C$2004,$B24,周转筐出入库明细!$D$4:$D$2004,基础资料!$B$4,周转筐出入库明细!$F$4:$F$2004,"采购入库",周转筐出入库明细!$B$4:$B$2004,"&gt;="&amp;$BC$1,周转筐出入库明细!$B$4:$B$2004,"&lt;="&amp;$BC$2))</f>
        <v/>
      </c>
      <c r="P24" s="25" t="str">
        <f>IF(OR($B24="",基础资料!$B$5=""),"",SUMIFS(周转筐出入库明细!$H$4:$H$2004,周转筐出入库明细!$C$4:$C$2004,$B24,周转筐出入库明细!$D$4:$D$2004,基础资料!$B$5,周转筐出入库明细!$F$4:$F$2004,"采购入库",周转筐出入库明细!$B$4:$B$2004,"&gt;="&amp;$BC$1,周转筐出入库明细!$B$4:$B$2004,"&lt;="&amp;$BC$2))</f>
        <v/>
      </c>
      <c r="Q24" s="25" t="str">
        <f>IF(OR($B24="",基础资料!$B$6=""),"",SUMIFS(周转筐出入库明细!$H$4:$H$2004,周转筐出入库明细!$C$4:$C$2004,$B24,周转筐出入库明细!$D$4:$D$2004,基础资料!$B$6,周转筐出入库明细!$F$4:$F$2004,"采购入库",周转筐出入库明细!$B$4:$B$2004,"&gt;="&amp;$BC$1,周转筐出入库明细!$B$4:$B$2004,"&lt;="&amp;$BC$2))</f>
        <v/>
      </c>
      <c r="R24" s="25" t="str">
        <f>IF(OR($B24="",基础资料!$B$7=""),"",SUMIFS(周转筐出入库明细!$H$4:$H$2004,周转筐出入库明细!$C$4:$C$2004,$B24,周转筐出入库明细!$D$4:$D$2004,基础资料!$B$7,周转筐出入库明细!$F$4:$F$2004,"采购入库",周转筐出入库明细!$B$4:$B$2004,"&gt;="&amp;$BC$1,周转筐出入库明细!$B$4:$B$2004,"&lt;="&amp;$BC$2))</f>
        <v/>
      </c>
      <c r="S24" s="25" t="str">
        <f>IF(OR($B24="",基础资料!$B$8=""),"",SUMIFS(周转筐出入库明细!$H$4:$H$2004,周转筐出入库明细!$C$4:$C$2004,$B24,周转筐出入库明细!$D$4:$D$2004,基础资料!$B$8,周转筐出入库明细!$F$4:$F$2004,"采购入库",周转筐出入库明细!$B$4:$B$2004,"&gt;="&amp;$BC$1,周转筐出入库明细!$B$4:$B$2004,"&lt;="&amp;$BC$2))</f>
        <v/>
      </c>
      <c r="T24" s="25" t="str">
        <f t="shared" si="3"/>
        <v/>
      </c>
      <c r="U24" s="25" t="str">
        <f>IF(OR($B24="",基础资料!$B$4=""),"",SUMIFS(周转筐出入库明细!$K$4:$K$2004,周转筐出入库明细!$C$4:$C$2004,$B24,周转筐出入库明细!$D$4:$D$2004,基础资料!$B$4,周转筐出入库明细!$B$4:$B$2004,"&gt;="&amp;$BC$1,周转筐出入库明细!$B$4:$B$2004,"&lt;="&amp;$BC$2))</f>
        <v/>
      </c>
      <c r="V24" s="25" t="str">
        <f>IF(OR($B24="",基础资料!$B$5=""),"",SUMIFS(周转筐出入库明细!$K$4:$K$2004,周转筐出入库明细!$C$4:$C$2004,$B24,周转筐出入库明细!$D$4:$D$2004,基础资料!$B$5,周转筐出入库明细!$B$4:$B$2004,"&gt;="&amp;$BC$1,周转筐出入库明细!$B$4:$B$2004,"&lt;="&amp;$BC$2))</f>
        <v/>
      </c>
      <c r="W24" s="25" t="str">
        <f>IF(OR($B24="",基础资料!$B$6=""),"",SUMIFS(周转筐出入库明细!$K$4:$K$2004,周转筐出入库明细!$C$4:$C$2004,$B24,周转筐出入库明细!$D$4:$D$2004,基础资料!$B$6,周转筐出入库明细!$B$4:$B$2004,"&gt;="&amp;$BC$1,周转筐出入库明细!$B$4:$B$2004,"&lt;="&amp;$BC$2))</f>
        <v/>
      </c>
      <c r="X24" s="25" t="str">
        <f>IF(OR($B24="",基础资料!$B$7=""),"",SUMIFS(周转筐出入库明细!$K$4:$K$2004,周转筐出入库明细!$C$4:$C$2004,$B24,周转筐出入库明细!$D$4:$D$2004,基础资料!$B$7,周转筐出入库明细!$B$4:$B$2004,"&gt;="&amp;$BC$1,周转筐出入库明细!$B$4:$B$2004,"&lt;="&amp;$BC$2))</f>
        <v/>
      </c>
      <c r="Y24" s="25" t="str">
        <f>IF(OR($B24="",基础资料!$B$8=""),"",SUMIFS(周转筐出入库明细!$K$4:$K$2004,周转筐出入库明细!$C$4:$C$2004,$B24,周转筐出入库明细!$D$4:$D$2004,基础资料!$B$8,周转筐出入库明细!$B$4:$B$2004,"&gt;="&amp;$BC$1,周转筐出入库明细!$B$4:$B$2004,"&lt;="&amp;$BC$2))</f>
        <v/>
      </c>
      <c r="Z24" s="25" t="str">
        <f t="shared" si="4"/>
        <v/>
      </c>
      <c r="AA24" s="67" t="str">
        <f>IF(OR($B24="",基础资料!$B$4=""),"",-SUMIFS(对接源_01水果筐数!$D$5:$D$304,对接源_01水果筐数!$B$5:$B$304,$B24,对接源_01水果筐数!$C$5:$C$304,基础资料!$B$4))</f>
        <v/>
      </c>
      <c r="AB24" s="67" t="str">
        <f>IF(OR($B24="",基础资料!$B$5=""),"",-SUMIFS(对接源_01水果筐数!$D$5:$D$304,对接源_01水果筐数!$B$5:$B$304,$B24,对接源_01水果筐数!$C$5:$C$304,基础资料!$B$5))</f>
        <v/>
      </c>
      <c r="AC24" s="67" t="str">
        <f>IF(OR($B24="",基础资料!$B$6=""),"",-SUMIFS(对接源_01水果筐数!$D$5:$D$304,对接源_01水果筐数!$B$5:$B$304,$B24,对接源_01水果筐数!$C$5:$C$304,基础资料!$B$6))</f>
        <v/>
      </c>
      <c r="AD24" s="67" t="str">
        <f>IF(OR($B24="",基础资料!$B$7=""),"",-SUMIFS(对接源_01水果筐数!$D$5:$D$304,对接源_01水果筐数!$B$5:$B$304,$B24,对接源_01水果筐数!$C$5:$C$304,基础资料!$B$7))</f>
        <v/>
      </c>
      <c r="AE24" s="67" t="str">
        <f>IF(OR($B24="",基础资料!$B$8=""),"",-SUMIFS(对接源_01水果筐数!$D$5:$D$304,对接源_01水果筐数!$B$5:$B$304,$B24,对接源_01水果筐数!$C$5:$C$304,基础资料!$B$8))</f>
        <v/>
      </c>
      <c r="AF24" s="25" t="str">
        <f>IF(OR($B24="",基础资料!$B$4=""),"",SUMIFS(对接源_01水果筐数!$E$5:$E$304,对接源_01水果筐数!$B$5:$B$304,$B24,对接源_01水果筐数!$C$5:$C$304,基础资料!$B$4))</f>
        <v/>
      </c>
      <c r="AG24" s="25" t="str">
        <f>IF(OR($B24="",基础资料!$B$5=""),"",SUMIFS(对接源_01水果筐数!$E$5:$E$304,对接源_01水果筐数!$B$5:$B$304,$B24,对接源_01水果筐数!$C$5:$C$304,基础资料!$B$5))</f>
        <v/>
      </c>
      <c r="AH24" s="25" t="str">
        <f>IF(OR($B24="",基础资料!$B$6=""),"",SUMIFS(对接源_01水果筐数!$E$5:$E$304,对接源_01水果筐数!$B$5:$B$304,$B24,对接源_01水果筐数!$C$5:$C$304,基础资料!$B$6))</f>
        <v/>
      </c>
      <c r="AI24" s="25" t="str">
        <f>IF(OR($B24="",基础资料!$B$7=""),"",SUMIFS(对接源_01水果筐数!$E$5:$E$304,对接源_01水果筐数!$B$5:$B$304,$B24,对接源_01水果筐数!$C$5:$C$304,基础资料!$B$7))</f>
        <v/>
      </c>
      <c r="AJ24" s="25" t="str">
        <f>IF(OR($B24="",基础资料!$B$8=""),"",SUMIFS(对接源_01水果筐数!$E$5:$E$304,对接源_01水果筐数!$B$5:$B$304,$B24,对接源_01水果筐数!$C$5:$C$304,基础资料!$B$8))</f>
        <v/>
      </c>
      <c r="AK24" s="25" t="str">
        <f>IF(OR($B24="",基础资料!$B$4=""),"",SUMIFS(对接源_01水果筐数!$F$5:$F$304,对接源_01水果筐数!$B$5:$B$304,$B24,对接源_01水果筐数!$C$5:$C$304,基础资料!$B$4))</f>
        <v/>
      </c>
      <c r="AL24" s="25" t="str">
        <f>IF(OR($B24="",基础资料!$B$5=""),"",SUMIFS(对接源_01水果筐数!$F$5:$F$304,对接源_01水果筐数!$B$5:$B$304,$B24,对接源_01水果筐数!$C$5:$C$304,基础资料!$B$5))</f>
        <v/>
      </c>
      <c r="AM24" s="25" t="str">
        <f>IF(OR($B24="",基础资料!$B$6=""),"",SUMIFS(对接源_01水果筐数!$F$5:$F$304,对接源_01水果筐数!$B$5:$B$304,$B24,对接源_01水果筐数!$C$5:$C$304,基础资料!$B$6))</f>
        <v/>
      </c>
      <c r="AN24" s="25" t="str">
        <f>IF(OR($B24="",基础资料!$B$7=""),"",SUMIFS(对接源_01水果筐数!$F$5:$F$304,对接源_01水果筐数!$B$5:$B$304,$B24,对接源_01水果筐数!$C$5:$C$304,基础资料!$B$7))</f>
        <v/>
      </c>
      <c r="AO24" s="25" t="str">
        <f>IF(OR($B24="",基础资料!$B$8=""),"",SUMIFS(对接源_01水果筐数!$F$5:$F$304,对接源_01水果筐数!$B$5:$B$304,$B24,对接源_01水果筐数!$C$5:$C$304,基础资料!$B$8))</f>
        <v/>
      </c>
      <c r="AP24" s="25" t="str">
        <f t="shared" si="5"/>
        <v/>
      </c>
      <c r="AQ24" s="25" t="str">
        <f t="shared" si="11"/>
        <v/>
      </c>
      <c r="AR24" s="25" t="str">
        <f t="shared" si="6"/>
        <v/>
      </c>
      <c r="AS24" s="25" t="str">
        <f t="shared" si="7"/>
        <v/>
      </c>
      <c r="AT24" s="25" t="str">
        <f t="shared" si="8"/>
        <v/>
      </c>
      <c r="AU24" s="25" t="str">
        <f t="shared" si="9"/>
        <v/>
      </c>
      <c r="AV24" s="24" t="str">
        <f t="shared" si="10"/>
        <v/>
      </c>
      <c r="AW24" s="72"/>
    </row>
    <row r="25" spans="1:49">
      <c r="A25" s="22" t="str">
        <f t="shared" si="0"/>
        <v/>
      </c>
      <c r="B25" s="24" t="str">
        <f>IFERROR(INDEX(_自动清单!$CC$4:$CC$253,ROW()-3),"")</f>
        <v/>
      </c>
      <c r="C25" s="25" t="str">
        <f>IF(OR($B25="",基础资料!$B$4=""),"",SUMIFS(周转筐出入库明细!$J$4:$J$2004,周转筐出入库明细!$C$4:$C$2004,$B25,周转筐出入库明细!$D$4:$D$2004,基础资料!$B$4,周转筐出入库明细!$B$4:$B$2004,"&gt;="&amp;$BC$1,周转筐出入库明细!$B$4:$B$2004,"&lt;="&amp;$BC$2))</f>
        <v/>
      </c>
      <c r="D25" s="25" t="str">
        <f>IF(OR($B25="",基础资料!$B$5=""),"",SUMIFS(周转筐出入库明细!$J$4:$J$2004,周转筐出入库明细!$C$4:$C$2004,$B25,周转筐出入库明细!$D$4:$D$2004,基础资料!$B$5,周转筐出入库明细!$B$4:$B$2004,"&gt;="&amp;$BC$1,周转筐出入库明细!$B$4:$B$2004,"&lt;="&amp;$BC$2))</f>
        <v/>
      </c>
      <c r="E25" s="25" t="str">
        <f>IF(OR($B25="",基础资料!$B$6=""),"",SUMIFS(周转筐出入库明细!$J$4:$J$2004,周转筐出入库明细!$C$4:$C$2004,$B25,周转筐出入库明细!$D$4:$D$2004,基础资料!$B$6,周转筐出入库明细!$B$4:$B$2004,"&gt;="&amp;$BC$1,周转筐出入库明细!$B$4:$B$2004,"&lt;="&amp;$BC$2))</f>
        <v/>
      </c>
      <c r="F25" s="25" t="str">
        <f>IF(OR($B25="",基础资料!$B$7=""),"",SUMIFS(周转筐出入库明细!$J$4:$J$2004,周转筐出入库明细!$C$4:$C$2004,$B25,周转筐出入库明细!$D$4:$D$2004,基础资料!$B$7,周转筐出入库明细!$B$4:$B$2004,"&gt;="&amp;$BC$1,周转筐出入库明细!$B$4:$B$2004,"&lt;="&amp;$BC$2))</f>
        <v/>
      </c>
      <c r="G25" s="25" t="str">
        <f>IF(OR($B25="",基础资料!$B$8=""),"",SUMIFS(周转筐出入库明细!$J$4:$J$2004,周转筐出入库明细!$C$4:$C$2004,$B25,周转筐出入库明细!$D$4:$D$2004,基础资料!$B$8,周转筐出入库明细!$B$4:$B$2004,"&gt;="&amp;$BC$1,周转筐出入库明细!$B$4:$B$2004,"&lt;="&amp;$BC$2))</f>
        <v/>
      </c>
      <c r="H25" s="25" t="str">
        <f t="shared" si="1"/>
        <v/>
      </c>
      <c r="I25" s="67" t="str">
        <f>IF(OR($B25="",基础资料!$B$4=""),"",-SUMIFS(周转筐出入库明细!$I$4:$I$2004,周转筐出入库明细!$C$4:$C$2004,$B25,周转筐出入库明细!$D$4:$D$2004,基础资料!$B$4,周转筐出入库明细!$B$4:$B$2004,"&gt;="&amp;$BC$1,周转筐出入库明细!$B$4:$B$2004,"&lt;="&amp;$BC$2))</f>
        <v/>
      </c>
      <c r="J25" s="67" t="str">
        <f>IF(OR($B25="",基础资料!$B$5=""),"",-SUMIFS(周转筐出入库明细!$I$4:$I$2004,周转筐出入库明细!$C$4:$C$2004,$B25,周转筐出入库明细!$D$4:$D$2004,基础资料!$B$5,周转筐出入库明细!$B$4:$B$2004,"&gt;="&amp;$BC$1,周转筐出入库明细!$B$4:$B$2004,"&lt;="&amp;$BC$2))</f>
        <v/>
      </c>
      <c r="K25" s="67" t="str">
        <f>IF(OR($B25="",基础资料!$B$6=""),"",-SUMIFS(周转筐出入库明细!$I$4:$I$2004,周转筐出入库明细!$C$4:$C$2004,$B25,周转筐出入库明细!$D$4:$D$2004,基础资料!$B$6,周转筐出入库明细!$B$4:$B$2004,"&gt;="&amp;$BC$1,周转筐出入库明细!$B$4:$B$2004,"&lt;="&amp;$BC$2))</f>
        <v/>
      </c>
      <c r="L25" s="67" t="str">
        <f>IF(OR($B25="",基础资料!$B$7=""),"",-SUMIFS(周转筐出入库明细!$I$4:$I$2004,周转筐出入库明细!$C$4:$C$2004,$B25,周转筐出入库明细!$D$4:$D$2004,基础资料!$B$7,周转筐出入库明细!$B$4:$B$2004,"&gt;="&amp;$BC$1,周转筐出入库明细!$B$4:$B$2004,"&lt;="&amp;$BC$2))</f>
        <v/>
      </c>
      <c r="M25" s="67" t="str">
        <f>IF(OR($B25="",基础资料!$B$8=""),"",-SUMIFS(周转筐出入库明细!$I$4:$I$2004,周转筐出入库明细!$C$4:$C$2004,$B25,周转筐出入库明细!$D$4:$D$2004,基础资料!$B$8,周转筐出入库明细!$B$4:$B$2004,"&gt;="&amp;$BC$1,周转筐出入库明细!$B$4:$B$2004,"&lt;="&amp;$BC$2))</f>
        <v/>
      </c>
      <c r="N25" s="67" t="str">
        <f t="shared" si="2"/>
        <v/>
      </c>
      <c r="O25" s="25" t="str">
        <f>IF(OR($B25="",基础资料!$B$4=""),"",SUMIFS(周转筐出入库明细!$H$4:$H$2004,周转筐出入库明细!$C$4:$C$2004,$B25,周转筐出入库明细!$D$4:$D$2004,基础资料!$B$4,周转筐出入库明细!$F$4:$F$2004,"采购入库",周转筐出入库明细!$B$4:$B$2004,"&gt;="&amp;$BC$1,周转筐出入库明细!$B$4:$B$2004,"&lt;="&amp;$BC$2))</f>
        <v/>
      </c>
      <c r="P25" s="25" t="str">
        <f>IF(OR($B25="",基础资料!$B$5=""),"",SUMIFS(周转筐出入库明细!$H$4:$H$2004,周转筐出入库明细!$C$4:$C$2004,$B25,周转筐出入库明细!$D$4:$D$2004,基础资料!$B$5,周转筐出入库明细!$F$4:$F$2004,"采购入库",周转筐出入库明细!$B$4:$B$2004,"&gt;="&amp;$BC$1,周转筐出入库明细!$B$4:$B$2004,"&lt;="&amp;$BC$2))</f>
        <v/>
      </c>
      <c r="Q25" s="25" t="str">
        <f>IF(OR($B25="",基础资料!$B$6=""),"",SUMIFS(周转筐出入库明细!$H$4:$H$2004,周转筐出入库明细!$C$4:$C$2004,$B25,周转筐出入库明细!$D$4:$D$2004,基础资料!$B$6,周转筐出入库明细!$F$4:$F$2004,"采购入库",周转筐出入库明细!$B$4:$B$2004,"&gt;="&amp;$BC$1,周转筐出入库明细!$B$4:$B$2004,"&lt;="&amp;$BC$2))</f>
        <v/>
      </c>
      <c r="R25" s="25" t="str">
        <f>IF(OR($B25="",基础资料!$B$7=""),"",SUMIFS(周转筐出入库明细!$H$4:$H$2004,周转筐出入库明细!$C$4:$C$2004,$B25,周转筐出入库明细!$D$4:$D$2004,基础资料!$B$7,周转筐出入库明细!$F$4:$F$2004,"采购入库",周转筐出入库明细!$B$4:$B$2004,"&gt;="&amp;$BC$1,周转筐出入库明细!$B$4:$B$2004,"&lt;="&amp;$BC$2))</f>
        <v/>
      </c>
      <c r="S25" s="25" t="str">
        <f>IF(OR($B25="",基础资料!$B$8=""),"",SUMIFS(周转筐出入库明细!$H$4:$H$2004,周转筐出入库明细!$C$4:$C$2004,$B25,周转筐出入库明细!$D$4:$D$2004,基础资料!$B$8,周转筐出入库明细!$F$4:$F$2004,"采购入库",周转筐出入库明细!$B$4:$B$2004,"&gt;="&amp;$BC$1,周转筐出入库明细!$B$4:$B$2004,"&lt;="&amp;$BC$2))</f>
        <v/>
      </c>
      <c r="T25" s="25" t="str">
        <f t="shared" si="3"/>
        <v/>
      </c>
      <c r="U25" s="25" t="str">
        <f>IF(OR($B25="",基础资料!$B$4=""),"",SUMIFS(周转筐出入库明细!$K$4:$K$2004,周转筐出入库明细!$C$4:$C$2004,$B25,周转筐出入库明细!$D$4:$D$2004,基础资料!$B$4,周转筐出入库明细!$B$4:$B$2004,"&gt;="&amp;$BC$1,周转筐出入库明细!$B$4:$B$2004,"&lt;="&amp;$BC$2))</f>
        <v/>
      </c>
      <c r="V25" s="25" t="str">
        <f>IF(OR($B25="",基础资料!$B$5=""),"",SUMIFS(周转筐出入库明细!$K$4:$K$2004,周转筐出入库明细!$C$4:$C$2004,$B25,周转筐出入库明细!$D$4:$D$2004,基础资料!$B$5,周转筐出入库明细!$B$4:$B$2004,"&gt;="&amp;$BC$1,周转筐出入库明细!$B$4:$B$2004,"&lt;="&amp;$BC$2))</f>
        <v/>
      </c>
      <c r="W25" s="25" t="str">
        <f>IF(OR($B25="",基础资料!$B$6=""),"",SUMIFS(周转筐出入库明细!$K$4:$K$2004,周转筐出入库明细!$C$4:$C$2004,$B25,周转筐出入库明细!$D$4:$D$2004,基础资料!$B$6,周转筐出入库明细!$B$4:$B$2004,"&gt;="&amp;$BC$1,周转筐出入库明细!$B$4:$B$2004,"&lt;="&amp;$BC$2))</f>
        <v/>
      </c>
      <c r="X25" s="25" t="str">
        <f>IF(OR($B25="",基础资料!$B$7=""),"",SUMIFS(周转筐出入库明细!$K$4:$K$2004,周转筐出入库明细!$C$4:$C$2004,$B25,周转筐出入库明细!$D$4:$D$2004,基础资料!$B$7,周转筐出入库明细!$B$4:$B$2004,"&gt;="&amp;$BC$1,周转筐出入库明细!$B$4:$B$2004,"&lt;="&amp;$BC$2))</f>
        <v/>
      </c>
      <c r="Y25" s="25" t="str">
        <f>IF(OR($B25="",基础资料!$B$8=""),"",SUMIFS(周转筐出入库明细!$K$4:$K$2004,周转筐出入库明细!$C$4:$C$2004,$B25,周转筐出入库明细!$D$4:$D$2004,基础资料!$B$8,周转筐出入库明细!$B$4:$B$2004,"&gt;="&amp;$BC$1,周转筐出入库明细!$B$4:$B$2004,"&lt;="&amp;$BC$2))</f>
        <v/>
      </c>
      <c r="Z25" s="25" t="str">
        <f t="shared" si="4"/>
        <v/>
      </c>
      <c r="AA25" s="67" t="str">
        <f>IF(OR($B25="",基础资料!$B$4=""),"",-SUMIFS(对接源_01水果筐数!$D$5:$D$304,对接源_01水果筐数!$B$5:$B$304,$B25,对接源_01水果筐数!$C$5:$C$304,基础资料!$B$4))</f>
        <v/>
      </c>
      <c r="AB25" s="67" t="str">
        <f>IF(OR($B25="",基础资料!$B$5=""),"",-SUMIFS(对接源_01水果筐数!$D$5:$D$304,对接源_01水果筐数!$B$5:$B$304,$B25,对接源_01水果筐数!$C$5:$C$304,基础资料!$B$5))</f>
        <v/>
      </c>
      <c r="AC25" s="67" t="str">
        <f>IF(OR($B25="",基础资料!$B$6=""),"",-SUMIFS(对接源_01水果筐数!$D$5:$D$304,对接源_01水果筐数!$B$5:$B$304,$B25,对接源_01水果筐数!$C$5:$C$304,基础资料!$B$6))</f>
        <v/>
      </c>
      <c r="AD25" s="67" t="str">
        <f>IF(OR($B25="",基础资料!$B$7=""),"",-SUMIFS(对接源_01水果筐数!$D$5:$D$304,对接源_01水果筐数!$B$5:$B$304,$B25,对接源_01水果筐数!$C$5:$C$304,基础资料!$B$7))</f>
        <v/>
      </c>
      <c r="AE25" s="67" t="str">
        <f>IF(OR($B25="",基础资料!$B$8=""),"",-SUMIFS(对接源_01水果筐数!$D$5:$D$304,对接源_01水果筐数!$B$5:$B$304,$B25,对接源_01水果筐数!$C$5:$C$304,基础资料!$B$8))</f>
        <v/>
      </c>
      <c r="AF25" s="25" t="str">
        <f>IF(OR($B25="",基础资料!$B$4=""),"",SUMIFS(对接源_01水果筐数!$E$5:$E$304,对接源_01水果筐数!$B$5:$B$304,$B25,对接源_01水果筐数!$C$5:$C$304,基础资料!$B$4))</f>
        <v/>
      </c>
      <c r="AG25" s="25" t="str">
        <f>IF(OR($B25="",基础资料!$B$5=""),"",SUMIFS(对接源_01水果筐数!$E$5:$E$304,对接源_01水果筐数!$B$5:$B$304,$B25,对接源_01水果筐数!$C$5:$C$304,基础资料!$B$5))</f>
        <v/>
      </c>
      <c r="AH25" s="25" t="str">
        <f>IF(OR($B25="",基础资料!$B$6=""),"",SUMIFS(对接源_01水果筐数!$E$5:$E$304,对接源_01水果筐数!$B$5:$B$304,$B25,对接源_01水果筐数!$C$5:$C$304,基础资料!$B$6))</f>
        <v/>
      </c>
      <c r="AI25" s="25" t="str">
        <f>IF(OR($B25="",基础资料!$B$7=""),"",SUMIFS(对接源_01水果筐数!$E$5:$E$304,对接源_01水果筐数!$B$5:$B$304,$B25,对接源_01水果筐数!$C$5:$C$304,基础资料!$B$7))</f>
        <v/>
      </c>
      <c r="AJ25" s="25" t="str">
        <f>IF(OR($B25="",基础资料!$B$8=""),"",SUMIFS(对接源_01水果筐数!$E$5:$E$304,对接源_01水果筐数!$B$5:$B$304,$B25,对接源_01水果筐数!$C$5:$C$304,基础资料!$B$8))</f>
        <v/>
      </c>
      <c r="AK25" s="25" t="str">
        <f>IF(OR($B25="",基础资料!$B$4=""),"",SUMIFS(对接源_01水果筐数!$F$5:$F$304,对接源_01水果筐数!$B$5:$B$304,$B25,对接源_01水果筐数!$C$5:$C$304,基础资料!$B$4))</f>
        <v/>
      </c>
      <c r="AL25" s="25" t="str">
        <f>IF(OR($B25="",基础资料!$B$5=""),"",SUMIFS(对接源_01水果筐数!$F$5:$F$304,对接源_01水果筐数!$B$5:$B$304,$B25,对接源_01水果筐数!$C$5:$C$304,基础资料!$B$5))</f>
        <v/>
      </c>
      <c r="AM25" s="25" t="str">
        <f>IF(OR($B25="",基础资料!$B$6=""),"",SUMIFS(对接源_01水果筐数!$F$5:$F$304,对接源_01水果筐数!$B$5:$B$304,$B25,对接源_01水果筐数!$C$5:$C$304,基础资料!$B$6))</f>
        <v/>
      </c>
      <c r="AN25" s="25" t="str">
        <f>IF(OR($B25="",基础资料!$B$7=""),"",SUMIFS(对接源_01水果筐数!$F$5:$F$304,对接源_01水果筐数!$B$5:$B$304,$B25,对接源_01水果筐数!$C$5:$C$304,基础资料!$B$7))</f>
        <v/>
      </c>
      <c r="AO25" s="25" t="str">
        <f>IF(OR($B25="",基础资料!$B$8=""),"",SUMIFS(对接源_01水果筐数!$F$5:$F$304,对接源_01水果筐数!$B$5:$B$304,$B25,对接源_01水果筐数!$C$5:$C$304,基础资料!$B$8))</f>
        <v/>
      </c>
      <c r="AP25" s="25" t="str">
        <f t="shared" si="5"/>
        <v/>
      </c>
      <c r="AQ25" s="25" t="str">
        <f t="shared" si="11"/>
        <v/>
      </c>
      <c r="AR25" s="25" t="str">
        <f t="shared" si="6"/>
        <v/>
      </c>
      <c r="AS25" s="25" t="str">
        <f t="shared" si="7"/>
        <v/>
      </c>
      <c r="AT25" s="25" t="str">
        <f t="shared" si="8"/>
        <v/>
      </c>
      <c r="AU25" s="25" t="str">
        <f t="shared" si="9"/>
        <v/>
      </c>
      <c r="AV25" s="24" t="str">
        <f t="shared" si="10"/>
        <v/>
      </c>
      <c r="AW25" s="72"/>
    </row>
    <row r="26" spans="1:49">
      <c r="A26" s="22" t="str">
        <f t="shared" si="0"/>
        <v/>
      </c>
      <c r="B26" s="24" t="str">
        <f>IFERROR(INDEX(_自动清单!$CC$4:$CC$253,ROW()-3),"")</f>
        <v/>
      </c>
      <c r="C26" s="25" t="str">
        <f>IF(OR($B26="",基础资料!$B$4=""),"",SUMIFS(周转筐出入库明细!$J$4:$J$2004,周转筐出入库明细!$C$4:$C$2004,$B26,周转筐出入库明细!$D$4:$D$2004,基础资料!$B$4,周转筐出入库明细!$B$4:$B$2004,"&gt;="&amp;$BC$1,周转筐出入库明细!$B$4:$B$2004,"&lt;="&amp;$BC$2))</f>
        <v/>
      </c>
      <c r="D26" s="25" t="str">
        <f>IF(OR($B26="",基础资料!$B$5=""),"",SUMIFS(周转筐出入库明细!$J$4:$J$2004,周转筐出入库明细!$C$4:$C$2004,$B26,周转筐出入库明细!$D$4:$D$2004,基础资料!$B$5,周转筐出入库明细!$B$4:$B$2004,"&gt;="&amp;$BC$1,周转筐出入库明细!$B$4:$B$2004,"&lt;="&amp;$BC$2))</f>
        <v/>
      </c>
      <c r="E26" s="25" t="str">
        <f>IF(OR($B26="",基础资料!$B$6=""),"",SUMIFS(周转筐出入库明细!$J$4:$J$2004,周转筐出入库明细!$C$4:$C$2004,$B26,周转筐出入库明细!$D$4:$D$2004,基础资料!$B$6,周转筐出入库明细!$B$4:$B$2004,"&gt;="&amp;$BC$1,周转筐出入库明细!$B$4:$B$2004,"&lt;="&amp;$BC$2))</f>
        <v/>
      </c>
      <c r="F26" s="25" t="str">
        <f>IF(OR($B26="",基础资料!$B$7=""),"",SUMIFS(周转筐出入库明细!$J$4:$J$2004,周转筐出入库明细!$C$4:$C$2004,$B26,周转筐出入库明细!$D$4:$D$2004,基础资料!$B$7,周转筐出入库明细!$B$4:$B$2004,"&gt;="&amp;$BC$1,周转筐出入库明细!$B$4:$B$2004,"&lt;="&amp;$BC$2))</f>
        <v/>
      </c>
      <c r="G26" s="25" t="str">
        <f>IF(OR($B26="",基础资料!$B$8=""),"",SUMIFS(周转筐出入库明细!$J$4:$J$2004,周转筐出入库明细!$C$4:$C$2004,$B26,周转筐出入库明细!$D$4:$D$2004,基础资料!$B$8,周转筐出入库明细!$B$4:$B$2004,"&gt;="&amp;$BC$1,周转筐出入库明细!$B$4:$B$2004,"&lt;="&amp;$BC$2))</f>
        <v/>
      </c>
      <c r="H26" s="25" t="str">
        <f t="shared" si="1"/>
        <v/>
      </c>
      <c r="I26" s="67" t="str">
        <f>IF(OR($B26="",基础资料!$B$4=""),"",-SUMIFS(周转筐出入库明细!$I$4:$I$2004,周转筐出入库明细!$C$4:$C$2004,$B26,周转筐出入库明细!$D$4:$D$2004,基础资料!$B$4,周转筐出入库明细!$B$4:$B$2004,"&gt;="&amp;$BC$1,周转筐出入库明细!$B$4:$B$2004,"&lt;="&amp;$BC$2))</f>
        <v/>
      </c>
      <c r="J26" s="67" t="str">
        <f>IF(OR($B26="",基础资料!$B$5=""),"",-SUMIFS(周转筐出入库明细!$I$4:$I$2004,周转筐出入库明细!$C$4:$C$2004,$B26,周转筐出入库明细!$D$4:$D$2004,基础资料!$B$5,周转筐出入库明细!$B$4:$B$2004,"&gt;="&amp;$BC$1,周转筐出入库明细!$B$4:$B$2004,"&lt;="&amp;$BC$2))</f>
        <v/>
      </c>
      <c r="K26" s="67" t="str">
        <f>IF(OR($B26="",基础资料!$B$6=""),"",-SUMIFS(周转筐出入库明细!$I$4:$I$2004,周转筐出入库明细!$C$4:$C$2004,$B26,周转筐出入库明细!$D$4:$D$2004,基础资料!$B$6,周转筐出入库明细!$B$4:$B$2004,"&gt;="&amp;$BC$1,周转筐出入库明细!$B$4:$B$2004,"&lt;="&amp;$BC$2))</f>
        <v/>
      </c>
      <c r="L26" s="67" t="str">
        <f>IF(OR($B26="",基础资料!$B$7=""),"",-SUMIFS(周转筐出入库明细!$I$4:$I$2004,周转筐出入库明细!$C$4:$C$2004,$B26,周转筐出入库明细!$D$4:$D$2004,基础资料!$B$7,周转筐出入库明细!$B$4:$B$2004,"&gt;="&amp;$BC$1,周转筐出入库明细!$B$4:$B$2004,"&lt;="&amp;$BC$2))</f>
        <v/>
      </c>
      <c r="M26" s="67" t="str">
        <f>IF(OR($B26="",基础资料!$B$8=""),"",-SUMIFS(周转筐出入库明细!$I$4:$I$2004,周转筐出入库明细!$C$4:$C$2004,$B26,周转筐出入库明细!$D$4:$D$2004,基础资料!$B$8,周转筐出入库明细!$B$4:$B$2004,"&gt;="&amp;$BC$1,周转筐出入库明细!$B$4:$B$2004,"&lt;="&amp;$BC$2))</f>
        <v/>
      </c>
      <c r="N26" s="67" t="str">
        <f t="shared" si="2"/>
        <v/>
      </c>
      <c r="O26" s="25" t="str">
        <f>IF(OR($B26="",基础资料!$B$4=""),"",SUMIFS(周转筐出入库明细!$H$4:$H$2004,周转筐出入库明细!$C$4:$C$2004,$B26,周转筐出入库明细!$D$4:$D$2004,基础资料!$B$4,周转筐出入库明细!$F$4:$F$2004,"采购入库",周转筐出入库明细!$B$4:$B$2004,"&gt;="&amp;$BC$1,周转筐出入库明细!$B$4:$B$2004,"&lt;="&amp;$BC$2))</f>
        <v/>
      </c>
      <c r="P26" s="25" t="str">
        <f>IF(OR($B26="",基础资料!$B$5=""),"",SUMIFS(周转筐出入库明细!$H$4:$H$2004,周转筐出入库明细!$C$4:$C$2004,$B26,周转筐出入库明细!$D$4:$D$2004,基础资料!$B$5,周转筐出入库明细!$F$4:$F$2004,"采购入库",周转筐出入库明细!$B$4:$B$2004,"&gt;="&amp;$BC$1,周转筐出入库明细!$B$4:$B$2004,"&lt;="&amp;$BC$2))</f>
        <v/>
      </c>
      <c r="Q26" s="25" t="str">
        <f>IF(OR($B26="",基础资料!$B$6=""),"",SUMIFS(周转筐出入库明细!$H$4:$H$2004,周转筐出入库明细!$C$4:$C$2004,$B26,周转筐出入库明细!$D$4:$D$2004,基础资料!$B$6,周转筐出入库明细!$F$4:$F$2004,"采购入库",周转筐出入库明细!$B$4:$B$2004,"&gt;="&amp;$BC$1,周转筐出入库明细!$B$4:$B$2004,"&lt;="&amp;$BC$2))</f>
        <v/>
      </c>
      <c r="R26" s="25" t="str">
        <f>IF(OR($B26="",基础资料!$B$7=""),"",SUMIFS(周转筐出入库明细!$H$4:$H$2004,周转筐出入库明细!$C$4:$C$2004,$B26,周转筐出入库明细!$D$4:$D$2004,基础资料!$B$7,周转筐出入库明细!$F$4:$F$2004,"采购入库",周转筐出入库明细!$B$4:$B$2004,"&gt;="&amp;$BC$1,周转筐出入库明细!$B$4:$B$2004,"&lt;="&amp;$BC$2))</f>
        <v/>
      </c>
      <c r="S26" s="25" t="str">
        <f>IF(OR($B26="",基础资料!$B$8=""),"",SUMIFS(周转筐出入库明细!$H$4:$H$2004,周转筐出入库明细!$C$4:$C$2004,$B26,周转筐出入库明细!$D$4:$D$2004,基础资料!$B$8,周转筐出入库明细!$F$4:$F$2004,"采购入库",周转筐出入库明细!$B$4:$B$2004,"&gt;="&amp;$BC$1,周转筐出入库明细!$B$4:$B$2004,"&lt;="&amp;$BC$2))</f>
        <v/>
      </c>
      <c r="T26" s="25" t="str">
        <f t="shared" si="3"/>
        <v/>
      </c>
      <c r="U26" s="25" t="str">
        <f>IF(OR($B26="",基础资料!$B$4=""),"",SUMIFS(周转筐出入库明细!$K$4:$K$2004,周转筐出入库明细!$C$4:$C$2004,$B26,周转筐出入库明细!$D$4:$D$2004,基础资料!$B$4,周转筐出入库明细!$B$4:$B$2004,"&gt;="&amp;$BC$1,周转筐出入库明细!$B$4:$B$2004,"&lt;="&amp;$BC$2))</f>
        <v/>
      </c>
      <c r="V26" s="25" t="str">
        <f>IF(OR($B26="",基础资料!$B$5=""),"",SUMIFS(周转筐出入库明细!$K$4:$K$2004,周转筐出入库明细!$C$4:$C$2004,$B26,周转筐出入库明细!$D$4:$D$2004,基础资料!$B$5,周转筐出入库明细!$B$4:$B$2004,"&gt;="&amp;$BC$1,周转筐出入库明细!$B$4:$B$2004,"&lt;="&amp;$BC$2))</f>
        <v/>
      </c>
      <c r="W26" s="25" t="str">
        <f>IF(OR($B26="",基础资料!$B$6=""),"",SUMIFS(周转筐出入库明细!$K$4:$K$2004,周转筐出入库明细!$C$4:$C$2004,$B26,周转筐出入库明细!$D$4:$D$2004,基础资料!$B$6,周转筐出入库明细!$B$4:$B$2004,"&gt;="&amp;$BC$1,周转筐出入库明细!$B$4:$B$2004,"&lt;="&amp;$BC$2))</f>
        <v/>
      </c>
      <c r="X26" s="25" t="str">
        <f>IF(OR($B26="",基础资料!$B$7=""),"",SUMIFS(周转筐出入库明细!$K$4:$K$2004,周转筐出入库明细!$C$4:$C$2004,$B26,周转筐出入库明细!$D$4:$D$2004,基础资料!$B$7,周转筐出入库明细!$B$4:$B$2004,"&gt;="&amp;$BC$1,周转筐出入库明细!$B$4:$B$2004,"&lt;="&amp;$BC$2))</f>
        <v/>
      </c>
      <c r="Y26" s="25" t="str">
        <f>IF(OR($B26="",基础资料!$B$8=""),"",SUMIFS(周转筐出入库明细!$K$4:$K$2004,周转筐出入库明细!$C$4:$C$2004,$B26,周转筐出入库明细!$D$4:$D$2004,基础资料!$B$8,周转筐出入库明细!$B$4:$B$2004,"&gt;="&amp;$BC$1,周转筐出入库明细!$B$4:$B$2004,"&lt;="&amp;$BC$2))</f>
        <v/>
      </c>
      <c r="Z26" s="25" t="str">
        <f t="shared" si="4"/>
        <v/>
      </c>
      <c r="AA26" s="67" t="str">
        <f>IF(OR($B26="",基础资料!$B$4=""),"",-SUMIFS(对接源_01水果筐数!$D$5:$D$304,对接源_01水果筐数!$B$5:$B$304,$B26,对接源_01水果筐数!$C$5:$C$304,基础资料!$B$4))</f>
        <v/>
      </c>
      <c r="AB26" s="67" t="str">
        <f>IF(OR($B26="",基础资料!$B$5=""),"",-SUMIFS(对接源_01水果筐数!$D$5:$D$304,对接源_01水果筐数!$B$5:$B$304,$B26,对接源_01水果筐数!$C$5:$C$304,基础资料!$B$5))</f>
        <v/>
      </c>
      <c r="AC26" s="67" t="str">
        <f>IF(OR($B26="",基础资料!$B$6=""),"",-SUMIFS(对接源_01水果筐数!$D$5:$D$304,对接源_01水果筐数!$B$5:$B$304,$B26,对接源_01水果筐数!$C$5:$C$304,基础资料!$B$6))</f>
        <v/>
      </c>
      <c r="AD26" s="67" t="str">
        <f>IF(OR($B26="",基础资料!$B$7=""),"",-SUMIFS(对接源_01水果筐数!$D$5:$D$304,对接源_01水果筐数!$B$5:$B$304,$B26,对接源_01水果筐数!$C$5:$C$304,基础资料!$B$7))</f>
        <v/>
      </c>
      <c r="AE26" s="67" t="str">
        <f>IF(OR($B26="",基础资料!$B$8=""),"",-SUMIFS(对接源_01水果筐数!$D$5:$D$304,对接源_01水果筐数!$B$5:$B$304,$B26,对接源_01水果筐数!$C$5:$C$304,基础资料!$B$8))</f>
        <v/>
      </c>
      <c r="AF26" s="25" t="str">
        <f>IF(OR($B26="",基础资料!$B$4=""),"",SUMIFS(对接源_01水果筐数!$E$5:$E$304,对接源_01水果筐数!$B$5:$B$304,$B26,对接源_01水果筐数!$C$5:$C$304,基础资料!$B$4))</f>
        <v/>
      </c>
      <c r="AG26" s="25" t="str">
        <f>IF(OR($B26="",基础资料!$B$5=""),"",SUMIFS(对接源_01水果筐数!$E$5:$E$304,对接源_01水果筐数!$B$5:$B$304,$B26,对接源_01水果筐数!$C$5:$C$304,基础资料!$B$5))</f>
        <v/>
      </c>
      <c r="AH26" s="25" t="str">
        <f>IF(OR($B26="",基础资料!$B$6=""),"",SUMIFS(对接源_01水果筐数!$E$5:$E$304,对接源_01水果筐数!$B$5:$B$304,$B26,对接源_01水果筐数!$C$5:$C$304,基础资料!$B$6))</f>
        <v/>
      </c>
      <c r="AI26" s="25" t="str">
        <f>IF(OR($B26="",基础资料!$B$7=""),"",SUMIFS(对接源_01水果筐数!$E$5:$E$304,对接源_01水果筐数!$B$5:$B$304,$B26,对接源_01水果筐数!$C$5:$C$304,基础资料!$B$7))</f>
        <v/>
      </c>
      <c r="AJ26" s="25" t="str">
        <f>IF(OR($B26="",基础资料!$B$8=""),"",SUMIFS(对接源_01水果筐数!$E$5:$E$304,对接源_01水果筐数!$B$5:$B$304,$B26,对接源_01水果筐数!$C$5:$C$304,基础资料!$B$8))</f>
        <v/>
      </c>
      <c r="AK26" s="25" t="str">
        <f>IF(OR($B26="",基础资料!$B$4=""),"",SUMIFS(对接源_01水果筐数!$F$5:$F$304,对接源_01水果筐数!$B$5:$B$304,$B26,对接源_01水果筐数!$C$5:$C$304,基础资料!$B$4))</f>
        <v/>
      </c>
      <c r="AL26" s="25" t="str">
        <f>IF(OR($B26="",基础资料!$B$5=""),"",SUMIFS(对接源_01水果筐数!$F$5:$F$304,对接源_01水果筐数!$B$5:$B$304,$B26,对接源_01水果筐数!$C$5:$C$304,基础资料!$B$5))</f>
        <v/>
      </c>
      <c r="AM26" s="25" t="str">
        <f>IF(OR($B26="",基础资料!$B$6=""),"",SUMIFS(对接源_01水果筐数!$F$5:$F$304,对接源_01水果筐数!$B$5:$B$304,$B26,对接源_01水果筐数!$C$5:$C$304,基础资料!$B$6))</f>
        <v/>
      </c>
      <c r="AN26" s="25" t="str">
        <f>IF(OR($B26="",基础资料!$B$7=""),"",SUMIFS(对接源_01水果筐数!$F$5:$F$304,对接源_01水果筐数!$B$5:$B$304,$B26,对接源_01水果筐数!$C$5:$C$304,基础资料!$B$7))</f>
        <v/>
      </c>
      <c r="AO26" s="25" t="str">
        <f>IF(OR($B26="",基础资料!$B$8=""),"",SUMIFS(对接源_01水果筐数!$F$5:$F$304,对接源_01水果筐数!$B$5:$B$304,$B26,对接源_01水果筐数!$C$5:$C$304,基础资料!$B$8))</f>
        <v/>
      </c>
      <c r="AP26" s="25" t="str">
        <f t="shared" si="5"/>
        <v/>
      </c>
      <c r="AQ26" s="25" t="str">
        <f t="shared" si="11"/>
        <v/>
      </c>
      <c r="AR26" s="25" t="str">
        <f t="shared" si="6"/>
        <v/>
      </c>
      <c r="AS26" s="25" t="str">
        <f t="shared" si="7"/>
        <v/>
      </c>
      <c r="AT26" s="25" t="str">
        <f t="shared" si="8"/>
        <v/>
      </c>
      <c r="AU26" s="25" t="str">
        <f t="shared" si="9"/>
        <v/>
      </c>
      <c r="AV26" s="24" t="str">
        <f t="shared" si="10"/>
        <v/>
      </c>
      <c r="AW26" s="72"/>
    </row>
    <row r="27" spans="1:49">
      <c r="A27" s="22" t="str">
        <f t="shared" si="0"/>
        <v/>
      </c>
      <c r="B27" s="24" t="str">
        <f>IFERROR(INDEX(_自动清单!$CC$4:$CC$253,ROW()-3),"")</f>
        <v/>
      </c>
      <c r="C27" s="25" t="str">
        <f>IF(OR($B27="",基础资料!$B$4=""),"",SUMIFS(周转筐出入库明细!$J$4:$J$2004,周转筐出入库明细!$C$4:$C$2004,$B27,周转筐出入库明细!$D$4:$D$2004,基础资料!$B$4,周转筐出入库明细!$B$4:$B$2004,"&gt;="&amp;$BC$1,周转筐出入库明细!$B$4:$B$2004,"&lt;="&amp;$BC$2))</f>
        <v/>
      </c>
      <c r="D27" s="25" t="str">
        <f>IF(OR($B27="",基础资料!$B$5=""),"",SUMIFS(周转筐出入库明细!$J$4:$J$2004,周转筐出入库明细!$C$4:$C$2004,$B27,周转筐出入库明细!$D$4:$D$2004,基础资料!$B$5,周转筐出入库明细!$B$4:$B$2004,"&gt;="&amp;$BC$1,周转筐出入库明细!$B$4:$B$2004,"&lt;="&amp;$BC$2))</f>
        <v/>
      </c>
      <c r="E27" s="25" t="str">
        <f>IF(OR($B27="",基础资料!$B$6=""),"",SUMIFS(周转筐出入库明细!$J$4:$J$2004,周转筐出入库明细!$C$4:$C$2004,$B27,周转筐出入库明细!$D$4:$D$2004,基础资料!$B$6,周转筐出入库明细!$B$4:$B$2004,"&gt;="&amp;$BC$1,周转筐出入库明细!$B$4:$B$2004,"&lt;="&amp;$BC$2))</f>
        <v/>
      </c>
      <c r="F27" s="25" t="str">
        <f>IF(OR($B27="",基础资料!$B$7=""),"",SUMIFS(周转筐出入库明细!$J$4:$J$2004,周转筐出入库明细!$C$4:$C$2004,$B27,周转筐出入库明细!$D$4:$D$2004,基础资料!$B$7,周转筐出入库明细!$B$4:$B$2004,"&gt;="&amp;$BC$1,周转筐出入库明细!$B$4:$B$2004,"&lt;="&amp;$BC$2))</f>
        <v/>
      </c>
      <c r="G27" s="25" t="str">
        <f>IF(OR($B27="",基础资料!$B$8=""),"",SUMIFS(周转筐出入库明细!$J$4:$J$2004,周转筐出入库明细!$C$4:$C$2004,$B27,周转筐出入库明细!$D$4:$D$2004,基础资料!$B$8,周转筐出入库明细!$B$4:$B$2004,"&gt;="&amp;$BC$1,周转筐出入库明细!$B$4:$B$2004,"&lt;="&amp;$BC$2))</f>
        <v/>
      </c>
      <c r="H27" s="25" t="str">
        <f t="shared" si="1"/>
        <v/>
      </c>
      <c r="I27" s="67" t="str">
        <f>IF(OR($B27="",基础资料!$B$4=""),"",-SUMIFS(周转筐出入库明细!$I$4:$I$2004,周转筐出入库明细!$C$4:$C$2004,$B27,周转筐出入库明细!$D$4:$D$2004,基础资料!$B$4,周转筐出入库明细!$B$4:$B$2004,"&gt;="&amp;$BC$1,周转筐出入库明细!$B$4:$B$2004,"&lt;="&amp;$BC$2))</f>
        <v/>
      </c>
      <c r="J27" s="67" t="str">
        <f>IF(OR($B27="",基础资料!$B$5=""),"",-SUMIFS(周转筐出入库明细!$I$4:$I$2004,周转筐出入库明细!$C$4:$C$2004,$B27,周转筐出入库明细!$D$4:$D$2004,基础资料!$B$5,周转筐出入库明细!$B$4:$B$2004,"&gt;="&amp;$BC$1,周转筐出入库明细!$B$4:$B$2004,"&lt;="&amp;$BC$2))</f>
        <v/>
      </c>
      <c r="K27" s="67" t="str">
        <f>IF(OR($B27="",基础资料!$B$6=""),"",-SUMIFS(周转筐出入库明细!$I$4:$I$2004,周转筐出入库明细!$C$4:$C$2004,$B27,周转筐出入库明细!$D$4:$D$2004,基础资料!$B$6,周转筐出入库明细!$B$4:$B$2004,"&gt;="&amp;$BC$1,周转筐出入库明细!$B$4:$B$2004,"&lt;="&amp;$BC$2))</f>
        <v/>
      </c>
      <c r="L27" s="67" t="str">
        <f>IF(OR($B27="",基础资料!$B$7=""),"",-SUMIFS(周转筐出入库明细!$I$4:$I$2004,周转筐出入库明细!$C$4:$C$2004,$B27,周转筐出入库明细!$D$4:$D$2004,基础资料!$B$7,周转筐出入库明细!$B$4:$B$2004,"&gt;="&amp;$BC$1,周转筐出入库明细!$B$4:$B$2004,"&lt;="&amp;$BC$2))</f>
        <v/>
      </c>
      <c r="M27" s="67" t="str">
        <f>IF(OR($B27="",基础资料!$B$8=""),"",-SUMIFS(周转筐出入库明细!$I$4:$I$2004,周转筐出入库明细!$C$4:$C$2004,$B27,周转筐出入库明细!$D$4:$D$2004,基础资料!$B$8,周转筐出入库明细!$B$4:$B$2004,"&gt;="&amp;$BC$1,周转筐出入库明细!$B$4:$B$2004,"&lt;="&amp;$BC$2))</f>
        <v/>
      </c>
      <c r="N27" s="67" t="str">
        <f t="shared" si="2"/>
        <v/>
      </c>
      <c r="O27" s="25" t="str">
        <f>IF(OR($B27="",基础资料!$B$4=""),"",SUMIFS(周转筐出入库明细!$H$4:$H$2004,周转筐出入库明细!$C$4:$C$2004,$B27,周转筐出入库明细!$D$4:$D$2004,基础资料!$B$4,周转筐出入库明细!$F$4:$F$2004,"采购入库",周转筐出入库明细!$B$4:$B$2004,"&gt;="&amp;$BC$1,周转筐出入库明细!$B$4:$B$2004,"&lt;="&amp;$BC$2))</f>
        <v/>
      </c>
      <c r="P27" s="25" t="str">
        <f>IF(OR($B27="",基础资料!$B$5=""),"",SUMIFS(周转筐出入库明细!$H$4:$H$2004,周转筐出入库明细!$C$4:$C$2004,$B27,周转筐出入库明细!$D$4:$D$2004,基础资料!$B$5,周转筐出入库明细!$F$4:$F$2004,"采购入库",周转筐出入库明细!$B$4:$B$2004,"&gt;="&amp;$BC$1,周转筐出入库明细!$B$4:$B$2004,"&lt;="&amp;$BC$2))</f>
        <v/>
      </c>
      <c r="Q27" s="25" t="str">
        <f>IF(OR($B27="",基础资料!$B$6=""),"",SUMIFS(周转筐出入库明细!$H$4:$H$2004,周转筐出入库明细!$C$4:$C$2004,$B27,周转筐出入库明细!$D$4:$D$2004,基础资料!$B$6,周转筐出入库明细!$F$4:$F$2004,"采购入库",周转筐出入库明细!$B$4:$B$2004,"&gt;="&amp;$BC$1,周转筐出入库明细!$B$4:$B$2004,"&lt;="&amp;$BC$2))</f>
        <v/>
      </c>
      <c r="R27" s="25" t="str">
        <f>IF(OR($B27="",基础资料!$B$7=""),"",SUMIFS(周转筐出入库明细!$H$4:$H$2004,周转筐出入库明细!$C$4:$C$2004,$B27,周转筐出入库明细!$D$4:$D$2004,基础资料!$B$7,周转筐出入库明细!$F$4:$F$2004,"采购入库",周转筐出入库明细!$B$4:$B$2004,"&gt;="&amp;$BC$1,周转筐出入库明细!$B$4:$B$2004,"&lt;="&amp;$BC$2))</f>
        <v/>
      </c>
      <c r="S27" s="25" t="str">
        <f>IF(OR($B27="",基础资料!$B$8=""),"",SUMIFS(周转筐出入库明细!$H$4:$H$2004,周转筐出入库明细!$C$4:$C$2004,$B27,周转筐出入库明细!$D$4:$D$2004,基础资料!$B$8,周转筐出入库明细!$F$4:$F$2004,"采购入库",周转筐出入库明细!$B$4:$B$2004,"&gt;="&amp;$BC$1,周转筐出入库明细!$B$4:$B$2004,"&lt;="&amp;$BC$2))</f>
        <v/>
      </c>
      <c r="T27" s="25" t="str">
        <f t="shared" si="3"/>
        <v/>
      </c>
      <c r="U27" s="25" t="str">
        <f>IF(OR($B27="",基础资料!$B$4=""),"",SUMIFS(周转筐出入库明细!$K$4:$K$2004,周转筐出入库明细!$C$4:$C$2004,$B27,周转筐出入库明细!$D$4:$D$2004,基础资料!$B$4,周转筐出入库明细!$B$4:$B$2004,"&gt;="&amp;$BC$1,周转筐出入库明细!$B$4:$B$2004,"&lt;="&amp;$BC$2))</f>
        <v/>
      </c>
      <c r="V27" s="25" t="str">
        <f>IF(OR($B27="",基础资料!$B$5=""),"",SUMIFS(周转筐出入库明细!$K$4:$K$2004,周转筐出入库明细!$C$4:$C$2004,$B27,周转筐出入库明细!$D$4:$D$2004,基础资料!$B$5,周转筐出入库明细!$B$4:$B$2004,"&gt;="&amp;$BC$1,周转筐出入库明细!$B$4:$B$2004,"&lt;="&amp;$BC$2))</f>
        <v/>
      </c>
      <c r="W27" s="25" t="str">
        <f>IF(OR($B27="",基础资料!$B$6=""),"",SUMIFS(周转筐出入库明细!$K$4:$K$2004,周转筐出入库明细!$C$4:$C$2004,$B27,周转筐出入库明细!$D$4:$D$2004,基础资料!$B$6,周转筐出入库明细!$B$4:$B$2004,"&gt;="&amp;$BC$1,周转筐出入库明细!$B$4:$B$2004,"&lt;="&amp;$BC$2))</f>
        <v/>
      </c>
      <c r="X27" s="25" t="str">
        <f>IF(OR($B27="",基础资料!$B$7=""),"",SUMIFS(周转筐出入库明细!$K$4:$K$2004,周转筐出入库明细!$C$4:$C$2004,$B27,周转筐出入库明细!$D$4:$D$2004,基础资料!$B$7,周转筐出入库明细!$B$4:$B$2004,"&gt;="&amp;$BC$1,周转筐出入库明细!$B$4:$B$2004,"&lt;="&amp;$BC$2))</f>
        <v/>
      </c>
      <c r="Y27" s="25" t="str">
        <f>IF(OR($B27="",基础资料!$B$8=""),"",SUMIFS(周转筐出入库明细!$K$4:$K$2004,周转筐出入库明细!$C$4:$C$2004,$B27,周转筐出入库明细!$D$4:$D$2004,基础资料!$B$8,周转筐出入库明细!$B$4:$B$2004,"&gt;="&amp;$BC$1,周转筐出入库明细!$B$4:$B$2004,"&lt;="&amp;$BC$2))</f>
        <v/>
      </c>
      <c r="Z27" s="25" t="str">
        <f t="shared" si="4"/>
        <v/>
      </c>
      <c r="AA27" s="67" t="str">
        <f>IF(OR($B27="",基础资料!$B$4=""),"",-SUMIFS(对接源_01水果筐数!$D$5:$D$304,对接源_01水果筐数!$B$5:$B$304,$B27,对接源_01水果筐数!$C$5:$C$304,基础资料!$B$4))</f>
        <v/>
      </c>
      <c r="AB27" s="67" t="str">
        <f>IF(OR($B27="",基础资料!$B$5=""),"",-SUMIFS(对接源_01水果筐数!$D$5:$D$304,对接源_01水果筐数!$B$5:$B$304,$B27,对接源_01水果筐数!$C$5:$C$304,基础资料!$B$5))</f>
        <v/>
      </c>
      <c r="AC27" s="67" t="str">
        <f>IF(OR($B27="",基础资料!$B$6=""),"",-SUMIFS(对接源_01水果筐数!$D$5:$D$304,对接源_01水果筐数!$B$5:$B$304,$B27,对接源_01水果筐数!$C$5:$C$304,基础资料!$B$6))</f>
        <v/>
      </c>
      <c r="AD27" s="67" t="str">
        <f>IF(OR($B27="",基础资料!$B$7=""),"",-SUMIFS(对接源_01水果筐数!$D$5:$D$304,对接源_01水果筐数!$B$5:$B$304,$B27,对接源_01水果筐数!$C$5:$C$304,基础资料!$B$7))</f>
        <v/>
      </c>
      <c r="AE27" s="67" t="str">
        <f>IF(OR($B27="",基础资料!$B$8=""),"",-SUMIFS(对接源_01水果筐数!$D$5:$D$304,对接源_01水果筐数!$B$5:$B$304,$B27,对接源_01水果筐数!$C$5:$C$304,基础资料!$B$8))</f>
        <v/>
      </c>
      <c r="AF27" s="25" t="str">
        <f>IF(OR($B27="",基础资料!$B$4=""),"",SUMIFS(对接源_01水果筐数!$E$5:$E$304,对接源_01水果筐数!$B$5:$B$304,$B27,对接源_01水果筐数!$C$5:$C$304,基础资料!$B$4))</f>
        <v/>
      </c>
      <c r="AG27" s="25" t="str">
        <f>IF(OR($B27="",基础资料!$B$5=""),"",SUMIFS(对接源_01水果筐数!$E$5:$E$304,对接源_01水果筐数!$B$5:$B$304,$B27,对接源_01水果筐数!$C$5:$C$304,基础资料!$B$5))</f>
        <v/>
      </c>
      <c r="AH27" s="25" t="str">
        <f>IF(OR($B27="",基础资料!$B$6=""),"",SUMIFS(对接源_01水果筐数!$E$5:$E$304,对接源_01水果筐数!$B$5:$B$304,$B27,对接源_01水果筐数!$C$5:$C$304,基础资料!$B$6))</f>
        <v/>
      </c>
      <c r="AI27" s="25" t="str">
        <f>IF(OR($B27="",基础资料!$B$7=""),"",SUMIFS(对接源_01水果筐数!$E$5:$E$304,对接源_01水果筐数!$B$5:$B$304,$B27,对接源_01水果筐数!$C$5:$C$304,基础资料!$B$7))</f>
        <v/>
      </c>
      <c r="AJ27" s="25" t="str">
        <f>IF(OR($B27="",基础资料!$B$8=""),"",SUMIFS(对接源_01水果筐数!$E$5:$E$304,对接源_01水果筐数!$B$5:$B$304,$B27,对接源_01水果筐数!$C$5:$C$304,基础资料!$B$8))</f>
        <v/>
      </c>
      <c r="AK27" s="25" t="str">
        <f>IF(OR($B27="",基础资料!$B$4=""),"",SUMIFS(对接源_01水果筐数!$F$5:$F$304,对接源_01水果筐数!$B$5:$B$304,$B27,对接源_01水果筐数!$C$5:$C$304,基础资料!$B$4))</f>
        <v/>
      </c>
      <c r="AL27" s="25" t="str">
        <f>IF(OR($B27="",基础资料!$B$5=""),"",SUMIFS(对接源_01水果筐数!$F$5:$F$304,对接源_01水果筐数!$B$5:$B$304,$B27,对接源_01水果筐数!$C$5:$C$304,基础资料!$B$5))</f>
        <v/>
      </c>
      <c r="AM27" s="25" t="str">
        <f>IF(OR($B27="",基础资料!$B$6=""),"",SUMIFS(对接源_01水果筐数!$F$5:$F$304,对接源_01水果筐数!$B$5:$B$304,$B27,对接源_01水果筐数!$C$5:$C$304,基础资料!$B$6))</f>
        <v/>
      </c>
      <c r="AN27" s="25" t="str">
        <f>IF(OR($B27="",基础资料!$B$7=""),"",SUMIFS(对接源_01水果筐数!$F$5:$F$304,对接源_01水果筐数!$B$5:$B$304,$B27,对接源_01水果筐数!$C$5:$C$304,基础资料!$B$7))</f>
        <v/>
      </c>
      <c r="AO27" s="25" t="str">
        <f>IF(OR($B27="",基础资料!$B$8=""),"",SUMIFS(对接源_01水果筐数!$F$5:$F$304,对接源_01水果筐数!$B$5:$B$304,$B27,对接源_01水果筐数!$C$5:$C$304,基础资料!$B$8))</f>
        <v/>
      </c>
      <c r="AP27" s="25" t="str">
        <f t="shared" si="5"/>
        <v/>
      </c>
      <c r="AQ27" s="25" t="str">
        <f t="shared" si="11"/>
        <v/>
      </c>
      <c r="AR27" s="25" t="str">
        <f t="shared" si="6"/>
        <v/>
      </c>
      <c r="AS27" s="25" t="str">
        <f t="shared" si="7"/>
        <v/>
      </c>
      <c r="AT27" s="25" t="str">
        <f t="shared" si="8"/>
        <v/>
      </c>
      <c r="AU27" s="25" t="str">
        <f t="shared" si="9"/>
        <v/>
      </c>
      <c r="AV27" s="24" t="str">
        <f t="shared" si="10"/>
        <v/>
      </c>
      <c r="AW27" s="72"/>
    </row>
    <row r="28" spans="1:49">
      <c r="A28" s="22" t="str">
        <f t="shared" si="0"/>
        <v/>
      </c>
      <c r="B28" s="24" t="str">
        <f>IFERROR(INDEX(_自动清单!$CC$4:$CC$253,ROW()-3),"")</f>
        <v/>
      </c>
      <c r="C28" s="25" t="str">
        <f>IF(OR($B28="",基础资料!$B$4=""),"",SUMIFS(周转筐出入库明细!$J$4:$J$2004,周转筐出入库明细!$C$4:$C$2004,$B28,周转筐出入库明细!$D$4:$D$2004,基础资料!$B$4,周转筐出入库明细!$B$4:$B$2004,"&gt;="&amp;$BC$1,周转筐出入库明细!$B$4:$B$2004,"&lt;="&amp;$BC$2))</f>
        <v/>
      </c>
      <c r="D28" s="25" t="str">
        <f>IF(OR($B28="",基础资料!$B$5=""),"",SUMIFS(周转筐出入库明细!$J$4:$J$2004,周转筐出入库明细!$C$4:$C$2004,$B28,周转筐出入库明细!$D$4:$D$2004,基础资料!$B$5,周转筐出入库明细!$B$4:$B$2004,"&gt;="&amp;$BC$1,周转筐出入库明细!$B$4:$B$2004,"&lt;="&amp;$BC$2))</f>
        <v/>
      </c>
      <c r="E28" s="25" t="str">
        <f>IF(OR($B28="",基础资料!$B$6=""),"",SUMIFS(周转筐出入库明细!$J$4:$J$2004,周转筐出入库明细!$C$4:$C$2004,$B28,周转筐出入库明细!$D$4:$D$2004,基础资料!$B$6,周转筐出入库明细!$B$4:$B$2004,"&gt;="&amp;$BC$1,周转筐出入库明细!$B$4:$B$2004,"&lt;="&amp;$BC$2))</f>
        <v/>
      </c>
      <c r="F28" s="25" t="str">
        <f>IF(OR($B28="",基础资料!$B$7=""),"",SUMIFS(周转筐出入库明细!$J$4:$J$2004,周转筐出入库明细!$C$4:$C$2004,$B28,周转筐出入库明细!$D$4:$D$2004,基础资料!$B$7,周转筐出入库明细!$B$4:$B$2004,"&gt;="&amp;$BC$1,周转筐出入库明细!$B$4:$B$2004,"&lt;="&amp;$BC$2))</f>
        <v/>
      </c>
      <c r="G28" s="25" t="str">
        <f>IF(OR($B28="",基础资料!$B$8=""),"",SUMIFS(周转筐出入库明细!$J$4:$J$2004,周转筐出入库明细!$C$4:$C$2004,$B28,周转筐出入库明细!$D$4:$D$2004,基础资料!$B$8,周转筐出入库明细!$B$4:$B$2004,"&gt;="&amp;$BC$1,周转筐出入库明细!$B$4:$B$2004,"&lt;="&amp;$BC$2))</f>
        <v/>
      </c>
      <c r="H28" s="25" t="str">
        <f t="shared" si="1"/>
        <v/>
      </c>
      <c r="I28" s="67" t="str">
        <f>IF(OR($B28="",基础资料!$B$4=""),"",-SUMIFS(周转筐出入库明细!$I$4:$I$2004,周转筐出入库明细!$C$4:$C$2004,$B28,周转筐出入库明细!$D$4:$D$2004,基础资料!$B$4,周转筐出入库明细!$B$4:$B$2004,"&gt;="&amp;$BC$1,周转筐出入库明细!$B$4:$B$2004,"&lt;="&amp;$BC$2))</f>
        <v/>
      </c>
      <c r="J28" s="67" t="str">
        <f>IF(OR($B28="",基础资料!$B$5=""),"",-SUMIFS(周转筐出入库明细!$I$4:$I$2004,周转筐出入库明细!$C$4:$C$2004,$B28,周转筐出入库明细!$D$4:$D$2004,基础资料!$B$5,周转筐出入库明细!$B$4:$B$2004,"&gt;="&amp;$BC$1,周转筐出入库明细!$B$4:$B$2004,"&lt;="&amp;$BC$2))</f>
        <v/>
      </c>
      <c r="K28" s="67" t="str">
        <f>IF(OR($B28="",基础资料!$B$6=""),"",-SUMIFS(周转筐出入库明细!$I$4:$I$2004,周转筐出入库明细!$C$4:$C$2004,$B28,周转筐出入库明细!$D$4:$D$2004,基础资料!$B$6,周转筐出入库明细!$B$4:$B$2004,"&gt;="&amp;$BC$1,周转筐出入库明细!$B$4:$B$2004,"&lt;="&amp;$BC$2))</f>
        <v/>
      </c>
      <c r="L28" s="67" t="str">
        <f>IF(OR($B28="",基础资料!$B$7=""),"",-SUMIFS(周转筐出入库明细!$I$4:$I$2004,周转筐出入库明细!$C$4:$C$2004,$B28,周转筐出入库明细!$D$4:$D$2004,基础资料!$B$7,周转筐出入库明细!$B$4:$B$2004,"&gt;="&amp;$BC$1,周转筐出入库明细!$B$4:$B$2004,"&lt;="&amp;$BC$2))</f>
        <v/>
      </c>
      <c r="M28" s="67" t="str">
        <f>IF(OR($B28="",基础资料!$B$8=""),"",-SUMIFS(周转筐出入库明细!$I$4:$I$2004,周转筐出入库明细!$C$4:$C$2004,$B28,周转筐出入库明细!$D$4:$D$2004,基础资料!$B$8,周转筐出入库明细!$B$4:$B$2004,"&gt;="&amp;$BC$1,周转筐出入库明细!$B$4:$B$2004,"&lt;="&amp;$BC$2))</f>
        <v/>
      </c>
      <c r="N28" s="67" t="str">
        <f t="shared" si="2"/>
        <v/>
      </c>
      <c r="O28" s="25" t="str">
        <f>IF(OR($B28="",基础资料!$B$4=""),"",SUMIFS(周转筐出入库明细!$H$4:$H$2004,周转筐出入库明细!$C$4:$C$2004,$B28,周转筐出入库明细!$D$4:$D$2004,基础资料!$B$4,周转筐出入库明细!$F$4:$F$2004,"采购入库",周转筐出入库明细!$B$4:$B$2004,"&gt;="&amp;$BC$1,周转筐出入库明细!$B$4:$B$2004,"&lt;="&amp;$BC$2))</f>
        <v/>
      </c>
      <c r="P28" s="25" t="str">
        <f>IF(OR($B28="",基础资料!$B$5=""),"",SUMIFS(周转筐出入库明细!$H$4:$H$2004,周转筐出入库明细!$C$4:$C$2004,$B28,周转筐出入库明细!$D$4:$D$2004,基础资料!$B$5,周转筐出入库明细!$F$4:$F$2004,"采购入库",周转筐出入库明细!$B$4:$B$2004,"&gt;="&amp;$BC$1,周转筐出入库明细!$B$4:$B$2004,"&lt;="&amp;$BC$2))</f>
        <v/>
      </c>
      <c r="Q28" s="25" t="str">
        <f>IF(OR($B28="",基础资料!$B$6=""),"",SUMIFS(周转筐出入库明细!$H$4:$H$2004,周转筐出入库明细!$C$4:$C$2004,$B28,周转筐出入库明细!$D$4:$D$2004,基础资料!$B$6,周转筐出入库明细!$F$4:$F$2004,"采购入库",周转筐出入库明细!$B$4:$B$2004,"&gt;="&amp;$BC$1,周转筐出入库明细!$B$4:$B$2004,"&lt;="&amp;$BC$2))</f>
        <v/>
      </c>
      <c r="R28" s="25" t="str">
        <f>IF(OR($B28="",基础资料!$B$7=""),"",SUMIFS(周转筐出入库明细!$H$4:$H$2004,周转筐出入库明细!$C$4:$C$2004,$B28,周转筐出入库明细!$D$4:$D$2004,基础资料!$B$7,周转筐出入库明细!$F$4:$F$2004,"采购入库",周转筐出入库明细!$B$4:$B$2004,"&gt;="&amp;$BC$1,周转筐出入库明细!$B$4:$B$2004,"&lt;="&amp;$BC$2))</f>
        <v/>
      </c>
      <c r="S28" s="25" t="str">
        <f>IF(OR($B28="",基础资料!$B$8=""),"",SUMIFS(周转筐出入库明细!$H$4:$H$2004,周转筐出入库明细!$C$4:$C$2004,$B28,周转筐出入库明细!$D$4:$D$2004,基础资料!$B$8,周转筐出入库明细!$F$4:$F$2004,"采购入库",周转筐出入库明细!$B$4:$B$2004,"&gt;="&amp;$BC$1,周转筐出入库明细!$B$4:$B$2004,"&lt;="&amp;$BC$2))</f>
        <v/>
      </c>
      <c r="T28" s="25" t="str">
        <f t="shared" si="3"/>
        <v/>
      </c>
      <c r="U28" s="25" t="str">
        <f>IF(OR($B28="",基础资料!$B$4=""),"",SUMIFS(周转筐出入库明细!$K$4:$K$2004,周转筐出入库明细!$C$4:$C$2004,$B28,周转筐出入库明细!$D$4:$D$2004,基础资料!$B$4,周转筐出入库明细!$B$4:$B$2004,"&gt;="&amp;$BC$1,周转筐出入库明细!$B$4:$B$2004,"&lt;="&amp;$BC$2))</f>
        <v/>
      </c>
      <c r="V28" s="25" t="str">
        <f>IF(OR($B28="",基础资料!$B$5=""),"",SUMIFS(周转筐出入库明细!$K$4:$K$2004,周转筐出入库明细!$C$4:$C$2004,$B28,周转筐出入库明细!$D$4:$D$2004,基础资料!$B$5,周转筐出入库明细!$B$4:$B$2004,"&gt;="&amp;$BC$1,周转筐出入库明细!$B$4:$B$2004,"&lt;="&amp;$BC$2))</f>
        <v/>
      </c>
      <c r="W28" s="25" t="str">
        <f>IF(OR($B28="",基础资料!$B$6=""),"",SUMIFS(周转筐出入库明细!$K$4:$K$2004,周转筐出入库明细!$C$4:$C$2004,$B28,周转筐出入库明细!$D$4:$D$2004,基础资料!$B$6,周转筐出入库明细!$B$4:$B$2004,"&gt;="&amp;$BC$1,周转筐出入库明细!$B$4:$B$2004,"&lt;="&amp;$BC$2))</f>
        <v/>
      </c>
      <c r="X28" s="25" t="str">
        <f>IF(OR($B28="",基础资料!$B$7=""),"",SUMIFS(周转筐出入库明细!$K$4:$K$2004,周转筐出入库明细!$C$4:$C$2004,$B28,周转筐出入库明细!$D$4:$D$2004,基础资料!$B$7,周转筐出入库明细!$B$4:$B$2004,"&gt;="&amp;$BC$1,周转筐出入库明细!$B$4:$B$2004,"&lt;="&amp;$BC$2))</f>
        <v/>
      </c>
      <c r="Y28" s="25" t="str">
        <f>IF(OR($B28="",基础资料!$B$8=""),"",SUMIFS(周转筐出入库明细!$K$4:$K$2004,周转筐出入库明细!$C$4:$C$2004,$B28,周转筐出入库明细!$D$4:$D$2004,基础资料!$B$8,周转筐出入库明细!$B$4:$B$2004,"&gt;="&amp;$BC$1,周转筐出入库明细!$B$4:$B$2004,"&lt;="&amp;$BC$2))</f>
        <v/>
      </c>
      <c r="Z28" s="25" t="str">
        <f t="shared" si="4"/>
        <v/>
      </c>
      <c r="AA28" s="67" t="str">
        <f>IF(OR($B28="",基础资料!$B$4=""),"",-SUMIFS(对接源_01水果筐数!$D$5:$D$304,对接源_01水果筐数!$B$5:$B$304,$B28,对接源_01水果筐数!$C$5:$C$304,基础资料!$B$4))</f>
        <v/>
      </c>
      <c r="AB28" s="67" t="str">
        <f>IF(OR($B28="",基础资料!$B$5=""),"",-SUMIFS(对接源_01水果筐数!$D$5:$D$304,对接源_01水果筐数!$B$5:$B$304,$B28,对接源_01水果筐数!$C$5:$C$304,基础资料!$B$5))</f>
        <v/>
      </c>
      <c r="AC28" s="67" t="str">
        <f>IF(OR($B28="",基础资料!$B$6=""),"",-SUMIFS(对接源_01水果筐数!$D$5:$D$304,对接源_01水果筐数!$B$5:$B$304,$B28,对接源_01水果筐数!$C$5:$C$304,基础资料!$B$6))</f>
        <v/>
      </c>
      <c r="AD28" s="67" t="str">
        <f>IF(OR($B28="",基础资料!$B$7=""),"",-SUMIFS(对接源_01水果筐数!$D$5:$D$304,对接源_01水果筐数!$B$5:$B$304,$B28,对接源_01水果筐数!$C$5:$C$304,基础资料!$B$7))</f>
        <v/>
      </c>
      <c r="AE28" s="67" t="str">
        <f>IF(OR($B28="",基础资料!$B$8=""),"",-SUMIFS(对接源_01水果筐数!$D$5:$D$304,对接源_01水果筐数!$B$5:$B$304,$B28,对接源_01水果筐数!$C$5:$C$304,基础资料!$B$8))</f>
        <v/>
      </c>
      <c r="AF28" s="25" t="str">
        <f>IF(OR($B28="",基础资料!$B$4=""),"",SUMIFS(对接源_01水果筐数!$E$5:$E$304,对接源_01水果筐数!$B$5:$B$304,$B28,对接源_01水果筐数!$C$5:$C$304,基础资料!$B$4))</f>
        <v/>
      </c>
      <c r="AG28" s="25" t="str">
        <f>IF(OR($B28="",基础资料!$B$5=""),"",SUMIFS(对接源_01水果筐数!$E$5:$E$304,对接源_01水果筐数!$B$5:$B$304,$B28,对接源_01水果筐数!$C$5:$C$304,基础资料!$B$5))</f>
        <v/>
      </c>
      <c r="AH28" s="25" t="str">
        <f>IF(OR($B28="",基础资料!$B$6=""),"",SUMIFS(对接源_01水果筐数!$E$5:$E$304,对接源_01水果筐数!$B$5:$B$304,$B28,对接源_01水果筐数!$C$5:$C$304,基础资料!$B$6))</f>
        <v/>
      </c>
      <c r="AI28" s="25" t="str">
        <f>IF(OR($B28="",基础资料!$B$7=""),"",SUMIFS(对接源_01水果筐数!$E$5:$E$304,对接源_01水果筐数!$B$5:$B$304,$B28,对接源_01水果筐数!$C$5:$C$304,基础资料!$B$7))</f>
        <v/>
      </c>
      <c r="AJ28" s="25" t="str">
        <f>IF(OR($B28="",基础资料!$B$8=""),"",SUMIFS(对接源_01水果筐数!$E$5:$E$304,对接源_01水果筐数!$B$5:$B$304,$B28,对接源_01水果筐数!$C$5:$C$304,基础资料!$B$8))</f>
        <v/>
      </c>
      <c r="AK28" s="25" t="str">
        <f>IF(OR($B28="",基础资料!$B$4=""),"",SUMIFS(对接源_01水果筐数!$F$5:$F$304,对接源_01水果筐数!$B$5:$B$304,$B28,对接源_01水果筐数!$C$5:$C$304,基础资料!$B$4))</f>
        <v/>
      </c>
      <c r="AL28" s="25" t="str">
        <f>IF(OR($B28="",基础资料!$B$5=""),"",SUMIFS(对接源_01水果筐数!$F$5:$F$304,对接源_01水果筐数!$B$5:$B$304,$B28,对接源_01水果筐数!$C$5:$C$304,基础资料!$B$5))</f>
        <v/>
      </c>
      <c r="AM28" s="25" t="str">
        <f>IF(OR($B28="",基础资料!$B$6=""),"",SUMIFS(对接源_01水果筐数!$F$5:$F$304,对接源_01水果筐数!$B$5:$B$304,$B28,对接源_01水果筐数!$C$5:$C$304,基础资料!$B$6))</f>
        <v/>
      </c>
      <c r="AN28" s="25" t="str">
        <f>IF(OR($B28="",基础资料!$B$7=""),"",SUMIFS(对接源_01水果筐数!$F$5:$F$304,对接源_01水果筐数!$B$5:$B$304,$B28,对接源_01水果筐数!$C$5:$C$304,基础资料!$B$7))</f>
        <v/>
      </c>
      <c r="AO28" s="25" t="str">
        <f>IF(OR($B28="",基础资料!$B$8=""),"",SUMIFS(对接源_01水果筐数!$F$5:$F$304,对接源_01水果筐数!$B$5:$B$304,$B28,对接源_01水果筐数!$C$5:$C$304,基础资料!$B$8))</f>
        <v/>
      </c>
      <c r="AP28" s="25" t="str">
        <f t="shared" si="5"/>
        <v/>
      </c>
      <c r="AQ28" s="25" t="str">
        <f t="shared" si="11"/>
        <v/>
      </c>
      <c r="AR28" s="25" t="str">
        <f t="shared" si="6"/>
        <v/>
      </c>
      <c r="AS28" s="25" t="str">
        <f t="shared" si="7"/>
        <v/>
      </c>
      <c r="AT28" s="25" t="str">
        <f t="shared" si="8"/>
        <v/>
      </c>
      <c r="AU28" s="25" t="str">
        <f t="shared" si="9"/>
        <v/>
      </c>
      <c r="AV28" s="24" t="str">
        <f t="shared" si="10"/>
        <v/>
      </c>
      <c r="AW28" s="72"/>
    </row>
    <row r="29" spans="1:49">
      <c r="A29" s="22" t="str">
        <f t="shared" si="0"/>
        <v/>
      </c>
      <c r="B29" s="24" t="str">
        <f>IFERROR(INDEX(_自动清单!$CC$4:$CC$253,ROW()-3),"")</f>
        <v/>
      </c>
      <c r="C29" s="25" t="str">
        <f>IF(OR($B29="",基础资料!$B$4=""),"",SUMIFS(周转筐出入库明细!$J$4:$J$2004,周转筐出入库明细!$C$4:$C$2004,$B29,周转筐出入库明细!$D$4:$D$2004,基础资料!$B$4,周转筐出入库明细!$B$4:$B$2004,"&gt;="&amp;$BC$1,周转筐出入库明细!$B$4:$B$2004,"&lt;="&amp;$BC$2))</f>
        <v/>
      </c>
      <c r="D29" s="25" t="str">
        <f>IF(OR($B29="",基础资料!$B$5=""),"",SUMIFS(周转筐出入库明细!$J$4:$J$2004,周转筐出入库明细!$C$4:$C$2004,$B29,周转筐出入库明细!$D$4:$D$2004,基础资料!$B$5,周转筐出入库明细!$B$4:$B$2004,"&gt;="&amp;$BC$1,周转筐出入库明细!$B$4:$B$2004,"&lt;="&amp;$BC$2))</f>
        <v/>
      </c>
      <c r="E29" s="25" t="str">
        <f>IF(OR($B29="",基础资料!$B$6=""),"",SUMIFS(周转筐出入库明细!$J$4:$J$2004,周转筐出入库明细!$C$4:$C$2004,$B29,周转筐出入库明细!$D$4:$D$2004,基础资料!$B$6,周转筐出入库明细!$B$4:$B$2004,"&gt;="&amp;$BC$1,周转筐出入库明细!$B$4:$B$2004,"&lt;="&amp;$BC$2))</f>
        <v/>
      </c>
      <c r="F29" s="25" t="str">
        <f>IF(OR($B29="",基础资料!$B$7=""),"",SUMIFS(周转筐出入库明细!$J$4:$J$2004,周转筐出入库明细!$C$4:$C$2004,$B29,周转筐出入库明细!$D$4:$D$2004,基础资料!$B$7,周转筐出入库明细!$B$4:$B$2004,"&gt;="&amp;$BC$1,周转筐出入库明细!$B$4:$B$2004,"&lt;="&amp;$BC$2))</f>
        <v/>
      </c>
      <c r="G29" s="25" t="str">
        <f>IF(OR($B29="",基础资料!$B$8=""),"",SUMIFS(周转筐出入库明细!$J$4:$J$2004,周转筐出入库明细!$C$4:$C$2004,$B29,周转筐出入库明细!$D$4:$D$2004,基础资料!$B$8,周转筐出入库明细!$B$4:$B$2004,"&gt;="&amp;$BC$1,周转筐出入库明细!$B$4:$B$2004,"&lt;="&amp;$BC$2))</f>
        <v/>
      </c>
      <c r="H29" s="25" t="str">
        <f t="shared" si="1"/>
        <v/>
      </c>
      <c r="I29" s="67" t="str">
        <f>IF(OR($B29="",基础资料!$B$4=""),"",-SUMIFS(周转筐出入库明细!$I$4:$I$2004,周转筐出入库明细!$C$4:$C$2004,$B29,周转筐出入库明细!$D$4:$D$2004,基础资料!$B$4,周转筐出入库明细!$B$4:$B$2004,"&gt;="&amp;$BC$1,周转筐出入库明细!$B$4:$B$2004,"&lt;="&amp;$BC$2))</f>
        <v/>
      </c>
      <c r="J29" s="67" t="str">
        <f>IF(OR($B29="",基础资料!$B$5=""),"",-SUMIFS(周转筐出入库明细!$I$4:$I$2004,周转筐出入库明细!$C$4:$C$2004,$B29,周转筐出入库明细!$D$4:$D$2004,基础资料!$B$5,周转筐出入库明细!$B$4:$B$2004,"&gt;="&amp;$BC$1,周转筐出入库明细!$B$4:$B$2004,"&lt;="&amp;$BC$2))</f>
        <v/>
      </c>
      <c r="K29" s="67" t="str">
        <f>IF(OR($B29="",基础资料!$B$6=""),"",-SUMIFS(周转筐出入库明细!$I$4:$I$2004,周转筐出入库明细!$C$4:$C$2004,$B29,周转筐出入库明细!$D$4:$D$2004,基础资料!$B$6,周转筐出入库明细!$B$4:$B$2004,"&gt;="&amp;$BC$1,周转筐出入库明细!$B$4:$B$2004,"&lt;="&amp;$BC$2))</f>
        <v/>
      </c>
      <c r="L29" s="67" t="str">
        <f>IF(OR($B29="",基础资料!$B$7=""),"",-SUMIFS(周转筐出入库明细!$I$4:$I$2004,周转筐出入库明细!$C$4:$C$2004,$B29,周转筐出入库明细!$D$4:$D$2004,基础资料!$B$7,周转筐出入库明细!$B$4:$B$2004,"&gt;="&amp;$BC$1,周转筐出入库明细!$B$4:$B$2004,"&lt;="&amp;$BC$2))</f>
        <v/>
      </c>
      <c r="M29" s="67" t="str">
        <f>IF(OR($B29="",基础资料!$B$8=""),"",-SUMIFS(周转筐出入库明细!$I$4:$I$2004,周转筐出入库明细!$C$4:$C$2004,$B29,周转筐出入库明细!$D$4:$D$2004,基础资料!$B$8,周转筐出入库明细!$B$4:$B$2004,"&gt;="&amp;$BC$1,周转筐出入库明细!$B$4:$B$2004,"&lt;="&amp;$BC$2))</f>
        <v/>
      </c>
      <c r="N29" s="67" t="str">
        <f t="shared" si="2"/>
        <v/>
      </c>
      <c r="O29" s="25" t="str">
        <f>IF(OR($B29="",基础资料!$B$4=""),"",SUMIFS(周转筐出入库明细!$H$4:$H$2004,周转筐出入库明细!$C$4:$C$2004,$B29,周转筐出入库明细!$D$4:$D$2004,基础资料!$B$4,周转筐出入库明细!$F$4:$F$2004,"采购入库",周转筐出入库明细!$B$4:$B$2004,"&gt;="&amp;$BC$1,周转筐出入库明细!$B$4:$B$2004,"&lt;="&amp;$BC$2))</f>
        <v/>
      </c>
      <c r="P29" s="25" t="str">
        <f>IF(OR($B29="",基础资料!$B$5=""),"",SUMIFS(周转筐出入库明细!$H$4:$H$2004,周转筐出入库明细!$C$4:$C$2004,$B29,周转筐出入库明细!$D$4:$D$2004,基础资料!$B$5,周转筐出入库明细!$F$4:$F$2004,"采购入库",周转筐出入库明细!$B$4:$B$2004,"&gt;="&amp;$BC$1,周转筐出入库明细!$B$4:$B$2004,"&lt;="&amp;$BC$2))</f>
        <v/>
      </c>
      <c r="Q29" s="25" t="str">
        <f>IF(OR($B29="",基础资料!$B$6=""),"",SUMIFS(周转筐出入库明细!$H$4:$H$2004,周转筐出入库明细!$C$4:$C$2004,$B29,周转筐出入库明细!$D$4:$D$2004,基础资料!$B$6,周转筐出入库明细!$F$4:$F$2004,"采购入库",周转筐出入库明细!$B$4:$B$2004,"&gt;="&amp;$BC$1,周转筐出入库明细!$B$4:$B$2004,"&lt;="&amp;$BC$2))</f>
        <v/>
      </c>
      <c r="R29" s="25" t="str">
        <f>IF(OR($B29="",基础资料!$B$7=""),"",SUMIFS(周转筐出入库明细!$H$4:$H$2004,周转筐出入库明细!$C$4:$C$2004,$B29,周转筐出入库明细!$D$4:$D$2004,基础资料!$B$7,周转筐出入库明细!$F$4:$F$2004,"采购入库",周转筐出入库明细!$B$4:$B$2004,"&gt;="&amp;$BC$1,周转筐出入库明细!$B$4:$B$2004,"&lt;="&amp;$BC$2))</f>
        <v/>
      </c>
      <c r="S29" s="25" t="str">
        <f>IF(OR($B29="",基础资料!$B$8=""),"",SUMIFS(周转筐出入库明细!$H$4:$H$2004,周转筐出入库明细!$C$4:$C$2004,$B29,周转筐出入库明细!$D$4:$D$2004,基础资料!$B$8,周转筐出入库明细!$F$4:$F$2004,"采购入库",周转筐出入库明细!$B$4:$B$2004,"&gt;="&amp;$BC$1,周转筐出入库明细!$B$4:$B$2004,"&lt;="&amp;$BC$2))</f>
        <v/>
      </c>
      <c r="T29" s="25" t="str">
        <f t="shared" si="3"/>
        <v/>
      </c>
      <c r="U29" s="25" t="str">
        <f>IF(OR($B29="",基础资料!$B$4=""),"",SUMIFS(周转筐出入库明细!$K$4:$K$2004,周转筐出入库明细!$C$4:$C$2004,$B29,周转筐出入库明细!$D$4:$D$2004,基础资料!$B$4,周转筐出入库明细!$B$4:$B$2004,"&gt;="&amp;$BC$1,周转筐出入库明细!$B$4:$B$2004,"&lt;="&amp;$BC$2))</f>
        <v/>
      </c>
      <c r="V29" s="25" t="str">
        <f>IF(OR($B29="",基础资料!$B$5=""),"",SUMIFS(周转筐出入库明细!$K$4:$K$2004,周转筐出入库明细!$C$4:$C$2004,$B29,周转筐出入库明细!$D$4:$D$2004,基础资料!$B$5,周转筐出入库明细!$B$4:$B$2004,"&gt;="&amp;$BC$1,周转筐出入库明细!$B$4:$B$2004,"&lt;="&amp;$BC$2))</f>
        <v/>
      </c>
      <c r="W29" s="25" t="str">
        <f>IF(OR($B29="",基础资料!$B$6=""),"",SUMIFS(周转筐出入库明细!$K$4:$K$2004,周转筐出入库明细!$C$4:$C$2004,$B29,周转筐出入库明细!$D$4:$D$2004,基础资料!$B$6,周转筐出入库明细!$B$4:$B$2004,"&gt;="&amp;$BC$1,周转筐出入库明细!$B$4:$B$2004,"&lt;="&amp;$BC$2))</f>
        <v/>
      </c>
      <c r="X29" s="25" t="str">
        <f>IF(OR($B29="",基础资料!$B$7=""),"",SUMIFS(周转筐出入库明细!$K$4:$K$2004,周转筐出入库明细!$C$4:$C$2004,$B29,周转筐出入库明细!$D$4:$D$2004,基础资料!$B$7,周转筐出入库明细!$B$4:$B$2004,"&gt;="&amp;$BC$1,周转筐出入库明细!$B$4:$B$2004,"&lt;="&amp;$BC$2))</f>
        <v/>
      </c>
      <c r="Y29" s="25" t="str">
        <f>IF(OR($B29="",基础资料!$B$8=""),"",SUMIFS(周转筐出入库明细!$K$4:$K$2004,周转筐出入库明细!$C$4:$C$2004,$B29,周转筐出入库明细!$D$4:$D$2004,基础资料!$B$8,周转筐出入库明细!$B$4:$B$2004,"&gt;="&amp;$BC$1,周转筐出入库明细!$B$4:$B$2004,"&lt;="&amp;$BC$2))</f>
        <v/>
      </c>
      <c r="Z29" s="25" t="str">
        <f t="shared" si="4"/>
        <v/>
      </c>
      <c r="AA29" s="67" t="str">
        <f>IF(OR($B29="",基础资料!$B$4=""),"",-SUMIFS(对接源_01水果筐数!$D$5:$D$304,对接源_01水果筐数!$B$5:$B$304,$B29,对接源_01水果筐数!$C$5:$C$304,基础资料!$B$4))</f>
        <v/>
      </c>
      <c r="AB29" s="67" t="str">
        <f>IF(OR($B29="",基础资料!$B$5=""),"",-SUMIFS(对接源_01水果筐数!$D$5:$D$304,对接源_01水果筐数!$B$5:$B$304,$B29,对接源_01水果筐数!$C$5:$C$304,基础资料!$B$5))</f>
        <v/>
      </c>
      <c r="AC29" s="67" t="str">
        <f>IF(OR($B29="",基础资料!$B$6=""),"",-SUMIFS(对接源_01水果筐数!$D$5:$D$304,对接源_01水果筐数!$B$5:$B$304,$B29,对接源_01水果筐数!$C$5:$C$304,基础资料!$B$6))</f>
        <v/>
      </c>
      <c r="AD29" s="67" t="str">
        <f>IF(OR($B29="",基础资料!$B$7=""),"",-SUMIFS(对接源_01水果筐数!$D$5:$D$304,对接源_01水果筐数!$B$5:$B$304,$B29,对接源_01水果筐数!$C$5:$C$304,基础资料!$B$7))</f>
        <v/>
      </c>
      <c r="AE29" s="67" t="str">
        <f>IF(OR($B29="",基础资料!$B$8=""),"",-SUMIFS(对接源_01水果筐数!$D$5:$D$304,对接源_01水果筐数!$B$5:$B$304,$B29,对接源_01水果筐数!$C$5:$C$304,基础资料!$B$8))</f>
        <v/>
      </c>
      <c r="AF29" s="25" t="str">
        <f>IF(OR($B29="",基础资料!$B$4=""),"",SUMIFS(对接源_01水果筐数!$E$5:$E$304,对接源_01水果筐数!$B$5:$B$304,$B29,对接源_01水果筐数!$C$5:$C$304,基础资料!$B$4))</f>
        <v/>
      </c>
      <c r="AG29" s="25" t="str">
        <f>IF(OR($B29="",基础资料!$B$5=""),"",SUMIFS(对接源_01水果筐数!$E$5:$E$304,对接源_01水果筐数!$B$5:$B$304,$B29,对接源_01水果筐数!$C$5:$C$304,基础资料!$B$5))</f>
        <v/>
      </c>
      <c r="AH29" s="25" t="str">
        <f>IF(OR($B29="",基础资料!$B$6=""),"",SUMIFS(对接源_01水果筐数!$E$5:$E$304,对接源_01水果筐数!$B$5:$B$304,$B29,对接源_01水果筐数!$C$5:$C$304,基础资料!$B$6))</f>
        <v/>
      </c>
      <c r="AI29" s="25" t="str">
        <f>IF(OR($B29="",基础资料!$B$7=""),"",SUMIFS(对接源_01水果筐数!$E$5:$E$304,对接源_01水果筐数!$B$5:$B$304,$B29,对接源_01水果筐数!$C$5:$C$304,基础资料!$B$7))</f>
        <v/>
      </c>
      <c r="AJ29" s="25" t="str">
        <f>IF(OR($B29="",基础资料!$B$8=""),"",SUMIFS(对接源_01水果筐数!$E$5:$E$304,对接源_01水果筐数!$B$5:$B$304,$B29,对接源_01水果筐数!$C$5:$C$304,基础资料!$B$8))</f>
        <v/>
      </c>
      <c r="AK29" s="25" t="str">
        <f>IF(OR($B29="",基础资料!$B$4=""),"",SUMIFS(对接源_01水果筐数!$F$5:$F$304,对接源_01水果筐数!$B$5:$B$304,$B29,对接源_01水果筐数!$C$5:$C$304,基础资料!$B$4))</f>
        <v/>
      </c>
      <c r="AL29" s="25" t="str">
        <f>IF(OR($B29="",基础资料!$B$5=""),"",SUMIFS(对接源_01水果筐数!$F$5:$F$304,对接源_01水果筐数!$B$5:$B$304,$B29,对接源_01水果筐数!$C$5:$C$304,基础资料!$B$5))</f>
        <v/>
      </c>
      <c r="AM29" s="25" t="str">
        <f>IF(OR($B29="",基础资料!$B$6=""),"",SUMIFS(对接源_01水果筐数!$F$5:$F$304,对接源_01水果筐数!$B$5:$B$304,$B29,对接源_01水果筐数!$C$5:$C$304,基础资料!$B$6))</f>
        <v/>
      </c>
      <c r="AN29" s="25" t="str">
        <f>IF(OR($B29="",基础资料!$B$7=""),"",SUMIFS(对接源_01水果筐数!$F$5:$F$304,对接源_01水果筐数!$B$5:$B$304,$B29,对接源_01水果筐数!$C$5:$C$304,基础资料!$B$7))</f>
        <v/>
      </c>
      <c r="AO29" s="25" t="str">
        <f>IF(OR($B29="",基础资料!$B$8=""),"",SUMIFS(对接源_01水果筐数!$F$5:$F$304,对接源_01水果筐数!$B$5:$B$304,$B29,对接源_01水果筐数!$C$5:$C$304,基础资料!$B$8))</f>
        <v/>
      </c>
      <c r="AP29" s="25" t="str">
        <f t="shared" si="5"/>
        <v/>
      </c>
      <c r="AQ29" s="25" t="str">
        <f t="shared" si="11"/>
        <v/>
      </c>
      <c r="AR29" s="25" t="str">
        <f t="shared" si="6"/>
        <v/>
      </c>
      <c r="AS29" s="25" t="str">
        <f t="shared" si="7"/>
        <v/>
      </c>
      <c r="AT29" s="25" t="str">
        <f t="shared" si="8"/>
        <v/>
      </c>
      <c r="AU29" s="25" t="str">
        <f t="shared" si="9"/>
        <v/>
      </c>
      <c r="AV29" s="24" t="str">
        <f t="shared" si="10"/>
        <v/>
      </c>
      <c r="AW29" s="72"/>
    </row>
    <row r="30" spans="1:49">
      <c r="A30" s="22" t="str">
        <f t="shared" si="0"/>
        <v/>
      </c>
      <c r="B30" s="24" t="str">
        <f>IFERROR(INDEX(_自动清单!$CC$4:$CC$253,ROW()-3),"")</f>
        <v/>
      </c>
      <c r="C30" s="25" t="str">
        <f>IF(OR($B30="",基础资料!$B$4=""),"",SUMIFS(周转筐出入库明细!$J$4:$J$2004,周转筐出入库明细!$C$4:$C$2004,$B30,周转筐出入库明细!$D$4:$D$2004,基础资料!$B$4,周转筐出入库明细!$B$4:$B$2004,"&gt;="&amp;$BC$1,周转筐出入库明细!$B$4:$B$2004,"&lt;="&amp;$BC$2))</f>
        <v/>
      </c>
      <c r="D30" s="25" t="str">
        <f>IF(OR($B30="",基础资料!$B$5=""),"",SUMIFS(周转筐出入库明细!$J$4:$J$2004,周转筐出入库明细!$C$4:$C$2004,$B30,周转筐出入库明细!$D$4:$D$2004,基础资料!$B$5,周转筐出入库明细!$B$4:$B$2004,"&gt;="&amp;$BC$1,周转筐出入库明细!$B$4:$B$2004,"&lt;="&amp;$BC$2))</f>
        <v/>
      </c>
      <c r="E30" s="25" t="str">
        <f>IF(OR($B30="",基础资料!$B$6=""),"",SUMIFS(周转筐出入库明细!$J$4:$J$2004,周转筐出入库明细!$C$4:$C$2004,$B30,周转筐出入库明细!$D$4:$D$2004,基础资料!$B$6,周转筐出入库明细!$B$4:$B$2004,"&gt;="&amp;$BC$1,周转筐出入库明细!$B$4:$B$2004,"&lt;="&amp;$BC$2))</f>
        <v/>
      </c>
      <c r="F30" s="25" t="str">
        <f>IF(OR($B30="",基础资料!$B$7=""),"",SUMIFS(周转筐出入库明细!$J$4:$J$2004,周转筐出入库明细!$C$4:$C$2004,$B30,周转筐出入库明细!$D$4:$D$2004,基础资料!$B$7,周转筐出入库明细!$B$4:$B$2004,"&gt;="&amp;$BC$1,周转筐出入库明细!$B$4:$B$2004,"&lt;="&amp;$BC$2))</f>
        <v/>
      </c>
      <c r="G30" s="25" t="str">
        <f>IF(OR($B30="",基础资料!$B$8=""),"",SUMIFS(周转筐出入库明细!$J$4:$J$2004,周转筐出入库明细!$C$4:$C$2004,$B30,周转筐出入库明细!$D$4:$D$2004,基础资料!$B$8,周转筐出入库明细!$B$4:$B$2004,"&gt;="&amp;$BC$1,周转筐出入库明细!$B$4:$B$2004,"&lt;="&amp;$BC$2))</f>
        <v/>
      </c>
      <c r="H30" s="25" t="str">
        <f t="shared" si="1"/>
        <v/>
      </c>
      <c r="I30" s="67" t="str">
        <f>IF(OR($B30="",基础资料!$B$4=""),"",-SUMIFS(周转筐出入库明细!$I$4:$I$2004,周转筐出入库明细!$C$4:$C$2004,$B30,周转筐出入库明细!$D$4:$D$2004,基础资料!$B$4,周转筐出入库明细!$B$4:$B$2004,"&gt;="&amp;$BC$1,周转筐出入库明细!$B$4:$B$2004,"&lt;="&amp;$BC$2))</f>
        <v/>
      </c>
      <c r="J30" s="67" t="str">
        <f>IF(OR($B30="",基础资料!$B$5=""),"",-SUMIFS(周转筐出入库明细!$I$4:$I$2004,周转筐出入库明细!$C$4:$C$2004,$B30,周转筐出入库明细!$D$4:$D$2004,基础资料!$B$5,周转筐出入库明细!$B$4:$B$2004,"&gt;="&amp;$BC$1,周转筐出入库明细!$B$4:$B$2004,"&lt;="&amp;$BC$2))</f>
        <v/>
      </c>
      <c r="K30" s="67" t="str">
        <f>IF(OR($B30="",基础资料!$B$6=""),"",-SUMIFS(周转筐出入库明细!$I$4:$I$2004,周转筐出入库明细!$C$4:$C$2004,$B30,周转筐出入库明细!$D$4:$D$2004,基础资料!$B$6,周转筐出入库明细!$B$4:$B$2004,"&gt;="&amp;$BC$1,周转筐出入库明细!$B$4:$B$2004,"&lt;="&amp;$BC$2))</f>
        <v/>
      </c>
      <c r="L30" s="67" t="str">
        <f>IF(OR($B30="",基础资料!$B$7=""),"",-SUMIFS(周转筐出入库明细!$I$4:$I$2004,周转筐出入库明细!$C$4:$C$2004,$B30,周转筐出入库明细!$D$4:$D$2004,基础资料!$B$7,周转筐出入库明细!$B$4:$B$2004,"&gt;="&amp;$BC$1,周转筐出入库明细!$B$4:$B$2004,"&lt;="&amp;$BC$2))</f>
        <v/>
      </c>
      <c r="M30" s="67" t="str">
        <f>IF(OR($B30="",基础资料!$B$8=""),"",-SUMIFS(周转筐出入库明细!$I$4:$I$2004,周转筐出入库明细!$C$4:$C$2004,$B30,周转筐出入库明细!$D$4:$D$2004,基础资料!$B$8,周转筐出入库明细!$B$4:$B$2004,"&gt;="&amp;$BC$1,周转筐出入库明细!$B$4:$B$2004,"&lt;="&amp;$BC$2))</f>
        <v/>
      </c>
      <c r="N30" s="67" t="str">
        <f t="shared" si="2"/>
        <v/>
      </c>
      <c r="O30" s="25" t="str">
        <f>IF(OR($B30="",基础资料!$B$4=""),"",SUMIFS(周转筐出入库明细!$H$4:$H$2004,周转筐出入库明细!$C$4:$C$2004,$B30,周转筐出入库明细!$D$4:$D$2004,基础资料!$B$4,周转筐出入库明细!$F$4:$F$2004,"采购入库",周转筐出入库明细!$B$4:$B$2004,"&gt;="&amp;$BC$1,周转筐出入库明细!$B$4:$B$2004,"&lt;="&amp;$BC$2))</f>
        <v/>
      </c>
      <c r="P30" s="25" t="str">
        <f>IF(OR($B30="",基础资料!$B$5=""),"",SUMIFS(周转筐出入库明细!$H$4:$H$2004,周转筐出入库明细!$C$4:$C$2004,$B30,周转筐出入库明细!$D$4:$D$2004,基础资料!$B$5,周转筐出入库明细!$F$4:$F$2004,"采购入库",周转筐出入库明细!$B$4:$B$2004,"&gt;="&amp;$BC$1,周转筐出入库明细!$B$4:$B$2004,"&lt;="&amp;$BC$2))</f>
        <v/>
      </c>
      <c r="Q30" s="25" t="str">
        <f>IF(OR($B30="",基础资料!$B$6=""),"",SUMIFS(周转筐出入库明细!$H$4:$H$2004,周转筐出入库明细!$C$4:$C$2004,$B30,周转筐出入库明细!$D$4:$D$2004,基础资料!$B$6,周转筐出入库明细!$F$4:$F$2004,"采购入库",周转筐出入库明细!$B$4:$B$2004,"&gt;="&amp;$BC$1,周转筐出入库明细!$B$4:$B$2004,"&lt;="&amp;$BC$2))</f>
        <v/>
      </c>
      <c r="R30" s="25" t="str">
        <f>IF(OR($B30="",基础资料!$B$7=""),"",SUMIFS(周转筐出入库明细!$H$4:$H$2004,周转筐出入库明细!$C$4:$C$2004,$B30,周转筐出入库明细!$D$4:$D$2004,基础资料!$B$7,周转筐出入库明细!$F$4:$F$2004,"采购入库",周转筐出入库明细!$B$4:$B$2004,"&gt;="&amp;$BC$1,周转筐出入库明细!$B$4:$B$2004,"&lt;="&amp;$BC$2))</f>
        <v/>
      </c>
      <c r="S30" s="25" t="str">
        <f>IF(OR($B30="",基础资料!$B$8=""),"",SUMIFS(周转筐出入库明细!$H$4:$H$2004,周转筐出入库明细!$C$4:$C$2004,$B30,周转筐出入库明细!$D$4:$D$2004,基础资料!$B$8,周转筐出入库明细!$F$4:$F$2004,"采购入库",周转筐出入库明细!$B$4:$B$2004,"&gt;="&amp;$BC$1,周转筐出入库明细!$B$4:$B$2004,"&lt;="&amp;$BC$2))</f>
        <v/>
      </c>
      <c r="T30" s="25" t="str">
        <f t="shared" si="3"/>
        <v/>
      </c>
      <c r="U30" s="25" t="str">
        <f>IF(OR($B30="",基础资料!$B$4=""),"",SUMIFS(周转筐出入库明细!$K$4:$K$2004,周转筐出入库明细!$C$4:$C$2004,$B30,周转筐出入库明细!$D$4:$D$2004,基础资料!$B$4,周转筐出入库明细!$B$4:$B$2004,"&gt;="&amp;$BC$1,周转筐出入库明细!$B$4:$B$2004,"&lt;="&amp;$BC$2))</f>
        <v/>
      </c>
      <c r="V30" s="25" t="str">
        <f>IF(OR($B30="",基础资料!$B$5=""),"",SUMIFS(周转筐出入库明细!$K$4:$K$2004,周转筐出入库明细!$C$4:$C$2004,$B30,周转筐出入库明细!$D$4:$D$2004,基础资料!$B$5,周转筐出入库明细!$B$4:$B$2004,"&gt;="&amp;$BC$1,周转筐出入库明细!$B$4:$B$2004,"&lt;="&amp;$BC$2))</f>
        <v/>
      </c>
      <c r="W30" s="25" t="str">
        <f>IF(OR($B30="",基础资料!$B$6=""),"",SUMIFS(周转筐出入库明细!$K$4:$K$2004,周转筐出入库明细!$C$4:$C$2004,$B30,周转筐出入库明细!$D$4:$D$2004,基础资料!$B$6,周转筐出入库明细!$B$4:$B$2004,"&gt;="&amp;$BC$1,周转筐出入库明细!$B$4:$B$2004,"&lt;="&amp;$BC$2))</f>
        <v/>
      </c>
      <c r="X30" s="25" t="str">
        <f>IF(OR($B30="",基础资料!$B$7=""),"",SUMIFS(周转筐出入库明细!$K$4:$K$2004,周转筐出入库明细!$C$4:$C$2004,$B30,周转筐出入库明细!$D$4:$D$2004,基础资料!$B$7,周转筐出入库明细!$B$4:$B$2004,"&gt;="&amp;$BC$1,周转筐出入库明细!$B$4:$B$2004,"&lt;="&amp;$BC$2))</f>
        <v/>
      </c>
      <c r="Y30" s="25" t="str">
        <f>IF(OR($B30="",基础资料!$B$8=""),"",SUMIFS(周转筐出入库明细!$K$4:$K$2004,周转筐出入库明细!$C$4:$C$2004,$B30,周转筐出入库明细!$D$4:$D$2004,基础资料!$B$8,周转筐出入库明细!$B$4:$B$2004,"&gt;="&amp;$BC$1,周转筐出入库明细!$B$4:$B$2004,"&lt;="&amp;$BC$2))</f>
        <v/>
      </c>
      <c r="Z30" s="25" t="str">
        <f t="shared" si="4"/>
        <v/>
      </c>
      <c r="AA30" s="67" t="str">
        <f>IF(OR($B30="",基础资料!$B$4=""),"",-SUMIFS(对接源_01水果筐数!$D$5:$D$304,对接源_01水果筐数!$B$5:$B$304,$B30,对接源_01水果筐数!$C$5:$C$304,基础资料!$B$4))</f>
        <v/>
      </c>
      <c r="AB30" s="67" t="str">
        <f>IF(OR($B30="",基础资料!$B$5=""),"",-SUMIFS(对接源_01水果筐数!$D$5:$D$304,对接源_01水果筐数!$B$5:$B$304,$B30,对接源_01水果筐数!$C$5:$C$304,基础资料!$B$5))</f>
        <v/>
      </c>
      <c r="AC30" s="67" t="str">
        <f>IF(OR($B30="",基础资料!$B$6=""),"",-SUMIFS(对接源_01水果筐数!$D$5:$D$304,对接源_01水果筐数!$B$5:$B$304,$B30,对接源_01水果筐数!$C$5:$C$304,基础资料!$B$6))</f>
        <v/>
      </c>
      <c r="AD30" s="67" t="str">
        <f>IF(OR($B30="",基础资料!$B$7=""),"",-SUMIFS(对接源_01水果筐数!$D$5:$D$304,对接源_01水果筐数!$B$5:$B$304,$B30,对接源_01水果筐数!$C$5:$C$304,基础资料!$B$7))</f>
        <v/>
      </c>
      <c r="AE30" s="67" t="str">
        <f>IF(OR($B30="",基础资料!$B$8=""),"",-SUMIFS(对接源_01水果筐数!$D$5:$D$304,对接源_01水果筐数!$B$5:$B$304,$B30,对接源_01水果筐数!$C$5:$C$304,基础资料!$B$8))</f>
        <v/>
      </c>
      <c r="AF30" s="25" t="str">
        <f>IF(OR($B30="",基础资料!$B$4=""),"",SUMIFS(对接源_01水果筐数!$E$5:$E$304,对接源_01水果筐数!$B$5:$B$304,$B30,对接源_01水果筐数!$C$5:$C$304,基础资料!$B$4))</f>
        <v/>
      </c>
      <c r="AG30" s="25" t="str">
        <f>IF(OR($B30="",基础资料!$B$5=""),"",SUMIFS(对接源_01水果筐数!$E$5:$E$304,对接源_01水果筐数!$B$5:$B$304,$B30,对接源_01水果筐数!$C$5:$C$304,基础资料!$B$5))</f>
        <v/>
      </c>
      <c r="AH30" s="25" t="str">
        <f>IF(OR($B30="",基础资料!$B$6=""),"",SUMIFS(对接源_01水果筐数!$E$5:$E$304,对接源_01水果筐数!$B$5:$B$304,$B30,对接源_01水果筐数!$C$5:$C$304,基础资料!$B$6))</f>
        <v/>
      </c>
      <c r="AI30" s="25" t="str">
        <f>IF(OR($B30="",基础资料!$B$7=""),"",SUMIFS(对接源_01水果筐数!$E$5:$E$304,对接源_01水果筐数!$B$5:$B$304,$B30,对接源_01水果筐数!$C$5:$C$304,基础资料!$B$7))</f>
        <v/>
      </c>
      <c r="AJ30" s="25" t="str">
        <f>IF(OR($B30="",基础资料!$B$8=""),"",SUMIFS(对接源_01水果筐数!$E$5:$E$304,对接源_01水果筐数!$B$5:$B$304,$B30,对接源_01水果筐数!$C$5:$C$304,基础资料!$B$8))</f>
        <v/>
      </c>
      <c r="AK30" s="25" t="str">
        <f>IF(OR($B30="",基础资料!$B$4=""),"",SUMIFS(对接源_01水果筐数!$F$5:$F$304,对接源_01水果筐数!$B$5:$B$304,$B30,对接源_01水果筐数!$C$5:$C$304,基础资料!$B$4))</f>
        <v/>
      </c>
      <c r="AL30" s="25" t="str">
        <f>IF(OR($B30="",基础资料!$B$5=""),"",SUMIFS(对接源_01水果筐数!$F$5:$F$304,对接源_01水果筐数!$B$5:$B$304,$B30,对接源_01水果筐数!$C$5:$C$304,基础资料!$B$5))</f>
        <v/>
      </c>
      <c r="AM30" s="25" t="str">
        <f>IF(OR($B30="",基础资料!$B$6=""),"",SUMIFS(对接源_01水果筐数!$F$5:$F$304,对接源_01水果筐数!$B$5:$B$304,$B30,对接源_01水果筐数!$C$5:$C$304,基础资料!$B$6))</f>
        <v/>
      </c>
      <c r="AN30" s="25" t="str">
        <f>IF(OR($B30="",基础资料!$B$7=""),"",SUMIFS(对接源_01水果筐数!$F$5:$F$304,对接源_01水果筐数!$B$5:$B$304,$B30,对接源_01水果筐数!$C$5:$C$304,基础资料!$B$7))</f>
        <v/>
      </c>
      <c r="AO30" s="25" t="str">
        <f>IF(OR($B30="",基础资料!$B$8=""),"",SUMIFS(对接源_01水果筐数!$F$5:$F$304,对接源_01水果筐数!$B$5:$B$304,$B30,对接源_01水果筐数!$C$5:$C$304,基础资料!$B$8))</f>
        <v/>
      </c>
      <c r="AP30" s="25" t="str">
        <f t="shared" si="5"/>
        <v/>
      </c>
      <c r="AQ30" s="25" t="str">
        <f t="shared" si="11"/>
        <v/>
      </c>
      <c r="AR30" s="25" t="str">
        <f t="shared" si="6"/>
        <v/>
      </c>
      <c r="AS30" s="25" t="str">
        <f t="shared" si="7"/>
        <v/>
      </c>
      <c r="AT30" s="25" t="str">
        <f t="shared" si="8"/>
        <v/>
      </c>
      <c r="AU30" s="25" t="str">
        <f t="shared" si="9"/>
        <v/>
      </c>
      <c r="AV30" s="24" t="str">
        <f t="shared" si="10"/>
        <v/>
      </c>
      <c r="AW30" s="72"/>
    </row>
    <row r="31" spans="1:49">
      <c r="A31" s="22" t="str">
        <f t="shared" si="0"/>
        <v/>
      </c>
      <c r="B31" s="24" t="str">
        <f>IFERROR(INDEX(_自动清单!$CC$4:$CC$253,ROW()-3),"")</f>
        <v/>
      </c>
      <c r="C31" s="25" t="str">
        <f>IF(OR($B31="",基础资料!$B$4=""),"",SUMIFS(周转筐出入库明细!$J$4:$J$2004,周转筐出入库明细!$C$4:$C$2004,$B31,周转筐出入库明细!$D$4:$D$2004,基础资料!$B$4,周转筐出入库明细!$B$4:$B$2004,"&gt;="&amp;$BC$1,周转筐出入库明细!$B$4:$B$2004,"&lt;="&amp;$BC$2))</f>
        <v/>
      </c>
      <c r="D31" s="25" t="str">
        <f>IF(OR($B31="",基础资料!$B$5=""),"",SUMIFS(周转筐出入库明细!$J$4:$J$2004,周转筐出入库明细!$C$4:$C$2004,$B31,周转筐出入库明细!$D$4:$D$2004,基础资料!$B$5,周转筐出入库明细!$B$4:$B$2004,"&gt;="&amp;$BC$1,周转筐出入库明细!$B$4:$B$2004,"&lt;="&amp;$BC$2))</f>
        <v/>
      </c>
      <c r="E31" s="25" t="str">
        <f>IF(OR($B31="",基础资料!$B$6=""),"",SUMIFS(周转筐出入库明细!$J$4:$J$2004,周转筐出入库明细!$C$4:$C$2004,$B31,周转筐出入库明细!$D$4:$D$2004,基础资料!$B$6,周转筐出入库明细!$B$4:$B$2004,"&gt;="&amp;$BC$1,周转筐出入库明细!$B$4:$B$2004,"&lt;="&amp;$BC$2))</f>
        <v/>
      </c>
      <c r="F31" s="25" t="str">
        <f>IF(OR($B31="",基础资料!$B$7=""),"",SUMIFS(周转筐出入库明细!$J$4:$J$2004,周转筐出入库明细!$C$4:$C$2004,$B31,周转筐出入库明细!$D$4:$D$2004,基础资料!$B$7,周转筐出入库明细!$B$4:$B$2004,"&gt;="&amp;$BC$1,周转筐出入库明细!$B$4:$B$2004,"&lt;="&amp;$BC$2))</f>
        <v/>
      </c>
      <c r="G31" s="25" t="str">
        <f>IF(OR($B31="",基础资料!$B$8=""),"",SUMIFS(周转筐出入库明细!$J$4:$J$2004,周转筐出入库明细!$C$4:$C$2004,$B31,周转筐出入库明细!$D$4:$D$2004,基础资料!$B$8,周转筐出入库明细!$B$4:$B$2004,"&gt;="&amp;$BC$1,周转筐出入库明细!$B$4:$B$2004,"&lt;="&amp;$BC$2))</f>
        <v/>
      </c>
      <c r="H31" s="25" t="str">
        <f t="shared" si="1"/>
        <v/>
      </c>
      <c r="I31" s="67" t="str">
        <f>IF(OR($B31="",基础资料!$B$4=""),"",-SUMIFS(周转筐出入库明细!$I$4:$I$2004,周转筐出入库明细!$C$4:$C$2004,$B31,周转筐出入库明细!$D$4:$D$2004,基础资料!$B$4,周转筐出入库明细!$B$4:$B$2004,"&gt;="&amp;$BC$1,周转筐出入库明细!$B$4:$B$2004,"&lt;="&amp;$BC$2))</f>
        <v/>
      </c>
      <c r="J31" s="67" t="str">
        <f>IF(OR($B31="",基础资料!$B$5=""),"",-SUMIFS(周转筐出入库明细!$I$4:$I$2004,周转筐出入库明细!$C$4:$C$2004,$B31,周转筐出入库明细!$D$4:$D$2004,基础资料!$B$5,周转筐出入库明细!$B$4:$B$2004,"&gt;="&amp;$BC$1,周转筐出入库明细!$B$4:$B$2004,"&lt;="&amp;$BC$2))</f>
        <v/>
      </c>
      <c r="K31" s="67" t="str">
        <f>IF(OR($B31="",基础资料!$B$6=""),"",-SUMIFS(周转筐出入库明细!$I$4:$I$2004,周转筐出入库明细!$C$4:$C$2004,$B31,周转筐出入库明细!$D$4:$D$2004,基础资料!$B$6,周转筐出入库明细!$B$4:$B$2004,"&gt;="&amp;$BC$1,周转筐出入库明细!$B$4:$B$2004,"&lt;="&amp;$BC$2))</f>
        <v/>
      </c>
      <c r="L31" s="67" t="str">
        <f>IF(OR($B31="",基础资料!$B$7=""),"",-SUMIFS(周转筐出入库明细!$I$4:$I$2004,周转筐出入库明细!$C$4:$C$2004,$B31,周转筐出入库明细!$D$4:$D$2004,基础资料!$B$7,周转筐出入库明细!$B$4:$B$2004,"&gt;="&amp;$BC$1,周转筐出入库明细!$B$4:$B$2004,"&lt;="&amp;$BC$2))</f>
        <v/>
      </c>
      <c r="M31" s="67" t="str">
        <f>IF(OR($B31="",基础资料!$B$8=""),"",-SUMIFS(周转筐出入库明细!$I$4:$I$2004,周转筐出入库明细!$C$4:$C$2004,$B31,周转筐出入库明细!$D$4:$D$2004,基础资料!$B$8,周转筐出入库明细!$B$4:$B$2004,"&gt;="&amp;$BC$1,周转筐出入库明细!$B$4:$B$2004,"&lt;="&amp;$BC$2))</f>
        <v/>
      </c>
      <c r="N31" s="67" t="str">
        <f t="shared" si="2"/>
        <v/>
      </c>
      <c r="O31" s="25" t="str">
        <f>IF(OR($B31="",基础资料!$B$4=""),"",SUMIFS(周转筐出入库明细!$H$4:$H$2004,周转筐出入库明细!$C$4:$C$2004,$B31,周转筐出入库明细!$D$4:$D$2004,基础资料!$B$4,周转筐出入库明细!$F$4:$F$2004,"采购入库",周转筐出入库明细!$B$4:$B$2004,"&gt;="&amp;$BC$1,周转筐出入库明细!$B$4:$B$2004,"&lt;="&amp;$BC$2))</f>
        <v/>
      </c>
      <c r="P31" s="25" t="str">
        <f>IF(OR($B31="",基础资料!$B$5=""),"",SUMIFS(周转筐出入库明细!$H$4:$H$2004,周转筐出入库明细!$C$4:$C$2004,$B31,周转筐出入库明细!$D$4:$D$2004,基础资料!$B$5,周转筐出入库明细!$F$4:$F$2004,"采购入库",周转筐出入库明细!$B$4:$B$2004,"&gt;="&amp;$BC$1,周转筐出入库明细!$B$4:$B$2004,"&lt;="&amp;$BC$2))</f>
        <v/>
      </c>
      <c r="Q31" s="25" t="str">
        <f>IF(OR($B31="",基础资料!$B$6=""),"",SUMIFS(周转筐出入库明细!$H$4:$H$2004,周转筐出入库明细!$C$4:$C$2004,$B31,周转筐出入库明细!$D$4:$D$2004,基础资料!$B$6,周转筐出入库明细!$F$4:$F$2004,"采购入库",周转筐出入库明细!$B$4:$B$2004,"&gt;="&amp;$BC$1,周转筐出入库明细!$B$4:$B$2004,"&lt;="&amp;$BC$2))</f>
        <v/>
      </c>
      <c r="R31" s="25" t="str">
        <f>IF(OR($B31="",基础资料!$B$7=""),"",SUMIFS(周转筐出入库明细!$H$4:$H$2004,周转筐出入库明细!$C$4:$C$2004,$B31,周转筐出入库明细!$D$4:$D$2004,基础资料!$B$7,周转筐出入库明细!$F$4:$F$2004,"采购入库",周转筐出入库明细!$B$4:$B$2004,"&gt;="&amp;$BC$1,周转筐出入库明细!$B$4:$B$2004,"&lt;="&amp;$BC$2))</f>
        <v/>
      </c>
      <c r="S31" s="25" t="str">
        <f>IF(OR($B31="",基础资料!$B$8=""),"",SUMIFS(周转筐出入库明细!$H$4:$H$2004,周转筐出入库明细!$C$4:$C$2004,$B31,周转筐出入库明细!$D$4:$D$2004,基础资料!$B$8,周转筐出入库明细!$F$4:$F$2004,"采购入库",周转筐出入库明细!$B$4:$B$2004,"&gt;="&amp;$BC$1,周转筐出入库明细!$B$4:$B$2004,"&lt;="&amp;$BC$2))</f>
        <v/>
      </c>
      <c r="T31" s="25" t="str">
        <f t="shared" si="3"/>
        <v/>
      </c>
      <c r="U31" s="25" t="str">
        <f>IF(OR($B31="",基础资料!$B$4=""),"",SUMIFS(周转筐出入库明细!$K$4:$K$2004,周转筐出入库明细!$C$4:$C$2004,$B31,周转筐出入库明细!$D$4:$D$2004,基础资料!$B$4,周转筐出入库明细!$B$4:$B$2004,"&gt;="&amp;$BC$1,周转筐出入库明细!$B$4:$B$2004,"&lt;="&amp;$BC$2))</f>
        <v/>
      </c>
      <c r="V31" s="25" t="str">
        <f>IF(OR($B31="",基础资料!$B$5=""),"",SUMIFS(周转筐出入库明细!$K$4:$K$2004,周转筐出入库明细!$C$4:$C$2004,$B31,周转筐出入库明细!$D$4:$D$2004,基础资料!$B$5,周转筐出入库明细!$B$4:$B$2004,"&gt;="&amp;$BC$1,周转筐出入库明细!$B$4:$B$2004,"&lt;="&amp;$BC$2))</f>
        <v/>
      </c>
      <c r="W31" s="25" t="str">
        <f>IF(OR($B31="",基础资料!$B$6=""),"",SUMIFS(周转筐出入库明细!$K$4:$K$2004,周转筐出入库明细!$C$4:$C$2004,$B31,周转筐出入库明细!$D$4:$D$2004,基础资料!$B$6,周转筐出入库明细!$B$4:$B$2004,"&gt;="&amp;$BC$1,周转筐出入库明细!$B$4:$B$2004,"&lt;="&amp;$BC$2))</f>
        <v/>
      </c>
      <c r="X31" s="25" t="str">
        <f>IF(OR($B31="",基础资料!$B$7=""),"",SUMIFS(周转筐出入库明细!$K$4:$K$2004,周转筐出入库明细!$C$4:$C$2004,$B31,周转筐出入库明细!$D$4:$D$2004,基础资料!$B$7,周转筐出入库明细!$B$4:$B$2004,"&gt;="&amp;$BC$1,周转筐出入库明细!$B$4:$B$2004,"&lt;="&amp;$BC$2))</f>
        <v/>
      </c>
      <c r="Y31" s="25" t="str">
        <f>IF(OR($B31="",基础资料!$B$8=""),"",SUMIFS(周转筐出入库明细!$K$4:$K$2004,周转筐出入库明细!$C$4:$C$2004,$B31,周转筐出入库明细!$D$4:$D$2004,基础资料!$B$8,周转筐出入库明细!$B$4:$B$2004,"&gt;="&amp;$BC$1,周转筐出入库明细!$B$4:$B$2004,"&lt;="&amp;$BC$2))</f>
        <v/>
      </c>
      <c r="Z31" s="25" t="str">
        <f t="shared" si="4"/>
        <v/>
      </c>
      <c r="AA31" s="67" t="str">
        <f>IF(OR($B31="",基础资料!$B$4=""),"",-SUMIFS(对接源_01水果筐数!$D$5:$D$304,对接源_01水果筐数!$B$5:$B$304,$B31,对接源_01水果筐数!$C$5:$C$304,基础资料!$B$4))</f>
        <v/>
      </c>
      <c r="AB31" s="67" t="str">
        <f>IF(OR($B31="",基础资料!$B$5=""),"",-SUMIFS(对接源_01水果筐数!$D$5:$D$304,对接源_01水果筐数!$B$5:$B$304,$B31,对接源_01水果筐数!$C$5:$C$304,基础资料!$B$5))</f>
        <v/>
      </c>
      <c r="AC31" s="67" t="str">
        <f>IF(OR($B31="",基础资料!$B$6=""),"",-SUMIFS(对接源_01水果筐数!$D$5:$D$304,对接源_01水果筐数!$B$5:$B$304,$B31,对接源_01水果筐数!$C$5:$C$304,基础资料!$B$6))</f>
        <v/>
      </c>
      <c r="AD31" s="67" t="str">
        <f>IF(OR($B31="",基础资料!$B$7=""),"",-SUMIFS(对接源_01水果筐数!$D$5:$D$304,对接源_01水果筐数!$B$5:$B$304,$B31,对接源_01水果筐数!$C$5:$C$304,基础资料!$B$7))</f>
        <v/>
      </c>
      <c r="AE31" s="67" t="str">
        <f>IF(OR($B31="",基础资料!$B$8=""),"",-SUMIFS(对接源_01水果筐数!$D$5:$D$304,对接源_01水果筐数!$B$5:$B$304,$B31,对接源_01水果筐数!$C$5:$C$304,基础资料!$B$8))</f>
        <v/>
      </c>
      <c r="AF31" s="25" t="str">
        <f>IF(OR($B31="",基础资料!$B$4=""),"",SUMIFS(对接源_01水果筐数!$E$5:$E$304,对接源_01水果筐数!$B$5:$B$304,$B31,对接源_01水果筐数!$C$5:$C$304,基础资料!$B$4))</f>
        <v/>
      </c>
      <c r="AG31" s="25" t="str">
        <f>IF(OR($B31="",基础资料!$B$5=""),"",SUMIFS(对接源_01水果筐数!$E$5:$E$304,对接源_01水果筐数!$B$5:$B$304,$B31,对接源_01水果筐数!$C$5:$C$304,基础资料!$B$5))</f>
        <v/>
      </c>
      <c r="AH31" s="25" t="str">
        <f>IF(OR($B31="",基础资料!$B$6=""),"",SUMIFS(对接源_01水果筐数!$E$5:$E$304,对接源_01水果筐数!$B$5:$B$304,$B31,对接源_01水果筐数!$C$5:$C$304,基础资料!$B$6))</f>
        <v/>
      </c>
      <c r="AI31" s="25" t="str">
        <f>IF(OR($B31="",基础资料!$B$7=""),"",SUMIFS(对接源_01水果筐数!$E$5:$E$304,对接源_01水果筐数!$B$5:$B$304,$B31,对接源_01水果筐数!$C$5:$C$304,基础资料!$B$7))</f>
        <v/>
      </c>
      <c r="AJ31" s="25" t="str">
        <f>IF(OR($B31="",基础资料!$B$8=""),"",SUMIFS(对接源_01水果筐数!$E$5:$E$304,对接源_01水果筐数!$B$5:$B$304,$B31,对接源_01水果筐数!$C$5:$C$304,基础资料!$B$8))</f>
        <v/>
      </c>
      <c r="AK31" s="25" t="str">
        <f>IF(OR($B31="",基础资料!$B$4=""),"",SUMIFS(对接源_01水果筐数!$F$5:$F$304,对接源_01水果筐数!$B$5:$B$304,$B31,对接源_01水果筐数!$C$5:$C$304,基础资料!$B$4))</f>
        <v/>
      </c>
      <c r="AL31" s="25" t="str">
        <f>IF(OR($B31="",基础资料!$B$5=""),"",SUMIFS(对接源_01水果筐数!$F$5:$F$304,对接源_01水果筐数!$B$5:$B$304,$B31,对接源_01水果筐数!$C$5:$C$304,基础资料!$B$5))</f>
        <v/>
      </c>
      <c r="AM31" s="25" t="str">
        <f>IF(OR($B31="",基础资料!$B$6=""),"",SUMIFS(对接源_01水果筐数!$F$5:$F$304,对接源_01水果筐数!$B$5:$B$304,$B31,对接源_01水果筐数!$C$5:$C$304,基础资料!$B$6))</f>
        <v/>
      </c>
      <c r="AN31" s="25" t="str">
        <f>IF(OR($B31="",基础资料!$B$7=""),"",SUMIFS(对接源_01水果筐数!$F$5:$F$304,对接源_01水果筐数!$B$5:$B$304,$B31,对接源_01水果筐数!$C$5:$C$304,基础资料!$B$7))</f>
        <v/>
      </c>
      <c r="AO31" s="25" t="str">
        <f>IF(OR($B31="",基础资料!$B$8=""),"",SUMIFS(对接源_01水果筐数!$F$5:$F$304,对接源_01水果筐数!$B$5:$B$304,$B31,对接源_01水果筐数!$C$5:$C$304,基础资料!$B$8))</f>
        <v/>
      </c>
      <c r="AP31" s="25" t="str">
        <f t="shared" si="5"/>
        <v/>
      </c>
      <c r="AQ31" s="25" t="str">
        <f t="shared" si="11"/>
        <v/>
      </c>
      <c r="AR31" s="25" t="str">
        <f t="shared" si="6"/>
        <v/>
      </c>
      <c r="AS31" s="25" t="str">
        <f t="shared" si="7"/>
        <v/>
      </c>
      <c r="AT31" s="25" t="str">
        <f t="shared" si="8"/>
        <v/>
      </c>
      <c r="AU31" s="25" t="str">
        <f t="shared" si="9"/>
        <v/>
      </c>
      <c r="AV31" s="24" t="str">
        <f t="shared" si="10"/>
        <v/>
      </c>
      <c r="AW31" s="72"/>
    </row>
    <row r="32" spans="1:49">
      <c r="A32" s="22" t="str">
        <f t="shared" si="0"/>
        <v/>
      </c>
      <c r="B32" s="24" t="str">
        <f>IFERROR(INDEX(_自动清单!$CC$4:$CC$253,ROW()-3),"")</f>
        <v/>
      </c>
      <c r="C32" s="25" t="str">
        <f>IF(OR($B32="",基础资料!$B$4=""),"",SUMIFS(周转筐出入库明细!$J$4:$J$2004,周转筐出入库明细!$C$4:$C$2004,$B32,周转筐出入库明细!$D$4:$D$2004,基础资料!$B$4,周转筐出入库明细!$B$4:$B$2004,"&gt;="&amp;$BC$1,周转筐出入库明细!$B$4:$B$2004,"&lt;="&amp;$BC$2))</f>
        <v/>
      </c>
      <c r="D32" s="25" t="str">
        <f>IF(OR($B32="",基础资料!$B$5=""),"",SUMIFS(周转筐出入库明细!$J$4:$J$2004,周转筐出入库明细!$C$4:$C$2004,$B32,周转筐出入库明细!$D$4:$D$2004,基础资料!$B$5,周转筐出入库明细!$B$4:$B$2004,"&gt;="&amp;$BC$1,周转筐出入库明细!$B$4:$B$2004,"&lt;="&amp;$BC$2))</f>
        <v/>
      </c>
      <c r="E32" s="25" t="str">
        <f>IF(OR($B32="",基础资料!$B$6=""),"",SUMIFS(周转筐出入库明细!$J$4:$J$2004,周转筐出入库明细!$C$4:$C$2004,$B32,周转筐出入库明细!$D$4:$D$2004,基础资料!$B$6,周转筐出入库明细!$B$4:$B$2004,"&gt;="&amp;$BC$1,周转筐出入库明细!$B$4:$B$2004,"&lt;="&amp;$BC$2))</f>
        <v/>
      </c>
      <c r="F32" s="25" t="str">
        <f>IF(OR($B32="",基础资料!$B$7=""),"",SUMIFS(周转筐出入库明细!$J$4:$J$2004,周转筐出入库明细!$C$4:$C$2004,$B32,周转筐出入库明细!$D$4:$D$2004,基础资料!$B$7,周转筐出入库明细!$B$4:$B$2004,"&gt;="&amp;$BC$1,周转筐出入库明细!$B$4:$B$2004,"&lt;="&amp;$BC$2))</f>
        <v/>
      </c>
      <c r="G32" s="25" t="str">
        <f>IF(OR($B32="",基础资料!$B$8=""),"",SUMIFS(周转筐出入库明细!$J$4:$J$2004,周转筐出入库明细!$C$4:$C$2004,$B32,周转筐出入库明细!$D$4:$D$2004,基础资料!$B$8,周转筐出入库明细!$B$4:$B$2004,"&gt;="&amp;$BC$1,周转筐出入库明细!$B$4:$B$2004,"&lt;="&amp;$BC$2))</f>
        <v/>
      </c>
      <c r="H32" s="25" t="str">
        <f t="shared" si="1"/>
        <v/>
      </c>
      <c r="I32" s="67" t="str">
        <f>IF(OR($B32="",基础资料!$B$4=""),"",-SUMIFS(周转筐出入库明细!$I$4:$I$2004,周转筐出入库明细!$C$4:$C$2004,$B32,周转筐出入库明细!$D$4:$D$2004,基础资料!$B$4,周转筐出入库明细!$B$4:$B$2004,"&gt;="&amp;$BC$1,周转筐出入库明细!$B$4:$B$2004,"&lt;="&amp;$BC$2))</f>
        <v/>
      </c>
      <c r="J32" s="67" t="str">
        <f>IF(OR($B32="",基础资料!$B$5=""),"",-SUMIFS(周转筐出入库明细!$I$4:$I$2004,周转筐出入库明细!$C$4:$C$2004,$B32,周转筐出入库明细!$D$4:$D$2004,基础资料!$B$5,周转筐出入库明细!$B$4:$B$2004,"&gt;="&amp;$BC$1,周转筐出入库明细!$B$4:$B$2004,"&lt;="&amp;$BC$2))</f>
        <v/>
      </c>
      <c r="K32" s="67" t="str">
        <f>IF(OR($B32="",基础资料!$B$6=""),"",-SUMIFS(周转筐出入库明细!$I$4:$I$2004,周转筐出入库明细!$C$4:$C$2004,$B32,周转筐出入库明细!$D$4:$D$2004,基础资料!$B$6,周转筐出入库明细!$B$4:$B$2004,"&gt;="&amp;$BC$1,周转筐出入库明细!$B$4:$B$2004,"&lt;="&amp;$BC$2))</f>
        <v/>
      </c>
      <c r="L32" s="67" t="str">
        <f>IF(OR($B32="",基础资料!$B$7=""),"",-SUMIFS(周转筐出入库明细!$I$4:$I$2004,周转筐出入库明细!$C$4:$C$2004,$B32,周转筐出入库明细!$D$4:$D$2004,基础资料!$B$7,周转筐出入库明细!$B$4:$B$2004,"&gt;="&amp;$BC$1,周转筐出入库明细!$B$4:$B$2004,"&lt;="&amp;$BC$2))</f>
        <v/>
      </c>
      <c r="M32" s="67" t="str">
        <f>IF(OR($B32="",基础资料!$B$8=""),"",-SUMIFS(周转筐出入库明细!$I$4:$I$2004,周转筐出入库明细!$C$4:$C$2004,$B32,周转筐出入库明细!$D$4:$D$2004,基础资料!$B$8,周转筐出入库明细!$B$4:$B$2004,"&gt;="&amp;$BC$1,周转筐出入库明细!$B$4:$B$2004,"&lt;="&amp;$BC$2))</f>
        <v/>
      </c>
      <c r="N32" s="67" t="str">
        <f t="shared" si="2"/>
        <v/>
      </c>
      <c r="O32" s="25" t="str">
        <f>IF(OR($B32="",基础资料!$B$4=""),"",SUMIFS(周转筐出入库明细!$H$4:$H$2004,周转筐出入库明细!$C$4:$C$2004,$B32,周转筐出入库明细!$D$4:$D$2004,基础资料!$B$4,周转筐出入库明细!$F$4:$F$2004,"采购入库",周转筐出入库明细!$B$4:$B$2004,"&gt;="&amp;$BC$1,周转筐出入库明细!$B$4:$B$2004,"&lt;="&amp;$BC$2))</f>
        <v/>
      </c>
      <c r="P32" s="25" t="str">
        <f>IF(OR($B32="",基础资料!$B$5=""),"",SUMIFS(周转筐出入库明细!$H$4:$H$2004,周转筐出入库明细!$C$4:$C$2004,$B32,周转筐出入库明细!$D$4:$D$2004,基础资料!$B$5,周转筐出入库明细!$F$4:$F$2004,"采购入库",周转筐出入库明细!$B$4:$B$2004,"&gt;="&amp;$BC$1,周转筐出入库明细!$B$4:$B$2004,"&lt;="&amp;$BC$2))</f>
        <v/>
      </c>
      <c r="Q32" s="25" t="str">
        <f>IF(OR($B32="",基础资料!$B$6=""),"",SUMIFS(周转筐出入库明细!$H$4:$H$2004,周转筐出入库明细!$C$4:$C$2004,$B32,周转筐出入库明细!$D$4:$D$2004,基础资料!$B$6,周转筐出入库明细!$F$4:$F$2004,"采购入库",周转筐出入库明细!$B$4:$B$2004,"&gt;="&amp;$BC$1,周转筐出入库明细!$B$4:$B$2004,"&lt;="&amp;$BC$2))</f>
        <v/>
      </c>
      <c r="R32" s="25" t="str">
        <f>IF(OR($B32="",基础资料!$B$7=""),"",SUMIFS(周转筐出入库明细!$H$4:$H$2004,周转筐出入库明细!$C$4:$C$2004,$B32,周转筐出入库明细!$D$4:$D$2004,基础资料!$B$7,周转筐出入库明细!$F$4:$F$2004,"采购入库",周转筐出入库明细!$B$4:$B$2004,"&gt;="&amp;$BC$1,周转筐出入库明细!$B$4:$B$2004,"&lt;="&amp;$BC$2))</f>
        <v/>
      </c>
      <c r="S32" s="25" t="str">
        <f>IF(OR($B32="",基础资料!$B$8=""),"",SUMIFS(周转筐出入库明细!$H$4:$H$2004,周转筐出入库明细!$C$4:$C$2004,$B32,周转筐出入库明细!$D$4:$D$2004,基础资料!$B$8,周转筐出入库明细!$F$4:$F$2004,"采购入库",周转筐出入库明细!$B$4:$B$2004,"&gt;="&amp;$BC$1,周转筐出入库明细!$B$4:$B$2004,"&lt;="&amp;$BC$2))</f>
        <v/>
      </c>
      <c r="T32" s="25" t="str">
        <f t="shared" si="3"/>
        <v/>
      </c>
      <c r="U32" s="25" t="str">
        <f>IF(OR($B32="",基础资料!$B$4=""),"",SUMIFS(周转筐出入库明细!$K$4:$K$2004,周转筐出入库明细!$C$4:$C$2004,$B32,周转筐出入库明细!$D$4:$D$2004,基础资料!$B$4,周转筐出入库明细!$B$4:$B$2004,"&gt;="&amp;$BC$1,周转筐出入库明细!$B$4:$B$2004,"&lt;="&amp;$BC$2))</f>
        <v/>
      </c>
      <c r="V32" s="25" t="str">
        <f>IF(OR($B32="",基础资料!$B$5=""),"",SUMIFS(周转筐出入库明细!$K$4:$K$2004,周转筐出入库明细!$C$4:$C$2004,$B32,周转筐出入库明细!$D$4:$D$2004,基础资料!$B$5,周转筐出入库明细!$B$4:$B$2004,"&gt;="&amp;$BC$1,周转筐出入库明细!$B$4:$B$2004,"&lt;="&amp;$BC$2))</f>
        <v/>
      </c>
      <c r="W32" s="25" t="str">
        <f>IF(OR($B32="",基础资料!$B$6=""),"",SUMIFS(周转筐出入库明细!$K$4:$K$2004,周转筐出入库明细!$C$4:$C$2004,$B32,周转筐出入库明细!$D$4:$D$2004,基础资料!$B$6,周转筐出入库明细!$B$4:$B$2004,"&gt;="&amp;$BC$1,周转筐出入库明细!$B$4:$B$2004,"&lt;="&amp;$BC$2))</f>
        <v/>
      </c>
      <c r="X32" s="25" t="str">
        <f>IF(OR($B32="",基础资料!$B$7=""),"",SUMIFS(周转筐出入库明细!$K$4:$K$2004,周转筐出入库明细!$C$4:$C$2004,$B32,周转筐出入库明细!$D$4:$D$2004,基础资料!$B$7,周转筐出入库明细!$B$4:$B$2004,"&gt;="&amp;$BC$1,周转筐出入库明细!$B$4:$B$2004,"&lt;="&amp;$BC$2))</f>
        <v/>
      </c>
      <c r="Y32" s="25" t="str">
        <f>IF(OR($B32="",基础资料!$B$8=""),"",SUMIFS(周转筐出入库明细!$K$4:$K$2004,周转筐出入库明细!$C$4:$C$2004,$B32,周转筐出入库明细!$D$4:$D$2004,基础资料!$B$8,周转筐出入库明细!$B$4:$B$2004,"&gt;="&amp;$BC$1,周转筐出入库明细!$B$4:$B$2004,"&lt;="&amp;$BC$2))</f>
        <v/>
      </c>
      <c r="Z32" s="25" t="str">
        <f t="shared" si="4"/>
        <v/>
      </c>
      <c r="AA32" s="67" t="str">
        <f>IF(OR($B32="",基础资料!$B$4=""),"",-SUMIFS(对接源_01水果筐数!$D$5:$D$304,对接源_01水果筐数!$B$5:$B$304,$B32,对接源_01水果筐数!$C$5:$C$304,基础资料!$B$4))</f>
        <v/>
      </c>
      <c r="AB32" s="67" t="str">
        <f>IF(OR($B32="",基础资料!$B$5=""),"",-SUMIFS(对接源_01水果筐数!$D$5:$D$304,对接源_01水果筐数!$B$5:$B$304,$B32,对接源_01水果筐数!$C$5:$C$304,基础资料!$B$5))</f>
        <v/>
      </c>
      <c r="AC32" s="67" t="str">
        <f>IF(OR($B32="",基础资料!$B$6=""),"",-SUMIFS(对接源_01水果筐数!$D$5:$D$304,对接源_01水果筐数!$B$5:$B$304,$B32,对接源_01水果筐数!$C$5:$C$304,基础资料!$B$6))</f>
        <v/>
      </c>
      <c r="AD32" s="67" t="str">
        <f>IF(OR($B32="",基础资料!$B$7=""),"",-SUMIFS(对接源_01水果筐数!$D$5:$D$304,对接源_01水果筐数!$B$5:$B$304,$B32,对接源_01水果筐数!$C$5:$C$304,基础资料!$B$7))</f>
        <v/>
      </c>
      <c r="AE32" s="67" t="str">
        <f>IF(OR($B32="",基础资料!$B$8=""),"",-SUMIFS(对接源_01水果筐数!$D$5:$D$304,对接源_01水果筐数!$B$5:$B$304,$B32,对接源_01水果筐数!$C$5:$C$304,基础资料!$B$8))</f>
        <v/>
      </c>
      <c r="AF32" s="25" t="str">
        <f>IF(OR($B32="",基础资料!$B$4=""),"",SUMIFS(对接源_01水果筐数!$E$5:$E$304,对接源_01水果筐数!$B$5:$B$304,$B32,对接源_01水果筐数!$C$5:$C$304,基础资料!$B$4))</f>
        <v/>
      </c>
      <c r="AG32" s="25" t="str">
        <f>IF(OR($B32="",基础资料!$B$5=""),"",SUMIFS(对接源_01水果筐数!$E$5:$E$304,对接源_01水果筐数!$B$5:$B$304,$B32,对接源_01水果筐数!$C$5:$C$304,基础资料!$B$5))</f>
        <v/>
      </c>
      <c r="AH32" s="25" t="str">
        <f>IF(OR($B32="",基础资料!$B$6=""),"",SUMIFS(对接源_01水果筐数!$E$5:$E$304,对接源_01水果筐数!$B$5:$B$304,$B32,对接源_01水果筐数!$C$5:$C$304,基础资料!$B$6))</f>
        <v/>
      </c>
      <c r="AI32" s="25" t="str">
        <f>IF(OR($B32="",基础资料!$B$7=""),"",SUMIFS(对接源_01水果筐数!$E$5:$E$304,对接源_01水果筐数!$B$5:$B$304,$B32,对接源_01水果筐数!$C$5:$C$304,基础资料!$B$7))</f>
        <v/>
      </c>
      <c r="AJ32" s="25" t="str">
        <f>IF(OR($B32="",基础资料!$B$8=""),"",SUMIFS(对接源_01水果筐数!$E$5:$E$304,对接源_01水果筐数!$B$5:$B$304,$B32,对接源_01水果筐数!$C$5:$C$304,基础资料!$B$8))</f>
        <v/>
      </c>
      <c r="AK32" s="25" t="str">
        <f>IF(OR($B32="",基础资料!$B$4=""),"",SUMIFS(对接源_01水果筐数!$F$5:$F$304,对接源_01水果筐数!$B$5:$B$304,$B32,对接源_01水果筐数!$C$5:$C$304,基础资料!$B$4))</f>
        <v/>
      </c>
      <c r="AL32" s="25" t="str">
        <f>IF(OR($B32="",基础资料!$B$5=""),"",SUMIFS(对接源_01水果筐数!$F$5:$F$304,对接源_01水果筐数!$B$5:$B$304,$B32,对接源_01水果筐数!$C$5:$C$304,基础资料!$B$5))</f>
        <v/>
      </c>
      <c r="AM32" s="25" t="str">
        <f>IF(OR($B32="",基础资料!$B$6=""),"",SUMIFS(对接源_01水果筐数!$F$5:$F$304,对接源_01水果筐数!$B$5:$B$304,$B32,对接源_01水果筐数!$C$5:$C$304,基础资料!$B$6))</f>
        <v/>
      </c>
      <c r="AN32" s="25" t="str">
        <f>IF(OR($B32="",基础资料!$B$7=""),"",SUMIFS(对接源_01水果筐数!$F$5:$F$304,对接源_01水果筐数!$B$5:$B$304,$B32,对接源_01水果筐数!$C$5:$C$304,基础资料!$B$7))</f>
        <v/>
      </c>
      <c r="AO32" s="25" t="str">
        <f>IF(OR($B32="",基础资料!$B$8=""),"",SUMIFS(对接源_01水果筐数!$F$5:$F$304,对接源_01水果筐数!$B$5:$B$304,$B32,对接源_01水果筐数!$C$5:$C$304,基础资料!$B$8))</f>
        <v/>
      </c>
      <c r="AP32" s="25" t="str">
        <f t="shared" si="5"/>
        <v/>
      </c>
      <c r="AQ32" s="25" t="str">
        <f t="shared" si="11"/>
        <v/>
      </c>
      <c r="AR32" s="25" t="str">
        <f t="shared" si="6"/>
        <v/>
      </c>
      <c r="AS32" s="25" t="str">
        <f t="shared" si="7"/>
        <v/>
      </c>
      <c r="AT32" s="25" t="str">
        <f t="shared" si="8"/>
        <v/>
      </c>
      <c r="AU32" s="25" t="str">
        <f t="shared" si="9"/>
        <v/>
      </c>
      <c r="AV32" s="24" t="str">
        <f t="shared" si="10"/>
        <v/>
      </c>
      <c r="AW32" s="72"/>
    </row>
    <row r="33" spans="1:49">
      <c r="A33" s="22" t="str">
        <f t="shared" si="0"/>
        <v/>
      </c>
      <c r="B33" s="24" t="str">
        <f>IFERROR(INDEX(_自动清单!$CC$4:$CC$253,ROW()-3),"")</f>
        <v/>
      </c>
      <c r="C33" s="25" t="str">
        <f>IF(OR($B33="",基础资料!$B$4=""),"",SUMIFS(周转筐出入库明细!$J$4:$J$2004,周转筐出入库明细!$C$4:$C$2004,$B33,周转筐出入库明细!$D$4:$D$2004,基础资料!$B$4,周转筐出入库明细!$B$4:$B$2004,"&gt;="&amp;$BC$1,周转筐出入库明细!$B$4:$B$2004,"&lt;="&amp;$BC$2))</f>
        <v/>
      </c>
      <c r="D33" s="25" t="str">
        <f>IF(OR($B33="",基础资料!$B$5=""),"",SUMIFS(周转筐出入库明细!$J$4:$J$2004,周转筐出入库明细!$C$4:$C$2004,$B33,周转筐出入库明细!$D$4:$D$2004,基础资料!$B$5,周转筐出入库明细!$B$4:$B$2004,"&gt;="&amp;$BC$1,周转筐出入库明细!$B$4:$B$2004,"&lt;="&amp;$BC$2))</f>
        <v/>
      </c>
      <c r="E33" s="25" t="str">
        <f>IF(OR($B33="",基础资料!$B$6=""),"",SUMIFS(周转筐出入库明细!$J$4:$J$2004,周转筐出入库明细!$C$4:$C$2004,$B33,周转筐出入库明细!$D$4:$D$2004,基础资料!$B$6,周转筐出入库明细!$B$4:$B$2004,"&gt;="&amp;$BC$1,周转筐出入库明细!$B$4:$B$2004,"&lt;="&amp;$BC$2))</f>
        <v/>
      </c>
      <c r="F33" s="25" t="str">
        <f>IF(OR($B33="",基础资料!$B$7=""),"",SUMIFS(周转筐出入库明细!$J$4:$J$2004,周转筐出入库明细!$C$4:$C$2004,$B33,周转筐出入库明细!$D$4:$D$2004,基础资料!$B$7,周转筐出入库明细!$B$4:$B$2004,"&gt;="&amp;$BC$1,周转筐出入库明细!$B$4:$B$2004,"&lt;="&amp;$BC$2))</f>
        <v/>
      </c>
      <c r="G33" s="25" t="str">
        <f>IF(OR($B33="",基础资料!$B$8=""),"",SUMIFS(周转筐出入库明细!$J$4:$J$2004,周转筐出入库明细!$C$4:$C$2004,$B33,周转筐出入库明细!$D$4:$D$2004,基础资料!$B$8,周转筐出入库明细!$B$4:$B$2004,"&gt;="&amp;$BC$1,周转筐出入库明细!$B$4:$B$2004,"&lt;="&amp;$BC$2))</f>
        <v/>
      </c>
      <c r="H33" s="25" t="str">
        <f t="shared" si="1"/>
        <v/>
      </c>
      <c r="I33" s="67" t="str">
        <f>IF(OR($B33="",基础资料!$B$4=""),"",-SUMIFS(周转筐出入库明细!$I$4:$I$2004,周转筐出入库明细!$C$4:$C$2004,$B33,周转筐出入库明细!$D$4:$D$2004,基础资料!$B$4,周转筐出入库明细!$B$4:$B$2004,"&gt;="&amp;$BC$1,周转筐出入库明细!$B$4:$B$2004,"&lt;="&amp;$BC$2))</f>
        <v/>
      </c>
      <c r="J33" s="67" t="str">
        <f>IF(OR($B33="",基础资料!$B$5=""),"",-SUMIFS(周转筐出入库明细!$I$4:$I$2004,周转筐出入库明细!$C$4:$C$2004,$B33,周转筐出入库明细!$D$4:$D$2004,基础资料!$B$5,周转筐出入库明细!$B$4:$B$2004,"&gt;="&amp;$BC$1,周转筐出入库明细!$B$4:$B$2004,"&lt;="&amp;$BC$2))</f>
        <v/>
      </c>
      <c r="K33" s="67" t="str">
        <f>IF(OR($B33="",基础资料!$B$6=""),"",-SUMIFS(周转筐出入库明细!$I$4:$I$2004,周转筐出入库明细!$C$4:$C$2004,$B33,周转筐出入库明细!$D$4:$D$2004,基础资料!$B$6,周转筐出入库明细!$B$4:$B$2004,"&gt;="&amp;$BC$1,周转筐出入库明细!$B$4:$B$2004,"&lt;="&amp;$BC$2))</f>
        <v/>
      </c>
      <c r="L33" s="67" t="str">
        <f>IF(OR($B33="",基础资料!$B$7=""),"",-SUMIFS(周转筐出入库明细!$I$4:$I$2004,周转筐出入库明细!$C$4:$C$2004,$B33,周转筐出入库明细!$D$4:$D$2004,基础资料!$B$7,周转筐出入库明细!$B$4:$B$2004,"&gt;="&amp;$BC$1,周转筐出入库明细!$B$4:$B$2004,"&lt;="&amp;$BC$2))</f>
        <v/>
      </c>
      <c r="M33" s="67" t="str">
        <f>IF(OR($B33="",基础资料!$B$8=""),"",-SUMIFS(周转筐出入库明细!$I$4:$I$2004,周转筐出入库明细!$C$4:$C$2004,$B33,周转筐出入库明细!$D$4:$D$2004,基础资料!$B$8,周转筐出入库明细!$B$4:$B$2004,"&gt;="&amp;$BC$1,周转筐出入库明细!$B$4:$B$2004,"&lt;="&amp;$BC$2))</f>
        <v/>
      </c>
      <c r="N33" s="67" t="str">
        <f t="shared" si="2"/>
        <v/>
      </c>
      <c r="O33" s="25" t="str">
        <f>IF(OR($B33="",基础资料!$B$4=""),"",SUMIFS(周转筐出入库明细!$H$4:$H$2004,周转筐出入库明细!$C$4:$C$2004,$B33,周转筐出入库明细!$D$4:$D$2004,基础资料!$B$4,周转筐出入库明细!$F$4:$F$2004,"采购入库",周转筐出入库明细!$B$4:$B$2004,"&gt;="&amp;$BC$1,周转筐出入库明细!$B$4:$B$2004,"&lt;="&amp;$BC$2))</f>
        <v/>
      </c>
      <c r="P33" s="25" t="str">
        <f>IF(OR($B33="",基础资料!$B$5=""),"",SUMIFS(周转筐出入库明细!$H$4:$H$2004,周转筐出入库明细!$C$4:$C$2004,$B33,周转筐出入库明细!$D$4:$D$2004,基础资料!$B$5,周转筐出入库明细!$F$4:$F$2004,"采购入库",周转筐出入库明细!$B$4:$B$2004,"&gt;="&amp;$BC$1,周转筐出入库明细!$B$4:$B$2004,"&lt;="&amp;$BC$2))</f>
        <v/>
      </c>
      <c r="Q33" s="25" t="str">
        <f>IF(OR($B33="",基础资料!$B$6=""),"",SUMIFS(周转筐出入库明细!$H$4:$H$2004,周转筐出入库明细!$C$4:$C$2004,$B33,周转筐出入库明细!$D$4:$D$2004,基础资料!$B$6,周转筐出入库明细!$F$4:$F$2004,"采购入库",周转筐出入库明细!$B$4:$B$2004,"&gt;="&amp;$BC$1,周转筐出入库明细!$B$4:$B$2004,"&lt;="&amp;$BC$2))</f>
        <v/>
      </c>
      <c r="R33" s="25" t="str">
        <f>IF(OR($B33="",基础资料!$B$7=""),"",SUMIFS(周转筐出入库明细!$H$4:$H$2004,周转筐出入库明细!$C$4:$C$2004,$B33,周转筐出入库明细!$D$4:$D$2004,基础资料!$B$7,周转筐出入库明细!$F$4:$F$2004,"采购入库",周转筐出入库明细!$B$4:$B$2004,"&gt;="&amp;$BC$1,周转筐出入库明细!$B$4:$B$2004,"&lt;="&amp;$BC$2))</f>
        <v/>
      </c>
      <c r="S33" s="25" t="str">
        <f>IF(OR($B33="",基础资料!$B$8=""),"",SUMIFS(周转筐出入库明细!$H$4:$H$2004,周转筐出入库明细!$C$4:$C$2004,$B33,周转筐出入库明细!$D$4:$D$2004,基础资料!$B$8,周转筐出入库明细!$F$4:$F$2004,"采购入库",周转筐出入库明细!$B$4:$B$2004,"&gt;="&amp;$BC$1,周转筐出入库明细!$B$4:$B$2004,"&lt;="&amp;$BC$2))</f>
        <v/>
      </c>
      <c r="T33" s="25" t="str">
        <f t="shared" si="3"/>
        <v/>
      </c>
      <c r="U33" s="25" t="str">
        <f>IF(OR($B33="",基础资料!$B$4=""),"",SUMIFS(周转筐出入库明细!$K$4:$K$2004,周转筐出入库明细!$C$4:$C$2004,$B33,周转筐出入库明细!$D$4:$D$2004,基础资料!$B$4,周转筐出入库明细!$B$4:$B$2004,"&gt;="&amp;$BC$1,周转筐出入库明细!$B$4:$B$2004,"&lt;="&amp;$BC$2))</f>
        <v/>
      </c>
      <c r="V33" s="25" t="str">
        <f>IF(OR($B33="",基础资料!$B$5=""),"",SUMIFS(周转筐出入库明细!$K$4:$K$2004,周转筐出入库明细!$C$4:$C$2004,$B33,周转筐出入库明细!$D$4:$D$2004,基础资料!$B$5,周转筐出入库明细!$B$4:$B$2004,"&gt;="&amp;$BC$1,周转筐出入库明细!$B$4:$B$2004,"&lt;="&amp;$BC$2))</f>
        <v/>
      </c>
      <c r="W33" s="25" t="str">
        <f>IF(OR($B33="",基础资料!$B$6=""),"",SUMIFS(周转筐出入库明细!$K$4:$K$2004,周转筐出入库明细!$C$4:$C$2004,$B33,周转筐出入库明细!$D$4:$D$2004,基础资料!$B$6,周转筐出入库明细!$B$4:$B$2004,"&gt;="&amp;$BC$1,周转筐出入库明细!$B$4:$B$2004,"&lt;="&amp;$BC$2))</f>
        <v/>
      </c>
      <c r="X33" s="25" t="str">
        <f>IF(OR($B33="",基础资料!$B$7=""),"",SUMIFS(周转筐出入库明细!$K$4:$K$2004,周转筐出入库明细!$C$4:$C$2004,$B33,周转筐出入库明细!$D$4:$D$2004,基础资料!$B$7,周转筐出入库明细!$B$4:$B$2004,"&gt;="&amp;$BC$1,周转筐出入库明细!$B$4:$B$2004,"&lt;="&amp;$BC$2))</f>
        <v/>
      </c>
      <c r="Y33" s="25" t="str">
        <f>IF(OR($B33="",基础资料!$B$8=""),"",SUMIFS(周转筐出入库明细!$K$4:$K$2004,周转筐出入库明细!$C$4:$C$2004,$B33,周转筐出入库明细!$D$4:$D$2004,基础资料!$B$8,周转筐出入库明细!$B$4:$B$2004,"&gt;="&amp;$BC$1,周转筐出入库明细!$B$4:$B$2004,"&lt;="&amp;$BC$2))</f>
        <v/>
      </c>
      <c r="Z33" s="25" t="str">
        <f t="shared" si="4"/>
        <v/>
      </c>
      <c r="AA33" s="67" t="str">
        <f>IF(OR($B33="",基础资料!$B$4=""),"",-SUMIFS(对接源_01水果筐数!$D$5:$D$304,对接源_01水果筐数!$B$5:$B$304,$B33,对接源_01水果筐数!$C$5:$C$304,基础资料!$B$4))</f>
        <v/>
      </c>
      <c r="AB33" s="67" t="str">
        <f>IF(OR($B33="",基础资料!$B$5=""),"",-SUMIFS(对接源_01水果筐数!$D$5:$D$304,对接源_01水果筐数!$B$5:$B$304,$B33,对接源_01水果筐数!$C$5:$C$304,基础资料!$B$5))</f>
        <v/>
      </c>
      <c r="AC33" s="67" t="str">
        <f>IF(OR($B33="",基础资料!$B$6=""),"",-SUMIFS(对接源_01水果筐数!$D$5:$D$304,对接源_01水果筐数!$B$5:$B$304,$B33,对接源_01水果筐数!$C$5:$C$304,基础资料!$B$6))</f>
        <v/>
      </c>
      <c r="AD33" s="67" t="str">
        <f>IF(OR($B33="",基础资料!$B$7=""),"",-SUMIFS(对接源_01水果筐数!$D$5:$D$304,对接源_01水果筐数!$B$5:$B$304,$B33,对接源_01水果筐数!$C$5:$C$304,基础资料!$B$7))</f>
        <v/>
      </c>
      <c r="AE33" s="67" t="str">
        <f>IF(OR($B33="",基础资料!$B$8=""),"",-SUMIFS(对接源_01水果筐数!$D$5:$D$304,对接源_01水果筐数!$B$5:$B$304,$B33,对接源_01水果筐数!$C$5:$C$304,基础资料!$B$8))</f>
        <v/>
      </c>
      <c r="AF33" s="25" t="str">
        <f>IF(OR($B33="",基础资料!$B$4=""),"",SUMIFS(对接源_01水果筐数!$E$5:$E$304,对接源_01水果筐数!$B$5:$B$304,$B33,对接源_01水果筐数!$C$5:$C$304,基础资料!$B$4))</f>
        <v/>
      </c>
      <c r="AG33" s="25" t="str">
        <f>IF(OR($B33="",基础资料!$B$5=""),"",SUMIFS(对接源_01水果筐数!$E$5:$E$304,对接源_01水果筐数!$B$5:$B$304,$B33,对接源_01水果筐数!$C$5:$C$304,基础资料!$B$5))</f>
        <v/>
      </c>
      <c r="AH33" s="25" t="str">
        <f>IF(OR($B33="",基础资料!$B$6=""),"",SUMIFS(对接源_01水果筐数!$E$5:$E$304,对接源_01水果筐数!$B$5:$B$304,$B33,对接源_01水果筐数!$C$5:$C$304,基础资料!$B$6))</f>
        <v/>
      </c>
      <c r="AI33" s="25" t="str">
        <f>IF(OR($B33="",基础资料!$B$7=""),"",SUMIFS(对接源_01水果筐数!$E$5:$E$304,对接源_01水果筐数!$B$5:$B$304,$B33,对接源_01水果筐数!$C$5:$C$304,基础资料!$B$7))</f>
        <v/>
      </c>
      <c r="AJ33" s="25" t="str">
        <f>IF(OR($B33="",基础资料!$B$8=""),"",SUMIFS(对接源_01水果筐数!$E$5:$E$304,对接源_01水果筐数!$B$5:$B$304,$B33,对接源_01水果筐数!$C$5:$C$304,基础资料!$B$8))</f>
        <v/>
      </c>
      <c r="AK33" s="25" t="str">
        <f>IF(OR($B33="",基础资料!$B$4=""),"",SUMIFS(对接源_01水果筐数!$F$5:$F$304,对接源_01水果筐数!$B$5:$B$304,$B33,对接源_01水果筐数!$C$5:$C$304,基础资料!$B$4))</f>
        <v/>
      </c>
      <c r="AL33" s="25" t="str">
        <f>IF(OR($B33="",基础资料!$B$5=""),"",SUMIFS(对接源_01水果筐数!$F$5:$F$304,对接源_01水果筐数!$B$5:$B$304,$B33,对接源_01水果筐数!$C$5:$C$304,基础资料!$B$5))</f>
        <v/>
      </c>
      <c r="AM33" s="25" t="str">
        <f>IF(OR($B33="",基础资料!$B$6=""),"",SUMIFS(对接源_01水果筐数!$F$5:$F$304,对接源_01水果筐数!$B$5:$B$304,$B33,对接源_01水果筐数!$C$5:$C$304,基础资料!$B$6))</f>
        <v/>
      </c>
      <c r="AN33" s="25" t="str">
        <f>IF(OR($B33="",基础资料!$B$7=""),"",SUMIFS(对接源_01水果筐数!$F$5:$F$304,对接源_01水果筐数!$B$5:$B$304,$B33,对接源_01水果筐数!$C$5:$C$304,基础资料!$B$7))</f>
        <v/>
      </c>
      <c r="AO33" s="25" t="str">
        <f>IF(OR($B33="",基础资料!$B$8=""),"",SUMIFS(对接源_01水果筐数!$F$5:$F$304,对接源_01水果筐数!$B$5:$B$304,$B33,对接源_01水果筐数!$C$5:$C$304,基础资料!$B$8))</f>
        <v/>
      </c>
      <c r="AP33" s="25" t="str">
        <f t="shared" si="5"/>
        <v/>
      </c>
      <c r="AQ33" s="25" t="str">
        <f t="shared" si="11"/>
        <v/>
      </c>
      <c r="AR33" s="25" t="str">
        <f t="shared" si="6"/>
        <v/>
      </c>
      <c r="AS33" s="25" t="str">
        <f t="shared" si="7"/>
        <v/>
      </c>
      <c r="AT33" s="25" t="str">
        <f t="shared" si="8"/>
        <v/>
      </c>
      <c r="AU33" s="25" t="str">
        <f t="shared" si="9"/>
        <v/>
      </c>
      <c r="AV33" s="24" t="str">
        <f t="shared" si="10"/>
        <v/>
      </c>
      <c r="AW33" s="72"/>
    </row>
    <row r="34" spans="1:49">
      <c r="A34" s="22" t="str">
        <f t="shared" si="0"/>
        <v/>
      </c>
      <c r="B34" s="24" t="str">
        <f>IFERROR(INDEX(_自动清单!$CC$4:$CC$253,ROW()-3),"")</f>
        <v/>
      </c>
      <c r="C34" s="25" t="str">
        <f>IF(OR($B34="",基础资料!$B$4=""),"",SUMIFS(周转筐出入库明细!$J$4:$J$2004,周转筐出入库明细!$C$4:$C$2004,$B34,周转筐出入库明细!$D$4:$D$2004,基础资料!$B$4,周转筐出入库明细!$B$4:$B$2004,"&gt;="&amp;$BC$1,周转筐出入库明细!$B$4:$B$2004,"&lt;="&amp;$BC$2))</f>
        <v/>
      </c>
      <c r="D34" s="25" t="str">
        <f>IF(OR($B34="",基础资料!$B$5=""),"",SUMIFS(周转筐出入库明细!$J$4:$J$2004,周转筐出入库明细!$C$4:$C$2004,$B34,周转筐出入库明细!$D$4:$D$2004,基础资料!$B$5,周转筐出入库明细!$B$4:$B$2004,"&gt;="&amp;$BC$1,周转筐出入库明细!$B$4:$B$2004,"&lt;="&amp;$BC$2))</f>
        <v/>
      </c>
      <c r="E34" s="25" t="str">
        <f>IF(OR($B34="",基础资料!$B$6=""),"",SUMIFS(周转筐出入库明细!$J$4:$J$2004,周转筐出入库明细!$C$4:$C$2004,$B34,周转筐出入库明细!$D$4:$D$2004,基础资料!$B$6,周转筐出入库明细!$B$4:$B$2004,"&gt;="&amp;$BC$1,周转筐出入库明细!$B$4:$B$2004,"&lt;="&amp;$BC$2))</f>
        <v/>
      </c>
      <c r="F34" s="25" t="str">
        <f>IF(OR($B34="",基础资料!$B$7=""),"",SUMIFS(周转筐出入库明细!$J$4:$J$2004,周转筐出入库明细!$C$4:$C$2004,$B34,周转筐出入库明细!$D$4:$D$2004,基础资料!$B$7,周转筐出入库明细!$B$4:$B$2004,"&gt;="&amp;$BC$1,周转筐出入库明细!$B$4:$B$2004,"&lt;="&amp;$BC$2))</f>
        <v/>
      </c>
      <c r="G34" s="25" t="str">
        <f>IF(OR($B34="",基础资料!$B$8=""),"",SUMIFS(周转筐出入库明细!$J$4:$J$2004,周转筐出入库明细!$C$4:$C$2004,$B34,周转筐出入库明细!$D$4:$D$2004,基础资料!$B$8,周转筐出入库明细!$B$4:$B$2004,"&gt;="&amp;$BC$1,周转筐出入库明细!$B$4:$B$2004,"&lt;="&amp;$BC$2))</f>
        <v/>
      </c>
      <c r="H34" s="25" t="str">
        <f t="shared" si="1"/>
        <v/>
      </c>
      <c r="I34" s="67" t="str">
        <f>IF(OR($B34="",基础资料!$B$4=""),"",-SUMIFS(周转筐出入库明细!$I$4:$I$2004,周转筐出入库明细!$C$4:$C$2004,$B34,周转筐出入库明细!$D$4:$D$2004,基础资料!$B$4,周转筐出入库明细!$B$4:$B$2004,"&gt;="&amp;$BC$1,周转筐出入库明细!$B$4:$B$2004,"&lt;="&amp;$BC$2))</f>
        <v/>
      </c>
      <c r="J34" s="67" t="str">
        <f>IF(OR($B34="",基础资料!$B$5=""),"",-SUMIFS(周转筐出入库明细!$I$4:$I$2004,周转筐出入库明细!$C$4:$C$2004,$B34,周转筐出入库明细!$D$4:$D$2004,基础资料!$B$5,周转筐出入库明细!$B$4:$B$2004,"&gt;="&amp;$BC$1,周转筐出入库明细!$B$4:$B$2004,"&lt;="&amp;$BC$2))</f>
        <v/>
      </c>
      <c r="K34" s="67" t="str">
        <f>IF(OR($B34="",基础资料!$B$6=""),"",-SUMIFS(周转筐出入库明细!$I$4:$I$2004,周转筐出入库明细!$C$4:$C$2004,$B34,周转筐出入库明细!$D$4:$D$2004,基础资料!$B$6,周转筐出入库明细!$B$4:$B$2004,"&gt;="&amp;$BC$1,周转筐出入库明细!$B$4:$B$2004,"&lt;="&amp;$BC$2))</f>
        <v/>
      </c>
      <c r="L34" s="67" t="str">
        <f>IF(OR($B34="",基础资料!$B$7=""),"",-SUMIFS(周转筐出入库明细!$I$4:$I$2004,周转筐出入库明细!$C$4:$C$2004,$B34,周转筐出入库明细!$D$4:$D$2004,基础资料!$B$7,周转筐出入库明细!$B$4:$B$2004,"&gt;="&amp;$BC$1,周转筐出入库明细!$B$4:$B$2004,"&lt;="&amp;$BC$2))</f>
        <v/>
      </c>
      <c r="M34" s="67" t="str">
        <f>IF(OR($B34="",基础资料!$B$8=""),"",-SUMIFS(周转筐出入库明细!$I$4:$I$2004,周转筐出入库明细!$C$4:$C$2004,$B34,周转筐出入库明细!$D$4:$D$2004,基础资料!$B$8,周转筐出入库明细!$B$4:$B$2004,"&gt;="&amp;$BC$1,周转筐出入库明细!$B$4:$B$2004,"&lt;="&amp;$BC$2))</f>
        <v/>
      </c>
      <c r="N34" s="67" t="str">
        <f t="shared" si="2"/>
        <v/>
      </c>
      <c r="O34" s="25" t="str">
        <f>IF(OR($B34="",基础资料!$B$4=""),"",SUMIFS(周转筐出入库明细!$H$4:$H$2004,周转筐出入库明细!$C$4:$C$2004,$B34,周转筐出入库明细!$D$4:$D$2004,基础资料!$B$4,周转筐出入库明细!$F$4:$F$2004,"采购入库",周转筐出入库明细!$B$4:$B$2004,"&gt;="&amp;$BC$1,周转筐出入库明细!$B$4:$B$2004,"&lt;="&amp;$BC$2))</f>
        <v/>
      </c>
      <c r="P34" s="25" t="str">
        <f>IF(OR($B34="",基础资料!$B$5=""),"",SUMIFS(周转筐出入库明细!$H$4:$H$2004,周转筐出入库明细!$C$4:$C$2004,$B34,周转筐出入库明细!$D$4:$D$2004,基础资料!$B$5,周转筐出入库明细!$F$4:$F$2004,"采购入库",周转筐出入库明细!$B$4:$B$2004,"&gt;="&amp;$BC$1,周转筐出入库明细!$B$4:$B$2004,"&lt;="&amp;$BC$2))</f>
        <v/>
      </c>
      <c r="Q34" s="25" t="str">
        <f>IF(OR($B34="",基础资料!$B$6=""),"",SUMIFS(周转筐出入库明细!$H$4:$H$2004,周转筐出入库明细!$C$4:$C$2004,$B34,周转筐出入库明细!$D$4:$D$2004,基础资料!$B$6,周转筐出入库明细!$F$4:$F$2004,"采购入库",周转筐出入库明细!$B$4:$B$2004,"&gt;="&amp;$BC$1,周转筐出入库明细!$B$4:$B$2004,"&lt;="&amp;$BC$2))</f>
        <v/>
      </c>
      <c r="R34" s="25" t="str">
        <f>IF(OR($B34="",基础资料!$B$7=""),"",SUMIFS(周转筐出入库明细!$H$4:$H$2004,周转筐出入库明细!$C$4:$C$2004,$B34,周转筐出入库明细!$D$4:$D$2004,基础资料!$B$7,周转筐出入库明细!$F$4:$F$2004,"采购入库",周转筐出入库明细!$B$4:$B$2004,"&gt;="&amp;$BC$1,周转筐出入库明细!$B$4:$B$2004,"&lt;="&amp;$BC$2))</f>
        <v/>
      </c>
      <c r="S34" s="25" t="str">
        <f>IF(OR($B34="",基础资料!$B$8=""),"",SUMIFS(周转筐出入库明细!$H$4:$H$2004,周转筐出入库明细!$C$4:$C$2004,$B34,周转筐出入库明细!$D$4:$D$2004,基础资料!$B$8,周转筐出入库明细!$F$4:$F$2004,"采购入库",周转筐出入库明细!$B$4:$B$2004,"&gt;="&amp;$BC$1,周转筐出入库明细!$B$4:$B$2004,"&lt;="&amp;$BC$2))</f>
        <v/>
      </c>
      <c r="T34" s="25" t="str">
        <f t="shared" si="3"/>
        <v/>
      </c>
      <c r="U34" s="25" t="str">
        <f>IF(OR($B34="",基础资料!$B$4=""),"",SUMIFS(周转筐出入库明细!$K$4:$K$2004,周转筐出入库明细!$C$4:$C$2004,$B34,周转筐出入库明细!$D$4:$D$2004,基础资料!$B$4,周转筐出入库明细!$B$4:$B$2004,"&gt;="&amp;$BC$1,周转筐出入库明细!$B$4:$B$2004,"&lt;="&amp;$BC$2))</f>
        <v/>
      </c>
      <c r="V34" s="25" t="str">
        <f>IF(OR($B34="",基础资料!$B$5=""),"",SUMIFS(周转筐出入库明细!$K$4:$K$2004,周转筐出入库明细!$C$4:$C$2004,$B34,周转筐出入库明细!$D$4:$D$2004,基础资料!$B$5,周转筐出入库明细!$B$4:$B$2004,"&gt;="&amp;$BC$1,周转筐出入库明细!$B$4:$B$2004,"&lt;="&amp;$BC$2))</f>
        <v/>
      </c>
      <c r="W34" s="25" t="str">
        <f>IF(OR($B34="",基础资料!$B$6=""),"",SUMIFS(周转筐出入库明细!$K$4:$K$2004,周转筐出入库明细!$C$4:$C$2004,$B34,周转筐出入库明细!$D$4:$D$2004,基础资料!$B$6,周转筐出入库明细!$B$4:$B$2004,"&gt;="&amp;$BC$1,周转筐出入库明细!$B$4:$B$2004,"&lt;="&amp;$BC$2))</f>
        <v/>
      </c>
      <c r="X34" s="25" t="str">
        <f>IF(OR($B34="",基础资料!$B$7=""),"",SUMIFS(周转筐出入库明细!$K$4:$K$2004,周转筐出入库明细!$C$4:$C$2004,$B34,周转筐出入库明细!$D$4:$D$2004,基础资料!$B$7,周转筐出入库明细!$B$4:$B$2004,"&gt;="&amp;$BC$1,周转筐出入库明细!$B$4:$B$2004,"&lt;="&amp;$BC$2))</f>
        <v/>
      </c>
      <c r="Y34" s="25" t="str">
        <f>IF(OR($B34="",基础资料!$B$8=""),"",SUMIFS(周转筐出入库明细!$K$4:$K$2004,周转筐出入库明细!$C$4:$C$2004,$B34,周转筐出入库明细!$D$4:$D$2004,基础资料!$B$8,周转筐出入库明细!$B$4:$B$2004,"&gt;="&amp;$BC$1,周转筐出入库明细!$B$4:$B$2004,"&lt;="&amp;$BC$2))</f>
        <v/>
      </c>
      <c r="Z34" s="25" t="str">
        <f t="shared" si="4"/>
        <v/>
      </c>
      <c r="AA34" s="67" t="str">
        <f>IF(OR($B34="",基础资料!$B$4=""),"",-SUMIFS(对接源_01水果筐数!$D$5:$D$304,对接源_01水果筐数!$B$5:$B$304,$B34,对接源_01水果筐数!$C$5:$C$304,基础资料!$B$4))</f>
        <v/>
      </c>
      <c r="AB34" s="67" t="str">
        <f>IF(OR($B34="",基础资料!$B$5=""),"",-SUMIFS(对接源_01水果筐数!$D$5:$D$304,对接源_01水果筐数!$B$5:$B$304,$B34,对接源_01水果筐数!$C$5:$C$304,基础资料!$B$5))</f>
        <v/>
      </c>
      <c r="AC34" s="67" t="str">
        <f>IF(OR($B34="",基础资料!$B$6=""),"",-SUMIFS(对接源_01水果筐数!$D$5:$D$304,对接源_01水果筐数!$B$5:$B$304,$B34,对接源_01水果筐数!$C$5:$C$304,基础资料!$B$6))</f>
        <v/>
      </c>
      <c r="AD34" s="67" t="str">
        <f>IF(OR($B34="",基础资料!$B$7=""),"",-SUMIFS(对接源_01水果筐数!$D$5:$D$304,对接源_01水果筐数!$B$5:$B$304,$B34,对接源_01水果筐数!$C$5:$C$304,基础资料!$B$7))</f>
        <v/>
      </c>
      <c r="AE34" s="67" t="str">
        <f>IF(OR($B34="",基础资料!$B$8=""),"",-SUMIFS(对接源_01水果筐数!$D$5:$D$304,对接源_01水果筐数!$B$5:$B$304,$B34,对接源_01水果筐数!$C$5:$C$304,基础资料!$B$8))</f>
        <v/>
      </c>
      <c r="AF34" s="25" t="str">
        <f>IF(OR($B34="",基础资料!$B$4=""),"",SUMIFS(对接源_01水果筐数!$E$5:$E$304,对接源_01水果筐数!$B$5:$B$304,$B34,对接源_01水果筐数!$C$5:$C$304,基础资料!$B$4))</f>
        <v/>
      </c>
      <c r="AG34" s="25" t="str">
        <f>IF(OR($B34="",基础资料!$B$5=""),"",SUMIFS(对接源_01水果筐数!$E$5:$E$304,对接源_01水果筐数!$B$5:$B$304,$B34,对接源_01水果筐数!$C$5:$C$304,基础资料!$B$5))</f>
        <v/>
      </c>
      <c r="AH34" s="25" t="str">
        <f>IF(OR($B34="",基础资料!$B$6=""),"",SUMIFS(对接源_01水果筐数!$E$5:$E$304,对接源_01水果筐数!$B$5:$B$304,$B34,对接源_01水果筐数!$C$5:$C$304,基础资料!$B$6))</f>
        <v/>
      </c>
      <c r="AI34" s="25" t="str">
        <f>IF(OR($B34="",基础资料!$B$7=""),"",SUMIFS(对接源_01水果筐数!$E$5:$E$304,对接源_01水果筐数!$B$5:$B$304,$B34,对接源_01水果筐数!$C$5:$C$304,基础资料!$B$7))</f>
        <v/>
      </c>
      <c r="AJ34" s="25" t="str">
        <f>IF(OR($B34="",基础资料!$B$8=""),"",SUMIFS(对接源_01水果筐数!$E$5:$E$304,对接源_01水果筐数!$B$5:$B$304,$B34,对接源_01水果筐数!$C$5:$C$304,基础资料!$B$8))</f>
        <v/>
      </c>
      <c r="AK34" s="25" t="str">
        <f>IF(OR($B34="",基础资料!$B$4=""),"",SUMIFS(对接源_01水果筐数!$F$5:$F$304,对接源_01水果筐数!$B$5:$B$304,$B34,对接源_01水果筐数!$C$5:$C$304,基础资料!$B$4))</f>
        <v/>
      </c>
      <c r="AL34" s="25" t="str">
        <f>IF(OR($B34="",基础资料!$B$5=""),"",SUMIFS(对接源_01水果筐数!$F$5:$F$304,对接源_01水果筐数!$B$5:$B$304,$B34,对接源_01水果筐数!$C$5:$C$304,基础资料!$B$5))</f>
        <v/>
      </c>
      <c r="AM34" s="25" t="str">
        <f>IF(OR($B34="",基础资料!$B$6=""),"",SUMIFS(对接源_01水果筐数!$F$5:$F$304,对接源_01水果筐数!$B$5:$B$304,$B34,对接源_01水果筐数!$C$5:$C$304,基础资料!$B$6))</f>
        <v/>
      </c>
      <c r="AN34" s="25" t="str">
        <f>IF(OR($B34="",基础资料!$B$7=""),"",SUMIFS(对接源_01水果筐数!$F$5:$F$304,对接源_01水果筐数!$B$5:$B$304,$B34,对接源_01水果筐数!$C$5:$C$304,基础资料!$B$7))</f>
        <v/>
      </c>
      <c r="AO34" s="25" t="str">
        <f>IF(OR($B34="",基础资料!$B$8=""),"",SUMIFS(对接源_01水果筐数!$F$5:$F$304,对接源_01水果筐数!$B$5:$B$304,$B34,对接源_01水果筐数!$C$5:$C$304,基础资料!$B$8))</f>
        <v/>
      </c>
      <c r="AP34" s="25" t="str">
        <f t="shared" si="5"/>
        <v/>
      </c>
      <c r="AQ34" s="25" t="str">
        <f t="shared" si="11"/>
        <v/>
      </c>
      <c r="AR34" s="25" t="str">
        <f t="shared" si="6"/>
        <v/>
      </c>
      <c r="AS34" s="25" t="str">
        <f t="shared" si="7"/>
        <v/>
      </c>
      <c r="AT34" s="25" t="str">
        <f t="shared" si="8"/>
        <v/>
      </c>
      <c r="AU34" s="25" t="str">
        <f t="shared" si="9"/>
        <v/>
      </c>
      <c r="AV34" s="24" t="str">
        <f t="shared" si="10"/>
        <v/>
      </c>
      <c r="AW34" s="72"/>
    </row>
    <row r="35" spans="1:49">
      <c r="A35" s="22" t="str">
        <f t="shared" si="0"/>
        <v/>
      </c>
      <c r="B35" s="24" t="str">
        <f>IFERROR(INDEX(_自动清单!$CC$4:$CC$253,ROW()-3),"")</f>
        <v/>
      </c>
      <c r="C35" s="25" t="str">
        <f>IF(OR($B35="",基础资料!$B$4=""),"",SUMIFS(周转筐出入库明细!$J$4:$J$2004,周转筐出入库明细!$C$4:$C$2004,$B35,周转筐出入库明细!$D$4:$D$2004,基础资料!$B$4,周转筐出入库明细!$B$4:$B$2004,"&gt;="&amp;$BC$1,周转筐出入库明细!$B$4:$B$2004,"&lt;="&amp;$BC$2))</f>
        <v/>
      </c>
      <c r="D35" s="25" t="str">
        <f>IF(OR($B35="",基础资料!$B$5=""),"",SUMIFS(周转筐出入库明细!$J$4:$J$2004,周转筐出入库明细!$C$4:$C$2004,$B35,周转筐出入库明细!$D$4:$D$2004,基础资料!$B$5,周转筐出入库明细!$B$4:$B$2004,"&gt;="&amp;$BC$1,周转筐出入库明细!$B$4:$B$2004,"&lt;="&amp;$BC$2))</f>
        <v/>
      </c>
      <c r="E35" s="25" t="str">
        <f>IF(OR($B35="",基础资料!$B$6=""),"",SUMIFS(周转筐出入库明细!$J$4:$J$2004,周转筐出入库明细!$C$4:$C$2004,$B35,周转筐出入库明细!$D$4:$D$2004,基础资料!$B$6,周转筐出入库明细!$B$4:$B$2004,"&gt;="&amp;$BC$1,周转筐出入库明细!$B$4:$B$2004,"&lt;="&amp;$BC$2))</f>
        <v/>
      </c>
      <c r="F35" s="25" t="str">
        <f>IF(OR($B35="",基础资料!$B$7=""),"",SUMIFS(周转筐出入库明细!$J$4:$J$2004,周转筐出入库明细!$C$4:$C$2004,$B35,周转筐出入库明细!$D$4:$D$2004,基础资料!$B$7,周转筐出入库明细!$B$4:$B$2004,"&gt;="&amp;$BC$1,周转筐出入库明细!$B$4:$B$2004,"&lt;="&amp;$BC$2))</f>
        <v/>
      </c>
      <c r="G35" s="25" t="str">
        <f>IF(OR($B35="",基础资料!$B$8=""),"",SUMIFS(周转筐出入库明细!$J$4:$J$2004,周转筐出入库明细!$C$4:$C$2004,$B35,周转筐出入库明细!$D$4:$D$2004,基础资料!$B$8,周转筐出入库明细!$B$4:$B$2004,"&gt;="&amp;$BC$1,周转筐出入库明细!$B$4:$B$2004,"&lt;="&amp;$BC$2))</f>
        <v/>
      </c>
      <c r="H35" s="25" t="str">
        <f t="shared" si="1"/>
        <v/>
      </c>
      <c r="I35" s="67" t="str">
        <f>IF(OR($B35="",基础资料!$B$4=""),"",-SUMIFS(周转筐出入库明细!$I$4:$I$2004,周转筐出入库明细!$C$4:$C$2004,$B35,周转筐出入库明细!$D$4:$D$2004,基础资料!$B$4,周转筐出入库明细!$B$4:$B$2004,"&gt;="&amp;$BC$1,周转筐出入库明细!$B$4:$B$2004,"&lt;="&amp;$BC$2))</f>
        <v/>
      </c>
      <c r="J35" s="67" t="str">
        <f>IF(OR($B35="",基础资料!$B$5=""),"",-SUMIFS(周转筐出入库明细!$I$4:$I$2004,周转筐出入库明细!$C$4:$C$2004,$B35,周转筐出入库明细!$D$4:$D$2004,基础资料!$B$5,周转筐出入库明细!$B$4:$B$2004,"&gt;="&amp;$BC$1,周转筐出入库明细!$B$4:$B$2004,"&lt;="&amp;$BC$2))</f>
        <v/>
      </c>
      <c r="K35" s="67" t="str">
        <f>IF(OR($B35="",基础资料!$B$6=""),"",-SUMIFS(周转筐出入库明细!$I$4:$I$2004,周转筐出入库明细!$C$4:$C$2004,$B35,周转筐出入库明细!$D$4:$D$2004,基础资料!$B$6,周转筐出入库明细!$B$4:$B$2004,"&gt;="&amp;$BC$1,周转筐出入库明细!$B$4:$B$2004,"&lt;="&amp;$BC$2))</f>
        <v/>
      </c>
      <c r="L35" s="67" t="str">
        <f>IF(OR($B35="",基础资料!$B$7=""),"",-SUMIFS(周转筐出入库明细!$I$4:$I$2004,周转筐出入库明细!$C$4:$C$2004,$B35,周转筐出入库明细!$D$4:$D$2004,基础资料!$B$7,周转筐出入库明细!$B$4:$B$2004,"&gt;="&amp;$BC$1,周转筐出入库明细!$B$4:$B$2004,"&lt;="&amp;$BC$2))</f>
        <v/>
      </c>
      <c r="M35" s="67" t="str">
        <f>IF(OR($B35="",基础资料!$B$8=""),"",-SUMIFS(周转筐出入库明细!$I$4:$I$2004,周转筐出入库明细!$C$4:$C$2004,$B35,周转筐出入库明细!$D$4:$D$2004,基础资料!$B$8,周转筐出入库明细!$B$4:$B$2004,"&gt;="&amp;$BC$1,周转筐出入库明细!$B$4:$B$2004,"&lt;="&amp;$BC$2))</f>
        <v/>
      </c>
      <c r="N35" s="67" t="str">
        <f t="shared" si="2"/>
        <v/>
      </c>
      <c r="O35" s="25" t="str">
        <f>IF(OR($B35="",基础资料!$B$4=""),"",SUMIFS(周转筐出入库明细!$H$4:$H$2004,周转筐出入库明细!$C$4:$C$2004,$B35,周转筐出入库明细!$D$4:$D$2004,基础资料!$B$4,周转筐出入库明细!$F$4:$F$2004,"采购入库",周转筐出入库明细!$B$4:$B$2004,"&gt;="&amp;$BC$1,周转筐出入库明细!$B$4:$B$2004,"&lt;="&amp;$BC$2))</f>
        <v/>
      </c>
      <c r="P35" s="25" t="str">
        <f>IF(OR($B35="",基础资料!$B$5=""),"",SUMIFS(周转筐出入库明细!$H$4:$H$2004,周转筐出入库明细!$C$4:$C$2004,$B35,周转筐出入库明细!$D$4:$D$2004,基础资料!$B$5,周转筐出入库明细!$F$4:$F$2004,"采购入库",周转筐出入库明细!$B$4:$B$2004,"&gt;="&amp;$BC$1,周转筐出入库明细!$B$4:$B$2004,"&lt;="&amp;$BC$2))</f>
        <v/>
      </c>
      <c r="Q35" s="25" t="str">
        <f>IF(OR($B35="",基础资料!$B$6=""),"",SUMIFS(周转筐出入库明细!$H$4:$H$2004,周转筐出入库明细!$C$4:$C$2004,$B35,周转筐出入库明细!$D$4:$D$2004,基础资料!$B$6,周转筐出入库明细!$F$4:$F$2004,"采购入库",周转筐出入库明细!$B$4:$B$2004,"&gt;="&amp;$BC$1,周转筐出入库明细!$B$4:$B$2004,"&lt;="&amp;$BC$2))</f>
        <v/>
      </c>
      <c r="R35" s="25" t="str">
        <f>IF(OR($B35="",基础资料!$B$7=""),"",SUMIFS(周转筐出入库明细!$H$4:$H$2004,周转筐出入库明细!$C$4:$C$2004,$B35,周转筐出入库明细!$D$4:$D$2004,基础资料!$B$7,周转筐出入库明细!$F$4:$F$2004,"采购入库",周转筐出入库明细!$B$4:$B$2004,"&gt;="&amp;$BC$1,周转筐出入库明细!$B$4:$B$2004,"&lt;="&amp;$BC$2))</f>
        <v/>
      </c>
      <c r="S35" s="25" t="str">
        <f>IF(OR($B35="",基础资料!$B$8=""),"",SUMIFS(周转筐出入库明细!$H$4:$H$2004,周转筐出入库明细!$C$4:$C$2004,$B35,周转筐出入库明细!$D$4:$D$2004,基础资料!$B$8,周转筐出入库明细!$F$4:$F$2004,"采购入库",周转筐出入库明细!$B$4:$B$2004,"&gt;="&amp;$BC$1,周转筐出入库明细!$B$4:$B$2004,"&lt;="&amp;$BC$2))</f>
        <v/>
      </c>
      <c r="T35" s="25" t="str">
        <f t="shared" si="3"/>
        <v/>
      </c>
      <c r="U35" s="25" t="str">
        <f>IF(OR($B35="",基础资料!$B$4=""),"",SUMIFS(周转筐出入库明细!$K$4:$K$2004,周转筐出入库明细!$C$4:$C$2004,$B35,周转筐出入库明细!$D$4:$D$2004,基础资料!$B$4,周转筐出入库明细!$B$4:$B$2004,"&gt;="&amp;$BC$1,周转筐出入库明细!$B$4:$B$2004,"&lt;="&amp;$BC$2))</f>
        <v/>
      </c>
      <c r="V35" s="25" t="str">
        <f>IF(OR($B35="",基础资料!$B$5=""),"",SUMIFS(周转筐出入库明细!$K$4:$K$2004,周转筐出入库明细!$C$4:$C$2004,$B35,周转筐出入库明细!$D$4:$D$2004,基础资料!$B$5,周转筐出入库明细!$B$4:$B$2004,"&gt;="&amp;$BC$1,周转筐出入库明细!$B$4:$B$2004,"&lt;="&amp;$BC$2))</f>
        <v/>
      </c>
      <c r="W35" s="25" t="str">
        <f>IF(OR($B35="",基础资料!$B$6=""),"",SUMIFS(周转筐出入库明细!$K$4:$K$2004,周转筐出入库明细!$C$4:$C$2004,$B35,周转筐出入库明细!$D$4:$D$2004,基础资料!$B$6,周转筐出入库明细!$B$4:$B$2004,"&gt;="&amp;$BC$1,周转筐出入库明细!$B$4:$B$2004,"&lt;="&amp;$BC$2))</f>
        <v/>
      </c>
      <c r="X35" s="25" t="str">
        <f>IF(OR($B35="",基础资料!$B$7=""),"",SUMIFS(周转筐出入库明细!$K$4:$K$2004,周转筐出入库明细!$C$4:$C$2004,$B35,周转筐出入库明细!$D$4:$D$2004,基础资料!$B$7,周转筐出入库明细!$B$4:$B$2004,"&gt;="&amp;$BC$1,周转筐出入库明细!$B$4:$B$2004,"&lt;="&amp;$BC$2))</f>
        <v/>
      </c>
      <c r="Y35" s="25" t="str">
        <f>IF(OR($B35="",基础资料!$B$8=""),"",SUMIFS(周转筐出入库明细!$K$4:$K$2004,周转筐出入库明细!$C$4:$C$2004,$B35,周转筐出入库明细!$D$4:$D$2004,基础资料!$B$8,周转筐出入库明细!$B$4:$B$2004,"&gt;="&amp;$BC$1,周转筐出入库明细!$B$4:$B$2004,"&lt;="&amp;$BC$2))</f>
        <v/>
      </c>
      <c r="Z35" s="25" t="str">
        <f t="shared" si="4"/>
        <v/>
      </c>
      <c r="AA35" s="67" t="str">
        <f>IF(OR($B35="",基础资料!$B$4=""),"",-SUMIFS(对接源_01水果筐数!$D$5:$D$304,对接源_01水果筐数!$B$5:$B$304,$B35,对接源_01水果筐数!$C$5:$C$304,基础资料!$B$4))</f>
        <v/>
      </c>
      <c r="AB35" s="67" t="str">
        <f>IF(OR($B35="",基础资料!$B$5=""),"",-SUMIFS(对接源_01水果筐数!$D$5:$D$304,对接源_01水果筐数!$B$5:$B$304,$B35,对接源_01水果筐数!$C$5:$C$304,基础资料!$B$5))</f>
        <v/>
      </c>
      <c r="AC35" s="67" t="str">
        <f>IF(OR($B35="",基础资料!$B$6=""),"",-SUMIFS(对接源_01水果筐数!$D$5:$D$304,对接源_01水果筐数!$B$5:$B$304,$B35,对接源_01水果筐数!$C$5:$C$304,基础资料!$B$6))</f>
        <v/>
      </c>
      <c r="AD35" s="67" t="str">
        <f>IF(OR($B35="",基础资料!$B$7=""),"",-SUMIFS(对接源_01水果筐数!$D$5:$D$304,对接源_01水果筐数!$B$5:$B$304,$B35,对接源_01水果筐数!$C$5:$C$304,基础资料!$B$7))</f>
        <v/>
      </c>
      <c r="AE35" s="67" t="str">
        <f>IF(OR($B35="",基础资料!$B$8=""),"",-SUMIFS(对接源_01水果筐数!$D$5:$D$304,对接源_01水果筐数!$B$5:$B$304,$B35,对接源_01水果筐数!$C$5:$C$304,基础资料!$B$8))</f>
        <v/>
      </c>
      <c r="AF35" s="25" t="str">
        <f>IF(OR($B35="",基础资料!$B$4=""),"",SUMIFS(对接源_01水果筐数!$E$5:$E$304,对接源_01水果筐数!$B$5:$B$304,$B35,对接源_01水果筐数!$C$5:$C$304,基础资料!$B$4))</f>
        <v/>
      </c>
      <c r="AG35" s="25" t="str">
        <f>IF(OR($B35="",基础资料!$B$5=""),"",SUMIFS(对接源_01水果筐数!$E$5:$E$304,对接源_01水果筐数!$B$5:$B$304,$B35,对接源_01水果筐数!$C$5:$C$304,基础资料!$B$5))</f>
        <v/>
      </c>
      <c r="AH35" s="25" t="str">
        <f>IF(OR($B35="",基础资料!$B$6=""),"",SUMIFS(对接源_01水果筐数!$E$5:$E$304,对接源_01水果筐数!$B$5:$B$304,$B35,对接源_01水果筐数!$C$5:$C$304,基础资料!$B$6))</f>
        <v/>
      </c>
      <c r="AI35" s="25" t="str">
        <f>IF(OR($B35="",基础资料!$B$7=""),"",SUMIFS(对接源_01水果筐数!$E$5:$E$304,对接源_01水果筐数!$B$5:$B$304,$B35,对接源_01水果筐数!$C$5:$C$304,基础资料!$B$7))</f>
        <v/>
      </c>
      <c r="AJ35" s="25" t="str">
        <f>IF(OR($B35="",基础资料!$B$8=""),"",SUMIFS(对接源_01水果筐数!$E$5:$E$304,对接源_01水果筐数!$B$5:$B$304,$B35,对接源_01水果筐数!$C$5:$C$304,基础资料!$B$8))</f>
        <v/>
      </c>
      <c r="AK35" s="25" t="str">
        <f>IF(OR($B35="",基础资料!$B$4=""),"",SUMIFS(对接源_01水果筐数!$F$5:$F$304,对接源_01水果筐数!$B$5:$B$304,$B35,对接源_01水果筐数!$C$5:$C$304,基础资料!$B$4))</f>
        <v/>
      </c>
      <c r="AL35" s="25" t="str">
        <f>IF(OR($B35="",基础资料!$B$5=""),"",SUMIFS(对接源_01水果筐数!$F$5:$F$304,对接源_01水果筐数!$B$5:$B$304,$B35,对接源_01水果筐数!$C$5:$C$304,基础资料!$B$5))</f>
        <v/>
      </c>
      <c r="AM35" s="25" t="str">
        <f>IF(OR($B35="",基础资料!$B$6=""),"",SUMIFS(对接源_01水果筐数!$F$5:$F$304,对接源_01水果筐数!$B$5:$B$304,$B35,对接源_01水果筐数!$C$5:$C$304,基础资料!$B$6))</f>
        <v/>
      </c>
      <c r="AN35" s="25" t="str">
        <f>IF(OR($B35="",基础资料!$B$7=""),"",SUMIFS(对接源_01水果筐数!$F$5:$F$304,对接源_01水果筐数!$B$5:$B$304,$B35,对接源_01水果筐数!$C$5:$C$304,基础资料!$B$7))</f>
        <v/>
      </c>
      <c r="AO35" s="25" t="str">
        <f>IF(OR($B35="",基础资料!$B$8=""),"",SUMIFS(对接源_01水果筐数!$F$5:$F$304,对接源_01水果筐数!$B$5:$B$304,$B35,对接源_01水果筐数!$C$5:$C$304,基础资料!$B$8))</f>
        <v/>
      </c>
      <c r="AP35" s="25" t="str">
        <f t="shared" si="5"/>
        <v/>
      </c>
      <c r="AQ35" s="25" t="str">
        <f t="shared" si="11"/>
        <v/>
      </c>
      <c r="AR35" s="25" t="str">
        <f t="shared" si="6"/>
        <v/>
      </c>
      <c r="AS35" s="25" t="str">
        <f t="shared" si="7"/>
        <v/>
      </c>
      <c r="AT35" s="25" t="str">
        <f t="shared" si="8"/>
        <v/>
      </c>
      <c r="AU35" s="25" t="str">
        <f t="shared" si="9"/>
        <v/>
      </c>
      <c r="AV35" s="24" t="str">
        <f t="shared" si="10"/>
        <v/>
      </c>
      <c r="AW35" s="72"/>
    </row>
    <row r="36" spans="1:49">
      <c r="A36" s="22" t="str">
        <f t="shared" si="0"/>
        <v/>
      </c>
      <c r="B36" s="24" t="str">
        <f>IFERROR(INDEX(_自动清单!$CC$4:$CC$253,ROW()-3),"")</f>
        <v/>
      </c>
      <c r="C36" s="25" t="str">
        <f>IF(OR($B36="",基础资料!$B$4=""),"",SUMIFS(周转筐出入库明细!$J$4:$J$2004,周转筐出入库明细!$C$4:$C$2004,$B36,周转筐出入库明细!$D$4:$D$2004,基础资料!$B$4,周转筐出入库明细!$B$4:$B$2004,"&gt;="&amp;$BC$1,周转筐出入库明细!$B$4:$B$2004,"&lt;="&amp;$BC$2))</f>
        <v/>
      </c>
      <c r="D36" s="25" t="str">
        <f>IF(OR($B36="",基础资料!$B$5=""),"",SUMIFS(周转筐出入库明细!$J$4:$J$2004,周转筐出入库明细!$C$4:$C$2004,$B36,周转筐出入库明细!$D$4:$D$2004,基础资料!$B$5,周转筐出入库明细!$B$4:$B$2004,"&gt;="&amp;$BC$1,周转筐出入库明细!$B$4:$B$2004,"&lt;="&amp;$BC$2))</f>
        <v/>
      </c>
      <c r="E36" s="25" t="str">
        <f>IF(OR($B36="",基础资料!$B$6=""),"",SUMIFS(周转筐出入库明细!$J$4:$J$2004,周转筐出入库明细!$C$4:$C$2004,$B36,周转筐出入库明细!$D$4:$D$2004,基础资料!$B$6,周转筐出入库明细!$B$4:$B$2004,"&gt;="&amp;$BC$1,周转筐出入库明细!$B$4:$B$2004,"&lt;="&amp;$BC$2))</f>
        <v/>
      </c>
      <c r="F36" s="25" t="str">
        <f>IF(OR($B36="",基础资料!$B$7=""),"",SUMIFS(周转筐出入库明细!$J$4:$J$2004,周转筐出入库明细!$C$4:$C$2004,$B36,周转筐出入库明细!$D$4:$D$2004,基础资料!$B$7,周转筐出入库明细!$B$4:$B$2004,"&gt;="&amp;$BC$1,周转筐出入库明细!$B$4:$B$2004,"&lt;="&amp;$BC$2))</f>
        <v/>
      </c>
      <c r="G36" s="25" t="str">
        <f>IF(OR($B36="",基础资料!$B$8=""),"",SUMIFS(周转筐出入库明细!$J$4:$J$2004,周转筐出入库明细!$C$4:$C$2004,$B36,周转筐出入库明细!$D$4:$D$2004,基础资料!$B$8,周转筐出入库明细!$B$4:$B$2004,"&gt;="&amp;$BC$1,周转筐出入库明细!$B$4:$B$2004,"&lt;="&amp;$BC$2))</f>
        <v/>
      </c>
      <c r="H36" s="25" t="str">
        <f t="shared" si="1"/>
        <v/>
      </c>
      <c r="I36" s="67" t="str">
        <f>IF(OR($B36="",基础资料!$B$4=""),"",-SUMIFS(周转筐出入库明细!$I$4:$I$2004,周转筐出入库明细!$C$4:$C$2004,$B36,周转筐出入库明细!$D$4:$D$2004,基础资料!$B$4,周转筐出入库明细!$B$4:$B$2004,"&gt;="&amp;$BC$1,周转筐出入库明细!$B$4:$B$2004,"&lt;="&amp;$BC$2))</f>
        <v/>
      </c>
      <c r="J36" s="67" t="str">
        <f>IF(OR($B36="",基础资料!$B$5=""),"",-SUMIFS(周转筐出入库明细!$I$4:$I$2004,周转筐出入库明细!$C$4:$C$2004,$B36,周转筐出入库明细!$D$4:$D$2004,基础资料!$B$5,周转筐出入库明细!$B$4:$B$2004,"&gt;="&amp;$BC$1,周转筐出入库明细!$B$4:$B$2004,"&lt;="&amp;$BC$2))</f>
        <v/>
      </c>
      <c r="K36" s="67" t="str">
        <f>IF(OR($B36="",基础资料!$B$6=""),"",-SUMIFS(周转筐出入库明细!$I$4:$I$2004,周转筐出入库明细!$C$4:$C$2004,$B36,周转筐出入库明细!$D$4:$D$2004,基础资料!$B$6,周转筐出入库明细!$B$4:$B$2004,"&gt;="&amp;$BC$1,周转筐出入库明细!$B$4:$B$2004,"&lt;="&amp;$BC$2))</f>
        <v/>
      </c>
      <c r="L36" s="67" t="str">
        <f>IF(OR($B36="",基础资料!$B$7=""),"",-SUMIFS(周转筐出入库明细!$I$4:$I$2004,周转筐出入库明细!$C$4:$C$2004,$B36,周转筐出入库明细!$D$4:$D$2004,基础资料!$B$7,周转筐出入库明细!$B$4:$B$2004,"&gt;="&amp;$BC$1,周转筐出入库明细!$B$4:$B$2004,"&lt;="&amp;$BC$2))</f>
        <v/>
      </c>
      <c r="M36" s="67" t="str">
        <f>IF(OR($B36="",基础资料!$B$8=""),"",-SUMIFS(周转筐出入库明细!$I$4:$I$2004,周转筐出入库明细!$C$4:$C$2004,$B36,周转筐出入库明细!$D$4:$D$2004,基础资料!$B$8,周转筐出入库明细!$B$4:$B$2004,"&gt;="&amp;$BC$1,周转筐出入库明细!$B$4:$B$2004,"&lt;="&amp;$BC$2))</f>
        <v/>
      </c>
      <c r="N36" s="67" t="str">
        <f t="shared" si="2"/>
        <v/>
      </c>
      <c r="O36" s="25" t="str">
        <f>IF(OR($B36="",基础资料!$B$4=""),"",SUMIFS(周转筐出入库明细!$H$4:$H$2004,周转筐出入库明细!$C$4:$C$2004,$B36,周转筐出入库明细!$D$4:$D$2004,基础资料!$B$4,周转筐出入库明细!$F$4:$F$2004,"采购入库",周转筐出入库明细!$B$4:$B$2004,"&gt;="&amp;$BC$1,周转筐出入库明细!$B$4:$B$2004,"&lt;="&amp;$BC$2))</f>
        <v/>
      </c>
      <c r="P36" s="25" t="str">
        <f>IF(OR($B36="",基础资料!$B$5=""),"",SUMIFS(周转筐出入库明细!$H$4:$H$2004,周转筐出入库明细!$C$4:$C$2004,$B36,周转筐出入库明细!$D$4:$D$2004,基础资料!$B$5,周转筐出入库明细!$F$4:$F$2004,"采购入库",周转筐出入库明细!$B$4:$B$2004,"&gt;="&amp;$BC$1,周转筐出入库明细!$B$4:$B$2004,"&lt;="&amp;$BC$2))</f>
        <v/>
      </c>
      <c r="Q36" s="25" t="str">
        <f>IF(OR($B36="",基础资料!$B$6=""),"",SUMIFS(周转筐出入库明细!$H$4:$H$2004,周转筐出入库明细!$C$4:$C$2004,$B36,周转筐出入库明细!$D$4:$D$2004,基础资料!$B$6,周转筐出入库明细!$F$4:$F$2004,"采购入库",周转筐出入库明细!$B$4:$B$2004,"&gt;="&amp;$BC$1,周转筐出入库明细!$B$4:$B$2004,"&lt;="&amp;$BC$2))</f>
        <v/>
      </c>
      <c r="R36" s="25" t="str">
        <f>IF(OR($B36="",基础资料!$B$7=""),"",SUMIFS(周转筐出入库明细!$H$4:$H$2004,周转筐出入库明细!$C$4:$C$2004,$B36,周转筐出入库明细!$D$4:$D$2004,基础资料!$B$7,周转筐出入库明细!$F$4:$F$2004,"采购入库",周转筐出入库明细!$B$4:$B$2004,"&gt;="&amp;$BC$1,周转筐出入库明细!$B$4:$B$2004,"&lt;="&amp;$BC$2))</f>
        <v/>
      </c>
      <c r="S36" s="25" t="str">
        <f>IF(OR($B36="",基础资料!$B$8=""),"",SUMIFS(周转筐出入库明细!$H$4:$H$2004,周转筐出入库明细!$C$4:$C$2004,$B36,周转筐出入库明细!$D$4:$D$2004,基础资料!$B$8,周转筐出入库明细!$F$4:$F$2004,"采购入库",周转筐出入库明细!$B$4:$B$2004,"&gt;="&amp;$BC$1,周转筐出入库明细!$B$4:$B$2004,"&lt;="&amp;$BC$2))</f>
        <v/>
      </c>
      <c r="T36" s="25" t="str">
        <f t="shared" si="3"/>
        <v/>
      </c>
      <c r="U36" s="25" t="str">
        <f>IF(OR($B36="",基础资料!$B$4=""),"",SUMIFS(周转筐出入库明细!$K$4:$K$2004,周转筐出入库明细!$C$4:$C$2004,$B36,周转筐出入库明细!$D$4:$D$2004,基础资料!$B$4,周转筐出入库明细!$B$4:$B$2004,"&gt;="&amp;$BC$1,周转筐出入库明细!$B$4:$B$2004,"&lt;="&amp;$BC$2))</f>
        <v/>
      </c>
      <c r="V36" s="25" t="str">
        <f>IF(OR($B36="",基础资料!$B$5=""),"",SUMIFS(周转筐出入库明细!$K$4:$K$2004,周转筐出入库明细!$C$4:$C$2004,$B36,周转筐出入库明细!$D$4:$D$2004,基础资料!$B$5,周转筐出入库明细!$B$4:$B$2004,"&gt;="&amp;$BC$1,周转筐出入库明细!$B$4:$B$2004,"&lt;="&amp;$BC$2))</f>
        <v/>
      </c>
      <c r="W36" s="25" t="str">
        <f>IF(OR($B36="",基础资料!$B$6=""),"",SUMIFS(周转筐出入库明细!$K$4:$K$2004,周转筐出入库明细!$C$4:$C$2004,$B36,周转筐出入库明细!$D$4:$D$2004,基础资料!$B$6,周转筐出入库明细!$B$4:$B$2004,"&gt;="&amp;$BC$1,周转筐出入库明细!$B$4:$B$2004,"&lt;="&amp;$BC$2))</f>
        <v/>
      </c>
      <c r="X36" s="25" t="str">
        <f>IF(OR($B36="",基础资料!$B$7=""),"",SUMIFS(周转筐出入库明细!$K$4:$K$2004,周转筐出入库明细!$C$4:$C$2004,$B36,周转筐出入库明细!$D$4:$D$2004,基础资料!$B$7,周转筐出入库明细!$B$4:$B$2004,"&gt;="&amp;$BC$1,周转筐出入库明细!$B$4:$B$2004,"&lt;="&amp;$BC$2))</f>
        <v/>
      </c>
      <c r="Y36" s="25" t="str">
        <f>IF(OR($B36="",基础资料!$B$8=""),"",SUMIFS(周转筐出入库明细!$K$4:$K$2004,周转筐出入库明细!$C$4:$C$2004,$B36,周转筐出入库明细!$D$4:$D$2004,基础资料!$B$8,周转筐出入库明细!$B$4:$B$2004,"&gt;="&amp;$BC$1,周转筐出入库明细!$B$4:$B$2004,"&lt;="&amp;$BC$2))</f>
        <v/>
      </c>
      <c r="Z36" s="25" t="str">
        <f t="shared" si="4"/>
        <v/>
      </c>
      <c r="AA36" s="67" t="str">
        <f>IF(OR($B36="",基础资料!$B$4=""),"",-SUMIFS(对接源_01水果筐数!$D$5:$D$304,对接源_01水果筐数!$B$5:$B$304,$B36,对接源_01水果筐数!$C$5:$C$304,基础资料!$B$4))</f>
        <v/>
      </c>
      <c r="AB36" s="67" t="str">
        <f>IF(OR($B36="",基础资料!$B$5=""),"",-SUMIFS(对接源_01水果筐数!$D$5:$D$304,对接源_01水果筐数!$B$5:$B$304,$B36,对接源_01水果筐数!$C$5:$C$304,基础资料!$B$5))</f>
        <v/>
      </c>
      <c r="AC36" s="67" t="str">
        <f>IF(OR($B36="",基础资料!$B$6=""),"",-SUMIFS(对接源_01水果筐数!$D$5:$D$304,对接源_01水果筐数!$B$5:$B$304,$B36,对接源_01水果筐数!$C$5:$C$304,基础资料!$B$6))</f>
        <v/>
      </c>
      <c r="AD36" s="67" t="str">
        <f>IF(OR($B36="",基础资料!$B$7=""),"",-SUMIFS(对接源_01水果筐数!$D$5:$D$304,对接源_01水果筐数!$B$5:$B$304,$B36,对接源_01水果筐数!$C$5:$C$304,基础资料!$B$7))</f>
        <v/>
      </c>
      <c r="AE36" s="67" t="str">
        <f>IF(OR($B36="",基础资料!$B$8=""),"",-SUMIFS(对接源_01水果筐数!$D$5:$D$304,对接源_01水果筐数!$B$5:$B$304,$B36,对接源_01水果筐数!$C$5:$C$304,基础资料!$B$8))</f>
        <v/>
      </c>
      <c r="AF36" s="25" t="str">
        <f>IF(OR($B36="",基础资料!$B$4=""),"",SUMIFS(对接源_01水果筐数!$E$5:$E$304,对接源_01水果筐数!$B$5:$B$304,$B36,对接源_01水果筐数!$C$5:$C$304,基础资料!$B$4))</f>
        <v/>
      </c>
      <c r="AG36" s="25" t="str">
        <f>IF(OR($B36="",基础资料!$B$5=""),"",SUMIFS(对接源_01水果筐数!$E$5:$E$304,对接源_01水果筐数!$B$5:$B$304,$B36,对接源_01水果筐数!$C$5:$C$304,基础资料!$B$5))</f>
        <v/>
      </c>
      <c r="AH36" s="25" t="str">
        <f>IF(OR($B36="",基础资料!$B$6=""),"",SUMIFS(对接源_01水果筐数!$E$5:$E$304,对接源_01水果筐数!$B$5:$B$304,$B36,对接源_01水果筐数!$C$5:$C$304,基础资料!$B$6))</f>
        <v/>
      </c>
      <c r="AI36" s="25" t="str">
        <f>IF(OR($B36="",基础资料!$B$7=""),"",SUMIFS(对接源_01水果筐数!$E$5:$E$304,对接源_01水果筐数!$B$5:$B$304,$B36,对接源_01水果筐数!$C$5:$C$304,基础资料!$B$7))</f>
        <v/>
      </c>
      <c r="AJ36" s="25" t="str">
        <f>IF(OR($B36="",基础资料!$B$8=""),"",SUMIFS(对接源_01水果筐数!$E$5:$E$304,对接源_01水果筐数!$B$5:$B$304,$B36,对接源_01水果筐数!$C$5:$C$304,基础资料!$B$8))</f>
        <v/>
      </c>
      <c r="AK36" s="25" t="str">
        <f>IF(OR($B36="",基础资料!$B$4=""),"",SUMIFS(对接源_01水果筐数!$F$5:$F$304,对接源_01水果筐数!$B$5:$B$304,$B36,对接源_01水果筐数!$C$5:$C$304,基础资料!$B$4))</f>
        <v/>
      </c>
      <c r="AL36" s="25" t="str">
        <f>IF(OR($B36="",基础资料!$B$5=""),"",SUMIFS(对接源_01水果筐数!$F$5:$F$304,对接源_01水果筐数!$B$5:$B$304,$B36,对接源_01水果筐数!$C$5:$C$304,基础资料!$B$5))</f>
        <v/>
      </c>
      <c r="AM36" s="25" t="str">
        <f>IF(OR($B36="",基础资料!$B$6=""),"",SUMIFS(对接源_01水果筐数!$F$5:$F$304,对接源_01水果筐数!$B$5:$B$304,$B36,对接源_01水果筐数!$C$5:$C$304,基础资料!$B$6))</f>
        <v/>
      </c>
      <c r="AN36" s="25" t="str">
        <f>IF(OR($B36="",基础资料!$B$7=""),"",SUMIFS(对接源_01水果筐数!$F$5:$F$304,对接源_01水果筐数!$B$5:$B$304,$B36,对接源_01水果筐数!$C$5:$C$304,基础资料!$B$7))</f>
        <v/>
      </c>
      <c r="AO36" s="25" t="str">
        <f>IF(OR($B36="",基础资料!$B$8=""),"",SUMIFS(对接源_01水果筐数!$F$5:$F$304,对接源_01水果筐数!$B$5:$B$304,$B36,对接源_01水果筐数!$C$5:$C$304,基础资料!$B$8))</f>
        <v/>
      </c>
      <c r="AP36" s="25" t="str">
        <f t="shared" si="5"/>
        <v/>
      </c>
      <c r="AQ36" s="25" t="str">
        <f t="shared" si="11"/>
        <v/>
      </c>
      <c r="AR36" s="25" t="str">
        <f t="shared" si="6"/>
        <v/>
      </c>
      <c r="AS36" s="25" t="str">
        <f t="shared" si="7"/>
        <v/>
      </c>
      <c r="AT36" s="25" t="str">
        <f t="shared" si="8"/>
        <v/>
      </c>
      <c r="AU36" s="25" t="str">
        <f t="shared" si="9"/>
        <v/>
      </c>
      <c r="AV36" s="24" t="str">
        <f t="shared" si="10"/>
        <v/>
      </c>
      <c r="AW36" s="72"/>
    </row>
    <row r="37" spans="1:49">
      <c r="A37" s="22" t="str">
        <f t="shared" si="0"/>
        <v/>
      </c>
      <c r="B37" s="24" t="str">
        <f>IFERROR(INDEX(_自动清单!$CC$4:$CC$253,ROW()-3),"")</f>
        <v/>
      </c>
      <c r="C37" s="25" t="str">
        <f>IF(OR($B37="",基础资料!$B$4=""),"",SUMIFS(周转筐出入库明细!$J$4:$J$2004,周转筐出入库明细!$C$4:$C$2004,$B37,周转筐出入库明细!$D$4:$D$2004,基础资料!$B$4,周转筐出入库明细!$B$4:$B$2004,"&gt;="&amp;$BC$1,周转筐出入库明细!$B$4:$B$2004,"&lt;="&amp;$BC$2))</f>
        <v/>
      </c>
      <c r="D37" s="25" t="str">
        <f>IF(OR($B37="",基础资料!$B$5=""),"",SUMIFS(周转筐出入库明细!$J$4:$J$2004,周转筐出入库明细!$C$4:$C$2004,$B37,周转筐出入库明细!$D$4:$D$2004,基础资料!$B$5,周转筐出入库明细!$B$4:$B$2004,"&gt;="&amp;$BC$1,周转筐出入库明细!$B$4:$B$2004,"&lt;="&amp;$BC$2))</f>
        <v/>
      </c>
      <c r="E37" s="25" t="str">
        <f>IF(OR($B37="",基础资料!$B$6=""),"",SUMIFS(周转筐出入库明细!$J$4:$J$2004,周转筐出入库明细!$C$4:$C$2004,$B37,周转筐出入库明细!$D$4:$D$2004,基础资料!$B$6,周转筐出入库明细!$B$4:$B$2004,"&gt;="&amp;$BC$1,周转筐出入库明细!$B$4:$B$2004,"&lt;="&amp;$BC$2))</f>
        <v/>
      </c>
      <c r="F37" s="25" t="str">
        <f>IF(OR($B37="",基础资料!$B$7=""),"",SUMIFS(周转筐出入库明细!$J$4:$J$2004,周转筐出入库明细!$C$4:$C$2004,$B37,周转筐出入库明细!$D$4:$D$2004,基础资料!$B$7,周转筐出入库明细!$B$4:$B$2004,"&gt;="&amp;$BC$1,周转筐出入库明细!$B$4:$B$2004,"&lt;="&amp;$BC$2))</f>
        <v/>
      </c>
      <c r="G37" s="25" t="str">
        <f>IF(OR($B37="",基础资料!$B$8=""),"",SUMIFS(周转筐出入库明细!$J$4:$J$2004,周转筐出入库明细!$C$4:$C$2004,$B37,周转筐出入库明细!$D$4:$D$2004,基础资料!$B$8,周转筐出入库明细!$B$4:$B$2004,"&gt;="&amp;$BC$1,周转筐出入库明细!$B$4:$B$2004,"&lt;="&amp;$BC$2))</f>
        <v/>
      </c>
      <c r="H37" s="25" t="str">
        <f t="shared" si="1"/>
        <v/>
      </c>
      <c r="I37" s="67" t="str">
        <f>IF(OR($B37="",基础资料!$B$4=""),"",-SUMIFS(周转筐出入库明细!$I$4:$I$2004,周转筐出入库明细!$C$4:$C$2004,$B37,周转筐出入库明细!$D$4:$D$2004,基础资料!$B$4,周转筐出入库明细!$B$4:$B$2004,"&gt;="&amp;$BC$1,周转筐出入库明细!$B$4:$B$2004,"&lt;="&amp;$BC$2))</f>
        <v/>
      </c>
      <c r="J37" s="67" t="str">
        <f>IF(OR($B37="",基础资料!$B$5=""),"",-SUMIFS(周转筐出入库明细!$I$4:$I$2004,周转筐出入库明细!$C$4:$C$2004,$B37,周转筐出入库明细!$D$4:$D$2004,基础资料!$B$5,周转筐出入库明细!$B$4:$B$2004,"&gt;="&amp;$BC$1,周转筐出入库明细!$B$4:$B$2004,"&lt;="&amp;$BC$2))</f>
        <v/>
      </c>
      <c r="K37" s="67" t="str">
        <f>IF(OR($B37="",基础资料!$B$6=""),"",-SUMIFS(周转筐出入库明细!$I$4:$I$2004,周转筐出入库明细!$C$4:$C$2004,$B37,周转筐出入库明细!$D$4:$D$2004,基础资料!$B$6,周转筐出入库明细!$B$4:$B$2004,"&gt;="&amp;$BC$1,周转筐出入库明细!$B$4:$B$2004,"&lt;="&amp;$BC$2))</f>
        <v/>
      </c>
      <c r="L37" s="67" t="str">
        <f>IF(OR($B37="",基础资料!$B$7=""),"",-SUMIFS(周转筐出入库明细!$I$4:$I$2004,周转筐出入库明细!$C$4:$C$2004,$B37,周转筐出入库明细!$D$4:$D$2004,基础资料!$B$7,周转筐出入库明细!$B$4:$B$2004,"&gt;="&amp;$BC$1,周转筐出入库明细!$B$4:$B$2004,"&lt;="&amp;$BC$2))</f>
        <v/>
      </c>
      <c r="M37" s="67" t="str">
        <f>IF(OR($B37="",基础资料!$B$8=""),"",-SUMIFS(周转筐出入库明细!$I$4:$I$2004,周转筐出入库明细!$C$4:$C$2004,$B37,周转筐出入库明细!$D$4:$D$2004,基础资料!$B$8,周转筐出入库明细!$B$4:$B$2004,"&gt;="&amp;$BC$1,周转筐出入库明细!$B$4:$B$2004,"&lt;="&amp;$BC$2))</f>
        <v/>
      </c>
      <c r="N37" s="67" t="str">
        <f t="shared" si="2"/>
        <v/>
      </c>
      <c r="O37" s="25" t="str">
        <f>IF(OR($B37="",基础资料!$B$4=""),"",SUMIFS(周转筐出入库明细!$H$4:$H$2004,周转筐出入库明细!$C$4:$C$2004,$B37,周转筐出入库明细!$D$4:$D$2004,基础资料!$B$4,周转筐出入库明细!$F$4:$F$2004,"采购入库",周转筐出入库明细!$B$4:$B$2004,"&gt;="&amp;$BC$1,周转筐出入库明细!$B$4:$B$2004,"&lt;="&amp;$BC$2))</f>
        <v/>
      </c>
      <c r="P37" s="25" t="str">
        <f>IF(OR($B37="",基础资料!$B$5=""),"",SUMIFS(周转筐出入库明细!$H$4:$H$2004,周转筐出入库明细!$C$4:$C$2004,$B37,周转筐出入库明细!$D$4:$D$2004,基础资料!$B$5,周转筐出入库明细!$F$4:$F$2004,"采购入库",周转筐出入库明细!$B$4:$B$2004,"&gt;="&amp;$BC$1,周转筐出入库明细!$B$4:$B$2004,"&lt;="&amp;$BC$2))</f>
        <v/>
      </c>
      <c r="Q37" s="25" t="str">
        <f>IF(OR($B37="",基础资料!$B$6=""),"",SUMIFS(周转筐出入库明细!$H$4:$H$2004,周转筐出入库明细!$C$4:$C$2004,$B37,周转筐出入库明细!$D$4:$D$2004,基础资料!$B$6,周转筐出入库明细!$F$4:$F$2004,"采购入库",周转筐出入库明细!$B$4:$B$2004,"&gt;="&amp;$BC$1,周转筐出入库明细!$B$4:$B$2004,"&lt;="&amp;$BC$2))</f>
        <v/>
      </c>
      <c r="R37" s="25" t="str">
        <f>IF(OR($B37="",基础资料!$B$7=""),"",SUMIFS(周转筐出入库明细!$H$4:$H$2004,周转筐出入库明细!$C$4:$C$2004,$B37,周转筐出入库明细!$D$4:$D$2004,基础资料!$B$7,周转筐出入库明细!$F$4:$F$2004,"采购入库",周转筐出入库明细!$B$4:$B$2004,"&gt;="&amp;$BC$1,周转筐出入库明细!$B$4:$B$2004,"&lt;="&amp;$BC$2))</f>
        <v/>
      </c>
      <c r="S37" s="25" t="str">
        <f>IF(OR($B37="",基础资料!$B$8=""),"",SUMIFS(周转筐出入库明细!$H$4:$H$2004,周转筐出入库明细!$C$4:$C$2004,$B37,周转筐出入库明细!$D$4:$D$2004,基础资料!$B$8,周转筐出入库明细!$F$4:$F$2004,"采购入库",周转筐出入库明细!$B$4:$B$2004,"&gt;="&amp;$BC$1,周转筐出入库明细!$B$4:$B$2004,"&lt;="&amp;$BC$2))</f>
        <v/>
      </c>
      <c r="T37" s="25" t="str">
        <f t="shared" si="3"/>
        <v/>
      </c>
      <c r="U37" s="25" t="str">
        <f>IF(OR($B37="",基础资料!$B$4=""),"",SUMIFS(周转筐出入库明细!$K$4:$K$2004,周转筐出入库明细!$C$4:$C$2004,$B37,周转筐出入库明细!$D$4:$D$2004,基础资料!$B$4,周转筐出入库明细!$B$4:$B$2004,"&gt;="&amp;$BC$1,周转筐出入库明细!$B$4:$B$2004,"&lt;="&amp;$BC$2))</f>
        <v/>
      </c>
      <c r="V37" s="25" t="str">
        <f>IF(OR($B37="",基础资料!$B$5=""),"",SUMIFS(周转筐出入库明细!$K$4:$K$2004,周转筐出入库明细!$C$4:$C$2004,$B37,周转筐出入库明细!$D$4:$D$2004,基础资料!$B$5,周转筐出入库明细!$B$4:$B$2004,"&gt;="&amp;$BC$1,周转筐出入库明细!$B$4:$B$2004,"&lt;="&amp;$BC$2))</f>
        <v/>
      </c>
      <c r="W37" s="25" t="str">
        <f>IF(OR($B37="",基础资料!$B$6=""),"",SUMIFS(周转筐出入库明细!$K$4:$K$2004,周转筐出入库明细!$C$4:$C$2004,$B37,周转筐出入库明细!$D$4:$D$2004,基础资料!$B$6,周转筐出入库明细!$B$4:$B$2004,"&gt;="&amp;$BC$1,周转筐出入库明细!$B$4:$B$2004,"&lt;="&amp;$BC$2))</f>
        <v/>
      </c>
      <c r="X37" s="25" t="str">
        <f>IF(OR($B37="",基础资料!$B$7=""),"",SUMIFS(周转筐出入库明细!$K$4:$K$2004,周转筐出入库明细!$C$4:$C$2004,$B37,周转筐出入库明细!$D$4:$D$2004,基础资料!$B$7,周转筐出入库明细!$B$4:$B$2004,"&gt;="&amp;$BC$1,周转筐出入库明细!$B$4:$B$2004,"&lt;="&amp;$BC$2))</f>
        <v/>
      </c>
      <c r="Y37" s="25" t="str">
        <f>IF(OR($B37="",基础资料!$B$8=""),"",SUMIFS(周转筐出入库明细!$K$4:$K$2004,周转筐出入库明细!$C$4:$C$2004,$B37,周转筐出入库明细!$D$4:$D$2004,基础资料!$B$8,周转筐出入库明细!$B$4:$B$2004,"&gt;="&amp;$BC$1,周转筐出入库明细!$B$4:$B$2004,"&lt;="&amp;$BC$2))</f>
        <v/>
      </c>
      <c r="Z37" s="25" t="str">
        <f t="shared" si="4"/>
        <v/>
      </c>
      <c r="AA37" s="67" t="str">
        <f>IF(OR($B37="",基础资料!$B$4=""),"",-SUMIFS(对接源_01水果筐数!$D$5:$D$304,对接源_01水果筐数!$B$5:$B$304,$B37,对接源_01水果筐数!$C$5:$C$304,基础资料!$B$4))</f>
        <v/>
      </c>
      <c r="AB37" s="67" t="str">
        <f>IF(OR($B37="",基础资料!$B$5=""),"",-SUMIFS(对接源_01水果筐数!$D$5:$D$304,对接源_01水果筐数!$B$5:$B$304,$B37,对接源_01水果筐数!$C$5:$C$304,基础资料!$B$5))</f>
        <v/>
      </c>
      <c r="AC37" s="67" t="str">
        <f>IF(OR($B37="",基础资料!$B$6=""),"",-SUMIFS(对接源_01水果筐数!$D$5:$D$304,对接源_01水果筐数!$B$5:$B$304,$B37,对接源_01水果筐数!$C$5:$C$304,基础资料!$B$6))</f>
        <v/>
      </c>
      <c r="AD37" s="67" t="str">
        <f>IF(OR($B37="",基础资料!$B$7=""),"",-SUMIFS(对接源_01水果筐数!$D$5:$D$304,对接源_01水果筐数!$B$5:$B$304,$B37,对接源_01水果筐数!$C$5:$C$304,基础资料!$B$7))</f>
        <v/>
      </c>
      <c r="AE37" s="67" t="str">
        <f>IF(OR($B37="",基础资料!$B$8=""),"",-SUMIFS(对接源_01水果筐数!$D$5:$D$304,对接源_01水果筐数!$B$5:$B$304,$B37,对接源_01水果筐数!$C$5:$C$304,基础资料!$B$8))</f>
        <v/>
      </c>
      <c r="AF37" s="25" t="str">
        <f>IF(OR($B37="",基础资料!$B$4=""),"",SUMIFS(对接源_01水果筐数!$E$5:$E$304,对接源_01水果筐数!$B$5:$B$304,$B37,对接源_01水果筐数!$C$5:$C$304,基础资料!$B$4))</f>
        <v/>
      </c>
      <c r="AG37" s="25" t="str">
        <f>IF(OR($B37="",基础资料!$B$5=""),"",SUMIFS(对接源_01水果筐数!$E$5:$E$304,对接源_01水果筐数!$B$5:$B$304,$B37,对接源_01水果筐数!$C$5:$C$304,基础资料!$B$5))</f>
        <v/>
      </c>
      <c r="AH37" s="25" t="str">
        <f>IF(OR($B37="",基础资料!$B$6=""),"",SUMIFS(对接源_01水果筐数!$E$5:$E$304,对接源_01水果筐数!$B$5:$B$304,$B37,对接源_01水果筐数!$C$5:$C$304,基础资料!$B$6))</f>
        <v/>
      </c>
      <c r="AI37" s="25" t="str">
        <f>IF(OR($B37="",基础资料!$B$7=""),"",SUMIFS(对接源_01水果筐数!$E$5:$E$304,对接源_01水果筐数!$B$5:$B$304,$B37,对接源_01水果筐数!$C$5:$C$304,基础资料!$B$7))</f>
        <v/>
      </c>
      <c r="AJ37" s="25" t="str">
        <f>IF(OR($B37="",基础资料!$B$8=""),"",SUMIFS(对接源_01水果筐数!$E$5:$E$304,对接源_01水果筐数!$B$5:$B$304,$B37,对接源_01水果筐数!$C$5:$C$304,基础资料!$B$8))</f>
        <v/>
      </c>
      <c r="AK37" s="25" t="str">
        <f>IF(OR($B37="",基础资料!$B$4=""),"",SUMIFS(对接源_01水果筐数!$F$5:$F$304,对接源_01水果筐数!$B$5:$B$304,$B37,对接源_01水果筐数!$C$5:$C$304,基础资料!$B$4))</f>
        <v/>
      </c>
      <c r="AL37" s="25" t="str">
        <f>IF(OR($B37="",基础资料!$B$5=""),"",SUMIFS(对接源_01水果筐数!$F$5:$F$304,对接源_01水果筐数!$B$5:$B$304,$B37,对接源_01水果筐数!$C$5:$C$304,基础资料!$B$5))</f>
        <v/>
      </c>
      <c r="AM37" s="25" t="str">
        <f>IF(OR($B37="",基础资料!$B$6=""),"",SUMIFS(对接源_01水果筐数!$F$5:$F$304,对接源_01水果筐数!$B$5:$B$304,$B37,对接源_01水果筐数!$C$5:$C$304,基础资料!$B$6))</f>
        <v/>
      </c>
      <c r="AN37" s="25" t="str">
        <f>IF(OR($B37="",基础资料!$B$7=""),"",SUMIFS(对接源_01水果筐数!$F$5:$F$304,对接源_01水果筐数!$B$5:$B$304,$B37,对接源_01水果筐数!$C$5:$C$304,基础资料!$B$7))</f>
        <v/>
      </c>
      <c r="AO37" s="25" t="str">
        <f>IF(OR($B37="",基础资料!$B$8=""),"",SUMIFS(对接源_01水果筐数!$F$5:$F$304,对接源_01水果筐数!$B$5:$B$304,$B37,对接源_01水果筐数!$C$5:$C$304,基础资料!$B$8))</f>
        <v/>
      </c>
      <c r="AP37" s="25" t="str">
        <f t="shared" si="5"/>
        <v/>
      </c>
      <c r="AQ37" s="25" t="str">
        <f t="shared" si="11"/>
        <v/>
      </c>
      <c r="AR37" s="25" t="str">
        <f t="shared" si="6"/>
        <v/>
      </c>
      <c r="AS37" s="25" t="str">
        <f t="shared" si="7"/>
        <v/>
      </c>
      <c r="AT37" s="25" t="str">
        <f t="shared" si="8"/>
        <v/>
      </c>
      <c r="AU37" s="25" t="str">
        <f t="shared" si="9"/>
        <v/>
      </c>
      <c r="AV37" s="24" t="str">
        <f t="shared" si="10"/>
        <v/>
      </c>
      <c r="AW37" s="72"/>
    </row>
    <row r="38" spans="1:49">
      <c r="A38" s="22" t="str">
        <f t="shared" si="0"/>
        <v/>
      </c>
      <c r="B38" s="24" t="str">
        <f>IFERROR(INDEX(_自动清单!$CC$4:$CC$253,ROW()-3),"")</f>
        <v/>
      </c>
      <c r="C38" s="25" t="str">
        <f>IF(OR($B38="",基础资料!$B$4=""),"",SUMIFS(周转筐出入库明细!$J$4:$J$2004,周转筐出入库明细!$C$4:$C$2004,$B38,周转筐出入库明细!$D$4:$D$2004,基础资料!$B$4,周转筐出入库明细!$B$4:$B$2004,"&gt;="&amp;$BC$1,周转筐出入库明细!$B$4:$B$2004,"&lt;="&amp;$BC$2))</f>
        <v/>
      </c>
      <c r="D38" s="25" t="str">
        <f>IF(OR($B38="",基础资料!$B$5=""),"",SUMIFS(周转筐出入库明细!$J$4:$J$2004,周转筐出入库明细!$C$4:$C$2004,$B38,周转筐出入库明细!$D$4:$D$2004,基础资料!$B$5,周转筐出入库明细!$B$4:$B$2004,"&gt;="&amp;$BC$1,周转筐出入库明细!$B$4:$B$2004,"&lt;="&amp;$BC$2))</f>
        <v/>
      </c>
      <c r="E38" s="25" t="str">
        <f>IF(OR($B38="",基础资料!$B$6=""),"",SUMIFS(周转筐出入库明细!$J$4:$J$2004,周转筐出入库明细!$C$4:$C$2004,$B38,周转筐出入库明细!$D$4:$D$2004,基础资料!$B$6,周转筐出入库明细!$B$4:$B$2004,"&gt;="&amp;$BC$1,周转筐出入库明细!$B$4:$B$2004,"&lt;="&amp;$BC$2))</f>
        <v/>
      </c>
      <c r="F38" s="25" t="str">
        <f>IF(OR($B38="",基础资料!$B$7=""),"",SUMIFS(周转筐出入库明细!$J$4:$J$2004,周转筐出入库明细!$C$4:$C$2004,$B38,周转筐出入库明细!$D$4:$D$2004,基础资料!$B$7,周转筐出入库明细!$B$4:$B$2004,"&gt;="&amp;$BC$1,周转筐出入库明细!$B$4:$B$2004,"&lt;="&amp;$BC$2))</f>
        <v/>
      </c>
      <c r="G38" s="25" t="str">
        <f>IF(OR($B38="",基础资料!$B$8=""),"",SUMIFS(周转筐出入库明细!$J$4:$J$2004,周转筐出入库明细!$C$4:$C$2004,$B38,周转筐出入库明细!$D$4:$D$2004,基础资料!$B$8,周转筐出入库明细!$B$4:$B$2004,"&gt;="&amp;$BC$1,周转筐出入库明细!$B$4:$B$2004,"&lt;="&amp;$BC$2))</f>
        <v/>
      </c>
      <c r="H38" s="25" t="str">
        <f t="shared" si="1"/>
        <v/>
      </c>
      <c r="I38" s="67" t="str">
        <f>IF(OR($B38="",基础资料!$B$4=""),"",-SUMIFS(周转筐出入库明细!$I$4:$I$2004,周转筐出入库明细!$C$4:$C$2004,$B38,周转筐出入库明细!$D$4:$D$2004,基础资料!$B$4,周转筐出入库明细!$B$4:$B$2004,"&gt;="&amp;$BC$1,周转筐出入库明细!$B$4:$B$2004,"&lt;="&amp;$BC$2))</f>
        <v/>
      </c>
      <c r="J38" s="67" t="str">
        <f>IF(OR($B38="",基础资料!$B$5=""),"",-SUMIFS(周转筐出入库明细!$I$4:$I$2004,周转筐出入库明细!$C$4:$C$2004,$B38,周转筐出入库明细!$D$4:$D$2004,基础资料!$B$5,周转筐出入库明细!$B$4:$B$2004,"&gt;="&amp;$BC$1,周转筐出入库明细!$B$4:$B$2004,"&lt;="&amp;$BC$2))</f>
        <v/>
      </c>
      <c r="K38" s="67" t="str">
        <f>IF(OR($B38="",基础资料!$B$6=""),"",-SUMIFS(周转筐出入库明细!$I$4:$I$2004,周转筐出入库明细!$C$4:$C$2004,$B38,周转筐出入库明细!$D$4:$D$2004,基础资料!$B$6,周转筐出入库明细!$B$4:$B$2004,"&gt;="&amp;$BC$1,周转筐出入库明细!$B$4:$B$2004,"&lt;="&amp;$BC$2))</f>
        <v/>
      </c>
      <c r="L38" s="67" t="str">
        <f>IF(OR($B38="",基础资料!$B$7=""),"",-SUMIFS(周转筐出入库明细!$I$4:$I$2004,周转筐出入库明细!$C$4:$C$2004,$B38,周转筐出入库明细!$D$4:$D$2004,基础资料!$B$7,周转筐出入库明细!$B$4:$B$2004,"&gt;="&amp;$BC$1,周转筐出入库明细!$B$4:$B$2004,"&lt;="&amp;$BC$2))</f>
        <v/>
      </c>
      <c r="M38" s="67" t="str">
        <f>IF(OR($B38="",基础资料!$B$8=""),"",-SUMIFS(周转筐出入库明细!$I$4:$I$2004,周转筐出入库明细!$C$4:$C$2004,$B38,周转筐出入库明细!$D$4:$D$2004,基础资料!$B$8,周转筐出入库明细!$B$4:$B$2004,"&gt;="&amp;$BC$1,周转筐出入库明细!$B$4:$B$2004,"&lt;="&amp;$BC$2))</f>
        <v/>
      </c>
      <c r="N38" s="67" t="str">
        <f t="shared" si="2"/>
        <v/>
      </c>
      <c r="O38" s="25" t="str">
        <f>IF(OR($B38="",基础资料!$B$4=""),"",SUMIFS(周转筐出入库明细!$H$4:$H$2004,周转筐出入库明细!$C$4:$C$2004,$B38,周转筐出入库明细!$D$4:$D$2004,基础资料!$B$4,周转筐出入库明细!$F$4:$F$2004,"采购入库",周转筐出入库明细!$B$4:$B$2004,"&gt;="&amp;$BC$1,周转筐出入库明细!$B$4:$B$2004,"&lt;="&amp;$BC$2))</f>
        <v/>
      </c>
      <c r="P38" s="25" t="str">
        <f>IF(OR($B38="",基础资料!$B$5=""),"",SUMIFS(周转筐出入库明细!$H$4:$H$2004,周转筐出入库明细!$C$4:$C$2004,$B38,周转筐出入库明细!$D$4:$D$2004,基础资料!$B$5,周转筐出入库明细!$F$4:$F$2004,"采购入库",周转筐出入库明细!$B$4:$B$2004,"&gt;="&amp;$BC$1,周转筐出入库明细!$B$4:$B$2004,"&lt;="&amp;$BC$2))</f>
        <v/>
      </c>
      <c r="Q38" s="25" t="str">
        <f>IF(OR($B38="",基础资料!$B$6=""),"",SUMIFS(周转筐出入库明细!$H$4:$H$2004,周转筐出入库明细!$C$4:$C$2004,$B38,周转筐出入库明细!$D$4:$D$2004,基础资料!$B$6,周转筐出入库明细!$F$4:$F$2004,"采购入库",周转筐出入库明细!$B$4:$B$2004,"&gt;="&amp;$BC$1,周转筐出入库明细!$B$4:$B$2004,"&lt;="&amp;$BC$2))</f>
        <v/>
      </c>
      <c r="R38" s="25" t="str">
        <f>IF(OR($B38="",基础资料!$B$7=""),"",SUMIFS(周转筐出入库明细!$H$4:$H$2004,周转筐出入库明细!$C$4:$C$2004,$B38,周转筐出入库明细!$D$4:$D$2004,基础资料!$B$7,周转筐出入库明细!$F$4:$F$2004,"采购入库",周转筐出入库明细!$B$4:$B$2004,"&gt;="&amp;$BC$1,周转筐出入库明细!$B$4:$B$2004,"&lt;="&amp;$BC$2))</f>
        <v/>
      </c>
      <c r="S38" s="25" t="str">
        <f>IF(OR($B38="",基础资料!$B$8=""),"",SUMIFS(周转筐出入库明细!$H$4:$H$2004,周转筐出入库明细!$C$4:$C$2004,$B38,周转筐出入库明细!$D$4:$D$2004,基础资料!$B$8,周转筐出入库明细!$F$4:$F$2004,"采购入库",周转筐出入库明细!$B$4:$B$2004,"&gt;="&amp;$BC$1,周转筐出入库明细!$B$4:$B$2004,"&lt;="&amp;$BC$2))</f>
        <v/>
      </c>
      <c r="T38" s="25" t="str">
        <f t="shared" si="3"/>
        <v/>
      </c>
      <c r="U38" s="25" t="str">
        <f>IF(OR($B38="",基础资料!$B$4=""),"",SUMIFS(周转筐出入库明细!$K$4:$K$2004,周转筐出入库明细!$C$4:$C$2004,$B38,周转筐出入库明细!$D$4:$D$2004,基础资料!$B$4,周转筐出入库明细!$B$4:$B$2004,"&gt;="&amp;$BC$1,周转筐出入库明细!$B$4:$B$2004,"&lt;="&amp;$BC$2))</f>
        <v/>
      </c>
      <c r="V38" s="25" t="str">
        <f>IF(OR($B38="",基础资料!$B$5=""),"",SUMIFS(周转筐出入库明细!$K$4:$K$2004,周转筐出入库明细!$C$4:$C$2004,$B38,周转筐出入库明细!$D$4:$D$2004,基础资料!$B$5,周转筐出入库明细!$B$4:$B$2004,"&gt;="&amp;$BC$1,周转筐出入库明细!$B$4:$B$2004,"&lt;="&amp;$BC$2))</f>
        <v/>
      </c>
      <c r="W38" s="25" t="str">
        <f>IF(OR($B38="",基础资料!$B$6=""),"",SUMIFS(周转筐出入库明细!$K$4:$K$2004,周转筐出入库明细!$C$4:$C$2004,$B38,周转筐出入库明细!$D$4:$D$2004,基础资料!$B$6,周转筐出入库明细!$B$4:$B$2004,"&gt;="&amp;$BC$1,周转筐出入库明细!$B$4:$B$2004,"&lt;="&amp;$BC$2))</f>
        <v/>
      </c>
      <c r="X38" s="25" t="str">
        <f>IF(OR($B38="",基础资料!$B$7=""),"",SUMIFS(周转筐出入库明细!$K$4:$K$2004,周转筐出入库明细!$C$4:$C$2004,$B38,周转筐出入库明细!$D$4:$D$2004,基础资料!$B$7,周转筐出入库明细!$B$4:$B$2004,"&gt;="&amp;$BC$1,周转筐出入库明细!$B$4:$B$2004,"&lt;="&amp;$BC$2))</f>
        <v/>
      </c>
      <c r="Y38" s="25" t="str">
        <f>IF(OR($B38="",基础资料!$B$8=""),"",SUMIFS(周转筐出入库明细!$K$4:$K$2004,周转筐出入库明细!$C$4:$C$2004,$B38,周转筐出入库明细!$D$4:$D$2004,基础资料!$B$8,周转筐出入库明细!$B$4:$B$2004,"&gt;="&amp;$BC$1,周转筐出入库明细!$B$4:$B$2004,"&lt;="&amp;$BC$2))</f>
        <v/>
      </c>
      <c r="Z38" s="25" t="str">
        <f t="shared" si="4"/>
        <v/>
      </c>
      <c r="AA38" s="67" t="str">
        <f>IF(OR($B38="",基础资料!$B$4=""),"",-SUMIFS(对接源_01水果筐数!$D$5:$D$304,对接源_01水果筐数!$B$5:$B$304,$B38,对接源_01水果筐数!$C$5:$C$304,基础资料!$B$4))</f>
        <v/>
      </c>
      <c r="AB38" s="67" t="str">
        <f>IF(OR($B38="",基础资料!$B$5=""),"",-SUMIFS(对接源_01水果筐数!$D$5:$D$304,对接源_01水果筐数!$B$5:$B$304,$B38,对接源_01水果筐数!$C$5:$C$304,基础资料!$B$5))</f>
        <v/>
      </c>
      <c r="AC38" s="67" t="str">
        <f>IF(OR($B38="",基础资料!$B$6=""),"",-SUMIFS(对接源_01水果筐数!$D$5:$D$304,对接源_01水果筐数!$B$5:$B$304,$B38,对接源_01水果筐数!$C$5:$C$304,基础资料!$B$6))</f>
        <v/>
      </c>
      <c r="AD38" s="67" t="str">
        <f>IF(OR($B38="",基础资料!$B$7=""),"",-SUMIFS(对接源_01水果筐数!$D$5:$D$304,对接源_01水果筐数!$B$5:$B$304,$B38,对接源_01水果筐数!$C$5:$C$304,基础资料!$B$7))</f>
        <v/>
      </c>
      <c r="AE38" s="67" t="str">
        <f>IF(OR($B38="",基础资料!$B$8=""),"",-SUMIFS(对接源_01水果筐数!$D$5:$D$304,对接源_01水果筐数!$B$5:$B$304,$B38,对接源_01水果筐数!$C$5:$C$304,基础资料!$B$8))</f>
        <v/>
      </c>
      <c r="AF38" s="25" t="str">
        <f>IF(OR($B38="",基础资料!$B$4=""),"",SUMIFS(对接源_01水果筐数!$E$5:$E$304,对接源_01水果筐数!$B$5:$B$304,$B38,对接源_01水果筐数!$C$5:$C$304,基础资料!$B$4))</f>
        <v/>
      </c>
      <c r="AG38" s="25" t="str">
        <f>IF(OR($B38="",基础资料!$B$5=""),"",SUMIFS(对接源_01水果筐数!$E$5:$E$304,对接源_01水果筐数!$B$5:$B$304,$B38,对接源_01水果筐数!$C$5:$C$304,基础资料!$B$5))</f>
        <v/>
      </c>
      <c r="AH38" s="25" t="str">
        <f>IF(OR($B38="",基础资料!$B$6=""),"",SUMIFS(对接源_01水果筐数!$E$5:$E$304,对接源_01水果筐数!$B$5:$B$304,$B38,对接源_01水果筐数!$C$5:$C$304,基础资料!$B$6))</f>
        <v/>
      </c>
      <c r="AI38" s="25" t="str">
        <f>IF(OR($B38="",基础资料!$B$7=""),"",SUMIFS(对接源_01水果筐数!$E$5:$E$304,对接源_01水果筐数!$B$5:$B$304,$B38,对接源_01水果筐数!$C$5:$C$304,基础资料!$B$7))</f>
        <v/>
      </c>
      <c r="AJ38" s="25" t="str">
        <f>IF(OR($B38="",基础资料!$B$8=""),"",SUMIFS(对接源_01水果筐数!$E$5:$E$304,对接源_01水果筐数!$B$5:$B$304,$B38,对接源_01水果筐数!$C$5:$C$304,基础资料!$B$8))</f>
        <v/>
      </c>
      <c r="AK38" s="25" t="str">
        <f>IF(OR($B38="",基础资料!$B$4=""),"",SUMIFS(对接源_01水果筐数!$F$5:$F$304,对接源_01水果筐数!$B$5:$B$304,$B38,对接源_01水果筐数!$C$5:$C$304,基础资料!$B$4))</f>
        <v/>
      </c>
      <c r="AL38" s="25" t="str">
        <f>IF(OR($B38="",基础资料!$B$5=""),"",SUMIFS(对接源_01水果筐数!$F$5:$F$304,对接源_01水果筐数!$B$5:$B$304,$B38,对接源_01水果筐数!$C$5:$C$304,基础资料!$B$5))</f>
        <v/>
      </c>
      <c r="AM38" s="25" t="str">
        <f>IF(OR($B38="",基础资料!$B$6=""),"",SUMIFS(对接源_01水果筐数!$F$5:$F$304,对接源_01水果筐数!$B$5:$B$304,$B38,对接源_01水果筐数!$C$5:$C$304,基础资料!$B$6))</f>
        <v/>
      </c>
      <c r="AN38" s="25" t="str">
        <f>IF(OR($B38="",基础资料!$B$7=""),"",SUMIFS(对接源_01水果筐数!$F$5:$F$304,对接源_01水果筐数!$B$5:$B$304,$B38,对接源_01水果筐数!$C$5:$C$304,基础资料!$B$7))</f>
        <v/>
      </c>
      <c r="AO38" s="25" t="str">
        <f>IF(OR($B38="",基础资料!$B$8=""),"",SUMIFS(对接源_01水果筐数!$F$5:$F$304,对接源_01水果筐数!$B$5:$B$304,$B38,对接源_01水果筐数!$C$5:$C$304,基础资料!$B$8))</f>
        <v/>
      </c>
      <c r="AP38" s="25" t="str">
        <f t="shared" si="5"/>
        <v/>
      </c>
      <c r="AQ38" s="25" t="str">
        <f t="shared" si="11"/>
        <v/>
      </c>
      <c r="AR38" s="25" t="str">
        <f t="shared" si="6"/>
        <v/>
      </c>
      <c r="AS38" s="25" t="str">
        <f t="shared" si="7"/>
        <v/>
      </c>
      <c r="AT38" s="25" t="str">
        <f t="shared" si="8"/>
        <v/>
      </c>
      <c r="AU38" s="25" t="str">
        <f t="shared" si="9"/>
        <v/>
      </c>
      <c r="AV38" s="24" t="str">
        <f t="shared" si="10"/>
        <v/>
      </c>
      <c r="AW38" s="72"/>
    </row>
    <row r="39" spans="1:49">
      <c r="A39" s="22" t="str">
        <f t="shared" si="0"/>
        <v/>
      </c>
      <c r="B39" s="24" t="str">
        <f>IFERROR(INDEX(_自动清单!$CC$4:$CC$253,ROW()-3),"")</f>
        <v/>
      </c>
      <c r="C39" s="25" t="str">
        <f>IF(OR($B39="",基础资料!$B$4=""),"",SUMIFS(周转筐出入库明细!$J$4:$J$2004,周转筐出入库明细!$C$4:$C$2004,$B39,周转筐出入库明细!$D$4:$D$2004,基础资料!$B$4,周转筐出入库明细!$B$4:$B$2004,"&gt;="&amp;$BC$1,周转筐出入库明细!$B$4:$B$2004,"&lt;="&amp;$BC$2))</f>
        <v/>
      </c>
      <c r="D39" s="25" t="str">
        <f>IF(OR($B39="",基础资料!$B$5=""),"",SUMIFS(周转筐出入库明细!$J$4:$J$2004,周转筐出入库明细!$C$4:$C$2004,$B39,周转筐出入库明细!$D$4:$D$2004,基础资料!$B$5,周转筐出入库明细!$B$4:$B$2004,"&gt;="&amp;$BC$1,周转筐出入库明细!$B$4:$B$2004,"&lt;="&amp;$BC$2))</f>
        <v/>
      </c>
      <c r="E39" s="25" t="str">
        <f>IF(OR($B39="",基础资料!$B$6=""),"",SUMIFS(周转筐出入库明细!$J$4:$J$2004,周转筐出入库明细!$C$4:$C$2004,$B39,周转筐出入库明细!$D$4:$D$2004,基础资料!$B$6,周转筐出入库明细!$B$4:$B$2004,"&gt;="&amp;$BC$1,周转筐出入库明细!$B$4:$B$2004,"&lt;="&amp;$BC$2))</f>
        <v/>
      </c>
      <c r="F39" s="25" t="str">
        <f>IF(OR($B39="",基础资料!$B$7=""),"",SUMIFS(周转筐出入库明细!$J$4:$J$2004,周转筐出入库明细!$C$4:$C$2004,$B39,周转筐出入库明细!$D$4:$D$2004,基础资料!$B$7,周转筐出入库明细!$B$4:$B$2004,"&gt;="&amp;$BC$1,周转筐出入库明细!$B$4:$B$2004,"&lt;="&amp;$BC$2))</f>
        <v/>
      </c>
      <c r="G39" s="25" t="str">
        <f>IF(OR($B39="",基础资料!$B$8=""),"",SUMIFS(周转筐出入库明细!$J$4:$J$2004,周转筐出入库明细!$C$4:$C$2004,$B39,周转筐出入库明细!$D$4:$D$2004,基础资料!$B$8,周转筐出入库明细!$B$4:$B$2004,"&gt;="&amp;$BC$1,周转筐出入库明细!$B$4:$B$2004,"&lt;="&amp;$BC$2))</f>
        <v/>
      </c>
      <c r="H39" s="25" t="str">
        <f t="shared" si="1"/>
        <v/>
      </c>
      <c r="I39" s="67" t="str">
        <f>IF(OR($B39="",基础资料!$B$4=""),"",-SUMIFS(周转筐出入库明细!$I$4:$I$2004,周转筐出入库明细!$C$4:$C$2004,$B39,周转筐出入库明细!$D$4:$D$2004,基础资料!$B$4,周转筐出入库明细!$B$4:$B$2004,"&gt;="&amp;$BC$1,周转筐出入库明细!$B$4:$B$2004,"&lt;="&amp;$BC$2))</f>
        <v/>
      </c>
      <c r="J39" s="67" t="str">
        <f>IF(OR($B39="",基础资料!$B$5=""),"",-SUMIFS(周转筐出入库明细!$I$4:$I$2004,周转筐出入库明细!$C$4:$C$2004,$B39,周转筐出入库明细!$D$4:$D$2004,基础资料!$B$5,周转筐出入库明细!$B$4:$B$2004,"&gt;="&amp;$BC$1,周转筐出入库明细!$B$4:$B$2004,"&lt;="&amp;$BC$2))</f>
        <v/>
      </c>
      <c r="K39" s="67" t="str">
        <f>IF(OR($B39="",基础资料!$B$6=""),"",-SUMIFS(周转筐出入库明细!$I$4:$I$2004,周转筐出入库明细!$C$4:$C$2004,$B39,周转筐出入库明细!$D$4:$D$2004,基础资料!$B$6,周转筐出入库明细!$B$4:$B$2004,"&gt;="&amp;$BC$1,周转筐出入库明细!$B$4:$B$2004,"&lt;="&amp;$BC$2))</f>
        <v/>
      </c>
      <c r="L39" s="67" t="str">
        <f>IF(OR($B39="",基础资料!$B$7=""),"",-SUMIFS(周转筐出入库明细!$I$4:$I$2004,周转筐出入库明细!$C$4:$C$2004,$B39,周转筐出入库明细!$D$4:$D$2004,基础资料!$B$7,周转筐出入库明细!$B$4:$B$2004,"&gt;="&amp;$BC$1,周转筐出入库明细!$B$4:$B$2004,"&lt;="&amp;$BC$2))</f>
        <v/>
      </c>
      <c r="M39" s="67" t="str">
        <f>IF(OR($B39="",基础资料!$B$8=""),"",-SUMIFS(周转筐出入库明细!$I$4:$I$2004,周转筐出入库明细!$C$4:$C$2004,$B39,周转筐出入库明细!$D$4:$D$2004,基础资料!$B$8,周转筐出入库明细!$B$4:$B$2004,"&gt;="&amp;$BC$1,周转筐出入库明细!$B$4:$B$2004,"&lt;="&amp;$BC$2))</f>
        <v/>
      </c>
      <c r="N39" s="67" t="str">
        <f t="shared" si="2"/>
        <v/>
      </c>
      <c r="O39" s="25" t="str">
        <f>IF(OR($B39="",基础资料!$B$4=""),"",SUMIFS(周转筐出入库明细!$H$4:$H$2004,周转筐出入库明细!$C$4:$C$2004,$B39,周转筐出入库明细!$D$4:$D$2004,基础资料!$B$4,周转筐出入库明细!$F$4:$F$2004,"采购入库",周转筐出入库明细!$B$4:$B$2004,"&gt;="&amp;$BC$1,周转筐出入库明细!$B$4:$B$2004,"&lt;="&amp;$BC$2))</f>
        <v/>
      </c>
      <c r="P39" s="25" t="str">
        <f>IF(OR($B39="",基础资料!$B$5=""),"",SUMIFS(周转筐出入库明细!$H$4:$H$2004,周转筐出入库明细!$C$4:$C$2004,$B39,周转筐出入库明细!$D$4:$D$2004,基础资料!$B$5,周转筐出入库明细!$F$4:$F$2004,"采购入库",周转筐出入库明细!$B$4:$B$2004,"&gt;="&amp;$BC$1,周转筐出入库明细!$B$4:$B$2004,"&lt;="&amp;$BC$2))</f>
        <v/>
      </c>
      <c r="Q39" s="25" t="str">
        <f>IF(OR($B39="",基础资料!$B$6=""),"",SUMIFS(周转筐出入库明细!$H$4:$H$2004,周转筐出入库明细!$C$4:$C$2004,$B39,周转筐出入库明细!$D$4:$D$2004,基础资料!$B$6,周转筐出入库明细!$F$4:$F$2004,"采购入库",周转筐出入库明细!$B$4:$B$2004,"&gt;="&amp;$BC$1,周转筐出入库明细!$B$4:$B$2004,"&lt;="&amp;$BC$2))</f>
        <v/>
      </c>
      <c r="R39" s="25" t="str">
        <f>IF(OR($B39="",基础资料!$B$7=""),"",SUMIFS(周转筐出入库明细!$H$4:$H$2004,周转筐出入库明细!$C$4:$C$2004,$B39,周转筐出入库明细!$D$4:$D$2004,基础资料!$B$7,周转筐出入库明细!$F$4:$F$2004,"采购入库",周转筐出入库明细!$B$4:$B$2004,"&gt;="&amp;$BC$1,周转筐出入库明细!$B$4:$B$2004,"&lt;="&amp;$BC$2))</f>
        <v/>
      </c>
      <c r="S39" s="25" t="str">
        <f>IF(OR($B39="",基础资料!$B$8=""),"",SUMIFS(周转筐出入库明细!$H$4:$H$2004,周转筐出入库明细!$C$4:$C$2004,$B39,周转筐出入库明细!$D$4:$D$2004,基础资料!$B$8,周转筐出入库明细!$F$4:$F$2004,"采购入库",周转筐出入库明细!$B$4:$B$2004,"&gt;="&amp;$BC$1,周转筐出入库明细!$B$4:$B$2004,"&lt;="&amp;$BC$2))</f>
        <v/>
      </c>
      <c r="T39" s="25" t="str">
        <f t="shared" si="3"/>
        <v/>
      </c>
      <c r="U39" s="25" t="str">
        <f>IF(OR($B39="",基础资料!$B$4=""),"",SUMIFS(周转筐出入库明细!$K$4:$K$2004,周转筐出入库明细!$C$4:$C$2004,$B39,周转筐出入库明细!$D$4:$D$2004,基础资料!$B$4,周转筐出入库明细!$B$4:$B$2004,"&gt;="&amp;$BC$1,周转筐出入库明细!$B$4:$B$2004,"&lt;="&amp;$BC$2))</f>
        <v/>
      </c>
      <c r="V39" s="25" t="str">
        <f>IF(OR($B39="",基础资料!$B$5=""),"",SUMIFS(周转筐出入库明细!$K$4:$K$2004,周转筐出入库明细!$C$4:$C$2004,$B39,周转筐出入库明细!$D$4:$D$2004,基础资料!$B$5,周转筐出入库明细!$B$4:$B$2004,"&gt;="&amp;$BC$1,周转筐出入库明细!$B$4:$B$2004,"&lt;="&amp;$BC$2))</f>
        <v/>
      </c>
      <c r="W39" s="25" t="str">
        <f>IF(OR($B39="",基础资料!$B$6=""),"",SUMIFS(周转筐出入库明细!$K$4:$K$2004,周转筐出入库明细!$C$4:$C$2004,$B39,周转筐出入库明细!$D$4:$D$2004,基础资料!$B$6,周转筐出入库明细!$B$4:$B$2004,"&gt;="&amp;$BC$1,周转筐出入库明细!$B$4:$B$2004,"&lt;="&amp;$BC$2))</f>
        <v/>
      </c>
      <c r="X39" s="25" t="str">
        <f>IF(OR($B39="",基础资料!$B$7=""),"",SUMIFS(周转筐出入库明细!$K$4:$K$2004,周转筐出入库明细!$C$4:$C$2004,$B39,周转筐出入库明细!$D$4:$D$2004,基础资料!$B$7,周转筐出入库明细!$B$4:$B$2004,"&gt;="&amp;$BC$1,周转筐出入库明细!$B$4:$B$2004,"&lt;="&amp;$BC$2))</f>
        <v/>
      </c>
      <c r="Y39" s="25" t="str">
        <f>IF(OR($B39="",基础资料!$B$8=""),"",SUMIFS(周转筐出入库明细!$K$4:$K$2004,周转筐出入库明细!$C$4:$C$2004,$B39,周转筐出入库明细!$D$4:$D$2004,基础资料!$B$8,周转筐出入库明细!$B$4:$B$2004,"&gt;="&amp;$BC$1,周转筐出入库明细!$B$4:$B$2004,"&lt;="&amp;$BC$2))</f>
        <v/>
      </c>
      <c r="Z39" s="25" t="str">
        <f t="shared" si="4"/>
        <v/>
      </c>
      <c r="AA39" s="67" t="str">
        <f>IF(OR($B39="",基础资料!$B$4=""),"",-SUMIFS(对接源_01水果筐数!$D$5:$D$304,对接源_01水果筐数!$B$5:$B$304,$B39,对接源_01水果筐数!$C$5:$C$304,基础资料!$B$4))</f>
        <v/>
      </c>
      <c r="AB39" s="67" t="str">
        <f>IF(OR($B39="",基础资料!$B$5=""),"",-SUMIFS(对接源_01水果筐数!$D$5:$D$304,对接源_01水果筐数!$B$5:$B$304,$B39,对接源_01水果筐数!$C$5:$C$304,基础资料!$B$5))</f>
        <v/>
      </c>
      <c r="AC39" s="67" t="str">
        <f>IF(OR($B39="",基础资料!$B$6=""),"",-SUMIFS(对接源_01水果筐数!$D$5:$D$304,对接源_01水果筐数!$B$5:$B$304,$B39,对接源_01水果筐数!$C$5:$C$304,基础资料!$B$6))</f>
        <v/>
      </c>
      <c r="AD39" s="67" t="str">
        <f>IF(OR($B39="",基础资料!$B$7=""),"",-SUMIFS(对接源_01水果筐数!$D$5:$D$304,对接源_01水果筐数!$B$5:$B$304,$B39,对接源_01水果筐数!$C$5:$C$304,基础资料!$B$7))</f>
        <v/>
      </c>
      <c r="AE39" s="67" t="str">
        <f>IF(OR($B39="",基础资料!$B$8=""),"",-SUMIFS(对接源_01水果筐数!$D$5:$D$304,对接源_01水果筐数!$B$5:$B$304,$B39,对接源_01水果筐数!$C$5:$C$304,基础资料!$B$8))</f>
        <v/>
      </c>
      <c r="AF39" s="25" t="str">
        <f>IF(OR($B39="",基础资料!$B$4=""),"",SUMIFS(对接源_01水果筐数!$E$5:$E$304,对接源_01水果筐数!$B$5:$B$304,$B39,对接源_01水果筐数!$C$5:$C$304,基础资料!$B$4))</f>
        <v/>
      </c>
      <c r="AG39" s="25" t="str">
        <f>IF(OR($B39="",基础资料!$B$5=""),"",SUMIFS(对接源_01水果筐数!$E$5:$E$304,对接源_01水果筐数!$B$5:$B$304,$B39,对接源_01水果筐数!$C$5:$C$304,基础资料!$B$5))</f>
        <v/>
      </c>
      <c r="AH39" s="25" t="str">
        <f>IF(OR($B39="",基础资料!$B$6=""),"",SUMIFS(对接源_01水果筐数!$E$5:$E$304,对接源_01水果筐数!$B$5:$B$304,$B39,对接源_01水果筐数!$C$5:$C$304,基础资料!$B$6))</f>
        <v/>
      </c>
      <c r="AI39" s="25" t="str">
        <f>IF(OR($B39="",基础资料!$B$7=""),"",SUMIFS(对接源_01水果筐数!$E$5:$E$304,对接源_01水果筐数!$B$5:$B$304,$B39,对接源_01水果筐数!$C$5:$C$304,基础资料!$B$7))</f>
        <v/>
      </c>
      <c r="AJ39" s="25" t="str">
        <f>IF(OR($B39="",基础资料!$B$8=""),"",SUMIFS(对接源_01水果筐数!$E$5:$E$304,对接源_01水果筐数!$B$5:$B$304,$B39,对接源_01水果筐数!$C$5:$C$304,基础资料!$B$8))</f>
        <v/>
      </c>
      <c r="AK39" s="25" t="str">
        <f>IF(OR($B39="",基础资料!$B$4=""),"",SUMIFS(对接源_01水果筐数!$F$5:$F$304,对接源_01水果筐数!$B$5:$B$304,$B39,对接源_01水果筐数!$C$5:$C$304,基础资料!$B$4))</f>
        <v/>
      </c>
      <c r="AL39" s="25" t="str">
        <f>IF(OR($B39="",基础资料!$B$5=""),"",SUMIFS(对接源_01水果筐数!$F$5:$F$304,对接源_01水果筐数!$B$5:$B$304,$B39,对接源_01水果筐数!$C$5:$C$304,基础资料!$B$5))</f>
        <v/>
      </c>
      <c r="AM39" s="25" t="str">
        <f>IF(OR($B39="",基础资料!$B$6=""),"",SUMIFS(对接源_01水果筐数!$F$5:$F$304,对接源_01水果筐数!$B$5:$B$304,$B39,对接源_01水果筐数!$C$5:$C$304,基础资料!$B$6))</f>
        <v/>
      </c>
      <c r="AN39" s="25" t="str">
        <f>IF(OR($B39="",基础资料!$B$7=""),"",SUMIFS(对接源_01水果筐数!$F$5:$F$304,对接源_01水果筐数!$B$5:$B$304,$B39,对接源_01水果筐数!$C$5:$C$304,基础资料!$B$7))</f>
        <v/>
      </c>
      <c r="AO39" s="25" t="str">
        <f>IF(OR($B39="",基础资料!$B$8=""),"",SUMIFS(对接源_01水果筐数!$F$5:$F$304,对接源_01水果筐数!$B$5:$B$304,$B39,对接源_01水果筐数!$C$5:$C$304,基础资料!$B$8))</f>
        <v/>
      </c>
      <c r="AP39" s="25" t="str">
        <f t="shared" si="5"/>
        <v/>
      </c>
      <c r="AQ39" s="25" t="str">
        <f t="shared" si="11"/>
        <v/>
      </c>
      <c r="AR39" s="25" t="str">
        <f t="shared" si="6"/>
        <v/>
      </c>
      <c r="AS39" s="25" t="str">
        <f t="shared" si="7"/>
        <v/>
      </c>
      <c r="AT39" s="25" t="str">
        <f t="shared" si="8"/>
        <v/>
      </c>
      <c r="AU39" s="25" t="str">
        <f t="shared" si="9"/>
        <v/>
      </c>
      <c r="AV39" s="24" t="str">
        <f t="shared" si="10"/>
        <v/>
      </c>
      <c r="AW39" s="72"/>
    </row>
    <row r="40" spans="1:49">
      <c r="A40" s="22" t="str">
        <f t="shared" si="0"/>
        <v/>
      </c>
      <c r="B40" s="24" t="str">
        <f>IFERROR(INDEX(_自动清单!$CC$4:$CC$253,ROW()-3),"")</f>
        <v/>
      </c>
      <c r="C40" s="25" t="str">
        <f>IF(OR($B40="",基础资料!$B$4=""),"",SUMIFS(周转筐出入库明细!$J$4:$J$2004,周转筐出入库明细!$C$4:$C$2004,$B40,周转筐出入库明细!$D$4:$D$2004,基础资料!$B$4,周转筐出入库明细!$B$4:$B$2004,"&gt;="&amp;$BC$1,周转筐出入库明细!$B$4:$B$2004,"&lt;="&amp;$BC$2))</f>
        <v/>
      </c>
      <c r="D40" s="25" t="str">
        <f>IF(OR($B40="",基础资料!$B$5=""),"",SUMIFS(周转筐出入库明细!$J$4:$J$2004,周转筐出入库明细!$C$4:$C$2004,$B40,周转筐出入库明细!$D$4:$D$2004,基础资料!$B$5,周转筐出入库明细!$B$4:$B$2004,"&gt;="&amp;$BC$1,周转筐出入库明细!$B$4:$B$2004,"&lt;="&amp;$BC$2))</f>
        <v/>
      </c>
      <c r="E40" s="25" t="str">
        <f>IF(OR($B40="",基础资料!$B$6=""),"",SUMIFS(周转筐出入库明细!$J$4:$J$2004,周转筐出入库明细!$C$4:$C$2004,$B40,周转筐出入库明细!$D$4:$D$2004,基础资料!$B$6,周转筐出入库明细!$B$4:$B$2004,"&gt;="&amp;$BC$1,周转筐出入库明细!$B$4:$B$2004,"&lt;="&amp;$BC$2))</f>
        <v/>
      </c>
      <c r="F40" s="25" t="str">
        <f>IF(OR($B40="",基础资料!$B$7=""),"",SUMIFS(周转筐出入库明细!$J$4:$J$2004,周转筐出入库明细!$C$4:$C$2004,$B40,周转筐出入库明细!$D$4:$D$2004,基础资料!$B$7,周转筐出入库明细!$B$4:$B$2004,"&gt;="&amp;$BC$1,周转筐出入库明细!$B$4:$B$2004,"&lt;="&amp;$BC$2))</f>
        <v/>
      </c>
      <c r="G40" s="25" t="str">
        <f>IF(OR($B40="",基础资料!$B$8=""),"",SUMIFS(周转筐出入库明细!$J$4:$J$2004,周转筐出入库明细!$C$4:$C$2004,$B40,周转筐出入库明细!$D$4:$D$2004,基础资料!$B$8,周转筐出入库明细!$B$4:$B$2004,"&gt;="&amp;$BC$1,周转筐出入库明细!$B$4:$B$2004,"&lt;="&amp;$BC$2))</f>
        <v/>
      </c>
      <c r="H40" s="25" t="str">
        <f t="shared" si="1"/>
        <v/>
      </c>
      <c r="I40" s="67" t="str">
        <f>IF(OR($B40="",基础资料!$B$4=""),"",-SUMIFS(周转筐出入库明细!$I$4:$I$2004,周转筐出入库明细!$C$4:$C$2004,$B40,周转筐出入库明细!$D$4:$D$2004,基础资料!$B$4,周转筐出入库明细!$B$4:$B$2004,"&gt;="&amp;$BC$1,周转筐出入库明细!$B$4:$B$2004,"&lt;="&amp;$BC$2))</f>
        <v/>
      </c>
      <c r="J40" s="67" t="str">
        <f>IF(OR($B40="",基础资料!$B$5=""),"",-SUMIFS(周转筐出入库明细!$I$4:$I$2004,周转筐出入库明细!$C$4:$C$2004,$B40,周转筐出入库明细!$D$4:$D$2004,基础资料!$B$5,周转筐出入库明细!$B$4:$B$2004,"&gt;="&amp;$BC$1,周转筐出入库明细!$B$4:$B$2004,"&lt;="&amp;$BC$2))</f>
        <v/>
      </c>
      <c r="K40" s="67" t="str">
        <f>IF(OR($B40="",基础资料!$B$6=""),"",-SUMIFS(周转筐出入库明细!$I$4:$I$2004,周转筐出入库明细!$C$4:$C$2004,$B40,周转筐出入库明细!$D$4:$D$2004,基础资料!$B$6,周转筐出入库明细!$B$4:$B$2004,"&gt;="&amp;$BC$1,周转筐出入库明细!$B$4:$B$2004,"&lt;="&amp;$BC$2))</f>
        <v/>
      </c>
      <c r="L40" s="67" t="str">
        <f>IF(OR($B40="",基础资料!$B$7=""),"",-SUMIFS(周转筐出入库明细!$I$4:$I$2004,周转筐出入库明细!$C$4:$C$2004,$B40,周转筐出入库明细!$D$4:$D$2004,基础资料!$B$7,周转筐出入库明细!$B$4:$B$2004,"&gt;="&amp;$BC$1,周转筐出入库明细!$B$4:$B$2004,"&lt;="&amp;$BC$2))</f>
        <v/>
      </c>
      <c r="M40" s="67" t="str">
        <f>IF(OR($B40="",基础资料!$B$8=""),"",-SUMIFS(周转筐出入库明细!$I$4:$I$2004,周转筐出入库明细!$C$4:$C$2004,$B40,周转筐出入库明细!$D$4:$D$2004,基础资料!$B$8,周转筐出入库明细!$B$4:$B$2004,"&gt;="&amp;$BC$1,周转筐出入库明细!$B$4:$B$2004,"&lt;="&amp;$BC$2))</f>
        <v/>
      </c>
      <c r="N40" s="67" t="str">
        <f t="shared" si="2"/>
        <v/>
      </c>
      <c r="O40" s="25" t="str">
        <f>IF(OR($B40="",基础资料!$B$4=""),"",SUMIFS(周转筐出入库明细!$H$4:$H$2004,周转筐出入库明细!$C$4:$C$2004,$B40,周转筐出入库明细!$D$4:$D$2004,基础资料!$B$4,周转筐出入库明细!$F$4:$F$2004,"采购入库",周转筐出入库明细!$B$4:$B$2004,"&gt;="&amp;$BC$1,周转筐出入库明细!$B$4:$B$2004,"&lt;="&amp;$BC$2))</f>
        <v/>
      </c>
      <c r="P40" s="25" t="str">
        <f>IF(OR($B40="",基础资料!$B$5=""),"",SUMIFS(周转筐出入库明细!$H$4:$H$2004,周转筐出入库明细!$C$4:$C$2004,$B40,周转筐出入库明细!$D$4:$D$2004,基础资料!$B$5,周转筐出入库明细!$F$4:$F$2004,"采购入库",周转筐出入库明细!$B$4:$B$2004,"&gt;="&amp;$BC$1,周转筐出入库明细!$B$4:$B$2004,"&lt;="&amp;$BC$2))</f>
        <v/>
      </c>
      <c r="Q40" s="25" t="str">
        <f>IF(OR($B40="",基础资料!$B$6=""),"",SUMIFS(周转筐出入库明细!$H$4:$H$2004,周转筐出入库明细!$C$4:$C$2004,$B40,周转筐出入库明细!$D$4:$D$2004,基础资料!$B$6,周转筐出入库明细!$F$4:$F$2004,"采购入库",周转筐出入库明细!$B$4:$B$2004,"&gt;="&amp;$BC$1,周转筐出入库明细!$B$4:$B$2004,"&lt;="&amp;$BC$2))</f>
        <v/>
      </c>
      <c r="R40" s="25" t="str">
        <f>IF(OR($B40="",基础资料!$B$7=""),"",SUMIFS(周转筐出入库明细!$H$4:$H$2004,周转筐出入库明细!$C$4:$C$2004,$B40,周转筐出入库明细!$D$4:$D$2004,基础资料!$B$7,周转筐出入库明细!$F$4:$F$2004,"采购入库",周转筐出入库明细!$B$4:$B$2004,"&gt;="&amp;$BC$1,周转筐出入库明细!$B$4:$B$2004,"&lt;="&amp;$BC$2))</f>
        <v/>
      </c>
      <c r="S40" s="25" t="str">
        <f>IF(OR($B40="",基础资料!$B$8=""),"",SUMIFS(周转筐出入库明细!$H$4:$H$2004,周转筐出入库明细!$C$4:$C$2004,$B40,周转筐出入库明细!$D$4:$D$2004,基础资料!$B$8,周转筐出入库明细!$F$4:$F$2004,"采购入库",周转筐出入库明细!$B$4:$B$2004,"&gt;="&amp;$BC$1,周转筐出入库明细!$B$4:$B$2004,"&lt;="&amp;$BC$2))</f>
        <v/>
      </c>
      <c r="T40" s="25" t="str">
        <f t="shared" si="3"/>
        <v/>
      </c>
      <c r="U40" s="25" t="str">
        <f>IF(OR($B40="",基础资料!$B$4=""),"",SUMIFS(周转筐出入库明细!$K$4:$K$2004,周转筐出入库明细!$C$4:$C$2004,$B40,周转筐出入库明细!$D$4:$D$2004,基础资料!$B$4,周转筐出入库明细!$B$4:$B$2004,"&gt;="&amp;$BC$1,周转筐出入库明细!$B$4:$B$2004,"&lt;="&amp;$BC$2))</f>
        <v/>
      </c>
      <c r="V40" s="25" t="str">
        <f>IF(OR($B40="",基础资料!$B$5=""),"",SUMIFS(周转筐出入库明细!$K$4:$K$2004,周转筐出入库明细!$C$4:$C$2004,$B40,周转筐出入库明细!$D$4:$D$2004,基础资料!$B$5,周转筐出入库明细!$B$4:$B$2004,"&gt;="&amp;$BC$1,周转筐出入库明细!$B$4:$B$2004,"&lt;="&amp;$BC$2))</f>
        <v/>
      </c>
      <c r="W40" s="25" t="str">
        <f>IF(OR($B40="",基础资料!$B$6=""),"",SUMIFS(周转筐出入库明细!$K$4:$K$2004,周转筐出入库明细!$C$4:$C$2004,$B40,周转筐出入库明细!$D$4:$D$2004,基础资料!$B$6,周转筐出入库明细!$B$4:$B$2004,"&gt;="&amp;$BC$1,周转筐出入库明细!$B$4:$B$2004,"&lt;="&amp;$BC$2))</f>
        <v/>
      </c>
      <c r="X40" s="25" t="str">
        <f>IF(OR($B40="",基础资料!$B$7=""),"",SUMIFS(周转筐出入库明细!$K$4:$K$2004,周转筐出入库明细!$C$4:$C$2004,$B40,周转筐出入库明细!$D$4:$D$2004,基础资料!$B$7,周转筐出入库明细!$B$4:$B$2004,"&gt;="&amp;$BC$1,周转筐出入库明细!$B$4:$B$2004,"&lt;="&amp;$BC$2))</f>
        <v/>
      </c>
      <c r="Y40" s="25" t="str">
        <f>IF(OR($B40="",基础资料!$B$8=""),"",SUMIFS(周转筐出入库明细!$K$4:$K$2004,周转筐出入库明细!$C$4:$C$2004,$B40,周转筐出入库明细!$D$4:$D$2004,基础资料!$B$8,周转筐出入库明细!$B$4:$B$2004,"&gt;="&amp;$BC$1,周转筐出入库明细!$B$4:$B$2004,"&lt;="&amp;$BC$2))</f>
        <v/>
      </c>
      <c r="Z40" s="25" t="str">
        <f t="shared" si="4"/>
        <v/>
      </c>
      <c r="AA40" s="67" t="str">
        <f>IF(OR($B40="",基础资料!$B$4=""),"",-SUMIFS(对接源_01水果筐数!$D$5:$D$304,对接源_01水果筐数!$B$5:$B$304,$B40,对接源_01水果筐数!$C$5:$C$304,基础资料!$B$4))</f>
        <v/>
      </c>
      <c r="AB40" s="67" t="str">
        <f>IF(OR($B40="",基础资料!$B$5=""),"",-SUMIFS(对接源_01水果筐数!$D$5:$D$304,对接源_01水果筐数!$B$5:$B$304,$B40,对接源_01水果筐数!$C$5:$C$304,基础资料!$B$5))</f>
        <v/>
      </c>
      <c r="AC40" s="67" t="str">
        <f>IF(OR($B40="",基础资料!$B$6=""),"",-SUMIFS(对接源_01水果筐数!$D$5:$D$304,对接源_01水果筐数!$B$5:$B$304,$B40,对接源_01水果筐数!$C$5:$C$304,基础资料!$B$6))</f>
        <v/>
      </c>
      <c r="AD40" s="67" t="str">
        <f>IF(OR($B40="",基础资料!$B$7=""),"",-SUMIFS(对接源_01水果筐数!$D$5:$D$304,对接源_01水果筐数!$B$5:$B$304,$B40,对接源_01水果筐数!$C$5:$C$304,基础资料!$B$7))</f>
        <v/>
      </c>
      <c r="AE40" s="67" t="str">
        <f>IF(OR($B40="",基础资料!$B$8=""),"",-SUMIFS(对接源_01水果筐数!$D$5:$D$304,对接源_01水果筐数!$B$5:$B$304,$B40,对接源_01水果筐数!$C$5:$C$304,基础资料!$B$8))</f>
        <v/>
      </c>
      <c r="AF40" s="25" t="str">
        <f>IF(OR($B40="",基础资料!$B$4=""),"",SUMIFS(对接源_01水果筐数!$E$5:$E$304,对接源_01水果筐数!$B$5:$B$304,$B40,对接源_01水果筐数!$C$5:$C$304,基础资料!$B$4))</f>
        <v/>
      </c>
      <c r="AG40" s="25" t="str">
        <f>IF(OR($B40="",基础资料!$B$5=""),"",SUMIFS(对接源_01水果筐数!$E$5:$E$304,对接源_01水果筐数!$B$5:$B$304,$B40,对接源_01水果筐数!$C$5:$C$304,基础资料!$B$5))</f>
        <v/>
      </c>
      <c r="AH40" s="25" t="str">
        <f>IF(OR($B40="",基础资料!$B$6=""),"",SUMIFS(对接源_01水果筐数!$E$5:$E$304,对接源_01水果筐数!$B$5:$B$304,$B40,对接源_01水果筐数!$C$5:$C$304,基础资料!$B$6))</f>
        <v/>
      </c>
      <c r="AI40" s="25" t="str">
        <f>IF(OR($B40="",基础资料!$B$7=""),"",SUMIFS(对接源_01水果筐数!$E$5:$E$304,对接源_01水果筐数!$B$5:$B$304,$B40,对接源_01水果筐数!$C$5:$C$304,基础资料!$B$7))</f>
        <v/>
      </c>
      <c r="AJ40" s="25" t="str">
        <f>IF(OR($B40="",基础资料!$B$8=""),"",SUMIFS(对接源_01水果筐数!$E$5:$E$304,对接源_01水果筐数!$B$5:$B$304,$B40,对接源_01水果筐数!$C$5:$C$304,基础资料!$B$8))</f>
        <v/>
      </c>
      <c r="AK40" s="25" t="str">
        <f>IF(OR($B40="",基础资料!$B$4=""),"",SUMIFS(对接源_01水果筐数!$F$5:$F$304,对接源_01水果筐数!$B$5:$B$304,$B40,对接源_01水果筐数!$C$5:$C$304,基础资料!$B$4))</f>
        <v/>
      </c>
      <c r="AL40" s="25" t="str">
        <f>IF(OR($B40="",基础资料!$B$5=""),"",SUMIFS(对接源_01水果筐数!$F$5:$F$304,对接源_01水果筐数!$B$5:$B$304,$B40,对接源_01水果筐数!$C$5:$C$304,基础资料!$B$5))</f>
        <v/>
      </c>
      <c r="AM40" s="25" t="str">
        <f>IF(OR($B40="",基础资料!$B$6=""),"",SUMIFS(对接源_01水果筐数!$F$5:$F$304,对接源_01水果筐数!$B$5:$B$304,$B40,对接源_01水果筐数!$C$5:$C$304,基础资料!$B$6))</f>
        <v/>
      </c>
      <c r="AN40" s="25" t="str">
        <f>IF(OR($B40="",基础资料!$B$7=""),"",SUMIFS(对接源_01水果筐数!$F$5:$F$304,对接源_01水果筐数!$B$5:$B$304,$B40,对接源_01水果筐数!$C$5:$C$304,基础资料!$B$7))</f>
        <v/>
      </c>
      <c r="AO40" s="25" t="str">
        <f>IF(OR($B40="",基础资料!$B$8=""),"",SUMIFS(对接源_01水果筐数!$F$5:$F$304,对接源_01水果筐数!$B$5:$B$304,$B40,对接源_01水果筐数!$C$5:$C$304,基础资料!$B$8))</f>
        <v/>
      </c>
      <c r="AP40" s="25" t="str">
        <f t="shared" si="5"/>
        <v/>
      </c>
      <c r="AQ40" s="25" t="str">
        <f t="shared" si="11"/>
        <v/>
      </c>
      <c r="AR40" s="25" t="str">
        <f t="shared" si="6"/>
        <v/>
      </c>
      <c r="AS40" s="25" t="str">
        <f t="shared" si="7"/>
        <v/>
      </c>
      <c r="AT40" s="25" t="str">
        <f t="shared" si="8"/>
        <v/>
      </c>
      <c r="AU40" s="25" t="str">
        <f t="shared" si="9"/>
        <v/>
      </c>
      <c r="AV40" s="24" t="str">
        <f t="shared" si="10"/>
        <v/>
      </c>
      <c r="AW40" s="72"/>
    </row>
    <row r="41" spans="1:49">
      <c r="A41" s="22" t="str">
        <f t="shared" si="0"/>
        <v/>
      </c>
      <c r="B41" s="24" t="str">
        <f>IFERROR(INDEX(_自动清单!$CC$4:$CC$253,ROW()-3),"")</f>
        <v/>
      </c>
      <c r="C41" s="25" t="str">
        <f>IF(OR($B41="",基础资料!$B$4=""),"",SUMIFS(周转筐出入库明细!$J$4:$J$2004,周转筐出入库明细!$C$4:$C$2004,$B41,周转筐出入库明细!$D$4:$D$2004,基础资料!$B$4,周转筐出入库明细!$B$4:$B$2004,"&gt;="&amp;$BC$1,周转筐出入库明细!$B$4:$B$2004,"&lt;="&amp;$BC$2))</f>
        <v/>
      </c>
      <c r="D41" s="25" t="str">
        <f>IF(OR($B41="",基础资料!$B$5=""),"",SUMIFS(周转筐出入库明细!$J$4:$J$2004,周转筐出入库明细!$C$4:$C$2004,$B41,周转筐出入库明细!$D$4:$D$2004,基础资料!$B$5,周转筐出入库明细!$B$4:$B$2004,"&gt;="&amp;$BC$1,周转筐出入库明细!$B$4:$B$2004,"&lt;="&amp;$BC$2))</f>
        <v/>
      </c>
      <c r="E41" s="25" t="str">
        <f>IF(OR($B41="",基础资料!$B$6=""),"",SUMIFS(周转筐出入库明细!$J$4:$J$2004,周转筐出入库明细!$C$4:$C$2004,$B41,周转筐出入库明细!$D$4:$D$2004,基础资料!$B$6,周转筐出入库明细!$B$4:$B$2004,"&gt;="&amp;$BC$1,周转筐出入库明细!$B$4:$B$2004,"&lt;="&amp;$BC$2))</f>
        <v/>
      </c>
      <c r="F41" s="25" t="str">
        <f>IF(OR($B41="",基础资料!$B$7=""),"",SUMIFS(周转筐出入库明细!$J$4:$J$2004,周转筐出入库明细!$C$4:$C$2004,$B41,周转筐出入库明细!$D$4:$D$2004,基础资料!$B$7,周转筐出入库明细!$B$4:$B$2004,"&gt;="&amp;$BC$1,周转筐出入库明细!$B$4:$B$2004,"&lt;="&amp;$BC$2))</f>
        <v/>
      </c>
      <c r="G41" s="25" t="str">
        <f>IF(OR($B41="",基础资料!$B$8=""),"",SUMIFS(周转筐出入库明细!$J$4:$J$2004,周转筐出入库明细!$C$4:$C$2004,$B41,周转筐出入库明细!$D$4:$D$2004,基础资料!$B$8,周转筐出入库明细!$B$4:$B$2004,"&gt;="&amp;$BC$1,周转筐出入库明细!$B$4:$B$2004,"&lt;="&amp;$BC$2))</f>
        <v/>
      </c>
      <c r="H41" s="25" t="str">
        <f t="shared" si="1"/>
        <v/>
      </c>
      <c r="I41" s="67" t="str">
        <f>IF(OR($B41="",基础资料!$B$4=""),"",-SUMIFS(周转筐出入库明细!$I$4:$I$2004,周转筐出入库明细!$C$4:$C$2004,$B41,周转筐出入库明细!$D$4:$D$2004,基础资料!$B$4,周转筐出入库明细!$B$4:$B$2004,"&gt;="&amp;$BC$1,周转筐出入库明细!$B$4:$B$2004,"&lt;="&amp;$BC$2))</f>
        <v/>
      </c>
      <c r="J41" s="67" t="str">
        <f>IF(OR($B41="",基础资料!$B$5=""),"",-SUMIFS(周转筐出入库明细!$I$4:$I$2004,周转筐出入库明细!$C$4:$C$2004,$B41,周转筐出入库明细!$D$4:$D$2004,基础资料!$B$5,周转筐出入库明细!$B$4:$B$2004,"&gt;="&amp;$BC$1,周转筐出入库明细!$B$4:$B$2004,"&lt;="&amp;$BC$2))</f>
        <v/>
      </c>
      <c r="K41" s="67" t="str">
        <f>IF(OR($B41="",基础资料!$B$6=""),"",-SUMIFS(周转筐出入库明细!$I$4:$I$2004,周转筐出入库明细!$C$4:$C$2004,$B41,周转筐出入库明细!$D$4:$D$2004,基础资料!$B$6,周转筐出入库明细!$B$4:$B$2004,"&gt;="&amp;$BC$1,周转筐出入库明细!$B$4:$B$2004,"&lt;="&amp;$BC$2))</f>
        <v/>
      </c>
      <c r="L41" s="67" t="str">
        <f>IF(OR($B41="",基础资料!$B$7=""),"",-SUMIFS(周转筐出入库明细!$I$4:$I$2004,周转筐出入库明细!$C$4:$C$2004,$B41,周转筐出入库明细!$D$4:$D$2004,基础资料!$B$7,周转筐出入库明细!$B$4:$B$2004,"&gt;="&amp;$BC$1,周转筐出入库明细!$B$4:$B$2004,"&lt;="&amp;$BC$2))</f>
        <v/>
      </c>
      <c r="M41" s="67" t="str">
        <f>IF(OR($B41="",基础资料!$B$8=""),"",-SUMIFS(周转筐出入库明细!$I$4:$I$2004,周转筐出入库明细!$C$4:$C$2004,$B41,周转筐出入库明细!$D$4:$D$2004,基础资料!$B$8,周转筐出入库明细!$B$4:$B$2004,"&gt;="&amp;$BC$1,周转筐出入库明细!$B$4:$B$2004,"&lt;="&amp;$BC$2))</f>
        <v/>
      </c>
      <c r="N41" s="67" t="str">
        <f t="shared" si="2"/>
        <v/>
      </c>
      <c r="O41" s="25" t="str">
        <f>IF(OR($B41="",基础资料!$B$4=""),"",SUMIFS(周转筐出入库明细!$H$4:$H$2004,周转筐出入库明细!$C$4:$C$2004,$B41,周转筐出入库明细!$D$4:$D$2004,基础资料!$B$4,周转筐出入库明细!$F$4:$F$2004,"采购入库",周转筐出入库明细!$B$4:$B$2004,"&gt;="&amp;$BC$1,周转筐出入库明细!$B$4:$B$2004,"&lt;="&amp;$BC$2))</f>
        <v/>
      </c>
      <c r="P41" s="25" t="str">
        <f>IF(OR($B41="",基础资料!$B$5=""),"",SUMIFS(周转筐出入库明细!$H$4:$H$2004,周转筐出入库明细!$C$4:$C$2004,$B41,周转筐出入库明细!$D$4:$D$2004,基础资料!$B$5,周转筐出入库明细!$F$4:$F$2004,"采购入库",周转筐出入库明细!$B$4:$B$2004,"&gt;="&amp;$BC$1,周转筐出入库明细!$B$4:$B$2004,"&lt;="&amp;$BC$2))</f>
        <v/>
      </c>
      <c r="Q41" s="25" t="str">
        <f>IF(OR($B41="",基础资料!$B$6=""),"",SUMIFS(周转筐出入库明细!$H$4:$H$2004,周转筐出入库明细!$C$4:$C$2004,$B41,周转筐出入库明细!$D$4:$D$2004,基础资料!$B$6,周转筐出入库明细!$F$4:$F$2004,"采购入库",周转筐出入库明细!$B$4:$B$2004,"&gt;="&amp;$BC$1,周转筐出入库明细!$B$4:$B$2004,"&lt;="&amp;$BC$2))</f>
        <v/>
      </c>
      <c r="R41" s="25" t="str">
        <f>IF(OR($B41="",基础资料!$B$7=""),"",SUMIFS(周转筐出入库明细!$H$4:$H$2004,周转筐出入库明细!$C$4:$C$2004,$B41,周转筐出入库明细!$D$4:$D$2004,基础资料!$B$7,周转筐出入库明细!$F$4:$F$2004,"采购入库",周转筐出入库明细!$B$4:$B$2004,"&gt;="&amp;$BC$1,周转筐出入库明细!$B$4:$B$2004,"&lt;="&amp;$BC$2))</f>
        <v/>
      </c>
      <c r="S41" s="25" t="str">
        <f>IF(OR($B41="",基础资料!$B$8=""),"",SUMIFS(周转筐出入库明细!$H$4:$H$2004,周转筐出入库明细!$C$4:$C$2004,$B41,周转筐出入库明细!$D$4:$D$2004,基础资料!$B$8,周转筐出入库明细!$F$4:$F$2004,"采购入库",周转筐出入库明细!$B$4:$B$2004,"&gt;="&amp;$BC$1,周转筐出入库明细!$B$4:$B$2004,"&lt;="&amp;$BC$2))</f>
        <v/>
      </c>
      <c r="T41" s="25" t="str">
        <f t="shared" si="3"/>
        <v/>
      </c>
      <c r="U41" s="25" t="str">
        <f>IF(OR($B41="",基础资料!$B$4=""),"",SUMIFS(周转筐出入库明细!$K$4:$K$2004,周转筐出入库明细!$C$4:$C$2004,$B41,周转筐出入库明细!$D$4:$D$2004,基础资料!$B$4,周转筐出入库明细!$B$4:$B$2004,"&gt;="&amp;$BC$1,周转筐出入库明细!$B$4:$B$2004,"&lt;="&amp;$BC$2))</f>
        <v/>
      </c>
      <c r="V41" s="25" t="str">
        <f>IF(OR($B41="",基础资料!$B$5=""),"",SUMIFS(周转筐出入库明细!$K$4:$K$2004,周转筐出入库明细!$C$4:$C$2004,$B41,周转筐出入库明细!$D$4:$D$2004,基础资料!$B$5,周转筐出入库明细!$B$4:$B$2004,"&gt;="&amp;$BC$1,周转筐出入库明细!$B$4:$B$2004,"&lt;="&amp;$BC$2))</f>
        <v/>
      </c>
      <c r="W41" s="25" t="str">
        <f>IF(OR($B41="",基础资料!$B$6=""),"",SUMIFS(周转筐出入库明细!$K$4:$K$2004,周转筐出入库明细!$C$4:$C$2004,$B41,周转筐出入库明细!$D$4:$D$2004,基础资料!$B$6,周转筐出入库明细!$B$4:$B$2004,"&gt;="&amp;$BC$1,周转筐出入库明细!$B$4:$B$2004,"&lt;="&amp;$BC$2))</f>
        <v/>
      </c>
      <c r="X41" s="25" t="str">
        <f>IF(OR($B41="",基础资料!$B$7=""),"",SUMIFS(周转筐出入库明细!$K$4:$K$2004,周转筐出入库明细!$C$4:$C$2004,$B41,周转筐出入库明细!$D$4:$D$2004,基础资料!$B$7,周转筐出入库明细!$B$4:$B$2004,"&gt;="&amp;$BC$1,周转筐出入库明细!$B$4:$B$2004,"&lt;="&amp;$BC$2))</f>
        <v/>
      </c>
      <c r="Y41" s="25" t="str">
        <f>IF(OR($B41="",基础资料!$B$8=""),"",SUMIFS(周转筐出入库明细!$K$4:$K$2004,周转筐出入库明细!$C$4:$C$2004,$B41,周转筐出入库明细!$D$4:$D$2004,基础资料!$B$8,周转筐出入库明细!$B$4:$B$2004,"&gt;="&amp;$BC$1,周转筐出入库明细!$B$4:$B$2004,"&lt;="&amp;$BC$2))</f>
        <v/>
      </c>
      <c r="Z41" s="25" t="str">
        <f t="shared" si="4"/>
        <v/>
      </c>
      <c r="AA41" s="67" t="str">
        <f>IF(OR($B41="",基础资料!$B$4=""),"",-SUMIFS(对接源_01水果筐数!$D$5:$D$304,对接源_01水果筐数!$B$5:$B$304,$B41,对接源_01水果筐数!$C$5:$C$304,基础资料!$B$4))</f>
        <v/>
      </c>
      <c r="AB41" s="67" t="str">
        <f>IF(OR($B41="",基础资料!$B$5=""),"",-SUMIFS(对接源_01水果筐数!$D$5:$D$304,对接源_01水果筐数!$B$5:$B$304,$B41,对接源_01水果筐数!$C$5:$C$304,基础资料!$B$5))</f>
        <v/>
      </c>
      <c r="AC41" s="67" t="str">
        <f>IF(OR($B41="",基础资料!$B$6=""),"",-SUMIFS(对接源_01水果筐数!$D$5:$D$304,对接源_01水果筐数!$B$5:$B$304,$B41,对接源_01水果筐数!$C$5:$C$304,基础资料!$B$6))</f>
        <v/>
      </c>
      <c r="AD41" s="67" t="str">
        <f>IF(OR($B41="",基础资料!$B$7=""),"",-SUMIFS(对接源_01水果筐数!$D$5:$D$304,对接源_01水果筐数!$B$5:$B$304,$B41,对接源_01水果筐数!$C$5:$C$304,基础资料!$B$7))</f>
        <v/>
      </c>
      <c r="AE41" s="67" t="str">
        <f>IF(OR($B41="",基础资料!$B$8=""),"",-SUMIFS(对接源_01水果筐数!$D$5:$D$304,对接源_01水果筐数!$B$5:$B$304,$B41,对接源_01水果筐数!$C$5:$C$304,基础资料!$B$8))</f>
        <v/>
      </c>
      <c r="AF41" s="25" t="str">
        <f>IF(OR($B41="",基础资料!$B$4=""),"",SUMIFS(对接源_01水果筐数!$E$5:$E$304,对接源_01水果筐数!$B$5:$B$304,$B41,对接源_01水果筐数!$C$5:$C$304,基础资料!$B$4))</f>
        <v/>
      </c>
      <c r="AG41" s="25" t="str">
        <f>IF(OR($B41="",基础资料!$B$5=""),"",SUMIFS(对接源_01水果筐数!$E$5:$E$304,对接源_01水果筐数!$B$5:$B$304,$B41,对接源_01水果筐数!$C$5:$C$304,基础资料!$B$5))</f>
        <v/>
      </c>
      <c r="AH41" s="25" t="str">
        <f>IF(OR($B41="",基础资料!$B$6=""),"",SUMIFS(对接源_01水果筐数!$E$5:$E$304,对接源_01水果筐数!$B$5:$B$304,$B41,对接源_01水果筐数!$C$5:$C$304,基础资料!$B$6))</f>
        <v/>
      </c>
      <c r="AI41" s="25" t="str">
        <f>IF(OR($B41="",基础资料!$B$7=""),"",SUMIFS(对接源_01水果筐数!$E$5:$E$304,对接源_01水果筐数!$B$5:$B$304,$B41,对接源_01水果筐数!$C$5:$C$304,基础资料!$B$7))</f>
        <v/>
      </c>
      <c r="AJ41" s="25" t="str">
        <f>IF(OR($B41="",基础资料!$B$8=""),"",SUMIFS(对接源_01水果筐数!$E$5:$E$304,对接源_01水果筐数!$B$5:$B$304,$B41,对接源_01水果筐数!$C$5:$C$304,基础资料!$B$8))</f>
        <v/>
      </c>
      <c r="AK41" s="25" t="str">
        <f>IF(OR($B41="",基础资料!$B$4=""),"",SUMIFS(对接源_01水果筐数!$F$5:$F$304,对接源_01水果筐数!$B$5:$B$304,$B41,对接源_01水果筐数!$C$5:$C$304,基础资料!$B$4))</f>
        <v/>
      </c>
      <c r="AL41" s="25" t="str">
        <f>IF(OR($B41="",基础资料!$B$5=""),"",SUMIFS(对接源_01水果筐数!$F$5:$F$304,对接源_01水果筐数!$B$5:$B$304,$B41,对接源_01水果筐数!$C$5:$C$304,基础资料!$B$5))</f>
        <v/>
      </c>
      <c r="AM41" s="25" t="str">
        <f>IF(OR($B41="",基础资料!$B$6=""),"",SUMIFS(对接源_01水果筐数!$F$5:$F$304,对接源_01水果筐数!$B$5:$B$304,$B41,对接源_01水果筐数!$C$5:$C$304,基础资料!$B$6))</f>
        <v/>
      </c>
      <c r="AN41" s="25" t="str">
        <f>IF(OR($B41="",基础资料!$B$7=""),"",SUMIFS(对接源_01水果筐数!$F$5:$F$304,对接源_01水果筐数!$B$5:$B$304,$B41,对接源_01水果筐数!$C$5:$C$304,基础资料!$B$7))</f>
        <v/>
      </c>
      <c r="AO41" s="25" t="str">
        <f>IF(OR($B41="",基础资料!$B$8=""),"",SUMIFS(对接源_01水果筐数!$F$5:$F$304,对接源_01水果筐数!$B$5:$B$304,$B41,对接源_01水果筐数!$C$5:$C$304,基础资料!$B$8))</f>
        <v/>
      </c>
      <c r="AP41" s="25" t="str">
        <f t="shared" si="5"/>
        <v/>
      </c>
      <c r="AQ41" s="25" t="str">
        <f t="shared" si="11"/>
        <v/>
      </c>
      <c r="AR41" s="25" t="str">
        <f t="shared" si="6"/>
        <v/>
      </c>
      <c r="AS41" s="25" t="str">
        <f t="shared" si="7"/>
        <v/>
      </c>
      <c r="AT41" s="25" t="str">
        <f t="shared" si="8"/>
        <v/>
      </c>
      <c r="AU41" s="25" t="str">
        <f t="shared" si="9"/>
        <v/>
      </c>
      <c r="AV41" s="24" t="str">
        <f t="shared" si="10"/>
        <v/>
      </c>
      <c r="AW41" s="72"/>
    </row>
    <row r="42" spans="1:49">
      <c r="A42" s="22" t="str">
        <f t="shared" si="0"/>
        <v/>
      </c>
      <c r="B42" s="24" t="str">
        <f>IFERROR(INDEX(_自动清单!$CC$4:$CC$253,ROW()-3),"")</f>
        <v/>
      </c>
      <c r="C42" s="25" t="str">
        <f>IF(OR($B42="",基础资料!$B$4=""),"",SUMIFS(周转筐出入库明细!$J$4:$J$2004,周转筐出入库明细!$C$4:$C$2004,$B42,周转筐出入库明细!$D$4:$D$2004,基础资料!$B$4,周转筐出入库明细!$B$4:$B$2004,"&gt;="&amp;$BC$1,周转筐出入库明细!$B$4:$B$2004,"&lt;="&amp;$BC$2))</f>
        <v/>
      </c>
      <c r="D42" s="25" t="str">
        <f>IF(OR($B42="",基础资料!$B$5=""),"",SUMIFS(周转筐出入库明细!$J$4:$J$2004,周转筐出入库明细!$C$4:$C$2004,$B42,周转筐出入库明细!$D$4:$D$2004,基础资料!$B$5,周转筐出入库明细!$B$4:$B$2004,"&gt;="&amp;$BC$1,周转筐出入库明细!$B$4:$B$2004,"&lt;="&amp;$BC$2))</f>
        <v/>
      </c>
      <c r="E42" s="25" t="str">
        <f>IF(OR($B42="",基础资料!$B$6=""),"",SUMIFS(周转筐出入库明细!$J$4:$J$2004,周转筐出入库明细!$C$4:$C$2004,$B42,周转筐出入库明细!$D$4:$D$2004,基础资料!$B$6,周转筐出入库明细!$B$4:$B$2004,"&gt;="&amp;$BC$1,周转筐出入库明细!$B$4:$B$2004,"&lt;="&amp;$BC$2))</f>
        <v/>
      </c>
      <c r="F42" s="25" t="str">
        <f>IF(OR($B42="",基础资料!$B$7=""),"",SUMIFS(周转筐出入库明细!$J$4:$J$2004,周转筐出入库明细!$C$4:$C$2004,$B42,周转筐出入库明细!$D$4:$D$2004,基础资料!$B$7,周转筐出入库明细!$B$4:$B$2004,"&gt;="&amp;$BC$1,周转筐出入库明细!$B$4:$B$2004,"&lt;="&amp;$BC$2))</f>
        <v/>
      </c>
      <c r="G42" s="25" t="str">
        <f>IF(OR($B42="",基础资料!$B$8=""),"",SUMIFS(周转筐出入库明细!$J$4:$J$2004,周转筐出入库明细!$C$4:$C$2004,$B42,周转筐出入库明细!$D$4:$D$2004,基础资料!$B$8,周转筐出入库明细!$B$4:$B$2004,"&gt;="&amp;$BC$1,周转筐出入库明细!$B$4:$B$2004,"&lt;="&amp;$BC$2))</f>
        <v/>
      </c>
      <c r="H42" s="25" t="str">
        <f t="shared" si="1"/>
        <v/>
      </c>
      <c r="I42" s="67" t="str">
        <f>IF(OR($B42="",基础资料!$B$4=""),"",-SUMIFS(周转筐出入库明细!$I$4:$I$2004,周转筐出入库明细!$C$4:$C$2004,$B42,周转筐出入库明细!$D$4:$D$2004,基础资料!$B$4,周转筐出入库明细!$B$4:$B$2004,"&gt;="&amp;$BC$1,周转筐出入库明细!$B$4:$B$2004,"&lt;="&amp;$BC$2))</f>
        <v/>
      </c>
      <c r="J42" s="67" t="str">
        <f>IF(OR($B42="",基础资料!$B$5=""),"",-SUMIFS(周转筐出入库明细!$I$4:$I$2004,周转筐出入库明细!$C$4:$C$2004,$B42,周转筐出入库明细!$D$4:$D$2004,基础资料!$B$5,周转筐出入库明细!$B$4:$B$2004,"&gt;="&amp;$BC$1,周转筐出入库明细!$B$4:$B$2004,"&lt;="&amp;$BC$2))</f>
        <v/>
      </c>
      <c r="K42" s="67" t="str">
        <f>IF(OR($B42="",基础资料!$B$6=""),"",-SUMIFS(周转筐出入库明细!$I$4:$I$2004,周转筐出入库明细!$C$4:$C$2004,$B42,周转筐出入库明细!$D$4:$D$2004,基础资料!$B$6,周转筐出入库明细!$B$4:$B$2004,"&gt;="&amp;$BC$1,周转筐出入库明细!$B$4:$B$2004,"&lt;="&amp;$BC$2))</f>
        <v/>
      </c>
      <c r="L42" s="67" t="str">
        <f>IF(OR($B42="",基础资料!$B$7=""),"",-SUMIFS(周转筐出入库明细!$I$4:$I$2004,周转筐出入库明细!$C$4:$C$2004,$B42,周转筐出入库明细!$D$4:$D$2004,基础资料!$B$7,周转筐出入库明细!$B$4:$B$2004,"&gt;="&amp;$BC$1,周转筐出入库明细!$B$4:$B$2004,"&lt;="&amp;$BC$2))</f>
        <v/>
      </c>
      <c r="M42" s="67" t="str">
        <f>IF(OR($B42="",基础资料!$B$8=""),"",-SUMIFS(周转筐出入库明细!$I$4:$I$2004,周转筐出入库明细!$C$4:$C$2004,$B42,周转筐出入库明细!$D$4:$D$2004,基础资料!$B$8,周转筐出入库明细!$B$4:$B$2004,"&gt;="&amp;$BC$1,周转筐出入库明细!$B$4:$B$2004,"&lt;="&amp;$BC$2))</f>
        <v/>
      </c>
      <c r="N42" s="67" t="str">
        <f t="shared" si="2"/>
        <v/>
      </c>
      <c r="O42" s="25" t="str">
        <f>IF(OR($B42="",基础资料!$B$4=""),"",SUMIFS(周转筐出入库明细!$H$4:$H$2004,周转筐出入库明细!$C$4:$C$2004,$B42,周转筐出入库明细!$D$4:$D$2004,基础资料!$B$4,周转筐出入库明细!$F$4:$F$2004,"采购入库",周转筐出入库明细!$B$4:$B$2004,"&gt;="&amp;$BC$1,周转筐出入库明细!$B$4:$B$2004,"&lt;="&amp;$BC$2))</f>
        <v/>
      </c>
      <c r="P42" s="25" t="str">
        <f>IF(OR($B42="",基础资料!$B$5=""),"",SUMIFS(周转筐出入库明细!$H$4:$H$2004,周转筐出入库明细!$C$4:$C$2004,$B42,周转筐出入库明细!$D$4:$D$2004,基础资料!$B$5,周转筐出入库明细!$F$4:$F$2004,"采购入库",周转筐出入库明细!$B$4:$B$2004,"&gt;="&amp;$BC$1,周转筐出入库明细!$B$4:$B$2004,"&lt;="&amp;$BC$2))</f>
        <v/>
      </c>
      <c r="Q42" s="25" t="str">
        <f>IF(OR($B42="",基础资料!$B$6=""),"",SUMIFS(周转筐出入库明细!$H$4:$H$2004,周转筐出入库明细!$C$4:$C$2004,$B42,周转筐出入库明细!$D$4:$D$2004,基础资料!$B$6,周转筐出入库明细!$F$4:$F$2004,"采购入库",周转筐出入库明细!$B$4:$B$2004,"&gt;="&amp;$BC$1,周转筐出入库明细!$B$4:$B$2004,"&lt;="&amp;$BC$2))</f>
        <v/>
      </c>
      <c r="R42" s="25" t="str">
        <f>IF(OR($B42="",基础资料!$B$7=""),"",SUMIFS(周转筐出入库明细!$H$4:$H$2004,周转筐出入库明细!$C$4:$C$2004,$B42,周转筐出入库明细!$D$4:$D$2004,基础资料!$B$7,周转筐出入库明细!$F$4:$F$2004,"采购入库",周转筐出入库明细!$B$4:$B$2004,"&gt;="&amp;$BC$1,周转筐出入库明细!$B$4:$B$2004,"&lt;="&amp;$BC$2))</f>
        <v/>
      </c>
      <c r="S42" s="25" t="str">
        <f>IF(OR($B42="",基础资料!$B$8=""),"",SUMIFS(周转筐出入库明细!$H$4:$H$2004,周转筐出入库明细!$C$4:$C$2004,$B42,周转筐出入库明细!$D$4:$D$2004,基础资料!$B$8,周转筐出入库明细!$F$4:$F$2004,"采购入库",周转筐出入库明细!$B$4:$B$2004,"&gt;="&amp;$BC$1,周转筐出入库明细!$B$4:$B$2004,"&lt;="&amp;$BC$2))</f>
        <v/>
      </c>
      <c r="T42" s="25" t="str">
        <f t="shared" si="3"/>
        <v/>
      </c>
      <c r="U42" s="25" t="str">
        <f>IF(OR($B42="",基础资料!$B$4=""),"",SUMIFS(周转筐出入库明细!$K$4:$K$2004,周转筐出入库明细!$C$4:$C$2004,$B42,周转筐出入库明细!$D$4:$D$2004,基础资料!$B$4,周转筐出入库明细!$B$4:$B$2004,"&gt;="&amp;$BC$1,周转筐出入库明细!$B$4:$B$2004,"&lt;="&amp;$BC$2))</f>
        <v/>
      </c>
      <c r="V42" s="25" t="str">
        <f>IF(OR($B42="",基础资料!$B$5=""),"",SUMIFS(周转筐出入库明细!$K$4:$K$2004,周转筐出入库明细!$C$4:$C$2004,$B42,周转筐出入库明细!$D$4:$D$2004,基础资料!$B$5,周转筐出入库明细!$B$4:$B$2004,"&gt;="&amp;$BC$1,周转筐出入库明细!$B$4:$B$2004,"&lt;="&amp;$BC$2))</f>
        <v/>
      </c>
      <c r="W42" s="25" t="str">
        <f>IF(OR($B42="",基础资料!$B$6=""),"",SUMIFS(周转筐出入库明细!$K$4:$K$2004,周转筐出入库明细!$C$4:$C$2004,$B42,周转筐出入库明细!$D$4:$D$2004,基础资料!$B$6,周转筐出入库明细!$B$4:$B$2004,"&gt;="&amp;$BC$1,周转筐出入库明细!$B$4:$B$2004,"&lt;="&amp;$BC$2))</f>
        <v/>
      </c>
      <c r="X42" s="25" t="str">
        <f>IF(OR($B42="",基础资料!$B$7=""),"",SUMIFS(周转筐出入库明细!$K$4:$K$2004,周转筐出入库明细!$C$4:$C$2004,$B42,周转筐出入库明细!$D$4:$D$2004,基础资料!$B$7,周转筐出入库明细!$B$4:$B$2004,"&gt;="&amp;$BC$1,周转筐出入库明细!$B$4:$B$2004,"&lt;="&amp;$BC$2))</f>
        <v/>
      </c>
      <c r="Y42" s="25" t="str">
        <f>IF(OR($B42="",基础资料!$B$8=""),"",SUMIFS(周转筐出入库明细!$K$4:$K$2004,周转筐出入库明细!$C$4:$C$2004,$B42,周转筐出入库明细!$D$4:$D$2004,基础资料!$B$8,周转筐出入库明细!$B$4:$B$2004,"&gt;="&amp;$BC$1,周转筐出入库明细!$B$4:$B$2004,"&lt;="&amp;$BC$2))</f>
        <v/>
      </c>
      <c r="Z42" s="25" t="str">
        <f t="shared" si="4"/>
        <v/>
      </c>
      <c r="AA42" s="67" t="str">
        <f>IF(OR($B42="",基础资料!$B$4=""),"",-SUMIFS(对接源_01水果筐数!$D$5:$D$304,对接源_01水果筐数!$B$5:$B$304,$B42,对接源_01水果筐数!$C$5:$C$304,基础资料!$B$4))</f>
        <v/>
      </c>
      <c r="AB42" s="67" t="str">
        <f>IF(OR($B42="",基础资料!$B$5=""),"",-SUMIFS(对接源_01水果筐数!$D$5:$D$304,对接源_01水果筐数!$B$5:$B$304,$B42,对接源_01水果筐数!$C$5:$C$304,基础资料!$B$5))</f>
        <v/>
      </c>
      <c r="AC42" s="67" t="str">
        <f>IF(OR($B42="",基础资料!$B$6=""),"",-SUMIFS(对接源_01水果筐数!$D$5:$D$304,对接源_01水果筐数!$B$5:$B$304,$B42,对接源_01水果筐数!$C$5:$C$304,基础资料!$B$6))</f>
        <v/>
      </c>
      <c r="AD42" s="67" t="str">
        <f>IF(OR($B42="",基础资料!$B$7=""),"",-SUMIFS(对接源_01水果筐数!$D$5:$D$304,对接源_01水果筐数!$B$5:$B$304,$B42,对接源_01水果筐数!$C$5:$C$304,基础资料!$B$7))</f>
        <v/>
      </c>
      <c r="AE42" s="67" t="str">
        <f>IF(OR($B42="",基础资料!$B$8=""),"",-SUMIFS(对接源_01水果筐数!$D$5:$D$304,对接源_01水果筐数!$B$5:$B$304,$B42,对接源_01水果筐数!$C$5:$C$304,基础资料!$B$8))</f>
        <v/>
      </c>
      <c r="AF42" s="25" t="str">
        <f>IF(OR($B42="",基础资料!$B$4=""),"",SUMIFS(对接源_01水果筐数!$E$5:$E$304,对接源_01水果筐数!$B$5:$B$304,$B42,对接源_01水果筐数!$C$5:$C$304,基础资料!$B$4))</f>
        <v/>
      </c>
      <c r="AG42" s="25" t="str">
        <f>IF(OR($B42="",基础资料!$B$5=""),"",SUMIFS(对接源_01水果筐数!$E$5:$E$304,对接源_01水果筐数!$B$5:$B$304,$B42,对接源_01水果筐数!$C$5:$C$304,基础资料!$B$5))</f>
        <v/>
      </c>
      <c r="AH42" s="25" t="str">
        <f>IF(OR($B42="",基础资料!$B$6=""),"",SUMIFS(对接源_01水果筐数!$E$5:$E$304,对接源_01水果筐数!$B$5:$B$304,$B42,对接源_01水果筐数!$C$5:$C$304,基础资料!$B$6))</f>
        <v/>
      </c>
      <c r="AI42" s="25" t="str">
        <f>IF(OR($B42="",基础资料!$B$7=""),"",SUMIFS(对接源_01水果筐数!$E$5:$E$304,对接源_01水果筐数!$B$5:$B$304,$B42,对接源_01水果筐数!$C$5:$C$304,基础资料!$B$7))</f>
        <v/>
      </c>
      <c r="AJ42" s="25" t="str">
        <f>IF(OR($B42="",基础资料!$B$8=""),"",SUMIFS(对接源_01水果筐数!$E$5:$E$304,对接源_01水果筐数!$B$5:$B$304,$B42,对接源_01水果筐数!$C$5:$C$304,基础资料!$B$8))</f>
        <v/>
      </c>
      <c r="AK42" s="25" t="str">
        <f>IF(OR($B42="",基础资料!$B$4=""),"",SUMIFS(对接源_01水果筐数!$F$5:$F$304,对接源_01水果筐数!$B$5:$B$304,$B42,对接源_01水果筐数!$C$5:$C$304,基础资料!$B$4))</f>
        <v/>
      </c>
      <c r="AL42" s="25" t="str">
        <f>IF(OR($B42="",基础资料!$B$5=""),"",SUMIFS(对接源_01水果筐数!$F$5:$F$304,对接源_01水果筐数!$B$5:$B$304,$B42,对接源_01水果筐数!$C$5:$C$304,基础资料!$B$5))</f>
        <v/>
      </c>
      <c r="AM42" s="25" t="str">
        <f>IF(OR($B42="",基础资料!$B$6=""),"",SUMIFS(对接源_01水果筐数!$F$5:$F$304,对接源_01水果筐数!$B$5:$B$304,$B42,对接源_01水果筐数!$C$5:$C$304,基础资料!$B$6))</f>
        <v/>
      </c>
      <c r="AN42" s="25" t="str">
        <f>IF(OR($B42="",基础资料!$B$7=""),"",SUMIFS(对接源_01水果筐数!$F$5:$F$304,对接源_01水果筐数!$B$5:$B$304,$B42,对接源_01水果筐数!$C$5:$C$304,基础资料!$B$7))</f>
        <v/>
      </c>
      <c r="AO42" s="25" t="str">
        <f>IF(OR($B42="",基础资料!$B$8=""),"",SUMIFS(对接源_01水果筐数!$F$5:$F$304,对接源_01水果筐数!$B$5:$B$304,$B42,对接源_01水果筐数!$C$5:$C$304,基础资料!$B$8))</f>
        <v/>
      </c>
      <c r="AP42" s="25" t="str">
        <f t="shared" si="5"/>
        <v/>
      </c>
      <c r="AQ42" s="25" t="str">
        <f t="shared" si="11"/>
        <v/>
      </c>
      <c r="AR42" s="25" t="str">
        <f t="shared" si="6"/>
        <v/>
      </c>
      <c r="AS42" s="25" t="str">
        <f t="shared" si="7"/>
        <v/>
      </c>
      <c r="AT42" s="25" t="str">
        <f t="shared" si="8"/>
        <v/>
      </c>
      <c r="AU42" s="25" t="str">
        <f t="shared" si="9"/>
        <v/>
      </c>
      <c r="AV42" s="24" t="str">
        <f t="shared" si="10"/>
        <v/>
      </c>
      <c r="AW42" s="72"/>
    </row>
    <row r="43" spans="1:49">
      <c r="A43" s="22" t="str">
        <f t="shared" si="0"/>
        <v/>
      </c>
      <c r="B43" s="24" t="str">
        <f>IFERROR(INDEX(_自动清单!$CC$4:$CC$253,ROW()-3),"")</f>
        <v/>
      </c>
      <c r="C43" s="25" t="str">
        <f>IF(OR($B43="",基础资料!$B$4=""),"",SUMIFS(周转筐出入库明细!$J$4:$J$2004,周转筐出入库明细!$C$4:$C$2004,$B43,周转筐出入库明细!$D$4:$D$2004,基础资料!$B$4,周转筐出入库明细!$B$4:$B$2004,"&gt;="&amp;$BC$1,周转筐出入库明细!$B$4:$B$2004,"&lt;="&amp;$BC$2))</f>
        <v/>
      </c>
      <c r="D43" s="25" t="str">
        <f>IF(OR($B43="",基础资料!$B$5=""),"",SUMIFS(周转筐出入库明细!$J$4:$J$2004,周转筐出入库明细!$C$4:$C$2004,$B43,周转筐出入库明细!$D$4:$D$2004,基础资料!$B$5,周转筐出入库明细!$B$4:$B$2004,"&gt;="&amp;$BC$1,周转筐出入库明细!$B$4:$B$2004,"&lt;="&amp;$BC$2))</f>
        <v/>
      </c>
      <c r="E43" s="25" t="str">
        <f>IF(OR($B43="",基础资料!$B$6=""),"",SUMIFS(周转筐出入库明细!$J$4:$J$2004,周转筐出入库明细!$C$4:$C$2004,$B43,周转筐出入库明细!$D$4:$D$2004,基础资料!$B$6,周转筐出入库明细!$B$4:$B$2004,"&gt;="&amp;$BC$1,周转筐出入库明细!$B$4:$B$2004,"&lt;="&amp;$BC$2))</f>
        <v/>
      </c>
      <c r="F43" s="25" t="str">
        <f>IF(OR($B43="",基础资料!$B$7=""),"",SUMIFS(周转筐出入库明细!$J$4:$J$2004,周转筐出入库明细!$C$4:$C$2004,$B43,周转筐出入库明细!$D$4:$D$2004,基础资料!$B$7,周转筐出入库明细!$B$4:$B$2004,"&gt;="&amp;$BC$1,周转筐出入库明细!$B$4:$B$2004,"&lt;="&amp;$BC$2))</f>
        <v/>
      </c>
      <c r="G43" s="25" t="str">
        <f>IF(OR($B43="",基础资料!$B$8=""),"",SUMIFS(周转筐出入库明细!$J$4:$J$2004,周转筐出入库明细!$C$4:$C$2004,$B43,周转筐出入库明细!$D$4:$D$2004,基础资料!$B$8,周转筐出入库明细!$B$4:$B$2004,"&gt;="&amp;$BC$1,周转筐出入库明细!$B$4:$B$2004,"&lt;="&amp;$BC$2))</f>
        <v/>
      </c>
      <c r="H43" s="25" t="str">
        <f t="shared" si="1"/>
        <v/>
      </c>
      <c r="I43" s="67" t="str">
        <f>IF(OR($B43="",基础资料!$B$4=""),"",-SUMIFS(周转筐出入库明细!$I$4:$I$2004,周转筐出入库明细!$C$4:$C$2004,$B43,周转筐出入库明细!$D$4:$D$2004,基础资料!$B$4,周转筐出入库明细!$B$4:$B$2004,"&gt;="&amp;$BC$1,周转筐出入库明细!$B$4:$B$2004,"&lt;="&amp;$BC$2))</f>
        <v/>
      </c>
      <c r="J43" s="67" t="str">
        <f>IF(OR($B43="",基础资料!$B$5=""),"",-SUMIFS(周转筐出入库明细!$I$4:$I$2004,周转筐出入库明细!$C$4:$C$2004,$B43,周转筐出入库明细!$D$4:$D$2004,基础资料!$B$5,周转筐出入库明细!$B$4:$B$2004,"&gt;="&amp;$BC$1,周转筐出入库明细!$B$4:$B$2004,"&lt;="&amp;$BC$2))</f>
        <v/>
      </c>
      <c r="K43" s="67" t="str">
        <f>IF(OR($B43="",基础资料!$B$6=""),"",-SUMIFS(周转筐出入库明细!$I$4:$I$2004,周转筐出入库明细!$C$4:$C$2004,$B43,周转筐出入库明细!$D$4:$D$2004,基础资料!$B$6,周转筐出入库明细!$B$4:$B$2004,"&gt;="&amp;$BC$1,周转筐出入库明细!$B$4:$B$2004,"&lt;="&amp;$BC$2))</f>
        <v/>
      </c>
      <c r="L43" s="67" t="str">
        <f>IF(OR($B43="",基础资料!$B$7=""),"",-SUMIFS(周转筐出入库明细!$I$4:$I$2004,周转筐出入库明细!$C$4:$C$2004,$B43,周转筐出入库明细!$D$4:$D$2004,基础资料!$B$7,周转筐出入库明细!$B$4:$B$2004,"&gt;="&amp;$BC$1,周转筐出入库明细!$B$4:$B$2004,"&lt;="&amp;$BC$2))</f>
        <v/>
      </c>
      <c r="M43" s="67" t="str">
        <f>IF(OR($B43="",基础资料!$B$8=""),"",-SUMIFS(周转筐出入库明细!$I$4:$I$2004,周转筐出入库明细!$C$4:$C$2004,$B43,周转筐出入库明细!$D$4:$D$2004,基础资料!$B$8,周转筐出入库明细!$B$4:$B$2004,"&gt;="&amp;$BC$1,周转筐出入库明细!$B$4:$B$2004,"&lt;="&amp;$BC$2))</f>
        <v/>
      </c>
      <c r="N43" s="67" t="str">
        <f t="shared" si="2"/>
        <v/>
      </c>
      <c r="O43" s="25" t="str">
        <f>IF(OR($B43="",基础资料!$B$4=""),"",SUMIFS(周转筐出入库明细!$H$4:$H$2004,周转筐出入库明细!$C$4:$C$2004,$B43,周转筐出入库明细!$D$4:$D$2004,基础资料!$B$4,周转筐出入库明细!$F$4:$F$2004,"采购入库",周转筐出入库明细!$B$4:$B$2004,"&gt;="&amp;$BC$1,周转筐出入库明细!$B$4:$B$2004,"&lt;="&amp;$BC$2))</f>
        <v/>
      </c>
      <c r="P43" s="25" t="str">
        <f>IF(OR($B43="",基础资料!$B$5=""),"",SUMIFS(周转筐出入库明细!$H$4:$H$2004,周转筐出入库明细!$C$4:$C$2004,$B43,周转筐出入库明细!$D$4:$D$2004,基础资料!$B$5,周转筐出入库明细!$F$4:$F$2004,"采购入库",周转筐出入库明细!$B$4:$B$2004,"&gt;="&amp;$BC$1,周转筐出入库明细!$B$4:$B$2004,"&lt;="&amp;$BC$2))</f>
        <v/>
      </c>
      <c r="Q43" s="25" t="str">
        <f>IF(OR($B43="",基础资料!$B$6=""),"",SUMIFS(周转筐出入库明细!$H$4:$H$2004,周转筐出入库明细!$C$4:$C$2004,$B43,周转筐出入库明细!$D$4:$D$2004,基础资料!$B$6,周转筐出入库明细!$F$4:$F$2004,"采购入库",周转筐出入库明细!$B$4:$B$2004,"&gt;="&amp;$BC$1,周转筐出入库明细!$B$4:$B$2004,"&lt;="&amp;$BC$2))</f>
        <v/>
      </c>
      <c r="R43" s="25" t="str">
        <f>IF(OR($B43="",基础资料!$B$7=""),"",SUMIFS(周转筐出入库明细!$H$4:$H$2004,周转筐出入库明细!$C$4:$C$2004,$B43,周转筐出入库明细!$D$4:$D$2004,基础资料!$B$7,周转筐出入库明细!$F$4:$F$2004,"采购入库",周转筐出入库明细!$B$4:$B$2004,"&gt;="&amp;$BC$1,周转筐出入库明细!$B$4:$B$2004,"&lt;="&amp;$BC$2))</f>
        <v/>
      </c>
      <c r="S43" s="25" t="str">
        <f>IF(OR($B43="",基础资料!$B$8=""),"",SUMIFS(周转筐出入库明细!$H$4:$H$2004,周转筐出入库明细!$C$4:$C$2004,$B43,周转筐出入库明细!$D$4:$D$2004,基础资料!$B$8,周转筐出入库明细!$F$4:$F$2004,"采购入库",周转筐出入库明细!$B$4:$B$2004,"&gt;="&amp;$BC$1,周转筐出入库明细!$B$4:$B$2004,"&lt;="&amp;$BC$2))</f>
        <v/>
      </c>
      <c r="T43" s="25" t="str">
        <f t="shared" si="3"/>
        <v/>
      </c>
      <c r="U43" s="25" t="str">
        <f>IF(OR($B43="",基础资料!$B$4=""),"",SUMIFS(周转筐出入库明细!$K$4:$K$2004,周转筐出入库明细!$C$4:$C$2004,$B43,周转筐出入库明细!$D$4:$D$2004,基础资料!$B$4,周转筐出入库明细!$B$4:$B$2004,"&gt;="&amp;$BC$1,周转筐出入库明细!$B$4:$B$2004,"&lt;="&amp;$BC$2))</f>
        <v/>
      </c>
      <c r="V43" s="25" t="str">
        <f>IF(OR($B43="",基础资料!$B$5=""),"",SUMIFS(周转筐出入库明细!$K$4:$K$2004,周转筐出入库明细!$C$4:$C$2004,$B43,周转筐出入库明细!$D$4:$D$2004,基础资料!$B$5,周转筐出入库明细!$B$4:$B$2004,"&gt;="&amp;$BC$1,周转筐出入库明细!$B$4:$B$2004,"&lt;="&amp;$BC$2))</f>
        <v/>
      </c>
      <c r="W43" s="25" t="str">
        <f>IF(OR($B43="",基础资料!$B$6=""),"",SUMIFS(周转筐出入库明细!$K$4:$K$2004,周转筐出入库明细!$C$4:$C$2004,$B43,周转筐出入库明细!$D$4:$D$2004,基础资料!$B$6,周转筐出入库明细!$B$4:$B$2004,"&gt;="&amp;$BC$1,周转筐出入库明细!$B$4:$B$2004,"&lt;="&amp;$BC$2))</f>
        <v/>
      </c>
      <c r="X43" s="25" t="str">
        <f>IF(OR($B43="",基础资料!$B$7=""),"",SUMIFS(周转筐出入库明细!$K$4:$K$2004,周转筐出入库明细!$C$4:$C$2004,$B43,周转筐出入库明细!$D$4:$D$2004,基础资料!$B$7,周转筐出入库明细!$B$4:$B$2004,"&gt;="&amp;$BC$1,周转筐出入库明细!$B$4:$B$2004,"&lt;="&amp;$BC$2))</f>
        <v/>
      </c>
      <c r="Y43" s="25" t="str">
        <f>IF(OR($B43="",基础资料!$B$8=""),"",SUMIFS(周转筐出入库明细!$K$4:$K$2004,周转筐出入库明细!$C$4:$C$2004,$B43,周转筐出入库明细!$D$4:$D$2004,基础资料!$B$8,周转筐出入库明细!$B$4:$B$2004,"&gt;="&amp;$BC$1,周转筐出入库明细!$B$4:$B$2004,"&lt;="&amp;$BC$2))</f>
        <v/>
      </c>
      <c r="Z43" s="25" t="str">
        <f t="shared" si="4"/>
        <v/>
      </c>
      <c r="AA43" s="67" t="str">
        <f>IF(OR($B43="",基础资料!$B$4=""),"",-SUMIFS(对接源_01水果筐数!$D$5:$D$304,对接源_01水果筐数!$B$5:$B$304,$B43,对接源_01水果筐数!$C$5:$C$304,基础资料!$B$4))</f>
        <v/>
      </c>
      <c r="AB43" s="67" t="str">
        <f>IF(OR($B43="",基础资料!$B$5=""),"",-SUMIFS(对接源_01水果筐数!$D$5:$D$304,对接源_01水果筐数!$B$5:$B$304,$B43,对接源_01水果筐数!$C$5:$C$304,基础资料!$B$5))</f>
        <v/>
      </c>
      <c r="AC43" s="67" t="str">
        <f>IF(OR($B43="",基础资料!$B$6=""),"",-SUMIFS(对接源_01水果筐数!$D$5:$D$304,对接源_01水果筐数!$B$5:$B$304,$B43,对接源_01水果筐数!$C$5:$C$304,基础资料!$B$6))</f>
        <v/>
      </c>
      <c r="AD43" s="67" t="str">
        <f>IF(OR($B43="",基础资料!$B$7=""),"",-SUMIFS(对接源_01水果筐数!$D$5:$D$304,对接源_01水果筐数!$B$5:$B$304,$B43,对接源_01水果筐数!$C$5:$C$304,基础资料!$B$7))</f>
        <v/>
      </c>
      <c r="AE43" s="67" t="str">
        <f>IF(OR($B43="",基础资料!$B$8=""),"",-SUMIFS(对接源_01水果筐数!$D$5:$D$304,对接源_01水果筐数!$B$5:$B$304,$B43,对接源_01水果筐数!$C$5:$C$304,基础资料!$B$8))</f>
        <v/>
      </c>
      <c r="AF43" s="25" t="str">
        <f>IF(OR($B43="",基础资料!$B$4=""),"",SUMIFS(对接源_01水果筐数!$E$5:$E$304,对接源_01水果筐数!$B$5:$B$304,$B43,对接源_01水果筐数!$C$5:$C$304,基础资料!$B$4))</f>
        <v/>
      </c>
      <c r="AG43" s="25" t="str">
        <f>IF(OR($B43="",基础资料!$B$5=""),"",SUMIFS(对接源_01水果筐数!$E$5:$E$304,对接源_01水果筐数!$B$5:$B$304,$B43,对接源_01水果筐数!$C$5:$C$304,基础资料!$B$5))</f>
        <v/>
      </c>
      <c r="AH43" s="25" t="str">
        <f>IF(OR($B43="",基础资料!$B$6=""),"",SUMIFS(对接源_01水果筐数!$E$5:$E$304,对接源_01水果筐数!$B$5:$B$304,$B43,对接源_01水果筐数!$C$5:$C$304,基础资料!$B$6))</f>
        <v/>
      </c>
      <c r="AI43" s="25" t="str">
        <f>IF(OR($B43="",基础资料!$B$7=""),"",SUMIFS(对接源_01水果筐数!$E$5:$E$304,对接源_01水果筐数!$B$5:$B$304,$B43,对接源_01水果筐数!$C$5:$C$304,基础资料!$B$7))</f>
        <v/>
      </c>
      <c r="AJ43" s="25" t="str">
        <f>IF(OR($B43="",基础资料!$B$8=""),"",SUMIFS(对接源_01水果筐数!$E$5:$E$304,对接源_01水果筐数!$B$5:$B$304,$B43,对接源_01水果筐数!$C$5:$C$304,基础资料!$B$8))</f>
        <v/>
      </c>
      <c r="AK43" s="25" t="str">
        <f>IF(OR($B43="",基础资料!$B$4=""),"",SUMIFS(对接源_01水果筐数!$F$5:$F$304,对接源_01水果筐数!$B$5:$B$304,$B43,对接源_01水果筐数!$C$5:$C$304,基础资料!$B$4))</f>
        <v/>
      </c>
      <c r="AL43" s="25" t="str">
        <f>IF(OR($B43="",基础资料!$B$5=""),"",SUMIFS(对接源_01水果筐数!$F$5:$F$304,对接源_01水果筐数!$B$5:$B$304,$B43,对接源_01水果筐数!$C$5:$C$304,基础资料!$B$5))</f>
        <v/>
      </c>
      <c r="AM43" s="25" t="str">
        <f>IF(OR($B43="",基础资料!$B$6=""),"",SUMIFS(对接源_01水果筐数!$F$5:$F$304,对接源_01水果筐数!$B$5:$B$304,$B43,对接源_01水果筐数!$C$5:$C$304,基础资料!$B$6))</f>
        <v/>
      </c>
      <c r="AN43" s="25" t="str">
        <f>IF(OR($B43="",基础资料!$B$7=""),"",SUMIFS(对接源_01水果筐数!$F$5:$F$304,对接源_01水果筐数!$B$5:$B$304,$B43,对接源_01水果筐数!$C$5:$C$304,基础资料!$B$7))</f>
        <v/>
      </c>
      <c r="AO43" s="25" t="str">
        <f>IF(OR($B43="",基础资料!$B$8=""),"",SUMIFS(对接源_01水果筐数!$F$5:$F$304,对接源_01水果筐数!$B$5:$B$304,$B43,对接源_01水果筐数!$C$5:$C$304,基础资料!$B$8))</f>
        <v/>
      </c>
      <c r="AP43" s="25" t="str">
        <f t="shared" si="5"/>
        <v/>
      </c>
      <c r="AQ43" s="25" t="str">
        <f t="shared" si="11"/>
        <v/>
      </c>
      <c r="AR43" s="25" t="str">
        <f t="shared" si="6"/>
        <v/>
      </c>
      <c r="AS43" s="25" t="str">
        <f t="shared" si="7"/>
        <v/>
      </c>
      <c r="AT43" s="25" t="str">
        <f t="shared" si="8"/>
        <v/>
      </c>
      <c r="AU43" s="25" t="str">
        <f t="shared" si="9"/>
        <v/>
      </c>
      <c r="AV43" s="24" t="str">
        <f t="shared" si="10"/>
        <v/>
      </c>
      <c r="AW43" s="72"/>
    </row>
    <row r="44" spans="1:49">
      <c r="A44" s="22" t="str">
        <f t="shared" si="0"/>
        <v/>
      </c>
      <c r="B44" s="24" t="str">
        <f>IFERROR(INDEX(_自动清单!$CC$4:$CC$253,ROW()-3),"")</f>
        <v/>
      </c>
      <c r="C44" s="25" t="str">
        <f>IF(OR($B44="",基础资料!$B$4=""),"",SUMIFS(周转筐出入库明细!$J$4:$J$2004,周转筐出入库明细!$C$4:$C$2004,$B44,周转筐出入库明细!$D$4:$D$2004,基础资料!$B$4,周转筐出入库明细!$B$4:$B$2004,"&gt;="&amp;$BC$1,周转筐出入库明细!$B$4:$B$2004,"&lt;="&amp;$BC$2))</f>
        <v/>
      </c>
      <c r="D44" s="25" t="str">
        <f>IF(OR($B44="",基础资料!$B$5=""),"",SUMIFS(周转筐出入库明细!$J$4:$J$2004,周转筐出入库明细!$C$4:$C$2004,$B44,周转筐出入库明细!$D$4:$D$2004,基础资料!$B$5,周转筐出入库明细!$B$4:$B$2004,"&gt;="&amp;$BC$1,周转筐出入库明细!$B$4:$B$2004,"&lt;="&amp;$BC$2))</f>
        <v/>
      </c>
      <c r="E44" s="25" t="str">
        <f>IF(OR($B44="",基础资料!$B$6=""),"",SUMIFS(周转筐出入库明细!$J$4:$J$2004,周转筐出入库明细!$C$4:$C$2004,$B44,周转筐出入库明细!$D$4:$D$2004,基础资料!$B$6,周转筐出入库明细!$B$4:$B$2004,"&gt;="&amp;$BC$1,周转筐出入库明细!$B$4:$B$2004,"&lt;="&amp;$BC$2))</f>
        <v/>
      </c>
      <c r="F44" s="25" t="str">
        <f>IF(OR($B44="",基础资料!$B$7=""),"",SUMIFS(周转筐出入库明细!$J$4:$J$2004,周转筐出入库明细!$C$4:$C$2004,$B44,周转筐出入库明细!$D$4:$D$2004,基础资料!$B$7,周转筐出入库明细!$B$4:$B$2004,"&gt;="&amp;$BC$1,周转筐出入库明细!$B$4:$B$2004,"&lt;="&amp;$BC$2))</f>
        <v/>
      </c>
      <c r="G44" s="25" t="str">
        <f>IF(OR($B44="",基础资料!$B$8=""),"",SUMIFS(周转筐出入库明细!$J$4:$J$2004,周转筐出入库明细!$C$4:$C$2004,$B44,周转筐出入库明细!$D$4:$D$2004,基础资料!$B$8,周转筐出入库明细!$B$4:$B$2004,"&gt;="&amp;$BC$1,周转筐出入库明细!$B$4:$B$2004,"&lt;="&amp;$BC$2))</f>
        <v/>
      </c>
      <c r="H44" s="25" t="str">
        <f t="shared" si="1"/>
        <v/>
      </c>
      <c r="I44" s="67" t="str">
        <f>IF(OR($B44="",基础资料!$B$4=""),"",-SUMIFS(周转筐出入库明细!$I$4:$I$2004,周转筐出入库明细!$C$4:$C$2004,$B44,周转筐出入库明细!$D$4:$D$2004,基础资料!$B$4,周转筐出入库明细!$B$4:$B$2004,"&gt;="&amp;$BC$1,周转筐出入库明细!$B$4:$B$2004,"&lt;="&amp;$BC$2))</f>
        <v/>
      </c>
      <c r="J44" s="67" t="str">
        <f>IF(OR($B44="",基础资料!$B$5=""),"",-SUMIFS(周转筐出入库明细!$I$4:$I$2004,周转筐出入库明细!$C$4:$C$2004,$B44,周转筐出入库明细!$D$4:$D$2004,基础资料!$B$5,周转筐出入库明细!$B$4:$B$2004,"&gt;="&amp;$BC$1,周转筐出入库明细!$B$4:$B$2004,"&lt;="&amp;$BC$2))</f>
        <v/>
      </c>
      <c r="K44" s="67" t="str">
        <f>IF(OR($B44="",基础资料!$B$6=""),"",-SUMIFS(周转筐出入库明细!$I$4:$I$2004,周转筐出入库明细!$C$4:$C$2004,$B44,周转筐出入库明细!$D$4:$D$2004,基础资料!$B$6,周转筐出入库明细!$B$4:$B$2004,"&gt;="&amp;$BC$1,周转筐出入库明细!$B$4:$B$2004,"&lt;="&amp;$BC$2))</f>
        <v/>
      </c>
      <c r="L44" s="67" t="str">
        <f>IF(OR($B44="",基础资料!$B$7=""),"",-SUMIFS(周转筐出入库明细!$I$4:$I$2004,周转筐出入库明细!$C$4:$C$2004,$B44,周转筐出入库明细!$D$4:$D$2004,基础资料!$B$7,周转筐出入库明细!$B$4:$B$2004,"&gt;="&amp;$BC$1,周转筐出入库明细!$B$4:$B$2004,"&lt;="&amp;$BC$2))</f>
        <v/>
      </c>
      <c r="M44" s="67" t="str">
        <f>IF(OR($B44="",基础资料!$B$8=""),"",-SUMIFS(周转筐出入库明细!$I$4:$I$2004,周转筐出入库明细!$C$4:$C$2004,$B44,周转筐出入库明细!$D$4:$D$2004,基础资料!$B$8,周转筐出入库明细!$B$4:$B$2004,"&gt;="&amp;$BC$1,周转筐出入库明细!$B$4:$B$2004,"&lt;="&amp;$BC$2))</f>
        <v/>
      </c>
      <c r="N44" s="67" t="str">
        <f t="shared" si="2"/>
        <v/>
      </c>
      <c r="O44" s="25" t="str">
        <f>IF(OR($B44="",基础资料!$B$4=""),"",SUMIFS(周转筐出入库明细!$H$4:$H$2004,周转筐出入库明细!$C$4:$C$2004,$B44,周转筐出入库明细!$D$4:$D$2004,基础资料!$B$4,周转筐出入库明细!$F$4:$F$2004,"采购入库",周转筐出入库明细!$B$4:$B$2004,"&gt;="&amp;$BC$1,周转筐出入库明细!$B$4:$B$2004,"&lt;="&amp;$BC$2))</f>
        <v/>
      </c>
      <c r="P44" s="25" t="str">
        <f>IF(OR($B44="",基础资料!$B$5=""),"",SUMIFS(周转筐出入库明细!$H$4:$H$2004,周转筐出入库明细!$C$4:$C$2004,$B44,周转筐出入库明细!$D$4:$D$2004,基础资料!$B$5,周转筐出入库明细!$F$4:$F$2004,"采购入库",周转筐出入库明细!$B$4:$B$2004,"&gt;="&amp;$BC$1,周转筐出入库明细!$B$4:$B$2004,"&lt;="&amp;$BC$2))</f>
        <v/>
      </c>
      <c r="Q44" s="25" t="str">
        <f>IF(OR($B44="",基础资料!$B$6=""),"",SUMIFS(周转筐出入库明细!$H$4:$H$2004,周转筐出入库明细!$C$4:$C$2004,$B44,周转筐出入库明细!$D$4:$D$2004,基础资料!$B$6,周转筐出入库明细!$F$4:$F$2004,"采购入库",周转筐出入库明细!$B$4:$B$2004,"&gt;="&amp;$BC$1,周转筐出入库明细!$B$4:$B$2004,"&lt;="&amp;$BC$2))</f>
        <v/>
      </c>
      <c r="R44" s="25" t="str">
        <f>IF(OR($B44="",基础资料!$B$7=""),"",SUMIFS(周转筐出入库明细!$H$4:$H$2004,周转筐出入库明细!$C$4:$C$2004,$B44,周转筐出入库明细!$D$4:$D$2004,基础资料!$B$7,周转筐出入库明细!$F$4:$F$2004,"采购入库",周转筐出入库明细!$B$4:$B$2004,"&gt;="&amp;$BC$1,周转筐出入库明细!$B$4:$B$2004,"&lt;="&amp;$BC$2))</f>
        <v/>
      </c>
      <c r="S44" s="25" t="str">
        <f>IF(OR($B44="",基础资料!$B$8=""),"",SUMIFS(周转筐出入库明细!$H$4:$H$2004,周转筐出入库明细!$C$4:$C$2004,$B44,周转筐出入库明细!$D$4:$D$2004,基础资料!$B$8,周转筐出入库明细!$F$4:$F$2004,"采购入库",周转筐出入库明细!$B$4:$B$2004,"&gt;="&amp;$BC$1,周转筐出入库明细!$B$4:$B$2004,"&lt;="&amp;$BC$2))</f>
        <v/>
      </c>
      <c r="T44" s="25" t="str">
        <f t="shared" si="3"/>
        <v/>
      </c>
      <c r="U44" s="25" t="str">
        <f>IF(OR($B44="",基础资料!$B$4=""),"",SUMIFS(周转筐出入库明细!$K$4:$K$2004,周转筐出入库明细!$C$4:$C$2004,$B44,周转筐出入库明细!$D$4:$D$2004,基础资料!$B$4,周转筐出入库明细!$B$4:$B$2004,"&gt;="&amp;$BC$1,周转筐出入库明细!$B$4:$B$2004,"&lt;="&amp;$BC$2))</f>
        <v/>
      </c>
      <c r="V44" s="25" t="str">
        <f>IF(OR($B44="",基础资料!$B$5=""),"",SUMIFS(周转筐出入库明细!$K$4:$K$2004,周转筐出入库明细!$C$4:$C$2004,$B44,周转筐出入库明细!$D$4:$D$2004,基础资料!$B$5,周转筐出入库明细!$B$4:$B$2004,"&gt;="&amp;$BC$1,周转筐出入库明细!$B$4:$B$2004,"&lt;="&amp;$BC$2))</f>
        <v/>
      </c>
      <c r="W44" s="25" t="str">
        <f>IF(OR($B44="",基础资料!$B$6=""),"",SUMIFS(周转筐出入库明细!$K$4:$K$2004,周转筐出入库明细!$C$4:$C$2004,$B44,周转筐出入库明细!$D$4:$D$2004,基础资料!$B$6,周转筐出入库明细!$B$4:$B$2004,"&gt;="&amp;$BC$1,周转筐出入库明细!$B$4:$B$2004,"&lt;="&amp;$BC$2))</f>
        <v/>
      </c>
      <c r="X44" s="25" t="str">
        <f>IF(OR($B44="",基础资料!$B$7=""),"",SUMIFS(周转筐出入库明细!$K$4:$K$2004,周转筐出入库明细!$C$4:$C$2004,$B44,周转筐出入库明细!$D$4:$D$2004,基础资料!$B$7,周转筐出入库明细!$B$4:$B$2004,"&gt;="&amp;$BC$1,周转筐出入库明细!$B$4:$B$2004,"&lt;="&amp;$BC$2))</f>
        <v/>
      </c>
      <c r="Y44" s="25" t="str">
        <f>IF(OR($B44="",基础资料!$B$8=""),"",SUMIFS(周转筐出入库明细!$K$4:$K$2004,周转筐出入库明细!$C$4:$C$2004,$B44,周转筐出入库明细!$D$4:$D$2004,基础资料!$B$8,周转筐出入库明细!$B$4:$B$2004,"&gt;="&amp;$BC$1,周转筐出入库明细!$B$4:$B$2004,"&lt;="&amp;$BC$2))</f>
        <v/>
      </c>
      <c r="Z44" s="25" t="str">
        <f t="shared" si="4"/>
        <v/>
      </c>
      <c r="AA44" s="67" t="str">
        <f>IF(OR($B44="",基础资料!$B$4=""),"",-SUMIFS(对接源_01水果筐数!$D$5:$D$304,对接源_01水果筐数!$B$5:$B$304,$B44,对接源_01水果筐数!$C$5:$C$304,基础资料!$B$4))</f>
        <v/>
      </c>
      <c r="AB44" s="67" t="str">
        <f>IF(OR($B44="",基础资料!$B$5=""),"",-SUMIFS(对接源_01水果筐数!$D$5:$D$304,对接源_01水果筐数!$B$5:$B$304,$B44,对接源_01水果筐数!$C$5:$C$304,基础资料!$B$5))</f>
        <v/>
      </c>
      <c r="AC44" s="67" t="str">
        <f>IF(OR($B44="",基础资料!$B$6=""),"",-SUMIFS(对接源_01水果筐数!$D$5:$D$304,对接源_01水果筐数!$B$5:$B$304,$B44,对接源_01水果筐数!$C$5:$C$304,基础资料!$B$6))</f>
        <v/>
      </c>
      <c r="AD44" s="67" t="str">
        <f>IF(OR($B44="",基础资料!$B$7=""),"",-SUMIFS(对接源_01水果筐数!$D$5:$D$304,对接源_01水果筐数!$B$5:$B$304,$B44,对接源_01水果筐数!$C$5:$C$304,基础资料!$B$7))</f>
        <v/>
      </c>
      <c r="AE44" s="67" t="str">
        <f>IF(OR($B44="",基础资料!$B$8=""),"",-SUMIFS(对接源_01水果筐数!$D$5:$D$304,对接源_01水果筐数!$B$5:$B$304,$B44,对接源_01水果筐数!$C$5:$C$304,基础资料!$B$8))</f>
        <v/>
      </c>
      <c r="AF44" s="25" t="str">
        <f>IF(OR($B44="",基础资料!$B$4=""),"",SUMIFS(对接源_01水果筐数!$E$5:$E$304,对接源_01水果筐数!$B$5:$B$304,$B44,对接源_01水果筐数!$C$5:$C$304,基础资料!$B$4))</f>
        <v/>
      </c>
      <c r="AG44" s="25" t="str">
        <f>IF(OR($B44="",基础资料!$B$5=""),"",SUMIFS(对接源_01水果筐数!$E$5:$E$304,对接源_01水果筐数!$B$5:$B$304,$B44,对接源_01水果筐数!$C$5:$C$304,基础资料!$B$5))</f>
        <v/>
      </c>
      <c r="AH44" s="25" t="str">
        <f>IF(OR($B44="",基础资料!$B$6=""),"",SUMIFS(对接源_01水果筐数!$E$5:$E$304,对接源_01水果筐数!$B$5:$B$304,$B44,对接源_01水果筐数!$C$5:$C$304,基础资料!$B$6))</f>
        <v/>
      </c>
      <c r="AI44" s="25" t="str">
        <f>IF(OR($B44="",基础资料!$B$7=""),"",SUMIFS(对接源_01水果筐数!$E$5:$E$304,对接源_01水果筐数!$B$5:$B$304,$B44,对接源_01水果筐数!$C$5:$C$304,基础资料!$B$7))</f>
        <v/>
      </c>
      <c r="AJ44" s="25" t="str">
        <f>IF(OR($B44="",基础资料!$B$8=""),"",SUMIFS(对接源_01水果筐数!$E$5:$E$304,对接源_01水果筐数!$B$5:$B$304,$B44,对接源_01水果筐数!$C$5:$C$304,基础资料!$B$8))</f>
        <v/>
      </c>
      <c r="AK44" s="25" t="str">
        <f>IF(OR($B44="",基础资料!$B$4=""),"",SUMIFS(对接源_01水果筐数!$F$5:$F$304,对接源_01水果筐数!$B$5:$B$304,$B44,对接源_01水果筐数!$C$5:$C$304,基础资料!$B$4))</f>
        <v/>
      </c>
      <c r="AL44" s="25" t="str">
        <f>IF(OR($B44="",基础资料!$B$5=""),"",SUMIFS(对接源_01水果筐数!$F$5:$F$304,对接源_01水果筐数!$B$5:$B$304,$B44,对接源_01水果筐数!$C$5:$C$304,基础资料!$B$5))</f>
        <v/>
      </c>
      <c r="AM44" s="25" t="str">
        <f>IF(OR($B44="",基础资料!$B$6=""),"",SUMIFS(对接源_01水果筐数!$F$5:$F$304,对接源_01水果筐数!$B$5:$B$304,$B44,对接源_01水果筐数!$C$5:$C$304,基础资料!$B$6))</f>
        <v/>
      </c>
      <c r="AN44" s="25" t="str">
        <f>IF(OR($B44="",基础资料!$B$7=""),"",SUMIFS(对接源_01水果筐数!$F$5:$F$304,对接源_01水果筐数!$B$5:$B$304,$B44,对接源_01水果筐数!$C$5:$C$304,基础资料!$B$7))</f>
        <v/>
      </c>
      <c r="AO44" s="25" t="str">
        <f>IF(OR($B44="",基础资料!$B$8=""),"",SUMIFS(对接源_01水果筐数!$F$5:$F$304,对接源_01水果筐数!$B$5:$B$304,$B44,对接源_01水果筐数!$C$5:$C$304,基础资料!$B$8))</f>
        <v/>
      </c>
      <c r="AP44" s="25" t="str">
        <f t="shared" si="5"/>
        <v/>
      </c>
      <c r="AQ44" s="25" t="str">
        <f t="shared" si="11"/>
        <v/>
      </c>
      <c r="AR44" s="25" t="str">
        <f t="shared" si="6"/>
        <v/>
      </c>
      <c r="AS44" s="25" t="str">
        <f t="shared" si="7"/>
        <v/>
      </c>
      <c r="AT44" s="25" t="str">
        <f t="shared" si="8"/>
        <v/>
      </c>
      <c r="AU44" s="25" t="str">
        <f t="shared" si="9"/>
        <v/>
      </c>
      <c r="AV44" s="24" t="str">
        <f t="shared" si="10"/>
        <v/>
      </c>
      <c r="AW44" s="72"/>
    </row>
    <row r="45" spans="1:49">
      <c r="A45" s="22" t="str">
        <f t="shared" si="0"/>
        <v/>
      </c>
      <c r="B45" s="24" t="str">
        <f>IFERROR(INDEX(_自动清单!$CC$4:$CC$253,ROW()-3),"")</f>
        <v/>
      </c>
      <c r="C45" s="25" t="str">
        <f>IF(OR($B45="",基础资料!$B$4=""),"",SUMIFS(周转筐出入库明细!$J$4:$J$2004,周转筐出入库明细!$C$4:$C$2004,$B45,周转筐出入库明细!$D$4:$D$2004,基础资料!$B$4,周转筐出入库明细!$B$4:$B$2004,"&gt;="&amp;$BC$1,周转筐出入库明细!$B$4:$B$2004,"&lt;="&amp;$BC$2))</f>
        <v/>
      </c>
      <c r="D45" s="25" t="str">
        <f>IF(OR($B45="",基础资料!$B$5=""),"",SUMIFS(周转筐出入库明细!$J$4:$J$2004,周转筐出入库明细!$C$4:$C$2004,$B45,周转筐出入库明细!$D$4:$D$2004,基础资料!$B$5,周转筐出入库明细!$B$4:$B$2004,"&gt;="&amp;$BC$1,周转筐出入库明细!$B$4:$B$2004,"&lt;="&amp;$BC$2))</f>
        <v/>
      </c>
      <c r="E45" s="25" t="str">
        <f>IF(OR($B45="",基础资料!$B$6=""),"",SUMIFS(周转筐出入库明细!$J$4:$J$2004,周转筐出入库明细!$C$4:$C$2004,$B45,周转筐出入库明细!$D$4:$D$2004,基础资料!$B$6,周转筐出入库明细!$B$4:$B$2004,"&gt;="&amp;$BC$1,周转筐出入库明细!$B$4:$B$2004,"&lt;="&amp;$BC$2))</f>
        <v/>
      </c>
      <c r="F45" s="25" t="str">
        <f>IF(OR($B45="",基础资料!$B$7=""),"",SUMIFS(周转筐出入库明细!$J$4:$J$2004,周转筐出入库明细!$C$4:$C$2004,$B45,周转筐出入库明细!$D$4:$D$2004,基础资料!$B$7,周转筐出入库明细!$B$4:$B$2004,"&gt;="&amp;$BC$1,周转筐出入库明细!$B$4:$B$2004,"&lt;="&amp;$BC$2))</f>
        <v/>
      </c>
      <c r="G45" s="25" t="str">
        <f>IF(OR($B45="",基础资料!$B$8=""),"",SUMIFS(周转筐出入库明细!$J$4:$J$2004,周转筐出入库明细!$C$4:$C$2004,$B45,周转筐出入库明细!$D$4:$D$2004,基础资料!$B$8,周转筐出入库明细!$B$4:$B$2004,"&gt;="&amp;$BC$1,周转筐出入库明细!$B$4:$B$2004,"&lt;="&amp;$BC$2))</f>
        <v/>
      </c>
      <c r="H45" s="25" t="str">
        <f t="shared" si="1"/>
        <v/>
      </c>
      <c r="I45" s="67" t="str">
        <f>IF(OR($B45="",基础资料!$B$4=""),"",-SUMIFS(周转筐出入库明细!$I$4:$I$2004,周转筐出入库明细!$C$4:$C$2004,$B45,周转筐出入库明细!$D$4:$D$2004,基础资料!$B$4,周转筐出入库明细!$B$4:$B$2004,"&gt;="&amp;$BC$1,周转筐出入库明细!$B$4:$B$2004,"&lt;="&amp;$BC$2))</f>
        <v/>
      </c>
      <c r="J45" s="67" t="str">
        <f>IF(OR($B45="",基础资料!$B$5=""),"",-SUMIFS(周转筐出入库明细!$I$4:$I$2004,周转筐出入库明细!$C$4:$C$2004,$B45,周转筐出入库明细!$D$4:$D$2004,基础资料!$B$5,周转筐出入库明细!$B$4:$B$2004,"&gt;="&amp;$BC$1,周转筐出入库明细!$B$4:$B$2004,"&lt;="&amp;$BC$2))</f>
        <v/>
      </c>
      <c r="K45" s="67" t="str">
        <f>IF(OR($B45="",基础资料!$B$6=""),"",-SUMIFS(周转筐出入库明细!$I$4:$I$2004,周转筐出入库明细!$C$4:$C$2004,$B45,周转筐出入库明细!$D$4:$D$2004,基础资料!$B$6,周转筐出入库明细!$B$4:$B$2004,"&gt;="&amp;$BC$1,周转筐出入库明细!$B$4:$B$2004,"&lt;="&amp;$BC$2))</f>
        <v/>
      </c>
      <c r="L45" s="67" t="str">
        <f>IF(OR($B45="",基础资料!$B$7=""),"",-SUMIFS(周转筐出入库明细!$I$4:$I$2004,周转筐出入库明细!$C$4:$C$2004,$B45,周转筐出入库明细!$D$4:$D$2004,基础资料!$B$7,周转筐出入库明细!$B$4:$B$2004,"&gt;="&amp;$BC$1,周转筐出入库明细!$B$4:$B$2004,"&lt;="&amp;$BC$2))</f>
        <v/>
      </c>
      <c r="M45" s="67" t="str">
        <f>IF(OR($B45="",基础资料!$B$8=""),"",-SUMIFS(周转筐出入库明细!$I$4:$I$2004,周转筐出入库明细!$C$4:$C$2004,$B45,周转筐出入库明细!$D$4:$D$2004,基础资料!$B$8,周转筐出入库明细!$B$4:$B$2004,"&gt;="&amp;$BC$1,周转筐出入库明细!$B$4:$B$2004,"&lt;="&amp;$BC$2))</f>
        <v/>
      </c>
      <c r="N45" s="67" t="str">
        <f t="shared" si="2"/>
        <v/>
      </c>
      <c r="O45" s="25" t="str">
        <f>IF(OR($B45="",基础资料!$B$4=""),"",SUMIFS(周转筐出入库明细!$H$4:$H$2004,周转筐出入库明细!$C$4:$C$2004,$B45,周转筐出入库明细!$D$4:$D$2004,基础资料!$B$4,周转筐出入库明细!$F$4:$F$2004,"采购入库",周转筐出入库明细!$B$4:$B$2004,"&gt;="&amp;$BC$1,周转筐出入库明细!$B$4:$B$2004,"&lt;="&amp;$BC$2))</f>
        <v/>
      </c>
      <c r="P45" s="25" t="str">
        <f>IF(OR($B45="",基础资料!$B$5=""),"",SUMIFS(周转筐出入库明细!$H$4:$H$2004,周转筐出入库明细!$C$4:$C$2004,$B45,周转筐出入库明细!$D$4:$D$2004,基础资料!$B$5,周转筐出入库明细!$F$4:$F$2004,"采购入库",周转筐出入库明细!$B$4:$B$2004,"&gt;="&amp;$BC$1,周转筐出入库明细!$B$4:$B$2004,"&lt;="&amp;$BC$2))</f>
        <v/>
      </c>
      <c r="Q45" s="25" t="str">
        <f>IF(OR($B45="",基础资料!$B$6=""),"",SUMIFS(周转筐出入库明细!$H$4:$H$2004,周转筐出入库明细!$C$4:$C$2004,$B45,周转筐出入库明细!$D$4:$D$2004,基础资料!$B$6,周转筐出入库明细!$F$4:$F$2004,"采购入库",周转筐出入库明细!$B$4:$B$2004,"&gt;="&amp;$BC$1,周转筐出入库明细!$B$4:$B$2004,"&lt;="&amp;$BC$2))</f>
        <v/>
      </c>
      <c r="R45" s="25" t="str">
        <f>IF(OR($B45="",基础资料!$B$7=""),"",SUMIFS(周转筐出入库明细!$H$4:$H$2004,周转筐出入库明细!$C$4:$C$2004,$B45,周转筐出入库明细!$D$4:$D$2004,基础资料!$B$7,周转筐出入库明细!$F$4:$F$2004,"采购入库",周转筐出入库明细!$B$4:$B$2004,"&gt;="&amp;$BC$1,周转筐出入库明细!$B$4:$B$2004,"&lt;="&amp;$BC$2))</f>
        <v/>
      </c>
      <c r="S45" s="25" t="str">
        <f>IF(OR($B45="",基础资料!$B$8=""),"",SUMIFS(周转筐出入库明细!$H$4:$H$2004,周转筐出入库明细!$C$4:$C$2004,$B45,周转筐出入库明细!$D$4:$D$2004,基础资料!$B$8,周转筐出入库明细!$F$4:$F$2004,"采购入库",周转筐出入库明细!$B$4:$B$2004,"&gt;="&amp;$BC$1,周转筐出入库明细!$B$4:$B$2004,"&lt;="&amp;$BC$2))</f>
        <v/>
      </c>
      <c r="T45" s="25" t="str">
        <f t="shared" si="3"/>
        <v/>
      </c>
      <c r="U45" s="25" t="str">
        <f>IF(OR($B45="",基础资料!$B$4=""),"",SUMIFS(周转筐出入库明细!$K$4:$K$2004,周转筐出入库明细!$C$4:$C$2004,$B45,周转筐出入库明细!$D$4:$D$2004,基础资料!$B$4,周转筐出入库明细!$B$4:$B$2004,"&gt;="&amp;$BC$1,周转筐出入库明细!$B$4:$B$2004,"&lt;="&amp;$BC$2))</f>
        <v/>
      </c>
      <c r="V45" s="25" t="str">
        <f>IF(OR($B45="",基础资料!$B$5=""),"",SUMIFS(周转筐出入库明细!$K$4:$K$2004,周转筐出入库明细!$C$4:$C$2004,$B45,周转筐出入库明细!$D$4:$D$2004,基础资料!$B$5,周转筐出入库明细!$B$4:$B$2004,"&gt;="&amp;$BC$1,周转筐出入库明细!$B$4:$B$2004,"&lt;="&amp;$BC$2))</f>
        <v/>
      </c>
      <c r="W45" s="25" t="str">
        <f>IF(OR($B45="",基础资料!$B$6=""),"",SUMIFS(周转筐出入库明细!$K$4:$K$2004,周转筐出入库明细!$C$4:$C$2004,$B45,周转筐出入库明细!$D$4:$D$2004,基础资料!$B$6,周转筐出入库明细!$B$4:$B$2004,"&gt;="&amp;$BC$1,周转筐出入库明细!$B$4:$B$2004,"&lt;="&amp;$BC$2))</f>
        <v/>
      </c>
      <c r="X45" s="25" t="str">
        <f>IF(OR($B45="",基础资料!$B$7=""),"",SUMIFS(周转筐出入库明细!$K$4:$K$2004,周转筐出入库明细!$C$4:$C$2004,$B45,周转筐出入库明细!$D$4:$D$2004,基础资料!$B$7,周转筐出入库明细!$B$4:$B$2004,"&gt;="&amp;$BC$1,周转筐出入库明细!$B$4:$B$2004,"&lt;="&amp;$BC$2))</f>
        <v/>
      </c>
      <c r="Y45" s="25" t="str">
        <f>IF(OR($B45="",基础资料!$B$8=""),"",SUMIFS(周转筐出入库明细!$K$4:$K$2004,周转筐出入库明细!$C$4:$C$2004,$B45,周转筐出入库明细!$D$4:$D$2004,基础资料!$B$8,周转筐出入库明细!$B$4:$B$2004,"&gt;="&amp;$BC$1,周转筐出入库明细!$B$4:$B$2004,"&lt;="&amp;$BC$2))</f>
        <v/>
      </c>
      <c r="Z45" s="25" t="str">
        <f t="shared" si="4"/>
        <v/>
      </c>
      <c r="AA45" s="67" t="str">
        <f>IF(OR($B45="",基础资料!$B$4=""),"",-SUMIFS(对接源_01水果筐数!$D$5:$D$304,对接源_01水果筐数!$B$5:$B$304,$B45,对接源_01水果筐数!$C$5:$C$304,基础资料!$B$4))</f>
        <v/>
      </c>
      <c r="AB45" s="67" t="str">
        <f>IF(OR($B45="",基础资料!$B$5=""),"",-SUMIFS(对接源_01水果筐数!$D$5:$D$304,对接源_01水果筐数!$B$5:$B$304,$B45,对接源_01水果筐数!$C$5:$C$304,基础资料!$B$5))</f>
        <v/>
      </c>
      <c r="AC45" s="67" t="str">
        <f>IF(OR($B45="",基础资料!$B$6=""),"",-SUMIFS(对接源_01水果筐数!$D$5:$D$304,对接源_01水果筐数!$B$5:$B$304,$B45,对接源_01水果筐数!$C$5:$C$304,基础资料!$B$6))</f>
        <v/>
      </c>
      <c r="AD45" s="67" t="str">
        <f>IF(OR($B45="",基础资料!$B$7=""),"",-SUMIFS(对接源_01水果筐数!$D$5:$D$304,对接源_01水果筐数!$B$5:$B$304,$B45,对接源_01水果筐数!$C$5:$C$304,基础资料!$B$7))</f>
        <v/>
      </c>
      <c r="AE45" s="67" t="str">
        <f>IF(OR($B45="",基础资料!$B$8=""),"",-SUMIFS(对接源_01水果筐数!$D$5:$D$304,对接源_01水果筐数!$B$5:$B$304,$B45,对接源_01水果筐数!$C$5:$C$304,基础资料!$B$8))</f>
        <v/>
      </c>
      <c r="AF45" s="25" t="str">
        <f>IF(OR($B45="",基础资料!$B$4=""),"",SUMIFS(对接源_01水果筐数!$E$5:$E$304,对接源_01水果筐数!$B$5:$B$304,$B45,对接源_01水果筐数!$C$5:$C$304,基础资料!$B$4))</f>
        <v/>
      </c>
      <c r="AG45" s="25" t="str">
        <f>IF(OR($B45="",基础资料!$B$5=""),"",SUMIFS(对接源_01水果筐数!$E$5:$E$304,对接源_01水果筐数!$B$5:$B$304,$B45,对接源_01水果筐数!$C$5:$C$304,基础资料!$B$5))</f>
        <v/>
      </c>
      <c r="AH45" s="25" t="str">
        <f>IF(OR($B45="",基础资料!$B$6=""),"",SUMIFS(对接源_01水果筐数!$E$5:$E$304,对接源_01水果筐数!$B$5:$B$304,$B45,对接源_01水果筐数!$C$5:$C$304,基础资料!$B$6))</f>
        <v/>
      </c>
      <c r="AI45" s="25" t="str">
        <f>IF(OR($B45="",基础资料!$B$7=""),"",SUMIFS(对接源_01水果筐数!$E$5:$E$304,对接源_01水果筐数!$B$5:$B$304,$B45,对接源_01水果筐数!$C$5:$C$304,基础资料!$B$7))</f>
        <v/>
      </c>
      <c r="AJ45" s="25" t="str">
        <f>IF(OR($B45="",基础资料!$B$8=""),"",SUMIFS(对接源_01水果筐数!$E$5:$E$304,对接源_01水果筐数!$B$5:$B$304,$B45,对接源_01水果筐数!$C$5:$C$304,基础资料!$B$8))</f>
        <v/>
      </c>
      <c r="AK45" s="25" t="str">
        <f>IF(OR($B45="",基础资料!$B$4=""),"",SUMIFS(对接源_01水果筐数!$F$5:$F$304,对接源_01水果筐数!$B$5:$B$304,$B45,对接源_01水果筐数!$C$5:$C$304,基础资料!$B$4))</f>
        <v/>
      </c>
      <c r="AL45" s="25" t="str">
        <f>IF(OR($B45="",基础资料!$B$5=""),"",SUMIFS(对接源_01水果筐数!$F$5:$F$304,对接源_01水果筐数!$B$5:$B$304,$B45,对接源_01水果筐数!$C$5:$C$304,基础资料!$B$5))</f>
        <v/>
      </c>
      <c r="AM45" s="25" t="str">
        <f>IF(OR($B45="",基础资料!$B$6=""),"",SUMIFS(对接源_01水果筐数!$F$5:$F$304,对接源_01水果筐数!$B$5:$B$304,$B45,对接源_01水果筐数!$C$5:$C$304,基础资料!$B$6))</f>
        <v/>
      </c>
      <c r="AN45" s="25" t="str">
        <f>IF(OR($B45="",基础资料!$B$7=""),"",SUMIFS(对接源_01水果筐数!$F$5:$F$304,对接源_01水果筐数!$B$5:$B$304,$B45,对接源_01水果筐数!$C$5:$C$304,基础资料!$B$7))</f>
        <v/>
      </c>
      <c r="AO45" s="25" t="str">
        <f>IF(OR($B45="",基础资料!$B$8=""),"",SUMIFS(对接源_01水果筐数!$F$5:$F$304,对接源_01水果筐数!$B$5:$B$304,$B45,对接源_01水果筐数!$C$5:$C$304,基础资料!$B$8))</f>
        <v/>
      </c>
      <c r="AP45" s="25" t="str">
        <f t="shared" si="5"/>
        <v/>
      </c>
      <c r="AQ45" s="25" t="str">
        <f t="shared" si="11"/>
        <v/>
      </c>
      <c r="AR45" s="25" t="str">
        <f t="shared" si="6"/>
        <v/>
      </c>
      <c r="AS45" s="25" t="str">
        <f t="shared" si="7"/>
        <v/>
      </c>
      <c r="AT45" s="25" t="str">
        <f t="shared" si="8"/>
        <v/>
      </c>
      <c r="AU45" s="25" t="str">
        <f t="shared" si="9"/>
        <v/>
      </c>
      <c r="AV45" s="24" t="str">
        <f t="shared" si="10"/>
        <v/>
      </c>
      <c r="AW45" s="72"/>
    </row>
    <row r="46" spans="1:49">
      <c r="A46" s="22" t="str">
        <f t="shared" si="0"/>
        <v/>
      </c>
      <c r="B46" s="24" t="str">
        <f>IFERROR(INDEX(_自动清单!$CC$4:$CC$253,ROW()-3),"")</f>
        <v/>
      </c>
      <c r="C46" s="25" t="str">
        <f>IF(OR($B46="",基础资料!$B$4=""),"",SUMIFS(周转筐出入库明细!$J$4:$J$2004,周转筐出入库明细!$C$4:$C$2004,$B46,周转筐出入库明细!$D$4:$D$2004,基础资料!$B$4,周转筐出入库明细!$B$4:$B$2004,"&gt;="&amp;$BC$1,周转筐出入库明细!$B$4:$B$2004,"&lt;="&amp;$BC$2))</f>
        <v/>
      </c>
      <c r="D46" s="25" t="str">
        <f>IF(OR($B46="",基础资料!$B$5=""),"",SUMIFS(周转筐出入库明细!$J$4:$J$2004,周转筐出入库明细!$C$4:$C$2004,$B46,周转筐出入库明细!$D$4:$D$2004,基础资料!$B$5,周转筐出入库明细!$B$4:$B$2004,"&gt;="&amp;$BC$1,周转筐出入库明细!$B$4:$B$2004,"&lt;="&amp;$BC$2))</f>
        <v/>
      </c>
      <c r="E46" s="25" t="str">
        <f>IF(OR($B46="",基础资料!$B$6=""),"",SUMIFS(周转筐出入库明细!$J$4:$J$2004,周转筐出入库明细!$C$4:$C$2004,$B46,周转筐出入库明细!$D$4:$D$2004,基础资料!$B$6,周转筐出入库明细!$B$4:$B$2004,"&gt;="&amp;$BC$1,周转筐出入库明细!$B$4:$B$2004,"&lt;="&amp;$BC$2))</f>
        <v/>
      </c>
      <c r="F46" s="25" t="str">
        <f>IF(OR($B46="",基础资料!$B$7=""),"",SUMIFS(周转筐出入库明细!$J$4:$J$2004,周转筐出入库明细!$C$4:$C$2004,$B46,周转筐出入库明细!$D$4:$D$2004,基础资料!$B$7,周转筐出入库明细!$B$4:$B$2004,"&gt;="&amp;$BC$1,周转筐出入库明细!$B$4:$B$2004,"&lt;="&amp;$BC$2))</f>
        <v/>
      </c>
      <c r="G46" s="25" t="str">
        <f>IF(OR($B46="",基础资料!$B$8=""),"",SUMIFS(周转筐出入库明细!$J$4:$J$2004,周转筐出入库明细!$C$4:$C$2004,$B46,周转筐出入库明细!$D$4:$D$2004,基础资料!$B$8,周转筐出入库明细!$B$4:$B$2004,"&gt;="&amp;$BC$1,周转筐出入库明细!$B$4:$B$2004,"&lt;="&amp;$BC$2))</f>
        <v/>
      </c>
      <c r="H46" s="25" t="str">
        <f t="shared" si="1"/>
        <v/>
      </c>
      <c r="I46" s="67" t="str">
        <f>IF(OR($B46="",基础资料!$B$4=""),"",-SUMIFS(周转筐出入库明细!$I$4:$I$2004,周转筐出入库明细!$C$4:$C$2004,$B46,周转筐出入库明细!$D$4:$D$2004,基础资料!$B$4,周转筐出入库明细!$B$4:$B$2004,"&gt;="&amp;$BC$1,周转筐出入库明细!$B$4:$B$2004,"&lt;="&amp;$BC$2))</f>
        <v/>
      </c>
      <c r="J46" s="67" t="str">
        <f>IF(OR($B46="",基础资料!$B$5=""),"",-SUMIFS(周转筐出入库明细!$I$4:$I$2004,周转筐出入库明细!$C$4:$C$2004,$B46,周转筐出入库明细!$D$4:$D$2004,基础资料!$B$5,周转筐出入库明细!$B$4:$B$2004,"&gt;="&amp;$BC$1,周转筐出入库明细!$B$4:$B$2004,"&lt;="&amp;$BC$2))</f>
        <v/>
      </c>
      <c r="K46" s="67" t="str">
        <f>IF(OR($B46="",基础资料!$B$6=""),"",-SUMIFS(周转筐出入库明细!$I$4:$I$2004,周转筐出入库明细!$C$4:$C$2004,$B46,周转筐出入库明细!$D$4:$D$2004,基础资料!$B$6,周转筐出入库明细!$B$4:$B$2004,"&gt;="&amp;$BC$1,周转筐出入库明细!$B$4:$B$2004,"&lt;="&amp;$BC$2))</f>
        <v/>
      </c>
      <c r="L46" s="67" t="str">
        <f>IF(OR($B46="",基础资料!$B$7=""),"",-SUMIFS(周转筐出入库明细!$I$4:$I$2004,周转筐出入库明细!$C$4:$C$2004,$B46,周转筐出入库明细!$D$4:$D$2004,基础资料!$B$7,周转筐出入库明细!$B$4:$B$2004,"&gt;="&amp;$BC$1,周转筐出入库明细!$B$4:$B$2004,"&lt;="&amp;$BC$2))</f>
        <v/>
      </c>
      <c r="M46" s="67" t="str">
        <f>IF(OR($B46="",基础资料!$B$8=""),"",-SUMIFS(周转筐出入库明细!$I$4:$I$2004,周转筐出入库明细!$C$4:$C$2004,$B46,周转筐出入库明细!$D$4:$D$2004,基础资料!$B$8,周转筐出入库明细!$B$4:$B$2004,"&gt;="&amp;$BC$1,周转筐出入库明细!$B$4:$B$2004,"&lt;="&amp;$BC$2))</f>
        <v/>
      </c>
      <c r="N46" s="67" t="str">
        <f t="shared" si="2"/>
        <v/>
      </c>
      <c r="O46" s="25" t="str">
        <f>IF(OR($B46="",基础资料!$B$4=""),"",SUMIFS(周转筐出入库明细!$H$4:$H$2004,周转筐出入库明细!$C$4:$C$2004,$B46,周转筐出入库明细!$D$4:$D$2004,基础资料!$B$4,周转筐出入库明细!$F$4:$F$2004,"采购入库",周转筐出入库明细!$B$4:$B$2004,"&gt;="&amp;$BC$1,周转筐出入库明细!$B$4:$B$2004,"&lt;="&amp;$BC$2))</f>
        <v/>
      </c>
      <c r="P46" s="25" t="str">
        <f>IF(OR($B46="",基础资料!$B$5=""),"",SUMIFS(周转筐出入库明细!$H$4:$H$2004,周转筐出入库明细!$C$4:$C$2004,$B46,周转筐出入库明细!$D$4:$D$2004,基础资料!$B$5,周转筐出入库明细!$F$4:$F$2004,"采购入库",周转筐出入库明细!$B$4:$B$2004,"&gt;="&amp;$BC$1,周转筐出入库明细!$B$4:$B$2004,"&lt;="&amp;$BC$2))</f>
        <v/>
      </c>
      <c r="Q46" s="25" t="str">
        <f>IF(OR($B46="",基础资料!$B$6=""),"",SUMIFS(周转筐出入库明细!$H$4:$H$2004,周转筐出入库明细!$C$4:$C$2004,$B46,周转筐出入库明细!$D$4:$D$2004,基础资料!$B$6,周转筐出入库明细!$F$4:$F$2004,"采购入库",周转筐出入库明细!$B$4:$B$2004,"&gt;="&amp;$BC$1,周转筐出入库明细!$B$4:$B$2004,"&lt;="&amp;$BC$2))</f>
        <v/>
      </c>
      <c r="R46" s="25" t="str">
        <f>IF(OR($B46="",基础资料!$B$7=""),"",SUMIFS(周转筐出入库明细!$H$4:$H$2004,周转筐出入库明细!$C$4:$C$2004,$B46,周转筐出入库明细!$D$4:$D$2004,基础资料!$B$7,周转筐出入库明细!$F$4:$F$2004,"采购入库",周转筐出入库明细!$B$4:$B$2004,"&gt;="&amp;$BC$1,周转筐出入库明细!$B$4:$B$2004,"&lt;="&amp;$BC$2))</f>
        <v/>
      </c>
      <c r="S46" s="25" t="str">
        <f>IF(OR($B46="",基础资料!$B$8=""),"",SUMIFS(周转筐出入库明细!$H$4:$H$2004,周转筐出入库明细!$C$4:$C$2004,$B46,周转筐出入库明细!$D$4:$D$2004,基础资料!$B$8,周转筐出入库明细!$F$4:$F$2004,"采购入库",周转筐出入库明细!$B$4:$B$2004,"&gt;="&amp;$BC$1,周转筐出入库明细!$B$4:$B$2004,"&lt;="&amp;$BC$2))</f>
        <v/>
      </c>
      <c r="T46" s="25" t="str">
        <f t="shared" si="3"/>
        <v/>
      </c>
      <c r="U46" s="25" t="str">
        <f>IF(OR($B46="",基础资料!$B$4=""),"",SUMIFS(周转筐出入库明细!$K$4:$K$2004,周转筐出入库明细!$C$4:$C$2004,$B46,周转筐出入库明细!$D$4:$D$2004,基础资料!$B$4,周转筐出入库明细!$B$4:$B$2004,"&gt;="&amp;$BC$1,周转筐出入库明细!$B$4:$B$2004,"&lt;="&amp;$BC$2))</f>
        <v/>
      </c>
      <c r="V46" s="25" t="str">
        <f>IF(OR($B46="",基础资料!$B$5=""),"",SUMIFS(周转筐出入库明细!$K$4:$K$2004,周转筐出入库明细!$C$4:$C$2004,$B46,周转筐出入库明细!$D$4:$D$2004,基础资料!$B$5,周转筐出入库明细!$B$4:$B$2004,"&gt;="&amp;$BC$1,周转筐出入库明细!$B$4:$B$2004,"&lt;="&amp;$BC$2))</f>
        <v/>
      </c>
      <c r="W46" s="25" t="str">
        <f>IF(OR($B46="",基础资料!$B$6=""),"",SUMIFS(周转筐出入库明细!$K$4:$K$2004,周转筐出入库明细!$C$4:$C$2004,$B46,周转筐出入库明细!$D$4:$D$2004,基础资料!$B$6,周转筐出入库明细!$B$4:$B$2004,"&gt;="&amp;$BC$1,周转筐出入库明细!$B$4:$B$2004,"&lt;="&amp;$BC$2))</f>
        <v/>
      </c>
      <c r="X46" s="25" t="str">
        <f>IF(OR($B46="",基础资料!$B$7=""),"",SUMIFS(周转筐出入库明细!$K$4:$K$2004,周转筐出入库明细!$C$4:$C$2004,$B46,周转筐出入库明细!$D$4:$D$2004,基础资料!$B$7,周转筐出入库明细!$B$4:$B$2004,"&gt;="&amp;$BC$1,周转筐出入库明细!$B$4:$B$2004,"&lt;="&amp;$BC$2))</f>
        <v/>
      </c>
      <c r="Y46" s="25" t="str">
        <f>IF(OR($B46="",基础资料!$B$8=""),"",SUMIFS(周转筐出入库明细!$K$4:$K$2004,周转筐出入库明细!$C$4:$C$2004,$B46,周转筐出入库明细!$D$4:$D$2004,基础资料!$B$8,周转筐出入库明细!$B$4:$B$2004,"&gt;="&amp;$BC$1,周转筐出入库明细!$B$4:$B$2004,"&lt;="&amp;$BC$2))</f>
        <v/>
      </c>
      <c r="Z46" s="25" t="str">
        <f t="shared" si="4"/>
        <v/>
      </c>
      <c r="AA46" s="67" t="str">
        <f>IF(OR($B46="",基础资料!$B$4=""),"",-SUMIFS(对接源_01水果筐数!$D$5:$D$304,对接源_01水果筐数!$B$5:$B$304,$B46,对接源_01水果筐数!$C$5:$C$304,基础资料!$B$4))</f>
        <v/>
      </c>
      <c r="AB46" s="67" t="str">
        <f>IF(OR($B46="",基础资料!$B$5=""),"",-SUMIFS(对接源_01水果筐数!$D$5:$D$304,对接源_01水果筐数!$B$5:$B$304,$B46,对接源_01水果筐数!$C$5:$C$304,基础资料!$B$5))</f>
        <v/>
      </c>
      <c r="AC46" s="67" t="str">
        <f>IF(OR($B46="",基础资料!$B$6=""),"",-SUMIFS(对接源_01水果筐数!$D$5:$D$304,对接源_01水果筐数!$B$5:$B$304,$B46,对接源_01水果筐数!$C$5:$C$304,基础资料!$B$6))</f>
        <v/>
      </c>
      <c r="AD46" s="67" t="str">
        <f>IF(OR($B46="",基础资料!$B$7=""),"",-SUMIFS(对接源_01水果筐数!$D$5:$D$304,对接源_01水果筐数!$B$5:$B$304,$B46,对接源_01水果筐数!$C$5:$C$304,基础资料!$B$7))</f>
        <v/>
      </c>
      <c r="AE46" s="67" t="str">
        <f>IF(OR($B46="",基础资料!$B$8=""),"",-SUMIFS(对接源_01水果筐数!$D$5:$D$304,对接源_01水果筐数!$B$5:$B$304,$B46,对接源_01水果筐数!$C$5:$C$304,基础资料!$B$8))</f>
        <v/>
      </c>
      <c r="AF46" s="25" t="str">
        <f>IF(OR($B46="",基础资料!$B$4=""),"",SUMIFS(对接源_01水果筐数!$E$5:$E$304,对接源_01水果筐数!$B$5:$B$304,$B46,对接源_01水果筐数!$C$5:$C$304,基础资料!$B$4))</f>
        <v/>
      </c>
      <c r="AG46" s="25" t="str">
        <f>IF(OR($B46="",基础资料!$B$5=""),"",SUMIFS(对接源_01水果筐数!$E$5:$E$304,对接源_01水果筐数!$B$5:$B$304,$B46,对接源_01水果筐数!$C$5:$C$304,基础资料!$B$5))</f>
        <v/>
      </c>
      <c r="AH46" s="25" t="str">
        <f>IF(OR($B46="",基础资料!$B$6=""),"",SUMIFS(对接源_01水果筐数!$E$5:$E$304,对接源_01水果筐数!$B$5:$B$304,$B46,对接源_01水果筐数!$C$5:$C$304,基础资料!$B$6))</f>
        <v/>
      </c>
      <c r="AI46" s="25" t="str">
        <f>IF(OR($B46="",基础资料!$B$7=""),"",SUMIFS(对接源_01水果筐数!$E$5:$E$304,对接源_01水果筐数!$B$5:$B$304,$B46,对接源_01水果筐数!$C$5:$C$304,基础资料!$B$7))</f>
        <v/>
      </c>
      <c r="AJ46" s="25" t="str">
        <f>IF(OR($B46="",基础资料!$B$8=""),"",SUMIFS(对接源_01水果筐数!$E$5:$E$304,对接源_01水果筐数!$B$5:$B$304,$B46,对接源_01水果筐数!$C$5:$C$304,基础资料!$B$8))</f>
        <v/>
      </c>
      <c r="AK46" s="25" t="str">
        <f>IF(OR($B46="",基础资料!$B$4=""),"",SUMIFS(对接源_01水果筐数!$F$5:$F$304,对接源_01水果筐数!$B$5:$B$304,$B46,对接源_01水果筐数!$C$5:$C$304,基础资料!$B$4))</f>
        <v/>
      </c>
      <c r="AL46" s="25" t="str">
        <f>IF(OR($B46="",基础资料!$B$5=""),"",SUMIFS(对接源_01水果筐数!$F$5:$F$304,对接源_01水果筐数!$B$5:$B$304,$B46,对接源_01水果筐数!$C$5:$C$304,基础资料!$B$5))</f>
        <v/>
      </c>
      <c r="AM46" s="25" t="str">
        <f>IF(OR($B46="",基础资料!$B$6=""),"",SUMIFS(对接源_01水果筐数!$F$5:$F$304,对接源_01水果筐数!$B$5:$B$304,$B46,对接源_01水果筐数!$C$5:$C$304,基础资料!$B$6))</f>
        <v/>
      </c>
      <c r="AN46" s="25" t="str">
        <f>IF(OR($B46="",基础资料!$B$7=""),"",SUMIFS(对接源_01水果筐数!$F$5:$F$304,对接源_01水果筐数!$B$5:$B$304,$B46,对接源_01水果筐数!$C$5:$C$304,基础资料!$B$7))</f>
        <v/>
      </c>
      <c r="AO46" s="25" t="str">
        <f>IF(OR($B46="",基础资料!$B$8=""),"",SUMIFS(对接源_01水果筐数!$F$5:$F$304,对接源_01水果筐数!$B$5:$B$304,$B46,对接源_01水果筐数!$C$5:$C$304,基础资料!$B$8))</f>
        <v/>
      </c>
      <c r="AP46" s="25" t="str">
        <f t="shared" si="5"/>
        <v/>
      </c>
      <c r="AQ46" s="25" t="str">
        <f t="shared" si="11"/>
        <v/>
      </c>
      <c r="AR46" s="25" t="str">
        <f t="shared" si="6"/>
        <v/>
      </c>
      <c r="AS46" s="25" t="str">
        <f t="shared" si="7"/>
        <v/>
      </c>
      <c r="AT46" s="25" t="str">
        <f t="shared" si="8"/>
        <v/>
      </c>
      <c r="AU46" s="25" t="str">
        <f t="shared" si="9"/>
        <v/>
      </c>
      <c r="AV46" s="24" t="str">
        <f t="shared" si="10"/>
        <v/>
      </c>
      <c r="AW46" s="72"/>
    </row>
    <row r="47" spans="1:49">
      <c r="A47" s="22" t="str">
        <f t="shared" si="0"/>
        <v/>
      </c>
      <c r="B47" s="24" t="str">
        <f>IFERROR(INDEX(_自动清单!$CC$4:$CC$253,ROW()-3),"")</f>
        <v/>
      </c>
      <c r="C47" s="25" t="str">
        <f>IF(OR($B47="",基础资料!$B$4=""),"",SUMIFS(周转筐出入库明细!$J$4:$J$2004,周转筐出入库明细!$C$4:$C$2004,$B47,周转筐出入库明细!$D$4:$D$2004,基础资料!$B$4,周转筐出入库明细!$B$4:$B$2004,"&gt;="&amp;$BC$1,周转筐出入库明细!$B$4:$B$2004,"&lt;="&amp;$BC$2))</f>
        <v/>
      </c>
      <c r="D47" s="25" t="str">
        <f>IF(OR($B47="",基础资料!$B$5=""),"",SUMIFS(周转筐出入库明细!$J$4:$J$2004,周转筐出入库明细!$C$4:$C$2004,$B47,周转筐出入库明细!$D$4:$D$2004,基础资料!$B$5,周转筐出入库明细!$B$4:$B$2004,"&gt;="&amp;$BC$1,周转筐出入库明细!$B$4:$B$2004,"&lt;="&amp;$BC$2))</f>
        <v/>
      </c>
      <c r="E47" s="25" t="str">
        <f>IF(OR($B47="",基础资料!$B$6=""),"",SUMIFS(周转筐出入库明细!$J$4:$J$2004,周转筐出入库明细!$C$4:$C$2004,$B47,周转筐出入库明细!$D$4:$D$2004,基础资料!$B$6,周转筐出入库明细!$B$4:$B$2004,"&gt;="&amp;$BC$1,周转筐出入库明细!$B$4:$B$2004,"&lt;="&amp;$BC$2))</f>
        <v/>
      </c>
      <c r="F47" s="25" t="str">
        <f>IF(OR($B47="",基础资料!$B$7=""),"",SUMIFS(周转筐出入库明细!$J$4:$J$2004,周转筐出入库明细!$C$4:$C$2004,$B47,周转筐出入库明细!$D$4:$D$2004,基础资料!$B$7,周转筐出入库明细!$B$4:$B$2004,"&gt;="&amp;$BC$1,周转筐出入库明细!$B$4:$B$2004,"&lt;="&amp;$BC$2))</f>
        <v/>
      </c>
      <c r="G47" s="25" t="str">
        <f>IF(OR($B47="",基础资料!$B$8=""),"",SUMIFS(周转筐出入库明细!$J$4:$J$2004,周转筐出入库明细!$C$4:$C$2004,$B47,周转筐出入库明细!$D$4:$D$2004,基础资料!$B$8,周转筐出入库明细!$B$4:$B$2004,"&gt;="&amp;$BC$1,周转筐出入库明细!$B$4:$B$2004,"&lt;="&amp;$BC$2))</f>
        <v/>
      </c>
      <c r="H47" s="25" t="str">
        <f t="shared" si="1"/>
        <v/>
      </c>
      <c r="I47" s="67" t="str">
        <f>IF(OR($B47="",基础资料!$B$4=""),"",-SUMIFS(周转筐出入库明细!$I$4:$I$2004,周转筐出入库明细!$C$4:$C$2004,$B47,周转筐出入库明细!$D$4:$D$2004,基础资料!$B$4,周转筐出入库明细!$B$4:$B$2004,"&gt;="&amp;$BC$1,周转筐出入库明细!$B$4:$B$2004,"&lt;="&amp;$BC$2))</f>
        <v/>
      </c>
      <c r="J47" s="67" t="str">
        <f>IF(OR($B47="",基础资料!$B$5=""),"",-SUMIFS(周转筐出入库明细!$I$4:$I$2004,周转筐出入库明细!$C$4:$C$2004,$B47,周转筐出入库明细!$D$4:$D$2004,基础资料!$B$5,周转筐出入库明细!$B$4:$B$2004,"&gt;="&amp;$BC$1,周转筐出入库明细!$B$4:$B$2004,"&lt;="&amp;$BC$2))</f>
        <v/>
      </c>
      <c r="K47" s="67" t="str">
        <f>IF(OR($B47="",基础资料!$B$6=""),"",-SUMIFS(周转筐出入库明细!$I$4:$I$2004,周转筐出入库明细!$C$4:$C$2004,$B47,周转筐出入库明细!$D$4:$D$2004,基础资料!$B$6,周转筐出入库明细!$B$4:$B$2004,"&gt;="&amp;$BC$1,周转筐出入库明细!$B$4:$B$2004,"&lt;="&amp;$BC$2))</f>
        <v/>
      </c>
      <c r="L47" s="67" t="str">
        <f>IF(OR($B47="",基础资料!$B$7=""),"",-SUMIFS(周转筐出入库明细!$I$4:$I$2004,周转筐出入库明细!$C$4:$C$2004,$B47,周转筐出入库明细!$D$4:$D$2004,基础资料!$B$7,周转筐出入库明细!$B$4:$B$2004,"&gt;="&amp;$BC$1,周转筐出入库明细!$B$4:$B$2004,"&lt;="&amp;$BC$2))</f>
        <v/>
      </c>
      <c r="M47" s="67" t="str">
        <f>IF(OR($B47="",基础资料!$B$8=""),"",-SUMIFS(周转筐出入库明细!$I$4:$I$2004,周转筐出入库明细!$C$4:$C$2004,$B47,周转筐出入库明细!$D$4:$D$2004,基础资料!$B$8,周转筐出入库明细!$B$4:$B$2004,"&gt;="&amp;$BC$1,周转筐出入库明细!$B$4:$B$2004,"&lt;="&amp;$BC$2))</f>
        <v/>
      </c>
      <c r="N47" s="67" t="str">
        <f t="shared" si="2"/>
        <v/>
      </c>
      <c r="O47" s="25" t="str">
        <f>IF(OR($B47="",基础资料!$B$4=""),"",SUMIFS(周转筐出入库明细!$H$4:$H$2004,周转筐出入库明细!$C$4:$C$2004,$B47,周转筐出入库明细!$D$4:$D$2004,基础资料!$B$4,周转筐出入库明细!$F$4:$F$2004,"采购入库",周转筐出入库明细!$B$4:$B$2004,"&gt;="&amp;$BC$1,周转筐出入库明细!$B$4:$B$2004,"&lt;="&amp;$BC$2))</f>
        <v/>
      </c>
      <c r="P47" s="25" t="str">
        <f>IF(OR($B47="",基础资料!$B$5=""),"",SUMIFS(周转筐出入库明细!$H$4:$H$2004,周转筐出入库明细!$C$4:$C$2004,$B47,周转筐出入库明细!$D$4:$D$2004,基础资料!$B$5,周转筐出入库明细!$F$4:$F$2004,"采购入库",周转筐出入库明细!$B$4:$B$2004,"&gt;="&amp;$BC$1,周转筐出入库明细!$B$4:$B$2004,"&lt;="&amp;$BC$2))</f>
        <v/>
      </c>
      <c r="Q47" s="25" t="str">
        <f>IF(OR($B47="",基础资料!$B$6=""),"",SUMIFS(周转筐出入库明细!$H$4:$H$2004,周转筐出入库明细!$C$4:$C$2004,$B47,周转筐出入库明细!$D$4:$D$2004,基础资料!$B$6,周转筐出入库明细!$F$4:$F$2004,"采购入库",周转筐出入库明细!$B$4:$B$2004,"&gt;="&amp;$BC$1,周转筐出入库明细!$B$4:$B$2004,"&lt;="&amp;$BC$2))</f>
        <v/>
      </c>
      <c r="R47" s="25" t="str">
        <f>IF(OR($B47="",基础资料!$B$7=""),"",SUMIFS(周转筐出入库明细!$H$4:$H$2004,周转筐出入库明细!$C$4:$C$2004,$B47,周转筐出入库明细!$D$4:$D$2004,基础资料!$B$7,周转筐出入库明细!$F$4:$F$2004,"采购入库",周转筐出入库明细!$B$4:$B$2004,"&gt;="&amp;$BC$1,周转筐出入库明细!$B$4:$B$2004,"&lt;="&amp;$BC$2))</f>
        <v/>
      </c>
      <c r="S47" s="25" t="str">
        <f>IF(OR($B47="",基础资料!$B$8=""),"",SUMIFS(周转筐出入库明细!$H$4:$H$2004,周转筐出入库明细!$C$4:$C$2004,$B47,周转筐出入库明细!$D$4:$D$2004,基础资料!$B$8,周转筐出入库明细!$F$4:$F$2004,"采购入库",周转筐出入库明细!$B$4:$B$2004,"&gt;="&amp;$BC$1,周转筐出入库明细!$B$4:$B$2004,"&lt;="&amp;$BC$2))</f>
        <v/>
      </c>
      <c r="T47" s="25" t="str">
        <f t="shared" si="3"/>
        <v/>
      </c>
      <c r="U47" s="25" t="str">
        <f>IF(OR($B47="",基础资料!$B$4=""),"",SUMIFS(周转筐出入库明细!$K$4:$K$2004,周转筐出入库明细!$C$4:$C$2004,$B47,周转筐出入库明细!$D$4:$D$2004,基础资料!$B$4,周转筐出入库明细!$B$4:$B$2004,"&gt;="&amp;$BC$1,周转筐出入库明细!$B$4:$B$2004,"&lt;="&amp;$BC$2))</f>
        <v/>
      </c>
      <c r="V47" s="25" t="str">
        <f>IF(OR($B47="",基础资料!$B$5=""),"",SUMIFS(周转筐出入库明细!$K$4:$K$2004,周转筐出入库明细!$C$4:$C$2004,$B47,周转筐出入库明细!$D$4:$D$2004,基础资料!$B$5,周转筐出入库明细!$B$4:$B$2004,"&gt;="&amp;$BC$1,周转筐出入库明细!$B$4:$B$2004,"&lt;="&amp;$BC$2))</f>
        <v/>
      </c>
      <c r="W47" s="25" t="str">
        <f>IF(OR($B47="",基础资料!$B$6=""),"",SUMIFS(周转筐出入库明细!$K$4:$K$2004,周转筐出入库明细!$C$4:$C$2004,$B47,周转筐出入库明细!$D$4:$D$2004,基础资料!$B$6,周转筐出入库明细!$B$4:$B$2004,"&gt;="&amp;$BC$1,周转筐出入库明细!$B$4:$B$2004,"&lt;="&amp;$BC$2))</f>
        <v/>
      </c>
      <c r="X47" s="25" t="str">
        <f>IF(OR($B47="",基础资料!$B$7=""),"",SUMIFS(周转筐出入库明细!$K$4:$K$2004,周转筐出入库明细!$C$4:$C$2004,$B47,周转筐出入库明细!$D$4:$D$2004,基础资料!$B$7,周转筐出入库明细!$B$4:$B$2004,"&gt;="&amp;$BC$1,周转筐出入库明细!$B$4:$B$2004,"&lt;="&amp;$BC$2))</f>
        <v/>
      </c>
      <c r="Y47" s="25" t="str">
        <f>IF(OR($B47="",基础资料!$B$8=""),"",SUMIFS(周转筐出入库明细!$K$4:$K$2004,周转筐出入库明细!$C$4:$C$2004,$B47,周转筐出入库明细!$D$4:$D$2004,基础资料!$B$8,周转筐出入库明细!$B$4:$B$2004,"&gt;="&amp;$BC$1,周转筐出入库明细!$B$4:$B$2004,"&lt;="&amp;$BC$2))</f>
        <v/>
      </c>
      <c r="Z47" s="25" t="str">
        <f t="shared" si="4"/>
        <v/>
      </c>
      <c r="AA47" s="67" t="str">
        <f>IF(OR($B47="",基础资料!$B$4=""),"",-SUMIFS(对接源_01水果筐数!$D$5:$D$304,对接源_01水果筐数!$B$5:$B$304,$B47,对接源_01水果筐数!$C$5:$C$304,基础资料!$B$4))</f>
        <v/>
      </c>
      <c r="AB47" s="67" t="str">
        <f>IF(OR($B47="",基础资料!$B$5=""),"",-SUMIFS(对接源_01水果筐数!$D$5:$D$304,对接源_01水果筐数!$B$5:$B$304,$B47,对接源_01水果筐数!$C$5:$C$304,基础资料!$B$5))</f>
        <v/>
      </c>
      <c r="AC47" s="67" t="str">
        <f>IF(OR($B47="",基础资料!$B$6=""),"",-SUMIFS(对接源_01水果筐数!$D$5:$D$304,对接源_01水果筐数!$B$5:$B$304,$B47,对接源_01水果筐数!$C$5:$C$304,基础资料!$B$6))</f>
        <v/>
      </c>
      <c r="AD47" s="67" t="str">
        <f>IF(OR($B47="",基础资料!$B$7=""),"",-SUMIFS(对接源_01水果筐数!$D$5:$D$304,对接源_01水果筐数!$B$5:$B$304,$B47,对接源_01水果筐数!$C$5:$C$304,基础资料!$B$7))</f>
        <v/>
      </c>
      <c r="AE47" s="67" t="str">
        <f>IF(OR($B47="",基础资料!$B$8=""),"",-SUMIFS(对接源_01水果筐数!$D$5:$D$304,对接源_01水果筐数!$B$5:$B$304,$B47,对接源_01水果筐数!$C$5:$C$304,基础资料!$B$8))</f>
        <v/>
      </c>
      <c r="AF47" s="25" t="str">
        <f>IF(OR($B47="",基础资料!$B$4=""),"",SUMIFS(对接源_01水果筐数!$E$5:$E$304,对接源_01水果筐数!$B$5:$B$304,$B47,对接源_01水果筐数!$C$5:$C$304,基础资料!$B$4))</f>
        <v/>
      </c>
      <c r="AG47" s="25" t="str">
        <f>IF(OR($B47="",基础资料!$B$5=""),"",SUMIFS(对接源_01水果筐数!$E$5:$E$304,对接源_01水果筐数!$B$5:$B$304,$B47,对接源_01水果筐数!$C$5:$C$304,基础资料!$B$5))</f>
        <v/>
      </c>
      <c r="AH47" s="25" t="str">
        <f>IF(OR($B47="",基础资料!$B$6=""),"",SUMIFS(对接源_01水果筐数!$E$5:$E$304,对接源_01水果筐数!$B$5:$B$304,$B47,对接源_01水果筐数!$C$5:$C$304,基础资料!$B$6))</f>
        <v/>
      </c>
      <c r="AI47" s="25" t="str">
        <f>IF(OR($B47="",基础资料!$B$7=""),"",SUMIFS(对接源_01水果筐数!$E$5:$E$304,对接源_01水果筐数!$B$5:$B$304,$B47,对接源_01水果筐数!$C$5:$C$304,基础资料!$B$7))</f>
        <v/>
      </c>
      <c r="AJ47" s="25" t="str">
        <f>IF(OR($B47="",基础资料!$B$8=""),"",SUMIFS(对接源_01水果筐数!$E$5:$E$304,对接源_01水果筐数!$B$5:$B$304,$B47,对接源_01水果筐数!$C$5:$C$304,基础资料!$B$8))</f>
        <v/>
      </c>
      <c r="AK47" s="25" t="str">
        <f>IF(OR($B47="",基础资料!$B$4=""),"",SUMIFS(对接源_01水果筐数!$F$5:$F$304,对接源_01水果筐数!$B$5:$B$304,$B47,对接源_01水果筐数!$C$5:$C$304,基础资料!$B$4))</f>
        <v/>
      </c>
      <c r="AL47" s="25" t="str">
        <f>IF(OR($B47="",基础资料!$B$5=""),"",SUMIFS(对接源_01水果筐数!$F$5:$F$304,对接源_01水果筐数!$B$5:$B$304,$B47,对接源_01水果筐数!$C$5:$C$304,基础资料!$B$5))</f>
        <v/>
      </c>
      <c r="AM47" s="25" t="str">
        <f>IF(OR($B47="",基础资料!$B$6=""),"",SUMIFS(对接源_01水果筐数!$F$5:$F$304,对接源_01水果筐数!$B$5:$B$304,$B47,对接源_01水果筐数!$C$5:$C$304,基础资料!$B$6))</f>
        <v/>
      </c>
      <c r="AN47" s="25" t="str">
        <f>IF(OR($B47="",基础资料!$B$7=""),"",SUMIFS(对接源_01水果筐数!$F$5:$F$304,对接源_01水果筐数!$B$5:$B$304,$B47,对接源_01水果筐数!$C$5:$C$304,基础资料!$B$7))</f>
        <v/>
      </c>
      <c r="AO47" s="25" t="str">
        <f>IF(OR($B47="",基础资料!$B$8=""),"",SUMIFS(对接源_01水果筐数!$F$5:$F$304,对接源_01水果筐数!$B$5:$B$304,$B47,对接源_01水果筐数!$C$5:$C$304,基础资料!$B$8))</f>
        <v/>
      </c>
      <c r="AP47" s="25" t="str">
        <f t="shared" si="5"/>
        <v/>
      </c>
      <c r="AQ47" s="25" t="str">
        <f t="shared" si="11"/>
        <v/>
      </c>
      <c r="AR47" s="25" t="str">
        <f t="shared" si="6"/>
        <v/>
      </c>
      <c r="AS47" s="25" t="str">
        <f t="shared" si="7"/>
        <v/>
      </c>
      <c r="AT47" s="25" t="str">
        <f t="shared" si="8"/>
        <v/>
      </c>
      <c r="AU47" s="25" t="str">
        <f t="shared" si="9"/>
        <v/>
      </c>
      <c r="AV47" s="24" t="str">
        <f t="shared" si="10"/>
        <v/>
      </c>
      <c r="AW47" s="72"/>
    </row>
    <row r="48" spans="1:49">
      <c r="A48" s="22" t="str">
        <f t="shared" si="0"/>
        <v/>
      </c>
      <c r="B48" s="24" t="str">
        <f>IFERROR(INDEX(_自动清单!$CC$4:$CC$253,ROW()-3),"")</f>
        <v/>
      </c>
      <c r="C48" s="25" t="str">
        <f>IF(OR($B48="",基础资料!$B$4=""),"",SUMIFS(周转筐出入库明细!$J$4:$J$2004,周转筐出入库明细!$C$4:$C$2004,$B48,周转筐出入库明细!$D$4:$D$2004,基础资料!$B$4,周转筐出入库明细!$B$4:$B$2004,"&gt;="&amp;$BC$1,周转筐出入库明细!$B$4:$B$2004,"&lt;="&amp;$BC$2))</f>
        <v/>
      </c>
      <c r="D48" s="25" t="str">
        <f>IF(OR($B48="",基础资料!$B$5=""),"",SUMIFS(周转筐出入库明细!$J$4:$J$2004,周转筐出入库明细!$C$4:$C$2004,$B48,周转筐出入库明细!$D$4:$D$2004,基础资料!$B$5,周转筐出入库明细!$B$4:$B$2004,"&gt;="&amp;$BC$1,周转筐出入库明细!$B$4:$B$2004,"&lt;="&amp;$BC$2))</f>
        <v/>
      </c>
      <c r="E48" s="25" t="str">
        <f>IF(OR($B48="",基础资料!$B$6=""),"",SUMIFS(周转筐出入库明细!$J$4:$J$2004,周转筐出入库明细!$C$4:$C$2004,$B48,周转筐出入库明细!$D$4:$D$2004,基础资料!$B$6,周转筐出入库明细!$B$4:$B$2004,"&gt;="&amp;$BC$1,周转筐出入库明细!$B$4:$B$2004,"&lt;="&amp;$BC$2))</f>
        <v/>
      </c>
      <c r="F48" s="25" t="str">
        <f>IF(OR($B48="",基础资料!$B$7=""),"",SUMIFS(周转筐出入库明细!$J$4:$J$2004,周转筐出入库明细!$C$4:$C$2004,$B48,周转筐出入库明细!$D$4:$D$2004,基础资料!$B$7,周转筐出入库明细!$B$4:$B$2004,"&gt;="&amp;$BC$1,周转筐出入库明细!$B$4:$B$2004,"&lt;="&amp;$BC$2))</f>
        <v/>
      </c>
      <c r="G48" s="25" t="str">
        <f>IF(OR($B48="",基础资料!$B$8=""),"",SUMIFS(周转筐出入库明细!$J$4:$J$2004,周转筐出入库明细!$C$4:$C$2004,$B48,周转筐出入库明细!$D$4:$D$2004,基础资料!$B$8,周转筐出入库明细!$B$4:$B$2004,"&gt;="&amp;$BC$1,周转筐出入库明细!$B$4:$B$2004,"&lt;="&amp;$BC$2))</f>
        <v/>
      </c>
      <c r="H48" s="25" t="str">
        <f t="shared" si="1"/>
        <v/>
      </c>
      <c r="I48" s="67" t="str">
        <f>IF(OR($B48="",基础资料!$B$4=""),"",-SUMIFS(周转筐出入库明细!$I$4:$I$2004,周转筐出入库明细!$C$4:$C$2004,$B48,周转筐出入库明细!$D$4:$D$2004,基础资料!$B$4,周转筐出入库明细!$B$4:$B$2004,"&gt;="&amp;$BC$1,周转筐出入库明细!$B$4:$B$2004,"&lt;="&amp;$BC$2))</f>
        <v/>
      </c>
      <c r="J48" s="67" t="str">
        <f>IF(OR($B48="",基础资料!$B$5=""),"",-SUMIFS(周转筐出入库明细!$I$4:$I$2004,周转筐出入库明细!$C$4:$C$2004,$B48,周转筐出入库明细!$D$4:$D$2004,基础资料!$B$5,周转筐出入库明细!$B$4:$B$2004,"&gt;="&amp;$BC$1,周转筐出入库明细!$B$4:$B$2004,"&lt;="&amp;$BC$2))</f>
        <v/>
      </c>
      <c r="K48" s="67" t="str">
        <f>IF(OR($B48="",基础资料!$B$6=""),"",-SUMIFS(周转筐出入库明细!$I$4:$I$2004,周转筐出入库明细!$C$4:$C$2004,$B48,周转筐出入库明细!$D$4:$D$2004,基础资料!$B$6,周转筐出入库明细!$B$4:$B$2004,"&gt;="&amp;$BC$1,周转筐出入库明细!$B$4:$B$2004,"&lt;="&amp;$BC$2))</f>
        <v/>
      </c>
      <c r="L48" s="67" t="str">
        <f>IF(OR($B48="",基础资料!$B$7=""),"",-SUMIFS(周转筐出入库明细!$I$4:$I$2004,周转筐出入库明细!$C$4:$C$2004,$B48,周转筐出入库明细!$D$4:$D$2004,基础资料!$B$7,周转筐出入库明细!$B$4:$B$2004,"&gt;="&amp;$BC$1,周转筐出入库明细!$B$4:$B$2004,"&lt;="&amp;$BC$2))</f>
        <v/>
      </c>
      <c r="M48" s="67" t="str">
        <f>IF(OR($B48="",基础资料!$B$8=""),"",-SUMIFS(周转筐出入库明细!$I$4:$I$2004,周转筐出入库明细!$C$4:$C$2004,$B48,周转筐出入库明细!$D$4:$D$2004,基础资料!$B$8,周转筐出入库明细!$B$4:$B$2004,"&gt;="&amp;$BC$1,周转筐出入库明细!$B$4:$B$2004,"&lt;="&amp;$BC$2))</f>
        <v/>
      </c>
      <c r="N48" s="67" t="str">
        <f t="shared" si="2"/>
        <v/>
      </c>
      <c r="O48" s="25" t="str">
        <f>IF(OR($B48="",基础资料!$B$4=""),"",SUMIFS(周转筐出入库明细!$H$4:$H$2004,周转筐出入库明细!$C$4:$C$2004,$B48,周转筐出入库明细!$D$4:$D$2004,基础资料!$B$4,周转筐出入库明细!$F$4:$F$2004,"采购入库",周转筐出入库明细!$B$4:$B$2004,"&gt;="&amp;$BC$1,周转筐出入库明细!$B$4:$B$2004,"&lt;="&amp;$BC$2))</f>
        <v/>
      </c>
      <c r="P48" s="25" t="str">
        <f>IF(OR($B48="",基础资料!$B$5=""),"",SUMIFS(周转筐出入库明细!$H$4:$H$2004,周转筐出入库明细!$C$4:$C$2004,$B48,周转筐出入库明细!$D$4:$D$2004,基础资料!$B$5,周转筐出入库明细!$F$4:$F$2004,"采购入库",周转筐出入库明细!$B$4:$B$2004,"&gt;="&amp;$BC$1,周转筐出入库明细!$B$4:$B$2004,"&lt;="&amp;$BC$2))</f>
        <v/>
      </c>
      <c r="Q48" s="25" t="str">
        <f>IF(OR($B48="",基础资料!$B$6=""),"",SUMIFS(周转筐出入库明细!$H$4:$H$2004,周转筐出入库明细!$C$4:$C$2004,$B48,周转筐出入库明细!$D$4:$D$2004,基础资料!$B$6,周转筐出入库明细!$F$4:$F$2004,"采购入库",周转筐出入库明细!$B$4:$B$2004,"&gt;="&amp;$BC$1,周转筐出入库明细!$B$4:$B$2004,"&lt;="&amp;$BC$2))</f>
        <v/>
      </c>
      <c r="R48" s="25" t="str">
        <f>IF(OR($B48="",基础资料!$B$7=""),"",SUMIFS(周转筐出入库明细!$H$4:$H$2004,周转筐出入库明细!$C$4:$C$2004,$B48,周转筐出入库明细!$D$4:$D$2004,基础资料!$B$7,周转筐出入库明细!$F$4:$F$2004,"采购入库",周转筐出入库明细!$B$4:$B$2004,"&gt;="&amp;$BC$1,周转筐出入库明细!$B$4:$B$2004,"&lt;="&amp;$BC$2))</f>
        <v/>
      </c>
      <c r="S48" s="25" t="str">
        <f>IF(OR($B48="",基础资料!$B$8=""),"",SUMIFS(周转筐出入库明细!$H$4:$H$2004,周转筐出入库明细!$C$4:$C$2004,$B48,周转筐出入库明细!$D$4:$D$2004,基础资料!$B$8,周转筐出入库明细!$F$4:$F$2004,"采购入库",周转筐出入库明细!$B$4:$B$2004,"&gt;="&amp;$BC$1,周转筐出入库明细!$B$4:$B$2004,"&lt;="&amp;$BC$2))</f>
        <v/>
      </c>
      <c r="T48" s="25" t="str">
        <f t="shared" si="3"/>
        <v/>
      </c>
      <c r="U48" s="25" t="str">
        <f>IF(OR($B48="",基础资料!$B$4=""),"",SUMIFS(周转筐出入库明细!$K$4:$K$2004,周转筐出入库明细!$C$4:$C$2004,$B48,周转筐出入库明细!$D$4:$D$2004,基础资料!$B$4,周转筐出入库明细!$B$4:$B$2004,"&gt;="&amp;$BC$1,周转筐出入库明细!$B$4:$B$2004,"&lt;="&amp;$BC$2))</f>
        <v/>
      </c>
      <c r="V48" s="25" t="str">
        <f>IF(OR($B48="",基础资料!$B$5=""),"",SUMIFS(周转筐出入库明细!$K$4:$K$2004,周转筐出入库明细!$C$4:$C$2004,$B48,周转筐出入库明细!$D$4:$D$2004,基础资料!$B$5,周转筐出入库明细!$B$4:$B$2004,"&gt;="&amp;$BC$1,周转筐出入库明细!$B$4:$B$2004,"&lt;="&amp;$BC$2))</f>
        <v/>
      </c>
      <c r="W48" s="25" t="str">
        <f>IF(OR($B48="",基础资料!$B$6=""),"",SUMIFS(周转筐出入库明细!$K$4:$K$2004,周转筐出入库明细!$C$4:$C$2004,$B48,周转筐出入库明细!$D$4:$D$2004,基础资料!$B$6,周转筐出入库明细!$B$4:$B$2004,"&gt;="&amp;$BC$1,周转筐出入库明细!$B$4:$B$2004,"&lt;="&amp;$BC$2))</f>
        <v/>
      </c>
      <c r="X48" s="25" t="str">
        <f>IF(OR($B48="",基础资料!$B$7=""),"",SUMIFS(周转筐出入库明细!$K$4:$K$2004,周转筐出入库明细!$C$4:$C$2004,$B48,周转筐出入库明细!$D$4:$D$2004,基础资料!$B$7,周转筐出入库明细!$B$4:$B$2004,"&gt;="&amp;$BC$1,周转筐出入库明细!$B$4:$B$2004,"&lt;="&amp;$BC$2))</f>
        <v/>
      </c>
      <c r="Y48" s="25" t="str">
        <f>IF(OR($B48="",基础资料!$B$8=""),"",SUMIFS(周转筐出入库明细!$K$4:$K$2004,周转筐出入库明细!$C$4:$C$2004,$B48,周转筐出入库明细!$D$4:$D$2004,基础资料!$B$8,周转筐出入库明细!$B$4:$B$2004,"&gt;="&amp;$BC$1,周转筐出入库明细!$B$4:$B$2004,"&lt;="&amp;$BC$2))</f>
        <v/>
      </c>
      <c r="Z48" s="25" t="str">
        <f t="shared" si="4"/>
        <v/>
      </c>
      <c r="AA48" s="67" t="str">
        <f>IF(OR($B48="",基础资料!$B$4=""),"",-SUMIFS(对接源_01水果筐数!$D$5:$D$304,对接源_01水果筐数!$B$5:$B$304,$B48,对接源_01水果筐数!$C$5:$C$304,基础资料!$B$4))</f>
        <v/>
      </c>
      <c r="AB48" s="67" t="str">
        <f>IF(OR($B48="",基础资料!$B$5=""),"",-SUMIFS(对接源_01水果筐数!$D$5:$D$304,对接源_01水果筐数!$B$5:$B$304,$B48,对接源_01水果筐数!$C$5:$C$304,基础资料!$B$5))</f>
        <v/>
      </c>
      <c r="AC48" s="67" t="str">
        <f>IF(OR($B48="",基础资料!$B$6=""),"",-SUMIFS(对接源_01水果筐数!$D$5:$D$304,对接源_01水果筐数!$B$5:$B$304,$B48,对接源_01水果筐数!$C$5:$C$304,基础资料!$B$6))</f>
        <v/>
      </c>
      <c r="AD48" s="67" t="str">
        <f>IF(OR($B48="",基础资料!$B$7=""),"",-SUMIFS(对接源_01水果筐数!$D$5:$D$304,对接源_01水果筐数!$B$5:$B$304,$B48,对接源_01水果筐数!$C$5:$C$304,基础资料!$B$7))</f>
        <v/>
      </c>
      <c r="AE48" s="67" t="str">
        <f>IF(OR($B48="",基础资料!$B$8=""),"",-SUMIFS(对接源_01水果筐数!$D$5:$D$304,对接源_01水果筐数!$B$5:$B$304,$B48,对接源_01水果筐数!$C$5:$C$304,基础资料!$B$8))</f>
        <v/>
      </c>
      <c r="AF48" s="25" t="str">
        <f>IF(OR($B48="",基础资料!$B$4=""),"",SUMIFS(对接源_01水果筐数!$E$5:$E$304,对接源_01水果筐数!$B$5:$B$304,$B48,对接源_01水果筐数!$C$5:$C$304,基础资料!$B$4))</f>
        <v/>
      </c>
      <c r="AG48" s="25" t="str">
        <f>IF(OR($B48="",基础资料!$B$5=""),"",SUMIFS(对接源_01水果筐数!$E$5:$E$304,对接源_01水果筐数!$B$5:$B$304,$B48,对接源_01水果筐数!$C$5:$C$304,基础资料!$B$5))</f>
        <v/>
      </c>
      <c r="AH48" s="25" t="str">
        <f>IF(OR($B48="",基础资料!$B$6=""),"",SUMIFS(对接源_01水果筐数!$E$5:$E$304,对接源_01水果筐数!$B$5:$B$304,$B48,对接源_01水果筐数!$C$5:$C$304,基础资料!$B$6))</f>
        <v/>
      </c>
      <c r="AI48" s="25" t="str">
        <f>IF(OR($B48="",基础资料!$B$7=""),"",SUMIFS(对接源_01水果筐数!$E$5:$E$304,对接源_01水果筐数!$B$5:$B$304,$B48,对接源_01水果筐数!$C$5:$C$304,基础资料!$B$7))</f>
        <v/>
      </c>
      <c r="AJ48" s="25" t="str">
        <f>IF(OR($B48="",基础资料!$B$8=""),"",SUMIFS(对接源_01水果筐数!$E$5:$E$304,对接源_01水果筐数!$B$5:$B$304,$B48,对接源_01水果筐数!$C$5:$C$304,基础资料!$B$8))</f>
        <v/>
      </c>
      <c r="AK48" s="25" t="str">
        <f>IF(OR($B48="",基础资料!$B$4=""),"",SUMIFS(对接源_01水果筐数!$F$5:$F$304,对接源_01水果筐数!$B$5:$B$304,$B48,对接源_01水果筐数!$C$5:$C$304,基础资料!$B$4))</f>
        <v/>
      </c>
      <c r="AL48" s="25" t="str">
        <f>IF(OR($B48="",基础资料!$B$5=""),"",SUMIFS(对接源_01水果筐数!$F$5:$F$304,对接源_01水果筐数!$B$5:$B$304,$B48,对接源_01水果筐数!$C$5:$C$304,基础资料!$B$5))</f>
        <v/>
      </c>
      <c r="AM48" s="25" t="str">
        <f>IF(OR($B48="",基础资料!$B$6=""),"",SUMIFS(对接源_01水果筐数!$F$5:$F$304,对接源_01水果筐数!$B$5:$B$304,$B48,对接源_01水果筐数!$C$5:$C$304,基础资料!$B$6))</f>
        <v/>
      </c>
      <c r="AN48" s="25" t="str">
        <f>IF(OR($B48="",基础资料!$B$7=""),"",SUMIFS(对接源_01水果筐数!$F$5:$F$304,对接源_01水果筐数!$B$5:$B$304,$B48,对接源_01水果筐数!$C$5:$C$304,基础资料!$B$7))</f>
        <v/>
      </c>
      <c r="AO48" s="25" t="str">
        <f>IF(OR($B48="",基础资料!$B$8=""),"",SUMIFS(对接源_01水果筐数!$F$5:$F$304,对接源_01水果筐数!$B$5:$B$304,$B48,对接源_01水果筐数!$C$5:$C$304,基础资料!$B$8))</f>
        <v/>
      </c>
      <c r="AP48" s="25" t="str">
        <f t="shared" si="5"/>
        <v/>
      </c>
      <c r="AQ48" s="25" t="str">
        <f t="shared" si="11"/>
        <v/>
      </c>
      <c r="AR48" s="25" t="str">
        <f t="shared" si="6"/>
        <v/>
      </c>
      <c r="AS48" s="25" t="str">
        <f t="shared" si="7"/>
        <v/>
      </c>
      <c r="AT48" s="25" t="str">
        <f t="shared" si="8"/>
        <v/>
      </c>
      <c r="AU48" s="25" t="str">
        <f t="shared" si="9"/>
        <v/>
      </c>
      <c r="AV48" s="24" t="str">
        <f t="shared" si="10"/>
        <v/>
      </c>
      <c r="AW48" s="72"/>
    </row>
    <row r="49" spans="1:49">
      <c r="A49" s="22" t="str">
        <f t="shared" si="0"/>
        <v/>
      </c>
      <c r="B49" s="24" t="str">
        <f>IFERROR(INDEX(_自动清单!$CC$4:$CC$253,ROW()-3),"")</f>
        <v/>
      </c>
      <c r="C49" s="25" t="str">
        <f>IF(OR($B49="",基础资料!$B$4=""),"",SUMIFS(周转筐出入库明细!$J$4:$J$2004,周转筐出入库明细!$C$4:$C$2004,$B49,周转筐出入库明细!$D$4:$D$2004,基础资料!$B$4,周转筐出入库明细!$B$4:$B$2004,"&gt;="&amp;$BC$1,周转筐出入库明细!$B$4:$B$2004,"&lt;="&amp;$BC$2))</f>
        <v/>
      </c>
      <c r="D49" s="25" t="str">
        <f>IF(OR($B49="",基础资料!$B$5=""),"",SUMIFS(周转筐出入库明细!$J$4:$J$2004,周转筐出入库明细!$C$4:$C$2004,$B49,周转筐出入库明细!$D$4:$D$2004,基础资料!$B$5,周转筐出入库明细!$B$4:$B$2004,"&gt;="&amp;$BC$1,周转筐出入库明细!$B$4:$B$2004,"&lt;="&amp;$BC$2))</f>
        <v/>
      </c>
      <c r="E49" s="25" t="str">
        <f>IF(OR($B49="",基础资料!$B$6=""),"",SUMIFS(周转筐出入库明细!$J$4:$J$2004,周转筐出入库明细!$C$4:$C$2004,$B49,周转筐出入库明细!$D$4:$D$2004,基础资料!$B$6,周转筐出入库明细!$B$4:$B$2004,"&gt;="&amp;$BC$1,周转筐出入库明细!$B$4:$B$2004,"&lt;="&amp;$BC$2))</f>
        <v/>
      </c>
      <c r="F49" s="25" t="str">
        <f>IF(OR($B49="",基础资料!$B$7=""),"",SUMIFS(周转筐出入库明细!$J$4:$J$2004,周转筐出入库明细!$C$4:$C$2004,$B49,周转筐出入库明细!$D$4:$D$2004,基础资料!$B$7,周转筐出入库明细!$B$4:$B$2004,"&gt;="&amp;$BC$1,周转筐出入库明细!$B$4:$B$2004,"&lt;="&amp;$BC$2))</f>
        <v/>
      </c>
      <c r="G49" s="25" t="str">
        <f>IF(OR($B49="",基础资料!$B$8=""),"",SUMIFS(周转筐出入库明细!$J$4:$J$2004,周转筐出入库明细!$C$4:$C$2004,$B49,周转筐出入库明细!$D$4:$D$2004,基础资料!$B$8,周转筐出入库明细!$B$4:$B$2004,"&gt;="&amp;$BC$1,周转筐出入库明细!$B$4:$B$2004,"&lt;="&amp;$BC$2))</f>
        <v/>
      </c>
      <c r="H49" s="25" t="str">
        <f t="shared" si="1"/>
        <v/>
      </c>
      <c r="I49" s="67" t="str">
        <f>IF(OR($B49="",基础资料!$B$4=""),"",-SUMIFS(周转筐出入库明细!$I$4:$I$2004,周转筐出入库明细!$C$4:$C$2004,$B49,周转筐出入库明细!$D$4:$D$2004,基础资料!$B$4,周转筐出入库明细!$B$4:$B$2004,"&gt;="&amp;$BC$1,周转筐出入库明细!$B$4:$B$2004,"&lt;="&amp;$BC$2))</f>
        <v/>
      </c>
      <c r="J49" s="67" t="str">
        <f>IF(OR($B49="",基础资料!$B$5=""),"",-SUMIFS(周转筐出入库明细!$I$4:$I$2004,周转筐出入库明细!$C$4:$C$2004,$B49,周转筐出入库明细!$D$4:$D$2004,基础资料!$B$5,周转筐出入库明细!$B$4:$B$2004,"&gt;="&amp;$BC$1,周转筐出入库明细!$B$4:$B$2004,"&lt;="&amp;$BC$2))</f>
        <v/>
      </c>
      <c r="K49" s="67" t="str">
        <f>IF(OR($B49="",基础资料!$B$6=""),"",-SUMIFS(周转筐出入库明细!$I$4:$I$2004,周转筐出入库明细!$C$4:$C$2004,$B49,周转筐出入库明细!$D$4:$D$2004,基础资料!$B$6,周转筐出入库明细!$B$4:$B$2004,"&gt;="&amp;$BC$1,周转筐出入库明细!$B$4:$B$2004,"&lt;="&amp;$BC$2))</f>
        <v/>
      </c>
      <c r="L49" s="67" t="str">
        <f>IF(OR($B49="",基础资料!$B$7=""),"",-SUMIFS(周转筐出入库明细!$I$4:$I$2004,周转筐出入库明细!$C$4:$C$2004,$B49,周转筐出入库明细!$D$4:$D$2004,基础资料!$B$7,周转筐出入库明细!$B$4:$B$2004,"&gt;="&amp;$BC$1,周转筐出入库明细!$B$4:$B$2004,"&lt;="&amp;$BC$2))</f>
        <v/>
      </c>
      <c r="M49" s="67" t="str">
        <f>IF(OR($B49="",基础资料!$B$8=""),"",-SUMIFS(周转筐出入库明细!$I$4:$I$2004,周转筐出入库明细!$C$4:$C$2004,$B49,周转筐出入库明细!$D$4:$D$2004,基础资料!$B$8,周转筐出入库明细!$B$4:$B$2004,"&gt;="&amp;$BC$1,周转筐出入库明细!$B$4:$B$2004,"&lt;="&amp;$BC$2))</f>
        <v/>
      </c>
      <c r="N49" s="67" t="str">
        <f t="shared" si="2"/>
        <v/>
      </c>
      <c r="O49" s="25" t="str">
        <f>IF(OR($B49="",基础资料!$B$4=""),"",SUMIFS(周转筐出入库明细!$H$4:$H$2004,周转筐出入库明细!$C$4:$C$2004,$B49,周转筐出入库明细!$D$4:$D$2004,基础资料!$B$4,周转筐出入库明细!$F$4:$F$2004,"采购入库",周转筐出入库明细!$B$4:$B$2004,"&gt;="&amp;$BC$1,周转筐出入库明细!$B$4:$B$2004,"&lt;="&amp;$BC$2))</f>
        <v/>
      </c>
      <c r="P49" s="25" t="str">
        <f>IF(OR($B49="",基础资料!$B$5=""),"",SUMIFS(周转筐出入库明细!$H$4:$H$2004,周转筐出入库明细!$C$4:$C$2004,$B49,周转筐出入库明细!$D$4:$D$2004,基础资料!$B$5,周转筐出入库明细!$F$4:$F$2004,"采购入库",周转筐出入库明细!$B$4:$B$2004,"&gt;="&amp;$BC$1,周转筐出入库明细!$B$4:$B$2004,"&lt;="&amp;$BC$2))</f>
        <v/>
      </c>
      <c r="Q49" s="25" t="str">
        <f>IF(OR($B49="",基础资料!$B$6=""),"",SUMIFS(周转筐出入库明细!$H$4:$H$2004,周转筐出入库明细!$C$4:$C$2004,$B49,周转筐出入库明细!$D$4:$D$2004,基础资料!$B$6,周转筐出入库明细!$F$4:$F$2004,"采购入库",周转筐出入库明细!$B$4:$B$2004,"&gt;="&amp;$BC$1,周转筐出入库明细!$B$4:$B$2004,"&lt;="&amp;$BC$2))</f>
        <v/>
      </c>
      <c r="R49" s="25" t="str">
        <f>IF(OR($B49="",基础资料!$B$7=""),"",SUMIFS(周转筐出入库明细!$H$4:$H$2004,周转筐出入库明细!$C$4:$C$2004,$B49,周转筐出入库明细!$D$4:$D$2004,基础资料!$B$7,周转筐出入库明细!$F$4:$F$2004,"采购入库",周转筐出入库明细!$B$4:$B$2004,"&gt;="&amp;$BC$1,周转筐出入库明细!$B$4:$B$2004,"&lt;="&amp;$BC$2))</f>
        <v/>
      </c>
      <c r="S49" s="25" t="str">
        <f>IF(OR($B49="",基础资料!$B$8=""),"",SUMIFS(周转筐出入库明细!$H$4:$H$2004,周转筐出入库明细!$C$4:$C$2004,$B49,周转筐出入库明细!$D$4:$D$2004,基础资料!$B$8,周转筐出入库明细!$F$4:$F$2004,"采购入库",周转筐出入库明细!$B$4:$B$2004,"&gt;="&amp;$BC$1,周转筐出入库明细!$B$4:$B$2004,"&lt;="&amp;$BC$2))</f>
        <v/>
      </c>
      <c r="T49" s="25" t="str">
        <f t="shared" si="3"/>
        <v/>
      </c>
      <c r="U49" s="25" t="str">
        <f>IF(OR($B49="",基础资料!$B$4=""),"",SUMIFS(周转筐出入库明细!$K$4:$K$2004,周转筐出入库明细!$C$4:$C$2004,$B49,周转筐出入库明细!$D$4:$D$2004,基础资料!$B$4,周转筐出入库明细!$B$4:$B$2004,"&gt;="&amp;$BC$1,周转筐出入库明细!$B$4:$B$2004,"&lt;="&amp;$BC$2))</f>
        <v/>
      </c>
      <c r="V49" s="25" t="str">
        <f>IF(OR($B49="",基础资料!$B$5=""),"",SUMIFS(周转筐出入库明细!$K$4:$K$2004,周转筐出入库明细!$C$4:$C$2004,$B49,周转筐出入库明细!$D$4:$D$2004,基础资料!$B$5,周转筐出入库明细!$B$4:$B$2004,"&gt;="&amp;$BC$1,周转筐出入库明细!$B$4:$B$2004,"&lt;="&amp;$BC$2))</f>
        <v/>
      </c>
      <c r="W49" s="25" t="str">
        <f>IF(OR($B49="",基础资料!$B$6=""),"",SUMIFS(周转筐出入库明细!$K$4:$K$2004,周转筐出入库明细!$C$4:$C$2004,$B49,周转筐出入库明细!$D$4:$D$2004,基础资料!$B$6,周转筐出入库明细!$B$4:$B$2004,"&gt;="&amp;$BC$1,周转筐出入库明细!$B$4:$B$2004,"&lt;="&amp;$BC$2))</f>
        <v/>
      </c>
      <c r="X49" s="25" t="str">
        <f>IF(OR($B49="",基础资料!$B$7=""),"",SUMIFS(周转筐出入库明细!$K$4:$K$2004,周转筐出入库明细!$C$4:$C$2004,$B49,周转筐出入库明细!$D$4:$D$2004,基础资料!$B$7,周转筐出入库明细!$B$4:$B$2004,"&gt;="&amp;$BC$1,周转筐出入库明细!$B$4:$B$2004,"&lt;="&amp;$BC$2))</f>
        <v/>
      </c>
      <c r="Y49" s="25" t="str">
        <f>IF(OR($B49="",基础资料!$B$8=""),"",SUMIFS(周转筐出入库明细!$K$4:$K$2004,周转筐出入库明细!$C$4:$C$2004,$B49,周转筐出入库明细!$D$4:$D$2004,基础资料!$B$8,周转筐出入库明细!$B$4:$B$2004,"&gt;="&amp;$BC$1,周转筐出入库明细!$B$4:$B$2004,"&lt;="&amp;$BC$2))</f>
        <v/>
      </c>
      <c r="Z49" s="25" t="str">
        <f t="shared" si="4"/>
        <v/>
      </c>
      <c r="AA49" s="67" t="str">
        <f>IF(OR($B49="",基础资料!$B$4=""),"",-SUMIFS(对接源_01水果筐数!$D$5:$D$304,对接源_01水果筐数!$B$5:$B$304,$B49,对接源_01水果筐数!$C$5:$C$304,基础资料!$B$4))</f>
        <v/>
      </c>
      <c r="AB49" s="67" t="str">
        <f>IF(OR($B49="",基础资料!$B$5=""),"",-SUMIFS(对接源_01水果筐数!$D$5:$D$304,对接源_01水果筐数!$B$5:$B$304,$B49,对接源_01水果筐数!$C$5:$C$304,基础资料!$B$5))</f>
        <v/>
      </c>
      <c r="AC49" s="67" t="str">
        <f>IF(OR($B49="",基础资料!$B$6=""),"",-SUMIFS(对接源_01水果筐数!$D$5:$D$304,对接源_01水果筐数!$B$5:$B$304,$B49,对接源_01水果筐数!$C$5:$C$304,基础资料!$B$6))</f>
        <v/>
      </c>
      <c r="AD49" s="67" t="str">
        <f>IF(OR($B49="",基础资料!$B$7=""),"",-SUMIFS(对接源_01水果筐数!$D$5:$D$304,对接源_01水果筐数!$B$5:$B$304,$B49,对接源_01水果筐数!$C$5:$C$304,基础资料!$B$7))</f>
        <v/>
      </c>
      <c r="AE49" s="67" t="str">
        <f>IF(OR($B49="",基础资料!$B$8=""),"",-SUMIFS(对接源_01水果筐数!$D$5:$D$304,对接源_01水果筐数!$B$5:$B$304,$B49,对接源_01水果筐数!$C$5:$C$304,基础资料!$B$8))</f>
        <v/>
      </c>
      <c r="AF49" s="25" t="str">
        <f>IF(OR($B49="",基础资料!$B$4=""),"",SUMIFS(对接源_01水果筐数!$E$5:$E$304,对接源_01水果筐数!$B$5:$B$304,$B49,对接源_01水果筐数!$C$5:$C$304,基础资料!$B$4))</f>
        <v/>
      </c>
      <c r="AG49" s="25" t="str">
        <f>IF(OR($B49="",基础资料!$B$5=""),"",SUMIFS(对接源_01水果筐数!$E$5:$E$304,对接源_01水果筐数!$B$5:$B$304,$B49,对接源_01水果筐数!$C$5:$C$304,基础资料!$B$5))</f>
        <v/>
      </c>
      <c r="AH49" s="25" t="str">
        <f>IF(OR($B49="",基础资料!$B$6=""),"",SUMIFS(对接源_01水果筐数!$E$5:$E$304,对接源_01水果筐数!$B$5:$B$304,$B49,对接源_01水果筐数!$C$5:$C$304,基础资料!$B$6))</f>
        <v/>
      </c>
      <c r="AI49" s="25" t="str">
        <f>IF(OR($B49="",基础资料!$B$7=""),"",SUMIFS(对接源_01水果筐数!$E$5:$E$304,对接源_01水果筐数!$B$5:$B$304,$B49,对接源_01水果筐数!$C$5:$C$304,基础资料!$B$7))</f>
        <v/>
      </c>
      <c r="AJ49" s="25" t="str">
        <f>IF(OR($B49="",基础资料!$B$8=""),"",SUMIFS(对接源_01水果筐数!$E$5:$E$304,对接源_01水果筐数!$B$5:$B$304,$B49,对接源_01水果筐数!$C$5:$C$304,基础资料!$B$8))</f>
        <v/>
      </c>
      <c r="AK49" s="25" t="str">
        <f>IF(OR($B49="",基础资料!$B$4=""),"",SUMIFS(对接源_01水果筐数!$F$5:$F$304,对接源_01水果筐数!$B$5:$B$304,$B49,对接源_01水果筐数!$C$5:$C$304,基础资料!$B$4))</f>
        <v/>
      </c>
      <c r="AL49" s="25" t="str">
        <f>IF(OR($B49="",基础资料!$B$5=""),"",SUMIFS(对接源_01水果筐数!$F$5:$F$304,对接源_01水果筐数!$B$5:$B$304,$B49,对接源_01水果筐数!$C$5:$C$304,基础资料!$B$5))</f>
        <v/>
      </c>
      <c r="AM49" s="25" t="str">
        <f>IF(OR($B49="",基础资料!$B$6=""),"",SUMIFS(对接源_01水果筐数!$F$5:$F$304,对接源_01水果筐数!$B$5:$B$304,$B49,对接源_01水果筐数!$C$5:$C$304,基础资料!$B$6))</f>
        <v/>
      </c>
      <c r="AN49" s="25" t="str">
        <f>IF(OR($B49="",基础资料!$B$7=""),"",SUMIFS(对接源_01水果筐数!$F$5:$F$304,对接源_01水果筐数!$B$5:$B$304,$B49,对接源_01水果筐数!$C$5:$C$304,基础资料!$B$7))</f>
        <v/>
      </c>
      <c r="AO49" s="25" t="str">
        <f>IF(OR($B49="",基础资料!$B$8=""),"",SUMIFS(对接源_01水果筐数!$F$5:$F$304,对接源_01水果筐数!$B$5:$B$304,$B49,对接源_01水果筐数!$C$5:$C$304,基础资料!$B$8))</f>
        <v/>
      </c>
      <c r="AP49" s="25" t="str">
        <f t="shared" si="5"/>
        <v/>
      </c>
      <c r="AQ49" s="25" t="str">
        <f t="shared" si="11"/>
        <v/>
      </c>
      <c r="AR49" s="25" t="str">
        <f t="shared" si="6"/>
        <v/>
      </c>
      <c r="AS49" s="25" t="str">
        <f t="shared" si="7"/>
        <v/>
      </c>
      <c r="AT49" s="25" t="str">
        <f t="shared" si="8"/>
        <v/>
      </c>
      <c r="AU49" s="25" t="str">
        <f t="shared" si="9"/>
        <v/>
      </c>
      <c r="AV49" s="24" t="str">
        <f t="shared" si="10"/>
        <v/>
      </c>
      <c r="AW49" s="72"/>
    </row>
    <row r="50" spans="1:49">
      <c r="A50" s="22" t="str">
        <f t="shared" si="0"/>
        <v/>
      </c>
      <c r="B50" s="24" t="str">
        <f>IFERROR(INDEX(_自动清单!$CC$4:$CC$253,ROW()-3),"")</f>
        <v/>
      </c>
      <c r="C50" s="25" t="str">
        <f>IF(OR($B50="",基础资料!$B$4=""),"",SUMIFS(周转筐出入库明细!$J$4:$J$2004,周转筐出入库明细!$C$4:$C$2004,$B50,周转筐出入库明细!$D$4:$D$2004,基础资料!$B$4,周转筐出入库明细!$B$4:$B$2004,"&gt;="&amp;$BC$1,周转筐出入库明细!$B$4:$B$2004,"&lt;="&amp;$BC$2))</f>
        <v/>
      </c>
      <c r="D50" s="25" t="str">
        <f>IF(OR($B50="",基础资料!$B$5=""),"",SUMIFS(周转筐出入库明细!$J$4:$J$2004,周转筐出入库明细!$C$4:$C$2004,$B50,周转筐出入库明细!$D$4:$D$2004,基础资料!$B$5,周转筐出入库明细!$B$4:$B$2004,"&gt;="&amp;$BC$1,周转筐出入库明细!$B$4:$B$2004,"&lt;="&amp;$BC$2))</f>
        <v/>
      </c>
      <c r="E50" s="25" t="str">
        <f>IF(OR($B50="",基础资料!$B$6=""),"",SUMIFS(周转筐出入库明细!$J$4:$J$2004,周转筐出入库明细!$C$4:$C$2004,$B50,周转筐出入库明细!$D$4:$D$2004,基础资料!$B$6,周转筐出入库明细!$B$4:$B$2004,"&gt;="&amp;$BC$1,周转筐出入库明细!$B$4:$B$2004,"&lt;="&amp;$BC$2))</f>
        <v/>
      </c>
      <c r="F50" s="25" t="str">
        <f>IF(OR($B50="",基础资料!$B$7=""),"",SUMIFS(周转筐出入库明细!$J$4:$J$2004,周转筐出入库明细!$C$4:$C$2004,$B50,周转筐出入库明细!$D$4:$D$2004,基础资料!$B$7,周转筐出入库明细!$B$4:$B$2004,"&gt;="&amp;$BC$1,周转筐出入库明细!$B$4:$B$2004,"&lt;="&amp;$BC$2))</f>
        <v/>
      </c>
      <c r="G50" s="25" t="str">
        <f>IF(OR($B50="",基础资料!$B$8=""),"",SUMIFS(周转筐出入库明细!$J$4:$J$2004,周转筐出入库明细!$C$4:$C$2004,$B50,周转筐出入库明细!$D$4:$D$2004,基础资料!$B$8,周转筐出入库明细!$B$4:$B$2004,"&gt;="&amp;$BC$1,周转筐出入库明细!$B$4:$B$2004,"&lt;="&amp;$BC$2))</f>
        <v/>
      </c>
      <c r="H50" s="25" t="str">
        <f t="shared" si="1"/>
        <v/>
      </c>
      <c r="I50" s="67" t="str">
        <f>IF(OR($B50="",基础资料!$B$4=""),"",-SUMIFS(周转筐出入库明细!$I$4:$I$2004,周转筐出入库明细!$C$4:$C$2004,$B50,周转筐出入库明细!$D$4:$D$2004,基础资料!$B$4,周转筐出入库明细!$B$4:$B$2004,"&gt;="&amp;$BC$1,周转筐出入库明细!$B$4:$B$2004,"&lt;="&amp;$BC$2))</f>
        <v/>
      </c>
      <c r="J50" s="67" t="str">
        <f>IF(OR($B50="",基础资料!$B$5=""),"",-SUMIFS(周转筐出入库明细!$I$4:$I$2004,周转筐出入库明细!$C$4:$C$2004,$B50,周转筐出入库明细!$D$4:$D$2004,基础资料!$B$5,周转筐出入库明细!$B$4:$B$2004,"&gt;="&amp;$BC$1,周转筐出入库明细!$B$4:$B$2004,"&lt;="&amp;$BC$2))</f>
        <v/>
      </c>
      <c r="K50" s="67" t="str">
        <f>IF(OR($B50="",基础资料!$B$6=""),"",-SUMIFS(周转筐出入库明细!$I$4:$I$2004,周转筐出入库明细!$C$4:$C$2004,$B50,周转筐出入库明细!$D$4:$D$2004,基础资料!$B$6,周转筐出入库明细!$B$4:$B$2004,"&gt;="&amp;$BC$1,周转筐出入库明细!$B$4:$B$2004,"&lt;="&amp;$BC$2))</f>
        <v/>
      </c>
      <c r="L50" s="67" t="str">
        <f>IF(OR($B50="",基础资料!$B$7=""),"",-SUMIFS(周转筐出入库明细!$I$4:$I$2004,周转筐出入库明细!$C$4:$C$2004,$B50,周转筐出入库明细!$D$4:$D$2004,基础资料!$B$7,周转筐出入库明细!$B$4:$B$2004,"&gt;="&amp;$BC$1,周转筐出入库明细!$B$4:$B$2004,"&lt;="&amp;$BC$2))</f>
        <v/>
      </c>
      <c r="M50" s="67" t="str">
        <f>IF(OR($B50="",基础资料!$B$8=""),"",-SUMIFS(周转筐出入库明细!$I$4:$I$2004,周转筐出入库明细!$C$4:$C$2004,$B50,周转筐出入库明细!$D$4:$D$2004,基础资料!$B$8,周转筐出入库明细!$B$4:$B$2004,"&gt;="&amp;$BC$1,周转筐出入库明细!$B$4:$B$2004,"&lt;="&amp;$BC$2))</f>
        <v/>
      </c>
      <c r="N50" s="67" t="str">
        <f t="shared" si="2"/>
        <v/>
      </c>
      <c r="O50" s="25" t="str">
        <f>IF(OR($B50="",基础资料!$B$4=""),"",SUMIFS(周转筐出入库明细!$H$4:$H$2004,周转筐出入库明细!$C$4:$C$2004,$B50,周转筐出入库明细!$D$4:$D$2004,基础资料!$B$4,周转筐出入库明细!$F$4:$F$2004,"采购入库",周转筐出入库明细!$B$4:$B$2004,"&gt;="&amp;$BC$1,周转筐出入库明细!$B$4:$B$2004,"&lt;="&amp;$BC$2))</f>
        <v/>
      </c>
      <c r="P50" s="25" t="str">
        <f>IF(OR($B50="",基础资料!$B$5=""),"",SUMIFS(周转筐出入库明细!$H$4:$H$2004,周转筐出入库明细!$C$4:$C$2004,$B50,周转筐出入库明细!$D$4:$D$2004,基础资料!$B$5,周转筐出入库明细!$F$4:$F$2004,"采购入库",周转筐出入库明细!$B$4:$B$2004,"&gt;="&amp;$BC$1,周转筐出入库明细!$B$4:$B$2004,"&lt;="&amp;$BC$2))</f>
        <v/>
      </c>
      <c r="Q50" s="25" t="str">
        <f>IF(OR($B50="",基础资料!$B$6=""),"",SUMIFS(周转筐出入库明细!$H$4:$H$2004,周转筐出入库明细!$C$4:$C$2004,$B50,周转筐出入库明细!$D$4:$D$2004,基础资料!$B$6,周转筐出入库明细!$F$4:$F$2004,"采购入库",周转筐出入库明细!$B$4:$B$2004,"&gt;="&amp;$BC$1,周转筐出入库明细!$B$4:$B$2004,"&lt;="&amp;$BC$2))</f>
        <v/>
      </c>
      <c r="R50" s="25" t="str">
        <f>IF(OR($B50="",基础资料!$B$7=""),"",SUMIFS(周转筐出入库明细!$H$4:$H$2004,周转筐出入库明细!$C$4:$C$2004,$B50,周转筐出入库明细!$D$4:$D$2004,基础资料!$B$7,周转筐出入库明细!$F$4:$F$2004,"采购入库",周转筐出入库明细!$B$4:$B$2004,"&gt;="&amp;$BC$1,周转筐出入库明细!$B$4:$B$2004,"&lt;="&amp;$BC$2))</f>
        <v/>
      </c>
      <c r="S50" s="25" t="str">
        <f>IF(OR($B50="",基础资料!$B$8=""),"",SUMIFS(周转筐出入库明细!$H$4:$H$2004,周转筐出入库明细!$C$4:$C$2004,$B50,周转筐出入库明细!$D$4:$D$2004,基础资料!$B$8,周转筐出入库明细!$F$4:$F$2004,"采购入库",周转筐出入库明细!$B$4:$B$2004,"&gt;="&amp;$BC$1,周转筐出入库明细!$B$4:$B$2004,"&lt;="&amp;$BC$2))</f>
        <v/>
      </c>
      <c r="T50" s="25" t="str">
        <f t="shared" si="3"/>
        <v/>
      </c>
      <c r="U50" s="25" t="str">
        <f>IF(OR($B50="",基础资料!$B$4=""),"",SUMIFS(周转筐出入库明细!$K$4:$K$2004,周转筐出入库明细!$C$4:$C$2004,$B50,周转筐出入库明细!$D$4:$D$2004,基础资料!$B$4,周转筐出入库明细!$B$4:$B$2004,"&gt;="&amp;$BC$1,周转筐出入库明细!$B$4:$B$2004,"&lt;="&amp;$BC$2))</f>
        <v/>
      </c>
      <c r="V50" s="25" t="str">
        <f>IF(OR($B50="",基础资料!$B$5=""),"",SUMIFS(周转筐出入库明细!$K$4:$K$2004,周转筐出入库明细!$C$4:$C$2004,$B50,周转筐出入库明细!$D$4:$D$2004,基础资料!$B$5,周转筐出入库明细!$B$4:$B$2004,"&gt;="&amp;$BC$1,周转筐出入库明细!$B$4:$B$2004,"&lt;="&amp;$BC$2))</f>
        <v/>
      </c>
      <c r="W50" s="25" t="str">
        <f>IF(OR($B50="",基础资料!$B$6=""),"",SUMIFS(周转筐出入库明细!$K$4:$K$2004,周转筐出入库明细!$C$4:$C$2004,$B50,周转筐出入库明细!$D$4:$D$2004,基础资料!$B$6,周转筐出入库明细!$B$4:$B$2004,"&gt;="&amp;$BC$1,周转筐出入库明细!$B$4:$B$2004,"&lt;="&amp;$BC$2))</f>
        <v/>
      </c>
      <c r="X50" s="25" t="str">
        <f>IF(OR($B50="",基础资料!$B$7=""),"",SUMIFS(周转筐出入库明细!$K$4:$K$2004,周转筐出入库明细!$C$4:$C$2004,$B50,周转筐出入库明细!$D$4:$D$2004,基础资料!$B$7,周转筐出入库明细!$B$4:$B$2004,"&gt;="&amp;$BC$1,周转筐出入库明细!$B$4:$B$2004,"&lt;="&amp;$BC$2))</f>
        <v/>
      </c>
      <c r="Y50" s="25" t="str">
        <f>IF(OR($B50="",基础资料!$B$8=""),"",SUMIFS(周转筐出入库明细!$K$4:$K$2004,周转筐出入库明细!$C$4:$C$2004,$B50,周转筐出入库明细!$D$4:$D$2004,基础资料!$B$8,周转筐出入库明细!$B$4:$B$2004,"&gt;="&amp;$BC$1,周转筐出入库明细!$B$4:$B$2004,"&lt;="&amp;$BC$2))</f>
        <v/>
      </c>
      <c r="Z50" s="25" t="str">
        <f t="shared" si="4"/>
        <v/>
      </c>
      <c r="AA50" s="67" t="str">
        <f>IF(OR($B50="",基础资料!$B$4=""),"",-SUMIFS(对接源_01水果筐数!$D$5:$D$304,对接源_01水果筐数!$B$5:$B$304,$B50,对接源_01水果筐数!$C$5:$C$304,基础资料!$B$4))</f>
        <v/>
      </c>
      <c r="AB50" s="67" t="str">
        <f>IF(OR($B50="",基础资料!$B$5=""),"",-SUMIFS(对接源_01水果筐数!$D$5:$D$304,对接源_01水果筐数!$B$5:$B$304,$B50,对接源_01水果筐数!$C$5:$C$304,基础资料!$B$5))</f>
        <v/>
      </c>
      <c r="AC50" s="67" t="str">
        <f>IF(OR($B50="",基础资料!$B$6=""),"",-SUMIFS(对接源_01水果筐数!$D$5:$D$304,对接源_01水果筐数!$B$5:$B$304,$B50,对接源_01水果筐数!$C$5:$C$304,基础资料!$B$6))</f>
        <v/>
      </c>
      <c r="AD50" s="67" t="str">
        <f>IF(OR($B50="",基础资料!$B$7=""),"",-SUMIFS(对接源_01水果筐数!$D$5:$D$304,对接源_01水果筐数!$B$5:$B$304,$B50,对接源_01水果筐数!$C$5:$C$304,基础资料!$B$7))</f>
        <v/>
      </c>
      <c r="AE50" s="67" t="str">
        <f>IF(OR($B50="",基础资料!$B$8=""),"",-SUMIFS(对接源_01水果筐数!$D$5:$D$304,对接源_01水果筐数!$B$5:$B$304,$B50,对接源_01水果筐数!$C$5:$C$304,基础资料!$B$8))</f>
        <v/>
      </c>
      <c r="AF50" s="25" t="str">
        <f>IF(OR($B50="",基础资料!$B$4=""),"",SUMIFS(对接源_01水果筐数!$E$5:$E$304,对接源_01水果筐数!$B$5:$B$304,$B50,对接源_01水果筐数!$C$5:$C$304,基础资料!$B$4))</f>
        <v/>
      </c>
      <c r="AG50" s="25" t="str">
        <f>IF(OR($B50="",基础资料!$B$5=""),"",SUMIFS(对接源_01水果筐数!$E$5:$E$304,对接源_01水果筐数!$B$5:$B$304,$B50,对接源_01水果筐数!$C$5:$C$304,基础资料!$B$5))</f>
        <v/>
      </c>
      <c r="AH50" s="25" t="str">
        <f>IF(OR($B50="",基础资料!$B$6=""),"",SUMIFS(对接源_01水果筐数!$E$5:$E$304,对接源_01水果筐数!$B$5:$B$304,$B50,对接源_01水果筐数!$C$5:$C$304,基础资料!$B$6))</f>
        <v/>
      </c>
      <c r="AI50" s="25" t="str">
        <f>IF(OR($B50="",基础资料!$B$7=""),"",SUMIFS(对接源_01水果筐数!$E$5:$E$304,对接源_01水果筐数!$B$5:$B$304,$B50,对接源_01水果筐数!$C$5:$C$304,基础资料!$B$7))</f>
        <v/>
      </c>
      <c r="AJ50" s="25" t="str">
        <f>IF(OR($B50="",基础资料!$B$8=""),"",SUMIFS(对接源_01水果筐数!$E$5:$E$304,对接源_01水果筐数!$B$5:$B$304,$B50,对接源_01水果筐数!$C$5:$C$304,基础资料!$B$8))</f>
        <v/>
      </c>
      <c r="AK50" s="25" t="str">
        <f>IF(OR($B50="",基础资料!$B$4=""),"",SUMIFS(对接源_01水果筐数!$F$5:$F$304,对接源_01水果筐数!$B$5:$B$304,$B50,对接源_01水果筐数!$C$5:$C$304,基础资料!$B$4))</f>
        <v/>
      </c>
      <c r="AL50" s="25" t="str">
        <f>IF(OR($B50="",基础资料!$B$5=""),"",SUMIFS(对接源_01水果筐数!$F$5:$F$304,对接源_01水果筐数!$B$5:$B$304,$B50,对接源_01水果筐数!$C$5:$C$304,基础资料!$B$5))</f>
        <v/>
      </c>
      <c r="AM50" s="25" t="str">
        <f>IF(OR($B50="",基础资料!$B$6=""),"",SUMIFS(对接源_01水果筐数!$F$5:$F$304,对接源_01水果筐数!$B$5:$B$304,$B50,对接源_01水果筐数!$C$5:$C$304,基础资料!$B$6))</f>
        <v/>
      </c>
      <c r="AN50" s="25" t="str">
        <f>IF(OR($B50="",基础资料!$B$7=""),"",SUMIFS(对接源_01水果筐数!$F$5:$F$304,对接源_01水果筐数!$B$5:$B$304,$B50,对接源_01水果筐数!$C$5:$C$304,基础资料!$B$7))</f>
        <v/>
      </c>
      <c r="AO50" s="25" t="str">
        <f>IF(OR($B50="",基础资料!$B$8=""),"",SUMIFS(对接源_01水果筐数!$F$5:$F$304,对接源_01水果筐数!$B$5:$B$304,$B50,对接源_01水果筐数!$C$5:$C$304,基础资料!$B$8))</f>
        <v/>
      </c>
      <c r="AP50" s="25" t="str">
        <f t="shared" si="5"/>
        <v/>
      </c>
      <c r="AQ50" s="25" t="str">
        <f t="shared" si="11"/>
        <v/>
      </c>
      <c r="AR50" s="25" t="str">
        <f t="shared" si="6"/>
        <v/>
      </c>
      <c r="AS50" s="25" t="str">
        <f t="shared" si="7"/>
        <v/>
      </c>
      <c r="AT50" s="25" t="str">
        <f t="shared" si="8"/>
        <v/>
      </c>
      <c r="AU50" s="25" t="str">
        <f t="shared" si="9"/>
        <v/>
      </c>
      <c r="AV50" s="24" t="str">
        <f t="shared" si="10"/>
        <v/>
      </c>
      <c r="AW50" s="72"/>
    </row>
    <row r="51" spans="1:49">
      <c r="A51" s="22" t="str">
        <f t="shared" si="0"/>
        <v/>
      </c>
      <c r="B51" s="24" t="str">
        <f>IFERROR(INDEX(_自动清单!$CC$4:$CC$253,ROW()-3),"")</f>
        <v/>
      </c>
      <c r="C51" s="25" t="str">
        <f>IF(OR($B51="",基础资料!$B$4=""),"",SUMIFS(周转筐出入库明细!$J$4:$J$2004,周转筐出入库明细!$C$4:$C$2004,$B51,周转筐出入库明细!$D$4:$D$2004,基础资料!$B$4,周转筐出入库明细!$B$4:$B$2004,"&gt;="&amp;$BC$1,周转筐出入库明细!$B$4:$B$2004,"&lt;="&amp;$BC$2))</f>
        <v/>
      </c>
      <c r="D51" s="25" t="str">
        <f>IF(OR($B51="",基础资料!$B$5=""),"",SUMIFS(周转筐出入库明细!$J$4:$J$2004,周转筐出入库明细!$C$4:$C$2004,$B51,周转筐出入库明细!$D$4:$D$2004,基础资料!$B$5,周转筐出入库明细!$B$4:$B$2004,"&gt;="&amp;$BC$1,周转筐出入库明细!$B$4:$B$2004,"&lt;="&amp;$BC$2))</f>
        <v/>
      </c>
      <c r="E51" s="25" t="str">
        <f>IF(OR($B51="",基础资料!$B$6=""),"",SUMIFS(周转筐出入库明细!$J$4:$J$2004,周转筐出入库明细!$C$4:$C$2004,$B51,周转筐出入库明细!$D$4:$D$2004,基础资料!$B$6,周转筐出入库明细!$B$4:$B$2004,"&gt;="&amp;$BC$1,周转筐出入库明细!$B$4:$B$2004,"&lt;="&amp;$BC$2))</f>
        <v/>
      </c>
      <c r="F51" s="25" t="str">
        <f>IF(OR($B51="",基础资料!$B$7=""),"",SUMIFS(周转筐出入库明细!$J$4:$J$2004,周转筐出入库明细!$C$4:$C$2004,$B51,周转筐出入库明细!$D$4:$D$2004,基础资料!$B$7,周转筐出入库明细!$B$4:$B$2004,"&gt;="&amp;$BC$1,周转筐出入库明细!$B$4:$B$2004,"&lt;="&amp;$BC$2))</f>
        <v/>
      </c>
      <c r="G51" s="25" t="str">
        <f>IF(OR($B51="",基础资料!$B$8=""),"",SUMIFS(周转筐出入库明细!$J$4:$J$2004,周转筐出入库明细!$C$4:$C$2004,$B51,周转筐出入库明细!$D$4:$D$2004,基础资料!$B$8,周转筐出入库明细!$B$4:$B$2004,"&gt;="&amp;$BC$1,周转筐出入库明细!$B$4:$B$2004,"&lt;="&amp;$BC$2))</f>
        <v/>
      </c>
      <c r="H51" s="25" t="str">
        <f t="shared" si="1"/>
        <v/>
      </c>
      <c r="I51" s="67" t="str">
        <f>IF(OR($B51="",基础资料!$B$4=""),"",-SUMIFS(周转筐出入库明细!$I$4:$I$2004,周转筐出入库明细!$C$4:$C$2004,$B51,周转筐出入库明细!$D$4:$D$2004,基础资料!$B$4,周转筐出入库明细!$B$4:$B$2004,"&gt;="&amp;$BC$1,周转筐出入库明细!$B$4:$B$2004,"&lt;="&amp;$BC$2))</f>
        <v/>
      </c>
      <c r="J51" s="67" t="str">
        <f>IF(OR($B51="",基础资料!$B$5=""),"",-SUMIFS(周转筐出入库明细!$I$4:$I$2004,周转筐出入库明细!$C$4:$C$2004,$B51,周转筐出入库明细!$D$4:$D$2004,基础资料!$B$5,周转筐出入库明细!$B$4:$B$2004,"&gt;="&amp;$BC$1,周转筐出入库明细!$B$4:$B$2004,"&lt;="&amp;$BC$2))</f>
        <v/>
      </c>
      <c r="K51" s="67" t="str">
        <f>IF(OR($B51="",基础资料!$B$6=""),"",-SUMIFS(周转筐出入库明细!$I$4:$I$2004,周转筐出入库明细!$C$4:$C$2004,$B51,周转筐出入库明细!$D$4:$D$2004,基础资料!$B$6,周转筐出入库明细!$B$4:$B$2004,"&gt;="&amp;$BC$1,周转筐出入库明细!$B$4:$B$2004,"&lt;="&amp;$BC$2))</f>
        <v/>
      </c>
      <c r="L51" s="67" t="str">
        <f>IF(OR($B51="",基础资料!$B$7=""),"",-SUMIFS(周转筐出入库明细!$I$4:$I$2004,周转筐出入库明细!$C$4:$C$2004,$B51,周转筐出入库明细!$D$4:$D$2004,基础资料!$B$7,周转筐出入库明细!$B$4:$B$2004,"&gt;="&amp;$BC$1,周转筐出入库明细!$B$4:$B$2004,"&lt;="&amp;$BC$2))</f>
        <v/>
      </c>
      <c r="M51" s="67" t="str">
        <f>IF(OR($B51="",基础资料!$B$8=""),"",-SUMIFS(周转筐出入库明细!$I$4:$I$2004,周转筐出入库明细!$C$4:$C$2004,$B51,周转筐出入库明细!$D$4:$D$2004,基础资料!$B$8,周转筐出入库明细!$B$4:$B$2004,"&gt;="&amp;$BC$1,周转筐出入库明细!$B$4:$B$2004,"&lt;="&amp;$BC$2))</f>
        <v/>
      </c>
      <c r="N51" s="67" t="str">
        <f t="shared" si="2"/>
        <v/>
      </c>
      <c r="O51" s="25" t="str">
        <f>IF(OR($B51="",基础资料!$B$4=""),"",SUMIFS(周转筐出入库明细!$H$4:$H$2004,周转筐出入库明细!$C$4:$C$2004,$B51,周转筐出入库明细!$D$4:$D$2004,基础资料!$B$4,周转筐出入库明细!$F$4:$F$2004,"采购入库",周转筐出入库明细!$B$4:$B$2004,"&gt;="&amp;$BC$1,周转筐出入库明细!$B$4:$B$2004,"&lt;="&amp;$BC$2))</f>
        <v/>
      </c>
      <c r="P51" s="25" t="str">
        <f>IF(OR($B51="",基础资料!$B$5=""),"",SUMIFS(周转筐出入库明细!$H$4:$H$2004,周转筐出入库明细!$C$4:$C$2004,$B51,周转筐出入库明细!$D$4:$D$2004,基础资料!$B$5,周转筐出入库明细!$F$4:$F$2004,"采购入库",周转筐出入库明细!$B$4:$B$2004,"&gt;="&amp;$BC$1,周转筐出入库明细!$B$4:$B$2004,"&lt;="&amp;$BC$2))</f>
        <v/>
      </c>
      <c r="Q51" s="25" t="str">
        <f>IF(OR($B51="",基础资料!$B$6=""),"",SUMIFS(周转筐出入库明细!$H$4:$H$2004,周转筐出入库明细!$C$4:$C$2004,$B51,周转筐出入库明细!$D$4:$D$2004,基础资料!$B$6,周转筐出入库明细!$F$4:$F$2004,"采购入库",周转筐出入库明细!$B$4:$B$2004,"&gt;="&amp;$BC$1,周转筐出入库明细!$B$4:$B$2004,"&lt;="&amp;$BC$2))</f>
        <v/>
      </c>
      <c r="R51" s="25" t="str">
        <f>IF(OR($B51="",基础资料!$B$7=""),"",SUMIFS(周转筐出入库明细!$H$4:$H$2004,周转筐出入库明细!$C$4:$C$2004,$B51,周转筐出入库明细!$D$4:$D$2004,基础资料!$B$7,周转筐出入库明细!$F$4:$F$2004,"采购入库",周转筐出入库明细!$B$4:$B$2004,"&gt;="&amp;$BC$1,周转筐出入库明细!$B$4:$B$2004,"&lt;="&amp;$BC$2))</f>
        <v/>
      </c>
      <c r="S51" s="25" t="str">
        <f>IF(OR($B51="",基础资料!$B$8=""),"",SUMIFS(周转筐出入库明细!$H$4:$H$2004,周转筐出入库明细!$C$4:$C$2004,$B51,周转筐出入库明细!$D$4:$D$2004,基础资料!$B$8,周转筐出入库明细!$F$4:$F$2004,"采购入库",周转筐出入库明细!$B$4:$B$2004,"&gt;="&amp;$BC$1,周转筐出入库明细!$B$4:$B$2004,"&lt;="&amp;$BC$2))</f>
        <v/>
      </c>
      <c r="T51" s="25" t="str">
        <f t="shared" si="3"/>
        <v/>
      </c>
      <c r="U51" s="25" t="str">
        <f>IF(OR($B51="",基础资料!$B$4=""),"",SUMIFS(周转筐出入库明细!$K$4:$K$2004,周转筐出入库明细!$C$4:$C$2004,$B51,周转筐出入库明细!$D$4:$D$2004,基础资料!$B$4,周转筐出入库明细!$B$4:$B$2004,"&gt;="&amp;$BC$1,周转筐出入库明细!$B$4:$B$2004,"&lt;="&amp;$BC$2))</f>
        <v/>
      </c>
      <c r="V51" s="25" t="str">
        <f>IF(OR($B51="",基础资料!$B$5=""),"",SUMIFS(周转筐出入库明细!$K$4:$K$2004,周转筐出入库明细!$C$4:$C$2004,$B51,周转筐出入库明细!$D$4:$D$2004,基础资料!$B$5,周转筐出入库明细!$B$4:$B$2004,"&gt;="&amp;$BC$1,周转筐出入库明细!$B$4:$B$2004,"&lt;="&amp;$BC$2))</f>
        <v/>
      </c>
      <c r="W51" s="25" t="str">
        <f>IF(OR($B51="",基础资料!$B$6=""),"",SUMIFS(周转筐出入库明细!$K$4:$K$2004,周转筐出入库明细!$C$4:$C$2004,$B51,周转筐出入库明细!$D$4:$D$2004,基础资料!$B$6,周转筐出入库明细!$B$4:$B$2004,"&gt;="&amp;$BC$1,周转筐出入库明细!$B$4:$B$2004,"&lt;="&amp;$BC$2))</f>
        <v/>
      </c>
      <c r="X51" s="25" t="str">
        <f>IF(OR($B51="",基础资料!$B$7=""),"",SUMIFS(周转筐出入库明细!$K$4:$K$2004,周转筐出入库明细!$C$4:$C$2004,$B51,周转筐出入库明细!$D$4:$D$2004,基础资料!$B$7,周转筐出入库明细!$B$4:$B$2004,"&gt;="&amp;$BC$1,周转筐出入库明细!$B$4:$B$2004,"&lt;="&amp;$BC$2))</f>
        <v/>
      </c>
      <c r="Y51" s="25" t="str">
        <f>IF(OR($B51="",基础资料!$B$8=""),"",SUMIFS(周转筐出入库明细!$K$4:$K$2004,周转筐出入库明细!$C$4:$C$2004,$B51,周转筐出入库明细!$D$4:$D$2004,基础资料!$B$8,周转筐出入库明细!$B$4:$B$2004,"&gt;="&amp;$BC$1,周转筐出入库明细!$B$4:$B$2004,"&lt;="&amp;$BC$2))</f>
        <v/>
      </c>
      <c r="Z51" s="25" t="str">
        <f t="shared" si="4"/>
        <v/>
      </c>
      <c r="AA51" s="67" t="str">
        <f>IF(OR($B51="",基础资料!$B$4=""),"",-SUMIFS(对接源_01水果筐数!$D$5:$D$304,对接源_01水果筐数!$B$5:$B$304,$B51,对接源_01水果筐数!$C$5:$C$304,基础资料!$B$4))</f>
        <v/>
      </c>
      <c r="AB51" s="67" t="str">
        <f>IF(OR($B51="",基础资料!$B$5=""),"",-SUMIFS(对接源_01水果筐数!$D$5:$D$304,对接源_01水果筐数!$B$5:$B$304,$B51,对接源_01水果筐数!$C$5:$C$304,基础资料!$B$5))</f>
        <v/>
      </c>
      <c r="AC51" s="67" t="str">
        <f>IF(OR($B51="",基础资料!$B$6=""),"",-SUMIFS(对接源_01水果筐数!$D$5:$D$304,对接源_01水果筐数!$B$5:$B$304,$B51,对接源_01水果筐数!$C$5:$C$304,基础资料!$B$6))</f>
        <v/>
      </c>
      <c r="AD51" s="67" t="str">
        <f>IF(OR($B51="",基础资料!$B$7=""),"",-SUMIFS(对接源_01水果筐数!$D$5:$D$304,对接源_01水果筐数!$B$5:$B$304,$B51,对接源_01水果筐数!$C$5:$C$304,基础资料!$B$7))</f>
        <v/>
      </c>
      <c r="AE51" s="67" t="str">
        <f>IF(OR($B51="",基础资料!$B$8=""),"",-SUMIFS(对接源_01水果筐数!$D$5:$D$304,对接源_01水果筐数!$B$5:$B$304,$B51,对接源_01水果筐数!$C$5:$C$304,基础资料!$B$8))</f>
        <v/>
      </c>
      <c r="AF51" s="25" t="str">
        <f>IF(OR($B51="",基础资料!$B$4=""),"",SUMIFS(对接源_01水果筐数!$E$5:$E$304,对接源_01水果筐数!$B$5:$B$304,$B51,对接源_01水果筐数!$C$5:$C$304,基础资料!$B$4))</f>
        <v/>
      </c>
      <c r="AG51" s="25" t="str">
        <f>IF(OR($B51="",基础资料!$B$5=""),"",SUMIFS(对接源_01水果筐数!$E$5:$E$304,对接源_01水果筐数!$B$5:$B$304,$B51,对接源_01水果筐数!$C$5:$C$304,基础资料!$B$5))</f>
        <v/>
      </c>
      <c r="AH51" s="25" t="str">
        <f>IF(OR($B51="",基础资料!$B$6=""),"",SUMIFS(对接源_01水果筐数!$E$5:$E$304,对接源_01水果筐数!$B$5:$B$304,$B51,对接源_01水果筐数!$C$5:$C$304,基础资料!$B$6))</f>
        <v/>
      </c>
      <c r="AI51" s="25" t="str">
        <f>IF(OR($B51="",基础资料!$B$7=""),"",SUMIFS(对接源_01水果筐数!$E$5:$E$304,对接源_01水果筐数!$B$5:$B$304,$B51,对接源_01水果筐数!$C$5:$C$304,基础资料!$B$7))</f>
        <v/>
      </c>
      <c r="AJ51" s="25" t="str">
        <f>IF(OR($B51="",基础资料!$B$8=""),"",SUMIFS(对接源_01水果筐数!$E$5:$E$304,对接源_01水果筐数!$B$5:$B$304,$B51,对接源_01水果筐数!$C$5:$C$304,基础资料!$B$8))</f>
        <v/>
      </c>
      <c r="AK51" s="25" t="str">
        <f>IF(OR($B51="",基础资料!$B$4=""),"",SUMIFS(对接源_01水果筐数!$F$5:$F$304,对接源_01水果筐数!$B$5:$B$304,$B51,对接源_01水果筐数!$C$5:$C$304,基础资料!$B$4))</f>
        <v/>
      </c>
      <c r="AL51" s="25" t="str">
        <f>IF(OR($B51="",基础资料!$B$5=""),"",SUMIFS(对接源_01水果筐数!$F$5:$F$304,对接源_01水果筐数!$B$5:$B$304,$B51,对接源_01水果筐数!$C$5:$C$304,基础资料!$B$5))</f>
        <v/>
      </c>
      <c r="AM51" s="25" t="str">
        <f>IF(OR($B51="",基础资料!$B$6=""),"",SUMIFS(对接源_01水果筐数!$F$5:$F$304,对接源_01水果筐数!$B$5:$B$304,$B51,对接源_01水果筐数!$C$5:$C$304,基础资料!$B$6))</f>
        <v/>
      </c>
      <c r="AN51" s="25" t="str">
        <f>IF(OR($B51="",基础资料!$B$7=""),"",SUMIFS(对接源_01水果筐数!$F$5:$F$304,对接源_01水果筐数!$B$5:$B$304,$B51,对接源_01水果筐数!$C$5:$C$304,基础资料!$B$7))</f>
        <v/>
      </c>
      <c r="AO51" s="25" t="str">
        <f>IF(OR($B51="",基础资料!$B$8=""),"",SUMIFS(对接源_01水果筐数!$F$5:$F$304,对接源_01水果筐数!$B$5:$B$304,$B51,对接源_01水果筐数!$C$5:$C$304,基础资料!$B$8))</f>
        <v/>
      </c>
      <c r="AP51" s="25" t="str">
        <f t="shared" si="5"/>
        <v/>
      </c>
      <c r="AQ51" s="25" t="str">
        <f t="shared" si="11"/>
        <v/>
      </c>
      <c r="AR51" s="25" t="str">
        <f t="shared" si="6"/>
        <v/>
      </c>
      <c r="AS51" s="25" t="str">
        <f t="shared" si="7"/>
        <v/>
      </c>
      <c r="AT51" s="25" t="str">
        <f t="shared" si="8"/>
        <v/>
      </c>
      <c r="AU51" s="25" t="str">
        <f t="shared" si="9"/>
        <v/>
      </c>
      <c r="AV51" s="24" t="str">
        <f t="shared" si="10"/>
        <v/>
      </c>
      <c r="AW51" s="72"/>
    </row>
    <row r="52" spans="1:49">
      <c r="A52" s="22" t="str">
        <f t="shared" si="0"/>
        <v/>
      </c>
      <c r="B52" s="24" t="str">
        <f>IFERROR(INDEX(_自动清单!$CC$4:$CC$253,ROW()-3),"")</f>
        <v/>
      </c>
      <c r="C52" s="25" t="str">
        <f>IF(OR($B52="",基础资料!$B$4=""),"",SUMIFS(周转筐出入库明细!$J$4:$J$2004,周转筐出入库明细!$C$4:$C$2004,$B52,周转筐出入库明细!$D$4:$D$2004,基础资料!$B$4,周转筐出入库明细!$B$4:$B$2004,"&gt;="&amp;$BC$1,周转筐出入库明细!$B$4:$B$2004,"&lt;="&amp;$BC$2))</f>
        <v/>
      </c>
      <c r="D52" s="25" t="str">
        <f>IF(OR($B52="",基础资料!$B$5=""),"",SUMIFS(周转筐出入库明细!$J$4:$J$2004,周转筐出入库明细!$C$4:$C$2004,$B52,周转筐出入库明细!$D$4:$D$2004,基础资料!$B$5,周转筐出入库明细!$B$4:$B$2004,"&gt;="&amp;$BC$1,周转筐出入库明细!$B$4:$B$2004,"&lt;="&amp;$BC$2))</f>
        <v/>
      </c>
      <c r="E52" s="25" t="str">
        <f>IF(OR($B52="",基础资料!$B$6=""),"",SUMIFS(周转筐出入库明细!$J$4:$J$2004,周转筐出入库明细!$C$4:$C$2004,$B52,周转筐出入库明细!$D$4:$D$2004,基础资料!$B$6,周转筐出入库明细!$B$4:$B$2004,"&gt;="&amp;$BC$1,周转筐出入库明细!$B$4:$B$2004,"&lt;="&amp;$BC$2))</f>
        <v/>
      </c>
      <c r="F52" s="25" t="str">
        <f>IF(OR($B52="",基础资料!$B$7=""),"",SUMIFS(周转筐出入库明细!$J$4:$J$2004,周转筐出入库明细!$C$4:$C$2004,$B52,周转筐出入库明细!$D$4:$D$2004,基础资料!$B$7,周转筐出入库明细!$B$4:$B$2004,"&gt;="&amp;$BC$1,周转筐出入库明细!$B$4:$B$2004,"&lt;="&amp;$BC$2))</f>
        <v/>
      </c>
      <c r="G52" s="25" t="str">
        <f>IF(OR($B52="",基础资料!$B$8=""),"",SUMIFS(周转筐出入库明细!$J$4:$J$2004,周转筐出入库明细!$C$4:$C$2004,$B52,周转筐出入库明细!$D$4:$D$2004,基础资料!$B$8,周转筐出入库明细!$B$4:$B$2004,"&gt;="&amp;$BC$1,周转筐出入库明细!$B$4:$B$2004,"&lt;="&amp;$BC$2))</f>
        <v/>
      </c>
      <c r="H52" s="25" t="str">
        <f t="shared" si="1"/>
        <v/>
      </c>
      <c r="I52" s="67" t="str">
        <f>IF(OR($B52="",基础资料!$B$4=""),"",-SUMIFS(周转筐出入库明细!$I$4:$I$2004,周转筐出入库明细!$C$4:$C$2004,$B52,周转筐出入库明细!$D$4:$D$2004,基础资料!$B$4,周转筐出入库明细!$B$4:$B$2004,"&gt;="&amp;$BC$1,周转筐出入库明细!$B$4:$B$2004,"&lt;="&amp;$BC$2))</f>
        <v/>
      </c>
      <c r="J52" s="67" t="str">
        <f>IF(OR($B52="",基础资料!$B$5=""),"",-SUMIFS(周转筐出入库明细!$I$4:$I$2004,周转筐出入库明细!$C$4:$C$2004,$B52,周转筐出入库明细!$D$4:$D$2004,基础资料!$B$5,周转筐出入库明细!$B$4:$B$2004,"&gt;="&amp;$BC$1,周转筐出入库明细!$B$4:$B$2004,"&lt;="&amp;$BC$2))</f>
        <v/>
      </c>
      <c r="K52" s="67" t="str">
        <f>IF(OR($B52="",基础资料!$B$6=""),"",-SUMIFS(周转筐出入库明细!$I$4:$I$2004,周转筐出入库明细!$C$4:$C$2004,$B52,周转筐出入库明细!$D$4:$D$2004,基础资料!$B$6,周转筐出入库明细!$B$4:$B$2004,"&gt;="&amp;$BC$1,周转筐出入库明细!$B$4:$B$2004,"&lt;="&amp;$BC$2))</f>
        <v/>
      </c>
      <c r="L52" s="67" t="str">
        <f>IF(OR($B52="",基础资料!$B$7=""),"",-SUMIFS(周转筐出入库明细!$I$4:$I$2004,周转筐出入库明细!$C$4:$C$2004,$B52,周转筐出入库明细!$D$4:$D$2004,基础资料!$B$7,周转筐出入库明细!$B$4:$B$2004,"&gt;="&amp;$BC$1,周转筐出入库明细!$B$4:$B$2004,"&lt;="&amp;$BC$2))</f>
        <v/>
      </c>
      <c r="M52" s="67" t="str">
        <f>IF(OR($B52="",基础资料!$B$8=""),"",-SUMIFS(周转筐出入库明细!$I$4:$I$2004,周转筐出入库明细!$C$4:$C$2004,$B52,周转筐出入库明细!$D$4:$D$2004,基础资料!$B$8,周转筐出入库明细!$B$4:$B$2004,"&gt;="&amp;$BC$1,周转筐出入库明细!$B$4:$B$2004,"&lt;="&amp;$BC$2))</f>
        <v/>
      </c>
      <c r="N52" s="67" t="str">
        <f t="shared" si="2"/>
        <v/>
      </c>
      <c r="O52" s="25" t="str">
        <f>IF(OR($B52="",基础资料!$B$4=""),"",SUMIFS(周转筐出入库明细!$H$4:$H$2004,周转筐出入库明细!$C$4:$C$2004,$B52,周转筐出入库明细!$D$4:$D$2004,基础资料!$B$4,周转筐出入库明细!$F$4:$F$2004,"采购入库",周转筐出入库明细!$B$4:$B$2004,"&gt;="&amp;$BC$1,周转筐出入库明细!$B$4:$B$2004,"&lt;="&amp;$BC$2))</f>
        <v/>
      </c>
      <c r="P52" s="25" t="str">
        <f>IF(OR($B52="",基础资料!$B$5=""),"",SUMIFS(周转筐出入库明细!$H$4:$H$2004,周转筐出入库明细!$C$4:$C$2004,$B52,周转筐出入库明细!$D$4:$D$2004,基础资料!$B$5,周转筐出入库明细!$F$4:$F$2004,"采购入库",周转筐出入库明细!$B$4:$B$2004,"&gt;="&amp;$BC$1,周转筐出入库明细!$B$4:$B$2004,"&lt;="&amp;$BC$2))</f>
        <v/>
      </c>
      <c r="Q52" s="25" t="str">
        <f>IF(OR($B52="",基础资料!$B$6=""),"",SUMIFS(周转筐出入库明细!$H$4:$H$2004,周转筐出入库明细!$C$4:$C$2004,$B52,周转筐出入库明细!$D$4:$D$2004,基础资料!$B$6,周转筐出入库明细!$F$4:$F$2004,"采购入库",周转筐出入库明细!$B$4:$B$2004,"&gt;="&amp;$BC$1,周转筐出入库明细!$B$4:$B$2004,"&lt;="&amp;$BC$2))</f>
        <v/>
      </c>
      <c r="R52" s="25" t="str">
        <f>IF(OR($B52="",基础资料!$B$7=""),"",SUMIFS(周转筐出入库明细!$H$4:$H$2004,周转筐出入库明细!$C$4:$C$2004,$B52,周转筐出入库明细!$D$4:$D$2004,基础资料!$B$7,周转筐出入库明细!$F$4:$F$2004,"采购入库",周转筐出入库明细!$B$4:$B$2004,"&gt;="&amp;$BC$1,周转筐出入库明细!$B$4:$B$2004,"&lt;="&amp;$BC$2))</f>
        <v/>
      </c>
      <c r="S52" s="25" t="str">
        <f>IF(OR($B52="",基础资料!$B$8=""),"",SUMIFS(周转筐出入库明细!$H$4:$H$2004,周转筐出入库明细!$C$4:$C$2004,$B52,周转筐出入库明细!$D$4:$D$2004,基础资料!$B$8,周转筐出入库明细!$F$4:$F$2004,"采购入库",周转筐出入库明细!$B$4:$B$2004,"&gt;="&amp;$BC$1,周转筐出入库明细!$B$4:$B$2004,"&lt;="&amp;$BC$2))</f>
        <v/>
      </c>
      <c r="T52" s="25" t="str">
        <f t="shared" si="3"/>
        <v/>
      </c>
      <c r="U52" s="25" t="str">
        <f>IF(OR($B52="",基础资料!$B$4=""),"",SUMIFS(周转筐出入库明细!$K$4:$K$2004,周转筐出入库明细!$C$4:$C$2004,$B52,周转筐出入库明细!$D$4:$D$2004,基础资料!$B$4,周转筐出入库明细!$B$4:$B$2004,"&gt;="&amp;$BC$1,周转筐出入库明细!$B$4:$B$2004,"&lt;="&amp;$BC$2))</f>
        <v/>
      </c>
      <c r="V52" s="25" t="str">
        <f>IF(OR($B52="",基础资料!$B$5=""),"",SUMIFS(周转筐出入库明细!$K$4:$K$2004,周转筐出入库明细!$C$4:$C$2004,$B52,周转筐出入库明细!$D$4:$D$2004,基础资料!$B$5,周转筐出入库明细!$B$4:$B$2004,"&gt;="&amp;$BC$1,周转筐出入库明细!$B$4:$B$2004,"&lt;="&amp;$BC$2))</f>
        <v/>
      </c>
      <c r="W52" s="25" t="str">
        <f>IF(OR($B52="",基础资料!$B$6=""),"",SUMIFS(周转筐出入库明细!$K$4:$K$2004,周转筐出入库明细!$C$4:$C$2004,$B52,周转筐出入库明细!$D$4:$D$2004,基础资料!$B$6,周转筐出入库明细!$B$4:$B$2004,"&gt;="&amp;$BC$1,周转筐出入库明细!$B$4:$B$2004,"&lt;="&amp;$BC$2))</f>
        <v/>
      </c>
      <c r="X52" s="25" t="str">
        <f>IF(OR($B52="",基础资料!$B$7=""),"",SUMIFS(周转筐出入库明细!$K$4:$K$2004,周转筐出入库明细!$C$4:$C$2004,$B52,周转筐出入库明细!$D$4:$D$2004,基础资料!$B$7,周转筐出入库明细!$B$4:$B$2004,"&gt;="&amp;$BC$1,周转筐出入库明细!$B$4:$B$2004,"&lt;="&amp;$BC$2))</f>
        <v/>
      </c>
      <c r="Y52" s="25" t="str">
        <f>IF(OR($B52="",基础资料!$B$8=""),"",SUMIFS(周转筐出入库明细!$K$4:$K$2004,周转筐出入库明细!$C$4:$C$2004,$B52,周转筐出入库明细!$D$4:$D$2004,基础资料!$B$8,周转筐出入库明细!$B$4:$B$2004,"&gt;="&amp;$BC$1,周转筐出入库明细!$B$4:$B$2004,"&lt;="&amp;$BC$2))</f>
        <v/>
      </c>
      <c r="Z52" s="25" t="str">
        <f t="shared" si="4"/>
        <v/>
      </c>
      <c r="AA52" s="67" t="str">
        <f>IF(OR($B52="",基础资料!$B$4=""),"",-SUMIFS(对接源_01水果筐数!$D$5:$D$304,对接源_01水果筐数!$B$5:$B$304,$B52,对接源_01水果筐数!$C$5:$C$304,基础资料!$B$4))</f>
        <v/>
      </c>
      <c r="AB52" s="67" t="str">
        <f>IF(OR($B52="",基础资料!$B$5=""),"",-SUMIFS(对接源_01水果筐数!$D$5:$D$304,对接源_01水果筐数!$B$5:$B$304,$B52,对接源_01水果筐数!$C$5:$C$304,基础资料!$B$5))</f>
        <v/>
      </c>
      <c r="AC52" s="67" t="str">
        <f>IF(OR($B52="",基础资料!$B$6=""),"",-SUMIFS(对接源_01水果筐数!$D$5:$D$304,对接源_01水果筐数!$B$5:$B$304,$B52,对接源_01水果筐数!$C$5:$C$304,基础资料!$B$6))</f>
        <v/>
      </c>
      <c r="AD52" s="67" t="str">
        <f>IF(OR($B52="",基础资料!$B$7=""),"",-SUMIFS(对接源_01水果筐数!$D$5:$D$304,对接源_01水果筐数!$B$5:$B$304,$B52,对接源_01水果筐数!$C$5:$C$304,基础资料!$B$7))</f>
        <v/>
      </c>
      <c r="AE52" s="67" t="str">
        <f>IF(OR($B52="",基础资料!$B$8=""),"",-SUMIFS(对接源_01水果筐数!$D$5:$D$304,对接源_01水果筐数!$B$5:$B$304,$B52,对接源_01水果筐数!$C$5:$C$304,基础资料!$B$8))</f>
        <v/>
      </c>
      <c r="AF52" s="25" t="str">
        <f>IF(OR($B52="",基础资料!$B$4=""),"",SUMIFS(对接源_01水果筐数!$E$5:$E$304,对接源_01水果筐数!$B$5:$B$304,$B52,对接源_01水果筐数!$C$5:$C$304,基础资料!$B$4))</f>
        <v/>
      </c>
      <c r="AG52" s="25" t="str">
        <f>IF(OR($B52="",基础资料!$B$5=""),"",SUMIFS(对接源_01水果筐数!$E$5:$E$304,对接源_01水果筐数!$B$5:$B$304,$B52,对接源_01水果筐数!$C$5:$C$304,基础资料!$B$5))</f>
        <v/>
      </c>
      <c r="AH52" s="25" t="str">
        <f>IF(OR($B52="",基础资料!$B$6=""),"",SUMIFS(对接源_01水果筐数!$E$5:$E$304,对接源_01水果筐数!$B$5:$B$304,$B52,对接源_01水果筐数!$C$5:$C$304,基础资料!$B$6))</f>
        <v/>
      </c>
      <c r="AI52" s="25" t="str">
        <f>IF(OR($B52="",基础资料!$B$7=""),"",SUMIFS(对接源_01水果筐数!$E$5:$E$304,对接源_01水果筐数!$B$5:$B$304,$B52,对接源_01水果筐数!$C$5:$C$304,基础资料!$B$7))</f>
        <v/>
      </c>
      <c r="AJ52" s="25" t="str">
        <f>IF(OR($B52="",基础资料!$B$8=""),"",SUMIFS(对接源_01水果筐数!$E$5:$E$304,对接源_01水果筐数!$B$5:$B$304,$B52,对接源_01水果筐数!$C$5:$C$304,基础资料!$B$8))</f>
        <v/>
      </c>
      <c r="AK52" s="25" t="str">
        <f>IF(OR($B52="",基础资料!$B$4=""),"",SUMIFS(对接源_01水果筐数!$F$5:$F$304,对接源_01水果筐数!$B$5:$B$304,$B52,对接源_01水果筐数!$C$5:$C$304,基础资料!$B$4))</f>
        <v/>
      </c>
      <c r="AL52" s="25" t="str">
        <f>IF(OR($B52="",基础资料!$B$5=""),"",SUMIFS(对接源_01水果筐数!$F$5:$F$304,对接源_01水果筐数!$B$5:$B$304,$B52,对接源_01水果筐数!$C$5:$C$304,基础资料!$B$5))</f>
        <v/>
      </c>
      <c r="AM52" s="25" t="str">
        <f>IF(OR($B52="",基础资料!$B$6=""),"",SUMIFS(对接源_01水果筐数!$F$5:$F$304,对接源_01水果筐数!$B$5:$B$304,$B52,对接源_01水果筐数!$C$5:$C$304,基础资料!$B$6))</f>
        <v/>
      </c>
      <c r="AN52" s="25" t="str">
        <f>IF(OR($B52="",基础资料!$B$7=""),"",SUMIFS(对接源_01水果筐数!$F$5:$F$304,对接源_01水果筐数!$B$5:$B$304,$B52,对接源_01水果筐数!$C$5:$C$304,基础资料!$B$7))</f>
        <v/>
      </c>
      <c r="AO52" s="25" t="str">
        <f>IF(OR($B52="",基础资料!$B$8=""),"",SUMIFS(对接源_01水果筐数!$F$5:$F$304,对接源_01水果筐数!$B$5:$B$304,$B52,对接源_01水果筐数!$C$5:$C$304,基础资料!$B$8))</f>
        <v/>
      </c>
      <c r="AP52" s="25" t="str">
        <f t="shared" si="5"/>
        <v/>
      </c>
      <c r="AQ52" s="25" t="str">
        <f t="shared" si="11"/>
        <v/>
      </c>
      <c r="AR52" s="25" t="str">
        <f t="shared" si="6"/>
        <v/>
      </c>
      <c r="AS52" s="25" t="str">
        <f t="shared" si="7"/>
        <v/>
      </c>
      <c r="AT52" s="25" t="str">
        <f t="shared" si="8"/>
        <v/>
      </c>
      <c r="AU52" s="25" t="str">
        <f t="shared" si="9"/>
        <v/>
      </c>
      <c r="AV52" s="24" t="str">
        <f t="shared" si="10"/>
        <v/>
      </c>
      <c r="AW52" s="72"/>
    </row>
    <row r="53" spans="1:49">
      <c r="A53" s="22" t="str">
        <f t="shared" si="0"/>
        <v/>
      </c>
      <c r="B53" s="24" t="str">
        <f>IFERROR(INDEX(_自动清单!$CC$4:$CC$253,ROW()-3),"")</f>
        <v/>
      </c>
      <c r="C53" s="25" t="str">
        <f>IF(OR($B53="",基础资料!$B$4=""),"",SUMIFS(周转筐出入库明细!$J$4:$J$2004,周转筐出入库明细!$C$4:$C$2004,$B53,周转筐出入库明细!$D$4:$D$2004,基础资料!$B$4,周转筐出入库明细!$B$4:$B$2004,"&gt;="&amp;$BC$1,周转筐出入库明细!$B$4:$B$2004,"&lt;="&amp;$BC$2))</f>
        <v/>
      </c>
      <c r="D53" s="25" t="str">
        <f>IF(OR($B53="",基础资料!$B$5=""),"",SUMIFS(周转筐出入库明细!$J$4:$J$2004,周转筐出入库明细!$C$4:$C$2004,$B53,周转筐出入库明细!$D$4:$D$2004,基础资料!$B$5,周转筐出入库明细!$B$4:$B$2004,"&gt;="&amp;$BC$1,周转筐出入库明细!$B$4:$B$2004,"&lt;="&amp;$BC$2))</f>
        <v/>
      </c>
      <c r="E53" s="25" t="str">
        <f>IF(OR($B53="",基础资料!$B$6=""),"",SUMIFS(周转筐出入库明细!$J$4:$J$2004,周转筐出入库明细!$C$4:$C$2004,$B53,周转筐出入库明细!$D$4:$D$2004,基础资料!$B$6,周转筐出入库明细!$B$4:$B$2004,"&gt;="&amp;$BC$1,周转筐出入库明细!$B$4:$B$2004,"&lt;="&amp;$BC$2))</f>
        <v/>
      </c>
      <c r="F53" s="25" t="str">
        <f>IF(OR($B53="",基础资料!$B$7=""),"",SUMIFS(周转筐出入库明细!$J$4:$J$2004,周转筐出入库明细!$C$4:$C$2004,$B53,周转筐出入库明细!$D$4:$D$2004,基础资料!$B$7,周转筐出入库明细!$B$4:$B$2004,"&gt;="&amp;$BC$1,周转筐出入库明细!$B$4:$B$2004,"&lt;="&amp;$BC$2))</f>
        <v/>
      </c>
      <c r="G53" s="25" t="str">
        <f>IF(OR($B53="",基础资料!$B$8=""),"",SUMIFS(周转筐出入库明细!$J$4:$J$2004,周转筐出入库明细!$C$4:$C$2004,$B53,周转筐出入库明细!$D$4:$D$2004,基础资料!$B$8,周转筐出入库明细!$B$4:$B$2004,"&gt;="&amp;$BC$1,周转筐出入库明细!$B$4:$B$2004,"&lt;="&amp;$BC$2))</f>
        <v/>
      </c>
      <c r="H53" s="25" t="str">
        <f t="shared" si="1"/>
        <v/>
      </c>
      <c r="I53" s="67" t="str">
        <f>IF(OR($B53="",基础资料!$B$4=""),"",-SUMIFS(周转筐出入库明细!$I$4:$I$2004,周转筐出入库明细!$C$4:$C$2004,$B53,周转筐出入库明细!$D$4:$D$2004,基础资料!$B$4,周转筐出入库明细!$B$4:$B$2004,"&gt;="&amp;$BC$1,周转筐出入库明细!$B$4:$B$2004,"&lt;="&amp;$BC$2))</f>
        <v/>
      </c>
      <c r="J53" s="67" t="str">
        <f>IF(OR($B53="",基础资料!$B$5=""),"",-SUMIFS(周转筐出入库明细!$I$4:$I$2004,周转筐出入库明细!$C$4:$C$2004,$B53,周转筐出入库明细!$D$4:$D$2004,基础资料!$B$5,周转筐出入库明细!$B$4:$B$2004,"&gt;="&amp;$BC$1,周转筐出入库明细!$B$4:$B$2004,"&lt;="&amp;$BC$2))</f>
        <v/>
      </c>
      <c r="K53" s="67" t="str">
        <f>IF(OR($B53="",基础资料!$B$6=""),"",-SUMIFS(周转筐出入库明细!$I$4:$I$2004,周转筐出入库明细!$C$4:$C$2004,$B53,周转筐出入库明细!$D$4:$D$2004,基础资料!$B$6,周转筐出入库明细!$B$4:$B$2004,"&gt;="&amp;$BC$1,周转筐出入库明细!$B$4:$B$2004,"&lt;="&amp;$BC$2))</f>
        <v/>
      </c>
      <c r="L53" s="67" t="str">
        <f>IF(OR($B53="",基础资料!$B$7=""),"",-SUMIFS(周转筐出入库明细!$I$4:$I$2004,周转筐出入库明细!$C$4:$C$2004,$B53,周转筐出入库明细!$D$4:$D$2004,基础资料!$B$7,周转筐出入库明细!$B$4:$B$2004,"&gt;="&amp;$BC$1,周转筐出入库明细!$B$4:$B$2004,"&lt;="&amp;$BC$2))</f>
        <v/>
      </c>
      <c r="M53" s="67" t="str">
        <f>IF(OR($B53="",基础资料!$B$8=""),"",-SUMIFS(周转筐出入库明细!$I$4:$I$2004,周转筐出入库明细!$C$4:$C$2004,$B53,周转筐出入库明细!$D$4:$D$2004,基础资料!$B$8,周转筐出入库明细!$B$4:$B$2004,"&gt;="&amp;$BC$1,周转筐出入库明细!$B$4:$B$2004,"&lt;="&amp;$BC$2))</f>
        <v/>
      </c>
      <c r="N53" s="67" t="str">
        <f t="shared" si="2"/>
        <v/>
      </c>
      <c r="O53" s="25" t="str">
        <f>IF(OR($B53="",基础资料!$B$4=""),"",SUMIFS(周转筐出入库明细!$H$4:$H$2004,周转筐出入库明细!$C$4:$C$2004,$B53,周转筐出入库明细!$D$4:$D$2004,基础资料!$B$4,周转筐出入库明细!$F$4:$F$2004,"采购入库",周转筐出入库明细!$B$4:$B$2004,"&gt;="&amp;$BC$1,周转筐出入库明细!$B$4:$B$2004,"&lt;="&amp;$BC$2))</f>
        <v/>
      </c>
      <c r="P53" s="25" t="str">
        <f>IF(OR($B53="",基础资料!$B$5=""),"",SUMIFS(周转筐出入库明细!$H$4:$H$2004,周转筐出入库明细!$C$4:$C$2004,$B53,周转筐出入库明细!$D$4:$D$2004,基础资料!$B$5,周转筐出入库明细!$F$4:$F$2004,"采购入库",周转筐出入库明细!$B$4:$B$2004,"&gt;="&amp;$BC$1,周转筐出入库明细!$B$4:$B$2004,"&lt;="&amp;$BC$2))</f>
        <v/>
      </c>
      <c r="Q53" s="25" t="str">
        <f>IF(OR($B53="",基础资料!$B$6=""),"",SUMIFS(周转筐出入库明细!$H$4:$H$2004,周转筐出入库明细!$C$4:$C$2004,$B53,周转筐出入库明细!$D$4:$D$2004,基础资料!$B$6,周转筐出入库明细!$F$4:$F$2004,"采购入库",周转筐出入库明细!$B$4:$B$2004,"&gt;="&amp;$BC$1,周转筐出入库明细!$B$4:$B$2004,"&lt;="&amp;$BC$2))</f>
        <v/>
      </c>
      <c r="R53" s="25" t="str">
        <f>IF(OR($B53="",基础资料!$B$7=""),"",SUMIFS(周转筐出入库明细!$H$4:$H$2004,周转筐出入库明细!$C$4:$C$2004,$B53,周转筐出入库明细!$D$4:$D$2004,基础资料!$B$7,周转筐出入库明细!$F$4:$F$2004,"采购入库",周转筐出入库明细!$B$4:$B$2004,"&gt;="&amp;$BC$1,周转筐出入库明细!$B$4:$B$2004,"&lt;="&amp;$BC$2))</f>
        <v/>
      </c>
      <c r="S53" s="25" t="str">
        <f>IF(OR($B53="",基础资料!$B$8=""),"",SUMIFS(周转筐出入库明细!$H$4:$H$2004,周转筐出入库明细!$C$4:$C$2004,$B53,周转筐出入库明细!$D$4:$D$2004,基础资料!$B$8,周转筐出入库明细!$F$4:$F$2004,"采购入库",周转筐出入库明细!$B$4:$B$2004,"&gt;="&amp;$BC$1,周转筐出入库明细!$B$4:$B$2004,"&lt;="&amp;$BC$2))</f>
        <v/>
      </c>
      <c r="T53" s="25" t="str">
        <f t="shared" si="3"/>
        <v/>
      </c>
      <c r="U53" s="25" t="str">
        <f>IF(OR($B53="",基础资料!$B$4=""),"",SUMIFS(周转筐出入库明细!$K$4:$K$2004,周转筐出入库明细!$C$4:$C$2004,$B53,周转筐出入库明细!$D$4:$D$2004,基础资料!$B$4,周转筐出入库明细!$B$4:$B$2004,"&gt;="&amp;$BC$1,周转筐出入库明细!$B$4:$B$2004,"&lt;="&amp;$BC$2))</f>
        <v/>
      </c>
      <c r="V53" s="25" t="str">
        <f>IF(OR($B53="",基础资料!$B$5=""),"",SUMIFS(周转筐出入库明细!$K$4:$K$2004,周转筐出入库明细!$C$4:$C$2004,$B53,周转筐出入库明细!$D$4:$D$2004,基础资料!$B$5,周转筐出入库明细!$B$4:$B$2004,"&gt;="&amp;$BC$1,周转筐出入库明细!$B$4:$B$2004,"&lt;="&amp;$BC$2))</f>
        <v/>
      </c>
      <c r="W53" s="25" t="str">
        <f>IF(OR($B53="",基础资料!$B$6=""),"",SUMIFS(周转筐出入库明细!$K$4:$K$2004,周转筐出入库明细!$C$4:$C$2004,$B53,周转筐出入库明细!$D$4:$D$2004,基础资料!$B$6,周转筐出入库明细!$B$4:$B$2004,"&gt;="&amp;$BC$1,周转筐出入库明细!$B$4:$B$2004,"&lt;="&amp;$BC$2))</f>
        <v/>
      </c>
      <c r="X53" s="25" t="str">
        <f>IF(OR($B53="",基础资料!$B$7=""),"",SUMIFS(周转筐出入库明细!$K$4:$K$2004,周转筐出入库明细!$C$4:$C$2004,$B53,周转筐出入库明细!$D$4:$D$2004,基础资料!$B$7,周转筐出入库明细!$B$4:$B$2004,"&gt;="&amp;$BC$1,周转筐出入库明细!$B$4:$B$2004,"&lt;="&amp;$BC$2))</f>
        <v/>
      </c>
      <c r="Y53" s="25" t="str">
        <f>IF(OR($B53="",基础资料!$B$8=""),"",SUMIFS(周转筐出入库明细!$K$4:$K$2004,周转筐出入库明细!$C$4:$C$2004,$B53,周转筐出入库明细!$D$4:$D$2004,基础资料!$B$8,周转筐出入库明细!$B$4:$B$2004,"&gt;="&amp;$BC$1,周转筐出入库明细!$B$4:$B$2004,"&lt;="&amp;$BC$2))</f>
        <v/>
      </c>
      <c r="Z53" s="25" t="str">
        <f t="shared" si="4"/>
        <v/>
      </c>
      <c r="AA53" s="67" t="str">
        <f>IF(OR($B53="",基础资料!$B$4=""),"",-SUMIFS(对接源_01水果筐数!$D$5:$D$304,对接源_01水果筐数!$B$5:$B$304,$B53,对接源_01水果筐数!$C$5:$C$304,基础资料!$B$4))</f>
        <v/>
      </c>
      <c r="AB53" s="67" t="str">
        <f>IF(OR($B53="",基础资料!$B$5=""),"",-SUMIFS(对接源_01水果筐数!$D$5:$D$304,对接源_01水果筐数!$B$5:$B$304,$B53,对接源_01水果筐数!$C$5:$C$304,基础资料!$B$5))</f>
        <v/>
      </c>
      <c r="AC53" s="67" t="str">
        <f>IF(OR($B53="",基础资料!$B$6=""),"",-SUMIFS(对接源_01水果筐数!$D$5:$D$304,对接源_01水果筐数!$B$5:$B$304,$B53,对接源_01水果筐数!$C$5:$C$304,基础资料!$B$6))</f>
        <v/>
      </c>
      <c r="AD53" s="67" t="str">
        <f>IF(OR($B53="",基础资料!$B$7=""),"",-SUMIFS(对接源_01水果筐数!$D$5:$D$304,对接源_01水果筐数!$B$5:$B$304,$B53,对接源_01水果筐数!$C$5:$C$304,基础资料!$B$7))</f>
        <v/>
      </c>
      <c r="AE53" s="67" t="str">
        <f>IF(OR($B53="",基础资料!$B$8=""),"",-SUMIFS(对接源_01水果筐数!$D$5:$D$304,对接源_01水果筐数!$B$5:$B$304,$B53,对接源_01水果筐数!$C$5:$C$304,基础资料!$B$8))</f>
        <v/>
      </c>
      <c r="AF53" s="25" t="str">
        <f>IF(OR($B53="",基础资料!$B$4=""),"",SUMIFS(对接源_01水果筐数!$E$5:$E$304,对接源_01水果筐数!$B$5:$B$304,$B53,对接源_01水果筐数!$C$5:$C$304,基础资料!$B$4))</f>
        <v/>
      </c>
      <c r="AG53" s="25" t="str">
        <f>IF(OR($B53="",基础资料!$B$5=""),"",SUMIFS(对接源_01水果筐数!$E$5:$E$304,对接源_01水果筐数!$B$5:$B$304,$B53,对接源_01水果筐数!$C$5:$C$304,基础资料!$B$5))</f>
        <v/>
      </c>
      <c r="AH53" s="25" t="str">
        <f>IF(OR($B53="",基础资料!$B$6=""),"",SUMIFS(对接源_01水果筐数!$E$5:$E$304,对接源_01水果筐数!$B$5:$B$304,$B53,对接源_01水果筐数!$C$5:$C$304,基础资料!$B$6))</f>
        <v/>
      </c>
      <c r="AI53" s="25" t="str">
        <f>IF(OR($B53="",基础资料!$B$7=""),"",SUMIFS(对接源_01水果筐数!$E$5:$E$304,对接源_01水果筐数!$B$5:$B$304,$B53,对接源_01水果筐数!$C$5:$C$304,基础资料!$B$7))</f>
        <v/>
      </c>
      <c r="AJ53" s="25" t="str">
        <f>IF(OR($B53="",基础资料!$B$8=""),"",SUMIFS(对接源_01水果筐数!$E$5:$E$304,对接源_01水果筐数!$B$5:$B$304,$B53,对接源_01水果筐数!$C$5:$C$304,基础资料!$B$8))</f>
        <v/>
      </c>
      <c r="AK53" s="25" t="str">
        <f>IF(OR($B53="",基础资料!$B$4=""),"",SUMIFS(对接源_01水果筐数!$F$5:$F$304,对接源_01水果筐数!$B$5:$B$304,$B53,对接源_01水果筐数!$C$5:$C$304,基础资料!$B$4))</f>
        <v/>
      </c>
      <c r="AL53" s="25" t="str">
        <f>IF(OR($B53="",基础资料!$B$5=""),"",SUMIFS(对接源_01水果筐数!$F$5:$F$304,对接源_01水果筐数!$B$5:$B$304,$B53,对接源_01水果筐数!$C$5:$C$304,基础资料!$B$5))</f>
        <v/>
      </c>
      <c r="AM53" s="25" t="str">
        <f>IF(OR($B53="",基础资料!$B$6=""),"",SUMIFS(对接源_01水果筐数!$F$5:$F$304,对接源_01水果筐数!$B$5:$B$304,$B53,对接源_01水果筐数!$C$5:$C$304,基础资料!$B$6))</f>
        <v/>
      </c>
      <c r="AN53" s="25" t="str">
        <f>IF(OR($B53="",基础资料!$B$7=""),"",SUMIFS(对接源_01水果筐数!$F$5:$F$304,对接源_01水果筐数!$B$5:$B$304,$B53,对接源_01水果筐数!$C$5:$C$304,基础资料!$B$7))</f>
        <v/>
      </c>
      <c r="AO53" s="25" t="str">
        <f>IF(OR($B53="",基础资料!$B$8=""),"",SUMIFS(对接源_01水果筐数!$F$5:$F$304,对接源_01水果筐数!$B$5:$B$304,$B53,对接源_01水果筐数!$C$5:$C$304,基础资料!$B$8))</f>
        <v/>
      </c>
      <c r="AP53" s="25" t="str">
        <f t="shared" si="5"/>
        <v/>
      </c>
      <c r="AQ53" s="25" t="str">
        <f t="shared" si="11"/>
        <v/>
      </c>
      <c r="AR53" s="25" t="str">
        <f t="shared" si="6"/>
        <v/>
      </c>
      <c r="AS53" s="25" t="str">
        <f t="shared" si="7"/>
        <v/>
      </c>
      <c r="AT53" s="25" t="str">
        <f t="shared" si="8"/>
        <v/>
      </c>
      <c r="AU53" s="25" t="str">
        <f t="shared" si="9"/>
        <v/>
      </c>
      <c r="AV53" s="24" t="str">
        <f t="shared" si="10"/>
        <v/>
      </c>
      <c r="AW53" s="72"/>
    </row>
    <row r="54" spans="1:49">
      <c r="A54" s="22" t="str">
        <f t="shared" si="0"/>
        <v/>
      </c>
      <c r="B54" s="24" t="str">
        <f>IFERROR(INDEX(_自动清单!$CC$4:$CC$253,ROW()-3),"")</f>
        <v/>
      </c>
      <c r="C54" s="25" t="str">
        <f>IF(OR($B54="",基础资料!$B$4=""),"",SUMIFS(周转筐出入库明细!$J$4:$J$2004,周转筐出入库明细!$C$4:$C$2004,$B54,周转筐出入库明细!$D$4:$D$2004,基础资料!$B$4,周转筐出入库明细!$B$4:$B$2004,"&gt;="&amp;$BC$1,周转筐出入库明细!$B$4:$B$2004,"&lt;="&amp;$BC$2))</f>
        <v/>
      </c>
      <c r="D54" s="25" t="str">
        <f>IF(OR($B54="",基础资料!$B$5=""),"",SUMIFS(周转筐出入库明细!$J$4:$J$2004,周转筐出入库明细!$C$4:$C$2004,$B54,周转筐出入库明细!$D$4:$D$2004,基础资料!$B$5,周转筐出入库明细!$B$4:$B$2004,"&gt;="&amp;$BC$1,周转筐出入库明细!$B$4:$B$2004,"&lt;="&amp;$BC$2))</f>
        <v/>
      </c>
      <c r="E54" s="25" t="str">
        <f>IF(OR($B54="",基础资料!$B$6=""),"",SUMIFS(周转筐出入库明细!$J$4:$J$2004,周转筐出入库明细!$C$4:$C$2004,$B54,周转筐出入库明细!$D$4:$D$2004,基础资料!$B$6,周转筐出入库明细!$B$4:$B$2004,"&gt;="&amp;$BC$1,周转筐出入库明细!$B$4:$B$2004,"&lt;="&amp;$BC$2))</f>
        <v/>
      </c>
      <c r="F54" s="25" t="str">
        <f>IF(OR($B54="",基础资料!$B$7=""),"",SUMIFS(周转筐出入库明细!$J$4:$J$2004,周转筐出入库明细!$C$4:$C$2004,$B54,周转筐出入库明细!$D$4:$D$2004,基础资料!$B$7,周转筐出入库明细!$B$4:$B$2004,"&gt;="&amp;$BC$1,周转筐出入库明细!$B$4:$B$2004,"&lt;="&amp;$BC$2))</f>
        <v/>
      </c>
      <c r="G54" s="25" t="str">
        <f>IF(OR($B54="",基础资料!$B$8=""),"",SUMIFS(周转筐出入库明细!$J$4:$J$2004,周转筐出入库明细!$C$4:$C$2004,$B54,周转筐出入库明细!$D$4:$D$2004,基础资料!$B$8,周转筐出入库明细!$B$4:$B$2004,"&gt;="&amp;$BC$1,周转筐出入库明细!$B$4:$B$2004,"&lt;="&amp;$BC$2))</f>
        <v/>
      </c>
      <c r="H54" s="25" t="str">
        <f t="shared" si="1"/>
        <v/>
      </c>
      <c r="I54" s="67" t="str">
        <f>IF(OR($B54="",基础资料!$B$4=""),"",-SUMIFS(周转筐出入库明细!$I$4:$I$2004,周转筐出入库明细!$C$4:$C$2004,$B54,周转筐出入库明细!$D$4:$D$2004,基础资料!$B$4,周转筐出入库明细!$B$4:$B$2004,"&gt;="&amp;$BC$1,周转筐出入库明细!$B$4:$B$2004,"&lt;="&amp;$BC$2))</f>
        <v/>
      </c>
      <c r="J54" s="67" t="str">
        <f>IF(OR($B54="",基础资料!$B$5=""),"",-SUMIFS(周转筐出入库明细!$I$4:$I$2004,周转筐出入库明细!$C$4:$C$2004,$B54,周转筐出入库明细!$D$4:$D$2004,基础资料!$B$5,周转筐出入库明细!$B$4:$B$2004,"&gt;="&amp;$BC$1,周转筐出入库明细!$B$4:$B$2004,"&lt;="&amp;$BC$2))</f>
        <v/>
      </c>
      <c r="K54" s="67" t="str">
        <f>IF(OR($B54="",基础资料!$B$6=""),"",-SUMIFS(周转筐出入库明细!$I$4:$I$2004,周转筐出入库明细!$C$4:$C$2004,$B54,周转筐出入库明细!$D$4:$D$2004,基础资料!$B$6,周转筐出入库明细!$B$4:$B$2004,"&gt;="&amp;$BC$1,周转筐出入库明细!$B$4:$B$2004,"&lt;="&amp;$BC$2))</f>
        <v/>
      </c>
      <c r="L54" s="67" t="str">
        <f>IF(OR($B54="",基础资料!$B$7=""),"",-SUMIFS(周转筐出入库明细!$I$4:$I$2004,周转筐出入库明细!$C$4:$C$2004,$B54,周转筐出入库明细!$D$4:$D$2004,基础资料!$B$7,周转筐出入库明细!$B$4:$B$2004,"&gt;="&amp;$BC$1,周转筐出入库明细!$B$4:$B$2004,"&lt;="&amp;$BC$2))</f>
        <v/>
      </c>
      <c r="M54" s="67" t="str">
        <f>IF(OR($B54="",基础资料!$B$8=""),"",-SUMIFS(周转筐出入库明细!$I$4:$I$2004,周转筐出入库明细!$C$4:$C$2004,$B54,周转筐出入库明细!$D$4:$D$2004,基础资料!$B$8,周转筐出入库明细!$B$4:$B$2004,"&gt;="&amp;$BC$1,周转筐出入库明细!$B$4:$B$2004,"&lt;="&amp;$BC$2))</f>
        <v/>
      </c>
      <c r="N54" s="67" t="str">
        <f t="shared" si="2"/>
        <v/>
      </c>
      <c r="O54" s="25" t="str">
        <f>IF(OR($B54="",基础资料!$B$4=""),"",SUMIFS(周转筐出入库明细!$H$4:$H$2004,周转筐出入库明细!$C$4:$C$2004,$B54,周转筐出入库明细!$D$4:$D$2004,基础资料!$B$4,周转筐出入库明细!$F$4:$F$2004,"采购入库",周转筐出入库明细!$B$4:$B$2004,"&gt;="&amp;$BC$1,周转筐出入库明细!$B$4:$B$2004,"&lt;="&amp;$BC$2))</f>
        <v/>
      </c>
      <c r="P54" s="25" t="str">
        <f>IF(OR($B54="",基础资料!$B$5=""),"",SUMIFS(周转筐出入库明细!$H$4:$H$2004,周转筐出入库明细!$C$4:$C$2004,$B54,周转筐出入库明细!$D$4:$D$2004,基础资料!$B$5,周转筐出入库明细!$F$4:$F$2004,"采购入库",周转筐出入库明细!$B$4:$B$2004,"&gt;="&amp;$BC$1,周转筐出入库明细!$B$4:$B$2004,"&lt;="&amp;$BC$2))</f>
        <v/>
      </c>
      <c r="Q54" s="25" t="str">
        <f>IF(OR($B54="",基础资料!$B$6=""),"",SUMIFS(周转筐出入库明细!$H$4:$H$2004,周转筐出入库明细!$C$4:$C$2004,$B54,周转筐出入库明细!$D$4:$D$2004,基础资料!$B$6,周转筐出入库明细!$F$4:$F$2004,"采购入库",周转筐出入库明细!$B$4:$B$2004,"&gt;="&amp;$BC$1,周转筐出入库明细!$B$4:$B$2004,"&lt;="&amp;$BC$2))</f>
        <v/>
      </c>
      <c r="R54" s="25" t="str">
        <f>IF(OR($B54="",基础资料!$B$7=""),"",SUMIFS(周转筐出入库明细!$H$4:$H$2004,周转筐出入库明细!$C$4:$C$2004,$B54,周转筐出入库明细!$D$4:$D$2004,基础资料!$B$7,周转筐出入库明细!$F$4:$F$2004,"采购入库",周转筐出入库明细!$B$4:$B$2004,"&gt;="&amp;$BC$1,周转筐出入库明细!$B$4:$B$2004,"&lt;="&amp;$BC$2))</f>
        <v/>
      </c>
      <c r="S54" s="25" t="str">
        <f>IF(OR($B54="",基础资料!$B$8=""),"",SUMIFS(周转筐出入库明细!$H$4:$H$2004,周转筐出入库明细!$C$4:$C$2004,$B54,周转筐出入库明细!$D$4:$D$2004,基础资料!$B$8,周转筐出入库明细!$F$4:$F$2004,"采购入库",周转筐出入库明细!$B$4:$B$2004,"&gt;="&amp;$BC$1,周转筐出入库明细!$B$4:$B$2004,"&lt;="&amp;$BC$2))</f>
        <v/>
      </c>
      <c r="T54" s="25" t="str">
        <f t="shared" si="3"/>
        <v/>
      </c>
      <c r="U54" s="25" t="str">
        <f>IF(OR($B54="",基础资料!$B$4=""),"",SUMIFS(周转筐出入库明细!$K$4:$K$2004,周转筐出入库明细!$C$4:$C$2004,$B54,周转筐出入库明细!$D$4:$D$2004,基础资料!$B$4,周转筐出入库明细!$B$4:$B$2004,"&gt;="&amp;$BC$1,周转筐出入库明细!$B$4:$B$2004,"&lt;="&amp;$BC$2))</f>
        <v/>
      </c>
      <c r="V54" s="25" t="str">
        <f>IF(OR($B54="",基础资料!$B$5=""),"",SUMIFS(周转筐出入库明细!$K$4:$K$2004,周转筐出入库明细!$C$4:$C$2004,$B54,周转筐出入库明细!$D$4:$D$2004,基础资料!$B$5,周转筐出入库明细!$B$4:$B$2004,"&gt;="&amp;$BC$1,周转筐出入库明细!$B$4:$B$2004,"&lt;="&amp;$BC$2))</f>
        <v/>
      </c>
      <c r="W54" s="25" t="str">
        <f>IF(OR($B54="",基础资料!$B$6=""),"",SUMIFS(周转筐出入库明细!$K$4:$K$2004,周转筐出入库明细!$C$4:$C$2004,$B54,周转筐出入库明细!$D$4:$D$2004,基础资料!$B$6,周转筐出入库明细!$B$4:$B$2004,"&gt;="&amp;$BC$1,周转筐出入库明细!$B$4:$B$2004,"&lt;="&amp;$BC$2))</f>
        <v/>
      </c>
      <c r="X54" s="25" t="str">
        <f>IF(OR($B54="",基础资料!$B$7=""),"",SUMIFS(周转筐出入库明细!$K$4:$K$2004,周转筐出入库明细!$C$4:$C$2004,$B54,周转筐出入库明细!$D$4:$D$2004,基础资料!$B$7,周转筐出入库明细!$B$4:$B$2004,"&gt;="&amp;$BC$1,周转筐出入库明细!$B$4:$B$2004,"&lt;="&amp;$BC$2))</f>
        <v/>
      </c>
      <c r="Y54" s="25" t="str">
        <f>IF(OR($B54="",基础资料!$B$8=""),"",SUMIFS(周转筐出入库明细!$K$4:$K$2004,周转筐出入库明细!$C$4:$C$2004,$B54,周转筐出入库明细!$D$4:$D$2004,基础资料!$B$8,周转筐出入库明细!$B$4:$B$2004,"&gt;="&amp;$BC$1,周转筐出入库明细!$B$4:$B$2004,"&lt;="&amp;$BC$2))</f>
        <v/>
      </c>
      <c r="Z54" s="25" t="str">
        <f t="shared" si="4"/>
        <v/>
      </c>
      <c r="AA54" s="67" t="str">
        <f>IF(OR($B54="",基础资料!$B$4=""),"",-SUMIFS(对接源_01水果筐数!$D$5:$D$304,对接源_01水果筐数!$B$5:$B$304,$B54,对接源_01水果筐数!$C$5:$C$304,基础资料!$B$4))</f>
        <v/>
      </c>
      <c r="AB54" s="67" t="str">
        <f>IF(OR($B54="",基础资料!$B$5=""),"",-SUMIFS(对接源_01水果筐数!$D$5:$D$304,对接源_01水果筐数!$B$5:$B$304,$B54,对接源_01水果筐数!$C$5:$C$304,基础资料!$B$5))</f>
        <v/>
      </c>
      <c r="AC54" s="67" t="str">
        <f>IF(OR($B54="",基础资料!$B$6=""),"",-SUMIFS(对接源_01水果筐数!$D$5:$D$304,对接源_01水果筐数!$B$5:$B$304,$B54,对接源_01水果筐数!$C$5:$C$304,基础资料!$B$6))</f>
        <v/>
      </c>
      <c r="AD54" s="67" t="str">
        <f>IF(OR($B54="",基础资料!$B$7=""),"",-SUMIFS(对接源_01水果筐数!$D$5:$D$304,对接源_01水果筐数!$B$5:$B$304,$B54,对接源_01水果筐数!$C$5:$C$304,基础资料!$B$7))</f>
        <v/>
      </c>
      <c r="AE54" s="67" t="str">
        <f>IF(OR($B54="",基础资料!$B$8=""),"",-SUMIFS(对接源_01水果筐数!$D$5:$D$304,对接源_01水果筐数!$B$5:$B$304,$B54,对接源_01水果筐数!$C$5:$C$304,基础资料!$B$8))</f>
        <v/>
      </c>
      <c r="AF54" s="25" t="str">
        <f>IF(OR($B54="",基础资料!$B$4=""),"",SUMIFS(对接源_01水果筐数!$E$5:$E$304,对接源_01水果筐数!$B$5:$B$304,$B54,对接源_01水果筐数!$C$5:$C$304,基础资料!$B$4))</f>
        <v/>
      </c>
      <c r="AG54" s="25" t="str">
        <f>IF(OR($B54="",基础资料!$B$5=""),"",SUMIFS(对接源_01水果筐数!$E$5:$E$304,对接源_01水果筐数!$B$5:$B$304,$B54,对接源_01水果筐数!$C$5:$C$304,基础资料!$B$5))</f>
        <v/>
      </c>
      <c r="AH54" s="25" t="str">
        <f>IF(OR($B54="",基础资料!$B$6=""),"",SUMIFS(对接源_01水果筐数!$E$5:$E$304,对接源_01水果筐数!$B$5:$B$304,$B54,对接源_01水果筐数!$C$5:$C$304,基础资料!$B$6))</f>
        <v/>
      </c>
      <c r="AI54" s="25" t="str">
        <f>IF(OR($B54="",基础资料!$B$7=""),"",SUMIFS(对接源_01水果筐数!$E$5:$E$304,对接源_01水果筐数!$B$5:$B$304,$B54,对接源_01水果筐数!$C$5:$C$304,基础资料!$B$7))</f>
        <v/>
      </c>
      <c r="AJ54" s="25" t="str">
        <f>IF(OR($B54="",基础资料!$B$8=""),"",SUMIFS(对接源_01水果筐数!$E$5:$E$304,对接源_01水果筐数!$B$5:$B$304,$B54,对接源_01水果筐数!$C$5:$C$304,基础资料!$B$8))</f>
        <v/>
      </c>
      <c r="AK54" s="25" t="str">
        <f>IF(OR($B54="",基础资料!$B$4=""),"",SUMIFS(对接源_01水果筐数!$F$5:$F$304,对接源_01水果筐数!$B$5:$B$304,$B54,对接源_01水果筐数!$C$5:$C$304,基础资料!$B$4))</f>
        <v/>
      </c>
      <c r="AL54" s="25" t="str">
        <f>IF(OR($B54="",基础资料!$B$5=""),"",SUMIFS(对接源_01水果筐数!$F$5:$F$304,对接源_01水果筐数!$B$5:$B$304,$B54,对接源_01水果筐数!$C$5:$C$304,基础资料!$B$5))</f>
        <v/>
      </c>
      <c r="AM54" s="25" t="str">
        <f>IF(OR($B54="",基础资料!$B$6=""),"",SUMIFS(对接源_01水果筐数!$F$5:$F$304,对接源_01水果筐数!$B$5:$B$304,$B54,对接源_01水果筐数!$C$5:$C$304,基础资料!$B$6))</f>
        <v/>
      </c>
      <c r="AN54" s="25" t="str">
        <f>IF(OR($B54="",基础资料!$B$7=""),"",SUMIFS(对接源_01水果筐数!$F$5:$F$304,对接源_01水果筐数!$B$5:$B$304,$B54,对接源_01水果筐数!$C$5:$C$304,基础资料!$B$7))</f>
        <v/>
      </c>
      <c r="AO54" s="25" t="str">
        <f>IF(OR($B54="",基础资料!$B$8=""),"",SUMIFS(对接源_01水果筐数!$F$5:$F$304,对接源_01水果筐数!$B$5:$B$304,$B54,对接源_01水果筐数!$C$5:$C$304,基础资料!$B$8))</f>
        <v/>
      </c>
      <c r="AP54" s="25" t="str">
        <f t="shared" si="5"/>
        <v/>
      </c>
      <c r="AQ54" s="25" t="str">
        <f t="shared" si="11"/>
        <v/>
      </c>
      <c r="AR54" s="25" t="str">
        <f t="shared" si="6"/>
        <v/>
      </c>
      <c r="AS54" s="25" t="str">
        <f t="shared" si="7"/>
        <v/>
      </c>
      <c r="AT54" s="25" t="str">
        <f t="shared" si="8"/>
        <v/>
      </c>
      <c r="AU54" s="25" t="str">
        <f t="shared" si="9"/>
        <v/>
      </c>
      <c r="AV54" s="24" t="str">
        <f t="shared" si="10"/>
        <v/>
      </c>
      <c r="AW54" s="72"/>
    </row>
    <row r="55" spans="1:49">
      <c r="A55" s="22" t="str">
        <f t="shared" si="0"/>
        <v/>
      </c>
      <c r="B55" s="24" t="str">
        <f>IFERROR(INDEX(_自动清单!$CC$4:$CC$253,ROW()-3),"")</f>
        <v/>
      </c>
      <c r="C55" s="25" t="str">
        <f>IF(OR($B55="",基础资料!$B$4=""),"",SUMIFS(周转筐出入库明细!$J$4:$J$2004,周转筐出入库明细!$C$4:$C$2004,$B55,周转筐出入库明细!$D$4:$D$2004,基础资料!$B$4,周转筐出入库明细!$B$4:$B$2004,"&gt;="&amp;$BC$1,周转筐出入库明细!$B$4:$B$2004,"&lt;="&amp;$BC$2))</f>
        <v/>
      </c>
      <c r="D55" s="25" t="str">
        <f>IF(OR($B55="",基础资料!$B$5=""),"",SUMIFS(周转筐出入库明细!$J$4:$J$2004,周转筐出入库明细!$C$4:$C$2004,$B55,周转筐出入库明细!$D$4:$D$2004,基础资料!$B$5,周转筐出入库明细!$B$4:$B$2004,"&gt;="&amp;$BC$1,周转筐出入库明细!$B$4:$B$2004,"&lt;="&amp;$BC$2))</f>
        <v/>
      </c>
      <c r="E55" s="25" t="str">
        <f>IF(OR($B55="",基础资料!$B$6=""),"",SUMIFS(周转筐出入库明细!$J$4:$J$2004,周转筐出入库明细!$C$4:$C$2004,$B55,周转筐出入库明细!$D$4:$D$2004,基础资料!$B$6,周转筐出入库明细!$B$4:$B$2004,"&gt;="&amp;$BC$1,周转筐出入库明细!$B$4:$B$2004,"&lt;="&amp;$BC$2))</f>
        <v/>
      </c>
      <c r="F55" s="25" t="str">
        <f>IF(OR($B55="",基础资料!$B$7=""),"",SUMIFS(周转筐出入库明细!$J$4:$J$2004,周转筐出入库明细!$C$4:$C$2004,$B55,周转筐出入库明细!$D$4:$D$2004,基础资料!$B$7,周转筐出入库明细!$B$4:$B$2004,"&gt;="&amp;$BC$1,周转筐出入库明细!$B$4:$B$2004,"&lt;="&amp;$BC$2))</f>
        <v/>
      </c>
      <c r="G55" s="25" t="str">
        <f>IF(OR($B55="",基础资料!$B$8=""),"",SUMIFS(周转筐出入库明细!$J$4:$J$2004,周转筐出入库明细!$C$4:$C$2004,$B55,周转筐出入库明细!$D$4:$D$2004,基础资料!$B$8,周转筐出入库明细!$B$4:$B$2004,"&gt;="&amp;$BC$1,周转筐出入库明细!$B$4:$B$2004,"&lt;="&amp;$BC$2))</f>
        <v/>
      </c>
      <c r="H55" s="25" t="str">
        <f t="shared" si="1"/>
        <v/>
      </c>
      <c r="I55" s="67" t="str">
        <f>IF(OR($B55="",基础资料!$B$4=""),"",-SUMIFS(周转筐出入库明细!$I$4:$I$2004,周转筐出入库明细!$C$4:$C$2004,$B55,周转筐出入库明细!$D$4:$D$2004,基础资料!$B$4,周转筐出入库明细!$B$4:$B$2004,"&gt;="&amp;$BC$1,周转筐出入库明细!$B$4:$B$2004,"&lt;="&amp;$BC$2))</f>
        <v/>
      </c>
      <c r="J55" s="67" t="str">
        <f>IF(OR($B55="",基础资料!$B$5=""),"",-SUMIFS(周转筐出入库明细!$I$4:$I$2004,周转筐出入库明细!$C$4:$C$2004,$B55,周转筐出入库明细!$D$4:$D$2004,基础资料!$B$5,周转筐出入库明细!$B$4:$B$2004,"&gt;="&amp;$BC$1,周转筐出入库明细!$B$4:$B$2004,"&lt;="&amp;$BC$2))</f>
        <v/>
      </c>
      <c r="K55" s="67" t="str">
        <f>IF(OR($B55="",基础资料!$B$6=""),"",-SUMIFS(周转筐出入库明细!$I$4:$I$2004,周转筐出入库明细!$C$4:$C$2004,$B55,周转筐出入库明细!$D$4:$D$2004,基础资料!$B$6,周转筐出入库明细!$B$4:$B$2004,"&gt;="&amp;$BC$1,周转筐出入库明细!$B$4:$B$2004,"&lt;="&amp;$BC$2))</f>
        <v/>
      </c>
      <c r="L55" s="67" t="str">
        <f>IF(OR($B55="",基础资料!$B$7=""),"",-SUMIFS(周转筐出入库明细!$I$4:$I$2004,周转筐出入库明细!$C$4:$C$2004,$B55,周转筐出入库明细!$D$4:$D$2004,基础资料!$B$7,周转筐出入库明细!$B$4:$B$2004,"&gt;="&amp;$BC$1,周转筐出入库明细!$B$4:$B$2004,"&lt;="&amp;$BC$2))</f>
        <v/>
      </c>
      <c r="M55" s="67" t="str">
        <f>IF(OR($B55="",基础资料!$B$8=""),"",-SUMIFS(周转筐出入库明细!$I$4:$I$2004,周转筐出入库明细!$C$4:$C$2004,$B55,周转筐出入库明细!$D$4:$D$2004,基础资料!$B$8,周转筐出入库明细!$B$4:$B$2004,"&gt;="&amp;$BC$1,周转筐出入库明细!$B$4:$B$2004,"&lt;="&amp;$BC$2))</f>
        <v/>
      </c>
      <c r="N55" s="67" t="str">
        <f t="shared" si="2"/>
        <v/>
      </c>
      <c r="O55" s="25" t="str">
        <f>IF(OR($B55="",基础资料!$B$4=""),"",SUMIFS(周转筐出入库明细!$H$4:$H$2004,周转筐出入库明细!$C$4:$C$2004,$B55,周转筐出入库明细!$D$4:$D$2004,基础资料!$B$4,周转筐出入库明细!$F$4:$F$2004,"采购入库",周转筐出入库明细!$B$4:$B$2004,"&gt;="&amp;$BC$1,周转筐出入库明细!$B$4:$B$2004,"&lt;="&amp;$BC$2))</f>
        <v/>
      </c>
      <c r="P55" s="25" t="str">
        <f>IF(OR($B55="",基础资料!$B$5=""),"",SUMIFS(周转筐出入库明细!$H$4:$H$2004,周转筐出入库明细!$C$4:$C$2004,$B55,周转筐出入库明细!$D$4:$D$2004,基础资料!$B$5,周转筐出入库明细!$F$4:$F$2004,"采购入库",周转筐出入库明细!$B$4:$B$2004,"&gt;="&amp;$BC$1,周转筐出入库明细!$B$4:$B$2004,"&lt;="&amp;$BC$2))</f>
        <v/>
      </c>
      <c r="Q55" s="25" t="str">
        <f>IF(OR($B55="",基础资料!$B$6=""),"",SUMIFS(周转筐出入库明细!$H$4:$H$2004,周转筐出入库明细!$C$4:$C$2004,$B55,周转筐出入库明细!$D$4:$D$2004,基础资料!$B$6,周转筐出入库明细!$F$4:$F$2004,"采购入库",周转筐出入库明细!$B$4:$B$2004,"&gt;="&amp;$BC$1,周转筐出入库明细!$B$4:$B$2004,"&lt;="&amp;$BC$2))</f>
        <v/>
      </c>
      <c r="R55" s="25" t="str">
        <f>IF(OR($B55="",基础资料!$B$7=""),"",SUMIFS(周转筐出入库明细!$H$4:$H$2004,周转筐出入库明细!$C$4:$C$2004,$B55,周转筐出入库明细!$D$4:$D$2004,基础资料!$B$7,周转筐出入库明细!$F$4:$F$2004,"采购入库",周转筐出入库明细!$B$4:$B$2004,"&gt;="&amp;$BC$1,周转筐出入库明细!$B$4:$B$2004,"&lt;="&amp;$BC$2))</f>
        <v/>
      </c>
      <c r="S55" s="25" t="str">
        <f>IF(OR($B55="",基础资料!$B$8=""),"",SUMIFS(周转筐出入库明细!$H$4:$H$2004,周转筐出入库明细!$C$4:$C$2004,$B55,周转筐出入库明细!$D$4:$D$2004,基础资料!$B$8,周转筐出入库明细!$F$4:$F$2004,"采购入库",周转筐出入库明细!$B$4:$B$2004,"&gt;="&amp;$BC$1,周转筐出入库明细!$B$4:$B$2004,"&lt;="&amp;$BC$2))</f>
        <v/>
      </c>
      <c r="T55" s="25" t="str">
        <f t="shared" si="3"/>
        <v/>
      </c>
      <c r="U55" s="25" t="str">
        <f>IF(OR($B55="",基础资料!$B$4=""),"",SUMIFS(周转筐出入库明细!$K$4:$K$2004,周转筐出入库明细!$C$4:$C$2004,$B55,周转筐出入库明细!$D$4:$D$2004,基础资料!$B$4,周转筐出入库明细!$B$4:$B$2004,"&gt;="&amp;$BC$1,周转筐出入库明细!$B$4:$B$2004,"&lt;="&amp;$BC$2))</f>
        <v/>
      </c>
      <c r="V55" s="25" t="str">
        <f>IF(OR($B55="",基础资料!$B$5=""),"",SUMIFS(周转筐出入库明细!$K$4:$K$2004,周转筐出入库明细!$C$4:$C$2004,$B55,周转筐出入库明细!$D$4:$D$2004,基础资料!$B$5,周转筐出入库明细!$B$4:$B$2004,"&gt;="&amp;$BC$1,周转筐出入库明细!$B$4:$B$2004,"&lt;="&amp;$BC$2))</f>
        <v/>
      </c>
      <c r="W55" s="25" t="str">
        <f>IF(OR($B55="",基础资料!$B$6=""),"",SUMIFS(周转筐出入库明细!$K$4:$K$2004,周转筐出入库明细!$C$4:$C$2004,$B55,周转筐出入库明细!$D$4:$D$2004,基础资料!$B$6,周转筐出入库明细!$B$4:$B$2004,"&gt;="&amp;$BC$1,周转筐出入库明细!$B$4:$B$2004,"&lt;="&amp;$BC$2))</f>
        <v/>
      </c>
      <c r="X55" s="25" t="str">
        <f>IF(OR($B55="",基础资料!$B$7=""),"",SUMIFS(周转筐出入库明细!$K$4:$K$2004,周转筐出入库明细!$C$4:$C$2004,$B55,周转筐出入库明细!$D$4:$D$2004,基础资料!$B$7,周转筐出入库明细!$B$4:$B$2004,"&gt;="&amp;$BC$1,周转筐出入库明细!$B$4:$B$2004,"&lt;="&amp;$BC$2))</f>
        <v/>
      </c>
      <c r="Y55" s="25" t="str">
        <f>IF(OR($B55="",基础资料!$B$8=""),"",SUMIFS(周转筐出入库明细!$K$4:$K$2004,周转筐出入库明细!$C$4:$C$2004,$B55,周转筐出入库明细!$D$4:$D$2004,基础资料!$B$8,周转筐出入库明细!$B$4:$B$2004,"&gt;="&amp;$BC$1,周转筐出入库明细!$B$4:$B$2004,"&lt;="&amp;$BC$2))</f>
        <v/>
      </c>
      <c r="Z55" s="25" t="str">
        <f t="shared" si="4"/>
        <v/>
      </c>
      <c r="AA55" s="67" t="str">
        <f>IF(OR($B55="",基础资料!$B$4=""),"",-SUMIFS(对接源_01水果筐数!$D$5:$D$304,对接源_01水果筐数!$B$5:$B$304,$B55,对接源_01水果筐数!$C$5:$C$304,基础资料!$B$4))</f>
        <v/>
      </c>
      <c r="AB55" s="67" t="str">
        <f>IF(OR($B55="",基础资料!$B$5=""),"",-SUMIFS(对接源_01水果筐数!$D$5:$D$304,对接源_01水果筐数!$B$5:$B$304,$B55,对接源_01水果筐数!$C$5:$C$304,基础资料!$B$5))</f>
        <v/>
      </c>
      <c r="AC55" s="67" t="str">
        <f>IF(OR($B55="",基础资料!$B$6=""),"",-SUMIFS(对接源_01水果筐数!$D$5:$D$304,对接源_01水果筐数!$B$5:$B$304,$B55,对接源_01水果筐数!$C$5:$C$304,基础资料!$B$6))</f>
        <v/>
      </c>
      <c r="AD55" s="67" t="str">
        <f>IF(OR($B55="",基础资料!$B$7=""),"",-SUMIFS(对接源_01水果筐数!$D$5:$D$304,对接源_01水果筐数!$B$5:$B$304,$B55,对接源_01水果筐数!$C$5:$C$304,基础资料!$B$7))</f>
        <v/>
      </c>
      <c r="AE55" s="67" t="str">
        <f>IF(OR($B55="",基础资料!$B$8=""),"",-SUMIFS(对接源_01水果筐数!$D$5:$D$304,对接源_01水果筐数!$B$5:$B$304,$B55,对接源_01水果筐数!$C$5:$C$304,基础资料!$B$8))</f>
        <v/>
      </c>
      <c r="AF55" s="25" t="str">
        <f>IF(OR($B55="",基础资料!$B$4=""),"",SUMIFS(对接源_01水果筐数!$E$5:$E$304,对接源_01水果筐数!$B$5:$B$304,$B55,对接源_01水果筐数!$C$5:$C$304,基础资料!$B$4))</f>
        <v/>
      </c>
      <c r="AG55" s="25" t="str">
        <f>IF(OR($B55="",基础资料!$B$5=""),"",SUMIFS(对接源_01水果筐数!$E$5:$E$304,对接源_01水果筐数!$B$5:$B$304,$B55,对接源_01水果筐数!$C$5:$C$304,基础资料!$B$5))</f>
        <v/>
      </c>
      <c r="AH55" s="25" t="str">
        <f>IF(OR($B55="",基础资料!$B$6=""),"",SUMIFS(对接源_01水果筐数!$E$5:$E$304,对接源_01水果筐数!$B$5:$B$304,$B55,对接源_01水果筐数!$C$5:$C$304,基础资料!$B$6))</f>
        <v/>
      </c>
      <c r="AI55" s="25" t="str">
        <f>IF(OR($B55="",基础资料!$B$7=""),"",SUMIFS(对接源_01水果筐数!$E$5:$E$304,对接源_01水果筐数!$B$5:$B$304,$B55,对接源_01水果筐数!$C$5:$C$304,基础资料!$B$7))</f>
        <v/>
      </c>
      <c r="AJ55" s="25" t="str">
        <f>IF(OR($B55="",基础资料!$B$8=""),"",SUMIFS(对接源_01水果筐数!$E$5:$E$304,对接源_01水果筐数!$B$5:$B$304,$B55,对接源_01水果筐数!$C$5:$C$304,基础资料!$B$8))</f>
        <v/>
      </c>
      <c r="AK55" s="25" t="str">
        <f>IF(OR($B55="",基础资料!$B$4=""),"",SUMIFS(对接源_01水果筐数!$F$5:$F$304,对接源_01水果筐数!$B$5:$B$304,$B55,对接源_01水果筐数!$C$5:$C$304,基础资料!$B$4))</f>
        <v/>
      </c>
      <c r="AL55" s="25" t="str">
        <f>IF(OR($B55="",基础资料!$B$5=""),"",SUMIFS(对接源_01水果筐数!$F$5:$F$304,对接源_01水果筐数!$B$5:$B$304,$B55,对接源_01水果筐数!$C$5:$C$304,基础资料!$B$5))</f>
        <v/>
      </c>
      <c r="AM55" s="25" t="str">
        <f>IF(OR($B55="",基础资料!$B$6=""),"",SUMIFS(对接源_01水果筐数!$F$5:$F$304,对接源_01水果筐数!$B$5:$B$304,$B55,对接源_01水果筐数!$C$5:$C$304,基础资料!$B$6))</f>
        <v/>
      </c>
      <c r="AN55" s="25" t="str">
        <f>IF(OR($B55="",基础资料!$B$7=""),"",SUMIFS(对接源_01水果筐数!$F$5:$F$304,对接源_01水果筐数!$B$5:$B$304,$B55,对接源_01水果筐数!$C$5:$C$304,基础资料!$B$7))</f>
        <v/>
      </c>
      <c r="AO55" s="25" t="str">
        <f>IF(OR($B55="",基础资料!$B$8=""),"",SUMIFS(对接源_01水果筐数!$F$5:$F$304,对接源_01水果筐数!$B$5:$B$304,$B55,对接源_01水果筐数!$C$5:$C$304,基础资料!$B$8))</f>
        <v/>
      </c>
      <c r="AP55" s="25" t="str">
        <f t="shared" si="5"/>
        <v/>
      </c>
      <c r="AQ55" s="25" t="str">
        <f t="shared" si="11"/>
        <v/>
      </c>
      <c r="AR55" s="25" t="str">
        <f t="shared" si="6"/>
        <v/>
      </c>
      <c r="AS55" s="25" t="str">
        <f t="shared" si="7"/>
        <v/>
      </c>
      <c r="AT55" s="25" t="str">
        <f t="shared" si="8"/>
        <v/>
      </c>
      <c r="AU55" s="25" t="str">
        <f t="shared" si="9"/>
        <v/>
      </c>
      <c r="AV55" s="24" t="str">
        <f t="shared" si="10"/>
        <v/>
      </c>
      <c r="AW55" s="72"/>
    </row>
    <row r="56" spans="1:49">
      <c r="A56" s="22" t="str">
        <f t="shared" si="0"/>
        <v/>
      </c>
      <c r="B56" s="24" t="str">
        <f>IFERROR(INDEX(_自动清单!$CC$4:$CC$253,ROW()-3),"")</f>
        <v/>
      </c>
      <c r="C56" s="25" t="str">
        <f>IF(OR($B56="",基础资料!$B$4=""),"",SUMIFS(周转筐出入库明细!$J$4:$J$2004,周转筐出入库明细!$C$4:$C$2004,$B56,周转筐出入库明细!$D$4:$D$2004,基础资料!$B$4,周转筐出入库明细!$B$4:$B$2004,"&gt;="&amp;$BC$1,周转筐出入库明细!$B$4:$B$2004,"&lt;="&amp;$BC$2))</f>
        <v/>
      </c>
      <c r="D56" s="25" t="str">
        <f>IF(OR($B56="",基础资料!$B$5=""),"",SUMIFS(周转筐出入库明细!$J$4:$J$2004,周转筐出入库明细!$C$4:$C$2004,$B56,周转筐出入库明细!$D$4:$D$2004,基础资料!$B$5,周转筐出入库明细!$B$4:$B$2004,"&gt;="&amp;$BC$1,周转筐出入库明细!$B$4:$B$2004,"&lt;="&amp;$BC$2))</f>
        <v/>
      </c>
      <c r="E56" s="25" t="str">
        <f>IF(OR($B56="",基础资料!$B$6=""),"",SUMIFS(周转筐出入库明细!$J$4:$J$2004,周转筐出入库明细!$C$4:$C$2004,$B56,周转筐出入库明细!$D$4:$D$2004,基础资料!$B$6,周转筐出入库明细!$B$4:$B$2004,"&gt;="&amp;$BC$1,周转筐出入库明细!$B$4:$B$2004,"&lt;="&amp;$BC$2))</f>
        <v/>
      </c>
      <c r="F56" s="25" t="str">
        <f>IF(OR($B56="",基础资料!$B$7=""),"",SUMIFS(周转筐出入库明细!$J$4:$J$2004,周转筐出入库明细!$C$4:$C$2004,$B56,周转筐出入库明细!$D$4:$D$2004,基础资料!$B$7,周转筐出入库明细!$B$4:$B$2004,"&gt;="&amp;$BC$1,周转筐出入库明细!$B$4:$B$2004,"&lt;="&amp;$BC$2))</f>
        <v/>
      </c>
      <c r="G56" s="25" t="str">
        <f>IF(OR($B56="",基础资料!$B$8=""),"",SUMIFS(周转筐出入库明细!$J$4:$J$2004,周转筐出入库明细!$C$4:$C$2004,$B56,周转筐出入库明细!$D$4:$D$2004,基础资料!$B$8,周转筐出入库明细!$B$4:$B$2004,"&gt;="&amp;$BC$1,周转筐出入库明细!$B$4:$B$2004,"&lt;="&amp;$BC$2))</f>
        <v/>
      </c>
      <c r="H56" s="25" t="str">
        <f t="shared" si="1"/>
        <v/>
      </c>
      <c r="I56" s="67" t="str">
        <f>IF(OR($B56="",基础资料!$B$4=""),"",-SUMIFS(周转筐出入库明细!$I$4:$I$2004,周转筐出入库明细!$C$4:$C$2004,$B56,周转筐出入库明细!$D$4:$D$2004,基础资料!$B$4,周转筐出入库明细!$B$4:$B$2004,"&gt;="&amp;$BC$1,周转筐出入库明细!$B$4:$B$2004,"&lt;="&amp;$BC$2))</f>
        <v/>
      </c>
      <c r="J56" s="67" t="str">
        <f>IF(OR($B56="",基础资料!$B$5=""),"",-SUMIFS(周转筐出入库明细!$I$4:$I$2004,周转筐出入库明细!$C$4:$C$2004,$B56,周转筐出入库明细!$D$4:$D$2004,基础资料!$B$5,周转筐出入库明细!$B$4:$B$2004,"&gt;="&amp;$BC$1,周转筐出入库明细!$B$4:$B$2004,"&lt;="&amp;$BC$2))</f>
        <v/>
      </c>
      <c r="K56" s="67" t="str">
        <f>IF(OR($B56="",基础资料!$B$6=""),"",-SUMIFS(周转筐出入库明细!$I$4:$I$2004,周转筐出入库明细!$C$4:$C$2004,$B56,周转筐出入库明细!$D$4:$D$2004,基础资料!$B$6,周转筐出入库明细!$B$4:$B$2004,"&gt;="&amp;$BC$1,周转筐出入库明细!$B$4:$B$2004,"&lt;="&amp;$BC$2))</f>
        <v/>
      </c>
      <c r="L56" s="67" t="str">
        <f>IF(OR($B56="",基础资料!$B$7=""),"",-SUMIFS(周转筐出入库明细!$I$4:$I$2004,周转筐出入库明细!$C$4:$C$2004,$B56,周转筐出入库明细!$D$4:$D$2004,基础资料!$B$7,周转筐出入库明细!$B$4:$B$2004,"&gt;="&amp;$BC$1,周转筐出入库明细!$B$4:$B$2004,"&lt;="&amp;$BC$2))</f>
        <v/>
      </c>
      <c r="M56" s="67" t="str">
        <f>IF(OR($B56="",基础资料!$B$8=""),"",-SUMIFS(周转筐出入库明细!$I$4:$I$2004,周转筐出入库明细!$C$4:$C$2004,$B56,周转筐出入库明细!$D$4:$D$2004,基础资料!$B$8,周转筐出入库明细!$B$4:$B$2004,"&gt;="&amp;$BC$1,周转筐出入库明细!$B$4:$B$2004,"&lt;="&amp;$BC$2))</f>
        <v/>
      </c>
      <c r="N56" s="67" t="str">
        <f t="shared" si="2"/>
        <v/>
      </c>
      <c r="O56" s="25" t="str">
        <f>IF(OR($B56="",基础资料!$B$4=""),"",SUMIFS(周转筐出入库明细!$H$4:$H$2004,周转筐出入库明细!$C$4:$C$2004,$B56,周转筐出入库明细!$D$4:$D$2004,基础资料!$B$4,周转筐出入库明细!$F$4:$F$2004,"采购入库",周转筐出入库明细!$B$4:$B$2004,"&gt;="&amp;$BC$1,周转筐出入库明细!$B$4:$B$2004,"&lt;="&amp;$BC$2))</f>
        <v/>
      </c>
      <c r="P56" s="25" t="str">
        <f>IF(OR($B56="",基础资料!$B$5=""),"",SUMIFS(周转筐出入库明细!$H$4:$H$2004,周转筐出入库明细!$C$4:$C$2004,$B56,周转筐出入库明细!$D$4:$D$2004,基础资料!$B$5,周转筐出入库明细!$F$4:$F$2004,"采购入库",周转筐出入库明细!$B$4:$B$2004,"&gt;="&amp;$BC$1,周转筐出入库明细!$B$4:$B$2004,"&lt;="&amp;$BC$2))</f>
        <v/>
      </c>
      <c r="Q56" s="25" t="str">
        <f>IF(OR($B56="",基础资料!$B$6=""),"",SUMIFS(周转筐出入库明细!$H$4:$H$2004,周转筐出入库明细!$C$4:$C$2004,$B56,周转筐出入库明细!$D$4:$D$2004,基础资料!$B$6,周转筐出入库明细!$F$4:$F$2004,"采购入库",周转筐出入库明细!$B$4:$B$2004,"&gt;="&amp;$BC$1,周转筐出入库明细!$B$4:$B$2004,"&lt;="&amp;$BC$2))</f>
        <v/>
      </c>
      <c r="R56" s="25" t="str">
        <f>IF(OR($B56="",基础资料!$B$7=""),"",SUMIFS(周转筐出入库明细!$H$4:$H$2004,周转筐出入库明细!$C$4:$C$2004,$B56,周转筐出入库明细!$D$4:$D$2004,基础资料!$B$7,周转筐出入库明细!$F$4:$F$2004,"采购入库",周转筐出入库明细!$B$4:$B$2004,"&gt;="&amp;$BC$1,周转筐出入库明细!$B$4:$B$2004,"&lt;="&amp;$BC$2))</f>
        <v/>
      </c>
      <c r="S56" s="25" t="str">
        <f>IF(OR($B56="",基础资料!$B$8=""),"",SUMIFS(周转筐出入库明细!$H$4:$H$2004,周转筐出入库明细!$C$4:$C$2004,$B56,周转筐出入库明细!$D$4:$D$2004,基础资料!$B$8,周转筐出入库明细!$F$4:$F$2004,"采购入库",周转筐出入库明细!$B$4:$B$2004,"&gt;="&amp;$BC$1,周转筐出入库明细!$B$4:$B$2004,"&lt;="&amp;$BC$2))</f>
        <v/>
      </c>
      <c r="T56" s="25" t="str">
        <f t="shared" si="3"/>
        <v/>
      </c>
      <c r="U56" s="25" t="str">
        <f>IF(OR($B56="",基础资料!$B$4=""),"",SUMIFS(周转筐出入库明细!$K$4:$K$2004,周转筐出入库明细!$C$4:$C$2004,$B56,周转筐出入库明细!$D$4:$D$2004,基础资料!$B$4,周转筐出入库明细!$B$4:$B$2004,"&gt;="&amp;$BC$1,周转筐出入库明细!$B$4:$B$2004,"&lt;="&amp;$BC$2))</f>
        <v/>
      </c>
      <c r="V56" s="25" t="str">
        <f>IF(OR($B56="",基础资料!$B$5=""),"",SUMIFS(周转筐出入库明细!$K$4:$K$2004,周转筐出入库明细!$C$4:$C$2004,$B56,周转筐出入库明细!$D$4:$D$2004,基础资料!$B$5,周转筐出入库明细!$B$4:$B$2004,"&gt;="&amp;$BC$1,周转筐出入库明细!$B$4:$B$2004,"&lt;="&amp;$BC$2))</f>
        <v/>
      </c>
      <c r="W56" s="25" t="str">
        <f>IF(OR($B56="",基础资料!$B$6=""),"",SUMIFS(周转筐出入库明细!$K$4:$K$2004,周转筐出入库明细!$C$4:$C$2004,$B56,周转筐出入库明细!$D$4:$D$2004,基础资料!$B$6,周转筐出入库明细!$B$4:$B$2004,"&gt;="&amp;$BC$1,周转筐出入库明细!$B$4:$B$2004,"&lt;="&amp;$BC$2))</f>
        <v/>
      </c>
      <c r="X56" s="25" t="str">
        <f>IF(OR($B56="",基础资料!$B$7=""),"",SUMIFS(周转筐出入库明细!$K$4:$K$2004,周转筐出入库明细!$C$4:$C$2004,$B56,周转筐出入库明细!$D$4:$D$2004,基础资料!$B$7,周转筐出入库明细!$B$4:$B$2004,"&gt;="&amp;$BC$1,周转筐出入库明细!$B$4:$B$2004,"&lt;="&amp;$BC$2))</f>
        <v/>
      </c>
      <c r="Y56" s="25" t="str">
        <f>IF(OR($B56="",基础资料!$B$8=""),"",SUMIFS(周转筐出入库明细!$K$4:$K$2004,周转筐出入库明细!$C$4:$C$2004,$B56,周转筐出入库明细!$D$4:$D$2004,基础资料!$B$8,周转筐出入库明细!$B$4:$B$2004,"&gt;="&amp;$BC$1,周转筐出入库明细!$B$4:$B$2004,"&lt;="&amp;$BC$2))</f>
        <v/>
      </c>
      <c r="Z56" s="25" t="str">
        <f t="shared" si="4"/>
        <v/>
      </c>
      <c r="AA56" s="67" t="str">
        <f>IF(OR($B56="",基础资料!$B$4=""),"",-SUMIFS(对接源_01水果筐数!$D$5:$D$304,对接源_01水果筐数!$B$5:$B$304,$B56,对接源_01水果筐数!$C$5:$C$304,基础资料!$B$4))</f>
        <v/>
      </c>
      <c r="AB56" s="67" t="str">
        <f>IF(OR($B56="",基础资料!$B$5=""),"",-SUMIFS(对接源_01水果筐数!$D$5:$D$304,对接源_01水果筐数!$B$5:$B$304,$B56,对接源_01水果筐数!$C$5:$C$304,基础资料!$B$5))</f>
        <v/>
      </c>
      <c r="AC56" s="67" t="str">
        <f>IF(OR($B56="",基础资料!$B$6=""),"",-SUMIFS(对接源_01水果筐数!$D$5:$D$304,对接源_01水果筐数!$B$5:$B$304,$B56,对接源_01水果筐数!$C$5:$C$304,基础资料!$B$6))</f>
        <v/>
      </c>
      <c r="AD56" s="67" t="str">
        <f>IF(OR($B56="",基础资料!$B$7=""),"",-SUMIFS(对接源_01水果筐数!$D$5:$D$304,对接源_01水果筐数!$B$5:$B$304,$B56,对接源_01水果筐数!$C$5:$C$304,基础资料!$B$7))</f>
        <v/>
      </c>
      <c r="AE56" s="67" t="str">
        <f>IF(OR($B56="",基础资料!$B$8=""),"",-SUMIFS(对接源_01水果筐数!$D$5:$D$304,对接源_01水果筐数!$B$5:$B$304,$B56,对接源_01水果筐数!$C$5:$C$304,基础资料!$B$8))</f>
        <v/>
      </c>
      <c r="AF56" s="25" t="str">
        <f>IF(OR($B56="",基础资料!$B$4=""),"",SUMIFS(对接源_01水果筐数!$E$5:$E$304,对接源_01水果筐数!$B$5:$B$304,$B56,对接源_01水果筐数!$C$5:$C$304,基础资料!$B$4))</f>
        <v/>
      </c>
      <c r="AG56" s="25" t="str">
        <f>IF(OR($B56="",基础资料!$B$5=""),"",SUMIFS(对接源_01水果筐数!$E$5:$E$304,对接源_01水果筐数!$B$5:$B$304,$B56,对接源_01水果筐数!$C$5:$C$304,基础资料!$B$5))</f>
        <v/>
      </c>
      <c r="AH56" s="25" t="str">
        <f>IF(OR($B56="",基础资料!$B$6=""),"",SUMIFS(对接源_01水果筐数!$E$5:$E$304,对接源_01水果筐数!$B$5:$B$304,$B56,对接源_01水果筐数!$C$5:$C$304,基础资料!$B$6))</f>
        <v/>
      </c>
      <c r="AI56" s="25" t="str">
        <f>IF(OR($B56="",基础资料!$B$7=""),"",SUMIFS(对接源_01水果筐数!$E$5:$E$304,对接源_01水果筐数!$B$5:$B$304,$B56,对接源_01水果筐数!$C$5:$C$304,基础资料!$B$7))</f>
        <v/>
      </c>
      <c r="AJ56" s="25" t="str">
        <f>IF(OR($B56="",基础资料!$B$8=""),"",SUMIFS(对接源_01水果筐数!$E$5:$E$304,对接源_01水果筐数!$B$5:$B$304,$B56,对接源_01水果筐数!$C$5:$C$304,基础资料!$B$8))</f>
        <v/>
      </c>
      <c r="AK56" s="25" t="str">
        <f>IF(OR($B56="",基础资料!$B$4=""),"",SUMIFS(对接源_01水果筐数!$F$5:$F$304,对接源_01水果筐数!$B$5:$B$304,$B56,对接源_01水果筐数!$C$5:$C$304,基础资料!$B$4))</f>
        <v/>
      </c>
      <c r="AL56" s="25" t="str">
        <f>IF(OR($B56="",基础资料!$B$5=""),"",SUMIFS(对接源_01水果筐数!$F$5:$F$304,对接源_01水果筐数!$B$5:$B$304,$B56,对接源_01水果筐数!$C$5:$C$304,基础资料!$B$5))</f>
        <v/>
      </c>
      <c r="AM56" s="25" t="str">
        <f>IF(OR($B56="",基础资料!$B$6=""),"",SUMIFS(对接源_01水果筐数!$F$5:$F$304,对接源_01水果筐数!$B$5:$B$304,$B56,对接源_01水果筐数!$C$5:$C$304,基础资料!$B$6))</f>
        <v/>
      </c>
      <c r="AN56" s="25" t="str">
        <f>IF(OR($B56="",基础资料!$B$7=""),"",SUMIFS(对接源_01水果筐数!$F$5:$F$304,对接源_01水果筐数!$B$5:$B$304,$B56,对接源_01水果筐数!$C$5:$C$304,基础资料!$B$7))</f>
        <v/>
      </c>
      <c r="AO56" s="25" t="str">
        <f>IF(OR($B56="",基础资料!$B$8=""),"",SUMIFS(对接源_01水果筐数!$F$5:$F$304,对接源_01水果筐数!$B$5:$B$304,$B56,对接源_01水果筐数!$C$5:$C$304,基础资料!$B$8))</f>
        <v/>
      </c>
      <c r="AP56" s="25" t="str">
        <f t="shared" si="5"/>
        <v/>
      </c>
      <c r="AQ56" s="25" t="str">
        <f t="shared" si="11"/>
        <v/>
      </c>
      <c r="AR56" s="25" t="str">
        <f t="shared" si="6"/>
        <v/>
      </c>
      <c r="AS56" s="25" t="str">
        <f t="shared" si="7"/>
        <v/>
      </c>
      <c r="AT56" s="25" t="str">
        <f t="shared" si="8"/>
        <v/>
      </c>
      <c r="AU56" s="25" t="str">
        <f t="shared" si="9"/>
        <v/>
      </c>
      <c r="AV56" s="24" t="str">
        <f t="shared" si="10"/>
        <v/>
      </c>
      <c r="AW56" s="72"/>
    </row>
    <row r="57" spans="1:49">
      <c r="A57" s="22" t="str">
        <f t="shared" si="0"/>
        <v/>
      </c>
      <c r="B57" s="24" t="str">
        <f>IFERROR(INDEX(_自动清单!$CC$4:$CC$253,ROW()-3),"")</f>
        <v/>
      </c>
      <c r="C57" s="25" t="str">
        <f>IF(OR($B57="",基础资料!$B$4=""),"",SUMIFS(周转筐出入库明细!$J$4:$J$2004,周转筐出入库明细!$C$4:$C$2004,$B57,周转筐出入库明细!$D$4:$D$2004,基础资料!$B$4,周转筐出入库明细!$B$4:$B$2004,"&gt;="&amp;$BC$1,周转筐出入库明细!$B$4:$B$2004,"&lt;="&amp;$BC$2))</f>
        <v/>
      </c>
      <c r="D57" s="25" t="str">
        <f>IF(OR($B57="",基础资料!$B$5=""),"",SUMIFS(周转筐出入库明细!$J$4:$J$2004,周转筐出入库明细!$C$4:$C$2004,$B57,周转筐出入库明细!$D$4:$D$2004,基础资料!$B$5,周转筐出入库明细!$B$4:$B$2004,"&gt;="&amp;$BC$1,周转筐出入库明细!$B$4:$B$2004,"&lt;="&amp;$BC$2))</f>
        <v/>
      </c>
      <c r="E57" s="25" t="str">
        <f>IF(OR($B57="",基础资料!$B$6=""),"",SUMIFS(周转筐出入库明细!$J$4:$J$2004,周转筐出入库明细!$C$4:$C$2004,$B57,周转筐出入库明细!$D$4:$D$2004,基础资料!$B$6,周转筐出入库明细!$B$4:$B$2004,"&gt;="&amp;$BC$1,周转筐出入库明细!$B$4:$B$2004,"&lt;="&amp;$BC$2))</f>
        <v/>
      </c>
      <c r="F57" s="25" t="str">
        <f>IF(OR($B57="",基础资料!$B$7=""),"",SUMIFS(周转筐出入库明细!$J$4:$J$2004,周转筐出入库明细!$C$4:$C$2004,$B57,周转筐出入库明细!$D$4:$D$2004,基础资料!$B$7,周转筐出入库明细!$B$4:$B$2004,"&gt;="&amp;$BC$1,周转筐出入库明细!$B$4:$B$2004,"&lt;="&amp;$BC$2))</f>
        <v/>
      </c>
      <c r="G57" s="25" t="str">
        <f>IF(OR($B57="",基础资料!$B$8=""),"",SUMIFS(周转筐出入库明细!$J$4:$J$2004,周转筐出入库明细!$C$4:$C$2004,$B57,周转筐出入库明细!$D$4:$D$2004,基础资料!$B$8,周转筐出入库明细!$B$4:$B$2004,"&gt;="&amp;$BC$1,周转筐出入库明细!$B$4:$B$2004,"&lt;="&amp;$BC$2))</f>
        <v/>
      </c>
      <c r="H57" s="25" t="str">
        <f t="shared" si="1"/>
        <v/>
      </c>
      <c r="I57" s="67" t="str">
        <f>IF(OR($B57="",基础资料!$B$4=""),"",-SUMIFS(周转筐出入库明细!$I$4:$I$2004,周转筐出入库明细!$C$4:$C$2004,$B57,周转筐出入库明细!$D$4:$D$2004,基础资料!$B$4,周转筐出入库明细!$B$4:$B$2004,"&gt;="&amp;$BC$1,周转筐出入库明细!$B$4:$B$2004,"&lt;="&amp;$BC$2))</f>
        <v/>
      </c>
      <c r="J57" s="67" t="str">
        <f>IF(OR($B57="",基础资料!$B$5=""),"",-SUMIFS(周转筐出入库明细!$I$4:$I$2004,周转筐出入库明细!$C$4:$C$2004,$B57,周转筐出入库明细!$D$4:$D$2004,基础资料!$B$5,周转筐出入库明细!$B$4:$B$2004,"&gt;="&amp;$BC$1,周转筐出入库明细!$B$4:$B$2004,"&lt;="&amp;$BC$2))</f>
        <v/>
      </c>
      <c r="K57" s="67" t="str">
        <f>IF(OR($B57="",基础资料!$B$6=""),"",-SUMIFS(周转筐出入库明细!$I$4:$I$2004,周转筐出入库明细!$C$4:$C$2004,$B57,周转筐出入库明细!$D$4:$D$2004,基础资料!$B$6,周转筐出入库明细!$B$4:$B$2004,"&gt;="&amp;$BC$1,周转筐出入库明细!$B$4:$B$2004,"&lt;="&amp;$BC$2))</f>
        <v/>
      </c>
      <c r="L57" s="67" t="str">
        <f>IF(OR($B57="",基础资料!$B$7=""),"",-SUMIFS(周转筐出入库明细!$I$4:$I$2004,周转筐出入库明细!$C$4:$C$2004,$B57,周转筐出入库明细!$D$4:$D$2004,基础资料!$B$7,周转筐出入库明细!$B$4:$B$2004,"&gt;="&amp;$BC$1,周转筐出入库明细!$B$4:$B$2004,"&lt;="&amp;$BC$2))</f>
        <v/>
      </c>
      <c r="M57" s="67" t="str">
        <f>IF(OR($B57="",基础资料!$B$8=""),"",-SUMIFS(周转筐出入库明细!$I$4:$I$2004,周转筐出入库明细!$C$4:$C$2004,$B57,周转筐出入库明细!$D$4:$D$2004,基础资料!$B$8,周转筐出入库明细!$B$4:$B$2004,"&gt;="&amp;$BC$1,周转筐出入库明细!$B$4:$B$2004,"&lt;="&amp;$BC$2))</f>
        <v/>
      </c>
      <c r="N57" s="67" t="str">
        <f t="shared" si="2"/>
        <v/>
      </c>
      <c r="O57" s="25" t="str">
        <f>IF(OR($B57="",基础资料!$B$4=""),"",SUMIFS(周转筐出入库明细!$H$4:$H$2004,周转筐出入库明细!$C$4:$C$2004,$B57,周转筐出入库明细!$D$4:$D$2004,基础资料!$B$4,周转筐出入库明细!$F$4:$F$2004,"采购入库",周转筐出入库明细!$B$4:$B$2004,"&gt;="&amp;$BC$1,周转筐出入库明细!$B$4:$B$2004,"&lt;="&amp;$BC$2))</f>
        <v/>
      </c>
      <c r="P57" s="25" t="str">
        <f>IF(OR($B57="",基础资料!$B$5=""),"",SUMIFS(周转筐出入库明细!$H$4:$H$2004,周转筐出入库明细!$C$4:$C$2004,$B57,周转筐出入库明细!$D$4:$D$2004,基础资料!$B$5,周转筐出入库明细!$F$4:$F$2004,"采购入库",周转筐出入库明细!$B$4:$B$2004,"&gt;="&amp;$BC$1,周转筐出入库明细!$B$4:$B$2004,"&lt;="&amp;$BC$2))</f>
        <v/>
      </c>
      <c r="Q57" s="25" t="str">
        <f>IF(OR($B57="",基础资料!$B$6=""),"",SUMIFS(周转筐出入库明细!$H$4:$H$2004,周转筐出入库明细!$C$4:$C$2004,$B57,周转筐出入库明细!$D$4:$D$2004,基础资料!$B$6,周转筐出入库明细!$F$4:$F$2004,"采购入库",周转筐出入库明细!$B$4:$B$2004,"&gt;="&amp;$BC$1,周转筐出入库明细!$B$4:$B$2004,"&lt;="&amp;$BC$2))</f>
        <v/>
      </c>
      <c r="R57" s="25" t="str">
        <f>IF(OR($B57="",基础资料!$B$7=""),"",SUMIFS(周转筐出入库明细!$H$4:$H$2004,周转筐出入库明细!$C$4:$C$2004,$B57,周转筐出入库明细!$D$4:$D$2004,基础资料!$B$7,周转筐出入库明细!$F$4:$F$2004,"采购入库",周转筐出入库明细!$B$4:$B$2004,"&gt;="&amp;$BC$1,周转筐出入库明细!$B$4:$B$2004,"&lt;="&amp;$BC$2))</f>
        <v/>
      </c>
      <c r="S57" s="25" t="str">
        <f>IF(OR($B57="",基础资料!$B$8=""),"",SUMIFS(周转筐出入库明细!$H$4:$H$2004,周转筐出入库明细!$C$4:$C$2004,$B57,周转筐出入库明细!$D$4:$D$2004,基础资料!$B$8,周转筐出入库明细!$F$4:$F$2004,"采购入库",周转筐出入库明细!$B$4:$B$2004,"&gt;="&amp;$BC$1,周转筐出入库明细!$B$4:$B$2004,"&lt;="&amp;$BC$2))</f>
        <v/>
      </c>
      <c r="T57" s="25" t="str">
        <f t="shared" si="3"/>
        <v/>
      </c>
      <c r="U57" s="25" t="str">
        <f>IF(OR($B57="",基础资料!$B$4=""),"",SUMIFS(周转筐出入库明细!$K$4:$K$2004,周转筐出入库明细!$C$4:$C$2004,$B57,周转筐出入库明细!$D$4:$D$2004,基础资料!$B$4,周转筐出入库明细!$B$4:$B$2004,"&gt;="&amp;$BC$1,周转筐出入库明细!$B$4:$B$2004,"&lt;="&amp;$BC$2))</f>
        <v/>
      </c>
      <c r="V57" s="25" t="str">
        <f>IF(OR($B57="",基础资料!$B$5=""),"",SUMIFS(周转筐出入库明细!$K$4:$K$2004,周转筐出入库明细!$C$4:$C$2004,$B57,周转筐出入库明细!$D$4:$D$2004,基础资料!$B$5,周转筐出入库明细!$B$4:$B$2004,"&gt;="&amp;$BC$1,周转筐出入库明细!$B$4:$B$2004,"&lt;="&amp;$BC$2))</f>
        <v/>
      </c>
      <c r="W57" s="25" t="str">
        <f>IF(OR($B57="",基础资料!$B$6=""),"",SUMIFS(周转筐出入库明细!$K$4:$K$2004,周转筐出入库明细!$C$4:$C$2004,$B57,周转筐出入库明细!$D$4:$D$2004,基础资料!$B$6,周转筐出入库明细!$B$4:$B$2004,"&gt;="&amp;$BC$1,周转筐出入库明细!$B$4:$B$2004,"&lt;="&amp;$BC$2))</f>
        <v/>
      </c>
      <c r="X57" s="25" t="str">
        <f>IF(OR($B57="",基础资料!$B$7=""),"",SUMIFS(周转筐出入库明细!$K$4:$K$2004,周转筐出入库明细!$C$4:$C$2004,$B57,周转筐出入库明细!$D$4:$D$2004,基础资料!$B$7,周转筐出入库明细!$B$4:$B$2004,"&gt;="&amp;$BC$1,周转筐出入库明细!$B$4:$B$2004,"&lt;="&amp;$BC$2))</f>
        <v/>
      </c>
      <c r="Y57" s="25" t="str">
        <f>IF(OR($B57="",基础资料!$B$8=""),"",SUMIFS(周转筐出入库明细!$K$4:$K$2004,周转筐出入库明细!$C$4:$C$2004,$B57,周转筐出入库明细!$D$4:$D$2004,基础资料!$B$8,周转筐出入库明细!$B$4:$B$2004,"&gt;="&amp;$BC$1,周转筐出入库明细!$B$4:$B$2004,"&lt;="&amp;$BC$2))</f>
        <v/>
      </c>
      <c r="Z57" s="25" t="str">
        <f t="shared" si="4"/>
        <v/>
      </c>
      <c r="AA57" s="67" t="str">
        <f>IF(OR($B57="",基础资料!$B$4=""),"",-SUMIFS(对接源_01水果筐数!$D$5:$D$304,对接源_01水果筐数!$B$5:$B$304,$B57,对接源_01水果筐数!$C$5:$C$304,基础资料!$B$4))</f>
        <v/>
      </c>
      <c r="AB57" s="67" t="str">
        <f>IF(OR($B57="",基础资料!$B$5=""),"",-SUMIFS(对接源_01水果筐数!$D$5:$D$304,对接源_01水果筐数!$B$5:$B$304,$B57,对接源_01水果筐数!$C$5:$C$304,基础资料!$B$5))</f>
        <v/>
      </c>
      <c r="AC57" s="67" t="str">
        <f>IF(OR($B57="",基础资料!$B$6=""),"",-SUMIFS(对接源_01水果筐数!$D$5:$D$304,对接源_01水果筐数!$B$5:$B$304,$B57,对接源_01水果筐数!$C$5:$C$304,基础资料!$B$6))</f>
        <v/>
      </c>
      <c r="AD57" s="67" t="str">
        <f>IF(OR($B57="",基础资料!$B$7=""),"",-SUMIFS(对接源_01水果筐数!$D$5:$D$304,对接源_01水果筐数!$B$5:$B$304,$B57,对接源_01水果筐数!$C$5:$C$304,基础资料!$B$7))</f>
        <v/>
      </c>
      <c r="AE57" s="67" t="str">
        <f>IF(OR($B57="",基础资料!$B$8=""),"",-SUMIFS(对接源_01水果筐数!$D$5:$D$304,对接源_01水果筐数!$B$5:$B$304,$B57,对接源_01水果筐数!$C$5:$C$304,基础资料!$B$8))</f>
        <v/>
      </c>
      <c r="AF57" s="25" t="str">
        <f>IF(OR($B57="",基础资料!$B$4=""),"",SUMIFS(对接源_01水果筐数!$E$5:$E$304,对接源_01水果筐数!$B$5:$B$304,$B57,对接源_01水果筐数!$C$5:$C$304,基础资料!$B$4))</f>
        <v/>
      </c>
      <c r="AG57" s="25" t="str">
        <f>IF(OR($B57="",基础资料!$B$5=""),"",SUMIFS(对接源_01水果筐数!$E$5:$E$304,对接源_01水果筐数!$B$5:$B$304,$B57,对接源_01水果筐数!$C$5:$C$304,基础资料!$B$5))</f>
        <v/>
      </c>
      <c r="AH57" s="25" t="str">
        <f>IF(OR($B57="",基础资料!$B$6=""),"",SUMIFS(对接源_01水果筐数!$E$5:$E$304,对接源_01水果筐数!$B$5:$B$304,$B57,对接源_01水果筐数!$C$5:$C$304,基础资料!$B$6))</f>
        <v/>
      </c>
      <c r="AI57" s="25" t="str">
        <f>IF(OR($B57="",基础资料!$B$7=""),"",SUMIFS(对接源_01水果筐数!$E$5:$E$304,对接源_01水果筐数!$B$5:$B$304,$B57,对接源_01水果筐数!$C$5:$C$304,基础资料!$B$7))</f>
        <v/>
      </c>
      <c r="AJ57" s="25" t="str">
        <f>IF(OR($B57="",基础资料!$B$8=""),"",SUMIFS(对接源_01水果筐数!$E$5:$E$304,对接源_01水果筐数!$B$5:$B$304,$B57,对接源_01水果筐数!$C$5:$C$304,基础资料!$B$8))</f>
        <v/>
      </c>
      <c r="AK57" s="25" t="str">
        <f>IF(OR($B57="",基础资料!$B$4=""),"",SUMIFS(对接源_01水果筐数!$F$5:$F$304,对接源_01水果筐数!$B$5:$B$304,$B57,对接源_01水果筐数!$C$5:$C$304,基础资料!$B$4))</f>
        <v/>
      </c>
      <c r="AL57" s="25" t="str">
        <f>IF(OR($B57="",基础资料!$B$5=""),"",SUMIFS(对接源_01水果筐数!$F$5:$F$304,对接源_01水果筐数!$B$5:$B$304,$B57,对接源_01水果筐数!$C$5:$C$304,基础资料!$B$5))</f>
        <v/>
      </c>
      <c r="AM57" s="25" t="str">
        <f>IF(OR($B57="",基础资料!$B$6=""),"",SUMIFS(对接源_01水果筐数!$F$5:$F$304,对接源_01水果筐数!$B$5:$B$304,$B57,对接源_01水果筐数!$C$5:$C$304,基础资料!$B$6))</f>
        <v/>
      </c>
      <c r="AN57" s="25" t="str">
        <f>IF(OR($B57="",基础资料!$B$7=""),"",SUMIFS(对接源_01水果筐数!$F$5:$F$304,对接源_01水果筐数!$B$5:$B$304,$B57,对接源_01水果筐数!$C$5:$C$304,基础资料!$B$7))</f>
        <v/>
      </c>
      <c r="AO57" s="25" t="str">
        <f>IF(OR($B57="",基础资料!$B$8=""),"",SUMIFS(对接源_01水果筐数!$F$5:$F$304,对接源_01水果筐数!$B$5:$B$304,$B57,对接源_01水果筐数!$C$5:$C$304,基础资料!$B$8))</f>
        <v/>
      </c>
      <c r="AP57" s="25" t="str">
        <f t="shared" si="5"/>
        <v/>
      </c>
      <c r="AQ57" s="25" t="str">
        <f t="shared" si="11"/>
        <v/>
      </c>
      <c r="AR57" s="25" t="str">
        <f t="shared" si="6"/>
        <v/>
      </c>
      <c r="AS57" s="25" t="str">
        <f t="shared" si="7"/>
        <v/>
      </c>
      <c r="AT57" s="25" t="str">
        <f t="shared" si="8"/>
        <v/>
      </c>
      <c r="AU57" s="25" t="str">
        <f t="shared" si="9"/>
        <v/>
      </c>
      <c r="AV57" s="24" t="str">
        <f t="shared" si="10"/>
        <v/>
      </c>
      <c r="AW57" s="72"/>
    </row>
    <row r="58" spans="1:49">
      <c r="A58" s="22" t="str">
        <f t="shared" si="0"/>
        <v/>
      </c>
      <c r="B58" s="24" t="str">
        <f>IFERROR(INDEX(_自动清单!$CC$4:$CC$253,ROW()-3),"")</f>
        <v/>
      </c>
      <c r="C58" s="25" t="str">
        <f>IF(OR($B58="",基础资料!$B$4=""),"",SUMIFS(周转筐出入库明细!$J$4:$J$2004,周转筐出入库明细!$C$4:$C$2004,$B58,周转筐出入库明细!$D$4:$D$2004,基础资料!$B$4,周转筐出入库明细!$B$4:$B$2004,"&gt;="&amp;$BC$1,周转筐出入库明细!$B$4:$B$2004,"&lt;="&amp;$BC$2))</f>
        <v/>
      </c>
      <c r="D58" s="25" t="str">
        <f>IF(OR($B58="",基础资料!$B$5=""),"",SUMIFS(周转筐出入库明细!$J$4:$J$2004,周转筐出入库明细!$C$4:$C$2004,$B58,周转筐出入库明细!$D$4:$D$2004,基础资料!$B$5,周转筐出入库明细!$B$4:$B$2004,"&gt;="&amp;$BC$1,周转筐出入库明细!$B$4:$B$2004,"&lt;="&amp;$BC$2))</f>
        <v/>
      </c>
      <c r="E58" s="25" t="str">
        <f>IF(OR($B58="",基础资料!$B$6=""),"",SUMIFS(周转筐出入库明细!$J$4:$J$2004,周转筐出入库明细!$C$4:$C$2004,$B58,周转筐出入库明细!$D$4:$D$2004,基础资料!$B$6,周转筐出入库明细!$B$4:$B$2004,"&gt;="&amp;$BC$1,周转筐出入库明细!$B$4:$B$2004,"&lt;="&amp;$BC$2))</f>
        <v/>
      </c>
      <c r="F58" s="25" t="str">
        <f>IF(OR($B58="",基础资料!$B$7=""),"",SUMIFS(周转筐出入库明细!$J$4:$J$2004,周转筐出入库明细!$C$4:$C$2004,$B58,周转筐出入库明细!$D$4:$D$2004,基础资料!$B$7,周转筐出入库明细!$B$4:$B$2004,"&gt;="&amp;$BC$1,周转筐出入库明细!$B$4:$B$2004,"&lt;="&amp;$BC$2))</f>
        <v/>
      </c>
      <c r="G58" s="25" t="str">
        <f>IF(OR($B58="",基础资料!$B$8=""),"",SUMIFS(周转筐出入库明细!$J$4:$J$2004,周转筐出入库明细!$C$4:$C$2004,$B58,周转筐出入库明细!$D$4:$D$2004,基础资料!$B$8,周转筐出入库明细!$B$4:$B$2004,"&gt;="&amp;$BC$1,周转筐出入库明细!$B$4:$B$2004,"&lt;="&amp;$BC$2))</f>
        <v/>
      </c>
      <c r="H58" s="25" t="str">
        <f t="shared" si="1"/>
        <v/>
      </c>
      <c r="I58" s="67" t="str">
        <f>IF(OR($B58="",基础资料!$B$4=""),"",-SUMIFS(周转筐出入库明细!$I$4:$I$2004,周转筐出入库明细!$C$4:$C$2004,$B58,周转筐出入库明细!$D$4:$D$2004,基础资料!$B$4,周转筐出入库明细!$B$4:$B$2004,"&gt;="&amp;$BC$1,周转筐出入库明细!$B$4:$B$2004,"&lt;="&amp;$BC$2))</f>
        <v/>
      </c>
      <c r="J58" s="67" t="str">
        <f>IF(OR($B58="",基础资料!$B$5=""),"",-SUMIFS(周转筐出入库明细!$I$4:$I$2004,周转筐出入库明细!$C$4:$C$2004,$B58,周转筐出入库明细!$D$4:$D$2004,基础资料!$B$5,周转筐出入库明细!$B$4:$B$2004,"&gt;="&amp;$BC$1,周转筐出入库明细!$B$4:$B$2004,"&lt;="&amp;$BC$2))</f>
        <v/>
      </c>
      <c r="K58" s="67" t="str">
        <f>IF(OR($B58="",基础资料!$B$6=""),"",-SUMIFS(周转筐出入库明细!$I$4:$I$2004,周转筐出入库明细!$C$4:$C$2004,$B58,周转筐出入库明细!$D$4:$D$2004,基础资料!$B$6,周转筐出入库明细!$B$4:$B$2004,"&gt;="&amp;$BC$1,周转筐出入库明细!$B$4:$B$2004,"&lt;="&amp;$BC$2))</f>
        <v/>
      </c>
      <c r="L58" s="67" t="str">
        <f>IF(OR($B58="",基础资料!$B$7=""),"",-SUMIFS(周转筐出入库明细!$I$4:$I$2004,周转筐出入库明细!$C$4:$C$2004,$B58,周转筐出入库明细!$D$4:$D$2004,基础资料!$B$7,周转筐出入库明细!$B$4:$B$2004,"&gt;="&amp;$BC$1,周转筐出入库明细!$B$4:$B$2004,"&lt;="&amp;$BC$2))</f>
        <v/>
      </c>
      <c r="M58" s="67" t="str">
        <f>IF(OR($B58="",基础资料!$B$8=""),"",-SUMIFS(周转筐出入库明细!$I$4:$I$2004,周转筐出入库明细!$C$4:$C$2004,$B58,周转筐出入库明细!$D$4:$D$2004,基础资料!$B$8,周转筐出入库明细!$B$4:$B$2004,"&gt;="&amp;$BC$1,周转筐出入库明细!$B$4:$B$2004,"&lt;="&amp;$BC$2))</f>
        <v/>
      </c>
      <c r="N58" s="67" t="str">
        <f t="shared" si="2"/>
        <v/>
      </c>
      <c r="O58" s="25" t="str">
        <f>IF(OR($B58="",基础资料!$B$4=""),"",SUMIFS(周转筐出入库明细!$H$4:$H$2004,周转筐出入库明细!$C$4:$C$2004,$B58,周转筐出入库明细!$D$4:$D$2004,基础资料!$B$4,周转筐出入库明细!$F$4:$F$2004,"采购入库",周转筐出入库明细!$B$4:$B$2004,"&gt;="&amp;$BC$1,周转筐出入库明细!$B$4:$B$2004,"&lt;="&amp;$BC$2))</f>
        <v/>
      </c>
      <c r="P58" s="25" t="str">
        <f>IF(OR($B58="",基础资料!$B$5=""),"",SUMIFS(周转筐出入库明细!$H$4:$H$2004,周转筐出入库明细!$C$4:$C$2004,$B58,周转筐出入库明细!$D$4:$D$2004,基础资料!$B$5,周转筐出入库明细!$F$4:$F$2004,"采购入库",周转筐出入库明细!$B$4:$B$2004,"&gt;="&amp;$BC$1,周转筐出入库明细!$B$4:$B$2004,"&lt;="&amp;$BC$2))</f>
        <v/>
      </c>
      <c r="Q58" s="25" t="str">
        <f>IF(OR($B58="",基础资料!$B$6=""),"",SUMIFS(周转筐出入库明细!$H$4:$H$2004,周转筐出入库明细!$C$4:$C$2004,$B58,周转筐出入库明细!$D$4:$D$2004,基础资料!$B$6,周转筐出入库明细!$F$4:$F$2004,"采购入库",周转筐出入库明细!$B$4:$B$2004,"&gt;="&amp;$BC$1,周转筐出入库明细!$B$4:$B$2004,"&lt;="&amp;$BC$2))</f>
        <v/>
      </c>
      <c r="R58" s="25" t="str">
        <f>IF(OR($B58="",基础资料!$B$7=""),"",SUMIFS(周转筐出入库明细!$H$4:$H$2004,周转筐出入库明细!$C$4:$C$2004,$B58,周转筐出入库明细!$D$4:$D$2004,基础资料!$B$7,周转筐出入库明细!$F$4:$F$2004,"采购入库",周转筐出入库明细!$B$4:$B$2004,"&gt;="&amp;$BC$1,周转筐出入库明细!$B$4:$B$2004,"&lt;="&amp;$BC$2))</f>
        <v/>
      </c>
      <c r="S58" s="25" t="str">
        <f>IF(OR($B58="",基础资料!$B$8=""),"",SUMIFS(周转筐出入库明细!$H$4:$H$2004,周转筐出入库明细!$C$4:$C$2004,$B58,周转筐出入库明细!$D$4:$D$2004,基础资料!$B$8,周转筐出入库明细!$F$4:$F$2004,"采购入库",周转筐出入库明细!$B$4:$B$2004,"&gt;="&amp;$BC$1,周转筐出入库明细!$B$4:$B$2004,"&lt;="&amp;$BC$2))</f>
        <v/>
      </c>
      <c r="T58" s="25" t="str">
        <f t="shared" si="3"/>
        <v/>
      </c>
      <c r="U58" s="25" t="str">
        <f>IF(OR($B58="",基础资料!$B$4=""),"",SUMIFS(周转筐出入库明细!$K$4:$K$2004,周转筐出入库明细!$C$4:$C$2004,$B58,周转筐出入库明细!$D$4:$D$2004,基础资料!$B$4,周转筐出入库明细!$B$4:$B$2004,"&gt;="&amp;$BC$1,周转筐出入库明细!$B$4:$B$2004,"&lt;="&amp;$BC$2))</f>
        <v/>
      </c>
      <c r="V58" s="25" t="str">
        <f>IF(OR($B58="",基础资料!$B$5=""),"",SUMIFS(周转筐出入库明细!$K$4:$K$2004,周转筐出入库明细!$C$4:$C$2004,$B58,周转筐出入库明细!$D$4:$D$2004,基础资料!$B$5,周转筐出入库明细!$B$4:$B$2004,"&gt;="&amp;$BC$1,周转筐出入库明细!$B$4:$B$2004,"&lt;="&amp;$BC$2))</f>
        <v/>
      </c>
      <c r="W58" s="25" t="str">
        <f>IF(OR($B58="",基础资料!$B$6=""),"",SUMIFS(周转筐出入库明细!$K$4:$K$2004,周转筐出入库明细!$C$4:$C$2004,$B58,周转筐出入库明细!$D$4:$D$2004,基础资料!$B$6,周转筐出入库明细!$B$4:$B$2004,"&gt;="&amp;$BC$1,周转筐出入库明细!$B$4:$B$2004,"&lt;="&amp;$BC$2))</f>
        <v/>
      </c>
      <c r="X58" s="25" t="str">
        <f>IF(OR($B58="",基础资料!$B$7=""),"",SUMIFS(周转筐出入库明细!$K$4:$K$2004,周转筐出入库明细!$C$4:$C$2004,$B58,周转筐出入库明细!$D$4:$D$2004,基础资料!$B$7,周转筐出入库明细!$B$4:$B$2004,"&gt;="&amp;$BC$1,周转筐出入库明细!$B$4:$B$2004,"&lt;="&amp;$BC$2))</f>
        <v/>
      </c>
      <c r="Y58" s="25" t="str">
        <f>IF(OR($B58="",基础资料!$B$8=""),"",SUMIFS(周转筐出入库明细!$K$4:$K$2004,周转筐出入库明细!$C$4:$C$2004,$B58,周转筐出入库明细!$D$4:$D$2004,基础资料!$B$8,周转筐出入库明细!$B$4:$B$2004,"&gt;="&amp;$BC$1,周转筐出入库明细!$B$4:$B$2004,"&lt;="&amp;$BC$2))</f>
        <v/>
      </c>
      <c r="Z58" s="25" t="str">
        <f t="shared" si="4"/>
        <v/>
      </c>
      <c r="AA58" s="67" t="str">
        <f>IF(OR($B58="",基础资料!$B$4=""),"",-SUMIFS(对接源_01水果筐数!$D$5:$D$304,对接源_01水果筐数!$B$5:$B$304,$B58,对接源_01水果筐数!$C$5:$C$304,基础资料!$B$4))</f>
        <v/>
      </c>
      <c r="AB58" s="67" t="str">
        <f>IF(OR($B58="",基础资料!$B$5=""),"",-SUMIFS(对接源_01水果筐数!$D$5:$D$304,对接源_01水果筐数!$B$5:$B$304,$B58,对接源_01水果筐数!$C$5:$C$304,基础资料!$B$5))</f>
        <v/>
      </c>
      <c r="AC58" s="67" t="str">
        <f>IF(OR($B58="",基础资料!$B$6=""),"",-SUMIFS(对接源_01水果筐数!$D$5:$D$304,对接源_01水果筐数!$B$5:$B$304,$B58,对接源_01水果筐数!$C$5:$C$304,基础资料!$B$6))</f>
        <v/>
      </c>
      <c r="AD58" s="67" t="str">
        <f>IF(OR($B58="",基础资料!$B$7=""),"",-SUMIFS(对接源_01水果筐数!$D$5:$D$304,对接源_01水果筐数!$B$5:$B$304,$B58,对接源_01水果筐数!$C$5:$C$304,基础资料!$B$7))</f>
        <v/>
      </c>
      <c r="AE58" s="67" t="str">
        <f>IF(OR($B58="",基础资料!$B$8=""),"",-SUMIFS(对接源_01水果筐数!$D$5:$D$304,对接源_01水果筐数!$B$5:$B$304,$B58,对接源_01水果筐数!$C$5:$C$304,基础资料!$B$8))</f>
        <v/>
      </c>
      <c r="AF58" s="25" t="str">
        <f>IF(OR($B58="",基础资料!$B$4=""),"",SUMIFS(对接源_01水果筐数!$E$5:$E$304,对接源_01水果筐数!$B$5:$B$304,$B58,对接源_01水果筐数!$C$5:$C$304,基础资料!$B$4))</f>
        <v/>
      </c>
      <c r="AG58" s="25" t="str">
        <f>IF(OR($B58="",基础资料!$B$5=""),"",SUMIFS(对接源_01水果筐数!$E$5:$E$304,对接源_01水果筐数!$B$5:$B$304,$B58,对接源_01水果筐数!$C$5:$C$304,基础资料!$B$5))</f>
        <v/>
      </c>
      <c r="AH58" s="25" t="str">
        <f>IF(OR($B58="",基础资料!$B$6=""),"",SUMIFS(对接源_01水果筐数!$E$5:$E$304,对接源_01水果筐数!$B$5:$B$304,$B58,对接源_01水果筐数!$C$5:$C$304,基础资料!$B$6))</f>
        <v/>
      </c>
      <c r="AI58" s="25" t="str">
        <f>IF(OR($B58="",基础资料!$B$7=""),"",SUMIFS(对接源_01水果筐数!$E$5:$E$304,对接源_01水果筐数!$B$5:$B$304,$B58,对接源_01水果筐数!$C$5:$C$304,基础资料!$B$7))</f>
        <v/>
      </c>
      <c r="AJ58" s="25" t="str">
        <f>IF(OR($B58="",基础资料!$B$8=""),"",SUMIFS(对接源_01水果筐数!$E$5:$E$304,对接源_01水果筐数!$B$5:$B$304,$B58,对接源_01水果筐数!$C$5:$C$304,基础资料!$B$8))</f>
        <v/>
      </c>
      <c r="AK58" s="25" t="str">
        <f>IF(OR($B58="",基础资料!$B$4=""),"",SUMIFS(对接源_01水果筐数!$F$5:$F$304,对接源_01水果筐数!$B$5:$B$304,$B58,对接源_01水果筐数!$C$5:$C$304,基础资料!$B$4))</f>
        <v/>
      </c>
      <c r="AL58" s="25" t="str">
        <f>IF(OR($B58="",基础资料!$B$5=""),"",SUMIFS(对接源_01水果筐数!$F$5:$F$304,对接源_01水果筐数!$B$5:$B$304,$B58,对接源_01水果筐数!$C$5:$C$304,基础资料!$B$5))</f>
        <v/>
      </c>
      <c r="AM58" s="25" t="str">
        <f>IF(OR($B58="",基础资料!$B$6=""),"",SUMIFS(对接源_01水果筐数!$F$5:$F$304,对接源_01水果筐数!$B$5:$B$304,$B58,对接源_01水果筐数!$C$5:$C$304,基础资料!$B$6))</f>
        <v/>
      </c>
      <c r="AN58" s="25" t="str">
        <f>IF(OR($B58="",基础资料!$B$7=""),"",SUMIFS(对接源_01水果筐数!$F$5:$F$304,对接源_01水果筐数!$B$5:$B$304,$B58,对接源_01水果筐数!$C$5:$C$304,基础资料!$B$7))</f>
        <v/>
      </c>
      <c r="AO58" s="25" t="str">
        <f>IF(OR($B58="",基础资料!$B$8=""),"",SUMIFS(对接源_01水果筐数!$F$5:$F$304,对接源_01水果筐数!$B$5:$B$304,$B58,对接源_01水果筐数!$C$5:$C$304,基础资料!$B$8))</f>
        <v/>
      </c>
      <c r="AP58" s="25" t="str">
        <f t="shared" si="5"/>
        <v/>
      </c>
      <c r="AQ58" s="25" t="str">
        <f t="shared" si="11"/>
        <v/>
      </c>
      <c r="AR58" s="25" t="str">
        <f t="shared" si="6"/>
        <v/>
      </c>
      <c r="AS58" s="25" t="str">
        <f t="shared" si="7"/>
        <v/>
      </c>
      <c r="AT58" s="25" t="str">
        <f t="shared" si="8"/>
        <v/>
      </c>
      <c r="AU58" s="25" t="str">
        <f t="shared" si="9"/>
        <v/>
      </c>
      <c r="AV58" s="24" t="str">
        <f t="shared" si="10"/>
        <v/>
      </c>
      <c r="AW58" s="72"/>
    </row>
    <row r="59" spans="1:49">
      <c r="A59" s="22" t="str">
        <f t="shared" si="0"/>
        <v/>
      </c>
      <c r="B59" s="24" t="str">
        <f>IFERROR(INDEX(_自动清单!$CC$4:$CC$253,ROW()-3),"")</f>
        <v/>
      </c>
      <c r="C59" s="25" t="str">
        <f>IF(OR($B59="",基础资料!$B$4=""),"",SUMIFS(周转筐出入库明细!$J$4:$J$2004,周转筐出入库明细!$C$4:$C$2004,$B59,周转筐出入库明细!$D$4:$D$2004,基础资料!$B$4,周转筐出入库明细!$B$4:$B$2004,"&gt;="&amp;$BC$1,周转筐出入库明细!$B$4:$B$2004,"&lt;="&amp;$BC$2))</f>
        <v/>
      </c>
      <c r="D59" s="25" t="str">
        <f>IF(OR($B59="",基础资料!$B$5=""),"",SUMIFS(周转筐出入库明细!$J$4:$J$2004,周转筐出入库明细!$C$4:$C$2004,$B59,周转筐出入库明细!$D$4:$D$2004,基础资料!$B$5,周转筐出入库明细!$B$4:$B$2004,"&gt;="&amp;$BC$1,周转筐出入库明细!$B$4:$B$2004,"&lt;="&amp;$BC$2))</f>
        <v/>
      </c>
      <c r="E59" s="25" t="str">
        <f>IF(OR($B59="",基础资料!$B$6=""),"",SUMIFS(周转筐出入库明细!$J$4:$J$2004,周转筐出入库明细!$C$4:$C$2004,$B59,周转筐出入库明细!$D$4:$D$2004,基础资料!$B$6,周转筐出入库明细!$B$4:$B$2004,"&gt;="&amp;$BC$1,周转筐出入库明细!$B$4:$B$2004,"&lt;="&amp;$BC$2))</f>
        <v/>
      </c>
      <c r="F59" s="25" t="str">
        <f>IF(OR($B59="",基础资料!$B$7=""),"",SUMIFS(周转筐出入库明细!$J$4:$J$2004,周转筐出入库明细!$C$4:$C$2004,$B59,周转筐出入库明细!$D$4:$D$2004,基础资料!$B$7,周转筐出入库明细!$B$4:$B$2004,"&gt;="&amp;$BC$1,周转筐出入库明细!$B$4:$B$2004,"&lt;="&amp;$BC$2))</f>
        <v/>
      </c>
      <c r="G59" s="25" t="str">
        <f>IF(OR($B59="",基础资料!$B$8=""),"",SUMIFS(周转筐出入库明细!$J$4:$J$2004,周转筐出入库明细!$C$4:$C$2004,$B59,周转筐出入库明细!$D$4:$D$2004,基础资料!$B$8,周转筐出入库明细!$B$4:$B$2004,"&gt;="&amp;$BC$1,周转筐出入库明细!$B$4:$B$2004,"&lt;="&amp;$BC$2))</f>
        <v/>
      </c>
      <c r="H59" s="25" t="str">
        <f t="shared" si="1"/>
        <v/>
      </c>
      <c r="I59" s="67" t="str">
        <f>IF(OR($B59="",基础资料!$B$4=""),"",-SUMIFS(周转筐出入库明细!$I$4:$I$2004,周转筐出入库明细!$C$4:$C$2004,$B59,周转筐出入库明细!$D$4:$D$2004,基础资料!$B$4,周转筐出入库明细!$B$4:$B$2004,"&gt;="&amp;$BC$1,周转筐出入库明细!$B$4:$B$2004,"&lt;="&amp;$BC$2))</f>
        <v/>
      </c>
      <c r="J59" s="67" t="str">
        <f>IF(OR($B59="",基础资料!$B$5=""),"",-SUMIFS(周转筐出入库明细!$I$4:$I$2004,周转筐出入库明细!$C$4:$C$2004,$B59,周转筐出入库明细!$D$4:$D$2004,基础资料!$B$5,周转筐出入库明细!$B$4:$B$2004,"&gt;="&amp;$BC$1,周转筐出入库明细!$B$4:$B$2004,"&lt;="&amp;$BC$2))</f>
        <v/>
      </c>
      <c r="K59" s="67" t="str">
        <f>IF(OR($B59="",基础资料!$B$6=""),"",-SUMIFS(周转筐出入库明细!$I$4:$I$2004,周转筐出入库明细!$C$4:$C$2004,$B59,周转筐出入库明细!$D$4:$D$2004,基础资料!$B$6,周转筐出入库明细!$B$4:$B$2004,"&gt;="&amp;$BC$1,周转筐出入库明细!$B$4:$B$2004,"&lt;="&amp;$BC$2))</f>
        <v/>
      </c>
      <c r="L59" s="67" t="str">
        <f>IF(OR($B59="",基础资料!$B$7=""),"",-SUMIFS(周转筐出入库明细!$I$4:$I$2004,周转筐出入库明细!$C$4:$C$2004,$B59,周转筐出入库明细!$D$4:$D$2004,基础资料!$B$7,周转筐出入库明细!$B$4:$B$2004,"&gt;="&amp;$BC$1,周转筐出入库明细!$B$4:$B$2004,"&lt;="&amp;$BC$2))</f>
        <v/>
      </c>
      <c r="M59" s="67" t="str">
        <f>IF(OR($B59="",基础资料!$B$8=""),"",-SUMIFS(周转筐出入库明细!$I$4:$I$2004,周转筐出入库明细!$C$4:$C$2004,$B59,周转筐出入库明细!$D$4:$D$2004,基础资料!$B$8,周转筐出入库明细!$B$4:$B$2004,"&gt;="&amp;$BC$1,周转筐出入库明细!$B$4:$B$2004,"&lt;="&amp;$BC$2))</f>
        <v/>
      </c>
      <c r="N59" s="67" t="str">
        <f t="shared" si="2"/>
        <v/>
      </c>
      <c r="O59" s="25" t="str">
        <f>IF(OR($B59="",基础资料!$B$4=""),"",SUMIFS(周转筐出入库明细!$H$4:$H$2004,周转筐出入库明细!$C$4:$C$2004,$B59,周转筐出入库明细!$D$4:$D$2004,基础资料!$B$4,周转筐出入库明细!$F$4:$F$2004,"采购入库",周转筐出入库明细!$B$4:$B$2004,"&gt;="&amp;$BC$1,周转筐出入库明细!$B$4:$B$2004,"&lt;="&amp;$BC$2))</f>
        <v/>
      </c>
      <c r="P59" s="25" t="str">
        <f>IF(OR($B59="",基础资料!$B$5=""),"",SUMIFS(周转筐出入库明细!$H$4:$H$2004,周转筐出入库明细!$C$4:$C$2004,$B59,周转筐出入库明细!$D$4:$D$2004,基础资料!$B$5,周转筐出入库明细!$F$4:$F$2004,"采购入库",周转筐出入库明细!$B$4:$B$2004,"&gt;="&amp;$BC$1,周转筐出入库明细!$B$4:$B$2004,"&lt;="&amp;$BC$2))</f>
        <v/>
      </c>
      <c r="Q59" s="25" t="str">
        <f>IF(OR($B59="",基础资料!$B$6=""),"",SUMIFS(周转筐出入库明细!$H$4:$H$2004,周转筐出入库明细!$C$4:$C$2004,$B59,周转筐出入库明细!$D$4:$D$2004,基础资料!$B$6,周转筐出入库明细!$F$4:$F$2004,"采购入库",周转筐出入库明细!$B$4:$B$2004,"&gt;="&amp;$BC$1,周转筐出入库明细!$B$4:$B$2004,"&lt;="&amp;$BC$2))</f>
        <v/>
      </c>
      <c r="R59" s="25" t="str">
        <f>IF(OR($B59="",基础资料!$B$7=""),"",SUMIFS(周转筐出入库明细!$H$4:$H$2004,周转筐出入库明细!$C$4:$C$2004,$B59,周转筐出入库明细!$D$4:$D$2004,基础资料!$B$7,周转筐出入库明细!$F$4:$F$2004,"采购入库",周转筐出入库明细!$B$4:$B$2004,"&gt;="&amp;$BC$1,周转筐出入库明细!$B$4:$B$2004,"&lt;="&amp;$BC$2))</f>
        <v/>
      </c>
      <c r="S59" s="25" t="str">
        <f>IF(OR($B59="",基础资料!$B$8=""),"",SUMIFS(周转筐出入库明细!$H$4:$H$2004,周转筐出入库明细!$C$4:$C$2004,$B59,周转筐出入库明细!$D$4:$D$2004,基础资料!$B$8,周转筐出入库明细!$F$4:$F$2004,"采购入库",周转筐出入库明细!$B$4:$B$2004,"&gt;="&amp;$BC$1,周转筐出入库明细!$B$4:$B$2004,"&lt;="&amp;$BC$2))</f>
        <v/>
      </c>
      <c r="T59" s="25" t="str">
        <f t="shared" si="3"/>
        <v/>
      </c>
      <c r="U59" s="25" t="str">
        <f>IF(OR($B59="",基础资料!$B$4=""),"",SUMIFS(周转筐出入库明细!$K$4:$K$2004,周转筐出入库明细!$C$4:$C$2004,$B59,周转筐出入库明细!$D$4:$D$2004,基础资料!$B$4,周转筐出入库明细!$B$4:$B$2004,"&gt;="&amp;$BC$1,周转筐出入库明细!$B$4:$B$2004,"&lt;="&amp;$BC$2))</f>
        <v/>
      </c>
      <c r="V59" s="25" t="str">
        <f>IF(OR($B59="",基础资料!$B$5=""),"",SUMIFS(周转筐出入库明细!$K$4:$K$2004,周转筐出入库明细!$C$4:$C$2004,$B59,周转筐出入库明细!$D$4:$D$2004,基础资料!$B$5,周转筐出入库明细!$B$4:$B$2004,"&gt;="&amp;$BC$1,周转筐出入库明细!$B$4:$B$2004,"&lt;="&amp;$BC$2))</f>
        <v/>
      </c>
      <c r="W59" s="25" t="str">
        <f>IF(OR($B59="",基础资料!$B$6=""),"",SUMIFS(周转筐出入库明细!$K$4:$K$2004,周转筐出入库明细!$C$4:$C$2004,$B59,周转筐出入库明细!$D$4:$D$2004,基础资料!$B$6,周转筐出入库明细!$B$4:$B$2004,"&gt;="&amp;$BC$1,周转筐出入库明细!$B$4:$B$2004,"&lt;="&amp;$BC$2))</f>
        <v/>
      </c>
      <c r="X59" s="25" t="str">
        <f>IF(OR($B59="",基础资料!$B$7=""),"",SUMIFS(周转筐出入库明细!$K$4:$K$2004,周转筐出入库明细!$C$4:$C$2004,$B59,周转筐出入库明细!$D$4:$D$2004,基础资料!$B$7,周转筐出入库明细!$B$4:$B$2004,"&gt;="&amp;$BC$1,周转筐出入库明细!$B$4:$B$2004,"&lt;="&amp;$BC$2))</f>
        <v/>
      </c>
      <c r="Y59" s="25" t="str">
        <f>IF(OR($B59="",基础资料!$B$8=""),"",SUMIFS(周转筐出入库明细!$K$4:$K$2004,周转筐出入库明细!$C$4:$C$2004,$B59,周转筐出入库明细!$D$4:$D$2004,基础资料!$B$8,周转筐出入库明细!$B$4:$B$2004,"&gt;="&amp;$BC$1,周转筐出入库明细!$B$4:$B$2004,"&lt;="&amp;$BC$2))</f>
        <v/>
      </c>
      <c r="Z59" s="25" t="str">
        <f t="shared" si="4"/>
        <v/>
      </c>
      <c r="AA59" s="67" t="str">
        <f>IF(OR($B59="",基础资料!$B$4=""),"",-SUMIFS(对接源_01水果筐数!$D$5:$D$304,对接源_01水果筐数!$B$5:$B$304,$B59,对接源_01水果筐数!$C$5:$C$304,基础资料!$B$4))</f>
        <v/>
      </c>
      <c r="AB59" s="67" t="str">
        <f>IF(OR($B59="",基础资料!$B$5=""),"",-SUMIFS(对接源_01水果筐数!$D$5:$D$304,对接源_01水果筐数!$B$5:$B$304,$B59,对接源_01水果筐数!$C$5:$C$304,基础资料!$B$5))</f>
        <v/>
      </c>
      <c r="AC59" s="67" t="str">
        <f>IF(OR($B59="",基础资料!$B$6=""),"",-SUMIFS(对接源_01水果筐数!$D$5:$D$304,对接源_01水果筐数!$B$5:$B$304,$B59,对接源_01水果筐数!$C$5:$C$304,基础资料!$B$6))</f>
        <v/>
      </c>
      <c r="AD59" s="67" t="str">
        <f>IF(OR($B59="",基础资料!$B$7=""),"",-SUMIFS(对接源_01水果筐数!$D$5:$D$304,对接源_01水果筐数!$B$5:$B$304,$B59,对接源_01水果筐数!$C$5:$C$304,基础资料!$B$7))</f>
        <v/>
      </c>
      <c r="AE59" s="67" t="str">
        <f>IF(OR($B59="",基础资料!$B$8=""),"",-SUMIFS(对接源_01水果筐数!$D$5:$D$304,对接源_01水果筐数!$B$5:$B$304,$B59,对接源_01水果筐数!$C$5:$C$304,基础资料!$B$8))</f>
        <v/>
      </c>
      <c r="AF59" s="25" t="str">
        <f>IF(OR($B59="",基础资料!$B$4=""),"",SUMIFS(对接源_01水果筐数!$E$5:$E$304,对接源_01水果筐数!$B$5:$B$304,$B59,对接源_01水果筐数!$C$5:$C$304,基础资料!$B$4))</f>
        <v/>
      </c>
      <c r="AG59" s="25" t="str">
        <f>IF(OR($B59="",基础资料!$B$5=""),"",SUMIFS(对接源_01水果筐数!$E$5:$E$304,对接源_01水果筐数!$B$5:$B$304,$B59,对接源_01水果筐数!$C$5:$C$304,基础资料!$B$5))</f>
        <v/>
      </c>
      <c r="AH59" s="25" t="str">
        <f>IF(OR($B59="",基础资料!$B$6=""),"",SUMIFS(对接源_01水果筐数!$E$5:$E$304,对接源_01水果筐数!$B$5:$B$304,$B59,对接源_01水果筐数!$C$5:$C$304,基础资料!$B$6))</f>
        <v/>
      </c>
      <c r="AI59" s="25" t="str">
        <f>IF(OR($B59="",基础资料!$B$7=""),"",SUMIFS(对接源_01水果筐数!$E$5:$E$304,对接源_01水果筐数!$B$5:$B$304,$B59,对接源_01水果筐数!$C$5:$C$304,基础资料!$B$7))</f>
        <v/>
      </c>
      <c r="AJ59" s="25" t="str">
        <f>IF(OR($B59="",基础资料!$B$8=""),"",SUMIFS(对接源_01水果筐数!$E$5:$E$304,对接源_01水果筐数!$B$5:$B$304,$B59,对接源_01水果筐数!$C$5:$C$304,基础资料!$B$8))</f>
        <v/>
      </c>
      <c r="AK59" s="25" t="str">
        <f>IF(OR($B59="",基础资料!$B$4=""),"",SUMIFS(对接源_01水果筐数!$F$5:$F$304,对接源_01水果筐数!$B$5:$B$304,$B59,对接源_01水果筐数!$C$5:$C$304,基础资料!$B$4))</f>
        <v/>
      </c>
      <c r="AL59" s="25" t="str">
        <f>IF(OR($B59="",基础资料!$B$5=""),"",SUMIFS(对接源_01水果筐数!$F$5:$F$304,对接源_01水果筐数!$B$5:$B$304,$B59,对接源_01水果筐数!$C$5:$C$304,基础资料!$B$5))</f>
        <v/>
      </c>
      <c r="AM59" s="25" t="str">
        <f>IF(OR($B59="",基础资料!$B$6=""),"",SUMIFS(对接源_01水果筐数!$F$5:$F$304,对接源_01水果筐数!$B$5:$B$304,$B59,对接源_01水果筐数!$C$5:$C$304,基础资料!$B$6))</f>
        <v/>
      </c>
      <c r="AN59" s="25" t="str">
        <f>IF(OR($B59="",基础资料!$B$7=""),"",SUMIFS(对接源_01水果筐数!$F$5:$F$304,对接源_01水果筐数!$B$5:$B$304,$B59,对接源_01水果筐数!$C$5:$C$304,基础资料!$B$7))</f>
        <v/>
      </c>
      <c r="AO59" s="25" t="str">
        <f>IF(OR($B59="",基础资料!$B$8=""),"",SUMIFS(对接源_01水果筐数!$F$5:$F$304,对接源_01水果筐数!$B$5:$B$304,$B59,对接源_01水果筐数!$C$5:$C$304,基础资料!$B$8))</f>
        <v/>
      </c>
      <c r="AP59" s="25" t="str">
        <f t="shared" si="5"/>
        <v/>
      </c>
      <c r="AQ59" s="25" t="str">
        <f t="shared" si="11"/>
        <v/>
      </c>
      <c r="AR59" s="25" t="str">
        <f t="shared" si="6"/>
        <v/>
      </c>
      <c r="AS59" s="25" t="str">
        <f t="shared" si="7"/>
        <v/>
      </c>
      <c r="AT59" s="25" t="str">
        <f t="shared" si="8"/>
        <v/>
      </c>
      <c r="AU59" s="25" t="str">
        <f t="shared" si="9"/>
        <v/>
      </c>
      <c r="AV59" s="24" t="str">
        <f t="shared" si="10"/>
        <v/>
      </c>
      <c r="AW59" s="72"/>
    </row>
    <row r="60" spans="1:49">
      <c r="A60" s="22" t="str">
        <f t="shared" si="0"/>
        <v/>
      </c>
      <c r="B60" s="24" t="str">
        <f>IFERROR(INDEX(_自动清单!$CC$4:$CC$253,ROW()-3),"")</f>
        <v/>
      </c>
      <c r="C60" s="25" t="str">
        <f>IF(OR($B60="",基础资料!$B$4=""),"",SUMIFS(周转筐出入库明细!$J$4:$J$2004,周转筐出入库明细!$C$4:$C$2004,$B60,周转筐出入库明细!$D$4:$D$2004,基础资料!$B$4,周转筐出入库明细!$B$4:$B$2004,"&gt;="&amp;$BC$1,周转筐出入库明细!$B$4:$B$2004,"&lt;="&amp;$BC$2))</f>
        <v/>
      </c>
      <c r="D60" s="25" t="str">
        <f>IF(OR($B60="",基础资料!$B$5=""),"",SUMIFS(周转筐出入库明细!$J$4:$J$2004,周转筐出入库明细!$C$4:$C$2004,$B60,周转筐出入库明细!$D$4:$D$2004,基础资料!$B$5,周转筐出入库明细!$B$4:$B$2004,"&gt;="&amp;$BC$1,周转筐出入库明细!$B$4:$B$2004,"&lt;="&amp;$BC$2))</f>
        <v/>
      </c>
      <c r="E60" s="25" t="str">
        <f>IF(OR($B60="",基础资料!$B$6=""),"",SUMIFS(周转筐出入库明细!$J$4:$J$2004,周转筐出入库明细!$C$4:$C$2004,$B60,周转筐出入库明细!$D$4:$D$2004,基础资料!$B$6,周转筐出入库明细!$B$4:$B$2004,"&gt;="&amp;$BC$1,周转筐出入库明细!$B$4:$B$2004,"&lt;="&amp;$BC$2))</f>
        <v/>
      </c>
      <c r="F60" s="25" t="str">
        <f>IF(OR($B60="",基础资料!$B$7=""),"",SUMIFS(周转筐出入库明细!$J$4:$J$2004,周转筐出入库明细!$C$4:$C$2004,$B60,周转筐出入库明细!$D$4:$D$2004,基础资料!$B$7,周转筐出入库明细!$B$4:$B$2004,"&gt;="&amp;$BC$1,周转筐出入库明细!$B$4:$B$2004,"&lt;="&amp;$BC$2))</f>
        <v/>
      </c>
      <c r="G60" s="25" t="str">
        <f>IF(OR($B60="",基础资料!$B$8=""),"",SUMIFS(周转筐出入库明细!$J$4:$J$2004,周转筐出入库明细!$C$4:$C$2004,$B60,周转筐出入库明细!$D$4:$D$2004,基础资料!$B$8,周转筐出入库明细!$B$4:$B$2004,"&gt;="&amp;$BC$1,周转筐出入库明细!$B$4:$B$2004,"&lt;="&amp;$BC$2))</f>
        <v/>
      </c>
      <c r="H60" s="25" t="str">
        <f t="shared" si="1"/>
        <v/>
      </c>
      <c r="I60" s="67" t="str">
        <f>IF(OR($B60="",基础资料!$B$4=""),"",-SUMIFS(周转筐出入库明细!$I$4:$I$2004,周转筐出入库明细!$C$4:$C$2004,$B60,周转筐出入库明细!$D$4:$D$2004,基础资料!$B$4,周转筐出入库明细!$B$4:$B$2004,"&gt;="&amp;$BC$1,周转筐出入库明细!$B$4:$B$2004,"&lt;="&amp;$BC$2))</f>
        <v/>
      </c>
      <c r="J60" s="67" t="str">
        <f>IF(OR($B60="",基础资料!$B$5=""),"",-SUMIFS(周转筐出入库明细!$I$4:$I$2004,周转筐出入库明细!$C$4:$C$2004,$B60,周转筐出入库明细!$D$4:$D$2004,基础资料!$B$5,周转筐出入库明细!$B$4:$B$2004,"&gt;="&amp;$BC$1,周转筐出入库明细!$B$4:$B$2004,"&lt;="&amp;$BC$2))</f>
        <v/>
      </c>
      <c r="K60" s="67" t="str">
        <f>IF(OR($B60="",基础资料!$B$6=""),"",-SUMIFS(周转筐出入库明细!$I$4:$I$2004,周转筐出入库明细!$C$4:$C$2004,$B60,周转筐出入库明细!$D$4:$D$2004,基础资料!$B$6,周转筐出入库明细!$B$4:$B$2004,"&gt;="&amp;$BC$1,周转筐出入库明细!$B$4:$B$2004,"&lt;="&amp;$BC$2))</f>
        <v/>
      </c>
      <c r="L60" s="67" t="str">
        <f>IF(OR($B60="",基础资料!$B$7=""),"",-SUMIFS(周转筐出入库明细!$I$4:$I$2004,周转筐出入库明细!$C$4:$C$2004,$B60,周转筐出入库明细!$D$4:$D$2004,基础资料!$B$7,周转筐出入库明细!$B$4:$B$2004,"&gt;="&amp;$BC$1,周转筐出入库明细!$B$4:$B$2004,"&lt;="&amp;$BC$2))</f>
        <v/>
      </c>
      <c r="M60" s="67" t="str">
        <f>IF(OR($B60="",基础资料!$B$8=""),"",-SUMIFS(周转筐出入库明细!$I$4:$I$2004,周转筐出入库明细!$C$4:$C$2004,$B60,周转筐出入库明细!$D$4:$D$2004,基础资料!$B$8,周转筐出入库明细!$B$4:$B$2004,"&gt;="&amp;$BC$1,周转筐出入库明细!$B$4:$B$2004,"&lt;="&amp;$BC$2))</f>
        <v/>
      </c>
      <c r="N60" s="67" t="str">
        <f t="shared" si="2"/>
        <v/>
      </c>
      <c r="O60" s="25" t="str">
        <f>IF(OR($B60="",基础资料!$B$4=""),"",SUMIFS(周转筐出入库明细!$H$4:$H$2004,周转筐出入库明细!$C$4:$C$2004,$B60,周转筐出入库明细!$D$4:$D$2004,基础资料!$B$4,周转筐出入库明细!$F$4:$F$2004,"采购入库",周转筐出入库明细!$B$4:$B$2004,"&gt;="&amp;$BC$1,周转筐出入库明细!$B$4:$B$2004,"&lt;="&amp;$BC$2))</f>
        <v/>
      </c>
      <c r="P60" s="25" t="str">
        <f>IF(OR($B60="",基础资料!$B$5=""),"",SUMIFS(周转筐出入库明细!$H$4:$H$2004,周转筐出入库明细!$C$4:$C$2004,$B60,周转筐出入库明细!$D$4:$D$2004,基础资料!$B$5,周转筐出入库明细!$F$4:$F$2004,"采购入库",周转筐出入库明细!$B$4:$B$2004,"&gt;="&amp;$BC$1,周转筐出入库明细!$B$4:$B$2004,"&lt;="&amp;$BC$2))</f>
        <v/>
      </c>
      <c r="Q60" s="25" t="str">
        <f>IF(OR($B60="",基础资料!$B$6=""),"",SUMIFS(周转筐出入库明细!$H$4:$H$2004,周转筐出入库明细!$C$4:$C$2004,$B60,周转筐出入库明细!$D$4:$D$2004,基础资料!$B$6,周转筐出入库明细!$F$4:$F$2004,"采购入库",周转筐出入库明细!$B$4:$B$2004,"&gt;="&amp;$BC$1,周转筐出入库明细!$B$4:$B$2004,"&lt;="&amp;$BC$2))</f>
        <v/>
      </c>
      <c r="R60" s="25" t="str">
        <f>IF(OR($B60="",基础资料!$B$7=""),"",SUMIFS(周转筐出入库明细!$H$4:$H$2004,周转筐出入库明细!$C$4:$C$2004,$B60,周转筐出入库明细!$D$4:$D$2004,基础资料!$B$7,周转筐出入库明细!$F$4:$F$2004,"采购入库",周转筐出入库明细!$B$4:$B$2004,"&gt;="&amp;$BC$1,周转筐出入库明细!$B$4:$B$2004,"&lt;="&amp;$BC$2))</f>
        <v/>
      </c>
      <c r="S60" s="25" t="str">
        <f>IF(OR($B60="",基础资料!$B$8=""),"",SUMIFS(周转筐出入库明细!$H$4:$H$2004,周转筐出入库明细!$C$4:$C$2004,$B60,周转筐出入库明细!$D$4:$D$2004,基础资料!$B$8,周转筐出入库明细!$F$4:$F$2004,"采购入库",周转筐出入库明细!$B$4:$B$2004,"&gt;="&amp;$BC$1,周转筐出入库明细!$B$4:$B$2004,"&lt;="&amp;$BC$2))</f>
        <v/>
      </c>
      <c r="T60" s="25" t="str">
        <f t="shared" si="3"/>
        <v/>
      </c>
      <c r="U60" s="25" t="str">
        <f>IF(OR($B60="",基础资料!$B$4=""),"",SUMIFS(周转筐出入库明细!$K$4:$K$2004,周转筐出入库明细!$C$4:$C$2004,$B60,周转筐出入库明细!$D$4:$D$2004,基础资料!$B$4,周转筐出入库明细!$B$4:$B$2004,"&gt;="&amp;$BC$1,周转筐出入库明细!$B$4:$B$2004,"&lt;="&amp;$BC$2))</f>
        <v/>
      </c>
      <c r="V60" s="25" t="str">
        <f>IF(OR($B60="",基础资料!$B$5=""),"",SUMIFS(周转筐出入库明细!$K$4:$K$2004,周转筐出入库明细!$C$4:$C$2004,$B60,周转筐出入库明细!$D$4:$D$2004,基础资料!$B$5,周转筐出入库明细!$B$4:$B$2004,"&gt;="&amp;$BC$1,周转筐出入库明细!$B$4:$B$2004,"&lt;="&amp;$BC$2))</f>
        <v/>
      </c>
      <c r="W60" s="25" t="str">
        <f>IF(OR($B60="",基础资料!$B$6=""),"",SUMIFS(周转筐出入库明细!$K$4:$K$2004,周转筐出入库明细!$C$4:$C$2004,$B60,周转筐出入库明细!$D$4:$D$2004,基础资料!$B$6,周转筐出入库明细!$B$4:$B$2004,"&gt;="&amp;$BC$1,周转筐出入库明细!$B$4:$B$2004,"&lt;="&amp;$BC$2))</f>
        <v/>
      </c>
      <c r="X60" s="25" t="str">
        <f>IF(OR($B60="",基础资料!$B$7=""),"",SUMIFS(周转筐出入库明细!$K$4:$K$2004,周转筐出入库明细!$C$4:$C$2004,$B60,周转筐出入库明细!$D$4:$D$2004,基础资料!$B$7,周转筐出入库明细!$B$4:$B$2004,"&gt;="&amp;$BC$1,周转筐出入库明细!$B$4:$B$2004,"&lt;="&amp;$BC$2))</f>
        <v/>
      </c>
      <c r="Y60" s="25" t="str">
        <f>IF(OR($B60="",基础资料!$B$8=""),"",SUMIFS(周转筐出入库明细!$K$4:$K$2004,周转筐出入库明细!$C$4:$C$2004,$B60,周转筐出入库明细!$D$4:$D$2004,基础资料!$B$8,周转筐出入库明细!$B$4:$B$2004,"&gt;="&amp;$BC$1,周转筐出入库明细!$B$4:$B$2004,"&lt;="&amp;$BC$2))</f>
        <v/>
      </c>
      <c r="Z60" s="25" t="str">
        <f t="shared" si="4"/>
        <v/>
      </c>
      <c r="AA60" s="67" t="str">
        <f>IF(OR($B60="",基础资料!$B$4=""),"",-SUMIFS(对接源_01水果筐数!$D$5:$D$304,对接源_01水果筐数!$B$5:$B$304,$B60,对接源_01水果筐数!$C$5:$C$304,基础资料!$B$4))</f>
        <v/>
      </c>
      <c r="AB60" s="67" t="str">
        <f>IF(OR($B60="",基础资料!$B$5=""),"",-SUMIFS(对接源_01水果筐数!$D$5:$D$304,对接源_01水果筐数!$B$5:$B$304,$B60,对接源_01水果筐数!$C$5:$C$304,基础资料!$B$5))</f>
        <v/>
      </c>
      <c r="AC60" s="67" t="str">
        <f>IF(OR($B60="",基础资料!$B$6=""),"",-SUMIFS(对接源_01水果筐数!$D$5:$D$304,对接源_01水果筐数!$B$5:$B$304,$B60,对接源_01水果筐数!$C$5:$C$304,基础资料!$B$6))</f>
        <v/>
      </c>
      <c r="AD60" s="67" t="str">
        <f>IF(OR($B60="",基础资料!$B$7=""),"",-SUMIFS(对接源_01水果筐数!$D$5:$D$304,对接源_01水果筐数!$B$5:$B$304,$B60,对接源_01水果筐数!$C$5:$C$304,基础资料!$B$7))</f>
        <v/>
      </c>
      <c r="AE60" s="67" t="str">
        <f>IF(OR($B60="",基础资料!$B$8=""),"",-SUMIFS(对接源_01水果筐数!$D$5:$D$304,对接源_01水果筐数!$B$5:$B$304,$B60,对接源_01水果筐数!$C$5:$C$304,基础资料!$B$8))</f>
        <v/>
      </c>
      <c r="AF60" s="25" t="str">
        <f>IF(OR($B60="",基础资料!$B$4=""),"",SUMIFS(对接源_01水果筐数!$E$5:$E$304,对接源_01水果筐数!$B$5:$B$304,$B60,对接源_01水果筐数!$C$5:$C$304,基础资料!$B$4))</f>
        <v/>
      </c>
      <c r="AG60" s="25" t="str">
        <f>IF(OR($B60="",基础资料!$B$5=""),"",SUMIFS(对接源_01水果筐数!$E$5:$E$304,对接源_01水果筐数!$B$5:$B$304,$B60,对接源_01水果筐数!$C$5:$C$304,基础资料!$B$5))</f>
        <v/>
      </c>
      <c r="AH60" s="25" t="str">
        <f>IF(OR($B60="",基础资料!$B$6=""),"",SUMIFS(对接源_01水果筐数!$E$5:$E$304,对接源_01水果筐数!$B$5:$B$304,$B60,对接源_01水果筐数!$C$5:$C$304,基础资料!$B$6))</f>
        <v/>
      </c>
      <c r="AI60" s="25" t="str">
        <f>IF(OR($B60="",基础资料!$B$7=""),"",SUMIFS(对接源_01水果筐数!$E$5:$E$304,对接源_01水果筐数!$B$5:$B$304,$B60,对接源_01水果筐数!$C$5:$C$304,基础资料!$B$7))</f>
        <v/>
      </c>
      <c r="AJ60" s="25" t="str">
        <f>IF(OR($B60="",基础资料!$B$8=""),"",SUMIFS(对接源_01水果筐数!$E$5:$E$304,对接源_01水果筐数!$B$5:$B$304,$B60,对接源_01水果筐数!$C$5:$C$304,基础资料!$B$8))</f>
        <v/>
      </c>
      <c r="AK60" s="25" t="str">
        <f>IF(OR($B60="",基础资料!$B$4=""),"",SUMIFS(对接源_01水果筐数!$F$5:$F$304,对接源_01水果筐数!$B$5:$B$304,$B60,对接源_01水果筐数!$C$5:$C$304,基础资料!$B$4))</f>
        <v/>
      </c>
      <c r="AL60" s="25" t="str">
        <f>IF(OR($B60="",基础资料!$B$5=""),"",SUMIFS(对接源_01水果筐数!$F$5:$F$304,对接源_01水果筐数!$B$5:$B$304,$B60,对接源_01水果筐数!$C$5:$C$304,基础资料!$B$5))</f>
        <v/>
      </c>
      <c r="AM60" s="25" t="str">
        <f>IF(OR($B60="",基础资料!$B$6=""),"",SUMIFS(对接源_01水果筐数!$F$5:$F$304,对接源_01水果筐数!$B$5:$B$304,$B60,对接源_01水果筐数!$C$5:$C$304,基础资料!$B$6))</f>
        <v/>
      </c>
      <c r="AN60" s="25" t="str">
        <f>IF(OR($B60="",基础资料!$B$7=""),"",SUMIFS(对接源_01水果筐数!$F$5:$F$304,对接源_01水果筐数!$B$5:$B$304,$B60,对接源_01水果筐数!$C$5:$C$304,基础资料!$B$7))</f>
        <v/>
      </c>
      <c r="AO60" s="25" t="str">
        <f>IF(OR($B60="",基础资料!$B$8=""),"",SUMIFS(对接源_01水果筐数!$F$5:$F$304,对接源_01水果筐数!$B$5:$B$304,$B60,对接源_01水果筐数!$C$5:$C$304,基础资料!$B$8))</f>
        <v/>
      </c>
      <c r="AP60" s="25" t="str">
        <f t="shared" si="5"/>
        <v/>
      </c>
      <c r="AQ60" s="25" t="str">
        <f t="shared" si="11"/>
        <v/>
      </c>
      <c r="AR60" s="25" t="str">
        <f t="shared" si="6"/>
        <v/>
      </c>
      <c r="AS60" s="25" t="str">
        <f t="shared" si="7"/>
        <v/>
      </c>
      <c r="AT60" s="25" t="str">
        <f t="shared" si="8"/>
        <v/>
      </c>
      <c r="AU60" s="25" t="str">
        <f t="shared" si="9"/>
        <v/>
      </c>
      <c r="AV60" s="24" t="str">
        <f t="shared" si="10"/>
        <v/>
      </c>
      <c r="AW60" s="72"/>
    </row>
    <row r="61" spans="1:49">
      <c r="A61" s="22" t="str">
        <f t="shared" si="0"/>
        <v/>
      </c>
      <c r="B61" s="24" t="str">
        <f>IFERROR(INDEX(_自动清单!$CC$4:$CC$253,ROW()-3),"")</f>
        <v/>
      </c>
      <c r="C61" s="25" t="str">
        <f>IF(OR($B61="",基础资料!$B$4=""),"",SUMIFS(周转筐出入库明细!$J$4:$J$2004,周转筐出入库明细!$C$4:$C$2004,$B61,周转筐出入库明细!$D$4:$D$2004,基础资料!$B$4,周转筐出入库明细!$B$4:$B$2004,"&gt;="&amp;$BC$1,周转筐出入库明细!$B$4:$B$2004,"&lt;="&amp;$BC$2))</f>
        <v/>
      </c>
      <c r="D61" s="25" t="str">
        <f>IF(OR($B61="",基础资料!$B$5=""),"",SUMIFS(周转筐出入库明细!$J$4:$J$2004,周转筐出入库明细!$C$4:$C$2004,$B61,周转筐出入库明细!$D$4:$D$2004,基础资料!$B$5,周转筐出入库明细!$B$4:$B$2004,"&gt;="&amp;$BC$1,周转筐出入库明细!$B$4:$B$2004,"&lt;="&amp;$BC$2))</f>
        <v/>
      </c>
      <c r="E61" s="25" t="str">
        <f>IF(OR($B61="",基础资料!$B$6=""),"",SUMIFS(周转筐出入库明细!$J$4:$J$2004,周转筐出入库明细!$C$4:$C$2004,$B61,周转筐出入库明细!$D$4:$D$2004,基础资料!$B$6,周转筐出入库明细!$B$4:$B$2004,"&gt;="&amp;$BC$1,周转筐出入库明细!$B$4:$B$2004,"&lt;="&amp;$BC$2))</f>
        <v/>
      </c>
      <c r="F61" s="25" t="str">
        <f>IF(OR($B61="",基础资料!$B$7=""),"",SUMIFS(周转筐出入库明细!$J$4:$J$2004,周转筐出入库明细!$C$4:$C$2004,$B61,周转筐出入库明细!$D$4:$D$2004,基础资料!$B$7,周转筐出入库明细!$B$4:$B$2004,"&gt;="&amp;$BC$1,周转筐出入库明细!$B$4:$B$2004,"&lt;="&amp;$BC$2))</f>
        <v/>
      </c>
      <c r="G61" s="25" t="str">
        <f>IF(OR($B61="",基础资料!$B$8=""),"",SUMIFS(周转筐出入库明细!$J$4:$J$2004,周转筐出入库明细!$C$4:$C$2004,$B61,周转筐出入库明细!$D$4:$D$2004,基础资料!$B$8,周转筐出入库明细!$B$4:$B$2004,"&gt;="&amp;$BC$1,周转筐出入库明细!$B$4:$B$2004,"&lt;="&amp;$BC$2))</f>
        <v/>
      </c>
      <c r="H61" s="25" t="str">
        <f t="shared" si="1"/>
        <v/>
      </c>
      <c r="I61" s="67" t="str">
        <f>IF(OR($B61="",基础资料!$B$4=""),"",-SUMIFS(周转筐出入库明细!$I$4:$I$2004,周转筐出入库明细!$C$4:$C$2004,$B61,周转筐出入库明细!$D$4:$D$2004,基础资料!$B$4,周转筐出入库明细!$B$4:$B$2004,"&gt;="&amp;$BC$1,周转筐出入库明细!$B$4:$B$2004,"&lt;="&amp;$BC$2))</f>
        <v/>
      </c>
      <c r="J61" s="67" t="str">
        <f>IF(OR($B61="",基础资料!$B$5=""),"",-SUMIFS(周转筐出入库明细!$I$4:$I$2004,周转筐出入库明细!$C$4:$C$2004,$B61,周转筐出入库明细!$D$4:$D$2004,基础资料!$B$5,周转筐出入库明细!$B$4:$B$2004,"&gt;="&amp;$BC$1,周转筐出入库明细!$B$4:$B$2004,"&lt;="&amp;$BC$2))</f>
        <v/>
      </c>
      <c r="K61" s="67" t="str">
        <f>IF(OR($B61="",基础资料!$B$6=""),"",-SUMIFS(周转筐出入库明细!$I$4:$I$2004,周转筐出入库明细!$C$4:$C$2004,$B61,周转筐出入库明细!$D$4:$D$2004,基础资料!$B$6,周转筐出入库明细!$B$4:$B$2004,"&gt;="&amp;$BC$1,周转筐出入库明细!$B$4:$B$2004,"&lt;="&amp;$BC$2))</f>
        <v/>
      </c>
      <c r="L61" s="67" t="str">
        <f>IF(OR($B61="",基础资料!$B$7=""),"",-SUMIFS(周转筐出入库明细!$I$4:$I$2004,周转筐出入库明细!$C$4:$C$2004,$B61,周转筐出入库明细!$D$4:$D$2004,基础资料!$B$7,周转筐出入库明细!$B$4:$B$2004,"&gt;="&amp;$BC$1,周转筐出入库明细!$B$4:$B$2004,"&lt;="&amp;$BC$2))</f>
        <v/>
      </c>
      <c r="M61" s="67" t="str">
        <f>IF(OR($B61="",基础资料!$B$8=""),"",-SUMIFS(周转筐出入库明细!$I$4:$I$2004,周转筐出入库明细!$C$4:$C$2004,$B61,周转筐出入库明细!$D$4:$D$2004,基础资料!$B$8,周转筐出入库明细!$B$4:$B$2004,"&gt;="&amp;$BC$1,周转筐出入库明细!$B$4:$B$2004,"&lt;="&amp;$BC$2))</f>
        <v/>
      </c>
      <c r="N61" s="67" t="str">
        <f t="shared" si="2"/>
        <v/>
      </c>
      <c r="O61" s="25" t="str">
        <f>IF(OR($B61="",基础资料!$B$4=""),"",SUMIFS(周转筐出入库明细!$H$4:$H$2004,周转筐出入库明细!$C$4:$C$2004,$B61,周转筐出入库明细!$D$4:$D$2004,基础资料!$B$4,周转筐出入库明细!$F$4:$F$2004,"采购入库",周转筐出入库明细!$B$4:$B$2004,"&gt;="&amp;$BC$1,周转筐出入库明细!$B$4:$B$2004,"&lt;="&amp;$BC$2))</f>
        <v/>
      </c>
      <c r="P61" s="25" t="str">
        <f>IF(OR($B61="",基础资料!$B$5=""),"",SUMIFS(周转筐出入库明细!$H$4:$H$2004,周转筐出入库明细!$C$4:$C$2004,$B61,周转筐出入库明细!$D$4:$D$2004,基础资料!$B$5,周转筐出入库明细!$F$4:$F$2004,"采购入库",周转筐出入库明细!$B$4:$B$2004,"&gt;="&amp;$BC$1,周转筐出入库明细!$B$4:$B$2004,"&lt;="&amp;$BC$2))</f>
        <v/>
      </c>
      <c r="Q61" s="25" t="str">
        <f>IF(OR($B61="",基础资料!$B$6=""),"",SUMIFS(周转筐出入库明细!$H$4:$H$2004,周转筐出入库明细!$C$4:$C$2004,$B61,周转筐出入库明细!$D$4:$D$2004,基础资料!$B$6,周转筐出入库明细!$F$4:$F$2004,"采购入库",周转筐出入库明细!$B$4:$B$2004,"&gt;="&amp;$BC$1,周转筐出入库明细!$B$4:$B$2004,"&lt;="&amp;$BC$2))</f>
        <v/>
      </c>
      <c r="R61" s="25" t="str">
        <f>IF(OR($B61="",基础资料!$B$7=""),"",SUMIFS(周转筐出入库明细!$H$4:$H$2004,周转筐出入库明细!$C$4:$C$2004,$B61,周转筐出入库明细!$D$4:$D$2004,基础资料!$B$7,周转筐出入库明细!$F$4:$F$2004,"采购入库",周转筐出入库明细!$B$4:$B$2004,"&gt;="&amp;$BC$1,周转筐出入库明细!$B$4:$B$2004,"&lt;="&amp;$BC$2))</f>
        <v/>
      </c>
      <c r="S61" s="25" t="str">
        <f>IF(OR($B61="",基础资料!$B$8=""),"",SUMIFS(周转筐出入库明细!$H$4:$H$2004,周转筐出入库明细!$C$4:$C$2004,$B61,周转筐出入库明细!$D$4:$D$2004,基础资料!$B$8,周转筐出入库明细!$F$4:$F$2004,"采购入库",周转筐出入库明细!$B$4:$B$2004,"&gt;="&amp;$BC$1,周转筐出入库明细!$B$4:$B$2004,"&lt;="&amp;$BC$2))</f>
        <v/>
      </c>
      <c r="T61" s="25" t="str">
        <f t="shared" si="3"/>
        <v/>
      </c>
      <c r="U61" s="25" t="str">
        <f>IF(OR($B61="",基础资料!$B$4=""),"",SUMIFS(周转筐出入库明细!$K$4:$K$2004,周转筐出入库明细!$C$4:$C$2004,$B61,周转筐出入库明细!$D$4:$D$2004,基础资料!$B$4,周转筐出入库明细!$B$4:$B$2004,"&gt;="&amp;$BC$1,周转筐出入库明细!$B$4:$B$2004,"&lt;="&amp;$BC$2))</f>
        <v/>
      </c>
      <c r="V61" s="25" t="str">
        <f>IF(OR($B61="",基础资料!$B$5=""),"",SUMIFS(周转筐出入库明细!$K$4:$K$2004,周转筐出入库明细!$C$4:$C$2004,$B61,周转筐出入库明细!$D$4:$D$2004,基础资料!$B$5,周转筐出入库明细!$B$4:$B$2004,"&gt;="&amp;$BC$1,周转筐出入库明细!$B$4:$B$2004,"&lt;="&amp;$BC$2))</f>
        <v/>
      </c>
      <c r="W61" s="25" t="str">
        <f>IF(OR($B61="",基础资料!$B$6=""),"",SUMIFS(周转筐出入库明细!$K$4:$K$2004,周转筐出入库明细!$C$4:$C$2004,$B61,周转筐出入库明细!$D$4:$D$2004,基础资料!$B$6,周转筐出入库明细!$B$4:$B$2004,"&gt;="&amp;$BC$1,周转筐出入库明细!$B$4:$B$2004,"&lt;="&amp;$BC$2))</f>
        <v/>
      </c>
      <c r="X61" s="25" t="str">
        <f>IF(OR($B61="",基础资料!$B$7=""),"",SUMIFS(周转筐出入库明细!$K$4:$K$2004,周转筐出入库明细!$C$4:$C$2004,$B61,周转筐出入库明细!$D$4:$D$2004,基础资料!$B$7,周转筐出入库明细!$B$4:$B$2004,"&gt;="&amp;$BC$1,周转筐出入库明细!$B$4:$B$2004,"&lt;="&amp;$BC$2))</f>
        <v/>
      </c>
      <c r="Y61" s="25" t="str">
        <f>IF(OR($B61="",基础资料!$B$8=""),"",SUMIFS(周转筐出入库明细!$K$4:$K$2004,周转筐出入库明细!$C$4:$C$2004,$B61,周转筐出入库明细!$D$4:$D$2004,基础资料!$B$8,周转筐出入库明细!$B$4:$B$2004,"&gt;="&amp;$BC$1,周转筐出入库明细!$B$4:$B$2004,"&lt;="&amp;$BC$2))</f>
        <v/>
      </c>
      <c r="Z61" s="25" t="str">
        <f t="shared" si="4"/>
        <v/>
      </c>
      <c r="AA61" s="67" t="str">
        <f>IF(OR($B61="",基础资料!$B$4=""),"",-SUMIFS(对接源_01水果筐数!$D$5:$D$304,对接源_01水果筐数!$B$5:$B$304,$B61,对接源_01水果筐数!$C$5:$C$304,基础资料!$B$4))</f>
        <v/>
      </c>
      <c r="AB61" s="67" t="str">
        <f>IF(OR($B61="",基础资料!$B$5=""),"",-SUMIFS(对接源_01水果筐数!$D$5:$D$304,对接源_01水果筐数!$B$5:$B$304,$B61,对接源_01水果筐数!$C$5:$C$304,基础资料!$B$5))</f>
        <v/>
      </c>
      <c r="AC61" s="67" t="str">
        <f>IF(OR($B61="",基础资料!$B$6=""),"",-SUMIFS(对接源_01水果筐数!$D$5:$D$304,对接源_01水果筐数!$B$5:$B$304,$B61,对接源_01水果筐数!$C$5:$C$304,基础资料!$B$6))</f>
        <v/>
      </c>
      <c r="AD61" s="67" t="str">
        <f>IF(OR($B61="",基础资料!$B$7=""),"",-SUMIFS(对接源_01水果筐数!$D$5:$D$304,对接源_01水果筐数!$B$5:$B$304,$B61,对接源_01水果筐数!$C$5:$C$304,基础资料!$B$7))</f>
        <v/>
      </c>
      <c r="AE61" s="67" t="str">
        <f>IF(OR($B61="",基础资料!$B$8=""),"",-SUMIFS(对接源_01水果筐数!$D$5:$D$304,对接源_01水果筐数!$B$5:$B$304,$B61,对接源_01水果筐数!$C$5:$C$304,基础资料!$B$8))</f>
        <v/>
      </c>
      <c r="AF61" s="25" t="str">
        <f>IF(OR($B61="",基础资料!$B$4=""),"",SUMIFS(对接源_01水果筐数!$E$5:$E$304,对接源_01水果筐数!$B$5:$B$304,$B61,对接源_01水果筐数!$C$5:$C$304,基础资料!$B$4))</f>
        <v/>
      </c>
      <c r="AG61" s="25" t="str">
        <f>IF(OR($B61="",基础资料!$B$5=""),"",SUMIFS(对接源_01水果筐数!$E$5:$E$304,对接源_01水果筐数!$B$5:$B$304,$B61,对接源_01水果筐数!$C$5:$C$304,基础资料!$B$5))</f>
        <v/>
      </c>
      <c r="AH61" s="25" t="str">
        <f>IF(OR($B61="",基础资料!$B$6=""),"",SUMIFS(对接源_01水果筐数!$E$5:$E$304,对接源_01水果筐数!$B$5:$B$304,$B61,对接源_01水果筐数!$C$5:$C$304,基础资料!$B$6))</f>
        <v/>
      </c>
      <c r="AI61" s="25" t="str">
        <f>IF(OR($B61="",基础资料!$B$7=""),"",SUMIFS(对接源_01水果筐数!$E$5:$E$304,对接源_01水果筐数!$B$5:$B$304,$B61,对接源_01水果筐数!$C$5:$C$304,基础资料!$B$7))</f>
        <v/>
      </c>
      <c r="AJ61" s="25" t="str">
        <f>IF(OR($B61="",基础资料!$B$8=""),"",SUMIFS(对接源_01水果筐数!$E$5:$E$304,对接源_01水果筐数!$B$5:$B$304,$B61,对接源_01水果筐数!$C$5:$C$304,基础资料!$B$8))</f>
        <v/>
      </c>
      <c r="AK61" s="25" t="str">
        <f>IF(OR($B61="",基础资料!$B$4=""),"",SUMIFS(对接源_01水果筐数!$F$5:$F$304,对接源_01水果筐数!$B$5:$B$304,$B61,对接源_01水果筐数!$C$5:$C$304,基础资料!$B$4))</f>
        <v/>
      </c>
      <c r="AL61" s="25" t="str">
        <f>IF(OR($B61="",基础资料!$B$5=""),"",SUMIFS(对接源_01水果筐数!$F$5:$F$304,对接源_01水果筐数!$B$5:$B$304,$B61,对接源_01水果筐数!$C$5:$C$304,基础资料!$B$5))</f>
        <v/>
      </c>
      <c r="AM61" s="25" t="str">
        <f>IF(OR($B61="",基础资料!$B$6=""),"",SUMIFS(对接源_01水果筐数!$F$5:$F$304,对接源_01水果筐数!$B$5:$B$304,$B61,对接源_01水果筐数!$C$5:$C$304,基础资料!$B$6))</f>
        <v/>
      </c>
      <c r="AN61" s="25" t="str">
        <f>IF(OR($B61="",基础资料!$B$7=""),"",SUMIFS(对接源_01水果筐数!$F$5:$F$304,对接源_01水果筐数!$B$5:$B$304,$B61,对接源_01水果筐数!$C$5:$C$304,基础资料!$B$7))</f>
        <v/>
      </c>
      <c r="AO61" s="25" t="str">
        <f>IF(OR($B61="",基础资料!$B$8=""),"",SUMIFS(对接源_01水果筐数!$F$5:$F$304,对接源_01水果筐数!$B$5:$B$304,$B61,对接源_01水果筐数!$C$5:$C$304,基础资料!$B$8))</f>
        <v/>
      </c>
      <c r="AP61" s="25" t="str">
        <f t="shared" si="5"/>
        <v/>
      </c>
      <c r="AQ61" s="25" t="str">
        <f t="shared" si="11"/>
        <v/>
      </c>
      <c r="AR61" s="25" t="str">
        <f t="shared" si="6"/>
        <v/>
      </c>
      <c r="AS61" s="25" t="str">
        <f t="shared" si="7"/>
        <v/>
      </c>
      <c r="AT61" s="25" t="str">
        <f t="shared" si="8"/>
        <v/>
      </c>
      <c r="AU61" s="25" t="str">
        <f t="shared" si="9"/>
        <v/>
      </c>
      <c r="AV61" s="24" t="str">
        <f t="shared" si="10"/>
        <v/>
      </c>
      <c r="AW61" s="72"/>
    </row>
    <row r="62" spans="1:49">
      <c r="A62" s="22" t="str">
        <f t="shared" si="0"/>
        <v/>
      </c>
      <c r="B62" s="24" t="str">
        <f>IFERROR(INDEX(_自动清单!$CC$4:$CC$253,ROW()-3),"")</f>
        <v/>
      </c>
      <c r="C62" s="25" t="str">
        <f>IF(OR($B62="",基础资料!$B$4=""),"",SUMIFS(周转筐出入库明细!$J$4:$J$2004,周转筐出入库明细!$C$4:$C$2004,$B62,周转筐出入库明细!$D$4:$D$2004,基础资料!$B$4,周转筐出入库明细!$B$4:$B$2004,"&gt;="&amp;$BC$1,周转筐出入库明细!$B$4:$B$2004,"&lt;="&amp;$BC$2))</f>
        <v/>
      </c>
      <c r="D62" s="25" t="str">
        <f>IF(OR($B62="",基础资料!$B$5=""),"",SUMIFS(周转筐出入库明细!$J$4:$J$2004,周转筐出入库明细!$C$4:$C$2004,$B62,周转筐出入库明细!$D$4:$D$2004,基础资料!$B$5,周转筐出入库明细!$B$4:$B$2004,"&gt;="&amp;$BC$1,周转筐出入库明细!$B$4:$B$2004,"&lt;="&amp;$BC$2))</f>
        <v/>
      </c>
      <c r="E62" s="25" t="str">
        <f>IF(OR($B62="",基础资料!$B$6=""),"",SUMIFS(周转筐出入库明细!$J$4:$J$2004,周转筐出入库明细!$C$4:$C$2004,$B62,周转筐出入库明细!$D$4:$D$2004,基础资料!$B$6,周转筐出入库明细!$B$4:$B$2004,"&gt;="&amp;$BC$1,周转筐出入库明细!$B$4:$B$2004,"&lt;="&amp;$BC$2))</f>
        <v/>
      </c>
      <c r="F62" s="25" t="str">
        <f>IF(OR($B62="",基础资料!$B$7=""),"",SUMIFS(周转筐出入库明细!$J$4:$J$2004,周转筐出入库明细!$C$4:$C$2004,$B62,周转筐出入库明细!$D$4:$D$2004,基础资料!$B$7,周转筐出入库明细!$B$4:$B$2004,"&gt;="&amp;$BC$1,周转筐出入库明细!$B$4:$B$2004,"&lt;="&amp;$BC$2))</f>
        <v/>
      </c>
      <c r="G62" s="25" t="str">
        <f>IF(OR($B62="",基础资料!$B$8=""),"",SUMIFS(周转筐出入库明细!$J$4:$J$2004,周转筐出入库明细!$C$4:$C$2004,$B62,周转筐出入库明细!$D$4:$D$2004,基础资料!$B$8,周转筐出入库明细!$B$4:$B$2004,"&gt;="&amp;$BC$1,周转筐出入库明细!$B$4:$B$2004,"&lt;="&amp;$BC$2))</f>
        <v/>
      </c>
      <c r="H62" s="25" t="str">
        <f t="shared" si="1"/>
        <v/>
      </c>
      <c r="I62" s="67" t="str">
        <f>IF(OR($B62="",基础资料!$B$4=""),"",-SUMIFS(周转筐出入库明细!$I$4:$I$2004,周转筐出入库明细!$C$4:$C$2004,$B62,周转筐出入库明细!$D$4:$D$2004,基础资料!$B$4,周转筐出入库明细!$B$4:$B$2004,"&gt;="&amp;$BC$1,周转筐出入库明细!$B$4:$B$2004,"&lt;="&amp;$BC$2))</f>
        <v/>
      </c>
      <c r="J62" s="67" t="str">
        <f>IF(OR($B62="",基础资料!$B$5=""),"",-SUMIFS(周转筐出入库明细!$I$4:$I$2004,周转筐出入库明细!$C$4:$C$2004,$B62,周转筐出入库明细!$D$4:$D$2004,基础资料!$B$5,周转筐出入库明细!$B$4:$B$2004,"&gt;="&amp;$BC$1,周转筐出入库明细!$B$4:$B$2004,"&lt;="&amp;$BC$2))</f>
        <v/>
      </c>
      <c r="K62" s="67" t="str">
        <f>IF(OR($B62="",基础资料!$B$6=""),"",-SUMIFS(周转筐出入库明细!$I$4:$I$2004,周转筐出入库明细!$C$4:$C$2004,$B62,周转筐出入库明细!$D$4:$D$2004,基础资料!$B$6,周转筐出入库明细!$B$4:$B$2004,"&gt;="&amp;$BC$1,周转筐出入库明细!$B$4:$B$2004,"&lt;="&amp;$BC$2))</f>
        <v/>
      </c>
      <c r="L62" s="67" t="str">
        <f>IF(OR($B62="",基础资料!$B$7=""),"",-SUMIFS(周转筐出入库明细!$I$4:$I$2004,周转筐出入库明细!$C$4:$C$2004,$B62,周转筐出入库明细!$D$4:$D$2004,基础资料!$B$7,周转筐出入库明细!$B$4:$B$2004,"&gt;="&amp;$BC$1,周转筐出入库明细!$B$4:$B$2004,"&lt;="&amp;$BC$2))</f>
        <v/>
      </c>
      <c r="M62" s="67" t="str">
        <f>IF(OR($B62="",基础资料!$B$8=""),"",-SUMIFS(周转筐出入库明细!$I$4:$I$2004,周转筐出入库明细!$C$4:$C$2004,$B62,周转筐出入库明细!$D$4:$D$2004,基础资料!$B$8,周转筐出入库明细!$B$4:$B$2004,"&gt;="&amp;$BC$1,周转筐出入库明细!$B$4:$B$2004,"&lt;="&amp;$BC$2))</f>
        <v/>
      </c>
      <c r="N62" s="67" t="str">
        <f t="shared" si="2"/>
        <v/>
      </c>
      <c r="O62" s="25" t="str">
        <f>IF(OR($B62="",基础资料!$B$4=""),"",SUMIFS(周转筐出入库明细!$H$4:$H$2004,周转筐出入库明细!$C$4:$C$2004,$B62,周转筐出入库明细!$D$4:$D$2004,基础资料!$B$4,周转筐出入库明细!$F$4:$F$2004,"采购入库",周转筐出入库明细!$B$4:$B$2004,"&gt;="&amp;$BC$1,周转筐出入库明细!$B$4:$B$2004,"&lt;="&amp;$BC$2))</f>
        <v/>
      </c>
      <c r="P62" s="25" t="str">
        <f>IF(OR($B62="",基础资料!$B$5=""),"",SUMIFS(周转筐出入库明细!$H$4:$H$2004,周转筐出入库明细!$C$4:$C$2004,$B62,周转筐出入库明细!$D$4:$D$2004,基础资料!$B$5,周转筐出入库明细!$F$4:$F$2004,"采购入库",周转筐出入库明细!$B$4:$B$2004,"&gt;="&amp;$BC$1,周转筐出入库明细!$B$4:$B$2004,"&lt;="&amp;$BC$2))</f>
        <v/>
      </c>
      <c r="Q62" s="25" t="str">
        <f>IF(OR($B62="",基础资料!$B$6=""),"",SUMIFS(周转筐出入库明细!$H$4:$H$2004,周转筐出入库明细!$C$4:$C$2004,$B62,周转筐出入库明细!$D$4:$D$2004,基础资料!$B$6,周转筐出入库明细!$F$4:$F$2004,"采购入库",周转筐出入库明细!$B$4:$B$2004,"&gt;="&amp;$BC$1,周转筐出入库明细!$B$4:$B$2004,"&lt;="&amp;$BC$2))</f>
        <v/>
      </c>
      <c r="R62" s="25" t="str">
        <f>IF(OR($B62="",基础资料!$B$7=""),"",SUMIFS(周转筐出入库明细!$H$4:$H$2004,周转筐出入库明细!$C$4:$C$2004,$B62,周转筐出入库明细!$D$4:$D$2004,基础资料!$B$7,周转筐出入库明细!$F$4:$F$2004,"采购入库",周转筐出入库明细!$B$4:$B$2004,"&gt;="&amp;$BC$1,周转筐出入库明细!$B$4:$B$2004,"&lt;="&amp;$BC$2))</f>
        <v/>
      </c>
      <c r="S62" s="25" t="str">
        <f>IF(OR($B62="",基础资料!$B$8=""),"",SUMIFS(周转筐出入库明细!$H$4:$H$2004,周转筐出入库明细!$C$4:$C$2004,$B62,周转筐出入库明细!$D$4:$D$2004,基础资料!$B$8,周转筐出入库明细!$F$4:$F$2004,"采购入库",周转筐出入库明细!$B$4:$B$2004,"&gt;="&amp;$BC$1,周转筐出入库明细!$B$4:$B$2004,"&lt;="&amp;$BC$2))</f>
        <v/>
      </c>
      <c r="T62" s="25" t="str">
        <f t="shared" si="3"/>
        <v/>
      </c>
      <c r="U62" s="25" t="str">
        <f>IF(OR($B62="",基础资料!$B$4=""),"",SUMIFS(周转筐出入库明细!$K$4:$K$2004,周转筐出入库明细!$C$4:$C$2004,$B62,周转筐出入库明细!$D$4:$D$2004,基础资料!$B$4,周转筐出入库明细!$B$4:$B$2004,"&gt;="&amp;$BC$1,周转筐出入库明细!$B$4:$B$2004,"&lt;="&amp;$BC$2))</f>
        <v/>
      </c>
      <c r="V62" s="25" t="str">
        <f>IF(OR($B62="",基础资料!$B$5=""),"",SUMIFS(周转筐出入库明细!$K$4:$K$2004,周转筐出入库明细!$C$4:$C$2004,$B62,周转筐出入库明细!$D$4:$D$2004,基础资料!$B$5,周转筐出入库明细!$B$4:$B$2004,"&gt;="&amp;$BC$1,周转筐出入库明细!$B$4:$B$2004,"&lt;="&amp;$BC$2))</f>
        <v/>
      </c>
      <c r="W62" s="25" t="str">
        <f>IF(OR($B62="",基础资料!$B$6=""),"",SUMIFS(周转筐出入库明细!$K$4:$K$2004,周转筐出入库明细!$C$4:$C$2004,$B62,周转筐出入库明细!$D$4:$D$2004,基础资料!$B$6,周转筐出入库明细!$B$4:$B$2004,"&gt;="&amp;$BC$1,周转筐出入库明细!$B$4:$B$2004,"&lt;="&amp;$BC$2))</f>
        <v/>
      </c>
      <c r="X62" s="25" t="str">
        <f>IF(OR($B62="",基础资料!$B$7=""),"",SUMIFS(周转筐出入库明细!$K$4:$K$2004,周转筐出入库明细!$C$4:$C$2004,$B62,周转筐出入库明细!$D$4:$D$2004,基础资料!$B$7,周转筐出入库明细!$B$4:$B$2004,"&gt;="&amp;$BC$1,周转筐出入库明细!$B$4:$B$2004,"&lt;="&amp;$BC$2))</f>
        <v/>
      </c>
      <c r="Y62" s="25" t="str">
        <f>IF(OR($B62="",基础资料!$B$8=""),"",SUMIFS(周转筐出入库明细!$K$4:$K$2004,周转筐出入库明细!$C$4:$C$2004,$B62,周转筐出入库明细!$D$4:$D$2004,基础资料!$B$8,周转筐出入库明细!$B$4:$B$2004,"&gt;="&amp;$BC$1,周转筐出入库明细!$B$4:$B$2004,"&lt;="&amp;$BC$2))</f>
        <v/>
      </c>
      <c r="Z62" s="25" t="str">
        <f t="shared" si="4"/>
        <v/>
      </c>
      <c r="AA62" s="67" t="str">
        <f>IF(OR($B62="",基础资料!$B$4=""),"",-SUMIFS(对接源_01水果筐数!$D$5:$D$304,对接源_01水果筐数!$B$5:$B$304,$B62,对接源_01水果筐数!$C$5:$C$304,基础资料!$B$4))</f>
        <v/>
      </c>
      <c r="AB62" s="67" t="str">
        <f>IF(OR($B62="",基础资料!$B$5=""),"",-SUMIFS(对接源_01水果筐数!$D$5:$D$304,对接源_01水果筐数!$B$5:$B$304,$B62,对接源_01水果筐数!$C$5:$C$304,基础资料!$B$5))</f>
        <v/>
      </c>
      <c r="AC62" s="67" t="str">
        <f>IF(OR($B62="",基础资料!$B$6=""),"",-SUMIFS(对接源_01水果筐数!$D$5:$D$304,对接源_01水果筐数!$B$5:$B$304,$B62,对接源_01水果筐数!$C$5:$C$304,基础资料!$B$6))</f>
        <v/>
      </c>
      <c r="AD62" s="67" t="str">
        <f>IF(OR($B62="",基础资料!$B$7=""),"",-SUMIFS(对接源_01水果筐数!$D$5:$D$304,对接源_01水果筐数!$B$5:$B$304,$B62,对接源_01水果筐数!$C$5:$C$304,基础资料!$B$7))</f>
        <v/>
      </c>
      <c r="AE62" s="67" t="str">
        <f>IF(OR($B62="",基础资料!$B$8=""),"",-SUMIFS(对接源_01水果筐数!$D$5:$D$304,对接源_01水果筐数!$B$5:$B$304,$B62,对接源_01水果筐数!$C$5:$C$304,基础资料!$B$8))</f>
        <v/>
      </c>
      <c r="AF62" s="25" t="str">
        <f>IF(OR($B62="",基础资料!$B$4=""),"",SUMIFS(对接源_01水果筐数!$E$5:$E$304,对接源_01水果筐数!$B$5:$B$304,$B62,对接源_01水果筐数!$C$5:$C$304,基础资料!$B$4))</f>
        <v/>
      </c>
      <c r="AG62" s="25" t="str">
        <f>IF(OR($B62="",基础资料!$B$5=""),"",SUMIFS(对接源_01水果筐数!$E$5:$E$304,对接源_01水果筐数!$B$5:$B$304,$B62,对接源_01水果筐数!$C$5:$C$304,基础资料!$B$5))</f>
        <v/>
      </c>
      <c r="AH62" s="25" t="str">
        <f>IF(OR($B62="",基础资料!$B$6=""),"",SUMIFS(对接源_01水果筐数!$E$5:$E$304,对接源_01水果筐数!$B$5:$B$304,$B62,对接源_01水果筐数!$C$5:$C$304,基础资料!$B$6))</f>
        <v/>
      </c>
      <c r="AI62" s="25" t="str">
        <f>IF(OR($B62="",基础资料!$B$7=""),"",SUMIFS(对接源_01水果筐数!$E$5:$E$304,对接源_01水果筐数!$B$5:$B$304,$B62,对接源_01水果筐数!$C$5:$C$304,基础资料!$B$7))</f>
        <v/>
      </c>
      <c r="AJ62" s="25" t="str">
        <f>IF(OR($B62="",基础资料!$B$8=""),"",SUMIFS(对接源_01水果筐数!$E$5:$E$304,对接源_01水果筐数!$B$5:$B$304,$B62,对接源_01水果筐数!$C$5:$C$304,基础资料!$B$8))</f>
        <v/>
      </c>
      <c r="AK62" s="25" t="str">
        <f>IF(OR($B62="",基础资料!$B$4=""),"",SUMIFS(对接源_01水果筐数!$F$5:$F$304,对接源_01水果筐数!$B$5:$B$304,$B62,对接源_01水果筐数!$C$5:$C$304,基础资料!$B$4))</f>
        <v/>
      </c>
      <c r="AL62" s="25" t="str">
        <f>IF(OR($B62="",基础资料!$B$5=""),"",SUMIFS(对接源_01水果筐数!$F$5:$F$304,对接源_01水果筐数!$B$5:$B$304,$B62,对接源_01水果筐数!$C$5:$C$304,基础资料!$B$5))</f>
        <v/>
      </c>
      <c r="AM62" s="25" t="str">
        <f>IF(OR($B62="",基础资料!$B$6=""),"",SUMIFS(对接源_01水果筐数!$F$5:$F$304,对接源_01水果筐数!$B$5:$B$304,$B62,对接源_01水果筐数!$C$5:$C$304,基础资料!$B$6))</f>
        <v/>
      </c>
      <c r="AN62" s="25" t="str">
        <f>IF(OR($B62="",基础资料!$B$7=""),"",SUMIFS(对接源_01水果筐数!$F$5:$F$304,对接源_01水果筐数!$B$5:$B$304,$B62,对接源_01水果筐数!$C$5:$C$304,基础资料!$B$7))</f>
        <v/>
      </c>
      <c r="AO62" s="25" t="str">
        <f>IF(OR($B62="",基础资料!$B$8=""),"",SUMIFS(对接源_01水果筐数!$F$5:$F$304,对接源_01水果筐数!$B$5:$B$304,$B62,对接源_01水果筐数!$C$5:$C$304,基础资料!$B$8))</f>
        <v/>
      </c>
      <c r="AP62" s="25" t="str">
        <f t="shared" si="5"/>
        <v/>
      </c>
      <c r="AQ62" s="25" t="str">
        <f t="shared" si="11"/>
        <v/>
      </c>
      <c r="AR62" s="25" t="str">
        <f t="shared" si="6"/>
        <v/>
      </c>
      <c r="AS62" s="25" t="str">
        <f t="shared" si="7"/>
        <v/>
      </c>
      <c r="AT62" s="25" t="str">
        <f t="shared" si="8"/>
        <v/>
      </c>
      <c r="AU62" s="25" t="str">
        <f t="shared" si="9"/>
        <v/>
      </c>
      <c r="AV62" s="24" t="str">
        <f t="shared" si="10"/>
        <v/>
      </c>
      <c r="AW62" s="72"/>
    </row>
    <row r="63" spans="1:49">
      <c r="A63" s="22" t="str">
        <f t="shared" si="0"/>
        <v/>
      </c>
      <c r="B63" s="24" t="str">
        <f>IFERROR(INDEX(_自动清单!$CC$4:$CC$253,ROW()-3),"")</f>
        <v/>
      </c>
      <c r="C63" s="25" t="str">
        <f>IF(OR($B63="",基础资料!$B$4=""),"",SUMIFS(周转筐出入库明细!$J$4:$J$2004,周转筐出入库明细!$C$4:$C$2004,$B63,周转筐出入库明细!$D$4:$D$2004,基础资料!$B$4,周转筐出入库明细!$B$4:$B$2004,"&gt;="&amp;$BC$1,周转筐出入库明细!$B$4:$B$2004,"&lt;="&amp;$BC$2))</f>
        <v/>
      </c>
      <c r="D63" s="25" t="str">
        <f>IF(OR($B63="",基础资料!$B$5=""),"",SUMIFS(周转筐出入库明细!$J$4:$J$2004,周转筐出入库明细!$C$4:$C$2004,$B63,周转筐出入库明细!$D$4:$D$2004,基础资料!$B$5,周转筐出入库明细!$B$4:$B$2004,"&gt;="&amp;$BC$1,周转筐出入库明细!$B$4:$B$2004,"&lt;="&amp;$BC$2))</f>
        <v/>
      </c>
      <c r="E63" s="25" t="str">
        <f>IF(OR($B63="",基础资料!$B$6=""),"",SUMIFS(周转筐出入库明细!$J$4:$J$2004,周转筐出入库明细!$C$4:$C$2004,$B63,周转筐出入库明细!$D$4:$D$2004,基础资料!$B$6,周转筐出入库明细!$B$4:$B$2004,"&gt;="&amp;$BC$1,周转筐出入库明细!$B$4:$B$2004,"&lt;="&amp;$BC$2))</f>
        <v/>
      </c>
      <c r="F63" s="25" t="str">
        <f>IF(OR($B63="",基础资料!$B$7=""),"",SUMIFS(周转筐出入库明细!$J$4:$J$2004,周转筐出入库明细!$C$4:$C$2004,$B63,周转筐出入库明细!$D$4:$D$2004,基础资料!$B$7,周转筐出入库明细!$B$4:$B$2004,"&gt;="&amp;$BC$1,周转筐出入库明细!$B$4:$B$2004,"&lt;="&amp;$BC$2))</f>
        <v/>
      </c>
      <c r="G63" s="25" t="str">
        <f>IF(OR($B63="",基础资料!$B$8=""),"",SUMIFS(周转筐出入库明细!$J$4:$J$2004,周转筐出入库明细!$C$4:$C$2004,$B63,周转筐出入库明细!$D$4:$D$2004,基础资料!$B$8,周转筐出入库明细!$B$4:$B$2004,"&gt;="&amp;$BC$1,周转筐出入库明细!$B$4:$B$2004,"&lt;="&amp;$BC$2))</f>
        <v/>
      </c>
      <c r="H63" s="25" t="str">
        <f t="shared" si="1"/>
        <v/>
      </c>
      <c r="I63" s="67" t="str">
        <f>IF(OR($B63="",基础资料!$B$4=""),"",-SUMIFS(周转筐出入库明细!$I$4:$I$2004,周转筐出入库明细!$C$4:$C$2004,$B63,周转筐出入库明细!$D$4:$D$2004,基础资料!$B$4,周转筐出入库明细!$B$4:$B$2004,"&gt;="&amp;$BC$1,周转筐出入库明细!$B$4:$B$2004,"&lt;="&amp;$BC$2))</f>
        <v/>
      </c>
      <c r="J63" s="67" t="str">
        <f>IF(OR($B63="",基础资料!$B$5=""),"",-SUMIFS(周转筐出入库明细!$I$4:$I$2004,周转筐出入库明细!$C$4:$C$2004,$B63,周转筐出入库明细!$D$4:$D$2004,基础资料!$B$5,周转筐出入库明细!$B$4:$B$2004,"&gt;="&amp;$BC$1,周转筐出入库明细!$B$4:$B$2004,"&lt;="&amp;$BC$2))</f>
        <v/>
      </c>
      <c r="K63" s="67" t="str">
        <f>IF(OR($B63="",基础资料!$B$6=""),"",-SUMIFS(周转筐出入库明细!$I$4:$I$2004,周转筐出入库明细!$C$4:$C$2004,$B63,周转筐出入库明细!$D$4:$D$2004,基础资料!$B$6,周转筐出入库明细!$B$4:$B$2004,"&gt;="&amp;$BC$1,周转筐出入库明细!$B$4:$B$2004,"&lt;="&amp;$BC$2))</f>
        <v/>
      </c>
      <c r="L63" s="67" t="str">
        <f>IF(OR($B63="",基础资料!$B$7=""),"",-SUMIFS(周转筐出入库明细!$I$4:$I$2004,周转筐出入库明细!$C$4:$C$2004,$B63,周转筐出入库明细!$D$4:$D$2004,基础资料!$B$7,周转筐出入库明细!$B$4:$B$2004,"&gt;="&amp;$BC$1,周转筐出入库明细!$B$4:$B$2004,"&lt;="&amp;$BC$2))</f>
        <v/>
      </c>
      <c r="M63" s="67" t="str">
        <f>IF(OR($B63="",基础资料!$B$8=""),"",-SUMIFS(周转筐出入库明细!$I$4:$I$2004,周转筐出入库明细!$C$4:$C$2004,$B63,周转筐出入库明细!$D$4:$D$2004,基础资料!$B$8,周转筐出入库明细!$B$4:$B$2004,"&gt;="&amp;$BC$1,周转筐出入库明细!$B$4:$B$2004,"&lt;="&amp;$BC$2))</f>
        <v/>
      </c>
      <c r="N63" s="67" t="str">
        <f t="shared" si="2"/>
        <v/>
      </c>
      <c r="O63" s="25" t="str">
        <f>IF(OR($B63="",基础资料!$B$4=""),"",SUMIFS(周转筐出入库明细!$H$4:$H$2004,周转筐出入库明细!$C$4:$C$2004,$B63,周转筐出入库明细!$D$4:$D$2004,基础资料!$B$4,周转筐出入库明细!$F$4:$F$2004,"采购入库",周转筐出入库明细!$B$4:$B$2004,"&gt;="&amp;$BC$1,周转筐出入库明细!$B$4:$B$2004,"&lt;="&amp;$BC$2))</f>
        <v/>
      </c>
      <c r="P63" s="25" t="str">
        <f>IF(OR($B63="",基础资料!$B$5=""),"",SUMIFS(周转筐出入库明细!$H$4:$H$2004,周转筐出入库明细!$C$4:$C$2004,$B63,周转筐出入库明细!$D$4:$D$2004,基础资料!$B$5,周转筐出入库明细!$F$4:$F$2004,"采购入库",周转筐出入库明细!$B$4:$B$2004,"&gt;="&amp;$BC$1,周转筐出入库明细!$B$4:$B$2004,"&lt;="&amp;$BC$2))</f>
        <v/>
      </c>
      <c r="Q63" s="25" t="str">
        <f>IF(OR($B63="",基础资料!$B$6=""),"",SUMIFS(周转筐出入库明细!$H$4:$H$2004,周转筐出入库明细!$C$4:$C$2004,$B63,周转筐出入库明细!$D$4:$D$2004,基础资料!$B$6,周转筐出入库明细!$F$4:$F$2004,"采购入库",周转筐出入库明细!$B$4:$B$2004,"&gt;="&amp;$BC$1,周转筐出入库明细!$B$4:$B$2004,"&lt;="&amp;$BC$2))</f>
        <v/>
      </c>
      <c r="R63" s="25" t="str">
        <f>IF(OR($B63="",基础资料!$B$7=""),"",SUMIFS(周转筐出入库明细!$H$4:$H$2004,周转筐出入库明细!$C$4:$C$2004,$B63,周转筐出入库明细!$D$4:$D$2004,基础资料!$B$7,周转筐出入库明细!$F$4:$F$2004,"采购入库",周转筐出入库明细!$B$4:$B$2004,"&gt;="&amp;$BC$1,周转筐出入库明细!$B$4:$B$2004,"&lt;="&amp;$BC$2))</f>
        <v/>
      </c>
      <c r="S63" s="25" t="str">
        <f>IF(OR($B63="",基础资料!$B$8=""),"",SUMIFS(周转筐出入库明细!$H$4:$H$2004,周转筐出入库明细!$C$4:$C$2004,$B63,周转筐出入库明细!$D$4:$D$2004,基础资料!$B$8,周转筐出入库明细!$F$4:$F$2004,"采购入库",周转筐出入库明细!$B$4:$B$2004,"&gt;="&amp;$BC$1,周转筐出入库明细!$B$4:$B$2004,"&lt;="&amp;$BC$2))</f>
        <v/>
      </c>
      <c r="T63" s="25" t="str">
        <f t="shared" si="3"/>
        <v/>
      </c>
      <c r="U63" s="25" t="str">
        <f>IF(OR($B63="",基础资料!$B$4=""),"",SUMIFS(周转筐出入库明细!$K$4:$K$2004,周转筐出入库明细!$C$4:$C$2004,$B63,周转筐出入库明细!$D$4:$D$2004,基础资料!$B$4,周转筐出入库明细!$B$4:$B$2004,"&gt;="&amp;$BC$1,周转筐出入库明细!$B$4:$B$2004,"&lt;="&amp;$BC$2))</f>
        <v/>
      </c>
      <c r="V63" s="25" t="str">
        <f>IF(OR($B63="",基础资料!$B$5=""),"",SUMIFS(周转筐出入库明细!$K$4:$K$2004,周转筐出入库明细!$C$4:$C$2004,$B63,周转筐出入库明细!$D$4:$D$2004,基础资料!$B$5,周转筐出入库明细!$B$4:$B$2004,"&gt;="&amp;$BC$1,周转筐出入库明细!$B$4:$B$2004,"&lt;="&amp;$BC$2))</f>
        <v/>
      </c>
      <c r="W63" s="25" t="str">
        <f>IF(OR($B63="",基础资料!$B$6=""),"",SUMIFS(周转筐出入库明细!$K$4:$K$2004,周转筐出入库明细!$C$4:$C$2004,$B63,周转筐出入库明细!$D$4:$D$2004,基础资料!$B$6,周转筐出入库明细!$B$4:$B$2004,"&gt;="&amp;$BC$1,周转筐出入库明细!$B$4:$B$2004,"&lt;="&amp;$BC$2))</f>
        <v/>
      </c>
      <c r="X63" s="25" t="str">
        <f>IF(OR($B63="",基础资料!$B$7=""),"",SUMIFS(周转筐出入库明细!$K$4:$K$2004,周转筐出入库明细!$C$4:$C$2004,$B63,周转筐出入库明细!$D$4:$D$2004,基础资料!$B$7,周转筐出入库明细!$B$4:$B$2004,"&gt;="&amp;$BC$1,周转筐出入库明细!$B$4:$B$2004,"&lt;="&amp;$BC$2))</f>
        <v/>
      </c>
      <c r="Y63" s="25" t="str">
        <f>IF(OR($B63="",基础资料!$B$8=""),"",SUMIFS(周转筐出入库明细!$K$4:$K$2004,周转筐出入库明细!$C$4:$C$2004,$B63,周转筐出入库明细!$D$4:$D$2004,基础资料!$B$8,周转筐出入库明细!$B$4:$B$2004,"&gt;="&amp;$BC$1,周转筐出入库明细!$B$4:$B$2004,"&lt;="&amp;$BC$2))</f>
        <v/>
      </c>
      <c r="Z63" s="25" t="str">
        <f t="shared" si="4"/>
        <v/>
      </c>
      <c r="AA63" s="67" t="str">
        <f>IF(OR($B63="",基础资料!$B$4=""),"",-SUMIFS(对接源_01水果筐数!$D$5:$D$304,对接源_01水果筐数!$B$5:$B$304,$B63,对接源_01水果筐数!$C$5:$C$304,基础资料!$B$4))</f>
        <v/>
      </c>
      <c r="AB63" s="67" t="str">
        <f>IF(OR($B63="",基础资料!$B$5=""),"",-SUMIFS(对接源_01水果筐数!$D$5:$D$304,对接源_01水果筐数!$B$5:$B$304,$B63,对接源_01水果筐数!$C$5:$C$304,基础资料!$B$5))</f>
        <v/>
      </c>
      <c r="AC63" s="67" t="str">
        <f>IF(OR($B63="",基础资料!$B$6=""),"",-SUMIFS(对接源_01水果筐数!$D$5:$D$304,对接源_01水果筐数!$B$5:$B$304,$B63,对接源_01水果筐数!$C$5:$C$304,基础资料!$B$6))</f>
        <v/>
      </c>
      <c r="AD63" s="67" t="str">
        <f>IF(OR($B63="",基础资料!$B$7=""),"",-SUMIFS(对接源_01水果筐数!$D$5:$D$304,对接源_01水果筐数!$B$5:$B$304,$B63,对接源_01水果筐数!$C$5:$C$304,基础资料!$B$7))</f>
        <v/>
      </c>
      <c r="AE63" s="67" t="str">
        <f>IF(OR($B63="",基础资料!$B$8=""),"",-SUMIFS(对接源_01水果筐数!$D$5:$D$304,对接源_01水果筐数!$B$5:$B$304,$B63,对接源_01水果筐数!$C$5:$C$304,基础资料!$B$8))</f>
        <v/>
      </c>
      <c r="AF63" s="25" t="str">
        <f>IF(OR($B63="",基础资料!$B$4=""),"",SUMIFS(对接源_01水果筐数!$E$5:$E$304,对接源_01水果筐数!$B$5:$B$304,$B63,对接源_01水果筐数!$C$5:$C$304,基础资料!$B$4))</f>
        <v/>
      </c>
      <c r="AG63" s="25" t="str">
        <f>IF(OR($B63="",基础资料!$B$5=""),"",SUMIFS(对接源_01水果筐数!$E$5:$E$304,对接源_01水果筐数!$B$5:$B$304,$B63,对接源_01水果筐数!$C$5:$C$304,基础资料!$B$5))</f>
        <v/>
      </c>
      <c r="AH63" s="25" t="str">
        <f>IF(OR($B63="",基础资料!$B$6=""),"",SUMIFS(对接源_01水果筐数!$E$5:$E$304,对接源_01水果筐数!$B$5:$B$304,$B63,对接源_01水果筐数!$C$5:$C$304,基础资料!$B$6))</f>
        <v/>
      </c>
      <c r="AI63" s="25" t="str">
        <f>IF(OR($B63="",基础资料!$B$7=""),"",SUMIFS(对接源_01水果筐数!$E$5:$E$304,对接源_01水果筐数!$B$5:$B$304,$B63,对接源_01水果筐数!$C$5:$C$304,基础资料!$B$7))</f>
        <v/>
      </c>
      <c r="AJ63" s="25" t="str">
        <f>IF(OR($B63="",基础资料!$B$8=""),"",SUMIFS(对接源_01水果筐数!$E$5:$E$304,对接源_01水果筐数!$B$5:$B$304,$B63,对接源_01水果筐数!$C$5:$C$304,基础资料!$B$8))</f>
        <v/>
      </c>
      <c r="AK63" s="25" t="str">
        <f>IF(OR($B63="",基础资料!$B$4=""),"",SUMIFS(对接源_01水果筐数!$F$5:$F$304,对接源_01水果筐数!$B$5:$B$304,$B63,对接源_01水果筐数!$C$5:$C$304,基础资料!$B$4))</f>
        <v/>
      </c>
      <c r="AL63" s="25" t="str">
        <f>IF(OR($B63="",基础资料!$B$5=""),"",SUMIFS(对接源_01水果筐数!$F$5:$F$304,对接源_01水果筐数!$B$5:$B$304,$B63,对接源_01水果筐数!$C$5:$C$304,基础资料!$B$5))</f>
        <v/>
      </c>
      <c r="AM63" s="25" t="str">
        <f>IF(OR($B63="",基础资料!$B$6=""),"",SUMIFS(对接源_01水果筐数!$F$5:$F$304,对接源_01水果筐数!$B$5:$B$304,$B63,对接源_01水果筐数!$C$5:$C$304,基础资料!$B$6))</f>
        <v/>
      </c>
      <c r="AN63" s="25" t="str">
        <f>IF(OR($B63="",基础资料!$B$7=""),"",SUMIFS(对接源_01水果筐数!$F$5:$F$304,对接源_01水果筐数!$B$5:$B$304,$B63,对接源_01水果筐数!$C$5:$C$304,基础资料!$B$7))</f>
        <v/>
      </c>
      <c r="AO63" s="25" t="str">
        <f>IF(OR($B63="",基础资料!$B$8=""),"",SUMIFS(对接源_01水果筐数!$F$5:$F$304,对接源_01水果筐数!$B$5:$B$304,$B63,对接源_01水果筐数!$C$5:$C$304,基础资料!$B$8))</f>
        <v/>
      </c>
      <c r="AP63" s="25" t="str">
        <f t="shared" si="5"/>
        <v/>
      </c>
      <c r="AQ63" s="25" t="str">
        <f t="shared" si="11"/>
        <v/>
      </c>
      <c r="AR63" s="25" t="str">
        <f t="shared" si="6"/>
        <v/>
      </c>
      <c r="AS63" s="25" t="str">
        <f t="shared" si="7"/>
        <v/>
      </c>
      <c r="AT63" s="25" t="str">
        <f t="shared" si="8"/>
        <v/>
      </c>
      <c r="AU63" s="25" t="str">
        <f t="shared" si="9"/>
        <v/>
      </c>
      <c r="AV63" s="24" t="str">
        <f t="shared" si="10"/>
        <v/>
      </c>
      <c r="AW63" s="72"/>
    </row>
    <row r="64" spans="1:49">
      <c r="A64" s="22" t="str">
        <f t="shared" si="0"/>
        <v/>
      </c>
      <c r="B64" s="24" t="str">
        <f>IFERROR(INDEX(_自动清单!$CC$4:$CC$253,ROW()-3),"")</f>
        <v/>
      </c>
      <c r="C64" s="25" t="str">
        <f>IF(OR($B64="",基础资料!$B$4=""),"",SUMIFS(周转筐出入库明细!$J$4:$J$2004,周转筐出入库明细!$C$4:$C$2004,$B64,周转筐出入库明细!$D$4:$D$2004,基础资料!$B$4,周转筐出入库明细!$B$4:$B$2004,"&gt;="&amp;$BC$1,周转筐出入库明细!$B$4:$B$2004,"&lt;="&amp;$BC$2))</f>
        <v/>
      </c>
      <c r="D64" s="25" t="str">
        <f>IF(OR($B64="",基础资料!$B$5=""),"",SUMIFS(周转筐出入库明细!$J$4:$J$2004,周转筐出入库明细!$C$4:$C$2004,$B64,周转筐出入库明细!$D$4:$D$2004,基础资料!$B$5,周转筐出入库明细!$B$4:$B$2004,"&gt;="&amp;$BC$1,周转筐出入库明细!$B$4:$B$2004,"&lt;="&amp;$BC$2))</f>
        <v/>
      </c>
      <c r="E64" s="25" t="str">
        <f>IF(OR($B64="",基础资料!$B$6=""),"",SUMIFS(周转筐出入库明细!$J$4:$J$2004,周转筐出入库明细!$C$4:$C$2004,$B64,周转筐出入库明细!$D$4:$D$2004,基础资料!$B$6,周转筐出入库明细!$B$4:$B$2004,"&gt;="&amp;$BC$1,周转筐出入库明细!$B$4:$B$2004,"&lt;="&amp;$BC$2))</f>
        <v/>
      </c>
      <c r="F64" s="25" t="str">
        <f>IF(OR($B64="",基础资料!$B$7=""),"",SUMIFS(周转筐出入库明细!$J$4:$J$2004,周转筐出入库明细!$C$4:$C$2004,$B64,周转筐出入库明细!$D$4:$D$2004,基础资料!$B$7,周转筐出入库明细!$B$4:$B$2004,"&gt;="&amp;$BC$1,周转筐出入库明细!$B$4:$B$2004,"&lt;="&amp;$BC$2))</f>
        <v/>
      </c>
      <c r="G64" s="25" t="str">
        <f>IF(OR($B64="",基础资料!$B$8=""),"",SUMIFS(周转筐出入库明细!$J$4:$J$2004,周转筐出入库明细!$C$4:$C$2004,$B64,周转筐出入库明细!$D$4:$D$2004,基础资料!$B$8,周转筐出入库明细!$B$4:$B$2004,"&gt;="&amp;$BC$1,周转筐出入库明细!$B$4:$B$2004,"&lt;="&amp;$BC$2))</f>
        <v/>
      </c>
      <c r="H64" s="25" t="str">
        <f t="shared" si="1"/>
        <v/>
      </c>
      <c r="I64" s="67" t="str">
        <f>IF(OR($B64="",基础资料!$B$4=""),"",-SUMIFS(周转筐出入库明细!$I$4:$I$2004,周转筐出入库明细!$C$4:$C$2004,$B64,周转筐出入库明细!$D$4:$D$2004,基础资料!$B$4,周转筐出入库明细!$B$4:$B$2004,"&gt;="&amp;$BC$1,周转筐出入库明细!$B$4:$B$2004,"&lt;="&amp;$BC$2))</f>
        <v/>
      </c>
      <c r="J64" s="67" t="str">
        <f>IF(OR($B64="",基础资料!$B$5=""),"",-SUMIFS(周转筐出入库明细!$I$4:$I$2004,周转筐出入库明细!$C$4:$C$2004,$B64,周转筐出入库明细!$D$4:$D$2004,基础资料!$B$5,周转筐出入库明细!$B$4:$B$2004,"&gt;="&amp;$BC$1,周转筐出入库明细!$B$4:$B$2004,"&lt;="&amp;$BC$2))</f>
        <v/>
      </c>
      <c r="K64" s="67" t="str">
        <f>IF(OR($B64="",基础资料!$B$6=""),"",-SUMIFS(周转筐出入库明细!$I$4:$I$2004,周转筐出入库明细!$C$4:$C$2004,$B64,周转筐出入库明细!$D$4:$D$2004,基础资料!$B$6,周转筐出入库明细!$B$4:$B$2004,"&gt;="&amp;$BC$1,周转筐出入库明细!$B$4:$B$2004,"&lt;="&amp;$BC$2))</f>
        <v/>
      </c>
      <c r="L64" s="67" t="str">
        <f>IF(OR($B64="",基础资料!$B$7=""),"",-SUMIFS(周转筐出入库明细!$I$4:$I$2004,周转筐出入库明细!$C$4:$C$2004,$B64,周转筐出入库明细!$D$4:$D$2004,基础资料!$B$7,周转筐出入库明细!$B$4:$B$2004,"&gt;="&amp;$BC$1,周转筐出入库明细!$B$4:$B$2004,"&lt;="&amp;$BC$2))</f>
        <v/>
      </c>
      <c r="M64" s="67" t="str">
        <f>IF(OR($B64="",基础资料!$B$8=""),"",-SUMIFS(周转筐出入库明细!$I$4:$I$2004,周转筐出入库明细!$C$4:$C$2004,$B64,周转筐出入库明细!$D$4:$D$2004,基础资料!$B$8,周转筐出入库明细!$B$4:$B$2004,"&gt;="&amp;$BC$1,周转筐出入库明细!$B$4:$B$2004,"&lt;="&amp;$BC$2))</f>
        <v/>
      </c>
      <c r="N64" s="67" t="str">
        <f t="shared" si="2"/>
        <v/>
      </c>
      <c r="O64" s="25" t="str">
        <f>IF(OR($B64="",基础资料!$B$4=""),"",SUMIFS(周转筐出入库明细!$H$4:$H$2004,周转筐出入库明细!$C$4:$C$2004,$B64,周转筐出入库明细!$D$4:$D$2004,基础资料!$B$4,周转筐出入库明细!$F$4:$F$2004,"采购入库",周转筐出入库明细!$B$4:$B$2004,"&gt;="&amp;$BC$1,周转筐出入库明细!$B$4:$B$2004,"&lt;="&amp;$BC$2))</f>
        <v/>
      </c>
      <c r="P64" s="25" t="str">
        <f>IF(OR($B64="",基础资料!$B$5=""),"",SUMIFS(周转筐出入库明细!$H$4:$H$2004,周转筐出入库明细!$C$4:$C$2004,$B64,周转筐出入库明细!$D$4:$D$2004,基础资料!$B$5,周转筐出入库明细!$F$4:$F$2004,"采购入库",周转筐出入库明细!$B$4:$B$2004,"&gt;="&amp;$BC$1,周转筐出入库明细!$B$4:$B$2004,"&lt;="&amp;$BC$2))</f>
        <v/>
      </c>
      <c r="Q64" s="25" t="str">
        <f>IF(OR($B64="",基础资料!$B$6=""),"",SUMIFS(周转筐出入库明细!$H$4:$H$2004,周转筐出入库明细!$C$4:$C$2004,$B64,周转筐出入库明细!$D$4:$D$2004,基础资料!$B$6,周转筐出入库明细!$F$4:$F$2004,"采购入库",周转筐出入库明细!$B$4:$B$2004,"&gt;="&amp;$BC$1,周转筐出入库明细!$B$4:$B$2004,"&lt;="&amp;$BC$2))</f>
        <v/>
      </c>
      <c r="R64" s="25" t="str">
        <f>IF(OR($B64="",基础资料!$B$7=""),"",SUMIFS(周转筐出入库明细!$H$4:$H$2004,周转筐出入库明细!$C$4:$C$2004,$B64,周转筐出入库明细!$D$4:$D$2004,基础资料!$B$7,周转筐出入库明细!$F$4:$F$2004,"采购入库",周转筐出入库明细!$B$4:$B$2004,"&gt;="&amp;$BC$1,周转筐出入库明细!$B$4:$B$2004,"&lt;="&amp;$BC$2))</f>
        <v/>
      </c>
      <c r="S64" s="25" t="str">
        <f>IF(OR($B64="",基础资料!$B$8=""),"",SUMIFS(周转筐出入库明细!$H$4:$H$2004,周转筐出入库明细!$C$4:$C$2004,$B64,周转筐出入库明细!$D$4:$D$2004,基础资料!$B$8,周转筐出入库明细!$F$4:$F$2004,"采购入库",周转筐出入库明细!$B$4:$B$2004,"&gt;="&amp;$BC$1,周转筐出入库明细!$B$4:$B$2004,"&lt;="&amp;$BC$2))</f>
        <v/>
      </c>
      <c r="T64" s="25" t="str">
        <f t="shared" si="3"/>
        <v/>
      </c>
      <c r="U64" s="25" t="str">
        <f>IF(OR($B64="",基础资料!$B$4=""),"",SUMIFS(周转筐出入库明细!$K$4:$K$2004,周转筐出入库明细!$C$4:$C$2004,$B64,周转筐出入库明细!$D$4:$D$2004,基础资料!$B$4,周转筐出入库明细!$B$4:$B$2004,"&gt;="&amp;$BC$1,周转筐出入库明细!$B$4:$B$2004,"&lt;="&amp;$BC$2))</f>
        <v/>
      </c>
      <c r="V64" s="25" t="str">
        <f>IF(OR($B64="",基础资料!$B$5=""),"",SUMIFS(周转筐出入库明细!$K$4:$K$2004,周转筐出入库明细!$C$4:$C$2004,$B64,周转筐出入库明细!$D$4:$D$2004,基础资料!$B$5,周转筐出入库明细!$B$4:$B$2004,"&gt;="&amp;$BC$1,周转筐出入库明细!$B$4:$B$2004,"&lt;="&amp;$BC$2))</f>
        <v/>
      </c>
      <c r="W64" s="25" t="str">
        <f>IF(OR($B64="",基础资料!$B$6=""),"",SUMIFS(周转筐出入库明细!$K$4:$K$2004,周转筐出入库明细!$C$4:$C$2004,$B64,周转筐出入库明细!$D$4:$D$2004,基础资料!$B$6,周转筐出入库明细!$B$4:$B$2004,"&gt;="&amp;$BC$1,周转筐出入库明细!$B$4:$B$2004,"&lt;="&amp;$BC$2))</f>
        <v/>
      </c>
      <c r="X64" s="25" t="str">
        <f>IF(OR($B64="",基础资料!$B$7=""),"",SUMIFS(周转筐出入库明细!$K$4:$K$2004,周转筐出入库明细!$C$4:$C$2004,$B64,周转筐出入库明细!$D$4:$D$2004,基础资料!$B$7,周转筐出入库明细!$B$4:$B$2004,"&gt;="&amp;$BC$1,周转筐出入库明细!$B$4:$B$2004,"&lt;="&amp;$BC$2))</f>
        <v/>
      </c>
      <c r="Y64" s="25" t="str">
        <f>IF(OR($B64="",基础资料!$B$8=""),"",SUMIFS(周转筐出入库明细!$K$4:$K$2004,周转筐出入库明细!$C$4:$C$2004,$B64,周转筐出入库明细!$D$4:$D$2004,基础资料!$B$8,周转筐出入库明细!$B$4:$B$2004,"&gt;="&amp;$BC$1,周转筐出入库明细!$B$4:$B$2004,"&lt;="&amp;$BC$2))</f>
        <v/>
      </c>
      <c r="Z64" s="25" t="str">
        <f t="shared" si="4"/>
        <v/>
      </c>
      <c r="AA64" s="67" t="str">
        <f>IF(OR($B64="",基础资料!$B$4=""),"",-SUMIFS(对接源_01水果筐数!$D$5:$D$304,对接源_01水果筐数!$B$5:$B$304,$B64,对接源_01水果筐数!$C$5:$C$304,基础资料!$B$4))</f>
        <v/>
      </c>
      <c r="AB64" s="67" t="str">
        <f>IF(OR($B64="",基础资料!$B$5=""),"",-SUMIFS(对接源_01水果筐数!$D$5:$D$304,对接源_01水果筐数!$B$5:$B$304,$B64,对接源_01水果筐数!$C$5:$C$304,基础资料!$B$5))</f>
        <v/>
      </c>
      <c r="AC64" s="67" t="str">
        <f>IF(OR($B64="",基础资料!$B$6=""),"",-SUMIFS(对接源_01水果筐数!$D$5:$D$304,对接源_01水果筐数!$B$5:$B$304,$B64,对接源_01水果筐数!$C$5:$C$304,基础资料!$B$6))</f>
        <v/>
      </c>
      <c r="AD64" s="67" t="str">
        <f>IF(OR($B64="",基础资料!$B$7=""),"",-SUMIFS(对接源_01水果筐数!$D$5:$D$304,对接源_01水果筐数!$B$5:$B$304,$B64,对接源_01水果筐数!$C$5:$C$304,基础资料!$B$7))</f>
        <v/>
      </c>
      <c r="AE64" s="67" t="str">
        <f>IF(OR($B64="",基础资料!$B$8=""),"",-SUMIFS(对接源_01水果筐数!$D$5:$D$304,对接源_01水果筐数!$B$5:$B$304,$B64,对接源_01水果筐数!$C$5:$C$304,基础资料!$B$8))</f>
        <v/>
      </c>
      <c r="AF64" s="25" t="str">
        <f>IF(OR($B64="",基础资料!$B$4=""),"",SUMIFS(对接源_01水果筐数!$E$5:$E$304,对接源_01水果筐数!$B$5:$B$304,$B64,对接源_01水果筐数!$C$5:$C$304,基础资料!$B$4))</f>
        <v/>
      </c>
      <c r="AG64" s="25" t="str">
        <f>IF(OR($B64="",基础资料!$B$5=""),"",SUMIFS(对接源_01水果筐数!$E$5:$E$304,对接源_01水果筐数!$B$5:$B$304,$B64,对接源_01水果筐数!$C$5:$C$304,基础资料!$B$5))</f>
        <v/>
      </c>
      <c r="AH64" s="25" t="str">
        <f>IF(OR($B64="",基础资料!$B$6=""),"",SUMIFS(对接源_01水果筐数!$E$5:$E$304,对接源_01水果筐数!$B$5:$B$304,$B64,对接源_01水果筐数!$C$5:$C$304,基础资料!$B$6))</f>
        <v/>
      </c>
      <c r="AI64" s="25" t="str">
        <f>IF(OR($B64="",基础资料!$B$7=""),"",SUMIFS(对接源_01水果筐数!$E$5:$E$304,对接源_01水果筐数!$B$5:$B$304,$B64,对接源_01水果筐数!$C$5:$C$304,基础资料!$B$7))</f>
        <v/>
      </c>
      <c r="AJ64" s="25" t="str">
        <f>IF(OR($B64="",基础资料!$B$8=""),"",SUMIFS(对接源_01水果筐数!$E$5:$E$304,对接源_01水果筐数!$B$5:$B$304,$B64,对接源_01水果筐数!$C$5:$C$304,基础资料!$B$8))</f>
        <v/>
      </c>
      <c r="AK64" s="25" t="str">
        <f>IF(OR($B64="",基础资料!$B$4=""),"",SUMIFS(对接源_01水果筐数!$F$5:$F$304,对接源_01水果筐数!$B$5:$B$304,$B64,对接源_01水果筐数!$C$5:$C$304,基础资料!$B$4))</f>
        <v/>
      </c>
      <c r="AL64" s="25" t="str">
        <f>IF(OR($B64="",基础资料!$B$5=""),"",SUMIFS(对接源_01水果筐数!$F$5:$F$304,对接源_01水果筐数!$B$5:$B$304,$B64,对接源_01水果筐数!$C$5:$C$304,基础资料!$B$5))</f>
        <v/>
      </c>
      <c r="AM64" s="25" t="str">
        <f>IF(OR($B64="",基础资料!$B$6=""),"",SUMIFS(对接源_01水果筐数!$F$5:$F$304,对接源_01水果筐数!$B$5:$B$304,$B64,对接源_01水果筐数!$C$5:$C$304,基础资料!$B$6))</f>
        <v/>
      </c>
      <c r="AN64" s="25" t="str">
        <f>IF(OR($B64="",基础资料!$B$7=""),"",SUMIFS(对接源_01水果筐数!$F$5:$F$304,对接源_01水果筐数!$B$5:$B$304,$B64,对接源_01水果筐数!$C$5:$C$304,基础资料!$B$7))</f>
        <v/>
      </c>
      <c r="AO64" s="25" t="str">
        <f>IF(OR($B64="",基础资料!$B$8=""),"",SUMIFS(对接源_01水果筐数!$F$5:$F$304,对接源_01水果筐数!$B$5:$B$304,$B64,对接源_01水果筐数!$C$5:$C$304,基础资料!$B$8))</f>
        <v/>
      </c>
      <c r="AP64" s="25" t="str">
        <f t="shared" si="5"/>
        <v/>
      </c>
      <c r="AQ64" s="25" t="str">
        <f t="shared" si="11"/>
        <v/>
      </c>
      <c r="AR64" s="25" t="str">
        <f t="shared" si="6"/>
        <v/>
      </c>
      <c r="AS64" s="25" t="str">
        <f t="shared" si="7"/>
        <v/>
      </c>
      <c r="AT64" s="25" t="str">
        <f t="shared" si="8"/>
        <v/>
      </c>
      <c r="AU64" s="25" t="str">
        <f t="shared" si="9"/>
        <v/>
      </c>
      <c r="AV64" s="24" t="str">
        <f t="shared" si="10"/>
        <v/>
      </c>
      <c r="AW64" s="72"/>
    </row>
    <row r="65" spans="1:49">
      <c r="A65" s="22" t="str">
        <f t="shared" si="0"/>
        <v/>
      </c>
      <c r="B65" s="24" t="str">
        <f>IFERROR(INDEX(_自动清单!$CC$4:$CC$253,ROW()-3),"")</f>
        <v/>
      </c>
      <c r="C65" s="25" t="str">
        <f>IF(OR($B65="",基础资料!$B$4=""),"",SUMIFS(周转筐出入库明细!$J$4:$J$2004,周转筐出入库明细!$C$4:$C$2004,$B65,周转筐出入库明细!$D$4:$D$2004,基础资料!$B$4,周转筐出入库明细!$B$4:$B$2004,"&gt;="&amp;$BC$1,周转筐出入库明细!$B$4:$B$2004,"&lt;="&amp;$BC$2))</f>
        <v/>
      </c>
      <c r="D65" s="25" t="str">
        <f>IF(OR($B65="",基础资料!$B$5=""),"",SUMIFS(周转筐出入库明细!$J$4:$J$2004,周转筐出入库明细!$C$4:$C$2004,$B65,周转筐出入库明细!$D$4:$D$2004,基础资料!$B$5,周转筐出入库明细!$B$4:$B$2004,"&gt;="&amp;$BC$1,周转筐出入库明细!$B$4:$B$2004,"&lt;="&amp;$BC$2))</f>
        <v/>
      </c>
      <c r="E65" s="25" t="str">
        <f>IF(OR($B65="",基础资料!$B$6=""),"",SUMIFS(周转筐出入库明细!$J$4:$J$2004,周转筐出入库明细!$C$4:$C$2004,$B65,周转筐出入库明细!$D$4:$D$2004,基础资料!$B$6,周转筐出入库明细!$B$4:$B$2004,"&gt;="&amp;$BC$1,周转筐出入库明细!$B$4:$B$2004,"&lt;="&amp;$BC$2))</f>
        <v/>
      </c>
      <c r="F65" s="25" t="str">
        <f>IF(OR($B65="",基础资料!$B$7=""),"",SUMIFS(周转筐出入库明细!$J$4:$J$2004,周转筐出入库明细!$C$4:$C$2004,$B65,周转筐出入库明细!$D$4:$D$2004,基础资料!$B$7,周转筐出入库明细!$B$4:$B$2004,"&gt;="&amp;$BC$1,周转筐出入库明细!$B$4:$B$2004,"&lt;="&amp;$BC$2))</f>
        <v/>
      </c>
      <c r="G65" s="25" t="str">
        <f>IF(OR($B65="",基础资料!$B$8=""),"",SUMIFS(周转筐出入库明细!$J$4:$J$2004,周转筐出入库明细!$C$4:$C$2004,$B65,周转筐出入库明细!$D$4:$D$2004,基础资料!$B$8,周转筐出入库明细!$B$4:$B$2004,"&gt;="&amp;$BC$1,周转筐出入库明细!$B$4:$B$2004,"&lt;="&amp;$BC$2))</f>
        <v/>
      </c>
      <c r="H65" s="25" t="str">
        <f t="shared" si="1"/>
        <v/>
      </c>
      <c r="I65" s="67" t="str">
        <f>IF(OR($B65="",基础资料!$B$4=""),"",-SUMIFS(周转筐出入库明细!$I$4:$I$2004,周转筐出入库明细!$C$4:$C$2004,$B65,周转筐出入库明细!$D$4:$D$2004,基础资料!$B$4,周转筐出入库明细!$B$4:$B$2004,"&gt;="&amp;$BC$1,周转筐出入库明细!$B$4:$B$2004,"&lt;="&amp;$BC$2))</f>
        <v/>
      </c>
      <c r="J65" s="67" t="str">
        <f>IF(OR($B65="",基础资料!$B$5=""),"",-SUMIFS(周转筐出入库明细!$I$4:$I$2004,周转筐出入库明细!$C$4:$C$2004,$B65,周转筐出入库明细!$D$4:$D$2004,基础资料!$B$5,周转筐出入库明细!$B$4:$B$2004,"&gt;="&amp;$BC$1,周转筐出入库明细!$B$4:$B$2004,"&lt;="&amp;$BC$2))</f>
        <v/>
      </c>
      <c r="K65" s="67" t="str">
        <f>IF(OR($B65="",基础资料!$B$6=""),"",-SUMIFS(周转筐出入库明细!$I$4:$I$2004,周转筐出入库明细!$C$4:$C$2004,$B65,周转筐出入库明细!$D$4:$D$2004,基础资料!$B$6,周转筐出入库明细!$B$4:$B$2004,"&gt;="&amp;$BC$1,周转筐出入库明细!$B$4:$B$2004,"&lt;="&amp;$BC$2))</f>
        <v/>
      </c>
      <c r="L65" s="67" t="str">
        <f>IF(OR($B65="",基础资料!$B$7=""),"",-SUMIFS(周转筐出入库明细!$I$4:$I$2004,周转筐出入库明细!$C$4:$C$2004,$B65,周转筐出入库明细!$D$4:$D$2004,基础资料!$B$7,周转筐出入库明细!$B$4:$B$2004,"&gt;="&amp;$BC$1,周转筐出入库明细!$B$4:$B$2004,"&lt;="&amp;$BC$2))</f>
        <v/>
      </c>
      <c r="M65" s="67" t="str">
        <f>IF(OR($B65="",基础资料!$B$8=""),"",-SUMIFS(周转筐出入库明细!$I$4:$I$2004,周转筐出入库明细!$C$4:$C$2004,$B65,周转筐出入库明细!$D$4:$D$2004,基础资料!$B$8,周转筐出入库明细!$B$4:$B$2004,"&gt;="&amp;$BC$1,周转筐出入库明细!$B$4:$B$2004,"&lt;="&amp;$BC$2))</f>
        <v/>
      </c>
      <c r="N65" s="67" t="str">
        <f t="shared" si="2"/>
        <v/>
      </c>
      <c r="O65" s="25" t="str">
        <f>IF(OR($B65="",基础资料!$B$4=""),"",SUMIFS(周转筐出入库明细!$H$4:$H$2004,周转筐出入库明细!$C$4:$C$2004,$B65,周转筐出入库明细!$D$4:$D$2004,基础资料!$B$4,周转筐出入库明细!$F$4:$F$2004,"采购入库",周转筐出入库明细!$B$4:$B$2004,"&gt;="&amp;$BC$1,周转筐出入库明细!$B$4:$B$2004,"&lt;="&amp;$BC$2))</f>
        <v/>
      </c>
      <c r="P65" s="25" t="str">
        <f>IF(OR($B65="",基础资料!$B$5=""),"",SUMIFS(周转筐出入库明细!$H$4:$H$2004,周转筐出入库明细!$C$4:$C$2004,$B65,周转筐出入库明细!$D$4:$D$2004,基础资料!$B$5,周转筐出入库明细!$F$4:$F$2004,"采购入库",周转筐出入库明细!$B$4:$B$2004,"&gt;="&amp;$BC$1,周转筐出入库明细!$B$4:$B$2004,"&lt;="&amp;$BC$2))</f>
        <v/>
      </c>
      <c r="Q65" s="25" t="str">
        <f>IF(OR($B65="",基础资料!$B$6=""),"",SUMIFS(周转筐出入库明细!$H$4:$H$2004,周转筐出入库明细!$C$4:$C$2004,$B65,周转筐出入库明细!$D$4:$D$2004,基础资料!$B$6,周转筐出入库明细!$F$4:$F$2004,"采购入库",周转筐出入库明细!$B$4:$B$2004,"&gt;="&amp;$BC$1,周转筐出入库明细!$B$4:$B$2004,"&lt;="&amp;$BC$2))</f>
        <v/>
      </c>
      <c r="R65" s="25" t="str">
        <f>IF(OR($B65="",基础资料!$B$7=""),"",SUMIFS(周转筐出入库明细!$H$4:$H$2004,周转筐出入库明细!$C$4:$C$2004,$B65,周转筐出入库明细!$D$4:$D$2004,基础资料!$B$7,周转筐出入库明细!$F$4:$F$2004,"采购入库",周转筐出入库明细!$B$4:$B$2004,"&gt;="&amp;$BC$1,周转筐出入库明细!$B$4:$B$2004,"&lt;="&amp;$BC$2))</f>
        <v/>
      </c>
      <c r="S65" s="25" t="str">
        <f>IF(OR($B65="",基础资料!$B$8=""),"",SUMIFS(周转筐出入库明细!$H$4:$H$2004,周转筐出入库明细!$C$4:$C$2004,$B65,周转筐出入库明细!$D$4:$D$2004,基础资料!$B$8,周转筐出入库明细!$F$4:$F$2004,"采购入库",周转筐出入库明细!$B$4:$B$2004,"&gt;="&amp;$BC$1,周转筐出入库明细!$B$4:$B$2004,"&lt;="&amp;$BC$2))</f>
        <v/>
      </c>
      <c r="T65" s="25" t="str">
        <f t="shared" si="3"/>
        <v/>
      </c>
      <c r="U65" s="25" t="str">
        <f>IF(OR($B65="",基础资料!$B$4=""),"",SUMIFS(周转筐出入库明细!$K$4:$K$2004,周转筐出入库明细!$C$4:$C$2004,$B65,周转筐出入库明细!$D$4:$D$2004,基础资料!$B$4,周转筐出入库明细!$B$4:$B$2004,"&gt;="&amp;$BC$1,周转筐出入库明细!$B$4:$B$2004,"&lt;="&amp;$BC$2))</f>
        <v/>
      </c>
      <c r="V65" s="25" t="str">
        <f>IF(OR($B65="",基础资料!$B$5=""),"",SUMIFS(周转筐出入库明细!$K$4:$K$2004,周转筐出入库明细!$C$4:$C$2004,$B65,周转筐出入库明细!$D$4:$D$2004,基础资料!$B$5,周转筐出入库明细!$B$4:$B$2004,"&gt;="&amp;$BC$1,周转筐出入库明细!$B$4:$B$2004,"&lt;="&amp;$BC$2))</f>
        <v/>
      </c>
      <c r="W65" s="25" t="str">
        <f>IF(OR($B65="",基础资料!$B$6=""),"",SUMIFS(周转筐出入库明细!$K$4:$K$2004,周转筐出入库明细!$C$4:$C$2004,$B65,周转筐出入库明细!$D$4:$D$2004,基础资料!$B$6,周转筐出入库明细!$B$4:$B$2004,"&gt;="&amp;$BC$1,周转筐出入库明细!$B$4:$B$2004,"&lt;="&amp;$BC$2))</f>
        <v/>
      </c>
      <c r="X65" s="25" t="str">
        <f>IF(OR($B65="",基础资料!$B$7=""),"",SUMIFS(周转筐出入库明细!$K$4:$K$2004,周转筐出入库明细!$C$4:$C$2004,$B65,周转筐出入库明细!$D$4:$D$2004,基础资料!$B$7,周转筐出入库明细!$B$4:$B$2004,"&gt;="&amp;$BC$1,周转筐出入库明细!$B$4:$B$2004,"&lt;="&amp;$BC$2))</f>
        <v/>
      </c>
      <c r="Y65" s="25" t="str">
        <f>IF(OR($B65="",基础资料!$B$8=""),"",SUMIFS(周转筐出入库明细!$K$4:$K$2004,周转筐出入库明细!$C$4:$C$2004,$B65,周转筐出入库明细!$D$4:$D$2004,基础资料!$B$8,周转筐出入库明细!$B$4:$B$2004,"&gt;="&amp;$BC$1,周转筐出入库明细!$B$4:$B$2004,"&lt;="&amp;$BC$2))</f>
        <v/>
      </c>
      <c r="Z65" s="25" t="str">
        <f t="shared" si="4"/>
        <v/>
      </c>
      <c r="AA65" s="67" t="str">
        <f>IF(OR($B65="",基础资料!$B$4=""),"",-SUMIFS(对接源_01水果筐数!$D$5:$D$304,对接源_01水果筐数!$B$5:$B$304,$B65,对接源_01水果筐数!$C$5:$C$304,基础资料!$B$4))</f>
        <v/>
      </c>
      <c r="AB65" s="67" t="str">
        <f>IF(OR($B65="",基础资料!$B$5=""),"",-SUMIFS(对接源_01水果筐数!$D$5:$D$304,对接源_01水果筐数!$B$5:$B$304,$B65,对接源_01水果筐数!$C$5:$C$304,基础资料!$B$5))</f>
        <v/>
      </c>
      <c r="AC65" s="67" t="str">
        <f>IF(OR($B65="",基础资料!$B$6=""),"",-SUMIFS(对接源_01水果筐数!$D$5:$D$304,对接源_01水果筐数!$B$5:$B$304,$B65,对接源_01水果筐数!$C$5:$C$304,基础资料!$B$6))</f>
        <v/>
      </c>
      <c r="AD65" s="67" t="str">
        <f>IF(OR($B65="",基础资料!$B$7=""),"",-SUMIFS(对接源_01水果筐数!$D$5:$D$304,对接源_01水果筐数!$B$5:$B$304,$B65,对接源_01水果筐数!$C$5:$C$304,基础资料!$B$7))</f>
        <v/>
      </c>
      <c r="AE65" s="67" t="str">
        <f>IF(OR($B65="",基础资料!$B$8=""),"",-SUMIFS(对接源_01水果筐数!$D$5:$D$304,对接源_01水果筐数!$B$5:$B$304,$B65,对接源_01水果筐数!$C$5:$C$304,基础资料!$B$8))</f>
        <v/>
      </c>
      <c r="AF65" s="25" t="str">
        <f>IF(OR($B65="",基础资料!$B$4=""),"",SUMIFS(对接源_01水果筐数!$E$5:$E$304,对接源_01水果筐数!$B$5:$B$304,$B65,对接源_01水果筐数!$C$5:$C$304,基础资料!$B$4))</f>
        <v/>
      </c>
      <c r="AG65" s="25" t="str">
        <f>IF(OR($B65="",基础资料!$B$5=""),"",SUMIFS(对接源_01水果筐数!$E$5:$E$304,对接源_01水果筐数!$B$5:$B$304,$B65,对接源_01水果筐数!$C$5:$C$304,基础资料!$B$5))</f>
        <v/>
      </c>
      <c r="AH65" s="25" t="str">
        <f>IF(OR($B65="",基础资料!$B$6=""),"",SUMIFS(对接源_01水果筐数!$E$5:$E$304,对接源_01水果筐数!$B$5:$B$304,$B65,对接源_01水果筐数!$C$5:$C$304,基础资料!$B$6))</f>
        <v/>
      </c>
      <c r="AI65" s="25" t="str">
        <f>IF(OR($B65="",基础资料!$B$7=""),"",SUMIFS(对接源_01水果筐数!$E$5:$E$304,对接源_01水果筐数!$B$5:$B$304,$B65,对接源_01水果筐数!$C$5:$C$304,基础资料!$B$7))</f>
        <v/>
      </c>
      <c r="AJ65" s="25" t="str">
        <f>IF(OR($B65="",基础资料!$B$8=""),"",SUMIFS(对接源_01水果筐数!$E$5:$E$304,对接源_01水果筐数!$B$5:$B$304,$B65,对接源_01水果筐数!$C$5:$C$304,基础资料!$B$8))</f>
        <v/>
      </c>
      <c r="AK65" s="25" t="str">
        <f>IF(OR($B65="",基础资料!$B$4=""),"",SUMIFS(对接源_01水果筐数!$F$5:$F$304,对接源_01水果筐数!$B$5:$B$304,$B65,对接源_01水果筐数!$C$5:$C$304,基础资料!$B$4))</f>
        <v/>
      </c>
      <c r="AL65" s="25" t="str">
        <f>IF(OR($B65="",基础资料!$B$5=""),"",SUMIFS(对接源_01水果筐数!$F$5:$F$304,对接源_01水果筐数!$B$5:$B$304,$B65,对接源_01水果筐数!$C$5:$C$304,基础资料!$B$5))</f>
        <v/>
      </c>
      <c r="AM65" s="25" t="str">
        <f>IF(OR($B65="",基础资料!$B$6=""),"",SUMIFS(对接源_01水果筐数!$F$5:$F$304,对接源_01水果筐数!$B$5:$B$304,$B65,对接源_01水果筐数!$C$5:$C$304,基础资料!$B$6))</f>
        <v/>
      </c>
      <c r="AN65" s="25" t="str">
        <f>IF(OR($B65="",基础资料!$B$7=""),"",SUMIFS(对接源_01水果筐数!$F$5:$F$304,对接源_01水果筐数!$B$5:$B$304,$B65,对接源_01水果筐数!$C$5:$C$304,基础资料!$B$7))</f>
        <v/>
      </c>
      <c r="AO65" s="25" t="str">
        <f>IF(OR($B65="",基础资料!$B$8=""),"",SUMIFS(对接源_01水果筐数!$F$5:$F$304,对接源_01水果筐数!$B$5:$B$304,$B65,对接源_01水果筐数!$C$5:$C$304,基础资料!$B$8))</f>
        <v/>
      </c>
      <c r="AP65" s="25" t="str">
        <f t="shared" si="5"/>
        <v/>
      </c>
      <c r="AQ65" s="25" t="str">
        <f t="shared" si="11"/>
        <v/>
      </c>
      <c r="AR65" s="25" t="str">
        <f t="shared" si="6"/>
        <v/>
      </c>
      <c r="AS65" s="25" t="str">
        <f t="shared" si="7"/>
        <v/>
      </c>
      <c r="AT65" s="25" t="str">
        <f t="shared" si="8"/>
        <v/>
      </c>
      <c r="AU65" s="25" t="str">
        <f t="shared" si="9"/>
        <v/>
      </c>
      <c r="AV65" s="24" t="str">
        <f t="shared" si="10"/>
        <v/>
      </c>
      <c r="AW65" s="72"/>
    </row>
    <row r="66" spans="1:49">
      <c r="A66" s="22" t="str">
        <f t="shared" si="0"/>
        <v/>
      </c>
      <c r="B66" s="24" t="str">
        <f>IFERROR(INDEX(_自动清单!$CC$4:$CC$253,ROW()-3),"")</f>
        <v/>
      </c>
      <c r="C66" s="25" t="str">
        <f>IF(OR($B66="",基础资料!$B$4=""),"",SUMIFS(周转筐出入库明细!$J$4:$J$2004,周转筐出入库明细!$C$4:$C$2004,$B66,周转筐出入库明细!$D$4:$D$2004,基础资料!$B$4,周转筐出入库明细!$B$4:$B$2004,"&gt;="&amp;$BC$1,周转筐出入库明细!$B$4:$B$2004,"&lt;="&amp;$BC$2))</f>
        <v/>
      </c>
      <c r="D66" s="25" t="str">
        <f>IF(OR($B66="",基础资料!$B$5=""),"",SUMIFS(周转筐出入库明细!$J$4:$J$2004,周转筐出入库明细!$C$4:$C$2004,$B66,周转筐出入库明细!$D$4:$D$2004,基础资料!$B$5,周转筐出入库明细!$B$4:$B$2004,"&gt;="&amp;$BC$1,周转筐出入库明细!$B$4:$B$2004,"&lt;="&amp;$BC$2))</f>
        <v/>
      </c>
      <c r="E66" s="25" t="str">
        <f>IF(OR($B66="",基础资料!$B$6=""),"",SUMIFS(周转筐出入库明细!$J$4:$J$2004,周转筐出入库明细!$C$4:$C$2004,$B66,周转筐出入库明细!$D$4:$D$2004,基础资料!$B$6,周转筐出入库明细!$B$4:$B$2004,"&gt;="&amp;$BC$1,周转筐出入库明细!$B$4:$B$2004,"&lt;="&amp;$BC$2))</f>
        <v/>
      </c>
      <c r="F66" s="25" t="str">
        <f>IF(OR($B66="",基础资料!$B$7=""),"",SUMIFS(周转筐出入库明细!$J$4:$J$2004,周转筐出入库明细!$C$4:$C$2004,$B66,周转筐出入库明细!$D$4:$D$2004,基础资料!$B$7,周转筐出入库明细!$B$4:$B$2004,"&gt;="&amp;$BC$1,周转筐出入库明细!$B$4:$B$2004,"&lt;="&amp;$BC$2))</f>
        <v/>
      </c>
      <c r="G66" s="25" t="str">
        <f>IF(OR($B66="",基础资料!$B$8=""),"",SUMIFS(周转筐出入库明细!$J$4:$J$2004,周转筐出入库明细!$C$4:$C$2004,$B66,周转筐出入库明细!$D$4:$D$2004,基础资料!$B$8,周转筐出入库明细!$B$4:$B$2004,"&gt;="&amp;$BC$1,周转筐出入库明细!$B$4:$B$2004,"&lt;="&amp;$BC$2))</f>
        <v/>
      </c>
      <c r="H66" s="25" t="str">
        <f t="shared" si="1"/>
        <v/>
      </c>
      <c r="I66" s="67" t="str">
        <f>IF(OR($B66="",基础资料!$B$4=""),"",-SUMIFS(周转筐出入库明细!$I$4:$I$2004,周转筐出入库明细!$C$4:$C$2004,$B66,周转筐出入库明细!$D$4:$D$2004,基础资料!$B$4,周转筐出入库明细!$B$4:$B$2004,"&gt;="&amp;$BC$1,周转筐出入库明细!$B$4:$B$2004,"&lt;="&amp;$BC$2))</f>
        <v/>
      </c>
      <c r="J66" s="67" t="str">
        <f>IF(OR($B66="",基础资料!$B$5=""),"",-SUMIFS(周转筐出入库明细!$I$4:$I$2004,周转筐出入库明细!$C$4:$C$2004,$B66,周转筐出入库明细!$D$4:$D$2004,基础资料!$B$5,周转筐出入库明细!$B$4:$B$2004,"&gt;="&amp;$BC$1,周转筐出入库明细!$B$4:$B$2004,"&lt;="&amp;$BC$2))</f>
        <v/>
      </c>
      <c r="K66" s="67" t="str">
        <f>IF(OR($B66="",基础资料!$B$6=""),"",-SUMIFS(周转筐出入库明细!$I$4:$I$2004,周转筐出入库明细!$C$4:$C$2004,$B66,周转筐出入库明细!$D$4:$D$2004,基础资料!$B$6,周转筐出入库明细!$B$4:$B$2004,"&gt;="&amp;$BC$1,周转筐出入库明细!$B$4:$B$2004,"&lt;="&amp;$BC$2))</f>
        <v/>
      </c>
      <c r="L66" s="67" t="str">
        <f>IF(OR($B66="",基础资料!$B$7=""),"",-SUMIFS(周转筐出入库明细!$I$4:$I$2004,周转筐出入库明细!$C$4:$C$2004,$B66,周转筐出入库明细!$D$4:$D$2004,基础资料!$B$7,周转筐出入库明细!$B$4:$B$2004,"&gt;="&amp;$BC$1,周转筐出入库明细!$B$4:$B$2004,"&lt;="&amp;$BC$2))</f>
        <v/>
      </c>
      <c r="M66" s="67" t="str">
        <f>IF(OR($B66="",基础资料!$B$8=""),"",-SUMIFS(周转筐出入库明细!$I$4:$I$2004,周转筐出入库明细!$C$4:$C$2004,$B66,周转筐出入库明细!$D$4:$D$2004,基础资料!$B$8,周转筐出入库明细!$B$4:$B$2004,"&gt;="&amp;$BC$1,周转筐出入库明细!$B$4:$B$2004,"&lt;="&amp;$BC$2))</f>
        <v/>
      </c>
      <c r="N66" s="67" t="str">
        <f t="shared" si="2"/>
        <v/>
      </c>
      <c r="O66" s="25" t="str">
        <f>IF(OR($B66="",基础资料!$B$4=""),"",SUMIFS(周转筐出入库明细!$H$4:$H$2004,周转筐出入库明细!$C$4:$C$2004,$B66,周转筐出入库明细!$D$4:$D$2004,基础资料!$B$4,周转筐出入库明细!$F$4:$F$2004,"采购入库",周转筐出入库明细!$B$4:$B$2004,"&gt;="&amp;$BC$1,周转筐出入库明细!$B$4:$B$2004,"&lt;="&amp;$BC$2))</f>
        <v/>
      </c>
      <c r="P66" s="25" t="str">
        <f>IF(OR($B66="",基础资料!$B$5=""),"",SUMIFS(周转筐出入库明细!$H$4:$H$2004,周转筐出入库明细!$C$4:$C$2004,$B66,周转筐出入库明细!$D$4:$D$2004,基础资料!$B$5,周转筐出入库明细!$F$4:$F$2004,"采购入库",周转筐出入库明细!$B$4:$B$2004,"&gt;="&amp;$BC$1,周转筐出入库明细!$B$4:$B$2004,"&lt;="&amp;$BC$2))</f>
        <v/>
      </c>
      <c r="Q66" s="25" t="str">
        <f>IF(OR($B66="",基础资料!$B$6=""),"",SUMIFS(周转筐出入库明细!$H$4:$H$2004,周转筐出入库明细!$C$4:$C$2004,$B66,周转筐出入库明细!$D$4:$D$2004,基础资料!$B$6,周转筐出入库明细!$F$4:$F$2004,"采购入库",周转筐出入库明细!$B$4:$B$2004,"&gt;="&amp;$BC$1,周转筐出入库明细!$B$4:$B$2004,"&lt;="&amp;$BC$2))</f>
        <v/>
      </c>
      <c r="R66" s="25" t="str">
        <f>IF(OR($B66="",基础资料!$B$7=""),"",SUMIFS(周转筐出入库明细!$H$4:$H$2004,周转筐出入库明细!$C$4:$C$2004,$B66,周转筐出入库明细!$D$4:$D$2004,基础资料!$B$7,周转筐出入库明细!$F$4:$F$2004,"采购入库",周转筐出入库明细!$B$4:$B$2004,"&gt;="&amp;$BC$1,周转筐出入库明细!$B$4:$B$2004,"&lt;="&amp;$BC$2))</f>
        <v/>
      </c>
      <c r="S66" s="25" t="str">
        <f>IF(OR($B66="",基础资料!$B$8=""),"",SUMIFS(周转筐出入库明细!$H$4:$H$2004,周转筐出入库明细!$C$4:$C$2004,$B66,周转筐出入库明细!$D$4:$D$2004,基础资料!$B$8,周转筐出入库明细!$F$4:$F$2004,"采购入库",周转筐出入库明细!$B$4:$B$2004,"&gt;="&amp;$BC$1,周转筐出入库明细!$B$4:$B$2004,"&lt;="&amp;$BC$2))</f>
        <v/>
      </c>
      <c r="T66" s="25" t="str">
        <f t="shared" si="3"/>
        <v/>
      </c>
      <c r="U66" s="25" t="str">
        <f>IF(OR($B66="",基础资料!$B$4=""),"",SUMIFS(周转筐出入库明细!$K$4:$K$2004,周转筐出入库明细!$C$4:$C$2004,$B66,周转筐出入库明细!$D$4:$D$2004,基础资料!$B$4,周转筐出入库明细!$B$4:$B$2004,"&gt;="&amp;$BC$1,周转筐出入库明细!$B$4:$B$2004,"&lt;="&amp;$BC$2))</f>
        <v/>
      </c>
      <c r="V66" s="25" t="str">
        <f>IF(OR($B66="",基础资料!$B$5=""),"",SUMIFS(周转筐出入库明细!$K$4:$K$2004,周转筐出入库明细!$C$4:$C$2004,$B66,周转筐出入库明细!$D$4:$D$2004,基础资料!$B$5,周转筐出入库明细!$B$4:$B$2004,"&gt;="&amp;$BC$1,周转筐出入库明细!$B$4:$B$2004,"&lt;="&amp;$BC$2))</f>
        <v/>
      </c>
      <c r="W66" s="25" t="str">
        <f>IF(OR($B66="",基础资料!$B$6=""),"",SUMIFS(周转筐出入库明细!$K$4:$K$2004,周转筐出入库明细!$C$4:$C$2004,$B66,周转筐出入库明细!$D$4:$D$2004,基础资料!$B$6,周转筐出入库明细!$B$4:$B$2004,"&gt;="&amp;$BC$1,周转筐出入库明细!$B$4:$B$2004,"&lt;="&amp;$BC$2))</f>
        <v/>
      </c>
      <c r="X66" s="25" t="str">
        <f>IF(OR($B66="",基础资料!$B$7=""),"",SUMIFS(周转筐出入库明细!$K$4:$K$2004,周转筐出入库明细!$C$4:$C$2004,$B66,周转筐出入库明细!$D$4:$D$2004,基础资料!$B$7,周转筐出入库明细!$B$4:$B$2004,"&gt;="&amp;$BC$1,周转筐出入库明细!$B$4:$B$2004,"&lt;="&amp;$BC$2))</f>
        <v/>
      </c>
      <c r="Y66" s="25" t="str">
        <f>IF(OR($B66="",基础资料!$B$8=""),"",SUMIFS(周转筐出入库明细!$K$4:$K$2004,周转筐出入库明细!$C$4:$C$2004,$B66,周转筐出入库明细!$D$4:$D$2004,基础资料!$B$8,周转筐出入库明细!$B$4:$B$2004,"&gt;="&amp;$BC$1,周转筐出入库明细!$B$4:$B$2004,"&lt;="&amp;$BC$2))</f>
        <v/>
      </c>
      <c r="Z66" s="25" t="str">
        <f t="shared" si="4"/>
        <v/>
      </c>
      <c r="AA66" s="67" t="str">
        <f>IF(OR($B66="",基础资料!$B$4=""),"",-SUMIFS(对接源_01水果筐数!$D$5:$D$304,对接源_01水果筐数!$B$5:$B$304,$B66,对接源_01水果筐数!$C$5:$C$304,基础资料!$B$4))</f>
        <v/>
      </c>
      <c r="AB66" s="67" t="str">
        <f>IF(OR($B66="",基础资料!$B$5=""),"",-SUMIFS(对接源_01水果筐数!$D$5:$D$304,对接源_01水果筐数!$B$5:$B$304,$B66,对接源_01水果筐数!$C$5:$C$304,基础资料!$B$5))</f>
        <v/>
      </c>
      <c r="AC66" s="67" t="str">
        <f>IF(OR($B66="",基础资料!$B$6=""),"",-SUMIFS(对接源_01水果筐数!$D$5:$D$304,对接源_01水果筐数!$B$5:$B$304,$B66,对接源_01水果筐数!$C$5:$C$304,基础资料!$B$6))</f>
        <v/>
      </c>
      <c r="AD66" s="67" t="str">
        <f>IF(OR($B66="",基础资料!$B$7=""),"",-SUMIFS(对接源_01水果筐数!$D$5:$D$304,对接源_01水果筐数!$B$5:$B$304,$B66,对接源_01水果筐数!$C$5:$C$304,基础资料!$B$7))</f>
        <v/>
      </c>
      <c r="AE66" s="67" t="str">
        <f>IF(OR($B66="",基础资料!$B$8=""),"",-SUMIFS(对接源_01水果筐数!$D$5:$D$304,对接源_01水果筐数!$B$5:$B$304,$B66,对接源_01水果筐数!$C$5:$C$304,基础资料!$B$8))</f>
        <v/>
      </c>
      <c r="AF66" s="25" t="str">
        <f>IF(OR($B66="",基础资料!$B$4=""),"",SUMIFS(对接源_01水果筐数!$E$5:$E$304,对接源_01水果筐数!$B$5:$B$304,$B66,对接源_01水果筐数!$C$5:$C$304,基础资料!$B$4))</f>
        <v/>
      </c>
      <c r="AG66" s="25" t="str">
        <f>IF(OR($B66="",基础资料!$B$5=""),"",SUMIFS(对接源_01水果筐数!$E$5:$E$304,对接源_01水果筐数!$B$5:$B$304,$B66,对接源_01水果筐数!$C$5:$C$304,基础资料!$B$5))</f>
        <v/>
      </c>
      <c r="AH66" s="25" t="str">
        <f>IF(OR($B66="",基础资料!$B$6=""),"",SUMIFS(对接源_01水果筐数!$E$5:$E$304,对接源_01水果筐数!$B$5:$B$304,$B66,对接源_01水果筐数!$C$5:$C$304,基础资料!$B$6))</f>
        <v/>
      </c>
      <c r="AI66" s="25" t="str">
        <f>IF(OR($B66="",基础资料!$B$7=""),"",SUMIFS(对接源_01水果筐数!$E$5:$E$304,对接源_01水果筐数!$B$5:$B$304,$B66,对接源_01水果筐数!$C$5:$C$304,基础资料!$B$7))</f>
        <v/>
      </c>
      <c r="AJ66" s="25" t="str">
        <f>IF(OR($B66="",基础资料!$B$8=""),"",SUMIFS(对接源_01水果筐数!$E$5:$E$304,对接源_01水果筐数!$B$5:$B$304,$B66,对接源_01水果筐数!$C$5:$C$304,基础资料!$B$8))</f>
        <v/>
      </c>
      <c r="AK66" s="25" t="str">
        <f>IF(OR($B66="",基础资料!$B$4=""),"",SUMIFS(对接源_01水果筐数!$F$5:$F$304,对接源_01水果筐数!$B$5:$B$304,$B66,对接源_01水果筐数!$C$5:$C$304,基础资料!$B$4))</f>
        <v/>
      </c>
      <c r="AL66" s="25" t="str">
        <f>IF(OR($B66="",基础资料!$B$5=""),"",SUMIFS(对接源_01水果筐数!$F$5:$F$304,对接源_01水果筐数!$B$5:$B$304,$B66,对接源_01水果筐数!$C$5:$C$304,基础资料!$B$5))</f>
        <v/>
      </c>
      <c r="AM66" s="25" t="str">
        <f>IF(OR($B66="",基础资料!$B$6=""),"",SUMIFS(对接源_01水果筐数!$F$5:$F$304,对接源_01水果筐数!$B$5:$B$304,$B66,对接源_01水果筐数!$C$5:$C$304,基础资料!$B$6))</f>
        <v/>
      </c>
      <c r="AN66" s="25" t="str">
        <f>IF(OR($B66="",基础资料!$B$7=""),"",SUMIFS(对接源_01水果筐数!$F$5:$F$304,对接源_01水果筐数!$B$5:$B$304,$B66,对接源_01水果筐数!$C$5:$C$304,基础资料!$B$7))</f>
        <v/>
      </c>
      <c r="AO66" s="25" t="str">
        <f>IF(OR($B66="",基础资料!$B$8=""),"",SUMIFS(对接源_01水果筐数!$F$5:$F$304,对接源_01水果筐数!$B$5:$B$304,$B66,对接源_01水果筐数!$C$5:$C$304,基础资料!$B$8))</f>
        <v/>
      </c>
      <c r="AP66" s="25" t="str">
        <f t="shared" si="5"/>
        <v/>
      </c>
      <c r="AQ66" s="25" t="str">
        <f t="shared" si="11"/>
        <v/>
      </c>
      <c r="AR66" s="25" t="str">
        <f t="shared" si="6"/>
        <v/>
      </c>
      <c r="AS66" s="25" t="str">
        <f t="shared" si="7"/>
        <v/>
      </c>
      <c r="AT66" s="25" t="str">
        <f t="shared" si="8"/>
        <v/>
      </c>
      <c r="AU66" s="25" t="str">
        <f t="shared" si="9"/>
        <v/>
      </c>
      <c r="AV66" s="24" t="str">
        <f t="shared" si="10"/>
        <v/>
      </c>
      <c r="AW66" s="72"/>
    </row>
    <row r="67" spans="1:49">
      <c r="A67" s="22" t="str">
        <f t="shared" si="0"/>
        <v/>
      </c>
      <c r="B67" s="24" t="str">
        <f>IFERROR(INDEX(_自动清单!$CC$4:$CC$253,ROW()-3),"")</f>
        <v/>
      </c>
      <c r="C67" s="25" t="str">
        <f>IF(OR($B67="",基础资料!$B$4=""),"",SUMIFS(周转筐出入库明细!$J$4:$J$2004,周转筐出入库明细!$C$4:$C$2004,$B67,周转筐出入库明细!$D$4:$D$2004,基础资料!$B$4,周转筐出入库明细!$B$4:$B$2004,"&gt;="&amp;$BC$1,周转筐出入库明细!$B$4:$B$2004,"&lt;="&amp;$BC$2))</f>
        <v/>
      </c>
      <c r="D67" s="25" t="str">
        <f>IF(OR($B67="",基础资料!$B$5=""),"",SUMIFS(周转筐出入库明细!$J$4:$J$2004,周转筐出入库明细!$C$4:$C$2004,$B67,周转筐出入库明细!$D$4:$D$2004,基础资料!$B$5,周转筐出入库明细!$B$4:$B$2004,"&gt;="&amp;$BC$1,周转筐出入库明细!$B$4:$B$2004,"&lt;="&amp;$BC$2))</f>
        <v/>
      </c>
      <c r="E67" s="25" t="str">
        <f>IF(OR($B67="",基础资料!$B$6=""),"",SUMIFS(周转筐出入库明细!$J$4:$J$2004,周转筐出入库明细!$C$4:$C$2004,$B67,周转筐出入库明细!$D$4:$D$2004,基础资料!$B$6,周转筐出入库明细!$B$4:$B$2004,"&gt;="&amp;$BC$1,周转筐出入库明细!$B$4:$B$2004,"&lt;="&amp;$BC$2))</f>
        <v/>
      </c>
      <c r="F67" s="25" t="str">
        <f>IF(OR($B67="",基础资料!$B$7=""),"",SUMIFS(周转筐出入库明细!$J$4:$J$2004,周转筐出入库明细!$C$4:$C$2004,$B67,周转筐出入库明细!$D$4:$D$2004,基础资料!$B$7,周转筐出入库明细!$B$4:$B$2004,"&gt;="&amp;$BC$1,周转筐出入库明细!$B$4:$B$2004,"&lt;="&amp;$BC$2))</f>
        <v/>
      </c>
      <c r="G67" s="25" t="str">
        <f>IF(OR($B67="",基础资料!$B$8=""),"",SUMIFS(周转筐出入库明细!$J$4:$J$2004,周转筐出入库明细!$C$4:$C$2004,$B67,周转筐出入库明细!$D$4:$D$2004,基础资料!$B$8,周转筐出入库明细!$B$4:$B$2004,"&gt;="&amp;$BC$1,周转筐出入库明细!$B$4:$B$2004,"&lt;="&amp;$BC$2))</f>
        <v/>
      </c>
      <c r="H67" s="25" t="str">
        <f t="shared" si="1"/>
        <v/>
      </c>
      <c r="I67" s="67" t="str">
        <f>IF(OR($B67="",基础资料!$B$4=""),"",-SUMIFS(周转筐出入库明细!$I$4:$I$2004,周转筐出入库明细!$C$4:$C$2004,$B67,周转筐出入库明细!$D$4:$D$2004,基础资料!$B$4,周转筐出入库明细!$B$4:$B$2004,"&gt;="&amp;$BC$1,周转筐出入库明细!$B$4:$B$2004,"&lt;="&amp;$BC$2))</f>
        <v/>
      </c>
      <c r="J67" s="67" t="str">
        <f>IF(OR($B67="",基础资料!$B$5=""),"",-SUMIFS(周转筐出入库明细!$I$4:$I$2004,周转筐出入库明细!$C$4:$C$2004,$B67,周转筐出入库明细!$D$4:$D$2004,基础资料!$B$5,周转筐出入库明细!$B$4:$B$2004,"&gt;="&amp;$BC$1,周转筐出入库明细!$B$4:$B$2004,"&lt;="&amp;$BC$2))</f>
        <v/>
      </c>
      <c r="K67" s="67" t="str">
        <f>IF(OR($B67="",基础资料!$B$6=""),"",-SUMIFS(周转筐出入库明细!$I$4:$I$2004,周转筐出入库明细!$C$4:$C$2004,$B67,周转筐出入库明细!$D$4:$D$2004,基础资料!$B$6,周转筐出入库明细!$B$4:$B$2004,"&gt;="&amp;$BC$1,周转筐出入库明细!$B$4:$B$2004,"&lt;="&amp;$BC$2))</f>
        <v/>
      </c>
      <c r="L67" s="67" t="str">
        <f>IF(OR($B67="",基础资料!$B$7=""),"",-SUMIFS(周转筐出入库明细!$I$4:$I$2004,周转筐出入库明细!$C$4:$C$2004,$B67,周转筐出入库明细!$D$4:$D$2004,基础资料!$B$7,周转筐出入库明细!$B$4:$B$2004,"&gt;="&amp;$BC$1,周转筐出入库明细!$B$4:$B$2004,"&lt;="&amp;$BC$2))</f>
        <v/>
      </c>
      <c r="M67" s="67" t="str">
        <f>IF(OR($B67="",基础资料!$B$8=""),"",-SUMIFS(周转筐出入库明细!$I$4:$I$2004,周转筐出入库明细!$C$4:$C$2004,$B67,周转筐出入库明细!$D$4:$D$2004,基础资料!$B$8,周转筐出入库明细!$B$4:$B$2004,"&gt;="&amp;$BC$1,周转筐出入库明细!$B$4:$B$2004,"&lt;="&amp;$BC$2))</f>
        <v/>
      </c>
      <c r="N67" s="67" t="str">
        <f t="shared" si="2"/>
        <v/>
      </c>
      <c r="O67" s="25" t="str">
        <f>IF(OR($B67="",基础资料!$B$4=""),"",SUMIFS(周转筐出入库明细!$H$4:$H$2004,周转筐出入库明细!$C$4:$C$2004,$B67,周转筐出入库明细!$D$4:$D$2004,基础资料!$B$4,周转筐出入库明细!$F$4:$F$2004,"采购入库",周转筐出入库明细!$B$4:$B$2004,"&gt;="&amp;$BC$1,周转筐出入库明细!$B$4:$B$2004,"&lt;="&amp;$BC$2))</f>
        <v/>
      </c>
      <c r="P67" s="25" t="str">
        <f>IF(OR($B67="",基础资料!$B$5=""),"",SUMIFS(周转筐出入库明细!$H$4:$H$2004,周转筐出入库明细!$C$4:$C$2004,$B67,周转筐出入库明细!$D$4:$D$2004,基础资料!$B$5,周转筐出入库明细!$F$4:$F$2004,"采购入库",周转筐出入库明细!$B$4:$B$2004,"&gt;="&amp;$BC$1,周转筐出入库明细!$B$4:$B$2004,"&lt;="&amp;$BC$2))</f>
        <v/>
      </c>
      <c r="Q67" s="25" t="str">
        <f>IF(OR($B67="",基础资料!$B$6=""),"",SUMIFS(周转筐出入库明细!$H$4:$H$2004,周转筐出入库明细!$C$4:$C$2004,$B67,周转筐出入库明细!$D$4:$D$2004,基础资料!$B$6,周转筐出入库明细!$F$4:$F$2004,"采购入库",周转筐出入库明细!$B$4:$B$2004,"&gt;="&amp;$BC$1,周转筐出入库明细!$B$4:$B$2004,"&lt;="&amp;$BC$2))</f>
        <v/>
      </c>
      <c r="R67" s="25" t="str">
        <f>IF(OR($B67="",基础资料!$B$7=""),"",SUMIFS(周转筐出入库明细!$H$4:$H$2004,周转筐出入库明细!$C$4:$C$2004,$B67,周转筐出入库明细!$D$4:$D$2004,基础资料!$B$7,周转筐出入库明细!$F$4:$F$2004,"采购入库",周转筐出入库明细!$B$4:$B$2004,"&gt;="&amp;$BC$1,周转筐出入库明细!$B$4:$B$2004,"&lt;="&amp;$BC$2))</f>
        <v/>
      </c>
      <c r="S67" s="25" t="str">
        <f>IF(OR($B67="",基础资料!$B$8=""),"",SUMIFS(周转筐出入库明细!$H$4:$H$2004,周转筐出入库明细!$C$4:$C$2004,$B67,周转筐出入库明细!$D$4:$D$2004,基础资料!$B$8,周转筐出入库明细!$F$4:$F$2004,"采购入库",周转筐出入库明细!$B$4:$B$2004,"&gt;="&amp;$BC$1,周转筐出入库明细!$B$4:$B$2004,"&lt;="&amp;$BC$2))</f>
        <v/>
      </c>
      <c r="T67" s="25" t="str">
        <f t="shared" si="3"/>
        <v/>
      </c>
      <c r="U67" s="25" t="str">
        <f>IF(OR($B67="",基础资料!$B$4=""),"",SUMIFS(周转筐出入库明细!$K$4:$K$2004,周转筐出入库明细!$C$4:$C$2004,$B67,周转筐出入库明细!$D$4:$D$2004,基础资料!$B$4,周转筐出入库明细!$B$4:$B$2004,"&gt;="&amp;$BC$1,周转筐出入库明细!$B$4:$B$2004,"&lt;="&amp;$BC$2))</f>
        <v/>
      </c>
      <c r="V67" s="25" t="str">
        <f>IF(OR($B67="",基础资料!$B$5=""),"",SUMIFS(周转筐出入库明细!$K$4:$K$2004,周转筐出入库明细!$C$4:$C$2004,$B67,周转筐出入库明细!$D$4:$D$2004,基础资料!$B$5,周转筐出入库明细!$B$4:$B$2004,"&gt;="&amp;$BC$1,周转筐出入库明细!$B$4:$B$2004,"&lt;="&amp;$BC$2))</f>
        <v/>
      </c>
      <c r="W67" s="25" t="str">
        <f>IF(OR($B67="",基础资料!$B$6=""),"",SUMIFS(周转筐出入库明细!$K$4:$K$2004,周转筐出入库明细!$C$4:$C$2004,$B67,周转筐出入库明细!$D$4:$D$2004,基础资料!$B$6,周转筐出入库明细!$B$4:$B$2004,"&gt;="&amp;$BC$1,周转筐出入库明细!$B$4:$B$2004,"&lt;="&amp;$BC$2))</f>
        <v/>
      </c>
      <c r="X67" s="25" t="str">
        <f>IF(OR($B67="",基础资料!$B$7=""),"",SUMIFS(周转筐出入库明细!$K$4:$K$2004,周转筐出入库明细!$C$4:$C$2004,$B67,周转筐出入库明细!$D$4:$D$2004,基础资料!$B$7,周转筐出入库明细!$B$4:$B$2004,"&gt;="&amp;$BC$1,周转筐出入库明细!$B$4:$B$2004,"&lt;="&amp;$BC$2))</f>
        <v/>
      </c>
      <c r="Y67" s="25" t="str">
        <f>IF(OR($B67="",基础资料!$B$8=""),"",SUMIFS(周转筐出入库明细!$K$4:$K$2004,周转筐出入库明细!$C$4:$C$2004,$B67,周转筐出入库明细!$D$4:$D$2004,基础资料!$B$8,周转筐出入库明细!$B$4:$B$2004,"&gt;="&amp;$BC$1,周转筐出入库明细!$B$4:$B$2004,"&lt;="&amp;$BC$2))</f>
        <v/>
      </c>
      <c r="Z67" s="25" t="str">
        <f t="shared" si="4"/>
        <v/>
      </c>
      <c r="AA67" s="67" t="str">
        <f>IF(OR($B67="",基础资料!$B$4=""),"",-SUMIFS(对接源_01水果筐数!$D$5:$D$304,对接源_01水果筐数!$B$5:$B$304,$B67,对接源_01水果筐数!$C$5:$C$304,基础资料!$B$4))</f>
        <v/>
      </c>
      <c r="AB67" s="67" t="str">
        <f>IF(OR($B67="",基础资料!$B$5=""),"",-SUMIFS(对接源_01水果筐数!$D$5:$D$304,对接源_01水果筐数!$B$5:$B$304,$B67,对接源_01水果筐数!$C$5:$C$304,基础资料!$B$5))</f>
        <v/>
      </c>
      <c r="AC67" s="67" t="str">
        <f>IF(OR($B67="",基础资料!$B$6=""),"",-SUMIFS(对接源_01水果筐数!$D$5:$D$304,对接源_01水果筐数!$B$5:$B$304,$B67,对接源_01水果筐数!$C$5:$C$304,基础资料!$B$6))</f>
        <v/>
      </c>
      <c r="AD67" s="67" t="str">
        <f>IF(OR($B67="",基础资料!$B$7=""),"",-SUMIFS(对接源_01水果筐数!$D$5:$D$304,对接源_01水果筐数!$B$5:$B$304,$B67,对接源_01水果筐数!$C$5:$C$304,基础资料!$B$7))</f>
        <v/>
      </c>
      <c r="AE67" s="67" t="str">
        <f>IF(OR($B67="",基础资料!$B$8=""),"",-SUMIFS(对接源_01水果筐数!$D$5:$D$304,对接源_01水果筐数!$B$5:$B$304,$B67,对接源_01水果筐数!$C$5:$C$304,基础资料!$B$8))</f>
        <v/>
      </c>
      <c r="AF67" s="25" t="str">
        <f>IF(OR($B67="",基础资料!$B$4=""),"",SUMIFS(对接源_01水果筐数!$E$5:$E$304,对接源_01水果筐数!$B$5:$B$304,$B67,对接源_01水果筐数!$C$5:$C$304,基础资料!$B$4))</f>
        <v/>
      </c>
      <c r="AG67" s="25" t="str">
        <f>IF(OR($B67="",基础资料!$B$5=""),"",SUMIFS(对接源_01水果筐数!$E$5:$E$304,对接源_01水果筐数!$B$5:$B$304,$B67,对接源_01水果筐数!$C$5:$C$304,基础资料!$B$5))</f>
        <v/>
      </c>
      <c r="AH67" s="25" t="str">
        <f>IF(OR($B67="",基础资料!$B$6=""),"",SUMIFS(对接源_01水果筐数!$E$5:$E$304,对接源_01水果筐数!$B$5:$B$304,$B67,对接源_01水果筐数!$C$5:$C$304,基础资料!$B$6))</f>
        <v/>
      </c>
      <c r="AI67" s="25" t="str">
        <f>IF(OR($B67="",基础资料!$B$7=""),"",SUMIFS(对接源_01水果筐数!$E$5:$E$304,对接源_01水果筐数!$B$5:$B$304,$B67,对接源_01水果筐数!$C$5:$C$304,基础资料!$B$7))</f>
        <v/>
      </c>
      <c r="AJ67" s="25" t="str">
        <f>IF(OR($B67="",基础资料!$B$8=""),"",SUMIFS(对接源_01水果筐数!$E$5:$E$304,对接源_01水果筐数!$B$5:$B$304,$B67,对接源_01水果筐数!$C$5:$C$304,基础资料!$B$8))</f>
        <v/>
      </c>
      <c r="AK67" s="25" t="str">
        <f>IF(OR($B67="",基础资料!$B$4=""),"",SUMIFS(对接源_01水果筐数!$F$5:$F$304,对接源_01水果筐数!$B$5:$B$304,$B67,对接源_01水果筐数!$C$5:$C$304,基础资料!$B$4))</f>
        <v/>
      </c>
      <c r="AL67" s="25" t="str">
        <f>IF(OR($B67="",基础资料!$B$5=""),"",SUMIFS(对接源_01水果筐数!$F$5:$F$304,对接源_01水果筐数!$B$5:$B$304,$B67,对接源_01水果筐数!$C$5:$C$304,基础资料!$B$5))</f>
        <v/>
      </c>
      <c r="AM67" s="25" t="str">
        <f>IF(OR($B67="",基础资料!$B$6=""),"",SUMIFS(对接源_01水果筐数!$F$5:$F$304,对接源_01水果筐数!$B$5:$B$304,$B67,对接源_01水果筐数!$C$5:$C$304,基础资料!$B$6))</f>
        <v/>
      </c>
      <c r="AN67" s="25" t="str">
        <f>IF(OR($B67="",基础资料!$B$7=""),"",SUMIFS(对接源_01水果筐数!$F$5:$F$304,对接源_01水果筐数!$B$5:$B$304,$B67,对接源_01水果筐数!$C$5:$C$304,基础资料!$B$7))</f>
        <v/>
      </c>
      <c r="AO67" s="25" t="str">
        <f>IF(OR($B67="",基础资料!$B$8=""),"",SUMIFS(对接源_01水果筐数!$F$5:$F$304,对接源_01水果筐数!$B$5:$B$304,$B67,对接源_01水果筐数!$C$5:$C$304,基础资料!$B$8))</f>
        <v/>
      </c>
      <c r="AP67" s="25" t="str">
        <f t="shared" si="5"/>
        <v/>
      </c>
      <c r="AQ67" s="25" t="str">
        <f t="shared" si="11"/>
        <v/>
      </c>
      <c r="AR67" s="25" t="str">
        <f t="shared" si="6"/>
        <v/>
      </c>
      <c r="AS67" s="25" t="str">
        <f t="shared" si="7"/>
        <v/>
      </c>
      <c r="AT67" s="25" t="str">
        <f t="shared" si="8"/>
        <v/>
      </c>
      <c r="AU67" s="25" t="str">
        <f t="shared" si="9"/>
        <v/>
      </c>
      <c r="AV67" s="24" t="str">
        <f t="shared" si="10"/>
        <v/>
      </c>
      <c r="AW67" s="72"/>
    </row>
    <row r="68" spans="1:49">
      <c r="A68" s="22" t="str">
        <f t="shared" ref="A68:A131" si="12">IF($B68="","",ROW()-3)</f>
        <v/>
      </c>
      <c r="B68" s="24" t="str">
        <f>IFERROR(INDEX(_自动清单!$CC$4:$CC$253,ROW()-3),"")</f>
        <v/>
      </c>
      <c r="C68" s="25" t="str">
        <f>IF(OR($B68="",基础资料!$B$4=""),"",SUMIFS(周转筐出入库明细!$J$4:$J$2004,周转筐出入库明细!$C$4:$C$2004,$B68,周转筐出入库明细!$D$4:$D$2004,基础资料!$B$4,周转筐出入库明细!$B$4:$B$2004,"&gt;="&amp;$BC$1,周转筐出入库明细!$B$4:$B$2004,"&lt;="&amp;$BC$2))</f>
        <v/>
      </c>
      <c r="D68" s="25" t="str">
        <f>IF(OR($B68="",基础资料!$B$5=""),"",SUMIFS(周转筐出入库明细!$J$4:$J$2004,周转筐出入库明细!$C$4:$C$2004,$B68,周转筐出入库明细!$D$4:$D$2004,基础资料!$B$5,周转筐出入库明细!$B$4:$B$2004,"&gt;="&amp;$BC$1,周转筐出入库明细!$B$4:$B$2004,"&lt;="&amp;$BC$2))</f>
        <v/>
      </c>
      <c r="E68" s="25" t="str">
        <f>IF(OR($B68="",基础资料!$B$6=""),"",SUMIFS(周转筐出入库明细!$J$4:$J$2004,周转筐出入库明细!$C$4:$C$2004,$B68,周转筐出入库明细!$D$4:$D$2004,基础资料!$B$6,周转筐出入库明细!$B$4:$B$2004,"&gt;="&amp;$BC$1,周转筐出入库明细!$B$4:$B$2004,"&lt;="&amp;$BC$2))</f>
        <v/>
      </c>
      <c r="F68" s="25" t="str">
        <f>IF(OR($B68="",基础资料!$B$7=""),"",SUMIFS(周转筐出入库明细!$J$4:$J$2004,周转筐出入库明细!$C$4:$C$2004,$B68,周转筐出入库明细!$D$4:$D$2004,基础资料!$B$7,周转筐出入库明细!$B$4:$B$2004,"&gt;="&amp;$BC$1,周转筐出入库明细!$B$4:$B$2004,"&lt;="&amp;$BC$2))</f>
        <v/>
      </c>
      <c r="G68" s="25" t="str">
        <f>IF(OR($B68="",基础资料!$B$8=""),"",SUMIFS(周转筐出入库明细!$J$4:$J$2004,周转筐出入库明细!$C$4:$C$2004,$B68,周转筐出入库明细!$D$4:$D$2004,基础资料!$B$8,周转筐出入库明细!$B$4:$B$2004,"&gt;="&amp;$BC$1,周转筐出入库明细!$B$4:$B$2004,"&lt;="&amp;$BC$2))</f>
        <v/>
      </c>
      <c r="H68" s="25" t="str">
        <f t="shared" ref="H68:H131" si="13">IF($B68="","",SUM(C68:G68))</f>
        <v/>
      </c>
      <c r="I68" s="67" t="str">
        <f>IF(OR($B68="",基础资料!$B$4=""),"",-SUMIFS(周转筐出入库明细!$I$4:$I$2004,周转筐出入库明细!$C$4:$C$2004,$B68,周转筐出入库明细!$D$4:$D$2004,基础资料!$B$4,周转筐出入库明细!$B$4:$B$2004,"&gt;="&amp;$BC$1,周转筐出入库明细!$B$4:$B$2004,"&lt;="&amp;$BC$2))</f>
        <v/>
      </c>
      <c r="J68" s="67" t="str">
        <f>IF(OR($B68="",基础资料!$B$5=""),"",-SUMIFS(周转筐出入库明细!$I$4:$I$2004,周转筐出入库明细!$C$4:$C$2004,$B68,周转筐出入库明细!$D$4:$D$2004,基础资料!$B$5,周转筐出入库明细!$B$4:$B$2004,"&gt;="&amp;$BC$1,周转筐出入库明细!$B$4:$B$2004,"&lt;="&amp;$BC$2))</f>
        <v/>
      </c>
      <c r="K68" s="67" t="str">
        <f>IF(OR($B68="",基础资料!$B$6=""),"",-SUMIFS(周转筐出入库明细!$I$4:$I$2004,周转筐出入库明细!$C$4:$C$2004,$B68,周转筐出入库明细!$D$4:$D$2004,基础资料!$B$6,周转筐出入库明细!$B$4:$B$2004,"&gt;="&amp;$BC$1,周转筐出入库明细!$B$4:$B$2004,"&lt;="&amp;$BC$2))</f>
        <v/>
      </c>
      <c r="L68" s="67" t="str">
        <f>IF(OR($B68="",基础资料!$B$7=""),"",-SUMIFS(周转筐出入库明细!$I$4:$I$2004,周转筐出入库明细!$C$4:$C$2004,$B68,周转筐出入库明细!$D$4:$D$2004,基础资料!$B$7,周转筐出入库明细!$B$4:$B$2004,"&gt;="&amp;$BC$1,周转筐出入库明细!$B$4:$B$2004,"&lt;="&amp;$BC$2))</f>
        <v/>
      </c>
      <c r="M68" s="67" t="str">
        <f>IF(OR($B68="",基础资料!$B$8=""),"",-SUMIFS(周转筐出入库明细!$I$4:$I$2004,周转筐出入库明细!$C$4:$C$2004,$B68,周转筐出入库明细!$D$4:$D$2004,基础资料!$B$8,周转筐出入库明细!$B$4:$B$2004,"&gt;="&amp;$BC$1,周转筐出入库明细!$B$4:$B$2004,"&lt;="&amp;$BC$2))</f>
        <v/>
      </c>
      <c r="N68" s="67" t="str">
        <f t="shared" ref="N68:N131" si="14">IF($B68="","",SUM(I68:M68))</f>
        <v/>
      </c>
      <c r="O68" s="25" t="str">
        <f>IF(OR($B68="",基础资料!$B$4=""),"",SUMIFS(周转筐出入库明细!$H$4:$H$2004,周转筐出入库明细!$C$4:$C$2004,$B68,周转筐出入库明细!$D$4:$D$2004,基础资料!$B$4,周转筐出入库明细!$F$4:$F$2004,"采购入库",周转筐出入库明细!$B$4:$B$2004,"&gt;="&amp;$BC$1,周转筐出入库明细!$B$4:$B$2004,"&lt;="&amp;$BC$2))</f>
        <v/>
      </c>
      <c r="P68" s="25" t="str">
        <f>IF(OR($B68="",基础资料!$B$5=""),"",SUMIFS(周转筐出入库明细!$H$4:$H$2004,周转筐出入库明细!$C$4:$C$2004,$B68,周转筐出入库明细!$D$4:$D$2004,基础资料!$B$5,周转筐出入库明细!$F$4:$F$2004,"采购入库",周转筐出入库明细!$B$4:$B$2004,"&gt;="&amp;$BC$1,周转筐出入库明细!$B$4:$B$2004,"&lt;="&amp;$BC$2))</f>
        <v/>
      </c>
      <c r="Q68" s="25" t="str">
        <f>IF(OR($B68="",基础资料!$B$6=""),"",SUMIFS(周转筐出入库明细!$H$4:$H$2004,周转筐出入库明细!$C$4:$C$2004,$B68,周转筐出入库明细!$D$4:$D$2004,基础资料!$B$6,周转筐出入库明细!$F$4:$F$2004,"采购入库",周转筐出入库明细!$B$4:$B$2004,"&gt;="&amp;$BC$1,周转筐出入库明细!$B$4:$B$2004,"&lt;="&amp;$BC$2))</f>
        <v/>
      </c>
      <c r="R68" s="25" t="str">
        <f>IF(OR($B68="",基础资料!$B$7=""),"",SUMIFS(周转筐出入库明细!$H$4:$H$2004,周转筐出入库明细!$C$4:$C$2004,$B68,周转筐出入库明细!$D$4:$D$2004,基础资料!$B$7,周转筐出入库明细!$F$4:$F$2004,"采购入库",周转筐出入库明细!$B$4:$B$2004,"&gt;="&amp;$BC$1,周转筐出入库明细!$B$4:$B$2004,"&lt;="&amp;$BC$2))</f>
        <v/>
      </c>
      <c r="S68" s="25" t="str">
        <f>IF(OR($B68="",基础资料!$B$8=""),"",SUMIFS(周转筐出入库明细!$H$4:$H$2004,周转筐出入库明细!$C$4:$C$2004,$B68,周转筐出入库明细!$D$4:$D$2004,基础资料!$B$8,周转筐出入库明细!$F$4:$F$2004,"采购入库",周转筐出入库明细!$B$4:$B$2004,"&gt;="&amp;$BC$1,周转筐出入库明细!$B$4:$B$2004,"&lt;="&amp;$BC$2))</f>
        <v/>
      </c>
      <c r="T68" s="25" t="str">
        <f t="shared" ref="T68:T131" si="15">IF($B68="","",SUM(O68:S68))</f>
        <v/>
      </c>
      <c r="U68" s="25" t="str">
        <f>IF(OR($B68="",基础资料!$B$4=""),"",SUMIFS(周转筐出入库明细!$K$4:$K$2004,周转筐出入库明细!$C$4:$C$2004,$B68,周转筐出入库明细!$D$4:$D$2004,基础资料!$B$4,周转筐出入库明细!$B$4:$B$2004,"&gt;="&amp;$BC$1,周转筐出入库明细!$B$4:$B$2004,"&lt;="&amp;$BC$2))</f>
        <v/>
      </c>
      <c r="V68" s="25" t="str">
        <f>IF(OR($B68="",基础资料!$B$5=""),"",SUMIFS(周转筐出入库明细!$K$4:$K$2004,周转筐出入库明细!$C$4:$C$2004,$B68,周转筐出入库明细!$D$4:$D$2004,基础资料!$B$5,周转筐出入库明细!$B$4:$B$2004,"&gt;="&amp;$BC$1,周转筐出入库明细!$B$4:$B$2004,"&lt;="&amp;$BC$2))</f>
        <v/>
      </c>
      <c r="W68" s="25" t="str">
        <f>IF(OR($B68="",基础资料!$B$6=""),"",SUMIFS(周转筐出入库明细!$K$4:$K$2004,周转筐出入库明细!$C$4:$C$2004,$B68,周转筐出入库明细!$D$4:$D$2004,基础资料!$B$6,周转筐出入库明细!$B$4:$B$2004,"&gt;="&amp;$BC$1,周转筐出入库明细!$B$4:$B$2004,"&lt;="&amp;$BC$2))</f>
        <v/>
      </c>
      <c r="X68" s="25" t="str">
        <f>IF(OR($B68="",基础资料!$B$7=""),"",SUMIFS(周转筐出入库明细!$K$4:$K$2004,周转筐出入库明细!$C$4:$C$2004,$B68,周转筐出入库明细!$D$4:$D$2004,基础资料!$B$7,周转筐出入库明细!$B$4:$B$2004,"&gt;="&amp;$BC$1,周转筐出入库明细!$B$4:$B$2004,"&lt;="&amp;$BC$2))</f>
        <v/>
      </c>
      <c r="Y68" s="25" t="str">
        <f>IF(OR($B68="",基础资料!$B$8=""),"",SUMIFS(周转筐出入库明细!$K$4:$K$2004,周转筐出入库明细!$C$4:$C$2004,$B68,周转筐出入库明细!$D$4:$D$2004,基础资料!$B$8,周转筐出入库明细!$B$4:$B$2004,"&gt;="&amp;$BC$1,周转筐出入库明细!$B$4:$B$2004,"&lt;="&amp;$BC$2))</f>
        <v/>
      </c>
      <c r="Z68" s="25" t="str">
        <f t="shared" ref="Z68:Z131" si="16">IF($B68="","",SUM(U68:Y68))</f>
        <v/>
      </c>
      <c r="AA68" s="67" t="str">
        <f>IF(OR($B68="",基础资料!$B$4=""),"",-SUMIFS(对接源_01水果筐数!$D$5:$D$304,对接源_01水果筐数!$B$5:$B$304,$B68,对接源_01水果筐数!$C$5:$C$304,基础资料!$B$4))</f>
        <v/>
      </c>
      <c r="AB68" s="67" t="str">
        <f>IF(OR($B68="",基础资料!$B$5=""),"",-SUMIFS(对接源_01水果筐数!$D$5:$D$304,对接源_01水果筐数!$B$5:$B$304,$B68,对接源_01水果筐数!$C$5:$C$304,基础资料!$B$5))</f>
        <v/>
      </c>
      <c r="AC68" s="67" t="str">
        <f>IF(OR($B68="",基础资料!$B$6=""),"",-SUMIFS(对接源_01水果筐数!$D$5:$D$304,对接源_01水果筐数!$B$5:$B$304,$B68,对接源_01水果筐数!$C$5:$C$304,基础资料!$B$6))</f>
        <v/>
      </c>
      <c r="AD68" s="67" t="str">
        <f>IF(OR($B68="",基础资料!$B$7=""),"",-SUMIFS(对接源_01水果筐数!$D$5:$D$304,对接源_01水果筐数!$B$5:$B$304,$B68,对接源_01水果筐数!$C$5:$C$304,基础资料!$B$7))</f>
        <v/>
      </c>
      <c r="AE68" s="67" t="str">
        <f>IF(OR($B68="",基础资料!$B$8=""),"",-SUMIFS(对接源_01水果筐数!$D$5:$D$304,对接源_01水果筐数!$B$5:$B$304,$B68,对接源_01水果筐数!$C$5:$C$304,基础资料!$B$8))</f>
        <v/>
      </c>
      <c r="AF68" s="25" t="str">
        <f>IF(OR($B68="",基础资料!$B$4=""),"",SUMIFS(对接源_01水果筐数!$E$5:$E$304,对接源_01水果筐数!$B$5:$B$304,$B68,对接源_01水果筐数!$C$5:$C$304,基础资料!$B$4))</f>
        <v/>
      </c>
      <c r="AG68" s="25" t="str">
        <f>IF(OR($B68="",基础资料!$B$5=""),"",SUMIFS(对接源_01水果筐数!$E$5:$E$304,对接源_01水果筐数!$B$5:$B$304,$B68,对接源_01水果筐数!$C$5:$C$304,基础资料!$B$5))</f>
        <v/>
      </c>
      <c r="AH68" s="25" t="str">
        <f>IF(OR($B68="",基础资料!$B$6=""),"",SUMIFS(对接源_01水果筐数!$E$5:$E$304,对接源_01水果筐数!$B$5:$B$304,$B68,对接源_01水果筐数!$C$5:$C$304,基础资料!$B$6))</f>
        <v/>
      </c>
      <c r="AI68" s="25" t="str">
        <f>IF(OR($B68="",基础资料!$B$7=""),"",SUMIFS(对接源_01水果筐数!$E$5:$E$304,对接源_01水果筐数!$B$5:$B$304,$B68,对接源_01水果筐数!$C$5:$C$304,基础资料!$B$7))</f>
        <v/>
      </c>
      <c r="AJ68" s="25" t="str">
        <f>IF(OR($B68="",基础资料!$B$8=""),"",SUMIFS(对接源_01水果筐数!$E$5:$E$304,对接源_01水果筐数!$B$5:$B$304,$B68,对接源_01水果筐数!$C$5:$C$304,基础资料!$B$8))</f>
        <v/>
      </c>
      <c r="AK68" s="25" t="str">
        <f>IF(OR($B68="",基础资料!$B$4=""),"",SUMIFS(对接源_01水果筐数!$F$5:$F$304,对接源_01水果筐数!$B$5:$B$304,$B68,对接源_01水果筐数!$C$5:$C$304,基础资料!$B$4))</f>
        <v/>
      </c>
      <c r="AL68" s="25" t="str">
        <f>IF(OR($B68="",基础资料!$B$5=""),"",SUMIFS(对接源_01水果筐数!$F$5:$F$304,对接源_01水果筐数!$B$5:$B$304,$B68,对接源_01水果筐数!$C$5:$C$304,基础资料!$B$5))</f>
        <v/>
      </c>
      <c r="AM68" s="25" t="str">
        <f>IF(OR($B68="",基础资料!$B$6=""),"",SUMIFS(对接源_01水果筐数!$F$5:$F$304,对接源_01水果筐数!$B$5:$B$304,$B68,对接源_01水果筐数!$C$5:$C$304,基础资料!$B$6))</f>
        <v/>
      </c>
      <c r="AN68" s="25" t="str">
        <f>IF(OR($B68="",基础资料!$B$7=""),"",SUMIFS(对接源_01水果筐数!$F$5:$F$304,对接源_01水果筐数!$B$5:$B$304,$B68,对接源_01水果筐数!$C$5:$C$304,基础资料!$B$7))</f>
        <v/>
      </c>
      <c r="AO68" s="25" t="str">
        <f>IF(OR($B68="",基础资料!$B$8=""),"",SUMIFS(对接源_01水果筐数!$F$5:$F$304,对接源_01水果筐数!$B$5:$B$304,$B68,对接源_01水果筐数!$C$5:$C$304,基础资料!$B$8))</f>
        <v/>
      </c>
      <c r="AP68" s="25" t="str">
        <f t="shared" ref="AP68:AP131" si="17">IF($B68="","",N(C68)+N(I68)+N(AA68)+N(AF68)+N(AK68))</f>
        <v/>
      </c>
      <c r="AQ68" s="25" t="str">
        <f t="shared" ref="AQ68:AQ131" si="18">IF($B68="","",N(D68)+N(J68)+N(AB68)+N(AG68)+N(AL68))</f>
        <v/>
      </c>
      <c r="AR68" s="25" t="str">
        <f t="shared" ref="AR68:AR131" si="19">IF($B68="","",N(E68)+N(K68)+N(AC68)+N(AH68)+N(AM68))</f>
        <v/>
      </c>
      <c r="AS68" s="25" t="str">
        <f t="shared" ref="AS68:AS131" si="20">IF($B68="","",N(F68)+N(L68)+N(AD68)+N(AI68)+N(AN68))</f>
        <v/>
      </c>
      <c r="AT68" s="25" t="str">
        <f t="shared" ref="AT68:AT131" si="21">IF($B68="","",N(G68)+N(M68)+N(AE68)+N(AJ68)+N(AO68))</f>
        <v/>
      </c>
      <c r="AU68" s="25" t="str">
        <f t="shared" ref="AU68:AU131" si="22">IF($B68="","",SUM(AP68:AT68))</f>
        <v/>
      </c>
      <c r="AV68" s="24" t="str">
        <f t="shared" ref="AV68:AV131" si="23">IF($B68="","",IF(N($AU68)&gt;0,"⚠ 有 "&amp;N($AU68)&amp;" 个筐未回","✔ 已回清"))</f>
        <v/>
      </c>
      <c r="AW68" s="72"/>
    </row>
    <row r="69" spans="1:49">
      <c r="A69" s="22" t="str">
        <f t="shared" si="12"/>
        <v/>
      </c>
      <c r="B69" s="24" t="str">
        <f>IFERROR(INDEX(_自动清单!$CC$4:$CC$253,ROW()-3),"")</f>
        <v/>
      </c>
      <c r="C69" s="25" t="str">
        <f>IF(OR($B69="",基础资料!$B$4=""),"",SUMIFS(周转筐出入库明细!$J$4:$J$2004,周转筐出入库明细!$C$4:$C$2004,$B69,周转筐出入库明细!$D$4:$D$2004,基础资料!$B$4,周转筐出入库明细!$B$4:$B$2004,"&gt;="&amp;$BC$1,周转筐出入库明细!$B$4:$B$2004,"&lt;="&amp;$BC$2))</f>
        <v/>
      </c>
      <c r="D69" s="25" t="str">
        <f>IF(OR($B69="",基础资料!$B$5=""),"",SUMIFS(周转筐出入库明细!$J$4:$J$2004,周转筐出入库明细!$C$4:$C$2004,$B69,周转筐出入库明细!$D$4:$D$2004,基础资料!$B$5,周转筐出入库明细!$B$4:$B$2004,"&gt;="&amp;$BC$1,周转筐出入库明细!$B$4:$B$2004,"&lt;="&amp;$BC$2))</f>
        <v/>
      </c>
      <c r="E69" s="25" t="str">
        <f>IF(OR($B69="",基础资料!$B$6=""),"",SUMIFS(周转筐出入库明细!$J$4:$J$2004,周转筐出入库明细!$C$4:$C$2004,$B69,周转筐出入库明细!$D$4:$D$2004,基础资料!$B$6,周转筐出入库明细!$B$4:$B$2004,"&gt;="&amp;$BC$1,周转筐出入库明细!$B$4:$B$2004,"&lt;="&amp;$BC$2))</f>
        <v/>
      </c>
      <c r="F69" s="25" t="str">
        <f>IF(OR($B69="",基础资料!$B$7=""),"",SUMIFS(周转筐出入库明细!$J$4:$J$2004,周转筐出入库明细!$C$4:$C$2004,$B69,周转筐出入库明细!$D$4:$D$2004,基础资料!$B$7,周转筐出入库明细!$B$4:$B$2004,"&gt;="&amp;$BC$1,周转筐出入库明细!$B$4:$B$2004,"&lt;="&amp;$BC$2))</f>
        <v/>
      </c>
      <c r="G69" s="25" t="str">
        <f>IF(OR($B69="",基础资料!$B$8=""),"",SUMIFS(周转筐出入库明细!$J$4:$J$2004,周转筐出入库明细!$C$4:$C$2004,$B69,周转筐出入库明细!$D$4:$D$2004,基础资料!$B$8,周转筐出入库明细!$B$4:$B$2004,"&gt;="&amp;$BC$1,周转筐出入库明细!$B$4:$B$2004,"&lt;="&amp;$BC$2))</f>
        <v/>
      </c>
      <c r="H69" s="25" t="str">
        <f t="shared" si="13"/>
        <v/>
      </c>
      <c r="I69" s="67" t="str">
        <f>IF(OR($B69="",基础资料!$B$4=""),"",-SUMIFS(周转筐出入库明细!$I$4:$I$2004,周转筐出入库明细!$C$4:$C$2004,$B69,周转筐出入库明细!$D$4:$D$2004,基础资料!$B$4,周转筐出入库明细!$B$4:$B$2004,"&gt;="&amp;$BC$1,周转筐出入库明细!$B$4:$B$2004,"&lt;="&amp;$BC$2))</f>
        <v/>
      </c>
      <c r="J69" s="67" t="str">
        <f>IF(OR($B69="",基础资料!$B$5=""),"",-SUMIFS(周转筐出入库明细!$I$4:$I$2004,周转筐出入库明细!$C$4:$C$2004,$B69,周转筐出入库明细!$D$4:$D$2004,基础资料!$B$5,周转筐出入库明细!$B$4:$B$2004,"&gt;="&amp;$BC$1,周转筐出入库明细!$B$4:$B$2004,"&lt;="&amp;$BC$2))</f>
        <v/>
      </c>
      <c r="K69" s="67" t="str">
        <f>IF(OR($B69="",基础资料!$B$6=""),"",-SUMIFS(周转筐出入库明细!$I$4:$I$2004,周转筐出入库明细!$C$4:$C$2004,$B69,周转筐出入库明细!$D$4:$D$2004,基础资料!$B$6,周转筐出入库明细!$B$4:$B$2004,"&gt;="&amp;$BC$1,周转筐出入库明细!$B$4:$B$2004,"&lt;="&amp;$BC$2))</f>
        <v/>
      </c>
      <c r="L69" s="67" t="str">
        <f>IF(OR($B69="",基础资料!$B$7=""),"",-SUMIFS(周转筐出入库明细!$I$4:$I$2004,周转筐出入库明细!$C$4:$C$2004,$B69,周转筐出入库明细!$D$4:$D$2004,基础资料!$B$7,周转筐出入库明细!$B$4:$B$2004,"&gt;="&amp;$BC$1,周转筐出入库明细!$B$4:$B$2004,"&lt;="&amp;$BC$2))</f>
        <v/>
      </c>
      <c r="M69" s="67" t="str">
        <f>IF(OR($B69="",基础资料!$B$8=""),"",-SUMIFS(周转筐出入库明细!$I$4:$I$2004,周转筐出入库明细!$C$4:$C$2004,$B69,周转筐出入库明细!$D$4:$D$2004,基础资料!$B$8,周转筐出入库明细!$B$4:$B$2004,"&gt;="&amp;$BC$1,周转筐出入库明细!$B$4:$B$2004,"&lt;="&amp;$BC$2))</f>
        <v/>
      </c>
      <c r="N69" s="67" t="str">
        <f t="shared" si="14"/>
        <v/>
      </c>
      <c r="O69" s="25" t="str">
        <f>IF(OR($B69="",基础资料!$B$4=""),"",SUMIFS(周转筐出入库明细!$H$4:$H$2004,周转筐出入库明细!$C$4:$C$2004,$B69,周转筐出入库明细!$D$4:$D$2004,基础资料!$B$4,周转筐出入库明细!$F$4:$F$2004,"采购入库",周转筐出入库明细!$B$4:$B$2004,"&gt;="&amp;$BC$1,周转筐出入库明细!$B$4:$B$2004,"&lt;="&amp;$BC$2))</f>
        <v/>
      </c>
      <c r="P69" s="25" t="str">
        <f>IF(OR($B69="",基础资料!$B$5=""),"",SUMIFS(周转筐出入库明细!$H$4:$H$2004,周转筐出入库明细!$C$4:$C$2004,$B69,周转筐出入库明细!$D$4:$D$2004,基础资料!$B$5,周转筐出入库明细!$F$4:$F$2004,"采购入库",周转筐出入库明细!$B$4:$B$2004,"&gt;="&amp;$BC$1,周转筐出入库明细!$B$4:$B$2004,"&lt;="&amp;$BC$2))</f>
        <v/>
      </c>
      <c r="Q69" s="25" t="str">
        <f>IF(OR($B69="",基础资料!$B$6=""),"",SUMIFS(周转筐出入库明细!$H$4:$H$2004,周转筐出入库明细!$C$4:$C$2004,$B69,周转筐出入库明细!$D$4:$D$2004,基础资料!$B$6,周转筐出入库明细!$F$4:$F$2004,"采购入库",周转筐出入库明细!$B$4:$B$2004,"&gt;="&amp;$BC$1,周转筐出入库明细!$B$4:$B$2004,"&lt;="&amp;$BC$2))</f>
        <v/>
      </c>
      <c r="R69" s="25" t="str">
        <f>IF(OR($B69="",基础资料!$B$7=""),"",SUMIFS(周转筐出入库明细!$H$4:$H$2004,周转筐出入库明细!$C$4:$C$2004,$B69,周转筐出入库明细!$D$4:$D$2004,基础资料!$B$7,周转筐出入库明细!$F$4:$F$2004,"采购入库",周转筐出入库明细!$B$4:$B$2004,"&gt;="&amp;$BC$1,周转筐出入库明细!$B$4:$B$2004,"&lt;="&amp;$BC$2))</f>
        <v/>
      </c>
      <c r="S69" s="25" t="str">
        <f>IF(OR($B69="",基础资料!$B$8=""),"",SUMIFS(周转筐出入库明细!$H$4:$H$2004,周转筐出入库明细!$C$4:$C$2004,$B69,周转筐出入库明细!$D$4:$D$2004,基础资料!$B$8,周转筐出入库明细!$F$4:$F$2004,"采购入库",周转筐出入库明细!$B$4:$B$2004,"&gt;="&amp;$BC$1,周转筐出入库明细!$B$4:$B$2004,"&lt;="&amp;$BC$2))</f>
        <v/>
      </c>
      <c r="T69" s="25" t="str">
        <f t="shared" si="15"/>
        <v/>
      </c>
      <c r="U69" s="25" t="str">
        <f>IF(OR($B69="",基础资料!$B$4=""),"",SUMIFS(周转筐出入库明细!$K$4:$K$2004,周转筐出入库明细!$C$4:$C$2004,$B69,周转筐出入库明细!$D$4:$D$2004,基础资料!$B$4,周转筐出入库明细!$B$4:$B$2004,"&gt;="&amp;$BC$1,周转筐出入库明细!$B$4:$B$2004,"&lt;="&amp;$BC$2))</f>
        <v/>
      </c>
      <c r="V69" s="25" t="str">
        <f>IF(OR($B69="",基础资料!$B$5=""),"",SUMIFS(周转筐出入库明细!$K$4:$K$2004,周转筐出入库明细!$C$4:$C$2004,$B69,周转筐出入库明细!$D$4:$D$2004,基础资料!$B$5,周转筐出入库明细!$B$4:$B$2004,"&gt;="&amp;$BC$1,周转筐出入库明细!$B$4:$B$2004,"&lt;="&amp;$BC$2))</f>
        <v/>
      </c>
      <c r="W69" s="25" t="str">
        <f>IF(OR($B69="",基础资料!$B$6=""),"",SUMIFS(周转筐出入库明细!$K$4:$K$2004,周转筐出入库明细!$C$4:$C$2004,$B69,周转筐出入库明细!$D$4:$D$2004,基础资料!$B$6,周转筐出入库明细!$B$4:$B$2004,"&gt;="&amp;$BC$1,周转筐出入库明细!$B$4:$B$2004,"&lt;="&amp;$BC$2))</f>
        <v/>
      </c>
      <c r="X69" s="25" t="str">
        <f>IF(OR($B69="",基础资料!$B$7=""),"",SUMIFS(周转筐出入库明细!$K$4:$K$2004,周转筐出入库明细!$C$4:$C$2004,$B69,周转筐出入库明细!$D$4:$D$2004,基础资料!$B$7,周转筐出入库明细!$B$4:$B$2004,"&gt;="&amp;$BC$1,周转筐出入库明细!$B$4:$B$2004,"&lt;="&amp;$BC$2))</f>
        <v/>
      </c>
      <c r="Y69" s="25" t="str">
        <f>IF(OR($B69="",基础资料!$B$8=""),"",SUMIFS(周转筐出入库明细!$K$4:$K$2004,周转筐出入库明细!$C$4:$C$2004,$B69,周转筐出入库明细!$D$4:$D$2004,基础资料!$B$8,周转筐出入库明细!$B$4:$B$2004,"&gt;="&amp;$BC$1,周转筐出入库明细!$B$4:$B$2004,"&lt;="&amp;$BC$2))</f>
        <v/>
      </c>
      <c r="Z69" s="25" t="str">
        <f t="shared" si="16"/>
        <v/>
      </c>
      <c r="AA69" s="67" t="str">
        <f>IF(OR($B69="",基础资料!$B$4=""),"",-SUMIFS(对接源_01水果筐数!$D$5:$D$304,对接源_01水果筐数!$B$5:$B$304,$B69,对接源_01水果筐数!$C$5:$C$304,基础资料!$B$4))</f>
        <v/>
      </c>
      <c r="AB69" s="67" t="str">
        <f>IF(OR($B69="",基础资料!$B$5=""),"",-SUMIFS(对接源_01水果筐数!$D$5:$D$304,对接源_01水果筐数!$B$5:$B$304,$B69,对接源_01水果筐数!$C$5:$C$304,基础资料!$B$5))</f>
        <v/>
      </c>
      <c r="AC69" s="67" t="str">
        <f>IF(OR($B69="",基础资料!$B$6=""),"",-SUMIFS(对接源_01水果筐数!$D$5:$D$304,对接源_01水果筐数!$B$5:$B$304,$B69,对接源_01水果筐数!$C$5:$C$304,基础资料!$B$6))</f>
        <v/>
      </c>
      <c r="AD69" s="67" t="str">
        <f>IF(OR($B69="",基础资料!$B$7=""),"",-SUMIFS(对接源_01水果筐数!$D$5:$D$304,对接源_01水果筐数!$B$5:$B$304,$B69,对接源_01水果筐数!$C$5:$C$304,基础资料!$B$7))</f>
        <v/>
      </c>
      <c r="AE69" s="67" t="str">
        <f>IF(OR($B69="",基础资料!$B$8=""),"",-SUMIFS(对接源_01水果筐数!$D$5:$D$304,对接源_01水果筐数!$B$5:$B$304,$B69,对接源_01水果筐数!$C$5:$C$304,基础资料!$B$8))</f>
        <v/>
      </c>
      <c r="AF69" s="25" t="str">
        <f>IF(OR($B69="",基础资料!$B$4=""),"",SUMIFS(对接源_01水果筐数!$E$5:$E$304,对接源_01水果筐数!$B$5:$B$304,$B69,对接源_01水果筐数!$C$5:$C$304,基础资料!$B$4))</f>
        <v/>
      </c>
      <c r="AG69" s="25" t="str">
        <f>IF(OR($B69="",基础资料!$B$5=""),"",SUMIFS(对接源_01水果筐数!$E$5:$E$304,对接源_01水果筐数!$B$5:$B$304,$B69,对接源_01水果筐数!$C$5:$C$304,基础资料!$B$5))</f>
        <v/>
      </c>
      <c r="AH69" s="25" t="str">
        <f>IF(OR($B69="",基础资料!$B$6=""),"",SUMIFS(对接源_01水果筐数!$E$5:$E$304,对接源_01水果筐数!$B$5:$B$304,$B69,对接源_01水果筐数!$C$5:$C$304,基础资料!$B$6))</f>
        <v/>
      </c>
      <c r="AI69" s="25" t="str">
        <f>IF(OR($B69="",基础资料!$B$7=""),"",SUMIFS(对接源_01水果筐数!$E$5:$E$304,对接源_01水果筐数!$B$5:$B$304,$B69,对接源_01水果筐数!$C$5:$C$304,基础资料!$B$7))</f>
        <v/>
      </c>
      <c r="AJ69" s="25" t="str">
        <f>IF(OR($B69="",基础资料!$B$8=""),"",SUMIFS(对接源_01水果筐数!$E$5:$E$304,对接源_01水果筐数!$B$5:$B$304,$B69,对接源_01水果筐数!$C$5:$C$304,基础资料!$B$8))</f>
        <v/>
      </c>
      <c r="AK69" s="25" t="str">
        <f>IF(OR($B69="",基础资料!$B$4=""),"",SUMIFS(对接源_01水果筐数!$F$5:$F$304,对接源_01水果筐数!$B$5:$B$304,$B69,对接源_01水果筐数!$C$5:$C$304,基础资料!$B$4))</f>
        <v/>
      </c>
      <c r="AL69" s="25" t="str">
        <f>IF(OR($B69="",基础资料!$B$5=""),"",SUMIFS(对接源_01水果筐数!$F$5:$F$304,对接源_01水果筐数!$B$5:$B$304,$B69,对接源_01水果筐数!$C$5:$C$304,基础资料!$B$5))</f>
        <v/>
      </c>
      <c r="AM69" s="25" t="str">
        <f>IF(OR($B69="",基础资料!$B$6=""),"",SUMIFS(对接源_01水果筐数!$F$5:$F$304,对接源_01水果筐数!$B$5:$B$304,$B69,对接源_01水果筐数!$C$5:$C$304,基础资料!$B$6))</f>
        <v/>
      </c>
      <c r="AN69" s="25" t="str">
        <f>IF(OR($B69="",基础资料!$B$7=""),"",SUMIFS(对接源_01水果筐数!$F$5:$F$304,对接源_01水果筐数!$B$5:$B$304,$B69,对接源_01水果筐数!$C$5:$C$304,基础资料!$B$7))</f>
        <v/>
      </c>
      <c r="AO69" s="25" t="str">
        <f>IF(OR($B69="",基础资料!$B$8=""),"",SUMIFS(对接源_01水果筐数!$F$5:$F$304,对接源_01水果筐数!$B$5:$B$304,$B69,对接源_01水果筐数!$C$5:$C$304,基础资料!$B$8))</f>
        <v/>
      </c>
      <c r="AP69" s="25" t="str">
        <f t="shared" si="17"/>
        <v/>
      </c>
      <c r="AQ69" s="25" t="str">
        <f t="shared" si="18"/>
        <v/>
      </c>
      <c r="AR69" s="25" t="str">
        <f t="shared" si="19"/>
        <v/>
      </c>
      <c r="AS69" s="25" t="str">
        <f t="shared" si="20"/>
        <v/>
      </c>
      <c r="AT69" s="25" t="str">
        <f t="shared" si="21"/>
        <v/>
      </c>
      <c r="AU69" s="25" t="str">
        <f t="shared" si="22"/>
        <v/>
      </c>
      <c r="AV69" s="24" t="str">
        <f t="shared" si="23"/>
        <v/>
      </c>
      <c r="AW69" s="72"/>
    </row>
    <row r="70" spans="1:49">
      <c r="A70" s="22" t="str">
        <f t="shared" si="12"/>
        <v/>
      </c>
      <c r="B70" s="24" t="str">
        <f>IFERROR(INDEX(_自动清单!$CC$4:$CC$253,ROW()-3),"")</f>
        <v/>
      </c>
      <c r="C70" s="25" t="str">
        <f>IF(OR($B70="",基础资料!$B$4=""),"",SUMIFS(周转筐出入库明细!$J$4:$J$2004,周转筐出入库明细!$C$4:$C$2004,$B70,周转筐出入库明细!$D$4:$D$2004,基础资料!$B$4,周转筐出入库明细!$B$4:$B$2004,"&gt;="&amp;$BC$1,周转筐出入库明细!$B$4:$B$2004,"&lt;="&amp;$BC$2))</f>
        <v/>
      </c>
      <c r="D70" s="25" t="str">
        <f>IF(OR($B70="",基础资料!$B$5=""),"",SUMIFS(周转筐出入库明细!$J$4:$J$2004,周转筐出入库明细!$C$4:$C$2004,$B70,周转筐出入库明细!$D$4:$D$2004,基础资料!$B$5,周转筐出入库明细!$B$4:$B$2004,"&gt;="&amp;$BC$1,周转筐出入库明细!$B$4:$B$2004,"&lt;="&amp;$BC$2))</f>
        <v/>
      </c>
      <c r="E70" s="25" t="str">
        <f>IF(OR($B70="",基础资料!$B$6=""),"",SUMIFS(周转筐出入库明细!$J$4:$J$2004,周转筐出入库明细!$C$4:$C$2004,$B70,周转筐出入库明细!$D$4:$D$2004,基础资料!$B$6,周转筐出入库明细!$B$4:$B$2004,"&gt;="&amp;$BC$1,周转筐出入库明细!$B$4:$B$2004,"&lt;="&amp;$BC$2))</f>
        <v/>
      </c>
      <c r="F70" s="25" t="str">
        <f>IF(OR($B70="",基础资料!$B$7=""),"",SUMIFS(周转筐出入库明细!$J$4:$J$2004,周转筐出入库明细!$C$4:$C$2004,$B70,周转筐出入库明细!$D$4:$D$2004,基础资料!$B$7,周转筐出入库明细!$B$4:$B$2004,"&gt;="&amp;$BC$1,周转筐出入库明细!$B$4:$B$2004,"&lt;="&amp;$BC$2))</f>
        <v/>
      </c>
      <c r="G70" s="25" t="str">
        <f>IF(OR($B70="",基础资料!$B$8=""),"",SUMIFS(周转筐出入库明细!$J$4:$J$2004,周转筐出入库明细!$C$4:$C$2004,$B70,周转筐出入库明细!$D$4:$D$2004,基础资料!$B$8,周转筐出入库明细!$B$4:$B$2004,"&gt;="&amp;$BC$1,周转筐出入库明细!$B$4:$B$2004,"&lt;="&amp;$BC$2))</f>
        <v/>
      </c>
      <c r="H70" s="25" t="str">
        <f t="shared" si="13"/>
        <v/>
      </c>
      <c r="I70" s="67" t="str">
        <f>IF(OR($B70="",基础资料!$B$4=""),"",-SUMIFS(周转筐出入库明细!$I$4:$I$2004,周转筐出入库明细!$C$4:$C$2004,$B70,周转筐出入库明细!$D$4:$D$2004,基础资料!$B$4,周转筐出入库明细!$B$4:$B$2004,"&gt;="&amp;$BC$1,周转筐出入库明细!$B$4:$B$2004,"&lt;="&amp;$BC$2))</f>
        <v/>
      </c>
      <c r="J70" s="67" t="str">
        <f>IF(OR($B70="",基础资料!$B$5=""),"",-SUMIFS(周转筐出入库明细!$I$4:$I$2004,周转筐出入库明细!$C$4:$C$2004,$B70,周转筐出入库明细!$D$4:$D$2004,基础资料!$B$5,周转筐出入库明细!$B$4:$B$2004,"&gt;="&amp;$BC$1,周转筐出入库明细!$B$4:$B$2004,"&lt;="&amp;$BC$2))</f>
        <v/>
      </c>
      <c r="K70" s="67" t="str">
        <f>IF(OR($B70="",基础资料!$B$6=""),"",-SUMIFS(周转筐出入库明细!$I$4:$I$2004,周转筐出入库明细!$C$4:$C$2004,$B70,周转筐出入库明细!$D$4:$D$2004,基础资料!$B$6,周转筐出入库明细!$B$4:$B$2004,"&gt;="&amp;$BC$1,周转筐出入库明细!$B$4:$B$2004,"&lt;="&amp;$BC$2))</f>
        <v/>
      </c>
      <c r="L70" s="67" t="str">
        <f>IF(OR($B70="",基础资料!$B$7=""),"",-SUMIFS(周转筐出入库明细!$I$4:$I$2004,周转筐出入库明细!$C$4:$C$2004,$B70,周转筐出入库明细!$D$4:$D$2004,基础资料!$B$7,周转筐出入库明细!$B$4:$B$2004,"&gt;="&amp;$BC$1,周转筐出入库明细!$B$4:$B$2004,"&lt;="&amp;$BC$2))</f>
        <v/>
      </c>
      <c r="M70" s="67" t="str">
        <f>IF(OR($B70="",基础资料!$B$8=""),"",-SUMIFS(周转筐出入库明细!$I$4:$I$2004,周转筐出入库明细!$C$4:$C$2004,$B70,周转筐出入库明细!$D$4:$D$2004,基础资料!$B$8,周转筐出入库明细!$B$4:$B$2004,"&gt;="&amp;$BC$1,周转筐出入库明细!$B$4:$B$2004,"&lt;="&amp;$BC$2))</f>
        <v/>
      </c>
      <c r="N70" s="67" t="str">
        <f t="shared" si="14"/>
        <v/>
      </c>
      <c r="O70" s="25" t="str">
        <f>IF(OR($B70="",基础资料!$B$4=""),"",SUMIFS(周转筐出入库明细!$H$4:$H$2004,周转筐出入库明细!$C$4:$C$2004,$B70,周转筐出入库明细!$D$4:$D$2004,基础资料!$B$4,周转筐出入库明细!$F$4:$F$2004,"采购入库",周转筐出入库明细!$B$4:$B$2004,"&gt;="&amp;$BC$1,周转筐出入库明细!$B$4:$B$2004,"&lt;="&amp;$BC$2))</f>
        <v/>
      </c>
      <c r="P70" s="25" t="str">
        <f>IF(OR($B70="",基础资料!$B$5=""),"",SUMIFS(周转筐出入库明细!$H$4:$H$2004,周转筐出入库明细!$C$4:$C$2004,$B70,周转筐出入库明细!$D$4:$D$2004,基础资料!$B$5,周转筐出入库明细!$F$4:$F$2004,"采购入库",周转筐出入库明细!$B$4:$B$2004,"&gt;="&amp;$BC$1,周转筐出入库明细!$B$4:$B$2004,"&lt;="&amp;$BC$2))</f>
        <v/>
      </c>
      <c r="Q70" s="25" t="str">
        <f>IF(OR($B70="",基础资料!$B$6=""),"",SUMIFS(周转筐出入库明细!$H$4:$H$2004,周转筐出入库明细!$C$4:$C$2004,$B70,周转筐出入库明细!$D$4:$D$2004,基础资料!$B$6,周转筐出入库明细!$F$4:$F$2004,"采购入库",周转筐出入库明细!$B$4:$B$2004,"&gt;="&amp;$BC$1,周转筐出入库明细!$B$4:$B$2004,"&lt;="&amp;$BC$2))</f>
        <v/>
      </c>
      <c r="R70" s="25" t="str">
        <f>IF(OR($B70="",基础资料!$B$7=""),"",SUMIFS(周转筐出入库明细!$H$4:$H$2004,周转筐出入库明细!$C$4:$C$2004,$B70,周转筐出入库明细!$D$4:$D$2004,基础资料!$B$7,周转筐出入库明细!$F$4:$F$2004,"采购入库",周转筐出入库明细!$B$4:$B$2004,"&gt;="&amp;$BC$1,周转筐出入库明细!$B$4:$B$2004,"&lt;="&amp;$BC$2))</f>
        <v/>
      </c>
      <c r="S70" s="25" t="str">
        <f>IF(OR($B70="",基础资料!$B$8=""),"",SUMIFS(周转筐出入库明细!$H$4:$H$2004,周转筐出入库明细!$C$4:$C$2004,$B70,周转筐出入库明细!$D$4:$D$2004,基础资料!$B$8,周转筐出入库明细!$F$4:$F$2004,"采购入库",周转筐出入库明细!$B$4:$B$2004,"&gt;="&amp;$BC$1,周转筐出入库明细!$B$4:$B$2004,"&lt;="&amp;$BC$2))</f>
        <v/>
      </c>
      <c r="T70" s="25" t="str">
        <f t="shared" si="15"/>
        <v/>
      </c>
      <c r="U70" s="25" t="str">
        <f>IF(OR($B70="",基础资料!$B$4=""),"",SUMIFS(周转筐出入库明细!$K$4:$K$2004,周转筐出入库明细!$C$4:$C$2004,$B70,周转筐出入库明细!$D$4:$D$2004,基础资料!$B$4,周转筐出入库明细!$B$4:$B$2004,"&gt;="&amp;$BC$1,周转筐出入库明细!$B$4:$B$2004,"&lt;="&amp;$BC$2))</f>
        <v/>
      </c>
      <c r="V70" s="25" t="str">
        <f>IF(OR($B70="",基础资料!$B$5=""),"",SUMIFS(周转筐出入库明细!$K$4:$K$2004,周转筐出入库明细!$C$4:$C$2004,$B70,周转筐出入库明细!$D$4:$D$2004,基础资料!$B$5,周转筐出入库明细!$B$4:$B$2004,"&gt;="&amp;$BC$1,周转筐出入库明细!$B$4:$B$2004,"&lt;="&amp;$BC$2))</f>
        <v/>
      </c>
      <c r="W70" s="25" t="str">
        <f>IF(OR($B70="",基础资料!$B$6=""),"",SUMIFS(周转筐出入库明细!$K$4:$K$2004,周转筐出入库明细!$C$4:$C$2004,$B70,周转筐出入库明细!$D$4:$D$2004,基础资料!$B$6,周转筐出入库明细!$B$4:$B$2004,"&gt;="&amp;$BC$1,周转筐出入库明细!$B$4:$B$2004,"&lt;="&amp;$BC$2))</f>
        <v/>
      </c>
      <c r="X70" s="25" t="str">
        <f>IF(OR($B70="",基础资料!$B$7=""),"",SUMIFS(周转筐出入库明细!$K$4:$K$2004,周转筐出入库明细!$C$4:$C$2004,$B70,周转筐出入库明细!$D$4:$D$2004,基础资料!$B$7,周转筐出入库明细!$B$4:$B$2004,"&gt;="&amp;$BC$1,周转筐出入库明细!$B$4:$B$2004,"&lt;="&amp;$BC$2))</f>
        <v/>
      </c>
      <c r="Y70" s="25" t="str">
        <f>IF(OR($B70="",基础资料!$B$8=""),"",SUMIFS(周转筐出入库明细!$K$4:$K$2004,周转筐出入库明细!$C$4:$C$2004,$B70,周转筐出入库明细!$D$4:$D$2004,基础资料!$B$8,周转筐出入库明细!$B$4:$B$2004,"&gt;="&amp;$BC$1,周转筐出入库明细!$B$4:$B$2004,"&lt;="&amp;$BC$2))</f>
        <v/>
      </c>
      <c r="Z70" s="25" t="str">
        <f t="shared" si="16"/>
        <v/>
      </c>
      <c r="AA70" s="67" t="str">
        <f>IF(OR($B70="",基础资料!$B$4=""),"",-SUMIFS(对接源_01水果筐数!$D$5:$D$304,对接源_01水果筐数!$B$5:$B$304,$B70,对接源_01水果筐数!$C$5:$C$304,基础资料!$B$4))</f>
        <v/>
      </c>
      <c r="AB70" s="67" t="str">
        <f>IF(OR($B70="",基础资料!$B$5=""),"",-SUMIFS(对接源_01水果筐数!$D$5:$D$304,对接源_01水果筐数!$B$5:$B$304,$B70,对接源_01水果筐数!$C$5:$C$304,基础资料!$B$5))</f>
        <v/>
      </c>
      <c r="AC70" s="67" t="str">
        <f>IF(OR($B70="",基础资料!$B$6=""),"",-SUMIFS(对接源_01水果筐数!$D$5:$D$304,对接源_01水果筐数!$B$5:$B$304,$B70,对接源_01水果筐数!$C$5:$C$304,基础资料!$B$6))</f>
        <v/>
      </c>
      <c r="AD70" s="67" t="str">
        <f>IF(OR($B70="",基础资料!$B$7=""),"",-SUMIFS(对接源_01水果筐数!$D$5:$D$304,对接源_01水果筐数!$B$5:$B$304,$B70,对接源_01水果筐数!$C$5:$C$304,基础资料!$B$7))</f>
        <v/>
      </c>
      <c r="AE70" s="67" t="str">
        <f>IF(OR($B70="",基础资料!$B$8=""),"",-SUMIFS(对接源_01水果筐数!$D$5:$D$304,对接源_01水果筐数!$B$5:$B$304,$B70,对接源_01水果筐数!$C$5:$C$304,基础资料!$B$8))</f>
        <v/>
      </c>
      <c r="AF70" s="25" t="str">
        <f>IF(OR($B70="",基础资料!$B$4=""),"",SUMIFS(对接源_01水果筐数!$E$5:$E$304,对接源_01水果筐数!$B$5:$B$304,$B70,对接源_01水果筐数!$C$5:$C$304,基础资料!$B$4))</f>
        <v/>
      </c>
      <c r="AG70" s="25" t="str">
        <f>IF(OR($B70="",基础资料!$B$5=""),"",SUMIFS(对接源_01水果筐数!$E$5:$E$304,对接源_01水果筐数!$B$5:$B$304,$B70,对接源_01水果筐数!$C$5:$C$304,基础资料!$B$5))</f>
        <v/>
      </c>
      <c r="AH70" s="25" t="str">
        <f>IF(OR($B70="",基础资料!$B$6=""),"",SUMIFS(对接源_01水果筐数!$E$5:$E$304,对接源_01水果筐数!$B$5:$B$304,$B70,对接源_01水果筐数!$C$5:$C$304,基础资料!$B$6))</f>
        <v/>
      </c>
      <c r="AI70" s="25" t="str">
        <f>IF(OR($B70="",基础资料!$B$7=""),"",SUMIFS(对接源_01水果筐数!$E$5:$E$304,对接源_01水果筐数!$B$5:$B$304,$B70,对接源_01水果筐数!$C$5:$C$304,基础资料!$B$7))</f>
        <v/>
      </c>
      <c r="AJ70" s="25" t="str">
        <f>IF(OR($B70="",基础资料!$B$8=""),"",SUMIFS(对接源_01水果筐数!$E$5:$E$304,对接源_01水果筐数!$B$5:$B$304,$B70,对接源_01水果筐数!$C$5:$C$304,基础资料!$B$8))</f>
        <v/>
      </c>
      <c r="AK70" s="25" t="str">
        <f>IF(OR($B70="",基础资料!$B$4=""),"",SUMIFS(对接源_01水果筐数!$F$5:$F$304,对接源_01水果筐数!$B$5:$B$304,$B70,对接源_01水果筐数!$C$5:$C$304,基础资料!$B$4))</f>
        <v/>
      </c>
      <c r="AL70" s="25" t="str">
        <f>IF(OR($B70="",基础资料!$B$5=""),"",SUMIFS(对接源_01水果筐数!$F$5:$F$304,对接源_01水果筐数!$B$5:$B$304,$B70,对接源_01水果筐数!$C$5:$C$304,基础资料!$B$5))</f>
        <v/>
      </c>
      <c r="AM70" s="25" t="str">
        <f>IF(OR($B70="",基础资料!$B$6=""),"",SUMIFS(对接源_01水果筐数!$F$5:$F$304,对接源_01水果筐数!$B$5:$B$304,$B70,对接源_01水果筐数!$C$5:$C$304,基础资料!$B$6))</f>
        <v/>
      </c>
      <c r="AN70" s="25" t="str">
        <f>IF(OR($B70="",基础资料!$B$7=""),"",SUMIFS(对接源_01水果筐数!$F$5:$F$304,对接源_01水果筐数!$B$5:$B$304,$B70,对接源_01水果筐数!$C$5:$C$304,基础资料!$B$7))</f>
        <v/>
      </c>
      <c r="AO70" s="25" t="str">
        <f>IF(OR($B70="",基础资料!$B$8=""),"",SUMIFS(对接源_01水果筐数!$F$5:$F$304,对接源_01水果筐数!$B$5:$B$304,$B70,对接源_01水果筐数!$C$5:$C$304,基础资料!$B$8))</f>
        <v/>
      </c>
      <c r="AP70" s="25" t="str">
        <f t="shared" si="17"/>
        <v/>
      </c>
      <c r="AQ70" s="25" t="str">
        <f t="shared" si="18"/>
        <v/>
      </c>
      <c r="AR70" s="25" t="str">
        <f t="shared" si="19"/>
        <v/>
      </c>
      <c r="AS70" s="25" t="str">
        <f t="shared" si="20"/>
        <v/>
      </c>
      <c r="AT70" s="25" t="str">
        <f t="shared" si="21"/>
        <v/>
      </c>
      <c r="AU70" s="25" t="str">
        <f t="shared" si="22"/>
        <v/>
      </c>
      <c r="AV70" s="24" t="str">
        <f t="shared" si="23"/>
        <v/>
      </c>
      <c r="AW70" s="72"/>
    </row>
    <row r="71" spans="1:49">
      <c r="A71" s="22" t="str">
        <f t="shared" si="12"/>
        <v/>
      </c>
      <c r="B71" s="24" t="str">
        <f>IFERROR(INDEX(_自动清单!$CC$4:$CC$253,ROW()-3),"")</f>
        <v/>
      </c>
      <c r="C71" s="25" t="str">
        <f>IF(OR($B71="",基础资料!$B$4=""),"",SUMIFS(周转筐出入库明细!$J$4:$J$2004,周转筐出入库明细!$C$4:$C$2004,$B71,周转筐出入库明细!$D$4:$D$2004,基础资料!$B$4,周转筐出入库明细!$B$4:$B$2004,"&gt;="&amp;$BC$1,周转筐出入库明细!$B$4:$B$2004,"&lt;="&amp;$BC$2))</f>
        <v/>
      </c>
      <c r="D71" s="25" t="str">
        <f>IF(OR($B71="",基础资料!$B$5=""),"",SUMIFS(周转筐出入库明细!$J$4:$J$2004,周转筐出入库明细!$C$4:$C$2004,$B71,周转筐出入库明细!$D$4:$D$2004,基础资料!$B$5,周转筐出入库明细!$B$4:$B$2004,"&gt;="&amp;$BC$1,周转筐出入库明细!$B$4:$B$2004,"&lt;="&amp;$BC$2))</f>
        <v/>
      </c>
      <c r="E71" s="25" t="str">
        <f>IF(OR($B71="",基础资料!$B$6=""),"",SUMIFS(周转筐出入库明细!$J$4:$J$2004,周转筐出入库明细!$C$4:$C$2004,$B71,周转筐出入库明细!$D$4:$D$2004,基础资料!$B$6,周转筐出入库明细!$B$4:$B$2004,"&gt;="&amp;$BC$1,周转筐出入库明细!$B$4:$B$2004,"&lt;="&amp;$BC$2))</f>
        <v/>
      </c>
      <c r="F71" s="25" t="str">
        <f>IF(OR($B71="",基础资料!$B$7=""),"",SUMIFS(周转筐出入库明细!$J$4:$J$2004,周转筐出入库明细!$C$4:$C$2004,$B71,周转筐出入库明细!$D$4:$D$2004,基础资料!$B$7,周转筐出入库明细!$B$4:$B$2004,"&gt;="&amp;$BC$1,周转筐出入库明细!$B$4:$B$2004,"&lt;="&amp;$BC$2))</f>
        <v/>
      </c>
      <c r="G71" s="25" t="str">
        <f>IF(OR($B71="",基础资料!$B$8=""),"",SUMIFS(周转筐出入库明细!$J$4:$J$2004,周转筐出入库明细!$C$4:$C$2004,$B71,周转筐出入库明细!$D$4:$D$2004,基础资料!$B$8,周转筐出入库明细!$B$4:$B$2004,"&gt;="&amp;$BC$1,周转筐出入库明细!$B$4:$B$2004,"&lt;="&amp;$BC$2))</f>
        <v/>
      </c>
      <c r="H71" s="25" t="str">
        <f t="shared" si="13"/>
        <v/>
      </c>
      <c r="I71" s="67" t="str">
        <f>IF(OR($B71="",基础资料!$B$4=""),"",-SUMIFS(周转筐出入库明细!$I$4:$I$2004,周转筐出入库明细!$C$4:$C$2004,$B71,周转筐出入库明细!$D$4:$D$2004,基础资料!$B$4,周转筐出入库明细!$B$4:$B$2004,"&gt;="&amp;$BC$1,周转筐出入库明细!$B$4:$B$2004,"&lt;="&amp;$BC$2))</f>
        <v/>
      </c>
      <c r="J71" s="67" t="str">
        <f>IF(OR($B71="",基础资料!$B$5=""),"",-SUMIFS(周转筐出入库明细!$I$4:$I$2004,周转筐出入库明细!$C$4:$C$2004,$B71,周转筐出入库明细!$D$4:$D$2004,基础资料!$B$5,周转筐出入库明细!$B$4:$B$2004,"&gt;="&amp;$BC$1,周转筐出入库明细!$B$4:$B$2004,"&lt;="&amp;$BC$2))</f>
        <v/>
      </c>
      <c r="K71" s="67" t="str">
        <f>IF(OR($B71="",基础资料!$B$6=""),"",-SUMIFS(周转筐出入库明细!$I$4:$I$2004,周转筐出入库明细!$C$4:$C$2004,$B71,周转筐出入库明细!$D$4:$D$2004,基础资料!$B$6,周转筐出入库明细!$B$4:$B$2004,"&gt;="&amp;$BC$1,周转筐出入库明细!$B$4:$B$2004,"&lt;="&amp;$BC$2))</f>
        <v/>
      </c>
      <c r="L71" s="67" t="str">
        <f>IF(OR($B71="",基础资料!$B$7=""),"",-SUMIFS(周转筐出入库明细!$I$4:$I$2004,周转筐出入库明细!$C$4:$C$2004,$B71,周转筐出入库明细!$D$4:$D$2004,基础资料!$B$7,周转筐出入库明细!$B$4:$B$2004,"&gt;="&amp;$BC$1,周转筐出入库明细!$B$4:$B$2004,"&lt;="&amp;$BC$2))</f>
        <v/>
      </c>
      <c r="M71" s="67" t="str">
        <f>IF(OR($B71="",基础资料!$B$8=""),"",-SUMIFS(周转筐出入库明细!$I$4:$I$2004,周转筐出入库明细!$C$4:$C$2004,$B71,周转筐出入库明细!$D$4:$D$2004,基础资料!$B$8,周转筐出入库明细!$B$4:$B$2004,"&gt;="&amp;$BC$1,周转筐出入库明细!$B$4:$B$2004,"&lt;="&amp;$BC$2))</f>
        <v/>
      </c>
      <c r="N71" s="67" t="str">
        <f t="shared" si="14"/>
        <v/>
      </c>
      <c r="O71" s="25" t="str">
        <f>IF(OR($B71="",基础资料!$B$4=""),"",SUMIFS(周转筐出入库明细!$H$4:$H$2004,周转筐出入库明细!$C$4:$C$2004,$B71,周转筐出入库明细!$D$4:$D$2004,基础资料!$B$4,周转筐出入库明细!$F$4:$F$2004,"采购入库",周转筐出入库明细!$B$4:$B$2004,"&gt;="&amp;$BC$1,周转筐出入库明细!$B$4:$B$2004,"&lt;="&amp;$BC$2))</f>
        <v/>
      </c>
      <c r="P71" s="25" t="str">
        <f>IF(OR($B71="",基础资料!$B$5=""),"",SUMIFS(周转筐出入库明细!$H$4:$H$2004,周转筐出入库明细!$C$4:$C$2004,$B71,周转筐出入库明细!$D$4:$D$2004,基础资料!$B$5,周转筐出入库明细!$F$4:$F$2004,"采购入库",周转筐出入库明细!$B$4:$B$2004,"&gt;="&amp;$BC$1,周转筐出入库明细!$B$4:$B$2004,"&lt;="&amp;$BC$2))</f>
        <v/>
      </c>
      <c r="Q71" s="25" t="str">
        <f>IF(OR($B71="",基础资料!$B$6=""),"",SUMIFS(周转筐出入库明细!$H$4:$H$2004,周转筐出入库明细!$C$4:$C$2004,$B71,周转筐出入库明细!$D$4:$D$2004,基础资料!$B$6,周转筐出入库明细!$F$4:$F$2004,"采购入库",周转筐出入库明细!$B$4:$B$2004,"&gt;="&amp;$BC$1,周转筐出入库明细!$B$4:$B$2004,"&lt;="&amp;$BC$2))</f>
        <v/>
      </c>
      <c r="R71" s="25" t="str">
        <f>IF(OR($B71="",基础资料!$B$7=""),"",SUMIFS(周转筐出入库明细!$H$4:$H$2004,周转筐出入库明细!$C$4:$C$2004,$B71,周转筐出入库明细!$D$4:$D$2004,基础资料!$B$7,周转筐出入库明细!$F$4:$F$2004,"采购入库",周转筐出入库明细!$B$4:$B$2004,"&gt;="&amp;$BC$1,周转筐出入库明细!$B$4:$B$2004,"&lt;="&amp;$BC$2))</f>
        <v/>
      </c>
      <c r="S71" s="25" t="str">
        <f>IF(OR($B71="",基础资料!$B$8=""),"",SUMIFS(周转筐出入库明细!$H$4:$H$2004,周转筐出入库明细!$C$4:$C$2004,$B71,周转筐出入库明细!$D$4:$D$2004,基础资料!$B$8,周转筐出入库明细!$F$4:$F$2004,"采购入库",周转筐出入库明细!$B$4:$B$2004,"&gt;="&amp;$BC$1,周转筐出入库明细!$B$4:$B$2004,"&lt;="&amp;$BC$2))</f>
        <v/>
      </c>
      <c r="T71" s="25" t="str">
        <f t="shared" si="15"/>
        <v/>
      </c>
      <c r="U71" s="25" t="str">
        <f>IF(OR($B71="",基础资料!$B$4=""),"",SUMIFS(周转筐出入库明细!$K$4:$K$2004,周转筐出入库明细!$C$4:$C$2004,$B71,周转筐出入库明细!$D$4:$D$2004,基础资料!$B$4,周转筐出入库明细!$B$4:$B$2004,"&gt;="&amp;$BC$1,周转筐出入库明细!$B$4:$B$2004,"&lt;="&amp;$BC$2))</f>
        <v/>
      </c>
      <c r="V71" s="25" t="str">
        <f>IF(OR($B71="",基础资料!$B$5=""),"",SUMIFS(周转筐出入库明细!$K$4:$K$2004,周转筐出入库明细!$C$4:$C$2004,$B71,周转筐出入库明细!$D$4:$D$2004,基础资料!$B$5,周转筐出入库明细!$B$4:$B$2004,"&gt;="&amp;$BC$1,周转筐出入库明细!$B$4:$B$2004,"&lt;="&amp;$BC$2))</f>
        <v/>
      </c>
      <c r="W71" s="25" t="str">
        <f>IF(OR($B71="",基础资料!$B$6=""),"",SUMIFS(周转筐出入库明细!$K$4:$K$2004,周转筐出入库明细!$C$4:$C$2004,$B71,周转筐出入库明细!$D$4:$D$2004,基础资料!$B$6,周转筐出入库明细!$B$4:$B$2004,"&gt;="&amp;$BC$1,周转筐出入库明细!$B$4:$B$2004,"&lt;="&amp;$BC$2))</f>
        <v/>
      </c>
      <c r="X71" s="25" t="str">
        <f>IF(OR($B71="",基础资料!$B$7=""),"",SUMIFS(周转筐出入库明细!$K$4:$K$2004,周转筐出入库明细!$C$4:$C$2004,$B71,周转筐出入库明细!$D$4:$D$2004,基础资料!$B$7,周转筐出入库明细!$B$4:$B$2004,"&gt;="&amp;$BC$1,周转筐出入库明细!$B$4:$B$2004,"&lt;="&amp;$BC$2))</f>
        <v/>
      </c>
      <c r="Y71" s="25" t="str">
        <f>IF(OR($B71="",基础资料!$B$8=""),"",SUMIFS(周转筐出入库明细!$K$4:$K$2004,周转筐出入库明细!$C$4:$C$2004,$B71,周转筐出入库明细!$D$4:$D$2004,基础资料!$B$8,周转筐出入库明细!$B$4:$B$2004,"&gt;="&amp;$BC$1,周转筐出入库明细!$B$4:$B$2004,"&lt;="&amp;$BC$2))</f>
        <v/>
      </c>
      <c r="Z71" s="25" t="str">
        <f t="shared" si="16"/>
        <v/>
      </c>
      <c r="AA71" s="67" t="str">
        <f>IF(OR($B71="",基础资料!$B$4=""),"",-SUMIFS(对接源_01水果筐数!$D$5:$D$304,对接源_01水果筐数!$B$5:$B$304,$B71,对接源_01水果筐数!$C$5:$C$304,基础资料!$B$4))</f>
        <v/>
      </c>
      <c r="AB71" s="67" t="str">
        <f>IF(OR($B71="",基础资料!$B$5=""),"",-SUMIFS(对接源_01水果筐数!$D$5:$D$304,对接源_01水果筐数!$B$5:$B$304,$B71,对接源_01水果筐数!$C$5:$C$304,基础资料!$B$5))</f>
        <v/>
      </c>
      <c r="AC71" s="67" t="str">
        <f>IF(OR($B71="",基础资料!$B$6=""),"",-SUMIFS(对接源_01水果筐数!$D$5:$D$304,对接源_01水果筐数!$B$5:$B$304,$B71,对接源_01水果筐数!$C$5:$C$304,基础资料!$B$6))</f>
        <v/>
      </c>
      <c r="AD71" s="67" t="str">
        <f>IF(OR($B71="",基础资料!$B$7=""),"",-SUMIFS(对接源_01水果筐数!$D$5:$D$304,对接源_01水果筐数!$B$5:$B$304,$B71,对接源_01水果筐数!$C$5:$C$304,基础资料!$B$7))</f>
        <v/>
      </c>
      <c r="AE71" s="67" t="str">
        <f>IF(OR($B71="",基础资料!$B$8=""),"",-SUMIFS(对接源_01水果筐数!$D$5:$D$304,对接源_01水果筐数!$B$5:$B$304,$B71,对接源_01水果筐数!$C$5:$C$304,基础资料!$B$8))</f>
        <v/>
      </c>
      <c r="AF71" s="25" t="str">
        <f>IF(OR($B71="",基础资料!$B$4=""),"",SUMIFS(对接源_01水果筐数!$E$5:$E$304,对接源_01水果筐数!$B$5:$B$304,$B71,对接源_01水果筐数!$C$5:$C$304,基础资料!$B$4))</f>
        <v/>
      </c>
      <c r="AG71" s="25" t="str">
        <f>IF(OR($B71="",基础资料!$B$5=""),"",SUMIFS(对接源_01水果筐数!$E$5:$E$304,对接源_01水果筐数!$B$5:$B$304,$B71,对接源_01水果筐数!$C$5:$C$304,基础资料!$B$5))</f>
        <v/>
      </c>
      <c r="AH71" s="25" t="str">
        <f>IF(OR($B71="",基础资料!$B$6=""),"",SUMIFS(对接源_01水果筐数!$E$5:$E$304,对接源_01水果筐数!$B$5:$B$304,$B71,对接源_01水果筐数!$C$5:$C$304,基础资料!$B$6))</f>
        <v/>
      </c>
      <c r="AI71" s="25" t="str">
        <f>IF(OR($B71="",基础资料!$B$7=""),"",SUMIFS(对接源_01水果筐数!$E$5:$E$304,对接源_01水果筐数!$B$5:$B$304,$B71,对接源_01水果筐数!$C$5:$C$304,基础资料!$B$7))</f>
        <v/>
      </c>
      <c r="AJ71" s="25" t="str">
        <f>IF(OR($B71="",基础资料!$B$8=""),"",SUMIFS(对接源_01水果筐数!$E$5:$E$304,对接源_01水果筐数!$B$5:$B$304,$B71,对接源_01水果筐数!$C$5:$C$304,基础资料!$B$8))</f>
        <v/>
      </c>
      <c r="AK71" s="25" t="str">
        <f>IF(OR($B71="",基础资料!$B$4=""),"",SUMIFS(对接源_01水果筐数!$F$5:$F$304,对接源_01水果筐数!$B$5:$B$304,$B71,对接源_01水果筐数!$C$5:$C$304,基础资料!$B$4))</f>
        <v/>
      </c>
      <c r="AL71" s="25" t="str">
        <f>IF(OR($B71="",基础资料!$B$5=""),"",SUMIFS(对接源_01水果筐数!$F$5:$F$304,对接源_01水果筐数!$B$5:$B$304,$B71,对接源_01水果筐数!$C$5:$C$304,基础资料!$B$5))</f>
        <v/>
      </c>
      <c r="AM71" s="25" t="str">
        <f>IF(OR($B71="",基础资料!$B$6=""),"",SUMIFS(对接源_01水果筐数!$F$5:$F$304,对接源_01水果筐数!$B$5:$B$304,$B71,对接源_01水果筐数!$C$5:$C$304,基础资料!$B$6))</f>
        <v/>
      </c>
      <c r="AN71" s="25" t="str">
        <f>IF(OR($B71="",基础资料!$B$7=""),"",SUMIFS(对接源_01水果筐数!$F$5:$F$304,对接源_01水果筐数!$B$5:$B$304,$B71,对接源_01水果筐数!$C$5:$C$304,基础资料!$B$7))</f>
        <v/>
      </c>
      <c r="AO71" s="25" t="str">
        <f>IF(OR($B71="",基础资料!$B$8=""),"",SUMIFS(对接源_01水果筐数!$F$5:$F$304,对接源_01水果筐数!$B$5:$B$304,$B71,对接源_01水果筐数!$C$5:$C$304,基础资料!$B$8))</f>
        <v/>
      </c>
      <c r="AP71" s="25" t="str">
        <f t="shared" si="17"/>
        <v/>
      </c>
      <c r="AQ71" s="25" t="str">
        <f t="shared" si="18"/>
        <v/>
      </c>
      <c r="AR71" s="25" t="str">
        <f t="shared" si="19"/>
        <v/>
      </c>
      <c r="AS71" s="25" t="str">
        <f t="shared" si="20"/>
        <v/>
      </c>
      <c r="AT71" s="25" t="str">
        <f t="shared" si="21"/>
        <v/>
      </c>
      <c r="AU71" s="25" t="str">
        <f t="shared" si="22"/>
        <v/>
      </c>
      <c r="AV71" s="24" t="str">
        <f t="shared" si="23"/>
        <v/>
      </c>
      <c r="AW71" s="72"/>
    </row>
    <row r="72" spans="1:49">
      <c r="A72" s="22" t="str">
        <f t="shared" si="12"/>
        <v/>
      </c>
      <c r="B72" s="24" t="str">
        <f>IFERROR(INDEX(_自动清单!$CC$4:$CC$253,ROW()-3),"")</f>
        <v/>
      </c>
      <c r="C72" s="25" t="str">
        <f>IF(OR($B72="",基础资料!$B$4=""),"",SUMIFS(周转筐出入库明细!$J$4:$J$2004,周转筐出入库明细!$C$4:$C$2004,$B72,周转筐出入库明细!$D$4:$D$2004,基础资料!$B$4,周转筐出入库明细!$B$4:$B$2004,"&gt;="&amp;$BC$1,周转筐出入库明细!$B$4:$B$2004,"&lt;="&amp;$BC$2))</f>
        <v/>
      </c>
      <c r="D72" s="25" t="str">
        <f>IF(OR($B72="",基础资料!$B$5=""),"",SUMIFS(周转筐出入库明细!$J$4:$J$2004,周转筐出入库明细!$C$4:$C$2004,$B72,周转筐出入库明细!$D$4:$D$2004,基础资料!$B$5,周转筐出入库明细!$B$4:$B$2004,"&gt;="&amp;$BC$1,周转筐出入库明细!$B$4:$B$2004,"&lt;="&amp;$BC$2))</f>
        <v/>
      </c>
      <c r="E72" s="25" t="str">
        <f>IF(OR($B72="",基础资料!$B$6=""),"",SUMIFS(周转筐出入库明细!$J$4:$J$2004,周转筐出入库明细!$C$4:$C$2004,$B72,周转筐出入库明细!$D$4:$D$2004,基础资料!$B$6,周转筐出入库明细!$B$4:$B$2004,"&gt;="&amp;$BC$1,周转筐出入库明细!$B$4:$B$2004,"&lt;="&amp;$BC$2))</f>
        <v/>
      </c>
      <c r="F72" s="25" t="str">
        <f>IF(OR($B72="",基础资料!$B$7=""),"",SUMIFS(周转筐出入库明细!$J$4:$J$2004,周转筐出入库明细!$C$4:$C$2004,$B72,周转筐出入库明细!$D$4:$D$2004,基础资料!$B$7,周转筐出入库明细!$B$4:$B$2004,"&gt;="&amp;$BC$1,周转筐出入库明细!$B$4:$B$2004,"&lt;="&amp;$BC$2))</f>
        <v/>
      </c>
      <c r="G72" s="25" t="str">
        <f>IF(OR($B72="",基础资料!$B$8=""),"",SUMIFS(周转筐出入库明细!$J$4:$J$2004,周转筐出入库明细!$C$4:$C$2004,$B72,周转筐出入库明细!$D$4:$D$2004,基础资料!$B$8,周转筐出入库明细!$B$4:$B$2004,"&gt;="&amp;$BC$1,周转筐出入库明细!$B$4:$B$2004,"&lt;="&amp;$BC$2))</f>
        <v/>
      </c>
      <c r="H72" s="25" t="str">
        <f t="shared" si="13"/>
        <v/>
      </c>
      <c r="I72" s="67" t="str">
        <f>IF(OR($B72="",基础资料!$B$4=""),"",-SUMIFS(周转筐出入库明细!$I$4:$I$2004,周转筐出入库明细!$C$4:$C$2004,$B72,周转筐出入库明细!$D$4:$D$2004,基础资料!$B$4,周转筐出入库明细!$B$4:$B$2004,"&gt;="&amp;$BC$1,周转筐出入库明细!$B$4:$B$2004,"&lt;="&amp;$BC$2))</f>
        <v/>
      </c>
      <c r="J72" s="67" t="str">
        <f>IF(OR($B72="",基础资料!$B$5=""),"",-SUMIFS(周转筐出入库明细!$I$4:$I$2004,周转筐出入库明细!$C$4:$C$2004,$B72,周转筐出入库明细!$D$4:$D$2004,基础资料!$B$5,周转筐出入库明细!$B$4:$B$2004,"&gt;="&amp;$BC$1,周转筐出入库明细!$B$4:$B$2004,"&lt;="&amp;$BC$2))</f>
        <v/>
      </c>
      <c r="K72" s="67" t="str">
        <f>IF(OR($B72="",基础资料!$B$6=""),"",-SUMIFS(周转筐出入库明细!$I$4:$I$2004,周转筐出入库明细!$C$4:$C$2004,$B72,周转筐出入库明细!$D$4:$D$2004,基础资料!$B$6,周转筐出入库明细!$B$4:$B$2004,"&gt;="&amp;$BC$1,周转筐出入库明细!$B$4:$B$2004,"&lt;="&amp;$BC$2))</f>
        <v/>
      </c>
      <c r="L72" s="67" t="str">
        <f>IF(OR($B72="",基础资料!$B$7=""),"",-SUMIFS(周转筐出入库明细!$I$4:$I$2004,周转筐出入库明细!$C$4:$C$2004,$B72,周转筐出入库明细!$D$4:$D$2004,基础资料!$B$7,周转筐出入库明细!$B$4:$B$2004,"&gt;="&amp;$BC$1,周转筐出入库明细!$B$4:$B$2004,"&lt;="&amp;$BC$2))</f>
        <v/>
      </c>
      <c r="M72" s="67" t="str">
        <f>IF(OR($B72="",基础资料!$B$8=""),"",-SUMIFS(周转筐出入库明细!$I$4:$I$2004,周转筐出入库明细!$C$4:$C$2004,$B72,周转筐出入库明细!$D$4:$D$2004,基础资料!$B$8,周转筐出入库明细!$B$4:$B$2004,"&gt;="&amp;$BC$1,周转筐出入库明细!$B$4:$B$2004,"&lt;="&amp;$BC$2))</f>
        <v/>
      </c>
      <c r="N72" s="67" t="str">
        <f t="shared" si="14"/>
        <v/>
      </c>
      <c r="O72" s="25" t="str">
        <f>IF(OR($B72="",基础资料!$B$4=""),"",SUMIFS(周转筐出入库明细!$H$4:$H$2004,周转筐出入库明细!$C$4:$C$2004,$B72,周转筐出入库明细!$D$4:$D$2004,基础资料!$B$4,周转筐出入库明细!$F$4:$F$2004,"采购入库",周转筐出入库明细!$B$4:$B$2004,"&gt;="&amp;$BC$1,周转筐出入库明细!$B$4:$B$2004,"&lt;="&amp;$BC$2))</f>
        <v/>
      </c>
      <c r="P72" s="25" t="str">
        <f>IF(OR($B72="",基础资料!$B$5=""),"",SUMIFS(周转筐出入库明细!$H$4:$H$2004,周转筐出入库明细!$C$4:$C$2004,$B72,周转筐出入库明细!$D$4:$D$2004,基础资料!$B$5,周转筐出入库明细!$F$4:$F$2004,"采购入库",周转筐出入库明细!$B$4:$B$2004,"&gt;="&amp;$BC$1,周转筐出入库明细!$B$4:$B$2004,"&lt;="&amp;$BC$2))</f>
        <v/>
      </c>
      <c r="Q72" s="25" t="str">
        <f>IF(OR($B72="",基础资料!$B$6=""),"",SUMIFS(周转筐出入库明细!$H$4:$H$2004,周转筐出入库明细!$C$4:$C$2004,$B72,周转筐出入库明细!$D$4:$D$2004,基础资料!$B$6,周转筐出入库明细!$F$4:$F$2004,"采购入库",周转筐出入库明细!$B$4:$B$2004,"&gt;="&amp;$BC$1,周转筐出入库明细!$B$4:$B$2004,"&lt;="&amp;$BC$2))</f>
        <v/>
      </c>
      <c r="R72" s="25" t="str">
        <f>IF(OR($B72="",基础资料!$B$7=""),"",SUMIFS(周转筐出入库明细!$H$4:$H$2004,周转筐出入库明细!$C$4:$C$2004,$B72,周转筐出入库明细!$D$4:$D$2004,基础资料!$B$7,周转筐出入库明细!$F$4:$F$2004,"采购入库",周转筐出入库明细!$B$4:$B$2004,"&gt;="&amp;$BC$1,周转筐出入库明细!$B$4:$B$2004,"&lt;="&amp;$BC$2))</f>
        <v/>
      </c>
      <c r="S72" s="25" t="str">
        <f>IF(OR($B72="",基础资料!$B$8=""),"",SUMIFS(周转筐出入库明细!$H$4:$H$2004,周转筐出入库明细!$C$4:$C$2004,$B72,周转筐出入库明细!$D$4:$D$2004,基础资料!$B$8,周转筐出入库明细!$F$4:$F$2004,"采购入库",周转筐出入库明细!$B$4:$B$2004,"&gt;="&amp;$BC$1,周转筐出入库明细!$B$4:$B$2004,"&lt;="&amp;$BC$2))</f>
        <v/>
      </c>
      <c r="T72" s="25" t="str">
        <f t="shared" si="15"/>
        <v/>
      </c>
      <c r="U72" s="25" t="str">
        <f>IF(OR($B72="",基础资料!$B$4=""),"",SUMIFS(周转筐出入库明细!$K$4:$K$2004,周转筐出入库明细!$C$4:$C$2004,$B72,周转筐出入库明细!$D$4:$D$2004,基础资料!$B$4,周转筐出入库明细!$B$4:$B$2004,"&gt;="&amp;$BC$1,周转筐出入库明细!$B$4:$B$2004,"&lt;="&amp;$BC$2))</f>
        <v/>
      </c>
      <c r="V72" s="25" t="str">
        <f>IF(OR($B72="",基础资料!$B$5=""),"",SUMIFS(周转筐出入库明细!$K$4:$K$2004,周转筐出入库明细!$C$4:$C$2004,$B72,周转筐出入库明细!$D$4:$D$2004,基础资料!$B$5,周转筐出入库明细!$B$4:$B$2004,"&gt;="&amp;$BC$1,周转筐出入库明细!$B$4:$B$2004,"&lt;="&amp;$BC$2))</f>
        <v/>
      </c>
      <c r="W72" s="25" t="str">
        <f>IF(OR($B72="",基础资料!$B$6=""),"",SUMIFS(周转筐出入库明细!$K$4:$K$2004,周转筐出入库明细!$C$4:$C$2004,$B72,周转筐出入库明细!$D$4:$D$2004,基础资料!$B$6,周转筐出入库明细!$B$4:$B$2004,"&gt;="&amp;$BC$1,周转筐出入库明细!$B$4:$B$2004,"&lt;="&amp;$BC$2))</f>
        <v/>
      </c>
      <c r="X72" s="25" t="str">
        <f>IF(OR($B72="",基础资料!$B$7=""),"",SUMIFS(周转筐出入库明细!$K$4:$K$2004,周转筐出入库明细!$C$4:$C$2004,$B72,周转筐出入库明细!$D$4:$D$2004,基础资料!$B$7,周转筐出入库明细!$B$4:$B$2004,"&gt;="&amp;$BC$1,周转筐出入库明细!$B$4:$B$2004,"&lt;="&amp;$BC$2))</f>
        <v/>
      </c>
      <c r="Y72" s="25" t="str">
        <f>IF(OR($B72="",基础资料!$B$8=""),"",SUMIFS(周转筐出入库明细!$K$4:$K$2004,周转筐出入库明细!$C$4:$C$2004,$B72,周转筐出入库明细!$D$4:$D$2004,基础资料!$B$8,周转筐出入库明细!$B$4:$B$2004,"&gt;="&amp;$BC$1,周转筐出入库明细!$B$4:$B$2004,"&lt;="&amp;$BC$2))</f>
        <v/>
      </c>
      <c r="Z72" s="25" t="str">
        <f t="shared" si="16"/>
        <v/>
      </c>
      <c r="AA72" s="67" t="str">
        <f>IF(OR($B72="",基础资料!$B$4=""),"",-SUMIFS(对接源_01水果筐数!$D$5:$D$304,对接源_01水果筐数!$B$5:$B$304,$B72,对接源_01水果筐数!$C$5:$C$304,基础资料!$B$4))</f>
        <v/>
      </c>
      <c r="AB72" s="67" t="str">
        <f>IF(OR($B72="",基础资料!$B$5=""),"",-SUMIFS(对接源_01水果筐数!$D$5:$D$304,对接源_01水果筐数!$B$5:$B$304,$B72,对接源_01水果筐数!$C$5:$C$304,基础资料!$B$5))</f>
        <v/>
      </c>
      <c r="AC72" s="67" t="str">
        <f>IF(OR($B72="",基础资料!$B$6=""),"",-SUMIFS(对接源_01水果筐数!$D$5:$D$304,对接源_01水果筐数!$B$5:$B$304,$B72,对接源_01水果筐数!$C$5:$C$304,基础资料!$B$6))</f>
        <v/>
      </c>
      <c r="AD72" s="67" t="str">
        <f>IF(OR($B72="",基础资料!$B$7=""),"",-SUMIFS(对接源_01水果筐数!$D$5:$D$304,对接源_01水果筐数!$B$5:$B$304,$B72,对接源_01水果筐数!$C$5:$C$304,基础资料!$B$7))</f>
        <v/>
      </c>
      <c r="AE72" s="67" t="str">
        <f>IF(OR($B72="",基础资料!$B$8=""),"",-SUMIFS(对接源_01水果筐数!$D$5:$D$304,对接源_01水果筐数!$B$5:$B$304,$B72,对接源_01水果筐数!$C$5:$C$304,基础资料!$B$8))</f>
        <v/>
      </c>
      <c r="AF72" s="25" t="str">
        <f>IF(OR($B72="",基础资料!$B$4=""),"",SUMIFS(对接源_01水果筐数!$E$5:$E$304,对接源_01水果筐数!$B$5:$B$304,$B72,对接源_01水果筐数!$C$5:$C$304,基础资料!$B$4))</f>
        <v/>
      </c>
      <c r="AG72" s="25" t="str">
        <f>IF(OR($B72="",基础资料!$B$5=""),"",SUMIFS(对接源_01水果筐数!$E$5:$E$304,对接源_01水果筐数!$B$5:$B$304,$B72,对接源_01水果筐数!$C$5:$C$304,基础资料!$B$5))</f>
        <v/>
      </c>
      <c r="AH72" s="25" t="str">
        <f>IF(OR($B72="",基础资料!$B$6=""),"",SUMIFS(对接源_01水果筐数!$E$5:$E$304,对接源_01水果筐数!$B$5:$B$304,$B72,对接源_01水果筐数!$C$5:$C$304,基础资料!$B$6))</f>
        <v/>
      </c>
      <c r="AI72" s="25" t="str">
        <f>IF(OR($B72="",基础资料!$B$7=""),"",SUMIFS(对接源_01水果筐数!$E$5:$E$304,对接源_01水果筐数!$B$5:$B$304,$B72,对接源_01水果筐数!$C$5:$C$304,基础资料!$B$7))</f>
        <v/>
      </c>
      <c r="AJ72" s="25" t="str">
        <f>IF(OR($B72="",基础资料!$B$8=""),"",SUMIFS(对接源_01水果筐数!$E$5:$E$304,对接源_01水果筐数!$B$5:$B$304,$B72,对接源_01水果筐数!$C$5:$C$304,基础资料!$B$8))</f>
        <v/>
      </c>
      <c r="AK72" s="25" t="str">
        <f>IF(OR($B72="",基础资料!$B$4=""),"",SUMIFS(对接源_01水果筐数!$F$5:$F$304,对接源_01水果筐数!$B$5:$B$304,$B72,对接源_01水果筐数!$C$5:$C$304,基础资料!$B$4))</f>
        <v/>
      </c>
      <c r="AL72" s="25" t="str">
        <f>IF(OR($B72="",基础资料!$B$5=""),"",SUMIFS(对接源_01水果筐数!$F$5:$F$304,对接源_01水果筐数!$B$5:$B$304,$B72,对接源_01水果筐数!$C$5:$C$304,基础资料!$B$5))</f>
        <v/>
      </c>
      <c r="AM72" s="25" t="str">
        <f>IF(OR($B72="",基础资料!$B$6=""),"",SUMIFS(对接源_01水果筐数!$F$5:$F$304,对接源_01水果筐数!$B$5:$B$304,$B72,对接源_01水果筐数!$C$5:$C$304,基础资料!$B$6))</f>
        <v/>
      </c>
      <c r="AN72" s="25" t="str">
        <f>IF(OR($B72="",基础资料!$B$7=""),"",SUMIFS(对接源_01水果筐数!$F$5:$F$304,对接源_01水果筐数!$B$5:$B$304,$B72,对接源_01水果筐数!$C$5:$C$304,基础资料!$B$7))</f>
        <v/>
      </c>
      <c r="AO72" s="25" t="str">
        <f>IF(OR($B72="",基础资料!$B$8=""),"",SUMIFS(对接源_01水果筐数!$F$5:$F$304,对接源_01水果筐数!$B$5:$B$304,$B72,对接源_01水果筐数!$C$5:$C$304,基础资料!$B$8))</f>
        <v/>
      </c>
      <c r="AP72" s="25" t="str">
        <f t="shared" si="17"/>
        <v/>
      </c>
      <c r="AQ72" s="25" t="str">
        <f t="shared" si="18"/>
        <v/>
      </c>
      <c r="AR72" s="25" t="str">
        <f t="shared" si="19"/>
        <v/>
      </c>
      <c r="AS72" s="25" t="str">
        <f t="shared" si="20"/>
        <v/>
      </c>
      <c r="AT72" s="25" t="str">
        <f t="shared" si="21"/>
        <v/>
      </c>
      <c r="AU72" s="25" t="str">
        <f t="shared" si="22"/>
        <v/>
      </c>
      <c r="AV72" s="24" t="str">
        <f t="shared" si="23"/>
        <v/>
      </c>
      <c r="AW72" s="72"/>
    </row>
    <row r="73" spans="1:49">
      <c r="A73" s="22" t="str">
        <f t="shared" si="12"/>
        <v/>
      </c>
      <c r="B73" s="24" t="str">
        <f>IFERROR(INDEX(_自动清单!$CC$4:$CC$253,ROW()-3),"")</f>
        <v/>
      </c>
      <c r="C73" s="25" t="str">
        <f>IF(OR($B73="",基础资料!$B$4=""),"",SUMIFS(周转筐出入库明细!$J$4:$J$2004,周转筐出入库明细!$C$4:$C$2004,$B73,周转筐出入库明细!$D$4:$D$2004,基础资料!$B$4,周转筐出入库明细!$B$4:$B$2004,"&gt;="&amp;$BC$1,周转筐出入库明细!$B$4:$B$2004,"&lt;="&amp;$BC$2))</f>
        <v/>
      </c>
      <c r="D73" s="25" t="str">
        <f>IF(OR($B73="",基础资料!$B$5=""),"",SUMIFS(周转筐出入库明细!$J$4:$J$2004,周转筐出入库明细!$C$4:$C$2004,$B73,周转筐出入库明细!$D$4:$D$2004,基础资料!$B$5,周转筐出入库明细!$B$4:$B$2004,"&gt;="&amp;$BC$1,周转筐出入库明细!$B$4:$B$2004,"&lt;="&amp;$BC$2))</f>
        <v/>
      </c>
      <c r="E73" s="25" t="str">
        <f>IF(OR($B73="",基础资料!$B$6=""),"",SUMIFS(周转筐出入库明细!$J$4:$J$2004,周转筐出入库明细!$C$4:$C$2004,$B73,周转筐出入库明细!$D$4:$D$2004,基础资料!$B$6,周转筐出入库明细!$B$4:$B$2004,"&gt;="&amp;$BC$1,周转筐出入库明细!$B$4:$B$2004,"&lt;="&amp;$BC$2))</f>
        <v/>
      </c>
      <c r="F73" s="25" t="str">
        <f>IF(OR($B73="",基础资料!$B$7=""),"",SUMIFS(周转筐出入库明细!$J$4:$J$2004,周转筐出入库明细!$C$4:$C$2004,$B73,周转筐出入库明细!$D$4:$D$2004,基础资料!$B$7,周转筐出入库明细!$B$4:$B$2004,"&gt;="&amp;$BC$1,周转筐出入库明细!$B$4:$B$2004,"&lt;="&amp;$BC$2))</f>
        <v/>
      </c>
      <c r="G73" s="25" t="str">
        <f>IF(OR($B73="",基础资料!$B$8=""),"",SUMIFS(周转筐出入库明细!$J$4:$J$2004,周转筐出入库明细!$C$4:$C$2004,$B73,周转筐出入库明细!$D$4:$D$2004,基础资料!$B$8,周转筐出入库明细!$B$4:$B$2004,"&gt;="&amp;$BC$1,周转筐出入库明细!$B$4:$B$2004,"&lt;="&amp;$BC$2))</f>
        <v/>
      </c>
      <c r="H73" s="25" t="str">
        <f t="shared" si="13"/>
        <v/>
      </c>
      <c r="I73" s="67" t="str">
        <f>IF(OR($B73="",基础资料!$B$4=""),"",-SUMIFS(周转筐出入库明细!$I$4:$I$2004,周转筐出入库明细!$C$4:$C$2004,$B73,周转筐出入库明细!$D$4:$D$2004,基础资料!$B$4,周转筐出入库明细!$B$4:$B$2004,"&gt;="&amp;$BC$1,周转筐出入库明细!$B$4:$B$2004,"&lt;="&amp;$BC$2))</f>
        <v/>
      </c>
      <c r="J73" s="67" t="str">
        <f>IF(OR($B73="",基础资料!$B$5=""),"",-SUMIFS(周转筐出入库明细!$I$4:$I$2004,周转筐出入库明细!$C$4:$C$2004,$B73,周转筐出入库明细!$D$4:$D$2004,基础资料!$B$5,周转筐出入库明细!$B$4:$B$2004,"&gt;="&amp;$BC$1,周转筐出入库明细!$B$4:$B$2004,"&lt;="&amp;$BC$2))</f>
        <v/>
      </c>
      <c r="K73" s="67" t="str">
        <f>IF(OR($B73="",基础资料!$B$6=""),"",-SUMIFS(周转筐出入库明细!$I$4:$I$2004,周转筐出入库明细!$C$4:$C$2004,$B73,周转筐出入库明细!$D$4:$D$2004,基础资料!$B$6,周转筐出入库明细!$B$4:$B$2004,"&gt;="&amp;$BC$1,周转筐出入库明细!$B$4:$B$2004,"&lt;="&amp;$BC$2))</f>
        <v/>
      </c>
      <c r="L73" s="67" t="str">
        <f>IF(OR($B73="",基础资料!$B$7=""),"",-SUMIFS(周转筐出入库明细!$I$4:$I$2004,周转筐出入库明细!$C$4:$C$2004,$B73,周转筐出入库明细!$D$4:$D$2004,基础资料!$B$7,周转筐出入库明细!$B$4:$B$2004,"&gt;="&amp;$BC$1,周转筐出入库明细!$B$4:$B$2004,"&lt;="&amp;$BC$2))</f>
        <v/>
      </c>
      <c r="M73" s="67" t="str">
        <f>IF(OR($B73="",基础资料!$B$8=""),"",-SUMIFS(周转筐出入库明细!$I$4:$I$2004,周转筐出入库明细!$C$4:$C$2004,$B73,周转筐出入库明细!$D$4:$D$2004,基础资料!$B$8,周转筐出入库明细!$B$4:$B$2004,"&gt;="&amp;$BC$1,周转筐出入库明细!$B$4:$B$2004,"&lt;="&amp;$BC$2))</f>
        <v/>
      </c>
      <c r="N73" s="67" t="str">
        <f t="shared" si="14"/>
        <v/>
      </c>
      <c r="O73" s="25" t="str">
        <f>IF(OR($B73="",基础资料!$B$4=""),"",SUMIFS(周转筐出入库明细!$H$4:$H$2004,周转筐出入库明细!$C$4:$C$2004,$B73,周转筐出入库明细!$D$4:$D$2004,基础资料!$B$4,周转筐出入库明细!$F$4:$F$2004,"采购入库",周转筐出入库明细!$B$4:$B$2004,"&gt;="&amp;$BC$1,周转筐出入库明细!$B$4:$B$2004,"&lt;="&amp;$BC$2))</f>
        <v/>
      </c>
      <c r="P73" s="25" t="str">
        <f>IF(OR($B73="",基础资料!$B$5=""),"",SUMIFS(周转筐出入库明细!$H$4:$H$2004,周转筐出入库明细!$C$4:$C$2004,$B73,周转筐出入库明细!$D$4:$D$2004,基础资料!$B$5,周转筐出入库明细!$F$4:$F$2004,"采购入库",周转筐出入库明细!$B$4:$B$2004,"&gt;="&amp;$BC$1,周转筐出入库明细!$B$4:$B$2004,"&lt;="&amp;$BC$2))</f>
        <v/>
      </c>
      <c r="Q73" s="25" t="str">
        <f>IF(OR($B73="",基础资料!$B$6=""),"",SUMIFS(周转筐出入库明细!$H$4:$H$2004,周转筐出入库明细!$C$4:$C$2004,$B73,周转筐出入库明细!$D$4:$D$2004,基础资料!$B$6,周转筐出入库明细!$F$4:$F$2004,"采购入库",周转筐出入库明细!$B$4:$B$2004,"&gt;="&amp;$BC$1,周转筐出入库明细!$B$4:$B$2004,"&lt;="&amp;$BC$2))</f>
        <v/>
      </c>
      <c r="R73" s="25" t="str">
        <f>IF(OR($B73="",基础资料!$B$7=""),"",SUMIFS(周转筐出入库明细!$H$4:$H$2004,周转筐出入库明细!$C$4:$C$2004,$B73,周转筐出入库明细!$D$4:$D$2004,基础资料!$B$7,周转筐出入库明细!$F$4:$F$2004,"采购入库",周转筐出入库明细!$B$4:$B$2004,"&gt;="&amp;$BC$1,周转筐出入库明细!$B$4:$B$2004,"&lt;="&amp;$BC$2))</f>
        <v/>
      </c>
      <c r="S73" s="25" t="str">
        <f>IF(OR($B73="",基础资料!$B$8=""),"",SUMIFS(周转筐出入库明细!$H$4:$H$2004,周转筐出入库明细!$C$4:$C$2004,$B73,周转筐出入库明细!$D$4:$D$2004,基础资料!$B$8,周转筐出入库明细!$F$4:$F$2004,"采购入库",周转筐出入库明细!$B$4:$B$2004,"&gt;="&amp;$BC$1,周转筐出入库明细!$B$4:$B$2004,"&lt;="&amp;$BC$2))</f>
        <v/>
      </c>
      <c r="T73" s="25" t="str">
        <f t="shared" si="15"/>
        <v/>
      </c>
      <c r="U73" s="25" t="str">
        <f>IF(OR($B73="",基础资料!$B$4=""),"",SUMIFS(周转筐出入库明细!$K$4:$K$2004,周转筐出入库明细!$C$4:$C$2004,$B73,周转筐出入库明细!$D$4:$D$2004,基础资料!$B$4,周转筐出入库明细!$B$4:$B$2004,"&gt;="&amp;$BC$1,周转筐出入库明细!$B$4:$B$2004,"&lt;="&amp;$BC$2))</f>
        <v/>
      </c>
      <c r="V73" s="25" t="str">
        <f>IF(OR($B73="",基础资料!$B$5=""),"",SUMIFS(周转筐出入库明细!$K$4:$K$2004,周转筐出入库明细!$C$4:$C$2004,$B73,周转筐出入库明细!$D$4:$D$2004,基础资料!$B$5,周转筐出入库明细!$B$4:$B$2004,"&gt;="&amp;$BC$1,周转筐出入库明细!$B$4:$B$2004,"&lt;="&amp;$BC$2))</f>
        <v/>
      </c>
      <c r="W73" s="25" t="str">
        <f>IF(OR($B73="",基础资料!$B$6=""),"",SUMIFS(周转筐出入库明细!$K$4:$K$2004,周转筐出入库明细!$C$4:$C$2004,$B73,周转筐出入库明细!$D$4:$D$2004,基础资料!$B$6,周转筐出入库明细!$B$4:$B$2004,"&gt;="&amp;$BC$1,周转筐出入库明细!$B$4:$B$2004,"&lt;="&amp;$BC$2))</f>
        <v/>
      </c>
      <c r="X73" s="25" t="str">
        <f>IF(OR($B73="",基础资料!$B$7=""),"",SUMIFS(周转筐出入库明细!$K$4:$K$2004,周转筐出入库明细!$C$4:$C$2004,$B73,周转筐出入库明细!$D$4:$D$2004,基础资料!$B$7,周转筐出入库明细!$B$4:$B$2004,"&gt;="&amp;$BC$1,周转筐出入库明细!$B$4:$B$2004,"&lt;="&amp;$BC$2))</f>
        <v/>
      </c>
      <c r="Y73" s="25" t="str">
        <f>IF(OR($B73="",基础资料!$B$8=""),"",SUMIFS(周转筐出入库明细!$K$4:$K$2004,周转筐出入库明细!$C$4:$C$2004,$B73,周转筐出入库明细!$D$4:$D$2004,基础资料!$B$8,周转筐出入库明细!$B$4:$B$2004,"&gt;="&amp;$BC$1,周转筐出入库明细!$B$4:$B$2004,"&lt;="&amp;$BC$2))</f>
        <v/>
      </c>
      <c r="Z73" s="25" t="str">
        <f t="shared" si="16"/>
        <v/>
      </c>
      <c r="AA73" s="67" t="str">
        <f>IF(OR($B73="",基础资料!$B$4=""),"",-SUMIFS(对接源_01水果筐数!$D$5:$D$304,对接源_01水果筐数!$B$5:$B$304,$B73,对接源_01水果筐数!$C$5:$C$304,基础资料!$B$4))</f>
        <v/>
      </c>
      <c r="AB73" s="67" t="str">
        <f>IF(OR($B73="",基础资料!$B$5=""),"",-SUMIFS(对接源_01水果筐数!$D$5:$D$304,对接源_01水果筐数!$B$5:$B$304,$B73,对接源_01水果筐数!$C$5:$C$304,基础资料!$B$5))</f>
        <v/>
      </c>
      <c r="AC73" s="67" t="str">
        <f>IF(OR($B73="",基础资料!$B$6=""),"",-SUMIFS(对接源_01水果筐数!$D$5:$D$304,对接源_01水果筐数!$B$5:$B$304,$B73,对接源_01水果筐数!$C$5:$C$304,基础资料!$B$6))</f>
        <v/>
      </c>
      <c r="AD73" s="67" t="str">
        <f>IF(OR($B73="",基础资料!$B$7=""),"",-SUMIFS(对接源_01水果筐数!$D$5:$D$304,对接源_01水果筐数!$B$5:$B$304,$B73,对接源_01水果筐数!$C$5:$C$304,基础资料!$B$7))</f>
        <v/>
      </c>
      <c r="AE73" s="67" t="str">
        <f>IF(OR($B73="",基础资料!$B$8=""),"",-SUMIFS(对接源_01水果筐数!$D$5:$D$304,对接源_01水果筐数!$B$5:$B$304,$B73,对接源_01水果筐数!$C$5:$C$304,基础资料!$B$8))</f>
        <v/>
      </c>
      <c r="AF73" s="25" t="str">
        <f>IF(OR($B73="",基础资料!$B$4=""),"",SUMIFS(对接源_01水果筐数!$E$5:$E$304,对接源_01水果筐数!$B$5:$B$304,$B73,对接源_01水果筐数!$C$5:$C$304,基础资料!$B$4))</f>
        <v/>
      </c>
      <c r="AG73" s="25" t="str">
        <f>IF(OR($B73="",基础资料!$B$5=""),"",SUMIFS(对接源_01水果筐数!$E$5:$E$304,对接源_01水果筐数!$B$5:$B$304,$B73,对接源_01水果筐数!$C$5:$C$304,基础资料!$B$5))</f>
        <v/>
      </c>
      <c r="AH73" s="25" t="str">
        <f>IF(OR($B73="",基础资料!$B$6=""),"",SUMIFS(对接源_01水果筐数!$E$5:$E$304,对接源_01水果筐数!$B$5:$B$304,$B73,对接源_01水果筐数!$C$5:$C$304,基础资料!$B$6))</f>
        <v/>
      </c>
      <c r="AI73" s="25" t="str">
        <f>IF(OR($B73="",基础资料!$B$7=""),"",SUMIFS(对接源_01水果筐数!$E$5:$E$304,对接源_01水果筐数!$B$5:$B$304,$B73,对接源_01水果筐数!$C$5:$C$304,基础资料!$B$7))</f>
        <v/>
      </c>
      <c r="AJ73" s="25" t="str">
        <f>IF(OR($B73="",基础资料!$B$8=""),"",SUMIFS(对接源_01水果筐数!$E$5:$E$304,对接源_01水果筐数!$B$5:$B$304,$B73,对接源_01水果筐数!$C$5:$C$304,基础资料!$B$8))</f>
        <v/>
      </c>
      <c r="AK73" s="25" t="str">
        <f>IF(OR($B73="",基础资料!$B$4=""),"",SUMIFS(对接源_01水果筐数!$F$5:$F$304,对接源_01水果筐数!$B$5:$B$304,$B73,对接源_01水果筐数!$C$5:$C$304,基础资料!$B$4))</f>
        <v/>
      </c>
      <c r="AL73" s="25" t="str">
        <f>IF(OR($B73="",基础资料!$B$5=""),"",SUMIFS(对接源_01水果筐数!$F$5:$F$304,对接源_01水果筐数!$B$5:$B$304,$B73,对接源_01水果筐数!$C$5:$C$304,基础资料!$B$5))</f>
        <v/>
      </c>
      <c r="AM73" s="25" t="str">
        <f>IF(OR($B73="",基础资料!$B$6=""),"",SUMIFS(对接源_01水果筐数!$F$5:$F$304,对接源_01水果筐数!$B$5:$B$304,$B73,对接源_01水果筐数!$C$5:$C$304,基础资料!$B$6))</f>
        <v/>
      </c>
      <c r="AN73" s="25" t="str">
        <f>IF(OR($B73="",基础资料!$B$7=""),"",SUMIFS(对接源_01水果筐数!$F$5:$F$304,对接源_01水果筐数!$B$5:$B$304,$B73,对接源_01水果筐数!$C$5:$C$304,基础资料!$B$7))</f>
        <v/>
      </c>
      <c r="AO73" s="25" t="str">
        <f>IF(OR($B73="",基础资料!$B$8=""),"",SUMIFS(对接源_01水果筐数!$F$5:$F$304,对接源_01水果筐数!$B$5:$B$304,$B73,对接源_01水果筐数!$C$5:$C$304,基础资料!$B$8))</f>
        <v/>
      </c>
      <c r="AP73" s="25" t="str">
        <f t="shared" si="17"/>
        <v/>
      </c>
      <c r="AQ73" s="25" t="str">
        <f t="shared" si="18"/>
        <v/>
      </c>
      <c r="AR73" s="25" t="str">
        <f t="shared" si="19"/>
        <v/>
      </c>
      <c r="AS73" s="25" t="str">
        <f t="shared" si="20"/>
        <v/>
      </c>
      <c r="AT73" s="25" t="str">
        <f t="shared" si="21"/>
        <v/>
      </c>
      <c r="AU73" s="25" t="str">
        <f t="shared" si="22"/>
        <v/>
      </c>
      <c r="AV73" s="24" t="str">
        <f t="shared" si="23"/>
        <v/>
      </c>
      <c r="AW73" s="72"/>
    </row>
    <row r="74" spans="1:49">
      <c r="A74" s="22" t="str">
        <f t="shared" si="12"/>
        <v/>
      </c>
      <c r="B74" s="24" t="str">
        <f>IFERROR(INDEX(_自动清单!$CC$4:$CC$253,ROW()-3),"")</f>
        <v/>
      </c>
      <c r="C74" s="25" t="str">
        <f>IF(OR($B74="",基础资料!$B$4=""),"",SUMIFS(周转筐出入库明细!$J$4:$J$2004,周转筐出入库明细!$C$4:$C$2004,$B74,周转筐出入库明细!$D$4:$D$2004,基础资料!$B$4,周转筐出入库明细!$B$4:$B$2004,"&gt;="&amp;$BC$1,周转筐出入库明细!$B$4:$B$2004,"&lt;="&amp;$BC$2))</f>
        <v/>
      </c>
      <c r="D74" s="25" t="str">
        <f>IF(OR($B74="",基础资料!$B$5=""),"",SUMIFS(周转筐出入库明细!$J$4:$J$2004,周转筐出入库明细!$C$4:$C$2004,$B74,周转筐出入库明细!$D$4:$D$2004,基础资料!$B$5,周转筐出入库明细!$B$4:$B$2004,"&gt;="&amp;$BC$1,周转筐出入库明细!$B$4:$B$2004,"&lt;="&amp;$BC$2))</f>
        <v/>
      </c>
      <c r="E74" s="25" t="str">
        <f>IF(OR($B74="",基础资料!$B$6=""),"",SUMIFS(周转筐出入库明细!$J$4:$J$2004,周转筐出入库明细!$C$4:$C$2004,$B74,周转筐出入库明细!$D$4:$D$2004,基础资料!$B$6,周转筐出入库明细!$B$4:$B$2004,"&gt;="&amp;$BC$1,周转筐出入库明细!$B$4:$B$2004,"&lt;="&amp;$BC$2))</f>
        <v/>
      </c>
      <c r="F74" s="25" t="str">
        <f>IF(OR($B74="",基础资料!$B$7=""),"",SUMIFS(周转筐出入库明细!$J$4:$J$2004,周转筐出入库明细!$C$4:$C$2004,$B74,周转筐出入库明细!$D$4:$D$2004,基础资料!$B$7,周转筐出入库明细!$B$4:$B$2004,"&gt;="&amp;$BC$1,周转筐出入库明细!$B$4:$B$2004,"&lt;="&amp;$BC$2))</f>
        <v/>
      </c>
      <c r="G74" s="25" t="str">
        <f>IF(OR($B74="",基础资料!$B$8=""),"",SUMIFS(周转筐出入库明细!$J$4:$J$2004,周转筐出入库明细!$C$4:$C$2004,$B74,周转筐出入库明细!$D$4:$D$2004,基础资料!$B$8,周转筐出入库明细!$B$4:$B$2004,"&gt;="&amp;$BC$1,周转筐出入库明细!$B$4:$B$2004,"&lt;="&amp;$BC$2))</f>
        <v/>
      </c>
      <c r="H74" s="25" t="str">
        <f t="shared" si="13"/>
        <v/>
      </c>
      <c r="I74" s="67" t="str">
        <f>IF(OR($B74="",基础资料!$B$4=""),"",-SUMIFS(周转筐出入库明细!$I$4:$I$2004,周转筐出入库明细!$C$4:$C$2004,$B74,周转筐出入库明细!$D$4:$D$2004,基础资料!$B$4,周转筐出入库明细!$B$4:$B$2004,"&gt;="&amp;$BC$1,周转筐出入库明细!$B$4:$B$2004,"&lt;="&amp;$BC$2))</f>
        <v/>
      </c>
      <c r="J74" s="67" t="str">
        <f>IF(OR($B74="",基础资料!$B$5=""),"",-SUMIFS(周转筐出入库明细!$I$4:$I$2004,周转筐出入库明细!$C$4:$C$2004,$B74,周转筐出入库明细!$D$4:$D$2004,基础资料!$B$5,周转筐出入库明细!$B$4:$B$2004,"&gt;="&amp;$BC$1,周转筐出入库明细!$B$4:$B$2004,"&lt;="&amp;$BC$2))</f>
        <v/>
      </c>
      <c r="K74" s="67" t="str">
        <f>IF(OR($B74="",基础资料!$B$6=""),"",-SUMIFS(周转筐出入库明细!$I$4:$I$2004,周转筐出入库明细!$C$4:$C$2004,$B74,周转筐出入库明细!$D$4:$D$2004,基础资料!$B$6,周转筐出入库明细!$B$4:$B$2004,"&gt;="&amp;$BC$1,周转筐出入库明细!$B$4:$B$2004,"&lt;="&amp;$BC$2))</f>
        <v/>
      </c>
      <c r="L74" s="67" t="str">
        <f>IF(OR($B74="",基础资料!$B$7=""),"",-SUMIFS(周转筐出入库明细!$I$4:$I$2004,周转筐出入库明细!$C$4:$C$2004,$B74,周转筐出入库明细!$D$4:$D$2004,基础资料!$B$7,周转筐出入库明细!$B$4:$B$2004,"&gt;="&amp;$BC$1,周转筐出入库明细!$B$4:$B$2004,"&lt;="&amp;$BC$2))</f>
        <v/>
      </c>
      <c r="M74" s="67" t="str">
        <f>IF(OR($B74="",基础资料!$B$8=""),"",-SUMIFS(周转筐出入库明细!$I$4:$I$2004,周转筐出入库明细!$C$4:$C$2004,$B74,周转筐出入库明细!$D$4:$D$2004,基础资料!$B$8,周转筐出入库明细!$B$4:$B$2004,"&gt;="&amp;$BC$1,周转筐出入库明细!$B$4:$B$2004,"&lt;="&amp;$BC$2))</f>
        <v/>
      </c>
      <c r="N74" s="67" t="str">
        <f t="shared" si="14"/>
        <v/>
      </c>
      <c r="O74" s="25" t="str">
        <f>IF(OR($B74="",基础资料!$B$4=""),"",SUMIFS(周转筐出入库明细!$H$4:$H$2004,周转筐出入库明细!$C$4:$C$2004,$B74,周转筐出入库明细!$D$4:$D$2004,基础资料!$B$4,周转筐出入库明细!$F$4:$F$2004,"采购入库",周转筐出入库明细!$B$4:$B$2004,"&gt;="&amp;$BC$1,周转筐出入库明细!$B$4:$B$2004,"&lt;="&amp;$BC$2))</f>
        <v/>
      </c>
      <c r="P74" s="25" t="str">
        <f>IF(OR($B74="",基础资料!$B$5=""),"",SUMIFS(周转筐出入库明细!$H$4:$H$2004,周转筐出入库明细!$C$4:$C$2004,$B74,周转筐出入库明细!$D$4:$D$2004,基础资料!$B$5,周转筐出入库明细!$F$4:$F$2004,"采购入库",周转筐出入库明细!$B$4:$B$2004,"&gt;="&amp;$BC$1,周转筐出入库明细!$B$4:$B$2004,"&lt;="&amp;$BC$2))</f>
        <v/>
      </c>
      <c r="Q74" s="25" t="str">
        <f>IF(OR($B74="",基础资料!$B$6=""),"",SUMIFS(周转筐出入库明细!$H$4:$H$2004,周转筐出入库明细!$C$4:$C$2004,$B74,周转筐出入库明细!$D$4:$D$2004,基础资料!$B$6,周转筐出入库明细!$F$4:$F$2004,"采购入库",周转筐出入库明细!$B$4:$B$2004,"&gt;="&amp;$BC$1,周转筐出入库明细!$B$4:$B$2004,"&lt;="&amp;$BC$2))</f>
        <v/>
      </c>
      <c r="R74" s="25" t="str">
        <f>IF(OR($B74="",基础资料!$B$7=""),"",SUMIFS(周转筐出入库明细!$H$4:$H$2004,周转筐出入库明细!$C$4:$C$2004,$B74,周转筐出入库明细!$D$4:$D$2004,基础资料!$B$7,周转筐出入库明细!$F$4:$F$2004,"采购入库",周转筐出入库明细!$B$4:$B$2004,"&gt;="&amp;$BC$1,周转筐出入库明细!$B$4:$B$2004,"&lt;="&amp;$BC$2))</f>
        <v/>
      </c>
      <c r="S74" s="25" t="str">
        <f>IF(OR($B74="",基础资料!$B$8=""),"",SUMIFS(周转筐出入库明细!$H$4:$H$2004,周转筐出入库明细!$C$4:$C$2004,$B74,周转筐出入库明细!$D$4:$D$2004,基础资料!$B$8,周转筐出入库明细!$F$4:$F$2004,"采购入库",周转筐出入库明细!$B$4:$B$2004,"&gt;="&amp;$BC$1,周转筐出入库明细!$B$4:$B$2004,"&lt;="&amp;$BC$2))</f>
        <v/>
      </c>
      <c r="T74" s="25" t="str">
        <f t="shared" si="15"/>
        <v/>
      </c>
      <c r="U74" s="25" t="str">
        <f>IF(OR($B74="",基础资料!$B$4=""),"",SUMIFS(周转筐出入库明细!$K$4:$K$2004,周转筐出入库明细!$C$4:$C$2004,$B74,周转筐出入库明细!$D$4:$D$2004,基础资料!$B$4,周转筐出入库明细!$B$4:$B$2004,"&gt;="&amp;$BC$1,周转筐出入库明细!$B$4:$B$2004,"&lt;="&amp;$BC$2))</f>
        <v/>
      </c>
      <c r="V74" s="25" t="str">
        <f>IF(OR($B74="",基础资料!$B$5=""),"",SUMIFS(周转筐出入库明细!$K$4:$K$2004,周转筐出入库明细!$C$4:$C$2004,$B74,周转筐出入库明细!$D$4:$D$2004,基础资料!$B$5,周转筐出入库明细!$B$4:$B$2004,"&gt;="&amp;$BC$1,周转筐出入库明细!$B$4:$B$2004,"&lt;="&amp;$BC$2))</f>
        <v/>
      </c>
      <c r="W74" s="25" t="str">
        <f>IF(OR($B74="",基础资料!$B$6=""),"",SUMIFS(周转筐出入库明细!$K$4:$K$2004,周转筐出入库明细!$C$4:$C$2004,$B74,周转筐出入库明细!$D$4:$D$2004,基础资料!$B$6,周转筐出入库明细!$B$4:$B$2004,"&gt;="&amp;$BC$1,周转筐出入库明细!$B$4:$B$2004,"&lt;="&amp;$BC$2))</f>
        <v/>
      </c>
      <c r="X74" s="25" t="str">
        <f>IF(OR($B74="",基础资料!$B$7=""),"",SUMIFS(周转筐出入库明细!$K$4:$K$2004,周转筐出入库明细!$C$4:$C$2004,$B74,周转筐出入库明细!$D$4:$D$2004,基础资料!$B$7,周转筐出入库明细!$B$4:$B$2004,"&gt;="&amp;$BC$1,周转筐出入库明细!$B$4:$B$2004,"&lt;="&amp;$BC$2))</f>
        <v/>
      </c>
      <c r="Y74" s="25" t="str">
        <f>IF(OR($B74="",基础资料!$B$8=""),"",SUMIFS(周转筐出入库明细!$K$4:$K$2004,周转筐出入库明细!$C$4:$C$2004,$B74,周转筐出入库明细!$D$4:$D$2004,基础资料!$B$8,周转筐出入库明细!$B$4:$B$2004,"&gt;="&amp;$BC$1,周转筐出入库明细!$B$4:$B$2004,"&lt;="&amp;$BC$2))</f>
        <v/>
      </c>
      <c r="Z74" s="25" t="str">
        <f t="shared" si="16"/>
        <v/>
      </c>
      <c r="AA74" s="67" t="str">
        <f>IF(OR($B74="",基础资料!$B$4=""),"",-SUMIFS(对接源_01水果筐数!$D$5:$D$304,对接源_01水果筐数!$B$5:$B$304,$B74,对接源_01水果筐数!$C$5:$C$304,基础资料!$B$4))</f>
        <v/>
      </c>
      <c r="AB74" s="67" t="str">
        <f>IF(OR($B74="",基础资料!$B$5=""),"",-SUMIFS(对接源_01水果筐数!$D$5:$D$304,对接源_01水果筐数!$B$5:$B$304,$B74,对接源_01水果筐数!$C$5:$C$304,基础资料!$B$5))</f>
        <v/>
      </c>
      <c r="AC74" s="67" t="str">
        <f>IF(OR($B74="",基础资料!$B$6=""),"",-SUMIFS(对接源_01水果筐数!$D$5:$D$304,对接源_01水果筐数!$B$5:$B$304,$B74,对接源_01水果筐数!$C$5:$C$304,基础资料!$B$6))</f>
        <v/>
      </c>
      <c r="AD74" s="67" t="str">
        <f>IF(OR($B74="",基础资料!$B$7=""),"",-SUMIFS(对接源_01水果筐数!$D$5:$D$304,对接源_01水果筐数!$B$5:$B$304,$B74,对接源_01水果筐数!$C$5:$C$304,基础资料!$B$7))</f>
        <v/>
      </c>
      <c r="AE74" s="67" t="str">
        <f>IF(OR($B74="",基础资料!$B$8=""),"",-SUMIFS(对接源_01水果筐数!$D$5:$D$304,对接源_01水果筐数!$B$5:$B$304,$B74,对接源_01水果筐数!$C$5:$C$304,基础资料!$B$8))</f>
        <v/>
      </c>
      <c r="AF74" s="25" t="str">
        <f>IF(OR($B74="",基础资料!$B$4=""),"",SUMIFS(对接源_01水果筐数!$E$5:$E$304,对接源_01水果筐数!$B$5:$B$304,$B74,对接源_01水果筐数!$C$5:$C$304,基础资料!$B$4))</f>
        <v/>
      </c>
      <c r="AG74" s="25" t="str">
        <f>IF(OR($B74="",基础资料!$B$5=""),"",SUMIFS(对接源_01水果筐数!$E$5:$E$304,对接源_01水果筐数!$B$5:$B$304,$B74,对接源_01水果筐数!$C$5:$C$304,基础资料!$B$5))</f>
        <v/>
      </c>
      <c r="AH74" s="25" t="str">
        <f>IF(OR($B74="",基础资料!$B$6=""),"",SUMIFS(对接源_01水果筐数!$E$5:$E$304,对接源_01水果筐数!$B$5:$B$304,$B74,对接源_01水果筐数!$C$5:$C$304,基础资料!$B$6))</f>
        <v/>
      </c>
      <c r="AI74" s="25" t="str">
        <f>IF(OR($B74="",基础资料!$B$7=""),"",SUMIFS(对接源_01水果筐数!$E$5:$E$304,对接源_01水果筐数!$B$5:$B$304,$B74,对接源_01水果筐数!$C$5:$C$304,基础资料!$B$7))</f>
        <v/>
      </c>
      <c r="AJ74" s="25" t="str">
        <f>IF(OR($B74="",基础资料!$B$8=""),"",SUMIFS(对接源_01水果筐数!$E$5:$E$304,对接源_01水果筐数!$B$5:$B$304,$B74,对接源_01水果筐数!$C$5:$C$304,基础资料!$B$8))</f>
        <v/>
      </c>
      <c r="AK74" s="25" t="str">
        <f>IF(OR($B74="",基础资料!$B$4=""),"",SUMIFS(对接源_01水果筐数!$F$5:$F$304,对接源_01水果筐数!$B$5:$B$304,$B74,对接源_01水果筐数!$C$5:$C$304,基础资料!$B$4))</f>
        <v/>
      </c>
      <c r="AL74" s="25" t="str">
        <f>IF(OR($B74="",基础资料!$B$5=""),"",SUMIFS(对接源_01水果筐数!$F$5:$F$304,对接源_01水果筐数!$B$5:$B$304,$B74,对接源_01水果筐数!$C$5:$C$304,基础资料!$B$5))</f>
        <v/>
      </c>
      <c r="AM74" s="25" t="str">
        <f>IF(OR($B74="",基础资料!$B$6=""),"",SUMIFS(对接源_01水果筐数!$F$5:$F$304,对接源_01水果筐数!$B$5:$B$304,$B74,对接源_01水果筐数!$C$5:$C$304,基础资料!$B$6))</f>
        <v/>
      </c>
      <c r="AN74" s="25" t="str">
        <f>IF(OR($B74="",基础资料!$B$7=""),"",SUMIFS(对接源_01水果筐数!$F$5:$F$304,对接源_01水果筐数!$B$5:$B$304,$B74,对接源_01水果筐数!$C$5:$C$304,基础资料!$B$7))</f>
        <v/>
      </c>
      <c r="AO74" s="25" t="str">
        <f>IF(OR($B74="",基础资料!$B$8=""),"",SUMIFS(对接源_01水果筐数!$F$5:$F$304,对接源_01水果筐数!$B$5:$B$304,$B74,对接源_01水果筐数!$C$5:$C$304,基础资料!$B$8))</f>
        <v/>
      </c>
      <c r="AP74" s="25" t="str">
        <f t="shared" si="17"/>
        <v/>
      </c>
      <c r="AQ74" s="25" t="str">
        <f t="shared" si="18"/>
        <v/>
      </c>
      <c r="AR74" s="25" t="str">
        <f t="shared" si="19"/>
        <v/>
      </c>
      <c r="AS74" s="25" t="str">
        <f t="shared" si="20"/>
        <v/>
      </c>
      <c r="AT74" s="25" t="str">
        <f t="shared" si="21"/>
        <v/>
      </c>
      <c r="AU74" s="25" t="str">
        <f t="shared" si="22"/>
        <v/>
      </c>
      <c r="AV74" s="24" t="str">
        <f t="shared" si="23"/>
        <v/>
      </c>
      <c r="AW74" s="72"/>
    </row>
    <row r="75" spans="1:49">
      <c r="A75" s="22" t="str">
        <f t="shared" si="12"/>
        <v/>
      </c>
      <c r="B75" s="24" t="str">
        <f>IFERROR(INDEX(_自动清单!$CC$4:$CC$253,ROW()-3),"")</f>
        <v/>
      </c>
      <c r="C75" s="25" t="str">
        <f>IF(OR($B75="",基础资料!$B$4=""),"",SUMIFS(周转筐出入库明细!$J$4:$J$2004,周转筐出入库明细!$C$4:$C$2004,$B75,周转筐出入库明细!$D$4:$D$2004,基础资料!$B$4,周转筐出入库明细!$B$4:$B$2004,"&gt;="&amp;$BC$1,周转筐出入库明细!$B$4:$B$2004,"&lt;="&amp;$BC$2))</f>
        <v/>
      </c>
      <c r="D75" s="25" t="str">
        <f>IF(OR($B75="",基础资料!$B$5=""),"",SUMIFS(周转筐出入库明细!$J$4:$J$2004,周转筐出入库明细!$C$4:$C$2004,$B75,周转筐出入库明细!$D$4:$D$2004,基础资料!$B$5,周转筐出入库明细!$B$4:$B$2004,"&gt;="&amp;$BC$1,周转筐出入库明细!$B$4:$B$2004,"&lt;="&amp;$BC$2))</f>
        <v/>
      </c>
      <c r="E75" s="25" t="str">
        <f>IF(OR($B75="",基础资料!$B$6=""),"",SUMIFS(周转筐出入库明细!$J$4:$J$2004,周转筐出入库明细!$C$4:$C$2004,$B75,周转筐出入库明细!$D$4:$D$2004,基础资料!$B$6,周转筐出入库明细!$B$4:$B$2004,"&gt;="&amp;$BC$1,周转筐出入库明细!$B$4:$B$2004,"&lt;="&amp;$BC$2))</f>
        <v/>
      </c>
      <c r="F75" s="25" t="str">
        <f>IF(OR($B75="",基础资料!$B$7=""),"",SUMIFS(周转筐出入库明细!$J$4:$J$2004,周转筐出入库明细!$C$4:$C$2004,$B75,周转筐出入库明细!$D$4:$D$2004,基础资料!$B$7,周转筐出入库明细!$B$4:$B$2004,"&gt;="&amp;$BC$1,周转筐出入库明细!$B$4:$B$2004,"&lt;="&amp;$BC$2))</f>
        <v/>
      </c>
      <c r="G75" s="25" t="str">
        <f>IF(OR($B75="",基础资料!$B$8=""),"",SUMIFS(周转筐出入库明细!$J$4:$J$2004,周转筐出入库明细!$C$4:$C$2004,$B75,周转筐出入库明细!$D$4:$D$2004,基础资料!$B$8,周转筐出入库明细!$B$4:$B$2004,"&gt;="&amp;$BC$1,周转筐出入库明细!$B$4:$B$2004,"&lt;="&amp;$BC$2))</f>
        <v/>
      </c>
      <c r="H75" s="25" t="str">
        <f t="shared" si="13"/>
        <v/>
      </c>
      <c r="I75" s="67" t="str">
        <f>IF(OR($B75="",基础资料!$B$4=""),"",-SUMIFS(周转筐出入库明细!$I$4:$I$2004,周转筐出入库明细!$C$4:$C$2004,$B75,周转筐出入库明细!$D$4:$D$2004,基础资料!$B$4,周转筐出入库明细!$B$4:$B$2004,"&gt;="&amp;$BC$1,周转筐出入库明细!$B$4:$B$2004,"&lt;="&amp;$BC$2))</f>
        <v/>
      </c>
      <c r="J75" s="67" t="str">
        <f>IF(OR($B75="",基础资料!$B$5=""),"",-SUMIFS(周转筐出入库明细!$I$4:$I$2004,周转筐出入库明细!$C$4:$C$2004,$B75,周转筐出入库明细!$D$4:$D$2004,基础资料!$B$5,周转筐出入库明细!$B$4:$B$2004,"&gt;="&amp;$BC$1,周转筐出入库明细!$B$4:$B$2004,"&lt;="&amp;$BC$2))</f>
        <v/>
      </c>
      <c r="K75" s="67" t="str">
        <f>IF(OR($B75="",基础资料!$B$6=""),"",-SUMIFS(周转筐出入库明细!$I$4:$I$2004,周转筐出入库明细!$C$4:$C$2004,$B75,周转筐出入库明细!$D$4:$D$2004,基础资料!$B$6,周转筐出入库明细!$B$4:$B$2004,"&gt;="&amp;$BC$1,周转筐出入库明细!$B$4:$B$2004,"&lt;="&amp;$BC$2))</f>
        <v/>
      </c>
      <c r="L75" s="67" t="str">
        <f>IF(OR($B75="",基础资料!$B$7=""),"",-SUMIFS(周转筐出入库明细!$I$4:$I$2004,周转筐出入库明细!$C$4:$C$2004,$B75,周转筐出入库明细!$D$4:$D$2004,基础资料!$B$7,周转筐出入库明细!$B$4:$B$2004,"&gt;="&amp;$BC$1,周转筐出入库明细!$B$4:$B$2004,"&lt;="&amp;$BC$2))</f>
        <v/>
      </c>
      <c r="M75" s="67" t="str">
        <f>IF(OR($B75="",基础资料!$B$8=""),"",-SUMIFS(周转筐出入库明细!$I$4:$I$2004,周转筐出入库明细!$C$4:$C$2004,$B75,周转筐出入库明细!$D$4:$D$2004,基础资料!$B$8,周转筐出入库明细!$B$4:$B$2004,"&gt;="&amp;$BC$1,周转筐出入库明细!$B$4:$B$2004,"&lt;="&amp;$BC$2))</f>
        <v/>
      </c>
      <c r="N75" s="67" t="str">
        <f t="shared" si="14"/>
        <v/>
      </c>
      <c r="O75" s="25" t="str">
        <f>IF(OR($B75="",基础资料!$B$4=""),"",SUMIFS(周转筐出入库明细!$H$4:$H$2004,周转筐出入库明细!$C$4:$C$2004,$B75,周转筐出入库明细!$D$4:$D$2004,基础资料!$B$4,周转筐出入库明细!$F$4:$F$2004,"采购入库",周转筐出入库明细!$B$4:$B$2004,"&gt;="&amp;$BC$1,周转筐出入库明细!$B$4:$B$2004,"&lt;="&amp;$BC$2))</f>
        <v/>
      </c>
      <c r="P75" s="25" t="str">
        <f>IF(OR($B75="",基础资料!$B$5=""),"",SUMIFS(周转筐出入库明细!$H$4:$H$2004,周转筐出入库明细!$C$4:$C$2004,$B75,周转筐出入库明细!$D$4:$D$2004,基础资料!$B$5,周转筐出入库明细!$F$4:$F$2004,"采购入库",周转筐出入库明细!$B$4:$B$2004,"&gt;="&amp;$BC$1,周转筐出入库明细!$B$4:$B$2004,"&lt;="&amp;$BC$2))</f>
        <v/>
      </c>
      <c r="Q75" s="25" t="str">
        <f>IF(OR($B75="",基础资料!$B$6=""),"",SUMIFS(周转筐出入库明细!$H$4:$H$2004,周转筐出入库明细!$C$4:$C$2004,$B75,周转筐出入库明细!$D$4:$D$2004,基础资料!$B$6,周转筐出入库明细!$F$4:$F$2004,"采购入库",周转筐出入库明细!$B$4:$B$2004,"&gt;="&amp;$BC$1,周转筐出入库明细!$B$4:$B$2004,"&lt;="&amp;$BC$2))</f>
        <v/>
      </c>
      <c r="R75" s="25" t="str">
        <f>IF(OR($B75="",基础资料!$B$7=""),"",SUMIFS(周转筐出入库明细!$H$4:$H$2004,周转筐出入库明细!$C$4:$C$2004,$B75,周转筐出入库明细!$D$4:$D$2004,基础资料!$B$7,周转筐出入库明细!$F$4:$F$2004,"采购入库",周转筐出入库明细!$B$4:$B$2004,"&gt;="&amp;$BC$1,周转筐出入库明细!$B$4:$B$2004,"&lt;="&amp;$BC$2))</f>
        <v/>
      </c>
      <c r="S75" s="25" t="str">
        <f>IF(OR($B75="",基础资料!$B$8=""),"",SUMIFS(周转筐出入库明细!$H$4:$H$2004,周转筐出入库明细!$C$4:$C$2004,$B75,周转筐出入库明细!$D$4:$D$2004,基础资料!$B$8,周转筐出入库明细!$F$4:$F$2004,"采购入库",周转筐出入库明细!$B$4:$B$2004,"&gt;="&amp;$BC$1,周转筐出入库明细!$B$4:$B$2004,"&lt;="&amp;$BC$2))</f>
        <v/>
      </c>
      <c r="T75" s="25" t="str">
        <f t="shared" si="15"/>
        <v/>
      </c>
      <c r="U75" s="25" t="str">
        <f>IF(OR($B75="",基础资料!$B$4=""),"",SUMIFS(周转筐出入库明细!$K$4:$K$2004,周转筐出入库明细!$C$4:$C$2004,$B75,周转筐出入库明细!$D$4:$D$2004,基础资料!$B$4,周转筐出入库明细!$B$4:$B$2004,"&gt;="&amp;$BC$1,周转筐出入库明细!$B$4:$B$2004,"&lt;="&amp;$BC$2))</f>
        <v/>
      </c>
      <c r="V75" s="25" t="str">
        <f>IF(OR($B75="",基础资料!$B$5=""),"",SUMIFS(周转筐出入库明细!$K$4:$K$2004,周转筐出入库明细!$C$4:$C$2004,$B75,周转筐出入库明细!$D$4:$D$2004,基础资料!$B$5,周转筐出入库明细!$B$4:$B$2004,"&gt;="&amp;$BC$1,周转筐出入库明细!$B$4:$B$2004,"&lt;="&amp;$BC$2))</f>
        <v/>
      </c>
      <c r="W75" s="25" t="str">
        <f>IF(OR($B75="",基础资料!$B$6=""),"",SUMIFS(周转筐出入库明细!$K$4:$K$2004,周转筐出入库明细!$C$4:$C$2004,$B75,周转筐出入库明细!$D$4:$D$2004,基础资料!$B$6,周转筐出入库明细!$B$4:$B$2004,"&gt;="&amp;$BC$1,周转筐出入库明细!$B$4:$B$2004,"&lt;="&amp;$BC$2))</f>
        <v/>
      </c>
      <c r="X75" s="25" t="str">
        <f>IF(OR($B75="",基础资料!$B$7=""),"",SUMIFS(周转筐出入库明细!$K$4:$K$2004,周转筐出入库明细!$C$4:$C$2004,$B75,周转筐出入库明细!$D$4:$D$2004,基础资料!$B$7,周转筐出入库明细!$B$4:$B$2004,"&gt;="&amp;$BC$1,周转筐出入库明细!$B$4:$B$2004,"&lt;="&amp;$BC$2))</f>
        <v/>
      </c>
      <c r="Y75" s="25" t="str">
        <f>IF(OR($B75="",基础资料!$B$8=""),"",SUMIFS(周转筐出入库明细!$K$4:$K$2004,周转筐出入库明细!$C$4:$C$2004,$B75,周转筐出入库明细!$D$4:$D$2004,基础资料!$B$8,周转筐出入库明细!$B$4:$B$2004,"&gt;="&amp;$BC$1,周转筐出入库明细!$B$4:$B$2004,"&lt;="&amp;$BC$2))</f>
        <v/>
      </c>
      <c r="Z75" s="25" t="str">
        <f t="shared" si="16"/>
        <v/>
      </c>
      <c r="AA75" s="67" t="str">
        <f>IF(OR($B75="",基础资料!$B$4=""),"",-SUMIFS(对接源_01水果筐数!$D$5:$D$304,对接源_01水果筐数!$B$5:$B$304,$B75,对接源_01水果筐数!$C$5:$C$304,基础资料!$B$4))</f>
        <v/>
      </c>
      <c r="AB75" s="67" t="str">
        <f>IF(OR($B75="",基础资料!$B$5=""),"",-SUMIFS(对接源_01水果筐数!$D$5:$D$304,对接源_01水果筐数!$B$5:$B$304,$B75,对接源_01水果筐数!$C$5:$C$304,基础资料!$B$5))</f>
        <v/>
      </c>
      <c r="AC75" s="67" t="str">
        <f>IF(OR($B75="",基础资料!$B$6=""),"",-SUMIFS(对接源_01水果筐数!$D$5:$D$304,对接源_01水果筐数!$B$5:$B$304,$B75,对接源_01水果筐数!$C$5:$C$304,基础资料!$B$6))</f>
        <v/>
      </c>
      <c r="AD75" s="67" t="str">
        <f>IF(OR($B75="",基础资料!$B$7=""),"",-SUMIFS(对接源_01水果筐数!$D$5:$D$304,对接源_01水果筐数!$B$5:$B$304,$B75,对接源_01水果筐数!$C$5:$C$304,基础资料!$B$7))</f>
        <v/>
      </c>
      <c r="AE75" s="67" t="str">
        <f>IF(OR($B75="",基础资料!$B$8=""),"",-SUMIFS(对接源_01水果筐数!$D$5:$D$304,对接源_01水果筐数!$B$5:$B$304,$B75,对接源_01水果筐数!$C$5:$C$304,基础资料!$B$8))</f>
        <v/>
      </c>
      <c r="AF75" s="25" t="str">
        <f>IF(OR($B75="",基础资料!$B$4=""),"",SUMIFS(对接源_01水果筐数!$E$5:$E$304,对接源_01水果筐数!$B$5:$B$304,$B75,对接源_01水果筐数!$C$5:$C$304,基础资料!$B$4))</f>
        <v/>
      </c>
      <c r="AG75" s="25" t="str">
        <f>IF(OR($B75="",基础资料!$B$5=""),"",SUMIFS(对接源_01水果筐数!$E$5:$E$304,对接源_01水果筐数!$B$5:$B$304,$B75,对接源_01水果筐数!$C$5:$C$304,基础资料!$B$5))</f>
        <v/>
      </c>
      <c r="AH75" s="25" t="str">
        <f>IF(OR($B75="",基础资料!$B$6=""),"",SUMIFS(对接源_01水果筐数!$E$5:$E$304,对接源_01水果筐数!$B$5:$B$304,$B75,对接源_01水果筐数!$C$5:$C$304,基础资料!$B$6))</f>
        <v/>
      </c>
      <c r="AI75" s="25" t="str">
        <f>IF(OR($B75="",基础资料!$B$7=""),"",SUMIFS(对接源_01水果筐数!$E$5:$E$304,对接源_01水果筐数!$B$5:$B$304,$B75,对接源_01水果筐数!$C$5:$C$304,基础资料!$B$7))</f>
        <v/>
      </c>
      <c r="AJ75" s="25" t="str">
        <f>IF(OR($B75="",基础资料!$B$8=""),"",SUMIFS(对接源_01水果筐数!$E$5:$E$304,对接源_01水果筐数!$B$5:$B$304,$B75,对接源_01水果筐数!$C$5:$C$304,基础资料!$B$8))</f>
        <v/>
      </c>
      <c r="AK75" s="25" t="str">
        <f>IF(OR($B75="",基础资料!$B$4=""),"",SUMIFS(对接源_01水果筐数!$F$5:$F$304,对接源_01水果筐数!$B$5:$B$304,$B75,对接源_01水果筐数!$C$5:$C$304,基础资料!$B$4))</f>
        <v/>
      </c>
      <c r="AL75" s="25" t="str">
        <f>IF(OR($B75="",基础资料!$B$5=""),"",SUMIFS(对接源_01水果筐数!$F$5:$F$304,对接源_01水果筐数!$B$5:$B$304,$B75,对接源_01水果筐数!$C$5:$C$304,基础资料!$B$5))</f>
        <v/>
      </c>
      <c r="AM75" s="25" t="str">
        <f>IF(OR($B75="",基础资料!$B$6=""),"",SUMIFS(对接源_01水果筐数!$F$5:$F$304,对接源_01水果筐数!$B$5:$B$304,$B75,对接源_01水果筐数!$C$5:$C$304,基础资料!$B$6))</f>
        <v/>
      </c>
      <c r="AN75" s="25" t="str">
        <f>IF(OR($B75="",基础资料!$B$7=""),"",SUMIFS(对接源_01水果筐数!$F$5:$F$304,对接源_01水果筐数!$B$5:$B$304,$B75,对接源_01水果筐数!$C$5:$C$304,基础资料!$B$7))</f>
        <v/>
      </c>
      <c r="AO75" s="25" t="str">
        <f>IF(OR($B75="",基础资料!$B$8=""),"",SUMIFS(对接源_01水果筐数!$F$5:$F$304,对接源_01水果筐数!$B$5:$B$304,$B75,对接源_01水果筐数!$C$5:$C$304,基础资料!$B$8))</f>
        <v/>
      </c>
      <c r="AP75" s="25" t="str">
        <f t="shared" si="17"/>
        <v/>
      </c>
      <c r="AQ75" s="25" t="str">
        <f t="shared" si="18"/>
        <v/>
      </c>
      <c r="AR75" s="25" t="str">
        <f t="shared" si="19"/>
        <v/>
      </c>
      <c r="AS75" s="25" t="str">
        <f t="shared" si="20"/>
        <v/>
      </c>
      <c r="AT75" s="25" t="str">
        <f t="shared" si="21"/>
        <v/>
      </c>
      <c r="AU75" s="25" t="str">
        <f t="shared" si="22"/>
        <v/>
      </c>
      <c r="AV75" s="24" t="str">
        <f t="shared" si="23"/>
        <v/>
      </c>
      <c r="AW75" s="72"/>
    </row>
    <row r="76" spans="1:49">
      <c r="A76" s="22" t="str">
        <f t="shared" si="12"/>
        <v/>
      </c>
      <c r="B76" s="24" t="str">
        <f>IFERROR(INDEX(_自动清单!$CC$4:$CC$253,ROW()-3),"")</f>
        <v/>
      </c>
      <c r="C76" s="25" t="str">
        <f>IF(OR($B76="",基础资料!$B$4=""),"",SUMIFS(周转筐出入库明细!$J$4:$J$2004,周转筐出入库明细!$C$4:$C$2004,$B76,周转筐出入库明细!$D$4:$D$2004,基础资料!$B$4,周转筐出入库明细!$B$4:$B$2004,"&gt;="&amp;$BC$1,周转筐出入库明细!$B$4:$B$2004,"&lt;="&amp;$BC$2))</f>
        <v/>
      </c>
      <c r="D76" s="25" t="str">
        <f>IF(OR($B76="",基础资料!$B$5=""),"",SUMIFS(周转筐出入库明细!$J$4:$J$2004,周转筐出入库明细!$C$4:$C$2004,$B76,周转筐出入库明细!$D$4:$D$2004,基础资料!$B$5,周转筐出入库明细!$B$4:$B$2004,"&gt;="&amp;$BC$1,周转筐出入库明细!$B$4:$B$2004,"&lt;="&amp;$BC$2))</f>
        <v/>
      </c>
      <c r="E76" s="25" t="str">
        <f>IF(OR($B76="",基础资料!$B$6=""),"",SUMIFS(周转筐出入库明细!$J$4:$J$2004,周转筐出入库明细!$C$4:$C$2004,$B76,周转筐出入库明细!$D$4:$D$2004,基础资料!$B$6,周转筐出入库明细!$B$4:$B$2004,"&gt;="&amp;$BC$1,周转筐出入库明细!$B$4:$B$2004,"&lt;="&amp;$BC$2))</f>
        <v/>
      </c>
      <c r="F76" s="25" t="str">
        <f>IF(OR($B76="",基础资料!$B$7=""),"",SUMIFS(周转筐出入库明细!$J$4:$J$2004,周转筐出入库明细!$C$4:$C$2004,$B76,周转筐出入库明细!$D$4:$D$2004,基础资料!$B$7,周转筐出入库明细!$B$4:$B$2004,"&gt;="&amp;$BC$1,周转筐出入库明细!$B$4:$B$2004,"&lt;="&amp;$BC$2))</f>
        <v/>
      </c>
      <c r="G76" s="25" t="str">
        <f>IF(OR($B76="",基础资料!$B$8=""),"",SUMIFS(周转筐出入库明细!$J$4:$J$2004,周转筐出入库明细!$C$4:$C$2004,$B76,周转筐出入库明细!$D$4:$D$2004,基础资料!$B$8,周转筐出入库明细!$B$4:$B$2004,"&gt;="&amp;$BC$1,周转筐出入库明细!$B$4:$B$2004,"&lt;="&amp;$BC$2))</f>
        <v/>
      </c>
      <c r="H76" s="25" t="str">
        <f t="shared" si="13"/>
        <v/>
      </c>
      <c r="I76" s="67" t="str">
        <f>IF(OR($B76="",基础资料!$B$4=""),"",-SUMIFS(周转筐出入库明细!$I$4:$I$2004,周转筐出入库明细!$C$4:$C$2004,$B76,周转筐出入库明细!$D$4:$D$2004,基础资料!$B$4,周转筐出入库明细!$B$4:$B$2004,"&gt;="&amp;$BC$1,周转筐出入库明细!$B$4:$B$2004,"&lt;="&amp;$BC$2))</f>
        <v/>
      </c>
      <c r="J76" s="67" t="str">
        <f>IF(OR($B76="",基础资料!$B$5=""),"",-SUMIFS(周转筐出入库明细!$I$4:$I$2004,周转筐出入库明细!$C$4:$C$2004,$B76,周转筐出入库明细!$D$4:$D$2004,基础资料!$B$5,周转筐出入库明细!$B$4:$B$2004,"&gt;="&amp;$BC$1,周转筐出入库明细!$B$4:$B$2004,"&lt;="&amp;$BC$2))</f>
        <v/>
      </c>
      <c r="K76" s="67" t="str">
        <f>IF(OR($B76="",基础资料!$B$6=""),"",-SUMIFS(周转筐出入库明细!$I$4:$I$2004,周转筐出入库明细!$C$4:$C$2004,$B76,周转筐出入库明细!$D$4:$D$2004,基础资料!$B$6,周转筐出入库明细!$B$4:$B$2004,"&gt;="&amp;$BC$1,周转筐出入库明细!$B$4:$B$2004,"&lt;="&amp;$BC$2))</f>
        <v/>
      </c>
      <c r="L76" s="67" t="str">
        <f>IF(OR($B76="",基础资料!$B$7=""),"",-SUMIFS(周转筐出入库明细!$I$4:$I$2004,周转筐出入库明细!$C$4:$C$2004,$B76,周转筐出入库明细!$D$4:$D$2004,基础资料!$B$7,周转筐出入库明细!$B$4:$B$2004,"&gt;="&amp;$BC$1,周转筐出入库明细!$B$4:$B$2004,"&lt;="&amp;$BC$2))</f>
        <v/>
      </c>
      <c r="M76" s="67" t="str">
        <f>IF(OR($B76="",基础资料!$B$8=""),"",-SUMIFS(周转筐出入库明细!$I$4:$I$2004,周转筐出入库明细!$C$4:$C$2004,$B76,周转筐出入库明细!$D$4:$D$2004,基础资料!$B$8,周转筐出入库明细!$B$4:$B$2004,"&gt;="&amp;$BC$1,周转筐出入库明细!$B$4:$B$2004,"&lt;="&amp;$BC$2))</f>
        <v/>
      </c>
      <c r="N76" s="67" t="str">
        <f t="shared" si="14"/>
        <v/>
      </c>
      <c r="O76" s="25" t="str">
        <f>IF(OR($B76="",基础资料!$B$4=""),"",SUMIFS(周转筐出入库明细!$H$4:$H$2004,周转筐出入库明细!$C$4:$C$2004,$B76,周转筐出入库明细!$D$4:$D$2004,基础资料!$B$4,周转筐出入库明细!$F$4:$F$2004,"采购入库",周转筐出入库明细!$B$4:$B$2004,"&gt;="&amp;$BC$1,周转筐出入库明细!$B$4:$B$2004,"&lt;="&amp;$BC$2))</f>
        <v/>
      </c>
      <c r="P76" s="25" t="str">
        <f>IF(OR($B76="",基础资料!$B$5=""),"",SUMIFS(周转筐出入库明细!$H$4:$H$2004,周转筐出入库明细!$C$4:$C$2004,$B76,周转筐出入库明细!$D$4:$D$2004,基础资料!$B$5,周转筐出入库明细!$F$4:$F$2004,"采购入库",周转筐出入库明细!$B$4:$B$2004,"&gt;="&amp;$BC$1,周转筐出入库明细!$B$4:$B$2004,"&lt;="&amp;$BC$2))</f>
        <v/>
      </c>
      <c r="Q76" s="25" t="str">
        <f>IF(OR($B76="",基础资料!$B$6=""),"",SUMIFS(周转筐出入库明细!$H$4:$H$2004,周转筐出入库明细!$C$4:$C$2004,$B76,周转筐出入库明细!$D$4:$D$2004,基础资料!$B$6,周转筐出入库明细!$F$4:$F$2004,"采购入库",周转筐出入库明细!$B$4:$B$2004,"&gt;="&amp;$BC$1,周转筐出入库明细!$B$4:$B$2004,"&lt;="&amp;$BC$2))</f>
        <v/>
      </c>
      <c r="R76" s="25" t="str">
        <f>IF(OR($B76="",基础资料!$B$7=""),"",SUMIFS(周转筐出入库明细!$H$4:$H$2004,周转筐出入库明细!$C$4:$C$2004,$B76,周转筐出入库明细!$D$4:$D$2004,基础资料!$B$7,周转筐出入库明细!$F$4:$F$2004,"采购入库",周转筐出入库明细!$B$4:$B$2004,"&gt;="&amp;$BC$1,周转筐出入库明细!$B$4:$B$2004,"&lt;="&amp;$BC$2))</f>
        <v/>
      </c>
      <c r="S76" s="25" t="str">
        <f>IF(OR($B76="",基础资料!$B$8=""),"",SUMIFS(周转筐出入库明细!$H$4:$H$2004,周转筐出入库明细!$C$4:$C$2004,$B76,周转筐出入库明细!$D$4:$D$2004,基础资料!$B$8,周转筐出入库明细!$F$4:$F$2004,"采购入库",周转筐出入库明细!$B$4:$B$2004,"&gt;="&amp;$BC$1,周转筐出入库明细!$B$4:$B$2004,"&lt;="&amp;$BC$2))</f>
        <v/>
      </c>
      <c r="T76" s="25" t="str">
        <f t="shared" si="15"/>
        <v/>
      </c>
      <c r="U76" s="25" t="str">
        <f>IF(OR($B76="",基础资料!$B$4=""),"",SUMIFS(周转筐出入库明细!$K$4:$K$2004,周转筐出入库明细!$C$4:$C$2004,$B76,周转筐出入库明细!$D$4:$D$2004,基础资料!$B$4,周转筐出入库明细!$B$4:$B$2004,"&gt;="&amp;$BC$1,周转筐出入库明细!$B$4:$B$2004,"&lt;="&amp;$BC$2))</f>
        <v/>
      </c>
      <c r="V76" s="25" t="str">
        <f>IF(OR($B76="",基础资料!$B$5=""),"",SUMIFS(周转筐出入库明细!$K$4:$K$2004,周转筐出入库明细!$C$4:$C$2004,$B76,周转筐出入库明细!$D$4:$D$2004,基础资料!$B$5,周转筐出入库明细!$B$4:$B$2004,"&gt;="&amp;$BC$1,周转筐出入库明细!$B$4:$B$2004,"&lt;="&amp;$BC$2))</f>
        <v/>
      </c>
      <c r="W76" s="25" t="str">
        <f>IF(OR($B76="",基础资料!$B$6=""),"",SUMIFS(周转筐出入库明细!$K$4:$K$2004,周转筐出入库明细!$C$4:$C$2004,$B76,周转筐出入库明细!$D$4:$D$2004,基础资料!$B$6,周转筐出入库明细!$B$4:$B$2004,"&gt;="&amp;$BC$1,周转筐出入库明细!$B$4:$B$2004,"&lt;="&amp;$BC$2))</f>
        <v/>
      </c>
      <c r="X76" s="25" t="str">
        <f>IF(OR($B76="",基础资料!$B$7=""),"",SUMIFS(周转筐出入库明细!$K$4:$K$2004,周转筐出入库明细!$C$4:$C$2004,$B76,周转筐出入库明细!$D$4:$D$2004,基础资料!$B$7,周转筐出入库明细!$B$4:$B$2004,"&gt;="&amp;$BC$1,周转筐出入库明细!$B$4:$B$2004,"&lt;="&amp;$BC$2))</f>
        <v/>
      </c>
      <c r="Y76" s="25" t="str">
        <f>IF(OR($B76="",基础资料!$B$8=""),"",SUMIFS(周转筐出入库明细!$K$4:$K$2004,周转筐出入库明细!$C$4:$C$2004,$B76,周转筐出入库明细!$D$4:$D$2004,基础资料!$B$8,周转筐出入库明细!$B$4:$B$2004,"&gt;="&amp;$BC$1,周转筐出入库明细!$B$4:$B$2004,"&lt;="&amp;$BC$2))</f>
        <v/>
      </c>
      <c r="Z76" s="25" t="str">
        <f t="shared" si="16"/>
        <v/>
      </c>
      <c r="AA76" s="67" t="str">
        <f>IF(OR($B76="",基础资料!$B$4=""),"",-SUMIFS(对接源_01水果筐数!$D$5:$D$304,对接源_01水果筐数!$B$5:$B$304,$B76,对接源_01水果筐数!$C$5:$C$304,基础资料!$B$4))</f>
        <v/>
      </c>
      <c r="AB76" s="67" t="str">
        <f>IF(OR($B76="",基础资料!$B$5=""),"",-SUMIFS(对接源_01水果筐数!$D$5:$D$304,对接源_01水果筐数!$B$5:$B$304,$B76,对接源_01水果筐数!$C$5:$C$304,基础资料!$B$5))</f>
        <v/>
      </c>
      <c r="AC76" s="67" t="str">
        <f>IF(OR($B76="",基础资料!$B$6=""),"",-SUMIFS(对接源_01水果筐数!$D$5:$D$304,对接源_01水果筐数!$B$5:$B$304,$B76,对接源_01水果筐数!$C$5:$C$304,基础资料!$B$6))</f>
        <v/>
      </c>
      <c r="AD76" s="67" t="str">
        <f>IF(OR($B76="",基础资料!$B$7=""),"",-SUMIFS(对接源_01水果筐数!$D$5:$D$304,对接源_01水果筐数!$B$5:$B$304,$B76,对接源_01水果筐数!$C$5:$C$304,基础资料!$B$7))</f>
        <v/>
      </c>
      <c r="AE76" s="67" t="str">
        <f>IF(OR($B76="",基础资料!$B$8=""),"",-SUMIFS(对接源_01水果筐数!$D$5:$D$304,对接源_01水果筐数!$B$5:$B$304,$B76,对接源_01水果筐数!$C$5:$C$304,基础资料!$B$8))</f>
        <v/>
      </c>
      <c r="AF76" s="25" t="str">
        <f>IF(OR($B76="",基础资料!$B$4=""),"",SUMIFS(对接源_01水果筐数!$E$5:$E$304,对接源_01水果筐数!$B$5:$B$304,$B76,对接源_01水果筐数!$C$5:$C$304,基础资料!$B$4))</f>
        <v/>
      </c>
      <c r="AG76" s="25" t="str">
        <f>IF(OR($B76="",基础资料!$B$5=""),"",SUMIFS(对接源_01水果筐数!$E$5:$E$304,对接源_01水果筐数!$B$5:$B$304,$B76,对接源_01水果筐数!$C$5:$C$304,基础资料!$B$5))</f>
        <v/>
      </c>
      <c r="AH76" s="25" t="str">
        <f>IF(OR($B76="",基础资料!$B$6=""),"",SUMIFS(对接源_01水果筐数!$E$5:$E$304,对接源_01水果筐数!$B$5:$B$304,$B76,对接源_01水果筐数!$C$5:$C$304,基础资料!$B$6))</f>
        <v/>
      </c>
      <c r="AI76" s="25" t="str">
        <f>IF(OR($B76="",基础资料!$B$7=""),"",SUMIFS(对接源_01水果筐数!$E$5:$E$304,对接源_01水果筐数!$B$5:$B$304,$B76,对接源_01水果筐数!$C$5:$C$304,基础资料!$B$7))</f>
        <v/>
      </c>
      <c r="AJ76" s="25" t="str">
        <f>IF(OR($B76="",基础资料!$B$8=""),"",SUMIFS(对接源_01水果筐数!$E$5:$E$304,对接源_01水果筐数!$B$5:$B$304,$B76,对接源_01水果筐数!$C$5:$C$304,基础资料!$B$8))</f>
        <v/>
      </c>
      <c r="AK76" s="25" t="str">
        <f>IF(OR($B76="",基础资料!$B$4=""),"",SUMIFS(对接源_01水果筐数!$F$5:$F$304,对接源_01水果筐数!$B$5:$B$304,$B76,对接源_01水果筐数!$C$5:$C$304,基础资料!$B$4))</f>
        <v/>
      </c>
      <c r="AL76" s="25" t="str">
        <f>IF(OR($B76="",基础资料!$B$5=""),"",SUMIFS(对接源_01水果筐数!$F$5:$F$304,对接源_01水果筐数!$B$5:$B$304,$B76,对接源_01水果筐数!$C$5:$C$304,基础资料!$B$5))</f>
        <v/>
      </c>
      <c r="AM76" s="25" t="str">
        <f>IF(OR($B76="",基础资料!$B$6=""),"",SUMIFS(对接源_01水果筐数!$F$5:$F$304,对接源_01水果筐数!$B$5:$B$304,$B76,对接源_01水果筐数!$C$5:$C$304,基础资料!$B$6))</f>
        <v/>
      </c>
      <c r="AN76" s="25" t="str">
        <f>IF(OR($B76="",基础资料!$B$7=""),"",SUMIFS(对接源_01水果筐数!$F$5:$F$304,对接源_01水果筐数!$B$5:$B$304,$B76,对接源_01水果筐数!$C$5:$C$304,基础资料!$B$7))</f>
        <v/>
      </c>
      <c r="AO76" s="25" t="str">
        <f>IF(OR($B76="",基础资料!$B$8=""),"",SUMIFS(对接源_01水果筐数!$F$5:$F$304,对接源_01水果筐数!$B$5:$B$304,$B76,对接源_01水果筐数!$C$5:$C$304,基础资料!$B$8))</f>
        <v/>
      </c>
      <c r="AP76" s="25" t="str">
        <f t="shared" si="17"/>
        <v/>
      </c>
      <c r="AQ76" s="25" t="str">
        <f t="shared" si="18"/>
        <v/>
      </c>
      <c r="AR76" s="25" t="str">
        <f t="shared" si="19"/>
        <v/>
      </c>
      <c r="AS76" s="25" t="str">
        <f t="shared" si="20"/>
        <v/>
      </c>
      <c r="AT76" s="25" t="str">
        <f t="shared" si="21"/>
        <v/>
      </c>
      <c r="AU76" s="25" t="str">
        <f t="shared" si="22"/>
        <v/>
      </c>
      <c r="AV76" s="24" t="str">
        <f t="shared" si="23"/>
        <v/>
      </c>
      <c r="AW76" s="72"/>
    </row>
    <row r="77" spans="1:49">
      <c r="A77" s="22" t="str">
        <f t="shared" si="12"/>
        <v/>
      </c>
      <c r="B77" s="24" t="str">
        <f>IFERROR(INDEX(_自动清单!$CC$4:$CC$253,ROW()-3),"")</f>
        <v/>
      </c>
      <c r="C77" s="25" t="str">
        <f>IF(OR($B77="",基础资料!$B$4=""),"",SUMIFS(周转筐出入库明细!$J$4:$J$2004,周转筐出入库明细!$C$4:$C$2004,$B77,周转筐出入库明细!$D$4:$D$2004,基础资料!$B$4,周转筐出入库明细!$B$4:$B$2004,"&gt;="&amp;$BC$1,周转筐出入库明细!$B$4:$B$2004,"&lt;="&amp;$BC$2))</f>
        <v/>
      </c>
      <c r="D77" s="25" t="str">
        <f>IF(OR($B77="",基础资料!$B$5=""),"",SUMIFS(周转筐出入库明细!$J$4:$J$2004,周转筐出入库明细!$C$4:$C$2004,$B77,周转筐出入库明细!$D$4:$D$2004,基础资料!$B$5,周转筐出入库明细!$B$4:$B$2004,"&gt;="&amp;$BC$1,周转筐出入库明细!$B$4:$B$2004,"&lt;="&amp;$BC$2))</f>
        <v/>
      </c>
      <c r="E77" s="25" t="str">
        <f>IF(OR($B77="",基础资料!$B$6=""),"",SUMIFS(周转筐出入库明细!$J$4:$J$2004,周转筐出入库明细!$C$4:$C$2004,$B77,周转筐出入库明细!$D$4:$D$2004,基础资料!$B$6,周转筐出入库明细!$B$4:$B$2004,"&gt;="&amp;$BC$1,周转筐出入库明细!$B$4:$B$2004,"&lt;="&amp;$BC$2))</f>
        <v/>
      </c>
      <c r="F77" s="25" t="str">
        <f>IF(OR($B77="",基础资料!$B$7=""),"",SUMIFS(周转筐出入库明细!$J$4:$J$2004,周转筐出入库明细!$C$4:$C$2004,$B77,周转筐出入库明细!$D$4:$D$2004,基础资料!$B$7,周转筐出入库明细!$B$4:$B$2004,"&gt;="&amp;$BC$1,周转筐出入库明细!$B$4:$B$2004,"&lt;="&amp;$BC$2))</f>
        <v/>
      </c>
      <c r="G77" s="25" t="str">
        <f>IF(OR($B77="",基础资料!$B$8=""),"",SUMIFS(周转筐出入库明细!$J$4:$J$2004,周转筐出入库明细!$C$4:$C$2004,$B77,周转筐出入库明细!$D$4:$D$2004,基础资料!$B$8,周转筐出入库明细!$B$4:$B$2004,"&gt;="&amp;$BC$1,周转筐出入库明细!$B$4:$B$2004,"&lt;="&amp;$BC$2))</f>
        <v/>
      </c>
      <c r="H77" s="25" t="str">
        <f t="shared" si="13"/>
        <v/>
      </c>
      <c r="I77" s="67" t="str">
        <f>IF(OR($B77="",基础资料!$B$4=""),"",-SUMIFS(周转筐出入库明细!$I$4:$I$2004,周转筐出入库明细!$C$4:$C$2004,$B77,周转筐出入库明细!$D$4:$D$2004,基础资料!$B$4,周转筐出入库明细!$B$4:$B$2004,"&gt;="&amp;$BC$1,周转筐出入库明细!$B$4:$B$2004,"&lt;="&amp;$BC$2))</f>
        <v/>
      </c>
      <c r="J77" s="67" t="str">
        <f>IF(OR($B77="",基础资料!$B$5=""),"",-SUMIFS(周转筐出入库明细!$I$4:$I$2004,周转筐出入库明细!$C$4:$C$2004,$B77,周转筐出入库明细!$D$4:$D$2004,基础资料!$B$5,周转筐出入库明细!$B$4:$B$2004,"&gt;="&amp;$BC$1,周转筐出入库明细!$B$4:$B$2004,"&lt;="&amp;$BC$2))</f>
        <v/>
      </c>
      <c r="K77" s="67" t="str">
        <f>IF(OR($B77="",基础资料!$B$6=""),"",-SUMIFS(周转筐出入库明细!$I$4:$I$2004,周转筐出入库明细!$C$4:$C$2004,$B77,周转筐出入库明细!$D$4:$D$2004,基础资料!$B$6,周转筐出入库明细!$B$4:$B$2004,"&gt;="&amp;$BC$1,周转筐出入库明细!$B$4:$B$2004,"&lt;="&amp;$BC$2))</f>
        <v/>
      </c>
      <c r="L77" s="67" t="str">
        <f>IF(OR($B77="",基础资料!$B$7=""),"",-SUMIFS(周转筐出入库明细!$I$4:$I$2004,周转筐出入库明细!$C$4:$C$2004,$B77,周转筐出入库明细!$D$4:$D$2004,基础资料!$B$7,周转筐出入库明细!$B$4:$B$2004,"&gt;="&amp;$BC$1,周转筐出入库明细!$B$4:$B$2004,"&lt;="&amp;$BC$2))</f>
        <v/>
      </c>
      <c r="M77" s="67" t="str">
        <f>IF(OR($B77="",基础资料!$B$8=""),"",-SUMIFS(周转筐出入库明细!$I$4:$I$2004,周转筐出入库明细!$C$4:$C$2004,$B77,周转筐出入库明细!$D$4:$D$2004,基础资料!$B$8,周转筐出入库明细!$B$4:$B$2004,"&gt;="&amp;$BC$1,周转筐出入库明细!$B$4:$B$2004,"&lt;="&amp;$BC$2))</f>
        <v/>
      </c>
      <c r="N77" s="67" t="str">
        <f t="shared" si="14"/>
        <v/>
      </c>
      <c r="O77" s="25" t="str">
        <f>IF(OR($B77="",基础资料!$B$4=""),"",SUMIFS(周转筐出入库明细!$H$4:$H$2004,周转筐出入库明细!$C$4:$C$2004,$B77,周转筐出入库明细!$D$4:$D$2004,基础资料!$B$4,周转筐出入库明细!$F$4:$F$2004,"采购入库",周转筐出入库明细!$B$4:$B$2004,"&gt;="&amp;$BC$1,周转筐出入库明细!$B$4:$B$2004,"&lt;="&amp;$BC$2))</f>
        <v/>
      </c>
      <c r="P77" s="25" t="str">
        <f>IF(OR($B77="",基础资料!$B$5=""),"",SUMIFS(周转筐出入库明细!$H$4:$H$2004,周转筐出入库明细!$C$4:$C$2004,$B77,周转筐出入库明细!$D$4:$D$2004,基础资料!$B$5,周转筐出入库明细!$F$4:$F$2004,"采购入库",周转筐出入库明细!$B$4:$B$2004,"&gt;="&amp;$BC$1,周转筐出入库明细!$B$4:$B$2004,"&lt;="&amp;$BC$2))</f>
        <v/>
      </c>
      <c r="Q77" s="25" t="str">
        <f>IF(OR($B77="",基础资料!$B$6=""),"",SUMIFS(周转筐出入库明细!$H$4:$H$2004,周转筐出入库明细!$C$4:$C$2004,$B77,周转筐出入库明细!$D$4:$D$2004,基础资料!$B$6,周转筐出入库明细!$F$4:$F$2004,"采购入库",周转筐出入库明细!$B$4:$B$2004,"&gt;="&amp;$BC$1,周转筐出入库明细!$B$4:$B$2004,"&lt;="&amp;$BC$2))</f>
        <v/>
      </c>
      <c r="R77" s="25" t="str">
        <f>IF(OR($B77="",基础资料!$B$7=""),"",SUMIFS(周转筐出入库明细!$H$4:$H$2004,周转筐出入库明细!$C$4:$C$2004,$B77,周转筐出入库明细!$D$4:$D$2004,基础资料!$B$7,周转筐出入库明细!$F$4:$F$2004,"采购入库",周转筐出入库明细!$B$4:$B$2004,"&gt;="&amp;$BC$1,周转筐出入库明细!$B$4:$B$2004,"&lt;="&amp;$BC$2))</f>
        <v/>
      </c>
      <c r="S77" s="25" t="str">
        <f>IF(OR($B77="",基础资料!$B$8=""),"",SUMIFS(周转筐出入库明细!$H$4:$H$2004,周转筐出入库明细!$C$4:$C$2004,$B77,周转筐出入库明细!$D$4:$D$2004,基础资料!$B$8,周转筐出入库明细!$F$4:$F$2004,"采购入库",周转筐出入库明细!$B$4:$B$2004,"&gt;="&amp;$BC$1,周转筐出入库明细!$B$4:$B$2004,"&lt;="&amp;$BC$2))</f>
        <v/>
      </c>
      <c r="T77" s="25" t="str">
        <f t="shared" si="15"/>
        <v/>
      </c>
      <c r="U77" s="25" t="str">
        <f>IF(OR($B77="",基础资料!$B$4=""),"",SUMIFS(周转筐出入库明细!$K$4:$K$2004,周转筐出入库明细!$C$4:$C$2004,$B77,周转筐出入库明细!$D$4:$D$2004,基础资料!$B$4,周转筐出入库明细!$B$4:$B$2004,"&gt;="&amp;$BC$1,周转筐出入库明细!$B$4:$B$2004,"&lt;="&amp;$BC$2))</f>
        <v/>
      </c>
      <c r="V77" s="25" t="str">
        <f>IF(OR($B77="",基础资料!$B$5=""),"",SUMIFS(周转筐出入库明细!$K$4:$K$2004,周转筐出入库明细!$C$4:$C$2004,$B77,周转筐出入库明细!$D$4:$D$2004,基础资料!$B$5,周转筐出入库明细!$B$4:$B$2004,"&gt;="&amp;$BC$1,周转筐出入库明细!$B$4:$B$2004,"&lt;="&amp;$BC$2))</f>
        <v/>
      </c>
      <c r="W77" s="25" t="str">
        <f>IF(OR($B77="",基础资料!$B$6=""),"",SUMIFS(周转筐出入库明细!$K$4:$K$2004,周转筐出入库明细!$C$4:$C$2004,$B77,周转筐出入库明细!$D$4:$D$2004,基础资料!$B$6,周转筐出入库明细!$B$4:$B$2004,"&gt;="&amp;$BC$1,周转筐出入库明细!$B$4:$B$2004,"&lt;="&amp;$BC$2))</f>
        <v/>
      </c>
      <c r="X77" s="25" t="str">
        <f>IF(OR($B77="",基础资料!$B$7=""),"",SUMIFS(周转筐出入库明细!$K$4:$K$2004,周转筐出入库明细!$C$4:$C$2004,$B77,周转筐出入库明细!$D$4:$D$2004,基础资料!$B$7,周转筐出入库明细!$B$4:$B$2004,"&gt;="&amp;$BC$1,周转筐出入库明细!$B$4:$B$2004,"&lt;="&amp;$BC$2))</f>
        <v/>
      </c>
      <c r="Y77" s="25" t="str">
        <f>IF(OR($B77="",基础资料!$B$8=""),"",SUMIFS(周转筐出入库明细!$K$4:$K$2004,周转筐出入库明细!$C$4:$C$2004,$B77,周转筐出入库明细!$D$4:$D$2004,基础资料!$B$8,周转筐出入库明细!$B$4:$B$2004,"&gt;="&amp;$BC$1,周转筐出入库明细!$B$4:$B$2004,"&lt;="&amp;$BC$2))</f>
        <v/>
      </c>
      <c r="Z77" s="25" t="str">
        <f t="shared" si="16"/>
        <v/>
      </c>
      <c r="AA77" s="67" t="str">
        <f>IF(OR($B77="",基础资料!$B$4=""),"",-SUMIFS(对接源_01水果筐数!$D$5:$D$304,对接源_01水果筐数!$B$5:$B$304,$B77,对接源_01水果筐数!$C$5:$C$304,基础资料!$B$4))</f>
        <v/>
      </c>
      <c r="AB77" s="67" t="str">
        <f>IF(OR($B77="",基础资料!$B$5=""),"",-SUMIFS(对接源_01水果筐数!$D$5:$D$304,对接源_01水果筐数!$B$5:$B$304,$B77,对接源_01水果筐数!$C$5:$C$304,基础资料!$B$5))</f>
        <v/>
      </c>
      <c r="AC77" s="67" t="str">
        <f>IF(OR($B77="",基础资料!$B$6=""),"",-SUMIFS(对接源_01水果筐数!$D$5:$D$304,对接源_01水果筐数!$B$5:$B$304,$B77,对接源_01水果筐数!$C$5:$C$304,基础资料!$B$6))</f>
        <v/>
      </c>
      <c r="AD77" s="67" t="str">
        <f>IF(OR($B77="",基础资料!$B$7=""),"",-SUMIFS(对接源_01水果筐数!$D$5:$D$304,对接源_01水果筐数!$B$5:$B$304,$B77,对接源_01水果筐数!$C$5:$C$304,基础资料!$B$7))</f>
        <v/>
      </c>
      <c r="AE77" s="67" t="str">
        <f>IF(OR($B77="",基础资料!$B$8=""),"",-SUMIFS(对接源_01水果筐数!$D$5:$D$304,对接源_01水果筐数!$B$5:$B$304,$B77,对接源_01水果筐数!$C$5:$C$304,基础资料!$B$8))</f>
        <v/>
      </c>
      <c r="AF77" s="25" t="str">
        <f>IF(OR($B77="",基础资料!$B$4=""),"",SUMIFS(对接源_01水果筐数!$E$5:$E$304,对接源_01水果筐数!$B$5:$B$304,$B77,对接源_01水果筐数!$C$5:$C$304,基础资料!$B$4))</f>
        <v/>
      </c>
      <c r="AG77" s="25" t="str">
        <f>IF(OR($B77="",基础资料!$B$5=""),"",SUMIFS(对接源_01水果筐数!$E$5:$E$304,对接源_01水果筐数!$B$5:$B$304,$B77,对接源_01水果筐数!$C$5:$C$304,基础资料!$B$5))</f>
        <v/>
      </c>
      <c r="AH77" s="25" t="str">
        <f>IF(OR($B77="",基础资料!$B$6=""),"",SUMIFS(对接源_01水果筐数!$E$5:$E$304,对接源_01水果筐数!$B$5:$B$304,$B77,对接源_01水果筐数!$C$5:$C$304,基础资料!$B$6))</f>
        <v/>
      </c>
      <c r="AI77" s="25" t="str">
        <f>IF(OR($B77="",基础资料!$B$7=""),"",SUMIFS(对接源_01水果筐数!$E$5:$E$304,对接源_01水果筐数!$B$5:$B$304,$B77,对接源_01水果筐数!$C$5:$C$304,基础资料!$B$7))</f>
        <v/>
      </c>
      <c r="AJ77" s="25" t="str">
        <f>IF(OR($B77="",基础资料!$B$8=""),"",SUMIFS(对接源_01水果筐数!$E$5:$E$304,对接源_01水果筐数!$B$5:$B$304,$B77,对接源_01水果筐数!$C$5:$C$304,基础资料!$B$8))</f>
        <v/>
      </c>
      <c r="AK77" s="25" t="str">
        <f>IF(OR($B77="",基础资料!$B$4=""),"",SUMIFS(对接源_01水果筐数!$F$5:$F$304,对接源_01水果筐数!$B$5:$B$304,$B77,对接源_01水果筐数!$C$5:$C$304,基础资料!$B$4))</f>
        <v/>
      </c>
      <c r="AL77" s="25" t="str">
        <f>IF(OR($B77="",基础资料!$B$5=""),"",SUMIFS(对接源_01水果筐数!$F$5:$F$304,对接源_01水果筐数!$B$5:$B$304,$B77,对接源_01水果筐数!$C$5:$C$304,基础资料!$B$5))</f>
        <v/>
      </c>
      <c r="AM77" s="25" t="str">
        <f>IF(OR($B77="",基础资料!$B$6=""),"",SUMIFS(对接源_01水果筐数!$F$5:$F$304,对接源_01水果筐数!$B$5:$B$304,$B77,对接源_01水果筐数!$C$5:$C$304,基础资料!$B$6))</f>
        <v/>
      </c>
      <c r="AN77" s="25" t="str">
        <f>IF(OR($B77="",基础资料!$B$7=""),"",SUMIFS(对接源_01水果筐数!$F$5:$F$304,对接源_01水果筐数!$B$5:$B$304,$B77,对接源_01水果筐数!$C$5:$C$304,基础资料!$B$7))</f>
        <v/>
      </c>
      <c r="AO77" s="25" t="str">
        <f>IF(OR($B77="",基础资料!$B$8=""),"",SUMIFS(对接源_01水果筐数!$F$5:$F$304,对接源_01水果筐数!$B$5:$B$304,$B77,对接源_01水果筐数!$C$5:$C$304,基础资料!$B$8))</f>
        <v/>
      </c>
      <c r="AP77" s="25" t="str">
        <f t="shared" si="17"/>
        <v/>
      </c>
      <c r="AQ77" s="25" t="str">
        <f t="shared" si="18"/>
        <v/>
      </c>
      <c r="AR77" s="25" t="str">
        <f t="shared" si="19"/>
        <v/>
      </c>
      <c r="AS77" s="25" t="str">
        <f t="shared" si="20"/>
        <v/>
      </c>
      <c r="AT77" s="25" t="str">
        <f t="shared" si="21"/>
        <v/>
      </c>
      <c r="AU77" s="25" t="str">
        <f t="shared" si="22"/>
        <v/>
      </c>
      <c r="AV77" s="24" t="str">
        <f t="shared" si="23"/>
        <v/>
      </c>
      <c r="AW77" s="72"/>
    </row>
    <row r="78" spans="1:49">
      <c r="A78" s="22" t="str">
        <f t="shared" si="12"/>
        <v/>
      </c>
      <c r="B78" s="24" t="str">
        <f>IFERROR(INDEX(_自动清单!$CC$4:$CC$253,ROW()-3),"")</f>
        <v/>
      </c>
      <c r="C78" s="25" t="str">
        <f>IF(OR($B78="",基础资料!$B$4=""),"",SUMIFS(周转筐出入库明细!$J$4:$J$2004,周转筐出入库明细!$C$4:$C$2004,$B78,周转筐出入库明细!$D$4:$D$2004,基础资料!$B$4,周转筐出入库明细!$B$4:$B$2004,"&gt;="&amp;$BC$1,周转筐出入库明细!$B$4:$B$2004,"&lt;="&amp;$BC$2))</f>
        <v/>
      </c>
      <c r="D78" s="25" t="str">
        <f>IF(OR($B78="",基础资料!$B$5=""),"",SUMIFS(周转筐出入库明细!$J$4:$J$2004,周转筐出入库明细!$C$4:$C$2004,$B78,周转筐出入库明细!$D$4:$D$2004,基础资料!$B$5,周转筐出入库明细!$B$4:$B$2004,"&gt;="&amp;$BC$1,周转筐出入库明细!$B$4:$B$2004,"&lt;="&amp;$BC$2))</f>
        <v/>
      </c>
      <c r="E78" s="25" t="str">
        <f>IF(OR($B78="",基础资料!$B$6=""),"",SUMIFS(周转筐出入库明细!$J$4:$J$2004,周转筐出入库明细!$C$4:$C$2004,$B78,周转筐出入库明细!$D$4:$D$2004,基础资料!$B$6,周转筐出入库明细!$B$4:$B$2004,"&gt;="&amp;$BC$1,周转筐出入库明细!$B$4:$B$2004,"&lt;="&amp;$BC$2))</f>
        <v/>
      </c>
      <c r="F78" s="25" t="str">
        <f>IF(OR($B78="",基础资料!$B$7=""),"",SUMIFS(周转筐出入库明细!$J$4:$J$2004,周转筐出入库明细!$C$4:$C$2004,$B78,周转筐出入库明细!$D$4:$D$2004,基础资料!$B$7,周转筐出入库明细!$B$4:$B$2004,"&gt;="&amp;$BC$1,周转筐出入库明细!$B$4:$B$2004,"&lt;="&amp;$BC$2))</f>
        <v/>
      </c>
      <c r="G78" s="25" t="str">
        <f>IF(OR($B78="",基础资料!$B$8=""),"",SUMIFS(周转筐出入库明细!$J$4:$J$2004,周转筐出入库明细!$C$4:$C$2004,$B78,周转筐出入库明细!$D$4:$D$2004,基础资料!$B$8,周转筐出入库明细!$B$4:$B$2004,"&gt;="&amp;$BC$1,周转筐出入库明细!$B$4:$B$2004,"&lt;="&amp;$BC$2))</f>
        <v/>
      </c>
      <c r="H78" s="25" t="str">
        <f t="shared" si="13"/>
        <v/>
      </c>
      <c r="I78" s="67" t="str">
        <f>IF(OR($B78="",基础资料!$B$4=""),"",-SUMIFS(周转筐出入库明细!$I$4:$I$2004,周转筐出入库明细!$C$4:$C$2004,$B78,周转筐出入库明细!$D$4:$D$2004,基础资料!$B$4,周转筐出入库明细!$B$4:$B$2004,"&gt;="&amp;$BC$1,周转筐出入库明细!$B$4:$B$2004,"&lt;="&amp;$BC$2))</f>
        <v/>
      </c>
      <c r="J78" s="67" t="str">
        <f>IF(OR($B78="",基础资料!$B$5=""),"",-SUMIFS(周转筐出入库明细!$I$4:$I$2004,周转筐出入库明细!$C$4:$C$2004,$B78,周转筐出入库明细!$D$4:$D$2004,基础资料!$B$5,周转筐出入库明细!$B$4:$B$2004,"&gt;="&amp;$BC$1,周转筐出入库明细!$B$4:$B$2004,"&lt;="&amp;$BC$2))</f>
        <v/>
      </c>
      <c r="K78" s="67" t="str">
        <f>IF(OR($B78="",基础资料!$B$6=""),"",-SUMIFS(周转筐出入库明细!$I$4:$I$2004,周转筐出入库明细!$C$4:$C$2004,$B78,周转筐出入库明细!$D$4:$D$2004,基础资料!$B$6,周转筐出入库明细!$B$4:$B$2004,"&gt;="&amp;$BC$1,周转筐出入库明细!$B$4:$B$2004,"&lt;="&amp;$BC$2))</f>
        <v/>
      </c>
      <c r="L78" s="67" t="str">
        <f>IF(OR($B78="",基础资料!$B$7=""),"",-SUMIFS(周转筐出入库明细!$I$4:$I$2004,周转筐出入库明细!$C$4:$C$2004,$B78,周转筐出入库明细!$D$4:$D$2004,基础资料!$B$7,周转筐出入库明细!$B$4:$B$2004,"&gt;="&amp;$BC$1,周转筐出入库明细!$B$4:$B$2004,"&lt;="&amp;$BC$2))</f>
        <v/>
      </c>
      <c r="M78" s="67" t="str">
        <f>IF(OR($B78="",基础资料!$B$8=""),"",-SUMIFS(周转筐出入库明细!$I$4:$I$2004,周转筐出入库明细!$C$4:$C$2004,$B78,周转筐出入库明细!$D$4:$D$2004,基础资料!$B$8,周转筐出入库明细!$B$4:$B$2004,"&gt;="&amp;$BC$1,周转筐出入库明细!$B$4:$B$2004,"&lt;="&amp;$BC$2))</f>
        <v/>
      </c>
      <c r="N78" s="67" t="str">
        <f t="shared" si="14"/>
        <v/>
      </c>
      <c r="O78" s="25" t="str">
        <f>IF(OR($B78="",基础资料!$B$4=""),"",SUMIFS(周转筐出入库明细!$H$4:$H$2004,周转筐出入库明细!$C$4:$C$2004,$B78,周转筐出入库明细!$D$4:$D$2004,基础资料!$B$4,周转筐出入库明细!$F$4:$F$2004,"采购入库",周转筐出入库明细!$B$4:$B$2004,"&gt;="&amp;$BC$1,周转筐出入库明细!$B$4:$B$2004,"&lt;="&amp;$BC$2))</f>
        <v/>
      </c>
      <c r="P78" s="25" t="str">
        <f>IF(OR($B78="",基础资料!$B$5=""),"",SUMIFS(周转筐出入库明细!$H$4:$H$2004,周转筐出入库明细!$C$4:$C$2004,$B78,周转筐出入库明细!$D$4:$D$2004,基础资料!$B$5,周转筐出入库明细!$F$4:$F$2004,"采购入库",周转筐出入库明细!$B$4:$B$2004,"&gt;="&amp;$BC$1,周转筐出入库明细!$B$4:$B$2004,"&lt;="&amp;$BC$2))</f>
        <v/>
      </c>
      <c r="Q78" s="25" t="str">
        <f>IF(OR($B78="",基础资料!$B$6=""),"",SUMIFS(周转筐出入库明细!$H$4:$H$2004,周转筐出入库明细!$C$4:$C$2004,$B78,周转筐出入库明细!$D$4:$D$2004,基础资料!$B$6,周转筐出入库明细!$F$4:$F$2004,"采购入库",周转筐出入库明细!$B$4:$B$2004,"&gt;="&amp;$BC$1,周转筐出入库明细!$B$4:$B$2004,"&lt;="&amp;$BC$2))</f>
        <v/>
      </c>
      <c r="R78" s="25" t="str">
        <f>IF(OR($B78="",基础资料!$B$7=""),"",SUMIFS(周转筐出入库明细!$H$4:$H$2004,周转筐出入库明细!$C$4:$C$2004,$B78,周转筐出入库明细!$D$4:$D$2004,基础资料!$B$7,周转筐出入库明细!$F$4:$F$2004,"采购入库",周转筐出入库明细!$B$4:$B$2004,"&gt;="&amp;$BC$1,周转筐出入库明细!$B$4:$B$2004,"&lt;="&amp;$BC$2))</f>
        <v/>
      </c>
      <c r="S78" s="25" t="str">
        <f>IF(OR($B78="",基础资料!$B$8=""),"",SUMIFS(周转筐出入库明细!$H$4:$H$2004,周转筐出入库明细!$C$4:$C$2004,$B78,周转筐出入库明细!$D$4:$D$2004,基础资料!$B$8,周转筐出入库明细!$F$4:$F$2004,"采购入库",周转筐出入库明细!$B$4:$B$2004,"&gt;="&amp;$BC$1,周转筐出入库明细!$B$4:$B$2004,"&lt;="&amp;$BC$2))</f>
        <v/>
      </c>
      <c r="T78" s="25" t="str">
        <f t="shared" si="15"/>
        <v/>
      </c>
      <c r="U78" s="25" t="str">
        <f>IF(OR($B78="",基础资料!$B$4=""),"",SUMIFS(周转筐出入库明细!$K$4:$K$2004,周转筐出入库明细!$C$4:$C$2004,$B78,周转筐出入库明细!$D$4:$D$2004,基础资料!$B$4,周转筐出入库明细!$B$4:$B$2004,"&gt;="&amp;$BC$1,周转筐出入库明细!$B$4:$B$2004,"&lt;="&amp;$BC$2))</f>
        <v/>
      </c>
      <c r="V78" s="25" t="str">
        <f>IF(OR($B78="",基础资料!$B$5=""),"",SUMIFS(周转筐出入库明细!$K$4:$K$2004,周转筐出入库明细!$C$4:$C$2004,$B78,周转筐出入库明细!$D$4:$D$2004,基础资料!$B$5,周转筐出入库明细!$B$4:$B$2004,"&gt;="&amp;$BC$1,周转筐出入库明细!$B$4:$B$2004,"&lt;="&amp;$BC$2))</f>
        <v/>
      </c>
      <c r="W78" s="25" t="str">
        <f>IF(OR($B78="",基础资料!$B$6=""),"",SUMIFS(周转筐出入库明细!$K$4:$K$2004,周转筐出入库明细!$C$4:$C$2004,$B78,周转筐出入库明细!$D$4:$D$2004,基础资料!$B$6,周转筐出入库明细!$B$4:$B$2004,"&gt;="&amp;$BC$1,周转筐出入库明细!$B$4:$B$2004,"&lt;="&amp;$BC$2))</f>
        <v/>
      </c>
      <c r="X78" s="25" t="str">
        <f>IF(OR($B78="",基础资料!$B$7=""),"",SUMIFS(周转筐出入库明细!$K$4:$K$2004,周转筐出入库明细!$C$4:$C$2004,$B78,周转筐出入库明细!$D$4:$D$2004,基础资料!$B$7,周转筐出入库明细!$B$4:$B$2004,"&gt;="&amp;$BC$1,周转筐出入库明细!$B$4:$B$2004,"&lt;="&amp;$BC$2))</f>
        <v/>
      </c>
      <c r="Y78" s="25" t="str">
        <f>IF(OR($B78="",基础资料!$B$8=""),"",SUMIFS(周转筐出入库明细!$K$4:$K$2004,周转筐出入库明细!$C$4:$C$2004,$B78,周转筐出入库明细!$D$4:$D$2004,基础资料!$B$8,周转筐出入库明细!$B$4:$B$2004,"&gt;="&amp;$BC$1,周转筐出入库明细!$B$4:$B$2004,"&lt;="&amp;$BC$2))</f>
        <v/>
      </c>
      <c r="Z78" s="25" t="str">
        <f t="shared" si="16"/>
        <v/>
      </c>
      <c r="AA78" s="67" t="str">
        <f>IF(OR($B78="",基础资料!$B$4=""),"",-SUMIFS(对接源_01水果筐数!$D$5:$D$304,对接源_01水果筐数!$B$5:$B$304,$B78,对接源_01水果筐数!$C$5:$C$304,基础资料!$B$4))</f>
        <v/>
      </c>
      <c r="AB78" s="67" t="str">
        <f>IF(OR($B78="",基础资料!$B$5=""),"",-SUMIFS(对接源_01水果筐数!$D$5:$D$304,对接源_01水果筐数!$B$5:$B$304,$B78,对接源_01水果筐数!$C$5:$C$304,基础资料!$B$5))</f>
        <v/>
      </c>
      <c r="AC78" s="67" t="str">
        <f>IF(OR($B78="",基础资料!$B$6=""),"",-SUMIFS(对接源_01水果筐数!$D$5:$D$304,对接源_01水果筐数!$B$5:$B$304,$B78,对接源_01水果筐数!$C$5:$C$304,基础资料!$B$6))</f>
        <v/>
      </c>
      <c r="AD78" s="67" t="str">
        <f>IF(OR($B78="",基础资料!$B$7=""),"",-SUMIFS(对接源_01水果筐数!$D$5:$D$304,对接源_01水果筐数!$B$5:$B$304,$B78,对接源_01水果筐数!$C$5:$C$304,基础资料!$B$7))</f>
        <v/>
      </c>
      <c r="AE78" s="67" t="str">
        <f>IF(OR($B78="",基础资料!$B$8=""),"",-SUMIFS(对接源_01水果筐数!$D$5:$D$304,对接源_01水果筐数!$B$5:$B$304,$B78,对接源_01水果筐数!$C$5:$C$304,基础资料!$B$8))</f>
        <v/>
      </c>
      <c r="AF78" s="25" t="str">
        <f>IF(OR($B78="",基础资料!$B$4=""),"",SUMIFS(对接源_01水果筐数!$E$5:$E$304,对接源_01水果筐数!$B$5:$B$304,$B78,对接源_01水果筐数!$C$5:$C$304,基础资料!$B$4))</f>
        <v/>
      </c>
      <c r="AG78" s="25" t="str">
        <f>IF(OR($B78="",基础资料!$B$5=""),"",SUMIFS(对接源_01水果筐数!$E$5:$E$304,对接源_01水果筐数!$B$5:$B$304,$B78,对接源_01水果筐数!$C$5:$C$304,基础资料!$B$5))</f>
        <v/>
      </c>
      <c r="AH78" s="25" t="str">
        <f>IF(OR($B78="",基础资料!$B$6=""),"",SUMIFS(对接源_01水果筐数!$E$5:$E$304,对接源_01水果筐数!$B$5:$B$304,$B78,对接源_01水果筐数!$C$5:$C$304,基础资料!$B$6))</f>
        <v/>
      </c>
      <c r="AI78" s="25" t="str">
        <f>IF(OR($B78="",基础资料!$B$7=""),"",SUMIFS(对接源_01水果筐数!$E$5:$E$304,对接源_01水果筐数!$B$5:$B$304,$B78,对接源_01水果筐数!$C$5:$C$304,基础资料!$B$7))</f>
        <v/>
      </c>
      <c r="AJ78" s="25" t="str">
        <f>IF(OR($B78="",基础资料!$B$8=""),"",SUMIFS(对接源_01水果筐数!$E$5:$E$304,对接源_01水果筐数!$B$5:$B$304,$B78,对接源_01水果筐数!$C$5:$C$304,基础资料!$B$8))</f>
        <v/>
      </c>
      <c r="AK78" s="25" t="str">
        <f>IF(OR($B78="",基础资料!$B$4=""),"",SUMIFS(对接源_01水果筐数!$F$5:$F$304,对接源_01水果筐数!$B$5:$B$304,$B78,对接源_01水果筐数!$C$5:$C$304,基础资料!$B$4))</f>
        <v/>
      </c>
      <c r="AL78" s="25" t="str">
        <f>IF(OR($B78="",基础资料!$B$5=""),"",SUMIFS(对接源_01水果筐数!$F$5:$F$304,对接源_01水果筐数!$B$5:$B$304,$B78,对接源_01水果筐数!$C$5:$C$304,基础资料!$B$5))</f>
        <v/>
      </c>
      <c r="AM78" s="25" t="str">
        <f>IF(OR($B78="",基础资料!$B$6=""),"",SUMIFS(对接源_01水果筐数!$F$5:$F$304,对接源_01水果筐数!$B$5:$B$304,$B78,对接源_01水果筐数!$C$5:$C$304,基础资料!$B$6))</f>
        <v/>
      </c>
      <c r="AN78" s="25" t="str">
        <f>IF(OR($B78="",基础资料!$B$7=""),"",SUMIFS(对接源_01水果筐数!$F$5:$F$304,对接源_01水果筐数!$B$5:$B$304,$B78,对接源_01水果筐数!$C$5:$C$304,基础资料!$B$7))</f>
        <v/>
      </c>
      <c r="AO78" s="25" t="str">
        <f>IF(OR($B78="",基础资料!$B$8=""),"",SUMIFS(对接源_01水果筐数!$F$5:$F$304,对接源_01水果筐数!$B$5:$B$304,$B78,对接源_01水果筐数!$C$5:$C$304,基础资料!$B$8))</f>
        <v/>
      </c>
      <c r="AP78" s="25" t="str">
        <f t="shared" si="17"/>
        <v/>
      </c>
      <c r="AQ78" s="25" t="str">
        <f t="shared" si="18"/>
        <v/>
      </c>
      <c r="AR78" s="25" t="str">
        <f t="shared" si="19"/>
        <v/>
      </c>
      <c r="AS78" s="25" t="str">
        <f t="shared" si="20"/>
        <v/>
      </c>
      <c r="AT78" s="25" t="str">
        <f t="shared" si="21"/>
        <v/>
      </c>
      <c r="AU78" s="25" t="str">
        <f t="shared" si="22"/>
        <v/>
      </c>
      <c r="AV78" s="24" t="str">
        <f t="shared" si="23"/>
        <v/>
      </c>
      <c r="AW78" s="72"/>
    </row>
    <row r="79" spans="1:49">
      <c r="A79" s="22" t="str">
        <f t="shared" si="12"/>
        <v/>
      </c>
      <c r="B79" s="24" t="str">
        <f>IFERROR(INDEX(_自动清单!$CC$4:$CC$253,ROW()-3),"")</f>
        <v/>
      </c>
      <c r="C79" s="25" t="str">
        <f>IF(OR($B79="",基础资料!$B$4=""),"",SUMIFS(周转筐出入库明细!$J$4:$J$2004,周转筐出入库明细!$C$4:$C$2004,$B79,周转筐出入库明细!$D$4:$D$2004,基础资料!$B$4,周转筐出入库明细!$B$4:$B$2004,"&gt;="&amp;$BC$1,周转筐出入库明细!$B$4:$B$2004,"&lt;="&amp;$BC$2))</f>
        <v/>
      </c>
      <c r="D79" s="25" t="str">
        <f>IF(OR($B79="",基础资料!$B$5=""),"",SUMIFS(周转筐出入库明细!$J$4:$J$2004,周转筐出入库明细!$C$4:$C$2004,$B79,周转筐出入库明细!$D$4:$D$2004,基础资料!$B$5,周转筐出入库明细!$B$4:$B$2004,"&gt;="&amp;$BC$1,周转筐出入库明细!$B$4:$B$2004,"&lt;="&amp;$BC$2))</f>
        <v/>
      </c>
      <c r="E79" s="25" t="str">
        <f>IF(OR($B79="",基础资料!$B$6=""),"",SUMIFS(周转筐出入库明细!$J$4:$J$2004,周转筐出入库明细!$C$4:$C$2004,$B79,周转筐出入库明细!$D$4:$D$2004,基础资料!$B$6,周转筐出入库明细!$B$4:$B$2004,"&gt;="&amp;$BC$1,周转筐出入库明细!$B$4:$B$2004,"&lt;="&amp;$BC$2))</f>
        <v/>
      </c>
      <c r="F79" s="25" t="str">
        <f>IF(OR($B79="",基础资料!$B$7=""),"",SUMIFS(周转筐出入库明细!$J$4:$J$2004,周转筐出入库明细!$C$4:$C$2004,$B79,周转筐出入库明细!$D$4:$D$2004,基础资料!$B$7,周转筐出入库明细!$B$4:$B$2004,"&gt;="&amp;$BC$1,周转筐出入库明细!$B$4:$B$2004,"&lt;="&amp;$BC$2))</f>
        <v/>
      </c>
      <c r="G79" s="25" t="str">
        <f>IF(OR($B79="",基础资料!$B$8=""),"",SUMIFS(周转筐出入库明细!$J$4:$J$2004,周转筐出入库明细!$C$4:$C$2004,$B79,周转筐出入库明细!$D$4:$D$2004,基础资料!$B$8,周转筐出入库明细!$B$4:$B$2004,"&gt;="&amp;$BC$1,周转筐出入库明细!$B$4:$B$2004,"&lt;="&amp;$BC$2))</f>
        <v/>
      </c>
      <c r="H79" s="25" t="str">
        <f t="shared" si="13"/>
        <v/>
      </c>
      <c r="I79" s="67" t="str">
        <f>IF(OR($B79="",基础资料!$B$4=""),"",-SUMIFS(周转筐出入库明细!$I$4:$I$2004,周转筐出入库明细!$C$4:$C$2004,$B79,周转筐出入库明细!$D$4:$D$2004,基础资料!$B$4,周转筐出入库明细!$B$4:$B$2004,"&gt;="&amp;$BC$1,周转筐出入库明细!$B$4:$B$2004,"&lt;="&amp;$BC$2))</f>
        <v/>
      </c>
      <c r="J79" s="67" t="str">
        <f>IF(OR($B79="",基础资料!$B$5=""),"",-SUMIFS(周转筐出入库明细!$I$4:$I$2004,周转筐出入库明细!$C$4:$C$2004,$B79,周转筐出入库明细!$D$4:$D$2004,基础资料!$B$5,周转筐出入库明细!$B$4:$B$2004,"&gt;="&amp;$BC$1,周转筐出入库明细!$B$4:$B$2004,"&lt;="&amp;$BC$2))</f>
        <v/>
      </c>
      <c r="K79" s="67" t="str">
        <f>IF(OR($B79="",基础资料!$B$6=""),"",-SUMIFS(周转筐出入库明细!$I$4:$I$2004,周转筐出入库明细!$C$4:$C$2004,$B79,周转筐出入库明细!$D$4:$D$2004,基础资料!$B$6,周转筐出入库明细!$B$4:$B$2004,"&gt;="&amp;$BC$1,周转筐出入库明细!$B$4:$B$2004,"&lt;="&amp;$BC$2))</f>
        <v/>
      </c>
      <c r="L79" s="67" t="str">
        <f>IF(OR($B79="",基础资料!$B$7=""),"",-SUMIFS(周转筐出入库明细!$I$4:$I$2004,周转筐出入库明细!$C$4:$C$2004,$B79,周转筐出入库明细!$D$4:$D$2004,基础资料!$B$7,周转筐出入库明细!$B$4:$B$2004,"&gt;="&amp;$BC$1,周转筐出入库明细!$B$4:$B$2004,"&lt;="&amp;$BC$2))</f>
        <v/>
      </c>
      <c r="M79" s="67" t="str">
        <f>IF(OR($B79="",基础资料!$B$8=""),"",-SUMIFS(周转筐出入库明细!$I$4:$I$2004,周转筐出入库明细!$C$4:$C$2004,$B79,周转筐出入库明细!$D$4:$D$2004,基础资料!$B$8,周转筐出入库明细!$B$4:$B$2004,"&gt;="&amp;$BC$1,周转筐出入库明细!$B$4:$B$2004,"&lt;="&amp;$BC$2))</f>
        <v/>
      </c>
      <c r="N79" s="67" t="str">
        <f t="shared" si="14"/>
        <v/>
      </c>
      <c r="O79" s="25" t="str">
        <f>IF(OR($B79="",基础资料!$B$4=""),"",SUMIFS(周转筐出入库明细!$H$4:$H$2004,周转筐出入库明细!$C$4:$C$2004,$B79,周转筐出入库明细!$D$4:$D$2004,基础资料!$B$4,周转筐出入库明细!$F$4:$F$2004,"采购入库",周转筐出入库明细!$B$4:$B$2004,"&gt;="&amp;$BC$1,周转筐出入库明细!$B$4:$B$2004,"&lt;="&amp;$BC$2))</f>
        <v/>
      </c>
      <c r="P79" s="25" t="str">
        <f>IF(OR($B79="",基础资料!$B$5=""),"",SUMIFS(周转筐出入库明细!$H$4:$H$2004,周转筐出入库明细!$C$4:$C$2004,$B79,周转筐出入库明细!$D$4:$D$2004,基础资料!$B$5,周转筐出入库明细!$F$4:$F$2004,"采购入库",周转筐出入库明细!$B$4:$B$2004,"&gt;="&amp;$BC$1,周转筐出入库明细!$B$4:$B$2004,"&lt;="&amp;$BC$2))</f>
        <v/>
      </c>
      <c r="Q79" s="25" t="str">
        <f>IF(OR($B79="",基础资料!$B$6=""),"",SUMIFS(周转筐出入库明细!$H$4:$H$2004,周转筐出入库明细!$C$4:$C$2004,$B79,周转筐出入库明细!$D$4:$D$2004,基础资料!$B$6,周转筐出入库明细!$F$4:$F$2004,"采购入库",周转筐出入库明细!$B$4:$B$2004,"&gt;="&amp;$BC$1,周转筐出入库明细!$B$4:$B$2004,"&lt;="&amp;$BC$2))</f>
        <v/>
      </c>
      <c r="R79" s="25" t="str">
        <f>IF(OR($B79="",基础资料!$B$7=""),"",SUMIFS(周转筐出入库明细!$H$4:$H$2004,周转筐出入库明细!$C$4:$C$2004,$B79,周转筐出入库明细!$D$4:$D$2004,基础资料!$B$7,周转筐出入库明细!$F$4:$F$2004,"采购入库",周转筐出入库明细!$B$4:$B$2004,"&gt;="&amp;$BC$1,周转筐出入库明细!$B$4:$B$2004,"&lt;="&amp;$BC$2))</f>
        <v/>
      </c>
      <c r="S79" s="25" t="str">
        <f>IF(OR($B79="",基础资料!$B$8=""),"",SUMIFS(周转筐出入库明细!$H$4:$H$2004,周转筐出入库明细!$C$4:$C$2004,$B79,周转筐出入库明细!$D$4:$D$2004,基础资料!$B$8,周转筐出入库明细!$F$4:$F$2004,"采购入库",周转筐出入库明细!$B$4:$B$2004,"&gt;="&amp;$BC$1,周转筐出入库明细!$B$4:$B$2004,"&lt;="&amp;$BC$2))</f>
        <v/>
      </c>
      <c r="T79" s="25" t="str">
        <f t="shared" si="15"/>
        <v/>
      </c>
      <c r="U79" s="25" t="str">
        <f>IF(OR($B79="",基础资料!$B$4=""),"",SUMIFS(周转筐出入库明细!$K$4:$K$2004,周转筐出入库明细!$C$4:$C$2004,$B79,周转筐出入库明细!$D$4:$D$2004,基础资料!$B$4,周转筐出入库明细!$B$4:$B$2004,"&gt;="&amp;$BC$1,周转筐出入库明细!$B$4:$B$2004,"&lt;="&amp;$BC$2))</f>
        <v/>
      </c>
      <c r="V79" s="25" t="str">
        <f>IF(OR($B79="",基础资料!$B$5=""),"",SUMIFS(周转筐出入库明细!$K$4:$K$2004,周转筐出入库明细!$C$4:$C$2004,$B79,周转筐出入库明细!$D$4:$D$2004,基础资料!$B$5,周转筐出入库明细!$B$4:$B$2004,"&gt;="&amp;$BC$1,周转筐出入库明细!$B$4:$B$2004,"&lt;="&amp;$BC$2))</f>
        <v/>
      </c>
      <c r="W79" s="25" t="str">
        <f>IF(OR($B79="",基础资料!$B$6=""),"",SUMIFS(周转筐出入库明细!$K$4:$K$2004,周转筐出入库明细!$C$4:$C$2004,$B79,周转筐出入库明细!$D$4:$D$2004,基础资料!$B$6,周转筐出入库明细!$B$4:$B$2004,"&gt;="&amp;$BC$1,周转筐出入库明细!$B$4:$B$2004,"&lt;="&amp;$BC$2))</f>
        <v/>
      </c>
      <c r="X79" s="25" t="str">
        <f>IF(OR($B79="",基础资料!$B$7=""),"",SUMIFS(周转筐出入库明细!$K$4:$K$2004,周转筐出入库明细!$C$4:$C$2004,$B79,周转筐出入库明细!$D$4:$D$2004,基础资料!$B$7,周转筐出入库明细!$B$4:$B$2004,"&gt;="&amp;$BC$1,周转筐出入库明细!$B$4:$B$2004,"&lt;="&amp;$BC$2))</f>
        <v/>
      </c>
      <c r="Y79" s="25" t="str">
        <f>IF(OR($B79="",基础资料!$B$8=""),"",SUMIFS(周转筐出入库明细!$K$4:$K$2004,周转筐出入库明细!$C$4:$C$2004,$B79,周转筐出入库明细!$D$4:$D$2004,基础资料!$B$8,周转筐出入库明细!$B$4:$B$2004,"&gt;="&amp;$BC$1,周转筐出入库明细!$B$4:$B$2004,"&lt;="&amp;$BC$2))</f>
        <v/>
      </c>
      <c r="Z79" s="25" t="str">
        <f t="shared" si="16"/>
        <v/>
      </c>
      <c r="AA79" s="67" t="str">
        <f>IF(OR($B79="",基础资料!$B$4=""),"",-SUMIFS(对接源_01水果筐数!$D$5:$D$304,对接源_01水果筐数!$B$5:$B$304,$B79,对接源_01水果筐数!$C$5:$C$304,基础资料!$B$4))</f>
        <v/>
      </c>
      <c r="AB79" s="67" t="str">
        <f>IF(OR($B79="",基础资料!$B$5=""),"",-SUMIFS(对接源_01水果筐数!$D$5:$D$304,对接源_01水果筐数!$B$5:$B$304,$B79,对接源_01水果筐数!$C$5:$C$304,基础资料!$B$5))</f>
        <v/>
      </c>
      <c r="AC79" s="67" t="str">
        <f>IF(OR($B79="",基础资料!$B$6=""),"",-SUMIFS(对接源_01水果筐数!$D$5:$D$304,对接源_01水果筐数!$B$5:$B$304,$B79,对接源_01水果筐数!$C$5:$C$304,基础资料!$B$6))</f>
        <v/>
      </c>
      <c r="AD79" s="67" t="str">
        <f>IF(OR($B79="",基础资料!$B$7=""),"",-SUMIFS(对接源_01水果筐数!$D$5:$D$304,对接源_01水果筐数!$B$5:$B$304,$B79,对接源_01水果筐数!$C$5:$C$304,基础资料!$B$7))</f>
        <v/>
      </c>
      <c r="AE79" s="67" t="str">
        <f>IF(OR($B79="",基础资料!$B$8=""),"",-SUMIFS(对接源_01水果筐数!$D$5:$D$304,对接源_01水果筐数!$B$5:$B$304,$B79,对接源_01水果筐数!$C$5:$C$304,基础资料!$B$8))</f>
        <v/>
      </c>
      <c r="AF79" s="25" t="str">
        <f>IF(OR($B79="",基础资料!$B$4=""),"",SUMIFS(对接源_01水果筐数!$E$5:$E$304,对接源_01水果筐数!$B$5:$B$304,$B79,对接源_01水果筐数!$C$5:$C$304,基础资料!$B$4))</f>
        <v/>
      </c>
      <c r="AG79" s="25" t="str">
        <f>IF(OR($B79="",基础资料!$B$5=""),"",SUMIFS(对接源_01水果筐数!$E$5:$E$304,对接源_01水果筐数!$B$5:$B$304,$B79,对接源_01水果筐数!$C$5:$C$304,基础资料!$B$5))</f>
        <v/>
      </c>
      <c r="AH79" s="25" t="str">
        <f>IF(OR($B79="",基础资料!$B$6=""),"",SUMIFS(对接源_01水果筐数!$E$5:$E$304,对接源_01水果筐数!$B$5:$B$304,$B79,对接源_01水果筐数!$C$5:$C$304,基础资料!$B$6))</f>
        <v/>
      </c>
      <c r="AI79" s="25" t="str">
        <f>IF(OR($B79="",基础资料!$B$7=""),"",SUMIFS(对接源_01水果筐数!$E$5:$E$304,对接源_01水果筐数!$B$5:$B$304,$B79,对接源_01水果筐数!$C$5:$C$304,基础资料!$B$7))</f>
        <v/>
      </c>
      <c r="AJ79" s="25" t="str">
        <f>IF(OR($B79="",基础资料!$B$8=""),"",SUMIFS(对接源_01水果筐数!$E$5:$E$304,对接源_01水果筐数!$B$5:$B$304,$B79,对接源_01水果筐数!$C$5:$C$304,基础资料!$B$8))</f>
        <v/>
      </c>
      <c r="AK79" s="25" t="str">
        <f>IF(OR($B79="",基础资料!$B$4=""),"",SUMIFS(对接源_01水果筐数!$F$5:$F$304,对接源_01水果筐数!$B$5:$B$304,$B79,对接源_01水果筐数!$C$5:$C$304,基础资料!$B$4))</f>
        <v/>
      </c>
      <c r="AL79" s="25" t="str">
        <f>IF(OR($B79="",基础资料!$B$5=""),"",SUMIFS(对接源_01水果筐数!$F$5:$F$304,对接源_01水果筐数!$B$5:$B$304,$B79,对接源_01水果筐数!$C$5:$C$304,基础资料!$B$5))</f>
        <v/>
      </c>
      <c r="AM79" s="25" t="str">
        <f>IF(OR($B79="",基础资料!$B$6=""),"",SUMIFS(对接源_01水果筐数!$F$5:$F$304,对接源_01水果筐数!$B$5:$B$304,$B79,对接源_01水果筐数!$C$5:$C$304,基础资料!$B$6))</f>
        <v/>
      </c>
      <c r="AN79" s="25" t="str">
        <f>IF(OR($B79="",基础资料!$B$7=""),"",SUMIFS(对接源_01水果筐数!$F$5:$F$304,对接源_01水果筐数!$B$5:$B$304,$B79,对接源_01水果筐数!$C$5:$C$304,基础资料!$B$7))</f>
        <v/>
      </c>
      <c r="AO79" s="25" t="str">
        <f>IF(OR($B79="",基础资料!$B$8=""),"",SUMIFS(对接源_01水果筐数!$F$5:$F$304,对接源_01水果筐数!$B$5:$B$304,$B79,对接源_01水果筐数!$C$5:$C$304,基础资料!$B$8))</f>
        <v/>
      </c>
      <c r="AP79" s="25" t="str">
        <f t="shared" si="17"/>
        <v/>
      </c>
      <c r="AQ79" s="25" t="str">
        <f t="shared" si="18"/>
        <v/>
      </c>
      <c r="AR79" s="25" t="str">
        <f t="shared" si="19"/>
        <v/>
      </c>
      <c r="AS79" s="25" t="str">
        <f t="shared" si="20"/>
        <v/>
      </c>
      <c r="AT79" s="25" t="str">
        <f t="shared" si="21"/>
        <v/>
      </c>
      <c r="AU79" s="25" t="str">
        <f t="shared" si="22"/>
        <v/>
      </c>
      <c r="AV79" s="24" t="str">
        <f t="shared" si="23"/>
        <v/>
      </c>
      <c r="AW79" s="72"/>
    </row>
    <row r="80" spans="1:49">
      <c r="A80" s="22" t="str">
        <f t="shared" si="12"/>
        <v/>
      </c>
      <c r="B80" s="24" t="str">
        <f>IFERROR(INDEX(_自动清单!$CC$4:$CC$253,ROW()-3),"")</f>
        <v/>
      </c>
      <c r="C80" s="25" t="str">
        <f>IF(OR($B80="",基础资料!$B$4=""),"",SUMIFS(周转筐出入库明细!$J$4:$J$2004,周转筐出入库明细!$C$4:$C$2004,$B80,周转筐出入库明细!$D$4:$D$2004,基础资料!$B$4,周转筐出入库明细!$B$4:$B$2004,"&gt;="&amp;$BC$1,周转筐出入库明细!$B$4:$B$2004,"&lt;="&amp;$BC$2))</f>
        <v/>
      </c>
      <c r="D80" s="25" t="str">
        <f>IF(OR($B80="",基础资料!$B$5=""),"",SUMIFS(周转筐出入库明细!$J$4:$J$2004,周转筐出入库明细!$C$4:$C$2004,$B80,周转筐出入库明细!$D$4:$D$2004,基础资料!$B$5,周转筐出入库明细!$B$4:$B$2004,"&gt;="&amp;$BC$1,周转筐出入库明细!$B$4:$B$2004,"&lt;="&amp;$BC$2))</f>
        <v/>
      </c>
      <c r="E80" s="25" t="str">
        <f>IF(OR($B80="",基础资料!$B$6=""),"",SUMIFS(周转筐出入库明细!$J$4:$J$2004,周转筐出入库明细!$C$4:$C$2004,$B80,周转筐出入库明细!$D$4:$D$2004,基础资料!$B$6,周转筐出入库明细!$B$4:$B$2004,"&gt;="&amp;$BC$1,周转筐出入库明细!$B$4:$B$2004,"&lt;="&amp;$BC$2))</f>
        <v/>
      </c>
      <c r="F80" s="25" t="str">
        <f>IF(OR($B80="",基础资料!$B$7=""),"",SUMIFS(周转筐出入库明细!$J$4:$J$2004,周转筐出入库明细!$C$4:$C$2004,$B80,周转筐出入库明细!$D$4:$D$2004,基础资料!$B$7,周转筐出入库明细!$B$4:$B$2004,"&gt;="&amp;$BC$1,周转筐出入库明细!$B$4:$B$2004,"&lt;="&amp;$BC$2))</f>
        <v/>
      </c>
      <c r="G80" s="25" t="str">
        <f>IF(OR($B80="",基础资料!$B$8=""),"",SUMIFS(周转筐出入库明细!$J$4:$J$2004,周转筐出入库明细!$C$4:$C$2004,$B80,周转筐出入库明细!$D$4:$D$2004,基础资料!$B$8,周转筐出入库明细!$B$4:$B$2004,"&gt;="&amp;$BC$1,周转筐出入库明细!$B$4:$B$2004,"&lt;="&amp;$BC$2))</f>
        <v/>
      </c>
      <c r="H80" s="25" t="str">
        <f t="shared" si="13"/>
        <v/>
      </c>
      <c r="I80" s="67" t="str">
        <f>IF(OR($B80="",基础资料!$B$4=""),"",-SUMIFS(周转筐出入库明细!$I$4:$I$2004,周转筐出入库明细!$C$4:$C$2004,$B80,周转筐出入库明细!$D$4:$D$2004,基础资料!$B$4,周转筐出入库明细!$B$4:$B$2004,"&gt;="&amp;$BC$1,周转筐出入库明细!$B$4:$B$2004,"&lt;="&amp;$BC$2))</f>
        <v/>
      </c>
      <c r="J80" s="67" t="str">
        <f>IF(OR($B80="",基础资料!$B$5=""),"",-SUMIFS(周转筐出入库明细!$I$4:$I$2004,周转筐出入库明细!$C$4:$C$2004,$B80,周转筐出入库明细!$D$4:$D$2004,基础资料!$B$5,周转筐出入库明细!$B$4:$B$2004,"&gt;="&amp;$BC$1,周转筐出入库明细!$B$4:$B$2004,"&lt;="&amp;$BC$2))</f>
        <v/>
      </c>
      <c r="K80" s="67" t="str">
        <f>IF(OR($B80="",基础资料!$B$6=""),"",-SUMIFS(周转筐出入库明细!$I$4:$I$2004,周转筐出入库明细!$C$4:$C$2004,$B80,周转筐出入库明细!$D$4:$D$2004,基础资料!$B$6,周转筐出入库明细!$B$4:$B$2004,"&gt;="&amp;$BC$1,周转筐出入库明细!$B$4:$B$2004,"&lt;="&amp;$BC$2))</f>
        <v/>
      </c>
      <c r="L80" s="67" t="str">
        <f>IF(OR($B80="",基础资料!$B$7=""),"",-SUMIFS(周转筐出入库明细!$I$4:$I$2004,周转筐出入库明细!$C$4:$C$2004,$B80,周转筐出入库明细!$D$4:$D$2004,基础资料!$B$7,周转筐出入库明细!$B$4:$B$2004,"&gt;="&amp;$BC$1,周转筐出入库明细!$B$4:$B$2004,"&lt;="&amp;$BC$2))</f>
        <v/>
      </c>
      <c r="M80" s="67" t="str">
        <f>IF(OR($B80="",基础资料!$B$8=""),"",-SUMIFS(周转筐出入库明细!$I$4:$I$2004,周转筐出入库明细!$C$4:$C$2004,$B80,周转筐出入库明细!$D$4:$D$2004,基础资料!$B$8,周转筐出入库明细!$B$4:$B$2004,"&gt;="&amp;$BC$1,周转筐出入库明细!$B$4:$B$2004,"&lt;="&amp;$BC$2))</f>
        <v/>
      </c>
      <c r="N80" s="67" t="str">
        <f t="shared" si="14"/>
        <v/>
      </c>
      <c r="O80" s="25" t="str">
        <f>IF(OR($B80="",基础资料!$B$4=""),"",SUMIFS(周转筐出入库明细!$H$4:$H$2004,周转筐出入库明细!$C$4:$C$2004,$B80,周转筐出入库明细!$D$4:$D$2004,基础资料!$B$4,周转筐出入库明细!$F$4:$F$2004,"采购入库",周转筐出入库明细!$B$4:$B$2004,"&gt;="&amp;$BC$1,周转筐出入库明细!$B$4:$B$2004,"&lt;="&amp;$BC$2))</f>
        <v/>
      </c>
      <c r="P80" s="25" t="str">
        <f>IF(OR($B80="",基础资料!$B$5=""),"",SUMIFS(周转筐出入库明细!$H$4:$H$2004,周转筐出入库明细!$C$4:$C$2004,$B80,周转筐出入库明细!$D$4:$D$2004,基础资料!$B$5,周转筐出入库明细!$F$4:$F$2004,"采购入库",周转筐出入库明细!$B$4:$B$2004,"&gt;="&amp;$BC$1,周转筐出入库明细!$B$4:$B$2004,"&lt;="&amp;$BC$2))</f>
        <v/>
      </c>
      <c r="Q80" s="25" t="str">
        <f>IF(OR($B80="",基础资料!$B$6=""),"",SUMIFS(周转筐出入库明细!$H$4:$H$2004,周转筐出入库明细!$C$4:$C$2004,$B80,周转筐出入库明细!$D$4:$D$2004,基础资料!$B$6,周转筐出入库明细!$F$4:$F$2004,"采购入库",周转筐出入库明细!$B$4:$B$2004,"&gt;="&amp;$BC$1,周转筐出入库明细!$B$4:$B$2004,"&lt;="&amp;$BC$2))</f>
        <v/>
      </c>
      <c r="R80" s="25" t="str">
        <f>IF(OR($B80="",基础资料!$B$7=""),"",SUMIFS(周转筐出入库明细!$H$4:$H$2004,周转筐出入库明细!$C$4:$C$2004,$B80,周转筐出入库明细!$D$4:$D$2004,基础资料!$B$7,周转筐出入库明细!$F$4:$F$2004,"采购入库",周转筐出入库明细!$B$4:$B$2004,"&gt;="&amp;$BC$1,周转筐出入库明细!$B$4:$B$2004,"&lt;="&amp;$BC$2))</f>
        <v/>
      </c>
      <c r="S80" s="25" t="str">
        <f>IF(OR($B80="",基础资料!$B$8=""),"",SUMIFS(周转筐出入库明细!$H$4:$H$2004,周转筐出入库明细!$C$4:$C$2004,$B80,周转筐出入库明细!$D$4:$D$2004,基础资料!$B$8,周转筐出入库明细!$F$4:$F$2004,"采购入库",周转筐出入库明细!$B$4:$B$2004,"&gt;="&amp;$BC$1,周转筐出入库明细!$B$4:$B$2004,"&lt;="&amp;$BC$2))</f>
        <v/>
      </c>
      <c r="T80" s="25" t="str">
        <f t="shared" si="15"/>
        <v/>
      </c>
      <c r="U80" s="25" t="str">
        <f>IF(OR($B80="",基础资料!$B$4=""),"",SUMIFS(周转筐出入库明细!$K$4:$K$2004,周转筐出入库明细!$C$4:$C$2004,$B80,周转筐出入库明细!$D$4:$D$2004,基础资料!$B$4,周转筐出入库明细!$B$4:$B$2004,"&gt;="&amp;$BC$1,周转筐出入库明细!$B$4:$B$2004,"&lt;="&amp;$BC$2))</f>
        <v/>
      </c>
      <c r="V80" s="25" t="str">
        <f>IF(OR($B80="",基础资料!$B$5=""),"",SUMIFS(周转筐出入库明细!$K$4:$K$2004,周转筐出入库明细!$C$4:$C$2004,$B80,周转筐出入库明细!$D$4:$D$2004,基础资料!$B$5,周转筐出入库明细!$B$4:$B$2004,"&gt;="&amp;$BC$1,周转筐出入库明细!$B$4:$B$2004,"&lt;="&amp;$BC$2))</f>
        <v/>
      </c>
      <c r="W80" s="25" t="str">
        <f>IF(OR($B80="",基础资料!$B$6=""),"",SUMIFS(周转筐出入库明细!$K$4:$K$2004,周转筐出入库明细!$C$4:$C$2004,$B80,周转筐出入库明细!$D$4:$D$2004,基础资料!$B$6,周转筐出入库明细!$B$4:$B$2004,"&gt;="&amp;$BC$1,周转筐出入库明细!$B$4:$B$2004,"&lt;="&amp;$BC$2))</f>
        <v/>
      </c>
      <c r="X80" s="25" t="str">
        <f>IF(OR($B80="",基础资料!$B$7=""),"",SUMIFS(周转筐出入库明细!$K$4:$K$2004,周转筐出入库明细!$C$4:$C$2004,$B80,周转筐出入库明细!$D$4:$D$2004,基础资料!$B$7,周转筐出入库明细!$B$4:$B$2004,"&gt;="&amp;$BC$1,周转筐出入库明细!$B$4:$B$2004,"&lt;="&amp;$BC$2))</f>
        <v/>
      </c>
      <c r="Y80" s="25" t="str">
        <f>IF(OR($B80="",基础资料!$B$8=""),"",SUMIFS(周转筐出入库明细!$K$4:$K$2004,周转筐出入库明细!$C$4:$C$2004,$B80,周转筐出入库明细!$D$4:$D$2004,基础资料!$B$8,周转筐出入库明细!$B$4:$B$2004,"&gt;="&amp;$BC$1,周转筐出入库明细!$B$4:$B$2004,"&lt;="&amp;$BC$2))</f>
        <v/>
      </c>
      <c r="Z80" s="25" t="str">
        <f t="shared" si="16"/>
        <v/>
      </c>
      <c r="AA80" s="67" t="str">
        <f>IF(OR($B80="",基础资料!$B$4=""),"",-SUMIFS(对接源_01水果筐数!$D$5:$D$304,对接源_01水果筐数!$B$5:$B$304,$B80,对接源_01水果筐数!$C$5:$C$304,基础资料!$B$4))</f>
        <v/>
      </c>
      <c r="AB80" s="67" t="str">
        <f>IF(OR($B80="",基础资料!$B$5=""),"",-SUMIFS(对接源_01水果筐数!$D$5:$D$304,对接源_01水果筐数!$B$5:$B$304,$B80,对接源_01水果筐数!$C$5:$C$304,基础资料!$B$5))</f>
        <v/>
      </c>
      <c r="AC80" s="67" t="str">
        <f>IF(OR($B80="",基础资料!$B$6=""),"",-SUMIFS(对接源_01水果筐数!$D$5:$D$304,对接源_01水果筐数!$B$5:$B$304,$B80,对接源_01水果筐数!$C$5:$C$304,基础资料!$B$6))</f>
        <v/>
      </c>
      <c r="AD80" s="67" t="str">
        <f>IF(OR($B80="",基础资料!$B$7=""),"",-SUMIFS(对接源_01水果筐数!$D$5:$D$304,对接源_01水果筐数!$B$5:$B$304,$B80,对接源_01水果筐数!$C$5:$C$304,基础资料!$B$7))</f>
        <v/>
      </c>
      <c r="AE80" s="67" t="str">
        <f>IF(OR($B80="",基础资料!$B$8=""),"",-SUMIFS(对接源_01水果筐数!$D$5:$D$304,对接源_01水果筐数!$B$5:$B$304,$B80,对接源_01水果筐数!$C$5:$C$304,基础资料!$B$8))</f>
        <v/>
      </c>
      <c r="AF80" s="25" t="str">
        <f>IF(OR($B80="",基础资料!$B$4=""),"",SUMIFS(对接源_01水果筐数!$E$5:$E$304,对接源_01水果筐数!$B$5:$B$304,$B80,对接源_01水果筐数!$C$5:$C$304,基础资料!$B$4))</f>
        <v/>
      </c>
      <c r="AG80" s="25" t="str">
        <f>IF(OR($B80="",基础资料!$B$5=""),"",SUMIFS(对接源_01水果筐数!$E$5:$E$304,对接源_01水果筐数!$B$5:$B$304,$B80,对接源_01水果筐数!$C$5:$C$304,基础资料!$B$5))</f>
        <v/>
      </c>
      <c r="AH80" s="25" t="str">
        <f>IF(OR($B80="",基础资料!$B$6=""),"",SUMIFS(对接源_01水果筐数!$E$5:$E$304,对接源_01水果筐数!$B$5:$B$304,$B80,对接源_01水果筐数!$C$5:$C$304,基础资料!$B$6))</f>
        <v/>
      </c>
      <c r="AI80" s="25" t="str">
        <f>IF(OR($B80="",基础资料!$B$7=""),"",SUMIFS(对接源_01水果筐数!$E$5:$E$304,对接源_01水果筐数!$B$5:$B$304,$B80,对接源_01水果筐数!$C$5:$C$304,基础资料!$B$7))</f>
        <v/>
      </c>
      <c r="AJ80" s="25" t="str">
        <f>IF(OR($B80="",基础资料!$B$8=""),"",SUMIFS(对接源_01水果筐数!$E$5:$E$304,对接源_01水果筐数!$B$5:$B$304,$B80,对接源_01水果筐数!$C$5:$C$304,基础资料!$B$8))</f>
        <v/>
      </c>
      <c r="AK80" s="25" t="str">
        <f>IF(OR($B80="",基础资料!$B$4=""),"",SUMIFS(对接源_01水果筐数!$F$5:$F$304,对接源_01水果筐数!$B$5:$B$304,$B80,对接源_01水果筐数!$C$5:$C$304,基础资料!$B$4))</f>
        <v/>
      </c>
      <c r="AL80" s="25" t="str">
        <f>IF(OR($B80="",基础资料!$B$5=""),"",SUMIFS(对接源_01水果筐数!$F$5:$F$304,对接源_01水果筐数!$B$5:$B$304,$B80,对接源_01水果筐数!$C$5:$C$304,基础资料!$B$5))</f>
        <v/>
      </c>
      <c r="AM80" s="25" t="str">
        <f>IF(OR($B80="",基础资料!$B$6=""),"",SUMIFS(对接源_01水果筐数!$F$5:$F$304,对接源_01水果筐数!$B$5:$B$304,$B80,对接源_01水果筐数!$C$5:$C$304,基础资料!$B$6))</f>
        <v/>
      </c>
      <c r="AN80" s="25" t="str">
        <f>IF(OR($B80="",基础资料!$B$7=""),"",SUMIFS(对接源_01水果筐数!$F$5:$F$304,对接源_01水果筐数!$B$5:$B$304,$B80,对接源_01水果筐数!$C$5:$C$304,基础资料!$B$7))</f>
        <v/>
      </c>
      <c r="AO80" s="25" t="str">
        <f>IF(OR($B80="",基础资料!$B$8=""),"",SUMIFS(对接源_01水果筐数!$F$5:$F$304,对接源_01水果筐数!$B$5:$B$304,$B80,对接源_01水果筐数!$C$5:$C$304,基础资料!$B$8))</f>
        <v/>
      </c>
      <c r="AP80" s="25" t="str">
        <f t="shared" si="17"/>
        <v/>
      </c>
      <c r="AQ80" s="25" t="str">
        <f t="shared" si="18"/>
        <v/>
      </c>
      <c r="AR80" s="25" t="str">
        <f t="shared" si="19"/>
        <v/>
      </c>
      <c r="AS80" s="25" t="str">
        <f t="shared" si="20"/>
        <v/>
      </c>
      <c r="AT80" s="25" t="str">
        <f t="shared" si="21"/>
        <v/>
      </c>
      <c r="AU80" s="25" t="str">
        <f t="shared" si="22"/>
        <v/>
      </c>
      <c r="AV80" s="24" t="str">
        <f t="shared" si="23"/>
        <v/>
      </c>
      <c r="AW80" s="72"/>
    </row>
    <row r="81" spans="1:49">
      <c r="A81" s="22" t="str">
        <f t="shared" si="12"/>
        <v/>
      </c>
      <c r="B81" s="24" t="str">
        <f>IFERROR(INDEX(_自动清单!$CC$4:$CC$253,ROW()-3),"")</f>
        <v/>
      </c>
      <c r="C81" s="25" t="str">
        <f>IF(OR($B81="",基础资料!$B$4=""),"",SUMIFS(周转筐出入库明细!$J$4:$J$2004,周转筐出入库明细!$C$4:$C$2004,$B81,周转筐出入库明细!$D$4:$D$2004,基础资料!$B$4,周转筐出入库明细!$B$4:$B$2004,"&gt;="&amp;$BC$1,周转筐出入库明细!$B$4:$B$2004,"&lt;="&amp;$BC$2))</f>
        <v/>
      </c>
      <c r="D81" s="25" t="str">
        <f>IF(OR($B81="",基础资料!$B$5=""),"",SUMIFS(周转筐出入库明细!$J$4:$J$2004,周转筐出入库明细!$C$4:$C$2004,$B81,周转筐出入库明细!$D$4:$D$2004,基础资料!$B$5,周转筐出入库明细!$B$4:$B$2004,"&gt;="&amp;$BC$1,周转筐出入库明细!$B$4:$B$2004,"&lt;="&amp;$BC$2))</f>
        <v/>
      </c>
      <c r="E81" s="25" t="str">
        <f>IF(OR($B81="",基础资料!$B$6=""),"",SUMIFS(周转筐出入库明细!$J$4:$J$2004,周转筐出入库明细!$C$4:$C$2004,$B81,周转筐出入库明细!$D$4:$D$2004,基础资料!$B$6,周转筐出入库明细!$B$4:$B$2004,"&gt;="&amp;$BC$1,周转筐出入库明细!$B$4:$B$2004,"&lt;="&amp;$BC$2))</f>
        <v/>
      </c>
      <c r="F81" s="25" t="str">
        <f>IF(OR($B81="",基础资料!$B$7=""),"",SUMIFS(周转筐出入库明细!$J$4:$J$2004,周转筐出入库明细!$C$4:$C$2004,$B81,周转筐出入库明细!$D$4:$D$2004,基础资料!$B$7,周转筐出入库明细!$B$4:$B$2004,"&gt;="&amp;$BC$1,周转筐出入库明细!$B$4:$B$2004,"&lt;="&amp;$BC$2))</f>
        <v/>
      </c>
      <c r="G81" s="25" t="str">
        <f>IF(OR($B81="",基础资料!$B$8=""),"",SUMIFS(周转筐出入库明细!$J$4:$J$2004,周转筐出入库明细!$C$4:$C$2004,$B81,周转筐出入库明细!$D$4:$D$2004,基础资料!$B$8,周转筐出入库明细!$B$4:$B$2004,"&gt;="&amp;$BC$1,周转筐出入库明细!$B$4:$B$2004,"&lt;="&amp;$BC$2))</f>
        <v/>
      </c>
      <c r="H81" s="25" t="str">
        <f t="shared" si="13"/>
        <v/>
      </c>
      <c r="I81" s="67" t="str">
        <f>IF(OR($B81="",基础资料!$B$4=""),"",-SUMIFS(周转筐出入库明细!$I$4:$I$2004,周转筐出入库明细!$C$4:$C$2004,$B81,周转筐出入库明细!$D$4:$D$2004,基础资料!$B$4,周转筐出入库明细!$B$4:$B$2004,"&gt;="&amp;$BC$1,周转筐出入库明细!$B$4:$B$2004,"&lt;="&amp;$BC$2))</f>
        <v/>
      </c>
      <c r="J81" s="67" t="str">
        <f>IF(OR($B81="",基础资料!$B$5=""),"",-SUMIFS(周转筐出入库明细!$I$4:$I$2004,周转筐出入库明细!$C$4:$C$2004,$B81,周转筐出入库明细!$D$4:$D$2004,基础资料!$B$5,周转筐出入库明细!$B$4:$B$2004,"&gt;="&amp;$BC$1,周转筐出入库明细!$B$4:$B$2004,"&lt;="&amp;$BC$2))</f>
        <v/>
      </c>
      <c r="K81" s="67" t="str">
        <f>IF(OR($B81="",基础资料!$B$6=""),"",-SUMIFS(周转筐出入库明细!$I$4:$I$2004,周转筐出入库明细!$C$4:$C$2004,$B81,周转筐出入库明细!$D$4:$D$2004,基础资料!$B$6,周转筐出入库明细!$B$4:$B$2004,"&gt;="&amp;$BC$1,周转筐出入库明细!$B$4:$B$2004,"&lt;="&amp;$BC$2))</f>
        <v/>
      </c>
      <c r="L81" s="67" t="str">
        <f>IF(OR($B81="",基础资料!$B$7=""),"",-SUMIFS(周转筐出入库明细!$I$4:$I$2004,周转筐出入库明细!$C$4:$C$2004,$B81,周转筐出入库明细!$D$4:$D$2004,基础资料!$B$7,周转筐出入库明细!$B$4:$B$2004,"&gt;="&amp;$BC$1,周转筐出入库明细!$B$4:$B$2004,"&lt;="&amp;$BC$2))</f>
        <v/>
      </c>
      <c r="M81" s="67" t="str">
        <f>IF(OR($B81="",基础资料!$B$8=""),"",-SUMIFS(周转筐出入库明细!$I$4:$I$2004,周转筐出入库明细!$C$4:$C$2004,$B81,周转筐出入库明细!$D$4:$D$2004,基础资料!$B$8,周转筐出入库明细!$B$4:$B$2004,"&gt;="&amp;$BC$1,周转筐出入库明细!$B$4:$B$2004,"&lt;="&amp;$BC$2))</f>
        <v/>
      </c>
      <c r="N81" s="67" t="str">
        <f t="shared" si="14"/>
        <v/>
      </c>
      <c r="O81" s="25" t="str">
        <f>IF(OR($B81="",基础资料!$B$4=""),"",SUMIFS(周转筐出入库明细!$H$4:$H$2004,周转筐出入库明细!$C$4:$C$2004,$B81,周转筐出入库明细!$D$4:$D$2004,基础资料!$B$4,周转筐出入库明细!$F$4:$F$2004,"采购入库",周转筐出入库明细!$B$4:$B$2004,"&gt;="&amp;$BC$1,周转筐出入库明细!$B$4:$B$2004,"&lt;="&amp;$BC$2))</f>
        <v/>
      </c>
      <c r="P81" s="25" t="str">
        <f>IF(OR($B81="",基础资料!$B$5=""),"",SUMIFS(周转筐出入库明细!$H$4:$H$2004,周转筐出入库明细!$C$4:$C$2004,$B81,周转筐出入库明细!$D$4:$D$2004,基础资料!$B$5,周转筐出入库明细!$F$4:$F$2004,"采购入库",周转筐出入库明细!$B$4:$B$2004,"&gt;="&amp;$BC$1,周转筐出入库明细!$B$4:$B$2004,"&lt;="&amp;$BC$2))</f>
        <v/>
      </c>
      <c r="Q81" s="25" t="str">
        <f>IF(OR($B81="",基础资料!$B$6=""),"",SUMIFS(周转筐出入库明细!$H$4:$H$2004,周转筐出入库明细!$C$4:$C$2004,$B81,周转筐出入库明细!$D$4:$D$2004,基础资料!$B$6,周转筐出入库明细!$F$4:$F$2004,"采购入库",周转筐出入库明细!$B$4:$B$2004,"&gt;="&amp;$BC$1,周转筐出入库明细!$B$4:$B$2004,"&lt;="&amp;$BC$2))</f>
        <v/>
      </c>
      <c r="R81" s="25" t="str">
        <f>IF(OR($B81="",基础资料!$B$7=""),"",SUMIFS(周转筐出入库明细!$H$4:$H$2004,周转筐出入库明细!$C$4:$C$2004,$B81,周转筐出入库明细!$D$4:$D$2004,基础资料!$B$7,周转筐出入库明细!$F$4:$F$2004,"采购入库",周转筐出入库明细!$B$4:$B$2004,"&gt;="&amp;$BC$1,周转筐出入库明细!$B$4:$B$2004,"&lt;="&amp;$BC$2))</f>
        <v/>
      </c>
      <c r="S81" s="25" t="str">
        <f>IF(OR($B81="",基础资料!$B$8=""),"",SUMIFS(周转筐出入库明细!$H$4:$H$2004,周转筐出入库明细!$C$4:$C$2004,$B81,周转筐出入库明细!$D$4:$D$2004,基础资料!$B$8,周转筐出入库明细!$F$4:$F$2004,"采购入库",周转筐出入库明细!$B$4:$B$2004,"&gt;="&amp;$BC$1,周转筐出入库明细!$B$4:$B$2004,"&lt;="&amp;$BC$2))</f>
        <v/>
      </c>
      <c r="T81" s="25" t="str">
        <f t="shared" si="15"/>
        <v/>
      </c>
      <c r="U81" s="25" t="str">
        <f>IF(OR($B81="",基础资料!$B$4=""),"",SUMIFS(周转筐出入库明细!$K$4:$K$2004,周转筐出入库明细!$C$4:$C$2004,$B81,周转筐出入库明细!$D$4:$D$2004,基础资料!$B$4,周转筐出入库明细!$B$4:$B$2004,"&gt;="&amp;$BC$1,周转筐出入库明细!$B$4:$B$2004,"&lt;="&amp;$BC$2))</f>
        <v/>
      </c>
      <c r="V81" s="25" t="str">
        <f>IF(OR($B81="",基础资料!$B$5=""),"",SUMIFS(周转筐出入库明细!$K$4:$K$2004,周转筐出入库明细!$C$4:$C$2004,$B81,周转筐出入库明细!$D$4:$D$2004,基础资料!$B$5,周转筐出入库明细!$B$4:$B$2004,"&gt;="&amp;$BC$1,周转筐出入库明细!$B$4:$B$2004,"&lt;="&amp;$BC$2))</f>
        <v/>
      </c>
      <c r="W81" s="25" t="str">
        <f>IF(OR($B81="",基础资料!$B$6=""),"",SUMIFS(周转筐出入库明细!$K$4:$K$2004,周转筐出入库明细!$C$4:$C$2004,$B81,周转筐出入库明细!$D$4:$D$2004,基础资料!$B$6,周转筐出入库明细!$B$4:$B$2004,"&gt;="&amp;$BC$1,周转筐出入库明细!$B$4:$B$2004,"&lt;="&amp;$BC$2))</f>
        <v/>
      </c>
      <c r="X81" s="25" t="str">
        <f>IF(OR($B81="",基础资料!$B$7=""),"",SUMIFS(周转筐出入库明细!$K$4:$K$2004,周转筐出入库明细!$C$4:$C$2004,$B81,周转筐出入库明细!$D$4:$D$2004,基础资料!$B$7,周转筐出入库明细!$B$4:$B$2004,"&gt;="&amp;$BC$1,周转筐出入库明细!$B$4:$B$2004,"&lt;="&amp;$BC$2))</f>
        <v/>
      </c>
      <c r="Y81" s="25" t="str">
        <f>IF(OR($B81="",基础资料!$B$8=""),"",SUMIFS(周转筐出入库明细!$K$4:$K$2004,周转筐出入库明细!$C$4:$C$2004,$B81,周转筐出入库明细!$D$4:$D$2004,基础资料!$B$8,周转筐出入库明细!$B$4:$B$2004,"&gt;="&amp;$BC$1,周转筐出入库明细!$B$4:$B$2004,"&lt;="&amp;$BC$2))</f>
        <v/>
      </c>
      <c r="Z81" s="25" t="str">
        <f t="shared" si="16"/>
        <v/>
      </c>
      <c r="AA81" s="67" t="str">
        <f>IF(OR($B81="",基础资料!$B$4=""),"",-SUMIFS(对接源_01水果筐数!$D$5:$D$304,对接源_01水果筐数!$B$5:$B$304,$B81,对接源_01水果筐数!$C$5:$C$304,基础资料!$B$4))</f>
        <v/>
      </c>
      <c r="AB81" s="67" t="str">
        <f>IF(OR($B81="",基础资料!$B$5=""),"",-SUMIFS(对接源_01水果筐数!$D$5:$D$304,对接源_01水果筐数!$B$5:$B$304,$B81,对接源_01水果筐数!$C$5:$C$304,基础资料!$B$5))</f>
        <v/>
      </c>
      <c r="AC81" s="67" t="str">
        <f>IF(OR($B81="",基础资料!$B$6=""),"",-SUMIFS(对接源_01水果筐数!$D$5:$D$304,对接源_01水果筐数!$B$5:$B$304,$B81,对接源_01水果筐数!$C$5:$C$304,基础资料!$B$6))</f>
        <v/>
      </c>
      <c r="AD81" s="67" t="str">
        <f>IF(OR($B81="",基础资料!$B$7=""),"",-SUMIFS(对接源_01水果筐数!$D$5:$D$304,对接源_01水果筐数!$B$5:$B$304,$B81,对接源_01水果筐数!$C$5:$C$304,基础资料!$B$7))</f>
        <v/>
      </c>
      <c r="AE81" s="67" t="str">
        <f>IF(OR($B81="",基础资料!$B$8=""),"",-SUMIFS(对接源_01水果筐数!$D$5:$D$304,对接源_01水果筐数!$B$5:$B$304,$B81,对接源_01水果筐数!$C$5:$C$304,基础资料!$B$8))</f>
        <v/>
      </c>
      <c r="AF81" s="25" t="str">
        <f>IF(OR($B81="",基础资料!$B$4=""),"",SUMIFS(对接源_01水果筐数!$E$5:$E$304,对接源_01水果筐数!$B$5:$B$304,$B81,对接源_01水果筐数!$C$5:$C$304,基础资料!$B$4))</f>
        <v/>
      </c>
      <c r="AG81" s="25" t="str">
        <f>IF(OR($B81="",基础资料!$B$5=""),"",SUMIFS(对接源_01水果筐数!$E$5:$E$304,对接源_01水果筐数!$B$5:$B$304,$B81,对接源_01水果筐数!$C$5:$C$304,基础资料!$B$5))</f>
        <v/>
      </c>
      <c r="AH81" s="25" t="str">
        <f>IF(OR($B81="",基础资料!$B$6=""),"",SUMIFS(对接源_01水果筐数!$E$5:$E$304,对接源_01水果筐数!$B$5:$B$304,$B81,对接源_01水果筐数!$C$5:$C$304,基础资料!$B$6))</f>
        <v/>
      </c>
      <c r="AI81" s="25" t="str">
        <f>IF(OR($B81="",基础资料!$B$7=""),"",SUMIFS(对接源_01水果筐数!$E$5:$E$304,对接源_01水果筐数!$B$5:$B$304,$B81,对接源_01水果筐数!$C$5:$C$304,基础资料!$B$7))</f>
        <v/>
      </c>
      <c r="AJ81" s="25" t="str">
        <f>IF(OR($B81="",基础资料!$B$8=""),"",SUMIFS(对接源_01水果筐数!$E$5:$E$304,对接源_01水果筐数!$B$5:$B$304,$B81,对接源_01水果筐数!$C$5:$C$304,基础资料!$B$8))</f>
        <v/>
      </c>
      <c r="AK81" s="25" t="str">
        <f>IF(OR($B81="",基础资料!$B$4=""),"",SUMIFS(对接源_01水果筐数!$F$5:$F$304,对接源_01水果筐数!$B$5:$B$304,$B81,对接源_01水果筐数!$C$5:$C$304,基础资料!$B$4))</f>
        <v/>
      </c>
      <c r="AL81" s="25" t="str">
        <f>IF(OR($B81="",基础资料!$B$5=""),"",SUMIFS(对接源_01水果筐数!$F$5:$F$304,对接源_01水果筐数!$B$5:$B$304,$B81,对接源_01水果筐数!$C$5:$C$304,基础资料!$B$5))</f>
        <v/>
      </c>
      <c r="AM81" s="25" t="str">
        <f>IF(OR($B81="",基础资料!$B$6=""),"",SUMIFS(对接源_01水果筐数!$F$5:$F$304,对接源_01水果筐数!$B$5:$B$304,$B81,对接源_01水果筐数!$C$5:$C$304,基础资料!$B$6))</f>
        <v/>
      </c>
      <c r="AN81" s="25" t="str">
        <f>IF(OR($B81="",基础资料!$B$7=""),"",SUMIFS(对接源_01水果筐数!$F$5:$F$304,对接源_01水果筐数!$B$5:$B$304,$B81,对接源_01水果筐数!$C$5:$C$304,基础资料!$B$7))</f>
        <v/>
      </c>
      <c r="AO81" s="25" t="str">
        <f>IF(OR($B81="",基础资料!$B$8=""),"",SUMIFS(对接源_01水果筐数!$F$5:$F$304,对接源_01水果筐数!$B$5:$B$304,$B81,对接源_01水果筐数!$C$5:$C$304,基础资料!$B$8))</f>
        <v/>
      </c>
      <c r="AP81" s="25" t="str">
        <f t="shared" si="17"/>
        <v/>
      </c>
      <c r="AQ81" s="25" t="str">
        <f t="shared" si="18"/>
        <v/>
      </c>
      <c r="AR81" s="25" t="str">
        <f t="shared" si="19"/>
        <v/>
      </c>
      <c r="AS81" s="25" t="str">
        <f t="shared" si="20"/>
        <v/>
      </c>
      <c r="AT81" s="25" t="str">
        <f t="shared" si="21"/>
        <v/>
      </c>
      <c r="AU81" s="25" t="str">
        <f t="shared" si="22"/>
        <v/>
      </c>
      <c r="AV81" s="24" t="str">
        <f t="shared" si="23"/>
        <v/>
      </c>
      <c r="AW81" s="72"/>
    </row>
    <row r="82" spans="1:49">
      <c r="A82" s="22" t="str">
        <f t="shared" si="12"/>
        <v/>
      </c>
      <c r="B82" s="24" t="str">
        <f>IFERROR(INDEX(_自动清单!$CC$4:$CC$253,ROW()-3),"")</f>
        <v/>
      </c>
      <c r="C82" s="25" t="str">
        <f>IF(OR($B82="",基础资料!$B$4=""),"",SUMIFS(周转筐出入库明细!$J$4:$J$2004,周转筐出入库明细!$C$4:$C$2004,$B82,周转筐出入库明细!$D$4:$D$2004,基础资料!$B$4,周转筐出入库明细!$B$4:$B$2004,"&gt;="&amp;$BC$1,周转筐出入库明细!$B$4:$B$2004,"&lt;="&amp;$BC$2))</f>
        <v/>
      </c>
      <c r="D82" s="25" t="str">
        <f>IF(OR($B82="",基础资料!$B$5=""),"",SUMIFS(周转筐出入库明细!$J$4:$J$2004,周转筐出入库明细!$C$4:$C$2004,$B82,周转筐出入库明细!$D$4:$D$2004,基础资料!$B$5,周转筐出入库明细!$B$4:$B$2004,"&gt;="&amp;$BC$1,周转筐出入库明细!$B$4:$B$2004,"&lt;="&amp;$BC$2))</f>
        <v/>
      </c>
      <c r="E82" s="25" t="str">
        <f>IF(OR($B82="",基础资料!$B$6=""),"",SUMIFS(周转筐出入库明细!$J$4:$J$2004,周转筐出入库明细!$C$4:$C$2004,$B82,周转筐出入库明细!$D$4:$D$2004,基础资料!$B$6,周转筐出入库明细!$B$4:$B$2004,"&gt;="&amp;$BC$1,周转筐出入库明细!$B$4:$B$2004,"&lt;="&amp;$BC$2))</f>
        <v/>
      </c>
      <c r="F82" s="25" t="str">
        <f>IF(OR($B82="",基础资料!$B$7=""),"",SUMIFS(周转筐出入库明细!$J$4:$J$2004,周转筐出入库明细!$C$4:$C$2004,$B82,周转筐出入库明细!$D$4:$D$2004,基础资料!$B$7,周转筐出入库明细!$B$4:$B$2004,"&gt;="&amp;$BC$1,周转筐出入库明细!$B$4:$B$2004,"&lt;="&amp;$BC$2))</f>
        <v/>
      </c>
      <c r="G82" s="25" t="str">
        <f>IF(OR($B82="",基础资料!$B$8=""),"",SUMIFS(周转筐出入库明细!$J$4:$J$2004,周转筐出入库明细!$C$4:$C$2004,$B82,周转筐出入库明细!$D$4:$D$2004,基础资料!$B$8,周转筐出入库明细!$B$4:$B$2004,"&gt;="&amp;$BC$1,周转筐出入库明细!$B$4:$B$2004,"&lt;="&amp;$BC$2))</f>
        <v/>
      </c>
      <c r="H82" s="25" t="str">
        <f t="shared" si="13"/>
        <v/>
      </c>
      <c r="I82" s="67" t="str">
        <f>IF(OR($B82="",基础资料!$B$4=""),"",-SUMIFS(周转筐出入库明细!$I$4:$I$2004,周转筐出入库明细!$C$4:$C$2004,$B82,周转筐出入库明细!$D$4:$D$2004,基础资料!$B$4,周转筐出入库明细!$B$4:$B$2004,"&gt;="&amp;$BC$1,周转筐出入库明细!$B$4:$B$2004,"&lt;="&amp;$BC$2))</f>
        <v/>
      </c>
      <c r="J82" s="67" t="str">
        <f>IF(OR($B82="",基础资料!$B$5=""),"",-SUMIFS(周转筐出入库明细!$I$4:$I$2004,周转筐出入库明细!$C$4:$C$2004,$B82,周转筐出入库明细!$D$4:$D$2004,基础资料!$B$5,周转筐出入库明细!$B$4:$B$2004,"&gt;="&amp;$BC$1,周转筐出入库明细!$B$4:$B$2004,"&lt;="&amp;$BC$2))</f>
        <v/>
      </c>
      <c r="K82" s="67" t="str">
        <f>IF(OR($B82="",基础资料!$B$6=""),"",-SUMIFS(周转筐出入库明细!$I$4:$I$2004,周转筐出入库明细!$C$4:$C$2004,$B82,周转筐出入库明细!$D$4:$D$2004,基础资料!$B$6,周转筐出入库明细!$B$4:$B$2004,"&gt;="&amp;$BC$1,周转筐出入库明细!$B$4:$B$2004,"&lt;="&amp;$BC$2))</f>
        <v/>
      </c>
      <c r="L82" s="67" t="str">
        <f>IF(OR($B82="",基础资料!$B$7=""),"",-SUMIFS(周转筐出入库明细!$I$4:$I$2004,周转筐出入库明细!$C$4:$C$2004,$B82,周转筐出入库明细!$D$4:$D$2004,基础资料!$B$7,周转筐出入库明细!$B$4:$B$2004,"&gt;="&amp;$BC$1,周转筐出入库明细!$B$4:$B$2004,"&lt;="&amp;$BC$2))</f>
        <v/>
      </c>
      <c r="M82" s="67" t="str">
        <f>IF(OR($B82="",基础资料!$B$8=""),"",-SUMIFS(周转筐出入库明细!$I$4:$I$2004,周转筐出入库明细!$C$4:$C$2004,$B82,周转筐出入库明细!$D$4:$D$2004,基础资料!$B$8,周转筐出入库明细!$B$4:$B$2004,"&gt;="&amp;$BC$1,周转筐出入库明细!$B$4:$B$2004,"&lt;="&amp;$BC$2))</f>
        <v/>
      </c>
      <c r="N82" s="67" t="str">
        <f t="shared" si="14"/>
        <v/>
      </c>
      <c r="O82" s="25" t="str">
        <f>IF(OR($B82="",基础资料!$B$4=""),"",SUMIFS(周转筐出入库明细!$H$4:$H$2004,周转筐出入库明细!$C$4:$C$2004,$B82,周转筐出入库明细!$D$4:$D$2004,基础资料!$B$4,周转筐出入库明细!$F$4:$F$2004,"采购入库",周转筐出入库明细!$B$4:$B$2004,"&gt;="&amp;$BC$1,周转筐出入库明细!$B$4:$B$2004,"&lt;="&amp;$BC$2))</f>
        <v/>
      </c>
      <c r="P82" s="25" t="str">
        <f>IF(OR($B82="",基础资料!$B$5=""),"",SUMIFS(周转筐出入库明细!$H$4:$H$2004,周转筐出入库明细!$C$4:$C$2004,$B82,周转筐出入库明细!$D$4:$D$2004,基础资料!$B$5,周转筐出入库明细!$F$4:$F$2004,"采购入库",周转筐出入库明细!$B$4:$B$2004,"&gt;="&amp;$BC$1,周转筐出入库明细!$B$4:$B$2004,"&lt;="&amp;$BC$2))</f>
        <v/>
      </c>
      <c r="Q82" s="25" t="str">
        <f>IF(OR($B82="",基础资料!$B$6=""),"",SUMIFS(周转筐出入库明细!$H$4:$H$2004,周转筐出入库明细!$C$4:$C$2004,$B82,周转筐出入库明细!$D$4:$D$2004,基础资料!$B$6,周转筐出入库明细!$F$4:$F$2004,"采购入库",周转筐出入库明细!$B$4:$B$2004,"&gt;="&amp;$BC$1,周转筐出入库明细!$B$4:$B$2004,"&lt;="&amp;$BC$2))</f>
        <v/>
      </c>
      <c r="R82" s="25" t="str">
        <f>IF(OR($B82="",基础资料!$B$7=""),"",SUMIFS(周转筐出入库明细!$H$4:$H$2004,周转筐出入库明细!$C$4:$C$2004,$B82,周转筐出入库明细!$D$4:$D$2004,基础资料!$B$7,周转筐出入库明细!$F$4:$F$2004,"采购入库",周转筐出入库明细!$B$4:$B$2004,"&gt;="&amp;$BC$1,周转筐出入库明细!$B$4:$B$2004,"&lt;="&amp;$BC$2))</f>
        <v/>
      </c>
      <c r="S82" s="25" t="str">
        <f>IF(OR($B82="",基础资料!$B$8=""),"",SUMIFS(周转筐出入库明细!$H$4:$H$2004,周转筐出入库明细!$C$4:$C$2004,$B82,周转筐出入库明细!$D$4:$D$2004,基础资料!$B$8,周转筐出入库明细!$F$4:$F$2004,"采购入库",周转筐出入库明细!$B$4:$B$2004,"&gt;="&amp;$BC$1,周转筐出入库明细!$B$4:$B$2004,"&lt;="&amp;$BC$2))</f>
        <v/>
      </c>
      <c r="T82" s="25" t="str">
        <f t="shared" si="15"/>
        <v/>
      </c>
      <c r="U82" s="25" t="str">
        <f>IF(OR($B82="",基础资料!$B$4=""),"",SUMIFS(周转筐出入库明细!$K$4:$K$2004,周转筐出入库明细!$C$4:$C$2004,$B82,周转筐出入库明细!$D$4:$D$2004,基础资料!$B$4,周转筐出入库明细!$B$4:$B$2004,"&gt;="&amp;$BC$1,周转筐出入库明细!$B$4:$B$2004,"&lt;="&amp;$BC$2))</f>
        <v/>
      </c>
      <c r="V82" s="25" t="str">
        <f>IF(OR($B82="",基础资料!$B$5=""),"",SUMIFS(周转筐出入库明细!$K$4:$K$2004,周转筐出入库明细!$C$4:$C$2004,$B82,周转筐出入库明细!$D$4:$D$2004,基础资料!$B$5,周转筐出入库明细!$B$4:$B$2004,"&gt;="&amp;$BC$1,周转筐出入库明细!$B$4:$B$2004,"&lt;="&amp;$BC$2))</f>
        <v/>
      </c>
      <c r="W82" s="25" t="str">
        <f>IF(OR($B82="",基础资料!$B$6=""),"",SUMIFS(周转筐出入库明细!$K$4:$K$2004,周转筐出入库明细!$C$4:$C$2004,$B82,周转筐出入库明细!$D$4:$D$2004,基础资料!$B$6,周转筐出入库明细!$B$4:$B$2004,"&gt;="&amp;$BC$1,周转筐出入库明细!$B$4:$B$2004,"&lt;="&amp;$BC$2))</f>
        <v/>
      </c>
      <c r="X82" s="25" t="str">
        <f>IF(OR($B82="",基础资料!$B$7=""),"",SUMIFS(周转筐出入库明细!$K$4:$K$2004,周转筐出入库明细!$C$4:$C$2004,$B82,周转筐出入库明细!$D$4:$D$2004,基础资料!$B$7,周转筐出入库明细!$B$4:$B$2004,"&gt;="&amp;$BC$1,周转筐出入库明细!$B$4:$B$2004,"&lt;="&amp;$BC$2))</f>
        <v/>
      </c>
      <c r="Y82" s="25" t="str">
        <f>IF(OR($B82="",基础资料!$B$8=""),"",SUMIFS(周转筐出入库明细!$K$4:$K$2004,周转筐出入库明细!$C$4:$C$2004,$B82,周转筐出入库明细!$D$4:$D$2004,基础资料!$B$8,周转筐出入库明细!$B$4:$B$2004,"&gt;="&amp;$BC$1,周转筐出入库明细!$B$4:$B$2004,"&lt;="&amp;$BC$2))</f>
        <v/>
      </c>
      <c r="Z82" s="25" t="str">
        <f t="shared" si="16"/>
        <v/>
      </c>
      <c r="AA82" s="67" t="str">
        <f>IF(OR($B82="",基础资料!$B$4=""),"",-SUMIFS(对接源_01水果筐数!$D$5:$D$304,对接源_01水果筐数!$B$5:$B$304,$B82,对接源_01水果筐数!$C$5:$C$304,基础资料!$B$4))</f>
        <v/>
      </c>
      <c r="AB82" s="67" t="str">
        <f>IF(OR($B82="",基础资料!$B$5=""),"",-SUMIFS(对接源_01水果筐数!$D$5:$D$304,对接源_01水果筐数!$B$5:$B$304,$B82,对接源_01水果筐数!$C$5:$C$304,基础资料!$B$5))</f>
        <v/>
      </c>
      <c r="AC82" s="67" t="str">
        <f>IF(OR($B82="",基础资料!$B$6=""),"",-SUMIFS(对接源_01水果筐数!$D$5:$D$304,对接源_01水果筐数!$B$5:$B$304,$B82,对接源_01水果筐数!$C$5:$C$304,基础资料!$B$6))</f>
        <v/>
      </c>
      <c r="AD82" s="67" t="str">
        <f>IF(OR($B82="",基础资料!$B$7=""),"",-SUMIFS(对接源_01水果筐数!$D$5:$D$304,对接源_01水果筐数!$B$5:$B$304,$B82,对接源_01水果筐数!$C$5:$C$304,基础资料!$B$7))</f>
        <v/>
      </c>
      <c r="AE82" s="67" t="str">
        <f>IF(OR($B82="",基础资料!$B$8=""),"",-SUMIFS(对接源_01水果筐数!$D$5:$D$304,对接源_01水果筐数!$B$5:$B$304,$B82,对接源_01水果筐数!$C$5:$C$304,基础资料!$B$8))</f>
        <v/>
      </c>
      <c r="AF82" s="25" t="str">
        <f>IF(OR($B82="",基础资料!$B$4=""),"",SUMIFS(对接源_01水果筐数!$E$5:$E$304,对接源_01水果筐数!$B$5:$B$304,$B82,对接源_01水果筐数!$C$5:$C$304,基础资料!$B$4))</f>
        <v/>
      </c>
      <c r="AG82" s="25" t="str">
        <f>IF(OR($B82="",基础资料!$B$5=""),"",SUMIFS(对接源_01水果筐数!$E$5:$E$304,对接源_01水果筐数!$B$5:$B$304,$B82,对接源_01水果筐数!$C$5:$C$304,基础资料!$B$5))</f>
        <v/>
      </c>
      <c r="AH82" s="25" t="str">
        <f>IF(OR($B82="",基础资料!$B$6=""),"",SUMIFS(对接源_01水果筐数!$E$5:$E$304,对接源_01水果筐数!$B$5:$B$304,$B82,对接源_01水果筐数!$C$5:$C$304,基础资料!$B$6))</f>
        <v/>
      </c>
      <c r="AI82" s="25" t="str">
        <f>IF(OR($B82="",基础资料!$B$7=""),"",SUMIFS(对接源_01水果筐数!$E$5:$E$304,对接源_01水果筐数!$B$5:$B$304,$B82,对接源_01水果筐数!$C$5:$C$304,基础资料!$B$7))</f>
        <v/>
      </c>
      <c r="AJ82" s="25" t="str">
        <f>IF(OR($B82="",基础资料!$B$8=""),"",SUMIFS(对接源_01水果筐数!$E$5:$E$304,对接源_01水果筐数!$B$5:$B$304,$B82,对接源_01水果筐数!$C$5:$C$304,基础资料!$B$8))</f>
        <v/>
      </c>
      <c r="AK82" s="25" t="str">
        <f>IF(OR($B82="",基础资料!$B$4=""),"",SUMIFS(对接源_01水果筐数!$F$5:$F$304,对接源_01水果筐数!$B$5:$B$304,$B82,对接源_01水果筐数!$C$5:$C$304,基础资料!$B$4))</f>
        <v/>
      </c>
      <c r="AL82" s="25" t="str">
        <f>IF(OR($B82="",基础资料!$B$5=""),"",SUMIFS(对接源_01水果筐数!$F$5:$F$304,对接源_01水果筐数!$B$5:$B$304,$B82,对接源_01水果筐数!$C$5:$C$304,基础资料!$B$5))</f>
        <v/>
      </c>
      <c r="AM82" s="25" t="str">
        <f>IF(OR($B82="",基础资料!$B$6=""),"",SUMIFS(对接源_01水果筐数!$F$5:$F$304,对接源_01水果筐数!$B$5:$B$304,$B82,对接源_01水果筐数!$C$5:$C$304,基础资料!$B$6))</f>
        <v/>
      </c>
      <c r="AN82" s="25" t="str">
        <f>IF(OR($B82="",基础资料!$B$7=""),"",SUMIFS(对接源_01水果筐数!$F$5:$F$304,对接源_01水果筐数!$B$5:$B$304,$B82,对接源_01水果筐数!$C$5:$C$304,基础资料!$B$7))</f>
        <v/>
      </c>
      <c r="AO82" s="25" t="str">
        <f>IF(OR($B82="",基础资料!$B$8=""),"",SUMIFS(对接源_01水果筐数!$F$5:$F$304,对接源_01水果筐数!$B$5:$B$304,$B82,对接源_01水果筐数!$C$5:$C$304,基础资料!$B$8))</f>
        <v/>
      </c>
      <c r="AP82" s="25" t="str">
        <f t="shared" si="17"/>
        <v/>
      </c>
      <c r="AQ82" s="25" t="str">
        <f t="shared" si="18"/>
        <v/>
      </c>
      <c r="AR82" s="25" t="str">
        <f t="shared" si="19"/>
        <v/>
      </c>
      <c r="AS82" s="25" t="str">
        <f t="shared" si="20"/>
        <v/>
      </c>
      <c r="AT82" s="25" t="str">
        <f t="shared" si="21"/>
        <v/>
      </c>
      <c r="AU82" s="25" t="str">
        <f t="shared" si="22"/>
        <v/>
      </c>
      <c r="AV82" s="24" t="str">
        <f t="shared" si="23"/>
        <v/>
      </c>
      <c r="AW82" s="72"/>
    </row>
    <row r="83" spans="1:49">
      <c r="A83" s="22" t="str">
        <f t="shared" si="12"/>
        <v/>
      </c>
      <c r="B83" s="24" t="str">
        <f>IFERROR(INDEX(_自动清单!$CC$4:$CC$253,ROW()-3),"")</f>
        <v/>
      </c>
      <c r="C83" s="25" t="str">
        <f>IF(OR($B83="",基础资料!$B$4=""),"",SUMIFS(周转筐出入库明细!$J$4:$J$2004,周转筐出入库明细!$C$4:$C$2004,$B83,周转筐出入库明细!$D$4:$D$2004,基础资料!$B$4,周转筐出入库明细!$B$4:$B$2004,"&gt;="&amp;$BC$1,周转筐出入库明细!$B$4:$B$2004,"&lt;="&amp;$BC$2))</f>
        <v/>
      </c>
      <c r="D83" s="25" t="str">
        <f>IF(OR($B83="",基础资料!$B$5=""),"",SUMIFS(周转筐出入库明细!$J$4:$J$2004,周转筐出入库明细!$C$4:$C$2004,$B83,周转筐出入库明细!$D$4:$D$2004,基础资料!$B$5,周转筐出入库明细!$B$4:$B$2004,"&gt;="&amp;$BC$1,周转筐出入库明细!$B$4:$B$2004,"&lt;="&amp;$BC$2))</f>
        <v/>
      </c>
      <c r="E83" s="25" t="str">
        <f>IF(OR($B83="",基础资料!$B$6=""),"",SUMIFS(周转筐出入库明细!$J$4:$J$2004,周转筐出入库明细!$C$4:$C$2004,$B83,周转筐出入库明细!$D$4:$D$2004,基础资料!$B$6,周转筐出入库明细!$B$4:$B$2004,"&gt;="&amp;$BC$1,周转筐出入库明细!$B$4:$B$2004,"&lt;="&amp;$BC$2))</f>
        <v/>
      </c>
      <c r="F83" s="25" t="str">
        <f>IF(OR($B83="",基础资料!$B$7=""),"",SUMIFS(周转筐出入库明细!$J$4:$J$2004,周转筐出入库明细!$C$4:$C$2004,$B83,周转筐出入库明细!$D$4:$D$2004,基础资料!$B$7,周转筐出入库明细!$B$4:$B$2004,"&gt;="&amp;$BC$1,周转筐出入库明细!$B$4:$B$2004,"&lt;="&amp;$BC$2))</f>
        <v/>
      </c>
      <c r="G83" s="25" t="str">
        <f>IF(OR($B83="",基础资料!$B$8=""),"",SUMIFS(周转筐出入库明细!$J$4:$J$2004,周转筐出入库明细!$C$4:$C$2004,$B83,周转筐出入库明细!$D$4:$D$2004,基础资料!$B$8,周转筐出入库明细!$B$4:$B$2004,"&gt;="&amp;$BC$1,周转筐出入库明细!$B$4:$B$2004,"&lt;="&amp;$BC$2))</f>
        <v/>
      </c>
      <c r="H83" s="25" t="str">
        <f t="shared" si="13"/>
        <v/>
      </c>
      <c r="I83" s="67" t="str">
        <f>IF(OR($B83="",基础资料!$B$4=""),"",-SUMIFS(周转筐出入库明细!$I$4:$I$2004,周转筐出入库明细!$C$4:$C$2004,$B83,周转筐出入库明细!$D$4:$D$2004,基础资料!$B$4,周转筐出入库明细!$B$4:$B$2004,"&gt;="&amp;$BC$1,周转筐出入库明细!$B$4:$B$2004,"&lt;="&amp;$BC$2))</f>
        <v/>
      </c>
      <c r="J83" s="67" t="str">
        <f>IF(OR($B83="",基础资料!$B$5=""),"",-SUMIFS(周转筐出入库明细!$I$4:$I$2004,周转筐出入库明细!$C$4:$C$2004,$B83,周转筐出入库明细!$D$4:$D$2004,基础资料!$B$5,周转筐出入库明细!$B$4:$B$2004,"&gt;="&amp;$BC$1,周转筐出入库明细!$B$4:$B$2004,"&lt;="&amp;$BC$2))</f>
        <v/>
      </c>
      <c r="K83" s="67" t="str">
        <f>IF(OR($B83="",基础资料!$B$6=""),"",-SUMIFS(周转筐出入库明细!$I$4:$I$2004,周转筐出入库明细!$C$4:$C$2004,$B83,周转筐出入库明细!$D$4:$D$2004,基础资料!$B$6,周转筐出入库明细!$B$4:$B$2004,"&gt;="&amp;$BC$1,周转筐出入库明细!$B$4:$B$2004,"&lt;="&amp;$BC$2))</f>
        <v/>
      </c>
      <c r="L83" s="67" t="str">
        <f>IF(OR($B83="",基础资料!$B$7=""),"",-SUMIFS(周转筐出入库明细!$I$4:$I$2004,周转筐出入库明细!$C$4:$C$2004,$B83,周转筐出入库明细!$D$4:$D$2004,基础资料!$B$7,周转筐出入库明细!$B$4:$B$2004,"&gt;="&amp;$BC$1,周转筐出入库明细!$B$4:$B$2004,"&lt;="&amp;$BC$2))</f>
        <v/>
      </c>
      <c r="M83" s="67" t="str">
        <f>IF(OR($B83="",基础资料!$B$8=""),"",-SUMIFS(周转筐出入库明细!$I$4:$I$2004,周转筐出入库明细!$C$4:$C$2004,$B83,周转筐出入库明细!$D$4:$D$2004,基础资料!$B$8,周转筐出入库明细!$B$4:$B$2004,"&gt;="&amp;$BC$1,周转筐出入库明细!$B$4:$B$2004,"&lt;="&amp;$BC$2))</f>
        <v/>
      </c>
      <c r="N83" s="67" t="str">
        <f t="shared" si="14"/>
        <v/>
      </c>
      <c r="O83" s="25" t="str">
        <f>IF(OR($B83="",基础资料!$B$4=""),"",SUMIFS(周转筐出入库明细!$H$4:$H$2004,周转筐出入库明细!$C$4:$C$2004,$B83,周转筐出入库明细!$D$4:$D$2004,基础资料!$B$4,周转筐出入库明细!$F$4:$F$2004,"采购入库",周转筐出入库明细!$B$4:$B$2004,"&gt;="&amp;$BC$1,周转筐出入库明细!$B$4:$B$2004,"&lt;="&amp;$BC$2))</f>
        <v/>
      </c>
      <c r="P83" s="25" t="str">
        <f>IF(OR($B83="",基础资料!$B$5=""),"",SUMIFS(周转筐出入库明细!$H$4:$H$2004,周转筐出入库明细!$C$4:$C$2004,$B83,周转筐出入库明细!$D$4:$D$2004,基础资料!$B$5,周转筐出入库明细!$F$4:$F$2004,"采购入库",周转筐出入库明细!$B$4:$B$2004,"&gt;="&amp;$BC$1,周转筐出入库明细!$B$4:$B$2004,"&lt;="&amp;$BC$2))</f>
        <v/>
      </c>
      <c r="Q83" s="25" t="str">
        <f>IF(OR($B83="",基础资料!$B$6=""),"",SUMIFS(周转筐出入库明细!$H$4:$H$2004,周转筐出入库明细!$C$4:$C$2004,$B83,周转筐出入库明细!$D$4:$D$2004,基础资料!$B$6,周转筐出入库明细!$F$4:$F$2004,"采购入库",周转筐出入库明细!$B$4:$B$2004,"&gt;="&amp;$BC$1,周转筐出入库明细!$B$4:$B$2004,"&lt;="&amp;$BC$2))</f>
        <v/>
      </c>
      <c r="R83" s="25" t="str">
        <f>IF(OR($B83="",基础资料!$B$7=""),"",SUMIFS(周转筐出入库明细!$H$4:$H$2004,周转筐出入库明细!$C$4:$C$2004,$B83,周转筐出入库明细!$D$4:$D$2004,基础资料!$B$7,周转筐出入库明细!$F$4:$F$2004,"采购入库",周转筐出入库明细!$B$4:$B$2004,"&gt;="&amp;$BC$1,周转筐出入库明细!$B$4:$B$2004,"&lt;="&amp;$BC$2))</f>
        <v/>
      </c>
      <c r="S83" s="25" t="str">
        <f>IF(OR($B83="",基础资料!$B$8=""),"",SUMIFS(周转筐出入库明细!$H$4:$H$2004,周转筐出入库明细!$C$4:$C$2004,$B83,周转筐出入库明细!$D$4:$D$2004,基础资料!$B$8,周转筐出入库明细!$F$4:$F$2004,"采购入库",周转筐出入库明细!$B$4:$B$2004,"&gt;="&amp;$BC$1,周转筐出入库明细!$B$4:$B$2004,"&lt;="&amp;$BC$2))</f>
        <v/>
      </c>
      <c r="T83" s="25" t="str">
        <f t="shared" si="15"/>
        <v/>
      </c>
      <c r="U83" s="25" t="str">
        <f>IF(OR($B83="",基础资料!$B$4=""),"",SUMIFS(周转筐出入库明细!$K$4:$K$2004,周转筐出入库明细!$C$4:$C$2004,$B83,周转筐出入库明细!$D$4:$D$2004,基础资料!$B$4,周转筐出入库明细!$B$4:$B$2004,"&gt;="&amp;$BC$1,周转筐出入库明细!$B$4:$B$2004,"&lt;="&amp;$BC$2))</f>
        <v/>
      </c>
      <c r="V83" s="25" t="str">
        <f>IF(OR($B83="",基础资料!$B$5=""),"",SUMIFS(周转筐出入库明细!$K$4:$K$2004,周转筐出入库明细!$C$4:$C$2004,$B83,周转筐出入库明细!$D$4:$D$2004,基础资料!$B$5,周转筐出入库明细!$B$4:$B$2004,"&gt;="&amp;$BC$1,周转筐出入库明细!$B$4:$B$2004,"&lt;="&amp;$BC$2))</f>
        <v/>
      </c>
      <c r="W83" s="25" t="str">
        <f>IF(OR($B83="",基础资料!$B$6=""),"",SUMIFS(周转筐出入库明细!$K$4:$K$2004,周转筐出入库明细!$C$4:$C$2004,$B83,周转筐出入库明细!$D$4:$D$2004,基础资料!$B$6,周转筐出入库明细!$B$4:$B$2004,"&gt;="&amp;$BC$1,周转筐出入库明细!$B$4:$B$2004,"&lt;="&amp;$BC$2))</f>
        <v/>
      </c>
      <c r="X83" s="25" t="str">
        <f>IF(OR($B83="",基础资料!$B$7=""),"",SUMIFS(周转筐出入库明细!$K$4:$K$2004,周转筐出入库明细!$C$4:$C$2004,$B83,周转筐出入库明细!$D$4:$D$2004,基础资料!$B$7,周转筐出入库明细!$B$4:$B$2004,"&gt;="&amp;$BC$1,周转筐出入库明细!$B$4:$B$2004,"&lt;="&amp;$BC$2))</f>
        <v/>
      </c>
      <c r="Y83" s="25" t="str">
        <f>IF(OR($B83="",基础资料!$B$8=""),"",SUMIFS(周转筐出入库明细!$K$4:$K$2004,周转筐出入库明细!$C$4:$C$2004,$B83,周转筐出入库明细!$D$4:$D$2004,基础资料!$B$8,周转筐出入库明细!$B$4:$B$2004,"&gt;="&amp;$BC$1,周转筐出入库明细!$B$4:$B$2004,"&lt;="&amp;$BC$2))</f>
        <v/>
      </c>
      <c r="Z83" s="25" t="str">
        <f t="shared" si="16"/>
        <v/>
      </c>
      <c r="AA83" s="67" t="str">
        <f>IF(OR($B83="",基础资料!$B$4=""),"",-SUMIFS(对接源_01水果筐数!$D$5:$D$304,对接源_01水果筐数!$B$5:$B$304,$B83,对接源_01水果筐数!$C$5:$C$304,基础资料!$B$4))</f>
        <v/>
      </c>
      <c r="AB83" s="67" t="str">
        <f>IF(OR($B83="",基础资料!$B$5=""),"",-SUMIFS(对接源_01水果筐数!$D$5:$D$304,对接源_01水果筐数!$B$5:$B$304,$B83,对接源_01水果筐数!$C$5:$C$304,基础资料!$B$5))</f>
        <v/>
      </c>
      <c r="AC83" s="67" t="str">
        <f>IF(OR($B83="",基础资料!$B$6=""),"",-SUMIFS(对接源_01水果筐数!$D$5:$D$304,对接源_01水果筐数!$B$5:$B$304,$B83,对接源_01水果筐数!$C$5:$C$304,基础资料!$B$6))</f>
        <v/>
      </c>
      <c r="AD83" s="67" t="str">
        <f>IF(OR($B83="",基础资料!$B$7=""),"",-SUMIFS(对接源_01水果筐数!$D$5:$D$304,对接源_01水果筐数!$B$5:$B$304,$B83,对接源_01水果筐数!$C$5:$C$304,基础资料!$B$7))</f>
        <v/>
      </c>
      <c r="AE83" s="67" t="str">
        <f>IF(OR($B83="",基础资料!$B$8=""),"",-SUMIFS(对接源_01水果筐数!$D$5:$D$304,对接源_01水果筐数!$B$5:$B$304,$B83,对接源_01水果筐数!$C$5:$C$304,基础资料!$B$8))</f>
        <v/>
      </c>
      <c r="AF83" s="25" t="str">
        <f>IF(OR($B83="",基础资料!$B$4=""),"",SUMIFS(对接源_01水果筐数!$E$5:$E$304,对接源_01水果筐数!$B$5:$B$304,$B83,对接源_01水果筐数!$C$5:$C$304,基础资料!$B$4))</f>
        <v/>
      </c>
      <c r="AG83" s="25" t="str">
        <f>IF(OR($B83="",基础资料!$B$5=""),"",SUMIFS(对接源_01水果筐数!$E$5:$E$304,对接源_01水果筐数!$B$5:$B$304,$B83,对接源_01水果筐数!$C$5:$C$304,基础资料!$B$5))</f>
        <v/>
      </c>
      <c r="AH83" s="25" t="str">
        <f>IF(OR($B83="",基础资料!$B$6=""),"",SUMIFS(对接源_01水果筐数!$E$5:$E$304,对接源_01水果筐数!$B$5:$B$304,$B83,对接源_01水果筐数!$C$5:$C$304,基础资料!$B$6))</f>
        <v/>
      </c>
      <c r="AI83" s="25" t="str">
        <f>IF(OR($B83="",基础资料!$B$7=""),"",SUMIFS(对接源_01水果筐数!$E$5:$E$304,对接源_01水果筐数!$B$5:$B$304,$B83,对接源_01水果筐数!$C$5:$C$304,基础资料!$B$7))</f>
        <v/>
      </c>
      <c r="AJ83" s="25" t="str">
        <f>IF(OR($B83="",基础资料!$B$8=""),"",SUMIFS(对接源_01水果筐数!$E$5:$E$304,对接源_01水果筐数!$B$5:$B$304,$B83,对接源_01水果筐数!$C$5:$C$304,基础资料!$B$8))</f>
        <v/>
      </c>
      <c r="AK83" s="25" t="str">
        <f>IF(OR($B83="",基础资料!$B$4=""),"",SUMIFS(对接源_01水果筐数!$F$5:$F$304,对接源_01水果筐数!$B$5:$B$304,$B83,对接源_01水果筐数!$C$5:$C$304,基础资料!$B$4))</f>
        <v/>
      </c>
      <c r="AL83" s="25" t="str">
        <f>IF(OR($B83="",基础资料!$B$5=""),"",SUMIFS(对接源_01水果筐数!$F$5:$F$304,对接源_01水果筐数!$B$5:$B$304,$B83,对接源_01水果筐数!$C$5:$C$304,基础资料!$B$5))</f>
        <v/>
      </c>
      <c r="AM83" s="25" t="str">
        <f>IF(OR($B83="",基础资料!$B$6=""),"",SUMIFS(对接源_01水果筐数!$F$5:$F$304,对接源_01水果筐数!$B$5:$B$304,$B83,对接源_01水果筐数!$C$5:$C$304,基础资料!$B$6))</f>
        <v/>
      </c>
      <c r="AN83" s="25" t="str">
        <f>IF(OR($B83="",基础资料!$B$7=""),"",SUMIFS(对接源_01水果筐数!$F$5:$F$304,对接源_01水果筐数!$B$5:$B$304,$B83,对接源_01水果筐数!$C$5:$C$304,基础资料!$B$7))</f>
        <v/>
      </c>
      <c r="AO83" s="25" t="str">
        <f>IF(OR($B83="",基础资料!$B$8=""),"",SUMIFS(对接源_01水果筐数!$F$5:$F$304,对接源_01水果筐数!$B$5:$B$304,$B83,对接源_01水果筐数!$C$5:$C$304,基础资料!$B$8))</f>
        <v/>
      </c>
      <c r="AP83" s="25" t="str">
        <f t="shared" si="17"/>
        <v/>
      </c>
      <c r="AQ83" s="25" t="str">
        <f t="shared" si="18"/>
        <v/>
      </c>
      <c r="AR83" s="25" t="str">
        <f t="shared" si="19"/>
        <v/>
      </c>
      <c r="AS83" s="25" t="str">
        <f t="shared" si="20"/>
        <v/>
      </c>
      <c r="AT83" s="25" t="str">
        <f t="shared" si="21"/>
        <v/>
      </c>
      <c r="AU83" s="25" t="str">
        <f t="shared" si="22"/>
        <v/>
      </c>
      <c r="AV83" s="24" t="str">
        <f t="shared" si="23"/>
        <v/>
      </c>
      <c r="AW83" s="72"/>
    </row>
    <row r="84" spans="1:49">
      <c r="A84" s="22" t="str">
        <f t="shared" si="12"/>
        <v/>
      </c>
      <c r="B84" s="24" t="str">
        <f>IFERROR(INDEX(_自动清单!$CC$4:$CC$253,ROW()-3),"")</f>
        <v/>
      </c>
      <c r="C84" s="25" t="str">
        <f>IF(OR($B84="",基础资料!$B$4=""),"",SUMIFS(周转筐出入库明细!$J$4:$J$2004,周转筐出入库明细!$C$4:$C$2004,$B84,周转筐出入库明细!$D$4:$D$2004,基础资料!$B$4,周转筐出入库明细!$B$4:$B$2004,"&gt;="&amp;$BC$1,周转筐出入库明细!$B$4:$B$2004,"&lt;="&amp;$BC$2))</f>
        <v/>
      </c>
      <c r="D84" s="25" t="str">
        <f>IF(OR($B84="",基础资料!$B$5=""),"",SUMIFS(周转筐出入库明细!$J$4:$J$2004,周转筐出入库明细!$C$4:$C$2004,$B84,周转筐出入库明细!$D$4:$D$2004,基础资料!$B$5,周转筐出入库明细!$B$4:$B$2004,"&gt;="&amp;$BC$1,周转筐出入库明细!$B$4:$B$2004,"&lt;="&amp;$BC$2))</f>
        <v/>
      </c>
      <c r="E84" s="25" t="str">
        <f>IF(OR($B84="",基础资料!$B$6=""),"",SUMIFS(周转筐出入库明细!$J$4:$J$2004,周转筐出入库明细!$C$4:$C$2004,$B84,周转筐出入库明细!$D$4:$D$2004,基础资料!$B$6,周转筐出入库明细!$B$4:$B$2004,"&gt;="&amp;$BC$1,周转筐出入库明细!$B$4:$B$2004,"&lt;="&amp;$BC$2))</f>
        <v/>
      </c>
      <c r="F84" s="25" t="str">
        <f>IF(OR($B84="",基础资料!$B$7=""),"",SUMIFS(周转筐出入库明细!$J$4:$J$2004,周转筐出入库明细!$C$4:$C$2004,$B84,周转筐出入库明细!$D$4:$D$2004,基础资料!$B$7,周转筐出入库明细!$B$4:$B$2004,"&gt;="&amp;$BC$1,周转筐出入库明细!$B$4:$B$2004,"&lt;="&amp;$BC$2))</f>
        <v/>
      </c>
      <c r="G84" s="25" t="str">
        <f>IF(OR($B84="",基础资料!$B$8=""),"",SUMIFS(周转筐出入库明细!$J$4:$J$2004,周转筐出入库明细!$C$4:$C$2004,$B84,周转筐出入库明细!$D$4:$D$2004,基础资料!$B$8,周转筐出入库明细!$B$4:$B$2004,"&gt;="&amp;$BC$1,周转筐出入库明细!$B$4:$B$2004,"&lt;="&amp;$BC$2))</f>
        <v/>
      </c>
      <c r="H84" s="25" t="str">
        <f t="shared" si="13"/>
        <v/>
      </c>
      <c r="I84" s="67" t="str">
        <f>IF(OR($B84="",基础资料!$B$4=""),"",-SUMIFS(周转筐出入库明细!$I$4:$I$2004,周转筐出入库明细!$C$4:$C$2004,$B84,周转筐出入库明细!$D$4:$D$2004,基础资料!$B$4,周转筐出入库明细!$B$4:$B$2004,"&gt;="&amp;$BC$1,周转筐出入库明细!$B$4:$B$2004,"&lt;="&amp;$BC$2))</f>
        <v/>
      </c>
      <c r="J84" s="67" t="str">
        <f>IF(OR($B84="",基础资料!$B$5=""),"",-SUMIFS(周转筐出入库明细!$I$4:$I$2004,周转筐出入库明细!$C$4:$C$2004,$B84,周转筐出入库明细!$D$4:$D$2004,基础资料!$B$5,周转筐出入库明细!$B$4:$B$2004,"&gt;="&amp;$BC$1,周转筐出入库明细!$B$4:$B$2004,"&lt;="&amp;$BC$2))</f>
        <v/>
      </c>
      <c r="K84" s="67" t="str">
        <f>IF(OR($B84="",基础资料!$B$6=""),"",-SUMIFS(周转筐出入库明细!$I$4:$I$2004,周转筐出入库明细!$C$4:$C$2004,$B84,周转筐出入库明细!$D$4:$D$2004,基础资料!$B$6,周转筐出入库明细!$B$4:$B$2004,"&gt;="&amp;$BC$1,周转筐出入库明细!$B$4:$B$2004,"&lt;="&amp;$BC$2))</f>
        <v/>
      </c>
      <c r="L84" s="67" t="str">
        <f>IF(OR($B84="",基础资料!$B$7=""),"",-SUMIFS(周转筐出入库明细!$I$4:$I$2004,周转筐出入库明细!$C$4:$C$2004,$B84,周转筐出入库明细!$D$4:$D$2004,基础资料!$B$7,周转筐出入库明细!$B$4:$B$2004,"&gt;="&amp;$BC$1,周转筐出入库明细!$B$4:$B$2004,"&lt;="&amp;$BC$2))</f>
        <v/>
      </c>
      <c r="M84" s="67" t="str">
        <f>IF(OR($B84="",基础资料!$B$8=""),"",-SUMIFS(周转筐出入库明细!$I$4:$I$2004,周转筐出入库明细!$C$4:$C$2004,$B84,周转筐出入库明细!$D$4:$D$2004,基础资料!$B$8,周转筐出入库明细!$B$4:$B$2004,"&gt;="&amp;$BC$1,周转筐出入库明细!$B$4:$B$2004,"&lt;="&amp;$BC$2))</f>
        <v/>
      </c>
      <c r="N84" s="67" t="str">
        <f t="shared" si="14"/>
        <v/>
      </c>
      <c r="O84" s="25" t="str">
        <f>IF(OR($B84="",基础资料!$B$4=""),"",SUMIFS(周转筐出入库明细!$H$4:$H$2004,周转筐出入库明细!$C$4:$C$2004,$B84,周转筐出入库明细!$D$4:$D$2004,基础资料!$B$4,周转筐出入库明细!$F$4:$F$2004,"采购入库",周转筐出入库明细!$B$4:$B$2004,"&gt;="&amp;$BC$1,周转筐出入库明细!$B$4:$B$2004,"&lt;="&amp;$BC$2))</f>
        <v/>
      </c>
      <c r="P84" s="25" t="str">
        <f>IF(OR($B84="",基础资料!$B$5=""),"",SUMIFS(周转筐出入库明细!$H$4:$H$2004,周转筐出入库明细!$C$4:$C$2004,$B84,周转筐出入库明细!$D$4:$D$2004,基础资料!$B$5,周转筐出入库明细!$F$4:$F$2004,"采购入库",周转筐出入库明细!$B$4:$B$2004,"&gt;="&amp;$BC$1,周转筐出入库明细!$B$4:$B$2004,"&lt;="&amp;$BC$2))</f>
        <v/>
      </c>
      <c r="Q84" s="25" t="str">
        <f>IF(OR($B84="",基础资料!$B$6=""),"",SUMIFS(周转筐出入库明细!$H$4:$H$2004,周转筐出入库明细!$C$4:$C$2004,$B84,周转筐出入库明细!$D$4:$D$2004,基础资料!$B$6,周转筐出入库明细!$F$4:$F$2004,"采购入库",周转筐出入库明细!$B$4:$B$2004,"&gt;="&amp;$BC$1,周转筐出入库明细!$B$4:$B$2004,"&lt;="&amp;$BC$2))</f>
        <v/>
      </c>
      <c r="R84" s="25" t="str">
        <f>IF(OR($B84="",基础资料!$B$7=""),"",SUMIFS(周转筐出入库明细!$H$4:$H$2004,周转筐出入库明细!$C$4:$C$2004,$B84,周转筐出入库明细!$D$4:$D$2004,基础资料!$B$7,周转筐出入库明细!$F$4:$F$2004,"采购入库",周转筐出入库明细!$B$4:$B$2004,"&gt;="&amp;$BC$1,周转筐出入库明细!$B$4:$B$2004,"&lt;="&amp;$BC$2))</f>
        <v/>
      </c>
      <c r="S84" s="25" t="str">
        <f>IF(OR($B84="",基础资料!$B$8=""),"",SUMIFS(周转筐出入库明细!$H$4:$H$2004,周转筐出入库明细!$C$4:$C$2004,$B84,周转筐出入库明细!$D$4:$D$2004,基础资料!$B$8,周转筐出入库明细!$F$4:$F$2004,"采购入库",周转筐出入库明细!$B$4:$B$2004,"&gt;="&amp;$BC$1,周转筐出入库明细!$B$4:$B$2004,"&lt;="&amp;$BC$2))</f>
        <v/>
      </c>
      <c r="T84" s="25" t="str">
        <f t="shared" si="15"/>
        <v/>
      </c>
      <c r="U84" s="25" t="str">
        <f>IF(OR($B84="",基础资料!$B$4=""),"",SUMIFS(周转筐出入库明细!$K$4:$K$2004,周转筐出入库明细!$C$4:$C$2004,$B84,周转筐出入库明细!$D$4:$D$2004,基础资料!$B$4,周转筐出入库明细!$B$4:$B$2004,"&gt;="&amp;$BC$1,周转筐出入库明细!$B$4:$B$2004,"&lt;="&amp;$BC$2))</f>
        <v/>
      </c>
      <c r="V84" s="25" t="str">
        <f>IF(OR($B84="",基础资料!$B$5=""),"",SUMIFS(周转筐出入库明细!$K$4:$K$2004,周转筐出入库明细!$C$4:$C$2004,$B84,周转筐出入库明细!$D$4:$D$2004,基础资料!$B$5,周转筐出入库明细!$B$4:$B$2004,"&gt;="&amp;$BC$1,周转筐出入库明细!$B$4:$B$2004,"&lt;="&amp;$BC$2))</f>
        <v/>
      </c>
      <c r="W84" s="25" t="str">
        <f>IF(OR($B84="",基础资料!$B$6=""),"",SUMIFS(周转筐出入库明细!$K$4:$K$2004,周转筐出入库明细!$C$4:$C$2004,$B84,周转筐出入库明细!$D$4:$D$2004,基础资料!$B$6,周转筐出入库明细!$B$4:$B$2004,"&gt;="&amp;$BC$1,周转筐出入库明细!$B$4:$B$2004,"&lt;="&amp;$BC$2))</f>
        <v/>
      </c>
      <c r="X84" s="25" t="str">
        <f>IF(OR($B84="",基础资料!$B$7=""),"",SUMIFS(周转筐出入库明细!$K$4:$K$2004,周转筐出入库明细!$C$4:$C$2004,$B84,周转筐出入库明细!$D$4:$D$2004,基础资料!$B$7,周转筐出入库明细!$B$4:$B$2004,"&gt;="&amp;$BC$1,周转筐出入库明细!$B$4:$B$2004,"&lt;="&amp;$BC$2))</f>
        <v/>
      </c>
      <c r="Y84" s="25" t="str">
        <f>IF(OR($B84="",基础资料!$B$8=""),"",SUMIFS(周转筐出入库明细!$K$4:$K$2004,周转筐出入库明细!$C$4:$C$2004,$B84,周转筐出入库明细!$D$4:$D$2004,基础资料!$B$8,周转筐出入库明细!$B$4:$B$2004,"&gt;="&amp;$BC$1,周转筐出入库明细!$B$4:$B$2004,"&lt;="&amp;$BC$2))</f>
        <v/>
      </c>
      <c r="Z84" s="25" t="str">
        <f t="shared" si="16"/>
        <v/>
      </c>
      <c r="AA84" s="67" t="str">
        <f>IF(OR($B84="",基础资料!$B$4=""),"",-SUMIFS(对接源_01水果筐数!$D$5:$D$304,对接源_01水果筐数!$B$5:$B$304,$B84,对接源_01水果筐数!$C$5:$C$304,基础资料!$B$4))</f>
        <v/>
      </c>
      <c r="AB84" s="67" t="str">
        <f>IF(OR($B84="",基础资料!$B$5=""),"",-SUMIFS(对接源_01水果筐数!$D$5:$D$304,对接源_01水果筐数!$B$5:$B$304,$B84,对接源_01水果筐数!$C$5:$C$304,基础资料!$B$5))</f>
        <v/>
      </c>
      <c r="AC84" s="67" t="str">
        <f>IF(OR($B84="",基础资料!$B$6=""),"",-SUMIFS(对接源_01水果筐数!$D$5:$D$304,对接源_01水果筐数!$B$5:$B$304,$B84,对接源_01水果筐数!$C$5:$C$304,基础资料!$B$6))</f>
        <v/>
      </c>
      <c r="AD84" s="67" t="str">
        <f>IF(OR($B84="",基础资料!$B$7=""),"",-SUMIFS(对接源_01水果筐数!$D$5:$D$304,对接源_01水果筐数!$B$5:$B$304,$B84,对接源_01水果筐数!$C$5:$C$304,基础资料!$B$7))</f>
        <v/>
      </c>
      <c r="AE84" s="67" t="str">
        <f>IF(OR($B84="",基础资料!$B$8=""),"",-SUMIFS(对接源_01水果筐数!$D$5:$D$304,对接源_01水果筐数!$B$5:$B$304,$B84,对接源_01水果筐数!$C$5:$C$304,基础资料!$B$8))</f>
        <v/>
      </c>
      <c r="AF84" s="25" t="str">
        <f>IF(OR($B84="",基础资料!$B$4=""),"",SUMIFS(对接源_01水果筐数!$E$5:$E$304,对接源_01水果筐数!$B$5:$B$304,$B84,对接源_01水果筐数!$C$5:$C$304,基础资料!$B$4))</f>
        <v/>
      </c>
      <c r="AG84" s="25" t="str">
        <f>IF(OR($B84="",基础资料!$B$5=""),"",SUMIFS(对接源_01水果筐数!$E$5:$E$304,对接源_01水果筐数!$B$5:$B$304,$B84,对接源_01水果筐数!$C$5:$C$304,基础资料!$B$5))</f>
        <v/>
      </c>
      <c r="AH84" s="25" t="str">
        <f>IF(OR($B84="",基础资料!$B$6=""),"",SUMIFS(对接源_01水果筐数!$E$5:$E$304,对接源_01水果筐数!$B$5:$B$304,$B84,对接源_01水果筐数!$C$5:$C$304,基础资料!$B$6))</f>
        <v/>
      </c>
      <c r="AI84" s="25" t="str">
        <f>IF(OR($B84="",基础资料!$B$7=""),"",SUMIFS(对接源_01水果筐数!$E$5:$E$304,对接源_01水果筐数!$B$5:$B$304,$B84,对接源_01水果筐数!$C$5:$C$304,基础资料!$B$7))</f>
        <v/>
      </c>
      <c r="AJ84" s="25" t="str">
        <f>IF(OR($B84="",基础资料!$B$8=""),"",SUMIFS(对接源_01水果筐数!$E$5:$E$304,对接源_01水果筐数!$B$5:$B$304,$B84,对接源_01水果筐数!$C$5:$C$304,基础资料!$B$8))</f>
        <v/>
      </c>
      <c r="AK84" s="25" t="str">
        <f>IF(OR($B84="",基础资料!$B$4=""),"",SUMIFS(对接源_01水果筐数!$F$5:$F$304,对接源_01水果筐数!$B$5:$B$304,$B84,对接源_01水果筐数!$C$5:$C$304,基础资料!$B$4))</f>
        <v/>
      </c>
      <c r="AL84" s="25" t="str">
        <f>IF(OR($B84="",基础资料!$B$5=""),"",SUMIFS(对接源_01水果筐数!$F$5:$F$304,对接源_01水果筐数!$B$5:$B$304,$B84,对接源_01水果筐数!$C$5:$C$304,基础资料!$B$5))</f>
        <v/>
      </c>
      <c r="AM84" s="25" t="str">
        <f>IF(OR($B84="",基础资料!$B$6=""),"",SUMIFS(对接源_01水果筐数!$F$5:$F$304,对接源_01水果筐数!$B$5:$B$304,$B84,对接源_01水果筐数!$C$5:$C$304,基础资料!$B$6))</f>
        <v/>
      </c>
      <c r="AN84" s="25" t="str">
        <f>IF(OR($B84="",基础资料!$B$7=""),"",SUMIFS(对接源_01水果筐数!$F$5:$F$304,对接源_01水果筐数!$B$5:$B$304,$B84,对接源_01水果筐数!$C$5:$C$304,基础资料!$B$7))</f>
        <v/>
      </c>
      <c r="AO84" s="25" t="str">
        <f>IF(OR($B84="",基础资料!$B$8=""),"",SUMIFS(对接源_01水果筐数!$F$5:$F$304,对接源_01水果筐数!$B$5:$B$304,$B84,对接源_01水果筐数!$C$5:$C$304,基础资料!$B$8))</f>
        <v/>
      </c>
      <c r="AP84" s="25" t="str">
        <f t="shared" si="17"/>
        <v/>
      </c>
      <c r="AQ84" s="25" t="str">
        <f t="shared" si="18"/>
        <v/>
      </c>
      <c r="AR84" s="25" t="str">
        <f t="shared" si="19"/>
        <v/>
      </c>
      <c r="AS84" s="25" t="str">
        <f t="shared" si="20"/>
        <v/>
      </c>
      <c r="AT84" s="25" t="str">
        <f t="shared" si="21"/>
        <v/>
      </c>
      <c r="AU84" s="25" t="str">
        <f t="shared" si="22"/>
        <v/>
      </c>
      <c r="AV84" s="24" t="str">
        <f t="shared" si="23"/>
        <v/>
      </c>
      <c r="AW84" s="72"/>
    </row>
    <row r="85" spans="1:49">
      <c r="A85" s="22" t="str">
        <f t="shared" si="12"/>
        <v/>
      </c>
      <c r="B85" s="24" t="str">
        <f>IFERROR(INDEX(_自动清单!$CC$4:$CC$253,ROW()-3),"")</f>
        <v/>
      </c>
      <c r="C85" s="25" t="str">
        <f>IF(OR($B85="",基础资料!$B$4=""),"",SUMIFS(周转筐出入库明细!$J$4:$J$2004,周转筐出入库明细!$C$4:$C$2004,$B85,周转筐出入库明细!$D$4:$D$2004,基础资料!$B$4,周转筐出入库明细!$B$4:$B$2004,"&gt;="&amp;$BC$1,周转筐出入库明细!$B$4:$B$2004,"&lt;="&amp;$BC$2))</f>
        <v/>
      </c>
      <c r="D85" s="25" t="str">
        <f>IF(OR($B85="",基础资料!$B$5=""),"",SUMIFS(周转筐出入库明细!$J$4:$J$2004,周转筐出入库明细!$C$4:$C$2004,$B85,周转筐出入库明细!$D$4:$D$2004,基础资料!$B$5,周转筐出入库明细!$B$4:$B$2004,"&gt;="&amp;$BC$1,周转筐出入库明细!$B$4:$B$2004,"&lt;="&amp;$BC$2))</f>
        <v/>
      </c>
      <c r="E85" s="25" t="str">
        <f>IF(OR($B85="",基础资料!$B$6=""),"",SUMIFS(周转筐出入库明细!$J$4:$J$2004,周转筐出入库明细!$C$4:$C$2004,$B85,周转筐出入库明细!$D$4:$D$2004,基础资料!$B$6,周转筐出入库明细!$B$4:$B$2004,"&gt;="&amp;$BC$1,周转筐出入库明细!$B$4:$B$2004,"&lt;="&amp;$BC$2))</f>
        <v/>
      </c>
      <c r="F85" s="25" t="str">
        <f>IF(OR($B85="",基础资料!$B$7=""),"",SUMIFS(周转筐出入库明细!$J$4:$J$2004,周转筐出入库明细!$C$4:$C$2004,$B85,周转筐出入库明细!$D$4:$D$2004,基础资料!$B$7,周转筐出入库明细!$B$4:$B$2004,"&gt;="&amp;$BC$1,周转筐出入库明细!$B$4:$B$2004,"&lt;="&amp;$BC$2))</f>
        <v/>
      </c>
      <c r="G85" s="25" t="str">
        <f>IF(OR($B85="",基础资料!$B$8=""),"",SUMIFS(周转筐出入库明细!$J$4:$J$2004,周转筐出入库明细!$C$4:$C$2004,$B85,周转筐出入库明细!$D$4:$D$2004,基础资料!$B$8,周转筐出入库明细!$B$4:$B$2004,"&gt;="&amp;$BC$1,周转筐出入库明细!$B$4:$B$2004,"&lt;="&amp;$BC$2))</f>
        <v/>
      </c>
      <c r="H85" s="25" t="str">
        <f t="shared" si="13"/>
        <v/>
      </c>
      <c r="I85" s="67" t="str">
        <f>IF(OR($B85="",基础资料!$B$4=""),"",-SUMIFS(周转筐出入库明细!$I$4:$I$2004,周转筐出入库明细!$C$4:$C$2004,$B85,周转筐出入库明细!$D$4:$D$2004,基础资料!$B$4,周转筐出入库明细!$B$4:$B$2004,"&gt;="&amp;$BC$1,周转筐出入库明细!$B$4:$B$2004,"&lt;="&amp;$BC$2))</f>
        <v/>
      </c>
      <c r="J85" s="67" t="str">
        <f>IF(OR($B85="",基础资料!$B$5=""),"",-SUMIFS(周转筐出入库明细!$I$4:$I$2004,周转筐出入库明细!$C$4:$C$2004,$B85,周转筐出入库明细!$D$4:$D$2004,基础资料!$B$5,周转筐出入库明细!$B$4:$B$2004,"&gt;="&amp;$BC$1,周转筐出入库明细!$B$4:$B$2004,"&lt;="&amp;$BC$2))</f>
        <v/>
      </c>
      <c r="K85" s="67" t="str">
        <f>IF(OR($B85="",基础资料!$B$6=""),"",-SUMIFS(周转筐出入库明细!$I$4:$I$2004,周转筐出入库明细!$C$4:$C$2004,$B85,周转筐出入库明细!$D$4:$D$2004,基础资料!$B$6,周转筐出入库明细!$B$4:$B$2004,"&gt;="&amp;$BC$1,周转筐出入库明细!$B$4:$B$2004,"&lt;="&amp;$BC$2))</f>
        <v/>
      </c>
      <c r="L85" s="67" t="str">
        <f>IF(OR($B85="",基础资料!$B$7=""),"",-SUMIFS(周转筐出入库明细!$I$4:$I$2004,周转筐出入库明细!$C$4:$C$2004,$B85,周转筐出入库明细!$D$4:$D$2004,基础资料!$B$7,周转筐出入库明细!$B$4:$B$2004,"&gt;="&amp;$BC$1,周转筐出入库明细!$B$4:$B$2004,"&lt;="&amp;$BC$2))</f>
        <v/>
      </c>
      <c r="M85" s="67" t="str">
        <f>IF(OR($B85="",基础资料!$B$8=""),"",-SUMIFS(周转筐出入库明细!$I$4:$I$2004,周转筐出入库明细!$C$4:$C$2004,$B85,周转筐出入库明细!$D$4:$D$2004,基础资料!$B$8,周转筐出入库明细!$B$4:$B$2004,"&gt;="&amp;$BC$1,周转筐出入库明细!$B$4:$B$2004,"&lt;="&amp;$BC$2))</f>
        <v/>
      </c>
      <c r="N85" s="67" t="str">
        <f t="shared" si="14"/>
        <v/>
      </c>
      <c r="O85" s="25" t="str">
        <f>IF(OR($B85="",基础资料!$B$4=""),"",SUMIFS(周转筐出入库明细!$H$4:$H$2004,周转筐出入库明细!$C$4:$C$2004,$B85,周转筐出入库明细!$D$4:$D$2004,基础资料!$B$4,周转筐出入库明细!$F$4:$F$2004,"采购入库",周转筐出入库明细!$B$4:$B$2004,"&gt;="&amp;$BC$1,周转筐出入库明细!$B$4:$B$2004,"&lt;="&amp;$BC$2))</f>
        <v/>
      </c>
      <c r="P85" s="25" t="str">
        <f>IF(OR($B85="",基础资料!$B$5=""),"",SUMIFS(周转筐出入库明细!$H$4:$H$2004,周转筐出入库明细!$C$4:$C$2004,$B85,周转筐出入库明细!$D$4:$D$2004,基础资料!$B$5,周转筐出入库明细!$F$4:$F$2004,"采购入库",周转筐出入库明细!$B$4:$B$2004,"&gt;="&amp;$BC$1,周转筐出入库明细!$B$4:$B$2004,"&lt;="&amp;$BC$2))</f>
        <v/>
      </c>
      <c r="Q85" s="25" t="str">
        <f>IF(OR($B85="",基础资料!$B$6=""),"",SUMIFS(周转筐出入库明细!$H$4:$H$2004,周转筐出入库明细!$C$4:$C$2004,$B85,周转筐出入库明细!$D$4:$D$2004,基础资料!$B$6,周转筐出入库明细!$F$4:$F$2004,"采购入库",周转筐出入库明细!$B$4:$B$2004,"&gt;="&amp;$BC$1,周转筐出入库明细!$B$4:$B$2004,"&lt;="&amp;$BC$2))</f>
        <v/>
      </c>
      <c r="R85" s="25" t="str">
        <f>IF(OR($B85="",基础资料!$B$7=""),"",SUMIFS(周转筐出入库明细!$H$4:$H$2004,周转筐出入库明细!$C$4:$C$2004,$B85,周转筐出入库明细!$D$4:$D$2004,基础资料!$B$7,周转筐出入库明细!$F$4:$F$2004,"采购入库",周转筐出入库明细!$B$4:$B$2004,"&gt;="&amp;$BC$1,周转筐出入库明细!$B$4:$B$2004,"&lt;="&amp;$BC$2))</f>
        <v/>
      </c>
      <c r="S85" s="25" t="str">
        <f>IF(OR($B85="",基础资料!$B$8=""),"",SUMIFS(周转筐出入库明细!$H$4:$H$2004,周转筐出入库明细!$C$4:$C$2004,$B85,周转筐出入库明细!$D$4:$D$2004,基础资料!$B$8,周转筐出入库明细!$F$4:$F$2004,"采购入库",周转筐出入库明细!$B$4:$B$2004,"&gt;="&amp;$BC$1,周转筐出入库明细!$B$4:$B$2004,"&lt;="&amp;$BC$2))</f>
        <v/>
      </c>
      <c r="T85" s="25" t="str">
        <f t="shared" si="15"/>
        <v/>
      </c>
      <c r="U85" s="25" t="str">
        <f>IF(OR($B85="",基础资料!$B$4=""),"",SUMIFS(周转筐出入库明细!$K$4:$K$2004,周转筐出入库明细!$C$4:$C$2004,$B85,周转筐出入库明细!$D$4:$D$2004,基础资料!$B$4,周转筐出入库明细!$B$4:$B$2004,"&gt;="&amp;$BC$1,周转筐出入库明细!$B$4:$B$2004,"&lt;="&amp;$BC$2))</f>
        <v/>
      </c>
      <c r="V85" s="25" t="str">
        <f>IF(OR($B85="",基础资料!$B$5=""),"",SUMIFS(周转筐出入库明细!$K$4:$K$2004,周转筐出入库明细!$C$4:$C$2004,$B85,周转筐出入库明细!$D$4:$D$2004,基础资料!$B$5,周转筐出入库明细!$B$4:$B$2004,"&gt;="&amp;$BC$1,周转筐出入库明细!$B$4:$B$2004,"&lt;="&amp;$BC$2))</f>
        <v/>
      </c>
      <c r="W85" s="25" t="str">
        <f>IF(OR($B85="",基础资料!$B$6=""),"",SUMIFS(周转筐出入库明细!$K$4:$K$2004,周转筐出入库明细!$C$4:$C$2004,$B85,周转筐出入库明细!$D$4:$D$2004,基础资料!$B$6,周转筐出入库明细!$B$4:$B$2004,"&gt;="&amp;$BC$1,周转筐出入库明细!$B$4:$B$2004,"&lt;="&amp;$BC$2))</f>
        <v/>
      </c>
      <c r="X85" s="25" t="str">
        <f>IF(OR($B85="",基础资料!$B$7=""),"",SUMIFS(周转筐出入库明细!$K$4:$K$2004,周转筐出入库明细!$C$4:$C$2004,$B85,周转筐出入库明细!$D$4:$D$2004,基础资料!$B$7,周转筐出入库明细!$B$4:$B$2004,"&gt;="&amp;$BC$1,周转筐出入库明细!$B$4:$B$2004,"&lt;="&amp;$BC$2))</f>
        <v/>
      </c>
      <c r="Y85" s="25" t="str">
        <f>IF(OR($B85="",基础资料!$B$8=""),"",SUMIFS(周转筐出入库明细!$K$4:$K$2004,周转筐出入库明细!$C$4:$C$2004,$B85,周转筐出入库明细!$D$4:$D$2004,基础资料!$B$8,周转筐出入库明细!$B$4:$B$2004,"&gt;="&amp;$BC$1,周转筐出入库明细!$B$4:$B$2004,"&lt;="&amp;$BC$2))</f>
        <v/>
      </c>
      <c r="Z85" s="25" t="str">
        <f t="shared" si="16"/>
        <v/>
      </c>
      <c r="AA85" s="67" t="str">
        <f>IF(OR($B85="",基础资料!$B$4=""),"",-SUMIFS(对接源_01水果筐数!$D$5:$D$304,对接源_01水果筐数!$B$5:$B$304,$B85,对接源_01水果筐数!$C$5:$C$304,基础资料!$B$4))</f>
        <v/>
      </c>
      <c r="AB85" s="67" t="str">
        <f>IF(OR($B85="",基础资料!$B$5=""),"",-SUMIFS(对接源_01水果筐数!$D$5:$D$304,对接源_01水果筐数!$B$5:$B$304,$B85,对接源_01水果筐数!$C$5:$C$304,基础资料!$B$5))</f>
        <v/>
      </c>
      <c r="AC85" s="67" t="str">
        <f>IF(OR($B85="",基础资料!$B$6=""),"",-SUMIFS(对接源_01水果筐数!$D$5:$D$304,对接源_01水果筐数!$B$5:$B$304,$B85,对接源_01水果筐数!$C$5:$C$304,基础资料!$B$6))</f>
        <v/>
      </c>
      <c r="AD85" s="67" t="str">
        <f>IF(OR($B85="",基础资料!$B$7=""),"",-SUMIFS(对接源_01水果筐数!$D$5:$D$304,对接源_01水果筐数!$B$5:$B$304,$B85,对接源_01水果筐数!$C$5:$C$304,基础资料!$B$7))</f>
        <v/>
      </c>
      <c r="AE85" s="67" t="str">
        <f>IF(OR($B85="",基础资料!$B$8=""),"",-SUMIFS(对接源_01水果筐数!$D$5:$D$304,对接源_01水果筐数!$B$5:$B$304,$B85,对接源_01水果筐数!$C$5:$C$304,基础资料!$B$8))</f>
        <v/>
      </c>
      <c r="AF85" s="25" t="str">
        <f>IF(OR($B85="",基础资料!$B$4=""),"",SUMIFS(对接源_01水果筐数!$E$5:$E$304,对接源_01水果筐数!$B$5:$B$304,$B85,对接源_01水果筐数!$C$5:$C$304,基础资料!$B$4))</f>
        <v/>
      </c>
      <c r="AG85" s="25" t="str">
        <f>IF(OR($B85="",基础资料!$B$5=""),"",SUMIFS(对接源_01水果筐数!$E$5:$E$304,对接源_01水果筐数!$B$5:$B$304,$B85,对接源_01水果筐数!$C$5:$C$304,基础资料!$B$5))</f>
        <v/>
      </c>
      <c r="AH85" s="25" t="str">
        <f>IF(OR($B85="",基础资料!$B$6=""),"",SUMIFS(对接源_01水果筐数!$E$5:$E$304,对接源_01水果筐数!$B$5:$B$304,$B85,对接源_01水果筐数!$C$5:$C$304,基础资料!$B$6))</f>
        <v/>
      </c>
      <c r="AI85" s="25" t="str">
        <f>IF(OR($B85="",基础资料!$B$7=""),"",SUMIFS(对接源_01水果筐数!$E$5:$E$304,对接源_01水果筐数!$B$5:$B$304,$B85,对接源_01水果筐数!$C$5:$C$304,基础资料!$B$7))</f>
        <v/>
      </c>
      <c r="AJ85" s="25" t="str">
        <f>IF(OR($B85="",基础资料!$B$8=""),"",SUMIFS(对接源_01水果筐数!$E$5:$E$304,对接源_01水果筐数!$B$5:$B$304,$B85,对接源_01水果筐数!$C$5:$C$304,基础资料!$B$8))</f>
        <v/>
      </c>
      <c r="AK85" s="25" t="str">
        <f>IF(OR($B85="",基础资料!$B$4=""),"",SUMIFS(对接源_01水果筐数!$F$5:$F$304,对接源_01水果筐数!$B$5:$B$304,$B85,对接源_01水果筐数!$C$5:$C$304,基础资料!$B$4))</f>
        <v/>
      </c>
      <c r="AL85" s="25" t="str">
        <f>IF(OR($B85="",基础资料!$B$5=""),"",SUMIFS(对接源_01水果筐数!$F$5:$F$304,对接源_01水果筐数!$B$5:$B$304,$B85,对接源_01水果筐数!$C$5:$C$304,基础资料!$B$5))</f>
        <v/>
      </c>
      <c r="AM85" s="25" t="str">
        <f>IF(OR($B85="",基础资料!$B$6=""),"",SUMIFS(对接源_01水果筐数!$F$5:$F$304,对接源_01水果筐数!$B$5:$B$304,$B85,对接源_01水果筐数!$C$5:$C$304,基础资料!$B$6))</f>
        <v/>
      </c>
      <c r="AN85" s="25" t="str">
        <f>IF(OR($B85="",基础资料!$B$7=""),"",SUMIFS(对接源_01水果筐数!$F$5:$F$304,对接源_01水果筐数!$B$5:$B$304,$B85,对接源_01水果筐数!$C$5:$C$304,基础资料!$B$7))</f>
        <v/>
      </c>
      <c r="AO85" s="25" t="str">
        <f>IF(OR($B85="",基础资料!$B$8=""),"",SUMIFS(对接源_01水果筐数!$F$5:$F$304,对接源_01水果筐数!$B$5:$B$304,$B85,对接源_01水果筐数!$C$5:$C$304,基础资料!$B$8))</f>
        <v/>
      </c>
      <c r="AP85" s="25" t="str">
        <f t="shared" si="17"/>
        <v/>
      </c>
      <c r="AQ85" s="25" t="str">
        <f t="shared" si="18"/>
        <v/>
      </c>
      <c r="AR85" s="25" t="str">
        <f t="shared" si="19"/>
        <v/>
      </c>
      <c r="AS85" s="25" t="str">
        <f t="shared" si="20"/>
        <v/>
      </c>
      <c r="AT85" s="25" t="str">
        <f t="shared" si="21"/>
        <v/>
      </c>
      <c r="AU85" s="25" t="str">
        <f t="shared" si="22"/>
        <v/>
      </c>
      <c r="AV85" s="24" t="str">
        <f t="shared" si="23"/>
        <v/>
      </c>
      <c r="AW85" s="72"/>
    </row>
    <row r="86" spans="1:49">
      <c r="A86" s="22" t="str">
        <f t="shared" si="12"/>
        <v/>
      </c>
      <c r="B86" s="24" t="str">
        <f>IFERROR(INDEX(_自动清单!$CC$4:$CC$253,ROW()-3),"")</f>
        <v/>
      </c>
      <c r="C86" s="25" t="str">
        <f>IF(OR($B86="",基础资料!$B$4=""),"",SUMIFS(周转筐出入库明细!$J$4:$J$2004,周转筐出入库明细!$C$4:$C$2004,$B86,周转筐出入库明细!$D$4:$D$2004,基础资料!$B$4,周转筐出入库明细!$B$4:$B$2004,"&gt;="&amp;$BC$1,周转筐出入库明细!$B$4:$B$2004,"&lt;="&amp;$BC$2))</f>
        <v/>
      </c>
      <c r="D86" s="25" t="str">
        <f>IF(OR($B86="",基础资料!$B$5=""),"",SUMIFS(周转筐出入库明细!$J$4:$J$2004,周转筐出入库明细!$C$4:$C$2004,$B86,周转筐出入库明细!$D$4:$D$2004,基础资料!$B$5,周转筐出入库明细!$B$4:$B$2004,"&gt;="&amp;$BC$1,周转筐出入库明细!$B$4:$B$2004,"&lt;="&amp;$BC$2))</f>
        <v/>
      </c>
      <c r="E86" s="25" t="str">
        <f>IF(OR($B86="",基础资料!$B$6=""),"",SUMIFS(周转筐出入库明细!$J$4:$J$2004,周转筐出入库明细!$C$4:$C$2004,$B86,周转筐出入库明细!$D$4:$D$2004,基础资料!$B$6,周转筐出入库明细!$B$4:$B$2004,"&gt;="&amp;$BC$1,周转筐出入库明细!$B$4:$B$2004,"&lt;="&amp;$BC$2))</f>
        <v/>
      </c>
      <c r="F86" s="25" t="str">
        <f>IF(OR($B86="",基础资料!$B$7=""),"",SUMIFS(周转筐出入库明细!$J$4:$J$2004,周转筐出入库明细!$C$4:$C$2004,$B86,周转筐出入库明细!$D$4:$D$2004,基础资料!$B$7,周转筐出入库明细!$B$4:$B$2004,"&gt;="&amp;$BC$1,周转筐出入库明细!$B$4:$B$2004,"&lt;="&amp;$BC$2))</f>
        <v/>
      </c>
      <c r="G86" s="25" t="str">
        <f>IF(OR($B86="",基础资料!$B$8=""),"",SUMIFS(周转筐出入库明细!$J$4:$J$2004,周转筐出入库明细!$C$4:$C$2004,$B86,周转筐出入库明细!$D$4:$D$2004,基础资料!$B$8,周转筐出入库明细!$B$4:$B$2004,"&gt;="&amp;$BC$1,周转筐出入库明细!$B$4:$B$2004,"&lt;="&amp;$BC$2))</f>
        <v/>
      </c>
      <c r="H86" s="25" t="str">
        <f t="shared" si="13"/>
        <v/>
      </c>
      <c r="I86" s="67" t="str">
        <f>IF(OR($B86="",基础资料!$B$4=""),"",-SUMIFS(周转筐出入库明细!$I$4:$I$2004,周转筐出入库明细!$C$4:$C$2004,$B86,周转筐出入库明细!$D$4:$D$2004,基础资料!$B$4,周转筐出入库明细!$B$4:$B$2004,"&gt;="&amp;$BC$1,周转筐出入库明细!$B$4:$B$2004,"&lt;="&amp;$BC$2))</f>
        <v/>
      </c>
      <c r="J86" s="67" t="str">
        <f>IF(OR($B86="",基础资料!$B$5=""),"",-SUMIFS(周转筐出入库明细!$I$4:$I$2004,周转筐出入库明细!$C$4:$C$2004,$B86,周转筐出入库明细!$D$4:$D$2004,基础资料!$B$5,周转筐出入库明细!$B$4:$B$2004,"&gt;="&amp;$BC$1,周转筐出入库明细!$B$4:$B$2004,"&lt;="&amp;$BC$2))</f>
        <v/>
      </c>
      <c r="K86" s="67" t="str">
        <f>IF(OR($B86="",基础资料!$B$6=""),"",-SUMIFS(周转筐出入库明细!$I$4:$I$2004,周转筐出入库明细!$C$4:$C$2004,$B86,周转筐出入库明细!$D$4:$D$2004,基础资料!$B$6,周转筐出入库明细!$B$4:$B$2004,"&gt;="&amp;$BC$1,周转筐出入库明细!$B$4:$B$2004,"&lt;="&amp;$BC$2))</f>
        <v/>
      </c>
      <c r="L86" s="67" t="str">
        <f>IF(OR($B86="",基础资料!$B$7=""),"",-SUMIFS(周转筐出入库明细!$I$4:$I$2004,周转筐出入库明细!$C$4:$C$2004,$B86,周转筐出入库明细!$D$4:$D$2004,基础资料!$B$7,周转筐出入库明细!$B$4:$B$2004,"&gt;="&amp;$BC$1,周转筐出入库明细!$B$4:$B$2004,"&lt;="&amp;$BC$2))</f>
        <v/>
      </c>
      <c r="M86" s="67" t="str">
        <f>IF(OR($B86="",基础资料!$B$8=""),"",-SUMIFS(周转筐出入库明细!$I$4:$I$2004,周转筐出入库明细!$C$4:$C$2004,$B86,周转筐出入库明细!$D$4:$D$2004,基础资料!$B$8,周转筐出入库明细!$B$4:$B$2004,"&gt;="&amp;$BC$1,周转筐出入库明细!$B$4:$B$2004,"&lt;="&amp;$BC$2))</f>
        <v/>
      </c>
      <c r="N86" s="67" t="str">
        <f t="shared" si="14"/>
        <v/>
      </c>
      <c r="O86" s="25" t="str">
        <f>IF(OR($B86="",基础资料!$B$4=""),"",SUMIFS(周转筐出入库明细!$H$4:$H$2004,周转筐出入库明细!$C$4:$C$2004,$B86,周转筐出入库明细!$D$4:$D$2004,基础资料!$B$4,周转筐出入库明细!$F$4:$F$2004,"采购入库",周转筐出入库明细!$B$4:$B$2004,"&gt;="&amp;$BC$1,周转筐出入库明细!$B$4:$B$2004,"&lt;="&amp;$BC$2))</f>
        <v/>
      </c>
      <c r="P86" s="25" t="str">
        <f>IF(OR($B86="",基础资料!$B$5=""),"",SUMIFS(周转筐出入库明细!$H$4:$H$2004,周转筐出入库明细!$C$4:$C$2004,$B86,周转筐出入库明细!$D$4:$D$2004,基础资料!$B$5,周转筐出入库明细!$F$4:$F$2004,"采购入库",周转筐出入库明细!$B$4:$B$2004,"&gt;="&amp;$BC$1,周转筐出入库明细!$B$4:$B$2004,"&lt;="&amp;$BC$2))</f>
        <v/>
      </c>
      <c r="Q86" s="25" t="str">
        <f>IF(OR($B86="",基础资料!$B$6=""),"",SUMIFS(周转筐出入库明细!$H$4:$H$2004,周转筐出入库明细!$C$4:$C$2004,$B86,周转筐出入库明细!$D$4:$D$2004,基础资料!$B$6,周转筐出入库明细!$F$4:$F$2004,"采购入库",周转筐出入库明细!$B$4:$B$2004,"&gt;="&amp;$BC$1,周转筐出入库明细!$B$4:$B$2004,"&lt;="&amp;$BC$2))</f>
        <v/>
      </c>
      <c r="R86" s="25" t="str">
        <f>IF(OR($B86="",基础资料!$B$7=""),"",SUMIFS(周转筐出入库明细!$H$4:$H$2004,周转筐出入库明细!$C$4:$C$2004,$B86,周转筐出入库明细!$D$4:$D$2004,基础资料!$B$7,周转筐出入库明细!$F$4:$F$2004,"采购入库",周转筐出入库明细!$B$4:$B$2004,"&gt;="&amp;$BC$1,周转筐出入库明细!$B$4:$B$2004,"&lt;="&amp;$BC$2))</f>
        <v/>
      </c>
      <c r="S86" s="25" t="str">
        <f>IF(OR($B86="",基础资料!$B$8=""),"",SUMIFS(周转筐出入库明细!$H$4:$H$2004,周转筐出入库明细!$C$4:$C$2004,$B86,周转筐出入库明细!$D$4:$D$2004,基础资料!$B$8,周转筐出入库明细!$F$4:$F$2004,"采购入库",周转筐出入库明细!$B$4:$B$2004,"&gt;="&amp;$BC$1,周转筐出入库明细!$B$4:$B$2004,"&lt;="&amp;$BC$2))</f>
        <v/>
      </c>
      <c r="T86" s="25" t="str">
        <f t="shared" si="15"/>
        <v/>
      </c>
      <c r="U86" s="25" t="str">
        <f>IF(OR($B86="",基础资料!$B$4=""),"",SUMIFS(周转筐出入库明细!$K$4:$K$2004,周转筐出入库明细!$C$4:$C$2004,$B86,周转筐出入库明细!$D$4:$D$2004,基础资料!$B$4,周转筐出入库明细!$B$4:$B$2004,"&gt;="&amp;$BC$1,周转筐出入库明细!$B$4:$B$2004,"&lt;="&amp;$BC$2))</f>
        <v/>
      </c>
      <c r="V86" s="25" t="str">
        <f>IF(OR($B86="",基础资料!$B$5=""),"",SUMIFS(周转筐出入库明细!$K$4:$K$2004,周转筐出入库明细!$C$4:$C$2004,$B86,周转筐出入库明细!$D$4:$D$2004,基础资料!$B$5,周转筐出入库明细!$B$4:$B$2004,"&gt;="&amp;$BC$1,周转筐出入库明细!$B$4:$B$2004,"&lt;="&amp;$BC$2))</f>
        <v/>
      </c>
      <c r="W86" s="25" t="str">
        <f>IF(OR($B86="",基础资料!$B$6=""),"",SUMIFS(周转筐出入库明细!$K$4:$K$2004,周转筐出入库明细!$C$4:$C$2004,$B86,周转筐出入库明细!$D$4:$D$2004,基础资料!$B$6,周转筐出入库明细!$B$4:$B$2004,"&gt;="&amp;$BC$1,周转筐出入库明细!$B$4:$B$2004,"&lt;="&amp;$BC$2))</f>
        <v/>
      </c>
      <c r="X86" s="25" t="str">
        <f>IF(OR($B86="",基础资料!$B$7=""),"",SUMIFS(周转筐出入库明细!$K$4:$K$2004,周转筐出入库明细!$C$4:$C$2004,$B86,周转筐出入库明细!$D$4:$D$2004,基础资料!$B$7,周转筐出入库明细!$B$4:$B$2004,"&gt;="&amp;$BC$1,周转筐出入库明细!$B$4:$B$2004,"&lt;="&amp;$BC$2))</f>
        <v/>
      </c>
      <c r="Y86" s="25" t="str">
        <f>IF(OR($B86="",基础资料!$B$8=""),"",SUMIFS(周转筐出入库明细!$K$4:$K$2004,周转筐出入库明细!$C$4:$C$2004,$B86,周转筐出入库明细!$D$4:$D$2004,基础资料!$B$8,周转筐出入库明细!$B$4:$B$2004,"&gt;="&amp;$BC$1,周转筐出入库明细!$B$4:$B$2004,"&lt;="&amp;$BC$2))</f>
        <v/>
      </c>
      <c r="Z86" s="25" t="str">
        <f t="shared" si="16"/>
        <v/>
      </c>
      <c r="AA86" s="67" t="str">
        <f>IF(OR($B86="",基础资料!$B$4=""),"",-SUMIFS(对接源_01水果筐数!$D$5:$D$304,对接源_01水果筐数!$B$5:$B$304,$B86,对接源_01水果筐数!$C$5:$C$304,基础资料!$B$4))</f>
        <v/>
      </c>
      <c r="AB86" s="67" t="str">
        <f>IF(OR($B86="",基础资料!$B$5=""),"",-SUMIFS(对接源_01水果筐数!$D$5:$D$304,对接源_01水果筐数!$B$5:$B$304,$B86,对接源_01水果筐数!$C$5:$C$304,基础资料!$B$5))</f>
        <v/>
      </c>
      <c r="AC86" s="67" t="str">
        <f>IF(OR($B86="",基础资料!$B$6=""),"",-SUMIFS(对接源_01水果筐数!$D$5:$D$304,对接源_01水果筐数!$B$5:$B$304,$B86,对接源_01水果筐数!$C$5:$C$304,基础资料!$B$6))</f>
        <v/>
      </c>
      <c r="AD86" s="67" t="str">
        <f>IF(OR($B86="",基础资料!$B$7=""),"",-SUMIFS(对接源_01水果筐数!$D$5:$D$304,对接源_01水果筐数!$B$5:$B$304,$B86,对接源_01水果筐数!$C$5:$C$304,基础资料!$B$7))</f>
        <v/>
      </c>
      <c r="AE86" s="67" t="str">
        <f>IF(OR($B86="",基础资料!$B$8=""),"",-SUMIFS(对接源_01水果筐数!$D$5:$D$304,对接源_01水果筐数!$B$5:$B$304,$B86,对接源_01水果筐数!$C$5:$C$304,基础资料!$B$8))</f>
        <v/>
      </c>
      <c r="AF86" s="25" t="str">
        <f>IF(OR($B86="",基础资料!$B$4=""),"",SUMIFS(对接源_01水果筐数!$E$5:$E$304,对接源_01水果筐数!$B$5:$B$304,$B86,对接源_01水果筐数!$C$5:$C$304,基础资料!$B$4))</f>
        <v/>
      </c>
      <c r="AG86" s="25" t="str">
        <f>IF(OR($B86="",基础资料!$B$5=""),"",SUMIFS(对接源_01水果筐数!$E$5:$E$304,对接源_01水果筐数!$B$5:$B$304,$B86,对接源_01水果筐数!$C$5:$C$304,基础资料!$B$5))</f>
        <v/>
      </c>
      <c r="AH86" s="25" t="str">
        <f>IF(OR($B86="",基础资料!$B$6=""),"",SUMIFS(对接源_01水果筐数!$E$5:$E$304,对接源_01水果筐数!$B$5:$B$304,$B86,对接源_01水果筐数!$C$5:$C$304,基础资料!$B$6))</f>
        <v/>
      </c>
      <c r="AI86" s="25" t="str">
        <f>IF(OR($B86="",基础资料!$B$7=""),"",SUMIFS(对接源_01水果筐数!$E$5:$E$304,对接源_01水果筐数!$B$5:$B$304,$B86,对接源_01水果筐数!$C$5:$C$304,基础资料!$B$7))</f>
        <v/>
      </c>
      <c r="AJ86" s="25" t="str">
        <f>IF(OR($B86="",基础资料!$B$8=""),"",SUMIFS(对接源_01水果筐数!$E$5:$E$304,对接源_01水果筐数!$B$5:$B$304,$B86,对接源_01水果筐数!$C$5:$C$304,基础资料!$B$8))</f>
        <v/>
      </c>
      <c r="AK86" s="25" t="str">
        <f>IF(OR($B86="",基础资料!$B$4=""),"",SUMIFS(对接源_01水果筐数!$F$5:$F$304,对接源_01水果筐数!$B$5:$B$304,$B86,对接源_01水果筐数!$C$5:$C$304,基础资料!$B$4))</f>
        <v/>
      </c>
      <c r="AL86" s="25" t="str">
        <f>IF(OR($B86="",基础资料!$B$5=""),"",SUMIFS(对接源_01水果筐数!$F$5:$F$304,对接源_01水果筐数!$B$5:$B$304,$B86,对接源_01水果筐数!$C$5:$C$304,基础资料!$B$5))</f>
        <v/>
      </c>
      <c r="AM86" s="25" t="str">
        <f>IF(OR($B86="",基础资料!$B$6=""),"",SUMIFS(对接源_01水果筐数!$F$5:$F$304,对接源_01水果筐数!$B$5:$B$304,$B86,对接源_01水果筐数!$C$5:$C$304,基础资料!$B$6))</f>
        <v/>
      </c>
      <c r="AN86" s="25" t="str">
        <f>IF(OR($B86="",基础资料!$B$7=""),"",SUMIFS(对接源_01水果筐数!$F$5:$F$304,对接源_01水果筐数!$B$5:$B$304,$B86,对接源_01水果筐数!$C$5:$C$304,基础资料!$B$7))</f>
        <v/>
      </c>
      <c r="AO86" s="25" t="str">
        <f>IF(OR($B86="",基础资料!$B$8=""),"",SUMIFS(对接源_01水果筐数!$F$5:$F$304,对接源_01水果筐数!$B$5:$B$304,$B86,对接源_01水果筐数!$C$5:$C$304,基础资料!$B$8))</f>
        <v/>
      </c>
      <c r="AP86" s="25" t="str">
        <f t="shared" si="17"/>
        <v/>
      </c>
      <c r="AQ86" s="25" t="str">
        <f t="shared" si="18"/>
        <v/>
      </c>
      <c r="AR86" s="25" t="str">
        <f t="shared" si="19"/>
        <v/>
      </c>
      <c r="AS86" s="25" t="str">
        <f t="shared" si="20"/>
        <v/>
      </c>
      <c r="AT86" s="25" t="str">
        <f t="shared" si="21"/>
        <v/>
      </c>
      <c r="AU86" s="25" t="str">
        <f t="shared" si="22"/>
        <v/>
      </c>
      <c r="AV86" s="24" t="str">
        <f t="shared" si="23"/>
        <v/>
      </c>
      <c r="AW86" s="72"/>
    </row>
    <row r="87" spans="1:49">
      <c r="A87" s="22" t="str">
        <f t="shared" si="12"/>
        <v/>
      </c>
      <c r="B87" s="24" t="str">
        <f>IFERROR(INDEX(_自动清单!$CC$4:$CC$253,ROW()-3),"")</f>
        <v/>
      </c>
      <c r="C87" s="25" t="str">
        <f>IF(OR($B87="",基础资料!$B$4=""),"",SUMIFS(周转筐出入库明细!$J$4:$J$2004,周转筐出入库明细!$C$4:$C$2004,$B87,周转筐出入库明细!$D$4:$D$2004,基础资料!$B$4,周转筐出入库明细!$B$4:$B$2004,"&gt;="&amp;$BC$1,周转筐出入库明细!$B$4:$B$2004,"&lt;="&amp;$BC$2))</f>
        <v/>
      </c>
      <c r="D87" s="25" t="str">
        <f>IF(OR($B87="",基础资料!$B$5=""),"",SUMIFS(周转筐出入库明细!$J$4:$J$2004,周转筐出入库明细!$C$4:$C$2004,$B87,周转筐出入库明细!$D$4:$D$2004,基础资料!$B$5,周转筐出入库明细!$B$4:$B$2004,"&gt;="&amp;$BC$1,周转筐出入库明细!$B$4:$B$2004,"&lt;="&amp;$BC$2))</f>
        <v/>
      </c>
      <c r="E87" s="25" t="str">
        <f>IF(OR($B87="",基础资料!$B$6=""),"",SUMIFS(周转筐出入库明细!$J$4:$J$2004,周转筐出入库明细!$C$4:$C$2004,$B87,周转筐出入库明细!$D$4:$D$2004,基础资料!$B$6,周转筐出入库明细!$B$4:$B$2004,"&gt;="&amp;$BC$1,周转筐出入库明细!$B$4:$B$2004,"&lt;="&amp;$BC$2))</f>
        <v/>
      </c>
      <c r="F87" s="25" t="str">
        <f>IF(OR($B87="",基础资料!$B$7=""),"",SUMIFS(周转筐出入库明细!$J$4:$J$2004,周转筐出入库明细!$C$4:$C$2004,$B87,周转筐出入库明细!$D$4:$D$2004,基础资料!$B$7,周转筐出入库明细!$B$4:$B$2004,"&gt;="&amp;$BC$1,周转筐出入库明细!$B$4:$B$2004,"&lt;="&amp;$BC$2))</f>
        <v/>
      </c>
      <c r="G87" s="25" t="str">
        <f>IF(OR($B87="",基础资料!$B$8=""),"",SUMIFS(周转筐出入库明细!$J$4:$J$2004,周转筐出入库明细!$C$4:$C$2004,$B87,周转筐出入库明细!$D$4:$D$2004,基础资料!$B$8,周转筐出入库明细!$B$4:$B$2004,"&gt;="&amp;$BC$1,周转筐出入库明细!$B$4:$B$2004,"&lt;="&amp;$BC$2))</f>
        <v/>
      </c>
      <c r="H87" s="25" t="str">
        <f t="shared" si="13"/>
        <v/>
      </c>
      <c r="I87" s="67" t="str">
        <f>IF(OR($B87="",基础资料!$B$4=""),"",-SUMIFS(周转筐出入库明细!$I$4:$I$2004,周转筐出入库明细!$C$4:$C$2004,$B87,周转筐出入库明细!$D$4:$D$2004,基础资料!$B$4,周转筐出入库明细!$B$4:$B$2004,"&gt;="&amp;$BC$1,周转筐出入库明细!$B$4:$B$2004,"&lt;="&amp;$BC$2))</f>
        <v/>
      </c>
      <c r="J87" s="67" t="str">
        <f>IF(OR($B87="",基础资料!$B$5=""),"",-SUMIFS(周转筐出入库明细!$I$4:$I$2004,周转筐出入库明细!$C$4:$C$2004,$B87,周转筐出入库明细!$D$4:$D$2004,基础资料!$B$5,周转筐出入库明细!$B$4:$B$2004,"&gt;="&amp;$BC$1,周转筐出入库明细!$B$4:$B$2004,"&lt;="&amp;$BC$2))</f>
        <v/>
      </c>
      <c r="K87" s="67" t="str">
        <f>IF(OR($B87="",基础资料!$B$6=""),"",-SUMIFS(周转筐出入库明细!$I$4:$I$2004,周转筐出入库明细!$C$4:$C$2004,$B87,周转筐出入库明细!$D$4:$D$2004,基础资料!$B$6,周转筐出入库明细!$B$4:$B$2004,"&gt;="&amp;$BC$1,周转筐出入库明细!$B$4:$B$2004,"&lt;="&amp;$BC$2))</f>
        <v/>
      </c>
      <c r="L87" s="67" t="str">
        <f>IF(OR($B87="",基础资料!$B$7=""),"",-SUMIFS(周转筐出入库明细!$I$4:$I$2004,周转筐出入库明细!$C$4:$C$2004,$B87,周转筐出入库明细!$D$4:$D$2004,基础资料!$B$7,周转筐出入库明细!$B$4:$B$2004,"&gt;="&amp;$BC$1,周转筐出入库明细!$B$4:$B$2004,"&lt;="&amp;$BC$2))</f>
        <v/>
      </c>
      <c r="M87" s="67" t="str">
        <f>IF(OR($B87="",基础资料!$B$8=""),"",-SUMIFS(周转筐出入库明细!$I$4:$I$2004,周转筐出入库明细!$C$4:$C$2004,$B87,周转筐出入库明细!$D$4:$D$2004,基础资料!$B$8,周转筐出入库明细!$B$4:$B$2004,"&gt;="&amp;$BC$1,周转筐出入库明细!$B$4:$B$2004,"&lt;="&amp;$BC$2))</f>
        <v/>
      </c>
      <c r="N87" s="67" t="str">
        <f t="shared" si="14"/>
        <v/>
      </c>
      <c r="O87" s="25" t="str">
        <f>IF(OR($B87="",基础资料!$B$4=""),"",SUMIFS(周转筐出入库明细!$H$4:$H$2004,周转筐出入库明细!$C$4:$C$2004,$B87,周转筐出入库明细!$D$4:$D$2004,基础资料!$B$4,周转筐出入库明细!$F$4:$F$2004,"采购入库",周转筐出入库明细!$B$4:$B$2004,"&gt;="&amp;$BC$1,周转筐出入库明细!$B$4:$B$2004,"&lt;="&amp;$BC$2))</f>
        <v/>
      </c>
      <c r="P87" s="25" t="str">
        <f>IF(OR($B87="",基础资料!$B$5=""),"",SUMIFS(周转筐出入库明细!$H$4:$H$2004,周转筐出入库明细!$C$4:$C$2004,$B87,周转筐出入库明细!$D$4:$D$2004,基础资料!$B$5,周转筐出入库明细!$F$4:$F$2004,"采购入库",周转筐出入库明细!$B$4:$B$2004,"&gt;="&amp;$BC$1,周转筐出入库明细!$B$4:$B$2004,"&lt;="&amp;$BC$2))</f>
        <v/>
      </c>
      <c r="Q87" s="25" t="str">
        <f>IF(OR($B87="",基础资料!$B$6=""),"",SUMIFS(周转筐出入库明细!$H$4:$H$2004,周转筐出入库明细!$C$4:$C$2004,$B87,周转筐出入库明细!$D$4:$D$2004,基础资料!$B$6,周转筐出入库明细!$F$4:$F$2004,"采购入库",周转筐出入库明细!$B$4:$B$2004,"&gt;="&amp;$BC$1,周转筐出入库明细!$B$4:$B$2004,"&lt;="&amp;$BC$2))</f>
        <v/>
      </c>
      <c r="R87" s="25" t="str">
        <f>IF(OR($B87="",基础资料!$B$7=""),"",SUMIFS(周转筐出入库明细!$H$4:$H$2004,周转筐出入库明细!$C$4:$C$2004,$B87,周转筐出入库明细!$D$4:$D$2004,基础资料!$B$7,周转筐出入库明细!$F$4:$F$2004,"采购入库",周转筐出入库明细!$B$4:$B$2004,"&gt;="&amp;$BC$1,周转筐出入库明细!$B$4:$B$2004,"&lt;="&amp;$BC$2))</f>
        <v/>
      </c>
      <c r="S87" s="25" t="str">
        <f>IF(OR($B87="",基础资料!$B$8=""),"",SUMIFS(周转筐出入库明细!$H$4:$H$2004,周转筐出入库明细!$C$4:$C$2004,$B87,周转筐出入库明细!$D$4:$D$2004,基础资料!$B$8,周转筐出入库明细!$F$4:$F$2004,"采购入库",周转筐出入库明细!$B$4:$B$2004,"&gt;="&amp;$BC$1,周转筐出入库明细!$B$4:$B$2004,"&lt;="&amp;$BC$2))</f>
        <v/>
      </c>
      <c r="T87" s="25" t="str">
        <f t="shared" si="15"/>
        <v/>
      </c>
      <c r="U87" s="25" t="str">
        <f>IF(OR($B87="",基础资料!$B$4=""),"",SUMIFS(周转筐出入库明细!$K$4:$K$2004,周转筐出入库明细!$C$4:$C$2004,$B87,周转筐出入库明细!$D$4:$D$2004,基础资料!$B$4,周转筐出入库明细!$B$4:$B$2004,"&gt;="&amp;$BC$1,周转筐出入库明细!$B$4:$B$2004,"&lt;="&amp;$BC$2))</f>
        <v/>
      </c>
      <c r="V87" s="25" t="str">
        <f>IF(OR($B87="",基础资料!$B$5=""),"",SUMIFS(周转筐出入库明细!$K$4:$K$2004,周转筐出入库明细!$C$4:$C$2004,$B87,周转筐出入库明细!$D$4:$D$2004,基础资料!$B$5,周转筐出入库明细!$B$4:$B$2004,"&gt;="&amp;$BC$1,周转筐出入库明细!$B$4:$B$2004,"&lt;="&amp;$BC$2))</f>
        <v/>
      </c>
      <c r="W87" s="25" t="str">
        <f>IF(OR($B87="",基础资料!$B$6=""),"",SUMIFS(周转筐出入库明细!$K$4:$K$2004,周转筐出入库明细!$C$4:$C$2004,$B87,周转筐出入库明细!$D$4:$D$2004,基础资料!$B$6,周转筐出入库明细!$B$4:$B$2004,"&gt;="&amp;$BC$1,周转筐出入库明细!$B$4:$B$2004,"&lt;="&amp;$BC$2))</f>
        <v/>
      </c>
      <c r="X87" s="25" t="str">
        <f>IF(OR($B87="",基础资料!$B$7=""),"",SUMIFS(周转筐出入库明细!$K$4:$K$2004,周转筐出入库明细!$C$4:$C$2004,$B87,周转筐出入库明细!$D$4:$D$2004,基础资料!$B$7,周转筐出入库明细!$B$4:$B$2004,"&gt;="&amp;$BC$1,周转筐出入库明细!$B$4:$B$2004,"&lt;="&amp;$BC$2))</f>
        <v/>
      </c>
      <c r="Y87" s="25" t="str">
        <f>IF(OR($B87="",基础资料!$B$8=""),"",SUMIFS(周转筐出入库明细!$K$4:$K$2004,周转筐出入库明细!$C$4:$C$2004,$B87,周转筐出入库明细!$D$4:$D$2004,基础资料!$B$8,周转筐出入库明细!$B$4:$B$2004,"&gt;="&amp;$BC$1,周转筐出入库明细!$B$4:$B$2004,"&lt;="&amp;$BC$2))</f>
        <v/>
      </c>
      <c r="Z87" s="25" t="str">
        <f t="shared" si="16"/>
        <v/>
      </c>
      <c r="AA87" s="67" t="str">
        <f>IF(OR($B87="",基础资料!$B$4=""),"",-SUMIFS(对接源_01水果筐数!$D$5:$D$304,对接源_01水果筐数!$B$5:$B$304,$B87,对接源_01水果筐数!$C$5:$C$304,基础资料!$B$4))</f>
        <v/>
      </c>
      <c r="AB87" s="67" t="str">
        <f>IF(OR($B87="",基础资料!$B$5=""),"",-SUMIFS(对接源_01水果筐数!$D$5:$D$304,对接源_01水果筐数!$B$5:$B$304,$B87,对接源_01水果筐数!$C$5:$C$304,基础资料!$B$5))</f>
        <v/>
      </c>
      <c r="AC87" s="67" t="str">
        <f>IF(OR($B87="",基础资料!$B$6=""),"",-SUMIFS(对接源_01水果筐数!$D$5:$D$304,对接源_01水果筐数!$B$5:$B$304,$B87,对接源_01水果筐数!$C$5:$C$304,基础资料!$B$6))</f>
        <v/>
      </c>
      <c r="AD87" s="67" t="str">
        <f>IF(OR($B87="",基础资料!$B$7=""),"",-SUMIFS(对接源_01水果筐数!$D$5:$D$304,对接源_01水果筐数!$B$5:$B$304,$B87,对接源_01水果筐数!$C$5:$C$304,基础资料!$B$7))</f>
        <v/>
      </c>
      <c r="AE87" s="67" t="str">
        <f>IF(OR($B87="",基础资料!$B$8=""),"",-SUMIFS(对接源_01水果筐数!$D$5:$D$304,对接源_01水果筐数!$B$5:$B$304,$B87,对接源_01水果筐数!$C$5:$C$304,基础资料!$B$8))</f>
        <v/>
      </c>
      <c r="AF87" s="25" t="str">
        <f>IF(OR($B87="",基础资料!$B$4=""),"",SUMIFS(对接源_01水果筐数!$E$5:$E$304,对接源_01水果筐数!$B$5:$B$304,$B87,对接源_01水果筐数!$C$5:$C$304,基础资料!$B$4))</f>
        <v/>
      </c>
      <c r="AG87" s="25" t="str">
        <f>IF(OR($B87="",基础资料!$B$5=""),"",SUMIFS(对接源_01水果筐数!$E$5:$E$304,对接源_01水果筐数!$B$5:$B$304,$B87,对接源_01水果筐数!$C$5:$C$304,基础资料!$B$5))</f>
        <v/>
      </c>
      <c r="AH87" s="25" t="str">
        <f>IF(OR($B87="",基础资料!$B$6=""),"",SUMIFS(对接源_01水果筐数!$E$5:$E$304,对接源_01水果筐数!$B$5:$B$304,$B87,对接源_01水果筐数!$C$5:$C$304,基础资料!$B$6))</f>
        <v/>
      </c>
      <c r="AI87" s="25" t="str">
        <f>IF(OR($B87="",基础资料!$B$7=""),"",SUMIFS(对接源_01水果筐数!$E$5:$E$304,对接源_01水果筐数!$B$5:$B$304,$B87,对接源_01水果筐数!$C$5:$C$304,基础资料!$B$7))</f>
        <v/>
      </c>
      <c r="AJ87" s="25" t="str">
        <f>IF(OR($B87="",基础资料!$B$8=""),"",SUMIFS(对接源_01水果筐数!$E$5:$E$304,对接源_01水果筐数!$B$5:$B$304,$B87,对接源_01水果筐数!$C$5:$C$304,基础资料!$B$8))</f>
        <v/>
      </c>
      <c r="AK87" s="25" t="str">
        <f>IF(OR($B87="",基础资料!$B$4=""),"",SUMIFS(对接源_01水果筐数!$F$5:$F$304,对接源_01水果筐数!$B$5:$B$304,$B87,对接源_01水果筐数!$C$5:$C$304,基础资料!$B$4))</f>
        <v/>
      </c>
      <c r="AL87" s="25" t="str">
        <f>IF(OR($B87="",基础资料!$B$5=""),"",SUMIFS(对接源_01水果筐数!$F$5:$F$304,对接源_01水果筐数!$B$5:$B$304,$B87,对接源_01水果筐数!$C$5:$C$304,基础资料!$B$5))</f>
        <v/>
      </c>
      <c r="AM87" s="25" t="str">
        <f>IF(OR($B87="",基础资料!$B$6=""),"",SUMIFS(对接源_01水果筐数!$F$5:$F$304,对接源_01水果筐数!$B$5:$B$304,$B87,对接源_01水果筐数!$C$5:$C$304,基础资料!$B$6))</f>
        <v/>
      </c>
      <c r="AN87" s="25" t="str">
        <f>IF(OR($B87="",基础资料!$B$7=""),"",SUMIFS(对接源_01水果筐数!$F$5:$F$304,对接源_01水果筐数!$B$5:$B$304,$B87,对接源_01水果筐数!$C$5:$C$304,基础资料!$B$7))</f>
        <v/>
      </c>
      <c r="AO87" s="25" t="str">
        <f>IF(OR($B87="",基础资料!$B$8=""),"",SUMIFS(对接源_01水果筐数!$F$5:$F$304,对接源_01水果筐数!$B$5:$B$304,$B87,对接源_01水果筐数!$C$5:$C$304,基础资料!$B$8))</f>
        <v/>
      </c>
      <c r="AP87" s="25" t="str">
        <f t="shared" si="17"/>
        <v/>
      </c>
      <c r="AQ87" s="25" t="str">
        <f t="shared" si="18"/>
        <v/>
      </c>
      <c r="AR87" s="25" t="str">
        <f t="shared" si="19"/>
        <v/>
      </c>
      <c r="AS87" s="25" t="str">
        <f t="shared" si="20"/>
        <v/>
      </c>
      <c r="AT87" s="25" t="str">
        <f t="shared" si="21"/>
        <v/>
      </c>
      <c r="AU87" s="25" t="str">
        <f t="shared" si="22"/>
        <v/>
      </c>
      <c r="AV87" s="24" t="str">
        <f t="shared" si="23"/>
        <v/>
      </c>
      <c r="AW87" s="72"/>
    </row>
    <row r="88" spans="1:49">
      <c r="A88" s="22" t="str">
        <f t="shared" si="12"/>
        <v/>
      </c>
      <c r="B88" s="24" t="str">
        <f>IFERROR(INDEX(_自动清单!$CC$4:$CC$253,ROW()-3),"")</f>
        <v/>
      </c>
      <c r="C88" s="25" t="str">
        <f>IF(OR($B88="",基础资料!$B$4=""),"",SUMIFS(周转筐出入库明细!$J$4:$J$2004,周转筐出入库明细!$C$4:$C$2004,$B88,周转筐出入库明细!$D$4:$D$2004,基础资料!$B$4,周转筐出入库明细!$B$4:$B$2004,"&gt;="&amp;$BC$1,周转筐出入库明细!$B$4:$B$2004,"&lt;="&amp;$BC$2))</f>
        <v/>
      </c>
      <c r="D88" s="25" t="str">
        <f>IF(OR($B88="",基础资料!$B$5=""),"",SUMIFS(周转筐出入库明细!$J$4:$J$2004,周转筐出入库明细!$C$4:$C$2004,$B88,周转筐出入库明细!$D$4:$D$2004,基础资料!$B$5,周转筐出入库明细!$B$4:$B$2004,"&gt;="&amp;$BC$1,周转筐出入库明细!$B$4:$B$2004,"&lt;="&amp;$BC$2))</f>
        <v/>
      </c>
      <c r="E88" s="25" t="str">
        <f>IF(OR($B88="",基础资料!$B$6=""),"",SUMIFS(周转筐出入库明细!$J$4:$J$2004,周转筐出入库明细!$C$4:$C$2004,$B88,周转筐出入库明细!$D$4:$D$2004,基础资料!$B$6,周转筐出入库明细!$B$4:$B$2004,"&gt;="&amp;$BC$1,周转筐出入库明细!$B$4:$B$2004,"&lt;="&amp;$BC$2))</f>
        <v/>
      </c>
      <c r="F88" s="25" t="str">
        <f>IF(OR($B88="",基础资料!$B$7=""),"",SUMIFS(周转筐出入库明细!$J$4:$J$2004,周转筐出入库明细!$C$4:$C$2004,$B88,周转筐出入库明细!$D$4:$D$2004,基础资料!$B$7,周转筐出入库明细!$B$4:$B$2004,"&gt;="&amp;$BC$1,周转筐出入库明细!$B$4:$B$2004,"&lt;="&amp;$BC$2))</f>
        <v/>
      </c>
      <c r="G88" s="25" t="str">
        <f>IF(OR($B88="",基础资料!$B$8=""),"",SUMIFS(周转筐出入库明细!$J$4:$J$2004,周转筐出入库明细!$C$4:$C$2004,$B88,周转筐出入库明细!$D$4:$D$2004,基础资料!$B$8,周转筐出入库明细!$B$4:$B$2004,"&gt;="&amp;$BC$1,周转筐出入库明细!$B$4:$B$2004,"&lt;="&amp;$BC$2))</f>
        <v/>
      </c>
      <c r="H88" s="25" t="str">
        <f t="shared" si="13"/>
        <v/>
      </c>
      <c r="I88" s="67" t="str">
        <f>IF(OR($B88="",基础资料!$B$4=""),"",-SUMIFS(周转筐出入库明细!$I$4:$I$2004,周转筐出入库明细!$C$4:$C$2004,$B88,周转筐出入库明细!$D$4:$D$2004,基础资料!$B$4,周转筐出入库明细!$B$4:$B$2004,"&gt;="&amp;$BC$1,周转筐出入库明细!$B$4:$B$2004,"&lt;="&amp;$BC$2))</f>
        <v/>
      </c>
      <c r="J88" s="67" t="str">
        <f>IF(OR($B88="",基础资料!$B$5=""),"",-SUMIFS(周转筐出入库明细!$I$4:$I$2004,周转筐出入库明细!$C$4:$C$2004,$B88,周转筐出入库明细!$D$4:$D$2004,基础资料!$B$5,周转筐出入库明细!$B$4:$B$2004,"&gt;="&amp;$BC$1,周转筐出入库明细!$B$4:$B$2004,"&lt;="&amp;$BC$2))</f>
        <v/>
      </c>
      <c r="K88" s="67" t="str">
        <f>IF(OR($B88="",基础资料!$B$6=""),"",-SUMIFS(周转筐出入库明细!$I$4:$I$2004,周转筐出入库明细!$C$4:$C$2004,$B88,周转筐出入库明细!$D$4:$D$2004,基础资料!$B$6,周转筐出入库明细!$B$4:$B$2004,"&gt;="&amp;$BC$1,周转筐出入库明细!$B$4:$B$2004,"&lt;="&amp;$BC$2))</f>
        <v/>
      </c>
      <c r="L88" s="67" t="str">
        <f>IF(OR($B88="",基础资料!$B$7=""),"",-SUMIFS(周转筐出入库明细!$I$4:$I$2004,周转筐出入库明细!$C$4:$C$2004,$B88,周转筐出入库明细!$D$4:$D$2004,基础资料!$B$7,周转筐出入库明细!$B$4:$B$2004,"&gt;="&amp;$BC$1,周转筐出入库明细!$B$4:$B$2004,"&lt;="&amp;$BC$2))</f>
        <v/>
      </c>
      <c r="M88" s="67" t="str">
        <f>IF(OR($B88="",基础资料!$B$8=""),"",-SUMIFS(周转筐出入库明细!$I$4:$I$2004,周转筐出入库明细!$C$4:$C$2004,$B88,周转筐出入库明细!$D$4:$D$2004,基础资料!$B$8,周转筐出入库明细!$B$4:$B$2004,"&gt;="&amp;$BC$1,周转筐出入库明细!$B$4:$B$2004,"&lt;="&amp;$BC$2))</f>
        <v/>
      </c>
      <c r="N88" s="67" t="str">
        <f t="shared" si="14"/>
        <v/>
      </c>
      <c r="O88" s="25" t="str">
        <f>IF(OR($B88="",基础资料!$B$4=""),"",SUMIFS(周转筐出入库明细!$H$4:$H$2004,周转筐出入库明细!$C$4:$C$2004,$B88,周转筐出入库明细!$D$4:$D$2004,基础资料!$B$4,周转筐出入库明细!$F$4:$F$2004,"采购入库",周转筐出入库明细!$B$4:$B$2004,"&gt;="&amp;$BC$1,周转筐出入库明细!$B$4:$B$2004,"&lt;="&amp;$BC$2))</f>
        <v/>
      </c>
      <c r="P88" s="25" t="str">
        <f>IF(OR($B88="",基础资料!$B$5=""),"",SUMIFS(周转筐出入库明细!$H$4:$H$2004,周转筐出入库明细!$C$4:$C$2004,$B88,周转筐出入库明细!$D$4:$D$2004,基础资料!$B$5,周转筐出入库明细!$F$4:$F$2004,"采购入库",周转筐出入库明细!$B$4:$B$2004,"&gt;="&amp;$BC$1,周转筐出入库明细!$B$4:$B$2004,"&lt;="&amp;$BC$2))</f>
        <v/>
      </c>
      <c r="Q88" s="25" t="str">
        <f>IF(OR($B88="",基础资料!$B$6=""),"",SUMIFS(周转筐出入库明细!$H$4:$H$2004,周转筐出入库明细!$C$4:$C$2004,$B88,周转筐出入库明细!$D$4:$D$2004,基础资料!$B$6,周转筐出入库明细!$F$4:$F$2004,"采购入库",周转筐出入库明细!$B$4:$B$2004,"&gt;="&amp;$BC$1,周转筐出入库明细!$B$4:$B$2004,"&lt;="&amp;$BC$2))</f>
        <v/>
      </c>
      <c r="R88" s="25" t="str">
        <f>IF(OR($B88="",基础资料!$B$7=""),"",SUMIFS(周转筐出入库明细!$H$4:$H$2004,周转筐出入库明细!$C$4:$C$2004,$B88,周转筐出入库明细!$D$4:$D$2004,基础资料!$B$7,周转筐出入库明细!$F$4:$F$2004,"采购入库",周转筐出入库明细!$B$4:$B$2004,"&gt;="&amp;$BC$1,周转筐出入库明细!$B$4:$B$2004,"&lt;="&amp;$BC$2))</f>
        <v/>
      </c>
      <c r="S88" s="25" t="str">
        <f>IF(OR($B88="",基础资料!$B$8=""),"",SUMIFS(周转筐出入库明细!$H$4:$H$2004,周转筐出入库明细!$C$4:$C$2004,$B88,周转筐出入库明细!$D$4:$D$2004,基础资料!$B$8,周转筐出入库明细!$F$4:$F$2004,"采购入库",周转筐出入库明细!$B$4:$B$2004,"&gt;="&amp;$BC$1,周转筐出入库明细!$B$4:$B$2004,"&lt;="&amp;$BC$2))</f>
        <v/>
      </c>
      <c r="T88" s="25" t="str">
        <f t="shared" si="15"/>
        <v/>
      </c>
      <c r="U88" s="25" t="str">
        <f>IF(OR($B88="",基础资料!$B$4=""),"",SUMIFS(周转筐出入库明细!$K$4:$K$2004,周转筐出入库明细!$C$4:$C$2004,$B88,周转筐出入库明细!$D$4:$D$2004,基础资料!$B$4,周转筐出入库明细!$B$4:$B$2004,"&gt;="&amp;$BC$1,周转筐出入库明细!$B$4:$B$2004,"&lt;="&amp;$BC$2))</f>
        <v/>
      </c>
      <c r="V88" s="25" t="str">
        <f>IF(OR($B88="",基础资料!$B$5=""),"",SUMIFS(周转筐出入库明细!$K$4:$K$2004,周转筐出入库明细!$C$4:$C$2004,$B88,周转筐出入库明细!$D$4:$D$2004,基础资料!$B$5,周转筐出入库明细!$B$4:$B$2004,"&gt;="&amp;$BC$1,周转筐出入库明细!$B$4:$B$2004,"&lt;="&amp;$BC$2))</f>
        <v/>
      </c>
      <c r="W88" s="25" t="str">
        <f>IF(OR($B88="",基础资料!$B$6=""),"",SUMIFS(周转筐出入库明细!$K$4:$K$2004,周转筐出入库明细!$C$4:$C$2004,$B88,周转筐出入库明细!$D$4:$D$2004,基础资料!$B$6,周转筐出入库明细!$B$4:$B$2004,"&gt;="&amp;$BC$1,周转筐出入库明细!$B$4:$B$2004,"&lt;="&amp;$BC$2))</f>
        <v/>
      </c>
      <c r="X88" s="25" t="str">
        <f>IF(OR($B88="",基础资料!$B$7=""),"",SUMIFS(周转筐出入库明细!$K$4:$K$2004,周转筐出入库明细!$C$4:$C$2004,$B88,周转筐出入库明细!$D$4:$D$2004,基础资料!$B$7,周转筐出入库明细!$B$4:$B$2004,"&gt;="&amp;$BC$1,周转筐出入库明细!$B$4:$B$2004,"&lt;="&amp;$BC$2))</f>
        <v/>
      </c>
      <c r="Y88" s="25" t="str">
        <f>IF(OR($B88="",基础资料!$B$8=""),"",SUMIFS(周转筐出入库明细!$K$4:$K$2004,周转筐出入库明细!$C$4:$C$2004,$B88,周转筐出入库明细!$D$4:$D$2004,基础资料!$B$8,周转筐出入库明细!$B$4:$B$2004,"&gt;="&amp;$BC$1,周转筐出入库明细!$B$4:$B$2004,"&lt;="&amp;$BC$2))</f>
        <v/>
      </c>
      <c r="Z88" s="25" t="str">
        <f t="shared" si="16"/>
        <v/>
      </c>
      <c r="AA88" s="67" t="str">
        <f>IF(OR($B88="",基础资料!$B$4=""),"",-SUMIFS(对接源_01水果筐数!$D$5:$D$304,对接源_01水果筐数!$B$5:$B$304,$B88,对接源_01水果筐数!$C$5:$C$304,基础资料!$B$4))</f>
        <v/>
      </c>
      <c r="AB88" s="67" t="str">
        <f>IF(OR($B88="",基础资料!$B$5=""),"",-SUMIFS(对接源_01水果筐数!$D$5:$D$304,对接源_01水果筐数!$B$5:$B$304,$B88,对接源_01水果筐数!$C$5:$C$304,基础资料!$B$5))</f>
        <v/>
      </c>
      <c r="AC88" s="67" t="str">
        <f>IF(OR($B88="",基础资料!$B$6=""),"",-SUMIFS(对接源_01水果筐数!$D$5:$D$304,对接源_01水果筐数!$B$5:$B$304,$B88,对接源_01水果筐数!$C$5:$C$304,基础资料!$B$6))</f>
        <v/>
      </c>
      <c r="AD88" s="67" t="str">
        <f>IF(OR($B88="",基础资料!$B$7=""),"",-SUMIFS(对接源_01水果筐数!$D$5:$D$304,对接源_01水果筐数!$B$5:$B$304,$B88,对接源_01水果筐数!$C$5:$C$304,基础资料!$B$7))</f>
        <v/>
      </c>
      <c r="AE88" s="67" t="str">
        <f>IF(OR($B88="",基础资料!$B$8=""),"",-SUMIFS(对接源_01水果筐数!$D$5:$D$304,对接源_01水果筐数!$B$5:$B$304,$B88,对接源_01水果筐数!$C$5:$C$304,基础资料!$B$8))</f>
        <v/>
      </c>
      <c r="AF88" s="25" t="str">
        <f>IF(OR($B88="",基础资料!$B$4=""),"",SUMIFS(对接源_01水果筐数!$E$5:$E$304,对接源_01水果筐数!$B$5:$B$304,$B88,对接源_01水果筐数!$C$5:$C$304,基础资料!$B$4))</f>
        <v/>
      </c>
      <c r="AG88" s="25" t="str">
        <f>IF(OR($B88="",基础资料!$B$5=""),"",SUMIFS(对接源_01水果筐数!$E$5:$E$304,对接源_01水果筐数!$B$5:$B$304,$B88,对接源_01水果筐数!$C$5:$C$304,基础资料!$B$5))</f>
        <v/>
      </c>
      <c r="AH88" s="25" t="str">
        <f>IF(OR($B88="",基础资料!$B$6=""),"",SUMIFS(对接源_01水果筐数!$E$5:$E$304,对接源_01水果筐数!$B$5:$B$304,$B88,对接源_01水果筐数!$C$5:$C$304,基础资料!$B$6))</f>
        <v/>
      </c>
      <c r="AI88" s="25" t="str">
        <f>IF(OR($B88="",基础资料!$B$7=""),"",SUMIFS(对接源_01水果筐数!$E$5:$E$304,对接源_01水果筐数!$B$5:$B$304,$B88,对接源_01水果筐数!$C$5:$C$304,基础资料!$B$7))</f>
        <v/>
      </c>
      <c r="AJ88" s="25" t="str">
        <f>IF(OR($B88="",基础资料!$B$8=""),"",SUMIFS(对接源_01水果筐数!$E$5:$E$304,对接源_01水果筐数!$B$5:$B$304,$B88,对接源_01水果筐数!$C$5:$C$304,基础资料!$B$8))</f>
        <v/>
      </c>
      <c r="AK88" s="25" t="str">
        <f>IF(OR($B88="",基础资料!$B$4=""),"",SUMIFS(对接源_01水果筐数!$F$5:$F$304,对接源_01水果筐数!$B$5:$B$304,$B88,对接源_01水果筐数!$C$5:$C$304,基础资料!$B$4))</f>
        <v/>
      </c>
      <c r="AL88" s="25" t="str">
        <f>IF(OR($B88="",基础资料!$B$5=""),"",SUMIFS(对接源_01水果筐数!$F$5:$F$304,对接源_01水果筐数!$B$5:$B$304,$B88,对接源_01水果筐数!$C$5:$C$304,基础资料!$B$5))</f>
        <v/>
      </c>
      <c r="AM88" s="25" t="str">
        <f>IF(OR($B88="",基础资料!$B$6=""),"",SUMIFS(对接源_01水果筐数!$F$5:$F$304,对接源_01水果筐数!$B$5:$B$304,$B88,对接源_01水果筐数!$C$5:$C$304,基础资料!$B$6))</f>
        <v/>
      </c>
      <c r="AN88" s="25" t="str">
        <f>IF(OR($B88="",基础资料!$B$7=""),"",SUMIFS(对接源_01水果筐数!$F$5:$F$304,对接源_01水果筐数!$B$5:$B$304,$B88,对接源_01水果筐数!$C$5:$C$304,基础资料!$B$7))</f>
        <v/>
      </c>
      <c r="AO88" s="25" t="str">
        <f>IF(OR($B88="",基础资料!$B$8=""),"",SUMIFS(对接源_01水果筐数!$F$5:$F$304,对接源_01水果筐数!$B$5:$B$304,$B88,对接源_01水果筐数!$C$5:$C$304,基础资料!$B$8))</f>
        <v/>
      </c>
      <c r="AP88" s="25" t="str">
        <f t="shared" si="17"/>
        <v/>
      </c>
      <c r="AQ88" s="25" t="str">
        <f t="shared" si="18"/>
        <v/>
      </c>
      <c r="AR88" s="25" t="str">
        <f t="shared" si="19"/>
        <v/>
      </c>
      <c r="AS88" s="25" t="str">
        <f t="shared" si="20"/>
        <v/>
      </c>
      <c r="AT88" s="25" t="str">
        <f t="shared" si="21"/>
        <v/>
      </c>
      <c r="AU88" s="25" t="str">
        <f t="shared" si="22"/>
        <v/>
      </c>
      <c r="AV88" s="24" t="str">
        <f t="shared" si="23"/>
        <v/>
      </c>
      <c r="AW88" s="72"/>
    </row>
    <row r="89" spans="1:49">
      <c r="A89" s="22" t="str">
        <f t="shared" si="12"/>
        <v/>
      </c>
      <c r="B89" s="24" t="str">
        <f>IFERROR(INDEX(_自动清单!$CC$4:$CC$253,ROW()-3),"")</f>
        <v/>
      </c>
      <c r="C89" s="25" t="str">
        <f>IF(OR($B89="",基础资料!$B$4=""),"",SUMIFS(周转筐出入库明细!$J$4:$J$2004,周转筐出入库明细!$C$4:$C$2004,$B89,周转筐出入库明细!$D$4:$D$2004,基础资料!$B$4,周转筐出入库明细!$B$4:$B$2004,"&gt;="&amp;$BC$1,周转筐出入库明细!$B$4:$B$2004,"&lt;="&amp;$BC$2))</f>
        <v/>
      </c>
      <c r="D89" s="25" t="str">
        <f>IF(OR($B89="",基础资料!$B$5=""),"",SUMIFS(周转筐出入库明细!$J$4:$J$2004,周转筐出入库明细!$C$4:$C$2004,$B89,周转筐出入库明细!$D$4:$D$2004,基础资料!$B$5,周转筐出入库明细!$B$4:$B$2004,"&gt;="&amp;$BC$1,周转筐出入库明细!$B$4:$B$2004,"&lt;="&amp;$BC$2))</f>
        <v/>
      </c>
      <c r="E89" s="25" t="str">
        <f>IF(OR($B89="",基础资料!$B$6=""),"",SUMIFS(周转筐出入库明细!$J$4:$J$2004,周转筐出入库明细!$C$4:$C$2004,$B89,周转筐出入库明细!$D$4:$D$2004,基础资料!$B$6,周转筐出入库明细!$B$4:$B$2004,"&gt;="&amp;$BC$1,周转筐出入库明细!$B$4:$B$2004,"&lt;="&amp;$BC$2))</f>
        <v/>
      </c>
      <c r="F89" s="25" t="str">
        <f>IF(OR($B89="",基础资料!$B$7=""),"",SUMIFS(周转筐出入库明细!$J$4:$J$2004,周转筐出入库明细!$C$4:$C$2004,$B89,周转筐出入库明细!$D$4:$D$2004,基础资料!$B$7,周转筐出入库明细!$B$4:$B$2004,"&gt;="&amp;$BC$1,周转筐出入库明细!$B$4:$B$2004,"&lt;="&amp;$BC$2))</f>
        <v/>
      </c>
      <c r="G89" s="25" t="str">
        <f>IF(OR($B89="",基础资料!$B$8=""),"",SUMIFS(周转筐出入库明细!$J$4:$J$2004,周转筐出入库明细!$C$4:$C$2004,$B89,周转筐出入库明细!$D$4:$D$2004,基础资料!$B$8,周转筐出入库明细!$B$4:$B$2004,"&gt;="&amp;$BC$1,周转筐出入库明细!$B$4:$B$2004,"&lt;="&amp;$BC$2))</f>
        <v/>
      </c>
      <c r="H89" s="25" t="str">
        <f t="shared" si="13"/>
        <v/>
      </c>
      <c r="I89" s="67" t="str">
        <f>IF(OR($B89="",基础资料!$B$4=""),"",-SUMIFS(周转筐出入库明细!$I$4:$I$2004,周转筐出入库明细!$C$4:$C$2004,$B89,周转筐出入库明细!$D$4:$D$2004,基础资料!$B$4,周转筐出入库明细!$B$4:$B$2004,"&gt;="&amp;$BC$1,周转筐出入库明细!$B$4:$B$2004,"&lt;="&amp;$BC$2))</f>
        <v/>
      </c>
      <c r="J89" s="67" t="str">
        <f>IF(OR($B89="",基础资料!$B$5=""),"",-SUMIFS(周转筐出入库明细!$I$4:$I$2004,周转筐出入库明细!$C$4:$C$2004,$B89,周转筐出入库明细!$D$4:$D$2004,基础资料!$B$5,周转筐出入库明细!$B$4:$B$2004,"&gt;="&amp;$BC$1,周转筐出入库明细!$B$4:$B$2004,"&lt;="&amp;$BC$2))</f>
        <v/>
      </c>
      <c r="K89" s="67" t="str">
        <f>IF(OR($B89="",基础资料!$B$6=""),"",-SUMIFS(周转筐出入库明细!$I$4:$I$2004,周转筐出入库明细!$C$4:$C$2004,$B89,周转筐出入库明细!$D$4:$D$2004,基础资料!$B$6,周转筐出入库明细!$B$4:$B$2004,"&gt;="&amp;$BC$1,周转筐出入库明细!$B$4:$B$2004,"&lt;="&amp;$BC$2))</f>
        <v/>
      </c>
      <c r="L89" s="67" t="str">
        <f>IF(OR($B89="",基础资料!$B$7=""),"",-SUMIFS(周转筐出入库明细!$I$4:$I$2004,周转筐出入库明细!$C$4:$C$2004,$B89,周转筐出入库明细!$D$4:$D$2004,基础资料!$B$7,周转筐出入库明细!$B$4:$B$2004,"&gt;="&amp;$BC$1,周转筐出入库明细!$B$4:$B$2004,"&lt;="&amp;$BC$2))</f>
        <v/>
      </c>
      <c r="M89" s="67" t="str">
        <f>IF(OR($B89="",基础资料!$B$8=""),"",-SUMIFS(周转筐出入库明细!$I$4:$I$2004,周转筐出入库明细!$C$4:$C$2004,$B89,周转筐出入库明细!$D$4:$D$2004,基础资料!$B$8,周转筐出入库明细!$B$4:$B$2004,"&gt;="&amp;$BC$1,周转筐出入库明细!$B$4:$B$2004,"&lt;="&amp;$BC$2))</f>
        <v/>
      </c>
      <c r="N89" s="67" t="str">
        <f t="shared" si="14"/>
        <v/>
      </c>
      <c r="O89" s="25" t="str">
        <f>IF(OR($B89="",基础资料!$B$4=""),"",SUMIFS(周转筐出入库明细!$H$4:$H$2004,周转筐出入库明细!$C$4:$C$2004,$B89,周转筐出入库明细!$D$4:$D$2004,基础资料!$B$4,周转筐出入库明细!$F$4:$F$2004,"采购入库",周转筐出入库明细!$B$4:$B$2004,"&gt;="&amp;$BC$1,周转筐出入库明细!$B$4:$B$2004,"&lt;="&amp;$BC$2))</f>
        <v/>
      </c>
      <c r="P89" s="25" t="str">
        <f>IF(OR($B89="",基础资料!$B$5=""),"",SUMIFS(周转筐出入库明细!$H$4:$H$2004,周转筐出入库明细!$C$4:$C$2004,$B89,周转筐出入库明细!$D$4:$D$2004,基础资料!$B$5,周转筐出入库明细!$F$4:$F$2004,"采购入库",周转筐出入库明细!$B$4:$B$2004,"&gt;="&amp;$BC$1,周转筐出入库明细!$B$4:$B$2004,"&lt;="&amp;$BC$2))</f>
        <v/>
      </c>
      <c r="Q89" s="25" t="str">
        <f>IF(OR($B89="",基础资料!$B$6=""),"",SUMIFS(周转筐出入库明细!$H$4:$H$2004,周转筐出入库明细!$C$4:$C$2004,$B89,周转筐出入库明细!$D$4:$D$2004,基础资料!$B$6,周转筐出入库明细!$F$4:$F$2004,"采购入库",周转筐出入库明细!$B$4:$B$2004,"&gt;="&amp;$BC$1,周转筐出入库明细!$B$4:$B$2004,"&lt;="&amp;$BC$2))</f>
        <v/>
      </c>
      <c r="R89" s="25" t="str">
        <f>IF(OR($B89="",基础资料!$B$7=""),"",SUMIFS(周转筐出入库明细!$H$4:$H$2004,周转筐出入库明细!$C$4:$C$2004,$B89,周转筐出入库明细!$D$4:$D$2004,基础资料!$B$7,周转筐出入库明细!$F$4:$F$2004,"采购入库",周转筐出入库明细!$B$4:$B$2004,"&gt;="&amp;$BC$1,周转筐出入库明细!$B$4:$B$2004,"&lt;="&amp;$BC$2))</f>
        <v/>
      </c>
      <c r="S89" s="25" t="str">
        <f>IF(OR($B89="",基础资料!$B$8=""),"",SUMIFS(周转筐出入库明细!$H$4:$H$2004,周转筐出入库明细!$C$4:$C$2004,$B89,周转筐出入库明细!$D$4:$D$2004,基础资料!$B$8,周转筐出入库明细!$F$4:$F$2004,"采购入库",周转筐出入库明细!$B$4:$B$2004,"&gt;="&amp;$BC$1,周转筐出入库明细!$B$4:$B$2004,"&lt;="&amp;$BC$2))</f>
        <v/>
      </c>
      <c r="T89" s="25" t="str">
        <f t="shared" si="15"/>
        <v/>
      </c>
      <c r="U89" s="25" t="str">
        <f>IF(OR($B89="",基础资料!$B$4=""),"",SUMIFS(周转筐出入库明细!$K$4:$K$2004,周转筐出入库明细!$C$4:$C$2004,$B89,周转筐出入库明细!$D$4:$D$2004,基础资料!$B$4,周转筐出入库明细!$B$4:$B$2004,"&gt;="&amp;$BC$1,周转筐出入库明细!$B$4:$B$2004,"&lt;="&amp;$BC$2))</f>
        <v/>
      </c>
      <c r="V89" s="25" t="str">
        <f>IF(OR($B89="",基础资料!$B$5=""),"",SUMIFS(周转筐出入库明细!$K$4:$K$2004,周转筐出入库明细!$C$4:$C$2004,$B89,周转筐出入库明细!$D$4:$D$2004,基础资料!$B$5,周转筐出入库明细!$B$4:$B$2004,"&gt;="&amp;$BC$1,周转筐出入库明细!$B$4:$B$2004,"&lt;="&amp;$BC$2))</f>
        <v/>
      </c>
      <c r="W89" s="25" t="str">
        <f>IF(OR($B89="",基础资料!$B$6=""),"",SUMIFS(周转筐出入库明细!$K$4:$K$2004,周转筐出入库明细!$C$4:$C$2004,$B89,周转筐出入库明细!$D$4:$D$2004,基础资料!$B$6,周转筐出入库明细!$B$4:$B$2004,"&gt;="&amp;$BC$1,周转筐出入库明细!$B$4:$B$2004,"&lt;="&amp;$BC$2))</f>
        <v/>
      </c>
      <c r="X89" s="25" t="str">
        <f>IF(OR($B89="",基础资料!$B$7=""),"",SUMIFS(周转筐出入库明细!$K$4:$K$2004,周转筐出入库明细!$C$4:$C$2004,$B89,周转筐出入库明细!$D$4:$D$2004,基础资料!$B$7,周转筐出入库明细!$B$4:$B$2004,"&gt;="&amp;$BC$1,周转筐出入库明细!$B$4:$B$2004,"&lt;="&amp;$BC$2))</f>
        <v/>
      </c>
      <c r="Y89" s="25" t="str">
        <f>IF(OR($B89="",基础资料!$B$8=""),"",SUMIFS(周转筐出入库明细!$K$4:$K$2004,周转筐出入库明细!$C$4:$C$2004,$B89,周转筐出入库明细!$D$4:$D$2004,基础资料!$B$8,周转筐出入库明细!$B$4:$B$2004,"&gt;="&amp;$BC$1,周转筐出入库明细!$B$4:$B$2004,"&lt;="&amp;$BC$2))</f>
        <v/>
      </c>
      <c r="Z89" s="25" t="str">
        <f t="shared" si="16"/>
        <v/>
      </c>
      <c r="AA89" s="67" t="str">
        <f>IF(OR($B89="",基础资料!$B$4=""),"",-SUMIFS(对接源_01水果筐数!$D$5:$D$304,对接源_01水果筐数!$B$5:$B$304,$B89,对接源_01水果筐数!$C$5:$C$304,基础资料!$B$4))</f>
        <v/>
      </c>
      <c r="AB89" s="67" t="str">
        <f>IF(OR($B89="",基础资料!$B$5=""),"",-SUMIFS(对接源_01水果筐数!$D$5:$D$304,对接源_01水果筐数!$B$5:$B$304,$B89,对接源_01水果筐数!$C$5:$C$304,基础资料!$B$5))</f>
        <v/>
      </c>
      <c r="AC89" s="67" t="str">
        <f>IF(OR($B89="",基础资料!$B$6=""),"",-SUMIFS(对接源_01水果筐数!$D$5:$D$304,对接源_01水果筐数!$B$5:$B$304,$B89,对接源_01水果筐数!$C$5:$C$304,基础资料!$B$6))</f>
        <v/>
      </c>
      <c r="AD89" s="67" t="str">
        <f>IF(OR($B89="",基础资料!$B$7=""),"",-SUMIFS(对接源_01水果筐数!$D$5:$D$304,对接源_01水果筐数!$B$5:$B$304,$B89,对接源_01水果筐数!$C$5:$C$304,基础资料!$B$7))</f>
        <v/>
      </c>
      <c r="AE89" s="67" t="str">
        <f>IF(OR($B89="",基础资料!$B$8=""),"",-SUMIFS(对接源_01水果筐数!$D$5:$D$304,对接源_01水果筐数!$B$5:$B$304,$B89,对接源_01水果筐数!$C$5:$C$304,基础资料!$B$8))</f>
        <v/>
      </c>
      <c r="AF89" s="25" t="str">
        <f>IF(OR($B89="",基础资料!$B$4=""),"",SUMIFS(对接源_01水果筐数!$E$5:$E$304,对接源_01水果筐数!$B$5:$B$304,$B89,对接源_01水果筐数!$C$5:$C$304,基础资料!$B$4))</f>
        <v/>
      </c>
      <c r="AG89" s="25" t="str">
        <f>IF(OR($B89="",基础资料!$B$5=""),"",SUMIFS(对接源_01水果筐数!$E$5:$E$304,对接源_01水果筐数!$B$5:$B$304,$B89,对接源_01水果筐数!$C$5:$C$304,基础资料!$B$5))</f>
        <v/>
      </c>
      <c r="AH89" s="25" t="str">
        <f>IF(OR($B89="",基础资料!$B$6=""),"",SUMIFS(对接源_01水果筐数!$E$5:$E$304,对接源_01水果筐数!$B$5:$B$304,$B89,对接源_01水果筐数!$C$5:$C$304,基础资料!$B$6))</f>
        <v/>
      </c>
      <c r="AI89" s="25" t="str">
        <f>IF(OR($B89="",基础资料!$B$7=""),"",SUMIFS(对接源_01水果筐数!$E$5:$E$304,对接源_01水果筐数!$B$5:$B$304,$B89,对接源_01水果筐数!$C$5:$C$304,基础资料!$B$7))</f>
        <v/>
      </c>
      <c r="AJ89" s="25" t="str">
        <f>IF(OR($B89="",基础资料!$B$8=""),"",SUMIFS(对接源_01水果筐数!$E$5:$E$304,对接源_01水果筐数!$B$5:$B$304,$B89,对接源_01水果筐数!$C$5:$C$304,基础资料!$B$8))</f>
        <v/>
      </c>
      <c r="AK89" s="25" t="str">
        <f>IF(OR($B89="",基础资料!$B$4=""),"",SUMIFS(对接源_01水果筐数!$F$5:$F$304,对接源_01水果筐数!$B$5:$B$304,$B89,对接源_01水果筐数!$C$5:$C$304,基础资料!$B$4))</f>
        <v/>
      </c>
      <c r="AL89" s="25" t="str">
        <f>IF(OR($B89="",基础资料!$B$5=""),"",SUMIFS(对接源_01水果筐数!$F$5:$F$304,对接源_01水果筐数!$B$5:$B$304,$B89,对接源_01水果筐数!$C$5:$C$304,基础资料!$B$5))</f>
        <v/>
      </c>
      <c r="AM89" s="25" t="str">
        <f>IF(OR($B89="",基础资料!$B$6=""),"",SUMIFS(对接源_01水果筐数!$F$5:$F$304,对接源_01水果筐数!$B$5:$B$304,$B89,对接源_01水果筐数!$C$5:$C$304,基础资料!$B$6))</f>
        <v/>
      </c>
      <c r="AN89" s="25" t="str">
        <f>IF(OR($B89="",基础资料!$B$7=""),"",SUMIFS(对接源_01水果筐数!$F$5:$F$304,对接源_01水果筐数!$B$5:$B$304,$B89,对接源_01水果筐数!$C$5:$C$304,基础资料!$B$7))</f>
        <v/>
      </c>
      <c r="AO89" s="25" t="str">
        <f>IF(OR($B89="",基础资料!$B$8=""),"",SUMIFS(对接源_01水果筐数!$F$5:$F$304,对接源_01水果筐数!$B$5:$B$304,$B89,对接源_01水果筐数!$C$5:$C$304,基础资料!$B$8))</f>
        <v/>
      </c>
      <c r="AP89" s="25" t="str">
        <f t="shared" si="17"/>
        <v/>
      </c>
      <c r="AQ89" s="25" t="str">
        <f t="shared" si="18"/>
        <v/>
      </c>
      <c r="AR89" s="25" t="str">
        <f t="shared" si="19"/>
        <v/>
      </c>
      <c r="AS89" s="25" t="str">
        <f t="shared" si="20"/>
        <v/>
      </c>
      <c r="AT89" s="25" t="str">
        <f t="shared" si="21"/>
        <v/>
      </c>
      <c r="AU89" s="25" t="str">
        <f t="shared" si="22"/>
        <v/>
      </c>
      <c r="AV89" s="24" t="str">
        <f t="shared" si="23"/>
        <v/>
      </c>
      <c r="AW89" s="72"/>
    </row>
    <row r="90" spans="1:49">
      <c r="A90" s="22" t="str">
        <f t="shared" si="12"/>
        <v/>
      </c>
      <c r="B90" s="24" t="str">
        <f>IFERROR(INDEX(_自动清单!$CC$4:$CC$253,ROW()-3),"")</f>
        <v/>
      </c>
      <c r="C90" s="25" t="str">
        <f>IF(OR($B90="",基础资料!$B$4=""),"",SUMIFS(周转筐出入库明细!$J$4:$J$2004,周转筐出入库明细!$C$4:$C$2004,$B90,周转筐出入库明细!$D$4:$D$2004,基础资料!$B$4,周转筐出入库明细!$B$4:$B$2004,"&gt;="&amp;$BC$1,周转筐出入库明细!$B$4:$B$2004,"&lt;="&amp;$BC$2))</f>
        <v/>
      </c>
      <c r="D90" s="25" t="str">
        <f>IF(OR($B90="",基础资料!$B$5=""),"",SUMIFS(周转筐出入库明细!$J$4:$J$2004,周转筐出入库明细!$C$4:$C$2004,$B90,周转筐出入库明细!$D$4:$D$2004,基础资料!$B$5,周转筐出入库明细!$B$4:$B$2004,"&gt;="&amp;$BC$1,周转筐出入库明细!$B$4:$B$2004,"&lt;="&amp;$BC$2))</f>
        <v/>
      </c>
      <c r="E90" s="25" t="str">
        <f>IF(OR($B90="",基础资料!$B$6=""),"",SUMIFS(周转筐出入库明细!$J$4:$J$2004,周转筐出入库明细!$C$4:$C$2004,$B90,周转筐出入库明细!$D$4:$D$2004,基础资料!$B$6,周转筐出入库明细!$B$4:$B$2004,"&gt;="&amp;$BC$1,周转筐出入库明细!$B$4:$B$2004,"&lt;="&amp;$BC$2))</f>
        <v/>
      </c>
      <c r="F90" s="25" t="str">
        <f>IF(OR($B90="",基础资料!$B$7=""),"",SUMIFS(周转筐出入库明细!$J$4:$J$2004,周转筐出入库明细!$C$4:$C$2004,$B90,周转筐出入库明细!$D$4:$D$2004,基础资料!$B$7,周转筐出入库明细!$B$4:$B$2004,"&gt;="&amp;$BC$1,周转筐出入库明细!$B$4:$B$2004,"&lt;="&amp;$BC$2))</f>
        <v/>
      </c>
      <c r="G90" s="25" t="str">
        <f>IF(OR($B90="",基础资料!$B$8=""),"",SUMIFS(周转筐出入库明细!$J$4:$J$2004,周转筐出入库明细!$C$4:$C$2004,$B90,周转筐出入库明细!$D$4:$D$2004,基础资料!$B$8,周转筐出入库明细!$B$4:$B$2004,"&gt;="&amp;$BC$1,周转筐出入库明细!$B$4:$B$2004,"&lt;="&amp;$BC$2))</f>
        <v/>
      </c>
      <c r="H90" s="25" t="str">
        <f t="shared" si="13"/>
        <v/>
      </c>
      <c r="I90" s="67" t="str">
        <f>IF(OR($B90="",基础资料!$B$4=""),"",-SUMIFS(周转筐出入库明细!$I$4:$I$2004,周转筐出入库明细!$C$4:$C$2004,$B90,周转筐出入库明细!$D$4:$D$2004,基础资料!$B$4,周转筐出入库明细!$B$4:$B$2004,"&gt;="&amp;$BC$1,周转筐出入库明细!$B$4:$B$2004,"&lt;="&amp;$BC$2))</f>
        <v/>
      </c>
      <c r="J90" s="67" t="str">
        <f>IF(OR($B90="",基础资料!$B$5=""),"",-SUMIFS(周转筐出入库明细!$I$4:$I$2004,周转筐出入库明细!$C$4:$C$2004,$B90,周转筐出入库明细!$D$4:$D$2004,基础资料!$B$5,周转筐出入库明细!$B$4:$B$2004,"&gt;="&amp;$BC$1,周转筐出入库明细!$B$4:$B$2004,"&lt;="&amp;$BC$2))</f>
        <v/>
      </c>
      <c r="K90" s="67" t="str">
        <f>IF(OR($B90="",基础资料!$B$6=""),"",-SUMIFS(周转筐出入库明细!$I$4:$I$2004,周转筐出入库明细!$C$4:$C$2004,$B90,周转筐出入库明细!$D$4:$D$2004,基础资料!$B$6,周转筐出入库明细!$B$4:$B$2004,"&gt;="&amp;$BC$1,周转筐出入库明细!$B$4:$B$2004,"&lt;="&amp;$BC$2))</f>
        <v/>
      </c>
      <c r="L90" s="67" t="str">
        <f>IF(OR($B90="",基础资料!$B$7=""),"",-SUMIFS(周转筐出入库明细!$I$4:$I$2004,周转筐出入库明细!$C$4:$C$2004,$B90,周转筐出入库明细!$D$4:$D$2004,基础资料!$B$7,周转筐出入库明细!$B$4:$B$2004,"&gt;="&amp;$BC$1,周转筐出入库明细!$B$4:$B$2004,"&lt;="&amp;$BC$2))</f>
        <v/>
      </c>
      <c r="M90" s="67" t="str">
        <f>IF(OR($B90="",基础资料!$B$8=""),"",-SUMIFS(周转筐出入库明细!$I$4:$I$2004,周转筐出入库明细!$C$4:$C$2004,$B90,周转筐出入库明细!$D$4:$D$2004,基础资料!$B$8,周转筐出入库明细!$B$4:$B$2004,"&gt;="&amp;$BC$1,周转筐出入库明细!$B$4:$B$2004,"&lt;="&amp;$BC$2))</f>
        <v/>
      </c>
      <c r="N90" s="67" t="str">
        <f t="shared" si="14"/>
        <v/>
      </c>
      <c r="O90" s="25" t="str">
        <f>IF(OR($B90="",基础资料!$B$4=""),"",SUMIFS(周转筐出入库明细!$H$4:$H$2004,周转筐出入库明细!$C$4:$C$2004,$B90,周转筐出入库明细!$D$4:$D$2004,基础资料!$B$4,周转筐出入库明细!$F$4:$F$2004,"采购入库",周转筐出入库明细!$B$4:$B$2004,"&gt;="&amp;$BC$1,周转筐出入库明细!$B$4:$B$2004,"&lt;="&amp;$BC$2))</f>
        <v/>
      </c>
      <c r="P90" s="25" t="str">
        <f>IF(OR($B90="",基础资料!$B$5=""),"",SUMIFS(周转筐出入库明细!$H$4:$H$2004,周转筐出入库明细!$C$4:$C$2004,$B90,周转筐出入库明细!$D$4:$D$2004,基础资料!$B$5,周转筐出入库明细!$F$4:$F$2004,"采购入库",周转筐出入库明细!$B$4:$B$2004,"&gt;="&amp;$BC$1,周转筐出入库明细!$B$4:$B$2004,"&lt;="&amp;$BC$2))</f>
        <v/>
      </c>
      <c r="Q90" s="25" t="str">
        <f>IF(OR($B90="",基础资料!$B$6=""),"",SUMIFS(周转筐出入库明细!$H$4:$H$2004,周转筐出入库明细!$C$4:$C$2004,$B90,周转筐出入库明细!$D$4:$D$2004,基础资料!$B$6,周转筐出入库明细!$F$4:$F$2004,"采购入库",周转筐出入库明细!$B$4:$B$2004,"&gt;="&amp;$BC$1,周转筐出入库明细!$B$4:$B$2004,"&lt;="&amp;$BC$2))</f>
        <v/>
      </c>
      <c r="R90" s="25" t="str">
        <f>IF(OR($B90="",基础资料!$B$7=""),"",SUMIFS(周转筐出入库明细!$H$4:$H$2004,周转筐出入库明细!$C$4:$C$2004,$B90,周转筐出入库明细!$D$4:$D$2004,基础资料!$B$7,周转筐出入库明细!$F$4:$F$2004,"采购入库",周转筐出入库明细!$B$4:$B$2004,"&gt;="&amp;$BC$1,周转筐出入库明细!$B$4:$B$2004,"&lt;="&amp;$BC$2))</f>
        <v/>
      </c>
      <c r="S90" s="25" t="str">
        <f>IF(OR($B90="",基础资料!$B$8=""),"",SUMIFS(周转筐出入库明细!$H$4:$H$2004,周转筐出入库明细!$C$4:$C$2004,$B90,周转筐出入库明细!$D$4:$D$2004,基础资料!$B$8,周转筐出入库明细!$F$4:$F$2004,"采购入库",周转筐出入库明细!$B$4:$B$2004,"&gt;="&amp;$BC$1,周转筐出入库明细!$B$4:$B$2004,"&lt;="&amp;$BC$2))</f>
        <v/>
      </c>
      <c r="T90" s="25" t="str">
        <f t="shared" si="15"/>
        <v/>
      </c>
      <c r="U90" s="25" t="str">
        <f>IF(OR($B90="",基础资料!$B$4=""),"",SUMIFS(周转筐出入库明细!$K$4:$K$2004,周转筐出入库明细!$C$4:$C$2004,$B90,周转筐出入库明细!$D$4:$D$2004,基础资料!$B$4,周转筐出入库明细!$B$4:$B$2004,"&gt;="&amp;$BC$1,周转筐出入库明细!$B$4:$B$2004,"&lt;="&amp;$BC$2))</f>
        <v/>
      </c>
      <c r="V90" s="25" t="str">
        <f>IF(OR($B90="",基础资料!$B$5=""),"",SUMIFS(周转筐出入库明细!$K$4:$K$2004,周转筐出入库明细!$C$4:$C$2004,$B90,周转筐出入库明细!$D$4:$D$2004,基础资料!$B$5,周转筐出入库明细!$B$4:$B$2004,"&gt;="&amp;$BC$1,周转筐出入库明细!$B$4:$B$2004,"&lt;="&amp;$BC$2))</f>
        <v/>
      </c>
      <c r="W90" s="25" t="str">
        <f>IF(OR($B90="",基础资料!$B$6=""),"",SUMIFS(周转筐出入库明细!$K$4:$K$2004,周转筐出入库明细!$C$4:$C$2004,$B90,周转筐出入库明细!$D$4:$D$2004,基础资料!$B$6,周转筐出入库明细!$B$4:$B$2004,"&gt;="&amp;$BC$1,周转筐出入库明细!$B$4:$B$2004,"&lt;="&amp;$BC$2))</f>
        <v/>
      </c>
      <c r="X90" s="25" t="str">
        <f>IF(OR($B90="",基础资料!$B$7=""),"",SUMIFS(周转筐出入库明细!$K$4:$K$2004,周转筐出入库明细!$C$4:$C$2004,$B90,周转筐出入库明细!$D$4:$D$2004,基础资料!$B$7,周转筐出入库明细!$B$4:$B$2004,"&gt;="&amp;$BC$1,周转筐出入库明细!$B$4:$B$2004,"&lt;="&amp;$BC$2))</f>
        <v/>
      </c>
      <c r="Y90" s="25" t="str">
        <f>IF(OR($B90="",基础资料!$B$8=""),"",SUMIFS(周转筐出入库明细!$K$4:$K$2004,周转筐出入库明细!$C$4:$C$2004,$B90,周转筐出入库明细!$D$4:$D$2004,基础资料!$B$8,周转筐出入库明细!$B$4:$B$2004,"&gt;="&amp;$BC$1,周转筐出入库明细!$B$4:$B$2004,"&lt;="&amp;$BC$2))</f>
        <v/>
      </c>
      <c r="Z90" s="25" t="str">
        <f t="shared" si="16"/>
        <v/>
      </c>
      <c r="AA90" s="67" t="str">
        <f>IF(OR($B90="",基础资料!$B$4=""),"",-SUMIFS(对接源_01水果筐数!$D$5:$D$304,对接源_01水果筐数!$B$5:$B$304,$B90,对接源_01水果筐数!$C$5:$C$304,基础资料!$B$4))</f>
        <v/>
      </c>
      <c r="AB90" s="67" t="str">
        <f>IF(OR($B90="",基础资料!$B$5=""),"",-SUMIFS(对接源_01水果筐数!$D$5:$D$304,对接源_01水果筐数!$B$5:$B$304,$B90,对接源_01水果筐数!$C$5:$C$304,基础资料!$B$5))</f>
        <v/>
      </c>
      <c r="AC90" s="67" t="str">
        <f>IF(OR($B90="",基础资料!$B$6=""),"",-SUMIFS(对接源_01水果筐数!$D$5:$D$304,对接源_01水果筐数!$B$5:$B$304,$B90,对接源_01水果筐数!$C$5:$C$304,基础资料!$B$6))</f>
        <v/>
      </c>
      <c r="AD90" s="67" t="str">
        <f>IF(OR($B90="",基础资料!$B$7=""),"",-SUMIFS(对接源_01水果筐数!$D$5:$D$304,对接源_01水果筐数!$B$5:$B$304,$B90,对接源_01水果筐数!$C$5:$C$304,基础资料!$B$7))</f>
        <v/>
      </c>
      <c r="AE90" s="67" t="str">
        <f>IF(OR($B90="",基础资料!$B$8=""),"",-SUMIFS(对接源_01水果筐数!$D$5:$D$304,对接源_01水果筐数!$B$5:$B$304,$B90,对接源_01水果筐数!$C$5:$C$304,基础资料!$B$8))</f>
        <v/>
      </c>
      <c r="AF90" s="25" t="str">
        <f>IF(OR($B90="",基础资料!$B$4=""),"",SUMIFS(对接源_01水果筐数!$E$5:$E$304,对接源_01水果筐数!$B$5:$B$304,$B90,对接源_01水果筐数!$C$5:$C$304,基础资料!$B$4))</f>
        <v/>
      </c>
      <c r="AG90" s="25" t="str">
        <f>IF(OR($B90="",基础资料!$B$5=""),"",SUMIFS(对接源_01水果筐数!$E$5:$E$304,对接源_01水果筐数!$B$5:$B$304,$B90,对接源_01水果筐数!$C$5:$C$304,基础资料!$B$5))</f>
        <v/>
      </c>
      <c r="AH90" s="25" t="str">
        <f>IF(OR($B90="",基础资料!$B$6=""),"",SUMIFS(对接源_01水果筐数!$E$5:$E$304,对接源_01水果筐数!$B$5:$B$304,$B90,对接源_01水果筐数!$C$5:$C$304,基础资料!$B$6))</f>
        <v/>
      </c>
      <c r="AI90" s="25" t="str">
        <f>IF(OR($B90="",基础资料!$B$7=""),"",SUMIFS(对接源_01水果筐数!$E$5:$E$304,对接源_01水果筐数!$B$5:$B$304,$B90,对接源_01水果筐数!$C$5:$C$304,基础资料!$B$7))</f>
        <v/>
      </c>
      <c r="AJ90" s="25" t="str">
        <f>IF(OR($B90="",基础资料!$B$8=""),"",SUMIFS(对接源_01水果筐数!$E$5:$E$304,对接源_01水果筐数!$B$5:$B$304,$B90,对接源_01水果筐数!$C$5:$C$304,基础资料!$B$8))</f>
        <v/>
      </c>
      <c r="AK90" s="25" t="str">
        <f>IF(OR($B90="",基础资料!$B$4=""),"",SUMIFS(对接源_01水果筐数!$F$5:$F$304,对接源_01水果筐数!$B$5:$B$304,$B90,对接源_01水果筐数!$C$5:$C$304,基础资料!$B$4))</f>
        <v/>
      </c>
      <c r="AL90" s="25" t="str">
        <f>IF(OR($B90="",基础资料!$B$5=""),"",SUMIFS(对接源_01水果筐数!$F$5:$F$304,对接源_01水果筐数!$B$5:$B$304,$B90,对接源_01水果筐数!$C$5:$C$304,基础资料!$B$5))</f>
        <v/>
      </c>
      <c r="AM90" s="25" t="str">
        <f>IF(OR($B90="",基础资料!$B$6=""),"",SUMIFS(对接源_01水果筐数!$F$5:$F$304,对接源_01水果筐数!$B$5:$B$304,$B90,对接源_01水果筐数!$C$5:$C$304,基础资料!$B$6))</f>
        <v/>
      </c>
      <c r="AN90" s="25" t="str">
        <f>IF(OR($B90="",基础资料!$B$7=""),"",SUMIFS(对接源_01水果筐数!$F$5:$F$304,对接源_01水果筐数!$B$5:$B$304,$B90,对接源_01水果筐数!$C$5:$C$304,基础资料!$B$7))</f>
        <v/>
      </c>
      <c r="AO90" s="25" t="str">
        <f>IF(OR($B90="",基础资料!$B$8=""),"",SUMIFS(对接源_01水果筐数!$F$5:$F$304,对接源_01水果筐数!$B$5:$B$304,$B90,对接源_01水果筐数!$C$5:$C$304,基础资料!$B$8))</f>
        <v/>
      </c>
      <c r="AP90" s="25" t="str">
        <f t="shared" si="17"/>
        <v/>
      </c>
      <c r="AQ90" s="25" t="str">
        <f t="shared" si="18"/>
        <v/>
      </c>
      <c r="AR90" s="25" t="str">
        <f t="shared" si="19"/>
        <v/>
      </c>
      <c r="AS90" s="25" t="str">
        <f t="shared" si="20"/>
        <v/>
      </c>
      <c r="AT90" s="25" t="str">
        <f t="shared" si="21"/>
        <v/>
      </c>
      <c r="AU90" s="25" t="str">
        <f t="shared" si="22"/>
        <v/>
      </c>
      <c r="AV90" s="24" t="str">
        <f t="shared" si="23"/>
        <v/>
      </c>
      <c r="AW90" s="72"/>
    </row>
    <row r="91" spans="1:49">
      <c r="A91" s="22" t="str">
        <f t="shared" si="12"/>
        <v/>
      </c>
      <c r="B91" s="24" t="str">
        <f>IFERROR(INDEX(_自动清单!$CC$4:$CC$253,ROW()-3),"")</f>
        <v/>
      </c>
      <c r="C91" s="25" t="str">
        <f>IF(OR($B91="",基础资料!$B$4=""),"",SUMIFS(周转筐出入库明细!$J$4:$J$2004,周转筐出入库明细!$C$4:$C$2004,$B91,周转筐出入库明细!$D$4:$D$2004,基础资料!$B$4,周转筐出入库明细!$B$4:$B$2004,"&gt;="&amp;$BC$1,周转筐出入库明细!$B$4:$B$2004,"&lt;="&amp;$BC$2))</f>
        <v/>
      </c>
      <c r="D91" s="25" t="str">
        <f>IF(OR($B91="",基础资料!$B$5=""),"",SUMIFS(周转筐出入库明细!$J$4:$J$2004,周转筐出入库明细!$C$4:$C$2004,$B91,周转筐出入库明细!$D$4:$D$2004,基础资料!$B$5,周转筐出入库明细!$B$4:$B$2004,"&gt;="&amp;$BC$1,周转筐出入库明细!$B$4:$B$2004,"&lt;="&amp;$BC$2))</f>
        <v/>
      </c>
      <c r="E91" s="25" t="str">
        <f>IF(OR($B91="",基础资料!$B$6=""),"",SUMIFS(周转筐出入库明细!$J$4:$J$2004,周转筐出入库明细!$C$4:$C$2004,$B91,周转筐出入库明细!$D$4:$D$2004,基础资料!$B$6,周转筐出入库明细!$B$4:$B$2004,"&gt;="&amp;$BC$1,周转筐出入库明细!$B$4:$B$2004,"&lt;="&amp;$BC$2))</f>
        <v/>
      </c>
      <c r="F91" s="25" t="str">
        <f>IF(OR($B91="",基础资料!$B$7=""),"",SUMIFS(周转筐出入库明细!$J$4:$J$2004,周转筐出入库明细!$C$4:$C$2004,$B91,周转筐出入库明细!$D$4:$D$2004,基础资料!$B$7,周转筐出入库明细!$B$4:$B$2004,"&gt;="&amp;$BC$1,周转筐出入库明细!$B$4:$B$2004,"&lt;="&amp;$BC$2))</f>
        <v/>
      </c>
      <c r="G91" s="25" t="str">
        <f>IF(OR($B91="",基础资料!$B$8=""),"",SUMIFS(周转筐出入库明细!$J$4:$J$2004,周转筐出入库明细!$C$4:$C$2004,$B91,周转筐出入库明细!$D$4:$D$2004,基础资料!$B$8,周转筐出入库明细!$B$4:$B$2004,"&gt;="&amp;$BC$1,周转筐出入库明细!$B$4:$B$2004,"&lt;="&amp;$BC$2))</f>
        <v/>
      </c>
      <c r="H91" s="25" t="str">
        <f t="shared" si="13"/>
        <v/>
      </c>
      <c r="I91" s="67" t="str">
        <f>IF(OR($B91="",基础资料!$B$4=""),"",-SUMIFS(周转筐出入库明细!$I$4:$I$2004,周转筐出入库明细!$C$4:$C$2004,$B91,周转筐出入库明细!$D$4:$D$2004,基础资料!$B$4,周转筐出入库明细!$B$4:$B$2004,"&gt;="&amp;$BC$1,周转筐出入库明细!$B$4:$B$2004,"&lt;="&amp;$BC$2))</f>
        <v/>
      </c>
      <c r="J91" s="67" t="str">
        <f>IF(OR($B91="",基础资料!$B$5=""),"",-SUMIFS(周转筐出入库明细!$I$4:$I$2004,周转筐出入库明细!$C$4:$C$2004,$B91,周转筐出入库明细!$D$4:$D$2004,基础资料!$B$5,周转筐出入库明细!$B$4:$B$2004,"&gt;="&amp;$BC$1,周转筐出入库明细!$B$4:$B$2004,"&lt;="&amp;$BC$2))</f>
        <v/>
      </c>
      <c r="K91" s="67" t="str">
        <f>IF(OR($B91="",基础资料!$B$6=""),"",-SUMIFS(周转筐出入库明细!$I$4:$I$2004,周转筐出入库明细!$C$4:$C$2004,$B91,周转筐出入库明细!$D$4:$D$2004,基础资料!$B$6,周转筐出入库明细!$B$4:$B$2004,"&gt;="&amp;$BC$1,周转筐出入库明细!$B$4:$B$2004,"&lt;="&amp;$BC$2))</f>
        <v/>
      </c>
      <c r="L91" s="67" t="str">
        <f>IF(OR($B91="",基础资料!$B$7=""),"",-SUMIFS(周转筐出入库明细!$I$4:$I$2004,周转筐出入库明细!$C$4:$C$2004,$B91,周转筐出入库明细!$D$4:$D$2004,基础资料!$B$7,周转筐出入库明细!$B$4:$B$2004,"&gt;="&amp;$BC$1,周转筐出入库明细!$B$4:$B$2004,"&lt;="&amp;$BC$2))</f>
        <v/>
      </c>
      <c r="M91" s="67" t="str">
        <f>IF(OR($B91="",基础资料!$B$8=""),"",-SUMIFS(周转筐出入库明细!$I$4:$I$2004,周转筐出入库明细!$C$4:$C$2004,$B91,周转筐出入库明细!$D$4:$D$2004,基础资料!$B$8,周转筐出入库明细!$B$4:$B$2004,"&gt;="&amp;$BC$1,周转筐出入库明细!$B$4:$B$2004,"&lt;="&amp;$BC$2))</f>
        <v/>
      </c>
      <c r="N91" s="67" t="str">
        <f t="shared" si="14"/>
        <v/>
      </c>
      <c r="O91" s="25" t="str">
        <f>IF(OR($B91="",基础资料!$B$4=""),"",SUMIFS(周转筐出入库明细!$H$4:$H$2004,周转筐出入库明细!$C$4:$C$2004,$B91,周转筐出入库明细!$D$4:$D$2004,基础资料!$B$4,周转筐出入库明细!$F$4:$F$2004,"采购入库",周转筐出入库明细!$B$4:$B$2004,"&gt;="&amp;$BC$1,周转筐出入库明细!$B$4:$B$2004,"&lt;="&amp;$BC$2))</f>
        <v/>
      </c>
      <c r="P91" s="25" t="str">
        <f>IF(OR($B91="",基础资料!$B$5=""),"",SUMIFS(周转筐出入库明细!$H$4:$H$2004,周转筐出入库明细!$C$4:$C$2004,$B91,周转筐出入库明细!$D$4:$D$2004,基础资料!$B$5,周转筐出入库明细!$F$4:$F$2004,"采购入库",周转筐出入库明细!$B$4:$B$2004,"&gt;="&amp;$BC$1,周转筐出入库明细!$B$4:$B$2004,"&lt;="&amp;$BC$2))</f>
        <v/>
      </c>
      <c r="Q91" s="25" t="str">
        <f>IF(OR($B91="",基础资料!$B$6=""),"",SUMIFS(周转筐出入库明细!$H$4:$H$2004,周转筐出入库明细!$C$4:$C$2004,$B91,周转筐出入库明细!$D$4:$D$2004,基础资料!$B$6,周转筐出入库明细!$F$4:$F$2004,"采购入库",周转筐出入库明细!$B$4:$B$2004,"&gt;="&amp;$BC$1,周转筐出入库明细!$B$4:$B$2004,"&lt;="&amp;$BC$2))</f>
        <v/>
      </c>
      <c r="R91" s="25" t="str">
        <f>IF(OR($B91="",基础资料!$B$7=""),"",SUMIFS(周转筐出入库明细!$H$4:$H$2004,周转筐出入库明细!$C$4:$C$2004,$B91,周转筐出入库明细!$D$4:$D$2004,基础资料!$B$7,周转筐出入库明细!$F$4:$F$2004,"采购入库",周转筐出入库明细!$B$4:$B$2004,"&gt;="&amp;$BC$1,周转筐出入库明细!$B$4:$B$2004,"&lt;="&amp;$BC$2))</f>
        <v/>
      </c>
      <c r="S91" s="25" t="str">
        <f>IF(OR($B91="",基础资料!$B$8=""),"",SUMIFS(周转筐出入库明细!$H$4:$H$2004,周转筐出入库明细!$C$4:$C$2004,$B91,周转筐出入库明细!$D$4:$D$2004,基础资料!$B$8,周转筐出入库明细!$F$4:$F$2004,"采购入库",周转筐出入库明细!$B$4:$B$2004,"&gt;="&amp;$BC$1,周转筐出入库明细!$B$4:$B$2004,"&lt;="&amp;$BC$2))</f>
        <v/>
      </c>
      <c r="T91" s="25" t="str">
        <f t="shared" si="15"/>
        <v/>
      </c>
      <c r="U91" s="25" t="str">
        <f>IF(OR($B91="",基础资料!$B$4=""),"",SUMIFS(周转筐出入库明细!$K$4:$K$2004,周转筐出入库明细!$C$4:$C$2004,$B91,周转筐出入库明细!$D$4:$D$2004,基础资料!$B$4,周转筐出入库明细!$B$4:$B$2004,"&gt;="&amp;$BC$1,周转筐出入库明细!$B$4:$B$2004,"&lt;="&amp;$BC$2))</f>
        <v/>
      </c>
      <c r="V91" s="25" t="str">
        <f>IF(OR($B91="",基础资料!$B$5=""),"",SUMIFS(周转筐出入库明细!$K$4:$K$2004,周转筐出入库明细!$C$4:$C$2004,$B91,周转筐出入库明细!$D$4:$D$2004,基础资料!$B$5,周转筐出入库明细!$B$4:$B$2004,"&gt;="&amp;$BC$1,周转筐出入库明细!$B$4:$B$2004,"&lt;="&amp;$BC$2))</f>
        <v/>
      </c>
      <c r="W91" s="25" t="str">
        <f>IF(OR($B91="",基础资料!$B$6=""),"",SUMIFS(周转筐出入库明细!$K$4:$K$2004,周转筐出入库明细!$C$4:$C$2004,$B91,周转筐出入库明细!$D$4:$D$2004,基础资料!$B$6,周转筐出入库明细!$B$4:$B$2004,"&gt;="&amp;$BC$1,周转筐出入库明细!$B$4:$B$2004,"&lt;="&amp;$BC$2))</f>
        <v/>
      </c>
      <c r="X91" s="25" t="str">
        <f>IF(OR($B91="",基础资料!$B$7=""),"",SUMIFS(周转筐出入库明细!$K$4:$K$2004,周转筐出入库明细!$C$4:$C$2004,$B91,周转筐出入库明细!$D$4:$D$2004,基础资料!$B$7,周转筐出入库明细!$B$4:$B$2004,"&gt;="&amp;$BC$1,周转筐出入库明细!$B$4:$B$2004,"&lt;="&amp;$BC$2))</f>
        <v/>
      </c>
      <c r="Y91" s="25" t="str">
        <f>IF(OR($B91="",基础资料!$B$8=""),"",SUMIFS(周转筐出入库明细!$K$4:$K$2004,周转筐出入库明细!$C$4:$C$2004,$B91,周转筐出入库明细!$D$4:$D$2004,基础资料!$B$8,周转筐出入库明细!$B$4:$B$2004,"&gt;="&amp;$BC$1,周转筐出入库明细!$B$4:$B$2004,"&lt;="&amp;$BC$2))</f>
        <v/>
      </c>
      <c r="Z91" s="25" t="str">
        <f t="shared" si="16"/>
        <v/>
      </c>
      <c r="AA91" s="67" t="str">
        <f>IF(OR($B91="",基础资料!$B$4=""),"",-SUMIFS(对接源_01水果筐数!$D$5:$D$304,对接源_01水果筐数!$B$5:$B$304,$B91,对接源_01水果筐数!$C$5:$C$304,基础资料!$B$4))</f>
        <v/>
      </c>
      <c r="AB91" s="67" t="str">
        <f>IF(OR($B91="",基础资料!$B$5=""),"",-SUMIFS(对接源_01水果筐数!$D$5:$D$304,对接源_01水果筐数!$B$5:$B$304,$B91,对接源_01水果筐数!$C$5:$C$304,基础资料!$B$5))</f>
        <v/>
      </c>
      <c r="AC91" s="67" t="str">
        <f>IF(OR($B91="",基础资料!$B$6=""),"",-SUMIFS(对接源_01水果筐数!$D$5:$D$304,对接源_01水果筐数!$B$5:$B$304,$B91,对接源_01水果筐数!$C$5:$C$304,基础资料!$B$6))</f>
        <v/>
      </c>
      <c r="AD91" s="67" t="str">
        <f>IF(OR($B91="",基础资料!$B$7=""),"",-SUMIFS(对接源_01水果筐数!$D$5:$D$304,对接源_01水果筐数!$B$5:$B$304,$B91,对接源_01水果筐数!$C$5:$C$304,基础资料!$B$7))</f>
        <v/>
      </c>
      <c r="AE91" s="67" t="str">
        <f>IF(OR($B91="",基础资料!$B$8=""),"",-SUMIFS(对接源_01水果筐数!$D$5:$D$304,对接源_01水果筐数!$B$5:$B$304,$B91,对接源_01水果筐数!$C$5:$C$304,基础资料!$B$8))</f>
        <v/>
      </c>
      <c r="AF91" s="25" t="str">
        <f>IF(OR($B91="",基础资料!$B$4=""),"",SUMIFS(对接源_01水果筐数!$E$5:$E$304,对接源_01水果筐数!$B$5:$B$304,$B91,对接源_01水果筐数!$C$5:$C$304,基础资料!$B$4))</f>
        <v/>
      </c>
      <c r="AG91" s="25" t="str">
        <f>IF(OR($B91="",基础资料!$B$5=""),"",SUMIFS(对接源_01水果筐数!$E$5:$E$304,对接源_01水果筐数!$B$5:$B$304,$B91,对接源_01水果筐数!$C$5:$C$304,基础资料!$B$5))</f>
        <v/>
      </c>
      <c r="AH91" s="25" t="str">
        <f>IF(OR($B91="",基础资料!$B$6=""),"",SUMIFS(对接源_01水果筐数!$E$5:$E$304,对接源_01水果筐数!$B$5:$B$304,$B91,对接源_01水果筐数!$C$5:$C$304,基础资料!$B$6))</f>
        <v/>
      </c>
      <c r="AI91" s="25" t="str">
        <f>IF(OR($B91="",基础资料!$B$7=""),"",SUMIFS(对接源_01水果筐数!$E$5:$E$304,对接源_01水果筐数!$B$5:$B$304,$B91,对接源_01水果筐数!$C$5:$C$304,基础资料!$B$7))</f>
        <v/>
      </c>
      <c r="AJ91" s="25" t="str">
        <f>IF(OR($B91="",基础资料!$B$8=""),"",SUMIFS(对接源_01水果筐数!$E$5:$E$304,对接源_01水果筐数!$B$5:$B$304,$B91,对接源_01水果筐数!$C$5:$C$304,基础资料!$B$8))</f>
        <v/>
      </c>
      <c r="AK91" s="25" t="str">
        <f>IF(OR($B91="",基础资料!$B$4=""),"",SUMIFS(对接源_01水果筐数!$F$5:$F$304,对接源_01水果筐数!$B$5:$B$304,$B91,对接源_01水果筐数!$C$5:$C$304,基础资料!$B$4))</f>
        <v/>
      </c>
      <c r="AL91" s="25" t="str">
        <f>IF(OR($B91="",基础资料!$B$5=""),"",SUMIFS(对接源_01水果筐数!$F$5:$F$304,对接源_01水果筐数!$B$5:$B$304,$B91,对接源_01水果筐数!$C$5:$C$304,基础资料!$B$5))</f>
        <v/>
      </c>
      <c r="AM91" s="25" t="str">
        <f>IF(OR($B91="",基础资料!$B$6=""),"",SUMIFS(对接源_01水果筐数!$F$5:$F$304,对接源_01水果筐数!$B$5:$B$304,$B91,对接源_01水果筐数!$C$5:$C$304,基础资料!$B$6))</f>
        <v/>
      </c>
      <c r="AN91" s="25" t="str">
        <f>IF(OR($B91="",基础资料!$B$7=""),"",SUMIFS(对接源_01水果筐数!$F$5:$F$304,对接源_01水果筐数!$B$5:$B$304,$B91,对接源_01水果筐数!$C$5:$C$304,基础资料!$B$7))</f>
        <v/>
      </c>
      <c r="AO91" s="25" t="str">
        <f>IF(OR($B91="",基础资料!$B$8=""),"",SUMIFS(对接源_01水果筐数!$F$5:$F$304,对接源_01水果筐数!$B$5:$B$304,$B91,对接源_01水果筐数!$C$5:$C$304,基础资料!$B$8))</f>
        <v/>
      </c>
      <c r="AP91" s="25" t="str">
        <f t="shared" si="17"/>
        <v/>
      </c>
      <c r="AQ91" s="25" t="str">
        <f t="shared" si="18"/>
        <v/>
      </c>
      <c r="AR91" s="25" t="str">
        <f t="shared" si="19"/>
        <v/>
      </c>
      <c r="AS91" s="25" t="str">
        <f t="shared" si="20"/>
        <v/>
      </c>
      <c r="AT91" s="25" t="str">
        <f t="shared" si="21"/>
        <v/>
      </c>
      <c r="AU91" s="25" t="str">
        <f t="shared" si="22"/>
        <v/>
      </c>
      <c r="AV91" s="24" t="str">
        <f t="shared" si="23"/>
        <v/>
      </c>
      <c r="AW91" s="72"/>
    </row>
    <row r="92" spans="1:49">
      <c r="A92" s="22" t="str">
        <f t="shared" si="12"/>
        <v/>
      </c>
      <c r="B92" s="24" t="str">
        <f>IFERROR(INDEX(_自动清单!$CC$4:$CC$253,ROW()-3),"")</f>
        <v/>
      </c>
      <c r="C92" s="25" t="str">
        <f>IF(OR($B92="",基础资料!$B$4=""),"",SUMIFS(周转筐出入库明细!$J$4:$J$2004,周转筐出入库明细!$C$4:$C$2004,$B92,周转筐出入库明细!$D$4:$D$2004,基础资料!$B$4,周转筐出入库明细!$B$4:$B$2004,"&gt;="&amp;$BC$1,周转筐出入库明细!$B$4:$B$2004,"&lt;="&amp;$BC$2))</f>
        <v/>
      </c>
      <c r="D92" s="25" t="str">
        <f>IF(OR($B92="",基础资料!$B$5=""),"",SUMIFS(周转筐出入库明细!$J$4:$J$2004,周转筐出入库明细!$C$4:$C$2004,$B92,周转筐出入库明细!$D$4:$D$2004,基础资料!$B$5,周转筐出入库明细!$B$4:$B$2004,"&gt;="&amp;$BC$1,周转筐出入库明细!$B$4:$B$2004,"&lt;="&amp;$BC$2))</f>
        <v/>
      </c>
      <c r="E92" s="25" t="str">
        <f>IF(OR($B92="",基础资料!$B$6=""),"",SUMIFS(周转筐出入库明细!$J$4:$J$2004,周转筐出入库明细!$C$4:$C$2004,$B92,周转筐出入库明细!$D$4:$D$2004,基础资料!$B$6,周转筐出入库明细!$B$4:$B$2004,"&gt;="&amp;$BC$1,周转筐出入库明细!$B$4:$B$2004,"&lt;="&amp;$BC$2))</f>
        <v/>
      </c>
      <c r="F92" s="25" t="str">
        <f>IF(OR($B92="",基础资料!$B$7=""),"",SUMIFS(周转筐出入库明细!$J$4:$J$2004,周转筐出入库明细!$C$4:$C$2004,$B92,周转筐出入库明细!$D$4:$D$2004,基础资料!$B$7,周转筐出入库明细!$B$4:$B$2004,"&gt;="&amp;$BC$1,周转筐出入库明细!$B$4:$B$2004,"&lt;="&amp;$BC$2))</f>
        <v/>
      </c>
      <c r="G92" s="25" t="str">
        <f>IF(OR($B92="",基础资料!$B$8=""),"",SUMIFS(周转筐出入库明细!$J$4:$J$2004,周转筐出入库明细!$C$4:$C$2004,$B92,周转筐出入库明细!$D$4:$D$2004,基础资料!$B$8,周转筐出入库明细!$B$4:$B$2004,"&gt;="&amp;$BC$1,周转筐出入库明细!$B$4:$B$2004,"&lt;="&amp;$BC$2))</f>
        <v/>
      </c>
      <c r="H92" s="25" t="str">
        <f t="shared" si="13"/>
        <v/>
      </c>
      <c r="I92" s="67" t="str">
        <f>IF(OR($B92="",基础资料!$B$4=""),"",-SUMIFS(周转筐出入库明细!$I$4:$I$2004,周转筐出入库明细!$C$4:$C$2004,$B92,周转筐出入库明细!$D$4:$D$2004,基础资料!$B$4,周转筐出入库明细!$B$4:$B$2004,"&gt;="&amp;$BC$1,周转筐出入库明细!$B$4:$B$2004,"&lt;="&amp;$BC$2))</f>
        <v/>
      </c>
      <c r="J92" s="67" t="str">
        <f>IF(OR($B92="",基础资料!$B$5=""),"",-SUMIFS(周转筐出入库明细!$I$4:$I$2004,周转筐出入库明细!$C$4:$C$2004,$B92,周转筐出入库明细!$D$4:$D$2004,基础资料!$B$5,周转筐出入库明细!$B$4:$B$2004,"&gt;="&amp;$BC$1,周转筐出入库明细!$B$4:$B$2004,"&lt;="&amp;$BC$2))</f>
        <v/>
      </c>
      <c r="K92" s="67" t="str">
        <f>IF(OR($B92="",基础资料!$B$6=""),"",-SUMIFS(周转筐出入库明细!$I$4:$I$2004,周转筐出入库明细!$C$4:$C$2004,$B92,周转筐出入库明细!$D$4:$D$2004,基础资料!$B$6,周转筐出入库明细!$B$4:$B$2004,"&gt;="&amp;$BC$1,周转筐出入库明细!$B$4:$B$2004,"&lt;="&amp;$BC$2))</f>
        <v/>
      </c>
      <c r="L92" s="67" t="str">
        <f>IF(OR($B92="",基础资料!$B$7=""),"",-SUMIFS(周转筐出入库明细!$I$4:$I$2004,周转筐出入库明细!$C$4:$C$2004,$B92,周转筐出入库明细!$D$4:$D$2004,基础资料!$B$7,周转筐出入库明细!$B$4:$B$2004,"&gt;="&amp;$BC$1,周转筐出入库明细!$B$4:$B$2004,"&lt;="&amp;$BC$2))</f>
        <v/>
      </c>
      <c r="M92" s="67" t="str">
        <f>IF(OR($B92="",基础资料!$B$8=""),"",-SUMIFS(周转筐出入库明细!$I$4:$I$2004,周转筐出入库明细!$C$4:$C$2004,$B92,周转筐出入库明细!$D$4:$D$2004,基础资料!$B$8,周转筐出入库明细!$B$4:$B$2004,"&gt;="&amp;$BC$1,周转筐出入库明细!$B$4:$B$2004,"&lt;="&amp;$BC$2))</f>
        <v/>
      </c>
      <c r="N92" s="67" t="str">
        <f t="shared" si="14"/>
        <v/>
      </c>
      <c r="O92" s="25" t="str">
        <f>IF(OR($B92="",基础资料!$B$4=""),"",SUMIFS(周转筐出入库明细!$H$4:$H$2004,周转筐出入库明细!$C$4:$C$2004,$B92,周转筐出入库明细!$D$4:$D$2004,基础资料!$B$4,周转筐出入库明细!$F$4:$F$2004,"采购入库",周转筐出入库明细!$B$4:$B$2004,"&gt;="&amp;$BC$1,周转筐出入库明细!$B$4:$B$2004,"&lt;="&amp;$BC$2))</f>
        <v/>
      </c>
      <c r="P92" s="25" t="str">
        <f>IF(OR($B92="",基础资料!$B$5=""),"",SUMIFS(周转筐出入库明细!$H$4:$H$2004,周转筐出入库明细!$C$4:$C$2004,$B92,周转筐出入库明细!$D$4:$D$2004,基础资料!$B$5,周转筐出入库明细!$F$4:$F$2004,"采购入库",周转筐出入库明细!$B$4:$B$2004,"&gt;="&amp;$BC$1,周转筐出入库明细!$B$4:$B$2004,"&lt;="&amp;$BC$2))</f>
        <v/>
      </c>
      <c r="Q92" s="25" t="str">
        <f>IF(OR($B92="",基础资料!$B$6=""),"",SUMIFS(周转筐出入库明细!$H$4:$H$2004,周转筐出入库明细!$C$4:$C$2004,$B92,周转筐出入库明细!$D$4:$D$2004,基础资料!$B$6,周转筐出入库明细!$F$4:$F$2004,"采购入库",周转筐出入库明细!$B$4:$B$2004,"&gt;="&amp;$BC$1,周转筐出入库明细!$B$4:$B$2004,"&lt;="&amp;$BC$2))</f>
        <v/>
      </c>
      <c r="R92" s="25" t="str">
        <f>IF(OR($B92="",基础资料!$B$7=""),"",SUMIFS(周转筐出入库明细!$H$4:$H$2004,周转筐出入库明细!$C$4:$C$2004,$B92,周转筐出入库明细!$D$4:$D$2004,基础资料!$B$7,周转筐出入库明细!$F$4:$F$2004,"采购入库",周转筐出入库明细!$B$4:$B$2004,"&gt;="&amp;$BC$1,周转筐出入库明细!$B$4:$B$2004,"&lt;="&amp;$BC$2))</f>
        <v/>
      </c>
      <c r="S92" s="25" t="str">
        <f>IF(OR($B92="",基础资料!$B$8=""),"",SUMIFS(周转筐出入库明细!$H$4:$H$2004,周转筐出入库明细!$C$4:$C$2004,$B92,周转筐出入库明细!$D$4:$D$2004,基础资料!$B$8,周转筐出入库明细!$F$4:$F$2004,"采购入库",周转筐出入库明细!$B$4:$B$2004,"&gt;="&amp;$BC$1,周转筐出入库明细!$B$4:$B$2004,"&lt;="&amp;$BC$2))</f>
        <v/>
      </c>
      <c r="T92" s="25" t="str">
        <f t="shared" si="15"/>
        <v/>
      </c>
      <c r="U92" s="25" t="str">
        <f>IF(OR($B92="",基础资料!$B$4=""),"",SUMIFS(周转筐出入库明细!$K$4:$K$2004,周转筐出入库明细!$C$4:$C$2004,$B92,周转筐出入库明细!$D$4:$D$2004,基础资料!$B$4,周转筐出入库明细!$B$4:$B$2004,"&gt;="&amp;$BC$1,周转筐出入库明细!$B$4:$B$2004,"&lt;="&amp;$BC$2))</f>
        <v/>
      </c>
      <c r="V92" s="25" t="str">
        <f>IF(OR($B92="",基础资料!$B$5=""),"",SUMIFS(周转筐出入库明细!$K$4:$K$2004,周转筐出入库明细!$C$4:$C$2004,$B92,周转筐出入库明细!$D$4:$D$2004,基础资料!$B$5,周转筐出入库明细!$B$4:$B$2004,"&gt;="&amp;$BC$1,周转筐出入库明细!$B$4:$B$2004,"&lt;="&amp;$BC$2))</f>
        <v/>
      </c>
      <c r="W92" s="25" t="str">
        <f>IF(OR($B92="",基础资料!$B$6=""),"",SUMIFS(周转筐出入库明细!$K$4:$K$2004,周转筐出入库明细!$C$4:$C$2004,$B92,周转筐出入库明细!$D$4:$D$2004,基础资料!$B$6,周转筐出入库明细!$B$4:$B$2004,"&gt;="&amp;$BC$1,周转筐出入库明细!$B$4:$B$2004,"&lt;="&amp;$BC$2))</f>
        <v/>
      </c>
      <c r="X92" s="25" t="str">
        <f>IF(OR($B92="",基础资料!$B$7=""),"",SUMIFS(周转筐出入库明细!$K$4:$K$2004,周转筐出入库明细!$C$4:$C$2004,$B92,周转筐出入库明细!$D$4:$D$2004,基础资料!$B$7,周转筐出入库明细!$B$4:$B$2004,"&gt;="&amp;$BC$1,周转筐出入库明细!$B$4:$B$2004,"&lt;="&amp;$BC$2))</f>
        <v/>
      </c>
      <c r="Y92" s="25" t="str">
        <f>IF(OR($B92="",基础资料!$B$8=""),"",SUMIFS(周转筐出入库明细!$K$4:$K$2004,周转筐出入库明细!$C$4:$C$2004,$B92,周转筐出入库明细!$D$4:$D$2004,基础资料!$B$8,周转筐出入库明细!$B$4:$B$2004,"&gt;="&amp;$BC$1,周转筐出入库明细!$B$4:$B$2004,"&lt;="&amp;$BC$2))</f>
        <v/>
      </c>
      <c r="Z92" s="25" t="str">
        <f t="shared" si="16"/>
        <v/>
      </c>
      <c r="AA92" s="67" t="str">
        <f>IF(OR($B92="",基础资料!$B$4=""),"",-SUMIFS(对接源_01水果筐数!$D$5:$D$304,对接源_01水果筐数!$B$5:$B$304,$B92,对接源_01水果筐数!$C$5:$C$304,基础资料!$B$4))</f>
        <v/>
      </c>
      <c r="AB92" s="67" t="str">
        <f>IF(OR($B92="",基础资料!$B$5=""),"",-SUMIFS(对接源_01水果筐数!$D$5:$D$304,对接源_01水果筐数!$B$5:$B$304,$B92,对接源_01水果筐数!$C$5:$C$304,基础资料!$B$5))</f>
        <v/>
      </c>
      <c r="AC92" s="67" t="str">
        <f>IF(OR($B92="",基础资料!$B$6=""),"",-SUMIFS(对接源_01水果筐数!$D$5:$D$304,对接源_01水果筐数!$B$5:$B$304,$B92,对接源_01水果筐数!$C$5:$C$304,基础资料!$B$6))</f>
        <v/>
      </c>
      <c r="AD92" s="67" t="str">
        <f>IF(OR($B92="",基础资料!$B$7=""),"",-SUMIFS(对接源_01水果筐数!$D$5:$D$304,对接源_01水果筐数!$B$5:$B$304,$B92,对接源_01水果筐数!$C$5:$C$304,基础资料!$B$7))</f>
        <v/>
      </c>
      <c r="AE92" s="67" t="str">
        <f>IF(OR($B92="",基础资料!$B$8=""),"",-SUMIFS(对接源_01水果筐数!$D$5:$D$304,对接源_01水果筐数!$B$5:$B$304,$B92,对接源_01水果筐数!$C$5:$C$304,基础资料!$B$8))</f>
        <v/>
      </c>
      <c r="AF92" s="25" t="str">
        <f>IF(OR($B92="",基础资料!$B$4=""),"",SUMIFS(对接源_01水果筐数!$E$5:$E$304,对接源_01水果筐数!$B$5:$B$304,$B92,对接源_01水果筐数!$C$5:$C$304,基础资料!$B$4))</f>
        <v/>
      </c>
      <c r="AG92" s="25" t="str">
        <f>IF(OR($B92="",基础资料!$B$5=""),"",SUMIFS(对接源_01水果筐数!$E$5:$E$304,对接源_01水果筐数!$B$5:$B$304,$B92,对接源_01水果筐数!$C$5:$C$304,基础资料!$B$5))</f>
        <v/>
      </c>
      <c r="AH92" s="25" t="str">
        <f>IF(OR($B92="",基础资料!$B$6=""),"",SUMIFS(对接源_01水果筐数!$E$5:$E$304,对接源_01水果筐数!$B$5:$B$304,$B92,对接源_01水果筐数!$C$5:$C$304,基础资料!$B$6))</f>
        <v/>
      </c>
      <c r="AI92" s="25" t="str">
        <f>IF(OR($B92="",基础资料!$B$7=""),"",SUMIFS(对接源_01水果筐数!$E$5:$E$304,对接源_01水果筐数!$B$5:$B$304,$B92,对接源_01水果筐数!$C$5:$C$304,基础资料!$B$7))</f>
        <v/>
      </c>
      <c r="AJ92" s="25" t="str">
        <f>IF(OR($B92="",基础资料!$B$8=""),"",SUMIFS(对接源_01水果筐数!$E$5:$E$304,对接源_01水果筐数!$B$5:$B$304,$B92,对接源_01水果筐数!$C$5:$C$304,基础资料!$B$8))</f>
        <v/>
      </c>
      <c r="AK92" s="25" t="str">
        <f>IF(OR($B92="",基础资料!$B$4=""),"",SUMIFS(对接源_01水果筐数!$F$5:$F$304,对接源_01水果筐数!$B$5:$B$304,$B92,对接源_01水果筐数!$C$5:$C$304,基础资料!$B$4))</f>
        <v/>
      </c>
      <c r="AL92" s="25" t="str">
        <f>IF(OR($B92="",基础资料!$B$5=""),"",SUMIFS(对接源_01水果筐数!$F$5:$F$304,对接源_01水果筐数!$B$5:$B$304,$B92,对接源_01水果筐数!$C$5:$C$304,基础资料!$B$5))</f>
        <v/>
      </c>
      <c r="AM92" s="25" t="str">
        <f>IF(OR($B92="",基础资料!$B$6=""),"",SUMIFS(对接源_01水果筐数!$F$5:$F$304,对接源_01水果筐数!$B$5:$B$304,$B92,对接源_01水果筐数!$C$5:$C$304,基础资料!$B$6))</f>
        <v/>
      </c>
      <c r="AN92" s="25" t="str">
        <f>IF(OR($B92="",基础资料!$B$7=""),"",SUMIFS(对接源_01水果筐数!$F$5:$F$304,对接源_01水果筐数!$B$5:$B$304,$B92,对接源_01水果筐数!$C$5:$C$304,基础资料!$B$7))</f>
        <v/>
      </c>
      <c r="AO92" s="25" t="str">
        <f>IF(OR($B92="",基础资料!$B$8=""),"",SUMIFS(对接源_01水果筐数!$F$5:$F$304,对接源_01水果筐数!$B$5:$B$304,$B92,对接源_01水果筐数!$C$5:$C$304,基础资料!$B$8))</f>
        <v/>
      </c>
      <c r="AP92" s="25" t="str">
        <f t="shared" si="17"/>
        <v/>
      </c>
      <c r="AQ92" s="25" t="str">
        <f t="shared" si="18"/>
        <v/>
      </c>
      <c r="AR92" s="25" t="str">
        <f t="shared" si="19"/>
        <v/>
      </c>
      <c r="AS92" s="25" t="str">
        <f t="shared" si="20"/>
        <v/>
      </c>
      <c r="AT92" s="25" t="str">
        <f t="shared" si="21"/>
        <v/>
      </c>
      <c r="AU92" s="25" t="str">
        <f t="shared" si="22"/>
        <v/>
      </c>
      <c r="AV92" s="24" t="str">
        <f t="shared" si="23"/>
        <v/>
      </c>
      <c r="AW92" s="72"/>
    </row>
    <row r="93" spans="1:49">
      <c r="A93" s="22" t="str">
        <f t="shared" si="12"/>
        <v/>
      </c>
      <c r="B93" s="24" t="str">
        <f>IFERROR(INDEX(_自动清单!$CC$4:$CC$253,ROW()-3),"")</f>
        <v/>
      </c>
      <c r="C93" s="25" t="str">
        <f>IF(OR($B93="",基础资料!$B$4=""),"",SUMIFS(周转筐出入库明细!$J$4:$J$2004,周转筐出入库明细!$C$4:$C$2004,$B93,周转筐出入库明细!$D$4:$D$2004,基础资料!$B$4,周转筐出入库明细!$B$4:$B$2004,"&gt;="&amp;$BC$1,周转筐出入库明细!$B$4:$B$2004,"&lt;="&amp;$BC$2))</f>
        <v/>
      </c>
      <c r="D93" s="25" t="str">
        <f>IF(OR($B93="",基础资料!$B$5=""),"",SUMIFS(周转筐出入库明细!$J$4:$J$2004,周转筐出入库明细!$C$4:$C$2004,$B93,周转筐出入库明细!$D$4:$D$2004,基础资料!$B$5,周转筐出入库明细!$B$4:$B$2004,"&gt;="&amp;$BC$1,周转筐出入库明细!$B$4:$B$2004,"&lt;="&amp;$BC$2))</f>
        <v/>
      </c>
      <c r="E93" s="25" t="str">
        <f>IF(OR($B93="",基础资料!$B$6=""),"",SUMIFS(周转筐出入库明细!$J$4:$J$2004,周转筐出入库明细!$C$4:$C$2004,$B93,周转筐出入库明细!$D$4:$D$2004,基础资料!$B$6,周转筐出入库明细!$B$4:$B$2004,"&gt;="&amp;$BC$1,周转筐出入库明细!$B$4:$B$2004,"&lt;="&amp;$BC$2))</f>
        <v/>
      </c>
      <c r="F93" s="25" t="str">
        <f>IF(OR($B93="",基础资料!$B$7=""),"",SUMIFS(周转筐出入库明细!$J$4:$J$2004,周转筐出入库明细!$C$4:$C$2004,$B93,周转筐出入库明细!$D$4:$D$2004,基础资料!$B$7,周转筐出入库明细!$B$4:$B$2004,"&gt;="&amp;$BC$1,周转筐出入库明细!$B$4:$B$2004,"&lt;="&amp;$BC$2))</f>
        <v/>
      </c>
      <c r="G93" s="25" t="str">
        <f>IF(OR($B93="",基础资料!$B$8=""),"",SUMIFS(周转筐出入库明细!$J$4:$J$2004,周转筐出入库明细!$C$4:$C$2004,$B93,周转筐出入库明细!$D$4:$D$2004,基础资料!$B$8,周转筐出入库明细!$B$4:$B$2004,"&gt;="&amp;$BC$1,周转筐出入库明细!$B$4:$B$2004,"&lt;="&amp;$BC$2))</f>
        <v/>
      </c>
      <c r="H93" s="25" t="str">
        <f t="shared" si="13"/>
        <v/>
      </c>
      <c r="I93" s="67" t="str">
        <f>IF(OR($B93="",基础资料!$B$4=""),"",-SUMIFS(周转筐出入库明细!$I$4:$I$2004,周转筐出入库明细!$C$4:$C$2004,$B93,周转筐出入库明细!$D$4:$D$2004,基础资料!$B$4,周转筐出入库明细!$B$4:$B$2004,"&gt;="&amp;$BC$1,周转筐出入库明细!$B$4:$B$2004,"&lt;="&amp;$BC$2))</f>
        <v/>
      </c>
      <c r="J93" s="67" t="str">
        <f>IF(OR($B93="",基础资料!$B$5=""),"",-SUMIFS(周转筐出入库明细!$I$4:$I$2004,周转筐出入库明细!$C$4:$C$2004,$B93,周转筐出入库明细!$D$4:$D$2004,基础资料!$B$5,周转筐出入库明细!$B$4:$B$2004,"&gt;="&amp;$BC$1,周转筐出入库明细!$B$4:$B$2004,"&lt;="&amp;$BC$2))</f>
        <v/>
      </c>
      <c r="K93" s="67" t="str">
        <f>IF(OR($B93="",基础资料!$B$6=""),"",-SUMIFS(周转筐出入库明细!$I$4:$I$2004,周转筐出入库明细!$C$4:$C$2004,$B93,周转筐出入库明细!$D$4:$D$2004,基础资料!$B$6,周转筐出入库明细!$B$4:$B$2004,"&gt;="&amp;$BC$1,周转筐出入库明细!$B$4:$B$2004,"&lt;="&amp;$BC$2))</f>
        <v/>
      </c>
      <c r="L93" s="67" t="str">
        <f>IF(OR($B93="",基础资料!$B$7=""),"",-SUMIFS(周转筐出入库明细!$I$4:$I$2004,周转筐出入库明细!$C$4:$C$2004,$B93,周转筐出入库明细!$D$4:$D$2004,基础资料!$B$7,周转筐出入库明细!$B$4:$B$2004,"&gt;="&amp;$BC$1,周转筐出入库明细!$B$4:$B$2004,"&lt;="&amp;$BC$2))</f>
        <v/>
      </c>
      <c r="M93" s="67" t="str">
        <f>IF(OR($B93="",基础资料!$B$8=""),"",-SUMIFS(周转筐出入库明细!$I$4:$I$2004,周转筐出入库明细!$C$4:$C$2004,$B93,周转筐出入库明细!$D$4:$D$2004,基础资料!$B$8,周转筐出入库明细!$B$4:$B$2004,"&gt;="&amp;$BC$1,周转筐出入库明细!$B$4:$B$2004,"&lt;="&amp;$BC$2))</f>
        <v/>
      </c>
      <c r="N93" s="67" t="str">
        <f t="shared" si="14"/>
        <v/>
      </c>
      <c r="O93" s="25" t="str">
        <f>IF(OR($B93="",基础资料!$B$4=""),"",SUMIFS(周转筐出入库明细!$H$4:$H$2004,周转筐出入库明细!$C$4:$C$2004,$B93,周转筐出入库明细!$D$4:$D$2004,基础资料!$B$4,周转筐出入库明细!$F$4:$F$2004,"采购入库",周转筐出入库明细!$B$4:$B$2004,"&gt;="&amp;$BC$1,周转筐出入库明细!$B$4:$B$2004,"&lt;="&amp;$BC$2))</f>
        <v/>
      </c>
      <c r="P93" s="25" t="str">
        <f>IF(OR($B93="",基础资料!$B$5=""),"",SUMIFS(周转筐出入库明细!$H$4:$H$2004,周转筐出入库明细!$C$4:$C$2004,$B93,周转筐出入库明细!$D$4:$D$2004,基础资料!$B$5,周转筐出入库明细!$F$4:$F$2004,"采购入库",周转筐出入库明细!$B$4:$B$2004,"&gt;="&amp;$BC$1,周转筐出入库明细!$B$4:$B$2004,"&lt;="&amp;$BC$2))</f>
        <v/>
      </c>
      <c r="Q93" s="25" t="str">
        <f>IF(OR($B93="",基础资料!$B$6=""),"",SUMIFS(周转筐出入库明细!$H$4:$H$2004,周转筐出入库明细!$C$4:$C$2004,$B93,周转筐出入库明细!$D$4:$D$2004,基础资料!$B$6,周转筐出入库明细!$F$4:$F$2004,"采购入库",周转筐出入库明细!$B$4:$B$2004,"&gt;="&amp;$BC$1,周转筐出入库明细!$B$4:$B$2004,"&lt;="&amp;$BC$2))</f>
        <v/>
      </c>
      <c r="R93" s="25" t="str">
        <f>IF(OR($B93="",基础资料!$B$7=""),"",SUMIFS(周转筐出入库明细!$H$4:$H$2004,周转筐出入库明细!$C$4:$C$2004,$B93,周转筐出入库明细!$D$4:$D$2004,基础资料!$B$7,周转筐出入库明细!$F$4:$F$2004,"采购入库",周转筐出入库明细!$B$4:$B$2004,"&gt;="&amp;$BC$1,周转筐出入库明细!$B$4:$B$2004,"&lt;="&amp;$BC$2))</f>
        <v/>
      </c>
      <c r="S93" s="25" t="str">
        <f>IF(OR($B93="",基础资料!$B$8=""),"",SUMIFS(周转筐出入库明细!$H$4:$H$2004,周转筐出入库明细!$C$4:$C$2004,$B93,周转筐出入库明细!$D$4:$D$2004,基础资料!$B$8,周转筐出入库明细!$F$4:$F$2004,"采购入库",周转筐出入库明细!$B$4:$B$2004,"&gt;="&amp;$BC$1,周转筐出入库明细!$B$4:$B$2004,"&lt;="&amp;$BC$2))</f>
        <v/>
      </c>
      <c r="T93" s="25" t="str">
        <f t="shared" si="15"/>
        <v/>
      </c>
      <c r="U93" s="25" t="str">
        <f>IF(OR($B93="",基础资料!$B$4=""),"",SUMIFS(周转筐出入库明细!$K$4:$K$2004,周转筐出入库明细!$C$4:$C$2004,$B93,周转筐出入库明细!$D$4:$D$2004,基础资料!$B$4,周转筐出入库明细!$B$4:$B$2004,"&gt;="&amp;$BC$1,周转筐出入库明细!$B$4:$B$2004,"&lt;="&amp;$BC$2))</f>
        <v/>
      </c>
      <c r="V93" s="25" t="str">
        <f>IF(OR($B93="",基础资料!$B$5=""),"",SUMIFS(周转筐出入库明细!$K$4:$K$2004,周转筐出入库明细!$C$4:$C$2004,$B93,周转筐出入库明细!$D$4:$D$2004,基础资料!$B$5,周转筐出入库明细!$B$4:$B$2004,"&gt;="&amp;$BC$1,周转筐出入库明细!$B$4:$B$2004,"&lt;="&amp;$BC$2))</f>
        <v/>
      </c>
      <c r="W93" s="25" t="str">
        <f>IF(OR($B93="",基础资料!$B$6=""),"",SUMIFS(周转筐出入库明细!$K$4:$K$2004,周转筐出入库明细!$C$4:$C$2004,$B93,周转筐出入库明细!$D$4:$D$2004,基础资料!$B$6,周转筐出入库明细!$B$4:$B$2004,"&gt;="&amp;$BC$1,周转筐出入库明细!$B$4:$B$2004,"&lt;="&amp;$BC$2))</f>
        <v/>
      </c>
      <c r="X93" s="25" t="str">
        <f>IF(OR($B93="",基础资料!$B$7=""),"",SUMIFS(周转筐出入库明细!$K$4:$K$2004,周转筐出入库明细!$C$4:$C$2004,$B93,周转筐出入库明细!$D$4:$D$2004,基础资料!$B$7,周转筐出入库明细!$B$4:$B$2004,"&gt;="&amp;$BC$1,周转筐出入库明细!$B$4:$B$2004,"&lt;="&amp;$BC$2))</f>
        <v/>
      </c>
      <c r="Y93" s="25" t="str">
        <f>IF(OR($B93="",基础资料!$B$8=""),"",SUMIFS(周转筐出入库明细!$K$4:$K$2004,周转筐出入库明细!$C$4:$C$2004,$B93,周转筐出入库明细!$D$4:$D$2004,基础资料!$B$8,周转筐出入库明细!$B$4:$B$2004,"&gt;="&amp;$BC$1,周转筐出入库明细!$B$4:$B$2004,"&lt;="&amp;$BC$2))</f>
        <v/>
      </c>
      <c r="Z93" s="25" t="str">
        <f t="shared" si="16"/>
        <v/>
      </c>
      <c r="AA93" s="67" t="str">
        <f>IF(OR($B93="",基础资料!$B$4=""),"",-SUMIFS(对接源_01水果筐数!$D$5:$D$304,对接源_01水果筐数!$B$5:$B$304,$B93,对接源_01水果筐数!$C$5:$C$304,基础资料!$B$4))</f>
        <v/>
      </c>
      <c r="AB93" s="67" t="str">
        <f>IF(OR($B93="",基础资料!$B$5=""),"",-SUMIFS(对接源_01水果筐数!$D$5:$D$304,对接源_01水果筐数!$B$5:$B$304,$B93,对接源_01水果筐数!$C$5:$C$304,基础资料!$B$5))</f>
        <v/>
      </c>
      <c r="AC93" s="67" t="str">
        <f>IF(OR($B93="",基础资料!$B$6=""),"",-SUMIFS(对接源_01水果筐数!$D$5:$D$304,对接源_01水果筐数!$B$5:$B$304,$B93,对接源_01水果筐数!$C$5:$C$304,基础资料!$B$6))</f>
        <v/>
      </c>
      <c r="AD93" s="67" t="str">
        <f>IF(OR($B93="",基础资料!$B$7=""),"",-SUMIFS(对接源_01水果筐数!$D$5:$D$304,对接源_01水果筐数!$B$5:$B$304,$B93,对接源_01水果筐数!$C$5:$C$304,基础资料!$B$7))</f>
        <v/>
      </c>
      <c r="AE93" s="67" t="str">
        <f>IF(OR($B93="",基础资料!$B$8=""),"",-SUMIFS(对接源_01水果筐数!$D$5:$D$304,对接源_01水果筐数!$B$5:$B$304,$B93,对接源_01水果筐数!$C$5:$C$304,基础资料!$B$8))</f>
        <v/>
      </c>
      <c r="AF93" s="25" t="str">
        <f>IF(OR($B93="",基础资料!$B$4=""),"",SUMIFS(对接源_01水果筐数!$E$5:$E$304,对接源_01水果筐数!$B$5:$B$304,$B93,对接源_01水果筐数!$C$5:$C$304,基础资料!$B$4))</f>
        <v/>
      </c>
      <c r="AG93" s="25" t="str">
        <f>IF(OR($B93="",基础资料!$B$5=""),"",SUMIFS(对接源_01水果筐数!$E$5:$E$304,对接源_01水果筐数!$B$5:$B$304,$B93,对接源_01水果筐数!$C$5:$C$304,基础资料!$B$5))</f>
        <v/>
      </c>
      <c r="AH93" s="25" t="str">
        <f>IF(OR($B93="",基础资料!$B$6=""),"",SUMIFS(对接源_01水果筐数!$E$5:$E$304,对接源_01水果筐数!$B$5:$B$304,$B93,对接源_01水果筐数!$C$5:$C$304,基础资料!$B$6))</f>
        <v/>
      </c>
      <c r="AI93" s="25" t="str">
        <f>IF(OR($B93="",基础资料!$B$7=""),"",SUMIFS(对接源_01水果筐数!$E$5:$E$304,对接源_01水果筐数!$B$5:$B$304,$B93,对接源_01水果筐数!$C$5:$C$304,基础资料!$B$7))</f>
        <v/>
      </c>
      <c r="AJ93" s="25" t="str">
        <f>IF(OR($B93="",基础资料!$B$8=""),"",SUMIFS(对接源_01水果筐数!$E$5:$E$304,对接源_01水果筐数!$B$5:$B$304,$B93,对接源_01水果筐数!$C$5:$C$304,基础资料!$B$8))</f>
        <v/>
      </c>
      <c r="AK93" s="25" t="str">
        <f>IF(OR($B93="",基础资料!$B$4=""),"",SUMIFS(对接源_01水果筐数!$F$5:$F$304,对接源_01水果筐数!$B$5:$B$304,$B93,对接源_01水果筐数!$C$5:$C$304,基础资料!$B$4))</f>
        <v/>
      </c>
      <c r="AL93" s="25" t="str">
        <f>IF(OR($B93="",基础资料!$B$5=""),"",SUMIFS(对接源_01水果筐数!$F$5:$F$304,对接源_01水果筐数!$B$5:$B$304,$B93,对接源_01水果筐数!$C$5:$C$304,基础资料!$B$5))</f>
        <v/>
      </c>
      <c r="AM93" s="25" t="str">
        <f>IF(OR($B93="",基础资料!$B$6=""),"",SUMIFS(对接源_01水果筐数!$F$5:$F$304,对接源_01水果筐数!$B$5:$B$304,$B93,对接源_01水果筐数!$C$5:$C$304,基础资料!$B$6))</f>
        <v/>
      </c>
      <c r="AN93" s="25" t="str">
        <f>IF(OR($B93="",基础资料!$B$7=""),"",SUMIFS(对接源_01水果筐数!$F$5:$F$304,对接源_01水果筐数!$B$5:$B$304,$B93,对接源_01水果筐数!$C$5:$C$304,基础资料!$B$7))</f>
        <v/>
      </c>
      <c r="AO93" s="25" t="str">
        <f>IF(OR($B93="",基础资料!$B$8=""),"",SUMIFS(对接源_01水果筐数!$F$5:$F$304,对接源_01水果筐数!$B$5:$B$304,$B93,对接源_01水果筐数!$C$5:$C$304,基础资料!$B$8))</f>
        <v/>
      </c>
      <c r="AP93" s="25" t="str">
        <f t="shared" si="17"/>
        <v/>
      </c>
      <c r="AQ93" s="25" t="str">
        <f t="shared" si="18"/>
        <v/>
      </c>
      <c r="AR93" s="25" t="str">
        <f t="shared" si="19"/>
        <v/>
      </c>
      <c r="AS93" s="25" t="str">
        <f t="shared" si="20"/>
        <v/>
      </c>
      <c r="AT93" s="25" t="str">
        <f t="shared" si="21"/>
        <v/>
      </c>
      <c r="AU93" s="25" t="str">
        <f t="shared" si="22"/>
        <v/>
      </c>
      <c r="AV93" s="24" t="str">
        <f t="shared" si="23"/>
        <v/>
      </c>
      <c r="AW93" s="72"/>
    </row>
    <row r="94" spans="1:49">
      <c r="A94" s="22" t="str">
        <f t="shared" si="12"/>
        <v/>
      </c>
      <c r="B94" s="24" t="str">
        <f>IFERROR(INDEX(_自动清单!$CC$4:$CC$253,ROW()-3),"")</f>
        <v/>
      </c>
      <c r="C94" s="25" t="str">
        <f>IF(OR($B94="",基础资料!$B$4=""),"",SUMIFS(周转筐出入库明细!$J$4:$J$2004,周转筐出入库明细!$C$4:$C$2004,$B94,周转筐出入库明细!$D$4:$D$2004,基础资料!$B$4,周转筐出入库明细!$B$4:$B$2004,"&gt;="&amp;$BC$1,周转筐出入库明细!$B$4:$B$2004,"&lt;="&amp;$BC$2))</f>
        <v/>
      </c>
      <c r="D94" s="25" t="str">
        <f>IF(OR($B94="",基础资料!$B$5=""),"",SUMIFS(周转筐出入库明细!$J$4:$J$2004,周转筐出入库明细!$C$4:$C$2004,$B94,周转筐出入库明细!$D$4:$D$2004,基础资料!$B$5,周转筐出入库明细!$B$4:$B$2004,"&gt;="&amp;$BC$1,周转筐出入库明细!$B$4:$B$2004,"&lt;="&amp;$BC$2))</f>
        <v/>
      </c>
      <c r="E94" s="25" t="str">
        <f>IF(OR($B94="",基础资料!$B$6=""),"",SUMIFS(周转筐出入库明细!$J$4:$J$2004,周转筐出入库明细!$C$4:$C$2004,$B94,周转筐出入库明细!$D$4:$D$2004,基础资料!$B$6,周转筐出入库明细!$B$4:$B$2004,"&gt;="&amp;$BC$1,周转筐出入库明细!$B$4:$B$2004,"&lt;="&amp;$BC$2))</f>
        <v/>
      </c>
      <c r="F94" s="25" t="str">
        <f>IF(OR($B94="",基础资料!$B$7=""),"",SUMIFS(周转筐出入库明细!$J$4:$J$2004,周转筐出入库明细!$C$4:$C$2004,$B94,周转筐出入库明细!$D$4:$D$2004,基础资料!$B$7,周转筐出入库明细!$B$4:$B$2004,"&gt;="&amp;$BC$1,周转筐出入库明细!$B$4:$B$2004,"&lt;="&amp;$BC$2))</f>
        <v/>
      </c>
      <c r="G94" s="25" t="str">
        <f>IF(OR($B94="",基础资料!$B$8=""),"",SUMIFS(周转筐出入库明细!$J$4:$J$2004,周转筐出入库明细!$C$4:$C$2004,$B94,周转筐出入库明细!$D$4:$D$2004,基础资料!$B$8,周转筐出入库明细!$B$4:$B$2004,"&gt;="&amp;$BC$1,周转筐出入库明细!$B$4:$B$2004,"&lt;="&amp;$BC$2))</f>
        <v/>
      </c>
      <c r="H94" s="25" t="str">
        <f t="shared" si="13"/>
        <v/>
      </c>
      <c r="I94" s="67" t="str">
        <f>IF(OR($B94="",基础资料!$B$4=""),"",-SUMIFS(周转筐出入库明细!$I$4:$I$2004,周转筐出入库明细!$C$4:$C$2004,$B94,周转筐出入库明细!$D$4:$D$2004,基础资料!$B$4,周转筐出入库明细!$B$4:$B$2004,"&gt;="&amp;$BC$1,周转筐出入库明细!$B$4:$B$2004,"&lt;="&amp;$BC$2))</f>
        <v/>
      </c>
      <c r="J94" s="67" t="str">
        <f>IF(OR($B94="",基础资料!$B$5=""),"",-SUMIFS(周转筐出入库明细!$I$4:$I$2004,周转筐出入库明细!$C$4:$C$2004,$B94,周转筐出入库明细!$D$4:$D$2004,基础资料!$B$5,周转筐出入库明细!$B$4:$B$2004,"&gt;="&amp;$BC$1,周转筐出入库明细!$B$4:$B$2004,"&lt;="&amp;$BC$2))</f>
        <v/>
      </c>
      <c r="K94" s="67" t="str">
        <f>IF(OR($B94="",基础资料!$B$6=""),"",-SUMIFS(周转筐出入库明细!$I$4:$I$2004,周转筐出入库明细!$C$4:$C$2004,$B94,周转筐出入库明细!$D$4:$D$2004,基础资料!$B$6,周转筐出入库明细!$B$4:$B$2004,"&gt;="&amp;$BC$1,周转筐出入库明细!$B$4:$B$2004,"&lt;="&amp;$BC$2))</f>
        <v/>
      </c>
      <c r="L94" s="67" t="str">
        <f>IF(OR($B94="",基础资料!$B$7=""),"",-SUMIFS(周转筐出入库明细!$I$4:$I$2004,周转筐出入库明细!$C$4:$C$2004,$B94,周转筐出入库明细!$D$4:$D$2004,基础资料!$B$7,周转筐出入库明细!$B$4:$B$2004,"&gt;="&amp;$BC$1,周转筐出入库明细!$B$4:$B$2004,"&lt;="&amp;$BC$2))</f>
        <v/>
      </c>
      <c r="M94" s="67" t="str">
        <f>IF(OR($B94="",基础资料!$B$8=""),"",-SUMIFS(周转筐出入库明细!$I$4:$I$2004,周转筐出入库明细!$C$4:$C$2004,$B94,周转筐出入库明细!$D$4:$D$2004,基础资料!$B$8,周转筐出入库明细!$B$4:$B$2004,"&gt;="&amp;$BC$1,周转筐出入库明细!$B$4:$B$2004,"&lt;="&amp;$BC$2))</f>
        <v/>
      </c>
      <c r="N94" s="67" t="str">
        <f t="shared" si="14"/>
        <v/>
      </c>
      <c r="O94" s="25" t="str">
        <f>IF(OR($B94="",基础资料!$B$4=""),"",SUMIFS(周转筐出入库明细!$H$4:$H$2004,周转筐出入库明细!$C$4:$C$2004,$B94,周转筐出入库明细!$D$4:$D$2004,基础资料!$B$4,周转筐出入库明细!$F$4:$F$2004,"采购入库",周转筐出入库明细!$B$4:$B$2004,"&gt;="&amp;$BC$1,周转筐出入库明细!$B$4:$B$2004,"&lt;="&amp;$BC$2))</f>
        <v/>
      </c>
      <c r="P94" s="25" t="str">
        <f>IF(OR($B94="",基础资料!$B$5=""),"",SUMIFS(周转筐出入库明细!$H$4:$H$2004,周转筐出入库明细!$C$4:$C$2004,$B94,周转筐出入库明细!$D$4:$D$2004,基础资料!$B$5,周转筐出入库明细!$F$4:$F$2004,"采购入库",周转筐出入库明细!$B$4:$B$2004,"&gt;="&amp;$BC$1,周转筐出入库明细!$B$4:$B$2004,"&lt;="&amp;$BC$2))</f>
        <v/>
      </c>
      <c r="Q94" s="25" t="str">
        <f>IF(OR($B94="",基础资料!$B$6=""),"",SUMIFS(周转筐出入库明细!$H$4:$H$2004,周转筐出入库明细!$C$4:$C$2004,$B94,周转筐出入库明细!$D$4:$D$2004,基础资料!$B$6,周转筐出入库明细!$F$4:$F$2004,"采购入库",周转筐出入库明细!$B$4:$B$2004,"&gt;="&amp;$BC$1,周转筐出入库明细!$B$4:$B$2004,"&lt;="&amp;$BC$2))</f>
        <v/>
      </c>
      <c r="R94" s="25" t="str">
        <f>IF(OR($B94="",基础资料!$B$7=""),"",SUMIFS(周转筐出入库明细!$H$4:$H$2004,周转筐出入库明细!$C$4:$C$2004,$B94,周转筐出入库明细!$D$4:$D$2004,基础资料!$B$7,周转筐出入库明细!$F$4:$F$2004,"采购入库",周转筐出入库明细!$B$4:$B$2004,"&gt;="&amp;$BC$1,周转筐出入库明细!$B$4:$B$2004,"&lt;="&amp;$BC$2))</f>
        <v/>
      </c>
      <c r="S94" s="25" t="str">
        <f>IF(OR($B94="",基础资料!$B$8=""),"",SUMIFS(周转筐出入库明细!$H$4:$H$2004,周转筐出入库明细!$C$4:$C$2004,$B94,周转筐出入库明细!$D$4:$D$2004,基础资料!$B$8,周转筐出入库明细!$F$4:$F$2004,"采购入库",周转筐出入库明细!$B$4:$B$2004,"&gt;="&amp;$BC$1,周转筐出入库明细!$B$4:$B$2004,"&lt;="&amp;$BC$2))</f>
        <v/>
      </c>
      <c r="T94" s="25" t="str">
        <f t="shared" si="15"/>
        <v/>
      </c>
      <c r="U94" s="25" t="str">
        <f>IF(OR($B94="",基础资料!$B$4=""),"",SUMIFS(周转筐出入库明细!$K$4:$K$2004,周转筐出入库明细!$C$4:$C$2004,$B94,周转筐出入库明细!$D$4:$D$2004,基础资料!$B$4,周转筐出入库明细!$B$4:$B$2004,"&gt;="&amp;$BC$1,周转筐出入库明细!$B$4:$B$2004,"&lt;="&amp;$BC$2))</f>
        <v/>
      </c>
      <c r="V94" s="25" t="str">
        <f>IF(OR($B94="",基础资料!$B$5=""),"",SUMIFS(周转筐出入库明细!$K$4:$K$2004,周转筐出入库明细!$C$4:$C$2004,$B94,周转筐出入库明细!$D$4:$D$2004,基础资料!$B$5,周转筐出入库明细!$B$4:$B$2004,"&gt;="&amp;$BC$1,周转筐出入库明细!$B$4:$B$2004,"&lt;="&amp;$BC$2))</f>
        <v/>
      </c>
      <c r="W94" s="25" t="str">
        <f>IF(OR($B94="",基础资料!$B$6=""),"",SUMIFS(周转筐出入库明细!$K$4:$K$2004,周转筐出入库明细!$C$4:$C$2004,$B94,周转筐出入库明细!$D$4:$D$2004,基础资料!$B$6,周转筐出入库明细!$B$4:$B$2004,"&gt;="&amp;$BC$1,周转筐出入库明细!$B$4:$B$2004,"&lt;="&amp;$BC$2))</f>
        <v/>
      </c>
      <c r="X94" s="25" t="str">
        <f>IF(OR($B94="",基础资料!$B$7=""),"",SUMIFS(周转筐出入库明细!$K$4:$K$2004,周转筐出入库明细!$C$4:$C$2004,$B94,周转筐出入库明细!$D$4:$D$2004,基础资料!$B$7,周转筐出入库明细!$B$4:$B$2004,"&gt;="&amp;$BC$1,周转筐出入库明细!$B$4:$B$2004,"&lt;="&amp;$BC$2))</f>
        <v/>
      </c>
      <c r="Y94" s="25" t="str">
        <f>IF(OR($B94="",基础资料!$B$8=""),"",SUMIFS(周转筐出入库明细!$K$4:$K$2004,周转筐出入库明细!$C$4:$C$2004,$B94,周转筐出入库明细!$D$4:$D$2004,基础资料!$B$8,周转筐出入库明细!$B$4:$B$2004,"&gt;="&amp;$BC$1,周转筐出入库明细!$B$4:$B$2004,"&lt;="&amp;$BC$2))</f>
        <v/>
      </c>
      <c r="Z94" s="25" t="str">
        <f t="shared" si="16"/>
        <v/>
      </c>
      <c r="AA94" s="67" t="str">
        <f>IF(OR($B94="",基础资料!$B$4=""),"",-SUMIFS(对接源_01水果筐数!$D$5:$D$304,对接源_01水果筐数!$B$5:$B$304,$B94,对接源_01水果筐数!$C$5:$C$304,基础资料!$B$4))</f>
        <v/>
      </c>
      <c r="AB94" s="67" t="str">
        <f>IF(OR($B94="",基础资料!$B$5=""),"",-SUMIFS(对接源_01水果筐数!$D$5:$D$304,对接源_01水果筐数!$B$5:$B$304,$B94,对接源_01水果筐数!$C$5:$C$304,基础资料!$B$5))</f>
        <v/>
      </c>
      <c r="AC94" s="67" t="str">
        <f>IF(OR($B94="",基础资料!$B$6=""),"",-SUMIFS(对接源_01水果筐数!$D$5:$D$304,对接源_01水果筐数!$B$5:$B$304,$B94,对接源_01水果筐数!$C$5:$C$304,基础资料!$B$6))</f>
        <v/>
      </c>
      <c r="AD94" s="67" t="str">
        <f>IF(OR($B94="",基础资料!$B$7=""),"",-SUMIFS(对接源_01水果筐数!$D$5:$D$304,对接源_01水果筐数!$B$5:$B$304,$B94,对接源_01水果筐数!$C$5:$C$304,基础资料!$B$7))</f>
        <v/>
      </c>
      <c r="AE94" s="67" t="str">
        <f>IF(OR($B94="",基础资料!$B$8=""),"",-SUMIFS(对接源_01水果筐数!$D$5:$D$304,对接源_01水果筐数!$B$5:$B$304,$B94,对接源_01水果筐数!$C$5:$C$304,基础资料!$B$8))</f>
        <v/>
      </c>
      <c r="AF94" s="25" t="str">
        <f>IF(OR($B94="",基础资料!$B$4=""),"",SUMIFS(对接源_01水果筐数!$E$5:$E$304,对接源_01水果筐数!$B$5:$B$304,$B94,对接源_01水果筐数!$C$5:$C$304,基础资料!$B$4))</f>
        <v/>
      </c>
      <c r="AG94" s="25" t="str">
        <f>IF(OR($B94="",基础资料!$B$5=""),"",SUMIFS(对接源_01水果筐数!$E$5:$E$304,对接源_01水果筐数!$B$5:$B$304,$B94,对接源_01水果筐数!$C$5:$C$304,基础资料!$B$5))</f>
        <v/>
      </c>
      <c r="AH94" s="25" t="str">
        <f>IF(OR($B94="",基础资料!$B$6=""),"",SUMIFS(对接源_01水果筐数!$E$5:$E$304,对接源_01水果筐数!$B$5:$B$304,$B94,对接源_01水果筐数!$C$5:$C$304,基础资料!$B$6))</f>
        <v/>
      </c>
      <c r="AI94" s="25" t="str">
        <f>IF(OR($B94="",基础资料!$B$7=""),"",SUMIFS(对接源_01水果筐数!$E$5:$E$304,对接源_01水果筐数!$B$5:$B$304,$B94,对接源_01水果筐数!$C$5:$C$304,基础资料!$B$7))</f>
        <v/>
      </c>
      <c r="AJ94" s="25" t="str">
        <f>IF(OR($B94="",基础资料!$B$8=""),"",SUMIFS(对接源_01水果筐数!$E$5:$E$304,对接源_01水果筐数!$B$5:$B$304,$B94,对接源_01水果筐数!$C$5:$C$304,基础资料!$B$8))</f>
        <v/>
      </c>
      <c r="AK94" s="25" t="str">
        <f>IF(OR($B94="",基础资料!$B$4=""),"",SUMIFS(对接源_01水果筐数!$F$5:$F$304,对接源_01水果筐数!$B$5:$B$304,$B94,对接源_01水果筐数!$C$5:$C$304,基础资料!$B$4))</f>
        <v/>
      </c>
      <c r="AL94" s="25" t="str">
        <f>IF(OR($B94="",基础资料!$B$5=""),"",SUMIFS(对接源_01水果筐数!$F$5:$F$304,对接源_01水果筐数!$B$5:$B$304,$B94,对接源_01水果筐数!$C$5:$C$304,基础资料!$B$5))</f>
        <v/>
      </c>
      <c r="AM94" s="25" t="str">
        <f>IF(OR($B94="",基础资料!$B$6=""),"",SUMIFS(对接源_01水果筐数!$F$5:$F$304,对接源_01水果筐数!$B$5:$B$304,$B94,对接源_01水果筐数!$C$5:$C$304,基础资料!$B$6))</f>
        <v/>
      </c>
      <c r="AN94" s="25" t="str">
        <f>IF(OR($B94="",基础资料!$B$7=""),"",SUMIFS(对接源_01水果筐数!$F$5:$F$304,对接源_01水果筐数!$B$5:$B$304,$B94,对接源_01水果筐数!$C$5:$C$304,基础资料!$B$7))</f>
        <v/>
      </c>
      <c r="AO94" s="25" t="str">
        <f>IF(OR($B94="",基础资料!$B$8=""),"",SUMIFS(对接源_01水果筐数!$F$5:$F$304,对接源_01水果筐数!$B$5:$B$304,$B94,对接源_01水果筐数!$C$5:$C$304,基础资料!$B$8))</f>
        <v/>
      </c>
      <c r="AP94" s="25" t="str">
        <f t="shared" si="17"/>
        <v/>
      </c>
      <c r="AQ94" s="25" t="str">
        <f t="shared" si="18"/>
        <v/>
      </c>
      <c r="AR94" s="25" t="str">
        <f t="shared" si="19"/>
        <v/>
      </c>
      <c r="AS94" s="25" t="str">
        <f t="shared" si="20"/>
        <v/>
      </c>
      <c r="AT94" s="25" t="str">
        <f t="shared" si="21"/>
        <v/>
      </c>
      <c r="AU94" s="25" t="str">
        <f t="shared" si="22"/>
        <v/>
      </c>
      <c r="AV94" s="24" t="str">
        <f t="shared" si="23"/>
        <v/>
      </c>
      <c r="AW94" s="72"/>
    </row>
    <row r="95" spans="1:49">
      <c r="A95" s="22" t="str">
        <f t="shared" si="12"/>
        <v/>
      </c>
      <c r="B95" s="24" t="str">
        <f>IFERROR(INDEX(_自动清单!$CC$4:$CC$253,ROW()-3),"")</f>
        <v/>
      </c>
      <c r="C95" s="25" t="str">
        <f>IF(OR($B95="",基础资料!$B$4=""),"",SUMIFS(周转筐出入库明细!$J$4:$J$2004,周转筐出入库明细!$C$4:$C$2004,$B95,周转筐出入库明细!$D$4:$D$2004,基础资料!$B$4,周转筐出入库明细!$B$4:$B$2004,"&gt;="&amp;$BC$1,周转筐出入库明细!$B$4:$B$2004,"&lt;="&amp;$BC$2))</f>
        <v/>
      </c>
      <c r="D95" s="25" t="str">
        <f>IF(OR($B95="",基础资料!$B$5=""),"",SUMIFS(周转筐出入库明细!$J$4:$J$2004,周转筐出入库明细!$C$4:$C$2004,$B95,周转筐出入库明细!$D$4:$D$2004,基础资料!$B$5,周转筐出入库明细!$B$4:$B$2004,"&gt;="&amp;$BC$1,周转筐出入库明细!$B$4:$B$2004,"&lt;="&amp;$BC$2))</f>
        <v/>
      </c>
      <c r="E95" s="25" t="str">
        <f>IF(OR($B95="",基础资料!$B$6=""),"",SUMIFS(周转筐出入库明细!$J$4:$J$2004,周转筐出入库明细!$C$4:$C$2004,$B95,周转筐出入库明细!$D$4:$D$2004,基础资料!$B$6,周转筐出入库明细!$B$4:$B$2004,"&gt;="&amp;$BC$1,周转筐出入库明细!$B$4:$B$2004,"&lt;="&amp;$BC$2))</f>
        <v/>
      </c>
      <c r="F95" s="25" t="str">
        <f>IF(OR($B95="",基础资料!$B$7=""),"",SUMIFS(周转筐出入库明细!$J$4:$J$2004,周转筐出入库明细!$C$4:$C$2004,$B95,周转筐出入库明细!$D$4:$D$2004,基础资料!$B$7,周转筐出入库明细!$B$4:$B$2004,"&gt;="&amp;$BC$1,周转筐出入库明细!$B$4:$B$2004,"&lt;="&amp;$BC$2))</f>
        <v/>
      </c>
      <c r="G95" s="25" t="str">
        <f>IF(OR($B95="",基础资料!$B$8=""),"",SUMIFS(周转筐出入库明细!$J$4:$J$2004,周转筐出入库明细!$C$4:$C$2004,$B95,周转筐出入库明细!$D$4:$D$2004,基础资料!$B$8,周转筐出入库明细!$B$4:$B$2004,"&gt;="&amp;$BC$1,周转筐出入库明细!$B$4:$B$2004,"&lt;="&amp;$BC$2))</f>
        <v/>
      </c>
      <c r="H95" s="25" t="str">
        <f t="shared" si="13"/>
        <v/>
      </c>
      <c r="I95" s="67" t="str">
        <f>IF(OR($B95="",基础资料!$B$4=""),"",-SUMIFS(周转筐出入库明细!$I$4:$I$2004,周转筐出入库明细!$C$4:$C$2004,$B95,周转筐出入库明细!$D$4:$D$2004,基础资料!$B$4,周转筐出入库明细!$B$4:$B$2004,"&gt;="&amp;$BC$1,周转筐出入库明细!$B$4:$B$2004,"&lt;="&amp;$BC$2))</f>
        <v/>
      </c>
      <c r="J95" s="67" t="str">
        <f>IF(OR($B95="",基础资料!$B$5=""),"",-SUMIFS(周转筐出入库明细!$I$4:$I$2004,周转筐出入库明细!$C$4:$C$2004,$B95,周转筐出入库明细!$D$4:$D$2004,基础资料!$B$5,周转筐出入库明细!$B$4:$B$2004,"&gt;="&amp;$BC$1,周转筐出入库明细!$B$4:$B$2004,"&lt;="&amp;$BC$2))</f>
        <v/>
      </c>
      <c r="K95" s="67" t="str">
        <f>IF(OR($B95="",基础资料!$B$6=""),"",-SUMIFS(周转筐出入库明细!$I$4:$I$2004,周转筐出入库明细!$C$4:$C$2004,$B95,周转筐出入库明细!$D$4:$D$2004,基础资料!$B$6,周转筐出入库明细!$B$4:$B$2004,"&gt;="&amp;$BC$1,周转筐出入库明细!$B$4:$B$2004,"&lt;="&amp;$BC$2))</f>
        <v/>
      </c>
      <c r="L95" s="67" t="str">
        <f>IF(OR($B95="",基础资料!$B$7=""),"",-SUMIFS(周转筐出入库明细!$I$4:$I$2004,周转筐出入库明细!$C$4:$C$2004,$B95,周转筐出入库明细!$D$4:$D$2004,基础资料!$B$7,周转筐出入库明细!$B$4:$B$2004,"&gt;="&amp;$BC$1,周转筐出入库明细!$B$4:$B$2004,"&lt;="&amp;$BC$2))</f>
        <v/>
      </c>
      <c r="M95" s="67" t="str">
        <f>IF(OR($B95="",基础资料!$B$8=""),"",-SUMIFS(周转筐出入库明细!$I$4:$I$2004,周转筐出入库明细!$C$4:$C$2004,$B95,周转筐出入库明细!$D$4:$D$2004,基础资料!$B$8,周转筐出入库明细!$B$4:$B$2004,"&gt;="&amp;$BC$1,周转筐出入库明细!$B$4:$B$2004,"&lt;="&amp;$BC$2))</f>
        <v/>
      </c>
      <c r="N95" s="67" t="str">
        <f t="shared" si="14"/>
        <v/>
      </c>
      <c r="O95" s="25" t="str">
        <f>IF(OR($B95="",基础资料!$B$4=""),"",SUMIFS(周转筐出入库明细!$H$4:$H$2004,周转筐出入库明细!$C$4:$C$2004,$B95,周转筐出入库明细!$D$4:$D$2004,基础资料!$B$4,周转筐出入库明细!$F$4:$F$2004,"采购入库",周转筐出入库明细!$B$4:$B$2004,"&gt;="&amp;$BC$1,周转筐出入库明细!$B$4:$B$2004,"&lt;="&amp;$BC$2))</f>
        <v/>
      </c>
      <c r="P95" s="25" t="str">
        <f>IF(OR($B95="",基础资料!$B$5=""),"",SUMIFS(周转筐出入库明细!$H$4:$H$2004,周转筐出入库明细!$C$4:$C$2004,$B95,周转筐出入库明细!$D$4:$D$2004,基础资料!$B$5,周转筐出入库明细!$F$4:$F$2004,"采购入库",周转筐出入库明细!$B$4:$B$2004,"&gt;="&amp;$BC$1,周转筐出入库明细!$B$4:$B$2004,"&lt;="&amp;$BC$2))</f>
        <v/>
      </c>
      <c r="Q95" s="25" t="str">
        <f>IF(OR($B95="",基础资料!$B$6=""),"",SUMIFS(周转筐出入库明细!$H$4:$H$2004,周转筐出入库明细!$C$4:$C$2004,$B95,周转筐出入库明细!$D$4:$D$2004,基础资料!$B$6,周转筐出入库明细!$F$4:$F$2004,"采购入库",周转筐出入库明细!$B$4:$B$2004,"&gt;="&amp;$BC$1,周转筐出入库明细!$B$4:$B$2004,"&lt;="&amp;$BC$2))</f>
        <v/>
      </c>
      <c r="R95" s="25" t="str">
        <f>IF(OR($B95="",基础资料!$B$7=""),"",SUMIFS(周转筐出入库明细!$H$4:$H$2004,周转筐出入库明细!$C$4:$C$2004,$B95,周转筐出入库明细!$D$4:$D$2004,基础资料!$B$7,周转筐出入库明细!$F$4:$F$2004,"采购入库",周转筐出入库明细!$B$4:$B$2004,"&gt;="&amp;$BC$1,周转筐出入库明细!$B$4:$B$2004,"&lt;="&amp;$BC$2))</f>
        <v/>
      </c>
      <c r="S95" s="25" t="str">
        <f>IF(OR($B95="",基础资料!$B$8=""),"",SUMIFS(周转筐出入库明细!$H$4:$H$2004,周转筐出入库明细!$C$4:$C$2004,$B95,周转筐出入库明细!$D$4:$D$2004,基础资料!$B$8,周转筐出入库明细!$F$4:$F$2004,"采购入库",周转筐出入库明细!$B$4:$B$2004,"&gt;="&amp;$BC$1,周转筐出入库明细!$B$4:$B$2004,"&lt;="&amp;$BC$2))</f>
        <v/>
      </c>
      <c r="T95" s="25" t="str">
        <f t="shared" si="15"/>
        <v/>
      </c>
      <c r="U95" s="25" t="str">
        <f>IF(OR($B95="",基础资料!$B$4=""),"",SUMIFS(周转筐出入库明细!$K$4:$K$2004,周转筐出入库明细!$C$4:$C$2004,$B95,周转筐出入库明细!$D$4:$D$2004,基础资料!$B$4,周转筐出入库明细!$B$4:$B$2004,"&gt;="&amp;$BC$1,周转筐出入库明细!$B$4:$B$2004,"&lt;="&amp;$BC$2))</f>
        <v/>
      </c>
      <c r="V95" s="25" t="str">
        <f>IF(OR($B95="",基础资料!$B$5=""),"",SUMIFS(周转筐出入库明细!$K$4:$K$2004,周转筐出入库明细!$C$4:$C$2004,$B95,周转筐出入库明细!$D$4:$D$2004,基础资料!$B$5,周转筐出入库明细!$B$4:$B$2004,"&gt;="&amp;$BC$1,周转筐出入库明细!$B$4:$B$2004,"&lt;="&amp;$BC$2))</f>
        <v/>
      </c>
      <c r="W95" s="25" t="str">
        <f>IF(OR($B95="",基础资料!$B$6=""),"",SUMIFS(周转筐出入库明细!$K$4:$K$2004,周转筐出入库明细!$C$4:$C$2004,$B95,周转筐出入库明细!$D$4:$D$2004,基础资料!$B$6,周转筐出入库明细!$B$4:$B$2004,"&gt;="&amp;$BC$1,周转筐出入库明细!$B$4:$B$2004,"&lt;="&amp;$BC$2))</f>
        <v/>
      </c>
      <c r="X95" s="25" t="str">
        <f>IF(OR($B95="",基础资料!$B$7=""),"",SUMIFS(周转筐出入库明细!$K$4:$K$2004,周转筐出入库明细!$C$4:$C$2004,$B95,周转筐出入库明细!$D$4:$D$2004,基础资料!$B$7,周转筐出入库明细!$B$4:$B$2004,"&gt;="&amp;$BC$1,周转筐出入库明细!$B$4:$B$2004,"&lt;="&amp;$BC$2))</f>
        <v/>
      </c>
      <c r="Y95" s="25" t="str">
        <f>IF(OR($B95="",基础资料!$B$8=""),"",SUMIFS(周转筐出入库明细!$K$4:$K$2004,周转筐出入库明细!$C$4:$C$2004,$B95,周转筐出入库明细!$D$4:$D$2004,基础资料!$B$8,周转筐出入库明细!$B$4:$B$2004,"&gt;="&amp;$BC$1,周转筐出入库明细!$B$4:$B$2004,"&lt;="&amp;$BC$2))</f>
        <v/>
      </c>
      <c r="Z95" s="25" t="str">
        <f t="shared" si="16"/>
        <v/>
      </c>
      <c r="AA95" s="67" t="str">
        <f>IF(OR($B95="",基础资料!$B$4=""),"",-SUMIFS(对接源_01水果筐数!$D$5:$D$304,对接源_01水果筐数!$B$5:$B$304,$B95,对接源_01水果筐数!$C$5:$C$304,基础资料!$B$4))</f>
        <v/>
      </c>
      <c r="AB95" s="67" t="str">
        <f>IF(OR($B95="",基础资料!$B$5=""),"",-SUMIFS(对接源_01水果筐数!$D$5:$D$304,对接源_01水果筐数!$B$5:$B$304,$B95,对接源_01水果筐数!$C$5:$C$304,基础资料!$B$5))</f>
        <v/>
      </c>
      <c r="AC95" s="67" t="str">
        <f>IF(OR($B95="",基础资料!$B$6=""),"",-SUMIFS(对接源_01水果筐数!$D$5:$D$304,对接源_01水果筐数!$B$5:$B$304,$B95,对接源_01水果筐数!$C$5:$C$304,基础资料!$B$6))</f>
        <v/>
      </c>
      <c r="AD95" s="67" t="str">
        <f>IF(OR($B95="",基础资料!$B$7=""),"",-SUMIFS(对接源_01水果筐数!$D$5:$D$304,对接源_01水果筐数!$B$5:$B$304,$B95,对接源_01水果筐数!$C$5:$C$304,基础资料!$B$7))</f>
        <v/>
      </c>
      <c r="AE95" s="67" t="str">
        <f>IF(OR($B95="",基础资料!$B$8=""),"",-SUMIFS(对接源_01水果筐数!$D$5:$D$304,对接源_01水果筐数!$B$5:$B$304,$B95,对接源_01水果筐数!$C$5:$C$304,基础资料!$B$8))</f>
        <v/>
      </c>
      <c r="AF95" s="25" t="str">
        <f>IF(OR($B95="",基础资料!$B$4=""),"",SUMIFS(对接源_01水果筐数!$E$5:$E$304,对接源_01水果筐数!$B$5:$B$304,$B95,对接源_01水果筐数!$C$5:$C$304,基础资料!$B$4))</f>
        <v/>
      </c>
      <c r="AG95" s="25" t="str">
        <f>IF(OR($B95="",基础资料!$B$5=""),"",SUMIFS(对接源_01水果筐数!$E$5:$E$304,对接源_01水果筐数!$B$5:$B$304,$B95,对接源_01水果筐数!$C$5:$C$304,基础资料!$B$5))</f>
        <v/>
      </c>
      <c r="AH95" s="25" t="str">
        <f>IF(OR($B95="",基础资料!$B$6=""),"",SUMIFS(对接源_01水果筐数!$E$5:$E$304,对接源_01水果筐数!$B$5:$B$304,$B95,对接源_01水果筐数!$C$5:$C$304,基础资料!$B$6))</f>
        <v/>
      </c>
      <c r="AI95" s="25" t="str">
        <f>IF(OR($B95="",基础资料!$B$7=""),"",SUMIFS(对接源_01水果筐数!$E$5:$E$304,对接源_01水果筐数!$B$5:$B$304,$B95,对接源_01水果筐数!$C$5:$C$304,基础资料!$B$7))</f>
        <v/>
      </c>
      <c r="AJ95" s="25" t="str">
        <f>IF(OR($B95="",基础资料!$B$8=""),"",SUMIFS(对接源_01水果筐数!$E$5:$E$304,对接源_01水果筐数!$B$5:$B$304,$B95,对接源_01水果筐数!$C$5:$C$304,基础资料!$B$8))</f>
        <v/>
      </c>
      <c r="AK95" s="25" t="str">
        <f>IF(OR($B95="",基础资料!$B$4=""),"",SUMIFS(对接源_01水果筐数!$F$5:$F$304,对接源_01水果筐数!$B$5:$B$304,$B95,对接源_01水果筐数!$C$5:$C$304,基础资料!$B$4))</f>
        <v/>
      </c>
      <c r="AL95" s="25" t="str">
        <f>IF(OR($B95="",基础资料!$B$5=""),"",SUMIFS(对接源_01水果筐数!$F$5:$F$304,对接源_01水果筐数!$B$5:$B$304,$B95,对接源_01水果筐数!$C$5:$C$304,基础资料!$B$5))</f>
        <v/>
      </c>
      <c r="AM95" s="25" t="str">
        <f>IF(OR($B95="",基础资料!$B$6=""),"",SUMIFS(对接源_01水果筐数!$F$5:$F$304,对接源_01水果筐数!$B$5:$B$304,$B95,对接源_01水果筐数!$C$5:$C$304,基础资料!$B$6))</f>
        <v/>
      </c>
      <c r="AN95" s="25" t="str">
        <f>IF(OR($B95="",基础资料!$B$7=""),"",SUMIFS(对接源_01水果筐数!$F$5:$F$304,对接源_01水果筐数!$B$5:$B$304,$B95,对接源_01水果筐数!$C$5:$C$304,基础资料!$B$7))</f>
        <v/>
      </c>
      <c r="AO95" s="25" t="str">
        <f>IF(OR($B95="",基础资料!$B$8=""),"",SUMIFS(对接源_01水果筐数!$F$5:$F$304,对接源_01水果筐数!$B$5:$B$304,$B95,对接源_01水果筐数!$C$5:$C$304,基础资料!$B$8))</f>
        <v/>
      </c>
      <c r="AP95" s="25" t="str">
        <f t="shared" si="17"/>
        <v/>
      </c>
      <c r="AQ95" s="25" t="str">
        <f t="shared" si="18"/>
        <v/>
      </c>
      <c r="AR95" s="25" t="str">
        <f t="shared" si="19"/>
        <v/>
      </c>
      <c r="AS95" s="25" t="str">
        <f t="shared" si="20"/>
        <v/>
      </c>
      <c r="AT95" s="25" t="str">
        <f t="shared" si="21"/>
        <v/>
      </c>
      <c r="AU95" s="25" t="str">
        <f t="shared" si="22"/>
        <v/>
      </c>
      <c r="AV95" s="24" t="str">
        <f t="shared" si="23"/>
        <v/>
      </c>
      <c r="AW95" s="72"/>
    </row>
    <row r="96" spans="1:49">
      <c r="A96" s="22" t="str">
        <f t="shared" si="12"/>
        <v/>
      </c>
      <c r="B96" s="24" t="str">
        <f>IFERROR(INDEX(_自动清单!$CC$4:$CC$253,ROW()-3),"")</f>
        <v/>
      </c>
      <c r="C96" s="25" t="str">
        <f>IF(OR($B96="",基础资料!$B$4=""),"",SUMIFS(周转筐出入库明细!$J$4:$J$2004,周转筐出入库明细!$C$4:$C$2004,$B96,周转筐出入库明细!$D$4:$D$2004,基础资料!$B$4,周转筐出入库明细!$B$4:$B$2004,"&gt;="&amp;$BC$1,周转筐出入库明细!$B$4:$B$2004,"&lt;="&amp;$BC$2))</f>
        <v/>
      </c>
      <c r="D96" s="25" t="str">
        <f>IF(OR($B96="",基础资料!$B$5=""),"",SUMIFS(周转筐出入库明细!$J$4:$J$2004,周转筐出入库明细!$C$4:$C$2004,$B96,周转筐出入库明细!$D$4:$D$2004,基础资料!$B$5,周转筐出入库明细!$B$4:$B$2004,"&gt;="&amp;$BC$1,周转筐出入库明细!$B$4:$B$2004,"&lt;="&amp;$BC$2))</f>
        <v/>
      </c>
      <c r="E96" s="25" t="str">
        <f>IF(OR($B96="",基础资料!$B$6=""),"",SUMIFS(周转筐出入库明细!$J$4:$J$2004,周转筐出入库明细!$C$4:$C$2004,$B96,周转筐出入库明细!$D$4:$D$2004,基础资料!$B$6,周转筐出入库明细!$B$4:$B$2004,"&gt;="&amp;$BC$1,周转筐出入库明细!$B$4:$B$2004,"&lt;="&amp;$BC$2))</f>
        <v/>
      </c>
      <c r="F96" s="25" t="str">
        <f>IF(OR($B96="",基础资料!$B$7=""),"",SUMIFS(周转筐出入库明细!$J$4:$J$2004,周转筐出入库明细!$C$4:$C$2004,$B96,周转筐出入库明细!$D$4:$D$2004,基础资料!$B$7,周转筐出入库明细!$B$4:$B$2004,"&gt;="&amp;$BC$1,周转筐出入库明细!$B$4:$B$2004,"&lt;="&amp;$BC$2))</f>
        <v/>
      </c>
      <c r="G96" s="25" t="str">
        <f>IF(OR($B96="",基础资料!$B$8=""),"",SUMIFS(周转筐出入库明细!$J$4:$J$2004,周转筐出入库明细!$C$4:$C$2004,$B96,周转筐出入库明细!$D$4:$D$2004,基础资料!$B$8,周转筐出入库明细!$B$4:$B$2004,"&gt;="&amp;$BC$1,周转筐出入库明细!$B$4:$B$2004,"&lt;="&amp;$BC$2))</f>
        <v/>
      </c>
      <c r="H96" s="25" t="str">
        <f t="shared" si="13"/>
        <v/>
      </c>
      <c r="I96" s="67" t="str">
        <f>IF(OR($B96="",基础资料!$B$4=""),"",-SUMIFS(周转筐出入库明细!$I$4:$I$2004,周转筐出入库明细!$C$4:$C$2004,$B96,周转筐出入库明细!$D$4:$D$2004,基础资料!$B$4,周转筐出入库明细!$B$4:$B$2004,"&gt;="&amp;$BC$1,周转筐出入库明细!$B$4:$B$2004,"&lt;="&amp;$BC$2))</f>
        <v/>
      </c>
      <c r="J96" s="67" t="str">
        <f>IF(OR($B96="",基础资料!$B$5=""),"",-SUMIFS(周转筐出入库明细!$I$4:$I$2004,周转筐出入库明细!$C$4:$C$2004,$B96,周转筐出入库明细!$D$4:$D$2004,基础资料!$B$5,周转筐出入库明细!$B$4:$B$2004,"&gt;="&amp;$BC$1,周转筐出入库明细!$B$4:$B$2004,"&lt;="&amp;$BC$2))</f>
        <v/>
      </c>
      <c r="K96" s="67" t="str">
        <f>IF(OR($B96="",基础资料!$B$6=""),"",-SUMIFS(周转筐出入库明细!$I$4:$I$2004,周转筐出入库明细!$C$4:$C$2004,$B96,周转筐出入库明细!$D$4:$D$2004,基础资料!$B$6,周转筐出入库明细!$B$4:$B$2004,"&gt;="&amp;$BC$1,周转筐出入库明细!$B$4:$B$2004,"&lt;="&amp;$BC$2))</f>
        <v/>
      </c>
      <c r="L96" s="67" t="str">
        <f>IF(OR($B96="",基础资料!$B$7=""),"",-SUMIFS(周转筐出入库明细!$I$4:$I$2004,周转筐出入库明细!$C$4:$C$2004,$B96,周转筐出入库明细!$D$4:$D$2004,基础资料!$B$7,周转筐出入库明细!$B$4:$B$2004,"&gt;="&amp;$BC$1,周转筐出入库明细!$B$4:$B$2004,"&lt;="&amp;$BC$2))</f>
        <v/>
      </c>
      <c r="M96" s="67" t="str">
        <f>IF(OR($B96="",基础资料!$B$8=""),"",-SUMIFS(周转筐出入库明细!$I$4:$I$2004,周转筐出入库明细!$C$4:$C$2004,$B96,周转筐出入库明细!$D$4:$D$2004,基础资料!$B$8,周转筐出入库明细!$B$4:$B$2004,"&gt;="&amp;$BC$1,周转筐出入库明细!$B$4:$B$2004,"&lt;="&amp;$BC$2))</f>
        <v/>
      </c>
      <c r="N96" s="67" t="str">
        <f t="shared" si="14"/>
        <v/>
      </c>
      <c r="O96" s="25" t="str">
        <f>IF(OR($B96="",基础资料!$B$4=""),"",SUMIFS(周转筐出入库明细!$H$4:$H$2004,周转筐出入库明细!$C$4:$C$2004,$B96,周转筐出入库明细!$D$4:$D$2004,基础资料!$B$4,周转筐出入库明细!$F$4:$F$2004,"采购入库",周转筐出入库明细!$B$4:$B$2004,"&gt;="&amp;$BC$1,周转筐出入库明细!$B$4:$B$2004,"&lt;="&amp;$BC$2))</f>
        <v/>
      </c>
      <c r="P96" s="25" t="str">
        <f>IF(OR($B96="",基础资料!$B$5=""),"",SUMIFS(周转筐出入库明细!$H$4:$H$2004,周转筐出入库明细!$C$4:$C$2004,$B96,周转筐出入库明细!$D$4:$D$2004,基础资料!$B$5,周转筐出入库明细!$F$4:$F$2004,"采购入库",周转筐出入库明细!$B$4:$B$2004,"&gt;="&amp;$BC$1,周转筐出入库明细!$B$4:$B$2004,"&lt;="&amp;$BC$2))</f>
        <v/>
      </c>
      <c r="Q96" s="25" t="str">
        <f>IF(OR($B96="",基础资料!$B$6=""),"",SUMIFS(周转筐出入库明细!$H$4:$H$2004,周转筐出入库明细!$C$4:$C$2004,$B96,周转筐出入库明细!$D$4:$D$2004,基础资料!$B$6,周转筐出入库明细!$F$4:$F$2004,"采购入库",周转筐出入库明细!$B$4:$B$2004,"&gt;="&amp;$BC$1,周转筐出入库明细!$B$4:$B$2004,"&lt;="&amp;$BC$2))</f>
        <v/>
      </c>
      <c r="R96" s="25" t="str">
        <f>IF(OR($B96="",基础资料!$B$7=""),"",SUMIFS(周转筐出入库明细!$H$4:$H$2004,周转筐出入库明细!$C$4:$C$2004,$B96,周转筐出入库明细!$D$4:$D$2004,基础资料!$B$7,周转筐出入库明细!$F$4:$F$2004,"采购入库",周转筐出入库明细!$B$4:$B$2004,"&gt;="&amp;$BC$1,周转筐出入库明细!$B$4:$B$2004,"&lt;="&amp;$BC$2))</f>
        <v/>
      </c>
      <c r="S96" s="25" t="str">
        <f>IF(OR($B96="",基础资料!$B$8=""),"",SUMIFS(周转筐出入库明细!$H$4:$H$2004,周转筐出入库明细!$C$4:$C$2004,$B96,周转筐出入库明细!$D$4:$D$2004,基础资料!$B$8,周转筐出入库明细!$F$4:$F$2004,"采购入库",周转筐出入库明细!$B$4:$B$2004,"&gt;="&amp;$BC$1,周转筐出入库明细!$B$4:$B$2004,"&lt;="&amp;$BC$2))</f>
        <v/>
      </c>
      <c r="T96" s="25" t="str">
        <f t="shared" si="15"/>
        <v/>
      </c>
      <c r="U96" s="25" t="str">
        <f>IF(OR($B96="",基础资料!$B$4=""),"",SUMIFS(周转筐出入库明细!$K$4:$K$2004,周转筐出入库明细!$C$4:$C$2004,$B96,周转筐出入库明细!$D$4:$D$2004,基础资料!$B$4,周转筐出入库明细!$B$4:$B$2004,"&gt;="&amp;$BC$1,周转筐出入库明细!$B$4:$B$2004,"&lt;="&amp;$BC$2))</f>
        <v/>
      </c>
      <c r="V96" s="25" t="str">
        <f>IF(OR($B96="",基础资料!$B$5=""),"",SUMIFS(周转筐出入库明细!$K$4:$K$2004,周转筐出入库明细!$C$4:$C$2004,$B96,周转筐出入库明细!$D$4:$D$2004,基础资料!$B$5,周转筐出入库明细!$B$4:$B$2004,"&gt;="&amp;$BC$1,周转筐出入库明细!$B$4:$B$2004,"&lt;="&amp;$BC$2))</f>
        <v/>
      </c>
      <c r="W96" s="25" t="str">
        <f>IF(OR($B96="",基础资料!$B$6=""),"",SUMIFS(周转筐出入库明细!$K$4:$K$2004,周转筐出入库明细!$C$4:$C$2004,$B96,周转筐出入库明细!$D$4:$D$2004,基础资料!$B$6,周转筐出入库明细!$B$4:$B$2004,"&gt;="&amp;$BC$1,周转筐出入库明细!$B$4:$B$2004,"&lt;="&amp;$BC$2))</f>
        <v/>
      </c>
      <c r="X96" s="25" t="str">
        <f>IF(OR($B96="",基础资料!$B$7=""),"",SUMIFS(周转筐出入库明细!$K$4:$K$2004,周转筐出入库明细!$C$4:$C$2004,$B96,周转筐出入库明细!$D$4:$D$2004,基础资料!$B$7,周转筐出入库明细!$B$4:$B$2004,"&gt;="&amp;$BC$1,周转筐出入库明细!$B$4:$B$2004,"&lt;="&amp;$BC$2))</f>
        <v/>
      </c>
      <c r="Y96" s="25" t="str">
        <f>IF(OR($B96="",基础资料!$B$8=""),"",SUMIFS(周转筐出入库明细!$K$4:$K$2004,周转筐出入库明细!$C$4:$C$2004,$B96,周转筐出入库明细!$D$4:$D$2004,基础资料!$B$8,周转筐出入库明细!$B$4:$B$2004,"&gt;="&amp;$BC$1,周转筐出入库明细!$B$4:$B$2004,"&lt;="&amp;$BC$2))</f>
        <v/>
      </c>
      <c r="Z96" s="25" t="str">
        <f t="shared" si="16"/>
        <v/>
      </c>
      <c r="AA96" s="67" t="str">
        <f>IF(OR($B96="",基础资料!$B$4=""),"",-SUMIFS(对接源_01水果筐数!$D$5:$D$304,对接源_01水果筐数!$B$5:$B$304,$B96,对接源_01水果筐数!$C$5:$C$304,基础资料!$B$4))</f>
        <v/>
      </c>
      <c r="AB96" s="67" t="str">
        <f>IF(OR($B96="",基础资料!$B$5=""),"",-SUMIFS(对接源_01水果筐数!$D$5:$D$304,对接源_01水果筐数!$B$5:$B$304,$B96,对接源_01水果筐数!$C$5:$C$304,基础资料!$B$5))</f>
        <v/>
      </c>
      <c r="AC96" s="67" t="str">
        <f>IF(OR($B96="",基础资料!$B$6=""),"",-SUMIFS(对接源_01水果筐数!$D$5:$D$304,对接源_01水果筐数!$B$5:$B$304,$B96,对接源_01水果筐数!$C$5:$C$304,基础资料!$B$6))</f>
        <v/>
      </c>
      <c r="AD96" s="67" t="str">
        <f>IF(OR($B96="",基础资料!$B$7=""),"",-SUMIFS(对接源_01水果筐数!$D$5:$D$304,对接源_01水果筐数!$B$5:$B$304,$B96,对接源_01水果筐数!$C$5:$C$304,基础资料!$B$7))</f>
        <v/>
      </c>
      <c r="AE96" s="67" t="str">
        <f>IF(OR($B96="",基础资料!$B$8=""),"",-SUMIFS(对接源_01水果筐数!$D$5:$D$304,对接源_01水果筐数!$B$5:$B$304,$B96,对接源_01水果筐数!$C$5:$C$304,基础资料!$B$8))</f>
        <v/>
      </c>
      <c r="AF96" s="25" t="str">
        <f>IF(OR($B96="",基础资料!$B$4=""),"",SUMIFS(对接源_01水果筐数!$E$5:$E$304,对接源_01水果筐数!$B$5:$B$304,$B96,对接源_01水果筐数!$C$5:$C$304,基础资料!$B$4))</f>
        <v/>
      </c>
      <c r="AG96" s="25" t="str">
        <f>IF(OR($B96="",基础资料!$B$5=""),"",SUMIFS(对接源_01水果筐数!$E$5:$E$304,对接源_01水果筐数!$B$5:$B$304,$B96,对接源_01水果筐数!$C$5:$C$304,基础资料!$B$5))</f>
        <v/>
      </c>
      <c r="AH96" s="25" t="str">
        <f>IF(OR($B96="",基础资料!$B$6=""),"",SUMIFS(对接源_01水果筐数!$E$5:$E$304,对接源_01水果筐数!$B$5:$B$304,$B96,对接源_01水果筐数!$C$5:$C$304,基础资料!$B$6))</f>
        <v/>
      </c>
      <c r="AI96" s="25" t="str">
        <f>IF(OR($B96="",基础资料!$B$7=""),"",SUMIFS(对接源_01水果筐数!$E$5:$E$304,对接源_01水果筐数!$B$5:$B$304,$B96,对接源_01水果筐数!$C$5:$C$304,基础资料!$B$7))</f>
        <v/>
      </c>
      <c r="AJ96" s="25" t="str">
        <f>IF(OR($B96="",基础资料!$B$8=""),"",SUMIFS(对接源_01水果筐数!$E$5:$E$304,对接源_01水果筐数!$B$5:$B$304,$B96,对接源_01水果筐数!$C$5:$C$304,基础资料!$B$8))</f>
        <v/>
      </c>
      <c r="AK96" s="25" t="str">
        <f>IF(OR($B96="",基础资料!$B$4=""),"",SUMIFS(对接源_01水果筐数!$F$5:$F$304,对接源_01水果筐数!$B$5:$B$304,$B96,对接源_01水果筐数!$C$5:$C$304,基础资料!$B$4))</f>
        <v/>
      </c>
      <c r="AL96" s="25" t="str">
        <f>IF(OR($B96="",基础资料!$B$5=""),"",SUMIFS(对接源_01水果筐数!$F$5:$F$304,对接源_01水果筐数!$B$5:$B$304,$B96,对接源_01水果筐数!$C$5:$C$304,基础资料!$B$5))</f>
        <v/>
      </c>
      <c r="AM96" s="25" t="str">
        <f>IF(OR($B96="",基础资料!$B$6=""),"",SUMIFS(对接源_01水果筐数!$F$5:$F$304,对接源_01水果筐数!$B$5:$B$304,$B96,对接源_01水果筐数!$C$5:$C$304,基础资料!$B$6))</f>
        <v/>
      </c>
      <c r="AN96" s="25" t="str">
        <f>IF(OR($B96="",基础资料!$B$7=""),"",SUMIFS(对接源_01水果筐数!$F$5:$F$304,对接源_01水果筐数!$B$5:$B$304,$B96,对接源_01水果筐数!$C$5:$C$304,基础资料!$B$7))</f>
        <v/>
      </c>
      <c r="AO96" s="25" t="str">
        <f>IF(OR($B96="",基础资料!$B$8=""),"",SUMIFS(对接源_01水果筐数!$F$5:$F$304,对接源_01水果筐数!$B$5:$B$304,$B96,对接源_01水果筐数!$C$5:$C$304,基础资料!$B$8))</f>
        <v/>
      </c>
      <c r="AP96" s="25" t="str">
        <f t="shared" si="17"/>
        <v/>
      </c>
      <c r="AQ96" s="25" t="str">
        <f t="shared" si="18"/>
        <v/>
      </c>
      <c r="AR96" s="25" t="str">
        <f t="shared" si="19"/>
        <v/>
      </c>
      <c r="AS96" s="25" t="str">
        <f t="shared" si="20"/>
        <v/>
      </c>
      <c r="AT96" s="25" t="str">
        <f t="shared" si="21"/>
        <v/>
      </c>
      <c r="AU96" s="25" t="str">
        <f t="shared" si="22"/>
        <v/>
      </c>
      <c r="AV96" s="24" t="str">
        <f t="shared" si="23"/>
        <v/>
      </c>
      <c r="AW96" s="72"/>
    </row>
    <row r="97" spans="1:49">
      <c r="A97" s="22" t="str">
        <f t="shared" si="12"/>
        <v/>
      </c>
      <c r="B97" s="24" t="str">
        <f>IFERROR(INDEX(_自动清单!$CC$4:$CC$253,ROW()-3),"")</f>
        <v/>
      </c>
      <c r="C97" s="25" t="str">
        <f>IF(OR($B97="",基础资料!$B$4=""),"",SUMIFS(周转筐出入库明细!$J$4:$J$2004,周转筐出入库明细!$C$4:$C$2004,$B97,周转筐出入库明细!$D$4:$D$2004,基础资料!$B$4,周转筐出入库明细!$B$4:$B$2004,"&gt;="&amp;$BC$1,周转筐出入库明细!$B$4:$B$2004,"&lt;="&amp;$BC$2))</f>
        <v/>
      </c>
      <c r="D97" s="25" t="str">
        <f>IF(OR($B97="",基础资料!$B$5=""),"",SUMIFS(周转筐出入库明细!$J$4:$J$2004,周转筐出入库明细!$C$4:$C$2004,$B97,周转筐出入库明细!$D$4:$D$2004,基础资料!$B$5,周转筐出入库明细!$B$4:$B$2004,"&gt;="&amp;$BC$1,周转筐出入库明细!$B$4:$B$2004,"&lt;="&amp;$BC$2))</f>
        <v/>
      </c>
      <c r="E97" s="25" t="str">
        <f>IF(OR($B97="",基础资料!$B$6=""),"",SUMIFS(周转筐出入库明细!$J$4:$J$2004,周转筐出入库明细!$C$4:$C$2004,$B97,周转筐出入库明细!$D$4:$D$2004,基础资料!$B$6,周转筐出入库明细!$B$4:$B$2004,"&gt;="&amp;$BC$1,周转筐出入库明细!$B$4:$B$2004,"&lt;="&amp;$BC$2))</f>
        <v/>
      </c>
      <c r="F97" s="25" t="str">
        <f>IF(OR($B97="",基础资料!$B$7=""),"",SUMIFS(周转筐出入库明细!$J$4:$J$2004,周转筐出入库明细!$C$4:$C$2004,$B97,周转筐出入库明细!$D$4:$D$2004,基础资料!$B$7,周转筐出入库明细!$B$4:$B$2004,"&gt;="&amp;$BC$1,周转筐出入库明细!$B$4:$B$2004,"&lt;="&amp;$BC$2))</f>
        <v/>
      </c>
      <c r="G97" s="25" t="str">
        <f>IF(OR($B97="",基础资料!$B$8=""),"",SUMIFS(周转筐出入库明细!$J$4:$J$2004,周转筐出入库明细!$C$4:$C$2004,$B97,周转筐出入库明细!$D$4:$D$2004,基础资料!$B$8,周转筐出入库明细!$B$4:$B$2004,"&gt;="&amp;$BC$1,周转筐出入库明细!$B$4:$B$2004,"&lt;="&amp;$BC$2))</f>
        <v/>
      </c>
      <c r="H97" s="25" t="str">
        <f t="shared" si="13"/>
        <v/>
      </c>
      <c r="I97" s="67" t="str">
        <f>IF(OR($B97="",基础资料!$B$4=""),"",-SUMIFS(周转筐出入库明细!$I$4:$I$2004,周转筐出入库明细!$C$4:$C$2004,$B97,周转筐出入库明细!$D$4:$D$2004,基础资料!$B$4,周转筐出入库明细!$B$4:$B$2004,"&gt;="&amp;$BC$1,周转筐出入库明细!$B$4:$B$2004,"&lt;="&amp;$BC$2))</f>
        <v/>
      </c>
      <c r="J97" s="67" t="str">
        <f>IF(OR($B97="",基础资料!$B$5=""),"",-SUMIFS(周转筐出入库明细!$I$4:$I$2004,周转筐出入库明细!$C$4:$C$2004,$B97,周转筐出入库明细!$D$4:$D$2004,基础资料!$B$5,周转筐出入库明细!$B$4:$B$2004,"&gt;="&amp;$BC$1,周转筐出入库明细!$B$4:$B$2004,"&lt;="&amp;$BC$2))</f>
        <v/>
      </c>
      <c r="K97" s="67" t="str">
        <f>IF(OR($B97="",基础资料!$B$6=""),"",-SUMIFS(周转筐出入库明细!$I$4:$I$2004,周转筐出入库明细!$C$4:$C$2004,$B97,周转筐出入库明细!$D$4:$D$2004,基础资料!$B$6,周转筐出入库明细!$B$4:$B$2004,"&gt;="&amp;$BC$1,周转筐出入库明细!$B$4:$B$2004,"&lt;="&amp;$BC$2))</f>
        <v/>
      </c>
      <c r="L97" s="67" t="str">
        <f>IF(OR($B97="",基础资料!$B$7=""),"",-SUMIFS(周转筐出入库明细!$I$4:$I$2004,周转筐出入库明细!$C$4:$C$2004,$B97,周转筐出入库明细!$D$4:$D$2004,基础资料!$B$7,周转筐出入库明细!$B$4:$B$2004,"&gt;="&amp;$BC$1,周转筐出入库明细!$B$4:$B$2004,"&lt;="&amp;$BC$2))</f>
        <v/>
      </c>
      <c r="M97" s="67" t="str">
        <f>IF(OR($B97="",基础资料!$B$8=""),"",-SUMIFS(周转筐出入库明细!$I$4:$I$2004,周转筐出入库明细!$C$4:$C$2004,$B97,周转筐出入库明细!$D$4:$D$2004,基础资料!$B$8,周转筐出入库明细!$B$4:$B$2004,"&gt;="&amp;$BC$1,周转筐出入库明细!$B$4:$B$2004,"&lt;="&amp;$BC$2))</f>
        <v/>
      </c>
      <c r="N97" s="67" t="str">
        <f t="shared" si="14"/>
        <v/>
      </c>
      <c r="O97" s="25" t="str">
        <f>IF(OR($B97="",基础资料!$B$4=""),"",SUMIFS(周转筐出入库明细!$H$4:$H$2004,周转筐出入库明细!$C$4:$C$2004,$B97,周转筐出入库明细!$D$4:$D$2004,基础资料!$B$4,周转筐出入库明细!$F$4:$F$2004,"采购入库",周转筐出入库明细!$B$4:$B$2004,"&gt;="&amp;$BC$1,周转筐出入库明细!$B$4:$B$2004,"&lt;="&amp;$BC$2))</f>
        <v/>
      </c>
      <c r="P97" s="25" t="str">
        <f>IF(OR($B97="",基础资料!$B$5=""),"",SUMIFS(周转筐出入库明细!$H$4:$H$2004,周转筐出入库明细!$C$4:$C$2004,$B97,周转筐出入库明细!$D$4:$D$2004,基础资料!$B$5,周转筐出入库明细!$F$4:$F$2004,"采购入库",周转筐出入库明细!$B$4:$B$2004,"&gt;="&amp;$BC$1,周转筐出入库明细!$B$4:$B$2004,"&lt;="&amp;$BC$2))</f>
        <v/>
      </c>
      <c r="Q97" s="25" t="str">
        <f>IF(OR($B97="",基础资料!$B$6=""),"",SUMIFS(周转筐出入库明细!$H$4:$H$2004,周转筐出入库明细!$C$4:$C$2004,$B97,周转筐出入库明细!$D$4:$D$2004,基础资料!$B$6,周转筐出入库明细!$F$4:$F$2004,"采购入库",周转筐出入库明细!$B$4:$B$2004,"&gt;="&amp;$BC$1,周转筐出入库明细!$B$4:$B$2004,"&lt;="&amp;$BC$2))</f>
        <v/>
      </c>
      <c r="R97" s="25" t="str">
        <f>IF(OR($B97="",基础资料!$B$7=""),"",SUMIFS(周转筐出入库明细!$H$4:$H$2004,周转筐出入库明细!$C$4:$C$2004,$B97,周转筐出入库明细!$D$4:$D$2004,基础资料!$B$7,周转筐出入库明细!$F$4:$F$2004,"采购入库",周转筐出入库明细!$B$4:$B$2004,"&gt;="&amp;$BC$1,周转筐出入库明细!$B$4:$B$2004,"&lt;="&amp;$BC$2))</f>
        <v/>
      </c>
      <c r="S97" s="25" t="str">
        <f>IF(OR($B97="",基础资料!$B$8=""),"",SUMIFS(周转筐出入库明细!$H$4:$H$2004,周转筐出入库明细!$C$4:$C$2004,$B97,周转筐出入库明细!$D$4:$D$2004,基础资料!$B$8,周转筐出入库明细!$F$4:$F$2004,"采购入库",周转筐出入库明细!$B$4:$B$2004,"&gt;="&amp;$BC$1,周转筐出入库明细!$B$4:$B$2004,"&lt;="&amp;$BC$2))</f>
        <v/>
      </c>
      <c r="T97" s="25" t="str">
        <f t="shared" si="15"/>
        <v/>
      </c>
      <c r="U97" s="25" t="str">
        <f>IF(OR($B97="",基础资料!$B$4=""),"",SUMIFS(周转筐出入库明细!$K$4:$K$2004,周转筐出入库明细!$C$4:$C$2004,$B97,周转筐出入库明细!$D$4:$D$2004,基础资料!$B$4,周转筐出入库明细!$B$4:$B$2004,"&gt;="&amp;$BC$1,周转筐出入库明细!$B$4:$B$2004,"&lt;="&amp;$BC$2))</f>
        <v/>
      </c>
      <c r="V97" s="25" t="str">
        <f>IF(OR($B97="",基础资料!$B$5=""),"",SUMIFS(周转筐出入库明细!$K$4:$K$2004,周转筐出入库明细!$C$4:$C$2004,$B97,周转筐出入库明细!$D$4:$D$2004,基础资料!$B$5,周转筐出入库明细!$B$4:$B$2004,"&gt;="&amp;$BC$1,周转筐出入库明细!$B$4:$B$2004,"&lt;="&amp;$BC$2))</f>
        <v/>
      </c>
      <c r="W97" s="25" t="str">
        <f>IF(OR($B97="",基础资料!$B$6=""),"",SUMIFS(周转筐出入库明细!$K$4:$K$2004,周转筐出入库明细!$C$4:$C$2004,$B97,周转筐出入库明细!$D$4:$D$2004,基础资料!$B$6,周转筐出入库明细!$B$4:$B$2004,"&gt;="&amp;$BC$1,周转筐出入库明细!$B$4:$B$2004,"&lt;="&amp;$BC$2))</f>
        <v/>
      </c>
      <c r="X97" s="25" t="str">
        <f>IF(OR($B97="",基础资料!$B$7=""),"",SUMIFS(周转筐出入库明细!$K$4:$K$2004,周转筐出入库明细!$C$4:$C$2004,$B97,周转筐出入库明细!$D$4:$D$2004,基础资料!$B$7,周转筐出入库明细!$B$4:$B$2004,"&gt;="&amp;$BC$1,周转筐出入库明细!$B$4:$B$2004,"&lt;="&amp;$BC$2))</f>
        <v/>
      </c>
      <c r="Y97" s="25" t="str">
        <f>IF(OR($B97="",基础资料!$B$8=""),"",SUMIFS(周转筐出入库明细!$K$4:$K$2004,周转筐出入库明细!$C$4:$C$2004,$B97,周转筐出入库明细!$D$4:$D$2004,基础资料!$B$8,周转筐出入库明细!$B$4:$B$2004,"&gt;="&amp;$BC$1,周转筐出入库明细!$B$4:$B$2004,"&lt;="&amp;$BC$2))</f>
        <v/>
      </c>
      <c r="Z97" s="25" t="str">
        <f t="shared" si="16"/>
        <v/>
      </c>
      <c r="AA97" s="67" t="str">
        <f>IF(OR($B97="",基础资料!$B$4=""),"",-SUMIFS(对接源_01水果筐数!$D$5:$D$304,对接源_01水果筐数!$B$5:$B$304,$B97,对接源_01水果筐数!$C$5:$C$304,基础资料!$B$4))</f>
        <v/>
      </c>
      <c r="AB97" s="67" t="str">
        <f>IF(OR($B97="",基础资料!$B$5=""),"",-SUMIFS(对接源_01水果筐数!$D$5:$D$304,对接源_01水果筐数!$B$5:$B$304,$B97,对接源_01水果筐数!$C$5:$C$304,基础资料!$B$5))</f>
        <v/>
      </c>
      <c r="AC97" s="67" t="str">
        <f>IF(OR($B97="",基础资料!$B$6=""),"",-SUMIFS(对接源_01水果筐数!$D$5:$D$304,对接源_01水果筐数!$B$5:$B$304,$B97,对接源_01水果筐数!$C$5:$C$304,基础资料!$B$6))</f>
        <v/>
      </c>
      <c r="AD97" s="67" t="str">
        <f>IF(OR($B97="",基础资料!$B$7=""),"",-SUMIFS(对接源_01水果筐数!$D$5:$D$304,对接源_01水果筐数!$B$5:$B$304,$B97,对接源_01水果筐数!$C$5:$C$304,基础资料!$B$7))</f>
        <v/>
      </c>
      <c r="AE97" s="67" t="str">
        <f>IF(OR($B97="",基础资料!$B$8=""),"",-SUMIFS(对接源_01水果筐数!$D$5:$D$304,对接源_01水果筐数!$B$5:$B$304,$B97,对接源_01水果筐数!$C$5:$C$304,基础资料!$B$8))</f>
        <v/>
      </c>
      <c r="AF97" s="25" t="str">
        <f>IF(OR($B97="",基础资料!$B$4=""),"",SUMIFS(对接源_01水果筐数!$E$5:$E$304,对接源_01水果筐数!$B$5:$B$304,$B97,对接源_01水果筐数!$C$5:$C$304,基础资料!$B$4))</f>
        <v/>
      </c>
      <c r="AG97" s="25" t="str">
        <f>IF(OR($B97="",基础资料!$B$5=""),"",SUMIFS(对接源_01水果筐数!$E$5:$E$304,对接源_01水果筐数!$B$5:$B$304,$B97,对接源_01水果筐数!$C$5:$C$304,基础资料!$B$5))</f>
        <v/>
      </c>
      <c r="AH97" s="25" t="str">
        <f>IF(OR($B97="",基础资料!$B$6=""),"",SUMIFS(对接源_01水果筐数!$E$5:$E$304,对接源_01水果筐数!$B$5:$B$304,$B97,对接源_01水果筐数!$C$5:$C$304,基础资料!$B$6))</f>
        <v/>
      </c>
      <c r="AI97" s="25" t="str">
        <f>IF(OR($B97="",基础资料!$B$7=""),"",SUMIFS(对接源_01水果筐数!$E$5:$E$304,对接源_01水果筐数!$B$5:$B$304,$B97,对接源_01水果筐数!$C$5:$C$304,基础资料!$B$7))</f>
        <v/>
      </c>
      <c r="AJ97" s="25" t="str">
        <f>IF(OR($B97="",基础资料!$B$8=""),"",SUMIFS(对接源_01水果筐数!$E$5:$E$304,对接源_01水果筐数!$B$5:$B$304,$B97,对接源_01水果筐数!$C$5:$C$304,基础资料!$B$8))</f>
        <v/>
      </c>
      <c r="AK97" s="25" t="str">
        <f>IF(OR($B97="",基础资料!$B$4=""),"",SUMIFS(对接源_01水果筐数!$F$5:$F$304,对接源_01水果筐数!$B$5:$B$304,$B97,对接源_01水果筐数!$C$5:$C$304,基础资料!$B$4))</f>
        <v/>
      </c>
      <c r="AL97" s="25" t="str">
        <f>IF(OR($B97="",基础资料!$B$5=""),"",SUMIFS(对接源_01水果筐数!$F$5:$F$304,对接源_01水果筐数!$B$5:$B$304,$B97,对接源_01水果筐数!$C$5:$C$304,基础资料!$B$5))</f>
        <v/>
      </c>
      <c r="AM97" s="25" t="str">
        <f>IF(OR($B97="",基础资料!$B$6=""),"",SUMIFS(对接源_01水果筐数!$F$5:$F$304,对接源_01水果筐数!$B$5:$B$304,$B97,对接源_01水果筐数!$C$5:$C$304,基础资料!$B$6))</f>
        <v/>
      </c>
      <c r="AN97" s="25" t="str">
        <f>IF(OR($B97="",基础资料!$B$7=""),"",SUMIFS(对接源_01水果筐数!$F$5:$F$304,对接源_01水果筐数!$B$5:$B$304,$B97,对接源_01水果筐数!$C$5:$C$304,基础资料!$B$7))</f>
        <v/>
      </c>
      <c r="AO97" s="25" t="str">
        <f>IF(OR($B97="",基础资料!$B$8=""),"",SUMIFS(对接源_01水果筐数!$F$5:$F$304,对接源_01水果筐数!$B$5:$B$304,$B97,对接源_01水果筐数!$C$5:$C$304,基础资料!$B$8))</f>
        <v/>
      </c>
      <c r="AP97" s="25" t="str">
        <f t="shared" si="17"/>
        <v/>
      </c>
      <c r="AQ97" s="25" t="str">
        <f t="shared" si="18"/>
        <v/>
      </c>
      <c r="AR97" s="25" t="str">
        <f t="shared" si="19"/>
        <v/>
      </c>
      <c r="AS97" s="25" t="str">
        <f t="shared" si="20"/>
        <v/>
      </c>
      <c r="AT97" s="25" t="str">
        <f t="shared" si="21"/>
        <v/>
      </c>
      <c r="AU97" s="25" t="str">
        <f t="shared" si="22"/>
        <v/>
      </c>
      <c r="AV97" s="24" t="str">
        <f t="shared" si="23"/>
        <v/>
      </c>
      <c r="AW97" s="72"/>
    </row>
    <row r="98" spans="1:49">
      <c r="A98" s="22" t="str">
        <f t="shared" si="12"/>
        <v/>
      </c>
      <c r="B98" s="24" t="str">
        <f>IFERROR(INDEX(_自动清单!$CC$4:$CC$253,ROW()-3),"")</f>
        <v/>
      </c>
      <c r="C98" s="25" t="str">
        <f>IF(OR($B98="",基础资料!$B$4=""),"",SUMIFS(周转筐出入库明细!$J$4:$J$2004,周转筐出入库明细!$C$4:$C$2004,$B98,周转筐出入库明细!$D$4:$D$2004,基础资料!$B$4,周转筐出入库明细!$B$4:$B$2004,"&gt;="&amp;$BC$1,周转筐出入库明细!$B$4:$B$2004,"&lt;="&amp;$BC$2))</f>
        <v/>
      </c>
      <c r="D98" s="25" t="str">
        <f>IF(OR($B98="",基础资料!$B$5=""),"",SUMIFS(周转筐出入库明细!$J$4:$J$2004,周转筐出入库明细!$C$4:$C$2004,$B98,周转筐出入库明细!$D$4:$D$2004,基础资料!$B$5,周转筐出入库明细!$B$4:$B$2004,"&gt;="&amp;$BC$1,周转筐出入库明细!$B$4:$B$2004,"&lt;="&amp;$BC$2))</f>
        <v/>
      </c>
      <c r="E98" s="25" t="str">
        <f>IF(OR($B98="",基础资料!$B$6=""),"",SUMIFS(周转筐出入库明细!$J$4:$J$2004,周转筐出入库明细!$C$4:$C$2004,$B98,周转筐出入库明细!$D$4:$D$2004,基础资料!$B$6,周转筐出入库明细!$B$4:$B$2004,"&gt;="&amp;$BC$1,周转筐出入库明细!$B$4:$B$2004,"&lt;="&amp;$BC$2))</f>
        <v/>
      </c>
      <c r="F98" s="25" t="str">
        <f>IF(OR($B98="",基础资料!$B$7=""),"",SUMIFS(周转筐出入库明细!$J$4:$J$2004,周转筐出入库明细!$C$4:$C$2004,$B98,周转筐出入库明细!$D$4:$D$2004,基础资料!$B$7,周转筐出入库明细!$B$4:$B$2004,"&gt;="&amp;$BC$1,周转筐出入库明细!$B$4:$B$2004,"&lt;="&amp;$BC$2))</f>
        <v/>
      </c>
      <c r="G98" s="25" t="str">
        <f>IF(OR($B98="",基础资料!$B$8=""),"",SUMIFS(周转筐出入库明细!$J$4:$J$2004,周转筐出入库明细!$C$4:$C$2004,$B98,周转筐出入库明细!$D$4:$D$2004,基础资料!$B$8,周转筐出入库明细!$B$4:$B$2004,"&gt;="&amp;$BC$1,周转筐出入库明细!$B$4:$B$2004,"&lt;="&amp;$BC$2))</f>
        <v/>
      </c>
      <c r="H98" s="25" t="str">
        <f t="shared" si="13"/>
        <v/>
      </c>
      <c r="I98" s="67" t="str">
        <f>IF(OR($B98="",基础资料!$B$4=""),"",-SUMIFS(周转筐出入库明细!$I$4:$I$2004,周转筐出入库明细!$C$4:$C$2004,$B98,周转筐出入库明细!$D$4:$D$2004,基础资料!$B$4,周转筐出入库明细!$B$4:$B$2004,"&gt;="&amp;$BC$1,周转筐出入库明细!$B$4:$B$2004,"&lt;="&amp;$BC$2))</f>
        <v/>
      </c>
      <c r="J98" s="67" t="str">
        <f>IF(OR($B98="",基础资料!$B$5=""),"",-SUMIFS(周转筐出入库明细!$I$4:$I$2004,周转筐出入库明细!$C$4:$C$2004,$B98,周转筐出入库明细!$D$4:$D$2004,基础资料!$B$5,周转筐出入库明细!$B$4:$B$2004,"&gt;="&amp;$BC$1,周转筐出入库明细!$B$4:$B$2004,"&lt;="&amp;$BC$2))</f>
        <v/>
      </c>
      <c r="K98" s="67" t="str">
        <f>IF(OR($B98="",基础资料!$B$6=""),"",-SUMIFS(周转筐出入库明细!$I$4:$I$2004,周转筐出入库明细!$C$4:$C$2004,$B98,周转筐出入库明细!$D$4:$D$2004,基础资料!$B$6,周转筐出入库明细!$B$4:$B$2004,"&gt;="&amp;$BC$1,周转筐出入库明细!$B$4:$B$2004,"&lt;="&amp;$BC$2))</f>
        <v/>
      </c>
      <c r="L98" s="67" t="str">
        <f>IF(OR($B98="",基础资料!$B$7=""),"",-SUMIFS(周转筐出入库明细!$I$4:$I$2004,周转筐出入库明细!$C$4:$C$2004,$B98,周转筐出入库明细!$D$4:$D$2004,基础资料!$B$7,周转筐出入库明细!$B$4:$B$2004,"&gt;="&amp;$BC$1,周转筐出入库明细!$B$4:$B$2004,"&lt;="&amp;$BC$2))</f>
        <v/>
      </c>
      <c r="M98" s="67" t="str">
        <f>IF(OR($B98="",基础资料!$B$8=""),"",-SUMIFS(周转筐出入库明细!$I$4:$I$2004,周转筐出入库明细!$C$4:$C$2004,$B98,周转筐出入库明细!$D$4:$D$2004,基础资料!$B$8,周转筐出入库明细!$B$4:$B$2004,"&gt;="&amp;$BC$1,周转筐出入库明细!$B$4:$B$2004,"&lt;="&amp;$BC$2))</f>
        <v/>
      </c>
      <c r="N98" s="67" t="str">
        <f t="shared" si="14"/>
        <v/>
      </c>
      <c r="O98" s="25" t="str">
        <f>IF(OR($B98="",基础资料!$B$4=""),"",SUMIFS(周转筐出入库明细!$H$4:$H$2004,周转筐出入库明细!$C$4:$C$2004,$B98,周转筐出入库明细!$D$4:$D$2004,基础资料!$B$4,周转筐出入库明细!$F$4:$F$2004,"采购入库",周转筐出入库明细!$B$4:$B$2004,"&gt;="&amp;$BC$1,周转筐出入库明细!$B$4:$B$2004,"&lt;="&amp;$BC$2))</f>
        <v/>
      </c>
      <c r="P98" s="25" t="str">
        <f>IF(OR($B98="",基础资料!$B$5=""),"",SUMIFS(周转筐出入库明细!$H$4:$H$2004,周转筐出入库明细!$C$4:$C$2004,$B98,周转筐出入库明细!$D$4:$D$2004,基础资料!$B$5,周转筐出入库明细!$F$4:$F$2004,"采购入库",周转筐出入库明细!$B$4:$B$2004,"&gt;="&amp;$BC$1,周转筐出入库明细!$B$4:$B$2004,"&lt;="&amp;$BC$2))</f>
        <v/>
      </c>
      <c r="Q98" s="25" t="str">
        <f>IF(OR($B98="",基础资料!$B$6=""),"",SUMIFS(周转筐出入库明细!$H$4:$H$2004,周转筐出入库明细!$C$4:$C$2004,$B98,周转筐出入库明细!$D$4:$D$2004,基础资料!$B$6,周转筐出入库明细!$F$4:$F$2004,"采购入库",周转筐出入库明细!$B$4:$B$2004,"&gt;="&amp;$BC$1,周转筐出入库明细!$B$4:$B$2004,"&lt;="&amp;$BC$2))</f>
        <v/>
      </c>
      <c r="R98" s="25" t="str">
        <f>IF(OR($B98="",基础资料!$B$7=""),"",SUMIFS(周转筐出入库明细!$H$4:$H$2004,周转筐出入库明细!$C$4:$C$2004,$B98,周转筐出入库明细!$D$4:$D$2004,基础资料!$B$7,周转筐出入库明细!$F$4:$F$2004,"采购入库",周转筐出入库明细!$B$4:$B$2004,"&gt;="&amp;$BC$1,周转筐出入库明细!$B$4:$B$2004,"&lt;="&amp;$BC$2))</f>
        <v/>
      </c>
      <c r="S98" s="25" t="str">
        <f>IF(OR($B98="",基础资料!$B$8=""),"",SUMIFS(周转筐出入库明细!$H$4:$H$2004,周转筐出入库明细!$C$4:$C$2004,$B98,周转筐出入库明细!$D$4:$D$2004,基础资料!$B$8,周转筐出入库明细!$F$4:$F$2004,"采购入库",周转筐出入库明细!$B$4:$B$2004,"&gt;="&amp;$BC$1,周转筐出入库明细!$B$4:$B$2004,"&lt;="&amp;$BC$2))</f>
        <v/>
      </c>
      <c r="T98" s="25" t="str">
        <f t="shared" si="15"/>
        <v/>
      </c>
      <c r="U98" s="25" t="str">
        <f>IF(OR($B98="",基础资料!$B$4=""),"",SUMIFS(周转筐出入库明细!$K$4:$K$2004,周转筐出入库明细!$C$4:$C$2004,$B98,周转筐出入库明细!$D$4:$D$2004,基础资料!$B$4,周转筐出入库明细!$B$4:$B$2004,"&gt;="&amp;$BC$1,周转筐出入库明细!$B$4:$B$2004,"&lt;="&amp;$BC$2))</f>
        <v/>
      </c>
      <c r="V98" s="25" t="str">
        <f>IF(OR($B98="",基础资料!$B$5=""),"",SUMIFS(周转筐出入库明细!$K$4:$K$2004,周转筐出入库明细!$C$4:$C$2004,$B98,周转筐出入库明细!$D$4:$D$2004,基础资料!$B$5,周转筐出入库明细!$B$4:$B$2004,"&gt;="&amp;$BC$1,周转筐出入库明细!$B$4:$B$2004,"&lt;="&amp;$BC$2))</f>
        <v/>
      </c>
      <c r="W98" s="25" t="str">
        <f>IF(OR($B98="",基础资料!$B$6=""),"",SUMIFS(周转筐出入库明细!$K$4:$K$2004,周转筐出入库明细!$C$4:$C$2004,$B98,周转筐出入库明细!$D$4:$D$2004,基础资料!$B$6,周转筐出入库明细!$B$4:$B$2004,"&gt;="&amp;$BC$1,周转筐出入库明细!$B$4:$B$2004,"&lt;="&amp;$BC$2))</f>
        <v/>
      </c>
      <c r="X98" s="25" t="str">
        <f>IF(OR($B98="",基础资料!$B$7=""),"",SUMIFS(周转筐出入库明细!$K$4:$K$2004,周转筐出入库明细!$C$4:$C$2004,$B98,周转筐出入库明细!$D$4:$D$2004,基础资料!$B$7,周转筐出入库明细!$B$4:$B$2004,"&gt;="&amp;$BC$1,周转筐出入库明细!$B$4:$B$2004,"&lt;="&amp;$BC$2))</f>
        <v/>
      </c>
      <c r="Y98" s="25" t="str">
        <f>IF(OR($B98="",基础资料!$B$8=""),"",SUMIFS(周转筐出入库明细!$K$4:$K$2004,周转筐出入库明细!$C$4:$C$2004,$B98,周转筐出入库明细!$D$4:$D$2004,基础资料!$B$8,周转筐出入库明细!$B$4:$B$2004,"&gt;="&amp;$BC$1,周转筐出入库明细!$B$4:$B$2004,"&lt;="&amp;$BC$2))</f>
        <v/>
      </c>
      <c r="Z98" s="25" t="str">
        <f t="shared" si="16"/>
        <v/>
      </c>
      <c r="AA98" s="67" t="str">
        <f>IF(OR($B98="",基础资料!$B$4=""),"",-SUMIFS(对接源_01水果筐数!$D$5:$D$304,对接源_01水果筐数!$B$5:$B$304,$B98,对接源_01水果筐数!$C$5:$C$304,基础资料!$B$4))</f>
        <v/>
      </c>
      <c r="AB98" s="67" t="str">
        <f>IF(OR($B98="",基础资料!$B$5=""),"",-SUMIFS(对接源_01水果筐数!$D$5:$D$304,对接源_01水果筐数!$B$5:$B$304,$B98,对接源_01水果筐数!$C$5:$C$304,基础资料!$B$5))</f>
        <v/>
      </c>
      <c r="AC98" s="67" t="str">
        <f>IF(OR($B98="",基础资料!$B$6=""),"",-SUMIFS(对接源_01水果筐数!$D$5:$D$304,对接源_01水果筐数!$B$5:$B$304,$B98,对接源_01水果筐数!$C$5:$C$304,基础资料!$B$6))</f>
        <v/>
      </c>
      <c r="AD98" s="67" t="str">
        <f>IF(OR($B98="",基础资料!$B$7=""),"",-SUMIFS(对接源_01水果筐数!$D$5:$D$304,对接源_01水果筐数!$B$5:$B$304,$B98,对接源_01水果筐数!$C$5:$C$304,基础资料!$B$7))</f>
        <v/>
      </c>
      <c r="AE98" s="67" t="str">
        <f>IF(OR($B98="",基础资料!$B$8=""),"",-SUMIFS(对接源_01水果筐数!$D$5:$D$304,对接源_01水果筐数!$B$5:$B$304,$B98,对接源_01水果筐数!$C$5:$C$304,基础资料!$B$8))</f>
        <v/>
      </c>
      <c r="AF98" s="25" t="str">
        <f>IF(OR($B98="",基础资料!$B$4=""),"",SUMIFS(对接源_01水果筐数!$E$5:$E$304,对接源_01水果筐数!$B$5:$B$304,$B98,对接源_01水果筐数!$C$5:$C$304,基础资料!$B$4))</f>
        <v/>
      </c>
      <c r="AG98" s="25" t="str">
        <f>IF(OR($B98="",基础资料!$B$5=""),"",SUMIFS(对接源_01水果筐数!$E$5:$E$304,对接源_01水果筐数!$B$5:$B$304,$B98,对接源_01水果筐数!$C$5:$C$304,基础资料!$B$5))</f>
        <v/>
      </c>
      <c r="AH98" s="25" t="str">
        <f>IF(OR($B98="",基础资料!$B$6=""),"",SUMIFS(对接源_01水果筐数!$E$5:$E$304,对接源_01水果筐数!$B$5:$B$304,$B98,对接源_01水果筐数!$C$5:$C$304,基础资料!$B$6))</f>
        <v/>
      </c>
      <c r="AI98" s="25" t="str">
        <f>IF(OR($B98="",基础资料!$B$7=""),"",SUMIFS(对接源_01水果筐数!$E$5:$E$304,对接源_01水果筐数!$B$5:$B$304,$B98,对接源_01水果筐数!$C$5:$C$304,基础资料!$B$7))</f>
        <v/>
      </c>
      <c r="AJ98" s="25" t="str">
        <f>IF(OR($B98="",基础资料!$B$8=""),"",SUMIFS(对接源_01水果筐数!$E$5:$E$304,对接源_01水果筐数!$B$5:$B$304,$B98,对接源_01水果筐数!$C$5:$C$304,基础资料!$B$8))</f>
        <v/>
      </c>
      <c r="AK98" s="25" t="str">
        <f>IF(OR($B98="",基础资料!$B$4=""),"",SUMIFS(对接源_01水果筐数!$F$5:$F$304,对接源_01水果筐数!$B$5:$B$304,$B98,对接源_01水果筐数!$C$5:$C$304,基础资料!$B$4))</f>
        <v/>
      </c>
      <c r="AL98" s="25" t="str">
        <f>IF(OR($B98="",基础资料!$B$5=""),"",SUMIFS(对接源_01水果筐数!$F$5:$F$304,对接源_01水果筐数!$B$5:$B$304,$B98,对接源_01水果筐数!$C$5:$C$304,基础资料!$B$5))</f>
        <v/>
      </c>
      <c r="AM98" s="25" t="str">
        <f>IF(OR($B98="",基础资料!$B$6=""),"",SUMIFS(对接源_01水果筐数!$F$5:$F$304,对接源_01水果筐数!$B$5:$B$304,$B98,对接源_01水果筐数!$C$5:$C$304,基础资料!$B$6))</f>
        <v/>
      </c>
      <c r="AN98" s="25" t="str">
        <f>IF(OR($B98="",基础资料!$B$7=""),"",SUMIFS(对接源_01水果筐数!$F$5:$F$304,对接源_01水果筐数!$B$5:$B$304,$B98,对接源_01水果筐数!$C$5:$C$304,基础资料!$B$7))</f>
        <v/>
      </c>
      <c r="AO98" s="25" t="str">
        <f>IF(OR($B98="",基础资料!$B$8=""),"",SUMIFS(对接源_01水果筐数!$F$5:$F$304,对接源_01水果筐数!$B$5:$B$304,$B98,对接源_01水果筐数!$C$5:$C$304,基础资料!$B$8))</f>
        <v/>
      </c>
      <c r="AP98" s="25" t="str">
        <f t="shared" si="17"/>
        <v/>
      </c>
      <c r="AQ98" s="25" t="str">
        <f t="shared" si="18"/>
        <v/>
      </c>
      <c r="AR98" s="25" t="str">
        <f t="shared" si="19"/>
        <v/>
      </c>
      <c r="AS98" s="25" t="str">
        <f t="shared" si="20"/>
        <v/>
      </c>
      <c r="AT98" s="25" t="str">
        <f t="shared" si="21"/>
        <v/>
      </c>
      <c r="AU98" s="25" t="str">
        <f t="shared" si="22"/>
        <v/>
      </c>
      <c r="AV98" s="24" t="str">
        <f t="shared" si="23"/>
        <v/>
      </c>
      <c r="AW98" s="72"/>
    </row>
    <row r="99" spans="1:49">
      <c r="A99" s="22" t="str">
        <f t="shared" si="12"/>
        <v/>
      </c>
      <c r="B99" s="24" t="str">
        <f>IFERROR(INDEX(_自动清单!$CC$4:$CC$253,ROW()-3),"")</f>
        <v/>
      </c>
      <c r="C99" s="25" t="str">
        <f>IF(OR($B99="",基础资料!$B$4=""),"",SUMIFS(周转筐出入库明细!$J$4:$J$2004,周转筐出入库明细!$C$4:$C$2004,$B99,周转筐出入库明细!$D$4:$D$2004,基础资料!$B$4,周转筐出入库明细!$B$4:$B$2004,"&gt;="&amp;$BC$1,周转筐出入库明细!$B$4:$B$2004,"&lt;="&amp;$BC$2))</f>
        <v/>
      </c>
      <c r="D99" s="25" t="str">
        <f>IF(OR($B99="",基础资料!$B$5=""),"",SUMIFS(周转筐出入库明细!$J$4:$J$2004,周转筐出入库明细!$C$4:$C$2004,$B99,周转筐出入库明细!$D$4:$D$2004,基础资料!$B$5,周转筐出入库明细!$B$4:$B$2004,"&gt;="&amp;$BC$1,周转筐出入库明细!$B$4:$B$2004,"&lt;="&amp;$BC$2))</f>
        <v/>
      </c>
      <c r="E99" s="25" t="str">
        <f>IF(OR($B99="",基础资料!$B$6=""),"",SUMIFS(周转筐出入库明细!$J$4:$J$2004,周转筐出入库明细!$C$4:$C$2004,$B99,周转筐出入库明细!$D$4:$D$2004,基础资料!$B$6,周转筐出入库明细!$B$4:$B$2004,"&gt;="&amp;$BC$1,周转筐出入库明细!$B$4:$B$2004,"&lt;="&amp;$BC$2))</f>
        <v/>
      </c>
      <c r="F99" s="25" t="str">
        <f>IF(OR($B99="",基础资料!$B$7=""),"",SUMIFS(周转筐出入库明细!$J$4:$J$2004,周转筐出入库明细!$C$4:$C$2004,$B99,周转筐出入库明细!$D$4:$D$2004,基础资料!$B$7,周转筐出入库明细!$B$4:$B$2004,"&gt;="&amp;$BC$1,周转筐出入库明细!$B$4:$B$2004,"&lt;="&amp;$BC$2))</f>
        <v/>
      </c>
      <c r="G99" s="25" t="str">
        <f>IF(OR($B99="",基础资料!$B$8=""),"",SUMIFS(周转筐出入库明细!$J$4:$J$2004,周转筐出入库明细!$C$4:$C$2004,$B99,周转筐出入库明细!$D$4:$D$2004,基础资料!$B$8,周转筐出入库明细!$B$4:$B$2004,"&gt;="&amp;$BC$1,周转筐出入库明细!$B$4:$B$2004,"&lt;="&amp;$BC$2))</f>
        <v/>
      </c>
      <c r="H99" s="25" t="str">
        <f t="shared" si="13"/>
        <v/>
      </c>
      <c r="I99" s="67" t="str">
        <f>IF(OR($B99="",基础资料!$B$4=""),"",-SUMIFS(周转筐出入库明细!$I$4:$I$2004,周转筐出入库明细!$C$4:$C$2004,$B99,周转筐出入库明细!$D$4:$D$2004,基础资料!$B$4,周转筐出入库明细!$B$4:$B$2004,"&gt;="&amp;$BC$1,周转筐出入库明细!$B$4:$B$2004,"&lt;="&amp;$BC$2))</f>
        <v/>
      </c>
      <c r="J99" s="67" t="str">
        <f>IF(OR($B99="",基础资料!$B$5=""),"",-SUMIFS(周转筐出入库明细!$I$4:$I$2004,周转筐出入库明细!$C$4:$C$2004,$B99,周转筐出入库明细!$D$4:$D$2004,基础资料!$B$5,周转筐出入库明细!$B$4:$B$2004,"&gt;="&amp;$BC$1,周转筐出入库明细!$B$4:$B$2004,"&lt;="&amp;$BC$2))</f>
        <v/>
      </c>
      <c r="K99" s="67" t="str">
        <f>IF(OR($B99="",基础资料!$B$6=""),"",-SUMIFS(周转筐出入库明细!$I$4:$I$2004,周转筐出入库明细!$C$4:$C$2004,$B99,周转筐出入库明细!$D$4:$D$2004,基础资料!$B$6,周转筐出入库明细!$B$4:$B$2004,"&gt;="&amp;$BC$1,周转筐出入库明细!$B$4:$B$2004,"&lt;="&amp;$BC$2))</f>
        <v/>
      </c>
      <c r="L99" s="67" t="str">
        <f>IF(OR($B99="",基础资料!$B$7=""),"",-SUMIFS(周转筐出入库明细!$I$4:$I$2004,周转筐出入库明细!$C$4:$C$2004,$B99,周转筐出入库明细!$D$4:$D$2004,基础资料!$B$7,周转筐出入库明细!$B$4:$B$2004,"&gt;="&amp;$BC$1,周转筐出入库明细!$B$4:$B$2004,"&lt;="&amp;$BC$2))</f>
        <v/>
      </c>
      <c r="M99" s="67" t="str">
        <f>IF(OR($B99="",基础资料!$B$8=""),"",-SUMIFS(周转筐出入库明细!$I$4:$I$2004,周转筐出入库明细!$C$4:$C$2004,$B99,周转筐出入库明细!$D$4:$D$2004,基础资料!$B$8,周转筐出入库明细!$B$4:$B$2004,"&gt;="&amp;$BC$1,周转筐出入库明细!$B$4:$B$2004,"&lt;="&amp;$BC$2))</f>
        <v/>
      </c>
      <c r="N99" s="67" t="str">
        <f t="shared" si="14"/>
        <v/>
      </c>
      <c r="O99" s="25" t="str">
        <f>IF(OR($B99="",基础资料!$B$4=""),"",SUMIFS(周转筐出入库明细!$H$4:$H$2004,周转筐出入库明细!$C$4:$C$2004,$B99,周转筐出入库明细!$D$4:$D$2004,基础资料!$B$4,周转筐出入库明细!$F$4:$F$2004,"采购入库",周转筐出入库明细!$B$4:$B$2004,"&gt;="&amp;$BC$1,周转筐出入库明细!$B$4:$B$2004,"&lt;="&amp;$BC$2))</f>
        <v/>
      </c>
      <c r="P99" s="25" t="str">
        <f>IF(OR($B99="",基础资料!$B$5=""),"",SUMIFS(周转筐出入库明细!$H$4:$H$2004,周转筐出入库明细!$C$4:$C$2004,$B99,周转筐出入库明细!$D$4:$D$2004,基础资料!$B$5,周转筐出入库明细!$F$4:$F$2004,"采购入库",周转筐出入库明细!$B$4:$B$2004,"&gt;="&amp;$BC$1,周转筐出入库明细!$B$4:$B$2004,"&lt;="&amp;$BC$2))</f>
        <v/>
      </c>
      <c r="Q99" s="25" t="str">
        <f>IF(OR($B99="",基础资料!$B$6=""),"",SUMIFS(周转筐出入库明细!$H$4:$H$2004,周转筐出入库明细!$C$4:$C$2004,$B99,周转筐出入库明细!$D$4:$D$2004,基础资料!$B$6,周转筐出入库明细!$F$4:$F$2004,"采购入库",周转筐出入库明细!$B$4:$B$2004,"&gt;="&amp;$BC$1,周转筐出入库明细!$B$4:$B$2004,"&lt;="&amp;$BC$2))</f>
        <v/>
      </c>
      <c r="R99" s="25" t="str">
        <f>IF(OR($B99="",基础资料!$B$7=""),"",SUMIFS(周转筐出入库明细!$H$4:$H$2004,周转筐出入库明细!$C$4:$C$2004,$B99,周转筐出入库明细!$D$4:$D$2004,基础资料!$B$7,周转筐出入库明细!$F$4:$F$2004,"采购入库",周转筐出入库明细!$B$4:$B$2004,"&gt;="&amp;$BC$1,周转筐出入库明细!$B$4:$B$2004,"&lt;="&amp;$BC$2))</f>
        <v/>
      </c>
      <c r="S99" s="25" t="str">
        <f>IF(OR($B99="",基础资料!$B$8=""),"",SUMIFS(周转筐出入库明细!$H$4:$H$2004,周转筐出入库明细!$C$4:$C$2004,$B99,周转筐出入库明细!$D$4:$D$2004,基础资料!$B$8,周转筐出入库明细!$F$4:$F$2004,"采购入库",周转筐出入库明细!$B$4:$B$2004,"&gt;="&amp;$BC$1,周转筐出入库明细!$B$4:$B$2004,"&lt;="&amp;$BC$2))</f>
        <v/>
      </c>
      <c r="T99" s="25" t="str">
        <f t="shared" si="15"/>
        <v/>
      </c>
      <c r="U99" s="25" t="str">
        <f>IF(OR($B99="",基础资料!$B$4=""),"",SUMIFS(周转筐出入库明细!$K$4:$K$2004,周转筐出入库明细!$C$4:$C$2004,$B99,周转筐出入库明细!$D$4:$D$2004,基础资料!$B$4,周转筐出入库明细!$B$4:$B$2004,"&gt;="&amp;$BC$1,周转筐出入库明细!$B$4:$B$2004,"&lt;="&amp;$BC$2))</f>
        <v/>
      </c>
      <c r="V99" s="25" t="str">
        <f>IF(OR($B99="",基础资料!$B$5=""),"",SUMIFS(周转筐出入库明细!$K$4:$K$2004,周转筐出入库明细!$C$4:$C$2004,$B99,周转筐出入库明细!$D$4:$D$2004,基础资料!$B$5,周转筐出入库明细!$B$4:$B$2004,"&gt;="&amp;$BC$1,周转筐出入库明细!$B$4:$B$2004,"&lt;="&amp;$BC$2))</f>
        <v/>
      </c>
      <c r="W99" s="25" t="str">
        <f>IF(OR($B99="",基础资料!$B$6=""),"",SUMIFS(周转筐出入库明细!$K$4:$K$2004,周转筐出入库明细!$C$4:$C$2004,$B99,周转筐出入库明细!$D$4:$D$2004,基础资料!$B$6,周转筐出入库明细!$B$4:$B$2004,"&gt;="&amp;$BC$1,周转筐出入库明细!$B$4:$B$2004,"&lt;="&amp;$BC$2))</f>
        <v/>
      </c>
      <c r="X99" s="25" t="str">
        <f>IF(OR($B99="",基础资料!$B$7=""),"",SUMIFS(周转筐出入库明细!$K$4:$K$2004,周转筐出入库明细!$C$4:$C$2004,$B99,周转筐出入库明细!$D$4:$D$2004,基础资料!$B$7,周转筐出入库明细!$B$4:$B$2004,"&gt;="&amp;$BC$1,周转筐出入库明细!$B$4:$B$2004,"&lt;="&amp;$BC$2))</f>
        <v/>
      </c>
      <c r="Y99" s="25" t="str">
        <f>IF(OR($B99="",基础资料!$B$8=""),"",SUMIFS(周转筐出入库明细!$K$4:$K$2004,周转筐出入库明细!$C$4:$C$2004,$B99,周转筐出入库明细!$D$4:$D$2004,基础资料!$B$8,周转筐出入库明细!$B$4:$B$2004,"&gt;="&amp;$BC$1,周转筐出入库明细!$B$4:$B$2004,"&lt;="&amp;$BC$2))</f>
        <v/>
      </c>
      <c r="Z99" s="25" t="str">
        <f t="shared" si="16"/>
        <v/>
      </c>
      <c r="AA99" s="67" t="str">
        <f>IF(OR($B99="",基础资料!$B$4=""),"",-SUMIFS(对接源_01水果筐数!$D$5:$D$304,对接源_01水果筐数!$B$5:$B$304,$B99,对接源_01水果筐数!$C$5:$C$304,基础资料!$B$4))</f>
        <v/>
      </c>
      <c r="AB99" s="67" t="str">
        <f>IF(OR($B99="",基础资料!$B$5=""),"",-SUMIFS(对接源_01水果筐数!$D$5:$D$304,对接源_01水果筐数!$B$5:$B$304,$B99,对接源_01水果筐数!$C$5:$C$304,基础资料!$B$5))</f>
        <v/>
      </c>
      <c r="AC99" s="67" t="str">
        <f>IF(OR($B99="",基础资料!$B$6=""),"",-SUMIFS(对接源_01水果筐数!$D$5:$D$304,对接源_01水果筐数!$B$5:$B$304,$B99,对接源_01水果筐数!$C$5:$C$304,基础资料!$B$6))</f>
        <v/>
      </c>
      <c r="AD99" s="67" t="str">
        <f>IF(OR($B99="",基础资料!$B$7=""),"",-SUMIFS(对接源_01水果筐数!$D$5:$D$304,对接源_01水果筐数!$B$5:$B$304,$B99,对接源_01水果筐数!$C$5:$C$304,基础资料!$B$7))</f>
        <v/>
      </c>
      <c r="AE99" s="67" t="str">
        <f>IF(OR($B99="",基础资料!$B$8=""),"",-SUMIFS(对接源_01水果筐数!$D$5:$D$304,对接源_01水果筐数!$B$5:$B$304,$B99,对接源_01水果筐数!$C$5:$C$304,基础资料!$B$8))</f>
        <v/>
      </c>
      <c r="AF99" s="25" t="str">
        <f>IF(OR($B99="",基础资料!$B$4=""),"",SUMIFS(对接源_01水果筐数!$E$5:$E$304,对接源_01水果筐数!$B$5:$B$304,$B99,对接源_01水果筐数!$C$5:$C$304,基础资料!$B$4))</f>
        <v/>
      </c>
      <c r="AG99" s="25" t="str">
        <f>IF(OR($B99="",基础资料!$B$5=""),"",SUMIFS(对接源_01水果筐数!$E$5:$E$304,对接源_01水果筐数!$B$5:$B$304,$B99,对接源_01水果筐数!$C$5:$C$304,基础资料!$B$5))</f>
        <v/>
      </c>
      <c r="AH99" s="25" t="str">
        <f>IF(OR($B99="",基础资料!$B$6=""),"",SUMIFS(对接源_01水果筐数!$E$5:$E$304,对接源_01水果筐数!$B$5:$B$304,$B99,对接源_01水果筐数!$C$5:$C$304,基础资料!$B$6))</f>
        <v/>
      </c>
      <c r="AI99" s="25" t="str">
        <f>IF(OR($B99="",基础资料!$B$7=""),"",SUMIFS(对接源_01水果筐数!$E$5:$E$304,对接源_01水果筐数!$B$5:$B$304,$B99,对接源_01水果筐数!$C$5:$C$304,基础资料!$B$7))</f>
        <v/>
      </c>
      <c r="AJ99" s="25" t="str">
        <f>IF(OR($B99="",基础资料!$B$8=""),"",SUMIFS(对接源_01水果筐数!$E$5:$E$304,对接源_01水果筐数!$B$5:$B$304,$B99,对接源_01水果筐数!$C$5:$C$304,基础资料!$B$8))</f>
        <v/>
      </c>
      <c r="AK99" s="25" t="str">
        <f>IF(OR($B99="",基础资料!$B$4=""),"",SUMIFS(对接源_01水果筐数!$F$5:$F$304,对接源_01水果筐数!$B$5:$B$304,$B99,对接源_01水果筐数!$C$5:$C$304,基础资料!$B$4))</f>
        <v/>
      </c>
      <c r="AL99" s="25" t="str">
        <f>IF(OR($B99="",基础资料!$B$5=""),"",SUMIFS(对接源_01水果筐数!$F$5:$F$304,对接源_01水果筐数!$B$5:$B$304,$B99,对接源_01水果筐数!$C$5:$C$304,基础资料!$B$5))</f>
        <v/>
      </c>
      <c r="AM99" s="25" t="str">
        <f>IF(OR($B99="",基础资料!$B$6=""),"",SUMIFS(对接源_01水果筐数!$F$5:$F$304,对接源_01水果筐数!$B$5:$B$304,$B99,对接源_01水果筐数!$C$5:$C$304,基础资料!$B$6))</f>
        <v/>
      </c>
      <c r="AN99" s="25" t="str">
        <f>IF(OR($B99="",基础资料!$B$7=""),"",SUMIFS(对接源_01水果筐数!$F$5:$F$304,对接源_01水果筐数!$B$5:$B$304,$B99,对接源_01水果筐数!$C$5:$C$304,基础资料!$B$7))</f>
        <v/>
      </c>
      <c r="AO99" s="25" t="str">
        <f>IF(OR($B99="",基础资料!$B$8=""),"",SUMIFS(对接源_01水果筐数!$F$5:$F$304,对接源_01水果筐数!$B$5:$B$304,$B99,对接源_01水果筐数!$C$5:$C$304,基础资料!$B$8))</f>
        <v/>
      </c>
      <c r="AP99" s="25" t="str">
        <f t="shared" si="17"/>
        <v/>
      </c>
      <c r="AQ99" s="25" t="str">
        <f t="shared" si="18"/>
        <v/>
      </c>
      <c r="AR99" s="25" t="str">
        <f t="shared" si="19"/>
        <v/>
      </c>
      <c r="AS99" s="25" t="str">
        <f t="shared" si="20"/>
        <v/>
      </c>
      <c r="AT99" s="25" t="str">
        <f t="shared" si="21"/>
        <v/>
      </c>
      <c r="AU99" s="25" t="str">
        <f t="shared" si="22"/>
        <v/>
      </c>
      <c r="AV99" s="24" t="str">
        <f t="shared" si="23"/>
        <v/>
      </c>
      <c r="AW99" s="72"/>
    </row>
    <row r="100" spans="1:49">
      <c r="A100" s="22" t="str">
        <f t="shared" si="12"/>
        <v/>
      </c>
      <c r="B100" s="24" t="str">
        <f>IFERROR(INDEX(_自动清单!$CC$4:$CC$253,ROW()-3),"")</f>
        <v/>
      </c>
      <c r="C100" s="25" t="str">
        <f>IF(OR($B100="",基础资料!$B$4=""),"",SUMIFS(周转筐出入库明细!$J$4:$J$2004,周转筐出入库明细!$C$4:$C$2004,$B100,周转筐出入库明细!$D$4:$D$2004,基础资料!$B$4,周转筐出入库明细!$B$4:$B$2004,"&gt;="&amp;$BC$1,周转筐出入库明细!$B$4:$B$2004,"&lt;="&amp;$BC$2))</f>
        <v/>
      </c>
      <c r="D100" s="25" t="str">
        <f>IF(OR($B100="",基础资料!$B$5=""),"",SUMIFS(周转筐出入库明细!$J$4:$J$2004,周转筐出入库明细!$C$4:$C$2004,$B100,周转筐出入库明细!$D$4:$D$2004,基础资料!$B$5,周转筐出入库明细!$B$4:$B$2004,"&gt;="&amp;$BC$1,周转筐出入库明细!$B$4:$B$2004,"&lt;="&amp;$BC$2))</f>
        <v/>
      </c>
      <c r="E100" s="25" t="str">
        <f>IF(OR($B100="",基础资料!$B$6=""),"",SUMIFS(周转筐出入库明细!$J$4:$J$2004,周转筐出入库明细!$C$4:$C$2004,$B100,周转筐出入库明细!$D$4:$D$2004,基础资料!$B$6,周转筐出入库明细!$B$4:$B$2004,"&gt;="&amp;$BC$1,周转筐出入库明细!$B$4:$B$2004,"&lt;="&amp;$BC$2))</f>
        <v/>
      </c>
      <c r="F100" s="25" t="str">
        <f>IF(OR($B100="",基础资料!$B$7=""),"",SUMIFS(周转筐出入库明细!$J$4:$J$2004,周转筐出入库明细!$C$4:$C$2004,$B100,周转筐出入库明细!$D$4:$D$2004,基础资料!$B$7,周转筐出入库明细!$B$4:$B$2004,"&gt;="&amp;$BC$1,周转筐出入库明细!$B$4:$B$2004,"&lt;="&amp;$BC$2))</f>
        <v/>
      </c>
      <c r="G100" s="25" t="str">
        <f>IF(OR($B100="",基础资料!$B$8=""),"",SUMIFS(周转筐出入库明细!$J$4:$J$2004,周转筐出入库明细!$C$4:$C$2004,$B100,周转筐出入库明细!$D$4:$D$2004,基础资料!$B$8,周转筐出入库明细!$B$4:$B$2004,"&gt;="&amp;$BC$1,周转筐出入库明细!$B$4:$B$2004,"&lt;="&amp;$BC$2))</f>
        <v/>
      </c>
      <c r="H100" s="25" t="str">
        <f t="shared" si="13"/>
        <v/>
      </c>
      <c r="I100" s="67" t="str">
        <f>IF(OR($B100="",基础资料!$B$4=""),"",-SUMIFS(周转筐出入库明细!$I$4:$I$2004,周转筐出入库明细!$C$4:$C$2004,$B100,周转筐出入库明细!$D$4:$D$2004,基础资料!$B$4,周转筐出入库明细!$B$4:$B$2004,"&gt;="&amp;$BC$1,周转筐出入库明细!$B$4:$B$2004,"&lt;="&amp;$BC$2))</f>
        <v/>
      </c>
      <c r="J100" s="67" t="str">
        <f>IF(OR($B100="",基础资料!$B$5=""),"",-SUMIFS(周转筐出入库明细!$I$4:$I$2004,周转筐出入库明细!$C$4:$C$2004,$B100,周转筐出入库明细!$D$4:$D$2004,基础资料!$B$5,周转筐出入库明细!$B$4:$B$2004,"&gt;="&amp;$BC$1,周转筐出入库明细!$B$4:$B$2004,"&lt;="&amp;$BC$2))</f>
        <v/>
      </c>
      <c r="K100" s="67" t="str">
        <f>IF(OR($B100="",基础资料!$B$6=""),"",-SUMIFS(周转筐出入库明细!$I$4:$I$2004,周转筐出入库明细!$C$4:$C$2004,$B100,周转筐出入库明细!$D$4:$D$2004,基础资料!$B$6,周转筐出入库明细!$B$4:$B$2004,"&gt;="&amp;$BC$1,周转筐出入库明细!$B$4:$B$2004,"&lt;="&amp;$BC$2))</f>
        <v/>
      </c>
      <c r="L100" s="67" t="str">
        <f>IF(OR($B100="",基础资料!$B$7=""),"",-SUMIFS(周转筐出入库明细!$I$4:$I$2004,周转筐出入库明细!$C$4:$C$2004,$B100,周转筐出入库明细!$D$4:$D$2004,基础资料!$B$7,周转筐出入库明细!$B$4:$B$2004,"&gt;="&amp;$BC$1,周转筐出入库明细!$B$4:$B$2004,"&lt;="&amp;$BC$2))</f>
        <v/>
      </c>
      <c r="M100" s="67" t="str">
        <f>IF(OR($B100="",基础资料!$B$8=""),"",-SUMIFS(周转筐出入库明细!$I$4:$I$2004,周转筐出入库明细!$C$4:$C$2004,$B100,周转筐出入库明细!$D$4:$D$2004,基础资料!$B$8,周转筐出入库明细!$B$4:$B$2004,"&gt;="&amp;$BC$1,周转筐出入库明细!$B$4:$B$2004,"&lt;="&amp;$BC$2))</f>
        <v/>
      </c>
      <c r="N100" s="67" t="str">
        <f t="shared" si="14"/>
        <v/>
      </c>
      <c r="O100" s="25" t="str">
        <f>IF(OR($B100="",基础资料!$B$4=""),"",SUMIFS(周转筐出入库明细!$H$4:$H$2004,周转筐出入库明细!$C$4:$C$2004,$B100,周转筐出入库明细!$D$4:$D$2004,基础资料!$B$4,周转筐出入库明细!$F$4:$F$2004,"采购入库",周转筐出入库明细!$B$4:$B$2004,"&gt;="&amp;$BC$1,周转筐出入库明细!$B$4:$B$2004,"&lt;="&amp;$BC$2))</f>
        <v/>
      </c>
      <c r="P100" s="25" t="str">
        <f>IF(OR($B100="",基础资料!$B$5=""),"",SUMIFS(周转筐出入库明细!$H$4:$H$2004,周转筐出入库明细!$C$4:$C$2004,$B100,周转筐出入库明细!$D$4:$D$2004,基础资料!$B$5,周转筐出入库明细!$F$4:$F$2004,"采购入库",周转筐出入库明细!$B$4:$B$2004,"&gt;="&amp;$BC$1,周转筐出入库明细!$B$4:$B$2004,"&lt;="&amp;$BC$2))</f>
        <v/>
      </c>
      <c r="Q100" s="25" t="str">
        <f>IF(OR($B100="",基础资料!$B$6=""),"",SUMIFS(周转筐出入库明细!$H$4:$H$2004,周转筐出入库明细!$C$4:$C$2004,$B100,周转筐出入库明细!$D$4:$D$2004,基础资料!$B$6,周转筐出入库明细!$F$4:$F$2004,"采购入库",周转筐出入库明细!$B$4:$B$2004,"&gt;="&amp;$BC$1,周转筐出入库明细!$B$4:$B$2004,"&lt;="&amp;$BC$2))</f>
        <v/>
      </c>
      <c r="R100" s="25" t="str">
        <f>IF(OR($B100="",基础资料!$B$7=""),"",SUMIFS(周转筐出入库明细!$H$4:$H$2004,周转筐出入库明细!$C$4:$C$2004,$B100,周转筐出入库明细!$D$4:$D$2004,基础资料!$B$7,周转筐出入库明细!$F$4:$F$2004,"采购入库",周转筐出入库明细!$B$4:$B$2004,"&gt;="&amp;$BC$1,周转筐出入库明细!$B$4:$B$2004,"&lt;="&amp;$BC$2))</f>
        <v/>
      </c>
      <c r="S100" s="25" t="str">
        <f>IF(OR($B100="",基础资料!$B$8=""),"",SUMIFS(周转筐出入库明细!$H$4:$H$2004,周转筐出入库明细!$C$4:$C$2004,$B100,周转筐出入库明细!$D$4:$D$2004,基础资料!$B$8,周转筐出入库明细!$F$4:$F$2004,"采购入库",周转筐出入库明细!$B$4:$B$2004,"&gt;="&amp;$BC$1,周转筐出入库明细!$B$4:$B$2004,"&lt;="&amp;$BC$2))</f>
        <v/>
      </c>
      <c r="T100" s="25" t="str">
        <f t="shared" si="15"/>
        <v/>
      </c>
      <c r="U100" s="25" t="str">
        <f>IF(OR($B100="",基础资料!$B$4=""),"",SUMIFS(周转筐出入库明细!$K$4:$K$2004,周转筐出入库明细!$C$4:$C$2004,$B100,周转筐出入库明细!$D$4:$D$2004,基础资料!$B$4,周转筐出入库明细!$B$4:$B$2004,"&gt;="&amp;$BC$1,周转筐出入库明细!$B$4:$B$2004,"&lt;="&amp;$BC$2))</f>
        <v/>
      </c>
      <c r="V100" s="25" t="str">
        <f>IF(OR($B100="",基础资料!$B$5=""),"",SUMIFS(周转筐出入库明细!$K$4:$K$2004,周转筐出入库明细!$C$4:$C$2004,$B100,周转筐出入库明细!$D$4:$D$2004,基础资料!$B$5,周转筐出入库明细!$B$4:$B$2004,"&gt;="&amp;$BC$1,周转筐出入库明细!$B$4:$B$2004,"&lt;="&amp;$BC$2))</f>
        <v/>
      </c>
      <c r="W100" s="25" t="str">
        <f>IF(OR($B100="",基础资料!$B$6=""),"",SUMIFS(周转筐出入库明细!$K$4:$K$2004,周转筐出入库明细!$C$4:$C$2004,$B100,周转筐出入库明细!$D$4:$D$2004,基础资料!$B$6,周转筐出入库明细!$B$4:$B$2004,"&gt;="&amp;$BC$1,周转筐出入库明细!$B$4:$B$2004,"&lt;="&amp;$BC$2))</f>
        <v/>
      </c>
      <c r="X100" s="25" t="str">
        <f>IF(OR($B100="",基础资料!$B$7=""),"",SUMIFS(周转筐出入库明细!$K$4:$K$2004,周转筐出入库明细!$C$4:$C$2004,$B100,周转筐出入库明细!$D$4:$D$2004,基础资料!$B$7,周转筐出入库明细!$B$4:$B$2004,"&gt;="&amp;$BC$1,周转筐出入库明细!$B$4:$B$2004,"&lt;="&amp;$BC$2))</f>
        <v/>
      </c>
      <c r="Y100" s="25" t="str">
        <f>IF(OR($B100="",基础资料!$B$8=""),"",SUMIFS(周转筐出入库明细!$K$4:$K$2004,周转筐出入库明细!$C$4:$C$2004,$B100,周转筐出入库明细!$D$4:$D$2004,基础资料!$B$8,周转筐出入库明细!$B$4:$B$2004,"&gt;="&amp;$BC$1,周转筐出入库明细!$B$4:$B$2004,"&lt;="&amp;$BC$2))</f>
        <v/>
      </c>
      <c r="Z100" s="25" t="str">
        <f t="shared" si="16"/>
        <v/>
      </c>
      <c r="AA100" s="67" t="str">
        <f>IF(OR($B100="",基础资料!$B$4=""),"",-SUMIFS(对接源_01水果筐数!$D$5:$D$304,对接源_01水果筐数!$B$5:$B$304,$B100,对接源_01水果筐数!$C$5:$C$304,基础资料!$B$4))</f>
        <v/>
      </c>
      <c r="AB100" s="67" t="str">
        <f>IF(OR($B100="",基础资料!$B$5=""),"",-SUMIFS(对接源_01水果筐数!$D$5:$D$304,对接源_01水果筐数!$B$5:$B$304,$B100,对接源_01水果筐数!$C$5:$C$304,基础资料!$B$5))</f>
        <v/>
      </c>
      <c r="AC100" s="67" t="str">
        <f>IF(OR($B100="",基础资料!$B$6=""),"",-SUMIFS(对接源_01水果筐数!$D$5:$D$304,对接源_01水果筐数!$B$5:$B$304,$B100,对接源_01水果筐数!$C$5:$C$304,基础资料!$B$6))</f>
        <v/>
      </c>
      <c r="AD100" s="67" t="str">
        <f>IF(OR($B100="",基础资料!$B$7=""),"",-SUMIFS(对接源_01水果筐数!$D$5:$D$304,对接源_01水果筐数!$B$5:$B$304,$B100,对接源_01水果筐数!$C$5:$C$304,基础资料!$B$7))</f>
        <v/>
      </c>
      <c r="AE100" s="67" t="str">
        <f>IF(OR($B100="",基础资料!$B$8=""),"",-SUMIFS(对接源_01水果筐数!$D$5:$D$304,对接源_01水果筐数!$B$5:$B$304,$B100,对接源_01水果筐数!$C$5:$C$304,基础资料!$B$8))</f>
        <v/>
      </c>
      <c r="AF100" s="25" t="str">
        <f>IF(OR($B100="",基础资料!$B$4=""),"",SUMIFS(对接源_01水果筐数!$E$5:$E$304,对接源_01水果筐数!$B$5:$B$304,$B100,对接源_01水果筐数!$C$5:$C$304,基础资料!$B$4))</f>
        <v/>
      </c>
      <c r="AG100" s="25" t="str">
        <f>IF(OR($B100="",基础资料!$B$5=""),"",SUMIFS(对接源_01水果筐数!$E$5:$E$304,对接源_01水果筐数!$B$5:$B$304,$B100,对接源_01水果筐数!$C$5:$C$304,基础资料!$B$5))</f>
        <v/>
      </c>
      <c r="AH100" s="25" t="str">
        <f>IF(OR($B100="",基础资料!$B$6=""),"",SUMIFS(对接源_01水果筐数!$E$5:$E$304,对接源_01水果筐数!$B$5:$B$304,$B100,对接源_01水果筐数!$C$5:$C$304,基础资料!$B$6))</f>
        <v/>
      </c>
      <c r="AI100" s="25" t="str">
        <f>IF(OR($B100="",基础资料!$B$7=""),"",SUMIFS(对接源_01水果筐数!$E$5:$E$304,对接源_01水果筐数!$B$5:$B$304,$B100,对接源_01水果筐数!$C$5:$C$304,基础资料!$B$7))</f>
        <v/>
      </c>
      <c r="AJ100" s="25" t="str">
        <f>IF(OR($B100="",基础资料!$B$8=""),"",SUMIFS(对接源_01水果筐数!$E$5:$E$304,对接源_01水果筐数!$B$5:$B$304,$B100,对接源_01水果筐数!$C$5:$C$304,基础资料!$B$8))</f>
        <v/>
      </c>
      <c r="AK100" s="25" t="str">
        <f>IF(OR($B100="",基础资料!$B$4=""),"",SUMIFS(对接源_01水果筐数!$F$5:$F$304,对接源_01水果筐数!$B$5:$B$304,$B100,对接源_01水果筐数!$C$5:$C$304,基础资料!$B$4))</f>
        <v/>
      </c>
      <c r="AL100" s="25" t="str">
        <f>IF(OR($B100="",基础资料!$B$5=""),"",SUMIFS(对接源_01水果筐数!$F$5:$F$304,对接源_01水果筐数!$B$5:$B$304,$B100,对接源_01水果筐数!$C$5:$C$304,基础资料!$B$5))</f>
        <v/>
      </c>
      <c r="AM100" s="25" t="str">
        <f>IF(OR($B100="",基础资料!$B$6=""),"",SUMIFS(对接源_01水果筐数!$F$5:$F$304,对接源_01水果筐数!$B$5:$B$304,$B100,对接源_01水果筐数!$C$5:$C$304,基础资料!$B$6))</f>
        <v/>
      </c>
      <c r="AN100" s="25" t="str">
        <f>IF(OR($B100="",基础资料!$B$7=""),"",SUMIFS(对接源_01水果筐数!$F$5:$F$304,对接源_01水果筐数!$B$5:$B$304,$B100,对接源_01水果筐数!$C$5:$C$304,基础资料!$B$7))</f>
        <v/>
      </c>
      <c r="AO100" s="25" t="str">
        <f>IF(OR($B100="",基础资料!$B$8=""),"",SUMIFS(对接源_01水果筐数!$F$5:$F$304,对接源_01水果筐数!$B$5:$B$304,$B100,对接源_01水果筐数!$C$5:$C$304,基础资料!$B$8))</f>
        <v/>
      </c>
      <c r="AP100" s="25" t="str">
        <f t="shared" si="17"/>
        <v/>
      </c>
      <c r="AQ100" s="25" t="str">
        <f t="shared" si="18"/>
        <v/>
      </c>
      <c r="AR100" s="25" t="str">
        <f t="shared" si="19"/>
        <v/>
      </c>
      <c r="AS100" s="25" t="str">
        <f t="shared" si="20"/>
        <v/>
      </c>
      <c r="AT100" s="25" t="str">
        <f t="shared" si="21"/>
        <v/>
      </c>
      <c r="AU100" s="25" t="str">
        <f t="shared" si="22"/>
        <v/>
      </c>
      <c r="AV100" s="24" t="str">
        <f t="shared" si="23"/>
        <v/>
      </c>
      <c r="AW100" s="72"/>
    </row>
    <row r="101" spans="1:49">
      <c r="A101" s="22" t="str">
        <f t="shared" si="12"/>
        <v/>
      </c>
      <c r="B101" s="24" t="str">
        <f>IFERROR(INDEX(_自动清单!$CC$4:$CC$253,ROW()-3),"")</f>
        <v/>
      </c>
      <c r="C101" s="25" t="str">
        <f>IF(OR($B101="",基础资料!$B$4=""),"",SUMIFS(周转筐出入库明细!$J$4:$J$2004,周转筐出入库明细!$C$4:$C$2004,$B101,周转筐出入库明细!$D$4:$D$2004,基础资料!$B$4,周转筐出入库明细!$B$4:$B$2004,"&gt;="&amp;$BC$1,周转筐出入库明细!$B$4:$B$2004,"&lt;="&amp;$BC$2))</f>
        <v/>
      </c>
      <c r="D101" s="25" t="str">
        <f>IF(OR($B101="",基础资料!$B$5=""),"",SUMIFS(周转筐出入库明细!$J$4:$J$2004,周转筐出入库明细!$C$4:$C$2004,$B101,周转筐出入库明细!$D$4:$D$2004,基础资料!$B$5,周转筐出入库明细!$B$4:$B$2004,"&gt;="&amp;$BC$1,周转筐出入库明细!$B$4:$B$2004,"&lt;="&amp;$BC$2))</f>
        <v/>
      </c>
      <c r="E101" s="25" t="str">
        <f>IF(OR($B101="",基础资料!$B$6=""),"",SUMIFS(周转筐出入库明细!$J$4:$J$2004,周转筐出入库明细!$C$4:$C$2004,$B101,周转筐出入库明细!$D$4:$D$2004,基础资料!$B$6,周转筐出入库明细!$B$4:$B$2004,"&gt;="&amp;$BC$1,周转筐出入库明细!$B$4:$B$2004,"&lt;="&amp;$BC$2))</f>
        <v/>
      </c>
      <c r="F101" s="25" t="str">
        <f>IF(OR($B101="",基础资料!$B$7=""),"",SUMIFS(周转筐出入库明细!$J$4:$J$2004,周转筐出入库明细!$C$4:$C$2004,$B101,周转筐出入库明细!$D$4:$D$2004,基础资料!$B$7,周转筐出入库明细!$B$4:$B$2004,"&gt;="&amp;$BC$1,周转筐出入库明细!$B$4:$B$2004,"&lt;="&amp;$BC$2))</f>
        <v/>
      </c>
      <c r="G101" s="25" t="str">
        <f>IF(OR($B101="",基础资料!$B$8=""),"",SUMIFS(周转筐出入库明细!$J$4:$J$2004,周转筐出入库明细!$C$4:$C$2004,$B101,周转筐出入库明细!$D$4:$D$2004,基础资料!$B$8,周转筐出入库明细!$B$4:$B$2004,"&gt;="&amp;$BC$1,周转筐出入库明细!$B$4:$B$2004,"&lt;="&amp;$BC$2))</f>
        <v/>
      </c>
      <c r="H101" s="25" t="str">
        <f t="shared" si="13"/>
        <v/>
      </c>
      <c r="I101" s="67" t="str">
        <f>IF(OR($B101="",基础资料!$B$4=""),"",-SUMIFS(周转筐出入库明细!$I$4:$I$2004,周转筐出入库明细!$C$4:$C$2004,$B101,周转筐出入库明细!$D$4:$D$2004,基础资料!$B$4,周转筐出入库明细!$B$4:$B$2004,"&gt;="&amp;$BC$1,周转筐出入库明细!$B$4:$B$2004,"&lt;="&amp;$BC$2))</f>
        <v/>
      </c>
      <c r="J101" s="67" t="str">
        <f>IF(OR($B101="",基础资料!$B$5=""),"",-SUMIFS(周转筐出入库明细!$I$4:$I$2004,周转筐出入库明细!$C$4:$C$2004,$B101,周转筐出入库明细!$D$4:$D$2004,基础资料!$B$5,周转筐出入库明细!$B$4:$B$2004,"&gt;="&amp;$BC$1,周转筐出入库明细!$B$4:$B$2004,"&lt;="&amp;$BC$2))</f>
        <v/>
      </c>
      <c r="K101" s="67" t="str">
        <f>IF(OR($B101="",基础资料!$B$6=""),"",-SUMIFS(周转筐出入库明细!$I$4:$I$2004,周转筐出入库明细!$C$4:$C$2004,$B101,周转筐出入库明细!$D$4:$D$2004,基础资料!$B$6,周转筐出入库明细!$B$4:$B$2004,"&gt;="&amp;$BC$1,周转筐出入库明细!$B$4:$B$2004,"&lt;="&amp;$BC$2))</f>
        <v/>
      </c>
      <c r="L101" s="67" t="str">
        <f>IF(OR($B101="",基础资料!$B$7=""),"",-SUMIFS(周转筐出入库明细!$I$4:$I$2004,周转筐出入库明细!$C$4:$C$2004,$B101,周转筐出入库明细!$D$4:$D$2004,基础资料!$B$7,周转筐出入库明细!$B$4:$B$2004,"&gt;="&amp;$BC$1,周转筐出入库明细!$B$4:$B$2004,"&lt;="&amp;$BC$2))</f>
        <v/>
      </c>
      <c r="M101" s="67" t="str">
        <f>IF(OR($B101="",基础资料!$B$8=""),"",-SUMIFS(周转筐出入库明细!$I$4:$I$2004,周转筐出入库明细!$C$4:$C$2004,$B101,周转筐出入库明细!$D$4:$D$2004,基础资料!$B$8,周转筐出入库明细!$B$4:$B$2004,"&gt;="&amp;$BC$1,周转筐出入库明细!$B$4:$B$2004,"&lt;="&amp;$BC$2))</f>
        <v/>
      </c>
      <c r="N101" s="67" t="str">
        <f t="shared" si="14"/>
        <v/>
      </c>
      <c r="O101" s="25" t="str">
        <f>IF(OR($B101="",基础资料!$B$4=""),"",SUMIFS(周转筐出入库明细!$H$4:$H$2004,周转筐出入库明细!$C$4:$C$2004,$B101,周转筐出入库明细!$D$4:$D$2004,基础资料!$B$4,周转筐出入库明细!$F$4:$F$2004,"采购入库",周转筐出入库明细!$B$4:$B$2004,"&gt;="&amp;$BC$1,周转筐出入库明细!$B$4:$B$2004,"&lt;="&amp;$BC$2))</f>
        <v/>
      </c>
      <c r="P101" s="25" t="str">
        <f>IF(OR($B101="",基础资料!$B$5=""),"",SUMIFS(周转筐出入库明细!$H$4:$H$2004,周转筐出入库明细!$C$4:$C$2004,$B101,周转筐出入库明细!$D$4:$D$2004,基础资料!$B$5,周转筐出入库明细!$F$4:$F$2004,"采购入库",周转筐出入库明细!$B$4:$B$2004,"&gt;="&amp;$BC$1,周转筐出入库明细!$B$4:$B$2004,"&lt;="&amp;$BC$2))</f>
        <v/>
      </c>
      <c r="Q101" s="25" t="str">
        <f>IF(OR($B101="",基础资料!$B$6=""),"",SUMIFS(周转筐出入库明细!$H$4:$H$2004,周转筐出入库明细!$C$4:$C$2004,$B101,周转筐出入库明细!$D$4:$D$2004,基础资料!$B$6,周转筐出入库明细!$F$4:$F$2004,"采购入库",周转筐出入库明细!$B$4:$B$2004,"&gt;="&amp;$BC$1,周转筐出入库明细!$B$4:$B$2004,"&lt;="&amp;$BC$2))</f>
        <v/>
      </c>
      <c r="R101" s="25" t="str">
        <f>IF(OR($B101="",基础资料!$B$7=""),"",SUMIFS(周转筐出入库明细!$H$4:$H$2004,周转筐出入库明细!$C$4:$C$2004,$B101,周转筐出入库明细!$D$4:$D$2004,基础资料!$B$7,周转筐出入库明细!$F$4:$F$2004,"采购入库",周转筐出入库明细!$B$4:$B$2004,"&gt;="&amp;$BC$1,周转筐出入库明细!$B$4:$B$2004,"&lt;="&amp;$BC$2))</f>
        <v/>
      </c>
      <c r="S101" s="25" t="str">
        <f>IF(OR($B101="",基础资料!$B$8=""),"",SUMIFS(周转筐出入库明细!$H$4:$H$2004,周转筐出入库明细!$C$4:$C$2004,$B101,周转筐出入库明细!$D$4:$D$2004,基础资料!$B$8,周转筐出入库明细!$F$4:$F$2004,"采购入库",周转筐出入库明细!$B$4:$B$2004,"&gt;="&amp;$BC$1,周转筐出入库明细!$B$4:$B$2004,"&lt;="&amp;$BC$2))</f>
        <v/>
      </c>
      <c r="T101" s="25" t="str">
        <f t="shared" si="15"/>
        <v/>
      </c>
      <c r="U101" s="25" t="str">
        <f>IF(OR($B101="",基础资料!$B$4=""),"",SUMIFS(周转筐出入库明细!$K$4:$K$2004,周转筐出入库明细!$C$4:$C$2004,$B101,周转筐出入库明细!$D$4:$D$2004,基础资料!$B$4,周转筐出入库明细!$B$4:$B$2004,"&gt;="&amp;$BC$1,周转筐出入库明细!$B$4:$B$2004,"&lt;="&amp;$BC$2))</f>
        <v/>
      </c>
      <c r="V101" s="25" t="str">
        <f>IF(OR($B101="",基础资料!$B$5=""),"",SUMIFS(周转筐出入库明细!$K$4:$K$2004,周转筐出入库明细!$C$4:$C$2004,$B101,周转筐出入库明细!$D$4:$D$2004,基础资料!$B$5,周转筐出入库明细!$B$4:$B$2004,"&gt;="&amp;$BC$1,周转筐出入库明细!$B$4:$B$2004,"&lt;="&amp;$BC$2))</f>
        <v/>
      </c>
      <c r="W101" s="25" t="str">
        <f>IF(OR($B101="",基础资料!$B$6=""),"",SUMIFS(周转筐出入库明细!$K$4:$K$2004,周转筐出入库明细!$C$4:$C$2004,$B101,周转筐出入库明细!$D$4:$D$2004,基础资料!$B$6,周转筐出入库明细!$B$4:$B$2004,"&gt;="&amp;$BC$1,周转筐出入库明细!$B$4:$B$2004,"&lt;="&amp;$BC$2))</f>
        <v/>
      </c>
      <c r="X101" s="25" t="str">
        <f>IF(OR($B101="",基础资料!$B$7=""),"",SUMIFS(周转筐出入库明细!$K$4:$K$2004,周转筐出入库明细!$C$4:$C$2004,$B101,周转筐出入库明细!$D$4:$D$2004,基础资料!$B$7,周转筐出入库明细!$B$4:$B$2004,"&gt;="&amp;$BC$1,周转筐出入库明细!$B$4:$B$2004,"&lt;="&amp;$BC$2))</f>
        <v/>
      </c>
      <c r="Y101" s="25" t="str">
        <f>IF(OR($B101="",基础资料!$B$8=""),"",SUMIFS(周转筐出入库明细!$K$4:$K$2004,周转筐出入库明细!$C$4:$C$2004,$B101,周转筐出入库明细!$D$4:$D$2004,基础资料!$B$8,周转筐出入库明细!$B$4:$B$2004,"&gt;="&amp;$BC$1,周转筐出入库明细!$B$4:$B$2004,"&lt;="&amp;$BC$2))</f>
        <v/>
      </c>
      <c r="Z101" s="25" t="str">
        <f t="shared" si="16"/>
        <v/>
      </c>
      <c r="AA101" s="67" t="str">
        <f>IF(OR($B101="",基础资料!$B$4=""),"",-SUMIFS(对接源_01水果筐数!$D$5:$D$304,对接源_01水果筐数!$B$5:$B$304,$B101,对接源_01水果筐数!$C$5:$C$304,基础资料!$B$4))</f>
        <v/>
      </c>
      <c r="AB101" s="67" t="str">
        <f>IF(OR($B101="",基础资料!$B$5=""),"",-SUMIFS(对接源_01水果筐数!$D$5:$D$304,对接源_01水果筐数!$B$5:$B$304,$B101,对接源_01水果筐数!$C$5:$C$304,基础资料!$B$5))</f>
        <v/>
      </c>
      <c r="AC101" s="67" t="str">
        <f>IF(OR($B101="",基础资料!$B$6=""),"",-SUMIFS(对接源_01水果筐数!$D$5:$D$304,对接源_01水果筐数!$B$5:$B$304,$B101,对接源_01水果筐数!$C$5:$C$304,基础资料!$B$6))</f>
        <v/>
      </c>
      <c r="AD101" s="67" t="str">
        <f>IF(OR($B101="",基础资料!$B$7=""),"",-SUMIFS(对接源_01水果筐数!$D$5:$D$304,对接源_01水果筐数!$B$5:$B$304,$B101,对接源_01水果筐数!$C$5:$C$304,基础资料!$B$7))</f>
        <v/>
      </c>
      <c r="AE101" s="67" t="str">
        <f>IF(OR($B101="",基础资料!$B$8=""),"",-SUMIFS(对接源_01水果筐数!$D$5:$D$304,对接源_01水果筐数!$B$5:$B$304,$B101,对接源_01水果筐数!$C$5:$C$304,基础资料!$B$8))</f>
        <v/>
      </c>
      <c r="AF101" s="25" t="str">
        <f>IF(OR($B101="",基础资料!$B$4=""),"",SUMIFS(对接源_01水果筐数!$E$5:$E$304,对接源_01水果筐数!$B$5:$B$304,$B101,对接源_01水果筐数!$C$5:$C$304,基础资料!$B$4))</f>
        <v/>
      </c>
      <c r="AG101" s="25" t="str">
        <f>IF(OR($B101="",基础资料!$B$5=""),"",SUMIFS(对接源_01水果筐数!$E$5:$E$304,对接源_01水果筐数!$B$5:$B$304,$B101,对接源_01水果筐数!$C$5:$C$304,基础资料!$B$5))</f>
        <v/>
      </c>
      <c r="AH101" s="25" t="str">
        <f>IF(OR($B101="",基础资料!$B$6=""),"",SUMIFS(对接源_01水果筐数!$E$5:$E$304,对接源_01水果筐数!$B$5:$B$304,$B101,对接源_01水果筐数!$C$5:$C$304,基础资料!$B$6))</f>
        <v/>
      </c>
      <c r="AI101" s="25" t="str">
        <f>IF(OR($B101="",基础资料!$B$7=""),"",SUMIFS(对接源_01水果筐数!$E$5:$E$304,对接源_01水果筐数!$B$5:$B$304,$B101,对接源_01水果筐数!$C$5:$C$304,基础资料!$B$7))</f>
        <v/>
      </c>
      <c r="AJ101" s="25" t="str">
        <f>IF(OR($B101="",基础资料!$B$8=""),"",SUMIFS(对接源_01水果筐数!$E$5:$E$304,对接源_01水果筐数!$B$5:$B$304,$B101,对接源_01水果筐数!$C$5:$C$304,基础资料!$B$8))</f>
        <v/>
      </c>
      <c r="AK101" s="25" t="str">
        <f>IF(OR($B101="",基础资料!$B$4=""),"",SUMIFS(对接源_01水果筐数!$F$5:$F$304,对接源_01水果筐数!$B$5:$B$304,$B101,对接源_01水果筐数!$C$5:$C$304,基础资料!$B$4))</f>
        <v/>
      </c>
      <c r="AL101" s="25" t="str">
        <f>IF(OR($B101="",基础资料!$B$5=""),"",SUMIFS(对接源_01水果筐数!$F$5:$F$304,对接源_01水果筐数!$B$5:$B$304,$B101,对接源_01水果筐数!$C$5:$C$304,基础资料!$B$5))</f>
        <v/>
      </c>
      <c r="AM101" s="25" t="str">
        <f>IF(OR($B101="",基础资料!$B$6=""),"",SUMIFS(对接源_01水果筐数!$F$5:$F$304,对接源_01水果筐数!$B$5:$B$304,$B101,对接源_01水果筐数!$C$5:$C$304,基础资料!$B$6))</f>
        <v/>
      </c>
      <c r="AN101" s="25" t="str">
        <f>IF(OR($B101="",基础资料!$B$7=""),"",SUMIFS(对接源_01水果筐数!$F$5:$F$304,对接源_01水果筐数!$B$5:$B$304,$B101,对接源_01水果筐数!$C$5:$C$304,基础资料!$B$7))</f>
        <v/>
      </c>
      <c r="AO101" s="25" t="str">
        <f>IF(OR($B101="",基础资料!$B$8=""),"",SUMIFS(对接源_01水果筐数!$F$5:$F$304,对接源_01水果筐数!$B$5:$B$304,$B101,对接源_01水果筐数!$C$5:$C$304,基础资料!$B$8))</f>
        <v/>
      </c>
      <c r="AP101" s="25" t="str">
        <f t="shared" si="17"/>
        <v/>
      </c>
      <c r="AQ101" s="25" t="str">
        <f t="shared" si="18"/>
        <v/>
      </c>
      <c r="AR101" s="25" t="str">
        <f t="shared" si="19"/>
        <v/>
      </c>
      <c r="AS101" s="25" t="str">
        <f t="shared" si="20"/>
        <v/>
      </c>
      <c r="AT101" s="25" t="str">
        <f t="shared" si="21"/>
        <v/>
      </c>
      <c r="AU101" s="25" t="str">
        <f t="shared" si="22"/>
        <v/>
      </c>
      <c r="AV101" s="24" t="str">
        <f t="shared" si="23"/>
        <v/>
      </c>
      <c r="AW101" s="72"/>
    </row>
    <row r="102" spans="1:49">
      <c r="A102" s="22" t="str">
        <f t="shared" si="12"/>
        <v/>
      </c>
      <c r="B102" s="24" t="str">
        <f>IFERROR(INDEX(_自动清单!$CC$4:$CC$253,ROW()-3),"")</f>
        <v/>
      </c>
      <c r="C102" s="25" t="str">
        <f>IF(OR($B102="",基础资料!$B$4=""),"",SUMIFS(周转筐出入库明细!$J$4:$J$2004,周转筐出入库明细!$C$4:$C$2004,$B102,周转筐出入库明细!$D$4:$D$2004,基础资料!$B$4,周转筐出入库明细!$B$4:$B$2004,"&gt;="&amp;$BC$1,周转筐出入库明细!$B$4:$B$2004,"&lt;="&amp;$BC$2))</f>
        <v/>
      </c>
      <c r="D102" s="25" t="str">
        <f>IF(OR($B102="",基础资料!$B$5=""),"",SUMIFS(周转筐出入库明细!$J$4:$J$2004,周转筐出入库明细!$C$4:$C$2004,$B102,周转筐出入库明细!$D$4:$D$2004,基础资料!$B$5,周转筐出入库明细!$B$4:$B$2004,"&gt;="&amp;$BC$1,周转筐出入库明细!$B$4:$B$2004,"&lt;="&amp;$BC$2))</f>
        <v/>
      </c>
      <c r="E102" s="25" t="str">
        <f>IF(OR($B102="",基础资料!$B$6=""),"",SUMIFS(周转筐出入库明细!$J$4:$J$2004,周转筐出入库明细!$C$4:$C$2004,$B102,周转筐出入库明细!$D$4:$D$2004,基础资料!$B$6,周转筐出入库明细!$B$4:$B$2004,"&gt;="&amp;$BC$1,周转筐出入库明细!$B$4:$B$2004,"&lt;="&amp;$BC$2))</f>
        <v/>
      </c>
      <c r="F102" s="25" t="str">
        <f>IF(OR($B102="",基础资料!$B$7=""),"",SUMIFS(周转筐出入库明细!$J$4:$J$2004,周转筐出入库明细!$C$4:$C$2004,$B102,周转筐出入库明细!$D$4:$D$2004,基础资料!$B$7,周转筐出入库明细!$B$4:$B$2004,"&gt;="&amp;$BC$1,周转筐出入库明细!$B$4:$B$2004,"&lt;="&amp;$BC$2))</f>
        <v/>
      </c>
      <c r="G102" s="25" t="str">
        <f>IF(OR($B102="",基础资料!$B$8=""),"",SUMIFS(周转筐出入库明细!$J$4:$J$2004,周转筐出入库明细!$C$4:$C$2004,$B102,周转筐出入库明细!$D$4:$D$2004,基础资料!$B$8,周转筐出入库明细!$B$4:$B$2004,"&gt;="&amp;$BC$1,周转筐出入库明细!$B$4:$B$2004,"&lt;="&amp;$BC$2))</f>
        <v/>
      </c>
      <c r="H102" s="25" t="str">
        <f t="shared" si="13"/>
        <v/>
      </c>
      <c r="I102" s="67" t="str">
        <f>IF(OR($B102="",基础资料!$B$4=""),"",-SUMIFS(周转筐出入库明细!$I$4:$I$2004,周转筐出入库明细!$C$4:$C$2004,$B102,周转筐出入库明细!$D$4:$D$2004,基础资料!$B$4,周转筐出入库明细!$B$4:$B$2004,"&gt;="&amp;$BC$1,周转筐出入库明细!$B$4:$B$2004,"&lt;="&amp;$BC$2))</f>
        <v/>
      </c>
      <c r="J102" s="67" t="str">
        <f>IF(OR($B102="",基础资料!$B$5=""),"",-SUMIFS(周转筐出入库明细!$I$4:$I$2004,周转筐出入库明细!$C$4:$C$2004,$B102,周转筐出入库明细!$D$4:$D$2004,基础资料!$B$5,周转筐出入库明细!$B$4:$B$2004,"&gt;="&amp;$BC$1,周转筐出入库明细!$B$4:$B$2004,"&lt;="&amp;$BC$2))</f>
        <v/>
      </c>
      <c r="K102" s="67" t="str">
        <f>IF(OR($B102="",基础资料!$B$6=""),"",-SUMIFS(周转筐出入库明细!$I$4:$I$2004,周转筐出入库明细!$C$4:$C$2004,$B102,周转筐出入库明细!$D$4:$D$2004,基础资料!$B$6,周转筐出入库明细!$B$4:$B$2004,"&gt;="&amp;$BC$1,周转筐出入库明细!$B$4:$B$2004,"&lt;="&amp;$BC$2))</f>
        <v/>
      </c>
      <c r="L102" s="67" t="str">
        <f>IF(OR($B102="",基础资料!$B$7=""),"",-SUMIFS(周转筐出入库明细!$I$4:$I$2004,周转筐出入库明细!$C$4:$C$2004,$B102,周转筐出入库明细!$D$4:$D$2004,基础资料!$B$7,周转筐出入库明细!$B$4:$B$2004,"&gt;="&amp;$BC$1,周转筐出入库明细!$B$4:$B$2004,"&lt;="&amp;$BC$2))</f>
        <v/>
      </c>
      <c r="M102" s="67" t="str">
        <f>IF(OR($B102="",基础资料!$B$8=""),"",-SUMIFS(周转筐出入库明细!$I$4:$I$2004,周转筐出入库明细!$C$4:$C$2004,$B102,周转筐出入库明细!$D$4:$D$2004,基础资料!$B$8,周转筐出入库明细!$B$4:$B$2004,"&gt;="&amp;$BC$1,周转筐出入库明细!$B$4:$B$2004,"&lt;="&amp;$BC$2))</f>
        <v/>
      </c>
      <c r="N102" s="67" t="str">
        <f t="shared" si="14"/>
        <v/>
      </c>
      <c r="O102" s="25" t="str">
        <f>IF(OR($B102="",基础资料!$B$4=""),"",SUMIFS(周转筐出入库明细!$H$4:$H$2004,周转筐出入库明细!$C$4:$C$2004,$B102,周转筐出入库明细!$D$4:$D$2004,基础资料!$B$4,周转筐出入库明细!$F$4:$F$2004,"采购入库",周转筐出入库明细!$B$4:$B$2004,"&gt;="&amp;$BC$1,周转筐出入库明细!$B$4:$B$2004,"&lt;="&amp;$BC$2))</f>
        <v/>
      </c>
      <c r="P102" s="25" t="str">
        <f>IF(OR($B102="",基础资料!$B$5=""),"",SUMIFS(周转筐出入库明细!$H$4:$H$2004,周转筐出入库明细!$C$4:$C$2004,$B102,周转筐出入库明细!$D$4:$D$2004,基础资料!$B$5,周转筐出入库明细!$F$4:$F$2004,"采购入库",周转筐出入库明细!$B$4:$B$2004,"&gt;="&amp;$BC$1,周转筐出入库明细!$B$4:$B$2004,"&lt;="&amp;$BC$2))</f>
        <v/>
      </c>
      <c r="Q102" s="25" t="str">
        <f>IF(OR($B102="",基础资料!$B$6=""),"",SUMIFS(周转筐出入库明细!$H$4:$H$2004,周转筐出入库明细!$C$4:$C$2004,$B102,周转筐出入库明细!$D$4:$D$2004,基础资料!$B$6,周转筐出入库明细!$F$4:$F$2004,"采购入库",周转筐出入库明细!$B$4:$B$2004,"&gt;="&amp;$BC$1,周转筐出入库明细!$B$4:$B$2004,"&lt;="&amp;$BC$2))</f>
        <v/>
      </c>
      <c r="R102" s="25" t="str">
        <f>IF(OR($B102="",基础资料!$B$7=""),"",SUMIFS(周转筐出入库明细!$H$4:$H$2004,周转筐出入库明细!$C$4:$C$2004,$B102,周转筐出入库明细!$D$4:$D$2004,基础资料!$B$7,周转筐出入库明细!$F$4:$F$2004,"采购入库",周转筐出入库明细!$B$4:$B$2004,"&gt;="&amp;$BC$1,周转筐出入库明细!$B$4:$B$2004,"&lt;="&amp;$BC$2))</f>
        <v/>
      </c>
      <c r="S102" s="25" t="str">
        <f>IF(OR($B102="",基础资料!$B$8=""),"",SUMIFS(周转筐出入库明细!$H$4:$H$2004,周转筐出入库明细!$C$4:$C$2004,$B102,周转筐出入库明细!$D$4:$D$2004,基础资料!$B$8,周转筐出入库明细!$F$4:$F$2004,"采购入库",周转筐出入库明细!$B$4:$B$2004,"&gt;="&amp;$BC$1,周转筐出入库明细!$B$4:$B$2004,"&lt;="&amp;$BC$2))</f>
        <v/>
      </c>
      <c r="T102" s="25" t="str">
        <f t="shared" si="15"/>
        <v/>
      </c>
      <c r="U102" s="25" t="str">
        <f>IF(OR($B102="",基础资料!$B$4=""),"",SUMIFS(周转筐出入库明细!$K$4:$K$2004,周转筐出入库明细!$C$4:$C$2004,$B102,周转筐出入库明细!$D$4:$D$2004,基础资料!$B$4,周转筐出入库明细!$B$4:$B$2004,"&gt;="&amp;$BC$1,周转筐出入库明细!$B$4:$B$2004,"&lt;="&amp;$BC$2))</f>
        <v/>
      </c>
      <c r="V102" s="25" t="str">
        <f>IF(OR($B102="",基础资料!$B$5=""),"",SUMIFS(周转筐出入库明细!$K$4:$K$2004,周转筐出入库明细!$C$4:$C$2004,$B102,周转筐出入库明细!$D$4:$D$2004,基础资料!$B$5,周转筐出入库明细!$B$4:$B$2004,"&gt;="&amp;$BC$1,周转筐出入库明细!$B$4:$B$2004,"&lt;="&amp;$BC$2))</f>
        <v/>
      </c>
      <c r="W102" s="25" t="str">
        <f>IF(OR($B102="",基础资料!$B$6=""),"",SUMIFS(周转筐出入库明细!$K$4:$K$2004,周转筐出入库明细!$C$4:$C$2004,$B102,周转筐出入库明细!$D$4:$D$2004,基础资料!$B$6,周转筐出入库明细!$B$4:$B$2004,"&gt;="&amp;$BC$1,周转筐出入库明细!$B$4:$B$2004,"&lt;="&amp;$BC$2))</f>
        <v/>
      </c>
      <c r="X102" s="25" t="str">
        <f>IF(OR($B102="",基础资料!$B$7=""),"",SUMIFS(周转筐出入库明细!$K$4:$K$2004,周转筐出入库明细!$C$4:$C$2004,$B102,周转筐出入库明细!$D$4:$D$2004,基础资料!$B$7,周转筐出入库明细!$B$4:$B$2004,"&gt;="&amp;$BC$1,周转筐出入库明细!$B$4:$B$2004,"&lt;="&amp;$BC$2))</f>
        <v/>
      </c>
      <c r="Y102" s="25" t="str">
        <f>IF(OR($B102="",基础资料!$B$8=""),"",SUMIFS(周转筐出入库明细!$K$4:$K$2004,周转筐出入库明细!$C$4:$C$2004,$B102,周转筐出入库明细!$D$4:$D$2004,基础资料!$B$8,周转筐出入库明细!$B$4:$B$2004,"&gt;="&amp;$BC$1,周转筐出入库明细!$B$4:$B$2004,"&lt;="&amp;$BC$2))</f>
        <v/>
      </c>
      <c r="Z102" s="25" t="str">
        <f t="shared" si="16"/>
        <v/>
      </c>
      <c r="AA102" s="67" t="str">
        <f>IF(OR($B102="",基础资料!$B$4=""),"",-SUMIFS(对接源_01水果筐数!$D$5:$D$304,对接源_01水果筐数!$B$5:$B$304,$B102,对接源_01水果筐数!$C$5:$C$304,基础资料!$B$4))</f>
        <v/>
      </c>
      <c r="AB102" s="67" t="str">
        <f>IF(OR($B102="",基础资料!$B$5=""),"",-SUMIFS(对接源_01水果筐数!$D$5:$D$304,对接源_01水果筐数!$B$5:$B$304,$B102,对接源_01水果筐数!$C$5:$C$304,基础资料!$B$5))</f>
        <v/>
      </c>
      <c r="AC102" s="67" t="str">
        <f>IF(OR($B102="",基础资料!$B$6=""),"",-SUMIFS(对接源_01水果筐数!$D$5:$D$304,对接源_01水果筐数!$B$5:$B$304,$B102,对接源_01水果筐数!$C$5:$C$304,基础资料!$B$6))</f>
        <v/>
      </c>
      <c r="AD102" s="67" t="str">
        <f>IF(OR($B102="",基础资料!$B$7=""),"",-SUMIFS(对接源_01水果筐数!$D$5:$D$304,对接源_01水果筐数!$B$5:$B$304,$B102,对接源_01水果筐数!$C$5:$C$304,基础资料!$B$7))</f>
        <v/>
      </c>
      <c r="AE102" s="67" t="str">
        <f>IF(OR($B102="",基础资料!$B$8=""),"",-SUMIFS(对接源_01水果筐数!$D$5:$D$304,对接源_01水果筐数!$B$5:$B$304,$B102,对接源_01水果筐数!$C$5:$C$304,基础资料!$B$8))</f>
        <v/>
      </c>
      <c r="AF102" s="25" t="str">
        <f>IF(OR($B102="",基础资料!$B$4=""),"",SUMIFS(对接源_01水果筐数!$E$5:$E$304,对接源_01水果筐数!$B$5:$B$304,$B102,对接源_01水果筐数!$C$5:$C$304,基础资料!$B$4))</f>
        <v/>
      </c>
      <c r="AG102" s="25" t="str">
        <f>IF(OR($B102="",基础资料!$B$5=""),"",SUMIFS(对接源_01水果筐数!$E$5:$E$304,对接源_01水果筐数!$B$5:$B$304,$B102,对接源_01水果筐数!$C$5:$C$304,基础资料!$B$5))</f>
        <v/>
      </c>
      <c r="AH102" s="25" t="str">
        <f>IF(OR($B102="",基础资料!$B$6=""),"",SUMIFS(对接源_01水果筐数!$E$5:$E$304,对接源_01水果筐数!$B$5:$B$304,$B102,对接源_01水果筐数!$C$5:$C$304,基础资料!$B$6))</f>
        <v/>
      </c>
      <c r="AI102" s="25" t="str">
        <f>IF(OR($B102="",基础资料!$B$7=""),"",SUMIFS(对接源_01水果筐数!$E$5:$E$304,对接源_01水果筐数!$B$5:$B$304,$B102,对接源_01水果筐数!$C$5:$C$304,基础资料!$B$7))</f>
        <v/>
      </c>
      <c r="AJ102" s="25" t="str">
        <f>IF(OR($B102="",基础资料!$B$8=""),"",SUMIFS(对接源_01水果筐数!$E$5:$E$304,对接源_01水果筐数!$B$5:$B$304,$B102,对接源_01水果筐数!$C$5:$C$304,基础资料!$B$8))</f>
        <v/>
      </c>
      <c r="AK102" s="25" t="str">
        <f>IF(OR($B102="",基础资料!$B$4=""),"",SUMIFS(对接源_01水果筐数!$F$5:$F$304,对接源_01水果筐数!$B$5:$B$304,$B102,对接源_01水果筐数!$C$5:$C$304,基础资料!$B$4))</f>
        <v/>
      </c>
      <c r="AL102" s="25" t="str">
        <f>IF(OR($B102="",基础资料!$B$5=""),"",SUMIFS(对接源_01水果筐数!$F$5:$F$304,对接源_01水果筐数!$B$5:$B$304,$B102,对接源_01水果筐数!$C$5:$C$304,基础资料!$B$5))</f>
        <v/>
      </c>
      <c r="AM102" s="25" t="str">
        <f>IF(OR($B102="",基础资料!$B$6=""),"",SUMIFS(对接源_01水果筐数!$F$5:$F$304,对接源_01水果筐数!$B$5:$B$304,$B102,对接源_01水果筐数!$C$5:$C$304,基础资料!$B$6))</f>
        <v/>
      </c>
      <c r="AN102" s="25" t="str">
        <f>IF(OR($B102="",基础资料!$B$7=""),"",SUMIFS(对接源_01水果筐数!$F$5:$F$304,对接源_01水果筐数!$B$5:$B$304,$B102,对接源_01水果筐数!$C$5:$C$304,基础资料!$B$7))</f>
        <v/>
      </c>
      <c r="AO102" s="25" t="str">
        <f>IF(OR($B102="",基础资料!$B$8=""),"",SUMIFS(对接源_01水果筐数!$F$5:$F$304,对接源_01水果筐数!$B$5:$B$304,$B102,对接源_01水果筐数!$C$5:$C$304,基础资料!$B$8))</f>
        <v/>
      </c>
      <c r="AP102" s="25" t="str">
        <f t="shared" si="17"/>
        <v/>
      </c>
      <c r="AQ102" s="25" t="str">
        <f t="shared" si="18"/>
        <v/>
      </c>
      <c r="AR102" s="25" t="str">
        <f t="shared" si="19"/>
        <v/>
      </c>
      <c r="AS102" s="25" t="str">
        <f t="shared" si="20"/>
        <v/>
      </c>
      <c r="AT102" s="25" t="str">
        <f t="shared" si="21"/>
        <v/>
      </c>
      <c r="AU102" s="25" t="str">
        <f t="shared" si="22"/>
        <v/>
      </c>
      <c r="AV102" s="24" t="str">
        <f t="shared" si="23"/>
        <v/>
      </c>
      <c r="AW102" s="72"/>
    </row>
    <row r="103" spans="1:49">
      <c r="A103" s="22" t="str">
        <f t="shared" si="12"/>
        <v/>
      </c>
      <c r="B103" s="24" t="str">
        <f>IFERROR(INDEX(_自动清单!$CC$4:$CC$253,ROW()-3),"")</f>
        <v/>
      </c>
      <c r="C103" s="25" t="str">
        <f>IF(OR($B103="",基础资料!$B$4=""),"",SUMIFS(周转筐出入库明细!$J$4:$J$2004,周转筐出入库明细!$C$4:$C$2004,$B103,周转筐出入库明细!$D$4:$D$2004,基础资料!$B$4,周转筐出入库明细!$B$4:$B$2004,"&gt;="&amp;$BC$1,周转筐出入库明细!$B$4:$B$2004,"&lt;="&amp;$BC$2))</f>
        <v/>
      </c>
      <c r="D103" s="25" t="str">
        <f>IF(OR($B103="",基础资料!$B$5=""),"",SUMIFS(周转筐出入库明细!$J$4:$J$2004,周转筐出入库明细!$C$4:$C$2004,$B103,周转筐出入库明细!$D$4:$D$2004,基础资料!$B$5,周转筐出入库明细!$B$4:$B$2004,"&gt;="&amp;$BC$1,周转筐出入库明细!$B$4:$B$2004,"&lt;="&amp;$BC$2))</f>
        <v/>
      </c>
      <c r="E103" s="25" t="str">
        <f>IF(OR($B103="",基础资料!$B$6=""),"",SUMIFS(周转筐出入库明细!$J$4:$J$2004,周转筐出入库明细!$C$4:$C$2004,$B103,周转筐出入库明细!$D$4:$D$2004,基础资料!$B$6,周转筐出入库明细!$B$4:$B$2004,"&gt;="&amp;$BC$1,周转筐出入库明细!$B$4:$B$2004,"&lt;="&amp;$BC$2))</f>
        <v/>
      </c>
      <c r="F103" s="25" t="str">
        <f>IF(OR($B103="",基础资料!$B$7=""),"",SUMIFS(周转筐出入库明细!$J$4:$J$2004,周转筐出入库明细!$C$4:$C$2004,$B103,周转筐出入库明细!$D$4:$D$2004,基础资料!$B$7,周转筐出入库明细!$B$4:$B$2004,"&gt;="&amp;$BC$1,周转筐出入库明细!$B$4:$B$2004,"&lt;="&amp;$BC$2))</f>
        <v/>
      </c>
      <c r="G103" s="25" t="str">
        <f>IF(OR($B103="",基础资料!$B$8=""),"",SUMIFS(周转筐出入库明细!$J$4:$J$2004,周转筐出入库明细!$C$4:$C$2004,$B103,周转筐出入库明细!$D$4:$D$2004,基础资料!$B$8,周转筐出入库明细!$B$4:$B$2004,"&gt;="&amp;$BC$1,周转筐出入库明细!$B$4:$B$2004,"&lt;="&amp;$BC$2))</f>
        <v/>
      </c>
      <c r="H103" s="25" t="str">
        <f t="shared" si="13"/>
        <v/>
      </c>
      <c r="I103" s="67" t="str">
        <f>IF(OR($B103="",基础资料!$B$4=""),"",-SUMIFS(周转筐出入库明细!$I$4:$I$2004,周转筐出入库明细!$C$4:$C$2004,$B103,周转筐出入库明细!$D$4:$D$2004,基础资料!$B$4,周转筐出入库明细!$B$4:$B$2004,"&gt;="&amp;$BC$1,周转筐出入库明细!$B$4:$B$2004,"&lt;="&amp;$BC$2))</f>
        <v/>
      </c>
      <c r="J103" s="67" t="str">
        <f>IF(OR($B103="",基础资料!$B$5=""),"",-SUMIFS(周转筐出入库明细!$I$4:$I$2004,周转筐出入库明细!$C$4:$C$2004,$B103,周转筐出入库明细!$D$4:$D$2004,基础资料!$B$5,周转筐出入库明细!$B$4:$B$2004,"&gt;="&amp;$BC$1,周转筐出入库明细!$B$4:$B$2004,"&lt;="&amp;$BC$2))</f>
        <v/>
      </c>
      <c r="K103" s="67" t="str">
        <f>IF(OR($B103="",基础资料!$B$6=""),"",-SUMIFS(周转筐出入库明细!$I$4:$I$2004,周转筐出入库明细!$C$4:$C$2004,$B103,周转筐出入库明细!$D$4:$D$2004,基础资料!$B$6,周转筐出入库明细!$B$4:$B$2004,"&gt;="&amp;$BC$1,周转筐出入库明细!$B$4:$B$2004,"&lt;="&amp;$BC$2))</f>
        <v/>
      </c>
      <c r="L103" s="67" t="str">
        <f>IF(OR($B103="",基础资料!$B$7=""),"",-SUMIFS(周转筐出入库明细!$I$4:$I$2004,周转筐出入库明细!$C$4:$C$2004,$B103,周转筐出入库明细!$D$4:$D$2004,基础资料!$B$7,周转筐出入库明细!$B$4:$B$2004,"&gt;="&amp;$BC$1,周转筐出入库明细!$B$4:$B$2004,"&lt;="&amp;$BC$2))</f>
        <v/>
      </c>
      <c r="M103" s="67" t="str">
        <f>IF(OR($B103="",基础资料!$B$8=""),"",-SUMIFS(周转筐出入库明细!$I$4:$I$2004,周转筐出入库明细!$C$4:$C$2004,$B103,周转筐出入库明细!$D$4:$D$2004,基础资料!$B$8,周转筐出入库明细!$B$4:$B$2004,"&gt;="&amp;$BC$1,周转筐出入库明细!$B$4:$B$2004,"&lt;="&amp;$BC$2))</f>
        <v/>
      </c>
      <c r="N103" s="67" t="str">
        <f t="shared" si="14"/>
        <v/>
      </c>
      <c r="O103" s="25" t="str">
        <f>IF(OR($B103="",基础资料!$B$4=""),"",SUMIFS(周转筐出入库明细!$H$4:$H$2004,周转筐出入库明细!$C$4:$C$2004,$B103,周转筐出入库明细!$D$4:$D$2004,基础资料!$B$4,周转筐出入库明细!$F$4:$F$2004,"采购入库",周转筐出入库明细!$B$4:$B$2004,"&gt;="&amp;$BC$1,周转筐出入库明细!$B$4:$B$2004,"&lt;="&amp;$BC$2))</f>
        <v/>
      </c>
      <c r="P103" s="25" t="str">
        <f>IF(OR($B103="",基础资料!$B$5=""),"",SUMIFS(周转筐出入库明细!$H$4:$H$2004,周转筐出入库明细!$C$4:$C$2004,$B103,周转筐出入库明细!$D$4:$D$2004,基础资料!$B$5,周转筐出入库明细!$F$4:$F$2004,"采购入库",周转筐出入库明细!$B$4:$B$2004,"&gt;="&amp;$BC$1,周转筐出入库明细!$B$4:$B$2004,"&lt;="&amp;$BC$2))</f>
        <v/>
      </c>
      <c r="Q103" s="25" t="str">
        <f>IF(OR($B103="",基础资料!$B$6=""),"",SUMIFS(周转筐出入库明细!$H$4:$H$2004,周转筐出入库明细!$C$4:$C$2004,$B103,周转筐出入库明细!$D$4:$D$2004,基础资料!$B$6,周转筐出入库明细!$F$4:$F$2004,"采购入库",周转筐出入库明细!$B$4:$B$2004,"&gt;="&amp;$BC$1,周转筐出入库明细!$B$4:$B$2004,"&lt;="&amp;$BC$2))</f>
        <v/>
      </c>
      <c r="R103" s="25" t="str">
        <f>IF(OR($B103="",基础资料!$B$7=""),"",SUMIFS(周转筐出入库明细!$H$4:$H$2004,周转筐出入库明细!$C$4:$C$2004,$B103,周转筐出入库明细!$D$4:$D$2004,基础资料!$B$7,周转筐出入库明细!$F$4:$F$2004,"采购入库",周转筐出入库明细!$B$4:$B$2004,"&gt;="&amp;$BC$1,周转筐出入库明细!$B$4:$B$2004,"&lt;="&amp;$BC$2))</f>
        <v/>
      </c>
      <c r="S103" s="25" t="str">
        <f>IF(OR($B103="",基础资料!$B$8=""),"",SUMIFS(周转筐出入库明细!$H$4:$H$2004,周转筐出入库明细!$C$4:$C$2004,$B103,周转筐出入库明细!$D$4:$D$2004,基础资料!$B$8,周转筐出入库明细!$F$4:$F$2004,"采购入库",周转筐出入库明细!$B$4:$B$2004,"&gt;="&amp;$BC$1,周转筐出入库明细!$B$4:$B$2004,"&lt;="&amp;$BC$2))</f>
        <v/>
      </c>
      <c r="T103" s="25" t="str">
        <f t="shared" si="15"/>
        <v/>
      </c>
      <c r="U103" s="25" t="str">
        <f>IF(OR($B103="",基础资料!$B$4=""),"",SUMIFS(周转筐出入库明细!$K$4:$K$2004,周转筐出入库明细!$C$4:$C$2004,$B103,周转筐出入库明细!$D$4:$D$2004,基础资料!$B$4,周转筐出入库明细!$B$4:$B$2004,"&gt;="&amp;$BC$1,周转筐出入库明细!$B$4:$B$2004,"&lt;="&amp;$BC$2))</f>
        <v/>
      </c>
      <c r="V103" s="25" t="str">
        <f>IF(OR($B103="",基础资料!$B$5=""),"",SUMIFS(周转筐出入库明细!$K$4:$K$2004,周转筐出入库明细!$C$4:$C$2004,$B103,周转筐出入库明细!$D$4:$D$2004,基础资料!$B$5,周转筐出入库明细!$B$4:$B$2004,"&gt;="&amp;$BC$1,周转筐出入库明细!$B$4:$B$2004,"&lt;="&amp;$BC$2))</f>
        <v/>
      </c>
      <c r="W103" s="25" t="str">
        <f>IF(OR($B103="",基础资料!$B$6=""),"",SUMIFS(周转筐出入库明细!$K$4:$K$2004,周转筐出入库明细!$C$4:$C$2004,$B103,周转筐出入库明细!$D$4:$D$2004,基础资料!$B$6,周转筐出入库明细!$B$4:$B$2004,"&gt;="&amp;$BC$1,周转筐出入库明细!$B$4:$B$2004,"&lt;="&amp;$BC$2))</f>
        <v/>
      </c>
      <c r="X103" s="25" t="str">
        <f>IF(OR($B103="",基础资料!$B$7=""),"",SUMIFS(周转筐出入库明细!$K$4:$K$2004,周转筐出入库明细!$C$4:$C$2004,$B103,周转筐出入库明细!$D$4:$D$2004,基础资料!$B$7,周转筐出入库明细!$B$4:$B$2004,"&gt;="&amp;$BC$1,周转筐出入库明细!$B$4:$B$2004,"&lt;="&amp;$BC$2))</f>
        <v/>
      </c>
      <c r="Y103" s="25" t="str">
        <f>IF(OR($B103="",基础资料!$B$8=""),"",SUMIFS(周转筐出入库明细!$K$4:$K$2004,周转筐出入库明细!$C$4:$C$2004,$B103,周转筐出入库明细!$D$4:$D$2004,基础资料!$B$8,周转筐出入库明细!$B$4:$B$2004,"&gt;="&amp;$BC$1,周转筐出入库明细!$B$4:$B$2004,"&lt;="&amp;$BC$2))</f>
        <v/>
      </c>
      <c r="Z103" s="25" t="str">
        <f t="shared" si="16"/>
        <v/>
      </c>
      <c r="AA103" s="67" t="str">
        <f>IF(OR($B103="",基础资料!$B$4=""),"",-SUMIFS(对接源_01水果筐数!$D$5:$D$304,对接源_01水果筐数!$B$5:$B$304,$B103,对接源_01水果筐数!$C$5:$C$304,基础资料!$B$4))</f>
        <v/>
      </c>
      <c r="AB103" s="67" t="str">
        <f>IF(OR($B103="",基础资料!$B$5=""),"",-SUMIFS(对接源_01水果筐数!$D$5:$D$304,对接源_01水果筐数!$B$5:$B$304,$B103,对接源_01水果筐数!$C$5:$C$304,基础资料!$B$5))</f>
        <v/>
      </c>
      <c r="AC103" s="67" t="str">
        <f>IF(OR($B103="",基础资料!$B$6=""),"",-SUMIFS(对接源_01水果筐数!$D$5:$D$304,对接源_01水果筐数!$B$5:$B$304,$B103,对接源_01水果筐数!$C$5:$C$304,基础资料!$B$6))</f>
        <v/>
      </c>
      <c r="AD103" s="67" t="str">
        <f>IF(OR($B103="",基础资料!$B$7=""),"",-SUMIFS(对接源_01水果筐数!$D$5:$D$304,对接源_01水果筐数!$B$5:$B$304,$B103,对接源_01水果筐数!$C$5:$C$304,基础资料!$B$7))</f>
        <v/>
      </c>
      <c r="AE103" s="67" t="str">
        <f>IF(OR($B103="",基础资料!$B$8=""),"",-SUMIFS(对接源_01水果筐数!$D$5:$D$304,对接源_01水果筐数!$B$5:$B$304,$B103,对接源_01水果筐数!$C$5:$C$304,基础资料!$B$8))</f>
        <v/>
      </c>
      <c r="AF103" s="25" t="str">
        <f>IF(OR($B103="",基础资料!$B$4=""),"",SUMIFS(对接源_01水果筐数!$E$5:$E$304,对接源_01水果筐数!$B$5:$B$304,$B103,对接源_01水果筐数!$C$5:$C$304,基础资料!$B$4))</f>
        <v/>
      </c>
      <c r="AG103" s="25" t="str">
        <f>IF(OR($B103="",基础资料!$B$5=""),"",SUMIFS(对接源_01水果筐数!$E$5:$E$304,对接源_01水果筐数!$B$5:$B$304,$B103,对接源_01水果筐数!$C$5:$C$304,基础资料!$B$5))</f>
        <v/>
      </c>
      <c r="AH103" s="25" t="str">
        <f>IF(OR($B103="",基础资料!$B$6=""),"",SUMIFS(对接源_01水果筐数!$E$5:$E$304,对接源_01水果筐数!$B$5:$B$304,$B103,对接源_01水果筐数!$C$5:$C$304,基础资料!$B$6))</f>
        <v/>
      </c>
      <c r="AI103" s="25" t="str">
        <f>IF(OR($B103="",基础资料!$B$7=""),"",SUMIFS(对接源_01水果筐数!$E$5:$E$304,对接源_01水果筐数!$B$5:$B$304,$B103,对接源_01水果筐数!$C$5:$C$304,基础资料!$B$7))</f>
        <v/>
      </c>
      <c r="AJ103" s="25" t="str">
        <f>IF(OR($B103="",基础资料!$B$8=""),"",SUMIFS(对接源_01水果筐数!$E$5:$E$304,对接源_01水果筐数!$B$5:$B$304,$B103,对接源_01水果筐数!$C$5:$C$304,基础资料!$B$8))</f>
        <v/>
      </c>
      <c r="AK103" s="25" t="str">
        <f>IF(OR($B103="",基础资料!$B$4=""),"",SUMIFS(对接源_01水果筐数!$F$5:$F$304,对接源_01水果筐数!$B$5:$B$304,$B103,对接源_01水果筐数!$C$5:$C$304,基础资料!$B$4))</f>
        <v/>
      </c>
      <c r="AL103" s="25" t="str">
        <f>IF(OR($B103="",基础资料!$B$5=""),"",SUMIFS(对接源_01水果筐数!$F$5:$F$304,对接源_01水果筐数!$B$5:$B$304,$B103,对接源_01水果筐数!$C$5:$C$304,基础资料!$B$5))</f>
        <v/>
      </c>
      <c r="AM103" s="25" t="str">
        <f>IF(OR($B103="",基础资料!$B$6=""),"",SUMIFS(对接源_01水果筐数!$F$5:$F$304,对接源_01水果筐数!$B$5:$B$304,$B103,对接源_01水果筐数!$C$5:$C$304,基础资料!$B$6))</f>
        <v/>
      </c>
      <c r="AN103" s="25" t="str">
        <f>IF(OR($B103="",基础资料!$B$7=""),"",SUMIFS(对接源_01水果筐数!$F$5:$F$304,对接源_01水果筐数!$B$5:$B$304,$B103,对接源_01水果筐数!$C$5:$C$304,基础资料!$B$7))</f>
        <v/>
      </c>
      <c r="AO103" s="25" t="str">
        <f>IF(OR($B103="",基础资料!$B$8=""),"",SUMIFS(对接源_01水果筐数!$F$5:$F$304,对接源_01水果筐数!$B$5:$B$304,$B103,对接源_01水果筐数!$C$5:$C$304,基础资料!$B$8))</f>
        <v/>
      </c>
      <c r="AP103" s="25" t="str">
        <f t="shared" si="17"/>
        <v/>
      </c>
      <c r="AQ103" s="25" t="str">
        <f t="shared" si="18"/>
        <v/>
      </c>
      <c r="AR103" s="25" t="str">
        <f t="shared" si="19"/>
        <v/>
      </c>
      <c r="AS103" s="25" t="str">
        <f t="shared" si="20"/>
        <v/>
      </c>
      <c r="AT103" s="25" t="str">
        <f t="shared" si="21"/>
        <v/>
      </c>
      <c r="AU103" s="25" t="str">
        <f t="shared" si="22"/>
        <v/>
      </c>
      <c r="AV103" s="24" t="str">
        <f t="shared" si="23"/>
        <v/>
      </c>
      <c r="AW103" s="72"/>
    </row>
    <row r="104" spans="1:49">
      <c r="A104" s="22" t="str">
        <f t="shared" si="12"/>
        <v/>
      </c>
      <c r="B104" s="24" t="str">
        <f>IFERROR(INDEX(_自动清单!$CC$4:$CC$253,ROW()-3),"")</f>
        <v/>
      </c>
      <c r="C104" s="25" t="str">
        <f>IF(OR($B104="",基础资料!$B$4=""),"",SUMIFS(周转筐出入库明细!$J$4:$J$2004,周转筐出入库明细!$C$4:$C$2004,$B104,周转筐出入库明细!$D$4:$D$2004,基础资料!$B$4,周转筐出入库明细!$B$4:$B$2004,"&gt;="&amp;$BC$1,周转筐出入库明细!$B$4:$B$2004,"&lt;="&amp;$BC$2))</f>
        <v/>
      </c>
      <c r="D104" s="25" t="str">
        <f>IF(OR($B104="",基础资料!$B$5=""),"",SUMIFS(周转筐出入库明细!$J$4:$J$2004,周转筐出入库明细!$C$4:$C$2004,$B104,周转筐出入库明细!$D$4:$D$2004,基础资料!$B$5,周转筐出入库明细!$B$4:$B$2004,"&gt;="&amp;$BC$1,周转筐出入库明细!$B$4:$B$2004,"&lt;="&amp;$BC$2))</f>
        <v/>
      </c>
      <c r="E104" s="25" t="str">
        <f>IF(OR($B104="",基础资料!$B$6=""),"",SUMIFS(周转筐出入库明细!$J$4:$J$2004,周转筐出入库明细!$C$4:$C$2004,$B104,周转筐出入库明细!$D$4:$D$2004,基础资料!$B$6,周转筐出入库明细!$B$4:$B$2004,"&gt;="&amp;$BC$1,周转筐出入库明细!$B$4:$B$2004,"&lt;="&amp;$BC$2))</f>
        <v/>
      </c>
      <c r="F104" s="25" t="str">
        <f>IF(OR($B104="",基础资料!$B$7=""),"",SUMIFS(周转筐出入库明细!$J$4:$J$2004,周转筐出入库明细!$C$4:$C$2004,$B104,周转筐出入库明细!$D$4:$D$2004,基础资料!$B$7,周转筐出入库明细!$B$4:$B$2004,"&gt;="&amp;$BC$1,周转筐出入库明细!$B$4:$B$2004,"&lt;="&amp;$BC$2))</f>
        <v/>
      </c>
      <c r="G104" s="25" t="str">
        <f>IF(OR($B104="",基础资料!$B$8=""),"",SUMIFS(周转筐出入库明细!$J$4:$J$2004,周转筐出入库明细!$C$4:$C$2004,$B104,周转筐出入库明细!$D$4:$D$2004,基础资料!$B$8,周转筐出入库明细!$B$4:$B$2004,"&gt;="&amp;$BC$1,周转筐出入库明细!$B$4:$B$2004,"&lt;="&amp;$BC$2))</f>
        <v/>
      </c>
      <c r="H104" s="25" t="str">
        <f t="shared" si="13"/>
        <v/>
      </c>
      <c r="I104" s="67" t="str">
        <f>IF(OR($B104="",基础资料!$B$4=""),"",-SUMIFS(周转筐出入库明细!$I$4:$I$2004,周转筐出入库明细!$C$4:$C$2004,$B104,周转筐出入库明细!$D$4:$D$2004,基础资料!$B$4,周转筐出入库明细!$B$4:$B$2004,"&gt;="&amp;$BC$1,周转筐出入库明细!$B$4:$B$2004,"&lt;="&amp;$BC$2))</f>
        <v/>
      </c>
      <c r="J104" s="67" t="str">
        <f>IF(OR($B104="",基础资料!$B$5=""),"",-SUMIFS(周转筐出入库明细!$I$4:$I$2004,周转筐出入库明细!$C$4:$C$2004,$B104,周转筐出入库明细!$D$4:$D$2004,基础资料!$B$5,周转筐出入库明细!$B$4:$B$2004,"&gt;="&amp;$BC$1,周转筐出入库明细!$B$4:$B$2004,"&lt;="&amp;$BC$2))</f>
        <v/>
      </c>
      <c r="K104" s="67" t="str">
        <f>IF(OR($B104="",基础资料!$B$6=""),"",-SUMIFS(周转筐出入库明细!$I$4:$I$2004,周转筐出入库明细!$C$4:$C$2004,$B104,周转筐出入库明细!$D$4:$D$2004,基础资料!$B$6,周转筐出入库明细!$B$4:$B$2004,"&gt;="&amp;$BC$1,周转筐出入库明细!$B$4:$B$2004,"&lt;="&amp;$BC$2))</f>
        <v/>
      </c>
      <c r="L104" s="67" t="str">
        <f>IF(OR($B104="",基础资料!$B$7=""),"",-SUMIFS(周转筐出入库明细!$I$4:$I$2004,周转筐出入库明细!$C$4:$C$2004,$B104,周转筐出入库明细!$D$4:$D$2004,基础资料!$B$7,周转筐出入库明细!$B$4:$B$2004,"&gt;="&amp;$BC$1,周转筐出入库明细!$B$4:$B$2004,"&lt;="&amp;$BC$2))</f>
        <v/>
      </c>
      <c r="M104" s="67" t="str">
        <f>IF(OR($B104="",基础资料!$B$8=""),"",-SUMIFS(周转筐出入库明细!$I$4:$I$2004,周转筐出入库明细!$C$4:$C$2004,$B104,周转筐出入库明细!$D$4:$D$2004,基础资料!$B$8,周转筐出入库明细!$B$4:$B$2004,"&gt;="&amp;$BC$1,周转筐出入库明细!$B$4:$B$2004,"&lt;="&amp;$BC$2))</f>
        <v/>
      </c>
      <c r="N104" s="67" t="str">
        <f t="shared" si="14"/>
        <v/>
      </c>
      <c r="O104" s="25" t="str">
        <f>IF(OR($B104="",基础资料!$B$4=""),"",SUMIFS(周转筐出入库明细!$H$4:$H$2004,周转筐出入库明细!$C$4:$C$2004,$B104,周转筐出入库明细!$D$4:$D$2004,基础资料!$B$4,周转筐出入库明细!$F$4:$F$2004,"采购入库",周转筐出入库明细!$B$4:$B$2004,"&gt;="&amp;$BC$1,周转筐出入库明细!$B$4:$B$2004,"&lt;="&amp;$BC$2))</f>
        <v/>
      </c>
      <c r="P104" s="25" t="str">
        <f>IF(OR($B104="",基础资料!$B$5=""),"",SUMIFS(周转筐出入库明细!$H$4:$H$2004,周转筐出入库明细!$C$4:$C$2004,$B104,周转筐出入库明细!$D$4:$D$2004,基础资料!$B$5,周转筐出入库明细!$F$4:$F$2004,"采购入库",周转筐出入库明细!$B$4:$B$2004,"&gt;="&amp;$BC$1,周转筐出入库明细!$B$4:$B$2004,"&lt;="&amp;$BC$2))</f>
        <v/>
      </c>
      <c r="Q104" s="25" t="str">
        <f>IF(OR($B104="",基础资料!$B$6=""),"",SUMIFS(周转筐出入库明细!$H$4:$H$2004,周转筐出入库明细!$C$4:$C$2004,$B104,周转筐出入库明细!$D$4:$D$2004,基础资料!$B$6,周转筐出入库明细!$F$4:$F$2004,"采购入库",周转筐出入库明细!$B$4:$B$2004,"&gt;="&amp;$BC$1,周转筐出入库明细!$B$4:$B$2004,"&lt;="&amp;$BC$2))</f>
        <v/>
      </c>
      <c r="R104" s="25" t="str">
        <f>IF(OR($B104="",基础资料!$B$7=""),"",SUMIFS(周转筐出入库明细!$H$4:$H$2004,周转筐出入库明细!$C$4:$C$2004,$B104,周转筐出入库明细!$D$4:$D$2004,基础资料!$B$7,周转筐出入库明细!$F$4:$F$2004,"采购入库",周转筐出入库明细!$B$4:$B$2004,"&gt;="&amp;$BC$1,周转筐出入库明细!$B$4:$B$2004,"&lt;="&amp;$BC$2))</f>
        <v/>
      </c>
      <c r="S104" s="25" t="str">
        <f>IF(OR($B104="",基础资料!$B$8=""),"",SUMIFS(周转筐出入库明细!$H$4:$H$2004,周转筐出入库明细!$C$4:$C$2004,$B104,周转筐出入库明细!$D$4:$D$2004,基础资料!$B$8,周转筐出入库明细!$F$4:$F$2004,"采购入库",周转筐出入库明细!$B$4:$B$2004,"&gt;="&amp;$BC$1,周转筐出入库明细!$B$4:$B$2004,"&lt;="&amp;$BC$2))</f>
        <v/>
      </c>
      <c r="T104" s="25" t="str">
        <f t="shared" si="15"/>
        <v/>
      </c>
      <c r="U104" s="25" t="str">
        <f>IF(OR($B104="",基础资料!$B$4=""),"",SUMIFS(周转筐出入库明细!$K$4:$K$2004,周转筐出入库明细!$C$4:$C$2004,$B104,周转筐出入库明细!$D$4:$D$2004,基础资料!$B$4,周转筐出入库明细!$B$4:$B$2004,"&gt;="&amp;$BC$1,周转筐出入库明细!$B$4:$B$2004,"&lt;="&amp;$BC$2))</f>
        <v/>
      </c>
      <c r="V104" s="25" t="str">
        <f>IF(OR($B104="",基础资料!$B$5=""),"",SUMIFS(周转筐出入库明细!$K$4:$K$2004,周转筐出入库明细!$C$4:$C$2004,$B104,周转筐出入库明细!$D$4:$D$2004,基础资料!$B$5,周转筐出入库明细!$B$4:$B$2004,"&gt;="&amp;$BC$1,周转筐出入库明细!$B$4:$B$2004,"&lt;="&amp;$BC$2))</f>
        <v/>
      </c>
      <c r="W104" s="25" t="str">
        <f>IF(OR($B104="",基础资料!$B$6=""),"",SUMIFS(周转筐出入库明细!$K$4:$K$2004,周转筐出入库明细!$C$4:$C$2004,$B104,周转筐出入库明细!$D$4:$D$2004,基础资料!$B$6,周转筐出入库明细!$B$4:$B$2004,"&gt;="&amp;$BC$1,周转筐出入库明细!$B$4:$B$2004,"&lt;="&amp;$BC$2))</f>
        <v/>
      </c>
      <c r="X104" s="25" t="str">
        <f>IF(OR($B104="",基础资料!$B$7=""),"",SUMIFS(周转筐出入库明细!$K$4:$K$2004,周转筐出入库明细!$C$4:$C$2004,$B104,周转筐出入库明细!$D$4:$D$2004,基础资料!$B$7,周转筐出入库明细!$B$4:$B$2004,"&gt;="&amp;$BC$1,周转筐出入库明细!$B$4:$B$2004,"&lt;="&amp;$BC$2))</f>
        <v/>
      </c>
      <c r="Y104" s="25" t="str">
        <f>IF(OR($B104="",基础资料!$B$8=""),"",SUMIFS(周转筐出入库明细!$K$4:$K$2004,周转筐出入库明细!$C$4:$C$2004,$B104,周转筐出入库明细!$D$4:$D$2004,基础资料!$B$8,周转筐出入库明细!$B$4:$B$2004,"&gt;="&amp;$BC$1,周转筐出入库明细!$B$4:$B$2004,"&lt;="&amp;$BC$2))</f>
        <v/>
      </c>
      <c r="Z104" s="25" t="str">
        <f t="shared" si="16"/>
        <v/>
      </c>
      <c r="AA104" s="67" t="str">
        <f>IF(OR($B104="",基础资料!$B$4=""),"",-SUMIFS(对接源_01水果筐数!$D$5:$D$304,对接源_01水果筐数!$B$5:$B$304,$B104,对接源_01水果筐数!$C$5:$C$304,基础资料!$B$4))</f>
        <v/>
      </c>
      <c r="AB104" s="67" t="str">
        <f>IF(OR($B104="",基础资料!$B$5=""),"",-SUMIFS(对接源_01水果筐数!$D$5:$D$304,对接源_01水果筐数!$B$5:$B$304,$B104,对接源_01水果筐数!$C$5:$C$304,基础资料!$B$5))</f>
        <v/>
      </c>
      <c r="AC104" s="67" t="str">
        <f>IF(OR($B104="",基础资料!$B$6=""),"",-SUMIFS(对接源_01水果筐数!$D$5:$D$304,对接源_01水果筐数!$B$5:$B$304,$B104,对接源_01水果筐数!$C$5:$C$304,基础资料!$B$6))</f>
        <v/>
      </c>
      <c r="AD104" s="67" t="str">
        <f>IF(OR($B104="",基础资料!$B$7=""),"",-SUMIFS(对接源_01水果筐数!$D$5:$D$304,对接源_01水果筐数!$B$5:$B$304,$B104,对接源_01水果筐数!$C$5:$C$304,基础资料!$B$7))</f>
        <v/>
      </c>
      <c r="AE104" s="67" t="str">
        <f>IF(OR($B104="",基础资料!$B$8=""),"",-SUMIFS(对接源_01水果筐数!$D$5:$D$304,对接源_01水果筐数!$B$5:$B$304,$B104,对接源_01水果筐数!$C$5:$C$304,基础资料!$B$8))</f>
        <v/>
      </c>
      <c r="AF104" s="25" t="str">
        <f>IF(OR($B104="",基础资料!$B$4=""),"",SUMIFS(对接源_01水果筐数!$E$5:$E$304,对接源_01水果筐数!$B$5:$B$304,$B104,对接源_01水果筐数!$C$5:$C$304,基础资料!$B$4))</f>
        <v/>
      </c>
      <c r="AG104" s="25" t="str">
        <f>IF(OR($B104="",基础资料!$B$5=""),"",SUMIFS(对接源_01水果筐数!$E$5:$E$304,对接源_01水果筐数!$B$5:$B$304,$B104,对接源_01水果筐数!$C$5:$C$304,基础资料!$B$5))</f>
        <v/>
      </c>
      <c r="AH104" s="25" t="str">
        <f>IF(OR($B104="",基础资料!$B$6=""),"",SUMIFS(对接源_01水果筐数!$E$5:$E$304,对接源_01水果筐数!$B$5:$B$304,$B104,对接源_01水果筐数!$C$5:$C$304,基础资料!$B$6))</f>
        <v/>
      </c>
      <c r="AI104" s="25" t="str">
        <f>IF(OR($B104="",基础资料!$B$7=""),"",SUMIFS(对接源_01水果筐数!$E$5:$E$304,对接源_01水果筐数!$B$5:$B$304,$B104,对接源_01水果筐数!$C$5:$C$304,基础资料!$B$7))</f>
        <v/>
      </c>
      <c r="AJ104" s="25" t="str">
        <f>IF(OR($B104="",基础资料!$B$8=""),"",SUMIFS(对接源_01水果筐数!$E$5:$E$304,对接源_01水果筐数!$B$5:$B$304,$B104,对接源_01水果筐数!$C$5:$C$304,基础资料!$B$8))</f>
        <v/>
      </c>
      <c r="AK104" s="25" t="str">
        <f>IF(OR($B104="",基础资料!$B$4=""),"",SUMIFS(对接源_01水果筐数!$F$5:$F$304,对接源_01水果筐数!$B$5:$B$304,$B104,对接源_01水果筐数!$C$5:$C$304,基础资料!$B$4))</f>
        <v/>
      </c>
      <c r="AL104" s="25" t="str">
        <f>IF(OR($B104="",基础资料!$B$5=""),"",SUMIFS(对接源_01水果筐数!$F$5:$F$304,对接源_01水果筐数!$B$5:$B$304,$B104,对接源_01水果筐数!$C$5:$C$304,基础资料!$B$5))</f>
        <v/>
      </c>
      <c r="AM104" s="25" t="str">
        <f>IF(OR($B104="",基础资料!$B$6=""),"",SUMIFS(对接源_01水果筐数!$F$5:$F$304,对接源_01水果筐数!$B$5:$B$304,$B104,对接源_01水果筐数!$C$5:$C$304,基础资料!$B$6))</f>
        <v/>
      </c>
      <c r="AN104" s="25" t="str">
        <f>IF(OR($B104="",基础资料!$B$7=""),"",SUMIFS(对接源_01水果筐数!$F$5:$F$304,对接源_01水果筐数!$B$5:$B$304,$B104,对接源_01水果筐数!$C$5:$C$304,基础资料!$B$7))</f>
        <v/>
      </c>
      <c r="AO104" s="25" t="str">
        <f>IF(OR($B104="",基础资料!$B$8=""),"",SUMIFS(对接源_01水果筐数!$F$5:$F$304,对接源_01水果筐数!$B$5:$B$304,$B104,对接源_01水果筐数!$C$5:$C$304,基础资料!$B$8))</f>
        <v/>
      </c>
      <c r="AP104" s="25" t="str">
        <f t="shared" si="17"/>
        <v/>
      </c>
      <c r="AQ104" s="25" t="str">
        <f t="shared" si="18"/>
        <v/>
      </c>
      <c r="AR104" s="25" t="str">
        <f t="shared" si="19"/>
        <v/>
      </c>
      <c r="AS104" s="25" t="str">
        <f t="shared" si="20"/>
        <v/>
      </c>
      <c r="AT104" s="25" t="str">
        <f t="shared" si="21"/>
        <v/>
      </c>
      <c r="AU104" s="25" t="str">
        <f t="shared" si="22"/>
        <v/>
      </c>
      <c r="AV104" s="24" t="str">
        <f t="shared" si="23"/>
        <v/>
      </c>
      <c r="AW104" s="72"/>
    </row>
    <row r="105" spans="1:49">
      <c r="A105" s="22" t="str">
        <f t="shared" si="12"/>
        <v/>
      </c>
      <c r="B105" s="24" t="str">
        <f>IFERROR(INDEX(_自动清单!$CC$4:$CC$253,ROW()-3),"")</f>
        <v/>
      </c>
      <c r="C105" s="25" t="str">
        <f>IF(OR($B105="",基础资料!$B$4=""),"",SUMIFS(周转筐出入库明细!$J$4:$J$2004,周转筐出入库明细!$C$4:$C$2004,$B105,周转筐出入库明细!$D$4:$D$2004,基础资料!$B$4,周转筐出入库明细!$B$4:$B$2004,"&gt;="&amp;$BC$1,周转筐出入库明细!$B$4:$B$2004,"&lt;="&amp;$BC$2))</f>
        <v/>
      </c>
      <c r="D105" s="25" t="str">
        <f>IF(OR($B105="",基础资料!$B$5=""),"",SUMIFS(周转筐出入库明细!$J$4:$J$2004,周转筐出入库明细!$C$4:$C$2004,$B105,周转筐出入库明细!$D$4:$D$2004,基础资料!$B$5,周转筐出入库明细!$B$4:$B$2004,"&gt;="&amp;$BC$1,周转筐出入库明细!$B$4:$B$2004,"&lt;="&amp;$BC$2))</f>
        <v/>
      </c>
      <c r="E105" s="25" t="str">
        <f>IF(OR($B105="",基础资料!$B$6=""),"",SUMIFS(周转筐出入库明细!$J$4:$J$2004,周转筐出入库明细!$C$4:$C$2004,$B105,周转筐出入库明细!$D$4:$D$2004,基础资料!$B$6,周转筐出入库明细!$B$4:$B$2004,"&gt;="&amp;$BC$1,周转筐出入库明细!$B$4:$B$2004,"&lt;="&amp;$BC$2))</f>
        <v/>
      </c>
      <c r="F105" s="25" t="str">
        <f>IF(OR($B105="",基础资料!$B$7=""),"",SUMIFS(周转筐出入库明细!$J$4:$J$2004,周转筐出入库明细!$C$4:$C$2004,$B105,周转筐出入库明细!$D$4:$D$2004,基础资料!$B$7,周转筐出入库明细!$B$4:$B$2004,"&gt;="&amp;$BC$1,周转筐出入库明细!$B$4:$B$2004,"&lt;="&amp;$BC$2))</f>
        <v/>
      </c>
      <c r="G105" s="25" t="str">
        <f>IF(OR($B105="",基础资料!$B$8=""),"",SUMIFS(周转筐出入库明细!$J$4:$J$2004,周转筐出入库明细!$C$4:$C$2004,$B105,周转筐出入库明细!$D$4:$D$2004,基础资料!$B$8,周转筐出入库明细!$B$4:$B$2004,"&gt;="&amp;$BC$1,周转筐出入库明细!$B$4:$B$2004,"&lt;="&amp;$BC$2))</f>
        <v/>
      </c>
      <c r="H105" s="25" t="str">
        <f t="shared" si="13"/>
        <v/>
      </c>
      <c r="I105" s="67" t="str">
        <f>IF(OR($B105="",基础资料!$B$4=""),"",-SUMIFS(周转筐出入库明细!$I$4:$I$2004,周转筐出入库明细!$C$4:$C$2004,$B105,周转筐出入库明细!$D$4:$D$2004,基础资料!$B$4,周转筐出入库明细!$B$4:$B$2004,"&gt;="&amp;$BC$1,周转筐出入库明细!$B$4:$B$2004,"&lt;="&amp;$BC$2))</f>
        <v/>
      </c>
      <c r="J105" s="67" t="str">
        <f>IF(OR($B105="",基础资料!$B$5=""),"",-SUMIFS(周转筐出入库明细!$I$4:$I$2004,周转筐出入库明细!$C$4:$C$2004,$B105,周转筐出入库明细!$D$4:$D$2004,基础资料!$B$5,周转筐出入库明细!$B$4:$B$2004,"&gt;="&amp;$BC$1,周转筐出入库明细!$B$4:$B$2004,"&lt;="&amp;$BC$2))</f>
        <v/>
      </c>
      <c r="K105" s="67" t="str">
        <f>IF(OR($B105="",基础资料!$B$6=""),"",-SUMIFS(周转筐出入库明细!$I$4:$I$2004,周转筐出入库明细!$C$4:$C$2004,$B105,周转筐出入库明细!$D$4:$D$2004,基础资料!$B$6,周转筐出入库明细!$B$4:$B$2004,"&gt;="&amp;$BC$1,周转筐出入库明细!$B$4:$B$2004,"&lt;="&amp;$BC$2))</f>
        <v/>
      </c>
      <c r="L105" s="67" t="str">
        <f>IF(OR($B105="",基础资料!$B$7=""),"",-SUMIFS(周转筐出入库明细!$I$4:$I$2004,周转筐出入库明细!$C$4:$C$2004,$B105,周转筐出入库明细!$D$4:$D$2004,基础资料!$B$7,周转筐出入库明细!$B$4:$B$2004,"&gt;="&amp;$BC$1,周转筐出入库明细!$B$4:$B$2004,"&lt;="&amp;$BC$2))</f>
        <v/>
      </c>
      <c r="M105" s="67" t="str">
        <f>IF(OR($B105="",基础资料!$B$8=""),"",-SUMIFS(周转筐出入库明细!$I$4:$I$2004,周转筐出入库明细!$C$4:$C$2004,$B105,周转筐出入库明细!$D$4:$D$2004,基础资料!$B$8,周转筐出入库明细!$B$4:$B$2004,"&gt;="&amp;$BC$1,周转筐出入库明细!$B$4:$B$2004,"&lt;="&amp;$BC$2))</f>
        <v/>
      </c>
      <c r="N105" s="67" t="str">
        <f t="shared" si="14"/>
        <v/>
      </c>
      <c r="O105" s="25" t="str">
        <f>IF(OR($B105="",基础资料!$B$4=""),"",SUMIFS(周转筐出入库明细!$H$4:$H$2004,周转筐出入库明细!$C$4:$C$2004,$B105,周转筐出入库明细!$D$4:$D$2004,基础资料!$B$4,周转筐出入库明细!$F$4:$F$2004,"采购入库",周转筐出入库明细!$B$4:$B$2004,"&gt;="&amp;$BC$1,周转筐出入库明细!$B$4:$B$2004,"&lt;="&amp;$BC$2))</f>
        <v/>
      </c>
      <c r="P105" s="25" t="str">
        <f>IF(OR($B105="",基础资料!$B$5=""),"",SUMIFS(周转筐出入库明细!$H$4:$H$2004,周转筐出入库明细!$C$4:$C$2004,$B105,周转筐出入库明细!$D$4:$D$2004,基础资料!$B$5,周转筐出入库明细!$F$4:$F$2004,"采购入库",周转筐出入库明细!$B$4:$B$2004,"&gt;="&amp;$BC$1,周转筐出入库明细!$B$4:$B$2004,"&lt;="&amp;$BC$2))</f>
        <v/>
      </c>
      <c r="Q105" s="25" t="str">
        <f>IF(OR($B105="",基础资料!$B$6=""),"",SUMIFS(周转筐出入库明细!$H$4:$H$2004,周转筐出入库明细!$C$4:$C$2004,$B105,周转筐出入库明细!$D$4:$D$2004,基础资料!$B$6,周转筐出入库明细!$F$4:$F$2004,"采购入库",周转筐出入库明细!$B$4:$B$2004,"&gt;="&amp;$BC$1,周转筐出入库明细!$B$4:$B$2004,"&lt;="&amp;$BC$2))</f>
        <v/>
      </c>
      <c r="R105" s="25" t="str">
        <f>IF(OR($B105="",基础资料!$B$7=""),"",SUMIFS(周转筐出入库明细!$H$4:$H$2004,周转筐出入库明细!$C$4:$C$2004,$B105,周转筐出入库明细!$D$4:$D$2004,基础资料!$B$7,周转筐出入库明细!$F$4:$F$2004,"采购入库",周转筐出入库明细!$B$4:$B$2004,"&gt;="&amp;$BC$1,周转筐出入库明细!$B$4:$B$2004,"&lt;="&amp;$BC$2))</f>
        <v/>
      </c>
      <c r="S105" s="25" t="str">
        <f>IF(OR($B105="",基础资料!$B$8=""),"",SUMIFS(周转筐出入库明细!$H$4:$H$2004,周转筐出入库明细!$C$4:$C$2004,$B105,周转筐出入库明细!$D$4:$D$2004,基础资料!$B$8,周转筐出入库明细!$F$4:$F$2004,"采购入库",周转筐出入库明细!$B$4:$B$2004,"&gt;="&amp;$BC$1,周转筐出入库明细!$B$4:$B$2004,"&lt;="&amp;$BC$2))</f>
        <v/>
      </c>
      <c r="T105" s="25" t="str">
        <f t="shared" si="15"/>
        <v/>
      </c>
      <c r="U105" s="25" t="str">
        <f>IF(OR($B105="",基础资料!$B$4=""),"",SUMIFS(周转筐出入库明细!$K$4:$K$2004,周转筐出入库明细!$C$4:$C$2004,$B105,周转筐出入库明细!$D$4:$D$2004,基础资料!$B$4,周转筐出入库明细!$B$4:$B$2004,"&gt;="&amp;$BC$1,周转筐出入库明细!$B$4:$B$2004,"&lt;="&amp;$BC$2))</f>
        <v/>
      </c>
      <c r="V105" s="25" t="str">
        <f>IF(OR($B105="",基础资料!$B$5=""),"",SUMIFS(周转筐出入库明细!$K$4:$K$2004,周转筐出入库明细!$C$4:$C$2004,$B105,周转筐出入库明细!$D$4:$D$2004,基础资料!$B$5,周转筐出入库明细!$B$4:$B$2004,"&gt;="&amp;$BC$1,周转筐出入库明细!$B$4:$B$2004,"&lt;="&amp;$BC$2))</f>
        <v/>
      </c>
      <c r="W105" s="25" t="str">
        <f>IF(OR($B105="",基础资料!$B$6=""),"",SUMIFS(周转筐出入库明细!$K$4:$K$2004,周转筐出入库明细!$C$4:$C$2004,$B105,周转筐出入库明细!$D$4:$D$2004,基础资料!$B$6,周转筐出入库明细!$B$4:$B$2004,"&gt;="&amp;$BC$1,周转筐出入库明细!$B$4:$B$2004,"&lt;="&amp;$BC$2))</f>
        <v/>
      </c>
      <c r="X105" s="25" t="str">
        <f>IF(OR($B105="",基础资料!$B$7=""),"",SUMIFS(周转筐出入库明细!$K$4:$K$2004,周转筐出入库明细!$C$4:$C$2004,$B105,周转筐出入库明细!$D$4:$D$2004,基础资料!$B$7,周转筐出入库明细!$B$4:$B$2004,"&gt;="&amp;$BC$1,周转筐出入库明细!$B$4:$B$2004,"&lt;="&amp;$BC$2))</f>
        <v/>
      </c>
      <c r="Y105" s="25" t="str">
        <f>IF(OR($B105="",基础资料!$B$8=""),"",SUMIFS(周转筐出入库明细!$K$4:$K$2004,周转筐出入库明细!$C$4:$C$2004,$B105,周转筐出入库明细!$D$4:$D$2004,基础资料!$B$8,周转筐出入库明细!$B$4:$B$2004,"&gt;="&amp;$BC$1,周转筐出入库明细!$B$4:$B$2004,"&lt;="&amp;$BC$2))</f>
        <v/>
      </c>
      <c r="Z105" s="25" t="str">
        <f t="shared" si="16"/>
        <v/>
      </c>
      <c r="AA105" s="67" t="str">
        <f>IF(OR($B105="",基础资料!$B$4=""),"",-SUMIFS(对接源_01水果筐数!$D$5:$D$304,对接源_01水果筐数!$B$5:$B$304,$B105,对接源_01水果筐数!$C$5:$C$304,基础资料!$B$4))</f>
        <v/>
      </c>
      <c r="AB105" s="67" t="str">
        <f>IF(OR($B105="",基础资料!$B$5=""),"",-SUMIFS(对接源_01水果筐数!$D$5:$D$304,对接源_01水果筐数!$B$5:$B$304,$B105,对接源_01水果筐数!$C$5:$C$304,基础资料!$B$5))</f>
        <v/>
      </c>
      <c r="AC105" s="67" t="str">
        <f>IF(OR($B105="",基础资料!$B$6=""),"",-SUMIFS(对接源_01水果筐数!$D$5:$D$304,对接源_01水果筐数!$B$5:$B$304,$B105,对接源_01水果筐数!$C$5:$C$304,基础资料!$B$6))</f>
        <v/>
      </c>
      <c r="AD105" s="67" t="str">
        <f>IF(OR($B105="",基础资料!$B$7=""),"",-SUMIFS(对接源_01水果筐数!$D$5:$D$304,对接源_01水果筐数!$B$5:$B$304,$B105,对接源_01水果筐数!$C$5:$C$304,基础资料!$B$7))</f>
        <v/>
      </c>
      <c r="AE105" s="67" t="str">
        <f>IF(OR($B105="",基础资料!$B$8=""),"",-SUMIFS(对接源_01水果筐数!$D$5:$D$304,对接源_01水果筐数!$B$5:$B$304,$B105,对接源_01水果筐数!$C$5:$C$304,基础资料!$B$8))</f>
        <v/>
      </c>
      <c r="AF105" s="25" t="str">
        <f>IF(OR($B105="",基础资料!$B$4=""),"",SUMIFS(对接源_01水果筐数!$E$5:$E$304,对接源_01水果筐数!$B$5:$B$304,$B105,对接源_01水果筐数!$C$5:$C$304,基础资料!$B$4))</f>
        <v/>
      </c>
      <c r="AG105" s="25" t="str">
        <f>IF(OR($B105="",基础资料!$B$5=""),"",SUMIFS(对接源_01水果筐数!$E$5:$E$304,对接源_01水果筐数!$B$5:$B$304,$B105,对接源_01水果筐数!$C$5:$C$304,基础资料!$B$5))</f>
        <v/>
      </c>
      <c r="AH105" s="25" t="str">
        <f>IF(OR($B105="",基础资料!$B$6=""),"",SUMIFS(对接源_01水果筐数!$E$5:$E$304,对接源_01水果筐数!$B$5:$B$304,$B105,对接源_01水果筐数!$C$5:$C$304,基础资料!$B$6))</f>
        <v/>
      </c>
      <c r="AI105" s="25" t="str">
        <f>IF(OR($B105="",基础资料!$B$7=""),"",SUMIFS(对接源_01水果筐数!$E$5:$E$304,对接源_01水果筐数!$B$5:$B$304,$B105,对接源_01水果筐数!$C$5:$C$304,基础资料!$B$7))</f>
        <v/>
      </c>
      <c r="AJ105" s="25" t="str">
        <f>IF(OR($B105="",基础资料!$B$8=""),"",SUMIFS(对接源_01水果筐数!$E$5:$E$304,对接源_01水果筐数!$B$5:$B$304,$B105,对接源_01水果筐数!$C$5:$C$304,基础资料!$B$8))</f>
        <v/>
      </c>
      <c r="AK105" s="25" t="str">
        <f>IF(OR($B105="",基础资料!$B$4=""),"",SUMIFS(对接源_01水果筐数!$F$5:$F$304,对接源_01水果筐数!$B$5:$B$304,$B105,对接源_01水果筐数!$C$5:$C$304,基础资料!$B$4))</f>
        <v/>
      </c>
      <c r="AL105" s="25" t="str">
        <f>IF(OR($B105="",基础资料!$B$5=""),"",SUMIFS(对接源_01水果筐数!$F$5:$F$304,对接源_01水果筐数!$B$5:$B$304,$B105,对接源_01水果筐数!$C$5:$C$304,基础资料!$B$5))</f>
        <v/>
      </c>
      <c r="AM105" s="25" t="str">
        <f>IF(OR($B105="",基础资料!$B$6=""),"",SUMIFS(对接源_01水果筐数!$F$5:$F$304,对接源_01水果筐数!$B$5:$B$304,$B105,对接源_01水果筐数!$C$5:$C$304,基础资料!$B$6))</f>
        <v/>
      </c>
      <c r="AN105" s="25" t="str">
        <f>IF(OR($B105="",基础资料!$B$7=""),"",SUMIFS(对接源_01水果筐数!$F$5:$F$304,对接源_01水果筐数!$B$5:$B$304,$B105,对接源_01水果筐数!$C$5:$C$304,基础资料!$B$7))</f>
        <v/>
      </c>
      <c r="AO105" s="25" t="str">
        <f>IF(OR($B105="",基础资料!$B$8=""),"",SUMIFS(对接源_01水果筐数!$F$5:$F$304,对接源_01水果筐数!$B$5:$B$304,$B105,对接源_01水果筐数!$C$5:$C$304,基础资料!$B$8))</f>
        <v/>
      </c>
      <c r="AP105" s="25" t="str">
        <f t="shared" si="17"/>
        <v/>
      </c>
      <c r="AQ105" s="25" t="str">
        <f t="shared" si="18"/>
        <v/>
      </c>
      <c r="AR105" s="25" t="str">
        <f t="shared" si="19"/>
        <v/>
      </c>
      <c r="AS105" s="25" t="str">
        <f t="shared" si="20"/>
        <v/>
      </c>
      <c r="AT105" s="25" t="str">
        <f t="shared" si="21"/>
        <v/>
      </c>
      <c r="AU105" s="25" t="str">
        <f t="shared" si="22"/>
        <v/>
      </c>
      <c r="AV105" s="24" t="str">
        <f t="shared" si="23"/>
        <v/>
      </c>
      <c r="AW105" s="72"/>
    </row>
    <row r="106" spans="1:49">
      <c r="A106" s="22" t="str">
        <f t="shared" si="12"/>
        <v/>
      </c>
      <c r="B106" s="24" t="str">
        <f>IFERROR(INDEX(_自动清单!$CC$4:$CC$253,ROW()-3),"")</f>
        <v/>
      </c>
      <c r="C106" s="25" t="str">
        <f>IF(OR($B106="",基础资料!$B$4=""),"",SUMIFS(周转筐出入库明细!$J$4:$J$2004,周转筐出入库明细!$C$4:$C$2004,$B106,周转筐出入库明细!$D$4:$D$2004,基础资料!$B$4,周转筐出入库明细!$B$4:$B$2004,"&gt;="&amp;$BC$1,周转筐出入库明细!$B$4:$B$2004,"&lt;="&amp;$BC$2))</f>
        <v/>
      </c>
      <c r="D106" s="25" t="str">
        <f>IF(OR($B106="",基础资料!$B$5=""),"",SUMIFS(周转筐出入库明细!$J$4:$J$2004,周转筐出入库明细!$C$4:$C$2004,$B106,周转筐出入库明细!$D$4:$D$2004,基础资料!$B$5,周转筐出入库明细!$B$4:$B$2004,"&gt;="&amp;$BC$1,周转筐出入库明细!$B$4:$B$2004,"&lt;="&amp;$BC$2))</f>
        <v/>
      </c>
      <c r="E106" s="25" t="str">
        <f>IF(OR($B106="",基础资料!$B$6=""),"",SUMIFS(周转筐出入库明细!$J$4:$J$2004,周转筐出入库明细!$C$4:$C$2004,$B106,周转筐出入库明细!$D$4:$D$2004,基础资料!$B$6,周转筐出入库明细!$B$4:$B$2004,"&gt;="&amp;$BC$1,周转筐出入库明细!$B$4:$B$2004,"&lt;="&amp;$BC$2))</f>
        <v/>
      </c>
      <c r="F106" s="25" t="str">
        <f>IF(OR($B106="",基础资料!$B$7=""),"",SUMIFS(周转筐出入库明细!$J$4:$J$2004,周转筐出入库明细!$C$4:$C$2004,$B106,周转筐出入库明细!$D$4:$D$2004,基础资料!$B$7,周转筐出入库明细!$B$4:$B$2004,"&gt;="&amp;$BC$1,周转筐出入库明细!$B$4:$B$2004,"&lt;="&amp;$BC$2))</f>
        <v/>
      </c>
      <c r="G106" s="25" t="str">
        <f>IF(OR($B106="",基础资料!$B$8=""),"",SUMIFS(周转筐出入库明细!$J$4:$J$2004,周转筐出入库明细!$C$4:$C$2004,$B106,周转筐出入库明细!$D$4:$D$2004,基础资料!$B$8,周转筐出入库明细!$B$4:$B$2004,"&gt;="&amp;$BC$1,周转筐出入库明细!$B$4:$B$2004,"&lt;="&amp;$BC$2))</f>
        <v/>
      </c>
      <c r="H106" s="25" t="str">
        <f t="shared" si="13"/>
        <v/>
      </c>
      <c r="I106" s="67" t="str">
        <f>IF(OR($B106="",基础资料!$B$4=""),"",-SUMIFS(周转筐出入库明细!$I$4:$I$2004,周转筐出入库明细!$C$4:$C$2004,$B106,周转筐出入库明细!$D$4:$D$2004,基础资料!$B$4,周转筐出入库明细!$B$4:$B$2004,"&gt;="&amp;$BC$1,周转筐出入库明细!$B$4:$B$2004,"&lt;="&amp;$BC$2))</f>
        <v/>
      </c>
      <c r="J106" s="67" t="str">
        <f>IF(OR($B106="",基础资料!$B$5=""),"",-SUMIFS(周转筐出入库明细!$I$4:$I$2004,周转筐出入库明细!$C$4:$C$2004,$B106,周转筐出入库明细!$D$4:$D$2004,基础资料!$B$5,周转筐出入库明细!$B$4:$B$2004,"&gt;="&amp;$BC$1,周转筐出入库明细!$B$4:$B$2004,"&lt;="&amp;$BC$2))</f>
        <v/>
      </c>
      <c r="K106" s="67" t="str">
        <f>IF(OR($B106="",基础资料!$B$6=""),"",-SUMIFS(周转筐出入库明细!$I$4:$I$2004,周转筐出入库明细!$C$4:$C$2004,$B106,周转筐出入库明细!$D$4:$D$2004,基础资料!$B$6,周转筐出入库明细!$B$4:$B$2004,"&gt;="&amp;$BC$1,周转筐出入库明细!$B$4:$B$2004,"&lt;="&amp;$BC$2))</f>
        <v/>
      </c>
      <c r="L106" s="67" t="str">
        <f>IF(OR($B106="",基础资料!$B$7=""),"",-SUMIFS(周转筐出入库明细!$I$4:$I$2004,周转筐出入库明细!$C$4:$C$2004,$B106,周转筐出入库明细!$D$4:$D$2004,基础资料!$B$7,周转筐出入库明细!$B$4:$B$2004,"&gt;="&amp;$BC$1,周转筐出入库明细!$B$4:$B$2004,"&lt;="&amp;$BC$2))</f>
        <v/>
      </c>
      <c r="M106" s="67" t="str">
        <f>IF(OR($B106="",基础资料!$B$8=""),"",-SUMIFS(周转筐出入库明细!$I$4:$I$2004,周转筐出入库明细!$C$4:$C$2004,$B106,周转筐出入库明细!$D$4:$D$2004,基础资料!$B$8,周转筐出入库明细!$B$4:$B$2004,"&gt;="&amp;$BC$1,周转筐出入库明细!$B$4:$B$2004,"&lt;="&amp;$BC$2))</f>
        <v/>
      </c>
      <c r="N106" s="67" t="str">
        <f t="shared" si="14"/>
        <v/>
      </c>
      <c r="O106" s="25" t="str">
        <f>IF(OR($B106="",基础资料!$B$4=""),"",SUMIFS(周转筐出入库明细!$H$4:$H$2004,周转筐出入库明细!$C$4:$C$2004,$B106,周转筐出入库明细!$D$4:$D$2004,基础资料!$B$4,周转筐出入库明细!$F$4:$F$2004,"采购入库",周转筐出入库明细!$B$4:$B$2004,"&gt;="&amp;$BC$1,周转筐出入库明细!$B$4:$B$2004,"&lt;="&amp;$BC$2))</f>
        <v/>
      </c>
      <c r="P106" s="25" t="str">
        <f>IF(OR($B106="",基础资料!$B$5=""),"",SUMIFS(周转筐出入库明细!$H$4:$H$2004,周转筐出入库明细!$C$4:$C$2004,$B106,周转筐出入库明细!$D$4:$D$2004,基础资料!$B$5,周转筐出入库明细!$F$4:$F$2004,"采购入库",周转筐出入库明细!$B$4:$B$2004,"&gt;="&amp;$BC$1,周转筐出入库明细!$B$4:$B$2004,"&lt;="&amp;$BC$2))</f>
        <v/>
      </c>
      <c r="Q106" s="25" t="str">
        <f>IF(OR($B106="",基础资料!$B$6=""),"",SUMIFS(周转筐出入库明细!$H$4:$H$2004,周转筐出入库明细!$C$4:$C$2004,$B106,周转筐出入库明细!$D$4:$D$2004,基础资料!$B$6,周转筐出入库明细!$F$4:$F$2004,"采购入库",周转筐出入库明细!$B$4:$B$2004,"&gt;="&amp;$BC$1,周转筐出入库明细!$B$4:$B$2004,"&lt;="&amp;$BC$2))</f>
        <v/>
      </c>
      <c r="R106" s="25" t="str">
        <f>IF(OR($B106="",基础资料!$B$7=""),"",SUMIFS(周转筐出入库明细!$H$4:$H$2004,周转筐出入库明细!$C$4:$C$2004,$B106,周转筐出入库明细!$D$4:$D$2004,基础资料!$B$7,周转筐出入库明细!$F$4:$F$2004,"采购入库",周转筐出入库明细!$B$4:$B$2004,"&gt;="&amp;$BC$1,周转筐出入库明细!$B$4:$B$2004,"&lt;="&amp;$BC$2))</f>
        <v/>
      </c>
      <c r="S106" s="25" t="str">
        <f>IF(OR($B106="",基础资料!$B$8=""),"",SUMIFS(周转筐出入库明细!$H$4:$H$2004,周转筐出入库明细!$C$4:$C$2004,$B106,周转筐出入库明细!$D$4:$D$2004,基础资料!$B$8,周转筐出入库明细!$F$4:$F$2004,"采购入库",周转筐出入库明细!$B$4:$B$2004,"&gt;="&amp;$BC$1,周转筐出入库明细!$B$4:$B$2004,"&lt;="&amp;$BC$2))</f>
        <v/>
      </c>
      <c r="T106" s="25" t="str">
        <f t="shared" si="15"/>
        <v/>
      </c>
      <c r="U106" s="25" t="str">
        <f>IF(OR($B106="",基础资料!$B$4=""),"",SUMIFS(周转筐出入库明细!$K$4:$K$2004,周转筐出入库明细!$C$4:$C$2004,$B106,周转筐出入库明细!$D$4:$D$2004,基础资料!$B$4,周转筐出入库明细!$B$4:$B$2004,"&gt;="&amp;$BC$1,周转筐出入库明细!$B$4:$B$2004,"&lt;="&amp;$BC$2))</f>
        <v/>
      </c>
      <c r="V106" s="25" t="str">
        <f>IF(OR($B106="",基础资料!$B$5=""),"",SUMIFS(周转筐出入库明细!$K$4:$K$2004,周转筐出入库明细!$C$4:$C$2004,$B106,周转筐出入库明细!$D$4:$D$2004,基础资料!$B$5,周转筐出入库明细!$B$4:$B$2004,"&gt;="&amp;$BC$1,周转筐出入库明细!$B$4:$B$2004,"&lt;="&amp;$BC$2))</f>
        <v/>
      </c>
      <c r="W106" s="25" t="str">
        <f>IF(OR($B106="",基础资料!$B$6=""),"",SUMIFS(周转筐出入库明细!$K$4:$K$2004,周转筐出入库明细!$C$4:$C$2004,$B106,周转筐出入库明细!$D$4:$D$2004,基础资料!$B$6,周转筐出入库明细!$B$4:$B$2004,"&gt;="&amp;$BC$1,周转筐出入库明细!$B$4:$B$2004,"&lt;="&amp;$BC$2))</f>
        <v/>
      </c>
      <c r="X106" s="25" t="str">
        <f>IF(OR($B106="",基础资料!$B$7=""),"",SUMIFS(周转筐出入库明细!$K$4:$K$2004,周转筐出入库明细!$C$4:$C$2004,$B106,周转筐出入库明细!$D$4:$D$2004,基础资料!$B$7,周转筐出入库明细!$B$4:$B$2004,"&gt;="&amp;$BC$1,周转筐出入库明细!$B$4:$B$2004,"&lt;="&amp;$BC$2))</f>
        <v/>
      </c>
      <c r="Y106" s="25" t="str">
        <f>IF(OR($B106="",基础资料!$B$8=""),"",SUMIFS(周转筐出入库明细!$K$4:$K$2004,周转筐出入库明细!$C$4:$C$2004,$B106,周转筐出入库明细!$D$4:$D$2004,基础资料!$B$8,周转筐出入库明细!$B$4:$B$2004,"&gt;="&amp;$BC$1,周转筐出入库明细!$B$4:$B$2004,"&lt;="&amp;$BC$2))</f>
        <v/>
      </c>
      <c r="Z106" s="25" t="str">
        <f t="shared" si="16"/>
        <v/>
      </c>
      <c r="AA106" s="67" t="str">
        <f>IF(OR($B106="",基础资料!$B$4=""),"",-SUMIFS(对接源_01水果筐数!$D$5:$D$304,对接源_01水果筐数!$B$5:$B$304,$B106,对接源_01水果筐数!$C$5:$C$304,基础资料!$B$4))</f>
        <v/>
      </c>
      <c r="AB106" s="67" t="str">
        <f>IF(OR($B106="",基础资料!$B$5=""),"",-SUMIFS(对接源_01水果筐数!$D$5:$D$304,对接源_01水果筐数!$B$5:$B$304,$B106,对接源_01水果筐数!$C$5:$C$304,基础资料!$B$5))</f>
        <v/>
      </c>
      <c r="AC106" s="67" t="str">
        <f>IF(OR($B106="",基础资料!$B$6=""),"",-SUMIFS(对接源_01水果筐数!$D$5:$D$304,对接源_01水果筐数!$B$5:$B$304,$B106,对接源_01水果筐数!$C$5:$C$304,基础资料!$B$6))</f>
        <v/>
      </c>
      <c r="AD106" s="67" t="str">
        <f>IF(OR($B106="",基础资料!$B$7=""),"",-SUMIFS(对接源_01水果筐数!$D$5:$D$304,对接源_01水果筐数!$B$5:$B$304,$B106,对接源_01水果筐数!$C$5:$C$304,基础资料!$B$7))</f>
        <v/>
      </c>
      <c r="AE106" s="67" t="str">
        <f>IF(OR($B106="",基础资料!$B$8=""),"",-SUMIFS(对接源_01水果筐数!$D$5:$D$304,对接源_01水果筐数!$B$5:$B$304,$B106,对接源_01水果筐数!$C$5:$C$304,基础资料!$B$8))</f>
        <v/>
      </c>
      <c r="AF106" s="25" t="str">
        <f>IF(OR($B106="",基础资料!$B$4=""),"",SUMIFS(对接源_01水果筐数!$E$5:$E$304,对接源_01水果筐数!$B$5:$B$304,$B106,对接源_01水果筐数!$C$5:$C$304,基础资料!$B$4))</f>
        <v/>
      </c>
      <c r="AG106" s="25" t="str">
        <f>IF(OR($B106="",基础资料!$B$5=""),"",SUMIFS(对接源_01水果筐数!$E$5:$E$304,对接源_01水果筐数!$B$5:$B$304,$B106,对接源_01水果筐数!$C$5:$C$304,基础资料!$B$5))</f>
        <v/>
      </c>
      <c r="AH106" s="25" t="str">
        <f>IF(OR($B106="",基础资料!$B$6=""),"",SUMIFS(对接源_01水果筐数!$E$5:$E$304,对接源_01水果筐数!$B$5:$B$304,$B106,对接源_01水果筐数!$C$5:$C$304,基础资料!$B$6))</f>
        <v/>
      </c>
      <c r="AI106" s="25" t="str">
        <f>IF(OR($B106="",基础资料!$B$7=""),"",SUMIFS(对接源_01水果筐数!$E$5:$E$304,对接源_01水果筐数!$B$5:$B$304,$B106,对接源_01水果筐数!$C$5:$C$304,基础资料!$B$7))</f>
        <v/>
      </c>
      <c r="AJ106" s="25" t="str">
        <f>IF(OR($B106="",基础资料!$B$8=""),"",SUMIFS(对接源_01水果筐数!$E$5:$E$304,对接源_01水果筐数!$B$5:$B$304,$B106,对接源_01水果筐数!$C$5:$C$304,基础资料!$B$8))</f>
        <v/>
      </c>
      <c r="AK106" s="25" t="str">
        <f>IF(OR($B106="",基础资料!$B$4=""),"",SUMIFS(对接源_01水果筐数!$F$5:$F$304,对接源_01水果筐数!$B$5:$B$304,$B106,对接源_01水果筐数!$C$5:$C$304,基础资料!$B$4))</f>
        <v/>
      </c>
      <c r="AL106" s="25" t="str">
        <f>IF(OR($B106="",基础资料!$B$5=""),"",SUMIFS(对接源_01水果筐数!$F$5:$F$304,对接源_01水果筐数!$B$5:$B$304,$B106,对接源_01水果筐数!$C$5:$C$304,基础资料!$B$5))</f>
        <v/>
      </c>
      <c r="AM106" s="25" t="str">
        <f>IF(OR($B106="",基础资料!$B$6=""),"",SUMIFS(对接源_01水果筐数!$F$5:$F$304,对接源_01水果筐数!$B$5:$B$304,$B106,对接源_01水果筐数!$C$5:$C$304,基础资料!$B$6))</f>
        <v/>
      </c>
      <c r="AN106" s="25" t="str">
        <f>IF(OR($B106="",基础资料!$B$7=""),"",SUMIFS(对接源_01水果筐数!$F$5:$F$304,对接源_01水果筐数!$B$5:$B$304,$B106,对接源_01水果筐数!$C$5:$C$304,基础资料!$B$7))</f>
        <v/>
      </c>
      <c r="AO106" s="25" t="str">
        <f>IF(OR($B106="",基础资料!$B$8=""),"",SUMIFS(对接源_01水果筐数!$F$5:$F$304,对接源_01水果筐数!$B$5:$B$304,$B106,对接源_01水果筐数!$C$5:$C$304,基础资料!$B$8))</f>
        <v/>
      </c>
      <c r="AP106" s="25" t="str">
        <f t="shared" si="17"/>
        <v/>
      </c>
      <c r="AQ106" s="25" t="str">
        <f t="shared" si="18"/>
        <v/>
      </c>
      <c r="AR106" s="25" t="str">
        <f t="shared" si="19"/>
        <v/>
      </c>
      <c r="AS106" s="25" t="str">
        <f t="shared" si="20"/>
        <v/>
      </c>
      <c r="AT106" s="25" t="str">
        <f t="shared" si="21"/>
        <v/>
      </c>
      <c r="AU106" s="25" t="str">
        <f t="shared" si="22"/>
        <v/>
      </c>
      <c r="AV106" s="24" t="str">
        <f t="shared" si="23"/>
        <v/>
      </c>
      <c r="AW106" s="72"/>
    </row>
    <row r="107" spans="1:49">
      <c r="A107" s="22" t="str">
        <f t="shared" si="12"/>
        <v/>
      </c>
      <c r="B107" s="24" t="str">
        <f>IFERROR(INDEX(_自动清单!$CC$4:$CC$253,ROW()-3),"")</f>
        <v/>
      </c>
      <c r="C107" s="25" t="str">
        <f>IF(OR($B107="",基础资料!$B$4=""),"",SUMIFS(周转筐出入库明细!$J$4:$J$2004,周转筐出入库明细!$C$4:$C$2004,$B107,周转筐出入库明细!$D$4:$D$2004,基础资料!$B$4,周转筐出入库明细!$B$4:$B$2004,"&gt;="&amp;$BC$1,周转筐出入库明细!$B$4:$B$2004,"&lt;="&amp;$BC$2))</f>
        <v/>
      </c>
      <c r="D107" s="25" t="str">
        <f>IF(OR($B107="",基础资料!$B$5=""),"",SUMIFS(周转筐出入库明细!$J$4:$J$2004,周转筐出入库明细!$C$4:$C$2004,$B107,周转筐出入库明细!$D$4:$D$2004,基础资料!$B$5,周转筐出入库明细!$B$4:$B$2004,"&gt;="&amp;$BC$1,周转筐出入库明细!$B$4:$B$2004,"&lt;="&amp;$BC$2))</f>
        <v/>
      </c>
      <c r="E107" s="25" t="str">
        <f>IF(OR($B107="",基础资料!$B$6=""),"",SUMIFS(周转筐出入库明细!$J$4:$J$2004,周转筐出入库明细!$C$4:$C$2004,$B107,周转筐出入库明细!$D$4:$D$2004,基础资料!$B$6,周转筐出入库明细!$B$4:$B$2004,"&gt;="&amp;$BC$1,周转筐出入库明细!$B$4:$B$2004,"&lt;="&amp;$BC$2))</f>
        <v/>
      </c>
      <c r="F107" s="25" t="str">
        <f>IF(OR($B107="",基础资料!$B$7=""),"",SUMIFS(周转筐出入库明细!$J$4:$J$2004,周转筐出入库明细!$C$4:$C$2004,$B107,周转筐出入库明细!$D$4:$D$2004,基础资料!$B$7,周转筐出入库明细!$B$4:$B$2004,"&gt;="&amp;$BC$1,周转筐出入库明细!$B$4:$B$2004,"&lt;="&amp;$BC$2))</f>
        <v/>
      </c>
      <c r="G107" s="25" t="str">
        <f>IF(OR($B107="",基础资料!$B$8=""),"",SUMIFS(周转筐出入库明细!$J$4:$J$2004,周转筐出入库明细!$C$4:$C$2004,$B107,周转筐出入库明细!$D$4:$D$2004,基础资料!$B$8,周转筐出入库明细!$B$4:$B$2004,"&gt;="&amp;$BC$1,周转筐出入库明细!$B$4:$B$2004,"&lt;="&amp;$BC$2))</f>
        <v/>
      </c>
      <c r="H107" s="25" t="str">
        <f t="shared" si="13"/>
        <v/>
      </c>
      <c r="I107" s="67" t="str">
        <f>IF(OR($B107="",基础资料!$B$4=""),"",-SUMIFS(周转筐出入库明细!$I$4:$I$2004,周转筐出入库明细!$C$4:$C$2004,$B107,周转筐出入库明细!$D$4:$D$2004,基础资料!$B$4,周转筐出入库明细!$B$4:$B$2004,"&gt;="&amp;$BC$1,周转筐出入库明细!$B$4:$B$2004,"&lt;="&amp;$BC$2))</f>
        <v/>
      </c>
      <c r="J107" s="67" t="str">
        <f>IF(OR($B107="",基础资料!$B$5=""),"",-SUMIFS(周转筐出入库明细!$I$4:$I$2004,周转筐出入库明细!$C$4:$C$2004,$B107,周转筐出入库明细!$D$4:$D$2004,基础资料!$B$5,周转筐出入库明细!$B$4:$B$2004,"&gt;="&amp;$BC$1,周转筐出入库明细!$B$4:$B$2004,"&lt;="&amp;$BC$2))</f>
        <v/>
      </c>
      <c r="K107" s="67" t="str">
        <f>IF(OR($B107="",基础资料!$B$6=""),"",-SUMIFS(周转筐出入库明细!$I$4:$I$2004,周转筐出入库明细!$C$4:$C$2004,$B107,周转筐出入库明细!$D$4:$D$2004,基础资料!$B$6,周转筐出入库明细!$B$4:$B$2004,"&gt;="&amp;$BC$1,周转筐出入库明细!$B$4:$B$2004,"&lt;="&amp;$BC$2))</f>
        <v/>
      </c>
      <c r="L107" s="67" t="str">
        <f>IF(OR($B107="",基础资料!$B$7=""),"",-SUMIFS(周转筐出入库明细!$I$4:$I$2004,周转筐出入库明细!$C$4:$C$2004,$B107,周转筐出入库明细!$D$4:$D$2004,基础资料!$B$7,周转筐出入库明细!$B$4:$B$2004,"&gt;="&amp;$BC$1,周转筐出入库明细!$B$4:$B$2004,"&lt;="&amp;$BC$2))</f>
        <v/>
      </c>
      <c r="M107" s="67" t="str">
        <f>IF(OR($B107="",基础资料!$B$8=""),"",-SUMIFS(周转筐出入库明细!$I$4:$I$2004,周转筐出入库明细!$C$4:$C$2004,$B107,周转筐出入库明细!$D$4:$D$2004,基础资料!$B$8,周转筐出入库明细!$B$4:$B$2004,"&gt;="&amp;$BC$1,周转筐出入库明细!$B$4:$B$2004,"&lt;="&amp;$BC$2))</f>
        <v/>
      </c>
      <c r="N107" s="67" t="str">
        <f t="shared" si="14"/>
        <v/>
      </c>
      <c r="O107" s="25" t="str">
        <f>IF(OR($B107="",基础资料!$B$4=""),"",SUMIFS(周转筐出入库明细!$H$4:$H$2004,周转筐出入库明细!$C$4:$C$2004,$B107,周转筐出入库明细!$D$4:$D$2004,基础资料!$B$4,周转筐出入库明细!$F$4:$F$2004,"采购入库",周转筐出入库明细!$B$4:$B$2004,"&gt;="&amp;$BC$1,周转筐出入库明细!$B$4:$B$2004,"&lt;="&amp;$BC$2))</f>
        <v/>
      </c>
      <c r="P107" s="25" t="str">
        <f>IF(OR($B107="",基础资料!$B$5=""),"",SUMIFS(周转筐出入库明细!$H$4:$H$2004,周转筐出入库明细!$C$4:$C$2004,$B107,周转筐出入库明细!$D$4:$D$2004,基础资料!$B$5,周转筐出入库明细!$F$4:$F$2004,"采购入库",周转筐出入库明细!$B$4:$B$2004,"&gt;="&amp;$BC$1,周转筐出入库明细!$B$4:$B$2004,"&lt;="&amp;$BC$2))</f>
        <v/>
      </c>
      <c r="Q107" s="25" t="str">
        <f>IF(OR($B107="",基础资料!$B$6=""),"",SUMIFS(周转筐出入库明细!$H$4:$H$2004,周转筐出入库明细!$C$4:$C$2004,$B107,周转筐出入库明细!$D$4:$D$2004,基础资料!$B$6,周转筐出入库明细!$F$4:$F$2004,"采购入库",周转筐出入库明细!$B$4:$B$2004,"&gt;="&amp;$BC$1,周转筐出入库明细!$B$4:$B$2004,"&lt;="&amp;$BC$2))</f>
        <v/>
      </c>
      <c r="R107" s="25" t="str">
        <f>IF(OR($B107="",基础资料!$B$7=""),"",SUMIFS(周转筐出入库明细!$H$4:$H$2004,周转筐出入库明细!$C$4:$C$2004,$B107,周转筐出入库明细!$D$4:$D$2004,基础资料!$B$7,周转筐出入库明细!$F$4:$F$2004,"采购入库",周转筐出入库明细!$B$4:$B$2004,"&gt;="&amp;$BC$1,周转筐出入库明细!$B$4:$B$2004,"&lt;="&amp;$BC$2))</f>
        <v/>
      </c>
      <c r="S107" s="25" t="str">
        <f>IF(OR($B107="",基础资料!$B$8=""),"",SUMIFS(周转筐出入库明细!$H$4:$H$2004,周转筐出入库明细!$C$4:$C$2004,$B107,周转筐出入库明细!$D$4:$D$2004,基础资料!$B$8,周转筐出入库明细!$F$4:$F$2004,"采购入库",周转筐出入库明细!$B$4:$B$2004,"&gt;="&amp;$BC$1,周转筐出入库明细!$B$4:$B$2004,"&lt;="&amp;$BC$2))</f>
        <v/>
      </c>
      <c r="T107" s="25" t="str">
        <f t="shared" si="15"/>
        <v/>
      </c>
      <c r="U107" s="25" t="str">
        <f>IF(OR($B107="",基础资料!$B$4=""),"",SUMIFS(周转筐出入库明细!$K$4:$K$2004,周转筐出入库明细!$C$4:$C$2004,$B107,周转筐出入库明细!$D$4:$D$2004,基础资料!$B$4,周转筐出入库明细!$B$4:$B$2004,"&gt;="&amp;$BC$1,周转筐出入库明细!$B$4:$B$2004,"&lt;="&amp;$BC$2))</f>
        <v/>
      </c>
      <c r="V107" s="25" t="str">
        <f>IF(OR($B107="",基础资料!$B$5=""),"",SUMIFS(周转筐出入库明细!$K$4:$K$2004,周转筐出入库明细!$C$4:$C$2004,$B107,周转筐出入库明细!$D$4:$D$2004,基础资料!$B$5,周转筐出入库明细!$B$4:$B$2004,"&gt;="&amp;$BC$1,周转筐出入库明细!$B$4:$B$2004,"&lt;="&amp;$BC$2))</f>
        <v/>
      </c>
      <c r="W107" s="25" t="str">
        <f>IF(OR($B107="",基础资料!$B$6=""),"",SUMIFS(周转筐出入库明细!$K$4:$K$2004,周转筐出入库明细!$C$4:$C$2004,$B107,周转筐出入库明细!$D$4:$D$2004,基础资料!$B$6,周转筐出入库明细!$B$4:$B$2004,"&gt;="&amp;$BC$1,周转筐出入库明细!$B$4:$B$2004,"&lt;="&amp;$BC$2))</f>
        <v/>
      </c>
      <c r="X107" s="25" t="str">
        <f>IF(OR($B107="",基础资料!$B$7=""),"",SUMIFS(周转筐出入库明细!$K$4:$K$2004,周转筐出入库明细!$C$4:$C$2004,$B107,周转筐出入库明细!$D$4:$D$2004,基础资料!$B$7,周转筐出入库明细!$B$4:$B$2004,"&gt;="&amp;$BC$1,周转筐出入库明细!$B$4:$B$2004,"&lt;="&amp;$BC$2))</f>
        <v/>
      </c>
      <c r="Y107" s="25" t="str">
        <f>IF(OR($B107="",基础资料!$B$8=""),"",SUMIFS(周转筐出入库明细!$K$4:$K$2004,周转筐出入库明细!$C$4:$C$2004,$B107,周转筐出入库明细!$D$4:$D$2004,基础资料!$B$8,周转筐出入库明细!$B$4:$B$2004,"&gt;="&amp;$BC$1,周转筐出入库明细!$B$4:$B$2004,"&lt;="&amp;$BC$2))</f>
        <v/>
      </c>
      <c r="Z107" s="25" t="str">
        <f t="shared" si="16"/>
        <v/>
      </c>
      <c r="AA107" s="67" t="str">
        <f>IF(OR($B107="",基础资料!$B$4=""),"",-SUMIFS(对接源_01水果筐数!$D$5:$D$304,对接源_01水果筐数!$B$5:$B$304,$B107,对接源_01水果筐数!$C$5:$C$304,基础资料!$B$4))</f>
        <v/>
      </c>
      <c r="AB107" s="67" t="str">
        <f>IF(OR($B107="",基础资料!$B$5=""),"",-SUMIFS(对接源_01水果筐数!$D$5:$D$304,对接源_01水果筐数!$B$5:$B$304,$B107,对接源_01水果筐数!$C$5:$C$304,基础资料!$B$5))</f>
        <v/>
      </c>
      <c r="AC107" s="67" t="str">
        <f>IF(OR($B107="",基础资料!$B$6=""),"",-SUMIFS(对接源_01水果筐数!$D$5:$D$304,对接源_01水果筐数!$B$5:$B$304,$B107,对接源_01水果筐数!$C$5:$C$304,基础资料!$B$6))</f>
        <v/>
      </c>
      <c r="AD107" s="67" t="str">
        <f>IF(OR($B107="",基础资料!$B$7=""),"",-SUMIFS(对接源_01水果筐数!$D$5:$D$304,对接源_01水果筐数!$B$5:$B$304,$B107,对接源_01水果筐数!$C$5:$C$304,基础资料!$B$7))</f>
        <v/>
      </c>
      <c r="AE107" s="67" t="str">
        <f>IF(OR($B107="",基础资料!$B$8=""),"",-SUMIFS(对接源_01水果筐数!$D$5:$D$304,对接源_01水果筐数!$B$5:$B$304,$B107,对接源_01水果筐数!$C$5:$C$304,基础资料!$B$8))</f>
        <v/>
      </c>
      <c r="AF107" s="25" t="str">
        <f>IF(OR($B107="",基础资料!$B$4=""),"",SUMIFS(对接源_01水果筐数!$E$5:$E$304,对接源_01水果筐数!$B$5:$B$304,$B107,对接源_01水果筐数!$C$5:$C$304,基础资料!$B$4))</f>
        <v/>
      </c>
      <c r="AG107" s="25" t="str">
        <f>IF(OR($B107="",基础资料!$B$5=""),"",SUMIFS(对接源_01水果筐数!$E$5:$E$304,对接源_01水果筐数!$B$5:$B$304,$B107,对接源_01水果筐数!$C$5:$C$304,基础资料!$B$5))</f>
        <v/>
      </c>
      <c r="AH107" s="25" t="str">
        <f>IF(OR($B107="",基础资料!$B$6=""),"",SUMIFS(对接源_01水果筐数!$E$5:$E$304,对接源_01水果筐数!$B$5:$B$304,$B107,对接源_01水果筐数!$C$5:$C$304,基础资料!$B$6))</f>
        <v/>
      </c>
      <c r="AI107" s="25" t="str">
        <f>IF(OR($B107="",基础资料!$B$7=""),"",SUMIFS(对接源_01水果筐数!$E$5:$E$304,对接源_01水果筐数!$B$5:$B$304,$B107,对接源_01水果筐数!$C$5:$C$304,基础资料!$B$7))</f>
        <v/>
      </c>
      <c r="AJ107" s="25" t="str">
        <f>IF(OR($B107="",基础资料!$B$8=""),"",SUMIFS(对接源_01水果筐数!$E$5:$E$304,对接源_01水果筐数!$B$5:$B$304,$B107,对接源_01水果筐数!$C$5:$C$304,基础资料!$B$8))</f>
        <v/>
      </c>
      <c r="AK107" s="25" t="str">
        <f>IF(OR($B107="",基础资料!$B$4=""),"",SUMIFS(对接源_01水果筐数!$F$5:$F$304,对接源_01水果筐数!$B$5:$B$304,$B107,对接源_01水果筐数!$C$5:$C$304,基础资料!$B$4))</f>
        <v/>
      </c>
      <c r="AL107" s="25" t="str">
        <f>IF(OR($B107="",基础资料!$B$5=""),"",SUMIFS(对接源_01水果筐数!$F$5:$F$304,对接源_01水果筐数!$B$5:$B$304,$B107,对接源_01水果筐数!$C$5:$C$304,基础资料!$B$5))</f>
        <v/>
      </c>
      <c r="AM107" s="25" t="str">
        <f>IF(OR($B107="",基础资料!$B$6=""),"",SUMIFS(对接源_01水果筐数!$F$5:$F$304,对接源_01水果筐数!$B$5:$B$304,$B107,对接源_01水果筐数!$C$5:$C$304,基础资料!$B$6))</f>
        <v/>
      </c>
      <c r="AN107" s="25" t="str">
        <f>IF(OR($B107="",基础资料!$B$7=""),"",SUMIFS(对接源_01水果筐数!$F$5:$F$304,对接源_01水果筐数!$B$5:$B$304,$B107,对接源_01水果筐数!$C$5:$C$304,基础资料!$B$7))</f>
        <v/>
      </c>
      <c r="AO107" s="25" t="str">
        <f>IF(OR($B107="",基础资料!$B$8=""),"",SUMIFS(对接源_01水果筐数!$F$5:$F$304,对接源_01水果筐数!$B$5:$B$304,$B107,对接源_01水果筐数!$C$5:$C$304,基础资料!$B$8))</f>
        <v/>
      </c>
      <c r="AP107" s="25" t="str">
        <f t="shared" si="17"/>
        <v/>
      </c>
      <c r="AQ107" s="25" t="str">
        <f t="shared" si="18"/>
        <v/>
      </c>
      <c r="AR107" s="25" t="str">
        <f t="shared" si="19"/>
        <v/>
      </c>
      <c r="AS107" s="25" t="str">
        <f t="shared" si="20"/>
        <v/>
      </c>
      <c r="AT107" s="25" t="str">
        <f t="shared" si="21"/>
        <v/>
      </c>
      <c r="AU107" s="25" t="str">
        <f t="shared" si="22"/>
        <v/>
      </c>
      <c r="AV107" s="24" t="str">
        <f t="shared" si="23"/>
        <v/>
      </c>
      <c r="AW107" s="72"/>
    </row>
    <row r="108" spans="1:49">
      <c r="A108" s="22" t="str">
        <f t="shared" si="12"/>
        <v/>
      </c>
      <c r="B108" s="24" t="str">
        <f>IFERROR(INDEX(_自动清单!$CC$4:$CC$253,ROW()-3),"")</f>
        <v/>
      </c>
      <c r="C108" s="25" t="str">
        <f>IF(OR($B108="",基础资料!$B$4=""),"",SUMIFS(周转筐出入库明细!$J$4:$J$2004,周转筐出入库明细!$C$4:$C$2004,$B108,周转筐出入库明细!$D$4:$D$2004,基础资料!$B$4,周转筐出入库明细!$B$4:$B$2004,"&gt;="&amp;$BC$1,周转筐出入库明细!$B$4:$B$2004,"&lt;="&amp;$BC$2))</f>
        <v/>
      </c>
      <c r="D108" s="25" t="str">
        <f>IF(OR($B108="",基础资料!$B$5=""),"",SUMIFS(周转筐出入库明细!$J$4:$J$2004,周转筐出入库明细!$C$4:$C$2004,$B108,周转筐出入库明细!$D$4:$D$2004,基础资料!$B$5,周转筐出入库明细!$B$4:$B$2004,"&gt;="&amp;$BC$1,周转筐出入库明细!$B$4:$B$2004,"&lt;="&amp;$BC$2))</f>
        <v/>
      </c>
      <c r="E108" s="25" t="str">
        <f>IF(OR($B108="",基础资料!$B$6=""),"",SUMIFS(周转筐出入库明细!$J$4:$J$2004,周转筐出入库明细!$C$4:$C$2004,$B108,周转筐出入库明细!$D$4:$D$2004,基础资料!$B$6,周转筐出入库明细!$B$4:$B$2004,"&gt;="&amp;$BC$1,周转筐出入库明细!$B$4:$B$2004,"&lt;="&amp;$BC$2))</f>
        <v/>
      </c>
      <c r="F108" s="25" t="str">
        <f>IF(OR($B108="",基础资料!$B$7=""),"",SUMIFS(周转筐出入库明细!$J$4:$J$2004,周转筐出入库明细!$C$4:$C$2004,$B108,周转筐出入库明细!$D$4:$D$2004,基础资料!$B$7,周转筐出入库明细!$B$4:$B$2004,"&gt;="&amp;$BC$1,周转筐出入库明细!$B$4:$B$2004,"&lt;="&amp;$BC$2))</f>
        <v/>
      </c>
      <c r="G108" s="25" t="str">
        <f>IF(OR($B108="",基础资料!$B$8=""),"",SUMIFS(周转筐出入库明细!$J$4:$J$2004,周转筐出入库明细!$C$4:$C$2004,$B108,周转筐出入库明细!$D$4:$D$2004,基础资料!$B$8,周转筐出入库明细!$B$4:$B$2004,"&gt;="&amp;$BC$1,周转筐出入库明细!$B$4:$B$2004,"&lt;="&amp;$BC$2))</f>
        <v/>
      </c>
      <c r="H108" s="25" t="str">
        <f t="shared" si="13"/>
        <v/>
      </c>
      <c r="I108" s="67" t="str">
        <f>IF(OR($B108="",基础资料!$B$4=""),"",-SUMIFS(周转筐出入库明细!$I$4:$I$2004,周转筐出入库明细!$C$4:$C$2004,$B108,周转筐出入库明细!$D$4:$D$2004,基础资料!$B$4,周转筐出入库明细!$B$4:$B$2004,"&gt;="&amp;$BC$1,周转筐出入库明细!$B$4:$B$2004,"&lt;="&amp;$BC$2))</f>
        <v/>
      </c>
      <c r="J108" s="67" t="str">
        <f>IF(OR($B108="",基础资料!$B$5=""),"",-SUMIFS(周转筐出入库明细!$I$4:$I$2004,周转筐出入库明细!$C$4:$C$2004,$B108,周转筐出入库明细!$D$4:$D$2004,基础资料!$B$5,周转筐出入库明细!$B$4:$B$2004,"&gt;="&amp;$BC$1,周转筐出入库明细!$B$4:$B$2004,"&lt;="&amp;$BC$2))</f>
        <v/>
      </c>
      <c r="K108" s="67" t="str">
        <f>IF(OR($B108="",基础资料!$B$6=""),"",-SUMIFS(周转筐出入库明细!$I$4:$I$2004,周转筐出入库明细!$C$4:$C$2004,$B108,周转筐出入库明细!$D$4:$D$2004,基础资料!$B$6,周转筐出入库明细!$B$4:$B$2004,"&gt;="&amp;$BC$1,周转筐出入库明细!$B$4:$B$2004,"&lt;="&amp;$BC$2))</f>
        <v/>
      </c>
      <c r="L108" s="67" t="str">
        <f>IF(OR($B108="",基础资料!$B$7=""),"",-SUMIFS(周转筐出入库明细!$I$4:$I$2004,周转筐出入库明细!$C$4:$C$2004,$B108,周转筐出入库明细!$D$4:$D$2004,基础资料!$B$7,周转筐出入库明细!$B$4:$B$2004,"&gt;="&amp;$BC$1,周转筐出入库明细!$B$4:$B$2004,"&lt;="&amp;$BC$2))</f>
        <v/>
      </c>
      <c r="M108" s="67" t="str">
        <f>IF(OR($B108="",基础资料!$B$8=""),"",-SUMIFS(周转筐出入库明细!$I$4:$I$2004,周转筐出入库明细!$C$4:$C$2004,$B108,周转筐出入库明细!$D$4:$D$2004,基础资料!$B$8,周转筐出入库明细!$B$4:$B$2004,"&gt;="&amp;$BC$1,周转筐出入库明细!$B$4:$B$2004,"&lt;="&amp;$BC$2))</f>
        <v/>
      </c>
      <c r="N108" s="67" t="str">
        <f t="shared" si="14"/>
        <v/>
      </c>
      <c r="O108" s="25" t="str">
        <f>IF(OR($B108="",基础资料!$B$4=""),"",SUMIFS(周转筐出入库明细!$H$4:$H$2004,周转筐出入库明细!$C$4:$C$2004,$B108,周转筐出入库明细!$D$4:$D$2004,基础资料!$B$4,周转筐出入库明细!$F$4:$F$2004,"采购入库",周转筐出入库明细!$B$4:$B$2004,"&gt;="&amp;$BC$1,周转筐出入库明细!$B$4:$B$2004,"&lt;="&amp;$BC$2))</f>
        <v/>
      </c>
      <c r="P108" s="25" t="str">
        <f>IF(OR($B108="",基础资料!$B$5=""),"",SUMIFS(周转筐出入库明细!$H$4:$H$2004,周转筐出入库明细!$C$4:$C$2004,$B108,周转筐出入库明细!$D$4:$D$2004,基础资料!$B$5,周转筐出入库明细!$F$4:$F$2004,"采购入库",周转筐出入库明细!$B$4:$B$2004,"&gt;="&amp;$BC$1,周转筐出入库明细!$B$4:$B$2004,"&lt;="&amp;$BC$2))</f>
        <v/>
      </c>
      <c r="Q108" s="25" t="str">
        <f>IF(OR($B108="",基础资料!$B$6=""),"",SUMIFS(周转筐出入库明细!$H$4:$H$2004,周转筐出入库明细!$C$4:$C$2004,$B108,周转筐出入库明细!$D$4:$D$2004,基础资料!$B$6,周转筐出入库明细!$F$4:$F$2004,"采购入库",周转筐出入库明细!$B$4:$B$2004,"&gt;="&amp;$BC$1,周转筐出入库明细!$B$4:$B$2004,"&lt;="&amp;$BC$2))</f>
        <v/>
      </c>
      <c r="R108" s="25" t="str">
        <f>IF(OR($B108="",基础资料!$B$7=""),"",SUMIFS(周转筐出入库明细!$H$4:$H$2004,周转筐出入库明细!$C$4:$C$2004,$B108,周转筐出入库明细!$D$4:$D$2004,基础资料!$B$7,周转筐出入库明细!$F$4:$F$2004,"采购入库",周转筐出入库明细!$B$4:$B$2004,"&gt;="&amp;$BC$1,周转筐出入库明细!$B$4:$B$2004,"&lt;="&amp;$BC$2))</f>
        <v/>
      </c>
      <c r="S108" s="25" t="str">
        <f>IF(OR($B108="",基础资料!$B$8=""),"",SUMIFS(周转筐出入库明细!$H$4:$H$2004,周转筐出入库明细!$C$4:$C$2004,$B108,周转筐出入库明细!$D$4:$D$2004,基础资料!$B$8,周转筐出入库明细!$F$4:$F$2004,"采购入库",周转筐出入库明细!$B$4:$B$2004,"&gt;="&amp;$BC$1,周转筐出入库明细!$B$4:$B$2004,"&lt;="&amp;$BC$2))</f>
        <v/>
      </c>
      <c r="T108" s="25" t="str">
        <f t="shared" si="15"/>
        <v/>
      </c>
      <c r="U108" s="25" t="str">
        <f>IF(OR($B108="",基础资料!$B$4=""),"",SUMIFS(周转筐出入库明细!$K$4:$K$2004,周转筐出入库明细!$C$4:$C$2004,$B108,周转筐出入库明细!$D$4:$D$2004,基础资料!$B$4,周转筐出入库明细!$B$4:$B$2004,"&gt;="&amp;$BC$1,周转筐出入库明细!$B$4:$B$2004,"&lt;="&amp;$BC$2))</f>
        <v/>
      </c>
      <c r="V108" s="25" t="str">
        <f>IF(OR($B108="",基础资料!$B$5=""),"",SUMIFS(周转筐出入库明细!$K$4:$K$2004,周转筐出入库明细!$C$4:$C$2004,$B108,周转筐出入库明细!$D$4:$D$2004,基础资料!$B$5,周转筐出入库明细!$B$4:$B$2004,"&gt;="&amp;$BC$1,周转筐出入库明细!$B$4:$B$2004,"&lt;="&amp;$BC$2))</f>
        <v/>
      </c>
      <c r="W108" s="25" t="str">
        <f>IF(OR($B108="",基础资料!$B$6=""),"",SUMIFS(周转筐出入库明细!$K$4:$K$2004,周转筐出入库明细!$C$4:$C$2004,$B108,周转筐出入库明细!$D$4:$D$2004,基础资料!$B$6,周转筐出入库明细!$B$4:$B$2004,"&gt;="&amp;$BC$1,周转筐出入库明细!$B$4:$B$2004,"&lt;="&amp;$BC$2))</f>
        <v/>
      </c>
      <c r="X108" s="25" t="str">
        <f>IF(OR($B108="",基础资料!$B$7=""),"",SUMIFS(周转筐出入库明细!$K$4:$K$2004,周转筐出入库明细!$C$4:$C$2004,$B108,周转筐出入库明细!$D$4:$D$2004,基础资料!$B$7,周转筐出入库明细!$B$4:$B$2004,"&gt;="&amp;$BC$1,周转筐出入库明细!$B$4:$B$2004,"&lt;="&amp;$BC$2))</f>
        <v/>
      </c>
      <c r="Y108" s="25" t="str">
        <f>IF(OR($B108="",基础资料!$B$8=""),"",SUMIFS(周转筐出入库明细!$K$4:$K$2004,周转筐出入库明细!$C$4:$C$2004,$B108,周转筐出入库明细!$D$4:$D$2004,基础资料!$B$8,周转筐出入库明细!$B$4:$B$2004,"&gt;="&amp;$BC$1,周转筐出入库明细!$B$4:$B$2004,"&lt;="&amp;$BC$2))</f>
        <v/>
      </c>
      <c r="Z108" s="25" t="str">
        <f t="shared" si="16"/>
        <v/>
      </c>
      <c r="AA108" s="67" t="str">
        <f>IF(OR($B108="",基础资料!$B$4=""),"",-SUMIFS(对接源_01水果筐数!$D$5:$D$304,对接源_01水果筐数!$B$5:$B$304,$B108,对接源_01水果筐数!$C$5:$C$304,基础资料!$B$4))</f>
        <v/>
      </c>
      <c r="AB108" s="67" t="str">
        <f>IF(OR($B108="",基础资料!$B$5=""),"",-SUMIFS(对接源_01水果筐数!$D$5:$D$304,对接源_01水果筐数!$B$5:$B$304,$B108,对接源_01水果筐数!$C$5:$C$304,基础资料!$B$5))</f>
        <v/>
      </c>
      <c r="AC108" s="67" t="str">
        <f>IF(OR($B108="",基础资料!$B$6=""),"",-SUMIFS(对接源_01水果筐数!$D$5:$D$304,对接源_01水果筐数!$B$5:$B$304,$B108,对接源_01水果筐数!$C$5:$C$304,基础资料!$B$6))</f>
        <v/>
      </c>
      <c r="AD108" s="67" t="str">
        <f>IF(OR($B108="",基础资料!$B$7=""),"",-SUMIFS(对接源_01水果筐数!$D$5:$D$304,对接源_01水果筐数!$B$5:$B$304,$B108,对接源_01水果筐数!$C$5:$C$304,基础资料!$B$7))</f>
        <v/>
      </c>
      <c r="AE108" s="67" t="str">
        <f>IF(OR($B108="",基础资料!$B$8=""),"",-SUMIFS(对接源_01水果筐数!$D$5:$D$304,对接源_01水果筐数!$B$5:$B$304,$B108,对接源_01水果筐数!$C$5:$C$304,基础资料!$B$8))</f>
        <v/>
      </c>
      <c r="AF108" s="25" t="str">
        <f>IF(OR($B108="",基础资料!$B$4=""),"",SUMIFS(对接源_01水果筐数!$E$5:$E$304,对接源_01水果筐数!$B$5:$B$304,$B108,对接源_01水果筐数!$C$5:$C$304,基础资料!$B$4))</f>
        <v/>
      </c>
      <c r="AG108" s="25" t="str">
        <f>IF(OR($B108="",基础资料!$B$5=""),"",SUMIFS(对接源_01水果筐数!$E$5:$E$304,对接源_01水果筐数!$B$5:$B$304,$B108,对接源_01水果筐数!$C$5:$C$304,基础资料!$B$5))</f>
        <v/>
      </c>
      <c r="AH108" s="25" t="str">
        <f>IF(OR($B108="",基础资料!$B$6=""),"",SUMIFS(对接源_01水果筐数!$E$5:$E$304,对接源_01水果筐数!$B$5:$B$304,$B108,对接源_01水果筐数!$C$5:$C$304,基础资料!$B$6))</f>
        <v/>
      </c>
      <c r="AI108" s="25" t="str">
        <f>IF(OR($B108="",基础资料!$B$7=""),"",SUMIFS(对接源_01水果筐数!$E$5:$E$304,对接源_01水果筐数!$B$5:$B$304,$B108,对接源_01水果筐数!$C$5:$C$304,基础资料!$B$7))</f>
        <v/>
      </c>
      <c r="AJ108" s="25" t="str">
        <f>IF(OR($B108="",基础资料!$B$8=""),"",SUMIFS(对接源_01水果筐数!$E$5:$E$304,对接源_01水果筐数!$B$5:$B$304,$B108,对接源_01水果筐数!$C$5:$C$304,基础资料!$B$8))</f>
        <v/>
      </c>
      <c r="AK108" s="25" t="str">
        <f>IF(OR($B108="",基础资料!$B$4=""),"",SUMIFS(对接源_01水果筐数!$F$5:$F$304,对接源_01水果筐数!$B$5:$B$304,$B108,对接源_01水果筐数!$C$5:$C$304,基础资料!$B$4))</f>
        <v/>
      </c>
      <c r="AL108" s="25" t="str">
        <f>IF(OR($B108="",基础资料!$B$5=""),"",SUMIFS(对接源_01水果筐数!$F$5:$F$304,对接源_01水果筐数!$B$5:$B$304,$B108,对接源_01水果筐数!$C$5:$C$304,基础资料!$B$5))</f>
        <v/>
      </c>
      <c r="AM108" s="25" t="str">
        <f>IF(OR($B108="",基础资料!$B$6=""),"",SUMIFS(对接源_01水果筐数!$F$5:$F$304,对接源_01水果筐数!$B$5:$B$304,$B108,对接源_01水果筐数!$C$5:$C$304,基础资料!$B$6))</f>
        <v/>
      </c>
      <c r="AN108" s="25" t="str">
        <f>IF(OR($B108="",基础资料!$B$7=""),"",SUMIFS(对接源_01水果筐数!$F$5:$F$304,对接源_01水果筐数!$B$5:$B$304,$B108,对接源_01水果筐数!$C$5:$C$304,基础资料!$B$7))</f>
        <v/>
      </c>
      <c r="AO108" s="25" t="str">
        <f>IF(OR($B108="",基础资料!$B$8=""),"",SUMIFS(对接源_01水果筐数!$F$5:$F$304,对接源_01水果筐数!$B$5:$B$304,$B108,对接源_01水果筐数!$C$5:$C$304,基础资料!$B$8))</f>
        <v/>
      </c>
      <c r="AP108" s="25" t="str">
        <f t="shared" si="17"/>
        <v/>
      </c>
      <c r="AQ108" s="25" t="str">
        <f t="shared" si="18"/>
        <v/>
      </c>
      <c r="AR108" s="25" t="str">
        <f t="shared" si="19"/>
        <v/>
      </c>
      <c r="AS108" s="25" t="str">
        <f t="shared" si="20"/>
        <v/>
      </c>
      <c r="AT108" s="25" t="str">
        <f t="shared" si="21"/>
        <v/>
      </c>
      <c r="AU108" s="25" t="str">
        <f t="shared" si="22"/>
        <v/>
      </c>
      <c r="AV108" s="24" t="str">
        <f t="shared" si="23"/>
        <v/>
      </c>
      <c r="AW108" s="72"/>
    </row>
    <row r="109" spans="1:49">
      <c r="A109" s="22" t="str">
        <f t="shared" si="12"/>
        <v/>
      </c>
      <c r="B109" s="24" t="str">
        <f>IFERROR(INDEX(_自动清单!$CC$4:$CC$253,ROW()-3),"")</f>
        <v/>
      </c>
      <c r="C109" s="25" t="str">
        <f>IF(OR($B109="",基础资料!$B$4=""),"",SUMIFS(周转筐出入库明细!$J$4:$J$2004,周转筐出入库明细!$C$4:$C$2004,$B109,周转筐出入库明细!$D$4:$D$2004,基础资料!$B$4,周转筐出入库明细!$B$4:$B$2004,"&gt;="&amp;$BC$1,周转筐出入库明细!$B$4:$B$2004,"&lt;="&amp;$BC$2))</f>
        <v/>
      </c>
      <c r="D109" s="25" t="str">
        <f>IF(OR($B109="",基础资料!$B$5=""),"",SUMIFS(周转筐出入库明细!$J$4:$J$2004,周转筐出入库明细!$C$4:$C$2004,$B109,周转筐出入库明细!$D$4:$D$2004,基础资料!$B$5,周转筐出入库明细!$B$4:$B$2004,"&gt;="&amp;$BC$1,周转筐出入库明细!$B$4:$B$2004,"&lt;="&amp;$BC$2))</f>
        <v/>
      </c>
      <c r="E109" s="25" t="str">
        <f>IF(OR($B109="",基础资料!$B$6=""),"",SUMIFS(周转筐出入库明细!$J$4:$J$2004,周转筐出入库明细!$C$4:$C$2004,$B109,周转筐出入库明细!$D$4:$D$2004,基础资料!$B$6,周转筐出入库明细!$B$4:$B$2004,"&gt;="&amp;$BC$1,周转筐出入库明细!$B$4:$B$2004,"&lt;="&amp;$BC$2))</f>
        <v/>
      </c>
      <c r="F109" s="25" t="str">
        <f>IF(OR($B109="",基础资料!$B$7=""),"",SUMIFS(周转筐出入库明细!$J$4:$J$2004,周转筐出入库明细!$C$4:$C$2004,$B109,周转筐出入库明细!$D$4:$D$2004,基础资料!$B$7,周转筐出入库明细!$B$4:$B$2004,"&gt;="&amp;$BC$1,周转筐出入库明细!$B$4:$B$2004,"&lt;="&amp;$BC$2))</f>
        <v/>
      </c>
      <c r="G109" s="25" t="str">
        <f>IF(OR($B109="",基础资料!$B$8=""),"",SUMIFS(周转筐出入库明细!$J$4:$J$2004,周转筐出入库明细!$C$4:$C$2004,$B109,周转筐出入库明细!$D$4:$D$2004,基础资料!$B$8,周转筐出入库明细!$B$4:$B$2004,"&gt;="&amp;$BC$1,周转筐出入库明细!$B$4:$B$2004,"&lt;="&amp;$BC$2))</f>
        <v/>
      </c>
      <c r="H109" s="25" t="str">
        <f t="shared" si="13"/>
        <v/>
      </c>
      <c r="I109" s="67" t="str">
        <f>IF(OR($B109="",基础资料!$B$4=""),"",-SUMIFS(周转筐出入库明细!$I$4:$I$2004,周转筐出入库明细!$C$4:$C$2004,$B109,周转筐出入库明细!$D$4:$D$2004,基础资料!$B$4,周转筐出入库明细!$B$4:$B$2004,"&gt;="&amp;$BC$1,周转筐出入库明细!$B$4:$B$2004,"&lt;="&amp;$BC$2))</f>
        <v/>
      </c>
      <c r="J109" s="67" t="str">
        <f>IF(OR($B109="",基础资料!$B$5=""),"",-SUMIFS(周转筐出入库明细!$I$4:$I$2004,周转筐出入库明细!$C$4:$C$2004,$B109,周转筐出入库明细!$D$4:$D$2004,基础资料!$B$5,周转筐出入库明细!$B$4:$B$2004,"&gt;="&amp;$BC$1,周转筐出入库明细!$B$4:$B$2004,"&lt;="&amp;$BC$2))</f>
        <v/>
      </c>
      <c r="K109" s="67" t="str">
        <f>IF(OR($B109="",基础资料!$B$6=""),"",-SUMIFS(周转筐出入库明细!$I$4:$I$2004,周转筐出入库明细!$C$4:$C$2004,$B109,周转筐出入库明细!$D$4:$D$2004,基础资料!$B$6,周转筐出入库明细!$B$4:$B$2004,"&gt;="&amp;$BC$1,周转筐出入库明细!$B$4:$B$2004,"&lt;="&amp;$BC$2))</f>
        <v/>
      </c>
      <c r="L109" s="67" t="str">
        <f>IF(OR($B109="",基础资料!$B$7=""),"",-SUMIFS(周转筐出入库明细!$I$4:$I$2004,周转筐出入库明细!$C$4:$C$2004,$B109,周转筐出入库明细!$D$4:$D$2004,基础资料!$B$7,周转筐出入库明细!$B$4:$B$2004,"&gt;="&amp;$BC$1,周转筐出入库明细!$B$4:$B$2004,"&lt;="&amp;$BC$2))</f>
        <v/>
      </c>
      <c r="M109" s="67" t="str">
        <f>IF(OR($B109="",基础资料!$B$8=""),"",-SUMIFS(周转筐出入库明细!$I$4:$I$2004,周转筐出入库明细!$C$4:$C$2004,$B109,周转筐出入库明细!$D$4:$D$2004,基础资料!$B$8,周转筐出入库明细!$B$4:$B$2004,"&gt;="&amp;$BC$1,周转筐出入库明细!$B$4:$B$2004,"&lt;="&amp;$BC$2))</f>
        <v/>
      </c>
      <c r="N109" s="67" t="str">
        <f t="shared" si="14"/>
        <v/>
      </c>
      <c r="O109" s="25" t="str">
        <f>IF(OR($B109="",基础资料!$B$4=""),"",SUMIFS(周转筐出入库明细!$H$4:$H$2004,周转筐出入库明细!$C$4:$C$2004,$B109,周转筐出入库明细!$D$4:$D$2004,基础资料!$B$4,周转筐出入库明细!$F$4:$F$2004,"采购入库",周转筐出入库明细!$B$4:$B$2004,"&gt;="&amp;$BC$1,周转筐出入库明细!$B$4:$B$2004,"&lt;="&amp;$BC$2))</f>
        <v/>
      </c>
      <c r="P109" s="25" t="str">
        <f>IF(OR($B109="",基础资料!$B$5=""),"",SUMIFS(周转筐出入库明细!$H$4:$H$2004,周转筐出入库明细!$C$4:$C$2004,$B109,周转筐出入库明细!$D$4:$D$2004,基础资料!$B$5,周转筐出入库明细!$F$4:$F$2004,"采购入库",周转筐出入库明细!$B$4:$B$2004,"&gt;="&amp;$BC$1,周转筐出入库明细!$B$4:$B$2004,"&lt;="&amp;$BC$2))</f>
        <v/>
      </c>
      <c r="Q109" s="25" t="str">
        <f>IF(OR($B109="",基础资料!$B$6=""),"",SUMIFS(周转筐出入库明细!$H$4:$H$2004,周转筐出入库明细!$C$4:$C$2004,$B109,周转筐出入库明细!$D$4:$D$2004,基础资料!$B$6,周转筐出入库明细!$F$4:$F$2004,"采购入库",周转筐出入库明细!$B$4:$B$2004,"&gt;="&amp;$BC$1,周转筐出入库明细!$B$4:$B$2004,"&lt;="&amp;$BC$2))</f>
        <v/>
      </c>
      <c r="R109" s="25" t="str">
        <f>IF(OR($B109="",基础资料!$B$7=""),"",SUMIFS(周转筐出入库明细!$H$4:$H$2004,周转筐出入库明细!$C$4:$C$2004,$B109,周转筐出入库明细!$D$4:$D$2004,基础资料!$B$7,周转筐出入库明细!$F$4:$F$2004,"采购入库",周转筐出入库明细!$B$4:$B$2004,"&gt;="&amp;$BC$1,周转筐出入库明细!$B$4:$B$2004,"&lt;="&amp;$BC$2))</f>
        <v/>
      </c>
      <c r="S109" s="25" t="str">
        <f>IF(OR($B109="",基础资料!$B$8=""),"",SUMIFS(周转筐出入库明细!$H$4:$H$2004,周转筐出入库明细!$C$4:$C$2004,$B109,周转筐出入库明细!$D$4:$D$2004,基础资料!$B$8,周转筐出入库明细!$F$4:$F$2004,"采购入库",周转筐出入库明细!$B$4:$B$2004,"&gt;="&amp;$BC$1,周转筐出入库明细!$B$4:$B$2004,"&lt;="&amp;$BC$2))</f>
        <v/>
      </c>
      <c r="T109" s="25" t="str">
        <f t="shared" si="15"/>
        <v/>
      </c>
      <c r="U109" s="25" t="str">
        <f>IF(OR($B109="",基础资料!$B$4=""),"",SUMIFS(周转筐出入库明细!$K$4:$K$2004,周转筐出入库明细!$C$4:$C$2004,$B109,周转筐出入库明细!$D$4:$D$2004,基础资料!$B$4,周转筐出入库明细!$B$4:$B$2004,"&gt;="&amp;$BC$1,周转筐出入库明细!$B$4:$B$2004,"&lt;="&amp;$BC$2))</f>
        <v/>
      </c>
      <c r="V109" s="25" t="str">
        <f>IF(OR($B109="",基础资料!$B$5=""),"",SUMIFS(周转筐出入库明细!$K$4:$K$2004,周转筐出入库明细!$C$4:$C$2004,$B109,周转筐出入库明细!$D$4:$D$2004,基础资料!$B$5,周转筐出入库明细!$B$4:$B$2004,"&gt;="&amp;$BC$1,周转筐出入库明细!$B$4:$B$2004,"&lt;="&amp;$BC$2))</f>
        <v/>
      </c>
      <c r="W109" s="25" t="str">
        <f>IF(OR($B109="",基础资料!$B$6=""),"",SUMIFS(周转筐出入库明细!$K$4:$K$2004,周转筐出入库明细!$C$4:$C$2004,$B109,周转筐出入库明细!$D$4:$D$2004,基础资料!$B$6,周转筐出入库明细!$B$4:$B$2004,"&gt;="&amp;$BC$1,周转筐出入库明细!$B$4:$B$2004,"&lt;="&amp;$BC$2))</f>
        <v/>
      </c>
      <c r="X109" s="25" t="str">
        <f>IF(OR($B109="",基础资料!$B$7=""),"",SUMIFS(周转筐出入库明细!$K$4:$K$2004,周转筐出入库明细!$C$4:$C$2004,$B109,周转筐出入库明细!$D$4:$D$2004,基础资料!$B$7,周转筐出入库明细!$B$4:$B$2004,"&gt;="&amp;$BC$1,周转筐出入库明细!$B$4:$B$2004,"&lt;="&amp;$BC$2))</f>
        <v/>
      </c>
      <c r="Y109" s="25" t="str">
        <f>IF(OR($B109="",基础资料!$B$8=""),"",SUMIFS(周转筐出入库明细!$K$4:$K$2004,周转筐出入库明细!$C$4:$C$2004,$B109,周转筐出入库明细!$D$4:$D$2004,基础资料!$B$8,周转筐出入库明细!$B$4:$B$2004,"&gt;="&amp;$BC$1,周转筐出入库明细!$B$4:$B$2004,"&lt;="&amp;$BC$2))</f>
        <v/>
      </c>
      <c r="Z109" s="25" t="str">
        <f t="shared" si="16"/>
        <v/>
      </c>
      <c r="AA109" s="67" t="str">
        <f>IF(OR($B109="",基础资料!$B$4=""),"",-SUMIFS(对接源_01水果筐数!$D$5:$D$304,对接源_01水果筐数!$B$5:$B$304,$B109,对接源_01水果筐数!$C$5:$C$304,基础资料!$B$4))</f>
        <v/>
      </c>
      <c r="AB109" s="67" t="str">
        <f>IF(OR($B109="",基础资料!$B$5=""),"",-SUMIFS(对接源_01水果筐数!$D$5:$D$304,对接源_01水果筐数!$B$5:$B$304,$B109,对接源_01水果筐数!$C$5:$C$304,基础资料!$B$5))</f>
        <v/>
      </c>
      <c r="AC109" s="67" t="str">
        <f>IF(OR($B109="",基础资料!$B$6=""),"",-SUMIFS(对接源_01水果筐数!$D$5:$D$304,对接源_01水果筐数!$B$5:$B$304,$B109,对接源_01水果筐数!$C$5:$C$304,基础资料!$B$6))</f>
        <v/>
      </c>
      <c r="AD109" s="67" t="str">
        <f>IF(OR($B109="",基础资料!$B$7=""),"",-SUMIFS(对接源_01水果筐数!$D$5:$D$304,对接源_01水果筐数!$B$5:$B$304,$B109,对接源_01水果筐数!$C$5:$C$304,基础资料!$B$7))</f>
        <v/>
      </c>
      <c r="AE109" s="67" t="str">
        <f>IF(OR($B109="",基础资料!$B$8=""),"",-SUMIFS(对接源_01水果筐数!$D$5:$D$304,对接源_01水果筐数!$B$5:$B$304,$B109,对接源_01水果筐数!$C$5:$C$304,基础资料!$B$8))</f>
        <v/>
      </c>
      <c r="AF109" s="25" t="str">
        <f>IF(OR($B109="",基础资料!$B$4=""),"",SUMIFS(对接源_01水果筐数!$E$5:$E$304,对接源_01水果筐数!$B$5:$B$304,$B109,对接源_01水果筐数!$C$5:$C$304,基础资料!$B$4))</f>
        <v/>
      </c>
      <c r="AG109" s="25" t="str">
        <f>IF(OR($B109="",基础资料!$B$5=""),"",SUMIFS(对接源_01水果筐数!$E$5:$E$304,对接源_01水果筐数!$B$5:$B$304,$B109,对接源_01水果筐数!$C$5:$C$304,基础资料!$B$5))</f>
        <v/>
      </c>
      <c r="AH109" s="25" t="str">
        <f>IF(OR($B109="",基础资料!$B$6=""),"",SUMIFS(对接源_01水果筐数!$E$5:$E$304,对接源_01水果筐数!$B$5:$B$304,$B109,对接源_01水果筐数!$C$5:$C$304,基础资料!$B$6))</f>
        <v/>
      </c>
      <c r="AI109" s="25" t="str">
        <f>IF(OR($B109="",基础资料!$B$7=""),"",SUMIFS(对接源_01水果筐数!$E$5:$E$304,对接源_01水果筐数!$B$5:$B$304,$B109,对接源_01水果筐数!$C$5:$C$304,基础资料!$B$7))</f>
        <v/>
      </c>
      <c r="AJ109" s="25" t="str">
        <f>IF(OR($B109="",基础资料!$B$8=""),"",SUMIFS(对接源_01水果筐数!$E$5:$E$304,对接源_01水果筐数!$B$5:$B$304,$B109,对接源_01水果筐数!$C$5:$C$304,基础资料!$B$8))</f>
        <v/>
      </c>
      <c r="AK109" s="25" t="str">
        <f>IF(OR($B109="",基础资料!$B$4=""),"",SUMIFS(对接源_01水果筐数!$F$5:$F$304,对接源_01水果筐数!$B$5:$B$304,$B109,对接源_01水果筐数!$C$5:$C$304,基础资料!$B$4))</f>
        <v/>
      </c>
      <c r="AL109" s="25" t="str">
        <f>IF(OR($B109="",基础资料!$B$5=""),"",SUMIFS(对接源_01水果筐数!$F$5:$F$304,对接源_01水果筐数!$B$5:$B$304,$B109,对接源_01水果筐数!$C$5:$C$304,基础资料!$B$5))</f>
        <v/>
      </c>
      <c r="AM109" s="25" t="str">
        <f>IF(OR($B109="",基础资料!$B$6=""),"",SUMIFS(对接源_01水果筐数!$F$5:$F$304,对接源_01水果筐数!$B$5:$B$304,$B109,对接源_01水果筐数!$C$5:$C$304,基础资料!$B$6))</f>
        <v/>
      </c>
      <c r="AN109" s="25" t="str">
        <f>IF(OR($B109="",基础资料!$B$7=""),"",SUMIFS(对接源_01水果筐数!$F$5:$F$304,对接源_01水果筐数!$B$5:$B$304,$B109,对接源_01水果筐数!$C$5:$C$304,基础资料!$B$7))</f>
        <v/>
      </c>
      <c r="AO109" s="25" t="str">
        <f>IF(OR($B109="",基础资料!$B$8=""),"",SUMIFS(对接源_01水果筐数!$F$5:$F$304,对接源_01水果筐数!$B$5:$B$304,$B109,对接源_01水果筐数!$C$5:$C$304,基础资料!$B$8))</f>
        <v/>
      </c>
      <c r="AP109" s="25" t="str">
        <f t="shared" si="17"/>
        <v/>
      </c>
      <c r="AQ109" s="25" t="str">
        <f t="shared" si="18"/>
        <v/>
      </c>
      <c r="AR109" s="25" t="str">
        <f t="shared" si="19"/>
        <v/>
      </c>
      <c r="AS109" s="25" t="str">
        <f t="shared" si="20"/>
        <v/>
      </c>
      <c r="AT109" s="25" t="str">
        <f t="shared" si="21"/>
        <v/>
      </c>
      <c r="AU109" s="25" t="str">
        <f t="shared" si="22"/>
        <v/>
      </c>
      <c r="AV109" s="24" t="str">
        <f t="shared" si="23"/>
        <v/>
      </c>
      <c r="AW109" s="72"/>
    </row>
    <row r="110" spans="1:49">
      <c r="A110" s="22" t="str">
        <f t="shared" si="12"/>
        <v/>
      </c>
      <c r="B110" s="24" t="str">
        <f>IFERROR(INDEX(_自动清单!$CC$4:$CC$253,ROW()-3),"")</f>
        <v/>
      </c>
      <c r="C110" s="25" t="str">
        <f>IF(OR($B110="",基础资料!$B$4=""),"",SUMIFS(周转筐出入库明细!$J$4:$J$2004,周转筐出入库明细!$C$4:$C$2004,$B110,周转筐出入库明细!$D$4:$D$2004,基础资料!$B$4,周转筐出入库明细!$B$4:$B$2004,"&gt;="&amp;$BC$1,周转筐出入库明细!$B$4:$B$2004,"&lt;="&amp;$BC$2))</f>
        <v/>
      </c>
      <c r="D110" s="25" t="str">
        <f>IF(OR($B110="",基础资料!$B$5=""),"",SUMIFS(周转筐出入库明细!$J$4:$J$2004,周转筐出入库明细!$C$4:$C$2004,$B110,周转筐出入库明细!$D$4:$D$2004,基础资料!$B$5,周转筐出入库明细!$B$4:$B$2004,"&gt;="&amp;$BC$1,周转筐出入库明细!$B$4:$B$2004,"&lt;="&amp;$BC$2))</f>
        <v/>
      </c>
      <c r="E110" s="25" t="str">
        <f>IF(OR($B110="",基础资料!$B$6=""),"",SUMIFS(周转筐出入库明细!$J$4:$J$2004,周转筐出入库明细!$C$4:$C$2004,$B110,周转筐出入库明细!$D$4:$D$2004,基础资料!$B$6,周转筐出入库明细!$B$4:$B$2004,"&gt;="&amp;$BC$1,周转筐出入库明细!$B$4:$B$2004,"&lt;="&amp;$BC$2))</f>
        <v/>
      </c>
      <c r="F110" s="25" t="str">
        <f>IF(OR($B110="",基础资料!$B$7=""),"",SUMIFS(周转筐出入库明细!$J$4:$J$2004,周转筐出入库明细!$C$4:$C$2004,$B110,周转筐出入库明细!$D$4:$D$2004,基础资料!$B$7,周转筐出入库明细!$B$4:$B$2004,"&gt;="&amp;$BC$1,周转筐出入库明细!$B$4:$B$2004,"&lt;="&amp;$BC$2))</f>
        <v/>
      </c>
      <c r="G110" s="25" t="str">
        <f>IF(OR($B110="",基础资料!$B$8=""),"",SUMIFS(周转筐出入库明细!$J$4:$J$2004,周转筐出入库明细!$C$4:$C$2004,$B110,周转筐出入库明细!$D$4:$D$2004,基础资料!$B$8,周转筐出入库明细!$B$4:$B$2004,"&gt;="&amp;$BC$1,周转筐出入库明细!$B$4:$B$2004,"&lt;="&amp;$BC$2))</f>
        <v/>
      </c>
      <c r="H110" s="25" t="str">
        <f t="shared" si="13"/>
        <v/>
      </c>
      <c r="I110" s="67" t="str">
        <f>IF(OR($B110="",基础资料!$B$4=""),"",-SUMIFS(周转筐出入库明细!$I$4:$I$2004,周转筐出入库明细!$C$4:$C$2004,$B110,周转筐出入库明细!$D$4:$D$2004,基础资料!$B$4,周转筐出入库明细!$B$4:$B$2004,"&gt;="&amp;$BC$1,周转筐出入库明细!$B$4:$B$2004,"&lt;="&amp;$BC$2))</f>
        <v/>
      </c>
      <c r="J110" s="67" t="str">
        <f>IF(OR($B110="",基础资料!$B$5=""),"",-SUMIFS(周转筐出入库明细!$I$4:$I$2004,周转筐出入库明细!$C$4:$C$2004,$B110,周转筐出入库明细!$D$4:$D$2004,基础资料!$B$5,周转筐出入库明细!$B$4:$B$2004,"&gt;="&amp;$BC$1,周转筐出入库明细!$B$4:$B$2004,"&lt;="&amp;$BC$2))</f>
        <v/>
      </c>
      <c r="K110" s="67" t="str">
        <f>IF(OR($B110="",基础资料!$B$6=""),"",-SUMIFS(周转筐出入库明细!$I$4:$I$2004,周转筐出入库明细!$C$4:$C$2004,$B110,周转筐出入库明细!$D$4:$D$2004,基础资料!$B$6,周转筐出入库明细!$B$4:$B$2004,"&gt;="&amp;$BC$1,周转筐出入库明细!$B$4:$B$2004,"&lt;="&amp;$BC$2))</f>
        <v/>
      </c>
      <c r="L110" s="67" t="str">
        <f>IF(OR($B110="",基础资料!$B$7=""),"",-SUMIFS(周转筐出入库明细!$I$4:$I$2004,周转筐出入库明细!$C$4:$C$2004,$B110,周转筐出入库明细!$D$4:$D$2004,基础资料!$B$7,周转筐出入库明细!$B$4:$B$2004,"&gt;="&amp;$BC$1,周转筐出入库明细!$B$4:$B$2004,"&lt;="&amp;$BC$2))</f>
        <v/>
      </c>
      <c r="M110" s="67" t="str">
        <f>IF(OR($B110="",基础资料!$B$8=""),"",-SUMIFS(周转筐出入库明细!$I$4:$I$2004,周转筐出入库明细!$C$4:$C$2004,$B110,周转筐出入库明细!$D$4:$D$2004,基础资料!$B$8,周转筐出入库明细!$B$4:$B$2004,"&gt;="&amp;$BC$1,周转筐出入库明细!$B$4:$B$2004,"&lt;="&amp;$BC$2))</f>
        <v/>
      </c>
      <c r="N110" s="67" t="str">
        <f t="shared" si="14"/>
        <v/>
      </c>
      <c r="O110" s="25" t="str">
        <f>IF(OR($B110="",基础资料!$B$4=""),"",SUMIFS(周转筐出入库明细!$H$4:$H$2004,周转筐出入库明细!$C$4:$C$2004,$B110,周转筐出入库明细!$D$4:$D$2004,基础资料!$B$4,周转筐出入库明细!$F$4:$F$2004,"采购入库",周转筐出入库明细!$B$4:$B$2004,"&gt;="&amp;$BC$1,周转筐出入库明细!$B$4:$B$2004,"&lt;="&amp;$BC$2))</f>
        <v/>
      </c>
      <c r="P110" s="25" t="str">
        <f>IF(OR($B110="",基础资料!$B$5=""),"",SUMIFS(周转筐出入库明细!$H$4:$H$2004,周转筐出入库明细!$C$4:$C$2004,$B110,周转筐出入库明细!$D$4:$D$2004,基础资料!$B$5,周转筐出入库明细!$F$4:$F$2004,"采购入库",周转筐出入库明细!$B$4:$B$2004,"&gt;="&amp;$BC$1,周转筐出入库明细!$B$4:$B$2004,"&lt;="&amp;$BC$2))</f>
        <v/>
      </c>
      <c r="Q110" s="25" t="str">
        <f>IF(OR($B110="",基础资料!$B$6=""),"",SUMIFS(周转筐出入库明细!$H$4:$H$2004,周转筐出入库明细!$C$4:$C$2004,$B110,周转筐出入库明细!$D$4:$D$2004,基础资料!$B$6,周转筐出入库明细!$F$4:$F$2004,"采购入库",周转筐出入库明细!$B$4:$B$2004,"&gt;="&amp;$BC$1,周转筐出入库明细!$B$4:$B$2004,"&lt;="&amp;$BC$2))</f>
        <v/>
      </c>
      <c r="R110" s="25" t="str">
        <f>IF(OR($B110="",基础资料!$B$7=""),"",SUMIFS(周转筐出入库明细!$H$4:$H$2004,周转筐出入库明细!$C$4:$C$2004,$B110,周转筐出入库明细!$D$4:$D$2004,基础资料!$B$7,周转筐出入库明细!$F$4:$F$2004,"采购入库",周转筐出入库明细!$B$4:$B$2004,"&gt;="&amp;$BC$1,周转筐出入库明细!$B$4:$B$2004,"&lt;="&amp;$BC$2))</f>
        <v/>
      </c>
      <c r="S110" s="25" t="str">
        <f>IF(OR($B110="",基础资料!$B$8=""),"",SUMIFS(周转筐出入库明细!$H$4:$H$2004,周转筐出入库明细!$C$4:$C$2004,$B110,周转筐出入库明细!$D$4:$D$2004,基础资料!$B$8,周转筐出入库明细!$F$4:$F$2004,"采购入库",周转筐出入库明细!$B$4:$B$2004,"&gt;="&amp;$BC$1,周转筐出入库明细!$B$4:$B$2004,"&lt;="&amp;$BC$2))</f>
        <v/>
      </c>
      <c r="T110" s="25" t="str">
        <f t="shared" si="15"/>
        <v/>
      </c>
      <c r="U110" s="25" t="str">
        <f>IF(OR($B110="",基础资料!$B$4=""),"",SUMIFS(周转筐出入库明细!$K$4:$K$2004,周转筐出入库明细!$C$4:$C$2004,$B110,周转筐出入库明细!$D$4:$D$2004,基础资料!$B$4,周转筐出入库明细!$B$4:$B$2004,"&gt;="&amp;$BC$1,周转筐出入库明细!$B$4:$B$2004,"&lt;="&amp;$BC$2))</f>
        <v/>
      </c>
      <c r="V110" s="25" t="str">
        <f>IF(OR($B110="",基础资料!$B$5=""),"",SUMIFS(周转筐出入库明细!$K$4:$K$2004,周转筐出入库明细!$C$4:$C$2004,$B110,周转筐出入库明细!$D$4:$D$2004,基础资料!$B$5,周转筐出入库明细!$B$4:$B$2004,"&gt;="&amp;$BC$1,周转筐出入库明细!$B$4:$B$2004,"&lt;="&amp;$BC$2))</f>
        <v/>
      </c>
      <c r="W110" s="25" t="str">
        <f>IF(OR($B110="",基础资料!$B$6=""),"",SUMIFS(周转筐出入库明细!$K$4:$K$2004,周转筐出入库明细!$C$4:$C$2004,$B110,周转筐出入库明细!$D$4:$D$2004,基础资料!$B$6,周转筐出入库明细!$B$4:$B$2004,"&gt;="&amp;$BC$1,周转筐出入库明细!$B$4:$B$2004,"&lt;="&amp;$BC$2))</f>
        <v/>
      </c>
      <c r="X110" s="25" t="str">
        <f>IF(OR($B110="",基础资料!$B$7=""),"",SUMIFS(周转筐出入库明细!$K$4:$K$2004,周转筐出入库明细!$C$4:$C$2004,$B110,周转筐出入库明细!$D$4:$D$2004,基础资料!$B$7,周转筐出入库明细!$B$4:$B$2004,"&gt;="&amp;$BC$1,周转筐出入库明细!$B$4:$B$2004,"&lt;="&amp;$BC$2))</f>
        <v/>
      </c>
      <c r="Y110" s="25" t="str">
        <f>IF(OR($B110="",基础资料!$B$8=""),"",SUMIFS(周转筐出入库明细!$K$4:$K$2004,周转筐出入库明细!$C$4:$C$2004,$B110,周转筐出入库明细!$D$4:$D$2004,基础资料!$B$8,周转筐出入库明细!$B$4:$B$2004,"&gt;="&amp;$BC$1,周转筐出入库明细!$B$4:$B$2004,"&lt;="&amp;$BC$2))</f>
        <v/>
      </c>
      <c r="Z110" s="25" t="str">
        <f t="shared" si="16"/>
        <v/>
      </c>
      <c r="AA110" s="67" t="str">
        <f>IF(OR($B110="",基础资料!$B$4=""),"",-SUMIFS(对接源_01水果筐数!$D$5:$D$304,对接源_01水果筐数!$B$5:$B$304,$B110,对接源_01水果筐数!$C$5:$C$304,基础资料!$B$4))</f>
        <v/>
      </c>
      <c r="AB110" s="67" t="str">
        <f>IF(OR($B110="",基础资料!$B$5=""),"",-SUMIFS(对接源_01水果筐数!$D$5:$D$304,对接源_01水果筐数!$B$5:$B$304,$B110,对接源_01水果筐数!$C$5:$C$304,基础资料!$B$5))</f>
        <v/>
      </c>
      <c r="AC110" s="67" t="str">
        <f>IF(OR($B110="",基础资料!$B$6=""),"",-SUMIFS(对接源_01水果筐数!$D$5:$D$304,对接源_01水果筐数!$B$5:$B$304,$B110,对接源_01水果筐数!$C$5:$C$304,基础资料!$B$6))</f>
        <v/>
      </c>
      <c r="AD110" s="67" t="str">
        <f>IF(OR($B110="",基础资料!$B$7=""),"",-SUMIFS(对接源_01水果筐数!$D$5:$D$304,对接源_01水果筐数!$B$5:$B$304,$B110,对接源_01水果筐数!$C$5:$C$304,基础资料!$B$7))</f>
        <v/>
      </c>
      <c r="AE110" s="67" t="str">
        <f>IF(OR($B110="",基础资料!$B$8=""),"",-SUMIFS(对接源_01水果筐数!$D$5:$D$304,对接源_01水果筐数!$B$5:$B$304,$B110,对接源_01水果筐数!$C$5:$C$304,基础资料!$B$8))</f>
        <v/>
      </c>
      <c r="AF110" s="25" t="str">
        <f>IF(OR($B110="",基础资料!$B$4=""),"",SUMIFS(对接源_01水果筐数!$E$5:$E$304,对接源_01水果筐数!$B$5:$B$304,$B110,对接源_01水果筐数!$C$5:$C$304,基础资料!$B$4))</f>
        <v/>
      </c>
      <c r="AG110" s="25" t="str">
        <f>IF(OR($B110="",基础资料!$B$5=""),"",SUMIFS(对接源_01水果筐数!$E$5:$E$304,对接源_01水果筐数!$B$5:$B$304,$B110,对接源_01水果筐数!$C$5:$C$304,基础资料!$B$5))</f>
        <v/>
      </c>
      <c r="AH110" s="25" t="str">
        <f>IF(OR($B110="",基础资料!$B$6=""),"",SUMIFS(对接源_01水果筐数!$E$5:$E$304,对接源_01水果筐数!$B$5:$B$304,$B110,对接源_01水果筐数!$C$5:$C$304,基础资料!$B$6))</f>
        <v/>
      </c>
      <c r="AI110" s="25" t="str">
        <f>IF(OR($B110="",基础资料!$B$7=""),"",SUMIFS(对接源_01水果筐数!$E$5:$E$304,对接源_01水果筐数!$B$5:$B$304,$B110,对接源_01水果筐数!$C$5:$C$304,基础资料!$B$7))</f>
        <v/>
      </c>
      <c r="AJ110" s="25" t="str">
        <f>IF(OR($B110="",基础资料!$B$8=""),"",SUMIFS(对接源_01水果筐数!$E$5:$E$304,对接源_01水果筐数!$B$5:$B$304,$B110,对接源_01水果筐数!$C$5:$C$304,基础资料!$B$8))</f>
        <v/>
      </c>
      <c r="AK110" s="25" t="str">
        <f>IF(OR($B110="",基础资料!$B$4=""),"",SUMIFS(对接源_01水果筐数!$F$5:$F$304,对接源_01水果筐数!$B$5:$B$304,$B110,对接源_01水果筐数!$C$5:$C$304,基础资料!$B$4))</f>
        <v/>
      </c>
      <c r="AL110" s="25" t="str">
        <f>IF(OR($B110="",基础资料!$B$5=""),"",SUMIFS(对接源_01水果筐数!$F$5:$F$304,对接源_01水果筐数!$B$5:$B$304,$B110,对接源_01水果筐数!$C$5:$C$304,基础资料!$B$5))</f>
        <v/>
      </c>
      <c r="AM110" s="25" t="str">
        <f>IF(OR($B110="",基础资料!$B$6=""),"",SUMIFS(对接源_01水果筐数!$F$5:$F$304,对接源_01水果筐数!$B$5:$B$304,$B110,对接源_01水果筐数!$C$5:$C$304,基础资料!$B$6))</f>
        <v/>
      </c>
      <c r="AN110" s="25" t="str">
        <f>IF(OR($B110="",基础资料!$B$7=""),"",SUMIFS(对接源_01水果筐数!$F$5:$F$304,对接源_01水果筐数!$B$5:$B$304,$B110,对接源_01水果筐数!$C$5:$C$304,基础资料!$B$7))</f>
        <v/>
      </c>
      <c r="AO110" s="25" t="str">
        <f>IF(OR($B110="",基础资料!$B$8=""),"",SUMIFS(对接源_01水果筐数!$F$5:$F$304,对接源_01水果筐数!$B$5:$B$304,$B110,对接源_01水果筐数!$C$5:$C$304,基础资料!$B$8))</f>
        <v/>
      </c>
      <c r="AP110" s="25" t="str">
        <f t="shared" si="17"/>
        <v/>
      </c>
      <c r="AQ110" s="25" t="str">
        <f t="shared" si="18"/>
        <v/>
      </c>
      <c r="AR110" s="25" t="str">
        <f t="shared" si="19"/>
        <v/>
      </c>
      <c r="AS110" s="25" t="str">
        <f t="shared" si="20"/>
        <v/>
      </c>
      <c r="AT110" s="25" t="str">
        <f t="shared" si="21"/>
        <v/>
      </c>
      <c r="AU110" s="25" t="str">
        <f t="shared" si="22"/>
        <v/>
      </c>
      <c r="AV110" s="24" t="str">
        <f t="shared" si="23"/>
        <v/>
      </c>
      <c r="AW110" s="72"/>
    </row>
    <row r="111" spans="1:49">
      <c r="A111" s="22" t="str">
        <f t="shared" si="12"/>
        <v/>
      </c>
      <c r="B111" s="24" t="str">
        <f>IFERROR(INDEX(_自动清单!$CC$4:$CC$253,ROW()-3),"")</f>
        <v/>
      </c>
      <c r="C111" s="25" t="str">
        <f>IF(OR($B111="",基础资料!$B$4=""),"",SUMIFS(周转筐出入库明细!$J$4:$J$2004,周转筐出入库明细!$C$4:$C$2004,$B111,周转筐出入库明细!$D$4:$D$2004,基础资料!$B$4,周转筐出入库明细!$B$4:$B$2004,"&gt;="&amp;$BC$1,周转筐出入库明细!$B$4:$B$2004,"&lt;="&amp;$BC$2))</f>
        <v/>
      </c>
      <c r="D111" s="25" t="str">
        <f>IF(OR($B111="",基础资料!$B$5=""),"",SUMIFS(周转筐出入库明细!$J$4:$J$2004,周转筐出入库明细!$C$4:$C$2004,$B111,周转筐出入库明细!$D$4:$D$2004,基础资料!$B$5,周转筐出入库明细!$B$4:$B$2004,"&gt;="&amp;$BC$1,周转筐出入库明细!$B$4:$B$2004,"&lt;="&amp;$BC$2))</f>
        <v/>
      </c>
      <c r="E111" s="25" t="str">
        <f>IF(OR($B111="",基础资料!$B$6=""),"",SUMIFS(周转筐出入库明细!$J$4:$J$2004,周转筐出入库明细!$C$4:$C$2004,$B111,周转筐出入库明细!$D$4:$D$2004,基础资料!$B$6,周转筐出入库明细!$B$4:$B$2004,"&gt;="&amp;$BC$1,周转筐出入库明细!$B$4:$B$2004,"&lt;="&amp;$BC$2))</f>
        <v/>
      </c>
      <c r="F111" s="25" t="str">
        <f>IF(OR($B111="",基础资料!$B$7=""),"",SUMIFS(周转筐出入库明细!$J$4:$J$2004,周转筐出入库明细!$C$4:$C$2004,$B111,周转筐出入库明细!$D$4:$D$2004,基础资料!$B$7,周转筐出入库明细!$B$4:$B$2004,"&gt;="&amp;$BC$1,周转筐出入库明细!$B$4:$B$2004,"&lt;="&amp;$BC$2))</f>
        <v/>
      </c>
      <c r="G111" s="25" t="str">
        <f>IF(OR($B111="",基础资料!$B$8=""),"",SUMIFS(周转筐出入库明细!$J$4:$J$2004,周转筐出入库明细!$C$4:$C$2004,$B111,周转筐出入库明细!$D$4:$D$2004,基础资料!$B$8,周转筐出入库明细!$B$4:$B$2004,"&gt;="&amp;$BC$1,周转筐出入库明细!$B$4:$B$2004,"&lt;="&amp;$BC$2))</f>
        <v/>
      </c>
      <c r="H111" s="25" t="str">
        <f t="shared" si="13"/>
        <v/>
      </c>
      <c r="I111" s="67" t="str">
        <f>IF(OR($B111="",基础资料!$B$4=""),"",-SUMIFS(周转筐出入库明细!$I$4:$I$2004,周转筐出入库明细!$C$4:$C$2004,$B111,周转筐出入库明细!$D$4:$D$2004,基础资料!$B$4,周转筐出入库明细!$B$4:$B$2004,"&gt;="&amp;$BC$1,周转筐出入库明细!$B$4:$B$2004,"&lt;="&amp;$BC$2))</f>
        <v/>
      </c>
      <c r="J111" s="67" t="str">
        <f>IF(OR($B111="",基础资料!$B$5=""),"",-SUMIFS(周转筐出入库明细!$I$4:$I$2004,周转筐出入库明细!$C$4:$C$2004,$B111,周转筐出入库明细!$D$4:$D$2004,基础资料!$B$5,周转筐出入库明细!$B$4:$B$2004,"&gt;="&amp;$BC$1,周转筐出入库明细!$B$4:$B$2004,"&lt;="&amp;$BC$2))</f>
        <v/>
      </c>
      <c r="K111" s="67" t="str">
        <f>IF(OR($B111="",基础资料!$B$6=""),"",-SUMIFS(周转筐出入库明细!$I$4:$I$2004,周转筐出入库明细!$C$4:$C$2004,$B111,周转筐出入库明细!$D$4:$D$2004,基础资料!$B$6,周转筐出入库明细!$B$4:$B$2004,"&gt;="&amp;$BC$1,周转筐出入库明细!$B$4:$B$2004,"&lt;="&amp;$BC$2))</f>
        <v/>
      </c>
      <c r="L111" s="67" t="str">
        <f>IF(OR($B111="",基础资料!$B$7=""),"",-SUMIFS(周转筐出入库明细!$I$4:$I$2004,周转筐出入库明细!$C$4:$C$2004,$B111,周转筐出入库明细!$D$4:$D$2004,基础资料!$B$7,周转筐出入库明细!$B$4:$B$2004,"&gt;="&amp;$BC$1,周转筐出入库明细!$B$4:$B$2004,"&lt;="&amp;$BC$2))</f>
        <v/>
      </c>
      <c r="M111" s="67" t="str">
        <f>IF(OR($B111="",基础资料!$B$8=""),"",-SUMIFS(周转筐出入库明细!$I$4:$I$2004,周转筐出入库明细!$C$4:$C$2004,$B111,周转筐出入库明细!$D$4:$D$2004,基础资料!$B$8,周转筐出入库明细!$B$4:$B$2004,"&gt;="&amp;$BC$1,周转筐出入库明细!$B$4:$B$2004,"&lt;="&amp;$BC$2))</f>
        <v/>
      </c>
      <c r="N111" s="67" t="str">
        <f t="shared" si="14"/>
        <v/>
      </c>
      <c r="O111" s="25" t="str">
        <f>IF(OR($B111="",基础资料!$B$4=""),"",SUMIFS(周转筐出入库明细!$H$4:$H$2004,周转筐出入库明细!$C$4:$C$2004,$B111,周转筐出入库明细!$D$4:$D$2004,基础资料!$B$4,周转筐出入库明细!$F$4:$F$2004,"采购入库",周转筐出入库明细!$B$4:$B$2004,"&gt;="&amp;$BC$1,周转筐出入库明细!$B$4:$B$2004,"&lt;="&amp;$BC$2))</f>
        <v/>
      </c>
      <c r="P111" s="25" t="str">
        <f>IF(OR($B111="",基础资料!$B$5=""),"",SUMIFS(周转筐出入库明细!$H$4:$H$2004,周转筐出入库明细!$C$4:$C$2004,$B111,周转筐出入库明细!$D$4:$D$2004,基础资料!$B$5,周转筐出入库明细!$F$4:$F$2004,"采购入库",周转筐出入库明细!$B$4:$B$2004,"&gt;="&amp;$BC$1,周转筐出入库明细!$B$4:$B$2004,"&lt;="&amp;$BC$2))</f>
        <v/>
      </c>
      <c r="Q111" s="25" t="str">
        <f>IF(OR($B111="",基础资料!$B$6=""),"",SUMIFS(周转筐出入库明细!$H$4:$H$2004,周转筐出入库明细!$C$4:$C$2004,$B111,周转筐出入库明细!$D$4:$D$2004,基础资料!$B$6,周转筐出入库明细!$F$4:$F$2004,"采购入库",周转筐出入库明细!$B$4:$B$2004,"&gt;="&amp;$BC$1,周转筐出入库明细!$B$4:$B$2004,"&lt;="&amp;$BC$2))</f>
        <v/>
      </c>
      <c r="R111" s="25" t="str">
        <f>IF(OR($B111="",基础资料!$B$7=""),"",SUMIFS(周转筐出入库明细!$H$4:$H$2004,周转筐出入库明细!$C$4:$C$2004,$B111,周转筐出入库明细!$D$4:$D$2004,基础资料!$B$7,周转筐出入库明细!$F$4:$F$2004,"采购入库",周转筐出入库明细!$B$4:$B$2004,"&gt;="&amp;$BC$1,周转筐出入库明细!$B$4:$B$2004,"&lt;="&amp;$BC$2))</f>
        <v/>
      </c>
      <c r="S111" s="25" t="str">
        <f>IF(OR($B111="",基础资料!$B$8=""),"",SUMIFS(周转筐出入库明细!$H$4:$H$2004,周转筐出入库明细!$C$4:$C$2004,$B111,周转筐出入库明细!$D$4:$D$2004,基础资料!$B$8,周转筐出入库明细!$F$4:$F$2004,"采购入库",周转筐出入库明细!$B$4:$B$2004,"&gt;="&amp;$BC$1,周转筐出入库明细!$B$4:$B$2004,"&lt;="&amp;$BC$2))</f>
        <v/>
      </c>
      <c r="T111" s="25" t="str">
        <f t="shared" si="15"/>
        <v/>
      </c>
      <c r="U111" s="25" t="str">
        <f>IF(OR($B111="",基础资料!$B$4=""),"",SUMIFS(周转筐出入库明细!$K$4:$K$2004,周转筐出入库明细!$C$4:$C$2004,$B111,周转筐出入库明细!$D$4:$D$2004,基础资料!$B$4,周转筐出入库明细!$B$4:$B$2004,"&gt;="&amp;$BC$1,周转筐出入库明细!$B$4:$B$2004,"&lt;="&amp;$BC$2))</f>
        <v/>
      </c>
      <c r="V111" s="25" t="str">
        <f>IF(OR($B111="",基础资料!$B$5=""),"",SUMIFS(周转筐出入库明细!$K$4:$K$2004,周转筐出入库明细!$C$4:$C$2004,$B111,周转筐出入库明细!$D$4:$D$2004,基础资料!$B$5,周转筐出入库明细!$B$4:$B$2004,"&gt;="&amp;$BC$1,周转筐出入库明细!$B$4:$B$2004,"&lt;="&amp;$BC$2))</f>
        <v/>
      </c>
      <c r="W111" s="25" t="str">
        <f>IF(OR($B111="",基础资料!$B$6=""),"",SUMIFS(周转筐出入库明细!$K$4:$K$2004,周转筐出入库明细!$C$4:$C$2004,$B111,周转筐出入库明细!$D$4:$D$2004,基础资料!$B$6,周转筐出入库明细!$B$4:$B$2004,"&gt;="&amp;$BC$1,周转筐出入库明细!$B$4:$B$2004,"&lt;="&amp;$BC$2))</f>
        <v/>
      </c>
      <c r="X111" s="25" t="str">
        <f>IF(OR($B111="",基础资料!$B$7=""),"",SUMIFS(周转筐出入库明细!$K$4:$K$2004,周转筐出入库明细!$C$4:$C$2004,$B111,周转筐出入库明细!$D$4:$D$2004,基础资料!$B$7,周转筐出入库明细!$B$4:$B$2004,"&gt;="&amp;$BC$1,周转筐出入库明细!$B$4:$B$2004,"&lt;="&amp;$BC$2))</f>
        <v/>
      </c>
      <c r="Y111" s="25" t="str">
        <f>IF(OR($B111="",基础资料!$B$8=""),"",SUMIFS(周转筐出入库明细!$K$4:$K$2004,周转筐出入库明细!$C$4:$C$2004,$B111,周转筐出入库明细!$D$4:$D$2004,基础资料!$B$8,周转筐出入库明细!$B$4:$B$2004,"&gt;="&amp;$BC$1,周转筐出入库明细!$B$4:$B$2004,"&lt;="&amp;$BC$2))</f>
        <v/>
      </c>
      <c r="Z111" s="25" t="str">
        <f t="shared" si="16"/>
        <v/>
      </c>
      <c r="AA111" s="67" t="str">
        <f>IF(OR($B111="",基础资料!$B$4=""),"",-SUMIFS(对接源_01水果筐数!$D$5:$D$304,对接源_01水果筐数!$B$5:$B$304,$B111,对接源_01水果筐数!$C$5:$C$304,基础资料!$B$4))</f>
        <v/>
      </c>
      <c r="AB111" s="67" t="str">
        <f>IF(OR($B111="",基础资料!$B$5=""),"",-SUMIFS(对接源_01水果筐数!$D$5:$D$304,对接源_01水果筐数!$B$5:$B$304,$B111,对接源_01水果筐数!$C$5:$C$304,基础资料!$B$5))</f>
        <v/>
      </c>
      <c r="AC111" s="67" t="str">
        <f>IF(OR($B111="",基础资料!$B$6=""),"",-SUMIFS(对接源_01水果筐数!$D$5:$D$304,对接源_01水果筐数!$B$5:$B$304,$B111,对接源_01水果筐数!$C$5:$C$304,基础资料!$B$6))</f>
        <v/>
      </c>
      <c r="AD111" s="67" t="str">
        <f>IF(OR($B111="",基础资料!$B$7=""),"",-SUMIFS(对接源_01水果筐数!$D$5:$D$304,对接源_01水果筐数!$B$5:$B$304,$B111,对接源_01水果筐数!$C$5:$C$304,基础资料!$B$7))</f>
        <v/>
      </c>
      <c r="AE111" s="67" t="str">
        <f>IF(OR($B111="",基础资料!$B$8=""),"",-SUMIFS(对接源_01水果筐数!$D$5:$D$304,对接源_01水果筐数!$B$5:$B$304,$B111,对接源_01水果筐数!$C$5:$C$304,基础资料!$B$8))</f>
        <v/>
      </c>
      <c r="AF111" s="25" t="str">
        <f>IF(OR($B111="",基础资料!$B$4=""),"",SUMIFS(对接源_01水果筐数!$E$5:$E$304,对接源_01水果筐数!$B$5:$B$304,$B111,对接源_01水果筐数!$C$5:$C$304,基础资料!$B$4))</f>
        <v/>
      </c>
      <c r="AG111" s="25" t="str">
        <f>IF(OR($B111="",基础资料!$B$5=""),"",SUMIFS(对接源_01水果筐数!$E$5:$E$304,对接源_01水果筐数!$B$5:$B$304,$B111,对接源_01水果筐数!$C$5:$C$304,基础资料!$B$5))</f>
        <v/>
      </c>
      <c r="AH111" s="25" t="str">
        <f>IF(OR($B111="",基础资料!$B$6=""),"",SUMIFS(对接源_01水果筐数!$E$5:$E$304,对接源_01水果筐数!$B$5:$B$304,$B111,对接源_01水果筐数!$C$5:$C$304,基础资料!$B$6))</f>
        <v/>
      </c>
      <c r="AI111" s="25" t="str">
        <f>IF(OR($B111="",基础资料!$B$7=""),"",SUMIFS(对接源_01水果筐数!$E$5:$E$304,对接源_01水果筐数!$B$5:$B$304,$B111,对接源_01水果筐数!$C$5:$C$304,基础资料!$B$7))</f>
        <v/>
      </c>
      <c r="AJ111" s="25" t="str">
        <f>IF(OR($B111="",基础资料!$B$8=""),"",SUMIFS(对接源_01水果筐数!$E$5:$E$304,对接源_01水果筐数!$B$5:$B$304,$B111,对接源_01水果筐数!$C$5:$C$304,基础资料!$B$8))</f>
        <v/>
      </c>
      <c r="AK111" s="25" t="str">
        <f>IF(OR($B111="",基础资料!$B$4=""),"",SUMIFS(对接源_01水果筐数!$F$5:$F$304,对接源_01水果筐数!$B$5:$B$304,$B111,对接源_01水果筐数!$C$5:$C$304,基础资料!$B$4))</f>
        <v/>
      </c>
      <c r="AL111" s="25" t="str">
        <f>IF(OR($B111="",基础资料!$B$5=""),"",SUMIFS(对接源_01水果筐数!$F$5:$F$304,对接源_01水果筐数!$B$5:$B$304,$B111,对接源_01水果筐数!$C$5:$C$304,基础资料!$B$5))</f>
        <v/>
      </c>
      <c r="AM111" s="25" t="str">
        <f>IF(OR($B111="",基础资料!$B$6=""),"",SUMIFS(对接源_01水果筐数!$F$5:$F$304,对接源_01水果筐数!$B$5:$B$304,$B111,对接源_01水果筐数!$C$5:$C$304,基础资料!$B$6))</f>
        <v/>
      </c>
      <c r="AN111" s="25" t="str">
        <f>IF(OR($B111="",基础资料!$B$7=""),"",SUMIFS(对接源_01水果筐数!$F$5:$F$304,对接源_01水果筐数!$B$5:$B$304,$B111,对接源_01水果筐数!$C$5:$C$304,基础资料!$B$7))</f>
        <v/>
      </c>
      <c r="AO111" s="25" t="str">
        <f>IF(OR($B111="",基础资料!$B$8=""),"",SUMIFS(对接源_01水果筐数!$F$5:$F$304,对接源_01水果筐数!$B$5:$B$304,$B111,对接源_01水果筐数!$C$5:$C$304,基础资料!$B$8))</f>
        <v/>
      </c>
      <c r="AP111" s="25" t="str">
        <f t="shared" si="17"/>
        <v/>
      </c>
      <c r="AQ111" s="25" t="str">
        <f t="shared" si="18"/>
        <v/>
      </c>
      <c r="AR111" s="25" t="str">
        <f t="shared" si="19"/>
        <v/>
      </c>
      <c r="AS111" s="25" t="str">
        <f t="shared" si="20"/>
        <v/>
      </c>
      <c r="AT111" s="25" t="str">
        <f t="shared" si="21"/>
        <v/>
      </c>
      <c r="AU111" s="25" t="str">
        <f t="shared" si="22"/>
        <v/>
      </c>
      <c r="AV111" s="24" t="str">
        <f t="shared" si="23"/>
        <v/>
      </c>
      <c r="AW111" s="72"/>
    </row>
    <row r="112" spans="1:49">
      <c r="A112" s="22" t="str">
        <f t="shared" si="12"/>
        <v/>
      </c>
      <c r="B112" s="24" t="str">
        <f>IFERROR(INDEX(_自动清单!$CC$4:$CC$253,ROW()-3),"")</f>
        <v/>
      </c>
      <c r="C112" s="25" t="str">
        <f>IF(OR($B112="",基础资料!$B$4=""),"",SUMIFS(周转筐出入库明细!$J$4:$J$2004,周转筐出入库明细!$C$4:$C$2004,$B112,周转筐出入库明细!$D$4:$D$2004,基础资料!$B$4,周转筐出入库明细!$B$4:$B$2004,"&gt;="&amp;$BC$1,周转筐出入库明细!$B$4:$B$2004,"&lt;="&amp;$BC$2))</f>
        <v/>
      </c>
      <c r="D112" s="25" t="str">
        <f>IF(OR($B112="",基础资料!$B$5=""),"",SUMIFS(周转筐出入库明细!$J$4:$J$2004,周转筐出入库明细!$C$4:$C$2004,$B112,周转筐出入库明细!$D$4:$D$2004,基础资料!$B$5,周转筐出入库明细!$B$4:$B$2004,"&gt;="&amp;$BC$1,周转筐出入库明细!$B$4:$B$2004,"&lt;="&amp;$BC$2))</f>
        <v/>
      </c>
      <c r="E112" s="25" t="str">
        <f>IF(OR($B112="",基础资料!$B$6=""),"",SUMIFS(周转筐出入库明细!$J$4:$J$2004,周转筐出入库明细!$C$4:$C$2004,$B112,周转筐出入库明细!$D$4:$D$2004,基础资料!$B$6,周转筐出入库明细!$B$4:$B$2004,"&gt;="&amp;$BC$1,周转筐出入库明细!$B$4:$B$2004,"&lt;="&amp;$BC$2))</f>
        <v/>
      </c>
      <c r="F112" s="25" t="str">
        <f>IF(OR($B112="",基础资料!$B$7=""),"",SUMIFS(周转筐出入库明细!$J$4:$J$2004,周转筐出入库明细!$C$4:$C$2004,$B112,周转筐出入库明细!$D$4:$D$2004,基础资料!$B$7,周转筐出入库明细!$B$4:$B$2004,"&gt;="&amp;$BC$1,周转筐出入库明细!$B$4:$B$2004,"&lt;="&amp;$BC$2))</f>
        <v/>
      </c>
      <c r="G112" s="25" t="str">
        <f>IF(OR($B112="",基础资料!$B$8=""),"",SUMIFS(周转筐出入库明细!$J$4:$J$2004,周转筐出入库明细!$C$4:$C$2004,$B112,周转筐出入库明细!$D$4:$D$2004,基础资料!$B$8,周转筐出入库明细!$B$4:$B$2004,"&gt;="&amp;$BC$1,周转筐出入库明细!$B$4:$B$2004,"&lt;="&amp;$BC$2))</f>
        <v/>
      </c>
      <c r="H112" s="25" t="str">
        <f t="shared" si="13"/>
        <v/>
      </c>
      <c r="I112" s="67" t="str">
        <f>IF(OR($B112="",基础资料!$B$4=""),"",-SUMIFS(周转筐出入库明细!$I$4:$I$2004,周转筐出入库明细!$C$4:$C$2004,$B112,周转筐出入库明细!$D$4:$D$2004,基础资料!$B$4,周转筐出入库明细!$B$4:$B$2004,"&gt;="&amp;$BC$1,周转筐出入库明细!$B$4:$B$2004,"&lt;="&amp;$BC$2))</f>
        <v/>
      </c>
      <c r="J112" s="67" t="str">
        <f>IF(OR($B112="",基础资料!$B$5=""),"",-SUMIFS(周转筐出入库明细!$I$4:$I$2004,周转筐出入库明细!$C$4:$C$2004,$B112,周转筐出入库明细!$D$4:$D$2004,基础资料!$B$5,周转筐出入库明细!$B$4:$B$2004,"&gt;="&amp;$BC$1,周转筐出入库明细!$B$4:$B$2004,"&lt;="&amp;$BC$2))</f>
        <v/>
      </c>
      <c r="K112" s="67" t="str">
        <f>IF(OR($B112="",基础资料!$B$6=""),"",-SUMIFS(周转筐出入库明细!$I$4:$I$2004,周转筐出入库明细!$C$4:$C$2004,$B112,周转筐出入库明细!$D$4:$D$2004,基础资料!$B$6,周转筐出入库明细!$B$4:$B$2004,"&gt;="&amp;$BC$1,周转筐出入库明细!$B$4:$B$2004,"&lt;="&amp;$BC$2))</f>
        <v/>
      </c>
      <c r="L112" s="67" t="str">
        <f>IF(OR($B112="",基础资料!$B$7=""),"",-SUMIFS(周转筐出入库明细!$I$4:$I$2004,周转筐出入库明细!$C$4:$C$2004,$B112,周转筐出入库明细!$D$4:$D$2004,基础资料!$B$7,周转筐出入库明细!$B$4:$B$2004,"&gt;="&amp;$BC$1,周转筐出入库明细!$B$4:$B$2004,"&lt;="&amp;$BC$2))</f>
        <v/>
      </c>
      <c r="M112" s="67" t="str">
        <f>IF(OR($B112="",基础资料!$B$8=""),"",-SUMIFS(周转筐出入库明细!$I$4:$I$2004,周转筐出入库明细!$C$4:$C$2004,$B112,周转筐出入库明细!$D$4:$D$2004,基础资料!$B$8,周转筐出入库明细!$B$4:$B$2004,"&gt;="&amp;$BC$1,周转筐出入库明细!$B$4:$B$2004,"&lt;="&amp;$BC$2))</f>
        <v/>
      </c>
      <c r="N112" s="67" t="str">
        <f t="shared" si="14"/>
        <v/>
      </c>
      <c r="O112" s="25" t="str">
        <f>IF(OR($B112="",基础资料!$B$4=""),"",SUMIFS(周转筐出入库明细!$H$4:$H$2004,周转筐出入库明细!$C$4:$C$2004,$B112,周转筐出入库明细!$D$4:$D$2004,基础资料!$B$4,周转筐出入库明细!$F$4:$F$2004,"采购入库",周转筐出入库明细!$B$4:$B$2004,"&gt;="&amp;$BC$1,周转筐出入库明细!$B$4:$B$2004,"&lt;="&amp;$BC$2))</f>
        <v/>
      </c>
      <c r="P112" s="25" t="str">
        <f>IF(OR($B112="",基础资料!$B$5=""),"",SUMIFS(周转筐出入库明细!$H$4:$H$2004,周转筐出入库明细!$C$4:$C$2004,$B112,周转筐出入库明细!$D$4:$D$2004,基础资料!$B$5,周转筐出入库明细!$F$4:$F$2004,"采购入库",周转筐出入库明细!$B$4:$B$2004,"&gt;="&amp;$BC$1,周转筐出入库明细!$B$4:$B$2004,"&lt;="&amp;$BC$2))</f>
        <v/>
      </c>
      <c r="Q112" s="25" t="str">
        <f>IF(OR($B112="",基础资料!$B$6=""),"",SUMIFS(周转筐出入库明细!$H$4:$H$2004,周转筐出入库明细!$C$4:$C$2004,$B112,周转筐出入库明细!$D$4:$D$2004,基础资料!$B$6,周转筐出入库明细!$F$4:$F$2004,"采购入库",周转筐出入库明细!$B$4:$B$2004,"&gt;="&amp;$BC$1,周转筐出入库明细!$B$4:$B$2004,"&lt;="&amp;$BC$2))</f>
        <v/>
      </c>
      <c r="R112" s="25" t="str">
        <f>IF(OR($B112="",基础资料!$B$7=""),"",SUMIFS(周转筐出入库明细!$H$4:$H$2004,周转筐出入库明细!$C$4:$C$2004,$B112,周转筐出入库明细!$D$4:$D$2004,基础资料!$B$7,周转筐出入库明细!$F$4:$F$2004,"采购入库",周转筐出入库明细!$B$4:$B$2004,"&gt;="&amp;$BC$1,周转筐出入库明细!$B$4:$B$2004,"&lt;="&amp;$BC$2))</f>
        <v/>
      </c>
      <c r="S112" s="25" t="str">
        <f>IF(OR($B112="",基础资料!$B$8=""),"",SUMIFS(周转筐出入库明细!$H$4:$H$2004,周转筐出入库明细!$C$4:$C$2004,$B112,周转筐出入库明细!$D$4:$D$2004,基础资料!$B$8,周转筐出入库明细!$F$4:$F$2004,"采购入库",周转筐出入库明细!$B$4:$B$2004,"&gt;="&amp;$BC$1,周转筐出入库明细!$B$4:$B$2004,"&lt;="&amp;$BC$2))</f>
        <v/>
      </c>
      <c r="T112" s="25" t="str">
        <f t="shared" si="15"/>
        <v/>
      </c>
      <c r="U112" s="25" t="str">
        <f>IF(OR($B112="",基础资料!$B$4=""),"",SUMIFS(周转筐出入库明细!$K$4:$K$2004,周转筐出入库明细!$C$4:$C$2004,$B112,周转筐出入库明细!$D$4:$D$2004,基础资料!$B$4,周转筐出入库明细!$B$4:$B$2004,"&gt;="&amp;$BC$1,周转筐出入库明细!$B$4:$B$2004,"&lt;="&amp;$BC$2))</f>
        <v/>
      </c>
      <c r="V112" s="25" t="str">
        <f>IF(OR($B112="",基础资料!$B$5=""),"",SUMIFS(周转筐出入库明细!$K$4:$K$2004,周转筐出入库明细!$C$4:$C$2004,$B112,周转筐出入库明细!$D$4:$D$2004,基础资料!$B$5,周转筐出入库明细!$B$4:$B$2004,"&gt;="&amp;$BC$1,周转筐出入库明细!$B$4:$B$2004,"&lt;="&amp;$BC$2))</f>
        <v/>
      </c>
      <c r="W112" s="25" t="str">
        <f>IF(OR($B112="",基础资料!$B$6=""),"",SUMIFS(周转筐出入库明细!$K$4:$K$2004,周转筐出入库明细!$C$4:$C$2004,$B112,周转筐出入库明细!$D$4:$D$2004,基础资料!$B$6,周转筐出入库明细!$B$4:$B$2004,"&gt;="&amp;$BC$1,周转筐出入库明细!$B$4:$B$2004,"&lt;="&amp;$BC$2))</f>
        <v/>
      </c>
      <c r="X112" s="25" t="str">
        <f>IF(OR($B112="",基础资料!$B$7=""),"",SUMIFS(周转筐出入库明细!$K$4:$K$2004,周转筐出入库明细!$C$4:$C$2004,$B112,周转筐出入库明细!$D$4:$D$2004,基础资料!$B$7,周转筐出入库明细!$B$4:$B$2004,"&gt;="&amp;$BC$1,周转筐出入库明细!$B$4:$B$2004,"&lt;="&amp;$BC$2))</f>
        <v/>
      </c>
      <c r="Y112" s="25" t="str">
        <f>IF(OR($B112="",基础资料!$B$8=""),"",SUMIFS(周转筐出入库明细!$K$4:$K$2004,周转筐出入库明细!$C$4:$C$2004,$B112,周转筐出入库明细!$D$4:$D$2004,基础资料!$B$8,周转筐出入库明细!$B$4:$B$2004,"&gt;="&amp;$BC$1,周转筐出入库明细!$B$4:$B$2004,"&lt;="&amp;$BC$2))</f>
        <v/>
      </c>
      <c r="Z112" s="25" t="str">
        <f t="shared" si="16"/>
        <v/>
      </c>
      <c r="AA112" s="67" t="str">
        <f>IF(OR($B112="",基础资料!$B$4=""),"",-SUMIFS(对接源_01水果筐数!$D$5:$D$304,对接源_01水果筐数!$B$5:$B$304,$B112,对接源_01水果筐数!$C$5:$C$304,基础资料!$B$4))</f>
        <v/>
      </c>
      <c r="AB112" s="67" t="str">
        <f>IF(OR($B112="",基础资料!$B$5=""),"",-SUMIFS(对接源_01水果筐数!$D$5:$D$304,对接源_01水果筐数!$B$5:$B$304,$B112,对接源_01水果筐数!$C$5:$C$304,基础资料!$B$5))</f>
        <v/>
      </c>
      <c r="AC112" s="67" t="str">
        <f>IF(OR($B112="",基础资料!$B$6=""),"",-SUMIFS(对接源_01水果筐数!$D$5:$D$304,对接源_01水果筐数!$B$5:$B$304,$B112,对接源_01水果筐数!$C$5:$C$304,基础资料!$B$6))</f>
        <v/>
      </c>
      <c r="AD112" s="67" t="str">
        <f>IF(OR($B112="",基础资料!$B$7=""),"",-SUMIFS(对接源_01水果筐数!$D$5:$D$304,对接源_01水果筐数!$B$5:$B$304,$B112,对接源_01水果筐数!$C$5:$C$304,基础资料!$B$7))</f>
        <v/>
      </c>
      <c r="AE112" s="67" t="str">
        <f>IF(OR($B112="",基础资料!$B$8=""),"",-SUMIFS(对接源_01水果筐数!$D$5:$D$304,对接源_01水果筐数!$B$5:$B$304,$B112,对接源_01水果筐数!$C$5:$C$304,基础资料!$B$8))</f>
        <v/>
      </c>
      <c r="AF112" s="25" t="str">
        <f>IF(OR($B112="",基础资料!$B$4=""),"",SUMIFS(对接源_01水果筐数!$E$5:$E$304,对接源_01水果筐数!$B$5:$B$304,$B112,对接源_01水果筐数!$C$5:$C$304,基础资料!$B$4))</f>
        <v/>
      </c>
      <c r="AG112" s="25" t="str">
        <f>IF(OR($B112="",基础资料!$B$5=""),"",SUMIFS(对接源_01水果筐数!$E$5:$E$304,对接源_01水果筐数!$B$5:$B$304,$B112,对接源_01水果筐数!$C$5:$C$304,基础资料!$B$5))</f>
        <v/>
      </c>
      <c r="AH112" s="25" t="str">
        <f>IF(OR($B112="",基础资料!$B$6=""),"",SUMIFS(对接源_01水果筐数!$E$5:$E$304,对接源_01水果筐数!$B$5:$B$304,$B112,对接源_01水果筐数!$C$5:$C$304,基础资料!$B$6))</f>
        <v/>
      </c>
      <c r="AI112" s="25" t="str">
        <f>IF(OR($B112="",基础资料!$B$7=""),"",SUMIFS(对接源_01水果筐数!$E$5:$E$304,对接源_01水果筐数!$B$5:$B$304,$B112,对接源_01水果筐数!$C$5:$C$304,基础资料!$B$7))</f>
        <v/>
      </c>
      <c r="AJ112" s="25" t="str">
        <f>IF(OR($B112="",基础资料!$B$8=""),"",SUMIFS(对接源_01水果筐数!$E$5:$E$304,对接源_01水果筐数!$B$5:$B$304,$B112,对接源_01水果筐数!$C$5:$C$304,基础资料!$B$8))</f>
        <v/>
      </c>
      <c r="AK112" s="25" t="str">
        <f>IF(OR($B112="",基础资料!$B$4=""),"",SUMIFS(对接源_01水果筐数!$F$5:$F$304,对接源_01水果筐数!$B$5:$B$304,$B112,对接源_01水果筐数!$C$5:$C$304,基础资料!$B$4))</f>
        <v/>
      </c>
      <c r="AL112" s="25" t="str">
        <f>IF(OR($B112="",基础资料!$B$5=""),"",SUMIFS(对接源_01水果筐数!$F$5:$F$304,对接源_01水果筐数!$B$5:$B$304,$B112,对接源_01水果筐数!$C$5:$C$304,基础资料!$B$5))</f>
        <v/>
      </c>
      <c r="AM112" s="25" t="str">
        <f>IF(OR($B112="",基础资料!$B$6=""),"",SUMIFS(对接源_01水果筐数!$F$5:$F$304,对接源_01水果筐数!$B$5:$B$304,$B112,对接源_01水果筐数!$C$5:$C$304,基础资料!$B$6))</f>
        <v/>
      </c>
      <c r="AN112" s="25" t="str">
        <f>IF(OR($B112="",基础资料!$B$7=""),"",SUMIFS(对接源_01水果筐数!$F$5:$F$304,对接源_01水果筐数!$B$5:$B$304,$B112,对接源_01水果筐数!$C$5:$C$304,基础资料!$B$7))</f>
        <v/>
      </c>
      <c r="AO112" s="25" t="str">
        <f>IF(OR($B112="",基础资料!$B$8=""),"",SUMIFS(对接源_01水果筐数!$F$5:$F$304,对接源_01水果筐数!$B$5:$B$304,$B112,对接源_01水果筐数!$C$5:$C$304,基础资料!$B$8))</f>
        <v/>
      </c>
      <c r="AP112" s="25" t="str">
        <f t="shared" si="17"/>
        <v/>
      </c>
      <c r="AQ112" s="25" t="str">
        <f t="shared" si="18"/>
        <v/>
      </c>
      <c r="AR112" s="25" t="str">
        <f t="shared" si="19"/>
        <v/>
      </c>
      <c r="AS112" s="25" t="str">
        <f t="shared" si="20"/>
        <v/>
      </c>
      <c r="AT112" s="25" t="str">
        <f t="shared" si="21"/>
        <v/>
      </c>
      <c r="AU112" s="25" t="str">
        <f t="shared" si="22"/>
        <v/>
      </c>
      <c r="AV112" s="24" t="str">
        <f t="shared" si="23"/>
        <v/>
      </c>
      <c r="AW112" s="72"/>
    </row>
    <row r="113" spans="1:49">
      <c r="A113" s="22" t="str">
        <f t="shared" si="12"/>
        <v/>
      </c>
      <c r="B113" s="24" t="str">
        <f>IFERROR(INDEX(_自动清单!$CC$4:$CC$253,ROW()-3),"")</f>
        <v/>
      </c>
      <c r="C113" s="25" t="str">
        <f>IF(OR($B113="",基础资料!$B$4=""),"",SUMIFS(周转筐出入库明细!$J$4:$J$2004,周转筐出入库明细!$C$4:$C$2004,$B113,周转筐出入库明细!$D$4:$D$2004,基础资料!$B$4,周转筐出入库明细!$B$4:$B$2004,"&gt;="&amp;$BC$1,周转筐出入库明细!$B$4:$B$2004,"&lt;="&amp;$BC$2))</f>
        <v/>
      </c>
      <c r="D113" s="25" t="str">
        <f>IF(OR($B113="",基础资料!$B$5=""),"",SUMIFS(周转筐出入库明细!$J$4:$J$2004,周转筐出入库明细!$C$4:$C$2004,$B113,周转筐出入库明细!$D$4:$D$2004,基础资料!$B$5,周转筐出入库明细!$B$4:$B$2004,"&gt;="&amp;$BC$1,周转筐出入库明细!$B$4:$B$2004,"&lt;="&amp;$BC$2))</f>
        <v/>
      </c>
      <c r="E113" s="25" t="str">
        <f>IF(OR($B113="",基础资料!$B$6=""),"",SUMIFS(周转筐出入库明细!$J$4:$J$2004,周转筐出入库明细!$C$4:$C$2004,$B113,周转筐出入库明细!$D$4:$D$2004,基础资料!$B$6,周转筐出入库明细!$B$4:$B$2004,"&gt;="&amp;$BC$1,周转筐出入库明细!$B$4:$B$2004,"&lt;="&amp;$BC$2))</f>
        <v/>
      </c>
      <c r="F113" s="25" t="str">
        <f>IF(OR($B113="",基础资料!$B$7=""),"",SUMIFS(周转筐出入库明细!$J$4:$J$2004,周转筐出入库明细!$C$4:$C$2004,$B113,周转筐出入库明细!$D$4:$D$2004,基础资料!$B$7,周转筐出入库明细!$B$4:$B$2004,"&gt;="&amp;$BC$1,周转筐出入库明细!$B$4:$B$2004,"&lt;="&amp;$BC$2))</f>
        <v/>
      </c>
      <c r="G113" s="25" t="str">
        <f>IF(OR($B113="",基础资料!$B$8=""),"",SUMIFS(周转筐出入库明细!$J$4:$J$2004,周转筐出入库明细!$C$4:$C$2004,$B113,周转筐出入库明细!$D$4:$D$2004,基础资料!$B$8,周转筐出入库明细!$B$4:$B$2004,"&gt;="&amp;$BC$1,周转筐出入库明细!$B$4:$B$2004,"&lt;="&amp;$BC$2))</f>
        <v/>
      </c>
      <c r="H113" s="25" t="str">
        <f t="shared" si="13"/>
        <v/>
      </c>
      <c r="I113" s="67" t="str">
        <f>IF(OR($B113="",基础资料!$B$4=""),"",-SUMIFS(周转筐出入库明细!$I$4:$I$2004,周转筐出入库明细!$C$4:$C$2004,$B113,周转筐出入库明细!$D$4:$D$2004,基础资料!$B$4,周转筐出入库明细!$B$4:$B$2004,"&gt;="&amp;$BC$1,周转筐出入库明细!$B$4:$B$2004,"&lt;="&amp;$BC$2))</f>
        <v/>
      </c>
      <c r="J113" s="67" t="str">
        <f>IF(OR($B113="",基础资料!$B$5=""),"",-SUMIFS(周转筐出入库明细!$I$4:$I$2004,周转筐出入库明细!$C$4:$C$2004,$B113,周转筐出入库明细!$D$4:$D$2004,基础资料!$B$5,周转筐出入库明细!$B$4:$B$2004,"&gt;="&amp;$BC$1,周转筐出入库明细!$B$4:$B$2004,"&lt;="&amp;$BC$2))</f>
        <v/>
      </c>
      <c r="K113" s="67" t="str">
        <f>IF(OR($B113="",基础资料!$B$6=""),"",-SUMIFS(周转筐出入库明细!$I$4:$I$2004,周转筐出入库明细!$C$4:$C$2004,$B113,周转筐出入库明细!$D$4:$D$2004,基础资料!$B$6,周转筐出入库明细!$B$4:$B$2004,"&gt;="&amp;$BC$1,周转筐出入库明细!$B$4:$B$2004,"&lt;="&amp;$BC$2))</f>
        <v/>
      </c>
      <c r="L113" s="67" t="str">
        <f>IF(OR($B113="",基础资料!$B$7=""),"",-SUMIFS(周转筐出入库明细!$I$4:$I$2004,周转筐出入库明细!$C$4:$C$2004,$B113,周转筐出入库明细!$D$4:$D$2004,基础资料!$B$7,周转筐出入库明细!$B$4:$B$2004,"&gt;="&amp;$BC$1,周转筐出入库明细!$B$4:$B$2004,"&lt;="&amp;$BC$2))</f>
        <v/>
      </c>
      <c r="M113" s="67" t="str">
        <f>IF(OR($B113="",基础资料!$B$8=""),"",-SUMIFS(周转筐出入库明细!$I$4:$I$2004,周转筐出入库明细!$C$4:$C$2004,$B113,周转筐出入库明细!$D$4:$D$2004,基础资料!$B$8,周转筐出入库明细!$B$4:$B$2004,"&gt;="&amp;$BC$1,周转筐出入库明细!$B$4:$B$2004,"&lt;="&amp;$BC$2))</f>
        <v/>
      </c>
      <c r="N113" s="67" t="str">
        <f t="shared" si="14"/>
        <v/>
      </c>
      <c r="O113" s="25" t="str">
        <f>IF(OR($B113="",基础资料!$B$4=""),"",SUMIFS(周转筐出入库明细!$H$4:$H$2004,周转筐出入库明细!$C$4:$C$2004,$B113,周转筐出入库明细!$D$4:$D$2004,基础资料!$B$4,周转筐出入库明细!$F$4:$F$2004,"采购入库",周转筐出入库明细!$B$4:$B$2004,"&gt;="&amp;$BC$1,周转筐出入库明细!$B$4:$B$2004,"&lt;="&amp;$BC$2))</f>
        <v/>
      </c>
      <c r="P113" s="25" t="str">
        <f>IF(OR($B113="",基础资料!$B$5=""),"",SUMIFS(周转筐出入库明细!$H$4:$H$2004,周转筐出入库明细!$C$4:$C$2004,$B113,周转筐出入库明细!$D$4:$D$2004,基础资料!$B$5,周转筐出入库明细!$F$4:$F$2004,"采购入库",周转筐出入库明细!$B$4:$B$2004,"&gt;="&amp;$BC$1,周转筐出入库明细!$B$4:$B$2004,"&lt;="&amp;$BC$2))</f>
        <v/>
      </c>
      <c r="Q113" s="25" t="str">
        <f>IF(OR($B113="",基础资料!$B$6=""),"",SUMIFS(周转筐出入库明细!$H$4:$H$2004,周转筐出入库明细!$C$4:$C$2004,$B113,周转筐出入库明细!$D$4:$D$2004,基础资料!$B$6,周转筐出入库明细!$F$4:$F$2004,"采购入库",周转筐出入库明细!$B$4:$B$2004,"&gt;="&amp;$BC$1,周转筐出入库明细!$B$4:$B$2004,"&lt;="&amp;$BC$2))</f>
        <v/>
      </c>
      <c r="R113" s="25" t="str">
        <f>IF(OR($B113="",基础资料!$B$7=""),"",SUMIFS(周转筐出入库明细!$H$4:$H$2004,周转筐出入库明细!$C$4:$C$2004,$B113,周转筐出入库明细!$D$4:$D$2004,基础资料!$B$7,周转筐出入库明细!$F$4:$F$2004,"采购入库",周转筐出入库明细!$B$4:$B$2004,"&gt;="&amp;$BC$1,周转筐出入库明细!$B$4:$B$2004,"&lt;="&amp;$BC$2))</f>
        <v/>
      </c>
      <c r="S113" s="25" t="str">
        <f>IF(OR($B113="",基础资料!$B$8=""),"",SUMIFS(周转筐出入库明细!$H$4:$H$2004,周转筐出入库明细!$C$4:$C$2004,$B113,周转筐出入库明细!$D$4:$D$2004,基础资料!$B$8,周转筐出入库明细!$F$4:$F$2004,"采购入库",周转筐出入库明细!$B$4:$B$2004,"&gt;="&amp;$BC$1,周转筐出入库明细!$B$4:$B$2004,"&lt;="&amp;$BC$2))</f>
        <v/>
      </c>
      <c r="T113" s="25" t="str">
        <f t="shared" si="15"/>
        <v/>
      </c>
      <c r="U113" s="25" t="str">
        <f>IF(OR($B113="",基础资料!$B$4=""),"",SUMIFS(周转筐出入库明细!$K$4:$K$2004,周转筐出入库明细!$C$4:$C$2004,$B113,周转筐出入库明细!$D$4:$D$2004,基础资料!$B$4,周转筐出入库明细!$B$4:$B$2004,"&gt;="&amp;$BC$1,周转筐出入库明细!$B$4:$B$2004,"&lt;="&amp;$BC$2))</f>
        <v/>
      </c>
      <c r="V113" s="25" t="str">
        <f>IF(OR($B113="",基础资料!$B$5=""),"",SUMIFS(周转筐出入库明细!$K$4:$K$2004,周转筐出入库明细!$C$4:$C$2004,$B113,周转筐出入库明细!$D$4:$D$2004,基础资料!$B$5,周转筐出入库明细!$B$4:$B$2004,"&gt;="&amp;$BC$1,周转筐出入库明细!$B$4:$B$2004,"&lt;="&amp;$BC$2))</f>
        <v/>
      </c>
      <c r="W113" s="25" t="str">
        <f>IF(OR($B113="",基础资料!$B$6=""),"",SUMIFS(周转筐出入库明细!$K$4:$K$2004,周转筐出入库明细!$C$4:$C$2004,$B113,周转筐出入库明细!$D$4:$D$2004,基础资料!$B$6,周转筐出入库明细!$B$4:$B$2004,"&gt;="&amp;$BC$1,周转筐出入库明细!$B$4:$B$2004,"&lt;="&amp;$BC$2))</f>
        <v/>
      </c>
      <c r="X113" s="25" t="str">
        <f>IF(OR($B113="",基础资料!$B$7=""),"",SUMIFS(周转筐出入库明细!$K$4:$K$2004,周转筐出入库明细!$C$4:$C$2004,$B113,周转筐出入库明细!$D$4:$D$2004,基础资料!$B$7,周转筐出入库明细!$B$4:$B$2004,"&gt;="&amp;$BC$1,周转筐出入库明细!$B$4:$B$2004,"&lt;="&amp;$BC$2))</f>
        <v/>
      </c>
      <c r="Y113" s="25" t="str">
        <f>IF(OR($B113="",基础资料!$B$8=""),"",SUMIFS(周转筐出入库明细!$K$4:$K$2004,周转筐出入库明细!$C$4:$C$2004,$B113,周转筐出入库明细!$D$4:$D$2004,基础资料!$B$8,周转筐出入库明细!$B$4:$B$2004,"&gt;="&amp;$BC$1,周转筐出入库明细!$B$4:$B$2004,"&lt;="&amp;$BC$2))</f>
        <v/>
      </c>
      <c r="Z113" s="25" t="str">
        <f t="shared" si="16"/>
        <v/>
      </c>
      <c r="AA113" s="67" t="str">
        <f>IF(OR($B113="",基础资料!$B$4=""),"",-SUMIFS(对接源_01水果筐数!$D$5:$D$304,对接源_01水果筐数!$B$5:$B$304,$B113,对接源_01水果筐数!$C$5:$C$304,基础资料!$B$4))</f>
        <v/>
      </c>
      <c r="AB113" s="67" t="str">
        <f>IF(OR($B113="",基础资料!$B$5=""),"",-SUMIFS(对接源_01水果筐数!$D$5:$D$304,对接源_01水果筐数!$B$5:$B$304,$B113,对接源_01水果筐数!$C$5:$C$304,基础资料!$B$5))</f>
        <v/>
      </c>
      <c r="AC113" s="67" t="str">
        <f>IF(OR($B113="",基础资料!$B$6=""),"",-SUMIFS(对接源_01水果筐数!$D$5:$D$304,对接源_01水果筐数!$B$5:$B$304,$B113,对接源_01水果筐数!$C$5:$C$304,基础资料!$B$6))</f>
        <v/>
      </c>
      <c r="AD113" s="67" t="str">
        <f>IF(OR($B113="",基础资料!$B$7=""),"",-SUMIFS(对接源_01水果筐数!$D$5:$D$304,对接源_01水果筐数!$B$5:$B$304,$B113,对接源_01水果筐数!$C$5:$C$304,基础资料!$B$7))</f>
        <v/>
      </c>
      <c r="AE113" s="67" t="str">
        <f>IF(OR($B113="",基础资料!$B$8=""),"",-SUMIFS(对接源_01水果筐数!$D$5:$D$304,对接源_01水果筐数!$B$5:$B$304,$B113,对接源_01水果筐数!$C$5:$C$304,基础资料!$B$8))</f>
        <v/>
      </c>
      <c r="AF113" s="25" t="str">
        <f>IF(OR($B113="",基础资料!$B$4=""),"",SUMIFS(对接源_01水果筐数!$E$5:$E$304,对接源_01水果筐数!$B$5:$B$304,$B113,对接源_01水果筐数!$C$5:$C$304,基础资料!$B$4))</f>
        <v/>
      </c>
      <c r="AG113" s="25" t="str">
        <f>IF(OR($B113="",基础资料!$B$5=""),"",SUMIFS(对接源_01水果筐数!$E$5:$E$304,对接源_01水果筐数!$B$5:$B$304,$B113,对接源_01水果筐数!$C$5:$C$304,基础资料!$B$5))</f>
        <v/>
      </c>
      <c r="AH113" s="25" t="str">
        <f>IF(OR($B113="",基础资料!$B$6=""),"",SUMIFS(对接源_01水果筐数!$E$5:$E$304,对接源_01水果筐数!$B$5:$B$304,$B113,对接源_01水果筐数!$C$5:$C$304,基础资料!$B$6))</f>
        <v/>
      </c>
      <c r="AI113" s="25" t="str">
        <f>IF(OR($B113="",基础资料!$B$7=""),"",SUMIFS(对接源_01水果筐数!$E$5:$E$304,对接源_01水果筐数!$B$5:$B$304,$B113,对接源_01水果筐数!$C$5:$C$304,基础资料!$B$7))</f>
        <v/>
      </c>
      <c r="AJ113" s="25" t="str">
        <f>IF(OR($B113="",基础资料!$B$8=""),"",SUMIFS(对接源_01水果筐数!$E$5:$E$304,对接源_01水果筐数!$B$5:$B$304,$B113,对接源_01水果筐数!$C$5:$C$304,基础资料!$B$8))</f>
        <v/>
      </c>
      <c r="AK113" s="25" t="str">
        <f>IF(OR($B113="",基础资料!$B$4=""),"",SUMIFS(对接源_01水果筐数!$F$5:$F$304,对接源_01水果筐数!$B$5:$B$304,$B113,对接源_01水果筐数!$C$5:$C$304,基础资料!$B$4))</f>
        <v/>
      </c>
      <c r="AL113" s="25" t="str">
        <f>IF(OR($B113="",基础资料!$B$5=""),"",SUMIFS(对接源_01水果筐数!$F$5:$F$304,对接源_01水果筐数!$B$5:$B$304,$B113,对接源_01水果筐数!$C$5:$C$304,基础资料!$B$5))</f>
        <v/>
      </c>
      <c r="AM113" s="25" t="str">
        <f>IF(OR($B113="",基础资料!$B$6=""),"",SUMIFS(对接源_01水果筐数!$F$5:$F$304,对接源_01水果筐数!$B$5:$B$304,$B113,对接源_01水果筐数!$C$5:$C$304,基础资料!$B$6))</f>
        <v/>
      </c>
      <c r="AN113" s="25" t="str">
        <f>IF(OR($B113="",基础资料!$B$7=""),"",SUMIFS(对接源_01水果筐数!$F$5:$F$304,对接源_01水果筐数!$B$5:$B$304,$B113,对接源_01水果筐数!$C$5:$C$304,基础资料!$B$7))</f>
        <v/>
      </c>
      <c r="AO113" s="25" t="str">
        <f>IF(OR($B113="",基础资料!$B$8=""),"",SUMIFS(对接源_01水果筐数!$F$5:$F$304,对接源_01水果筐数!$B$5:$B$304,$B113,对接源_01水果筐数!$C$5:$C$304,基础资料!$B$8))</f>
        <v/>
      </c>
      <c r="AP113" s="25" t="str">
        <f t="shared" si="17"/>
        <v/>
      </c>
      <c r="AQ113" s="25" t="str">
        <f t="shared" si="18"/>
        <v/>
      </c>
      <c r="AR113" s="25" t="str">
        <f t="shared" si="19"/>
        <v/>
      </c>
      <c r="AS113" s="25" t="str">
        <f t="shared" si="20"/>
        <v/>
      </c>
      <c r="AT113" s="25" t="str">
        <f t="shared" si="21"/>
        <v/>
      </c>
      <c r="AU113" s="25" t="str">
        <f t="shared" si="22"/>
        <v/>
      </c>
      <c r="AV113" s="24" t="str">
        <f t="shared" si="23"/>
        <v/>
      </c>
      <c r="AW113" s="72"/>
    </row>
    <row r="114" spans="1:49">
      <c r="A114" s="22" t="str">
        <f t="shared" si="12"/>
        <v/>
      </c>
      <c r="B114" s="24" t="str">
        <f>IFERROR(INDEX(_自动清单!$CC$4:$CC$253,ROW()-3),"")</f>
        <v/>
      </c>
      <c r="C114" s="25" t="str">
        <f>IF(OR($B114="",基础资料!$B$4=""),"",SUMIFS(周转筐出入库明细!$J$4:$J$2004,周转筐出入库明细!$C$4:$C$2004,$B114,周转筐出入库明细!$D$4:$D$2004,基础资料!$B$4,周转筐出入库明细!$B$4:$B$2004,"&gt;="&amp;$BC$1,周转筐出入库明细!$B$4:$B$2004,"&lt;="&amp;$BC$2))</f>
        <v/>
      </c>
      <c r="D114" s="25" t="str">
        <f>IF(OR($B114="",基础资料!$B$5=""),"",SUMIFS(周转筐出入库明细!$J$4:$J$2004,周转筐出入库明细!$C$4:$C$2004,$B114,周转筐出入库明细!$D$4:$D$2004,基础资料!$B$5,周转筐出入库明细!$B$4:$B$2004,"&gt;="&amp;$BC$1,周转筐出入库明细!$B$4:$B$2004,"&lt;="&amp;$BC$2))</f>
        <v/>
      </c>
      <c r="E114" s="25" t="str">
        <f>IF(OR($B114="",基础资料!$B$6=""),"",SUMIFS(周转筐出入库明细!$J$4:$J$2004,周转筐出入库明细!$C$4:$C$2004,$B114,周转筐出入库明细!$D$4:$D$2004,基础资料!$B$6,周转筐出入库明细!$B$4:$B$2004,"&gt;="&amp;$BC$1,周转筐出入库明细!$B$4:$B$2004,"&lt;="&amp;$BC$2))</f>
        <v/>
      </c>
      <c r="F114" s="25" t="str">
        <f>IF(OR($B114="",基础资料!$B$7=""),"",SUMIFS(周转筐出入库明细!$J$4:$J$2004,周转筐出入库明细!$C$4:$C$2004,$B114,周转筐出入库明细!$D$4:$D$2004,基础资料!$B$7,周转筐出入库明细!$B$4:$B$2004,"&gt;="&amp;$BC$1,周转筐出入库明细!$B$4:$B$2004,"&lt;="&amp;$BC$2))</f>
        <v/>
      </c>
      <c r="G114" s="25" t="str">
        <f>IF(OR($B114="",基础资料!$B$8=""),"",SUMIFS(周转筐出入库明细!$J$4:$J$2004,周转筐出入库明细!$C$4:$C$2004,$B114,周转筐出入库明细!$D$4:$D$2004,基础资料!$B$8,周转筐出入库明细!$B$4:$B$2004,"&gt;="&amp;$BC$1,周转筐出入库明细!$B$4:$B$2004,"&lt;="&amp;$BC$2))</f>
        <v/>
      </c>
      <c r="H114" s="25" t="str">
        <f t="shared" si="13"/>
        <v/>
      </c>
      <c r="I114" s="67" t="str">
        <f>IF(OR($B114="",基础资料!$B$4=""),"",-SUMIFS(周转筐出入库明细!$I$4:$I$2004,周转筐出入库明细!$C$4:$C$2004,$B114,周转筐出入库明细!$D$4:$D$2004,基础资料!$B$4,周转筐出入库明细!$B$4:$B$2004,"&gt;="&amp;$BC$1,周转筐出入库明细!$B$4:$B$2004,"&lt;="&amp;$BC$2))</f>
        <v/>
      </c>
      <c r="J114" s="67" t="str">
        <f>IF(OR($B114="",基础资料!$B$5=""),"",-SUMIFS(周转筐出入库明细!$I$4:$I$2004,周转筐出入库明细!$C$4:$C$2004,$B114,周转筐出入库明细!$D$4:$D$2004,基础资料!$B$5,周转筐出入库明细!$B$4:$B$2004,"&gt;="&amp;$BC$1,周转筐出入库明细!$B$4:$B$2004,"&lt;="&amp;$BC$2))</f>
        <v/>
      </c>
      <c r="K114" s="67" t="str">
        <f>IF(OR($B114="",基础资料!$B$6=""),"",-SUMIFS(周转筐出入库明细!$I$4:$I$2004,周转筐出入库明细!$C$4:$C$2004,$B114,周转筐出入库明细!$D$4:$D$2004,基础资料!$B$6,周转筐出入库明细!$B$4:$B$2004,"&gt;="&amp;$BC$1,周转筐出入库明细!$B$4:$B$2004,"&lt;="&amp;$BC$2))</f>
        <v/>
      </c>
      <c r="L114" s="67" t="str">
        <f>IF(OR($B114="",基础资料!$B$7=""),"",-SUMIFS(周转筐出入库明细!$I$4:$I$2004,周转筐出入库明细!$C$4:$C$2004,$B114,周转筐出入库明细!$D$4:$D$2004,基础资料!$B$7,周转筐出入库明细!$B$4:$B$2004,"&gt;="&amp;$BC$1,周转筐出入库明细!$B$4:$B$2004,"&lt;="&amp;$BC$2))</f>
        <v/>
      </c>
      <c r="M114" s="67" t="str">
        <f>IF(OR($B114="",基础资料!$B$8=""),"",-SUMIFS(周转筐出入库明细!$I$4:$I$2004,周转筐出入库明细!$C$4:$C$2004,$B114,周转筐出入库明细!$D$4:$D$2004,基础资料!$B$8,周转筐出入库明细!$B$4:$B$2004,"&gt;="&amp;$BC$1,周转筐出入库明细!$B$4:$B$2004,"&lt;="&amp;$BC$2))</f>
        <v/>
      </c>
      <c r="N114" s="67" t="str">
        <f t="shared" si="14"/>
        <v/>
      </c>
      <c r="O114" s="25" t="str">
        <f>IF(OR($B114="",基础资料!$B$4=""),"",SUMIFS(周转筐出入库明细!$H$4:$H$2004,周转筐出入库明细!$C$4:$C$2004,$B114,周转筐出入库明细!$D$4:$D$2004,基础资料!$B$4,周转筐出入库明细!$F$4:$F$2004,"采购入库",周转筐出入库明细!$B$4:$B$2004,"&gt;="&amp;$BC$1,周转筐出入库明细!$B$4:$B$2004,"&lt;="&amp;$BC$2))</f>
        <v/>
      </c>
      <c r="P114" s="25" t="str">
        <f>IF(OR($B114="",基础资料!$B$5=""),"",SUMIFS(周转筐出入库明细!$H$4:$H$2004,周转筐出入库明细!$C$4:$C$2004,$B114,周转筐出入库明细!$D$4:$D$2004,基础资料!$B$5,周转筐出入库明细!$F$4:$F$2004,"采购入库",周转筐出入库明细!$B$4:$B$2004,"&gt;="&amp;$BC$1,周转筐出入库明细!$B$4:$B$2004,"&lt;="&amp;$BC$2))</f>
        <v/>
      </c>
      <c r="Q114" s="25" t="str">
        <f>IF(OR($B114="",基础资料!$B$6=""),"",SUMIFS(周转筐出入库明细!$H$4:$H$2004,周转筐出入库明细!$C$4:$C$2004,$B114,周转筐出入库明细!$D$4:$D$2004,基础资料!$B$6,周转筐出入库明细!$F$4:$F$2004,"采购入库",周转筐出入库明细!$B$4:$B$2004,"&gt;="&amp;$BC$1,周转筐出入库明细!$B$4:$B$2004,"&lt;="&amp;$BC$2))</f>
        <v/>
      </c>
      <c r="R114" s="25" t="str">
        <f>IF(OR($B114="",基础资料!$B$7=""),"",SUMIFS(周转筐出入库明细!$H$4:$H$2004,周转筐出入库明细!$C$4:$C$2004,$B114,周转筐出入库明细!$D$4:$D$2004,基础资料!$B$7,周转筐出入库明细!$F$4:$F$2004,"采购入库",周转筐出入库明细!$B$4:$B$2004,"&gt;="&amp;$BC$1,周转筐出入库明细!$B$4:$B$2004,"&lt;="&amp;$BC$2))</f>
        <v/>
      </c>
      <c r="S114" s="25" t="str">
        <f>IF(OR($B114="",基础资料!$B$8=""),"",SUMIFS(周转筐出入库明细!$H$4:$H$2004,周转筐出入库明细!$C$4:$C$2004,$B114,周转筐出入库明细!$D$4:$D$2004,基础资料!$B$8,周转筐出入库明细!$F$4:$F$2004,"采购入库",周转筐出入库明细!$B$4:$B$2004,"&gt;="&amp;$BC$1,周转筐出入库明细!$B$4:$B$2004,"&lt;="&amp;$BC$2))</f>
        <v/>
      </c>
      <c r="T114" s="25" t="str">
        <f t="shared" si="15"/>
        <v/>
      </c>
      <c r="U114" s="25" t="str">
        <f>IF(OR($B114="",基础资料!$B$4=""),"",SUMIFS(周转筐出入库明细!$K$4:$K$2004,周转筐出入库明细!$C$4:$C$2004,$B114,周转筐出入库明细!$D$4:$D$2004,基础资料!$B$4,周转筐出入库明细!$B$4:$B$2004,"&gt;="&amp;$BC$1,周转筐出入库明细!$B$4:$B$2004,"&lt;="&amp;$BC$2))</f>
        <v/>
      </c>
      <c r="V114" s="25" t="str">
        <f>IF(OR($B114="",基础资料!$B$5=""),"",SUMIFS(周转筐出入库明细!$K$4:$K$2004,周转筐出入库明细!$C$4:$C$2004,$B114,周转筐出入库明细!$D$4:$D$2004,基础资料!$B$5,周转筐出入库明细!$B$4:$B$2004,"&gt;="&amp;$BC$1,周转筐出入库明细!$B$4:$B$2004,"&lt;="&amp;$BC$2))</f>
        <v/>
      </c>
      <c r="W114" s="25" t="str">
        <f>IF(OR($B114="",基础资料!$B$6=""),"",SUMIFS(周转筐出入库明细!$K$4:$K$2004,周转筐出入库明细!$C$4:$C$2004,$B114,周转筐出入库明细!$D$4:$D$2004,基础资料!$B$6,周转筐出入库明细!$B$4:$B$2004,"&gt;="&amp;$BC$1,周转筐出入库明细!$B$4:$B$2004,"&lt;="&amp;$BC$2))</f>
        <v/>
      </c>
      <c r="X114" s="25" t="str">
        <f>IF(OR($B114="",基础资料!$B$7=""),"",SUMIFS(周转筐出入库明细!$K$4:$K$2004,周转筐出入库明细!$C$4:$C$2004,$B114,周转筐出入库明细!$D$4:$D$2004,基础资料!$B$7,周转筐出入库明细!$B$4:$B$2004,"&gt;="&amp;$BC$1,周转筐出入库明细!$B$4:$B$2004,"&lt;="&amp;$BC$2))</f>
        <v/>
      </c>
      <c r="Y114" s="25" t="str">
        <f>IF(OR($B114="",基础资料!$B$8=""),"",SUMIFS(周转筐出入库明细!$K$4:$K$2004,周转筐出入库明细!$C$4:$C$2004,$B114,周转筐出入库明细!$D$4:$D$2004,基础资料!$B$8,周转筐出入库明细!$B$4:$B$2004,"&gt;="&amp;$BC$1,周转筐出入库明细!$B$4:$B$2004,"&lt;="&amp;$BC$2))</f>
        <v/>
      </c>
      <c r="Z114" s="25" t="str">
        <f t="shared" si="16"/>
        <v/>
      </c>
      <c r="AA114" s="67" t="str">
        <f>IF(OR($B114="",基础资料!$B$4=""),"",-SUMIFS(对接源_01水果筐数!$D$5:$D$304,对接源_01水果筐数!$B$5:$B$304,$B114,对接源_01水果筐数!$C$5:$C$304,基础资料!$B$4))</f>
        <v/>
      </c>
      <c r="AB114" s="67" t="str">
        <f>IF(OR($B114="",基础资料!$B$5=""),"",-SUMIFS(对接源_01水果筐数!$D$5:$D$304,对接源_01水果筐数!$B$5:$B$304,$B114,对接源_01水果筐数!$C$5:$C$304,基础资料!$B$5))</f>
        <v/>
      </c>
      <c r="AC114" s="67" t="str">
        <f>IF(OR($B114="",基础资料!$B$6=""),"",-SUMIFS(对接源_01水果筐数!$D$5:$D$304,对接源_01水果筐数!$B$5:$B$304,$B114,对接源_01水果筐数!$C$5:$C$304,基础资料!$B$6))</f>
        <v/>
      </c>
      <c r="AD114" s="67" t="str">
        <f>IF(OR($B114="",基础资料!$B$7=""),"",-SUMIFS(对接源_01水果筐数!$D$5:$D$304,对接源_01水果筐数!$B$5:$B$304,$B114,对接源_01水果筐数!$C$5:$C$304,基础资料!$B$7))</f>
        <v/>
      </c>
      <c r="AE114" s="67" t="str">
        <f>IF(OR($B114="",基础资料!$B$8=""),"",-SUMIFS(对接源_01水果筐数!$D$5:$D$304,对接源_01水果筐数!$B$5:$B$304,$B114,对接源_01水果筐数!$C$5:$C$304,基础资料!$B$8))</f>
        <v/>
      </c>
      <c r="AF114" s="25" t="str">
        <f>IF(OR($B114="",基础资料!$B$4=""),"",SUMIFS(对接源_01水果筐数!$E$5:$E$304,对接源_01水果筐数!$B$5:$B$304,$B114,对接源_01水果筐数!$C$5:$C$304,基础资料!$B$4))</f>
        <v/>
      </c>
      <c r="AG114" s="25" t="str">
        <f>IF(OR($B114="",基础资料!$B$5=""),"",SUMIFS(对接源_01水果筐数!$E$5:$E$304,对接源_01水果筐数!$B$5:$B$304,$B114,对接源_01水果筐数!$C$5:$C$304,基础资料!$B$5))</f>
        <v/>
      </c>
      <c r="AH114" s="25" t="str">
        <f>IF(OR($B114="",基础资料!$B$6=""),"",SUMIFS(对接源_01水果筐数!$E$5:$E$304,对接源_01水果筐数!$B$5:$B$304,$B114,对接源_01水果筐数!$C$5:$C$304,基础资料!$B$6))</f>
        <v/>
      </c>
      <c r="AI114" s="25" t="str">
        <f>IF(OR($B114="",基础资料!$B$7=""),"",SUMIFS(对接源_01水果筐数!$E$5:$E$304,对接源_01水果筐数!$B$5:$B$304,$B114,对接源_01水果筐数!$C$5:$C$304,基础资料!$B$7))</f>
        <v/>
      </c>
      <c r="AJ114" s="25" t="str">
        <f>IF(OR($B114="",基础资料!$B$8=""),"",SUMIFS(对接源_01水果筐数!$E$5:$E$304,对接源_01水果筐数!$B$5:$B$304,$B114,对接源_01水果筐数!$C$5:$C$304,基础资料!$B$8))</f>
        <v/>
      </c>
      <c r="AK114" s="25" t="str">
        <f>IF(OR($B114="",基础资料!$B$4=""),"",SUMIFS(对接源_01水果筐数!$F$5:$F$304,对接源_01水果筐数!$B$5:$B$304,$B114,对接源_01水果筐数!$C$5:$C$304,基础资料!$B$4))</f>
        <v/>
      </c>
      <c r="AL114" s="25" t="str">
        <f>IF(OR($B114="",基础资料!$B$5=""),"",SUMIFS(对接源_01水果筐数!$F$5:$F$304,对接源_01水果筐数!$B$5:$B$304,$B114,对接源_01水果筐数!$C$5:$C$304,基础资料!$B$5))</f>
        <v/>
      </c>
      <c r="AM114" s="25" t="str">
        <f>IF(OR($B114="",基础资料!$B$6=""),"",SUMIFS(对接源_01水果筐数!$F$5:$F$304,对接源_01水果筐数!$B$5:$B$304,$B114,对接源_01水果筐数!$C$5:$C$304,基础资料!$B$6))</f>
        <v/>
      </c>
      <c r="AN114" s="25" t="str">
        <f>IF(OR($B114="",基础资料!$B$7=""),"",SUMIFS(对接源_01水果筐数!$F$5:$F$304,对接源_01水果筐数!$B$5:$B$304,$B114,对接源_01水果筐数!$C$5:$C$304,基础资料!$B$7))</f>
        <v/>
      </c>
      <c r="AO114" s="25" t="str">
        <f>IF(OR($B114="",基础资料!$B$8=""),"",SUMIFS(对接源_01水果筐数!$F$5:$F$304,对接源_01水果筐数!$B$5:$B$304,$B114,对接源_01水果筐数!$C$5:$C$304,基础资料!$B$8))</f>
        <v/>
      </c>
      <c r="AP114" s="25" t="str">
        <f t="shared" si="17"/>
        <v/>
      </c>
      <c r="AQ114" s="25" t="str">
        <f t="shared" si="18"/>
        <v/>
      </c>
      <c r="AR114" s="25" t="str">
        <f t="shared" si="19"/>
        <v/>
      </c>
      <c r="AS114" s="25" t="str">
        <f t="shared" si="20"/>
        <v/>
      </c>
      <c r="AT114" s="25" t="str">
        <f t="shared" si="21"/>
        <v/>
      </c>
      <c r="AU114" s="25" t="str">
        <f t="shared" si="22"/>
        <v/>
      </c>
      <c r="AV114" s="24" t="str">
        <f t="shared" si="23"/>
        <v/>
      </c>
      <c r="AW114" s="72"/>
    </row>
    <row r="115" spans="1:49">
      <c r="A115" s="22" t="str">
        <f t="shared" si="12"/>
        <v/>
      </c>
      <c r="B115" s="24" t="str">
        <f>IFERROR(INDEX(_自动清单!$CC$4:$CC$253,ROW()-3),"")</f>
        <v/>
      </c>
      <c r="C115" s="25" t="str">
        <f>IF(OR($B115="",基础资料!$B$4=""),"",SUMIFS(周转筐出入库明细!$J$4:$J$2004,周转筐出入库明细!$C$4:$C$2004,$B115,周转筐出入库明细!$D$4:$D$2004,基础资料!$B$4,周转筐出入库明细!$B$4:$B$2004,"&gt;="&amp;$BC$1,周转筐出入库明细!$B$4:$B$2004,"&lt;="&amp;$BC$2))</f>
        <v/>
      </c>
      <c r="D115" s="25" t="str">
        <f>IF(OR($B115="",基础资料!$B$5=""),"",SUMIFS(周转筐出入库明细!$J$4:$J$2004,周转筐出入库明细!$C$4:$C$2004,$B115,周转筐出入库明细!$D$4:$D$2004,基础资料!$B$5,周转筐出入库明细!$B$4:$B$2004,"&gt;="&amp;$BC$1,周转筐出入库明细!$B$4:$B$2004,"&lt;="&amp;$BC$2))</f>
        <v/>
      </c>
      <c r="E115" s="25" t="str">
        <f>IF(OR($B115="",基础资料!$B$6=""),"",SUMIFS(周转筐出入库明细!$J$4:$J$2004,周转筐出入库明细!$C$4:$C$2004,$B115,周转筐出入库明细!$D$4:$D$2004,基础资料!$B$6,周转筐出入库明细!$B$4:$B$2004,"&gt;="&amp;$BC$1,周转筐出入库明细!$B$4:$B$2004,"&lt;="&amp;$BC$2))</f>
        <v/>
      </c>
      <c r="F115" s="25" t="str">
        <f>IF(OR($B115="",基础资料!$B$7=""),"",SUMIFS(周转筐出入库明细!$J$4:$J$2004,周转筐出入库明细!$C$4:$C$2004,$B115,周转筐出入库明细!$D$4:$D$2004,基础资料!$B$7,周转筐出入库明细!$B$4:$B$2004,"&gt;="&amp;$BC$1,周转筐出入库明细!$B$4:$B$2004,"&lt;="&amp;$BC$2))</f>
        <v/>
      </c>
      <c r="G115" s="25" t="str">
        <f>IF(OR($B115="",基础资料!$B$8=""),"",SUMIFS(周转筐出入库明细!$J$4:$J$2004,周转筐出入库明细!$C$4:$C$2004,$B115,周转筐出入库明细!$D$4:$D$2004,基础资料!$B$8,周转筐出入库明细!$B$4:$B$2004,"&gt;="&amp;$BC$1,周转筐出入库明细!$B$4:$B$2004,"&lt;="&amp;$BC$2))</f>
        <v/>
      </c>
      <c r="H115" s="25" t="str">
        <f t="shared" si="13"/>
        <v/>
      </c>
      <c r="I115" s="67" t="str">
        <f>IF(OR($B115="",基础资料!$B$4=""),"",-SUMIFS(周转筐出入库明细!$I$4:$I$2004,周转筐出入库明细!$C$4:$C$2004,$B115,周转筐出入库明细!$D$4:$D$2004,基础资料!$B$4,周转筐出入库明细!$B$4:$B$2004,"&gt;="&amp;$BC$1,周转筐出入库明细!$B$4:$B$2004,"&lt;="&amp;$BC$2))</f>
        <v/>
      </c>
      <c r="J115" s="67" t="str">
        <f>IF(OR($B115="",基础资料!$B$5=""),"",-SUMIFS(周转筐出入库明细!$I$4:$I$2004,周转筐出入库明细!$C$4:$C$2004,$B115,周转筐出入库明细!$D$4:$D$2004,基础资料!$B$5,周转筐出入库明细!$B$4:$B$2004,"&gt;="&amp;$BC$1,周转筐出入库明细!$B$4:$B$2004,"&lt;="&amp;$BC$2))</f>
        <v/>
      </c>
      <c r="K115" s="67" t="str">
        <f>IF(OR($B115="",基础资料!$B$6=""),"",-SUMIFS(周转筐出入库明细!$I$4:$I$2004,周转筐出入库明细!$C$4:$C$2004,$B115,周转筐出入库明细!$D$4:$D$2004,基础资料!$B$6,周转筐出入库明细!$B$4:$B$2004,"&gt;="&amp;$BC$1,周转筐出入库明细!$B$4:$B$2004,"&lt;="&amp;$BC$2))</f>
        <v/>
      </c>
      <c r="L115" s="67" t="str">
        <f>IF(OR($B115="",基础资料!$B$7=""),"",-SUMIFS(周转筐出入库明细!$I$4:$I$2004,周转筐出入库明细!$C$4:$C$2004,$B115,周转筐出入库明细!$D$4:$D$2004,基础资料!$B$7,周转筐出入库明细!$B$4:$B$2004,"&gt;="&amp;$BC$1,周转筐出入库明细!$B$4:$B$2004,"&lt;="&amp;$BC$2))</f>
        <v/>
      </c>
      <c r="M115" s="67" t="str">
        <f>IF(OR($B115="",基础资料!$B$8=""),"",-SUMIFS(周转筐出入库明细!$I$4:$I$2004,周转筐出入库明细!$C$4:$C$2004,$B115,周转筐出入库明细!$D$4:$D$2004,基础资料!$B$8,周转筐出入库明细!$B$4:$B$2004,"&gt;="&amp;$BC$1,周转筐出入库明细!$B$4:$B$2004,"&lt;="&amp;$BC$2))</f>
        <v/>
      </c>
      <c r="N115" s="67" t="str">
        <f t="shared" si="14"/>
        <v/>
      </c>
      <c r="O115" s="25" t="str">
        <f>IF(OR($B115="",基础资料!$B$4=""),"",SUMIFS(周转筐出入库明细!$H$4:$H$2004,周转筐出入库明细!$C$4:$C$2004,$B115,周转筐出入库明细!$D$4:$D$2004,基础资料!$B$4,周转筐出入库明细!$F$4:$F$2004,"采购入库",周转筐出入库明细!$B$4:$B$2004,"&gt;="&amp;$BC$1,周转筐出入库明细!$B$4:$B$2004,"&lt;="&amp;$BC$2))</f>
        <v/>
      </c>
      <c r="P115" s="25" t="str">
        <f>IF(OR($B115="",基础资料!$B$5=""),"",SUMIFS(周转筐出入库明细!$H$4:$H$2004,周转筐出入库明细!$C$4:$C$2004,$B115,周转筐出入库明细!$D$4:$D$2004,基础资料!$B$5,周转筐出入库明细!$F$4:$F$2004,"采购入库",周转筐出入库明细!$B$4:$B$2004,"&gt;="&amp;$BC$1,周转筐出入库明细!$B$4:$B$2004,"&lt;="&amp;$BC$2))</f>
        <v/>
      </c>
      <c r="Q115" s="25" t="str">
        <f>IF(OR($B115="",基础资料!$B$6=""),"",SUMIFS(周转筐出入库明细!$H$4:$H$2004,周转筐出入库明细!$C$4:$C$2004,$B115,周转筐出入库明细!$D$4:$D$2004,基础资料!$B$6,周转筐出入库明细!$F$4:$F$2004,"采购入库",周转筐出入库明细!$B$4:$B$2004,"&gt;="&amp;$BC$1,周转筐出入库明细!$B$4:$B$2004,"&lt;="&amp;$BC$2))</f>
        <v/>
      </c>
      <c r="R115" s="25" t="str">
        <f>IF(OR($B115="",基础资料!$B$7=""),"",SUMIFS(周转筐出入库明细!$H$4:$H$2004,周转筐出入库明细!$C$4:$C$2004,$B115,周转筐出入库明细!$D$4:$D$2004,基础资料!$B$7,周转筐出入库明细!$F$4:$F$2004,"采购入库",周转筐出入库明细!$B$4:$B$2004,"&gt;="&amp;$BC$1,周转筐出入库明细!$B$4:$B$2004,"&lt;="&amp;$BC$2))</f>
        <v/>
      </c>
      <c r="S115" s="25" t="str">
        <f>IF(OR($B115="",基础资料!$B$8=""),"",SUMIFS(周转筐出入库明细!$H$4:$H$2004,周转筐出入库明细!$C$4:$C$2004,$B115,周转筐出入库明细!$D$4:$D$2004,基础资料!$B$8,周转筐出入库明细!$F$4:$F$2004,"采购入库",周转筐出入库明细!$B$4:$B$2004,"&gt;="&amp;$BC$1,周转筐出入库明细!$B$4:$B$2004,"&lt;="&amp;$BC$2))</f>
        <v/>
      </c>
      <c r="T115" s="25" t="str">
        <f t="shared" si="15"/>
        <v/>
      </c>
      <c r="U115" s="25" t="str">
        <f>IF(OR($B115="",基础资料!$B$4=""),"",SUMIFS(周转筐出入库明细!$K$4:$K$2004,周转筐出入库明细!$C$4:$C$2004,$B115,周转筐出入库明细!$D$4:$D$2004,基础资料!$B$4,周转筐出入库明细!$B$4:$B$2004,"&gt;="&amp;$BC$1,周转筐出入库明细!$B$4:$B$2004,"&lt;="&amp;$BC$2))</f>
        <v/>
      </c>
      <c r="V115" s="25" t="str">
        <f>IF(OR($B115="",基础资料!$B$5=""),"",SUMIFS(周转筐出入库明细!$K$4:$K$2004,周转筐出入库明细!$C$4:$C$2004,$B115,周转筐出入库明细!$D$4:$D$2004,基础资料!$B$5,周转筐出入库明细!$B$4:$B$2004,"&gt;="&amp;$BC$1,周转筐出入库明细!$B$4:$B$2004,"&lt;="&amp;$BC$2))</f>
        <v/>
      </c>
      <c r="W115" s="25" t="str">
        <f>IF(OR($B115="",基础资料!$B$6=""),"",SUMIFS(周转筐出入库明细!$K$4:$K$2004,周转筐出入库明细!$C$4:$C$2004,$B115,周转筐出入库明细!$D$4:$D$2004,基础资料!$B$6,周转筐出入库明细!$B$4:$B$2004,"&gt;="&amp;$BC$1,周转筐出入库明细!$B$4:$B$2004,"&lt;="&amp;$BC$2))</f>
        <v/>
      </c>
      <c r="X115" s="25" t="str">
        <f>IF(OR($B115="",基础资料!$B$7=""),"",SUMIFS(周转筐出入库明细!$K$4:$K$2004,周转筐出入库明细!$C$4:$C$2004,$B115,周转筐出入库明细!$D$4:$D$2004,基础资料!$B$7,周转筐出入库明细!$B$4:$B$2004,"&gt;="&amp;$BC$1,周转筐出入库明细!$B$4:$B$2004,"&lt;="&amp;$BC$2))</f>
        <v/>
      </c>
      <c r="Y115" s="25" t="str">
        <f>IF(OR($B115="",基础资料!$B$8=""),"",SUMIFS(周转筐出入库明细!$K$4:$K$2004,周转筐出入库明细!$C$4:$C$2004,$B115,周转筐出入库明细!$D$4:$D$2004,基础资料!$B$8,周转筐出入库明细!$B$4:$B$2004,"&gt;="&amp;$BC$1,周转筐出入库明细!$B$4:$B$2004,"&lt;="&amp;$BC$2))</f>
        <v/>
      </c>
      <c r="Z115" s="25" t="str">
        <f t="shared" si="16"/>
        <v/>
      </c>
      <c r="AA115" s="67" t="str">
        <f>IF(OR($B115="",基础资料!$B$4=""),"",-SUMIFS(对接源_01水果筐数!$D$5:$D$304,对接源_01水果筐数!$B$5:$B$304,$B115,对接源_01水果筐数!$C$5:$C$304,基础资料!$B$4))</f>
        <v/>
      </c>
      <c r="AB115" s="67" t="str">
        <f>IF(OR($B115="",基础资料!$B$5=""),"",-SUMIFS(对接源_01水果筐数!$D$5:$D$304,对接源_01水果筐数!$B$5:$B$304,$B115,对接源_01水果筐数!$C$5:$C$304,基础资料!$B$5))</f>
        <v/>
      </c>
      <c r="AC115" s="67" t="str">
        <f>IF(OR($B115="",基础资料!$B$6=""),"",-SUMIFS(对接源_01水果筐数!$D$5:$D$304,对接源_01水果筐数!$B$5:$B$304,$B115,对接源_01水果筐数!$C$5:$C$304,基础资料!$B$6))</f>
        <v/>
      </c>
      <c r="AD115" s="67" t="str">
        <f>IF(OR($B115="",基础资料!$B$7=""),"",-SUMIFS(对接源_01水果筐数!$D$5:$D$304,对接源_01水果筐数!$B$5:$B$304,$B115,对接源_01水果筐数!$C$5:$C$304,基础资料!$B$7))</f>
        <v/>
      </c>
      <c r="AE115" s="67" t="str">
        <f>IF(OR($B115="",基础资料!$B$8=""),"",-SUMIFS(对接源_01水果筐数!$D$5:$D$304,对接源_01水果筐数!$B$5:$B$304,$B115,对接源_01水果筐数!$C$5:$C$304,基础资料!$B$8))</f>
        <v/>
      </c>
      <c r="AF115" s="25" t="str">
        <f>IF(OR($B115="",基础资料!$B$4=""),"",SUMIFS(对接源_01水果筐数!$E$5:$E$304,对接源_01水果筐数!$B$5:$B$304,$B115,对接源_01水果筐数!$C$5:$C$304,基础资料!$B$4))</f>
        <v/>
      </c>
      <c r="AG115" s="25" t="str">
        <f>IF(OR($B115="",基础资料!$B$5=""),"",SUMIFS(对接源_01水果筐数!$E$5:$E$304,对接源_01水果筐数!$B$5:$B$304,$B115,对接源_01水果筐数!$C$5:$C$304,基础资料!$B$5))</f>
        <v/>
      </c>
      <c r="AH115" s="25" t="str">
        <f>IF(OR($B115="",基础资料!$B$6=""),"",SUMIFS(对接源_01水果筐数!$E$5:$E$304,对接源_01水果筐数!$B$5:$B$304,$B115,对接源_01水果筐数!$C$5:$C$304,基础资料!$B$6))</f>
        <v/>
      </c>
      <c r="AI115" s="25" t="str">
        <f>IF(OR($B115="",基础资料!$B$7=""),"",SUMIFS(对接源_01水果筐数!$E$5:$E$304,对接源_01水果筐数!$B$5:$B$304,$B115,对接源_01水果筐数!$C$5:$C$304,基础资料!$B$7))</f>
        <v/>
      </c>
      <c r="AJ115" s="25" t="str">
        <f>IF(OR($B115="",基础资料!$B$8=""),"",SUMIFS(对接源_01水果筐数!$E$5:$E$304,对接源_01水果筐数!$B$5:$B$304,$B115,对接源_01水果筐数!$C$5:$C$304,基础资料!$B$8))</f>
        <v/>
      </c>
      <c r="AK115" s="25" t="str">
        <f>IF(OR($B115="",基础资料!$B$4=""),"",SUMIFS(对接源_01水果筐数!$F$5:$F$304,对接源_01水果筐数!$B$5:$B$304,$B115,对接源_01水果筐数!$C$5:$C$304,基础资料!$B$4))</f>
        <v/>
      </c>
      <c r="AL115" s="25" t="str">
        <f>IF(OR($B115="",基础资料!$B$5=""),"",SUMIFS(对接源_01水果筐数!$F$5:$F$304,对接源_01水果筐数!$B$5:$B$304,$B115,对接源_01水果筐数!$C$5:$C$304,基础资料!$B$5))</f>
        <v/>
      </c>
      <c r="AM115" s="25" t="str">
        <f>IF(OR($B115="",基础资料!$B$6=""),"",SUMIFS(对接源_01水果筐数!$F$5:$F$304,对接源_01水果筐数!$B$5:$B$304,$B115,对接源_01水果筐数!$C$5:$C$304,基础资料!$B$6))</f>
        <v/>
      </c>
      <c r="AN115" s="25" t="str">
        <f>IF(OR($B115="",基础资料!$B$7=""),"",SUMIFS(对接源_01水果筐数!$F$5:$F$304,对接源_01水果筐数!$B$5:$B$304,$B115,对接源_01水果筐数!$C$5:$C$304,基础资料!$B$7))</f>
        <v/>
      </c>
      <c r="AO115" s="25" t="str">
        <f>IF(OR($B115="",基础资料!$B$8=""),"",SUMIFS(对接源_01水果筐数!$F$5:$F$304,对接源_01水果筐数!$B$5:$B$304,$B115,对接源_01水果筐数!$C$5:$C$304,基础资料!$B$8))</f>
        <v/>
      </c>
      <c r="AP115" s="25" t="str">
        <f t="shared" si="17"/>
        <v/>
      </c>
      <c r="AQ115" s="25" t="str">
        <f t="shared" si="18"/>
        <v/>
      </c>
      <c r="AR115" s="25" t="str">
        <f t="shared" si="19"/>
        <v/>
      </c>
      <c r="AS115" s="25" t="str">
        <f t="shared" si="20"/>
        <v/>
      </c>
      <c r="AT115" s="25" t="str">
        <f t="shared" si="21"/>
        <v/>
      </c>
      <c r="AU115" s="25" t="str">
        <f t="shared" si="22"/>
        <v/>
      </c>
      <c r="AV115" s="24" t="str">
        <f t="shared" si="23"/>
        <v/>
      </c>
      <c r="AW115" s="72"/>
    </row>
    <row r="116" spans="1:49">
      <c r="A116" s="22" t="str">
        <f t="shared" si="12"/>
        <v/>
      </c>
      <c r="B116" s="24" t="str">
        <f>IFERROR(INDEX(_自动清单!$CC$4:$CC$253,ROW()-3),"")</f>
        <v/>
      </c>
      <c r="C116" s="25" t="str">
        <f>IF(OR($B116="",基础资料!$B$4=""),"",SUMIFS(周转筐出入库明细!$J$4:$J$2004,周转筐出入库明细!$C$4:$C$2004,$B116,周转筐出入库明细!$D$4:$D$2004,基础资料!$B$4,周转筐出入库明细!$B$4:$B$2004,"&gt;="&amp;$BC$1,周转筐出入库明细!$B$4:$B$2004,"&lt;="&amp;$BC$2))</f>
        <v/>
      </c>
      <c r="D116" s="25" t="str">
        <f>IF(OR($B116="",基础资料!$B$5=""),"",SUMIFS(周转筐出入库明细!$J$4:$J$2004,周转筐出入库明细!$C$4:$C$2004,$B116,周转筐出入库明细!$D$4:$D$2004,基础资料!$B$5,周转筐出入库明细!$B$4:$B$2004,"&gt;="&amp;$BC$1,周转筐出入库明细!$B$4:$B$2004,"&lt;="&amp;$BC$2))</f>
        <v/>
      </c>
      <c r="E116" s="25" t="str">
        <f>IF(OR($B116="",基础资料!$B$6=""),"",SUMIFS(周转筐出入库明细!$J$4:$J$2004,周转筐出入库明细!$C$4:$C$2004,$B116,周转筐出入库明细!$D$4:$D$2004,基础资料!$B$6,周转筐出入库明细!$B$4:$B$2004,"&gt;="&amp;$BC$1,周转筐出入库明细!$B$4:$B$2004,"&lt;="&amp;$BC$2))</f>
        <v/>
      </c>
      <c r="F116" s="25" t="str">
        <f>IF(OR($B116="",基础资料!$B$7=""),"",SUMIFS(周转筐出入库明细!$J$4:$J$2004,周转筐出入库明细!$C$4:$C$2004,$B116,周转筐出入库明细!$D$4:$D$2004,基础资料!$B$7,周转筐出入库明细!$B$4:$B$2004,"&gt;="&amp;$BC$1,周转筐出入库明细!$B$4:$B$2004,"&lt;="&amp;$BC$2))</f>
        <v/>
      </c>
      <c r="G116" s="25" t="str">
        <f>IF(OR($B116="",基础资料!$B$8=""),"",SUMIFS(周转筐出入库明细!$J$4:$J$2004,周转筐出入库明细!$C$4:$C$2004,$B116,周转筐出入库明细!$D$4:$D$2004,基础资料!$B$8,周转筐出入库明细!$B$4:$B$2004,"&gt;="&amp;$BC$1,周转筐出入库明细!$B$4:$B$2004,"&lt;="&amp;$BC$2))</f>
        <v/>
      </c>
      <c r="H116" s="25" t="str">
        <f t="shared" si="13"/>
        <v/>
      </c>
      <c r="I116" s="67" t="str">
        <f>IF(OR($B116="",基础资料!$B$4=""),"",-SUMIFS(周转筐出入库明细!$I$4:$I$2004,周转筐出入库明细!$C$4:$C$2004,$B116,周转筐出入库明细!$D$4:$D$2004,基础资料!$B$4,周转筐出入库明细!$B$4:$B$2004,"&gt;="&amp;$BC$1,周转筐出入库明细!$B$4:$B$2004,"&lt;="&amp;$BC$2))</f>
        <v/>
      </c>
      <c r="J116" s="67" t="str">
        <f>IF(OR($B116="",基础资料!$B$5=""),"",-SUMIFS(周转筐出入库明细!$I$4:$I$2004,周转筐出入库明细!$C$4:$C$2004,$B116,周转筐出入库明细!$D$4:$D$2004,基础资料!$B$5,周转筐出入库明细!$B$4:$B$2004,"&gt;="&amp;$BC$1,周转筐出入库明细!$B$4:$B$2004,"&lt;="&amp;$BC$2))</f>
        <v/>
      </c>
      <c r="K116" s="67" t="str">
        <f>IF(OR($B116="",基础资料!$B$6=""),"",-SUMIFS(周转筐出入库明细!$I$4:$I$2004,周转筐出入库明细!$C$4:$C$2004,$B116,周转筐出入库明细!$D$4:$D$2004,基础资料!$B$6,周转筐出入库明细!$B$4:$B$2004,"&gt;="&amp;$BC$1,周转筐出入库明细!$B$4:$B$2004,"&lt;="&amp;$BC$2))</f>
        <v/>
      </c>
      <c r="L116" s="67" t="str">
        <f>IF(OR($B116="",基础资料!$B$7=""),"",-SUMIFS(周转筐出入库明细!$I$4:$I$2004,周转筐出入库明细!$C$4:$C$2004,$B116,周转筐出入库明细!$D$4:$D$2004,基础资料!$B$7,周转筐出入库明细!$B$4:$B$2004,"&gt;="&amp;$BC$1,周转筐出入库明细!$B$4:$B$2004,"&lt;="&amp;$BC$2))</f>
        <v/>
      </c>
      <c r="M116" s="67" t="str">
        <f>IF(OR($B116="",基础资料!$B$8=""),"",-SUMIFS(周转筐出入库明细!$I$4:$I$2004,周转筐出入库明细!$C$4:$C$2004,$B116,周转筐出入库明细!$D$4:$D$2004,基础资料!$B$8,周转筐出入库明细!$B$4:$B$2004,"&gt;="&amp;$BC$1,周转筐出入库明细!$B$4:$B$2004,"&lt;="&amp;$BC$2))</f>
        <v/>
      </c>
      <c r="N116" s="67" t="str">
        <f t="shared" si="14"/>
        <v/>
      </c>
      <c r="O116" s="25" t="str">
        <f>IF(OR($B116="",基础资料!$B$4=""),"",SUMIFS(周转筐出入库明细!$H$4:$H$2004,周转筐出入库明细!$C$4:$C$2004,$B116,周转筐出入库明细!$D$4:$D$2004,基础资料!$B$4,周转筐出入库明细!$F$4:$F$2004,"采购入库",周转筐出入库明细!$B$4:$B$2004,"&gt;="&amp;$BC$1,周转筐出入库明细!$B$4:$B$2004,"&lt;="&amp;$BC$2))</f>
        <v/>
      </c>
      <c r="P116" s="25" t="str">
        <f>IF(OR($B116="",基础资料!$B$5=""),"",SUMIFS(周转筐出入库明细!$H$4:$H$2004,周转筐出入库明细!$C$4:$C$2004,$B116,周转筐出入库明细!$D$4:$D$2004,基础资料!$B$5,周转筐出入库明细!$F$4:$F$2004,"采购入库",周转筐出入库明细!$B$4:$B$2004,"&gt;="&amp;$BC$1,周转筐出入库明细!$B$4:$B$2004,"&lt;="&amp;$BC$2))</f>
        <v/>
      </c>
      <c r="Q116" s="25" t="str">
        <f>IF(OR($B116="",基础资料!$B$6=""),"",SUMIFS(周转筐出入库明细!$H$4:$H$2004,周转筐出入库明细!$C$4:$C$2004,$B116,周转筐出入库明细!$D$4:$D$2004,基础资料!$B$6,周转筐出入库明细!$F$4:$F$2004,"采购入库",周转筐出入库明细!$B$4:$B$2004,"&gt;="&amp;$BC$1,周转筐出入库明细!$B$4:$B$2004,"&lt;="&amp;$BC$2))</f>
        <v/>
      </c>
      <c r="R116" s="25" t="str">
        <f>IF(OR($B116="",基础资料!$B$7=""),"",SUMIFS(周转筐出入库明细!$H$4:$H$2004,周转筐出入库明细!$C$4:$C$2004,$B116,周转筐出入库明细!$D$4:$D$2004,基础资料!$B$7,周转筐出入库明细!$F$4:$F$2004,"采购入库",周转筐出入库明细!$B$4:$B$2004,"&gt;="&amp;$BC$1,周转筐出入库明细!$B$4:$B$2004,"&lt;="&amp;$BC$2))</f>
        <v/>
      </c>
      <c r="S116" s="25" t="str">
        <f>IF(OR($B116="",基础资料!$B$8=""),"",SUMIFS(周转筐出入库明细!$H$4:$H$2004,周转筐出入库明细!$C$4:$C$2004,$B116,周转筐出入库明细!$D$4:$D$2004,基础资料!$B$8,周转筐出入库明细!$F$4:$F$2004,"采购入库",周转筐出入库明细!$B$4:$B$2004,"&gt;="&amp;$BC$1,周转筐出入库明细!$B$4:$B$2004,"&lt;="&amp;$BC$2))</f>
        <v/>
      </c>
      <c r="T116" s="25" t="str">
        <f t="shared" si="15"/>
        <v/>
      </c>
      <c r="U116" s="25" t="str">
        <f>IF(OR($B116="",基础资料!$B$4=""),"",SUMIFS(周转筐出入库明细!$K$4:$K$2004,周转筐出入库明细!$C$4:$C$2004,$B116,周转筐出入库明细!$D$4:$D$2004,基础资料!$B$4,周转筐出入库明细!$B$4:$B$2004,"&gt;="&amp;$BC$1,周转筐出入库明细!$B$4:$B$2004,"&lt;="&amp;$BC$2))</f>
        <v/>
      </c>
      <c r="V116" s="25" t="str">
        <f>IF(OR($B116="",基础资料!$B$5=""),"",SUMIFS(周转筐出入库明细!$K$4:$K$2004,周转筐出入库明细!$C$4:$C$2004,$B116,周转筐出入库明细!$D$4:$D$2004,基础资料!$B$5,周转筐出入库明细!$B$4:$B$2004,"&gt;="&amp;$BC$1,周转筐出入库明细!$B$4:$B$2004,"&lt;="&amp;$BC$2))</f>
        <v/>
      </c>
      <c r="W116" s="25" t="str">
        <f>IF(OR($B116="",基础资料!$B$6=""),"",SUMIFS(周转筐出入库明细!$K$4:$K$2004,周转筐出入库明细!$C$4:$C$2004,$B116,周转筐出入库明细!$D$4:$D$2004,基础资料!$B$6,周转筐出入库明细!$B$4:$B$2004,"&gt;="&amp;$BC$1,周转筐出入库明细!$B$4:$B$2004,"&lt;="&amp;$BC$2))</f>
        <v/>
      </c>
      <c r="X116" s="25" t="str">
        <f>IF(OR($B116="",基础资料!$B$7=""),"",SUMIFS(周转筐出入库明细!$K$4:$K$2004,周转筐出入库明细!$C$4:$C$2004,$B116,周转筐出入库明细!$D$4:$D$2004,基础资料!$B$7,周转筐出入库明细!$B$4:$B$2004,"&gt;="&amp;$BC$1,周转筐出入库明细!$B$4:$B$2004,"&lt;="&amp;$BC$2))</f>
        <v/>
      </c>
      <c r="Y116" s="25" t="str">
        <f>IF(OR($B116="",基础资料!$B$8=""),"",SUMIFS(周转筐出入库明细!$K$4:$K$2004,周转筐出入库明细!$C$4:$C$2004,$B116,周转筐出入库明细!$D$4:$D$2004,基础资料!$B$8,周转筐出入库明细!$B$4:$B$2004,"&gt;="&amp;$BC$1,周转筐出入库明细!$B$4:$B$2004,"&lt;="&amp;$BC$2))</f>
        <v/>
      </c>
      <c r="Z116" s="25" t="str">
        <f t="shared" si="16"/>
        <v/>
      </c>
      <c r="AA116" s="67" t="str">
        <f>IF(OR($B116="",基础资料!$B$4=""),"",-SUMIFS(对接源_01水果筐数!$D$5:$D$304,对接源_01水果筐数!$B$5:$B$304,$B116,对接源_01水果筐数!$C$5:$C$304,基础资料!$B$4))</f>
        <v/>
      </c>
      <c r="AB116" s="67" t="str">
        <f>IF(OR($B116="",基础资料!$B$5=""),"",-SUMIFS(对接源_01水果筐数!$D$5:$D$304,对接源_01水果筐数!$B$5:$B$304,$B116,对接源_01水果筐数!$C$5:$C$304,基础资料!$B$5))</f>
        <v/>
      </c>
      <c r="AC116" s="67" t="str">
        <f>IF(OR($B116="",基础资料!$B$6=""),"",-SUMIFS(对接源_01水果筐数!$D$5:$D$304,对接源_01水果筐数!$B$5:$B$304,$B116,对接源_01水果筐数!$C$5:$C$304,基础资料!$B$6))</f>
        <v/>
      </c>
      <c r="AD116" s="67" t="str">
        <f>IF(OR($B116="",基础资料!$B$7=""),"",-SUMIFS(对接源_01水果筐数!$D$5:$D$304,对接源_01水果筐数!$B$5:$B$304,$B116,对接源_01水果筐数!$C$5:$C$304,基础资料!$B$7))</f>
        <v/>
      </c>
      <c r="AE116" s="67" t="str">
        <f>IF(OR($B116="",基础资料!$B$8=""),"",-SUMIFS(对接源_01水果筐数!$D$5:$D$304,对接源_01水果筐数!$B$5:$B$304,$B116,对接源_01水果筐数!$C$5:$C$304,基础资料!$B$8))</f>
        <v/>
      </c>
      <c r="AF116" s="25" t="str">
        <f>IF(OR($B116="",基础资料!$B$4=""),"",SUMIFS(对接源_01水果筐数!$E$5:$E$304,对接源_01水果筐数!$B$5:$B$304,$B116,对接源_01水果筐数!$C$5:$C$304,基础资料!$B$4))</f>
        <v/>
      </c>
      <c r="AG116" s="25" t="str">
        <f>IF(OR($B116="",基础资料!$B$5=""),"",SUMIFS(对接源_01水果筐数!$E$5:$E$304,对接源_01水果筐数!$B$5:$B$304,$B116,对接源_01水果筐数!$C$5:$C$304,基础资料!$B$5))</f>
        <v/>
      </c>
      <c r="AH116" s="25" t="str">
        <f>IF(OR($B116="",基础资料!$B$6=""),"",SUMIFS(对接源_01水果筐数!$E$5:$E$304,对接源_01水果筐数!$B$5:$B$304,$B116,对接源_01水果筐数!$C$5:$C$304,基础资料!$B$6))</f>
        <v/>
      </c>
      <c r="AI116" s="25" t="str">
        <f>IF(OR($B116="",基础资料!$B$7=""),"",SUMIFS(对接源_01水果筐数!$E$5:$E$304,对接源_01水果筐数!$B$5:$B$304,$B116,对接源_01水果筐数!$C$5:$C$304,基础资料!$B$7))</f>
        <v/>
      </c>
      <c r="AJ116" s="25" t="str">
        <f>IF(OR($B116="",基础资料!$B$8=""),"",SUMIFS(对接源_01水果筐数!$E$5:$E$304,对接源_01水果筐数!$B$5:$B$304,$B116,对接源_01水果筐数!$C$5:$C$304,基础资料!$B$8))</f>
        <v/>
      </c>
      <c r="AK116" s="25" t="str">
        <f>IF(OR($B116="",基础资料!$B$4=""),"",SUMIFS(对接源_01水果筐数!$F$5:$F$304,对接源_01水果筐数!$B$5:$B$304,$B116,对接源_01水果筐数!$C$5:$C$304,基础资料!$B$4))</f>
        <v/>
      </c>
      <c r="AL116" s="25" t="str">
        <f>IF(OR($B116="",基础资料!$B$5=""),"",SUMIFS(对接源_01水果筐数!$F$5:$F$304,对接源_01水果筐数!$B$5:$B$304,$B116,对接源_01水果筐数!$C$5:$C$304,基础资料!$B$5))</f>
        <v/>
      </c>
      <c r="AM116" s="25" t="str">
        <f>IF(OR($B116="",基础资料!$B$6=""),"",SUMIFS(对接源_01水果筐数!$F$5:$F$304,对接源_01水果筐数!$B$5:$B$304,$B116,对接源_01水果筐数!$C$5:$C$304,基础资料!$B$6))</f>
        <v/>
      </c>
      <c r="AN116" s="25" t="str">
        <f>IF(OR($B116="",基础资料!$B$7=""),"",SUMIFS(对接源_01水果筐数!$F$5:$F$304,对接源_01水果筐数!$B$5:$B$304,$B116,对接源_01水果筐数!$C$5:$C$304,基础资料!$B$7))</f>
        <v/>
      </c>
      <c r="AO116" s="25" t="str">
        <f>IF(OR($B116="",基础资料!$B$8=""),"",SUMIFS(对接源_01水果筐数!$F$5:$F$304,对接源_01水果筐数!$B$5:$B$304,$B116,对接源_01水果筐数!$C$5:$C$304,基础资料!$B$8))</f>
        <v/>
      </c>
      <c r="AP116" s="25" t="str">
        <f t="shared" si="17"/>
        <v/>
      </c>
      <c r="AQ116" s="25" t="str">
        <f t="shared" si="18"/>
        <v/>
      </c>
      <c r="AR116" s="25" t="str">
        <f t="shared" si="19"/>
        <v/>
      </c>
      <c r="AS116" s="25" t="str">
        <f t="shared" si="20"/>
        <v/>
      </c>
      <c r="AT116" s="25" t="str">
        <f t="shared" si="21"/>
        <v/>
      </c>
      <c r="AU116" s="25" t="str">
        <f t="shared" si="22"/>
        <v/>
      </c>
      <c r="AV116" s="24" t="str">
        <f t="shared" si="23"/>
        <v/>
      </c>
      <c r="AW116" s="72"/>
    </row>
    <row r="117" spans="1:49">
      <c r="A117" s="22" t="str">
        <f t="shared" si="12"/>
        <v/>
      </c>
      <c r="B117" s="24" t="str">
        <f>IFERROR(INDEX(_自动清单!$CC$4:$CC$253,ROW()-3),"")</f>
        <v/>
      </c>
      <c r="C117" s="25" t="str">
        <f>IF(OR($B117="",基础资料!$B$4=""),"",SUMIFS(周转筐出入库明细!$J$4:$J$2004,周转筐出入库明细!$C$4:$C$2004,$B117,周转筐出入库明细!$D$4:$D$2004,基础资料!$B$4,周转筐出入库明细!$B$4:$B$2004,"&gt;="&amp;$BC$1,周转筐出入库明细!$B$4:$B$2004,"&lt;="&amp;$BC$2))</f>
        <v/>
      </c>
      <c r="D117" s="25" t="str">
        <f>IF(OR($B117="",基础资料!$B$5=""),"",SUMIFS(周转筐出入库明细!$J$4:$J$2004,周转筐出入库明细!$C$4:$C$2004,$B117,周转筐出入库明细!$D$4:$D$2004,基础资料!$B$5,周转筐出入库明细!$B$4:$B$2004,"&gt;="&amp;$BC$1,周转筐出入库明细!$B$4:$B$2004,"&lt;="&amp;$BC$2))</f>
        <v/>
      </c>
      <c r="E117" s="25" t="str">
        <f>IF(OR($B117="",基础资料!$B$6=""),"",SUMIFS(周转筐出入库明细!$J$4:$J$2004,周转筐出入库明细!$C$4:$C$2004,$B117,周转筐出入库明细!$D$4:$D$2004,基础资料!$B$6,周转筐出入库明细!$B$4:$B$2004,"&gt;="&amp;$BC$1,周转筐出入库明细!$B$4:$B$2004,"&lt;="&amp;$BC$2))</f>
        <v/>
      </c>
      <c r="F117" s="25" t="str">
        <f>IF(OR($B117="",基础资料!$B$7=""),"",SUMIFS(周转筐出入库明细!$J$4:$J$2004,周转筐出入库明细!$C$4:$C$2004,$B117,周转筐出入库明细!$D$4:$D$2004,基础资料!$B$7,周转筐出入库明细!$B$4:$B$2004,"&gt;="&amp;$BC$1,周转筐出入库明细!$B$4:$B$2004,"&lt;="&amp;$BC$2))</f>
        <v/>
      </c>
      <c r="G117" s="25" t="str">
        <f>IF(OR($B117="",基础资料!$B$8=""),"",SUMIFS(周转筐出入库明细!$J$4:$J$2004,周转筐出入库明细!$C$4:$C$2004,$B117,周转筐出入库明细!$D$4:$D$2004,基础资料!$B$8,周转筐出入库明细!$B$4:$B$2004,"&gt;="&amp;$BC$1,周转筐出入库明细!$B$4:$B$2004,"&lt;="&amp;$BC$2))</f>
        <v/>
      </c>
      <c r="H117" s="25" t="str">
        <f t="shared" si="13"/>
        <v/>
      </c>
      <c r="I117" s="67" t="str">
        <f>IF(OR($B117="",基础资料!$B$4=""),"",-SUMIFS(周转筐出入库明细!$I$4:$I$2004,周转筐出入库明细!$C$4:$C$2004,$B117,周转筐出入库明细!$D$4:$D$2004,基础资料!$B$4,周转筐出入库明细!$B$4:$B$2004,"&gt;="&amp;$BC$1,周转筐出入库明细!$B$4:$B$2004,"&lt;="&amp;$BC$2))</f>
        <v/>
      </c>
      <c r="J117" s="67" t="str">
        <f>IF(OR($B117="",基础资料!$B$5=""),"",-SUMIFS(周转筐出入库明细!$I$4:$I$2004,周转筐出入库明细!$C$4:$C$2004,$B117,周转筐出入库明细!$D$4:$D$2004,基础资料!$B$5,周转筐出入库明细!$B$4:$B$2004,"&gt;="&amp;$BC$1,周转筐出入库明细!$B$4:$B$2004,"&lt;="&amp;$BC$2))</f>
        <v/>
      </c>
      <c r="K117" s="67" t="str">
        <f>IF(OR($B117="",基础资料!$B$6=""),"",-SUMIFS(周转筐出入库明细!$I$4:$I$2004,周转筐出入库明细!$C$4:$C$2004,$B117,周转筐出入库明细!$D$4:$D$2004,基础资料!$B$6,周转筐出入库明细!$B$4:$B$2004,"&gt;="&amp;$BC$1,周转筐出入库明细!$B$4:$B$2004,"&lt;="&amp;$BC$2))</f>
        <v/>
      </c>
      <c r="L117" s="67" t="str">
        <f>IF(OR($B117="",基础资料!$B$7=""),"",-SUMIFS(周转筐出入库明细!$I$4:$I$2004,周转筐出入库明细!$C$4:$C$2004,$B117,周转筐出入库明细!$D$4:$D$2004,基础资料!$B$7,周转筐出入库明细!$B$4:$B$2004,"&gt;="&amp;$BC$1,周转筐出入库明细!$B$4:$B$2004,"&lt;="&amp;$BC$2))</f>
        <v/>
      </c>
      <c r="M117" s="67" t="str">
        <f>IF(OR($B117="",基础资料!$B$8=""),"",-SUMIFS(周转筐出入库明细!$I$4:$I$2004,周转筐出入库明细!$C$4:$C$2004,$B117,周转筐出入库明细!$D$4:$D$2004,基础资料!$B$8,周转筐出入库明细!$B$4:$B$2004,"&gt;="&amp;$BC$1,周转筐出入库明细!$B$4:$B$2004,"&lt;="&amp;$BC$2))</f>
        <v/>
      </c>
      <c r="N117" s="67" t="str">
        <f t="shared" si="14"/>
        <v/>
      </c>
      <c r="O117" s="25" t="str">
        <f>IF(OR($B117="",基础资料!$B$4=""),"",SUMIFS(周转筐出入库明细!$H$4:$H$2004,周转筐出入库明细!$C$4:$C$2004,$B117,周转筐出入库明细!$D$4:$D$2004,基础资料!$B$4,周转筐出入库明细!$F$4:$F$2004,"采购入库",周转筐出入库明细!$B$4:$B$2004,"&gt;="&amp;$BC$1,周转筐出入库明细!$B$4:$B$2004,"&lt;="&amp;$BC$2))</f>
        <v/>
      </c>
      <c r="P117" s="25" t="str">
        <f>IF(OR($B117="",基础资料!$B$5=""),"",SUMIFS(周转筐出入库明细!$H$4:$H$2004,周转筐出入库明细!$C$4:$C$2004,$B117,周转筐出入库明细!$D$4:$D$2004,基础资料!$B$5,周转筐出入库明细!$F$4:$F$2004,"采购入库",周转筐出入库明细!$B$4:$B$2004,"&gt;="&amp;$BC$1,周转筐出入库明细!$B$4:$B$2004,"&lt;="&amp;$BC$2))</f>
        <v/>
      </c>
      <c r="Q117" s="25" t="str">
        <f>IF(OR($B117="",基础资料!$B$6=""),"",SUMIFS(周转筐出入库明细!$H$4:$H$2004,周转筐出入库明细!$C$4:$C$2004,$B117,周转筐出入库明细!$D$4:$D$2004,基础资料!$B$6,周转筐出入库明细!$F$4:$F$2004,"采购入库",周转筐出入库明细!$B$4:$B$2004,"&gt;="&amp;$BC$1,周转筐出入库明细!$B$4:$B$2004,"&lt;="&amp;$BC$2))</f>
        <v/>
      </c>
      <c r="R117" s="25" t="str">
        <f>IF(OR($B117="",基础资料!$B$7=""),"",SUMIFS(周转筐出入库明细!$H$4:$H$2004,周转筐出入库明细!$C$4:$C$2004,$B117,周转筐出入库明细!$D$4:$D$2004,基础资料!$B$7,周转筐出入库明细!$F$4:$F$2004,"采购入库",周转筐出入库明细!$B$4:$B$2004,"&gt;="&amp;$BC$1,周转筐出入库明细!$B$4:$B$2004,"&lt;="&amp;$BC$2))</f>
        <v/>
      </c>
      <c r="S117" s="25" t="str">
        <f>IF(OR($B117="",基础资料!$B$8=""),"",SUMIFS(周转筐出入库明细!$H$4:$H$2004,周转筐出入库明细!$C$4:$C$2004,$B117,周转筐出入库明细!$D$4:$D$2004,基础资料!$B$8,周转筐出入库明细!$F$4:$F$2004,"采购入库",周转筐出入库明细!$B$4:$B$2004,"&gt;="&amp;$BC$1,周转筐出入库明细!$B$4:$B$2004,"&lt;="&amp;$BC$2))</f>
        <v/>
      </c>
      <c r="T117" s="25" t="str">
        <f t="shared" si="15"/>
        <v/>
      </c>
      <c r="U117" s="25" t="str">
        <f>IF(OR($B117="",基础资料!$B$4=""),"",SUMIFS(周转筐出入库明细!$K$4:$K$2004,周转筐出入库明细!$C$4:$C$2004,$B117,周转筐出入库明细!$D$4:$D$2004,基础资料!$B$4,周转筐出入库明细!$B$4:$B$2004,"&gt;="&amp;$BC$1,周转筐出入库明细!$B$4:$B$2004,"&lt;="&amp;$BC$2))</f>
        <v/>
      </c>
      <c r="V117" s="25" t="str">
        <f>IF(OR($B117="",基础资料!$B$5=""),"",SUMIFS(周转筐出入库明细!$K$4:$K$2004,周转筐出入库明细!$C$4:$C$2004,$B117,周转筐出入库明细!$D$4:$D$2004,基础资料!$B$5,周转筐出入库明细!$B$4:$B$2004,"&gt;="&amp;$BC$1,周转筐出入库明细!$B$4:$B$2004,"&lt;="&amp;$BC$2))</f>
        <v/>
      </c>
      <c r="W117" s="25" t="str">
        <f>IF(OR($B117="",基础资料!$B$6=""),"",SUMIFS(周转筐出入库明细!$K$4:$K$2004,周转筐出入库明细!$C$4:$C$2004,$B117,周转筐出入库明细!$D$4:$D$2004,基础资料!$B$6,周转筐出入库明细!$B$4:$B$2004,"&gt;="&amp;$BC$1,周转筐出入库明细!$B$4:$B$2004,"&lt;="&amp;$BC$2))</f>
        <v/>
      </c>
      <c r="X117" s="25" t="str">
        <f>IF(OR($B117="",基础资料!$B$7=""),"",SUMIFS(周转筐出入库明细!$K$4:$K$2004,周转筐出入库明细!$C$4:$C$2004,$B117,周转筐出入库明细!$D$4:$D$2004,基础资料!$B$7,周转筐出入库明细!$B$4:$B$2004,"&gt;="&amp;$BC$1,周转筐出入库明细!$B$4:$B$2004,"&lt;="&amp;$BC$2))</f>
        <v/>
      </c>
      <c r="Y117" s="25" t="str">
        <f>IF(OR($B117="",基础资料!$B$8=""),"",SUMIFS(周转筐出入库明细!$K$4:$K$2004,周转筐出入库明细!$C$4:$C$2004,$B117,周转筐出入库明细!$D$4:$D$2004,基础资料!$B$8,周转筐出入库明细!$B$4:$B$2004,"&gt;="&amp;$BC$1,周转筐出入库明细!$B$4:$B$2004,"&lt;="&amp;$BC$2))</f>
        <v/>
      </c>
      <c r="Z117" s="25" t="str">
        <f t="shared" si="16"/>
        <v/>
      </c>
      <c r="AA117" s="67" t="str">
        <f>IF(OR($B117="",基础资料!$B$4=""),"",-SUMIFS(对接源_01水果筐数!$D$5:$D$304,对接源_01水果筐数!$B$5:$B$304,$B117,对接源_01水果筐数!$C$5:$C$304,基础资料!$B$4))</f>
        <v/>
      </c>
      <c r="AB117" s="67" t="str">
        <f>IF(OR($B117="",基础资料!$B$5=""),"",-SUMIFS(对接源_01水果筐数!$D$5:$D$304,对接源_01水果筐数!$B$5:$B$304,$B117,对接源_01水果筐数!$C$5:$C$304,基础资料!$B$5))</f>
        <v/>
      </c>
      <c r="AC117" s="67" t="str">
        <f>IF(OR($B117="",基础资料!$B$6=""),"",-SUMIFS(对接源_01水果筐数!$D$5:$D$304,对接源_01水果筐数!$B$5:$B$304,$B117,对接源_01水果筐数!$C$5:$C$304,基础资料!$B$6))</f>
        <v/>
      </c>
      <c r="AD117" s="67" t="str">
        <f>IF(OR($B117="",基础资料!$B$7=""),"",-SUMIFS(对接源_01水果筐数!$D$5:$D$304,对接源_01水果筐数!$B$5:$B$304,$B117,对接源_01水果筐数!$C$5:$C$304,基础资料!$B$7))</f>
        <v/>
      </c>
      <c r="AE117" s="67" t="str">
        <f>IF(OR($B117="",基础资料!$B$8=""),"",-SUMIFS(对接源_01水果筐数!$D$5:$D$304,对接源_01水果筐数!$B$5:$B$304,$B117,对接源_01水果筐数!$C$5:$C$304,基础资料!$B$8))</f>
        <v/>
      </c>
      <c r="AF117" s="25" t="str">
        <f>IF(OR($B117="",基础资料!$B$4=""),"",SUMIFS(对接源_01水果筐数!$E$5:$E$304,对接源_01水果筐数!$B$5:$B$304,$B117,对接源_01水果筐数!$C$5:$C$304,基础资料!$B$4))</f>
        <v/>
      </c>
      <c r="AG117" s="25" t="str">
        <f>IF(OR($B117="",基础资料!$B$5=""),"",SUMIFS(对接源_01水果筐数!$E$5:$E$304,对接源_01水果筐数!$B$5:$B$304,$B117,对接源_01水果筐数!$C$5:$C$304,基础资料!$B$5))</f>
        <v/>
      </c>
      <c r="AH117" s="25" t="str">
        <f>IF(OR($B117="",基础资料!$B$6=""),"",SUMIFS(对接源_01水果筐数!$E$5:$E$304,对接源_01水果筐数!$B$5:$B$304,$B117,对接源_01水果筐数!$C$5:$C$304,基础资料!$B$6))</f>
        <v/>
      </c>
      <c r="AI117" s="25" t="str">
        <f>IF(OR($B117="",基础资料!$B$7=""),"",SUMIFS(对接源_01水果筐数!$E$5:$E$304,对接源_01水果筐数!$B$5:$B$304,$B117,对接源_01水果筐数!$C$5:$C$304,基础资料!$B$7))</f>
        <v/>
      </c>
      <c r="AJ117" s="25" t="str">
        <f>IF(OR($B117="",基础资料!$B$8=""),"",SUMIFS(对接源_01水果筐数!$E$5:$E$304,对接源_01水果筐数!$B$5:$B$304,$B117,对接源_01水果筐数!$C$5:$C$304,基础资料!$B$8))</f>
        <v/>
      </c>
      <c r="AK117" s="25" t="str">
        <f>IF(OR($B117="",基础资料!$B$4=""),"",SUMIFS(对接源_01水果筐数!$F$5:$F$304,对接源_01水果筐数!$B$5:$B$304,$B117,对接源_01水果筐数!$C$5:$C$304,基础资料!$B$4))</f>
        <v/>
      </c>
      <c r="AL117" s="25" t="str">
        <f>IF(OR($B117="",基础资料!$B$5=""),"",SUMIFS(对接源_01水果筐数!$F$5:$F$304,对接源_01水果筐数!$B$5:$B$304,$B117,对接源_01水果筐数!$C$5:$C$304,基础资料!$B$5))</f>
        <v/>
      </c>
      <c r="AM117" s="25" t="str">
        <f>IF(OR($B117="",基础资料!$B$6=""),"",SUMIFS(对接源_01水果筐数!$F$5:$F$304,对接源_01水果筐数!$B$5:$B$304,$B117,对接源_01水果筐数!$C$5:$C$304,基础资料!$B$6))</f>
        <v/>
      </c>
      <c r="AN117" s="25" t="str">
        <f>IF(OR($B117="",基础资料!$B$7=""),"",SUMIFS(对接源_01水果筐数!$F$5:$F$304,对接源_01水果筐数!$B$5:$B$304,$B117,对接源_01水果筐数!$C$5:$C$304,基础资料!$B$7))</f>
        <v/>
      </c>
      <c r="AO117" s="25" t="str">
        <f>IF(OR($B117="",基础资料!$B$8=""),"",SUMIFS(对接源_01水果筐数!$F$5:$F$304,对接源_01水果筐数!$B$5:$B$304,$B117,对接源_01水果筐数!$C$5:$C$304,基础资料!$B$8))</f>
        <v/>
      </c>
      <c r="AP117" s="25" t="str">
        <f t="shared" si="17"/>
        <v/>
      </c>
      <c r="AQ117" s="25" t="str">
        <f t="shared" si="18"/>
        <v/>
      </c>
      <c r="AR117" s="25" t="str">
        <f t="shared" si="19"/>
        <v/>
      </c>
      <c r="AS117" s="25" t="str">
        <f t="shared" si="20"/>
        <v/>
      </c>
      <c r="AT117" s="25" t="str">
        <f t="shared" si="21"/>
        <v/>
      </c>
      <c r="AU117" s="25" t="str">
        <f t="shared" si="22"/>
        <v/>
      </c>
      <c r="AV117" s="24" t="str">
        <f t="shared" si="23"/>
        <v/>
      </c>
      <c r="AW117" s="72"/>
    </row>
    <row r="118" spans="1:49">
      <c r="A118" s="22" t="str">
        <f t="shared" si="12"/>
        <v/>
      </c>
      <c r="B118" s="24" t="str">
        <f>IFERROR(INDEX(_自动清单!$CC$4:$CC$253,ROW()-3),"")</f>
        <v/>
      </c>
      <c r="C118" s="25" t="str">
        <f>IF(OR($B118="",基础资料!$B$4=""),"",SUMIFS(周转筐出入库明细!$J$4:$J$2004,周转筐出入库明细!$C$4:$C$2004,$B118,周转筐出入库明细!$D$4:$D$2004,基础资料!$B$4,周转筐出入库明细!$B$4:$B$2004,"&gt;="&amp;$BC$1,周转筐出入库明细!$B$4:$B$2004,"&lt;="&amp;$BC$2))</f>
        <v/>
      </c>
      <c r="D118" s="25" t="str">
        <f>IF(OR($B118="",基础资料!$B$5=""),"",SUMIFS(周转筐出入库明细!$J$4:$J$2004,周转筐出入库明细!$C$4:$C$2004,$B118,周转筐出入库明细!$D$4:$D$2004,基础资料!$B$5,周转筐出入库明细!$B$4:$B$2004,"&gt;="&amp;$BC$1,周转筐出入库明细!$B$4:$B$2004,"&lt;="&amp;$BC$2))</f>
        <v/>
      </c>
      <c r="E118" s="25" t="str">
        <f>IF(OR($B118="",基础资料!$B$6=""),"",SUMIFS(周转筐出入库明细!$J$4:$J$2004,周转筐出入库明细!$C$4:$C$2004,$B118,周转筐出入库明细!$D$4:$D$2004,基础资料!$B$6,周转筐出入库明细!$B$4:$B$2004,"&gt;="&amp;$BC$1,周转筐出入库明细!$B$4:$B$2004,"&lt;="&amp;$BC$2))</f>
        <v/>
      </c>
      <c r="F118" s="25" t="str">
        <f>IF(OR($B118="",基础资料!$B$7=""),"",SUMIFS(周转筐出入库明细!$J$4:$J$2004,周转筐出入库明细!$C$4:$C$2004,$B118,周转筐出入库明细!$D$4:$D$2004,基础资料!$B$7,周转筐出入库明细!$B$4:$B$2004,"&gt;="&amp;$BC$1,周转筐出入库明细!$B$4:$B$2004,"&lt;="&amp;$BC$2))</f>
        <v/>
      </c>
      <c r="G118" s="25" t="str">
        <f>IF(OR($B118="",基础资料!$B$8=""),"",SUMIFS(周转筐出入库明细!$J$4:$J$2004,周转筐出入库明细!$C$4:$C$2004,$B118,周转筐出入库明细!$D$4:$D$2004,基础资料!$B$8,周转筐出入库明细!$B$4:$B$2004,"&gt;="&amp;$BC$1,周转筐出入库明细!$B$4:$B$2004,"&lt;="&amp;$BC$2))</f>
        <v/>
      </c>
      <c r="H118" s="25" t="str">
        <f t="shared" si="13"/>
        <v/>
      </c>
      <c r="I118" s="67" t="str">
        <f>IF(OR($B118="",基础资料!$B$4=""),"",-SUMIFS(周转筐出入库明细!$I$4:$I$2004,周转筐出入库明细!$C$4:$C$2004,$B118,周转筐出入库明细!$D$4:$D$2004,基础资料!$B$4,周转筐出入库明细!$B$4:$B$2004,"&gt;="&amp;$BC$1,周转筐出入库明细!$B$4:$B$2004,"&lt;="&amp;$BC$2))</f>
        <v/>
      </c>
      <c r="J118" s="67" t="str">
        <f>IF(OR($B118="",基础资料!$B$5=""),"",-SUMIFS(周转筐出入库明细!$I$4:$I$2004,周转筐出入库明细!$C$4:$C$2004,$B118,周转筐出入库明细!$D$4:$D$2004,基础资料!$B$5,周转筐出入库明细!$B$4:$B$2004,"&gt;="&amp;$BC$1,周转筐出入库明细!$B$4:$B$2004,"&lt;="&amp;$BC$2))</f>
        <v/>
      </c>
      <c r="K118" s="67" t="str">
        <f>IF(OR($B118="",基础资料!$B$6=""),"",-SUMIFS(周转筐出入库明细!$I$4:$I$2004,周转筐出入库明细!$C$4:$C$2004,$B118,周转筐出入库明细!$D$4:$D$2004,基础资料!$B$6,周转筐出入库明细!$B$4:$B$2004,"&gt;="&amp;$BC$1,周转筐出入库明细!$B$4:$B$2004,"&lt;="&amp;$BC$2))</f>
        <v/>
      </c>
      <c r="L118" s="67" t="str">
        <f>IF(OR($B118="",基础资料!$B$7=""),"",-SUMIFS(周转筐出入库明细!$I$4:$I$2004,周转筐出入库明细!$C$4:$C$2004,$B118,周转筐出入库明细!$D$4:$D$2004,基础资料!$B$7,周转筐出入库明细!$B$4:$B$2004,"&gt;="&amp;$BC$1,周转筐出入库明细!$B$4:$B$2004,"&lt;="&amp;$BC$2))</f>
        <v/>
      </c>
      <c r="M118" s="67" t="str">
        <f>IF(OR($B118="",基础资料!$B$8=""),"",-SUMIFS(周转筐出入库明细!$I$4:$I$2004,周转筐出入库明细!$C$4:$C$2004,$B118,周转筐出入库明细!$D$4:$D$2004,基础资料!$B$8,周转筐出入库明细!$B$4:$B$2004,"&gt;="&amp;$BC$1,周转筐出入库明细!$B$4:$B$2004,"&lt;="&amp;$BC$2))</f>
        <v/>
      </c>
      <c r="N118" s="67" t="str">
        <f t="shared" si="14"/>
        <v/>
      </c>
      <c r="O118" s="25" t="str">
        <f>IF(OR($B118="",基础资料!$B$4=""),"",SUMIFS(周转筐出入库明细!$H$4:$H$2004,周转筐出入库明细!$C$4:$C$2004,$B118,周转筐出入库明细!$D$4:$D$2004,基础资料!$B$4,周转筐出入库明细!$F$4:$F$2004,"采购入库",周转筐出入库明细!$B$4:$B$2004,"&gt;="&amp;$BC$1,周转筐出入库明细!$B$4:$B$2004,"&lt;="&amp;$BC$2))</f>
        <v/>
      </c>
      <c r="P118" s="25" t="str">
        <f>IF(OR($B118="",基础资料!$B$5=""),"",SUMIFS(周转筐出入库明细!$H$4:$H$2004,周转筐出入库明细!$C$4:$C$2004,$B118,周转筐出入库明细!$D$4:$D$2004,基础资料!$B$5,周转筐出入库明细!$F$4:$F$2004,"采购入库",周转筐出入库明细!$B$4:$B$2004,"&gt;="&amp;$BC$1,周转筐出入库明细!$B$4:$B$2004,"&lt;="&amp;$BC$2))</f>
        <v/>
      </c>
      <c r="Q118" s="25" t="str">
        <f>IF(OR($B118="",基础资料!$B$6=""),"",SUMIFS(周转筐出入库明细!$H$4:$H$2004,周转筐出入库明细!$C$4:$C$2004,$B118,周转筐出入库明细!$D$4:$D$2004,基础资料!$B$6,周转筐出入库明细!$F$4:$F$2004,"采购入库",周转筐出入库明细!$B$4:$B$2004,"&gt;="&amp;$BC$1,周转筐出入库明细!$B$4:$B$2004,"&lt;="&amp;$BC$2))</f>
        <v/>
      </c>
      <c r="R118" s="25" t="str">
        <f>IF(OR($B118="",基础资料!$B$7=""),"",SUMIFS(周转筐出入库明细!$H$4:$H$2004,周转筐出入库明细!$C$4:$C$2004,$B118,周转筐出入库明细!$D$4:$D$2004,基础资料!$B$7,周转筐出入库明细!$F$4:$F$2004,"采购入库",周转筐出入库明细!$B$4:$B$2004,"&gt;="&amp;$BC$1,周转筐出入库明细!$B$4:$B$2004,"&lt;="&amp;$BC$2))</f>
        <v/>
      </c>
      <c r="S118" s="25" t="str">
        <f>IF(OR($B118="",基础资料!$B$8=""),"",SUMIFS(周转筐出入库明细!$H$4:$H$2004,周转筐出入库明细!$C$4:$C$2004,$B118,周转筐出入库明细!$D$4:$D$2004,基础资料!$B$8,周转筐出入库明细!$F$4:$F$2004,"采购入库",周转筐出入库明细!$B$4:$B$2004,"&gt;="&amp;$BC$1,周转筐出入库明细!$B$4:$B$2004,"&lt;="&amp;$BC$2))</f>
        <v/>
      </c>
      <c r="T118" s="25" t="str">
        <f t="shared" si="15"/>
        <v/>
      </c>
      <c r="U118" s="25" t="str">
        <f>IF(OR($B118="",基础资料!$B$4=""),"",SUMIFS(周转筐出入库明细!$K$4:$K$2004,周转筐出入库明细!$C$4:$C$2004,$B118,周转筐出入库明细!$D$4:$D$2004,基础资料!$B$4,周转筐出入库明细!$B$4:$B$2004,"&gt;="&amp;$BC$1,周转筐出入库明细!$B$4:$B$2004,"&lt;="&amp;$BC$2))</f>
        <v/>
      </c>
      <c r="V118" s="25" t="str">
        <f>IF(OR($B118="",基础资料!$B$5=""),"",SUMIFS(周转筐出入库明细!$K$4:$K$2004,周转筐出入库明细!$C$4:$C$2004,$B118,周转筐出入库明细!$D$4:$D$2004,基础资料!$B$5,周转筐出入库明细!$B$4:$B$2004,"&gt;="&amp;$BC$1,周转筐出入库明细!$B$4:$B$2004,"&lt;="&amp;$BC$2))</f>
        <v/>
      </c>
      <c r="W118" s="25" t="str">
        <f>IF(OR($B118="",基础资料!$B$6=""),"",SUMIFS(周转筐出入库明细!$K$4:$K$2004,周转筐出入库明细!$C$4:$C$2004,$B118,周转筐出入库明细!$D$4:$D$2004,基础资料!$B$6,周转筐出入库明细!$B$4:$B$2004,"&gt;="&amp;$BC$1,周转筐出入库明细!$B$4:$B$2004,"&lt;="&amp;$BC$2))</f>
        <v/>
      </c>
      <c r="X118" s="25" t="str">
        <f>IF(OR($B118="",基础资料!$B$7=""),"",SUMIFS(周转筐出入库明细!$K$4:$K$2004,周转筐出入库明细!$C$4:$C$2004,$B118,周转筐出入库明细!$D$4:$D$2004,基础资料!$B$7,周转筐出入库明细!$B$4:$B$2004,"&gt;="&amp;$BC$1,周转筐出入库明细!$B$4:$B$2004,"&lt;="&amp;$BC$2))</f>
        <v/>
      </c>
      <c r="Y118" s="25" t="str">
        <f>IF(OR($B118="",基础资料!$B$8=""),"",SUMIFS(周转筐出入库明细!$K$4:$K$2004,周转筐出入库明细!$C$4:$C$2004,$B118,周转筐出入库明细!$D$4:$D$2004,基础资料!$B$8,周转筐出入库明细!$B$4:$B$2004,"&gt;="&amp;$BC$1,周转筐出入库明细!$B$4:$B$2004,"&lt;="&amp;$BC$2))</f>
        <v/>
      </c>
      <c r="Z118" s="25" t="str">
        <f t="shared" si="16"/>
        <v/>
      </c>
      <c r="AA118" s="67" t="str">
        <f>IF(OR($B118="",基础资料!$B$4=""),"",-SUMIFS(对接源_01水果筐数!$D$5:$D$304,对接源_01水果筐数!$B$5:$B$304,$B118,对接源_01水果筐数!$C$5:$C$304,基础资料!$B$4))</f>
        <v/>
      </c>
      <c r="AB118" s="67" t="str">
        <f>IF(OR($B118="",基础资料!$B$5=""),"",-SUMIFS(对接源_01水果筐数!$D$5:$D$304,对接源_01水果筐数!$B$5:$B$304,$B118,对接源_01水果筐数!$C$5:$C$304,基础资料!$B$5))</f>
        <v/>
      </c>
      <c r="AC118" s="67" t="str">
        <f>IF(OR($B118="",基础资料!$B$6=""),"",-SUMIFS(对接源_01水果筐数!$D$5:$D$304,对接源_01水果筐数!$B$5:$B$304,$B118,对接源_01水果筐数!$C$5:$C$304,基础资料!$B$6))</f>
        <v/>
      </c>
      <c r="AD118" s="67" t="str">
        <f>IF(OR($B118="",基础资料!$B$7=""),"",-SUMIFS(对接源_01水果筐数!$D$5:$D$304,对接源_01水果筐数!$B$5:$B$304,$B118,对接源_01水果筐数!$C$5:$C$304,基础资料!$B$7))</f>
        <v/>
      </c>
      <c r="AE118" s="67" t="str">
        <f>IF(OR($B118="",基础资料!$B$8=""),"",-SUMIFS(对接源_01水果筐数!$D$5:$D$304,对接源_01水果筐数!$B$5:$B$304,$B118,对接源_01水果筐数!$C$5:$C$304,基础资料!$B$8))</f>
        <v/>
      </c>
      <c r="AF118" s="25" t="str">
        <f>IF(OR($B118="",基础资料!$B$4=""),"",SUMIFS(对接源_01水果筐数!$E$5:$E$304,对接源_01水果筐数!$B$5:$B$304,$B118,对接源_01水果筐数!$C$5:$C$304,基础资料!$B$4))</f>
        <v/>
      </c>
      <c r="AG118" s="25" t="str">
        <f>IF(OR($B118="",基础资料!$B$5=""),"",SUMIFS(对接源_01水果筐数!$E$5:$E$304,对接源_01水果筐数!$B$5:$B$304,$B118,对接源_01水果筐数!$C$5:$C$304,基础资料!$B$5))</f>
        <v/>
      </c>
      <c r="AH118" s="25" t="str">
        <f>IF(OR($B118="",基础资料!$B$6=""),"",SUMIFS(对接源_01水果筐数!$E$5:$E$304,对接源_01水果筐数!$B$5:$B$304,$B118,对接源_01水果筐数!$C$5:$C$304,基础资料!$B$6))</f>
        <v/>
      </c>
      <c r="AI118" s="25" t="str">
        <f>IF(OR($B118="",基础资料!$B$7=""),"",SUMIFS(对接源_01水果筐数!$E$5:$E$304,对接源_01水果筐数!$B$5:$B$304,$B118,对接源_01水果筐数!$C$5:$C$304,基础资料!$B$7))</f>
        <v/>
      </c>
      <c r="AJ118" s="25" t="str">
        <f>IF(OR($B118="",基础资料!$B$8=""),"",SUMIFS(对接源_01水果筐数!$E$5:$E$304,对接源_01水果筐数!$B$5:$B$304,$B118,对接源_01水果筐数!$C$5:$C$304,基础资料!$B$8))</f>
        <v/>
      </c>
      <c r="AK118" s="25" t="str">
        <f>IF(OR($B118="",基础资料!$B$4=""),"",SUMIFS(对接源_01水果筐数!$F$5:$F$304,对接源_01水果筐数!$B$5:$B$304,$B118,对接源_01水果筐数!$C$5:$C$304,基础资料!$B$4))</f>
        <v/>
      </c>
      <c r="AL118" s="25" t="str">
        <f>IF(OR($B118="",基础资料!$B$5=""),"",SUMIFS(对接源_01水果筐数!$F$5:$F$304,对接源_01水果筐数!$B$5:$B$304,$B118,对接源_01水果筐数!$C$5:$C$304,基础资料!$B$5))</f>
        <v/>
      </c>
      <c r="AM118" s="25" t="str">
        <f>IF(OR($B118="",基础资料!$B$6=""),"",SUMIFS(对接源_01水果筐数!$F$5:$F$304,对接源_01水果筐数!$B$5:$B$304,$B118,对接源_01水果筐数!$C$5:$C$304,基础资料!$B$6))</f>
        <v/>
      </c>
      <c r="AN118" s="25" t="str">
        <f>IF(OR($B118="",基础资料!$B$7=""),"",SUMIFS(对接源_01水果筐数!$F$5:$F$304,对接源_01水果筐数!$B$5:$B$304,$B118,对接源_01水果筐数!$C$5:$C$304,基础资料!$B$7))</f>
        <v/>
      </c>
      <c r="AO118" s="25" t="str">
        <f>IF(OR($B118="",基础资料!$B$8=""),"",SUMIFS(对接源_01水果筐数!$F$5:$F$304,对接源_01水果筐数!$B$5:$B$304,$B118,对接源_01水果筐数!$C$5:$C$304,基础资料!$B$8))</f>
        <v/>
      </c>
      <c r="AP118" s="25" t="str">
        <f t="shared" si="17"/>
        <v/>
      </c>
      <c r="AQ118" s="25" t="str">
        <f t="shared" si="18"/>
        <v/>
      </c>
      <c r="AR118" s="25" t="str">
        <f t="shared" si="19"/>
        <v/>
      </c>
      <c r="AS118" s="25" t="str">
        <f t="shared" si="20"/>
        <v/>
      </c>
      <c r="AT118" s="25" t="str">
        <f t="shared" si="21"/>
        <v/>
      </c>
      <c r="AU118" s="25" t="str">
        <f t="shared" si="22"/>
        <v/>
      </c>
      <c r="AV118" s="24" t="str">
        <f t="shared" si="23"/>
        <v/>
      </c>
      <c r="AW118" s="72"/>
    </row>
    <row r="119" spans="1:49">
      <c r="A119" s="22" t="str">
        <f t="shared" si="12"/>
        <v/>
      </c>
      <c r="B119" s="24" t="str">
        <f>IFERROR(INDEX(_自动清单!$CC$4:$CC$253,ROW()-3),"")</f>
        <v/>
      </c>
      <c r="C119" s="25" t="str">
        <f>IF(OR($B119="",基础资料!$B$4=""),"",SUMIFS(周转筐出入库明细!$J$4:$J$2004,周转筐出入库明细!$C$4:$C$2004,$B119,周转筐出入库明细!$D$4:$D$2004,基础资料!$B$4,周转筐出入库明细!$B$4:$B$2004,"&gt;="&amp;$BC$1,周转筐出入库明细!$B$4:$B$2004,"&lt;="&amp;$BC$2))</f>
        <v/>
      </c>
      <c r="D119" s="25" t="str">
        <f>IF(OR($B119="",基础资料!$B$5=""),"",SUMIFS(周转筐出入库明细!$J$4:$J$2004,周转筐出入库明细!$C$4:$C$2004,$B119,周转筐出入库明细!$D$4:$D$2004,基础资料!$B$5,周转筐出入库明细!$B$4:$B$2004,"&gt;="&amp;$BC$1,周转筐出入库明细!$B$4:$B$2004,"&lt;="&amp;$BC$2))</f>
        <v/>
      </c>
      <c r="E119" s="25" t="str">
        <f>IF(OR($B119="",基础资料!$B$6=""),"",SUMIFS(周转筐出入库明细!$J$4:$J$2004,周转筐出入库明细!$C$4:$C$2004,$B119,周转筐出入库明细!$D$4:$D$2004,基础资料!$B$6,周转筐出入库明细!$B$4:$B$2004,"&gt;="&amp;$BC$1,周转筐出入库明细!$B$4:$B$2004,"&lt;="&amp;$BC$2))</f>
        <v/>
      </c>
      <c r="F119" s="25" t="str">
        <f>IF(OR($B119="",基础资料!$B$7=""),"",SUMIFS(周转筐出入库明细!$J$4:$J$2004,周转筐出入库明细!$C$4:$C$2004,$B119,周转筐出入库明细!$D$4:$D$2004,基础资料!$B$7,周转筐出入库明细!$B$4:$B$2004,"&gt;="&amp;$BC$1,周转筐出入库明细!$B$4:$B$2004,"&lt;="&amp;$BC$2))</f>
        <v/>
      </c>
      <c r="G119" s="25" t="str">
        <f>IF(OR($B119="",基础资料!$B$8=""),"",SUMIFS(周转筐出入库明细!$J$4:$J$2004,周转筐出入库明细!$C$4:$C$2004,$B119,周转筐出入库明细!$D$4:$D$2004,基础资料!$B$8,周转筐出入库明细!$B$4:$B$2004,"&gt;="&amp;$BC$1,周转筐出入库明细!$B$4:$B$2004,"&lt;="&amp;$BC$2))</f>
        <v/>
      </c>
      <c r="H119" s="25" t="str">
        <f t="shared" si="13"/>
        <v/>
      </c>
      <c r="I119" s="67" t="str">
        <f>IF(OR($B119="",基础资料!$B$4=""),"",-SUMIFS(周转筐出入库明细!$I$4:$I$2004,周转筐出入库明细!$C$4:$C$2004,$B119,周转筐出入库明细!$D$4:$D$2004,基础资料!$B$4,周转筐出入库明细!$B$4:$B$2004,"&gt;="&amp;$BC$1,周转筐出入库明细!$B$4:$B$2004,"&lt;="&amp;$BC$2))</f>
        <v/>
      </c>
      <c r="J119" s="67" t="str">
        <f>IF(OR($B119="",基础资料!$B$5=""),"",-SUMIFS(周转筐出入库明细!$I$4:$I$2004,周转筐出入库明细!$C$4:$C$2004,$B119,周转筐出入库明细!$D$4:$D$2004,基础资料!$B$5,周转筐出入库明细!$B$4:$B$2004,"&gt;="&amp;$BC$1,周转筐出入库明细!$B$4:$B$2004,"&lt;="&amp;$BC$2))</f>
        <v/>
      </c>
      <c r="K119" s="67" t="str">
        <f>IF(OR($B119="",基础资料!$B$6=""),"",-SUMIFS(周转筐出入库明细!$I$4:$I$2004,周转筐出入库明细!$C$4:$C$2004,$B119,周转筐出入库明细!$D$4:$D$2004,基础资料!$B$6,周转筐出入库明细!$B$4:$B$2004,"&gt;="&amp;$BC$1,周转筐出入库明细!$B$4:$B$2004,"&lt;="&amp;$BC$2))</f>
        <v/>
      </c>
      <c r="L119" s="67" t="str">
        <f>IF(OR($B119="",基础资料!$B$7=""),"",-SUMIFS(周转筐出入库明细!$I$4:$I$2004,周转筐出入库明细!$C$4:$C$2004,$B119,周转筐出入库明细!$D$4:$D$2004,基础资料!$B$7,周转筐出入库明细!$B$4:$B$2004,"&gt;="&amp;$BC$1,周转筐出入库明细!$B$4:$B$2004,"&lt;="&amp;$BC$2))</f>
        <v/>
      </c>
      <c r="M119" s="67" t="str">
        <f>IF(OR($B119="",基础资料!$B$8=""),"",-SUMIFS(周转筐出入库明细!$I$4:$I$2004,周转筐出入库明细!$C$4:$C$2004,$B119,周转筐出入库明细!$D$4:$D$2004,基础资料!$B$8,周转筐出入库明细!$B$4:$B$2004,"&gt;="&amp;$BC$1,周转筐出入库明细!$B$4:$B$2004,"&lt;="&amp;$BC$2))</f>
        <v/>
      </c>
      <c r="N119" s="67" t="str">
        <f t="shared" si="14"/>
        <v/>
      </c>
      <c r="O119" s="25" t="str">
        <f>IF(OR($B119="",基础资料!$B$4=""),"",SUMIFS(周转筐出入库明细!$H$4:$H$2004,周转筐出入库明细!$C$4:$C$2004,$B119,周转筐出入库明细!$D$4:$D$2004,基础资料!$B$4,周转筐出入库明细!$F$4:$F$2004,"采购入库",周转筐出入库明细!$B$4:$B$2004,"&gt;="&amp;$BC$1,周转筐出入库明细!$B$4:$B$2004,"&lt;="&amp;$BC$2))</f>
        <v/>
      </c>
      <c r="P119" s="25" t="str">
        <f>IF(OR($B119="",基础资料!$B$5=""),"",SUMIFS(周转筐出入库明细!$H$4:$H$2004,周转筐出入库明细!$C$4:$C$2004,$B119,周转筐出入库明细!$D$4:$D$2004,基础资料!$B$5,周转筐出入库明细!$F$4:$F$2004,"采购入库",周转筐出入库明细!$B$4:$B$2004,"&gt;="&amp;$BC$1,周转筐出入库明细!$B$4:$B$2004,"&lt;="&amp;$BC$2))</f>
        <v/>
      </c>
      <c r="Q119" s="25" t="str">
        <f>IF(OR($B119="",基础资料!$B$6=""),"",SUMIFS(周转筐出入库明细!$H$4:$H$2004,周转筐出入库明细!$C$4:$C$2004,$B119,周转筐出入库明细!$D$4:$D$2004,基础资料!$B$6,周转筐出入库明细!$F$4:$F$2004,"采购入库",周转筐出入库明细!$B$4:$B$2004,"&gt;="&amp;$BC$1,周转筐出入库明细!$B$4:$B$2004,"&lt;="&amp;$BC$2))</f>
        <v/>
      </c>
      <c r="R119" s="25" t="str">
        <f>IF(OR($B119="",基础资料!$B$7=""),"",SUMIFS(周转筐出入库明细!$H$4:$H$2004,周转筐出入库明细!$C$4:$C$2004,$B119,周转筐出入库明细!$D$4:$D$2004,基础资料!$B$7,周转筐出入库明细!$F$4:$F$2004,"采购入库",周转筐出入库明细!$B$4:$B$2004,"&gt;="&amp;$BC$1,周转筐出入库明细!$B$4:$B$2004,"&lt;="&amp;$BC$2))</f>
        <v/>
      </c>
      <c r="S119" s="25" t="str">
        <f>IF(OR($B119="",基础资料!$B$8=""),"",SUMIFS(周转筐出入库明细!$H$4:$H$2004,周转筐出入库明细!$C$4:$C$2004,$B119,周转筐出入库明细!$D$4:$D$2004,基础资料!$B$8,周转筐出入库明细!$F$4:$F$2004,"采购入库",周转筐出入库明细!$B$4:$B$2004,"&gt;="&amp;$BC$1,周转筐出入库明细!$B$4:$B$2004,"&lt;="&amp;$BC$2))</f>
        <v/>
      </c>
      <c r="T119" s="25" t="str">
        <f t="shared" si="15"/>
        <v/>
      </c>
      <c r="U119" s="25" t="str">
        <f>IF(OR($B119="",基础资料!$B$4=""),"",SUMIFS(周转筐出入库明细!$K$4:$K$2004,周转筐出入库明细!$C$4:$C$2004,$B119,周转筐出入库明细!$D$4:$D$2004,基础资料!$B$4,周转筐出入库明细!$B$4:$B$2004,"&gt;="&amp;$BC$1,周转筐出入库明细!$B$4:$B$2004,"&lt;="&amp;$BC$2))</f>
        <v/>
      </c>
      <c r="V119" s="25" t="str">
        <f>IF(OR($B119="",基础资料!$B$5=""),"",SUMIFS(周转筐出入库明细!$K$4:$K$2004,周转筐出入库明细!$C$4:$C$2004,$B119,周转筐出入库明细!$D$4:$D$2004,基础资料!$B$5,周转筐出入库明细!$B$4:$B$2004,"&gt;="&amp;$BC$1,周转筐出入库明细!$B$4:$B$2004,"&lt;="&amp;$BC$2))</f>
        <v/>
      </c>
      <c r="W119" s="25" t="str">
        <f>IF(OR($B119="",基础资料!$B$6=""),"",SUMIFS(周转筐出入库明细!$K$4:$K$2004,周转筐出入库明细!$C$4:$C$2004,$B119,周转筐出入库明细!$D$4:$D$2004,基础资料!$B$6,周转筐出入库明细!$B$4:$B$2004,"&gt;="&amp;$BC$1,周转筐出入库明细!$B$4:$B$2004,"&lt;="&amp;$BC$2))</f>
        <v/>
      </c>
      <c r="X119" s="25" t="str">
        <f>IF(OR($B119="",基础资料!$B$7=""),"",SUMIFS(周转筐出入库明细!$K$4:$K$2004,周转筐出入库明细!$C$4:$C$2004,$B119,周转筐出入库明细!$D$4:$D$2004,基础资料!$B$7,周转筐出入库明细!$B$4:$B$2004,"&gt;="&amp;$BC$1,周转筐出入库明细!$B$4:$B$2004,"&lt;="&amp;$BC$2))</f>
        <v/>
      </c>
      <c r="Y119" s="25" t="str">
        <f>IF(OR($B119="",基础资料!$B$8=""),"",SUMIFS(周转筐出入库明细!$K$4:$K$2004,周转筐出入库明细!$C$4:$C$2004,$B119,周转筐出入库明细!$D$4:$D$2004,基础资料!$B$8,周转筐出入库明细!$B$4:$B$2004,"&gt;="&amp;$BC$1,周转筐出入库明细!$B$4:$B$2004,"&lt;="&amp;$BC$2))</f>
        <v/>
      </c>
      <c r="Z119" s="25" t="str">
        <f t="shared" si="16"/>
        <v/>
      </c>
      <c r="AA119" s="67" t="str">
        <f>IF(OR($B119="",基础资料!$B$4=""),"",-SUMIFS(对接源_01水果筐数!$D$5:$D$304,对接源_01水果筐数!$B$5:$B$304,$B119,对接源_01水果筐数!$C$5:$C$304,基础资料!$B$4))</f>
        <v/>
      </c>
      <c r="AB119" s="67" t="str">
        <f>IF(OR($B119="",基础资料!$B$5=""),"",-SUMIFS(对接源_01水果筐数!$D$5:$D$304,对接源_01水果筐数!$B$5:$B$304,$B119,对接源_01水果筐数!$C$5:$C$304,基础资料!$B$5))</f>
        <v/>
      </c>
      <c r="AC119" s="67" t="str">
        <f>IF(OR($B119="",基础资料!$B$6=""),"",-SUMIFS(对接源_01水果筐数!$D$5:$D$304,对接源_01水果筐数!$B$5:$B$304,$B119,对接源_01水果筐数!$C$5:$C$304,基础资料!$B$6))</f>
        <v/>
      </c>
      <c r="AD119" s="67" t="str">
        <f>IF(OR($B119="",基础资料!$B$7=""),"",-SUMIFS(对接源_01水果筐数!$D$5:$D$304,对接源_01水果筐数!$B$5:$B$304,$B119,对接源_01水果筐数!$C$5:$C$304,基础资料!$B$7))</f>
        <v/>
      </c>
      <c r="AE119" s="67" t="str">
        <f>IF(OR($B119="",基础资料!$B$8=""),"",-SUMIFS(对接源_01水果筐数!$D$5:$D$304,对接源_01水果筐数!$B$5:$B$304,$B119,对接源_01水果筐数!$C$5:$C$304,基础资料!$B$8))</f>
        <v/>
      </c>
      <c r="AF119" s="25" t="str">
        <f>IF(OR($B119="",基础资料!$B$4=""),"",SUMIFS(对接源_01水果筐数!$E$5:$E$304,对接源_01水果筐数!$B$5:$B$304,$B119,对接源_01水果筐数!$C$5:$C$304,基础资料!$B$4))</f>
        <v/>
      </c>
      <c r="AG119" s="25" t="str">
        <f>IF(OR($B119="",基础资料!$B$5=""),"",SUMIFS(对接源_01水果筐数!$E$5:$E$304,对接源_01水果筐数!$B$5:$B$304,$B119,对接源_01水果筐数!$C$5:$C$304,基础资料!$B$5))</f>
        <v/>
      </c>
      <c r="AH119" s="25" t="str">
        <f>IF(OR($B119="",基础资料!$B$6=""),"",SUMIFS(对接源_01水果筐数!$E$5:$E$304,对接源_01水果筐数!$B$5:$B$304,$B119,对接源_01水果筐数!$C$5:$C$304,基础资料!$B$6))</f>
        <v/>
      </c>
      <c r="AI119" s="25" t="str">
        <f>IF(OR($B119="",基础资料!$B$7=""),"",SUMIFS(对接源_01水果筐数!$E$5:$E$304,对接源_01水果筐数!$B$5:$B$304,$B119,对接源_01水果筐数!$C$5:$C$304,基础资料!$B$7))</f>
        <v/>
      </c>
      <c r="AJ119" s="25" t="str">
        <f>IF(OR($B119="",基础资料!$B$8=""),"",SUMIFS(对接源_01水果筐数!$E$5:$E$304,对接源_01水果筐数!$B$5:$B$304,$B119,对接源_01水果筐数!$C$5:$C$304,基础资料!$B$8))</f>
        <v/>
      </c>
      <c r="AK119" s="25" t="str">
        <f>IF(OR($B119="",基础资料!$B$4=""),"",SUMIFS(对接源_01水果筐数!$F$5:$F$304,对接源_01水果筐数!$B$5:$B$304,$B119,对接源_01水果筐数!$C$5:$C$304,基础资料!$B$4))</f>
        <v/>
      </c>
      <c r="AL119" s="25" t="str">
        <f>IF(OR($B119="",基础资料!$B$5=""),"",SUMIFS(对接源_01水果筐数!$F$5:$F$304,对接源_01水果筐数!$B$5:$B$304,$B119,对接源_01水果筐数!$C$5:$C$304,基础资料!$B$5))</f>
        <v/>
      </c>
      <c r="AM119" s="25" t="str">
        <f>IF(OR($B119="",基础资料!$B$6=""),"",SUMIFS(对接源_01水果筐数!$F$5:$F$304,对接源_01水果筐数!$B$5:$B$304,$B119,对接源_01水果筐数!$C$5:$C$304,基础资料!$B$6))</f>
        <v/>
      </c>
      <c r="AN119" s="25" t="str">
        <f>IF(OR($B119="",基础资料!$B$7=""),"",SUMIFS(对接源_01水果筐数!$F$5:$F$304,对接源_01水果筐数!$B$5:$B$304,$B119,对接源_01水果筐数!$C$5:$C$304,基础资料!$B$7))</f>
        <v/>
      </c>
      <c r="AO119" s="25" t="str">
        <f>IF(OR($B119="",基础资料!$B$8=""),"",SUMIFS(对接源_01水果筐数!$F$5:$F$304,对接源_01水果筐数!$B$5:$B$304,$B119,对接源_01水果筐数!$C$5:$C$304,基础资料!$B$8))</f>
        <v/>
      </c>
      <c r="AP119" s="25" t="str">
        <f t="shared" si="17"/>
        <v/>
      </c>
      <c r="AQ119" s="25" t="str">
        <f t="shared" si="18"/>
        <v/>
      </c>
      <c r="AR119" s="25" t="str">
        <f t="shared" si="19"/>
        <v/>
      </c>
      <c r="AS119" s="25" t="str">
        <f t="shared" si="20"/>
        <v/>
      </c>
      <c r="AT119" s="25" t="str">
        <f t="shared" si="21"/>
        <v/>
      </c>
      <c r="AU119" s="25" t="str">
        <f t="shared" si="22"/>
        <v/>
      </c>
      <c r="AV119" s="24" t="str">
        <f t="shared" si="23"/>
        <v/>
      </c>
      <c r="AW119" s="72"/>
    </row>
    <row r="120" spans="1:49">
      <c r="A120" s="22" t="str">
        <f t="shared" si="12"/>
        <v/>
      </c>
      <c r="B120" s="24" t="str">
        <f>IFERROR(INDEX(_自动清单!$CC$4:$CC$253,ROW()-3),"")</f>
        <v/>
      </c>
      <c r="C120" s="25" t="str">
        <f>IF(OR($B120="",基础资料!$B$4=""),"",SUMIFS(周转筐出入库明细!$J$4:$J$2004,周转筐出入库明细!$C$4:$C$2004,$B120,周转筐出入库明细!$D$4:$D$2004,基础资料!$B$4,周转筐出入库明细!$B$4:$B$2004,"&gt;="&amp;$BC$1,周转筐出入库明细!$B$4:$B$2004,"&lt;="&amp;$BC$2))</f>
        <v/>
      </c>
      <c r="D120" s="25" t="str">
        <f>IF(OR($B120="",基础资料!$B$5=""),"",SUMIFS(周转筐出入库明细!$J$4:$J$2004,周转筐出入库明细!$C$4:$C$2004,$B120,周转筐出入库明细!$D$4:$D$2004,基础资料!$B$5,周转筐出入库明细!$B$4:$B$2004,"&gt;="&amp;$BC$1,周转筐出入库明细!$B$4:$B$2004,"&lt;="&amp;$BC$2))</f>
        <v/>
      </c>
      <c r="E120" s="25" t="str">
        <f>IF(OR($B120="",基础资料!$B$6=""),"",SUMIFS(周转筐出入库明细!$J$4:$J$2004,周转筐出入库明细!$C$4:$C$2004,$B120,周转筐出入库明细!$D$4:$D$2004,基础资料!$B$6,周转筐出入库明细!$B$4:$B$2004,"&gt;="&amp;$BC$1,周转筐出入库明细!$B$4:$B$2004,"&lt;="&amp;$BC$2))</f>
        <v/>
      </c>
      <c r="F120" s="25" t="str">
        <f>IF(OR($B120="",基础资料!$B$7=""),"",SUMIFS(周转筐出入库明细!$J$4:$J$2004,周转筐出入库明细!$C$4:$C$2004,$B120,周转筐出入库明细!$D$4:$D$2004,基础资料!$B$7,周转筐出入库明细!$B$4:$B$2004,"&gt;="&amp;$BC$1,周转筐出入库明细!$B$4:$B$2004,"&lt;="&amp;$BC$2))</f>
        <v/>
      </c>
      <c r="G120" s="25" t="str">
        <f>IF(OR($B120="",基础资料!$B$8=""),"",SUMIFS(周转筐出入库明细!$J$4:$J$2004,周转筐出入库明细!$C$4:$C$2004,$B120,周转筐出入库明细!$D$4:$D$2004,基础资料!$B$8,周转筐出入库明细!$B$4:$B$2004,"&gt;="&amp;$BC$1,周转筐出入库明细!$B$4:$B$2004,"&lt;="&amp;$BC$2))</f>
        <v/>
      </c>
      <c r="H120" s="25" t="str">
        <f t="shared" si="13"/>
        <v/>
      </c>
      <c r="I120" s="67" t="str">
        <f>IF(OR($B120="",基础资料!$B$4=""),"",-SUMIFS(周转筐出入库明细!$I$4:$I$2004,周转筐出入库明细!$C$4:$C$2004,$B120,周转筐出入库明细!$D$4:$D$2004,基础资料!$B$4,周转筐出入库明细!$B$4:$B$2004,"&gt;="&amp;$BC$1,周转筐出入库明细!$B$4:$B$2004,"&lt;="&amp;$BC$2))</f>
        <v/>
      </c>
      <c r="J120" s="67" t="str">
        <f>IF(OR($B120="",基础资料!$B$5=""),"",-SUMIFS(周转筐出入库明细!$I$4:$I$2004,周转筐出入库明细!$C$4:$C$2004,$B120,周转筐出入库明细!$D$4:$D$2004,基础资料!$B$5,周转筐出入库明细!$B$4:$B$2004,"&gt;="&amp;$BC$1,周转筐出入库明细!$B$4:$B$2004,"&lt;="&amp;$BC$2))</f>
        <v/>
      </c>
      <c r="K120" s="67" t="str">
        <f>IF(OR($B120="",基础资料!$B$6=""),"",-SUMIFS(周转筐出入库明细!$I$4:$I$2004,周转筐出入库明细!$C$4:$C$2004,$B120,周转筐出入库明细!$D$4:$D$2004,基础资料!$B$6,周转筐出入库明细!$B$4:$B$2004,"&gt;="&amp;$BC$1,周转筐出入库明细!$B$4:$B$2004,"&lt;="&amp;$BC$2))</f>
        <v/>
      </c>
      <c r="L120" s="67" t="str">
        <f>IF(OR($B120="",基础资料!$B$7=""),"",-SUMIFS(周转筐出入库明细!$I$4:$I$2004,周转筐出入库明细!$C$4:$C$2004,$B120,周转筐出入库明细!$D$4:$D$2004,基础资料!$B$7,周转筐出入库明细!$B$4:$B$2004,"&gt;="&amp;$BC$1,周转筐出入库明细!$B$4:$B$2004,"&lt;="&amp;$BC$2))</f>
        <v/>
      </c>
      <c r="M120" s="67" t="str">
        <f>IF(OR($B120="",基础资料!$B$8=""),"",-SUMIFS(周转筐出入库明细!$I$4:$I$2004,周转筐出入库明细!$C$4:$C$2004,$B120,周转筐出入库明细!$D$4:$D$2004,基础资料!$B$8,周转筐出入库明细!$B$4:$B$2004,"&gt;="&amp;$BC$1,周转筐出入库明细!$B$4:$B$2004,"&lt;="&amp;$BC$2))</f>
        <v/>
      </c>
      <c r="N120" s="67" t="str">
        <f t="shared" si="14"/>
        <v/>
      </c>
      <c r="O120" s="25" t="str">
        <f>IF(OR($B120="",基础资料!$B$4=""),"",SUMIFS(周转筐出入库明细!$H$4:$H$2004,周转筐出入库明细!$C$4:$C$2004,$B120,周转筐出入库明细!$D$4:$D$2004,基础资料!$B$4,周转筐出入库明细!$F$4:$F$2004,"采购入库",周转筐出入库明细!$B$4:$B$2004,"&gt;="&amp;$BC$1,周转筐出入库明细!$B$4:$B$2004,"&lt;="&amp;$BC$2))</f>
        <v/>
      </c>
      <c r="P120" s="25" t="str">
        <f>IF(OR($B120="",基础资料!$B$5=""),"",SUMIFS(周转筐出入库明细!$H$4:$H$2004,周转筐出入库明细!$C$4:$C$2004,$B120,周转筐出入库明细!$D$4:$D$2004,基础资料!$B$5,周转筐出入库明细!$F$4:$F$2004,"采购入库",周转筐出入库明细!$B$4:$B$2004,"&gt;="&amp;$BC$1,周转筐出入库明细!$B$4:$B$2004,"&lt;="&amp;$BC$2))</f>
        <v/>
      </c>
      <c r="Q120" s="25" t="str">
        <f>IF(OR($B120="",基础资料!$B$6=""),"",SUMIFS(周转筐出入库明细!$H$4:$H$2004,周转筐出入库明细!$C$4:$C$2004,$B120,周转筐出入库明细!$D$4:$D$2004,基础资料!$B$6,周转筐出入库明细!$F$4:$F$2004,"采购入库",周转筐出入库明细!$B$4:$B$2004,"&gt;="&amp;$BC$1,周转筐出入库明细!$B$4:$B$2004,"&lt;="&amp;$BC$2))</f>
        <v/>
      </c>
      <c r="R120" s="25" t="str">
        <f>IF(OR($B120="",基础资料!$B$7=""),"",SUMIFS(周转筐出入库明细!$H$4:$H$2004,周转筐出入库明细!$C$4:$C$2004,$B120,周转筐出入库明细!$D$4:$D$2004,基础资料!$B$7,周转筐出入库明细!$F$4:$F$2004,"采购入库",周转筐出入库明细!$B$4:$B$2004,"&gt;="&amp;$BC$1,周转筐出入库明细!$B$4:$B$2004,"&lt;="&amp;$BC$2))</f>
        <v/>
      </c>
      <c r="S120" s="25" t="str">
        <f>IF(OR($B120="",基础资料!$B$8=""),"",SUMIFS(周转筐出入库明细!$H$4:$H$2004,周转筐出入库明细!$C$4:$C$2004,$B120,周转筐出入库明细!$D$4:$D$2004,基础资料!$B$8,周转筐出入库明细!$F$4:$F$2004,"采购入库",周转筐出入库明细!$B$4:$B$2004,"&gt;="&amp;$BC$1,周转筐出入库明细!$B$4:$B$2004,"&lt;="&amp;$BC$2))</f>
        <v/>
      </c>
      <c r="T120" s="25" t="str">
        <f t="shared" si="15"/>
        <v/>
      </c>
      <c r="U120" s="25" t="str">
        <f>IF(OR($B120="",基础资料!$B$4=""),"",SUMIFS(周转筐出入库明细!$K$4:$K$2004,周转筐出入库明细!$C$4:$C$2004,$B120,周转筐出入库明细!$D$4:$D$2004,基础资料!$B$4,周转筐出入库明细!$B$4:$B$2004,"&gt;="&amp;$BC$1,周转筐出入库明细!$B$4:$B$2004,"&lt;="&amp;$BC$2))</f>
        <v/>
      </c>
      <c r="V120" s="25" t="str">
        <f>IF(OR($B120="",基础资料!$B$5=""),"",SUMIFS(周转筐出入库明细!$K$4:$K$2004,周转筐出入库明细!$C$4:$C$2004,$B120,周转筐出入库明细!$D$4:$D$2004,基础资料!$B$5,周转筐出入库明细!$B$4:$B$2004,"&gt;="&amp;$BC$1,周转筐出入库明细!$B$4:$B$2004,"&lt;="&amp;$BC$2))</f>
        <v/>
      </c>
      <c r="W120" s="25" t="str">
        <f>IF(OR($B120="",基础资料!$B$6=""),"",SUMIFS(周转筐出入库明细!$K$4:$K$2004,周转筐出入库明细!$C$4:$C$2004,$B120,周转筐出入库明细!$D$4:$D$2004,基础资料!$B$6,周转筐出入库明细!$B$4:$B$2004,"&gt;="&amp;$BC$1,周转筐出入库明细!$B$4:$B$2004,"&lt;="&amp;$BC$2))</f>
        <v/>
      </c>
      <c r="X120" s="25" t="str">
        <f>IF(OR($B120="",基础资料!$B$7=""),"",SUMIFS(周转筐出入库明细!$K$4:$K$2004,周转筐出入库明细!$C$4:$C$2004,$B120,周转筐出入库明细!$D$4:$D$2004,基础资料!$B$7,周转筐出入库明细!$B$4:$B$2004,"&gt;="&amp;$BC$1,周转筐出入库明细!$B$4:$B$2004,"&lt;="&amp;$BC$2))</f>
        <v/>
      </c>
      <c r="Y120" s="25" t="str">
        <f>IF(OR($B120="",基础资料!$B$8=""),"",SUMIFS(周转筐出入库明细!$K$4:$K$2004,周转筐出入库明细!$C$4:$C$2004,$B120,周转筐出入库明细!$D$4:$D$2004,基础资料!$B$8,周转筐出入库明细!$B$4:$B$2004,"&gt;="&amp;$BC$1,周转筐出入库明细!$B$4:$B$2004,"&lt;="&amp;$BC$2))</f>
        <v/>
      </c>
      <c r="Z120" s="25" t="str">
        <f t="shared" si="16"/>
        <v/>
      </c>
      <c r="AA120" s="67" t="str">
        <f>IF(OR($B120="",基础资料!$B$4=""),"",-SUMIFS(对接源_01水果筐数!$D$5:$D$304,对接源_01水果筐数!$B$5:$B$304,$B120,对接源_01水果筐数!$C$5:$C$304,基础资料!$B$4))</f>
        <v/>
      </c>
      <c r="AB120" s="67" t="str">
        <f>IF(OR($B120="",基础资料!$B$5=""),"",-SUMIFS(对接源_01水果筐数!$D$5:$D$304,对接源_01水果筐数!$B$5:$B$304,$B120,对接源_01水果筐数!$C$5:$C$304,基础资料!$B$5))</f>
        <v/>
      </c>
      <c r="AC120" s="67" t="str">
        <f>IF(OR($B120="",基础资料!$B$6=""),"",-SUMIFS(对接源_01水果筐数!$D$5:$D$304,对接源_01水果筐数!$B$5:$B$304,$B120,对接源_01水果筐数!$C$5:$C$304,基础资料!$B$6))</f>
        <v/>
      </c>
      <c r="AD120" s="67" t="str">
        <f>IF(OR($B120="",基础资料!$B$7=""),"",-SUMIFS(对接源_01水果筐数!$D$5:$D$304,对接源_01水果筐数!$B$5:$B$304,$B120,对接源_01水果筐数!$C$5:$C$304,基础资料!$B$7))</f>
        <v/>
      </c>
      <c r="AE120" s="67" t="str">
        <f>IF(OR($B120="",基础资料!$B$8=""),"",-SUMIFS(对接源_01水果筐数!$D$5:$D$304,对接源_01水果筐数!$B$5:$B$304,$B120,对接源_01水果筐数!$C$5:$C$304,基础资料!$B$8))</f>
        <v/>
      </c>
      <c r="AF120" s="25" t="str">
        <f>IF(OR($B120="",基础资料!$B$4=""),"",SUMIFS(对接源_01水果筐数!$E$5:$E$304,对接源_01水果筐数!$B$5:$B$304,$B120,对接源_01水果筐数!$C$5:$C$304,基础资料!$B$4))</f>
        <v/>
      </c>
      <c r="AG120" s="25" t="str">
        <f>IF(OR($B120="",基础资料!$B$5=""),"",SUMIFS(对接源_01水果筐数!$E$5:$E$304,对接源_01水果筐数!$B$5:$B$304,$B120,对接源_01水果筐数!$C$5:$C$304,基础资料!$B$5))</f>
        <v/>
      </c>
      <c r="AH120" s="25" t="str">
        <f>IF(OR($B120="",基础资料!$B$6=""),"",SUMIFS(对接源_01水果筐数!$E$5:$E$304,对接源_01水果筐数!$B$5:$B$304,$B120,对接源_01水果筐数!$C$5:$C$304,基础资料!$B$6))</f>
        <v/>
      </c>
      <c r="AI120" s="25" t="str">
        <f>IF(OR($B120="",基础资料!$B$7=""),"",SUMIFS(对接源_01水果筐数!$E$5:$E$304,对接源_01水果筐数!$B$5:$B$304,$B120,对接源_01水果筐数!$C$5:$C$304,基础资料!$B$7))</f>
        <v/>
      </c>
      <c r="AJ120" s="25" t="str">
        <f>IF(OR($B120="",基础资料!$B$8=""),"",SUMIFS(对接源_01水果筐数!$E$5:$E$304,对接源_01水果筐数!$B$5:$B$304,$B120,对接源_01水果筐数!$C$5:$C$304,基础资料!$B$8))</f>
        <v/>
      </c>
      <c r="AK120" s="25" t="str">
        <f>IF(OR($B120="",基础资料!$B$4=""),"",SUMIFS(对接源_01水果筐数!$F$5:$F$304,对接源_01水果筐数!$B$5:$B$304,$B120,对接源_01水果筐数!$C$5:$C$304,基础资料!$B$4))</f>
        <v/>
      </c>
      <c r="AL120" s="25" t="str">
        <f>IF(OR($B120="",基础资料!$B$5=""),"",SUMIFS(对接源_01水果筐数!$F$5:$F$304,对接源_01水果筐数!$B$5:$B$304,$B120,对接源_01水果筐数!$C$5:$C$304,基础资料!$B$5))</f>
        <v/>
      </c>
      <c r="AM120" s="25" t="str">
        <f>IF(OR($B120="",基础资料!$B$6=""),"",SUMIFS(对接源_01水果筐数!$F$5:$F$304,对接源_01水果筐数!$B$5:$B$304,$B120,对接源_01水果筐数!$C$5:$C$304,基础资料!$B$6))</f>
        <v/>
      </c>
      <c r="AN120" s="25" t="str">
        <f>IF(OR($B120="",基础资料!$B$7=""),"",SUMIFS(对接源_01水果筐数!$F$5:$F$304,对接源_01水果筐数!$B$5:$B$304,$B120,对接源_01水果筐数!$C$5:$C$304,基础资料!$B$7))</f>
        <v/>
      </c>
      <c r="AO120" s="25" t="str">
        <f>IF(OR($B120="",基础资料!$B$8=""),"",SUMIFS(对接源_01水果筐数!$F$5:$F$304,对接源_01水果筐数!$B$5:$B$304,$B120,对接源_01水果筐数!$C$5:$C$304,基础资料!$B$8))</f>
        <v/>
      </c>
      <c r="AP120" s="25" t="str">
        <f t="shared" si="17"/>
        <v/>
      </c>
      <c r="AQ120" s="25" t="str">
        <f t="shared" si="18"/>
        <v/>
      </c>
      <c r="AR120" s="25" t="str">
        <f t="shared" si="19"/>
        <v/>
      </c>
      <c r="AS120" s="25" t="str">
        <f t="shared" si="20"/>
        <v/>
      </c>
      <c r="AT120" s="25" t="str">
        <f t="shared" si="21"/>
        <v/>
      </c>
      <c r="AU120" s="25" t="str">
        <f t="shared" si="22"/>
        <v/>
      </c>
      <c r="AV120" s="24" t="str">
        <f t="shared" si="23"/>
        <v/>
      </c>
      <c r="AW120" s="72"/>
    </row>
    <row r="121" spans="1:49">
      <c r="A121" s="22" t="str">
        <f t="shared" si="12"/>
        <v/>
      </c>
      <c r="B121" s="24" t="str">
        <f>IFERROR(INDEX(_自动清单!$CC$4:$CC$253,ROW()-3),"")</f>
        <v/>
      </c>
      <c r="C121" s="25" t="str">
        <f>IF(OR($B121="",基础资料!$B$4=""),"",SUMIFS(周转筐出入库明细!$J$4:$J$2004,周转筐出入库明细!$C$4:$C$2004,$B121,周转筐出入库明细!$D$4:$D$2004,基础资料!$B$4,周转筐出入库明细!$B$4:$B$2004,"&gt;="&amp;$BC$1,周转筐出入库明细!$B$4:$B$2004,"&lt;="&amp;$BC$2))</f>
        <v/>
      </c>
      <c r="D121" s="25" t="str">
        <f>IF(OR($B121="",基础资料!$B$5=""),"",SUMIFS(周转筐出入库明细!$J$4:$J$2004,周转筐出入库明细!$C$4:$C$2004,$B121,周转筐出入库明细!$D$4:$D$2004,基础资料!$B$5,周转筐出入库明细!$B$4:$B$2004,"&gt;="&amp;$BC$1,周转筐出入库明细!$B$4:$B$2004,"&lt;="&amp;$BC$2))</f>
        <v/>
      </c>
      <c r="E121" s="25" t="str">
        <f>IF(OR($B121="",基础资料!$B$6=""),"",SUMIFS(周转筐出入库明细!$J$4:$J$2004,周转筐出入库明细!$C$4:$C$2004,$B121,周转筐出入库明细!$D$4:$D$2004,基础资料!$B$6,周转筐出入库明细!$B$4:$B$2004,"&gt;="&amp;$BC$1,周转筐出入库明细!$B$4:$B$2004,"&lt;="&amp;$BC$2))</f>
        <v/>
      </c>
      <c r="F121" s="25" t="str">
        <f>IF(OR($B121="",基础资料!$B$7=""),"",SUMIFS(周转筐出入库明细!$J$4:$J$2004,周转筐出入库明细!$C$4:$C$2004,$B121,周转筐出入库明细!$D$4:$D$2004,基础资料!$B$7,周转筐出入库明细!$B$4:$B$2004,"&gt;="&amp;$BC$1,周转筐出入库明细!$B$4:$B$2004,"&lt;="&amp;$BC$2))</f>
        <v/>
      </c>
      <c r="G121" s="25" t="str">
        <f>IF(OR($B121="",基础资料!$B$8=""),"",SUMIFS(周转筐出入库明细!$J$4:$J$2004,周转筐出入库明细!$C$4:$C$2004,$B121,周转筐出入库明细!$D$4:$D$2004,基础资料!$B$8,周转筐出入库明细!$B$4:$B$2004,"&gt;="&amp;$BC$1,周转筐出入库明细!$B$4:$B$2004,"&lt;="&amp;$BC$2))</f>
        <v/>
      </c>
      <c r="H121" s="25" t="str">
        <f t="shared" si="13"/>
        <v/>
      </c>
      <c r="I121" s="67" t="str">
        <f>IF(OR($B121="",基础资料!$B$4=""),"",-SUMIFS(周转筐出入库明细!$I$4:$I$2004,周转筐出入库明细!$C$4:$C$2004,$B121,周转筐出入库明细!$D$4:$D$2004,基础资料!$B$4,周转筐出入库明细!$B$4:$B$2004,"&gt;="&amp;$BC$1,周转筐出入库明细!$B$4:$B$2004,"&lt;="&amp;$BC$2))</f>
        <v/>
      </c>
      <c r="J121" s="67" t="str">
        <f>IF(OR($B121="",基础资料!$B$5=""),"",-SUMIFS(周转筐出入库明细!$I$4:$I$2004,周转筐出入库明细!$C$4:$C$2004,$B121,周转筐出入库明细!$D$4:$D$2004,基础资料!$B$5,周转筐出入库明细!$B$4:$B$2004,"&gt;="&amp;$BC$1,周转筐出入库明细!$B$4:$B$2004,"&lt;="&amp;$BC$2))</f>
        <v/>
      </c>
      <c r="K121" s="67" t="str">
        <f>IF(OR($B121="",基础资料!$B$6=""),"",-SUMIFS(周转筐出入库明细!$I$4:$I$2004,周转筐出入库明细!$C$4:$C$2004,$B121,周转筐出入库明细!$D$4:$D$2004,基础资料!$B$6,周转筐出入库明细!$B$4:$B$2004,"&gt;="&amp;$BC$1,周转筐出入库明细!$B$4:$B$2004,"&lt;="&amp;$BC$2))</f>
        <v/>
      </c>
      <c r="L121" s="67" t="str">
        <f>IF(OR($B121="",基础资料!$B$7=""),"",-SUMIFS(周转筐出入库明细!$I$4:$I$2004,周转筐出入库明细!$C$4:$C$2004,$B121,周转筐出入库明细!$D$4:$D$2004,基础资料!$B$7,周转筐出入库明细!$B$4:$B$2004,"&gt;="&amp;$BC$1,周转筐出入库明细!$B$4:$B$2004,"&lt;="&amp;$BC$2))</f>
        <v/>
      </c>
      <c r="M121" s="67" t="str">
        <f>IF(OR($B121="",基础资料!$B$8=""),"",-SUMIFS(周转筐出入库明细!$I$4:$I$2004,周转筐出入库明细!$C$4:$C$2004,$B121,周转筐出入库明细!$D$4:$D$2004,基础资料!$B$8,周转筐出入库明细!$B$4:$B$2004,"&gt;="&amp;$BC$1,周转筐出入库明细!$B$4:$B$2004,"&lt;="&amp;$BC$2))</f>
        <v/>
      </c>
      <c r="N121" s="67" t="str">
        <f t="shared" si="14"/>
        <v/>
      </c>
      <c r="O121" s="25" t="str">
        <f>IF(OR($B121="",基础资料!$B$4=""),"",SUMIFS(周转筐出入库明细!$H$4:$H$2004,周转筐出入库明细!$C$4:$C$2004,$B121,周转筐出入库明细!$D$4:$D$2004,基础资料!$B$4,周转筐出入库明细!$F$4:$F$2004,"采购入库",周转筐出入库明细!$B$4:$B$2004,"&gt;="&amp;$BC$1,周转筐出入库明细!$B$4:$B$2004,"&lt;="&amp;$BC$2))</f>
        <v/>
      </c>
      <c r="P121" s="25" t="str">
        <f>IF(OR($B121="",基础资料!$B$5=""),"",SUMIFS(周转筐出入库明细!$H$4:$H$2004,周转筐出入库明细!$C$4:$C$2004,$B121,周转筐出入库明细!$D$4:$D$2004,基础资料!$B$5,周转筐出入库明细!$F$4:$F$2004,"采购入库",周转筐出入库明细!$B$4:$B$2004,"&gt;="&amp;$BC$1,周转筐出入库明细!$B$4:$B$2004,"&lt;="&amp;$BC$2))</f>
        <v/>
      </c>
      <c r="Q121" s="25" t="str">
        <f>IF(OR($B121="",基础资料!$B$6=""),"",SUMIFS(周转筐出入库明细!$H$4:$H$2004,周转筐出入库明细!$C$4:$C$2004,$B121,周转筐出入库明细!$D$4:$D$2004,基础资料!$B$6,周转筐出入库明细!$F$4:$F$2004,"采购入库",周转筐出入库明细!$B$4:$B$2004,"&gt;="&amp;$BC$1,周转筐出入库明细!$B$4:$B$2004,"&lt;="&amp;$BC$2))</f>
        <v/>
      </c>
      <c r="R121" s="25" t="str">
        <f>IF(OR($B121="",基础资料!$B$7=""),"",SUMIFS(周转筐出入库明细!$H$4:$H$2004,周转筐出入库明细!$C$4:$C$2004,$B121,周转筐出入库明细!$D$4:$D$2004,基础资料!$B$7,周转筐出入库明细!$F$4:$F$2004,"采购入库",周转筐出入库明细!$B$4:$B$2004,"&gt;="&amp;$BC$1,周转筐出入库明细!$B$4:$B$2004,"&lt;="&amp;$BC$2))</f>
        <v/>
      </c>
      <c r="S121" s="25" t="str">
        <f>IF(OR($B121="",基础资料!$B$8=""),"",SUMIFS(周转筐出入库明细!$H$4:$H$2004,周转筐出入库明细!$C$4:$C$2004,$B121,周转筐出入库明细!$D$4:$D$2004,基础资料!$B$8,周转筐出入库明细!$F$4:$F$2004,"采购入库",周转筐出入库明细!$B$4:$B$2004,"&gt;="&amp;$BC$1,周转筐出入库明细!$B$4:$B$2004,"&lt;="&amp;$BC$2))</f>
        <v/>
      </c>
      <c r="T121" s="25" t="str">
        <f t="shared" si="15"/>
        <v/>
      </c>
      <c r="U121" s="25" t="str">
        <f>IF(OR($B121="",基础资料!$B$4=""),"",SUMIFS(周转筐出入库明细!$K$4:$K$2004,周转筐出入库明细!$C$4:$C$2004,$B121,周转筐出入库明细!$D$4:$D$2004,基础资料!$B$4,周转筐出入库明细!$B$4:$B$2004,"&gt;="&amp;$BC$1,周转筐出入库明细!$B$4:$B$2004,"&lt;="&amp;$BC$2))</f>
        <v/>
      </c>
      <c r="V121" s="25" t="str">
        <f>IF(OR($B121="",基础资料!$B$5=""),"",SUMIFS(周转筐出入库明细!$K$4:$K$2004,周转筐出入库明细!$C$4:$C$2004,$B121,周转筐出入库明细!$D$4:$D$2004,基础资料!$B$5,周转筐出入库明细!$B$4:$B$2004,"&gt;="&amp;$BC$1,周转筐出入库明细!$B$4:$B$2004,"&lt;="&amp;$BC$2))</f>
        <v/>
      </c>
      <c r="W121" s="25" t="str">
        <f>IF(OR($B121="",基础资料!$B$6=""),"",SUMIFS(周转筐出入库明细!$K$4:$K$2004,周转筐出入库明细!$C$4:$C$2004,$B121,周转筐出入库明细!$D$4:$D$2004,基础资料!$B$6,周转筐出入库明细!$B$4:$B$2004,"&gt;="&amp;$BC$1,周转筐出入库明细!$B$4:$B$2004,"&lt;="&amp;$BC$2))</f>
        <v/>
      </c>
      <c r="X121" s="25" t="str">
        <f>IF(OR($B121="",基础资料!$B$7=""),"",SUMIFS(周转筐出入库明细!$K$4:$K$2004,周转筐出入库明细!$C$4:$C$2004,$B121,周转筐出入库明细!$D$4:$D$2004,基础资料!$B$7,周转筐出入库明细!$B$4:$B$2004,"&gt;="&amp;$BC$1,周转筐出入库明细!$B$4:$B$2004,"&lt;="&amp;$BC$2))</f>
        <v/>
      </c>
      <c r="Y121" s="25" t="str">
        <f>IF(OR($B121="",基础资料!$B$8=""),"",SUMIFS(周转筐出入库明细!$K$4:$K$2004,周转筐出入库明细!$C$4:$C$2004,$B121,周转筐出入库明细!$D$4:$D$2004,基础资料!$B$8,周转筐出入库明细!$B$4:$B$2004,"&gt;="&amp;$BC$1,周转筐出入库明细!$B$4:$B$2004,"&lt;="&amp;$BC$2))</f>
        <v/>
      </c>
      <c r="Z121" s="25" t="str">
        <f t="shared" si="16"/>
        <v/>
      </c>
      <c r="AA121" s="67" t="str">
        <f>IF(OR($B121="",基础资料!$B$4=""),"",-SUMIFS(对接源_01水果筐数!$D$5:$D$304,对接源_01水果筐数!$B$5:$B$304,$B121,对接源_01水果筐数!$C$5:$C$304,基础资料!$B$4))</f>
        <v/>
      </c>
      <c r="AB121" s="67" t="str">
        <f>IF(OR($B121="",基础资料!$B$5=""),"",-SUMIFS(对接源_01水果筐数!$D$5:$D$304,对接源_01水果筐数!$B$5:$B$304,$B121,对接源_01水果筐数!$C$5:$C$304,基础资料!$B$5))</f>
        <v/>
      </c>
      <c r="AC121" s="67" t="str">
        <f>IF(OR($B121="",基础资料!$B$6=""),"",-SUMIFS(对接源_01水果筐数!$D$5:$D$304,对接源_01水果筐数!$B$5:$B$304,$B121,对接源_01水果筐数!$C$5:$C$304,基础资料!$B$6))</f>
        <v/>
      </c>
      <c r="AD121" s="67" t="str">
        <f>IF(OR($B121="",基础资料!$B$7=""),"",-SUMIFS(对接源_01水果筐数!$D$5:$D$304,对接源_01水果筐数!$B$5:$B$304,$B121,对接源_01水果筐数!$C$5:$C$304,基础资料!$B$7))</f>
        <v/>
      </c>
      <c r="AE121" s="67" t="str">
        <f>IF(OR($B121="",基础资料!$B$8=""),"",-SUMIFS(对接源_01水果筐数!$D$5:$D$304,对接源_01水果筐数!$B$5:$B$304,$B121,对接源_01水果筐数!$C$5:$C$304,基础资料!$B$8))</f>
        <v/>
      </c>
      <c r="AF121" s="25" t="str">
        <f>IF(OR($B121="",基础资料!$B$4=""),"",SUMIFS(对接源_01水果筐数!$E$5:$E$304,对接源_01水果筐数!$B$5:$B$304,$B121,对接源_01水果筐数!$C$5:$C$304,基础资料!$B$4))</f>
        <v/>
      </c>
      <c r="AG121" s="25" t="str">
        <f>IF(OR($B121="",基础资料!$B$5=""),"",SUMIFS(对接源_01水果筐数!$E$5:$E$304,对接源_01水果筐数!$B$5:$B$304,$B121,对接源_01水果筐数!$C$5:$C$304,基础资料!$B$5))</f>
        <v/>
      </c>
      <c r="AH121" s="25" t="str">
        <f>IF(OR($B121="",基础资料!$B$6=""),"",SUMIFS(对接源_01水果筐数!$E$5:$E$304,对接源_01水果筐数!$B$5:$B$304,$B121,对接源_01水果筐数!$C$5:$C$304,基础资料!$B$6))</f>
        <v/>
      </c>
      <c r="AI121" s="25" t="str">
        <f>IF(OR($B121="",基础资料!$B$7=""),"",SUMIFS(对接源_01水果筐数!$E$5:$E$304,对接源_01水果筐数!$B$5:$B$304,$B121,对接源_01水果筐数!$C$5:$C$304,基础资料!$B$7))</f>
        <v/>
      </c>
      <c r="AJ121" s="25" t="str">
        <f>IF(OR($B121="",基础资料!$B$8=""),"",SUMIFS(对接源_01水果筐数!$E$5:$E$304,对接源_01水果筐数!$B$5:$B$304,$B121,对接源_01水果筐数!$C$5:$C$304,基础资料!$B$8))</f>
        <v/>
      </c>
      <c r="AK121" s="25" t="str">
        <f>IF(OR($B121="",基础资料!$B$4=""),"",SUMIFS(对接源_01水果筐数!$F$5:$F$304,对接源_01水果筐数!$B$5:$B$304,$B121,对接源_01水果筐数!$C$5:$C$304,基础资料!$B$4))</f>
        <v/>
      </c>
      <c r="AL121" s="25" t="str">
        <f>IF(OR($B121="",基础资料!$B$5=""),"",SUMIFS(对接源_01水果筐数!$F$5:$F$304,对接源_01水果筐数!$B$5:$B$304,$B121,对接源_01水果筐数!$C$5:$C$304,基础资料!$B$5))</f>
        <v/>
      </c>
      <c r="AM121" s="25" t="str">
        <f>IF(OR($B121="",基础资料!$B$6=""),"",SUMIFS(对接源_01水果筐数!$F$5:$F$304,对接源_01水果筐数!$B$5:$B$304,$B121,对接源_01水果筐数!$C$5:$C$304,基础资料!$B$6))</f>
        <v/>
      </c>
      <c r="AN121" s="25" t="str">
        <f>IF(OR($B121="",基础资料!$B$7=""),"",SUMIFS(对接源_01水果筐数!$F$5:$F$304,对接源_01水果筐数!$B$5:$B$304,$B121,对接源_01水果筐数!$C$5:$C$304,基础资料!$B$7))</f>
        <v/>
      </c>
      <c r="AO121" s="25" t="str">
        <f>IF(OR($B121="",基础资料!$B$8=""),"",SUMIFS(对接源_01水果筐数!$F$5:$F$304,对接源_01水果筐数!$B$5:$B$304,$B121,对接源_01水果筐数!$C$5:$C$304,基础资料!$B$8))</f>
        <v/>
      </c>
      <c r="AP121" s="25" t="str">
        <f t="shared" si="17"/>
        <v/>
      </c>
      <c r="AQ121" s="25" t="str">
        <f t="shared" si="18"/>
        <v/>
      </c>
      <c r="AR121" s="25" t="str">
        <f t="shared" si="19"/>
        <v/>
      </c>
      <c r="AS121" s="25" t="str">
        <f t="shared" si="20"/>
        <v/>
      </c>
      <c r="AT121" s="25" t="str">
        <f t="shared" si="21"/>
        <v/>
      </c>
      <c r="AU121" s="25" t="str">
        <f t="shared" si="22"/>
        <v/>
      </c>
      <c r="AV121" s="24" t="str">
        <f t="shared" si="23"/>
        <v/>
      </c>
      <c r="AW121" s="72"/>
    </row>
    <row r="122" spans="1:49">
      <c r="A122" s="22" t="str">
        <f t="shared" si="12"/>
        <v/>
      </c>
      <c r="B122" s="24" t="str">
        <f>IFERROR(INDEX(_自动清单!$CC$4:$CC$253,ROW()-3),"")</f>
        <v/>
      </c>
      <c r="C122" s="25" t="str">
        <f>IF(OR($B122="",基础资料!$B$4=""),"",SUMIFS(周转筐出入库明细!$J$4:$J$2004,周转筐出入库明细!$C$4:$C$2004,$B122,周转筐出入库明细!$D$4:$D$2004,基础资料!$B$4,周转筐出入库明细!$B$4:$B$2004,"&gt;="&amp;$BC$1,周转筐出入库明细!$B$4:$B$2004,"&lt;="&amp;$BC$2))</f>
        <v/>
      </c>
      <c r="D122" s="25" t="str">
        <f>IF(OR($B122="",基础资料!$B$5=""),"",SUMIFS(周转筐出入库明细!$J$4:$J$2004,周转筐出入库明细!$C$4:$C$2004,$B122,周转筐出入库明细!$D$4:$D$2004,基础资料!$B$5,周转筐出入库明细!$B$4:$B$2004,"&gt;="&amp;$BC$1,周转筐出入库明细!$B$4:$B$2004,"&lt;="&amp;$BC$2))</f>
        <v/>
      </c>
      <c r="E122" s="25" t="str">
        <f>IF(OR($B122="",基础资料!$B$6=""),"",SUMIFS(周转筐出入库明细!$J$4:$J$2004,周转筐出入库明细!$C$4:$C$2004,$B122,周转筐出入库明细!$D$4:$D$2004,基础资料!$B$6,周转筐出入库明细!$B$4:$B$2004,"&gt;="&amp;$BC$1,周转筐出入库明细!$B$4:$B$2004,"&lt;="&amp;$BC$2))</f>
        <v/>
      </c>
      <c r="F122" s="25" t="str">
        <f>IF(OR($B122="",基础资料!$B$7=""),"",SUMIFS(周转筐出入库明细!$J$4:$J$2004,周转筐出入库明细!$C$4:$C$2004,$B122,周转筐出入库明细!$D$4:$D$2004,基础资料!$B$7,周转筐出入库明细!$B$4:$B$2004,"&gt;="&amp;$BC$1,周转筐出入库明细!$B$4:$B$2004,"&lt;="&amp;$BC$2))</f>
        <v/>
      </c>
      <c r="G122" s="25" t="str">
        <f>IF(OR($B122="",基础资料!$B$8=""),"",SUMIFS(周转筐出入库明细!$J$4:$J$2004,周转筐出入库明细!$C$4:$C$2004,$B122,周转筐出入库明细!$D$4:$D$2004,基础资料!$B$8,周转筐出入库明细!$B$4:$B$2004,"&gt;="&amp;$BC$1,周转筐出入库明细!$B$4:$B$2004,"&lt;="&amp;$BC$2))</f>
        <v/>
      </c>
      <c r="H122" s="25" t="str">
        <f t="shared" si="13"/>
        <v/>
      </c>
      <c r="I122" s="67" t="str">
        <f>IF(OR($B122="",基础资料!$B$4=""),"",-SUMIFS(周转筐出入库明细!$I$4:$I$2004,周转筐出入库明细!$C$4:$C$2004,$B122,周转筐出入库明细!$D$4:$D$2004,基础资料!$B$4,周转筐出入库明细!$B$4:$B$2004,"&gt;="&amp;$BC$1,周转筐出入库明细!$B$4:$B$2004,"&lt;="&amp;$BC$2))</f>
        <v/>
      </c>
      <c r="J122" s="67" t="str">
        <f>IF(OR($B122="",基础资料!$B$5=""),"",-SUMIFS(周转筐出入库明细!$I$4:$I$2004,周转筐出入库明细!$C$4:$C$2004,$B122,周转筐出入库明细!$D$4:$D$2004,基础资料!$B$5,周转筐出入库明细!$B$4:$B$2004,"&gt;="&amp;$BC$1,周转筐出入库明细!$B$4:$B$2004,"&lt;="&amp;$BC$2))</f>
        <v/>
      </c>
      <c r="K122" s="67" t="str">
        <f>IF(OR($B122="",基础资料!$B$6=""),"",-SUMIFS(周转筐出入库明细!$I$4:$I$2004,周转筐出入库明细!$C$4:$C$2004,$B122,周转筐出入库明细!$D$4:$D$2004,基础资料!$B$6,周转筐出入库明细!$B$4:$B$2004,"&gt;="&amp;$BC$1,周转筐出入库明细!$B$4:$B$2004,"&lt;="&amp;$BC$2))</f>
        <v/>
      </c>
      <c r="L122" s="67" t="str">
        <f>IF(OR($B122="",基础资料!$B$7=""),"",-SUMIFS(周转筐出入库明细!$I$4:$I$2004,周转筐出入库明细!$C$4:$C$2004,$B122,周转筐出入库明细!$D$4:$D$2004,基础资料!$B$7,周转筐出入库明细!$B$4:$B$2004,"&gt;="&amp;$BC$1,周转筐出入库明细!$B$4:$B$2004,"&lt;="&amp;$BC$2))</f>
        <v/>
      </c>
      <c r="M122" s="67" t="str">
        <f>IF(OR($B122="",基础资料!$B$8=""),"",-SUMIFS(周转筐出入库明细!$I$4:$I$2004,周转筐出入库明细!$C$4:$C$2004,$B122,周转筐出入库明细!$D$4:$D$2004,基础资料!$B$8,周转筐出入库明细!$B$4:$B$2004,"&gt;="&amp;$BC$1,周转筐出入库明细!$B$4:$B$2004,"&lt;="&amp;$BC$2))</f>
        <v/>
      </c>
      <c r="N122" s="67" t="str">
        <f t="shared" si="14"/>
        <v/>
      </c>
      <c r="O122" s="25" t="str">
        <f>IF(OR($B122="",基础资料!$B$4=""),"",SUMIFS(周转筐出入库明细!$H$4:$H$2004,周转筐出入库明细!$C$4:$C$2004,$B122,周转筐出入库明细!$D$4:$D$2004,基础资料!$B$4,周转筐出入库明细!$F$4:$F$2004,"采购入库",周转筐出入库明细!$B$4:$B$2004,"&gt;="&amp;$BC$1,周转筐出入库明细!$B$4:$B$2004,"&lt;="&amp;$BC$2))</f>
        <v/>
      </c>
      <c r="P122" s="25" t="str">
        <f>IF(OR($B122="",基础资料!$B$5=""),"",SUMIFS(周转筐出入库明细!$H$4:$H$2004,周转筐出入库明细!$C$4:$C$2004,$B122,周转筐出入库明细!$D$4:$D$2004,基础资料!$B$5,周转筐出入库明细!$F$4:$F$2004,"采购入库",周转筐出入库明细!$B$4:$B$2004,"&gt;="&amp;$BC$1,周转筐出入库明细!$B$4:$B$2004,"&lt;="&amp;$BC$2))</f>
        <v/>
      </c>
      <c r="Q122" s="25" t="str">
        <f>IF(OR($B122="",基础资料!$B$6=""),"",SUMIFS(周转筐出入库明细!$H$4:$H$2004,周转筐出入库明细!$C$4:$C$2004,$B122,周转筐出入库明细!$D$4:$D$2004,基础资料!$B$6,周转筐出入库明细!$F$4:$F$2004,"采购入库",周转筐出入库明细!$B$4:$B$2004,"&gt;="&amp;$BC$1,周转筐出入库明细!$B$4:$B$2004,"&lt;="&amp;$BC$2))</f>
        <v/>
      </c>
      <c r="R122" s="25" t="str">
        <f>IF(OR($B122="",基础资料!$B$7=""),"",SUMIFS(周转筐出入库明细!$H$4:$H$2004,周转筐出入库明细!$C$4:$C$2004,$B122,周转筐出入库明细!$D$4:$D$2004,基础资料!$B$7,周转筐出入库明细!$F$4:$F$2004,"采购入库",周转筐出入库明细!$B$4:$B$2004,"&gt;="&amp;$BC$1,周转筐出入库明细!$B$4:$B$2004,"&lt;="&amp;$BC$2))</f>
        <v/>
      </c>
      <c r="S122" s="25" t="str">
        <f>IF(OR($B122="",基础资料!$B$8=""),"",SUMIFS(周转筐出入库明细!$H$4:$H$2004,周转筐出入库明细!$C$4:$C$2004,$B122,周转筐出入库明细!$D$4:$D$2004,基础资料!$B$8,周转筐出入库明细!$F$4:$F$2004,"采购入库",周转筐出入库明细!$B$4:$B$2004,"&gt;="&amp;$BC$1,周转筐出入库明细!$B$4:$B$2004,"&lt;="&amp;$BC$2))</f>
        <v/>
      </c>
      <c r="T122" s="25" t="str">
        <f t="shared" si="15"/>
        <v/>
      </c>
      <c r="U122" s="25" t="str">
        <f>IF(OR($B122="",基础资料!$B$4=""),"",SUMIFS(周转筐出入库明细!$K$4:$K$2004,周转筐出入库明细!$C$4:$C$2004,$B122,周转筐出入库明细!$D$4:$D$2004,基础资料!$B$4,周转筐出入库明细!$B$4:$B$2004,"&gt;="&amp;$BC$1,周转筐出入库明细!$B$4:$B$2004,"&lt;="&amp;$BC$2))</f>
        <v/>
      </c>
      <c r="V122" s="25" t="str">
        <f>IF(OR($B122="",基础资料!$B$5=""),"",SUMIFS(周转筐出入库明细!$K$4:$K$2004,周转筐出入库明细!$C$4:$C$2004,$B122,周转筐出入库明细!$D$4:$D$2004,基础资料!$B$5,周转筐出入库明细!$B$4:$B$2004,"&gt;="&amp;$BC$1,周转筐出入库明细!$B$4:$B$2004,"&lt;="&amp;$BC$2))</f>
        <v/>
      </c>
      <c r="W122" s="25" t="str">
        <f>IF(OR($B122="",基础资料!$B$6=""),"",SUMIFS(周转筐出入库明细!$K$4:$K$2004,周转筐出入库明细!$C$4:$C$2004,$B122,周转筐出入库明细!$D$4:$D$2004,基础资料!$B$6,周转筐出入库明细!$B$4:$B$2004,"&gt;="&amp;$BC$1,周转筐出入库明细!$B$4:$B$2004,"&lt;="&amp;$BC$2))</f>
        <v/>
      </c>
      <c r="X122" s="25" t="str">
        <f>IF(OR($B122="",基础资料!$B$7=""),"",SUMIFS(周转筐出入库明细!$K$4:$K$2004,周转筐出入库明细!$C$4:$C$2004,$B122,周转筐出入库明细!$D$4:$D$2004,基础资料!$B$7,周转筐出入库明细!$B$4:$B$2004,"&gt;="&amp;$BC$1,周转筐出入库明细!$B$4:$B$2004,"&lt;="&amp;$BC$2))</f>
        <v/>
      </c>
      <c r="Y122" s="25" t="str">
        <f>IF(OR($B122="",基础资料!$B$8=""),"",SUMIFS(周转筐出入库明细!$K$4:$K$2004,周转筐出入库明细!$C$4:$C$2004,$B122,周转筐出入库明细!$D$4:$D$2004,基础资料!$B$8,周转筐出入库明细!$B$4:$B$2004,"&gt;="&amp;$BC$1,周转筐出入库明细!$B$4:$B$2004,"&lt;="&amp;$BC$2))</f>
        <v/>
      </c>
      <c r="Z122" s="25" t="str">
        <f t="shared" si="16"/>
        <v/>
      </c>
      <c r="AA122" s="67" t="str">
        <f>IF(OR($B122="",基础资料!$B$4=""),"",-SUMIFS(对接源_01水果筐数!$D$5:$D$304,对接源_01水果筐数!$B$5:$B$304,$B122,对接源_01水果筐数!$C$5:$C$304,基础资料!$B$4))</f>
        <v/>
      </c>
      <c r="AB122" s="67" t="str">
        <f>IF(OR($B122="",基础资料!$B$5=""),"",-SUMIFS(对接源_01水果筐数!$D$5:$D$304,对接源_01水果筐数!$B$5:$B$304,$B122,对接源_01水果筐数!$C$5:$C$304,基础资料!$B$5))</f>
        <v/>
      </c>
      <c r="AC122" s="67" t="str">
        <f>IF(OR($B122="",基础资料!$B$6=""),"",-SUMIFS(对接源_01水果筐数!$D$5:$D$304,对接源_01水果筐数!$B$5:$B$304,$B122,对接源_01水果筐数!$C$5:$C$304,基础资料!$B$6))</f>
        <v/>
      </c>
      <c r="AD122" s="67" t="str">
        <f>IF(OR($B122="",基础资料!$B$7=""),"",-SUMIFS(对接源_01水果筐数!$D$5:$D$304,对接源_01水果筐数!$B$5:$B$304,$B122,对接源_01水果筐数!$C$5:$C$304,基础资料!$B$7))</f>
        <v/>
      </c>
      <c r="AE122" s="67" t="str">
        <f>IF(OR($B122="",基础资料!$B$8=""),"",-SUMIFS(对接源_01水果筐数!$D$5:$D$304,对接源_01水果筐数!$B$5:$B$304,$B122,对接源_01水果筐数!$C$5:$C$304,基础资料!$B$8))</f>
        <v/>
      </c>
      <c r="AF122" s="25" t="str">
        <f>IF(OR($B122="",基础资料!$B$4=""),"",SUMIFS(对接源_01水果筐数!$E$5:$E$304,对接源_01水果筐数!$B$5:$B$304,$B122,对接源_01水果筐数!$C$5:$C$304,基础资料!$B$4))</f>
        <v/>
      </c>
      <c r="AG122" s="25" t="str">
        <f>IF(OR($B122="",基础资料!$B$5=""),"",SUMIFS(对接源_01水果筐数!$E$5:$E$304,对接源_01水果筐数!$B$5:$B$304,$B122,对接源_01水果筐数!$C$5:$C$304,基础资料!$B$5))</f>
        <v/>
      </c>
      <c r="AH122" s="25" t="str">
        <f>IF(OR($B122="",基础资料!$B$6=""),"",SUMIFS(对接源_01水果筐数!$E$5:$E$304,对接源_01水果筐数!$B$5:$B$304,$B122,对接源_01水果筐数!$C$5:$C$304,基础资料!$B$6))</f>
        <v/>
      </c>
      <c r="AI122" s="25" t="str">
        <f>IF(OR($B122="",基础资料!$B$7=""),"",SUMIFS(对接源_01水果筐数!$E$5:$E$304,对接源_01水果筐数!$B$5:$B$304,$B122,对接源_01水果筐数!$C$5:$C$304,基础资料!$B$7))</f>
        <v/>
      </c>
      <c r="AJ122" s="25" t="str">
        <f>IF(OR($B122="",基础资料!$B$8=""),"",SUMIFS(对接源_01水果筐数!$E$5:$E$304,对接源_01水果筐数!$B$5:$B$304,$B122,对接源_01水果筐数!$C$5:$C$304,基础资料!$B$8))</f>
        <v/>
      </c>
      <c r="AK122" s="25" t="str">
        <f>IF(OR($B122="",基础资料!$B$4=""),"",SUMIFS(对接源_01水果筐数!$F$5:$F$304,对接源_01水果筐数!$B$5:$B$304,$B122,对接源_01水果筐数!$C$5:$C$304,基础资料!$B$4))</f>
        <v/>
      </c>
      <c r="AL122" s="25" t="str">
        <f>IF(OR($B122="",基础资料!$B$5=""),"",SUMIFS(对接源_01水果筐数!$F$5:$F$304,对接源_01水果筐数!$B$5:$B$304,$B122,对接源_01水果筐数!$C$5:$C$304,基础资料!$B$5))</f>
        <v/>
      </c>
      <c r="AM122" s="25" t="str">
        <f>IF(OR($B122="",基础资料!$B$6=""),"",SUMIFS(对接源_01水果筐数!$F$5:$F$304,对接源_01水果筐数!$B$5:$B$304,$B122,对接源_01水果筐数!$C$5:$C$304,基础资料!$B$6))</f>
        <v/>
      </c>
      <c r="AN122" s="25" t="str">
        <f>IF(OR($B122="",基础资料!$B$7=""),"",SUMIFS(对接源_01水果筐数!$F$5:$F$304,对接源_01水果筐数!$B$5:$B$304,$B122,对接源_01水果筐数!$C$5:$C$304,基础资料!$B$7))</f>
        <v/>
      </c>
      <c r="AO122" s="25" t="str">
        <f>IF(OR($B122="",基础资料!$B$8=""),"",SUMIFS(对接源_01水果筐数!$F$5:$F$304,对接源_01水果筐数!$B$5:$B$304,$B122,对接源_01水果筐数!$C$5:$C$304,基础资料!$B$8))</f>
        <v/>
      </c>
      <c r="AP122" s="25" t="str">
        <f t="shared" si="17"/>
        <v/>
      </c>
      <c r="AQ122" s="25" t="str">
        <f t="shared" si="18"/>
        <v/>
      </c>
      <c r="AR122" s="25" t="str">
        <f t="shared" si="19"/>
        <v/>
      </c>
      <c r="AS122" s="25" t="str">
        <f t="shared" si="20"/>
        <v/>
      </c>
      <c r="AT122" s="25" t="str">
        <f t="shared" si="21"/>
        <v/>
      </c>
      <c r="AU122" s="25" t="str">
        <f t="shared" si="22"/>
        <v/>
      </c>
      <c r="AV122" s="24" t="str">
        <f t="shared" si="23"/>
        <v/>
      </c>
      <c r="AW122" s="72"/>
    </row>
    <row r="123" spans="1:49">
      <c r="A123" s="22" t="str">
        <f t="shared" si="12"/>
        <v/>
      </c>
      <c r="B123" s="24" t="str">
        <f>IFERROR(INDEX(_自动清单!$CC$4:$CC$253,ROW()-3),"")</f>
        <v/>
      </c>
      <c r="C123" s="25" t="str">
        <f>IF(OR($B123="",基础资料!$B$4=""),"",SUMIFS(周转筐出入库明细!$J$4:$J$2004,周转筐出入库明细!$C$4:$C$2004,$B123,周转筐出入库明细!$D$4:$D$2004,基础资料!$B$4,周转筐出入库明细!$B$4:$B$2004,"&gt;="&amp;$BC$1,周转筐出入库明细!$B$4:$B$2004,"&lt;="&amp;$BC$2))</f>
        <v/>
      </c>
      <c r="D123" s="25" t="str">
        <f>IF(OR($B123="",基础资料!$B$5=""),"",SUMIFS(周转筐出入库明细!$J$4:$J$2004,周转筐出入库明细!$C$4:$C$2004,$B123,周转筐出入库明细!$D$4:$D$2004,基础资料!$B$5,周转筐出入库明细!$B$4:$B$2004,"&gt;="&amp;$BC$1,周转筐出入库明细!$B$4:$B$2004,"&lt;="&amp;$BC$2))</f>
        <v/>
      </c>
      <c r="E123" s="25" t="str">
        <f>IF(OR($B123="",基础资料!$B$6=""),"",SUMIFS(周转筐出入库明细!$J$4:$J$2004,周转筐出入库明细!$C$4:$C$2004,$B123,周转筐出入库明细!$D$4:$D$2004,基础资料!$B$6,周转筐出入库明细!$B$4:$B$2004,"&gt;="&amp;$BC$1,周转筐出入库明细!$B$4:$B$2004,"&lt;="&amp;$BC$2))</f>
        <v/>
      </c>
      <c r="F123" s="25" t="str">
        <f>IF(OR($B123="",基础资料!$B$7=""),"",SUMIFS(周转筐出入库明细!$J$4:$J$2004,周转筐出入库明细!$C$4:$C$2004,$B123,周转筐出入库明细!$D$4:$D$2004,基础资料!$B$7,周转筐出入库明细!$B$4:$B$2004,"&gt;="&amp;$BC$1,周转筐出入库明细!$B$4:$B$2004,"&lt;="&amp;$BC$2))</f>
        <v/>
      </c>
      <c r="G123" s="25" t="str">
        <f>IF(OR($B123="",基础资料!$B$8=""),"",SUMIFS(周转筐出入库明细!$J$4:$J$2004,周转筐出入库明细!$C$4:$C$2004,$B123,周转筐出入库明细!$D$4:$D$2004,基础资料!$B$8,周转筐出入库明细!$B$4:$B$2004,"&gt;="&amp;$BC$1,周转筐出入库明细!$B$4:$B$2004,"&lt;="&amp;$BC$2))</f>
        <v/>
      </c>
      <c r="H123" s="25" t="str">
        <f t="shared" si="13"/>
        <v/>
      </c>
      <c r="I123" s="67" t="str">
        <f>IF(OR($B123="",基础资料!$B$4=""),"",-SUMIFS(周转筐出入库明细!$I$4:$I$2004,周转筐出入库明细!$C$4:$C$2004,$B123,周转筐出入库明细!$D$4:$D$2004,基础资料!$B$4,周转筐出入库明细!$B$4:$B$2004,"&gt;="&amp;$BC$1,周转筐出入库明细!$B$4:$B$2004,"&lt;="&amp;$BC$2))</f>
        <v/>
      </c>
      <c r="J123" s="67" t="str">
        <f>IF(OR($B123="",基础资料!$B$5=""),"",-SUMIFS(周转筐出入库明细!$I$4:$I$2004,周转筐出入库明细!$C$4:$C$2004,$B123,周转筐出入库明细!$D$4:$D$2004,基础资料!$B$5,周转筐出入库明细!$B$4:$B$2004,"&gt;="&amp;$BC$1,周转筐出入库明细!$B$4:$B$2004,"&lt;="&amp;$BC$2))</f>
        <v/>
      </c>
      <c r="K123" s="67" t="str">
        <f>IF(OR($B123="",基础资料!$B$6=""),"",-SUMIFS(周转筐出入库明细!$I$4:$I$2004,周转筐出入库明细!$C$4:$C$2004,$B123,周转筐出入库明细!$D$4:$D$2004,基础资料!$B$6,周转筐出入库明细!$B$4:$B$2004,"&gt;="&amp;$BC$1,周转筐出入库明细!$B$4:$B$2004,"&lt;="&amp;$BC$2))</f>
        <v/>
      </c>
      <c r="L123" s="67" t="str">
        <f>IF(OR($B123="",基础资料!$B$7=""),"",-SUMIFS(周转筐出入库明细!$I$4:$I$2004,周转筐出入库明细!$C$4:$C$2004,$B123,周转筐出入库明细!$D$4:$D$2004,基础资料!$B$7,周转筐出入库明细!$B$4:$B$2004,"&gt;="&amp;$BC$1,周转筐出入库明细!$B$4:$B$2004,"&lt;="&amp;$BC$2))</f>
        <v/>
      </c>
      <c r="M123" s="67" t="str">
        <f>IF(OR($B123="",基础资料!$B$8=""),"",-SUMIFS(周转筐出入库明细!$I$4:$I$2004,周转筐出入库明细!$C$4:$C$2004,$B123,周转筐出入库明细!$D$4:$D$2004,基础资料!$B$8,周转筐出入库明细!$B$4:$B$2004,"&gt;="&amp;$BC$1,周转筐出入库明细!$B$4:$B$2004,"&lt;="&amp;$BC$2))</f>
        <v/>
      </c>
      <c r="N123" s="67" t="str">
        <f t="shared" si="14"/>
        <v/>
      </c>
      <c r="O123" s="25" t="str">
        <f>IF(OR($B123="",基础资料!$B$4=""),"",SUMIFS(周转筐出入库明细!$H$4:$H$2004,周转筐出入库明细!$C$4:$C$2004,$B123,周转筐出入库明细!$D$4:$D$2004,基础资料!$B$4,周转筐出入库明细!$F$4:$F$2004,"采购入库",周转筐出入库明细!$B$4:$B$2004,"&gt;="&amp;$BC$1,周转筐出入库明细!$B$4:$B$2004,"&lt;="&amp;$BC$2))</f>
        <v/>
      </c>
      <c r="P123" s="25" t="str">
        <f>IF(OR($B123="",基础资料!$B$5=""),"",SUMIFS(周转筐出入库明细!$H$4:$H$2004,周转筐出入库明细!$C$4:$C$2004,$B123,周转筐出入库明细!$D$4:$D$2004,基础资料!$B$5,周转筐出入库明细!$F$4:$F$2004,"采购入库",周转筐出入库明细!$B$4:$B$2004,"&gt;="&amp;$BC$1,周转筐出入库明细!$B$4:$B$2004,"&lt;="&amp;$BC$2))</f>
        <v/>
      </c>
      <c r="Q123" s="25" t="str">
        <f>IF(OR($B123="",基础资料!$B$6=""),"",SUMIFS(周转筐出入库明细!$H$4:$H$2004,周转筐出入库明细!$C$4:$C$2004,$B123,周转筐出入库明细!$D$4:$D$2004,基础资料!$B$6,周转筐出入库明细!$F$4:$F$2004,"采购入库",周转筐出入库明细!$B$4:$B$2004,"&gt;="&amp;$BC$1,周转筐出入库明细!$B$4:$B$2004,"&lt;="&amp;$BC$2))</f>
        <v/>
      </c>
      <c r="R123" s="25" t="str">
        <f>IF(OR($B123="",基础资料!$B$7=""),"",SUMIFS(周转筐出入库明细!$H$4:$H$2004,周转筐出入库明细!$C$4:$C$2004,$B123,周转筐出入库明细!$D$4:$D$2004,基础资料!$B$7,周转筐出入库明细!$F$4:$F$2004,"采购入库",周转筐出入库明细!$B$4:$B$2004,"&gt;="&amp;$BC$1,周转筐出入库明细!$B$4:$B$2004,"&lt;="&amp;$BC$2))</f>
        <v/>
      </c>
      <c r="S123" s="25" t="str">
        <f>IF(OR($B123="",基础资料!$B$8=""),"",SUMIFS(周转筐出入库明细!$H$4:$H$2004,周转筐出入库明细!$C$4:$C$2004,$B123,周转筐出入库明细!$D$4:$D$2004,基础资料!$B$8,周转筐出入库明细!$F$4:$F$2004,"采购入库",周转筐出入库明细!$B$4:$B$2004,"&gt;="&amp;$BC$1,周转筐出入库明细!$B$4:$B$2004,"&lt;="&amp;$BC$2))</f>
        <v/>
      </c>
      <c r="T123" s="25" t="str">
        <f t="shared" si="15"/>
        <v/>
      </c>
      <c r="U123" s="25" t="str">
        <f>IF(OR($B123="",基础资料!$B$4=""),"",SUMIFS(周转筐出入库明细!$K$4:$K$2004,周转筐出入库明细!$C$4:$C$2004,$B123,周转筐出入库明细!$D$4:$D$2004,基础资料!$B$4,周转筐出入库明细!$B$4:$B$2004,"&gt;="&amp;$BC$1,周转筐出入库明细!$B$4:$B$2004,"&lt;="&amp;$BC$2))</f>
        <v/>
      </c>
      <c r="V123" s="25" t="str">
        <f>IF(OR($B123="",基础资料!$B$5=""),"",SUMIFS(周转筐出入库明细!$K$4:$K$2004,周转筐出入库明细!$C$4:$C$2004,$B123,周转筐出入库明细!$D$4:$D$2004,基础资料!$B$5,周转筐出入库明细!$B$4:$B$2004,"&gt;="&amp;$BC$1,周转筐出入库明细!$B$4:$B$2004,"&lt;="&amp;$BC$2))</f>
        <v/>
      </c>
      <c r="W123" s="25" t="str">
        <f>IF(OR($B123="",基础资料!$B$6=""),"",SUMIFS(周转筐出入库明细!$K$4:$K$2004,周转筐出入库明细!$C$4:$C$2004,$B123,周转筐出入库明细!$D$4:$D$2004,基础资料!$B$6,周转筐出入库明细!$B$4:$B$2004,"&gt;="&amp;$BC$1,周转筐出入库明细!$B$4:$B$2004,"&lt;="&amp;$BC$2))</f>
        <v/>
      </c>
      <c r="X123" s="25" t="str">
        <f>IF(OR($B123="",基础资料!$B$7=""),"",SUMIFS(周转筐出入库明细!$K$4:$K$2004,周转筐出入库明细!$C$4:$C$2004,$B123,周转筐出入库明细!$D$4:$D$2004,基础资料!$B$7,周转筐出入库明细!$B$4:$B$2004,"&gt;="&amp;$BC$1,周转筐出入库明细!$B$4:$B$2004,"&lt;="&amp;$BC$2))</f>
        <v/>
      </c>
      <c r="Y123" s="25" t="str">
        <f>IF(OR($B123="",基础资料!$B$8=""),"",SUMIFS(周转筐出入库明细!$K$4:$K$2004,周转筐出入库明细!$C$4:$C$2004,$B123,周转筐出入库明细!$D$4:$D$2004,基础资料!$B$8,周转筐出入库明细!$B$4:$B$2004,"&gt;="&amp;$BC$1,周转筐出入库明细!$B$4:$B$2004,"&lt;="&amp;$BC$2))</f>
        <v/>
      </c>
      <c r="Z123" s="25" t="str">
        <f t="shared" si="16"/>
        <v/>
      </c>
      <c r="AA123" s="67" t="str">
        <f>IF(OR($B123="",基础资料!$B$4=""),"",-SUMIFS(对接源_01水果筐数!$D$5:$D$304,对接源_01水果筐数!$B$5:$B$304,$B123,对接源_01水果筐数!$C$5:$C$304,基础资料!$B$4))</f>
        <v/>
      </c>
      <c r="AB123" s="67" t="str">
        <f>IF(OR($B123="",基础资料!$B$5=""),"",-SUMIFS(对接源_01水果筐数!$D$5:$D$304,对接源_01水果筐数!$B$5:$B$304,$B123,对接源_01水果筐数!$C$5:$C$304,基础资料!$B$5))</f>
        <v/>
      </c>
      <c r="AC123" s="67" t="str">
        <f>IF(OR($B123="",基础资料!$B$6=""),"",-SUMIFS(对接源_01水果筐数!$D$5:$D$304,对接源_01水果筐数!$B$5:$B$304,$B123,对接源_01水果筐数!$C$5:$C$304,基础资料!$B$6))</f>
        <v/>
      </c>
      <c r="AD123" s="67" t="str">
        <f>IF(OR($B123="",基础资料!$B$7=""),"",-SUMIFS(对接源_01水果筐数!$D$5:$D$304,对接源_01水果筐数!$B$5:$B$304,$B123,对接源_01水果筐数!$C$5:$C$304,基础资料!$B$7))</f>
        <v/>
      </c>
      <c r="AE123" s="67" t="str">
        <f>IF(OR($B123="",基础资料!$B$8=""),"",-SUMIFS(对接源_01水果筐数!$D$5:$D$304,对接源_01水果筐数!$B$5:$B$304,$B123,对接源_01水果筐数!$C$5:$C$304,基础资料!$B$8))</f>
        <v/>
      </c>
      <c r="AF123" s="25" t="str">
        <f>IF(OR($B123="",基础资料!$B$4=""),"",SUMIFS(对接源_01水果筐数!$E$5:$E$304,对接源_01水果筐数!$B$5:$B$304,$B123,对接源_01水果筐数!$C$5:$C$304,基础资料!$B$4))</f>
        <v/>
      </c>
      <c r="AG123" s="25" t="str">
        <f>IF(OR($B123="",基础资料!$B$5=""),"",SUMIFS(对接源_01水果筐数!$E$5:$E$304,对接源_01水果筐数!$B$5:$B$304,$B123,对接源_01水果筐数!$C$5:$C$304,基础资料!$B$5))</f>
        <v/>
      </c>
      <c r="AH123" s="25" t="str">
        <f>IF(OR($B123="",基础资料!$B$6=""),"",SUMIFS(对接源_01水果筐数!$E$5:$E$304,对接源_01水果筐数!$B$5:$B$304,$B123,对接源_01水果筐数!$C$5:$C$304,基础资料!$B$6))</f>
        <v/>
      </c>
      <c r="AI123" s="25" t="str">
        <f>IF(OR($B123="",基础资料!$B$7=""),"",SUMIFS(对接源_01水果筐数!$E$5:$E$304,对接源_01水果筐数!$B$5:$B$304,$B123,对接源_01水果筐数!$C$5:$C$304,基础资料!$B$7))</f>
        <v/>
      </c>
      <c r="AJ123" s="25" t="str">
        <f>IF(OR($B123="",基础资料!$B$8=""),"",SUMIFS(对接源_01水果筐数!$E$5:$E$304,对接源_01水果筐数!$B$5:$B$304,$B123,对接源_01水果筐数!$C$5:$C$304,基础资料!$B$8))</f>
        <v/>
      </c>
      <c r="AK123" s="25" t="str">
        <f>IF(OR($B123="",基础资料!$B$4=""),"",SUMIFS(对接源_01水果筐数!$F$5:$F$304,对接源_01水果筐数!$B$5:$B$304,$B123,对接源_01水果筐数!$C$5:$C$304,基础资料!$B$4))</f>
        <v/>
      </c>
      <c r="AL123" s="25" t="str">
        <f>IF(OR($B123="",基础资料!$B$5=""),"",SUMIFS(对接源_01水果筐数!$F$5:$F$304,对接源_01水果筐数!$B$5:$B$304,$B123,对接源_01水果筐数!$C$5:$C$304,基础资料!$B$5))</f>
        <v/>
      </c>
      <c r="AM123" s="25" t="str">
        <f>IF(OR($B123="",基础资料!$B$6=""),"",SUMIFS(对接源_01水果筐数!$F$5:$F$304,对接源_01水果筐数!$B$5:$B$304,$B123,对接源_01水果筐数!$C$5:$C$304,基础资料!$B$6))</f>
        <v/>
      </c>
      <c r="AN123" s="25" t="str">
        <f>IF(OR($B123="",基础资料!$B$7=""),"",SUMIFS(对接源_01水果筐数!$F$5:$F$304,对接源_01水果筐数!$B$5:$B$304,$B123,对接源_01水果筐数!$C$5:$C$304,基础资料!$B$7))</f>
        <v/>
      </c>
      <c r="AO123" s="25" t="str">
        <f>IF(OR($B123="",基础资料!$B$8=""),"",SUMIFS(对接源_01水果筐数!$F$5:$F$304,对接源_01水果筐数!$B$5:$B$304,$B123,对接源_01水果筐数!$C$5:$C$304,基础资料!$B$8))</f>
        <v/>
      </c>
      <c r="AP123" s="25" t="str">
        <f t="shared" si="17"/>
        <v/>
      </c>
      <c r="AQ123" s="25" t="str">
        <f t="shared" si="18"/>
        <v/>
      </c>
      <c r="AR123" s="25" t="str">
        <f t="shared" si="19"/>
        <v/>
      </c>
      <c r="AS123" s="25" t="str">
        <f t="shared" si="20"/>
        <v/>
      </c>
      <c r="AT123" s="25" t="str">
        <f t="shared" si="21"/>
        <v/>
      </c>
      <c r="AU123" s="25" t="str">
        <f t="shared" si="22"/>
        <v/>
      </c>
      <c r="AV123" s="24" t="str">
        <f t="shared" si="23"/>
        <v/>
      </c>
      <c r="AW123" s="72"/>
    </row>
    <row r="124" spans="1:49">
      <c r="A124" s="22" t="str">
        <f t="shared" si="12"/>
        <v/>
      </c>
      <c r="B124" s="24" t="str">
        <f>IFERROR(INDEX(_自动清单!$CC$4:$CC$253,ROW()-3),"")</f>
        <v/>
      </c>
      <c r="C124" s="25" t="str">
        <f>IF(OR($B124="",基础资料!$B$4=""),"",SUMIFS(周转筐出入库明细!$J$4:$J$2004,周转筐出入库明细!$C$4:$C$2004,$B124,周转筐出入库明细!$D$4:$D$2004,基础资料!$B$4,周转筐出入库明细!$B$4:$B$2004,"&gt;="&amp;$BC$1,周转筐出入库明细!$B$4:$B$2004,"&lt;="&amp;$BC$2))</f>
        <v/>
      </c>
      <c r="D124" s="25" t="str">
        <f>IF(OR($B124="",基础资料!$B$5=""),"",SUMIFS(周转筐出入库明细!$J$4:$J$2004,周转筐出入库明细!$C$4:$C$2004,$B124,周转筐出入库明细!$D$4:$D$2004,基础资料!$B$5,周转筐出入库明细!$B$4:$B$2004,"&gt;="&amp;$BC$1,周转筐出入库明细!$B$4:$B$2004,"&lt;="&amp;$BC$2))</f>
        <v/>
      </c>
      <c r="E124" s="25" t="str">
        <f>IF(OR($B124="",基础资料!$B$6=""),"",SUMIFS(周转筐出入库明细!$J$4:$J$2004,周转筐出入库明细!$C$4:$C$2004,$B124,周转筐出入库明细!$D$4:$D$2004,基础资料!$B$6,周转筐出入库明细!$B$4:$B$2004,"&gt;="&amp;$BC$1,周转筐出入库明细!$B$4:$B$2004,"&lt;="&amp;$BC$2))</f>
        <v/>
      </c>
      <c r="F124" s="25" t="str">
        <f>IF(OR($B124="",基础资料!$B$7=""),"",SUMIFS(周转筐出入库明细!$J$4:$J$2004,周转筐出入库明细!$C$4:$C$2004,$B124,周转筐出入库明细!$D$4:$D$2004,基础资料!$B$7,周转筐出入库明细!$B$4:$B$2004,"&gt;="&amp;$BC$1,周转筐出入库明细!$B$4:$B$2004,"&lt;="&amp;$BC$2))</f>
        <v/>
      </c>
      <c r="G124" s="25" t="str">
        <f>IF(OR($B124="",基础资料!$B$8=""),"",SUMIFS(周转筐出入库明细!$J$4:$J$2004,周转筐出入库明细!$C$4:$C$2004,$B124,周转筐出入库明细!$D$4:$D$2004,基础资料!$B$8,周转筐出入库明细!$B$4:$B$2004,"&gt;="&amp;$BC$1,周转筐出入库明细!$B$4:$B$2004,"&lt;="&amp;$BC$2))</f>
        <v/>
      </c>
      <c r="H124" s="25" t="str">
        <f t="shared" si="13"/>
        <v/>
      </c>
      <c r="I124" s="67" t="str">
        <f>IF(OR($B124="",基础资料!$B$4=""),"",-SUMIFS(周转筐出入库明细!$I$4:$I$2004,周转筐出入库明细!$C$4:$C$2004,$B124,周转筐出入库明细!$D$4:$D$2004,基础资料!$B$4,周转筐出入库明细!$B$4:$B$2004,"&gt;="&amp;$BC$1,周转筐出入库明细!$B$4:$B$2004,"&lt;="&amp;$BC$2))</f>
        <v/>
      </c>
      <c r="J124" s="67" t="str">
        <f>IF(OR($B124="",基础资料!$B$5=""),"",-SUMIFS(周转筐出入库明细!$I$4:$I$2004,周转筐出入库明细!$C$4:$C$2004,$B124,周转筐出入库明细!$D$4:$D$2004,基础资料!$B$5,周转筐出入库明细!$B$4:$B$2004,"&gt;="&amp;$BC$1,周转筐出入库明细!$B$4:$B$2004,"&lt;="&amp;$BC$2))</f>
        <v/>
      </c>
      <c r="K124" s="67" t="str">
        <f>IF(OR($B124="",基础资料!$B$6=""),"",-SUMIFS(周转筐出入库明细!$I$4:$I$2004,周转筐出入库明细!$C$4:$C$2004,$B124,周转筐出入库明细!$D$4:$D$2004,基础资料!$B$6,周转筐出入库明细!$B$4:$B$2004,"&gt;="&amp;$BC$1,周转筐出入库明细!$B$4:$B$2004,"&lt;="&amp;$BC$2))</f>
        <v/>
      </c>
      <c r="L124" s="67" t="str">
        <f>IF(OR($B124="",基础资料!$B$7=""),"",-SUMIFS(周转筐出入库明细!$I$4:$I$2004,周转筐出入库明细!$C$4:$C$2004,$B124,周转筐出入库明细!$D$4:$D$2004,基础资料!$B$7,周转筐出入库明细!$B$4:$B$2004,"&gt;="&amp;$BC$1,周转筐出入库明细!$B$4:$B$2004,"&lt;="&amp;$BC$2))</f>
        <v/>
      </c>
      <c r="M124" s="67" t="str">
        <f>IF(OR($B124="",基础资料!$B$8=""),"",-SUMIFS(周转筐出入库明细!$I$4:$I$2004,周转筐出入库明细!$C$4:$C$2004,$B124,周转筐出入库明细!$D$4:$D$2004,基础资料!$B$8,周转筐出入库明细!$B$4:$B$2004,"&gt;="&amp;$BC$1,周转筐出入库明细!$B$4:$B$2004,"&lt;="&amp;$BC$2))</f>
        <v/>
      </c>
      <c r="N124" s="67" t="str">
        <f t="shared" si="14"/>
        <v/>
      </c>
      <c r="O124" s="25" t="str">
        <f>IF(OR($B124="",基础资料!$B$4=""),"",SUMIFS(周转筐出入库明细!$H$4:$H$2004,周转筐出入库明细!$C$4:$C$2004,$B124,周转筐出入库明细!$D$4:$D$2004,基础资料!$B$4,周转筐出入库明细!$F$4:$F$2004,"采购入库",周转筐出入库明细!$B$4:$B$2004,"&gt;="&amp;$BC$1,周转筐出入库明细!$B$4:$B$2004,"&lt;="&amp;$BC$2))</f>
        <v/>
      </c>
      <c r="P124" s="25" t="str">
        <f>IF(OR($B124="",基础资料!$B$5=""),"",SUMIFS(周转筐出入库明细!$H$4:$H$2004,周转筐出入库明细!$C$4:$C$2004,$B124,周转筐出入库明细!$D$4:$D$2004,基础资料!$B$5,周转筐出入库明细!$F$4:$F$2004,"采购入库",周转筐出入库明细!$B$4:$B$2004,"&gt;="&amp;$BC$1,周转筐出入库明细!$B$4:$B$2004,"&lt;="&amp;$BC$2))</f>
        <v/>
      </c>
      <c r="Q124" s="25" t="str">
        <f>IF(OR($B124="",基础资料!$B$6=""),"",SUMIFS(周转筐出入库明细!$H$4:$H$2004,周转筐出入库明细!$C$4:$C$2004,$B124,周转筐出入库明细!$D$4:$D$2004,基础资料!$B$6,周转筐出入库明细!$F$4:$F$2004,"采购入库",周转筐出入库明细!$B$4:$B$2004,"&gt;="&amp;$BC$1,周转筐出入库明细!$B$4:$B$2004,"&lt;="&amp;$BC$2))</f>
        <v/>
      </c>
      <c r="R124" s="25" t="str">
        <f>IF(OR($B124="",基础资料!$B$7=""),"",SUMIFS(周转筐出入库明细!$H$4:$H$2004,周转筐出入库明细!$C$4:$C$2004,$B124,周转筐出入库明细!$D$4:$D$2004,基础资料!$B$7,周转筐出入库明细!$F$4:$F$2004,"采购入库",周转筐出入库明细!$B$4:$B$2004,"&gt;="&amp;$BC$1,周转筐出入库明细!$B$4:$B$2004,"&lt;="&amp;$BC$2))</f>
        <v/>
      </c>
      <c r="S124" s="25" t="str">
        <f>IF(OR($B124="",基础资料!$B$8=""),"",SUMIFS(周转筐出入库明细!$H$4:$H$2004,周转筐出入库明细!$C$4:$C$2004,$B124,周转筐出入库明细!$D$4:$D$2004,基础资料!$B$8,周转筐出入库明细!$F$4:$F$2004,"采购入库",周转筐出入库明细!$B$4:$B$2004,"&gt;="&amp;$BC$1,周转筐出入库明细!$B$4:$B$2004,"&lt;="&amp;$BC$2))</f>
        <v/>
      </c>
      <c r="T124" s="25" t="str">
        <f t="shared" si="15"/>
        <v/>
      </c>
      <c r="U124" s="25" t="str">
        <f>IF(OR($B124="",基础资料!$B$4=""),"",SUMIFS(周转筐出入库明细!$K$4:$K$2004,周转筐出入库明细!$C$4:$C$2004,$B124,周转筐出入库明细!$D$4:$D$2004,基础资料!$B$4,周转筐出入库明细!$B$4:$B$2004,"&gt;="&amp;$BC$1,周转筐出入库明细!$B$4:$B$2004,"&lt;="&amp;$BC$2))</f>
        <v/>
      </c>
      <c r="V124" s="25" t="str">
        <f>IF(OR($B124="",基础资料!$B$5=""),"",SUMIFS(周转筐出入库明细!$K$4:$K$2004,周转筐出入库明细!$C$4:$C$2004,$B124,周转筐出入库明细!$D$4:$D$2004,基础资料!$B$5,周转筐出入库明细!$B$4:$B$2004,"&gt;="&amp;$BC$1,周转筐出入库明细!$B$4:$B$2004,"&lt;="&amp;$BC$2))</f>
        <v/>
      </c>
      <c r="W124" s="25" t="str">
        <f>IF(OR($B124="",基础资料!$B$6=""),"",SUMIFS(周转筐出入库明细!$K$4:$K$2004,周转筐出入库明细!$C$4:$C$2004,$B124,周转筐出入库明细!$D$4:$D$2004,基础资料!$B$6,周转筐出入库明细!$B$4:$B$2004,"&gt;="&amp;$BC$1,周转筐出入库明细!$B$4:$B$2004,"&lt;="&amp;$BC$2))</f>
        <v/>
      </c>
      <c r="X124" s="25" t="str">
        <f>IF(OR($B124="",基础资料!$B$7=""),"",SUMIFS(周转筐出入库明细!$K$4:$K$2004,周转筐出入库明细!$C$4:$C$2004,$B124,周转筐出入库明细!$D$4:$D$2004,基础资料!$B$7,周转筐出入库明细!$B$4:$B$2004,"&gt;="&amp;$BC$1,周转筐出入库明细!$B$4:$B$2004,"&lt;="&amp;$BC$2))</f>
        <v/>
      </c>
      <c r="Y124" s="25" t="str">
        <f>IF(OR($B124="",基础资料!$B$8=""),"",SUMIFS(周转筐出入库明细!$K$4:$K$2004,周转筐出入库明细!$C$4:$C$2004,$B124,周转筐出入库明细!$D$4:$D$2004,基础资料!$B$8,周转筐出入库明细!$B$4:$B$2004,"&gt;="&amp;$BC$1,周转筐出入库明细!$B$4:$B$2004,"&lt;="&amp;$BC$2))</f>
        <v/>
      </c>
      <c r="Z124" s="25" t="str">
        <f t="shared" si="16"/>
        <v/>
      </c>
      <c r="AA124" s="67" t="str">
        <f>IF(OR($B124="",基础资料!$B$4=""),"",-SUMIFS(对接源_01水果筐数!$D$5:$D$304,对接源_01水果筐数!$B$5:$B$304,$B124,对接源_01水果筐数!$C$5:$C$304,基础资料!$B$4))</f>
        <v/>
      </c>
      <c r="AB124" s="67" t="str">
        <f>IF(OR($B124="",基础资料!$B$5=""),"",-SUMIFS(对接源_01水果筐数!$D$5:$D$304,对接源_01水果筐数!$B$5:$B$304,$B124,对接源_01水果筐数!$C$5:$C$304,基础资料!$B$5))</f>
        <v/>
      </c>
      <c r="AC124" s="67" t="str">
        <f>IF(OR($B124="",基础资料!$B$6=""),"",-SUMIFS(对接源_01水果筐数!$D$5:$D$304,对接源_01水果筐数!$B$5:$B$304,$B124,对接源_01水果筐数!$C$5:$C$304,基础资料!$B$6))</f>
        <v/>
      </c>
      <c r="AD124" s="67" t="str">
        <f>IF(OR($B124="",基础资料!$B$7=""),"",-SUMIFS(对接源_01水果筐数!$D$5:$D$304,对接源_01水果筐数!$B$5:$B$304,$B124,对接源_01水果筐数!$C$5:$C$304,基础资料!$B$7))</f>
        <v/>
      </c>
      <c r="AE124" s="67" t="str">
        <f>IF(OR($B124="",基础资料!$B$8=""),"",-SUMIFS(对接源_01水果筐数!$D$5:$D$304,对接源_01水果筐数!$B$5:$B$304,$B124,对接源_01水果筐数!$C$5:$C$304,基础资料!$B$8))</f>
        <v/>
      </c>
      <c r="AF124" s="25" t="str">
        <f>IF(OR($B124="",基础资料!$B$4=""),"",SUMIFS(对接源_01水果筐数!$E$5:$E$304,对接源_01水果筐数!$B$5:$B$304,$B124,对接源_01水果筐数!$C$5:$C$304,基础资料!$B$4))</f>
        <v/>
      </c>
      <c r="AG124" s="25" t="str">
        <f>IF(OR($B124="",基础资料!$B$5=""),"",SUMIFS(对接源_01水果筐数!$E$5:$E$304,对接源_01水果筐数!$B$5:$B$304,$B124,对接源_01水果筐数!$C$5:$C$304,基础资料!$B$5))</f>
        <v/>
      </c>
      <c r="AH124" s="25" t="str">
        <f>IF(OR($B124="",基础资料!$B$6=""),"",SUMIFS(对接源_01水果筐数!$E$5:$E$304,对接源_01水果筐数!$B$5:$B$304,$B124,对接源_01水果筐数!$C$5:$C$304,基础资料!$B$6))</f>
        <v/>
      </c>
      <c r="AI124" s="25" t="str">
        <f>IF(OR($B124="",基础资料!$B$7=""),"",SUMIFS(对接源_01水果筐数!$E$5:$E$304,对接源_01水果筐数!$B$5:$B$304,$B124,对接源_01水果筐数!$C$5:$C$304,基础资料!$B$7))</f>
        <v/>
      </c>
      <c r="AJ124" s="25" t="str">
        <f>IF(OR($B124="",基础资料!$B$8=""),"",SUMIFS(对接源_01水果筐数!$E$5:$E$304,对接源_01水果筐数!$B$5:$B$304,$B124,对接源_01水果筐数!$C$5:$C$304,基础资料!$B$8))</f>
        <v/>
      </c>
      <c r="AK124" s="25" t="str">
        <f>IF(OR($B124="",基础资料!$B$4=""),"",SUMIFS(对接源_01水果筐数!$F$5:$F$304,对接源_01水果筐数!$B$5:$B$304,$B124,对接源_01水果筐数!$C$5:$C$304,基础资料!$B$4))</f>
        <v/>
      </c>
      <c r="AL124" s="25" t="str">
        <f>IF(OR($B124="",基础资料!$B$5=""),"",SUMIFS(对接源_01水果筐数!$F$5:$F$304,对接源_01水果筐数!$B$5:$B$304,$B124,对接源_01水果筐数!$C$5:$C$304,基础资料!$B$5))</f>
        <v/>
      </c>
      <c r="AM124" s="25" t="str">
        <f>IF(OR($B124="",基础资料!$B$6=""),"",SUMIFS(对接源_01水果筐数!$F$5:$F$304,对接源_01水果筐数!$B$5:$B$304,$B124,对接源_01水果筐数!$C$5:$C$304,基础资料!$B$6))</f>
        <v/>
      </c>
      <c r="AN124" s="25" t="str">
        <f>IF(OR($B124="",基础资料!$B$7=""),"",SUMIFS(对接源_01水果筐数!$F$5:$F$304,对接源_01水果筐数!$B$5:$B$304,$B124,对接源_01水果筐数!$C$5:$C$304,基础资料!$B$7))</f>
        <v/>
      </c>
      <c r="AO124" s="25" t="str">
        <f>IF(OR($B124="",基础资料!$B$8=""),"",SUMIFS(对接源_01水果筐数!$F$5:$F$304,对接源_01水果筐数!$B$5:$B$304,$B124,对接源_01水果筐数!$C$5:$C$304,基础资料!$B$8))</f>
        <v/>
      </c>
      <c r="AP124" s="25" t="str">
        <f t="shared" si="17"/>
        <v/>
      </c>
      <c r="AQ124" s="25" t="str">
        <f t="shared" si="18"/>
        <v/>
      </c>
      <c r="AR124" s="25" t="str">
        <f t="shared" si="19"/>
        <v/>
      </c>
      <c r="AS124" s="25" t="str">
        <f t="shared" si="20"/>
        <v/>
      </c>
      <c r="AT124" s="25" t="str">
        <f t="shared" si="21"/>
        <v/>
      </c>
      <c r="AU124" s="25" t="str">
        <f t="shared" si="22"/>
        <v/>
      </c>
      <c r="AV124" s="24" t="str">
        <f t="shared" si="23"/>
        <v/>
      </c>
      <c r="AW124" s="72"/>
    </row>
    <row r="125" spans="1:49">
      <c r="A125" s="22" t="str">
        <f t="shared" si="12"/>
        <v/>
      </c>
      <c r="B125" s="24" t="str">
        <f>IFERROR(INDEX(_自动清单!$CC$4:$CC$253,ROW()-3),"")</f>
        <v/>
      </c>
      <c r="C125" s="25" t="str">
        <f>IF(OR($B125="",基础资料!$B$4=""),"",SUMIFS(周转筐出入库明细!$J$4:$J$2004,周转筐出入库明细!$C$4:$C$2004,$B125,周转筐出入库明细!$D$4:$D$2004,基础资料!$B$4,周转筐出入库明细!$B$4:$B$2004,"&gt;="&amp;$BC$1,周转筐出入库明细!$B$4:$B$2004,"&lt;="&amp;$BC$2))</f>
        <v/>
      </c>
      <c r="D125" s="25" t="str">
        <f>IF(OR($B125="",基础资料!$B$5=""),"",SUMIFS(周转筐出入库明细!$J$4:$J$2004,周转筐出入库明细!$C$4:$C$2004,$B125,周转筐出入库明细!$D$4:$D$2004,基础资料!$B$5,周转筐出入库明细!$B$4:$B$2004,"&gt;="&amp;$BC$1,周转筐出入库明细!$B$4:$B$2004,"&lt;="&amp;$BC$2))</f>
        <v/>
      </c>
      <c r="E125" s="25" t="str">
        <f>IF(OR($B125="",基础资料!$B$6=""),"",SUMIFS(周转筐出入库明细!$J$4:$J$2004,周转筐出入库明细!$C$4:$C$2004,$B125,周转筐出入库明细!$D$4:$D$2004,基础资料!$B$6,周转筐出入库明细!$B$4:$B$2004,"&gt;="&amp;$BC$1,周转筐出入库明细!$B$4:$B$2004,"&lt;="&amp;$BC$2))</f>
        <v/>
      </c>
      <c r="F125" s="25" t="str">
        <f>IF(OR($B125="",基础资料!$B$7=""),"",SUMIFS(周转筐出入库明细!$J$4:$J$2004,周转筐出入库明细!$C$4:$C$2004,$B125,周转筐出入库明细!$D$4:$D$2004,基础资料!$B$7,周转筐出入库明细!$B$4:$B$2004,"&gt;="&amp;$BC$1,周转筐出入库明细!$B$4:$B$2004,"&lt;="&amp;$BC$2))</f>
        <v/>
      </c>
      <c r="G125" s="25" t="str">
        <f>IF(OR($B125="",基础资料!$B$8=""),"",SUMIFS(周转筐出入库明细!$J$4:$J$2004,周转筐出入库明细!$C$4:$C$2004,$B125,周转筐出入库明细!$D$4:$D$2004,基础资料!$B$8,周转筐出入库明细!$B$4:$B$2004,"&gt;="&amp;$BC$1,周转筐出入库明细!$B$4:$B$2004,"&lt;="&amp;$BC$2))</f>
        <v/>
      </c>
      <c r="H125" s="25" t="str">
        <f t="shared" si="13"/>
        <v/>
      </c>
      <c r="I125" s="67" t="str">
        <f>IF(OR($B125="",基础资料!$B$4=""),"",-SUMIFS(周转筐出入库明细!$I$4:$I$2004,周转筐出入库明细!$C$4:$C$2004,$B125,周转筐出入库明细!$D$4:$D$2004,基础资料!$B$4,周转筐出入库明细!$B$4:$B$2004,"&gt;="&amp;$BC$1,周转筐出入库明细!$B$4:$B$2004,"&lt;="&amp;$BC$2))</f>
        <v/>
      </c>
      <c r="J125" s="67" t="str">
        <f>IF(OR($B125="",基础资料!$B$5=""),"",-SUMIFS(周转筐出入库明细!$I$4:$I$2004,周转筐出入库明细!$C$4:$C$2004,$B125,周转筐出入库明细!$D$4:$D$2004,基础资料!$B$5,周转筐出入库明细!$B$4:$B$2004,"&gt;="&amp;$BC$1,周转筐出入库明细!$B$4:$B$2004,"&lt;="&amp;$BC$2))</f>
        <v/>
      </c>
      <c r="K125" s="67" t="str">
        <f>IF(OR($B125="",基础资料!$B$6=""),"",-SUMIFS(周转筐出入库明细!$I$4:$I$2004,周转筐出入库明细!$C$4:$C$2004,$B125,周转筐出入库明细!$D$4:$D$2004,基础资料!$B$6,周转筐出入库明细!$B$4:$B$2004,"&gt;="&amp;$BC$1,周转筐出入库明细!$B$4:$B$2004,"&lt;="&amp;$BC$2))</f>
        <v/>
      </c>
      <c r="L125" s="67" t="str">
        <f>IF(OR($B125="",基础资料!$B$7=""),"",-SUMIFS(周转筐出入库明细!$I$4:$I$2004,周转筐出入库明细!$C$4:$C$2004,$B125,周转筐出入库明细!$D$4:$D$2004,基础资料!$B$7,周转筐出入库明细!$B$4:$B$2004,"&gt;="&amp;$BC$1,周转筐出入库明细!$B$4:$B$2004,"&lt;="&amp;$BC$2))</f>
        <v/>
      </c>
      <c r="M125" s="67" t="str">
        <f>IF(OR($B125="",基础资料!$B$8=""),"",-SUMIFS(周转筐出入库明细!$I$4:$I$2004,周转筐出入库明细!$C$4:$C$2004,$B125,周转筐出入库明细!$D$4:$D$2004,基础资料!$B$8,周转筐出入库明细!$B$4:$B$2004,"&gt;="&amp;$BC$1,周转筐出入库明细!$B$4:$B$2004,"&lt;="&amp;$BC$2))</f>
        <v/>
      </c>
      <c r="N125" s="67" t="str">
        <f t="shared" si="14"/>
        <v/>
      </c>
      <c r="O125" s="25" t="str">
        <f>IF(OR($B125="",基础资料!$B$4=""),"",SUMIFS(周转筐出入库明细!$H$4:$H$2004,周转筐出入库明细!$C$4:$C$2004,$B125,周转筐出入库明细!$D$4:$D$2004,基础资料!$B$4,周转筐出入库明细!$F$4:$F$2004,"采购入库",周转筐出入库明细!$B$4:$B$2004,"&gt;="&amp;$BC$1,周转筐出入库明细!$B$4:$B$2004,"&lt;="&amp;$BC$2))</f>
        <v/>
      </c>
      <c r="P125" s="25" t="str">
        <f>IF(OR($B125="",基础资料!$B$5=""),"",SUMIFS(周转筐出入库明细!$H$4:$H$2004,周转筐出入库明细!$C$4:$C$2004,$B125,周转筐出入库明细!$D$4:$D$2004,基础资料!$B$5,周转筐出入库明细!$F$4:$F$2004,"采购入库",周转筐出入库明细!$B$4:$B$2004,"&gt;="&amp;$BC$1,周转筐出入库明细!$B$4:$B$2004,"&lt;="&amp;$BC$2))</f>
        <v/>
      </c>
      <c r="Q125" s="25" t="str">
        <f>IF(OR($B125="",基础资料!$B$6=""),"",SUMIFS(周转筐出入库明细!$H$4:$H$2004,周转筐出入库明细!$C$4:$C$2004,$B125,周转筐出入库明细!$D$4:$D$2004,基础资料!$B$6,周转筐出入库明细!$F$4:$F$2004,"采购入库",周转筐出入库明细!$B$4:$B$2004,"&gt;="&amp;$BC$1,周转筐出入库明细!$B$4:$B$2004,"&lt;="&amp;$BC$2))</f>
        <v/>
      </c>
      <c r="R125" s="25" t="str">
        <f>IF(OR($B125="",基础资料!$B$7=""),"",SUMIFS(周转筐出入库明细!$H$4:$H$2004,周转筐出入库明细!$C$4:$C$2004,$B125,周转筐出入库明细!$D$4:$D$2004,基础资料!$B$7,周转筐出入库明细!$F$4:$F$2004,"采购入库",周转筐出入库明细!$B$4:$B$2004,"&gt;="&amp;$BC$1,周转筐出入库明细!$B$4:$B$2004,"&lt;="&amp;$BC$2))</f>
        <v/>
      </c>
      <c r="S125" s="25" t="str">
        <f>IF(OR($B125="",基础资料!$B$8=""),"",SUMIFS(周转筐出入库明细!$H$4:$H$2004,周转筐出入库明细!$C$4:$C$2004,$B125,周转筐出入库明细!$D$4:$D$2004,基础资料!$B$8,周转筐出入库明细!$F$4:$F$2004,"采购入库",周转筐出入库明细!$B$4:$B$2004,"&gt;="&amp;$BC$1,周转筐出入库明细!$B$4:$B$2004,"&lt;="&amp;$BC$2))</f>
        <v/>
      </c>
      <c r="T125" s="25" t="str">
        <f t="shared" si="15"/>
        <v/>
      </c>
      <c r="U125" s="25" t="str">
        <f>IF(OR($B125="",基础资料!$B$4=""),"",SUMIFS(周转筐出入库明细!$K$4:$K$2004,周转筐出入库明细!$C$4:$C$2004,$B125,周转筐出入库明细!$D$4:$D$2004,基础资料!$B$4,周转筐出入库明细!$B$4:$B$2004,"&gt;="&amp;$BC$1,周转筐出入库明细!$B$4:$B$2004,"&lt;="&amp;$BC$2))</f>
        <v/>
      </c>
      <c r="V125" s="25" t="str">
        <f>IF(OR($B125="",基础资料!$B$5=""),"",SUMIFS(周转筐出入库明细!$K$4:$K$2004,周转筐出入库明细!$C$4:$C$2004,$B125,周转筐出入库明细!$D$4:$D$2004,基础资料!$B$5,周转筐出入库明细!$B$4:$B$2004,"&gt;="&amp;$BC$1,周转筐出入库明细!$B$4:$B$2004,"&lt;="&amp;$BC$2))</f>
        <v/>
      </c>
      <c r="W125" s="25" t="str">
        <f>IF(OR($B125="",基础资料!$B$6=""),"",SUMIFS(周转筐出入库明细!$K$4:$K$2004,周转筐出入库明细!$C$4:$C$2004,$B125,周转筐出入库明细!$D$4:$D$2004,基础资料!$B$6,周转筐出入库明细!$B$4:$B$2004,"&gt;="&amp;$BC$1,周转筐出入库明细!$B$4:$B$2004,"&lt;="&amp;$BC$2))</f>
        <v/>
      </c>
      <c r="X125" s="25" t="str">
        <f>IF(OR($B125="",基础资料!$B$7=""),"",SUMIFS(周转筐出入库明细!$K$4:$K$2004,周转筐出入库明细!$C$4:$C$2004,$B125,周转筐出入库明细!$D$4:$D$2004,基础资料!$B$7,周转筐出入库明细!$B$4:$B$2004,"&gt;="&amp;$BC$1,周转筐出入库明细!$B$4:$B$2004,"&lt;="&amp;$BC$2))</f>
        <v/>
      </c>
      <c r="Y125" s="25" t="str">
        <f>IF(OR($B125="",基础资料!$B$8=""),"",SUMIFS(周转筐出入库明细!$K$4:$K$2004,周转筐出入库明细!$C$4:$C$2004,$B125,周转筐出入库明细!$D$4:$D$2004,基础资料!$B$8,周转筐出入库明细!$B$4:$B$2004,"&gt;="&amp;$BC$1,周转筐出入库明细!$B$4:$B$2004,"&lt;="&amp;$BC$2))</f>
        <v/>
      </c>
      <c r="Z125" s="25" t="str">
        <f t="shared" si="16"/>
        <v/>
      </c>
      <c r="AA125" s="67" t="str">
        <f>IF(OR($B125="",基础资料!$B$4=""),"",-SUMIFS(对接源_01水果筐数!$D$5:$D$304,对接源_01水果筐数!$B$5:$B$304,$B125,对接源_01水果筐数!$C$5:$C$304,基础资料!$B$4))</f>
        <v/>
      </c>
      <c r="AB125" s="67" t="str">
        <f>IF(OR($B125="",基础资料!$B$5=""),"",-SUMIFS(对接源_01水果筐数!$D$5:$D$304,对接源_01水果筐数!$B$5:$B$304,$B125,对接源_01水果筐数!$C$5:$C$304,基础资料!$B$5))</f>
        <v/>
      </c>
      <c r="AC125" s="67" t="str">
        <f>IF(OR($B125="",基础资料!$B$6=""),"",-SUMIFS(对接源_01水果筐数!$D$5:$D$304,对接源_01水果筐数!$B$5:$B$304,$B125,对接源_01水果筐数!$C$5:$C$304,基础资料!$B$6))</f>
        <v/>
      </c>
      <c r="AD125" s="67" t="str">
        <f>IF(OR($B125="",基础资料!$B$7=""),"",-SUMIFS(对接源_01水果筐数!$D$5:$D$304,对接源_01水果筐数!$B$5:$B$304,$B125,对接源_01水果筐数!$C$5:$C$304,基础资料!$B$7))</f>
        <v/>
      </c>
      <c r="AE125" s="67" t="str">
        <f>IF(OR($B125="",基础资料!$B$8=""),"",-SUMIFS(对接源_01水果筐数!$D$5:$D$304,对接源_01水果筐数!$B$5:$B$304,$B125,对接源_01水果筐数!$C$5:$C$304,基础资料!$B$8))</f>
        <v/>
      </c>
      <c r="AF125" s="25" t="str">
        <f>IF(OR($B125="",基础资料!$B$4=""),"",SUMIFS(对接源_01水果筐数!$E$5:$E$304,对接源_01水果筐数!$B$5:$B$304,$B125,对接源_01水果筐数!$C$5:$C$304,基础资料!$B$4))</f>
        <v/>
      </c>
      <c r="AG125" s="25" t="str">
        <f>IF(OR($B125="",基础资料!$B$5=""),"",SUMIFS(对接源_01水果筐数!$E$5:$E$304,对接源_01水果筐数!$B$5:$B$304,$B125,对接源_01水果筐数!$C$5:$C$304,基础资料!$B$5))</f>
        <v/>
      </c>
      <c r="AH125" s="25" t="str">
        <f>IF(OR($B125="",基础资料!$B$6=""),"",SUMIFS(对接源_01水果筐数!$E$5:$E$304,对接源_01水果筐数!$B$5:$B$304,$B125,对接源_01水果筐数!$C$5:$C$304,基础资料!$B$6))</f>
        <v/>
      </c>
      <c r="AI125" s="25" t="str">
        <f>IF(OR($B125="",基础资料!$B$7=""),"",SUMIFS(对接源_01水果筐数!$E$5:$E$304,对接源_01水果筐数!$B$5:$B$304,$B125,对接源_01水果筐数!$C$5:$C$304,基础资料!$B$7))</f>
        <v/>
      </c>
      <c r="AJ125" s="25" t="str">
        <f>IF(OR($B125="",基础资料!$B$8=""),"",SUMIFS(对接源_01水果筐数!$E$5:$E$304,对接源_01水果筐数!$B$5:$B$304,$B125,对接源_01水果筐数!$C$5:$C$304,基础资料!$B$8))</f>
        <v/>
      </c>
      <c r="AK125" s="25" t="str">
        <f>IF(OR($B125="",基础资料!$B$4=""),"",SUMIFS(对接源_01水果筐数!$F$5:$F$304,对接源_01水果筐数!$B$5:$B$304,$B125,对接源_01水果筐数!$C$5:$C$304,基础资料!$B$4))</f>
        <v/>
      </c>
      <c r="AL125" s="25" t="str">
        <f>IF(OR($B125="",基础资料!$B$5=""),"",SUMIFS(对接源_01水果筐数!$F$5:$F$304,对接源_01水果筐数!$B$5:$B$304,$B125,对接源_01水果筐数!$C$5:$C$304,基础资料!$B$5))</f>
        <v/>
      </c>
      <c r="AM125" s="25" t="str">
        <f>IF(OR($B125="",基础资料!$B$6=""),"",SUMIFS(对接源_01水果筐数!$F$5:$F$304,对接源_01水果筐数!$B$5:$B$304,$B125,对接源_01水果筐数!$C$5:$C$304,基础资料!$B$6))</f>
        <v/>
      </c>
      <c r="AN125" s="25" t="str">
        <f>IF(OR($B125="",基础资料!$B$7=""),"",SUMIFS(对接源_01水果筐数!$F$5:$F$304,对接源_01水果筐数!$B$5:$B$304,$B125,对接源_01水果筐数!$C$5:$C$304,基础资料!$B$7))</f>
        <v/>
      </c>
      <c r="AO125" s="25" t="str">
        <f>IF(OR($B125="",基础资料!$B$8=""),"",SUMIFS(对接源_01水果筐数!$F$5:$F$304,对接源_01水果筐数!$B$5:$B$304,$B125,对接源_01水果筐数!$C$5:$C$304,基础资料!$B$8))</f>
        <v/>
      </c>
      <c r="AP125" s="25" t="str">
        <f t="shared" si="17"/>
        <v/>
      </c>
      <c r="AQ125" s="25" t="str">
        <f t="shared" si="18"/>
        <v/>
      </c>
      <c r="AR125" s="25" t="str">
        <f t="shared" si="19"/>
        <v/>
      </c>
      <c r="AS125" s="25" t="str">
        <f t="shared" si="20"/>
        <v/>
      </c>
      <c r="AT125" s="25" t="str">
        <f t="shared" si="21"/>
        <v/>
      </c>
      <c r="AU125" s="25" t="str">
        <f t="shared" si="22"/>
        <v/>
      </c>
      <c r="AV125" s="24" t="str">
        <f t="shared" si="23"/>
        <v/>
      </c>
      <c r="AW125" s="72"/>
    </row>
    <row r="126" spans="1:49">
      <c r="A126" s="22" t="str">
        <f t="shared" si="12"/>
        <v/>
      </c>
      <c r="B126" s="24" t="str">
        <f>IFERROR(INDEX(_自动清单!$CC$4:$CC$253,ROW()-3),"")</f>
        <v/>
      </c>
      <c r="C126" s="25" t="str">
        <f>IF(OR($B126="",基础资料!$B$4=""),"",SUMIFS(周转筐出入库明细!$J$4:$J$2004,周转筐出入库明细!$C$4:$C$2004,$B126,周转筐出入库明细!$D$4:$D$2004,基础资料!$B$4,周转筐出入库明细!$B$4:$B$2004,"&gt;="&amp;$BC$1,周转筐出入库明细!$B$4:$B$2004,"&lt;="&amp;$BC$2))</f>
        <v/>
      </c>
      <c r="D126" s="25" t="str">
        <f>IF(OR($B126="",基础资料!$B$5=""),"",SUMIFS(周转筐出入库明细!$J$4:$J$2004,周转筐出入库明细!$C$4:$C$2004,$B126,周转筐出入库明细!$D$4:$D$2004,基础资料!$B$5,周转筐出入库明细!$B$4:$B$2004,"&gt;="&amp;$BC$1,周转筐出入库明细!$B$4:$B$2004,"&lt;="&amp;$BC$2))</f>
        <v/>
      </c>
      <c r="E126" s="25" t="str">
        <f>IF(OR($B126="",基础资料!$B$6=""),"",SUMIFS(周转筐出入库明细!$J$4:$J$2004,周转筐出入库明细!$C$4:$C$2004,$B126,周转筐出入库明细!$D$4:$D$2004,基础资料!$B$6,周转筐出入库明细!$B$4:$B$2004,"&gt;="&amp;$BC$1,周转筐出入库明细!$B$4:$B$2004,"&lt;="&amp;$BC$2))</f>
        <v/>
      </c>
      <c r="F126" s="25" t="str">
        <f>IF(OR($B126="",基础资料!$B$7=""),"",SUMIFS(周转筐出入库明细!$J$4:$J$2004,周转筐出入库明细!$C$4:$C$2004,$B126,周转筐出入库明细!$D$4:$D$2004,基础资料!$B$7,周转筐出入库明细!$B$4:$B$2004,"&gt;="&amp;$BC$1,周转筐出入库明细!$B$4:$B$2004,"&lt;="&amp;$BC$2))</f>
        <v/>
      </c>
      <c r="G126" s="25" t="str">
        <f>IF(OR($B126="",基础资料!$B$8=""),"",SUMIFS(周转筐出入库明细!$J$4:$J$2004,周转筐出入库明细!$C$4:$C$2004,$B126,周转筐出入库明细!$D$4:$D$2004,基础资料!$B$8,周转筐出入库明细!$B$4:$B$2004,"&gt;="&amp;$BC$1,周转筐出入库明细!$B$4:$B$2004,"&lt;="&amp;$BC$2))</f>
        <v/>
      </c>
      <c r="H126" s="25" t="str">
        <f t="shared" si="13"/>
        <v/>
      </c>
      <c r="I126" s="67" t="str">
        <f>IF(OR($B126="",基础资料!$B$4=""),"",-SUMIFS(周转筐出入库明细!$I$4:$I$2004,周转筐出入库明细!$C$4:$C$2004,$B126,周转筐出入库明细!$D$4:$D$2004,基础资料!$B$4,周转筐出入库明细!$B$4:$B$2004,"&gt;="&amp;$BC$1,周转筐出入库明细!$B$4:$B$2004,"&lt;="&amp;$BC$2))</f>
        <v/>
      </c>
      <c r="J126" s="67" t="str">
        <f>IF(OR($B126="",基础资料!$B$5=""),"",-SUMIFS(周转筐出入库明细!$I$4:$I$2004,周转筐出入库明细!$C$4:$C$2004,$B126,周转筐出入库明细!$D$4:$D$2004,基础资料!$B$5,周转筐出入库明细!$B$4:$B$2004,"&gt;="&amp;$BC$1,周转筐出入库明细!$B$4:$B$2004,"&lt;="&amp;$BC$2))</f>
        <v/>
      </c>
      <c r="K126" s="67" t="str">
        <f>IF(OR($B126="",基础资料!$B$6=""),"",-SUMIFS(周转筐出入库明细!$I$4:$I$2004,周转筐出入库明细!$C$4:$C$2004,$B126,周转筐出入库明细!$D$4:$D$2004,基础资料!$B$6,周转筐出入库明细!$B$4:$B$2004,"&gt;="&amp;$BC$1,周转筐出入库明细!$B$4:$B$2004,"&lt;="&amp;$BC$2))</f>
        <v/>
      </c>
      <c r="L126" s="67" t="str">
        <f>IF(OR($B126="",基础资料!$B$7=""),"",-SUMIFS(周转筐出入库明细!$I$4:$I$2004,周转筐出入库明细!$C$4:$C$2004,$B126,周转筐出入库明细!$D$4:$D$2004,基础资料!$B$7,周转筐出入库明细!$B$4:$B$2004,"&gt;="&amp;$BC$1,周转筐出入库明细!$B$4:$B$2004,"&lt;="&amp;$BC$2))</f>
        <v/>
      </c>
      <c r="M126" s="67" t="str">
        <f>IF(OR($B126="",基础资料!$B$8=""),"",-SUMIFS(周转筐出入库明细!$I$4:$I$2004,周转筐出入库明细!$C$4:$C$2004,$B126,周转筐出入库明细!$D$4:$D$2004,基础资料!$B$8,周转筐出入库明细!$B$4:$B$2004,"&gt;="&amp;$BC$1,周转筐出入库明细!$B$4:$B$2004,"&lt;="&amp;$BC$2))</f>
        <v/>
      </c>
      <c r="N126" s="67" t="str">
        <f t="shared" si="14"/>
        <v/>
      </c>
      <c r="O126" s="25" t="str">
        <f>IF(OR($B126="",基础资料!$B$4=""),"",SUMIFS(周转筐出入库明细!$H$4:$H$2004,周转筐出入库明细!$C$4:$C$2004,$B126,周转筐出入库明细!$D$4:$D$2004,基础资料!$B$4,周转筐出入库明细!$F$4:$F$2004,"采购入库",周转筐出入库明细!$B$4:$B$2004,"&gt;="&amp;$BC$1,周转筐出入库明细!$B$4:$B$2004,"&lt;="&amp;$BC$2))</f>
        <v/>
      </c>
      <c r="P126" s="25" t="str">
        <f>IF(OR($B126="",基础资料!$B$5=""),"",SUMIFS(周转筐出入库明细!$H$4:$H$2004,周转筐出入库明细!$C$4:$C$2004,$B126,周转筐出入库明细!$D$4:$D$2004,基础资料!$B$5,周转筐出入库明细!$F$4:$F$2004,"采购入库",周转筐出入库明细!$B$4:$B$2004,"&gt;="&amp;$BC$1,周转筐出入库明细!$B$4:$B$2004,"&lt;="&amp;$BC$2))</f>
        <v/>
      </c>
      <c r="Q126" s="25" t="str">
        <f>IF(OR($B126="",基础资料!$B$6=""),"",SUMIFS(周转筐出入库明细!$H$4:$H$2004,周转筐出入库明细!$C$4:$C$2004,$B126,周转筐出入库明细!$D$4:$D$2004,基础资料!$B$6,周转筐出入库明细!$F$4:$F$2004,"采购入库",周转筐出入库明细!$B$4:$B$2004,"&gt;="&amp;$BC$1,周转筐出入库明细!$B$4:$B$2004,"&lt;="&amp;$BC$2))</f>
        <v/>
      </c>
      <c r="R126" s="25" t="str">
        <f>IF(OR($B126="",基础资料!$B$7=""),"",SUMIFS(周转筐出入库明细!$H$4:$H$2004,周转筐出入库明细!$C$4:$C$2004,$B126,周转筐出入库明细!$D$4:$D$2004,基础资料!$B$7,周转筐出入库明细!$F$4:$F$2004,"采购入库",周转筐出入库明细!$B$4:$B$2004,"&gt;="&amp;$BC$1,周转筐出入库明细!$B$4:$B$2004,"&lt;="&amp;$BC$2))</f>
        <v/>
      </c>
      <c r="S126" s="25" t="str">
        <f>IF(OR($B126="",基础资料!$B$8=""),"",SUMIFS(周转筐出入库明细!$H$4:$H$2004,周转筐出入库明细!$C$4:$C$2004,$B126,周转筐出入库明细!$D$4:$D$2004,基础资料!$B$8,周转筐出入库明细!$F$4:$F$2004,"采购入库",周转筐出入库明细!$B$4:$B$2004,"&gt;="&amp;$BC$1,周转筐出入库明细!$B$4:$B$2004,"&lt;="&amp;$BC$2))</f>
        <v/>
      </c>
      <c r="T126" s="25" t="str">
        <f t="shared" si="15"/>
        <v/>
      </c>
      <c r="U126" s="25" t="str">
        <f>IF(OR($B126="",基础资料!$B$4=""),"",SUMIFS(周转筐出入库明细!$K$4:$K$2004,周转筐出入库明细!$C$4:$C$2004,$B126,周转筐出入库明细!$D$4:$D$2004,基础资料!$B$4,周转筐出入库明细!$B$4:$B$2004,"&gt;="&amp;$BC$1,周转筐出入库明细!$B$4:$B$2004,"&lt;="&amp;$BC$2))</f>
        <v/>
      </c>
      <c r="V126" s="25" t="str">
        <f>IF(OR($B126="",基础资料!$B$5=""),"",SUMIFS(周转筐出入库明细!$K$4:$K$2004,周转筐出入库明细!$C$4:$C$2004,$B126,周转筐出入库明细!$D$4:$D$2004,基础资料!$B$5,周转筐出入库明细!$B$4:$B$2004,"&gt;="&amp;$BC$1,周转筐出入库明细!$B$4:$B$2004,"&lt;="&amp;$BC$2))</f>
        <v/>
      </c>
      <c r="W126" s="25" t="str">
        <f>IF(OR($B126="",基础资料!$B$6=""),"",SUMIFS(周转筐出入库明细!$K$4:$K$2004,周转筐出入库明细!$C$4:$C$2004,$B126,周转筐出入库明细!$D$4:$D$2004,基础资料!$B$6,周转筐出入库明细!$B$4:$B$2004,"&gt;="&amp;$BC$1,周转筐出入库明细!$B$4:$B$2004,"&lt;="&amp;$BC$2))</f>
        <v/>
      </c>
      <c r="X126" s="25" t="str">
        <f>IF(OR($B126="",基础资料!$B$7=""),"",SUMIFS(周转筐出入库明细!$K$4:$K$2004,周转筐出入库明细!$C$4:$C$2004,$B126,周转筐出入库明细!$D$4:$D$2004,基础资料!$B$7,周转筐出入库明细!$B$4:$B$2004,"&gt;="&amp;$BC$1,周转筐出入库明细!$B$4:$B$2004,"&lt;="&amp;$BC$2))</f>
        <v/>
      </c>
      <c r="Y126" s="25" t="str">
        <f>IF(OR($B126="",基础资料!$B$8=""),"",SUMIFS(周转筐出入库明细!$K$4:$K$2004,周转筐出入库明细!$C$4:$C$2004,$B126,周转筐出入库明细!$D$4:$D$2004,基础资料!$B$8,周转筐出入库明细!$B$4:$B$2004,"&gt;="&amp;$BC$1,周转筐出入库明细!$B$4:$B$2004,"&lt;="&amp;$BC$2))</f>
        <v/>
      </c>
      <c r="Z126" s="25" t="str">
        <f t="shared" si="16"/>
        <v/>
      </c>
      <c r="AA126" s="67" t="str">
        <f>IF(OR($B126="",基础资料!$B$4=""),"",-SUMIFS(对接源_01水果筐数!$D$5:$D$304,对接源_01水果筐数!$B$5:$B$304,$B126,对接源_01水果筐数!$C$5:$C$304,基础资料!$B$4))</f>
        <v/>
      </c>
      <c r="AB126" s="67" t="str">
        <f>IF(OR($B126="",基础资料!$B$5=""),"",-SUMIFS(对接源_01水果筐数!$D$5:$D$304,对接源_01水果筐数!$B$5:$B$304,$B126,对接源_01水果筐数!$C$5:$C$304,基础资料!$B$5))</f>
        <v/>
      </c>
      <c r="AC126" s="67" t="str">
        <f>IF(OR($B126="",基础资料!$B$6=""),"",-SUMIFS(对接源_01水果筐数!$D$5:$D$304,对接源_01水果筐数!$B$5:$B$304,$B126,对接源_01水果筐数!$C$5:$C$304,基础资料!$B$6))</f>
        <v/>
      </c>
      <c r="AD126" s="67" t="str">
        <f>IF(OR($B126="",基础资料!$B$7=""),"",-SUMIFS(对接源_01水果筐数!$D$5:$D$304,对接源_01水果筐数!$B$5:$B$304,$B126,对接源_01水果筐数!$C$5:$C$304,基础资料!$B$7))</f>
        <v/>
      </c>
      <c r="AE126" s="67" t="str">
        <f>IF(OR($B126="",基础资料!$B$8=""),"",-SUMIFS(对接源_01水果筐数!$D$5:$D$304,对接源_01水果筐数!$B$5:$B$304,$B126,对接源_01水果筐数!$C$5:$C$304,基础资料!$B$8))</f>
        <v/>
      </c>
      <c r="AF126" s="25" t="str">
        <f>IF(OR($B126="",基础资料!$B$4=""),"",SUMIFS(对接源_01水果筐数!$E$5:$E$304,对接源_01水果筐数!$B$5:$B$304,$B126,对接源_01水果筐数!$C$5:$C$304,基础资料!$B$4))</f>
        <v/>
      </c>
      <c r="AG126" s="25" t="str">
        <f>IF(OR($B126="",基础资料!$B$5=""),"",SUMIFS(对接源_01水果筐数!$E$5:$E$304,对接源_01水果筐数!$B$5:$B$304,$B126,对接源_01水果筐数!$C$5:$C$304,基础资料!$B$5))</f>
        <v/>
      </c>
      <c r="AH126" s="25" t="str">
        <f>IF(OR($B126="",基础资料!$B$6=""),"",SUMIFS(对接源_01水果筐数!$E$5:$E$304,对接源_01水果筐数!$B$5:$B$304,$B126,对接源_01水果筐数!$C$5:$C$304,基础资料!$B$6))</f>
        <v/>
      </c>
      <c r="AI126" s="25" t="str">
        <f>IF(OR($B126="",基础资料!$B$7=""),"",SUMIFS(对接源_01水果筐数!$E$5:$E$304,对接源_01水果筐数!$B$5:$B$304,$B126,对接源_01水果筐数!$C$5:$C$304,基础资料!$B$7))</f>
        <v/>
      </c>
      <c r="AJ126" s="25" t="str">
        <f>IF(OR($B126="",基础资料!$B$8=""),"",SUMIFS(对接源_01水果筐数!$E$5:$E$304,对接源_01水果筐数!$B$5:$B$304,$B126,对接源_01水果筐数!$C$5:$C$304,基础资料!$B$8))</f>
        <v/>
      </c>
      <c r="AK126" s="25" t="str">
        <f>IF(OR($B126="",基础资料!$B$4=""),"",SUMIFS(对接源_01水果筐数!$F$5:$F$304,对接源_01水果筐数!$B$5:$B$304,$B126,对接源_01水果筐数!$C$5:$C$304,基础资料!$B$4))</f>
        <v/>
      </c>
      <c r="AL126" s="25" t="str">
        <f>IF(OR($B126="",基础资料!$B$5=""),"",SUMIFS(对接源_01水果筐数!$F$5:$F$304,对接源_01水果筐数!$B$5:$B$304,$B126,对接源_01水果筐数!$C$5:$C$304,基础资料!$B$5))</f>
        <v/>
      </c>
      <c r="AM126" s="25" t="str">
        <f>IF(OR($B126="",基础资料!$B$6=""),"",SUMIFS(对接源_01水果筐数!$F$5:$F$304,对接源_01水果筐数!$B$5:$B$304,$B126,对接源_01水果筐数!$C$5:$C$304,基础资料!$B$6))</f>
        <v/>
      </c>
      <c r="AN126" s="25" t="str">
        <f>IF(OR($B126="",基础资料!$B$7=""),"",SUMIFS(对接源_01水果筐数!$F$5:$F$304,对接源_01水果筐数!$B$5:$B$304,$B126,对接源_01水果筐数!$C$5:$C$304,基础资料!$B$7))</f>
        <v/>
      </c>
      <c r="AO126" s="25" t="str">
        <f>IF(OR($B126="",基础资料!$B$8=""),"",SUMIFS(对接源_01水果筐数!$F$5:$F$304,对接源_01水果筐数!$B$5:$B$304,$B126,对接源_01水果筐数!$C$5:$C$304,基础资料!$B$8))</f>
        <v/>
      </c>
      <c r="AP126" s="25" t="str">
        <f t="shared" si="17"/>
        <v/>
      </c>
      <c r="AQ126" s="25" t="str">
        <f t="shared" si="18"/>
        <v/>
      </c>
      <c r="AR126" s="25" t="str">
        <f t="shared" si="19"/>
        <v/>
      </c>
      <c r="AS126" s="25" t="str">
        <f t="shared" si="20"/>
        <v/>
      </c>
      <c r="AT126" s="25" t="str">
        <f t="shared" si="21"/>
        <v/>
      </c>
      <c r="AU126" s="25" t="str">
        <f t="shared" si="22"/>
        <v/>
      </c>
      <c r="AV126" s="24" t="str">
        <f t="shared" si="23"/>
        <v/>
      </c>
      <c r="AW126" s="72"/>
    </row>
    <row r="127" spans="1:49">
      <c r="A127" s="22" t="str">
        <f t="shared" si="12"/>
        <v/>
      </c>
      <c r="B127" s="24" t="str">
        <f>IFERROR(INDEX(_自动清单!$CC$4:$CC$253,ROW()-3),"")</f>
        <v/>
      </c>
      <c r="C127" s="25" t="str">
        <f>IF(OR($B127="",基础资料!$B$4=""),"",SUMIFS(周转筐出入库明细!$J$4:$J$2004,周转筐出入库明细!$C$4:$C$2004,$B127,周转筐出入库明细!$D$4:$D$2004,基础资料!$B$4,周转筐出入库明细!$B$4:$B$2004,"&gt;="&amp;$BC$1,周转筐出入库明细!$B$4:$B$2004,"&lt;="&amp;$BC$2))</f>
        <v/>
      </c>
      <c r="D127" s="25" t="str">
        <f>IF(OR($B127="",基础资料!$B$5=""),"",SUMIFS(周转筐出入库明细!$J$4:$J$2004,周转筐出入库明细!$C$4:$C$2004,$B127,周转筐出入库明细!$D$4:$D$2004,基础资料!$B$5,周转筐出入库明细!$B$4:$B$2004,"&gt;="&amp;$BC$1,周转筐出入库明细!$B$4:$B$2004,"&lt;="&amp;$BC$2))</f>
        <v/>
      </c>
      <c r="E127" s="25" t="str">
        <f>IF(OR($B127="",基础资料!$B$6=""),"",SUMIFS(周转筐出入库明细!$J$4:$J$2004,周转筐出入库明细!$C$4:$C$2004,$B127,周转筐出入库明细!$D$4:$D$2004,基础资料!$B$6,周转筐出入库明细!$B$4:$B$2004,"&gt;="&amp;$BC$1,周转筐出入库明细!$B$4:$B$2004,"&lt;="&amp;$BC$2))</f>
        <v/>
      </c>
      <c r="F127" s="25" t="str">
        <f>IF(OR($B127="",基础资料!$B$7=""),"",SUMIFS(周转筐出入库明细!$J$4:$J$2004,周转筐出入库明细!$C$4:$C$2004,$B127,周转筐出入库明细!$D$4:$D$2004,基础资料!$B$7,周转筐出入库明细!$B$4:$B$2004,"&gt;="&amp;$BC$1,周转筐出入库明细!$B$4:$B$2004,"&lt;="&amp;$BC$2))</f>
        <v/>
      </c>
      <c r="G127" s="25" t="str">
        <f>IF(OR($B127="",基础资料!$B$8=""),"",SUMIFS(周转筐出入库明细!$J$4:$J$2004,周转筐出入库明细!$C$4:$C$2004,$B127,周转筐出入库明细!$D$4:$D$2004,基础资料!$B$8,周转筐出入库明细!$B$4:$B$2004,"&gt;="&amp;$BC$1,周转筐出入库明细!$B$4:$B$2004,"&lt;="&amp;$BC$2))</f>
        <v/>
      </c>
      <c r="H127" s="25" t="str">
        <f t="shared" si="13"/>
        <v/>
      </c>
      <c r="I127" s="67" t="str">
        <f>IF(OR($B127="",基础资料!$B$4=""),"",-SUMIFS(周转筐出入库明细!$I$4:$I$2004,周转筐出入库明细!$C$4:$C$2004,$B127,周转筐出入库明细!$D$4:$D$2004,基础资料!$B$4,周转筐出入库明细!$B$4:$B$2004,"&gt;="&amp;$BC$1,周转筐出入库明细!$B$4:$B$2004,"&lt;="&amp;$BC$2))</f>
        <v/>
      </c>
      <c r="J127" s="67" t="str">
        <f>IF(OR($B127="",基础资料!$B$5=""),"",-SUMIFS(周转筐出入库明细!$I$4:$I$2004,周转筐出入库明细!$C$4:$C$2004,$B127,周转筐出入库明细!$D$4:$D$2004,基础资料!$B$5,周转筐出入库明细!$B$4:$B$2004,"&gt;="&amp;$BC$1,周转筐出入库明细!$B$4:$B$2004,"&lt;="&amp;$BC$2))</f>
        <v/>
      </c>
      <c r="K127" s="67" t="str">
        <f>IF(OR($B127="",基础资料!$B$6=""),"",-SUMIFS(周转筐出入库明细!$I$4:$I$2004,周转筐出入库明细!$C$4:$C$2004,$B127,周转筐出入库明细!$D$4:$D$2004,基础资料!$B$6,周转筐出入库明细!$B$4:$B$2004,"&gt;="&amp;$BC$1,周转筐出入库明细!$B$4:$B$2004,"&lt;="&amp;$BC$2))</f>
        <v/>
      </c>
      <c r="L127" s="67" t="str">
        <f>IF(OR($B127="",基础资料!$B$7=""),"",-SUMIFS(周转筐出入库明细!$I$4:$I$2004,周转筐出入库明细!$C$4:$C$2004,$B127,周转筐出入库明细!$D$4:$D$2004,基础资料!$B$7,周转筐出入库明细!$B$4:$B$2004,"&gt;="&amp;$BC$1,周转筐出入库明细!$B$4:$B$2004,"&lt;="&amp;$BC$2))</f>
        <v/>
      </c>
      <c r="M127" s="67" t="str">
        <f>IF(OR($B127="",基础资料!$B$8=""),"",-SUMIFS(周转筐出入库明细!$I$4:$I$2004,周转筐出入库明细!$C$4:$C$2004,$B127,周转筐出入库明细!$D$4:$D$2004,基础资料!$B$8,周转筐出入库明细!$B$4:$B$2004,"&gt;="&amp;$BC$1,周转筐出入库明细!$B$4:$B$2004,"&lt;="&amp;$BC$2))</f>
        <v/>
      </c>
      <c r="N127" s="67" t="str">
        <f t="shared" si="14"/>
        <v/>
      </c>
      <c r="O127" s="25" t="str">
        <f>IF(OR($B127="",基础资料!$B$4=""),"",SUMIFS(周转筐出入库明细!$H$4:$H$2004,周转筐出入库明细!$C$4:$C$2004,$B127,周转筐出入库明细!$D$4:$D$2004,基础资料!$B$4,周转筐出入库明细!$F$4:$F$2004,"采购入库",周转筐出入库明细!$B$4:$B$2004,"&gt;="&amp;$BC$1,周转筐出入库明细!$B$4:$B$2004,"&lt;="&amp;$BC$2))</f>
        <v/>
      </c>
      <c r="P127" s="25" t="str">
        <f>IF(OR($B127="",基础资料!$B$5=""),"",SUMIFS(周转筐出入库明细!$H$4:$H$2004,周转筐出入库明细!$C$4:$C$2004,$B127,周转筐出入库明细!$D$4:$D$2004,基础资料!$B$5,周转筐出入库明细!$F$4:$F$2004,"采购入库",周转筐出入库明细!$B$4:$B$2004,"&gt;="&amp;$BC$1,周转筐出入库明细!$B$4:$B$2004,"&lt;="&amp;$BC$2))</f>
        <v/>
      </c>
      <c r="Q127" s="25" t="str">
        <f>IF(OR($B127="",基础资料!$B$6=""),"",SUMIFS(周转筐出入库明细!$H$4:$H$2004,周转筐出入库明细!$C$4:$C$2004,$B127,周转筐出入库明细!$D$4:$D$2004,基础资料!$B$6,周转筐出入库明细!$F$4:$F$2004,"采购入库",周转筐出入库明细!$B$4:$B$2004,"&gt;="&amp;$BC$1,周转筐出入库明细!$B$4:$B$2004,"&lt;="&amp;$BC$2))</f>
        <v/>
      </c>
      <c r="R127" s="25" t="str">
        <f>IF(OR($B127="",基础资料!$B$7=""),"",SUMIFS(周转筐出入库明细!$H$4:$H$2004,周转筐出入库明细!$C$4:$C$2004,$B127,周转筐出入库明细!$D$4:$D$2004,基础资料!$B$7,周转筐出入库明细!$F$4:$F$2004,"采购入库",周转筐出入库明细!$B$4:$B$2004,"&gt;="&amp;$BC$1,周转筐出入库明细!$B$4:$B$2004,"&lt;="&amp;$BC$2))</f>
        <v/>
      </c>
      <c r="S127" s="25" t="str">
        <f>IF(OR($B127="",基础资料!$B$8=""),"",SUMIFS(周转筐出入库明细!$H$4:$H$2004,周转筐出入库明细!$C$4:$C$2004,$B127,周转筐出入库明细!$D$4:$D$2004,基础资料!$B$8,周转筐出入库明细!$F$4:$F$2004,"采购入库",周转筐出入库明细!$B$4:$B$2004,"&gt;="&amp;$BC$1,周转筐出入库明细!$B$4:$B$2004,"&lt;="&amp;$BC$2))</f>
        <v/>
      </c>
      <c r="T127" s="25" t="str">
        <f t="shared" si="15"/>
        <v/>
      </c>
      <c r="U127" s="25" t="str">
        <f>IF(OR($B127="",基础资料!$B$4=""),"",SUMIFS(周转筐出入库明细!$K$4:$K$2004,周转筐出入库明细!$C$4:$C$2004,$B127,周转筐出入库明细!$D$4:$D$2004,基础资料!$B$4,周转筐出入库明细!$B$4:$B$2004,"&gt;="&amp;$BC$1,周转筐出入库明细!$B$4:$B$2004,"&lt;="&amp;$BC$2))</f>
        <v/>
      </c>
      <c r="V127" s="25" t="str">
        <f>IF(OR($B127="",基础资料!$B$5=""),"",SUMIFS(周转筐出入库明细!$K$4:$K$2004,周转筐出入库明细!$C$4:$C$2004,$B127,周转筐出入库明细!$D$4:$D$2004,基础资料!$B$5,周转筐出入库明细!$B$4:$B$2004,"&gt;="&amp;$BC$1,周转筐出入库明细!$B$4:$B$2004,"&lt;="&amp;$BC$2))</f>
        <v/>
      </c>
      <c r="W127" s="25" t="str">
        <f>IF(OR($B127="",基础资料!$B$6=""),"",SUMIFS(周转筐出入库明细!$K$4:$K$2004,周转筐出入库明细!$C$4:$C$2004,$B127,周转筐出入库明细!$D$4:$D$2004,基础资料!$B$6,周转筐出入库明细!$B$4:$B$2004,"&gt;="&amp;$BC$1,周转筐出入库明细!$B$4:$B$2004,"&lt;="&amp;$BC$2))</f>
        <v/>
      </c>
      <c r="X127" s="25" t="str">
        <f>IF(OR($B127="",基础资料!$B$7=""),"",SUMIFS(周转筐出入库明细!$K$4:$K$2004,周转筐出入库明细!$C$4:$C$2004,$B127,周转筐出入库明细!$D$4:$D$2004,基础资料!$B$7,周转筐出入库明细!$B$4:$B$2004,"&gt;="&amp;$BC$1,周转筐出入库明细!$B$4:$B$2004,"&lt;="&amp;$BC$2))</f>
        <v/>
      </c>
      <c r="Y127" s="25" t="str">
        <f>IF(OR($B127="",基础资料!$B$8=""),"",SUMIFS(周转筐出入库明细!$K$4:$K$2004,周转筐出入库明细!$C$4:$C$2004,$B127,周转筐出入库明细!$D$4:$D$2004,基础资料!$B$8,周转筐出入库明细!$B$4:$B$2004,"&gt;="&amp;$BC$1,周转筐出入库明细!$B$4:$B$2004,"&lt;="&amp;$BC$2))</f>
        <v/>
      </c>
      <c r="Z127" s="25" t="str">
        <f t="shared" si="16"/>
        <v/>
      </c>
      <c r="AA127" s="67" t="str">
        <f>IF(OR($B127="",基础资料!$B$4=""),"",-SUMIFS(对接源_01水果筐数!$D$5:$D$304,对接源_01水果筐数!$B$5:$B$304,$B127,对接源_01水果筐数!$C$5:$C$304,基础资料!$B$4))</f>
        <v/>
      </c>
      <c r="AB127" s="67" t="str">
        <f>IF(OR($B127="",基础资料!$B$5=""),"",-SUMIFS(对接源_01水果筐数!$D$5:$D$304,对接源_01水果筐数!$B$5:$B$304,$B127,对接源_01水果筐数!$C$5:$C$304,基础资料!$B$5))</f>
        <v/>
      </c>
      <c r="AC127" s="67" t="str">
        <f>IF(OR($B127="",基础资料!$B$6=""),"",-SUMIFS(对接源_01水果筐数!$D$5:$D$304,对接源_01水果筐数!$B$5:$B$304,$B127,对接源_01水果筐数!$C$5:$C$304,基础资料!$B$6))</f>
        <v/>
      </c>
      <c r="AD127" s="67" t="str">
        <f>IF(OR($B127="",基础资料!$B$7=""),"",-SUMIFS(对接源_01水果筐数!$D$5:$D$304,对接源_01水果筐数!$B$5:$B$304,$B127,对接源_01水果筐数!$C$5:$C$304,基础资料!$B$7))</f>
        <v/>
      </c>
      <c r="AE127" s="67" t="str">
        <f>IF(OR($B127="",基础资料!$B$8=""),"",-SUMIFS(对接源_01水果筐数!$D$5:$D$304,对接源_01水果筐数!$B$5:$B$304,$B127,对接源_01水果筐数!$C$5:$C$304,基础资料!$B$8))</f>
        <v/>
      </c>
      <c r="AF127" s="25" t="str">
        <f>IF(OR($B127="",基础资料!$B$4=""),"",SUMIFS(对接源_01水果筐数!$E$5:$E$304,对接源_01水果筐数!$B$5:$B$304,$B127,对接源_01水果筐数!$C$5:$C$304,基础资料!$B$4))</f>
        <v/>
      </c>
      <c r="AG127" s="25" t="str">
        <f>IF(OR($B127="",基础资料!$B$5=""),"",SUMIFS(对接源_01水果筐数!$E$5:$E$304,对接源_01水果筐数!$B$5:$B$304,$B127,对接源_01水果筐数!$C$5:$C$304,基础资料!$B$5))</f>
        <v/>
      </c>
      <c r="AH127" s="25" t="str">
        <f>IF(OR($B127="",基础资料!$B$6=""),"",SUMIFS(对接源_01水果筐数!$E$5:$E$304,对接源_01水果筐数!$B$5:$B$304,$B127,对接源_01水果筐数!$C$5:$C$304,基础资料!$B$6))</f>
        <v/>
      </c>
      <c r="AI127" s="25" t="str">
        <f>IF(OR($B127="",基础资料!$B$7=""),"",SUMIFS(对接源_01水果筐数!$E$5:$E$304,对接源_01水果筐数!$B$5:$B$304,$B127,对接源_01水果筐数!$C$5:$C$304,基础资料!$B$7))</f>
        <v/>
      </c>
      <c r="AJ127" s="25" t="str">
        <f>IF(OR($B127="",基础资料!$B$8=""),"",SUMIFS(对接源_01水果筐数!$E$5:$E$304,对接源_01水果筐数!$B$5:$B$304,$B127,对接源_01水果筐数!$C$5:$C$304,基础资料!$B$8))</f>
        <v/>
      </c>
      <c r="AK127" s="25" t="str">
        <f>IF(OR($B127="",基础资料!$B$4=""),"",SUMIFS(对接源_01水果筐数!$F$5:$F$304,对接源_01水果筐数!$B$5:$B$304,$B127,对接源_01水果筐数!$C$5:$C$304,基础资料!$B$4))</f>
        <v/>
      </c>
      <c r="AL127" s="25" t="str">
        <f>IF(OR($B127="",基础资料!$B$5=""),"",SUMIFS(对接源_01水果筐数!$F$5:$F$304,对接源_01水果筐数!$B$5:$B$304,$B127,对接源_01水果筐数!$C$5:$C$304,基础资料!$B$5))</f>
        <v/>
      </c>
      <c r="AM127" s="25" t="str">
        <f>IF(OR($B127="",基础资料!$B$6=""),"",SUMIFS(对接源_01水果筐数!$F$5:$F$304,对接源_01水果筐数!$B$5:$B$304,$B127,对接源_01水果筐数!$C$5:$C$304,基础资料!$B$6))</f>
        <v/>
      </c>
      <c r="AN127" s="25" t="str">
        <f>IF(OR($B127="",基础资料!$B$7=""),"",SUMIFS(对接源_01水果筐数!$F$5:$F$304,对接源_01水果筐数!$B$5:$B$304,$B127,对接源_01水果筐数!$C$5:$C$304,基础资料!$B$7))</f>
        <v/>
      </c>
      <c r="AO127" s="25" t="str">
        <f>IF(OR($B127="",基础资料!$B$8=""),"",SUMIFS(对接源_01水果筐数!$F$5:$F$304,对接源_01水果筐数!$B$5:$B$304,$B127,对接源_01水果筐数!$C$5:$C$304,基础资料!$B$8))</f>
        <v/>
      </c>
      <c r="AP127" s="25" t="str">
        <f t="shared" si="17"/>
        <v/>
      </c>
      <c r="AQ127" s="25" t="str">
        <f t="shared" si="18"/>
        <v/>
      </c>
      <c r="AR127" s="25" t="str">
        <f t="shared" si="19"/>
        <v/>
      </c>
      <c r="AS127" s="25" t="str">
        <f t="shared" si="20"/>
        <v/>
      </c>
      <c r="AT127" s="25" t="str">
        <f t="shared" si="21"/>
        <v/>
      </c>
      <c r="AU127" s="25" t="str">
        <f t="shared" si="22"/>
        <v/>
      </c>
      <c r="AV127" s="24" t="str">
        <f t="shared" si="23"/>
        <v/>
      </c>
      <c r="AW127" s="72"/>
    </row>
    <row r="128" spans="1:49">
      <c r="A128" s="22" t="str">
        <f t="shared" si="12"/>
        <v/>
      </c>
      <c r="B128" s="24" t="str">
        <f>IFERROR(INDEX(_自动清单!$CC$4:$CC$253,ROW()-3),"")</f>
        <v/>
      </c>
      <c r="C128" s="25" t="str">
        <f>IF(OR($B128="",基础资料!$B$4=""),"",SUMIFS(周转筐出入库明细!$J$4:$J$2004,周转筐出入库明细!$C$4:$C$2004,$B128,周转筐出入库明细!$D$4:$D$2004,基础资料!$B$4,周转筐出入库明细!$B$4:$B$2004,"&gt;="&amp;$BC$1,周转筐出入库明细!$B$4:$B$2004,"&lt;="&amp;$BC$2))</f>
        <v/>
      </c>
      <c r="D128" s="25" t="str">
        <f>IF(OR($B128="",基础资料!$B$5=""),"",SUMIFS(周转筐出入库明细!$J$4:$J$2004,周转筐出入库明细!$C$4:$C$2004,$B128,周转筐出入库明细!$D$4:$D$2004,基础资料!$B$5,周转筐出入库明细!$B$4:$B$2004,"&gt;="&amp;$BC$1,周转筐出入库明细!$B$4:$B$2004,"&lt;="&amp;$BC$2))</f>
        <v/>
      </c>
      <c r="E128" s="25" t="str">
        <f>IF(OR($B128="",基础资料!$B$6=""),"",SUMIFS(周转筐出入库明细!$J$4:$J$2004,周转筐出入库明细!$C$4:$C$2004,$B128,周转筐出入库明细!$D$4:$D$2004,基础资料!$B$6,周转筐出入库明细!$B$4:$B$2004,"&gt;="&amp;$BC$1,周转筐出入库明细!$B$4:$B$2004,"&lt;="&amp;$BC$2))</f>
        <v/>
      </c>
      <c r="F128" s="25" t="str">
        <f>IF(OR($B128="",基础资料!$B$7=""),"",SUMIFS(周转筐出入库明细!$J$4:$J$2004,周转筐出入库明细!$C$4:$C$2004,$B128,周转筐出入库明细!$D$4:$D$2004,基础资料!$B$7,周转筐出入库明细!$B$4:$B$2004,"&gt;="&amp;$BC$1,周转筐出入库明细!$B$4:$B$2004,"&lt;="&amp;$BC$2))</f>
        <v/>
      </c>
      <c r="G128" s="25" t="str">
        <f>IF(OR($B128="",基础资料!$B$8=""),"",SUMIFS(周转筐出入库明细!$J$4:$J$2004,周转筐出入库明细!$C$4:$C$2004,$B128,周转筐出入库明细!$D$4:$D$2004,基础资料!$B$8,周转筐出入库明细!$B$4:$B$2004,"&gt;="&amp;$BC$1,周转筐出入库明细!$B$4:$B$2004,"&lt;="&amp;$BC$2))</f>
        <v/>
      </c>
      <c r="H128" s="25" t="str">
        <f t="shared" si="13"/>
        <v/>
      </c>
      <c r="I128" s="67" t="str">
        <f>IF(OR($B128="",基础资料!$B$4=""),"",-SUMIFS(周转筐出入库明细!$I$4:$I$2004,周转筐出入库明细!$C$4:$C$2004,$B128,周转筐出入库明细!$D$4:$D$2004,基础资料!$B$4,周转筐出入库明细!$B$4:$B$2004,"&gt;="&amp;$BC$1,周转筐出入库明细!$B$4:$B$2004,"&lt;="&amp;$BC$2))</f>
        <v/>
      </c>
      <c r="J128" s="67" t="str">
        <f>IF(OR($B128="",基础资料!$B$5=""),"",-SUMIFS(周转筐出入库明细!$I$4:$I$2004,周转筐出入库明细!$C$4:$C$2004,$B128,周转筐出入库明细!$D$4:$D$2004,基础资料!$B$5,周转筐出入库明细!$B$4:$B$2004,"&gt;="&amp;$BC$1,周转筐出入库明细!$B$4:$B$2004,"&lt;="&amp;$BC$2))</f>
        <v/>
      </c>
      <c r="K128" s="67" t="str">
        <f>IF(OR($B128="",基础资料!$B$6=""),"",-SUMIFS(周转筐出入库明细!$I$4:$I$2004,周转筐出入库明细!$C$4:$C$2004,$B128,周转筐出入库明细!$D$4:$D$2004,基础资料!$B$6,周转筐出入库明细!$B$4:$B$2004,"&gt;="&amp;$BC$1,周转筐出入库明细!$B$4:$B$2004,"&lt;="&amp;$BC$2))</f>
        <v/>
      </c>
      <c r="L128" s="67" t="str">
        <f>IF(OR($B128="",基础资料!$B$7=""),"",-SUMIFS(周转筐出入库明细!$I$4:$I$2004,周转筐出入库明细!$C$4:$C$2004,$B128,周转筐出入库明细!$D$4:$D$2004,基础资料!$B$7,周转筐出入库明细!$B$4:$B$2004,"&gt;="&amp;$BC$1,周转筐出入库明细!$B$4:$B$2004,"&lt;="&amp;$BC$2))</f>
        <v/>
      </c>
      <c r="M128" s="67" t="str">
        <f>IF(OR($B128="",基础资料!$B$8=""),"",-SUMIFS(周转筐出入库明细!$I$4:$I$2004,周转筐出入库明细!$C$4:$C$2004,$B128,周转筐出入库明细!$D$4:$D$2004,基础资料!$B$8,周转筐出入库明细!$B$4:$B$2004,"&gt;="&amp;$BC$1,周转筐出入库明细!$B$4:$B$2004,"&lt;="&amp;$BC$2))</f>
        <v/>
      </c>
      <c r="N128" s="67" t="str">
        <f t="shared" si="14"/>
        <v/>
      </c>
      <c r="O128" s="25" t="str">
        <f>IF(OR($B128="",基础资料!$B$4=""),"",SUMIFS(周转筐出入库明细!$H$4:$H$2004,周转筐出入库明细!$C$4:$C$2004,$B128,周转筐出入库明细!$D$4:$D$2004,基础资料!$B$4,周转筐出入库明细!$F$4:$F$2004,"采购入库",周转筐出入库明细!$B$4:$B$2004,"&gt;="&amp;$BC$1,周转筐出入库明细!$B$4:$B$2004,"&lt;="&amp;$BC$2))</f>
        <v/>
      </c>
      <c r="P128" s="25" t="str">
        <f>IF(OR($B128="",基础资料!$B$5=""),"",SUMIFS(周转筐出入库明细!$H$4:$H$2004,周转筐出入库明细!$C$4:$C$2004,$B128,周转筐出入库明细!$D$4:$D$2004,基础资料!$B$5,周转筐出入库明细!$F$4:$F$2004,"采购入库",周转筐出入库明细!$B$4:$B$2004,"&gt;="&amp;$BC$1,周转筐出入库明细!$B$4:$B$2004,"&lt;="&amp;$BC$2))</f>
        <v/>
      </c>
      <c r="Q128" s="25" t="str">
        <f>IF(OR($B128="",基础资料!$B$6=""),"",SUMIFS(周转筐出入库明细!$H$4:$H$2004,周转筐出入库明细!$C$4:$C$2004,$B128,周转筐出入库明细!$D$4:$D$2004,基础资料!$B$6,周转筐出入库明细!$F$4:$F$2004,"采购入库",周转筐出入库明细!$B$4:$B$2004,"&gt;="&amp;$BC$1,周转筐出入库明细!$B$4:$B$2004,"&lt;="&amp;$BC$2))</f>
        <v/>
      </c>
      <c r="R128" s="25" t="str">
        <f>IF(OR($B128="",基础资料!$B$7=""),"",SUMIFS(周转筐出入库明细!$H$4:$H$2004,周转筐出入库明细!$C$4:$C$2004,$B128,周转筐出入库明细!$D$4:$D$2004,基础资料!$B$7,周转筐出入库明细!$F$4:$F$2004,"采购入库",周转筐出入库明细!$B$4:$B$2004,"&gt;="&amp;$BC$1,周转筐出入库明细!$B$4:$B$2004,"&lt;="&amp;$BC$2))</f>
        <v/>
      </c>
      <c r="S128" s="25" t="str">
        <f>IF(OR($B128="",基础资料!$B$8=""),"",SUMIFS(周转筐出入库明细!$H$4:$H$2004,周转筐出入库明细!$C$4:$C$2004,$B128,周转筐出入库明细!$D$4:$D$2004,基础资料!$B$8,周转筐出入库明细!$F$4:$F$2004,"采购入库",周转筐出入库明细!$B$4:$B$2004,"&gt;="&amp;$BC$1,周转筐出入库明细!$B$4:$B$2004,"&lt;="&amp;$BC$2))</f>
        <v/>
      </c>
      <c r="T128" s="25" t="str">
        <f t="shared" si="15"/>
        <v/>
      </c>
      <c r="U128" s="25" t="str">
        <f>IF(OR($B128="",基础资料!$B$4=""),"",SUMIFS(周转筐出入库明细!$K$4:$K$2004,周转筐出入库明细!$C$4:$C$2004,$B128,周转筐出入库明细!$D$4:$D$2004,基础资料!$B$4,周转筐出入库明细!$B$4:$B$2004,"&gt;="&amp;$BC$1,周转筐出入库明细!$B$4:$B$2004,"&lt;="&amp;$BC$2))</f>
        <v/>
      </c>
      <c r="V128" s="25" t="str">
        <f>IF(OR($B128="",基础资料!$B$5=""),"",SUMIFS(周转筐出入库明细!$K$4:$K$2004,周转筐出入库明细!$C$4:$C$2004,$B128,周转筐出入库明细!$D$4:$D$2004,基础资料!$B$5,周转筐出入库明细!$B$4:$B$2004,"&gt;="&amp;$BC$1,周转筐出入库明细!$B$4:$B$2004,"&lt;="&amp;$BC$2))</f>
        <v/>
      </c>
      <c r="W128" s="25" t="str">
        <f>IF(OR($B128="",基础资料!$B$6=""),"",SUMIFS(周转筐出入库明细!$K$4:$K$2004,周转筐出入库明细!$C$4:$C$2004,$B128,周转筐出入库明细!$D$4:$D$2004,基础资料!$B$6,周转筐出入库明细!$B$4:$B$2004,"&gt;="&amp;$BC$1,周转筐出入库明细!$B$4:$B$2004,"&lt;="&amp;$BC$2))</f>
        <v/>
      </c>
      <c r="X128" s="25" t="str">
        <f>IF(OR($B128="",基础资料!$B$7=""),"",SUMIFS(周转筐出入库明细!$K$4:$K$2004,周转筐出入库明细!$C$4:$C$2004,$B128,周转筐出入库明细!$D$4:$D$2004,基础资料!$B$7,周转筐出入库明细!$B$4:$B$2004,"&gt;="&amp;$BC$1,周转筐出入库明细!$B$4:$B$2004,"&lt;="&amp;$BC$2))</f>
        <v/>
      </c>
      <c r="Y128" s="25" t="str">
        <f>IF(OR($B128="",基础资料!$B$8=""),"",SUMIFS(周转筐出入库明细!$K$4:$K$2004,周转筐出入库明细!$C$4:$C$2004,$B128,周转筐出入库明细!$D$4:$D$2004,基础资料!$B$8,周转筐出入库明细!$B$4:$B$2004,"&gt;="&amp;$BC$1,周转筐出入库明细!$B$4:$B$2004,"&lt;="&amp;$BC$2))</f>
        <v/>
      </c>
      <c r="Z128" s="25" t="str">
        <f t="shared" si="16"/>
        <v/>
      </c>
      <c r="AA128" s="67" t="str">
        <f>IF(OR($B128="",基础资料!$B$4=""),"",-SUMIFS(对接源_01水果筐数!$D$5:$D$304,对接源_01水果筐数!$B$5:$B$304,$B128,对接源_01水果筐数!$C$5:$C$304,基础资料!$B$4))</f>
        <v/>
      </c>
      <c r="AB128" s="67" t="str">
        <f>IF(OR($B128="",基础资料!$B$5=""),"",-SUMIFS(对接源_01水果筐数!$D$5:$D$304,对接源_01水果筐数!$B$5:$B$304,$B128,对接源_01水果筐数!$C$5:$C$304,基础资料!$B$5))</f>
        <v/>
      </c>
      <c r="AC128" s="67" t="str">
        <f>IF(OR($B128="",基础资料!$B$6=""),"",-SUMIFS(对接源_01水果筐数!$D$5:$D$304,对接源_01水果筐数!$B$5:$B$304,$B128,对接源_01水果筐数!$C$5:$C$304,基础资料!$B$6))</f>
        <v/>
      </c>
      <c r="AD128" s="67" t="str">
        <f>IF(OR($B128="",基础资料!$B$7=""),"",-SUMIFS(对接源_01水果筐数!$D$5:$D$304,对接源_01水果筐数!$B$5:$B$304,$B128,对接源_01水果筐数!$C$5:$C$304,基础资料!$B$7))</f>
        <v/>
      </c>
      <c r="AE128" s="67" t="str">
        <f>IF(OR($B128="",基础资料!$B$8=""),"",-SUMIFS(对接源_01水果筐数!$D$5:$D$304,对接源_01水果筐数!$B$5:$B$304,$B128,对接源_01水果筐数!$C$5:$C$304,基础资料!$B$8))</f>
        <v/>
      </c>
      <c r="AF128" s="25" t="str">
        <f>IF(OR($B128="",基础资料!$B$4=""),"",SUMIFS(对接源_01水果筐数!$E$5:$E$304,对接源_01水果筐数!$B$5:$B$304,$B128,对接源_01水果筐数!$C$5:$C$304,基础资料!$B$4))</f>
        <v/>
      </c>
      <c r="AG128" s="25" t="str">
        <f>IF(OR($B128="",基础资料!$B$5=""),"",SUMIFS(对接源_01水果筐数!$E$5:$E$304,对接源_01水果筐数!$B$5:$B$304,$B128,对接源_01水果筐数!$C$5:$C$304,基础资料!$B$5))</f>
        <v/>
      </c>
      <c r="AH128" s="25" t="str">
        <f>IF(OR($B128="",基础资料!$B$6=""),"",SUMIFS(对接源_01水果筐数!$E$5:$E$304,对接源_01水果筐数!$B$5:$B$304,$B128,对接源_01水果筐数!$C$5:$C$304,基础资料!$B$6))</f>
        <v/>
      </c>
      <c r="AI128" s="25" t="str">
        <f>IF(OR($B128="",基础资料!$B$7=""),"",SUMIFS(对接源_01水果筐数!$E$5:$E$304,对接源_01水果筐数!$B$5:$B$304,$B128,对接源_01水果筐数!$C$5:$C$304,基础资料!$B$7))</f>
        <v/>
      </c>
      <c r="AJ128" s="25" t="str">
        <f>IF(OR($B128="",基础资料!$B$8=""),"",SUMIFS(对接源_01水果筐数!$E$5:$E$304,对接源_01水果筐数!$B$5:$B$304,$B128,对接源_01水果筐数!$C$5:$C$304,基础资料!$B$8))</f>
        <v/>
      </c>
      <c r="AK128" s="25" t="str">
        <f>IF(OR($B128="",基础资料!$B$4=""),"",SUMIFS(对接源_01水果筐数!$F$5:$F$304,对接源_01水果筐数!$B$5:$B$304,$B128,对接源_01水果筐数!$C$5:$C$304,基础资料!$B$4))</f>
        <v/>
      </c>
      <c r="AL128" s="25" t="str">
        <f>IF(OR($B128="",基础资料!$B$5=""),"",SUMIFS(对接源_01水果筐数!$F$5:$F$304,对接源_01水果筐数!$B$5:$B$304,$B128,对接源_01水果筐数!$C$5:$C$304,基础资料!$B$5))</f>
        <v/>
      </c>
      <c r="AM128" s="25" t="str">
        <f>IF(OR($B128="",基础资料!$B$6=""),"",SUMIFS(对接源_01水果筐数!$F$5:$F$304,对接源_01水果筐数!$B$5:$B$304,$B128,对接源_01水果筐数!$C$5:$C$304,基础资料!$B$6))</f>
        <v/>
      </c>
      <c r="AN128" s="25" t="str">
        <f>IF(OR($B128="",基础资料!$B$7=""),"",SUMIFS(对接源_01水果筐数!$F$5:$F$304,对接源_01水果筐数!$B$5:$B$304,$B128,对接源_01水果筐数!$C$5:$C$304,基础资料!$B$7))</f>
        <v/>
      </c>
      <c r="AO128" s="25" t="str">
        <f>IF(OR($B128="",基础资料!$B$8=""),"",SUMIFS(对接源_01水果筐数!$F$5:$F$304,对接源_01水果筐数!$B$5:$B$304,$B128,对接源_01水果筐数!$C$5:$C$304,基础资料!$B$8))</f>
        <v/>
      </c>
      <c r="AP128" s="25" t="str">
        <f t="shared" si="17"/>
        <v/>
      </c>
      <c r="AQ128" s="25" t="str">
        <f t="shared" si="18"/>
        <v/>
      </c>
      <c r="AR128" s="25" t="str">
        <f t="shared" si="19"/>
        <v/>
      </c>
      <c r="AS128" s="25" t="str">
        <f t="shared" si="20"/>
        <v/>
      </c>
      <c r="AT128" s="25" t="str">
        <f t="shared" si="21"/>
        <v/>
      </c>
      <c r="AU128" s="25" t="str">
        <f t="shared" si="22"/>
        <v/>
      </c>
      <c r="AV128" s="24" t="str">
        <f t="shared" si="23"/>
        <v/>
      </c>
      <c r="AW128" s="72"/>
    </row>
    <row r="129" spans="1:49">
      <c r="A129" s="22" t="str">
        <f t="shared" si="12"/>
        <v/>
      </c>
      <c r="B129" s="24" t="str">
        <f>IFERROR(INDEX(_自动清单!$CC$4:$CC$253,ROW()-3),"")</f>
        <v/>
      </c>
      <c r="C129" s="25" t="str">
        <f>IF(OR($B129="",基础资料!$B$4=""),"",SUMIFS(周转筐出入库明细!$J$4:$J$2004,周转筐出入库明细!$C$4:$C$2004,$B129,周转筐出入库明细!$D$4:$D$2004,基础资料!$B$4,周转筐出入库明细!$B$4:$B$2004,"&gt;="&amp;$BC$1,周转筐出入库明细!$B$4:$B$2004,"&lt;="&amp;$BC$2))</f>
        <v/>
      </c>
      <c r="D129" s="25" t="str">
        <f>IF(OR($B129="",基础资料!$B$5=""),"",SUMIFS(周转筐出入库明细!$J$4:$J$2004,周转筐出入库明细!$C$4:$C$2004,$B129,周转筐出入库明细!$D$4:$D$2004,基础资料!$B$5,周转筐出入库明细!$B$4:$B$2004,"&gt;="&amp;$BC$1,周转筐出入库明细!$B$4:$B$2004,"&lt;="&amp;$BC$2))</f>
        <v/>
      </c>
      <c r="E129" s="25" t="str">
        <f>IF(OR($B129="",基础资料!$B$6=""),"",SUMIFS(周转筐出入库明细!$J$4:$J$2004,周转筐出入库明细!$C$4:$C$2004,$B129,周转筐出入库明细!$D$4:$D$2004,基础资料!$B$6,周转筐出入库明细!$B$4:$B$2004,"&gt;="&amp;$BC$1,周转筐出入库明细!$B$4:$B$2004,"&lt;="&amp;$BC$2))</f>
        <v/>
      </c>
      <c r="F129" s="25" t="str">
        <f>IF(OR($B129="",基础资料!$B$7=""),"",SUMIFS(周转筐出入库明细!$J$4:$J$2004,周转筐出入库明细!$C$4:$C$2004,$B129,周转筐出入库明细!$D$4:$D$2004,基础资料!$B$7,周转筐出入库明细!$B$4:$B$2004,"&gt;="&amp;$BC$1,周转筐出入库明细!$B$4:$B$2004,"&lt;="&amp;$BC$2))</f>
        <v/>
      </c>
      <c r="G129" s="25" t="str">
        <f>IF(OR($B129="",基础资料!$B$8=""),"",SUMIFS(周转筐出入库明细!$J$4:$J$2004,周转筐出入库明细!$C$4:$C$2004,$B129,周转筐出入库明细!$D$4:$D$2004,基础资料!$B$8,周转筐出入库明细!$B$4:$B$2004,"&gt;="&amp;$BC$1,周转筐出入库明细!$B$4:$B$2004,"&lt;="&amp;$BC$2))</f>
        <v/>
      </c>
      <c r="H129" s="25" t="str">
        <f t="shared" si="13"/>
        <v/>
      </c>
      <c r="I129" s="67" t="str">
        <f>IF(OR($B129="",基础资料!$B$4=""),"",-SUMIFS(周转筐出入库明细!$I$4:$I$2004,周转筐出入库明细!$C$4:$C$2004,$B129,周转筐出入库明细!$D$4:$D$2004,基础资料!$B$4,周转筐出入库明细!$B$4:$B$2004,"&gt;="&amp;$BC$1,周转筐出入库明细!$B$4:$B$2004,"&lt;="&amp;$BC$2))</f>
        <v/>
      </c>
      <c r="J129" s="67" t="str">
        <f>IF(OR($B129="",基础资料!$B$5=""),"",-SUMIFS(周转筐出入库明细!$I$4:$I$2004,周转筐出入库明细!$C$4:$C$2004,$B129,周转筐出入库明细!$D$4:$D$2004,基础资料!$B$5,周转筐出入库明细!$B$4:$B$2004,"&gt;="&amp;$BC$1,周转筐出入库明细!$B$4:$B$2004,"&lt;="&amp;$BC$2))</f>
        <v/>
      </c>
      <c r="K129" s="67" t="str">
        <f>IF(OR($B129="",基础资料!$B$6=""),"",-SUMIFS(周转筐出入库明细!$I$4:$I$2004,周转筐出入库明细!$C$4:$C$2004,$B129,周转筐出入库明细!$D$4:$D$2004,基础资料!$B$6,周转筐出入库明细!$B$4:$B$2004,"&gt;="&amp;$BC$1,周转筐出入库明细!$B$4:$B$2004,"&lt;="&amp;$BC$2))</f>
        <v/>
      </c>
      <c r="L129" s="67" t="str">
        <f>IF(OR($B129="",基础资料!$B$7=""),"",-SUMIFS(周转筐出入库明细!$I$4:$I$2004,周转筐出入库明细!$C$4:$C$2004,$B129,周转筐出入库明细!$D$4:$D$2004,基础资料!$B$7,周转筐出入库明细!$B$4:$B$2004,"&gt;="&amp;$BC$1,周转筐出入库明细!$B$4:$B$2004,"&lt;="&amp;$BC$2))</f>
        <v/>
      </c>
      <c r="M129" s="67" t="str">
        <f>IF(OR($B129="",基础资料!$B$8=""),"",-SUMIFS(周转筐出入库明细!$I$4:$I$2004,周转筐出入库明细!$C$4:$C$2004,$B129,周转筐出入库明细!$D$4:$D$2004,基础资料!$B$8,周转筐出入库明细!$B$4:$B$2004,"&gt;="&amp;$BC$1,周转筐出入库明细!$B$4:$B$2004,"&lt;="&amp;$BC$2))</f>
        <v/>
      </c>
      <c r="N129" s="67" t="str">
        <f t="shared" si="14"/>
        <v/>
      </c>
      <c r="O129" s="25" t="str">
        <f>IF(OR($B129="",基础资料!$B$4=""),"",SUMIFS(周转筐出入库明细!$H$4:$H$2004,周转筐出入库明细!$C$4:$C$2004,$B129,周转筐出入库明细!$D$4:$D$2004,基础资料!$B$4,周转筐出入库明细!$F$4:$F$2004,"采购入库",周转筐出入库明细!$B$4:$B$2004,"&gt;="&amp;$BC$1,周转筐出入库明细!$B$4:$B$2004,"&lt;="&amp;$BC$2))</f>
        <v/>
      </c>
      <c r="P129" s="25" t="str">
        <f>IF(OR($B129="",基础资料!$B$5=""),"",SUMIFS(周转筐出入库明细!$H$4:$H$2004,周转筐出入库明细!$C$4:$C$2004,$B129,周转筐出入库明细!$D$4:$D$2004,基础资料!$B$5,周转筐出入库明细!$F$4:$F$2004,"采购入库",周转筐出入库明细!$B$4:$B$2004,"&gt;="&amp;$BC$1,周转筐出入库明细!$B$4:$B$2004,"&lt;="&amp;$BC$2))</f>
        <v/>
      </c>
      <c r="Q129" s="25" t="str">
        <f>IF(OR($B129="",基础资料!$B$6=""),"",SUMIFS(周转筐出入库明细!$H$4:$H$2004,周转筐出入库明细!$C$4:$C$2004,$B129,周转筐出入库明细!$D$4:$D$2004,基础资料!$B$6,周转筐出入库明细!$F$4:$F$2004,"采购入库",周转筐出入库明细!$B$4:$B$2004,"&gt;="&amp;$BC$1,周转筐出入库明细!$B$4:$B$2004,"&lt;="&amp;$BC$2))</f>
        <v/>
      </c>
      <c r="R129" s="25" t="str">
        <f>IF(OR($B129="",基础资料!$B$7=""),"",SUMIFS(周转筐出入库明细!$H$4:$H$2004,周转筐出入库明细!$C$4:$C$2004,$B129,周转筐出入库明细!$D$4:$D$2004,基础资料!$B$7,周转筐出入库明细!$F$4:$F$2004,"采购入库",周转筐出入库明细!$B$4:$B$2004,"&gt;="&amp;$BC$1,周转筐出入库明细!$B$4:$B$2004,"&lt;="&amp;$BC$2))</f>
        <v/>
      </c>
      <c r="S129" s="25" t="str">
        <f>IF(OR($B129="",基础资料!$B$8=""),"",SUMIFS(周转筐出入库明细!$H$4:$H$2004,周转筐出入库明细!$C$4:$C$2004,$B129,周转筐出入库明细!$D$4:$D$2004,基础资料!$B$8,周转筐出入库明细!$F$4:$F$2004,"采购入库",周转筐出入库明细!$B$4:$B$2004,"&gt;="&amp;$BC$1,周转筐出入库明细!$B$4:$B$2004,"&lt;="&amp;$BC$2))</f>
        <v/>
      </c>
      <c r="T129" s="25" t="str">
        <f t="shared" si="15"/>
        <v/>
      </c>
      <c r="U129" s="25" t="str">
        <f>IF(OR($B129="",基础资料!$B$4=""),"",SUMIFS(周转筐出入库明细!$K$4:$K$2004,周转筐出入库明细!$C$4:$C$2004,$B129,周转筐出入库明细!$D$4:$D$2004,基础资料!$B$4,周转筐出入库明细!$B$4:$B$2004,"&gt;="&amp;$BC$1,周转筐出入库明细!$B$4:$B$2004,"&lt;="&amp;$BC$2))</f>
        <v/>
      </c>
      <c r="V129" s="25" t="str">
        <f>IF(OR($B129="",基础资料!$B$5=""),"",SUMIFS(周转筐出入库明细!$K$4:$K$2004,周转筐出入库明细!$C$4:$C$2004,$B129,周转筐出入库明细!$D$4:$D$2004,基础资料!$B$5,周转筐出入库明细!$B$4:$B$2004,"&gt;="&amp;$BC$1,周转筐出入库明细!$B$4:$B$2004,"&lt;="&amp;$BC$2))</f>
        <v/>
      </c>
      <c r="W129" s="25" t="str">
        <f>IF(OR($B129="",基础资料!$B$6=""),"",SUMIFS(周转筐出入库明细!$K$4:$K$2004,周转筐出入库明细!$C$4:$C$2004,$B129,周转筐出入库明细!$D$4:$D$2004,基础资料!$B$6,周转筐出入库明细!$B$4:$B$2004,"&gt;="&amp;$BC$1,周转筐出入库明细!$B$4:$B$2004,"&lt;="&amp;$BC$2))</f>
        <v/>
      </c>
      <c r="X129" s="25" t="str">
        <f>IF(OR($B129="",基础资料!$B$7=""),"",SUMIFS(周转筐出入库明细!$K$4:$K$2004,周转筐出入库明细!$C$4:$C$2004,$B129,周转筐出入库明细!$D$4:$D$2004,基础资料!$B$7,周转筐出入库明细!$B$4:$B$2004,"&gt;="&amp;$BC$1,周转筐出入库明细!$B$4:$B$2004,"&lt;="&amp;$BC$2))</f>
        <v/>
      </c>
      <c r="Y129" s="25" t="str">
        <f>IF(OR($B129="",基础资料!$B$8=""),"",SUMIFS(周转筐出入库明细!$K$4:$K$2004,周转筐出入库明细!$C$4:$C$2004,$B129,周转筐出入库明细!$D$4:$D$2004,基础资料!$B$8,周转筐出入库明细!$B$4:$B$2004,"&gt;="&amp;$BC$1,周转筐出入库明细!$B$4:$B$2004,"&lt;="&amp;$BC$2))</f>
        <v/>
      </c>
      <c r="Z129" s="25" t="str">
        <f t="shared" si="16"/>
        <v/>
      </c>
      <c r="AA129" s="67" t="str">
        <f>IF(OR($B129="",基础资料!$B$4=""),"",-SUMIFS(对接源_01水果筐数!$D$5:$D$304,对接源_01水果筐数!$B$5:$B$304,$B129,对接源_01水果筐数!$C$5:$C$304,基础资料!$B$4))</f>
        <v/>
      </c>
      <c r="AB129" s="67" t="str">
        <f>IF(OR($B129="",基础资料!$B$5=""),"",-SUMIFS(对接源_01水果筐数!$D$5:$D$304,对接源_01水果筐数!$B$5:$B$304,$B129,对接源_01水果筐数!$C$5:$C$304,基础资料!$B$5))</f>
        <v/>
      </c>
      <c r="AC129" s="67" t="str">
        <f>IF(OR($B129="",基础资料!$B$6=""),"",-SUMIFS(对接源_01水果筐数!$D$5:$D$304,对接源_01水果筐数!$B$5:$B$304,$B129,对接源_01水果筐数!$C$5:$C$304,基础资料!$B$6))</f>
        <v/>
      </c>
      <c r="AD129" s="67" t="str">
        <f>IF(OR($B129="",基础资料!$B$7=""),"",-SUMIFS(对接源_01水果筐数!$D$5:$D$304,对接源_01水果筐数!$B$5:$B$304,$B129,对接源_01水果筐数!$C$5:$C$304,基础资料!$B$7))</f>
        <v/>
      </c>
      <c r="AE129" s="67" t="str">
        <f>IF(OR($B129="",基础资料!$B$8=""),"",-SUMIFS(对接源_01水果筐数!$D$5:$D$304,对接源_01水果筐数!$B$5:$B$304,$B129,对接源_01水果筐数!$C$5:$C$304,基础资料!$B$8))</f>
        <v/>
      </c>
      <c r="AF129" s="25" t="str">
        <f>IF(OR($B129="",基础资料!$B$4=""),"",SUMIFS(对接源_01水果筐数!$E$5:$E$304,对接源_01水果筐数!$B$5:$B$304,$B129,对接源_01水果筐数!$C$5:$C$304,基础资料!$B$4))</f>
        <v/>
      </c>
      <c r="AG129" s="25" t="str">
        <f>IF(OR($B129="",基础资料!$B$5=""),"",SUMIFS(对接源_01水果筐数!$E$5:$E$304,对接源_01水果筐数!$B$5:$B$304,$B129,对接源_01水果筐数!$C$5:$C$304,基础资料!$B$5))</f>
        <v/>
      </c>
      <c r="AH129" s="25" t="str">
        <f>IF(OR($B129="",基础资料!$B$6=""),"",SUMIFS(对接源_01水果筐数!$E$5:$E$304,对接源_01水果筐数!$B$5:$B$304,$B129,对接源_01水果筐数!$C$5:$C$304,基础资料!$B$6))</f>
        <v/>
      </c>
      <c r="AI129" s="25" t="str">
        <f>IF(OR($B129="",基础资料!$B$7=""),"",SUMIFS(对接源_01水果筐数!$E$5:$E$304,对接源_01水果筐数!$B$5:$B$304,$B129,对接源_01水果筐数!$C$5:$C$304,基础资料!$B$7))</f>
        <v/>
      </c>
      <c r="AJ129" s="25" t="str">
        <f>IF(OR($B129="",基础资料!$B$8=""),"",SUMIFS(对接源_01水果筐数!$E$5:$E$304,对接源_01水果筐数!$B$5:$B$304,$B129,对接源_01水果筐数!$C$5:$C$304,基础资料!$B$8))</f>
        <v/>
      </c>
      <c r="AK129" s="25" t="str">
        <f>IF(OR($B129="",基础资料!$B$4=""),"",SUMIFS(对接源_01水果筐数!$F$5:$F$304,对接源_01水果筐数!$B$5:$B$304,$B129,对接源_01水果筐数!$C$5:$C$304,基础资料!$B$4))</f>
        <v/>
      </c>
      <c r="AL129" s="25" t="str">
        <f>IF(OR($B129="",基础资料!$B$5=""),"",SUMIFS(对接源_01水果筐数!$F$5:$F$304,对接源_01水果筐数!$B$5:$B$304,$B129,对接源_01水果筐数!$C$5:$C$304,基础资料!$B$5))</f>
        <v/>
      </c>
      <c r="AM129" s="25" t="str">
        <f>IF(OR($B129="",基础资料!$B$6=""),"",SUMIFS(对接源_01水果筐数!$F$5:$F$304,对接源_01水果筐数!$B$5:$B$304,$B129,对接源_01水果筐数!$C$5:$C$304,基础资料!$B$6))</f>
        <v/>
      </c>
      <c r="AN129" s="25" t="str">
        <f>IF(OR($B129="",基础资料!$B$7=""),"",SUMIFS(对接源_01水果筐数!$F$5:$F$304,对接源_01水果筐数!$B$5:$B$304,$B129,对接源_01水果筐数!$C$5:$C$304,基础资料!$B$7))</f>
        <v/>
      </c>
      <c r="AO129" s="25" t="str">
        <f>IF(OR($B129="",基础资料!$B$8=""),"",SUMIFS(对接源_01水果筐数!$F$5:$F$304,对接源_01水果筐数!$B$5:$B$304,$B129,对接源_01水果筐数!$C$5:$C$304,基础资料!$B$8))</f>
        <v/>
      </c>
      <c r="AP129" s="25" t="str">
        <f t="shared" si="17"/>
        <v/>
      </c>
      <c r="AQ129" s="25" t="str">
        <f t="shared" si="18"/>
        <v/>
      </c>
      <c r="AR129" s="25" t="str">
        <f t="shared" si="19"/>
        <v/>
      </c>
      <c r="AS129" s="25" t="str">
        <f t="shared" si="20"/>
        <v/>
      </c>
      <c r="AT129" s="25" t="str">
        <f t="shared" si="21"/>
        <v/>
      </c>
      <c r="AU129" s="25" t="str">
        <f t="shared" si="22"/>
        <v/>
      </c>
      <c r="AV129" s="24" t="str">
        <f t="shared" si="23"/>
        <v/>
      </c>
      <c r="AW129" s="72"/>
    </row>
    <row r="130" spans="1:49">
      <c r="A130" s="22" t="str">
        <f t="shared" si="12"/>
        <v/>
      </c>
      <c r="B130" s="24" t="str">
        <f>IFERROR(INDEX(_自动清单!$CC$4:$CC$253,ROW()-3),"")</f>
        <v/>
      </c>
      <c r="C130" s="25" t="str">
        <f>IF(OR($B130="",基础资料!$B$4=""),"",SUMIFS(周转筐出入库明细!$J$4:$J$2004,周转筐出入库明细!$C$4:$C$2004,$B130,周转筐出入库明细!$D$4:$D$2004,基础资料!$B$4,周转筐出入库明细!$B$4:$B$2004,"&gt;="&amp;$BC$1,周转筐出入库明细!$B$4:$B$2004,"&lt;="&amp;$BC$2))</f>
        <v/>
      </c>
      <c r="D130" s="25" t="str">
        <f>IF(OR($B130="",基础资料!$B$5=""),"",SUMIFS(周转筐出入库明细!$J$4:$J$2004,周转筐出入库明细!$C$4:$C$2004,$B130,周转筐出入库明细!$D$4:$D$2004,基础资料!$B$5,周转筐出入库明细!$B$4:$B$2004,"&gt;="&amp;$BC$1,周转筐出入库明细!$B$4:$B$2004,"&lt;="&amp;$BC$2))</f>
        <v/>
      </c>
      <c r="E130" s="25" t="str">
        <f>IF(OR($B130="",基础资料!$B$6=""),"",SUMIFS(周转筐出入库明细!$J$4:$J$2004,周转筐出入库明细!$C$4:$C$2004,$B130,周转筐出入库明细!$D$4:$D$2004,基础资料!$B$6,周转筐出入库明细!$B$4:$B$2004,"&gt;="&amp;$BC$1,周转筐出入库明细!$B$4:$B$2004,"&lt;="&amp;$BC$2))</f>
        <v/>
      </c>
      <c r="F130" s="25" t="str">
        <f>IF(OR($B130="",基础资料!$B$7=""),"",SUMIFS(周转筐出入库明细!$J$4:$J$2004,周转筐出入库明细!$C$4:$C$2004,$B130,周转筐出入库明细!$D$4:$D$2004,基础资料!$B$7,周转筐出入库明细!$B$4:$B$2004,"&gt;="&amp;$BC$1,周转筐出入库明细!$B$4:$B$2004,"&lt;="&amp;$BC$2))</f>
        <v/>
      </c>
      <c r="G130" s="25" t="str">
        <f>IF(OR($B130="",基础资料!$B$8=""),"",SUMIFS(周转筐出入库明细!$J$4:$J$2004,周转筐出入库明细!$C$4:$C$2004,$B130,周转筐出入库明细!$D$4:$D$2004,基础资料!$B$8,周转筐出入库明细!$B$4:$B$2004,"&gt;="&amp;$BC$1,周转筐出入库明细!$B$4:$B$2004,"&lt;="&amp;$BC$2))</f>
        <v/>
      </c>
      <c r="H130" s="25" t="str">
        <f t="shared" si="13"/>
        <v/>
      </c>
      <c r="I130" s="67" t="str">
        <f>IF(OR($B130="",基础资料!$B$4=""),"",-SUMIFS(周转筐出入库明细!$I$4:$I$2004,周转筐出入库明细!$C$4:$C$2004,$B130,周转筐出入库明细!$D$4:$D$2004,基础资料!$B$4,周转筐出入库明细!$B$4:$B$2004,"&gt;="&amp;$BC$1,周转筐出入库明细!$B$4:$B$2004,"&lt;="&amp;$BC$2))</f>
        <v/>
      </c>
      <c r="J130" s="67" t="str">
        <f>IF(OR($B130="",基础资料!$B$5=""),"",-SUMIFS(周转筐出入库明细!$I$4:$I$2004,周转筐出入库明细!$C$4:$C$2004,$B130,周转筐出入库明细!$D$4:$D$2004,基础资料!$B$5,周转筐出入库明细!$B$4:$B$2004,"&gt;="&amp;$BC$1,周转筐出入库明细!$B$4:$B$2004,"&lt;="&amp;$BC$2))</f>
        <v/>
      </c>
      <c r="K130" s="67" t="str">
        <f>IF(OR($B130="",基础资料!$B$6=""),"",-SUMIFS(周转筐出入库明细!$I$4:$I$2004,周转筐出入库明细!$C$4:$C$2004,$B130,周转筐出入库明细!$D$4:$D$2004,基础资料!$B$6,周转筐出入库明细!$B$4:$B$2004,"&gt;="&amp;$BC$1,周转筐出入库明细!$B$4:$B$2004,"&lt;="&amp;$BC$2))</f>
        <v/>
      </c>
      <c r="L130" s="67" t="str">
        <f>IF(OR($B130="",基础资料!$B$7=""),"",-SUMIFS(周转筐出入库明细!$I$4:$I$2004,周转筐出入库明细!$C$4:$C$2004,$B130,周转筐出入库明细!$D$4:$D$2004,基础资料!$B$7,周转筐出入库明细!$B$4:$B$2004,"&gt;="&amp;$BC$1,周转筐出入库明细!$B$4:$B$2004,"&lt;="&amp;$BC$2))</f>
        <v/>
      </c>
      <c r="M130" s="67" t="str">
        <f>IF(OR($B130="",基础资料!$B$8=""),"",-SUMIFS(周转筐出入库明细!$I$4:$I$2004,周转筐出入库明细!$C$4:$C$2004,$B130,周转筐出入库明细!$D$4:$D$2004,基础资料!$B$8,周转筐出入库明细!$B$4:$B$2004,"&gt;="&amp;$BC$1,周转筐出入库明细!$B$4:$B$2004,"&lt;="&amp;$BC$2))</f>
        <v/>
      </c>
      <c r="N130" s="67" t="str">
        <f t="shared" si="14"/>
        <v/>
      </c>
      <c r="O130" s="25" t="str">
        <f>IF(OR($B130="",基础资料!$B$4=""),"",SUMIFS(周转筐出入库明细!$H$4:$H$2004,周转筐出入库明细!$C$4:$C$2004,$B130,周转筐出入库明细!$D$4:$D$2004,基础资料!$B$4,周转筐出入库明细!$F$4:$F$2004,"采购入库",周转筐出入库明细!$B$4:$B$2004,"&gt;="&amp;$BC$1,周转筐出入库明细!$B$4:$B$2004,"&lt;="&amp;$BC$2))</f>
        <v/>
      </c>
      <c r="P130" s="25" t="str">
        <f>IF(OR($B130="",基础资料!$B$5=""),"",SUMIFS(周转筐出入库明细!$H$4:$H$2004,周转筐出入库明细!$C$4:$C$2004,$B130,周转筐出入库明细!$D$4:$D$2004,基础资料!$B$5,周转筐出入库明细!$F$4:$F$2004,"采购入库",周转筐出入库明细!$B$4:$B$2004,"&gt;="&amp;$BC$1,周转筐出入库明细!$B$4:$B$2004,"&lt;="&amp;$BC$2))</f>
        <v/>
      </c>
      <c r="Q130" s="25" t="str">
        <f>IF(OR($B130="",基础资料!$B$6=""),"",SUMIFS(周转筐出入库明细!$H$4:$H$2004,周转筐出入库明细!$C$4:$C$2004,$B130,周转筐出入库明细!$D$4:$D$2004,基础资料!$B$6,周转筐出入库明细!$F$4:$F$2004,"采购入库",周转筐出入库明细!$B$4:$B$2004,"&gt;="&amp;$BC$1,周转筐出入库明细!$B$4:$B$2004,"&lt;="&amp;$BC$2))</f>
        <v/>
      </c>
      <c r="R130" s="25" t="str">
        <f>IF(OR($B130="",基础资料!$B$7=""),"",SUMIFS(周转筐出入库明细!$H$4:$H$2004,周转筐出入库明细!$C$4:$C$2004,$B130,周转筐出入库明细!$D$4:$D$2004,基础资料!$B$7,周转筐出入库明细!$F$4:$F$2004,"采购入库",周转筐出入库明细!$B$4:$B$2004,"&gt;="&amp;$BC$1,周转筐出入库明细!$B$4:$B$2004,"&lt;="&amp;$BC$2))</f>
        <v/>
      </c>
      <c r="S130" s="25" t="str">
        <f>IF(OR($B130="",基础资料!$B$8=""),"",SUMIFS(周转筐出入库明细!$H$4:$H$2004,周转筐出入库明细!$C$4:$C$2004,$B130,周转筐出入库明细!$D$4:$D$2004,基础资料!$B$8,周转筐出入库明细!$F$4:$F$2004,"采购入库",周转筐出入库明细!$B$4:$B$2004,"&gt;="&amp;$BC$1,周转筐出入库明细!$B$4:$B$2004,"&lt;="&amp;$BC$2))</f>
        <v/>
      </c>
      <c r="T130" s="25" t="str">
        <f t="shared" si="15"/>
        <v/>
      </c>
      <c r="U130" s="25" t="str">
        <f>IF(OR($B130="",基础资料!$B$4=""),"",SUMIFS(周转筐出入库明细!$K$4:$K$2004,周转筐出入库明细!$C$4:$C$2004,$B130,周转筐出入库明细!$D$4:$D$2004,基础资料!$B$4,周转筐出入库明细!$B$4:$B$2004,"&gt;="&amp;$BC$1,周转筐出入库明细!$B$4:$B$2004,"&lt;="&amp;$BC$2))</f>
        <v/>
      </c>
      <c r="V130" s="25" t="str">
        <f>IF(OR($B130="",基础资料!$B$5=""),"",SUMIFS(周转筐出入库明细!$K$4:$K$2004,周转筐出入库明细!$C$4:$C$2004,$B130,周转筐出入库明细!$D$4:$D$2004,基础资料!$B$5,周转筐出入库明细!$B$4:$B$2004,"&gt;="&amp;$BC$1,周转筐出入库明细!$B$4:$B$2004,"&lt;="&amp;$BC$2))</f>
        <v/>
      </c>
      <c r="W130" s="25" t="str">
        <f>IF(OR($B130="",基础资料!$B$6=""),"",SUMIFS(周转筐出入库明细!$K$4:$K$2004,周转筐出入库明细!$C$4:$C$2004,$B130,周转筐出入库明细!$D$4:$D$2004,基础资料!$B$6,周转筐出入库明细!$B$4:$B$2004,"&gt;="&amp;$BC$1,周转筐出入库明细!$B$4:$B$2004,"&lt;="&amp;$BC$2))</f>
        <v/>
      </c>
      <c r="X130" s="25" t="str">
        <f>IF(OR($B130="",基础资料!$B$7=""),"",SUMIFS(周转筐出入库明细!$K$4:$K$2004,周转筐出入库明细!$C$4:$C$2004,$B130,周转筐出入库明细!$D$4:$D$2004,基础资料!$B$7,周转筐出入库明细!$B$4:$B$2004,"&gt;="&amp;$BC$1,周转筐出入库明细!$B$4:$B$2004,"&lt;="&amp;$BC$2))</f>
        <v/>
      </c>
      <c r="Y130" s="25" t="str">
        <f>IF(OR($B130="",基础资料!$B$8=""),"",SUMIFS(周转筐出入库明细!$K$4:$K$2004,周转筐出入库明细!$C$4:$C$2004,$B130,周转筐出入库明细!$D$4:$D$2004,基础资料!$B$8,周转筐出入库明细!$B$4:$B$2004,"&gt;="&amp;$BC$1,周转筐出入库明细!$B$4:$B$2004,"&lt;="&amp;$BC$2))</f>
        <v/>
      </c>
      <c r="Z130" s="25" t="str">
        <f t="shared" si="16"/>
        <v/>
      </c>
      <c r="AA130" s="67" t="str">
        <f>IF(OR($B130="",基础资料!$B$4=""),"",-SUMIFS(对接源_01水果筐数!$D$5:$D$304,对接源_01水果筐数!$B$5:$B$304,$B130,对接源_01水果筐数!$C$5:$C$304,基础资料!$B$4))</f>
        <v/>
      </c>
      <c r="AB130" s="67" t="str">
        <f>IF(OR($B130="",基础资料!$B$5=""),"",-SUMIFS(对接源_01水果筐数!$D$5:$D$304,对接源_01水果筐数!$B$5:$B$304,$B130,对接源_01水果筐数!$C$5:$C$304,基础资料!$B$5))</f>
        <v/>
      </c>
      <c r="AC130" s="67" t="str">
        <f>IF(OR($B130="",基础资料!$B$6=""),"",-SUMIFS(对接源_01水果筐数!$D$5:$D$304,对接源_01水果筐数!$B$5:$B$304,$B130,对接源_01水果筐数!$C$5:$C$304,基础资料!$B$6))</f>
        <v/>
      </c>
      <c r="AD130" s="67" t="str">
        <f>IF(OR($B130="",基础资料!$B$7=""),"",-SUMIFS(对接源_01水果筐数!$D$5:$D$304,对接源_01水果筐数!$B$5:$B$304,$B130,对接源_01水果筐数!$C$5:$C$304,基础资料!$B$7))</f>
        <v/>
      </c>
      <c r="AE130" s="67" t="str">
        <f>IF(OR($B130="",基础资料!$B$8=""),"",-SUMIFS(对接源_01水果筐数!$D$5:$D$304,对接源_01水果筐数!$B$5:$B$304,$B130,对接源_01水果筐数!$C$5:$C$304,基础资料!$B$8))</f>
        <v/>
      </c>
      <c r="AF130" s="25" t="str">
        <f>IF(OR($B130="",基础资料!$B$4=""),"",SUMIFS(对接源_01水果筐数!$E$5:$E$304,对接源_01水果筐数!$B$5:$B$304,$B130,对接源_01水果筐数!$C$5:$C$304,基础资料!$B$4))</f>
        <v/>
      </c>
      <c r="AG130" s="25" t="str">
        <f>IF(OR($B130="",基础资料!$B$5=""),"",SUMIFS(对接源_01水果筐数!$E$5:$E$304,对接源_01水果筐数!$B$5:$B$304,$B130,对接源_01水果筐数!$C$5:$C$304,基础资料!$B$5))</f>
        <v/>
      </c>
      <c r="AH130" s="25" t="str">
        <f>IF(OR($B130="",基础资料!$B$6=""),"",SUMIFS(对接源_01水果筐数!$E$5:$E$304,对接源_01水果筐数!$B$5:$B$304,$B130,对接源_01水果筐数!$C$5:$C$304,基础资料!$B$6))</f>
        <v/>
      </c>
      <c r="AI130" s="25" t="str">
        <f>IF(OR($B130="",基础资料!$B$7=""),"",SUMIFS(对接源_01水果筐数!$E$5:$E$304,对接源_01水果筐数!$B$5:$B$304,$B130,对接源_01水果筐数!$C$5:$C$304,基础资料!$B$7))</f>
        <v/>
      </c>
      <c r="AJ130" s="25" t="str">
        <f>IF(OR($B130="",基础资料!$B$8=""),"",SUMIFS(对接源_01水果筐数!$E$5:$E$304,对接源_01水果筐数!$B$5:$B$304,$B130,对接源_01水果筐数!$C$5:$C$304,基础资料!$B$8))</f>
        <v/>
      </c>
      <c r="AK130" s="25" t="str">
        <f>IF(OR($B130="",基础资料!$B$4=""),"",SUMIFS(对接源_01水果筐数!$F$5:$F$304,对接源_01水果筐数!$B$5:$B$304,$B130,对接源_01水果筐数!$C$5:$C$304,基础资料!$B$4))</f>
        <v/>
      </c>
      <c r="AL130" s="25" t="str">
        <f>IF(OR($B130="",基础资料!$B$5=""),"",SUMIFS(对接源_01水果筐数!$F$5:$F$304,对接源_01水果筐数!$B$5:$B$304,$B130,对接源_01水果筐数!$C$5:$C$304,基础资料!$B$5))</f>
        <v/>
      </c>
      <c r="AM130" s="25" t="str">
        <f>IF(OR($B130="",基础资料!$B$6=""),"",SUMIFS(对接源_01水果筐数!$F$5:$F$304,对接源_01水果筐数!$B$5:$B$304,$B130,对接源_01水果筐数!$C$5:$C$304,基础资料!$B$6))</f>
        <v/>
      </c>
      <c r="AN130" s="25" t="str">
        <f>IF(OR($B130="",基础资料!$B$7=""),"",SUMIFS(对接源_01水果筐数!$F$5:$F$304,对接源_01水果筐数!$B$5:$B$304,$B130,对接源_01水果筐数!$C$5:$C$304,基础资料!$B$7))</f>
        <v/>
      </c>
      <c r="AO130" s="25" t="str">
        <f>IF(OR($B130="",基础资料!$B$8=""),"",SUMIFS(对接源_01水果筐数!$F$5:$F$304,对接源_01水果筐数!$B$5:$B$304,$B130,对接源_01水果筐数!$C$5:$C$304,基础资料!$B$8))</f>
        <v/>
      </c>
      <c r="AP130" s="25" t="str">
        <f t="shared" si="17"/>
        <v/>
      </c>
      <c r="AQ130" s="25" t="str">
        <f t="shared" si="18"/>
        <v/>
      </c>
      <c r="AR130" s="25" t="str">
        <f t="shared" si="19"/>
        <v/>
      </c>
      <c r="AS130" s="25" t="str">
        <f t="shared" si="20"/>
        <v/>
      </c>
      <c r="AT130" s="25" t="str">
        <f t="shared" si="21"/>
        <v/>
      </c>
      <c r="AU130" s="25" t="str">
        <f t="shared" si="22"/>
        <v/>
      </c>
      <c r="AV130" s="24" t="str">
        <f t="shared" si="23"/>
        <v/>
      </c>
      <c r="AW130" s="72"/>
    </row>
    <row r="131" spans="1:49">
      <c r="A131" s="22" t="str">
        <f t="shared" si="12"/>
        <v/>
      </c>
      <c r="B131" s="24" t="str">
        <f>IFERROR(INDEX(_自动清单!$CC$4:$CC$253,ROW()-3),"")</f>
        <v/>
      </c>
      <c r="C131" s="25" t="str">
        <f>IF(OR($B131="",基础资料!$B$4=""),"",SUMIFS(周转筐出入库明细!$J$4:$J$2004,周转筐出入库明细!$C$4:$C$2004,$B131,周转筐出入库明细!$D$4:$D$2004,基础资料!$B$4,周转筐出入库明细!$B$4:$B$2004,"&gt;="&amp;$BC$1,周转筐出入库明细!$B$4:$B$2004,"&lt;="&amp;$BC$2))</f>
        <v/>
      </c>
      <c r="D131" s="25" t="str">
        <f>IF(OR($B131="",基础资料!$B$5=""),"",SUMIFS(周转筐出入库明细!$J$4:$J$2004,周转筐出入库明细!$C$4:$C$2004,$B131,周转筐出入库明细!$D$4:$D$2004,基础资料!$B$5,周转筐出入库明细!$B$4:$B$2004,"&gt;="&amp;$BC$1,周转筐出入库明细!$B$4:$B$2004,"&lt;="&amp;$BC$2))</f>
        <v/>
      </c>
      <c r="E131" s="25" t="str">
        <f>IF(OR($B131="",基础资料!$B$6=""),"",SUMIFS(周转筐出入库明细!$J$4:$J$2004,周转筐出入库明细!$C$4:$C$2004,$B131,周转筐出入库明细!$D$4:$D$2004,基础资料!$B$6,周转筐出入库明细!$B$4:$B$2004,"&gt;="&amp;$BC$1,周转筐出入库明细!$B$4:$B$2004,"&lt;="&amp;$BC$2))</f>
        <v/>
      </c>
      <c r="F131" s="25" t="str">
        <f>IF(OR($B131="",基础资料!$B$7=""),"",SUMIFS(周转筐出入库明细!$J$4:$J$2004,周转筐出入库明细!$C$4:$C$2004,$B131,周转筐出入库明细!$D$4:$D$2004,基础资料!$B$7,周转筐出入库明细!$B$4:$B$2004,"&gt;="&amp;$BC$1,周转筐出入库明细!$B$4:$B$2004,"&lt;="&amp;$BC$2))</f>
        <v/>
      </c>
      <c r="G131" s="25" t="str">
        <f>IF(OR($B131="",基础资料!$B$8=""),"",SUMIFS(周转筐出入库明细!$J$4:$J$2004,周转筐出入库明细!$C$4:$C$2004,$B131,周转筐出入库明细!$D$4:$D$2004,基础资料!$B$8,周转筐出入库明细!$B$4:$B$2004,"&gt;="&amp;$BC$1,周转筐出入库明细!$B$4:$B$2004,"&lt;="&amp;$BC$2))</f>
        <v/>
      </c>
      <c r="H131" s="25" t="str">
        <f t="shared" si="13"/>
        <v/>
      </c>
      <c r="I131" s="67" t="str">
        <f>IF(OR($B131="",基础资料!$B$4=""),"",-SUMIFS(周转筐出入库明细!$I$4:$I$2004,周转筐出入库明细!$C$4:$C$2004,$B131,周转筐出入库明细!$D$4:$D$2004,基础资料!$B$4,周转筐出入库明细!$B$4:$B$2004,"&gt;="&amp;$BC$1,周转筐出入库明细!$B$4:$B$2004,"&lt;="&amp;$BC$2))</f>
        <v/>
      </c>
      <c r="J131" s="67" t="str">
        <f>IF(OR($B131="",基础资料!$B$5=""),"",-SUMIFS(周转筐出入库明细!$I$4:$I$2004,周转筐出入库明细!$C$4:$C$2004,$B131,周转筐出入库明细!$D$4:$D$2004,基础资料!$B$5,周转筐出入库明细!$B$4:$B$2004,"&gt;="&amp;$BC$1,周转筐出入库明细!$B$4:$B$2004,"&lt;="&amp;$BC$2))</f>
        <v/>
      </c>
      <c r="K131" s="67" t="str">
        <f>IF(OR($B131="",基础资料!$B$6=""),"",-SUMIFS(周转筐出入库明细!$I$4:$I$2004,周转筐出入库明细!$C$4:$C$2004,$B131,周转筐出入库明细!$D$4:$D$2004,基础资料!$B$6,周转筐出入库明细!$B$4:$B$2004,"&gt;="&amp;$BC$1,周转筐出入库明细!$B$4:$B$2004,"&lt;="&amp;$BC$2))</f>
        <v/>
      </c>
      <c r="L131" s="67" t="str">
        <f>IF(OR($B131="",基础资料!$B$7=""),"",-SUMIFS(周转筐出入库明细!$I$4:$I$2004,周转筐出入库明细!$C$4:$C$2004,$B131,周转筐出入库明细!$D$4:$D$2004,基础资料!$B$7,周转筐出入库明细!$B$4:$B$2004,"&gt;="&amp;$BC$1,周转筐出入库明细!$B$4:$B$2004,"&lt;="&amp;$BC$2))</f>
        <v/>
      </c>
      <c r="M131" s="67" t="str">
        <f>IF(OR($B131="",基础资料!$B$8=""),"",-SUMIFS(周转筐出入库明细!$I$4:$I$2004,周转筐出入库明细!$C$4:$C$2004,$B131,周转筐出入库明细!$D$4:$D$2004,基础资料!$B$8,周转筐出入库明细!$B$4:$B$2004,"&gt;="&amp;$BC$1,周转筐出入库明细!$B$4:$B$2004,"&lt;="&amp;$BC$2))</f>
        <v/>
      </c>
      <c r="N131" s="67" t="str">
        <f t="shared" si="14"/>
        <v/>
      </c>
      <c r="O131" s="25" t="str">
        <f>IF(OR($B131="",基础资料!$B$4=""),"",SUMIFS(周转筐出入库明细!$H$4:$H$2004,周转筐出入库明细!$C$4:$C$2004,$B131,周转筐出入库明细!$D$4:$D$2004,基础资料!$B$4,周转筐出入库明细!$F$4:$F$2004,"采购入库",周转筐出入库明细!$B$4:$B$2004,"&gt;="&amp;$BC$1,周转筐出入库明细!$B$4:$B$2004,"&lt;="&amp;$BC$2))</f>
        <v/>
      </c>
      <c r="P131" s="25" t="str">
        <f>IF(OR($B131="",基础资料!$B$5=""),"",SUMIFS(周转筐出入库明细!$H$4:$H$2004,周转筐出入库明细!$C$4:$C$2004,$B131,周转筐出入库明细!$D$4:$D$2004,基础资料!$B$5,周转筐出入库明细!$F$4:$F$2004,"采购入库",周转筐出入库明细!$B$4:$B$2004,"&gt;="&amp;$BC$1,周转筐出入库明细!$B$4:$B$2004,"&lt;="&amp;$BC$2))</f>
        <v/>
      </c>
      <c r="Q131" s="25" t="str">
        <f>IF(OR($B131="",基础资料!$B$6=""),"",SUMIFS(周转筐出入库明细!$H$4:$H$2004,周转筐出入库明细!$C$4:$C$2004,$B131,周转筐出入库明细!$D$4:$D$2004,基础资料!$B$6,周转筐出入库明细!$F$4:$F$2004,"采购入库",周转筐出入库明细!$B$4:$B$2004,"&gt;="&amp;$BC$1,周转筐出入库明细!$B$4:$B$2004,"&lt;="&amp;$BC$2))</f>
        <v/>
      </c>
      <c r="R131" s="25" t="str">
        <f>IF(OR($B131="",基础资料!$B$7=""),"",SUMIFS(周转筐出入库明细!$H$4:$H$2004,周转筐出入库明细!$C$4:$C$2004,$B131,周转筐出入库明细!$D$4:$D$2004,基础资料!$B$7,周转筐出入库明细!$F$4:$F$2004,"采购入库",周转筐出入库明细!$B$4:$B$2004,"&gt;="&amp;$BC$1,周转筐出入库明细!$B$4:$B$2004,"&lt;="&amp;$BC$2))</f>
        <v/>
      </c>
      <c r="S131" s="25" t="str">
        <f>IF(OR($B131="",基础资料!$B$8=""),"",SUMIFS(周转筐出入库明细!$H$4:$H$2004,周转筐出入库明细!$C$4:$C$2004,$B131,周转筐出入库明细!$D$4:$D$2004,基础资料!$B$8,周转筐出入库明细!$F$4:$F$2004,"采购入库",周转筐出入库明细!$B$4:$B$2004,"&gt;="&amp;$BC$1,周转筐出入库明细!$B$4:$B$2004,"&lt;="&amp;$BC$2))</f>
        <v/>
      </c>
      <c r="T131" s="25" t="str">
        <f t="shared" si="15"/>
        <v/>
      </c>
      <c r="U131" s="25" t="str">
        <f>IF(OR($B131="",基础资料!$B$4=""),"",SUMIFS(周转筐出入库明细!$K$4:$K$2004,周转筐出入库明细!$C$4:$C$2004,$B131,周转筐出入库明细!$D$4:$D$2004,基础资料!$B$4,周转筐出入库明细!$B$4:$B$2004,"&gt;="&amp;$BC$1,周转筐出入库明细!$B$4:$B$2004,"&lt;="&amp;$BC$2))</f>
        <v/>
      </c>
      <c r="V131" s="25" t="str">
        <f>IF(OR($B131="",基础资料!$B$5=""),"",SUMIFS(周转筐出入库明细!$K$4:$K$2004,周转筐出入库明细!$C$4:$C$2004,$B131,周转筐出入库明细!$D$4:$D$2004,基础资料!$B$5,周转筐出入库明细!$B$4:$B$2004,"&gt;="&amp;$BC$1,周转筐出入库明细!$B$4:$B$2004,"&lt;="&amp;$BC$2))</f>
        <v/>
      </c>
      <c r="W131" s="25" t="str">
        <f>IF(OR($B131="",基础资料!$B$6=""),"",SUMIFS(周转筐出入库明细!$K$4:$K$2004,周转筐出入库明细!$C$4:$C$2004,$B131,周转筐出入库明细!$D$4:$D$2004,基础资料!$B$6,周转筐出入库明细!$B$4:$B$2004,"&gt;="&amp;$BC$1,周转筐出入库明细!$B$4:$B$2004,"&lt;="&amp;$BC$2))</f>
        <v/>
      </c>
      <c r="X131" s="25" t="str">
        <f>IF(OR($B131="",基础资料!$B$7=""),"",SUMIFS(周转筐出入库明细!$K$4:$K$2004,周转筐出入库明细!$C$4:$C$2004,$B131,周转筐出入库明细!$D$4:$D$2004,基础资料!$B$7,周转筐出入库明细!$B$4:$B$2004,"&gt;="&amp;$BC$1,周转筐出入库明细!$B$4:$B$2004,"&lt;="&amp;$BC$2))</f>
        <v/>
      </c>
      <c r="Y131" s="25" t="str">
        <f>IF(OR($B131="",基础资料!$B$8=""),"",SUMIFS(周转筐出入库明细!$K$4:$K$2004,周转筐出入库明细!$C$4:$C$2004,$B131,周转筐出入库明细!$D$4:$D$2004,基础资料!$B$8,周转筐出入库明细!$B$4:$B$2004,"&gt;="&amp;$BC$1,周转筐出入库明细!$B$4:$B$2004,"&lt;="&amp;$BC$2))</f>
        <v/>
      </c>
      <c r="Z131" s="25" t="str">
        <f t="shared" si="16"/>
        <v/>
      </c>
      <c r="AA131" s="67" t="str">
        <f>IF(OR($B131="",基础资料!$B$4=""),"",-SUMIFS(对接源_01水果筐数!$D$5:$D$304,对接源_01水果筐数!$B$5:$B$304,$B131,对接源_01水果筐数!$C$5:$C$304,基础资料!$B$4))</f>
        <v/>
      </c>
      <c r="AB131" s="67" t="str">
        <f>IF(OR($B131="",基础资料!$B$5=""),"",-SUMIFS(对接源_01水果筐数!$D$5:$D$304,对接源_01水果筐数!$B$5:$B$304,$B131,对接源_01水果筐数!$C$5:$C$304,基础资料!$B$5))</f>
        <v/>
      </c>
      <c r="AC131" s="67" t="str">
        <f>IF(OR($B131="",基础资料!$B$6=""),"",-SUMIFS(对接源_01水果筐数!$D$5:$D$304,对接源_01水果筐数!$B$5:$B$304,$B131,对接源_01水果筐数!$C$5:$C$304,基础资料!$B$6))</f>
        <v/>
      </c>
      <c r="AD131" s="67" t="str">
        <f>IF(OR($B131="",基础资料!$B$7=""),"",-SUMIFS(对接源_01水果筐数!$D$5:$D$304,对接源_01水果筐数!$B$5:$B$304,$B131,对接源_01水果筐数!$C$5:$C$304,基础资料!$B$7))</f>
        <v/>
      </c>
      <c r="AE131" s="67" t="str">
        <f>IF(OR($B131="",基础资料!$B$8=""),"",-SUMIFS(对接源_01水果筐数!$D$5:$D$304,对接源_01水果筐数!$B$5:$B$304,$B131,对接源_01水果筐数!$C$5:$C$304,基础资料!$B$8))</f>
        <v/>
      </c>
      <c r="AF131" s="25" t="str">
        <f>IF(OR($B131="",基础资料!$B$4=""),"",SUMIFS(对接源_01水果筐数!$E$5:$E$304,对接源_01水果筐数!$B$5:$B$304,$B131,对接源_01水果筐数!$C$5:$C$304,基础资料!$B$4))</f>
        <v/>
      </c>
      <c r="AG131" s="25" t="str">
        <f>IF(OR($B131="",基础资料!$B$5=""),"",SUMIFS(对接源_01水果筐数!$E$5:$E$304,对接源_01水果筐数!$B$5:$B$304,$B131,对接源_01水果筐数!$C$5:$C$304,基础资料!$B$5))</f>
        <v/>
      </c>
      <c r="AH131" s="25" t="str">
        <f>IF(OR($B131="",基础资料!$B$6=""),"",SUMIFS(对接源_01水果筐数!$E$5:$E$304,对接源_01水果筐数!$B$5:$B$304,$B131,对接源_01水果筐数!$C$5:$C$304,基础资料!$B$6))</f>
        <v/>
      </c>
      <c r="AI131" s="25" t="str">
        <f>IF(OR($B131="",基础资料!$B$7=""),"",SUMIFS(对接源_01水果筐数!$E$5:$E$304,对接源_01水果筐数!$B$5:$B$304,$B131,对接源_01水果筐数!$C$5:$C$304,基础资料!$B$7))</f>
        <v/>
      </c>
      <c r="AJ131" s="25" t="str">
        <f>IF(OR($B131="",基础资料!$B$8=""),"",SUMIFS(对接源_01水果筐数!$E$5:$E$304,对接源_01水果筐数!$B$5:$B$304,$B131,对接源_01水果筐数!$C$5:$C$304,基础资料!$B$8))</f>
        <v/>
      </c>
      <c r="AK131" s="25" t="str">
        <f>IF(OR($B131="",基础资料!$B$4=""),"",SUMIFS(对接源_01水果筐数!$F$5:$F$304,对接源_01水果筐数!$B$5:$B$304,$B131,对接源_01水果筐数!$C$5:$C$304,基础资料!$B$4))</f>
        <v/>
      </c>
      <c r="AL131" s="25" t="str">
        <f>IF(OR($B131="",基础资料!$B$5=""),"",SUMIFS(对接源_01水果筐数!$F$5:$F$304,对接源_01水果筐数!$B$5:$B$304,$B131,对接源_01水果筐数!$C$5:$C$304,基础资料!$B$5))</f>
        <v/>
      </c>
      <c r="AM131" s="25" t="str">
        <f>IF(OR($B131="",基础资料!$B$6=""),"",SUMIFS(对接源_01水果筐数!$F$5:$F$304,对接源_01水果筐数!$B$5:$B$304,$B131,对接源_01水果筐数!$C$5:$C$304,基础资料!$B$6))</f>
        <v/>
      </c>
      <c r="AN131" s="25" t="str">
        <f>IF(OR($B131="",基础资料!$B$7=""),"",SUMIFS(对接源_01水果筐数!$F$5:$F$304,对接源_01水果筐数!$B$5:$B$304,$B131,对接源_01水果筐数!$C$5:$C$304,基础资料!$B$7))</f>
        <v/>
      </c>
      <c r="AO131" s="25" t="str">
        <f>IF(OR($B131="",基础资料!$B$8=""),"",SUMIFS(对接源_01水果筐数!$F$5:$F$304,对接源_01水果筐数!$B$5:$B$304,$B131,对接源_01水果筐数!$C$5:$C$304,基础资料!$B$8))</f>
        <v/>
      </c>
      <c r="AP131" s="25" t="str">
        <f t="shared" si="17"/>
        <v/>
      </c>
      <c r="AQ131" s="25" t="str">
        <f t="shared" si="18"/>
        <v/>
      </c>
      <c r="AR131" s="25" t="str">
        <f t="shared" si="19"/>
        <v/>
      </c>
      <c r="AS131" s="25" t="str">
        <f t="shared" si="20"/>
        <v/>
      </c>
      <c r="AT131" s="25" t="str">
        <f t="shared" si="21"/>
        <v/>
      </c>
      <c r="AU131" s="25" t="str">
        <f t="shared" si="22"/>
        <v/>
      </c>
      <c r="AV131" s="24" t="str">
        <f t="shared" si="23"/>
        <v/>
      </c>
      <c r="AW131" s="72"/>
    </row>
    <row r="132" spans="1:49">
      <c r="A132" s="22" t="str">
        <f t="shared" ref="A132:A195" si="24">IF($B132="","",ROW()-3)</f>
        <v/>
      </c>
      <c r="B132" s="24" t="str">
        <f>IFERROR(INDEX(_自动清单!$CC$4:$CC$253,ROW()-3),"")</f>
        <v/>
      </c>
      <c r="C132" s="25" t="str">
        <f>IF(OR($B132="",基础资料!$B$4=""),"",SUMIFS(周转筐出入库明细!$J$4:$J$2004,周转筐出入库明细!$C$4:$C$2004,$B132,周转筐出入库明细!$D$4:$D$2004,基础资料!$B$4,周转筐出入库明细!$B$4:$B$2004,"&gt;="&amp;$BC$1,周转筐出入库明细!$B$4:$B$2004,"&lt;="&amp;$BC$2))</f>
        <v/>
      </c>
      <c r="D132" s="25" t="str">
        <f>IF(OR($B132="",基础资料!$B$5=""),"",SUMIFS(周转筐出入库明细!$J$4:$J$2004,周转筐出入库明细!$C$4:$C$2004,$B132,周转筐出入库明细!$D$4:$D$2004,基础资料!$B$5,周转筐出入库明细!$B$4:$B$2004,"&gt;="&amp;$BC$1,周转筐出入库明细!$B$4:$B$2004,"&lt;="&amp;$BC$2))</f>
        <v/>
      </c>
      <c r="E132" s="25" t="str">
        <f>IF(OR($B132="",基础资料!$B$6=""),"",SUMIFS(周转筐出入库明细!$J$4:$J$2004,周转筐出入库明细!$C$4:$C$2004,$B132,周转筐出入库明细!$D$4:$D$2004,基础资料!$B$6,周转筐出入库明细!$B$4:$B$2004,"&gt;="&amp;$BC$1,周转筐出入库明细!$B$4:$B$2004,"&lt;="&amp;$BC$2))</f>
        <v/>
      </c>
      <c r="F132" s="25" t="str">
        <f>IF(OR($B132="",基础资料!$B$7=""),"",SUMIFS(周转筐出入库明细!$J$4:$J$2004,周转筐出入库明细!$C$4:$C$2004,$B132,周转筐出入库明细!$D$4:$D$2004,基础资料!$B$7,周转筐出入库明细!$B$4:$B$2004,"&gt;="&amp;$BC$1,周转筐出入库明细!$B$4:$B$2004,"&lt;="&amp;$BC$2))</f>
        <v/>
      </c>
      <c r="G132" s="25" t="str">
        <f>IF(OR($B132="",基础资料!$B$8=""),"",SUMIFS(周转筐出入库明细!$J$4:$J$2004,周转筐出入库明细!$C$4:$C$2004,$B132,周转筐出入库明细!$D$4:$D$2004,基础资料!$B$8,周转筐出入库明细!$B$4:$B$2004,"&gt;="&amp;$BC$1,周转筐出入库明细!$B$4:$B$2004,"&lt;="&amp;$BC$2))</f>
        <v/>
      </c>
      <c r="H132" s="25" t="str">
        <f t="shared" ref="H132:H195" si="25">IF($B132="","",SUM(C132:G132))</f>
        <v/>
      </c>
      <c r="I132" s="67" t="str">
        <f>IF(OR($B132="",基础资料!$B$4=""),"",-SUMIFS(周转筐出入库明细!$I$4:$I$2004,周转筐出入库明细!$C$4:$C$2004,$B132,周转筐出入库明细!$D$4:$D$2004,基础资料!$B$4,周转筐出入库明细!$B$4:$B$2004,"&gt;="&amp;$BC$1,周转筐出入库明细!$B$4:$B$2004,"&lt;="&amp;$BC$2))</f>
        <v/>
      </c>
      <c r="J132" s="67" t="str">
        <f>IF(OR($B132="",基础资料!$B$5=""),"",-SUMIFS(周转筐出入库明细!$I$4:$I$2004,周转筐出入库明细!$C$4:$C$2004,$B132,周转筐出入库明细!$D$4:$D$2004,基础资料!$B$5,周转筐出入库明细!$B$4:$B$2004,"&gt;="&amp;$BC$1,周转筐出入库明细!$B$4:$B$2004,"&lt;="&amp;$BC$2))</f>
        <v/>
      </c>
      <c r="K132" s="67" t="str">
        <f>IF(OR($B132="",基础资料!$B$6=""),"",-SUMIFS(周转筐出入库明细!$I$4:$I$2004,周转筐出入库明细!$C$4:$C$2004,$B132,周转筐出入库明细!$D$4:$D$2004,基础资料!$B$6,周转筐出入库明细!$B$4:$B$2004,"&gt;="&amp;$BC$1,周转筐出入库明细!$B$4:$B$2004,"&lt;="&amp;$BC$2))</f>
        <v/>
      </c>
      <c r="L132" s="67" t="str">
        <f>IF(OR($B132="",基础资料!$B$7=""),"",-SUMIFS(周转筐出入库明细!$I$4:$I$2004,周转筐出入库明细!$C$4:$C$2004,$B132,周转筐出入库明细!$D$4:$D$2004,基础资料!$B$7,周转筐出入库明细!$B$4:$B$2004,"&gt;="&amp;$BC$1,周转筐出入库明细!$B$4:$B$2004,"&lt;="&amp;$BC$2))</f>
        <v/>
      </c>
      <c r="M132" s="67" t="str">
        <f>IF(OR($B132="",基础资料!$B$8=""),"",-SUMIFS(周转筐出入库明细!$I$4:$I$2004,周转筐出入库明细!$C$4:$C$2004,$B132,周转筐出入库明细!$D$4:$D$2004,基础资料!$B$8,周转筐出入库明细!$B$4:$B$2004,"&gt;="&amp;$BC$1,周转筐出入库明细!$B$4:$B$2004,"&lt;="&amp;$BC$2))</f>
        <v/>
      </c>
      <c r="N132" s="67" t="str">
        <f t="shared" ref="N132:N195" si="26">IF($B132="","",SUM(I132:M132))</f>
        <v/>
      </c>
      <c r="O132" s="25" t="str">
        <f>IF(OR($B132="",基础资料!$B$4=""),"",SUMIFS(周转筐出入库明细!$H$4:$H$2004,周转筐出入库明细!$C$4:$C$2004,$B132,周转筐出入库明细!$D$4:$D$2004,基础资料!$B$4,周转筐出入库明细!$F$4:$F$2004,"采购入库",周转筐出入库明细!$B$4:$B$2004,"&gt;="&amp;$BC$1,周转筐出入库明细!$B$4:$B$2004,"&lt;="&amp;$BC$2))</f>
        <v/>
      </c>
      <c r="P132" s="25" t="str">
        <f>IF(OR($B132="",基础资料!$B$5=""),"",SUMIFS(周转筐出入库明细!$H$4:$H$2004,周转筐出入库明细!$C$4:$C$2004,$B132,周转筐出入库明细!$D$4:$D$2004,基础资料!$B$5,周转筐出入库明细!$F$4:$F$2004,"采购入库",周转筐出入库明细!$B$4:$B$2004,"&gt;="&amp;$BC$1,周转筐出入库明细!$B$4:$B$2004,"&lt;="&amp;$BC$2))</f>
        <v/>
      </c>
      <c r="Q132" s="25" t="str">
        <f>IF(OR($B132="",基础资料!$B$6=""),"",SUMIFS(周转筐出入库明细!$H$4:$H$2004,周转筐出入库明细!$C$4:$C$2004,$B132,周转筐出入库明细!$D$4:$D$2004,基础资料!$B$6,周转筐出入库明细!$F$4:$F$2004,"采购入库",周转筐出入库明细!$B$4:$B$2004,"&gt;="&amp;$BC$1,周转筐出入库明细!$B$4:$B$2004,"&lt;="&amp;$BC$2))</f>
        <v/>
      </c>
      <c r="R132" s="25" t="str">
        <f>IF(OR($B132="",基础资料!$B$7=""),"",SUMIFS(周转筐出入库明细!$H$4:$H$2004,周转筐出入库明细!$C$4:$C$2004,$B132,周转筐出入库明细!$D$4:$D$2004,基础资料!$B$7,周转筐出入库明细!$F$4:$F$2004,"采购入库",周转筐出入库明细!$B$4:$B$2004,"&gt;="&amp;$BC$1,周转筐出入库明细!$B$4:$B$2004,"&lt;="&amp;$BC$2))</f>
        <v/>
      </c>
      <c r="S132" s="25" t="str">
        <f>IF(OR($B132="",基础资料!$B$8=""),"",SUMIFS(周转筐出入库明细!$H$4:$H$2004,周转筐出入库明细!$C$4:$C$2004,$B132,周转筐出入库明细!$D$4:$D$2004,基础资料!$B$8,周转筐出入库明细!$F$4:$F$2004,"采购入库",周转筐出入库明细!$B$4:$B$2004,"&gt;="&amp;$BC$1,周转筐出入库明细!$B$4:$B$2004,"&lt;="&amp;$BC$2))</f>
        <v/>
      </c>
      <c r="T132" s="25" t="str">
        <f t="shared" ref="T132:T195" si="27">IF($B132="","",SUM(O132:S132))</f>
        <v/>
      </c>
      <c r="U132" s="25" t="str">
        <f>IF(OR($B132="",基础资料!$B$4=""),"",SUMIFS(周转筐出入库明细!$K$4:$K$2004,周转筐出入库明细!$C$4:$C$2004,$B132,周转筐出入库明细!$D$4:$D$2004,基础资料!$B$4,周转筐出入库明细!$B$4:$B$2004,"&gt;="&amp;$BC$1,周转筐出入库明细!$B$4:$B$2004,"&lt;="&amp;$BC$2))</f>
        <v/>
      </c>
      <c r="V132" s="25" t="str">
        <f>IF(OR($B132="",基础资料!$B$5=""),"",SUMIFS(周转筐出入库明细!$K$4:$K$2004,周转筐出入库明细!$C$4:$C$2004,$B132,周转筐出入库明细!$D$4:$D$2004,基础资料!$B$5,周转筐出入库明细!$B$4:$B$2004,"&gt;="&amp;$BC$1,周转筐出入库明细!$B$4:$B$2004,"&lt;="&amp;$BC$2))</f>
        <v/>
      </c>
      <c r="W132" s="25" t="str">
        <f>IF(OR($B132="",基础资料!$B$6=""),"",SUMIFS(周转筐出入库明细!$K$4:$K$2004,周转筐出入库明细!$C$4:$C$2004,$B132,周转筐出入库明细!$D$4:$D$2004,基础资料!$B$6,周转筐出入库明细!$B$4:$B$2004,"&gt;="&amp;$BC$1,周转筐出入库明细!$B$4:$B$2004,"&lt;="&amp;$BC$2))</f>
        <v/>
      </c>
      <c r="X132" s="25" t="str">
        <f>IF(OR($B132="",基础资料!$B$7=""),"",SUMIFS(周转筐出入库明细!$K$4:$K$2004,周转筐出入库明细!$C$4:$C$2004,$B132,周转筐出入库明细!$D$4:$D$2004,基础资料!$B$7,周转筐出入库明细!$B$4:$B$2004,"&gt;="&amp;$BC$1,周转筐出入库明细!$B$4:$B$2004,"&lt;="&amp;$BC$2))</f>
        <v/>
      </c>
      <c r="Y132" s="25" t="str">
        <f>IF(OR($B132="",基础资料!$B$8=""),"",SUMIFS(周转筐出入库明细!$K$4:$K$2004,周转筐出入库明细!$C$4:$C$2004,$B132,周转筐出入库明细!$D$4:$D$2004,基础资料!$B$8,周转筐出入库明细!$B$4:$B$2004,"&gt;="&amp;$BC$1,周转筐出入库明细!$B$4:$B$2004,"&lt;="&amp;$BC$2))</f>
        <v/>
      </c>
      <c r="Z132" s="25" t="str">
        <f t="shared" ref="Z132:Z195" si="28">IF($B132="","",SUM(U132:Y132))</f>
        <v/>
      </c>
      <c r="AA132" s="67" t="str">
        <f>IF(OR($B132="",基础资料!$B$4=""),"",-SUMIFS(对接源_01水果筐数!$D$5:$D$304,对接源_01水果筐数!$B$5:$B$304,$B132,对接源_01水果筐数!$C$5:$C$304,基础资料!$B$4))</f>
        <v/>
      </c>
      <c r="AB132" s="67" t="str">
        <f>IF(OR($B132="",基础资料!$B$5=""),"",-SUMIFS(对接源_01水果筐数!$D$5:$D$304,对接源_01水果筐数!$B$5:$B$304,$B132,对接源_01水果筐数!$C$5:$C$304,基础资料!$B$5))</f>
        <v/>
      </c>
      <c r="AC132" s="67" t="str">
        <f>IF(OR($B132="",基础资料!$B$6=""),"",-SUMIFS(对接源_01水果筐数!$D$5:$D$304,对接源_01水果筐数!$B$5:$B$304,$B132,对接源_01水果筐数!$C$5:$C$304,基础资料!$B$6))</f>
        <v/>
      </c>
      <c r="AD132" s="67" t="str">
        <f>IF(OR($B132="",基础资料!$B$7=""),"",-SUMIFS(对接源_01水果筐数!$D$5:$D$304,对接源_01水果筐数!$B$5:$B$304,$B132,对接源_01水果筐数!$C$5:$C$304,基础资料!$B$7))</f>
        <v/>
      </c>
      <c r="AE132" s="67" t="str">
        <f>IF(OR($B132="",基础资料!$B$8=""),"",-SUMIFS(对接源_01水果筐数!$D$5:$D$304,对接源_01水果筐数!$B$5:$B$304,$B132,对接源_01水果筐数!$C$5:$C$304,基础资料!$B$8))</f>
        <v/>
      </c>
      <c r="AF132" s="25" t="str">
        <f>IF(OR($B132="",基础资料!$B$4=""),"",SUMIFS(对接源_01水果筐数!$E$5:$E$304,对接源_01水果筐数!$B$5:$B$304,$B132,对接源_01水果筐数!$C$5:$C$304,基础资料!$B$4))</f>
        <v/>
      </c>
      <c r="AG132" s="25" t="str">
        <f>IF(OR($B132="",基础资料!$B$5=""),"",SUMIFS(对接源_01水果筐数!$E$5:$E$304,对接源_01水果筐数!$B$5:$B$304,$B132,对接源_01水果筐数!$C$5:$C$304,基础资料!$B$5))</f>
        <v/>
      </c>
      <c r="AH132" s="25" t="str">
        <f>IF(OR($B132="",基础资料!$B$6=""),"",SUMIFS(对接源_01水果筐数!$E$5:$E$304,对接源_01水果筐数!$B$5:$B$304,$B132,对接源_01水果筐数!$C$5:$C$304,基础资料!$B$6))</f>
        <v/>
      </c>
      <c r="AI132" s="25" t="str">
        <f>IF(OR($B132="",基础资料!$B$7=""),"",SUMIFS(对接源_01水果筐数!$E$5:$E$304,对接源_01水果筐数!$B$5:$B$304,$B132,对接源_01水果筐数!$C$5:$C$304,基础资料!$B$7))</f>
        <v/>
      </c>
      <c r="AJ132" s="25" t="str">
        <f>IF(OR($B132="",基础资料!$B$8=""),"",SUMIFS(对接源_01水果筐数!$E$5:$E$304,对接源_01水果筐数!$B$5:$B$304,$B132,对接源_01水果筐数!$C$5:$C$304,基础资料!$B$8))</f>
        <v/>
      </c>
      <c r="AK132" s="25" t="str">
        <f>IF(OR($B132="",基础资料!$B$4=""),"",SUMIFS(对接源_01水果筐数!$F$5:$F$304,对接源_01水果筐数!$B$5:$B$304,$B132,对接源_01水果筐数!$C$5:$C$304,基础资料!$B$4))</f>
        <v/>
      </c>
      <c r="AL132" s="25" t="str">
        <f>IF(OR($B132="",基础资料!$B$5=""),"",SUMIFS(对接源_01水果筐数!$F$5:$F$304,对接源_01水果筐数!$B$5:$B$304,$B132,对接源_01水果筐数!$C$5:$C$304,基础资料!$B$5))</f>
        <v/>
      </c>
      <c r="AM132" s="25" t="str">
        <f>IF(OR($B132="",基础资料!$B$6=""),"",SUMIFS(对接源_01水果筐数!$F$5:$F$304,对接源_01水果筐数!$B$5:$B$304,$B132,对接源_01水果筐数!$C$5:$C$304,基础资料!$B$6))</f>
        <v/>
      </c>
      <c r="AN132" s="25" t="str">
        <f>IF(OR($B132="",基础资料!$B$7=""),"",SUMIFS(对接源_01水果筐数!$F$5:$F$304,对接源_01水果筐数!$B$5:$B$304,$B132,对接源_01水果筐数!$C$5:$C$304,基础资料!$B$7))</f>
        <v/>
      </c>
      <c r="AO132" s="25" t="str">
        <f>IF(OR($B132="",基础资料!$B$8=""),"",SUMIFS(对接源_01水果筐数!$F$5:$F$304,对接源_01水果筐数!$B$5:$B$304,$B132,对接源_01水果筐数!$C$5:$C$304,基础资料!$B$8))</f>
        <v/>
      </c>
      <c r="AP132" s="25" t="str">
        <f t="shared" ref="AP132:AP195" si="29">IF($B132="","",N(C132)+N(I132)+N(AA132)+N(AF132)+N(AK132))</f>
        <v/>
      </c>
      <c r="AQ132" s="25" t="str">
        <f t="shared" ref="AQ132:AQ195" si="30">IF($B132="","",N(D132)+N(J132)+N(AB132)+N(AG132)+N(AL132))</f>
        <v/>
      </c>
      <c r="AR132" s="25" t="str">
        <f t="shared" ref="AR132:AR195" si="31">IF($B132="","",N(E132)+N(K132)+N(AC132)+N(AH132)+N(AM132))</f>
        <v/>
      </c>
      <c r="AS132" s="25" t="str">
        <f t="shared" ref="AS132:AS195" si="32">IF($B132="","",N(F132)+N(L132)+N(AD132)+N(AI132)+N(AN132))</f>
        <v/>
      </c>
      <c r="AT132" s="25" t="str">
        <f t="shared" ref="AT132:AT195" si="33">IF($B132="","",N(G132)+N(M132)+N(AE132)+N(AJ132)+N(AO132))</f>
        <v/>
      </c>
      <c r="AU132" s="25" t="str">
        <f t="shared" ref="AU132:AU195" si="34">IF($B132="","",SUM(AP132:AT132))</f>
        <v/>
      </c>
      <c r="AV132" s="24" t="str">
        <f t="shared" ref="AV132:AV195" si="35">IF($B132="","",IF(N($AU132)&gt;0,"⚠ 有 "&amp;N($AU132)&amp;" 个筐未回","✔ 已回清"))</f>
        <v/>
      </c>
      <c r="AW132" s="72"/>
    </row>
    <row r="133" spans="1:49">
      <c r="A133" s="22" t="str">
        <f t="shared" si="24"/>
        <v/>
      </c>
      <c r="B133" s="24" t="str">
        <f>IFERROR(INDEX(_自动清单!$CC$4:$CC$253,ROW()-3),"")</f>
        <v/>
      </c>
      <c r="C133" s="25" t="str">
        <f>IF(OR($B133="",基础资料!$B$4=""),"",SUMIFS(周转筐出入库明细!$J$4:$J$2004,周转筐出入库明细!$C$4:$C$2004,$B133,周转筐出入库明细!$D$4:$D$2004,基础资料!$B$4,周转筐出入库明细!$B$4:$B$2004,"&gt;="&amp;$BC$1,周转筐出入库明细!$B$4:$B$2004,"&lt;="&amp;$BC$2))</f>
        <v/>
      </c>
      <c r="D133" s="25" t="str">
        <f>IF(OR($B133="",基础资料!$B$5=""),"",SUMIFS(周转筐出入库明细!$J$4:$J$2004,周转筐出入库明细!$C$4:$C$2004,$B133,周转筐出入库明细!$D$4:$D$2004,基础资料!$B$5,周转筐出入库明细!$B$4:$B$2004,"&gt;="&amp;$BC$1,周转筐出入库明细!$B$4:$B$2004,"&lt;="&amp;$BC$2))</f>
        <v/>
      </c>
      <c r="E133" s="25" t="str">
        <f>IF(OR($B133="",基础资料!$B$6=""),"",SUMIFS(周转筐出入库明细!$J$4:$J$2004,周转筐出入库明细!$C$4:$C$2004,$B133,周转筐出入库明细!$D$4:$D$2004,基础资料!$B$6,周转筐出入库明细!$B$4:$B$2004,"&gt;="&amp;$BC$1,周转筐出入库明细!$B$4:$B$2004,"&lt;="&amp;$BC$2))</f>
        <v/>
      </c>
      <c r="F133" s="25" t="str">
        <f>IF(OR($B133="",基础资料!$B$7=""),"",SUMIFS(周转筐出入库明细!$J$4:$J$2004,周转筐出入库明细!$C$4:$C$2004,$B133,周转筐出入库明细!$D$4:$D$2004,基础资料!$B$7,周转筐出入库明细!$B$4:$B$2004,"&gt;="&amp;$BC$1,周转筐出入库明细!$B$4:$B$2004,"&lt;="&amp;$BC$2))</f>
        <v/>
      </c>
      <c r="G133" s="25" t="str">
        <f>IF(OR($B133="",基础资料!$B$8=""),"",SUMIFS(周转筐出入库明细!$J$4:$J$2004,周转筐出入库明细!$C$4:$C$2004,$B133,周转筐出入库明细!$D$4:$D$2004,基础资料!$B$8,周转筐出入库明细!$B$4:$B$2004,"&gt;="&amp;$BC$1,周转筐出入库明细!$B$4:$B$2004,"&lt;="&amp;$BC$2))</f>
        <v/>
      </c>
      <c r="H133" s="25" t="str">
        <f t="shared" si="25"/>
        <v/>
      </c>
      <c r="I133" s="67" t="str">
        <f>IF(OR($B133="",基础资料!$B$4=""),"",-SUMIFS(周转筐出入库明细!$I$4:$I$2004,周转筐出入库明细!$C$4:$C$2004,$B133,周转筐出入库明细!$D$4:$D$2004,基础资料!$B$4,周转筐出入库明细!$B$4:$B$2004,"&gt;="&amp;$BC$1,周转筐出入库明细!$B$4:$B$2004,"&lt;="&amp;$BC$2))</f>
        <v/>
      </c>
      <c r="J133" s="67" t="str">
        <f>IF(OR($B133="",基础资料!$B$5=""),"",-SUMIFS(周转筐出入库明细!$I$4:$I$2004,周转筐出入库明细!$C$4:$C$2004,$B133,周转筐出入库明细!$D$4:$D$2004,基础资料!$B$5,周转筐出入库明细!$B$4:$B$2004,"&gt;="&amp;$BC$1,周转筐出入库明细!$B$4:$B$2004,"&lt;="&amp;$BC$2))</f>
        <v/>
      </c>
      <c r="K133" s="67" t="str">
        <f>IF(OR($B133="",基础资料!$B$6=""),"",-SUMIFS(周转筐出入库明细!$I$4:$I$2004,周转筐出入库明细!$C$4:$C$2004,$B133,周转筐出入库明细!$D$4:$D$2004,基础资料!$B$6,周转筐出入库明细!$B$4:$B$2004,"&gt;="&amp;$BC$1,周转筐出入库明细!$B$4:$B$2004,"&lt;="&amp;$BC$2))</f>
        <v/>
      </c>
      <c r="L133" s="67" t="str">
        <f>IF(OR($B133="",基础资料!$B$7=""),"",-SUMIFS(周转筐出入库明细!$I$4:$I$2004,周转筐出入库明细!$C$4:$C$2004,$B133,周转筐出入库明细!$D$4:$D$2004,基础资料!$B$7,周转筐出入库明细!$B$4:$B$2004,"&gt;="&amp;$BC$1,周转筐出入库明细!$B$4:$B$2004,"&lt;="&amp;$BC$2))</f>
        <v/>
      </c>
      <c r="M133" s="67" t="str">
        <f>IF(OR($B133="",基础资料!$B$8=""),"",-SUMIFS(周转筐出入库明细!$I$4:$I$2004,周转筐出入库明细!$C$4:$C$2004,$B133,周转筐出入库明细!$D$4:$D$2004,基础资料!$B$8,周转筐出入库明细!$B$4:$B$2004,"&gt;="&amp;$BC$1,周转筐出入库明细!$B$4:$B$2004,"&lt;="&amp;$BC$2))</f>
        <v/>
      </c>
      <c r="N133" s="67" t="str">
        <f t="shared" si="26"/>
        <v/>
      </c>
      <c r="O133" s="25" t="str">
        <f>IF(OR($B133="",基础资料!$B$4=""),"",SUMIFS(周转筐出入库明细!$H$4:$H$2004,周转筐出入库明细!$C$4:$C$2004,$B133,周转筐出入库明细!$D$4:$D$2004,基础资料!$B$4,周转筐出入库明细!$F$4:$F$2004,"采购入库",周转筐出入库明细!$B$4:$B$2004,"&gt;="&amp;$BC$1,周转筐出入库明细!$B$4:$B$2004,"&lt;="&amp;$BC$2))</f>
        <v/>
      </c>
      <c r="P133" s="25" t="str">
        <f>IF(OR($B133="",基础资料!$B$5=""),"",SUMIFS(周转筐出入库明细!$H$4:$H$2004,周转筐出入库明细!$C$4:$C$2004,$B133,周转筐出入库明细!$D$4:$D$2004,基础资料!$B$5,周转筐出入库明细!$F$4:$F$2004,"采购入库",周转筐出入库明细!$B$4:$B$2004,"&gt;="&amp;$BC$1,周转筐出入库明细!$B$4:$B$2004,"&lt;="&amp;$BC$2))</f>
        <v/>
      </c>
      <c r="Q133" s="25" t="str">
        <f>IF(OR($B133="",基础资料!$B$6=""),"",SUMIFS(周转筐出入库明细!$H$4:$H$2004,周转筐出入库明细!$C$4:$C$2004,$B133,周转筐出入库明细!$D$4:$D$2004,基础资料!$B$6,周转筐出入库明细!$F$4:$F$2004,"采购入库",周转筐出入库明细!$B$4:$B$2004,"&gt;="&amp;$BC$1,周转筐出入库明细!$B$4:$B$2004,"&lt;="&amp;$BC$2))</f>
        <v/>
      </c>
      <c r="R133" s="25" t="str">
        <f>IF(OR($B133="",基础资料!$B$7=""),"",SUMIFS(周转筐出入库明细!$H$4:$H$2004,周转筐出入库明细!$C$4:$C$2004,$B133,周转筐出入库明细!$D$4:$D$2004,基础资料!$B$7,周转筐出入库明细!$F$4:$F$2004,"采购入库",周转筐出入库明细!$B$4:$B$2004,"&gt;="&amp;$BC$1,周转筐出入库明细!$B$4:$B$2004,"&lt;="&amp;$BC$2))</f>
        <v/>
      </c>
      <c r="S133" s="25" t="str">
        <f>IF(OR($B133="",基础资料!$B$8=""),"",SUMIFS(周转筐出入库明细!$H$4:$H$2004,周转筐出入库明细!$C$4:$C$2004,$B133,周转筐出入库明细!$D$4:$D$2004,基础资料!$B$8,周转筐出入库明细!$F$4:$F$2004,"采购入库",周转筐出入库明细!$B$4:$B$2004,"&gt;="&amp;$BC$1,周转筐出入库明细!$B$4:$B$2004,"&lt;="&amp;$BC$2))</f>
        <v/>
      </c>
      <c r="T133" s="25" t="str">
        <f t="shared" si="27"/>
        <v/>
      </c>
      <c r="U133" s="25" t="str">
        <f>IF(OR($B133="",基础资料!$B$4=""),"",SUMIFS(周转筐出入库明细!$K$4:$K$2004,周转筐出入库明细!$C$4:$C$2004,$B133,周转筐出入库明细!$D$4:$D$2004,基础资料!$B$4,周转筐出入库明细!$B$4:$B$2004,"&gt;="&amp;$BC$1,周转筐出入库明细!$B$4:$B$2004,"&lt;="&amp;$BC$2))</f>
        <v/>
      </c>
      <c r="V133" s="25" t="str">
        <f>IF(OR($B133="",基础资料!$B$5=""),"",SUMIFS(周转筐出入库明细!$K$4:$K$2004,周转筐出入库明细!$C$4:$C$2004,$B133,周转筐出入库明细!$D$4:$D$2004,基础资料!$B$5,周转筐出入库明细!$B$4:$B$2004,"&gt;="&amp;$BC$1,周转筐出入库明细!$B$4:$B$2004,"&lt;="&amp;$BC$2))</f>
        <v/>
      </c>
      <c r="W133" s="25" t="str">
        <f>IF(OR($B133="",基础资料!$B$6=""),"",SUMIFS(周转筐出入库明细!$K$4:$K$2004,周转筐出入库明细!$C$4:$C$2004,$B133,周转筐出入库明细!$D$4:$D$2004,基础资料!$B$6,周转筐出入库明细!$B$4:$B$2004,"&gt;="&amp;$BC$1,周转筐出入库明细!$B$4:$B$2004,"&lt;="&amp;$BC$2))</f>
        <v/>
      </c>
      <c r="X133" s="25" t="str">
        <f>IF(OR($B133="",基础资料!$B$7=""),"",SUMIFS(周转筐出入库明细!$K$4:$K$2004,周转筐出入库明细!$C$4:$C$2004,$B133,周转筐出入库明细!$D$4:$D$2004,基础资料!$B$7,周转筐出入库明细!$B$4:$B$2004,"&gt;="&amp;$BC$1,周转筐出入库明细!$B$4:$B$2004,"&lt;="&amp;$BC$2))</f>
        <v/>
      </c>
      <c r="Y133" s="25" t="str">
        <f>IF(OR($B133="",基础资料!$B$8=""),"",SUMIFS(周转筐出入库明细!$K$4:$K$2004,周转筐出入库明细!$C$4:$C$2004,$B133,周转筐出入库明细!$D$4:$D$2004,基础资料!$B$8,周转筐出入库明细!$B$4:$B$2004,"&gt;="&amp;$BC$1,周转筐出入库明细!$B$4:$B$2004,"&lt;="&amp;$BC$2))</f>
        <v/>
      </c>
      <c r="Z133" s="25" t="str">
        <f t="shared" si="28"/>
        <v/>
      </c>
      <c r="AA133" s="67" t="str">
        <f>IF(OR($B133="",基础资料!$B$4=""),"",-SUMIFS(对接源_01水果筐数!$D$5:$D$304,对接源_01水果筐数!$B$5:$B$304,$B133,对接源_01水果筐数!$C$5:$C$304,基础资料!$B$4))</f>
        <v/>
      </c>
      <c r="AB133" s="67" t="str">
        <f>IF(OR($B133="",基础资料!$B$5=""),"",-SUMIFS(对接源_01水果筐数!$D$5:$D$304,对接源_01水果筐数!$B$5:$B$304,$B133,对接源_01水果筐数!$C$5:$C$304,基础资料!$B$5))</f>
        <v/>
      </c>
      <c r="AC133" s="67" t="str">
        <f>IF(OR($B133="",基础资料!$B$6=""),"",-SUMIFS(对接源_01水果筐数!$D$5:$D$304,对接源_01水果筐数!$B$5:$B$304,$B133,对接源_01水果筐数!$C$5:$C$304,基础资料!$B$6))</f>
        <v/>
      </c>
      <c r="AD133" s="67" t="str">
        <f>IF(OR($B133="",基础资料!$B$7=""),"",-SUMIFS(对接源_01水果筐数!$D$5:$D$304,对接源_01水果筐数!$B$5:$B$304,$B133,对接源_01水果筐数!$C$5:$C$304,基础资料!$B$7))</f>
        <v/>
      </c>
      <c r="AE133" s="67" t="str">
        <f>IF(OR($B133="",基础资料!$B$8=""),"",-SUMIFS(对接源_01水果筐数!$D$5:$D$304,对接源_01水果筐数!$B$5:$B$304,$B133,对接源_01水果筐数!$C$5:$C$304,基础资料!$B$8))</f>
        <v/>
      </c>
      <c r="AF133" s="25" t="str">
        <f>IF(OR($B133="",基础资料!$B$4=""),"",SUMIFS(对接源_01水果筐数!$E$5:$E$304,对接源_01水果筐数!$B$5:$B$304,$B133,对接源_01水果筐数!$C$5:$C$304,基础资料!$B$4))</f>
        <v/>
      </c>
      <c r="AG133" s="25" t="str">
        <f>IF(OR($B133="",基础资料!$B$5=""),"",SUMIFS(对接源_01水果筐数!$E$5:$E$304,对接源_01水果筐数!$B$5:$B$304,$B133,对接源_01水果筐数!$C$5:$C$304,基础资料!$B$5))</f>
        <v/>
      </c>
      <c r="AH133" s="25" t="str">
        <f>IF(OR($B133="",基础资料!$B$6=""),"",SUMIFS(对接源_01水果筐数!$E$5:$E$304,对接源_01水果筐数!$B$5:$B$304,$B133,对接源_01水果筐数!$C$5:$C$304,基础资料!$B$6))</f>
        <v/>
      </c>
      <c r="AI133" s="25" t="str">
        <f>IF(OR($B133="",基础资料!$B$7=""),"",SUMIFS(对接源_01水果筐数!$E$5:$E$304,对接源_01水果筐数!$B$5:$B$304,$B133,对接源_01水果筐数!$C$5:$C$304,基础资料!$B$7))</f>
        <v/>
      </c>
      <c r="AJ133" s="25" t="str">
        <f>IF(OR($B133="",基础资料!$B$8=""),"",SUMIFS(对接源_01水果筐数!$E$5:$E$304,对接源_01水果筐数!$B$5:$B$304,$B133,对接源_01水果筐数!$C$5:$C$304,基础资料!$B$8))</f>
        <v/>
      </c>
      <c r="AK133" s="25" t="str">
        <f>IF(OR($B133="",基础资料!$B$4=""),"",SUMIFS(对接源_01水果筐数!$F$5:$F$304,对接源_01水果筐数!$B$5:$B$304,$B133,对接源_01水果筐数!$C$5:$C$304,基础资料!$B$4))</f>
        <v/>
      </c>
      <c r="AL133" s="25" t="str">
        <f>IF(OR($B133="",基础资料!$B$5=""),"",SUMIFS(对接源_01水果筐数!$F$5:$F$304,对接源_01水果筐数!$B$5:$B$304,$B133,对接源_01水果筐数!$C$5:$C$304,基础资料!$B$5))</f>
        <v/>
      </c>
      <c r="AM133" s="25" t="str">
        <f>IF(OR($B133="",基础资料!$B$6=""),"",SUMIFS(对接源_01水果筐数!$F$5:$F$304,对接源_01水果筐数!$B$5:$B$304,$B133,对接源_01水果筐数!$C$5:$C$304,基础资料!$B$6))</f>
        <v/>
      </c>
      <c r="AN133" s="25" t="str">
        <f>IF(OR($B133="",基础资料!$B$7=""),"",SUMIFS(对接源_01水果筐数!$F$5:$F$304,对接源_01水果筐数!$B$5:$B$304,$B133,对接源_01水果筐数!$C$5:$C$304,基础资料!$B$7))</f>
        <v/>
      </c>
      <c r="AO133" s="25" t="str">
        <f>IF(OR($B133="",基础资料!$B$8=""),"",SUMIFS(对接源_01水果筐数!$F$5:$F$304,对接源_01水果筐数!$B$5:$B$304,$B133,对接源_01水果筐数!$C$5:$C$304,基础资料!$B$8))</f>
        <v/>
      </c>
      <c r="AP133" s="25" t="str">
        <f t="shared" si="29"/>
        <v/>
      </c>
      <c r="AQ133" s="25" t="str">
        <f t="shared" si="30"/>
        <v/>
      </c>
      <c r="AR133" s="25" t="str">
        <f t="shared" si="31"/>
        <v/>
      </c>
      <c r="AS133" s="25" t="str">
        <f t="shared" si="32"/>
        <v/>
      </c>
      <c r="AT133" s="25" t="str">
        <f t="shared" si="33"/>
        <v/>
      </c>
      <c r="AU133" s="25" t="str">
        <f t="shared" si="34"/>
        <v/>
      </c>
      <c r="AV133" s="24" t="str">
        <f t="shared" si="35"/>
        <v/>
      </c>
      <c r="AW133" s="72"/>
    </row>
    <row r="134" spans="1:49">
      <c r="A134" s="22" t="str">
        <f t="shared" si="24"/>
        <v/>
      </c>
      <c r="B134" s="24" t="str">
        <f>IFERROR(INDEX(_自动清单!$CC$4:$CC$253,ROW()-3),"")</f>
        <v/>
      </c>
      <c r="C134" s="25" t="str">
        <f>IF(OR($B134="",基础资料!$B$4=""),"",SUMIFS(周转筐出入库明细!$J$4:$J$2004,周转筐出入库明细!$C$4:$C$2004,$B134,周转筐出入库明细!$D$4:$D$2004,基础资料!$B$4,周转筐出入库明细!$B$4:$B$2004,"&gt;="&amp;$BC$1,周转筐出入库明细!$B$4:$B$2004,"&lt;="&amp;$BC$2))</f>
        <v/>
      </c>
      <c r="D134" s="25" t="str">
        <f>IF(OR($B134="",基础资料!$B$5=""),"",SUMIFS(周转筐出入库明细!$J$4:$J$2004,周转筐出入库明细!$C$4:$C$2004,$B134,周转筐出入库明细!$D$4:$D$2004,基础资料!$B$5,周转筐出入库明细!$B$4:$B$2004,"&gt;="&amp;$BC$1,周转筐出入库明细!$B$4:$B$2004,"&lt;="&amp;$BC$2))</f>
        <v/>
      </c>
      <c r="E134" s="25" t="str">
        <f>IF(OR($B134="",基础资料!$B$6=""),"",SUMIFS(周转筐出入库明细!$J$4:$J$2004,周转筐出入库明细!$C$4:$C$2004,$B134,周转筐出入库明细!$D$4:$D$2004,基础资料!$B$6,周转筐出入库明细!$B$4:$B$2004,"&gt;="&amp;$BC$1,周转筐出入库明细!$B$4:$B$2004,"&lt;="&amp;$BC$2))</f>
        <v/>
      </c>
      <c r="F134" s="25" t="str">
        <f>IF(OR($B134="",基础资料!$B$7=""),"",SUMIFS(周转筐出入库明细!$J$4:$J$2004,周转筐出入库明细!$C$4:$C$2004,$B134,周转筐出入库明细!$D$4:$D$2004,基础资料!$B$7,周转筐出入库明细!$B$4:$B$2004,"&gt;="&amp;$BC$1,周转筐出入库明细!$B$4:$B$2004,"&lt;="&amp;$BC$2))</f>
        <v/>
      </c>
      <c r="G134" s="25" t="str">
        <f>IF(OR($B134="",基础资料!$B$8=""),"",SUMIFS(周转筐出入库明细!$J$4:$J$2004,周转筐出入库明细!$C$4:$C$2004,$B134,周转筐出入库明细!$D$4:$D$2004,基础资料!$B$8,周转筐出入库明细!$B$4:$B$2004,"&gt;="&amp;$BC$1,周转筐出入库明细!$B$4:$B$2004,"&lt;="&amp;$BC$2))</f>
        <v/>
      </c>
      <c r="H134" s="25" t="str">
        <f t="shared" si="25"/>
        <v/>
      </c>
      <c r="I134" s="67" t="str">
        <f>IF(OR($B134="",基础资料!$B$4=""),"",-SUMIFS(周转筐出入库明细!$I$4:$I$2004,周转筐出入库明细!$C$4:$C$2004,$B134,周转筐出入库明细!$D$4:$D$2004,基础资料!$B$4,周转筐出入库明细!$B$4:$B$2004,"&gt;="&amp;$BC$1,周转筐出入库明细!$B$4:$B$2004,"&lt;="&amp;$BC$2))</f>
        <v/>
      </c>
      <c r="J134" s="67" t="str">
        <f>IF(OR($B134="",基础资料!$B$5=""),"",-SUMIFS(周转筐出入库明细!$I$4:$I$2004,周转筐出入库明细!$C$4:$C$2004,$B134,周转筐出入库明细!$D$4:$D$2004,基础资料!$B$5,周转筐出入库明细!$B$4:$B$2004,"&gt;="&amp;$BC$1,周转筐出入库明细!$B$4:$B$2004,"&lt;="&amp;$BC$2))</f>
        <v/>
      </c>
      <c r="K134" s="67" t="str">
        <f>IF(OR($B134="",基础资料!$B$6=""),"",-SUMIFS(周转筐出入库明细!$I$4:$I$2004,周转筐出入库明细!$C$4:$C$2004,$B134,周转筐出入库明细!$D$4:$D$2004,基础资料!$B$6,周转筐出入库明细!$B$4:$B$2004,"&gt;="&amp;$BC$1,周转筐出入库明细!$B$4:$B$2004,"&lt;="&amp;$BC$2))</f>
        <v/>
      </c>
      <c r="L134" s="67" t="str">
        <f>IF(OR($B134="",基础资料!$B$7=""),"",-SUMIFS(周转筐出入库明细!$I$4:$I$2004,周转筐出入库明细!$C$4:$C$2004,$B134,周转筐出入库明细!$D$4:$D$2004,基础资料!$B$7,周转筐出入库明细!$B$4:$B$2004,"&gt;="&amp;$BC$1,周转筐出入库明细!$B$4:$B$2004,"&lt;="&amp;$BC$2))</f>
        <v/>
      </c>
      <c r="M134" s="67" t="str">
        <f>IF(OR($B134="",基础资料!$B$8=""),"",-SUMIFS(周转筐出入库明细!$I$4:$I$2004,周转筐出入库明细!$C$4:$C$2004,$B134,周转筐出入库明细!$D$4:$D$2004,基础资料!$B$8,周转筐出入库明细!$B$4:$B$2004,"&gt;="&amp;$BC$1,周转筐出入库明细!$B$4:$B$2004,"&lt;="&amp;$BC$2))</f>
        <v/>
      </c>
      <c r="N134" s="67" t="str">
        <f t="shared" si="26"/>
        <v/>
      </c>
      <c r="O134" s="25" t="str">
        <f>IF(OR($B134="",基础资料!$B$4=""),"",SUMIFS(周转筐出入库明细!$H$4:$H$2004,周转筐出入库明细!$C$4:$C$2004,$B134,周转筐出入库明细!$D$4:$D$2004,基础资料!$B$4,周转筐出入库明细!$F$4:$F$2004,"采购入库",周转筐出入库明细!$B$4:$B$2004,"&gt;="&amp;$BC$1,周转筐出入库明细!$B$4:$B$2004,"&lt;="&amp;$BC$2))</f>
        <v/>
      </c>
      <c r="P134" s="25" t="str">
        <f>IF(OR($B134="",基础资料!$B$5=""),"",SUMIFS(周转筐出入库明细!$H$4:$H$2004,周转筐出入库明细!$C$4:$C$2004,$B134,周转筐出入库明细!$D$4:$D$2004,基础资料!$B$5,周转筐出入库明细!$F$4:$F$2004,"采购入库",周转筐出入库明细!$B$4:$B$2004,"&gt;="&amp;$BC$1,周转筐出入库明细!$B$4:$B$2004,"&lt;="&amp;$BC$2))</f>
        <v/>
      </c>
      <c r="Q134" s="25" t="str">
        <f>IF(OR($B134="",基础资料!$B$6=""),"",SUMIFS(周转筐出入库明细!$H$4:$H$2004,周转筐出入库明细!$C$4:$C$2004,$B134,周转筐出入库明细!$D$4:$D$2004,基础资料!$B$6,周转筐出入库明细!$F$4:$F$2004,"采购入库",周转筐出入库明细!$B$4:$B$2004,"&gt;="&amp;$BC$1,周转筐出入库明细!$B$4:$B$2004,"&lt;="&amp;$BC$2))</f>
        <v/>
      </c>
      <c r="R134" s="25" t="str">
        <f>IF(OR($B134="",基础资料!$B$7=""),"",SUMIFS(周转筐出入库明细!$H$4:$H$2004,周转筐出入库明细!$C$4:$C$2004,$B134,周转筐出入库明细!$D$4:$D$2004,基础资料!$B$7,周转筐出入库明细!$F$4:$F$2004,"采购入库",周转筐出入库明细!$B$4:$B$2004,"&gt;="&amp;$BC$1,周转筐出入库明细!$B$4:$B$2004,"&lt;="&amp;$BC$2))</f>
        <v/>
      </c>
      <c r="S134" s="25" t="str">
        <f>IF(OR($B134="",基础资料!$B$8=""),"",SUMIFS(周转筐出入库明细!$H$4:$H$2004,周转筐出入库明细!$C$4:$C$2004,$B134,周转筐出入库明细!$D$4:$D$2004,基础资料!$B$8,周转筐出入库明细!$F$4:$F$2004,"采购入库",周转筐出入库明细!$B$4:$B$2004,"&gt;="&amp;$BC$1,周转筐出入库明细!$B$4:$B$2004,"&lt;="&amp;$BC$2))</f>
        <v/>
      </c>
      <c r="T134" s="25" t="str">
        <f t="shared" si="27"/>
        <v/>
      </c>
      <c r="U134" s="25" t="str">
        <f>IF(OR($B134="",基础资料!$B$4=""),"",SUMIFS(周转筐出入库明细!$K$4:$K$2004,周转筐出入库明细!$C$4:$C$2004,$B134,周转筐出入库明细!$D$4:$D$2004,基础资料!$B$4,周转筐出入库明细!$B$4:$B$2004,"&gt;="&amp;$BC$1,周转筐出入库明细!$B$4:$B$2004,"&lt;="&amp;$BC$2))</f>
        <v/>
      </c>
      <c r="V134" s="25" t="str">
        <f>IF(OR($B134="",基础资料!$B$5=""),"",SUMIFS(周转筐出入库明细!$K$4:$K$2004,周转筐出入库明细!$C$4:$C$2004,$B134,周转筐出入库明细!$D$4:$D$2004,基础资料!$B$5,周转筐出入库明细!$B$4:$B$2004,"&gt;="&amp;$BC$1,周转筐出入库明细!$B$4:$B$2004,"&lt;="&amp;$BC$2))</f>
        <v/>
      </c>
      <c r="W134" s="25" t="str">
        <f>IF(OR($B134="",基础资料!$B$6=""),"",SUMIFS(周转筐出入库明细!$K$4:$K$2004,周转筐出入库明细!$C$4:$C$2004,$B134,周转筐出入库明细!$D$4:$D$2004,基础资料!$B$6,周转筐出入库明细!$B$4:$B$2004,"&gt;="&amp;$BC$1,周转筐出入库明细!$B$4:$B$2004,"&lt;="&amp;$BC$2))</f>
        <v/>
      </c>
      <c r="X134" s="25" t="str">
        <f>IF(OR($B134="",基础资料!$B$7=""),"",SUMIFS(周转筐出入库明细!$K$4:$K$2004,周转筐出入库明细!$C$4:$C$2004,$B134,周转筐出入库明细!$D$4:$D$2004,基础资料!$B$7,周转筐出入库明细!$B$4:$B$2004,"&gt;="&amp;$BC$1,周转筐出入库明细!$B$4:$B$2004,"&lt;="&amp;$BC$2))</f>
        <v/>
      </c>
      <c r="Y134" s="25" t="str">
        <f>IF(OR($B134="",基础资料!$B$8=""),"",SUMIFS(周转筐出入库明细!$K$4:$K$2004,周转筐出入库明细!$C$4:$C$2004,$B134,周转筐出入库明细!$D$4:$D$2004,基础资料!$B$8,周转筐出入库明细!$B$4:$B$2004,"&gt;="&amp;$BC$1,周转筐出入库明细!$B$4:$B$2004,"&lt;="&amp;$BC$2))</f>
        <v/>
      </c>
      <c r="Z134" s="25" t="str">
        <f t="shared" si="28"/>
        <v/>
      </c>
      <c r="AA134" s="67" t="str">
        <f>IF(OR($B134="",基础资料!$B$4=""),"",-SUMIFS(对接源_01水果筐数!$D$5:$D$304,对接源_01水果筐数!$B$5:$B$304,$B134,对接源_01水果筐数!$C$5:$C$304,基础资料!$B$4))</f>
        <v/>
      </c>
      <c r="AB134" s="67" t="str">
        <f>IF(OR($B134="",基础资料!$B$5=""),"",-SUMIFS(对接源_01水果筐数!$D$5:$D$304,对接源_01水果筐数!$B$5:$B$304,$B134,对接源_01水果筐数!$C$5:$C$304,基础资料!$B$5))</f>
        <v/>
      </c>
      <c r="AC134" s="67" t="str">
        <f>IF(OR($B134="",基础资料!$B$6=""),"",-SUMIFS(对接源_01水果筐数!$D$5:$D$304,对接源_01水果筐数!$B$5:$B$304,$B134,对接源_01水果筐数!$C$5:$C$304,基础资料!$B$6))</f>
        <v/>
      </c>
      <c r="AD134" s="67" t="str">
        <f>IF(OR($B134="",基础资料!$B$7=""),"",-SUMIFS(对接源_01水果筐数!$D$5:$D$304,对接源_01水果筐数!$B$5:$B$304,$B134,对接源_01水果筐数!$C$5:$C$304,基础资料!$B$7))</f>
        <v/>
      </c>
      <c r="AE134" s="67" t="str">
        <f>IF(OR($B134="",基础资料!$B$8=""),"",-SUMIFS(对接源_01水果筐数!$D$5:$D$304,对接源_01水果筐数!$B$5:$B$304,$B134,对接源_01水果筐数!$C$5:$C$304,基础资料!$B$8))</f>
        <v/>
      </c>
      <c r="AF134" s="25" t="str">
        <f>IF(OR($B134="",基础资料!$B$4=""),"",SUMIFS(对接源_01水果筐数!$E$5:$E$304,对接源_01水果筐数!$B$5:$B$304,$B134,对接源_01水果筐数!$C$5:$C$304,基础资料!$B$4))</f>
        <v/>
      </c>
      <c r="AG134" s="25" t="str">
        <f>IF(OR($B134="",基础资料!$B$5=""),"",SUMIFS(对接源_01水果筐数!$E$5:$E$304,对接源_01水果筐数!$B$5:$B$304,$B134,对接源_01水果筐数!$C$5:$C$304,基础资料!$B$5))</f>
        <v/>
      </c>
      <c r="AH134" s="25" t="str">
        <f>IF(OR($B134="",基础资料!$B$6=""),"",SUMIFS(对接源_01水果筐数!$E$5:$E$304,对接源_01水果筐数!$B$5:$B$304,$B134,对接源_01水果筐数!$C$5:$C$304,基础资料!$B$6))</f>
        <v/>
      </c>
      <c r="AI134" s="25" t="str">
        <f>IF(OR($B134="",基础资料!$B$7=""),"",SUMIFS(对接源_01水果筐数!$E$5:$E$304,对接源_01水果筐数!$B$5:$B$304,$B134,对接源_01水果筐数!$C$5:$C$304,基础资料!$B$7))</f>
        <v/>
      </c>
      <c r="AJ134" s="25" t="str">
        <f>IF(OR($B134="",基础资料!$B$8=""),"",SUMIFS(对接源_01水果筐数!$E$5:$E$304,对接源_01水果筐数!$B$5:$B$304,$B134,对接源_01水果筐数!$C$5:$C$304,基础资料!$B$8))</f>
        <v/>
      </c>
      <c r="AK134" s="25" t="str">
        <f>IF(OR($B134="",基础资料!$B$4=""),"",SUMIFS(对接源_01水果筐数!$F$5:$F$304,对接源_01水果筐数!$B$5:$B$304,$B134,对接源_01水果筐数!$C$5:$C$304,基础资料!$B$4))</f>
        <v/>
      </c>
      <c r="AL134" s="25" t="str">
        <f>IF(OR($B134="",基础资料!$B$5=""),"",SUMIFS(对接源_01水果筐数!$F$5:$F$304,对接源_01水果筐数!$B$5:$B$304,$B134,对接源_01水果筐数!$C$5:$C$304,基础资料!$B$5))</f>
        <v/>
      </c>
      <c r="AM134" s="25" t="str">
        <f>IF(OR($B134="",基础资料!$B$6=""),"",SUMIFS(对接源_01水果筐数!$F$5:$F$304,对接源_01水果筐数!$B$5:$B$304,$B134,对接源_01水果筐数!$C$5:$C$304,基础资料!$B$6))</f>
        <v/>
      </c>
      <c r="AN134" s="25" t="str">
        <f>IF(OR($B134="",基础资料!$B$7=""),"",SUMIFS(对接源_01水果筐数!$F$5:$F$304,对接源_01水果筐数!$B$5:$B$304,$B134,对接源_01水果筐数!$C$5:$C$304,基础资料!$B$7))</f>
        <v/>
      </c>
      <c r="AO134" s="25" t="str">
        <f>IF(OR($B134="",基础资料!$B$8=""),"",SUMIFS(对接源_01水果筐数!$F$5:$F$304,对接源_01水果筐数!$B$5:$B$304,$B134,对接源_01水果筐数!$C$5:$C$304,基础资料!$B$8))</f>
        <v/>
      </c>
      <c r="AP134" s="25" t="str">
        <f t="shared" si="29"/>
        <v/>
      </c>
      <c r="AQ134" s="25" t="str">
        <f t="shared" si="30"/>
        <v/>
      </c>
      <c r="AR134" s="25" t="str">
        <f t="shared" si="31"/>
        <v/>
      </c>
      <c r="AS134" s="25" t="str">
        <f t="shared" si="32"/>
        <v/>
      </c>
      <c r="AT134" s="25" t="str">
        <f t="shared" si="33"/>
        <v/>
      </c>
      <c r="AU134" s="25" t="str">
        <f t="shared" si="34"/>
        <v/>
      </c>
      <c r="AV134" s="24" t="str">
        <f t="shared" si="35"/>
        <v/>
      </c>
      <c r="AW134" s="72"/>
    </row>
    <row r="135" spans="1:49">
      <c r="A135" s="22" t="str">
        <f t="shared" si="24"/>
        <v/>
      </c>
      <c r="B135" s="24" t="str">
        <f>IFERROR(INDEX(_自动清单!$CC$4:$CC$253,ROW()-3),"")</f>
        <v/>
      </c>
      <c r="C135" s="25" t="str">
        <f>IF(OR($B135="",基础资料!$B$4=""),"",SUMIFS(周转筐出入库明细!$J$4:$J$2004,周转筐出入库明细!$C$4:$C$2004,$B135,周转筐出入库明细!$D$4:$D$2004,基础资料!$B$4,周转筐出入库明细!$B$4:$B$2004,"&gt;="&amp;$BC$1,周转筐出入库明细!$B$4:$B$2004,"&lt;="&amp;$BC$2))</f>
        <v/>
      </c>
      <c r="D135" s="25" t="str">
        <f>IF(OR($B135="",基础资料!$B$5=""),"",SUMIFS(周转筐出入库明细!$J$4:$J$2004,周转筐出入库明细!$C$4:$C$2004,$B135,周转筐出入库明细!$D$4:$D$2004,基础资料!$B$5,周转筐出入库明细!$B$4:$B$2004,"&gt;="&amp;$BC$1,周转筐出入库明细!$B$4:$B$2004,"&lt;="&amp;$BC$2))</f>
        <v/>
      </c>
      <c r="E135" s="25" t="str">
        <f>IF(OR($B135="",基础资料!$B$6=""),"",SUMIFS(周转筐出入库明细!$J$4:$J$2004,周转筐出入库明细!$C$4:$C$2004,$B135,周转筐出入库明细!$D$4:$D$2004,基础资料!$B$6,周转筐出入库明细!$B$4:$B$2004,"&gt;="&amp;$BC$1,周转筐出入库明细!$B$4:$B$2004,"&lt;="&amp;$BC$2))</f>
        <v/>
      </c>
      <c r="F135" s="25" t="str">
        <f>IF(OR($B135="",基础资料!$B$7=""),"",SUMIFS(周转筐出入库明细!$J$4:$J$2004,周转筐出入库明细!$C$4:$C$2004,$B135,周转筐出入库明细!$D$4:$D$2004,基础资料!$B$7,周转筐出入库明细!$B$4:$B$2004,"&gt;="&amp;$BC$1,周转筐出入库明细!$B$4:$B$2004,"&lt;="&amp;$BC$2))</f>
        <v/>
      </c>
      <c r="G135" s="25" t="str">
        <f>IF(OR($B135="",基础资料!$B$8=""),"",SUMIFS(周转筐出入库明细!$J$4:$J$2004,周转筐出入库明细!$C$4:$C$2004,$B135,周转筐出入库明细!$D$4:$D$2004,基础资料!$B$8,周转筐出入库明细!$B$4:$B$2004,"&gt;="&amp;$BC$1,周转筐出入库明细!$B$4:$B$2004,"&lt;="&amp;$BC$2))</f>
        <v/>
      </c>
      <c r="H135" s="25" t="str">
        <f t="shared" si="25"/>
        <v/>
      </c>
      <c r="I135" s="67" t="str">
        <f>IF(OR($B135="",基础资料!$B$4=""),"",-SUMIFS(周转筐出入库明细!$I$4:$I$2004,周转筐出入库明细!$C$4:$C$2004,$B135,周转筐出入库明细!$D$4:$D$2004,基础资料!$B$4,周转筐出入库明细!$B$4:$B$2004,"&gt;="&amp;$BC$1,周转筐出入库明细!$B$4:$B$2004,"&lt;="&amp;$BC$2))</f>
        <v/>
      </c>
      <c r="J135" s="67" t="str">
        <f>IF(OR($B135="",基础资料!$B$5=""),"",-SUMIFS(周转筐出入库明细!$I$4:$I$2004,周转筐出入库明细!$C$4:$C$2004,$B135,周转筐出入库明细!$D$4:$D$2004,基础资料!$B$5,周转筐出入库明细!$B$4:$B$2004,"&gt;="&amp;$BC$1,周转筐出入库明细!$B$4:$B$2004,"&lt;="&amp;$BC$2))</f>
        <v/>
      </c>
      <c r="K135" s="67" t="str">
        <f>IF(OR($B135="",基础资料!$B$6=""),"",-SUMIFS(周转筐出入库明细!$I$4:$I$2004,周转筐出入库明细!$C$4:$C$2004,$B135,周转筐出入库明细!$D$4:$D$2004,基础资料!$B$6,周转筐出入库明细!$B$4:$B$2004,"&gt;="&amp;$BC$1,周转筐出入库明细!$B$4:$B$2004,"&lt;="&amp;$BC$2))</f>
        <v/>
      </c>
      <c r="L135" s="67" t="str">
        <f>IF(OR($B135="",基础资料!$B$7=""),"",-SUMIFS(周转筐出入库明细!$I$4:$I$2004,周转筐出入库明细!$C$4:$C$2004,$B135,周转筐出入库明细!$D$4:$D$2004,基础资料!$B$7,周转筐出入库明细!$B$4:$B$2004,"&gt;="&amp;$BC$1,周转筐出入库明细!$B$4:$B$2004,"&lt;="&amp;$BC$2))</f>
        <v/>
      </c>
      <c r="M135" s="67" t="str">
        <f>IF(OR($B135="",基础资料!$B$8=""),"",-SUMIFS(周转筐出入库明细!$I$4:$I$2004,周转筐出入库明细!$C$4:$C$2004,$B135,周转筐出入库明细!$D$4:$D$2004,基础资料!$B$8,周转筐出入库明细!$B$4:$B$2004,"&gt;="&amp;$BC$1,周转筐出入库明细!$B$4:$B$2004,"&lt;="&amp;$BC$2))</f>
        <v/>
      </c>
      <c r="N135" s="67" t="str">
        <f t="shared" si="26"/>
        <v/>
      </c>
      <c r="O135" s="25" t="str">
        <f>IF(OR($B135="",基础资料!$B$4=""),"",SUMIFS(周转筐出入库明细!$H$4:$H$2004,周转筐出入库明细!$C$4:$C$2004,$B135,周转筐出入库明细!$D$4:$D$2004,基础资料!$B$4,周转筐出入库明细!$F$4:$F$2004,"采购入库",周转筐出入库明细!$B$4:$B$2004,"&gt;="&amp;$BC$1,周转筐出入库明细!$B$4:$B$2004,"&lt;="&amp;$BC$2))</f>
        <v/>
      </c>
      <c r="P135" s="25" t="str">
        <f>IF(OR($B135="",基础资料!$B$5=""),"",SUMIFS(周转筐出入库明细!$H$4:$H$2004,周转筐出入库明细!$C$4:$C$2004,$B135,周转筐出入库明细!$D$4:$D$2004,基础资料!$B$5,周转筐出入库明细!$F$4:$F$2004,"采购入库",周转筐出入库明细!$B$4:$B$2004,"&gt;="&amp;$BC$1,周转筐出入库明细!$B$4:$B$2004,"&lt;="&amp;$BC$2))</f>
        <v/>
      </c>
      <c r="Q135" s="25" t="str">
        <f>IF(OR($B135="",基础资料!$B$6=""),"",SUMIFS(周转筐出入库明细!$H$4:$H$2004,周转筐出入库明细!$C$4:$C$2004,$B135,周转筐出入库明细!$D$4:$D$2004,基础资料!$B$6,周转筐出入库明细!$F$4:$F$2004,"采购入库",周转筐出入库明细!$B$4:$B$2004,"&gt;="&amp;$BC$1,周转筐出入库明细!$B$4:$B$2004,"&lt;="&amp;$BC$2))</f>
        <v/>
      </c>
      <c r="R135" s="25" t="str">
        <f>IF(OR($B135="",基础资料!$B$7=""),"",SUMIFS(周转筐出入库明细!$H$4:$H$2004,周转筐出入库明细!$C$4:$C$2004,$B135,周转筐出入库明细!$D$4:$D$2004,基础资料!$B$7,周转筐出入库明细!$F$4:$F$2004,"采购入库",周转筐出入库明细!$B$4:$B$2004,"&gt;="&amp;$BC$1,周转筐出入库明细!$B$4:$B$2004,"&lt;="&amp;$BC$2))</f>
        <v/>
      </c>
      <c r="S135" s="25" t="str">
        <f>IF(OR($B135="",基础资料!$B$8=""),"",SUMIFS(周转筐出入库明细!$H$4:$H$2004,周转筐出入库明细!$C$4:$C$2004,$B135,周转筐出入库明细!$D$4:$D$2004,基础资料!$B$8,周转筐出入库明细!$F$4:$F$2004,"采购入库",周转筐出入库明细!$B$4:$B$2004,"&gt;="&amp;$BC$1,周转筐出入库明细!$B$4:$B$2004,"&lt;="&amp;$BC$2))</f>
        <v/>
      </c>
      <c r="T135" s="25" t="str">
        <f t="shared" si="27"/>
        <v/>
      </c>
      <c r="U135" s="25" t="str">
        <f>IF(OR($B135="",基础资料!$B$4=""),"",SUMIFS(周转筐出入库明细!$K$4:$K$2004,周转筐出入库明细!$C$4:$C$2004,$B135,周转筐出入库明细!$D$4:$D$2004,基础资料!$B$4,周转筐出入库明细!$B$4:$B$2004,"&gt;="&amp;$BC$1,周转筐出入库明细!$B$4:$B$2004,"&lt;="&amp;$BC$2))</f>
        <v/>
      </c>
      <c r="V135" s="25" t="str">
        <f>IF(OR($B135="",基础资料!$B$5=""),"",SUMIFS(周转筐出入库明细!$K$4:$K$2004,周转筐出入库明细!$C$4:$C$2004,$B135,周转筐出入库明细!$D$4:$D$2004,基础资料!$B$5,周转筐出入库明细!$B$4:$B$2004,"&gt;="&amp;$BC$1,周转筐出入库明细!$B$4:$B$2004,"&lt;="&amp;$BC$2))</f>
        <v/>
      </c>
      <c r="W135" s="25" t="str">
        <f>IF(OR($B135="",基础资料!$B$6=""),"",SUMIFS(周转筐出入库明细!$K$4:$K$2004,周转筐出入库明细!$C$4:$C$2004,$B135,周转筐出入库明细!$D$4:$D$2004,基础资料!$B$6,周转筐出入库明细!$B$4:$B$2004,"&gt;="&amp;$BC$1,周转筐出入库明细!$B$4:$B$2004,"&lt;="&amp;$BC$2))</f>
        <v/>
      </c>
      <c r="X135" s="25" t="str">
        <f>IF(OR($B135="",基础资料!$B$7=""),"",SUMIFS(周转筐出入库明细!$K$4:$K$2004,周转筐出入库明细!$C$4:$C$2004,$B135,周转筐出入库明细!$D$4:$D$2004,基础资料!$B$7,周转筐出入库明细!$B$4:$B$2004,"&gt;="&amp;$BC$1,周转筐出入库明细!$B$4:$B$2004,"&lt;="&amp;$BC$2))</f>
        <v/>
      </c>
      <c r="Y135" s="25" t="str">
        <f>IF(OR($B135="",基础资料!$B$8=""),"",SUMIFS(周转筐出入库明细!$K$4:$K$2004,周转筐出入库明细!$C$4:$C$2004,$B135,周转筐出入库明细!$D$4:$D$2004,基础资料!$B$8,周转筐出入库明细!$B$4:$B$2004,"&gt;="&amp;$BC$1,周转筐出入库明细!$B$4:$B$2004,"&lt;="&amp;$BC$2))</f>
        <v/>
      </c>
      <c r="Z135" s="25" t="str">
        <f t="shared" si="28"/>
        <v/>
      </c>
      <c r="AA135" s="67" t="str">
        <f>IF(OR($B135="",基础资料!$B$4=""),"",-SUMIFS(对接源_01水果筐数!$D$5:$D$304,对接源_01水果筐数!$B$5:$B$304,$B135,对接源_01水果筐数!$C$5:$C$304,基础资料!$B$4))</f>
        <v/>
      </c>
      <c r="AB135" s="67" t="str">
        <f>IF(OR($B135="",基础资料!$B$5=""),"",-SUMIFS(对接源_01水果筐数!$D$5:$D$304,对接源_01水果筐数!$B$5:$B$304,$B135,对接源_01水果筐数!$C$5:$C$304,基础资料!$B$5))</f>
        <v/>
      </c>
      <c r="AC135" s="67" t="str">
        <f>IF(OR($B135="",基础资料!$B$6=""),"",-SUMIFS(对接源_01水果筐数!$D$5:$D$304,对接源_01水果筐数!$B$5:$B$304,$B135,对接源_01水果筐数!$C$5:$C$304,基础资料!$B$6))</f>
        <v/>
      </c>
      <c r="AD135" s="67" t="str">
        <f>IF(OR($B135="",基础资料!$B$7=""),"",-SUMIFS(对接源_01水果筐数!$D$5:$D$304,对接源_01水果筐数!$B$5:$B$304,$B135,对接源_01水果筐数!$C$5:$C$304,基础资料!$B$7))</f>
        <v/>
      </c>
      <c r="AE135" s="67" t="str">
        <f>IF(OR($B135="",基础资料!$B$8=""),"",-SUMIFS(对接源_01水果筐数!$D$5:$D$304,对接源_01水果筐数!$B$5:$B$304,$B135,对接源_01水果筐数!$C$5:$C$304,基础资料!$B$8))</f>
        <v/>
      </c>
      <c r="AF135" s="25" t="str">
        <f>IF(OR($B135="",基础资料!$B$4=""),"",SUMIFS(对接源_01水果筐数!$E$5:$E$304,对接源_01水果筐数!$B$5:$B$304,$B135,对接源_01水果筐数!$C$5:$C$304,基础资料!$B$4))</f>
        <v/>
      </c>
      <c r="AG135" s="25" t="str">
        <f>IF(OR($B135="",基础资料!$B$5=""),"",SUMIFS(对接源_01水果筐数!$E$5:$E$304,对接源_01水果筐数!$B$5:$B$304,$B135,对接源_01水果筐数!$C$5:$C$304,基础资料!$B$5))</f>
        <v/>
      </c>
      <c r="AH135" s="25" t="str">
        <f>IF(OR($B135="",基础资料!$B$6=""),"",SUMIFS(对接源_01水果筐数!$E$5:$E$304,对接源_01水果筐数!$B$5:$B$304,$B135,对接源_01水果筐数!$C$5:$C$304,基础资料!$B$6))</f>
        <v/>
      </c>
      <c r="AI135" s="25" t="str">
        <f>IF(OR($B135="",基础资料!$B$7=""),"",SUMIFS(对接源_01水果筐数!$E$5:$E$304,对接源_01水果筐数!$B$5:$B$304,$B135,对接源_01水果筐数!$C$5:$C$304,基础资料!$B$7))</f>
        <v/>
      </c>
      <c r="AJ135" s="25" t="str">
        <f>IF(OR($B135="",基础资料!$B$8=""),"",SUMIFS(对接源_01水果筐数!$E$5:$E$304,对接源_01水果筐数!$B$5:$B$304,$B135,对接源_01水果筐数!$C$5:$C$304,基础资料!$B$8))</f>
        <v/>
      </c>
      <c r="AK135" s="25" t="str">
        <f>IF(OR($B135="",基础资料!$B$4=""),"",SUMIFS(对接源_01水果筐数!$F$5:$F$304,对接源_01水果筐数!$B$5:$B$304,$B135,对接源_01水果筐数!$C$5:$C$304,基础资料!$B$4))</f>
        <v/>
      </c>
      <c r="AL135" s="25" t="str">
        <f>IF(OR($B135="",基础资料!$B$5=""),"",SUMIFS(对接源_01水果筐数!$F$5:$F$304,对接源_01水果筐数!$B$5:$B$304,$B135,对接源_01水果筐数!$C$5:$C$304,基础资料!$B$5))</f>
        <v/>
      </c>
      <c r="AM135" s="25" t="str">
        <f>IF(OR($B135="",基础资料!$B$6=""),"",SUMIFS(对接源_01水果筐数!$F$5:$F$304,对接源_01水果筐数!$B$5:$B$304,$B135,对接源_01水果筐数!$C$5:$C$304,基础资料!$B$6))</f>
        <v/>
      </c>
      <c r="AN135" s="25" t="str">
        <f>IF(OR($B135="",基础资料!$B$7=""),"",SUMIFS(对接源_01水果筐数!$F$5:$F$304,对接源_01水果筐数!$B$5:$B$304,$B135,对接源_01水果筐数!$C$5:$C$304,基础资料!$B$7))</f>
        <v/>
      </c>
      <c r="AO135" s="25" t="str">
        <f>IF(OR($B135="",基础资料!$B$8=""),"",SUMIFS(对接源_01水果筐数!$F$5:$F$304,对接源_01水果筐数!$B$5:$B$304,$B135,对接源_01水果筐数!$C$5:$C$304,基础资料!$B$8))</f>
        <v/>
      </c>
      <c r="AP135" s="25" t="str">
        <f t="shared" si="29"/>
        <v/>
      </c>
      <c r="AQ135" s="25" t="str">
        <f t="shared" si="30"/>
        <v/>
      </c>
      <c r="AR135" s="25" t="str">
        <f t="shared" si="31"/>
        <v/>
      </c>
      <c r="AS135" s="25" t="str">
        <f t="shared" si="32"/>
        <v/>
      </c>
      <c r="AT135" s="25" t="str">
        <f t="shared" si="33"/>
        <v/>
      </c>
      <c r="AU135" s="25" t="str">
        <f t="shared" si="34"/>
        <v/>
      </c>
      <c r="AV135" s="24" t="str">
        <f t="shared" si="35"/>
        <v/>
      </c>
      <c r="AW135" s="72"/>
    </row>
    <row r="136" spans="1:49">
      <c r="A136" s="22" t="str">
        <f t="shared" si="24"/>
        <v/>
      </c>
      <c r="B136" s="24" t="str">
        <f>IFERROR(INDEX(_自动清单!$CC$4:$CC$253,ROW()-3),"")</f>
        <v/>
      </c>
      <c r="C136" s="25" t="str">
        <f>IF(OR($B136="",基础资料!$B$4=""),"",SUMIFS(周转筐出入库明细!$J$4:$J$2004,周转筐出入库明细!$C$4:$C$2004,$B136,周转筐出入库明细!$D$4:$D$2004,基础资料!$B$4,周转筐出入库明细!$B$4:$B$2004,"&gt;="&amp;$BC$1,周转筐出入库明细!$B$4:$B$2004,"&lt;="&amp;$BC$2))</f>
        <v/>
      </c>
      <c r="D136" s="25" t="str">
        <f>IF(OR($B136="",基础资料!$B$5=""),"",SUMIFS(周转筐出入库明细!$J$4:$J$2004,周转筐出入库明细!$C$4:$C$2004,$B136,周转筐出入库明细!$D$4:$D$2004,基础资料!$B$5,周转筐出入库明细!$B$4:$B$2004,"&gt;="&amp;$BC$1,周转筐出入库明细!$B$4:$B$2004,"&lt;="&amp;$BC$2))</f>
        <v/>
      </c>
      <c r="E136" s="25" t="str">
        <f>IF(OR($B136="",基础资料!$B$6=""),"",SUMIFS(周转筐出入库明细!$J$4:$J$2004,周转筐出入库明细!$C$4:$C$2004,$B136,周转筐出入库明细!$D$4:$D$2004,基础资料!$B$6,周转筐出入库明细!$B$4:$B$2004,"&gt;="&amp;$BC$1,周转筐出入库明细!$B$4:$B$2004,"&lt;="&amp;$BC$2))</f>
        <v/>
      </c>
      <c r="F136" s="25" t="str">
        <f>IF(OR($B136="",基础资料!$B$7=""),"",SUMIFS(周转筐出入库明细!$J$4:$J$2004,周转筐出入库明细!$C$4:$C$2004,$B136,周转筐出入库明细!$D$4:$D$2004,基础资料!$B$7,周转筐出入库明细!$B$4:$B$2004,"&gt;="&amp;$BC$1,周转筐出入库明细!$B$4:$B$2004,"&lt;="&amp;$BC$2))</f>
        <v/>
      </c>
      <c r="G136" s="25" t="str">
        <f>IF(OR($B136="",基础资料!$B$8=""),"",SUMIFS(周转筐出入库明细!$J$4:$J$2004,周转筐出入库明细!$C$4:$C$2004,$B136,周转筐出入库明细!$D$4:$D$2004,基础资料!$B$8,周转筐出入库明细!$B$4:$B$2004,"&gt;="&amp;$BC$1,周转筐出入库明细!$B$4:$B$2004,"&lt;="&amp;$BC$2))</f>
        <v/>
      </c>
      <c r="H136" s="25" t="str">
        <f t="shared" si="25"/>
        <v/>
      </c>
      <c r="I136" s="67" t="str">
        <f>IF(OR($B136="",基础资料!$B$4=""),"",-SUMIFS(周转筐出入库明细!$I$4:$I$2004,周转筐出入库明细!$C$4:$C$2004,$B136,周转筐出入库明细!$D$4:$D$2004,基础资料!$B$4,周转筐出入库明细!$B$4:$B$2004,"&gt;="&amp;$BC$1,周转筐出入库明细!$B$4:$B$2004,"&lt;="&amp;$BC$2))</f>
        <v/>
      </c>
      <c r="J136" s="67" t="str">
        <f>IF(OR($B136="",基础资料!$B$5=""),"",-SUMIFS(周转筐出入库明细!$I$4:$I$2004,周转筐出入库明细!$C$4:$C$2004,$B136,周转筐出入库明细!$D$4:$D$2004,基础资料!$B$5,周转筐出入库明细!$B$4:$B$2004,"&gt;="&amp;$BC$1,周转筐出入库明细!$B$4:$B$2004,"&lt;="&amp;$BC$2))</f>
        <v/>
      </c>
      <c r="K136" s="67" t="str">
        <f>IF(OR($B136="",基础资料!$B$6=""),"",-SUMIFS(周转筐出入库明细!$I$4:$I$2004,周转筐出入库明细!$C$4:$C$2004,$B136,周转筐出入库明细!$D$4:$D$2004,基础资料!$B$6,周转筐出入库明细!$B$4:$B$2004,"&gt;="&amp;$BC$1,周转筐出入库明细!$B$4:$B$2004,"&lt;="&amp;$BC$2))</f>
        <v/>
      </c>
      <c r="L136" s="67" t="str">
        <f>IF(OR($B136="",基础资料!$B$7=""),"",-SUMIFS(周转筐出入库明细!$I$4:$I$2004,周转筐出入库明细!$C$4:$C$2004,$B136,周转筐出入库明细!$D$4:$D$2004,基础资料!$B$7,周转筐出入库明细!$B$4:$B$2004,"&gt;="&amp;$BC$1,周转筐出入库明细!$B$4:$B$2004,"&lt;="&amp;$BC$2))</f>
        <v/>
      </c>
      <c r="M136" s="67" t="str">
        <f>IF(OR($B136="",基础资料!$B$8=""),"",-SUMIFS(周转筐出入库明细!$I$4:$I$2004,周转筐出入库明细!$C$4:$C$2004,$B136,周转筐出入库明细!$D$4:$D$2004,基础资料!$B$8,周转筐出入库明细!$B$4:$B$2004,"&gt;="&amp;$BC$1,周转筐出入库明细!$B$4:$B$2004,"&lt;="&amp;$BC$2))</f>
        <v/>
      </c>
      <c r="N136" s="67" t="str">
        <f t="shared" si="26"/>
        <v/>
      </c>
      <c r="O136" s="25" t="str">
        <f>IF(OR($B136="",基础资料!$B$4=""),"",SUMIFS(周转筐出入库明细!$H$4:$H$2004,周转筐出入库明细!$C$4:$C$2004,$B136,周转筐出入库明细!$D$4:$D$2004,基础资料!$B$4,周转筐出入库明细!$F$4:$F$2004,"采购入库",周转筐出入库明细!$B$4:$B$2004,"&gt;="&amp;$BC$1,周转筐出入库明细!$B$4:$B$2004,"&lt;="&amp;$BC$2))</f>
        <v/>
      </c>
      <c r="P136" s="25" t="str">
        <f>IF(OR($B136="",基础资料!$B$5=""),"",SUMIFS(周转筐出入库明细!$H$4:$H$2004,周转筐出入库明细!$C$4:$C$2004,$B136,周转筐出入库明细!$D$4:$D$2004,基础资料!$B$5,周转筐出入库明细!$F$4:$F$2004,"采购入库",周转筐出入库明细!$B$4:$B$2004,"&gt;="&amp;$BC$1,周转筐出入库明细!$B$4:$B$2004,"&lt;="&amp;$BC$2))</f>
        <v/>
      </c>
      <c r="Q136" s="25" t="str">
        <f>IF(OR($B136="",基础资料!$B$6=""),"",SUMIFS(周转筐出入库明细!$H$4:$H$2004,周转筐出入库明细!$C$4:$C$2004,$B136,周转筐出入库明细!$D$4:$D$2004,基础资料!$B$6,周转筐出入库明细!$F$4:$F$2004,"采购入库",周转筐出入库明细!$B$4:$B$2004,"&gt;="&amp;$BC$1,周转筐出入库明细!$B$4:$B$2004,"&lt;="&amp;$BC$2))</f>
        <v/>
      </c>
      <c r="R136" s="25" t="str">
        <f>IF(OR($B136="",基础资料!$B$7=""),"",SUMIFS(周转筐出入库明细!$H$4:$H$2004,周转筐出入库明细!$C$4:$C$2004,$B136,周转筐出入库明细!$D$4:$D$2004,基础资料!$B$7,周转筐出入库明细!$F$4:$F$2004,"采购入库",周转筐出入库明细!$B$4:$B$2004,"&gt;="&amp;$BC$1,周转筐出入库明细!$B$4:$B$2004,"&lt;="&amp;$BC$2))</f>
        <v/>
      </c>
      <c r="S136" s="25" t="str">
        <f>IF(OR($B136="",基础资料!$B$8=""),"",SUMIFS(周转筐出入库明细!$H$4:$H$2004,周转筐出入库明细!$C$4:$C$2004,$B136,周转筐出入库明细!$D$4:$D$2004,基础资料!$B$8,周转筐出入库明细!$F$4:$F$2004,"采购入库",周转筐出入库明细!$B$4:$B$2004,"&gt;="&amp;$BC$1,周转筐出入库明细!$B$4:$B$2004,"&lt;="&amp;$BC$2))</f>
        <v/>
      </c>
      <c r="T136" s="25" t="str">
        <f t="shared" si="27"/>
        <v/>
      </c>
      <c r="U136" s="25" t="str">
        <f>IF(OR($B136="",基础资料!$B$4=""),"",SUMIFS(周转筐出入库明细!$K$4:$K$2004,周转筐出入库明细!$C$4:$C$2004,$B136,周转筐出入库明细!$D$4:$D$2004,基础资料!$B$4,周转筐出入库明细!$B$4:$B$2004,"&gt;="&amp;$BC$1,周转筐出入库明细!$B$4:$B$2004,"&lt;="&amp;$BC$2))</f>
        <v/>
      </c>
      <c r="V136" s="25" t="str">
        <f>IF(OR($B136="",基础资料!$B$5=""),"",SUMIFS(周转筐出入库明细!$K$4:$K$2004,周转筐出入库明细!$C$4:$C$2004,$B136,周转筐出入库明细!$D$4:$D$2004,基础资料!$B$5,周转筐出入库明细!$B$4:$B$2004,"&gt;="&amp;$BC$1,周转筐出入库明细!$B$4:$B$2004,"&lt;="&amp;$BC$2))</f>
        <v/>
      </c>
      <c r="W136" s="25" t="str">
        <f>IF(OR($B136="",基础资料!$B$6=""),"",SUMIFS(周转筐出入库明细!$K$4:$K$2004,周转筐出入库明细!$C$4:$C$2004,$B136,周转筐出入库明细!$D$4:$D$2004,基础资料!$B$6,周转筐出入库明细!$B$4:$B$2004,"&gt;="&amp;$BC$1,周转筐出入库明细!$B$4:$B$2004,"&lt;="&amp;$BC$2))</f>
        <v/>
      </c>
      <c r="X136" s="25" t="str">
        <f>IF(OR($B136="",基础资料!$B$7=""),"",SUMIFS(周转筐出入库明细!$K$4:$K$2004,周转筐出入库明细!$C$4:$C$2004,$B136,周转筐出入库明细!$D$4:$D$2004,基础资料!$B$7,周转筐出入库明细!$B$4:$B$2004,"&gt;="&amp;$BC$1,周转筐出入库明细!$B$4:$B$2004,"&lt;="&amp;$BC$2))</f>
        <v/>
      </c>
      <c r="Y136" s="25" t="str">
        <f>IF(OR($B136="",基础资料!$B$8=""),"",SUMIFS(周转筐出入库明细!$K$4:$K$2004,周转筐出入库明细!$C$4:$C$2004,$B136,周转筐出入库明细!$D$4:$D$2004,基础资料!$B$8,周转筐出入库明细!$B$4:$B$2004,"&gt;="&amp;$BC$1,周转筐出入库明细!$B$4:$B$2004,"&lt;="&amp;$BC$2))</f>
        <v/>
      </c>
      <c r="Z136" s="25" t="str">
        <f t="shared" si="28"/>
        <v/>
      </c>
      <c r="AA136" s="67" t="str">
        <f>IF(OR($B136="",基础资料!$B$4=""),"",-SUMIFS(对接源_01水果筐数!$D$5:$D$304,对接源_01水果筐数!$B$5:$B$304,$B136,对接源_01水果筐数!$C$5:$C$304,基础资料!$B$4))</f>
        <v/>
      </c>
      <c r="AB136" s="67" t="str">
        <f>IF(OR($B136="",基础资料!$B$5=""),"",-SUMIFS(对接源_01水果筐数!$D$5:$D$304,对接源_01水果筐数!$B$5:$B$304,$B136,对接源_01水果筐数!$C$5:$C$304,基础资料!$B$5))</f>
        <v/>
      </c>
      <c r="AC136" s="67" t="str">
        <f>IF(OR($B136="",基础资料!$B$6=""),"",-SUMIFS(对接源_01水果筐数!$D$5:$D$304,对接源_01水果筐数!$B$5:$B$304,$B136,对接源_01水果筐数!$C$5:$C$304,基础资料!$B$6))</f>
        <v/>
      </c>
      <c r="AD136" s="67" t="str">
        <f>IF(OR($B136="",基础资料!$B$7=""),"",-SUMIFS(对接源_01水果筐数!$D$5:$D$304,对接源_01水果筐数!$B$5:$B$304,$B136,对接源_01水果筐数!$C$5:$C$304,基础资料!$B$7))</f>
        <v/>
      </c>
      <c r="AE136" s="67" t="str">
        <f>IF(OR($B136="",基础资料!$B$8=""),"",-SUMIFS(对接源_01水果筐数!$D$5:$D$304,对接源_01水果筐数!$B$5:$B$304,$B136,对接源_01水果筐数!$C$5:$C$304,基础资料!$B$8))</f>
        <v/>
      </c>
      <c r="AF136" s="25" t="str">
        <f>IF(OR($B136="",基础资料!$B$4=""),"",SUMIFS(对接源_01水果筐数!$E$5:$E$304,对接源_01水果筐数!$B$5:$B$304,$B136,对接源_01水果筐数!$C$5:$C$304,基础资料!$B$4))</f>
        <v/>
      </c>
      <c r="AG136" s="25" t="str">
        <f>IF(OR($B136="",基础资料!$B$5=""),"",SUMIFS(对接源_01水果筐数!$E$5:$E$304,对接源_01水果筐数!$B$5:$B$304,$B136,对接源_01水果筐数!$C$5:$C$304,基础资料!$B$5))</f>
        <v/>
      </c>
      <c r="AH136" s="25" t="str">
        <f>IF(OR($B136="",基础资料!$B$6=""),"",SUMIFS(对接源_01水果筐数!$E$5:$E$304,对接源_01水果筐数!$B$5:$B$304,$B136,对接源_01水果筐数!$C$5:$C$304,基础资料!$B$6))</f>
        <v/>
      </c>
      <c r="AI136" s="25" t="str">
        <f>IF(OR($B136="",基础资料!$B$7=""),"",SUMIFS(对接源_01水果筐数!$E$5:$E$304,对接源_01水果筐数!$B$5:$B$304,$B136,对接源_01水果筐数!$C$5:$C$304,基础资料!$B$7))</f>
        <v/>
      </c>
      <c r="AJ136" s="25" t="str">
        <f>IF(OR($B136="",基础资料!$B$8=""),"",SUMIFS(对接源_01水果筐数!$E$5:$E$304,对接源_01水果筐数!$B$5:$B$304,$B136,对接源_01水果筐数!$C$5:$C$304,基础资料!$B$8))</f>
        <v/>
      </c>
      <c r="AK136" s="25" t="str">
        <f>IF(OR($B136="",基础资料!$B$4=""),"",SUMIFS(对接源_01水果筐数!$F$5:$F$304,对接源_01水果筐数!$B$5:$B$304,$B136,对接源_01水果筐数!$C$5:$C$304,基础资料!$B$4))</f>
        <v/>
      </c>
      <c r="AL136" s="25" t="str">
        <f>IF(OR($B136="",基础资料!$B$5=""),"",SUMIFS(对接源_01水果筐数!$F$5:$F$304,对接源_01水果筐数!$B$5:$B$304,$B136,对接源_01水果筐数!$C$5:$C$304,基础资料!$B$5))</f>
        <v/>
      </c>
      <c r="AM136" s="25" t="str">
        <f>IF(OR($B136="",基础资料!$B$6=""),"",SUMIFS(对接源_01水果筐数!$F$5:$F$304,对接源_01水果筐数!$B$5:$B$304,$B136,对接源_01水果筐数!$C$5:$C$304,基础资料!$B$6))</f>
        <v/>
      </c>
      <c r="AN136" s="25" t="str">
        <f>IF(OR($B136="",基础资料!$B$7=""),"",SUMIFS(对接源_01水果筐数!$F$5:$F$304,对接源_01水果筐数!$B$5:$B$304,$B136,对接源_01水果筐数!$C$5:$C$304,基础资料!$B$7))</f>
        <v/>
      </c>
      <c r="AO136" s="25" t="str">
        <f>IF(OR($B136="",基础资料!$B$8=""),"",SUMIFS(对接源_01水果筐数!$F$5:$F$304,对接源_01水果筐数!$B$5:$B$304,$B136,对接源_01水果筐数!$C$5:$C$304,基础资料!$B$8))</f>
        <v/>
      </c>
      <c r="AP136" s="25" t="str">
        <f t="shared" si="29"/>
        <v/>
      </c>
      <c r="AQ136" s="25" t="str">
        <f t="shared" si="30"/>
        <v/>
      </c>
      <c r="AR136" s="25" t="str">
        <f t="shared" si="31"/>
        <v/>
      </c>
      <c r="AS136" s="25" t="str">
        <f t="shared" si="32"/>
        <v/>
      </c>
      <c r="AT136" s="25" t="str">
        <f t="shared" si="33"/>
        <v/>
      </c>
      <c r="AU136" s="25" t="str">
        <f t="shared" si="34"/>
        <v/>
      </c>
      <c r="AV136" s="24" t="str">
        <f t="shared" si="35"/>
        <v/>
      </c>
      <c r="AW136" s="72"/>
    </row>
    <row r="137" spans="1:49">
      <c r="A137" s="22" t="str">
        <f t="shared" si="24"/>
        <v/>
      </c>
      <c r="B137" s="24" t="str">
        <f>IFERROR(INDEX(_自动清单!$CC$4:$CC$253,ROW()-3),"")</f>
        <v/>
      </c>
      <c r="C137" s="25" t="str">
        <f>IF(OR($B137="",基础资料!$B$4=""),"",SUMIFS(周转筐出入库明细!$J$4:$J$2004,周转筐出入库明细!$C$4:$C$2004,$B137,周转筐出入库明细!$D$4:$D$2004,基础资料!$B$4,周转筐出入库明细!$B$4:$B$2004,"&gt;="&amp;$BC$1,周转筐出入库明细!$B$4:$B$2004,"&lt;="&amp;$BC$2))</f>
        <v/>
      </c>
      <c r="D137" s="25" t="str">
        <f>IF(OR($B137="",基础资料!$B$5=""),"",SUMIFS(周转筐出入库明细!$J$4:$J$2004,周转筐出入库明细!$C$4:$C$2004,$B137,周转筐出入库明细!$D$4:$D$2004,基础资料!$B$5,周转筐出入库明细!$B$4:$B$2004,"&gt;="&amp;$BC$1,周转筐出入库明细!$B$4:$B$2004,"&lt;="&amp;$BC$2))</f>
        <v/>
      </c>
      <c r="E137" s="25" t="str">
        <f>IF(OR($B137="",基础资料!$B$6=""),"",SUMIFS(周转筐出入库明细!$J$4:$J$2004,周转筐出入库明细!$C$4:$C$2004,$B137,周转筐出入库明细!$D$4:$D$2004,基础资料!$B$6,周转筐出入库明细!$B$4:$B$2004,"&gt;="&amp;$BC$1,周转筐出入库明细!$B$4:$B$2004,"&lt;="&amp;$BC$2))</f>
        <v/>
      </c>
      <c r="F137" s="25" t="str">
        <f>IF(OR($B137="",基础资料!$B$7=""),"",SUMIFS(周转筐出入库明细!$J$4:$J$2004,周转筐出入库明细!$C$4:$C$2004,$B137,周转筐出入库明细!$D$4:$D$2004,基础资料!$B$7,周转筐出入库明细!$B$4:$B$2004,"&gt;="&amp;$BC$1,周转筐出入库明细!$B$4:$B$2004,"&lt;="&amp;$BC$2))</f>
        <v/>
      </c>
      <c r="G137" s="25" t="str">
        <f>IF(OR($B137="",基础资料!$B$8=""),"",SUMIFS(周转筐出入库明细!$J$4:$J$2004,周转筐出入库明细!$C$4:$C$2004,$B137,周转筐出入库明细!$D$4:$D$2004,基础资料!$B$8,周转筐出入库明细!$B$4:$B$2004,"&gt;="&amp;$BC$1,周转筐出入库明细!$B$4:$B$2004,"&lt;="&amp;$BC$2))</f>
        <v/>
      </c>
      <c r="H137" s="25" t="str">
        <f t="shared" si="25"/>
        <v/>
      </c>
      <c r="I137" s="67" t="str">
        <f>IF(OR($B137="",基础资料!$B$4=""),"",-SUMIFS(周转筐出入库明细!$I$4:$I$2004,周转筐出入库明细!$C$4:$C$2004,$B137,周转筐出入库明细!$D$4:$D$2004,基础资料!$B$4,周转筐出入库明细!$B$4:$B$2004,"&gt;="&amp;$BC$1,周转筐出入库明细!$B$4:$B$2004,"&lt;="&amp;$BC$2))</f>
        <v/>
      </c>
      <c r="J137" s="67" t="str">
        <f>IF(OR($B137="",基础资料!$B$5=""),"",-SUMIFS(周转筐出入库明细!$I$4:$I$2004,周转筐出入库明细!$C$4:$C$2004,$B137,周转筐出入库明细!$D$4:$D$2004,基础资料!$B$5,周转筐出入库明细!$B$4:$B$2004,"&gt;="&amp;$BC$1,周转筐出入库明细!$B$4:$B$2004,"&lt;="&amp;$BC$2))</f>
        <v/>
      </c>
      <c r="K137" s="67" t="str">
        <f>IF(OR($B137="",基础资料!$B$6=""),"",-SUMIFS(周转筐出入库明细!$I$4:$I$2004,周转筐出入库明细!$C$4:$C$2004,$B137,周转筐出入库明细!$D$4:$D$2004,基础资料!$B$6,周转筐出入库明细!$B$4:$B$2004,"&gt;="&amp;$BC$1,周转筐出入库明细!$B$4:$B$2004,"&lt;="&amp;$BC$2))</f>
        <v/>
      </c>
      <c r="L137" s="67" t="str">
        <f>IF(OR($B137="",基础资料!$B$7=""),"",-SUMIFS(周转筐出入库明细!$I$4:$I$2004,周转筐出入库明细!$C$4:$C$2004,$B137,周转筐出入库明细!$D$4:$D$2004,基础资料!$B$7,周转筐出入库明细!$B$4:$B$2004,"&gt;="&amp;$BC$1,周转筐出入库明细!$B$4:$B$2004,"&lt;="&amp;$BC$2))</f>
        <v/>
      </c>
      <c r="M137" s="67" t="str">
        <f>IF(OR($B137="",基础资料!$B$8=""),"",-SUMIFS(周转筐出入库明细!$I$4:$I$2004,周转筐出入库明细!$C$4:$C$2004,$B137,周转筐出入库明细!$D$4:$D$2004,基础资料!$B$8,周转筐出入库明细!$B$4:$B$2004,"&gt;="&amp;$BC$1,周转筐出入库明细!$B$4:$B$2004,"&lt;="&amp;$BC$2))</f>
        <v/>
      </c>
      <c r="N137" s="67" t="str">
        <f t="shared" si="26"/>
        <v/>
      </c>
      <c r="O137" s="25" t="str">
        <f>IF(OR($B137="",基础资料!$B$4=""),"",SUMIFS(周转筐出入库明细!$H$4:$H$2004,周转筐出入库明细!$C$4:$C$2004,$B137,周转筐出入库明细!$D$4:$D$2004,基础资料!$B$4,周转筐出入库明细!$F$4:$F$2004,"采购入库",周转筐出入库明细!$B$4:$B$2004,"&gt;="&amp;$BC$1,周转筐出入库明细!$B$4:$B$2004,"&lt;="&amp;$BC$2))</f>
        <v/>
      </c>
      <c r="P137" s="25" t="str">
        <f>IF(OR($B137="",基础资料!$B$5=""),"",SUMIFS(周转筐出入库明细!$H$4:$H$2004,周转筐出入库明细!$C$4:$C$2004,$B137,周转筐出入库明细!$D$4:$D$2004,基础资料!$B$5,周转筐出入库明细!$F$4:$F$2004,"采购入库",周转筐出入库明细!$B$4:$B$2004,"&gt;="&amp;$BC$1,周转筐出入库明细!$B$4:$B$2004,"&lt;="&amp;$BC$2))</f>
        <v/>
      </c>
      <c r="Q137" s="25" t="str">
        <f>IF(OR($B137="",基础资料!$B$6=""),"",SUMIFS(周转筐出入库明细!$H$4:$H$2004,周转筐出入库明细!$C$4:$C$2004,$B137,周转筐出入库明细!$D$4:$D$2004,基础资料!$B$6,周转筐出入库明细!$F$4:$F$2004,"采购入库",周转筐出入库明细!$B$4:$B$2004,"&gt;="&amp;$BC$1,周转筐出入库明细!$B$4:$B$2004,"&lt;="&amp;$BC$2))</f>
        <v/>
      </c>
      <c r="R137" s="25" t="str">
        <f>IF(OR($B137="",基础资料!$B$7=""),"",SUMIFS(周转筐出入库明细!$H$4:$H$2004,周转筐出入库明细!$C$4:$C$2004,$B137,周转筐出入库明细!$D$4:$D$2004,基础资料!$B$7,周转筐出入库明细!$F$4:$F$2004,"采购入库",周转筐出入库明细!$B$4:$B$2004,"&gt;="&amp;$BC$1,周转筐出入库明细!$B$4:$B$2004,"&lt;="&amp;$BC$2))</f>
        <v/>
      </c>
      <c r="S137" s="25" t="str">
        <f>IF(OR($B137="",基础资料!$B$8=""),"",SUMIFS(周转筐出入库明细!$H$4:$H$2004,周转筐出入库明细!$C$4:$C$2004,$B137,周转筐出入库明细!$D$4:$D$2004,基础资料!$B$8,周转筐出入库明细!$F$4:$F$2004,"采购入库",周转筐出入库明细!$B$4:$B$2004,"&gt;="&amp;$BC$1,周转筐出入库明细!$B$4:$B$2004,"&lt;="&amp;$BC$2))</f>
        <v/>
      </c>
      <c r="T137" s="25" t="str">
        <f t="shared" si="27"/>
        <v/>
      </c>
      <c r="U137" s="25" t="str">
        <f>IF(OR($B137="",基础资料!$B$4=""),"",SUMIFS(周转筐出入库明细!$K$4:$K$2004,周转筐出入库明细!$C$4:$C$2004,$B137,周转筐出入库明细!$D$4:$D$2004,基础资料!$B$4,周转筐出入库明细!$B$4:$B$2004,"&gt;="&amp;$BC$1,周转筐出入库明细!$B$4:$B$2004,"&lt;="&amp;$BC$2))</f>
        <v/>
      </c>
      <c r="V137" s="25" t="str">
        <f>IF(OR($B137="",基础资料!$B$5=""),"",SUMIFS(周转筐出入库明细!$K$4:$K$2004,周转筐出入库明细!$C$4:$C$2004,$B137,周转筐出入库明细!$D$4:$D$2004,基础资料!$B$5,周转筐出入库明细!$B$4:$B$2004,"&gt;="&amp;$BC$1,周转筐出入库明细!$B$4:$B$2004,"&lt;="&amp;$BC$2))</f>
        <v/>
      </c>
      <c r="W137" s="25" t="str">
        <f>IF(OR($B137="",基础资料!$B$6=""),"",SUMIFS(周转筐出入库明细!$K$4:$K$2004,周转筐出入库明细!$C$4:$C$2004,$B137,周转筐出入库明细!$D$4:$D$2004,基础资料!$B$6,周转筐出入库明细!$B$4:$B$2004,"&gt;="&amp;$BC$1,周转筐出入库明细!$B$4:$B$2004,"&lt;="&amp;$BC$2))</f>
        <v/>
      </c>
      <c r="X137" s="25" t="str">
        <f>IF(OR($B137="",基础资料!$B$7=""),"",SUMIFS(周转筐出入库明细!$K$4:$K$2004,周转筐出入库明细!$C$4:$C$2004,$B137,周转筐出入库明细!$D$4:$D$2004,基础资料!$B$7,周转筐出入库明细!$B$4:$B$2004,"&gt;="&amp;$BC$1,周转筐出入库明细!$B$4:$B$2004,"&lt;="&amp;$BC$2))</f>
        <v/>
      </c>
      <c r="Y137" s="25" t="str">
        <f>IF(OR($B137="",基础资料!$B$8=""),"",SUMIFS(周转筐出入库明细!$K$4:$K$2004,周转筐出入库明细!$C$4:$C$2004,$B137,周转筐出入库明细!$D$4:$D$2004,基础资料!$B$8,周转筐出入库明细!$B$4:$B$2004,"&gt;="&amp;$BC$1,周转筐出入库明细!$B$4:$B$2004,"&lt;="&amp;$BC$2))</f>
        <v/>
      </c>
      <c r="Z137" s="25" t="str">
        <f t="shared" si="28"/>
        <v/>
      </c>
      <c r="AA137" s="67" t="str">
        <f>IF(OR($B137="",基础资料!$B$4=""),"",-SUMIFS(对接源_01水果筐数!$D$5:$D$304,对接源_01水果筐数!$B$5:$B$304,$B137,对接源_01水果筐数!$C$5:$C$304,基础资料!$B$4))</f>
        <v/>
      </c>
      <c r="AB137" s="67" t="str">
        <f>IF(OR($B137="",基础资料!$B$5=""),"",-SUMIFS(对接源_01水果筐数!$D$5:$D$304,对接源_01水果筐数!$B$5:$B$304,$B137,对接源_01水果筐数!$C$5:$C$304,基础资料!$B$5))</f>
        <v/>
      </c>
      <c r="AC137" s="67" t="str">
        <f>IF(OR($B137="",基础资料!$B$6=""),"",-SUMIFS(对接源_01水果筐数!$D$5:$D$304,对接源_01水果筐数!$B$5:$B$304,$B137,对接源_01水果筐数!$C$5:$C$304,基础资料!$B$6))</f>
        <v/>
      </c>
      <c r="AD137" s="67" t="str">
        <f>IF(OR($B137="",基础资料!$B$7=""),"",-SUMIFS(对接源_01水果筐数!$D$5:$D$304,对接源_01水果筐数!$B$5:$B$304,$B137,对接源_01水果筐数!$C$5:$C$304,基础资料!$B$7))</f>
        <v/>
      </c>
      <c r="AE137" s="67" t="str">
        <f>IF(OR($B137="",基础资料!$B$8=""),"",-SUMIFS(对接源_01水果筐数!$D$5:$D$304,对接源_01水果筐数!$B$5:$B$304,$B137,对接源_01水果筐数!$C$5:$C$304,基础资料!$B$8))</f>
        <v/>
      </c>
      <c r="AF137" s="25" t="str">
        <f>IF(OR($B137="",基础资料!$B$4=""),"",SUMIFS(对接源_01水果筐数!$E$5:$E$304,对接源_01水果筐数!$B$5:$B$304,$B137,对接源_01水果筐数!$C$5:$C$304,基础资料!$B$4))</f>
        <v/>
      </c>
      <c r="AG137" s="25" t="str">
        <f>IF(OR($B137="",基础资料!$B$5=""),"",SUMIFS(对接源_01水果筐数!$E$5:$E$304,对接源_01水果筐数!$B$5:$B$304,$B137,对接源_01水果筐数!$C$5:$C$304,基础资料!$B$5))</f>
        <v/>
      </c>
      <c r="AH137" s="25" t="str">
        <f>IF(OR($B137="",基础资料!$B$6=""),"",SUMIFS(对接源_01水果筐数!$E$5:$E$304,对接源_01水果筐数!$B$5:$B$304,$B137,对接源_01水果筐数!$C$5:$C$304,基础资料!$B$6))</f>
        <v/>
      </c>
      <c r="AI137" s="25" t="str">
        <f>IF(OR($B137="",基础资料!$B$7=""),"",SUMIFS(对接源_01水果筐数!$E$5:$E$304,对接源_01水果筐数!$B$5:$B$304,$B137,对接源_01水果筐数!$C$5:$C$304,基础资料!$B$7))</f>
        <v/>
      </c>
      <c r="AJ137" s="25" t="str">
        <f>IF(OR($B137="",基础资料!$B$8=""),"",SUMIFS(对接源_01水果筐数!$E$5:$E$304,对接源_01水果筐数!$B$5:$B$304,$B137,对接源_01水果筐数!$C$5:$C$304,基础资料!$B$8))</f>
        <v/>
      </c>
      <c r="AK137" s="25" t="str">
        <f>IF(OR($B137="",基础资料!$B$4=""),"",SUMIFS(对接源_01水果筐数!$F$5:$F$304,对接源_01水果筐数!$B$5:$B$304,$B137,对接源_01水果筐数!$C$5:$C$304,基础资料!$B$4))</f>
        <v/>
      </c>
      <c r="AL137" s="25" t="str">
        <f>IF(OR($B137="",基础资料!$B$5=""),"",SUMIFS(对接源_01水果筐数!$F$5:$F$304,对接源_01水果筐数!$B$5:$B$304,$B137,对接源_01水果筐数!$C$5:$C$304,基础资料!$B$5))</f>
        <v/>
      </c>
      <c r="AM137" s="25" t="str">
        <f>IF(OR($B137="",基础资料!$B$6=""),"",SUMIFS(对接源_01水果筐数!$F$5:$F$304,对接源_01水果筐数!$B$5:$B$304,$B137,对接源_01水果筐数!$C$5:$C$304,基础资料!$B$6))</f>
        <v/>
      </c>
      <c r="AN137" s="25" t="str">
        <f>IF(OR($B137="",基础资料!$B$7=""),"",SUMIFS(对接源_01水果筐数!$F$5:$F$304,对接源_01水果筐数!$B$5:$B$304,$B137,对接源_01水果筐数!$C$5:$C$304,基础资料!$B$7))</f>
        <v/>
      </c>
      <c r="AO137" s="25" t="str">
        <f>IF(OR($B137="",基础资料!$B$8=""),"",SUMIFS(对接源_01水果筐数!$F$5:$F$304,对接源_01水果筐数!$B$5:$B$304,$B137,对接源_01水果筐数!$C$5:$C$304,基础资料!$B$8))</f>
        <v/>
      </c>
      <c r="AP137" s="25" t="str">
        <f t="shared" si="29"/>
        <v/>
      </c>
      <c r="AQ137" s="25" t="str">
        <f t="shared" si="30"/>
        <v/>
      </c>
      <c r="AR137" s="25" t="str">
        <f t="shared" si="31"/>
        <v/>
      </c>
      <c r="AS137" s="25" t="str">
        <f t="shared" si="32"/>
        <v/>
      </c>
      <c r="AT137" s="25" t="str">
        <f t="shared" si="33"/>
        <v/>
      </c>
      <c r="AU137" s="25" t="str">
        <f t="shared" si="34"/>
        <v/>
      </c>
      <c r="AV137" s="24" t="str">
        <f t="shared" si="35"/>
        <v/>
      </c>
      <c r="AW137" s="72"/>
    </row>
    <row r="138" spans="1:49">
      <c r="A138" s="22" t="str">
        <f t="shared" si="24"/>
        <v/>
      </c>
      <c r="B138" s="24" t="str">
        <f>IFERROR(INDEX(_自动清单!$CC$4:$CC$253,ROW()-3),"")</f>
        <v/>
      </c>
      <c r="C138" s="25" t="str">
        <f>IF(OR($B138="",基础资料!$B$4=""),"",SUMIFS(周转筐出入库明细!$J$4:$J$2004,周转筐出入库明细!$C$4:$C$2004,$B138,周转筐出入库明细!$D$4:$D$2004,基础资料!$B$4,周转筐出入库明细!$B$4:$B$2004,"&gt;="&amp;$BC$1,周转筐出入库明细!$B$4:$B$2004,"&lt;="&amp;$BC$2))</f>
        <v/>
      </c>
      <c r="D138" s="25" t="str">
        <f>IF(OR($B138="",基础资料!$B$5=""),"",SUMIFS(周转筐出入库明细!$J$4:$J$2004,周转筐出入库明细!$C$4:$C$2004,$B138,周转筐出入库明细!$D$4:$D$2004,基础资料!$B$5,周转筐出入库明细!$B$4:$B$2004,"&gt;="&amp;$BC$1,周转筐出入库明细!$B$4:$B$2004,"&lt;="&amp;$BC$2))</f>
        <v/>
      </c>
      <c r="E138" s="25" t="str">
        <f>IF(OR($B138="",基础资料!$B$6=""),"",SUMIFS(周转筐出入库明细!$J$4:$J$2004,周转筐出入库明细!$C$4:$C$2004,$B138,周转筐出入库明细!$D$4:$D$2004,基础资料!$B$6,周转筐出入库明细!$B$4:$B$2004,"&gt;="&amp;$BC$1,周转筐出入库明细!$B$4:$B$2004,"&lt;="&amp;$BC$2))</f>
        <v/>
      </c>
      <c r="F138" s="25" t="str">
        <f>IF(OR($B138="",基础资料!$B$7=""),"",SUMIFS(周转筐出入库明细!$J$4:$J$2004,周转筐出入库明细!$C$4:$C$2004,$B138,周转筐出入库明细!$D$4:$D$2004,基础资料!$B$7,周转筐出入库明细!$B$4:$B$2004,"&gt;="&amp;$BC$1,周转筐出入库明细!$B$4:$B$2004,"&lt;="&amp;$BC$2))</f>
        <v/>
      </c>
      <c r="G138" s="25" t="str">
        <f>IF(OR($B138="",基础资料!$B$8=""),"",SUMIFS(周转筐出入库明细!$J$4:$J$2004,周转筐出入库明细!$C$4:$C$2004,$B138,周转筐出入库明细!$D$4:$D$2004,基础资料!$B$8,周转筐出入库明细!$B$4:$B$2004,"&gt;="&amp;$BC$1,周转筐出入库明细!$B$4:$B$2004,"&lt;="&amp;$BC$2))</f>
        <v/>
      </c>
      <c r="H138" s="25" t="str">
        <f t="shared" si="25"/>
        <v/>
      </c>
      <c r="I138" s="67" t="str">
        <f>IF(OR($B138="",基础资料!$B$4=""),"",-SUMIFS(周转筐出入库明细!$I$4:$I$2004,周转筐出入库明细!$C$4:$C$2004,$B138,周转筐出入库明细!$D$4:$D$2004,基础资料!$B$4,周转筐出入库明细!$B$4:$B$2004,"&gt;="&amp;$BC$1,周转筐出入库明细!$B$4:$B$2004,"&lt;="&amp;$BC$2))</f>
        <v/>
      </c>
      <c r="J138" s="67" t="str">
        <f>IF(OR($B138="",基础资料!$B$5=""),"",-SUMIFS(周转筐出入库明细!$I$4:$I$2004,周转筐出入库明细!$C$4:$C$2004,$B138,周转筐出入库明细!$D$4:$D$2004,基础资料!$B$5,周转筐出入库明细!$B$4:$B$2004,"&gt;="&amp;$BC$1,周转筐出入库明细!$B$4:$B$2004,"&lt;="&amp;$BC$2))</f>
        <v/>
      </c>
      <c r="K138" s="67" t="str">
        <f>IF(OR($B138="",基础资料!$B$6=""),"",-SUMIFS(周转筐出入库明细!$I$4:$I$2004,周转筐出入库明细!$C$4:$C$2004,$B138,周转筐出入库明细!$D$4:$D$2004,基础资料!$B$6,周转筐出入库明细!$B$4:$B$2004,"&gt;="&amp;$BC$1,周转筐出入库明细!$B$4:$B$2004,"&lt;="&amp;$BC$2))</f>
        <v/>
      </c>
      <c r="L138" s="67" t="str">
        <f>IF(OR($B138="",基础资料!$B$7=""),"",-SUMIFS(周转筐出入库明细!$I$4:$I$2004,周转筐出入库明细!$C$4:$C$2004,$B138,周转筐出入库明细!$D$4:$D$2004,基础资料!$B$7,周转筐出入库明细!$B$4:$B$2004,"&gt;="&amp;$BC$1,周转筐出入库明细!$B$4:$B$2004,"&lt;="&amp;$BC$2))</f>
        <v/>
      </c>
      <c r="M138" s="67" t="str">
        <f>IF(OR($B138="",基础资料!$B$8=""),"",-SUMIFS(周转筐出入库明细!$I$4:$I$2004,周转筐出入库明细!$C$4:$C$2004,$B138,周转筐出入库明细!$D$4:$D$2004,基础资料!$B$8,周转筐出入库明细!$B$4:$B$2004,"&gt;="&amp;$BC$1,周转筐出入库明细!$B$4:$B$2004,"&lt;="&amp;$BC$2))</f>
        <v/>
      </c>
      <c r="N138" s="67" t="str">
        <f t="shared" si="26"/>
        <v/>
      </c>
      <c r="O138" s="25" t="str">
        <f>IF(OR($B138="",基础资料!$B$4=""),"",SUMIFS(周转筐出入库明细!$H$4:$H$2004,周转筐出入库明细!$C$4:$C$2004,$B138,周转筐出入库明细!$D$4:$D$2004,基础资料!$B$4,周转筐出入库明细!$F$4:$F$2004,"采购入库",周转筐出入库明细!$B$4:$B$2004,"&gt;="&amp;$BC$1,周转筐出入库明细!$B$4:$B$2004,"&lt;="&amp;$BC$2))</f>
        <v/>
      </c>
      <c r="P138" s="25" t="str">
        <f>IF(OR($B138="",基础资料!$B$5=""),"",SUMIFS(周转筐出入库明细!$H$4:$H$2004,周转筐出入库明细!$C$4:$C$2004,$B138,周转筐出入库明细!$D$4:$D$2004,基础资料!$B$5,周转筐出入库明细!$F$4:$F$2004,"采购入库",周转筐出入库明细!$B$4:$B$2004,"&gt;="&amp;$BC$1,周转筐出入库明细!$B$4:$B$2004,"&lt;="&amp;$BC$2))</f>
        <v/>
      </c>
      <c r="Q138" s="25" t="str">
        <f>IF(OR($B138="",基础资料!$B$6=""),"",SUMIFS(周转筐出入库明细!$H$4:$H$2004,周转筐出入库明细!$C$4:$C$2004,$B138,周转筐出入库明细!$D$4:$D$2004,基础资料!$B$6,周转筐出入库明细!$F$4:$F$2004,"采购入库",周转筐出入库明细!$B$4:$B$2004,"&gt;="&amp;$BC$1,周转筐出入库明细!$B$4:$B$2004,"&lt;="&amp;$BC$2))</f>
        <v/>
      </c>
      <c r="R138" s="25" t="str">
        <f>IF(OR($B138="",基础资料!$B$7=""),"",SUMIFS(周转筐出入库明细!$H$4:$H$2004,周转筐出入库明细!$C$4:$C$2004,$B138,周转筐出入库明细!$D$4:$D$2004,基础资料!$B$7,周转筐出入库明细!$F$4:$F$2004,"采购入库",周转筐出入库明细!$B$4:$B$2004,"&gt;="&amp;$BC$1,周转筐出入库明细!$B$4:$B$2004,"&lt;="&amp;$BC$2))</f>
        <v/>
      </c>
      <c r="S138" s="25" t="str">
        <f>IF(OR($B138="",基础资料!$B$8=""),"",SUMIFS(周转筐出入库明细!$H$4:$H$2004,周转筐出入库明细!$C$4:$C$2004,$B138,周转筐出入库明细!$D$4:$D$2004,基础资料!$B$8,周转筐出入库明细!$F$4:$F$2004,"采购入库",周转筐出入库明细!$B$4:$B$2004,"&gt;="&amp;$BC$1,周转筐出入库明细!$B$4:$B$2004,"&lt;="&amp;$BC$2))</f>
        <v/>
      </c>
      <c r="T138" s="25" t="str">
        <f t="shared" si="27"/>
        <v/>
      </c>
      <c r="U138" s="25" t="str">
        <f>IF(OR($B138="",基础资料!$B$4=""),"",SUMIFS(周转筐出入库明细!$K$4:$K$2004,周转筐出入库明细!$C$4:$C$2004,$B138,周转筐出入库明细!$D$4:$D$2004,基础资料!$B$4,周转筐出入库明细!$B$4:$B$2004,"&gt;="&amp;$BC$1,周转筐出入库明细!$B$4:$B$2004,"&lt;="&amp;$BC$2))</f>
        <v/>
      </c>
      <c r="V138" s="25" t="str">
        <f>IF(OR($B138="",基础资料!$B$5=""),"",SUMIFS(周转筐出入库明细!$K$4:$K$2004,周转筐出入库明细!$C$4:$C$2004,$B138,周转筐出入库明细!$D$4:$D$2004,基础资料!$B$5,周转筐出入库明细!$B$4:$B$2004,"&gt;="&amp;$BC$1,周转筐出入库明细!$B$4:$B$2004,"&lt;="&amp;$BC$2))</f>
        <v/>
      </c>
      <c r="W138" s="25" t="str">
        <f>IF(OR($B138="",基础资料!$B$6=""),"",SUMIFS(周转筐出入库明细!$K$4:$K$2004,周转筐出入库明细!$C$4:$C$2004,$B138,周转筐出入库明细!$D$4:$D$2004,基础资料!$B$6,周转筐出入库明细!$B$4:$B$2004,"&gt;="&amp;$BC$1,周转筐出入库明细!$B$4:$B$2004,"&lt;="&amp;$BC$2))</f>
        <v/>
      </c>
      <c r="X138" s="25" t="str">
        <f>IF(OR($B138="",基础资料!$B$7=""),"",SUMIFS(周转筐出入库明细!$K$4:$K$2004,周转筐出入库明细!$C$4:$C$2004,$B138,周转筐出入库明细!$D$4:$D$2004,基础资料!$B$7,周转筐出入库明细!$B$4:$B$2004,"&gt;="&amp;$BC$1,周转筐出入库明细!$B$4:$B$2004,"&lt;="&amp;$BC$2))</f>
        <v/>
      </c>
      <c r="Y138" s="25" t="str">
        <f>IF(OR($B138="",基础资料!$B$8=""),"",SUMIFS(周转筐出入库明细!$K$4:$K$2004,周转筐出入库明细!$C$4:$C$2004,$B138,周转筐出入库明细!$D$4:$D$2004,基础资料!$B$8,周转筐出入库明细!$B$4:$B$2004,"&gt;="&amp;$BC$1,周转筐出入库明细!$B$4:$B$2004,"&lt;="&amp;$BC$2))</f>
        <v/>
      </c>
      <c r="Z138" s="25" t="str">
        <f t="shared" si="28"/>
        <v/>
      </c>
      <c r="AA138" s="67" t="str">
        <f>IF(OR($B138="",基础资料!$B$4=""),"",-SUMIFS(对接源_01水果筐数!$D$5:$D$304,对接源_01水果筐数!$B$5:$B$304,$B138,对接源_01水果筐数!$C$5:$C$304,基础资料!$B$4))</f>
        <v/>
      </c>
      <c r="AB138" s="67" t="str">
        <f>IF(OR($B138="",基础资料!$B$5=""),"",-SUMIFS(对接源_01水果筐数!$D$5:$D$304,对接源_01水果筐数!$B$5:$B$304,$B138,对接源_01水果筐数!$C$5:$C$304,基础资料!$B$5))</f>
        <v/>
      </c>
      <c r="AC138" s="67" t="str">
        <f>IF(OR($B138="",基础资料!$B$6=""),"",-SUMIFS(对接源_01水果筐数!$D$5:$D$304,对接源_01水果筐数!$B$5:$B$304,$B138,对接源_01水果筐数!$C$5:$C$304,基础资料!$B$6))</f>
        <v/>
      </c>
      <c r="AD138" s="67" t="str">
        <f>IF(OR($B138="",基础资料!$B$7=""),"",-SUMIFS(对接源_01水果筐数!$D$5:$D$304,对接源_01水果筐数!$B$5:$B$304,$B138,对接源_01水果筐数!$C$5:$C$304,基础资料!$B$7))</f>
        <v/>
      </c>
      <c r="AE138" s="67" t="str">
        <f>IF(OR($B138="",基础资料!$B$8=""),"",-SUMIFS(对接源_01水果筐数!$D$5:$D$304,对接源_01水果筐数!$B$5:$B$304,$B138,对接源_01水果筐数!$C$5:$C$304,基础资料!$B$8))</f>
        <v/>
      </c>
      <c r="AF138" s="25" t="str">
        <f>IF(OR($B138="",基础资料!$B$4=""),"",SUMIFS(对接源_01水果筐数!$E$5:$E$304,对接源_01水果筐数!$B$5:$B$304,$B138,对接源_01水果筐数!$C$5:$C$304,基础资料!$B$4))</f>
        <v/>
      </c>
      <c r="AG138" s="25" t="str">
        <f>IF(OR($B138="",基础资料!$B$5=""),"",SUMIFS(对接源_01水果筐数!$E$5:$E$304,对接源_01水果筐数!$B$5:$B$304,$B138,对接源_01水果筐数!$C$5:$C$304,基础资料!$B$5))</f>
        <v/>
      </c>
      <c r="AH138" s="25" t="str">
        <f>IF(OR($B138="",基础资料!$B$6=""),"",SUMIFS(对接源_01水果筐数!$E$5:$E$304,对接源_01水果筐数!$B$5:$B$304,$B138,对接源_01水果筐数!$C$5:$C$304,基础资料!$B$6))</f>
        <v/>
      </c>
      <c r="AI138" s="25" t="str">
        <f>IF(OR($B138="",基础资料!$B$7=""),"",SUMIFS(对接源_01水果筐数!$E$5:$E$304,对接源_01水果筐数!$B$5:$B$304,$B138,对接源_01水果筐数!$C$5:$C$304,基础资料!$B$7))</f>
        <v/>
      </c>
      <c r="AJ138" s="25" t="str">
        <f>IF(OR($B138="",基础资料!$B$8=""),"",SUMIFS(对接源_01水果筐数!$E$5:$E$304,对接源_01水果筐数!$B$5:$B$304,$B138,对接源_01水果筐数!$C$5:$C$304,基础资料!$B$8))</f>
        <v/>
      </c>
      <c r="AK138" s="25" t="str">
        <f>IF(OR($B138="",基础资料!$B$4=""),"",SUMIFS(对接源_01水果筐数!$F$5:$F$304,对接源_01水果筐数!$B$5:$B$304,$B138,对接源_01水果筐数!$C$5:$C$304,基础资料!$B$4))</f>
        <v/>
      </c>
      <c r="AL138" s="25" t="str">
        <f>IF(OR($B138="",基础资料!$B$5=""),"",SUMIFS(对接源_01水果筐数!$F$5:$F$304,对接源_01水果筐数!$B$5:$B$304,$B138,对接源_01水果筐数!$C$5:$C$304,基础资料!$B$5))</f>
        <v/>
      </c>
      <c r="AM138" s="25" t="str">
        <f>IF(OR($B138="",基础资料!$B$6=""),"",SUMIFS(对接源_01水果筐数!$F$5:$F$304,对接源_01水果筐数!$B$5:$B$304,$B138,对接源_01水果筐数!$C$5:$C$304,基础资料!$B$6))</f>
        <v/>
      </c>
      <c r="AN138" s="25" t="str">
        <f>IF(OR($B138="",基础资料!$B$7=""),"",SUMIFS(对接源_01水果筐数!$F$5:$F$304,对接源_01水果筐数!$B$5:$B$304,$B138,对接源_01水果筐数!$C$5:$C$304,基础资料!$B$7))</f>
        <v/>
      </c>
      <c r="AO138" s="25" t="str">
        <f>IF(OR($B138="",基础资料!$B$8=""),"",SUMIFS(对接源_01水果筐数!$F$5:$F$304,对接源_01水果筐数!$B$5:$B$304,$B138,对接源_01水果筐数!$C$5:$C$304,基础资料!$B$8))</f>
        <v/>
      </c>
      <c r="AP138" s="25" t="str">
        <f t="shared" si="29"/>
        <v/>
      </c>
      <c r="AQ138" s="25" t="str">
        <f t="shared" si="30"/>
        <v/>
      </c>
      <c r="AR138" s="25" t="str">
        <f t="shared" si="31"/>
        <v/>
      </c>
      <c r="AS138" s="25" t="str">
        <f t="shared" si="32"/>
        <v/>
      </c>
      <c r="AT138" s="25" t="str">
        <f t="shared" si="33"/>
        <v/>
      </c>
      <c r="AU138" s="25" t="str">
        <f t="shared" si="34"/>
        <v/>
      </c>
      <c r="AV138" s="24" t="str">
        <f t="shared" si="35"/>
        <v/>
      </c>
      <c r="AW138" s="72"/>
    </row>
    <row r="139" spans="1:49">
      <c r="A139" s="22" t="str">
        <f t="shared" si="24"/>
        <v/>
      </c>
      <c r="B139" s="24" t="str">
        <f>IFERROR(INDEX(_自动清单!$CC$4:$CC$253,ROW()-3),"")</f>
        <v/>
      </c>
      <c r="C139" s="25" t="str">
        <f>IF(OR($B139="",基础资料!$B$4=""),"",SUMIFS(周转筐出入库明细!$J$4:$J$2004,周转筐出入库明细!$C$4:$C$2004,$B139,周转筐出入库明细!$D$4:$D$2004,基础资料!$B$4,周转筐出入库明细!$B$4:$B$2004,"&gt;="&amp;$BC$1,周转筐出入库明细!$B$4:$B$2004,"&lt;="&amp;$BC$2))</f>
        <v/>
      </c>
      <c r="D139" s="25" t="str">
        <f>IF(OR($B139="",基础资料!$B$5=""),"",SUMIFS(周转筐出入库明细!$J$4:$J$2004,周转筐出入库明细!$C$4:$C$2004,$B139,周转筐出入库明细!$D$4:$D$2004,基础资料!$B$5,周转筐出入库明细!$B$4:$B$2004,"&gt;="&amp;$BC$1,周转筐出入库明细!$B$4:$B$2004,"&lt;="&amp;$BC$2))</f>
        <v/>
      </c>
      <c r="E139" s="25" t="str">
        <f>IF(OR($B139="",基础资料!$B$6=""),"",SUMIFS(周转筐出入库明细!$J$4:$J$2004,周转筐出入库明细!$C$4:$C$2004,$B139,周转筐出入库明细!$D$4:$D$2004,基础资料!$B$6,周转筐出入库明细!$B$4:$B$2004,"&gt;="&amp;$BC$1,周转筐出入库明细!$B$4:$B$2004,"&lt;="&amp;$BC$2))</f>
        <v/>
      </c>
      <c r="F139" s="25" t="str">
        <f>IF(OR($B139="",基础资料!$B$7=""),"",SUMIFS(周转筐出入库明细!$J$4:$J$2004,周转筐出入库明细!$C$4:$C$2004,$B139,周转筐出入库明细!$D$4:$D$2004,基础资料!$B$7,周转筐出入库明细!$B$4:$B$2004,"&gt;="&amp;$BC$1,周转筐出入库明细!$B$4:$B$2004,"&lt;="&amp;$BC$2))</f>
        <v/>
      </c>
      <c r="G139" s="25" t="str">
        <f>IF(OR($B139="",基础资料!$B$8=""),"",SUMIFS(周转筐出入库明细!$J$4:$J$2004,周转筐出入库明细!$C$4:$C$2004,$B139,周转筐出入库明细!$D$4:$D$2004,基础资料!$B$8,周转筐出入库明细!$B$4:$B$2004,"&gt;="&amp;$BC$1,周转筐出入库明细!$B$4:$B$2004,"&lt;="&amp;$BC$2))</f>
        <v/>
      </c>
      <c r="H139" s="25" t="str">
        <f t="shared" si="25"/>
        <v/>
      </c>
      <c r="I139" s="67" t="str">
        <f>IF(OR($B139="",基础资料!$B$4=""),"",-SUMIFS(周转筐出入库明细!$I$4:$I$2004,周转筐出入库明细!$C$4:$C$2004,$B139,周转筐出入库明细!$D$4:$D$2004,基础资料!$B$4,周转筐出入库明细!$B$4:$B$2004,"&gt;="&amp;$BC$1,周转筐出入库明细!$B$4:$B$2004,"&lt;="&amp;$BC$2))</f>
        <v/>
      </c>
      <c r="J139" s="67" t="str">
        <f>IF(OR($B139="",基础资料!$B$5=""),"",-SUMIFS(周转筐出入库明细!$I$4:$I$2004,周转筐出入库明细!$C$4:$C$2004,$B139,周转筐出入库明细!$D$4:$D$2004,基础资料!$B$5,周转筐出入库明细!$B$4:$B$2004,"&gt;="&amp;$BC$1,周转筐出入库明细!$B$4:$B$2004,"&lt;="&amp;$BC$2))</f>
        <v/>
      </c>
      <c r="K139" s="67" t="str">
        <f>IF(OR($B139="",基础资料!$B$6=""),"",-SUMIFS(周转筐出入库明细!$I$4:$I$2004,周转筐出入库明细!$C$4:$C$2004,$B139,周转筐出入库明细!$D$4:$D$2004,基础资料!$B$6,周转筐出入库明细!$B$4:$B$2004,"&gt;="&amp;$BC$1,周转筐出入库明细!$B$4:$B$2004,"&lt;="&amp;$BC$2))</f>
        <v/>
      </c>
      <c r="L139" s="67" t="str">
        <f>IF(OR($B139="",基础资料!$B$7=""),"",-SUMIFS(周转筐出入库明细!$I$4:$I$2004,周转筐出入库明细!$C$4:$C$2004,$B139,周转筐出入库明细!$D$4:$D$2004,基础资料!$B$7,周转筐出入库明细!$B$4:$B$2004,"&gt;="&amp;$BC$1,周转筐出入库明细!$B$4:$B$2004,"&lt;="&amp;$BC$2))</f>
        <v/>
      </c>
      <c r="M139" s="67" t="str">
        <f>IF(OR($B139="",基础资料!$B$8=""),"",-SUMIFS(周转筐出入库明细!$I$4:$I$2004,周转筐出入库明细!$C$4:$C$2004,$B139,周转筐出入库明细!$D$4:$D$2004,基础资料!$B$8,周转筐出入库明细!$B$4:$B$2004,"&gt;="&amp;$BC$1,周转筐出入库明细!$B$4:$B$2004,"&lt;="&amp;$BC$2))</f>
        <v/>
      </c>
      <c r="N139" s="67" t="str">
        <f t="shared" si="26"/>
        <v/>
      </c>
      <c r="O139" s="25" t="str">
        <f>IF(OR($B139="",基础资料!$B$4=""),"",SUMIFS(周转筐出入库明细!$H$4:$H$2004,周转筐出入库明细!$C$4:$C$2004,$B139,周转筐出入库明细!$D$4:$D$2004,基础资料!$B$4,周转筐出入库明细!$F$4:$F$2004,"采购入库",周转筐出入库明细!$B$4:$B$2004,"&gt;="&amp;$BC$1,周转筐出入库明细!$B$4:$B$2004,"&lt;="&amp;$BC$2))</f>
        <v/>
      </c>
      <c r="P139" s="25" t="str">
        <f>IF(OR($B139="",基础资料!$B$5=""),"",SUMIFS(周转筐出入库明细!$H$4:$H$2004,周转筐出入库明细!$C$4:$C$2004,$B139,周转筐出入库明细!$D$4:$D$2004,基础资料!$B$5,周转筐出入库明细!$F$4:$F$2004,"采购入库",周转筐出入库明细!$B$4:$B$2004,"&gt;="&amp;$BC$1,周转筐出入库明细!$B$4:$B$2004,"&lt;="&amp;$BC$2))</f>
        <v/>
      </c>
      <c r="Q139" s="25" t="str">
        <f>IF(OR($B139="",基础资料!$B$6=""),"",SUMIFS(周转筐出入库明细!$H$4:$H$2004,周转筐出入库明细!$C$4:$C$2004,$B139,周转筐出入库明细!$D$4:$D$2004,基础资料!$B$6,周转筐出入库明细!$F$4:$F$2004,"采购入库",周转筐出入库明细!$B$4:$B$2004,"&gt;="&amp;$BC$1,周转筐出入库明细!$B$4:$B$2004,"&lt;="&amp;$BC$2))</f>
        <v/>
      </c>
      <c r="R139" s="25" t="str">
        <f>IF(OR($B139="",基础资料!$B$7=""),"",SUMIFS(周转筐出入库明细!$H$4:$H$2004,周转筐出入库明细!$C$4:$C$2004,$B139,周转筐出入库明细!$D$4:$D$2004,基础资料!$B$7,周转筐出入库明细!$F$4:$F$2004,"采购入库",周转筐出入库明细!$B$4:$B$2004,"&gt;="&amp;$BC$1,周转筐出入库明细!$B$4:$B$2004,"&lt;="&amp;$BC$2))</f>
        <v/>
      </c>
      <c r="S139" s="25" t="str">
        <f>IF(OR($B139="",基础资料!$B$8=""),"",SUMIFS(周转筐出入库明细!$H$4:$H$2004,周转筐出入库明细!$C$4:$C$2004,$B139,周转筐出入库明细!$D$4:$D$2004,基础资料!$B$8,周转筐出入库明细!$F$4:$F$2004,"采购入库",周转筐出入库明细!$B$4:$B$2004,"&gt;="&amp;$BC$1,周转筐出入库明细!$B$4:$B$2004,"&lt;="&amp;$BC$2))</f>
        <v/>
      </c>
      <c r="T139" s="25" t="str">
        <f t="shared" si="27"/>
        <v/>
      </c>
      <c r="U139" s="25" t="str">
        <f>IF(OR($B139="",基础资料!$B$4=""),"",SUMIFS(周转筐出入库明细!$K$4:$K$2004,周转筐出入库明细!$C$4:$C$2004,$B139,周转筐出入库明细!$D$4:$D$2004,基础资料!$B$4,周转筐出入库明细!$B$4:$B$2004,"&gt;="&amp;$BC$1,周转筐出入库明细!$B$4:$B$2004,"&lt;="&amp;$BC$2))</f>
        <v/>
      </c>
      <c r="V139" s="25" t="str">
        <f>IF(OR($B139="",基础资料!$B$5=""),"",SUMIFS(周转筐出入库明细!$K$4:$K$2004,周转筐出入库明细!$C$4:$C$2004,$B139,周转筐出入库明细!$D$4:$D$2004,基础资料!$B$5,周转筐出入库明细!$B$4:$B$2004,"&gt;="&amp;$BC$1,周转筐出入库明细!$B$4:$B$2004,"&lt;="&amp;$BC$2))</f>
        <v/>
      </c>
      <c r="W139" s="25" t="str">
        <f>IF(OR($B139="",基础资料!$B$6=""),"",SUMIFS(周转筐出入库明细!$K$4:$K$2004,周转筐出入库明细!$C$4:$C$2004,$B139,周转筐出入库明细!$D$4:$D$2004,基础资料!$B$6,周转筐出入库明细!$B$4:$B$2004,"&gt;="&amp;$BC$1,周转筐出入库明细!$B$4:$B$2004,"&lt;="&amp;$BC$2))</f>
        <v/>
      </c>
      <c r="X139" s="25" t="str">
        <f>IF(OR($B139="",基础资料!$B$7=""),"",SUMIFS(周转筐出入库明细!$K$4:$K$2004,周转筐出入库明细!$C$4:$C$2004,$B139,周转筐出入库明细!$D$4:$D$2004,基础资料!$B$7,周转筐出入库明细!$B$4:$B$2004,"&gt;="&amp;$BC$1,周转筐出入库明细!$B$4:$B$2004,"&lt;="&amp;$BC$2))</f>
        <v/>
      </c>
      <c r="Y139" s="25" t="str">
        <f>IF(OR($B139="",基础资料!$B$8=""),"",SUMIFS(周转筐出入库明细!$K$4:$K$2004,周转筐出入库明细!$C$4:$C$2004,$B139,周转筐出入库明细!$D$4:$D$2004,基础资料!$B$8,周转筐出入库明细!$B$4:$B$2004,"&gt;="&amp;$BC$1,周转筐出入库明细!$B$4:$B$2004,"&lt;="&amp;$BC$2))</f>
        <v/>
      </c>
      <c r="Z139" s="25" t="str">
        <f t="shared" si="28"/>
        <v/>
      </c>
      <c r="AA139" s="67" t="str">
        <f>IF(OR($B139="",基础资料!$B$4=""),"",-SUMIFS(对接源_01水果筐数!$D$5:$D$304,对接源_01水果筐数!$B$5:$B$304,$B139,对接源_01水果筐数!$C$5:$C$304,基础资料!$B$4))</f>
        <v/>
      </c>
      <c r="AB139" s="67" t="str">
        <f>IF(OR($B139="",基础资料!$B$5=""),"",-SUMIFS(对接源_01水果筐数!$D$5:$D$304,对接源_01水果筐数!$B$5:$B$304,$B139,对接源_01水果筐数!$C$5:$C$304,基础资料!$B$5))</f>
        <v/>
      </c>
      <c r="AC139" s="67" t="str">
        <f>IF(OR($B139="",基础资料!$B$6=""),"",-SUMIFS(对接源_01水果筐数!$D$5:$D$304,对接源_01水果筐数!$B$5:$B$304,$B139,对接源_01水果筐数!$C$5:$C$304,基础资料!$B$6))</f>
        <v/>
      </c>
      <c r="AD139" s="67" t="str">
        <f>IF(OR($B139="",基础资料!$B$7=""),"",-SUMIFS(对接源_01水果筐数!$D$5:$D$304,对接源_01水果筐数!$B$5:$B$304,$B139,对接源_01水果筐数!$C$5:$C$304,基础资料!$B$7))</f>
        <v/>
      </c>
      <c r="AE139" s="67" t="str">
        <f>IF(OR($B139="",基础资料!$B$8=""),"",-SUMIFS(对接源_01水果筐数!$D$5:$D$304,对接源_01水果筐数!$B$5:$B$304,$B139,对接源_01水果筐数!$C$5:$C$304,基础资料!$B$8))</f>
        <v/>
      </c>
      <c r="AF139" s="25" t="str">
        <f>IF(OR($B139="",基础资料!$B$4=""),"",SUMIFS(对接源_01水果筐数!$E$5:$E$304,对接源_01水果筐数!$B$5:$B$304,$B139,对接源_01水果筐数!$C$5:$C$304,基础资料!$B$4))</f>
        <v/>
      </c>
      <c r="AG139" s="25" t="str">
        <f>IF(OR($B139="",基础资料!$B$5=""),"",SUMIFS(对接源_01水果筐数!$E$5:$E$304,对接源_01水果筐数!$B$5:$B$304,$B139,对接源_01水果筐数!$C$5:$C$304,基础资料!$B$5))</f>
        <v/>
      </c>
      <c r="AH139" s="25" t="str">
        <f>IF(OR($B139="",基础资料!$B$6=""),"",SUMIFS(对接源_01水果筐数!$E$5:$E$304,对接源_01水果筐数!$B$5:$B$304,$B139,对接源_01水果筐数!$C$5:$C$304,基础资料!$B$6))</f>
        <v/>
      </c>
      <c r="AI139" s="25" t="str">
        <f>IF(OR($B139="",基础资料!$B$7=""),"",SUMIFS(对接源_01水果筐数!$E$5:$E$304,对接源_01水果筐数!$B$5:$B$304,$B139,对接源_01水果筐数!$C$5:$C$304,基础资料!$B$7))</f>
        <v/>
      </c>
      <c r="AJ139" s="25" t="str">
        <f>IF(OR($B139="",基础资料!$B$8=""),"",SUMIFS(对接源_01水果筐数!$E$5:$E$304,对接源_01水果筐数!$B$5:$B$304,$B139,对接源_01水果筐数!$C$5:$C$304,基础资料!$B$8))</f>
        <v/>
      </c>
      <c r="AK139" s="25" t="str">
        <f>IF(OR($B139="",基础资料!$B$4=""),"",SUMIFS(对接源_01水果筐数!$F$5:$F$304,对接源_01水果筐数!$B$5:$B$304,$B139,对接源_01水果筐数!$C$5:$C$304,基础资料!$B$4))</f>
        <v/>
      </c>
      <c r="AL139" s="25" t="str">
        <f>IF(OR($B139="",基础资料!$B$5=""),"",SUMIFS(对接源_01水果筐数!$F$5:$F$304,对接源_01水果筐数!$B$5:$B$304,$B139,对接源_01水果筐数!$C$5:$C$304,基础资料!$B$5))</f>
        <v/>
      </c>
      <c r="AM139" s="25" t="str">
        <f>IF(OR($B139="",基础资料!$B$6=""),"",SUMIFS(对接源_01水果筐数!$F$5:$F$304,对接源_01水果筐数!$B$5:$B$304,$B139,对接源_01水果筐数!$C$5:$C$304,基础资料!$B$6))</f>
        <v/>
      </c>
      <c r="AN139" s="25" t="str">
        <f>IF(OR($B139="",基础资料!$B$7=""),"",SUMIFS(对接源_01水果筐数!$F$5:$F$304,对接源_01水果筐数!$B$5:$B$304,$B139,对接源_01水果筐数!$C$5:$C$304,基础资料!$B$7))</f>
        <v/>
      </c>
      <c r="AO139" s="25" t="str">
        <f>IF(OR($B139="",基础资料!$B$8=""),"",SUMIFS(对接源_01水果筐数!$F$5:$F$304,对接源_01水果筐数!$B$5:$B$304,$B139,对接源_01水果筐数!$C$5:$C$304,基础资料!$B$8))</f>
        <v/>
      </c>
      <c r="AP139" s="25" t="str">
        <f t="shared" si="29"/>
        <v/>
      </c>
      <c r="AQ139" s="25" t="str">
        <f t="shared" si="30"/>
        <v/>
      </c>
      <c r="AR139" s="25" t="str">
        <f t="shared" si="31"/>
        <v/>
      </c>
      <c r="AS139" s="25" t="str">
        <f t="shared" si="32"/>
        <v/>
      </c>
      <c r="AT139" s="25" t="str">
        <f t="shared" si="33"/>
        <v/>
      </c>
      <c r="AU139" s="25" t="str">
        <f t="shared" si="34"/>
        <v/>
      </c>
      <c r="AV139" s="24" t="str">
        <f t="shared" si="35"/>
        <v/>
      </c>
      <c r="AW139" s="72"/>
    </row>
    <row r="140" spans="1:49">
      <c r="A140" s="22" t="str">
        <f t="shared" si="24"/>
        <v/>
      </c>
      <c r="B140" s="24" t="str">
        <f>IFERROR(INDEX(_自动清单!$CC$4:$CC$253,ROW()-3),"")</f>
        <v/>
      </c>
      <c r="C140" s="25" t="str">
        <f>IF(OR($B140="",基础资料!$B$4=""),"",SUMIFS(周转筐出入库明细!$J$4:$J$2004,周转筐出入库明细!$C$4:$C$2004,$B140,周转筐出入库明细!$D$4:$D$2004,基础资料!$B$4,周转筐出入库明细!$B$4:$B$2004,"&gt;="&amp;$BC$1,周转筐出入库明细!$B$4:$B$2004,"&lt;="&amp;$BC$2))</f>
        <v/>
      </c>
      <c r="D140" s="25" t="str">
        <f>IF(OR($B140="",基础资料!$B$5=""),"",SUMIFS(周转筐出入库明细!$J$4:$J$2004,周转筐出入库明细!$C$4:$C$2004,$B140,周转筐出入库明细!$D$4:$D$2004,基础资料!$B$5,周转筐出入库明细!$B$4:$B$2004,"&gt;="&amp;$BC$1,周转筐出入库明细!$B$4:$B$2004,"&lt;="&amp;$BC$2))</f>
        <v/>
      </c>
      <c r="E140" s="25" t="str">
        <f>IF(OR($B140="",基础资料!$B$6=""),"",SUMIFS(周转筐出入库明细!$J$4:$J$2004,周转筐出入库明细!$C$4:$C$2004,$B140,周转筐出入库明细!$D$4:$D$2004,基础资料!$B$6,周转筐出入库明细!$B$4:$B$2004,"&gt;="&amp;$BC$1,周转筐出入库明细!$B$4:$B$2004,"&lt;="&amp;$BC$2))</f>
        <v/>
      </c>
      <c r="F140" s="25" t="str">
        <f>IF(OR($B140="",基础资料!$B$7=""),"",SUMIFS(周转筐出入库明细!$J$4:$J$2004,周转筐出入库明细!$C$4:$C$2004,$B140,周转筐出入库明细!$D$4:$D$2004,基础资料!$B$7,周转筐出入库明细!$B$4:$B$2004,"&gt;="&amp;$BC$1,周转筐出入库明细!$B$4:$B$2004,"&lt;="&amp;$BC$2))</f>
        <v/>
      </c>
      <c r="G140" s="25" t="str">
        <f>IF(OR($B140="",基础资料!$B$8=""),"",SUMIFS(周转筐出入库明细!$J$4:$J$2004,周转筐出入库明细!$C$4:$C$2004,$B140,周转筐出入库明细!$D$4:$D$2004,基础资料!$B$8,周转筐出入库明细!$B$4:$B$2004,"&gt;="&amp;$BC$1,周转筐出入库明细!$B$4:$B$2004,"&lt;="&amp;$BC$2))</f>
        <v/>
      </c>
      <c r="H140" s="25" t="str">
        <f t="shared" si="25"/>
        <v/>
      </c>
      <c r="I140" s="67" t="str">
        <f>IF(OR($B140="",基础资料!$B$4=""),"",-SUMIFS(周转筐出入库明细!$I$4:$I$2004,周转筐出入库明细!$C$4:$C$2004,$B140,周转筐出入库明细!$D$4:$D$2004,基础资料!$B$4,周转筐出入库明细!$B$4:$B$2004,"&gt;="&amp;$BC$1,周转筐出入库明细!$B$4:$B$2004,"&lt;="&amp;$BC$2))</f>
        <v/>
      </c>
      <c r="J140" s="67" t="str">
        <f>IF(OR($B140="",基础资料!$B$5=""),"",-SUMIFS(周转筐出入库明细!$I$4:$I$2004,周转筐出入库明细!$C$4:$C$2004,$B140,周转筐出入库明细!$D$4:$D$2004,基础资料!$B$5,周转筐出入库明细!$B$4:$B$2004,"&gt;="&amp;$BC$1,周转筐出入库明细!$B$4:$B$2004,"&lt;="&amp;$BC$2))</f>
        <v/>
      </c>
      <c r="K140" s="67" t="str">
        <f>IF(OR($B140="",基础资料!$B$6=""),"",-SUMIFS(周转筐出入库明细!$I$4:$I$2004,周转筐出入库明细!$C$4:$C$2004,$B140,周转筐出入库明细!$D$4:$D$2004,基础资料!$B$6,周转筐出入库明细!$B$4:$B$2004,"&gt;="&amp;$BC$1,周转筐出入库明细!$B$4:$B$2004,"&lt;="&amp;$BC$2))</f>
        <v/>
      </c>
      <c r="L140" s="67" t="str">
        <f>IF(OR($B140="",基础资料!$B$7=""),"",-SUMIFS(周转筐出入库明细!$I$4:$I$2004,周转筐出入库明细!$C$4:$C$2004,$B140,周转筐出入库明细!$D$4:$D$2004,基础资料!$B$7,周转筐出入库明细!$B$4:$B$2004,"&gt;="&amp;$BC$1,周转筐出入库明细!$B$4:$B$2004,"&lt;="&amp;$BC$2))</f>
        <v/>
      </c>
      <c r="M140" s="67" t="str">
        <f>IF(OR($B140="",基础资料!$B$8=""),"",-SUMIFS(周转筐出入库明细!$I$4:$I$2004,周转筐出入库明细!$C$4:$C$2004,$B140,周转筐出入库明细!$D$4:$D$2004,基础资料!$B$8,周转筐出入库明细!$B$4:$B$2004,"&gt;="&amp;$BC$1,周转筐出入库明细!$B$4:$B$2004,"&lt;="&amp;$BC$2))</f>
        <v/>
      </c>
      <c r="N140" s="67" t="str">
        <f t="shared" si="26"/>
        <v/>
      </c>
      <c r="O140" s="25" t="str">
        <f>IF(OR($B140="",基础资料!$B$4=""),"",SUMIFS(周转筐出入库明细!$H$4:$H$2004,周转筐出入库明细!$C$4:$C$2004,$B140,周转筐出入库明细!$D$4:$D$2004,基础资料!$B$4,周转筐出入库明细!$F$4:$F$2004,"采购入库",周转筐出入库明细!$B$4:$B$2004,"&gt;="&amp;$BC$1,周转筐出入库明细!$B$4:$B$2004,"&lt;="&amp;$BC$2))</f>
        <v/>
      </c>
      <c r="P140" s="25" t="str">
        <f>IF(OR($B140="",基础资料!$B$5=""),"",SUMIFS(周转筐出入库明细!$H$4:$H$2004,周转筐出入库明细!$C$4:$C$2004,$B140,周转筐出入库明细!$D$4:$D$2004,基础资料!$B$5,周转筐出入库明细!$F$4:$F$2004,"采购入库",周转筐出入库明细!$B$4:$B$2004,"&gt;="&amp;$BC$1,周转筐出入库明细!$B$4:$B$2004,"&lt;="&amp;$BC$2))</f>
        <v/>
      </c>
      <c r="Q140" s="25" t="str">
        <f>IF(OR($B140="",基础资料!$B$6=""),"",SUMIFS(周转筐出入库明细!$H$4:$H$2004,周转筐出入库明细!$C$4:$C$2004,$B140,周转筐出入库明细!$D$4:$D$2004,基础资料!$B$6,周转筐出入库明细!$F$4:$F$2004,"采购入库",周转筐出入库明细!$B$4:$B$2004,"&gt;="&amp;$BC$1,周转筐出入库明细!$B$4:$B$2004,"&lt;="&amp;$BC$2))</f>
        <v/>
      </c>
      <c r="R140" s="25" t="str">
        <f>IF(OR($B140="",基础资料!$B$7=""),"",SUMIFS(周转筐出入库明细!$H$4:$H$2004,周转筐出入库明细!$C$4:$C$2004,$B140,周转筐出入库明细!$D$4:$D$2004,基础资料!$B$7,周转筐出入库明细!$F$4:$F$2004,"采购入库",周转筐出入库明细!$B$4:$B$2004,"&gt;="&amp;$BC$1,周转筐出入库明细!$B$4:$B$2004,"&lt;="&amp;$BC$2))</f>
        <v/>
      </c>
      <c r="S140" s="25" t="str">
        <f>IF(OR($B140="",基础资料!$B$8=""),"",SUMIFS(周转筐出入库明细!$H$4:$H$2004,周转筐出入库明细!$C$4:$C$2004,$B140,周转筐出入库明细!$D$4:$D$2004,基础资料!$B$8,周转筐出入库明细!$F$4:$F$2004,"采购入库",周转筐出入库明细!$B$4:$B$2004,"&gt;="&amp;$BC$1,周转筐出入库明细!$B$4:$B$2004,"&lt;="&amp;$BC$2))</f>
        <v/>
      </c>
      <c r="T140" s="25" t="str">
        <f t="shared" si="27"/>
        <v/>
      </c>
      <c r="U140" s="25" t="str">
        <f>IF(OR($B140="",基础资料!$B$4=""),"",SUMIFS(周转筐出入库明细!$K$4:$K$2004,周转筐出入库明细!$C$4:$C$2004,$B140,周转筐出入库明细!$D$4:$D$2004,基础资料!$B$4,周转筐出入库明细!$B$4:$B$2004,"&gt;="&amp;$BC$1,周转筐出入库明细!$B$4:$B$2004,"&lt;="&amp;$BC$2))</f>
        <v/>
      </c>
      <c r="V140" s="25" t="str">
        <f>IF(OR($B140="",基础资料!$B$5=""),"",SUMIFS(周转筐出入库明细!$K$4:$K$2004,周转筐出入库明细!$C$4:$C$2004,$B140,周转筐出入库明细!$D$4:$D$2004,基础资料!$B$5,周转筐出入库明细!$B$4:$B$2004,"&gt;="&amp;$BC$1,周转筐出入库明细!$B$4:$B$2004,"&lt;="&amp;$BC$2))</f>
        <v/>
      </c>
      <c r="W140" s="25" t="str">
        <f>IF(OR($B140="",基础资料!$B$6=""),"",SUMIFS(周转筐出入库明细!$K$4:$K$2004,周转筐出入库明细!$C$4:$C$2004,$B140,周转筐出入库明细!$D$4:$D$2004,基础资料!$B$6,周转筐出入库明细!$B$4:$B$2004,"&gt;="&amp;$BC$1,周转筐出入库明细!$B$4:$B$2004,"&lt;="&amp;$BC$2))</f>
        <v/>
      </c>
      <c r="X140" s="25" t="str">
        <f>IF(OR($B140="",基础资料!$B$7=""),"",SUMIFS(周转筐出入库明细!$K$4:$K$2004,周转筐出入库明细!$C$4:$C$2004,$B140,周转筐出入库明细!$D$4:$D$2004,基础资料!$B$7,周转筐出入库明细!$B$4:$B$2004,"&gt;="&amp;$BC$1,周转筐出入库明细!$B$4:$B$2004,"&lt;="&amp;$BC$2))</f>
        <v/>
      </c>
      <c r="Y140" s="25" t="str">
        <f>IF(OR($B140="",基础资料!$B$8=""),"",SUMIFS(周转筐出入库明细!$K$4:$K$2004,周转筐出入库明细!$C$4:$C$2004,$B140,周转筐出入库明细!$D$4:$D$2004,基础资料!$B$8,周转筐出入库明细!$B$4:$B$2004,"&gt;="&amp;$BC$1,周转筐出入库明细!$B$4:$B$2004,"&lt;="&amp;$BC$2))</f>
        <v/>
      </c>
      <c r="Z140" s="25" t="str">
        <f t="shared" si="28"/>
        <v/>
      </c>
      <c r="AA140" s="67" t="str">
        <f>IF(OR($B140="",基础资料!$B$4=""),"",-SUMIFS(对接源_01水果筐数!$D$5:$D$304,对接源_01水果筐数!$B$5:$B$304,$B140,对接源_01水果筐数!$C$5:$C$304,基础资料!$B$4))</f>
        <v/>
      </c>
      <c r="AB140" s="67" t="str">
        <f>IF(OR($B140="",基础资料!$B$5=""),"",-SUMIFS(对接源_01水果筐数!$D$5:$D$304,对接源_01水果筐数!$B$5:$B$304,$B140,对接源_01水果筐数!$C$5:$C$304,基础资料!$B$5))</f>
        <v/>
      </c>
      <c r="AC140" s="67" t="str">
        <f>IF(OR($B140="",基础资料!$B$6=""),"",-SUMIFS(对接源_01水果筐数!$D$5:$D$304,对接源_01水果筐数!$B$5:$B$304,$B140,对接源_01水果筐数!$C$5:$C$304,基础资料!$B$6))</f>
        <v/>
      </c>
      <c r="AD140" s="67" t="str">
        <f>IF(OR($B140="",基础资料!$B$7=""),"",-SUMIFS(对接源_01水果筐数!$D$5:$D$304,对接源_01水果筐数!$B$5:$B$304,$B140,对接源_01水果筐数!$C$5:$C$304,基础资料!$B$7))</f>
        <v/>
      </c>
      <c r="AE140" s="67" t="str">
        <f>IF(OR($B140="",基础资料!$B$8=""),"",-SUMIFS(对接源_01水果筐数!$D$5:$D$304,对接源_01水果筐数!$B$5:$B$304,$B140,对接源_01水果筐数!$C$5:$C$304,基础资料!$B$8))</f>
        <v/>
      </c>
      <c r="AF140" s="25" t="str">
        <f>IF(OR($B140="",基础资料!$B$4=""),"",SUMIFS(对接源_01水果筐数!$E$5:$E$304,对接源_01水果筐数!$B$5:$B$304,$B140,对接源_01水果筐数!$C$5:$C$304,基础资料!$B$4))</f>
        <v/>
      </c>
      <c r="AG140" s="25" t="str">
        <f>IF(OR($B140="",基础资料!$B$5=""),"",SUMIFS(对接源_01水果筐数!$E$5:$E$304,对接源_01水果筐数!$B$5:$B$304,$B140,对接源_01水果筐数!$C$5:$C$304,基础资料!$B$5))</f>
        <v/>
      </c>
      <c r="AH140" s="25" t="str">
        <f>IF(OR($B140="",基础资料!$B$6=""),"",SUMIFS(对接源_01水果筐数!$E$5:$E$304,对接源_01水果筐数!$B$5:$B$304,$B140,对接源_01水果筐数!$C$5:$C$304,基础资料!$B$6))</f>
        <v/>
      </c>
      <c r="AI140" s="25" t="str">
        <f>IF(OR($B140="",基础资料!$B$7=""),"",SUMIFS(对接源_01水果筐数!$E$5:$E$304,对接源_01水果筐数!$B$5:$B$304,$B140,对接源_01水果筐数!$C$5:$C$304,基础资料!$B$7))</f>
        <v/>
      </c>
      <c r="AJ140" s="25" t="str">
        <f>IF(OR($B140="",基础资料!$B$8=""),"",SUMIFS(对接源_01水果筐数!$E$5:$E$304,对接源_01水果筐数!$B$5:$B$304,$B140,对接源_01水果筐数!$C$5:$C$304,基础资料!$B$8))</f>
        <v/>
      </c>
      <c r="AK140" s="25" t="str">
        <f>IF(OR($B140="",基础资料!$B$4=""),"",SUMIFS(对接源_01水果筐数!$F$5:$F$304,对接源_01水果筐数!$B$5:$B$304,$B140,对接源_01水果筐数!$C$5:$C$304,基础资料!$B$4))</f>
        <v/>
      </c>
      <c r="AL140" s="25" t="str">
        <f>IF(OR($B140="",基础资料!$B$5=""),"",SUMIFS(对接源_01水果筐数!$F$5:$F$304,对接源_01水果筐数!$B$5:$B$304,$B140,对接源_01水果筐数!$C$5:$C$304,基础资料!$B$5))</f>
        <v/>
      </c>
      <c r="AM140" s="25" t="str">
        <f>IF(OR($B140="",基础资料!$B$6=""),"",SUMIFS(对接源_01水果筐数!$F$5:$F$304,对接源_01水果筐数!$B$5:$B$304,$B140,对接源_01水果筐数!$C$5:$C$304,基础资料!$B$6))</f>
        <v/>
      </c>
      <c r="AN140" s="25" t="str">
        <f>IF(OR($B140="",基础资料!$B$7=""),"",SUMIFS(对接源_01水果筐数!$F$5:$F$304,对接源_01水果筐数!$B$5:$B$304,$B140,对接源_01水果筐数!$C$5:$C$304,基础资料!$B$7))</f>
        <v/>
      </c>
      <c r="AO140" s="25" t="str">
        <f>IF(OR($B140="",基础资料!$B$8=""),"",SUMIFS(对接源_01水果筐数!$F$5:$F$304,对接源_01水果筐数!$B$5:$B$304,$B140,对接源_01水果筐数!$C$5:$C$304,基础资料!$B$8))</f>
        <v/>
      </c>
      <c r="AP140" s="25" t="str">
        <f t="shared" si="29"/>
        <v/>
      </c>
      <c r="AQ140" s="25" t="str">
        <f t="shared" si="30"/>
        <v/>
      </c>
      <c r="AR140" s="25" t="str">
        <f t="shared" si="31"/>
        <v/>
      </c>
      <c r="AS140" s="25" t="str">
        <f t="shared" si="32"/>
        <v/>
      </c>
      <c r="AT140" s="25" t="str">
        <f t="shared" si="33"/>
        <v/>
      </c>
      <c r="AU140" s="25" t="str">
        <f t="shared" si="34"/>
        <v/>
      </c>
      <c r="AV140" s="24" t="str">
        <f t="shared" si="35"/>
        <v/>
      </c>
      <c r="AW140" s="72"/>
    </row>
    <row r="141" spans="1:49">
      <c r="A141" s="22" t="str">
        <f t="shared" si="24"/>
        <v/>
      </c>
      <c r="B141" s="24" t="str">
        <f>IFERROR(INDEX(_自动清单!$CC$4:$CC$253,ROW()-3),"")</f>
        <v/>
      </c>
      <c r="C141" s="25" t="str">
        <f>IF(OR($B141="",基础资料!$B$4=""),"",SUMIFS(周转筐出入库明细!$J$4:$J$2004,周转筐出入库明细!$C$4:$C$2004,$B141,周转筐出入库明细!$D$4:$D$2004,基础资料!$B$4,周转筐出入库明细!$B$4:$B$2004,"&gt;="&amp;$BC$1,周转筐出入库明细!$B$4:$B$2004,"&lt;="&amp;$BC$2))</f>
        <v/>
      </c>
      <c r="D141" s="25" t="str">
        <f>IF(OR($B141="",基础资料!$B$5=""),"",SUMIFS(周转筐出入库明细!$J$4:$J$2004,周转筐出入库明细!$C$4:$C$2004,$B141,周转筐出入库明细!$D$4:$D$2004,基础资料!$B$5,周转筐出入库明细!$B$4:$B$2004,"&gt;="&amp;$BC$1,周转筐出入库明细!$B$4:$B$2004,"&lt;="&amp;$BC$2))</f>
        <v/>
      </c>
      <c r="E141" s="25" t="str">
        <f>IF(OR($B141="",基础资料!$B$6=""),"",SUMIFS(周转筐出入库明细!$J$4:$J$2004,周转筐出入库明细!$C$4:$C$2004,$B141,周转筐出入库明细!$D$4:$D$2004,基础资料!$B$6,周转筐出入库明细!$B$4:$B$2004,"&gt;="&amp;$BC$1,周转筐出入库明细!$B$4:$B$2004,"&lt;="&amp;$BC$2))</f>
        <v/>
      </c>
      <c r="F141" s="25" t="str">
        <f>IF(OR($B141="",基础资料!$B$7=""),"",SUMIFS(周转筐出入库明细!$J$4:$J$2004,周转筐出入库明细!$C$4:$C$2004,$B141,周转筐出入库明细!$D$4:$D$2004,基础资料!$B$7,周转筐出入库明细!$B$4:$B$2004,"&gt;="&amp;$BC$1,周转筐出入库明细!$B$4:$B$2004,"&lt;="&amp;$BC$2))</f>
        <v/>
      </c>
      <c r="G141" s="25" t="str">
        <f>IF(OR($B141="",基础资料!$B$8=""),"",SUMIFS(周转筐出入库明细!$J$4:$J$2004,周转筐出入库明细!$C$4:$C$2004,$B141,周转筐出入库明细!$D$4:$D$2004,基础资料!$B$8,周转筐出入库明细!$B$4:$B$2004,"&gt;="&amp;$BC$1,周转筐出入库明细!$B$4:$B$2004,"&lt;="&amp;$BC$2))</f>
        <v/>
      </c>
      <c r="H141" s="25" t="str">
        <f t="shared" si="25"/>
        <v/>
      </c>
      <c r="I141" s="67" t="str">
        <f>IF(OR($B141="",基础资料!$B$4=""),"",-SUMIFS(周转筐出入库明细!$I$4:$I$2004,周转筐出入库明细!$C$4:$C$2004,$B141,周转筐出入库明细!$D$4:$D$2004,基础资料!$B$4,周转筐出入库明细!$B$4:$B$2004,"&gt;="&amp;$BC$1,周转筐出入库明细!$B$4:$B$2004,"&lt;="&amp;$BC$2))</f>
        <v/>
      </c>
      <c r="J141" s="67" t="str">
        <f>IF(OR($B141="",基础资料!$B$5=""),"",-SUMIFS(周转筐出入库明细!$I$4:$I$2004,周转筐出入库明细!$C$4:$C$2004,$B141,周转筐出入库明细!$D$4:$D$2004,基础资料!$B$5,周转筐出入库明细!$B$4:$B$2004,"&gt;="&amp;$BC$1,周转筐出入库明细!$B$4:$B$2004,"&lt;="&amp;$BC$2))</f>
        <v/>
      </c>
      <c r="K141" s="67" t="str">
        <f>IF(OR($B141="",基础资料!$B$6=""),"",-SUMIFS(周转筐出入库明细!$I$4:$I$2004,周转筐出入库明细!$C$4:$C$2004,$B141,周转筐出入库明细!$D$4:$D$2004,基础资料!$B$6,周转筐出入库明细!$B$4:$B$2004,"&gt;="&amp;$BC$1,周转筐出入库明细!$B$4:$B$2004,"&lt;="&amp;$BC$2))</f>
        <v/>
      </c>
      <c r="L141" s="67" t="str">
        <f>IF(OR($B141="",基础资料!$B$7=""),"",-SUMIFS(周转筐出入库明细!$I$4:$I$2004,周转筐出入库明细!$C$4:$C$2004,$B141,周转筐出入库明细!$D$4:$D$2004,基础资料!$B$7,周转筐出入库明细!$B$4:$B$2004,"&gt;="&amp;$BC$1,周转筐出入库明细!$B$4:$B$2004,"&lt;="&amp;$BC$2))</f>
        <v/>
      </c>
      <c r="M141" s="67" t="str">
        <f>IF(OR($B141="",基础资料!$B$8=""),"",-SUMIFS(周转筐出入库明细!$I$4:$I$2004,周转筐出入库明细!$C$4:$C$2004,$B141,周转筐出入库明细!$D$4:$D$2004,基础资料!$B$8,周转筐出入库明细!$B$4:$B$2004,"&gt;="&amp;$BC$1,周转筐出入库明细!$B$4:$B$2004,"&lt;="&amp;$BC$2))</f>
        <v/>
      </c>
      <c r="N141" s="67" t="str">
        <f t="shared" si="26"/>
        <v/>
      </c>
      <c r="O141" s="25" t="str">
        <f>IF(OR($B141="",基础资料!$B$4=""),"",SUMIFS(周转筐出入库明细!$H$4:$H$2004,周转筐出入库明细!$C$4:$C$2004,$B141,周转筐出入库明细!$D$4:$D$2004,基础资料!$B$4,周转筐出入库明细!$F$4:$F$2004,"采购入库",周转筐出入库明细!$B$4:$B$2004,"&gt;="&amp;$BC$1,周转筐出入库明细!$B$4:$B$2004,"&lt;="&amp;$BC$2))</f>
        <v/>
      </c>
      <c r="P141" s="25" t="str">
        <f>IF(OR($B141="",基础资料!$B$5=""),"",SUMIFS(周转筐出入库明细!$H$4:$H$2004,周转筐出入库明细!$C$4:$C$2004,$B141,周转筐出入库明细!$D$4:$D$2004,基础资料!$B$5,周转筐出入库明细!$F$4:$F$2004,"采购入库",周转筐出入库明细!$B$4:$B$2004,"&gt;="&amp;$BC$1,周转筐出入库明细!$B$4:$B$2004,"&lt;="&amp;$BC$2))</f>
        <v/>
      </c>
      <c r="Q141" s="25" t="str">
        <f>IF(OR($B141="",基础资料!$B$6=""),"",SUMIFS(周转筐出入库明细!$H$4:$H$2004,周转筐出入库明细!$C$4:$C$2004,$B141,周转筐出入库明细!$D$4:$D$2004,基础资料!$B$6,周转筐出入库明细!$F$4:$F$2004,"采购入库",周转筐出入库明细!$B$4:$B$2004,"&gt;="&amp;$BC$1,周转筐出入库明细!$B$4:$B$2004,"&lt;="&amp;$BC$2))</f>
        <v/>
      </c>
      <c r="R141" s="25" t="str">
        <f>IF(OR($B141="",基础资料!$B$7=""),"",SUMIFS(周转筐出入库明细!$H$4:$H$2004,周转筐出入库明细!$C$4:$C$2004,$B141,周转筐出入库明细!$D$4:$D$2004,基础资料!$B$7,周转筐出入库明细!$F$4:$F$2004,"采购入库",周转筐出入库明细!$B$4:$B$2004,"&gt;="&amp;$BC$1,周转筐出入库明细!$B$4:$B$2004,"&lt;="&amp;$BC$2))</f>
        <v/>
      </c>
      <c r="S141" s="25" t="str">
        <f>IF(OR($B141="",基础资料!$B$8=""),"",SUMIFS(周转筐出入库明细!$H$4:$H$2004,周转筐出入库明细!$C$4:$C$2004,$B141,周转筐出入库明细!$D$4:$D$2004,基础资料!$B$8,周转筐出入库明细!$F$4:$F$2004,"采购入库",周转筐出入库明细!$B$4:$B$2004,"&gt;="&amp;$BC$1,周转筐出入库明细!$B$4:$B$2004,"&lt;="&amp;$BC$2))</f>
        <v/>
      </c>
      <c r="T141" s="25" t="str">
        <f t="shared" si="27"/>
        <v/>
      </c>
      <c r="U141" s="25" t="str">
        <f>IF(OR($B141="",基础资料!$B$4=""),"",SUMIFS(周转筐出入库明细!$K$4:$K$2004,周转筐出入库明细!$C$4:$C$2004,$B141,周转筐出入库明细!$D$4:$D$2004,基础资料!$B$4,周转筐出入库明细!$B$4:$B$2004,"&gt;="&amp;$BC$1,周转筐出入库明细!$B$4:$B$2004,"&lt;="&amp;$BC$2))</f>
        <v/>
      </c>
      <c r="V141" s="25" t="str">
        <f>IF(OR($B141="",基础资料!$B$5=""),"",SUMIFS(周转筐出入库明细!$K$4:$K$2004,周转筐出入库明细!$C$4:$C$2004,$B141,周转筐出入库明细!$D$4:$D$2004,基础资料!$B$5,周转筐出入库明细!$B$4:$B$2004,"&gt;="&amp;$BC$1,周转筐出入库明细!$B$4:$B$2004,"&lt;="&amp;$BC$2))</f>
        <v/>
      </c>
      <c r="W141" s="25" t="str">
        <f>IF(OR($B141="",基础资料!$B$6=""),"",SUMIFS(周转筐出入库明细!$K$4:$K$2004,周转筐出入库明细!$C$4:$C$2004,$B141,周转筐出入库明细!$D$4:$D$2004,基础资料!$B$6,周转筐出入库明细!$B$4:$B$2004,"&gt;="&amp;$BC$1,周转筐出入库明细!$B$4:$B$2004,"&lt;="&amp;$BC$2))</f>
        <v/>
      </c>
      <c r="X141" s="25" t="str">
        <f>IF(OR($B141="",基础资料!$B$7=""),"",SUMIFS(周转筐出入库明细!$K$4:$K$2004,周转筐出入库明细!$C$4:$C$2004,$B141,周转筐出入库明细!$D$4:$D$2004,基础资料!$B$7,周转筐出入库明细!$B$4:$B$2004,"&gt;="&amp;$BC$1,周转筐出入库明细!$B$4:$B$2004,"&lt;="&amp;$BC$2))</f>
        <v/>
      </c>
      <c r="Y141" s="25" t="str">
        <f>IF(OR($B141="",基础资料!$B$8=""),"",SUMIFS(周转筐出入库明细!$K$4:$K$2004,周转筐出入库明细!$C$4:$C$2004,$B141,周转筐出入库明细!$D$4:$D$2004,基础资料!$B$8,周转筐出入库明细!$B$4:$B$2004,"&gt;="&amp;$BC$1,周转筐出入库明细!$B$4:$B$2004,"&lt;="&amp;$BC$2))</f>
        <v/>
      </c>
      <c r="Z141" s="25" t="str">
        <f t="shared" si="28"/>
        <v/>
      </c>
      <c r="AA141" s="67" t="str">
        <f>IF(OR($B141="",基础资料!$B$4=""),"",-SUMIFS(对接源_01水果筐数!$D$5:$D$304,对接源_01水果筐数!$B$5:$B$304,$B141,对接源_01水果筐数!$C$5:$C$304,基础资料!$B$4))</f>
        <v/>
      </c>
      <c r="AB141" s="67" t="str">
        <f>IF(OR($B141="",基础资料!$B$5=""),"",-SUMIFS(对接源_01水果筐数!$D$5:$D$304,对接源_01水果筐数!$B$5:$B$304,$B141,对接源_01水果筐数!$C$5:$C$304,基础资料!$B$5))</f>
        <v/>
      </c>
      <c r="AC141" s="67" t="str">
        <f>IF(OR($B141="",基础资料!$B$6=""),"",-SUMIFS(对接源_01水果筐数!$D$5:$D$304,对接源_01水果筐数!$B$5:$B$304,$B141,对接源_01水果筐数!$C$5:$C$304,基础资料!$B$6))</f>
        <v/>
      </c>
      <c r="AD141" s="67" t="str">
        <f>IF(OR($B141="",基础资料!$B$7=""),"",-SUMIFS(对接源_01水果筐数!$D$5:$D$304,对接源_01水果筐数!$B$5:$B$304,$B141,对接源_01水果筐数!$C$5:$C$304,基础资料!$B$7))</f>
        <v/>
      </c>
      <c r="AE141" s="67" t="str">
        <f>IF(OR($B141="",基础资料!$B$8=""),"",-SUMIFS(对接源_01水果筐数!$D$5:$D$304,对接源_01水果筐数!$B$5:$B$304,$B141,对接源_01水果筐数!$C$5:$C$304,基础资料!$B$8))</f>
        <v/>
      </c>
      <c r="AF141" s="25" t="str">
        <f>IF(OR($B141="",基础资料!$B$4=""),"",SUMIFS(对接源_01水果筐数!$E$5:$E$304,对接源_01水果筐数!$B$5:$B$304,$B141,对接源_01水果筐数!$C$5:$C$304,基础资料!$B$4))</f>
        <v/>
      </c>
      <c r="AG141" s="25" t="str">
        <f>IF(OR($B141="",基础资料!$B$5=""),"",SUMIFS(对接源_01水果筐数!$E$5:$E$304,对接源_01水果筐数!$B$5:$B$304,$B141,对接源_01水果筐数!$C$5:$C$304,基础资料!$B$5))</f>
        <v/>
      </c>
      <c r="AH141" s="25" t="str">
        <f>IF(OR($B141="",基础资料!$B$6=""),"",SUMIFS(对接源_01水果筐数!$E$5:$E$304,对接源_01水果筐数!$B$5:$B$304,$B141,对接源_01水果筐数!$C$5:$C$304,基础资料!$B$6))</f>
        <v/>
      </c>
      <c r="AI141" s="25" t="str">
        <f>IF(OR($B141="",基础资料!$B$7=""),"",SUMIFS(对接源_01水果筐数!$E$5:$E$304,对接源_01水果筐数!$B$5:$B$304,$B141,对接源_01水果筐数!$C$5:$C$304,基础资料!$B$7))</f>
        <v/>
      </c>
      <c r="AJ141" s="25" t="str">
        <f>IF(OR($B141="",基础资料!$B$8=""),"",SUMIFS(对接源_01水果筐数!$E$5:$E$304,对接源_01水果筐数!$B$5:$B$304,$B141,对接源_01水果筐数!$C$5:$C$304,基础资料!$B$8))</f>
        <v/>
      </c>
      <c r="AK141" s="25" t="str">
        <f>IF(OR($B141="",基础资料!$B$4=""),"",SUMIFS(对接源_01水果筐数!$F$5:$F$304,对接源_01水果筐数!$B$5:$B$304,$B141,对接源_01水果筐数!$C$5:$C$304,基础资料!$B$4))</f>
        <v/>
      </c>
      <c r="AL141" s="25" t="str">
        <f>IF(OR($B141="",基础资料!$B$5=""),"",SUMIFS(对接源_01水果筐数!$F$5:$F$304,对接源_01水果筐数!$B$5:$B$304,$B141,对接源_01水果筐数!$C$5:$C$304,基础资料!$B$5))</f>
        <v/>
      </c>
      <c r="AM141" s="25" t="str">
        <f>IF(OR($B141="",基础资料!$B$6=""),"",SUMIFS(对接源_01水果筐数!$F$5:$F$304,对接源_01水果筐数!$B$5:$B$304,$B141,对接源_01水果筐数!$C$5:$C$304,基础资料!$B$6))</f>
        <v/>
      </c>
      <c r="AN141" s="25" t="str">
        <f>IF(OR($B141="",基础资料!$B$7=""),"",SUMIFS(对接源_01水果筐数!$F$5:$F$304,对接源_01水果筐数!$B$5:$B$304,$B141,对接源_01水果筐数!$C$5:$C$304,基础资料!$B$7))</f>
        <v/>
      </c>
      <c r="AO141" s="25" t="str">
        <f>IF(OR($B141="",基础资料!$B$8=""),"",SUMIFS(对接源_01水果筐数!$F$5:$F$304,对接源_01水果筐数!$B$5:$B$304,$B141,对接源_01水果筐数!$C$5:$C$304,基础资料!$B$8))</f>
        <v/>
      </c>
      <c r="AP141" s="25" t="str">
        <f t="shared" si="29"/>
        <v/>
      </c>
      <c r="AQ141" s="25" t="str">
        <f t="shared" si="30"/>
        <v/>
      </c>
      <c r="AR141" s="25" t="str">
        <f t="shared" si="31"/>
        <v/>
      </c>
      <c r="AS141" s="25" t="str">
        <f t="shared" si="32"/>
        <v/>
      </c>
      <c r="AT141" s="25" t="str">
        <f t="shared" si="33"/>
        <v/>
      </c>
      <c r="AU141" s="25" t="str">
        <f t="shared" si="34"/>
        <v/>
      </c>
      <c r="AV141" s="24" t="str">
        <f t="shared" si="35"/>
        <v/>
      </c>
      <c r="AW141" s="72"/>
    </row>
    <row r="142" spans="1:49">
      <c r="A142" s="22" t="str">
        <f t="shared" si="24"/>
        <v/>
      </c>
      <c r="B142" s="24" t="str">
        <f>IFERROR(INDEX(_自动清单!$CC$4:$CC$253,ROW()-3),"")</f>
        <v/>
      </c>
      <c r="C142" s="25" t="str">
        <f>IF(OR($B142="",基础资料!$B$4=""),"",SUMIFS(周转筐出入库明细!$J$4:$J$2004,周转筐出入库明细!$C$4:$C$2004,$B142,周转筐出入库明细!$D$4:$D$2004,基础资料!$B$4,周转筐出入库明细!$B$4:$B$2004,"&gt;="&amp;$BC$1,周转筐出入库明细!$B$4:$B$2004,"&lt;="&amp;$BC$2))</f>
        <v/>
      </c>
      <c r="D142" s="25" t="str">
        <f>IF(OR($B142="",基础资料!$B$5=""),"",SUMIFS(周转筐出入库明细!$J$4:$J$2004,周转筐出入库明细!$C$4:$C$2004,$B142,周转筐出入库明细!$D$4:$D$2004,基础资料!$B$5,周转筐出入库明细!$B$4:$B$2004,"&gt;="&amp;$BC$1,周转筐出入库明细!$B$4:$B$2004,"&lt;="&amp;$BC$2))</f>
        <v/>
      </c>
      <c r="E142" s="25" t="str">
        <f>IF(OR($B142="",基础资料!$B$6=""),"",SUMIFS(周转筐出入库明细!$J$4:$J$2004,周转筐出入库明细!$C$4:$C$2004,$B142,周转筐出入库明细!$D$4:$D$2004,基础资料!$B$6,周转筐出入库明细!$B$4:$B$2004,"&gt;="&amp;$BC$1,周转筐出入库明细!$B$4:$B$2004,"&lt;="&amp;$BC$2))</f>
        <v/>
      </c>
      <c r="F142" s="25" t="str">
        <f>IF(OR($B142="",基础资料!$B$7=""),"",SUMIFS(周转筐出入库明细!$J$4:$J$2004,周转筐出入库明细!$C$4:$C$2004,$B142,周转筐出入库明细!$D$4:$D$2004,基础资料!$B$7,周转筐出入库明细!$B$4:$B$2004,"&gt;="&amp;$BC$1,周转筐出入库明细!$B$4:$B$2004,"&lt;="&amp;$BC$2))</f>
        <v/>
      </c>
      <c r="G142" s="25" t="str">
        <f>IF(OR($B142="",基础资料!$B$8=""),"",SUMIFS(周转筐出入库明细!$J$4:$J$2004,周转筐出入库明细!$C$4:$C$2004,$B142,周转筐出入库明细!$D$4:$D$2004,基础资料!$B$8,周转筐出入库明细!$B$4:$B$2004,"&gt;="&amp;$BC$1,周转筐出入库明细!$B$4:$B$2004,"&lt;="&amp;$BC$2))</f>
        <v/>
      </c>
      <c r="H142" s="25" t="str">
        <f t="shared" si="25"/>
        <v/>
      </c>
      <c r="I142" s="67" t="str">
        <f>IF(OR($B142="",基础资料!$B$4=""),"",-SUMIFS(周转筐出入库明细!$I$4:$I$2004,周转筐出入库明细!$C$4:$C$2004,$B142,周转筐出入库明细!$D$4:$D$2004,基础资料!$B$4,周转筐出入库明细!$B$4:$B$2004,"&gt;="&amp;$BC$1,周转筐出入库明细!$B$4:$B$2004,"&lt;="&amp;$BC$2))</f>
        <v/>
      </c>
      <c r="J142" s="67" t="str">
        <f>IF(OR($B142="",基础资料!$B$5=""),"",-SUMIFS(周转筐出入库明细!$I$4:$I$2004,周转筐出入库明细!$C$4:$C$2004,$B142,周转筐出入库明细!$D$4:$D$2004,基础资料!$B$5,周转筐出入库明细!$B$4:$B$2004,"&gt;="&amp;$BC$1,周转筐出入库明细!$B$4:$B$2004,"&lt;="&amp;$BC$2))</f>
        <v/>
      </c>
      <c r="K142" s="67" t="str">
        <f>IF(OR($B142="",基础资料!$B$6=""),"",-SUMIFS(周转筐出入库明细!$I$4:$I$2004,周转筐出入库明细!$C$4:$C$2004,$B142,周转筐出入库明细!$D$4:$D$2004,基础资料!$B$6,周转筐出入库明细!$B$4:$B$2004,"&gt;="&amp;$BC$1,周转筐出入库明细!$B$4:$B$2004,"&lt;="&amp;$BC$2))</f>
        <v/>
      </c>
      <c r="L142" s="67" t="str">
        <f>IF(OR($B142="",基础资料!$B$7=""),"",-SUMIFS(周转筐出入库明细!$I$4:$I$2004,周转筐出入库明细!$C$4:$C$2004,$B142,周转筐出入库明细!$D$4:$D$2004,基础资料!$B$7,周转筐出入库明细!$B$4:$B$2004,"&gt;="&amp;$BC$1,周转筐出入库明细!$B$4:$B$2004,"&lt;="&amp;$BC$2))</f>
        <v/>
      </c>
      <c r="M142" s="67" t="str">
        <f>IF(OR($B142="",基础资料!$B$8=""),"",-SUMIFS(周转筐出入库明细!$I$4:$I$2004,周转筐出入库明细!$C$4:$C$2004,$B142,周转筐出入库明细!$D$4:$D$2004,基础资料!$B$8,周转筐出入库明细!$B$4:$B$2004,"&gt;="&amp;$BC$1,周转筐出入库明细!$B$4:$B$2004,"&lt;="&amp;$BC$2))</f>
        <v/>
      </c>
      <c r="N142" s="67" t="str">
        <f t="shared" si="26"/>
        <v/>
      </c>
      <c r="O142" s="25" t="str">
        <f>IF(OR($B142="",基础资料!$B$4=""),"",SUMIFS(周转筐出入库明细!$H$4:$H$2004,周转筐出入库明细!$C$4:$C$2004,$B142,周转筐出入库明细!$D$4:$D$2004,基础资料!$B$4,周转筐出入库明细!$F$4:$F$2004,"采购入库",周转筐出入库明细!$B$4:$B$2004,"&gt;="&amp;$BC$1,周转筐出入库明细!$B$4:$B$2004,"&lt;="&amp;$BC$2))</f>
        <v/>
      </c>
      <c r="P142" s="25" t="str">
        <f>IF(OR($B142="",基础资料!$B$5=""),"",SUMIFS(周转筐出入库明细!$H$4:$H$2004,周转筐出入库明细!$C$4:$C$2004,$B142,周转筐出入库明细!$D$4:$D$2004,基础资料!$B$5,周转筐出入库明细!$F$4:$F$2004,"采购入库",周转筐出入库明细!$B$4:$B$2004,"&gt;="&amp;$BC$1,周转筐出入库明细!$B$4:$B$2004,"&lt;="&amp;$BC$2))</f>
        <v/>
      </c>
      <c r="Q142" s="25" t="str">
        <f>IF(OR($B142="",基础资料!$B$6=""),"",SUMIFS(周转筐出入库明细!$H$4:$H$2004,周转筐出入库明细!$C$4:$C$2004,$B142,周转筐出入库明细!$D$4:$D$2004,基础资料!$B$6,周转筐出入库明细!$F$4:$F$2004,"采购入库",周转筐出入库明细!$B$4:$B$2004,"&gt;="&amp;$BC$1,周转筐出入库明细!$B$4:$B$2004,"&lt;="&amp;$BC$2))</f>
        <v/>
      </c>
      <c r="R142" s="25" t="str">
        <f>IF(OR($B142="",基础资料!$B$7=""),"",SUMIFS(周转筐出入库明细!$H$4:$H$2004,周转筐出入库明细!$C$4:$C$2004,$B142,周转筐出入库明细!$D$4:$D$2004,基础资料!$B$7,周转筐出入库明细!$F$4:$F$2004,"采购入库",周转筐出入库明细!$B$4:$B$2004,"&gt;="&amp;$BC$1,周转筐出入库明细!$B$4:$B$2004,"&lt;="&amp;$BC$2))</f>
        <v/>
      </c>
      <c r="S142" s="25" t="str">
        <f>IF(OR($B142="",基础资料!$B$8=""),"",SUMIFS(周转筐出入库明细!$H$4:$H$2004,周转筐出入库明细!$C$4:$C$2004,$B142,周转筐出入库明细!$D$4:$D$2004,基础资料!$B$8,周转筐出入库明细!$F$4:$F$2004,"采购入库",周转筐出入库明细!$B$4:$B$2004,"&gt;="&amp;$BC$1,周转筐出入库明细!$B$4:$B$2004,"&lt;="&amp;$BC$2))</f>
        <v/>
      </c>
      <c r="T142" s="25" t="str">
        <f t="shared" si="27"/>
        <v/>
      </c>
      <c r="U142" s="25" t="str">
        <f>IF(OR($B142="",基础资料!$B$4=""),"",SUMIFS(周转筐出入库明细!$K$4:$K$2004,周转筐出入库明细!$C$4:$C$2004,$B142,周转筐出入库明细!$D$4:$D$2004,基础资料!$B$4,周转筐出入库明细!$B$4:$B$2004,"&gt;="&amp;$BC$1,周转筐出入库明细!$B$4:$B$2004,"&lt;="&amp;$BC$2))</f>
        <v/>
      </c>
      <c r="V142" s="25" t="str">
        <f>IF(OR($B142="",基础资料!$B$5=""),"",SUMIFS(周转筐出入库明细!$K$4:$K$2004,周转筐出入库明细!$C$4:$C$2004,$B142,周转筐出入库明细!$D$4:$D$2004,基础资料!$B$5,周转筐出入库明细!$B$4:$B$2004,"&gt;="&amp;$BC$1,周转筐出入库明细!$B$4:$B$2004,"&lt;="&amp;$BC$2))</f>
        <v/>
      </c>
      <c r="W142" s="25" t="str">
        <f>IF(OR($B142="",基础资料!$B$6=""),"",SUMIFS(周转筐出入库明细!$K$4:$K$2004,周转筐出入库明细!$C$4:$C$2004,$B142,周转筐出入库明细!$D$4:$D$2004,基础资料!$B$6,周转筐出入库明细!$B$4:$B$2004,"&gt;="&amp;$BC$1,周转筐出入库明细!$B$4:$B$2004,"&lt;="&amp;$BC$2))</f>
        <v/>
      </c>
      <c r="X142" s="25" t="str">
        <f>IF(OR($B142="",基础资料!$B$7=""),"",SUMIFS(周转筐出入库明细!$K$4:$K$2004,周转筐出入库明细!$C$4:$C$2004,$B142,周转筐出入库明细!$D$4:$D$2004,基础资料!$B$7,周转筐出入库明细!$B$4:$B$2004,"&gt;="&amp;$BC$1,周转筐出入库明细!$B$4:$B$2004,"&lt;="&amp;$BC$2))</f>
        <v/>
      </c>
      <c r="Y142" s="25" t="str">
        <f>IF(OR($B142="",基础资料!$B$8=""),"",SUMIFS(周转筐出入库明细!$K$4:$K$2004,周转筐出入库明细!$C$4:$C$2004,$B142,周转筐出入库明细!$D$4:$D$2004,基础资料!$B$8,周转筐出入库明细!$B$4:$B$2004,"&gt;="&amp;$BC$1,周转筐出入库明细!$B$4:$B$2004,"&lt;="&amp;$BC$2))</f>
        <v/>
      </c>
      <c r="Z142" s="25" t="str">
        <f t="shared" si="28"/>
        <v/>
      </c>
      <c r="AA142" s="67" t="str">
        <f>IF(OR($B142="",基础资料!$B$4=""),"",-SUMIFS(对接源_01水果筐数!$D$5:$D$304,对接源_01水果筐数!$B$5:$B$304,$B142,对接源_01水果筐数!$C$5:$C$304,基础资料!$B$4))</f>
        <v/>
      </c>
      <c r="AB142" s="67" t="str">
        <f>IF(OR($B142="",基础资料!$B$5=""),"",-SUMIFS(对接源_01水果筐数!$D$5:$D$304,对接源_01水果筐数!$B$5:$B$304,$B142,对接源_01水果筐数!$C$5:$C$304,基础资料!$B$5))</f>
        <v/>
      </c>
      <c r="AC142" s="67" t="str">
        <f>IF(OR($B142="",基础资料!$B$6=""),"",-SUMIFS(对接源_01水果筐数!$D$5:$D$304,对接源_01水果筐数!$B$5:$B$304,$B142,对接源_01水果筐数!$C$5:$C$304,基础资料!$B$6))</f>
        <v/>
      </c>
      <c r="AD142" s="67" t="str">
        <f>IF(OR($B142="",基础资料!$B$7=""),"",-SUMIFS(对接源_01水果筐数!$D$5:$D$304,对接源_01水果筐数!$B$5:$B$304,$B142,对接源_01水果筐数!$C$5:$C$304,基础资料!$B$7))</f>
        <v/>
      </c>
      <c r="AE142" s="67" t="str">
        <f>IF(OR($B142="",基础资料!$B$8=""),"",-SUMIFS(对接源_01水果筐数!$D$5:$D$304,对接源_01水果筐数!$B$5:$B$304,$B142,对接源_01水果筐数!$C$5:$C$304,基础资料!$B$8))</f>
        <v/>
      </c>
      <c r="AF142" s="25" t="str">
        <f>IF(OR($B142="",基础资料!$B$4=""),"",SUMIFS(对接源_01水果筐数!$E$5:$E$304,对接源_01水果筐数!$B$5:$B$304,$B142,对接源_01水果筐数!$C$5:$C$304,基础资料!$B$4))</f>
        <v/>
      </c>
      <c r="AG142" s="25" t="str">
        <f>IF(OR($B142="",基础资料!$B$5=""),"",SUMIFS(对接源_01水果筐数!$E$5:$E$304,对接源_01水果筐数!$B$5:$B$304,$B142,对接源_01水果筐数!$C$5:$C$304,基础资料!$B$5))</f>
        <v/>
      </c>
      <c r="AH142" s="25" t="str">
        <f>IF(OR($B142="",基础资料!$B$6=""),"",SUMIFS(对接源_01水果筐数!$E$5:$E$304,对接源_01水果筐数!$B$5:$B$304,$B142,对接源_01水果筐数!$C$5:$C$304,基础资料!$B$6))</f>
        <v/>
      </c>
      <c r="AI142" s="25" t="str">
        <f>IF(OR($B142="",基础资料!$B$7=""),"",SUMIFS(对接源_01水果筐数!$E$5:$E$304,对接源_01水果筐数!$B$5:$B$304,$B142,对接源_01水果筐数!$C$5:$C$304,基础资料!$B$7))</f>
        <v/>
      </c>
      <c r="AJ142" s="25" t="str">
        <f>IF(OR($B142="",基础资料!$B$8=""),"",SUMIFS(对接源_01水果筐数!$E$5:$E$304,对接源_01水果筐数!$B$5:$B$304,$B142,对接源_01水果筐数!$C$5:$C$304,基础资料!$B$8))</f>
        <v/>
      </c>
      <c r="AK142" s="25" t="str">
        <f>IF(OR($B142="",基础资料!$B$4=""),"",SUMIFS(对接源_01水果筐数!$F$5:$F$304,对接源_01水果筐数!$B$5:$B$304,$B142,对接源_01水果筐数!$C$5:$C$304,基础资料!$B$4))</f>
        <v/>
      </c>
      <c r="AL142" s="25" t="str">
        <f>IF(OR($B142="",基础资料!$B$5=""),"",SUMIFS(对接源_01水果筐数!$F$5:$F$304,对接源_01水果筐数!$B$5:$B$304,$B142,对接源_01水果筐数!$C$5:$C$304,基础资料!$B$5))</f>
        <v/>
      </c>
      <c r="AM142" s="25" t="str">
        <f>IF(OR($B142="",基础资料!$B$6=""),"",SUMIFS(对接源_01水果筐数!$F$5:$F$304,对接源_01水果筐数!$B$5:$B$304,$B142,对接源_01水果筐数!$C$5:$C$304,基础资料!$B$6))</f>
        <v/>
      </c>
      <c r="AN142" s="25" t="str">
        <f>IF(OR($B142="",基础资料!$B$7=""),"",SUMIFS(对接源_01水果筐数!$F$5:$F$304,对接源_01水果筐数!$B$5:$B$304,$B142,对接源_01水果筐数!$C$5:$C$304,基础资料!$B$7))</f>
        <v/>
      </c>
      <c r="AO142" s="25" t="str">
        <f>IF(OR($B142="",基础资料!$B$8=""),"",SUMIFS(对接源_01水果筐数!$F$5:$F$304,对接源_01水果筐数!$B$5:$B$304,$B142,对接源_01水果筐数!$C$5:$C$304,基础资料!$B$8))</f>
        <v/>
      </c>
      <c r="AP142" s="25" t="str">
        <f t="shared" si="29"/>
        <v/>
      </c>
      <c r="AQ142" s="25" t="str">
        <f t="shared" si="30"/>
        <v/>
      </c>
      <c r="AR142" s="25" t="str">
        <f t="shared" si="31"/>
        <v/>
      </c>
      <c r="AS142" s="25" t="str">
        <f t="shared" si="32"/>
        <v/>
      </c>
      <c r="AT142" s="25" t="str">
        <f t="shared" si="33"/>
        <v/>
      </c>
      <c r="AU142" s="25" t="str">
        <f t="shared" si="34"/>
        <v/>
      </c>
      <c r="AV142" s="24" t="str">
        <f t="shared" si="35"/>
        <v/>
      </c>
      <c r="AW142" s="72"/>
    </row>
    <row r="143" spans="1:49">
      <c r="A143" s="22" t="str">
        <f t="shared" si="24"/>
        <v/>
      </c>
      <c r="B143" s="24" t="str">
        <f>IFERROR(INDEX(_自动清单!$CC$4:$CC$253,ROW()-3),"")</f>
        <v/>
      </c>
      <c r="C143" s="25" t="str">
        <f>IF(OR($B143="",基础资料!$B$4=""),"",SUMIFS(周转筐出入库明细!$J$4:$J$2004,周转筐出入库明细!$C$4:$C$2004,$B143,周转筐出入库明细!$D$4:$D$2004,基础资料!$B$4,周转筐出入库明细!$B$4:$B$2004,"&gt;="&amp;$BC$1,周转筐出入库明细!$B$4:$B$2004,"&lt;="&amp;$BC$2))</f>
        <v/>
      </c>
      <c r="D143" s="25" t="str">
        <f>IF(OR($B143="",基础资料!$B$5=""),"",SUMIFS(周转筐出入库明细!$J$4:$J$2004,周转筐出入库明细!$C$4:$C$2004,$B143,周转筐出入库明细!$D$4:$D$2004,基础资料!$B$5,周转筐出入库明细!$B$4:$B$2004,"&gt;="&amp;$BC$1,周转筐出入库明细!$B$4:$B$2004,"&lt;="&amp;$BC$2))</f>
        <v/>
      </c>
      <c r="E143" s="25" t="str">
        <f>IF(OR($B143="",基础资料!$B$6=""),"",SUMIFS(周转筐出入库明细!$J$4:$J$2004,周转筐出入库明细!$C$4:$C$2004,$B143,周转筐出入库明细!$D$4:$D$2004,基础资料!$B$6,周转筐出入库明细!$B$4:$B$2004,"&gt;="&amp;$BC$1,周转筐出入库明细!$B$4:$B$2004,"&lt;="&amp;$BC$2))</f>
        <v/>
      </c>
      <c r="F143" s="25" t="str">
        <f>IF(OR($B143="",基础资料!$B$7=""),"",SUMIFS(周转筐出入库明细!$J$4:$J$2004,周转筐出入库明细!$C$4:$C$2004,$B143,周转筐出入库明细!$D$4:$D$2004,基础资料!$B$7,周转筐出入库明细!$B$4:$B$2004,"&gt;="&amp;$BC$1,周转筐出入库明细!$B$4:$B$2004,"&lt;="&amp;$BC$2))</f>
        <v/>
      </c>
      <c r="G143" s="25" t="str">
        <f>IF(OR($B143="",基础资料!$B$8=""),"",SUMIFS(周转筐出入库明细!$J$4:$J$2004,周转筐出入库明细!$C$4:$C$2004,$B143,周转筐出入库明细!$D$4:$D$2004,基础资料!$B$8,周转筐出入库明细!$B$4:$B$2004,"&gt;="&amp;$BC$1,周转筐出入库明细!$B$4:$B$2004,"&lt;="&amp;$BC$2))</f>
        <v/>
      </c>
      <c r="H143" s="25" t="str">
        <f t="shared" si="25"/>
        <v/>
      </c>
      <c r="I143" s="67" t="str">
        <f>IF(OR($B143="",基础资料!$B$4=""),"",-SUMIFS(周转筐出入库明细!$I$4:$I$2004,周转筐出入库明细!$C$4:$C$2004,$B143,周转筐出入库明细!$D$4:$D$2004,基础资料!$B$4,周转筐出入库明细!$B$4:$B$2004,"&gt;="&amp;$BC$1,周转筐出入库明细!$B$4:$B$2004,"&lt;="&amp;$BC$2))</f>
        <v/>
      </c>
      <c r="J143" s="67" t="str">
        <f>IF(OR($B143="",基础资料!$B$5=""),"",-SUMIFS(周转筐出入库明细!$I$4:$I$2004,周转筐出入库明细!$C$4:$C$2004,$B143,周转筐出入库明细!$D$4:$D$2004,基础资料!$B$5,周转筐出入库明细!$B$4:$B$2004,"&gt;="&amp;$BC$1,周转筐出入库明细!$B$4:$B$2004,"&lt;="&amp;$BC$2))</f>
        <v/>
      </c>
      <c r="K143" s="67" t="str">
        <f>IF(OR($B143="",基础资料!$B$6=""),"",-SUMIFS(周转筐出入库明细!$I$4:$I$2004,周转筐出入库明细!$C$4:$C$2004,$B143,周转筐出入库明细!$D$4:$D$2004,基础资料!$B$6,周转筐出入库明细!$B$4:$B$2004,"&gt;="&amp;$BC$1,周转筐出入库明细!$B$4:$B$2004,"&lt;="&amp;$BC$2))</f>
        <v/>
      </c>
      <c r="L143" s="67" t="str">
        <f>IF(OR($B143="",基础资料!$B$7=""),"",-SUMIFS(周转筐出入库明细!$I$4:$I$2004,周转筐出入库明细!$C$4:$C$2004,$B143,周转筐出入库明细!$D$4:$D$2004,基础资料!$B$7,周转筐出入库明细!$B$4:$B$2004,"&gt;="&amp;$BC$1,周转筐出入库明细!$B$4:$B$2004,"&lt;="&amp;$BC$2))</f>
        <v/>
      </c>
      <c r="M143" s="67" t="str">
        <f>IF(OR($B143="",基础资料!$B$8=""),"",-SUMIFS(周转筐出入库明细!$I$4:$I$2004,周转筐出入库明细!$C$4:$C$2004,$B143,周转筐出入库明细!$D$4:$D$2004,基础资料!$B$8,周转筐出入库明细!$B$4:$B$2004,"&gt;="&amp;$BC$1,周转筐出入库明细!$B$4:$B$2004,"&lt;="&amp;$BC$2))</f>
        <v/>
      </c>
      <c r="N143" s="67" t="str">
        <f t="shared" si="26"/>
        <v/>
      </c>
      <c r="O143" s="25" t="str">
        <f>IF(OR($B143="",基础资料!$B$4=""),"",SUMIFS(周转筐出入库明细!$H$4:$H$2004,周转筐出入库明细!$C$4:$C$2004,$B143,周转筐出入库明细!$D$4:$D$2004,基础资料!$B$4,周转筐出入库明细!$F$4:$F$2004,"采购入库",周转筐出入库明细!$B$4:$B$2004,"&gt;="&amp;$BC$1,周转筐出入库明细!$B$4:$B$2004,"&lt;="&amp;$BC$2))</f>
        <v/>
      </c>
      <c r="P143" s="25" t="str">
        <f>IF(OR($B143="",基础资料!$B$5=""),"",SUMIFS(周转筐出入库明细!$H$4:$H$2004,周转筐出入库明细!$C$4:$C$2004,$B143,周转筐出入库明细!$D$4:$D$2004,基础资料!$B$5,周转筐出入库明细!$F$4:$F$2004,"采购入库",周转筐出入库明细!$B$4:$B$2004,"&gt;="&amp;$BC$1,周转筐出入库明细!$B$4:$B$2004,"&lt;="&amp;$BC$2))</f>
        <v/>
      </c>
      <c r="Q143" s="25" t="str">
        <f>IF(OR($B143="",基础资料!$B$6=""),"",SUMIFS(周转筐出入库明细!$H$4:$H$2004,周转筐出入库明细!$C$4:$C$2004,$B143,周转筐出入库明细!$D$4:$D$2004,基础资料!$B$6,周转筐出入库明细!$F$4:$F$2004,"采购入库",周转筐出入库明细!$B$4:$B$2004,"&gt;="&amp;$BC$1,周转筐出入库明细!$B$4:$B$2004,"&lt;="&amp;$BC$2))</f>
        <v/>
      </c>
      <c r="R143" s="25" t="str">
        <f>IF(OR($B143="",基础资料!$B$7=""),"",SUMIFS(周转筐出入库明细!$H$4:$H$2004,周转筐出入库明细!$C$4:$C$2004,$B143,周转筐出入库明细!$D$4:$D$2004,基础资料!$B$7,周转筐出入库明细!$F$4:$F$2004,"采购入库",周转筐出入库明细!$B$4:$B$2004,"&gt;="&amp;$BC$1,周转筐出入库明细!$B$4:$B$2004,"&lt;="&amp;$BC$2))</f>
        <v/>
      </c>
      <c r="S143" s="25" t="str">
        <f>IF(OR($B143="",基础资料!$B$8=""),"",SUMIFS(周转筐出入库明细!$H$4:$H$2004,周转筐出入库明细!$C$4:$C$2004,$B143,周转筐出入库明细!$D$4:$D$2004,基础资料!$B$8,周转筐出入库明细!$F$4:$F$2004,"采购入库",周转筐出入库明细!$B$4:$B$2004,"&gt;="&amp;$BC$1,周转筐出入库明细!$B$4:$B$2004,"&lt;="&amp;$BC$2))</f>
        <v/>
      </c>
      <c r="T143" s="25" t="str">
        <f t="shared" si="27"/>
        <v/>
      </c>
      <c r="U143" s="25" t="str">
        <f>IF(OR($B143="",基础资料!$B$4=""),"",SUMIFS(周转筐出入库明细!$K$4:$K$2004,周转筐出入库明细!$C$4:$C$2004,$B143,周转筐出入库明细!$D$4:$D$2004,基础资料!$B$4,周转筐出入库明细!$B$4:$B$2004,"&gt;="&amp;$BC$1,周转筐出入库明细!$B$4:$B$2004,"&lt;="&amp;$BC$2))</f>
        <v/>
      </c>
      <c r="V143" s="25" t="str">
        <f>IF(OR($B143="",基础资料!$B$5=""),"",SUMIFS(周转筐出入库明细!$K$4:$K$2004,周转筐出入库明细!$C$4:$C$2004,$B143,周转筐出入库明细!$D$4:$D$2004,基础资料!$B$5,周转筐出入库明细!$B$4:$B$2004,"&gt;="&amp;$BC$1,周转筐出入库明细!$B$4:$B$2004,"&lt;="&amp;$BC$2))</f>
        <v/>
      </c>
      <c r="W143" s="25" t="str">
        <f>IF(OR($B143="",基础资料!$B$6=""),"",SUMIFS(周转筐出入库明细!$K$4:$K$2004,周转筐出入库明细!$C$4:$C$2004,$B143,周转筐出入库明细!$D$4:$D$2004,基础资料!$B$6,周转筐出入库明细!$B$4:$B$2004,"&gt;="&amp;$BC$1,周转筐出入库明细!$B$4:$B$2004,"&lt;="&amp;$BC$2))</f>
        <v/>
      </c>
      <c r="X143" s="25" t="str">
        <f>IF(OR($B143="",基础资料!$B$7=""),"",SUMIFS(周转筐出入库明细!$K$4:$K$2004,周转筐出入库明细!$C$4:$C$2004,$B143,周转筐出入库明细!$D$4:$D$2004,基础资料!$B$7,周转筐出入库明细!$B$4:$B$2004,"&gt;="&amp;$BC$1,周转筐出入库明细!$B$4:$B$2004,"&lt;="&amp;$BC$2))</f>
        <v/>
      </c>
      <c r="Y143" s="25" t="str">
        <f>IF(OR($B143="",基础资料!$B$8=""),"",SUMIFS(周转筐出入库明细!$K$4:$K$2004,周转筐出入库明细!$C$4:$C$2004,$B143,周转筐出入库明细!$D$4:$D$2004,基础资料!$B$8,周转筐出入库明细!$B$4:$B$2004,"&gt;="&amp;$BC$1,周转筐出入库明细!$B$4:$B$2004,"&lt;="&amp;$BC$2))</f>
        <v/>
      </c>
      <c r="Z143" s="25" t="str">
        <f t="shared" si="28"/>
        <v/>
      </c>
      <c r="AA143" s="67" t="str">
        <f>IF(OR($B143="",基础资料!$B$4=""),"",-SUMIFS(对接源_01水果筐数!$D$5:$D$304,对接源_01水果筐数!$B$5:$B$304,$B143,对接源_01水果筐数!$C$5:$C$304,基础资料!$B$4))</f>
        <v/>
      </c>
      <c r="AB143" s="67" t="str">
        <f>IF(OR($B143="",基础资料!$B$5=""),"",-SUMIFS(对接源_01水果筐数!$D$5:$D$304,对接源_01水果筐数!$B$5:$B$304,$B143,对接源_01水果筐数!$C$5:$C$304,基础资料!$B$5))</f>
        <v/>
      </c>
      <c r="AC143" s="67" t="str">
        <f>IF(OR($B143="",基础资料!$B$6=""),"",-SUMIFS(对接源_01水果筐数!$D$5:$D$304,对接源_01水果筐数!$B$5:$B$304,$B143,对接源_01水果筐数!$C$5:$C$304,基础资料!$B$6))</f>
        <v/>
      </c>
      <c r="AD143" s="67" t="str">
        <f>IF(OR($B143="",基础资料!$B$7=""),"",-SUMIFS(对接源_01水果筐数!$D$5:$D$304,对接源_01水果筐数!$B$5:$B$304,$B143,对接源_01水果筐数!$C$5:$C$304,基础资料!$B$7))</f>
        <v/>
      </c>
      <c r="AE143" s="67" t="str">
        <f>IF(OR($B143="",基础资料!$B$8=""),"",-SUMIFS(对接源_01水果筐数!$D$5:$D$304,对接源_01水果筐数!$B$5:$B$304,$B143,对接源_01水果筐数!$C$5:$C$304,基础资料!$B$8))</f>
        <v/>
      </c>
      <c r="AF143" s="25" t="str">
        <f>IF(OR($B143="",基础资料!$B$4=""),"",SUMIFS(对接源_01水果筐数!$E$5:$E$304,对接源_01水果筐数!$B$5:$B$304,$B143,对接源_01水果筐数!$C$5:$C$304,基础资料!$B$4))</f>
        <v/>
      </c>
      <c r="AG143" s="25" t="str">
        <f>IF(OR($B143="",基础资料!$B$5=""),"",SUMIFS(对接源_01水果筐数!$E$5:$E$304,对接源_01水果筐数!$B$5:$B$304,$B143,对接源_01水果筐数!$C$5:$C$304,基础资料!$B$5))</f>
        <v/>
      </c>
      <c r="AH143" s="25" t="str">
        <f>IF(OR($B143="",基础资料!$B$6=""),"",SUMIFS(对接源_01水果筐数!$E$5:$E$304,对接源_01水果筐数!$B$5:$B$304,$B143,对接源_01水果筐数!$C$5:$C$304,基础资料!$B$6))</f>
        <v/>
      </c>
      <c r="AI143" s="25" t="str">
        <f>IF(OR($B143="",基础资料!$B$7=""),"",SUMIFS(对接源_01水果筐数!$E$5:$E$304,对接源_01水果筐数!$B$5:$B$304,$B143,对接源_01水果筐数!$C$5:$C$304,基础资料!$B$7))</f>
        <v/>
      </c>
      <c r="AJ143" s="25" t="str">
        <f>IF(OR($B143="",基础资料!$B$8=""),"",SUMIFS(对接源_01水果筐数!$E$5:$E$304,对接源_01水果筐数!$B$5:$B$304,$B143,对接源_01水果筐数!$C$5:$C$304,基础资料!$B$8))</f>
        <v/>
      </c>
      <c r="AK143" s="25" t="str">
        <f>IF(OR($B143="",基础资料!$B$4=""),"",SUMIFS(对接源_01水果筐数!$F$5:$F$304,对接源_01水果筐数!$B$5:$B$304,$B143,对接源_01水果筐数!$C$5:$C$304,基础资料!$B$4))</f>
        <v/>
      </c>
      <c r="AL143" s="25" t="str">
        <f>IF(OR($B143="",基础资料!$B$5=""),"",SUMIFS(对接源_01水果筐数!$F$5:$F$304,对接源_01水果筐数!$B$5:$B$304,$B143,对接源_01水果筐数!$C$5:$C$304,基础资料!$B$5))</f>
        <v/>
      </c>
      <c r="AM143" s="25" t="str">
        <f>IF(OR($B143="",基础资料!$B$6=""),"",SUMIFS(对接源_01水果筐数!$F$5:$F$304,对接源_01水果筐数!$B$5:$B$304,$B143,对接源_01水果筐数!$C$5:$C$304,基础资料!$B$6))</f>
        <v/>
      </c>
      <c r="AN143" s="25" t="str">
        <f>IF(OR($B143="",基础资料!$B$7=""),"",SUMIFS(对接源_01水果筐数!$F$5:$F$304,对接源_01水果筐数!$B$5:$B$304,$B143,对接源_01水果筐数!$C$5:$C$304,基础资料!$B$7))</f>
        <v/>
      </c>
      <c r="AO143" s="25" t="str">
        <f>IF(OR($B143="",基础资料!$B$8=""),"",SUMIFS(对接源_01水果筐数!$F$5:$F$304,对接源_01水果筐数!$B$5:$B$304,$B143,对接源_01水果筐数!$C$5:$C$304,基础资料!$B$8))</f>
        <v/>
      </c>
      <c r="AP143" s="25" t="str">
        <f t="shared" si="29"/>
        <v/>
      </c>
      <c r="AQ143" s="25" t="str">
        <f t="shared" si="30"/>
        <v/>
      </c>
      <c r="AR143" s="25" t="str">
        <f t="shared" si="31"/>
        <v/>
      </c>
      <c r="AS143" s="25" t="str">
        <f t="shared" si="32"/>
        <v/>
      </c>
      <c r="AT143" s="25" t="str">
        <f t="shared" si="33"/>
        <v/>
      </c>
      <c r="AU143" s="25" t="str">
        <f t="shared" si="34"/>
        <v/>
      </c>
      <c r="AV143" s="24" t="str">
        <f t="shared" si="35"/>
        <v/>
      </c>
      <c r="AW143" s="72"/>
    </row>
    <row r="144" spans="1:49">
      <c r="A144" s="22" t="str">
        <f t="shared" si="24"/>
        <v/>
      </c>
      <c r="B144" s="24" t="str">
        <f>IFERROR(INDEX(_自动清单!$CC$4:$CC$253,ROW()-3),"")</f>
        <v/>
      </c>
      <c r="C144" s="25" t="str">
        <f>IF(OR($B144="",基础资料!$B$4=""),"",SUMIFS(周转筐出入库明细!$J$4:$J$2004,周转筐出入库明细!$C$4:$C$2004,$B144,周转筐出入库明细!$D$4:$D$2004,基础资料!$B$4,周转筐出入库明细!$B$4:$B$2004,"&gt;="&amp;$BC$1,周转筐出入库明细!$B$4:$B$2004,"&lt;="&amp;$BC$2))</f>
        <v/>
      </c>
      <c r="D144" s="25" t="str">
        <f>IF(OR($B144="",基础资料!$B$5=""),"",SUMIFS(周转筐出入库明细!$J$4:$J$2004,周转筐出入库明细!$C$4:$C$2004,$B144,周转筐出入库明细!$D$4:$D$2004,基础资料!$B$5,周转筐出入库明细!$B$4:$B$2004,"&gt;="&amp;$BC$1,周转筐出入库明细!$B$4:$B$2004,"&lt;="&amp;$BC$2))</f>
        <v/>
      </c>
      <c r="E144" s="25" t="str">
        <f>IF(OR($B144="",基础资料!$B$6=""),"",SUMIFS(周转筐出入库明细!$J$4:$J$2004,周转筐出入库明细!$C$4:$C$2004,$B144,周转筐出入库明细!$D$4:$D$2004,基础资料!$B$6,周转筐出入库明细!$B$4:$B$2004,"&gt;="&amp;$BC$1,周转筐出入库明细!$B$4:$B$2004,"&lt;="&amp;$BC$2))</f>
        <v/>
      </c>
      <c r="F144" s="25" t="str">
        <f>IF(OR($B144="",基础资料!$B$7=""),"",SUMIFS(周转筐出入库明细!$J$4:$J$2004,周转筐出入库明细!$C$4:$C$2004,$B144,周转筐出入库明细!$D$4:$D$2004,基础资料!$B$7,周转筐出入库明细!$B$4:$B$2004,"&gt;="&amp;$BC$1,周转筐出入库明细!$B$4:$B$2004,"&lt;="&amp;$BC$2))</f>
        <v/>
      </c>
      <c r="G144" s="25" t="str">
        <f>IF(OR($B144="",基础资料!$B$8=""),"",SUMIFS(周转筐出入库明细!$J$4:$J$2004,周转筐出入库明细!$C$4:$C$2004,$B144,周转筐出入库明细!$D$4:$D$2004,基础资料!$B$8,周转筐出入库明细!$B$4:$B$2004,"&gt;="&amp;$BC$1,周转筐出入库明细!$B$4:$B$2004,"&lt;="&amp;$BC$2))</f>
        <v/>
      </c>
      <c r="H144" s="25" t="str">
        <f t="shared" si="25"/>
        <v/>
      </c>
      <c r="I144" s="67" t="str">
        <f>IF(OR($B144="",基础资料!$B$4=""),"",-SUMIFS(周转筐出入库明细!$I$4:$I$2004,周转筐出入库明细!$C$4:$C$2004,$B144,周转筐出入库明细!$D$4:$D$2004,基础资料!$B$4,周转筐出入库明细!$B$4:$B$2004,"&gt;="&amp;$BC$1,周转筐出入库明细!$B$4:$B$2004,"&lt;="&amp;$BC$2))</f>
        <v/>
      </c>
      <c r="J144" s="67" t="str">
        <f>IF(OR($B144="",基础资料!$B$5=""),"",-SUMIFS(周转筐出入库明细!$I$4:$I$2004,周转筐出入库明细!$C$4:$C$2004,$B144,周转筐出入库明细!$D$4:$D$2004,基础资料!$B$5,周转筐出入库明细!$B$4:$B$2004,"&gt;="&amp;$BC$1,周转筐出入库明细!$B$4:$B$2004,"&lt;="&amp;$BC$2))</f>
        <v/>
      </c>
      <c r="K144" s="67" t="str">
        <f>IF(OR($B144="",基础资料!$B$6=""),"",-SUMIFS(周转筐出入库明细!$I$4:$I$2004,周转筐出入库明细!$C$4:$C$2004,$B144,周转筐出入库明细!$D$4:$D$2004,基础资料!$B$6,周转筐出入库明细!$B$4:$B$2004,"&gt;="&amp;$BC$1,周转筐出入库明细!$B$4:$B$2004,"&lt;="&amp;$BC$2))</f>
        <v/>
      </c>
      <c r="L144" s="67" t="str">
        <f>IF(OR($B144="",基础资料!$B$7=""),"",-SUMIFS(周转筐出入库明细!$I$4:$I$2004,周转筐出入库明细!$C$4:$C$2004,$B144,周转筐出入库明细!$D$4:$D$2004,基础资料!$B$7,周转筐出入库明细!$B$4:$B$2004,"&gt;="&amp;$BC$1,周转筐出入库明细!$B$4:$B$2004,"&lt;="&amp;$BC$2))</f>
        <v/>
      </c>
      <c r="M144" s="67" t="str">
        <f>IF(OR($B144="",基础资料!$B$8=""),"",-SUMIFS(周转筐出入库明细!$I$4:$I$2004,周转筐出入库明细!$C$4:$C$2004,$B144,周转筐出入库明细!$D$4:$D$2004,基础资料!$B$8,周转筐出入库明细!$B$4:$B$2004,"&gt;="&amp;$BC$1,周转筐出入库明细!$B$4:$B$2004,"&lt;="&amp;$BC$2))</f>
        <v/>
      </c>
      <c r="N144" s="67" t="str">
        <f t="shared" si="26"/>
        <v/>
      </c>
      <c r="O144" s="25" t="str">
        <f>IF(OR($B144="",基础资料!$B$4=""),"",SUMIFS(周转筐出入库明细!$H$4:$H$2004,周转筐出入库明细!$C$4:$C$2004,$B144,周转筐出入库明细!$D$4:$D$2004,基础资料!$B$4,周转筐出入库明细!$F$4:$F$2004,"采购入库",周转筐出入库明细!$B$4:$B$2004,"&gt;="&amp;$BC$1,周转筐出入库明细!$B$4:$B$2004,"&lt;="&amp;$BC$2))</f>
        <v/>
      </c>
      <c r="P144" s="25" t="str">
        <f>IF(OR($B144="",基础资料!$B$5=""),"",SUMIFS(周转筐出入库明细!$H$4:$H$2004,周转筐出入库明细!$C$4:$C$2004,$B144,周转筐出入库明细!$D$4:$D$2004,基础资料!$B$5,周转筐出入库明细!$F$4:$F$2004,"采购入库",周转筐出入库明细!$B$4:$B$2004,"&gt;="&amp;$BC$1,周转筐出入库明细!$B$4:$B$2004,"&lt;="&amp;$BC$2))</f>
        <v/>
      </c>
      <c r="Q144" s="25" t="str">
        <f>IF(OR($B144="",基础资料!$B$6=""),"",SUMIFS(周转筐出入库明细!$H$4:$H$2004,周转筐出入库明细!$C$4:$C$2004,$B144,周转筐出入库明细!$D$4:$D$2004,基础资料!$B$6,周转筐出入库明细!$F$4:$F$2004,"采购入库",周转筐出入库明细!$B$4:$B$2004,"&gt;="&amp;$BC$1,周转筐出入库明细!$B$4:$B$2004,"&lt;="&amp;$BC$2))</f>
        <v/>
      </c>
      <c r="R144" s="25" t="str">
        <f>IF(OR($B144="",基础资料!$B$7=""),"",SUMIFS(周转筐出入库明细!$H$4:$H$2004,周转筐出入库明细!$C$4:$C$2004,$B144,周转筐出入库明细!$D$4:$D$2004,基础资料!$B$7,周转筐出入库明细!$F$4:$F$2004,"采购入库",周转筐出入库明细!$B$4:$B$2004,"&gt;="&amp;$BC$1,周转筐出入库明细!$B$4:$B$2004,"&lt;="&amp;$BC$2))</f>
        <v/>
      </c>
      <c r="S144" s="25" t="str">
        <f>IF(OR($B144="",基础资料!$B$8=""),"",SUMIFS(周转筐出入库明细!$H$4:$H$2004,周转筐出入库明细!$C$4:$C$2004,$B144,周转筐出入库明细!$D$4:$D$2004,基础资料!$B$8,周转筐出入库明细!$F$4:$F$2004,"采购入库",周转筐出入库明细!$B$4:$B$2004,"&gt;="&amp;$BC$1,周转筐出入库明细!$B$4:$B$2004,"&lt;="&amp;$BC$2))</f>
        <v/>
      </c>
      <c r="T144" s="25" t="str">
        <f t="shared" si="27"/>
        <v/>
      </c>
      <c r="U144" s="25" t="str">
        <f>IF(OR($B144="",基础资料!$B$4=""),"",SUMIFS(周转筐出入库明细!$K$4:$K$2004,周转筐出入库明细!$C$4:$C$2004,$B144,周转筐出入库明细!$D$4:$D$2004,基础资料!$B$4,周转筐出入库明细!$B$4:$B$2004,"&gt;="&amp;$BC$1,周转筐出入库明细!$B$4:$B$2004,"&lt;="&amp;$BC$2))</f>
        <v/>
      </c>
      <c r="V144" s="25" t="str">
        <f>IF(OR($B144="",基础资料!$B$5=""),"",SUMIFS(周转筐出入库明细!$K$4:$K$2004,周转筐出入库明细!$C$4:$C$2004,$B144,周转筐出入库明细!$D$4:$D$2004,基础资料!$B$5,周转筐出入库明细!$B$4:$B$2004,"&gt;="&amp;$BC$1,周转筐出入库明细!$B$4:$B$2004,"&lt;="&amp;$BC$2))</f>
        <v/>
      </c>
      <c r="W144" s="25" t="str">
        <f>IF(OR($B144="",基础资料!$B$6=""),"",SUMIFS(周转筐出入库明细!$K$4:$K$2004,周转筐出入库明细!$C$4:$C$2004,$B144,周转筐出入库明细!$D$4:$D$2004,基础资料!$B$6,周转筐出入库明细!$B$4:$B$2004,"&gt;="&amp;$BC$1,周转筐出入库明细!$B$4:$B$2004,"&lt;="&amp;$BC$2))</f>
        <v/>
      </c>
      <c r="X144" s="25" t="str">
        <f>IF(OR($B144="",基础资料!$B$7=""),"",SUMIFS(周转筐出入库明细!$K$4:$K$2004,周转筐出入库明细!$C$4:$C$2004,$B144,周转筐出入库明细!$D$4:$D$2004,基础资料!$B$7,周转筐出入库明细!$B$4:$B$2004,"&gt;="&amp;$BC$1,周转筐出入库明细!$B$4:$B$2004,"&lt;="&amp;$BC$2))</f>
        <v/>
      </c>
      <c r="Y144" s="25" t="str">
        <f>IF(OR($B144="",基础资料!$B$8=""),"",SUMIFS(周转筐出入库明细!$K$4:$K$2004,周转筐出入库明细!$C$4:$C$2004,$B144,周转筐出入库明细!$D$4:$D$2004,基础资料!$B$8,周转筐出入库明细!$B$4:$B$2004,"&gt;="&amp;$BC$1,周转筐出入库明细!$B$4:$B$2004,"&lt;="&amp;$BC$2))</f>
        <v/>
      </c>
      <c r="Z144" s="25" t="str">
        <f t="shared" si="28"/>
        <v/>
      </c>
      <c r="AA144" s="67" t="str">
        <f>IF(OR($B144="",基础资料!$B$4=""),"",-SUMIFS(对接源_01水果筐数!$D$5:$D$304,对接源_01水果筐数!$B$5:$B$304,$B144,对接源_01水果筐数!$C$5:$C$304,基础资料!$B$4))</f>
        <v/>
      </c>
      <c r="AB144" s="67" t="str">
        <f>IF(OR($B144="",基础资料!$B$5=""),"",-SUMIFS(对接源_01水果筐数!$D$5:$D$304,对接源_01水果筐数!$B$5:$B$304,$B144,对接源_01水果筐数!$C$5:$C$304,基础资料!$B$5))</f>
        <v/>
      </c>
      <c r="AC144" s="67" t="str">
        <f>IF(OR($B144="",基础资料!$B$6=""),"",-SUMIFS(对接源_01水果筐数!$D$5:$D$304,对接源_01水果筐数!$B$5:$B$304,$B144,对接源_01水果筐数!$C$5:$C$304,基础资料!$B$6))</f>
        <v/>
      </c>
      <c r="AD144" s="67" t="str">
        <f>IF(OR($B144="",基础资料!$B$7=""),"",-SUMIFS(对接源_01水果筐数!$D$5:$D$304,对接源_01水果筐数!$B$5:$B$304,$B144,对接源_01水果筐数!$C$5:$C$304,基础资料!$B$7))</f>
        <v/>
      </c>
      <c r="AE144" s="67" t="str">
        <f>IF(OR($B144="",基础资料!$B$8=""),"",-SUMIFS(对接源_01水果筐数!$D$5:$D$304,对接源_01水果筐数!$B$5:$B$304,$B144,对接源_01水果筐数!$C$5:$C$304,基础资料!$B$8))</f>
        <v/>
      </c>
      <c r="AF144" s="25" t="str">
        <f>IF(OR($B144="",基础资料!$B$4=""),"",SUMIFS(对接源_01水果筐数!$E$5:$E$304,对接源_01水果筐数!$B$5:$B$304,$B144,对接源_01水果筐数!$C$5:$C$304,基础资料!$B$4))</f>
        <v/>
      </c>
      <c r="AG144" s="25" t="str">
        <f>IF(OR($B144="",基础资料!$B$5=""),"",SUMIFS(对接源_01水果筐数!$E$5:$E$304,对接源_01水果筐数!$B$5:$B$304,$B144,对接源_01水果筐数!$C$5:$C$304,基础资料!$B$5))</f>
        <v/>
      </c>
      <c r="AH144" s="25" t="str">
        <f>IF(OR($B144="",基础资料!$B$6=""),"",SUMIFS(对接源_01水果筐数!$E$5:$E$304,对接源_01水果筐数!$B$5:$B$304,$B144,对接源_01水果筐数!$C$5:$C$304,基础资料!$B$6))</f>
        <v/>
      </c>
      <c r="AI144" s="25" t="str">
        <f>IF(OR($B144="",基础资料!$B$7=""),"",SUMIFS(对接源_01水果筐数!$E$5:$E$304,对接源_01水果筐数!$B$5:$B$304,$B144,对接源_01水果筐数!$C$5:$C$304,基础资料!$B$7))</f>
        <v/>
      </c>
      <c r="AJ144" s="25" t="str">
        <f>IF(OR($B144="",基础资料!$B$8=""),"",SUMIFS(对接源_01水果筐数!$E$5:$E$304,对接源_01水果筐数!$B$5:$B$304,$B144,对接源_01水果筐数!$C$5:$C$304,基础资料!$B$8))</f>
        <v/>
      </c>
      <c r="AK144" s="25" t="str">
        <f>IF(OR($B144="",基础资料!$B$4=""),"",SUMIFS(对接源_01水果筐数!$F$5:$F$304,对接源_01水果筐数!$B$5:$B$304,$B144,对接源_01水果筐数!$C$5:$C$304,基础资料!$B$4))</f>
        <v/>
      </c>
      <c r="AL144" s="25" t="str">
        <f>IF(OR($B144="",基础资料!$B$5=""),"",SUMIFS(对接源_01水果筐数!$F$5:$F$304,对接源_01水果筐数!$B$5:$B$304,$B144,对接源_01水果筐数!$C$5:$C$304,基础资料!$B$5))</f>
        <v/>
      </c>
      <c r="AM144" s="25" t="str">
        <f>IF(OR($B144="",基础资料!$B$6=""),"",SUMIFS(对接源_01水果筐数!$F$5:$F$304,对接源_01水果筐数!$B$5:$B$304,$B144,对接源_01水果筐数!$C$5:$C$304,基础资料!$B$6))</f>
        <v/>
      </c>
      <c r="AN144" s="25" t="str">
        <f>IF(OR($B144="",基础资料!$B$7=""),"",SUMIFS(对接源_01水果筐数!$F$5:$F$304,对接源_01水果筐数!$B$5:$B$304,$B144,对接源_01水果筐数!$C$5:$C$304,基础资料!$B$7))</f>
        <v/>
      </c>
      <c r="AO144" s="25" t="str">
        <f>IF(OR($B144="",基础资料!$B$8=""),"",SUMIFS(对接源_01水果筐数!$F$5:$F$304,对接源_01水果筐数!$B$5:$B$304,$B144,对接源_01水果筐数!$C$5:$C$304,基础资料!$B$8))</f>
        <v/>
      </c>
      <c r="AP144" s="25" t="str">
        <f t="shared" si="29"/>
        <v/>
      </c>
      <c r="AQ144" s="25" t="str">
        <f t="shared" si="30"/>
        <v/>
      </c>
      <c r="AR144" s="25" t="str">
        <f t="shared" si="31"/>
        <v/>
      </c>
      <c r="AS144" s="25" t="str">
        <f t="shared" si="32"/>
        <v/>
      </c>
      <c r="AT144" s="25" t="str">
        <f t="shared" si="33"/>
        <v/>
      </c>
      <c r="AU144" s="25" t="str">
        <f t="shared" si="34"/>
        <v/>
      </c>
      <c r="AV144" s="24" t="str">
        <f t="shared" si="35"/>
        <v/>
      </c>
      <c r="AW144" s="72"/>
    </row>
    <row r="145" spans="1:49">
      <c r="A145" s="22" t="str">
        <f t="shared" si="24"/>
        <v/>
      </c>
      <c r="B145" s="24" t="str">
        <f>IFERROR(INDEX(_自动清单!$CC$4:$CC$253,ROW()-3),"")</f>
        <v/>
      </c>
      <c r="C145" s="25" t="str">
        <f>IF(OR($B145="",基础资料!$B$4=""),"",SUMIFS(周转筐出入库明细!$J$4:$J$2004,周转筐出入库明细!$C$4:$C$2004,$B145,周转筐出入库明细!$D$4:$D$2004,基础资料!$B$4,周转筐出入库明细!$B$4:$B$2004,"&gt;="&amp;$BC$1,周转筐出入库明细!$B$4:$B$2004,"&lt;="&amp;$BC$2))</f>
        <v/>
      </c>
      <c r="D145" s="25" t="str">
        <f>IF(OR($B145="",基础资料!$B$5=""),"",SUMIFS(周转筐出入库明细!$J$4:$J$2004,周转筐出入库明细!$C$4:$C$2004,$B145,周转筐出入库明细!$D$4:$D$2004,基础资料!$B$5,周转筐出入库明细!$B$4:$B$2004,"&gt;="&amp;$BC$1,周转筐出入库明细!$B$4:$B$2004,"&lt;="&amp;$BC$2))</f>
        <v/>
      </c>
      <c r="E145" s="25" t="str">
        <f>IF(OR($B145="",基础资料!$B$6=""),"",SUMIFS(周转筐出入库明细!$J$4:$J$2004,周转筐出入库明细!$C$4:$C$2004,$B145,周转筐出入库明细!$D$4:$D$2004,基础资料!$B$6,周转筐出入库明细!$B$4:$B$2004,"&gt;="&amp;$BC$1,周转筐出入库明细!$B$4:$B$2004,"&lt;="&amp;$BC$2))</f>
        <v/>
      </c>
      <c r="F145" s="25" t="str">
        <f>IF(OR($B145="",基础资料!$B$7=""),"",SUMIFS(周转筐出入库明细!$J$4:$J$2004,周转筐出入库明细!$C$4:$C$2004,$B145,周转筐出入库明细!$D$4:$D$2004,基础资料!$B$7,周转筐出入库明细!$B$4:$B$2004,"&gt;="&amp;$BC$1,周转筐出入库明细!$B$4:$B$2004,"&lt;="&amp;$BC$2))</f>
        <v/>
      </c>
      <c r="G145" s="25" t="str">
        <f>IF(OR($B145="",基础资料!$B$8=""),"",SUMIFS(周转筐出入库明细!$J$4:$J$2004,周转筐出入库明细!$C$4:$C$2004,$B145,周转筐出入库明细!$D$4:$D$2004,基础资料!$B$8,周转筐出入库明细!$B$4:$B$2004,"&gt;="&amp;$BC$1,周转筐出入库明细!$B$4:$B$2004,"&lt;="&amp;$BC$2))</f>
        <v/>
      </c>
      <c r="H145" s="25" t="str">
        <f t="shared" si="25"/>
        <v/>
      </c>
      <c r="I145" s="67" t="str">
        <f>IF(OR($B145="",基础资料!$B$4=""),"",-SUMIFS(周转筐出入库明细!$I$4:$I$2004,周转筐出入库明细!$C$4:$C$2004,$B145,周转筐出入库明细!$D$4:$D$2004,基础资料!$B$4,周转筐出入库明细!$B$4:$B$2004,"&gt;="&amp;$BC$1,周转筐出入库明细!$B$4:$B$2004,"&lt;="&amp;$BC$2))</f>
        <v/>
      </c>
      <c r="J145" s="67" t="str">
        <f>IF(OR($B145="",基础资料!$B$5=""),"",-SUMIFS(周转筐出入库明细!$I$4:$I$2004,周转筐出入库明细!$C$4:$C$2004,$B145,周转筐出入库明细!$D$4:$D$2004,基础资料!$B$5,周转筐出入库明细!$B$4:$B$2004,"&gt;="&amp;$BC$1,周转筐出入库明细!$B$4:$B$2004,"&lt;="&amp;$BC$2))</f>
        <v/>
      </c>
      <c r="K145" s="67" t="str">
        <f>IF(OR($B145="",基础资料!$B$6=""),"",-SUMIFS(周转筐出入库明细!$I$4:$I$2004,周转筐出入库明细!$C$4:$C$2004,$B145,周转筐出入库明细!$D$4:$D$2004,基础资料!$B$6,周转筐出入库明细!$B$4:$B$2004,"&gt;="&amp;$BC$1,周转筐出入库明细!$B$4:$B$2004,"&lt;="&amp;$BC$2))</f>
        <v/>
      </c>
      <c r="L145" s="67" t="str">
        <f>IF(OR($B145="",基础资料!$B$7=""),"",-SUMIFS(周转筐出入库明细!$I$4:$I$2004,周转筐出入库明细!$C$4:$C$2004,$B145,周转筐出入库明细!$D$4:$D$2004,基础资料!$B$7,周转筐出入库明细!$B$4:$B$2004,"&gt;="&amp;$BC$1,周转筐出入库明细!$B$4:$B$2004,"&lt;="&amp;$BC$2))</f>
        <v/>
      </c>
      <c r="M145" s="67" t="str">
        <f>IF(OR($B145="",基础资料!$B$8=""),"",-SUMIFS(周转筐出入库明细!$I$4:$I$2004,周转筐出入库明细!$C$4:$C$2004,$B145,周转筐出入库明细!$D$4:$D$2004,基础资料!$B$8,周转筐出入库明细!$B$4:$B$2004,"&gt;="&amp;$BC$1,周转筐出入库明细!$B$4:$B$2004,"&lt;="&amp;$BC$2))</f>
        <v/>
      </c>
      <c r="N145" s="67" t="str">
        <f t="shared" si="26"/>
        <v/>
      </c>
      <c r="O145" s="25" t="str">
        <f>IF(OR($B145="",基础资料!$B$4=""),"",SUMIFS(周转筐出入库明细!$H$4:$H$2004,周转筐出入库明细!$C$4:$C$2004,$B145,周转筐出入库明细!$D$4:$D$2004,基础资料!$B$4,周转筐出入库明细!$F$4:$F$2004,"采购入库",周转筐出入库明细!$B$4:$B$2004,"&gt;="&amp;$BC$1,周转筐出入库明细!$B$4:$B$2004,"&lt;="&amp;$BC$2))</f>
        <v/>
      </c>
      <c r="P145" s="25" t="str">
        <f>IF(OR($B145="",基础资料!$B$5=""),"",SUMIFS(周转筐出入库明细!$H$4:$H$2004,周转筐出入库明细!$C$4:$C$2004,$B145,周转筐出入库明细!$D$4:$D$2004,基础资料!$B$5,周转筐出入库明细!$F$4:$F$2004,"采购入库",周转筐出入库明细!$B$4:$B$2004,"&gt;="&amp;$BC$1,周转筐出入库明细!$B$4:$B$2004,"&lt;="&amp;$BC$2))</f>
        <v/>
      </c>
      <c r="Q145" s="25" t="str">
        <f>IF(OR($B145="",基础资料!$B$6=""),"",SUMIFS(周转筐出入库明细!$H$4:$H$2004,周转筐出入库明细!$C$4:$C$2004,$B145,周转筐出入库明细!$D$4:$D$2004,基础资料!$B$6,周转筐出入库明细!$F$4:$F$2004,"采购入库",周转筐出入库明细!$B$4:$B$2004,"&gt;="&amp;$BC$1,周转筐出入库明细!$B$4:$B$2004,"&lt;="&amp;$BC$2))</f>
        <v/>
      </c>
      <c r="R145" s="25" t="str">
        <f>IF(OR($B145="",基础资料!$B$7=""),"",SUMIFS(周转筐出入库明细!$H$4:$H$2004,周转筐出入库明细!$C$4:$C$2004,$B145,周转筐出入库明细!$D$4:$D$2004,基础资料!$B$7,周转筐出入库明细!$F$4:$F$2004,"采购入库",周转筐出入库明细!$B$4:$B$2004,"&gt;="&amp;$BC$1,周转筐出入库明细!$B$4:$B$2004,"&lt;="&amp;$BC$2))</f>
        <v/>
      </c>
      <c r="S145" s="25" t="str">
        <f>IF(OR($B145="",基础资料!$B$8=""),"",SUMIFS(周转筐出入库明细!$H$4:$H$2004,周转筐出入库明细!$C$4:$C$2004,$B145,周转筐出入库明细!$D$4:$D$2004,基础资料!$B$8,周转筐出入库明细!$F$4:$F$2004,"采购入库",周转筐出入库明细!$B$4:$B$2004,"&gt;="&amp;$BC$1,周转筐出入库明细!$B$4:$B$2004,"&lt;="&amp;$BC$2))</f>
        <v/>
      </c>
      <c r="T145" s="25" t="str">
        <f t="shared" si="27"/>
        <v/>
      </c>
      <c r="U145" s="25" t="str">
        <f>IF(OR($B145="",基础资料!$B$4=""),"",SUMIFS(周转筐出入库明细!$K$4:$K$2004,周转筐出入库明细!$C$4:$C$2004,$B145,周转筐出入库明细!$D$4:$D$2004,基础资料!$B$4,周转筐出入库明细!$B$4:$B$2004,"&gt;="&amp;$BC$1,周转筐出入库明细!$B$4:$B$2004,"&lt;="&amp;$BC$2))</f>
        <v/>
      </c>
      <c r="V145" s="25" t="str">
        <f>IF(OR($B145="",基础资料!$B$5=""),"",SUMIFS(周转筐出入库明细!$K$4:$K$2004,周转筐出入库明细!$C$4:$C$2004,$B145,周转筐出入库明细!$D$4:$D$2004,基础资料!$B$5,周转筐出入库明细!$B$4:$B$2004,"&gt;="&amp;$BC$1,周转筐出入库明细!$B$4:$B$2004,"&lt;="&amp;$BC$2))</f>
        <v/>
      </c>
      <c r="W145" s="25" t="str">
        <f>IF(OR($B145="",基础资料!$B$6=""),"",SUMIFS(周转筐出入库明细!$K$4:$K$2004,周转筐出入库明细!$C$4:$C$2004,$B145,周转筐出入库明细!$D$4:$D$2004,基础资料!$B$6,周转筐出入库明细!$B$4:$B$2004,"&gt;="&amp;$BC$1,周转筐出入库明细!$B$4:$B$2004,"&lt;="&amp;$BC$2))</f>
        <v/>
      </c>
      <c r="X145" s="25" t="str">
        <f>IF(OR($B145="",基础资料!$B$7=""),"",SUMIFS(周转筐出入库明细!$K$4:$K$2004,周转筐出入库明细!$C$4:$C$2004,$B145,周转筐出入库明细!$D$4:$D$2004,基础资料!$B$7,周转筐出入库明细!$B$4:$B$2004,"&gt;="&amp;$BC$1,周转筐出入库明细!$B$4:$B$2004,"&lt;="&amp;$BC$2))</f>
        <v/>
      </c>
      <c r="Y145" s="25" t="str">
        <f>IF(OR($B145="",基础资料!$B$8=""),"",SUMIFS(周转筐出入库明细!$K$4:$K$2004,周转筐出入库明细!$C$4:$C$2004,$B145,周转筐出入库明细!$D$4:$D$2004,基础资料!$B$8,周转筐出入库明细!$B$4:$B$2004,"&gt;="&amp;$BC$1,周转筐出入库明细!$B$4:$B$2004,"&lt;="&amp;$BC$2))</f>
        <v/>
      </c>
      <c r="Z145" s="25" t="str">
        <f t="shared" si="28"/>
        <v/>
      </c>
      <c r="AA145" s="67" t="str">
        <f>IF(OR($B145="",基础资料!$B$4=""),"",-SUMIFS(对接源_01水果筐数!$D$5:$D$304,对接源_01水果筐数!$B$5:$B$304,$B145,对接源_01水果筐数!$C$5:$C$304,基础资料!$B$4))</f>
        <v/>
      </c>
      <c r="AB145" s="67" t="str">
        <f>IF(OR($B145="",基础资料!$B$5=""),"",-SUMIFS(对接源_01水果筐数!$D$5:$D$304,对接源_01水果筐数!$B$5:$B$304,$B145,对接源_01水果筐数!$C$5:$C$304,基础资料!$B$5))</f>
        <v/>
      </c>
      <c r="AC145" s="67" t="str">
        <f>IF(OR($B145="",基础资料!$B$6=""),"",-SUMIFS(对接源_01水果筐数!$D$5:$D$304,对接源_01水果筐数!$B$5:$B$304,$B145,对接源_01水果筐数!$C$5:$C$304,基础资料!$B$6))</f>
        <v/>
      </c>
      <c r="AD145" s="67" t="str">
        <f>IF(OR($B145="",基础资料!$B$7=""),"",-SUMIFS(对接源_01水果筐数!$D$5:$D$304,对接源_01水果筐数!$B$5:$B$304,$B145,对接源_01水果筐数!$C$5:$C$304,基础资料!$B$7))</f>
        <v/>
      </c>
      <c r="AE145" s="67" t="str">
        <f>IF(OR($B145="",基础资料!$B$8=""),"",-SUMIFS(对接源_01水果筐数!$D$5:$D$304,对接源_01水果筐数!$B$5:$B$304,$B145,对接源_01水果筐数!$C$5:$C$304,基础资料!$B$8))</f>
        <v/>
      </c>
      <c r="AF145" s="25" t="str">
        <f>IF(OR($B145="",基础资料!$B$4=""),"",SUMIFS(对接源_01水果筐数!$E$5:$E$304,对接源_01水果筐数!$B$5:$B$304,$B145,对接源_01水果筐数!$C$5:$C$304,基础资料!$B$4))</f>
        <v/>
      </c>
      <c r="AG145" s="25" t="str">
        <f>IF(OR($B145="",基础资料!$B$5=""),"",SUMIFS(对接源_01水果筐数!$E$5:$E$304,对接源_01水果筐数!$B$5:$B$304,$B145,对接源_01水果筐数!$C$5:$C$304,基础资料!$B$5))</f>
        <v/>
      </c>
      <c r="AH145" s="25" t="str">
        <f>IF(OR($B145="",基础资料!$B$6=""),"",SUMIFS(对接源_01水果筐数!$E$5:$E$304,对接源_01水果筐数!$B$5:$B$304,$B145,对接源_01水果筐数!$C$5:$C$304,基础资料!$B$6))</f>
        <v/>
      </c>
      <c r="AI145" s="25" t="str">
        <f>IF(OR($B145="",基础资料!$B$7=""),"",SUMIFS(对接源_01水果筐数!$E$5:$E$304,对接源_01水果筐数!$B$5:$B$304,$B145,对接源_01水果筐数!$C$5:$C$304,基础资料!$B$7))</f>
        <v/>
      </c>
      <c r="AJ145" s="25" t="str">
        <f>IF(OR($B145="",基础资料!$B$8=""),"",SUMIFS(对接源_01水果筐数!$E$5:$E$304,对接源_01水果筐数!$B$5:$B$304,$B145,对接源_01水果筐数!$C$5:$C$304,基础资料!$B$8))</f>
        <v/>
      </c>
      <c r="AK145" s="25" t="str">
        <f>IF(OR($B145="",基础资料!$B$4=""),"",SUMIFS(对接源_01水果筐数!$F$5:$F$304,对接源_01水果筐数!$B$5:$B$304,$B145,对接源_01水果筐数!$C$5:$C$304,基础资料!$B$4))</f>
        <v/>
      </c>
      <c r="AL145" s="25" t="str">
        <f>IF(OR($B145="",基础资料!$B$5=""),"",SUMIFS(对接源_01水果筐数!$F$5:$F$304,对接源_01水果筐数!$B$5:$B$304,$B145,对接源_01水果筐数!$C$5:$C$304,基础资料!$B$5))</f>
        <v/>
      </c>
      <c r="AM145" s="25" t="str">
        <f>IF(OR($B145="",基础资料!$B$6=""),"",SUMIFS(对接源_01水果筐数!$F$5:$F$304,对接源_01水果筐数!$B$5:$B$304,$B145,对接源_01水果筐数!$C$5:$C$304,基础资料!$B$6))</f>
        <v/>
      </c>
      <c r="AN145" s="25" t="str">
        <f>IF(OR($B145="",基础资料!$B$7=""),"",SUMIFS(对接源_01水果筐数!$F$5:$F$304,对接源_01水果筐数!$B$5:$B$304,$B145,对接源_01水果筐数!$C$5:$C$304,基础资料!$B$7))</f>
        <v/>
      </c>
      <c r="AO145" s="25" t="str">
        <f>IF(OR($B145="",基础资料!$B$8=""),"",SUMIFS(对接源_01水果筐数!$F$5:$F$304,对接源_01水果筐数!$B$5:$B$304,$B145,对接源_01水果筐数!$C$5:$C$304,基础资料!$B$8))</f>
        <v/>
      </c>
      <c r="AP145" s="25" t="str">
        <f t="shared" si="29"/>
        <v/>
      </c>
      <c r="AQ145" s="25" t="str">
        <f t="shared" si="30"/>
        <v/>
      </c>
      <c r="AR145" s="25" t="str">
        <f t="shared" si="31"/>
        <v/>
      </c>
      <c r="AS145" s="25" t="str">
        <f t="shared" si="32"/>
        <v/>
      </c>
      <c r="AT145" s="25" t="str">
        <f t="shared" si="33"/>
        <v/>
      </c>
      <c r="AU145" s="25" t="str">
        <f t="shared" si="34"/>
        <v/>
      </c>
      <c r="AV145" s="24" t="str">
        <f t="shared" si="35"/>
        <v/>
      </c>
      <c r="AW145" s="72"/>
    </row>
    <row r="146" spans="1:49">
      <c r="A146" s="22" t="str">
        <f t="shared" si="24"/>
        <v/>
      </c>
      <c r="B146" s="24" t="str">
        <f>IFERROR(INDEX(_自动清单!$CC$4:$CC$253,ROW()-3),"")</f>
        <v/>
      </c>
      <c r="C146" s="25" t="str">
        <f>IF(OR($B146="",基础资料!$B$4=""),"",SUMIFS(周转筐出入库明细!$J$4:$J$2004,周转筐出入库明细!$C$4:$C$2004,$B146,周转筐出入库明细!$D$4:$D$2004,基础资料!$B$4,周转筐出入库明细!$B$4:$B$2004,"&gt;="&amp;$BC$1,周转筐出入库明细!$B$4:$B$2004,"&lt;="&amp;$BC$2))</f>
        <v/>
      </c>
      <c r="D146" s="25" t="str">
        <f>IF(OR($B146="",基础资料!$B$5=""),"",SUMIFS(周转筐出入库明细!$J$4:$J$2004,周转筐出入库明细!$C$4:$C$2004,$B146,周转筐出入库明细!$D$4:$D$2004,基础资料!$B$5,周转筐出入库明细!$B$4:$B$2004,"&gt;="&amp;$BC$1,周转筐出入库明细!$B$4:$B$2004,"&lt;="&amp;$BC$2))</f>
        <v/>
      </c>
      <c r="E146" s="25" t="str">
        <f>IF(OR($B146="",基础资料!$B$6=""),"",SUMIFS(周转筐出入库明细!$J$4:$J$2004,周转筐出入库明细!$C$4:$C$2004,$B146,周转筐出入库明细!$D$4:$D$2004,基础资料!$B$6,周转筐出入库明细!$B$4:$B$2004,"&gt;="&amp;$BC$1,周转筐出入库明细!$B$4:$B$2004,"&lt;="&amp;$BC$2))</f>
        <v/>
      </c>
      <c r="F146" s="25" t="str">
        <f>IF(OR($B146="",基础资料!$B$7=""),"",SUMIFS(周转筐出入库明细!$J$4:$J$2004,周转筐出入库明细!$C$4:$C$2004,$B146,周转筐出入库明细!$D$4:$D$2004,基础资料!$B$7,周转筐出入库明细!$B$4:$B$2004,"&gt;="&amp;$BC$1,周转筐出入库明细!$B$4:$B$2004,"&lt;="&amp;$BC$2))</f>
        <v/>
      </c>
      <c r="G146" s="25" t="str">
        <f>IF(OR($B146="",基础资料!$B$8=""),"",SUMIFS(周转筐出入库明细!$J$4:$J$2004,周转筐出入库明细!$C$4:$C$2004,$B146,周转筐出入库明细!$D$4:$D$2004,基础资料!$B$8,周转筐出入库明细!$B$4:$B$2004,"&gt;="&amp;$BC$1,周转筐出入库明细!$B$4:$B$2004,"&lt;="&amp;$BC$2))</f>
        <v/>
      </c>
      <c r="H146" s="25" t="str">
        <f t="shared" si="25"/>
        <v/>
      </c>
      <c r="I146" s="67" t="str">
        <f>IF(OR($B146="",基础资料!$B$4=""),"",-SUMIFS(周转筐出入库明细!$I$4:$I$2004,周转筐出入库明细!$C$4:$C$2004,$B146,周转筐出入库明细!$D$4:$D$2004,基础资料!$B$4,周转筐出入库明细!$B$4:$B$2004,"&gt;="&amp;$BC$1,周转筐出入库明细!$B$4:$B$2004,"&lt;="&amp;$BC$2))</f>
        <v/>
      </c>
      <c r="J146" s="67" t="str">
        <f>IF(OR($B146="",基础资料!$B$5=""),"",-SUMIFS(周转筐出入库明细!$I$4:$I$2004,周转筐出入库明细!$C$4:$C$2004,$B146,周转筐出入库明细!$D$4:$D$2004,基础资料!$B$5,周转筐出入库明细!$B$4:$B$2004,"&gt;="&amp;$BC$1,周转筐出入库明细!$B$4:$B$2004,"&lt;="&amp;$BC$2))</f>
        <v/>
      </c>
      <c r="K146" s="67" t="str">
        <f>IF(OR($B146="",基础资料!$B$6=""),"",-SUMIFS(周转筐出入库明细!$I$4:$I$2004,周转筐出入库明细!$C$4:$C$2004,$B146,周转筐出入库明细!$D$4:$D$2004,基础资料!$B$6,周转筐出入库明细!$B$4:$B$2004,"&gt;="&amp;$BC$1,周转筐出入库明细!$B$4:$B$2004,"&lt;="&amp;$BC$2))</f>
        <v/>
      </c>
      <c r="L146" s="67" t="str">
        <f>IF(OR($B146="",基础资料!$B$7=""),"",-SUMIFS(周转筐出入库明细!$I$4:$I$2004,周转筐出入库明细!$C$4:$C$2004,$B146,周转筐出入库明细!$D$4:$D$2004,基础资料!$B$7,周转筐出入库明细!$B$4:$B$2004,"&gt;="&amp;$BC$1,周转筐出入库明细!$B$4:$B$2004,"&lt;="&amp;$BC$2))</f>
        <v/>
      </c>
      <c r="M146" s="67" t="str">
        <f>IF(OR($B146="",基础资料!$B$8=""),"",-SUMIFS(周转筐出入库明细!$I$4:$I$2004,周转筐出入库明细!$C$4:$C$2004,$B146,周转筐出入库明细!$D$4:$D$2004,基础资料!$B$8,周转筐出入库明细!$B$4:$B$2004,"&gt;="&amp;$BC$1,周转筐出入库明细!$B$4:$B$2004,"&lt;="&amp;$BC$2))</f>
        <v/>
      </c>
      <c r="N146" s="67" t="str">
        <f t="shared" si="26"/>
        <v/>
      </c>
      <c r="O146" s="25" t="str">
        <f>IF(OR($B146="",基础资料!$B$4=""),"",SUMIFS(周转筐出入库明细!$H$4:$H$2004,周转筐出入库明细!$C$4:$C$2004,$B146,周转筐出入库明细!$D$4:$D$2004,基础资料!$B$4,周转筐出入库明细!$F$4:$F$2004,"采购入库",周转筐出入库明细!$B$4:$B$2004,"&gt;="&amp;$BC$1,周转筐出入库明细!$B$4:$B$2004,"&lt;="&amp;$BC$2))</f>
        <v/>
      </c>
      <c r="P146" s="25" t="str">
        <f>IF(OR($B146="",基础资料!$B$5=""),"",SUMIFS(周转筐出入库明细!$H$4:$H$2004,周转筐出入库明细!$C$4:$C$2004,$B146,周转筐出入库明细!$D$4:$D$2004,基础资料!$B$5,周转筐出入库明细!$F$4:$F$2004,"采购入库",周转筐出入库明细!$B$4:$B$2004,"&gt;="&amp;$BC$1,周转筐出入库明细!$B$4:$B$2004,"&lt;="&amp;$BC$2))</f>
        <v/>
      </c>
      <c r="Q146" s="25" t="str">
        <f>IF(OR($B146="",基础资料!$B$6=""),"",SUMIFS(周转筐出入库明细!$H$4:$H$2004,周转筐出入库明细!$C$4:$C$2004,$B146,周转筐出入库明细!$D$4:$D$2004,基础资料!$B$6,周转筐出入库明细!$F$4:$F$2004,"采购入库",周转筐出入库明细!$B$4:$B$2004,"&gt;="&amp;$BC$1,周转筐出入库明细!$B$4:$B$2004,"&lt;="&amp;$BC$2))</f>
        <v/>
      </c>
      <c r="R146" s="25" t="str">
        <f>IF(OR($B146="",基础资料!$B$7=""),"",SUMIFS(周转筐出入库明细!$H$4:$H$2004,周转筐出入库明细!$C$4:$C$2004,$B146,周转筐出入库明细!$D$4:$D$2004,基础资料!$B$7,周转筐出入库明细!$F$4:$F$2004,"采购入库",周转筐出入库明细!$B$4:$B$2004,"&gt;="&amp;$BC$1,周转筐出入库明细!$B$4:$B$2004,"&lt;="&amp;$BC$2))</f>
        <v/>
      </c>
      <c r="S146" s="25" t="str">
        <f>IF(OR($B146="",基础资料!$B$8=""),"",SUMIFS(周转筐出入库明细!$H$4:$H$2004,周转筐出入库明细!$C$4:$C$2004,$B146,周转筐出入库明细!$D$4:$D$2004,基础资料!$B$8,周转筐出入库明细!$F$4:$F$2004,"采购入库",周转筐出入库明细!$B$4:$B$2004,"&gt;="&amp;$BC$1,周转筐出入库明细!$B$4:$B$2004,"&lt;="&amp;$BC$2))</f>
        <v/>
      </c>
      <c r="T146" s="25" t="str">
        <f t="shared" si="27"/>
        <v/>
      </c>
      <c r="U146" s="25" t="str">
        <f>IF(OR($B146="",基础资料!$B$4=""),"",SUMIFS(周转筐出入库明细!$K$4:$K$2004,周转筐出入库明细!$C$4:$C$2004,$B146,周转筐出入库明细!$D$4:$D$2004,基础资料!$B$4,周转筐出入库明细!$B$4:$B$2004,"&gt;="&amp;$BC$1,周转筐出入库明细!$B$4:$B$2004,"&lt;="&amp;$BC$2))</f>
        <v/>
      </c>
      <c r="V146" s="25" t="str">
        <f>IF(OR($B146="",基础资料!$B$5=""),"",SUMIFS(周转筐出入库明细!$K$4:$K$2004,周转筐出入库明细!$C$4:$C$2004,$B146,周转筐出入库明细!$D$4:$D$2004,基础资料!$B$5,周转筐出入库明细!$B$4:$B$2004,"&gt;="&amp;$BC$1,周转筐出入库明细!$B$4:$B$2004,"&lt;="&amp;$BC$2))</f>
        <v/>
      </c>
      <c r="W146" s="25" t="str">
        <f>IF(OR($B146="",基础资料!$B$6=""),"",SUMIFS(周转筐出入库明细!$K$4:$K$2004,周转筐出入库明细!$C$4:$C$2004,$B146,周转筐出入库明细!$D$4:$D$2004,基础资料!$B$6,周转筐出入库明细!$B$4:$B$2004,"&gt;="&amp;$BC$1,周转筐出入库明细!$B$4:$B$2004,"&lt;="&amp;$BC$2))</f>
        <v/>
      </c>
      <c r="X146" s="25" t="str">
        <f>IF(OR($B146="",基础资料!$B$7=""),"",SUMIFS(周转筐出入库明细!$K$4:$K$2004,周转筐出入库明细!$C$4:$C$2004,$B146,周转筐出入库明细!$D$4:$D$2004,基础资料!$B$7,周转筐出入库明细!$B$4:$B$2004,"&gt;="&amp;$BC$1,周转筐出入库明细!$B$4:$B$2004,"&lt;="&amp;$BC$2))</f>
        <v/>
      </c>
      <c r="Y146" s="25" t="str">
        <f>IF(OR($B146="",基础资料!$B$8=""),"",SUMIFS(周转筐出入库明细!$K$4:$K$2004,周转筐出入库明细!$C$4:$C$2004,$B146,周转筐出入库明细!$D$4:$D$2004,基础资料!$B$8,周转筐出入库明细!$B$4:$B$2004,"&gt;="&amp;$BC$1,周转筐出入库明细!$B$4:$B$2004,"&lt;="&amp;$BC$2))</f>
        <v/>
      </c>
      <c r="Z146" s="25" t="str">
        <f t="shared" si="28"/>
        <v/>
      </c>
      <c r="AA146" s="67" t="str">
        <f>IF(OR($B146="",基础资料!$B$4=""),"",-SUMIFS(对接源_01水果筐数!$D$5:$D$304,对接源_01水果筐数!$B$5:$B$304,$B146,对接源_01水果筐数!$C$5:$C$304,基础资料!$B$4))</f>
        <v/>
      </c>
      <c r="AB146" s="67" t="str">
        <f>IF(OR($B146="",基础资料!$B$5=""),"",-SUMIFS(对接源_01水果筐数!$D$5:$D$304,对接源_01水果筐数!$B$5:$B$304,$B146,对接源_01水果筐数!$C$5:$C$304,基础资料!$B$5))</f>
        <v/>
      </c>
      <c r="AC146" s="67" t="str">
        <f>IF(OR($B146="",基础资料!$B$6=""),"",-SUMIFS(对接源_01水果筐数!$D$5:$D$304,对接源_01水果筐数!$B$5:$B$304,$B146,对接源_01水果筐数!$C$5:$C$304,基础资料!$B$6))</f>
        <v/>
      </c>
      <c r="AD146" s="67" t="str">
        <f>IF(OR($B146="",基础资料!$B$7=""),"",-SUMIFS(对接源_01水果筐数!$D$5:$D$304,对接源_01水果筐数!$B$5:$B$304,$B146,对接源_01水果筐数!$C$5:$C$304,基础资料!$B$7))</f>
        <v/>
      </c>
      <c r="AE146" s="67" t="str">
        <f>IF(OR($B146="",基础资料!$B$8=""),"",-SUMIFS(对接源_01水果筐数!$D$5:$D$304,对接源_01水果筐数!$B$5:$B$304,$B146,对接源_01水果筐数!$C$5:$C$304,基础资料!$B$8))</f>
        <v/>
      </c>
      <c r="AF146" s="25" t="str">
        <f>IF(OR($B146="",基础资料!$B$4=""),"",SUMIFS(对接源_01水果筐数!$E$5:$E$304,对接源_01水果筐数!$B$5:$B$304,$B146,对接源_01水果筐数!$C$5:$C$304,基础资料!$B$4))</f>
        <v/>
      </c>
      <c r="AG146" s="25" t="str">
        <f>IF(OR($B146="",基础资料!$B$5=""),"",SUMIFS(对接源_01水果筐数!$E$5:$E$304,对接源_01水果筐数!$B$5:$B$304,$B146,对接源_01水果筐数!$C$5:$C$304,基础资料!$B$5))</f>
        <v/>
      </c>
      <c r="AH146" s="25" t="str">
        <f>IF(OR($B146="",基础资料!$B$6=""),"",SUMIFS(对接源_01水果筐数!$E$5:$E$304,对接源_01水果筐数!$B$5:$B$304,$B146,对接源_01水果筐数!$C$5:$C$304,基础资料!$B$6))</f>
        <v/>
      </c>
      <c r="AI146" s="25" t="str">
        <f>IF(OR($B146="",基础资料!$B$7=""),"",SUMIFS(对接源_01水果筐数!$E$5:$E$304,对接源_01水果筐数!$B$5:$B$304,$B146,对接源_01水果筐数!$C$5:$C$304,基础资料!$B$7))</f>
        <v/>
      </c>
      <c r="AJ146" s="25" t="str">
        <f>IF(OR($B146="",基础资料!$B$8=""),"",SUMIFS(对接源_01水果筐数!$E$5:$E$304,对接源_01水果筐数!$B$5:$B$304,$B146,对接源_01水果筐数!$C$5:$C$304,基础资料!$B$8))</f>
        <v/>
      </c>
      <c r="AK146" s="25" t="str">
        <f>IF(OR($B146="",基础资料!$B$4=""),"",SUMIFS(对接源_01水果筐数!$F$5:$F$304,对接源_01水果筐数!$B$5:$B$304,$B146,对接源_01水果筐数!$C$5:$C$304,基础资料!$B$4))</f>
        <v/>
      </c>
      <c r="AL146" s="25" t="str">
        <f>IF(OR($B146="",基础资料!$B$5=""),"",SUMIFS(对接源_01水果筐数!$F$5:$F$304,对接源_01水果筐数!$B$5:$B$304,$B146,对接源_01水果筐数!$C$5:$C$304,基础资料!$B$5))</f>
        <v/>
      </c>
      <c r="AM146" s="25" t="str">
        <f>IF(OR($B146="",基础资料!$B$6=""),"",SUMIFS(对接源_01水果筐数!$F$5:$F$304,对接源_01水果筐数!$B$5:$B$304,$B146,对接源_01水果筐数!$C$5:$C$304,基础资料!$B$6))</f>
        <v/>
      </c>
      <c r="AN146" s="25" t="str">
        <f>IF(OR($B146="",基础资料!$B$7=""),"",SUMIFS(对接源_01水果筐数!$F$5:$F$304,对接源_01水果筐数!$B$5:$B$304,$B146,对接源_01水果筐数!$C$5:$C$304,基础资料!$B$7))</f>
        <v/>
      </c>
      <c r="AO146" s="25" t="str">
        <f>IF(OR($B146="",基础资料!$B$8=""),"",SUMIFS(对接源_01水果筐数!$F$5:$F$304,对接源_01水果筐数!$B$5:$B$304,$B146,对接源_01水果筐数!$C$5:$C$304,基础资料!$B$8))</f>
        <v/>
      </c>
      <c r="AP146" s="25" t="str">
        <f t="shared" si="29"/>
        <v/>
      </c>
      <c r="AQ146" s="25" t="str">
        <f t="shared" si="30"/>
        <v/>
      </c>
      <c r="AR146" s="25" t="str">
        <f t="shared" si="31"/>
        <v/>
      </c>
      <c r="AS146" s="25" t="str">
        <f t="shared" si="32"/>
        <v/>
      </c>
      <c r="AT146" s="25" t="str">
        <f t="shared" si="33"/>
        <v/>
      </c>
      <c r="AU146" s="25" t="str">
        <f t="shared" si="34"/>
        <v/>
      </c>
      <c r="AV146" s="24" t="str">
        <f t="shared" si="35"/>
        <v/>
      </c>
      <c r="AW146" s="72"/>
    </row>
    <row r="147" spans="1:49">
      <c r="A147" s="22" t="str">
        <f t="shared" si="24"/>
        <v/>
      </c>
      <c r="B147" s="24" t="str">
        <f>IFERROR(INDEX(_自动清单!$CC$4:$CC$253,ROW()-3),"")</f>
        <v/>
      </c>
      <c r="C147" s="25" t="str">
        <f>IF(OR($B147="",基础资料!$B$4=""),"",SUMIFS(周转筐出入库明细!$J$4:$J$2004,周转筐出入库明细!$C$4:$C$2004,$B147,周转筐出入库明细!$D$4:$D$2004,基础资料!$B$4,周转筐出入库明细!$B$4:$B$2004,"&gt;="&amp;$BC$1,周转筐出入库明细!$B$4:$B$2004,"&lt;="&amp;$BC$2))</f>
        <v/>
      </c>
      <c r="D147" s="25" t="str">
        <f>IF(OR($B147="",基础资料!$B$5=""),"",SUMIFS(周转筐出入库明细!$J$4:$J$2004,周转筐出入库明细!$C$4:$C$2004,$B147,周转筐出入库明细!$D$4:$D$2004,基础资料!$B$5,周转筐出入库明细!$B$4:$B$2004,"&gt;="&amp;$BC$1,周转筐出入库明细!$B$4:$B$2004,"&lt;="&amp;$BC$2))</f>
        <v/>
      </c>
      <c r="E147" s="25" t="str">
        <f>IF(OR($B147="",基础资料!$B$6=""),"",SUMIFS(周转筐出入库明细!$J$4:$J$2004,周转筐出入库明细!$C$4:$C$2004,$B147,周转筐出入库明细!$D$4:$D$2004,基础资料!$B$6,周转筐出入库明细!$B$4:$B$2004,"&gt;="&amp;$BC$1,周转筐出入库明细!$B$4:$B$2004,"&lt;="&amp;$BC$2))</f>
        <v/>
      </c>
      <c r="F147" s="25" t="str">
        <f>IF(OR($B147="",基础资料!$B$7=""),"",SUMIFS(周转筐出入库明细!$J$4:$J$2004,周转筐出入库明细!$C$4:$C$2004,$B147,周转筐出入库明细!$D$4:$D$2004,基础资料!$B$7,周转筐出入库明细!$B$4:$B$2004,"&gt;="&amp;$BC$1,周转筐出入库明细!$B$4:$B$2004,"&lt;="&amp;$BC$2))</f>
        <v/>
      </c>
      <c r="G147" s="25" t="str">
        <f>IF(OR($B147="",基础资料!$B$8=""),"",SUMIFS(周转筐出入库明细!$J$4:$J$2004,周转筐出入库明细!$C$4:$C$2004,$B147,周转筐出入库明细!$D$4:$D$2004,基础资料!$B$8,周转筐出入库明细!$B$4:$B$2004,"&gt;="&amp;$BC$1,周转筐出入库明细!$B$4:$B$2004,"&lt;="&amp;$BC$2))</f>
        <v/>
      </c>
      <c r="H147" s="25" t="str">
        <f t="shared" si="25"/>
        <v/>
      </c>
      <c r="I147" s="67" t="str">
        <f>IF(OR($B147="",基础资料!$B$4=""),"",-SUMIFS(周转筐出入库明细!$I$4:$I$2004,周转筐出入库明细!$C$4:$C$2004,$B147,周转筐出入库明细!$D$4:$D$2004,基础资料!$B$4,周转筐出入库明细!$B$4:$B$2004,"&gt;="&amp;$BC$1,周转筐出入库明细!$B$4:$B$2004,"&lt;="&amp;$BC$2))</f>
        <v/>
      </c>
      <c r="J147" s="67" t="str">
        <f>IF(OR($B147="",基础资料!$B$5=""),"",-SUMIFS(周转筐出入库明细!$I$4:$I$2004,周转筐出入库明细!$C$4:$C$2004,$B147,周转筐出入库明细!$D$4:$D$2004,基础资料!$B$5,周转筐出入库明细!$B$4:$B$2004,"&gt;="&amp;$BC$1,周转筐出入库明细!$B$4:$B$2004,"&lt;="&amp;$BC$2))</f>
        <v/>
      </c>
      <c r="K147" s="67" t="str">
        <f>IF(OR($B147="",基础资料!$B$6=""),"",-SUMIFS(周转筐出入库明细!$I$4:$I$2004,周转筐出入库明细!$C$4:$C$2004,$B147,周转筐出入库明细!$D$4:$D$2004,基础资料!$B$6,周转筐出入库明细!$B$4:$B$2004,"&gt;="&amp;$BC$1,周转筐出入库明细!$B$4:$B$2004,"&lt;="&amp;$BC$2))</f>
        <v/>
      </c>
      <c r="L147" s="67" t="str">
        <f>IF(OR($B147="",基础资料!$B$7=""),"",-SUMIFS(周转筐出入库明细!$I$4:$I$2004,周转筐出入库明细!$C$4:$C$2004,$B147,周转筐出入库明细!$D$4:$D$2004,基础资料!$B$7,周转筐出入库明细!$B$4:$B$2004,"&gt;="&amp;$BC$1,周转筐出入库明细!$B$4:$B$2004,"&lt;="&amp;$BC$2))</f>
        <v/>
      </c>
      <c r="M147" s="67" t="str">
        <f>IF(OR($B147="",基础资料!$B$8=""),"",-SUMIFS(周转筐出入库明细!$I$4:$I$2004,周转筐出入库明细!$C$4:$C$2004,$B147,周转筐出入库明细!$D$4:$D$2004,基础资料!$B$8,周转筐出入库明细!$B$4:$B$2004,"&gt;="&amp;$BC$1,周转筐出入库明细!$B$4:$B$2004,"&lt;="&amp;$BC$2))</f>
        <v/>
      </c>
      <c r="N147" s="67" t="str">
        <f t="shared" si="26"/>
        <v/>
      </c>
      <c r="O147" s="25" t="str">
        <f>IF(OR($B147="",基础资料!$B$4=""),"",SUMIFS(周转筐出入库明细!$H$4:$H$2004,周转筐出入库明细!$C$4:$C$2004,$B147,周转筐出入库明细!$D$4:$D$2004,基础资料!$B$4,周转筐出入库明细!$F$4:$F$2004,"采购入库",周转筐出入库明细!$B$4:$B$2004,"&gt;="&amp;$BC$1,周转筐出入库明细!$B$4:$B$2004,"&lt;="&amp;$BC$2))</f>
        <v/>
      </c>
      <c r="P147" s="25" t="str">
        <f>IF(OR($B147="",基础资料!$B$5=""),"",SUMIFS(周转筐出入库明细!$H$4:$H$2004,周转筐出入库明细!$C$4:$C$2004,$B147,周转筐出入库明细!$D$4:$D$2004,基础资料!$B$5,周转筐出入库明细!$F$4:$F$2004,"采购入库",周转筐出入库明细!$B$4:$B$2004,"&gt;="&amp;$BC$1,周转筐出入库明细!$B$4:$B$2004,"&lt;="&amp;$BC$2))</f>
        <v/>
      </c>
      <c r="Q147" s="25" t="str">
        <f>IF(OR($B147="",基础资料!$B$6=""),"",SUMIFS(周转筐出入库明细!$H$4:$H$2004,周转筐出入库明细!$C$4:$C$2004,$B147,周转筐出入库明细!$D$4:$D$2004,基础资料!$B$6,周转筐出入库明细!$F$4:$F$2004,"采购入库",周转筐出入库明细!$B$4:$B$2004,"&gt;="&amp;$BC$1,周转筐出入库明细!$B$4:$B$2004,"&lt;="&amp;$BC$2))</f>
        <v/>
      </c>
      <c r="R147" s="25" t="str">
        <f>IF(OR($B147="",基础资料!$B$7=""),"",SUMIFS(周转筐出入库明细!$H$4:$H$2004,周转筐出入库明细!$C$4:$C$2004,$B147,周转筐出入库明细!$D$4:$D$2004,基础资料!$B$7,周转筐出入库明细!$F$4:$F$2004,"采购入库",周转筐出入库明细!$B$4:$B$2004,"&gt;="&amp;$BC$1,周转筐出入库明细!$B$4:$B$2004,"&lt;="&amp;$BC$2))</f>
        <v/>
      </c>
      <c r="S147" s="25" t="str">
        <f>IF(OR($B147="",基础资料!$B$8=""),"",SUMIFS(周转筐出入库明细!$H$4:$H$2004,周转筐出入库明细!$C$4:$C$2004,$B147,周转筐出入库明细!$D$4:$D$2004,基础资料!$B$8,周转筐出入库明细!$F$4:$F$2004,"采购入库",周转筐出入库明细!$B$4:$B$2004,"&gt;="&amp;$BC$1,周转筐出入库明细!$B$4:$B$2004,"&lt;="&amp;$BC$2))</f>
        <v/>
      </c>
      <c r="T147" s="25" t="str">
        <f t="shared" si="27"/>
        <v/>
      </c>
      <c r="U147" s="25" t="str">
        <f>IF(OR($B147="",基础资料!$B$4=""),"",SUMIFS(周转筐出入库明细!$K$4:$K$2004,周转筐出入库明细!$C$4:$C$2004,$B147,周转筐出入库明细!$D$4:$D$2004,基础资料!$B$4,周转筐出入库明细!$B$4:$B$2004,"&gt;="&amp;$BC$1,周转筐出入库明细!$B$4:$B$2004,"&lt;="&amp;$BC$2))</f>
        <v/>
      </c>
      <c r="V147" s="25" t="str">
        <f>IF(OR($B147="",基础资料!$B$5=""),"",SUMIFS(周转筐出入库明细!$K$4:$K$2004,周转筐出入库明细!$C$4:$C$2004,$B147,周转筐出入库明细!$D$4:$D$2004,基础资料!$B$5,周转筐出入库明细!$B$4:$B$2004,"&gt;="&amp;$BC$1,周转筐出入库明细!$B$4:$B$2004,"&lt;="&amp;$BC$2))</f>
        <v/>
      </c>
      <c r="W147" s="25" t="str">
        <f>IF(OR($B147="",基础资料!$B$6=""),"",SUMIFS(周转筐出入库明细!$K$4:$K$2004,周转筐出入库明细!$C$4:$C$2004,$B147,周转筐出入库明细!$D$4:$D$2004,基础资料!$B$6,周转筐出入库明细!$B$4:$B$2004,"&gt;="&amp;$BC$1,周转筐出入库明细!$B$4:$B$2004,"&lt;="&amp;$BC$2))</f>
        <v/>
      </c>
      <c r="X147" s="25" t="str">
        <f>IF(OR($B147="",基础资料!$B$7=""),"",SUMIFS(周转筐出入库明细!$K$4:$K$2004,周转筐出入库明细!$C$4:$C$2004,$B147,周转筐出入库明细!$D$4:$D$2004,基础资料!$B$7,周转筐出入库明细!$B$4:$B$2004,"&gt;="&amp;$BC$1,周转筐出入库明细!$B$4:$B$2004,"&lt;="&amp;$BC$2))</f>
        <v/>
      </c>
      <c r="Y147" s="25" t="str">
        <f>IF(OR($B147="",基础资料!$B$8=""),"",SUMIFS(周转筐出入库明细!$K$4:$K$2004,周转筐出入库明细!$C$4:$C$2004,$B147,周转筐出入库明细!$D$4:$D$2004,基础资料!$B$8,周转筐出入库明细!$B$4:$B$2004,"&gt;="&amp;$BC$1,周转筐出入库明细!$B$4:$B$2004,"&lt;="&amp;$BC$2))</f>
        <v/>
      </c>
      <c r="Z147" s="25" t="str">
        <f t="shared" si="28"/>
        <v/>
      </c>
      <c r="AA147" s="67" t="str">
        <f>IF(OR($B147="",基础资料!$B$4=""),"",-SUMIFS(对接源_01水果筐数!$D$5:$D$304,对接源_01水果筐数!$B$5:$B$304,$B147,对接源_01水果筐数!$C$5:$C$304,基础资料!$B$4))</f>
        <v/>
      </c>
      <c r="AB147" s="67" t="str">
        <f>IF(OR($B147="",基础资料!$B$5=""),"",-SUMIFS(对接源_01水果筐数!$D$5:$D$304,对接源_01水果筐数!$B$5:$B$304,$B147,对接源_01水果筐数!$C$5:$C$304,基础资料!$B$5))</f>
        <v/>
      </c>
      <c r="AC147" s="67" t="str">
        <f>IF(OR($B147="",基础资料!$B$6=""),"",-SUMIFS(对接源_01水果筐数!$D$5:$D$304,对接源_01水果筐数!$B$5:$B$304,$B147,对接源_01水果筐数!$C$5:$C$304,基础资料!$B$6))</f>
        <v/>
      </c>
      <c r="AD147" s="67" t="str">
        <f>IF(OR($B147="",基础资料!$B$7=""),"",-SUMIFS(对接源_01水果筐数!$D$5:$D$304,对接源_01水果筐数!$B$5:$B$304,$B147,对接源_01水果筐数!$C$5:$C$304,基础资料!$B$7))</f>
        <v/>
      </c>
      <c r="AE147" s="67" t="str">
        <f>IF(OR($B147="",基础资料!$B$8=""),"",-SUMIFS(对接源_01水果筐数!$D$5:$D$304,对接源_01水果筐数!$B$5:$B$304,$B147,对接源_01水果筐数!$C$5:$C$304,基础资料!$B$8))</f>
        <v/>
      </c>
      <c r="AF147" s="25" t="str">
        <f>IF(OR($B147="",基础资料!$B$4=""),"",SUMIFS(对接源_01水果筐数!$E$5:$E$304,对接源_01水果筐数!$B$5:$B$304,$B147,对接源_01水果筐数!$C$5:$C$304,基础资料!$B$4))</f>
        <v/>
      </c>
      <c r="AG147" s="25" t="str">
        <f>IF(OR($B147="",基础资料!$B$5=""),"",SUMIFS(对接源_01水果筐数!$E$5:$E$304,对接源_01水果筐数!$B$5:$B$304,$B147,对接源_01水果筐数!$C$5:$C$304,基础资料!$B$5))</f>
        <v/>
      </c>
      <c r="AH147" s="25" t="str">
        <f>IF(OR($B147="",基础资料!$B$6=""),"",SUMIFS(对接源_01水果筐数!$E$5:$E$304,对接源_01水果筐数!$B$5:$B$304,$B147,对接源_01水果筐数!$C$5:$C$304,基础资料!$B$6))</f>
        <v/>
      </c>
      <c r="AI147" s="25" t="str">
        <f>IF(OR($B147="",基础资料!$B$7=""),"",SUMIFS(对接源_01水果筐数!$E$5:$E$304,对接源_01水果筐数!$B$5:$B$304,$B147,对接源_01水果筐数!$C$5:$C$304,基础资料!$B$7))</f>
        <v/>
      </c>
      <c r="AJ147" s="25" t="str">
        <f>IF(OR($B147="",基础资料!$B$8=""),"",SUMIFS(对接源_01水果筐数!$E$5:$E$304,对接源_01水果筐数!$B$5:$B$304,$B147,对接源_01水果筐数!$C$5:$C$304,基础资料!$B$8))</f>
        <v/>
      </c>
      <c r="AK147" s="25" t="str">
        <f>IF(OR($B147="",基础资料!$B$4=""),"",SUMIFS(对接源_01水果筐数!$F$5:$F$304,对接源_01水果筐数!$B$5:$B$304,$B147,对接源_01水果筐数!$C$5:$C$304,基础资料!$B$4))</f>
        <v/>
      </c>
      <c r="AL147" s="25" t="str">
        <f>IF(OR($B147="",基础资料!$B$5=""),"",SUMIFS(对接源_01水果筐数!$F$5:$F$304,对接源_01水果筐数!$B$5:$B$304,$B147,对接源_01水果筐数!$C$5:$C$304,基础资料!$B$5))</f>
        <v/>
      </c>
      <c r="AM147" s="25" t="str">
        <f>IF(OR($B147="",基础资料!$B$6=""),"",SUMIFS(对接源_01水果筐数!$F$5:$F$304,对接源_01水果筐数!$B$5:$B$304,$B147,对接源_01水果筐数!$C$5:$C$304,基础资料!$B$6))</f>
        <v/>
      </c>
      <c r="AN147" s="25" t="str">
        <f>IF(OR($B147="",基础资料!$B$7=""),"",SUMIFS(对接源_01水果筐数!$F$5:$F$304,对接源_01水果筐数!$B$5:$B$304,$B147,对接源_01水果筐数!$C$5:$C$304,基础资料!$B$7))</f>
        <v/>
      </c>
      <c r="AO147" s="25" t="str">
        <f>IF(OR($B147="",基础资料!$B$8=""),"",SUMIFS(对接源_01水果筐数!$F$5:$F$304,对接源_01水果筐数!$B$5:$B$304,$B147,对接源_01水果筐数!$C$5:$C$304,基础资料!$B$8))</f>
        <v/>
      </c>
      <c r="AP147" s="25" t="str">
        <f t="shared" si="29"/>
        <v/>
      </c>
      <c r="AQ147" s="25" t="str">
        <f t="shared" si="30"/>
        <v/>
      </c>
      <c r="AR147" s="25" t="str">
        <f t="shared" si="31"/>
        <v/>
      </c>
      <c r="AS147" s="25" t="str">
        <f t="shared" si="32"/>
        <v/>
      </c>
      <c r="AT147" s="25" t="str">
        <f t="shared" si="33"/>
        <v/>
      </c>
      <c r="AU147" s="25" t="str">
        <f t="shared" si="34"/>
        <v/>
      </c>
      <c r="AV147" s="24" t="str">
        <f t="shared" si="35"/>
        <v/>
      </c>
      <c r="AW147" s="72"/>
    </row>
    <row r="148" spans="1:49">
      <c r="A148" s="22" t="str">
        <f t="shared" si="24"/>
        <v/>
      </c>
      <c r="B148" s="24" t="str">
        <f>IFERROR(INDEX(_自动清单!$CC$4:$CC$253,ROW()-3),"")</f>
        <v/>
      </c>
      <c r="C148" s="25" t="str">
        <f>IF(OR($B148="",基础资料!$B$4=""),"",SUMIFS(周转筐出入库明细!$J$4:$J$2004,周转筐出入库明细!$C$4:$C$2004,$B148,周转筐出入库明细!$D$4:$D$2004,基础资料!$B$4,周转筐出入库明细!$B$4:$B$2004,"&gt;="&amp;$BC$1,周转筐出入库明细!$B$4:$B$2004,"&lt;="&amp;$BC$2))</f>
        <v/>
      </c>
      <c r="D148" s="25" t="str">
        <f>IF(OR($B148="",基础资料!$B$5=""),"",SUMIFS(周转筐出入库明细!$J$4:$J$2004,周转筐出入库明细!$C$4:$C$2004,$B148,周转筐出入库明细!$D$4:$D$2004,基础资料!$B$5,周转筐出入库明细!$B$4:$B$2004,"&gt;="&amp;$BC$1,周转筐出入库明细!$B$4:$B$2004,"&lt;="&amp;$BC$2))</f>
        <v/>
      </c>
      <c r="E148" s="25" t="str">
        <f>IF(OR($B148="",基础资料!$B$6=""),"",SUMIFS(周转筐出入库明细!$J$4:$J$2004,周转筐出入库明细!$C$4:$C$2004,$B148,周转筐出入库明细!$D$4:$D$2004,基础资料!$B$6,周转筐出入库明细!$B$4:$B$2004,"&gt;="&amp;$BC$1,周转筐出入库明细!$B$4:$B$2004,"&lt;="&amp;$BC$2))</f>
        <v/>
      </c>
      <c r="F148" s="25" t="str">
        <f>IF(OR($B148="",基础资料!$B$7=""),"",SUMIFS(周转筐出入库明细!$J$4:$J$2004,周转筐出入库明细!$C$4:$C$2004,$B148,周转筐出入库明细!$D$4:$D$2004,基础资料!$B$7,周转筐出入库明细!$B$4:$B$2004,"&gt;="&amp;$BC$1,周转筐出入库明细!$B$4:$B$2004,"&lt;="&amp;$BC$2))</f>
        <v/>
      </c>
      <c r="G148" s="25" t="str">
        <f>IF(OR($B148="",基础资料!$B$8=""),"",SUMIFS(周转筐出入库明细!$J$4:$J$2004,周转筐出入库明细!$C$4:$C$2004,$B148,周转筐出入库明细!$D$4:$D$2004,基础资料!$B$8,周转筐出入库明细!$B$4:$B$2004,"&gt;="&amp;$BC$1,周转筐出入库明细!$B$4:$B$2004,"&lt;="&amp;$BC$2))</f>
        <v/>
      </c>
      <c r="H148" s="25" t="str">
        <f t="shared" si="25"/>
        <v/>
      </c>
      <c r="I148" s="67" t="str">
        <f>IF(OR($B148="",基础资料!$B$4=""),"",-SUMIFS(周转筐出入库明细!$I$4:$I$2004,周转筐出入库明细!$C$4:$C$2004,$B148,周转筐出入库明细!$D$4:$D$2004,基础资料!$B$4,周转筐出入库明细!$B$4:$B$2004,"&gt;="&amp;$BC$1,周转筐出入库明细!$B$4:$B$2004,"&lt;="&amp;$BC$2))</f>
        <v/>
      </c>
      <c r="J148" s="67" t="str">
        <f>IF(OR($B148="",基础资料!$B$5=""),"",-SUMIFS(周转筐出入库明细!$I$4:$I$2004,周转筐出入库明细!$C$4:$C$2004,$B148,周转筐出入库明细!$D$4:$D$2004,基础资料!$B$5,周转筐出入库明细!$B$4:$B$2004,"&gt;="&amp;$BC$1,周转筐出入库明细!$B$4:$B$2004,"&lt;="&amp;$BC$2))</f>
        <v/>
      </c>
      <c r="K148" s="67" t="str">
        <f>IF(OR($B148="",基础资料!$B$6=""),"",-SUMIFS(周转筐出入库明细!$I$4:$I$2004,周转筐出入库明细!$C$4:$C$2004,$B148,周转筐出入库明细!$D$4:$D$2004,基础资料!$B$6,周转筐出入库明细!$B$4:$B$2004,"&gt;="&amp;$BC$1,周转筐出入库明细!$B$4:$B$2004,"&lt;="&amp;$BC$2))</f>
        <v/>
      </c>
      <c r="L148" s="67" t="str">
        <f>IF(OR($B148="",基础资料!$B$7=""),"",-SUMIFS(周转筐出入库明细!$I$4:$I$2004,周转筐出入库明细!$C$4:$C$2004,$B148,周转筐出入库明细!$D$4:$D$2004,基础资料!$B$7,周转筐出入库明细!$B$4:$B$2004,"&gt;="&amp;$BC$1,周转筐出入库明细!$B$4:$B$2004,"&lt;="&amp;$BC$2))</f>
        <v/>
      </c>
      <c r="M148" s="67" t="str">
        <f>IF(OR($B148="",基础资料!$B$8=""),"",-SUMIFS(周转筐出入库明细!$I$4:$I$2004,周转筐出入库明细!$C$4:$C$2004,$B148,周转筐出入库明细!$D$4:$D$2004,基础资料!$B$8,周转筐出入库明细!$B$4:$B$2004,"&gt;="&amp;$BC$1,周转筐出入库明细!$B$4:$B$2004,"&lt;="&amp;$BC$2))</f>
        <v/>
      </c>
      <c r="N148" s="67" t="str">
        <f t="shared" si="26"/>
        <v/>
      </c>
      <c r="O148" s="25" t="str">
        <f>IF(OR($B148="",基础资料!$B$4=""),"",SUMIFS(周转筐出入库明细!$H$4:$H$2004,周转筐出入库明细!$C$4:$C$2004,$B148,周转筐出入库明细!$D$4:$D$2004,基础资料!$B$4,周转筐出入库明细!$F$4:$F$2004,"采购入库",周转筐出入库明细!$B$4:$B$2004,"&gt;="&amp;$BC$1,周转筐出入库明细!$B$4:$B$2004,"&lt;="&amp;$BC$2))</f>
        <v/>
      </c>
      <c r="P148" s="25" t="str">
        <f>IF(OR($B148="",基础资料!$B$5=""),"",SUMIFS(周转筐出入库明细!$H$4:$H$2004,周转筐出入库明细!$C$4:$C$2004,$B148,周转筐出入库明细!$D$4:$D$2004,基础资料!$B$5,周转筐出入库明细!$F$4:$F$2004,"采购入库",周转筐出入库明细!$B$4:$B$2004,"&gt;="&amp;$BC$1,周转筐出入库明细!$B$4:$B$2004,"&lt;="&amp;$BC$2))</f>
        <v/>
      </c>
      <c r="Q148" s="25" t="str">
        <f>IF(OR($B148="",基础资料!$B$6=""),"",SUMIFS(周转筐出入库明细!$H$4:$H$2004,周转筐出入库明细!$C$4:$C$2004,$B148,周转筐出入库明细!$D$4:$D$2004,基础资料!$B$6,周转筐出入库明细!$F$4:$F$2004,"采购入库",周转筐出入库明细!$B$4:$B$2004,"&gt;="&amp;$BC$1,周转筐出入库明细!$B$4:$B$2004,"&lt;="&amp;$BC$2))</f>
        <v/>
      </c>
      <c r="R148" s="25" t="str">
        <f>IF(OR($B148="",基础资料!$B$7=""),"",SUMIFS(周转筐出入库明细!$H$4:$H$2004,周转筐出入库明细!$C$4:$C$2004,$B148,周转筐出入库明细!$D$4:$D$2004,基础资料!$B$7,周转筐出入库明细!$F$4:$F$2004,"采购入库",周转筐出入库明细!$B$4:$B$2004,"&gt;="&amp;$BC$1,周转筐出入库明细!$B$4:$B$2004,"&lt;="&amp;$BC$2))</f>
        <v/>
      </c>
      <c r="S148" s="25" t="str">
        <f>IF(OR($B148="",基础资料!$B$8=""),"",SUMIFS(周转筐出入库明细!$H$4:$H$2004,周转筐出入库明细!$C$4:$C$2004,$B148,周转筐出入库明细!$D$4:$D$2004,基础资料!$B$8,周转筐出入库明细!$F$4:$F$2004,"采购入库",周转筐出入库明细!$B$4:$B$2004,"&gt;="&amp;$BC$1,周转筐出入库明细!$B$4:$B$2004,"&lt;="&amp;$BC$2))</f>
        <v/>
      </c>
      <c r="T148" s="25" t="str">
        <f t="shared" si="27"/>
        <v/>
      </c>
      <c r="U148" s="25" t="str">
        <f>IF(OR($B148="",基础资料!$B$4=""),"",SUMIFS(周转筐出入库明细!$K$4:$K$2004,周转筐出入库明细!$C$4:$C$2004,$B148,周转筐出入库明细!$D$4:$D$2004,基础资料!$B$4,周转筐出入库明细!$B$4:$B$2004,"&gt;="&amp;$BC$1,周转筐出入库明细!$B$4:$B$2004,"&lt;="&amp;$BC$2))</f>
        <v/>
      </c>
      <c r="V148" s="25" t="str">
        <f>IF(OR($B148="",基础资料!$B$5=""),"",SUMIFS(周转筐出入库明细!$K$4:$K$2004,周转筐出入库明细!$C$4:$C$2004,$B148,周转筐出入库明细!$D$4:$D$2004,基础资料!$B$5,周转筐出入库明细!$B$4:$B$2004,"&gt;="&amp;$BC$1,周转筐出入库明细!$B$4:$B$2004,"&lt;="&amp;$BC$2))</f>
        <v/>
      </c>
      <c r="W148" s="25" t="str">
        <f>IF(OR($B148="",基础资料!$B$6=""),"",SUMIFS(周转筐出入库明细!$K$4:$K$2004,周转筐出入库明细!$C$4:$C$2004,$B148,周转筐出入库明细!$D$4:$D$2004,基础资料!$B$6,周转筐出入库明细!$B$4:$B$2004,"&gt;="&amp;$BC$1,周转筐出入库明细!$B$4:$B$2004,"&lt;="&amp;$BC$2))</f>
        <v/>
      </c>
      <c r="X148" s="25" t="str">
        <f>IF(OR($B148="",基础资料!$B$7=""),"",SUMIFS(周转筐出入库明细!$K$4:$K$2004,周转筐出入库明细!$C$4:$C$2004,$B148,周转筐出入库明细!$D$4:$D$2004,基础资料!$B$7,周转筐出入库明细!$B$4:$B$2004,"&gt;="&amp;$BC$1,周转筐出入库明细!$B$4:$B$2004,"&lt;="&amp;$BC$2))</f>
        <v/>
      </c>
      <c r="Y148" s="25" t="str">
        <f>IF(OR($B148="",基础资料!$B$8=""),"",SUMIFS(周转筐出入库明细!$K$4:$K$2004,周转筐出入库明细!$C$4:$C$2004,$B148,周转筐出入库明细!$D$4:$D$2004,基础资料!$B$8,周转筐出入库明细!$B$4:$B$2004,"&gt;="&amp;$BC$1,周转筐出入库明细!$B$4:$B$2004,"&lt;="&amp;$BC$2))</f>
        <v/>
      </c>
      <c r="Z148" s="25" t="str">
        <f t="shared" si="28"/>
        <v/>
      </c>
      <c r="AA148" s="67" t="str">
        <f>IF(OR($B148="",基础资料!$B$4=""),"",-SUMIFS(对接源_01水果筐数!$D$5:$D$304,对接源_01水果筐数!$B$5:$B$304,$B148,对接源_01水果筐数!$C$5:$C$304,基础资料!$B$4))</f>
        <v/>
      </c>
      <c r="AB148" s="67" t="str">
        <f>IF(OR($B148="",基础资料!$B$5=""),"",-SUMIFS(对接源_01水果筐数!$D$5:$D$304,对接源_01水果筐数!$B$5:$B$304,$B148,对接源_01水果筐数!$C$5:$C$304,基础资料!$B$5))</f>
        <v/>
      </c>
      <c r="AC148" s="67" t="str">
        <f>IF(OR($B148="",基础资料!$B$6=""),"",-SUMIFS(对接源_01水果筐数!$D$5:$D$304,对接源_01水果筐数!$B$5:$B$304,$B148,对接源_01水果筐数!$C$5:$C$304,基础资料!$B$6))</f>
        <v/>
      </c>
      <c r="AD148" s="67" t="str">
        <f>IF(OR($B148="",基础资料!$B$7=""),"",-SUMIFS(对接源_01水果筐数!$D$5:$D$304,对接源_01水果筐数!$B$5:$B$304,$B148,对接源_01水果筐数!$C$5:$C$304,基础资料!$B$7))</f>
        <v/>
      </c>
      <c r="AE148" s="67" t="str">
        <f>IF(OR($B148="",基础资料!$B$8=""),"",-SUMIFS(对接源_01水果筐数!$D$5:$D$304,对接源_01水果筐数!$B$5:$B$304,$B148,对接源_01水果筐数!$C$5:$C$304,基础资料!$B$8))</f>
        <v/>
      </c>
      <c r="AF148" s="25" t="str">
        <f>IF(OR($B148="",基础资料!$B$4=""),"",SUMIFS(对接源_01水果筐数!$E$5:$E$304,对接源_01水果筐数!$B$5:$B$304,$B148,对接源_01水果筐数!$C$5:$C$304,基础资料!$B$4))</f>
        <v/>
      </c>
      <c r="AG148" s="25" t="str">
        <f>IF(OR($B148="",基础资料!$B$5=""),"",SUMIFS(对接源_01水果筐数!$E$5:$E$304,对接源_01水果筐数!$B$5:$B$304,$B148,对接源_01水果筐数!$C$5:$C$304,基础资料!$B$5))</f>
        <v/>
      </c>
      <c r="AH148" s="25" t="str">
        <f>IF(OR($B148="",基础资料!$B$6=""),"",SUMIFS(对接源_01水果筐数!$E$5:$E$304,对接源_01水果筐数!$B$5:$B$304,$B148,对接源_01水果筐数!$C$5:$C$304,基础资料!$B$6))</f>
        <v/>
      </c>
      <c r="AI148" s="25" t="str">
        <f>IF(OR($B148="",基础资料!$B$7=""),"",SUMIFS(对接源_01水果筐数!$E$5:$E$304,对接源_01水果筐数!$B$5:$B$304,$B148,对接源_01水果筐数!$C$5:$C$304,基础资料!$B$7))</f>
        <v/>
      </c>
      <c r="AJ148" s="25" t="str">
        <f>IF(OR($B148="",基础资料!$B$8=""),"",SUMIFS(对接源_01水果筐数!$E$5:$E$304,对接源_01水果筐数!$B$5:$B$304,$B148,对接源_01水果筐数!$C$5:$C$304,基础资料!$B$8))</f>
        <v/>
      </c>
      <c r="AK148" s="25" t="str">
        <f>IF(OR($B148="",基础资料!$B$4=""),"",SUMIFS(对接源_01水果筐数!$F$5:$F$304,对接源_01水果筐数!$B$5:$B$304,$B148,对接源_01水果筐数!$C$5:$C$304,基础资料!$B$4))</f>
        <v/>
      </c>
      <c r="AL148" s="25" t="str">
        <f>IF(OR($B148="",基础资料!$B$5=""),"",SUMIFS(对接源_01水果筐数!$F$5:$F$304,对接源_01水果筐数!$B$5:$B$304,$B148,对接源_01水果筐数!$C$5:$C$304,基础资料!$B$5))</f>
        <v/>
      </c>
      <c r="AM148" s="25" t="str">
        <f>IF(OR($B148="",基础资料!$B$6=""),"",SUMIFS(对接源_01水果筐数!$F$5:$F$304,对接源_01水果筐数!$B$5:$B$304,$B148,对接源_01水果筐数!$C$5:$C$304,基础资料!$B$6))</f>
        <v/>
      </c>
      <c r="AN148" s="25" t="str">
        <f>IF(OR($B148="",基础资料!$B$7=""),"",SUMIFS(对接源_01水果筐数!$F$5:$F$304,对接源_01水果筐数!$B$5:$B$304,$B148,对接源_01水果筐数!$C$5:$C$304,基础资料!$B$7))</f>
        <v/>
      </c>
      <c r="AO148" s="25" t="str">
        <f>IF(OR($B148="",基础资料!$B$8=""),"",SUMIFS(对接源_01水果筐数!$F$5:$F$304,对接源_01水果筐数!$B$5:$B$304,$B148,对接源_01水果筐数!$C$5:$C$304,基础资料!$B$8))</f>
        <v/>
      </c>
      <c r="AP148" s="25" t="str">
        <f t="shared" si="29"/>
        <v/>
      </c>
      <c r="AQ148" s="25" t="str">
        <f t="shared" si="30"/>
        <v/>
      </c>
      <c r="AR148" s="25" t="str">
        <f t="shared" si="31"/>
        <v/>
      </c>
      <c r="AS148" s="25" t="str">
        <f t="shared" si="32"/>
        <v/>
      </c>
      <c r="AT148" s="25" t="str">
        <f t="shared" si="33"/>
        <v/>
      </c>
      <c r="AU148" s="25" t="str">
        <f t="shared" si="34"/>
        <v/>
      </c>
      <c r="AV148" s="24" t="str">
        <f t="shared" si="35"/>
        <v/>
      </c>
      <c r="AW148" s="72"/>
    </row>
    <row r="149" spans="1:49">
      <c r="A149" s="22" t="str">
        <f t="shared" si="24"/>
        <v/>
      </c>
      <c r="B149" s="24" t="str">
        <f>IFERROR(INDEX(_自动清单!$CC$4:$CC$253,ROW()-3),"")</f>
        <v/>
      </c>
      <c r="C149" s="25" t="str">
        <f>IF(OR($B149="",基础资料!$B$4=""),"",SUMIFS(周转筐出入库明细!$J$4:$J$2004,周转筐出入库明细!$C$4:$C$2004,$B149,周转筐出入库明细!$D$4:$D$2004,基础资料!$B$4,周转筐出入库明细!$B$4:$B$2004,"&gt;="&amp;$BC$1,周转筐出入库明细!$B$4:$B$2004,"&lt;="&amp;$BC$2))</f>
        <v/>
      </c>
      <c r="D149" s="25" t="str">
        <f>IF(OR($B149="",基础资料!$B$5=""),"",SUMIFS(周转筐出入库明细!$J$4:$J$2004,周转筐出入库明细!$C$4:$C$2004,$B149,周转筐出入库明细!$D$4:$D$2004,基础资料!$B$5,周转筐出入库明细!$B$4:$B$2004,"&gt;="&amp;$BC$1,周转筐出入库明细!$B$4:$B$2004,"&lt;="&amp;$BC$2))</f>
        <v/>
      </c>
      <c r="E149" s="25" t="str">
        <f>IF(OR($B149="",基础资料!$B$6=""),"",SUMIFS(周转筐出入库明细!$J$4:$J$2004,周转筐出入库明细!$C$4:$C$2004,$B149,周转筐出入库明细!$D$4:$D$2004,基础资料!$B$6,周转筐出入库明细!$B$4:$B$2004,"&gt;="&amp;$BC$1,周转筐出入库明细!$B$4:$B$2004,"&lt;="&amp;$BC$2))</f>
        <v/>
      </c>
      <c r="F149" s="25" t="str">
        <f>IF(OR($B149="",基础资料!$B$7=""),"",SUMIFS(周转筐出入库明细!$J$4:$J$2004,周转筐出入库明细!$C$4:$C$2004,$B149,周转筐出入库明细!$D$4:$D$2004,基础资料!$B$7,周转筐出入库明细!$B$4:$B$2004,"&gt;="&amp;$BC$1,周转筐出入库明细!$B$4:$B$2004,"&lt;="&amp;$BC$2))</f>
        <v/>
      </c>
      <c r="G149" s="25" t="str">
        <f>IF(OR($B149="",基础资料!$B$8=""),"",SUMIFS(周转筐出入库明细!$J$4:$J$2004,周转筐出入库明细!$C$4:$C$2004,$B149,周转筐出入库明细!$D$4:$D$2004,基础资料!$B$8,周转筐出入库明细!$B$4:$B$2004,"&gt;="&amp;$BC$1,周转筐出入库明细!$B$4:$B$2004,"&lt;="&amp;$BC$2))</f>
        <v/>
      </c>
      <c r="H149" s="25" t="str">
        <f t="shared" si="25"/>
        <v/>
      </c>
      <c r="I149" s="67" t="str">
        <f>IF(OR($B149="",基础资料!$B$4=""),"",-SUMIFS(周转筐出入库明细!$I$4:$I$2004,周转筐出入库明细!$C$4:$C$2004,$B149,周转筐出入库明细!$D$4:$D$2004,基础资料!$B$4,周转筐出入库明细!$B$4:$B$2004,"&gt;="&amp;$BC$1,周转筐出入库明细!$B$4:$B$2004,"&lt;="&amp;$BC$2))</f>
        <v/>
      </c>
      <c r="J149" s="67" t="str">
        <f>IF(OR($B149="",基础资料!$B$5=""),"",-SUMIFS(周转筐出入库明细!$I$4:$I$2004,周转筐出入库明细!$C$4:$C$2004,$B149,周转筐出入库明细!$D$4:$D$2004,基础资料!$B$5,周转筐出入库明细!$B$4:$B$2004,"&gt;="&amp;$BC$1,周转筐出入库明细!$B$4:$B$2004,"&lt;="&amp;$BC$2))</f>
        <v/>
      </c>
      <c r="K149" s="67" t="str">
        <f>IF(OR($B149="",基础资料!$B$6=""),"",-SUMIFS(周转筐出入库明细!$I$4:$I$2004,周转筐出入库明细!$C$4:$C$2004,$B149,周转筐出入库明细!$D$4:$D$2004,基础资料!$B$6,周转筐出入库明细!$B$4:$B$2004,"&gt;="&amp;$BC$1,周转筐出入库明细!$B$4:$B$2004,"&lt;="&amp;$BC$2))</f>
        <v/>
      </c>
      <c r="L149" s="67" t="str">
        <f>IF(OR($B149="",基础资料!$B$7=""),"",-SUMIFS(周转筐出入库明细!$I$4:$I$2004,周转筐出入库明细!$C$4:$C$2004,$B149,周转筐出入库明细!$D$4:$D$2004,基础资料!$B$7,周转筐出入库明细!$B$4:$B$2004,"&gt;="&amp;$BC$1,周转筐出入库明细!$B$4:$B$2004,"&lt;="&amp;$BC$2))</f>
        <v/>
      </c>
      <c r="M149" s="67" t="str">
        <f>IF(OR($B149="",基础资料!$B$8=""),"",-SUMIFS(周转筐出入库明细!$I$4:$I$2004,周转筐出入库明细!$C$4:$C$2004,$B149,周转筐出入库明细!$D$4:$D$2004,基础资料!$B$8,周转筐出入库明细!$B$4:$B$2004,"&gt;="&amp;$BC$1,周转筐出入库明细!$B$4:$B$2004,"&lt;="&amp;$BC$2))</f>
        <v/>
      </c>
      <c r="N149" s="67" t="str">
        <f t="shared" si="26"/>
        <v/>
      </c>
      <c r="O149" s="25" t="str">
        <f>IF(OR($B149="",基础资料!$B$4=""),"",SUMIFS(周转筐出入库明细!$H$4:$H$2004,周转筐出入库明细!$C$4:$C$2004,$B149,周转筐出入库明细!$D$4:$D$2004,基础资料!$B$4,周转筐出入库明细!$F$4:$F$2004,"采购入库",周转筐出入库明细!$B$4:$B$2004,"&gt;="&amp;$BC$1,周转筐出入库明细!$B$4:$B$2004,"&lt;="&amp;$BC$2))</f>
        <v/>
      </c>
      <c r="P149" s="25" t="str">
        <f>IF(OR($B149="",基础资料!$B$5=""),"",SUMIFS(周转筐出入库明细!$H$4:$H$2004,周转筐出入库明细!$C$4:$C$2004,$B149,周转筐出入库明细!$D$4:$D$2004,基础资料!$B$5,周转筐出入库明细!$F$4:$F$2004,"采购入库",周转筐出入库明细!$B$4:$B$2004,"&gt;="&amp;$BC$1,周转筐出入库明细!$B$4:$B$2004,"&lt;="&amp;$BC$2))</f>
        <v/>
      </c>
      <c r="Q149" s="25" t="str">
        <f>IF(OR($B149="",基础资料!$B$6=""),"",SUMIFS(周转筐出入库明细!$H$4:$H$2004,周转筐出入库明细!$C$4:$C$2004,$B149,周转筐出入库明细!$D$4:$D$2004,基础资料!$B$6,周转筐出入库明细!$F$4:$F$2004,"采购入库",周转筐出入库明细!$B$4:$B$2004,"&gt;="&amp;$BC$1,周转筐出入库明细!$B$4:$B$2004,"&lt;="&amp;$BC$2))</f>
        <v/>
      </c>
      <c r="R149" s="25" t="str">
        <f>IF(OR($B149="",基础资料!$B$7=""),"",SUMIFS(周转筐出入库明细!$H$4:$H$2004,周转筐出入库明细!$C$4:$C$2004,$B149,周转筐出入库明细!$D$4:$D$2004,基础资料!$B$7,周转筐出入库明细!$F$4:$F$2004,"采购入库",周转筐出入库明细!$B$4:$B$2004,"&gt;="&amp;$BC$1,周转筐出入库明细!$B$4:$B$2004,"&lt;="&amp;$BC$2))</f>
        <v/>
      </c>
      <c r="S149" s="25" t="str">
        <f>IF(OR($B149="",基础资料!$B$8=""),"",SUMIFS(周转筐出入库明细!$H$4:$H$2004,周转筐出入库明细!$C$4:$C$2004,$B149,周转筐出入库明细!$D$4:$D$2004,基础资料!$B$8,周转筐出入库明细!$F$4:$F$2004,"采购入库",周转筐出入库明细!$B$4:$B$2004,"&gt;="&amp;$BC$1,周转筐出入库明细!$B$4:$B$2004,"&lt;="&amp;$BC$2))</f>
        <v/>
      </c>
      <c r="T149" s="25" t="str">
        <f t="shared" si="27"/>
        <v/>
      </c>
      <c r="U149" s="25" t="str">
        <f>IF(OR($B149="",基础资料!$B$4=""),"",SUMIFS(周转筐出入库明细!$K$4:$K$2004,周转筐出入库明细!$C$4:$C$2004,$B149,周转筐出入库明细!$D$4:$D$2004,基础资料!$B$4,周转筐出入库明细!$B$4:$B$2004,"&gt;="&amp;$BC$1,周转筐出入库明细!$B$4:$B$2004,"&lt;="&amp;$BC$2))</f>
        <v/>
      </c>
      <c r="V149" s="25" t="str">
        <f>IF(OR($B149="",基础资料!$B$5=""),"",SUMIFS(周转筐出入库明细!$K$4:$K$2004,周转筐出入库明细!$C$4:$C$2004,$B149,周转筐出入库明细!$D$4:$D$2004,基础资料!$B$5,周转筐出入库明细!$B$4:$B$2004,"&gt;="&amp;$BC$1,周转筐出入库明细!$B$4:$B$2004,"&lt;="&amp;$BC$2))</f>
        <v/>
      </c>
      <c r="W149" s="25" t="str">
        <f>IF(OR($B149="",基础资料!$B$6=""),"",SUMIFS(周转筐出入库明细!$K$4:$K$2004,周转筐出入库明细!$C$4:$C$2004,$B149,周转筐出入库明细!$D$4:$D$2004,基础资料!$B$6,周转筐出入库明细!$B$4:$B$2004,"&gt;="&amp;$BC$1,周转筐出入库明细!$B$4:$B$2004,"&lt;="&amp;$BC$2))</f>
        <v/>
      </c>
      <c r="X149" s="25" t="str">
        <f>IF(OR($B149="",基础资料!$B$7=""),"",SUMIFS(周转筐出入库明细!$K$4:$K$2004,周转筐出入库明细!$C$4:$C$2004,$B149,周转筐出入库明细!$D$4:$D$2004,基础资料!$B$7,周转筐出入库明细!$B$4:$B$2004,"&gt;="&amp;$BC$1,周转筐出入库明细!$B$4:$B$2004,"&lt;="&amp;$BC$2))</f>
        <v/>
      </c>
      <c r="Y149" s="25" t="str">
        <f>IF(OR($B149="",基础资料!$B$8=""),"",SUMIFS(周转筐出入库明细!$K$4:$K$2004,周转筐出入库明细!$C$4:$C$2004,$B149,周转筐出入库明细!$D$4:$D$2004,基础资料!$B$8,周转筐出入库明细!$B$4:$B$2004,"&gt;="&amp;$BC$1,周转筐出入库明细!$B$4:$B$2004,"&lt;="&amp;$BC$2))</f>
        <v/>
      </c>
      <c r="Z149" s="25" t="str">
        <f t="shared" si="28"/>
        <v/>
      </c>
      <c r="AA149" s="67" t="str">
        <f>IF(OR($B149="",基础资料!$B$4=""),"",-SUMIFS(对接源_01水果筐数!$D$5:$D$304,对接源_01水果筐数!$B$5:$B$304,$B149,对接源_01水果筐数!$C$5:$C$304,基础资料!$B$4))</f>
        <v/>
      </c>
      <c r="AB149" s="67" t="str">
        <f>IF(OR($B149="",基础资料!$B$5=""),"",-SUMIFS(对接源_01水果筐数!$D$5:$D$304,对接源_01水果筐数!$B$5:$B$304,$B149,对接源_01水果筐数!$C$5:$C$304,基础资料!$B$5))</f>
        <v/>
      </c>
      <c r="AC149" s="67" t="str">
        <f>IF(OR($B149="",基础资料!$B$6=""),"",-SUMIFS(对接源_01水果筐数!$D$5:$D$304,对接源_01水果筐数!$B$5:$B$304,$B149,对接源_01水果筐数!$C$5:$C$304,基础资料!$B$6))</f>
        <v/>
      </c>
      <c r="AD149" s="67" t="str">
        <f>IF(OR($B149="",基础资料!$B$7=""),"",-SUMIFS(对接源_01水果筐数!$D$5:$D$304,对接源_01水果筐数!$B$5:$B$304,$B149,对接源_01水果筐数!$C$5:$C$304,基础资料!$B$7))</f>
        <v/>
      </c>
      <c r="AE149" s="67" t="str">
        <f>IF(OR($B149="",基础资料!$B$8=""),"",-SUMIFS(对接源_01水果筐数!$D$5:$D$304,对接源_01水果筐数!$B$5:$B$304,$B149,对接源_01水果筐数!$C$5:$C$304,基础资料!$B$8))</f>
        <v/>
      </c>
      <c r="AF149" s="25" t="str">
        <f>IF(OR($B149="",基础资料!$B$4=""),"",SUMIFS(对接源_01水果筐数!$E$5:$E$304,对接源_01水果筐数!$B$5:$B$304,$B149,对接源_01水果筐数!$C$5:$C$304,基础资料!$B$4))</f>
        <v/>
      </c>
      <c r="AG149" s="25" t="str">
        <f>IF(OR($B149="",基础资料!$B$5=""),"",SUMIFS(对接源_01水果筐数!$E$5:$E$304,对接源_01水果筐数!$B$5:$B$304,$B149,对接源_01水果筐数!$C$5:$C$304,基础资料!$B$5))</f>
        <v/>
      </c>
      <c r="AH149" s="25" t="str">
        <f>IF(OR($B149="",基础资料!$B$6=""),"",SUMIFS(对接源_01水果筐数!$E$5:$E$304,对接源_01水果筐数!$B$5:$B$304,$B149,对接源_01水果筐数!$C$5:$C$304,基础资料!$B$6))</f>
        <v/>
      </c>
      <c r="AI149" s="25" t="str">
        <f>IF(OR($B149="",基础资料!$B$7=""),"",SUMIFS(对接源_01水果筐数!$E$5:$E$304,对接源_01水果筐数!$B$5:$B$304,$B149,对接源_01水果筐数!$C$5:$C$304,基础资料!$B$7))</f>
        <v/>
      </c>
      <c r="AJ149" s="25" t="str">
        <f>IF(OR($B149="",基础资料!$B$8=""),"",SUMIFS(对接源_01水果筐数!$E$5:$E$304,对接源_01水果筐数!$B$5:$B$304,$B149,对接源_01水果筐数!$C$5:$C$304,基础资料!$B$8))</f>
        <v/>
      </c>
      <c r="AK149" s="25" t="str">
        <f>IF(OR($B149="",基础资料!$B$4=""),"",SUMIFS(对接源_01水果筐数!$F$5:$F$304,对接源_01水果筐数!$B$5:$B$304,$B149,对接源_01水果筐数!$C$5:$C$304,基础资料!$B$4))</f>
        <v/>
      </c>
      <c r="AL149" s="25" t="str">
        <f>IF(OR($B149="",基础资料!$B$5=""),"",SUMIFS(对接源_01水果筐数!$F$5:$F$304,对接源_01水果筐数!$B$5:$B$304,$B149,对接源_01水果筐数!$C$5:$C$304,基础资料!$B$5))</f>
        <v/>
      </c>
      <c r="AM149" s="25" t="str">
        <f>IF(OR($B149="",基础资料!$B$6=""),"",SUMIFS(对接源_01水果筐数!$F$5:$F$304,对接源_01水果筐数!$B$5:$B$304,$B149,对接源_01水果筐数!$C$5:$C$304,基础资料!$B$6))</f>
        <v/>
      </c>
      <c r="AN149" s="25" t="str">
        <f>IF(OR($B149="",基础资料!$B$7=""),"",SUMIFS(对接源_01水果筐数!$F$5:$F$304,对接源_01水果筐数!$B$5:$B$304,$B149,对接源_01水果筐数!$C$5:$C$304,基础资料!$B$7))</f>
        <v/>
      </c>
      <c r="AO149" s="25" t="str">
        <f>IF(OR($B149="",基础资料!$B$8=""),"",SUMIFS(对接源_01水果筐数!$F$5:$F$304,对接源_01水果筐数!$B$5:$B$304,$B149,对接源_01水果筐数!$C$5:$C$304,基础资料!$B$8))</f>
        <v/>
      </c>
      <c r="AP149" s="25" t="str">
        <f t="shared" si="29"/>
        <v/>
      </c>
      <c r="AQ149" s="25" t="str">
        <f t="shared" si="30"/>
        <v/>
      </c>
      <c r="AR149" s="25" t="str">
        <f t="shared" si="31"/>
        <v/>
      </c>
      <c r="AS149" s="25" t="str">
        <f t="shared" si="32"/>
        <v/>
      </c>
      <c r="AT149" s="25" t="str">
        <f t="shared" si="33"/>
        <v/>
      </c>
      <c r="AU149" s="25" t="str">
        <f t="shared" si="34"/>
        <v/>
      </c>
      <c r="AV149" s="24" t="str">
        <f t="shared" si="35"/>
        <v/>
      </c>
      <c r="AW149" s="72"/>
    </row>
    <row r="150" spans="1:49">
      <c r="A150" s="22" t="str">
        <f t="shared" si="24"/>
        <v/>
      </c>
      <c r="B150" s="24" t="str">
        <f>IFERROR(INDEX(_自动清单!$CC$4:$CC$253,ROW()-3),"")</f>
        <v/>
      </c>
      <c r="C150" s="25" t="str">
        <f>IF(OR($B150="",基础资料!$B$4=""),"",SUMIFS(周转筐出入库明细!$J$4:$J$2004,周转筐出入库明细!$C$4:$C$2004,$B150,周转筐出入库明细!$D$4:$D$2004,基础资料!$B$4,周转筐出入库明细!$B$4:$B$2004,"&gt;="&amp;$BC$1,周转筐出入库明细!$B$4:$B$2004,"&lt;="&amp;$BC$2))</f>
        <v/>
      </c>
      <c r="D150" s="25" t="str">
        <f>IF(OR($B150="",基础资料!$B$5=""),"",SUMIFS(周转筐出入库明细!$J$4:$J$2004,周转筐出入库明细!$C$4:$C$2004,$B150,周转筐出入库明细!$D$4:$D$2004,基础资料!$B$5,周转筐出入库明细!$B$4:$B$2004,"&gt;="&amp;$BC$1,周转筐出入库明细!$B$4:$B$2004,"&lt;="&amp;$BC$2))</f>
        <v/>
      </c>
      <c r="E150" s="25" t="str">
        <f>IF(OR($B150="",基础资料!$B$6=""),"",SUMIFS(周转筐出入库明细!$J$4:$J$2004,周转筐出入库明细!$C$4:$C$2004,$B150,周转筐出入库明细!$D$4:$D$2004,基础资料!$B$6,周转筐出入库明细!$B$4:$B$2004,"&gt;="&amp;$BC$1,周转筐出入库明细!$B$4:$B$2004,"&lt;="&amp;$BC$2))</f>
        <v/>
      </c>
      <c r="F150" s="25" t="str">
        <f>IF(OR($B150="",基础资料!$B$7=""),"",SUMIFS(周转筐出入库明细!$J$4:$J$2004,周转筐出入库明细!$C$4:$C$2004,$B150,周转筐出入库明细!$D$4:$D$2004,基础资料!$B$7,周转筐出入库明细!$B$4:$B$2004,"&gt;="&amp;$BC$1,周转筐出入库明细!$B$4:$B$2004,"&lt;="&amp;$BC$2))</f>
        <v/>
      </c>
      <c r="G150" s="25" t="str">
        <f>IF(OR($B150="",基础资料!$B$8=""),"",SUMIFS(周转筐出入库明细!$J$4:$J$2004,周转筐出入库明细!$C$4:$C$2004,$B150,周转筐出入库明细!$D$4:$D$2004,基础资料!$B$8,周转筐出入库明细!$B$4:$B$2004,"&gt;="&amp;$BC$1,周转筐出入库明细!$B$4:$B$2004,"&lt;="&amp;$BC$2))</f>
        <v/>
      </c>
      <c r="H150" s="25" t="str">
        <f t="shared" si="25"/>
        <v/>
      </c>
      <c r="I150" s="67" t="str">
        <f>IF(OR($B150="",基础资料!$B$4=""),"",-SUMIFS(周转筐出入库明细!$I$4:$I$2004,周转筐出入库明细!$C$4:$C$2004,$B150,周转筐出入库明细!$D$4:$D$2004,基础资料!$B$4,周转筐出入库明细!$B$4:$B$2004,"&gt;="&amp;$BC$1,周转筐出入库明细!$B$4:$B$2004,"&lt;="&amp;$BC$2))</f>
        <v/>
      </c>
      <c r="J150" s="67" t="str">
        <f>IF(OR($B150="",基础资料!$B$5=""),"",-SUMIFS(周转筐出入库明细!$I$4:$I$2004,周转筐出入库明细!$C$4:$C$2004,$B150,周转筐出入库明细!$D$4:$D$2004,基础资料!$B$5,周转筐出入库明细!$B$4:$B$2004,"&gt;="&amp;$BC$1,周转筐出入库明细!$B$4:$B$2004,"&lt;="&amp;$BC$2))</f>
        <v/>
      </c>
      <c r="K150" s="67" t="str">
        <f>IF(OR($B150="",基础资料!$B$6=""),"",-SUMIFS(周转筐出入库明细!$I$4:$I$2004,周转筐出入库明细!$C$4:$C$2004,$B150,周转筐出入库明细!$D$4:$D$2004,基础资料!$B$6,周转筐出入库明细!$B$4:$B$2004,"&gt;="&amp;$BC$1,周转筐出入库明细!$B$4:$B$2004,"&lt;="&amp;$BC$2))</f>
        <v/>
      </c>
      <c r="L150" s="67" t="str">
        <f>IF(OR($B150="",基础资料!$B$7=""),"",-SUMIFS(周转筐出入库明细!$I$4:$I$2004,周转筐出入库明细!$C$4:$C$2004,$B150,周转筐出入库明细!$D$4:$D$2004,基础资料!$B$7,周转筐出入库明细!$B$4:$B$2004,"&gt;="&amp;$BC$1,周转筐出入库明细!$B$4:$B$2004,"&lt;="&amp;$BC$2))</f>
        <v/>
      </c>
      <c r="M150" s="67" t="str">
        <f>IF(OR($B150="",基础资料!$B$8=""),"",-SUMIFS(周转筐出入库明细!$I$4:$I$2004,周转筐出入库明细!$C$4:$C$2004,$B150,周转筐出入库明细!$D$4:$D$2004,基础资料!$B$8,周转筐出入库明细!$B$4:$B$2004,"&gt;="&amp;$BC$1,周转筐出入库明细!$B$4:$B$2004,"&lt;="&amp;$BC$2))</f>
        <v/>
      </c>
      <c r="N150" s="67" t="str">
        <f t="shared" si="26"/>
        <v/>
      </c>
      <c r="O150" s="25" t="str">
        <f>IF(OR($B150="",基础资料!$B$4=""),"",SUMIFS(周转筐出入库明细!$H$4:$H$2004,周转筐出入库明细!$C$4:$C$2004,$B150,周转筐出入库明细!$D$4:$D$2004,基础资料!$B$4,周转筐出入库明细!$F$4:$F$2004,"采购入库",周转筐出入库明细!$B$4:$B$2004,"&gt;="&amp;$BC$1,周转筐出入库明细!$B$4:$B$2004,"&lt;="&amp;$BC$2))</f>
        <v/>
      </c>
      <c r="P150" s="25" t="str">
        <f>IF(OR($B150="",基础资料!$B$5=""),"",SUMIFS(周转筐出入库明细!$H$4:$H$2004,周转筐出入库明细!$C$4:$C$2004,$B150,周转筐出入库明细!$D$4:$D$2004,基础资料!$B$5,周转筐出入库明细!$F$4:$F$2004,"采购入库",周转筐出入库明细!$B$4:$B$2004,"&gt;="&amp;$BC$1,周转筐出入库明细!$B$4:$B$2004,"&lt;="&amp;$BC$2))</f>
        <v/>
      </c>
      <c r="Q150" s="25" t="str">
        <f>IF(OR($B150="",基础资料!$B$6=""),"",SUMIFS(周转筐出入库明细!$H$4:$H$2004,周转筐出入库明细!$C$4:$C$2004,$B150,周转筐出入库明细!$D$4:$D$2004,基础资料!$B$6,周转筐出入库明细!$F$4:$F$2004,"采购入库",周转筐出入库明细!$B$4:$B$2004,"&gt;="&amp;$BC$1,周转筐出入库明细!$B$4:$B$2004,"&lt;="&amp;$BC$2))</f>
        <v/>
      </c>
      <c r="R150" s="25" t="str">
        <f>IF(OR($B150="",基础资料!$B$7=""),"",SUMIFS(周转筐出入库明细!$H$4:$H$2004,周转筐出入库明细!$C$4:$C$2004,$B150,周转筐出入库明细!$D$4:$D$2004,基础资料!$B$7,周转筐出入库明细!$F$4:$F$2004,"采购入库",周转筐出入库明细!$B$4:$B$2004,"&gt;="&amp;$BC$1,周转筐出入库明细!$B$4:$B$2004,"&lt;="&amp;$BC$2))</f>
        <v/>
      </c>
      <c r="S150" s="25" t="str">
        <f>IF(OR($B150="",基础资料!$B$8=""),"",SUMIFS(周转筐出入库明细!$H$4:$H$2004,周转筐出入库明细!$C$4:$C$2004,$B150,周转筐出入库明细!$D$4:$D$2004,基础资料!$B$8,周转筐出入库明细!$F$4:$F$2004,"采购入库",周转筐出入库明细!$B$4:$B$2004,"&gt;="&amp;$BC$1,周转筐出入库明细!$B$4:$B$2004,"&lt;="&amp;$BC$2))</f>
        <v/>
      </c>
      <c r="T150" s="25" t="str">
        <f t="shared" si="27"/>
        <v/>
      </c>
      <c r="U150" s="25" t="str">
        <f>IF(OR($B150="",基础资料!$B$4=""),"",SUMIFS(周转筐出入库明细!$K$4:$K$2004,周转筐出入库明细!$C$4:$C$2004,$B150,周转筐出入库明细!$D$4:$D$2004,基础资料!$B$4,周转筐出入库明细!$B$4:$B$2004,"&gt;="&amp;$BC$1,周转筐出入库明细!$B$4:$B$2004,"&lt;="&amp;$BC$2))</f>
        <v/>
      </c>
      <c r="V150" s="25" t="str">
        <f>IF(OR($B150="",基础资料!$B$5=""),"",SUMIFS(周转筐出入库明细!$K$4:$K$2004,周转筐出入库明细!$C$4:$C$2004,$B150,周转筐出入库明细!$D$4:$D$2004,基础资料!$B$5,周转筐出入库明细!$B$4:$B$2004,"&gt;="&amp;$BC$1,周转筐出入库明细!$B$4:$B$2004,"&lt;="&amp;$BC$2))</f>
        <v/>
      </c>
      <c r="W150" s="25" t="str">
        <f>IF(OR($B150="",基础资料!$B$6=""),"",SUMIFS(周转筐出入库明细!$K$4:$K$2004,周转筐出入库明细!$C$4:$C$2004,$B150,周转筐出入库明细!$D$4:$D$2004,基础资料!$B$6,周转筐出入库明细!$B$4:$B$2004,"&gt;="&amp;$BC$1,周转筐出入库明细!$B$4:$B$2004,"&lt;="&amp;$BC$2))</f>
        <v/>
      </c>
      <c r="X150" s="25" t="str">
        <f>IF(OR($B150="",基础资料!$B$7=""),"",SUMIFS(周转筐出入库明细!$K$4:$K$2004,周转筐出入库明细!$C$4:$C$2004,$B150,周转筐出入库明细!$D$4:$D$2004,基础资料!$B$7,周转筐出入库明细!$B$4:$B$2004,"&gt;="&amp;$BC$1,周转筐出入库明细!$B$4:$B$2004,"&lt;="&amp;$BC$2))</f>
        <v/>
      </c>
      <c r="Y150" s="25" t="str">
        <f>IF(OR($B150="",基础资料!$B$8=""),"",SUMIFS(周转筐出入库明细!$K$4:$K$2004,周转筐出入库明细!$C$4:$C$2004,$B150,周转筐出入库明细!$D$4:$D$2004,基础资料!$B$8,周转筐出入库明细!$B$4:$B$2004,"&gt;="&amp;$BC$1,周转筐出入库明细!$B$4:$B$2004,"&lt;="&amp;$BC$2))</f>
        <v/>
      </c>
      <c r="Z150" s="25" t="str">
        <f t="shared" si="28"/>
        <v/>
      </c>
      <c r="AA150" s="67" t="str">
        <f>IF(OR($B150="",基础资料!$B$4=""),"",-SUMIFS(对接源_01水果筐数!$D$5:$D$304,对接源_01水果筐数!$B$5:$B$304,$B150,对接源_01水果筐数!$C$5:$C$304,基础资料!$B$4))</f>
        <v/>
      </c>
      <c r="AB150" s="67" t="str">
        <f>IF(OR($B150="",基础资料!$B$5=""),"",-SUMIFS(对接源_01水果筐数!$D$5:$D$304,对接源_01水果筐数!$B$5:$B$304,$B150,对接源_01水果筐数!$C$5:$C$304,基础资料!$B$5))</f>
        <v/>
      </c>
      <c r="AC150" s="67" t="str">
        <f>IF(OR($B150="",基础资料!$B$6=""),"",-SUMIFS(对接源_01水果筐数!$D$5:$D$304,对接源_01水果筐数!$B$5:$B$304,$B150,对接源_01水果筐数!$C$5:$C$304,基础资料!$B$6))</f>
        <v/>
      </c>
      <c r="AD150" s="67" t="str">
        <f>IF(OR($B150="",基础资料!$B$7=""),"",-SUMIFS(对接源_01水果筐数!$D$5:$D$304,对接源_01水果筐数!$B$5:$B$304,$B150,对接源_01水果筐数!$C$5:$C$304,基础资料!$B$7))</f>
        <v/>
      </c>
      <c r="AE150" s="67" t="str">
        <f>IF(OR($B150="",基础资料!$B$8=""),"",-SUMIFS(对接源_01水果筐数!$D$5:$D$304,对接源_01水果筐数!$B$5:$B$304,$B150,对接源_01水果筐数!$C$5:$C$304,基础资料!$B$8))</f>
        <v/>
      </c>
      <c r="AF150" s="25" t="str">
        <f>IF(OR($B150="",基础资料!$B$4=""),"",SUMIFS(对接源_01水果筐数!$E$5:$E$304,对接源_01水果筐数!$B$5:$B$304,$B150,对接源_01水果筐数!$C$5:$C$304,基础资料!$B$4))</f>
        <v/>
      </c>
      <c r="AG150" s="25" t="str">
        <f>IF(OR($B150="",基础资料!$B$5=""),"",SUMIFS(对接源_01水果筐数!$E$5:$E$304,对接源_01水果筐数!$B$5:$B$304,$B150,对接源_01水果筐数!$C$5:$C$304,基础资料!$B$5))</f>
        <v/>
      </c>
      <c r="AH150" s="25" t="str">
        <f>IF(OR($B150="",基础资料!$B$6=""),"",SUMIFS(对接源_01水果筐数!$E$5:$E$304,对接源_01水果筐数!$B$5:$B$304,$B150,对接源_01水果筐数!$C$5:$C$304,基础资料!$B$6))</f>
        <v/>
      </c>
      <c r="AI150" s="25" t="str">
        <f>IF(OR($B150="",基础资料!$B$7=""),"",SUMIFS(对接源_01水果筐数!$E$5:$E$304,对接源_01水果筐数!$B$5:$B$304,$B150,对接源_01水果筐数!$C$5:$C$304,基础资料!$B$7))</f>
        <v/>
      </c>
      <c r="AJ150" s="25" t="str">
        <f>IF(OR($B150="",基础资料!$B$8=""),"",SUMIFS(对接源_01水果筐数!$E$5:$E$304,对接源_01水果筐数!$B$5:$B$304,$B150,对接源_01水果筐数!$C$5:$C$304,基础资料!$B$8))</f>
        <v/>
      </c>
      <c r="AK150" s="25" t="str">
        <f>IF(OR($B150="",基础资料!$B$4=""),"",SUMIFS(对接源_01水果筐数!$F$5:$F$304,对接源_01水果筐数!$B$5:$B$304,$B150,对接源_01水果筐数!$C$5:$C$304,基础资料!$B$4))</f>
        <v/>
      </c>
      <c r="AL150" s="25" t="str">
        <f>IF(OR($B150="",基础资料!$B$5=""),"",SUMIFS(对接源_01水果筐数!$F$5:$F$304,对接源_01水果筐数!$B$5:$B$304,$B150,对接源_01水果筐数!$C$5:$C$304,基础资料!$B$5))</f>
        <v/>
      </c>
      <c r="AM150" s="25" t="str">
        <f>IF(OR($B150="",基础资料!$B$6=""),"",SUMIFS(对接源_01水果筐数!$F$5:$F$304,对接源_01水果筐数!$B$5:$B$304,$B150,对接源_01水果筐数!$C$5:$C$304,基础资料!$B$6))</f>
        <v/>
      </c>
      <c r="AN150" s="25" t="str">
        <f>IF(OR($B150="",基础资料!$B$7=""),"",SUMIFS(对接源_01水果筐数!$F$5:$F$304,对接源_01水果筐数!$B$5:$B$304,$B150,对接源_01水果筐数!$C$5:$C$304,基础资料!$B$7))</f>
        <v/>
      </c>
      <c r="AO150" s="25" t="str">
        <f>IF(OR($B150="",基础资料!$B$8=""),"",SUMIFS(对接源_01水果筐数!$F$5:$F$304,对接源_01水果筐数!$B$5:$B$304,$B150,对接源_01水果筐数!$C$5:$C$304,基础资料!$B$8))</f>
        <v/>
      </c>
      <c r="AP150" s="25" t="str">
        <f t="shared" si="29"/>
        <v/>
      </c>
      <c r="AQ150" s="25" t="str">
        <f t="shared" si="30"/>
        <v/>
      </c>
      <c r="AR150" s="25" t="str">
        <f t="shared" si="31"/>
        <v/>
      </c>
      <c r="AS150" s="25" t="str">
        <f t="shared" si="32"/>
        <v/>
      </c>
      <c r="AT150" s="25" t="str">
        <f t="shared" si="33"/>
        <v/>
      </c>
      <c r="AU150" s="25" t="str">
        <f t="shared" si="34"/>
        <v/>
      </c>
      <c r="AV150" s="24" t="str">
        <f t="shared" si="35"/>
        <v/>
      </c>
      <c r="AW150" s="72"/>
    </row>
    <row r="151" spans="1:49">
      <c r="A151" s="22" t="str">
        <f t="shared" si="24"/>
        <v/>
      </c>
      <c r="B151" s="24" t="str">
        <f>IFERROR(INDEX(_自动清单!$CC$4:$CC$253,ROW()-3),"")</f>
        <v/>
      </c>
      <c r="C151" s="25" t="str">
        <f>IF(OR($B151="",基础资料!$B$4=""),"",SUMIFS(周转筐出入库明细!$J$4:$J$2004,周转筐出入库明细!$C$4:$C$2004,$B151,周转筐出入库明细!$D$4:$D$2004,基础资料!$B$4,周转筐出入库明细!$B$4:$B$2004,"&gt;="&amp;$BC$1,周转筐出入库明细!$B$4:$B$2004,"&lt;="&amp;$BC$2))</f>
        <v/>
      </c>
      <c r="D151" s="25" t="str">
        <f>IF(OR($B151="",基础资料!$B$5=""),"",SUMIFS(周转筐出入库明细!$J$4:$J$2004,周转筐出入库明细!$C$4:$C$2004,$B151,周转筐出入库明细!$D$4:$D$2004,基础资料!$B$5,周转筐出入库明细!$B$4:$B$2004,"&gt;="&amp;$BC$1,周转筐出入库明细!$B$4:$B$2004,"&lt;="&amp;$BC$2))</f>
        <v/>
      </c>
      <c r="E151" s="25" t="str">
        <f>IF(OR($B151="",基础资料!$B$6=""),"",SUMIFS(周转筐出入库明细!$J$4:$J$2004,周转筐出入库明细!$C$4:$C$2004,$B151,周转筐出入库明细!$D$4:$D$2004,基础资料!$B$6,周转筐出入库明细!$B$4:$B$2004,"&gt;="&amp;$BC$1,周转筐出入库明细!$B$4:$B$2004,"&lt;="&amp;$BC$2))</f>
        <v/>
      </c>
      <c r="F151" s="25" t="str">
        <f>IF(OR($B151="",基础资料!$B$7=""),"",SUMIFS(周转筐出入库明细!$J$4:$J$2004,周转筐出入库明细!$C$4:$C$2004,$B151,周转筐出入库明细!$D$4:$D$2004,基础资料!$B$7,周转筐出入库明细!$B$4:$B$2004,"&gt;="&amp;$BC$1,周转筐出入库明细!$B$4:$B$2004,"&lt;="&amp;$BC$2))</f>
        <v/>
      </c>
      <c r="G151" s="25" t="str">
        <f>IF(OR($B151="",基础资料!$B$8=""),"",SUMIFS(周转筐出入库明细!$J$4:$J$2004,周转筐出入库明细!$C$4:$C$2004,$B151,周转筐出入库明细!$D$4:$D$2004,基础资料!$B$8,周转筐出入库明细!$B$4:$B$2004,"&gt;="&amp;$BC$1,周转筐出入库明细!$B$4:$B$2004,"&lt;="&amp;$BC$2))</f>
        <v/>
      </c>
      <c r="H151" s="25" t="str">
        <f t="shared" si="25"/>
        <v/>
      </c>
      <c r="I151" s="67" t="str">
        <f>IF(OR($B151="",基础资料!$B$4=""),"",-SUMIFS(周转筐出入库明细!$I$4:$I$2004,周转筐出入库明细!$C$4:$C$2004,$B151,周转筐出入库明细!$D$4:$D$2004,基础资料!$B$4,周转筐出入库明细!$B$4:$B$2004,"&gt;="&amp;$BC$1,周转筐出入库明细!$B$4:$B$2004,"&lt;="&amp;$BC$2))</f>
        <v/>
      </c>
      <c r="J151" s="67" t="str">
        <f>IF(OR($B151="",基础资料!$B$5=""),"",-SUMIFS(周转筐出入库明细!$I$4:$I$2004,周转筐出入库明细!$C$4:$C$2004,$B151,周转筐出入库明细!$D$4:$D$2004,基础资料!$B$5,周转筐出入库明细!$B$4:$B$2004,"&gt;="&amp;$BC$1,周转筐出入库明细!$B$4:$B$2004,"&lt;="&amp;$BC$2))</f>
        <v/>
      </c>
      <c r="K151" s="67" t="str">
        <f>IF(OR($B151="",基础资料!$B$6=""),"",-SUMIFS(周转筐出入库明细!$I$4:$I$2004,周转筐出入库明细!$C$4:$C$2004,$B151,周转筐出入库明细!$D$4:$D$2004,基础资料!$B$6,周转筐出入库明细!$B$4:$B$2004,"&gt;="&amp;$BC$1,周转筐出入库明细!$B$4:$B$2004,"&lt;="&amp;$BC$2))</f>
        <v/>
      </c>
      <c r="L151" s="67" t="str">
        <f>IF(OR($B151="",基础资料!$B$7=""),"",-SUMIFS(周转筐出入库明细!$I$4:$I$2004,周转筐出入库明细!$C$4:$C$2004,$B151,周转筐出入库明细!$D$4:$D$2004,基础资料!$B$7,周转筐出入库明细!$B$4:$B$2004,"&gt;="&amp;$BC$1,周转筐出入库明细!$B$4:$B$2004,"&lt;="&amp;$BC$2))</f>
        <v/>
      </c>
      <c r="M151" s="67" t="str">
        <f>IF(OR($B151="",基础资料!$B$8=""),"",-SUMIFS(周转筐出入库明细!$I$4:$I$2004,周转筐出入库明细!$C$4:$C$2004,$B151,周转筐出入库明细!$D$4:$D$2004,基础资料!$B$8,周转筐出入库明细!$B$4:$B$2004,"&gt;="&amp;$BC$1,周转筐出入库明细!$B$4:$B$2004,"&lt;="&amp;$BC$2))</f>
        <v/>
      </c>
      <c r="N151" s="67" t="str">
        <f t="shared" si="26"/>
        <v/>
      </c>
      <c r="O151" s="25" t="str">
        <f>IF(OR($B151="",基础资料!$B$4=""),"",SUMIFS(周转筐出入库明细!$H$4:$H$2004,周转筐出入库明细!$C$4:$C$2004,$B151,周转筐出入库明细!$D$4:$D$2004,基础资料!$B$4,周转筐出入库明细!$F$4:$F$2004,"采购入库",周转筐出入库明细!$B$4:$B$2004,"&gt;="&amp;$BC$1,周转筐出入库明细!$B$4:$B$2004,"&lt;="&amp;$BC$2))</f>
        <v/>
      </c>
      <c r="P151" s="25" t="str">
        <f>IF(OR($B151="",基础资料!$B$5=""),"",SUMIFS(周转筐出入库明细!$H$4:$H$2004,周转筐出入库明细!$C$4:$C$2004,$B151,周转筐出入库明细!$D$4:$D$2004,基础资料!$B$5,周转筐出入库明细!$F$4:$F$2004,"采购入库",周转筐出入库明细!$B$4:$B$2004,"&gt;="&amp;$BC$1,周转筐出入库明细!$B$4:$B$2004,"&lt;="&amp;$BC$2))</f>
        <v/>
      </c>
      <c r="Q151" s="25" t="str">
        <f>IF(OR($B151="",基础资料!$B$6=""),"",SUMIFS(周转筐出入库明细!$H$4:$H$2004,周转筐出入库明细!$C$4:$C$2004,$B151,周转筐出入库明细!$D$4:$D$2004,基础资料!$B$6,周转筐出入库明细!$F$4:$F$2004,"采购入库",周转筐出入库明细!$B$4:$B$2004,"&gt;="&amp;$BC$1,周转筐出入库明细!$B$4:$B$2004,"&lt;="&amp;$BC$2))</f>
        <v/>
      </c>
      <c r="R151" s="25" t="str">
        <f>IF(OR($B151="",基础资料!$B$7=""),"",SUMIFS(周转筐出入库明细!$H$4:$H$2004,周转筐出入库明细!$C$4:$C$2004,$B151,周转筐出入库明细!$D$4:$D$2004,基础资料!$B$7,周转筐出入库明细!$F$4:$F$2004,"采购入库",周转筐出入库明细!$B$4:$B$2004,"&gt;="&amp;$BC$1,周转筐出入库明细!$B$4:$B$2004,"&lt;="&amp;$BC$2))</f>
        <v/>
      </c>
      <c r="S151" s="25" t="str">
        <f>IF(OR($B151="",基础资料!$B$8=""),"",SUMIFS(周转筐出入库明细!$H$4:$H$2004,周转筐出入库明细!$C$4:$C$2004,$B151,周转筐出入库明细!$D$4:$D$2004,基础资料!$B$8,周转筐出入库明细!$F$4:$F$2004,"采购入库",周转筐出入库明细!$B$4:$B$2004,"&gt;="&amp;$BC$1,周转筐出入库明细!$B$4:$B$2004,"&lt;="&amp;$BC$2))</f>
        <v/>
      </c>
      <c r="T151" s="25" t="str">
        <f t="shared" si="27"/>
        <v/>
      </c>
      <c r="U151" s="25" t="str">
        <f>IF(OR($B151="",基础资料!$B$4=""),"",SUMIFS(周转筐出入库明细!$K$4:$K$2004,周转筐出入库明细!$C$4:$C$2004,$B151,周转筐出入库明细!$D$4:$D$2004,基础资料!$B$4,周转筐出入库明细!$B$4:$B$2004,"&gt;="&amp;$BC$1,周转筐出入库明细!$B$4:$B$2004,"&lt;="&amp;$BC$2))</f>
        <v/>
      </c>
      <c r="V151" s="25" t="str">
        <f>IF(OR($B151="",基础资料!$B$5=""),"",SUMIFS(周转筐出入库明细!$K$4:$K$2004,周转筐出入库明细!$C$4:$C$2004,$B151,周转筐出入库明细!$D$4:$D$2004,基础资料!$B$5,周转筐出入库明细!$B$4:$B$2004,"&gt;="&amp;$BC$1,周转筐出入库明细!$B$4:$B$2004,"&lt;="&amp;$BC$2))</f>
        <v/>
      </c>
      <c r="W151" s="25" t="str">
        <f>IF(OR($B151="",基础资料!$B$6=""),"",SUMIFS(周转筐出入库明细!$K$4:$K$2004,周转筐出入库明细!$C$4:$C$2004,$B151,周转筐出入库明细!$D$4:$D$2004,基础资料!$B$6,周转筐出入库明细!$B$4:$B$2004,"&gt;="&amp;$BC$1,周转筐出入库明细!$B$4:$B$2004,"&lt;="&amp;$BC$2))</f>
        <v/>
      </c>
      <c r="X151" s="25" t="str">
        <f>IF(OR($B151="",基础资料!$B$7=""),"",SUMIFS(周转筐出入库明细!$K$4:$K$2004,周转筐出入库明细!$C$4:$C$2004,$B151,周转筐出入库明细!$D$4:$D$2004,基础资料!$B$7,周转筐出入库明细!$B$4:$B$2004,"&gt;="&amp;$BC$1,周转筐出入库明细!$B$4:$B$2004,"&lt;="&amp;$BC$2))</f>
        <v/>
      </c>
      <c r="Y151" s="25" t="str">
        <f>IF(OR($B151="",基础资料!$B$8=""),"",SUMIFS(周转筐出入库明细!$K$4:$K$2004,周转筐出入库明细!$C$4:$C$2004,$B151,周转筐出入库明细!$D$4:$D$2004,基础资料!$B$8,周转筐出入库明细!$B$4:$B$2004,"&gt;="&amp;$BC$1,周转筐出入库明细!$B$4:$B$2004,"&lt;="&amp;$BC$2))</f>
        <v/>
      </c>
      <c r="Z151" s="25" t="str">
        <f t="shared" si="28"/>
        <v/>
      </c>
      <c r="AA151" s="67" t="str">
        <f>IF(OR($B151="",基础资料!$B$4=""),"",-SUMIFS(对接源_01水果筐数!$D$5:$D$304,对接源_01水果筐数!$B$5:$B$304,$B151,对接源_01水果筐数!$C$5:$C$304,基础资料!$B$4))</f>
        <v/>
      </c>
      <c r="AB151" s="67" t="str">
        <f>IF(OR($B151="",基础资料!$B$5=""),"",-SUMIFS(对接源_01水果筐数!$D$5:$D$304,对接源_01水果筐数!$B$5:$B$304,$B151,对接源_01水果筐数!$C$5:$C$304,基础资料!$B$5))</f>
        <v/>
      </c>
      <c r="AC151" s="67" t="str">
        <f>IF(OR($B151="",基础资料!$B$6=""),"",-SUMIFS(对接源_01水果筐数!$D$5:$D$304,对接源_01水果筐数!$B$5:$B$304,$B151,对接源_01水果筐数!$C$5:$C$304,基础资料!$B$6))</f>
        <v/>
      </c>
      <c r="AD151" s="67" t="str">
        <f>IF(OR($B151="",基础资料!$B$7=""),"",-SUMIFS(对接源_01水果筐数!$D$5:$D$304,对接源_01水果筐数!$B$5:$B$304,$B151,对接源_01水果筐数!$C$5:$C$304,基础资料!$B$7))</f>
        <v/>
      </c>
      <c r="AE151" s="67" t="str">
        <f>IF(OR($B151="",基础资料!$B$8=""),"",-SUMIFS(对接源_01水果筐数!$D$5:$D$304,对接源_01水果筐数!$B$5:$B$304,$B151,对接源_01水果筐数!$C$5:$C$304,基础资料!$B$8))</f>
        <v/>
      </c>
      <c r="AF151" s="25" t="str">
        <f>IF(OR($B151="",基础资料!$B$4=""),"",SUMIFS(对接源_01水果筐数!$E$5:$E$304,对接源_01水果筐数!$B$5:$B$304,$B151,对接源_01水果筐数!$C$5:$C$304,基础资料!$B$4))</f>
        <v/>
      </c>
      <c r="AG151" s="25" t="str">
        <f>IF(OR($B151="",基础资料!$B$5=""),"",SUMIFS(对接源_01水果筐数!$E$5:$E$304,对接源_01水果筐数!$B$5:$B$304,$B151,对接源_01水果筐数!$C$5:$C$304,基础资料!$B$5))</f>
        <v/>
      </c>
      <c r="AH151" s="25" t="str">
        <f>IF(OR($B151="",基础资料!$B$6=""),"",SUMIFS(对接源_01水果筐数!$E$5:$E$304,对接源_01水果筐数!$B$5:$B$304,$B151,对接源_01水果筐数!$C$5:$C$304,基础资料!$B$6))</f>
        <v/>
      </c>
      <c r="AI151" s="25" t="str">
        <f>IF(OR($B151="",基础资料!$B$7=""),"",SUMIFS(对接源_01水果筐数!$E$5:$E$304,对接源_01水果筐数!$B$5:$B$304,$B151,对接源_01水果筐数!$C$5:$C$304,基础资料!$B$7))</f>
        <v/>
      </c>
      <c r="AJ151" s="25" t="str">
        <f>IF(OR($B151="",基础资料!$B$8=""),"",SUMIFS(对接源_01水果筐数!$E$5:$E$304,对接源_01水果筐数!$B$5:$B$304,$B151,对接源_01水果筐数!$C$5:$C$304,基础资料!$B$8))</f>
        <v/>
      </c>
      <c r="AK151" s="25" t="str">
        <f>IF(OR($B151="",基础资料!$B$4=""),"",SUMIFS(对接源_01水果筐数!$F$5:$F$304,对接源_01水果筐数!$B$5:$B$304,$B151,对接源_01水果筐数!$C$5:$C$304,基础资料!$B$4))</f>
        <v/>
      </c>
      <c r="AL151" s="25" t="str">
        <f>IF(OR($B151="",基础资料!$B$5=""),"",SUMIFS(对接源_01水果筐数!$F$5:$F$304,对接源_01水果筐数!$B$5:$B$304,$B151,对接源_01水果筐数!$C$5:$C$304,基础资料!$B$5))</f>
        <v/>
      </c>
      <c r="AM151" s="25" t="str">
        <f>IF(OR($B151="",基础资料!$B$6=""),"",SUMIFS(对接源_01水果筐数!$F$5:$F$304,对接源_01水果筐数!$B$5:$B$304,$B151,对接源_01水果筐数!$C$5:$C$304,基础资料!$B$6))</f>
        <v/>
      </c>
      <c r="AN151" s="25" t="str">
        <f>IF(OR($B151="",基础资料!$B$7=""),"",SUMIFS(对接源_01水果筐数!$F$5:$F$304,对接源_01水果筐数!$B$5:$B$304,$B151,对接源_01水果筐数!$C$5:$C$304,基础资料!$B$7))</f>
        <v/>
      </c>
      <c r="AO151" s="25" t="str">
        <f>IF(OR($B151="",基础资料!$B$8=""),"",SUMIFS(对接源_01水果筐数!$F$5:$F$304,对接源_01水果筐数!$B$5:$B$304,$B151,对接源_01水果筐数!$C$5:$C$304,基础资料!$B$8))</f>
        <v/>
      </c>
      <c r="AP151" s="25" t="str">
        <f t="shared" si="29"/>
        <v/>
      </c>
      <c r="AQ151" s="25" t="str">
        <f t="shared" si="30"/>
        <v/>
      </c>
      <c r="AR151" s="25" t="str">
        <f t="shared" si="31"/>
        <v/>
      </c>
      <c r="AS151" s="25" t="str">
        <f t="shared" si="32"/>
        <v/>
      </c>
      <c r="AT151" s="25" t="str">
        <f t="shared" si="33"/>
        <v/>
      </c>
      <c r="AU151" s="25" t="str">
        <f t="shared" si="34"/>
        <v/>
      </c>
      <c r="AV151" s="24" t="str">
        <f t="shared" si="35"/>
        <v/>
      </c>
      <c r="AW151" s="72"/>
    </row>
    <row r="152" spans="1:49">
      <c r="A152" s="22" t="str">
        <f t="shared" si="24"/>
        <v/>
      </c>
      <c r="B152" s="24" t="str">
        <f>IFERROR(INDEX(_自动清单!$CC$4:$CC$253,ROW()-3),"")</f>
        <v/>
      </c>
      <c r="C152" s="25" t="str">
        <f>IF(OR($B152="",基础资料!$B$4=""),"",SUMIFS(周转筐出入库明细!$J$4:$J$2004,周转筐出入库明细!$C$4:$C$2004,$B152,周转筐出入库明细!$D$4:$D$2004,基础资料!$B$4,周转筐出入库明细!$B$4:$B$2004,"&gt;="&amp;$BC$1,周转筐出入库明细!$B$4:$B$2004,"&lt;="&amp;$BC$2))</f>
        <v/>
      </c>
      <c r="D152" s="25" t="str">
        <f>IF(OR($B152="",基础资料!$B$5=""),"",SUMIFS(周转筐出入库明细!$J$4:$J$2004,周转筐出入库明细!$C$4:$C$2004,$B152,周转筐出入库明细!$D$4:$D$2004,基础资料!$B$5,周转筐出入库明细!$B$4:$B$2004,"&gt;="&amp;$BC$1,周转筐出入库明细!$B$4:$B$2004,"&lt;="&amp;$BC$2))</f>
        <v/>
      </c>
      <c r="E152" s="25" t="str">
        <f>IF(OR($B152="",基础资料!$B$6=""),"",SUMIFS(周转筐出入库明细!$J$4:$J$2004,周转筐出入库明细!$C$4:$C$2004,$B152,周转筐出入库明细!$D$4:$D$2004,基础资料!$B$6,周转筐出入库明细!$B$4:$B$2004,"&gt;="&amp;$BC$1,周转筐出入库明细!$B$4:$B$2004,"&lt;="&amp;$BC$2))</f>
        <v/>
      </c>
      <c r="F152" s="25" t="str">
        <f>IF(OR($B152="",基础资料!$B$7=""),"",SUMIFS(周转筐出入库明细!$J$4:$J$2004,周转筐出入库明细!$C$4:$C$2004,$B152,周转筐出入库明细!$D$4:$D$2004,基础资料!$B$7,周转筐出入库明细!$B$4:$B$2004,"&gt;="&amp;$BC$1,周转筐出入库明细!$B$4:$B$2004,"&lt;="&amp;$BC$2))</f>
        <v/>
      </c>
      <c r="G152" s="25" t="str">
        <f>IF(OR($B152="",基础资料!$B$8=""),"",SUMIFS(周转筐出入库明细!$J$4:$J$2004,周转筐出入库明细!$C$4:$C$2004,$B152,周转筐出入库明细!$D$4:$D$2004,基础资料!$B$8,周转筐出入库明细!$B$4:$B$2004,"&gt;="&amp;$BC$1,周转筐出入库明细!$B$4:$B$2004,"&lt;="&amp;$BC$2))</f>
        <v/>
      </c>
      <c r="H152" s="25" t="str">
        <f t="shared" si="25"/>
        <v/>
      </c>
      <c r="I152" s="67" t="str">
        <f>IF(OR($B152="",基础资料!$B$4=""),"",-SUMIFS(周转筐出入库明细!$I$4:$I$2004,周转筐出入库明细!$C$4:$C$2004,$B152,周转筐出入库明细!$D$4:$D$2004,基础资料!$B$4,周转筐出入库明细!$B$4:$B$2004,"&gt;="&amp;$BC$1,周转筐出入库明细!$B$4:$B$2004,"&lt;="&amp;$BC$2))</f>
        <v/>
      </c>
      <c r="J152" s="67" t="str">
        <f>IF(OR($B152="",基础资料!$B$5=""),"",-SUMIFS(周转筐出入库明细!$I$4:$I$2004,周转筐出入库明细!$C$4:$C$2004,$B152,周转筐出入库明细!$D$4:$D$2004,基础资料!$B$5,周转筐出入库明细!$B$4:$B$2004,"&gt;="&amp;$BC$1,周转筐出入库明细!$B$4:$B$2004,"&lt;="&amp;$BC$2))</f>
        <v/>
      </c>
      <c r="K152" s="67" t="str">
        <f>IF(OR($B152="",基础资料!$B$6=""),"",-SUMIFS(周转筐出入库明细!$I$4:$I$2004,周转筐出入库明细!$C$4:$C$2004,$B152,周转筐出入库明细!$D$4:$D$2004,基础资料!$B$6,周转筐出入库明细!$B$4:$B$2004,"&gt;="&amp;$BC$1,周转筐出入库明细!$B$4:$B$2004,"&lt;="&amp;$BC$2))</f>
        <v/>
      </c>
      <c r="L152" s="67" t="str">
        <f>IF(OR($B152="",基础资料!$B$7=""),"",-SUMIFS(周转筐出入库明细!$I$4:$I$2004,周转筐出入库明细!$C$4:$C$2004,$B152,周转筐出入库明细!$D$4:$D$2004,基础资料!$B$7,周转筐出入库明细!$B$4:$B$2004,"&gt;="&amp;$BC$1,周转筐出入库明细!$B$4:$B$2004,"&lt;="&amp;$BC$2))</f>
        <v/>
      </c>
      <c r="M152" s="67" t="str">
        <f>IF(OR($B152="",基础资料!$B$8=""),"",-SUMIFS(周转筐出入库明细!$I$4:$I$2004,周转筐出入库明细!$C$4:$C$2004,$B152,周转筐出入库明细!$D$4:$D$2004,基础资料!$B$8,周转筐出入库明细!$B$4:$B$2004,"&gt;="&amp;$BC$1,周转筐出入库明细!$B$4:$B$2004,"&lt;="&amp;$BC$2))</f>
        <v/>
      </c>
      <c r="N152" s="67" t="str">
        <f t="shared" si="26"/>
        <v/>
      </c>
      <c r="O152" s="25" t="str">
        <f>IF(OR($B152="",基础资料!$B$4=""),"",SUMIFS(周转筐出入库明细!$H$4:$H$2004,周转筐出入库明细!$C$4:$C$2004,$B152,周转筐出入库明细!$D$4:$D$2004,基础资料!$B$4,周转筐出入库明细!$F$4:$F$2004,"采购入库",周转筐出入库明细!$B$4:$B$2004,"&gt;="&amp;$BC$1,周转筐出入库明细!$B$4:$B$2004,"&lt;="&amp;$BC$2))</f>
        <v/>
      </c>
      <c r="P152" s="25" t="str">
        <f>IF(OR($B152="",基础资料!$B$5=""),"",SUMIFS(周转筐出入库明细!$H$4:$H$2004,周转筐出入库明细!$C$4:$C$2004,$B152,周转筐出入库明细!$D$4:$D$2004,基础资料!$B$5,周转筐出入库明细!$F$4:$F$2004,"采购入库",周转筐出入库明细!$B$4:$B$2004,"&gt;="&amp;$BC$1,周转筐出入库明细!$B$4:$B$2004,"&lt;="&amp;$BC$2))</f>
        <v/>
      </c>
      <c r="Q152" s="25" t="str">
        <f>IF(OR($B152="",基础资料!$B$6=""),"",SUMIFS(周转筐出入库明细!$H$4:$H$2004,周转筐出入库明细!$C$4:$C$2004,$B152,周转筐出入库明细!$D$4:$D$2004,基础资料!$B$6,周转筐出入库明细!$F$4:$F$2004,"采购入库",周转筐出入库明细!$B$4:$B$2004,"&gt;="&amp;$BC$1,周转筐出入库明细!$B$4:$B$2004,"&lt;="&amp;$BC$2))</f>
        <v/>
      </c>
      <c r="R152" s="25" t="str">
        <f>IF(OR($B152="",基础资料!$B$7=""),"",SUMIFS(周转筐出入库明细!$H$4:$H$2004,周转筐出入库明细!$C$4:$C$2004,$B152,周转筐出入库明细!$D$4:$D$2004,基础资料!$B$7,周转筐出入库明细!$F$4:$F$2004,"采购入库",周转筐出入库明细!$B$4:$B$2004,"&gt;="&amp;$BC$1,周转筐出入库明细!$B$4:$B$2004,"&lt;="&amp;$BC$2))</f>
        <v/>
      </c>
      <c r="S152" s="25" t="str">
        <f>IF(OR($B152="",基础资料!$B$8=""),"",SUMIFS(周转筐出入库明细!$H$4:$H$2004,周转筐出入库明细!$C$4:$C$2004,$B152,周转筐出入库明细!$D$4:$D$2004,基础资料!$B$8,周转筐出入库明细!$F$4:$F$2004,"采购入库",周转筐出入库明细!$B$4:$B$2004,"&gt;="&amp;$BC$1,周转筐出入库明细!$B$4:$B$2004,"&lt;="&amp;$BC$2))</f>
        <v/>
      </c>
      <c r="T152" s="25" t="str">
        <f t="shared" si="27"/>
        <v/>
      </c>
      <c r="U152" s="25" t="str">
        <f>IF(OR($B152="",基础资料!$B$4=""),"",SUMIFS(周转筐出入库明细!$K$4:$K$2004,周转筐出入库明细!$C$4:$C$2004,$B152,周转筐出入库明细!$D$4:$D$2004,基础资料!$B$4,周转筐出入库明细!$B$4:$B$2004,"&gt;="&amp;$BC$1,周转筐出入库明细!$B$4:$B$2004,"&lt;="&amp;$BC$2))</f>
        <v/>
      </c>
      <c r="V152" s="25" t="str">
        <f>IF(OR($B152="",基础资料!$B$5=""),"",SUMIFS(周转筐出入库明细!$K$4:$K$2004,周转筐出入库明细!$C$4:$C$2004,$B152,周转筐出入库明细!$D$4:$D$2004,基础资料!$B$5,周转筐出入库明细!$B$4:$B$2004,"&gt;="&amp;$BC$1,周转筐出入库明细!$B$4:$B$2004,"&lt;="&amp;$BC$2))</f>
        <v/>
      </c>
      <c r="W152" s="25" t="str">
        <f>IF(OR($B152="",基础资料!$B$6=""),"",SUMIFS(周转筐出入库明细!$K$4:$K$2004,周转筐出入库明细!$C$4:$C$2004,$B152,周转筐出入库明细!$D$4:$D$2004,基础资料!$B$6,周转筐出入库明细!$B$4:$B$2004,"&gt;="&amp;$BC$1,周转筐出入库明细!$B$4:$B$2004,"&lt;="&amp;$BC$2))</f>
        <v/>
      </c>
      <c r="X152" s="25" t="str">
        <f>IF(OR($B152="",基础资料!$B$7=""),"",SUMIFS(周转筐出入库明细!$K$4:$K$2004,周转筐出入库明细!$C$4:$C$2004,$B152,周转筐出入库明细!$D$4:$D$2004,基础资料!$B$7,周转筐出入库明细!$B$4:$B$2004,"&gt;="&amp;$BC$1,周转筐出入库明细!$B$4:$B$2004,"&lt;="&amp;$BC$2))</f>
        <v/>
      </c>
      <c r="Y152" s="25" t="str">
        <f>IF(OR($B152="",基础资料!$B$8=""),"",SUMIFS(周转筐出入库明细!$K$4:$K$2004,周转筐出入库明细!$C$4:$C$2004,$B152,周转筐出入库明细!$D$4:$D$2004,基础资料!$B$8,周转筐出入库明细!$B$4:$B$2004,"&gt;="&amp;$BC$1,周转筐出入库明细!$B$4:$B$2004,"&lt;="&amp;$BC$2))</f>
        <v/>
      </c>
      <c r="Z152" s="25" t="str">
        <f t="shared" si="28"/>
        <v/>
      </c>
      <c r="AA152" s="67" t="str">
        <f>IF(OR($B152="",基础资料!$B$4=""),"",-SUMIFS(对接源_01水果筐数!$D$5:$D$304,对接源_01水果筐数!$B$5:$B$304,$B152,对接源_01水果筐数!$C$5:$C$304,基础资料!$B$4))</f>
        <v/>
      </c>
      <c r="AB152" s="67" t="str">
        <f>IF(OR($B152="",基础资料!$B$5=""),"",-SUMIFS(对接源_01水果筐数!$D$5:$D$304,对接源_01水果筐数!$B$5:$B$304,$B152,对接源_01水果筐数!$C$5:$C$304,基础资料!$B$5))</f>
        <v/>
      </c>
      <c r="AC152" s="67" t="str">
        <f>IF(OR($B152="",基础资料!$B$6=""),"",-SUMIFS(对接源_01水果筐数!$D$5:$D$304,对接源_01水果筐数!$B$5:$B$304,$B152,对接源_01水果筐数!$C$5:$C$304,基础资料!$B$6))</f>
        <v/>
      </c>
      <c r="AD152" s="67" t="str">
        <f>IF(OR($B152="",基础资料!$B$7=""),"",-SUMIFS(对接源_01水果筐数!$D$5:$D$304,对接源_01水果筐数!$B$5:$B$304,$B152,对接源_01水果筐数!$C$5:$C$304,基础资料!$B$7))</f>
        <v/>
      </c>
      <c r="AE152" s="67" t="str">
        <f>IF(OR($B152="",基础资料!$B$8=""),"",-SUMIFS(对接源_01水果筐数!$D$5:$D$304,对接源_01水果筐数!$B$5:$B$304,$B152,对接源_01水果筐数!$C$5:$C$304,基础资料!$B$8))</f>
        <v/>
      </c>
      <c r="AF152" s="25" t="str">
        <f>IF(OR($B152="",基础资料!$B$4=""),"",SUMIFS(对接源_01水果筐数!$E$5:$E$304,对接源_01水果筐数!$B$5:$B$304,$B152,对接源_01水果筐数!$C$5:$C$304,基础资料!$B$4))</f>
        <v/>
      </c>
      <c r="AG152" s="25" t="str">
        <f>IF(OR($B152="",基础资料!$B$5=""),"",SUMIFS(对接源_01水果筐数!$E$5:$E$304,对接源_01水果筐数!$B$5:$B$304,$B152,对接源_01水果筐数!$C$5:$C$304,基础资料!$B$5))</f>
        <v/>
      </c>
      <c r="AH152" s="25" t="str">
        <f>IF(OR($B152="",基础资料!$B$6=""),"",SUMIFS(对接源_01水果筐数!$E$5:$E$304,对接源_01水果筐数!$B$5:$B$304,$B152,对接源_01水果筐数!$C$5:$C$304,基础资料!$B$6))</f>
        <v/>
      </c>
      <c r="AI152" s="25" t="str">
        <f>IF(OR($B152="",基础资料!$B$7=""),"",SUMIFS(对接源_01水果筐数!$E$5:$E$304,对接源_01水果筐数!$B$5:$B$304,$B152,对接源_01水果筐数!$C$5:$C$304,基础资料!$B$7))</f>
        <v/>
      </c>
      <c r="AJ152" s="25" t="str">
        <f>IF(OR($B152="",基础资料!$B$8=""),"",SUMIFS(对接源_01水果筐数!$E$5:$E$304,对接源_01水果筐数!$B$5:$B$304,$B152,对接源_01水果筐数!$C$5:$C$304,基础资料!$B$8))</f>
        <v/>
      </c>
      <c r="AK152" s="25" t="str">
        <f>IF(OR($B152="",基础资料!$B$4=""),"",SUMIFS(对接源_01水果筐数!$F$5:$F$304,对接源_01水果筐数!$B$5:$B$304,$B152,对接源_01水果筐数!$C$5:$C$304,基础资料!$B$4))</f>
        <v/>
      </c>
      <c r="AL152" s="25" t="str">
        <f>IF(OR($B152="",基础资料!$B$5=""),"",SUMIFS(对接源_01水果筐数!$F$5:$F$304,对接源_01水果筐数!$B$5:$B$304,$B152,对接源_01水果筐数!$C$5:$C$304,基础资料!$B$5))</f>
        <v/>
      </c>
      <c r="AM152" s="25" t="str">
        <f>IF(OR($B152="",基础资料!$B$6=""),"",SUMIFS(对接源_01水果筐数!$F$5:$F$304,对接源_01水果筐数!$B$5:$B$304,$B152,对接源_01水果筐数!$C$5:$C$304,基础资料!$B$6))</f>
        <v/>
      </c>
      <c r="AN152" s="25" t="str">
        <f>IF(OR($B152="",基础资料!$B$7=""),"",SUMIFS(对接源_01水果筐数!$F$5:$F$304,对接源_01水果筐数!$B$5:$B$304,$B152,对接源_01水果筐数!$C$5:$C$304,基础资料!$B$7))</f>
        <v/>
      </c>
      <c r="AO152" s="25" t="str">
        <f>IF(OR($B152="",基础资料!$B$8=""),"",SUMIFS(对接源_01水果筐数!$F$5:$F$304,对接源_01水果筐数!$B$5:$B$304,$B152,对接源_01水果筐数!$C$5:$C$304,基础资料!$B$8))</f>
        <v/>
      </c>
      <c r="AP152" s="25" t="str">
        <f t="shared" si="29"/>
        <v/>
      </c>
      <c r="AQ152" s="25" t="str">
        <f t="shared" si="30"/>
        <v/>
      </c>
      <c r="AR152" s="25" t="str">
        <f t="shared" si="31"/>
        <v/>
      </c>
      <c r="AS152" s="25" t="str">
        <f t="shared" si="32"/>
        <v/>
      </c>
      <c r="AT152" s="25" t="str">
        <f t="shared" si="33"/>
        <v/>
      </c>
      <c r="AU152" s="25" t="str">
        <f t="shared" si="34"/>
        <v/>
      </c>
      <c r="AV152" s="24" t="str">
        <f t="shared" si="35"/>
        <v/>
      </c>
      <c r="AW152" s="72"/>
    </row>
    <row r="153" spans="1:49">
      <c r="A153" s="22" t="str">
        <f t="shared" si="24"/>
        <v/>
      </c>
      <c r="B153" s="24" t="str">
        <f>IFERROR(INDEX(_自动清单!$CC$4:$CC$253,ROW()-3),"")</f>
        <v/>
      </c>
      <c r="C153" s="25" t="str">
        <f>IF(OR($B153="",基础资料!$B$4=""),"",SUMIFS(周转筐出入库明细!$J$4:$J$2004,周转筐出入库明细!$C$4:$C$2004,$B153,周转筐出入库明细!$D$4:$D$2004,基础资料!$B$4,周转筐出入库明细!$B$4:$B$2004,"&gt;="&amp;$BC$1,周转筐出入库明细!$B$4:$B$2004,"&lt;="&amp;$BC$2))</f>
        <v/>
      </c>
      <c r="D153" s="25" t="str">
        <f>IF(OR($B153="",基础资料!$B$5=""),"",SUMIFS(周转筐出入库明细!$J$4:$J$2004,周转筐出入库明细!$C$4:$C$2004,$B153,周转筐出入库明细!$D$4:$D$2004,基础资料!$B$5,周转筐出入库明细!$B$4:$B$2004,"&gt;="&amp;$BC$1,周转筐出入库明细!$B$4:$B$2004,"&lt;="&amp;$BC$2))</f>
        <v/>
      </c>
      <c r="E153" s="25" t="str">
        <f>IF(OR($B153="",基础资料!$B$6=""),"",SUMIFS(周转筐出入库明细!$J$4:$J$2004,周转筐出入库明细!$C$4:$C$2004,$B153,周转筐出入库明细!$D$4:$D$2004,基础资料!$B$6,周转筐出入库明细!$B$4:$B$2004,"&gt;="&amp;$BC$1,周转筐出入库明细!$B$4:$B$2004,"&lt;="&amp;$BC$2))</f>
        <v/>
      </c>
      <c r="F153" s="25" t="str">
        <f>IF(OR($B153="",基础资料!$B$7=""),"",SUMIFS(周转筐出入库明细!$J$4:$J$2004,周转筐出入库明细!$C$4:$C$2004,$B153,周转筐出入库明细!$D$4:$D$2004,基础资料!$B$7,周转筐出入库明细!$B$4:$B$2004,"&gt;="&amp;$BC$1,周转筐出入库明细!$B$4:$B$2004,"&lt;="&amp;$BC$2))</f>
        <v/>
      </c>
      <c r="G153" s="25" t="str">
        <f>IF(OR($B153="",基础资料!$B$8=""),"",SUMIFS(周转筐出入库明细!$J$4:$J$2004,周转筐出入库明细!$C$4:$C$2004,$B153,周转筐出入库明细!$D$4:$D$2004,基础资料!$B$8,周转筐出入库明细!$B$4:$B$2004,"&gt;="&amp;$BC$1,周转筐出入库明细!$B$4:$B$2004,"&lt;="&amp;$BC$2))</f>
        <v/>
      </c>
      <c r="H153" s="25" t="str">
        <f t="shared" si="25"/>
        <v/>
      </c>
      <c r="I153" s="67" t="str">
        <f>IF(OR($B153="",基础资料!$B$4=""),"",-SUMIFS(周转筐出入库明细!$I$4:$I$2004,周转筐出入库明细!$C$4:$C$2004,$B153,周转筐出入库明细!$D$4:$D$2004,基础资料!$B$4,周转筐出入库明细!$B$4:$B$2004,"&gt;="&amp;$BC$1,周转筐出入库明细!$B$4:$B$2004,"&lt;="&amp;$BC$2))</f>
        <v/>
      </c>
      <c r="J153" s="67" t="str">
        <f>IF(OR($B153="",基础资料!$B$5=""),"",-SUMIFS(周转筐出入库明细!$I$4:$I$2004,周转筐出入库明细!$C$4:$C$2004,$B153,周转筐出入库明细!$D$4:$D$2004,基础资料!$B$5,周转筐出入库明细!$B$4:$B$2004,"&gt;="&amp;$BC$1,周转筐出入库明细!$B$4:$B$2004,"&lt;="&amp;$BC$2))</f>
        <v/>
      </c>
      <c r="K153" s="67" t="str">
        <f>IF(OR($B153="",基础资料!$B$6=""),"",-SUMIFS(周转筐出入库明细!$I$4:$I$2004,周转筐出入库明细!$C$4:$C$2004,$B153,周转筐出入库明细!$D$4:$D$2004,基础资料!$B$6,周转筐出入库明细!$B$4:$B$2004,"&gt;="&amp;$BC$1,周转筐出入库明细!$B$4:$B$2004,"&lt;="&amp;$BC$2))</f>
        <v/>
      </c>
      <c r="L153" s="67" t="str">
        <f>IF(OR($B153="",基础资料!$B$7=""),"",-SUMIFS(周转筐出入库明细!$I$4:$I$2004,周转筐出入库明细!$C$4:$C$2004,$B153,周转筐出入库明细!$D$4:$D$2004,基础资料!$B$7,周转筐出入库明细!$B$4:$B$2004,"&gt;="&amp;$BC$1,周转筐出入库明细!$B$4:$B$2004,"&lt;="&amp;$BC$2))</f>
        <v/>
      </c>
      <c r="M153" s="67" t="str">
        <f>IF(OR($B153="",基础资料!$B$8=""),"",-SUMIFS(周转筐出入库明细!$I$4:$I$2004,周转筐出入库明细!$C$4:$C$2004,$B153,周转筐出入库明细!$D$4:$D$2004,基础资料!$B$8,周转筐出入库明细!$B$4:$B$2004,"&gt;="&amp;$BC$1,周转筐出入库明细!$B$4:$B$2004,"&lt;="&amp;$BC$2))</f>
        <v/>
      </c>
      <c r="N153" s="67" t="str">
        <f t="shared" si="26"/>
        <v/>
      </c>
      <c r="O153" s="25" t="str">
        <f>IF(OR($B153="",基础资料!$B$4=""),"",SUMIFS(周转筐出入库明细!$H$4:$H$2004,周转筐出入库明细!$C$4:$C$2004,$B153,周转筐出入库明细!$D$4:$D$2004,基础资料!$B$4,周转筐出入库明细!$F$4:$F$2004,"采购入库",周转筐出入库明细!$B$4:$B$2004,"&gt;="&amp;$BC$1,周转筐出入库明细!$B$4:$B$2004,"&lt;="&amp;$BC$2))</f>
        <v/>
      </c>
      <c r="P153" s="25" t="str">
        <f>IF(OR($B153="",基础资料!$B$5=""),"",SUMIFS(周转筐出入库明细!$H$4:$H$2004,周转筐出入库明细!$C$4:$C$2004,$B153,周转筐出入库明细!$D$4:$D$2004,基础资料!$B$5,周转筐出入库明细!$F$4:$F$2004,"采购入库",周转筐出入库明细!$B$4:$B$2004,"&gt;="&amp;$BC$1,周转筐出入库明细!$B$4:$B$2004,"&lt;="&amp;$BC$2))</f>
        <v/>
      </c>
      <c r="Q153" s="25" t="str">
        <f>IF(OR($B153="",基础资料!$B$6=""),"",SUMIFS(周转筐出入库明细!$H$4:$H$2004,周转筐出入库明细!$C$4:$C$2004,$B153,周转筐出入库明细!$D$4:$D$2004,基础资料!$B$6,周转筐出入库明细!$F$4:$F$2004,"采购入库",周转筐出入库明细!$B$4:$B$2004,"&gt;="&amp;$BC$1,周转筐出入库明细!$B$4:$B$2004,"&lt;="&amp;$BC$2))</f>
        <v/>
      </c>
      <c r="R153" s="25" t="str">
        <f>IF(OR($B153="",基础资料!$B$7=""),"",SUMIFS(周转筐出入库明细!$H$4:$H$2004,周转筐出入库明细!$C$4:$C$2004,$B153,周转筐出入库明细!$D$4:$D$2004,基础资料!$B$7,周转筐出入库明细!$F$4:$F$2004,"采购入库",周转筐出入库明细!$B$4:$B$2004,"&gt;="&amp;$BC$1,周转筐出入库明细!$B$4:$B$2004,"&lt;="&amp;$BC$2))</f>
        <v/>
      </c>
      <c r="S153" s="25" t="str">
        <f>IF(OR($B153="",基础资料!$B$8=""),"",SUMIFS(周转筐出入库明细!$H$4:$H$2004,周转筐出入库明细!$C$4:$C$2004,$B153,周转筐出入库明细!$D$4:$D$2004,基础资料!$B$8,周转筐出入库明细!$F$4:$F$2004,"采购入库",周转筐出入库明细!$B$4:$B$2004,"&gt;="&amp;$BC$1,周转筐出入库明细!$B$4:$B$2004,"&lt;="&amp;$BC$2))</f>
        <v/>
      </c>
      <c r="T153" s="25" t="str">
        <f t="shared" si="27"/>
        <v/>
      </c>
      <c r="U153" s="25" t="str">
        <f>IF(OR($B153="",基础资料!$B$4=""),"",SUMIFS(周转筐出入库明细!$K$4:$K$2004,周转筐出入库明细!$C$4:$C$2004,$B153,周转筐出入库明细!$D$4:$D$2004,基础资料!$B$4,周转筐出入库明细!$B$4:$B$2004,"&gt;="&amp;$BC$1,周转筐出入库明细!$B$4:$B$2004,"&lt;="&amp;$BC$2))</f>
        <v/>
      </c>
      <c r="V153" s="25" t="str">
        <f>IF(OR($B153="",基础资料!$B$5=""),"",SUMIFS(周转筐出入库明细!$K$4:$K$2004,周转筐出入库明细!$C$4:$C$2004,$B153,周转筐出入库明细!$D$4:$D$2004,基础资料!$B$5,周转筐出入库明细!$B$4:$B$2004,"&gt;="&amp;$BC$1,周转筐出入库明细!$B$4:$B$2004,"&lt;="&amp;$BC$2))</f>
        <v/>
      </c>
      <c r="W153" s="25" t="str">
        <f>IF(OR($B153="",基础资料!$B$6=""),"",SUMIFS(周转筐出入库明细!$K$4:$K$2004,周转筐出入库明细!$C$4:$C$2004,$B153,周转筐出入库明细!$D$4:$D$2004,基础资料!$B$6,周转筐出入库明细!$B$4:$B$2004,"&gt;="&amp;$BC$1,周转筐出入库明细!$B$4:$B$2004,"&lt;="&amp;$BC$2))</f>
        <v/>
      </c>
      <c r="X153" s="25" t="str">
        <f>IF(OR($B153="",基础资料!$B$7=""),"",SUMIFS(周转筐出入库明细!$K$4:$K$2004,周转筐出入库明细!$C$4:$C$2004,$B153,周转筐出入库明细!$D$4:$D$2004,基础资料!$B$7,周转筐出入库明细!$B$4:$B$2004,"&gt;="&amp;$BC$1,周转筐出入库明细!$B$4:$B$2004,"&lt;="&amp;$BC$2))</f>
        <v/>
      </c>
      <c r="Y153" s="25" t="str">
        <f>IF(OR($B153="",基础资料!$B$8=""),"",SUMIFS(周转筐出入库明细!$K$4:$K$2004,周转筐出入库明细!$C$4:$C$2004,$B153,周转筐出入库明细!$D$4:$D$2004,基础资料!$B$8,周转筐出入库明细!$B$4:$B$2004,"&gt;="&amp;$BC$1,周转筐出入库明细!$B$4:$B$2004,"&lt;="&amp;$BC$2))</f>
        <v/>
      </c>
      <c r="Z153" s="25" t="str">
        <f t="shared" si="28"/>
        <v/>
      </c>
      <c r="AA153" s="67" t="str">
        <f>IF(OR($B153="",基础资料!$B$4=""),"",-SUMIFS(对接源_01水果筐数!$D$5:$D$304,对接源_01水果筐数!$B$5:$B$304,$B153,对接源_01水果筐数!$C$5:$C$304,基础资料!$B$4))</f>
        <v/>
      </c>
      <c r="AB153" s="67" t="str">
        <f>IF(OR($B153="",基础资料!$B$5=""),"",-SUMIFS(对接源_01水果筐数!$D$5:$D$304,对接源_01水果筐数!$B$5:$B$304,$B153,对接源_01水果筐数!$C$5:$C$304,基础资料!$B$5))</f>
        <v/>
      </c>
      <c r="AC153" s="67" t="str">
        <f>IF(OR($B153="",基础资料!$B$6=""),"",-SUMIFS(对接源_01水果筐数!$D$5:$D$304,对接源_01水果筐数!$B$5:$B$304,$B153,对接源_01水果筐数!$C$5:$C$304,基础资料!$B$6))</f>
        <v/>
      </c>
      <c r="AD153" s="67" t="str">
        <f>IF(OR($B153="",基础资料!$B$7=""),"",-SUMIFS(对接源_01水果筐数!$D$5:$D$304,对接源_01水果筐数!$B$5:$B$304,$B153,对接源_01水果筐数!$C$5:$C$304,基础资料!$B$7))</f>
        <v/>
      </c>
      <c r="AE153" s="67" t="str">
        <f>IF(OR($B153="",基础资料!$B$8=""),"",-SUMIFS(对接源_01水果筐数!$D$5:$D$304,对接源_01水果筐数!$B$5:$B$304,$B153,对接源_01水果筐数!$C$5:$C$304,基础资料!$B$8))</f>
        <v/>
      </c>
      <c r="AF153" s="25" t="str">
        <f>IF(OR($B153="",基础资料!$B$4=""),"",SUMIFS(对接源_01水果筐数!$E$5:$E$304,对接源_01水果筐数!$B$5:$B$304,$B153,对接源_01水果筐数!$C$5:$C$304,基础资料!$B$4))</f>
        <v/>
      </c>
      <c r="AG153" s="25" t="str">
        <f>IF(OR($B153="",基础资料!$B$5=""),"",SUMIFS(对接源_01水果筐数!$E$5:$E$304,对接源_01水果筐数!$B$5:$B$304,$B153,对接源_01水果筐数!$C$5:$C$304,基础资料!$B$5))</f>
        <v/>
      </c>
      <c r="AH153" s="25" t="str">
        <f>IF(OR($B153="",基础资料!$B$6=""),"",SUMIFS(对接源_01水果筐数!$E$5:$E$304,对接源_01水果筐数!$B$5:$B$304,$B153,对接源_01水果筐数!$C$5:$C$304,基础资料!$B$6))</f>
        <v/>
      </c>
      <c r="AI153" s="25" t="str">
        <f>IF(OR($B153="",基础资料!$B$7=""),"",SUMIFS(对接源_01水果筐数!$E$5:$E$304,对接源_01水果筐数!$B$5:$B$304,$B153,对接源_01水果筐数!$C$5:$C$304,基础资料!$B$7))</f>
        <v/>
      </c>
      <c r="AJ153" s="25" t="str">
        <f>IF(OR($B153="",基础资料!$B$8=""),"",SUMIFS(对接源_01水果筐数!$E$5:$E$304,对接源_01水果筐数!$B$5:$B$304,$B153,对接源_01水果筐数!$C$5:$C$304,基础资料!$B$8))</f>
        <v/>
      </c>
      <c r="AK153" s="25" t="str">
        <f>IF(OR($B153="",基础资料!$B$4=""),"",SUMIFS(对接源_01水果筐数!$F$5:$F$304,对接源_01水果筐数!$B$5:$B$304,$B153,对接源_01水果筐数!$C$5:$C$304,基础资料!$B$4))</f>
        <v/>
      </c>
      <c r="AL153" s="25" t="str">
        <f>IF(OR($B153="",基础资料!$B$5=""),"",SUMIFS(对接源_01水果筐数!$F$5:$F$304,对接源_01水果筐数!$B$5:$B$304,$B153,对接源_01水果筐数!$C$5:$C$304,基础资料!$B$5))</f>
        <v/>
      </c>
      <c r="AM153" s="25" t="str">
        <f>IF(OR($B153="",基础资料!$B$6=""),"",SUMIFS(对接源_01水果筐数!$F$5:$F$304,对接源_01水果筐数!$B$5:$B$304,$B153,对接源_01水果筐数!$C$5:$C$304,基础资料!$B$6))</f>
        <v/>
      </c>
      <c r="AN153" s="25" t="str">
        <f>IF(OR($B153="",基础资料!$B$7=""),"",SUMIFS(对接源_01水果筐数!$F$5:$F$304,对接源_01水果筐数!$B$5:$B$304,$B153,对接源_01水果筐数!$C$5:$C$304,基础资料!$B$7))</f>
        <v/>
      </c>
      <c r="AO153" s="25" t="str">
        <f>IF(OR($B153="",基础资料!$B$8=""),"",SUMIFS(对接源_01水果筐数!$F$5:$F$304,对接源_01水果筐数!$B$5:$B$304,$B153,对接源_01水果筐数!$C$5:$C$304,基础资料!$B$8))</f>
        <v/>
      </c>
      <c r="AP153" s="25" t="str">
        <f t="shared" si="29"/>
        <v/>
      </c>
      <c r="AQ153" s="25" t="str">
        <f t="shared" si="30"/>
        <v/>
      </c>
      <c r="AR153" s="25" t="str">
        <f t="shared" si="31"/>
        <v/>
      </c>
      <c r="AS153" s="25" t="str">
        <f t="shared" si="32"/>
        <v/>
      </c>
      <c r="AT153" s="25" t="str">
        <f t="shared" si="33"/>
        <v/>
      </c>
      <c r="AU153" s="25" t="str">
        <f t="shared" si="34"/>
        <v/>
      </c>
      <c r="AV153" s="24" t="str">
        <f t="shared" si="35"/>
        <v/>
      </c>
      <c r="AW153" s="72"/>
    </row>
    <row r="154" spans="1:49">
      <c r="A154" s="22" t="str">
        <f t="shared" si="24"/>
        <v/>
      </c>
      <c r="B154" s="24" t="str">
        <f>IFERROR(INDEX(_自动清单!$CC$4:$CC$253,ROW()-3),"")</f>
        <v/>
      </c>
      <c r="C154" s="25" t="str">
        <f>IF(OR($B154="",基础资料!$B$4=""),"",SUMIFS(周转筐出入库明细!$J$4:$J$2004,周转筐出入库明细!$C$4:$C$2004,$B154,周转筐出入库明细!$D$4:$D$2004,基础资料!$B$4,周转筐出入库明细!$B$4:$B$2004,"&gt;="&amp;$BC$1,周转筐出入库明细!$B$4:$B$2004,"&lt;="&amp;$BC$2))</f>
        <v/>
      </c>
      <c r="D154" s="25" t="str">
        <f>IF(OR($B154="",基础资料!$B$5=""),"",SUMIFS(周转筐出入库明细!$J$4:$J$2004,周转筐出入库明细!$C$4:$C$2004,$B154,周转筐出入库明细!$D$4:$D$2004,基础资料!$B$5,周转筐出入库明细!$B$4:$B$2004,"&gt;="&amp;$BC$1,周转筐出入库明细!$B$4:$B$2004,"&lt;="&amp;$BC$2))</f>
        <v/>
      </c>
      <c r="E154" s="25" t="str">
        <f>IF(OR($B154="",基础资料!$B$6=""),"",SUMIFS(周转筐出入库明细!$J$4:$J$2004,周转筐出入库明细!$C$4:$C$2004,$B154,周转筐出入库明细!$D$4:$D$2004,基础资料!$B$6,周转筐出入库明细!$B$4:$B$2004,"&gt;="&amp;$BC$1,周转筐出入库明细!$B$4:$B$2004,"&lt;="&amp;$BC$2))</f>
        <v/>
      </c>
      <c r="F154" s="25" t="str">
        <f>IF(OR($B154="",基础资料!$B$7=""),"",SUMIFS(周转筐出入库明细!$J$4:$J$2004,周转筐出入库明细!$C$4:$C$2004,$B154,周转筐出入库明细!$D$4:$D$2004,基础资料!$B$7,周转筐出入库明细!$B$4:$B$2004,"&gt;="&amp;$BC$1,周转筐出入库明细!$B$4:$B$2004,"&lt;="&amp;$BC$2))</f>
        <v/>
      </c>
      <c r="G154" s="25" t="str">
        <f>IF(OR($B154="",基础资料!$B$8=""),"",SUMIFS(周转筐出入库明细!$J$4:$J$2004,周转筐出入库明细!$C$4:$C$2004,$B154,周转筐出入库明细!$D$4:$D$2004,基础资料!$B$8,周转筐出入库明细!$B$4:$B$2004,"&gt;="&amp;$BC$1,周转筐出入库明细!$B$4:$B$2004,"&lt;="&amp;$BC$2))</f>
        <v/>
      </c>
      <c r="H154" s="25" t="str">
        <f t="shared" si="25"/>
        <v/>
      </c>
      <c r="I154" s="67" t="str">
        <f>IF(OR($B154="",基础资料!$B$4=""),"",-SUMIFS(周转筐出入库明细!$I$4:$I$2004,周转筐出入库明细!$C$4:$C$2004,$B154,周转筐出入库明细!$D$4:$D$2004,基础资料!$B$4,周转筐出入库明细!$B$4:$B$2004,"&gt;="&amp;$BC$1,周转筐出入库明细!$B$4:$B$2004,"&lt;="&amp;$BC$2))</f>
        <v/>
      </c>
      <c r="J154" s="67" t="str">
        <f>IF(OR($B154="",基础资料!$B$5=""),"",-SUMIFS(周转筐出入库明细!$I$4:$I$2004,周转筐出入库明细!$C$4:$C$2004,$B154,周转筐出入库明细!$D$4:$D$2004,基础资料!$B$5,周转筐出入库明细!$B$4:$B$2004,"&gt;="&amp;$BC$1,周转筐出入库明细!$B$4:$B$2004,"&lt;="&amp;$BC$2))</f>
        <v/>
      </c>
      <c r="K154" s="67" t="str">
        <f>IF(OR($B154="",基础资料!$B$6=""),"",-SUMIFS(周转筐出入库明细!$I$4:$I$2004,周转筐出入库明细!$C$4:$C$2004,$B154,周转筐出入库明细!$D$4:$D$2004,基础资料!$B$6,周转筐出入库明细!$B$4:$B$2004,"&gt;="&amp;$BC$1,周转筐出入库明细!$B$4:$B$2004,"&lt;="&amp;$BC$2))</f>
        <v/>
      </c>
      <c r="L154" s="67" t="str">
        <f>IF(OR($B154="",基础资料!$B$7=""),"",-SUMIFS(周转筐出入库明细!$I$4:$I$2004,周转筐出入库明细!$C$4:$C$2004,$B154,周转筐出入库明细!$D$4:$D$2004,基础资料!$B$7,周转筐出入库明细!$B$4:$B$2004,"&gt;="&amp;$BC$1,周转筐出入库明细!$B$4:$B$2004,"&lt;="&amp;$BC$2))</f>
        <v/>
      </c>
      <c r="M154" s="67" t="str">
        <f>IF(OR($B154="",基础资料!$B$8=""),"",-SUMIFS(周转筐出入库明细!$I$4:$I$2004,周转筐出入库明细!$C$4:$C$2004,$B154,周转筐出入库明细!$D$4:$D$2004,基础资料!$B$8,周转筐出入库明细!$B$4:$B$2004,"&gt;="&amp;$BC$1,周转筐出入库明细!$B$4:$B$2004,"&lt;="&amp;$BC$2))</f>
        <v/>
      </c>
      <c r="N154" s="67" t="str">
        <f t="shared" si="26"/>
        <v/>
      </c>
      <c r="O154" s="25" t="str">
        <f>IF(OR($B154="",基础资料!$B$4=""),"",SUMIFS(周转筐出入库明细!$H$4:$H$2004,周转筐出入库明细!$C$4:$C$2004,$B154,周转筐出入库明细!$D$4:$D$2004,基础资料!$B$4,周转筐出入库明细!$F$4:$F$2004,"采购入库",周转筐出入库明细!$B$4:$B$2004,"&gt;="&amp;$BC$1,周转筐出入库明细!$B$4:$B$2004,"&lt;="&amp;$BC$2))</f>
        <v/>
      </c>
      <c r="P154" s="25" t="str">
        <f>IF(OR($B154="",基础资料!$B$5=""),"",SUMIFS(周转筐出入库明细!$H$4:$H$2004,周转筐出入库明细!$C$4:$C$2004,$B154,周转筐出入库明细!$D$4:$D$2004,基础资料!$B$5,周转筐出入库明细!$F$4:$F$2004,"采购入库",周转筐出入库明细!$B$4:$B$2004,"&gt;="&amp;$BC$1,周转筐出入库明细!$B$4:$B$2004,"&lt;="&amp;$BC$2))</f>
        <v/>
      </c>
      <c r="Q154" s="25" t="str">
        <f>IF(OR($B154="",基础资料!$B$6=""),"",SUMIFS(周转筐出入库明细!$H$4:$H$2004,周转筐出入库明细!$C$4:$C$2004,$B154,周转筐出入库明细!$D$4:$D$2004,基础资料!$B$6,周转筐出入库明细!$F$4:$F$2004,"采购入库",周转筐出入库明细!$B$4:$B$2004,"&gt;="&amp;$BC$1,周转筐出入库明细!$B$4:$B$2004,"&lt;="&amp;$BC$2))</f>
        <v/>
      </c>
      <c r="R154" s="25" t="str">
        <f>IF(OR($B154="",基础资料!$B$7=""),"",SUMIFS(周转筐出入库明细!$H$4:$H$2004,周转筐出入库明细!$C$4:$C$2004,$B154,周转筐出入库明细!$D$4:$D$2004,基础资料!$B$7,周转筐出入库明细!$F$4:$F$2004,"采购入库",周转筐出入库明细!$B$4:$B$2004,"&gt;="&amp;$BC$1,周转筐出入库明细!$B$4:$B$2004,"&lt;="&amp;$BC$2))</f>
        <v/>
      </c>
      <c r="S154" s="25" t="str">
        <f>IF(OR($B154="",基础资料!$B$8=""),"",SUMIFS(周转筐出入库明细!$H$4:$H$2004,周转筐出入库明细!$C$4:$C$2004,$B154,周转筐出入库明细!$D$4:$D$2004,基础资料!$B$8,周转筐出入库明细!$F$4:$F$2004,"采购入库",周转筐出入库明细!$B$4:$B$2004,"&gt;="&amp;$BC$1,周转筐出入库明细!$B$4:$B$2004,"&lt;="&amp;$BC$2))</f>
        <v/>
      </c>
      <c r="T154" s="25" t="str">
        <f t="shared" si="27"/>
        <v/>
      </c>
      <c r="U154" s="25" t="str">
        <f>IF(OR($B154="",基础资料!$B$4=""),"",SUMIFS(周转筐出入库明细!$K$4:$K$2004,周转筐出入库明细!$C$4:$C$2004,$B154,周转筐出入库明细!$D$4:$D$2004,基础资料!$B$4,周转筐出入库明细!$B$4:$B$2004,"&gt;="&amp;$BC$1,周转筐出入库明细!$B$4:$B$2004,"&lt;="&amp;$BC$2))</f>
        <v/>
      </c>
      <c r="V154" s="25" t="str">
        <f>IF(OR($B154="",基础资料!$B$5=""),"",SUMIFS(周转筐出入库明细!$K$4:$K$2004,周转筐出入库明细!$C$4:$C$2004,$B154,周转筐出入库明细!$D$4:$D$2004,基础资料!$B$5,周转筐出入库明细!$B$4:$B$2004,"&gt;="&amp;$BC$1,周转筐出入库明细!$B$4:$B$2004,"&lt;="&amp;$BC$2))</f>
        <v/>
      </c>
      <c r="W154" s="25" t="str">
        <f>IF(OR($B154="",基础资料!$B$6=""),"",SUMIFS(周转筐出入库明细!$K$4:$K$2004,周转筐出入库明细!$C$4:$C$2004,$B154,周转筐出入库明细!$D$4:$D$2004,基础资料!$B$6,周转筐出入库明细!$B$4:$B$2004,"&gt;="&amp;$BC$1,周转筐出入库明细!$B$4:$B$2004,"&lt;="&amp;$BC$2))</f>
        <v/>
      </c>
      <c r="X154" s="25" t="str">
        <f>IF(OR($B154="",基础资料!$B$7=""),"",SUMIFS(周转筐出入库明细!$K$4:$K$2004,周转筐出入库明细!$C$4:$C$2004,$B154,周转筐出入库明细!$D$4:$D$2004,基础资料!$B$7,周转筐出入库明细!$B$4:$B$2004,"&gt;="&amp;$BC$1,周转筐出入库明细!$B$4:$B$2004,"&lt;="&amp;$BC$2))</f>
        <v/>
      </c>
      <c r="Y154" s="25" t="str">
        <f>IF(OR($B154="",基础资料!$B$8=""),"",SUMIFS(周转筐出入库明细!$K$4:$K$2004,周转筐出入库明细!$C$4:$C$2004,$B154,周转筐出入库明细!$D$4:$D$2004,基础资料!$B$8,周转筐出入库明细!$B$4:$B$2004,"&gt;="&amp;$BC$1,周转筐出入库明细!$B$4:$B$2004,"&lt;="&amp;$BC$2))</f>
        <v/>
      </c>
      <c r="Z154" s="25" t="str">
        <f t="shared" si="28"/>
        <v/>
      </c>
      <c r="AA154" s="67" t="str">
        <f>IF(OR($B154="",基础资料!$B$4=""),"",-SUMIFS(对接源_01水果筐数!$D$5:$D$304,对接源_01水果筐数!$B$5:$B$304,$B154,对接源_01水果筐数!$C$5:$C$304,基础资料!$B$4))</f>
        <v/>
      </c>
      <c r="AB154" s="67" t="str">
        <f>IF(OR($B154="",基础资料!$B$5=""),"",-SUMIFS(对接源_01水果筐数!$D$5:$D$304,对接源_01水果筐数!$B$5:$B$304,$B154,对接源_01水果筐数!$C$5:$C$304,基础资料!$B$5))</f>
        <v/>
      </c>
      <c r="AC154" s="67" t="str">
        <f>IF(OR($B154="",基础资料!$B$6=""),"",-SUMIFS(对接源_01水果筐数!$D$5:$D$304,对接源_01水果筐数!$B$5:$B$304,$B154,对接源_01水果筐数!$C$5:$C$304,基础资料!$B$6))</f>
        <v/>
      </c>
      <c r="AD154" s="67" t="str">
        <f>IF(OR($B154="",基础资料!$B$7=""),"",-SUMIFS(对接源_01水果筐数!$D$5:$D$304,对接源_01水果筐数!$B$5:$B$304,$B154,对接源_01水果筐数!$C$5:$C$304,基础资料!$B$7))</f>
        <v/>
      </c>
      <c r="AE154" s="67" t="str">
        <f>IF(OR($B154="",基础资料!$B$8=""),"",-SUMIFS(对接源_01水果筐数!$D$5:$D$304,对接源_01水果筐数!$B$5:$B$304,$B154,对接源_01水果筐数!$C$5:$C$304,基础资料!$B$8))</f>
        <v/>
      </c>
      <c r="AF154" s="25" t="str">
        <f>IF(OR($B154="",基础资料!$B$4=""),"",SUMIFS(对接源_01水果筐数!$E$5:$E$304,对接源_01水果筐数!$B$5:$B$304,$B154,对接源_01水果筐数!$C$5:$C$304,基础资料!$B$4))</f>
        <v/>
      </c>
      <c r="AG154" s="25" t="str">
        <f>IF(OR($B154="",基础资料!$B$5=""),"",SUMIFS(对接源_01水果筐数!$E$5:$E$304,对接源_01水果筐数!$B$5:$B$304,$B154,对接源_01水果筐数!$C$5:$C$304,基础资料!$B$5))</f>
        <v/>
      </c>
      <c r="AH154" s="25" t="str">
        <f>IF(OR($B154="",基础资料!$B$6=""),"",SUMIFS(对接源_01水果筐数!$E$5:$E$304,对接源_01水果筐数!$B$5:$B$304,$B154,对接源_01水果筐数!$C$5:$C$304,基础资料!$B$6))</f>
        <v/>
      </c>
      <c r="AI154" s="25" t="str">
        <f>IF(OR($B154="",基础资料!$B$7=""),"",SUMIFS(对接源_01水果筐数!$E$5:$E$304,对接源_01水果筐数!$B$5:$B$304,$B154,对接源_01水果筐数!$C$5:$C$304,基础资料!$B$7))</f>
        <v/>
      </c>
      <c r="AJ154" s="25" t="str">
        <f>IF(OR($B154="",基础资料!$B$8=""),"",SUMIFS(对接源_01水果筐数!$E$5:$E$304,对接源_01水果筐数!$B$5:$B$304,$B154,对接源_01水果筐数!$C$5:$C$304,基础资料!$B$8))</f>
        <v/>
      </c>
      <c r="AK154" s="25" t="str">
        <f>IF(OR($B154="",基础资料!$B$4=""),"",SUMIFS(对接源_01水果筐数!$F$5:$F$304,对接源_01水果筐数!$B$5:$B$304,$B154,对接源_01水果筐数!$C$5:$C$304,基础资料!$B$4))</f>
        <v/>
      </c>
      <c r="AL154" s="25" t="str">
        <f>IF(OR($B154="",基础资料!$B$5=""),"",SUMIFS(对接源_01水果筐数!$F$5:$F$304,对接源_01水果筐数!$B$5:$B$304,$B154,对接源_01水果筐数!$C$5:$C$304,基础资料!$B$5))</f>
        <v/>
      </c>
      <c r="AM154" s="25" t="str">
        <f>IF(OR($B154="",基础资料!$B$6=""),"",SUMIFS(对接源_01水果筐数!$F$5:$F$304,对接源_01水果筐数!$B$5:$B$304,$B154,对接源_01水果筐数!$C$5:$C$304,基础资料!$B$6))</f>
        <v/>
      </c>
      <c r="AN154" s="25" t="str">
        <f>IF(OR($B154="",基础资料!$B$7=""),"",SUMIFS(对接源_01水果筐数!$F$5:$F$304,对接源_01水果筐数!$B$5:$B$304,$B154,对接源_01水果筐数!$C$5:$C$304,基础资料!$B$7))</f>
        <v/>
      </c>
      <c r="AO154" s="25" t="str">
        <f>IF(OR($B154="",基础资料!$B$8=""),"",SUMIFS(对接源_01水果筐数!$F$5:$F$304,对接源_01水果筐数!$B$5:$B$304,$B154,对接源_01水果筐数!$C$5:$C$304,基础资料!$B$8))</f>
        <v/>
      </c>
      <c r="AP154" s="25" t="str">
        <f t="shared" si="29"/>
        <v/>
      </c>
      <c r="AQ154" s="25" t="str">
        <f t="shared" si="30"/>
        <v/>
      </c>
      <c r="AR154" s="25" t="str">
        <f t="shared" si="31"/>
        <v/>
      </c>
      <c r="AS154" s="25" t="str">
        <f t="shared" si="32"/>
        <v/>
      </c>
      <c r="AT154" s="25" t="str">
        <f t="shared" si="33"/>
        <v/>
      </c>
      <c r="AU154" s="25" t="str">
        <f t="shared" si="34"/>
        <v/>
      </c>
      <c r="AV154" s="24" t="str">
        <f t="shared" si="35"/>
        <v/>
      </c>
      <c r="AW154" s="72"/>
    </row>
    <row r="155" spans="1:49">
      <c r="A155" s="22" t="str">
        <f t="shared" si="24"/>
        <v/>
      </c>
      <c r="B155" s="24" t="str">
        <f>IFERROR(INDEX(_自动清单!$CC$4:$CC$253,ROW()-3),"")</f>
        <v/>
      </c>
      <c r="C155" s="25" t="str">
        <f>IF(OR($B155="",基础资料!$B$4=""),"",SUMIFS(周转筐出入库明细!$J$4:$J$2004,周转筐出入库明细!$C$4:$C$2004,$B155,周转筐出入库明细!$D$4:$D$2004,基础资料!$B$4,周转筐出入库明细!$B$4:$B$2004,"&gt;="&amp;$BC$1,周转筐出入库明细!$B$4:$B$2004,"&lt;="&amp;$BC$2))</f>
        <v/>
      </c>
      <c r="D155" s="25" t="str">
        <f>IF(OR($B155="",基础资料!$B$5=""),"",SUMIFS(周转筐出入库明细!$J$4:$J$2004,周转筐出入库明细!$C$4:$C$2004,$B155,周转筐出入库明细!$D$4:$D$2004,基础资料!$B$5,周转筐出入库明细!$B$4:$B$2004,"&gt;="&amp;$BC$1,周转筐出入库明细!$B$4:$B$2004,"&lt;="&amp;$BC$2))</f>
        <v/>
      </c>
      <c r="E155" s="25" t="str">
        <f>IF(OR($B155="",基础资料!$B$6=""),"",SUMIFS(周转筐出入库明细!$J$4:$J$2004,周转筐出入库明细!$C$4:$C$2004,$B155,周转筐出入库明细!$D$4:$D$2004,基础资料!$B$6,周转筐出入库明细!$B$4:$B$2004,"&gt;="&amp;$BC$1,周转筐出入库明细!$B$4:$B$2004,"&lt;="&amp;$BC$2))</f>
        <v/>
      </c>
      <c r="F155" s="25" t="str">
        <f>IF(OR($B155="",基础资料!$B$7=""),"",SUMIFS(周转筐出入库明细!$J$4:$J$2004,周转筐出入库明细!$C$4:$C$2004,$B155,周转筐出入库明细!$D$4:$D$2004,基础资料!$B$7,周转筐出入库明细!$B$4:$B$2004,"&gt;="&amp;$BC$1,周转筐出入库明细!$B$4:$B$2004,"&lt;="&amp;$BC$2))</f>
        <v/>
      </c>
      <c r="G155" s="25" t="str">
        <f>IF(OR($B155="",基础资料!$B$8=""),"",SUMIFS(周转筐出入库明细!$J$4:$J$2004,周转筐出入库明细!$C$4:$C$2004,$B155,周转筐出入库明细!$D$4:$D$2004,基础资料!$B$8,周转筐出入库明细!$B$4:$B$2004,"&gt;="&amp;$BC$1,周转筐出入库明细!$B$4:$B$2004,"&lt;="&amp;$BC$2))</f>
        <v/>
      </c>
      <c r="H155" s="25" t="str">
        <f t="shared" si="25"/>
        <v/>
      </c>
      <c r="I155" s="67" t="str">
        <f>IF(OR($B155="",基础资料!$B$4=""),"",-SUMIFS(周转筐出入库明细!$I$4:$I$2004,周转筐出入库明细!$C$4:$C$2004,$B155,周转筐出入库明细!$D$4:$D$2004,基础资料!$B$4,周转筐出入库明细!$B$4:$B$2004,"&gt;="&amp;$BC$1,周转筐出入库明细!$B$4:$B$2004,"&lt;="&amp;$BC$2))</f>
        <v/>
      </c>
      <c r="J155" s="67" t="str">
        <f>IF(OR($B155="",基础资料!$B$5=""),"",-SUMIFS(周转筐出入库明细!$I$4:$I$2004,周转筐出入库明细!$C$4:$C$2004,$B155,周转筐出入库明细!$D$4:$D$2004,基础资料!$B$5,周转筐出入库明细!$B$4:$B$2004,"&gt;="&amp;$BC$1,周转筐出入库明细!$B$4:$B$2004,"&lt;="&amp;$BC$2))</f>
        <v/>
      </c>
      <c r="K155" s="67" t="str">
        <f>IF(OR($B155="",基础资料!$B$6=""),"",-SUMIFS(周转筐出入库明细!$I$4:$I$2004,周转筐出入库明细!$C$4:$C$2004,$B155,周转筐出入库明细!$D$4:$D$2004,基础资料!$B$6,周转筐出入库明细!$B$4:$B$2004,"&gt;="&amp;$BC$1,周转筐出入库明细!$B$4:$B$2004,"&lt;="&amp;$BC$2))</f>
        <v/>
      </c>
      <c r="L155" s="67" t="str">
        <f>IF(OR($B155="",基础资料!$B$7=""),"",-SUMIFS(周转筐出入库明细!$I$4:$I$2004,周转筐出入库明细!$C$4:$C$2004,$B155,周转筐出入库明细!$D$4:$D$2004,基础资料!$B$7,周转筐出入库明细!$B$4:$B$2004,"&gt;="&amp;$BC$1,周转筐出入库明细!$B$4:$B$2004,"&lt;="&amp;$BC$2))</f>
        <v/>
      </c>
      <c r="M155" s="67" t="str">
        <f>IF(OR($B155="",基础资料!$B$8=""),"",-SUMIFS(周转筐出入库明细!$I$4:$I$2004,周转筐出入库明细!$C$4:$C$2004,$B155,周转筐出入库明细!$D$4:$D$2004,基础资料!$B$8,周转筐出入库明细!$B$4:$B$2004,"&gt;="&amp;$BC$1,周转筐出入库明细!$B$4:$B$2004,"&lt;="&amp;$BC$2))</f>
        <v/>
      </c>
      <c r="N155" s="67" t="str">
        <f t="shared" si="26"/>
        <v/>
      </c>
      <c r="O155" s="25" t="str">
        <f>IF(OR($B155="",基础资料!$B$4=""),"",SUMIFS(周转筐出入库明细!$H$4:$H$2004,周转筐出入库明细!$C$4:$C$2004,$B155,周转筐出入库明细!$D$4:$D$2004,基础资料!$B$4,周转筐出入库明细!$F$4:$F$2004,"采购入库",周转筐出入库明细!$B$4:$B$2004,"&gt;="&amp;$BC$1,周转筐出入库明细!$B$4:$B$2004,"&lt;="&amp;$BC$2))</f>
        <v/>
      </c>
      <c r="P155" s="25" t="str">
        <f>IF(OR($B155="",基础资料!$B$5=""),"",SUMIFS(周转筐出入库明细!$H$4:$H$2004,周转筐出入库明细!$C$4:$C$2004,$B155,周转筐出入库明细!$D$4:$D$2004,基础资料!$B$5,周转筐出入库明细!$F$4:$F$2004,"采购入库",周转筐出入库明细!$B$4:$B$2004,"&gt;="&amp;$BC$1,周转筐出入库明细!$B$4:$B$2004,"&lt;="&amp;$BC$2))</f>
        <v/>
      </c>
      <c r="Q155" s="25" t="str">
        <f>IF(OR($B155="",基础资料!$B$6=""),"",SUMIFS(周转筐出入库明细!$H$4:$H$2004,周转筐出入库明细!$C$4:$C$2004,$B155,周转筐出入库明细!$D$4:$D$2004,基础资料!$B$6,周转筐出入库明细!$F$4:$F$2004,"采购入库",周转筐出入库明细!$B$4:$B$2004,"&gt;="&amp;$BC$1,周转筐出入库明细!$B$4:$B$2004,"&lt;="&amp;$BC$2))</f>
        <v/>
      </c>
      <c r="R155" s="25" t="str">
        <f>IF(OR($B155="",基础资料!$B$7=""),"",SUMIFS(周转筐出入库明细!$H$4:$H$2004,周转筐出入库明细!$C$4:$C$2004,$B155,周转筐出入库明细!$D$4:$D$2004,基础资料!$B$7,周转筐出入库明细!$F$4:$F$2004,"采购入库",周转筐出入库明细!$B$4:$B$2004,"&gt;="&amp;$BC$1,周转筐出入库明细!$B$4:$B$2004,"&lt;="&amp;$BC$2))</f>
        <v/>
      </c>
      <c r="S155" s="25" t="str">
        <f>IF(OR($B155="",基础资料!$B$8=""),"",SUMIFS(周转筐出入库明细!$H$4:$H$2004,周转筐出入库明细!$C$4:$C$2004,$B155,周转筐出入库明细!$D$4:$D$2004,基础资料!$B$8,周转筐出入库明细!$F$4:$F$2004,"采购入库",周转筐出入库明细!$B$4:$B$2004,"&gt;="&amp;$BC$1,周转筐出入库明细!$B$4:$B$2004,"&lt;="&amp;$BC$2))</f>
        <v/>
      </c>
      <c r="T155" s="25" t="str">
        <f t="shared" si="27"/>
        <v/>
      </c>
      <c r="U155" s="25" t="str">
        <f>IF(OR($B155="",基础资料!$B$4=""),"",SUMIFS(周转筐出入库明细!$K$4:$K$2004,周转筐出入库明细!$C$4:$C$2004,$B155,周转筐出入库明细!$D$4:$D$2004,基础资料!$B$4,周转筐出入库明细!$B$4:$B$2004,"&gt;="&amp;$BC$1,周转筐出入库明细!$B$4:$B$2004,"&lt;="&amp;$BC$2))</f>
        <v/>
      </c>
      <c r="V155" s="25" t="str">
        <f>IF(OR($B155="",基础资料!$B$5=""),"",SUMIFS(周转筐出入库明细!$K$4:$K$2004,周转筐出入库明细!$C$4:$C$2004,$B155,周转筐出入库明细!$D$4:$D$2004,基础资料!$B$5,周转筐出入库明细!$B$4:$B$2004,"&gt;="&amp;$BC$1,周转筐出入库明细!$B$4:$B$2004,"&lt;="&amp;$BC$2))</f>
        <v/>
      </c>
      <c r="W155" s="25" t="str">
        <f>IF(OR($B155="",基础资料!$B$6=""),"",SUMIFS(周转筐出入库明细!$K$4:$K$2004,周转筐出入库明细!$C$4:$C$2004,$B155,周转筐出入库明细!$D$4:$D$2004,基础资料!$B$6,周转筐出入库明细!$B$4:$B$2004,"&gt;="&amp;$BC$1,周转筐出入库明细!$B$4:$B$2004,"&lt;="&amp;$BC$2))</f>
        <v/>
      </c>
      <c r="X155" s="25" t="str">
        <f>IF(OR($B155="",基础资料!$B$7=""),"",SUMIFS(周转筐出入库明细!$K$4:$K$2004,周转筐出入库明细!$C$4:$C$2004,$B155,周转筐出入库明细!$D$4:$D$2004,基础资料!$B$7,周转筐出入库明细!$B$4:$B$2004,"&gt;="&amp;$BC$1,周转筐出入库明细!$B$4:$B$2004,"&lt;="&amp;$BC$2))</f>
        <v/>
      </c>
      <c r="Y155" s="25" t="str">
        <f>IF(OR($B155="",基础资料!$B$8=""),"",SUMIFS(周转筐出入库明细!$K$4:$K$2004,周转筐出入库明细!$C$4:$C$2004,$B155,周转筐出入库明细!$D$4:$D$2004,基础资料!$B$8,周转筐出入库明细!$B$4:$B$2004,"&gt;="&amp;$BC$1,周转筐出入库明细!$B$4:$B$2004,"&lt;="&amp;$BC$2))</f>
        <v/>
      </c>
      <c r="Z155" s="25" t="str">
        <f t="shared" si="28"/>
        <v/>
      </c>
      <c r="AA155" s="67" t="str">
        <f>IF(OR($B155="",基础资料!$B$4=""),"",-SUMIFS(对接源_01水果筐数!$D$5:$D$304,对接源_01水果筐数!$B$5:$B$304,$B155,对接源_01水果筐数!$C$5:$C$304,基础资料!$B$4))</f>
        <v/>
      </c>
      <c r="AB155" s="67" t="str">
        <f>IF(OR($B155="",基础资料!$B$5=""),"",-SUMIFS(对接源_01水果筐数!$D$5:$D$304,对接源_01水果筐数!$B$5:$B$304,$B155,对接源_01水果筐数!$C$5:$C$304,基础资料!$B$5))</f>
        <v/>
      </c>
      <c r="AC155" s="67" t="str">
        <f>IF(OR($B155="",基础资料!$B$6=""),"",-SUMIFS(对接源_01水果筐数!$D$5:$D$304,对接源_01水果筐数!$B$5:$B$304,$B155,对接源_01水果筐数!$C$5:$C$304,基础资料!$B$6))</f>
        <v/>
      </c>
      <c r="AD155" s="67" t="str">
        <f>IF(OR($B155="",基础资料!$B$7=""),"",-SUMIFS(对接源_01水果筐数!$D$5:$D$304,对接源_01水果筐数!$B$5:$B$304,$B155,对接源_01水果筐数!$C$5:$C$304,基础资料!$B$7))</f>
        <v/>
      </c>
      <c r="AE155" s="67" t="str">
        <f>IF(OR($B155="",基础资料!$B$8=""),"",-SUMIFS(对接源_01水果筐数!$D$5:$D$304,对接源_01水果筐数!$B$5:$B$304,$B155,对接源_01水果筐数!$C$5:$C$304,基础资料!$B$8))</f>
        <v/>
      </c>
      <c r="AF155" s="25" t="str">
        <f>IF(OR($B155="",基础资料!$B$4=""),"",SUMIFS(对接源_01水果筐数!$E$5:$E$304,对接源_01水果筐数!$B$5:$B$304,$B155,对接源_01水果筐数!$C$5:$C$304,基础资料!$B$4))</f>
        <v/>
      </c>
      <c r="AG155" s="25" t="str">
        <f>IF(OR($B155="",基础资料!$B$5=""),"",SUMIFS(对接源_01水果筐数!$E$5:$E$304,对接源_01水果筐数!$B$5:$B$304,$B155,对接源_01水果筐数!$C$5:$C$304,基础资料!$B$5))</f>
        <v/>
      </c>
      <c r="AH155" s="25" t="str">
        <f>IF(OR($B155="",基础资料!$B$6=""),"",SUMIFS(对接源_01水果筐数!$E$5:$E$304,对接源_01水果筐数!$B$5:$B$304,$B155,对接源_01水果筐数!$C$5:$C$304,基础资料!$B$6))</f>
        <v/>
      </c>
      <c r="AI155" s="25" t="str">
        <f>IF(OR($B155="",基础资料!$B$7=""),"",SUMIFS(对接源_01水果筐数!$E$5:$E$304,对接源_01水果筐数!$B$5:$B$304,$B155,对接源_01水果筐数!$C$5:$C$304,基础资料!$B$7))</f>
        <v/>
      </c>
      <c r="AJ155" s="25" t="str">
        <f>IF(OR($B155="",基础资料!$B$8=""),"",SUMIFS(对接源_01水果筐数!$E$5:$E$304,对接源_01水果筐数!$B$5:$B$304,$B155,对接源_01水果筐数!$C$5:$C$304,基础资料!$B$8))</f>
        <v/>
      </c>
      <c r="AK155" s="25" t="str">
        <f>IF(OR($B155="",基础资料!$B$4=""),"",SUMIFS(对接源_01水果筐数!$F$5:$F$304,对接源_01水果筐数!$B$5:$B$304,$B155,对接源_01水果筐数!$C$5:$C$304,基础资料!$B$4))</f>
        <v/>
      </c>
      <c r="AL155" s="25" t="str">
        <f>IF(OR($B155="",基础资料!$B$5=""),"",SUMIFS(对接源_01水果筐数!$F$5:$F$304,对接源_01水果筐数!$B$5:$B$304,$B155,对接源_01水果筐数!$C$5:$C$304,基础资料!$B$5))</f>
        <v/>
      </c>
      <c r="AM155" s="25" t="str">
        <f>IF(OR($B155="",基础资料!$B$6=""),"",SUMIFS(对接源_01水果筐数!$F$5:$F$304,对接源_01水果筐数!$B$5:$B$304,$B155,对接源_01水果筐数!$C$5:$C$304,基础资料!$B$6))</f>
        <v/>
      </c>
      <c r="AN155" s="25" t="str">
        <f>IF(OR($B155="",基础资料!$B$7=""),"",SUMIFS(对接源_01水果筐数!$F$5:$F$304,对接源_01水果筐数!$B$5:$B$304,$B155,对接源_01水果筐数!$C$5:$C$304,基础资料!$B$7))</f>
        <v/>
      </c>
      <c r="AO155" s="25" t="str">
        <f>IF(OR($B155="",基础资料!$B$8=""),"",SUMIFS(对接源_01水果筐数!$F$5:$F$304,对接源_01水果筐数!$B$5:$B$304,$B155,对接源_01水果筐数!$C$5:$C$304,基础资料!$B$8))</f>
        <v/>
      </c>
      <c r="AP155" s="25" t="str">
        <f t="shared" si="29"/>
        <v/>
      </c>
      <c r="AQ155" s="25" t="str">
        <f t="shared" si="30"/>
        <v/>
      </c>
      <c r="AR155" s="25" t="str">
        <f t="shared" si="31"/>
        <v/>
      </c>
      <c r="AS155" s="25" t="str">
        <f t="shared" si="32"/>
        <v/>
      </c>
      <c r="AT155" s="25" t="str">
        <f t="shared" si="33"/>
        <v/>
      </c>
      <c r="AU155" s="25" t="str">
        <f t="shared" si="34"/>
        <v/>
      </c>
      <c r="AV155" s="24" t="str">
        <f t="shared" si="35"/>
        <v/>
      </c>
      <c r="AW155" s="72"/>
    </row>
    <row r="156" spans="1:49">
      <c r="A156" s="22" t="str">
        <f t="shared" si="24"/>
        <v/>
      </c>
      <c r="B156" s="24" t="str">
        <f>IFERROR(INDEX(_自动清单!$CC$4:$CC$253,ROW()-3),"")</f>
        <v/>
      </c>
      <c r="C156" s="25" t="str">
        <f>IF(OR($B156="",基础资料!$B$4=""),"",SUMIFS(周转筐出入库明细!$J$4:$J$2004,周转筐出入库明细!$C$4:$C$2004,$B156,周转筐出入库明细!$D$4:$D$2004,基础资料!$B$4,周转筐出入库明细!$B$4:$B$2004,"&gt;="&amp;$BC$1,周转筐出入库明细!$B$4:$B$2004,"&lt;="&amp;$BC$2))</f>
        <v/>
      </c>
      <c r="D156" s="25" t="str">
        <f>IF(OR($B156="",基础资料!$B$5=""),"",SUMIFS(周转筐出入库明细!$J$4:$J$2004,周转筐出入库明细!$C$4:$C$2004,$B156,周转筐出入库明细!$D$4:$D$2004,基础资料!$B$5,周转筐出入库明细!$B$4:$B$2004,"&gt;="&amp;$BC$1,周转筐出入库明细!$B$4:$B$2004,"&lt;="&amp;$BC$2))</f>
        <v/>
      </c>
      <c r="E156" s="25" t="str">
        <f>IF(OR($B156="",基础资料!$B$6=""),"",SUMIFS(周转筐出入库明细!$J$4:$J$2004,周转筐出入库明细!$C$4:$C$2004,$B156,周转筐出入库明细!$D$4:$D$2004,基础资料!$B$6,周转筐出入库明细!$B$4:$B$2004,"&gt;="&amp;$BC$1,周转筐出入库明细!$B$4:$B$2004,"&lt;="&amp;$BC$2))</f>
        <v/>
      </c>
      <c r="F156" s="25" t="str">
        <f>IF(OR($B156="",基础资料!$B$7=""),"",SUMIFS(周转筐出入库明细!$J$4:$J$2004,周转筐出入库明细!$C$4:$C$2004,$B156,周转筐出入库明细!$D$4:$D$2004,基础资料!$B$7,周转筐出入库明细!$B$4:$B$2004,"&gt;="&amp;$BC$1,周转筐出入库明细!$B$4:$B$2004,"&lt;="&amp;$BC$2))</f>
        <v/>
      </c>
      <c r="G156" s="25" t="str">
        <f>IF(OR($B156="",基础资料!$B$8=""),"",SUMIFS(周转筐出入库明细!$J$4:$J$2004,周转筐出入库明细!$C$4:$C$2004,$B156,周转筐出入库明细!$D$4:$D$2004,基础资料!$B$8,周转筐出入库明细!$B$4:$B$2004,"&gt;="&amp;$BC$1,周转筐出入库明细!$B$4:$B$2004,"&lt;="&amp;$BC$2))</f>
        <v/>
      </c>
      <c r="H156" s="25" t="str">
        <f t="shared" si="25"/>
        <v/>
      </c>
      <c r="I156" s="67" t="str">
        <f>IF(OR($B156="",基础资料!$B$4=""),"",-SUMIFS(周转筐出入库明细!$I$4:$I$2004,周转筐出入库明细!$C$4:$C$2004,$B156,周转筐出入库明细!$D$4:$D$2004,基础资料!$B$4,周转筐出入库明细!$B$4:$B$2004,"&gt;="&amp;$BC$1,周转筐出入库明细!$B$4:$B$2004,"&lt;="&amp;$BC$2))</f>
        <v/>
      </c>
      <c r="J156" s="67" t="str">
        <f>IF(OR($B156="",基础资料!$B$5=""),"",-SUMIFS(周转筐出入库明细!$I$4:$I$2004,周转筐出入库明细!$C$4:$C$2004,$B156,周转筐出入库明细!$D$4:$D$2004,基础资料!$B$5,周转筐出入库明细!$B$4:$B$2004,"&gt;="&amp;$BC$1,周转筐出入库明细!$B$4:$B$2004,"&lt;="&amp;$BC$2))</f>
        <v/>
      </c>
      <c r="K156" s="67" t="str">
        <f>IF(OR($B156="",基础资料!$B$6=""),"",-SUMIFS(周转筐出入库明细!$I$4:$I$2004,周转筐出入库明细!$C$4:$C$2004,$B156,周转筐出入库明细!$D$4:$D$2004,基础资料!$B$6,周转筐出入库明细!$B$4:$B$2004,"&gt;="&amp;$BC$1,周转筐出入库明细!$B$4:$B$2004,"&lt;="&amp;$BC$2))</f>
        <v/>
      </c>
      <c r="L156" s="67" t="str">
        <f>IF(OR($B156="",基础资料!$B$7=""),"",-SUMIFS(周转筐出入库明细!$I$4:$I$2004,周转筐出入库明细!$C$4:$C$2004,$B156,周转筐出入库明细!$D$4:$D$2004,基础资料!$B$7,周转筐出入库明细!$B$4:$B$2004,"&gt;="&amp;$BC$1,周转筐出入库明细!$B$4:$B$2004,"&lt;="&amp;$BC$2))</f>
        <v/>
      </c>
      <c r="M156" s="67" t="str">
        <f>IF(OR($B156="",基础资料!$B$8=""),"",-SUMIFS(周转筐出入库明细!$I$4:$I$2004,周转筐出入库明细!$C$4:$C$2004,$B156,周转筐出入库明细!$D$4:$D$2004,基础资料!$B$8,周转筐出入库明细!$B$4:$B$2004,"&gt;="&amp;$BC$1,周转筐出入库明细!$B$4:$B$2004,"&lt;="&amp;$BC$2))</f>
        <v/>
      </c>
      <c r="N156" s="67" t="str">
        <f t="shared" si="26"/>
        <v/>
      </c>
      <c r="O156" s="25" t="str">
        <f>IF(OR($B156="",基础资料!$B$4=""),"",SUMIFS(周转筐出入库明细!$H$4:$H$2004,周转筐出入库明细!$C$4:$C$2004,$B156,周转筐出入库明细!$D$4:$D$2004,基础资料!$B$4,周转筐出入库明细!$F$4:$F$2004,"采购入库",周转筐出入库明细!$B$4:$B$2004,"&gt;="&amp;$BC$1,周转筐出入库明细!$B$4:$B$2004,"&lt;="&amp;$BC$2))</f>
        <v/>
      </c>
      <c r="P156" s="25" t="str">
        <f>IF(OR($B156="",基础资料!$B$5=""),"",SUMIFS(周转筐出入库明细!$H$4:$H$2004,周转筐出入库明细!$C$4:$C$2004,$B156,周转筐出入库明细!$D$4:$D$2004,基础资料!$B$5,周转筐出入库明细!$F$4:$F$2004,"采购入库",周转筐出入库明细!$B$4:$B$2004,"&gt;="&amp;$BC$1,周转筐出入库明细!$B$4:$B$2004,"&lt;="&amp;$BC$2))</f>
        <v/>
      </c>
      <c r="Q156" s="25" t="str">
        <f>IF(OR($B156="",基础资料!$B$6=""),"",SUMIFS(周转筐出入库明细!$H$4:$H$2004,周转筐出入库明细!$C$4:$C$2004,$B156,周转筐出入库明细!$D$4:$D$2004,基础资料!$B$6,周转筐出入库明细!$F$4:$F$2004,"采购入库",周转筐出入库明细!$B$4:$B$2004,"&gt;="&amp;$BC$1,周转筐出入库明细!$B$4:$B$2004,"&lt;="&amp;$BC$2))</f>
        <v/>
      </c>
      <c r="R156" s="25" t="str">
        <f>IF(OR($B156="",基础资料!$B$7=""),"",SUMIFS(周转筐出入库明细!$H$4:$H$2004,周转筐出入库明细!$C$4:$C$2004,$B156,周转筐出入库明细!$D$4:$D$2004,基础资料!$B$7,周转筐出入库明细!$F$4:$F$2004,"采购入库",周转筐出入库明细!$B$4:$B$2004,"&gt;="&amp;$BC$1,周转筐出入库明细!$B$4:$B$2004,"&lt;="&amp;$BC$2))</f>
        <v/>
      </c>
      <c r="S156" s="25" t="str">
        <f>IF(OR($B156="",基础资料!$B$8=""),"",SUMIFS(周转筐出入库明细!$H$4:$H$2004,周转筐出入库明细!$C$4:$C$2004,$B156,周转筐出入库明细!$D$4:$D$2004,基础资料!$B$8,周转筐出入库明细!$F$4:$F$2004,"采购入库",周转筐出入库明细!$B$4:$B$2004,"&gt;="&amp;$BC$1,周转筐出入库明细!$B$4:$B$2004,"&lt;="&amp;$BC$2))</f>
        <v/>
      </c>
      <c r="T156" s="25" t="str">
        <f t="shared" si="27"/>
        <v/>
      </c>
      <c r="U156" s="25" t="str">
        <f>IF(OR($B156="",基础资料!$B$4=""),"",SUMIFS(周转筐出入库明细!$K$4:$K$2004,周转筐出入库明细!$C$4:$C$2004,$B156,周转筐出入库明细!$D$4:$D$2004,基础资料!$B$4,周转筐出入库明细!$B$4:$B$2004,"&gt;="&amp;$BC$1,周转筐出入库明细!$B$4:$B$2004,"&lt;="&amp;$BC$2))</f>
        <v/>
      </c>
      <c r="V156" s="25" t="str">
        <f>IF(OR($B156="",基础资料!$B$5=""),"",SUMIFS(周转筐出入库明细!$K$4:$K$2004,周转筐出入库明细!$C$4:$C$2004,$B156,周转筐出入库明细!$D$4:$D$2004,基础资料!$B$5,周转筐出入库明细!$B$4:$B$2004,"&gt;="&amp;$BC$1,周转筐出入库明细!$B$4:$B$2004,"&lt;="&amp;$BC$2))</f>
        <v/>
      </c>
      <c r="W156" s="25" t="str">
        <f>IF(OR($B156="",基础资料!$B$6=""),"",SUMIFS(周转筐出入库明细!$K$4:$K$2004,周转筐出入库明细!$C$4:$C$2004,$B156,周转筐出入库明细!$D$4:$D$2004,基础资料!$B$6,周转筐出入库明细!$B$4:$B$2004,"&gt;="&amp;$BC$1,周转筐出入库明细!$B$4:$B$2004,"&lt;="&amp;$BC$2))</f>
        <v/>
      </c>
      <c r="X156" s="25" t="str">
        <f>IF(OR($B156="",基础资料!$B$7=""),"",SUMIFS(周转筐出入库明细!$K$4:$K$2004,周转筐出入库明细!$C$4:$C$2004,$B156,周转筐出入库明细!$D$4:$D$2004,基础资料!$B$7,周转筐出入库明细!$B$4:$B$2004,"&gt;="&amp;$BC$1,周转筐出入库明细!$B$4:$B$2004,"&lt;="&amp;$BC$2))</f>
        <v/>
      </c>
      <c r="Y156" s="25" t="str">
        <f>IF(OR($B156="",基础资料!$B$8=""),"",SUMIFS(周转筐出入库明细!$K$4:$K$2004,周转筐出入库明细!$C$4:$C$2004,$B156,周转筐出入库明细!$D$4:$D$2004,基础资料!$B$8,周转筐出入库明细!$B$4:$B$2004,"&gt;="&amp;$BC$1,周转筐出入库明细!$B$4:$B$2004,"&lt;="&amp;$BC$2))</f>
        <v/>
      </c>
      <c r="Z156" s="25" t="str">
        <f t="shared" si="28"/>
        <v/>
      </c>
      <c r="AA156" s="67" t="str">
        <f>IF(OR($B156="",基础资料!$B$4=""),"",-SUMIFS(对接源_01水果筐数!$D$5:$D$304,对接源_01水果筐数!$B$5:$B$304,$B156,对接源_01水果筐数!$C$5:$C$304,基础资料!$B$4))</f>
        <v/>
      </c>
      <c r="AB156" s="67" t="str">
        <f>IF(OR($B156="",基础资料!$B$5=""),"",-SUMIFS(对接源_01水果筐数!$D$5:$D$304,对接源_01水果筐数!$B$5:$B$304,$B156,对接源_01水果筐数!$C$5:$C$304,基础资料!$B$5))</f>
        <v/>
      </c>
      <c r="AC156" s="67" t="str">
        <f>IF(OR($B156="",基础资料!$B$6=""),"",-SUMIFS(对接源_01水果筐数!$D$5:$D$304,对接源_01水果筐数!$B$5:$B$304,$B156,对接源_01水果筐数!$C$5:$C$304,基础资料!$B$6))</f>
        <v/>
      </c>
      <c r="AD156" s="67" t="str">
        <f>IF(OR($B156="",基础资料!$B$7=""),"",-SUMIFS(对接源_01水果筐数!$D$5:$D$304,对接源_01水果筐数!$B$5:$B$304,$B156,对接源_01水果筐数!$C$5:$C$304,基础资料!$B$7))</f>
        <v/>
      </c>
      <c r="AE156" s="67" t="str">
        <f>IF(OR($B156="",基础资料!$B$8=""),"",-SUMIFS(对接源_01水果筐数!$D$5:$D$304,对接源_01水果筐数!$B$5:$B$304,$B156,对接源_01水果筐数!$C$5:$C$304,基础资料!$B$8))</f>
        <v/>
      </c>
      <c r="AF156" s="25" t="str">
        <f>IF(OR($B156="",基础资料!$B$4=""),"",SUMIFS(对接源_01水果筐数!$E$5:$E$304,对接源_01水果筐数!$B$5:$B$304,$B156,对接源_01水果筐数!$C$5:$C$304,基础资料!$B$4))</f>
        <v/>
      </c>
      <c r="AG156" s="25" t="str">
        <f>IF(OR($B156="",基础资料!$B$5=""),"",SUMIFS(对接源_01水果筐数!$E$5:$E$304,对接源_01水果筐数!$B$5:$B$304,$B156,对接源_01水果筐数!$C$5:$C$304,基础资料!$B$5))</f>
        <v/>
      </c>
      <c r="AH156" s="25" t="str">
        <f>IF(OR($B156="",基础资料!$B$6=""),"",SUMIFS(对接源_01水果筐数!$E$5:$E$304,对接源_01水果筐数!$B$5:$B$304,$B156,对接源_01水果筐数!$C$5:$C$304,基础资料!$B$6))</f>
        <v/>
      </c>
      <c r="AI156" s="25" t="str">
        <f>IF(OR($B156="",基础资料!$B$7=""),"",SUMIFS(对接源_01水果筐数!$E$5:$E$304,对接源_01水果筐数!$B$5:$B$304,$B156,对接源_01水果筐数!$C$5:$C$304,基础资料!$B$7))</f>
        <v/>
      </c>
      <c r="AJ156" s="25" t="str">
        <f>IF(OR($B156="",基础资料!$B$8=""),"",SUMIFS(对接源_01水果筐数!$E$5:$E$304,对接源_01水果筐数!$B$5:$B$304,$B156,对接源_01水果筐数!$C$5:$C$304,基础资料!$B$8))</f>
        <v/>
      </c>
      <c r="AK156" s="25" t="str">
        <f>IF(OR($B156="",基础资料!$B$4=""),"",SUMIFS(对接源_01水果筐数!$F$5:$F$304,对接源_01水果筐数!$B$5:$B$304,$B156,对接源_01水果筐数!$C$5:$C$304,基础资料!$B$4))</f>
        <v/>
      </c>
      <c r="AL156" s="25" t="str">
        <f>IF(OR($B156="",基础资料!$B$5=""),"",SUMIFS(对接源_01水果筐数!$F$5:$F$304,对接源_01水果筐数!$B$5:$B$304,$B156,对接源_01水果筐数!$C$5:$C$304,基础资料!$B$5))</f>
        <v/>
      </c>
      <c r="AM156" s="25" t="str">
        <f>IF(OR($B156="",基础资料!$B$6=""),"",SUMIFS(对接源_01水果筐数!$F$5:$F$304,对接源_01水果筐数!$B$5:$B$304,$B156,对接源_01水果筐数!$C$5:$C$304,基础资料!$B$6))</f>
        <v/>
      </c>
      <c r="AN156" s="25" t="str">
        <f>IF(OR($B156="",基础资料!$B$7=""),"",SUMIFS(对接源_01水果筐数!$F$5:$F$304,对接源_01水果筐数!$B$5:$B$304,$B156,对接源_01水果筐数!$C$5:$C$304,基础资料!$B$7))</f>
        <v/>
      </c>
      <c r="AO156" s="25" t="str">
        <f>IF(OR($B156="",基础资料!$B$8=""),"",SUMIFS(对接源_01水果筐数!$F$5:$F$304,对接源_01水果筐数!$B$5:$B$304,$B156,对接源_01水果筐数!$C$5:$C$304,基础资料!$B$8))</f>
        <v/>
      </c>
      <c r="AP156" s="25" t="str">
        <f t="shared" si="29"/>
        <v/>
      </c>
      <c r="AQ156" s="25" t="str">
        <f t="shared" si="30"/>
        <v/>
      </c>
      <c r="AR156" s="25" t="str">
        <f t="shared" si="31"/>
        <v/>
      </c>
      <c r="AS156" s="25" t="str">
        <f t="shared" si="32"/>
        <v/>
      </c>
      <c r="AT156" s="25" t="str">
        <f t="shared" si="33"/>
        <v/>
      </c>
      <c r="AU156" s="25" t="str">
        <f t="shared" si="34"/>
        <v/>
      </c>
      <c r="AV156" s="24" t="str">
        <f t="shared" si="35"/>
        <v/>
      </c>
      <c r="AW156" s="72"/>
    </row>
    <row r="157" spans="1:49">
      <c r="A157" s="22" t="str">
        <f t="shared" si="24"/>
        <v/>
      </c>
      <c r="B157" s="24" t="str">
        <f>IFERROR(INDEX(_自动清单!$CC$4:$CC$253,ROW()-3),"")</f>
        <v/>
      </c>
      <c r="C157" s="25" t="str">
        <f>IF(OR($B157="",基础资料!$B$4=""),"",SUMIFS(周转筐出入库明细!$J$4:$J$2004,周转筐出入库明细!$C$4:$C$2004,$B157,周转筐出入库明细!$D$4:$D$2004,基础资料!$B$4,周转筐出入库明细!$B$4:$B$2004,"&gt;="&amp;$BC$1,周转筐出入库明细!$B$4:$B$2004,"&lt;="&amp;$BC$2))</f>
        <v/>
      </c>
      <c r="D157" s="25" t="str">
        <f>IF(OR($B157="",基础资料!$B$5=""),"",SUMIFS(周转筐出入库明细!$J$4:$J$2004,周转筐出入库明细!$C$4:$C$2004,$B157,周转筐出入库明细!$D$4:$D$2004,基础资料!$B$5,周转筐出入库明细!$B$4:$B$2004,"&gt;="&amp;$BC$1,周转筐出入库明细!$B$4:$B$2004,"&lt;="&amp;$BC$2))</f>
        <v/>
      </c>
      <c r="E157" s="25" t="str">
        <f>IF(OR($B157="",基础资料!$B$6=""),"",SUMIFS(周转筐出入库明细!$J$4:$J$2004,周转筐出入库明细!$C$4:$C$2004,$B157,周转筐出入库明细!$D$4:$D$2004,基础资料!$B$6,周转筐出入库明细!$B$4:$B$2004,"&gt;="&amp;$BC$1,周转筐出入库明细!$B$4:$B$2004,"&lt;="&amp;$BC$2))</f>
        <v/>
      </c>
      <c r="F157" s="25" t="str">
        <f>IF(OR($B157="",基础资料!$B$7=""),"",SUMIFS(周转筐出入库明细!$J$4:$J$2004,周转筐出入库明细!$C$4:$C$2004,$B157,周转筐出入库明细!$D$4:$D$2004,基础资料!$B$7,周转筐出入库明细!$B$4:$B$2004,"&gt;="&amp;$BC$1,周转筐出入库明细!$B$4:$B$2004,"&lt;="&amp;$BC$2))</f>
        <v/>
      </c>
      <c r="G157" s="25" t="str">
        <f>IF(OR($B157="",基础资料!$B$8=""),"",SUMIFS(周转筐出入库明细!$J$4:$J$2004,周转筐出入库明细!$C$4:$C$2004,$B157,周转筐出入库明细!$D$4:$D$2004,基础资料!$B$8,周转筐出入库明细!$B$4:$B$2004,"&gt;="&amp;$BC$1,周转筐出入库明细!$B$4:$B$2004,"&lt;="&amp;$BC$2))</f>
        <v/>
      </c>
      <c r="H157" s="25" t="str">
        <f t="shared" si="25"/>
        <v/>
      </c>
      <c r="I157" s="67" t="str">
        <f>IF(OR($B157="",基础资料!$B$4=""),"",-SUMIFS(周转筐出入库明细!$I$4:$I$2004,周转筐出入库明细!$C$4:$C$2004,$B157,周转筐出入库明细!$D$4:$D$2004,基础资料!$B$4,周转筐出入库明细!$B$4:$B$2004,"&gt;="&amp;$BC$1,周转筐出入库明细!$B$4:$B$2004,"&lt;="&amp;$BC$2))</f>
        <v/>
      </c>
      <c r="J157" s="67" t="str">
        <f>IF(OR($B157="",基础资料!$B$5=""),"",-SUMIFS(周转筐出入库明细!$I$4:$I$2004,周转筐出入库明细!$C$4:$C$2004,$B157,周转筐出入库明细!$D$4:$D$2004,基础资料!$B$5,周转筐出入库明细!$B$4:$B$2004,"&gt;="&amp;$BC$1,周转筐出入库明细!$B$4:$B$2004,"&lt;="&amp;$BC$2))</f>
        <v/>
      </c>
      <c r="K157" s="67" t="str">
        <f>IF(OR($B157="",基础资料!$B$6=""),"",-SUMIFS(周转筐出入库明细!$I$4:$I$2004,周转筐出入库明细!$C$4:$C$2004,$B157,周转筐出入库明细!$D$4:$D$2004,基础资料!$B$6,周转筐出入库明细!$B$4:$B$2004,"&gt;="&amp;$BC$1,周转筐出入库明细!$B$4:$B$2004,"&lt;="&amp;$BC$2))</f>
        <v/>
      </c>
      <c r="L157" s="67" t="str">
        <f>IF(OR($B157="",基础资料!$B$7=""),"",-SUMIFS(周转筐出入库明细!$I$4:$I$2004,周转筐出入库明细!$C$4:$C$2004,$B157,周转筐出入库明细!$D$4:$D$2004,基础资料!$B$7,周转筐出入库明细!$B$4:$B$2004,"&gt;="&amp;$BC$1,周转筐出入库明细!$B$4:$B$2004,"&lt;="&amp;$BC$2))</f>
        <v/>
      </c>
      <c r="M157" s="67" t="str">
        <f>IF(OR($B157="",基础资料!$B$8=""),"",-SUMIFS(周转筐出入库明细!$I$4:$I$2004,周转筐出入库明细!$C$4:$C$2004,$B157,周转筐出入库明细!$D$4:$D$2004,基础资料!$B$8,周转筐出入库明细!$B$4:$B$2004,"&gt;="&amp;$BC$1,周转筐出入库明细!$B$4:$B$2004,"&lt;="&amp;$BC$2))</f>
        <v/>
      </c>
      <c r="N157" s="67" t="str">
        <f t="shared" si="26"/>
        <v/>
      </c>
      <c r="O157" s="25" t="str">
        <f>IF(OR($B157="",基础资料!$B$4=""),"",SUMIFS(周转筐出入库明细!$H$4:$H$2004,周转筐出入库明细!$C$4:$C$2004,$B157,周转筐出入库明细!$D$4:$D$2004,基础资料!$B$4,周转筐出入库明细!$F$4:$F$2004,"采购入库",周转筐出入库明细!$B$4:$B$2004,"&gt;="&amp;$BC$1,周转筐出入库明细!$B$4:$B$2004,"&lt;="&amp;$BC$2))</f>
        <v/>
      </c>
      <c r="P157" s="25" t="str">
        <f>IF(OR($B157="",基础资料!$B$5=""),"",SUMIFS(周转筐出入库明细!$H$4:$H$2004,周转筐出入库明细!$C$4:$C$2004,$B157,周转筐出入库明细!$D$4:$D$2004,基础资料!$B$5,周转筐出入库明细!$F$4:$F$2004,"采购入库",周转筐出入库明细!$B$4:$B$2004,"&gt;="&amp;$BC$1,周转筐出入库明细!$B$4:$B$2004,"&lt;="&amp;$BC$2))</f>
        <v/>
      </c>
      <c r="Q157" s="25" t="str">
        <f>IF(OR($B157="",基础资料!$B$6=""),"",SUMIFS(周转筐出入库明细!$H$4:$H$2004,周转筐出入库明细!$C$4:$C$2004,$B157,周转筐出入库明细!$D$4:$D$2004,基础资料!$B$6,周转筐出入库明细!$F$4:$F$2004,"采购入库",周转筐出入库明细!$B$4:$B$2004,"&gt;="&amp;$BC$1,周转筐出入库明细!$B$4:$B$2004,"&lt;="&amp;$BC$2))</f>
        <v/>
      </c>
      <c r="R157" s="25" t="str">
        <f>IF(OR($B157="",基础资料!$B$7=""),"",SUMIFS(周转筐出入库明细!$H$4:$H$2004,周转筐出入库明细!$C$4:$C$2004,$B157,周转筐出入库明细!$D$4:$D$2004,基础资料!$B$7,周转筐出入库明细!$F$4:$F$2004,"采购入库",周转筐出入库明细!$B$4:$B$2004,"&gt;="&amp;$BC$1,周转筐出入库明细!$B$4:$B$2004,"&lt;="&amp;$BC$2))</f>
        <v/>
      </c>
      <c r="S157" s="25" t="str">
        <f>IF(OR($B157="",基础资料!$B$8=""),"",SUMIFS(周转筐出入库明细!$H$4:$H$2004,周转筐出入库明细!$C$4:$C$2004,$B157,周转筐出入库明细!$D$4:$D$2004,基础资料!$B$8,周转筐出入库明细!$F$4:$F$2004,"采购入库",周转筐出入库明细!$B$4:$B$2004,"&gt;="&amp;$BC$1,周转筐出入库明细!$B$4:$B$2004,"&lt;="&amp;$BC$2))</f>
        <v/>
      </c>
      <c r="T157" s="25" t="str">
        <f t="shared" si="27"/>
        <v/>
      </c>
      <c r="U157" s="25" t="str">
        <f>IF(OR($B157="",基础资料!$B$4=""),"",SUMIFS(周转筐出入库明细!$K$4:$K$2004,周转筐出入库明细!$C$4:$C$2004,$B157,周转筐出入库明细!$D$4:$D$2004,基础资料!$B$4,周转筐出入库明细!$B$4:$B$2004,"&gt;="&amp;$BC$1,周转筐出入库明细!$B$4:$B$2004,"&lt;="&amp;$BC$2))</f>
        <v/>
      </c>
      <c r="V157" s="25" t="str">
        <f>IF(OR($B157="",基础资料!$B$5=""),"",SUMIFS(周转筐出入库明细!$K$4:$K$2004,周转筐出入库明细!$C$4:$C$2004,$B157,周转筐出入库明细!$D$4:$D$2004,基础资料!$B$5,周转筐出入库明细!$B$4:$B$2004,"&gt;="&amp;$BC$1,周转筐出入库明细!$B$4:$B$2004,"&lt;="&amp;$BC$2))</f>
        <v/>
      </c>
      <c r="W157" s="25" t="str">
        <f>IF(OR($B157="",基础资料!$B$6=""),"",SUMIFS(周转筐出入库明细!$K$4:$K$2004,周转筐出入库明细!$C$4:$C$2004,$B157,周转筐出入库明细!$D$4:$D$2004,基础资料!$B$6,周转筐出入库明细!$B$4:$B$2004,"&gt;="&amp;$BC$1,周转筐出入库明细!$B$4:$B$2004,"&lt;="&amp;$BC$2))</f>
        <v/>
      </c>
      <c r="X157" s="25" t="str">
        <f>IF(OR($B157="",基础资料!$B$7=""),"",SUMIFS(周转筐出入库明细!$K$4:$K$2004,周转筐出入库明细!$C$4:$C$2004,$B157,周转筐出入库明细!$D$4:$D$2004,基础资料!$B$7,周转筐出入库明细!$B$4:$B$2004,"&gt;="&amp;$BC$1,周转筐出入库明细!$B$4:$B$2004,"&lt;="&amp;$BC$2))</f>
        <v/>
      </c>
      <c r="Y157" s="25" t="str">
        <f>IF(OR($B157="",基础资料!$B$8=""),"",SUMIFS(周转筐出入库明细!$K$4:$K$2004,周转筐出入库明细!$C$4:$C$2004,$B157,周转筐出入库明细!$D$4:$D$2004,基础资料!$B$8,周转筐出入库明细!$B$4:$B$2004,"&gt;="&amp;$BC$1,周转筐出入库明细!$B$4:$B$2004,"&lt;="&amp;$BC$2))</f>
        <v/>
      </c>
      <c r="Z157" s="25" t="str">
        <f t="shared" si="28"/>
        <v/>
      </c>
      <c r="AA157" s="67" t="str">
        <f>IF(OR($B157="",基础资料!$B$4=""),"",-SUMIFS(对接源_01水果筐数!$D$5:$D$304,对接源_01水果筐数!$B$5:$B$304,$B157,对接源_01水果筐数!$C$5:$C$304,基础资料!$B$4))</f>
        <v/>
      </c>
      <c r="AB157" s="67" t="str">
        <f>IF(OR($B157="",基础资料!$B$5=""),"",-SUMIFS(对接源_01水果筐数!$D$5:$D$304,对接源_01水果筐数!$B$5:$B$304,$B157,对接源_01水果筐数!$C$5:$C$304,基础资料!$B$5))</f>
        <v/>
      </c>
      <c r="AC157" s="67" t="str">
        <f>IF(OR($B157="",基础资料!$B$6=""),"",-SUMIFS(对接源_01水果筐数!$D$5:$D$304,对接源_01水果筐数!$B$5:$B$304,$B157,对接源_01水果筐数!$C$5:$C$304,基础资料!$B$6))</f>
        <v/>
      </c>
      <c r="AD157" s="67" t="str">
        <f>IF(OR($B157="",基础资料!$B$7=""),"",-SUMIFS(对接源_01水果筐数!$D$5:$D$304,对接源_01水果筐数!$B$5:$B$304,$B157,对接源_01水果筐数!$C$5:$C$304,基础资料!$B$7))</f>
        <v/>
      </c>
      <c r="AE157" s="67" t="str">
        <f>IF(OR($B157="",基础资料!$B$8=""),"",-SUMIFS(对接源_01水果筐数!$D$5:$D$304,对接源_01水果筐数!$B$5:$B$304,$B157,对接源_01水果筐数!$C$5:$C$304,基础资料!$B$8))</f>
        <v/>
      </c>
      <c r="AF157" s="25" t="str">
        <f>IF(OR($B157="",基础资料!$B$4=""),"",SUMIFS(对接源_01水果筐数!$E$5:$E$304,对接源_01水果筐数!$B$5:$B$304,$B157,对接源_01水果筐数!$C$5:$C$304,基础资料!$B$4))</f>
        <v/>
      </c>
      <c r="AG157" s="25" t="str">
        <f>IF(OR($B157="",基础资料!$B$5=""),"",SUMIFS(对接源_01水果筐数!$E$5:$E$304,对接源_01水果筐数!$B$5:$B$304,$B157,对接源_01水果筐数!$C$5:$C$304,基础资料!$B$5))</f>
        <v/>
      </c>
      <c r="AH157" s="25" t="str">
        <f>IF(OR($B157="",基础资料!$B$6=""),"",SUMIFS(对接源_01水果筐数!$E$5:$E$304,对接源_01水果筐数!$B$5:$B$304,$B157,对接源_01水果筐数!$C$5:$C$304,基础资料!$B$6))</f>
        <v/>
      </c>
      <c r="AI157" s="25" t="str">
        <f>IF(OR($B157="",基础资料!$B$7=""),"",SUMIFS(对接源_01水果筐数!$E$5:$E$304,对接源_01水果筐数!$B$5:$B$304,$B157,对接源_01水果筐数!$C$5:$C$304,基础资料!$B$7))</f>
        <v/>
      </c>
      <c r="AJ157" s="25" t="str">
        <f>IF(OR($B157="",基础资料!$B$8=""),"",SUMIFS(对接源_01水果筐数!$E$5:$E$304,对接源_01水果筐数!$B$5:$B$304,$B157,对接源_01水果筐数!$C$5:$C$304,基础资料!$B$8))</f>
        <v/>
      </c>
      <c r="AK157" s="25" t="str">
        <f>IF(OR($B157="",基础资料!$B$4=""),"",SUMIFS(对接源_01水果筐数!$F$5:$F$304,对接源_01水果筐数!$B$5:$B$304,$B157,对接源_01水果筐数!$C$5:$C$304,基础资料!$B$4))</f>
        <v/>
      </c>
      <c r="AL157" s="25" t="str">
        <f>IF(OR($B157="",基础资料!$B$5=""),"",SUMIFS(对接源_01水果筐数!$F$5:$F$304,对接源_01水果筐数!$B$5:$B$304,$B157,对接源_01水果筐数!$C$5:$C$304,基础资料!$B$5))</f>
        <v/>
      </c>
      <c r="AM157" s="25" t="str">
        <f>IF(OR($B157="",基础资料!$B$6=""),"",SUMIFS(对接源_01水果筐数!$F$5:$F$304,对接源_01水果筐数!$B$5:$B$304,$B157,对接源_01水果筐数!$C$5:$C$304,基础资料!$B$6))</f>
        <v/>
      </c>
      <c r="AN157" s="25" t="str">
        <f>IF(OR($B157="",基础资料!$B$7=""),"",SUMIFS(对接源_01水果筐数!$F$5:$F$304,对接源_01水果筐数!$B$5:$B$304,$B157,对接源_01水果筐数!$C$5:$C$304,基础资料!$B$7))</f>
        <v/>
      </c>
      <c r="AO157" s="25" t="str">
        <f>IF(OR($B157="",基础资料!$B$8=""),"",SUMIFS(对接源_01水果筐数!$F$5:$F$304,对接源_01水果筐数!$B$5:$B$304,$B157,对接源_01水果筐数!$C$5:$C$304,基础资料!$B$8))</f>
        <v/>
      </c>
      <c r="AP157" s="25" t="str">
        <f t="shared" si="29"/>
        <v/>
      </c>
      <c r="AQ157" s="25" t="str">
        <f t="shared" si="30"/>
        <v/>
      </c>
      <c r="AR157" s="25" t="str">
        <f t="shared" si="31"/>
        <v/>
      </c>
      <c r="AS157" s="25" t="str">
        <f t="shared" si="32"/>
        <v/>
      </c>
      <c r="AT157" s="25" t="str">
        <f t="shared" si="33"/>
        <v/>
      </c>
      <c r="AU157" s="25" t="str">
        <f t="shared" si="34"/>
        <v/>
      </c>
      <c r="AV157" s="24" t="str">
        <f t="shared" si="35"/>
        <v/>
      </c>
      <c r="AW157" s="72"/>
    </row>
    <row r="158" spans="1:49">
      <c r="A158" s="22" t="str">
        <f t="shared" si="24"/>
        <v/>
      </c>
      <c r="B158" s="24" t="str">
        <f>IFERROR(INDEX(_自动清单!$CC$4:$CC$253,ROW()-3),"")</f>
        <v/>
      </c>
      <c r="C158" s="25" t="str">
        <f>IF(OR($B158="",基础资料!$B$4=""),"",SUMIFS(周转筐出入库明细!$J$4:$J$2004,周转筐出入库明细!$C$4:$C$2004,$B158,周转筐出入库明细!$D$4:$D$2004,基础资料!$B$4,周转筐出入库明细!$B$4:$B$2004,"&gt;="&amp;$BC$1,周转筐出入库明细!$B$4:$B$2004,"&lt;="&amp;$BC$2))</f>
        <v/>
      </c>
      <c r="D158" s="25" t="str">
        <f>IF(OR($B158="",基础资料!$B$5=""),"",SUMIFS(周转筐出入库明细!$J$4:$J$2004,周转筐出入库明细!$C$4:$C$2004,$B158,周转筐出入库明细!$D$4:$D$2004,基础资料!$B$5,周转筐出入库明细!$B$4:$B$2004,"&gt;="&amp;$BC$1,周转筐出入库明细!$B$4:$B$2004,"&lt;="&amp;$BC$2))</f>
        <v/>
      </c>
      <c r="E158" s="25" t="str">
        <f>IF(OR($B158="",基础资料!$B$6=""),"",SUMIFS(周转筐出入库明细!$J$4:$J$2004,周转筐出入库明细!$C$4:$C$2004,$B158,周转筐出入库明细!$D$4:$D$2004,基础资料!$B$6,周转筐出入库明细!$B$4:$B$2004,"&gt;="&amp;$BC$1,周转筐出入库明细!$B$4:$B$2004,"&lt;="&amp;$BC$2))</f>
        <v/>
      </c>
      <c r="F158" s="25" t="str">
        <f>IF(OR($B158="",基础资料!$B$7=""),"",SUMIFS(周转筐出入库明细!$J$4:$J$2004,周转筐出入库明细!$C$4:$C$2004,$B158,周转筐出入库明细!$D$4:$D$2004,基础资料!$B$7,周转筐出入库明细!$B$4:$B$2004,"&gt;="&amp;$BC$1,周转筐出入库明细!$B$4:$B$2004,"&lt;="&amp;$BC$2))</f>
        <v/>
      </c>
      <c r="G158" s="25" t="str">
        <f>IF(OR($B158="",基础资料!$B$8=""),"",SUMIFS(周转筐出入库明细!$J$4:$J$2004,周转筐出入库明细!$C$4:$C$2004,$B158,周转筐出入库明细!$D$4:$D$2004,基础资料!$B$8,周转筐出入库明细!$B$4:$B$2004,"&gt;="&amp;$BC$1,周转筐出入库明细!$B$4:$B$2004,"&lt;="&amp;$BC$2))</f>
        <v/>
      </c>
      <c r="H158" s="25" t="str">
        <f t="shared" si="25"/>
        <v/>
      </c>
      <c r="I158" s="67" t="str">
        <f>IF(OR($B158="",基础资料!$B$4=""),"",-SUMIFS(周转筐出入库明细!$I$4:$I$2004,周转筐出入库明细!$C$4:$C$2004,$B158,周转筐出入库明细!$D$4:$D$2004,基础资料!$B$4,周转筐出入库明细!$B$4:$B$2004,"&gt;="&amp;$BC$1,周转筐出入库明细!$B$4:$B$2004,"&lt;="&amp;$BC$2))</f>
        <v/>
      </c>
      <c r="J158" s="67" t="str">
        <f>IF(OR($B158="",基础资料!$B$5=""),"",-SUMIFS(周转筐出入库明细!$I$4:$I$2004,周转筐出入库明细!$C$4:$C$2004,$B158,周转筐出入库明细!$D$4:$D$2004,基础资料!$B$5,周转筐出入库明细!$B$4:$B$2004,"&gt;="&amp;$BC$1,周转筐出入库明细!$B$4:$B$2004,"&lt;="&amp;$BC$2))</f>
        <v/>
      </c>
      <c r="K158" s="67" t="str">
        <f>IF(OR($B158="",基础资料!$B$6=""),"",-SUMIFS(周转筐出入库明细!$I$4:$I$2004,周转筐出入库明细!$C$4:$C$2004,$B158,周转筐出入库明细!$D$4:$D$2004,基础资料!$B$6,周转筐出入库明细!$B$4:$B$2004,"&gt;="&amp;$BC$1,周转筐出入库明细!$B$4:$B$2004,"&lt;="&amp;$BC$2))</f>
        <v/>
      </c>
      <c r="L158" s="67" t="str">
        <f>IF(OR($B158="",基础资料!$B$7=""),"",-SUMIFS(周转筐出入库明细!$I$4:$I$2004,周转筐出入库明细!$C$4:$C$2004,$B158,周转筐出入库明细!$D$4:$D$2004,基础资料!$B$7,周转筐出入库明细!$B$4:$B$2004,"&gt;="&amp;$BC$1,周转筐出入库明细!$B$4:$B$2004,"&lt;="&amp;$BC$2))</f>
        <v/>
      </c>
      <c r="M158" s="67" t="str">
        <f>IF(OR($B158="",基础资料!$B$8=""),"",-SUMIFS(周转筐出入库明细!$I$4:$I$2004,周转筐出入库明细!$C$4:$C$2004,$B158,周转筐出入库明细!$D$4:$D$2004,基础资料!$B$8,周转筐出入库明细!$B$4:$B$2004,"&gt;="&amp;$BC$1,周转筐出入库明细!$B$4:$B$2004,"&lt;="&amp;$BC$2))</f>
        <v/>
      </c>
      <c r="N158" s="67" t="str">
        <f t="shared" si="26"/>
        <v/>
      </c>
      <c r="O158" s="25" t="str">
        <f>IF(OR($B158="",基础资料!$B$4=""),"",SUMIFS(周转筐出入库明细!$H$4:$H$2004,周转筐出入库明细!$C$4:$C$2004,$B158,周转筐出入库明细!$D$4:$D$2004,基础资料!$B$4,周转筐出入库明细!$F$4:$F$2004,"采购入库",周转筐出入库明细!$B$4:$B$2004,"&gt;="&amp;$BC$1,周转筐出入库明细!$B$4:$B$2004,"&lt;="&amp;$BC$2))</f>
        <v/>
      </c>
      <c r="P158" s="25" t="str">
        <f>IF(OR($B158="",基础资料!$B$5=""),"",SUMIFS(周转筐出入库明细!$H$4:$H$2004,周转筐出入库明细!$C$4:$C$2004,$B158,周转筐出入库明细!$D$4:$D$2004,基础资料!$B$5,周转筐出入库明细!$F$4:$F$2004,"采购入库",周转筐出入库明细!$B$4:$B$2004,"&gt;="&amp;$BC$1,周转筐出入库明细!$B$4:$B$2004,"&lt;="&amp;$BC$2))</f>
        <v/>
      </c>
      <c r="Q158" s="25" t="str">
        <f>IF(OR($B158="",基础资料!$B$6=""),"",SUMIFS(周转筐出入库明细!$H$4:$H$2004,周转筐出入库明细!$C$4:$C$2004,$B158,周转筐出入库明细!$D$4:$D$2004,基础资料!$B$6,周转筐出入库明细!$F$4:$F$2004,"采购入库",周转筐出入库明细!$B$4:$B$2004,"&gt;="&amp;$BC$1,周转筐出入库明细!$B$4:$B$2004,"&lt;="&amp;$BC$2))</f>
        <v/>
      </c>
      <c r="R158" s="25" t="str">
        <f>IF(OR($B158="",基础资料!$B$7=""),"",SUMIFS(周转筐出入库明细!$H$4:$H$2004,周转筐出入库明细!$C$4:$C$2004,$B158,周转筐出入库明细!$D$4:$D$2004,基础资料!$B$7,周转筐出入库明细!$F$4:$F$2004,"采购入库",周转筐出入库明细!$B$4:$B$2004,"&gt;="&amp;$BC$1,周转筐出入库明细!$B$4:$B$2004,"&lt;="&amp;$BC$2))</f>
        <v/>
      </c>
      <c r="S158" s="25" t="str">
        <f>IF(OR($B158="",基础资料!$B$8=""),"",SUMIFS(周转筐出入库明细!$H$4:$H$2004,周转筐出入库明细!$C$4:$C$2004,$B158,周转筐出入库明细!$D$4:$D$2004,基础资料!$B$8,周转筐出入库明细!$F$4:$F$2004,"采购入库",周转筐出入库明细!$B$4:$B$2004,"&gt;="&amp;$BC$1,周转筐出入库明细!$B$4:$B$2004,"&lt;="&amp;$BC$2))</f>
        <v/>
      </c>
      <c r="T158" s="25" t="str">
        <f t="shared" si="27"/>
        <v/>
      </c>
      <c r="U158" s="25" t="str">
        <f>IF(OR($B158="",基础资料!$B$4=""),"",SUMIFS(周转筐出入库明细!$K$4:$K$2004,周转筐出入库明细!$C$4:$C$2004,$B158,周转筐出入库明细!$D$4:$D$2004,基础资料!$B$4,周转筐出入库明细!$B$4:$B$2004,"&gt;="&amp;$BC$1,周转筐出入库明细!$B$4:$B$2004,"&lt;="&amp;$BC$2))</f>
        <v/>
      </c>
      <c r="V158" s="25" t="str">
        <f>IF(OR($B158="",基础资料!$B$5=""),"",SUMIFS(周转筐出入库明细!$K$4:$K$2004,周转筐出入库明细!$C$4:$C$2004,$B158,周转筐出入库明细!$D$4:$D$2004,基础资料!$B$5,周转筐出入库明细!$B$4:$B$2004,"&gt;="&amp;$BC$1,周转筐出入库明细!$B$4:$B$2004,"&lt;="&amp;$BC$2))</f>
        <v/>
      </c>
      <c r="W158" s="25" t="str">
        <f>IF(OR($B158="",基础资料!$B$6=""),"",SUMIFS(周转筐出入库明细!$K$4:$K$2004,周转筐出入库明细!$C$4:$C$2004,$B158,周转筐出入库明细!$D$4:$D$2004,基础资料!$B$6,周转筐出入库明细!$B$4:$B$2004,"&gt;="&amp;$BC$1,周转筐出入库明细!$B$4:$B$2004,"&lt;="&amp;$BC$2))</f>
        <v/>
      </c>
      <c r="X158" s="25" t="str">
        <f>IF(OR($B158="",基础资料!$B$7=""),"",SUMIFS(周转筐出入库明细!$K$4:$K$2004,周转筐出入库明细!$C$4:$C$2004,$B158,周转筐出入库明细!$D$4:$D$2004,基础资料!$B$7,周转筐出入库明细!$B$4:$B$2004,"&gt;="&amp;$BC$1,周转筐出入库明细!$B$4:$B$2004,"&lt;="&amp;$BC$2))</f>
        <v/>
      </c>
      <c r="Y158" s="25" t="str">
        <f>IF(OR($B158="",基础资料!$B$8=""),"",SUMIFS(周转筐出入库明细!$K$4:$K$2004,周转筐出入库明细!$C$4:$C$2004,$B158,周转筐出入库明细!$D$4:$D$2004,基础资料!$B$8,周转筐出入库明细!$B$4:$B$2004,"&gt;="&amp;$BC$1,周转筐出入库明细!$B$4:$B$2004,"&lt;="&amp;$BC$2))</f>
        <v/>
      </c>
      <c r="Z158" s="25" t="str">
        <f t="shared" si="28"/>
        <v/>
      </c>
      <c r="AA158" s="67" t="str">
        <f>IF(OR($B158="",基础资料!$B$4=""),"",-SUMIFS(对接源_01水果筐数!$D$5:$D$304,对接源_01水果筐数!$B$5:$B$304,$B158,对接源_01水果筐数!$C$5:$C$304,基础资料!$B$4))</f>
        <v/>
      </c>
      <c r="AB158" s="67" t="str">
        <f>IF(OR($B158="",基础资料!$B$5=""),"",-SUMIFS(对接源_01水果筐数!$D$5:$D$304,对接源_01水果筐数!$B$5:$B$304,$B158,对接源_01水果筐数!$C$5:$C$304,基础资料!$B$5))</f>
        <v/>
      </c>
      <c r="AC158" s="67" t="str">
        <f>IF(OR($B158="",基础资料!$B$6=""),"",-SUMIFS(对接源_01水果筐数!$D$5:$D$304,对接源_01水果筐数!$B$5:$B$304,$B158,对接源_01水果筐数!$C$5:$C$304,基础资料!$B$6))</f>
        <v/>
      </c>
      <c r="AD158" s="67" t="str">
        <f>IF(OR($B158="",基础资料!$B$7=""),"",-SUMIFS(对接源_01水果筐数!$D$5:$D$304,对接源_01水果筐数!$B$5:$B$304,$B158,对接源_01水果筐数!$C$5:$C$304,基础资料!$B$7))</f>
        <v/>
      </c>
      <c r="AE158" s="67" t="str">
        <f>IF(OR($B158="",基础资料!$B$8=""),"",-SUMIFS(对接源_01水果筐数!$D$5:$D$304,对接源_01水果筐数!$B$5:$B$304,$B158,对接源_01水果筐数!$C$5:$C$304,基础资料!$B$8))</f>
        <v/>
      </c>
      <c r="AF158" s="25" t="str">
        <f>IF(OR($B158="",基础资料!$B$4=""),"",SUMIFS(对接源_01水果筐数!$E$5:$E$304,对接源_01水果筐数!$B$5:$B$304,$B158,对接源_01水果筐数!$C$5:$C$304,基础资料!$B$4))</f>
        <v/>
      </c>
      <c r="AG158" s="25" t="str">
        <f>IF(OR($B158="",基础资料!$B$5=""),"",SUMIFS(对接源_01水果筐数!$E$5:$E$304,对接源_01水果筐数!$B$5:$B$304,$B158,对接源_01水果筐数!$C$5:$C$304,基础资料!$B$5))</f>
        <v/>
      </c>
      <c r="AH158" s="25" t="str">
        <f>IF(OR($B158="",基础资料!$B$6=""),"",SUMIFS(对接源_01水果筐数!$E$5:$E$304,对接源_01水果筐数!$B$5:$B$304,$B158,对接源_01水果筐数!$C$5:$C$304,基础资料!$B$6))</f>
        <v/>
      </c>
      <c r="AI158" s="25" t="str">
        <f>IF(OR($B158="",基础资料!$B$7=""),"",SUMIFS(对接源_01水果筐数!$E$5:$E$304,对接源_01水果筐数!$B$5:$B$304,$B158,对接源_01水果筐数!$C$5:$C$304,基础资料!$B$7))</f>
        <v/>
      </c>
      <c r="AJ158" s="25" t="str">
        <f>IF(OR($B158="",基础资料!$B$8=""),"",SUMIFS(对接源_01水果筐数!$E$5:$E$304,对接源_01水果筐数!$B$5:$B$304,$B158,对接源_01水果筐数!$C$5:$C$304,基础资料!$B$8))</f>
        <v/>
      </c>
      <c r="AK158" s="25" t="str">
        <f>IF(OR($B158="",基础资料!$B$4=""),"",SUMIFS(对接源_01水果筐数!$F$5:$F$304,对接源_01水果筐数!$B$5:$B$304,$B158,对接源_01水果筐数!$C$5:$C$304,基础资料!$B$4))</f>
        <v/>
      </c>
      <c r="AL158" s="25" t="str">
        <f>IF(OR($B158="",基础资料!$B$5=""),"",SUMIFS(对接源_01水果筐数!$F$5:$F$304,对接源_01水果筐数!$B$5:$B$304,$B158,对接源_01水果筐数!$C$5:$C$304,基础资料!$B$5))</f>
        <v/>
      </c>
      <c r="AM158" s="25" t="str">
        <f>IF(OR($B158="",基础资料!$B$6=""),"",SUMIFS(对接源_01水果筐数!$F$5:$F$304,对接源_01水果筐数!$B$5:$B$304,$B158,对接源_01水果筐数!$C$5:$C$304,基础资料!$B$6))</f>
        <v/>
      </c>
      <c r="AN158" s="25" t="str">
        <f>IF(OR($B158="",基础资料!$B$7=""),"",SUMIFS(对接源_01水果筐数!$F$5:$F$304,对接源_01水果筐数!$B$5:$B$304,$B158,对接源_01水果筐数!$C$5:$C$304,基础资料!$B$7))</f>
        <v/>
      </c>
      <c r="AO158" s="25" t="str">
        <f>IF(OR($B158="",基础资料!$B$8=""),"",SUMIFS(对接源_01水果筐数!$F$5:$F$304,对接源_01水果筐数!$B$5:$B$304,$B158,对接源_01水果筐数!$C$5:$C$304,基础资料!$B$8))</f>
        <v/>
      </c>
      <c r="AP158" s="25" t="str">
        <f t="shared" si="29"/>
        <v/>
      </c>
      <c r="AQ158" s="25" t="str">
        <f t="shared" si="30"/>
        <v/>
      </c>
      <c r="AR158" s="25" t="str">
        <f t="shared" si="31"/>
        <v/>
      </c>
      <c r="AS158" s="25" t="str">
        <f t="shared" si="32"/>
        <v/>
      </c>
      <c r="AT158" s="25" t="str">
        <f t="shared" si="33"/>
        <v/>
      </c>
      <c r="AU158" s="25" t="str">
        <f t="shared" si="34"/>
        <v/>
      </c>
      <c r="AV158" s="24" t="str">
        <f t="shared" si="35"/>
        <v/>
      </c>
      <c r="AW158" s="72"/>
    </row>
    <row r="159" spans="1:49">
      <c r="A159" s="22" t="str">
        <f t="shared" si="24"/>
        <v/>
      </c>
      <c r="B159" s="24" t="str">
        <f>IFERROR(INDEX(_自动清单!$CC$4:$CC$253,ROW()-3),"")</f>
        <v/>
      </c>
      <c r="C159" s="25" t="str">
        <f>IF(OR($B159="",基础资料!$B$4=""),"",SUMIFS(周转筐出入库明细!$J$4:$J$2004,周转筐出入库明细!$C$4:$C$2004,$B159,周转筐出入库明细!$D$4:$D$2004,基础资料!$B$4,周转筐出入库明细!$B$4:$B$2004,"&gt;="&amp;$BC$1,周转筐出入库明细!$B$4:$B$2004,"&lt;="&amp;$BC$2))</f>
        <v/>
      </c>
      <c r="D159" s="25" t="str">
        <f>IF(OR($B159="",基础资料!$B$5=""),"",SUMIFS(周转筐出入库明细!$J$4:$J$2004,周转筐出入库明细!$C$4:$C$2004,$B159,周转筐出入库明细!$D$4:$D$2004,基础资料!$B$5,周转筐出入库明细!$B$4:$B$2004,"&gt;="&amp;$BC$1,周转筐出入库明细!$B$4:$B$2004,"&lt;="&amp;$BC$2))</f>
        <v/>
      </c>
      <c r="E159" s="25" t="str">
        <f>IF(OR($B159="",基础资料!$B$6=""),"",SUMIFS(周转筐出入库明细!$J$4:$J$2004,周转筐出入库明细!$C$4:$C$2004,$B159,周转筐出入库明细!$D$4:$D$2004,基础资料!$B$6,周转筐出入库明细!$B$4:$B$2004,"&gt;="&amp;$BC$1,周转筐出入库明细!$B$4:$B$2004,"&lt;="&amp;$BC$2))</f>
        <v/>
      </c>
      <c r="F159" s="25" t="str">
        <f>IF(OR($B159="",基础资料!$B$7=""),"",SUMIFS(周转筐出入库明细!$J$4:$J$2004,周转筐出入库明细!$C$4:$C$2004,$B159,周转筐出入库明细!$D$4:$D$2004,基础资料!$B$7,周转筐出入库明细!$B$4:$B$2004,"&gt;="&amp;$BC$1,周转筐出入库明细!$B$4:$B$2004,"&lt;="&amp;$BC$2))</f>
        <v/>
      </c>
      <c r="G159" s="25" t="str">
        <f>IF(OR($B159="",基础资料!$B$8=""),"",SUMIFS(周转筐出入库明细!$J$4:$J$2004,周转筐出入库明细!$C$4:$C$2004,$B159,周转筐出入库明细!$D$4:$D$2004,基础资料!$B$8,周转筐出入库明细!$B$4:$B$2004,"&gt;="&amp;$BC$1,周转筐出入库明细!$B$4:$B$2004,"&lt;="&amp;$BC$2))</f>
        <v/>
      </c>
      <c r="H159" s="25" t="str">
        <f t="shared" si="25"/>
        <v/>
      </c>
      <c r="I159" s="67" t="str">
        <f>IF(OR($B159="",基础资料!$B$4=""),"",-SUMIFS(周转筐出入库明细!$I$4:$I$2004,周转筐出入库明细!$C$4:$C$2004,$B159,周转筐出入库明细!$D$4:$D$2004,基础资料!$B$4,周转筐出入库明细!$B$4:$B$2004,"&gt;="&amp;$BC$1,周转筐出入库明细!$B$4:$B$2004,"&lt;="&amp;$BC$2))</f>
        <v/>
      </c>
      <c r="J159" s="67" t="str">
        <f>IF(OR($B159="",基础资料!$B$5=""),"",-SUMIFS(周转筐出入库明细!$I$4:$I$2004,周转筐出入库明细!$C$4:$C$2004,$B159,周转筐出入库明细!$D$4:$D$2004,基础资料!$B$5,周转筐出入库明细!$B$4:$B$2004,"&gt;="&amp;$BC$1,周转筐出入库明细!$B$4:$B$2004,"&lt;="&amp;$BC$2))</f>
        <v/>
      </c>
      <c r="K159" s="67" t="str">
        <f>IF(OR($B159="",基础资料!$B$6=""),"",-SUMIFS(周转筐出入库明细!$I$4:$I$2004,周转筐出入库明细!$C$4:$C$2004,$B159,周转筐出入库明细!$D$4:$D$2004,基础资料!$B$6,周转筐出入库明细!$B$4:$B$2004,"&gt;="&amp;$BC$1,周转筐出入库明细!$B$4:$B$2004,"&lt;="&amp;$BC$2))</f>
        <v/>
      </c>
      <c r="L159" s="67" t="str">
        <f>IF(OR($B159="",基础资料!$B$7=""),"",-SUMIFS(周转筐出入库明细!$I$4:$I$2004,周转筐出入库明细!$C$4:$C$2004,$B159,周转筐出入库明细!$D$4:$D$2004,基础资料!$B$7,周转筐出入库明细!$B$4:$B$2004,"&gt;="&amp;$BC$1,周转筐出入库明细!$B$4:$B$2004,"&lt;="&amp;$BC$2))</f>
        <v/>
      </c>
      <c r="M159" s="67" t="str">
        <f>IF(OR($B159="",基础资料!$B$8=""),"",-SUMIFS(周转筐出入库明细!$I$4:$I$2004,周转筐出入库明细!$C$4:$C$2004,$B159,周转筐出入库明细!$D$4:$D$2004,基础资料!$B$8,周转筐出入库明细!$B$4:$B$2004,"&gt;="&amp;$BC$1,周转筐出入库明细!$B$4:$B$2004,"&lt;="&amp;$BC$2))</f>
        <v/>
      </c>
      <c r="N159" s="67" t="str">
        <f t="shared" si="26"/>
        <v/>
      </c>
      <c r="O159" s="25" t="str">
        <f>IF(OR($B159="",基础资料!$B$4=""),"",SUMIFS(周转筐出入库明细!$H$4:$H$2004,周转筐出入库明细!$C$4:$C$2004,$B159,周转筐出入库明细!$D$4:$D$2004,基础资料!$B$4,周转筐出入库明细!$F$4:$F$2004,"采购入库",周转筐出入库明细!$B$4:$B$2004,"&gt;="&amp;$BC$1,周转筐出入库明细!$B$4:$B$2004,"&lt;="&amp;$BC$2))</f>
        <v/>
      </c>
      <c r="P159" s="25" t="str">
        <f>IF(OR($B159="",基础资料!$B$5=""),"",SUMIFS(周转筐出入库明细!$H$4:$H$2004,周转筐出入库明细!$C$4:$C$2004,$B159,周转筐出入库明细!$D$4:$D$2004,基础资料!$B$5,周转筐出入库明细!$F$4:$F$2004,"采购入库",周转筐出入库明细!$B$4:$B$2004,"&gt;="&amp;$BC$1,周转筐出入库明细!$B$4:$B$2004,"&lt;="&amp;$BC$2))</f>
        <v/>
      </c>
      <c r="Q159" s="25" t="str">
        <f>IF(OR($B159="",基础资料!$B$6=""),"",SUMIFS(周转筐出入库明细!$H$4:$H$2004,周转筐出入库明细!$C$4:$C$2004,$B159,周转筐出入库明细!$D$4:$D$2004,基础资料!$B$6,周转筐出入库明细!$F$4:$F$2004,"采购入库",周转筐出入库明细!$B$4:$B$2004,"&gt;="&amp;$BC$1,周转筐出入库明细!$B$4:$B$2004,"&lt;="&amp;$BC$2))</f>
        <v/>
      </c>
      <c r="R159" s="25" t="str">
        <f>IF(OR($B159="",基础资料!$B$7=""),"",SUMIFS(周转筐出入库明细!$H$4:$H$2004,周转筐出入库明细!$C$4:$C$2004,$B159,周转筐出入库明细!$D$4:$D$2004,基础资料!$B$7,周转筐出入库明细!$F$4:$F$2004,"采购入库",周转筐出入库明细!$B$4:$B$2004,"&gt;="&amp;$BC$1,周转筐出入库明细!$B$4:$B$2004,"&lt;="&amp;$BC$2))</f>
        <v/>
      </c>
      <c r="S159" s="25" t="str">
        <f>IF(OR($B159="",基础资料!$B$8=""),"",SUMIFS(周转筐出入库明细!$H$4:$H$2004,周转筐出入库明细!$C$4:$C$2004,$B159,周转筐出入库明细!$D$4:$D$2004,基础资料!$B$8,周转筐出入库明细!$F$4:$F$2004,"采购入库",周转筐出入库明细!$B$4:$B$2004,"&gt;="&amp;$BC$1,周转筐出入库明细!$B$4:$B$2004,"&lt;="&amp;$BC$2))</f>
        <v/>
      </c>
      <c r="T159" s="25" t="str">
        <f t="shared" si="27"/>
        <v/>
      </c>
      <c r="U159" s="25" t="str">
        <f>IF(OR($B159="",基础资料!$B$4=""),"",SUMIFS(周转筐出入库明细!$K$4:$K$2004,周转筐出入库明细!$C$4:$C$2004,$B159,周转筐出入库明细!$D$4:$D$2004,基础资料!$B$4,周转筐出入库明细!$B$4:$B$2004,"&gt;="&amp;$BC$1,周转筐出入库明细!$B$4:$B$2004,"&lt;="&amp;$BC$2))</f>
        <v/>
      </c>
      <c r="V159" s="25" t="str">
        <f>IF(OR($B159="",基础资料!$B$5=""),"",SUMIFS(周转筐出入库明细!$K$4:$K$2004,周转筐出入库明细!$C$4:$C$2004,$B159,周转筐出入库明细!$D$4:$D$2004,基础资料!$B$5,周转筐出入库明细!$B$4:$B$2004,"&gt;="&amp;$BC$1,周转筐出入库明细!$B$4:$B$2004,"&lt;="&amp;$BC$2))</f>
        <v/>
      </c>
      <c r="W159" s="25" t="str">
        <f>IF(OR($B159="",基础资料!$B$6=""),"",SUMIFS(周转筐出入库明细!$K$4:$K$2004,周转筐出入库明细!$C$4:$C$2004,$B159,周转筐出入库明细!$D$4:$D$2004,基础资料!$B$6,周转筐出入库明细!$B$4:$B$2004,"&gt;="&amp;$BC$1,周转筐出入库明细!$B$4:$B$2004,"&lt;="&amp;$BC$2))</f>
        <v/>
      </c>
      <c r="X159" s="25" t="str">
        <f>IF(OR($B159="",基础资料!$B$7=""),"",SUMIFS(周转筐出入库明细!$K$4:$K$2004,周转筐出入库明细!$C$4:$C$2004,$B159,周转筐出入库明细!$D$4:$D$2004,基础资料!$B$7,周转筐出入库明细!$B$4:$B$2004,"&gt;="&amp;$BC$1,周转筐出入库明细!$B$4:$B$2004,"&lt;="&amp;$BC$2))</f>
        <v/>
      </c>
      <c r="Y159" s="25" t="str">
        <f>IF(OR($B159="",基础资料!$B$8=""),"",SUMIFS(周转筐出入库明细!$K$4:$K$2004,周转筐出入库明细!$C$4:$C$2004,$B159,周转筐出入库明细!$D$4:$D$2004,基础资料!$B$8,周转筐出入库明细!$B$4:$B$2004,"&gt;="&amp;$BC$1,周转筐出入库明细!$B$4:$B$2004,"&lt;="&amp;$BC$2))</f>
        <v/>
      </c>
      <c r="Z159" s="25" t="str">
        <f t="shared" si="28"/>
        <v/>
      </c>
      <c r="AA159" s="67" t="str">
        <f>IF(OR($B159="",基础资料!$B$4=""),"",-SUMIFS(对接源_01水果筐数!$D$5:$D$304,对接源_01水果筐数!$B$5:$B$304,$B159,对接源_01水果筐数!$C$5:$C$304,基础资料!$B$4))</f>
        <v/>
      </c>
      <c r="AB159" s="67" t="str">
        <f>IF(OR($B159="",基础资料!$B$5=""),"",-SUMIFS(对接源_01水果筐数!$D$5:$D$304,对接源_01水果筐数!$B$5:$B$304,$B159,对接源_01水果筐数!$C$5:$C$304,基础资料!$B$5))</f>
        <v/>
      </c>
      <c r="AC159" s="67" t="str">
        <f>IF(OR($B159="",基础资料!$B$6=""),"",-SUMIFS(对接源_01水果筐数!$D$5:$D$304,对接源_01水果筐数!$B$5:$B$304,$B159,对接源_01水果筐数!$C$5:$C$304,基础资料!$B$6))</f>
        <v/>
      </c>
      <c r="AD159" s="67" t="str">
        <f>IF(OR($B159="",基础资料!$B$7=""),"",-SUMIFS(对接源_01水果筐数!$D$5:$D$304,对接源_01水果筐数!$B$5:$B$304,$B159,对接源_01水果筐数!$C$5:$C$304,基础资料!$B$7))</f>
        <v/>
      </c>
      <c r="AE159" s="67" t="str">
        <f>IF(OR($B159="",基础资料!$B$8=""),"",-SUMIFS(对接源_01水果筐数!$D$5:$D$304,对接源_01水果筐数!$B$5:$B$304,$B159,对接源_01水果筐数!$C$5:$C$304,基础资料!$B$8))</f>
        <v/>
      </c>
      <c r="AF159" s="25" t="str">
        <f>IF(OR($B159="",基础资料!$B$4=""),"",SUMIFS(对接源_01水果筐数!$E$5:$E$304,对接源_01水果筐数!$B$5:$B$304,$B159,对接源_01水果筐数!$C$5:$C$304,基础资料!$B$4))</f>
        <v/>
      </c>
      <c r="AG159" s="25" t="str">
        <f>IF(OR($B159="",基础资料!$B$5=""),"",SUMIFS(对接源_01水果筐数!$E$5:$E$304,对接源_01水果筐数!$B$5:$B$304,$B159,对接源_01水果筐数!$C$5:$C$304,基础资料!$B$5))</f>
        <v/>
      </c>
      <c r="AH159" s="25" t="str">
        <f>IF(OR($B159="",基础资料!$B$6=""),"",SUMIFS(对接源_01水果筐数!$E$5:$E$304,对接源_01水果筐数!$B$5:$B$304,$B159,对接源_01水果筐数!$C$5:$C$304,基础资料!$B$6))</f>
        <v/>
      </c>
      <c r="AI159" s="25" t="str">
        <f>IF(OR($B159="",基础资料!$B$7=""),"",SUMIFS(对接源_01水果筐数!$E$5:$E$304,对接源_01水果筐数!$B$5:$B$304,$B159,对接源_01水果筐数!$C$5:$C$304,基础资料!$B$7))</f>
        <v/>
      </c>
      <c r="AJ159" s="25" t="str">
        <f>IF(OR($B159="",基础资料!$B$8=""),"",SUMIFS(对接源_01水果筐数!$E$5:$E$304,对接源_01水果筐数!$B$5:$B$304,$B159,对接源_01水果筐数!$C$5:$C$304,基础资料!$B$8))</f>
        <v/>
      </c>
      <c r="AK159" s="25" t="str">
        <f>IF(OR($B159="",基础资料!$B$4=""),"",SUMIFS(对接源_01水果筐数!$F$5:$F$304,对接源_01水果筐数!$B$5:$B$304,$B159,对接源_01水果筐数!$C$5:$C$304,基础资料!$B$4))</f>
        <v/>
      </c>
      <c r="AL159" s="25" t="str">
        <f>IF(OR($B159="",基础资料!$B$5=""),"",SUMIFS(对接源_01水果筐数!$F$5:$F$304,对接源_01水果筐数!$B$5:$B$304,$B159,对接源_01水果筐数!$C$5:$C$304,基础资料!$B$5))</f>
        <v/>
      </c>
      <c r="AM159" s="25" t="str">
        <f>IF(OR($B159="",基础资料!$B$6=""),"",SUMIFS(对接源_01水果筐数!$F$5:$F$304,对接源_01水果筐数!$B$5:$B$304,$B159,对接源_01水果筐数!$C$5:$C$304,基础资料!$B$6))</f>
        <v/>
      </c>
      <c r="AN159" s="25" t="str">
        <f>IF(OR($B159="",基础资料!$B$7=""),"",SUMIFS(对接源_01水果筐数!$F$5:$F$304,对接源_01水果筐数!$B$5:$B$304,$B159,对接源_01水果筐数!$C$5:$C$304,基础资料!$B$7))</f>
        <v/>
      </c>
      <c r="AO159" s="25" t="str">
        <f>IF(OR($B159="",基础资料!$B$8=""),"",SUMIFS(对接源_01水果筐数!$F$5:$F$304,对接源_01水果筐数!$B$5:$B$304,$B159,对接源_01水果筐数!$C$5:$C$304,基础资料!$B$8))</f>
        <v/>
      </c>
      <c r="AP159" s="25" t="str">
        <f t="shared" si="29"/>
        <v/>
      </c>
      <c r="AQ159" s="25" t="str">
        <f t="shared" si="30"/>
        <v/>
      </c>
      <c r="AR159" s="25" t="str">
        <f t="shared" si="31"/>
        <v/>
      </c>
      <c r="AS159" s="25" t="str">
        <f t="shared" si="32"/>
        <v/>
      </c>
      <c r="AT159" s="25" t="str">
        <f t="shared" si="33"/>
        <v/>
      </c>
      <c r="AU159" s="25" t="str">
        <f t="shared" si="34"/>
        <v/>
      </c>
      <c r="AV159" s="24" t="str">
        <f t="shared" si="35"/>
        <v/>
      </c>
      <c r="AW159" s="72"/>
    </row>
    <row r="160" spans="1:49">
      <c r="A160" s="22" t="str">
        <f t="shared" si="24"/>
        <v/>
      </c>
      <c r="B160" s="24" t="str">
        <f>IFERROR(INDEX(_自动清单!$CC$4:$CC$253,ROW()-3),"")</f>
        <v/>
      </c>
      <c r="C160" s="25" t="str">
        <f>IF(OR($B160="",基础资料!$B$4=""),"",SUMIFS(周转筐出入库明细!$J$4:$J$2004,周转筐出入库明细!$C$4:$C$2004,$B160,周转筐出入库明细!$D$4:$D$2004,基础资料!$B$4,周转筐出入库明细!$B$4:$B$2004,"&gt;="&amp;$BC$1,周转筐出入库明细!$B$4:$B$2004,"&lt;="&amp;$BC$2))</f>
        <v/>
      </c>
      <c r="D160" s="25" t="str">
        <f>IF(OR($B160="",基础资料!$B$5=""),"",SUMIFS(周转筐出入库明细!$J$4:$J$2004,周转筐出入库明细!$C$4:$C$2004,$B160,周转筐出入库明细!$D$4:$D$2004,基础资料!$B$5,周转筐出入库明细!$B$4:$B$2004,"&gt;="&amp;$BC$1,周转筐出入库明细!$B$4:$B$2004,"&lt;="&amp;$BC$2))</f>
        <v/>
      </c>
      <c r="E160" s="25" t="str">
        <f>IF(OR($B160="",基础资料!$B$6=""),"",SUMIFS(周转筐出入库明细!$J$4:$J$2004,周转筐出入库明细!$C$4:$C$2004,$B160,周转筐出入库明细!$D$4:$D$2004,基础资料!$B$6,周转筐出入库明细!$B$4:$B$2004,"&gt;="&amp;$BC$1,周转筐出入库明细!$B$4:$B$2004,"&lt;="&amp;$BC$2))</f>
        <v/>
      </c>
      <c r="F160" s="25" t="str">
        <f>IF(OR($B160="",基础资料!$B$7=""),"",SUMIFS(周转筐出入库明细!$J$4:$J$2004,周转筐出入库明细!$C$4:$C$2004,$B160,周转筐出入库明细!$D$4:$D$2004,基础资料!$B$7,周转筐出入库明细!$B$4:$B$2004,"&gt;="&amp;$BC$1,周转筐出入库明细!$B$4:$B$2004,"&lt;="&amp;$BC$2))</f>
        <v/>
      </c>
      <c r="G160" s="25" t="str">
        <f>IF(OR($B160="",基础资料!$B$8=""),"",SUMIFS(周转筐出入库明细!$J$4:$J$2004,周转筐出入库明细!$C$4:$C$2004,$B160,周转筐出入库明细!$D$4:$D$2004,基础资料!$B$8,周转筐出入库明细!$B$4:$B$2004,"&gt;="&amp;$BC$1,周转筐出入库明细!$B$4:$B$2004,"&lt;="&amp;$BC$2))</f>
        <v/>
      </c>
      <c r="H160" s="25" t="str">
        <f t="shared" si="25"/>
        <v/>
      </c>
      <c r="I160" s="67" t="str">
        <f>IF(OR($B160="",基础资料!$B$4=""),"",-SUMIFS(周转筐出入库明细!$I$4:$I$2004,周转筐出入库明细!$C$4:$C$2004,$B160,周转筐出入库明细!$D$4:$D$2004,基础资料!$B$4,周转筐出入库明细!$B$4:$B$2004,"&gt;="&amp;$BC$1,周转筐出入库明细!$B$4:$B$2004,"&lt;="&amp;$BC$2))</f>
        <v/>
      </c>
      <c r="J160" s="67" t="str">
        <f>IF(OR($B160="",基础资料!$B$5=""),"",-SUMIFS(周转筐出入库明细!$I$4:$I$2004,周转筐出入库明细!$C$4:$C$2004,$B160,周转筐出入库明细!$D$4:$D$2004,基础资料!$B$5,周转筐出入库明细!$B$4:$B$2004,"&gt;="&amp;$BC$1,周转筐出入库明细!$B$4:$B$2004,"&lt;="&amp;$BC$2))</f>
        <v/>
      </c>
      <c r="K160" s="67" t="str">
        <f>IF(OR($B160="",基础资料!$B$6=""),"",-SUMIFS(周转筐出入库明细!$I$4:$I$2004,周转筐出入库明细!$C$4:$C$2004,$B160,周转筐出入库明细!$D$4:$D$2004,基础资料!$B$6,周转筐出入库明细!$B$4:$B$2004,"&gt;="&amp;$BC$1,周转筐出入库明细!$B$4:$B$2004,"&lt;="&amp;$BC$2))</f>
        <v/>
      </c>
      <c r="L160" s="67" t="str">
        <f>IF(OR($B160="",基础资料!$B$7=""),"",-SUMIFS(周转筐出入库明细!$I$4:$I$2004,周转筐出入库明细!$C$4:$C$2004,$B160,周转筐出入库明细!$D$4:$D$2004,基础资料!$B$7,周转筐出入库明细!$B$4:$B$2004,"&gt;="&amp;$BC$1,周转筐出入库明细!$B$4:$B$2004,"&lt;="&amp;$BC$2))</f>
        <v/>
      </c>
      <c r="M160" s="67" t="str">
        <f>IF(OR($B160="",基础资料!$B$8=""),"",-SUMIFS(周转筐出入库明细!$I$4:$I$2004,周转筐出入库明细!$C$4:$C$2004,$B160,周转筐出入库明细!$D$4:$D$2004,基础资料!$B$8,周转筐出入库明细!$B$4:$B$2004,"&gt;="&amp;$BC$1,周转筐出入库明细!$B$4:$B$2004,"&lt;="&amp;$BC$2))</f>
        <v/>
      </c>
      <c r="N160" s="67" t="str">
        <f t="shared" si="26"/>
        <v/>
      </c>
      <c r="O160" s="25" t="str">
        <f>IF(OR($B160="",基础资料!$B$4=""),"",SUMIFS(周转筐出入库明细!$H$4:$H$2004,周转筐出入库明细!$C$4:$C$2004,$B160,周转筐出入库明细!$D$4:$D$2004,基础资料!$B$4,周转筐出入库明细!$F$4:$F$2004,"采购入库",周转筐出入库明细!$B$4:$B$2004,"&gt;="&amp;$BC$1,周转筐出入库明细!$B$4:$B$2004,"&lt;="&amp;$BC$2))</f>
        <v/>
      </c>
      <c r="P160" s="25" t="str">
        <f>IF(OR($B160="",基础资料!$B$5=""),"",SUMIFS(周转筐出入库明细!$H$4:$H$2004,周转筐出入库明细!$C$4:$C$2004,$B160,周转筐出入库明细!$D$4:$D$2004,基础资料!$B$5,周转筐出入库明细!$F$4:$F$2004,"采购入库",周转筐出入库明细!$B$4:$B$2004,"&gt;="&amp;$BC$1,周转筐出入库明细!$B$4:$B$2004,"&lt;="&amp;$BC$2))</f>
        <v/>
      </c>
      <c r="Q160" s="25" t="str">
        <f>IF(OR($B160="",基础资料!$B$6=""),"",SUMIFS(周转筐出入库明细!$H$4:$H$2004,周转筐出入库明细!$C$4:$C$2004,$B160,周转筐出入库明细!$D$4:$D$2004,基础资料!$B$6,周转筐出入库明细!$F$4:$F$2004,"采购入库",周转筐出入库明细!$B$4:$B$2004,"&gt;="&amp;$BC$1,周转筐出入库明细!$B$4:$B$2004,"&lt;="&amp;$BC$2))</f>
        <v/>
      </c>
      <c r="R160" s="25" t="str">
        <f>IF(OR($B160="",基础资料!$B$7=""),"",SUMIFS(周转筐出入库明细!$H$4:$H$2004,周转筐出入库明细!$C$4:$C$2004,$B160,周转筐出入库明细!$D$4:$D$2004,基础资料!$B$7,周转筐出入库明细!$F$4:$F$2004,"采购入库",周转筐出入库明细!$B$4:$B$2004,"&gt;="&amp;$BC$1,周转筐出入库明细!$B$4:$B$2004,"&lt;="&amp;$BC$2))</f>
        <v/>
      </c>
      <c r="S160" s="25" t="str">
        <f>IF(OR($B160="",基础资料!$B$8=""),"",SUMIFS(周转筐出入库明细!$H$4:$H$2004,周转筐出入库明细!$C$4:$C$2004,$B160,周转筐出入库明细!$D$4:$D$2004,基础资料!$B$8,周转筐出入库明细!$F$4:$F$2004,"采购入库",周转筐出入库明细!$B$4:$B$2004,"&gt;="&amp;$BC$1,周转筐出入库明细!$B$4:$B$2004,"&lt;="&amp;$BC$2))</f>
        <v/>
      </c>
      <c r="T160" s="25" t="str">
        <f t="shared" si="27"/>
        <v/>
      </c>
      <c r="U160" s="25" t="str">
        <f>IF(OR($B160="",基础资料!$B$4=""),"",SUMIFS(周转筐出入库明细!$K$4:$K$2004,周转筐出入库明细!$C$4:$C$2004,$B160,周转筐出入库明细!$D$4:$D$2004,基础资料!$B$4,周转筐出入库明细!$B$4:$B$2004,"&gt;="&amp;$BC$1,周转筐出入库明细!$B$4:$B$2004,"&lt;="&amp;$BC$2))</f>
        <v/>
      </c>
      <c r="V160" s="25" t="str">
        <f>IF(OR($B160="",基础资料!$B$5=""),"",SUMIFS(周转筐出入库明细!$K$4:$K$2004,周转筐出入库明细!$C$4:$C$2004,$B160,周转筐出入库明细!$D$4:$D$2004,基础资料!$B$5,周转筐出入库明细!$B$4:$B$2004,"&gt;="&amp;$BC$1,周转筐出入库明细!$B$4:$B$2004,"&lt;="&amp;$BC$2))</f>
        <v/>
      </c>
      <c r="W160" s="25" t="str">
        <f>IF(OR($B160="",基础资料!$B$6=""),"",SUMIFS(周转筐出入库明细!$K$4:$K$2004,周转筐出入库明细!$C$4:$C$2004,$B160,周转筐出入库明细!$D$4:$D$2004,基础资料!$B$6,周转筐出入库明细!$B$4:$B$2004,"&gt;="&amp;$BC$1,周转筐出入库明细!$B$4:$B$2004,"&lt;="&amp;$BC$2))</f>
        <v/>
      </c>
      <c r="X160" s="25" t="str">
        <f>IF(OR($B160="",基础资料!$B$7=""),"",SUMIFS(周转筐出入库明细!$K$4:$K$2004,周转筐出入库明细!$C$4:$C$2004,$B160,周转筐出入库明细!$D$4:$D$2004,基础资料!$B$7,周转筐出入库明细!$B$4:$B$2004,"&gt;="&amp;$BC$1,周转筐出入库明细!$B$4:$B$2004,"&lt;="&amp;$BC$2))</f>
        <v/>
      </c>
      <c r="Y160" s="25" t="str">
        <f>IF(OR($B160="",基础资料!$B$8=""),"",SUMIFS(周转筐出入库明细!$K$4:$K$2004,周转筐出入库明细!$C$4:$C$2004,$B160,周转筐出入库明细!$D$4:$D$2004,基础资料!$B$8,周转筐出入库明细!$B$4:$B$2004,"&gt;="&amp;$BC$1,周转筐出入库明细!$B$4:$B$2004,"&lt;="&amp;$BC$2))</f>
        <v/>
      </c>
      <c r="Z160" s="25" t="str">
        <f t="shared" si="28"/>
        <v/>
      </c>
      <c r="AA160" s="67" t="str">
        <f>IF(OR($B160="",基础资料!$B$4=""),"",-SUMIFS(对接源_01水果筐数!$D$5:$D$304,对接源_01水果筐数!$B$5:$B$304,$B160,对接源_01水果筐数!$C$5:$C$304,基础资料!$B$4))</f>
        <v/>
      </c>
      <c r="AB160" s="67" t="str">
        <f>IF(OR($B160="",基础资料!$B$5=""),"",-SUMIFS(对接源_01水果筐数!$D$5:$D$304,对接源_01水果筐数!$B$5:$B$304,$B160,对接源_01水果筐数!$C$5:$C$304,基础资料!$B$5))</f>
        <v/>
      </c>
      <c r="AC160" s="67" t="str">
        <f>IF(OR($B160="",基础资料!$B$6=""),"",-SUMIFS(对接源_01水果筐数!$D$5:$D$304,对接源_01水果筐数!$B$5:$B$304,$B160,对接源_01水果筐数!$C$5:$C$304,基础资料!$B$6))</f>
        <v/>
      </c>
      <c r="AD160" s="67" t="str">
        <f>IF(OR($B160="",基础资料!$B$7=""),"",-SUMIFS(对接源_01水果筐数!$D$5:$D$304,对接源_01水果筐数!$B$5:$B$304,$B160,对接源_01水果筐数!$C$5:$C$304,基础资料!$B$7))</f>
        <v/>
      </c>
      <c r="AE160" s="67" t="str">
        <f>IF(OR($B160="",基础资料!$B$8=""),"",-SUMIFS(对接源_01水果筐数!$D$5:$D$304,对接源_01水果筐数!$B$5:$B$304,$B160,对接源_01水果筐数!$C$5:$C$304,基础资料!$B$8))</f>
        <v/>
      </c>
      <c r="AF160" s="25" t="str">
        <f>IF(OR($B160="",基础资料!$B$4=""),"",SUMIFS(对接源_01水果筐数!$E$5:$E$304,对接源_01水果筐数!$B$5:$B$304,$B160,对接源_01水果筐数!$C$5:$C$304,基础资料!$B$4))</f>
        <v/>
      </c>
      <c r="AG160" s="25" t="str">
        <f>IF(OR($B160="",基础资料!$B$5=""),"",SUMIFS(对接源_01水果筐数!$E$5:$E$304,对接源_01水果筐数!$B$5:$B$304,$B160,对接源_01水果筐数!$C$5:$C$304,基础资料!$B$5))</f>
        <v/>
      </c>
      <c r="AH160" s="25" t="str">
        <f>IF(OR($B160="",基础资料!$B$6=""),"",SUMIFS(对接源_01水果筐数!$E$5:$E$304,对接源_01水果筐数!$B$5:$B$304,$B160,对接源_01水果筐数!$C$5:$C$304,基础资料!$B$6))</f>
        <v/>
      </c>
      <c r="AI160" s="25" t="str">
        <f>IF(OR($B160="",基础资料!$B$7=""),"",SUMIFS(对接源_01水果筐数!$E$5:$E$304,对接源_01水果筐数!$B$5:$B$304,$B160,对接源_01水果筐数!$C$5:$C$304,基础资料!$B$7))</f>
        <v/>
      </c>
      <c r="AJ160" s="25" t="str">
        <f>IF(OR($B160="",基础资料!$B$8=""),"",SUMIFS(对接源_01水果筐数!$E$5:$E$304,对接源_01水果筐数!$B$5:$B$304,$B160,对接源_01水果筐数!$C$5:$C$304,基础资料!$B$8))</f>
        <v/>
      </c>
      <c r="AK160" s="25" t="str">
        <f>IF(OR($B160="",基础资料!$B$4=""),"",SUMIFS(对接源_01水果筐数!$F$5:$F$304,对接源_01水果筐数!$B$5:$B$304,$B160,对接源_01水果筐数!$C$5:$C$304,基础资料!$B$4))</f>
        <v/>
      </c>
      <c r="AL160" s="25" t="str">
        <f>IF(OR($B160="",基础资料!$B$5=""),"",SUMIFS(对接源_01水果筐数!$F$5:$F$304,对接源_01水果筐数!$B$5:$B$304,$B160,对接源_01水果筐数!$C$5:$C$304,基础资料!$B$5))</f>
        <v/>
      </c>
      <c r="AM160" s="25" t="str">
        <f>IF(OR($B160="",基础资料!$B$6=""),"",SUMIFS(对接源_01水果筐数!$F$5:$F$304,对接源_01水果筐数!$B$5:$B$304,$B160,对接源_01水果筐数!$C$5:$C$304,基础资料!$B$6))</f>
        <v/>
      </c>
      <c r="AN160" s="25" t="str">
        <f>IF(OR($B160="",基础资料!$B$7=""),"",SUMIFS(对接源_01水果筐数!$F$5:$F$304,对接源_01水果筐数!$B$5:$B$304,$B160,对接源_01水果筐数!$C$5:$C$304,基础资料!$B$7))</f>
        <v/>
      </c>
      <c r="AO160" s="25" t="str">
        <f>IF(OR($B160="",基础资料!$B$8=""),"",SUMIFS(对接源_01水果筐数!$F$5:$F$304,对接源_01水果筐数!$B$5:$B$304,$B160,对接源_01水果筐数!$C$5:$C$304,基础资料!$B$8))</f>
        <v/>
      </c>
      <c r="AP160" s="25" t="str">
        <f t="shared" si="29"/>
        <v/>
      </c>
      <c r="AQ160" s="25" t="str">
        <f t="shared" si="30"/>
        <v/>
      </c>
      <c r="AR160" s="25" t="str">
        <f t="shared" si="31"/>
        <v/>
      </c>
      <c r="AS160" s="25" t="str">
        <f t="shared" si="32"/>
        <v/>
      </c>
      <c r="AT160" s="25" t="str">
        <f t="shared" si="33"/>
        <v/>
      </c>
      <c r="AU160" s="25" t="str">
        <f t="shared" si="34"/>
        <v/>
      </c>
      <c r="AV160" s="24" t="str">
        <f t="shared" si="35"/>
        <v/>
      </c>
      <c r="AW160" s="72"/>
    </row>
    <row r="161" spans="1:49">
      <c r="A161" s="22" t="str">
        <f t="shared" si="24"/>
        <v/>
      </c>
      <c r="B161" s="24" t="str">
        <f>IFERROR(INDEX(_自动清单!$CC$4:$CC$253,ROW()-3),"")</f>
        <v/>
      </c>
      <c r="C161" s="25" t="str">
        <f>IF(OR($B161="",基础资料!$B$4=""),"",SUMIFS(周转筐出入库明细!$J$4:$J$2004,周转筐出入库明细!$C$4:$C$2004,$B161,周转筐出入库明细!$D$4:$D$2004,基础资料!$B$4,周转筐出入库明细!$B$4:$B$2004,"&gt;="&amp;$BC$1,周转筐出入库明细!$B$4:$B$2004,"&lt;="&amp;$BC$2))</f>
        <v/>
      </c>
      <c r="D161" s="25" t="str">
        <f>IF(OR($B161="",基础资料!$B$5=""),"",SUMIFS(周转筐出入库明细!$J$4:$J$2004,周转筐出入库明细!$C$4:$C$2004,$B161,周转筐出入库明细!$D$4:$D$2004,基础资料!$B$5,周转筐出入库明细!$B$4:$B$2004,"&gt;="&amp;$BC$1,周转筐出入库明细!$B$4:$B$2004,"&lt;="&amp;$BC$2))</f>
        <v/>
      </c>
      <c r="E161" s="25" t="str">
        <f>IF(OR($B161="",基础资料!$B$6=""),"",SUMIFS(周转筐出入库明细!$J$4:$J$2004,周转筐出入库明细!$C$4:$C$2004,$B161,周转筐出入库明细!$D$4:$D$2004,基础资料!$B$6,周转筐出入库明细!$B$4:$B$2004,"&gt;="&amp;$BC$1,周转筐出入库明细!$B$4:$B$2004,"&lt;="&amp;$BC$2))</f>
        <v/>
      </c>
      <c r="F161" s="25" t="str">
        <f>IF(OR($B161="",基础资料!$B$7=""),"",SUMIFS(周转筐出入库明细!$J$4:$J$2004,周转筐出入库明细!$C$4:$C$2004,$B161,周转筐出入库明细!$D$4:$D$2004,基础资料!$B$7,周转筐出入库明细!$B$4:$B$2004,"&gt;="&amp;$BC$1,周转筐出入库明细!$B$4:$B$2004,"&lt;="&amp;$BC$2))</f>
        <v/>
      </c>
      <c r="G161" s="25" t="str">
        <f>IF(OR($B161="",基础资料!$B$8=""),"",SUMIFS(周转筐出入库明细!$J$4:$J$2004,周转筐出入库明细!$C$4:$C$2004,$B161,周转筐出入库明细!$D$4:$D$2004,基础资料!$B$8,周转筐出入库明细!$B$4:$B$2004,"&gt;="&amp;$BC$1,周转筐出入库明细!$B$4:$B$2004,"&lt;="&amp;$BC$2))</f>
        <v/>
      </c>
      <c r="H161" s="25" t="str">
        <f t="shared" si="25"/>
        <v/>
      </c>
      <c r="I161" s="67" t="str">
        <f>IF(OR($B161="",基础资料!$B$4=""),"",-SUMIFS(周转筐出入库明细!$I$4:$I$2004,周转筐出入库明细!$C$4:$C$2004,$B161,周转筐出入库明细!$D$4:$D$2004,基础资料!$B$4,周转筐出入库明细!$B$4:$B$2004,"&gt;="&amp;$BC$1,周转筐出入库明细!$B$4:$B$2004,"&lt;="&amp;$BC$2))</f>
        <v/>
      </c>
      <c r="J161" s="67" t="str">
        <f>IF(OR($B161="",基础资料!$B$5=""),"",-SUMIFS(周转筐出入库明细!$I$4:$I$2004,周转筐出入库明细!$C$4:$C$2004,$B161,周转筐出入库明细!$D$4:$D$2004,基础资料!$B$5,周转筐出入库明细!$B$4:$B$2004,"&gt;="&amp;$BC$1,周转筐出入库明细!$B$4:$B$2004,"&lt;="&amp;$BC$2))</f>
        <v/>
      </c>
      <c r="K161" s="67" t="str">
        <f>IF(OR($B161="",基础资料!$B$6=""),"",-SUMIFS(周转筐出入库明细!$I$4:$I$2004,周转筐出入库明细!$C$4:$C$2004,$B161,周转筐出入库明细!$D$4:$D$2004,基础资料!$B$6,周转筐出入库明细!$B$4:$B$2004,"&gt;="&amp;$BC$1,周转筐出入库明细!$B$4:$B$2004,"&lt;="&amp;$BC$2))</f>
        <v/>
      </c>
      <c r="L161" s="67" t="str">
        <f>IF(OR($B161="",基础资料!$B$7=""),"",-SUMIFS(周转筐出入库明细!$I$4:$I$2004,周转筐出入库明细!$C$4:$C$2004,$B161,周转筐出入库明细!$D$4:$D$2004,基础资料!$B$7,周转筐出入库明细!$B$4:$B$2004,"&gt;="&amp;$BC$1,周转筐出入库明细!$B$4:$B$2004,"&lt;="&amp;$BC$2))</f>
        <v/>
      </c>
      <c r="M161" s="67" t="str">
        <f>IF(OR($B161="",基础资料!$B$8=""),"",-SUMIFS(周转筐出入库明细!$I$4:$I$2004,周转筐出入库明细!$C$4:$C$2004,$B161,周转筐出入库明细!$D$4:$D$2004,基础资料!$B$8,周转筐出入库明细!$B$4:$B$2004,"&gt;="&amp;$BC$1,周转筐出入库明细!$B$4:$B$2004,"&lt;="&amp;$BC$2))</f>
        <v/>
      </c>
      <c r="N161" s="67" t="str">
        <f t="shared" si="26"/>
        <v/>
      </c>
      <c r="O161" s="25" t="str">
        <f>IF(OR($B161="",基础资料!$B$4=""),"",SUMIFS(周转筐出入库明细!$H$4:$H$2004,周转筐出入库明细!$C$4:$C$2004,$B161,周转筐出入库明细!$D$4:$D$2004,基础资料!$B$4,周转筐出入库明细!$F$4:$F$2004,"采购入库",周转筐出入库明细!$B$4:$B$2004,"&gt;="&amp;$BC$1,周转筐出入库明细!$B$4:$B$2004,"&lt;="&amp;$BC$2))</f>
        <v/>
      </c>
      <c r="P161" s="25" t="str">
        <f>IF(OR($B161="",基础资料!$B$5=""),"",SUMIFS(周转筐出入库明细!$H$4:$H$2004,周转筐出入库明细!$C$4:$C$2004,$B161,周转筐出入库明细!$D$4:$D$2004,基础资料!$B$5,周转筐出入库明细!$F$4:$F$2004,"采购入库",周转筐出入库明细!$B$4:$B$2004,"&gt;="&amp;$BC$1,周转筐出入库明细!$B$4:$B$2004,"&lt;="&amp;$BC$2))</f>
        <v/>
      </c>
      <c r="Q161" s="25" t="str">
        <f>IF(OR($B161="",基础资料!$B$6=""),"",SUMIFS(周转筐出入库明细!$H$4:$H$2004,周转筐出入库明细!$C$4:$C$2004,$B161,周转筐出入库明细!$D$4:$D$2004,基础资料!$B$6,周转筐出入库明细!$F$4:$F$2004,"采购入库",周转筐出入库明细!$B$4:$B$2004,"&gt;="&amp;$BC$1,周转筐出入库明细!$B$4:$B$2004,"&lt;="&amp;$BC$2))</f>
        <v/>
      </c>
      <c r="R161" s="25" t="str">
        <f>IF(OR($B161="",基础资料!$B$7=""),"",SUMIFS(周转筐出入库明细!$H$4:$H$2004,周转筐出入库明细!$C$4:$C$2004,$B161,周转筐出入库明细!$D$4:$D$2004,基础资料!$B$7,周转筐出入库明细!$F$4:$F$2004,"采购入库",周转筐出入库明细!$B$4:$B$2004,"&gt;="&amp;$BC$1,周转筐出入库明细!$B$4:$B$2004,"&lt;="&amp;$BC$2))</f>
        <v/>
      </c>
      <c r="S161" s="25" t="str">
        <f>IF(OR($B161="",基础资料!$B$8=""),"",SUMIFS(周转筐出入库明细!$H$4:$H$2004,周转筐出入库明细!$C$4:$C$2004,$B161,周转筐出入库明细!$D$4:$D$2004,基础资料!$B$8,周转筐出入库明细!$F$4:$F$2004,"采购入库",周转筐出入库明细!$B$4:$B$2004,"&gt;="&amp;$BC$1,周转筐出入库明细!$B$4:$B$2004,"&lt;="&amp;$BC$2))</f>
        <v/>
      </c>
      <c r="T161" s="25" t="str">
        <f t="shared" si="27"/>
        <v/>
      </c>
      <c r="U161" s="25" t="str">
        <f>IF(OR($B161="",基础资料!$B$4=""),"",SUMIFS(周转筐出入库明细!$K$4:$K$2004,周转筐出入库明细!$C$4:$C$2004,$B161,周转筐出入库明细!$D$4:$D$2004,基础资料!$B$4,周转筐出入库明细!$B$4:$B$2004,"&gt;="&amp;$BC$1,周转筐出入库明细!$B$4:$B$2004,"&lt;="&amp;$BC$2))</f>
        <v/>
      </c>
      <c r="V161" s="25" t="str">
        <f>IF(OR($B161="",基础资料!$B$5=""),"",SUMIFS(周转筐出入库明细!$K$4:$K$2004,周转筐出入库明细!$C$4:$C$2004,$B161,周转筐出入库明细!$D$4:$D$2004,基础资料!$B$5,周转筐出入库明细!$B$4:$B$2004,"&gt;="&amp;$BC$1,周转筐出入库明细!$B$4:$B$2004,"&lt;="&amp;$BC$2))</f>
        <v/>
      </c>
      <c r="W161" s="25" t="str">
        <f>IF(OR($B161="",基础资料!$B$6=""),"",SUMIFS(周转筐出入库明细!$K$4:$K$2004,周转筐出入库明细!$C$4:$C$2004,$B161,周转筐出入库明细!$D$4:$D$2004,基础资料!$B$6,周转筐出入库明细!$B$4:$B$2004,"&gt;="&amp;$BC$1,周转筐出入库明细!$B$4:$B$2004,"&lt;="&amp;$BC$2))</f>
        <v/>
      </c>
      <c r="X161" s="25" t="str">
        <f>IF(OR($B161="",基础资料!$B$7=""),"",SUMIFS(周转筐出入库明细!$K$4:$K$2004,周转筐出入库明细!$C$4:$C$2004,$B161,周转筐出入库明细!$D$4:$D$2004,基础资料!$B$7,周转筐出入库明细!$B$4:$B$2004,"&gt;="&amp;$BC$1,周转筐出入库明细!$B$4:$B$2004,"&lt;="&amp;$BC$2))</f>
        <v/>
      </c>
      <c r="Y161" s="25" t="str">
        <f>IF(OR($B161="",基础资料!$B$8=""),"",SUMIFS(周转筐出入库明细!$K$4:$K$2004,周转筐出入库明细!$C$4:$C$2004,$B161,周转筐出入库明细!$D$4:$D$2004,基础资料!$B$8,周转筐出入库明细!$B$4:$B$2004,"&gt;="&amp;$BC$1,周转筐出入库明细!$B$4:$B$2004,"&lt;="&amp;$BC$2))</f>
        <v/>
      </c>
      <c r="Z161" s="25" t="str">
        <f t="shared" si="28"/>
        <v/>
      </c>
      <c r="AA161" s="67" t="str">
        <f>IF(OR($B161="",基础资料!$B$4=""),"",-SUMIFS(对接源_01水果筐数!$D$5:$D$304,对接源_01水果筐数!$B$5:$B$304,$B161,对接源_01水果筐数!$C$5:$C$304,基础资料!$B$4))</f>
        <v/>
      </c>
      <c r="AB161" s="67" t="str">
        <f>IF(OR($B161="",基础资料!$B$5=""),"",-SUMIFS(对接源_01水果筐数!$D$5:$D$304,对接源_01水果筐数!$B$5:$B$304,$B161,对接源_01水果筐数!$C$5:$C$304,基础资料!$B$5))</f>
        <v/>
      </c>
      <c r="AC161" s="67" t="str">
        <f>IF(OR($B161="",基础资料!$B$6=""),"",-SUMIFS(对接源_01水果筐数!$D$5:$D$304,对接源_01水果筐数!$B$5:$B$304,$B161,对接源_01水果筐数!$C$5:$C$304,基础资料!$B$6))</f>
        <v/>
      </c>
      <c r="AD161" s="67" t="str">
        <f>IF(OR($B161="",基础资料!$B$7=""),"",-SUMIFS(对接源_01水果筐数!$D$5:$D$304,对接源_01水果筐数!$B$5:$B$304,$B161,对接源_01水果筐数!$C$5:$C$304,基础资料!$B$7))</f>
        <v/>
      </c>
      <c r="AE161" s="67" t="str">
        <f>IF(OR($B161="",基础资料!$B$8=""),"",-SUMIFS(对接源_01水果筐数!$D$5:$D$304,对接源_01水果筐数!$B$5:$B$304,$B161,对接源_01水果筐数!$C$5:$C$304,基础资料!$B$8))</f>
        <v/>
      </c>
      <c r="AF161" s="25" t="str">
        <f>IF(OR($B161="",基础资料!$B$4=""),"",SUMIFS(对接源_01水果筐数!$E$5:$E$304,对接源_01水果筐数!$B$5:$B$304,$B161,对接源_01水果筐数!$C$5:$C$304,基础资料!$B$4))</f>
        <v/>
      </c>
      <c r="AG161" s="25" t="str">
        <f>IF(OR($B161="",基础资料!$B$5=""),"",SUMIFS(对接源_01水果筐数!$E$5:$E$304,对接源_01水果筐数!$B$5:$B$304,$B161,对接源_01水果筐数!$C$5:$C$304,基础资料!$B$5))</f>
        <v/>
      </c>
      <c r="AH161" s="25" t="str">
        <f>IF(OR($B161="",基础资料!$B$6=""),"",SUMIFS(对接源_01水果筐数!$E$5:$E$304,对接源_01水果筐数!$B$5:$B$304,$B161,对接源_01水果筐数!$C$5:$C$304,基础资料!$B$6))</f>
        <v/>
      </c>
      <c r="AI161" s="25" t="str">
        <f>IF(OR($B161="",基础资料!$B$7=""),"",SUMIFS(对接源_01水果筐数!$E$5:$E$304,对接源_01水果筐数!$B$5:$B$304,$B161,对接源_01水果筐数!$C$5:$C$304,基础资料!$B$7))</f>
        <v/>
      </c>
      <c r="AJ161" s="25" t="str">
        <f>IF(OR($B161="",基础资料!$B$8=""),"",SUMIFS(对接源_01水果筐数!$E$5:$E$304,对接源_01水果筐数!$B$5:$B$304,$B161,对接源_01水果筐数!$C$5:$C$304,基础资料!$B$8))</f>
        <v/>
      </c>
      <c r="AK161" s="25" t="str">
        <f>IF(OR($B161="",基础资料!$B$4=""),"",SUMIFS(对接源_01水果筐数!$F$5:$F$304,对接源_01水果筐数!$B$5:$B$304,$B161,对接源_01水果筐数!$C$5:$C$304,基础资料!$B$4))</f>
        <v/>
      </c>
      <c r="AL161" s="25" t="str">
        <f>IF(OR($B161="",基础资料!$B$5=""),"",SUMIFS(对接源_01水果筐数!$F$5:$F$304,对接源_01水果筐数!$B$5:$B$304,$B161,对接源_01水果筐数!$C$5:$C$304,基础资料!$B$5))</f>
        <v/>
      </c>
      <c r="AM161" s="25" t="str">
        <f>IF(OR($B161="",基础资料!$B$6=""),"",SUMIFS(对接源_01水果筐数!$F$5:$F$304,对接源_01水果筐数!$B$5:$B$304,$B161,对接源_01水果筐数!$C$5:$C$304,基础资料!$B$6))</f>
        <v/>
      </c>
      <c r="AN161" s="25" t="str">
        <f>IF(OR($B161="",基础资料!$B$7=""),"",SUMIFS(对接源_01水果筐数!$F$5:$F$304,对接源_01水果筐数!$B$5:$B$304,$B161,对接源_01水果筐数!$C$5:$C$304,基础资料!$B$7))</f>
        <v/>
      </c>
      <c r="AO161" s="25" t="str">
        <f>IF(OR($B161="",基础资料!$B$8=""),"",SUMIFS(对接源_01水果筐数!$F$5:$F$304,对接源_01水果筐数!$B$5:$B$304,$B161,对接源_01水果筐数!$C$5:$C$304,基础资料!$B$8))</f>
        <v/>
      </c>
      <c r="AP161" s="25" t="str">
        <f t="shared" si="29"/>
        <v/>
      </c>
      <c r="AQ161" s="25" t="str">
        <f t="shared" si="30"/>
        <v/>
      </c>
      <c r="AR161" s="25" t="str">
        <f t="shared" si="31"/>
        <v/>
      </c>
      <c r="AS161" s="25" t="str">
        <f t="shared" si="32"/>
        <v/>
      </c>
      <c r="AT161" s="25" t="str">
        <f t="shared" si="33"/>
        <v/>
      </c>
      <c r="AU161" s="25" t="str">
        <f t="shared" si="34"/>
        <v/>
      </c>
      <c r="AV161" s="24" t="str">
        <f t="shared" si="35"/>
        <v/>
      </c>
      <c r="AW161" s="72"/>
    </row>
    <row r="162" spans="1:49">
      <c r="A162" s="22" t="str">
        <f t="shared" si="24"/>
        <v/>
      </c>
      <c r="B162" s="24" t="str">
        <f>IFERROR(INDEX(_自动清单!$CC$4:$CC$253,ROW()-3),"")</f>
        <v/>
      </c>
      <c r="C162" s="25" t="str">
        <f>IF(OR($B162="",基础资料!$B$4=""),"",SUMIFS(周转筐出入库明细!$J$4:$J$2004,周转筐出入库明细!$C$4:$C$2004,$B162,周转筐出入库明细!$D$4:$D$2004,基础资料!$B$4,周转筐出入库明细!$B$4:$B$2004,"&gt;="&amp;$BC$1,周转筐出入库明细!$B$4:$B$2004,"&lt;="&amp;$BC$2))</f>
        <v/>
      </c>
      <c r="D162" s="25" t="str">
        <f>IF(OR($B162="",基础资料!$B$5=""),"",SUMIFS(周转筐出入库明细!$J$4:$J$2004,周转筐出入库明细!$C$4:$C$2004,$B162,周转筐出入库明细!$D$4:$D$2004,基础资料!$B$5,周转筐出入库明细!$B$4:$B$2004,"&gt;="&amp;$BC$1,周转筐出入库明细!$B$4:$B$2004,"&lt;="&amp;$BC$2))</f>
        <v/>
      </c>
      <c r="E162" s="25" t="str">
        <f>IF(OR($B162="",基础资料!$B$6=""),"",SUMIFS(周转筐出入库明细!$J$4:$J$2004,周转筐出入库明细!$C$4:$C$2004,$B162,周转筐出入库明细!$D$4:$D$2004,基础资料!$B$6,周转筐出入库明细!$B$4:$B$2004,"&gt;="&amp;$BC$1,周转筐出入库明细!$B$4:$B$2004,"&lt;="&amp;$BC$2))</f>
        <v/>
      </c>
      <c r="F162" s="25" t="str">
        <f>IF(OR($B162="",基础资料!$B$7=""),"",SUMIFS(周转筐出入库明细!$J$4:$J$2004,周转筐出入库明细!$C$4:$C$2004,$B162,周转筐出入库明细!$D$4:$D$2004,基础资料!$B$7,周转筐出入库明细!$B$4:$B$2004,"&gt;="&amp;$BC$1,周转筐出入库明细!$B$4:$B$2004,"&lt;="&amp;$BC$2))</f>
        <v/>
      </c>
      <c r="G162" s="25" t="str">
        <f>IF(OR($B162="",基础资料!$B$8=""),"",SUMIFS(周转筐出入库明细!$J$4:$J$2004,周转筐出入库明细!$C$4:$C$2004,$B162,周转筐出入库明细!$D$4:$D$2004,基础资料!$B$8,周转筐出入库明细!$B$4:$B$2004,"&gt;="&amp;$BC$1,周转筐出入库明细!$B$4:$B$2004,"&lt;="&amp;$BC$2))</f>
        <v/>
      </c>
      <c r="H162" s="25" t="str">
        <f t="shared" si="25"/>
        <v/>
      </c>
      <c r="I162" s="67" t="str">
        <f>IF(OR($B162="",基础资料!$B$4=""),"",-SUMIFS(周转筐出入库明细!$I$4:$I$2004,周转筐出入库明细!$C$4:$C$2004,$B162,周转筐出入库明细!$D$4:$D$2004,基础资料!$B$4,周转筐出入库明细!$B$4:$B$2004,"&gt;="&amp;$BC$1,周转筐出入库明细!$B$4:$B$2004,"&lt;="&amp;$BC$2))</f>
        <v/>
      </c>
      <c r="J162" s="67" t="str">
        <f>IF(OR($B162="",基础资料!$B$5=""),"",-SUMIFS(周转筐出入库明细!$I$4:$I$2004,周转筐出入库明细!$C$4:$C$2004,$B162,周转筐出入库明细!$D$4:$D$2004,基础资料!$B$5,周转筐出入库明细!$B$4:$B$2004,"&gt;="&amp;$BC$1,周转筐出入库明细!$B$4:$B$2004,"&lt;="&amp;$BC$2))</f>
        <v/>
      </c>
      <c r="K162" s="67" t="str">
        <f>IF(OR($B162="",基础资料!$B$6=""),"",-SUMIFS(周转筐出入库明细!$I$4:$I$2004,周转筐出入库明细!$C$4:$C$2004,$B162,周转筐出入库明细!$D$4:$D$2004,基础资料!$B$6,周转筐出入库明细!$B$4:$B$2004,"&gt;="&amp;$BC$1,周转筐出入库明细!$B$4:$B$2004,"&lt;="&amp;$BC$2))</f>
        <v/>
      </c>
      <c r="L162" s="67" t="str">
        <f>IF(OR($B162="",基础资料!$B$7=""),"",-SUMIFS(周转筐出入库明细!$I$4:$I$2004,周转筐出入库明细!$C$4:$C$2004,$B162,周转筐出入库明细!$D$4:$D$2004,基础资料!$B$7,周转筐出入库明细!$B$4:$B$2004,"&gt;="&amp;$BC$1,周转筐出入库明细!$B$4:$B$2004,"&lt;="&amp;$BC$2))</f>
        <v/>
      </c>
      <c r="M162" s="67" t="str">
        <f>IF(OR($B162="",基础资料!$B$8=""),"",-SUMIFS(周转筐出入库明细!$I$4:$I$2004,周转筐出入库明细!$C$4:$C$2004,$B162,周转筐出入库明细!$D$4:$D$2004,基础资料!$B$8,周转筐出入库明细!$B$4:$B$2004,"&gt;="&amp;$BC$1,周转筐出入库明细!$B$4:$B$2004,"&lt;="&amp;$BC$2))</f>
        <v/>
      </c>
      <c r="N162" s="67" t="str">
        <f t="shared" si="26"/>
        <v/>
      </c>
      <c r="O162" s="25" t="str">
        <f>IF(OR($B162="",基础资料!$B$4=""),"",SUMIFS(周转筐出入库明细!$H$4:$H$2004,周转筐出入库明细!$C$4:$C$2004,$B162,周转筐出入库明细!$D$4:$D$2004,基础资料!$B$4,周转筐出入库明细!$F$4:$F$2004,"采购入库",周转筐出入库明细!$B$4:$B$2004,"&gt;="&amp;$BC$1,周转筐出入库明细!$B$4:$B$2004,"&lt;="&amp;$BC$2))</f>
        <v/>
      </c>
      <c r="P162" s="25" t="str">
        <f>IF(OR($B162="",基础资料!$B$5=""),"",SUMIFS(周转筐出入库明细!$H$4:$H$2004,周转筐出入库明细!$C$4:$C$2004,$B162,周转筐出入库明细!$D$4:$D$2004,基础资料!$B$5,周转筐出入库明细!$F$4:$F$2004,"采购入库",周转筐出入库明细!$B$4:$B$2004,"&gt;="&amp;$BC$1,周转筐出入库明细!$B$4:$B$2004,"&lt;="&amp;$BC$2))</f>
        <v/>
      </c>
      <c r="Q162" s="25" t="str">
        <f>IF(OR($B162="",基础资料!$B$6=""),"",SUMIFS(周转筐出入库明细!$H$4:$H$2004,周转筐出入库明细!$C$4:$C$2004,$B162,周转筐出入库明细!$D$4:$D$2004,基础资料!$B$6,周转筐出入库明细!$F$4:$F$2004,"采购入库",周转筐出入库明细!$B$4:$B$2004,"&gt;="&amp;$BC$1,周转筐出入库明细!$B$4:$B$2004,"&lt;="&amp;$BC$2))</f>
        <v/>
      </c>
      <c r="R162" s="25" t="str">
        <f>IF(OR($B162="",基础资料!$B$7=""),"",SUMIFS(周转筐出入库明细!$H$4:$H$2004,周转筐出入库明细!$C$4:$C$2004,$B162,周转筐出入库明细!$D$4:$D$2004,基础资料!$B$7,周转筐出入库明细!$F$4:$F$2004,"采购入库",周转筐出入库明细!$B$4:$B$2004,"&gt;="&amp;$BC$1,周转筐出入库明细!$B$4:$B$2004,"&lt;="&amp;$BC$2))</f>
        <v/>
      </c>
      <c r="S162" s="25" t="str">
        <f>IF(OR($B162="",基础资料!$B$8=""),"",SUMIFS(周转筐出入库明细!$H$4:$H$2004,周转筐出入库明细!$C$4:$C$2004,$B162,周转筐出入库明细!$D$4:$D$2004,基础资料!$B$8,周转筐出入库明细!$F$4:$F$2004,"采购入库",周转筐出入库明细!$B$4:$B$2004,"&gt;="&amp;$BC$1,周转筐出入库明细!$B$4:$B$2004,"&lt;="&amp;$BC$2))</f>
        <v/>
      </c>
      <c r="T162" s="25" t="str">
        <f t="shared" si="27"/>
        <v/>
      </c>
      <c r="U162" s="25" t="str">
        <f>IF(OR($B162="",基础资料!$B$4=""),"",SUMIFS(周转筐出入库明细!$K$4:$K$2004,周转筐出入库明细!$C$4:$C$2004,$B162,周转筐出入库明细!$D$4:$D$2004,基础资料!$B$4,周转筐出入库明细!$B$4:$B$2004,"&gt;="&amp;$BC$1,周转筐出入库明细!$B$4:$B$2004,"&lt;="&amp;$BC$2))</f>
        <v/>
      </c>
      <c r="V162" s="25" t="str">
        <f>IF(OR($B162="",基础资料!$B$5=""),"",SUMIFS(周转筐出入库明细!$K$4:$K$2004,周转筐出入库明细!$C$4:$C$2004,$B162,周转筐出入库明细!$D$4:$D$2004,基础资料!$B$5,周转筐出入库明细!$B$4:$B$2004,"&gt;="&amp;$BC$1,周转筐出入库明细!$B$4:$B$2004,"&lt;="&amp;$BC$2))</f>
        <v/>
      </c>
      <c r="W162" s="25" t="str">
        <f>IF(OR($B162="",基础资料!$B$6=""),"",SUMIFS(周转筐出入库明细!$K$4:$K$2004,周转筐出入库明细!$C$4:$C$2004,$B162,周转筐出入库明细!$D$4:$D$2004,基础资料!$B$6,周转筐出入库明细!$B$4:$B$2004,"&gt;="&amp;$BC$1,周转筐出入库明细!$B$4:$B$2004,"&lt;="&amp;$BC$2))</f>
        <v/>
      </c>
      <c r="X162" s="25" t="str">
        <f>IF(OR($B162="",基础资料!$B$7=""),"",SUMIFS(周转筐出入库明细!$K$4:$K$2004,周转筐出入库明细!$C$4:$C$2004,$B162,周转筐出入库明细!$D$4:$D$2004,基础资料!$B$7,周转筐出入库明细!$B$4:$B$2004,"&gt;="&amp;$BC$1,周转筐出入库明细!$B$4:$B$2004,"&lt;="&amp;$BC$2))</f>
        <v/>
      </c>
      <c r="Y162" s="25" t="str">
        <f>IF(OR($B162="",基础资料!$B$8=""),"",SUMIFS(周转筐出入库明细!$K$4:$K$2004,周转筐出入库明细!$C$4:$C$2004,$B162,周转筐出入库明细!$D$4:$D$2004,基础资料!$B$8,周转筐出入库明细!$B$4:$B$2004,"&gt;="&amp;$BC$1,周转筐出入库明细!$B$4:$B$2004,"&lt;="&amp;$BC$2))</f>
        <v/>
      </c>
      <c r="Z162" s="25" t="str">
        <f t="shared" si="28"/>
        <v/>
      </c>
      <c r="AA162" s="67" t="str">
        <f>IF(OR($B162="",基础资料!$B$4=""),"",-SUMIFS(对接源_01水果筐数!$D$5:$D$304,对接源_01水果筐数!$B$5:$B$304,$B162,对接源_01水果筐数!$C$5:$C$304,基础资料!$B$4))</f>
        <v/>
      </c>
      <c r="AB162" s="67" t="str">
        <f>IF(OR($B162="",基础资料!$B$5=""),"",-SUMIFS(对接源_01水果筐数!$D$5:$D$304,对接源_01水果筐数!$B$5:$B$304,$B162,对接源_01水果筐数!$C$5:$C$304,基础资料!$B$5))</f>
        <v/>
      </c>
      <c r="AC162" s="67" t="str">
        <f>IF(OR($B162="",基础资料!$B$6=""),"",-SUMIFS(对接源_01水果筐数!$D$5:$D$304,对接源_01水果筐数!$B$5:$B$304,$B162,对接源_01水果筐数!$C$5:$C$304,基础资料!$B$6))</f>
        <v/>
      </c>
      <c r="AD162" s="67" t="str">
        <f>IF(OR($B162="",基础资料!$B$7=""),"",-SUMIFS(对接源_01水果筐数!$D$5:$D$304,对接源_01水果筐数!$B$5:$B$304,$B162,对接源_01水果筐数!$C$5:$C$304,基础资料!$B$7))</f>
        <v/>
      </c>
      <c r="AE162" s="67" t="str">
        <f>IF(OR($B162="",基础资料!$B$8=""),"",-SUMIFS(对接源_01水果筐数!$D$5:$D$304,对接源_01水果筐数!$B$5:$B$304,$B162,对接源_01水果筐数!$C$5:$C$304,基础资料!$B$8))</f>
        <v/>
      </c>
      <c r="AF162" s="25" t="str">
        <f>IF(OR($B162="",基础资料!$B$4=""),"",SUMIFS(对接源_01水果筐数!$E$5:$E$304,对接源_01水果筐数!$B$5:$B$304,$B162,对接源_01水果筐数!$C$5:$C$304,基础资料!$B$4))</f>
        <v/>
      </c>
      <c r="AG162" s="25" t="str">
        <f>IF(OR($B162="",基础资料!$B$5=""),"",SUMIFS(对接源_01水果筐数!$E$5:$E$304,对接源_01水果筐数!$B$5:$B$304,$B162,对接源_01水果筐数!$C$5:$C$304,基础资料!$B$5))</f>
        <v/>
      </c>
      <c r="AH162" s="25" t="str">
        <f>IF(OR($B162="",基础资料!$B$6=""),"",SUMIFS(对接源_01水果筐数!$E$5:$E$304,对接源_01水果筐数!$B$5:$B$304,$B162,对接源_01水果筐数!$C$5:$C$304,基础资料!$B$6))</f>
        <v/>
      </c>
      <c r="AI162" s="25" t="str">
        <f>IF(OR($B162="",基础资料!$B$7=""),"",SUMIFS(对接源_01水果筐数!$E$5:$E$304,对接源_01水果筐数!$B$5:$B$304,$B162,对接源_01水果筐数!$C$5:$C$304,基础资料!$B$7))</f>
        <v/>
      </c>
      <c r="AJ162" s="25" t="str">
        <f>IF(OR($B162="",基础资料!$B$8=""),"",SUMIFS(对接源_01水果筐数!$E$5:$E$304,对接源_01水果筐数!$B$5:$B$304,$B162,对接源_01水果筐数!$C$5:$C$304,基础资料!$B$8))</f>
        <v/>
      </c>
      <c r="AK162" s="25" t="str">
        <f>IF(OR($B162="",基础资料!$B$4=""),"",SUMIFS(对接源_01水果筐数!$F$5:$F$304,对接源_01水果筐数!$B$5:$B$304,$B162,对接源_01水果筐数!$C$5:$C$304,基础资料!$B$4))</f>
        <v/>
      </c>
      <c r="AL162" s="25" t="str">
        <f>IF(OR($B162="",基础资料!$B$5=""),"",SUMIFS(对接源_01水果筐数!$F$5:$F$304,对接源_01水果筐数!$B$5:$B$304,$B162,对接源_01水果筐数!$C$5:$C$304,基础资料!$B$5))</f>
        <v/>
      </c>
      <c r="AM162" s="25" t="str">
        <f>IF(OR($B162="",基础资料!$B$6=""),"",SUMIFS(对接源_01水果筐数!$F$5:$F$304,对接源_01水果筐数!$B$5:$B$304,$B162,对接源_01水果筐数!$C$5:$C$304,基础资料!$B$6))</f>
        <v/>
      </c>
      <c r="AN162" s="25" t="str">
        <f>IF(OR($B162="",基础资料!$B$7=""),"",SUMIFS(对接源_01水果筐数!$F$5:$F$304,对接源_01水果筐数!$B$5:$B$304,$B162,对接源_01水果筐数!$C$5:$C$304,基础资料!$B$7))</f>
        <v/>
      </c>
      <c r="AO162" s="25" t="str">
        <f>IF(OR($B162="",基础资料!$B$8=""),"",SUMIFS(对接源_01水果筐数!$F$5:$F$304,对接源_01水果筐数!$B$5:$B$304,$B162,对接源_01水果筐数!$C$5:$C$304,基础资料!$B$8))</f>
        <v/>
      </c>
      <c r="AP162" s="25" t="str">
        <f t="shared" si="29"/>
        <v/>
      </c>
      <c r="AQ162" s="25" t="str">
        <f t="shared" si="30"/>
        <v/>
      </c>
      <c r="AR162" s="25" t="str">
        <f t="shared" si="31"/>
        <v/>
      </c>
      <c r="AS162" s="25" t="str">
        <f t="shared" si="32"/>
        <v/>
      </c>
      <c r="AT162" s="25" t="str">
        <f t="shared" si="33"/>
        <v/>
      </c>
      <c r="AU162" s="25" t="str">
        <f t="shared" si="34"/>
        <v/>
      </c>
      <c r="AV162" s="24" t="str">
        <f t="shared" si="35"/>
        <v/>
      </c>
      <c r="AW162" s="72"/>
    </row>
    <row r="163" spans="1:49">
      <c r="A163" s="22" t="str">
        <f t="shared" si="24"/>
        <v/>
      </c>
      <c r="B163" s="24" t="str">
        <f>IFERROR(INDEX(_自动清单!$CC$4:$CC$253,ROW()-3),"")</f>
        <v/>
      </c>
      <c r="C163" s="25" t="str">
        <f>IF(OR($B163="",基础资料!$B$4=""),"",SUMIFS(周转筐出入库明细!$J$4:$J$2004,周转筐出入库明细!$C$4:$C$2004,$B163,周转筐出入库明细!$D$4:$D$2004,基础资料!$B$4,周转筐出入库明细!$B$4:$B$2004,"&gt;="&amp;$BC$1,周转筐出入库明细!$B$4:$B$2004,"&lt;="&amp;$BC$2))</f>
        <v/>
      </c>
      <c r="D163" s="25" t="str">
        <f>IF(OR($B163="",基础资料!$B$5=""),"",SUMIFS(周转筐出入库明细!$J$4:$J$2004,周转筐出入库明细!$C$4:$C$2004,$B163,周转筐出入库明细!$D$4:$D$2004,基础资料!$B$5,周转筐出入库明细!$B$4:$B$2004,"&gt;="&amp;$BC$1,周转筐出入库明细!$B$4:$B$2004,"&lt;="&amp;$BC$2))</f>
        <v/>
      </c>
      <c r="E163" s="25" t="str">
        <f>IF(OR($B163="",基础资料!$B$6=""),"",SUMIFS(周转筐出入库明细!$J$4:$J$2004,周转筐出入库明细!$C$4:$C$2004,$B163,周转筐出入库明细!$D$4:$D$2004,基础资料!$B$6,周转筐出入库明细!$B$4:$B$2004,"&gt;="&amp;$BC$1,周转筐出入库明细!$B$4:$B$2004,"&lt;="&amp;$BC$2))</f>
        <v/>
      </c>
      <c r="F163" s="25" t="str">
        <f>IF(OR($B163="",基础资料!$B$7=""),"",SUMIFS(周转筐出入库明细!$J$4:$J$2004,周转筐出入库明细!$C$4:$C$2004,$B163,周转筐出入库明细!$D$4:$D$2004,基础资料!$B$7,周转筐出入库明细!$B$4:$B$2004,"&gt;="&amp;$BC$1,周转筐出入库明细!$B$4:$B$2004,"&lt;="&amp;$BC$2))</f>
        <v/>
      </c>
      <c r="G163" s="25" t="str">
        <f>IF(OR($B163="",基础资料!$B$8=""),"",SUMIFS(周转筐出入库明细!$J$4:$J$2004,周转筐出入库明细!$C$4:$C$2004,$B163,周转筐出入库明细!$D$4:$D$2004,基础资料!$B$8,周转筐出入库明细!$B$4:$B$2004,"&gt;="&amp;$BC$1,周转筐出入库明细!$B$4:$B$2004,"&lt;="&amp;$BC$2))</f>
        <v/>
      </c>
      <c r="H163" s="25" t="str">
        <f t="shared" si="25"/>
        <v/>
      </c>
      <c r="I163" s="67" t="str">
        <f>IF(OR($B163="",基础资料!$B$4=""),"",-SUMIFS(周转筐出入库明细!$I$4:$I$2004,周转筐出入库明细!$C$4:$C$2004,$B163,周转筐出入库明细!$D$4:$D$2004,基础资料!$B$4,周转筐出入库明细!$B$4:$B$2004,"&gt;="&amp;$BC$1,周转筐出入库明细!$B$4:$B$2004,"&lt;="&amp;$BC$2))</f>
        <v/>
      </c>
      <c r="J163" s="67" t="str">
        <f>IF(OR($B163="",基础资料!$B$5=""),"",-SUMIFS(周转筐出入库明细!$I$4:$I$2004,周转筐出入库明细!$C$4:$C$2004,$B163,周转筐出入库明细!$D$4:$D$2004,基础资料!$B$5,周转筐出入库明细!$B$4:$B$2004,"&gt;="&amp;$BC$1,周转筐出入库明细!$B$4:$B$2004,"&lt;="&amp;$BC$2))</f>
        <v/>
      </c>
      <c r="K163" s="67" t="str">
        <f>IF(OR($B163="",基础资料!$B$6=""),"",-SUMIFS(周转筐出入库明细!$I$4:$I$2004,周转筐出入库明细!$C$4:$C$2004,$B163,周转筐出入库明细!$D$4:$D$2004,基础资料!$B$6,周转筐出入库明细!$B$4:$B$2004,"&gt;="&amp;$BC$1,周转筐出入库明细!$B$4:$B$2004,"&lt;="&amp;$BC$2))</f>
        <v/>
      </c>
      <c r="L163" s="67" t="str">
        <f>IF(OR($B163="",基础资料!$B$7=""),"",-SUMIFS(周转筐出入库明细!$I$4:$I$2004,周转筐出入库明细!$C$4:$C$2004,$B163,周转筐出入库明细!$D$4:$D$2004,基础资料!$B$7,周转筐出入库明细!$B$4:$B$2004,"&gt;="&amp;$BC$1,周转筐出入库明细!$B$4:$B$2004,"&lt;="&amp;$BC$2))</f>
        <v/>
      </c>
      <c r="M163" s="67" t="str">
        <f>IF(OR($B163="",基础资料!$B$8=""),"",-SUMIFS(周转筐出入库明细!$I$4:$I$2004,周转筐出入库明细!$C$4:$C$2004,$B163,周转筐出入库明细!$D$4:$D$2004,基础资料!$B$8,周转筐出入库明细!$B$4:$B$2004,"&gt;="&amp;$BC$1,周转筐出入库明细!$B$4:$B$2004,"&lt;="&amp;$BC$2))</f>
        <v/>
      </c>
      <c r="N163" s="67" t="str">
        <f t="shared" si="26"/>
        <v/>
      </c>
      <c r="O163" s="25" t="str">
        <f>IF(OR($B163="",基础资料!$B$4=""),"",SUMIFS(周转筐出入库明细!$H$4:$H$2004,周转筐出入库明细!$C$4:$C$2004,$B163,周转筐出入库明细!$D$4:$D$2004,基础资料!$B$4,周转筐出入库明细!$F$4:$F$2004,"采购入库",周转筐出入库明细!$B$4:$B$2004,"&gt;="&amp;$BC$1,周转筐出入库明细!$B$4:$B$2004,"&lt;="&amp;$BC$2))</f>
        <v/>
      </c>
      <c r="P163" s="25" t="str">
        <f>IF(OR($B163="",基础资料!$B$5=""),"",SUMIFS(周转筐出入库明细!$H$4:$H$2004,周转筐出入库明细!$C$4:$C$2004,$B163,周转筐出入库明细!$D$4:$D$2004,基础资料!$B$5,周转筐出入库明细!$F$4:$F$2004,"采购入库",周转筐出入库明细!$B$4:$B$2004,"&gt;="&amp;$BC$1,周转筐出入库明细!$B$4:$B$2004,"&lt;="&amp;$BC$2))</f>
        <v/>
      </c>
      <c r="Q163" s="25" t="str">
        <f>IF(OR($B163="",基础资料!$B$6=""),"",SUMIFS(周转筐出入库明细!$H$4:$H$2004,周转筐出入库明细!$C$4:$C$2004,$B163,周转筐出入库明细!$D$4:$D$2004,基础资料!$B$6,周转筐出入库明细!$F$4:$F$2004,"采购入库",周转筐出入库明细!$B$4:$B$2004,"&gt;="&amp;$BC$1,周转筐出入库明细!$B$4:$B$2004,"&lt;="&amp;$BC$2))</f>
        <v/>
      </c>
      <c r="R163" s="25" t="str">
        <f>IF(OR($B163="",基础资料!$B$7=""),"",SUMIFS(周转筐出入库明细!$H$4:$H$2004,周转筐出入库明细!$C$4:$C$2004,$B163,周转筐出入库明细!$D$4:$D$2004,基础资料!$B$7,周转筐出入库明细!$F$4:$F$2004,"采购入库",周转筐出入库明细!$B$4:$B$2004,"&gt;="&amp;$BC$1,周转筐出入库明细!$B$4:$B$2004,"&lt;="&amp;$BC$2))</f>
        <v/>
      </c>
      <c r="S163" s="25" t="str">
        <f>IF(OR($B163="",基础资料!$B$8=""),"",SUMIFS(周转筐出入库明细!$H$4:$H$2004,周转筐出入库明细!$C$4:$C$2004,$B163,周转筐出入库明细!$D$4:$D$2004,基础资料!$B$8,周转筐出入库明细!$F$4:$F$2004,"采购入库",周转筐出入库明细!$B$4:$B$2004,"&gt;="&amp;$BC$1,周转筐出入库明细!$B$4:$B$2004,"&lt;="&amp;$BC$2))</f>
        <v/>
      </c>
      <c r="T163" s="25" t="str">
        <f t="shared" si="27"/>
        <v/>
      </c>
      <c r="U163" s="25" t="str">
        <f>IF(OR($B163="",基础资料!$B$4=""),"",SUMIFS(周转筐出入库明细!$K$4:$K$2004,周转筐出入库明细!$C$4:$C$2004,$B163,周转筐出入库明细!$D$4:$D$2004,基础资料!$B$4,周转筐出入库明细!$B$4:$B$2004,"&gt;="&amp;$BC$1,周转筐出入库明细!$B$4:$B$2004,"&lt;="&amp;$BC$2))</f>
        <v/>
      </c>
      <c r="V163" s="25" t="str">
        <f>IF(OR($B163="",基础资料!$B$5=""),"",SUMIFS(周转筐出入库明细!$K$4:$K$2004,周转筐出入库明细!$C$4:$C$2004,$B163,周转筐出入库明细!$D$4:$D$2004,基础资料!$B$5,周转筐出入库明细!$B$4:$B$2004,"&gt;="&amp;$BC$1,周转筐出入库明细!$B$4:$B$2004,"&lt;="&amp;$BC$2))</f>
        <v/>
      </c>
      <c r="W163" s="25" t="str">
        <f>IF(OR($B163="",基础资料!$B$6=""),"",SUMIFS(周转筐出入库明细!$K$4:$K$2004,周转筐出入库明细!$C$4:$C$2004,$B163,周转筐出入库明细!$D$4:$D$2004,基础资料!$B$6,周转筐出入库明细!$B$4:$B$2004,"&gt;="&amp;$BC$1,周转筐出入库明细!$B$4:$B$2004,"&lt;="&amp;$BC$2))</f>
        <v/>
      </c>
      <c r="X163" s="25" t="str">
        <f>IF(OR($B163="",基础资料!$B$7=""),"",SUMIFS(周转筐出入库明细!$K$4:$K$2004,周转筐出入库明细!$C$4:$C$2004,$B163,周转筐出入库明细!$D$4:$D$2004,基础资料!$B$7,周转筐出入库明细!$B$4:$B$2004,"&gt;="&amp;$BC$1,周转筐出入库明细!$B$4:$B$2004,"&lt;="&amp;$BC$2))</f>
        <v/>
      </c>
      <c r="Y163" s="25" t="str">
        <f>IF(OR($B163="",基础资料!$B$8=""),"",SUMIFS(周转筐出入库明细!$K$4:$K$2004,周转筐出入库明细!$C$4:$C$2004,$B163,周转筐出入库明细!$D$4:$D$2004,基础资料!$B$8,周转筐出入库明细!$B$4:$B$2004,"&gt;="&amp;$BC$1,周转筐出入库明细!$B$4:$B$2004,"&lt;="&amp;$BC$2))</f>
        <v/>
      </c>
      <c r="Z163" s="25" t="str">
        <f t="shared" si="28"/>
        <v/>
      </c>
      <c r="AA163" s="67" t="str">
        <f>IF(OR($B163="",基础资料!$B$4=""),"",-SUMIFS(对接源_01水果筐数!$D$5:$D$304,对接源_01水果筐数!$B$5:$B$304,$B163,对接源_01水果筐数!$C$5:$C$304,基础资料!$B$4))</f>
        <v/>
      </c>
      <c r="AB163" s="67" t="str">
        <f>IF(OR($B163="",基础资料!$B$5=""),"",-SUMIFS(对接源_01水果筐数!$D$5:$D$304,对接源_01水果筐数!$B$5:$B$304,$B163,对接源_01水果筐数!$C$5:$C$304,基础资料!$B$5))</f>
        <v/>
      </c>
      <c r="AC163" s="67" t="str">
        <f>IF(OR($B163="",基础资料!$B$6=""),"",-SUMIFS(对接源_01水果筐数!$D$5:$D$304,对接源_01水果筐数!$B$5:$B$304,$B163,对接源_01水果筐数!$C$5:$C$304,基础资料!$B$6))</f>
        <v/>
      </c>
      <c r="AD163" s="67" t="str">
        <f>IF(OR($B163="",基础资料!$B$7=""),"",-SUMIFS(对接源_01水果筐数!$D$5:$D$304,对接源_01水果筐数!$B$5:$B$304,$B163,对接源_01水果筐数!$C$5:$C$304,基础资料!$B$7))</f>
        <v/>
      </c>
      <c r="AE163" s="67" t="str">
        <f>IF(OR($B163="",基础资料!$B$8=""),"",-SUMIFS(对接源_01水果筐数!$D$5:$D$304,对接源_01水果筐数!$B$5:$B$304,$B163,对接源_01水果筐数!$C$5:$C$304,基础资料!$B$8))</f>
        <v/>
      </c>
      <c r="AF163" s="25" t="str">
        <f>IF(OR($B163="",基础资料!$B$4=""),"",SUMIFS(对接源_01水果筐数!$E$5:$E$304,对接源_01水果筐数!$B$5:$B$304,$B163,对接源_01水果筐数!$C$5:$C$304,基础资料!$B$4))</f>
        <v/>
      </c>
      <c r="AG163" s="25" t="str">
        <f>IF(OR($B163="",基础资料!$B$5=""),"",SUMIFS(对接源_01水果筐数!$E$5:$E$304,对接源_01水果筐数!$B$5:$B$304,$B163,对接源_01水果筐数!$C$5:$C$304,基础资料!$B$5))</f>
        <v/>
      </c>
      <c r="AH163" s="25" t="str">
        <f>IF(OR($B163="",基础资料!$B$6=""),"",SUMIFS(对接源_01水果筐数!$E$5:$E$304,对接源_01水果筐数!$B$5:$B$304,$B163,对接源_01水果筐数!$C$5:$C$304,基础资料!$B$6))</f>
        <v/>
      </c>
      <c r="AI163" s="25" t="str">
        <f>IF(OR($B163="",基础资料!$B$7=""),"",SUMIFS(对接源_01水果筐数!$E$5:$E$304,对接源_01水果筐数!$B$5:$B$304,$B163,对接源_01水果筐数!$C$5:$C$304,基础资料!$B$7))</f>
        <v/>
      </c>
      <c r="AJ163" s="25" t="str">
        <f>IF(OR($B163="",基础资料!$B$8=""),"",SUMIFS(对接源_01水果筐数!$E$5:$E$304,对接源_01水果筐数!$B$5:$B$304,$B163,对接源_01水果筐数!$C$5:$C$304,基础资料!$B$8))</f>
        <v/>
      </c>
      <c r="AK163" s="25" t="str">
        <f>IF(OR($B163="",基础资料!$B$4=""),"",SUMIFS(对接源_01水果筐数!$F$5:$F$304,对接源_01水果筐数!$B$5:$B$304,$B163,对接源_01水果筐数!$C$5:$C$304,基础资料!$B$4))</f>
        <v/>
      </c>
      <c r="AL163" s="25" t="str">
        <f>IF(OR($B163="",基础资料!$B$5=""),"",SUMIFS(对接源_01水果筐数!$F$5:$F$304,对接源_01水果筐数!$B$5:$B$304,$B163,对接源_01水果筐数!$C$5:$C$304,基础资料!$B$5))</f>
        <v/>
      </c>
      <c r="AM163" s="25" t="str">
        <f>IF(OR($B163="",基础资料!$B$6=""),"",SUMIFS(对接源_01水果筐数!$F$5:$F$304,对接源_01水果筐数!$B$5:$B$304,$B163,对接源_01水果筐数!$C$5:$C$304,基础资料!$B$6))</f>
        <v/>
      </c>
      <c r="AN163" s="25" t="str">
        <f>IF(OR($B163="",基础资料!$B$7=""),"",SUMIFS(对接源_01水果筐数!$F$5:$F$304,对接源_01水果筐数!$B$5:$B$304,$B163,对接源_01水果筐数!$C$5:$C$304,基础资料!$B$7))</f>
        <v/>
      </c>
      <c r="AO163" s="25" t="str">
        <f>IF(OR($B163="",基础资料!$B$8=""),"",SUMIFS(对接源_01水果筐数!$F$5:$F$304,对接源_01水果筐数!$B$5:$B$304,$B163,对接源_01水果筐数!$C$5:$C$304,基础资料!$B$8))</f>
        <v/>
      </c>
      <c r="AP163" s="25" t="str">
        <f t="shared" si="29"/>
        <v/>
      </c>
      <c r="AQ163" s="25" t="str">
        <f t="shared" si="30"/>
        <v/>
      </c>
      <c r="AR163" s="25" t="str">
        <f t="shared" si="31"/>
        <v/>
      </c>
      <c r="AS163" s="25" t="str">
        <f t="shared" si="32"/>
        <v/>
      </c>
      <c r="AT163" s="25" t="str">
        <f t="shared" si="33"/>
        <v/>
      </c>
      <c r="AU163" s="25" t="str">
        <f t="shared" si="34"/>
        <v/>
      </c>
      <c r="AV163" s="24" t="str">
        <f t="shared" si="35"/>
        <v/>
      </c>
      <c r="AW163" s="72"/>
    </row>
    <row r="164" spans="1:49">
      <c r="A164" s="22" t="str">
        <f t="shared" si="24"/>
        <v/>
      </c>
      <c r="B164" s="24" t="str">
        <f>IFERROR(INDEX(_自动清单!$CC$4:$CC$253,ROW()-3),"")</f>
        <v/>
      </c>
      <c r="C164" s="25" t="str">
        <f>IF(OR($B164="",基础资料!$B$4=""),"",SUMIFS(周转筐出入库明细!$J$4:$J$2004,周转筐出入库明细!$C$4:$C$2004,$B164,周转筐出入库明细!$D$4:$D$2004,基础资料!$B$4,周转筐出入库明细!$B$4:$B$2004,"&gt;="&amp;$BC$1,周转筐出入库明细!$B$4:$B$2004,"&lt;="&amp;$BC$2))</f>
        <v/>
      </c>
      <c r="D164" s="25" t="str">
        <f>IF(OR($B164="",基础资料!$B$5=""),"",SUMIFS(周转筐出入库明细!$J$4:$J$2004,周转筐出入库明细!$C$4:$C$2004,$B164,周转筐出入库明细!$D$4:$D$2004,基础资料!$B$5,周转筐出入库明细!$B$4:$B$2004,"&gt;="&amp;$BC$1,周转筐出入库明细!$B$4:$B$2004,"&lt;="&amp;$BC$2))</f>
        <v/>
      </c>
      <c r="E164" s="25" t="str">
        <f>IF(OR($B164="",基础资料!$B$6=""),"",SUMIFS(周转筐出入库明细!$J$4:$J$2004,周转筐出入库明细!$C$4:$C$2004,$B164,周转筐出入库明细!$D$4:$D$2004,基础资料!$B$6,周转筐出入库明细!$B$4:$B$2004,"&gt;="&amp;$BC$1,周转筐出入库明细!$B$4:$B$2004,"&lt;="&amp;$BC$2))</f>
        <v/>
      </c>
      <c r="F164" s="25" t="str">
        <f>IF(OR($B164="",基础资料!$B$7=""),"",SUMIFS(周转筐出入库明细!$J$4:$J$2004,周转筐出入库明细!$C$4:$C$2004,$B164,周转筐出入库明细!$D$4:$D$2004,基础资料!$B$7,周转筐出入库明细!$B$4:$B$2004,"&gt;="&amp;$BC$1,周转筐出入库明细!$B$4:$B$2004,"&lt;="&amp;$BC$2))</f>
        <v/>
      </c>
      <c r="G164" s="25" t="str">
        <f>IF(OR($B164="",基础资料!$B$8=""),"",SUMIFS(周转筐出入库明细!$J$4:$J$2004,周转筐出入库明细!$C$4:$C$2004,$B164,周转筐出入库明细!$D$4:$D$2004,基础资料!$B$8,周转筐出入库明细!$B$4:$B$2004,"&gt;="&amp;$BC$1,周转筐出入库明细!$B$4:$B$2004,"&lt;="&amp;$BC$2))</f>
        <v/>
      </c>
      <c r="H164" s="25" t="str">
        <f t="shared" si="25"/>
        <v/>
      </c>
      <c r="I164" s="67" t="str">
        <f>IF(OR($B164="",基础资料!$B$4=""),"",-SUMIFS(周转筐出入库明细!$I$4:$I$2004,周转筐出入库明细!$C$4:$C$2004,$B164,周转筐出入库明细!$D$4:$D$2004,基础资料!$B$4,周转筐出入库明细!$B$4:$B$2004,"&gt;="&amp;$BC$1,周转筐出入库明细!$B$4:$B$2004,"&lt;="&amp;$BC$2))</f>
        <v/>
      </c>
      <c r="J164" s="67" t="str">
        <f>IF(OR($B164="",基础资料!$B$5=""),"",-SUMIFS(周转筐出入库明细!$I$4:$I$2004,周转筐出入库明细!$C$4:$C$2004,$B164,周转筐出入库明细!$D$4:$D$2004,基础资料!$B$5,周转筐出入库明细!$B$4:$B$2004,"&gt;="&amp;$BC$1,周转筐出入库明细!$B$4:$B$2004,"&lt;="&amp;$BC$2))</f>
        <v/>
      </c>
      <c r="K164" s="67" t="str">
        <f>IF(OR($B164="",基础资料!$B$6=""),"",-SUMIFS(周转筐出入库明细!$I$4:$I$2004,周转筐出入库明细!$C$4:$C$2004,$B164,周转筐出入库明细!$D$4:$D$2004,基础资料!$B$6,周转筐出入库明细!$B$4:$B$2004,"&gt;="&amp;$BC$1,周转筐出入库明细!$B$4:$B$2004,"&lt;="&amp;$BC$2))</f>
        <v/>
      </c>
      <c r="L164" s="67" t="str">
        <f>IF(OR($B164="",基础资料!$B$7=""),"",-SUMIFS(周转筐出入库明细!$I$4:$I$2004,周转筐出入库明细!$C$4:$C$2004,$B164,周转筐出入库明细!$D$4:$D$2004,基础资料!$B$7,周转筐出入库明细!$B$4:$B$2004,"&gt;="&amp;$BC$1,周转筐出入库明细!$B$4:$B$2004,"&lt;="&amp;$BC$2))</f>
        <v/>
      </c>
      <c r="M164" s="67" t="str">
        <f>IF(OR($B164="",基础资料!$B$8=""),"",-SUMIFS(周转筐出入库明细!$I$4:$I$2004,周转筐出入库明细!$C$4:$C$2004,$B164,周转筐出入库明细!$D$4:$D$2004,基础资料!$B$8,周转筐出入库明细!$B$4:$B$2004,"&gt;="&amp;$BC$1,周转筐出入库明细!$B$4:$B$2004,"&lt;="&amp;$BC$2))</f>
        <v/>
      </c>
      <c r="N164" s="67" t="str">
        <f t="shared" si="26"/>
        <v/>
      </c>
      <c r="O164" s="25" t="str">
        <f>IF(OR($B164="",基础资料!$B$4=""),"",SUMIFS(周转筐出入库明细!$H$4:$H$2004,周转筐出入库明细!$C$4:$C$2004,$B164,周转筐出入库明细!$D$4:$D$2004,基础资料!$B$4,周转筐出入库明细!$F$4:$F$2004,"采购入库",周转筐出入库明细!$B$4:$B$2004,"&gt;="&amp;$BC$1,周转筐出入库明细!$B$4:$B$2004,"&lt;="&amp;$BC$2))</f>
        <v/>
      </c>
      <c r="P164" s="25" t="str">
        <f>IF(OR($B164="",基础资料!$B$5=""),"",SUMIFS(周转筐出入库明细!$H$4:$H$2004,周转筐出入库明细!$C$4:$C$2004,$B164,周转筐出入库明细!$D$4:$D$2004,基础资料!$B$5,周转筐出入库明细!$F$4:$F$2004,"采购入库",周转筐出入库明细!$B$4:$B$2004,"&gt;="&amp;$BC$1,周转筐出入库明细!$B$4:$B$2004,"&lt;="&amp;$BC$2))</f>
        <v/>
      </c>
      <c r="Q164" s="25" t="str">
        <f>IF(OR($B164="",基础资料!$B$6=""),"",SUMIFS(周转筐出入库明细!$H$4:$H$2004,周转筐出入库明细!$C$4:$C$2004,$B164,周转筐出入库明细!$D$4:$D$2004,基础资料!$B$6,周转筐出入库明细!$F$4:$F$2004,"采购入库",周转筐出入库明细!$B$4:$B$2004,"&gt;="&amp;$BC$1,周转筐出入库明细!$B$4:$B$2004,"&lt;="&amp;$BC$2))</f>
        <v/>
      </c>
      <c r="R164" s="25" t="str">
        <f>IF(OR($B164="",基础资料!$B$7=""),"",SUMIFS(周转筐出入库明细!$H$4:$H$2004,周转筐出入库明细!$C$4:$C$2004,$B164,周转筐出入库明细!$D$4:$D$2004,基础资料!$B$7,周转筐出入库明细!$F$4:$F$2004,"采购入库",周转筐出入库明细!$B$4:$B$2004,"&gt;="&amp;$BC$1,周转筐出入库明细!$B$4:$B$2004,"&lt;="&amp;$BC$2))</f>
        <v/>
      </c>
      <c r="S164" s="25" t="str">
        <f>IF(OR($B164="",基础资料!$B$8=""),"",SUMIFS(周转筐出入库明细!$H$4:$H$2004,周转筐出入库明细!$C$4:$C$2004,$B164,周转筐出入库明细!$D$4:$D$2004,基础资料!$B$8,周转筐出入库明细!$F$4:$F$2004,"采购入库",周转筐出入库明细!$B$4:$B$2004,"&gt;="&amp;$BC$1,周转筐出入库明细!$B$4:$B$2004,"&lt;="&amp;$BC$2))</f>
        <v/>
      </c>
      <c r="T164" s="25" t="str">
        <f t="shared" si="27"/>
        <v/>
      </c>
      <c r="U164" s="25" t="str">
        <f>IF(OR($B164="",基础资料!$B$4=""),"",SUMIFS(周转筐出入库明细!$K$4:$K$2004,周转筐出入库明细!$C$4:$C$2004,$B164,周转筐出入库明细!$D$4:$D$2004,基础资料!$B$4,周转筐出入库明细!$B$4:$B$2004,"&gt;="&amp;$BC$1,周转筐出入库明细!$B$4:$B$2004,"&lt;="&amp;$BC$2))</f>
        <v/>
      </c>
      <c r="V164" s="25" t="str">
        <f>IF(OR($B164="",基础资料!$B$5=""),"",SUMIFS(周转筐出入库明细!$K$4:$K$2004,周转筐出入库明细!$C$4:$C$2004,$B164,周转筐出入库明细!$D$4:$D$2004,基础资料!$B$5,周转筐出入库明细!$B$4:$B$2004,"&gt;="&amp;$BC$1,周转筐出入库明细!$B$4:$B$2004,"&lt;="&amp;$BC$2))</f>
        <v/>
      </c>
      <c r="W164" s="25" t="str">
        <f>IF(OR($B164="",基础资料!$B$6=""),"",SUMIFS(周转筐出入库明细!$K$4:$K$2004,周转筐出入库明细!$C$4:$C$2004,$B164,周转筐出入库明细!$D$4:$D$2004,基础资料!$B$6,周转筐出入库明细!$B$4:$B$2004,"&gt;="&amp;$BC$1,周转筐出入库明细!$B$4:$B$2004,"&lt;="&amp;$BC$2))</f>
        <v/>
      </c>
      <c r="X164" s="25" t="str">
        <f>IF(OR($B164="",基础资料!$B$7=""),"",SUMIFS(周转筐出入库明细!$K$4:$K$2004,周转筐出入库明细!$C$4:$C$2004,$B164,周转筐出入库明细!$D$4:$D$2004,基础资料!$B$7,周转筐出入库明细!$B$4:$B$2004,"&gt;="&amp;$BC$1,周转筐出入库明细!$B$4:$B$2004,"&lt;="&amp;$BC$2))</f>
        <v/>
      </c>
      <c r="Y164" s="25" t="str">
        <f>IF(OR($B164="",基础资料!$B$8=""),"",SUMIFS(周转筐出入库明细!$K$4:$K$2004,周转筐出入库明细!$C$4:$C$2004,$B164,周转筐出入库明细!$D$4:$D$2004,基础资料!$B$8,周转筐出入库明细!$B$4:$B$2004,"&gt;="&amp;$BC$1,周转筐出入库明细!$B$4:$B$2004,"&lt;="&amp;$BC$2))</f>
        <v/>
      </c>
      <c r="Z164" s="25" t="str">
        <f t="shared" si="28"/>
        <v/>
      </c>
      <c r="AA164" s="67" t="str">
        <f>IF(OR($B164="",基础资料!$B$4=""),"",-SUMIFS(对接源_01水果筐数!$D$5:$D$304,对接源_01水果筐数!$B$5:$B$304,$B164,对接源_01水果筐数!$C$5:$C$304,基础资料!$B$4))</f>
        <v/>
      </c>
      <c r="AB164" s="67" t="str">
        <f>IF(OR($B164="",基础资料!$B$5=""),"",-SUMIFS(对接源_01水果筐数!$D$5:$D$304,对接源_01水果筐数!$B$5:$B$304,$B164,对接源_01水果筐数!$C$5:$C$304,基础资料!$B$5))</f>
        <v/>
      </c>
      <c r="AC164" s="67" t="str">
        <f>IF(OR($B164="",基础资料!$B$6=""),"",-SUMIFS(对接源_01水果筐数!$D$5:$D$304,对接源_01水果筐数!$B$5:$B$304,$B164,对接源_01水果筐数!$C$5:$C$304,基础资料!$B$6))</f>
        <v/>
      </c>
      <c r="AD164" s="67" t="str">
        <f>IF(OR($B164="",基础资料!$B$7=""),"",-SUMIFS(对接源_01水果筐数!$D$5:$D$304,对接源_01水果筐数!$B$5:$B$304,$B164,对接源_01水果筐数!$C$5:$C$304,基础资料!$B$7))</f>
        <v/>
      </c>
      <c r="AE164" s="67" t="str">
        <f>IF(OR($B164="",基础资料!$B$8=""),"",-SUMIFS(对接源_01水果筐数!$D$5:$D$304,对接源_01水果筐数!$B$5:$B$304,$B164,对接源_01水果筐数!$C$5:$C$304,基础资料!$B$8))</f>
        <v/>
      </c>
      <c r="AF164" s="25" t="str">
        <f>IF(OR($B164="",基础资料!$B$4=""),"",SUMIFS(对接源_01水果筐数!$E$5:$E$304,对接源_01水果筐数!$B$5:$B$304,$B164,对接源_01水果筐数!$C$5:$C$304,基础资料!$B$4))</f>
        <v/>
      </c>
      <c r="AG164" s="25" t="str">
        <f>IF(OR($B164="",基础资料!$B$5=""),"",SUMIFS(对接源_01水果筐数!$E$5:$E$304,对接源_01水果筐数!$B$5:$B$304,$B164,对接源_01水果筐数!$C$5:$C$304,基础资料!$B$5))</f>
        <v/>
      </c>
      <c r="AH164" s="25" t="str">
        <f>IF(OR($B164="",基础资料!$B$6=""),"",SUMIFS(对接源_01水果筐数!$E$5:$E$304,对接源_01水果筐数!$B$5:$B$304,$B164,对接源_01水果筐数!$C$5:$C$304,基础资料!$B$6))</f>
        <v/>
      </c>
      <c r="AI164" s="25" t="str">
        <f>IF(OR($B164="",基础资料!$B$7=""),"",SUMIFS(对接源_01水果筐数!$E$5:$E$304,对接源_01水果筐数!$B$5:$B$304,$B164,对接源_01水果筐数!$C$5:$C$304,基础资料!$B$7))</f>
        <v/>
      </c>
      <c r="AJ164" s="25" t="str">
        <f>IF(OR($B164="",基础资料!$B$8=""),"",SUMIFS(对接源_01水果筐数!$E$5:$E$304,对接源_01水果筐数!$B$5:$B$304,$B164,对接源_01水果筐数!$C$5:$C$304,基础资料!$B$8))</f>
        <v/>
      </c>
      <c r="AK164" s="25" t="str">
        <f>IF(OR($B164="",基础资料!$B$4=""),"",SUMIFS(对接源_01水果筐数!$F$5:$F$304,对接源_01水果筐数!$B$5:$B$304,$B164,对接源_01水果筐数!$C$5:$C$304,基础资料!$B$4))</f>
        <v/>
      </c>
      <c r="AL164" s="25" t="str">
        <f>IF(OR($B164="",基础资料!$B$5=""),"",SUMIFS(对接源_01水果筐数!$F$5:$F$304,对接源_01水果筐数!$B$5:$B$304,$B164,对接源_01水果筐数!$C$5:$C$304,基础资料!$B$5))</f>
        <v/>
      </c>
      <c r="AM164" s="25" t="str">
        <f>IF(OR($B164="",基础资料!$B$6=""),"",SUMIFS(对接源_01水果筐数!$F$5:$F$304,对接源_01水果筐数!$B$5:$B$304,$B164,对接源_01水果筐数!$C$5:$C$304,基础资料!$B$6))</f>
        <v/>
      </c>
      <c r="AN164" s="25" t="str">
        <f>IF(OR($B164="",基础资料!$B$7=""),"",SUMIFS(对接源_01水果筐数!$F$5:$F$304,对接源_01水果筐数!$B$5:$B$304,$B164,对接源_01水果筐数!$C$5:$C$304,基础资料!$B$7))</f>
        <v/>
      </c>
      <c r="AO164" s="25" t="str">
        <f>IF(OR($B164="",基础资料!$B$8=""),"",SUMIFS(对接源_01水果筐数!$F$5:$F$304,对接源_01水果筐数!$B$5:$B$304,$B164,对接源_01水果筐数!$C$5:$C$304,基础资料!$B$8))</f>
        <v/>
      </c>
      <c r="AP164" s="25" t="str">
        <f t="shared" si="29"/>
        <v/>
      </c>
      <c r="AQ164" s="25" t="str">
        <f t="shared" si="30"/>
        <v/>
      </c>
      <c r="AR164" s="25" t="str">
        <f t="shared" si="31"/>
        <v/>
      </c>
      <c r="AS164" s="25" t="str">
        <f t="shared" si="32"/>
        <v/>
      </c>
      <c r="AT164" s="25" t="str">
        <f t="shared" si="33"/>
        <v/>
      </c>
      <c r="AU164" s="25" t="str">
        <f t="shared" si="34"/>
        <v/>
      </c>
      <c r="AV164" s="24" t="str">
        <f t="shared" si="35"/>
        <v/>
      </c>
      <c r="AW164" s="72"/>
    </row>
    <row r="165" spans="1:49">
      <c r="A165" s="22" t="str">
        <f t="shared" si="24"/>
        <v/>
      </c>
      <c r="B165" s="24" t="str">
        <f>IFERROR(INDEX(_自动清单!$CC$4:$CC$253,ROW()-3),"")</f>
        <v/>
      </c>
      <c r="C165" s="25" t="str">
        <f>IF(OR($B165="",基础资料!$B$4=""),"",SUMIFS(周转筐出入库明细!$J$4:$J$2004,周转筐出入库明细!$C$4:$C$2004,$B165,周转筐出入库明细!$D$4:$D$2004,基础资料!$B$4,周转筐出入库明细!$B$4:$B$2004,"&gt;="&amp;$BC$1,周转筐出入库明细!$B$4:$B$2004,"&lt;="&amp;$BC$2))</f>
        <v/>
      </c>
      <c r="D165" s="25" t="str">
        <f>IF(OR($B165="",基础资料!$B$5=""),"",SUMIFS(周转筐出入库明细!$J$4:$J$2004,周转筐出入库明细!$C$4:$C$2004,$B165,周转筐出入库明细!$D$4:$D$2004,基础资料!$B$5,周转筐出入库明细!$B$4:$B$2004,"&gt;="&amp;$BC$1,周转筐出入库明细!$B$4:$B$2004,"&lt;="&amp;$BC$2))</f>
        <v/>
      </c>
      <c r="E165" s="25" t="str">
        <f>IF(OR($B165="",基础资料!$B$6=""),"",SUMIFS(周转筐出入库明细!$J$4:$J$2004,周转筐出入库明细!$C$4:$C$2004,$B165,周转筐出入库明细!$D$4:$D$2004,基础资料!$B$6,周转筐出入库明细!$B$4:$B$2004,"&gt;="&amp;$BC$1,周转筐出入库明细!$B$4:$B$2004,"&lt;="&amp;$BC$2))</f>
        <v/>
      </c>
      <c r="F165" s="25" t="str">
        <f>IF(OR($B165="",基础资料!$B$7=""),"",SUMIFS(周转筐出入库明细!$J$4:$J$2004,周转筐出入库明细!$C$4:$C$2004,$B165,周转筐出入库明细!$D$4:$D$2004,基础资料!$B$7,周转筐出入库明细!$B$4:$B$2004,"&gt;="&amp;$BC$1,周转筐出入库明细!$B$4:$B$2004,"&lt;="&amp;$BC$2))</f>
        <v/>
      </c>
      <c r="G165" s="25" t="str">
        <f>IF(OR($B165="",基础资料!$B$8=""),"",SUMIFS(周转筐出入库明细!$J$4:$J$2004,周转筐出入库明细!$C$4:$C$2004,$B165,周转筐出入库明细!$D$4:$D$2004,基础资料!$B$8,周转筐出入库明细!$B$4:$B$2004,"&gt;="&amp;$BC$1,周转筐出入库明细!$B$4:$B$2004,"&lt;="&amp;$BC$2))</f>
        <v/>
      </c>
      <c r="H165" s="25" t="str">
        <f t="shared" si="25"/>
        <v/>
      </c>
      <c r="I165" s="67" t="str">
        <f>IF(OR($B165="",基础资料!$B$4=""),"",-SUMIFS(周转筐出入库明细!$I$4:$I$2004,周转筐出入库明细!$C$4:$C$2004,$B165,周转筐出入库明细!$D$4:$D$2004,基础资料!$B$4,周转筐出入库明细!$B$4:$B$2004,"&gt;="&amp;$BC$1,周转筐出入库明细!$B$4:$B$2004,"&lt;="&amp;$BC$2))</f>
        <v/>
      </c>
      <c r="J165" s="67" t="str">
        <f>IF(OR($B165="",基础资料!$B$5=""),"",-SUMIFS(周转筐出入库明细!$I$4:$I$2004,周转筐出入库明细!$C$4:$C$2004,$B165,周转筐出入库明细!$D$4:$D$2004,基础资料!$B$5,周转筐出入库明细!$B$4:$B$2004,"&gt;="&amp;$BC$1,周转筐出入库明细!$B$4:$B$2004,"&lt;="&amp;$BC$2))</f>
        <v/>
      </c>
      <c r="K165" s="67" t="str">
        <f>IF(OR($B165="",基础资料!$B$6=""),"",-SUMIFS(周转筐出入库明细!$I$4:$I$2004,周转筐出入库明细!$C$4:$C$2004,$B165,周转筐出入库明细!$D$4:$D$2004,基础资料!$B$6,周转筐出入库明细!$B$4:$B$2004,"&gt;="&amp;$BC$1,周转筐出入库明细!$B$4:$B$2004,"&lt;="&amp;$BC$2))</f>
        <v/>
      </c>
      <c r="L165" s="67" t="str">
        <f>IF(OR($B165="",基础资料!$B$7=""),"",-SUMIFS(周转筐出入库明细!$I$4:$I$2004,周转筐出入库明细!$C$4:$C$2004,$B165,周转筐出入库明细!$D$4:$D$2004,基础资料!$B$7,周转筐出入库明细!$B$4:$B$2004,"&gt;="&amp;$BC$1,周转筐出入库明细!$B$4:$B$2004,"&lt;="&amp;$BC$2))</f>
        <v/>
      </c>
      <c r="M165" s="67" t="str">
        <f>IF(OR($B165="",基础资料!$B$8=""),"",-SUMIFS(周转筐出入库明细!$I$4:$I$2004,周转筐出入库明细!$C$4:$C$2004,$B165,周转筐出入库明细!$D$4:$D$2004,基础资料!$B$8,周转筐出入库明细!$B$4:$B$2004,"&gt;="&amp;$BC$1,周转筐出入库明细!$B$4:$B$2004,"&lt;="&amp;$BC$2))</f>
        <v/>
      </c>
      <c r="N165" s="67" t="str">
        <f t="shared" si="26"/>
        <v/>
      </c>
      <c r="O165" s="25" t="str">
        <f>IF(OR($B165="",基础资料!$B$4=""),"",SUMIFS(周转筐出入库明细!$H$4:$H$2004,周转筐出入库明细!$C$4:$C$2004,$B165,周转筐出入库明细!$D$4:$D$2004,基础资料!$B$4,周转筐出入库明细!$F$4:$F$2004,"采购入库",周转筐出入库明细!$B$4:$B$2004,"&gt;="&amp;$BC$1,周转筐出入库明细!$B$4:$B$2004,"&lt;="&amp;$BC$2))</f>
        <v/>
      </c>
      <c r="P165" s="25" t="str">
        <f>IF(OR($B165="",基础资料!$B$5=""),"",SUMIFS(周转筐出入库明细!$H$4:$H$2004,周转筐出入库明细!$C$4:$C$2004,$B165,周转筐出入库明细!$D$4:$D$2004,基础资料!$B$5,周转筐出入库明细!$F$4:$F$2004,"采购入库",周转筐出入库明细!$B$4:$B$2004,"&gt;="&amp;$BC$1,周转筐出入库明细!$B$4:$B$2004,"&lt;="&amp;$BC$2))</f>
        <v/>
      </c>
      <c r="Q165" s="25" t="str">
        <f>IF(OR($B165="",基础资料!$B$6=""),"",SUMIFS(周转筐出入库明细!$H$4:$H$2004,周转筐出入库明细!$C$4:$C$2004,$B165,周转筐出入库明细!$D$4:$D$2004,基础资料!$B$6,周转筐出入库明细!$F$4:$F$2004,"采购入库",周转筐出入库明细!$B$4:$B$2004,"&gt;="&amp;$BC$1,周转筐出入库明细!$B$4:$B$2004,"&lt;="&amp;$BC$2))</f>
        <v/>
      </c>
      <c r="R165" s="25" t="str">
        <f>IF(OR($B165="",基础资料!$B$7=""),"",SUMIFS(周转筐出入库明细!$H$4:$H$2004,周转筐出入库明细!$C$4:$C$2004,$B165,周转筐出入库明细!$D$4:$D$2004,基础资料!$B$7,周转筐出入库明细!$F$4:$F$2004,"采购入库",周转筐出入库明细!$B$4:$B$2004,"&gt;="&amp;$BC$1,周转筐出入库明细!$B$4:$B$2004,"&lt;="&amp;$BC$2))</f>
        <v/>
      </c>
      <c r="S165" s="25" t="str">
        <f>IF(OR($B165="",基础资料!$B$8=""),"",SUMIFS(周转筐出入库明细!$H$4:$H$2004,周转筐出入库明细!$C$4:$C$2004,$B165,周转筐出入库明细!$D$4:$D$2004,基础资料!$B$8,周转筐出入库明细!$F$4:$F$2004,"采购入库",周转筐出入库明细!$B$4:$B$2004,"&gt;="&amp;$BC$1,周转筐出入库明细!$B$4:$B$2004,"&lt;="&amp;$BC$2))</f>
        <v/>
      </c>
      <c r="T165" s="25" t="str">
        <f t="shared" si="27"/>
        <v/>
      </c>
      <c r="U165" s="25" t="str">
        <f>IF(OR($B165="",基础资料!$B$4=""),"",SUMIFS(周转筐出入库明细!$K$4:$K$2004,周转筐出入库明细!$C$4:$C$2004,$B165,周转筐出入库明细!$D$4:$D$2004,基础资料!$B$4,周转筐出入库明细!$B$4:$B$2004,"&gt;="&amp;$BC$1,周转筐出入库明细!$B$4:$B$2004,"&lt;="&amp;$BC$2))</f>
        <v/>
      </c>
      <c r="V165" s="25" t="str">
        <f>IF(OR($B165="",基础资料!$B$5=""),"",SUMIFS(周转筐出入库明细!$K$4:$K$2004,周转筐出入库明细!$C$4:$C$2004,$B165,周转筐出入库明细!$D$4:$D$2004,基础资料!$B$5,周转筐出入库明细!$B$4:$B$2004,"&gt;="&amp;$BC$1,周转筐出入库明细!$B$4:$B$2004,"&lt;="&amp;$BC$2))</f>
        <v/>
      </c>
      <c r="W165" s="25" t="str">
        <f>IF(OR($B165="",基础资料!$B$6=""),"",SUMIFS(周转筐出入库明细!$K$4:$K$2004,周转筐出入库明细!$C$4:$C$2004,$B165,周转筐出入库明细!$D$4:$D$2004,基础资料!$B$6,周转筐出入库明细!$B$4:$B$2004,"&gt;="&amp;$BC$1,周转筐出入库明细!$B$4:$B$2004,"&lt;="&amp;$BC$2))</f>
        <v/>
      </c>
      <c r="X165" s="25" t="str">
        <f>IF(OR($B165="",基础资料!$B$7=""),"",SUMIFS(周转筐出入库明细!$K$4:$K$2004,周转筐出入库明细!$C$4:$C$2004,$B165,周转筐出入库明细!$D$4:$D$2004,基础资料!$B$7,周转筐出入库明细!$B$4:$B$2004,"&gt;="&amp;$BC$1,周转筐出入库明细!$B$4:$B$2004,"&lt;="&amp;$BC$2))</f>
        <v/>
      </c>
      <c r="Y165" s="25" t="str">
        <f>IF(OR($B165="",基础资料!$B$8=""),"",SUMIFS(周转筐出入库明细!$K$4:$K$2004,周转筐出入库明细!$C$4:$C$2004,$B165,周转筐出入库明细!$D$4:$D$2004,基础资料!$B$8,周转筐出入库明细!$B$4:$B$2004,"&gt;="&amp;$BC$1,周转筐出入库明细!$B$4:$B$2004,"&lt;="&amp;$BC$2))</f>
        <v/>
      </c>
      <c r="Z165" s="25" t="str">
        <f t="shared" si="28"/>
        <v/>
      </c>
      <c r="AA165" s="67" t="str">
        <f>IF(OR($B165="",基础资料!$B$4=""),"",-SUMIFS(对接源_01水果筐数!$D$5:$D$304,对接源_01水果筐数!$B$5:$B$304,$B165,对接源_01水果筐数!$C$5:$C$304,基础资料!$B$4))</f>
        <v/>
      </c>
      <c r="AB165" s="67" t="str">
        <f>IF(OR($B165="",基础资料!$B$5=""),"",-SUMIFS(对接源_01水果筐数!$D$5:$D$304,对接源_01水果筐数!$B$5:$B$304,$B165,对接源_01水果筐数!$C$5:$C$304,基础资料!$B$5))</f>
        <v/>
      </c>
      <c r="AC165" s="67" t="str">
        <f>IF(OR($B165="",基础资料!$B$6=""),"",-SUMIFS(对接源_01水果筐数!$D$5:$D$304,对接源_01水果筐数!$B$5:$B$304,$B165,对接源_01水果筐数!$C$5:$C$304,基础资料!$B$6))</f>
        <v/>
      </c>
      <c r="AD165" s="67" t="str">
        <f>IF(OR($B165="",基础资料!$B$7=""),"",-SUMIFS(对接源_01水果筐数!$D$5:$D$304,对接源_01水果筐数!$B$5:$B$304,$B165,对接源_01水果筐数!$C$5:$C$304,基础资料!$B$7))</f>
        <v/>
      </c>
      <c r="AE165" s="67" t="str">
        <f>IF(OR($B165="",基础资料!$B$8=""),"",-SUMIFS(对接源_01水果筐数!$D$5:$D$304,对接源_01水果筐数!$B$5:$B$304,$B165,对接源_01水果筐数!$C$5:$C$304,基础资料!$B$8))</f>
        <v/>
      </c>
      <c r="AF165" s="25" t="str">
        <f>IF(OR($B165="",基础资料!$B$4=""),"",SUMIFS(对接源_01水果筐数!$E$5:$E$304,对接源_01水果筐数!$B$5:$B$304,$B165,对接源_01水果筐数!$C$5:$C$304,基础资料!$B$4))</f>
        <v/>
      </c>
      <c r="AG165" s="25" t="str">
        <f>IF(OR($B165="",基础资料!$B$5=""),"",SUMIFS(对接源_01水果筐数!$E$5:$E$304,对接源_01水果筐数!$B$5:$B$304,$B165,对接源_01水果筐数!$C$5:$C$304,基础资料!$B$5))</f>
        <v/>
      </c>
      <c r="AH165" s="25" t="str">
        <f>IF(OR($B165="",基础资料!$B$6=""),"",SUMIFS(对接源_01水果筐数!$E$5:$E$304,对接源_01水果筐数!$B$5:$B$304,$B165,对接源_01水果筐数!$C$5:$C$304,基础资料!$B$6))</f>
        <v/>
      </c>
      <c r="AI165" s="25" t="str">
        <f>IF(OR($B165="",基础资料!$B$7=""),"",SUMIFS(对接源_01水果筐数!$E$5:$E$304,对接源_01水果筐数!$B$5:$B$304,$B165,对接源_01水果筐数!$C$5:$C$304,基础资料!$B$7))</f>
        <v/>
      </c>
      <c r="AJ165" s="25" t="str">
        <f>IF(OR($B165="",基础资料!$B$8=""),"",SUMIFS(对接源_01水果筐数!$E$5:$E$304,对接源_01水果筐数!$B$5:$B$304,$B165,对接源_01水果筐数!$C$5:$C$304,基础资料!$B$8))</f>
        <v/>
      </c>
      <c r="AK165" s="25" t="str">
        <f>IF(OR($B165="",基础资料!$B$4=""),"",SUMIFS(对接源_01水果筐数!$F$5:$F$304,对接源_01水果筐数!$B$5:$B$304,$B165,对接源_01水果筐数!$C$5:$C$304,基础资料!$B$4))</f>
        <v/>
      </c>
      <c r="AL165" s="25" t="str">
        <f>IF(OR($B165="",基础资料!$B$5=""),"",SUMIFS(对接源_01水果筐数!$F$5:$F$304,对接源_01水果筐数!$B$5:$B$304,$B165,对接源_01水果筐数!$C$5:$C$304,基础资料!$B$5))</f>
        <v/>
      </c>
      <c r="AM165" s="25" t="str">
        <f>IF(OR($B165="",基础资料!$B$6=""),"",SUMIFS(对接源_01水果筐数!$F$5:$F$304,对接源_01水果筐数!$B$5:$B$304,$B165,对接源_01水果筐数!$C$5:$C$304,基础资料!$B$6))</f>
        <v/>
      </c>
      <c r="AN165" s="25" t="str">
        <f>IF(OR($B165="",基础资料!$B$7=""),"",SUMIFS(对接源_01水果筐数!$F$5:$F$304,对接源_01水果筐数!$B$5:$B$304,$B165,对接源_01水果筐数!$C$5:$C$304,基础资料!$B$7))</f>
        <v/>
      </c>
      <c r="AO165" s="25" t="str">
        <f>IF(OR($B165="",基础资料!$B$8=""),"",SUMIFS(对接源_01水果筐数!$F$5:$F$304,对接源_01水果筐数!$B$5:$B$304,$B165,对接源_01水果筐数!$C$5:$C$304,基础资料!$B$8))</f>
        <v/>
      </c>
      <c r="AP165" s="25" t="str">
        <f t="shared" si="29"/>
        <v/>
      </c>
      <c r="AQ165" s="25" t="str">
        <f t="shared" si="30"/>
        <v/>
      </c>
      <c r="AR165" s="25" t="str">
        <f t="shared" si="31"/>
        <v/>
      </c>
      <c r="AS165" s="25" t="str">
        <f t="shared" si="32"/>
        <v/>
      </c>
      <c r="AT165" s="25" t="str">
        <f t="shared" si="33"/>
        <v/>
      </c>
      <c r="AU165" s="25" t="str">
        <f t="shared" si="34"/>
        <v/>
      </c>
      <c r="AV165" s="24" t="str">
        <f t="shared" si="35"/>
        <v/>
      </c>
      <c r="AW165" s="72"/>
    </row>
    <row r="166" spans="1:49">
      <c r="A166" s="22" t="str">
        <f t="shared" si="24"/>
        <v/>
      </c>
      <c r="B166" s="24" t="str">
        <f>IFERROR(INDEX(_自动清单!$CC$4:$CC$253,ROW()-3),"")</f>
        <v/>
      </c>
      <c r="C166" s="25" t="str">
        <f>IF(OR($B166="",基础资料!$B$4=""),"",SUMIFS(周转筐出入库明细!$J$4:$J$2004,周转筐出入库明细!$C$4:$C$2004,$B166,周转筐出入库明细!$D$4:$D$2004,基础资料!$B$4,周转筐出入库明细!$B$4:$B$2004,"&gt;="&amp;$BC$1,周转筐出入库明细!$B$4:$B$2004,"&lt;="&amp;$BC$2))</f>
        <v/>
      </c>
      <c r="D166" s="25" t="str">
        <f>IF(OR($B166="",基础资料!$B$5=""),"",SUMIFS(周转筐出入库明细!$J$4:$J$2004,周转筐出入库明细!$C$4:$C$2004,$B166,周转筐出入库明细!$D$4:$D$2004,基础资料!$B$5,周转筐出入库明细!$B$4:$B$2004,"&gt;="&amp;$BC$1,周转筐出入库明细!$B$4:$B$2004,"&lt;="&amp;$BC$2))</f>
        <v/>
      </c>
      <c r="E166" s="25" t="str">
        <f>IF(OR($B166="",基础资料!$B$6=""),"",SUMIFS(周转筐出入库明细!$J$4:$J$2004,周转筐出入库明细!$C$4:$C$2004,$B166,周转筐出入库明细!$D$4:$D$2004,基础资料!$B$6,周转筐出入库明细!$B$4:$B$2004,"&gt;="&amp;$BC$1,周转筐出入库明细!$B$4:$B$2004,"&lt;="&amp;$BC$2))</f>
        <v/>
      </c>
      <c r="F166" s="25" t="str">
        <f>IF(OR($B166="",基础资料!$B$7=""),"",SUMIFS(周转筐出入库明细!$J$4:$J$2004,周转筐出入库明细!$C$4:$C$2004,$B166,周转筐出入库明细!$D$4:$D$2004,基础资料!$B$7,周转筐出入库明细!$B$4:$B$2004,"&gt;="&amp;$BC$1,周转筐出入库明细!$B$4:$B$2004,"&lt;="&amp;$BC$2))</f>
        <v/>
      </c>
      <c r="G166" s="25" t="str">
        <f>IF(OR($B166="",基础资料!$B$8=""),"",SUMIFS(周转筐出入库明细!$J$4:$J$2004,周转筐出入库明细!$C$4:$C$2004,$B166,周转筐出入库明细!$D$4:$D$2004,基础资料!$B$8,周转筐出入库明细!$B$4:$B$2004,"&gt;="&amp;$BC$1,周转筐出入库明细!$B$4:$B$2004,"&lt;="&amp;$BC$2))</f>
        <v/>
      </c>
      <c r="H166" s="25" t="str">
        <f t="shared" si="25"/>
        <v/>
      </c>
      <c r="I166" s="67" t="str">
        <f>IF(OR($B166="",基础资料!$B$4=""),"",-SUMIFS(周转筐出入库明细!$I$4:$I$2004,周转筐出入库明细!$C$4:$C$2004,$B166,周转筐出入库明细!$D$4:$D$2004,基础资料!$B$4,周转筐出入库明细!$B$4:$B$2004,"&gt;="&amp;$BC$1,周转筐出入库明细!$B$4:$B$2004,"&lt;="&amp;$BC$2))</f>
        <v/>
      </c>
      <c r="J166" s="67" t="str">
        <f>IF(OR($B166="",基础资料!$B$5=""),"",-SUMIFS(周转筐出入库明细!$I$4:$I$2004,周转筐出入库明细!$C$4:$C$2004,$B166,周转筐出入库明细!$D$4:$D$2004,基础资料!$B$5,周转筐出入库明细!$B$4:$B$2004,"&gt;="&amp;$BC$1,周转筐出入库明细!$B$4:$B$2004,"&lt;="&amp;$BC$2))</f>
        <v/>
      </c>
      <c r="K166" s="67" t="str">
        <f>IF(OR($B166="",基础资料!$B$6=""),"",-SUMIFS(周转筐出入库明细!$I$4:$I$2004,周转筐出入库明细!$C$4:$C$2004,$B166,周转筐出入库明细!$D$4:$D$2004,基础资料!$B$6,周转筐出入库明细!$B$4:$B$2004,"&gt;="&amp;$BC$1,周转筐出入库明细!$B$4:$B$2004,"&lt;="&amp;$BC$2))</f>
        <v/>
      </c>
      <c r="L166" s="67" t="str">
        <f>IF(OR($B166="",基础资料!$B$7=""),"",-SUMIFS(周转筐出入库明细!$I$4:$I$2004,周转筐出入库明细!$C$4:$C$2004,$B166,周转筐出入库明细!$D$4:$D$2004,基础资料!$B$7,周转筐出入库明细!$B$4:$B$2004,"&gt;="&amp;$BC$1,周转筐出入库明细!$B$4:$B$2004,"&lt;="&amp;$BC$2))</f>
        <v/>
      </c>
      <c r="M166" s="67" t="str">
        <f>IF(OR($B166="",基础资料!$B$8=""),"",-SUMIFS(周转筐出入库明细!$I$4:$I$2004,周转筐出入库明细!$C$4:$C$2004,$B166,周转筐出入库明细!$D$4:$D$2004,基础资料!$B$8,周转筐出入库明细!$B$4:$B$2004,"&gt;="&amp;$BC$1,周转筐出入库明细!$B$4:$B$2004,"&lt;="&amp;$BC$2))</f>
        <v/>
      </c>
      <c r="N166" s="67" t="str">
        <f t="shared" si="26"/>
        <v/>
      </c>
      <c r="O166" s="25" t="str">
        <f>IF(OR($B166="",基础资料!$B$4=""),"",SUMIFS(周转筐出入库明细!$H$4:$H$2004,周转筐出入库明细!$C$4:$C$2004,$B166,周转筐出入库明细!$D$4:$D$2004,基础资料!$B$4,周转筐出入库明细!$F$4:$F$2004,"采购入库",周转筐出入库明细!$B$4:$B$2004,"&gt;="&amp;$BC$1,周转筐出入库明细!$B$4:$B$2004,"&lt;="&amp;$BC$2))</f>
        <v/>
      </c>
      <c r="P166" s="25" t="str">
        <f>IF(OR($B166="",基础资料!$B$5=""),"",SUMIFS(周转筐出入库明细!$H$4:$H$2004,周转筐出入库明细!$C$4:$C$2004,$B166,周转筐出入库明细!$D$4:$D$2004,基础资料!$B$5,周转筐出入库明细!$F$4:$F$2004,"采购入库",周转筐出入库明细!$B$4:$B$2004,"&gt;="&amp;$BC$1,周转筐出入库明细!$B$4:$B$2004,"&lt;="&amp;$BC$2))</f>
        <v/>
      </c>
      <c r="Q166" s="25" t="str">
        <f>IF(OR($B166="",基础资料!$B$6=""),"",SUMIFS(周转筐出入库明细!$H$4:$H$2004,周转筐出入库明细!$C$4:$C$2004,$B166,周转筐出入库明细!$D$4:$D$2004,基础资料!$B$6,周转筐出入库明细!$F$4:$F$2004,"采购入库",周转筐出入库明细!$B$4:$B$2004,"&gt;="&amp;$BC$1,周转筐出入库明细!$B$4:$B$2004,"&lt;="&amp;$BC$2))</f>
        <v/>
      </c>
      <c r="R166" s="25" t="str">
        <f>IF(OR($B166="",基础资料!$B$7=""),"",SUMIFS(周转筐出入库明细!$H$4:$H$2004,周转筐出入库明细!$C$4:$C$2004,$B166,周转筐出入库明细!$D$4:$D$2004,基础资料!$B$7,周转筐出入库明细!$F$4:$F$2004,"采购入库",周转筐出入库明细!$B$4:$B$2004,"&gt;="&amp;$BC$1,周转筐出入库明细!$B$4:$B$2004,"&lt;="&amp;$BC$2))</f>
        <v/>
      </c>
      <c r="S166" s="25" t="str">
        <f>IF(OR($B166="",基础资料!$B$8=""),"",SUMIFS(周转筐出入库明细!$H$4:$H$2004,周转筐出入库明细!$C$4:$C$2004,$B166,周转筐出入库明细!$D$4:$D$2004,基础资料!$B$8,周转筐出入库明细!$F$4:$F$2004,"采购入库",周转筐出入库明细!$B$4:$B$2004,"&gt;="&amp;$BC$1,周转筐出入库明细!$B$4:$B$2004,"&lt;="&amp;$BC$2))</f>
        <v/>
      </c>
      <c r="T166" s="25" t="str">
        <f t="shared" si="27"/>
        <v/>
      </c>
      <c r="U166" s="25" t="str">
        <f>IF(OR($B166="",基础资料!$B$4=""),"",SUMIFS(周转筐出入库明细!$K$4:$K$2004,周转筐出入库明细!$C$4:$C$2004,$B166,周转筐出入库明细!$D$4:$D$2004,基础资料!$B$4,周转筐出入库明细!$B$4:$B$2004,"&gt;="&amp;$BC$1,周转筐出入库明细!$B$4:$B$2004,"&lt;="&amp;$BC$2))</f>
        <v/>
      </c>
      <c r="V166" s="25" t="str">
        <f>IF(OR($B166="",基础资料!$B$5=""),"",SUMIFS(周转筐出入库明细!$K$4:$K$2004,周转筐出入库明细!$C$4:$C$2004,$B166,周转筐出入库明细!$D$4:$D$2004,基础资料!$B$5,周转筐出入库明细!$B$4:$B$2004,"&gt;="&amp;$BC$1,周转筐出入库明细!$B$4:$B$2004,"&lt;="&amp;$BC$2))</f>
        <v/>
      </c>
      <c r="W166" s="25" t="str">
        <f>IF(OR($B166="",基础资料!$B$6=""),"",SUMIFS(周转筐出入库明细!$K$4:$K$2004,周转筐出入库明细!$C$4:$C$2004,$B166,周转筐出入库明细!$D$4:$D$2004,基础资料!$B$6,周转筐出入库明细!$B$4:$B$2004,"&gt;="&amp;$BC$1,周转筐出入库明细!$B$4:$B$2004,"&lt;="&amp;$BC$2))</f>
        <v/>
      </c>
      <c r="X166" s="25" t="str">
        <f>IF(OR($B166="",基础资料!$B$7=""),"",SUMIFS(周转筐出入库明细!$K$4:$K$2004,周转筐出入库明细!$C$4:$C$2004,$B166,周转筐出入库明细!$D$4:$D$2004,基础资料!$B$7,周转筐出入库明细!$B$4:$B$2004,"&gt;="&amp;$BC$1,周转筐出入库明细!$B$4:$B$2004,"&lt;="&amp;$BC$2))</f>
        <v/>
      </c>
      <c r="Y166" s="25" t="str">
        <f>IF(OR($B166="",基础资料!$B$8=""),"",SUMIFS(周转筐出入库明细!$K$4:$K$2004,周转筐出入库明细!$C$4:$C$2004,$B166,周转筐出入库明细!$D$4:$D$2004,基础资料!$B$8,周转筐出入库明细!$B$4:$B$2004,"&gt;="&amp;$BC$1,周转筐出入库明细!$B$4:$B$2004,"&lt;="&amp;$BC$2))</f>
        <v/>
      </c>
      <c r="Z166" s="25" t="str">
        <f t="shared" si="28"/>
        <v/>
      </c>
      <c r="AA166" s="67" t="str">
        <f>IF(OR($B166="",基础资料!$B$4=""),"",-SUMIFS(对接源_01水果筐数!$D$5:$D$304,对接源_01水果筐数!$B$5:$B$304,$B166,对接源_01水果筐数!$C$5:$C$304,基础资料!$B$4))</f>
        <v/>
      </c>
      <c r="AB166" s="67" t="str">
        <f>IF(OR($B166="",基础资料!$B$5=""),"",-SUMIFS(对接源_01水果筐数!$D$5:$D$304,对接源_01水果筐数!$B$5:$B$304,$B166,对接源_01水果筐数!$C$5:$C$304,基础资料!$B$5))</f>
        <v/>
      </c>
      <c r="AC166" s="67" t="str">
        <f>IF(OR($B166="",基础资料!$B$6=""),"",-SUMIFS(对接源_01水果筐数!$D$5:$D$304,对接源_01水果筐数!$B$5:$B$304,$B166,对接源_01水果筐数!$C$5:$C$304,基础资料!$B$6))</f>
        <v/>
      </c>
      <c r="AD166" s="67" t="str">
        <f>IF(OR($B166="",基础资料!$B$7=""),"",-SUMIFS(对接源_01水果筐数!$D$5:$D$304,对接源_01水果筐数!$B$5:$B$304,$B166,对接源_01水果筐数!$C$5:$C$304,基础资料!$B$7))</f>
        <v/>
      </c>
      <c r="AE166" s="67" t="str">
        <f>IF(OR($B166="",基础资料!$B$8=""),"",-SUMIFS(对接源_01水果筐数!$D$5:$D$304,对接源_01水果筐数!$B$5:$B$304,$B166,对接源_01水果筐数!$C$5:$C$304,基础资料!$B$8))</f>
        <v/>
      </c>
      <c r="AF166" s="25" t="str">
        <f>IF(OR($B166="",基础资料!$B$4=""),"",SUMIFS(对接源_01水果筐数!$E$5:$E$304,对接源_01水果筐数!$B$5:$B$304,$B166,对接源_01水果筐数!$C$5:$C$304,基础资料!$B$4))</f>
        <v/>
      </c>
      <c r="AG166" s="25" t="str">
        <f>IF(OR($B166="",基础资料!$B$5=""),"",SUMIFS(对接源_01水果筐数!$E$5:$E$304,对接源_01水果筐数!$B$5:$B$304,$B166,对接源_01水果筐数!$C$5:$C$304,基础资料!$B$5))</f>
        <v/>
      </c>
      <c r="AH166" s="25" t="str">
        <f>IF(OR($B166="",基础资料!$B$6=""),"",SUMIFS(对接源_01水果筐数!$E$5:$E$304,对接源_01水果筐数!$B$5:$B$304,$B166,对接源_01水果筐数!$C$5:$C$304,基础资料!$B$6))</f>
        <v/>
      </c>
      <c r="AI166" s="25" t="str">
        <f>IF(OR($B166="",基础资料!$B$7=""),"",SUMIFS(对接源_01水果筐数!$E$5:$E$304,对接源_01水果筐数!$B$5:$B$304,$B166,对接源_01水果筐数!$C$5:$C$304,基础资料!$B$7))</f>
        <v/>
      </c>
      <c r="AJ166" s="25" t="str">
        <f>IF(OR($B166="",基础资料!$B$8=""),"",SUMIFS(对接源_01水果筐数!$E$5:$E$304,对接源_01水果筐数!$B$5:$B$304,$B166,对接源_01水果筐数!$C$5:$C$304,基础资料!$B$8))</f>
        <v/>
      </c>
      <c r="AK166" s="25" t="str">
        <f>IF(OR($B166="",基础资料!$B$4=""),"",SUMIFS(对接源_01水果筐数!$F$5:$F$304,对接源_01水果筐数!$B$5:$B$304,$B166,对接源_01水果筐数!$C$5:$C$304,基础资料!$B$4))</f>
        <v/>
      </c>
      <c r="AL166" s="25" t="str">
        <f>IF(OR($B166="",基础资料!$B$5=""),"",SUMIFS(对接源_01水果筐数!$F$5:$F$304,对接源_01水果筐数!$B$5:$B$304,$B166,对接源_01水果筐数!$C$5:$C$304,基础资料!$B$5))</f>
        <v/>
      </c>
      <c r="AM166" s="25" t="str">
        <f>IF(OR($B166="",基础资料!$B$6=""),"",SUMIFS(对接源_01水果筐数!$F$5:$F$304,对接源_01水果筐数!$B$5:$B$304,$B166,对接源_01水果筐数!$C$5:$C$304,基础资料!$B$6))</f>
        <v/>
      </c>
      <c r="AN166" s="25" t="str">
        <f>IF(OR($B166="",基础资料!$B$7=""),"",SUMIFS(对接源_01水果筐数!$F$5:$F$304,对接源_01水果筐数!$B$5:$B$304,$B166,对接源_01水果筐数!$C$5:$C$304,基础资料!$B$7))</f>
        <v/>
      </c>
      <c r="AO166" s="25" t="str">
        <f>IF(OR($B166="",基础资料!$B$8=""),"",SUMIFS(对接源_01水果筐数!$F$5:$F$304,对接源_01水果筐数!$B$5:$B$304,$B166,对接源_01水果筐数!$C$5:$C$304,基础资料!$B$8))</f>
        <v/>
      </c>
      <c r="AP166" s="25" t="str">
        <f t="shared" si="29"/>
        <v/>
      </c>
      <c r="AQ166" s="25" t="str">
        <f t="shared" si="30"/>
        <v/>
      </c>
      <c r="AR166" s="25" t="str">
        <f t="shared" si="31"/>
        <v/>
      </c>
      <c r="AS166" s="25" t="str">
        <f t="shared" si="32"/>
        <v/>
      </c>
      <c r="AT166" s="25" t="str">
        <f t="shared" si="33"/>
        <v/>
      </c>
      <c r="AU166" s="25" t="str">
        <f t="shared" si="34"/>
        <v/>
      </c>
      <c r="AV166" s="24" t="str">
        <f t="shared" si="35"/>
        <v/>
      </c>
      <c r="AW166" s="72"/>
    </row>
    <row r="167" spans="1:49">
      <c r="A167" s="22" t="str">
        <f t="shared" si="24"/>
        <v/>
      </c>
      <c r="B167" s="24" t="str">
        <f>IFERROR(INDEX(_自动清单!$CC$4:$CC$253,ROW()-3),"")</f>
        <v/>
      </c>
      <c r="C167" s="25" t="str">
        <f>IF(OR($B167="",基础资料!$B$4=""),"",SUMIFS(周转筐出入库明细!$J$4:$J$2004,周转筐出入库明细!$C$4:$C$2004,$B167,周转筐出入库明细!$D$4:$D$2004,基础资料!$B$4,周转筐出入库明细!$B$4:$B$2004,"&gt;="&amp;$BC$1,周转筐出入库明细!$B$4:$B$2004,"&lt;="&amp;$BC$2))</f>
        <v/>
      </c>
      <c r="D167" s="25" t="str">
        <f>IF(OR($B167="",基础资料!$B$5=""),"",SUMIFS(周转筐出入库明细!$J$4:$J$2004,周转筐出入库明细!$C$4:$C$2004,$B167,周转筐出入库明细!$D$4:$D$2004,基础资料!$B$5,周转筐出入库明细!$B$4:$B$2004,"&gt;="&amp;$BC$1,周转筐出入库明细!$B$4:$B$2004,"&lt;="&amp;$BC$2))</f>
        <v/>
      </c>
      <c r="E167" s="25" t="str">
        <f>IF(OR($B167="",基础资料!$B$6=""),"",SUMIFS(周转筐出入库明细!$J$4:$J$2004,周转筐出入库明细!$C$4:$C$2004,$B167,周转筐出入库明细!$D$4:$D$2004,基础资料!$B$6,周转筐出入库明细!$B$4:$B$2004,"&gt;="&amp;$BC$1,周转筐出入库明细!$B$4:$B$2004,"&lt;="&amp;$BC$2))</f>
        <v/>
      </c>
      <c r="F167" s="25" t="str">
        <f>IF(OR($B167="",基础资料!$B$7=""),"",SUMIFS(周转筐出入库明细!$J$4:$J$2004,周转筐出入库明细!$C$4:$C$2004,$B167,周转筐出入库明细!$D$4:$D$2004,基础资料!$B$7,周转筐出入库明细!$B$4:$B$2004,"&gt;="&amp;$BC$1,周转筐出入库明细!$B$4:$B$2004,"&lt;="&amp;$BC$2))</f>
        <v/>
      </c>
      <c r="G167" s="25" t="str">
        <f>IF(OR($B167="",基础资料!$B$8=""),"",SUMIFS(周转筐出入库明细!$J$4:$J$2004,周转筐出入库明细!$C$4:$C$2004,$B167,周转筐出入库明细!$D$4:$D$2004,基础资料!$B$8,周转筐出入库明细!$B$4:$B$2004,"&gt;="&amp;$BC$1,周转筐出入库明细!$B$4:$B$2004,"&lt;="&amp;$BC$2))</f>
        <v/>
      </c>
      <c r="H167" s="25" t="str">
        <f t="shared" si="25"/>
        <v/>
      </c>
      <c r="I167" s="67" t="str">
        <f>IF(OR($B167="",基础资料!$B$4=""),"",-SUMIFS(周转筐出入库明细!$I$4:$I$2004,周转筐出入库明细!$C$4:$C$2004,$B167,周转筐出入库明细!$D$4:$D$2004,基础资料!$B$4,周转筐出入库明细!$B$4:$B$2004,"&gt;="&amp;$BC$1,周转筐出入库明细!$B$4:$B$2004,"&lt;="&amp;$BC$2))</f>
        <v/>
      </c>
      <c r="J167" s="67" t="str">
        <f>IF(OR($B167="",基础资料!$B$5=""),"",-SUMIFS(周转筐出入库明细!$I$4:$I$2004,周转筐出入库明细!$C$4:$C$2004,$B167,周转筐出入库明细!$D$4:$D$2004,基础资料!$B$5,周转筐出入库明细!$B$4:$B$2004,"&gt;="&amp;$BC$1,周转筐出入库明细!$B$4:$B$2004,"&lt;="&amp;$BC$2))</f>
        <v/>
      </c>
      <c r="K167" s="67" t="str">
        <f>IF(OR($B167="",基础资料!$B$6=""),"",-SUMIFS(周转筐出入库明细!$I$4:$I$2004,周转筐出入库明细!$C$4:$C$2004,$B167,周转筐出入库明细!$D$4:$D$2004,基础资料!$B$6,周转筐出入库明细!$B$4:$B$2004,"&gt;="&amp;$BC$1,周转筐出入库明细!$B$4:$B$2004,"&lt;="&amp;$BC$2))</f>
        <v/>
      </c>
      <c r="L167" s="67" t="str">
        <f>IF(OR($B167="",基础资料!$B$7=""),"",-SUMIFS(周转筐出入库明细!$I$4:$I$2004,周转筐出入库明细!$C$4:$C$2004,$B167,周转筐出入库明细!$D$4:$D$2004,基础资料!$B$7,周转筐出入库明细!$B$4:$B$2004,"&gt;="&amp;$BC$1,周转筐出入库明细!$B$4:$B$2004,"&lt;="&amp;$BC$2))</f>
        <v/>
      </c>
      <c r="M167" s="67" t="str">
        <f>IF(OR($B167="",基础资料!$B$8=""),"",-SUMIFS(周转筐出入库明细!$I$4:$I$2004,周转筐出入库明细!$C$4:$C$2004,$B167,周转筐出入库明细!$D$4:$D$2004,基础资料!$B$8,周转筐出入库明细!$B$4:$B$2004,"&gt;="&amp;$BC$1,周转筐出入库明细!$B$4:$B$2004,"&lt;="&amp;$BC$2))</f>
        <v/>
      </c>
      <c r="N167" s="67" t="str">
        <f t="shared" si="26"/>
        <v/>
      </c>
      <c r="O167" s="25" t="str">
        <f>IF(OR($B167="",基础资料!$B$4=""),"",SUMIFS(周转筐出入库明细!$H$4:$H$2004,周转筐出入库明细!$C$4:$C$2004,$B167,周转筐出入库明细!$D$4:$D$2004,基础资料!$B$4,周转筐出入库明细!$F$4:$F$2004,"采购入库",周转筐出入库明细!$B$4:$B$2004,"&gt;="&amp;$BC$1,周转筐出入库明细!$B$4:$B$2004,"&lt;="&amp;$BC$2))</f>
        <v/>
      </c>
      <c r="P167" s="25" t="str">
        <f>IF(OR($B167="",基础资料!$B$5=""),"",SUMIFS(周转筐出入库明细!$H$4:$H$2004,周转筐出入库明细!$C$4:$C$2004,$B167,周转筐出入库明细!$D$4:$D$2004,基础资料!$B$5,周转筐出入库明细!$F$4:$F$2004,"采购入库",周转筐出入库明细!$B$4:$B$2004,"&gt;="&amp;$BC$1,周转筐出入库明细!$B$4:$B$2004,"&lt;="&amp;$BC$2))</f>
        <v/>
      </c>
      <c r="Q167" s="25" t="str">
        <f>IF(OR($B167="",基础资料!$B$6=""),"",SUMIFS(周转筐出入库明细!$H$4:$H$2004,周转筐出入库明细!$C$4:$C$2004,$B167,周转筐出入库明细!$D$4:$D$2004,基础资料!$B$6,周转筐出入库明细!$F$4:$F$2004,"采购入库",周转筐出入库明细!$B$4:$B$2004,"&gt;="&amp;$BC$1,周转筐出入库明细!$B$4:$B$2004,"&lt;="&amp;$BC$2))</f>
        <v/>
      </c>
      <c r="R167" s="25" t="str">
        <f>IF(OR($B167="",基础资料!$B$7=""),"",SUMIFS(周转筐出入库明细!$H$4:$H$2004,周转筐出入库明细!$C$4:$C$2004,$B167,周转筐出入库明细!$D$4:$D$2004,基础资料!$B$7,周转筐出入库明细!$F$4:$F$2004,"采购入库",周转筐出入库明细!$B$4:$B$2004,"&gt;="&amp;$BC$1,周转筐出入库明细!$B$4:$B$2004,"&lt;="&amp;$BC$2))</f>
        <v/>
      </c>
      <c r="S167" s="25" t="str">
        <f>IF(OR($B167="",基础资料!$B$8=""),"",SUMIFS(周转筐出入库明细!$H$4:$H$2004,周转筐出入库明细!$C$4:$C$2004,$B167,周转筐出入库明细!$D$4:$D$2004,基础资料!$B$8,周转筐出入库明细!$F$4:$F$2004,"采购入库",周转筐出入库明细!$B$4:$B$2004,"&gt;="&amp;$BC$1,周转筐出入库明细!$B$4:$B$2004,"&lt;="&amp;$BC$2))</f>
        <v/>
      </c>
      <c r="T167" s="25" t="str">
        <f t="shared" si="27"/>
        <v/>
      </c>
      <c r="U167" s="25" t="str">
        <f>IF(OR($B167="",基础资料!$B$4=""),"",SUMIFS(周转筐出入库明细!$K$4:$K$2004,周转筐出入库明细!$C$4:$C$2004,$B167,周转筐出入库明细!$D$4:$D$2004,基础资料!$B$4,周转筐出入库明细!$B$4:$B$2004,"&gt;="&amp;$BC$1,周转筐出入库明细!$B$4:$B$2004,"&lt;="&amp;$BC$2))</f>
        <v/>
      </c>
      <c r="V167" s="25" t="str">
        <f>IF(OR($B167="",基础资料!$B$5=""),"",SUMIFS(周转筐出入库明细!$K$4:$K$2004,周转筐出入库明细!$C$4:$C$2004,$B167,周转筐出入库明细!$D$4:$D$2004,基础资料!$B$5,周转筐出入库明细!$B$4:$B$2004,"&gt;="&amp;$BC$1,周转筐出入库明细!$B$4:$B$2004,"&lt;="&amp;$BC$2))</f>
        <v/>
      </c>
      <c r="W167" s="25" t="str">
        <f>IF(OR($B167="",基础资料!$B$6=""),"",SUMIFS(周转筐出入库明细!$K$4:$K$2004,周转筐出入库明细!$C$4:$C$2004,$B167,周转筐出入库明细!$D$4:$D$2004,基础资料!$B$6,周转筐出入库明细!$B$4:$B$2004,"&gt;="&amp;$BC$1,周转筐出入库明细!$B$4:$B$2004,"&lt;="&amp;$BC$2))</f>
        <v/>
      </c>
      <c r="X167" s="25" t="str">
        <f>IF(OR($B167="",基础资料!$B$7=""),"",SUMIFS(周转筐出入库明细!$K$4:$K$2004,周转筐出入库明细!$C$4:$C$2004,$B167,周转筐出入库明细!$D$4:$D$2004,基础资料!$B$7,周转筐出入库明细!$B$4:$B$2004,"&gt;="&amp;$BC$1,周转筐出入库明细!$B$4:$B$2004,"&lt;="&amp;$BC$2))</f>
        <v/>
      </c>
      <c r="Y167" s="25" t="str">
        <f>IF(OR($B167="",基础资料!$B$8=""),"",SUMIFS(周转筐出入库明细!$K$4:$K$2004,周转筐出入库明细!$C$4:$C$2004,$B167,周转筐出入库明细!$D$4:$D$2004,基础资料!$B$8,周转筐出入库明细!$B$4:$B$2004,"&gt;="&amp;$BC$1,周转筐出入库明细!$B$4:$B$2004,"&lt;="&amp;$BC$2))</f>
        <v/>
      </c>
      <c r="Z167" s="25" t="str">
        <f t="shared" si="28"/>
        <v/>
      </c>
      <c r="AA167" s="67" t="str">
        <f>IF(OR($B167="",基础资料!$B$4=""),"",-SUMIFS(对接源_01水果筐数!$D$5:$D$304,对接源_01水果筐数!$B$5:$B$304,$B167,对接源_01水果筐数!$C$5:$C$304,基础资料!$B$4))</f>
        <v/>
      </c>
      <c r="AB167" s="67" t="str">
        <f>IF(OR($B167="",基础资料!$B$5=""),"",-SUMIFS(对接源_01水果筐数!$D$5:$D$304,对接源_01水果筐数!$B$5:$B$304,$B167,对接源_01水果筐数!$C$5:$C$304,基础资料!$B$5))</f>
        <v/>
      </c>
      <c r="AC167" s="67" t="str">
        <f>IF(OR($B167="",基础资料!$B$6=""),"",-SUMIFS(对接源_01水果筐数!$D$5:$D$304,对接源_01水果筐数!$B$5:$B$304,$B167,对接源_01水果筐数!$C$5:$C$304,基础资料!$B$6))</f>
        <v/>
      </c>
      <c r="AD167" s="67" t="str">
        <f>IF(OR($B167="",基础资料!$B$7=""),"",-SUMIFS(对接源_01水果筐数!$D$5:$D$304,对接源_01水果筐数!$B$5:$B$304,$B167,对接源_01水果筐数!$C$5:$C$304,基础资料!$B$7))</f>
        <v/>
      </c>
      <c r="AE167" s="67" t="str">
        <f>IF(OR($B167="",基础资料!$B$8=""),"",-SUMIFS(对接源_01水果筐数!$D$5:$D$304,对接源_01水果筐数!$B$5:$B$304,$B167,对接源_01水果筐数!$C$5:$C$304,基础资料!$B$8))</f>
        <v/>
      </c>
      <c r="AF167" s="25" t="str">
        <f>IF(OR($B167="",基础资料!$B$4=""),"",SUMIFS(对接源_01水果筐数!$E$5:$E$304,对接源_01水果筐数!$B$5:$B$304,$B167,对接源_01水果筐数!$C$5:$C$304,基础资料!$B$4))</f>
        <v/>
      </c>
      <c r="AG167" s="25" t="str">
        <f>IF(OR($B167="",基础资料!$B$5=""),"",SUMIFS(对接源_01水果筐数!$E$5:$E$304,对接源_01水果筐数!$B$5:$B$304,$B167,对接源_01水果筐数!$C$5:$C$304,基础资料!$B$5))</f>
        <v/>
      </c>
      <c r="AH167" s="25" t="str">
        <f>IF(OR($B167="",基础资料!$B$6=""),"",SUMIFS(对接源_01水果筐数!$E$5:$E$304,对接源_01水果筐数!$B$5:$B$304,$B167,对接源_01水果筐数!$C$5:$C$304,基础资料!$B$6))</f>
        <v/>
      </c>
      <c r="AI167" s="25" t="str">
        <f>IF(OR($B167="",基础资料!$B$7=""),"",SUMIFS(对接源_01水果筐数!$E$5:$E$304,对接源_01水果筐数!$B$5:$B$304,$B167,对接源_01水果筐数!$C$5:$C$304,基础资料!$B$7))</f>
        <v/>
      </c>
      <c r="AJ167" s="25" t="str">
        <f>IF(OR($B167="",基础资料!$B$8=""),"",SUMIFS(对接源_01水果筐数!$E$5:$E$304,对接源_01水果筐数!$B$5:$B$304,$B167,对接源_01水果筐数!$C$5:$C$304,基础资料!$B$8))</f>
        <v/>
      </c>
      <c r="AK167" s="25" t="str">
        <f>IF(OR($B167="",基础资料!$B$4=""),"",SUMIFS(对接源_01水果筐数!$F$5:$F$304,对接源_01水果筐数!$B$5:$B$304,$B167,对接源_01水果筐数!$C$5:$C$304,基础资料!$B$4))</f>
        <v/>
      </c>
      <c r="AL167" s="25" t="str">
        <f>IF(OR($B167="",基础资料!$B$5=""),"",SUMIFS(对接源_01水果筐数!$F$5:$F$304,对接源_01水果筐数!$B$5:$B$304,$B167,对接源_01水果筐数!$C$5:$C$304,基础资料!$B$5))</f>
        <v/>
      </c>
      <c r="AM167" s="25" t="str">
        <f>IF(OR($B167="",基础资料!$B$6=""),"",SUMIFS(对接源_01水果筐数!$F$5:$F$304,对接源_01水果筐数!$B$5:$B$304,$B167,对接源_01水果筐数!$C$5:$C$304,基础资料!$B$6))</f>
        <v/>
      </c>
      <c r="AN167" s="25" t="str">
        <f>IF(OR($B167="",基础资料!$B$7=""),"",SUMIFS(对接源_01水果筐数!$F$5:$F$304,对接源_01水果筐数!$B$5:$B$304,$B167,对接源_01水果筐数!$C$5:$C$304,基础资料!$B$7))</f>
        <v/>
      </c>
      <c r="AO167" s="25" t="str">
        <f>IF(OR($B167="",基础资料!$B$8=""),"",SUMIFS(对接源_01水果筐数!$F$5:$F$304,对接源_01水果筐数!$B$5:$B$304,$B167,对接源_01水果筐数!$C$5:$C$304,基础资料!$B$8))</f>
        <v/>
      </c>
      <c r="AP167" s="25" t="str">
        <f t="shared" si="29"/>
        <v/>
      </c>
      <c r="AQ167" s="25" t="str">
        <f t="shared" si="30"/>
        <v/>
      </c>
      <c r="AR167" s="25" t="str">
        <f t="shared" si="31"/>
        <v/>
      </c>
      <c r="AS167" s="25" t="str">
        <f t="shared" si="32"/>
        <v/>
      </c>
      <c r="AT167" s="25" t="str">
        <f t="shared" si="33"/>
        <v/>
      </c>
      <c r="AU167" s="25" t="str">
        <f t="shared" si="34"/>
        <v/>
      </c>
      <c r="AV167" s="24" t="str">
        <f t="shared" si="35"/>
        <v/>
      </c>
      <c r="AW167" s="72"/>
    </row>
    <row r="168" spans="1:49">
      <c r="A168" s="22" t="str">
        <f t="shared" si="24"/>
        <v/>
      </c>
      <c r="B168" s="24" t="str">
        <f>IFERROR(INDEX(_自动清单!$CC$4:$CC$253,ROW()-3),"")</f>
        <v/>
      </c>
      <c r="C168" s="25" t="str">
        <f>IF(OR($B168="",基础资料!$B$4=""),"",SUMIFS(周转筐出入库明细!$J$4:$J$2004,周转筐出入库明细!$C$4:$C$2004,$B168,周转筐出入库明细!$D$4:$D$2004,基础资料!$B$4,周转筐出入库明细!$B$4:$B$2004,"&gt;="&amp;$BC$1,周转筐出入库明细!$B$4:$B$2004,"&lt;="&amp;$BC$2))</f>
        <v/>
      </c>
      <c r="D168" s="25" t="str">
        <f>IF(OR($B168="",基础资料!$B$5=""),"",SUMIFS(周转筐出入库明细!$J$4:$J$2004,周转筐出入库明细!$C$4:$C$2004,$B168,周转筐出入库明细!$D$4:$D$2004,基础资料!$B$5,周转筐出入库明细!$B$4:$B$2004,"&gt;="&amp;$BC$1,周转筐出入库明细!$B$4:$B$2004,"&lt;="&amp;$BC$2))</f>
        <v/>
      </c>
      <c r="E168" s="25" t="str">
        <f>IF(OR($B168="",基础资料!$B$6=""),"",SUMIFS(周转筐出入库明细!$J$4:$J$2004,周转筐出入库明细!$C$4:$C$2004,$B168,周转筐出入库明细!$D$4:$D$2004,基础资料!$B$6,周转筐出入库明细!$B$4:$B$2004,"&gt;="&amp;$BC$1,周转筐出入库明细!$B$4:$B$2004,"&lt;="&amp;$BC$2))</f>
        <v/>
      </c>
      <c r="F168" s="25" t="str">
        <f>IF(OR($B168="",基础资料!$B$7=""),"",SUMIFS(周转筐出入库明细!$J$4:$J$2004,周转筐出入库明细!$C$4:$C$2004,$B168,周转筐出入库明细!$D$4:$D$2004,基础资料!$B$7,周转筐出入库明细!$B$4:$B$2004,"&gt;="&amp;$BC$1,周转筐出入库明细!$B$4:$B$2004,"&lt;="&amp;$BC$2))</f>
        <v/>
      </c>
      <c r="G168" s="25" t="str">
        <f>IF(OR($B168="",基础资料!$B$8=""),"",SUMIFS(周转筐出入库明细!$J$4:$J$2004,周转筐出入库明细!$C$4:$C$2004,$B168,周转筐出入库明细!$D$4:$D$2004,基础资料!$B$8,周转筐出入库明细!$B$4:$B$2004,"&gt;="&amp;$BC$1,周转筐出入库明细!$B$4:$B$2004,"&lt;="&amp;$BC$2))</f>
        <v/>
      </c>
      <c r="H168" s="25" t="str">
        <f t="shared" si="25"/>
        <v/>
      </c>
      <c r="I168" s="67" t="str">
        <f>IF(OR($B168="",基础资料!$B$4=""),"",-SUMIFS(周转筐出入库明细!$I$4:$I$2004,周转筐出入库明细!$C$4:$C$2004,$B168,周转筐出入库明细!$D$4:$D$2004,基础资料!$B$4,周转筐出入库明细!$B$4:$B$2004,"&gt;="&amp;$BC$1,周转筐出入库明细!$B$4:$B$2004,"&lt;="&amp;$BC$2))</f>
        <v/>
      </c>
      <c r="J168" s="67" t="str">
        <f>IF(OR($B168="",基础资料!$B$5=""),"",-SUMIFS(周转筐出入库明细!$I$4:$I$2004,周转筐出入库明细!$C$4:$C$2004,$B168,周转筐出入库明细!$D$4:$D$2004,基础资料!$B$5,周转筐出入库明细!$B$4:$B$2004,"&gt;="&amp;$BC$1,周转筐出入库明细!$B$4:$B$2004,"&lt;="&amp;$BC$2))</f>
        <v/>
      </c>
      <c r="K168" s="67" t="str">
        <f>IF(OR($B168="",基础资料!$B$6=""),"",-SUMIFS(周转筐出入库明细!$I$4:$I$2004,周转筐出入库明细!$C$4:$C$2004,$B168,周转筐出入库明细!$D$4:$D$2004,基础资料!$B$6,周转筐出入库明细!$B$4:$B$2004,"&gt;="&amp;$BC$1,周转筐出入库明细!$B$4:$B$2004,"&lt;="&amp;$BC$2))</f>
        <v/>
      </c>
      <c r="L168" s="67" t="str">
        <f>IF(OR($B168="",基础资料!$B$7=""),"",-SUMIFS(周转筐出入库明细!$I$4:$I$2004,周转筐出入库明细!$C$4:$C$2004,$B168,周转筐出入库明细!$D$4:$D$2004,基础资料!$B$7,周转筐出入库明细!$B$4:$B$2004,"&gt;="&amp;$BC$1,周转筐出入库明细!$B$4:$B$2004,"&lt;="&amp;$BC$2))</f>
        <v/>
      </c>
      <c r="M168" s="67" t="str">
        <f>IF(OR($B168="",基础资料!$B$8=""),"",-SUMIFS(周转筐出入库明细!$I$4:$I$2004,周转筐出入库明细!$C$4:$C$2004,$B168,周转筐出入库明细!$D$4:$D$2004,基础资料!$B$8,周转筐出入库明细!$B$4:$B$2004,"&gt;="&amp;$BC$1,周转筐出入库明细!$B$4:$B$2004,"&lt;="&amp;$BC$2))</f>
        <v/>
      </c>
      <c r="N168" s="67" t="str">
        <f t="shared" si="26"/>
        <v/>
      </c>
      <c r="O168" s="25" t="str">
        <f>IF(OR($B168="",基础资料!$B$4=""),"",SUMIFS(周转筐出入库明细!$H$4:$H$2004,周转筐出入库明细!$C$4:$C$2004,$B168,周转筐出入库明细!$D$4:$D$2004,基础资料!$B$4,周转筐出入库明细!$F$4:$F$2004,"采购入库",周转筐出入库明细!$B$4:$B$2004,"&gt;="&amp;$BC$1,周转筐出入库明细!$B$4:$B$2004,"&lt;="&amp;$BC$2))</f>
        <v/>
      </c>
      <c r="P168" s="25" t="str">
        <f>IF(OR($B168="",基础资料!$B$5=""),"",SUMIFS(周转筐出入库明细!$H$4:$H$2004,周转筐出入库明细!$C$4:$C$2004,$B168,周转筐出入库明细!$D$4:$D$2004,基础资料!$B$5,周转筐出入库明细!$F$4:$F$2004,"采购入库",周转筐出入库明细!$B$4:$B$2004,"&gt;="&amp;$BC$1,周转筐出入库明细!$B$4:$B$2004,"&lt;="&amp;$BC$2))</f>
        <v/>
      </c>
      <c r="Q168" s="25" t="str">
        <f>IF(OR($B168="",基础资料!$B$6=""),"",SUMIFS(周转筐出入库明细!$H$4:$H$2004,周转筐出入库明细!$C$4:$C$2004,$B168,周转筐出入库明细!$D$4:$D$2004,基础资料!$B$6,周转筐出入库明细!$F$4:$F$2004,"采购入库",周转筐出入库明细!$B$4:$B$2004,"&gt;="&amp;$BC$1,周转筐出入库明细!$B$4:$B$2004,"&lt;="&amp;$BC$2))</f>
        <v/>
      </c>
      <c r="R168" s="25" t="str">
        <f>IF(OR($B168="",基础资料!$B$7=""),"",SUMIFS(周转筐出入库明细!$H$4:$H$2004,周转筐出入库明细!$C$4:$C$2004,$B168,周转筐出入库明细!$D$4:$D$2004,基础资料!$B$7,周转筐出入库明细!$F$4:$F$2004,"采购入库",周转筐出入库明细!$B$4:$B$2004,"&gt;="&amp;$BC$1,周转筐出入库明细!$B$4:$B$2004,"&lt;="&amp;$BC$2))</f>
        <v/>
      </c>
      <c r="S168" s="25" t="str">
        <f>IF(OR($B168="",基础资料!$B$8=""),"",SUMIFS(周转筐出入库明细!$H$4:$H$2004,周转筐出入库明细!$C$4:$C$2004,$B168,周转筐出入库明细!$D$4:$D$2004,基础资料!$B$8,周转筐出入库明细!$F$4:$F$2004,"采购入库",周转筐出入库明细!$B$4:$B$2004,"&gt;="&amp;$BC$1,周转筐出入库明细!$B$4:$B$2004,"&lt;="&amp;$BC$2))</f>
        <v/>
      </c>
      <c r="T168" s="25" t="str">
        <f t="shared" si="27"/>
        <v/>
      </c>
      <c r="U168" s="25" t="str">
        <f>IF(OR($B168="",基础资料!$B$4=""),"",SUMIFS(周转筐出入库明细!$K$4:$K$2004,周转筐出入库明细!$C$4:$C$2004,$B168,周转筐出入库明细!$D$4:$D$2004,基础资料!$B$4,周转筐出入库明细!$B$4:$B$2004,"&gt;="&amp;$BC$1,周转筐出入库明细!$B$4:$B$2004,"&lt;="&amp;$BC$2))</f>
        <v/>
      </c>
      <c r="V168" s="25" t="str">
        <f>IF(OR($B168="",基础资料!$B$5=""),"",SUMIFS(周转筐出入库明细!$K$4:$K$2004,周转筐出入库明细!$C$4:$C$2004,$B168,周转筐出入库明细!$D$4:$D$2004,基础资料!$B$5,周转筐出入库明细!$B$4:$B$2004,"&gt;="&amp;$BC$1,周转筐出入库明细!$B$4:$B$2004,"&lt;="&amp;$BC$2))</f>
        <v/>
      </c>
      <c r="W168" s="25" t="str">
        <f>IF(OR($B168="",基础资料!$B$6=""),"",SUMIFS(周转筐出入库明细!$K$4:$K$2004,周转筐出入库明细!$C$4:$C$2004,$B168,周转筐出入库明细!$D$4:$D$2004,基础资料!$B$6,周转筐出入库明细!$B$4:$B$2004,"&gt;="&amp;$BC$1,周转筐出入库明细!$B$4:$B$2004,"&lt;="&amp;$BC$2))</f>
        <v/>
      </c>
      <c r="X168" s="25" t="str">
        <f>IF(OR($B168="",基础资料!$B$7=""),"",SUMIFS(周转筐出入库明细!$K$4:$K$2004,周转筐出入库明细!$C$4:$C$2004,$B168,周转筐出入库明细!$D$4:$D$2004,基础资料!$B$7,周转筐出入库明细!$B$4:$B$2004,"&gt;="&amp;$BC$1,周转筐出入库明细!$B$4:$B$2004,"&lt;="&amp;$BC$2))</f>
        <v/>
      </c>
      <c r="Y168" s="25" t="str">
        <f>IF(OR($B168="",基础资料!$B$8=""),"",SUMIFS(周转筐出入库明细!$K$4:$K$2004,周转筐出入库明细!$C$4:$C$2004,$B168,周转筐出入库明细!$D$4:$D$2004,基础资料!$B$8,周转筐出入库明细!$B$4:$B$2004,"&gt;="&amp;$BC$1,周转筐出入库明细!$B$4:$B$2004,"&lt;="&amp;$BC$2))</f>
        <v/>
      </c>
      <c r="Z168" s="25" t="str">
        <f t="shared" si="28"/>
        <v/>
      </c>
      <c r="AA168" s="67" t="str">
        <f>IF(OR($B168="",基础资料!$B$4=""),"",-SUMIFS(对接源_01水果筐数!$D$5:$D$304,对接源_01水果筐数!$B$5:$B$304,$B168,对接源_01水果筐数!$C$5:$C$304,基础资料!$B$4))</f>
        <v/>
      </c>
      <c r="AB168" s="67" t="str">
        <f>IF(OR($B168="",基础资料!$B$5=""),"",-SUMIFS(对接源_01水果筐数!$D$5:$D$304,对接源_01水果筐数!$B$5:$B$304,$B168,对接源_01水果筐数!$C$5:$C$304,基础资料!$B$5))</f>
        <v/>
      </c>
      <c r="AC168" s="67" t="str">
        <f>IF(OR($B168="",基础资料!$B$6=""),"",-SUMIFS(对接源_01水果筐数!$D$5:$D$304,对接源_01水果筐数!$B$5:$B$304,$B168,对接源_01水果筐数!$C$5:$C$304,基础资料!$B$6))</f>
        <v/>
      </c>
      <c r="AD168" s="67" t="str">
        <f>IF(OR($B168="",基础资料!$B$7=""),"",-SUMIFS(对接源_01水果筐数!$D$5:$D$304,对接源_01水果筐数!$B$5:$B$304,$B168,对接源_01水果筐数!$C$5:$C$304,基础资料!$B$7))</f>
        <v/>
      </c>
      <c r="AE168" s="67" t="str">
        <f>IF(OR($B168="",基础资料!$B$8=""),"",-SUMIFS(对接源_01水果筐数!$D$5:$D$304,对接源_01水果筐数!$B$5:$B$304,$B168,对接源_01水果筐数!$C$5:$C$304,基础资料!$B$8))</f>
        <v/>
      </c>
      <c r="AF168" s="25" t="str">
        <f>IF(OR($B168="",基础资料!$B$4=""),"",SUMIFS(对接源_01水果筐数!$E$5:$E$304,对接源_01水果筐数!$B$5:$B$304,$B168,对接源_01水果筐数!$C$5:$C$304,基础资料!$B$4))</f>
        <v/>
      </c>
      <c r="AG168" s="25" t="str">
        <f>IF(OR($B168="",基础资料!$B$5=""),"",SUMIFS(对接源_01水果筐数!$E$5:$E$304,对接源_01水果筐数!$B$5:$B$304,$B168,对接源_01水果筐数!$C$5:$C$304,基础资料!$B$5))</f>
        <v/>
      </c>
      <c r="AH168" s="25" t="str">
        <f>IF(OR($B168="",基础资料!$B$6=""),"",SUMIFS(对接源_01水果筐数!$E$5:$E$304,对接源_01水果筐数!$B$5:$B$304,$B168,对接源_01水果筐数!$C$5:$C$304,基础资料!$B$6))</f>
        <v/>
      </c>
      <c r="AI168" s="25" t="str">
        <f>IF(OR($B168="",基础资料!$B$7=""),"",SUMIFS(对接源_01水果筐数!$E$5:$E$304,对接源_01水果筐数!$B$5:$B$304,$B168,对接源_01水果筐数!$C$5:$C$304,基础资料!$B$7))</f>
        <v/>
      </c>
      <c r="AJ168" s="25" t="str">
        <f>IF(OR($B168="",基础资料!$B$8=""),"",SUMIFS(对接源_01水果筐数!$E$5:$E$304,对接源_01水果筐数!$B$5:$B$304,$B168,对接源_01水果筐数!$C$5:$C$304,基础资料!$B$8))</f>
        <v/>
      </c>
      <c r="AK168" s="25" t="str">
        <f>IF(OR($B168="",基础资料!$B$4=""),"",SUMIFS(对接源_01水果筐数!$F$5:$F$304,对接源_01水果筐数!$B$5:$B$304,$B168,对接源_01水果筐数!$C$5:$C$304,基础资料!$B$4))</f>
        <v/>
      </c>
      <c r="AL168" s="25" t="str">
        <f>IF(OR($B168="",基础资料!$B$5=""),"",SUMIFS(对接源_01水果筐数!$F$5:$F$304,对接源_01水果筐数!$B$5:$B$304,$B168,对接源_01水果筐数!$C$5:$C$304,基础资料!$B$5))</f>
        <v/>
      </c>
      <c r="AM168" s="25" t="str">
        <f>IF(OR($B168="",基础资料!$B$6=""),"",SUMIFS(对接源_01水果筐数!$F$5:$F$304,对接源_01水果筐数!$B$5:$B$304,$B168,对接源_01水果筐数!$C$5:$C$304,基础资料!$B$6))</f>
        <v/>
      </c>
      <c r="AN168" s="25" t="str">
        <f>IF(OR($B168="",基础资料!$B$7=""),"",SUMIFS(对接源_01水果筐数!$F$5:$F$304,对接源_01水果筐数!$B$5:$B$304,$B168,对接源_01水果筐数!$C$5:$C$304,基础资料!$B$7))</f>
        <v/>
      </c>
      <c r="AO168" s="25" t="str">
        <f>IF(OR($B168="",基础资料!$B$8=""),"",SUMIFS(对接源_01水果筐数!$F$5:$F$304,对接源_01水果筐数!$B$5:$B$304,$B168,对接源_01水果筐数!$C$5:$C$304,基础资料!$B$8))</f>
        <v/>
      </c>
      <c r="AP168" s="25" t="str">
        <f t="shared" si="29"/>
        <v/>
      </c>
      <c r="AQ168" s="25" t="str">
        <f t="shared" si="30"/>
        <v/>
      </c>
      <c r="AR168" s="25" t="str">
        <f t="shared" si="31"/>
        <v/>
      </c>
      <c r="AS168" s="25" t="str">
        <f t="shared" si="32"/>
        <v/>
      </c>
      <c r="AT168" s="25" t="str">
        <f t="shared" si="33"/>
        <v/>
      </c>
      <c r="AU168" s="25" t="str">
        <f t="shared" si="34"/>
        <v/>
      </c>
      <c r="AV168" s="24" t="str">
        <f t="shared" si="35"/>
        <v/>
      </c>
      <c r="AW168" s="72"/>
    </row>
    <row r="169" spans="1:49">
      <c r="A169" s="22" t="str">
        <f t="shared" si="24"/>
        <v/>
      </c>
      <c r="B169" s="24" t="str">
        <f>IFERROR(INDEX(_自动清单!$CC$4:$CC$253,ROW()-3),"")</f>
        <v/>
      </c>
      <c r="C169" s="25" t="str">
        <f>IF(OR($B169="",基础资料!$B$4=""),"",SUMIFS(周转筐出入库明细!$J$4:$J$2004,周转筐出入库明细!$C$4:$C$2004,$B169,周转筐出入库明细!$D$4:$D$2004,基础资料!$B$4,周转筐出入库明细!$B$4:$B$2004,"&gt;="&amp;$BC$1,周转筐出入库明细!$B$4:$B$2004,"&lt;="&amp;$BC$2))</f>
        <v/>
      </c>
      <c r="D169" s="25" t="str">
        <f>IF(OR($B169="",基础资料!$B$5=""),"",SUMIFS(周转筐出入库明细!$J$4:$J$2004,周转筐出入库明细!$C$4:$C$2004,$B169,周转筐出入库明细!$D$4:$D$2004,基础资料!$B$5,周转筐出入库明细!$B$4:$B$2004,"&gt;="&amp;$BC$1,周转筐出入库明细!$B$4:$B$2004,"&lt;="&amp;$BC$2))</f>
        <v/>
      </c>
      <c r="E169" s="25" t="str">
        <f>IF(OR($B169="",基础资料!$B$6=""),"",SUMIFS(周转筐出入库明细!$J$4:$J$2004,周转筐出入库明细!$C$4:$C$2004,$B169,周转筐出入库明细!$D$4:$D$2004,基础资料!$B$6,周转筐出入库明细!$B$4:$B$2004,"&gt;="&amp;$BC$1,周转筐出入库明细!$B$4:$B$2004,"&lt;="&amp;$BC$2))</f>
        <v/>
      </c>
      <c r="F169" s="25" t="str">
        <f>IF(OR($B169="",基础资料!$B$7=""),"",SUMIFS(周转筐出入库明细!$J$4:$J$2004,周转筐出入库明细!$C$4:$C$2004,$B169,周转筐出入库明细!$D$4:$D$2004,基础资料!$B$7,周转筐出入库明细!$B$4:$B$2004,"&gt;="&amp;$BC$1,周转筐出入库明细!$B$4:$B$2004,"&lt;="&amp;$BC$2))</f>
        <v/>
      </c>
      <c r="G169" s="25" t="str">
        <f>IF(OR($B169="",基础资料!$B$8=""),"",SUMIFS(周转筐出入库明细!$J$4:$J$2004,周转筐出入库明细!$C$4:$C$2004,$B169,周转筐出入库明细!$D$4:$D$2004,基础资料!$B$8,周转筐出入库明细!$B$4:$B$2004,"&gt;="&amp;$BC$1,周转筐出入库明细!$B$4:$B$2004,"&lt;="&amp;$BC$2))</f>
        <v/>
      </c>
      <c r="H169" s="25" t="str">
        <f t="shared" si="25"/>
        <v/>
      </c>
      <c r="I169" s="67" t="str">
        <f>IF(OR($B169="",基础资料!$B$4=""),"",-SUMIFS(周转筐出入库明细!$I$4:$I$2004,周转筐出入库明细!$C$4:$C$2004,$B169,周转筐出入库明细!$D$4:$D$2004,基础资料!$B$4,周转筐出入库明细!$B$4:$B$2004,"&gt;="&amp;$BC$1,周转筐出入库明细!$B$4:$B$2004,"&lt;="&amp;$BC$2))</f>
        <v/>
      </c>
      <c r="J169" s="67" t="str">
        <f>IF(OR($B169="",基础资料!$B$5=""),"",-SUMIFS(周转筐出入库明细!$I$4:$I$2004,周转筐出入库明细!$C$4:$C$2004,$B169,周转筐出入库明细!$D$4:$D$2004,基础资料!$B$5,周转筐出入库明细!$B$4:$B$2004,"&gt;="&amp;$BC$1,周转筐出入库明细!$B$4:$B$2004,"&lt;="&amp;$BC$2))</f>
        <v/>
      </c>
      <c r="K169" s="67" t="str">
        <f>IF(OR($B169="",基础资料!$B$6=""),"",-SUMIFS(周转筐出入库明细!$I$4:$I$2004,周转筐出入库明细!$C$4:$C$2004,$B169,周转筐出入库明细!$D$4:$D$2004,基础资料!$B$6,周转筐出入库明细!$B$4:$B$2004,"&gt;="&amp;$BC$1,周转筐出入库明细!$B$4:$B$2004,"&lt;="&amp;$BC$2))</f>
        <v/>
      </c>
      <c r="L169" s="67" t="str">
        <f>IF(OR($B169="",基础资料!$B$7=""),"",-SUMIFS(周转筐出入库明细!$I$4:$I$2004,周转筐出入库明细!$C$4:$C$2004,$B169,周转筐出入库明细!$D$4:$D$2004,基础资料!$B$7,周转筐出入库明细!$B$4:$B$2004,"&gt;="&amp;$BC$1,周转筐出入库明细!$B$4:$B$2004,"&lt;="&amp;$BC$2))</f>
        <v/>
      </c>
      <c r="M169" s="67" t="str">
        <f>IF(OR($B169="",基础资料!$B$8=""),"",-SUMIFS(周转筐出入库明细!$I$4:$I$2004,周转筐出入库明细!$C$4:$C$2004,$B169,周转筐出入库明细!$D$4:$D$2004,基础资料!$B$8,周转筐出入库明细!$B$4:$B$2004,"&gt;="&amp;$BC$1,周转筐出入库明细!$B$4:$B$2004,"&lt;="&amp;$BC$2))</f>
        <v/>
      </c>
      <c r="N169" s="67" t="str">
        <f t="shared" si="26"/>
        <v/>
      </c>
      <c r="O169" s="25" t="str">
        <f>IF(OR($B169="",基础资料!$B$4=""),"",SUMIFS(周转筐出入库明细!$H$4:$H$2004,周转筐出入库明细!$C$4:$C$2004,$B169,周转筐出入库明细!$D$4:$D$2004,基础资料!$B$4,周转筐出入库明细!$F$4:$F$2004,"采购入库",周转筐出入库明细!$B$4:$B$2004,"&gt;="&amp;$BC$1,周转筐出入库明细!$B$4:$B$2004,"&lt;="&amp;$BC$2))</f>
        <v/>
      </c>
      <c r="P169" s="25" t="str">
        <f>IF(OR($B169="",基础资料!$B$5=""),"",SUMIFS(周转筐出入库明细!$H$4:$H$2004,周转筐出入库明细!$C$4:$C$2004,$B169,周转筐出入库明细!$D$4:$D$2004,基础资料!$B$5,周转筐出入库明细!$F$4:$F$2004,"采购入库",周转筐出入库明细!$B$4:$B$2004,"&gt;="&amp;$BC$1,周转筐出入库明细!$B$4:$B$2004,"&lt;="&amp;$BC$2))</f>
        <v/>
      </c>
      <c r="Q169" s="25" t="str">
        <f>IF(OR($B169="",基础资料!$B$6=""),"",SUMIFS(周转筐出入库明细!$H$4:$H$2004,周转筐出入库明细!$C$4:$C$2004,$B169,周转筐出入库明细!$D$4:$D$2004,基础资料!$B$6,周转筐出入库明细!$F$4:$F$2004,"采购入库",周转筐出入库明细!$B$4:$B$2004,"&gt;="&amp;$BC$1,周转筐出入库明细!$B$4:$B$2004,"&lt;="&amp;$BC$2))</f>
        <v/>
      </c>
      <c r="R169" s="25" t="str">
        <f>IF(OR($B169="",基础资料!$B$7=""),"",SUMIFS(周转筐出入库明细!$H$4:$H$2004,周转筐出入库明细!$C$4:$C$2004,$B169,周转筐出入库明细!$D$4:$D$2004,基础资料!$B$7,周转筐出入库明细!$F$4:$F$2004,"采购入库",周转筐出入库明细!$B$4:$B$2004,"&gt;="&amp;$BC$1,周转筐出入库明细!$B$4:$B$2004,"&lt;="&amp;$BC$2))</f>
        <v/>
      </c>
      <c r="S169" s="25" t="str">
        <f>IF(OR($B169="",基础资料!$B$8=""),"",SUMIFS(周转筐出入库明细!$H$4:$H$2004,周转筐出入库明细!$C$4:$C$2004,$B169,周转筐出入库明细!$D$4:$D$2004,基础资料!$B$8,周转筐出入库明细!$F$4:$F$2004,"采购入库",周转筐出入库明细!$B$4:$B$2004,"&gt;="&amp;$BC$1,周转筐出入库明细!$B$4:$B$2004,"&lt;="&amp;$BC$2))</f>
        <v/>
      </c>
      <c r="T169" s="25" t="str">
        <f t="shared" si="27"/>
        <v/>
      </c>
      <c r="U169" s="25" t="str">
        <f>IF(OR($B169="",基础资料!$B$4=""),"",SUMIFS(周转筐出入库明细!$K$4:$K$2004,周转筐出入库明细!$C$4:$C$2004,$B169,周转筐出入库明细!$D$4:$D$2004,基础资料!$B$4,周转筐出入库明细!$B$4:$B$2004,"&gt;="&amp;$BC$1,周转筐出入库明细!$B$4:$B$2004,"&lt;="&amp;$BC$2))</f>
        <v/>
      </c>
      <c r="V169" s="25" t="str">
        <f>IF(OR($B169="",基础资料!$B$5=""),"",SUMIFS(周转筐出入库明细!$K$4:$K$2004,周转筐出入库明细!$C$4:$C$2004,$B169,周转筐出入库明细!$D$4:$D$2004,基础资料!$B$5,周转筐出入库明细!$B$4:$B$2004,"&gt;="&amp;$BC$1,周转筐出入库明细!$B$4:$B$2004,"&lt;="&amp;$BC$2))</f>
        <v/>
      </c>
      <c r="W169" s="25" t="str">
        <f>IF(OR($B169="",基础资料!$B$6=""),"",SUMIFS(周转筐出入库明细!$K$4:$K$2004,周转筐出入库明细!$C$4:$C$2004,$B169,周转筐出入库明细!$D$4:$D$2004,基础资料!$B$6,周转筐出入库明细!$B$4:$B$2004,"&gt;="&amp;$BC$1,周转筐出入库明细!$B$4:$B$2004,"&lt;="&amp;$BC$2))</f>
        <v/>
      </c>
      <c r="X169" s="25" t="str">
        <f>IF(OR($B169="",基础资料!$B$7=""),"",SUMIFS(周转筐出入库明细!$K$4:$K$2004,周转筐出入库明细!$C$4:$C$2004,$B169,周转筐出入库明细!$D$4:$D$2004,基础资料!$B$7,周转筐出入库明细!$B$4:$B$2004,"&gt;="&amp;$BC$1,周转筐出入库明细!$B$4:$B$2004,"&lt;="&amp;$BC$2))</f>
        <v/>
      </c>
      <c r="Y169" s="25" t="str">
        <f>IF(OR($B169="",基础资料!$B$8=""),"",SUMIFS(周转筐出入库明细!$K$4:$K$2004,周转筐出入库明细!$C$4:$C$2004,$B169,周转筐出入库明细!$D$4:$D$2004,基础资料!$B$8,周转筐出入库明细!$B$4:$B$2004,"&gt;="&amp;$BC$1,周转筐出入库明细!$B$4:$B$2004,"&lt;="&amp;$BC$2))</f>
        <v/>
      </c>
      <c r="Z169" s="25" t="str">
        <f t="shared" si="28"/>
        <v/>
      </c>
      <c r="AA169" s="67" t="str">
        <f>IF(OR($B169="",基础资料!$B$4=""),"",-SUMIFS(对接源_01水果筐数!$D$5:$D$304,对接源_01水果筐数!$B$5:$B$304,$B169,对接源_01水果筐数!$C$5:$C$304,基础资料!$B$4))</f>
        <v/>
      </c>
      <c r="AB169" s="67" t="str">
        <f>IF(OR($B169="",基础资料!$B$5=""),"",-SUMIFS(对接源_01水果筐数!$D$5:$D$304,对接源_01水果筐数!$B$5:$B$304,$B169,对接源_01水果筐数!$C$5:$C$304,基础资料!$B$5))</f>
        <v/>
      </c>
      <c r="AC169" s="67" t="str">
        <f>IF(OR($B169="",基础资料!$B$6=""),"",-SUMIFS(对接源_01水果筐数!$D$5:$D$304,对接源_01水果筐数!$B$5:$B$304,$B169,对接源_01水果筐数!$C$5:$C$304,基础资料!$B$6))</f>
        <v/>
      </c>
      <c r="AD169" s="67" t="str">
        <f>IF(OR($B169="",基础资料!$B$7=""),"",-SUMIFS(对接源_01水果筐数!$D$5:$D$304,对接源_01水果筐数!$B$5:$B$304,$B169,对接源_01水果筐数!$C$5:$C$304,基础资料!$B$7))</f>
        <v/>
      </c>
      <c r="AE169" s="67" t="str">
        <f>IF(OR($B169="",基础资料!$B$8=""),"",-SUMIFS(对接源_01水果筐数!$D$5:$D$304,对接源_01水果筐数!$B$5:$B$304,$B169,对接源_01水果筐数!$C$5:$C$304,基础资料!$B$8))</f>
        <v/>
      </c>
      <c r="AF169" s="25" t="str">
        <f>IF(OR($B169="",基础资料!$B$4=""),"",SUMIFS(对接源_01水果筐数!$E$5:$E$304,对接源_01水果筐数!$B$5:$B$304,$B169,对接源_01水果筐数!$C$5:$C$304,基础资料!$B$4))</f>
        <v/>
      </c>
      <c r="AG169" s="25" t="str">
        <f>IF(OR($B169="",基础资料!$B$5=""),"",SUMIFS(对接源_01水果筐数!$E$5:$E$304,对接源_01水果筐数!$B$5:$B$304,$B169,对接源_01水果筐数!$C$5:$C$304,基础资料!$B$5))</f>
        <v/>
      </c>
      <c r="AH169" s="25" t="str">
        <f>IF(OR($B169="",基础资料!$B$6=""),"",SUMIFS(对接源_01水果筐数!$E$5:$E$304,对接源_01水果筐数!$B$5:$B$304,$B169,对接源_01水果筐数!$C$5:$C$304,基础资料!$B$6))</f>
        <v/>
      </c>
      <c r="AI169" s="25" t="str">
        <f>IF(OR($B169="",基础资料!$B$7=""),"",SUMIFS(对接源_01水果筐数!$E$5:$E$304,对接源_01水果筐数!$B$5:$B$304,$B169,对接源_01水果筐数!$C$5:$C$304,基础资料!$B$7))</f>
        <v/>
      </c>
      <c r="AJ169" s="25" t="str">
        <f>IF(OR($B169="",基础资料!$B$8=""),"",SUMIFS(对接源_01水果筐数!$E$5:$E$304,对接源_01水果筐数!$B$5:$B$304,$B169,对接源_01水果筐数!$C$5:$C$304,基础资料!$B$8))</f>
        <v/>
      </c>
      <c r="AK169" s="25" t="str">
        <f>IF(OR($B169="",基础资料!$B$4=""),"",SUMIFS(对接源_01水果筐数!$F$5:$F$304,对接源_01水果筐数!$B$5:$B$304,$B169,对接源_01水果筐数!$C$5:$C$304,基础资料!$B$4))</f>
        <v/>
      </c>
      <c r="AL169" s="25" t="str">
        <f>IF(OR($B169="",基础资料!$B$5=""),"",SUMIFS(对接源_01水果筐数!$F$5:$F$304,对接源_01水果筐数!$B$5:$B$304,$B169,对接源_01水果筐数!$C$5:$C$304,基础资料!$B$5))</f>
        <v/>
      </c>
      <c r="AM169" s="25" t="str">
        <f>IF(OR($B169="",基础资料!$B$6=""),"",SUMIFS(对接源_01水果筐数!$F$5:$F$304,对接源_01水果筐数!$B$5:$B$304,$B169,对接源_01水果筐数!$C$5:$C$304,基础资料!$B$6))</f>
        <v/>
      </c>
      <c r="AN169" s="25" t="str">
        <f>IF(OR($B169="",基础资料!$B$7=""),"",SUMIFS(对接源_01水果筐数!$F$5:$F$304,对接源_01水果筐数!$B$5:$B$304,$B169,对接源_01水果筐数!$C$5:$C$304,基础资料!$B$7))</f>
        <v/>
      </c>
      <c r="AO169" s="25" t="str">
        <f>IF(OR($B169="",基础资料!$B$8=""),"",SUMIFS(对接源_01水果筐数!$F$5:$F$304,对接源_01水果筐数!$B$5:$B$304,$B169,对接源_01水果筐数!$C$5:$C$304,基础资料!$B$8))</f>
        <v/>
      </c>
      <c r="AP169" s="25" t="str">
        <f t="shared" si="29"/>
        <v/>
      </c>
      <c r="AQ169" s="25" t="str">
        <f t="shared" si="30"/>
        <v/>
      </c>
      <c r="AR169" s="25" t="str">
        <f t="shared" si="31"/>
        <v/>
      </c>
      <c r="AS169" s="25" t="str">
        <f t="shared" si="32"/>
        <v/>
      </c>
      <c r="AT169" s="25" t="str">
        <f t="shared" si="33"/>
        <v/>
      </c>
      <c r="AU169" s="25" t="str">
        <f t="shared" si="34"/>
        <v/>
      </c>
      <c r="AV169" s="24" t="str">
        <f t="shared" si="35"/>
        <v/>
      </c>
      <c r="AW169" s="72"/>
    </row>
    <row r="170" spans="1:49">
      <c r="A170" s="22" t="str">
        <f t="shared" si="24"/>
        <v/>
      </c>
      <c r="B170" s="24" t="str">
        <f>IFERROR(INDEX(_自动清单!$CC$4:$CC$253,ROW()-3),"")</f>
        <v/>
      </c>
      <c r="C170" s="25" t="str">
        <f>IF(OR($B170="",基础资料!$B$4=""),"",SUMIFS(周转筐出入库明细!$J$4:$J$2004,周转筐出入库明细!$C$4:$C$2004,$B170,周转筐出入库明细!$D$4:$D$2004,基础资料!$B$4,周转筐出入库明细!$B$4:$B$2004,"&gt;="&amp;$BC$1,周转筐出入库明细!$B$4:$B$2004,"&lt;="&amp;$BC$2))</f>
        <v/>
      </c>
      <c r="D170" s="25" t="str">
        <f>IF(OR($B170="",基础资料!$B$5=""),"",SUMIFS(周转筐出入库明细!$J$4:$J$2004,周转筐出入库明细!$C$4:$C$2004,$B170,周转筐出入库明细!$D$4:$D$2004,基础资料!$B$5,周转筐出入库明细!$B$4:$B$2004,"&gt;="&amp;$BC$1,周转筐出入库明细!$B$4:$B$2004,"&lt;="&amp;$BC$2))</f>
        <v/>
      </c>
      <c r="E170" s="25" t="str">
        <f>IF(OR($B170="",基础资料!$B$6=""),"",SUMIFS(周转筐出入库明细!$J$4:$J$2004,周转筐出入库明细!$C$4:$C$2004,$B170,周转筐出入库明细!$D$4:$D$2004,基础资料!$B$6,周转筐出入库明细!$B$4:$B$2004,"&gt;="&amp;$BC$1,周转筐出入库明细!$B$4:$B$2004,"&lt;="&amp;$BC$2))</f>
        <v/>
      </c>
      <c r="F170" s="25" t="str">
        <f>IF(OR($B170="",基础资料!$B$7=""),"",SUMIFS(周转筐出入库明细!$J$4:$J$2004,周转筐出入库明细!$C$4:$C$2004,$B170,周转筐出入库明细!$D$4:$D$2004,基础资料!$B$7,周转筐出入库明细!$B$4:$B$2004,"&gt;="&amp;$BC$1,周转筐出入库明细!$B$4:$B$2004,"&lt;="&amp;$BC$2))</f>
        <v/>
      </c>
      <c r="G170" s="25" t="str">
        <f>IF(OR($B170="",基础资料!$B$8=""),"",SUMIFS(周转筐出入库明细!$J$4:$J$2004,周转筐出入库明细!$C$4:$C$2004,$B170,周转筐出入库明细!$D$4:$D$2004,基础资料!$B$8,周转筐出入库明细!$B$4:$B$2004,"&gt;="&amp;$BC$1,周转筐出入库明细!$B$4:$B$2004,"&lt;="&amp;$BC$2))</f>
        <v/>
      </c>
      <c r="H170" s="25" t="str">
        <f t="shared" si="25"/>
        <v/>
      </c>
      <c r="I170" s="67" t="str">
        <f>IF(OR($B170="",基础资料!$B$4=""),"",-SUMIFS(周转筐出入库明细!$I$4:$I$2004,周转筐出入库明细!$C$4:$C$2004,$B170,周转筐出入库明细!$D$4:$D$2004,基础资料!$B$4,周转筐出入库明细!$B$4:$B$2004,"&gt;="&amp;$BC$1,周转筐出入库明细!$B$4:$B$2004,"&lt;="&amp;$BC$2))</f>
        <v/>
      </c>
      <c r="J170" s="67" t="str">
        <f>IF(OR($B170="",基础资料!$B$5=""),"",-SUMIFS(周转筐出入库明细!$I$4:$I$2004,周转筐出入库明细!$C$4:$C$2004,$B170,周转筐出入库明细!$D$4:$D$2004,基础资料!$B$5,周转筐出入库明细!$B$4:$B$2004,"&gt;="&amp;$BC$1,周转筐出入库明细!$B$4:$B$2004,"&lt;="&amp;$BC$2))</f>
        <v/>
      </c>
      <c r="K170" s="67" t="str">
        <f>IF(OR($B170="",基础资料!$B$6=""),"",-SUMIFS(周转筐出入库明细!$I$4:$I$2004,周转筐出入库明细!$C$4:$C$2004,$B170,周转筐出入库明细!$D$4:$D$2004,基础资料!$B$6,周转筐出入库明细!$B$4:$B$2004,"&gt;="&amp;$BC$1,周转筐出入库明细!$B$4:$B$2004,"&lt;="&amp;$BC$2))</f>
        <v/>
      </c>
      <c r="L170" s="67" t="str">
        <f>IF(OR($B170="",基础资料!$B$7=""),"",-SUMIFS(周转筐出入库明细!$I$4:$I$2004,周转筐出入库明细!$C$4:$C$2004,$B170,周转筐出入库明细!$D$4:$D$2004,基础资料!$B$7,周转筐出入库明细!$B$4:$B$2004,"&gt;="&amp;$BC$1,周转筐出入库明细!$B$4:$B$2004,"&lt;="&amp;$BC$2))</f>
        <v/>
      </c>
      <c r="M170" s="67" t="str">
        <f>IF(OR($B170="",基础资料!$B$8=""),"",-SUMIFS(周转筐出入库明细!$I$4:$I$2004,周转筐出入库明细!$C$4:$C$2004,$B170,周转筐出入库明细!$D$4:$D$2004,基础资料!$B$8,周转筐出入库明细!$B$4:$B$2004,"&gt;="&amp;$BC$1,周转筐出入库明细!$B$4:$B$2004,"&lt;="&amp;$BC$2))</f>
        <v/>
      </c>
      <c r="N170" s="67" t="str">
        <f t="shared" si="26"/>
        <v/>
      </c>
      <c r="O170" s="25" t="str">
        <f>IF(OR($B170="",基础资料!$B$4=""),"",SUMIFS(周转筐出入库明细!$H$4:$H$2004,周转筐出入库明细!$C$4:$C$2004,$B170,周转筐出入库明细!$D$4:$D$2004,基础资料!$B$4,周转筐出入库明细!$F$4:$F$2004,"采购入库",周转筐出入库明细!$B$4:$B$2004,"&gt;="&amp;$BC$1,周转筐出入库明细!$B$4:$B$2004,"&lt;="&amp;$BC$2))</f>
        <v/>
      </c>
      <c r="P170" s="25" t="str">
        <f>IF(OR($B170="",基础资料!$B$5=""),"",SUMIFS(周转筐出入库明细!$H$4:$H$2004,周转筐出入库明细!$C$4:$C$2004,$B170,周转筐出入库明细!$D$4:$D$2004,基础资料!$B$5,周转筐出入库明细!$F$4:$F$2004,"采购入库",周转筐出入库明细!$B$4:$B$2004,"&gt;="&amp;$BC$1,周转筐出入库明细!$B$4:$B$2004,"&lt;="&amp;$BC$2))</f>
        <v/>
      </c>
      <c r="Q170" s="25" t="str">
        <f>IF(OR($B170="",基础资料!$B$6=""),"",SUMIFS(周转筐出入库明细!$H$4:$H$2004,周转筐出入库明细!$C$4:$C$2004,$B170,周转筐出入库明细!$D$4:$D$2004,基础资料!$B$6,周转筐出入库明细!$F$4:$F$2004,"采购入库",周转筐出入库明细!$B$4:$B$2004,"&gt;="&amp;$BC$1,周转筐出入库明细!$B$4:$B$2004,"&lt;="&amp;$BC$2))</f>
        <v/>
      </c>
      <c r="R170" s="25" t="str">
        <f>IF(OR($B170="",基础资料!$B$7=""),"",SUMIFS(周转筐出入库明细!$H$4:$H$2004,周转筐出入库明细!$C$4:$C$2004,$B170,周转筐出入库明细!$D$4:$D$2004,基础资料!$B$7,周转筐出入库明细!$F$4:$F$2004,"采购入库",周转筐出入库明细!$B$4:$B$2004,"&gt;="&amp;$BC$1,周转筐出入库明细!$B$4:$B$2004,"&lt;="&amp;$BC$2))</f>
        <v/>
      </c>
      <c r="S170" s="25" t="str">
        <f>IF(OR($B170="",基础资料!$B$8=""),"",SUMIFS(周转筐出入库明细!$H$4:$H$2004,周转筐出入库明细!$C$4:$C$2004,$B170,周转筐出入库明细!$D$4:$D$2004,基础资料!$B$8,周转筐出入库明细!$F$4:$F$2004,"采购入库",周转筐出入库明细!$B$4:$B$2004,"&gt;="&amp;$BC$1,周转筐出入库明细!$B$4:$B$2004,"&lt;="&amp;$BC$2))</f>
        <v/>
      </c>
      <c r="T170" s="25" t="str">
        <f t="shared" si="27"/>
        <v/>
      </c>
      <c r="U170" s="25" t="str">
        <f>IF(OR($B170="",基础资料!$B$4=""),"",SUMIFS(周转筐出入库明细!$K$4:$K$2004,周转筐出入库明细!$C$4:$C$2004,$B170,周转筐出入库明细!$D$4:$D$2004,基础资料!$B$4,周转筐出入库明细!$B$4:$B$2004,"&gt;="&amp;$BC$1,周转筐出入库明细!$B$4:$B$2004,"&lt;="&amp;$BC$2))</f>
        <v/>
      </c>
      <c r="V170" s="25" t="str">
        <f>IF(OR($B170="",基础资料!$B$5=""),"",SUMIFS(周转筐出入库明细!$K$4:$K$2004,周转筐出入库明细!$C$4:$C$2004,$B170,周转筐出入库明细!$D$4:$D$2004,基础资料!$B$5,周转筐出入库明细!$B$4:$B$2004,"&gt;="&amp;$BC$1,周转筐出入库明细!$B$4:$B$2004,"&lt;="&amp;$BC$2))</f>
        <v/>
      </c>
      <c r="W170" s="25" t="str">
        <f>IF(OR($B170="",基础资料!$B$6=""),"",SUMIFS(周转筐出入库明细!$K$4:$K$2004,周转筐出入库明细!$C$4:$C$2004,$B170,周转筐出入库明细!$D$4:$D$2004,基础资料!$B$6,周转筐出入库明细!$B$4:$B$2004,"&gt;="&amp;$BC$1,周转筐出入库明细!$B$4:$B$2004,"&lt;="&amp;$BC$2))</f>
        <v/>
      </c>
      <c r="X170" s="25" t="str">
        <f>IF(OR($B170="",基础资料!$B$7=""),"",SUMIFS(周转筐出入库明细!$K$4:$K$2004,周转筐出入库明细!$C$4:$C$2004,$B170,周转筐出入库明细!$D$4:$D$2004,基础资料!$B$7,周转筐出入库明细!$B$4:$B$2004,"&gt;="&amp;$BC$1,周转筐出入库明细!$B$4:$B$2004,"&lt;="&amp;$BC$2))</f>
        <v/>
      </c>
      <c r="Y170" s="25" t="str">
        <f>IF(OR($B170="",基础资料!$B$8=""),"",SUMIFS(周转筐出入库明细!$K$4:$K$2004,周转筐出入库明细!$C$4:$C$2004,$B170,周转筐出入库明细!$D$4:$D$2004,基础资料!$B$8,周转筐出入库明细!$B$4:$B$2004,"&gt;="&amp;$BC$1,周转筐出入库明细!$B$4:$B$2004,"&lt;="&amp;$BC$2))</f>
        <v/>
      </c>
      <c r="Z170" s="25" t="str">
        <f t="shared" si="28"/>
        <v/>
      </c>
      <c r="AA170" s="67" t="str">
        <f>IF(OR($B170="",基础资料!$B$4=""),"",-SUMIFS(对接源_01水果筐数!$D$5:$D$304,对接源_01水果筐数!$B$5:$B$304,$B170,对接源_01水果筐数!$C$5:$C$304,基础资料!$B$4))</f>
        <v/>
      </c>
      <c r="AB170" s="67" t="str">
        <f>IF(OR($B170="",基础资料!$B$5=""),"",-SUMIFS(对接源_01水果筐数!$D$5:$D$304,对接源_01水果筐数!$B$5:$B$304,$B170,对接源_01水果筐数!$C$5:$C$304,基础资料!$B$5))</f>
        <v/>
      </c>
      <c r="AC170" s="67" t="str">
        <f>IF(OR($B170="",基础资料!$B$6=""),"",-SUMIFS(对接源_01水果筐数!$D$5:$D$304,对接源_01水果筐数!$B$5:$B$304,$B170,对接源_01水果筐数!$C$5:$C$304,基础资料!$B$6))</f>
        <v/>
      </c>
      <c r="AD170" s="67" t="str">
        <f>IF(OR($B170="",基础资料!$B$7=""),"",-SUMIFS(对接源_01水果筐数!$D$5:$D$304,对接源_01水果筐数!$B$5:$B$304,$B170,对接源_01水果筐数!$C$5:$C$304,基础资料!$B$7))</f>
        <v/>
      </c>
      <c r="AE170" s="67" t="str">
        <f>IF(OR($B170="",基础资料!$B$8=""),"",-SUMIFS(对接源_01水果筐数!$D$5:$D$304,对接源_01水果筐数!$B$5:$B$304,$B170,对接源_01水果筐数!$C$5:$C$304,基础资料!$B$8))</f>
        <v/>
      </c>
      <c r="AF170" s="25" t="str">
        <f>IF(OR($B170="",基础资料!$B$4=""),"",SUMIFS(对接源_01水果筐数!$E$5:$E$304,对接源_01水果筐数!$B$5:$B$304,$B170,对接源_01水果筐数!$C$5:$C$304,基础资料!$B$4))</f>
        <v/>
      </c>
      <c r="AG170" s="25" t="str">
        <f>IF(OR($B170="",基础资料!$B$5=""),"",SUMIFS(对接源_01水果筐数!$E$5:$E$304,对接源_01水果筐数!$B$5:$B$304,$B170,对接源_01水果筐数!$C$5:$C$304,基础资料!$B$5))</f>
        <v/>
      </c>
      <c r="AH170" s="25" t="str">
        <f>IF(OR($B170="",基础资料!$B$6=""),"",SUMIFS(对接源_01水果筐数!$E$5:$E$304,对接源_01水果筐数!$B$5:$B$304,$B170,对接源_01水果筐数!$C$5:$C$304,基础资料!$B$6))</f>
        <v/>
      </c>
      <c r="AI170" s="25" t="str">
        <f>IF(OR($B170="",基础资料!$B$7=""),"",SUMIFS(对接源_01水果筐数!$E$5:$E$304,对接源_01水果筐数!$B$5:$B$304,$B170,对接源_01水果筐数!$C$5:$C$304,基础资料!$B$7))</f>
        <v/>
      </c>
      <c r="AJ170" s="25" t="str">
        <f>IF(OR($B170="",基础资料!$B$8=""),"",SUMIFS(对接源_01水果筐数!$E$5:$E$304,对接源_01水果筐数!$B$5:$B$304,$B170,对接源_01水果筐数!$C$5:$C$304,基础资料!$B$8))</f>
        <v/>
      </c>
      <c r="AK170" s="25" t="str">
        <f>IF(OR($B170="",基础资料!$B$4=""),"",SUMIFS(对接源_01水果筐数!$F$5:$F$304,对接源_01水果筐数!$B$5:$B$304,$B170,对接源_01水果筐数!$C$5:$C$304,基础资料!$B$4))</f>
        <v/>
      </c>
      <c r="AL170" s="25" t="str">
        <f>IF(OR($B170="",基础资料!$B$5=""),"",SUMIFS(对接源_01水果筐数!$F$5:$F$304,对接源_01水果筐数!$B$5:$B$304,$B170,对接源_01水果筐数!$C$5:$C$304,基础资料!$B$5))</f>
        <v/>
      </c>
      <c r="AM170" s="25" t="str">
        <f>IF(OR($B170="",基础资料!$B$6=""),"",SUMIFS(对接源_01水果筐数!$F$5:$F$304,对接源_01水果筐数!$B$5:$B$304,$B170,对接源_01水果筐数!$C$5:$C$304,基础资料!$B$6))</f>
        <v/>
      </c>
      <c r="AN170" s="25" t="str">
        <f>IF(OR($B170="",基础资料!$B$7=""),"",SUMIFS(对接源_01水果筐数!$F$5:$F$304,对接源_01水果筐数!$B$5:$B$304,$B170,对接源_01水果筐数!$C$5:$C$304,基础资料!$B$7))</f>
        <v/>
      </c>
      <c r="AO170" s="25" t="str">
        <f>IF(OR($B170="",基础资料!$B$8=""),"",SUMIFS(对接源_01水果筐数!$F$5:$F$304,对接源_01水果筐数!$B$5:$B$304,$B170,对接源_01水果筐数!$C$5:$C$304,基础资料!$B$8))</f>
        <v/>
      </c>
      <c r="AP170" s="25" t="str">
        <f t="shared" si="29"/>
        <v/>
      </c>
      <c r="AQ170" s="25" t="str">
        <f t="shared" si="30"/>
        <v/>
      </c>
      <c r="AR170" s="25" t="str">
        <f t="shared" si="31"/>
        <v/>
      </c>
      <c r="AS170" s="25" t="str">
        <f t="shared" si="32"/>
        <v/>
      </c>
      <c r="AT170" s="25" t="str">
        <f t="shared" si="33"/>
        <v/>
      </c>
      <c r="AU170" s="25" t="str">
        <f t="shared" si="34"/>
        <v/>
      </c>
      <c r="AV170" s="24" t="str">
        <f t="shared" si="35"/>
        <v/>
      </c>
      <c r="AW170" s="72"/>
    </row>
    <row r="171" spans="1:49">
      <c r="A171" s="22" t="str">
        <f t="shared" si="24"/>
        <v/>
      </c>
      <c r="B171" s="24" t="str">
        <f>IFERROR(INDEX(_自动清单!$CC$4:$CC$253,ROW()-3),"")</f>
        <v/>
      </c>
      <c r="C171" s="25" t="str">
        <f>IF(OR($B171="",基础资料!$B$4=""),"",SUMIFS(周转筐出入库明细!$J$4:$J$2004,周转筐出入库明细!$C$4:$C$2004,$B171,周转筐出入库明细!$D$4:$D$2004,基础资料!$B$4,周转筐出入库明细!$B$4:$B$2004,"&gt;="&amp;$BC$1,周转筐出入库明细!$B$4:$B$2004,"&lt;="&amp;$BC$2))</f>
        <v/>
      </c>
      <c r="D171" s="25" t="str">
        <f>IF(OR($B171="",基础资料!$B$5=""),"",SUMIFS(周转筐出入库明细!$J$4:$J$2004,周转筐出入库明细!$C$4:$C$2004,$B171,周转筐出入库明细!$D$4:$D$2004,基础资料!$B$5,周转筐出入库明细!$B$4:$B$2004,"&gt;="&amp;$BC$1,周转筐出入库明细!$B$4:$B$2004,"&lt;="&amp;$BC$2))</f>
        <v/>
      </c>
      <c r="E171" s="25" t="str">
        <f>IF(OR($B171="",基础资料!$B$6=""),"",SUMIFS(周转筐出入库明细!$J$4:$J$2004,周转筐出入库明细!$C$4:$C$2004,$B171,周转筐出入库明细!$D$4:$D$2004,基础资料!$B$6,周转筐出入库明细!$B$4:$B$2004,"&gt;="&amp;$BC$1,周转筐出入库明细!$B$4:$B$2004,"&lt;="&amp;$BC$2))</f>
        <v/>
      </c>
      <c r="F171" s="25" t="str">
        <f>IF(OR($B171="",基础资料!$B$7=""),"",SUMIFS(周转筐出入库明细!$J$4:$J$2004,周转筐出入库明细!$C$4:$C$2004,$B171,周转筐出入库明细!$D$4:$D$2004,基础资料!$B$7,周转筐出入库明细!$B$4:$B$2004,"&gt;="&amp;$BC$1,周转筐出入库明细!$B$4:$B$2004,"&lt;="&amp;$BC$2))</f>
        <v/>
      </c>
      <c r="G171" s="25" t="str">
        <f>IF(OR($B171="",基础资料!$B$8=""),"",SUMIFS(周转筐出入库明细!$J$4:$J$2004,周转筐出入库明细!$C$4:$C$2004,$B171,周转筐出入库明细!$D$4:$D$2004,基础资料!$B$8,周转筐出入库明细!$B$4:$B$2004,"&gt;="&amp;$BC$1,周转筐出入库明细!$B$4:$B$2004,"&lt;="&amp;$BC$2))</f>
        <v/>
      </c>
      <c r="H171" s="25" t="str">
        <f t="shared" si="25"/>
        <v/>
      </c>
      <c r="I171" s="67" t="str">
        <f>IF(OR($B171="",基础资料!$B$4=""),"",-SUMIFS(周转筐出入库明细!$I$4:$I$2004,周转筐出入库明细!$C$4:$C$2004,$B171,周转筐出入库明细!$D$4:$D$2004,基础资料!$B$4,周转筐出入库明细!$B$4:$B$2004,"&gt;="&amp;$BC$1,周转筐出入库明细!$B$4:$B$2004,"&lt;="&amp;$BC$2))</f>
        <v/>
      </c>
      <c r="J171" s="67" t="str">
        <f>IF(OR($B171="",基础资料!$B$5=""),"",-SUMIFS(周转筐出入库明细!$I$4:$I$2004,周转筐出入库明细!$C$4:$C$2004,$B171,周转筐出入库明细!$D$4:$D$2004,基础资料!$B$5,周转筐出入库明细!$B$4:$B$2004,"&gt;="&amp;$BC$1,周转筐出入库明细!$B$4:$B$2004,"&lt;="&amp;$BC$2))</f>
        <v/>
      </c>
      <c r="K171" s="67" t="str">
        <f>IF(OR($B171="",基础资料!$B$6=""),"",-SUMIFS(周转筐出入库明细!$I$4:$I$2004,周转筐出入库明细!$C$4:$C$2004,$B171,周转筐出入库明细!$D$4:$D$2004,基础资料!$B$6,周转筐出入库明细!$B$4:$B$2004,"&gt;="&amp;$BC$1,周转筐出入库明细!$B$4:$B$2004,"&lt;="&amp;$BC$2))</f>
        <v/>
      </c>
      <c r="L171" s="67" t="str">
        <f>IF(OR($B171="",基础资料!$B$7=""),"",-SUMIFS(周转筐出入库明细!$I$4:$I$2004,周转筐出入库明细!$C$4:$C$2004,$B171,周转筐出入库明细!$D$4:$D$2004,基础资料!$B$7,周转筐出入库明细!$B$4:$B$2004,"&gt;="&amp;$BC$1,周转筐出入库明细!$B$4:$B$2004,"&lt;="&amp;$BC$2))</f>
        <v/>
      </c>
      <c r="M171" s="67" t="str">
        <f>IF(OR($B171="",基础资料!$B$8=""),"",-SUMIFS(周转筐出入库明细!$I$4:$I$2004,周转筐出入库明细!$C$4:$C$2004,$B171,周转筐出入库明细!$D$4:$D$2004,基础资料!$B$8,周转筐出入库明细!$B$4:$B$2004,"&gt;="&amp;$BC$1,周转筐出入库明细!$B$4:$B$2004,"&lt;="&amp;$BC$2))</f>
        <v/>
      </c>
      <c r="N171" s="67" t="str">
        <f t="shared" si="26"/>
        <v/>
      </c>
      <c r="O171" s="25" t="str">
        <f>IF(OR($B171="",基础资料!$B$4=""),"",SUMIFS(周转筐出入库明细!$H$4:$H$2004,周转筐出入库明细!$C$4:$C$2004,$B171,周转筐出入库明细!$D$4:$D$2004,基础资料!$B$4,周转筐出入库明细!$F$4:$F$2004,"采购入库",周转筐出入库明细!$B$4:$B$2004,"&gt;="&amp;$BC$1,周转筐出入库明细!$B$4:$B$2004,"&lt;="&amp;$BC$2))</f>
        <v/>
      </c>
      <c r="P171" s="25" t="str">
        <f>IF(OR($B171="",基础资料!$B$5=""),"",SUMIFS(周转筐出入库明细!$H$4:$H$2004,周转筐出入库明细!$C$4:$C$2004,$B171,周转筐出入库明细!$D$4:$D$2004,基础资料!$B$5,周转筐出入库明细!$F$4:$F$2004,"采购入库",周转筐出入库明细!$B$4:$B$2004,"&gt;="&amp;$BC$1,周转筐出入库明细!$B$4:$B$2004,"&lt;="&amp;$BC$2))</f>
        <v/>
      </c>
      <c r="Q171" s="25" t="str">
        <f>IF(OR($B171="",基础资料!$B$6=""),"",SUMIFS(周转筐出入库明细!$H$4:$H$2004,周转筐出入库明细!$C$4:$C$2004,$B171,周转筐出入库明细!$D$4:$D$2004,基础资料!$B$6,周转筐出入库明细!$F$4:$F$2004,"采购入库",周转筐出入库明细!$B$4:$B$2004,"&gt;="&amp;$BC$1,周转筐出入库明细!$B$4:$B$2004,"&lt;="&amp;$BC$2))</f>
        <v/>
      </c>
      <c r="R171" s="25" t="str">
        <f>IF(OR($B171="",基础资料!$B$7=""),"",SUMIFS(周转筐出入库明细!$H$4:$H$2004,周转筐出入库明细!$C$4:$C$2004,$B171,周转筐出入库明细!$D$4:$D$2004,基础资料!$B$7,周转筐出入库明细!$F$4:$F$2004,"采购入库",周转筐出入库明细!$B$4:$B$2004,"&gt;="&amp;$BC$1,周转筐出入库明细!$B$4:$B$2004,"&lt;="&amp;$BC$2))</f>
        <v/>
      </c>
      <c r="S171" s="25" t="str">
        <f>IF(OR($B171="",基础资料!$B$8=""),"",SUMIFS(周转筐出入库明细!$H$4:$H$2004,周转筐出入库明细!$C$4:$C$2004,$B171,周转筐出入库明细!$D$4:$D$2004,基础资料!$B$8,周转筐出入库明细!$F$4:$F$2004,"采购入库",周转筐出入库明细!$B$4:$B$2004,"&gt;="&amp;$BC$1,周转筐出入库明细!$B$4:$B$2004,"&lt;="&amp;$BC$2))</f>
        <v/>
      </c>
      <c r="T171" s="25" t="str">
        <f t="shared" si="27"/>
        <v/>
      </c>
      <c r="U171" s="25" t="str">
        <f>IF(OR($B171="",基础资料!$B$4=""),"",SUMIFS(周转筐出入库明细!$K$4:$K$2004,周转筐出入库明细!$C$4:$C$2004,$B171,周转筐出入库明细!$D$4:$D$2004,基础资料!$B$4,周转筐出入库明细!$B$4:$B$2004,"&gt;="&amp;$BC$1,周转筐出入库明细!$B$4:$B$2004,"&lt;="&amp;$BC$2))</f>
        <v/>
      </c>
      <c r="V171" s="25" t="str">
        <f>IF(OR($B171="",基础资料!$B$5=""),"",SUMIFS(周转筐出入库明细!$K$4:$K$2004,周转筐出入库明细!$C$4:$C$2004,$B171,周转筐出入库明细!$D$4:$D$2004,基础资料!$B$5,周转筐出入库明细!$B$4:$B$2004,"&gt;="&amp;$BC$1,周转筐出入库明细!$B$4:$B$2004,"&lt;="&amp;$BC$2))</f>
        <v/>
      </c>
      <c r="W171" s="25" t="str">
        <f>IF(OR($B171="",基础资料!$B$6=""),"",SUMIFS(周转筐出入库明细!$K$4:$K$2004,周转筐出入库明细!$C$4:$C$2004,$B171,周转筐出入库明细!$D$4:$D$2004,基础资料!$B$6,周转筐出入库明细!$B$4:$B$2004,"&gt;="&amp;$BC$1,周转筐出入库明细!$B$4:$B$2004,"&lt;="&amp;$BC$2))</f>
        <v/>
      </c>
      <c r="X171" s="25" t="str">
        <f>IF(OR($B171="",基础资料!$B$7=""),"",SUMIFS(周转筐出入库明细!$K$4:$K$2004,周转筐出入库明细!$C$4:$C$2004,$B171,周转筐出入库明细!$D$4:$D$2004,基础资料!$B$7,周转筐出入库明细!$B$4:$B$2004,"&gt;="&amp;$BC$1,周转筐出入库明细!$B$4:$B$2004,"&lt;="&amp;$BC$2))</f>
        <v/>
      </c>
      <c r="Y171" s="25" t="str">
        <f>IF(OR($B171="",基础资料!$B$8=""),"",SUMIFS(周转筐出入库明细!$K$4:$K$2004,周转筐出入库明细!$C$4:$C$2004,$B171,周转筐出入库明细!$D$4:$D$2004,基础资料!$B$8,周转筐出入库明细!$B$4:$B$2004,"&gt;="&amp;$BC$1,周转筐出入库明细!$B$4:$B$2004,"&lt;="&amp;$BC$2))</f>
        <v/>
      </c>
      <c r="Z171" s="25" t="str">
        <f t="shared" si="28"/>
        <v/>
      </c>
      <c r="AA171" s="67" t="str">
        <f>IF(OR($B171="",基础资料!$B$4=""),"",-SUMIFS(对接源_01水果筐数!$D$5:$D$304,对接源_01水果筐数!$B$5:$B$304,$B171,对接源_01水果筐数!$C$5:$C$304,基础资料!$B$4))</f>
        <v/>
      </c>
      <c r="AB171" s="67" t="str">
        <f>IF(OR($B171="",基础资料!$B$5=""),"",-SUMIFS(对接源_01水果筐数!$D$5:$D$304,对接源_01水果筐数!$B$5:$B$304,$B171,对接源_01水果筐数!$C$5:$C$304,基础资料!$B$5))</f>
        <v/>
      </c>
      <c r="AC171" s="67" t="str">
        <f>IF(OR($B171="",基础资料!$B$6=""),"",-SUMIFS(对接源_01水果筐数!$D$5:$D$304,对接源_01水果筐数!$B$5:$B$304,$B171,对接源_01水果筐数!$C$5:$C$304,基础资料!$B$6))</f>
        <v/>
      </c>
      <c r="AD171" s="67" t="str">
        <f>IF(OR($B171="",基础资料!$B$7=""),"",-SUMIFS(对接源_01水果筐数!$D$5:$D$304,对接源_01水果筐数!$B$5:$B$304,$B171,对接源_01水果筐数!$C$5:$C$304,基础资料!$B$7))</f>
        <v/>
      </c>
      <c r="AE171" s="67" t="str">
        <f>IF(OR($B171="",基础资料!$B$8=""),"",-SUMIFS(对接源_01水果筐数!$D$5:$D$304,对接源_01水果筐数!$B$5:$B$304,$B171,对接源_01水果筐数!$C$5:$C$304,基础资料!$B$8))</f>
        <v/>
      </c>
      <c r="AF171" s="25" t="str">
        <f>IF(OR($B171="",基础资料!$B$4=""),"",SUMIFS(对接源_01水果筐数!$E$5:$E$304,对接源_01水果筐数!$B$5:$B$304,$B171,对接源_01水果筐数!$C$5:$C$304,基础资料!$B$4))</f>
        <v/>
      </c>
      <c r="AG171" s="25" t="str">
        <f>IF(OR($B171="",基础资料!$B$5=""),"",SUMIFS(对接源_01水果筐数!$E$5:$E$304,对接源_01水果筐数!$B$5:$B$304,$B171,对接源_01水果筐数!$C$5:$C$304,基础资料!$B$5))</f>
        <v/>
      </c>
      <c r="AH171" s="25" t="str">
        <f>IF(OR($B171="",基础资料!$B$6=""),"",SUMIFS(对接源_01水果筐数!$E$5:$E$304,对接源_01水果筐数!$B$5:$B$304,$B171,对接源_01水果筐数!$C$5:$C$304,基础资料!$B$6))</f>
        <v/>
      </c>
      <c r="AI171" s="25" t="str">
        <f>IF(OR($B171="",基础资料!$B$7=""),"",SUMIFS(对接源_01水果筐数!$E$5:$E$304,对接源_01水果筐数!$B$5:$B$304,$B171,对接源_01水果筐数!$C$5:$C$304,基础资料!$B$7))</f>
        <v/>
      </c>
      <c r="AJ171" s="25" t="str">
        <f>IF(OR($B171="",基础资料!$B$8=""),"",SUMIFS(对接源_01水果筐数!$E$5:$E$304,对接源_01水果筐数!$B$5:$B$304,$B171,对接源_01水果筐数!$C$5:$C$304,基础资料!$B$8))</f>
        <v/>
      </c>
      <c r="AK171" s="25" t="str">
        <f>IF(OR($B171="",基础资料!$B$4=""),"",SUMIFS(对接源_01水果筐数!$F$5:$F$304,对接源_01水果筐数!$B$5:$B$304,$B171,对接源_01水果筐数!$C$5:$C$304,基础资料!$B$4))</f>
        <v/>
      </c>
      <c r="AL171" s="25" t="str">
        <f>IF(OR($B171="",基础资料!$B$5=""),"",SUMIFS(对接源_01水果筐数!$F$5:$F$304,对接源_01水果筐数!$B$5:$B$304,$B171,对接源_01水果筐数!$C$5:$C$304,基础资料!$B$5))</f>
        <v/>
      </c>
      <c r="AM171" s="25" t="str">
        <f>IF(OR($B171="",基础资料!$B$6=""),"",SUMIFS(对接源_01水果筐数!$F$5:$F$304,对接源_01水果筐数!$B$5:$B$304,$B171,对接源_01水果筐数!$C$5:$C$304,基础资料!$B$6))</f>
        <v/>
      </c>
      <c r="AN171" s="25" t="str">
        <f>IF(OR($B171="",基础资料!$B$7=""),"",SUMIFS(对接源_01水果筐数!$F$5:$F$304,对接源_01水果筐数!$B$5:$B$304,$B171,对接源_01水果筐数!$C$5:$C$304,基础资料!$B$7))</f>
        <v/>
      </c>
      <c r="AO171" s="25" t="str">
        <f>IF(OR($B171="",基础资料!$B$8=""),"",SUMIFS(对接源_01水果筐数!$F$5:$F$304,对接源_01水果筐数!$B$5:$B$304,$B171,对接源_01水果筐数!$C$5:$C$304,基础资料!$B$8))</f>
        <v/>
      </c>
      <c r="AP171" s="25" t="str">
        <f t="shared" si="29"/>
        <v/>
      </c>
      <c r="AQ171" s="25" t="str">
        <f t="shared" si="30"/>
        <v/>
      </c>
      <c r="AR171" s="25" t="str">
        <f t="shared" si="31"/>
        <v/>
      </c>
      <c r="AS171" s="25" t="str">
        <f t="shared" si="32"/>
        <v/>
      </c>
      <c r="AT171" s="25" t="str">
        <f t="shared" si="33"/>
        <v/>
      </c>
      <c r="AU171" s="25" t="str">
        <f t="shared" si="34"/>
        <v/>
      </c>
      <c r="AV171" s="24" t="str">
        <f t="shared" si="35"/>
        <v/>
      </c>
      <c r="AW171" s="72"/>
    </row>
    <row r="172" spans="1:49">
      <c r="A172" s="22" t="str">
        <f t="shared" si="24"/>
        <v/>
      </c>
      <c r="B172" s="24" t="str">
        <f>IFERROR(INDEX(_自动清单!$CC$4:$CC$253,ROW()-3),"")</f>
        <v/>
      </c>
      <c r="C172" s="25" t="str">
        <f>IF(OR($B172="",基础资料!$B$4=""),"",SUMIFS(周转筐出入库明细!$J$4:$J$2004,周转筐出入库明细!$C$4:$C$2004,$B172,周转筐出入库明细!$D$4:$D$2004,基础资料!$B$4,周转筐出入库明细!$B$4:$B$2004,"&gt;="&amp;$BC$1,周转筐出入库明细!$B$4:$B$2004,"&lt;="&amp;$BC$2))</f>
        <v/>
      </c>
      <c r="D172" s="25" t="str">
        <f>IF(OR($B172="",基础资料!$B$5=""),"",SUMIFS(周转筐出入库明细!$J$4:$J$2004,周转筐出入库明细!$C$4:$C$2004,$B172,周转筐出入库明细!$D$4:$D$2004,基础资料!$B$5,周转筐出入库明细!$B$4:$B$2004,"&gt;="&amp;$BC$1,周转筐出入库明细!$B$4:$B$2004,"&lt;="&amp;$BC$2))</f>
        <v/>
      </c>
      <c r="E172" s="25" t="str">
        <f>IF(OR($B172="",基础资料!$B$6=""),"",SUMIFS(周转筐出入库明细!$J$4:$J$2004,周转筐出入库明细!$C$4:$C$2004,$B172,周转筐出入库明细!$D$4:$D$2004,基础资料!$B$6,周转筐出入库明细!$B$4:$B$2004,"&gt;="&amp;$BC$1,周转筐出入库明细!$B$4:$B$2004,"&lt;="&amp;$BC$2))</f>
        <v/>
      </c>
      <c r="F172" s="25" t="str">
        <f>IF(OR($B172="",基础资料!$B$7=""),"",SUMIFS(周转筐出入库明细!$J$4:$J$2004,周转筐出入库明细!$C$4:$C$2004,$B172,周转筐出入库明细!$D$4:$D$2004,基础资料!$B$7,周转筐出入库明细!$B$4:$B$2004,"&gt;="&amp;$BC$1,周转筐出入库明细!$B$4:$B$2004,"&lt;="&amp;$BC$2))</f>
        <v/>
      </c>
      <c r="G172" s="25" t="str">
        <f>IF(OR($B172="",基础资料!$B$8=""),"",SUMIFS(周转筐出入库明细!$J$4:$J$2004,周转筐出入库明细!$C$4:$C$2004,$B172,周转筐出入库明细!$D$4:$D$2004,基础资料!$B$8,周转筐出入库明细!$B$4:$B$2004,"&gt;="&amp;$BC$1,周转筐出入库明细!$B$4:$B$2004,"&lt;="&amp;$BC$2))</f>
        <v/>
      </c>
      <c r="H172" s="25" t="str">
        <f t="shared" si="25"/>
        <v/>
      </c>
      <c r="I172" s="67" t="str">
        <f>IF(OR($B172="",基础资料!$B$4=""),"",-SUMIFS(周转筐出入库明细!$I$4:$I$2004,周转筐出入库明细!$C$4:$C$2004,$B172,周转筐出入库明细!$D$4:$D$2004,基础资料!$B$4,周转筐出入库明细!$B$4:$B$2004,"&gt;="&amp;$BC$1,周转筐出入库明细!$B$4:$B$2004,"&lt;="&amp;$BC$2))</f>
        <v/>
      </c>
      <c r="J172" s="67" t="str">
        <f>IF(OR($B172="",基础资料!$B$5=""),"",-SUMIFS(周转筐出入库明细!$I$4:$I$2004,周转筐出入库明细!$C$4:$C$2004,$B172,周转筐出入库明细!$D$4:$D$2004,基础资料!$B$5,周转筐出入库明细!$B$4:$B$2004,"&gt;="&amp;$BC$1,周转筐出入库明细!$B$4:$B$2004,"&lt;="&amp;$BC$2))</f>
        <v/>
      </c>
      <c r="K172" s="67" t="str">
        <f>IF(OR($B172="",基础资料!$B$6=""),"",-SUMIFS(周转筐出入库明细!$I$4:$I$2004,周转筐出入库明细!$C$4:$C$2004,$B172,周转筐出入库明细!$D$4:$D$2004,基础资料!$B$6,周转筐出入库明细!$B$4:$B$2004,"&gt;="&amp;$BC$1,周转筐出入库明细!$B$4:$B$2004,"&lt;="&amp;$BC$2))</f>
        <v/>
      </c>
      <c r="L172" s="67" t="str">
        <f>IF(OR($B172="",基础资料!$B$7=""),"",-SUMIFS(周转筐出入库明细!$I$4:$I$2004,周转筐出入库明细!$C$4:$C$2004,$B172,周转筐出入库明细!$D$4:$D$2004,基础资料!$B$7,周转筐出入库明细!$B$4:$B$2004,"&gt;="&amp;$BC$1,周转筐出入库明细!$B$4:$B$2004,"&lt;="&amp;$BC$2))</f>
        <v/>
      </c>
      <c r="M172" s="67" t="str">
        <f>IF(OR($B172="",基础资料!$B$8=""),"",-SUMIFS(周转筐出入库明细!$I$4:$I$2004,周转筐出入库明细!$C$4:$C$2004,$B172,周转筐出入库明细!$D$4:$D$2004,基础资料!$B$8,周转筐出入库明细!$B$4:$B$2004,"&gt;="&amp;$BC$1,周转筐出入库明细!$B$4:$B$2004,"&lt;="&amp;$BC$2))</f>
        <v/>
      </c>
      <c r="N172" s="67" t="str">
        <f t="shared" si="26"/>
        <v/>
      </c>
      <c r="O172" s="25" t="str">
        <f>IF(OR($B172="",基础资料!$B$4=""),"",SUMIFS(周转筐出入库明细!$H$4:$H$2004,周转筐出入库明细!$C$4:$C$2004,$B172,周转筐出入库明细!$D$4:$D$2004,基础资料!$B$4,周转筐出入库明细!$F$4:$F$2004,"采购入库",周转筐出入库明细!$B$4:$B$2004,"&gt;="&amp;$BC$1,周转筐出入库明细!$B$4:$B$2004,"&lt;="&amp;$BC$2))</f>
        <v/>
      </c>
      <c r="P172" s="25" t="str">
        <f>IF(OR($B172="",基础资料!$B$5=""),"",SUMIFS(周转筐出入库明细!$H$4:$H$2004,周转筐出入库明细!$C$4:$C$2004,$B172,周转筐出入库明细!$D$4:$D$2004,基础资料!$B$5,周转筐出入库明细!$F$4:$F$2004,"采购入库",周转筐出入库明细!$B$4:$B$2004,"&gt;="&amp;$BC$1,周转筐出入库明细!$B$4:$B$2004,"&lt;="&amp;$BC$2))</f>
        <v/>
      </c>
      <c r="Q172" s="25" t="str">
        <f>IF(OR($B172="",基础资料!$B$6=""),"",SUMIFS(周转筐出入库明细!$H$4:$H$2004,周转筐出入库明细!$C$4:$C$2004,$B172,周转筐出入库明细!$D$4:$D$2004,基础资料!$B$6,周转筐出入库明细!$F$4:$F$2004,"采购入库",周转筐出入库明细!$B$4:$B$2004,"&gt;="&amp;$BC$1,周转筐出入库明细!$B$4:$B$2004,"&lt;="&amp;$BC$2))</f>
        <v/>
      </c>
      <c r="R172" s="25" t="str">
        <f>IF(OR($B172="",基础资料!$B$7=""),"",SUMIFS(周转筐出入库明细!$H$4:$H$2004,周转筐出入库明细!$C$4:$C$2004,$B172,周转筐出入库明细!$D$4:$D$2004,基础资料!$B$7,周转筐出入库明细!$F$4:$F$2004,"采购入库",周转筐出入库明细!$B$4:$B$2004,"&gt;="&amp;$BC$1,周转筐出入库明细!$B$4:$B$2004,"&lt;="&amp;$BC$2))</f>
        <v/>
      </c>
      <c r="S172" s="25" t="str">
        <f>IF(OR($B172="",基础资料!$B$8=""),"",SUMIFS(周转筐出入库明细!$H$4:$H$2004,周转筐出入库明细!$C$4:$C$2004,$B172,周转筐出入库明细!$D$4:$D$2004,基础资料!$B$8,周转筐出入库明细!$F$4:$F$2004,"采购入库",周转筐出入库明细!$B$4:$B$2004,"&gt;="&amp;$BC$1,周转筐出入库明细!$B$4:$B$2004,"&lt;="&amp;$BC$2))</f>
        <v/>
      </c>
      <c r="T172" s="25" t="str">
        <f t="shared" si="27"/>
        <v/>
      </c>
      <c r="U172" s="25" t="str">
        <f>IF(OR($B172="",基础资料!$B$4=""),"",SUMIFS(周转筐出入库明细!$K$4:$K$2004,周转筐出入库明细!$C$4:$C$2004,$B172,周转筐出入库明细!$D$4:$D$2004,基础资料!$B$4,周转筐出入库明细!$B$4:$B$2004,"&gt;="&amp;$BC$1,周转筐出入库明细!$B$4:$B$2004,"&lt;="&amp;$BC$2))</f>
        <v/>
      </c>
      <c r="V172" s="25" t="str">
        <f>IF(OR($B172="",基础资料!$B$5=""),"",SUMIFS(周转筐出入库明细!$K$4:$K$2004,周转筐出入库明细!$C$4:$C$2004,$B172,周转筐出入库明细!$D$4:$D$2004,基础资料!$B$5,周转筐出入库明细!$B$4:$B$2004,"&gt;="&amp;$BC$1,周转筐出入库明细!$B$4:$B$2004,"&lt;="&amp;$BC$2))</f>
        <v/>
      </c>
      <c r="W172" s="25" t="str">
        <f>IF(OR($B172="",基础资料!$B$6=""),"",SUMIFS(周转筐出入库明细!$K$4:$K$2004,周转筐出入库明细!$C$4:$C$2004,$B172,周转筐出入库明细!$D$4:$D$2004,基础资料!$B$6,周转筐出入库明细!$B$4:$B$2004,"&gt;="&amp;$BC$1,周转筐出入库明细!$B$4:$B$2004,"&lt;="&amp;$BC$2))</f>
        <v/>
      </c>
      <c r="X172" s="25" t="str">
        <f>IF(OR($B172="",基础资料!$B$7=""),"",SUMIFS(周转筐出入库明细!$K$4:$K$2004,周转筐出入库明细!$C$4:$C$2004,$B172,周转筐出入库明细!$D$4:$D$2004,基础资料!$B$7,周转筐出入库明细!$B$4:$B$2004,"&gt;="&amp;$BC$1,周转筐出入库明细!$B$4:$B$2004,"&lt;="&amp;$BC$2))</f>
        <v/>
      </c>
      <c r="Y172" s="25" t="str">
        <f>IF(OR($B172="",基础资料!$B$8=""),"",SUMIFS(周转筐出入库明细!$K$4:$K$2004,周转筐出入库明细!$C$4:$C$2004,$B172,周转筐出入库明细!$D$4:$D$2004,基础资料!$B$8,周转筐出入库明细!$B$4:$B$2004,"&gt;="&amp;$BC$1,周转筐出入库明细!$B$4:$B$2004,"&lt;="&amp;$BC$2))</f>
        <v/>
      </c>
      <c r="Z172" s="25" t="str">
        <f t="shared" si="28"/>
        <v/>
      </c>
      <c r="AA172" s="67" t="str">
        <f>IF(OR($B172="",基础资料!$B$4=""),"",-SUMIFS(对接源_01水果筐数!$D$5:$D$304,对接源_01水果筐数!$B$5:$B$304,$B172,对接源_01水果筐数!$C$5:$C$304,基础资料!$B$4))</f>
        <v/>
      </c>
      <c r="AB172" s="67" t="str">
        <f>IF(OR($B172="",基础资料!$B$5=""),"",-SUMIFS(对接源_01水果筐数!$D$5:$D$304,对接源_01水果筐数!$B$5:$B$304,$B172,对接源_01水果筐数!$C$5:$C$304,基础资料!$B$5))</f>
        <v/>
      </c>
      <c r="AC172" s="67" t="str">
        <f>IF(OR($B172="",基础资料!$B$6=""),"",-SUMIFS(对接源_01水果筐数!$D$5:$D$304,对接源_01水果筐数!$B$5:$B$304,$B172,对接源_01水果筐数!$C$5:$C$304,基础资料!$B$6))</f>
        <v/>
      </c>
      <c r="AD172" s="67" t="str">
        <f>IF(OR($B172="",基础资料!$B$7=""),"",-SUMIFS(对接源_01水果筐数!$D$5:$D$304,对接源_01水果筐数!$B$5:$B$304,$B172,对接源_01水果筐数!$C$5:$C$304,基础资料!$B$7))</f>
        <v/>
      </c>
      <c r="AE172" s="67" t="str">
        <f>IF(OR($B172="",基础资料!$B$8=""),"",-SUMIFS(对接源_01水果筐数!$D$5:$D$304,对接源_01水果筐数!$B$5:$B$304,$B172,对接源_01水果筐数!$C$5:$C$304,基础资料!$B$8))</f>
        <v/>
      </c>
      <c r="AF172" s="25" t="str">
        <f>IF(OR($B172="",基础资料!$B$4=""),"",SUMIFS(对接源_01水果筐数!$E$5:$E$304,对接源_01水果筐数!$B$5:$B$304,$B172,对接源_01水果筐数!$C$5:$C$304,基础资料!$B$4))</f>
        <v/>
      </c>
      <c r="AG172" s="25" t="str">
        <f>IF(OR($B172="",基础资料!$B$5=""),"",SUMIFS(对接源_01水果筐数!$E$5:$E$304,对接源_01水果筐数!$B$5:$B$304,$B172,对接源_01水果筐数!$C$5:$C$304,基础资料!$B$5))</f>
        <v/>
      </c>
      <c r="AH172" s="25" t="str">
        <f>IF(OR($B172="",基础资料!$B$6=""),"",SUMIFS(对接源_01水果筐数!$E$5:$E$304,对接源_01水果筐数!$B$5:$B$304,$B172,对接源_01水果筐数!$C$5:$C$304,基础资料!$B$6))</f>
        <v/>
      </c>
      <c r="AI172" s="25" t="str">
        <f>IF(OR($B172="",基础资料!$B$7=""),"",SUMIFS(对接源_01水果筐数!$E$5:$E$304,对接源_01水果筐数!$B$5:$B$304,$B172,对接源_01水果筐数!$C$5:$C$304,基础资料!$B$7))</f>
        <v/>
      </c>
      <c r="AJ172" s="25" t="str">
        <f>IF(OR($B172="",基础资料!$B$8=""),"",SUMIFS(对接源_01水果筐数!$E$5:$E$304,对接源_01水果筐数!$B$5:$B$304,$B172,对接源_01水果筐数!$C$5:$C$304,基础资料!$B$8))</f>
        <v/>
      </c>
      <c r="AK172" s="25" t="str">
        <f>IF(OR($B172="",基础资料!$B$4=""),"",SUMIFS(对接源_01水果筐数!$F$5:$F$304,对接源_01水果筐数!$B$5:$B$304,$B172,对接源_01水果筐数!$C$5:$C$304,基础资料!$B$4))</f>
        <v/>
      </c>
      <c r="AL172" s="25" t="str">
        <f>IF(OR($B172="",基础资料!$B$5=""),"",SUMIFS(对接源_01水果筐数!$F$5:$F$304,对接源_01水果筐数!$B$5:$B$304,$B172,对接源_01水果筐数!$C$5:$C$304,基础资料!$B$5))</f>
        <v/>
      </c>
      <c r="AM172" s="25" t="str">
        <f>IF(OR($B172="",基础资料!$B$6=""),"",SUMIFS(对接源_01水果筐数!$F$5:$F$304,对接源_01水果筐数!$B$5:$B$304,$B172,对接源_01水果筐数!$C$5:$C$304,基础资料!$B$6))</f>
        <v/>
      </c>
      <c r="AN172" s="25" t="str">
        <f>IF(OR($B172="",基础资料!$B$7=""),"",SUMIFS(对接源_01水果筐数!$F$5:$F$304,对接源_01水果筐数!$B$5:$B$304,$B172,对接源_01水果筐数!$C$5:$C$304,基础资料!$B$7))</f>
        <v/>
      </c>
      <c r="AO172" s="25" t="str">
        <f>IF(OR($B172="",基础资料!$B$8=""),"",SUMIFS(对接源_01水果筐数!$F$5:$F$304,对接源_01水果筐数!$B$5:$B$304,$B172,对接源_01水果筐数!$C$5:$C$304,基础资料!$B$8))</f>
        <v/>
      </c>
      <c r="AP172" s="25" t="str">
        <f t="shared" si="29"/>
        <v/>
      </c>
      <c r="AQ172" s="25" t="str">
        <f t="shared" si="30"/>
        <v/>
      </c>
      <c r="AR172" s="25" t="str">
        <f t="shared" si="31"/>
        <v/>
      </c>
      <c r="AS172" s="25" t="str">
        <f t="shared" si="32"/>
        <v/>
      </c>
      <c r="AT172" s="25" t="str">
        <f t="shared" si="33"/>
        <v/>
      </c>
      <c r="AU172" s="25" t="str">
        <f t="shared" si="34"/>
        <v/>
      </c>
      <c r="AV172" s="24" t="str">
        <f t="shared" si="35"/>
        <v/>
      </c>
      <c r="AW172" s="72"/>
    </row>
    <row r="173" spans="1:49">
      <c r="A173" s="22" t="str">
        <f t="shared" si="24"/>
        <v/>
      </c>
      <c r="B173" s="24" t="str">
        <f>IFERROR(INDEX(_自动清单!$CC$4:$CC$253,ROW()-3),"")</f>
        <v/>
      </c>
      <c r="C173" s="25" t="str">
        <f>IF(OR($B173="",基础资料!$B$4=""),"",SUMIFS(周转筐出入库明细!$J$4:$J$2004,周转筐出入库明细!$C$4:$C$2004,$B173,周转筐出入库明细!$D$4:$D$2004,基础资料!$B$4,周转筐出入库明细!$B$4:$B$2004,"&gt;="&amp;$BC$1,周转筐出入库明细!$B$4:$B$2004,"&lt;="&amp;$BC$2))</f>
        <v/>
      </c>
      <c r="D173" s="25" t="str">
        <f>IF(OR($B173="",基础资料!$B$5=""),"",SUMIFS(周转筐出入库明细!$J$4:$J$2004,周转筐出入库明细!$C$4:$C$2004,$B173,周转筐出入库明细!$D$4:$D$2004,基础资料!$B$5,周转筐出入库明细!$B$4:$B$2004,"&gt;="&amp;$BC$1,周转筐出入库明细!$B$4:$B$2004,"&lt;="&amp;$BC$2))</f>
        <v/>
      </c>
      <c r="E173" s="25" t="str">
        <f>IF(OR($B173="",基础资料!$B$6=""),"",SUMIFS(周转筐出入库明细!$J$4:$J$2004,周转筐出入库明细!$C$4:$C$2004,$B173,周转筐出入库明细!$D$4:$D$2004,基础资料!$B$6,周转筐出入库明细!$B$4:$B$2004,"&gt;="&amp;$BC$1,周转筐出入库明细!$B$4:$B$2004,"&lt;="&amp;$BC$2))</f>
        <v/>
      </c>
      <c r="F173" s="25" t="str">
        <f>IF(OR($B173="",基础资料!$B$7=""),"",SUMIFS(周转筐出入库明细!$J$4:$J$2004,周转筐出入库明细!$C$4:$C$2004,$B173,周转筐出入库明细!$D$4:$D$2004,基础资料!$B$7,周转筐出入库明细!$B$4:$B$2004,"&gt;="&amp;$BC$1,周转筐出入库明细!$B$4:$B$2004,"&lt;="&amp;$BC$2))</f>
        <v/>
      </c>
      <c r="G173" s="25" t="str">
        <f>IF(OR($B173="",基础资料!$B$8=""),"",SUMIFS(周转筐出入库明细!$J$4:$J$2004,周转筐出入库明细!$C$4:$C$2004,$B173,周转筐出入库明细!$D$4:$D$2004,基础资料!$B$8,周转筐出入库明细!$B$4:$B$2004,"&gt;="&amp;$BC$1,周转筐出入库明细!$B$4:$B$2004,"&lt;="&amp;$BC$2))</f>
        <v/>
      </c>
      <c r="H173" s="25" t="str">
        <f t="shared" si="25"/>
        <v/>
      </c>
      <c r="I173" s="67" t="str">
        <f>IF(OR($B173="",基础资料!$B$4=""),"",-SUMIFS(周转筐出入库明细!$I$4:$I$2004,周转筐出入库明细!$C$4:$C$2004,$B173,周转筐出入库明细!$D$4:$D$2004,基础资料!$B$4,周转筐出入库明细!$B$4:$B$2004,"&gt;="&amp;$BC$1,周转筐出入库明细!$B$4:$B$2004,"&lt;="&amp;$BC$2))</f>
        <v/>
      </c>
      <c r="J173" s="67" t="str">
        <f>IF(OR($B173="",基础资料!$B$5=""),"",-SUMIFS(周转筐出入库明细!$I$4:$I$2004,周转筐出入库明细!$C$4:$C$2004,$B173,周转筐出入库明细!$D$4:$D$2004,基础资料!$B$5,周转筐出入库明细!$B$4:$B$2004,"&gt;="&amp;$BC$1,周转筐出入库明细!$B$4:$B$2004,"&lt;="&amp;$BC$2))</f>
        <v/>
      </c>
      <c r="K173" s="67" t="str">
        <f>IF(OR($B173="",基础资料!$B$6=""),"",-SUMIFS(周转筐出入库明细!$I$4:$I$2004,周转筐出入库明细!$C$4:$C$2004,$B173,周转筐出入库明细!$D$4:$D$2004,基础资料!$B$6,周转筐出入库明细!$B$4:$B$2004,"&gt;="&amp;$BC$1,周转筐出入库明细!$B$4:$B$2004,"&lt;="&amp;$BC$2))</f>
        <v/>
      </c>
      <c r="L173" s="67" t="str">
        <f>IF(OR($B173="",基础资料!$B$7=""),"",-SUMIFS(周转筐出入库明细!$I$4:$I$2004,周转筐出入库明细!$C$4:$C$2004,$B173,周转筐出入库明细!$D$4:$D$2004,基础资料!$B$7,周转筐出入库明细!$B$4:$B$2004,"&gt;="&amp;$BC$1,周转筐出入库明细!$B$4:$B$2004,"&lt;="&amp;$BC$2))</f>
        <v/>
      </c>
      <c r="M173" s="67" t="str">
        <f>IF(OR($B173="",基础资料!$B$8=""),"",-SUMIFS(周转筐出入库明细!$I$4:$I$2004,周转筐出入库明细!$C$4:$C$2004,$B173,周转筐出入库明细!$D$4:$D$2004,基础资料!$B$8,周转筐出入库明细!$B$4:$B$2004,"&gt;="&amp;$BC$1,周转筐出入库明细!$B$4:$B$2004,"&lt;="&amp;$BC$2))</f>
        <v/>
      </c>
      <c r="N173" s="67" t="str">
        <f t="shared" si="26"/>
        <v/>
      </c>
      <c r="O173" s="25" t="str">
        <f>IF(OR($B173="",基础资料!$B$4=""),"",SUMIFS(周转筐出入库明细!$H$4:$H$2004,周转筐出入库明细!$C$4:$C$2004,$B173,周转筐出入库明细!$D$4:$D$2004,基础资料!$B$4,周转筐出入库明细!$F$4:$F$2004,"采购入库",周转筐出入库明细!$B$4:$B$2004,"&gt;="&amp;$BC$1,周转筐出入库明细!$B$4:$B$2004,"&lt;="&amp;$BC$2))</f>
        <v/>
      </c>
      <c r="P173" s="25" t="str">
        <f>IF(OR($B173="",基础资料!$B$5=""),"",SUMIFS(周转筐出入库明细!$H$4:$H$2004,周转筐出入库明细!$C$4:$C$2004,$B173,周转筐出入库明细!$D$4:$D$2004,基础资料!$B$5,周转筐出入库明细!$F$4:$F$2004,"采购入库",周转筐出入库明细!$B$4:$B$2004,"&gt;="&amp;$BC$1,周转筐出入库明细!$B$4:$B$2004,"&lt;="&amp;$BC$2))</f>
        <v/>
      </c>
      <c r="Q173" s="25" t="str">
        <f>IF(OR($B173="",基础资料!$B$6=""),"",SUMIFS(周转筐出入库明细!$H$4:$H$2004,周转筐出入库明细!$C$4:$C$2004,$B173,周转筐出入库明细!$D$4:$D$2004,基础资料!$B$6,周转筐出入库明细!$F$4:$F$2004,"采购入库",周转筐出入库明细!$B$4:$B$2004,"&gt;="&amp;$BC$1,周转筐出入库明细!$B$4:$B$2004,"&lt;="&amp;$BC$2))</f>
        <v/>
      </c>
      <c r="R173" s="25" t="str">
        <f>IF(OR($B173="",基础资料!$B$7=""),"",SUMIFS(周转筐出入库明细!$H$4:$H$2004,周转筐出入库明细!$C$4:$C$2004,$B173,周转筐出入库明细!$D$4:$D$2004,基础资料!$B$7,周转筐出入库明细!$F$4:$F$2004,"采购入库",周转筐出入库明细!$B$4:$B$2004,"&gt;="&amp;$BC$1,周转筐出入库明细!$B$4:$B$2004,"&lt;="&amp;$BC$2))</f>
        <v/>
      </c>
      <c r="S173" s="25" t="str">
        <f>IF(OR($B173="",基础资料!$B$8=""),"",SUMIFS(周转筐出入库明细!$H$4:$H$2004,周转筐出入库明细!$C$4:$C$2004,$B173,周转筐出入库明细!$D$4:$D$2004,基础资料!$B$8,周转筐出入库明细!$F$4:$F$2004,"采购入库",周转筐出入库明细!$B$4:$B$2004,"&gt;="&amp;$BC$1,周转筐出入库明细!$B$4:$B$2004,"&lt;="&amp;$BC$2))</f>
        <v/>
      </c>
      <c r="T173" s="25" t="str">
        <f t="shared" si="27"/>
        <v/>
      </c>
      <c r="U173" s="25" t="str">
        <f>IF(OR($B173="",基础资料!$B$4=""),"",SUMIFS(周转筐出入库明细!$K$4:$K$2004,周转筐出入库明细!$C$4:$C$2004,$B173,周转筐出入库明细!$D$4:$D$2004,基础资料!$B$4,周转筐出入库明细!$B$4:$B$2004,"&gt;="&amp;$BC$1,周转筐出入库明细!$B$4:$B$2004,"&lt;="&amp;$BC$2))</f>
        <v/>
      </c>
      <c r="V173" s="25" t="str">
        <f>IF(OR($B173="",基础资料!$B$5=""),"",SUMIFS(周转筐出入库明细!$K$4:$K$2004,周转筐出入库明细!$C$4:$C$2004,$B173,周转筐出入库明细!$D$4:$D$2004,基础资料!$B$5,周转筐出入库明细!$B$4:$B$2004,"&gt;="&amp;$BC$1,周转筐出入库明细!$B$4:$B$2004,"&lt;="&amp;$BC$2))</f>
        <v/>
      </c>
      <c r="W173" s="25" t="str">
        <f>IF(OR($B173="",基础资料!$B$6=""),"",SUMIFS(周转筐出入库明细!$K$4:$K$2004,周转筐出入库明细!$C$4:$C$2004,$B173,周转筐出入库明细!$D$4:$D$2004,基础资料!$B$6,周转筐出入库明细!$B$4:$B$2004,"&gt;="&amp;$BC$1,周转筐出入库明细!$B$4:$B$2004,"&lt;="&amp;$BC$2))</f>
        <v/>
      </c>
      <c r="X173" s="25" t="str">
        <f>IF(OR($B173="",基础资料!$B$7=""),"",SUMIFS(周转筐出入库明细!$K$4:$K$2004,周转筐出入库明细!$C$4:$C$2004,$B173,周转筐出入库明细!$D$4:$D$2004,基础资料!$B$7,周转筐出入库明细!$B$4:$B$2004,"&gt;="&amp;$BC$1,周转筐出入库明细!$B$4:$B$2004,"&lt;="&amp;$BC$2))</f>
        <v/>
      </c>
      <c r="Y173" s="25" t="str">
        <f>IF(OR($B173="",基础资料!$B$8=""),"",SUMIFS(周转筐出入库明细!$K$4:$K$2004,周转筐出入库明细!$C$4:$C$2004,$B173,周转筐出入库明细!$D$4:$D$2004,基础资料!$B$8,周转筐出入库明细!$B$4:$B$2004,"&gt;="&amp;$BC$1,周转筐出入库明细!$B$4:$B$2004,"&lt;="&amp;$BC$2))</f>
        <v/>
      </c>
      <c r="Z173" s="25" t="str">
        <f t="shared" si="28"/>
        <v/>
      </c>
      <c r="AA173" s="67" t="str">
        <f>IF(OR($B173="",基础资料!$B$4=""),"",-SUMIFS(对接源_01水果筐数!$D$5:$D$304,对接源_01水果筐数!$B$5:$B$304,$B173,对接源_01水果筐数!$C$5:$C$304,基础资料!$B$4))</f>
        <v/>
      </c>
      <c r="AB173" s="67" t="str">
        <f>IF(OR($B173="",基础资料!$B$5=""),"",-SUMIFS(对接源_01水果筐数!$D$5:$D$304,对接源_01水果筐数!$B$5:$B$304,$B173,对接源_01水果筐数!$C$5:$C$304,基础资料!$B$5))</f>
        <v/>
      </c>
      <c r="AC173" s="67" t="str">
        <f>IF(OR($B173="",基础资料!$B$6=""),"",-SUMIFS(对接源_01水果筐数!$D$5:$D$304,对接源_01水果筐数!$B$5:$B$304,$B173,对接源_01水果筐数!$C$5:$C$304,基础资料!$B$6))</f>
        <v/>
      </c>
      <c r="AD173" s="67" t="str">
        <f>IF(OR($B173="",基础资料!$B$7=""),"",-SUMIFS(对接源_01水果筐数!$D$5:$D$304,对接源_01水果筐数!$B$5:$B$304,$B173,对接源_01水果筐数!$C$5:$C$304,基础资料!$B$7))</f>
        <v/>
      </c>
      <c r="AE173" s="67" t="str">
        <f>IF(OR($B173="",基础资料!$B$8=""),"",-SUMIFS(对接源_01水果筐数!$D$5:$D$304,对接源_01水果筐数!$B$5:$B$304,$B173,对接源_01水果筐数!$C$5:$C$304,基础资料!$B$8))</f>
        <v/>
      </c>
      <c r="AF173" s="25" t="str">
        <f>IF(OR($B173="",基础资料!$B$4=""),"",SUMIFS(对接源_01水果筐数!$E$5:$E$304,对接源_01水果筐数!$B$5:$B$304,$B173,对接源_01水果筐数!$C$5:$C$304,基础资料!$B$4))</f>
        <v/>
      </c>
      <c r="AG173" s="25" t="str">
        <f>IF(OR($B173="",基础资料!$B$5=""),"",SUMIFS(对接源_01水果筐数!$E$5:$E$304,对接源_01水果筐数!$B$5:$B$304,$B173,对接源_01水果筐数!$C$5:$C$304,基础资料!$B$5))</f>
        <v/>
      </c>
      <c r="AH173" s="25" t="str">
        <f>IF(OR($B173="",基础资料!$B$6=""),"",SUMIFS(对接源_01水果筐数!$E$5:$E$304,对接源_01水果筐数!$B$5:$B$304,$B173,对接源_01水果筐数!$C$5:$C$304,基础资料!$B$6))</f>
        <v/>
      </c>
      <c r="AI173" s="25" t="str">
        <f>IF(OR($B173="",基础资料!$B$7=""),"",SUMIFS(对接源_01水果筐数!$E$5:$E$304,对接源_01水果筐数!$B$5:$B$304,$B173,对接源_01水果筐数!$C$5:$C$304,基础资料!$B$7))</f>
        <v/>
      </c>
      <c r="AJ173" s="25" t="str">
        <f>IF(OR($B173="",基础资料!$B$8=""),"",SUMIFS(对接源_01水果筐数!$E$5:$E$304,对接源_01水果筐数!$B$5:$B$304,$B173,对接源_01水果筐数!$C$5:$C$304,基础资料!$B$8))</f>
        <v/>
      </c>
      <c r="AK173" s="25" t="str">
        <f>IF(OR($B173="",基础资料!$B$4=""),"",SUMIFS(对接源_01水果筐数!$F$5:$F$304,对接源_01水果筐数!$B$5:$B$304,$B173,对接源_01水果筐数!$C$5:$C$304,基础资料!$B$4))</f>
        <v/>
      </c>
      <c r="AL173" s="25" t="str">
        <f>IF(OR($B173="",基础资料!$B$5=""),"",SUMIFS(对接源_01水果筐数!$F$5:$F$304,对接源_01水果筐数!$B$5:$B$304,$B173,对接源_01水果筐数!$C$5:$C$304,基础资料!$B$5))</f>
        <v/>
      </c>
      <c r="AM173" s="25" t="str">
        <f>IF(OR($B173="",基础资料!$B$6=""),"",SUMIFS(对接源_01水果筐数!$F$5:$F$304,对接源_01水果筐数!$B$5:$B$304,$B173,对接源_01水果筐数!$C$5:$C$304,基础资料!$B$6))</f>
        <v/>
      </c>
      <c r="AN173" s="25" t="str">
        <f>IF(OR($B173="",基础资料!$B$7=""),"",SUMIFS(对接源_01水果筐数!$F$5:$F$304,对接源_01水果筐数!$B$5:$B$304,$B173,对接源_01水果筐数!$C$5:$C$304,基础资料!$B$7))</f>
        <v/>
      </c>
      <c r="AO173" s="25" t="str">
        <f>IF(OR($B173="",基础资料!$B$8=""),"",SUMIFS(对接源_01水果筐数!$F$5:$F$304,对接源_01水果筐数!$B$5:$B$304,$B173,对接源_01水果筐数!$C$5:$C$304,基础资料!$B$8))</f>
        <v/>
      </c>
      <c r="AP173" s="25" t="str">
        <f t="shared" si="29"/>
        <v/>
      </c>
      <c r="AQ173" s="25" t="str">
        <f t="shared" si="30"/>
        <v/>
      </c>
      <c r="AR173" s="25" t="str">
        <f t="shared" si="31"/>
        <v/>
      </c>
      <c r="AS173" s="25" t="str">
        <f t="shared" si="32"/>
        <v/>
      </c>
      <c r="AT173" s="25" t="str">
        <f t="shared" si="33"/>
        <v/>
      </c>
      <c r="AU173" s="25" t="str">
        <f t="shared" si="34"/>
        <v/>
      </c>
      <c r="AV173" s="24" t="str">
        <f t="shared" si="35"/>
        <v/>
      </c>
      <c r="AW173" s="72"/>
    </row>
    <row r="174" spans="1:49">
      <c r="A174" s="22" t="str">
        <f t="shared" si="24"/>
        <v/>
      </c>
      <c r="B174" s="24" t="str">
        <f>IFERROR(INDEX(_自动清单!$CC$4:$CC$253,ROW()-3),"")</f>
        <v/>
      </c>
      <c r="C174" s="25" t="str">
        <f>IF(OR($B174="",基础资料!$B$4=""),"",SUMIFS(周转筐出入库明细!$J$4:$J$2004,周转筐出入库明细!$C$4:$C$2004,$B174,周转筐出入库明细!$D$4:$D$2004,基础资料!$B$4,周转筐出入库明细!$B$4:$B$2004,"&gt;="&amp;$BC$1,周转筐出入库明细!$B$4:$B$2004,"&lt;="&amp;$BC$2))</f>
        <v/>
      </c>
      <c r="D174" s="25" t="str">
        <f>IF(OR($B174="",基础资料!$B$5=""),"",SUMIFS(周转筐出入库明细!$J$4:$J$2004,周转筐出入库明细!$C$4:$C$2004,$B174,周转筐出入库明细!$D$4:$D$2004,基础资料!$B$5,周转筐出入库明细!$B$4:$B$2004,"&gt;="&amp;$BC$1,周转筐出入库明细!$B$4:$B$2004,"&lt;="&amp;$BC$2))</f>
        <v/>
      </c>
      <c r="E174" s="25" t="str">
        <f>IF(OR($B174="",基础资料!$B$6=""),"",SUMIFS(周转筐出入库明细!$J$4:$J$2004,周转筐出入库明细!$C$4:$C$2004,$B174,周转筐出入库明细!$D$4:$D$2004,基础资料!$B$6,周转筐出入库明细!$B$4:$B$2004,"&gt;="&amp;$BC$1,周转筐出入库明细!$B$4:$B$2004,"&lt;="&amp;$BC$2))</f>
        <v/>
      </c>
      <c r="F174" s="25" t="str">
        <f>IF(OR($B174="",基础资料!$B$7=""),"",SUMIFS(周转筐出入库明细!$J$4:$J$2004,周转筐出入库明细!$C$4:$C$2004,$B174,周转筐出入库明细!$D$4:$D$2004,基础资料!$B$7,周转筐出入库明细!$B$4:$B$2004,"&gt;="&amp;$BC$1,周转筐出入库明细!$B$4:$B$2004,"&lt;="&amp;$BC$2))</f>
        <v/>
      </c>
      <c r="G174" s="25" t="str">
        <f>IF(OR($B174="",基础资料!$B$8=""),"",SUMIFS(周转筐出入库明细!$J$4:$J$2004,周转筐出入库明细!$C$4:$C$2004,$B174,周转筐出入库明细!$D$4:$D$2004,基础资料!$B$8,周转筐出入库明细!$B$4:$B$2004,"&gt;="&amp;$BC$1,周转筐出入库明细!$B$4:$B$2004,"&lt;="&amp;$BC$2))</f>
        <v/>
      </c>
      <c r="H174" s="25" t="str">
        <f t="shared" si="25"/>
        <v/>
      </c>
      <c r="I174" s="67" t="str">
        <f>IF(OR($B174="",基础资料!$B$4=""),"",-SUMIFS(周转筐出入库明细!$I$4:$I$2004,周转筐出入库明细!$C$4:$C$2004,$B174,周转筐出入库明细!$D$4:$D$2004,基础资料!$B$4,周转筐出入库明细!$B$4:$B$2004,"&gt;="&amp;$BC$1,周转筐出入库明细!$B$4:$B$2004,"&lt;="&amp;$BC$2))</f>
        <v/>
      </c>
      <c r="J174" s="67" t="str">
        <f>IF(OR($B174="",基础资料!$B$5=""),"",-SUMIFS(周转筐出入库明细!$I$4:$I$2004,周转筐出入库明细!$C$4:$C$2004,$B174,周转筐出入库明细!$D$4:$D$2004,基础资料!$B$5,周转筐出入库明细!$B$4:$B$2004,"&gt;="&amp;$BC$1,周转筐出入库明细!$B$4:$B$2004,"&lt;="&amp;$BC$2))</f>
        <v/>
      </c>
      <c r="K174" s="67" t="str">
        <f>IF(OR($B174="",基础资料!$B$6=""),"",-SUMIFS(周转筐出入库明细!$I$4:$I$2004,周转筐出入库明细!$C$4:$C$2004,$B174,周转筐出入库明细!$D$4:$D$2004,基础资料!$B$6,周转筐出入库明细!$B$4:$B$2004,"&gt;="&amp;$BC$1,周转筐出入库明细!$B$4:$B$2004,"&lt;="&amp;$BC$2))</f>
        <v/>
      </c>
      <c r="L174" s="67" t="str">
        <f>IF(OR($B174="",基础资料!$B$7=""),"",-SUMIFS(周转筐出入库明细!$I$4:$I$2004,周转筐出入库明细!$C$4:$C$2004,$B174,周转筐出入库明细!$D$4:$D$2004,基础资料!$B$7,周转筐出入库明细!$B$4:$B$2004,"&gt;="&amp;$BC$1,周转筐出入库明细!$B$4:$B$2004,"&lt;="&amp;$BC$2))</f>
        <v/>
      </c>
      <c r="M174" s="67" t="str">
        <f>IF(OR($B174="",基础资料!$B$8=""),"",-SUMIFS(周转筐出入库明细!$I$4:$I$2004,周转筐出入库明细!$C$4:$C$2004,$B174,周转筐出入库明细!$D$4:$D$2004,基础资料!$B$8,周转筐出入库明细!$B$4:$B$2004,"&gt;="&amp;$BC$1,周转筐出入库明细!$B$4:$B$2004,"&lt;="&amp;$BC$2))</f>
        <v/>
      </c>
      <c r="N174" s="67" t="str">
        <f t="shared" si="26"/>
        <v/>
      </c>
      <c r="O174" s="25" t="str">
        <f>IF(OR($B174="",基础资料!$B$4=""),"",SUMIFS(周转筐出入库明细!$H$4:$H$2004,周转筐出入库明细!$C$4:$C$2004,$B174,周转筐出入库明细!$D$4:$D$2004,基础资料!$B$4,周转筐出入库明细!$F$4:$F$2004,"采购入库",周转筐出入库明细!$B$4:$B$2004,"&gt;="&amp;$BC$1,周转筐出入库明细!$B$4:$B$2004,"&lt;="&amp;$BC$2))</f>
        <v/>
      </c>
      <c r="P174" s="25" t="str">
        <f>IF(OR($B174="",基础资料!$B$5=""),"",SUMIFS(周转筐出入库明细!$H$4:$H$2004,周转筐出入库明细!$C$4:$C$2004,$B174,周转筐出入库明细!$D$4:$D$2004,基础资料!$B$5,周转筐出入库明细!$F$4:$F$2004,"采购入库",周转筐出入库明细!$B$4:$B$2004,"&gt;="&amp;$BC$1,周转筐出入库明细!$B$4:$B$2004,"&lt;="&amp;$BC$2))</f>
        <v/>
      </c>
      <c r="Q174" s="25" t="str">
        <f>IF(OR($B174="",基础资料!$B$6=""),"",SUMIFS(周转筐出入库明细!$H$4:$H$2004,周转筐出入库明细!$C$4:$C$2004,$B174,周转筐出入库明细!$D$4:$D$2004,基础资料!$B$6,周转筐出入库明细!$F$4:$F$2004,"采购入库",周转筐出入库明细!$B$4:$B$2004,"&gt;="&amp;$BC$1,周转筐出入库明细!$B$4:$B$2004,"&lt;="&amp;$BC$2))</f>
        <v/>
      </c>
      <c r="R174" s="25" t="str">
        <f>IF(OR($B174="",基础资料!$B$7=""),"",SUMIFS(周转筐出入库明细!$H$4:$H$2004,周转筐出入库明细!$C$4:$C$2004,$B174,周转筐出入库明细!$D$4:$D$2004,基础资料!$B$7,周转筐出入库明细!$F$4:$F$2004,"采购入库",周转筐出入库明细!$B$4:$B$2004,"&gt;="&amp;$BC$1,周转筐出入库明细!$B$4:$B$2004,"&lt;="&amp;$BC$2))</f>
        <v/>
      </c>
      <c r="S174" s="25" t="str">
        <f>IF(OR($B174="",基础资料!$B$8=""),"",SUMIFS(周转筐出入库明细!$H$4:$H$2004,周转筐出入库明细!$C$4:$C$2004,$B174,周转筐出入库明细!$D$4:$D$2004,基础资料!$B$8,周转筐出入库明细!$F$4:$F$2004,"采购入库",周转筐出入库明细!$B$4:$B$2004,"&gt;="&amp;$BC$1,周转筐出入库明细!$B$4:$B$2004,"&lt;="&amp;$BC$2))</f>
        <v/>
      </c>
      <c r="T174" s="25" t="str">
        <f t="shared" si="27"/>
        <v/>
      </c>
      <c r="U174" s="25" t="str">
        <f>IF(OR($B174="",基础资料!$B$4=""),"",SUMIFS(周转筐出入库明细!$K$4:$K$2004,周转筐出入库明细!$C$4:$C$2004,$B174,周转筐出入库明细!$D$4:$D$2004,基础资料!$B$4,周转筐出入库明细!$B$4:$B$2004,"&gt;="&amp;$BC$1,周转筐出入库明细!$B$4:$B$2004,"&lt;="&amp;$BC$2))</f>
        <v/>
      </c>
      <c r="V174" s="25" t="str">
        <f>IF(OR($B174="",基础资料!$B$5=""),"",SUMIFS(周转筐出入库明细!$K$4:$K$2004,周转筐出入库明细!$C$4:$C$2004,$B174,周转筐出入库明细!$D$4:$D$2004,基础资料!$B$5,周转筐出入库明细!$B$4:$B$2004,"&gt;="&amp;$BC$1,周转筐出入库明细!$B$4:$B$2004,"&lt;="&amp;$BC$2))</f>
        <v/>
      </c>
      <c r="W174" s="25" t="str">
        <f>IF(OR($B174="",基础资料!$B$6=""),"",SUMIFS(周转筐出入库明细!$K$4:$K$2004,周转筐出入库明细!$C$4:$C$2004,$B174,周转筐出入库明细!$D$4:$D$2004,基础资料!$B$6,周转筐出入库明细!$B$4:$B$2004,"&gt;="&amp;$BC$1,周转筐出入库明细!$B$4:$B$2004,"&lt;="&amp;$BC$2))</f>
        <v/>
      </c>
      <c r="X174" s="25" t="str">
        <f>IF(OR($B174="",基础资料!$B$7=""),"",SUMIFS(周转筐出入库明细!$K$4:$K$2004,周转筐出入库明细!$C$4:$C$2004,$B174,周转筐出入库明细!$D$4:$D$2004,基础资料!$B$7,周转筐出入库明细!$B$4:$B$2004,"&gt;="&amp;$BC$1,周转筐出入库明细!$B$4:$B$2004,"&lt;="&amp;$BC$2))</f>
        <v/>
      </c>
      <c r="Y174" s="25" t="str">
        <f>IF(OR($B174="",基础资料!$B$8=""),"",SUMIFS(周转筐出入库明细!$K$4:$K$2004,周转筐出入库明细!$C$4:$C$2004,$B174,周转筐出入库明细!$D$4:$D$2004,基础资料!$B$8,周转筐出入库明细!$B$4:$B$2004,"&gt;="&amp;$BC$1,周转筐出入库明细!$B$4:$B$2004,"&lt;="&amp;$BC$2))</f>
        <v/>
      </c>
      <c r="Z174" s="25" t="str">
        <f t="shared" si="28"/>
        <v/>
      </c>
      <c r="AA174" s="67" t="str">
        <f>IF(OR($B174="",基础资料!$B$4=""),"",-SUMIFS(对接源_01水果筐数!$D$5:$D$304,对接源_01水果筐数!$B$5:$B$304,$B174,对接源_01水果筐数!$C$5:$C$304,基础资料!$B$4))</f>
        <v/>
      </c>
      <c r="AB174" s="67" t="str">
        <f>IF(OR($B174="",基础资料!$B$5=""),"",-SUMIFS(对接源_01水果筐数!$D$5:$D$304,对接源_01水果筐数!$B$5:$B$304,$B174,对接源_01水果筐数!$C$5:$C$304,基础资料!$B$5))</f>
        <v/>
      </c>
      <c r="AC174" s="67" t="str">
        <f>IF(OR($B174="",基础资料!$B$6=""),"",-SUMIFS(对接源_01水果筐数!$D$5:$D$304,对接源_01水果筐数!$B$5:$B$304,$B174,对接源_01水果筐数!$C$5:$C$304,基础资料!$B$6))</f>
        <v/>
      </c>
      <c r="AD174" s="67" t="str">
        <f>IF(OR($B174="",基础资料!$B$7=""),"",-SUMIFS(对接源_01水果筐数!$D$5:$D$304,对接源_01水果筐数!$B$5:$B$304,$B174,对接源_01水果筐数!$C$5:$C$304,基础资料!$B$7))</f>
        <v/>
      </c>
      <c r="AE174" s="67" t="str">
        <f>IF(OR($B174="",基础资料!$B$8=""),"",-SUMIFS(对接源_01水果筐数!$D$5:$D$304,对接源_01水果筐数!$B$5:$B$304,$B174,对接源_01水果筐数!$C$5:$C$304,基础资料!$B$8))</f>
        <v/>
      </c>
      <c r="AF174" s="25" t="str">
        <f>IF(OR($B174="",基础资料!$B$4=""),"",SUMIFS(对接源_01水果筐数!$E$5:$E$304,对接源_01水果筐数!$B$5:$B$304,$B174,对接源_01水果筐数!$C$5:$C$304,基础资料!$B$4))</f>
        <v/>
      </c>
      <c r="AG174" s="25" t="str">
        <f>IF(OR($B174="",基础资料!$B$5=""),"",SUMIFS(对接源_01水果筐数!$E$5:$E$304,对接源_01水果筐数!$B$5:$B$304,$B174,对接源_01水果筐数!$C$5:$C$304,基础资料!$B$5))</f>
        <v/>
      </c>
      <c r="AH174" s="25" t="str">
        <f>IF(OR($B174="",基础资料!$B$6=""),"",SUMIFS(对接源_01水果筐数!$E$5:$E$304,对接源_01水果筐数!$B$5:$B$304,$B174,对接源_01水果筐数!$C$5:$C$304,基础资料!$B$6))</f>
        <v/>
      </c>
      <c r="AI174" s="25" t="str">
        <f>IF(OR($B174="",基础资料!$B$7=""),"",SUMIFS(对接源_01水果筐数!$E$5:$E$304,对接源_01水果筐数!$B$5:$B$304,$B174,对接源_01水果筐数!$C$5:$C$304,基础资料!$B$7))</f>
        <v/>
      </c>
      <c r="AJ174" s="25" t="str">
        <f>IF(OR($B174="",基础资料!$B$8=""),"",SUMIFS(对接源_01水果筐数!$E$5:$E$304,对接源_01水果筐数!$B$5:$B$304,$B174,对接源_01水果筐数!$C$5:$C$304,基础资料!$B$8))</f>
        <v/>
      </c>
      <c r="AK174" s="25" t="str">
        <f>IF(OR($B174="",基础资料!$B$4=""),"",SUMIFS(对接源_01水果筐数!$F$5:$F$304,对接源_01水果筐数!$B$5:$B$304,$B174,对接源_01水果筐数!$C$5:$C$304,基础资料!$B$4))</f>
        <v/>
      </c>
      <c r="AL174" s="25" t="str">
        <f>IF(OR($B174="",基础资料!$B$5=""),"",SUMIFS(对接源_01水果筐数!$F$5:$F$304,对接源_01水果筐数!$B$5:$B$304,$B174,对接源_01水果筐数!$C$5:$C$304,基础资料!$B$5))</f>
        <v/>
      </c>
      <c r="AM174" s="25" t="str">
        <f>IF(OR($B174="",基础资料!$B$6=""),"",SUMIFS(对接源_01水果筐数!$F$5:$F$304,对接源_01水果筐数!$B$5:$B$304,$B174,对接源_01水果筐数!$C$5:$C$304,基础资料!$B$6))</f>
        <v/>
      </c>
      <c r="AN174" s="25" t="str">
        <f>IF(OR($B174="",基础资料!$B$7=""),"",SUMIFS(对接源_01水果筐数!$F$5:$F$304,对接源_01水果筐数!$B$5:$B$304,$B174,对接源_01水果筐数!$C$5:$C$304,基础资料!$B$7))</f>
        <v/>
      </c>
      <c r="AO174" s="25" t="str">
        <f>IF(OR($B174="",基础资料!$B$8=""),"",SUMIFS(对接源_01水果筐数!$F$5:$F$304,对接源_01水果筐数!$B$5:$B$304,$B174,对接源_01水果筐数!$C$5:$C$304,基础资料!$B$8))</f>
        <v/>
      </c>
      <c r="AP174" s="25" t="str">
        <f t="shared" si="29"/>
        <v/>
      </c>
      <c r="AQ174" s="25" t="str">
        <f t="shared" si="30"/>
        <v/>
      </c>
      <c r="AR174" s="25" t="str">
        <f t="shared" si="31"/>
        <v/>
      </c>
      <c r="AS174" s="25" t="str">
        <f t="shared" si="32"/>
        <v/>
      </c>
      <c r="AT174" s="25" t="str">
        <f t="shared" si="33"/>
        <v/>
      </c>
      <c r="AU174" s="25" t="str">
        <f t="shared" si="34"/>
        <v/>
      </c>
      <c r="AV174" s="24" t="str">
        <f t="shared" si="35"/>
        <v/>
      </c>
      <c r="AW174" s="72"/>
    </row>
    <row r="175" spans="1:49">
      <c r="A175" s="22" t="str">
        <f t="shared" si="24"/>
        <v/>
      </c>
      <c r="B175" s="24" t="str">
        <f>IFERROR(INDEX(_自动清单!$CC$4:$CC$253,ROW()-3),"")</f>
        <v/>
      </c>
      <c r="C175" s="25" t="str">
        <f>IF(OR($B175="",基础资料!$B$4=""),"",SUMIFS(周转筐出入库明细!$J$4:$J$2004,周转筐出入库明细!$C$4:$C$2004,$B175,周转筐出入库明细!$D$4:$D$2004,基础资料!$B$4,周转筐出入库明细!$B$4:$B$2004,"&gt;="&amp;$BC$1,周转筐出入库明细!$B$4:$B$2004,"&lt;="&amp;$BC$2))</f>
        <v/>
      </c>
      <c r="D175" s="25" t="str">
        <f>IF(OR($B175="",基础资料!$B$5=""),"",SUMIFS(周转筐出入库明细!$J$4:$J$2004,周转筐出入库明细!$C$4:$C$2004,$B175,周转筐出入库明细!$D$4:$D$2004,基础资料!$B$5,周转筐出入库明细!$B$4:$B$2004,"&gt;="&amp;$BC$1,周转筐出入库明细!$B$4:$B$2004,"&lt;="&amp;$BC$2))</f>
        <v/>
      </c>
      <c r="E175" s="25" t="str">
        <f>IF(OR($B175="",基础资料!$B$6=""),"",SUMIFS(周转筐出入库明细!$J$4:$J$2004,周转筐出入库明细!$C$4:$C$2004,$B175,周转筐出入库明细!$D$4:$D$2004,基础资料!$B$6,周转筐出入库明细!$B$4:$B$2004,"&gt;="&amp;$BC$1,周转筐出入库明细!$B$4:$B$2004,"&lt;="&amp;$BC$2))</f>
        <v/>
      </c>
      <c r="F175" s="25" t="str">
        <f>IF(OR($B175="",基础资料!$B$7=""),"",SUMIFS(周转筐出入库明细!$J$4:$J$2004,周转筐出入库明细!$C$4:$C$2004,$B175,周转筐出入库明细!$D$4:$D$2004,基础资料!$B$7,周转筐出入库明细!$B$4:$B$2004,"&gt;="&amp;$BC$1,周转筐出入库明细!$B$4:$B$2004,"&lt;="&amp;$BC$2))</f>
        <v/>
      </c>
      <c r="G175" s="25" t="str">
        <f>IF(OR($B175="",基础资料!$B$8=""),"",SUMIFS(周转筐出入库明细!$J$4:$J$2004,周转筐出入库明细!$C$4:$C$2004,$B175,周转筐出入库明细!$D$4:$D$2004,基础资料!$B$8,周转筐出入库明细!$B$4:$B$2004,"&gt;="&amp;$BC$1,周转筐出入库明细!$B$4:$B$2004,"&lt;="&amp;$BC$2))</f>
        <v/>
      </c>
      <c r="H175" s="25" t="str">
        <f t="shared" si="25"/>
        <v/>
      </c>
      <c r="I175" s="67" t="str">
        <f>IF(OR($B175="",基础资料!$B$4=""),"",-SUMIFS(周转筐出入库明细!$I$4:$I$2004,周转筐出入库明细!$C$4:$C$2004,$B175,周转筐出入库明细!$D$4:$D$2004,基础资料!$B$4,周转筐出入库明细!$B$4:$B$2004,"&gt;="&amp;$BC$1,周转筐出入库明细!$B$4:$B$2004,"&lt;="&amp;$BC$2))</f>
        <v/>
      </c>
      <c r="J175" s="67" t="str">
        <f>IF(OR($B175="",基础资料!$B$5=""),"",-SUMIFS(周转筐出入库明细!$I$4:$I$2004,周转筐出入库明细!$C$4:$C$2004,$B175,周转筐出入库明细!$D$4:$D$2004,基础资料!$B$5,周转筐出入库明细!$B$4:$B$2004,"&gt;="&amp;$BC$1,周转筐出入库明细!$B$4:$B$2004,"&lt;="&amp;$BC$2))</f>
        <v/>
      </c>
      <c r="K175" s="67" t="str">
        <f>IF(OR($B175="",基础资料!$B$6=""),"",-SUMIFS(周转筐出入库明细!$I$4:$I$2004,周转筐出入库明细!$C$4:$C$2004,$B175,周转筐出入库明细!$D$4:$D$2004,基础资料!$B$6,周转筐出入库明细!$B$4:$B$2004,"&gt;="&amp;$BC$1,周转筐出入库明细!$B$4:$B$2004,"&lt;="&amp;$BC$2))</f>
        <v/>
      </c>
      <c r="L175" s="67" t="str">
        <f>IF(OR($B175="",基础资料!$B$7=""),"",-SUMIFS(周转筐出入库明细!$I$4:$I$2004,周转筐出入库明细!$C$4:$C$2004,$B175,周转筐出入库明细!$D$4:$D$2004,基础资料!$B$7,周转筐出入库明细!$B$4:$B$2004,"&gt;="&amp;$BC$1,周转筐出入库明细!$B$4:$B$2004,"&lt;="&amp;$BC$2))</f>
        <v/>
      </c>
      <c r="M175" s="67" t="str">
        <f>IF(OR($B175="",基础资料!$B$8=""),"",-SUMIFS(周转筐出入库明细!$I$4:$I$2004,周转筐出入库明细!$C$4:$C$2004,$B175,周转筐出入库明细!$D$4:$D$2004,基础资料!$B$8,周转筐出入库明细!$B$4:$B$2004,"&gt;="&amp;$BC$1,周转筐出入库明细!$B$4:$B$2004,"&lt;="&amp;$BC$2))</f>
        <v/>
      </c>
      <c r="N175" s="67" t="str">
        <f t="shared" si="26"/>
        <v/>
      </c>
      <c r="O175" s="25" t="str">
        <f>IF(OR($B175="",基础资料!$B$4=""),"",SUMIFS(周转筐出入库明细!$H$4:$H$2004,周转筐出入库明细!$C$4:$C$2004,$B175,周转筐出入库明细!$D$4:$D$2004,基础资料!$B$4,周转筐出入库明细!$F$4:$F$2004,"采购入库",周转筐出入库明细!$B$4:$B$2004,"&gt;="&amp;$BC$1,周转筐出入库明细!$B$4:$B$2004,"&lt;="&amp;$BC$2))</f>
        <v/>
      </c>
      <c r="P175" s="25" t="str">
        <f>IF(OR($B175="",基础资料!$B$5=""),"",SUMIFS(周转筐出入库明细!$H$4:$H$2004,周转筐出入库明细!$C$4:$C$2004,$B175,周转筐出入库明细!$D$4:$D$2004,基础资料!$B$5,周转筐出入库明细!$F$4:$F$2004,"采购入库",周转筐出入库明细!$B$4:$B$2004,"&gt;="&amp;$BC$1,周转筐出入库明细!$B$4:$B$2004,"&lt;="&amp;$BC$2))</f>
        <v/>
      </c>
      <c r="Q175" s="25" t="str">
        <f>IF(OR($B175="",基础资料!$B$6=""),"",SUMIFS(周转筐出入库明细!$H$4:$H$2004,周转筐出入库明细!$C$4:$C$2004,$B175,周转筐出入库明细!$D$4:$D$2004,基础资料!$B$6,周转筐出入库明细!$F$4:$F$2004,"采购入库",周转筐出入库明细!$B$4:$B$2004,"&gt;="&amp;$BC$1,周转筐出入库明细!$B$4:$B$2004,"&lt;="&amp;$BC$2))</f>
        <v/>
      </c>
      <c r="R175" s="25" t="str">
        <f>IF(OR($B175="",基础资料!$B$7=""),"",SUMIFS(周转筐出入库明细!$H$4:$H$2004,周转筐出入库明细!$C$4:$C$2004,$B175,周转筐出入库明细!$D$4:$D$2004,基础资料!$B$7,周转筐出入库明细!$F$4:$F$2004,"采购入库",周转筐出入库明细!$B$4:$B$2004,"&gt;="&amp;$BC$1,周转筐出入库明细!$B$4:$B$2004,"&lt;="&amp;$BC$2))</f>
        <v/>
      </c>
      <c r="S175" s="25" t="str">
        <f>IF(OR($B175="",基础资料!$B$8=""),"",SUMIFS(周转筐出入库明细!$H$4:$H$2004,周转筐出入库明细!$C$4:$C$2004,$B175,周转筐出入库明细!$D$4:$D$2004,基础资料!$B$8,周转筐出入库明细!$F$4:$F$2004,"采购入库",周转筐出入库明细!$B$4:$B$2004,"&gt;="&amp;$BC$1,周转筐出入库明细!$B$4:$B$2004,"&lt;="&amp;$BC$2))</f>
        <v/>
      </c>
      <c r="T175" s="25" t="str">
        <f t="shared" si="27"/>
        <v/>
      </c>
      <c r="U175" s="25" t="str">
        <f>IF(OR($B175="",基础资料!$B$4=""),"",SUMIFS(周转筐出入库明细!$K$4:$K$2004,周转筐出入库明细!$C$4:$C$2004,$B175,周转筐出入库明细!$D$4:$D$2004,基础资料!$B$4,周转筐出入库明细!$B$4:$B$2004,"&gt;="&amp;$BC$1,周转筐出入库明细!$B$4:$B$2004,"&lt;="&amp;$BC$2))</f>
        <v/>
      </c>
      <c r="V175" s="25" t="str">
        <f>IF(OR($B175="",基础资料!$B$5=""),"",SUMIFS(周转筐出入库明细!$K$4:$K$2004,周转筐出入库明细!$C$4:$C$2004,$B175,周转筐出入库明细!$D$4:$D$2004,基础资料!$B$5,周转筐出入库明细!$B$4:$B$2004,"&gt;="&amp;$BC$1,周转筐出入库明细!$B$4:$B$2004,"&lt;="&amp;$BC$2))</f>
        <v/>
      </c>
      <c r="W175" s="25" t="str">
        <f>IF(OR($B175="",基础资料!$B$6=""),"",SUMIFS(周转筐出入库明细!$K$4:$K$2004,周转筐出入库明细!$C$4:$C$2004,$B175,周转筐出入库明细!$D$4:$D$2004,基础资料!$B$6,周转筐出入库明细!$B$4:$B$2004,"&gt;="&amp;$BC$1,周转筐出入库明细!$B$4:$B$2004,"&lt;="&amp;$BC$2))</f>
        <v/>
      </c>
      <c r="X175" s="25" t="str">
        <f>IF(OR($B175="",基础资料!$B$7=""),"",SUMIFS(周转筐出入库明细!$K$4:$K$2004,周转筐出入库明细!$C$4:$C$2004,$B175,周转筐出入库明细!$D$4:$D$2004,基础资料!$B$7,周转筐出入库明细!$B$4:$B$2004,"&gt;="&amp;$BC$1,周转筐出入库明细!$B$4:$B$2004,"&lt;="&amp;$BC$2))</f>
        <v/>
      </c>
      <c r="Y175" s="25" t="str">
        <f>IF(OR($B175="",基础资料!$B$8=""),"",SUMIFS(周转筐出入库明细!$K$4:$K$2004,周转筐出入库明细!$C$4:$C$2004,$B175,周转筐出入库明细!$D$4:$D$2004,基础资料!$B$8,周转筐出入库明细!$B$4:$B$2004,"&gt;="&amp;$BC$1,周转筐出入库明细!$B$4:$B$2004,"&lt;="&amp;$BC$2))</f>
        <v/>
      </c>
      <c r="Z175" s="25" t="str">
        <f t="shared" si="28"/>
        <v/>
      </c>
      <c r="AA175" s="67" t="str">
        <f>IF(OR($B175="",基础资料!$B$4=""),"",-SUMIFS(对接源_01水果筐数!$D$5:$D$304,对接源_01水果筐数!$B$5:$B$304,$B175,对接源_01水果筐数!$C$5:$C$304,基础资料!$B$4))</f>
        <v/>
      </c>
      <c r="AB175" s="67" t="str">
        <f>IF(OR($B175="",基础资料!$B$5=""),"",-SUMIFS(对接源_01水果筐数!$D$5:$D$304,对接源_01水果筐数!$B$5:$B$304,$B175,对接源_01水果筐数!$C$5:$C$304,基础资料!$B$5))</f>
        <v/>
      </c>
      <c r="AC175" s="67" t="str">
        <f>IF(OR($B175="",基础资料!$B$6=""),"",-SUMIFS(对接源_01水果筐数!$D$5:$D$304,对接源_01水果筐数!$B$5:$B$304,$B175,对接源_01水果筐数!$C$5:$C$304,基础资料!$B$6))</f>
        <v/>
      </c>
      <c r="AD175" s="67" t="str">
        <f>IF(OR($B175="",基础资料!$B$7=""),"",-SUMIFS(对接源_01水果筐数!$D$5:$D$304,对接源_01水果筐数!$B$5:$B$304,$B175,对接源_01水果筐数!$C$5:$C$304,基础资料!$B$7))</f>
        <v/>
      </c>
      <c r="AE175" s="67" t="str">
        <f>IF(OR($B175="",基础资料!$B$8=""),"",-SUMIFS(对接源_01水果筐数!$D$5:$D$304,对接源_01水果筐数!$B$5:$B$304,$B175,对接源_01水果筐数!$C$5:$C$304,基础资料!$B$8))</f>
        <v/>
      </c>
      <c r="AF175" s="25" t="str">
        <f>IF(OR($B175="",基础资料!$B$4=""),"",SUMIFS(对接源_01水果筐数!$E$5:$E$304,对接源_01水果筐数!$B$5:$B$304,$B175,对接源_01水果筐数!$C$5:$C$304,基础资料!$B$4))</f>
        <v/>
      </c>
      <c r="AG175" s="25" t="str">
        <f>IF(OR($B175="",基础资料!$B$5=""),"",SUMIFS(对接源_01水果筐数!$E$5:$E$304,对接源_01水果筐数!$B$5:$B$304,$B175,对接源_01水果筐数!$C$5:$C$304,基础资料!$B$5))</f>
        <v/>
      </c>
      <c r="AH175" s="25" t="str">
        <f>IF(OR($B175="",基础资料!$B$6=""),"",SUMIFS(对接源_01水果筐数!$E$5:$E$304,对接源_01水果筐数!$B$5:$B$304,$B175,对接源_01水果筐数!$C$5:$C$304,基础资料!$B$6))</f>
        <v/>
      </c>
      <c r="AI175" s="25" t="str">
        <f>IF(OR($B175="",基础资料!$B$7=""),"",SUMIFS(对接源_01水果筐数!$E$5:$E$304,对接源_01水果筐数!$B$5:$B$304,$B175,对接源_01水果筐数!$C$5:$C$304,基础资料!$B$7))</f>
        <v/>
      </c>
      <c r="AJ175" s="25" t="str">
        <f>IF(OR($B175="",基础资料!$B$8=""),"",SUMIFS(对接源_01水果筐数!$E$5:$E$304,对接源_01水果筐数!$B$5:$B$304,$B175,对接源_01水果筐数!$C$5:$C$304,基础资料!$B$8))</f>
        <v/>
      </c>
      <c r="AK175" s="25" t="str">
        <f>IF(OR($B175="",基础资料!$B$4=""),"",SUMIFS(对接源_01水果筐数!$F$5:$F$304,对接源_01水果筐数!$B$5:$B$304,$B175,对接源_01水果筐数!$C$5:$C$304,基础资料!$B$4))</f>
        <v/>
      </c>
      <c r="AL175" s="25" t="str">
        <f>IF(OR($B175="",基础资料!$B$5=""),"",SUMIFS(对接源_01水果筐数!$F$5:$F$304,对接源_01水果筐数!$B$5:$B$304,$B175,对接源_01水果筐数!$C$5:$C$304,基础资料!$B$5))</f>
        <v/>
      </c>
      <c r="AM175" s="25" t="str">
        <f>IF(OR($B175="",基础资料!$B$6=""),"",SUMIFS(对接源_01水果筐数!$F$5:$F$304,对接源_01水果筐数!$B$5:$B$304,$B175,对接源_01水果筐数!$C$5:$C$304,基础资料!$B$6))</f>
        <v/>
      </c>
      <c r="AN175" s="25" t="str">
        <f>IF(OR($B175="",基础资料!$B$7=""),"",SUMIFS(对接源_01水果筐数!$F$5:$F$304,对接源_01水果筐数!$B$5:$B$304,$B175,对接源_01水果筐数!$C$5:$C$304,基础资料!$B$7))</f>
        <v/>
      </c>
      <c r="AO175" s="25" t="str">
        <f>IF(OR($B175="",基础资料!$B$8=""),"",SUMIFS(对接源_01水果筐数!$F$5:$F$304,对接源_01水果筐数!$B$5:$B$304,$B175,对接源_01水果筐数!$C$5:$C$304,基础资料!$B$8))</f>
        <v/>
      </c>
      <c r="AP175" s="25" t="str">
        <f t="shared" si="29"/>
        <v/>
      </c>
      <c r="AQ175" s="25" t="str">
        <f t="shared" si="30"/>
        <v/>
      </c>
      <c r="AR175" s="25" t="str">
        <f t="shared" si="31"/>
        <v/>
      </c>
      <c r="AS175" s="25" t="str">
        <f t="shared" si="32"/>
        <v/>
      </c>
      <c r="AT175" s="25" t="str">
        <f t="shared" si="33"/>
        <v/>
      </c>
      <c r="AU175" s="25" t="str">
        <f t="shared" si="34"/>
        <v/>
      </c>
      <c r="AV175" s="24" t="str">
        <f t="shared" si="35"/>
        <v/>
      </c>
      <c r="AW175" s="72"/>
    </row>
    <row r="176" spans="1:49">
      <c r="A176" s="22" t="str">
        <f t="shared" si="24"/>
        <v/>
      </c>
      <c r="B176" s="24" t="str">
        <f>IFERROR(INDEX(_自动清单!$CC$4:$CC$253,ROW()-3),"")</f>
        <v/>
      </c>
      <c r="C176" s="25" t="str">
        <f>IF(OR($B176="",基础资料!$B$4=""),"",SUMIFS(周转筐出入库明细!$J$4:$J$2004,周转筐出入库明细!$C$4:$C$2004,$B176,周转筐出入库明细!$D$4:$D$2004,基础资料!$B$4,周转筐出入库明细!$B$4:$B$2004,"&gt;="&amp;$BC$1,周转筐出入库明细!$B$4:$B$2004,"&lt;="&amp;$BC$2))</f>
        <v/>
      </c>
      <c r="D176" s="25" t="str">
        <f>IF(OR($B176="",基础资料!$B$5=""),"",SUMIFS(周转筐出入库明细!$J$4:$J$2004,周转筐出入库明细!$C$4:$C$2004,$B176,周转筐出入库明细!$D$4:$D$2004,基础资料!$B$5,周转筐出入库明细!$B$4:$B$2004,"&gt;="&amp;$BC$1,周转筐出入库明细!$B$4:$B$2004,"&lt;="&amp;$BC$2))</f>
        <v/>
      </c>
      <c r="E176" s="25" t="str">
        <f>IF(OR($B176="",基础资料!$B$6=""),"",SUMIFS(周转筐出入库明细!$J$4:$J$2004,周转筐出入库明细!$C$4:$C$2004,$B176,周转筐出入库明细!$D$4:$D$2004,基础资料!$B$6,周转筐出入库明细!$B$4:$B$2004,"&gt;="&amp;$BC$1,周转筐出入库明细!$B$4:$B$2004,"&lt;="&amp;$BC$2))</f>
        <v/>
      </c>
      <c r="F176" s="25" t="str">
        <f>IF(OR($B176="",基础资料!$B$7=""),"",SUMIFS(周转筐出入库明细!$J$4:$J$2004,周转筐出入库明细!$C$4:$C$2004,$B176,周转筐出入库明细!$D$4:$D$2004,基础资料!$B$7,周转筐出入库明细!$B$4:$B$2004,"&gt;="&amp;$BC$1,周转筐出入库明细!$B$4:$B$2004,"&lt;="&amp;$BC$2))</f>
        <v/>
      </c>
      <c r="G176" s="25" t="str">
        <f>IF(OR($B176="",基础资料!$B$8=""),"",SUMIFS(周转筐出入库明细!$J$4:$J$2004,周转筐出入库明细!$C$4:$C$2004,$B176,周转筐出入库明细!$D$4:$D$2004,基础资料!$B$8,周转筐出入库明细!$B$4:$B$2004,"&gt;="&amp;$BC$1,周转筐出入库明细!$B$4:$B$2004,"&lt;="&amp;$BC$2))</f>
        <v/>
      </c>
      <c r="H176" s="25" t="str">
        <f t="shared" si="25"/>
        <v/>
      </c>
      <c r="I176" s="67" t="str">
        <f>IF(OR($B176="",基础资料!$B$4=""),"",-SUMIFS(周转筐出入库明细!$I$4:$I$2004,周转筐出入库明细!$C$4:$C$2004,$B176,周转筐出入库明细!$D$4:$D$2004,基础资料!$B$4,周转筐出入库明细!$B$4:$B$2004,"&gt;="&amp;$BC$1,周转筐出入库明细!$B$4:$B$2004,"&lt;="&amp;$BC$2))</f>
        <v/>
      </c>
      <c r="J176" s="67" t="str">
        <f>IF(OR($B176="",基础资料!$B$5=""),"",-SUMIFS(周转筐出入库明细!$I$4:$I$2004,周转筐出入库明细!$C$4:$C$2004,$B176,周转筐出入库明细!$D$4:$D$2004,基础资料!$B$5,周转筐出入库明细!$B$4:$B$2004,"&gt;="&amp;$BC$1,周转筐出入库明细!$B$4:$B$2004,"&lt;="&amp;$BC$2))</f>
        <v/>
      </c>
      <c r="K176" s="67" t="str">
        <f>IF(OR($B176="",基础资料!$B$6=""),"",-SUMIFS(周转筐出入库明细!$I$4:$I$2004,周转筐出入库明细!$C$4:$C$2004,$B176,周转筐出入库明细!$D$4:$D$2004,基础资料!$B$6,周转筐出入库明细!$B$4:$B$2004,"&gt;="&amp;$BC$1,周转筐出入库明细!$B$4:$B$2004,"&lt;="&amp;$BC$2))</f>
        <v/>
      </c>
      <c r="L176" s="67" t="str">
        <f>IF(OR($B176="",基础资料!$B$7=""),"",-SUMIFS(周转筐出入库明细!$I$4:$I$2004,周转筐出入库明细!$C$4:$C$2004,$B176,周转筐出入库明细!$D$4:$D$2004,基础资料!$B$7,周转筐出入库明细!$B$4:$B$2004,"&gt;="&amp;$BC$1,周转筐出入库明细!$B$4:$B$2004,"&lt;="&amp;$BC$2))</f>
        <v/>
      </c>
      <c r="M176" s="67" t="str">
        <f>IF(OR($B176="",基础资料!$B$8=""),"",-SUMIFS(周转筐出入库明细!$I$4:$I$2004,周转筐出入库明细!$C$4:$C$2004,$B176,周转筐出入库明细!$D$4:$D$2004,基础资料!$B$8,周转筐出入库明细!$B$4:$B$2004,"&gt;="&amp;$BC$1,周转筐出入库明细!$B$4:$B$2004,"&lt;="&amp;$BC$2))</f>
        <v/>
      </c>
      <c r="N176" s="67" t="str">
        <f t="shared" si="26"/>
        <v/>
      </c>
      <c r="O176" s="25" t="str">
        <f>IF(OR($B176="",基础资料!$B$4=""),"",SUMIFS(周转筐出入库明细!$H$4:$H$2004,周转筐出入库明细!$C$4:$C$2004,$B176,周转筐出入库明细!$D$4:$D$2004,基础资料!$B$4,周转筐出入库明细!$F$4:$F$2004,"采购入库",周转筐出入库明细!$B$4:$B$2004,"&gt;="&amp;$BC$1,周转筐出入库明细!$B$4:$B$2004,"&lt;="&amp;$BC$2))</f>
        <v/>
      </c>
      <c r="P176" s="25" t="str">
        <f>IF(OR($B176="",基础资料!$B$5=""),"",SUMIFS(周转筐出入库明细!$H$4:$H$2004,周转筐出入库明细!$C$4:$C$2004,$B176,周转筐出入库明细!$D$4:$D$2004,基础资料!$B$5,周转筐出入库明细!$F$4:$F$2004,"采购入库",周转筐出入库明细!$B$4:$B$2004,"&gt;="&amp;$BC$1,周转筐出入库明细!$B$4:$B$2004,"&lt;="&amp;$BC$2))</f>
        <v/>
      </c>
      <c r="Q176" s="25" t="str">
        <f>IF(OR($B176="",基础资料!$B$6=""),"",SUMIFS(周转筐出入库明细!$H$4:$H$2004,周转筐出入库明细!$C$4:$C$2004,$B176,周转筐出入库明细!$D$4:$D$2004,基础资料!$B$6,周转筐出入库明细!$F$4:$F$2004,"采购入库",周转筐出入库明细!$B$4:$B$2004,"&gt;="&amp;$BC$1,周转筐出入库明细!$B$4:$B$2004,"&lt;="&amp;$BC$2))</f>
        <v/>
      </c>
      <c r="R176" s="25" t="str">
        <f>IF(OR($B176="",基础资料!$B$7=""),"",SUMIFS(周转筐出入库明细!$H$4:$H$2004,周转筐出入库明细!$C$4:$C$2004,$B176,周转筐出入库明细!$D$4:$D$2004,基础资料!$B$7,周转筐出入库明细!$F$4:$F$2004,"采购入库",周转筐出入库明细!$B$4:$B$2004,"&gt;="&amp;$BC$1,周转筐出入库明细!$B$4:$B$2004,"&lt;="&amp;$BC$2))</f>
        <v/>
      </c>
      <c r="S176" s="25" t="str">
        <f>IF(OR($B176="",基础资料!$B$8=""),"",SUMIFS(周转筐出入库明细!$H$4:$H$2004,周转筐出入库明细!$C$4:$C$2004,$B176,周转筐出入库明细!$D$4:$D$2004,基础资料!$B$8,周转筐出入库明细!$F$4:$F$2004,"采购入库",周转筐出入库明细!$B$4:$B$2004,"&gt;="&amp;$BC$1,周转筐出入库明细!$B$4:$B$2004,"&lt;="&amp;$BC$2))</f>
        <v/>
      </c>
      <c r="T176" s="25" t="str">
        <f t="shared" si="27"/>
        <v/>
      </c>
      <c r="U176" s="25" t="str">
        <f>IF(OR($B176="",基础资料!$B$4=""),"",SUMIFS(周转筐出入库明细!$K$4:$K$2004,周转筐出入库明细!$C$4:$C$2004,$B176,周转筐出入库明细!$D$4:$D$2004,基础资料!$B$4,周转筐出入库明细!$B$4:$B$2004,"&gt;="&amp;$BC$1,周转筐出入库明细!$B$4:$B$2004,"&lt;="&amp;$BC$2))</f>
        <v/>
      </c>
      <c r="V176" s="25" t="str">
        <f>IF(OR($B176="",基础资料!$B$5=""),"",SUMIFS(周转筐出入库明细!$K$4:$K$2004,周转筐出入库明细!$C$4:$C$2004,$B176,周转筐出入库明细!$D$4:$D$2004,基础资料!$B$5,周转筐出入库明细!$B$4:$B$2004,"&gt;="&amp;$BC$1,周转筐出入库明细!$B$4:$B$2004,"&lt;="&amp;$BC$2))</f>
        <v/>
      </c>
      <c r="W176" s="25" t="str">
        <f>IF(OR($B176="",基础资料!$B$6=""),"",SUMIFS(周转筐出入库明细!$K$4:$K$2004,周转筐出入库明细!$C$4:$C$2004,$B176,周转筐出入库明细!$D$4:$D$2004,基础资料!$B$6,周转筐出入库明细!$B$4:$B$2004,"&gt;="&amp;$BC$1,周转筐出入库明细!$B$4:$B$2004,"&lt;="&amp;$BC$2))</f>
        <v/>
      </c>
      <c r="X176" s="25" t="str">
        <f>IF(OR($B176="",基础资料!$B$7=""),"",SUMIFS(周转筐出入库明细!$K$4:$K$2004,周转筐出入库明细!$C$4:$C$2004,$B176,周转筐出入库明细!$D$4:$D$2004,基础资料!$B$7,周转筐出入库明细!$B$4:$B$2004,"&gt;="&amp;$BC$1,周转筐出入库明细!$B$4:$B$2004,"&lt;="&amp;$BC$2))</f>
        <v/>
      </c>
      <c r="Y176" s="25" t="str">
        <f>IF(OR($B176="",基础资料!$B$8=""),"",SUMIFS(周转筐出入库明细!$K$4:$K$2004,周转筐出入库明细!$C$4:$C$2004,$B176,周转筐出入库明细!$D$4:$D$2004,基础资料!$B$8,周转筐出入库明细!$B$4:$B$2004,"&gt;="&amp;$BC$1,周转筐出入库明细!$B$4:$B$2004,"&lt;="&amp;$BC$2))</f>
        <v/>
      </c>
      <c r="Z176" s="25" t="str">
        <f t="shared" si="28"/>
        <v/>
      </c>
      <c r="AA176" s="67" t="str">
        <f>IF(OR($B176="",基础资料!$B$4=""),"",-SUMIFS(对接源_01水果筐数!$D$5:$D$304,对接源_01水果筐数!$B$5:$B$304,$B176,对接源_01水果筐数!$C$5:$C$304,基础资料!$B$4))</f>
        <v/>
      </c>
      <c r="AB176" s="67" t="str">
        <f>IF(OR($B176="",基础资料!$B$5=""),"",-SUMIFS(对接源_01水果筐数!$D$5:$D$304,对接源_01水果筐数!$B$5:$B$304,$B176,对接源_01水果筐数!$C$5:$C$304,基础资料!$B$5))</f>
        <v/>
      </c>
      <c r="AC176" s="67" t="str">
        <f>IF(OR($B176="",基础资料!$B$6=""),"",-SUMIFS(对接源_01水果筐数!$D$5:$D$304,对接源_01水果筐数!$B$5:$B$304,$B176,对接源_01水果筐数!$C$5:$C$304,基础资料!$B$6))</f>
        <v/>
      </c>
      <c r="AD176" s="67" t="str">
        <f>IF(OR($B176="",基础资料!$B$7=""),"",-SUMIFS(对接源_01水果筐数!$D$5:$D$304,对接源_01水果筐数!$B$5:$B$304,$B176,对接源_01水果筐数!$C$5:$C$304,基础资料!$B$7))</f>
        <v/>
      </c>
      <c r="AE176" s="67" t="str">
        <f>IF(OR($B176="",基础资料!$B$8=""),"",-SUMIFS(对接源_01水果筐数!$D$5:$D$304,对接源_01水果筐数!$B$5:$B$304,$B176,对接源_01水果筐数!$C$5:$C$304,基础资料!$B$8))</f>
        <v/>
      </c>
      <c r="AF176" s="25" t="str">
        <f>IF(OR($B176="",基础资料!$B$4=""),"",SUMIFS(对接源_01水果筐数!$E$5:$E$304,对接源_01水果筐数!$B$5:$B$304,$B176,对接源_01水果筐数!$C$5:$C$304,基础资料!$B$4))</f>
        <v/>
      </c>
      <c r="AG176" s="25" t="str">
        <f>IF(OR($B176="",基础资料!$B$5=""),"",SUMIFS(对接源_01水果筐数!$E$5:$E$304,对接源_01水果筐数!$B$5:$B$304,$B176,对接源_01水果筐数!$C$5:$C$304,基础资料!$B$5))</f>
        <v/>
      </c>
      <c r="AH176" s="25" t="str">
        <f>IF(OR($B176="",基础资料!$B$6=""),"",SUMIFS(对接源_01水果筐数!$E$5:$E$304,对接源_01水果筐数!$B$5:$B$304,$B176,对接源_01水果筐数!$C$5:$C$304,基础资料!$B$6))</f>
        <v/>
      </c>
      <c r="AI176" s="25" t="str">
        <f>IF(OR($B176="",基础资料!$B$7=""),"",SUMIFS(对接源_01水果筐数!$E$5:$E$304,对接源_01水果筐数!$B$5:$B$304,$B176,对接源_01水果筐数!$C$5:$C$304,基础资料!$B$7))</f>
        <v/>
      </c>
      <c r="AJ176" s="25" t="str">
        <f>IF(OR($B176="",基础资料!$B$8=""),"",SUMIFS(对接源_01水果筐数!$E$5:$E$304,对接源_01水果筐数!$B$5:$B$304,$B176,对接源_01水果筐数!$C$5:$C$304,基础资料!$B$8))</f>
        <v/>
      </c>
      <c r="AK176" s="25" t="str">
        <f>IF(OR($B176="",基础资料!$B$4=""),"",SUMIFS(对接源_01水果筐数!$F$5:$F$304,对接源_01水果筐数!$B$5:$B$304,$B176,对接源_01水果筐数!$C$5:$C$304,基础资料!$B$4))</f>
        <v/>
      </c>
      <c r="AL176" s="25" t="str">
        <f>IF(OR($B176="",基础资料!$B$5=""),"",SUMIFS(对接源_01水果筐数!$F$5:$F$304,对接源_01水果筐数!$B$5:$B$304,$B176,对接源_01水果筐数!$C$5:$C$304,基础资料!$B$5))</f>
        <v/>
      </c>
      <c r="AM176" s="25" t="str">
        <f>IF(OR($B176="",基础资料!$B$6=""),"",SUMIFS(对接源_01水果筐数!$F$5:$F$304,对接源_01水果筐数!$B$5:$B$304,$B176,对接源_01水果筐数!$C$5:$C$304,基础资料!$B$6))</f>
        <v/>
      </c>
      <c r="AN176" s="25" t="str">
        <f>IF(OR($B176="",基础资料!$B$7=""),"",SUMIFS(对接源_01水果筐数!$F$5:$F$304,对接源_01水果筐数!$B$5:$B$304,$B176,对接源_01水果筐数!$C$5:$C$304,基础资料!$B$7))</f>
        <v/>
      </c>
      <c r="AO176" s="25" t="str">
        <f>IF(OR($B176="",基础资料!$B$8=""),"",SUMIFS(对接源_01水果筐数!$F$5:$F$304,对接源_01水果筐数!$B$5:$B$304,$B176,对接源_01水果筐数!$C$5:$C$304,基础资料!$B$8))</f>
        <v/>
      </c>
      <c r="AP176" s="25" t="str">
        <f t="shared" si="29"/>
        <v/>
      </c>
      <c r="AQ176" s="25" t="str">
        <f t="shared" si="30"/>
        <v/>
      </c>
      <c r="AR176" s="25" t="str">
        <f t="shared" si="31"/>
        <v/>
      </c>
      <c r="AS176" s="25" t="str">
        <f t="shared" si="32"/>
        <v/>
      </c>
      <c r="AT176" s="25" t="str">
        <f t="shared" si="33"/>
        <v/>
      </c>
      <c r="AU176" s="25" t="str">
        <f t="shared" si="34"/>
        <v/>
      </c>
      <c r="AV176" s="24" t="str">
        <f t="shared" si="35"/>
        <v/>
      </c>
      <c r="AW176" s="72"/>
    </row>
    <row r="177" spans="1:49">
      <c r="A177" s="22" t="str">
        <f t="shared" si="24"/>
        <v/>
      </c>
      <c r="B177" s="24" t="str">
        <f>IFERROR(INDEX(_自动清单!$CC$4:$CC$253,ROW()-3),"")</f>
        <v/>
      </c>
      <c r="C177" s="25" t="str">
        <f>IF(OR($B177="",基础资料!$B$4=""),"",SUMIFS(周转筐出入库明细!$J$4:$J$2004,周转筐出入库明细!$C$4:$C$2004,$B177,周转筐出入库明细!$D$4:$D$2004,基础资料!$B$4,周转筐出入库明细!$B$4:$B$2004,"&gt;="&amp;$BC$1,周转筐出入库明细!$B$4:$B$2004,"&lt;="&amp;$BC$2))</f>
        <v/>
      </c>
      <c r="D177" s="25" t="str">
        <f>IF(OR($B177="",基础资料!$B$5=""),"",SUMIFS(周转筐出入库明细!$J$4:$J$2004,周转筐出入库明细!$C$4:$C$2004,$B177,周转筐出入库明细!$D$4:$D$2004,基础资料!$B$5,周转筐出入库明细!$B$4:$B$2004,"&gt;="&amp;$BC$1,周转筐出入库明细!$B$4:$B$2004,"&lt;="&amp;$BC$2))</f>
        <v/>
      </c>
      <c r="E177" s="25" t="str">
        <f>IF(OR($B177="",基础资料!$B$6=""),"",SUMIFS(周转筐出入库明细!$J$4:$J$2004,周转筐出入库明细!$C$4:$C$2004,$B177,周转筐出入库明细!$D$4:$D$2004,基础资料!$B$6,周转筐出入库明细!$B$4:$B$2004,"&gt;="&amp;$BC$1,周转筐出入库明细!$B$4:$B$2004,"&lt;="&amp;$BC$2))</f>
        <v/>
      </c>
      <c r="F177" s="25" t="str">
        <f>IF(OR($B177="",基础资料!$B$7=""),"",SUMIFS(周转筐出入库明细!$J$4:$J$2004,周转筐出入库明细!$C$4:$C$2004,$B177,周转筐出入库明细!$D$4:$D$2004,基础资料!$B$7,周转筐出入库明细!$B$4:$B$2004,"&gt;="&amp;$BC$1,周转筐出入库明细!$B$4:$B$2004,"&lt;="&amp;$BC$2))</f>
        <v/>
      </c>
      <c r="G177" s="25" t="str">
        <f>IF(OR($B177="",基础资料!$B$8=""),"",SUMIFS(周转筐出入库明细!$J$4:$J$2004,周转筐出入库明细!$C$4:$C$2004,$B177,周转筐出入库明细!$D$4:$D$2004,基础资料!$B$8,周转筐出入库明细!$B$4:$B$2004,"&gt;="&amp;$BC$1,周转筐出入库明细!$B$4:$B$2004,"&lt;="&amp;$BC$2))</f>
        <v/>
      </c>
      <c r="H177" s="25" t="str">
        <f t="shared" si="25"/>
        <v/>
      </c>
      <c r="I177" s="67" t="str">
        <f>IF(OR($B177="",基础资料!$B$4=""),"",-SUMIFS(周转筐出入库明细!$I$4:$I$2004,周转筐出入库明细!$C$4:$C$2004,$B177,周转筐出入库明细!$D$4:$D$2004,基础资料!$B$4,周转筐出入库明细!$B$4:$B$2004,"&gt;="&amp;$BC$1,周转筐出入库明细!$B$4:$B$2004,"&lt;="&amp;$BC$2))</f>
        <v/>
      </c>
      <c r="J177" s="67" t="str">
        <f>IF(OR($B177="",基础资料!$B$5=""),"",-SUMIFS(周转筐出入库明细!$I$4:$I$2004,周转筐出入库明细!$C$4:$C$2004,$B177,周转筐出入库明细!$D$4:$D$2004,基础资料!$B$5,周转筐出入库明细!$B$4:$B$2004,"&gt;="&amp;$BC$1,周转筐出入库明细!$B$4:$B$2004,"&lt;="&amp;$BC$2))</f>
        <v/>
      </c>
      <c r="K177" s="67" t="str">
        <f>IF(OR($B177="",基础资料!$B$6=""),"",-SUMIFS(周转筐出入库明细!$I$4:$I$2004,周转筐出入库明细!$C$4:$C$2004,$B177,周转筐出入库明细!$D$4:$D$2004,基础资料!$B$6,周转筐出入库明细!$B$4:$B$2004,"&gt;="&amp;$BC$1,周转筐出入库明细!$B$4:$B$2004,"&lt;="&amp;$BC$2))</f>
        <v/>
      </c>
      <c r="L177" s="67" t="str">
        <f>IF(OR($B177="",基础资料!$B$7=""),"",-SUMIFS(周转筐出入库明细!$I$4:$I$2004,周转筐出入库明细!$C$4:$C$2004,$B177,周转筐出入库明细!$D$4:$D$2004,基础资料!$B$7,周转筐出入库明细!$B$4:$B$2004,"&gt;="&amp;$BC$1,周转筐出入库明细!$B$4:$B$2004,"&lt;="&amp;$BC$2))</f>
        <v/>
      </c>
      <c r="M177" s="67" t="str">
        <f>IF(OR($B177="",基础资料!$B$8=""),"",-SUMIFS(周转筐出入库明细!$I$4:$I$2004,周转筐出入库明细!$C$4:$C$2004,$B177,周转筐出入库明细!$D$4:$D$2004,基础资料!$B$8,周转筐出入库明细!$B$4:$B$2004,"&gt;="&amp;$BC$1,周转筐出入库明细!$B$4:$B$2004,"&lt;="&amp;$BC$2))</f>
        <v/>
      </c>
      <c r="N177" s="67" t="str">
        <f t="shared" si="26"/>
        <v/>
      </c>
      <c r="O177" s="25" t="str">
        <f>IF(OR($B177="",基础资料!$B$4=""),"",SUMIFS(周转筐出入库明细!$H$4:$H$2004,周转筐出入库明细!$C$4:$C$2004,$B177,周转筐出入库明细!$D$4:$D$2004,基础资料!$B$4,周转筐出入库明细!$F$4:$F$2004,"采购入库",周转筐出入库明细!$B$4:$B$2004,"&gt;="&amp;$BC$1,周转筐出入库明细!$B$4:$B$2004,"&lt;="&amp;$BC$2))</f>
        <v/>
      </c>
      <c r="P177" s="25" t="str">
        <f>IF(OR($B177="",基础资料!$B$5=""),"",SUMIFS(周转筐出入库明细!$H$4:$H$2004,周转筐出入库明细!$C$4:$C$2004,$B177,周转筐出入库明细!$D$4:$D$2004,基础资料!$B$5,周转筐出入库明细!$F$4:$F$2004,"采购入库",周转筐出入库明细!$B$4:$B$2004,"&gt;="&amp;$BC$1,周转筐出入库明细!$B$4:$B$2004,"&lt;="&amp;$BC$2))</f>
        <v/>
      </c>
      <c r="Q177" s="25" t="str">
        <f>IF(OR($B177="",基础资料!$B$6=""),"",SUMIFS(周转筐出入库明细!$H$4:$H$2004,周转筐出入库明细!$C$4:$C$2004,$B177,周转筐出入库明细!$D$4:$D$2004,基础资料!$B$6,周转筐出入库明细!$F$4:$F$2004,"采购入库",周转筐出入库明细!$B$4:$B$2004,"&gt;="&amp;$BC$1,周转筐出入库明细!$B$4:$B$2004,"&lt;="&amp;$BC$2))</f>
        <v/>
      </c>
      <c r="R177" s="25" t="str">
        <f>IF(OR($B177="",基础资料!$B$7=""),"",SUMIFS(周转筐出入库明细!$H$4:$H$2004,周转筐出入库明细!$C$4:$C$2004,$B177,周转筐出入库明细!$D$4:$D$2004,基础资料!$B$7,周转筐出入库明细!$F$4:$F$2004,"采购入库",周转筐出入库明细!$B$4:$B$2004,"&gt;="&amp;$BC$1,周转筐出入库明细!$B$4:$B$2004,"&lt;="&amp;$BC$2))</f>
        <v/>
      </c>
      <c r="S177" s="25" t="str">
        <f>IF(OR($B177="",基础资料!$B$8=""),"",SUMIFS(周转筐出入库明细!$H$4:$H$2004,周转筐出入库明细!$C$4:$C$2004,$B177,周转筐出入库明细!$D$4:$D$2004,基础资料!$B$8,周转筐出入库明细!$F$4:$F$2004,"采购入库",周转筐出入库明细!$B$4:$B$2004,"&gt;="&amp;$BC$1,周转筐出入库明细!$B$4:$B$2004,"&lt;="&amp;$BC$2))</f>
        <v/>
      </c>
      <c r="T177" s="25" t="str">
        <f t="shared" si="27"/>
        <v/>
      </c>
      <c r="U177" s="25" t="str">
        <f>IF(OR($B177="",基础资料!$B$4=""),"",SUMIFS(周转筐出入库明细!$K$4:$K$2004,周转筐出入库明细!$C$4:$C$2004,$B177,周转筐出入库明细!$D$4:$D$2004,基础资料!$B$4,周转筐出入库明细!$B$4:$B$2004,"&gt;="&amp;$BC$1,周转筐出入库明细!$B$4:$B$2004,"&lt;="&amp;$BC$2))</f>
        <v/>
      </c>
      <c r="V177" s="25" t="str">
        <f>IF(OR($B177="",基础资料!$B$5=""),"",SUMIFS(周转筐出入库明细!$K$4:$K$2004,周转筐出入库明细!$C$4:$C$2004,$B177,周转筐出入库明细!$D$4:$D$2004,基础资料!$B$5,周转筐出入库明细!$B$4:$B$2004,"&gt;="&amp;$BC$1,周转筐出入库明细!$B$4:$B$2004,"&lt;="&amp;$BC$2))</f>
        <v/>
      </c>
      <c r="W177" s="25" t="str">
        <f>IF(OR($B177="",基础资料!$B$6=""),"",SUMIFS(周转筐出入库明细!$K$4:$K$2004,周转筐出入库明细!$C$4:$C$2004,$B177,周转筐出入库明细!$D$4:$D$2004,基础资料!$B$6,周转筐出入库明细!$B$4:$B$2004,"&gt;="&amp;$BC$1,周转筐出入库明细!$B$4:$B$2004,"&lt;="&amp;$BC$2))</f>
        <v/>
      </c>
      <c r="X177" s="25" t="str">
        <f>IF(OR($B177="",基础资料!$B$7=""),"",SUMIFS(周转筐出入库明细!$K$4:$K$2004,周转筐出入库明细!$C$4:$C$2004,$B177,周转筐出入库明细!$D$4:$D$2004,基础资料!$B$7,周转筐出入库明细!$B$4:$B$2004,"&gt;="&amp;$BC$1,周转筐出入库明细!$B$4:$B$2004,"&lt;="&amp;$BC$2))</f>
        <v/>
      </c>
      <c r="Y177" s="25" t="str">
        <f>IF(OR($B177="",基础资料!$B$8=""),"",SUMIFS(周转筐出入库明细!$K$4:$K$2004,周转筐出入库明细!$C$4:$C$2004,$B177,周转筐出入库明细!$D$4:$D$2004,基础资料!$B$8,周转筐出入库明细!$B$4:$B$2004,"&gt;="&amp;$BC$1,周转筐出入库明细!$B$4:$B$2004,"&lt;="&amp;$BC$2))</f>
        <v/>
      </c>
      <c r="Z177" s="25" t="str">
        <f t="shared" si="28"/>
        <v/>
      </c>
      <c r="AA177" s="67" t="str">
        <f>IF(OR($B177="",基础资料!$B$4=""),"",-SUMIFS(对接源_01水果筐数!$D$5:$D$304,对接源_01水果筐数!$B$5:$B$304,$B177,对接源_01水果筐数!$C$5:$C$304,基础资料!$B$4))</f>
        <v/>
      </c>
      <c r="AB177" s="67" t="str">
        <f>IF(OR($B177="",基础资料!$B$5=""),"",-SUMIFS(对接源_01水果筐数!$D$5:$D$304,对接源_01水果筐数!$B$5:$B$304,$B177,对接源_01水果筐数!$C$5:$C$304,基础资料!$B$5))</f>
        <v/>
      </c>
      <c r="AC177" s="67" t="str">
        <f>IF(OR($B177="",基础资料!$B$6=""),"",-SUMIFS(对接源_01水果筐数!$D$5:$D$304,对接源_01水果筐数!$B$5:$B$304,$B177,对接源_01水果筐数!$C$5:$C$304,基础资料!$B$6))</f>
        <v/>
      </c>
      <c r="AD177" s="67" t="str">
        <f>IF(OR($B177="",基础资料!$B$7=""),"",-SUMIFS(对接源_01水果筐数!$D$5:$D$304,对接源_01水果筐数!$B$5:$B$304,$B177,对接源_01水果筐数!$C$5:$C$304,基础资料!$B$7))</f>
        <v/>
      </c>
      <c r="AE177" s="67" t="str">
        <f>IF(OR($B177="",基础资料!$B$8=""),"",-SUMIFS(对接源_01水果筐数!$D$5:$D$304,对接源_01水果筐数!$B$5:$B$304,$B177,对接源_01水果筐数!$C$5:$C$304,基础资料!$B$8))</f>
        <v/>
      </c>
      <c r="AF177" s="25" t="str">
        <f>IF(OR($B177="",基础资料!$B$4=""),"",SUMIFS(对接源_01水果筐数!$E$5:$E$304,对接源_01水果筐数!$B$5:$B$304,$B177,对接源_01水果筐数!$C$5:$C$304,基础资料!$B$4))</f>
        <v/>
      </c>
      <c r="AG177" s="25" t="str">
        <f>IF(OR($B177="",基础资料!$B$5=""),"",SUMIFS(对接源_01水果筐数!$E$5:$E$304,对接源_01水果筐数!$B$5:$B$304,$B177,对接源_01水果筐数!$C$5:$C$304,基础资料!$B$5))</f>
        <v/>
      </c>
      <c r="AH177" s="25" t="str">
        <f>IF(OR($B177="",基础资料!$B$6=""),"",SUMIFS(对接源_01水果筐数!$E$5:$E$304,对接源_01水果筐数!$B$5:$B$304,$B177,对接源_01水果筐数!$C$5:$C$304,基础资料!$B$6))</f>
        <v/>
      </c>
      <c r="AI177" s="25" t="str">
        <f>IF(OR($B177="",基础资料!$B$7=""),"",SUMIFS(对接源_01水果筐数!$E$5:$E$304,对接源_01水果筐数!$B$5:$B$304,$B177,对接源_01水果筐数!$C$5:$C$304,基础资料!$B$7))</f>
        <v/>
      </c>
      <c r="AJ177" s="25" t="str">
        <f>IF(OR($B177="",基础资料!$B$8=""),"",SUMIFS(对接源_01水果筐数!$E$5:$E$304,对接源_01水果筐数!$B$5:$B$304,$B177,对接源_01水果筐数!$C$5:$C$304,基础资料!$B$8))</f>
        <v/>
      </c>
      <c r="AK177" s="25" t="str">
        <f>IF(OR($B177="",基础资料!$B$4=""),"",SUMIFS(对接源_01水果筐数!$F$5:$F$304,对接源_01水果筐数!$B$5:$B$304,$B177,对接源_01水果筐数!$C$5:$C$304,基础资料!$B$4))</f>
        <v/>
      </c>
      <c r="AL177" s="25" t="str">
        <f>IF(OR($B177="",基础资料!$B$5=""),"",SUMIFS(对接源_01水果筐数!$F$5:$F$304,对接源_01水果筐数!$B$5:$B$304,$B177,对接源_01水果筐数!$C$5:$C$304,基础资料!$B$5))</f>
        <v/>
      </c>
      <c r="AM177" s="25" t="str">
        <f>IF(OR($B177="",基础资料!$B$6=""),"",SUMIFS(对接源_01水果筐数!$F$5:$F$304,对接源_01水果筐数!$B$5:$B$304,$B177,对接源_01水果筐数!$C$5:$C$304,基础资料!$B$6))</f>
        <v/>
      </c>
      <c r="AN177" s="25" t="str">
        <f>IF(OR($B177="",基础资料!$B$7=""),"",SUMIFS(对接源_01水果筐数!$F$5:$F$304,对接源_01水果筐数!$B$5:$B$304,$B177,对接源_01水果筐数!$C$5:$C$304,基础资料!$B$7))</f>
        <v/>
      </c>
      <c r="AO177" s="25" t="str">
        <f>IF(OR($B177="",基础资料!$B$8=""),"",SUMIFS(对接源_01水果筐数!$F$5:$F$304,对接源_01水果筐数!$B$5:$B$304,$B177,对接源_01水果筐数!$C$5:$C$304,基础资料!$B$8))</f>
        <v/>
      </c>
      <c r="AP177" s="25" t="str">
        <f t="shared" si="29"/>
        <v/>
      </c>
      <c r="AQ177" s="25" t="str">
        <f t="shared" si="30"/>
        <v/>
      </c>
      <c r="AR177" s="25" t="str">
        <f t="shared" si="31"/>
        <v/>
      </c>
      <c r="AS177" s="25" t="str">
        <f t="shared" si="32"/>
        <v/>
      </c>
      <c r="AT177" s="25" t="str">
        <f t="shared" si="33"/>
        <v/>
      </c>
      <c r="AU177" s="25" t="str">
        <f t="shared" si="34"/>
        <v/>
      </c>
      <c r="AV177" s="24" t="str">
        <f t="shared" si="35"/>
        <v/>
      </c>
      <c r="AW177" s="72"/>
    </row>
    <row r="178" spans="1:49">
      <c r="A178" s="22" t="str">
        <f t="shared" si="24"/>
        <v/>
      </c>
      <c r="B178" s="24" t="str">
        <f>IFERROR(INDEX(_自动清单!$CC$4:$CC$253,ROW()-3),"")</f>
        <v/>
      </c>
      <c r="C178" s="25" t="str">
        <f>IF(OR($B178="",基础资料!$B$4=""),"",SUMIFS(周转筐出入库明细!$J$4:$J$2004,周转筐出入库明细!$C$4:$C$2004,$B178,周转筐出入库明细!$D$4:$D$2004,基础资料!$B$4,周转筐出入库明细!$B$4:$B$2004,"&gt;="&amp;$BC$1,周转筐出入库明细!$B$4:$B$2004,"&lt;="&amp;$BC$2))</f>
        <v/>
      </c>
      <c r="D178" s="25" t="str">
        <f>IF(OR($B178="",基础资料!$B$5=""),"",SUMIFS(周转筐出入库明细!$J$4:$J$2004,周转筐出入库明细!$C$4:$C$2004,$B178,周转筐出入库明细!$D$4:$D$2004,基础资料!$B$5,周转筐出入库明细!$B$4:$B$2004,"&gt;="&amp;$BC$1,周转筐出入库明细!$B$4:$B$2004,"&lt;="&amp;$BC$2))</f>
        <v/>
      </c>
      <c r="E178" s="25" t="str">
        <f>IF(OR($B178="",基础资料!$B$6=""),"",SUMIFS(周转筐出入库明细!$J$4:$J$2004,周转筐出入库明细!$C$4:$C$2004,$B178,周转筐出入库明细!$D$4:$D$2004,基础资料!$B$6,周转筐出入库明细!$B$4:$B$2004,"&gt;="&amp;$BC$1,周转筐出入库明细!$B$4:$B$2004,"&lt;="&amp;$BC$2))</f>
        <v/>
      </c>
      <c r="F178" s="25" t="str">
        <f>IF(OR($B178="",基础资料!$B$7=""),"",SUMIFS(周转筐出入库明细!$J$4:$J$2004,周转筐出入库明细!$C$4:$C$2004,$B178,周转筐出入库明细!$D$4:$D$2004,基础资料!$B$7,周转筐出入库明细!$B$4:$B$2004,"&gt;="&amp;$BC$1,周转筐出入库明细!$B$4:$B$2004,"&lt;="&amp;$BC$2))</f>
        <v/>
      </c>
      <c r="G178" s="25" t="str">
        <f>IF(OR($B178="",基础资料!$B$8=""),"",SUMIFS(周转筐出入库明细!$J$4:$J$2004,周转筐出入库明细!$C$4:$C$2004,$B178,周转筐出入库明细!$D$4:$D$2004,基础资料!$B$8,周转筐出入库明细!$B$4:$B$2004,"&gt;="&amp;$BC$1,周转筐出入库明细!$B$4:$B$2004,"&lt;="&amp;$BC$2))</f>
        <v/>
      </c>
      <c r="H178" s="25" t="str">
        <f t="shared" si="25"/>
        <v/>
      </c>
      <c r="I178" s="67" t="str">
        <f>IF(OR($B178="",基础资料!$B$4=""),"",-SUMIFS(周转筐出入库明细!$I$4:$I$2004,周转筐出入库明细!$C$4:$C$2004,$B178,周转筐出入库明细!$D$4:$D$2004,基础资料!$B$4,周转筐出入库明细!$B$4:$B$2004,"&gt;="&amp;$BC$1,周转筐出入库明细!$B$4:$B$2004,"&lt;="&amp;$BC$2))</f>
        <v/>
      </c>
      <c r="J178" s="67" t="str">
        <f>IF(OR($B178="",基础资料!$B$5=""),"",-SUMIFS(周转筐出入库明细!$I$4:$I$2004,周转筐出入库明细!$C$4:$C$2004,$B178,周转筐出入库明细!$D$4:$D$2004,基础资料!$B$5,周转筐出入库明细!$B$4:$B$2004,"&gt;="&amp;$BC$1,周转筐出入库明细!$B$4:$B$2004,"&lt;="&amp;$BC$2))</f>
        <v/>
      </c>
      <c r="K178" s="67" t="str">
        <f>IF(OR($B178="",基础资料!$B$6=""),"",-SUMIFS(周转筐出入库明细!$I$4:$I$2004,周转筐出入库明细!$C$4:$C$2004,$B178,周转筐出入库明细!$D$4:$D$2004,基础资料!$B$6,周转筐出入库明细!$B$4:$B$2004,"&gt;="&amp;$BC$1,周转筐出入库明细!$B$4:$B$2004,"&lt;="&amp;$BC$2))</f>
        <v/>
      </c>
      <c r="L178" s="67" t="str">
        <f>IF(OR($B178="",基础资料!$B$7=""),"",-SUMIFS(周转筐出入库明细!$I$4:$I$2004,周转筐出入库明细!$C$4:$C$2004,$B178,周转筐出入库明细!$D$4:$D$2004,基础资料!$B$7,周转筐出入库明细!$B$4:$B$2004,"&gt;="&amp;$BC$1,周转筐出入库明细!$B$4:$B$2004,"&lt;="&amp;$BC$2))</f>
        <v/>
      </c>
      <c r="M178" s="67" t="str">
        <f>IF(OR($B178="",基础资料!$B$8=""),"",-SUMIFS(周转筐出入库明细!$I$4:$I$2004,周转筐出入库明细!$C$4:$C$2004,$B178,周转筐出入库明细!$D$4:$D$2004,基础资料!$B$8,周转筐出入库明细!$B$4:$B$2004,"&gt;="&amp;$BC$1,周转筐出入库明细!$B$4:$B$2004,"&lt;="&amp;$BC$2))</f>
        <v/>
      </c>
      <c r="N178" s="67" t="str">
        <f t="shared" si="26"/>
        <v/>
      </c>
      <c r="O178" s="25" t="str">
        <f>IF(OR($B178="",基础资料!$B$4=""),"",SUMIFS(周转筐出入库明细!$H$4:$H$2004,周转筐出入库明细!$C$4:$C$2004,$B178,周转筐出入库明细!$D$4:$D$2004,基础资料!$B$4,周转筐出入库明细!$F$4:$F$2004,"采购入库",周转筐出入库明细!$B$4:$B$2004,"&gt;="&amp;$BC$1,周转筐出入库明细!$B$4:$B$2004,"&lt;="&amp;$BC$2))</f>
        <v/>
      </c>
      <c r="P178" s="25" t="str">
        <f>IF(OR($B178="",基础资料!$B$5=""),"",SUMIFS(周转筐出入库明细!$H$4:$H$2004,周转筐出入库明细!$C$4:$C$2004,$B178,周转筐出入库明细!$D$4:$D$2004,基础资料!$B$5,周转筐出入库明细!$F$4:$F$2004,"采购入库",周转筐出入库明细!$B$4:$B$2004,"&gt;="&amp;$BC$1,周转筐出入库明细!$B$4:$B$2004,"&lt;="&amp;$BC$2))</f>
        <v/>
      </c>
      <c r="Q178" s="25" t="str">
        <f>IF(OR($B178="",基础资料!$B$6=""),"",SUMIFS(周转筐出入库明细!$H$4:$H$2004,周转筐出入库明细!$C$4:$C$2004,$B178,周转筐出入库明细!$D$4:$D$2004,基础资料!$B$6,周转筐出入库明细!$F$4:$F$2004,"采购入库",周转筐出入库明细!$B$4:$B$2004,"&gt;="&amp;$BC$1,周转筐出入库明细!$B$4:$B$2004,"&lt;="&amp;$BC$2))</f>
        <v/>
      </c>
      <c r="R178" s="25" t="str">
        <f>IF(OR($B178="",基础资料!$B$7=""),"",SUMIFS(周转筐出入库明细!$H$4:$H$2004,周转筐出入库明细!$C$4:$C$2004,$B178,周转筐出入库明细!$D$4:$D$2004,基础资料!$B$7,周转筐出入库明细!$F$4:$F$2004,"采购入库",周转筐出入库明细!$B$4:$B$2004,"&gt;="&amp;$BC$1,周转筐出入库明细!$B$4:$B$2004,"&lt;="&amp;$BC$2))</f>
        <v/>
      </c>
      <c r="S178" s="25" t="str">
        <f>IF(OR($B178="",基础资料!$B$8=""),"",SUMIFS(周转筐出入库明细!$H$4:$H$2004,周转筐出入库明细!$C$4:$C$2004,$B178,周转筐出入库明细!$D$4:$D$2004,基础资料!$B$8,周转筐出入库明细!$F$4:$F$2004,"采购入库",周转筐出入库明细!$B$4:$B$2004,"&gt;="&amp;$BC$1,周转筐出入库明细!$B$4:$B$2004,"&lt;="&amp;$BC$2))</f>
        <v/>
      </c>
      <c r="T178" s="25" t="str">
        <f t="shared" si="27"/>
        <v/>
      </c>
      <c r="U178" s="25" t="str">
        <f>IF(OR($B178="",基础资料!$B$4=""),"",SUMIFS(周转筐出入库明细!$K$4:$K$2004,周转筐出入库明细!$C$4:$C$2004,$B178,周转筐出入库明细!$D$4:$D$2004,基础资料!$B$4,周转筐出入库明细!$B$4:$B$2004,"&gt;="&amp;$BC$1,周转筐出入库明细!$B$4:$B$2004,"&lt;="&amp;$BC$2))</f>
        <v/>
      </c>
      <c r="V178" s="25" t="str">
        <f>IF(OR($B178="",基础资料!$B$5=""),"",SUMIFS(周转筐出入库明细!$K$4:$K$2004,周转筐出入库明细!$C$4:$C$2004,$B178,周转筐出入库明细!$D$4:$D$2004,基础资料!$B$5,周转筐出入库明细!$B$4:$B$2004,"&gt;="&amp;$BC$1,周转筐出入库明细!$B$4:$B$2004,"&lt;="&amp;$BC$2))</f>
        <v/>
      </c>
      <c r="W178" s="25" t="str">
        <f>IF(OR($B178="",基础资料!$B$6=""),"",SUMIFS(周转筐出入库明细!$K$4:$K$2004,周转筐出入库明细!$C$4:$C$2004,$B178,周转筐出入库明细!$D$4:$D$2004,基础资料!$B$6,周转筐出入库明细!$B$4:$B$2004,"&gt;="&amp;$BC$1,周转筐出入库明细!$B$4:$B$2004,"&lt;="&amp;$BC$2))</f>
        <v/>
      </c>
      <c r="X178" s="25" t="str">
        <f>IF(OR($B178="",基础资料!$B$7=""),"",SUMIFS(周转筐出入库明细!$K$4:$K$2004,周转筐出入库明细!$C$4:$C$2004,$B178,周转筐出入库明细!$D$4:$D$2004,基础资料!$B$7,周转筐出入库明细!$B$4:$B$2004,"&gt;="&amp;$BC$1,周转筐出入库明细!$B$4:$B$2004,"&lt;="&amp;$BC$2))</f>
        <v/>
      </c>
      <c r="Y178" s="25" t="str">
        <f>IF(OR($B178="",基础资料!$B$8=""),"",SUMIFS(周转筐出入库明细!$K$4:$K$2004,周转筐出入库明细!$C$4:$C$2004,$B178,周转筐出入库明细!$D$4:$D$2004,基础资料!$B$8,周转筐出入库明细!$B$4:$B$2004,"&gt;="&amp;$BC$1,周转筐出入库明细!$B$4:$B$2004,"&lt;="&amp;$BC$2))</f>
        <v/>
      </c>
      <c r="Z178" s="25" t="str">
        <f t="shared" si="28"/>
        <v/>
      </c>
      <c r="AA178" s="67" t="str">
        <f>IF(OR($B178="",基础资料!$B$4=""),"",-SUMIFS(对接源_01水果筐数!$D$5:$D$304,对接源_01水果筐数!$B$5:$B$304,$B178,对接源_01水果筐数!$C$5:$C$304,基础资料!$B$4))</f>
        <v/>
      </c>
      <c r="AB178" s="67" t="str">
        <f>IF(OR($B178="",基础资料!$B$5=""),"",-SUMIFS(对接源_01水果筐数!$D$5:$D$304,对接源_01水果筐数!$B$5:$B$304,$B178,对接源_01水果筐数!$C$5:$C$304,基础资料!$B$5))</f>
        <v/>
      </c>
      <c r="AC178" s="67" t="str">
        <f>IF(OR($B178="",基础资料!$B$6=""),"",-SUMIFS(对接源_01水果筐数!$D$5:$D$304,对接源_01水果筐数!$B$5:$B$304,$B178,对接源_01水果筐数!$C$5:$C$304,基础资料!$B$6))</f>
        <v/>
      </c>
      <c r="AD178" s="67" t="str">
        <f>IF(OR($B178="",基础资料!$B$7=""),"",-SUMIFS(对接源_01水果筐数!$D$5:$D$304,对接源_01水果筐数!$B$5:$B$304,$B178,对接源_01水果筐数!$C$5:$C$304,基础资料!$B$7))</f>
        <v/>
      </c>
      <c r="AE178" s="67" t="str">
        <f>IF(OR($B178="",基础资料!$B$8=""),"",-SUMIFS(对接源_01水果筐数!$D$5:$D$304,对接源_01水果筐数!$B$5:$B$304,$B178,对接源_01水果筐数!$C$5:$C$304,基础资料!$B$8))</f>
        <v/>
      </c>
      <c r="AF178" s="25" t="str">
        <f>IF(OR($B178="",基础资料!$B$4=""),"",SUMIFS(对接源_01水果筐数!$E$5:$E$304,对接源_01水果筐数!$B$5:$B$304,$B178,对接源_01水果筐数!$C$5:$C$304,基础资料!$B$4))</f>
        <v/>
      </c>
      <c r="AG178" s="25" t="str">
        <f>IF(OR($B178="",基础资料!$B$5=""),"",SUMIFS(对接源_01水果筐数!$E$5:$E$304,对接源_01水果筐数!$B$5:$B$304,$B178,对接源_01水果筐数!$C$5:$C$304,基础资料!$B$5))</f>
        <v/>
      </c>
      <c r="AH178" s="25" t="str">
        <f>IF(OR($B178="",基础资料!$B$6=""),"",SUMIFS(对接源_01水果筐数!$E$5:$E$304,对接源_01水果筐数!$B$5:$B$304,$B178,对接源_01水果筐数!$C$5:$C$304,基础资料!$B$6))</f>
        <v/>
      </c>
      <c r="AI178" s="25" t="str">
        <f>IF(OR($B178="",基础资料!$B$7=""),"",SUMIFS(对接源_01水果筐数!$E$5:$E$304,对接源_01水果筐数!$B$5:$B$304,$B178,对接源_01水果筐数!$C$5:$C$304,基础资料!$B$7))</f>
        <v/>
      </c>
      <c r="AJ178" s="25" t="str">
        <f>IF(OR($B178="",基础资料!$B$8=""),"",SUMIFS(对接源_01水果筐数!$E$5:$E$304,对接源_01水果筐数!$B$5:$B$304,$B178,对接源_01水果筐数!$C$5:$C$304,基础资料!$B$8))</f>
        <v/>
      </c>
      <c r="AK178" s="25" t="str">
        <f>IF(OR($B178="",基础资料!$B$4=""),"",SUMIFS(对接源_01水果筐数!$F$5:$F$304,对接源_01水果筐数!$B$5:$B$304,$B178,对接源_01水果筐数!$C$5:$C$304,基础资料!$B$4))</f>
        <v/>
      </c>
      <c r="AL178" s="25" t="str">
        <f>IF(OR($B178="",基础资料!$B$5=""),"",SUMIFS(对接源_01水果筐数!$F$5:$F$304,对接源_01水果筐数!$B$5:$B$304,$B178,对接源_01水果筐数!$C$5:$C$304,基础资料!$B$5))</f>
        <v/>
      </c>
      <c r="AM178" s="25" t="str">
        <f>IF(OR($B178="",基础资料!$B$6=""),"",SUMIFS(对接源_01水果筐数!$F$5:$F$304,对接源_01水果筐数!$B$5:$B$304,$B178,对接源_01水果筐数!$C$5:$C$304,基础资料!$B$6))</f>
        <v/>
      </c>
      <c r="AN178" s="25" t="str">
        <f>IF(OR($B178="",基础资料!$B$7=""),"",SUMIFS(对接源_01水果筐数!$F$5:$F$304,对接源_01水果筐数!$B$5:$B$304,$B178,对接源_01水果筐数!$C$5:$C$304,基础资料!$B$7))</f>
        <v/>
      </c>
      <c r="AO178" s="25" t="str">
        <f>IF(OR($B178="",基础资料!$B$8=""),"",SUMIFS(对接源_01水果筐数!$F$5:$F$304,对接源_01水果筐数!$B$5:$B$304,$B178,对接源_01水果筐数!$C$5:$C$304,基础资料!$B$8))</f>
        <v/>
      </c>
      <c r="AP178" s="25" t="str">
        <f t="shared" si="29"/>
        <v/>
      </c>
      <c r="AQ178" s="25" t="str">
        <f t="shared" si="30"/>
        <v/>
      </c>
      <c r="AR178" s="25" t="str">
        <f t="shared" si="31"/>
        <v/>
      </c>
      <c r="AS178" s="25" t="str">
        <f t="shared" si="32"/>
        <v/>
      </c>
      <c r="AT178" s="25" t="str">
        <f t="shared" si="33"/>
        <v/>
      </c>
      <c r="AU178" s="25" t="str">
        <f t="shared" si="34"/>
        <v/>
      </c>
      <c r="AV178" s="24" t="str">
        <f t="shared" si="35"/>
        <v/>
      </c>
      <c r="AW178" s="72"/>
    </row>
    <row r="179" spans="1:49">
      <c r="A179" s="22" t="str">
        <f t="shared" si="24"/>
        <v/>
      </c>
      <c r="B179" s="24" t="str">
        <f>IFERROR(INDEX(_自动清单!$CC$4:$CC$253,ROW()-3),"")</f>
        <v/>
      </c>
      <c r="C179" s="25" t="str">
        <f>IF(OR($B179="",基础资料!$B$4=""),"",SUMIFS(周转筐出入库明细!$J$4:$J$2004,周转筐出入库明细!$C$4:$C$2004,$B179,周转筐出入库明细!$D$4:$D$2004,基础资料!$B$4,周转筐出入库明细!$B$4:$B$2004,"&gt;="&amp;$BC$1,周转筐出入库明细!$B$4:$B$2004,"&lt;="&amp;$BC$2))</f>
        <v/>
      </c>
      <c r="D179" s="25" t="str">
        <f>IF(OR($B179="",基础资料!$B$5=""),"",SUMIFS(周转筐出入库明细!$J$4:$J$2004,周转筐出入库明细!$C$4:$C$2004,$B179,周转筐出入库明细!$D$4:$D$2004,基础资料!$B$5,周转筐出入库明细!$B$4:$B$2004,"&gt;="&amp;$BC$1,周转筐出入库明细!$B$4:$B$2004,"&lt;="&amp;$BC$2))</f>
        <v/>
      </c>
      <c r="E179" s="25" t="str">
        <f>IF(OR($B179="",基础资料!$B$6=""),"",SUMIFS(周转筐出入库明细!$J$4:$J$2004,周转筐出入库明细!$C$4:$C$2004,$B179,周转筐出入库明细!$D$4:$D$2004,基础资料!$B$6,周转筐出入库明细!$B$4:$B$2004,"&gt;="&amp;$BC$1,周转筐出入库明细!$B$4:$B$2004,"&lt;="&amp;$BC$2))</f>
        <v/>
      </c>
      <c r="F179" s="25" t="str">
        <f>IF(OR($B179="",基础资料!$B$7=""),"",SUMIFS(周转筐出入库明细!$J$4:$J$2004,周转筐出入库明细!$C$4:$C$2004,$B179,周转筐出入库明细!$D$4:$D$2004,基础资料!$B$7,周转筐出入库明细!$B$4:$B$2004,"&gt;="&amp;$BC$1,周转筐出入库明细!$B$4:$B$2004,"&lt;="&amp;$BC$2))</f>
        <v/>
      </c>
      <c r="G179" s="25" t="str">
        <f>IF(OR($B179="",基础资料!$B$8=""),"",SUMIFS(周转筐出入库明细!$J$4:$J$2004,周转筐出入库明细!$C$4:$C$2004,$B179,周转筐出入库明细!$D$4:$D$2004,基础资料!$B$8,周转筐出入库明细!$B$4:$B$2004,"&gt;="&amp;$BC$1,周转筐出入库明细!$B$4:$B$2004,"&lt;="&amp;$BC$2))</f>
        <v/>
      </c>
      <c r="H179" s="25" t="str">
        <f t="shared" si="25"/>
        <v/>
      </c>
      <c r="I179" s="67" t="str">
        <f>IF(OR($B179="",基础资料!$B$4=""),"",-SUMIFS(周转筐出入库明细!$I$4:$I$2004,周转筐出入库明细!$C$4:$C$2004,$B179,周转筐出入库明细!$D$4:$D$2004,基础资料!$B$4,周转筐出入库明细!$B$4:$B$2004,"&gt;="&amp;$BC$1,周转筐出入库明细!$B$4:$B$2004,"&lt;="&amp;$BC$2))</f>
        <v/>
      </c>
      <c r="J179" s="67" t="str">
        <f>IF(OR($B179="",基础资料!$B$5=""),"",-SUMIFS(周转筐出入库明细!$I$4:$I$2004,周转筐出入库明细!$C$4:$C$2004,$B179,周转筐出入库明细!$D$4:$D$2004,基础资料!$B$5,周转筐出入库明细!$B$4:$B$2004,"&gt;="&amp;$BC$1,周转筐出入库明细!$B$4:$B$2004,"&lt;="&amp;$BC$2))</f>
        <v/>
      </c>
      <c r="K179" s="67" t="str">
        <f>IF(OR($B179="",基础资料!$B$6=""),"",-SUMIFS(周转筐出入库明细!$I$4:$I$2004,周转筐出入库明细!$C$4:$C$2004,$B179,周转筐出入库明细!$D$4:$D$2004,基础资料!$B$6,周转筐出入库明细!$B$4:$B$2004,"&gt;="&amp;$BC$1,周转筐出入库明细!$B$4:$B$2004,"&lt;="&amp;$BC$2))</f>
        <v/>
      </c>
      <c r="L179" s="67" t="str">
        <f>IF(OR($B179="",基础资料!$B$7=""),"",-SUMIFS(周转筐出入库明细!$I$4:$I$2004,周转筐出入库明细!$C$4:$C$2004,$B179,周转筐出入库明细!$D$4:$D$2004,基础资料!$B$7,周转筐出入库明细!$B$4:$B$2004,"&gt;="&amp;$BC$1,周转筐出入库明细!$B$4:$B$2004,"&lt;="&amp;$BC$2))</f>
        <v/>
      </c>
      <c r="M179" s="67" t="str">
        <f>IF(OR($B179="",基础资料!$B$8=""),"",-SUMIFS(周转筐出入库明细!$I$4:$I$2004,周转筐出入库明细!$C$4:$C$2004,$B179,周转筐出入库明细!$D$4:$D$2004,基础资料!$B$8,周转筐出入库明细!$B$4:$B$2004,"&gt;="&amp;$BC$1,周转筐出入库明细!$B$4:$B$2004,"&lt;="&amp;$BC$2))</f>
        <v/>
      </c>
      <c r="N179" s="67" t="str">
        <f t="shared" si="26"/>
        <v/>
      </c>
      <c r="O179" s="25" t="str">
        <f>IF(OR($B179="",基础资料!$B$4=""),"",SUMIFS(周转筐出入库明细!$H$4:$H$2004,周转筐出入库明细!$C$4:$C$2004,$B179,周转筐出入库明细!$D$4:$D$2004,基础资料!$B$4,周转筐出入库明细!$F$4:$F$2004,"采购入库",周转筐出入库明细!$B$4:$B$2004,"&gt;="&amp;$BC$1,周转筐出入库明细!$B$4:$B$2004,"&lt;="&amp;$BC$2))</f>
        <v/>
      </c>
      <c r="P179" s="25" t="str">
        <f>IF(OR($B179="",基础资料!$B$5=""),"",SUMIFS(周转筐出入库明细!$H$4:$H$2004,周转筐出入库明细!$C$4:$C$2004,$B179,周转筐出入库明细!$D$4:$D$2004,基础资料!$B$5,周转筐出入库明细!$F$4:$F$2004,"采购入库",周转筐出入库明细!$B$4:$B$2004,"&gt;="&amp;$BC$1,周转筐出入库明细!$B$4:$B$2004,"&lt;="&amp;$BC$2))</f>
        <v/>
      </c>
      <c r="Q179" s="25" t="str">
        <f>IF(OR($B179="",基础资料!$B$6=""),"",SUMIFS(周转筐出入库明细!$H$4:$H$2004,周转筐出入库明细!$C$4:$C$2004,$B179,周转筐出入库明细!$D$4:$D$2004,基础资料!$B$6,周转筐出入库明细!$F$4:$F$2004,"采购入库",周转筐出入库明细!$B$4:$B$2004,"&gt;="&amp;$BC$1,周转筐出入库明细!$B$4:$B$2004,"&lt;="&amp;$BC$2))</f>
        <v/>
      </c>
      <c r="R179" s="25" t="str">
        <f>IF(OR($B179="",基础资料!$B$7=""),"",SUMIFS(周转筐出入库明细!$H$4:$H$2004,周转筐出入库明细!$C$4:$C$2004,$B179,周转筐出入库明细!$D$4:$D$2004,基础资料!$B$7,周转筐出入库明细!$F$4:$F$2004,"采购入库",周转筐出入库明细!$B$4:$B$2004,"&gt;="&amp;$BC$1,周转筐出入库明细!$B$4:$B$2004,"&lt;="&amp;$BC$2))</f>
        <v/>
      </c>
      <c r="S179" s="25" t="str">
        <f>IF(OR($B179="",基础资料!$B$8=""),"",SUMIFS(周转筐出入库明细!$H$4:$H$2004,周转筐出入库明细!$C$4:$C$2004,$B179,周转筐出入库明细!$D$4:$D$2004,基础资料!$B$8,周转筐出入库明细!$F$4:$F$2004,"采购入库",周转筐出入库明细!$B$4:$B$2004,"&gt;="&amp;$BC$1,周转筐出入库明细!$B$4:$B$2004,"&lt;="&amp;$BC$2))</f>
        <v/>
      </c>
      <c r="T179" s="25" t="str">
        <f t="shared" si="27"/>
        <v/>
      </c>
      <c r="U179" s="25" t="str">
        <f>IF(OR($B179="",基础资料!$B$4=""),"",SUMIFS(周转筐出入库明细!$K$4:$K$2004,周转筐出入库明细!$C$4:$C$2004,$B179,周转筐出入库明细!$D$4:$D$2004,基础资料!$B$4,周转筐出入库明细!$B$4:$B$2004,"&gt;="&amp;$BC$1,周转筐出入库明细!$B$4:$B$2004,"&lt;="&amp;$BC$2))</f>
        <v/>
      </c>
      <c r="V179" s="25" t="str">
        <f>IF(OR($B179="",基础资料!$B$5=""),"",SUMIFS(周转筐出入库明细!$K$4:$K$2004,周转筐出入库明细!$C$4:$C$2004,$B179,周转筐出入库明细!$D$4:$D$2004,基础资料!$B$5,周转筐出入库明细!$B$4:$B$2004,"&gt;="&amp;$BC$1,周转筐出入库明细!$B$4:$B$2004,"&lt;="&amp;$BC$2))</f>
        <v/>
      </c>
      <c r="W179" s="25" t="str">
        <f>IF(OR($B179="",基础资料!$B$6=""),"",SUMIFS(周转筐出入库明细!$K$4:$K$2004,周转筐出入库明细!$C$4:$C$2004,$B179,周转筐出入库明细!$D$4:$D$2004,基础资料!$B$6,周转筐出入库明细!$B$4:$B$2004,"&gt;="&amp;$BC$1,周转筐出入库明细!$B$4:$B$2004,"&lt;="&amp;$BC$2))</f>
        <v/>
      </c>
      <c r="X179" s="25" t="str">
        <f>IF(OR($B179="",基础资料!$B$7=""),"",SUMIFS(周转筐出入库明细!$K$4:$K$2004,周转筐出入库明细!$C$4:$C$2004,$B179,周转筐出入库明细!$D$4:$D$2004,基础资料!$B$7,周转筐出入库明细!$B$4:$B$2004,"&gt;="&amp;$BC$1,周转筐出入库明细!$B$4:$B$2004,"&lt;="&amp;$BC$2))</f>
        <v/>
      </c>
      <c r="Y179" s="25" t="str">
        <f>IF(OR($B179="",基础资料!$B$8=""),"",SUMIFS(周转筐出入库明细!$K$4:$K$2004,周转筐出入库明细!$C$4:$C$2004,$B179,周转筐出入库明细!$D$4:$D$2004,基础资料!$B$8,周转筐出入库明细!$B$4:$B$2004,"&gt;="&amp;$BC$1,周转筐出入库明细!$B$4:$B$2004,"&lt;="&amp;$BC$2))</f>
        <v/>
      </c>
      <c r="Z179" s="25" t="str">
        <f t="shared" si="28"/>
        <v/>
      </c>
      <c r="AA179" s="67" t="str">
        <f>IF(OR($B179="",基础资料!$B$4=""),"",-SUMIFS(对接源_01水果筐数!$D$5:$D$304,对接源_01水果筐数!$B$5:$B$304,$B179,对接源_01水果筐数!$C$5:$C$304,基础资料!$B$4))</f>
        <v/>
      </c>
      <c r="AB179" s="67" t="str">
        <f>IF(OR($B179="",基础资料!$B$5=""),"",-SUMIFS(对接源_01水果筐数!$D$5:$D$304,对接源_01水果筐数!$B$5:$B$304,$B179,对接源_01水果筐数!$C$5:$C$304,基础资料!$B$5))</f>
        <v/>
      </c>
      <c r="AC179" s="67" t="str">
        <f>IF(OR($B179="",基础资料!$B$6=""),"",-SUMIFS(对接源_01水果筐数!$D$5:$D$304,对接源_01水果筐数!$B$5:$B$304,$B179,对接源_01水果筐数!$C$5:$C$304,基础资料!$B$6))</f>
        <v/>
      </c>
      <c r="AD179" s="67" t="str">
        <f>IF(OR($B179="",基础资料!$B$7=""),"",-SUMIFS(对接源_01水果筐数!$D$5:$D$304,对接源_01水果筐数!$B$5:$B$304,$B179,对接源_01水果筐数!$C$5:$C$304,基础资料!$B$7))</f>
        <v/>
      </c>
      <c r="AE179" s="67" t="str">
        <f>IF(OR($B179="",基础资料!$B$8=""),"",-SUMIFS(对接源_01水果筐数!$D$5:$D$304,对接源_01水果筐数!$B$5:$B$304,$B179,对接源_01水果筐数!$C$5:$C$304,基础资料!$B$8))</f>
        <v/>
      </c>
      <c r="AF179" s="25" t="str">
        <f>IF(OR($B179="",基础资料!$B$4=""),"",SUMIFS(对接源_01水果筐数!$E$5:$E$304,对接源_01水果筐数!$B$5:$B$304,$B179,对接源_01水果筐数!$C$5:$C$304,基础资料!$B$4))</f>
        <v/>
      </c>
      <c r="AG179" s="25" t="str">
        <f>IF(OR($B179="",基础资料!$B$5=""),"",SUMIFS(对接源_01水果筐数!$E$5:$E$304,对接源_01水果筐数!$B$5:$B$304,$B179,对接源_01水果筐数!$C$5:$C$304,基础资料!$B$5))</f>
        <v/>
      </c>
      <c r="AH179" s="25" t="str">
        <f>IF(OR($B179="",基础资料!$B$6=""),"",SUMIFS(对接源_01水果筐数!$E$5:$E$304,对接源_01水果筐数!$B$5:$B$304,$B179,对接源_01水果筐数!$C$5:$C$304,基础资料!$B$6))</f>
        <v/>
      </c>
      <c r="AI179" s="25" t="str">
        <f>IF(OR($B179="",基础资料!$B$7=""),"",SUMIFS(对接源_01水果筐数!$E$5:$E$304,对接源_01水果筐数!$B$5:$B$304,$B179,对接源_01水果筐数!$C$5:$C$304,基础资料!$B$7))</f>
        <v/>
      </c>
      <c r="AJ179" s="25" t="str">
        <f>IF(OR($B179="",基础资料!$B$8=""),"",SUMIFS(对接源_01水果筐数!$E$5:$E$304,对接源_01水果筐数!$B$5:$B$304,$B179,对接源_01水果筐数!$C$5:$C$304,基础资料!$B$8))</f>
        <v/>
      </c>
      <c r="AK179" s="25" t="str">
        <f>IF(OR($B179="",基础资料!$B$4=""),"",SUMIFS(对接源_01水果筐数!$F$5:$F$304,对接源_01水果筐数!$B$5:$B$304,$B179,对接源_01水果筐数!$C$5:$C$304,基础资料!$B$4))</f>
        <v/>
      </c>
      <c r="AL179" s="25" t="str">
        <f>IF(OR($B179="",基础资料!$B$5=""),"",SUMIFS(对接源_01水果筐数!$F$5:$F$304,对接源_01水果筐数!$B$5:$B$304,$B179,对接源_01水果筐数!$C$5:$C$304,基础资料!$B$5))</f>
        <v/>
      </c>
      <c r="AM179" s="25" t="str">
        <f>IF(OR($B179="",基础资料!$B$6=""),"",SUMIFS(对接源_01水果筐数!$F$5:$F$304,对接源_01水果筐数!$B$5:$B$304,$B179,对接源_01水果筐数!$C$5:$C$304,基础资料!$B$6))</f>
        <v/>
      </c>
      <c r="AN179" s="25" t="str">
        <f>IF(OR($B179="",基础资料!$B$7=""),"",SUMIFS(对接源_01水果筐数!$F$5:$F$304,对接源_01水果筐数!$B$5:$B$304,$B179,对接源_01水果筐数!$C$5:$C$304,基础资料!$B$7))</f>
        <v/>
      </c>
      <c r="AO179" s="25" t="str">
        <f>IF(OR($B179="",基础资料!$B$8=""),"",SUMIFS(对接源_01水果筐数!$F$5:$F$304,对接源_01水果筐数!$B$5:$B$304,$B179,对接源_01水果筐数!$C$5:$C$304,基础资料!$B$8))</f>
        <v/>
      </c>
      <c r="AP179" s="25" t="str">
        <f t="shared" si="29"/>
        <v/>
      </c>
      <c r="AQ179" s="25" t="str">
        <f t="shared" si="30"/>
        <v/>
      </c>
      <c r="AR179" s="25" t="str">
        <f t="shared" si="31"/>
        <v/>
      </c>
      <c r="AS179" s="25" t="str">
        <f t="shared" si="32"/>
        <v/>
      </c>
      <c r="AT179" s="25" t="str">
        <f t="shared" si="33"/>
        <v/>
      </c>
      <c r="AU179" s="25" t="str">
        <f t="shared" si="34"/>
        <v/>
      </c>
      <c r="AV179" s="24" t="str">
        <f t="shared" si="35"/>
        <v/>
      </c>
      <c r="AW179" s="72"/>
    </row>
    <row r="180" spans="1:49">
      <c r="A180" s="22" t="str">
        <f t="shared" si="24"/>
        <v/>
      </c>
      <c r="B180" s="24" t="str">
        <f>IFERROR(INDEX(_自动清单!$CC$4:$CC$253,ROW()-3),"")</f>
        <v/>
      </c>
      <c r="C180" s="25" t="str">
        <f>IF(OR($B180="",基础资料!$B$4=""),"",SUMIFS(周转筐出入库明细!$J$4:$J$2004,周转筐出入库明细!$C$4:$C$2004,$B180,周转筐出入库明细!$D$4:$D$2004,基础资料!$B$4,周转筐出入库明细!$B$4:$B$2004,"&gt;="&amp;$BC$1,周转筐出入库明细!$B$4:$B$2004,"&lt;="&amp;$BC$2))</f>
        <v/>
      </c>
      <c r="D180" s="25" t="str">
        <f>IF(OR($B180="",基础资料!$B$5=""),"",SUMIFS(周转筐出入库明细!$J$4:$J$2004,周转筐出入库明细!$C$4:$C$2004,$B180,周转筐出入库明细!$D$4:$D$2004,基础资料!$B$5,周转筐出入库明细!$B$4:$B$2004,"&gt;="&amp;$BC$1,周转筐出入库明细!$B$4:$B$2004,"&lt;="&amp;$BC$2))</f>
        <v/>
      </c>
      <c r="E180" s="25" t="str">
        <f>IF(OR($B180="",基础资料!$B$6=""),"",SUMIFS(周转筐出入库明细!$J$4:$J$2004,周转筐出入库明细!$C$4:$C$2004,$B180,周转筐出入库明细!$D$4:$D$2004,基础资料!$B$6,周转筐出入库明细!$B$4:$B$2004,"&gt;="&amp;$BC$1,周转筐出入库明细!$B$4:$B$2004,"&lt;="&amp;$BC$2))</f>
        <v/>
      </c>
      <c r="F180" s="25" t="str">
        <f>IF(OR($B180="",基础资料!$B$7=""),"",SUMIFS(周转筐出入库明细!$J$4:$J$2004,周转筐出入库明细!$C$4:$C$2004,$B180,周转筐出入库明细!$D$4:$D$2004,基础资料!$B$7,周转筐出入库明细!$B$4:$B$2004,"&gt;="&amp;$BC$1,周转筐出入库明细!$B$4:$B$2004,"&lt;="&amp;$BC$2))</f>
        <v/>
      </c>
      <c r="G180" s="25" t="str">
        <f>IF(OR($B180="",基础资料!$B$8=""),"",SUMIFS(周转筐出入库明细!$J$4:$J$2004,周转筐出入库明细!$C$4:$C$2004,$B180,周转筐出入库明细!$D$4:$D$2004,基础资料!$B$8,周转筐出入库明细!$B$4:$B$2004,"&gt;="&amp;$BC$1,周转筐出入库明细!$B$4:$B$2004,"&lt;="&amp;$BC$2))</f>
        <v/>
      </c>
      <c r="H180" s="25" t="str">
        <f t="shared" si="25"/>
        <v/>
      </c>
      <c r="I180" s="67" t="str">
        <f>IF(OR($B180="",基础资料!$B$4=""),"",-SUMIFS(周转筐出入库明细!$I$4:$I$2004,周转筐出入库明细!$C$4:$C$2004,$B180,周转筐出入库明细!$D$4:$D$2004,基础资料!$B$4,周转筐出入库明细!$B$4:$B$2004,"&gt;="&amp;$BC$1,周转筐出入库明细!$B$4:$B$2004,"&lt;="&amp;$BC$2))</f>
        <v/>
      </c>
      <c r="J180" s="67" t="str">
        <f>IF(OR($B180="",基础资料!$B$5=""),"",-SUMIFS(周转筐出入库明细!$I$4:$I$2004,周转筐出入库明细!$C$4:$C$2004,$B180,周转筐出入库明细!$D$4:$D$2004,基础资料!$B$5,周转筐出入库明细!$B$4:$B$2004,"&gt;="&amp;$BC$1,周转筐出入库明细!$B$4:$B$2004,"&lt;="&amp;$BC$2))</f>
        <v/>
      </c>
      <c r="K180" s="67" t="str">
        <f>IF(OR($B180="",基础资料!$B$6=""),"",-SUMIFS(周转筐出入库明细!$I$4:$I$2004,周转筐出入库明细!$C$4:$C$2004,$B180,周转筐出入库明细!$D$4:$D$2004,基础资料!$B$6,周转筐出入库明细!$B$4:$B$2004,"&gt;="&amp;$BC$1,周转筐出入库明细!$B$4:$B$2004,"&lt;="&amp;$BC$2))</f>
        <v/>
      </c>
      <c r="L180" s="67" t="str">
        <f>IF(OR($B180="",基础资料!$B$7=""),"",-SUMIFS(周转筐出入库明细!$I$4:$I$2004,周转筐出入库明细!$C$4:$C$2004,$B180,周转筐出入库明细!$D$4:$D$2004,基础资料!$B$7,周转筐出入库明细!$B$4:$B$2004,"&gt;="&amp;$BC$1,周转筐出入库明细!$B$4:$B$2004,"&lt;="&amp;$BC$2))</f>
        <v/>
      </c>
      <c r="M180" s="67" t="str">
        <f>IF(OR($B180="",基础资料!$B$8=""),"",-SUMIFS(周转筐出入库明细!$I$4:$I$2004,周转筐出入库明细!$C$4:$C$2004,$B180,周转筐出入库明细!$D$4:$D$2004,基础资料!$B$8,周转筐出入库明细!$B$4:$B$2004,"&gt;="&amp;$BC$1,周转筐出入库明细!$B$4:$B$2004,"&lt;="&amp;$BC$2))</f>
        <v/>
      </c>
      <c r="N180" s="67" t="str">
        <f t="shared" si="26"/>
        <v/>
      </c>
      <c r="O180" s="25" t="str">
        <f>IF(OR($B180="",基础资料!$B$4=""),"",SUMIFS(周转筐出入库明细!$H$4:$H$2004,周转筐出入库明细!$C$4:$C$2004,$B180,周转筐出入库明细!$D$4:$D$2004,基础资料!$B$4,周转筐出入库明细!$F$4:$F$2004,"采购入库",周转筐出入库明细!$B$4:$B$2004,"&gt;="&amp;$BC$1,周转筐出入库明细!$B$4:$B$2004,"&lt;="&amp;$BC$2))</f>
        <v/>
      </c>
      <c r="P180" s="25" t="str">
        <f>IF(OR($B180="",基础资料!$B$5=""),"",SUMIFS(周转筐出入库明细!$H$4:$H$2004,周转筐出入库明细!$C$4:$C$2004,$B180,周转筐出入库明细!$D$4:$D$2004,基础资料!$B$5,周转筐出入库明细!$F$4:$F$2004,"采购入库",周转筐出入库明细!$B$4:$B$2004,"&gt;="&amp;$BC$1,周转筐出入库明细!$B$4:$B$2004,"&lt;="&amp;$BC$2))</f>
        <v/>
      </c>
      <c r="Q180" s="25" t="str">
        <f>IF(OR($B180="",基础资料!$B$6=""),"",SUMIFS(周转筐出入库明细!$H$4:$H$2004,周转筐出入库明细!$C$4:$C$2004,$B180,周转筐出入库明细!$D$4:$D$2004,基础资料!$B$6,周转筐出入库明细!$F$4:$F$2004,"采购入库",周转筐出入库明细!$B$4:$B$2004,"&gt;="&amp;$BC$1,周转筐出入库明细!$B$4:$B$2004,"&lt;="&amp;$BC$2))</f>
        <v/>
      </c>
      <c r="R180" s="25" t="str">
        <f>IF(OR($B180="",基础资料!$B$7=""),"",SUMIFS(周转筐出入库明细!$H$4:$H$2004,周转筐出入库明细!$C$4:$C$2004,$B180,周转筐出入库明细!$D$4:$D$2004,基础资料!$B$7,周转筐出入库明细!$F$4:$F$2004,"采购入库",周转筐出入库明细!$B$4:$B$2004,"&gt;="&amp;$BC$1,周转筐出入库明细!$B$4:$B$2004,"&lt;="&amp;$BC$2))</f>
        <v/>
      </c>
      <c r="S180" s="25" t="str">
        <f>IF(OR($B180="",基础资料!$B$8=""),"",SUMIFS(周转筐出入库明细!$H$4:$H$2004,周转筐出入库明细!$C$4:$C$2004,$B180,周转筐出入库明细!$D$4:$D$2004,基础资料!$B$8,周转筐出入库明细!$F$4:$F$2004,"采购入库",周转筐出入库明细!$B$4:$B$2004,"&gt;="&amp;$BC$1,周转筐出入库明细!$B$4:$B$2004,"&lt;="&amp;$BC$2))</f>
        <v/>
      </c>
      <c r="T180" s="25" t="str">
        <f t="shared" si="27"/>
        <v/>
      </c>
      <c r="U180" s="25" t="str">
        <f>IF(OR($B180="",基础资料!$B$4=""),"",SUMIFS(周转筐出入库明细!$K$4:$K$2004,周转筐出入库明细!$C$4:$C$2004,$B180,周转筐出入库明细!$D$4:$D$2004,基础资料!$B$4,周转筐出入库明细!$B$4:$B$2004,"&gt;="&amp;$BC$1,周转筐出入库明细!$B$4:$B$2004,"&lt;="&amp;$BC$2))</f>
        <v/>
      </c>
      <c r="V180" s="25" t="str">
        <f>IF(OR($B180="",基础资料!$B$5=""),"",SUMIFS(周转筐出入库明细!$K$4:$K$2004,周转筐出入库明细!$C$4:$C$2004,$B180,周转筐出入库明细!$D$4:$D$2004,基础资料!$B$5,周转筐出入库明细!$B$4:$B$2004,"&gt;="&amp;$BC$1,周转筐出入库明细!$B$4:$B$2004,"&lt;="&amp;$BC$2))</f>
        <v/>
      </c>
      <c r="W180" s="25" t="str">
        <f>IF(OR($B180="",基础资料!$B$6=""),"",SUMIFS(周转筐出入库明细!$K$4:$K$2004,周转筐出入库明细!$C$4:$C$2004,$B180,周转筐出入库明细!$D$4:$D$2004,基础资料!$B$6,周转筐出入库明细!$B$4:$B$2004,"&gt;="&amp;$BC$1,周转筐出入库明细!$B$4:$B$2004,"&lt;="&amp;$BC$2))</f>
        <v/>
      </c>
      <c r="X180" s="25" t="str">
        <f>IF(OR($B180="",基础资料!$B$7=""),"",SUMIFS(周转筐出入库明细!$K$4:$K$2004,周转筐出入库明细!$C$4:$C$2004,$B180,周转筐出入库明细!$D$4:$D$2004,基础资料!$B$7,周转筐出入库明细!$B$4:$B$2004,"&gt;="&amp;$BC$1,周转筐出入库明细!$B$4:$B$2004,"&lt;="&amp;$BC$2))</f>
        <v/>
      </c>
      <c r="Y180" s="25" t="str">
        <f>IF(OR($B180="",基础资料!$B$8=""),"",SUMIFS(周转筐出入库明细!$K$4:$K$2004,周转筐出入库明细!$C$4:$C$2004,$B180,周转筐出入库明细!$D$4:$D$2004,基础资料!$B$8,周转筐出入库明细!$B$4:$B$2004,"&gt;="&amp;$BC$1,周转筐出入库明细!$B$4:$B$2004,"&lt;="&amp;$BC$2))</f>
        <v/>
      </c>
      <c r="Z180" s="25" t="str">
        <f t="shared" si="28"/>
        <v/>
      </c>
      <c r="AA180" s="67" t="str">
        <f>IF(OR($B180="",基础资料!$B$4=""),"",-SUMIFS(对接源_01水果筐数!$D$5:$D$304,对接源_01水果筐数!$B$5:$B$304,$B180,对接源_01水果筐数!$C$5:$C$304,基础资料!$B$4))</f>
        <v/>
      </c>
      <c r="AB180" s="67" t="str">
        <f>IF(OR($B180="",基础资料!$B$5=""),"",-SUMIFS(对接源_01水果筐数!$D$5:$D$304,对接源_01水果筐数!$B$5:$B$304,$B180,对接源_01水果筐数!$C$5:$C$304,基础资料!$B$5))</f>
        <v/>
      </c>
      <c r="AC180" s="67" t="str">
        <f>IF(OR($B180="",基础资料!$B$6=""),"",-SUMIFS(对接源_01水果筐数!$D$5:$D$304,对接源_01水果筐数!$B$5:$B$304,$B180,对接源_01水果筐数!$C$5:$C$304,基础资料!$B$6))</f>
        <v/>
      </c>
      <c r="AD180" s="67" t="str">
        <f>IF(OR($B180="",基础资料!$B$7=""),"",-SUMIFS(对接源_01水果筐数!$D$5:$D$304,对接源_01水果筐数!$B$5:$B$304,$B180,对接源_01水果筐数!$C$5:$C$304,基础资料!$B$7))</f>
        <v/>
      </c>
      <c r="AE180" s="67" t="str">
        <f>IF(OR($B180="",基础资料!$B$8=""),"",-SUMIFS(对接源_01水果筐数!$D$5:$D$304,对接源_01水果筐数!$B$5:$B$304,$B180,对接源_01水果筐数!$C$5:$C$304,基础资料!$B$8))</f>
        <v/>
      </c>
      <c r="AF180" s="25" t="str">
        <f>IF(OR($B180="",基础资料!$B$4=""),"",SUMIFS(对接源_01水果筐数!$E$5:$E$304,对接源_01水果筐数!$B$5:$B$304,$B180,对接源_01水果筐数!$C$5:$C$304,基础资料!$B$4))</f>
        <v/>
      </c>
      <c r="AG180" s="25" t="str">
        <f>IF(OR($B180="",基础资料!$B$5=""),"",SUMIFS(对接源_01水果筐数!$E$5:$E$304,对接源_01水果筐数!$B$5:$B$304,$B180,对接源_01水果筐数!$C$5:$C$304,基础资料!$B$5))</f>
        <v/>
      </c>
      <c r="AH180" s="25" t="str">
        <f>IF(OR($B180="",基础资料!$B$6=""),"",SUMIFS(对接源_01水果筐数!$E$5:$E$304,对接源_01水果筐数!$B$5:$B$304,$B180,对接源_01水果筐数!$C$5:$C$304,基础资料!$B$6))</f>
        <v/>
      </c>
      <c r="AI180" s="25" t="str">
        <f>IF(OR($B180="",基础资料!$B$7=""),"",SUMIFS(对接源_01水果筐数!$E$5:$E$304,对接源_01水果筐数!$B$5:$B$304,$B180,对接源_01水果筐数!$C$5:$C$304,基础资料!$B$7))</f>
        <v/>
      </c>
      <c r="AJ180" s="25" t="str">
        <f>IF(OR($B180="",基础资料!$B$8=""),"",SUMIFS(对接源_01水果筐数!$E$5:$E$304,对接源_01水果筐数!$B$5:$B$304,$B180,对接源_01水果筐数!$C$5:$C$304,基础资料!$B$8))</f>
        <v/>
      </c>
      <c r="AK180" s="25" t="str">
        <f>IF(OR($B180="",基础资料!$B$4=""),"",SUMIFS(对接源_01水果筐数!$F$5:$F$304,对接源_01水果筐数!$B$5:$B$304,$B180,对接源_01水果筐数!$C$5:$C$304,基础资料!$B$4))</f>
        <v/>
      </c>
      <c r="AL180" s="25" t="str">
        <f>IF(OR($B180="",基础资料!$B$5=""),"",SUMIFS(对接源_01水果筐数!$F$5:$F$304,对接源_01水果筐数!$B$5:$B$304,$B180,对接源_01水果筐数!$C$5:$C$304,基础资料!$B$5))</f>
        <v/>
      </c>
      <c r="AM180" s="25" t="str">
        <f>IF(OR($B180="",基础资料!$B$6=""),"",SUMIFS(对接源_01水果筐数!$F$5:$F$304,对接源_01水果筐数!$B$5:$B$304,$B180,对接源_01水果筐数!$C$5:$C$304,基础资料!$B$6))</f>
        <v/>
      </c>
      <c r="AN180" s="25" t="str">
        <f>IF(OR($B180="",基础资料!$B$7=""),"",SUMIFS(对接源_01水果筐数!$F$5:$F$304,对接源_01水果筐数!$B$5:$B$304,$B180,对接源_01水果筐数!$C$5:$C$304,基础资料!$B$7))</f>
        <v/>
      </c>
      <c r="AO180" s="25" t="str">
        <f>IF(OR($B180="",基础资料!$B$8=""),"",SUMIFS(对接源_01水果筐数!$F$5:$F$304,对接源_01水果筐数!$B$5:$B$304,$B180,对接源_01水果筐数!$C$5:$C$304,基础资料!$B$8))</f>
        <v/>
      </c>
      <c r="AP180" s="25" t="str">
        <f t="shared" si="29"/>
        <v/>
      </c>
      <c r="AQ180" s="25" t="str">
        <f t="shared" si="30"/>
        <v/>
      </c>
      <c r="AR180" s="25" t="str">
        <f t="shared" si="31"/>
        <v/>
      </c>
      <c r="AS180" s="25" t="str">
        <f t="shared" si="32"/>
        <v/>
      </c>
      <c r="AT180" s="25" t="str">
        <f t="shared" si="33"/>
        <v/>
      </c>
      <c r="AU180" s="25" t="str">
        <f t="shared" si="34"/>
        <v/>
      </c>
      <c r="AV180" s="24" t="str">
        <f t="shared" si="35"/>
        <v/>
      </c>
      <c r="AW180" s="72"/>
    </row>
    <row r="181" spans="1:49">
      <c r="A181" s="22" t="str">
        <f t="shared" si="24"/>
        <v/>
      </c>
      <c r="B181" s="24" t="str">
        <f>IFERROR(INDEX(_自动清单!$CC$4:$CC$253,ROW()-3),"")</f>
        <v/>
      </c>
      <c r="C181" s="25" t="str">
        <f>IF(OR($B181="",基础资料!$B$4=""),"",SUMIFS(周转筐出入库明细!$J$4:$J$2004,周转筐出入库明细!$C$4:$C$2004,$B181,周转筐出入库明细!$D$4:$D$2004,基础资料!$B$4,周转筐出入库明细!$B$4:$B$2004,"&gt;="&amp;$BC$1,周转筐出入库明细!$B$4:$B$2004,"&lt;="&amp;$BC$2))</f>
        <v/>
      </c>
      <c r="D181" s="25" t="str">
        <f>IF(OR($B181="",基础资料!$B$5=""),"",SUMIFS(周转筐出入库明细!$J$4:$J$2004,周转筐出入库明细!$C$4:$C$2004,$B181,周转筐出入库明细!$D$4:$D$2004,基础资料!$B$5,周转筐出入库明细!$B$4:$B$2004,"&gt;="&amp;$BC$1,周转筐出入库明细!$B$4:$B$2004,"&lt;="&amp;$BC$2))</f>
        <v/>
      </c>
      <c r="E181" s="25" t="str">
        <f>IF(OR($B181="",基础资料!$B$6=""),"",SUMIFS(周转筐出入库明细!$J$4:$J$2004,周转筐出入库明细!$C$4:$C$2004,$B181,周转筐出入库明细!$D$4:$D$2004,基础资料!$B$6,周转筐出入库明细!$B$4:$B$2004,"&gt;="&amp;$BC$1,周转筐出入库明细!$B$4:$B$2004,"&lt;="&amp;$BC$2))</f>
        <v/>
      </c>
      <c r="F181" s="25" t="str">
        <f>IF(OR($B181="",基础资料!$B$7=""),"",SUMIFS(周转筐出入库明细!$J$4:$J$2004,周转筐出入库明细!$C$4:$C$2004,$B181,周转筐出入库明细!$D$4:$D$2004,基础资料!$B$7,周转筐出入库明细!$B$4:$B$2004,"&gt;="&amp;$BC$1,周转筐出入库明细!$B$4:$B$2004,"&lt;="&amp;$BC$2))</f>
        <v/>
      </c>
      <c r="G181" s="25" t="str">
        <f>IF(OR($B181="",基础资料!$B$8=""),"",SUMIFS(周转筐出入库明细!$J$4:$J$2004,周转筐出入库明细!$C$4:$C$2004,$B181,周转筐出入库明细!$D$4:$D$2004,基础资料!$B$8,周转筐出入库明细!$B$4:$B$2004,"&gt;="&amp;$BC$1,周转筐出入库明细!$B$4:$B$2004,"&lt;="&amp;$BC$2))</f>
        <v/>
      </c>
      <c r="H181" s="25" t="str">
        <f t="shared" si="25"/>
        <v/>
      </c>
      <c r="I181" s="67" t="str">
        <f>IF(OR($B181="",基础资料!$B$4=""),"",-SUMIFS(周转筐出入库明细!$I$4:$I$2004,周转筐出入库明细!$C$4:$C$2004,$B181,周转筐出入库明细!$D$4:$D$2004,基础资料!$B$4,周转筐出入库明细!$B$4:$B$2004,"&gt;="&amp;$BC$1,周转筐出入库明细!$B$4:$B$2004,"&lt;="&amp;$BC$2))</f>
        <v/>
      </c>
      <c r="J181" s="67" t="str">
        <f>IF(OR($B181="",基础资料!$B$5=""),"",-SUMIFS(周转筐出入库明细!$I$4:$I$2004,周转筐出入库明细!$C$4:$C$2004,$B181,周转筐出入库明细!$D$4:$D$2004,基础资料!$B$5,周转筐出入库明细!$B$4:$B$2004,"&gt;="&amp;$BC$1,周转筐出入库明细!$B$4:$B$2004,"&lt;="&amp;$BC$2))</f>
        <v/>
      </c>
      <c r="K181" s="67" t="str">
        <f>IF(OR($B181="",基础资料!$B$6=""),"",-SUMIFS(周转筐出入库明细!$I$4:$I$2004,周转筐出入库明细!$C$4:$C$2004,$B181,周转筐出入库明细!$D$4:$D$2004,基础资料!$B$6,周转筐出入库明细!$B$4:$B$2004,"&gt;="&amp;$BC$1,周转筐出入库明细!$B$4:$B$2004,"&lt;="&amp;$BC$2))</f>
        <v/>
      </c>
      <c r="L181" s="67" t="str">
        <f>IF(OR($B181="",基础资料!$B$7=""),"",-SUMIFS(周转筐出入库明细!$I$4:$I$2004,周转筐出入库明细!$C$4:$C$2004,$B181,周转筐出入库明细!$D$4:$D$2004,基础资料!$B$7,周转筐出入库明细!$B$4:$B$2004,"&gt;="&amp;$BC$1,周转筐出入库明细!$B$4:$B$2004,"&lt;="&amp;$BC$2))</f>
        <v/>
      </c>
      <c r="M181" s="67" t="str">
        <f>IF(OR($B181="",基础资料!$B$8=""),"",-SUMIFS(周转筐出入库明细!$I$4:$I$2004,周转筐出入库明细!$C$4:$C$2004,$B181,周转筐出入库明细!$D$4:$D$2004,基础资料!$B$8,周转筐出入库明细!$B$4:$B$2004,"&gt;="&amp;$BC$1,周转筐出入库明细!$B$4:$B$2004,"&lt;="&amp;$BC$2))</f>
        <v/>
      </c>
      <c r="N181" s="67" t="str">
        <f t="shared" si="26"/>
        <v/>
      </c>
      <c r="O181" s="25" t="str">
        <f>IF(OR($B181="",基础资料!$B$4=""),"",SUMIFS(周转筐出入库明细!$H$4:$H$2004,周转筐出入库明细!$C$4:$C$2004,$B181,周转筐出入库明细!$D$4:$D$2004,基础资料!$B$4,周转筐出入库明细!$F$4:$F$2004,"采购入库",周转筐出入库明细!$B$4:$B$2004,"&gt;="&amp;$BC$1,周转筐出入库明细!$B$4:$B$2004,"&lt;="&amp;$BC$2))</f>
        <v/>
      </c>
      <c r="P181" s="25" t="str">
        <f>IF(OR($B181="",基础资料!$B$5=""),"",SUMIFS(周转筐出入库明细!$H$4:$H$2004,周转筐出入库明细!$C$4:$C$2004,$B181,周转筐出入库明细!$D$4:$D$2004,基础资料!$B$5,周转筐出入库明细!$F$4:$F$2004,"采购入库",周转筐出入库明细!$B$4:$B$2004,"&gt;="&amp;$BC$1,周转筐出入库明细!$B$4:$B$2004,"&lt;="&amp;$BC$2))</f>
        <v/>
      </c>
      <c r="Q181" s="25" t="str">
        <f>IF(OR($B181="",基础资料!$B$6=""),"",SUMIFS(周转筐出入库明细!$H$4:$H$2004,周转筐出入库明细!$C$4:$C$2004,$B181,周转筐出入库明细!$D$4:$D$2004,基础资料!$B$6,周转筐出入库明细!$F$4:$F$2004,"采购入库",周转筐出入库明细!$B$4:$B$2004,"&gt;="&amp;$BC$1,周转筐出入库明细!$B$4:$B$2004,"&lt;="&amp;$BC$2))</f>
        <v/>
      </c>
      <c r="R181" s="25" t="str">
        <f>IF(OR($B181="",基础资料!$B$7=""),"",SUMIFS(周转筐出入库明细!$H$4:$H$2004,周转筐出入库明细!$C$4:$C$2004,$B181,周转筐出入库明细!$D$4:$D$2004,基础资料!$B$7,周转筐出入库明细!$F$4:$F$2004,"采购入库",周转筐出入库明细!$B$4:$B$2004,"&gt;="&amp;$BC$1,周转筐出入库明细!$B$4:$B$2004,"&lt;="&amp;$BC$2))</f>
        <v/>
      </c>
      <c r="S181" s="25" t="str">
        <f>IF(OR($B181="",基础资料!$B$8=""),"",SUMIFS(周转筐出入库明细!$H$4:$H$2004,周转筐出入库明细!$C$4:$C$2004,$B181,周转筐出入库明细!$D$4:$D$2004,基础资料!$B$8,周转筐出入库明细!$F$4:$F$2004,"采购入库",周转筐出入库明细!$B$4:$B$2004,"&gt;="&amp;$BC$1,周转筐出入库明细!$B$4:$B$2004,"&lt;="&amp;$BC$2))</f>
        <v/>
      </c>
      <c r="T181" s="25" t="str">
        <f t="shared" si="27"/>
        <v/>
      </c>
      <c r="U181" s="25" t="str">
        <f>IF(OR($B181="",基础资料!$B$4=""),"",SUMIFS(周转筐出入库明细!$K$4:$K$2004,周转筐出入库明细!$C$4:$C$2004,$B181,周转筐出入库明细!$D$4:$D$2004,基础资料!$B$4,周转筐出入库明细!$B$4:$B$2004,"&gt;="&amp;$BC$1,周转筐出入库明细!$B$4:$B$2004,"&lt;="&amp;$BC$2))</f>
        <v/>
      </c>
      <c r="V181" s="25" t="str">
        <f>IF(OR($B181="",基础资料!$B$5=""),"",SUMIFS(周转筐出入库明细!$K$4:$K$2004,周转筐出入库明细!$C$4:$C$2004,$B181,周转筐出入库明细!$D$4:$D$2004,基础资料!$B$5,周转筐出入库明细!$B$4:$B$2004,"&gt;="&amp;$BC$1,周转筐出入库明细!$B$4:$B$2004,"&lt;="&amp;$BC$2))</f>
        <v/>
      </c>
      <c r="W181" s="25" t="str">
        <f>IF(OR($B181="",基础资料!$B$6=""),"",SUMIFS(周转筐出入库明细!$K$4:$K$2004,周转筐出入库明细!$C$4:$C$2004,$B181,周转筐出入库明细!$D$4:$D$2004,基础资料!$B$6,周转筐出入库明细!$B$4:$B$2004,"&gt;="&amp;$BC$1,周转筐出入库明细!$B$4:$B$2004,"&lt;="&amp;$BC$2))</f>
        <v/>
      </c>
      <c r="X181" s="25" t="str">
        <f>IF(OR($B181="",基础资料!$B$7=""),"",SUMIFS(周转筐出入库明细!$K$4:$K$2004,周转筐出入库明细!$C$4:$C$2004,$B181,周转筐出入库明细!$D$4:$D$2004,基础资料!$B$7,周转筐出入库明细!$B$4:$B$2004,"&gt;="&amp;$BC$1,周转筐出入库明细!$B$4:$B$2004,"&lt;="&amp;$BC$2))</f>
        <v/>
      </c>
      <c r="Y181" s="25" t="str">
        <f>IF(OR($B181="",基础资料!$B$8=""),"",SUMIFS(周转筐出入库明细!$K$4:$K$2004,周转筐出入库明细!$C$4:$C$2004,$B181,周转筐出入库明细!$D$4:$D$2004,基础资料!$B$8,周转筐出入库明细!$B$4:$B$2004,"&gt;="&amp;$BC$1,周转筐出入库明细!$B$4:$B$2004,"&lt;="&amp;$BC$2))</f>
        <v/>
      </c>
      <c r="Z181" s="25" t="str">
        <f t="shared" si="28"/>
        <v/>
      </c>
      <c r="AA181" s="67" t="str">
        <f>IF(OR($B181="",基础资料!$B$4=""),"",-SUMIFS(对接源_01水果筐数!$D$5:$D$304,对接源_01水果筐数!$B$5:$B$304,$B181,对接源_01水果筐数!$C$5:$C$304,基础资料!$B$4))</f>
        <v/>
      </c>
      <c r="AB181" s="67" t="str">
        <f>IF(OR($B181="",基础资料!$B$5=""),"",-SUMIFS(对接源_01水果筐数!$D$5:$D$304,对接源_01水果筐数!$B$5:$B$304,$B181,对接源_01水果筐数!$C$5:$C$304,基础资料!$B$5))</f>
        <v/>
      </c>
      <c r="AC181" s="67" t="str">
        <f>IF(OR($B181="",基础资料!$B$6=""),"",-SUMIFS(对接源_01水果筐数!$D$5:$D$304,对接源_01水果筐数!$B$5:$B$304,$B181,对接源_01水果筐数!$C$5:$C$304,基础资料!$B$6))</f>
        <v/>
      </c>
      <c r="AD181" s="67" t="str">
        <f>IF(OR($B181="",基础资料!$B$7=""),"",-SUMIFS(对接源_01水果筐数!$D$5:$D$304,对接源_01水果筐数!$B$5:$B$304,$B181,对接源_01水果筐数!$C$5:$C$304,基础资料!$B$7))</f>
        <v/>
      </c>
      <c r="AE181" s="67" t="str">
        <f>IF(OR($B181="",基础资料!$B$8=""),"",-SUMIFS(对接源_01水果筐数!$D$5:$D$304,对接源_01水果筐数!$B$5:$B$304,$B181,对接源_01水果筐数!$C$5:$C$304,基础资料!$B$8))</f>
        <v/>
      </c>
      <c r="AF181" s="25" t="str">
        <f>IF(OR($B181="",基础资料!$B$4=""),"",SUMIFS(对接源_01水果筐数!$E$5:$E$304,对接源_01水果筐数!$B$5:$B$304,$B181,对接源_01水果筐数!$C$5:$C$304,基础资料!$B$4))</f>
        <v/>
      </c>
      <c r="AG181" s="25" t="str">
        <f>IF(OR($B181="",基础资料!$B$5=""),"",SUMIFS(对接源_01水果筐数!$E$5:$E$304,对接源_01水果筐数!$B$5:$B$304,$B181,对接源_01水果筐数!$C$5:$C$304,基础资料!$B$5))</f>
        <v/>
      </c>
      <c r="AH181" s="25" t="str">
        <f>IF(OR($B181="",基础资料!$B$6=""),"",SUMIFS(对接源_01水果筐数!$E$5:$E$304,对接源_01水果筐数!$B$5:$B$304,$B181,对接源_01水果筐数!$C$5:$C$304,基础资料!$B$6))</f>
        <v/>
      </c>
      <c r="AI181" s="25" t="str">
        <f>IF(OR($B181="",基础资料!$B$7=""),"",SUMIFS(对接源_01水果筐数!$E$5:$E$304,对接源_01水果筐数!$B$5:$B$304,$B181,对接源_01水果筐数!$C$5:$C$304,基础资料!$B$7))</f>
        <v/>
      </c>
      <c r="AJ181" s="25" t="str">
        <f>IF(OR($B181="",基础资料!$B$8=""),"",SUMIFS(对接源_01水果筐数!$E$5:$E$304,对接源_01水果筐数!$B$5:$B$304,$B181,对接源_01水果筐数!$C$5:$C$304,基础资料!$B$8))</f>
        <v/>
      </c>
      <c r="AK181" s="25" t="str">
        <f>IF(OR($B181="",基础资料!$B$4=""),"",SUMIFS(对接源_01水果筐数!$F$5:$F$304,对接源_01水果筐数!$B$5:$B$304,$B181,对接源_01水果筐数!$C$5:$C$304,基础资料!$B$4))</f>
        <v/>
      </c>
      <c r="AL181" s="25" t="str">
        <f>IF(OR($B181="",基础资料!$B$5=""),"",SUMIFS(对接源_01水果筐数!$F$5:$F$304,对接源_01水果筐数!$B$5:$B$304,$B181,对接源_01水果筐数!$C$5:$C$304,基础资料!$B$5))</f>
        <v/>
      </c>
      <c r="AM181" s="25" t="str">
        <f>IF(OR($B181="",基础资料!$B$6=""),"",SUMIFS(对接源_01水果筐数!$F$5:$F$304,对接源_01水果筐数!$B$5:$B$304,$B181,对接源_01水果筐数!$C$5:$C$304,基础资料!$B$6))</f>
        <v/>
      </c>
      <c r="AN181" s="25" t="str">
        <f>IF(OR($B181="",基础资料!$B$7=""),"",SUMIFS(对接源_01水果筐数!$F$5:$F$304,对接源_01水果筐数!$B$5:$B$304,$B181,对接源_01水果筐数!$C$5:$C$304,基础资料!$B$7))</f>
        <v/>
      </c>
      <c r="AO181" s="25" t="str">
        <f>IF(OR($B181="",基础资料!$B$8=""),"",SUMIFS(对接源_01水果筐数!$F$5:$F$304,对接源_01水果筐数!$B$5:$B$304,$B181,对接源_01水果筐数!$C$5:$C$304,基础资料!$B$8))</f>
        <v/>
      </c>
      <c r="AP181" s="25" t="str">
        <f t="shared" si="29"/>
        <v/>
      </c>
      <c r="AQ181" s="25" t="str">
        <f t="shared" si="30"/>
        <v/>
      </c>
      <c r="AR181" s="25" t="str">
        <f t="shared" si="31"/>
        <v/>
      </c>
      <c r="AS181" s="25" t="str">
        <f t="shared" si="32"/>
        <v/>
      </c>
      <c r="AT181" s="25" t="str">
        <f t="shared" si="33"/>
        <v/>
      </c>
      <c r="AU181" s="25" t="str">
        <f t="shared" si="34"/>
        <v/>
      </c>
      <c r="AV181" s="24" t="str">
        <f t="shared" si="35"/>
        <v/>
      </c>
      <c r="AW181" s="72"/>
    </row>
    <row r="182" spans="1:49">
      <c r="A182" s="22" t="str">
        <f t="shared" si="24"/>
        <v/>
      </c>
      <c r="B182" s="24" t="str">
        <f>IFERROR(INDEX(_自动清单!$CC$4:$CC$253,ROW()-3),"")</f>
        <v/>
      </c>
      <c r="C182" s="25" t="str">
        <f>IF(OR($B182="",基础资料!$B$4=""),"",SUMIFS(周转筐出入库明细!$J$4:$J$2004,周转筐出入库明细!$C$4:$C$2004,$B182,周转筐出入库明细!$D$4:$D$2004,基础资料!$B$4,周转筐出入库明细!$B$4:$B$2004,"&gt;="&amp;$BC$1,周转筐出入库明细!$B$4:$B$2004,"&lt;="&amp;$BC$2))</f>
        <v/>
      </c>
      <c r="D182" s="25" t="str">
        <f>IF(OR($B182="",基础资料!$B$5=""),"",SUMIFS(周转筐出入库明细!$J$4:$J$2004,周转筐出入库明细!$C$4:$C$2004,$B182,周转筐出入库明细!$D$4:$D$2004,基础资料!$B$5,周转筐出入库明细!$B$4:$B$2004,"&gt;="&amp;$BC$1,周转筐出入库明细!$B$4:$B$2004,"&lt;="&amp;$BC$2))</f>
        <v/>
      </c>
      <c r="E182" s="25" t="str">
        <f>IF(OR($B182="",基础资料!$B$6=""),"",SUMIFS(周转筐出入库明细!$J$4:$J$2004,周转筐出入库明细!$C$4:$C$2004,$B182,周转筐出入库明细!$D$4:$D$2004,基础资料!$B$6,周转筐出入库明细!$B$4:$B$2004,"&gt;="&amp;$BC$1,周转筐出入库明细!$B$4:$B$2004,"&lt;="&amp;$BC$2))</f>
        <v/>
      </c>
      <c r="F182" s="25" t="str">
        <f>IF(OR($B182="",基础资料!$B$7=""),"",SUMIFS(周转筐出入库明细!$J$4:$J$2004,周转筐出入库明细!$C$4:$C$2004,$B182,周转筐出入库明细!$D$4:$D$2004,基础资料!$B$7,周转筐出入库明细!$B$4:$B$2004,"&gt;="&amp;$BC$1,周转筐出入库明细!$B$4:$B$2004,"&lt;="&amp;$BC$2))</f>
        <v/>
      </c>
      <c r="G182" s="25" t="str">
        <f>IF(OR($B182="",基础资料!$B$8=""),"",SUMIFS(周转筐出入库明细!$J$4:$J$2004,周转筐出入库明细!$C$4:$C$2004,$B182,周转筐出入库明细!$D$4:$D$2004,基础资料!$B$8,周转筐出入库明细!$B$4:$B$2004,"&gt;="&amp;$BC$1,周转筐出入库明细!$B$4:$B$2004,"&lt;="&amp;$BC$2))</f>
        <v/>
      </c>
      <c r="H182" s="25" t="str">
        <f t="shared" si="25"/>
        <v/>
      </c>
      <c r="I182" s="67" t="str">
        <f>IF(OR($B182="",基础资料!$B$4=""),"",-SUMIFS(周转筐出入库明细!$I$4:$I$2004,周转筐出入库明细!$C$4:$C$2004,$B182,周转筐出入库明细!$D$4:$D$2004,基础资料!$B$4,周转筐出入库明细!$B$4:$B$2004,"&gt;="&amp;$BC$1,周转筐出入库明细!$B$4:$B$2004,"&lt;="&amp;$BC$2))</f>
        <v/>
      </c>
      <c r="J182" s="67" t="str">
        <f>IF(OR($B182="",基础资料!$B$5=""),"",-SUMIFS(周转筐出入库明细!$I$4:$I$2004,周转筐出入库明细!$C$4:$C$2004,$B182,周转筐出入库明细!$D$4:$D$2004,基础资料!$B$5,周转筐出入库明细!$B$4:$B$2004,"&gt;="&amp;$BC$1,周转筐出入库明细!$B$4:$B$2004,"&lt;="&amp;$BC$2))</f>
        <v/>
      </c>
      <c r="K182" s="67" t="str">
        <f>IF(OR($B182="",基础资料!$B$6=""),"",-SUMIFS(周转筐出入库明细!$I$4:$I$2004,周转筐出入库明细!$C$4:$C$2004,$B182,周转筐出入库明细!$D$4:$D$2004,基础资料!$B$6,周转筐出入库明细!$B$4:$B$2004,"&gt;="&amp;$BC$1,周转筐出入库明细!$B$4:$B$2004,"&lt;="&amp;$BC$2))</f>
        <v/>
      </c>
      <c r="L182" s="67" t="str">
        <f>IF(OR($B182="",基础资料!$B$7=""),"",-SUMIFS(周转筐出入库明细!$I$4:$I$2004,周转筐出入库明细!$C$4:$C$2004,$B182,周转筐出入库明细!$D$4:$D$2004,基础资料!$B$7,周转筐出入库明细!$B$4:$B$2004,"&gt;="&amp;$BC$1,周转筐出入库明细!$B$4:$B$2004,"&lt;="&amp;$BC$2))</f>
        <v/>
      </c>
      <c r="M182" s="67" t="str">
        <f>IF(OR($B182="",基础资料!$B$8=""),"",-SUMIFS(周转筐出入库明细!$I$4:$I$2004,周转筐出入库明细!$C$4:$C$2004,$B182,周转筐出入库明细!$D$4:$D$2004,基础资料!$B$8,周转筐出入库明细!$B$4:$B$2004,"&gt;="&amp;$BC$1,周转筐出入库明细!$B$4:$B$2004,"&lt;="&amp;$BC$2))</f>
        <v/>
      </c>
      <c r="N182" s="67" t="str">
        <f t="shared" si="26"/>
        <v/>
      </c>
      <c r="O182" s="25" t="str">
        <f>IF(OR($B182="",基础资料!$B$4=""),"",SUMIFS(周转筐出入库明细!$H$4:$H$2004,周转筐出入库明细!$C$4:$C$2004,$B182,周转筐出入库明细!$D$4:$D$2004,基础资料!$B$4,周转筐出入库明细!$F$4:$F$2004,"采购入库",周转筐出入库明细!$B$4:$B$2004,"&gt;="&amp;$BC$1,周转筐出入库明细!$B$4:$B$2004,"&lt;="&amp;$BC$2))</f>
        <v/>
      </c>
      <c r="P182" s="25" t="str">
        <f>IF(OR($B182="",基础资料!$B$5=""),"",SUMIFS(周转筐出入库明细!$H$4:$H$2004,周转筐出入库明细!$C$4:$C$2004,$B182,周转筐出入库明细!$D$4:$D$2004,基础资料!$B$5,周转筐出入库明细!$F$4:$F$2004,"采购入库",周转筐出入库明细!$B$4:$B$2004,"&gt;="&amp;$BC$1,周转筐出入库明细!$B$4:$B$2004,"&lt;="&amp;$BC$2))</f>
        <v/>
      </c>
      <c r="Q182" s="25" t="str">
        <f>IF(OR($B182="",基础资料!$B$6=""),"",SUMIFS(周转筐出入库明细!$H$4:$H$2004,周转筐出入库明细!$C$4:$C$2004,$B182,周转筐出入库明细!$D$4:$D$2004,基础资料!$B$6,周转筐出入库明细!$F$4:$F$2004,"采购入库",周转筐出入库明细!$B$4:$B$2004,"&gt;="&amp;$BC$1,周转筐出入库明细!$B$4:$B$2004,"&lt;="&amp;$BC$2))</f>
        <v/>
      </c>
      <c r="R182" s="25" t="str">
        <f>IF(OR($B182="",基础资料!$B$7=""),"",SUMIFS(周转筐出入库明细!$H$4:$H$2004,周转筐出入库明细!$C$4:$C$2004,$B182,周转筐出入库明细!$D$4:$D$2004,基础资料!$B$7,周转筐出入库明细!$F$4:$F$2004,"采购入库",周转筐出入库明细!$B$4:$B$2004,"&gt;="&amp;$BC$1,周转筐出入库明细!$B$4:$B$2004,"&lt;="&amp;$BC$2))</f>
        <v/>
      </c>
      <c r="S182" s="25" t="str">
        <f>IF(OR($B182="",基础资料!$B$8=""),"",SUMIFS(周转筐出入库明细!$H$4:$H$2004,周转筐出入库明细!$C$4:$C$2004,$B182,周转筐出入库明细!$D$4:$D$2004,基础资料!$B$8,周转筐出入库明细!$F$4:$F$2004,"采购入库",周转筐出入库明细!$B$4:$B$2004,"&gt;="&amp;$BC$1,周转筐出入库明细!$B$4:$B$2004,"&lt;="&amp;$BC$2))</f>
        <v/>
      </c>
      <c r="T182" s="25" t="str">
        <f t="shared" si="27"/>
        <v/>
      </c>
      <c r="U182" s="25" t="str">
        <f>IF(OR($B182="",基础资料!$B$4=""),"",SUMIFS(周转筐出入库明细!$K$4:$K$2004,周转筐出入库明细!$C$4:$C$2004,$B182,周转筐出入库明细!$D$4:$D$2004,基础资料!$B$4,周转筐出入库明细!$B$4:$B$2004,"&gt;="&amp;$BC$1,周转筐出入库明细!$B$4:$B$2004,"&lt;="&amp;$BC$2))</f>
        <v/>
      </c>
      <c r="V182" s="25" t="str">
        <f>IF(OR($B182="",基础资料!$B$5=""),"",SUMIFS(周转筐出入库明细!$K$4:$K$2004,周转筐出入库明细!$C$4:$C$2004,$B182,周转筐出入库明细!$D$4:$D$2004,基础资料!$B$5,周转筐出入库明细!$B$4:$B$2004,"&gt;="&amp;$BC$1,周转筐出入库明细!$B$4:$B$2004,"&lt;="&amp;$BC$2))</f>
        <v/>
      </c>
      <c r="W182" s="25" t="str">
        <f>IF(OR($B182="",基础资料!$B$6=""),"",SUMIFS(周转筐出入库明细!$K$4:$K$2004,周转筐出入库明细!$C$4:$C$2004,$B182,周转筐出入库明细!$D$4:$D$2004,基础资料!$B$6,周转筐出入库明细!$B$4:$B$2004,"&gt;="&amp;$BC$1,周转筐出入库明细!$B$4:$B$2004,"&lt;="&amp;$BC$2))</f>
        <v/>
      </c>
      <c r="X182" s="25" t="str">
        <f>IF(OR($B182="",基础资料!$B$7=""),"",SUMIFS(周转筐出入库明细!$K$4:$K$2004,周转筐出入库明细!$C$4:$C$2004,$B182,周转筐出入库明细!$D$4:$D$2004,基础资料!$B$7,周转筐出入库明细!$B$4:$B$2004,"&gt;="&amp;$BC$1,周转筐出入库明细!$B$4:$B$2004,"&lt;="&amp;$BC$2))</f>
        <v/>
      </c>
      <c r="Y182" s="25" t="str">
        <f>IF(OR($B182="",基础资料!$B$8=""),"",SUMIFS(周转筐出入库明细!$K$4:$K$2004,周转筐出入库明细!$C$4:$C$2004,$B182,周转筐出入库明细!$D$4:$D$2004,基础资料!$B$8,周转筐出入库明细!$B$4:$B$2004,"&gt;="&amp;$BC$1,周转筐出入库明细!$B$4:$B$2004,"&lt;="&amp;$BC$2))</f>
        <v/>
      </c>
      <c r="Z182" s="25" t="str">
        <f t="shared" si="28"/>
        <v/>
      </c>
      <c r="AA182" s="67" t="str">
        <f>IF(OR($B182="",基础资料!$B$4=""),"",-SUMIFS(对接源_01水果筐数!$D$5:$D$304,对接源_01水果筐数!$B$5:$B$304,$B182,对接源_01水果筐数!$C$5:$C$304,基础资料!$B$4))</f>
        <v/>
      </c>
      <c r="AB182" s="67" t="str">
        <f>IF(OR($B182="",基础资料!$B$5=""),"",-SUMIFS(对接源_01水果筐数!$D$5:$D$304,对接源_01水果筐数!$B$5:$B$304,$B182,对接源_01水果筐数!$C$5:$C$304,基础资料!$B$5))</f>
        <v/>
      </c>
      <c r="AC182" s="67" t="str">
        <f>IF(OR($B182="",基础资料!$B$6=""),"",-SUMIFS(对接源_01水果筐数!$D$5:$D$304,对接源_01水果筐数!$B$5:$B$304,$B182,对接源_01水果筐数!$C$5:$C$304,基础资料!$B$6))</f>
        <v/>
      </c>
      <c r="AD182" s="67" t="str">
        <f>IF(OR($B182="",基础资料!$B$7=""),"",-SUMIFS(对接源_01水果筐数!$D$5:$D$304,对接源_01水果筐数!$B$5:$B$304,$B182,对接源_01水果筐数!$C$5:$C$304,基础资料!$B$7))</f>
        <v/>
      </c>
      <c r="AE182" s="67" t="str">
        <f>IF(OR($B182="",基础资料!$B$8=""),"",-SUMIFS(对接源_01水果筐数!$D$5:$D$304,对接源_01水果筐数!$B$5:$B$304,$B182,对接源_01水果筐数!$C$5:$C$304,基础资料!$B$8))</f>
        <v/>
      </c>
      <c r="AF182" s="25" t="str">
        <f>IF(OR($B182="",基础资料!$B$4=""),"",SUMIFS(对接源_01水果筐数!$E$5:$E$304,对接源_01水果筐数!$B$5:$B$304,$B182,对接源_01水果筐数!$C$5:$C$304,基础资料!$B$4))</f>
        <v/>
      </c>
      <c r="AG182" s="25" t="str">
        <f>IF(OR($B182="",基础资料!$B$5=""),"",SUMIFS(对接源_01水果筐数!$E$5:$E$304,对接源_01水果筐数!$B$5:$B$304,$B182,对接源_01水果筐数!$C$5:$C$304,基础资料!$B$5))</f>
        <v/>
      </c>
      <c r="AH182" s="25" t="str">
        <f>IF(OR($B182="",基础资料!$B$6=""),"",SUMIFS(对接源_01水果筐数!$E$5:$E$304,对接源_01水果筐数!$B$5:$B$304,$B182,对接源_01水果筐数!$C$5:$C$304,基础资料!$B$6))</f>
        <v/>
      </c>
      <c r="AI182" s="25" t="str">
        <f>IF(OR($B182="",基础资料!$B$7=""),"",SUMIFS(对接源_01水果筐数!$E$5:$E$304,对接源_01水果筐数!$B$5:$B$304,$B182,对接源_01水果筐数!$C$5:$C$304,基础资料!$B$7))</f>
        <v/>
      </c>
      <c r="AJ182" s="25" t="str">
        <f>IF(OR($B182="",基础资料!$B$8=""),"",SUMIFS(对接源_01水果筐数!$E$5:$E$304,对接源_01水果筐数!$B$5:$B$304,$B182,对接源_01水果筐数!$C$5:$C$304,基础资料!$B$8))</f>
        <v/>
      </c>
      <c r="AK182" s="25" t="str">
        <f>IF(OR($B182="",基础资料!$B$4=""),"",SUMIFS(对接源_01水果筐数!$F$5:$F$304,对接源_01水果筐数!$B$5:$B$304,$B182,对接源_01水果筐数!$C$5:$C$304,基础资料!$B$4))</f>
        <v/>
      </c>
      <c r="AL182" s="25" t="str">
        <f>IF(OR($B182="",基础资料!$B$5=""),"",SUMIFS(对接源_01水果筐数!$F$5:$F$304,对接源_01水果筐数!$B$5:$B$304,$B182,对接源_01水果筐数!$C$5:$C$304,基础资料!$B$5))</f>
        <v/>
      </c>
      <c r="AM182" s="25" t="str">
        <f>IF(OR($B182="",基础资料!$B$6=""),"",SUMIFS(对接源_01水果筐数!$F$5:$F$304,对接源_01水果筐数!$B$5:$B$304,$B182,对接源_01水果筐数!$C$5:$C$304,基础资料!$B$6))</f>
        <v/>
      </c>
      <c r="AN182" s="25" t="str">
        <f>IF(OR($B182="",基础资料!$B$7=""),"",SUMIFS(对接源_01水果筐数!$F$5:$F$304,对接源_01水果筐数!$B$5:$B$304,$B182,对接源_01水果筐数!$C$5:$C$304,基础资料!$B$7))</f>
        <v/>
      </c>
      <c r="AO182" s="25" t="str">
        <f>IF(OR($B182="",基础资料!$B$8=""),"",SUMIFS(对接源_01水果筐数!$F$5:$F$304,对接源_01水果筐数!$B$5:$B$304,$B182,对接源_01水果筐数!$C$5:$C$304,基础资料!$B$8))</f>
        <v/>
      </c>
      <c r="AP182" s="25" t="str">
        <f t="shared" si="29"/>
        <v/>
      </c>
      <c r="AQ182" s="25" t="str">
        <f t="shared" si="30"/>
        <v/>
      </c>
      <c r="AR182" s="25" t="str">
        <f t="shared" si="31"/>
        <v/>
      </c>
      <c r="AS182" s="25" t="str">
        <f t="shared" si="32"/>
        <v/>
      </c>
      <c r="AT182" s="25" t="str">
        <f t="shared" si="33"/>
        <v/>
      </c>
      <c r="AU182" s="25" t="str">
        <f t="shared" si="34"/>
        <v/>
      </c>
      <c r="AV182" s="24" t="str">
        <f t="shared" si="35"/>
        <v/>
      </c>
      <c r="AW182" s="72"/>
    </row>
    <row r="183" spans="1:49">
      <c r="A183" s="22" t="str">
        <f t="shared" si="24"/>
        <v/>
      </c>
      <c r="B183" s="24" t="str">
        <f>IFERROR(INDEX(_自动清单!$CC$4:$CC$253,ROW()-3),"")</f>
        <v/>
      </c>
      <c r="C183" s="25" t="str">
        <f>IF(OR($B183="",基础资料!$B$4=""),"",SUMIFS(周转筐出入库明细!$J$4:$J$2004,周转筐出入库明细!$C$4:$C$2004,$B183,周转筐出入库明细!$D$4:$D$2004,基础资料!$B$4,周转筐出入库明细!$B$4:$B$2004,"&gt;="&amp;$BC$1,周转筐出入库明细!$B$4:$B$2004,"&lt;="&amp;$BC$2))</f>
        <v/>
      </c>
      <c r="D183" s="25" t="str">
        <f>IF(OR($B183="",基础资料!$B$5=""),"",SUMIFS(周转筐出入库明细!$J$4:$J$2004,周转筐出入库明细!$C$4:$C$2004,$B183,周转筐出入库明细!$D$4:$D$2004,基础资料!$B$5,周转筐出入库明细!$B$4:$B$2004,"&gt;="&amp;$BC$1,周转筐出入库明细!$B$4:$B$2004,"&lt;="&amp;$BC$2))</f>
        <v/>
      </c>
      <c r="E183" s="25" t="str">
        <f>IF(OR($B183="",基础资料!$B$6=""),"",SUMIFS(周转筐出入库明细!$J$4:$J$2004,周转筐出入库明细!$C$4:$C$2004,$B183,周转筐出入库明细!$D$4:$D$2004,基础资料!$B$6,周转筐出入库明细!$B$4:$B$2004,"&gt;="&amp;$BC$1,周转筐出入库明细!$B$4:$B$2004,"&lt;="&amp;$BC$2))</f>
        <v/>
      </c>
      <c r="F183" s="25" t="str">
        <f>IF(OR($B183="",基础资料!$B$7=""),"",SUMIFS(周转筐出入库明细!$J$4:$J$2004,周转筐出入库明细!$C$4:$C$2004,$B183,周转筐出入库明细!$D$4:$D$2004,基础资料!$B$7,周转筐出入库明细!$B$4:$B$2004,"&gt;="&amp;$BC$1,周转筐出入库明细!$B$4:$B$2004,"&lt;="&amp;$BC$2))</f>
        <v/>
      </c>
      <c r="G183" s="25" t="str">
        <f>IF(OR($B183="",基础资料!$B$8=""),"",SUMIFS(周转筐出入库明细!$J$4:$J$2004,周转筐出入库明细!$C$4:$C$2004,$B183,周转筐出入库明细!$D$4:$D$2004,基础资料!$B$8,周转筐出入库明细!$B$4:$B$2004,"&gt;="&amp;$BC$1,周转筐出入库明细!$B$4:$B$2004,"&lt;="&amp;$BC$2))</f>
        <v/>
      </c>
      <c r="H183" s="25" t="str">
        <f t="shared" si="25"/>
        <v/>
      </c>
      <c r="I183" s="67" t="str">
        <f>IF(OR($B183="",基础资料!$B$4=""),"",-SUMIFS(周转筐出入库明细!$I$4:$I$2004,周转筐出入库明细!$C$4:$C$2004,$B183,周转筐出入库明细!$D$4:$D$2004,基础资料!$B$4,周转筐出入库明细!$B$4:$B$2004,"&gt;="&amp;$BC$1,周转筐出入库明细!$B$4:$B$2004,"&lt;="&amp;$BC$2))</f>
        <v/>
      </c>
      <c r="J183" s="67" t="str">
        <f>IF(OR($B183="",基础资料!$B$5=""),"",-SUMIFS(周转筐出入库明细!$I$4:$I$2004,周转筐出入库明细!$C$4:$C$2004,$B183,周转筐出入库明细!$D$4:$D$2004,基础资料!$B$5,周转筐出入库明细!$B$4:$B$2004,"&gt;="&amp;$BC$1,周转筐出入库明细!$B$4:$B$2004,"&lt;="&amp;$BC$2))</f>
        <v/>
      </c>
      <c r="K183" s="67" t="str">
        <f>IF(OR($B183="",基础资料!$B$6=""),"",-SUMIFS(周转筐出入库明细!$I$4:$I$2004,周转筐出入库明细!$C$4:$C$2004,$B183,周转筐出入库明细!$D$4:$D$2004,基础资料!$B$6,周转筐出入库明细!$B$4:$B$2004,"&gt;="&amp;$BC$1,周转筐出入库明细!$B$4:$B$2004,"&lt;="&amp;$BC$2))</f>
        <v/>
      </c>
      <c r="L183" s="67" t="str">
        <f>IF(OR($B183="",基础资料!$B$7=""),"",-SUMIFS(周转筐出入库明细!$I$4:$I$2004,周转筐出入库明细!$C$4:$C$2004,$B183,周转筐出入库明细!$D$4:$D$2004,基础资料!$B$7,周转筐出入库明细!$B$4:$B$2004,"&gt;="&amp;$BC$1,周转筐出入库明细!$B$4:$B$2004,"&lt;="&amp;$BC$2))</f>
        <v/>
      </c>
      <c r="M183" s="67" t="str">
        <f>IF(OR($B183="",基础资料!$B$8=""),"",-SUMIFS(周转筐出入库明细!$I$4:$I$2004,周转筐出入库明细!$C$4:$C$2004,$B183,周转筐出入库明细!$D$4:$D$2004,基础资料!$B$8,周转筐出入库明细!$B$4:$B$2004,"&gt;="&amp;$BC$1,周转筐出入库明细!$B$4:$B$2004,"&lt;="&amp;$BC$2))</f>
        <v/>
      </c>
      <c r="N183" s="67" t="str">
        <f t="shared" si="26"/>
        <v/>
      </c>
      <c r="O183" s="25" t="str">
        <f>IF(OR($B183="",基础资料!$B$4=""),"",SUMIFS(周转筐出入库明细!$H$4:$H$2004,周转筐出入库明细!$C$4:$C$2004,$B183,周转筐出入库明细!$D$4:$D$2004,基础资料!$B$4,周转筐出入库明细!$F$4:$F$2004,"采购入库",周转筐出入库明细!$B$4:$B$2004,"&gt;="&amp;$BC$1,周转筐出入库明细!$B$4:$B$2004,"&lt;="&amp;$BC$2))</f>
        <v/>
      </c>
      <c r="P183" s="25" t="str">
        <f>IF(OR($B183="",基础资料!$B$5=""),"",SUMIFS(周转筐出入库明细!$H$4:$H$2004,周转筐出入库明细!$C$4:$C$2004,$B183,周转筐出入库明细!$D$4:$D$2004,基础资料!$B$5,周转筐出入库明细!$F$4:$F$2004,"采购入库",周转筐出入库明细!$B$4:$B$2004,"&gt;="&amp;$BC$1,周转筐出入库明细!$B$4:$B$2004,"&lt;="&amp;$BC$2))</f>
        <v/>
      </c>
      <c r="Q183" s="25" t="str">
        <f>IF(OR($B183="",基础资料!$B$6=""),"",SUMIFS(周转筐出入库明细!$H$4:$H$2004,周转筐出入库明细!$C$4:$C$2004,$B183,周转筐出入库明细!$D$4:$D$2004,基础资料!$B$6,周转筐出入库明细!$F$4:$F$2004,"采购入库",周转筐出入库明细!$B$4:$B$2004,"&gt;="&amp;$BC$1,周转筐出入库明细!$B$4:$B$2004,"&lt;="&amp;$BC$2))</f>
        <v/>
      </c>
      <c r="R183" s="25" t="str">
        <f>IF(OR($B183="",基础资料!$B$7=""),"",SUMIFS(周转筐出入库明细!$H$4:$H$2004,周转筐出入库明细!$C$4:$C$2004,$B183,周转筐出入库明细!$D$4:$D$2004,基础资料!$B$7,周转筐出入库明细!$F$4:$F$2004,"采购入库",周转筐出入库明细!$B$4:$B$2004,"&gt;="&amp;$BC$1,周转筐出入库明细!$B$4:$B$2004,"&lt;="&amp;$BC$2))</f>
        <v/>
      </c>
      <c r="S183" s="25" t="str">
        <f>IF(OR($B183="",基础资料!$B$8=""),"",SUMIFS(周转筐出入库明细!$H$4:$H$2004,周转筐出入库明细!$C$4:$C$2004,$B183,周转筐出入库明细!$D$4:$D$2004,基础资料!$B$8,周转筐出入库明细!$F$4:$F$2004,"采购入库",周转筐出入库明细!$B$4:$B$2004,"&gt;="&amp;$BC$1,周转筐出入库明细!$B$4:$B$2004,"&lt;="&amp;$BC$2))</f>
        <v/>
      </c>
      <c r="T183" s="25" t="str">
        <f t="shared" si="27"/>
        <v/>
      </c>
      <c r="U183" s="25" t="str">
        <f>IF(OR($B183="",基础资料!$B$4=""),"",SUMIFS(周转筐出入库明细!$K$4:$K$2004,周转筐出入库明细!$C$4:$C$2004,$B183,周转筐出入库明细!$D$4:$D$2004,基础资料!$B$4,周转筐出入库明细!$B$4:$B$2004,"&gt;="&amp;$BC$1,周转筐出入库明细!$B$4:$B$2004,"&lt;="&amp;$BC$2))</f>
        <v/>
      </c>
      <c r="V183" s="25" t="str">
        <f>IF(OR($B183="",基础资料!$B$5=""),"",SUMIFS(周转筐出入库明细!$K$4:$K$2004,周转筐出入库明细!$C$4:$C$2004,$B183,周转筐出入库明细!$D$4:$D$2004,基础资料!$B$5,周转筐出入库明细!$B$4:$B$2004,"&gt;="&amp;$BC$1,周转筐出入库明细!$B$4:$B$2004,"&lt;="&amp;$BC$2))</f>
        <v/>
      </c>
      <c r="W183" s="25" t="str">
        <f>IF(OR($B183="",基础资料!$B$6=""),"",SUMIFS(周转筐出入库明细!$K$4:$K$2004,周转筐出入库明细!$C$4:$C$2004,$B183,周转筐出入库明细!$D$4:$D$2004,基础资料!$B$6,周转筐出入库明细!$B$4:$B$2004,"&gt;="&amp;$BC$1,周转筐出入库明细!$B$4:$B$2004,"&lt;="&amp;$BC$2))</f>
        <v/>
      </c>
      <c r="X183" s="25" t="str">
        <f>IF(OR($B183="",基础资料!$B$7=""),"",SUMIFS(周转筐出入库明细!$K$4:$K$2004,周转筐出入库明细!$C$4:$C$2004,$B183,周转筐出入库明细!$D$4:$D$2004,基础资料!$B$7,周转筐出入库明细!$B$4:$B$2004,"&gt;="&amp;$BC$1,周转筐出入库明细!$B$4:$B$2004,"&lt;="&amp;$BC$2))</f>
        <v/>
      </c>
      <c r="Y183" s="25" t="str">
        <f>IF(OR($B183="",基础资料!$B$8=""),"",SUMIFS(周转筐出入库明细!$K$4:$K$2004,周转筐出入库明细!$C$4:$C$2004,$B183,周转筐出入库明细!$D$4:$D$2004,基础资料!$B$8,周转筐出入库明细!$B$4:$B$2004,"&gt;="&amp;$BC$1,周转筐出入库明细!$B$4:$B$2004,"&lt;="&amp;$BC$2))</f>
        <v/>
      </c>
      <c r="Z183" s="25" t="str">
        <f t="shared" si="28"/>
        <v/>
      </c>
      <c r="AA183" s="67" t="str">
        <f>IF(OR($B183="",基础资料!$B$4=""),"",-SUMIFS(对接源_01水果筐数!$D$5:$D$304,对接源_01水果筐数!$B$5:$B$304,$B183,对接源_01水果筐数!$C$5:$C$304,基础资料!$B$4))</f>
        <v/>
      </c>
      <c r="AB183" s="67" t="str">
        <f>IF(OR($B183="",基础资料!$B$5=""),"",-SUMIFS(对接源_01水果筐数!$D$5:$D$304,对接源_01水果筐数!$B$5:$B$304,$B183,对接源_01水果筐数!$C$5:$C$304,基础资料!$B$5))</f>
        <v/>
      </c>
      <c r="AC183" s="67" t="str">
        <f>IF(OR($B183="",基础资料!$B$6=""),"",-SUMIFS(对接源_01水果筐数!$D$5:$D$304,对接源_01水果筐数!$B$5:$B$304,$B183,对接源_01水果筐数!$C$5:$C$304,基础资料!$B$6))</f>
        <v/>
      </c>
      <c r="AD183" s="67" t="str">
        <f>IF(OR($B183="",基础资料!$B$7=""),"",-SUMIFS(对接源_01水果筐数!$D$5:$D$304,对接源_01水果筐数!$B$5:$B$304,$B183,对接源_01水果筐数!$C$5:$C$304,基础资料!$B$7))</f>
        <v/>
      </c>
      <c r="AE183" s="67" t="str">
        <f>IF(OR($B183="",基础资料!$B$8=""),"",-SUMIFS(对接源_01水果筐数!$D$5:$D$304,对接源_01水果筐数!$B$5:$B$304,$B183,对接源_01水果筐数!$C$5:$C$304,基础资料!$B$8))</f>
        <v/>
      </c>
      <c r="AF183" s="25" t="str">
        <f>IF(OR($B183="",基础资料!$B$4=""),"",SUMIFS(对接源_01水果筐数!$E$5:$E$304,对接源_01水果筐数!$B$5:$B$304,$B183,对接源_01水果筐数!$C$5:$C$304,基础资料!$B$4))</f>
        <v/>
      </c>
      <c r="AG183" s="25" t="str">
        <f>IF(OR($B183="",基础资料!$B$5=""),"",SUMIFS(对接源_01水果筐数!$E$5:$E$304,对接源_01水果筐数!$B$5:$B$304,$B183,对接源_01水果筐数!$C$5:$C$304,基础资料!$B$5))</f>
        <v/>
      </c>
      <c r="AH183" s="25" t="str">
        <f>IF(OR($B183="",基础资料!$B$6=""),"",SUMIFS(对接源_01水果筐数!$E$5:$E$304,对接源_01水果筐数!$B$5:$B$304,$B183,对接源_01水果筐数!$C$5:$C$304,基础资料!$B$6))</f>
        <v/>
      </c>
      <c r="AI183" s="25" t="str">
        <f>IF(OR($B183="",基础资料!$B$7=""),"",SUMIFS(对接源_01水果筐数!$E$5:$E$304,对接源_01水果筐数!$B$5:$B$304,$B183,对接源_01水果筐数!$C$5:$C$304,基础资料!$B$7))</f>
        <v/>
      </c>
      <c r="AJ183" s="25" t="str">
        <f>IF(OR($B183="",基础资料!$B$8=""),"",SUMIFS(对接源_01水果筐数!$E$5:$E$304,对接源_01水果筐数!$B$5:$B$304,$B183,对接源_01水果筐数!$C$5:$C$304,基础资料!$B$8))</f>
        <v/>
      </c>
      <c r="AK183" s="25" t="str">
        <f>IF(OR($B183="",基础资料!$B$4=""),"",SUMIFS(对接源_01水果筐数!$F$5:$F$304,对接源_01水果筐数!$B$5:$B$304,$B183,对接源_01水果筐数!$C$5:$C$304,基础资料!$B$4))</f>
        <v/>
      </c>
      <c r="AL183" s="25" t="str">
        <f>IF(OR($B183="",基础资料!$B$5=""),"",SUMIFS(对接源_01水果筐数!$F$5:$F$304,对接源_01水果筐数!$B$5:$B$304,$B183,对接源_01水果筐数!$C$5:$C$304,基础资料!$B$5))</f>
        <v/>
      </c>
      <c r="AM183" s="25" t="str">
        <f>IF(OR($B183="",基础资料!$B$6=""),"",SUMIFS(对接源_01水果筐数!$F$5:$F$304,对接源_01水果筐数!$B$5:$B$304,$B183,对接源_01水果筐数!$C$5:$C$304,基础资料!$B$6))</f>
        <v/>
      </c>
      <c r="AN183" s="25" t="str">
        <f>IF(OR($B183="",基础资料!$B$7=""),"",SUMIFS(对接源_01水果筐数!$F$5:$F$304,对接源_01水果筐数!$B$5:$B$304,$B183,对接源_01水果筐数!$C$5:$C$304,基础资料!$B$7))</f>
        <v/>
      </c>
      <c r="AO183" s="25" t="str">
        <f>IF(OR($B183="",基础资料!$B$8=""),"",SUMIFS(对接源_01水果筐数!$F$5:$F$304,对接源_01水果筐数!$B$5:$B$304,$B183,对接源_01水果筐数!$C$5:$C$304,基础资料!$B$8))</f>
        <v/>
      </c>
      <c r="AP183" s="25" t="str">
        <f t="shared" si="29"/>
        <v/>
      </c>
      <c r="AQ183" s="25" t="str">
        <f t="shared" si="30"/>
        <v/>
      </c>
      <c r="AR183" s="25" t="str">
        <f t="shared" si="31"/>
        <v/>
      </c>
      <c r="AS183" s="25" t="str">
        <f t="shared" si="32"/>
        <v/>
      </c>
      <c r="AT183" s="25" t="str">
        <f t="shared" si="33"/>
        <v/>
      </c>
      <c r="AU183" s="25" t="str">
        <f t="shared" si="34"/>
        <v/>
      </c>
      <c r="AV183" s="24" t="str">
        <f t="shared" si="35"/>
        <v/>
      </c>
      <c r="AW183" s="72"/>
    </row>
    <row r="184" spans="1:49">
      <c r="A184" s="22" t="str">
        <f t="shared" si="24"/>
        <v/>
      </c>
      <c r="B184" s="24" t="str">
        <f>IFERROR(INDEX(_自动清单!$CC$4:$CC$253,ROW()-3),"")</f>
        <v/>
      </c>
      <c r="C184" s="25" t="str">
        <f>IF(OR($B184="",基础资料!$B$4=""),"",SUMIFS(周转筐出入库明细!$J$4:$J$2004,周转筐出入库明细!$C$4:$C$2004,$B184,周转筐出入库明细!$D$4:$D$2004,基础资料!$B$4,周转筐出入库明细!$B$4:$B$2004,"&gt;="&amp;$BC$1,周转筐出入库明细!$B$4:$B$2004,"&lt;="&amp;$BC$2))</f>
        <v/>
      </c>
      <c r="D184" s="25" t="str">
        <f>IF(OR($B184="",基础资料!$B$5=""),"",SUMIFS(周转筐出入库明细!$J$4:$J$2004,周转筐出入库明细!$C$4:$C$2004,$B184,周转筐出入库明细!$D$4:$D$2004,基础资料!$B$5,周转筐出入库明细!$B$4:$B$2004,"&gt;="&amp;$BC$1,周转筐出入库明细!$B$4:$B$2004,"&lt;="&amp;$BC$2))</f>
        <v/>
      </c>
      <c r="E184" s="25" t="str">
        <f>IF(OR($B184="",基础资料!$B$6=""),"",SUMIFS(周转筐出入库明细!$J$4:$J$2004,周转筐出入库明细!$C$4:$C$2004,$B184,周转筐出入库明细!$D$4:$D$2004,基础资料!$B$6,周转筐出入库明细!$B$4:$B$2004,"&gt;="&amp;$BC$1,周转筐出入库明细!$B$4:$B$2004,"&lt;="&amp;$BC$2))</f>
        <v/>
      </c>
      <c r="F184" s="25" t="str">
        <f>IF(OR($B184="",基础资料!$B$7=""),"",SUMIFS(周转筐出入库明细!$J$4:$J$2004,周转筐出入库明细!$C$4:$C$2004,$B184,周转筐出入库明细!$D$4:$D$2004,基础资料!$B$7,周转筐出入库明细!$B$4:$B$2004,"&gt;="&amp;$BC$1,周转筐出入库明细!$B$4:$B$2004,"&lt;="&amp;$BC$2))</f>
        <v/>
      </c>
      <c r="G184" s="25" t="str">
        <f>IF(OR($B184="",基础资料!$B$8=""),"",SUMIFS(周转筐出入库明细!$J$4:$J$2004,周转筐出入库明细!$C$4:$C$2004,$B184,周转筐出入库明细!$D$4:$D$2004,基础资料!$B$8,周转筐出入库明细!$B$4:$B$2004,"&gt;="&amp;$BC$1,周转筐出入库明细!$B$4:$B$2004,"&lt;="&amp;$BC$2))</f>
        <v/>
      </c>
      <c r="H184" s="25" t="str">
        <f t="shared" si="25"/>
        <v/>
      </c>
      <c r="I184" s="67" t="str">
        <f>IF(OR($B184="",基础资料!$B$4=""),"",-SUMIFS(周转筐出入库明细!$I$4:$I$2004,周转筐出入库明细!$C$4:$C$2004,$B184,周转筐出入库明细!$D$4:$D$2004,基础资料!$B$4,周转筐出入库明细!$B$4:$B$2004,"&gt;="&amp;$BC$1,周转筐出入库明细!$B$4:$B$2004,"&lt;="&amp;$BC$2))</f>
        <v/>
      </c>
      <c r="J184" s="67" t="str">
        <f>IF(OR($B184="",基础资料!$B$5=""),"",-SUMIFS(周转筐出入库明细!$I$4:$I$2004,周转筐出入库明细!$C$4:$C$2004,$B184,周转筐出入库明细!$D$4:$D$2004,基础资料!$B$5,周转筐出入库明细!$B$4:$B$2004,"&gt;="&amp;$BC$1,周转筐出入库明细!$B$4:$B$2004,"&lt;="&amp;$BC$2))</f>
        <v/>
      </c>
      <c r="K184" s="67" t="str">
        <f>IF(OR($B184="",基础资料!$B$6=""),"",-SUMIFS(周转筐出入库明细!$I$4:$I$2004,周转筐出入库明细!$C$4:$C$2004,$B184,周转筐出入库明细!$D$4:$D$2004,基础资料!$B$6,周转筐出入库明细!$B$4:$B$2004,"&gt;="&amp;$BC$1,周转筐出入库明细!$B$4:$B$2004,"&lt;="&amp;$BC$2))</f>
        <v/>
      </c>
      <c r="L184" s="67" t="str">
        <f>IF(OR($B184="",基础资料!$B$7=""),"",-SUMIFS(周转筐出入库明细!$I$4:$I$2004,周转筐出入库明细!$C$4:$C$2004,$B184,周转筐出入库明细!$D$4:$D$2004,基础资料!$B$7,周转筐出入库明细!$B$4:$B$2004,"&gt;="&amp;$BC$1,周转筐出入库明细!$B$4:$B$2004,"&lt;="&amp;$BC$2))</f>
        <v/>
      </c>
      <c r="M184" s="67" t="str">
        <f>IF(OR($B184="",基础资料!$B$8=""),"",-SUMIFS(周转筐出入库明细!$I$4:$I$2004,周转筐出入库明细!$C$4:$C$2004,$B184,周转筐出入库明细!$D$4:$D$2004,基础资料!$B$8,周转筐出入库明细!$B$4:$B$2004,"&gt;="&amp;$BC$1,周转筐出入库明细!$B$4:$B$2004,"&lt;="&amp;$BC$2))</f>
        <v/>
      </c>
      <c r="N184" s="67" t="str">
        <f t="shared" si="26"/>
        <v/>
      </c>
      <c r="O184" s="25" t="str">
        <f>IF(OR($B184="",基础资料!$B$4=""),"",SUMIFS(周转筐出入库明细!$H$4:$H$2004,周转筐出入库明细!$C$4:$C$2004,$B184,周转筐出入库明细!$D$4:$D$2004,基础资料!$B$4,周转筐出入库明细!$F$4:$F$2004,"采购入库",周转筐出入库明细!$B$4:$B$2004,"&gt;="&amp;$BC$1,周转筐出入库明细!$B$4:$B$2004,"&lt;="&amp;$BC$2))</f>
        <v/>
      </c>
      <c r="P184" s="25" t="str">
        <f>IF(OR($B184="",基础资料!$B$5=""),"",SUMIFS(周转筐出入库明细!$H$4:$H$2004,周转筐出入库明细!$C$4:$C$2004,$B184,周转筐出入库明细!$D$4:$D$2004,基础资料!$B$5,周转筐出入库明细!$F$4:$F$2004,"采购入库",周转筐出入库明细!$B$4:$B$2004,"&gt;="&amp;$BC$1,周转筐出入库明细!$B$4:$B$2004,"&lt;="&amp;$BC$2))</f>
        <v/>
      </c>
      <c r="Q184" s="25" t="str">
        <f>IF(OR($B184="",基础资料!$B$6=""),"",SUMIFS(周转筐出入库明细!$H$4:$H$2004,周转筐出入库明细!$C$4:$C$2004,$B184,周转筐出入库明细!$D$4:$D$2004,基础资料!$B$6,周转筐出入库明细!$F$4:$F$2004,"采购入库",周转筐出入库明细!$B$4:$B$2004,"&gt;="&amp;$BC$1,周转筐出入库明细!$B$4:$B$2004,"&lt;="&amp;$BC$2))</f>
        <v/>
      </c>
      <c r="R184" s="25" t="str">
        <f>IF(OR($B184="",基础资料!$B$7=""),"",SUMIFS(周转筐出入库明细!$H$4:$H$2004,周转筐出入库明细!$C$4:$C$2004,$B184,周转筐出入库明细!$D$4:$D$2004,基础资料!$B$7,周转筐出入库明细!$F$4:$F$2004,"采购入库",周转筐出入库明细!$B$4:$B$2004,"&gt;="&amp;$BC$1,周转筐出入库明细!$B$4:$B$2004,"&lt;="&amp;$BC$2))</f>
        <v/>
      </c>
      <c r="S184" s="25" t="str">
        <f>IF(OR($B184="",基础资料!$B$8=""),"",SUMIFS(周转筐出入库明细!$H$4:$H$2004,周转筐出入库明细!$C$4:$C$2004,$B184,周转筐出入库明细!$D$4:$D$2004,基础资料!$B$8,周转筐出入库明细!$F$4:$F$2004,"采购入库",周转筐出入库明细!$B$4:$B$2004,"&gt;="&amp;$BC$1,周转筐出入库明细!$B$4:$B$2004,"&lt;="&amp;$BC$2))</f>
        <v/>
      </c>
      <c r="T184" s="25" t="str">
        <f t="shared" si="27"/>
        <v/>
      </c>
      <c r="U184" s="25" t="str">
        <f>IF(OR($B184="",基础资料!$B$4=""),"",SUMIFS(周转筐出入库明细!$K$4:$K$2004,周转筐出入库明细!$C$4:$C$2004,$B184,周转筐出入库明细!$D$4:$D$2004,基础资料!$B$4,周转筐出入库明细!$B$4:$B$2004,"&gt;="&amp;$BC$1,周转筐出入库明细!$B$4:$B$2004,"&lt;="&amp;$BC$2))</f>
        <v/>
      </c>
      <c r="V184" s="25" t="str">
        <f>IF(OR($B184="",基础资料!$B$5=""),"",SUMIFS(周转筐出入库明细!$K$4:$K$2004,周转筐出入库明细!$C$4:$C$2004,$B184,周转筐出入库明细!$D$4:$D$2004,基础资料!$B$5,周转筐出入库明细!$B$4:$B$2004,"&gt;="&amp;$BC$1,周转筐出入库明细!$B$4:$B$2004,"&lt;="&amp;$BC$2))</f>
        <v/>
      </c>
      <c r="W184" s="25" t="str">
        <f>IF(OR($B184="",基础资料!$B$6=""),"",SUMIFS(周转筐出入库明细!$K$4:$K$2004,周转筐出入库明细!$C$4:$C$2004,$B184,周转筐出入库明细!$D$4:$D$2004,基础资料!$B$6,周转筐出入库明细!$B$4:$B$2004,"&gt;="&amp;$BC$1,周转筐出入库明细!$B$4:$B$2004,"&lt;="&amp;$BC$2))</f>
        <v/>
      </c>
      <c r="X184" s="25" t="str">
        <f>IF(OR($B184="",基础资料!$B$7=""),"",SUMIFS(周转筐出入库明细!$K$4:$K$2004,周转筐出入库明细!$C$4:$C$2004,$B184,周转筐出入库明细!$D$4:$D$2004,基础资料!$B$7,周转筐出入库明细!$B$4:$B$2004,"&gt;="&amp;$BC$1,周转筐出入库明细!$B$4:$B$2004,"&lt;="&amp;$BC$2))</f>
        <v/>
      </c>
      <c r="Y184" s="25" t="str">
        <f>IF(OR($B184="",基础资料!$B$8=""),"",SUMIFS(周转筐出入库明细!$K$4:$K$2004,周转筐出入库明细!$C$4:$C$2004,$B184,周转筐出入库明细!$D$4:$D$2004,基础资料!$B$8,周转筐出入库明细!$B$4:$B$2004,"&gt;="&amp;$BC$1,周转筐出入库明细!$B$4:$B$2004,"&lt;="&amp;$BC$2))</f>
        <v/>
      </c>
      <c r="Z184" s="25" t="str">
        <f t="shared" si="28"/>
        <v/>
      </c>
      <c r="AA184" s="67" t="str">
        <f>IF(OR($B184="",基础资料!$B$4=""),"",-SUMIFS(对接源_01水果筐数!$D$5:$D$304,对接源_01水果筐数!$B$5:$B$304,$B184,对接源_01水果筐数!$C$5:$C$304,基础资料!$B$4))</f>
        <v/>
      </c>
      <c r="AB184" s="67" t="str">
        <f>IF(OR($B184="",基础资料!$B$5=""),"",-SUMIFS(对接源_01水果筐数!$D$5:$D$304,对接源_01水果筐数!$B$5:$B$304,$B184,对接源_01水果筐数!$C$5:$C$304,基础资料!$B$5))</f>
        <v/>
      </c>
      <c r="AC184" s="67" t="str">
        <f>IF(OR($B184="",基础资料!$B$6=""),"",-SUMIFS(对接源_01水果筐数!$D$5:$D$304,对接源_01水果筐数!$B$5:$B$304,$B184,对接源_01水果筐数!$C$5:$C$304,基础资料!$B$6))</f>
        <v/>
      </c>
      <c r="AD184" s="67" t="str">
        <f>IF(OR($B184="",基础资料!$B$7=""),"",-SUMIFS(对接源_01水果筐数!$D$5:$D$304,对接源_01水果筐数!$B$5:$B$304,$B184,对接源_01水果筐数!$C$5:$C$304,基础资料!$B$7))</f>
        <v/>
      </c>
      <c r="AE184" s="67" t="str">
        <f>IF(OR($B184="",基础资料!$B$8=""),"",-SUMIFS(对接源_01水果筐数!$D$5:$D$304,对接源_01水果筐数!$B$5:$B$304,$B184,对接源_01水果筐数!$C$5:$C$304,基础资料!$B$8))</f>
        <v/>
      </c>
      <c r="AF184" s="25" t="str">
        <f>IF(OR($B184="",基础资料!$B$4=""),"",SUMIFS(对接源_01水果筐数!$E$5:$E$304,对接源_01水果筐数!$B$5:$B$304,$B184,对接源_01水果筐数!$C$5:$C$304,基础资料!$B$4))</f>
        <v/>
      </c>
      <c r="AG184" s="25" t="str">
        <f>IF(OR($B184="",基础资料!$B$5=""),"",SUMIFS(对接源_01水果筐数!$E$5:$E$304,对接源_01水果筐数!$B$5:$B$304,$B184,对接源_01水果筐数!$C$5:$C$304,基础资料!$B$5))</f>
        <v/>
      </c>
      <c r="AH184" s="25" t="str">
        <f>IF(OR($B184="",基础资料!$B$6=""),"",SUMIFS(对接源_01水果筐数!$E$5:$E$304,对接源_01水果筐数!$B$5:$B$304,$B184,对接源_01水果筐数!$C$5:$C$304,基础资料!$B$6))</f>
        <v/>
      </c>
      <c r="AI184" s="25" t="str">
        <f>IF(OR($B184="",基础资料!$B$7=""),"",SUMIFS(对接源_01水果筐数!$E$5:$E$304,对接源_01水果筐数!$B$5:$B$304,$B184,对接源_01水果筐数!$C$5:$C$304,基础资料!$B$7))</f>
        <v/>
      </c>
      <c r="AJ184" s="25" t="str">
        <f>IF(OR($B184="",基础资料!$B$8=""),"",SUMIFS(对接源_01水果筐数!$E$5:$E$304,对接源_01水果筐数!$B$5:$B$304,$B184,对接源_01水果筐数!$C$5:$C$304,基础资料!$B$8))</f>
        <v/>
      </c>
      <c r="AK184" s="25" t="str">
        <f>IF(OR($B184="",基础资料!$B$4=""),"",SUMIFS(对接源_01水果筐数!$F$5:$F$304,对接源_01水果筐数!$B$5:$B$304,$B184,对接源_01水果筐数!$C$5:$C$304,基础资料!$B$4))</f>
        <v/>
      </c>
      <c r="AL184" s="25" t="str">
        <f>IF(OR($B184="",基础资料!$B$5=""),"",SUMIFS(对接源_01水果筐数!$F$5:$F$304,对接源_01水果筐数!$B$5:$B$304,$B184,对接源_01水果筐数!$C$5:$C$304,基础资料!$B$5))</f>
        <v/>
      </c>
      <c r="AM184" s="25" t="str">
        <f>IF(OR($B184="",基础资料!$B$6=""),"",SUMIFS(对接源_01水果筐数!$F$5:$F$304,对接源_01水果筐数!$B$5:$B$304,$B184,对接源_01水果筐数!$C$5:$C$304,基础资料!$B$6))</f>
        <v/>
      </c>
      <c r="AN184" s="25" t="str">
        <f>IF(OR($B184="",基础资料!$B$7=""),"",SUMIFS(对接源_01水果筐数!$F$5:$F$304,对接源_01水果筐数!$B$5:$B$304,$B184,对接源_01水果筐数!$C$5:$C$304,基础资料!$B$7))</f>
        <v/>
      </c>
      <c r="AO184" s="25" t="str">
        <f>IF(OR($B184="",基础资料!$B$8=""),"",SUMIFS(对接源_01水果筐数!$F$5:$F$304,对接源_01水果筐数!$B$5:$B$304,$B184,对接源_01水果筐数!$C$5:$C$304,基础资料!$B$8))</f>
        <v/>
      </c>
      <c r="AP184" s="25" t="str">
        <f t="shared" si="29"/>
        <v/>
      </c>
      <c r="AQ184" s="25" t="str">
        <f t="shared" si="30"/>
        <v/>
      </c>
      <c r="AR184" s="25" t="str">
        <f t="shared" si="31"/>
        <v/>
      </c>
      <c r="AS184" s="25" t="str">
        <f t="shared" si="32"/>
        <v/>
      </c>
      <c r="AT184" s="25" t="str">
        <f t="shared" si="33"/>
        <v/>
      </c>
      <c r="AU184" s="25" t="str">
        <f t="shared" si="34"/>
        <v/>
      </c>
      <c r="AV184" s="24" t="str">
        <f t="shared" si="35"/>
        <v/>
      </c>
      <c r="AW184" s="72"/>
    </row>
    <row r="185" spans="1:49">
      <c r="A185" s="22" t="str">
        <f t="shared" si="24"/>
        <v/>
      </c>
      <c r="B185" s="24" t="str">
        <f>IFERROR(INDEX(_自动清单!$CC$4:$CC$253,ROW()-3),"")</f>
        <v/>
      </c>
      <c r="C185" s="25" t="str">
        <f>IF(OR($B185="",基础资料!$B$4=""),"",SUMIFS(周转筐出入库明细!$J$4:$J$2004,周转筐出入库明细!$C$4:$C$2004,$B185,周转筐出入库明细!$D$4:$D$2004,基础资料!$B$4,周转筐出入库明细!$B$4:$B$2004,"&gt;="&amp;$BC$1,周转筐出入库明细!$B$4:$B$2004,"&lt;="&amp;$BC$2))</f>
        <v/>
      </c>
      <c r="D185" s="25" t="str">
        <f>IF(OR($B185="",基础资料!$B$5=""),"",SUMIFS(周转筐出入库明细!$J$4:$J$2004,周转筐出入库明细!$C$4:$C$2004,$B185,周转筐出入库明细!$D$4:$D$2004,基础资料!$B$5,周转筐出入库明细!$B$4:$B$2004,"&gt;="&amp;$BC$1,周转筐出入库明细!$B$4:$B$2004,"&lt;="&amp;$BC$2))</f>
        <v/>
      </c>
      <c r="E185" s="25" t="str">
        <f>IF(OR($B185="",基础资料!$B$6=""),"",SUMIFS(周转筐出入库明细!$J$4:$J$2004,周转筐出入库明细!$C$4:$C$2004,$B185,周转筐出入库明细!$D$4:$D$2004,基础资料!$B$6,周转筐出入库明细!$B$4:$B$2004,"&gt;="&amp;$BC$1,周转筐出入库明细!$B$4:$B$2004,"&lt;="&amp;$BC$2))</f>
        <v/>
      </c>
      <c r="F185" s="25" t="str">
        <f>IF(OR($B185="",基础资料!$B$7=""),"",SUMIFS(周转筐出入库明细!$J$4:$J$2004,周转筐出入库明细!$C$4:$C$2004,$B185,周转筐出入库明细!$D$4:$D$2004,基础资料!$B$7,周转筐出入库明细!$B$4:$B$2004,"&gt;="&amp;$BC$1,周转筐出入库明细!$B$4:$B$2004,"&lt;="&amp;$BC$2))</f>
        <v/>
      </c>
      <c r="G185" s="25" t="str">
        <f>IF(OR($B185="",基础资料!$B$8=""),"",SUMIFS(周转筐出入库明细!$J$4:$J$2004,周转筐出入库明细!$C$4:$C$2004,$B185,周转筐出入库明细!$D$4:$D$2004,基础资料!$B$8,周转筐出入库明细!$B$4:$B$2004,"&gt;="&amp;$BC$1,周转筐出入库明细!$B$4:$B$2004,"&lt;="&amp;$BC$2))</f>
        <v/>
      </c>
      <c r="H185" s="25" t="str">
        <f t="shared" si="25"/>
        <v/>
      </c>
      <c r="I185" s="67" t="str">
        <f>IF(OR($B185="",基础资料!$B$4=""),"",-SUMIFS(周转筐出入库明细!$I$4:$I$2004,周转筐出入库明细!$C$4:$C$2004,$B185,周转筐出入库明细!$D$4:$D$2004,基础资料!$B$4,周转筐出入库明细!$B$4:$B$2004,"&gt;="&amp;$BC$1,周转筐出入库明细!$B$4:$B$2004,"&lt;="&amp;$BC$2))</f>
        <v/>
      </c>
      <c r="J185" s="67" t="str">
        <f>IF(OR($B185="",基础资料!$B$5=""),"",-SUMIFS(周转筐出入库明细!$I$4:$I$2004,周转筐出入库明细!$C$4:$C$2004,$B185,周转筐出入库明细!$D$4:$D$2004,基础资料!$B$5,周转筐出入库明细!$B$4:$B$2004,"&gt;="&amp;$BC$1,周转筐出入库明细!$B$4:$B$2004,"&lt;="&amp;$BC$2))</f>
        <v/>
      </c>
      <c r="K185" s="67" t="str">
        <f>IF(OR($B185="",基础资料!$B$6=""),"",-SUMIFS(周转筐出入库明细!$I$4:$I$2004,周转筐出入库明细!$C$4:$C$2004,$B185,周转筐出入库明细!$D$4:$D$2004,基础资料!$B$6,周转筐出入库明细!$B$4:$B$2004,"&gt;="&amp;$BC$1,周转筐出入库明细!$B$4:$B$2004,"&lt;="&amp;$BC$2))</f>
        <v/>
      </c>
      <c r="L185" s="67" t="str">
        <f>IF(OR($B185="",基础资料!$B$7=""),"",-SUMIFS(周转筐出入库明细!$I$4:$I$2004,周转筐出入库明细!$C$4:$C$2004,$B185,周转筐出入库明细!$D$4:$D$2004,基础资料!$B$7,周转筐出入库明细!$B$4:$B$2004,"&gt;="&amp;$BC$1,周转筐出入库明细!$B$4:$B$2004,"&lt;="&amp;$BC$2))</f>
        <v/>
      </c>
      <c r="M185" s="67" t="str">
        <f>IF(OR($B185="",基础资料!$B$8=""),"",-SUMIFS(周转筐出入库明细!$I$4:$I$2004,周转筐出入库明细!$C$4:$C$2004,$B185,周转筐出入库明细!$D$4:$D$2004,基础资料!$B$8,周转筐出入库明细!$B$4:$B$2004,"&gt;="&amp;$BC$1,周转筐出入库明细!$B$4:$B$2004,"&lt;="&amp;$BC$2))</f>
        <v/>
      </c>
      <c r="N185" s="67" t="str">
        <f t="shared" si="26"/>
        <v/>
      </c>
      <c r="O185" s="25" t="str">
        <f>IF(OR($B185="",基础资料!$B$4=""),"",SUMIFS(周转筐出入库明细!$H$4:$H$2004,周转筐出入库明细!$C$4:$C$2004,$B185,周转筐出入库明细!$D$4:$D$2004,基础资料!$B$4,周转筐出入库明细!$F$4:$F$2004,"采购入库",周转筐出入库明细!$B$4:$B$2004,"&gt;="&amp;$BC$1,周转筐出入库明细!$B$4:$B$2004,"&lt;="&amp;$BC$2))</f>
        <v/>
      </c>
      <c r="P185" s="25" t="str">
        <f>IF(OR($B185="",基础资料!$B$5=""),"",SUMIFS(周转筐出入库明细!$H$4:$H$2004,周转筐出入库明细!$C$4:$C$2004,$B185,周转筐出入库明细!$D$4:$D$2004,基础资料!$B$5,周转筐出入库明细!$F$4:$F$2004,"采购入库",周转筐出入库明细!$B$4:$B$2004,"&gt;="&amp;$BC$1,周转筐出入库明细!$B$4:$B$2004,"&lt;="&amp;$BC$2))</f>
        <v/>
      </c>
      <c r="Q185" s="25" t="str">
        <f>IF(OR($B185="",基础资料!$B$6=""),"",SUMIFS(周转筐出入库明细!$H$4:$H$2004,周转筐出入库明细!$C$4:$C$2004,$B185,周转筐出入库明细!$D$4:$D$2004,基础资料!$B$6,周转筐出入库明细!$F$4:$F$2004,"采购入库",周转筐出入库明细!$B$4:$B$2004,"&gt;="&amp;$BC$1,周转筐出入库明细!$B$4:$B$2004,"&lt;="&amp;$BC$2))</f>
        <v/>
      </c>
      <c r="R185" s="25" t="str">
        <f>IF(OR($B185="",基础资料!$B$7=""),"",SUMIFS(周转筐出入库明细!$H$4:$H$2004,周转筐出入库明细!$C$4:$C$2004,$B185,周转筐出入库明细!$D$4:$D$2004,基础资料!$B$7,周转筐出入库明细!$F$4:$F$2004,"采购入库",周转筐出入库明细!$B$4:$B$2004,"&gt;="&amp;$BC$1,周转筐出入库明细!$B$4:$B$2004,"&lt;="&amp;$BC$2))</f>
        <v/>
      </c>
      <c r="S185" s="25" t="str">
        <f>IF(OR($B185="",基础资料!$B$8=""),"",SUMIFS(周转筐出入库明细!$H$4:$H$2004,周转筐出入库明细!$C$4:$C$2004,$B185,周转筐出入库明细!$D$4:$D$2004,基础资料!$B$8,周转筐出入库明细!$F$4:$F$2004,"采购入库",周转筐出入库明细!$B$4:$B$2004,"&gt;="&amp;$BC$1,周转筐出入库明细!$B$4:$B$2004,"&lt;="&amp;$BC$2))</f>
        <v/>
      </c>
      <c r="T185" s="25" t="str">
        <f t="shared" si="27"/>
        <v/>
      </c>
      <c r="U185" s="25" t="str">
        <f>IF(OR($B185="",基础资料!$B$4=""),"",SUMIFS(周转筐出入库明细!$K$4:$K$2004,周转筐出入库明细!$C$4:$C$2004,$B185,周转筐出入库明细!$D$4:$D$2004,基础资料!$B$4,周转筐出入库明细!$B$4:$B$2004,"&gt;="&amp;$BC$1,周转筐出入库明细!$B$4:$B$2004,"&lt;="&amp;$BC$2))</f>
        <v/>
      </c>
      <c r="V185" s="25" t="str">
        <f>IF(OR($B185="",基础资料!$B$5=""),"",SUMIFS(周转筐出入库明细!$K$4:$K$2004,周转筐出入库明细!$C$4:$C$2004,$B185,周转筐出入库明细!$D$4:$D$2004,基础资料!$B$5,周转筐出入库明细!$B$4:$B$2004,"&gt;="&amp;$BC$1,周转筐出入库明细!$B$4:$B$2004,"&lt;="&amp;$BC$2))</f>
        <v/>
      </c>
      <c r="W185" s="25" t="str">
        <f>IF(OR($B185="",基础资料!$B$6=""),"",SUMIFS(周转筐出入库明细!$K$4:$K$2004,周转筐出入库明细!$C$4:$C$2004,$B185,周转筐出入库明细!$D$4:$D$2004,基础资料!$B$6,周转筐出入库明细!$B$4:$B$2004,"&gt;="&amp;$BC$1,周转筐出入库明细!$B$4:$B$2004,"&lt;="&amp;$BC$2))</f>
        <v/>
      </c>
      <c r="X185" s="25" t="str">
        <f>IF(OR($B185="",基础资料!$B$7=""),"",SUMIFS(周转筐出入库明细!$K$4:$K$2004,周转筐出入库明细!$C$4:$C$2004,$B185,周转筐出入库明细!$D$4:$D$2004,基础资料!$B$7,周转筐出入库明细!$B$4:$B$2004,"&gt;="&amp;$BC$1,周转筐出入库明细!$B$4:$B$2004,"&lt;="&amp;$BC$2))</f>
        <v/>
      </c>
      <c r="Y185" s="25" t="str">
        <f>IF(OR($B185="",基础资料!$B$8=""),"",SUMIFS(周转筐出入库明细!$K$4:$K$2004,周转筐出入库明细!$C$4:$C$2004,$B185,周转筐出入库明细!$D$4:$D$2004,基础资料!$B$8,周转筐出入库明细!$B$4:$B$2004,"&gt;="&amp;$BC$1,周转筐出入库明细!$B$4:$B$2004,"&lt;="&amp;$BC$2))</f>
        <v/>
      </c>
      <c r="Z185" s="25" t="str">
        <f t="shared" si="28"/>
        <v/>
      </c>
      <c r="AA185" s="67" t="str">
        <f>IF(OR($B185="",基础资料!$B$4=""),"",-SUMIFS(对接源_01水果筐数!$D$5:$D$304,对接源_01水果筐数!$B$5:$B$304,$B185,对接源_01水果筐数!$C$5:$C$304,基础资料!$B$4))</f>
        <v/>
      </c>
      <c r="AB185" s="67" t="str">
        <f>IF(OR($B185="",基础资料!$B$5=""),"",-SUMIFS(对接源_01水果筐数!$D$5:$D$304,对接源_01水果筐数!$B$5:$B$304,$B185,对接源_01水果筐数!$C$5:$C$304,基础资料!$B$5))</f>
        <v/>
      </c>
      <c r="AC185" s="67" t="str">
        <f>IF(OR($B185="",基础资料!$B$6=""),"",-SUMIFS(对接源_01水果筐数!$D$5:$D$304,对接源_01水果筐数!$B$5:$B$304,$B185,对接源_01水果筐数!$C$5:$C$304,基础资料!$B$6))</f>
        <v/>
      </c>
      <c r="AD185" s="67" t="str">
        <f>IF(OR($B185="",基础资料!$B$7=""),"",-SUMIFS(对接源_01水果筐数!$D$5:$D$304,对接源_01水果筐数!$B$5:$B$304,$B185,对接源_01水果筐数!$C$5:$C$304,基础资料!$B$7))</f>
        <v/>
      </c>
      <c r="AE185" s="67" t="str">
        <f>IF(OR($B185="",基础资料!$B$8=""),"",-SUMIFS(对接源_01水果筐数!$D$5:$D$304,对接源_01水果筐数!$B$5:$B$304,$B185,对接源_01水果筐数!$C$5:$C$304,基础资料!$B$8))</f>
        <v/>
      </c>
      <c r="AF185" s="25" t="str">
        <f>IF(OR($B185="",基础资料!$B$4=""),"",SUMIFS(对接源_01水果筐数!$E$5:$E$304,对接源_01水果筐数!$B$5:$B$304,$B185,对接源_01水果筐数!$C$5:$C$304,基础资料!$B$4))</f>
        <v/>
      </c>
      <c r="AG185" s="25" t="str">
        <f>IF(OR($B185="",基础资料!$B$5=""),"",SUMIFS(对接源_01水果筐数!$E$5:$E$304,对接源_01水果筐数!$B$5:$B$304,$B185,对接源_01水果筐数!$C$5:$C$304,基础资料!$B$5))</f>
        <v/>
      </c>
      <c r="AH185" s="25" t="str">
        <f>IF(OR($B185="",基础资料!$B$6=""),"",SUMIFS(对接源_01水果筐数!$E$5:$E$304,对接源_01水果筐数!$B$5:$B$304,$B185,对接源_01水果筐数!$C$5:$C$304,基础资料!$B$6))</f>
        <v/>
      </c>
      <c r="AI185" s="25" t="str">
        <f>IF(OR($B185="",基础资料!$B$7=""),"",SUMIFS(对接源_01水果筐数!$E$5:$E$304,对接源_01水果筐数!$B$5:$B$304,$B185,对接源_01水果筐数!$C$5:$C$304,基础资料!$B$7))</f>
        <v/>
      </c>
      <c r="AJ185" s="25" t="str">
        <f>IF(OR($B185="",基础资料!$B$8=""),"",SUMIFS(对接源_01水果筐数!$E$5:$E$304,对接源_01水果筐数!$B$5:$B$304,$B185,对接源_01水果筐数!$C$5:$C$304,基础资料!$B$8))</f>
        <v/>
      </c>
      <c r="AK185" s="25" t="str">
        <f>IF(OR($B185="",基础资料!$B$4=""),"",SUMIFS(对接源_01水果筐数!$F$5:$F$304,对接源_01水果筐数!$B$5:$B$304,$B185,对接源_01水果筐数!$C$5:$C$304,基础资料!$B$4))</f>
        <v/>
      </c>
      <c r="AL185" s="25" t="str">
        <f>IF(OR($B185="",基础资料!$B$5=""),"",SUMIFS(对接源_01水果筐数!$F$5:$F$304,对接源_01水果筐数!$B$5:$B$304,$B185,对接源_01水果筐数!$C$5:$C$304,基础资料!$B$5))</f>
        <v/>
      </c>
      <c r="AM185" s="25" t="str">
        <f>IF(OR($B185="",基础资料!$B$6=""),"",SUMIFS(对接源_01水果筐数!$F$5:$F$304,对接源_01水果筐数!$B$5:$B$304,$B185,对接源_01水果筐数!$C$5:$C$304,基础资料!$B$6))</f>
        <v/>
      </c>
      <c r="AN185" s="25" t="str">
        <f>IF(OR($B185="",基础资料!$B$7=""),"",SUMIFS(对接源_01水果筐数!$F$5:$F$304,对接源_01水果筐数!$B$5:$B$304,$B185,对接源_01水果筐数!$C$5:$C$304,基础资料!$B$7))</f>
        <v/>
      </c>
      <c r="AO185" s="25" t="str">
        <f>IF(OR($B185="",基础资料!$B$8=""),"",SUMIFS(对接源_01水果筐数!$F$5:$F$304,对接源_01水果筐数!$B$5:$B$304,$B185,对接源_01水果筐数!$C$5:$C$304,基础资料!$B$8))</f>
        <v/>
      </c>
      <c r="AP185" s="25" t="str">
        <f t="shared" si="29"/>
        <v/>
      </c>
      <c r="AQ185" s="25" t="str">
        <f t="shared" si="30"/>
        <v/>
      </c>
      <c r="AR185" s="25" t="str">
        <f t="shared" si="31"/>
        <v/>
      </c>
      <c r="AS185" s="25" t="str">
        <f t="shared" si="32"/>
        <v/>
      </c>
      <c r="AT185" s="25" t="str">
        <f t="shared" si="33"/>
        <v/>
      </c>
      <c r="AU185" s="25" t="str">
        <f t="shared" si="34"/>
        <v/>
      </c>
      <c r="AV185" s="24" t="str">
        <f t="shared" si="35"/>
        <v/>
      </c>
      <c r="AW185" s="72"/>
    </row>
    <row r="186" spans="1:49">
      <c r="A186" s="22" t="str">
        <f t="shared" si="24"/>
        <v/>
      </c>
      <c r="B186" s="24" t="str">
        <f>IFERROR(INDEX(_自动清单!$CC$4:$CC$253,ROW()-3),"")</f>
        <v/>
      </c>
      <c r="C186" s="25" t="str">
        <f>IF(OR($B186="",基础资料!$B$4=""),"",SUMIFS(周转筐出入库明细!$J$4:$J$2004,周转筐出入库明细!$C$4:$C$2004,$B186,周转筐出入库明细!$D$4:$D$2004,基础资料!$B$4,周转筐出入库明细!$B$4:$B$2004,"&gt;="&amp;$BC$1,周转筐出入库明细!$B$4:$B$2004,"&lt;="&amp;$BC$2))</f>
        <v/>
      </c>
      <c r="D186" s="25" t="str">
        <f>IF(OR($B186="",基础资料!$B$5=""),"",SUMIFS(周转筐出入库明细!$J$4:$J$2004,周转筐出入库明细!$C$4:$C$2004,$B186,周转筐出入库明细!$D$4:$D$2004,基础资料!$B$5,周转筐出入库明细!$B$4:$B$2004,"&gt;="&amp;$BC$1,周转筐出入库明细!$B$4:$B$2004,"&lt;="&amp;$BC$2))</f>
        <v/>
      </c>
      <c r="E186" s="25" t="str">
        <f>IF(OR($B186="",基础资料!$B$6=""),"",SUMIFS(周转筐出入库明细!$J$4:$J$2004,周转筐出入库明细!$C$4:$C$2004,$B186,周转筐出入库明细!$D$4:$D$2004,基础资料!$B$6,周转筐出入库明细!$B$4:$B$2004,"&gt;="&amp;$BC$1,周转筐出入库明细!$B$4:$B$2004,"&lt;="&amp;$BC$2))</f>
        <v/>
      </c>
      <c r="F186" s="25" t="str">
        <f>IF(OR($B186="",基础资料!$B$7=""),"",SUMIFS(周转筐出入库明细!$J$4:$J$2004,周转筐出入库明细!$C$4:$C$2004,$B186,周转筐出入库明细!$D$4:$D$2004,基础资料!$B$7,周转筐出入库明细!$B$4:$B$2004,"&gt;="&amp;$BC$1,周转筐出入库明细!$B$4:$B$2004,"&lt;="&amp;$BC$2))</f>
        <v/>
      </c>
      <c r="G186" s="25" t="str">
        <f>IF(OR($B186="",基础资料!$B$8=""),"",SUMIFS(周转筐出入库明细!$J$4:$J$2004,周转筐出入库明细!$C$4:$C$2004,$B186,周转筐出入库明细!$D$4:$D$2004,基础资料!$B$8,周转筐出入库明细!$B$4:$B$2004,"&gt;="&amp;$BC$1,周转筐出入库明细!$B$4:$B$2004,"&lt;="&amp;$BC$2))</f>
        <v/>
      </c>
      <c r="H186" s="25" t="str">
        <f t="shared" si="25"/>
        <v/>
      </c>
      <c r="I186" s="67" t="str">
        <f>IF(OR($B186="",基础资料!$B$4=""),"",-SUMIFS(周转筐出入库明细!$I$4:$I$2004,周转筐出入库明细!$C$4:$C$2004,$B186,周转筐出入库明细!$D$4:$D$2004,基础资料!$B$4,周转筐出入库明细!$B$4:$B$2004,"&gt;="&amp;$BC$1,周转筐出入库明细!$B$4:$B$2004,"&lt;="&amp;$BC$2))</f>
        <v/>
      </c>
      <c r="J186" s="67" t="str">
        <f>IF(OR($B186="",基础资料!$B$5=""),"",-SUMIFS(周转筐出入库明细!$I$4:$I$2004,周转筐出入库明细!$C$4:$C$2004,$B186,周转筐出入库明细!$D$4:$D$2004,基础资料!$B$5,周转筐出入库明细!$B$4:$B$2004,"&gt;="&amp;$BC$1,周转筐出入库明细!$B$4:$B$2004,"&lt;="&amp;$BC$2))</f>
        <v/>
      </c>
      <c r="K186" s="67" t="str">
        <f>IF(OR($B186="",基础资料!$B$6=""),"",-SUMIFS(周转筐出入库明细!$I$4:$I$2004,周转筐出入库明细!$C$4:$C$2004,$B186,周转筐出入库明细!$D$4:$D$2004,基础资料!$B$6,周转筐出入库明细!$B$4:$B$2004,"&gt;="&amp;$BC$1,周转筐出入库明细!$B$4:$B$2004,"&lt;="&amp;$BC$2))</f>
        <v/>
      </c>
      <c r="L186" s="67" t="str">
        <f>IF(OR($B186="",基础资料!$B$7=""),"",-SUMIFS(周转筐出入库明细!$I$4:$I$2004,周转筐出入库明细!$C$4:$C$2004,$B186,周转筐出入库明细!$D$4:$D$2004,基础资料!$B$7,周转筐出入库明细!$B$4:$B$2004,"&gt;="&amp;$BC$1,周转筐出入库明细!$B$4:$B$2004,"&lt;="&amp;$BC$2))</f>
        <v/>
      </c>
      <c r="M186" s="67" t="str">
        <f>IF(OR($B186="",基础资料!$B$8=""),"",-SUMIFS(周转筐出入库明细!$I$4:$I$2004,周转筐出入库明细!$C$4:$C$2004,$B186,周转筐出入库明细!$D$4:$D$2004,基础资料!$B$8,周转筐出入库明细!$B$4:$B$2004,"&gt;="&amp;$BC$1,周转筐出入库明细!$B$4:$B$2004,"&lt;="&amp;$BC$2))</f>
        <v/>
      </c>
      <c r="N186" s="67" t="str">
        <f t="shared" si="26"/>
        <v/>
      </c>
      <c r="O186" s="25" t="str">
        <f>IF(OR($B186="",基础资料!$B$4=""),"",SUMIFS(周转筐出入库明细!$H$4:$H$2004,周转筐出入库明细!$C$4:$C$2004,$B186,周转筐出入库明细!$D$4:$D$2004,基础资料!$B$4,周转筐出入库明细!$F$4:$F$2004,"采购入库",周转筐出入库明细!$B$4:$B$2004,"&gt;="&amp;$BC$1,周转筐出入库明细!$B$4:$B$2004,"&lt;="&amp;$BC$2))</f>
        <v/>
      </c>
      <c r="P186" s="25" t="str">
        <f>IF(OR($B186="",基础资料!$B$5=""),"",SUMIFS(周转筐出入库明细!$H$4:$H$2004,周转筐出入库明细!$C$4:$C$2004,$B186,周转筐出入库明细!$D$4:$D$2004,基础资料!$B$5,周转筐出入库明细!$F$4:$F$2004,"采购入库",周转筐出入库明细!$B$4:$B$2004,"&gt;="&amp;$BC$1,周转筐出入库明细!$B$4:$B$2004,"&lt;="&amp;$BC$2))</f>
        <v/>
      </c>
      <c r="Q186" s="25" t="str">
        <f>IF(OR($B186="",基础资料!$B$6=""),"",SUMIFS(周转筐出入库明细!$H$4:$H$2004,周转筐出入库明细!$C$4:$C$2004,$B186,周转筐出入库明细!$D$4:$D$2004,基础资料!$B$6,周转筐出入库明细!$F$4:$F$2004,"采购入库",周转筐出入库明细!$B$4:$B$2004,"&gt;="&amp;$BC$1,周转筐出入库明细!$B$4:$B$2004,"&lt;="&amp;$BC$2))</f>
        <v/>
      </c>
      <c r="R186" s="25" t="str">
        <f>IF(OR($B186="",基础资料!$B$7=""),"",SUMIFS(周转筐出入库明细!$H$4:$H$2004,周转筐出入库明细!$C$4:$C$2004,$B186,周转筐出入库明细!$D$4:$D$2004,基础资料!$B$7,周转筐出入库明细!$F$4:$F$2004,"采购入库",周转筐出入库明细!$B$4:$B$2004,"&gt;="&amp;$BC$1,周转筐出入库明细!$B$4:$B$2004,"&lt;="&amp;$BC$2))</f>
        <v/>
      </c>
      <c r="S186" s="25" t="str">
        <f>IF(OR($B186="",基础资料!$B$8=""),"",SUMIFS(周转筐出入库明细!$H$4:$H$2004,周转筐出入库明细!$C$4:$C$2004,$B186,周转筐出入库明细!$D$4:$D$2004,基础资料!$B$8,周转筐出入库明细!$F$4:$F$2004,"采购入库",周转筐出入库明细!$B$4:$B$2004,"&gt;="&amp;$BC$1,周转筐出入库明细!$B$4:$B$2004,"&lt;="&amp;$BC$2))</f>
        <v/>
      </c>
      <c r="T186" s="25" t="str">
        <f t="shared" si="27"/>
        <v/>
      </c>
      <c r="U186" s="25" t="str">
        <f>IF(OR($B186="",基础资料!$B$4=""),"",SUMIFS(周转筐出入库明细!$K$4:$K$2004,周转筐出入库明细!$C$4:$C$2004,$B186,周转筐出入库明细!$D$4:$D$2004,基础资料!$B$4,周转筐出入库明细!$B$4:$B$2004,"&gt;="&amp;$BC$1,周转筐出入库明细!$B$4:$B$2004,"&lt;="&amp;$BC$2))</f>
        <v/>
      </c>
      <c r="V186" s="25" t="str">
        <f>IF(OR($B186="",基础资料!$B$5=""),"",SUMIFS(周转筐出入库明细!$K$4:$K$2004,周转筐出入库明细!$C$4:$C$2004,$B186,周转筐出入库明细!$D$4:$D$2004,基础资料!$B$5,周转筐出入库明细!$B$4:$B$2004,"&gt;="&amp;$BC$1,周转筐出入库明细!$B$4:$B$2004,"&lt;="&amp;$BC$2))</f>
        <v/>
      </c>
      <c r="W186" s="25" t="str">
        <f>IF(OR($B186="",基础资料!$B$6=""),"",SUMIFS(周转筐出入库明细!$K$4:$K$2004,周转筐出入库明细!$C$4:$C$2004,$B186,周转筐出入库明细!$D$4:$D$2004,基础资料!$B$6,周转筐出入库明细!$B$4:$B$2004,"&gt;="&amp;$BC$1,周转筐出入库明细!$B$4:$B$2004,"&lt;="&amp;$BC$2))</f>
        <v/>
      </c>
      <c r="X186" s="25" t="str">
        <f>IF(OR($B186="",基础资料!$B$7=""),"",SUMIFS(周转筐出入库明细!$K$4:$K$2004,周转筐出入库明细!$C$4:$C$2004,$B186,周转筐出入库明细!$D$4:$D$2004,基础资料!$B$7,周转筐出入库明细!$B$4:$B$2004,"&gt;="&amp;$BC$1,周转筐出入库明细!$B$4:$B$2004,"&lt;="&amp;$BC$2))</f>
        <v/>
      </c>
      <c r="Y186" s="25" t="str">
        <f>IF(OR($B186="",基础资料!$B$8=""),"",SUMIFS(周转筐出入库明细!$K$4:$K$2004,周转筐出入库明细!$C$4:$C$2004,$B186,周转筐出入库明细!$D$4:$D$2004,基础资料!$B$8,周转筐出入库明细!$B$4:$B$2004,"&gt;="&amp;$BC$1,周转筐出入库明细!$B$4:$B$2004,"&lt;="&amp;$BC$2))</f>
        <v/>
      </c>
      <c r="Z186" s="25" t="str">
        <f t="shared" si="28"/>
        <v/>
      </c>
      <c r="AA186" s="67" t="str">
        <f>IF(OR($B186="",基础资料!$B$4=""),"",-SUMIFS(对接源_01水果筐数!$D$5:$D$304,对接源_01水果筐数!$B$5:$B$304,$B186,对接源_01水果筐数!$C$5:$C$304,基础资料!$B$4))</f>
        <v/>
      </c>
      <c r="AB186" s="67" t="str">
        <f>IF(OR($B186="",基础资料!$B$5=""),"",-SUMIFS(对接源_01水果筐数!$D$5:$D$304,对接源_01水果筐数!$B$5:$B$304,$B186,对接源_01水果筐数!$C$5:$C$304,基础资料!$B$5))</f>
        <v/>
      </c>
      <c r="AC186" s="67" t="str">
        <f>IF(OR($B186="",基础资料!$B$6=""),"",-SUMIFS(对接源_01水果筐数!$D$5:$D$304,对接源_01水果筐数!$B$5:$B$304,$B186,对接源_01水果筐数!$C$5:$C$304,基础资料!$B$6))</f>
        <v/>
      </c>
      <c r="AD186" s="67" t="str">
        <f>IF(OR($B186="",基础资料!$B$7=""),"",-SUMIFS(对接源_01水果筐数!$D$5:$D$304,对接源_01水果筐数!$B$5:$B$304,$B186,对接源_01水果筐数!$C$5:$C$304,基础资料!$B$7))</f>
        <v/>
      </c>
      <c r="AE186" s="67" t="str">
        <f>IF(OR($B186="",基础资料!$B$8=""),"",-SUMIFS(对接源_01水果筐数!$D$5:$D$304,对接源_01水果筐数!$B$5:$B$304,$B186,对接源_01水果筐数!$C$5:$C$304,基础资料!$B$8))</f>
        <v/>
      </c>
      <c r="AF186" s="25" t="str">
        <f>IF(OR($B186="",基础资料!$B$4=""),"",SUMIFS(对接源_01水果筐数!$E$5:$E$304,对接源_01水果筐数!$B$5:$B$304,$B186,对接源_01水果筐数!$C$5:$C$304,基础资料!$B$4))</f>
        <v/>
      </c>
      <c r="AG186" s="25" t="str">
        <f>IF(OR($B186="",基础资料!$B$5=""),"",SUMIFS(对接源_01水果筐数!$E$5:$E$304,对接源_01水果筐数!$B$5:$B$304,$B186,对接源_01水果筐数!$C$5:$C$304,基础资料!$B$5))</f>
        <v/>
      </c>
      <c r="AH186" s="25" t="str">
        <f>IF(OR($B186="",基础资料!$B$6=""),"",SUMIFS(对接源_01水果筐数!$E$5:$E$304,对接源_01水果筐数!$B$5:$B$304,$B186,对接源_01水果筐数!$C$5:$C$304,基础资料!$B$6))</f>
        <v/>
      </c>
      <c r="AI186" s="25" t="str">
        <f>IF(OR($B186="",基础资料!$B$7=""),"",SUMIFS(对接源_01水果筐数!$E$5:$E$304,对接源_01水果筐数!$B$5:$B$304,$B186,对接源_01水果筐数!$C$5:$C$304,基础资料!$B$7))</f>
        <v/>
      </c>
      <c r="AJ186" s="25" t="str">
        <f>IF(OR($B186="",基础资料!$B$8=""),"",SUMIFS(对接源_01水果筐数!$E$5:$E$304,对接源_01水果筐数!$B$5:$B$304,$B186,对接源_01水果筐数!$C$5:$C$304,基础资料!$B$8))</f>
        <v/>
      </c>
      <c r="AK186" s="25" t="str">
        <f>IF(OR($B186="",基础资料!$B$4=""),"",SUMIFS(对接源_01水果筐数!$F$5:$F$304,对接源_01水果筐数!$B$5:$B$304,$B186,对接源_01水果筐数!$C$5:$C$304,基础资料!$B$4))</f>
        <v/>
      </c>
      <c r="AL186" s="25" t="str">
        <f>IF(OR($B186="",基础资料!$B$5=""),"",SUMIFS(对接源_01水果筐数!$F$5:$F$304,对接源_01水果筐数!$B$5:$B$304,$B186,对接源_01水果筐数!$C$5:$C$304,基础资料!$B$5))</f>
        <v/>
      </c>
      <c r="AM186" s="25" t="str">
        <f>IF(OR($B186="",基础资料!$B$6=""),"",SUMIFS(对接源_01水果筐数!$F$5:$F$304,对接源_01水果筐数!$B$5:$B$304,$B186,对接源_01水果筐数!$C$5:$C$304,基础资料!$B$6))</f>
        <v/>
      </c>
      <c r="AN186" s="25" t="str">
        <f>IF(OR($B186="",基础资料!$B$7=""),"",SUMIFS(对接源_01水果筐数!$F$5:$F$304,对接源_01水果筐数!$B$5:$B$304,$B186,对接源_01水果筐数!$C$5:$C$304,基础资料!$B$7))</f>
        <v/>
      </c>
      <c r="AO186" s="25" t="str">
        <f>IF(OR($B186="",基础资料!$B$8=""),"",SUMIFS(对接源_01水果筐数!$F$5:$F$304,对接源_01水果筐数!$B$5:$B$304,$B186,对接源_01水果筐数!$C$5:$C$304,基础资料!$B$8))</f>
        <v/>
      </c>
      <c r="AP186" s="25" t="str">
        <f t="shared" si="29"/>
        <v/>
      </c>
      <c r="AQ186" s="25" t="str">
        <f t="shared" si="30"/>
        <v/>
      </c>
      <c r="AR186" s="25" t="str">
        <f t="shared" si="31"/>
        <v/>
      </c>
      <c r="AS186" s="25" t="str">
        <f t="shared" si="32"/>
        <v/>
      </c>
      <c r="AT186" s="25" t="str">
        <f t="shared" si="33"/>
        <v/>
      </c>
      <c r="AU186" s="25" t="str">
        <f t="shared" si="34"/>
        <v/>
      </c>
      <c r="AV186" s="24" t="str">
        <f t="shared" si="35"/>
        <v/>
      </c>
      <c r="AW186" s="72"/>
    </row>
    <row r="187" spans="1:49">
      <c r="A187" s="22" t="str">
        <f t="shared" si="24"/>
        <v/>
      </c>
      <c r="B187" s="24" t="str">
        <f>IFERROR(INDEX(_自动清单!$CC$4:$CC$253,ROW()-3),"")</f>
        <v/>
      </c>
      <c r="C187" s="25" t="str">
        <f>IF(OR($B187="",基础资料!$B$4=""),"",SUMIFS(周转筐出入库明细!$J$4:$J$2004,周转筐出入库明细!$C$4:$C$2004,$B187,周转筐出入库明细!$D$4:$D$2004,基础资料!$B$4,周转筐出入库明细!$B$4:$B$2004,"&gt;="&amp;$BC$1,周转筐出入库明细!$B$4:$B$2004,"&lt;="&amp;$BC$2))</f>
        <v/>
      </c>
      <c r="D187" s="25" t="str">
        <f>IF(OR($B187="",基础资料!$B$5=""),"",SUMIFS(周转筐出入库明细!$J$4:$J$2004,周转筐出入库明细!$C$4:$C$2004,$B187,周转筐出入库明细!$D$4:$D$2004,基础资料!$B$5,周转筐出入库明细!$B$4:$B$2004,"&gt;="&amp;$BC$1,周转筐出入库明细!$B$4:$B$2004,"&lt;="&amp;$BC$2))</f>
        <v/>
      </c>
      <c r="E187" s="25" t="str">
        <f>IF(OR($B187="",基础资料!$B$6=""),"",SUMIFS(周转筐出入库明细!$J$4:$J$2004,周转筐出入库明细!$C$4:$C$2004,$B187,周转筐出入库明细!$D$4:$D$2004,基础资料!$B$6,周转筐出入库明细!$B$4:$B$2004,"&gt;="&amp;$BC$1,周转筐出入库明细!$B$4:$B$2004,"&lt;="&amp;$BC$2))</f>
        <v/>
      </c>
      <c r="F187" s="25" t="str">
        <f>IF(OR($B187="",基础资料!$B$7=""),"",SUMIFS(周转筐出入库明细!$J$4:$J$2004,周转筐出入库明细!$C$4:$C$2004,$B187,周转筐出入库明细!$D$4:$D$2004,基础资料!$B$7,周转筐出入库明细!$B$4:$B$2004,"&gt;="&amp;$BC$1,周转筐出入库明细!$B$4:$B$2004,"&lt;="&amp;$BC$2))</f>
        <v/>
      </c>
      <c r="G187" s="25" t="str">
        <f>IF(OR($B187="",基础资料!$B$8=""),"",SUMIFS(周转筐出入库明细!$J$4:$J$2004,周转筐出入库明细!$C$4:$C$2004,$B187,周转筐出入库明细!$D$4:$D$2004,基础资料!$B$8,周转筐出入库明细!$B$4:$B$2004,"&gt;="&amp;$BC$1,周转筐出入库明细!$B$4:$B$2004,"&lt;="&amp;$BC$2))</f>
        <v/>
      </c>
      <c r="H187" s="25" t="str">
        <f t="shared" si="25"/>
        <v/>
      </c>
      <c r="I187" s="67" t="str">
        <f>IF(OR($B187="",基础资料!$B$4=""),"",-SUMIFS(周转筐出入库明细!$I$4:$I$2004,周转筐出入库明细!$C$4:$C$2004,$B187,周转筐出入库明细!$D$4:$D$2004,基础资料!$B$4,周转筐出入库明细!$B$4:$B$2004,"&gt;="&amp;$BC$1,周转筐出入库明细!$B$4:$B$2004,"&lt;="&amp;$BC$2))</f>
        <v/>
      </c>
      <c r="J187" s="67" t="str">
        <f>IF(OR($B187="",基础资料!$B$5=""),"",-SUMIFS(周转筐出入库明细!$I$4:$I$2004,周转筐出入库明细!$C$4:$C$2004,$B187,周转筐出入库明细!$D$4:$D$2004,基础资料!$B$5,周转筐出入库明细!$B$4:$B$2004,"&gt;="&amp;$BC$1,周转筐出入库明细!$B$4:$B$2004,"&lt;="&amp;$BC$2))</f>
        <v/>
      </c>
      <c r="K187" s="67" t="str">
        <f>IF(OR($B187="",基础资料!$B$6=""),"",-SUMIFS(周转筐出入库明细!$I$4:$I$2004,周转筐出入库明细!$C$4:$C$2004,$B187,周转筐出入库明细!$D$4:$D$2004,基础资料!$B$6,周转筐出入库明细!$B$4:$B$2004,"&gt;="&amp;$BC$1,周转筐出入库明细!$B$4:$B$2004,"&lt;="&amp;$BC$2))</f>
        <v/>
      </c>
      <c r="L187" s="67" t="str">
        <f>IF(OR($B187="",基础资料!$B$7=""),"",-SUMIFS(周转筐出入库明细!$I$4:$I$2004,周转筐出入库明细!$C$4:$C$2004,$B187,周转筐出入库明细!$D$4:$D$2004,基础资料!$B$7,周转筐出入库明细!$B$4:$B$2004,"&gt;="&amp;$BC$1,周转筐出入库明细!$B$4:$B$2004,"&lt;="&amp;$BC$2))</f>
        <v/>
      </c>
      <c r="M187" s="67" t="str">
        <f>IF(OR($B187="",基础资料!$B$8=""),"",-SUMIFS(周转筐出入库明细!$I$4:$I$2004,周转筐出入库明细!$C$4:$C$2004,$B187,周转筐出入库明细!$D$4:$D$2004,基础资料!$B$8,周转筐出入库明细!$B$4:$B$2004,"&gt;="&amp;$BC$1,周转筐出入库明细!$B$4:$B$2004,"&lt;="&amp;$BC$2))</f>
        <v/>
      </c>
      <c r="N187" s="67" t="str">
        <f t="shared" si="26"/>
        <v/>
      </c>
      <c r="O187" s="25" t="str">
        <f>IF(OR($B187="",基础资料!$B$4=""),"",SUMIFS(周转筐出入库明细!$H$4:$H$2004,周转筐出入库明细!$C$4:$C$2004,$B187,周转筐出入库明细!$D$4:$D$2004,基础资料!$B$4,周转筐出入库明细!$F$4:$F$2004,"采购入库",周转筐出入库明细!$B$4:$B$2004,"&gt;="&amp;$BC$1,周转筐出入库明细!$B$4:$B$2004,"&lt;="&amp;$BC$2))</f>
        <v/>
      </c>
      <c r="P187" s="25" t="str">
        <f>IF(OR($B187="",基础资料!$B$5=""),"",SUMIFS(周转筐出入库明细!$H$4:$H$2004,周转筐出入库明细!$C$4:$C$2004,$B187,周转筐出入库明细!$D$4:$D$2004,基础资料!$B$5,周转筐出入库明细!$F$4:$F$2004,"采购入库",周转筐出入库明细!$B$4:$B$2004,"&gt;="&amp;$BC$1,周转筐出入库明细!$B$4:$B$2004,"&lt;="&amp;$BC$2))</f>
        <v/>
      </c>
      <c r="Q187" s="25" t="str">
        <f>IF(OR($B187="",基础资料!$B$6=""),"",SUMIFS(周转筐出入库明细!$H$4:$H$2004,周转筐出入库明细!$C$4:$C$2004,$B187,周转筐出入库明细!$D$4:$D$2004,基础资料!$B$6,周转筐出入库明细!$F$4:$F$2004,"采购入库",周转筐出入库明细!$B$4:$B$2004,"&gt;="&amp;$BC$1,周转筐出入库明细!$B$4:$B$2004,"&lt;="&amp;$BC$2))</f>
        <v/>
      </c>
      <c r="R187" s="25" t="str">
        <f>IF(OR($B187="",基础资料!$B$7=""),"",SUMIFS(周转筐出入库明细!$H$4:$H$2004,周转筐出入库明细!$C$4:$C$2004,$B187,周转筐出入库明细!$D$4:$D$2004,基础资料!$B$7,周转筐出入库明细!$F$4:$F$2004,"采购入库",周转筐出入库明细!$B$4:$B$2004,"&gt;="&amp;$BC$1,周转筐出入库明细!$B$4:$B$2004,"&lt;="&amp;$BC$2))</f>
        <v/>
      </c>
      <c r="S187" s="25" t="str">
        <f>IF(OR($B187="",基础资料!$B$8=""),"",SUMIFS(周转筐出入库明细!$H$4:$H$2004,周转筐出入库明细!$C$4:$C$2004,$B187,周转筐出入库明细!$D$4:$D$2004,基础资料!$B$8,周转筐出入库明细!$F$4:$F$2004,"采购入库",周转筐出入库明细!$B$4:$B$2004,"&gt;="&amp;$BC$1,周转筐出入库明细!$B$4:$B$2004,"&lt;="&amp;$BC$2))</f>
        <v/>
      </c>
      <c r="T187" s="25" t="str">
        <f t="shared" si="27"/>
        <v/>
      </c>
      <c r="U187" s="25" t="str">
        <f>IF(OR($B187="",基础资料!$B$4=""),"",SUMIFS(周转筐出入库明细!$K$4:$K$2004,周转筐出入库明细!$C$4:$C$2004,$B187,周转筐出入库明细!$D$4:$D$2004,基础资料!$B$4,周转筐出入库明细!$B$4:$B$2004,"&gt;="&amp;$BC$1,周转筐出入库明细!$B$4:$B$2004,"&lt;="&amp;$BC$2))</f>
        <v/>
      </c>
      <c r="V187" s="25" t="str">
        <f>IF(OR($B187="",基础资料!$B$5=""),"",SUMIFS(周转筐出入库明细!$K$4:$K$2004,周转筐出入库明细!$C$4:$C$2004,$B187,周转筐出入库明细!$D$4:$D$2004,基础资料!$B$5,周转筐出入库明细!$B$4:$B$2004,"&gt;="&amp;$BC$1,周转筐出入库明细!$B$4:$B$2004,"&lt;="&amp;$BC$2))</f>
        <v/>
      </c>
      <c r="W187" s="25" t="str">
        <f>IF(OR($B187="",基础资料!$B$6=""),"",SUMIFS(周转筐出入库明细!$K$4:$K$2004,周转筐出入库明细!$C$4:$C$2004,$B187,周转筐出入库明细!$D$4:$D$2004,基础资料!$B$6,周转筐出入库明细!$B$4:$B$2004,"&gt;="&amp;$BC$1,周转筐出入库明细!$B$4:$B$2004,"&lt;="&amp;$BC$2))</f>
        <v/>
      </c>
      <c r="X187" s="25" t="str">
        <f>IF(OR($B187="",基础资料!$B$7=""),"",SUMIFS(周转筐出入库明细!$K$4:$K$2004,周转筐出入库明细!$C$4:$C$2004,$B187,周转筐出入库明细!$D$4:$D$2004,基础资料!$B$7,周转筐出入库明细!$B$4:$B$2004,"&gt;="&amp;$BC$1,周转筐出入库明细!$B$4:$B$2004,"&lt;="&amp;$BC$2))</f>
        <v/>
      </c>
      <c r="Y187" s="25" t="str">
        <f>IF(OR($B187="",基础资料!$B$8=""),"",SUMIFS(周转筐出入库明细!$K$4:$K$2004,周转筐出入库明细!$C$4:$C$2004,$B187,周转筐出入库明细!$D$4:$D$2004,基础资料!$B$8,周转筐出入库明细!$B$4:$B$2004,"&gt;="&amp;$BC$1,周转筐出入库明细!$B$4:$B$2004,"&lt;="&amp;$BC$2))</f>
        <v/>
      </c>
      <c r="Z187" s="25" t="str">
        <f t="shared" si="28"/>
        <v/>
      </c>
      <c r="AA187" s="67" t="str">
        <f>IF(OR($B187="",基础资料!$B$4=""),"",-SUMIFS(对接源_01水果筐数!$D$5:$D$304,对接源_01水果筐数!$B$5:$B$304,$B187,对接源_01水果筐数!$C$5:$C$304,基础资料!$B$4))</f>
        <v/>
      </c>
      <c r="AB187" s="67" t="str">
        <f>IF(OR($B187="",基础资料!$B$5=""),"",-SUMIFS(对接源_01水果筐数!$D$5:$D$304,对接源_01水果筐数!$B$5:$B$304,$B187,对接源_01水果筐数!$C$5:$C$304,基础资料!$B$5))</f>
        <v/>
      </c>
      <c r="AC187" s="67" t="str">
        <f>IF(OR($B187="",基础资料!$B$6=""),"",-SUMIFS(对接源_01水果筐数!$D$5:$D$304,对接源_01水果筐数!$B$5:$B$304,$B187,对接源_01水果筐数!$C$5:$C$304,基础资料!$B$6))</f>
        <v/>
      </c>
      <c r="AD187" s="67" t="str">
        <f>IF(OR($B187="",基础资料!$B$7=""),"",-SUMIFS(对接源_01水果筐数!$D$5:$D$304,对接源_01水果筐数!$B$5:$B$304,$B187,对接源_01水果筐数!$C$5:$C$304,基础资料!$B$7))</f>
        <v/>
      </c>
      <c r="AE187" s="67" t="str">
        <f>IF(OR($B187="",基础资料!$B$8=""),"",-SUMIFS(对接源_01水果筐数!$D$5:$D$304,对接源_01水果筐数!$B$5:$B$304,$B187,对接源_01水果筐数!$C$5:$C$304,基础资料!$B$8))</f>
        <v/>
      </c>
      <c r="AF187" s="25" t="str">
        <f>IF(OR($B187="",基础资料!$B$4=""),"",SUMIFS(对接源_01水果筐数!$E$5:$E$304,对接源_01水果筐数!$B$5:$B$304,$B187,对接源_01水果筐数!$C$5:$C$304,基础资料!$B$4))</f>
        <v/>
      </c>
      <c r="AG187" s="25" t="str">
        <f>IF(OR($B187="",基础资料!$B$5=""),"",SUMIFS(对接源_01水果筐数!$E$5:$E$304,对接源_01水果筐数!$B$5:$B$304,$B187,对接源_01水果筐数!$C$5:$C$304,基础资料!$B$5))</f>
        <v/>
      </c>
      <c r="AH187" s="25" t="str">
        <f>IF(OR($B187="",基础资料!$B$6=""),"",SUMIFS(对接源_01水果筐数!$E$5:$E$304,对接源_01水果筐数!$B$5:$B$304,$B187,对接源_01水果筐数!$C$5:$C$304,基础资料!$B$6))</f>
        <v/>
      </c>
      <c r="AI187" s="25" t="str">
        <f>IF(OR($B187="",基础资料!$B$7=""),"",SUMIFS(对接源_01水果筐数!$E$5:$E$304,对接源_01水果筐数!$B$5:$B$304,$B187,对接源_01水果筐数!$C$5:$C$304,基础资料!$B$7))</f>
        <v/>
      </c>
      <c r="AJ187" s="25" t="str">
        <f>IF(OR($B187="",基础资料!$B$8=""),"",SUMIFS(对接源_01水果筐数!$E$5:$E$304,对接源_01水果筐数!$B$5:$B$304,$B187,对接源_01水果筐数!$C$5:$C$304,基础资料!$B$8))</f>
        <v/>
      </c>
      <c r="AK187" s="25" t="str">
        <f>IF(OR($B187="",基础资料!$B$4=""),"",SUMIFS(对接源_01水果筐数!$F$5:$F$304,对接源_01水果筐数!$B$5:$B$304,$B187,对接源_01水果筐数!$C$5:$C$304,基础资料!$B$4))</f>
        <v/>
      </c>
      <c r="AL187" s="25" t="str">
        <f>IF(OR($B187="",基础资料!$B$5=""),"",SUMIFS(对接源_01水果筐数!$F$5:$F$304,对接源_01水果筐数!$B$5:$B$304,$B187,对接源_01水果筐数!$C$5:$C$304,基础资料!$B$5))</f>
        <v/>
      </c>
      <c r="AM187" s="25" t="str">
        <f>IF(OR($B187="",基础资料!$B$6=""),"",SUMIFS(对接源_01水果筐数!$F$5:$F$304,对接源_01水果筐数!$B$5:$B$304,$B187,对接源_01水果筐数!$C$5:$C$304,基础资料!$B$6))</f>
        <v/>
      </c>
      <c r="AN187" s="25" t="str">
        <f>IF(OR($B187="",基础资料!$B$7=""),"",SUMIFS(对接源_01水果筐数!$F$5:$F$304,对接源_01水果筐数!$B$5:$B$304,$B187,对接源_01水果筐数!$C$5:$C$304,基础资料!$B$7))</f>
        <v/>
      </c>
      <c r="AO187" s="25" t="str">
        <f>IF(OR($B187="",基础资料!$B$8=""),"",SUMIFS(对接源_01水果筐数!$F$5:$F$304,对接源_01水果筐数!$B$5:$B$304,$B187,对接源_01水果筐数!$C$5:$C$304,基础资料!$B$8))</f>
        <v/>
      </c>
      <c r="AP187" s="25" t="str">
        <f t="shared" si="29"/>
        <v/>
      </c>
      <c r="AQ187" s="25" t="str">
        <f t="shared" si="30"/>
        <v/>
      </c>
      <c r="AR187" s="25" t="str">
        <f t="shared" si="31"/>
        <v/>
      </c>
      <c r="AS187" s="25" t="str">
        <f t="shared" si="32"/>
        <v/>
      </c>
      <c r="AT187" s="25" t="str">
        <f t="shared" si="33"/>
        <v/>
      </c>
      <c r="AU187" s="25" t="str">
        <f t="shared" si="34"/>
        <v/>
      </c>
      <c r="AV187" s="24" t="str">
        <f t="shared" si="35"/>
        <v/>
      </c>
      <c r="AW187" s="72"/>
    </row>
    <row r="188" spans="1:49">
      <c r="A188" s="22" t="str">
        <f t="shared" si="24"/>
        <v/>
      </c>
      <c r="B188" s="24" t="str">
        <f>IFERROR(INDEX(_自动清单!$CC$4:$CC$253,ROW()-3),"")</f>
        <v/>
      </c>
      <c r="C188" s="25" t="str">
        <f>IF(OR($B188="",基础资料!$B$4=""),"",SUMIFS(周转筐出入库明细!$J$4:$J$2004,周转筐出入库明细!$C$4:$C$2004,$B188,周转筐出入库明细!$D$4:$D$2004,基础资料!$B$4,周转筐出入库明细!$B$4:$B$2004,"&gt;="&amp;$BC$1,周转筐出入库明细!$B$4:$B$2004,"&lt;="&amp;$BC$2))</f>
        <v/>
      </c>
      <c r="D188" s="25" t="str">
        <f>IF(OR($B188="",基础资料!$B$5=""),"",SUMIFS(周转筐出入库明细!$J$4:$J$2004,周转筐出入库明细!$C$4:$C$2004,$B188,周转筐出入库明细!$D$4:$D$2004,基础资料!$B$5,周转筐出入库明细!$B$4:$B$2004,"&gt;="&amp;$BC$1,周转筐出入库明细!$B$4:$B$2004,"&lt;="&amp;$BC$2))</f>
        <v/>
      </c>
      <c r="E188" s="25" t="str">
        <f>IF(OR($B188="",基础资料!$B$6=""),"",SUMIFS(周转筐出入库明细!$J$4:$J$2004,周转筐出入库明细!$C$4:$C$2004,$B188,周转筐出入库明细!$D$4:$D$2004,基础资料!$B$6,周转筐出入库明细!$B$4:$B$2004,"&gt;="&amp;$BC$1,周转筐出入库明细!$B$4:$B$2004,"&lt;="&amp;$BC$2))</f>
        <v/>
      </c>
      <c r="F188" s="25" t="str">
        <f>IF(OR($B188="",基础资料!$B$7=""),"",SUMIFS(周转筐出入库明细!$J$4:$J$2004,周转筐出入库明细!$C$4:$C$2004,$B188,周转筐出入库明细!$D$4:$D$2004,基础资料!$B$7,周转筐出入库明细!$B$4:$B$2004,"&gt;="&amp;$BC$1,周转筐出入库明细!$B$4:$B$2004,"&lt;="&amp;$BC$2))</f>
        <v/>
      </c>
      <c r="G188" s="25" t="str">
        <f>IF(OR($B188="",基础资料!$B$8=""),"",SUMIFS(周转筐出入库明细!$J$4:$J$2004,周转筐出入库明细!$C$4:$C$2004,$B188,周转筐出入库明细!$D$4:$D$2004,基础资料!$B$8,周转筐出入库明细!$B$4:$B$2004,"&gt;="&amp;$BC$1,周转筐出入库明细!$B$4:$B$2004,"&lt;="&amp;$BC$2))</f>
        <v/>
      </c>
      <c r="H188" s="25" t="str">
        <f t="shared" si="25"/>
        <v/>
      </c>
      <c r="I188" s="67" t="str">
        <f>IF(OR($B188="",基础资料!$B$4=""),"",-SUMIFS(周转筐出入库明细!$I$4:$I$2004,周转筐出入库明细!$C$4:$C$2004,$B188,周转筐出入库明细!$D$4:$D$2004,基础资料!$B$4,周转筐出入库明细!$B$4:$B$2004,"&gt;="&amp;$BC$1,周转筐出入库明细!$B$4:$B$2004,"&lt;="&amp;$BC$2))</f>
        <v/>
      </c>
      <c r="J188" s="67" t="str">
        <f>IF(OR($B188="",基础资料!$B$5=""),"",-SUMIFS(周转筐出入库明细!$I$4:$I$2004,周转筐出入库明细!$C$4:$C$2004,$B188,周转筐出入库明细!$D$4:$D$2004,基础资料!$B$5,周转筐出入库明细!$B$4:$B$2004,"&gt;="&amp;$BC$1,周转筐出入库明细!$B$4:$B$2004,"&lt;="&amp;$BC$2))</f>
        <v/>
      </c>
      <c r="K188" s="67" t="str">
        <f>IF(OR($B188="",基础资料!$B$6=""),"",-SUMIFS(周转筐出入库明细!$I$4:$I$2004,周转筐出入库明细!$C$4:$C$2004,$B188,周转筐出入库明细!$D$4:$D$2004,基础资料!$B$6,周转筐出入库明细!$B$4:$B$2004,"&gt;="&amp;$BC$1,周转筐出入库明细!$B$4:$B$2004,"&lt;="&amp;$BC$2))</f>
        <v/>
      </c>
      <c r="L188" s="67" t="str">
        <f>IF(OR($B188="",基础资料!$B$7=""),"",-SUMIFS(周转筐出入库明细!$I$4:$I$2004,周转筐出入库明细!$C$4:$C$2004,$B188,周转筐出入库明细!$D$4:$D$2004,基础资料!$B$7,周转筐出入库明细!$B$4:$B$2004,"&gt;="&amp;$BC$1,周转筐出入库明细!$B$4:$B$2004,"&lt;="&amp;$BC$2))</f>
        <v/>
      </c>
      <c r="M188" s="67" t="str">
        <f>IF(OR($B188="",基础资料!$B$8=""),"",-SUMIFS(周转筐出入库明细!$I$4:$I$2004,周转筐出入库明细!$C$4:$C$2004,$B188,周转筐出入库明细!$D$4:$D$2004,基础资料!$B$8,周转筐出入库明细!$B$4:$B$2004,"&gt;="&amp;$BC$1,周转筐出入库明细!$B$4:$B$2004,"&lt;="&amp;$BC$2))</f>
        <v/>
      </c>
      <c r="N188" s="67" t="str">
        <f t="shared" si="26"/>
        <v/>
      </c>
      <c r="O188" s="25" t="str">
        <f>IF(OR($B188="",基础资料!$B$4=""),"",SUMIFS(周转筐出入库明细!$H$4:$H$2004,周转筐出入库明细!$C$4:$C$2004,$B188,周转筐出入库明细!$D$4:$D$2004,基础资料!$B$4,周转筐出入库明细!$F$4:$F$2004,"采购入库",周转筐出入库明细!$B$4:$B$2004,"&gt;="&amp;$BC$1,周转筐出入库明细!$B$4:$B$2004,"&lt;="&amp;$BC$2))</f>
        <v/>
      </c>
      <c r="P188" s="25" t="str">
        <f>IF(OR($B188="",基础资料!$B$5=""),"",SUMIFS(周转筐出入库明细!$H$4:$H$2004,周转筐出入库明细!$C$4:$C$2004,$B188,周转筐出入库明细!$D$4:$D$2004,基础资料!$B$5,周转筐出入库明细!$F$4:$F$2004,"采购入库",周转筐出入库明细!$B$4:$B$2004,"&gt;="&amp;$BC$1,周转筐出入库明细!$B$4:$B$2004,"&lt;="&amp;$BC$2))</f>
        <v/>
      </c>
      <c r="Q188" s="25" t="str">
        <f>IF(OR($B188="",基础资料!$B$6=""),"",SUMIFS(周转筐出入库明细!$H$4:$H$2004,周转筐出入库明细!$C$4:$C$2004,$B188,周转筐出入库明细!$D$4:$D$2004,基础资料!$B$6,周转筐出入库明细!$F$4:$F$2004,"采购入库",周转筐出入库明细!$B$4:$B$2004,"&gt;="&amp;$BC$1,周转筐出入库明细!$B$4:$B$2004,"&lt;="&amp;$BC$2))</f>
        <v/>
      </c>
      <c r="R188" s="25" t="str">
        <f>IF(OR($B188="",基础资料!$B$7=""),"",SUMIFS(周转筐出入库明细!$H$4:$H$2004,周转筐出入库明细!$C$4:$C$2004,$B188,周转筐出入库明细!$D$4:$D$2004,基础资料!$B$7,周转筐出入库明细!$F$4:$F$2004,"采购入库",周转筐出入库明细!$B$4:$B$2004,"&gt;="&amp;$BC$1,周转筐出入库明细!$B$4:$B$2004,"&lt;="&amp;$BC$2))</f>
        <v/>
      </c>
      <c r="S188" s="25" t="str">
        <f>IF(OR($B188="",基础资料!$B$8=""),"",SUMIFS(周转筐出入库明细!$H$4:$H$2004,周转筐出入库明细!$C$4:$C$2004,$B188,周转筐出入库明细!$D$4:$D$2004,基础资料!$B$8,周转筐出入库明细!$F$4:$F$2004,"采购入库",周转筐出入库明细!$B$4:$B$2004,"&gt;="&amp;$BC$1,周转筐出入库明细!$B$4:$B$2004,"&lt;="&amp;$BC$2))</f>
        <v/>
      </c>
      <c r="T188" s="25" t="str">
        <f t="shared" si="27"/>
        <v/>
      </c>
      <c r="U188" s="25" t="str">
        <f>IF(OR($B188="",基础资料!$B$4=""),"",SUMIFS(周转筐出入库明细!$K$4:$K$2004,周转筐出入库明细!$C$4:$C$2004,$B188,周转筐出入库明细!$D$4:$D$2004,基础资料!$B$4,周转筐出入库明细!$B$4:$B$2004,"&gt;="&amp;$BC$1,周转筐出入库明细!$B$4:$B$2004,"&lt;="&amp;$BC$2))</f>
        <v/>
      </c>
      <c r="V188" s="25" t="str">
        <f>IF(OR($B188="",基础资料!$B$5=""),"",SUMIFS(周转筐出入库明细!$K$4:$K$2004,周转筐出入库明细!$C$4:$C$2004,$B188,周转筐出入库明细!$D$4:$D$2004,基础资料!$B$5,周转筐出入库明细!$B$4:$B$2004,"&gt;="&amp;$BC$1,周转筐出入库明细!$B$4:$B$2004,"&lt;="&amp;$BC$2))</f>
        <v/>
      </c>
      <c r="W188" s="25" t="str">
        <f>IF(OR($B188="",基础资料!$B$6=""),"",SUMIFS(周转筐出入库明细!$K$4:$K$2004,周转筐出入库明细!$C$4:$C$2004,$B188,周转筐出入库明细!$D$4:$D$2004,基础资料!$B$6,周转筐出入库明细!$B$4:$B$2004,"&gt;="&amp;$BC$1,周转筐出入库明细!$B$4:$B$2004,"&lt;="&amp;$BC$2))</f>
        <v/>
      </c>
      <c r="X188" s="25" t="str">
        <f>IF(OR($B188="",基础资料!$B$7=""),"",SUMIFS(周转筐出入库明细!$K$4:$K$2004,周转筐出入库明细!$C$4:$C$2004,$B188,周转筐出入库明细!$D$4:$D$2004,基础资料!$B$7,周转筐出入库明细!$B$4:$B$2004,"&gt;="&amp;$BC$1,周转筐出入库明细!$B$4:$B$2004,"&lt;="&amp;$BC$2))</f>
        <v/>
      </c>
      <c r="Y188" s="25" t="str">
        <f>IF(OR($B188="",基础资料!$B$8=""),"",SUMIFS(周转筐出入库明细!$K$4:$K$2004,周转筐出入库明细!$C$4:$C$2004,$B188,周转筐出入库明细!$D$4:$D$2004,基础资料!$B$8,周转筐出入库明细!$B$4:$B$2004,"&gt;="&amp;$BC$1,周转筐出入库明细!$B$4:$B$2004,"&lt;="&amp;$BC$2))</f>
        <v/>
      </c>
      <c r="Z188" s="25" t="str">
        <f t="shared" si="28"/>
        <v/>
      </c>
      <c r="AA188" s="67" t="str">
        <f>IF(OR($B188="",基础资料!$B$4=""),"",-SUMIFS(对接源_01水果筐数!$D$5:$D$304,对接源_01水果筐数!$B$5:$B$304,$B188,对接源_01水果筐数!$C$5:$C$304,基础资料!$B$4))</f>
        <v/>
      </c>
      <c r="AB188" s="67" t="str">
        <f>IF(OR($B188="",基础资料!$B$5=""),"",-SUMIFS(对接源_01水果筐数!$D$5:$D$304,对接源_01水果筐数!$B$5:$B$304,$B188,对接源_01水果筐数!$C$5:$C$304,基础资料!$B$5))</f>
        <v/>
      </c>
      <c r="AC188" s="67" t="str">
        <f>IF(OR($B188="",基础资料!$B$6=""),"",-SUMIFS(对接源_01水果筐数!$D$5:$D$304,对接源_01水果筐数!$B$5:$B$304,$B188,对接源_01水果筐数!$C$5:$C$304,基础资料!$B$6))</f>
        <v/>
      </c>
      <c r="AD188" s="67" t="str">
        <f>IF(OR($B188="",基础资料!$B$7=""),"",-SUMIFS(对接源_01水果筐数!$D$5:$D$304,对接源_01水果筐数!$B$5:$B$304,$B188,对接源_01水果筐数!$C$5:$C$304,基础资料!$B$7))</f>
        <v/>
      </c>
      <c r="AE188" s="67" t="str">
        <f>IF(OR($B188="",基础资料!$B$8=""),"",-SUMIFS(对接源_01水果筐数!$D$5:$D$304,对接源_01水果筐数!$B$5:$B$304,$B188,对接源_01水果筐数!$C$5:$C$304,基础资料!$B$8))</f>
        <v/>
      </c>
      <c r="AF188" s="25" t="str">
        <f>IF(OR($B188="",基础资料!$B$4=""),"",SUMIFS(对接源_01水果筐数!$E$5:$E$304,对接源_01水果筐数!$B$5:$B$304,$B188,对接源_01水果筐数!$C$5:$C$304,基础资料!$B$4))</f>
        <v/>
      </c>
      <c r="AG188" s="25" t="str">
        <f>IF(OR($B188="",基础资料!$B$5=""),"",SUMIFS(对接源_01水果筐数!$E$5:$E$304,对接源_01水果筐数!$B$5:$B$304,$B188,对接源_01水果筐数!$C$5:$C$304,基础资料!$B$5))</f>
        <v/>
      </c>
      <c r="AH188" s="25" t="str">
        <f>IF(OR($B188="",基础资料!$B$6=""),"",SUMIFS(对接源_01水果筐数!$E$5:$E$304,对接源_01水果筐数!$B$5:$B$304,$B188,对接源_01水果筐数!$C$5:$C$304,基础资料!$B$6))</f>
        <v/>
      </c>
      <c r="AI188" s="25" t="str">
        <f>IF(OR($B188="",基础资料!$B$7=""),"",SUMIFS(对接源_01水果筐数!$E$5:$E$304,对接源_01水果筐数!$B$5:$B$304,$B188,对接源_01水果筐数!$C$5:$C$304,基础资料!$B$7))</f>
        <v/>
      </c>
      <c r="AJ188" s="25" t="str">
        <f>IF(OR($B188="",基础资料!$B$8=""),"",SUMIFS(对接源_01水果筐数!$E$5:$E$304,对接源_01水果筐数!$B$5:$B$304,$B188,对接源_01水果筐数!$C$5:$C$304,基础资料!$B$8))</f>
        <v/>
      </c>
      <c r="AK188" s="25" t="str">
        <f>IF(OR($B188="",基础资料!$B$4=""),"",SUMIFS(对接源_01水果筐数!$F$5:$F$304,对接源_01水果筐数!$B$5:$B$304,$B188,对接源_01水果筐数!$C$5:$C$304,基础资料!$B$4))</f>
        <v/>
      </c>
      <c r="AL188" s="25" t="str">
        <f>IF(OR($B188="",基础资料!$B$5=""),"",SUMIFS(对接源_01水果筐数!$F$5:$F$304,对接源_01水果筐数!$B$5:$B$304,$B188,对接源_01水果筐数!$C$5:$C$304,基础资料!$B$5))</f>
        <v/>
      </c>
      <c r="AM188" s="25" t="str">
        <f>IF(OR($B188="",基础资料!$B$6=""),"",SUMIFS(对接源_01水果筐数!$F$5:$F$304,对接源_01水果筐数!$B$5:$B$304,$B188,对接源_01水果筐数!$C$5:$C$304,基础资料!$B$6))</f>
        <v/>
      </c>
      <c r="AN188" s="25" t="str">
        <f>IF(OR($B188="",基础资料!$B$7=""),"",SUMIFS(对接源_01水果筐数!$F$5:$F$304,对接源_01水果筐数!$B$5:$B$304,$B188,对接源_01水果筐数!$C$5:$C$304,基础资料!$B$7))</f>
        <v/>
      </c>
      <c r="AO188" s="25" t="str">
        <f>IF(OR($B188="",基础资料!$B$8=""),"",SUMIFS(对接源_01水果筐数!$F$5:$F$304,对接源_01水果筐数!$B$5:$B$304,$B188,对接源_01水果筐数!$C$5:$C$304,基础资料!$B$8))</f>
        <v/>
      </c>
      <c r="AP188" s="25" t="str">
        <f t="shared" si="29"/>
        <v/>
      </c>
      <c r="AQ188" s="25" t="str">
        <f t="shared" si="30"/>
        <v/>
      </c>
      <c r="AR188" s="25" t="str">
        <f t="shared" si="31"/>
        <v/>
      </c>
      <c r="AS188" s="25" t="str">
        <f t="shared" si="32"/>
        <v/>
      </c>
      <c r="AT188" s="25" t="str">
        <f t="shared" si="33"/>
        <v/>
      </c>
      <c r="AU188" s="25" t="str">
        <f t="shared" si="34"/>
        <v/>
      </c>
      <c r="AV188" s="24" t="str">
        <f t="shared" si="35"/>
        <v/>
      </c>
      <c r="AW188" s="72"/>
    </row>
    <row r="189" spans="1:49">
      <c r="A189" s="22" t="str">
        <f t="shared" si="24"/>
        <v/>
      </c>
      <c r="B189" s="24" t="str">
        <f>IFERROR(INDEX(_自动清单!$CC$4:$CC$253,ROW()-3),"")</f>
        <v/>
      </c>
      <c r="C189" s="25" t="str">
        <f>IF(OR($B189="",基础资料!$B$4=""),"",SUMIFS(周转筐出入库明细!$J$4:$J$2004,周转筐出入库明细!$C$4:$C$2004,$B189,周转筐出入库明细!$D$4:$D$2004,基础资料!$B$4,周转筐出入库明细!$B$4:$B$2004,"&gt;="&amp;$BC$1,周转筐出入库明细!$B$4:$B$2004,"&lt;="&amp;$BC$2))</f>
        <v/>
      </c>
      <c r="D189" s="25" t="str">
        <f>IF(OR($B189="",基础资料!$B$5=""),"",SUMIFS(周转筐出入库明细!$J$4:$J$2004,周转筐出入库明细!$C$4:$C$2004,$B189,周转筐出入库明细!$D$4:$D$2004,基础资料!$B$5,周转筐出入库明细!$B$4:$B$2004,"&gt;="&amp;$BC$1,周转筐出入库明细!$B$4:$B$2004,"&lt;="&amp;$BC$2))</f>
        <v/>
      </c>
      <c r="E189" s="25" t="str">
        <f>IF(OR($B189="",基础资料!$B$6=""),"",SUMIFS(周转筐出入库明细!$J$4:$J$2004,周转筐出入库明细!$C$4:$C$2004,$B189,周转筐出入库明细!$D$4:$D$2004,基础资料!$B$6,周转筐出入库明细!$B$4:$B$2004,"&gt;="&amp;$BC$1,周转筐出入库明细!$B$4:$B$2004,"&lt;="&amp;$BC$2))</f>
        <v/>
      </c>
      <c r="F189" s="25" t="str">
        <f>IF(OR($B189="",基础资料!$B$7=""),"",SUMIFS(周转筐出入库明细!$J$4:$J$2004,周转筐出入库明细!$C$4:$C$2004,$B189,周转筐出入库明细!$D$4:$D$2004,基础资料!$B$7,周转筐出入库明细!$B$4:$B$2004,"&gt;="&amp;$BC$1,周转筐出入库明细!$B$4:$B$2004,"&lt;="&amp;$BC$2))</f>
        <v/>
      </c>
      <c r="G189" s="25" t="str">
        <f>IF(OR($B189="",基础资料!$B$8=""),"",SUMIFS(周转筐出入库明细!$J$4:$J$2004,周转筐出入库明细!$C$4:$C$2004,$B189,周转筐出入库明细!$D$4:$D$2004,基础资料!$B$8,周转筐出入库明细!$B$4:$B$2004,"&gt;="&amp;$BC$1,周转筐出入库明细!$B$4:$B$2004,"&lt;="&amp;$BC$2))</f>
        <v/>
      </c>
      <c r="H189" s="25" t="str">
        <f t="shared" si="25"/>
        <v/>
      </c>
      <c r="I189" s="67" t="str">
        <f>IF(OR($B189="",基础资料!$B$4=""),"",-SUMIFS(周转筐出入库明细!$I$4:$I$2004,周转筐出入库明细!$C$4:$C$2004,$B189,周转筐出入库明细!$D$4:$D$2004,基础资料!$B$4,周转筐出入库明细!$B$4:$B$2004,"&gt;="&amp;$BC$1,周转筐出入库明细!$B$4:$B$2004,"&lt;="&amp;$BC$2))</f>
        <v/>
      </c>
      <c r="J189" s="67" t="str">
        <f>IF(OR($B189="",基础资料!$B$5=""),"",-SUMIFS(周转筐出入库明细!$I$4:$I$2004,周转筐出入库明细!$C$4:$C$2004,$B189,周转筐出入库明细!$D$4:$D$2004,基础资料!$B$5,周转筐出入库明细!$B$4:$B$2004,"&gt;="&amp;$BC$1,周转筐出入库明细!$B$4:$B$2004,"&lt;="&amp;$BC$2))</f>
        <v/>
      </c>
      <c r="K189" s="67" t="str">
        <f>IF(OR($B189="",基础资料!$B$6=""),"",-SUMIFS(周转筐出入库明细!$I$4:$I$2004,周转筐出入库明细!$C$4:$C$2004,$B189,周转筐出入库明细!$D$4:$D$2004,基础资料!$B$6,周转筐出入库明细!$B$4:$B$2004,"&gt;="&amp;$BC$1,周转筐出入库明细!$B$4:$B$2004,"&lt;="&amp;$BC$2))</f>
        <v/>
      </c>
      <c r="L189" s="67" t="str">
        <f>IF(OR($B189="",基础资料!$B$7=""),"",-SUMIFS(周转筐出入库明细!$I$4:$I$2004,周转筐出入库明细!$C$4:$C$2004,$B189,周转筐出入库明细!$D$4:$D$2004,基础资料!$B$7,周转筐出入库明细!$B$4:$B$2004,"&gt;="&amp;$BC$1,周转筐出入库明细!$B$4:$B$2004,"&lt;="&amp;$BC$2))</f>
        <v/>
      </c>
      <c r="M189" s="67" t="str">
        <f>IF(OR($B189="",基础资料!$B$8=""),"",-SUMIFS(周转筐出入库明细!$I$4:$I$2004,周转筐出入库明细!$C$4:$C$2004,$B189,周转筐出入库明细!$D$4:$D$2004,基础资料!$B$8,周转筐出入库明细!$B$4:$B$2004,"&gt;="&amp;$BC$1,周转筐出入库明细!$B$4:$B$2004,"&lt;="&amp;$BC$2))</f>
        <v/>
      </c>
      <c r="N189" s="67" t="str">
        <f t="shared" si="26"/>
        <v/>
      </c>
      <c r="O189" s="25" t="str">
        <f>IF(OR($B189="",基础资料!$B$4=""),"",SUMIFS(周转筐出入库明细!$H$4:$H$2004,周转筐出入库明细!$C$4:$C$2004,$B189,周转筐出入库明细!$D$4:$D$2004,基础资料!$B$4,周转筐出入库明细!$F$4:$F$2004,"采购入库",周转筐出入库明细!$B$4:$B$2004,"&gt;="&amp;$BC$1,周转筐出入库明细!$B$4:$B$2004,"&lt;="&amp;$BC$2))</f>
        <v/>
      </c>
      <c r="P189" s="25" t="str">
        <f>IF(OR($B189="",基础资料!$B$5=""),"",SUMIFS(周转筐出入库明细!$H$4:$H$2004,周转筐出入库明细!$C$4:$C$2004,$B189,周转筐出入库明细!$D$4:$D$2004,基础资料!$B$5,周转筐出入库明细!$F$4:$F$2004,"采购入库",周转筐出入库明细!$B$4:$B$2004,"&gt;="&amp;$BC$1,周转筐出入库明细!$B$4:$B$2004,"&lt;="&amp;$BC$2))</f>
        <v/>
      </c>
      <c r="Q189" s="25" t="str">
        <f>IF(OR($B189="",基础资料!$B$6=""),"",SUMIFS(周转筐出入库明细!$H$4:$H$2004,周转筐出入库明细!$C$4:$C$2004,$B189,周转筐出入库明细!$D$4:$D$2004,基础资料!$B$6,周转筐出入库明细!$F$4:$F$2004,"采购入库",周转筐出入库明细!$B$4:$B$2004,"&gt;="&amp;$BC$1,周转筐出入库明细!$B$4:$B$2004,"&lt;="&amp;$BC$2))</f>
        <v/>
      </c>
      <c r="R189" s="25" t="str">
        <f>IF(OR($B189="",基础资料!$B$7=""),"",SUMIFS(周转筐出入库明细!$H$4:$H$2004,周转筐出入库明细!$C$4:$C$2004,$B189,周转筐出入库明细!$D$4:$D$2004,基础资料!$B$7,周转筐出入库明细!$F$4:$F$2004,"采购入库",周转筐出入库明细!$B$4:$B$2004,"&gt;="&amp;$BC$1,周转筐出入库明细!$B$4:$B$2004,"&lt;="&amp;$BC$2))</f>
        <v/>
      </c>
      <c r="S189" s="25" t="str">
        <f>IF(OR($B189="",基础资料!$B$8=""),"",SUMIFS(周转筐出入库明细!$H$4:$H$2004,周转筐出入库明细!$C$4:$C$2004,$B189,周转筐出入库明细!$D$4:$D$2004,基础资料!$B$8,周转筐出入库明细!$F$4:$F$2004,"采购入库",周转筐出入库明细!$B$4:$B$2004,"&gt;="&amp;$BC$1,周转筐出入库明细!$B$4:$B$2004,"&lt;="&amp;$BC$2))</f>
        <v/>
      </c>
      <c r="T189" s="25" t="str">
        <f t="shared" si="27"/>
        <v/>
      </c>
      <c r="U189" s="25" t="str">
        <f>IF(OR($B189="",基础资料!$B$4=""),"",SUMIFS(周转筐出入库明细!$K$4:$K$2004,周转筐出入库明细!$C$4:$C$2004,$B189,周转筐出入库明细!$D$4:$D$2004,基础资料!$B$4,周转筐出入库明细!$B$4:$B$2004,"&gt;="&amp;$BC$1,周转筐出入库明细!$B$4:$B$2004,"&lt;="&amp;$BC$2))</f>
        <v/>
      </c>
      <c r="V189" s="25" t="str">
        <f>IF(OR($B189="",基础资料!$B$5=""),"",SUMIFS(周转筐出入库明细!$K$4:$K$2004,周转筐出入库明细!$C$4:$C$2004,$B189,周转筐出入库明细!$D$4:$D$2004,基础资料!$B$5,周转筐出入库明细!$B$4:$B$2004,"&gt;="&amp;$BC$1,周转筐出入库明细!$B$4:$B$2004,"&lt;="&amp;$BC$2))</f>
        <v/>
      </c>
      <c r="W189" s="25" t="str">
        <f>IF(OR($B189="",基础资料!$B$6=""),"",SUMIFS(周转筐出入库明细!$K$4:$K$2004,周转筐出入库明细!$C$4:$C$2004,$B189,周转筐出入库明细!$D$4:$D$2004,基础资料!$B$6,周转筐出入库明细!$B$4:$B$2004,"&gt;="&amp;$BC$1,周转筐出入库明细!$B$4:$B$2004,"&lt;="&amp;$BC$2))</f>
        <v/>
      </c>
      <c r="X189" s="25" t="str">
        <f>IF(OR($B189="",基础资料!$B$7=""),"",SUMIFS(周转筐出入库明细!$K$4:$K$2004,周转筐出入库明细!$C$4:$C$2004,$B189,周转筐出入库明细!$D$4:$D$2004,基础资料!$B$7,周转筐出入库明细!$B$4:$B$2004,"&gt;="&amp;$BC$1,周转筐出入库明细!$B$4:$B$2004,"&lt;="&amp;$BC$2))</f>
        <v/>
      </c>
      <c r="Y189" s="25" t="str">
        <f>IF(OR($B189="",基础资料!$B$8=""),"",SUMIFS(周转筐出入库明细!$K$4:$K$2004,周转筐出入库明细!$C$4:$C$2004,$B189,周转筐出入库明细!$D$4:$D$2004,基础资料!$B$8,周转筐出入库明细!$B$4:$B$2004,"&gt;="&amp;$BC$1,周转筐出入库明细!$B$4:$B$2004,"&lt;="&amp;$BC$2))</f>
        <v/>
      </c>
      <c r="Z189" s="25" t="str">
        <f t="shared" si="28"/>
        <v/>
      </c>
      <c r="AA189" s="67" t="str">
        <f>IF(OR($B189="",基础资料!$B$4=""),"",-SUMIFS(对接源_01水果筐数!$D$5:$D$304,对接源_01水果筐数!$B$5:$B$304,$B189,对接源_01水果筐数!$C$5:$C$304,基础资料!$B$4))</f>
        <v/>
      </c>
      <c r="AB189" s="67" t="str">
        <f>IF(OR($B189="",基础资料!$B$5=""),"",-SUMIFS(对接源_01水果筐数!$D$5:$D$304,对接源_01水果筐数!$B$5:$B$304,$B189,对接源_01水果筐数!$C$5:$C$304,基础资料!$B$5))</f>
        <v/>
      </c>
      <c r="AC189" s="67" t="str">
        <f>IF(OR($B189="",基础资料!$B$6=""),"",-SUMIFS(对接源_01水果筐数!$D$5:$D$304,对接源_01水果筐数!$B$5:$B$304,$B189,对接源_01水果筐数!$C$5:$C$304,基础资料!$B$6))</f>
        <v/>
      </c>
      <c r="AD189" s="67" t="str">
        <f>IF(OR($B189="",基础资料!$B$7=""),"",-SUMIFS(对接源_01水果筐数!$D$5:$D$304,对接源_01水果筐数!$B$5:$B$304,$B189,对接源_01水果筐数!$C$5:$C$304,基础资料!$B$7))</f>
        <v/>
      </c>
      <c r="AE189" s="67" t="str">
        <f>IF(OR($B189="",基础资料!$B$8=""),"",-SUMIFS(对接源_01水果筐数!$D$5:$D$304,对接源_01水果筐数!$B$5:$B$304,$B189,对接源_01水果筐数!$C$5:$C$304,基础资料!$B$8))</f>
        <v/>
      </c>
      <c r="AF189" s="25" t="str">
        <f>IF(OR($B189="",基础资料!$B$4=""),"",SUMIFS(对接源_01水果筐数!$E$5:$E$304,对接源_01水果筐数!$B$5:$B$304,$B189,对接源_01水果筐数!$C$5:$C$304,基础资料!$B$4))</f>
        <v/>
      </c>
      <c r="AG189" s="25" t="str">
        <f>IF(OR($B189="",基础资料!$B$5=""),"",SUMIFS(对接源_01水果筐数!$E$5:$E$304,对接源_01水果筐数!$B$5:$B$304,$B189,对接源_01水果筐数!$C$5:$C$304,基础资料!$B$5))</f>
        <v/>
      </c>
      <c r="AH189" s="25" t="str">
        <f>IF(OR($B189="",基础资料!$B$6=""),"",SUMIFS(对接源_01水果筐数!$E$5:$E$304,对接源_01水果筐数!$B$5:$B$304,$B189,对接源_01水果筐数!$C$5:$C$304,基础资料!$B$6))</f>
        <v/>
      </c>
      <c r="AI189" s="25" t="str">
        <f>IF(OR($B189="",基础资料!$B$7=""),"",SUMIFS(对接源_01水果筐数!$E$5:$E$304,对接源_01水果筐数!$B$5:$B$304,$B189,对接源_01水果筐数!$C$5:$C$304,基础资料!$B$7))</f>
        <v/>
      </c>
      <c r="AJ189" s="25" t="str">
        <f>IF(OR($B189="",基础资料!$B$8=""),"",SUMIFS(对接源_01水果筐数!$E$5:$E$304,对接源_01水果筐数!$B$5:$B$304,$B189,对接源_01水果筐数!$C$5:$C$304,基础资料!$B$8))</f>
        <v/>
      </c>
      <c r="AK189" s="25" t="str">
        <f>IF(OR($B189="",基础资料!$B$4=""),"",SUMIFS(对接源_01水果筐数!$F$5:$F$304,对接源_01水果筐数!$B$5:$B$304,$B189,对接源_01水果筐数!$C$5:$C$304,基础资料!$B$4))</f>
        <v/>
      </c>
      <c r="AL189" s="25" t="str">
        <f>IF(OR($B189="",基础资料!$B$5=""),"",SUMIFS(对接源_01水果筐数!$F$5:$F$304,对接源_01水果筐数!$B$5:$B$304,$B189,对接源_01水果筐数!$C$5:$C$304,基础资料!$B$5))</f>
        <v/>
      </c>
      <c r="AM189" s="25" t="str">
        <f>IF(OR($B189="",基础资料!$B$6=""),"",SUMIFS(对接源_01水果筐数!$F$5:$F$304,对接源_01水果筐数!$B$5:$B$304,$B189,对接源_01水果筐数!$C$5:$C$304,基础资料!$B$6))</f>
        <v/>
      </c>
      <c r="AN189" s="25" t="str">
        <f>IF(OR($B189="",基础资料!$B$7=""),"",SUMIFS(对接源_01水果筐数!$F$5:$F$304,对接源_01水果筐数!$B$5:$B$304,$B189,对接源_01水果筐数!$C$5:$C$304,基础资料!$B$7))</f>
        <v/>
      </c>
      <c r="AO189" s="25" t="str">
        <f>IF(OR($B189="",基础资料!$B$8=""),"",SUMIFS(对接源_01水果筐数!$F$5:$F$304,对接源_01水果筐数!$B$5:$B$304,$B189,对接源_01水果筐数!$C$5:$C$304,基础资料!$B$8))</f>
        <v/>
      </c>
      <c r="AP189" s="25" t="str">
        <f t="shared" si="29"/>
        <v/>
      </c>
      <c r="AQ189" s="25" t="str">
        <f t="shared" si="30"/>
        <v/>
      </c>
      <c r="AR189" s="25" t="str">
        <f t="shared" si="31"/>
        <v/>
      </c>
      <c r="AS189" s="25" t="str">
        <f t="shared" si="32"/>
        <v/>
      </c>
      <c r="AT189" s="25" t="str">
        <f t="shared" si="33"/>
        <v/>
      </c>
      <c r="AU189" s="25" t="str">
        <f t="shared" si="34"/>
        <v/>
      </c>
      <c r="AV189" s="24" t="str">
        <f t="shared" si="35"/>
        <v/>
      </c>
      <c r="AW189" s="72"/>
    </row>
    <row r="190" spans="1:49">
      <c r="A190" s="22" t="str">
        <f t="shared" si="24"/>
        <v/>
      </c>
      <c r="B190" s="24" t="str">
        <f>IFERROR(INDEX(_自动清单!$CC$4:$CC$253,ROW()-3),"")</f>
        <v/>
      </c>
      <c r="C190" s="25" t="str">
        <f>IF(OR($B190="",基础资料!$B$4=""),"",SUMIFS(周转筐出入库明细!$J$4:$J$2004,周转筐出入库明细!$C$4:$C$2004,$B190,周转筐出入库明细!$D$4:$D$2004,基础资料!$B$4,周转筐出入库明细!$B$4:$B$2004,"&gt;="&amp;$BC$1,周转筐出入库明细!$B$4:$B$2004,"&lt;="&amp;$BC$2))</f>
        <v/>
      </c>
      <c r="D190" s="25" t="str">
        <f>IF(OR($B190="",基础资料!$B$5=""),"",SUMIFS(周转筐出入库明细!$J$4:$J$2004,周转筐出入库明细!$C$4:$C$2004,$B190,周转筐出入库明细!$D$4:$D$2004,基础资料!$B$5,周转筐出入库明细!$B$4:$B$2004,"&gt;="&amp;$BC$1,周转筐出入库明细!$B$4:$B$2004,"&lt;="&amp;$BC$2))</f>
        <v/>
      </c>
      <c r="E190" s="25" t="str">
        <f>IF(OR($B190="",基础资料!$B$6=""),"",SUMIFS(周转筐出入库明细!$J$4:$J$2004,周转筐出入库明细!$C$4:$C$2004,$B190,周转筐出入库明细!$D$4:$D$2004,基础资料!$B$6,周转筐出入库明细!$B$4:$B$2004,"&gt;="&amp;$BC$1,周转筐出入库明细!$B$4:$B$2004,"&lt;="&amp;$BC$2))</f>
        <v/>
      </c>
      <c r="F190" s="25" t="str">
        <f>IF(OR($B190="",基础资料!$B$7=""),"",SUMIFS(周转筐出入库明细!$J$4:$J$2004,周转筐出入库明细!$C$4:$C$2004,$B190,周转筐出入库明细!$D$4:$D$2004,基础资料!$B$7,周转筐出入库明细!$B$4:$B$2004,"&gt;="&amp;$BC$1,周转筐出入库明细!$B$4:$B$2004,"&lt;="&amp;$BC$2))</f>
        <v/>
      </c>
      <c r="G190" s="25" t="str">
        <f>IF(OR($B190="",基础资料!$B$8=""),"",SUMIFS(周转筐出入库明细!$J$4:$J$2004,周转筐出入库明细!$C$4:$C$2004,$B190,周转筐出入库明细!$D$4:$D$2004,基础资料!$B$8,周转筐出入库明细!$B$4:$B$2004,"&gt;="&amp;$BC$1,周转筐出入库明细!$B$4:$B$2004,"&lt;="&amp;$BC$2))</f>
        <v/>
      </c>
      <c r="H190" s="25" t="str">
        <f t="shared" si="25"/>
        <v/>
      </c>
      <c r="I190" s="67" t="str">
        <f>IF(OR($B190="",基础资料!$B$4=""),"",-SUMIFS(周转筐出入库明细!$I$4:$I$2004,周转筐出入库明细!$C$4:$C$2004,$B190,周转筐出入库明细!$D$4:$D$2004,基础资料!$B$4,周转筐出入库明细!$B$4:$B$2004,"&gt;="&amp;$BC$1,周转筐出入库明细!$B$4:$B$2004,"&lt;="&amp;$BC$2))</f>
        <v/>
      </c>
      <c r="J190" s="67" t="str">
        <f>IF(OR($B190="",基础资料!$B$5=""),"",-SUMIFS(周转筐出入库明细!$I$4:$I$2004,周转筐出入库明细!$C$4:$C$2004,$B190,周转筐出入库明细!$D$4:$D$2004,基础资料!$B$5,周转筐出入库明细!$B$4:$B$2004,"&gt;="&amp;$BC$1,周转筐出入库明细!$B$4:$B$2004,"&lt;="&amp;$BC$2))</f>
        <v/>
      </c>
      <c r="K190" s="67" t="str">
        <f>IF(OR($B190="",基础资料!$B$6=""),"",-SUMIFS(周转筐出入库明细!$I$4:$I$2004,周转筐出入库明细!$C$4:$C$2004,$B190,周转筐出入库明细!$D$4:$D$2004,基础资料!$B$6,周转筐出入库明细!$B$4:$B$2004,"&gt;="&amp;$BC$1,周转筐出入库明细!$B$4:$B$2004,"&lt;="&amp;$BC$2))</f>
        <v/>
      </c>
      <c r="L190" s="67" t="str">
        <f>IF(OR($B190="",基础资料!$B$7=""),"",-SUMIFS(周转筐出入库明细!$I$4:$I$2004,周转筐出入库明细!$C$4:$C$2004,$B190,周转筐出入库明细!$D$4:$D$2004,基础资料!$B$7,周转筐出入库明细!$B$4:$B$2004,"&gt;="&amp;$BC$1,周转筐出入库明细!$B$4:$B$2004,"&lt;="&amp;$BC$2))</f>
        <v/>
      </c>
      <c r="M190" s="67" t="str">
        <f>IF(OR($B190="",基础资料!$B$8=""),"",-SUMIFS(周转筐出入库明细!$I$4:$I$2004,周转筐出入库明细!$C$4:$C$2004,$B190,周转筐出入库明细!$D$4:$D$2004,基础资料!$B$8,周转筐出入库明细!$B$4:$B$2004,"&gt;="&amp;$BC$1,周转筐出入库明细!$B$4:$B$2004,"&lt;="&amp;$BC$2))</f>
        <v/>
      </c>
      <c r="N190" s="67" t="str">
        <f t="shared" si="26"/>
        <v/>
      </c>
      <c r="O190" s="25" t="str">
        <f>IF(OR($B190="",基础资料!$B$4=""),"",SUMIFS(周转筐出入库明细!$H$4:$H$2004,周转筐出入库明细!$C$4:$C$2004,$B190,周转筐出入库明细!$D$4:$D$2004,基础资料!$B$4,周转筐出入库明细!$F$4:$F$2004,"采购入库",周转筐出入库明细!$B$4:$B$2004,"&gt;="&amp;$BC$1,周转筐出入库明细!$B$4:$B$2004,"&lt;="&amp;$BC$2))</f>
        <v/>
      </c>
      <c r="P190" s="25" t="str">
        <f>IF(OR($B190="",基础资料!$B$5=""),"",SUMIFS(周转筐出入库明细!$H$4:$H$2004,周转筐出入库明细!$C$4:$C$2004,$B190,周转筐出入库明细!$D$4:$D$2004,基础资料!$B$5,周转筐出入库明细!$F$4:$F$2004,"采购入库",周转筐出入库明细!$B$4:$B$2004,"&gt;="&amp;$BC$1,周转筐出入库明细!$B$4:$B$2004,"&lt;="&amp;$BC$2))</f>
        <v/>
      </c>
      <c r="Q190" s="25" t="str">
        <f>IF(OR($B190="",基础资料!$B$6=""),"",SUMIFS(周转筐出入库明细!$H$4:$H$2004,周转筐出入库明细!$C$4:$C$2004,$B190,周转筐出入库明细!$D$4:$D$2004,基础资料!$B$6,周转筐出入库明细!$F$4:$F$2004,"采购入库",周转筐出入库明细!$B$4:$B$2004,"&gt;="&amp;$BC$1,周转筐出入库明细!$B$4:$B$2004,"&lt;="&amp;$BC$2))</f>
        <v/>
      </c>
      <c r="R190" s="25" t="str">
        <f>IF(OR($B190="",基础资料!$B$7=""),"",SUMIFS(周转筐出入库明细!$H$4:$H$2004,周转筐出入库明细!$C$4:$C$2004,$B190,周转筐出入库明细!$D$4:$D$2004,基础资料!$B$7,周转筐出入库明细!$F$4:$F$2004,"采购入库",周转筐出入库明细!$B$4:$B$2004,"&gt;="&amp;$BC$1,周转筐出入库明细!$B$4:$B$2004,"&lt;="&amp;$BC$2))</f>
        <v/>
      </c>
      <c r="S190" s="25" t="str">
        <f>IF(OR($B190="",基础资料!$B$8=""),"",SUMIFS(周转筐出入库明细!$H$4:$H$2004,周转筐出入库明细!$C$4:$C$2004,$B190,周转筐出入库明细!$D$4:$D$2004,基础资料!$B$8,周转筐出入库明细!$F$4:$F$2004,"采购入库",周转筐出入库明细!$B$4:$B$2004,"&gt;="&amp;$BC$1,周转筐出入库明细!$B$4:$B$2004,"&lt;="&amp;$BC$2))</f>
        <v/>
      </c>
      <c r="T190" s="25" t="str">
        <f t="shared" si="27"/>
        <v/>
      </c>
      <c r="U190" s="25" t="str">
        <f>IF(OR($B190="",基础资料!$B$4=""),"",SUMIFS(周转筐出入库明细!$K$4:$K$2004,周转筐出入库明细!$C$4:$C$2004,$B190,周转筐出入库明细!$D$4:$D$2004,基础资料!$B$4,周转筐出入库明细!$B$4:$B$2004,"&gt;="&amp;$BC$1,周转筐出入库明细!$B$4:$B$2004,"&lt;="&amp;$BC$2))</f>
        <v/>
      </c>
      <c r="V190" s="25" t="str">
        <f>IF(OR($B190="",基础资料!$B$5=""),"",SUMIFS(周转筐出入库明细!$K$4:$K$2004,周转筐出入库明细!$C$4:$C$2004,$B190,周转筐出入库明细!$D$4:$D$2004,基础资料!$B$5,周转筐出入库明细!$B$4:$B$2004,"&gt;="&amp;$BC$1,周转筐出入库明细!$B$4:$B$2004,"&lt;="&amp;$BC$2))</f>
        <v/>
      </c>
      <c r="W190" s="25" t="str">
        <f>IF(OR($B190="",基础资料!$B$6=""),"",SUMIFS(周转筐出入库明细!$K$4:$K$2004,周转筐出入库明细!$C$4:$C$2004,$B190,周转筐出入库明细!$D$4:$D$2004,基础资料!$B$6,周转筐出入库明细!$B$4:$B$2004,"&gt;="&amp;$BC$1,周转筐出入库明细!$B$4:$B$2004,"&lt;="&amp;$BC$2))</f>
        <v/>
      </c>
      <c r="X190" s="25" t="str">
        <f>IF(OR($B190="",基础资料!$B$7=""),"",SUMIFS(周转筐出入库明细!$K$4:$K$2004,周转筐出入库明细!$C$4:$C$2004,$B190,周转筐出入库明细!$D$4:$D$2004,基础资料!$B$7,周转筐出入库明细!$B$4:$B$2004,"&gt;="&amp;$BC$1,周转筐出入库明细!$B$4:$B$2004,"&lt;="&amp;$BC$2))</f>
        <v/>
      </c>
      <c r="Y190" s="25" t="str">
        <f>IF(OR($B190="",基础资料!$B$8=""),"",SUMIFS(周转筐出入库明细!$K$4:$K$2004,周转筐出入库明细!$C$4:$C$2004,$B190,周转筐出入库明细!$D$4:$D$2004,基础资料!$B$8,周转筐出入库明细!$B$4:$B$2004,"&gt;="&amp;$BC$1,周转筐出入库明细!$B$4:$B$2004,"&lt;="&amp;$BC$2))</f>
        <v/>
      </c>
      <c r="Z190" s="25" t="str">
        <f t="shared" si="28"/>
        <v/>
      </c>
      <c r="AA190" s="67" t="str">
        <f>IF(OR($B190="",基础资料!$B$4=""),"",-SUMIFS(对接源_01水果筐数!$D$5:$D$304,对接源_01水果筐数!$B$5:$B$304,$B190,对接源_01水果筐数!$C$5:$C$304,基础资料!$B$4))</f>
        <v/>
      </c>
      <c r="AB190" s="67" t="str">
        <f>IF(OR($B190="",基础资料!$B$5=""),"",-SUMIFS(对接源_01水果筐数!$D$5:$D$304,对接源_01水果筐数!$B$5:$B$304,$B190,对接源_01水果筐数!$C$5:$C$304,基础资料!$B$5))</f>
        <v/>
      </c>
      <c r="AC190" s="67" t="str">
        <f>IF(OR($B190="",基础资料!$B$6=""),"",-SUMIFS(对接源_01水果筐数!$D$5:$D$304,对接源_01水果筐数!$B$5:$B$304,$B190,对接源_01水果筐数!$C$5:$C$304,基础资料!$B$6))</f>
        <v/>
      </c>
      <c r="AD190" s="67" t="str">
        <f>IF(OR($B190="",基础资料!$B$7=""),"",-SUMIFS(对接源_01水果筐数!$D$5:$D$304,对接源_01水果筐数!$B$5:$B$304,$B190,对接源_01水果筐数!$C$5:$C$304,基础资料!$B$7))</f>
        <v/>
      </c>
      <c r="AE190" s="67" t="str">
        <f>IF(OR($B190="",基础资料!$B$8=""),"",-SUMIFS(对接源_01水果筐数!$D$5:$D$304,对接源_01水果筐数!$B$5:$B$304,$B190,对接源_01水果筐数!$C$5:$C$304,基础资料!$B$8))</f>
        <v/>
      </c>
      <c r="AF190" s="25" t="str">
        <f>IF(OR($B190="",基础资料!$B$4=""),"",SUMIFS(对接源_01水果筐数!$E$5:$E$304,对接源_01水果筐数!$B$5:$B$304,$B190,对接源_01水果筐数!$C$5:$C$304,基础资料!$B$4))</f>
        <v/>
      </c>
      <c r="AG190" s="25" t="str">
        <f>IF(OR($B190="",基础资料!$B$5=""),"",SUMIFS(对接源_01水果筐数!$E$5:$E$304,对接源_01水果筐数!$B$5:$B$304,$B190,对接源_01水果筐数!$C$5:$C$304,基础资料!$B$5))</f>
        <v/>
      </c>
      <c r="AH190" s="25" t="str">
        <f>IF(OR($B190="",基础资料!$B$6=""),"",SUMIFS(对接源_01水果筐数!$E$5:$E$304,对接源_01水果筐数!$B$5:$B$304,$B190,对接源_01水果筐数!$C$5:$C$304,基础资料!$B$6))</f>
        <v/>
      </c>
      <c r="AI190" s="25" t="str">
        <f>IF(OR($B190="",基础资料!$B$7=""),"",SUMIFS(对接源_01水果筐数!$E$5:$E$304,对接源_01水果筐数!$B$5:$B$304,$B190,对接源_01水果筐数!$C$5:$C$304,基础资料!$B$7))</f>
        <v/>
      </c>
      <c r="AJ190" s="25" t="str">
        <f>IF(OR($B190="",基础资料!$B$8=""),"",SUMIFS(对接源_01水果筐数!$E$5:$E$304,对接源_01水果筐数!$B$5:$B$304,$B190,对接源_01水果筐数!$C$5:$C$304,基础资料!$B$8))</f>
        <v/>
      </c>
      <c r="AK190" s="25" t="str">
        <f>IF(OR($B190="",基础资料!$B$4=""),"",SUMIFS(对接源_01水果筐数!$F$5:$F$304,对接源_01水果筐数!$B$5:$B$304,$B190,对接源_01水果筐数!$C$5:$C$304,基础资料!$B$4))</f>
        <v/>
      </c>
      <c r="AL190" s="25" t="str">
        <f>IF(OR($B190="",基础资料!$B$5=""),"",SUMIFS(对接源_01水果筐数!$F$5:$F$304,对接源_01水果筐数!$B$5:$B$304,$B190,对接源_01水果筐数!$C$5:$C$304,基础资料!$B$5))</f>
        <v/>
      </c>
      <c r="AM190" s="25" t="str">
        <f>IF(OR($B190="",基础资料!$B$6=""),"",SUMIFS(对接源_01水果筐数!$F$5:$F$304,对接源_01水果筐数!$B$5:$B$304,$B190,对接源_01水果筐数!$C$5:$C$304,基础资料!$B$6))</f>
        <v/>
      </c>
      <c r="AN190" s="25" t="str">
        <f>IF(OR($B190="",基础资料!$B$7=""),"",SUMIFS(对接源_01水果筐数!$F$5:$F$304,对接源_01水果筐数!$B$5:$B$304,$B190,对接源_01水果筐数!$C$5:$C$304,基础资料!$B$7))</f>
        <v/>
      </c>
      <c r="AO190" s="25" t="str">
        <f>IF(OR($B190="",基础资料!$B$8=""),"",SUMIFS(对接源_01水果筐数!$F$5:$F$304,对接源_01水果筐数!$B$5:$B$304,$B190,对接源_01水果筐数!$C$5:$C$304,基础资料!$B$8))</f>
        <v/>
      </c>
      <c r="AP190" s="25" t="str">
        <f t="shared" si="29"/>
        <v/>
      </c>
      <c r="AQ190" s="25" t="str">
        <f t="shared" si="30"/>
        <v/>
      </c>
      <c r="AR190" s="25" t="str">
        <f t="shared" si="31"/>
        <v/>
      </c>
      <c r="AS190" s="25" t="str">
        <f t="shared" si="32"/>
        <v/>
      </c>
      <c r="AT190" s="25" t="str">
        <f t="shared" si="33"/>
        <v/>
      </c>
      <c r="AU190" s="25" t="str">
        <f t="shared" si="34"/>
        <v/>
      </c>
      <c r="AV190" s="24" t="str">
        <f t="shared" si="35"/>
        <v/>
      </c>
      <c r="AW190" s="72"/>
    </row>
    <row r="191" spans="1:49">
      <c r="A191" s="22" t="str">
        <f t="shared" si="24"/>
        <v/>
      </c>
      <c r="B191" s="24" t="str">
        <f>IFERROR(INDEX(_自动清单!$CC$4:$CC$253,ROW()-3),"")</f>
        <v/>
      </c>
      <c r="C191" s="25" t="str">
        <f>IF(OR($B191="",基础资料!$B$4=""),"",SUMIFS(周转筐出入库明细!$J$4:$J$2004,周转筐出入库明细!$C$4:$C$2004,$B191,周转筐出入库明细!$D$4:$D$2004,基础资料!$B$4,周转筐出入库明细!$B$4:$B$2004,"&gt;="&amp;$BC$1,周转筐出入库明细!$B$4:$B$2004,"&lt;="&amp;$BC$2))</f>
        <v/>
      </c>
      <c r="D191" s="25" t="str">
        <f>IF(OR($B191="",基础资料!$B$5=""),"",SUMIFS(周转筐出入库明细!$J$4:$J$2004,周转筐出入库明细!$C$4:$C$2004,$B191,周转筐出入库明细!$D$4:$D$2004,基础资料!$B$5,周转筐出入库明细!$B$4:$B$2004,"&gt;="&amp;$BC$1,周转筐出入库明细!$B$4:$B$2004,"&lt;="&amp;$BC$2))</f>
        <v/>
      </c>
      <c r="E191" s="25" t="str">
        <f>IF(OR($B191="",基础资料!$B$6=""),"",SUMIFS(周转筐出入库明细!$J$4:$J$2004,周转筐出入库明细!$C$4:$C$2004,$B191,周转筐出入库明细!$D$4:$D$2004,基础资料!$B$6,周转筐出入库明细!$B$4:$B$2004,"&gt;="&amp;$BC$1,周转筐出入库明细!$B$4:$B$2004,"&lt;="&amp;$BC$2))</f>
        <v/>
      </c>
      <c r="F191" s="25" t="str">
        <f>IF(OR($B191="",基础资料!$B$7=""),"",SUMIFS(周转筐出入库明细!$J$4:$J$2004,周转筐出入库明细!$C$4:$C$2004,$B191,周转筐出入库明细!$D$4:$D$2004,基础资料!$B$7,周转筐出入库明细!$B$4:$B$2004,"&gt;="&amp;$BC$1,周转筐出入库明细!$B$4:$B$2004,"&lt;="&amp;$BC$2))</f>
        <v/>
      </c>
      <c r="G191" s="25" t="str">
        <f>IF(OR($B191="",基础资料!$B$8=""),"",SUMIFS(周转筐出入库明细!$J$4:$J$2004,周转筐出入库明细!$C$4:$C$2004,$B191,周转筐出入库明细!$D$4:$D$2004,基础资料!$B$8,周转筐出入库明细!$B$4:$B$2004,"&gt;="&amp;$BC$1,周转筐出入库明细!$B$4:$B$2004,"&lt;="&amp;$BC$2))</f>
        <v/>
      </c>
      <c r="H191" s="25" t="str">
        <f t="shared" si="25"/>
        <v/>
      </c>
      <c r="I191" s="67" t="str">
        <f>IF(OR($B191="",基础资料!$B$4=""),"",-SUMIFS(周转筐出入库明细!$I$4:$I$2004,周转筐出入库明细!$C$4:$C$2004,$B191,周转筐出入库明细!$D$4:$D$2004,基础资料!$B$4,周转筐出入库明细!$B$4:$B$2004,"&gt;="&amp;$BC$1,周转筐出入库明细!$B$4:$B$2004,"&lt;="&amp;$BC$2))</f>
        <v/>
      </c>
      <c r="J191" s="67" t="str">
        <f>IF(OR($B191="",基础资料!$B$5=""),"",-SUMIFS(周转筐出入库明细!$I$4:$I$2004,周转筐出入库明细!$C$4:$C$2004,$B191,周转筐出入库明细!$D$4:$D$2004,基础资料!$B$5,周转筐出入库明细!$B$4:$B$2004,"&gt;="&amp;$BC$1,周转筐出入库明细!$B$4:$B$2004,"&lt;="&amp;$BC$2))</f>
        <v/>
      </c>
      <c r="K191" s="67" t="str">
        <f>IF(OR($B191="",基础资料!$B$6=""),"",-SUMIFS(周转筐出入库明细!$I$4:$I$2004,周转筐出入库明细!$C$4:$C$2004,$B191,周转筐出入库明细!$D$4:$D$2004,基础资料!$B$6,周转筐出入库明细!$B$4:$B$2004,"&gt;="&amp;$BC$1,周转筐出入库明细!$B$4:$B$2004,"&lt;="&amp;$BC$2))</f>
        <v/>
      </c>
      <c r="L191" s="67" t="str">
        <f>IF(OR($B191="",基础资料!$B$7=""),"",-SUMIFS(周转筐出入库明细!$I$4:$I$2004,周转筐出入库明细!$C$4:$C$2004,$B191,周转筐出入库明细!$D$4:$D$2004,基础资料!$B$7,周转筐出入库明细!$B$4:$B$2004,"&gt;="&amp;$BC$1,周转筐出入库明细!$B$4:$B$2004,"&lt;="&amp;$BC$2))</f>
        <v/>
      </c>
      <c r="M191" s="67" t="str">
        <f>IF(OR($B191="",基础资料!$B$8=""),"",-SUMIFS(周转筐出入库明细!$I$4:$I$2004,周转筐出入库明细!$C$4:$C$2004,$B191,周转筐出入库明细!$D$4:$D$2004,基础资料!$B$8,周转筐出入库明细!$B$4:$B$2004,"&gt;="&amp;$BC$1,周转筐出入库明细!$B$4:$B$2004,"&lt;="&amp;$BC$2))</f>
        <v/>
      </c>
      <c r="N191" s="67" t="str">
        <f t="shared" si="26"/>
        <v/>
      </c>
      <c r="O191" s="25" t="str">
        <f>IF(OR($B191="",基础资料!$B$4=""),"",SUMIFS(周转筐出入库明细!$H$4:$H$2004,周转筐出入库明细!$C$4:$C$2004,$B191,周转筐出入库明细!$D$4:$D$2004,基础资料!$B$4,周转筐出入库明细!$F$4:$F$2004,"采购入库",周转筐出入库明细!$B$4:$B$2004,"&gt;="&amp;$BC$1,周转筐出入库明细!$B$4:$B$2004,"&lt;="&amp;$BC$2))</f>
        <v/>
      </c>
      <c r="P191" s="25" t="str">
        <f>IF(OR($B191="",基础资料!$B$5=""),"",SUMIFS(周转筐出入库明细!$H$4:$H$2004,周转筐出入库明细!$C$4:$C$2004,$B191,周转筐出入库明细!$D$4:$D$2004,基础资料!$B$5,周转筐出入库明细!$F$4:$F$2004,"采购入库",周转筐出入库明细!$B$4:$B$2004,"&gt;="&amp;$BC$1,周转筐出入库明细!$B$4:$B$2004,"&lt;="&amp;$BC$2))</f>
        <v/>
      </c>
      <c r="Q191" s="25" t="str">
        <f>IF(OR($B191="",基础资料!$B$6=""),"",SUMIFS(周转筐出入库明细!$H$4:$H$2004,周转筐出入库明细!$C$4:$C$2004,$B191,周转筐出入库明细!$D$4:$D$2004,基础资料!$B$6,周转筐出入库明细!$F$4:$F$2004,"采购入库",周转筐出入库明细!$B$4:$B$2004,"&gt;="&amp;$BC$1,周转筐出入库明细!$B$4:$B$2004,"&lt;="&amp;$BC$2))</f>
        <v/>
      </c>
      <c r="R191" s="25" t="str">
        <f>IF(OR($B191="",基础资料!$B$7=""),"",SUMIFS(周转筐出入库明细!$H$4:$H$2004,周转筐出入库明细!$C$4:$C$2004,$B191,周转筐出入库明细!$D$4:$D$2004,基础资料!$B$7,周转筐出入库明细!$F$4:$F$2004,"采购入库",周转筐出入库明细!$B$4:$B$2004,"&gt;="&amp;$BC$1,周转筐出入库明细!$B$4:$B$2004,"&lt;="&amp;$BC$2))</f>
        <v/>
      </c>
      <c r="S191" s="25" t="str">
        <f>IF(OR($B191="",基础资料!$B$8=""),"",SUMIFS(周转筐出入库明细!$H$4:$H$2004,周转筐出入库明细!$C$4:$C$2004,$B191,周转筐出入库明细!$D$4:$D$2004,基础资料!$B$8,周转筐出入库明细!$F$4:$F$2004,"采购入库",周转筐出入库明细!$B$4:$B$2004,"&gt;="&amp;$BC$1,周转筐出入库明细!$B$4:$B$2004,"&lt;="&amp;$BC$2))</f>
        <v/>
      </c>
      <c r="T191" s="25" t="str">
        <f t="shared" si="27"/>
        <v/>
      </c>
      <c r="U191" s="25" t="str">
        <f>IF(OR($B191="",基础资料!$B$4=""),"",SUMIFS(周转筐出入库明细!$K$4:$K$2004,周转筐出入库明细!$C$4:$C$2004,$B191,周转筐出入库明细!$D$4:$D$2004,基础资料!$B$4,周转筐出入库明细!$B$4:$B$2004,"&gt;="&amp;$BC$1,周转筐出入库明细!$B$4:$B$2004,"&lt;="&amp;$BC$2))</f>
        <v/>
      </c>
      <c r="V191" s="25" t="str">
        <f>IF(OR($B191="",基础资料!$B$5=""),"",SUMIFS(周转筐出入库明细!$K$4:$K$2004,周转筐出入库明细!$C$4:$C$2004,$B191,周转筐出入库明细!$D$4:$D$2004,基础资料!$B$5,周转筐出入库明细!$B$4:$B$2004,"&gt;="&amp;$BC$1,周转筐出入库明细!$B$4:$B$2004,"&lt;="&amp;$BC$2))</f>
        <v/>
      </c>
      <c r="W191" s="25" t="str">
        <f>IF(OR($B191="",基础资料!$B$6=""),"",SUMIFS(周转筐出入库明细!$K$4:$K$2004,周转筐出入库明细!$C$4:$C$2004,$B191,周转筐出入库明细!$D$4:$D$2004,基础资料!$B$6,周转筐出入库明细!$B$4:$B$2004,"&gt;="&amp;$BC$1,周转筐出入库明细!$B$4:$B$2004,"&lt;="&amp;$BC$2))</f>
        <v/>
      </c>
      <c r="X191" s="25" t="str">
        <f>IF(OR($B191="",基础资料!$B$7=""),"",SUMIFS(周转筐出入库明细!$K$4:$K$2004,周转筐出入库明细!$C$4:$C$2004,$B191,周转筐出入库明细!$D$4:$D$2004,基础资料!$B$7,周转筐出入库明细!$B$4:$B$2004,"&gt;="&amp;$BC$1,周转筐出入库明细!$B$4:$B$2004,"&lt;="&amp;$BC$2))</f>
        <v/>
      </c>
      <c r="Y191" s="25" t="str">
        <f>IF(OR($B191="",基础资料!$B$8=""),"",SUMIFS(周转筐出入库明细!$K$4:$K$2004,周转筐出入库明细!$C$4:$C$2004,$B191,周转筐出入库明细!$D$4:$D$2004,基础资料!$B$8,周转筐出入库明细!$B$4:$B$2004,"&gt;="&amp;$BC$1,周转筐出入库明细!$B$4:$B$2004,"&lt;="&amp;$BC$2))</f>
        <v/>
      </c>
      <c r="Z191" s="25" t="str">
        <f t="shared" si="28"/>
        <v/>
      </c>
      <c r="AA191" s="67" t="str">
        <f>IF(OR($B191="",基础资料!$B$4=""),"",-SUMIFS(对接源_01水果筐数!$D$5:$D$304,对接源_01水果筐数!$B$5:$B$304,$B191,对接源_01水果筐数!$C$5:$C$304,基础资料!$B$4))</f>
        <v/>
      </c>
      <c r="AB191" s="67" t="str">
        <f>IF(OR($B191="",基础资料!$B$5=""),"",-SUMIFS(对接源_01水果筐数!$D$5:$D$304,对接源_01水果筐数!$B$5:$B$304,$B191,对接源_01水果筐数!$C$5:$C$304,基础资料!$B$5))</f>
        <v/>
      </c>
      <c r="AC191" s="67" t="str">
        <f>IF(OR($B191="",基础资料!$B$6=""),"",-SUMIFS(对接源_01水果筐数!$D$5:$D$304,对接源_01水果筐数!$B$5:$B$304,$B191,对接源_01水果筐数!$C$5:$C$304,基础资料!$B$6))</f>
        <v/>
      </c>
      <c r="AD191" s="67" t="str">
        <f>IF(OR($B191="",基础资料!$B$7=""),"",-SUMIFS(对接源_01水果筐数!$D$5:$D$304,对接源_01水果筐数!$B$5:$B$304,$B191,对接源_01水果筐数!$C$5:$C$304,基础资料!$B$7))</f>
        <v/>
      </c>
      <c r="AE191" s="67" t="str">
        <f>IF(OR($B191="",基础资料!$B$8=""),"",-SUMIFS(对接源_01水果筐数!$D$5:$D$304,对接源_01水果筐数!$B$5:$B$304,$B191,对接源_01水果筐数!$C$5:$C$304,基础资料!$B$8))</f>
        <v/>
      </c>
      <c r="AF191" s="25" t="str">
        <f>IF(OR($B191="",基础资料!$B$4=""),"",SUMIFS(对接源_01水果筐数!$E$5:$E$304,对接源_01水果筐数!$B$5:$B$304,$B191,对接源_01水果筐数!$C$5:$C$304,基础资料!$B$4))</f>
        <v/>
      </c>
      <c r="AG191" s="25" t="str">
        <f>IF(OR($B191="",基础资料!$B$5=""),"",SUMIFS(对接源_01水果筐数!$E$5:$E$304,对接源_01水果筐数!$B$5:$B$304,$B191,对接源_01水果筐数!$C$5:$C$304,基础资料!$B$5))</f>
        <v/>
      </c>
      <c r="AH191" s="25" t="str">
        <f>IF(OR($B191="",基础资料!$B$6=""),"",SUMIFS(对接源_01水果筐数!$E$5:$E$304,对接源_01水果筐数!$B$5:$B$304,$B191,对接源_01水果筐数!$C$5:$C$304,基础资料!$B$6))</f>
        <v/>
      </c>
      <c r="AI191" s="25" t="str">
        <f>IF(OR($B191="",基础资料!$B$7=""),"",SUMIFS(对接源_01水果筐数!$E$5:$E$304,对接源_01水果筐数!$B$5:$B$304,$B191,对接源_01水果筐数!$C$5:$C$304,基础资料!$B$7))</f>
        <v/>
      </c>
      <c r="AJ191" s="25" t="str">
        <f>IF(OR($B191="",基础资料!$B$8=""),"",SUMIFS(对接源_01水果筐数!$E$5:$E$304,对接源_01水果筐数!$B$5:$B$304,$B191,对接源_01水果筐数!$C$5:$C$304,基础资料!$B$8))</f>
        <v/>
      </c>
      <c r="AK191" s="25" t="str">
        <f>IF(OR($B191="",基础资料!$B$4=""),"",SUMIFS(对接源_01水果筐数!$F$5:$F$304,对接源_01水果筐数!$B$5:$B$304,$B191,对接源_01水果筐数!$C$5:$C$304,基础资料!$B$4))</f>
        <v/>
      </c>
      <c r="AL191" s="25" t="str">
        <f>IF(OR($B191="",基础资料!$B$5=""),"",SUMIFS(对接源_01水果筐数!$F$5:$F$304,对接源_01水果筐数!$B$5:$B$304,$B191,对接源_01水果筐数!$C$5:$C$304,基础资料!$B$5))</f>
        <v/>
      </c>
      <c r="AM191" s="25" t="str">
        <f>IF(OR($B191="",基础资料!$B$6=""),"",SUMIFS(对接源_01水果筐数!$F$5:$F$304,对接源_01水果筐数!$B$5:$B$304,$B191,对接源_01水果筐数!$C$5:$C$304,基础资料!$B$6))</f>
        <v/>
      </c>
      <c r="AN191" s="25" t="str">
        <f>IF(OR($B191="",基础资料!$B$7=""),"",SUMIFS(对接源_01水果筐数!$F$5:$F$304,对接源_01水果筐数!$B$5:$B$304,$B191,对接源_01水果筐数!$C$5:$C$304,基础资料!$B$7))</f>
        <v/>
      </c>
      <c r="AO191" s="25" t="str">
        <f>IF(OR($B191="",基础资料!$B$8=""),"",SUMIFS(对接源_01水果筐数!$F$5:$F$304,对接源_01水果筐数!$B$5:$B$304,$B191,对接源_01水果筐数!$C$5:$C$304,基础资料!$B$8))</f>
        <v/>
      </c>
      <c r="AP191" s="25" t="str">
        <f t="shared" si="29"/>
        <v/>
      </c>
      <c r="AQ191" s="25" t="str">
        <f t="shared" si="30"/>
        <v/>
      </c>
      <c r="AR191" s="25" t="str">
        <f t="shared" si="31"/>
        <v/>
      </c>
      <c r="AS191" s="25" t="str">
        <f t="shared" si="32"/>
        <v/>
      </c>
      <c r="AT191" s="25" t="str">
        <f t="shared" si="33"/>
        <v/>
      </c>
      <c r="AU191" s="25" t="str">
        <f t="shared" si="34"/>
        <v/>
      </c>
      <c r="AV191" s="24" t="str">
        <f t="shared" si="35"/>
        <v/>
      </c>
      <c r="AW191" s="72"/>
    </row>
    <row r="192" spans="1:49">
      <c r="A192" s="22" t="str">
        <f t="shared" si="24"/>
        <v/>
      </c>
      <c r="B192" s="24" t="str">
        <f>IFERROR(INDEX(_自动清单!$CC$4:$CC$253,ROW()-3),"")</f>
        <v/>
      </c>
      <c r="C192" s="25" t="str">
        <f>IF(OR($B192="",基础资料!$B$4=""),"",SUMIFS(周转筐出入库明细!$J$4:$J$2004,周转筐出入库明细!$C$4:$C$2004,$B192,周转筐出入库明细!$D$4:$D$2004,基础资料!$B$4,周转筐出入库明细!$B$4:$B$2004,"&gt;="&amp;$BC$1,周转筐出入库明细!$B$4:$B$2004,"&lt;="&amp;$BC$2))</f>
        <v/>
      </c>
      <c r="D192" s="25" t="str">
        <f>IF(OR($B192="",基础资料!$B$5=""),"",SUMIFS(周转筐出入库明细!$J$4:$J$2004,周转筐出入库明细!$C$4:$C$2004,$B192,周转筐出入库明细!$D$4:$D$2004,基础资料!$B$5,周转筐出入库明细!$B$4:$B$2004,"&gt;="&amp;$BC$1,周转筐出入库明细!$B$4:$B$2004,"&lt;="&amp;$BC$2))</f>
        <v/>
      </c>
      <c r="E192" s="25" t="str">
        <f>IF(OR($B192="",基础资料!$B$6=""),"",SUMIFS(周转筐出入库明细!$J$4:$J$2004,周转筐出入库明细!$C$4:$C$2004,$B192,周转筐出入库明细!$D$4:$D$2004,基础资料!$B$6,周转筐出入库明细!$B$4:$B$2004,"&gt;="&amp;$BC$1,周转筐出入库明细!$B$4:$B$2004,"&lt;="&amp;$BC$2))</f>
        <v/>
      </c>
      <c r="F192" s="25" t="str">
        <f>IF(OR($B192="",基础资料!$B$7=""),"",SUMIFS(周转筐出入库明细!$J$4:$J$2004,周转筐出入库明细!$C$4:$C$2004,$B192,周转筐出入库明细!$D$4:$D$2004,基础资料!$B$7,周转筐出入库明细!$B$4:$B$2004,"&gt;="&amp;$BC$1,周转筐出入库明细!$B$4:$B$2004,"&lt;="&amp;$BC$2))</f>
        <v/>
      </c>
      <c r="G192" s="25" t="str">
        <f>IF(OR($B192="",基础资料!$B$8=""),"",SUMIFS(周转筐出入库明细!$J$4:$J$2004,周转筐出入库明细!$C$4:$C$2004,$B192,周转筐出入库明细!$D$4:$D$2004,基础资料!$B$8,周转筐出入库明细!$B$4:$B$2004,"&gt;="&amp;$BC$1,周转筐出入库明细!$B$4:$B$2004,"&lt;="&amp;$BC$2))</f>
        <v/>
      </c>
      <c r="H192" s="25" t="str">
        <f t="shared" si="25"/>
        <v/>
      </c>
      <c r="I192" s="67" t="str">
        <f>IF(OR($B192="",基础资料!$B$4=""),"",-SUMIFS(周转筐出入库明细!$I$4:$I$2004,周转筐出入库明细!$C$4:$C$2004,$B192,周转筐出入库明细!$D$4:$D$2004,基础资料!$B$4,周转筐出入库明细!$B$4:$B$2004,"&gt;="&amp;$BC$1,周转筐出入库明细!$B$4:$B$2004,"&lt;="&amp;$BC$2))</f>
        <v/>
      </c>
      <c r="J192" s="67" t="str">
        <f>IF(OR($B192="",基础资料!$B$5=""),"",-SUMIFS(周转筐出入库明细!$I$4:$I$2004,周转筐出入库明细!$C$4:$C$2004,$B192,周转筐出入库明细!$D$4:$D$2004,基础资料!$B$5,周转筐出入库明细!$B$4:$B$2004,"&gt;="&amp;$BC$1,周转筐出入库明细!$B$4:$B$2004,"&lt;="&amp;$BC$2))</f>
        <v/>
      </c>
      <c r="K192" s="67" t="str">
        <f>IF(OR($B192="",基础资料!$B$6=""),"",-SUMIFS(周转筐出入库明细!$I$4:$I$2004,周转筐出入库明细!$C$4:$C$2004,$B192,周转筐出入库明细!$D$4:$D$2004,基础资料!$B$6,周转筐出入库明细!$B$4:$B$2004,"&gt;="&amp;$BC$1,周转筐出入库明细!$B$4:$B$2004,"&lt;="&amp;$BC$2))</f>
        <v/>
      </c>
      <c r="L192" s="67" t="str">
        <f>IF(OR($B192="",基础资料!$B$7=""),"",-SUMIFS(周转筐出入库明细!$I$4:$I$2004,周转筐出入库明细!$C$4:$C$2004,$B192,周转筐出入库明细!$D$4:$D$2004,基础资料!$B$7,周转筐出入库明细!$B$4:$B$2004,"&gt;="&amp;$BC$1,周转筐出入库明细!$B$4:$B$2004,"&lt;="&amp;$BC$2))</f>
        <v/>
      </c>
      <c r="M192" s="67" t="str">
        <f>IF(OR($B192="",基础资料!$B$8=""),"",-SUMIFS(周转筐出入库明细!$I$4:$I$2004,周转筐出入库明细!$C$4:$C$2004,$B192,周转筐出入库明细!$D$4:$D$2004,基础资料!$B$8,周转筐出入库明细!$B$4:$B$2004,"&gt;="&amp;$BC$1,周转筐出入库明细!$B$4:$B$2004,"&lt;="&amp;$BC$2))</f>
        <v/>
      </c>
      <c r="N192" s="67" t="str">
        <f t="shared" si="26"/>
        <v/>
      </c>
      <c r="O192" s="25" t="str">
        <f>IF(OR($B192="",基础资料!$B$4=""),"",SUMIFS(周转筐出入库明细!$H$4:$H$2004,周转筐出入库明细!$C$4:$C$2004,$B192,周转筐出入库明细!$D$4:$D$2004,基础资料!$B$4,周转筐出入库明细!$F$4:$F$2004,"采购入库",周转筐出入库明细!$B$4:$B$2004,"&gt;="&amp;$BC$1,周转筐出入库明细!$B$4:$B$2004,"&lt;="&amp;$BC$2))</f>
        <v/>
      </c>
      <c r="P192" s="25" t="str">
        <f>IF(OR($B192="",基础资料!$B$5=""),"",SUMIFS(周转筐出入库明细!$H$4:$H$2004,周转筐出入库明细!$C$4:$C$2004,$B192,周转筐出入库明细!$D$4:$D$2004,基础资料!$B$5,周转筐出入库明细!$F$4:$F$2004,"采购入库",周转筐出入库明细!$B$4:$B$2004,"&gt;="&amp;$BC$1,周转筐出入库明细!$B$4:$B$2004,"&lt;="&amp;$BC$2))</f>
        <v/>
      </c>
      <c r="Q192" s="25" t="str">
        <f>IF(OR($B192="",基础资料!$B$6=""),"",SUMIFS(周转筐出入库明细!$H$4:$H$2004,周转筐出入库明细!$C$4:$C$2004,$B192,周转筐出入库明细!$D$4:$D$2004,基础资料!$B$6,周转筐出入库明细!$F$4:$F$2004,"采购入库",周转筐出入库明细!$B$4:$B$2004,"&gt;="&amp;$BC$1,周转筐出入库明细!$B$4:$B$2004,"&lt;="&amp;$BC$2))</f>
        <v/>
      </c>
      <c r="R192" s="25" t="str">
        <f>IF(OR($B192="",基础资料!$B$7=""),"",SUMIFS(周转筐出入库明细!$H$4:$H$2004,周转筐出入库明细!$C$4:$C$2004,$B192,周转筐出入库明细!$D$4:$D$2004,基础资料!$B$7,周转筐出入库明细!$F$4:$F$2004,"采购入库",周转筐出入库明细!$B$4:$B$2004,"&gt;="&amp;$BC$1,周转筐出入库明细!$B$4:$B$2004,"&lt;="&amp;$BC$2))</f>
        <v/>
      </c>
      <c r="S192" s="25" t="str">
        <f>IF(OR($B192="",基础资料!$B$8=""),"",SUMIFS(周转筐出入库明细!$H$4:$H$2004,周转筐出入库明细!$C$4:$C$2004,$B192,周转筐出入库明细!$D$4:$D$2004,基础资料!$B$8,周转筐出入库明细!$F$4:$F$2004,"采购入库",周转筐出入库明细!$B$4:$B$2004,"&gt;="&amp;$BC$1,周转筐出入库明细!$B$4:$B$2004,"&lt;="&amp;$BC$2))</f>
        <v/>
      </c>
      <c r="T192" s="25" t="str">
        <f t="shared" si="27"/>
        <v/>
      </c>
      <c r="U192" s="25" t="str">
        <f>IF(OR($B192="",基础资料!$B$4=""),"",SUMIFS(周转筐出入库明细!$K$4:$K$2004,周转筐出入库明细!$C$4:$C$2004,$B192,周转筐出入库明细!$D$4:$D$2004,基础资料!$B$4,周转筐出入库明细!$B$4:$B$2004,"&gt;="&amp;$BC$1,周转筐出入库明细!$B$4:$B$2004,"&lt;="&amp;$BC$2))</f>
        <v/>
      </c>
      <c r="V192" s="25" t="str">
        <f>IF(OR($B192="",基础资料!$B$5=""),"",SUMIFS(周转筐出入库明细!$K$4:$K$2004,周转筐出入库明细!$C$4:$C$2004,$B192,周转筐出入库明细!$D$4:$D$2004,基础资料!$B$5,周转筐出入库明细!$B$4:$B$2004,"&gt;="&amp;$BC$1,周转筐出入库明细!$B$4:$B$2004,"&lt;="&amp;$BC$2))</f>
        <v/>
      </c>
      <c r="W192" s="25" t="str">
        <f>IF(OR($B192="",基础资料!$B$6=""),"",SUMIFS(周转筐出入库明细!$K$4:$K$2004,周转筐出入库明细!$C$4:$C$2004,$B192,周转筐出入库明细!$D$4:$D$2004,基础资料!$B$6,周转筐出入库明细!$B$4:$B$2004,"&gt;="&amp;$BC$1,周转筐出入库明细!$B$4:$B$2004,"&lt;="&amp;$BC$2))</f>
        <v/>
      </c>
      <c r="X192" s="25" t="str">
        <f>IF(OR($B192="",基础资料!$B$7=""),"",SUMIFS(周转筐出入库明细!$K$4:$K$2004,周转筐出入库明细!$C$4:$C$2004,$B192,周转筐出入库明细!$D$4:$D$2004,基础资料!$B$7,周转筐出入库明细!$B$4:$B$2004,"&gt;="&amp;$BC$1,周转筐出入库明细!$B$4:$B$2004,"&lt;="&amp;$BC$2))</f>
        <v/>
      </c>
      <c r="Y192" s="25" t="str">
        <f>IF(OR($B192="",基础资料!$B$8=""),"",SUMIFS(周转筐出入库明细!$K$4:$K$2004,周转筐出入库明细!$C$4:$C$2004,$B192,周转筐出入库明细!$D$4:$D$2004,基础资料!$B$8,周转筐出入库明细!$B$4:$B$2004,"&gt;="&amp;$BC$1,周转筐出入库明细!$B$4:$B$2004,"&lt;="&amp;$BC$2))</f>
        <v/>
      </c>
      <c r="Z192" s="25" t="str">
        <f t="shared" si="28"/>
        <v/>
      </c>
      <c r="AA192" s="67" t="str">
        <f>IF(OR($B192="",基础资料!$B$4=""),"",-SUMIFS(对接源_01水果筐数!$D$5:$D$304,对接源_01水果筐数!$B$5:$B$304,$B192,对接源_01水果筐数!$C$5:$C$304,基础资料!$B$4))</f>
        <v/>
      </c>
      <c r="AB192" s="67" t="str">
        <f>IF(OR($B192="",基础资料!$B$5=""),"",-SUMIFS(对接源_01水果筐数!$D$5:$D$304,对接源_01水果筐数!$B$5:$B$304,$B192,对接源_01水果筐数!$C$5:$C$304,基础资料!$B$5))</f>
        <v/>
      </c>
      <c r="AC192" s="67" t="str">
        <f>IF(OR($B192="",基础资料!$B$6=""),"",-SUMIFS(对接源_01水果筐数!$D$5:$D$304,对接源_01水果筐数!$B$5:$B$304,$B192,对接源_01水果筐数!$C$5:$C$304,基础资料!$B$6))</f>
        <v/>
      </c>
      <c r="AD192" s="67" t="str">
        <f>IF(OR($B192="",基础资料!$B$7=""),"",-SUMIFS(对接源_01水果筐数!$D$5:$D$304,对接源_01水果筐数!$B$5:$B$304,$B192,对接源_01水果筐数!$C$5:$C$304,基础资料!$B$7))</f>
        <v/>
      </c>
      <c r="AE192" s="67" t="str">
        <f>IF(OR($B192="",基础资料!$B$8=""),"",-SUMIFS(对接源_01水果筐数!$D$5:$D$304,对接源_01水果筐数!$B$5:$B$304,$B192,对接源_01水果筐数!$C$5:$C$304,基础资料!$B$8))</f>
        <v/>
      </c>
      <c r="AF192" s="25" t="str">
        <f>IF(OR($B192="",基础资料!$B$4=""),"",SUMIFS(对接源_01水果筐数!$E$5:$E$304,对接源_01水果筐数!$B$5:$B$304,$B192,对接源_01水果筐数!$C$5:$C$304,基础资料!$B$4))</f>
        <v/>
      </c>
      <c r="AG192" s="25" t="str">
        <f>IF(OR($B192="",基础资料!$B$5=""),"",SUMIFS(对接源_01水果筐数!$E$5:$E$304,对接源_01水果筐数!$B$5:$B$304,$B192,对接源_01水果筐数!$C$5:$C$304,基础资料!$B$5))</f>
        <v/>
      </c>
      <c r="AH192" s="25" t="str">
        <f>IF(OR($B192="",基础资料!$B$6=""),"",SUMIFS(对接源_01水果筐数!$E$5:$E$304,对接源_01水果筐数!$B$5:$B$304,$B192,对接源_01水果筐数!$C$5:$C$304,基础资料!$B$6))</f>
        <v/>
      </c>
      <c r="AI192" s="25" t="str">
        <f>IF(OR($B192="",基础资料!$B$7=""),"",SUMIFS(对接源_01水果筐数!$E$5:$E$304,对接源_01水果筐数!$B$5:$B$304,$B192,对接源_01水果筐数!$C$5:$C$304,基础资料!$B$7))</f>
        <v/>
      </c>
      <c r="AJ192" s="25" t="str">
        <f>IF(OR($B192="",基础资料!$B$8=""),"",SUMIFS(对接源_01水果筐数!$E$5:$E$304,对接源_01水果筐数!$B$5:$B$304,$B192,对接源_01水果筐数!$C$5:$C$304,基础资料!$B$8))</f>
        <v/>
      </c>
      <c r="AK192" s="25" t="str">
        <f>IF(OR($B192="",基础资料!$B$4=""),"",SUMIFS(对接源_01水果筐数!$F$5:$F$304,对接源_01水果筐数!$B$5:$B$304,$B192,对接源_01水果筐数!$C$5:$C$304,基础资料!$B$4))</f>
        <v/>
      </c>
      <c r="AL192" s="25" t="str">
        <f>IF(OR($B192="",基础资料!$B$5=""),"",SUMIFS(对接源_01水果筐数!$F$5:$F$304,对接源_01水果筐数!$B$5:$B$304,$B192,对接源_01水果筐数!$C$5:$C$304,基础资料!$B$5))</f>
        <v/>
      </c>
      <c r="AM192" s="25" t="str">
        <f>IF(OR($B192="",基础资料!$B$6=""),"",SUMIFS(对接源_01水果筐数!$F$5:$F$304,对接源_01水果筐数!$B$5:$B$304,$B192,对接源_01水果筐数!$C$5:$C$304,基础资料!$B$6))</f>
        <v/>
      </c>
      <c r="AN192" s="25" t="str">
        <f>IF(OR($B192="",基础资料!$B$7=""),"",SUMIFS(对接源_01水果筐数!$F$5:$F$304,对接源_01水果筐数!$B$5:$B$304,$B192,对接源_01水果筐数!$C$5:$C$304,基础资料!$B$7))</f>
        <v/>
      </c>
      <c r="AO192" s="25" t="str">
        <f>IF(OR($B192="",基础资料!$B$8=""),"",SUMIFS(对接源_01水果筐数!$F$5:$F$304,对接源_01水果筐数!$B$5:$B$304,$B192,对接源_01水果筐数!$C$5:$C$304,基础资料!$B$8))</f>
        <v/>
      </c>
      <c r="AP192" s="25" t="str">
        <f t="shared" si="29"/>
        <v/>
      </c>
      <c r="AQ192" s="25" t="str">
        <f t="shared" si="30"/>
        <v/>
      </c>
      <c r="AR192" s="25" t="str">
        <f t="shared" si="31"/>
        <v/>
      </c>
      <c r="AS192" s="25" t="str">
        <f t="shared" si="32"/>
        <v/>
      </c>
      <c r="AT192" s="25" t="str">
        <f t="shared" si="33"/>
        <v/>
      </c>
      <c r="AU192" s="25" t="str">
        <f t="shared" si="34"/>
        <v/>
      </c>
      <c r="AV192" s="24" t="str">
        <f t="shared" si="35"/>
        <v/>
      </c>
      <c r="AW192" s="72"/>
    </row>
    <row r="193" spans="1:49">
      <c r="A193" s="22" t="str">
        <f t="shared" si="24"/>
        <v/>
      </c>
      <c r="B193" s="24" t="str">
        <f>IFERROR(INDEX(_自动清单!$CC$4:$CC$253,ROW()-3),"")</f>
        <v/>
      </c>
      <c r="C193" s="25" t="str">
        <f>IF(OR($B193="",基础资料!$B$4=""),"",SUMIFS(周转筐出入库明细!$J$4:$J$2004,周转筐出入库明细!$C$4:$C$2004,$B193,周转筐出入库明细!$D$4:$D$2004,基础资料!$B$4,周转筐出入库明细!$B$4:$B$2004,"&gt;="&amp;$BC$1,周转筐出入库明细!$B$4:$B$2004,"&lt;="&amp;$BC$2))</f>
        <v/>
      </c>
      <c r="D193" s="25" t="str">
        <f>IF(OR($B193="",基础资料!$B$5=""),"",SUMIFS(周转筐出入库明细!$J$4:$J$2004,周转筐出入库明细!$C$4:$C$2004,$B193,周转筐出入库明细!$D$4:$D$2004,基础资料!$B$5,周转筐出入库明细!$B$4:$B$2004,"&gt;="&amp;$BC$1,周转筐出入库明细!$B$4:$B$2004,"&lt;="&amp;$BC$2))</f>
        <v/>
      </c>
      <c r="E193" s="25" t="str">
        <f>IF(OR($B193="",基础资料!$B$6=""),"",SUMIFS(周转筐出入库明细!$J$4:$J$2004,周转筐出入库明细!$C$4:$C$2004,$B193,周转筐出入库明细!$D$4:$D$2004,基础资料!$B$6,周转筐出入库明细!$B$4:$B$2004,"&gt;="&amp;$BC$1,周转筐出入库明细!$B$4:$B$2004,"&lt;="&amp;$BC$2))</f>
        <v/>
      </c>
      <c r="F193" s="25" t="str">
        <f>IF(OR($B193="",基础资料!$B$7=""),"",SUMIFS(周转筐出入库明细!$J$4:$J$2004,周转筐出入库明细!$C$4:$C$2004,$B193,周转筐出入库明细!$D$4:$D$2004,基础资料!$B$7,周转筐出入库明细!$B$4:$B$2004,"&gt;="&amp;$BC$1,周转筐出入库明细!$B$4:$B$2004,"&lt;="&amp;$BC$2))</f>
        <v/>
      </c>
      <c r="G193" s="25" t="str">
        <f>IF(OR($B193="",基础资料!$B$8=""),"",SUMIFS(周转筐出入库明细!$J$4:$J$2004,周转筐出入库明细!$C$4:$C$2004,$B193,周转筐出入库明细!$D$4:$D$2004,基础资料!$B$8,周转筐出入库明细!$B$4:$B$2004,"&gt;="&amp;$BC$1,周转筐出入库明细!$B$4:$B$2004,"&lt;="&amp;$BC$2))</f>
        <v/>
      </c>
      <c r="H193" s="25" t="str">
        <f t="shared" si="25"/>
        <v/>
      </c>
      <c r="I193" s="67" t="str">
        <f>IF(OR($B193="",基础资料!$B$4=""),"",-SUMIFS(周转筐出入库明细!$I$4:$I$2004,周转筐出入库明细!$C$4:$C$2004,$B193,周转筐出入库明细!$D$4:$D$2004,基础资料!$B$4,周转筐出入库明细!$B$4:$B$2004,"&gt;="&amp;$BC$1,周转筐出入库明细!$B$4:$B$2004,"&lt;="&amp;$BC$2))</f>
        <v/>
      </c>
      <c r="J193" s="67" t="str">
        <f>IF(OR($B193="",基础资料!$B$5=""),"",-SUMIFS(周转筐出入库明细!$I$4:$I$2004,周转筐出入库明细!$C$4:$C$2004,$B193,周转筐出入库明细!$D$4:$D$2004,基础资料!$B$5,周转筐出入库明细!$B$4:$B$2004,"&gt;="&amp;$BC$1,周转筐出入库明细!$B$4:$B$2004,"&lt;="&amp;$BC$2))</f>
        <v/>
      </c>
      <c r="K193" s="67" t="str">
        <f>IF(OR($B193="",基础资料!$B$6=""),"",-SUMIFS(周转筐出入库明细!$I$4:$I$2004,周转筐出入库明细!$C$4:$C$2004,$B193,周转筐出入库明细!$D$4:$D$2004,基础资料!$B$6,周转筐出入库明细!$B$4:$B$2004,"&gt;="&amp;$BC$1,周转筐出入库明细!$B$4:$B$2004,"&lt;="&amp;$BC$2))</f>
        <v/>
      </c>
      <c r="L193" s="67" t="str">
        <f>IF(OR($B193="",基础资料!$B$7=""),"",-SUMIFS(周转筐出入库明细!$I$4:$I$2004,周转筐出入库明细!$C$4:$C$2004,$B193,周转筐出入库明细!$D$4:$D$2004,基础资料!$B$7,周转筐出入库明细!$B$4:$B$2004,"&gt;="&amp;$BC$1,周转筐出入库明细!$B$4:$B$2004,"&lt;="&amp;$BC$2))</f>
        <v/>
      </c>
      <c r="M193" s="67" t="str">
        <f>IF(OR($B193="",基础资料!$B$8=""),"",-SUMIFS(周转筐出入库明细!$I$4:$I$2004,周转筐出入库明细!$C$4:$C$2004,$B193,周转筐出入库明细!$D$4:$D$2004,基础资料!$B$8,周转筐出入库明细!$B$4:$B$2004,"&gt;="&amp;$BC$1,周转筐出入库明细!$B$4:$B$2004,"&lt;="&amp;$BC$2))</f>
        <v/>
      </c>
      <c r="N193" s="67" t="str">
        <f t="shared" si="26"/>
        <v/>
      </c>
      <c r="O193" s="25" t="str">
        <f>IF(OR($B193="",基础资料!$B$4=""),"",SUMIFS(周转筐出入库明细!$H$4:$H$2004,周转筐出入库明细!$C$4:$C$2004,$B193,周转筐出入库明细!$D$4:$D$2004,基础资料!$B$4,周转筐出入库明细!$F$4:$F$2004,"采购入库",周转筐出入库明细!$B$4:$B$2004,"&gt;="&amp;$BC$1,周转筐出入库明细!$B$4:$B$2004,"&lt;="&amp;$BC$2))</f>
        <v/>
      </c>
      <c r="P193" s="25" t="str">
        <f>IF(OR($B193="",基础资料!$B$5=""),"",SUMIFS(周转筐出入库明细!$H$4:$H$2004,周转筐出入库明细!$C$4:$C$2004,$B193,周转筐出入库明细!$D$4:$D$2004,基础资料!$B$5,周转筐出入库明细!$F$4:$F$2004,"采购入库",周转筐出入库明细!$B$4:$B$2004,"&gt;="&amp;$BC$1,周转筐出入库明细!$B$4:$B$2004,"&lt;="&amp;$BC$2))</f>
        <v/>
      </c>
      <c r="Q193" s="25" t="str">
        <f>IF(OR($B193="",基础资料!$B$6=""),"",SUMIFS(周转筐出入库明细!$H$4:$H$2004,周转筐出入库明细!$C$4:$C$2004,$B193,周转筐出入库明细!$D$4:$D$2004,基础资料!$B$6,周转筐出入库明细!$F$4:$F$2004,"采购入库",周转筐出入库明细!$B$4:$B$2004,"&gt;="&amp;$BC$1,周转筐出入库明细!$B$4:$B$2004,"&lt;="&amp;$BC$2))</f>
        <v/>
      </c>
      <c r="R193" s="25" t="str">
        <f>IF(OR($B193="",基础资料!$B$7=""),"",SUMIFS(周转筐出入库明细!$H$4:$H$2004,周转筐出入库明细!$C$4:$C$2004,$B193,周转筐出入库明细!$D$4:$D$2004,基础资料!$B$7,周转筐出入库明细!$F$4:$F$2004,"采购入库",周转筐出入库明细!$B$4:$B$2004,"&gt;="&amp;$BC$1,周转筐出入库明细!$B$4:$B$2004,"&lt;="&amp;$BC$2))</f>
        <v/>
      </c>
      <c r="S193" s="25" t="str">
        <f>IF(OR($B193="",基础资料!$B$8=""),"",SUMIFS(周转筐出入库明细!$H$4:$H$2004,周转筐出入库明细!$C$4:$C$2004,$B193,周转筐出入库明细!$D$4:$D$2004,基础资料!$B$8,周转筐出入库明细!$F$4:$F$2004,"采购入库",周转筐出入库明细!$B$4:$B$2004,"&gt;="&amp;$BC$1,周转筐出入库明细!$B$4:$B$2004,"&lt;="&amp;$BC$2))</f>
        <v/>
      </c>
      <c r="T193" s="25" t="str">
        <f t="shared" si="27"/>
        <v/>
      </c>
      <c r="U193" s="25" t="str">
        <f>IF(OR($B193="",基础资料!$B$4=""),"",SUMIFS(周转筐出入库明细!$K$4:$K$2004,周转筐出入库明细!$C$4:$C$2004,$B193,周转筐出入库明细!$D$4:$D$2004,基础资料!$B$4,周转筐出入库明细!$B$4:$B$2004,"&gt;="&amp;$BC$1,周转筐出入库明细!$B$4:$B$2004,"&lt;="&amp;$BC$2))</f>
        <v/>
      </c>
      <c r="V193" s="25" t="str">
        <f>IF(OR($B193="",基础资料!$B$5=""),"",SUMIFS(周转筐出入库明细!$K$4:$K$2004,周转筐出入库明细!$C$4:$C$2004,$B193,周转筐出入库明细!$D$4:$D$2004,基础资料!$B$5,周转筐出入库明细!$B$4:$B$2004,"&gt;="&amp;$BC$1,周转筐出入库明细!$B$4:$B$2004,"&lt;="&amp;$BC$2))</f>
        <v/>
      </c>
      <c r="W193" s="25" t="str">
        <f>IF(OR($B193="",基础资料!$B$6=""),"",SUMIFS(周转筐出入库明细!$K$4:$K$2004,周转筐出入库明细!$C$4:$C$2004,$B193,周转筐出入库明细!$D$4:$D$2004,基础资料!$B$6,周转筐出入库明细!$B$4:$B$2004,"&gt;="&amp;$BC$1,周转筐出入库明细!$B$4:$B$2004,"&lt;="&amp;$BC$2))</f>
        <v/>
      </c>
      <c r="X193" s="25" t="str">
        <f>IF(OR($B193="",基础资料!$B$7=""),"",SUMIFS(周转筐出入库明细!$K$4:$K$2004,周转筐出入库明细!$C$4:$C$2004,$B193,周转筐出入库明细!$D$4:$D$2004,基础资料!$B$7,周转筐出入库明细!$B$4:$B$2004,"&gt;="&amp;$BC$1,周转筐出入库明细!$B$4:$B$2004,"&lt;="&amp;$BC$2))</f>
        <v/>
      </c>
      <c r="Y193" s="25" t="str">
        <f>IF(OR($B193="",基础资料!$B$8=""),"",SUMIFS(周转筐出入库明细!$K$4:$K$2004,周转筐出入库明细!$C$4:$C$2004,$B193,周转筐出入库明细!$D$4:$D$2004,基础资料!$B$8,周转筐出入库明细!$B$4:$B$2004,"&gt;="&amp;$BC$1,周转筐出入库明细!$B$4:$B$2004,"&lt;="&amp;$BC$2))</f>
        <v/>
      </c>
      <c r="Z193" s="25" t="str">
        <f t="shared" si="28"/>
        <v/>
      </c>
      <c r="AA193" s="67" t="str">
        <f>IF(OR($B193="",基础资料!$B$4=""),"",-SUMIFS(对接源_01水果筐数!$D$5:$D$304,对接源_01水果筐数!$B$5:$B$304,$B193,对接源_01水果筐数!$C$5:$C$304,基础资料!$B$4))</f>
        <v/>
      </c>
      <c r="AB193" s="67" t="str">
        <f>IF(OR($B193="",基础资料!$B$5=""),"",-SUMIFS(对接源_01水果筐数!$D$5:$D$304,对接源_01水果筐数!$B$5:$B$304,$B193,对接源_01水果筐数!$C$5:$C$304,基础资料!$B$5))</f>
        <v/>
      </c>
      <c r="AC193" s="67" t="str">
        <f>IF(OR($B193="",基础资料!$B$6=""),"",-SUMIFS(对接源_01水果筐数!$D$5:$D$304,对接源_01水果筐数!$B$5:$B$304,$B193,对接源_01水果筐数!$C$5:$C$304,基础资料!$B$6))</f>
        <v/>
      </c>
      <c r="AD193" s="67" t="str">
        <f>IF(OR($B193="",基础资料!$B$7=""),"",-SUMIFS(对接源_01水果筐数!$D$5:$D$304,对接源_01水果筐数!$B$5:$B$304,$B193,对接源_01水果筐数!$C$5:$C$304,基础资料!$B$7))</f>
        <v/>
      </c>
      <c r="AE193" s="67" t="str">
        <f>IF(OR($B193="",基础资料!$B$8=""),"",-SUMIFS(对接源_01水果筐数!$D$5:$D$304,对接源_01水果筐数!$B$5:$B$304,$B193,对接源_01水果筐数!$C$5:$C$304,基础资料!$B$8))</f>
        <v/>
      </c>
      <c r="AF193" s="25" t="str">
        <f>IF(OR($B193="",基础资料!$B$4=""),"",SUMIFS(对接源_01水果筐数!$E$5:$E$304,对接源_01水果筐数!$B$5:$B$304,$B193,对接源_01水果筐数!$C$5:$C$304,基础资料!$B$4))</f>
        <v/>
      </c>
      <c r="AG193" s="25" t="str">
        <f>IF(OR($B193="",基础资料!$B$5=""),"",SUMIFS(对接源_01水果筐数!$E$5:$E$304,对接源_01水果筐数!$B$5:$B$304,$B193,对接源_01水果筐数!$C$5:$C$304,基础资料!$B$5))</f>
        <v/>
      </c>
      <c r="AH193" s="25" t="str">
        <f>IF(OR($B193="",基础资料!$B$6=""),"",SUMIFS(对接源_01水果筐数!$E$5:$E$304,对接源_01水果筐数!$B$5:$B$304,$B193,对接源_01水果筐数!$C$5:$C$304,基础资料!$B$6))</f>
        <v/>
      </c>
      <c r="AI193" s="25" t="str">
        <f>IF(OR($B193="",基础资料!$B$7=""),"",SUMIFS(对接源_01水果筐数!$E$5:$E$304,对接源_01水果筐数!$B$5:$B$304,$B193,对接源_01水果筐数!$C$5:$C$304,基础资料!$B$7))</f>
        <v/>
      </c>
      <c r="AJ193" s="25" t="str">
        <f>IF(OR($B193="",基础资料!$B$8=""),"",SUMIFS(对接源_01水果筐数!$E$5:$E$304,对接源_01水果筐数!$B$5:$B$304,$B193,对接源_01水果筐数!$C$5:$C$304,基础资料!$B$8))</f>
        <v/>
      </c>
      <c r="AK193" s="25" t="str">
        <f>IF(OR($B193="",基础资料!$B$4=""),"",SUMIFS(对接源_01水果筐数!$F$5:$F$304,对接源_01水果筐数!$B$5:$B$304,$B193,对接源_01水果筐数!$C$5:$C$304,基础资料!$B$4))</f>
        <v/>
      </c>
      <c r="AL193" s="25" t="str">
        <f>IF(OR($B193="",基础资料!$B$5=""),"",SUMIFS(对接源_01水果筐数!$F$5:$F$304,对接源_01水果筐数!$B$5:$B$304,$B193,对接源_01水果筐数!$C$5:$C$304,基础资料!$B$5))</f>
        <v/>
      </c>
      <c r="AM193" s="25" t="str">
        <f>IF(OR($B193="",基础资料!$B$6=""),"",SUMIFS(对接源_01水果筐数!$F$5:$F$304,对接源_01水果筐数!$B$5:$B$304,$B193,对接源_01水果筐数!$C$5:$C$304,基础资料!$B$6))</f>
        <v/>
      </c>
      <c r="AN193" s="25" t="str">
        <f>IF(OR($B193="",基础资料!$B$7=""),"",SUMIFS(对接源_01水果筐数!$F$5:$F$304,对接源_01水果筐数!$B$5:$B$304,$B193,对接源_01水果筐数!$C$5:$C$304,基础资料!$B$7))</f>
        <v/>
      </c>
      <c r="AO193" s="25" t="str">
        <f>IF(OR($B193="",基础资料!$B$8=""),"",SUMIFS(对接源_01水果筐数!$F$5:$F$304,对接源_01水果筐数!$B$5:$B$304,$B193,对接源_01水果筐数!$C$5:$C$304,基础资料!$B$8))</f>
        <v/>
      </c>
      <c r="AP193" s="25" t="str">
        <f t="shared" si="29"/>
        <v/>
      </c>
      <c r="AQ193" s="25" t="str">
        <f t="shared" si="30"/>
        <v/>
      </c>
      <c r="AR193" s="25" t="str">
        <f t="shared" si="31"/>
        <v/>
      </c>
      <c r="AS193" s="25" t="str">
        <f t="shared" si="32"/>
        <v/>
      </c>
      <c r="AT193" s="25" t="str">
        <f t="shared" si="33"/>
        <v/>
      </c>
      <c r="AU193" s="25" t="str">
        <f t="shared" si="34"/>
        <v/>
      </c>
      <c r="AV193" s="24" t="str">
        <f t="shared" si="35"/>
        <v/>
      </c>
      <c r="AW193" s="72"/>
    </row>
    <row r="194" spans="1:49">
      <c r="A194" s="22" t="str">
        <f t="shared" si="24"/>
        <v/>
      </c>
      <c r="B194" s="24" t="str">
        <f>IFERROR(INDEX(_自动清单!$CC$4:$CC$253,ROW()-3),"")</f>
        <v/>
      </c>
      <c r="C194" s="25" t="str">
        <f>IF(OR($B194="",基础资料!$B$4=""),"",SUMIFS(周转筐出入库明细!$J$4:$J$2004,周转筐出入库明细!$C$4:$C$2004,$B194,周转筐出入库明细!$D$4:$D$2004,基础资料!$B$4,周转筐出入库明细!$B$4:$B$2004,"&gt;="&amp;$BC$1,周转筐出入库明细!$B$4:$B$2004,"&lt;="&amp;$BC$2))</f>
        <v/>
      </c>
      <c r="D194" s="25" t="str">
        <f>IF(OR($B194="",基础资料!$B$5=""),"",SUMIFS(周转筐出入库明细!$J$4:$J$2004,周转筐出入库明细!$C$4:$C$2004,$B194,周转筐出入库明细!$D$4:$D$2004,基础资料!$B$5,周转筐出入库明细!$B$4:$B$2004,"&gt;="&amp;$BC$1,周转筐出入库明细!$B$4:$B$2004,"&lt;="&amp;$BC$2))</f>
        <v/>
      </c>
      <c r="E194" s="25" t="str">
        <f>IF(OR($B194="",基础资料!$B$6=""),"",SUMIFS(周转筐出入库明细!$J$4:$J$2004,周转筐出入库明细!$C$4:$C$2004,$B194,周转筐出入库明细!$D$4:$D$2004,基础资料!$B$6,周转筐出入库明细!$B$4:$B$2004,"&gt;="&amp;$BC$1,周转筐出入库明细!$B$4:$B$2004,"&lt;="&amp;$BC$2))</f>
        <v/>
      </c>
      <c r="F194" s="25" t="str">
        <f>IF(OR($B194="",基础资料!$B$7=""),"",SUMIFS(周转筐出入库明细!$J$4:$J$2004,周转筐出入库明细!$C$4:$C$2004,$B194,周转筐出入库明细!$D$4:$D$2004,基础资料!$B$7,周转筐出入库明细!$B$4:$B$2004,"&gt;="&amp;$BC$1,周转筐出入库明细!$B$4:$B$2004,"&lt;="&amp;$BC$2))</f>
        <v/>
      </c>
      <c r="G194" s="25" t="str">
        <f>IF(OR($B194="",基础资料!$B$8=""),"",SUMIFS(周转筐出入库明细!$J$4:$J$2004,周转筐出入库明细!$C$4:$C$2004,$B194,周转筐出入库明细!$D$4:$D$2004,基础资料!$B$8,周转筐出入库明细!$B$4:$B$2004,"&gt;="&amp;$BC$1,周转筐出入库明细!$B$4:$B$2004,"&lt;="&amp;$BC$2))</f>
        <v/>
      </c>
      <c r="H194" s="25" t="str">
        <f t="shared" si="25"/>
        <v/>
      </c>
      <c r="I194" s="67" t="str">
        <f>IF(OR($B194="",基础资料!$B$4=""),"",-SUMIFS(周转筐出入库明细!$I$4:$I$2004,周转筐出入库明细!$C$4:$C$2004,$B194,周转筐出入库明细!$D$4:$D$2004,基础资料!$B$4,周转筐出入库明细!$B$4:$B$2004,"&gt;="&amp;$BC$1,周转筐出入库明细!$B$4:$B$2004,"&lt;="&amp;$BC$2))</f>
        <v/>
      </c>
      <c r="J194" s="67" t="str">
        <f>IF(OR($B194="",基础资料!$B$5=""),"",-SUMIFS(周转筐出入库明细!$I$4:$I$2004,周转筐出入库明细!$C$4:$C$2004,$B194,周转筐出入库明细!$D$4:$D$2004,基础资料!$B$5,周转筐出入库明细!$B$4:$B$2004,"&gt;="&amp;$BC$1,周转筐出入库明细!$B$4:$B$2004,"&lt;="&amp;$BC$2))</f>
        <v/>
      </c>
      <c r="K194" s="67" t="str">
        <f>IF(OR($B194="",基础资料!$B$6=""),"",-SUMIFS(周转筐出入库明细!$I$4:$I$2004,周转筐出入库明细!$C$4:$C$2004,$B194,周转筐出入库明细!$D$4:$D$2004,基础资料!$B$6,周转筐出入库明细!$B$4:$B$2004,"&gt;="&amp;$BC$1,周转筐出入库明细!$B$4:$B$2004,"&lt;="&amp;$BC$2))</f>
        <v/>
      </c>
      <c r="L194" s="67" t="str">
        <f>IF(OR($B194="",基础资料!$B$7=""),"",-SUMIFS(周转筐出入库明细!$I$4:$I$2004,周转筐出入库明细!$C$4:$C$2004,$B194,周转筐出入库明细!$D$4:$D$2004,基础资料!$B$7,周转筐出入库明细!$B$4:$B$2004,"&gt;="&amp;$BC$1,周转筐出入库明细!$B$4:$B$2004,"&lt;="&amp;$BC$2))</f>
        <v/>
      </c>
      <c r="M194" s="67" t="str">
        <f>IF(OR($B194="",基础资料!$B$8=""),"",-SUMIFS(周转筐出入库明细!$I$4:$I$2004,周转筐出入库明细!$C$4:$C$2004,$B194,周转筐出入库明细!$D$4:$D$2004,基础资料!$B$8,周转筐出入库明细!$B$4:$B$2004,"&gt;="&amp;$BC$1,周转筐出入库明细!$B$4:$B$2004,"&lt;="&amp;$BC$2))</f>
        <v/>
      </c>
      <c r="N194" s="67" t="str">
        <f t="shared" si="26"/>
        <v/>
      </c>
      <c r="O194" s="25" t="str">
        <f>IF(OR($B194="",基础资料!$B$4=""),"",SUMIFS(周转筐出入库明细!$H$4:$H$2004,周转筐出入库明细!$C$4:$C$2004,$B194,周转筐出入库明细!$D$4:$D$2004,基础资料!$B$4,周转筐出入库明细!$F$4:$F$2004,"采购入库",周转筐出入库明细!$B$4:$B$2004,"&gt;="&amp;$BC$1,周转筐出入库明细!$B$4:$B$2004,"&lt;="&amp;$BC$2))</f>
        <v/>
      </c>
      <c r="P194" s="25" t="str">
        <f>IF(OR($B194="",基础资料!$B$5=""),"",SUMIFS(周转筐出入库明细!$H$4:$H$2004,周转筐出入库明细!$C$4:$C$2004,$B194,周转筐出入库明细!$D$4:$D$2004,基础资料!$B$5,周转筐出入库明细!$F$4:$F$2004,"采购入库",周转筐出入库明细!$B$4:$B$2004,"&gt;="&amp;$BC$1,周转筐出入库明细!$B$4:$B$2004,"&lt;="&amp;$BC$2))</f>
        <v/>
      </c>
      <c r="Q194" s="25" t="str">
        <f>IF(OR($B194="",基础资料!$B$6=""),"",SUMIFS(周转筐出入库明细!$H$4:$H$2004,周转筐出入库明细!$C$4:$C$2004,$B194,周转筐出入库明细!$D$4:$D$2004,基础资料!$B$6,周转筐出入库明细!$F$4:$F$2004,"采购入库",周转筐出入库明细!$B$4:$B$2004,"&gt;="&amp;$BC$1,周转筐出入库明细!$B$4:$B$2004,"&lt;="&amp;$BC$2))</f>
        <v/>
      </c>
      <c r="R194" s="25" t="str">
        <f>IF(OR($B194="",基础资料!$B$7=""),"",SUMIFS(周转筐出入库明细!$H$4:$H$2004,周转筐出入库明细!$C$4:$C$2004,$B194,周转筐出入库明细!$D$4:$D$2004,基础资料!$B$7,周转筐出入库明细!$F$4:$F$2004,"采购入库",周转筐出入库明细!$B$4:$B$2004,"&gt;="&amp;$BC$1,周转筐出入库明细!$B$4:$B$2004,"&lt;="&amp;$BC$2))</f>
        <v/>
      </c>
      <c r="S194" s="25" t="str">
        <f>IF(OR($B194="",基础资料!$B$8=""),"",SUMIFS(周转筐出入库明细!$H$4:$H$2004,周转筐出入库明细!$C$4:$C$2004,$B194,周转筐出入库明细!$D$4:$D$2004,基础资料!$B$8,周转筐出入库明细!$F$4:$F$2004,"采购入库",周转筐出入库明细!$B$4:$B$2004,"&gt;="&amp;$BC$1,周转筐出入库明细!$B$4:$B$2004,"&lt;="&amp;$BC$2))</f>
        <v/>
      </c>
      <c r="T194" s="25" t="str">
        <f t="shared" si="27"/>
        <v/>
      </c>
      <c r="U194" s="25" t="str">
        <f>IF(OR($B194="",基础资料!$B$4=""),"",SUMIFS(周转筐出入库明细!$K$4:$K$2004,周转筐出入库明细!$C$4:$C$2004,$B194,周转筐出入库明细!$D$4:$D$2004,基础资料!$B$4,周转筐出入库明细!$B$4:$B$2004,"&gt;="&amp;$BC$1,周转筐出入库明细!$B$4:$B$2004,"&lt;="&amp;$BC$2))</f>
        <v/>
      </c>
      <c r="V194" s="25" t="str">
        <f>IF(OR($B194="",基础资料!$B$5=""),"",SUMIFS(周转筐出入库明细!$K$4:$K$2004,周转筐出入库明细!$C$4:$C$2004,$B194,周转筐出入库明细!$D$4:$D$2004,基础资料!$B$5,周转筐出入库明细!$B$4:$B$2004,"&gt;="&amp;$BC$1,周转筐出入库明细!$B$4:$B$2004,"&lt;="&amp;$BC$2))</f>
        <v/>
      </c>
      <c r="W194" s="25" t="str">
        <f>IF(OR($B194="",基础资料!$B$6=""),"",SUMIFS(周转筐出入库明细!$K$4:$K$2004,周转筐出入库明细!$C$4:$C$2004,$B194,周转筐出入库明细!$D$4:$D$2004,基础资料!$B$6,周转筐出入库明细!$B$4:$B$2004,"&gt;="&amp;$BC$1,周转筐出入库明细!$B$4:$B$2004,"&lt;="&amp;$BC$2))</f>
        <v/>
      </c>
      <c r="X194" s="25" t="str">
        <f>IF(OR($B194="",基础资料!$B$7=""),"",SUMIFS(周转筐出入库明细!$K$4:$K$2004,周转筐出入库明细!$C$4:$C$2004,$B194,周转筐出入库明细!$D$4:$D$2004,基础资料!$B$7,周转筐出入库明细!$B$4:$B$2004,"&gt;="&amp;$BC$1,周转筐出入库明细!$B$4:$B$2004,"&lt;="&amp;$BC$2))</f>
        <v/>
      </c>
      <c r="Y194" s="25" t="str">
        <f>IF(OR($B194="",基础资料!$B$8=""),"",SUMIFS(周转筐出入库明细!$K$4:$K$2004,周转筐出入库明细!$C$4:$C$2004,$B194,周转筐出入库明细!$D$4:$D$2004,基础资料!$B$8,周转筐出入库明细!$B$4:$B$2004,"&gt;="&amp;$BC$1,周转筐出入库明细!$B$4:$B$2004,"&lt;="&amp;$BC$2))</f>
        <v/>
      </c>
      <c r="Z194" s="25" t="str">
        <f t="shared" si="28"/>
        <v/>
      </c>
      <c r="AA194" s="67" t="str">
        <f>IF(OR($B194="",基础资料!$B$4=""),"",-SUMIFS(对接源_01水果筐数!$D$5:$D$304,对接源_01水果筐数!$B$5:$B$304,$B194,对接源_01水果筐数!$C$5:$C$304,基础资料!$B$4))</f>
        <v/>
      </c>
      <c r="AB194" s="67" t="str">
        <f>IF(OR($B194="",基础资料!$B$5=""),"",-SUMIFS(对接源_01水果筐数!$D$5:$D$304,对接源_01水果筐数!$B$5:$B$304,$B194,对接源_01水果筐数!$C$5:$C$304,基础资料!$B$5))</f>
        <v/>
      </c>
      <c r="AC194" s="67" t="str">
        <f>IF(OR($B194="",基础资料!$B$6=""),"",-SUMIFS(对接源_01水果筐数!$D$5:$D$304,对接源_01水果筐数!$B$5:$B$304,$B194,对接源_01水果筐数!$C$5:$C$304,基础资料!$B$6))</f>
        <v/>
      </c>
      <c r="AD194" s="67" t="str">
        <f>IF(OR($B194="",基础资料!$B$7=""),"",-SUMIFS(对接源_01水果筐数!$D$5:$D$304,对接源_01水果筐数!$B$5:$B$304,$B194,对接源_01水果筐数!$C$5:$C$304,基础资料!$B$7))</f>
        <v/>
      </c>
      <c r="AE194" s="67" t="str">
        <f>IF(OR($B194="",基础资料!$B$8=""),"",-SUMIFS(对接源_01水果筐数!$D$5:$D$304,对接源_01水果筐数!$B$5:$B$304,$B194,对接源_01水果筐数!$C$5:$C$304,基础资料!$B$8))</f>
        <v/>
      </c>
      <c r="AF194" s="25" t="str">
        <f>IF(OR($B194="",基础资料!$B$4=""),"",SUMIFS(对接源_01水果筐数!$E$5:$E$304,对接源_01水果筐数!$B$5:$B$304,$B194,对接源_01水果筐数!$C$5:$C$304,基础资料!$B$4))</f>
        <v/>
      </c>
      <c r="AG194" s="25" t="str">
        <f>IF(OR($B194="",基础资料!$B$5=""),"",SUMIFS(对接源_01水果筐数!$E$5:$E$304,对接源_01水果筐数!$B$5:$B$304,$B194,对接源_01水果筐数!$C$5:$C$304,基础资料!$B$5))</f>
        <v/>
      </c>
      <c r="AH194" s="25" t="str">
        <f>IF(OR($B194="",基础资料!$B$6=""),"",SUMIFS(对接源_01水果筐数!$E$5:$E$304,对接源_01水果筐数!$B$5:$B$304,$B194,对接源_01水果筐数!$C$5:$C$304,基础资料!$B$6))</f>
        <v/>
      </c>
      <c r="AI194" s="25" t="str">
        <f>IF(OR($B194="",基础资料!$B$7=""),"",SUMIFS(对接源_01水果筐数!$E$5:$E$304,对接源_01水果筐数!$B$5:$B$304,$B194,对接源_01水果筐数!$C$5:$C$304,基础资料!$B$7))</f>
        <v/>
      </c>
      <c r="AJ194" s="25" t="str">
        <f>IF(OR($B194="",基础资料!$B$8=""),"",SUMIFS(对接源_01水果筐数!$E$5:$E$304,对接源_01水果筐数!$B$5:$B$304,$B194,对接源_01水果筐数!$C$5:$C$304,基础资料!$B$8))</f>
        <v/>
      </c>
      <c r="AK194" s="25" t="str">
        <f>IF(OR($B194="",基础资料!$B$4=""),"",SUMIFS(对接源_01水果筐数!$F$5:$F$304,对接源_01水果筐数!$B$5:$B$304,$B194,对接源_01水果筐数!$C$5:$C$304,基础资料!$B$4))</f>
        <v/>
      </c>
      <c r="AL194" s="25" t="str">
        <f>IF(OR($B194="",基础资料!$B$5=""),"",SUMIFS(对接源_01水果筐数!$F$5:$F$304,对接源_01水果筐数!$B$5:$B$304,$B194,对接源_01水果筐数!$C$5:$C$304,基础资料!$B$5))</f>
        <v/>
      </c>
      <c r="AM194" s="25" t="str">
        <f>IF(OR($B194="",基础资料!$B$6=""),"",SUMIFS(对接源_01水果筐数!$F$5:$F$304,对接源_01水果筐数!$B$5:$B$304,$B194,对接源_01水果筐数!$C$5:$C$304,基础资料!$B$6))</f>
        <v/>
      </c>
      <c r="AN194" s="25" t="str">
        <f>IF(OR($B194="",基础资料!$B$7=""),"",SUMIFS(对接源_01水果筐数!$F$5:$F$304,对接源_01水果筐数!$B$5:$B$304,$B194,对接源_01水果筐数!$C$5:$C$304,基础资料!$B$7))</f>
        <v/>
      </c>
      <c r="AO194" s="25" t="str">
        <f>IF(OR($B194="",基础资料!$B$8=""),"",SUMIFS(对接源_01水果筐数!$F$5:$F$304,对接源_01水果筐数!$B$5:$B$304,$B194,对接源_01水果筐数!$C$5:$C$304,基础资料!$B$8))</f>
        <v/>
      </c>
      <c r="AP194" s="25" t="str">
        <f t="shared" si="29"/>
        <v/>
      </c>
      <c r="AQ194" s="25" t="str">
        <f t="shared" si="30"/>
        <v/>
      </c>
      <c r="AR194" s="25" t="str">
        <f t="shared" si="31"/>
        <v/>
      </c>
      <c r="AS194" s="25" t="str">
        <f t="shared" si="32"/>
        <v/>
      </c>
      <c r="AT194" s="25" t="str">
        <f t="shared" si="33"/>
        <v/>
      </c>
      <c r="AU194" s="25" t="str">
        <f t="shared" si="34"/>
        <v/>
      </c>
      <c r="AV194" s="24" t="str">
        <f t="shared" si="35"/>
        <v/>
      </c>
      <c r="AW194" s="72"/>
    </row>
    <row r="195" spans="1:49">
      <c r="A195" s="22" t="str">
        <f t="shared" si="24"/>
        <v/>
      </c>
      <c r="B195" s="24" t="str">
        <f>IFERROR(INDEX(_自动清单!$CC$4:$CC$253,ROW()-3),"")</f>
        <v/>
      </c>
      <c r="C195" s="25" t="str">
        <f>IF(OR($B195="",基础资料!$B$4=""),"",SUMIFS(周转筐出入库明细!$J$4:$J$2004,周转筐出入库明细!$C$4:$C$2004,$B195,周转筐出入库明细!$D$4:$D$2004,基础资料!$B$4,周转筐出入库明细!$B$4:$B$2004,"&gt;="&amp;$BC$1,周转筐出入库明细!$B$4:$B$2004,"&lt;="&amp;$BC$2))</f>
        <v/>
      </c>
      <c r="D195" s="25" t="str">
        <f>IF(OR($B195="",基础资料!$B$5=""),"",SUMIFS(周转筐出入库明细!$J$4:$J$2004,周转筐出入库明细!$C$4:$C$2004,$B195,周转筐出入库明细!$D$4:$D$2004,基础资料!$B$5,周转筐出入库明细!$B$4:$B$2004,"&gt;="&amp;$BC$1,周转筐出入库明细!$B$4:$B$2004,"&lt;="&amp;$BC$2))</f>
        <v/>
      </c>
      <c r="E195" s="25" t="str">
        <f>IF(OR($B195="",基础资料!$B$6=""),"",SUMIFS(周转筐出入库明细!$J$4:$J$2004,周转筐出入库明细!$C$4:$C$2004,$B195,周转筐出入库明细!$D$4:$D$2004,基础资料!$B$6,周转筐出入库明细!$B$4:$B$2004,"&gt;="&amp;$BC$1,周转筐出入库明细!$B$4:$B$2004,"&lt;="&amp;$BC$2))</f>
        <v/>
      </c>
      <c r="F195" s="25" t="str">
        <f>IF(OR($B195="",基础资料!$B$7=""),"",SUMIFS(周转筐出入库明细!$J$4:$J$2004,周转筐出入库明细!$C$4:$C$2004,$B195,周转筐出入库明细!$D$4:$D$2004,基础资料!$B$7,周转筐出入库明细!$B$4:$B$2004,"&gt;="&amp;$BC$1,周转筐出入库明细!$B$4:$B$2004,"&lt;="&amp;$BC$2))</f>
        <v/>
      </c>
      <c r="G195" s="25" t="str">
        <f>IF(OR($B195="",基础资料!$B$8=""),"",SUMIFS(周转筐出入库明细!$J$4:$J$2004,周转筐出入库明细!$C$4:$C$2004,$B195,周转筐出入库明细!$D$4:$D$2004,基础资料!$B$8,周转筐出入库明细!$B$4:$B$2004,"&gt;="&amp;$BC$1,周转筐出入库明细!$B$4:$B$2004,"&lt;="&amp;$BC$2))</f>
        <v/>
      </c>
      <c r="H195" s="25" t="str">
        <f t="shared" si="25"/>
        <v/>
      </c>
      <c r="I195" s="67" t="str">
        <f>IF(OR($B195="",基础资料!$B$4=""),"",-SUMIFS(周转筐出入库明细!$I$4:$I$2004,周转筐出入库明细!$C$4:$C$2004,$B195,周转筐出入库明细!$D$4:$D$2004,基础资料!$B$4,周转筐出入库明细!$B$4:$B$2004,"&gt;="&amp;$BC$1,周转筐出入库明细!$B$4:$B$2004,"&lt;="&amp;$BC$2))</f>
        <v/>
      </c>
      <c r="J195" s="67" t="str">
        <f>IF(OR($B195="",基础资料!$B$5=""),"",-SUMIFS(周转筐出入库明细!$I$4:$I$2004,周转筐出入库明细!$C$4:$C$2004,$B195,周转筐出入库明细!$D$4:$D$2004,基础资料!$B$5,周转筐出入库明细!$B$4:$B$2004,"&gt;="&amp;$BC$1,周转筐出入库明细!$B$4:$B$2004,"&lt;="&amp;$BC$2))</f>
        <v/>
      </c>
      <c r="K195" s="67" t="str">
        <f>IF(OR($B195="",基础资料!$B$6=""),"",-SUMIFS(周转筐出入库明细!$I$4:$I$2004,周转筐出入库明细!$C$4:$C$2004,$B195,周转筐出入库明细!$D$4:$D$2004,基础资料!$B$6,周转筐出入库明细!$B$4:$B$2004,"&gt;="&amp;$BC$1,周转筐出入库明细!$B$4:$B$2004,"&lt;="&amp;$BC$2))</f>
        <v/>
      </c>
      <c r="L195" s="67" t="str">
        <f>IF(OR($B195="",基础资料!$B$7=""),"",-SUMIFS(周转筐出入库明细!$I$4:$I$2004,周转筐出入库明细!$C$4:$C$2004,$B195,周转筐出入库明细!$D$4:$D$2004,基础资料!$B$7,周转筐出入库明细!$B$4:$B$2004,"&gt;="&amp;$BC$1,周转筐出入库明细!$B$4:$B$2004,"&lt;="&amp;$BC$2))</f>
        <v/>
      </c>
      <c r="M195" s="67" t="str">
        <f>IF(OR($B195="",基础资料!$B$8=""),"",-SUMIFS(周转筐出入库明细!$I$4:$I$2004,周转筐出入库明细!$C$4:$C$2004,$B195,周转筐出入库明细!$D$4:$D$2004,基础资料!$B$8,周转筐出入库明细!$B$4:$B$2004,"&gt;="&amp;$BC$1,周转筐出入库明细!$B$4:$B$2004,"&lt;="&amp;$BC$2))</f>
        <v/>
      </c>
      <c r="N195" s="67" t="str">
        <f t="shared" si="26"/>
        <v/>
      </c>
      <c r="O195" s="25" t="str">
        <f>IF(OR($B195="",基础资料!$B$4=""),"",SUMIFS(周转筐出入库明细!$H$4:$H$2004,周转筐出入库明细!$C$4:$C$2004,$B195,周转筐出入库明细!$D$4:$D$2004,基础资料!$B$4,周转筐出入库明细!$F$4:$F$2004,"采购入库",周转筐出入库明细!$B$4:$B$2004,"&gt;="&amp;$BC$1,周转筐出入库明细!$B$4:$B$2004,"&lt;="&amp;$BC$2))</f>
        <v/>
      </c>
      <c r="P195" s="25" t="str">
        <f>IF(OR($B195="",基础资料!$B$5=""),"",SUMIFS(周转筐出入库明细!$H$4:$H$2004,周转筐出入库明细!$C$4:$C$2004,$B195,周转筐出入库明细!$D$4:$D$2004,基础资料!$B$5,周转筐出入库明细!$F$4:$F$2004,"采购入库",周转筐出入库明细!$B$4:$B$2004,"&gt;="&amp;$BC$1,周转筐出入库明细!$B$4:$B$2004,"&lt;="&amp;$BC$2))</f>
        <v/>
      </c>
      <c r="Q195" s="25" t="str">
        <f>IF(OR($B195="",基础资料!$B$6=""),"",SUMIFS(周转筐出入库明细!$H$4:$H$2004,周转筐出入库明细!$C$4:$C$2004,$B195,周转筐出入库明细!$D$4:$D$2004,基础资料!$B$6,周转筐出入库明细!$F$4:$F$2004,"采购入库",周转筐出入库明细!$B$4:$B$2004,"&gt;="&amp;$BC$1,周转筐出入库明细!$B$4:$B$2004,"&lt;="&amp;$BC$2))</f>
        <v/>
      </c>
      <c r="R195" s="25" t="str">
        <f>IF(OR($B195="",基础资料!$B$7=""),"",SUMIFS(周转筐出入库明细!$H$4:$H$2004,周转筐出入库明细!$C$4:$C$2004,$B195,周转筐出入库明细!$D$4:$D$2004,基础资料!$B$7,周转筐出入库明细!$F$4:$F$2004,"采购入库",周转筐出入库明细!$B$4:$B$2004,"&gt;="&amp;$BC$1,周转筐出入库明细!$B$4:$B$2004,"&lt;="&amp;$BC$2))</f>
        <v/>
      </c>
      <c r="S195" s="25" t="str">
        <f>IF(OR($B195="",基础资料!$B$8=""),"",SUMIFS(周转筐出入库明细!$H$4:$H$2004,周转筐出入库明细!$C$4:$C$2004,$B195,周转筐出入库明细!$D$4:$D$2004,基础资料!$B$8,周转筐出入库明细!$F$4:$F$2004,"采购入库",周转筐出入库明细!$B$4:$B$2004,"&gt;="&amp;$BC$1,周转筐出入库明细!$B$4:$B$2004,"&lt;="&amp;$BC$2))</f>
        <v/>
      </c>
      <c r="T195" s="25" t="str">
        <f t="shared" si="27"/>
        <v/>
      </c>
      <c r="U195" s="25" t="str">
        <f>IF(OR($B195="",基础资料!$B$4=""),"",SUMIFS(周转筐出入库明细!$K$4:$K$2004,周转筐出入库明细!$C$4:$C$2004,$B195,周转筐出入库明细!$D$4:$D$2004,基础资料!$B$4,周转筐出入库明细!$B$4:$B$2004,"&gt;="&amp;$BC$1,周转筐出入库明细!$B$4:$B$2004,"&lt;="&amp;$BC$2))</f>
        <v/>
      </c>
      <c r="V195" s="25" t="str">
        <f>IF(OR($B195="",基础资料!$B$5=""),"",SUMIFS(周转筐出入库明细!$K$4:$K$2004,周转筐出入库明细!$C$4:$C$2004,$B195,周转筐出入库明细!$D$4:$D$2004,基础资料!$B$5,周转筐出入库明细!$B$4:$B$2004,"&gt;="&amp;$BC$1,周转筐出入库明细!$B$4:$B$2004,"&lt;="&amp;$BC$2))</f>
        <v/>
      </c>
      <c r="W195" s="25" t="str">
        <f>IF(OR($B195="",基础资料!$B$6=""),"",SUMIFS(周转筐出入库明细!$K$4:$K$2004,周转筐出入库明细!$C$4:$C$2004,$B195,周转筐出入库明细!$D$4:$D$2004,基础资料!$B$6,周转筐出入库明细!$B$4:$B$2004,"&gt;="&amp;$BC$1,周转筐出入库明细!$B$4:$B$2004,"&lt;="&amp;$BC$2))</f>
        <v/>
      </c>
      <c r="X195" s="25" t="str">
        <f>IF(OR($B195="",基础资料!$B$7=""),"",SUMIFS(周转筐出入库明细!$K$4:$K$2004,周转筐出入库明细!$C$4:$C$2004,$B195,周转筐出入库明细!$D$4:$D$2004,基础资料!$B$7,周转筐出入库明细!$B$4:$B$2004,"&gt;="&amp;$BC$1,周转筐出入库明细!$B$4:$B$2004,"&lt;="&amp;$BC$2))</f>
        <v/>
      </c>
      <c r="Y195" s="25" t="str">
        <f>IF(OR($B195="",基础资料!$B$8=""),"",SUMIFS(周转筐出入库明细!$K$4:$K$2004,周转筐出入库明细!$C$4:$C$2004,$B195,周转筐出入库明细!$D$4:$D$2004,基础资料!$B$8,周转筐出入库明细!$B$4:$B$2004,"&gt;="&amp;$BC$1,周转筐出入库明细!$B$4:$B$2004,"&lt;="&amp;$BC$2))</f>
        <v/>
      </c>
      <c r="Z195" s="25" t="str">
        <f t="shared" si="28"/>
        <v/>
      </c>
      <c r="AA195" s="67" t="str">
        <f>IF(OR($B195="",基础资料!$B$4=""),"",-SUMIFS(对接源_01水果筐数!$D$5:$D$304,对接源_01水果筐数!$B$5:$B$304,$B195,对接源_01水果筐数!$C$5:$C$304,基础资料!$B$4))</f>
        <v/>
      </c>
      <c r="AB195" s="67" t="str">
        <f>IF(OR($B195="",基础资料!$B$5=""),"",-SUMIFS(对接源_01水果筐数!$D$5:$D$304,对接源_01水果筐数!$B$5:$B$304,$B195,对接源_01水果筐数!$C$5:$C$304,基础资料!$B$5))</f>
        <v/>
      </c>
      <c r="AC195" s="67" t="str">
        <f>IF(OR($B195="",基础资料!$B$6=""),"",-SUMIFS(对接源_01水果筐数!$D$5:$D$304,对接源_01水果筐数!$B$5:$B$304,$B195,对接源_01水果筐数!$C$5:$C$304,基础资料!$B$6))</f>
        <v/>
      </c>
      <c r="AD195" s="67" t="str">
        <f>IF(OR($B195="",基础资料!$B$7=""),"",-SUMIFS(对接源_01水果筐数!$D$5:$D$304,对接源_01水果筐数!$B$5:$B$304,$B195,对接源_01水果筐数!$C$5:$C$304,基础资料!$B$7))</f>
        <v/>
      </c>
      <c r="AE195" s="67" t="str">
        <f>IF(OR($B195="",基础资料!$B$8=""),"",-SUMIFS(对接源_01水果筐数!$D$5:$D$304,对接源_01水果筐数!$B$5:$B$304,$B195,对接源_01水果筐数!$C$5:$C$304,基础资料!$B$8))</f>
        <v/>
      </c>
      <c r="AF195" s="25" t="str">
        <f>IF(OR($B195="",基础资料!$B$4=""),"",SUMIFS(对接源_01水果筐数!$E$5:$E$304,对接源_01水果筐数!$B$5:$B$304,$B195,对接源_01水果筐数!$C$5:$C$304,基础资料!$B$4))</f>
        <v/>
      </c>
      <c r="AG195" s="25" t="str">
        <f>IF(OR($B195="",基础资料!$B$5=""),"",SUMIFS(对接源_01水果筐数!$E$5:$E$304,对接源_01水果筐数!$B$5:$B$304,$B195,对接源_01水果筐数!$C$5:$C$304,基础资料!$B$5))</f>
        <v/>
      </c>
      <c r="AH195" s="25" t="str">
        <f>IF(OR($B195="",基础资料!$B$6=""),"",SUMIFS(对接源_01水果筐数!$E$5:$E$304,对接源_01水果筐数!$B$5:$B$304,$B195,对接源_01水果筐数!$C$5:$C$304,基础资料!$B$6))</f>
        <v/>
      </c>
      <c r="AI195" s="25" t="str">
        <f>IF(OR($B195="",基础资料!$B$7=""),"",SUMIFS(对接源_01水果筐数!$E$5:$E$304,对接源_01水果筐数!$B$5:$B$304,$B195,对接源_01水果筐数!$C$5:$C$304,基础资料!$B$7))</f>
        <v/>
      </c>
      <c r="AJ195" s="25" t="str">
        <f>IF(OR($B195="",基础资料!$B$8=""),"",SUMIFS(对接源_01水果筐数!$E$5:$E$304,对接源_01水果筐数!$B$5:$B$304,$B195,对接源_01水果筐数!$C$5:$C$304,基础资料!$B$8))</f>
        <v/>
      </c>
      <c r="AK195" s="25" t="str">
        <f>IF(OR($B195="",基础资料!$B$4=""),"",SUMIFS(对接源_01水果筐数!$F$5:$F$304,对接源_01水果筐数!$B$5:$B$304,$B195,对接源_01水果筐数!$C$5:$C$304,基础资料!$B$4))</f>
        <v/>
      </c>
      <c r="AL195" s="25" t="str">
        <f>IF(OR($B195="",基础资料!$B$5=""),"",SUMIFS(对接源_01水果筐数!$F$5:$F$304,对接源_01水果筐数!$B$5:$B$304,$B195,对接源_01水果筐数!$C$5:$C$304,基础资料!$B$5))</f>
        <v/>
      </c>
      <c r="AM195" s="25" t="str">
        <f>IF(OR($B195="",基础资料!$B$6=""),"",SUMIFS(对接源_01水果筐数!$F$5:$F$304,对接源_01水果筐数!$B$5:$B$304,$B195,对接源_01水果筐数!$C$5:$C$304,基础资料!$B$6))</f>
        <v/>
      </c>
      <c r="AN195" s="25" t="str">
        <f>IF(OR($B195="",基础资料!$B$7=""),"",SUMIFS(对接源_01水果筐数!$F$5:$F$304,对接源_01水果筐数!$B$5:$B$304,$B195,对接源_01水果筐数!$C$5:$C$304,基础资料!$B$7))</f>
        <v/>
      </c>
      <c r="AO195" s="25" t="str">
        <f>IF(OR($B195="",基础资料!$B$8=""),"",SUMIFS(对接源_01水果筐数!$F$5:$F$304,对接源_01水果筐数!$B$5:$B$304,$B195,对接源_01水果筐数!$C$5:$C$304,基础资料!$B$8))</f>
        <v/>
      </c>
      <c r="AP195" s="25" t="str">
        <f t="shared" si="29"/>
        <v/>
      </c>
      <c r="AQ195" s="25" t="str">
        <f t="shared" si="30"/>
        <v/>
      </c>
      <c r="AR195" s="25" t="str">
        <f t="shared" si="31"/>
        <v/>
      </c>
      <c r="AS195" s="25" t="str">
        <f t="shared" si="32"/>
        <v/>
      </c>
      <c r="AT195" s="25" t="str">
        <f t="shared" si="33"/>
        <v/>
      </c>
      <c r="AU195" s="25" t="str">
        <f t="shared" si="34"/>
        <v/>
      </c>
      <c r="AV195" s="24" t="str">
        <f t="shared" si="35"/>
        <v/>
      </c>
      <c r="AW195" s="72"/>
    </row>
    <row r="196" spans="1:49">
      <c r="A196" s="22" t="str">
        <f t="shared" ref="A196:A253" si="36">IF($B196="","",ROW()-3)</f>
        <v/>
      </c>
      <c r="B196" s="24" t="str">
        <f>IFERROR(INDEX(_自动清单!$CC$4:$CC$253,ROW()-3),"")</f>
        <v/>
      </c>
      <c r="C196" s="25" t="str">
        <f>IF(OR($B196="",基础资料!$B$4=""),"",SUMIFS(周转筐出入库明细!$J$4:$J$2004,周转筐出入库明细!$C$4:$C$2004,$B196,周转筐出入库明细!$D$4:$D$2004,基础资料!$B$4,周转筐出入库明细!$B$4:$B$2004,"&gt;="&amp;$BC$1,周转筐出入库明细!$B$4:$B$2004,"&lt;="&amp;$BC$2))</f>
        <v/>
      </c>
      <c r="D196" s="25" t="str">
        <f>IF(OR($B196="",基础资料!$B$5=""),"",SUMIFS(周转筐出入库明细!$J$4:$J$2004,周转筐出入库明细!$C$4:$C$2004,$B196,周转筐出入库明细!$D$4:$D$2004,基础资料!$B$5,周转筐出入库明细!$B$4:$B$2004,"&gt;="&amp;$BC$1,周转筐出入库明细!$B$4:$B$2004,"&lt;="&amp;$BC$2))</f>
        <v/>
      </c>
      <c r="E196" s="25" t="str">
        <f>IF(OR($B196="",基础资料!$B$6=""),"",SUMIFS(周转筐出入库明细!$J$4:$J$2004,周转筐出入库明细!$C$4:$C$2004,$B196,周转筐出入库明细!$D$4:$D$2004,基础资料!$B$6,周转筐出入库明细!$B$4:$B$2004,"&gt;="&amp;$BC$1,周转筐出入库明细!$B$4:$B$2004,"&lt;="&amp;$BC$2))</f>
        <v/>
      </c>
      <c r="F196" s="25" t="str">
        <f>IF(OR($B196="",基础资料!$B$7=""),"",SUMIFS(周转筐出入库明细!$J$4:$J$2004,周转筐出入库明细!$C$4:$C$2004,$B196,周转筐出入库明细!$D$4:$D$2004,基础资料!$B$7,周转筐出入库明细!$B$4:$B$2004,"&gt;="&amp;$BC$1,周转筐出入库明细!$B$4:$B$2004,"&lt;="&amp;$BC$2))</f>
        <v/>
      </c>
      <c r="G196" s="25" t="str">
        <f>IF(OR($B196="",基础资料!$B$8=""),"",SUMIFS(周转筐出入库明细!$J$4:$J$2004,周转筐出入库明细!$C$4:$C$2004,$B196,周转筐出入库明细!$D$4:$D$2004,基础资料!$B$8,周转筐出入库明细!$B$4:$B$2004,"&gt;="&amp;$BC$1,周转筐出入库明细!$B$4:$B$2004,"&lt;="&amp;$BC$2))</f>
        <v/>
      </c>
      <c r="H196" s="25" t="str">
        <f t="shared" ref="H196:H253" si="37">IF($B196="","",SUM(C196:G196))</f>
        <v/>
      </c>
      <c r="I196" s="67" t="str">
        <f>IF(OR($B196="",基础资料!$B$4=""),"",-SUMIFS(周转筐出入库明细!$I$4:$I$2004,周转筐出入库明细!$C$4:$C$2004,$B196,周转筐出入库明细!$D$4:$D$2004,基础资料!$B$4,周转筐出入库明细!$B$4:$B$2004,"&gt;="&amp;$BC$1,周转筐出入库明细!$B$4:$B$2004,"&lt;="&amp;$BC$2))</f>
        <v/>
      </c>
      <c r="J196" s="67" t="str">
        <f>IF(OR($B196="",基础资料!$B$5=""),"",-SUMIFS(周转筐出入库明细!$I$4:$I$2004,周转筐出入库明细!$C$4:$C$2004,$B196,周转筐出入库明细!$D$4:$D$2004,基础资料!$B$5,周转筐出入库明细!$B$4:$B$2004,"&gt;="&amp;$BC$1,周转筐出入库明细!$B$4:$B$2004,"&lt;="&amp;$BC$2))</f>
        <v/>
      </c>
      <c r="K196" s="67" t="str">
        <f>IF(OR($B196="",基础资料!$B$6=""),"",-SUMIFS(周转筐出入库明细!$I$4:$I$2004,周转筐出入库明细!$C$4:$C$2004,$B196,周转筐出入库明细!$D$4:$D$2004,基础资料!$B$6,周转筐出入库明细!$B$4:$B$2004,"&gt;="&amp;$BC$1,周转筐出入库明细!$B$4:$B$2004,"&lt;="&amp;$BC$2))</f>
        <v/>
      </c>
      <c r="L196" s="67" t="str">
        <f>IF(OR($B196="",基础资料!$B$7=""),"",-SUMIFS(周转筐出入库明细!$I$4:$I$2004,周转筐出入库明细!$C$4:$C$2004,$B196,周转筐出入库明细!$D$4:$D$2004,基础资料!$B$7,周转筐出入库明细!$B$4:$B$2004,"&gt;="&amp;$BC$1,周转筐出入库明细!$B$4:$B$2004,"&lt;="&amp;$BC$2))</f>
        <v/>
      </c>
      <c r="M196" s="67" t="str">
        <f>IF(OR($B196="",基础资料!$B$8=""),"",-SUMIFS(周转筐出入库明细!$I$4:$I$2004,周转筐出入库明细!$C$4:$C$2004,$B196,周转筐出入库明细!$D$4:$D$2004,基础资料!$B$8,周转筐出入库明细!$B$4:$B$2004,"&gt;="&amp;$BC$1,周转筐出入库明细!$B$4:$B$2004,"&lt;="&amp;$BC$2))</f>
        <v/>
      </c>
      <c r="N196" s="67" t="str">
        <f t="shared" ref="N196:N253" si="38">IF($B196="","",SUM(I196:M196))</f>
        <v/>
      </c>
      <c r="O196" s="25" t="str">
        <f>IF(OR($B196="",基础资料!$B$4=""),"",SUMIFS(周转筐出入库明细!$H$4:$H$2004,周转筐出入库明细!$C$4:$C$2004,$B196,周转筐出入库明细!$D$4:$D$2004,基础资料!$B$4,周转筐出入库明细!$F$4:$F$2004,"采购入库",周转筐出入库明细!$B$4:$B$2004,"&gt;="&amp;$BC$1,周转筐出入库明细!$B$4:$B$2004,"&lt;="&amp;$BC$2))</f>
        <v/>
      </c>
      <c r="P196" s="25" t="str">
        <f>IF(OR($B196="",基础资料!$B$5=""),"",SUMIFS(周转筐出入库明细!$H$4:$H$2004,周转筐出入库明细!$C$4:$C$2004,$B196,周转筐出入库明细!$D$4:$D$2004,基础资料!$B$5,周转筐出入库明细!$F$4:$F$2004,"采购入库",周转筐出入库明细!$B$4:$B$2004,"&gt;="&amp;$BC$1,周转筐出入库明细!$B$4:$B$2004,"&lt;="&amp;$BC$2))</f>
        <v/>
      </c>
      <c r="Q196" s="25" t="str">
        <f>IF(OR($B196="",基础资料!$B$6=""),"",SUMIFS(周转筐出入库明细!$H$4:$H$2004,周转筐出入库明细!$C$4:$C$2004,$B196,周转筐出入库明细!$D$4:$D$2004,基础资料!$B$6,周转筐出入库明细!$F$4:$F$2004,"采购入库",周转筐出入库明细!$B$4:$B$2004,"&gt;="&amp;$BC$1,周转筐出入库明细!$B$4:$B$2004,"&lt;="&amp;$BC$2))</f>
        <v/>
      </c>
      <c r="R196" s="25" t="str">
        <f>IF(OR($B196="",基础资料!$B$7=""),"",SUMIFS(周转筐出入库明细!$H$4:$H$2004,周转筐出入库明细!$C$4:$C$2004,$B196,周转筐出入库明细!$D$4:$D$2004,基础资料!$B$7,周转筐出入库明细!$F$4:$F$2004,"采购入库",周转筐出入库明细!$B$4:$B$2004,"&gt;="&amp;$BC$1,周转筐出入库明细!$B$4:$B$2004,"&lt;="&amp;$BC$2))</f>
        <v/>
      </c>
      <c r="S196" s="25" t="str">
        <f>IF(OR($B196="",基础资料!$B$8=""),"",SUMIFS(周转筐出入库明细!$H$4:$H$2004,周转筐出入库明细!$C$4:$C$2004,$B196,周转筐出入库明细!$D$4:$D$2004,基础资料!$B$8,周转筐出入库明细!$F$4:$F$2004,"采购入库",周转筐出入库明细!$B$4:$B$2004,"&gt;="&amp;$BC$1,周转筐出入库明细!$B$4:$B$2004,"&lt;="&amp;$BC$2))</f>
        <v/>
      </c>
      <c r="T196" s="25" t="str">
        <f t="shared" ref="T196:T253" si="39">IF($B196="","",SUM(O196:S196))</f>
        <v/>
      </c>
      <c r="U196" s="25" t="str">
        <f>IF(OR($B196="",基础资料!$B$4=""),"",SUMIFS(周转筐出入库明细!$K$4:$K$2004,周转筐出入库明细!$C$4:$C$2004,$B196,周转筐出入库明细!$D$4:$D$2004,基础资料!$B$4,周转筐出入库明细!$B$4:$B$2004,"&gt;="&amp;$BC$1,周转筐出入库明细!$B$4:$B$2004,"&lt;="&amp;$BC$2))</f>
        <v/>
      </c>
      <c r="V196" s="25" t="str">
        <f>IF(OR($B196="",基础资料!$B$5=""),"",SUMIFS(周转筐出入库明细!$K$4:$K$2004,周转筐出入库明细!$C$4:$C$2004,$B196,周转筐出入库明细!$D$4:$D$2004,基础资料!$B$5,周转筐出入库明细!$B$4:$B$2004,"&gt;="&amp;$BC$1,周转筐出入库明细!$B$4:$B$2004,"&lt;="&amp;$BC$2))</f>
        <v/>
      </c>
      <c r="W196" s="25" t="str">
        <f>IF(OR($B196="",基础资料!$B$6=""),"",SUMIFS(周转筐出入库明细!$K$4:$K$2004,周转筐出入库明细!$C$4:$C$2004,$B196,周转筐出入库明细!$D$4:$D$2004,基础资料!$B$6,周转筐出入库明细!$B$4:$B$2004,"&gt;="&amp;$BC$1,周转筐出入库明细!$B$4:$B$2004,"&lt;="&amp;$BC$2))</f>
        <v/>
      </c>
      <c r="X196" s="25" t="str">
        <f>IF(OR($B196="",基础资料!$B$7=""),"",SUMIFS(周转筐出入库明细!$K$4:$K$2004,周转筐出入库明细!$C$4:$C$2004,$B196,周转筐出入库明细!$D$4:$D$2004,基础资料!$B$7,周转筐出入库明细!$B$4:$B$2004,"&gt;="&amp;$BC$1,周转筐出入库明细!$B$4:$B$2004,"&lt;="&amp;$BC$2))</f>
        <v/>
      </c>
      <c r="Y196" s="25" t="str">
        <f>IF(OR($B196="",基础资料!$B$8=""),"",SUMIFS(周转筐出入库明细!$K$4:$K$2004,周转筐出入库明细!$C$4:$C$2004,$B196,周转筐出入库明细!$D$4:$D$2004,基础资料!$B$8,周转筐出入库明细!$B$4:$B$2004,"&gt;="&amp;$BC$1,周转筐出入库明细!$B$4:$B$2004,"&lt;="&amp;$BC$2))</f>
        <v/>
      </c>
      <c r="Z196" s="25" t="str">
        <f t="shared" ref="Z196:Z253" si="40">IF($B196="","",SUM(U196:Y196))</f>
        <v/>
      </c>
      <c r="AA196" s="67" t="str">
        <f>IF(OR($B196="",基础资料!$B$4=""),"",-SUMIFS(对接源_01水果筐数!$D$5:$D$304,对接源_01水果筐数!$B$5:$B$304,$B196,对接源_01水果筐数!$C$5:$C$304,基础资料!$B$4))</f>
        <v/>
      </c>
      <c r="AB196" s="67" t="str">
        <f>IF(OR($B196="",基础资料!$B$5=""),"",-SUMIFS(对接源_01水果筐数!$D$5:$D$304,对接源_01水果筐数!$B$5:$B$304,$B196,对接源_01水果筐数!$C$5:$C$304,基础资料!$B$5))</f>
        <v/>
      </c>
      <c r="AC196" s="67" t="str">
        <f>IF(OR($B196="",基础资料!$B$6=""),"",-SUMIFS(对接源_01水果筐数!$D$5:$D$304,对接源_01水果筐数!$B$5:$B$304,$B196,对接源_01水果筐数!$C$5:$C$304,基础资料!$B$6))</f>
        <v/>
      </c>
      <c r="AD196" s="67" t="str">
        <f>IF(OR($B196="",基础资料!$B$7=""),"",-SUMIFS(对接源_01水果筐数!$D$5:$D$304,对接源_01水果筐数!$B$5:$B$304,$B196,对接源_01水果筐数!$C$5:$C$304,基础资料!$B$7))</f>
        <v/>
      </c>
      <c r="AE196" s="67" t="str">
        <f>IF(OR($B196="",基础资料!$B$8=""),"",-SUMIFS(对接源_01水果筐数!$D$5:$D$304,对接源_01水果筐数!$B$5:$B$304,$B196,对接源_01水果筐数!$C$5:$C$304,基础资料!$B$8))</f>
        <v/>
      </c>
      <c r="AF196" s="25" t="str">
        <f>IF(OR($B196="",基础资料!$B$4=""),"",SUMIFS(对接源_01水果筐数!$E$5:$E$304,对接源_01水果筐数!$B$5:$B$304,$B196,对接源_01水果筐数!$C$5:$C$304,基础资料!$B$4))</f>
        <v/>
      </c>
      <c r="AG196" s="25" t="str">
        <f>IF(OR($B196="",基础资料!$B$5=""),"",SUMIFS(对接源_01水果筐数!$E$5:$E$304,对接源_01水果筐数!$B$5:$B$304,$B196,对接源_01水果筐数!$C$5:$C$304,基础资料!$B$5))</f>
        <v/>
      </c>
      <c r="AH196" s="25" t="str">
        <f>IF(OR($B196="",基础资料!$B$6=""),"",SUMIFS(对接源_01水果筐数!$E$5:$E$304,对接源_01水果筐数!$B$5:$B$304,$B196,对接源_01水果筐数!$C$5:$C$304,基础资料!$B$6))</f>
        <v/>
      </c>
      <c r="AI196" s="25" t="str">
        <f>IF(OR($B196="",基础资料!$B$7=""),"",SUMIFS(对接源_01水果筐数!$E$5:$E$304,对接源_01水果筐数!$B$5:$B$304,$B196,对接源_01水果筐数!$C$5:$C$304,基础资料!$B$7))</f>
        <v/>
      </c>
      <c r="AJ196" s="25" t="str">
        <f>IF(OR($B196="",基础资料!$B$8=""),"",SUMIFS(对接源_01水果筐数!$E$5:$E$304,对接源_01水果筐数!$B$5:$B$304,$B196,对接源_01水果筐数!$C$5:$C$304,基础资料!$B$8))</f>
        <v/>
      </c>
      <c r="AK196" s="25" t="str">
        <f>IF(OR($B196="",基础资料!$B$4=""),"",SUMIFS(对接源_01水果筐数!$F$5:$F$304,对接源_01水果筐数!$B$5:$B$304,$B196,对接源_01水果筐数!$C$5:$C$304,基础资料!$B$4))</f>
        <v/>
      </c>
      <c r="AL196" s="25" t="str">
        <f>IF(OR($B196="",基础资料!$B$5=""),"",SUMIFS(对接源_01水果筐数!$F$5:$F$304,对接源_01水果筐数!$B$5:$B$304,$B196,对接源_01水果筐数!$C$5:$C$304,基础资料!$B$5))</f>
        <v/>
      </c>
      <c r="AM196" s="25" t="str">
        <f>IF(OR($B196="",基础资料!$B$6=""),"",SUMIFS(对接源_01水果筐数!$F$5:$F$304,对接源_01水果筐数!$B$5:$B$304,$B196,对接源_01水果筐数!$C$5:$C$304,基础资料!$B$6))</f>
        <v/>
      </c>
      <c r="AN196" s="25" t="str">
        <f>IF(OR($B196="",基础资料!$B$7=""),"",SUMIFS(对接源_01水果筐数!$F$5:$F$304,对接源_01水果筐数!$B$5:$B$304,$B196,对接源_01水果筐数!$C$5:$C$304,基础资料!$B$7))</f>
        <v/>
      </c>
      <c r="AO196" s="25" t="str">
        <f>IF(OR($B196="",基础资料!$B$8=""),"",SUMIFS(对接源_01水果筐数!$F$5:$F$304,对接源_01水果筐数!$B$5:$B$304,$B196,对接源_01水果筐数!$C$5:$C$304,基础资料!$B$8))</f>
        <v/>
      </c>
      <c r="AP196" s="25" t="str">
        <f t="shared" ref="AP196:AP253" si="41">IF($B196="","",N(C196)+N(I196)+N(AA196)+N(AF196)+N(AK196))</f>
        <v/>
      </c>
      <c r="AQ196" s="25" t="str">
        <f t="shared" ref="AQ196:AQ253" si="42">IF($B196="","",N(D196)+N(J196)+N(AB196)+N(AG196)+N(AL196))</f>
        <v/>
      </c>
      <c r="AR196" s="25" t="str">
        <f t="shared" ref="AR196:AR253" si="43">IF($B196="","",N(E196)+N(K196)+N(AC196)+N(AH196)+N(AM196))</f>
        <v/>
      </c>
      <c r="AS196" s="25" t="str">
        <f t="shared" ref="AS196:AS253" si="44">IF($B196="","",N(F196)+N(L196)+N(AD196)+N(AI196)+N(AN196))</f>
        <v/>
      </c>
      <c r="AT196" s="25" t="str">
        <f t="shared" ref="AT196:AT253" si="45">IF($B196="","",N(G196)+N(M196)+N(AE196)+N(AJ196)+N(AO196))</f>
        <v/>
      </c>
      <c r="AU196" s="25" t="str">
        <f t="shared" ref="AU196:AU253" si="46">IF($B196="","",SUM(AP196:AT196))</f>
        <v/>
      </c>
      <c r="AV196" s="24" t="str">
        <f t="shared" ref="AV196:AV253" si="47">IF($B196="","",IF(N($AU196)&gt;0,"⚠ 有 "&amp;N($AU196)&amp;" 个筐未回","✔ 已回清"))</f>
        <v/>
      </c>
      <c r="AW196" s="72"/>
    </row>
    <row r="197" spans="1:49">
      <c r="A197" s="22" t="str">
        <f t="shared" si="36"/>
        <v/>
      </c>
      <c r="B197" s="24" t="str">
        <f>IFERROR(INDEX(_自动清单!$CC$4:$CC$253,ROW()-3),"")</f>
        <v/>
      </c>
      <c r="C197" s="25" t="str">
        <f>IF(OR($B197="",基础资料!$B$4=""),"",SUMIFS(周转筐出入库明细!$J$4:$J$2004,周转筐出入库明细!$C$4:$C$2004,$B197,周转筐出入库明细!$D$4:$D$2004,基础资料!$B$4,周转筐出入库明细!$B$4:$B$2004,"&gt;="&amp;$BC$1,周转筐出入库明细!$B$4:$B$2004,"&lt;="&amp;$BC$2))</f>
        <v/>
      </c>
      <c r="D197" s="25" t="str">
        <f>IF(OR($B197="",基础资料!$B$5=""),"",SUMIFS(周转筐出入库明细!$J$4:$J$2004,周转筐出入库明细!$C$4:$C$2004,$B197,周转筐出入库明细!$D$4:$D$2004,基础资料!$B$5,周转筐出入库明细!$B$4:$B$2004,"&gt;="&amp;$BC$1,周转筐出入库明细!$B$4:$B$2004,"&lt;="&amp;$BC$2))</f>
        <v/>
      </c>
      <c r="E197" s="25" t="str">
        <f>IF(OR($B197="",基础资料!$B$6=""),"",SUMIFS(周转筐出入库明细!$J$4:$J$2004,周转筐出入库明细!$C$4:$C$2004,$B197,周转筐出入库明细!$D$4:$D$2004,基础资料!$B$6,周转筐出入库明细!$B$4:$B$2004,"&gt;="&amp;$BC$1,周转筐出入库明细!$B$4:$B$2004,"&lt;="&amp;$BC$2))</f>
        <v/>
      </c>
      <c r="F197" s="25" t="str">
        <f>IF(OR($B197="",基础资料!$B$7=""),"",SUMIFS(周转筐出入库明细!$J$4:$J$2004,周转筐出入库明细!$C$4:$C$2004,$B197,周转筐出入库明细!$D$4:$D$2004,基础资料!$B$7,周转筐出入库明细!$B$4:$B$2004,"&gt;="&amp;$BC$1,周转筐出入库明细!$B$4:$B$2004,"&lt;="&amp;$BC$2))</f>
        <v/>
      </c>
      <c r="G197" s="25" t="str">
        <f>IF(OR($B197="",基础资料!$B$8=""),"",SUMIFS(周转筐出入库明细!$J$4:$J$2004,周转筐出入库明细!$C$4:$C$2004,$B197,周转筐出入库明细!$D$4:$D$2004,基础资料!$B$8,周转筐出入库明细!$B$4:$B$2004,"&gt;="&amp;$BC$1,周转筐出入库明细!$B$4:$B$2004,"&lt;="&amp;$BC$2))</f>
        <v/>
      </c>
      <c r="H197" s="25" t="str">
        <f t="shared" si="37"/>
        <v/>
      </c>
      <c r="I197" s="67" t="str">
        <f>IF(OR($B197="",基础资料!$B$4=""),"",-SUMIFS(周转筐出入库明细!$I$4:$I$2004,周转筐出入库明细!$C$4:$C$2004,$B197,周转筐出入库明细!$D$4:$D$2004,基础资料!$B$4,周转筐出入库明细!$B$4:$B$2004,"&gt;="&amp;$BC$1,周转筐出入库明细!$B$4:$B$2004,"&lt;="&amp;$BC$2))</f>
        <v/>
      </c>
      <c r="J197" s="67" t="str">
        <f>IF(OR($B197="",基础资料!$B$5=""),"",-SUMIFS(周转筐出入库明细!$I$4:$I$2004,周转筐出入库明细!$C$4:$C$2004,$B197,周转筐出入库明细!$D$4:$D$2004,基础资料!$B$5,周转筐出入库明细!$B$4:$B$2004,"&gt;="&amp;$BC$1,周转筐出入库明细!$B$4:$B$2004,"&lt;="&amp;$BC$2))</f>
        <v/>
      </c>
      <c r="K197" s="67" t="str">
        <f>IF(OR($B197="",基础资料!$B$6=""),"",-SUMIFS(周转筐出入库明细!$I$4:$I$2004,周转筐出入库明细!$C$4:$C$2004,$B197,周转筐出入库明细!$D$4:$D$2004,基础资料!$B$6,周转筐出入库明细!$B$4:$B$2004,"&gt;="&amp;$BC$1,周转筐出入库明细!$B$4:$B$2004,"&lt;="&amp;$BC$2))</f>
        <v/>
      </c>
      <c r="L197" s="67" t="str">
        <f>IF(OR($B197="",基础资料!$B$7=""),"",-SUMIFS(周转筐出入库明细!$I$4:$I$2004,周转筐出入库明细!$C$4:$C$2004,$B197,周转筐出入库明细!$D$4:$D$2004,基础资料!$B$7,周转筐出入库明细!$B$4:$B$2004,"&gt;="&amp;$BC$1,周转筐出入库明细!$B$4:$B$2004,"&lt;="&amp;$BC$2))</f>
        <v/>
      </c>
      <c r="M197" s="67" t="str">
        <f>IF(OR($B197="",基础资料!$B$8=""),"",-SUMIFS(周转筐出入库明细!$I$4:$I$2004,周转筐出入库明细!$C$4:$C$2004,$B197,周转筐出入库明细!$D$4:$D$2004,基础资料!$B$8,周转筐出入库明细!$B$4:$B$2004,"&gt;="&amp;$BC$1,周转筐出入库明细!$B$4:$B$2004,"&lt;="&amp;$BC$2))</f>
        <v/>
      </c>
      <c r="N197" s="67" t="str">
        <f t="shared" si="38"/>
        <v/>
      </c>
      <c r="O197" s="25" t="str">
        <f>IF(OR($B197="",基础资料!$B$4=""),"",SUMIFS(周转筐出入库明细!$H$4:$H$2004,周转筐出入库明细!$C$4:$C$2004,$B197,周转筐出入库明细!$D$4:$D$2004,基础资料!$B$4,周转筐出入库明细!$F$4:$F$2004,"采购入库",周转筐出入库明细!$B$4:$B$2004,"&gt;="&amp;$BC$1,周转筐出入库明细!$B$4:$B$2004,"&lt;="&amp;$BC$2))</f>
        <v/>
      </c>
      <c r="P197" s="25" t="str">
        <f>IF(OR($B197="",基础资料!$B$5=""),"",SUMIFS(周转筐出入库明细!$H$4:$H$2004,周转筐出入库明细!$C$4:$C$2004,$B197,周转筐出入库明细!$D$4:$D$2004,基础资料!$B$5,周转筐出入库明细!$F$4:$F$2004,"采购入库",周转筐出入库明细!$B$4:$B$2004,"&gt;="&amp;$BC$1,周转筐出入库明细!$B$4:$B$2004,"&lt;="&amp;$BC$2))</f>
        <v/>
      </c>
      <c r="Q197" s="25" t="str">
        <f>IF(OR($B197="",基础资料!$B$6=""),"",SUMIFS(周转筐出入库明细!$H$4:$H$2004,周转筐出入库明细!$C$4:$C$2004,$B197,周转筐出入库明细!$D$4:$D$2004,基础资料!$B$6,周转筐出入库明细!$F$4:$F$2004,"采购入库",周转筐出入库明细!$B$4:$B$2004,"&gt;="&amp;$BC$1,周转筐出入库明细!$B$4:$B$2004,"&lt;="&amp;$BC$2))</f>
        <v/>
      </c>
      <c r="R197" s="25" t="str">
        <f>IF(OR($B197="",基础资料!$B$7=""),"",SUMIFS(周转筐出入库明细!$H$4:$H$2004,周转筐出入库明细!$C$4:$C$2004,$B197,周转筐出入库明细!$D$4:$D$2004,基础资料!$B$7,周转筐出入库明细!$F$4:$F$2004,"采购入库",周转筐出入库明细!$B$4:$B$2004,"&gt;="&amp;$BC$1,周转筐出入库明细!$B$4:$B$2004,"&lt;="&amp;$BC$2))</f>
        <v/>
      </c>
      <c r="S197" s="25" t="str">
        <f>IF(OR($B197="",基础资料!$B$8=""),"",SUMIFS(周转筐出入库明细!$H$4:$H$2004,周转筐出入库明细!$C$4:$C$2004,$B197,周转筐出入库明细!$D$4:$D$2004,基础资料!$B$8,周转筐出入库明细!$F$4:$F$2004,"采购入库",周转筐出入库明细!$B$4:$B$2004,"&gt;="&amp;$BC$1,周转筐出入库明细!$B$4:$B$2004,"&lt;="&amp;$BC$2))</f>
        <v/>
      </c>
      <c r="T197" s="25" t="str">
        <f t="shared" si="39"/>
        <v/>
      </c>
      <c r="U197" s="25" t="str">
        <f>IF(OR($B197="",基础资料!$B$4=""),"",SUMIFS(周转筐出入库明细!$K$4:$K$2004,周转筐出入库明细!$C$4:$C$2004,$B197,周转筐出入库明细!$D$4:$D$2004,基础资料!$B$4,周转筐出入库明细!$B$4:$B$2004,"&gt;="&amp;$BC$1,周转筐出入库明细!$B$4:$B$2004,"&lt;="&amp;$BC$2))</f>
        <v/>
      </c>
      <c r="V197" s="25" t="str">
        <f>IF(OR($B197="",基础资料!$B$5=""),"",SUMIFS(周转筐出入库明细!$K$4:$K$2004,周转筐出入库明细!$C$4:$C$2004,$B197,周转筐出入库明细!$D$4:$D$2004,基础资料!$B$5,周转筐出入库明细!$B$4:$B$2004,"&gt;="&amp;$BC$1,周转筐出入库明细!$B$4:$B$2004,"&lt;="&amp;$BC$2))</f>
        <v/>
      </c>
      <c r="W197" s="25" t="str">
        <f>IF(OR($B197="",基础资料!$B$6=""),"",SUMIFS(周转筐出入库明细!$K$4:$K$2004,周转筐出入库明细!$C$4:$C$2004,$B197,周转筐出入库明细!$D$4:$D$2004,基础资料!$B$6,周转筐出入库明细!$B$4:$B$2004,"&gt;="&amp;$BC$1,周转筐出入库明细!$B$4:$B$2004,"&lt;="&amp;$BC$2))</f>
        <v/>
      </c>
      <c r="X197" s="25" t="str">
        <f>IF(OR($B197="",基础资料!$B$7=""),"",SUMIFS(周转筐出入库明细!$K$4:$K$2004,周转筐出入库明细!$C$4:$C$2004,$B197,周转筐出入库明细!$D$4:$D$2004,基础资料!$B$7,周转筐出入库明细!$B$4:$B$2004,"&gt;="&amp;$BC$1,周转筐出入库明细!$B$4:$B$2004,"&lt;="&amp;$BC$2))</f>
        <v/>
      </c>
      <c r="Y197" s="25" t="str">
        <f>IF(OR($B197="",基础资料!$B$8=""),"",SUMIFS(周转筐出入库明细!$K$4:$K$2004,周转筐出入库明细!$C$4:$C$2004,$B197,周转筐出入库明细!$D$4:$D$2004,基础资料!$B$8,周转筐出入库明细!$B$4:$B$2004,"&gt;="&amp;$BC$1,周转筐出入库明细!$B$4:$B$2004,"&lt;="&amp;$BC$2))</f>
        <v/>
      </c>
      <c r="Z197" s="25" t="str">
        <f t="shared" si="40"/>
        <v/>
      </c>
      <c r="AA197" s="67" t="str">
        <f>IF(OR($B197="",基础资料!$B$4=""),"",-SUMIFS(对接源_01水果筐数!$D$5:$D$304,对接源_01水果筐数!$B$5:$B$304,$B197,对接源_01水果筐数!$C$5:$C$304,基础资料!$B$4))</f>
        <v/>
      </c>
      <c r="AB197" s="67" t="str">
        <f>IF(OR($B197="",基础资料!$B$5=""),"",-SUMIFS(对接源_01水果筐数!$D$5:$D$304,对接源_01水果筐数!$B$5:$B$304,$B197,对接源_01水果筐数!$C$5:$C$304,基础资料!$B$5))</f>
        <v/>
      </c>
      <c r="AC197" s="67" t="str">
        <f>IF(OR($B197="",基础资料!$B$6=""),"",-SUMIFS(对接源_01水果筐数!$D$5:$D$304,对接源_01水果筐数!$B$5:$B$304,$B197,对接源_01水果筐数!$C$5:$C$304,基础资料!$B$6))</f>
        <v/>
      </c>
      <c r="AD197" s="67" t="str">
        <f>IF(OR($B197="",基础资料!$B$7=""),"",-SUMIFS(对接源_01水果筐数!$D$5:$D$304,对接源_01水果筐数!$B$5:$B$304,$B197,对接源_01水果筐数!$C$5:$C$304,基础资料!$B$7))</f>
        <v/>
      </c>
      <c r="AE197" s="67" t="str">
        <f>IF(OR($B197="",基础资料!$B$8=""),"",-SUMIFS(对接源_01水果筐数!$D$5:$D$304,对接源_01水果筐数!$B$5:$B$304,$B197,对接源_01水果筐数!$C$5:$C$304,基础资料!$B$8))</f>
        <v/>
      </c>
      <c r="AF197" s="25" t="str">
        <f>IF(OR($B197="",基础资料!$B$4=""),"",SUMIFS(对接源_01水果筐数!$E$5:$E$304,对接源_01水果筐数!$B$5:$B$304,$B197,对接源_01水果筐数!$C$5:$C$304,基础资料!$B$4))</f>
        <v/>
      </c>
      <c r="AG197" s="25" t="str">
        <f>IF(OR($B197="",基础资料!$B$5=""),"",SUMIFS(对接源_01水果筐数!$E$5:$E$304,对接源_01水果筐数!$B$5:$B$304,$B197,对接源_01水果筐数!$C$5:$C$304,基础资料!$B$5))</f>
        <v/>
      </c>
      <c r="AH197" s="25" t="str">
        <f>IF(OR($B197="",基础资料!$B$6=""),"",SUMIFS(对接源_01水果筐数!$E$5:$E$304,对接源_01水果筐数!$B$5:$B$304,$B197,对接源_01水果筐数!$C$5:$C$304,基础资料!$B$6))</f>
        <v/>
      </c>
      <c r="AI197" s="25" t="str">
        <f>IF(OR($B197="",基础资料!$B$7=""),"",SUMIFS(对接源_01水果筐数!$E$5:$E$304,对接源_01水果筐数!$B$5:$B$304,$B197,对接源_01水果筐数!$C$5:$C$304,基础资料!$B$7))</f>
        <v/>
      </c>
      <c r="AJ197" s="25" t="str">
        <f>IF(OR($B197="",基础资料!$B$8=""),"",SUMIFS(对接源_01水果筐数!$E$5:$E$304,对接源_01水果筐数!$B$5:$B$304,$B197,对接源_01水果筐数!$C$5:$C$304,基础资料!$B$8))</f>
        <v/>
      </c>
      <c r="AK197" s="25" t="str">
        <f>IF(OR($B197="",基础资料!$B$4=""),"",SUMIFS(对接源_01水果筐数!$F$5:$F$304,对接源_01水果筐数!$B$5:$B$304,$B197,对接源_01水果筐数!$C$5:$C$304,基础资料!$B$4))</f>
        <v/>
      </c>
      <c r="AL197" s="25" t="str">
        <f>IF(OR($B197="",基础资料!$B$5=""),"",SUMIFS(对接源_01水果筐数!$F$5:$F$304,对接源_01水果筐数!$B$5:$B$304,$B197,对接源_01水果筐数!$C$5:$C$304,基础资料!$B$5))</f>
        <v/>
      </c>
      <c r="AM197" s="25" t="str">
        <f>IF(OR($B197="",基础资料!$B$6=""),"",SUMIFS(对接源_01水果筐数!$F$5:$F$304,对接源_01水果筐数!$B$5:$B$304,$B197,对接源_01水果筐数!$C$5:$C$304,基础资料!$B$6))</f>
        <v/>
      </c>
      <c r="AN197" s="25" t="str">
        <f>IF(OR($B197="",基础资料!$B$7=""),"",SUMIFS(对接源_01水果筐数!$F$5:$F$304,对接源_01水果筐数!$B$5:$B$304,$B197,对接源_01水果筐数!$C$5:$C$304,基础资料!$B$7))</f>
        <v/>
      </c>
      <c r="AO197" s="25" t="str">
        <f>IF(OR($B197="",基础资料!$B$8=""),"",SUMIFS(对接源_01水果筐数!$F$5:$F$304,对接源_01水果筐数!$B$5:$B$304,$B197,对接源_01水果筐数!$C$5:$C$304,基础资料!$B$8))</f>
        <v/>
      </c>
      <c r="AP197" s="25" t="str">
        <f t="shared" si="41"/>
        <v/>
      </c>
      <c r="AQ197" s="25" t="str">
        <f t="shared" si="42"/>
        <v/>
      </c>
      <c r="AR197" s="25" t="str">
        <f t="shared" si="43"/>
        <v/>
      </c>
      <c r="AS197" s="25" t="str">
        <f t="shared" si="44"/>
        <v/>
      </c>
      <c r="AT197" s="25" t="str">
        <f t="shared" si="45"/>
        <v/>
      </c>
      <c r="AU197" s="25" t="str">
        <f t="shared" si="46"/>
        <v/>
      </c>
      <c r="AV197" s="24" t="str">
        <f t="shared" si="47"/>
        <v/>
      </c>
      <c r="AW197" s="72"/>
    </row>
    <row r="198" spans="1:49">
      <c r="A198" s="22" t="str">
        <f t="shared" si="36"/>
        <v/>
      </c>
      <c r="B198" s="24" t="str">
        <f>IFERROR(INDEX(_自动清单!$CC$4:$CC$253,ROW()-3),"")</f>
        <v/>
      </c>
      <c r="C198" s="25" t="str">
        <f>IF(OR($B198="",基础资料!$B$4=""),"",SUMIFS(周转筐出入库明细!$J$4:$J$2004,周转筐出入库明细!$C$4:$C$2004,$B198,周转筐出入库明细!$D$4:$D$2004,基础资料!$B$4,周转筐出入库明细!$B$4:$B$2004,"&gt;="&amp;$BC$1,周转筐出入库明细!$B$4:$B$2004,"&lt;="&amp;$BC$2))</f>
        <v/>
      </c>
      <c r="D198" s="25" t="str">
        <f>IF(OR($B198="",基础资料!$B$5=""),"",SUMIFS(周转筐出入库明细!$J$4:$J$2004,周转筐出入库明细!$C$4:$C$2004,$B198,周转筐出入库明细!$D$4:$D$2004,基础资料!$B$5,周转筐出入库明细!$B$4:$B$2004,"&gt;="&amp;$BC$1,周转筐出入库明细!$B$4:$B$2004,"&lt;="&amp;$BC$2))</f>
        <v/>
      </c>
      <c r="E198" s="25" t="str">
        <f>IF(OR($B198="",基础资料!$B$6=""),"",SUMIFS(周转筐出入库明细!$J$4:$J$2004,周转筐出入库明细!$C$4:$C$2004,$B198,周转筐出入库明细!$D$4:$D$2004,基础资料!$B$6,周转筐出入库明细!$B$4:$B$2004,"&gt;="&amp;$BC$1,周转筐出入库明细!$B$4:$B$2004,"&lt;="&amp;$BC$2))</f>
        <v/>
      </c>
      <c r="F198" s="25" t="str">
        <f>IF(OR($B198="",基础资料!$B$7=""),"",SUMIFS(周转筐出入库明细!$J$4:$J$2004,周转筐出入库明细!$C$4:$C$2004,$B198,周转筐出入库明细!$D$4:$D$2004,基础资料!$B$7,周转筐出入库明细!$B$4:$B$2004,"&gt;="&amp;$BC$1,周转筐出入库明细!$B$4:$B$2004,"&lt;="&amp;$BC$2))</f>
        <v/>
      </c>
      <c r="G198" s="25" t="str">
        <f>IF(OR($B198="",基础资料!$B$8=""),"",SUMIFS(周转筐出入库明细!$J$4:$J$2004,周转筐出入库明细!$C$4:$C$2004,$B198,周转筐出入库明细!$D$4:$D$2004,基础资料!$B$8,周转筐出入库明细!$B$4:$B$2004,"&gt;="&amp;$BC$1,周转筐出入库明细!$B$4:$B$2004,"&lt;="&amp;$BC$2))</f>
        <v/>
      </c>
      <c r="H198" s="25" t="str">
        <f t="shared" si="37"/>
        <v/>
      </c>
      <c r="I198" s="67" t="str">
        <f>IF(OR($B198="",基础资料!$B$4=""),"",-SUMIFS(周转筐出入库明细!$I$4:$I$2004,周转筐出入库明细!$C$4:$C$2004,$B198,周转筐出入库明细!$D$4:$D$2004,基础资料!$B$4,周转筐出入库明细!$B$4:$B$2004,"&gt;="&amp;$BC$1,周转筐出入库明细!$B$4:$B$2004,"&lt;="&amp;$BC$2))</f>
        <v/>
      </c>
      <c r="J198" s="67" t="str">
        <f>IF(OR($B198="",基础资料!$B$5=""),"",-SUMIFS(周转筐出入库明细!$I$4:$I$2004,周转筐出入库明细!$C$4:$C$2004,$B198,周转筐出入库明细!$D$4:$D$2004,基础资料!$B$5,周转筐出入库明细!$B$4:$B$2004,"&gt;="&amp;$BC$1,周转筐出入库明细!$B$4:$B$2004,"&lt;="&amp;$BC$2))</f>
        <v/>
      </c>
      <c r="K198" s="67" t="str">
        <f>IF(OR($B198="",基础资料!$B$6=""),"",-SUMIFS(周转筐出入库明细!$I$4:$I$2004,周转筐出入库明细!$C$4:$C$2004,$B198,周转筐出入库明细!$D$4:$D$2004,基础资料!$B$6,周转筐出入库明细!$B$4:$B$2004,"&gt;="&amp;$BC$1,周转筐出入库明细!$B$4:$B$2004,"&lt;="&amp;$BC$2))</f>
        <v/>
      </c>
      <c r="L198" s="67" t="str">
        <f>IF(OR($B198="",基础资料!$B$7=""),"",-SUMIFS(周转筐出入库明细!$I$4:$I$2004,周转筐出入库明细!$C$4:$C$2004,$B198,周转筐出入库明细!$D$4:$D$2004,基础资料!$B$7,周转筐出入库明细!$B$4:$B$2004,"&gt;="&amp;$BC$1,周转筐出入库明细!$B$4:$B$2004,"&lt;="&amp;$BC$2))</f>
        <v/>
      </c>
      <c r="M198" s="67" t="str">
        <f>IF(OR($B198="",基础资料!$B$8=""),"",-SUMIFS(周转筐出入库明细!$I$4:$I$2004,周转筐出入库明细!$C$4:$C$2004,$B198,周转筐出入库明细!$D$4:$D$2004,基础资料!$B$8,周转筐出入库明细!$B$4:$B$2004,"&gt;="&amp;$BC$1,周转筐出入库明细!$B$4:$B$2004,"&lt;="&amp;$BC$2))</f>
        <v/>
      </c>
      <c r="N198" s="67" t="str">
        <f t="shared" si="38"/>
        <v/>
      </c>
      <c r="O198" s="25" t="str">
        <f>IF(OR($B198="",基础资料!$B$4=""),"",SUMIFS(周转筐出入库明细!$H$4:$H$2004,周转筐出入库明细!$C$4:$C$2004,$B198,周转筐出入库明细!$D$4:$D$2004,基础资料!$B$4,周转筐出入库明细!$F$4:$F$2004,"采购入库",周转筐出入库明细!$B$4:$B$2004,"&gt;="&amp;$BC$1,周转筐出入库明细!$B$4:$B$2004,"&lt;="&amp;$BC$2))</f>
        <v/>
      </c>
      <c r="P198" s="25" t="str">
        <f>IF(OR($B198="",基础资料!$B$5=""),"",SUMIFS(周转筐出入库明细!$H$4:$H$2004,周转筐出入库明细!$C$4:$C$2004,$B198,周转筐出入库明细!$D$4:$D$2004,基础资料!$B$5,周转筐出入库明细!$F$4:$F$2004,"采购入库",周转筐出入库明细!$B$4:$B$2004,"&gt;="&amp;$BC$1,周转筐出入库明细!$B$4:$B$2004,"&lt;="&amp;$BC$2))</f>
        <v/>
      </c>
      <c r="Q198" s="25" t="str">
        <f>IF(OR($B198="",基础资料!$B$6=""),"",SUMIFS(周转筐出入库明细!$H$4:$H$2004,周转筐出入库明细!$C$4:$C$2004,$B198,周转筐出入库明细!$D$4:$D$2004,基础资料!$B$6,周转筐出入库明细!$F$4:$F$2004,"采购入库",周转筐出入库明细!$B$4:$B$2004,"&gt;="&amp;$BC$1,周转筐出入库明细!$B$4:$B$2004,"&lt;="&amp;$BC$2))</f>
        <v/>
      </c>
      <c r="R198" s="25" t="str">
        <f>IF(OR($B198="",基础资料!$B$7=""),"",SUMIFS(周转筐出入库明细!$H$4:$H$2004,周转筐出入库明细!$C$4:$C$2004,$B198,周转筐出入库明细!$D$4:$D$2004,基础资料!$B$7,周转筐出入库明细!$F$4:$F$2004,"采购入库",周转筐出入库明细!$B$4:$B$2004,"&gt;="&amp;$BC$1,周转筐出入库明细!$B$4:$B$2004,"&lt;="&amp;$BC$2))</f>
        <v/>
      </c>
      <c r="S198" s="25" t="str">
        <f>IF(OR($B198="",基础资料!$B$8=""),"",SUMIFS(周转筐出入库明细!$H$4:$H$2004,周转筐出入库明细!$C$4:$C$2004,$B198,周转筐出入库明细!$D$4:$D$2004,基础资料!$B$8,周转筐出入库明细!$F$4:$F$2004,"采购入库",周转筐出入库明细!$B$4:$B$2004,"&gt;="&amp;$BC$1,周转筐出入库明细!$B$4:$B$2004,"&lt;="&amp;$BC$2))</f>
        <v/>
      </c>
      <c r="T198" s="25" t="str">
        <f t="shared" si="39"/>
        <v/>
      </c>
      <c r="U198" s="25" t="str">
        <f>IF(OR($B198="",基础资料!$B$4=""),"",SUMIFS(周转筐出入库明细!$K$4:$K$2004,周转筐出入库明细!$C$4:$C$2004,$B198,周转筐出入库明细!$D$4:$D$2004,基础资料!$B$4,周转筐出入库明细!$B$4:$B$2004,"&gt;="&amp;$BC$1,周转筐出入库明细!$B$4:$B$2004,"&lt;="&amp;$BC$2))</f>
        <v/>
      </c>
      <c r="V198" s="25" t="str">
        <f>IF(OR($B198="",基础资料!$B$5=""),"",SUMIFS(周转筐出入库明细!$K$4:$K$2004,周转筐出入库明细!$C$4:$C$2004,$B198,周转筐出入库明细!$D$4:$D$2004,基础资料!$B$5,周转筐出入库明细!$B$4:$B$2004,"&gt;="&amp;$BC$1,周转筐出入库明细!$B$4:$B$2004,"&lt;="&amp;$BC$2))</f>
        <v/>
      </c>
      <c r="W198" s="25" t="str">
        <f>IF(OR($B198="",基础资料!$B$6=""),"",SUMIFS(周转筐出入库明细!$K$4:$K$2004,周转筐出入库明细!$C$4:$C$2004,$B198,周转筐出入库明细!$D$4:$D$2004,基础资料!$B$6,周转筐出入库明细!$B$4:$B$2004,"&gt;="&amp;$BC$1,周转筐出入库明细!$B$4:$B$2004,"&lt;="&amp;$BC$2))</f>
        <v/>
      </c>
      <c r="X198" s="25" t="str">
        <f>IF(OR($B198="",基础资料!$B$7=""),"",SUMIFS(周转筐出入库明细!$K$4:$K$2004,周转筐出入库明细!$C$4:$C$2004,$B198,周转筐出入库明细!$D$4:$D$2004,基础资料!$B$7,周转筐出入库明细!$B$4:$B$2004,"&gt;="&amp;$BC$1,周转筐出入库明细!$B$4:$B$2004,"&lt;="&amp;$BC$2))</f>
        <v/>
      </c>
      <c r="Y198" s="25" t="str">
        <f>IF(OR($B198="",基础资料!$B$8=""),"",SUMIFS(周转筐出入库明细!$K$4:$K$2004,周转筐出入库明细!$C$4:$C$2004,$B198,周转筐出入库明细!$D$4:$D$2004,基础资料!$B$8,周转筐出入库明细!$B$4:$B$2004,"&gt;="&amp;$BC$1,周转筐出入库明细!$B$4:$B$2004,"&lt;="&amp;$BC$2))</f>
        <v/>
      </c>
      <c r="Z198" s="25" t="str">
        <f t="shared" si="40"/>
        <v/>
      </c>
      <c r="AA198" s="67" t="str">
        <f>IF(OR($B198="",基础资料!$B$4=""),"",-SUMIFS(对接源_01水果筐数!$D$5:$D$304,对接源_01水果筐数!$B$5:$B$304,$B198,对接源_01水果筐数!$C$5:$C$304,基础资料!$B$4))</f>
        <v/>
      </c>
      <c r="AB198" s="67" t="str">
        <f>IF(OR($B198="",基础资料!$B$5=""),"",-SUMIFS(对接源_01水果筐数!$D$5:$D$304,对接源_01水果筐数!$B$5:$B$304,$B198,对接源_01水果筐数!$C$5:$C$304,基础资料!$B$5))</f>
        <v/>
      </c>
      <c r="AC198" s="67" t="str">
        <f>IF(OR($B198="",基础资料!$B$6=""),"",-SUMIFS(对接源_01水果筐数!$D$5:$D$304,对接源_01水果筐数!$B$5:$B$304,$B198,对接源_01水果筐数!$C$5:$C$304,基础资料!$B$6))</f>
        <v/>
      </c>
      <c r="AD198" s="67" t="str">
        <f>IF(OR($B198="",基础资料!$B$7=""),"",-SUMIFS(对接源_01水果筐数!$D$5:$D$304,对接源_01水果筐数!$B$5:$B$304,$B198,对接源_01水果筐数!$C$5:$C$304,基础资料!$B$7))</f>
        <v/>
      </c>
      <c r="AE198" s="67" t="str">
        <f>IF(OR($B198="",基础资料!$B$8=""),"",-SUMIFS(对接源_01水果筐数!$D$5:$D$304,对接源_01水果筐数!$B$5:$B$304,$B198,对接源_01水果筐数!$C$5:$C$304,基础资料!$B$8))</f>
        <v/>
      </c>
      <c r="AF198" s="25" t="str">
        <f>IF(OR($B198="",基础资料!$B$4=""),"",SUMIFS(对接源_01水果筐数!$E$5:$E$304,对接源_01水果筐数!$B$5:$B$304,$B198,对接源_01水果筐数!$C$5:$C$304,基础资料!$B$4))</f>
        <v/>
      </c>
      <c r="AG198" s="25" t="str">
        <f>IF(OR($B198="",基础资料!$B$5=""),"",SUMIFS(对接源_01水果筐数!$E$5:$E$304,对接源_01水果筐数!$B$5:$B$304,$B198,对接源_01水果筐数!$C$5:$C$304,基础资料!$B$5))</f>
        <v/>
      </c>
      <c r="AH198" s="25" t="str">
        <f>IF(OR($B198="",基础资料!$B$6=""),"",SUMIFS(对接源_01水果筐数!$E$5:$E$304,对接源_01水果筐数!$B$5:$B$304,$B198,对接源_01水果筐数!$C$5:$C$304,基础资料!$B$6))</f>
        <v/>
      </c>
      <c r="AI198" s="25" t="str">
        <f>IF(OR($B198="",基础资料!$B$7=""),"",SUMIFS(对接源_01水果筐数!$E$5:$E$304,对接源_01水果筐数!$B$5:$B$304,$B198,对接源_01水果筐数!$C$5:$C$304,基础资料!$B$7))</f>
        <v/>
      </c>
      <c r="AJ198" s="25" t="str">
        <f>IF(OR($B198="",基础资料!$B$8=""),"",SUMIFS(对接源_01水果筐数!$E$5:$E$304,对接源_01水果筐数!$B$5:$B$304,$B198,对接源_01水果筐数!$C$5:$C$304,基础资料!$B$8))</f>
        <v/>
      </c>
      <c r="AK198" s="25" t="str">
        <f>IF(OR($B198="",基础资料!$B$4=""),"",SUMIFS(对接源_01水果筐数!$F$5:$F$304,对接源_01水果筐数!$B$5:$B$304,$B198,对接源_01水果筐数!$C$5:$C$304,基础资料!$B$4))</f>
        <v/>
      </c>
      <c r="AL198" s="25" t="str">
        <f>IF(OR($B198="",基础资料!$B$5=""),"",SUMIFS(对接源_01水果筐数!$F$5:$F$304,对接源_01水果筐数!$B$5:$B$304,$B198,对接源_01水果筐数!$C$5:$C$304,基础资料!$B$5))</f>
        <v/>
      </c>
      <c r="AM198" s="25" t="str">
        <f>IF(OR($B198="",基础资料!$B$6=""),"",SUMIFS(对接源_01水果筐数!$F$5:$F$304,对接源_01水果筐数!$B$5:$B$304,$B198,对接源_01水果筐数!$C$5:$C$304,基础资料!$B$6))</f>
        <v/>
      </c>
      <c r="AN198" s="25" t="str">
        <f>IF(OR($B198="",基础资料!$B$7=""),"",SUMIFS(对接源_01水果筐数!$F$5:$F$304,对接源_01水果筐数!$B$5:$B$304,$B198,对接源_01水果筐数!$C$5:$C$304,基础资料!$B$7))</f>
        <v/>
      </c>
      <c r="AO198" s="25" t="str">
        <f>IF(OR($B198="",基础资料!$B$8=""),"",SUMIFS(对接源_01水果筐数!$F$5:$F$304,对接源_01水果筐数!$B$5:$B$304,$B198,对接源_01水果筐数!$C$5:$C$304,基础资料!$B$8))</f>
        <v/>
      </c>
      <c r="AP198" s="25" t="str">
        <f t="shared" si="41"/>
        <v/>
      </c>
      <c r="AQ198" s="25" t="str">
        <f t="shared" si="42"/>
        <v/>
      </c>
      <c r="AR198" s="25" t="str">
        <f t="shared" si="43"/>
        <v/>
      </c>
      <c r="AS198" s="25" t="str">
        <f t="shared" si="44"/>
        <v/>
      </c>
      <c r="AT198" s="25" t="str">
        <f t="shared" si="45"/>
        <v/>
      </c>
      <c r="AU198" s="25" t="str">
        <f t="shared" si="46"/>
        <v/>
      </c>
      <c r="AV198" s="24" t="str">
        <f t="shared" si="47"/>
        <v/>
      </c>
      <c r="AW198" s="72"/>
    </row>
    <row r="199" spans="1:49">
      <c r="A199" s="22" t="str">
        <f t="shared" si="36"/>
        <v/>
      </c>
      <c r="B199" s="24" t="str">
        <f>IFERROR(INDEX(_自动清单!$CC$4:$CC$253,ROW()-3),"")</f>
        <v/>
      </c>
      <c r="C199" s="25" t="str">
        <f>IF(OR($B199="",基础资料!$B$4=""),"",SUMIFS(周转筐出入库明细!$J$4:$J$2004,周转筐出入库明细!$C$4:$C$2004,$B199,周转筐出入库明细!$D$4:$D$2004,基础资料!$B$4,周转筐出入库明细!$B$4:$B$2004,"&gt;="&amp;$BC$1,周转筐出入库明细!$B$4:$B$2004,"&lt;="&amp;$BC$2))</f>
        <v/>
      </c>
      <c r="D199" s="25" t="str">
        <f>IF(OR($B199="",基础资料!$B$5=""),"",SUMIFS(周转筐出入库明细!$J$4:$J$2004,周转筐出入库明细!$C$4:$C$2004,$B199,周转筐出入库明细!$D$4:$D$2004,基础资料!$B$5,周转筐出入库明细!$B$4:$B$2004,"&gt;="&amp;$BC$1,周转筐出入库明细!$B$4:$B$2004,"&lt;="&amp;$BC$2))</f>
        <v/>
      </c>
      <c r="E199" s="25" t="str">
        <f>IF(OR($B199="",基础资料!$B$6=""),"",SUMIFS(周转筐出入库明细!$J$4:$J$2004,周转筐出入库明细!$C$4:$C$2004,$B199,周转筐出入库明细!$D$4:$D$2004,基础资料!$B$6,周转筐出入库明细!$B$4:$B$2004,"&gt;="&amp;$BC$1,周转筐出入库明细!$B$4:$B$2004,"&lt;="&amp;$BC$2))</f>
        <v/>
      </c>
      <c r="F199" s="25" t="str">
        <f>IF(OR($B199="",基础资料!$B$7=""),"",SUMIFS(周转筐出入库明细!$J$4:$J$2004,周转筐出入库明细!$C$4:$C$2004,$B199,周转筐出入库明细!$D$4:$D$2004,基础资料!$B$7,周转筐出入库明细!$B$4:$B$2004,"&gt;="&amp;$BC$1,周转筐出入库明细!$B$4:$B$2004,"&lt;="&amp;$BC$2))</f>
        <v/>
      </c>
      <c r="G199" s="25" t="str">
        <f>IF(OR($B199="",基础资料!$B$8=""),"",SUMIFS(周转筐出入库明细!$J$4:$J$2004,周转筐出入库明细!$C$4:$C$2004,$B199,周转筐出入库明细!$D$4:$D$2004,基础资料!$B$8,周转筐出入库明细!$B$4:$B$2004,"&gt;="&amp;$BC$1,周转筐出入库明细!$B$4:$B$2004,"&lt;="&amp;$BC$2))</f>
        <v/>
      </c>
      <c r="H199" s="25" t="str">
        <f t="shared" si="37"/>
        <v/>
      </c>
      <c r="I199" s="67" t="str">
        <f>IF(OR($B199="",基础资料!$B$4=""),"",-SUMIFS(周转筐出入库明细!$I$4:$I$2004,周转筐出入库明细!$C$4:$C$2004,$B199,周转筐出入库明细!$D$4:$D$2004,基础资料!$B$4,周转筐出入库明细!$B$4:$B$2004,"&gt;="&amp;$BC$1,周转筐出入库明细!$B$4:$B$2004,"&lt;="&amp;$BC$2))</f>
        <v/>
      </c>
      <c r="J199" s="67" t="str">
        <f>IF(OR($B199="",基础资料!$B$5=""),"",-SUMIFS(周转筐出入库明细!$I$4:$I$2004,周转筐出入库明细!$C$4:$C$2004,$B199,周转筐出入库明细!$D$4:$D$2004,基础资料!$B$5,周转筐出入库明细!$B$4:$B$2004,"&gt;="&amp;$BC$1,周转筐出入库明细!$B$4:$B$2004,"&lt;="&amp;$BC$2))</f>
        <v/>
      </c>
      <c r="K199" s="67" t="str">
        <f>IF(OR($B199="",基础资料!$B$6=""),"",-SUMIFS(周转筐出入库明细!$I$4:$I$2004,周转筐出入库明细!$C$4:$C$2004,$B199,周转筐出入库明细!$D$4:$D$2004,基础资料!$B$6,周转筐出入库明细!$B$4:$B$2004,"&gt;="&amp;$BC$1,周转筐出入库明细!$B$4:$B$2004,"&lt;="&amp;$BC$2))</f>
        <v/>
      </c>
      <c r="L199" s="67" t="str">
        <f>IF(OR($B199="",基础资料!$B$7=""),"",-SUMIFS(周转筐出入库明细!$I$4:$I$2004,周转筐出入库明细!$C$4:$C$2004,$B199,周转筐出入库明细!$D$4:$D$2004,基础资料!$B$7,周转筐出入库明细!$B$4:$B$2004,"&gt;="&amp;$BC$1,周转筐出入库明细!$B$4:$B$2004,"&lt;="&amp;$BC$2))</f>
        <v/>
      </c>
      <c r="M199" s="67" t="str">
        <f>IF(OR($B199="",基础资料!$B$8=""),"",-SUMIFS(周转筐出入库明细!$I$4:$I$2004,周转筐出入库明细!$C$4:$C$2004,$B199,周转筐出入库明细!$D$4:$D$2004,基础资料!$B$8,周转筐出入库明细!$B$4:$B$2004,"&gt;="&amp;$BC$1,周转筐出入库明细!$B$4:$B$2004,"&lt;="&amp;$BC$2))</f>
        <v/>
      </c>
      <c r="N199" s="67" t="str">
        <f t="shared" si="38"/>
        <v/>
      </c>
      <c r="O199" s="25" t="str">
        <f>IF(OR($B199="",基础资料!$B$4=""),"",SUMIFS(周转筐出入库明细!$H$4:$H$2004,周转筐出入库明细!$C$4:$C$2004,$B199,周转筐出入库明细!$D$4:$D$2004,基础资料!$B$4,周转筐出入库明细!$F$4:$F$2004,"采购入库",周转筐出入库明细!$B$4:$B$2004,"&gt;="&amp;$BC$1,周转筐出入库明细!$B$4:$B$2004,"&lt;="&amp;$BC$2))</f>
        <v/>
      </c>
      <c r="P199" s="25" t="str">
        <f>IF(OR($B199="",基础资料!$B$5=""),"",SUMIFS(周转筐出入库明细!$H$4:$H$2004,周转筐出入库明细!$C$4:$C$2004,$B199,周转筐出入库明细!$D$4:$D$2004,基础资料!$B$5,周转筐出入库明细!$F$4:$F$2004,"采购入库",周转筐出入库明细!$B$4:$B$2004,"&gt;="&amp;$BC$1,周转筐出入库明细!$B$4:$B$2004,"&lt;="&amp;$BC$2))</f>
        <v/>
      </c>
      <c r="Q199" s="25" t="str">
        <f>IF(OR($B199="",基础资料!$B$6=""),"",SUMIFS(周转筐出入库明细!$H$4:$H$2004,周转筐出入库明细!$C$4:$C$2004,$B199,周转筐出入库明细!$D$4:$D$2004,基础资料!$B$6,周转筐出入库明细!$F$4:$F$2004,"采购入库",周转筐出入库明细!$B$4:$B$2004,"&gt;="&amp;$BC$1,周转筐出入库明细!$B$4:$B$2004,"&lt;="&amp;$BC$2))</f>
        <v/>
      </c>
      <c r="R199" s="25" t="str">
        <f>IF(OR($B199="",基础资料!$B$7=""),"",SUMIFS(周转筐出入库明细!$H$4:$H$2004,周转筐出入库明细!$C$4:$C$2004,$B199,周转筐出入库明细!$D$4:$D$2004,基础资料!$B$7,周转筐出入库明细!$F$4:$F$2004,"采购入库",周转筐出入库明细!$B$4:$B$2004,"&gt;="&amp;$BC$1,周转筐出入库明细!$B$4:$B$2004,"&lt;="&amp;$BC$2))</f>
        <v/>
      </c>
      <c r="S199" s="25" t="str">
        <f>IF(OR($B199="",基础资料!$B$8=""),"",SUMIFS(周转筐出入库明细!$H$4:$H$2004,周转筐出入库明细!$C$4:$C$2004,$B199,周转筐出入库明细!$D$4:$D$2004,基础资料!$B$8,周转筐出入库明细!$F$4:$F$2004,"采购入库",周转筐出入库明细!$B$4:$B$2004,"&gt;="&amp;$BC$1,周转筐出入库明细!$B$4:$B$2004,"&lt;="&amp;$BC$2))</f>
        <v/>
      </c>
      <c r="T199" s="25" t="str">
        <f t="shared" si="39"/>
        <v/>
      </c>
      <c r="U199" s="25" t="str">
        <f>IF(OR($B199="",基础资料!$B$4=""),"",SUMIFS(周转筐出入库明细!$K$4:$K$2004,周转筐出入库明细!$C$4:$C$2004,$B199,周转筐出入库明细!$D$4:$D$2004,基础资料!$B$4,周转筐出入库明细!$B$4:$B$2004,"&gt;="&amp;$BC$1,周转筐出入库明细!$B$4:$B$2004,"&lt;="&amp;$BC$2))</f>
        <v/>
      </c>
      <c r="V199" s="25" t="str">
        <f>IF(OR($B199="",基础资料!$B$5=""),"",SUMIFS(周转筐出入库明细!$K$4:$K$2004,周转筐出入库明细!$C$4:$C$2004,$B199,周转筐出入库明细!$D$4:$D$2004,基础资料!$B$5,周转筐出入库明细!$B$4:$B$2004,"&gt;="&amp;$BC$1,周转筐出入库明细!$B$4:$B$2004,"&lt;="&amp;$BC$2))</f>
        <v/>
      </c>
      <c r="W199" s="25" t="str">
        <f>IF(OR($B199="",基础资料!$B$6=""),"",SUMIFS(周转筐出入库明细!$K$4:$K$2004,周转筐出入库明细!$C$4:$C$2004,$B199,周转筐出入库明细!$D$4:$D$2004,基础资料!$B$6,周转筐出入库明细!$B$4:$B$2004,"&gt;="&amp;$BC$1,周转筐出入库明细!$B$4:$B$2004,"&lt;="&amp;$BC$2))</f>
        <v/>
      </c>
      <c r="X199" s="25" t="str">
        <f>IF(OR($B199="",基础资料!$B$7=""),"",SUMIFS(周转筐出入库明细!$K$4:$K$2004,周转筐出入库明细!$C$4:$C$2004,$B199,周转筐出入库明细!$D$4:$D$2004,基础资料!$B$7,周转筐出入库明细!$B$4:$B$2004,"&gt;="&amp;$BC$1,周转筐出入库明细!$B$4:$B$2004,"&lt;="&amp;$BC$2))</f>
        <v/>
      </c>
      <c r="Y199" s="25" t="str">
        <f>IF(OR($B199="",基础资料!$B$8=""),"",SUMIFS(周转筐出入库明细!$K$4:$K$2004,周转筐出入库明细!$C$4:$C$2004,$B199,周转筐出入库明细!$D$4:$D$2004,基础资料!$B$8,周转筐出入库明细!$B$4:$B$2004,"&gt;="&amp;$BC$1,周转筐出入库明细!$B$4:$B$2004,"&lt;="&amp;$BC$2))</f>
        <v/>
      </c>
      <c r="Z199" s="25" t="str">
        <f t="shared" si="40"/>
        <v/>
      </c>
      <c r="AA199" s="67" t="str">
        <f>IF(OR($B199="",基础资料!$B$4=""),"",-SUMIFS(对接源_01水果筐数!$D$5:$D$304,对接源_01水果筐数!$B$5:$B$304,$B199,对接源_01水果筐数!$C$5:$C$304,基础资料!$B$4))</f>
        <v/>
      </c>
      <c r="AB199" s="67" t="str">
        <f>IF(OR($B199="",基础资料!$B$5=""),"",-SUMIFS(对接源_01水果筐数!$D$5:$D$304,对接源_01水果筐数!$B$5:$B$304,$B199,对接源_01水果筐数!$C$5:$C$304,基础资料!$B$5))</f>
        <v/>
      </c>
      <c r="AC199" s="67" t="str">
        <f>IF(OR($B199="",基础资料!$B$6=""),"",-SUMIFS(对接源_01水果筐数!$D$5:$D$304,对接源_01水果筐数!$B$5:$B$304,$B199,对接源_01水果筐数!$C$5:$C$304,基础资料!$B$6))</f>
        <v/>
      </c>
      <c r="AD199" s="67" t="str">
        <f>IF(OR($B199="",基础资料!$B$7=""),"",-SUMIFS(对接源_01水果筐数!$D$5:$D$304,对接源_01水果筐数!$B$5:$B$304,$B199,对接源_01水果筐数!$C$5:$C$304,基础资料!$B$7))</f>
        <v/>
      </c>
      <c r="AE199" s="67" t="str">
        <f>IF(OR($B199="",基础资料!$B$8=""),"",-SUMIFS(对接源_01水果筐数!$D$5:$D$304,对接源_01水果筐数!$B$5:$B$304,$B199,对接源_01水果筐数!$C$5:$C$304,基础资料!$B$8))</f>
        <v/>
      </c>
      <c r="AF199" s="25" t="str">
        <f>IF(OR($B199="",基础资料!$B$4=""),"",SUMIFS(对接源_01水果筐数!$E$5:$E$304,对接源_01水果筐数!$B$5:$B$304,$B199,对接源_01水果筐数!$C$5:$C$304,基础资料!$B$4))</f>
        <v/>
      </c>
      <c r="AG199" s="25" t="str">
        <f>IF(OR($B199="",基础资料!$B$5=""),"",SUMIFS(对接源_01水果筐数!$E$5:$E$304,对接源_01水果筐数!$B$5:$B$304,$B199,对接源_01水果筐数!$C$5:$C$304,基础资料!$B$5))</f>
        <v/>
      </c>
      <c r="AH199" s="25" t="str">
        <f>IF(OR($B199="",基础资料!$B$6=""),"",SUMIFS(对接源_01水果筐数!$E$5:$E$304,对接源_01水果筐数!$B$5:$B$304,$B199,对接源_01水果筐数!$C$5:$C$304,基础资料!$B$6))</f>
        <v/>
      </c>
      <c r="AI199" s="25" t="str">
        <f>IF(OR($B199="",基础资料!$B$7=""),"",SUMIFS(对接源_01水果筐数!$E$5:$E$304,对接源_01水果筐数!$B$5:$B$304,$B199,对接源_01水果筐数!$C$5:$C$304,基础资料!$B$7))</f>
        <v/>
      </c>
      <c r="AJ199" s="25" t="str">
        <f>IF(OR($B199="",基础资料!$B$8=""),"",SUMIFS(对接源_01水果筐数!$E$5:$E$304,对接源_01水果筐数!$B$5:$B$304,$B199,对接源_01水果筐数!$C$5:$C$304,基础资料!$B$8))</f>
        <v/>
      </c>
      <c r="AK199" s="25" t="str">
        <f>IF(OR($B199="",基础资料!$B$4=""),"",SUMIFS(对接源_01水果筐数!$F$5:$F$304,对接源_01水果筐数!$B$5:$B$304,$B199,对接源_01水果筐数!$C$5:$C$304,基础资料!$B$4))</f>
        <v/>
      </c>
      <c r="AL199" s="25" t="str">
        <f>IF(OR($B199="",基础资料!$B$5=""),"",SUMIFS(对接源_01水果筐数!$F$5:$F$304,对接源_01水果筐数!$B$5:$B$304,$B199,对接源_01水果筐数!$C$5:$C$304,基础资料!$B$5))</f>
        <v/>
      </c>
      <c r="AM199" s="25" t="str">
        <f>IF(OR($B199="",基础资料!$B$6=""),"",SUMIFS(对接源_01水果筐数!$F$5:$F$304,对接源_01水果筐数!$B$5:$B$304,$B199,对接源_01水果筐数!$C$5:$C$304,基础资料!$B$6))</f>
        <v/>
      </c>
      <c r="AN199" s="25" t="str">
        <f>IF(OR($B199="",基础资料!$B$7=""),"",SUMIFS(对接源_01水果筐数!$F$5:$F$304,对接源_01水果筐数!$B$5:$B$304,$B199,对接源_01水果筐数!$C$5:$C$304,基础资料!$B$7))</f>
        <v/>
      </c>
      <c r="AO199" s="25" t="str">
        <f>IF(OR($B199="",基础资料!$B$8=""),"",SUMIFS(对接源_01水果筐数!$F$5:$F$304,对接源_01水果筐数!$B$5:$B$304,$B199,对接源_01水果筐数!$C$5:$C$304,基础资料!$B$8))</f>
        <v/>
      </c>
      <c r="AP199" s="25" t="str">
        <f t="shared" si="41"/>
        <v/>
      </c>
      <c r="AQ199" s="25" t="str">
        <f t="shared" si="42"/>
        <v/>
      </c>
      <c r="AR199" s="25" t="str">
        <f t="shared" si="43"/>
        <v/>
      </c>
      <c r="AS199" s="25" t="str">
        <f t="shared" si="44"/>
        <v/>
      </c>
      <c r="AT199" s="25" t="str">
        <f t="shared" si="45"/>
        <v/>
      </c>
      <c r="AU199" s="25" t="str">
        <f t="shared" si="46"/>
        <v/>
      </c>
      <c r="AV199" s="24" t="str">
        <f t="shared" si="47"/>
        <v/>
      </c>
      <c r="AW199" s="72"/>
    </row>
    <row r="200" spans="1:49">
      <c r="A200" s="22" t="str">
        <f t="shared" si="36"/>
        <v/>
      </c>
      <c r="B200" s="24" t="str">
        <f>IFERROR(INDEX(_自动清单!$CC$4:$CC$253,ROW()-3),"")</f>
        <v/>
      </c>
      <c r="C200" s="25" t="str">
        <f>IF(OR($B200="",基础资料!$B$4=""),"",SUMIFS(周转筐出入库明细!$J$4:$J$2004,周转筐出入库明细!$C$4:$C$2004,$B200,周转筐出入库明细!$D$4:$D$2004,基础资料!$B$4,周转筐出入库明细!$B$4:$B$2004,"&gt;="&amp;$BC$1,周转筐出入库明细!$B$4:$B$2004,"&lt;="&amp;$BC$2))</f>
        <v/>
      </c>
      <c r="D200" s="25" t="str">
        <f>IF(OR($B200="",基础资料!$B$5=""),"",SUMIFS(周转筐出入库明细!$J$4:$J$2004,周转筐出入库明细!$C$4:$C$2004,$B200,周转筐出入库明细!$D$4:$D$2004,基础资料!$B$5,周转筐出入库明细!$B$4:$B$2004,"&gt;="&amp;$BC$1,周转筐出入库明细!$B$4:$B$2004,"&lt;="&amp;$BC$2))</f>
        <v/>
      </c>
      <c r="E200" s="25" t="str">
        <f>IF(OR($B200="",基础资料!$B$6=""),"",SUMIFS(周转筐出入库明细!$J$4:$J$2004,周转筐出入库明细!$C$4:$C$2004,$B200,周转筐出入库明细!$D$4:$D$2004,基础资料!$B$6,周转筐出入库明细!$B$4:$B$2004,"&gt;="&amp;$BC$1,周转筐出入库明细!$B$4:$B$2004,"&lt;="&amp;$BC$2))</f>
        <v/>
      </c>
      <c r="F200" s="25" t="str">
        <f>IF(OR($B200="",基础资料!$B$7=""),"",SUMIFS(周转筐出入库明细!$J$4:$J$2004,周转筐出入库明细!$C$4:$C$2004,$B200,周转筐出入库明细!$D$4:$D$2004,基础资料!$B$7,周转筐出入库明细!$B$4:$B$2004,"&gt;="&amp;$BC$1,周转筐出入库明细!$B$4:$B$2004,"&lt;="&amp;$BC$2))</f>
        <v/>
      </c>
      <c r="G200" s="25" t="str">
        <f>IF(OR($B200="",基础资料!$B$8=""),"",SUMIFS(周转筐出入库明细!$J$4:$J$2004,周转筐出入库明细!$C$4:$C$2004,$B200,周转筐出入库明细!$D$4:$D$2004,基础资料!$B$8,周转筐出入库明细!$B$4:$B$2004,"&gt;="&amp;$BC$1,周转筐出入库明细!$B$4:$B$2004,"&lt;="&amp;$BC$2))</f>
        <v/>
      </c>
      <c r="H200" s="25" t="str">
        <f t="shared" si="37"/>
        <v/>
      </c>
      <c r="I200" s="67" t="str">
        <f>IF(OR($B200="",基础资料!$B$4=""),"",-SUMIFS(周转筐出入库明细!$I$4:$I$2004,周转筐出入库明细!$C$4:$C$2004,$B200,周转筐出入库明细!$D$4:$D$2004,基础资料!$B$4,周转筐出入库明细!$B$4:$B$2004,"&gt;="&amp;$BC$1,周转筐出入库明细!$B$4:$B$2004,"&lt;="&amp;$BC$2))</f>
        <v/>
      </c>
      <c r="J200" s="67" t="str">
        <f>IF(OR($B200="",基础资料!$B$5=""),"",-SUMIFS(周转筐出入库明细!$I$4:$I$2004,周转筐出入库明细!$C$4:$C$2004,$B200,周转筐出入库明细!$D$4:$D$2004,基础资料!$B$5,周转筐出入库明细!$B$4:$B$2004,"&gt;="&amp;$BC$1,周转筐出入库明细!$B$4:$B$2004,"&lt;="&amp;$BC$2))</f>
        <v/>
      </c>
      <c r="K200" s="67" t="str">
        <f>IF(OR($B200="",基础资料!$B$6=""),"",-SUMIFS(周转筐出入库明细!$I$4:$I$2004,周转筐出入库明细!$C$4:$C$2004,$B200,周转筐出入库明细!$D$4:$D$2004,基础资料!$B$6,周转筐出入库明细!$B$4:$B$2004,"&gt;="&amp;$BC$1,周转筐出入库明细!$B$4:$B$2004,"&lt;="&amp;$BC$2))</f>
        <v/>
      </c>
      <c r="L200" s="67" t="str">
        <f>IF(OR($B200="",基础资料!$B$7=""),"",-SUMIFS(周转筐出入库明细!$I$4:$I$2004,周转筐出入库明细!$C$4:$C$2004,$B200,周转筐出入库明细!$D$4:$D$2004,基础资料!$B$7,周转筐出入库明细!$B$4:$B$2004,"&gt;="&amp;$BC$1,周转筐出入库明细!$B$4:$B$2004,"&lt;="&amp;$BC$2))</f>
        <v/>
      </c>
      <c r="M200" s="67" t="str">
        <f>IF(OR($B200="",基础资料!$B$8=""),"",-SUMIFS(周转筐出入库明细!$I$4:$I$2004,周转筐出入库明细!$C$4:$C$2004,$B200,周转筐出入库明细!$D$4:$D$2004,基础资料!$B$8,周转筐出入库明细!$B$4:$B$2004,"&gt;="&amp;$BC$1,周转筐出入库明细!$B$4:$B$2004,"&lt;="&amp;$BC$2))</f>
        <v/>
      </c>
      <c r="N200" s="67" t="str">
        <f t="shared" si="38"/>
        <v/>
      </c>
      <c r="O200" s="25" t="str">
        <f>IF(OR($B200="",基础资料!$B$4=""),"",SUMIFS(周转筐出入库明细!$H$4:$H$2004,周转筐出入库明细!$C$4:$C$2004,$B200,周转筐出入库明细!$D$4:$D$2004,基础资料!$B$4,周转筐出入库明细!$F$4:$F$2004,"采购入库",周转筐出入库明细!$B$4:$B$2004,"&gt;="&amp;$BC$1,周转筐出入库明细!$B$4:$B$2004,"&lt;="&amp;$BC$2))</f>
        <v/>
      </c>
      <c r="P200" s="25" t="str">
        <f>IF(OR($B200="",基础资料!$B$5=""),"",SUMIFS(周转筐出入库明细!$H$4:$H$2004,周转筐出入库明细!$C$4:$C$2004,$B200,周转筐出入库明细!$D$4:$D$2004,基础资料!$B$5,周转筐出入库明细!$F$4:$F$2004,"采购入库",周转筐出入库明细!$B$4:$B$2004,"&gt;="&amp;$BC$1,周转筐出入库明细!$B$4:$B$2004,"&lt;="&amp;$BC$2))</f>
        <v/>
      </c>
      <c r="Q200" s="25" t="str">
        <f>IF(OR($B200="",基础资料!$B$6=""),"",SUMIFS(周转筐出入库明细!$H$4:$H$2004,周转筐出入库明细!$C$4:$C$2004,$B200,周转筐出入库明细!$D$4:$D$2004,基础资料!$B$6,周转筐出入库明细!$F$4:$F$2004,"采购入库",周转筐出入库明细!$B$4:$B$2004,"&gt;="&amp;$BC$1,周转筐出入库明细!$B$4:$B$2004,"&lt;="&amp;$BC$2))</f>
        <v/>
      </c>
      <c r="R200" s="25" t="str">
        <f>IF(OR($B200="",基础资料!$B$7=""),"",SUMIFS(周转筐出入库明细!$H$4:$H$2004,周转筐出入库明细!$C$4:$C$2004,$B200,周转筐出入库明细!$D$4:$D$2004,基础资料!$B$7,周转筐出入库明细!$F$4:$F$2004,"采购入库",周转筐出入库明细!$B$4:$B$2004,"&gt;="&amp;$BC$1,周转筐出入库明细!$B$4:$B$2004,"&lt;="&amp;$BC$2))</f>
        <v/>
      </c>
      <c r="S200" s="25" t="str">
        <f>IF(OR($B200="",基础资料!$B$8=""),"",SUMIFS(周转筐出入库明细!$H$4:$H$2004,周转筐出入库明细!$C$4:$C$2004,$B200,周转筐出入库明细!$D$4:$D$2004,基础资料!$B$8,周转筐出入库明细!$F$4:$F$2004,"采购入库",周转筐出入库明细!$B$4:$B$2004,"&gt;="&amp;$BC$1,周转筐出入库明细!$B$4:$B$2004,"&lt;="&amp;$BC$2))</f>
        <v/>
      </c>
      <c r="T200" s="25" t="str">
        <f t="shared" si="39"/>
        <v/>
      </c>
      <c r="U200" s="25" t="str">
        <f>IF(OR($B200="",基础资料!$B$4=""),"",SUMIFS(周转筐出入库明细!$K$4:$K$2004,周转筐出入库明细!$C$4:$C$2004,$B200,周转筐出入库明细!$D$4:$D$2004,基础资料!$B$4,周转筐出入库明细!$B$4:$B$2004,"&gt;="&amp;$BC$1,周转筐出入库明细!$B$4:$B$2004,"&lt;="&amp;$BC$2))</f>
        <v/>
      </c>
      <c r="V200" s="25" t="str">
        <f>IF(OR($B200="",基础资料!$B$5=""),"",SUMIFS(周转筐出入库明细!$K$4:$K$2004,周转筐出入库明细!$C$4:$C$2004,$B200,周转筐出入库明细!$D$4:$D$2004,基础资料!$B$5,周转筐出入库明细!$B$4:$B$2004,"&gt;="&amp;$BC$1,周转筐出入库明细!$B$4:$B$2004,"&lt;="&amp;$BC$2))</f>
        <v/>
      </c>
      <c r="W200" s="25" t="str">
        <f>IF(OR($B200="",基础资料!$B$6=""),"",SUMIFS(周转筐出入库明细!$K$4:$K$2004,周转筐出入库明细!$C$4:$C$2004,$B200,周转筐出入库明细!$D$4:$D$2004,基础资料!$B$6,周转筐出入库明细!$B$4:$B$2004,"&gt;="&amp;$BC$1,周转筐出入库明细!$B$4:$B$2004,"&lt;="&amp;$BC$2))</f>
        <v/>
      </c>
      <c r="X200" s="25" t="str">
        <f>IF(OR($B200="",基础资料!$B$7=""),"",SUMIFS(周转筐出入库明细!$K$4:$K$2004,周转筐出入库明细!$C$4:$C$2004,$B200,周转筐出入库明细!$D$4:$D$2004,基础资料!$B$7,周转筐出入库明细!$B$4:$B$2004,"&gt;="&amp;$BC$1,周转筐出入库明细!$B$4:$B$2004,"&lt;="&amp;$BC$2))</f>
        <v/>
      </c>
      <c r="Y200" s="25" t="str">
        <f>IF(OR($B200="",基础资料!$B$8=""),"",SUMIFS(周转筐出入库明细!$K$4:$K$2004,周转筐出入库明细!$C$4:$C$2004,$B200,周转筐出入库明细!$D$4:$D$2004,基础资料!$B$8,周转筐出入库明细!$B$4:$B$2004,"&gt;="&amp;$BC$1,周转筐出入库明细!$B$4:$B$2004,"&lt;="&amp;$BC$2))</f>
        <v/>
      </c>
      <c r="Z200" s="25" t="str">
        <f t="shared" si="40"/>
        <v/>
      </c>
      <c r="AA200" s="67" t="str">
        <f>IF(OR($B200="",基础资料!$B$4=""),"",-SUMIFS(对接源_01水果筐数!$D$5:$D$304,对接源_01水果筐数!$B$5:$B$304,$B200,对接源_01水果筐数!$C$5:$C$304,基础资料!$B$4))</f>
        <v/>
      </c>
      <c r="AB200" s="67" t="str">
        <f>IF(OR($B200="",基础资料!$B$5=""),"",-SUMIFS(对接源_01水果筐数!$D$5:$D$304,对接源_01水果筐数!$B$5:$B$304,$B200,对接源_01水果筐数!$C$5:$C$304,基础资料!$B$5))</f>
        <v/>
      </c>
      <c r="AC200" s="67" t="str">
        <f>IF(OR($B200="",基础资料!$B$6=""),"",-SUMIFS(对接源_01水果筐数!$D$5:$D$304,对接源_01水果筐数!$B$5:$B$304,$B200,对接源_01水果筐数!$C$5:$C$304,基础资料!$B$6))</f>
        <v/>
      </c>
      <c r="AD200" s="67" t="str">
        <f>IF(OR($B200="",基础资料!$B$7=""),"",-SUMIFS(对接源_01水果筐数!$D$5:$D$304,对接源_01水果筐数!$B$5:$B$304,$B200,对接源_01水果筐数!$C$5:$C$304,基础资料!$B$7))</f>
        <v/>
      </c>
      <c r="AE200" s="67" t="str">
        <f>IF(OR($B200="",基础资料!$B$8=""),"",-SUMIFS(对接源_01水果筐数!$D$5:$D$304,对接源_01水果筐数!$B$5:$B$304,$B200,对接源_01水果筐数!$C$5:$C$304,基础资料!$B$8))</f>
        <v/>
      </c>
      <c r="AF200" s="25" t="str">
        <f>IF(OR($B200="",基础资料!$B$4=""),"",SUMIFS(对接源_01水果筐数!$E$5:$E$304,对接源_01水果筐数!$B$5:$B$304,$B200,对接源_01水果筐数!$C$5:$C$304,基础资料!$B$4))</f>
        <v/>
      </c>
      <c r="AG200" s="25" t="str">
        <f>IF(OR($B200="",基础资料!$B$5=""),"",SUMIFS(对接源_01水果筐数!$E$5:$E$304,对接源_01水果筐数!$B$5:$B$304,$B200,对接源_01水果筐数!$C$5:$C$304,基础资料!$B$5))</f>
        <v/>
      </c>
      <c r="AH200" s="25" t="str">
        <f>IF(OR($B200="",基础资料!$B$6=""),"",SUMIFS(对接源_01水果筐数!$E$5:$E$304,对接源_01水果筐数!$B$5:$B$304,$B200,对接源_01水果筐数!$C$5:$C$304,基础资料!$B$6))</f>
        <v/>
      </c>
      <c r="AI200" s="25" t="str">
        <f>IF(OR($B200="",基础资料!$B$7=""),"",SUMIFS(对接源_01水果筐数!$E$5:$E$304,对接源_01水果筐数!$B$5:$B$304,$B200,对接源_01水果筐数!$C$5:$C$304,基础资料!$B$7))</f>
        <v/>
      </c>
      <c r="AJ200" s="25" t="str">
        <f>IF(OR($B200="",基础资料!$B$8=""),"",SUMIFS(对接源_01水果筐数!$E$5:$E$304,对接源_01水果筐数!$B$5:$B$304,$B200,对接源_01水果筐数!$C$5:$C$304,基础资料!$B$8))</f>
        <v/>
      </c>
      <c r="AK200" s="25" t="str">
        <f>IF(OR($B200="",基础资料!$B$4=""),"",SUMIFS(对接源_01水果筐数!$F$5:$F$304,对接源_01水果筐数!$B$5:$B$304,$B200,对接源_01水果筐数!$C$5:$C$304,基础资料!$B$4))</f>
        <v/>
      </c>
      <c r="AL200" s="25" t="str">
        <f>IF(OR($B200="",基础资料!$B$5=""),"",SUMIFS(对接源_01水果筐数!$F$5:$F$304,对接源_01水果筐数!$B$5:$B$304,$B200,对接源_01水果筐数!$C$5:$C$304,基础资料!$B$5))</f>
        <v/>
      </c>
      <c r="AM200" s="25" t="str">
        <f>IF(OR($B200="",基础资料!$B$6=""),"",SUMIFS(对接源_01水果筐数!$F$5:$F$304,对接源_01水果筐数!$B$5:$B$304,$B200,对接源_01水果筐数!$C$5:$C$304,基础资料!$B$6))</f>
        <v/>
      </c>
      <c r="AN200" s="25" t="str">
        <f>IF(OR($B200="",基础资料!$B$7=""),"",SUMIFS(对接源_01水果筐数!$F$5:$F$304,对接源_01水果筐数!$B$5:$B$304,$B200,对接源_01水果筐数!$C$5:$C$304,基础资料!$B$7))</f>
        <v/>
      </c>
      <c r="AO200" s="25" t="str">
        <f>IF(OR($B200="",基础资料!$B$8=""),"",SUMIFS(对接源_01水果筐数!$F$5:$F$304,对接源_01水果筐数!$B$5:$B$304,$B200,对接源_01水果筐数!$C$5:$C$304,基础资料!$B$8))</f>
        <v/>
      </c>
      <c r="AP200" s="25" t="str">
        <f t="shared" si="41"/>
        <v/>
      </c>
      <c r="AQ200" s="25" t="str">
        <f t="shared" si="42"/>
        <v/>
      </c>
      <c r="AR200" s="25" t="str">
        <f t="shared" si="43"/>
        <v/>
      </c>
      <c r="AS200" s="25" t="str">
        <f t="shared" si="44"/>
        <v/>
      </c>
      <c r="AT200" s="25" t="str">
        <f t="shared" si="45"/>
        <v/>
      </c>
      <c r="AU200" s="25" t="str">
        <f t="shared" si="46"/>
        <v/>
      </c>
      <c r="AV200" s="24" t="str">
        <f t="shared" si="47"/>
        <v/>
      </c>
      <c r="AW200" s="72"/>
    </row>
    <row r="201" spans="1:49">
      <c r="A201" s="22" t="str">
        <f t="shared" si="36"/>
        <v/>
      </c>
      <c r="B201" s="24" t="str">
        <f>IFERROR(INDEX(_自动清单!$CC$4:$CC$253,ROW()-3),"")</f>
        <v/>
      </c>
      <c r="C201" s="25" t="str">
        <f>IF(OR($B201="",基础资料!$B$4=""),"",SUMIFS(周转筐出入库明细!$J$4:$J$2004,周转筐出入库明细!$C$4:$C$2004,$B201,周转筐出入库明细!$D$4:$D$2004,基础资料!$B$4,周转筐出入库明细!$B$4:$B$2004,"&gt;="&amp;$BC$1,周转筐出入库明细!$B$4:$B$2004,"&lt;="&amp;$BC$2))</f>
        <v/>
      </c>
      <c r="D201" s="25" t="str">
        <f>IF(OR($B201="",基础资料!$B$5=""),"",SUMIFS(周转筐出入库明细!$J$4:$J$2004,周转筐出入库明细!$C$4:$C$2004,$B201,周转筐出入库明细!$D$4:$D$2004,基础资料!$B$5,周转筐出入库明细!$B$4:$B$2004,"&gt;="&amp;$BC$1,周转筐出入库明细!$B$4:$B$2004,"&lt;="&amp;$BC$2))</f>
        <v/>
      </c>
      <c r="E201" s="25" t="str">
        <f>IF(OR($B201="",基础资料!$B$6=""),"",SUMIFS(周转筐出入库明细!$J$4:$J$2004,周转筐出入库明细!$C$4:$C$2004,$B201,周转筐出入库明细!$D$4:$D$2004,基础资料!$B$6,周转筐出入库明细!$B$4:$B$2004,"&gt;="&amp;$BC$1,周转筐出入库明细!$B$4:$B$2004,"&lt;="&amp;$BC$2))</f>
        <v/>
      </c>
      <c r="F201" s="25" t="str">
        <f>IF(OR($B201="",基础资料!$B$7=""),"",SUMIFS(周转筐出入库明细!$J$4:$J$2004,周转筐出入库明细!$C$4:$C$2004,$B201,周转筐出入库明细!$D$4:$D$2004,基础资料!$B$7,周转筐出入库明细!$B$4:$B$2004,"&gt;="&amp;$BC$1,周转筐出入库明细!$B$4:$B$2004,"&lt;="&amp;$BC$2))</f>
        <v/>
      </c>
      <c r="G201" s="25" t="str">
        <f>IF(OR($B201="",基础资料!$B$8=""),"",SUMIFS(周转筐出入库明细!$J$4:$J$2004,周转筐出入库明细!$C$4:$C$2004,$B201,周转筐出入库明细!$D$4:$D$2004,基础资料!$B$8,周转筐出入库明细!$B$4:$B$2004,"&gt;="&amp;$BC$1,周转筐出入库明细!$B$4:$B$2004,"&lt;="&amp;$BC$2))</f>
        <v/>
      </c>
      <c r="H201" s="25" t="str">
        <f t="shared" si="37"/>
        <v/>
      </c>
      <c r="I201" s="67" t="str">
        <f>IF(OR($B201="",基础资料!$B$4=""),"",-SUMIFS(周转筐出入库明细!$I$4:$I$2004,周转筐出入库明细!$C$4:$C$2004,$B201,周转筐出入库明细!$D$4:$D$2004,基础资料!$B$4,周转筐出入库明细!$B$4:$B$2004,"&gt;="&amp;$BC$1,周转筐出入库明细!$B$4:$B$2004,"&lt;="&amp;$BC$2))</f>
        <v/>
      </c>
      <c r="J201" s="67" t="str">
        <f>IF(OR($B201="",基础资料!$B$5=""),"",-SUMIFS(周转筐出入库明细!$I$4:$I$2004,周转筐出入库明细!$C$4:$C$2004,$B201,周转筐出入库明细!$D$4:$D$2004,基础资料!$B$5,周转筐出入库明细!$B$4:$B$2004,"&gt;="&amp;$BC$1,周转筐出入库明细!$B$4:$B$2004,"&lt;="&amp;$BC$2))</f>
        <v/>
      </c>
      <c r="K201" s="67" t="str">
        <f>IF(OR($B201="",基础资料!$B$6=""),"",-SUMIFS(周转筐出入库明细!$I$4:$I$2004,周转筐出入库明细!$C$4:$C$2004,$B201,周转筐出入库明细!$D$4:$D$2004,基础资料!$B$6,周转筐出入库明细!$B$4:$B$2004,"&gt;="&amp;$BC$1,周转筐出入库明细!$B$4:$B$2004,"&lt;="&amp;$BC$2))</f>
        <v/>
      </c>
      <c r="L201" s="67" t="str">
        <f>IF(OR($B201="",基础资料!$B$7=""),"",-SUMIFS(周转筐出入库明细!$I$4:$I$2004,周转筐出入库明细!$C$4:$C$2004,$B201,周转筐出入库明细!$D$4:$D$2004,基础资料!$B$7,周转筐出入库明细!$B$4:$B$2004,"&gt;="&amp;$BC$1,周转筐出入库明细!$B$4:$B$2004,"&lt;="&amp;$BC$2))</f>
        <v/>
      </c>
      <c r="M201" s="67" t="str">
        <f>IF(OR($B201="",基础资料!$B$8=""),"",-SUMIFS(周转筐出入库明细!$I$4:$I$2004,周转筐出入库明细!$C$4:$C$2004,$B201,周转筐出入库明细!$D$4:$D$2004,基础资料!$B$8,周转筐出入库明细!$B$4:$B$2004,"&gt;="&amp;$BC$1,周转筐出入库明细!$B$4:$B$2004,"&lt;="&amp;$BC$2))</f>
        <v/>
      </c>
      <c r="N201" s="67" t="str">
        <f t="shared" si="38"/>
        <v/>
      </c>
      <c r="O201" s="25" t="str">
        <f>IF(OR($B201="",基础资料!$B$4=""),"",SUMIFS(周转筐出入库明细!$H$4:$H$2004,周转筐出入库明细!$C$4:$C$2004,$B201,周转筐出入库明细!$D$4:$D$2004,基础资料!$B$4,周转筐出入库明细!$F$4:$F$2004,"采购入库",周转筐出入库明细!$B$4:$B$2004,"&gt;="&amp;$BC$1,周转筐出入库明细!$B$4:$B$2004,"&lt;="&amp;$BC$2))</f>
        <v/>
      </c>
      <c r="P201" s="25" t="str">
        <f>IF(OR($B201="",基础资料!$B$5=""),"",SUMIFS(周转筐出入库明细!$H$4:$H$2004,周转筐出入库明细!$C$4:$C$2004,$B201,周转筐出入库明细!$D$4:$D$2004,基础资料!$B$5,周转筐出入库明细!$F$4:$F$2004,"采购入库",周转筐出入库明细!$B$4:$B$2004,"&gt;="&amp;$BC$1,周转筐出入库明细!$B$4:$B$2004,"&lt;="&amp;$BC$2))</f>
        <v/>
      </c>
      <c r="Q201" s="25" t="str">
        <f>IF(OR($B201="",基础资料!$B$6=""),"",SUMIFS(周转筐出入库明细!$H$4:$H$2004,周转筐出入库明细!$C$4:$C$2004,$B201,周转筐出入库明细!$D$4:$D$2004,基础资料!$B$6,周转筐出入库明细!$F$4:$F$2004,"采购入库",周转筐出入库明细!$B$4:$B$2004,"&gt;="&amp;$BC$1,周转筐出入库明细!$B$4:$B$2004,"&lt;="&amp;$BC$2))</f>
        <v/>
      </c>
      <c r="R201" s="25" t="str">
        <f>IF(OR($B201="",基础资料!$B$7=""),"",SUMIFS(周转筐出入库明细!$H$4:$H$2004,周转筐出入库明细!$C$4:$C$2004,$B201,周转筐出入库明细!$D$4:$D$2004,基础资料!$B$7,周转筐出入库明细!$F$4:$F$2004,"采购入库",周转筐出入库明细!$B$4:$B$2004,"&gt;="&amp;$BC$1,周转筐出入库明细!$B$4:$B$2004,"&lt;="&amp;$BC$2))</f>
        <v/>
      </c>
      <c r="S201" s="25" t="str">
        <f>IF(OR($B201="",基础资料!$B$8=""),"",SUMIFS(周转筐出入库明细!$H$4:$H$2004,周转筐出入库明细!$C$4:$C$2004,$B201,周转筐出入库明细!$D$4:$D$2004,基础资料!$B$8,周转筐出入库明细!$F$4:$F$2004,"采购入库",周转筐出入库明细!$B$4:$B$2004,"&gt;="&amp;$BC$1,周转筐出入库明细!$B$4:$B$2004,"&lt;="&amp;$BC$2))</f>
        <v/>
      </c>
      <c r="T201" s="25" t="str">
        <f t="shared" si="39"/>
        <v/>
      </c>
      <c r="U201" s="25" t="str">
        <f>IF(OR($B201="",基础资料!$B$4=""),"",SUMIFS(周转筐出入库明细!$K$4:$K$2004,周转筐出入库明细!$C$4:$C$2004,$B201,周转筐出入库明细!$D$4:$D$2004,基础资料!$B$4,周转筐出入库明细!$B$4:$B$2004,"&gt;="&amp;$BC$1,周转筐出入库明细!$B$4:$B$2004,"&lt;="&amp;$BC$2))</f>
        <v/>
      </c>
      <c r="V201" s="25" t="str">
        <f>IF(OR($B201="",基础资料!$B$5=""),"",SUMIFS(周转筐出入库明细!$K$4:$K$2004,周转筐出入库明细!$C$4:$C$2004,$B201,周转筐出入库明细!$D$4:$D$2004,基础资料!$B$5,周转筐出入库明细!$B$4:$B$2004,"&gt;="&amp;$BC$1,周转筐出入库明细!$B$4:$B$2004,"&lt;="&amp;$BC$2))</f>
        <v/>
      </c>
      <c r="W201" s="25" t="str">
        <f>IF(OR($B201="",基础资料!$B$6=""),"",SUMIFS(周转筐出入库明细!$K$4:$K$2004,周转筐出入库明细!$C$4:$C$2004,$B201,周转筐出入库明细!$D$4:$D$2004,基础资料!$B$6,周转筐出入库明细!$B$4:$B$2004,"&gt;="&amp;$BC$1,周转筐出入库明细!$B$4:$B$2004,"&lt;="&amp;$BC$2))</f>
        <v/>
      </c>
      <c r="X201" s="25" t="str">
        <f>IF(OR($B201="",基础资料!$B$7=""),"",SUMIFS(周转筐出入库明细!$K$4:$K$2004,周转筐出入库明细!$C$4:$C$2004,$B201,周转筐出入库明细!$D$4:$D$2004,基础资料!$B$7,周转筐出入库明细!$B$4:$B$2004,"&gt;="&amp;$BC$1,周转筐出入库明细!$B$4:$B$2004,"&lt;="&amp;$BC$2))</f>
        <v/>
      </c>
      <c r="Y201" s="25" t="str">
        <f>IF(OR($B201="",基础资料!$B$8=""),"",SUMIFS(周转筐出入库明细!$K$4:$K$2004,周转筐出入库明细!$C$4:$C$2004,$B201,周转筐出入库明细!$D$4:$D$2004,基础资料!$B$8,周转筐出入库明细!$B$4:$B$2004,"&gt;="&amp;$BC$1,周转筐出入库明细!$B$4:$B$2004,"&lt;="&amp;$BC$2))</f>
        <v/>
      </c>
      <c r="Z201" s="25" t="str">
        <f t="shared" si="40"/>
        <v/>
      </c>
      <c r="AA201" s="67" t="str">
        <f>IF(OR($B201="",基础资料!$B$4=""),"",-SUMIFS(对接源_01水果筐数!$D$5:$D$304,对接源_01水果筐数!$B$5:$B$304,$B201,对接源_01水果筐数!$C$5:$C$304,基础资料!$B$4))</f>
        <v/>
      </c>
      <c r="AB201" s="67" t="str">
        <f>IF(OR($B201="",基础资料!$B$5=""),"",-SUMIFS(对接源_01水果筐数!$D$5:$D$304,对接源_01水果筐数!$B$5:$B$304,$B201,对接源_01水果筐数!$C$5:$C$304,基础资料!$B$5))</f>
        <v/>
      </c>
      <c r="AC201" s="67" t="str">
        <f>IF(OR($B201="",基础资料!$B$6=""),"",-SUMIFS(对接源_01水果筐数!$D$5:$D$304,对接源_01水果筐数!$B$5:$B$304,$B201,对接源_01水果筐数!$C$5:$C$304,基础资料!$B$6))</f>
        <v/>
      </c>
      <c r="AD201" s="67" t="str">
        <f>IF(OR($B201="",基础资料!$B$7=""),"",-SUMIFS(对接源_01水果筐数!$D$5:$D$304,对接源_01水果筐数!$B$5:$B$304,$B201,对接源_01水果筐数!$C$5:$C$304,基础资料!$B$7))</f>
        <v/>
      </c>
      <c r="AE201" s="67" t="str">
        <f>IF(OR($B201="",基础资料!$B$8=""),"",-SUMIFS(对接源_01水果筐数!$D$5:$D$304,对接源_01水果筐数!$B$5:$B$304,$B201,对接源_01水果筐数!$C$5:$C$304,基础资料!$B$8))</f>
        <v/>
      </c>
      <c r="AF201" s="25" t="str">
        <f>IF(OR($B201="",基础资料!$B$4=""),"",SUMIFS(对接源_01水果筐数!$E$5:$E$304,对接源_01水果筐数!$B$5:$B$304,$B201,对接源_01水果筐数!$C$5:$C$304,基础资料!$B$4))</f>
        <v/>
      </c>
      <c r="AG201" s="25" t="str">
        <f>IF(OR($B201="",基础资料!$B$5=""),"",SUMIFS(对接源_01水果筐数!$E$5:$E$304,对接源_01水果筐数!$B$5:$B$304,$B201,对接源_01水果筐数!$C$5:$C$304,基础资料!$B$5))</f>
        <v/>
      </c>
      <c r="AH201" s="25" t="str">
        <f>IF(OR($B201="",基础资料!$B$6=""),"",SUMIFS(对接源_01水果筐数!$E$5:$E$304,对接源_01水果筐数!$B$5:$B$304,$B201,对接源_01水果筐数!$C$5:$C$304,基础资料!$B$6))</f>
        <v/>
      </c>
      <c r="AI201" s="25" t="str">
        <f>IF(OR($B201="",基础资料!$B$7=""),"",SUMIFS(对接源_01水果筐数!$E$5:$E$304,对接源_01水果筐数!$B$5:$B$304,$B201,对接源_01水果筐数!$C$5:$C$304,基础资料!$B$7))</f>
        <v/>
      </c>
      <c r="AJ201" s="25" t="str">
        <f>IF(OR($B201="",基础资料!$B$8=""),"",SUMIFS(对接源_01水果筐数!$E$5:$E$304,对接源_01水果筐数!$B$5:$B$304,$B201,对接源_01水果筐数!$C$5:$C$304,基础资料!$B$8))</f>
        <v/>
      </c>
      <c r="AK201" s="25" t="str">
        <f>IF(OR($B201="",基础资料!$B$4=""),"",SUMIFS(对接源_01水果筐数!$F$5:$F$304,对接源_01水果筐数!$B$5:$B$304,$B201,对接源_01水果筐数!$C$5:$C$304,基础资料!$B$4))</f>
        <v/>
      </c>
      <c r="AL201" s="25" t="str">
        <f>IF(OR($B201="",基础资料!$B$5=""),"",SUMIFS(对接源_01水果筐数!$F$5:$F$304,对接源_01水果筐数!$B$5:$B$304,$B201,对接源_01水果筐数!$C$5:$C$304,基础资料!$B$5))</f>
        <v/>
      </c>
      <c r="AM201" s="25" t="str">
        <f>IF(OR($B201="",基础资料!$B$6=""),"",SUMIFS(对接源_01水果筐数!$F$5:$F$304,对接源_01水果筐数!$B$5:$B$304,$B201,对接源_01水果筐数!$C$5:$C$304,基础资料!$B$6))</f>
        <v/>
      </c>
      <c r="AN201" s="25" t="str">
        <f>IF(OR($B201="",基础资料!$B$7=""),"",SUMIFS(对接源_01水果筐数!$F$5:$F$304,对接源_01水果筐数!$B$5:$B$304,$B201,对接源_01水果筐数!$C$5:$C$304,基础资料!$B$7))</f>
        <v/>
      </c>
      <c r="AO201" s="25" t="str">
        <f>IF(OR($B201="",基础资料!$B$8=""),"",SUMIFS(对接源_01水果筐数!$F$5:$F$304,对接源_01水果筐数!$B$5:$B$304,$B201,对接源_01水果筐数!$C$5:$C$304,基础资料!$B$8))</f>
        <v/>
      </c>
      <c r="AP201" s="25" t="str">
        <f t="shared" si="41"/>
        <v/>
      </c>
      <c r="AQ201" s="25" t="str">
        <f t="shared" si="42"/>
        <v/>
      </c>
      <c r="AR201" s="25" t="str">
        <f t="shared" si="43"/>
        <v/>
      </c>
      <c r="AS201" s="25" t="str">
        <f t="shared" si="44"/>
        <v/>
      </c>
      <c r="AT201" s="25" t="str">
        <f t="shared" si="45"/>
        <v/>
      </c>
      <c r="AU201" s="25" t="str">
        <f t="shared" si="46"/>
        <v/>
      </c>
      <c r="AV201" s="24" t="str">
        <f t="shared" si="47"/>
        <v/>
      </c>
      <c r="AW201" s="72"/>
    </row>
    <row r="202" spans="1:49">
      <c r="A202" s="22" t="str">
        <f t="shared" si="36"/>
        <v/>
      </c>
      <c r="B202" s="24" t="str">
        <f>IFERROR(INDEX(_自动清单!$CC$4:$CC$253,ROW()-3),"")</f>
        <v/>
      </c>
      <c r="C202" s="25" t="str">
        <f>IF(OR($B202="",基础资料!$B$4=""),"",SUMIFS(周转筐出入库明细!$J$4:$J$2004,周转筐出入库明细!$C$4:$C$2004,$B202,周转筐出入库明细!$D$4:$D$2004,基础资料!$B$4,周转筐出入库明细!$B$4:$B$2004,"&gt;="&amp;$BC$1,周转筐出入库明细!$B$4:$B$2004,"&lt;="&amp;$BC$2))</f>
        <v/>
      </c>
      <c r="D202" s="25" t="str">
        <f>IF(OR($B202="",基础资料!$B$5=""),"",SUMIFS(周转筐出入库明细!$J$4:$J$2004,周转筐出入库明细!$C$4:$C$2004,$B202,周转筐出入库明细!$D$4:$D$2004,基础资料!$B$5,周转筐出入库明细!$B$4:$B$2004,"&gt;="&amp;$BC$1,周转筐出入库明细!$B$4:$B$2004,"&lt;="&amp;$BC$2))</f>
        <v/>
      </c>
      <c r="E202" s="25" t="str">
        <f>IF(OR($B202="",基础资料!$B$6=""),"",SUMIFS(周转筐出入库明细!$J$4:$J$2004,周转筐出入库明细!$C$4:$C$2004,$B202,周转筐出入库明细!$D$4:$D$2004,基础资料!$B$6,周转筐出入库明细!$B$4:$B$2004,"&gt;="&amp;$BC$1,周转筐出入库明细!$B$4:$B$2004,"&lt;="&amp;$BC$2))</f>
        <v/>
      </c>
      <c r="F202" s="25" t="str">
        <f>IF(OR($B202="",基础资料!$B$7=""),"",SUMIFS(周转筐出入库明细!$J$4:$J$2004,周转筐出入库明细!$C$4:$C$2004,$B202,周转筐出入库明细!$D$4:$D$2004,基础资料!$B$7,周转筐出入库明细!$B$4:$B$2004,"&gt;="&amp;$BC$1,周转筐出入库明细!$B$4:$B$2004,"&lt;="&amp;$BC$2))</f>
        <v/>
      </c>
      <c r="G202" s="25" t="str">
        <f>IF(OR($B202="",基础资料!$B$8=""),"",SUMIFS(周转筐出入库明细!$J$4:$J$2004,周转筐出入库明细!$C$4:$C$2004,$B202,周转筐出入库明细!$D$4:$D$2004,基础资料!$B$8,周转筐出入库明细!$B$4:$B$2004,"&gt;="&amp;$BC$1,周转筐出入库明细!$B$4:$B$2004,"&lt;="&amp;$BC$2))</f>
        <v/>
      </c>
      <c r="H202" s="25" t="str">
        <f t="shared" si="37"/>
        <v/>
      </c>
      <c r="I202" s="67" t="str">
        <f>IF(OR($B202="",基础资料!$B$4=""),"",-SUMIFS(周转筐出入库明细!$I$4:$I$2004,周转筐出入库明细!$C$4:$C$2004,$B202,周转筐出入库明细!$D$4:$D$2004,基础资料!$B$4,周转筐出入库明细!$B$4:$B$2004,"&gt;="&amp;$BC$1,周转筐出入库明细!$B$4:$B$2004,"&lt;="&amp;$BC$2))</f>
        <v/>
      </c>
      <c r="J202" s="67" t="str">
        <f>IF(OR($B202="",基础资料!$B$5=""),"",-SUMIFS(周转筐出入库明细!$I$4:$I$2004,周转筐出入库明细!$C$4:$C$2004,$B202,周转筐出入库明细!$D$4:$D$2004,基础资料!$B$5,周转筐出入库明细!$B$4:$B$2004,"&gt;="&amp;$BC$1,周转筐出入库明细!$B$4:$B$2004,"&lt;="&amp;$BC$2))</f>
        <v/>
      </c>
      <c r="K202" s="67" t="str">
        <f>IF(OR($B202="",基础资料!$B$6=""),"",-SUMIFS(周转筐出入库明细!$I$4:$I$2004,周转筐出入库明细!$C$4:$C$2004,$B202,周转筐出入库明细!$D$4:$D$2004,基础资料!$B$6,周转筐出入库明细!$B$4:$B$2004,"&gt;="&amp;$BC$1,周转筐出入库明细!$B$4:$B$2004,"&lt;="&amp;$BC$2))</f>
        <v/>
      </c>
      <c r="L202" s="67" t="str">
        <f>IF(OR($B202="",基础资料!$B$7=""),"",-SUMIFS(周转筐出入库明细!$I$4:$I$2004,周转筐出入库明细!$C$4:$C$2004,$B202,周转筐出入库明细!$D$4:$D$2004,基础资料!$B$7,周转筐出入库明细!$B$4:$B$2004,"&gt;="&amp;$BC$1,周转筐出入库明细!$B$4:$B$2004,"&lt;="&amp;$BC$2))</f>
        <v/>
      </c>
      <c r="M202" s="67" t="str">
        <f>IF(OR($B202="",基础资料!$B$8=""),"",-SUMIFS(周转筐出入库明细!$I$4:$I$2004,周转筐出入库明细!$C$4:$C$2004,$B202,周转筐出入库明细!$D$4:$D$2004,基础资料!$B$8,周转筐出入库明细!$B$4:$B$2004,"&gt;="&amp;$BC$1,周转筐出入库明细!$B$4:$B$2004,"&lt;="&amp;$BC$2))</f>
        <v/>
      </c>
      <c r="N202" s="67" t="str">
        <f t="shared" si="38"/>
        <v/>
      </c>
      <c r="O202" s="25" t="str">
        <f>IF(OR($B202="",基础资料!$B$4=""),"",SUMIFS(周转筐出入库明细!$H$4:$H$2004,周转筐出入库明细!$C$4:$C$2004,$B202,周转筐出入库明细!$D$4:$D$2004,基础资料!$B$4,周转筐出入库明细!$F$4:$F$2004,"采购入库",周转筐出入库明细!$B$4:$B$2004,"&gt;="&amp;$BC$1,周转筐出入库明细!$B$4:$B$2004,"&lt;="&amp;$BC$2))</f>
        <v/>
      </c>
      <c r="P202" s="25" t="str">
        <f>IF(OR($B202="",基础资料!$B$5=""),"",SUMIFS(周转筐出入库明细!$H$4:$H$2004,周转筐出入库明细!$C$4:$C$2004,$B202,周转筐出入库明细!$D$4:$D$2004,基础资料!$B$5,周转筐出入库明细!$F$4:$F$2004,"采购入库",周转筐出入库明细!$B$4:$B$2004,"&gt;="&amp;$BC$1,周转筐出入库明细!$B$4:$B$2004,"&lt;="&amp;$BC$2))</f>
        <v/>
      </c>
      <c r="Q202" s="25" t="str">
        <f>IF(OR($B202="",基础资料!$B$6=""),"",SUMIFS(周转筐出入库明细!$H$4:$H$2004,周转筐出入库明细!$C$4:$C$2004,$B202,周转筐出入库明细!$D$4:$D$2004,基础资料!$B$6,周转筐出入库明细!$F$4:$F$2004,"采购入库",周转筐出入库明细!$B$4:$B$2004,"&gt;="&amp;$BC$1,周转筐出入库明细!$B$4:$B$2004,"&lt;="&amp;$BC$2))</f>
        <v/>
      </c>
      <c r="R202" s="25" t="str">
        <f>IF(OR($B202="",基础资料!$B$7=""),"",SUMIFS(周转筐出入库明细!$H$4:$H$2004,周转筐出入库明细!$C$4:$C$2004,$B202,周转筐出入库明细!$D$4:$D$2004,基础资料!$B$7,周转筐出入库明细!$F$4:$F$2004,"采购入库",周转筐出入库明细!$B$4:$B$2004,"&gt;="&amp;$BC$1,周转筐出入库明细!$B$4:$B$2004,"&lt;="&amp;$BC$2))</f>
        <v/>
      </c>
      <c r="S202" s="25" t="str">
        <f>IF(OR($B202="",基础资料!$B$8=""),"",SUMIFS(周转筐出入库明细!$H$4:$H$2004,周转筐出入库明细!$C$4:$C$2004,$B202,周转筐出入库明细!$D$4:$D$2004,基础资料!$B$8,周转筐出入库明细!$F$4:$F$2004,"采购入库",周转筐出入库明细!$B$4:$B$2004,"&gt;="&amp;$BC$1,周转筐出入库明细!$B$4:$B$2004,"&lt;="&amp;$BC$2))</f>
        <v/>
      </c>
      <c r="T202" s="25" t="str">
        <f t="shared" si="39"/>
        <v/>
      </c>
      <c r="U202" s="25" t="str">
        <f>IF(OR($B202="",基础资料!$B$4=""),"",SUMIFS(周转筐出入库明细!$K$4:$K$2004,周转筐出入库明细!$C$4:$C$2004,$B202,周转筐出入库明细!$D$4:$D$2004,基础资料!$B$4,周转筐出入库明细!$B$4:$B$2004,"&gt;="&amp;$BC$1,周转筐出入库明细!$B$4:$B$2004,"&lt;="&amp;$BC$2))</f>
        <v/>
      </c>
      <c r="V202" s="25" t="str">
        <f>IF(OR($B202="",基础资料!$B$5=""),"",SUMIFS(周转筐出入库明细!$K$4:$K$2004,周转筐出入库明细!$C$4:$C$2004,$B202,周转筐出入库明细!$D$4:$D$2004,基础资料!$B$5,周转筐出入库明细!$B$4:$B$2004,"&gt;="&amp;$BC$1,周转筐出入库明细!$B$4:$B$2004,"&lt;="&amp;$BC$2))</f>
        <v/>
      </c>
      <c r="W202" s="25" t="str">
        <f>IF(OR($B202="",基础资料!$B$6=""),"",SUMIFS(周转筐出入库明细!$K$4:$K$2004,周转筐出入库明细!$C$4:$C$2004,$B202,周转筐出入库明细!$D$4:$D$2004,基础资料!$B$6,周转筐出入库明细!$B$4:$B$2004,"&gt;="&amp;$BC$1,周转筐出入库明细!$B$4:$B$2004,"&lt;="&amp;$BC$2))</f>
        <v/>
      </c>
      <c r="X202" s="25" t="str">
        <f>IF(OR($B202="",基础资料!$B$7=""),"",SUMIFS(周转筐出入库明细!$K$4:$K$2004,周转筐出入库明细!$C$4:$C$2004,$B202,周转筐出入库明细!$D$4:$D$2004,基础资料!$B$7,周转筐出入库明细!$B$4:$B$2004,"&gt;="&amp;$BC$1,周转筐出入库明细!$B$4:$B$2004,"&lt;="&amp;$BC$2))</f>
        <v/>
      </c>
      <c r="Y202" s="25" t="str">
        <f>IF(OR($B202="",基础资料!$B$8=""),"",SUMIFS(周转筐出入库明细!$K$4:$K$2004,周转筐出入库明细!$C$4:$C$2004,$B202,周转筐出入库明细!$D$4:$D$2004,基础资料!$B$8,周转筐出入库明细!$B$4:$B$2004,"&gt;="&amp;$BC$1,周转筐出入库明细!$B$4:$B$2004,"&lt;="&amp;$BC$2))</f>
        <v/>
      </c>
      <c r="Z202" s="25" t="str">
        <f t="shared" si="40"/>
        <v/>
      </c>
      <c r="AA202" s="67" t="str">
        <f>IF(OR($B202="",基础资料!$B$4=""),"",-SUMIFS(对接源_01水果筐数!$D$5:$D$304,对接源_01水果筐数!$B$5:$B$304,$B202,对接源_01水果筐数!$C$5:$C$304,基础资料!$B$4))</f>
        <v/>
      </c>
      <c r="AB202" s="67" t="str">
        <f>IF(OR($B202="",基础资料!$B$5=""),"",-SUMIFS(对接源_01水果筐数!$D$5:$D$304,对接源_01水果筐数!$B$5:$B$304,$B202,对接源_01水果筐数!$C$5:$C$304,基础资料!$B$5))</f>
        <v/>
      </c>
      <c r="AC202" s="67" t="str">
        <f>IF(OR($B202="",基础资料!$B$6=""),"",-SUMIFS(对接源_01水果筐数!$D$5:$D$304,对接源_01水果筐数!$B$5:$B$304,$B202,对接源_01水果筐数!$C$5:$C$304,基础资料!$B$6))</f>
        <v/>
      </c>
      <c r="AD202" s="67" t="str">
        <f>IF(OR($B202="",基础资料!$B$7=""),"",-SUMIFS(对接源_01水果筐数!$D$5:$D$304,对接源_01水果筐数!$B$5:$B$304,$B202,对接源_01水果筐数!$C$5:$C$304,基础资料!$B$7))</f>
        <v/>
      </c>
      <c r="AE202" s="67" t="str">
        <f>IF(OR($B202="",基础资料!$B$8=""),"",-SUMIFS(对接源_01水果筐数!$D$5:$D$304,对接源_01水果筐数!$B$5:$B$304,$B202,对接源_01水果筐数!$C$5:$C$304,基础资料!$B$8))</f>
        <v/>
      </c>
      <c r="AF202" s="25" t="str">
        <f>IF(OR($B202="",基础资料!$B$4=""),"",SUMIFS(对接源_01水果筐数!$E$5:$E$304,对接源_01水果筐数!$B$5:$B$304,$B202,对接源_01水果筐数!$C$5:$C$304,基础资料!$B$4))</f>
        <v/>
      </c>
      <c r="AG202" s="25" t="str">
        <f>IF(OR($B202="",基础资料!$B$5=""),"",SUMIFS(对接源_01水果筐数!$E$5:$E$304,对接源_01水果筐数!$B$5:$B$304,$B202,对接源_01水果筐数!$C$5:$C$304,基础资料!$B$5))</f>
        <v/>
      </c>
      <c r="AH202" s="25" t="str">
        <f>IF(OR($B202="",基础资料!$B$6=""),"",SUMIFS(对接源_01水果筐数!$E$5:$E$304,对接源_01水果筐数!$B$5:$B$304,$B202,对接源_01水果筐数!$C$5:$C$304,基础资料!$B$6))</f>
        <v/>
      </c>
      <c r="AI202" s="25" t="str">
        <f>IF(OR($B202="",基础资料!$B$7=""),"",SUMIFS(对接源_01水果筐数!$E$5:$E$304,对接源_01水果筐数!$B$5:$B$304,$B202,对接源_01水果筐数!$C$5:$C$304,基础资料!$B$7))</f>
        <v/>
      </c>
      <c r="AJ202" s="25" t="str">
        <f>IF(OR($B202="",基础资料!$B$8=""),"",SUMIFS(对接源_01水果筐数!$E$5:$E$304,对接源_01水果筐数!$B$5:$B$304,$B202,对接源_01水果筐数!$C$5:$C$304,基础资料!$B$8))</f>
        <v/>
      </c>
      <c r="AK202" s="25" t="str">
        <f>IF(OR($B202="",基础资料!$B$4=""),"",SUMIFS(对接源_01水果筐数!$F$5:$F$304,对接源_01水果筐数!$B$5:$B$304,$B202,对接源_01水果筐数!$C$5:$C$304,基础资料!$B$4))</f>
        <v/>
      </c>
      <c r="AL202" s="25" t="str">
        <f>IF(OR($B202="",基础资料!$B$5=""),"",SUMIFS(对接源_01水果筐数!$F$5:$F$304,对接源_01水果筐数!$B$5:$B$304,$B202,对接源_01水果筐数!$C$5:$C$304,基础资料!$B$5))</f>
        <v/>
      </c>
      <c r="AM202" s="25" t="str">
        <f>IF(OR($B202="",基础资料!$B$6=""),"",SUMIFS(对接源_01水果筐数!$F$5:$F$304,对接源_01水果筐数!$B$5:$B$304,$B202,对接源_01水果筐数!$C$5:$C$304,基础资料!$B$6))</f>
        <v/>
      </c>
      <c r="AN202" s="25" t="str">
        <f>IF(OR($B202="",基础资料!$B$7=""),"",SUMIFS(对接源_01水果筐数!$F$5:$F$304,对接源_01水果筐数!$B$5:$B$304,$B202,对接源_01水果筐数!$C$5:$C$304,基础资料!$B$7))</f>
        <v/>
      </c>
      <c r="AO202" s="25" t="str">
        <f>IF(OR($B202="",基础资料!$B$8=""),"",SUMIFS(对接源_01水果筐数!$F$5:$F$304,对接源_01水果筐数!$B$5:$B$304,$B202,对接源_01水果筐数!$C$5:$C$304,基础资料!$B$8))</f>
        <v/>
      </c>
      <c r="AP202" s="25" t="str">
        <f t="shared" si="41"/>
        <v/>
      </c>
      <c r="AQ202" s="25" t="str">
        <f t="shared" si="42"/>
        <v/>
      </c>
      <c r="AR202" s="25" t="str">
        <f t="shared" si="43"/>
        <v/>
      </c>
      <c r="AS202" s="25" t="str">
        <f t="shared" si="44"/>
        <v/>
      </c>
      <c r="AT202" s="25" t="str">
        <f t="shared" si="45"/>
        <v/>
      </c>
      <c r="AU202" s="25" t="str">
        <f t="shared" si="46"/>
        <v/>
      </c>
      <c r="AV202" s="24" t="str">
        <f t="shared" si="47"/>
        <v/>
      </c>
      <c r="AW202" s="72"/>
    </row>
    <row r="203" spans="1:49">
      <c r="A203" s="22" t="str">
        <f t="shared" si="36"/>
        <v/>
      </c>
      <c r="B203" s="24" t="str">
        <f>IFERROR(INDEX(_自动清单!$CC$4:$CC$253,ROW()-3),"")</f>
        <v/>
      </c>
      <c r="C203" s="25" t="str">
        <f>IF(OR($B203="",基础资料!$B$4=""),"",SUMIFS(周转筐出入库明细!$J$4:$J$2004,周转筐出入库明细!$C$4:$C$2004,$B203,周转筐出入库明细!$D$4:$D$2004,基础资料!$B$4,周转筐出入库明细!$B$4:$B$2004,"&gt;="&amp;$BC$1,周转筐出入库明细!$B$4:$B$2004,"&lt;="&amp;$BC$2))</f>
        <v/>
      </c>
      <c r="D203" s="25" t="str">
        <f>IF(OR($B203="",基础资料!$B$5=""),"",SUMIFS(周转筐出入库明细!$J$4:$J$2004,周转筐出入库明细!$C$4:$C$2004,$B203,周转筐出入库明细!$D$4:$D$2004,基础资料!$B$5,周转筐出入库明细!$B$4:$B$2004,"&gt;="&amp;$BC$1,周转筐出入库明细!$B$4:$B$2004,"&lt;="&amp;$BC$2))</f>
        <v/>
      </c>
      <c r="E203" s="25" t="str">
        <f>IF(OR($B203="",基础资料!$B$6=""),"",SUMIFS(周转筐出入库明细!$J$4:$J$2004,周转筐出入库明细!$C$4:$C$2004,$B203,周转筐出入库明细!$D$4:$D$2004,基础资料!$B$6,周转筐出入库明细!$B$4:$B$2004,"&gt;="&amp;$BC$1,周转筐出入库明细!$B$4:$B$2004,"&lt;="&amp;$BC$2))</f>
        <v/>
      </c>
      <c r="F203" s="25" t="str">
        <f>IF(OR($B203="",基础资料!$B$7=""),"",SUMIFS(周转筐出入库明细!$J$4:$J$2004,周转筐出入库明细!$C$4:$C$2004,$B203,周转筐出入库明细!$D$4:$D$2004,基础资料!$B$7,周转筐出入库明细!$B$4:$B$2004,"&gt;="&amp;$BC$1,周转筐出入库明细!$B$4:$B$2004,"&lt;="&amp;$BC$2))</f>
        <v/>
      </c>
      <c r="G203" s="25" t="str">
        <f>IF(OR($B203="",基础资料!$B$8=""),"",SUMIFS(周转筐出入库明细!$J$4:$J$2004,周转筐出入库明细!$C$4:$C$2004,$B203,周转筐出入库明细!$D$4:$D$2004,基础资料!$B$8,周转筐出入库明细!$B$4:$B$2004,"&gt;="&amp;$BC$1,周转筐出入库明细!$B$4:$B$2004,"&lt;="&amp;$BC$2))</f>
        <v/>
      </c>
      <c r="H203" s="25" t="str">
        <f t="shared" si="37"/>
        <v/>
      </c>
      <c r="I203" s="67" t="str">
        <f>IF(OR($B203="",基础资料!$B$4=""),"",-SUMIFS(周转筐出入库明细!$I$4:$I$2004,周转筐出入库明细!$C$4:$C$2004,$B203,周转筐出入库明细!$D$4:$D$2004,基础资料!$B$4,周转筐出入库明细!$B$4:$B$2004,"&gt;="&amp;$BC$1,周转筐出入库明细!$B$4:$B$2004,"&lt;="&amp;$BC$2))</f>
        <v/>
      </c>
      <c r="J203" s="67" t="str">
        <f>IF(OR($B203="",基础资料!$B$5=""),"",-SUMIFS(周转筐出入库明细!$I$4:$I$2004,周转筐出入库明细!$C$4:$C$2004,$B203,周转筐出入库明细!$D$4:$D$2004,基础资料!$B$5,周转筐出入库明细!$B$4:$B$2004,"&gt;="&amp;$BC$1,周转筐出入库明细!$B$4:$B$2004,"&lt;="&amp;$BC$2))</f>
        <v/>
      </c>
      <c r="K203" s="67" t="str">
        <f>IF(OR($B203="",基础资料!$B$6=""),"",-SUMIFS(周转筐出入库明细!$I$4:$I$2004,周转筐出入库明细!$C$4:$C$2004,$B203,周转筐出入库明细!$D$4:$D$2004,基础资料!$B$6,周转筐出入库明细!$B$4:$B$2004,"&gt;="&amp;$BC$1,周转筐出入库明细!$B$4:$B$2004,"&lt;="&amp;$BC$2))</f>
        <v/>
      </c>
      <c r="L203" s="67" t="str">
        <f>IF(OR($B203="",基础资料!$B$7=""),"",-SUMIFS(周转筐出入库明细!$I$4:$I$2004,周转筐出入库明细!$C$4:$C$2004,$B203,周转筐出入库明细!$D$4:$D$2004,基础资料!$B$7,周转筐出入库明细!$B$4:$B$2004,"&gt;="&amp;$BC$1,周转筐出入库明细!$B$4:$B$2004,"&lt;="&amp;$BC$2))</f>
        <v/>
      </c>
      <c r="M203" s="67" t="str">
        <f>IF(OR($B203="",基础资料!$B$8=""),"",-SUMIFS(周转筐出入库明细!$I$4:$I$2004,周转筐出入库明细!$C$4:$C$2004,$B203,周转筐出入库明细!$D$4:$D$2004,基础资料!$B$8,周转筐出入库明细!$B$4:$B$2004,"&gt;="&amp;$BC$1,周转筐出入库明细!$B$4:$B$2004,"&lt;="&amp;$BC$2))</f>
        <v/>
      </c>
      <c r="N203" s="67" t="str">
        <f t="shared" si="38"/>
        <v/>
      </c>
      <c r="O203" s="25" t="str">
        <f>IF(OR($B203="",基础资料!$B$4=""),"",SUMIFS(周转筐出入库明细!$H$4:$H$2004,周转筐出入库明细!$C$4:$C$2004,$B203,周转筐出入库明细!$D$4:$D$2004,基础资料!$B$4,周转筐出入库明细!$F$4:$F$2004,"采购入库",周转筐出入库明细!$B$4:$B$2004,"&gt;="&amp;$BC$1,周转筐出入库明细!$B$4:$B$2004,"&lt;="&amp;$BC$2))</f>
        <v/>
      </c>
      <c r="P203" s="25" t="str">
        <f>IF(OR($B203="",基础资料!$B$5=""),"",SUMIFS(周转筐出入库明细!$H$4:$H$2004,周转筐出入库明细!$C$4:$C$2004,$B203,周转筐出入库明细!$D$4:$D$2004,基础资料!$B$5,周转筐出入库明细!$F$4:$F$2004,"采购入库",周转筐出入库明细!$B$4:$B$2004,"&gt;="&amp;$BC$1,周转筐出入库明细!$B$4:$B$2004,"&lt;="&amp;$BC$2))</f>
        <v/>
      </c>
      <c r="Q203" s="25" t="str">
        <f>IF(OR($B203="",基础资料!$B$6=""),"",SUMIFS(周转筐出入库明细!$H$4:$H$2004,周转筐出入库明细!$C$4:$C$2004,$B203,周转筐出入库明细!$D$4:$D$2004,基础资料!$B$6,周转筐出入库明细!$F$4:$F$2004,"采购入库",周转筐出入库明细!$B$4:$B$2004,"&gt;="&amp;$BC$1,周转筐出入库明细!$B$4:$B$2004,"&lt;="&amp;$BC$2))</f>
        <v/>
      </c>
      <c r="R203" s="25" t="str">
        <f>IF(OR($B203="",基础资料!$B$7=""),"",SUMIFS(周转筐出入库明细!$H$4:$H$2004,周转筐出入库明细!$C$4:$C$2004,$B203,周转筐出入库明细!$D$4:$D$2004,基础资料!$B$7,周转筐出入库明细!$F$4:$F$2004,"采购入库",周转筐出入库明细!$B$4:$B$2004,"&gt;="&amp;$BC$1,周转筐出入库明细!$B$4:$B$2004,"&lt;="&amp;$BC$2))</f>
        <v/>
      </c>
      <c r="S203" s="25" t="str">
        <f>IF(OR($B203="",基础资料!$B$8=""),"",SUMIFS(周转筐出入库明细!$H$4:$H$2004,周转筐出入库明细!$C$4:$C$2004,$B203,周转筐出入库明细!$D$4:$D$2004,基础资料!$B$8,周转筐出入库明细!$F$4:$F$2004,"采购入库",周转筐出入库明细!$B$4:$B$2004,"&gt;="&amp;$BC$1,周转筐出入库明细!$B$4:$B$2004,"&lt;="&amp;$BC$2))</f>
        <v/>
      </c>
      <c r="T203" s="25" t="str">
        <f t="shared" si="39"/>
        <v/>
      </c>
      <c r="U203" s="25" t="str">
        <f>IF(OR($B203="",基础资料!$B$4=""),"",SUMIFS(周转筐出入库明细!$K$4:$K$2004,周转筐出入库明细!$C$4:$C$2004,$B203,周转筐出入库明细!$D$4:$D$2004,基础资料!$B$4,周转筐出入库明细!$B$4:$B$2004,"&gt;="&amp;$BC$1,周转筐出入库明细!$B$4:$B$2004,"&lt;="&amp;$BC$2))</f>
        <v/>
      </c>
      <c r="V203" s="25" t="str">
        <f>IF(OR($B203="",基础资料!$B$5=""),"",SUMIFS(周转筐出入库明细!$K$4:$K$2004,周转筐出入库明细!$C$4:$C$2004,$B203,周转筐出入库明细!$D$4:$D$2004,基础资料!$B$5,周转筐出入库明细!$B$4:$B$2004,"&gt;="&amp;$BC$1,周转筐出入库明细!$B$4:$B$2004,"&lt;="&amp;$BC$2))</f>
        <v/>
      </c>
      <c r="W203" s="25" t="str">
        <f>IF(OR($B203="",基础资料!$B$6=""),"",SUMIFS(周转筐出入库明细!$K$4:$K$2004,周转筐出入库明细!$C$4:$C$2004,$B203,周转筐出入库明细!$D$4:$D$2004,基础资料!$B$6,周转筐出入库明细!$B$4:$B$2004,"&gt;="&amp;$BC$1,周转筐出入库明细!$B$4:$B$2004,"&lt;="&amp;$BC$2))</f>
        <v/>
      </c>
      <c r="X203" s="25" t="str">
        <f>IF(OR($B203="",基础资料!$B$7=""),"",SUMIFS(周转筐出入库明细!$K$4:$K$2004,周转筐出入库明细!$C$4:$C$2004,$B203,周转筐出入库明细!$D$4:$D$2004,基础资料!$B$7,周转筐出入库明细!$B$4:$B$2004,"&gt;="&amp;$BC$1,周转筐出入库明细!$B$4:$B$2004,"&lt;="&amp;$BC$2))</f>
        <v/>
      </c>
      <c r="Y203" s="25" t="str">
        <f>IF(OR($B203="",基础资料!$B$8=""),"",SUMIFS(周转筐出入库明细!$K$4:$K$2004,周转筐出入库明细!$C$4:$C$2004,$B203,周转筐出入库明细!$D$4:$D$2004,基础资料!$B$8,周转筐出入库明细!$B$4:$B$2004,"&gt;="&amp;$BC$1,周转筐出入库明细!$B$4:$B$2004,"&lt;="&amp;$BC$2))</f>
        <v/>
      </c>
      <c r="Z203" s="25" t="str">
        <f t="shared" si="40"/>
        <v/>
      </c>
      <c r="AA203" s="67" t="str">
        <f>IF(OR($B203="",基础资料!$B$4=""),"",-SUMIFS(对接源_01水果筐数!$D$5:$D$304,对接源_01水果筐数!$B$5:$B$304,$B203,对接源_01水果筐数!$C$5:$C$304,基础资料!$B$4))</f>
        <v/>
      </c>
      <c r="AB203" s="67" t="str">
        <f>IF(OR($B203="",基础资料!$B$5=""),"",-SUMIFS(对接源_01水果筐数!$D$5:$D$304,对接源_01水果筐数!$B$5:$B$304,$B203,对接源_01水果筐数!$C$5:$C$304,基础资料!$B$5))</f>
        <v/>
      </c>
      <c r="AC203" s="67" t="str">
        <f>IF(OR($B203="",基础资料!$B$6=""),"",-SUMIFS(对接源_01水果筐数!$D$5:$D$304,对接源_01水果筐数!$B$5:$B$304,$B203,对接源_01水果筐数!$C$5:$C$304,基础资料!$B$6))</f>
        <v/>
      </c>
      <c r="AD203" s="67" t="str">
        <f>IF(OR($B203="",基础资料!$B$7=""),"",-SUMIFS(对接源_01水果筐数!$D$5:$D$304,对接源_01水果筐数!$B$5:$B$304,$B203,对接源_01水果筐数!$C$5:$C$304,基础资料!$B$7))</f>
        <v/>
      </c>
      <c r="AE203" s="67" t="str">
        <f>IF(OR($B203="",基础资料!$B$8=""),"",-SUMIFS(对接源_01水果筐数!$D$5:$D$304,对接源_01水果筐数!$B$5:$B$304,$B203,对接源_01水果筐数!$C$5:$C$304,基础资料!$B$8))</f>
        <v/>
      </c>
      <c r="AF203" s="25" t="str">
        <f>IF(OR($B203="",基础资料!$B$4=""),"",SUMIFS(对接源_01水果筐数!$E$5:$E$304,对接源_01水果筐数!$B$5:$B$304,$B203,对接源_01水果筐数!$C$5:$C$304,基础资料!$B$4))</f>
        <v/>
      </c>
      <c r="AG203" s="25" t="str">
        <f>IF(OR($B203="",基础资料!$B$5=""),"",SUMIFS(对接源_01水果筐数!$E$5:$E$304,对接源_01水果筐数!$B$5:$B$304,$B203,对接源_01水果筐数!$C$5:$C$304,基础资料!$B$5))</f>
        <v/>
      </c>
      <c r="AH203" s="25" t="str">
        <f>IF(OR($B203="",基础资料!$B$6=""),"",SUMIFS(对接源_01水果筐数!$E$5:$E$304,对接源_01水果筐数!$B$5:$B$304,$B203,对接源_01水果筐数!$C$5:$C$304,基础资料!$B$6))</f>
        <v/>
      </c>
      <c r="AI203" s="25" t="str">
        <f>IF(OR($B203="",基础资料!$B$7=""),"",SUMIFS(对接源_01水果筐数!$E$5:$E$304,对接源_01水果筐数!$B$5:$B$304,$B203,对接源_01水果筐数!$C$5:$C$304,基础资料!$B$7))</f>
        <v/>
      </c>
      <c r="AJ203" s="25" t="str">
        <f>IF(OR($B203="",基础资料!$B$8=""),"",SUMIFS(对接源_01水果筐数!$E$5:$E$304,对接源_01水果筐数!$B$5:$B$304,$B203,对接源_01水果筐数!$C$5:$C$304,基础资料!$B$8))</f>
        <v/>
      </c>
      <c r="AK203" s="25" t="str">
        <f>IF(OR($B203="",基础资料!$B$4=""),"",SUMIFS(对接源_01水果筐数!$F$5:$F$304,对接源_01水果筐数!$B$5:$B$304,$B203,对接源_01水果筐数!$C$5:$C$304,基础资料!$B$4))</f>
        <v/>
      </c>
      <c r="AL203" s="25" t="str">
        <f>IF(OR($B203="",基础资料!$B$5=""),"",SUMIFS(对接源_01水果筐数!$F$5:$F$304,对接源_01水果筐数!$B$5:$B$304,$B203,对接源_01水果筐数!$C$5:$C$304,基础资料!$B$5))</f>
        <v/>
      </c>
      <c r="AM203" s="25" t="str">
        <f>IF(OR($B203="",基础资料!$B$6=""),"",SUMIFS(对接源_01水果筐数!$F$5:$F$304,对接源_01水果筐数!$B$5:$B$304,$B203,对接源_01水果筐数!$C$5:$C$304,基础资料!$B$6))</f>
        <v/>
      </c>
      <c r="AN203" s="25" t="str">
        <f>IF(OR($B203="",基础资料!$B$7=""),"",SUMIFS(对接源_01水果筐数!$F$5:$F$304,对接源_01水果筐数!$B$5:$B$304,$B203,对接源_01水果筐数!$C$5:$C$304,基础资料!$B$7))</f>
        <v/>
      </c>
      <c r="AO203" s="25" t="str">
        <f>IF(OR($B203="",基础资料!$B$8=""),"",SUMIFS(对接源_01水果筐数!$F$5:$F$304,对接源_01水果筐数!$B$5:$B$304,$B203,对接源_01水果筐数!$C$5:$C$304,基础资料!$B$8))</f>
        <v/>
      </c>
      <c r="AP203" s="25" t="str">
        <f t="shared" si="41"/>
        <v/>
      </c>
      <c r="AQ203" s="25" t="str">
        <f t="shared" si="42"/>
        <v/>
      </c>
      <c r="AR203" s="25" t="str">
        <f t="shared" si="43"/>
        <v/>
      </c>
      <c r="AS203" s="25" t="str">
        <f t="shared" si="44"/>
        <v/>
      </c>
      <c r="AT203" s="25" t="str">
        <f t="shared" si="45"/>
        <v/>
      </c>
      <c r="AU203" s="25" t="str">
        <f t="shared" si="46"/>
        <v/>
      </c>
      <c r="AV203" s="24" t="str">
        <f t="shared" si="47"/>
        <v/>
      </c>
      <c r="AW203" s="72"/>
    </row>
    <row r="204" spans="1:49">
      <c r="A204" s="22" t="str">
        <f t="shared" si="36"/>
        <v/>
      </c>
      <c r="B204" s="24" t="str">
        <f>IFERROR(INDEX(_自动清单!$CC$4:$CC$253,ROW()-3),"")</f>
        <v/>
      </c>
      <c r="C204" s="25" t="str">
        <f>IF(OR($B204="",基础资料!$B$4=""),"",SUMIFS(周转筐出入库明细!$J$4:$J$2004,周转筐出入库明细!$C$4:$C$2004,$B204,周转筐出入库明细!$D$4:$D$2004,基础资料!$B$4,周转筐出入库明细!$B$4:$B$2004,"&gt;="&amp;$BC$1,周转筐出入库明细!$B$4:$B$2004,"&lt;="&amp;$BC$2))</f>
        <v/>
      </c>
      <c r="D204" s="25" t="str">
        <f>IF(OR($B204="",基础资料!$B$5=""),"",SUMIFS(周转筐出入库明细!$J$4:$J$2004,周转筐出入库明细!$C$4:$C$2004,$B204,周转筐出入库明细!$D$4:$D$2004,基础资料!$B$5,周转筐出入库明细!$B$4:$B$2004,"&gt;="&amp;$BC$1,周转筐出入库明细!$B$4:$B$2004,"&lt;="&amp;$BC$2))</f>
        <v/>
      </c>
      <c r="E204" s="25" t="str">
        <f>IF(OR($B204="",基础资料!$B$6=""),"",SUMIFS(周转筐出入库明细!$J$4:$J$2004,周转筐出入库明细!$C$4:$C$2004,$B204,周转筐出入库明细!$D$4:$D$2004,基础资料!$B$6,周转筐出入库明细!$B$4:$B$2004,"&gt;="&amp;$BC$1,周转筐出入库明细!$B$4:$B$2004,"&lt;="&amp;$BC$2))</f>
        <v/>
      </c>
      <c r="F204" s="25" t="str">
        <f>IF(OR($B204="",基础资料!$B$7=""),"",SUMIFS(周转筐出入库明细!$J$4:$J$2004,周转筐出入库明细!$C$4:$C$2004,$B204,周转筐出入库明细!$D$4:$D$2004,基础资料!$B$7,周转筐出入库明细!$B$4:$B$2004,"&gt;="&amp;$BC$1,周转筐出入库明细!$B$4:$B$2004,"&lt;="&amp;$BC$2))</f>
        <v/>
      </c>
      <c r="G204" s="25" t="str">
        <f>IF(OR($B204="",基础资料!$B$8=""),"",SUMIFS(周转筐出入库明细!$J$4:$J$2004,周转筐出入库明细!$C$4:$C$2004,$B204,周转筐出入库明细!$D$4:$D$2004,基础资料!$B$8,周转筐出入库明细!$B$4:$B$2004,"&gt;="&amp;$BC$1,周转筐出入库明细!$B$4:$B$2004,"&lt;="&amp;$BC$2))</f>
        <v/>
      </c>
      <c r="H204" s="25" t="str">
        <f t="shared" si="37"/>
        <v/>
      </c>
      <c r="I204" s="67" t="str">
        <f>IF(OR($B204="",基础资料!$B$4=""),"",-SUMIFS(周转筐出入库明细!$I$4:$I$2004,周转筐出入库明细!$C$4:$C$2004,$B204,周转筐出入库明细!$D$4:$D$2004,基础资料!$B$4,周转筐出入库明细!$B$4:$B$2004,"&gt;="&amp;$BC$1,周转筐出入库明细!$B$4:$B$2004,"&lt;="&amp;$BC$2))</f>
        <v/>
      </c>
      <c r="J204" s="67" t="str">
        <f>IF(OR($B204="",基础资料!$B$5=""),"",-SUMIFS(周转筐出入库明细!$I$4:$I$2004,周转筐出入库明细!$C$4:$C$2004,$B204,周转筐出入库明细!$D$4:$D$2004,基础资料!$B$5,周转筐出入库明细!$B$4:$B$2004,"&gt;="&amp;$BC$1,周转筐出入库明细!$B$4:$B$2004,"&lt;="&amp;$BC$2))</f>
        <v/>
      </c>
      <c r="K204" s="67" t="str">
        <f>IF(OR($B204="",基础资料!$B$6=""),"",-SUMIFS(周转筐出入库明细!$I$4:$I$2004,周转筐出入库明细!$C$4:$C$2004,$B204,周转筐出入库明细!$D$4:$D$2004,基础资料!$B$6,周转筐出入库明细!$B$4:$B$2004,"&gt;="&amp;$BC$1,周转筐出入库明细!$B$4:$B$2004,"&lt;="&amp;$BC$2))</f>
        <v/>
      </c>
      <c r="L204" s="67" t="str">
        <f>IF(OR($B204="",基础资料!$B$7=""),"",-SUMIFS(周转筐出入库明细!$I$4:$I$2004,周转筐出入库明细!$C$4:$C$2004,$B204,周转筐出入库明细!$D$4:$D$2004,基础资料!$B$7,周转筐出入库明细!$B$4:$B$2004,"&gt;="&amp;$BC$1,周转筐出入库明细!$B$4:$B$2004,"&lt;="&amp;$BC$2))</f>
        <v/>
      </c>
      <c r="M204" s="67" t="str">
        <f>IF(OR($B204="",基础资料!$B$8=""),"",-SUMIFS(周转筐出入库明细!$I$4:$I$2004,周转筐出入库明细!$C$4:$C$2004,$B204,周转筐出入库明细!$D$4:$D$2004,基础资料!$B$8,周转筐出入库明细!$B$4:$B$2004,"&gt;="&amp;$BC$1,周转筐出入库明细!$B$4:$B$2004,"&lt;="&amp;$BC$2))</f>
        <v/>
      </c>
      <c r="N204" s="67" t="str">
        <f t="shared" si="38"/>
        <v/>
      </c>
      <c r="O204" s="25" t="str">
        <f>IF(OR($B204="",基础资料!$B$4=""),"",SUMIFS(周转筐出入库明细!$H$4:$H$2004,周转筐出入库明细!$C$4:$C$2004,$B204,周转筐出入库明细!$D$4:$D$2004,基础资料!$B$4,周转筐出入库明细!$F$4:$F$2004,"采购入库",周转筐出入库明细!$B$4:$B$2004,"&gt;="&amp;$BC$1,周转筐出入库明细!$B$4:$B$2004,"&lt;="&amp;$BC$2))</f>
        <v/>
      </c>
      <c r="P204" s="25" t="str">
        <f>IF(OR($B204="",基础资料!$B$5=""),"",SUMIFS(周转筐出入库明细!$H$4:$H$2004,周转筐出入库明细!$C$4:$C$2004,$B204,周转筐出入库明细!$D$4:$D$2004,基础资料!$B$5,周转筐出入库明细!$F$4:$F$2004,"采购入库",周转筐出入库明细!$B$4:$B$2004,"&gt;="&amp;$BC$1,周转筐出入库明细!$B$4:$B$2004,"&lt;="&amp;$BC$2))</f>
        <v/>
      </c>
      <c r="Q204" s="25" t="str">
        <f>IF(OR($B204="",基础资料!$B$6=""),"",SUMIFS(周转筐出入库明细!$H$4:$H$2004,周转筐出入库明细!$C$4:$C$2004,$B204,周转筐出入库明细!$D$4:$D$2004,基础资料!$B$6,周转筐出入库明细!$F$4:$F$2004,"采购入库",周转筐出入库明细!$B$4:$B$2004,"&gt;="&amp;$BC$1,周转筐出入库明细!$B$4:$B$2004,"&lt;="&amp;$BC$2))</f>
        <v/>
      </c>
      <c r="R204" s="25" t="str">
        <f>IF(OR($B204="",基础资料!$B$7=""),"",SUMIFS(周转筐出入库明细!$H$4:$H$2004,周转筐出入库明细!$C$4:$C$2004,$B204,周转筐出入库明细!$D$4:$D$2004,基础资料!$B$7,周转筐出入库明细!$F$4:$F$2004,"采购入库",周转筐出入库明细!$B$4:$B$2004,"&gt;="&amp;$BC$1,周转筐出入库明细!$B$4:$B$2004,"&lt;="&amp;$BC$2))</f>
        <v/>
      </c>
      <c r="S204" s="25" t="str">
        <f>IF(OR($B204="",基础资料!$B$8=""),"",SUMIFS(周转筐出入库明细!$H$4:$H$2004,周转筐出入库明细!$C$4:$C$2004,$B204,周转筐出入库明细!$D$4:$D$2004,基础资料!$B$8,周转筐出入库明细!$F$4:$F$2004,"采购入库",周转筐出入库明细!$B$4:$B$2004,"&gt;="&amp;$BC$1,周转筐出入库明细!$B$4:$B$2004,"&lt;="&amp;$BC$2))</f>
        <v/>
      </c>
      <c r="T204" s="25" t="str">
        <f t="shared" si="39"/>
        <v/>
      </c>
      <c r="U204" s="25" t="str">
        <f>IF(OR($B204="",基础资料!$B$4=""),"",SUMIFS(周转筐出入库明细!$K$4:$K$2004,周转筐出入库明细!$C$4:$C$2004,$B204,周转筐出入库明细!$D$4:$D$2004,基础资料!$B$4,周转筐出入库明细!$B$4:$B$2004,"&gt;="&amp;$BC$1,周转筐出入库明细!$B$4:$B$2004,"&lt;="&amp;$BC$2))</f>
        <v/>
      </c>
      <c r="V204" s="25" t="str">
        <f>IF(OR($B204="",基础资料!$B$5=""),"",SUMIFS(周转筐出入库明细!$K$4:$K$2004,周转筐出入库明细!$C$4:$C$2004,$B204,周转筐出入库明细!$D$4:$D$2004,基础资料!$B$5,周转筐出入库明细!$B$4:$B$2004,"&gt;="&amp;$BC$1,周转筐出入库明细!$B$4:$B$2004,"&lt;="&amp;$BC$2))</f>
        <v/>
      </c>
      <c r="W204" s="25" t="str">
        <f>IF(OR($B204="",基础资料!$B$6=""),"",SUMIFS(周转筐出入库明细!$K$4:$K$2004,周转筐出入库明细!$C$4:$C$2004,$B204,周转筐出入库明细!$D$4:$D$2004,基础资料!$B$6,周转筐出入库明细!$B$4:$B$2004,"&gt;="&amp;$BC$1,周转筐出入库明细!$B$4:$B$2004,"&lt;="&amp;$BC$2))</f>
        <v/>
      </c>
      <c r="X204" s="25" t="str">
        <f>IF(OR($B204="",基础资料!$B$7=""),"",SUMIFS(周转筐出入库明细!$K$4:$K$2004,周转筐出入库明细!$C$4:$C$2004,$B204,周转筐出入库明细!$D$4:$D$2004,基础资料!$B$7,周转筐出入库明细!$B$4:$B$2004,"&gt;="&amp;$BC$1,周转筐出入库明细!$B$4:$B$2004,"&lt;="&amp;$BC$2))</f>
        <v/>
      </c>
      <c r="Y204" s="25" t="str">
        <f>IF(OR($B204="",基础资料!$B$8=""),"",SUMIFS(周转筐出入库明细!$K$4:$K$2004,周转筐出入库明细!$C$4:$C$2004,$B204,周转筐出入库明细!$D$4:$D$2004,基础资料!$B$8,周转筐出入库明细!$B$4:$B$2004,"&gt;="&amp;$BC$1,周转筐出入库明细!$B$4:$B$2004,"&lt;="&amp;$BC$2))</f>
        <v/>
      </c>
      <c r="Z204" s="25" t="str">
        <f t="shared" si="40"/>
        <v/>
      </c>
      <c r="AA204" s="67" t="str">
        <f>IF(OR($B204="",基础资料!$B$4=""),"",-SUMIFS(对接源_01水果筐数!$D$5:$D$304,对接源_01水果筐数!$B$5:$B$304,$B204,对接源_01水果筐数!$C$5:$C$304,基础资料!$B$4))</f>
        <v/>
      </c>
      <c r="AB204" s="67" t="str">
        <f>IF(OR($B204="",基础资料!$B$5=""),"",-SUMIFS(对接源_01水果筐数!$D$5:$D$304,对接源_01水果筐数!$B$5:$B$304,$B204,对接源_01水果筐数!$C$5:$C$304,基础资料!$B$5))</f>
        <v/>
      </c>
      <c r="AC204" s="67" t="str">
        <f>IF(OR($B204="",基础资料!$B$6=""),"",-SUMIFS(对接源_01水果筐数!$D$5:$D$304,对接源_01水果筐数!$B$5:$B$304,$B204,对接源_01水果筐数!$C$5:$C$304,基础资料!$B$6))</f>
        <v/>
      </c>
      <c r="AD204" s="67" t="str">
        <f>IF(OR($B204="",基础资料!$B$7=""),"",-SUMIFS(对接源_01水果筐数!$D$5:$D$304,对接源_01水果筐数!$B$5:$B$304,$B204,对接源_01水果筐数!$C$5:$C$304,基础资料!$B$7))</f>
        <v/>
      </c>
      <c r="AE204" s="67" t="str">
        <f>IF(OR($B204="",基础资料!$B$8=""),"",-SUMIFS(对接源_01水果筐数!$D$5:$D$304,对接源_01水果筐数!$B$5:$B$304,$B204,对接源_01水果筐数!$C$5:$C$304,基础资料!$B$8))</f>
        <v/>
      </c>
      <c r="AF204" s="25" t="str">
        <f>IF(OR($B204="",基础资料!$B$4=""),"",SUMIFS(对接源_01水果筐数!$E$5:$E$304,对接源_01水果筐数!$B$5:$B$304,$B204,对接源_01水果筐数!$C$5:$C$304,基础资料!$B$4))</f>
        <v/>
      </c>
      <c r="AG204" s="25" t="str">
        <f>IF(OR($B204="",基础资料!$B$5=""),"",SUMIFS(对接源_01水果筐数!$E$5:$E$304,对接源_01水果筐数!$B$5:$B$304,$B204,对接源_01水果筐数!$C$5:$C$304,基础资料!$B$5))</f>
        <v/>
      </c>
      <c r="AH204" s="25" t="str">
        <f>IF(OR($B204="",基础资料!$B$6=""),"",SUMIFS(对接源_01水果筐数!$E$5:$E$304,对接源_01水果筐数!$B$5:$B$304,$B204,对接源_01水果筐数!$C$5:$C$304,基础资料!$B$6))</f>
        <v/>
      </c>
      <c r="AI204" s="25" t="str">
        <f>IF(OR($B204="",基础资料!$B$7=""),"",SUMIFS(对接源_01水果筐数!$E$5:$E$304,对接源_01水果筐数!$B$5:$B$304,$B204,对接源_01水果筐数!$C$5:$C$304,基础资料!$B$7))</f>
        <v/>
      </c>
      <c r="AJ204" s="25" t="str">
        <f>IF(OR($B204="",基础资料!$B$8=""),"",SUMIFS(对接源_01水果筐数!$E$5:$E$304,对接源_01水果筐数!$B$5:$B$304,$B204,对接源_01水果筐数!$C$5:$C$304,基础资料!$B$8))</f>
        <v/>
      </c>
      <c r="AK204" s="25" t="str">
        <f>IF(OR($B204="",基础资料!$B$4=""),"",SUMIFS(对接源_01水果筐数!$F$5:$F$304,对接源_01水果筐数!$B$5:$B$304,$B204,对接源_01水果筐数!$C$5:$C$304,基础资料!$B$4))</f>
        <v/>
      </c>
      <c r="AL204" s="25" t="str">
        <f>IF(OR($B204="",基础资料!$B$5=""),"",SUMIFS(对接源_01水果筐数!$F$5:$F$304,对接源_01水果筐数!$B$5:$B$304,$B204,对接源_01水果筐数!$C$5:$C$304,基础资料!$B$5))</f>
        <v/>
      </c>
      <c r="AM204" s="25" t="str">
        <f>IF(OR($B204="",基础资料!$B$6=""),"",SUMIFS(对接源_01水果筐数!$F$5:$F$304,对接源_01水果筐数!$B$5:$B$304,$B204,对接源_01水果筐数!$C$5:$C$304,基础资料!$B$6))</f>
        <v/>
      </c>
      <c r="AN204" s="25" t="str">
        <f>IF(OR($B204="",基础资料!$B$7=""),"",SUMIFS(对接源_01水果筐数!$F$5:$F$304,对接源_01水果筐数!$B$5:$B$304,$B204,对接源_01水果筐数!$C$5:$C$304,基础资料!$B$7))</f>
        <v/>
      </c>
      <c r="AO204" s="25" t="str">
        <f>IF(OR($B204="",基础资料!$B$8=""),"",SUMIFS(对接源_01水果筐数!$F$5:$F$304,对接源_01水果筐数!$B$5:$B$304,$B204,对接源_01水果筐数!$C$5:$C$304,基础资料!$B$8))</f>
        <v/>
      </c>
      <c r="AP204" s="25" t="str">
        <f t="shared" si="41"/>
        <v/>
      </c>
      <c r="AQ204" s="25" t="str">
        <f t="shared" si="42"/>
        <v/>
      </c>
      <c r="AR204" s="25" t="str">
        <f t="shared" si="43"/>
        <v/>
      </c>
      <c r="AS204" s="25" t="str">
        <f t="shared" si="44"/>
        <v/>
      </c>
      <c r="AT204" s="25" t="str">
        <f t="shared" si="45"/>
        <v/>
      </c>
      <c r="AU204" s="25" t="str">
        <f t="shared" si="46"/>
        <v/>
      </c>
      <c r="AV204" s="24" t="str">
        <f t="shared" si="47"/>
        <v/>
      </c>
      <c r="AW204" s="72"/>
    </row>
    <row r="205" spans="1:49">
      <c r="A205" s="22" t="str">
        <f t="shared" si="36"/>
        <v/>
      </c>
      <c r="B205" s="24" t="str">
        <f>IFERROR(INDEX(_自动清单!$CC$4:$CC$253,ROW()-3),"")</f>
        <v/>
      </c>
      <c r="C205" s="25" t="str">
        <f>IF(OR($B205="",基础资料!$B$4=""),"",SUMIFS(周转筐出入库明细!$J$4:$J$2004,周转筐出入库明细!$C$4:$C$2004,$B205,周转筐出入库明细!$D$4:$D$2004,基础资料!$B$4,周转筐出入库明细!$B$4:$B$2004,"&gt;="&amp;$BC$1,周转筐出入库明细!$B$4:$B$2004,"&lt;="&amp;$BC$2))</f>
        <v/>
      </c>
      <c r="D205" s="25" t="str">
        <f>IF(OR($B205="",基础资料!$B$5=""),"",SUMIFS(周转筐出入库明细!$J$4:$J$2004,周转筐出入库明细!$C$4:$C$2004,$B205,周转筐出入库明细!$D$4:$D$2004,基础资料!$B$5,周转筐出入库明细!$B$4:$B$2004,"&gt;="&amp;$BC$1,周转筐出入库明细!$B$4:$B$2004,"&lt;="&amp;$BC$2))</f>
        <v/>
      </c>
      <c r="E205" s="25" t="str">
        <f>IF(OR($B205="",基础资料!$B$6=""),"",SUMIFS(周转筐出入库明细!$J$4:$J$2004,周转筐出入库明细!$C$4:$C$2004,$B205,周转筐出入库明细!$D$4:$D$2004,基础资料!$B$6,周转筐出入库明细!$B$4:$B$2004,"&gt;="&amp;$BC$1,周转筐出入库明细!$B$4:$B$2004,"&lt;="&amp;$BC$2))</f>
        <v/>
      </c>
      <c r="F205" s="25" t="str">
        <f>IF(OR($B205="",基础资料!$B$7=""),"",SUMIFS(周转筐出入库明细!$J$4:$J$2004,周转筐出入库明细!$C$4:$C$2004,$B205,周转筐出入库明细!$D$4:$D$2004,基础资料!$B$7,周转筐出入库明细!$B$4:$B$2004,"&gt;="&amp;$BC$1,周转筐出入库明细!$B$4:$B$2004,"&lt;="&amp;$BC$2))</f>
        <v/>
      </c>
      <c r="G205" s="25" t="str">
        <f>IF(OR($B205="",基础资料!$B$8=""),"",SUMIFS(周转筐出入库明细!$J$4:$J$2004,周转筐出入库明细!$C$4:$C$2004,$B205,周转筐出入库明细!$D$4:$D$2004,基础资料!$B$8,周转筐出入库明细!$B$4:$B$2004,"&gt;="&amp;$BC$1,周转筐出入库明细!$B$4:$B$2004,"&lt;="&amp;$BC$2))</f>
        <v/>
      </c>
      <c r="H205" s="25" t="str">
        <f t="shared" si="37"/>
        <v/>
      </c>
      <c r="I205" s="67" t="str">
        <f>IF(OR($B205="",基础资料!$B$4=""),"",-SUMIFS(周转筐出入库明细!$I$4:$I$2004,周转筐出入库明细!$C$4:$C$2004,$B205,周转筐出入库明细!$D$4:$D$2004,基础资料!$B$4,周转筐出入库明细!$B$4:$B$2004,"&gt;="&amp;$BC$1,周转筐出入库明细!$B$4:$B$2004,"&lt;="&amp;$BC$2))</f>
        <v/>
      </c>
      <c r="J205" s="67" t="str">
        <f>IF(OR($B205="",基础资料!$B$5=""),"",-SUMIFS(周转筐出入库明细!$I$4:$I$2004,周转筐出入库明细!$C$4:$C$2004,$B205,周转筐出入库明细!$D$4:$D$2004,基础资料!$B$5,周转筐出入库明细!$B$4:$B$2004,"&gt;="&amp;$BC$1,周转筐出入库明细!$B$4:$B$2004,"&lt;="&amp;$BC$2))</f>
        <v/>
      </c>
      <c r="K205" s="67" t="str">
        <f>IF(OR($B205="",基础资料!$B$6=""),"",-SUMIFS(周转筐出入库明细!$I$4:$I$2004,周转筐出入库明细!$C$4:$C$2004,$B205,周转筐出入库明细!$D$4:$D$2004,基础资料!$B$6,周转筐出入库明细!$B$4:$B$2004,"&gt;="&amp;$BC$1,周转筐出入库明细!$B$4:$B$2004,"&lt;="&amp;$BC$2))</f>
        <v/>
      </c>
      <c r="L205" s="67" t="str">
        <f>IF(OR($B205="",基础资料!$B$7=""),"",-SUMIFS(周转筐出入库明细!$I$4:$I$2004,周转筐出入库明细!$C$4:$C$2004,$B205,周转筐出入库明细!$D$4:$D$2004,基础资料!$B$7,周转筐出入库明细!$B$4:$B$2004,"&gt;="&amp;$BC$1,周转筐出入库明细!$B$4:$B$2004,"&lt;="&amp;$BC$2))</f>
        <v/>
      </c>
      <c r="M205" s="67" t="str">
        <f>IF(OR($B205="",基础资料!$B$8=""),"",-SUMIFS(周转筐出入库明细!$I$4:$I$2004,周转筐出入库明细!$C$4:$C$2004,$B205,周转筐出入库明细!$D$4:$D$2004,基础资料!$B$8,周转筐出入库明细!$B$4:$B$2004,"&gt;="&amp;$BC$1,周转筐出入库明细!$B$4:$B$2004,"&lt;="&amp;$BC$2))</f>
        <v/>
      </c>
      <c r="N205" s="67" t="str">
        <f t="shared" si="38"/>
        <v/>
      </c>
      <c r="O205" s="25" t="str">
        <f>IF(OR($B205="",基础资料!$B$4=""),"",SUMIFS(周转筐出入库明细!$H$4:$H$2004,周转筐出入库明细!$C$4:$C$2004,$B205,周转筐出入库明细!$D$4:$D$2004,基础资料!$B$4,周转筐出入库明细!$F$4:$F$2004,"采购入库",周转筐出入库明细!$B$4:$B$2004,"&gt;="&amp;$BC$1,周转筐出入库明细!$B$4:$B$2004,"&lt;="&amp;$BC$2))</f>
        <v/>
      </c>
      <c r="P205" s="25" t="str">
        <f>IF(OR($B205="",基础资料!$B$5=""),"",SUMIFS(周转筐出入库明细!$H$4:$H$2004,周转筐出入库明细!$C$4:$C$2004,$B205,周转筐出入库明细!$D$4:$D$2004,基础资料!$B$5,周转筐出入库明细!$F$4:$F$2004,"采购入库",周转筐出入库明细!$B$4:$B$2004,"&gt;="&amp;$BC$1,周转筐出入库明细!$B$4:$B$2004,"&lt;="&amp;$BC$2))</f>
        <v/>
      </c>
      <c r="Q205" s="25" t="str">
        <f>IF(OR($B205="",基础资料!$B$6=""),"",SUMIFS(周转筐出入库明细!$H$4:$H$2004,周转筐出入库明细!$C$4:$C$2004,$B205,周转筐出入库明细!$D$4:$D$2004,基础资料!$B$6,周转筐出入库明细!$F$4:$F$2004,"采购入库",周转筐出入库明细!$B$4:$B$2004,"&gt;="&amp;$BC$1,周转筐出入库明细!$B$4:$B$2004,"&lt;="&amp;$BC$2))</f>
        <v/>
      </c>
      <c r="R205" s="25" t="str">
        <f>IF(OR($B205="",基础资料!$B$7=""),"",SUMIFS(周转筐出入库明细!$H$4:$H$2004,周转筐出入库明细!$C$4:$C$2004,$B205,周转筐出入库明细!$D$4:$D$2004,基础资料!$B$7,周转筐出入库明细!$F$4:$F$2004,"采购入库",周转筐出入库明细!$B$4:$B$2004,"&gt;="&amp;$BC$1,周转筐出入库明细!$B$4:$B$2004,"&lt;="&amp;$BC$2))</f>
        <v/>
      </c>
      <c r="S205" s="25" t="str">
        <f>IF(OR($B205="",基础资料!$B$8=""),"",SUMIFS(周转筐出入库明细!$H$4:$H$2004,周转筐出入库明细!$C$4:$C$2004,$B205,周转筐出入库明细!$D$4:$D$2004,基础资料!$B$8,周转筐出入库明细!$F$4:$F$2004,"采购入库",周转筐出入库明细!$B$4:$B$2004,"&gt;="&amp;$BC$1,周转筐出入库明细!$B$4:$B$2004,"&lt;="&amp;$BC$2))</f>
        <v/>
      </c>
      <c r="T205" s="25" t="str">
        <f t="shared" si="39"/>
        <v/>
      </c>
      <c r="U205" s="25" t="str">
        <f>IF(OR($B205="",基础资料!$B$4=""),"",SUMIFS(周转筐出入库明细!$K$4:$K$2004,周转筐出入库明细!$C$4:$C$2004,$B205,周转筐出入库明细!$D$4:$D$2004,基础资料!$B$4,周转筐出入库明细!$B$4:$B$2004,"&gt;="&amp;$BC$1,周转筐出入库明细!$B$4:$B$2004,"&lt;="&amp;$BC$2))</f>
        <v/>
      </c>
      <c r="V205" s="25" t="str">
        <f>IF(OR($B205="",基础资料!$B$5=""),"",SUMIFS(周转筐出入库明细!$K$4:$K$2004,周转筐出入库明细!$C$4:$C$2004,$B205,周转筐出入库明细!$D$4:$D$2004,基础资料!$B$5,周转筐出入库明细!$B$4:$B$2004,"&gt;="&amp;$BC$1,周转筐出入库明细!$B$4:$B$2004,"&lt;="&amp;$BC$2))</f>
        <v/>
      </c>
      <c r="W205" s="25" t="str">
        <f>IF(OR($B205="",基础资料!$B$6=""),"",SUMIFS(周转筐出入库明细!$K$4:$K$2004,周转筐出入库明细!$C$4:$C$2004,$B205,周转筐出入库明细!$D$4:$D$2004,基础资料!$B$6,周转筐出入库明细!$B$4:$B$2004,"&gt;="&amp;$BC$1,周转筐出入库明细!$B$4:$B$2004,"&lt;="&amp;$BC$2))</f>
        <v/>
      </c>
      <c r="X205" s="25" t="str">
        <f>IF(OR($B205="",基础资料!$B$7=""),"",SUMIFS(周转筐出入库明细!$K$4:$K$2004,周转筐出入库明细!$C$4:$C$2004,$B205,周转筐出入库明细!$D$4:$D$2004,基础资料!$B$7,周转筐出入库明细!$B$4:$B$2004,"&gt;="&amp;$BC$1,周转筐出入库明细!$B$4:$B$2004,"&lt;="&amp;$BC$2))</f>
        <v/>
      </c>
      <c r="Y205" s="25" t="str">
        <f>IF(OR($B205="",基础资料!$B$8=""),"",SUMIFS(周转筐出入库明细!$K$4:$K$2004,周转筐出入库明细!$C$4:$C$2004,$B205,周转筐出入库明细!$D$4:$D$2004,基础资料!$B$8,周转筐出入库明细!$B$4:$B$2004,"&gt;="&amp;$BC$1,周转筐出入库明细!$B$4:$B$2004,"&lt;="&amp;$BC$2))</f>
        <v/>
      </c>
      <c r="Z205" s="25" t="str">
        <f t="shared" si="40"/>
        <v/>
      </c>
      <c r="AA205" s="67" t="str">
        <f>IF(OR($B205="",基础资料!$B$4=""),"",-SUMIFS(对接源_01水果筐数!$D$5:$D$304,对接源_01水果筐数!$B$5:$B$304,$B205,对接源_01水果筐数!$C$5:$C$304,基础资料!$B$4))</f>
        <v/>
      </c>
      <c r="AB205" s="67" t="str">
        <f>IF(OR($B205="",基础资料!$B$5=""),"",-SUMIFS(对接源_01水果筐数!$D$5:$D$304,对接源_01水果筐数!$B$5:$B$304,$B205,对接源_01水果筐数!$C$5:$C$304,基础资料!$B$5))</f>
        <v/>
      </c>
      <c r="AC205" s="67" t="str">
        <f>IF(OR($B205="",基础资料!$B$6=""),"",-SUMIFS(对接源_01水果筐数!$D$5:$D$304,对接源_01水果筐数!$B$5:$B$304,$B205,对接源_01水果筐数!$C$5:$C$304,基础资料!$B$6))</f>
        <v/>
      </c>
      <c r="AD205" s="67" t="str">
        <f>IF(OR($B205="",基础资料!$B$7=""),"",-SUMIFS(对接源_01水果筐数!$D$5:$D$304,对接源_01水果筐数!$B$5:$B$304,$B205,对接源_01水果筐数!$C$5:$C$304,基础资料!$B$7))</f>
        <v/>
      </c>
      <c r="AE205" s="67" t="str">
        <f>IF(OR($B205="",基础资料!$B$8=""),"",-SUMIFS(对接源_01水果筐数!$D$5:$D$304,对接源_01水果筐数!$B$5:$B$304,$B205,对接源_01水果筐数!$C$5:$C$304,基础资料!$B$8))</f>
        <v/>
      </c>
      <c r="AF205" s="25" t="str">
        <f>IF(OR($B205="",基础资料!$B$4=""),"",SUMIFS(对接源_01水果筐数!$E$5:$E$304,对接源_01水果筐数!$B$5:$B$304,$B205,对接源_01水果筐数!$C$5:$C$304,基础资料!$B$4))</f>
        <v/>
      </c>
      <c r="AG205" s="25" t="str">
        <f>IF(OR($B205="",基础资料!$B$5=""),"",SUMIFS(对接源_01水果筐数!$E$5:$E$304,对接源_01水果筐数!$B$5:$B$304,$B205,对接源_01水果筐数!$C$5:$C$304,基础资料!$B$5))</f>
        <v/>
      </c>
      <c r="AH205" s="25" t="str">
        <f>IF(OR($B205="",基础资料!$B$6=""),"",SUMIFS(对接源_01水果筐数!$E$5:$E$304,对接源_01水果筐数!$B$5:$B$304,$B205,对接源_01水果筐数!$C$5:$C$304,基础资料!$B$6))</f>
        <v/>
      </c>
      <c r="AI205" s="25" t="str">
        <f>IF(OR($B205="",基础资料!$B$7=""),"",SUMIFS(对接源_01水果筐数!$E$5:$E$304,对接源_01水果筐数!$B$5:$B$304,$B205,对接源_01水果筐数!$C$5:$C$304,基础资料!$B$7))</f>
        <v/>
      </c>
      <c r="AJ205" s="25" t="str">
        <f>IF(OR($B205="",基础资料!$B$8=""),"",SUMIFS(对接源_01水果筐数!$E$5:$E$304,对接源_01水果筐数!$B$5:$B$304,$B205,对接源_01水果筐数!$C$5:$C$304,基础资料!$B$8))</f>
        <v/>
      </c>
      <c r="AK205" s="25" t="str">
        <f>IF(OR($B205="",基础资料!$B$4=""),"",SUMIFS(对接源_01水果筐数!$F$5:$F$304,对接源_01水果筐数!$B$5:$B$304,$B205,对接源_01水果筐数!$C$5:$C$304,基础资料!$B$4))</f>
        <v/>
      </c>
      <c r="AL205" s="25" t="str">
        <f>IF(OR($B205="",基础资料!$B$5=""),"",SUMIFS(对接源_01水果筐数!$F$5:$F$304,对接源_01水果筐数!$B$5:$B$304,$B205,对接源_01水果筐数!$C$5:$C$304,基础资料!$B$5))</f>
        <v/>
      </c>
      <c r="AM205" s="25" t="str">
        <f>IF(OR($B205="",基础资料!$B$6=""),"",SUMIFS(对接源_01水果筐数!$F$5:$F$304,对接源_01水果筐数!$B$5:$B$304,$B205,对接源_01水果筐数!$C$5:$C$304,基础资料!$B$6))</f>
        <v/>
      </c>
      <c r="AN205" s="25" t="str">
        <f>IF(OR($B205="",基础资料!$B$7=""),"",SUMIFS(对接源_01水果筐数!$F$5:$F$304,对接源_01水果筐数!$B$5:$B$304,$B205,对接源_01水果筐数!$C$5:$C$304,基础资料!$B$7))</f>
        <v/>
      </c>
      <c r="AO205" s="25" t="str">
        <f>IF(OR($B205="",基础资料!$B$8=""),"",SUMIFS(对接源_01水果筐数!$F$5:$F$304,对接源_01水果筐数!$B$5:$B$304,$B205,对接源_01水果筐数!$C$5:$C$304,基础资料!$B$8))</f>
        <v/>
      </c>
      <c r="AP205" s="25" t="str">
        <f t="shared" si="41"/>
        <v/>
      </c>
      <c r="AQ205" s="25" t="str">
        <f t="shared" si="42"/>
        <v/>
      </c>
      <c r="AR205" s="25" t="str">
        <f t="shared" si="43"/>
        <v/>
      </c>
      <c r="AS205" s="25" t="str">
        <f t="shared" si="44"/>
        <v/>
      </c>
      <c r="AT205" s="25" t="str">
        <f t="shared" si="45"/>
        <v/>
      </c>
      <c r="AU205" s="25" t="str">
        <f t="shared" si="46"/>
        <v/>
      </c>
      <c r="AV205" s="24" t="str">
        <f t="shared" si="47"/>
        <v/>
      </c>
      <c r="AW205" s="72"/>
    </row>
    <row r="206" spans="1:49">
      <c r="A206" s="22" t="str">
        <f t="shared" si="36"/>
        <v/>
      </c>
      <c r="B206" s="24" t="str">
        <f>IFERROR(INDEX(_自动清单!$CC$4:$CC$253,ROW()-3),"")</f>
        <v/>
      </c>
      <c r="C206" s="25" t="str">
        <f>IF(OR($B206="",基础资料!$B$4=""),"",SUMIFS(周转筐出入库明细!$J$4:$J$2004,周转筐出入库明细!$C$4:$C$2004,$B206,周转筐出入库明细!$D$4:$D$2004,基础资料!$B$4,周转筐出入库明细!$B$4:$B$2004,"&gt;="&amp;$BC$1,周转筐出入库明细!$B$4:$B$2004,"&lt;="&amp;$BC$2))</f>
        <v/>
      </c>
      <c r="D206" s="25" t="str">
        <f>IF(OR($B206="",基础资料!$B$5=""),"",SUMIFS(周转筐出入库明细!$J$4:$J$2004,周转筐出入库明细!$C$4:$C$2004,$B206,周转筐出入库明细!$D$4:$D$2004,基础资料!$B$5,周转筐出入库明细!$B$4:$B$2004,"&gt;="&amp;$BC$1,周转筐出入库明细!$B$4:$B$2004,"&lt;="&amp;$BC$2))</f>
        <v/>
      </c>
      <c r="E206" s="25" t="str">
        <f>IF(OR($B206="",基础资料!$B$6=""),"",SUMIFS(周转筐出入库明细!$J$4:$J$2004,周转筐出入库明细!$C$4:$C$2004,$B206,周转筐出入库明细!$D$4:$D$2004,基础资料!$B$6,周转筐出入库明细!$B$4:$B$2004,"&gt;="&amp;$BC$1,周转筐出入库明细!$B$4:$B$2004,"&lt;="&amp;$BC$2))</f>
        <v/>
      </c>
      <c r="F206" s="25" t="str">
        <f>IF(OR($B206="",基础资料!$B$7=""),"",SUMIFS(周转筐出入库明细!$J$4:$J$2004,周转筐出入库明细!$C$4:$C$2004,$B206,周转筐出入库明细!$D$4:$D$2004,基础资料!$B$7,周转筐出入库明细!$B$4:$B$2004,"&gt;="&amp;$BC$1,周转筐出入库明细!$B$4:$B$2004,"&lt;="&amp;$BC$2))</f>
        <v/>
      </c>
      <c r="G206" s="25" t="str">
        <f>IF(OR($B206="",基础资料!$B$8=""),"",SUMIFS(周转筐出入库明细!$J$4:$J$2004,周转筐出入库明细!$C$4:$C$2004,$B206,周转筐出入库明细!$D$4:$D$2004,基础资料!$B$8,周转筐出入库明细!$B$4:$B$2004,"&gt;="&amp;$BC$1,周转筐出入库明细!$B$4:$B$2004,"&lt;="&amp;$BC$2))</f>
        <v/>
      </c>
      <c r="H206" s="25" t="str">
        <f t="shared" si="37"/>
        <v/>
      </c>
      <c r="I206" s="67" t="str">
        <f>IF(OR($B206="",基础资料!$B$4=""),"",-SUMIFS(周转筐出入库明细!$I$4:$I$2004,周转筐出入库明细!$C$4:$C$2004,$B206,周转筐出入库明细!$D$4:$D$2004,基础资料!$B$4,周转筐出入库明细!$B$4:$B$2004,"&gt;="&amp;$BC$1,周转筐出入库明细!$B$4:$B$2004,"&lt;="&amp;$BC$2))</f>
        <v/>
      </c>
      <c r="J206" s="67" t="str">
        <f>IF(OR($B206="",基础资料!$B$5=""),"",-SUMIFS(周转筐出入库明细!$I$4:$I$2004,周转筐出入库明细!$C$4:$C$2004,$B206,周转筐出入库明细!$D$4:$D$2004,基础资料!$B$5,周转筐出入库明细!$B$4:$B$2004,"&gt;="&amp;$BC$1,周转筐出入库明细!$B$4:$B$2004,"&lt;="&amp;$BC$2))</f>
        <v/>
      </c>
      <c r="K206" s="67" t="str">
        <f>IF(OR($B206="",基础资料!$B$6=""),"",-SUMIFS(周转筐出入库明细!$I$4:$I$2004,周转筐出入库明细!$C$4:$C$2004,$B206,周转筐出入库明细!$D$4:$D$2004,基础资料!$B$6,周转筐出入库明细!$B$4:$B$2004,"&gt;="&amp;$BC$1,周转筐出入库明细!$B$4:$B$2004,"&lt;="&amp;$BC$2))</f>
        <v/>
      </c>
      <c r="L206" s="67" t="str">
        <f>IF(OR($B206="",基础资料!$B$7=""),"",-SUMIFS(周转筐出入库明细!$I$4:$I$2004,周转筐出入库明细!$C$4:$C$2004,$B206,周转筐出入库明细!$D$4:$D$2004,基础资料!$B$7,周转筐出入库明细!$B$4:$B$2004,"&gt;="&amp;$BC$1,周转筐出入库明细!$B$4:$B$2004,"&lt;="&amp;$BC$2))</f>
        <v/>
      </c>
      <c r="M206" s="67" t="str">
        <f>IF(OR($B206="",基础资料!$B$8=""),"",-SUMIFS(周转筐出入库明细!$I$4:$I$2004,周转筐出入库明细!$C$4:$C$2004,$B206,周转筐出入库明细!$D$4:$D$2004,基础资料!$B$8,周转筐出入库明细!$B$4:$B$2004,"&gt;="&amp;$BC$1,周转筐出入库明细!$B$4:$B$2004,"&lt;="&amp;$BC$2))</f>
        <v/>
      </c>
      <c r="N206" s="67" t="str">
        <f t="shared" si="38"/>
        <v/>
      </c>
      <c r="O206" s="25" t="str">
        <f>IF(OR($B206="",基础资料!$B$4=""),"",SUMIFS(周转筐出入库明细!$H$4:$H$2004,周转筐出入库明细!$C$4:$C$2004,$B206,周转筐出入库明细!$D$4:$D$2004,基础资料!$B$4,周转筐出入库明细!$F$4:$F$2004,"采购入库",周转筐出入库明细!$B$4:$B$2004,"&gt;="&amp;$BC$1,周转筐出入库明细!$B$4:$B$2004,"&lt;="&amp;$BC$2))</f>
        <v/>
      </c>
      <c r="P206" s="25" t="str">
        <f>IF(OR($B206="",基础资料!$B$5=""),"",SUMIFS(周转筐出入库明细!$H$4:$H$2004,周转筐出入库明细!$C$4:$C$2004,$B206,周转筐出入库明细!$D$4:$D$2004,基础资料!$B$5,周转筐出入库明细!$F$4:$F$2004,"采购入库",周转筐出入库明细!$B$4:$B$2004,"&gt;="&amp;$BC$1,周转筐出入库明细!$B$4:$B$2004,"&lt;="&amp;$BC$2))</f>
        <v/>
      </c>
      <c r="Q206" s="25" t="str">
        <f>IF(OR($B206="",基础资料!$B$6=""),"",SUMIFS(周转筐出入库明细!$H$4:$H$2004,周转筐出入库明细!$C$4:$C$2004,$B206,周转筐出入库明细!$D$4:$D$2004,基础资料!$B$6,周转筐出入库明细!$F$4:$F$2004,"采购入库",周转筐出入库明细!$B$4:$B$2004,"&gt;="&amp;$BC$1,周转筐出入库明细!$B$4:$B$2004,"&lt;="&amp;$BC$2))</f>
        <v/>
      </c>
      <c r="R206" s="25" t="str">
        <f>IF(OR($B206="",基础资料!$B$7=""),"",SUMIFS(周转筐出入库明细!$H$4:$H$2004,周转筐出入库明细!$C$4:$C$2004,$B206,周转筐出入库明细!$D$4:$D$2004,基础资料!$B$7,周转筐出入库明细!$F$4:$F$2004,"采购入库",周转筐出入库明细!$B$4:$B$2004,"&gt;="&amp;$BC$1,周转筐出入库明细!$B$4:$B$2004,"&lt;="&amp;$BC$2))</f>
        <v/>
      </c>
      <c r="S206" s="25" t="str">
        <f>IF(OR($B206="",基础资料!$B$8=""),"",SUMIFS(周转筐出入库明细!$H$4:$H$2004,周转筐出入库明细!$C$4:$C$2004,$B206,周转筐出入库明细!$D$4:$D$2004,基础资料!$B$8,周转筐出入库明细!$F$4:$F$2004,"采购入库",周转筐出入库明细!$B$4:$B$2004,"&gt;="&amp;$BC$1,周转筐出入库明细!$B$4:$B$2004,"&lt;="&amp;$BC$2))</f>
        <v/>
      </c>
      <c r="T206" s="25" t="str">
        <f t="shared" si="39"/>
        <v/>
      </c>
      <c r="U206" s="25" t="str">
        <f>IF(OR($B206="",基础资料!$B$4=""),"",SUMIFS(周转筐出入库明细!$K$4:$K$2004,周转筐出入库明细!$C$4:$C$2004,$B206,周转筐出入库明细!$D$4:$D$2004,基础资料!$B$4,周转筐出入库明细!$B$4:$B$2004,"&gt;="&amp;$BC$1,周转筐出入库明细!$B$4:$B$2004,"&lt;="&amp;$BC$2))</f>
        <v/>
      </c>
      <c r="V206" s="25" t="str">
        <f>IF(OR($B206="",基础资料!$B$5=""),"",SUMIFS(周转筐出入库明细!$K$4:$K$2004,周转筐出入库明细!$C$4:$C$2004,$B206,周转筐出入库明细!$D$4:$D$2004,基础资料!$B$5,周转筐出入库明细!$B$4:$B$2004,"&gt;="&amp;$BC$1,周转筐出入库明细!$B$4:$B$2004,"&lt;="&amp;$BC$2))</f>
        <v/>
      </c>
      <c r="W206" s="25" t="str">
        <f>IF(OR($B206="",基础资料!$B$6=""),"",SUMIFS(周转筐出入库明细!$K$4:$K$2004,周转筐出入库明细!$C$4:$C$2004,$B206,周转筐出入库明细!$D$4:$D$2004,基础资料!$B$6,周转筐出入库明细!$B$4:$B$2004,"&gt;="&amp;$BC$1,周转筐出入库明细!$B$4:$B$2004,"&lt;="&amp;$BC$2))</f>
        <v/>
      </c>
      <c r="X206" s="25" t="str">
        <f>IF(OR($B206="",基础资料!$B$7=""),"",SUMIFS(周转筐出入库明细!$K$4:$K$2004,周转筐出入库明细!$C$4:$C$2004,$B206,周转筐出入库明细!$D$4:$D$2004,基础资料!$B$7,周转筐出入库明细!$B$4:$B$2004,"&gt;="&amp;$BC$1,周转筐出入库明细!$B$4:$B$2004,"&lt;="&amp;$BC$2))</f>
        <v/>
      </c>
      <c r="Y206" s="25" t="str">
        <f>IF(OR($B206="",基础资料!$B$8=""),"",SUMIFS(周转筐出入库明细!$K$4:$K$2004,周转筐出入库明细!$C$4:$C$2004,$B206,周转筐出入库明细!$D$4:$D$2004,基础资料!$B$8,周转筐出入库明细!$B$4:$B$2004,"&gt;="&amp;$BC$1,周转筐出入库明细!$B$4:$B$2004,"&lt;="&amp;$BC$2))</f>
        <v/>
      </c>
      <c r="Z206" s="25" t="str">
        <f t="shared" si="40"/>
        <v/>
      </c>
      <c r="AA206" s="67" t="str">
        <f>IF(OR($B206="",基础资料!$B$4=""),"",-SUMIFS(对接源_01水果筐数!$D$5:$D$304,对接源_01水果筐数!$B$5:$B$304,$B206,对接源_01水果筐数!$C$5:$C$304,基础资料!$B$4))</f>
        <v/>
      </c>
      <c r="AB206" s="67" t="str">
        <f>IF(OR($B206="",基础资料!$B$5=""),"",-SUMIFS(对接源_01水果筐数!$D$5:$D$304,对接源_01水果筐数!$B$5:$B$304,$B206,对接源_01水果筐数!$C$5:$C$304,基础资料!$B$5))</f>
        <v/>
      </c>
      <c r="AC206" s="67" t="str">
        <f>IF(OR($B206="",基础资料!$B$6=""),"",-SUMIFS(对接源_01水果筐数!$D$5:$D$304,对接源_01水果筐数!$B$5:$B$304,$B206,对接源_01水果筐数!$C$5:$C$304,基础资料!$B$6))</f>
        <v/>
      </c>
      <c r="AD206" s="67" t="str">
        <f>IF(OR($B206="",基础资料!$B$7=""),"",-SUMIFS(对接源_01水果筐数!$D$5:$D$304,对接源_01水果筐数!$B$5:$B$304,$B206,对接源_01水果筐数!$C$5:$C$304,基础资料!$B$7))</f>
        <v/>
      </c>
      <c r="AE206" s="67" t="str">
        <f>IF(OR($B206="",基础资料!$B$8=""),"",-SUMIFS(对接源_01水果筐数!$D$5:$D$304,对接源_01水果筐数!$B$5:$B$304,$B206,对接源_01水果筐数!$C$5:$C$304,基础资料!$B$8))</f>
        <v/>
      </c>
      <c r="AF206" s="25" t="str">
        <f>IF(OR($B206="",基础资料!$B$4=""),"",SUMIFS(对接源_01水果筐数!$E$5:$E$304,对接源_01水果筐数!$B$5:$B$304,$B206,对接源_01水果筐数!$C$5:$C$304,基础资料!$B$4))</f>
        <v/>
      </c>
      <c r="AG206" s="25" t="str">
        <f>IF(OR($B206="",基础资料!$B$5=""),"",SUMIFS(对接源_01水果筐数!$E$5:$E$304,对接源_01水果筐数!$B$5:$B$304,$B206,对接源_01水果筐数!$C$5:$C$304,基础资料!$B$5))</f>
        <v/>
      </c>
      <c r="AH206" s="25" t="str">
        <f>IF(OR($B206="",基础资料!$B$6=""),"",SUMIFS(对接源_01水果筐数!$E$5:$E$304,对接源_01水果筐数!$B$5:$B$304,$B206,对接源_01水果筐数!$C$5:$C$304,基础资料!$B$6))</f>
        <v/>
      </c>
      <c r="AI206" s="25" t="str">
        <f>IF(OR($B206="",基础资料!$B$7=""),"",SUMIFS(对接源_01水果筐数!$E$5:$E$304,对接源_01水果筐数!$B$5:$B$304,$B206,对接源_01水果筐数!$C$5:$C$304,基础资料!$B$7))</f>
        <v/>
      </c>
      <c r="AJ206" s="25" t="str">
        <f>IF(OR($B206="",基础资料!$B$8=""),"",SUMIFS(对接源_01水果筐数!$E$5:$E$304,对接源_01水果筐数!$B$5:$B$304,$B206,对接源_01水果筐数!$C$5:$C$304,基础资料!$B$8))</f>
        <v/>
      </c>
      <c r="AK206" s="25" t="str">
        <f>IF(OR($B206="",基础资料!$B$4=""),"",SUMIFS(对接源_01水果筐数!$F$5:$F$304,对接源_01水果筐数!$B$5:$B$304,$B206,对接源_01水果筐数!$C$5:$C$304,基础资料!$B$4))</f>
        <v/>
      </c>
      <c r="AL206" s="25" t="str">
        <f>IF(OR($B206="",基础资料!$B$5=""),"",SUMIFS(对接源_01水果筐数!$F$5:$F$304,对接源_01水果筐数!$B$5:$B$304,$B206,对接源_01水果筐数!$C$5:$C$304,基础资料!$B$5))</f>
        <v/>
      </c>
      <c r="AM206" s="25" t="str">
        <f>IF(OR($B206="",基础资料!$B$6=""),"",SUMIFS(对接源_01水果筐数!$F$5:$F$304,对接源_01水果筐数!$B$5:$B$304,$B206,对接源_01水果筐数!$C$5:$C$304,基础资料!$B$6))</f>
        <v/>
      </c>
      <c r="AN206" s="25" t="str">
        <f>IF(OR($B206="",基础资料!$B$7=""),"",SUMIFS(对接源_01水果筐数!$F$5:$F$304,对接源_01水果筐数!$B$5:$B$304,$B206,对接源_01水果筐数!$C$5:$C$304,基础资料!$B$7))</f>
        <v/>
      </c>
      <c r="AO206" s="25" t="str">
        <f>IF(OR($B206="",基础资料!$B$8=""),"",SUMIFS(对接源_01水果筐数!$F$5:$F$304,对接源_01水果筐数!$B$5:$B$304,$B206,对接源_01水果筐数!$C$5:$C$304,基础资料!$B$8))</f>
        <v/>
      </c>
      <c r="AP206" s="25" t="str">
        <f t="shared" si="41"/>
        <v/>
      </c>
      <c r="AQ206" s="25" t="str">
        <f t="shared" si="42"/>
        <v/>
      </c>
      <c r="AR206" s="25" t="str">
        <f t="shared" si="43"/>
        <v/>
      </c>
      <c r="AS206" s="25" t="str">
        <f t="shared" si="44"/>
        <v/>
      </c>
      <c r="AT206" s="25" t="str">
        <f t="shared" si="45"/>
        <v/>
      </c>
      <c r="AU206" s="25" t="str">
        <f t="shared" si="46"/>
        <v/>
      </c>
      <c r="AV206" s="24" t="str">
        <f t="shared" si="47"/>
        <v/>
      </c>
      <c r="AW206" s="72"/>
    </row>
    <row r="207" spans="1:49">
      <c r="A207" s="22" t="str">
        <f t="shared" si="36"/>
        <v/>
      </c>
      <c r="B207" s="24" t="str">
        <f>IFERROR(INDEX(_自动清单!$CC$4:$CC$253,ROW()-3),"")</f>
        <v/>
      </c>
      <c r="C207" s="25" t="str">
        <f>IF(OR($B207="",基础资料!$B$4=""),"",SUMIFS(周转筐出入库明细!$J$4:$J$2004,周转筐出入库明细!$C$4:$C$2004,$B207,周转筐出入库明细!$D$4:$D$2004,基础资料!$B$4,周转筐出入库明细!$B$4:$B$2004,"&gt;="&amp;$BC$1,周转筐出入库明细!$B$4:$B$2004,"&lt;="&amp;$BC$2))</f>
        <v/>
      </c>
      <c r="D207" s="25" t="str">
        <f>IF(OR($B207="",基础资料!$B$5=""),"",SUMIFS(周转筐出入库明细!$J$4:$J$2004,周转筐出入库明细!$C$4:$C$2004,$B207,周转筐出入库明细!$D$4:$D$2004,基础资料!$B$5,周转筐出入库明细!$B$4:$B$2004,"&gt;="&amp;$BC$1,周转筐出入库明细!$B$4:$B$2004,"&lt;="&amp;$BC$2))</f>
        <v/>
      </c>
      <c r="E207" s="25" t="str">
        <f>IF(OR($B207="",基础资料!$B$6=""),"",SUMIFS(周转筐出入库明细!$J$4:$J$2004,周转筐出入库明细!$C$4:$C$2004,$B207,周转筐出入库明细!$D$4:$D$2004,基础资料!$B$6,周转筐出入库明细!$B$4:$B$2004,"&gt;="&amp;$BC$1,周转筐出入库明细!$B$4:$B$2004,"&lt;="&amp;$BC$2))</f>
        <v/>
      </c>
      <c r="F207" s="25" t="str">
        <f>IF(OR($B207="",基础资料!$B$7=""),"",SUMIFS(周转筐出入库明细!$J$4:$J$2004,周转筐出入库明细!$C$4:$C$2004,$B207,周转筐出入库明细!$D$4:$D$2004,基础资料!$B$7,周转筐出入库明细!$B$4:$B$2004,"&gt;="&amp;$BC$1,周转筐出入库明细!$B$4:$B$2004,"&lt;="&amp;$BC$2))</f>
        <v/>
      </c>
      <c r="G207" s="25" t="str">
        <f>IF(OR($B207="",基础资料!$B$8=""),"",SUMIFS(周转筐出入库明细!$J$4:$J$2004,周转筐出入库明细!$C$4:$C$2004,$B207,周转筐出入库明细!$D$4:$D$2004,基础资料!$B$8,周转筐出入库明细!$B$4:$B$2004,"&gt;="&amp;$BC$1,周转筐出入库明细!$B$4:$B$2004,"&lt;="&amp;$BC$2))</f>
        <v/>
      </c>
      <c r="H207" s="25" t="str">
        <f t="shared" si="37"/>
        <v/>
      </c>
      <c r="I207" s="67" t="str">
        <f>IF(OR($B207="",基础资料!$B$4=""),"",-SUMIFS(周转筐出入库明细!$I$4:$I$2004,周转筐出入库明细!$C$4:$C$2004,$B207,周转筐出入库明细!$D$4:$D$2004,基础资料!$B$4,周转筐出入库明细!$B$4:$B$2004,"&gt;="&amp;$BC$1,周转筐出入库明细!$B$4:$B$2004,"&lt;="&amp;$BC$2))</f>
        <v/>
      </c>
      <c r="J207" s="67" t="str">
        <f>IF(OR($B207="",基础资料!$B$5=""),"",-SUMIFS(周转筐出入库明细!$I$4:$I$2004,周转筐出入库明细!$C$4:$C$2004,$B207,周转筐出入库明细!$D$4:$D$2004,基础资料!$B$5,周转筐出入库明细!$B$4:$B$2004,"&gt;="&amp;$BC$1,周转筐出入库明细!$B$4:$B$2004,"&lt;="&amp;$BC$2))</f>
        <v/>
      </c>
      <c r="K207" s="67" t="str">
        <f>IF(OR($B207="",基础资料!$B$6=""),"",-SUMIFS(周转筐出入库明细!$I$4:$I$2004,周转筐出入库明细!$C$4:$C$2004,$B207,周转筐出入库明细!$D$4:$D$2004,基础资料!$B$6,周转筐出入库明细!$B$4:$B$2004,"&gt;="&amp;$BC$1,周转筐出入库明细!$B$4:$B$2004,"&lt;="&amp;$BC$2))</f>
        <v/>
      </c>
      <c r="L207" s="67" t="str">
        <f>IF(OR($B207="",基础资料!$B$7=""),"",-SUMIFS(周转筐出入库明细!$I$4:$I$2004,周转筐出入库明细!$C$4:$C$2004,$B207,周转筐出入库明细!$D$4:$D$2004,基础资料!$B$7,周转筐出入库明细!$B$4:$B$2004,"&gt;="&amp;$BC$1,周转筐出入库明细!$B$4:$B$2004,"&lt;="&amp;$BC$2))</f>
        <v/>
      </c>
      <c r="M207" s="67" t="str">
        <f>IF(OR($B207="",基础资料!$B$8=""),"",-SUMIFS(周转筐出入库明细!$I$4:$I$2004,周转筐出入库明细!$C$4:$C$2004,$B207,周转筐出入库明细!$D$4:$D$2004,基础资料!$B$8,周转筐出入库明细!$B$4:$B$2004,"&gt;="&amp;$BC$1,周转筐出入库明细!$B$4:$B$2004,"&lt;="&amp;$BC$2))</f>
        <v/>
      </c>
      <c r="N207" s="67" t="str">
        <f t="shared" si="38"/>
        <v/>
      </c>
      <c r="O207" s="25" t="str">
        <f>IF(OR($B207="",基础资料!$B$4=""),"",SUMIFS(周转筐出入库明细!$H$4:$H$2004,周转筐出入库明细!$C$4:$C$2004,$B207,周转筐出入库明细!$D$4:$D$2004,基础资料!$B$4,周转筐出入库明细!$F$4:$F$2004,"采购入库",周转筐出入库明细!$B$4:$B$2004,"&gt;="&amp;$BC$1,周转筐出入库明细!$B$4:$B$2004,"&lt;="&amp;$BC$2))</f>
        <v/>
      </c>
      <c r="P207" s="25" t="str">
        <f>IF(OR($B207="",基础资料!$B$5=""),"",SUMIFS(周转筐出入库明细!$H$4:$H$2004,周转筐出入库明细!$C$4:$C$2004,$B207,周转筐出入库明细!$D$4:$D$2004,基础资料!$B$5,周转筐出入库明细!$F$4:$F$2004,"采购入库",周转筐出入库明细!$B$4:$B$2004,"&gt;="&amp;$BC$1,周转筐出入库明细!$B$4:$B$2004,"&lt;="&amp;$BC$2))</f>
        <v/>
      </c>
      <c r="Q207" s="25" t="str">
        <f>IF(OR($B207="",基础资料!$B$6=""),"",SUMIFS(周转筐出入库明细!$H$4:$H$2004,周转筐出入库明细!$C$4:$C$2004,$B207,周转筐出入库明细!$D$4:$D$2004,基础资料!$B$6,周转筐出入库明细!$F$4:$F$2004,"采购入库",周转筐出入库明细!$B$4:$B$2004,"&gt;="&amp;$BC$1,周转筐出入库明细!$B$4:$B$2004,"&lt;="&amp;$BC$2))</f>
        <v/>
      </c>
      <c r="R207" s="25" t="str">
        <f>IF(OR($B207="",基础资料!$B$7=""),"",SUMIFS(周转筐出入库明细!$H$4:$H$2004,周转筐出入库明细!$C$4:$C$2004,$B207,周转筐出入库明细!$D$4:$D$2004,基础资料!$B$7,周转筐出入库明细!$F$4:$F$2004,"采购入库",周转筐出入库明细!$B$4:$B$2004,"&gt;="&amp;$BC$1,周转筐出入库明细!$B$4:$B$2004,"&lt;="&amp;$BC$2))</f>
        <v/>
      </c>
      <c r="S207" s="25" t="str">
        <f>IF(OR($B207="",基础资料!$B$8=""),"",SUMIFS(周转筐出入库明细!$H$4:$H$2004,周转筐出入库明细!$C$4:$C$2004,$B207,周转筐出入库明细!$D$4:$D$2004,基础资料!$B$8,周转筐出入库明细!$F$4:$F$2004,"采购入库",周转筐出入库明细!$B$4:$B$2004,"&gt;="&amp;$BC$1,周转筐出入库明细!$B$4:$B$2004,"&lt;="&amp;$BC$2))</f>
        <v/>
      </c>
      <c r="T207" s="25" t="str">
        <f t="shared" si="39"/>
        <v/>
      </c>
      <c r="U207" s="25" t="str">
        <f>IF(OR($B207="",基础资料!$B$4=""),"",SUMIFS(周转筐出入库明细!$K$4:$K$2004,周转筐出入库明细!$C$4:$C$2004,$B207,周转筐出入库明细!$D$4:$D$2004,基础资料!$B$4,周转筐出入库明细!$B$4:$B$2004,"&gt;="&amp;$BC$1,周转筐出入库明细!$B$4:$B$2004,"&lt;="&amp;$BC$2))</f>
        <v/>
      </c>
      <c r="V207" s="25" t="str">
        <f>IF(OR($B207="",基础资料!$B$5=""),"",SUMIFS(周转筐出入库明细!$K$4:$K$2004,周转筐出入库明细!$C$4:$C$2004,$B207,周转筐出入库明细!$D$4:$D$2004,基础资料!$B$5,周转筐出入库明细!$B$4:$B$2004,"&gt;="&amp;$BC$1,周转筐出入库明细!$B$4:$B$2004,"&lt;="&amp;$BC$2))</f>
        <v/>
      </c>
      <c r="W207" s="25" t="str">
        <f>IF(OR($B207="",基础资料!$B$6=""),"",SUMIFS(周转筐出入库明细!$K$4:$K$2004,周转筐出入库明细!$C$4:$C$2004,$B207,周转筐出入库明细!$D$4:$D$2004,基础资料!$B$6,周转筐出入库明细!$B$4:$B$2004,"&gt;="&amp;$BC$1,周转筐出入库明细!$B$4:$B$2004,"&lt;="&amp;$BC$2))</f>
        <v/>
      </c>
      <c r="X207" s="25" t="str">
        <f>IF(OR($B207="",基础资料!$B$7=""),"",SUMIFS(周转筐出入库明细!$K$4:$K$2004,周转筐出入库明细!$C$4:$C$2004,$B207,周转筐出入库明细!$D$4:$D$2004,基础资料!$B$7,周转筐出入库明细!$B$4:$B$2004,"&gt;="&amp;$BC$1,周转筐出入库明细!$B$4:$B$2004,"&lt;="&amp;$BC$2))</f>
        <v/>
      </c>
      <c r="Y207" s="25" t="str">
        <f>IF(OR($B207="",基础资料!$B$8=""),"",SUMIFS(周转筐出入库明细!$K$4:$K$2004,周转筐出入库明细!$C$4:$C$2004,$B207,周转筐出入库明细!$D$4:$D$2004,基础资料!$B$8,周转筐出入库明细!$B$4:$B$2004,"&gt;="&amp;$BC$1,周转筐出入库明细!$B$4:$B$2004,"&lt;="&amp;$BC$2))</f>
        <v/>
      </c>
      <c r="Z207" s="25" t="str">
        <f t="shared" si="40"/>
        <v/>
      </c>
      <c r="AA207" s="67" t="str">
        <f>IF(OR($B207="",基础资料!$B$4=""),"",-SUMIFS(对接源_01水果筐数!$D$5:$D$304,对接源_01水果筐数!$B$5:$B$304,$B207,对接源_01水果筐数!$C$5:$C$304,基础资料!$B$4))</f>
        <v/>
      </c>
      <c r="AB207" s="67" t="str">
        <f>IF(OR($B207="",基础资料!$B$5=""),"",-SUMIFS(对接源_01水果筐数!$D$5:$D$304,对接源_01水果筐数!$B$5:$B$304,$B207,对接源_01水果筐数!$C$5:$C$304,基础资料!$B$5))</f>
        <v/>
      </c>
      <c r="AC207" s="67" t="str">
        <f>IF(OR($B207="",基础资料!$B$6=""),"",-SUMIFS(对接源_01水果筐数!$D$5:$D$304,对接源_01水果筐数!$B$5:$B$304,$B207,对接源_01水果筐数!$C$5:$C$304,基础资料!$B$6))</f>
        <v/>
      </c>
      <c r="AD207" s="67" t="str">
        <f>IF(OR($B207="",基础资料!$B$7=""),"",-SUMIFS(对接源_01水果筐数!$D$5:$D$304,对接源_01水果筐数!$B$5:$B$304,$B207,对接源_01水果筐数!$C$5:$C$304,基础资料!$B$7))</f>
        <v/>
      </c>
      <c r="AE207" s="67" t="str">
        <f>IF(OR($B207="",基础资料!$B$8=""),"",-SUMIFS(对接源_01水果筐数!$D$5:$D$304,对接源_01水果筐数!$B$5:$B$304,$B207,对接源_01水果筐数!$C$5:$C$304,基础资料!$B$8))</f>
        <v/>
      </c>
      <c r="AF207" s="25" t="str">
        <f>IF(OR($B207="",基础资料!$B$4=""),"",SUMIFS(对接源_01水果筐数!$E$5:$E$304,对接源_01水果筐数!$B$5:$B$304,$B207,对接源_01水果筐数!$C$5:$C$304,基础资料!$B$4))</f>
        <v/>
      </c>
      <c r="AG207" s="25" t="str">
        <f>IF(OR($B207="",基础资料!$B$5=""),"",SUMIFS(对接源_01水果筐数!$E$5:$E$304,对接源_01水果筐数!$B$5:$B$304,$B207,对接源_01水果筐数!$C$5:$C$304,基础资料!$B$5))</f>
        <v/>
      </c>
      <c r="AH207" s="25" t="str">
        <f>IF(OR($B207="",基础资料!$B$6=""),"",SUMIFS(对接源_01水果筐数!$E$5:$E$304,对接源_01水果筐数!$B$5:$B$304,$B207,对接源_01水果筐数!$C$5:$C$304,基础资料!$B$6))</f>
        <v/>
      </c>
      <c r="AI207" s="25" t="str">
        <f>IF(OR($B207="",基础资料!$B$7=""),"",SUMIFS(对接源_01水果筐数!$E$5:$E$304,对接源_01水果筐数!$B$5:$B$304,$B207,对接源_01水果筐数!$C$5:$C$304,基础资料!$B$7))</f>
        <v/>
      </c>
      <c r="AJ207" s="25" t="str">
        <f>IF(OR($B207="",基础资料!$B$8=""),"",SUMIFS(对接源_01水果筐数!$E$5:$E$304,对接源_01水果筐数!$B$5:$B$304,$B207,对接源_01水果筐数!$C$5:$C$304,基础资料!$B$8))</f>
        <v/>
      </c>
      <c r="AK207" s="25" t="str">
        <f>IF(OR($B207="",基础资料!$B$4=""),"",SUMIFS(对接源_01水果筐数!$F$5:$F$304,对接源_01水果筐数!$B$5:$B$304,$B207,对接源_01水果筐数!$C$5:$C$304,基础资料!$B$4))</f>
        <v/>
      </c>
      <c r="AL207" s="25" t="str">
        <f>IF(OR($B207="",基础资料!$B$5=""),"",SUMIFS(对接源_01水果筐数!$F$5:$F$304,对接源_01水果筐数!$B$5:$B$304,$B207,对接源_01水果筐数!$C$5:$C$304,基础资料!$B$5))</f>
        <v/>
      </c>
      <c r="AM207" s="25" t="str">
        <f>IF(OR($B207="",基础资料!$B$6=""),"",SUMIFS(对接源_01水果筐数!$F$5:$F$304,对接源_01水果筐数!$B$5:$B$304,$B207,对接源_01水果筐数!$C$5:$C$304,基础资料!$B$6))</f>
        <v/>
      </c>
      <c r="AN207" s="25" t="str">
        <f>IF(OR($B207="",基础资料!$B$7=""),"",SUMIFS(对接源_01水果筐数!$F$5:$F$304,对接源_01水果筐数!$B$5:$B$304,$B207,对接源_01水果筐数!$C$5:$C$304,基础资料!$B$7))</f>
        <v/>
      </c>
      <c r="AO207" s="25" t="str">
        <f>IF(OR($B207="",基础资料!$B$8=""),"",SUMIFS(对接源_01水果筐数!$F$5:$F$304,对接源_01水果筐数!$B$5:$B$304,$B207,对接源_01水果筐数!$C$5:$C$304,基础资料!$B$8))</f>
        <v/>
      </c>
      <c r="AP207" s="25" t="str">
        <f t="shared" si="41"/>
        <v/>
      </c>
      <c r="AQ207" s="25" t="str">
        <f t="shared" si="42"/>
        <v/>
      </c>
      <c r="AR207" s="25" t="str">
        <f t="shared" si="43"/>
        <v/>
      </c>
      <c r="AS207" s="25" t="str">
        <f t="shared" si="44"/>
        <v/>
      </c>
      <c r="AT207" s="25" t="str">
        <f t="shared" si="45"/>
        <v/>
      </c>
      <c r="AU207" s="25" t="str">
        <f t="shared" si="46"/>
        <v/>
      </c>
      <c r="AV207" s="24" t="str">
        <f t="shared" si="47"/>
        <v/>
      </c>
      <c r="AW207" s="72"/>
    </row>
    <row r="208" spans="1:49">
      <c r="A208" s="22" t="str">
        <f t="shared" si="36"/>
        <v/>
      </c>
      <c r="B208" s="24" t="str">
        <f>IFERROR(INDEX(_自动清单!$CC$4:$CC$253,ROW()-3),"")</f>
        <v/>
      </c>
      <c r="C208" s="25" t="str">
        <f>IF(OR($B208="",基础资料!$B$4=""),"",SUMIFS(周转筐出入库明细!$J$4:$J$2004,周转筐出入库明细!$C$4:$C$2004,$B208,周转筐出入库明细!$D$4:$D$2004,基础资料!$B$4,周转筐出入库明细!$B$4:$B$2004,"&gt;="&amp;$BC$1,周转筐出入库明细!$B$4:$B$2004,"&lt;="&amp;$BC$2))</f>
        <v/>
      </c>
      <c r="D208" s="25" t="str">
        <f>IF(OR($B208="",基础资料!$B$5=""),"",SUMIFS(周转筐出入库明细!$J$4:$J$2004,周转筐出入库明细!$C$4:$C$2004,$B208,周转筐出入库明细!$D$4:$D$2004,基础资料!$B$5,周转筐出入库明细!$B$4:$B$2004,"&gt;="&amp;$BC$1,周转筐出入库明细!$B$4:$B$2004,"&lt;="&amp;$BC$2))</f>
        <v/>
      </c>
      <c r="E208" s="25" t="str">
        <f>IF(OR($B208="",基础资料!$B$6=""),"",SUMIFS(周转筐出入库明细!$J$4:$J$2004,周转筐出入库明细!$C$4:$C$2004,$B208,周转筐出入库明细!$D$4:$D$2004,基础资料!$B$6,周转筐出入库明细!$B$4:$B$2004,"&gt;="&amp;$BC$1,周转筐出入库明细!$B$4:$B$2004,"&lt;="&amp;$BC$2))</f>
        <v/>
      </c>
      <c r="F208" s="25" t="str">
        <f>IF(OR($B208="",基础资料!$B$7=""),"",SUMIFS(周转筐出入库明细!$J$4:$J$2004,周转筐出入库明细!$C$4:$C$2004,$B208,周转筐出入库明细!$D$4:$D$2004,基础资料!$B$7,周转筐出入库明细!$B$4:$B$2004,"&gt;="&amp;$BC$1,周转筐出入库明细!$B$4:$B$2004,"&lt;="&amp;$BC$2))</f>
        <v/>
      </c>
      <c r="G208" s="25" t="str">
        <f>IF(OR($B208="",基础资料!$B$8=""),"",SUMIFS(周转筐出入库明细!$J$4:$J$2004,周转筐出入库明细!$C$4:$C$2004,$B208,周转筐出入库明细!$D$4:$D$2004,基础资料!$B$8,周转筐出入库明细!$B$4:$B$2004,"&gt;="&amp;$BC$1,周转筐出入库明细!$B$4:$B$2004,"&lt;="&amp;$BC$2))</f>
        <v/>
      </c>
      <c r="H208" s="25" t="str">
        <f t="shared" si="37"/>
        <v/>
      </c>
      <c r="I208" s="67" t="str">
        <f>IF(OR($B208="",基础资料!$B$4=""),"",-SUMIFS(周转筐出入库明细!$I$4:$I$2004,周转筐出入库明细!$C$4:$C$2004,$B208,周转筐出入库明细!$D$4:$D$2004,基础资料!$B$4,周转筐出入库明细!$B$4:$B$2004,"&gt;="&amp;$BC$1,周转筐出入库明细!$B$4:$B$2004,"&lt;="&amp;$BC$2))</f>
        <v/>
      </c>
      <c r="J208" s="67" t="str">
        <f>IF(OR($B208="",基础资料!$B$5=""),"",-SUMIFS(周转筐出入库明细!$I$4:$I$2004,周转筐出入库明细!$C$4:$C$2004,$B208,周转筐出入库明细!$D$4:$D$2004,基础资料!$B$5,周转筐出入库明细!$B$4:$B$2004,"&gt;="&amp;$BC$1,周转筐出入库明细!$B$4:$B$2004,"&lt;="&amp;$BC$2))</f>
        <v/>
      </c>
      <c r="K208" s="67" t="str">
        <f>IF(OR($B208="",基础资料!$B$6=""),"",-SUMIFS(周转筐出入库明细!$I$4:$I$2004,周转筐出入库明细!$C$4:$C$2004,$B208,周转筐出入库明细!$D$4:$D$2004,基础资料!$B$6,周转筐出入库明细!$B$4:$B$2004,"&gt;="&amp;$BC$1,周转筐出入库明细!$B$4:$B$2004,"&lt;="&amp;$BC$2))</f>
        <v/>
      </c>
      <c r="L208" s="67" t="str">
        <f>IF(OR($B208="",基础资料!$B$7=""),"",-SUMIFS(周转筐出入库明细!$I$4:$I$2004,周转筐出入库明细!$C$4:$C$2004,$B208,周转筐出入库明细!$D$4:$D$2004,基础资料!$B$7,周转筐出入库明细!$B$4:$B$2004,"&gt;="&amp;$BC$1,周转筐出入库明细!$B$4:$B$2004,"&lt;="&amp;$BC$2))</f>
        <v/>
      </c>
      <c r="M208" s="67" t="str">
        <f>IF(OR($B208="",基础资料!$B$8=""),"",-SUMIFS(周转筐出入库明细!$I$4:$I$2004,周转筐出入库明细!$C$4:$C$2004,$B208,周转筐出入库明细!$D$4:$D$2004,基础资料!$B$8,周转筐出入库明细!$B$4:$B$2004,"&gt;="&amp;$BC$1,周转筐出入库明细!$B$4:$B$2004,"&lt;="&amp;$BC$2))</f>
        <v/>
      </c>
      <c r="N208" s="67" t="str">
        <f t="shared" si="38"/>
        <v/>
      </c>
      <c r="O208" s="25" t="str">
        <f>IF(OR($B208="",基础资料!$B$4=""),"",SUMIFS(周转筐出入库明细!$H$4:$H$2004,周转筐出入库明细!$C$4:$C$2004,$B208,周转筐出入库明细!$D$4:$D$2004,基础资料!$B$4,周转筐出入库明细!$F$4:$F$2004,"采购入库",周转筐出入库明细!$B$4:$B$2004,"&gt;="&amp;$BC$1,周转筐出入库明细!$B$4:$B$2004,"&lt;="&amp;$BC$2))</f>
        <v/>
      </c>
      <c r="P208" s="25" t="str">
        <f>IF(OR($B208="",基础资料!$B$5=""),"",SUMIFS(周转筐出入库明细!$H$4:$H$2004,周转筐出入库明细!$C$4:$C$2004,$B208,周转筐出入库明细!$D$4:$D$2004,基础资料!$B$5,周转筐出入库明细!$F$4:$F$2004,"采购入库",周转筐出入库明细!$B$4:$B$2004,"&gt;="&amp;$BC$1,周转筐出入库明细!$B$4:$B$2004,"&lt;="&amp;$BC$2))</f>
        <v/>
      </c>
      <c r="Q208" s="25" t="str">
        <f>IF(OR($B208="",基础资料!$B$6=""),"",SUMIFS(周转筐出入库明细!$H$4:$H$2004,周转筐出入库明细!$C$4:$C$2004,$B208,周转筐出入库明细!$D$4:$D$2004,基础资料!$B$6,周转筐出入库明细!$F$4:$F$2004,"采购入库",周转筐出入库明细!$B$4:$B$2004,"&gt;="&amp;$BC$1,周转筐出入库明细!$B$4:$B$2004,"&lt;="&amp;$BC$2))</f>
        <v/>
      </c>
      <c r="R208" s="25" t="str">
        <f>IF(OR($B208="",基础资料!$B$7=""),"",SUMIFS(周转筐出入库明细!$H$4:$H$2004,周转筐出入库明细!$C$4:$C$2004,$B208,周转筐出入库明细!$D$4:$D$2004,基础资料!$B$7,周转筐出入库明细!$F$4:$F$2004,"采购入库",周转筐出入库明细!$B$4:$B$2004,"&gt;="&amp;$BC$1,周转筐出入库明细!$B$4:$B$2004,"&lt;="&amp;$BC$2))</f>
        <v/>
      </c>
      <c r="S208" s="25" t="str">
        <f>IF(OR($B208="",基础资料!$B$8=""),"",SUMIFS(周转筐出入库明细!$H$4:$H$2004,周转筐出入库明细!$C$4:$C$2004,$B208,周转筐出入库明细!$D$4:$D$2004,基础资料!$B$8,周转筐出入库明细!$F$4:$F$2004,"采购入库",周转筐出入库明细!$B$4:$B$2004,"&gt;="&amp;$BC$1,周转筐出入库明细!$B$4:$B$2004,"&lt;="&amp;$BC$2))</f>
        <v/>
      </c>
      <c r="T208" s="25" t="str">
        <f t="shared" si="39"/>
        <v/>
      </c>
      <c r="U208" s="25" t="str">
        <f>IF(OR($B208="",基础资料!$B$4=""),"",SUMIFS(周转筐出入库明细!$K$4:$K$2004,周转筐出入库明细!$C$4:$C$2004,$B208,周转筐出入库明细!$D$4:$D$2004,基础资料!$B$4,周转筐出入库明细!$B$4:$B$2004,"&gt;="&amp;$BC$1,周转筐出入库明细!$B$4:$B$2004,"&lt;="&amp;$BC$2))</f>
        <v/>
      </c>
      <c r="V208" s="25" t="str">
        <f>IF(OR($B208="",基础资料!$B$5=""),"",SUMIFS(周转筐出入库明细!$K$4:$K$2004,周转筐出入库明细!$C$4:$C$2004,$B208,周转筐出入库明细!$D$4:$D$2004,基础资料!$B$5,周转筐出入库明细!$B$4:$B$2004,"&gt;="&amp;$BC$1,周转筐出入库明细!$B$4:$B$2004,"&lt;="&amp;$BC$2))</f>
        <v/>
      </c>
      <c r="W208" s="25" t="str">
        <f>IF(OR($B208="",基础资料!$B$6=""),"",SUMIFS(周转筐出入库明细!$K$4:$K$2004,周转筐出入库明细!$C$4:$C$2004,$B208,周转筐出入库明细!$D$4:$D$2004,基础资料!$B$6,周转筐出入库明细!$B$4:$B$2004,"&gt;="&amp;$BC$1,周转筐出入库明细!$B$4:$B$2004,"&lt;="&amp;$BC$2))</f>
        <v/>
      </c>
      <c r="X208" s="25" t="str">
        <f>IF(OR($B208="",基础资料!$B$7=""),"",SUMIFS(周转筐出入库明细!$K$4:$K$2004,周转筐出入库明细!$C$4:$C$2004,$B208,周转筐出入库明细!$D$4:$D$2004,基础资料!$B$7,周转筐出入库明细!$B$4:$B$2004,"&gt;="&amp;$BC$1,周转筐出入库明细!$B$4:$B$2004,"&lt;="&amp;$BC$2))</f>
        <v/>
      </c>
      <c r="Y208" s="25" t="str">
        <f>IF(OR($B208="",基础资料!$B$8=""),"",SUMIFS(周转筐出入库明细!$K$4:$K$2004,周转筐出入库明细!$C$4:$C$2004,$B208,周转筐出入库明细!$D$4:$D$2004,基础资料!$B$8,周转筐出入库明细!$B$4:$B$2004,"&gt;="&amp;$BC$1,周转筐出入库明细!$B$4:$B$2004,"&lt;="&amp;$BC$2))</f>
        <v/>
      </c>
      <c r="Z208" s="25" t="str">
        <f t="shared" si="40"/>
        <v/>
      </c>
      <c r="AA208" s="67" t="str">
        <f>IF(OR($B208="",基础资料!$B$4=""),"",-SUMIFS(对接源_01水果筐数!$D$5:$D$304,对接源_01水果筐数!$B$5:$B$304,$B208,对接源_01水果筐数!$C$5:$C$304,基础资料!$B$4))</f>
        <v/>
      </c>
      <c r="AB208" s="67" t="str">
        <f>IF(OR($B208="",基础资料!$B$5=""),"",-SUMIFS(对接源_01水果筐数!$D$5:$D$304,对接源_01水果筐数!$B$5:$B$304,$B208,对接源_01水果筐数!$C$5:$C$304,基础资料!$B$5))</f>
        <v/>
      </c>
      <c r="AC208" s="67" t="str">
        <f>IF(OR($B208="",基础资料!$B$6=""),"",-SUMIFS(对接源_01水果筐数!$D$5:$D$304,对接源_01水果筐数!$B$5:$B$304,$B208,对接源_01水果筐数!$C$5:$C$304,基础资料!$B$6))</f>
        <v/>
      </c>
      <c r="AD208" s="67" t="str">
        <f>IF(OR($B208="",基础资料!$B$7=""),"",-SUMIFS(对接源_01水果筐数!$D$5:$D$304,对接源_01水果筐数!$B$5:$B$304,$B208,对接源_01水果筐数!$C$5:$C$304,基础资料!$B$7))</f>
        <v/>
      </c>
      <c r="AE208" s="67" t="str">
        <f>IF(OR($B208="",基础资料!$B$8=""),"",-SUMIFS(对接源_01水果筐数!$D$5:$D$304,对接源_01水果筐数!$B$5:$B$304,$B208,对接源_01水果筐数!$C$5:$C$304,基础资料!$B$8))</f>
        <v/>
      </c>
      <c r="AF208" s="25" t="str">
        <f>IF(OR($B208="",基础资料!$B$4=""),"",SUMIFS(对接源_01水果筐数!$E$5:$E$304,对接源_01水果筐数!$B$5:$B$304,$B208,对接源_01水果筐数!$C$5:$C$304,基础资料!$B$4))</f>
        <v/>
      </c>
      <c r="AG208" s="25" t="str">
        <f>IF(OR($B208="",基础资料!$B$5=""),"",SUMIFS(对接源_01水果筐数!$E$5:$E$304,对接源_01水果筐数!$B$5:$B$304,$B208,对接源_01水果筐数!$C$5:$C$304,基础资料!$B$5))</f>
        <v/>
      </c>
      <c r="AH208" s="25" t="str">
        <f>IF(OR($B208="",基础资料!$B$6=""),"",SUMIFS(对接源_01水果筐数!$E$5:$E$304,对接源_01水果筐数!$B$5:$B$304,$B208,对接源_01水果筐数!$C$5:$C$304,基础资料!$B$6))</f>
        <v/>
      </c>
      <c r="AI208" s="25" t="str">
        <f>IF(OR($B208="",基础资料!$B$7=""),"",SUMIFS(对接源_01水果筐数!$E$5:$E$304,对接源_01水果筐数!$B$5:$B$304,$B208,对接源_01水果筐数!$C$5:$C$304,基础资料!$B$7))</f>
        <v/>
      </c>
      <c r="AJ208" s="25" t="str">
        <f>IF(OR($B208="",基础资料!$B$8=""),"",SUMIFS(对接源_01水果筐数!$E$5:$E$304,对接源_01水果筐数!$B$5:$B$304,$B208,对接源_01水果筐数!$C$5:$C$304,基础资料!$B$8))</f>
        <v/>
      </c>
      <c r="AK208" s="25" t="str">
        <f>IF(OR($B208="",基础资料!$B$4=""),"",SUMIFS(对接源_01水果筐数!$F$5:$F$304,对接源_01水果筐数!$B$5:$B$304,$B208,对接源_01水果筐数!$C$5:$C$304,基础资料!$B$4))</f>
        <v/>
      </c>
      <c r="AL208" s="25" t="str">
        <f>IF(OR($B208="",基础资料!$B$5=""),"",SUMIFS(对接源_01水果筐数!$F$5:$F$304,对接源_01水果筐数!$B$5:$B$304,$B208,对接源_01水果筐数!$C$5:$C$304,基础资料!$B$5))</f>
        <v/>
      </c>
      <c r="AM208" s="25" t="str">
        <f>IF(OR($B208="",基础资料!$B$6=""),"",SUMIFS(对接源_01水果筐数!$F$5:$F$304,对接源_01水果筐数!$B$5:$B$304,$B208,对接源_01水果筐数!$C$5:$C$304,基础资料!$B$6))</f>
        <v/>
      </c>
      <c r="AN208" s="25" t="str">
        <f>IF(OR($B208="",基础资料!$B$7=""),"",SUMIFS(对接源_01水果筐数!$F$5:$F$304,对接源_01水果筐数!$B$5:$B$304,$B208,对接源_01水果筐数!$C$5:$C$304,基础资料!$B$7))</f>
        <v/>
      </c>
      <c r="AO208" s="25" t="str">
        <f>IF(OR($B208="",基础资料!$B$8=""),"",SUMIFS(对接源_01水果筐数!$F$5:$F$304,对接源_01水果筐数!$B$5:$B$304,$B208,对接源_01水果筐数!$C$5:$C$304,基础资料!$B$8))</f>
        <v/>
      </c>
      <c r="AP208" s="25" t="str">
        <f t="shared" si="41"/>
        <v/>
      </c>
      <c r="AQ208" s="25" t="str">
        <f t="shared" si="42"/>
        <v/>
      </c>
      <c r="AR208" s="25" t="str">
        <f t="shared" si="43"/>
        <v/>
      </c>
      <c r="AS208" s="25" t="str">
        <f t="shared" si="44"/>
        <v/>
      </c>
      <c r="AT208" s="25" t="str">
        <f t="shared" si="45"/>
        <v/>
      </c>
      <c r="AU208" s="25" t="str">
        <f t="shared" si="46"/>
        <v/>
      </c>
      <c r="AV208" s="24" t="str">
        <f t="shared" si="47"/>
        <v/>
      </c>
      <c r="AW208" s="72"/>
    </row>
    <row r="209" spans="1:49">
      <c r="A209" s="22" t="str">
        <f t="shared" si="36"/>
        <v/>
      </c>
      <c r="B209" s="24" t="str">
        <f>IFERROR(INDEX(_自动清单!$CC$4:$CC$253,ROW()-3),"")</f>
        <v/>
      </c>
      <c r="C209" s="25" t="str">
        <f>IF(OR($B209="",基础资料!$B$4=""),"",SUMIFS(周转筐出入库明细!$J$4:$J$2004,周转筐出入库明细!$C$4:$C$2004,$B209,周转筐出入库明细!$D$4:$D$2004,基础资料!$B$4,周转筐出入库明细!$B$4:$B$2004,"&gt;="&amp;$BC$1,周转筐出入库明细!$B$4:$B$2004,"&lt;="&amp;$BC$2))</f>
        <v/>
      </c>
      <c r="D209" s="25" t="str">
        <f>IF(OR($B209="",基础资料!$B$5=""),"",SUMIFS(周转筐出入库明细!$J$4:$J$2004,周转筐出入库明细!$C$4:$C$2004,$B209,周转筐出入库明细!$D$4:$D$2004,基础资料!$B$5,周转筐出入库明细!$B$4:$B$2004,"&gt;="&amp;$BC$1,周转筐出入库明细!$B$4:$B$2004,"&lt;="&amp;$BC$2))</f>
        <v/>
      </c>
      <c r="E209" s="25" t="str">
        <f>IF(OR($B209="",基础资料!$B$6=""),"",SUMIFS(周转筐出入库明细!$J$4:$J$2004,周转筐出入库明细!$C$4:$C$2004,$B209,周转筐出入库明细!$D$4:$D$2004,基础资料!$B$6,周转筐出入库明细!$B$4:$B$2004,"&gt;="&amp;$BC$1,周转筐出入库明细!$B$4:$B$2004,"&lt;="&amp;$BC$2))</f>
        <v/>
      </c>
      <c r="F209" s="25" t="str">
        <f>IF(OR($B209="",基础资料!$B$7=""),"",SUMIFS(周转筐出入库明细!$J$4:$J$2004,周转筐出入库明细!$C$4:$C$2004,$B209,周转筐出入库明细!$D$4:$D$2004,基础资料!$B$7,周转筐出入库明细!$B$4:$B$2004,"&gt;="&amp;$BC$1,周转筐出入库明细!$B$4:$B$2004,"&lt;="&amp;$BC$2))</f>
        <v/>
      </c>
      <c r="G209" s="25" t="str">
        <f>IF(OR($B209="",基础资料!$B$8=""),"",SUMIFS(周转筐出入库明细!$J$4:$J$2004,周转筐出入库明细!$C$4:$C$2004,$B209,周转筐出入库明细!$D$4:$D$2004,基础资料!$B$8,周转筐出入库明细!$B$4:$B$2004,"&gt;="&amp;$BC$1,周转筐出入库明细!$B$4:$B$2004,"&lt;="&amp;$BC$2))</f>
        <v/>
      </c>
      <c r="H209" s="25" t="str">
        <f t="shared" si="37"/>
        <v/>
      </c>
      <c r="I209" s="67" t="str">
        <f>IF(OR($B209="",基础资料!$B$4=""),"",-SUMIFS(周转筐出入库明细!$I$4:$I$2004,周转筐出入库明细!$C$4:$C$2004,$B209,周转筐出入库明细!$D$4:$D$2004,基础资料!$B$4,周转筐出入库明细!$B$4:$B$2004,"&gt;="&amp;$BC$1,周转筐出入库明细!$B$4:$B$2004,"&lt;="&amp;$BC$2))</f>
        <v/>
      </c>
      <c r="J209" s="67" t="str">
        <f>IF(OR($B209="",基础资料!$B$5=""),"",-SUMIFS(周转筐出入库明细!$I$4:$I$2004,周转筐出入库明细!$C$4:$C$2004,$B209,周转筐出入库明细!$D$4:$D$2004,基础资料!$B$5,周转筐出入库明细!$B$4:$B$2004,"&gt;="&amp;$BC$1,周转筐出入库明细!$B$4:$B$2004,"&lt;="&amp;$BC$2))</f>
        <v/>
      </c>
      <c r="K209" s="67" t="str">
        <f>IF(OR($B209="",基础资料!$B$6=""),"",-SUMIFS(周转筐出入库明细!$I$4:$I$2004,周转筐出入库明细!$C$4:$C$2004,$B209,周转筐出入库明细!$D$4:$D$2004,基础资料!$B$6,周转筐出入库明细!$B$4:$B$2004,"&gt;="&amp;$BC$1,周转筐出入库明细!$B$4:$B$2004,"&lt;="&amp;$BC$2))</f>
        <v/>
      </c>
      <c r="L209" s="67" t="str">
        <f>IF(OR($B209="",基础资料!$B$7=""),"",-SUMIFS(周转筐出入库明细!$I$4:$I$2004,周转筐出入库明细!$C$4:$C$2004,$B209,周转筐出入库明细!$D$4:$D$2004,基础资料!$B$7,周转筐出入库明细!$B$4:$B$2004,"&gt;="&amp;$BC$1,周转筐出入库明细!$B$4:$B$2004,"&lt;="&amp;$BC$2))</f>
        <v/>
      </c>
      <c r="M209" s="67" t="str">
        <f>IF(OR($B209="",基础资料!$B$8=""),"",-SUMIFS(周转筐出入库明细!$I$4:$I$2004,周转筐出入库明细!$C$4:$C$2004,$B209,周转筐出入库明细!$D$4:$D$2004,基础资料!$B$8,周转筐出入库明细!$B$4:$B$2004,"&gt;="&amp;$BC$1,周转筐出入库明细!$B$4:$B$2004,"&lt;="&amp;$BC$2))</f>
        <v/>
      </c>
      <c r="N209" s="67" t="str">
        <f t="shared" si="38"/>
        <v/>
      </c>
      <c r="O209" s="25" t="str">
        <f>IF(OR($B209="",基础资料!$B$4=""),"",SUMIFS(周转筐出入库明细!$H$4:$H$2004,周转筐出入库明细!$C$4:$C$2004,$B209,周转筐出入库明细!$D$4:$D$2004,基础资料!$B$4,周转筐出入库明细!$F$4:$F$2004,"采购入库",周转筐出入库明细!$B$4:$B$2004,"&gt;="&amp;$BC$1,周转筐出入库明细!$B$4:$B$2004,"&lt;="&amp;$BC$2))</f>
        <v/>
      </c>
      <c r="P209" s="25" t="str">
        <f>IF(OR($B209="",基础资料!$B$5=""),"",SUMIFS(周转筐出入库明细!$H$4:$H$2004,周转筐出入库明细!$C$4:$C$2004,$B209,周转筐出入库明细!$D$4:$D$2004,基础资料!$B$5,周转筐出入库明细!$F$4:$F$2004,"采购入库",周转筐出入库明细!$B$4:$B$2004,"&gt;="&amp;$BC$1,周转筐出入库明细!$B$4:$B$2004,"&lt;="&amp;$BC$2))</f>
        <v/>
      </c>
      <c r="Q209" s="25" t="str">
        <f>IF(OR($B209="",基础资料!$B$6=""),"",SUMIFS(周转筐出入库明细!$H$4:$H$2004,周转筐出入库明细!$C$4:$C$2004,$B209,周转筐出入库明细!$D$4:$D$2004,基础资料!$B$6,周转筐出入库明细!$F$4:$F$2004,"采购入库",周转筐出入库明细!$B$4:$B$2004,"&gt;="&amp;$BC$1,周转筐出入库明细!$B$4:$B$2004,"&lt;="&amp;$BC$2))</f>
        <v/>
      </c>
      <c r="R209" s="25" t="str">
        <f>IF(OR($B209="",基础资料!$B$7=""),"",SUMIFS(周转筐出入库明细!$H$4:$H$2004,周转筐出入库明细!$C$4:$C$2004,$B209,周转筐出入库明细!$D$4:$D$2004,基础资料!$B$7,周转筐出入库明细!$F$4:$F$2004,"采购入库",周转筐出入库明细!$B$4:$B$2004,"&gt;="&amp;$BC$1,周转筐出入库明细!$B$4:$B$2004,"&lt;="&amp;$BC$2))</f>
        <v/>
      </c>
      <c r="S209" s="25" t="str">
        <f>IF(OR($B209="",基础资料!$B$8=""),"",SUMIFS(周转筐出入库明细!$H$4:$H$2004,周转筐出入库明细!$C$4:$C$2004,$B209,周转筐出入库明细!$D$4:$D$2004,基础资料!$B$8,周转筐出入库明细!$F$4:$F$2004,"采购入库",周转筐出入库明细!$B$4:$B$2004,"&gt;="&amp;$BC$1,周转筐出入库明细!$B$4:$B$2004,"&lt;="&amp;$BC$2))</f>
        <v/>
      </c>
      <c r="T209" s="25" t="str">
        <f t="shared" si="39"/>
        <v/>
      </c>
      <c r="U209" s="25" t="str">
        <f>IF(OR($B209="",基础资料!$B$4=""),"",SUMIFS(周转筐出入库明细!$K$4:$K$2004,周转筐出入库明细!$C$4:$C$2004,$B209,周转筐出入库明细!$D$4:$D$2004,基础资料!$B$4,周转筐出入库明细!$B$4:$B$2004,"&gt;="&amp;$BC$1,周转筐出入库明细!$B$4:$B$2004,"&lt;="&amp;$BC$2))</f>
        <v/>
      </c>
      <c r="V209" s="25" t="str">
        <f>IF(OR($B209="",基础资料!$B$5=""),"",SUMIFS(周转筐出入库明细!$K$4:$K$2004,周转筐出入库明细!$C$4:$C$2004,$B209,周转筐出入库明细!$D$4:$D$2004,基础资料!$B$5,周转筐出入库明细!$B$4:$B$2004,"&gt;="&amp;$BC$1,周转筐出入库明细!$B$4:$B$2004,"&lt;="&amp;$BC$2))</f>
        <v/>
      </c>
      <c r="W209" s="25" t="str">
        <f>IF(OR($B209="",基础资料!$B$6=""),"",SUMIFS(周转筐出入库明细!$K$4:$K$2004,周转筐出入库明细!$C$4:$C$2004,$B209,周转筐出入库明细!$D$4:$D$2004,基础资料!$B$6,周转筐出入库明细!$B$4:$B$2004,"&gt;="&amp;$BC$1,周转筐出入库明细!$B$4:$B$2004,"&lt;="&amp;$BC$2))</f>
        <v/>
      </c>
      <c r="X209" s="25" t="str">
        <f>IF(OR($B209="",基础资料!$B$7=""),"",SUMIFS(周转筐出入库明细!$K$4:$K$2004,周转筐出入库明细!$C$4:$C$2004,$B209,周转筐出入库明细!$D$4:$D$2004,基础资料!$B$7,周转筐出入库明细!$B$4:$B$2004,"&gt;="&amp;$BC$1,周转筐出入库明细!$B$4:$B$2004,"&lt;="&amp;$BC$2))</f>
        <v/>
      </c>
      <c r="Y209" s="25" t="str">
        <f>IF(OR($B209="",基础资料!$B$8=""),"",SUMIFS(周转筐出入库明细!$K$4:$K$2004,周转筐出入库明细!$C$4:$C$2004,$B209,周转筐出入库明细!$D$4:$D$2004,基础资料!$B$8,周转筐出入库明细!$B$4:$B$2004,"&gt;="&amp;$BC$1,周转筐出入库明细!$B$4:$B$2004,"&lt;="&amp;$BC$2))</f>
        <v/>
      </c>
      <c r="Z209" s="25" t="str">
        <f t="shared" si="40"/>
        <v/>
      </c>
      <c r="AA209" s="67" t="str">
        <f>IF(OR($B209="",基础资料!$B$4=""),"",-SUMIFS(对接源_01水果筐数!$D$5:$D$304,对接源_01水果筐数!$B$5:$B$304,$B209,对接源_01水果筐数!$C$5:$C$304,基础资料!$B$4))</f>
        <v/>
      </c>
      <c r="AB209" s="67" t="str">
        <f>IF(OR($B209="",基础资料!$B$5=""),"",-SUMIFS(对接源_01水果筐数!$D$5:$D$304,对接源_01水果筐数!$B$5:$B$304,$B209,对接源_01水果筐数!$C$5:$C$304,基础资料!$B$5))</f>
        <v/>
      </c>
      <c r="AC209" s="67" t="str">
        <f>IF(OR($B209="",基础资料!$B$6=""),"",-SUMIFS(对接源_01水果筐数!$D$5:$D$304,对接源_01水果筐数!$B$5:$B$304,$B209,对接源_01水果筐数!$C$5:$C$304,基础资料!$B$6))</f>
        <v/>
      </c>
      <c r="AD209" s="67" t="str">
        <f>IF(OR($B209="",基础资料!$B$7=""),"",-SUMIFS(对接源_01水果筐数!$D$5:$D$304,对接源_01水果筐数!$B$5:$B$304,$B209,对接源_01水果筐数!$C$5:$C$304,基础资料!$B$7))</f>
        <v/>
      </c>
      <c r="AE209" s="67" t="str">
        <f>IF(OR($B209="",基础资料!$B$8=""),"",-SUMIFS(对接源_01水果筐数!$D$5:$D$304,对接源_01水果筐数!$B$5:$B$304,$B209,对接源_01水果筐数!$C$5:$C$304,基础资料!$B$8))</f>
        <v/>
      </c>
      <c r="AF209" s="25" t="str">
        <f>IF(OR($B209="",基础资料!$B$4=""),"",SUMIFS(对接源_01水果筐数!$E$5:$E$304,对接源_01水果筐数!$B$5:$B$304,$B209,对接源_01水果筐数!$C$5:$C$304,基础资料!$B$4))</f>
        <v/>
      </c>
      <c r="AG209" s="25" t="str">
        <f>IF(OR($B209="",基础资料!$B$5=""),"",SUMIFS(对接源_01水果筐数!$E$5:$E$304,对接源_01水果筐数!$B$5:$B$304,$B209,对接源_01水果筐数!$C$5:$C$304,基础资料!$B$5))</f>
        <v/>
      </c>
      <c r="AH209" s="25" t="str">
        <f>IF(OR($B209="",基础资料!$B$6=""),"",SUMIFS(对接源_01水果筐数!$E$5:$E$304,对接源_01水果筐数!$B$5:$B$304,$B209,对接源_01水果筐数!$C$5:$C$304,基础资料!$B$6))</f>
        <v/>
      </c>
      <c r="AI209" s="25" t="str">
        <f>IF(OR($B209="",基础资料!$B$7=""),"",SUMIFS(对接源_01水果筐数!$E$5:$E$304,对接源_01水果筐数!$B$5:$B$304,$B209,对接源_01水果筐数!$C$5:$C$304,基础资料!$B$7))</f>
        <v/>
      </c>
      <c r="AJ209" s="25" t="str">
        <f>IF(OR($B209="",基础资料!$B$8=""),"",SUMIFS(对接源_01水果筐数!$E$5:$E$304,对接源_01水果筐数!$B$5:$B$304,$B209,对接源_01水果筐数!$C$5:$C$304,基础资料!$B$8))</f>
        <v/>
      </c>
      <c r="AK209" s="25" t="str">
        <f>IF(OR($B209="",基础资料!$B$4=""),"",SUMIFS(对接源_01水果筐数!$F$5:$F$304,对接源_01水果筐数!$B$5:$B$304,$B209,对接源_01水果筐数!$C$5:$C$304,基础资料!$B$4))</f>
        <v/>
      </c>
      <c r="AL209" s="25" t="str">
        <f>IF(OR($B209="",基础资料!$B$5=""),"",SUMIFS(对接源_01水果筐数!$F$5:$F$304,对接源_01水果筐数!$B$5:$B$304,$B209,对接源_01水果筐数!$C$5:$C$304,基础资料!$B$5))</f>
        <v/>
      </c>
      <c r="AM209" s="25" t="str">
        <f>IF(OR($B209="",基础资料!$B$6=""),"",SUMIFS(对接源_01水果筐数!$F$5:$F$304,对接源_01水果筐数!$B$5:$B$304,$B209,对接源_01水果筐数!$C$5:$C$304,基础资料!$B$6))</f>
        <v/>
      </c>
      <c r="AN209" s="25" t="str">
        <f>IF(OR($B209="",基础资料!$B$7=""),"",SUMIFS(对接源_01水果筐数!$F$5:$F$304,对接源_01水果筐数!$B$5:$B$304,$B209,对接源_01水果筐数!$C$5:$C$304,基础资料!$B$7))</f>
        <v/>
      </c>
      <c r="AO209" s="25" t="str">
        <f>IF(OR($B209="",基础资料!$B$8=""),"",SUMIFS(对接源_01水果筐数!$F$5:$F$304,对接源_01水果筐数!$B$5:$B$304,$B209,对接源_01水果筐数!$C$5:$C$304,基础资料!$B$8))</f>
        <v/>
      </c>
      <c r="AP209" s="25" t="str">
        <f t="shared" si="41"/>
        <v/>
      </c>
      <c r="AQ209" s="25" t="str">
        <f t="shared" si="42"/>
        <v/>
      </c>
      <c r="AR209" s="25" t="str">
        <f t="shared" si="43"/>
        <v/>
      </c>
      <c r="AS209" s="25" t="str">
        <f t="shared" si="44"/>
        <v/>
      </c>
      <c r="AT209" s="25" t="str">
        <f t="shared" si="45"/>
        <v/>
      </c>
      <c r="AU209" s="25" t="str">
        <f t="shared" si="46"/>
        <v/>
      </c>
      <c r="AV209" s="24" t="str">
        <f t="shared" si="47"/>
        <v/>
      </c>
      <c r="AW209" s="72"/>
    </row>
    <row r="210" spans="1:49">
      <c r="A210" s="22" t="str">
        <f t="shared" si="36"/>
        <v/>
      </c>
      <c r="B210" s="24" t="str">
        <f>IFERROR(INDEX(_自动清单!$CC$4:$CC$253,ROW()-3),"")</f>
        <v/>
      </c>
      <c r="C210" s="25" t="str">
        <f>IF(OR($B210="",基础资料!$B$4=""),"",SUMIFS(周转筐出入库明细!$J$4:$J$2004,周转筐出入库明细!$C$4:$C$2004,$B210,周转筐出入库明细!$D$4:$D$2004,基础资料!$B$4,周转筐出入库明细!$B$4:$B$2004,"&gt;="&amp;$BC$1,周转筐出入库明细!$B$4:$B$2004,"&lt;="&amp;$BC$2))</f>
        <v/>
      </c>
      <c r="D210" s="25" t="str">
        <f>IF(OR($B210="",基础资料!$B$5=""),"",SUMIFS(周转筐出入库明细!$J$4:$J$2004,周转筐出入库明细!$C$4:$C$2004,$B210,周转筐出入库明细!$D$4:$D$2004,基础资料!$B$5,周转筐出入库明细!$B$4:$B$2004,"&gt;="&amp;$BC$1,周转筐出入库明细!$B$4:$B$2004,"&lt;="&amp;$BC$2))</f>
        <v/>
      </c>
      <c r="E210" s="25" t="str">
        <f>IF(OR($B210="",基础资料!$B$6=""),"",SUMIFS(周转筐出入库明细!$J$4:$J$2004,周转筐出入库明细!$C$4:$C$2004,$B210,周转筐出入库明细!$D$4:$D$2004,基础资料!$B$6,周转筐出入库明细!$B$4:$B$2004,"&gt;="&amp;$BC$1,周转筐出入库明细!$B$4:$B$2004,"&lt;="&amp;$BC$2))</f>
        <v/>
      </c>
      <c r="F210" s="25" t="str">
        <f>IF(OR($B210="",基础资料!$B$7=""),"",SUMIFS(周转筐出入库明细!$J$4:$J$2004,周转筐出入库明细!$C$4:$C$2004,$B210,周转筐出入库明细!$D$4:$D$2004,基础资料!$B$7,周转筐出入库明细!$B$4:$B$2004,"&gt;="&amp;$BC$1,周转筐出入库明细!$B$4:$B$2004,"&lt;="&amp;$BC$2))</f>
        <v/>
      </c>
      <c r="G210" s="25" t="str">
        <f>IF(OR($B210="",基础资料!$B$8=""),"",SUMIFS(周转筐出入库明细!$J$4:$J$2004,周转筐出入库明细!$C$4:$C$2004,$B210,周转筐出入库明细!$D$4:$D$2004,基础资料!$B$8,周转筐出入库明细!$B$4:$B$2004,"&gt;="&amp;$BC$1,周转筐出入库明细!$B$4:$B$2004,"&lt;="&amp;$BC$2))</f>
        <v/>
      </c>
      <c r="H210" s="25" t="str">
        <f t="shared" si="37"/>
        <v/>
      </c>
      <c r="I210" s="67" t="str">
        <f>IF(OR($B210="",基础资料!$B$4=""),"",-SUMIFS(周转筐出入库明细!$I$4:$I$2004,周转筐出入库明细!$C$4:$C$2004,$B210,周转筐出入库明细!$D$4:$D$2004,基础资料!$B$4,周转筐出入库明细!$B$4:$B$2004,"&gt;="&amp;$BC$1,周转筐出入库明细!$B$4:$B$2004,"&lt;="&amp;$BC$2))</f>
        <v/>
      </c>
      <c r="J210" s="67" t="str">
        <f>IF(OR($B210="",基础资料!$B$5=""),"",-SUMIFS(周转筐出入库明细!$I$4:$I$2004,周转筐出入库明细!$C$4:$C$2004,$B210,周转筐出入库明细!$D$4:$D$2004,基础资料!$B$5,周转筐出入库明细!$B$4:$B$2004,"&gt;="&amp;$BC$1,周转筐出入库明细!$B$4:$B$2004,"&lt;="&amp;$BC$2))</f>
        <v/>
      </c>
      <c r="K210" s="67" t="str">
        <f>IF(OR($B210="",基础资料!$B$6=""),"",-SUMIFS(周转筐出入库明细!$I$4:$I$2004,周转筐出入库明细!$C$4:$C$2004,$B210,周转筐出入库明细!$D$4:$D$2004,基础资料!$B$6,周转筐出入库明细!$B$4:$B$2004,"&gt;="&amp;$BC$1,周转筐出入库明细!$B$4:$B$2004,"&lt;="&amp;$BC$2))</f>
        <v/>
      </c>
      <c r="L210" s="67" t="str">
        <f>IF(OR($B210="",基础资料!$B$7=""),"",-SUMIFS(周转筐出入库明细!$I$4:$I$2004,周转筐出入库明细!$C$4:$C$2004,$B210,周转筐出入库明细!$D$4:$D$2004,基础资料!$B$7,周转筐出入库明细!$B$4:$B$2004,"&gt;="&amp;$BC$1,周转筐出入库明细!$B$4:$B$2004,"&lt;="&amp;$BC$2))</f>
        <v/>
      </c>
      <c r="M210" s="67" t="str">
        <f>IF(OR($B210="",基础资料!$B$8=""),"",-SUMIFS(周转筐出入库明细!$I$4:$I$2004,周转筐出入库明细!$C$4:$C$2004,$B210,周转筐出入库明细!$D$4:$D$2004,基础资料!$B$8,周转筐出入库明细!$B$4:$B$2004,"&gt;="&amp;$BC$1,周转筐出入库明细!$B$4:$B$2004,"&lt;="&amp;$BC$2))</f>
        <v/>
      </c>
      <c r="N210" s="67" t="str">
        <f t="shared" si="38"/>
        <v/>
      </c>
      <c r="O210" s="25" t="str">
        <f>IF(OR($B210="",基础资料!$B$4=""),"",SUMIFS(周转筐出入库明细!$H$4:$H$2004,周转筐出入库明细!$C$4:$C$2004,$B210,周转筐出入库明细!$D$4:$D$2004,基础资料!$B$4,周转筐出入库明细!$F$4:$F$2004,"采购入库",周转筐出入库明细!$B$4:$B$2004,"&gt;="&amp;$BC$1,周转筐出入库明细!$B$4:$B$2004,"&lt;="&amp;$BC$2))</f>
        <v/>
      </c>
      <c r="P210" s="25" t="str">
        <f>IF(OR($B210="",基础资料!$B$5=""),"",SUMIFS(周转筐出入库明细!$H$4:$H$2004,周转筐出入库明细!$C$4:$C$2004,$B210,周转筐出入库明细!$D$4:$D$2004,基础资料!$B$5,周转筐出入库明细!$F$4:$F$2004,"采购入库",周转筐出入库明细!$B$4:$B$2004,"&gt;="&amp;$BC$1,周转筐出入库明细!$B$4:$B$2004,"&lt;="&amp;$BC$2))</f>
        <v/>
      </c>
      <c r="Q210" s="25" t="str">
        <f>IF(OR($B210="",基础资料!$B$6=""),"",SUMIFS(周转筐出入库明细!$H$4:$H$2004,周转筐出入库明细!$C$4:$C$2004,$B210,周转筐出入库明细!$D$4:$D$2004,基础资料!$B$6,周转筐出入库明细!$F$4:$F$2004,"采购入库",周转筐出入库明细!$B$4:$B$2004,"&gt;="&amp;$BC$1,周转筐出入库明细!$B$4:$B$2004,"&lt;="&amp;$BC$2))</f>
        <v/>
      </c>
      <c r="R210" s="25" t="str">
        <f>IF(OR($B210="",基础资料!$B$7=""),"",SUMIFS(周转筐出入库明细!$H$4:$H$2004,周转筐出入库明细!$C$4:$C$2004,$B210,周转筐出入库明细!$D$4:$D$2004,基础资料!$B$7,周转筐出入库明细!$F$4:$F$2004,"采购入库",周转筐出入库明细!$B$4:$B$2004,"&gt;="&amp;$BC$1,周转筐出入库明细!$B$4:$B$2004,"&lt;="&amp;$BC$2))</f>
        <v/>
      </c>
      <c r="S210" s="25" t="str">
        <f>IF(OR($B210="",基础资料!$B$8=""),"",SUMIFS(周转筐出入库明细!$H$4:$H$2004,周转筐出入库明细!$C$4:$C$2004,$B210,周转筐出入库明细!$D$4:$D$2004,基础资料!$B$8,周转筐出入库明细!$F$4:$F$2004,"采购入库",周转筐出入库明细!$B$4:$B$2004,"&gt;="&amp;$BC$1,周转筐出入库明细!$B$4:$B$2004,"&lt;="&amp;$BC$2))</f>
        <v/>
      </c>
      <c r="T210" s="25" t="str">
        <f t="shared" si="39"/>
        <v/>
      </c>
      <c r="U210" s="25" t="str">
        <f>IF(OR($B210="",基础资料!$B$4=""),"",SUMIFS(周转筐出入库明细!$K$4:$K$2004,周转筐出入库明细!$C$4:$C$2004,$B210,周转筐出入库明细!$D$4:$D$2004,基础资料!$B$4,周转筐出入库明细!$B$4:$B$2004,"&gt;="&amp;$BC$1,周转筐出入库明细!$B$4:$B$2004,"&lt;="&amp;$BC$2))</f>
        <v/>
      </c>
      <c r="V210" s="25" t="str">
        <f>IF(OR($B210="",基础资料!$B$5=""),"",SUMIFS(周转筐出入库明细!$K$4:$K$2004,周转筐出入库明细!$C$4:$C$2004,$B210,周转筐出入库明细!$D$4:$D$2004,基础资料!$B$5,周转筐出入库明细!$B$4:$B$2004,"&gt;="&amp;$BC$1,周转筐出入库明细!$B$4:$B$2004,"&lt;="&amp;$BC$2))</f>
        <v/>
      </c>
      <c r="W210" s="25" t="str">
        <f>IF(OR($B210="",基础资料!$B$6=""),"",SUMIFS(周转筐出入库明细!$K$4:$K$2004,周转筐出入库明细!$C$4:$C$2004,$B210,周转筐出入库明细!$D$4:$D$2004,基础资料!$B$6,周转筐出入库明细!$B$4:$B$2004,"&gt;="&amp;$BC$1,周转筐出入库明细!$B$4:$B$2004,"&lt;="&amp;$BC$2))</f>
        <v/>
      </c>
      <c r="X210" s="25" t="str">
        <f>IF(OR($B210="",基础资料!$B$7=""),"",SUMIFS(周转筐出入库明细!$K$4:$K$2004,周转筐出入库明细!$C$4:$C$2004,$B210,周转筐出入库明细!$D$4:$D$2004,基础资料!$B$7,周转筐出入库明细!$B$4:$B$2004,"&gt;="&amp;$BC$1,周转筐出入库明细!$B$4:$B$2004,"&lt;="&amp;$BC$2))</f>
        <v/>
      </c>
      <c r="Y210" s="25" t="str">
        <f>IF(OR($B210="",基础资料!$B$8=""),"",SUMIFS(周转筐出入库明细!$K$4:$K$2004,周转筐出入库明细!$C$4:$C$2004,$B210,周转筐出入库明细!$D$4:$D$2004,基础资料!$B$8,周转筐出入库明细!$B$4:$B$2004,"&gt;="&amp;$BC$1,周转筐出入库明细!$B$4:$B$2004,"&lt;="&amp;$BC$2))</f>
        <v/>
      </c>
      <c r="Z210" s="25" t="str">
        <f t="shared" si="40"/>
        <v/>
      </c>
      <c r="AA210" s="67" t="str">
        <f>IF(OR($B210="",基础资料!$B$4=""),"",-SUMIFS(对接源_01水果筐数!$D$5:$D$304,对接源_01水果筐数!$B$5:$B$304,$B210,对接源_01水果筐数!$C$5:$C$304,基础资料!$B$4))</f>
        <v/>
      </c>
      <c r="AB210" s="67" t="str">
        <f>IF(OR($B210="",基础资料!$B$5=""),"",-SUMIFS(对接源_01水果筐数!$D$5:$D$304,对接源_01水果筐数!$B$5:$B$304,$B210,对接源_01水果筐数!$C$5:$C$304,基础资料!$B$5))</f>
        <v/>
      </c>
      <c r="AC210" s="67" t="str">
        <f>IF(OR($B210="",基础资料!$B$6=""),"",-SUMIFS(对接源_01水果筐数!$D$5:$D$304,对接源_01水果筐数!$B$5:$B$304,$B210,对接源_01水果筐数!$C$5:$C$304,基础资料!$B$6))</f>
        <v/>
      </c>
      <c r="AD210" s="67" t="str">
        <f>IF(OR($B210="",基础资料!$B$7=""),"",-SUMIFS(对接源_01水果筐数!$D$5:$D$304,对接源_01水果筐数!$B$5:$B$304,$B210,对接源_01水果筐数!$C$5:$C$304,基础资料!$B$7))</f>
        <v/>
      </c>
      <c r="AE210" s="67" t="str">
        <f>IF(OR($B210="",基础资料!$B$8=""),"",-SUMIFS(对接源_01水果筐数!$D$5:$D$304,对接源_01水果筐数!$B$5:$B$304,$B210,对接源_01水果筐数!$C$5:$C$304,基础资料!$B$8))</f>
        <v/>
      </c>
      <c r="AF210" s="25" t="str">
        <f>IF(OR($B210="",基础资料!$B$4=""),"",SUMIFS(对接源_01水果筐数!$E$5:$E$304,对接源_01水果筐数!$B$5:$B$304,$B210,对接源_01水果筐数!$C$5:$C$304,基础资料!$B$4))</f>
        <v/>
      </c>
      <c r="AG210" s="25" t="str">
        <f>IF(OR($B210="",基础资料!$B$5=""),"",SUMIFS(对接源_01水果筐数!$E$5:$E$304,对接源_01水果筐数!$B$5:$B$304,$B210,对接源_01水果筐数!$C$5:$C$304,基础资料!$B$5))</f>
        <v/>
      </c>
      <c r="AH210" s="25" t="str">
        <f>IF(OR($B210="",基础资料!$B$6=""),"",SUMIFS(对接源_01水果筐数!$E$5:$E$304,对接源_01水果筐数!$B$5:$B$304,$B210,对接源_01水果筐数!$C$5:$C$304,基础资料!$B$6))</f>
        <v/>
      </c>
      <c r="AI210" s="25" t="str">
        <f>IF(OR($B210="",基础资料!$B$7=""),"",SUMIFS(对接源_01水果筐数!$E$5:$E$304,对接源_01水果筐数!$B$5:$B$304,$B210,对接源_01水果筐数!$C$5:$C$304,基础资料!$B$7))</f>
        <v/>
      </c>
      <c r="AJ210" s="25" t="str">
        <f>IF(OR($B210="",基础资料!$B$8=""),"",SUMIFS(对接源_01水果筐数!$E$5:$E$304,对接源_01水果筐数!$B$5:$B$304,$B210,对接源_01水果筐数!$C$5:$C$304,基础资料!$B$8))</f>
        <v/>
      </c>
      <c r="AK210" s="25" t="str">
        <f>IF(OR($B210="",基础资料!$B$4=""),"",SUMIFS(对接源_01水果筐数!$F$5:$F$304,对接源_01水果筐数!$B$5:$B$304,$B210,对接源_01水果筐数!$C$5:$C$304,基础资料!$B$4))</f>
        <v/>
      </c>
      <c r="AL210" s="25" t="str">
        <f>IF(OR($B210="",基础资料!$B$5=""),"",SUMIFS(对接源_01水果筐数!$F$5:$F$304,对接源_01水果筐数!$B$5:$B$304,$B210,对接源_01水果筐数!$C$5:$C$304,基础资料!$B$5))</f>
        <v/>
      </c>
      <c r="AM210" s="25" t="str">
        <f>IF(OR($B210="",基础资料!$B$6=""),"",SUMIFS(对接源_01水果筐数!$F$5:$F$304,对接源_01水果筐数!$B$5:$B$304,$B210,对接源_01水果筐数!$C$5:$C$304,基础资料!$B$6))</f>
        <v/>
      </c>
      <c r="AN210" s="25" t="str">
        <f>IF(OR($B210="",基础资料!$B$7=""),"",SUMIFS(对接源_01水果筐数!$F$5:$F$304,对接源_01水果筐数!$B$5:$B$304,$B210,对接源_01水果筐数!$C$5:$C$304,基础资料!$B$7))</f>
        <v/>
      </c>
      <c r="AO210" s="25" t="str">
        <f>IF(OR($B210="",基础资料!$B$8=""),"",SUMIFS(对接源_01水果筐数!$F$5:$F$304,对接源_01水果筐数!$B$5:$B$304,$B210,对接源_01水果筐数!$C$5:$C$304,基础资料!$B$8))</f>
        <v/>
      </c>
      <c r="AP210" s="25" t="str">
        <f t="shared" si="41"/>
        <v/>
      </c>
      <c r="AQ210" s="25" t="str">
        <f t="shared" si="42"/>
        <v/>
      </c>
      <c r="AR210" s="25" t="str">
        <f t="shared" si="43"/>
        <v/>
      </c>
      <c r="AS210" s="25" t="str">
        <f t="shared" si="44"/>
        <v/>
      </c>
      <c r="AT210" s="25" t="str">
        <f t="shared" si="45"/>
        <v/>
      </c>
      <c r="AU210" s="25" t="str">
        <f t="shared" si="46"/>
        <v/>
      </c>
      <c r="AV210" s="24" t="str">
        <f t="shared" si="47"/>
        <v/>
      </c>
      <c r="AW210" s="72"/>
    </row>
    <row r="211" spans="1:49">
      <c r="A211" s="22" t="str">
        <f t="shared" si="36"/>
        <v/>
      </c>
      <c r="B211" s="24" t="str">
        <f>IFERROR(INDEX(_自动清单!$CC$4:$CC$253,ROW()-3),"")</f>
        <v/>
      </c>
      <c r="C211" s="25" t="str">
        <f>IF(OR($B211="",基础资料!$B$4=""),"",SUMIFS(周转筐出入库明细!$J$4:$J$2004,周转筐出入库明细!$C$4:$C$2004,$B211,周转筐出入库明细!$D$4:$D$2004,基础资料!$B$4,周转筐出入库明细!$B$4:$B$2004,"&gt;="&amp;$BC$1,周转筐出入库明细!$B$4:$B$2004,"&lt;="&amp;$BC$2))</f>
        <v/>
      </c>
      <c r="D211" s="25" t="str">
        <f>IF(OR($B211="",基础资料!$B$5=""),"",SUMIFS(周转筐出入库明细!$J$4:$J$2004,周转筐出入库明细!$C$4:$C$2004,$B211,周转筐出入库明细!$D$4:$D$2004,基础资料!$B$5,周转筐出入库明细!$B$4:$B$2004,"&gt;="&amp;$BC$1,周转筐出入库明细!$B$4:$B$2004,"&lt;="&amp;$BC$2))</f>
        <v/>
      </c>
      <c r="E211" s="25" t="str">
        <f>IF(OR($B211="",基础资料!$B$6=""),"",SUMIFS(周转筐出入库明细!$J$4:$J$2004,周转筐出入库明细!$C$4:$C$2004,$B211,周转筐出入库明细!$D$4:$D$2004,基础资料!$B$6,周转筐出入库明细!$B$4:$B$2004,"&gt;="&amp;$BC$1,周转筐出入库明细!$B$4:$B$2004,"&lt;="&amp;$BC$2))</f>
        <v/>
      </c>
      <c r="F211" s="25" t="str">
        <f>IF(OR($B211="",基础资料!$B$7=""),"",SUMIFS(周转筐出入库明细!$J$4:$J$2004,周转筐出入库明细!$C$4:$C$2004,$B211,周转筐出入库明细!$D$4:$D$2004,基础资料!$B$7,周转筐出入库明细!$B$4:$B$2004,"&gt;="&amp;$BC$1,周转筐出入库明细!$B$4:$B$2004,"&lt;="&amp;$BC$2))</f>
        <v/>
      </c>
      <c r="G211" s="25" t="str">
        <f>IF(OR($B211="",基础资料!$B$8=""),"",SUMIFS(周转筐出入库明细!$J$4:$J$2004,周转筐出入库明细!$C$4:$C$2004,$B211,周转筐出入库明细!$D$4:$D$2004,基础资料!$B$8,周转筐出入库明细!$B$4:$B$2004,"&gt;="&amp;$BC$1,周转筐出入库明细!$B$4:$B$2004,"&lt;="&amp;$BC$2))</f>
        <v/>
      </c>
      <c r="H211" s="25" t="str">
        <f t="shared" si="37"/>
        <v/>
      </c>
      <c r="I211" s="67" t="str">
        <f>IF(OR($B211="",基础资料!$B$4=""),"",-SUMIFS(周转筐出入库明细!$I$4:$I$2004,周转筐出入库明细!$C$4:$C$2004,$B211,周转筐出入库明细!$D$4:$D$2004,基础资料!$B$4,周转筐出入库明细!$B$4:$B$2004,"&gt;="&amp;$BC$1,周转筐出入库明细!$B$4:$B$2004,"&lt;="&amp;$BC$2))</f>
        <v/>
      </c>
      <c r="J211" s="67" t="str">
        <f>IF(OR($B211="",基础资料!$B$5=""),"",-SUMIFS(周转筐出入库明细!$I$4:$I$2004,周转筐出入库明细!$C$4:$C$2004,$B211,周转筐出入库明细!$D$4:$D$2004,基础资料!$B$5,周转筐出入库明细!$B$4:$B$2004,"&gt;="&amp;$BC$1,周转筐出入库明细!$B$4:$B$2004,"&lt;="&amp;$BC$2))</f>
        <v/>
      </c>
      <c r="K211" s="67" t="str">
        <f>IF(OR($B211="",基础资料!$B$6=""),"",-SUMIFS(周转筐出入库明细!$I$4:$I$2004,周转筐出入库明细!$C$4:$C$2004,$B211,周转筐出入库明细!$D$4:$D$2004,基础资料!$B$6,周转筐出入库明细!$B$4:$B$2004,"&gt;="&amp;$BC$1,周转筐出入库明细!$B$4:$B$2004,"&lt;="&amp;$BC$2))</f>
        <v/>
      </c>
      <c r="L211" s="67" t="str">
        <f>IF(OR($B211="",基础资料!$B$7=""),"",-SUMIFS(周转筐出入库明细!$I$4:$I$2004,周转筐出入库明细!$C$4:$C$2004,$B211,周转筐出入库明细!$D$4:$D$2004,基础资料!$B$7,周转筐出入库明细!$B$4:$B$2004,"&gt;="&amp;$BC$1,周转筐出入库明细!$B$4:$B$2004,"&lt;="&amp;$BC$2))</f>
        <v/>
      </c>
      <c r="M211" s="67" t="str">
        <f>IF(OR($B211="",基础资料!$B$8=""),"",-SUMIFS(周转筐出入库明细!$I$4:$I$2004,周转筐出入库明细!$C$4:$C$2004,$B211,周转筐出入库明细!$D$4:$D$2004,基础资料!$B$8,周转筐出入库明细!$B$4:$B$2004,"&gt;="&amp;$BC$1,周转筐出入库明细!$B$4:$B$2004,"&lt;="&amp;$BC$2))</f>
        <v/>
      </c>
      <c r="N211" s="67" t="str">
        <f t="shared" si="38"/>
        <v/>
      </c>
      <c r="O211" s="25" t="str">
        <f>IF(OR($B211="",基础资料!$B$4=""),"",SUMIFS(周转筐出入库明细!$H$4:$H$2004,周转筐出入库明细!$C$4:$C$2004,$B211,周转筐出入库明细!$D$4:$D$2004,基础资料!$B$4,周转筐出入库明细!$F$4:$F$2004,"采购入库",周转筐出入库明细!$B$4:$B$2004,"&gt;="&amp;$BC$1,周转筐出入库明细!$B$4:$B$2004,"&lt;="&amp;$BC$2))</f>
        <v/>
      </c>
      <c r="P211" s="25" t="str">
        <f>IF(OR($B211="",基础资料!$B$5=""),"",SUMIFS(周转筐出入库明细!$H$4:$H$2004,周转筐出入库明细!$C$4:$C$2004,$B211,周转筐出入库明细!$D$4:$D$2004,基础资料!$B$5,周转筐出入库明细!$F$4:$F$2004,"采购入库",周转筐出入库明细!$B$4:$B$2004,"&gt;="&amp;$BC$1,周转筐出入库明细!$B$4:$B$2004,"&lt;="&amp;$BC$2))</f>
        <v/>
      </c>
      <c r="Q211" s="25" t="str">
        <f>IF(OR($B211="",基础资料!$B$6=""),"",SUMIFS(周转筐出入库明细!$H$4:$H$2004,周转筐出入库明细!$C$4:$C$2004,$B211,周转筐出入库明细!$D$4:$D$2004,基础资料!$B$6,周转筐出入库明细!$F$4:$F$2004,"采购入库",周转筐出入库明细!$B$4:$B$2004,"&gt;="&amp;$BC$1,周转筐出入库明细!$B$4:$B$2004,"&lt;="&amp;$BC$2))</f>
        <v/>
      </c>
      <c r="R211" s="25" t="str">
        <f>IF(OR($B211="",基础资料!$B$7=""),"",SUMIFS(周转筐出入库明细!$H$4:$H$2004,周转筐出入库明细!$C$4:$C$2004,$B211,周转筐出入库明细!$D$4:$D$2004,基础资料!$B$7,周转筐出入库明细!$F$4:$F$2004,"采购入库",周转筐出入库明细!$B$4:$B$2004,"&gt;="&amp;$BC$1,周转筐出入库明细!$B$4:$B$2004,"&lt;="&amp;$BC$2))</f>
        <v/>
      </c>
      <c r="S211" s="25" t="str">
        <f>IF(OR($B211="",基础资料!$B$8=""),"",SUMIFS(周转筐出入库明细!$H$4:$H$2004,周转筐出入库明细!$C$4:$C$2004,$B211,周转筐出入库明细!$D$4:$D$2004,基础资料!$B$8,周转筐出入库明细!$F$4:$F$2004,"采购入库",周转筐出入库明细!$B$4:$B$2004,"&gt;="&amp;$BC$1,周转筐出入库明细!$B$4:$B$2004,"&lt;="&amp;$BC$2))</f>
        <v/>
      </c>
      <c r="T211" s="25" t="str">
        <f t="shared" si="39"/>
        <v/>
      </c>
      <c r="U211" s="25" t="str">
        <f>IF(OR($B211="",基础资料!$B$4=""),"",SUMIFS(周转筐出入库明细!$K$4:$K$2004,周转筐出入库明细!$C$4:$C$2004,$B211,周转筐出入库明细!$D$4:$D$2004,基础资料!$B$4,周转筐出入库明细!$B$4:$B$2004,"&gt;="&amp;$BC$1,周转筐出入库明细!$B$4:$B$2004,"&lt;="&amp;$BC$2))</f>
        <v/>
      </c>
      <c r="V211" s="25" t="str">
        <f>IF(OR($B211="",基础资料!$B$5=""),"",SUMIFS(周转筐出入库明细!$K$4:$K$2004,周转筐出入库明细!$C$4:$C$2004,$B211,周转筐出入库明细!$D$4:$D$2004,基础资料!$B$5,周转筐出入库明细!$B$4:$B$2004,"&gt;="&amp;$BC$1,周转筐出入库明细!$B$4:$B$2004,"&lt;="&amp;$BC$2))</f>
        <v/>
      </c>
      <c r="W211" s="25" t="str">
        <f>IF(OR($B211="",基础资料!$B$6=""),"",SUMIFS(周转筐出入库明细!$K$4:$K$2004,周转筐出入库明细!$C$4:$C$2004,$B211,周转筐出入库明细!$D$4:$D$2004,基础资料!$B$6,周转筐出入库明细!$B$4:$B$2004,"&gt;="&amp;$BC$1,周转筐出入库明细!$B$4:$B$2004,"&lt;="&amp;$BC$2))</f>
        <v/>
      </c>
      <c r="X211" s="25" t="str">
        <f>IF(OR($B211="",基础资料!$B$7=""),"",SUMIFS(周转筐出入库明细!$K$4:$K$2004,周转筐出入库明细!$C$4:$C$2004,$B211,周转筐出入库明细!$D$4:$D$2004,基础资料!$B$7,周转筐出入库明细!$B$4:$B$2004,"&gt;="&amp;$BC$1,周转筐出入库明细!$B$4:$B$2004,"&lt;="&amp;$BC$2))</f>
        <v/>
      </c>
      <c r="Y211" s="25" t="str">
        <f>IF(OR($B211="",基础资料!$B$8=""),"",SUMIFS(周转筐出入库明细!$K$4:$K$2004,周转筐出入库明细!$C$4:$C$2004,$B211,周转筐出入库明细!$D$4:$D$2004,基础资料!$B$8,周转筐出入库明细!$B$4:$B$2004,"&gt;="&amp;$BC$1,周转筐出入库明细!$B$4:$B$2004,"&lt;="&amp;$BC$2))</f>
        <v/>
      </c>
      <c r="Z211" s="25" t="str">
        <f t="shared" si="40"/>
        <v/>
      </c>
      <c r="AA211" s="67" t="str">
        <f>IF(OR($B211="",基础资料!$B$4=""),"",-SUMIFS(对接源_01水果筐数!$D$5:$D$304,对接源_01水果筐数!$B$5:$B$304,$B211,对接源_01水果筐数!$C$5:$C$304,基础资料!$B$4))</f>
        <v/>
      </c>
      <c r="AB211" s="67" t="str">
        <f>IF(OR($B211="",基础资料!$B$5=""),"",-SUMIFS(对接源_01水果筐数!$D$5:$D$304,对接源_01水果筐数!$B$5:$B$304,$B211,对接源_01水果筐数!$C$5:$C$304,基础资料!$B$5))</f>
        <v/>
      </c>
      <c r="AC211" s="67" t="str">
        <f>IF(OR($B211="",基础资料!$B$6=""),"",-SUMIFS(对接源_01水果筐数!$D$5:$D$304,对接源_01水果筐数!$B$5:$B$304,$B211,对接源_01水果筐数!$C$5:$C$304,基础资料!$B$6))</f>
        <v/>
      </c>
      <c r="AD211" s="67" t="str">
        <f>IF(OR($B211="",基础资料!$B$7=""),"",-SUMIFS(对接源_01水果筐数!$D$5:$D$304,对接源_01水果筐数!$B$5:$B$304,$B211,对接源_01水果筐数!$C$5:$C$304,基础资料!$B$7))</f>
        <v/>
      </c>
      <c r="AE211" s="67" t="str">
        <f>IF(OR($B211="",基础资料!$B$8=""),"",-SUMIFS(对接源_01水果筐数!$D$5:$D$304,对接源_01水果筐数!$B$5:$B$304,$B211,对接源_01水果筐数!$C$5:$C$304,基础资料!$B$8))</f>
        <v/>
      </c>
      <c r="AF211" s="25" t="str">
        <f>IF(OR($B211="",基础资料!$B$4=""),"",SUMIFS(对接源_01水果筐数!$E$5:$E$304,对接源_01水果筐数!$B$5:$B$304,$B211,对接源_01水果筐数!$C$5:$C$304,基础资料!$B$4))</f>
        <v/>
      </c>
      <c r="AG211" s="25" t="str">
        <f>IF(OR($B211="",基础资料!$B$5=""),"",SUMIFS(对接源_01水果筐数!$E$5:$E$304,对接源_01水果筐数!$B$5:$B$304,$B211,对接源_01水果筐数!$C$5:$C$304,基础资料!$B$5))</f>
        <v/>
      </c>
      <c r="AH211" s="25" t="str">
        <f>IF(OR($B211="",基础资料!$B$6=""),"",SUMIFS(对接源_01水果筐数!$E$5:$E$304,对接源_01水果筐数!$B$5:$B$304,$B211,对接源_01水果筐数!$C$5:$C$304,基础资料!$B$6))</f>
        <v/>
      </c>
      <c r="AI211" s="25" t="str">
        <f>IF(OR($B211="",基础资料!$B$7=""),"",SUMIFS(对接源_01水果筐数!$E$5:$E$304,对接源_01水果筐数!$B$5:$B$304,$B211,对接源_01水果筐数!$C$5:$C$304,基础资料!$B$7))</f>
        <v/>
      </c>
      <c r="AJ211" s="25" t="str">
        <f>IF(OR($B211="",基础资料!$B$8=""),"",SUMIFS(对接源_01水果筐数!$E$5:$E$304,对接源_01水果筐数!$B$5:$B$304,$B211,对接源_01水果筐数!$C$5:$C$304,基础资料!$B$8))</f>
        <v/>
      </c>
      <c r="AK211" s="25" t="str">
        <f>IF(OR($B211="",基础资料!$B$4=""),"",SUMIFS(对接源_01水果筐数!$F$5:$F$304,对接源_01水果筐数!$B$5:$B$304,$B211,对接源_01水果筐数!$C$5:$C$304,基础资料!$B$4))</f>
        <v/>
      </c>
      <c r="AL211" s="25" t="str">
        <f>IF(OR($B211="",基础资料!$B$5=""),"",SUMIFS(对接源_01水果筐数!$F$5:$F$304,对接源_01水果筐数!$B$5:$B$304,$B211,对接源_01水果筐数!$C$5:$C$304,基础资料!$B$5))</f>
        <v/>
      </c>
      <c r="AM211" s="25" t="str">
        <f>IF(OR($B211="",基础资料!$B$6=""),"",SUMIFS(对接源_01水果筐数!$F$5:$F$304,对接源_01水果筐数!$B$5:$B$304,$B211,对接源_01水果筐数!$C$5:$C$304,基础资料!$B$6))</f>
        <v/>
      </c>
      <c r="AN211" s="25" t="str">
        <f>IF(OR($B211="",基础资料!$B$7=""),"",SUMIFS(对接源_01水果筐数!$F$5:$F$304,对接源_01水果筐数!$B$5:$B$304,$B211,对接源_01水果筐数!$C$5:$C$304,基础资料!$B$7))</f>
        <v/>
      </c>
      <c r="AO211" s="25" t="str">
        <f>IF(OR($B211="",基础资料!$B$8=""),"",SUMIFS(对接源_01水果筐数!$F$5:$F$304,对接源_01水果筐数!$B$5:$B$304,$B211,对接源_01水果筐数!$C$5:$C$304,基础资料!$B$8))</f>
        <v/>
      </c>
      <c r="AP211" s="25" t="str">
        <f t="shared" si="41"/>
        <v/>
      </c>
      <c r="AQ211" s="25" t="str">
        <f t="shared" si="42"/>
        <v/>
      </c>
      <c r="AR211" s="25" t="str">
        <f t="shared" si="43"/>
        <v/>
      </c>
      <c r="AS211" s="25" t="str">
        <f t="shared" si="44"/>
        <v/>
      </c>
      <c r="AT211" s="25" t="str">
        <f t="shared" si="45"/>
        <v/>
      </c>
      <c r="AU211" s="25" t="str">
        <f t="shared" si="46"/>
        <v/>
      </c>
      <c r="AV211" s="24" t="str">
        <f t="shared" si="47"/>
        <v/>
      </c>
      <c r="AW211" s="72"/>
    </row>
    <row r="212" spans="1:49">
      <c r="A212" s="22" t="str">
        <f t="shared" si="36"/>
        <v/>
      </c>
      <c r="B212" s="24" t="str">
        <f>IFERROR(INDEX(_自动清单!$CC$4:$CC$253,ROW()-3),"")</f>
        <v/>
      </c>
      <c r="C212" s="25" t="str">
        <f>IF(OR($B212="",基础资料!$B$4=""),"",SUMIFS(周转筐出入库明细!$J$4:$J$2004,周转筐出入库明细!$C$4:$C$2004,$B212,周转筐出入库明细!$D$4:$D$2004,基础资料!$B$4,周转筐出入库明细!$B$4:$B$2004,"&gt;="&amp;$BC$1,周转筐出入库明细!$B$4:$B$2004,"&lt;="&amp;$BC$2))</f>
        <v/>
      </c>
      <c r="D212" s="25" t="str">
        <f>IF(OR($B212="",基础资料!$B$5=""),"",SUMIFS(周转筐出入库明细!$J$4:$J$2004,周转筐出入库明细!$C$4:$C$2004,$B212,周转筐出入库明细!$D$4:$D$2004,基础资料!$B$5,周转筐出入库明细!$B$4:$B$2004,"&gt;="&amp;$BC$1,周转筐出入库明细!$B$4:$B$2004,"&lt;="&amp;$BC$2))</f>
        <v/>
      </c>
      <c r="E212" s="25" t="str">
        <f>IF(OR($B212="",基础资料!$B$6=""),"",SUMIFS(周转筐出入库明细!$J$4:$J$2004,周转筐出入库明细!$C$4:$C$2004,$B212,周转筐出入库明细!$D$4:$D$2004,基础资料!$B$6,周转筐出入库明细!$B$4:$B$2004,"&gt;="&amp;$BC$1,周转筐出入库明细!$B$4:$B$2004,"&lt;="&amp;$BC$2))</f>
        <v/>
      </c>
      <c r="F212" s="25" t="str">
        <f>IF(OR($B212="",基础资料!$B$7=""),"",SUMIFS(周转筐出入库明细!$J$4:$J$2004,周转筐出入库明细!$C$4:$C$2004,$B212,周转筐出入库明细!$D$4:$D$2004,基础资料!$B$7,周转筐出入库明细!$B$4:$B$2004,"&gt;="&amp;$BC$1,周转筐出入库明细!$B$4:$B$2004,"&lt;="&amp;$BC$2))</f>
        <v/>
      </c>
      <c r="G212" s="25" t="str">
        <f>IF(OR($B212="",基础资料!$B$8=""),"",SUMIFS(周转筐出入库明细!$J$4:$J$2004,周转筐出入库明细!$C$4:$C$2004,$B212,周转筐出入库明细!$D$4:$D$2004,基础资料!$B$8,周转筐出入库明细!$B$4:$B$2004,"&gt;="&amp;$BC$1,周转筐出入库明细!$B$4:$B$2004,"&lt;="&amp;$BC$2))</f>
        <v/>
      </c>
      <c r="H212" s="25" t="str">
        <f t="shared" si="37"/>
        <v/>
      </c>
      <c r="I212" s="67" t="str">
        <f>IF(OR($B212="",基础资料!$B$4=""),"",-SUMIFS(周转筐出入库明细!$I$4:$I$2004,周转筐出入库明细!$C$4:$C$2004,$B212,周转筐出入库明细!$D$4:$D$2004,基础资料!$B$4,周转筐出入库明细!$B$4:$B$2004,"&gt;="&amp;$BC$1,周转筐出入库明细!$B$4:$B$2004,"&lt;="&amp;$BC$2))</f>
        <v/>
      </c>
      <c r="J212" s="67" t="str">
        <f>IF(OR($B212="",基础资料!$B$5=""),"",-SUMIFS(周转筐出入库明细!$I$4:$I$2004,周转筐出入库明细!$C$4:$C$2004,$B212,周转筐出入库明细!$D$4:$D$2004,基础资料!$B$5,周转筐出入库明细!$B$4:$B$2004,"&gt;="&amp;$BC$1,周转筐出入库明细!$B$4:$B$2004,"&lt;="&amp;$BC$2))</f>
        <v/>
      </c>
      <c r="K212" s="67" t="str">
        <f>IF(OR($B212="",基础资料!$B$6=""),"",-SUMIFS(周转筐出入库明细!$I$4:$I$2004,周转筐出入库明细!$C$4:$C$2004,$B212,周转筐出入库明细!$D$4:$D$2004,基础资料!$B$6,周转筐出入库明细!$B$4:$B$2004,"&gt;="&amp;$BC$1,周转筐出入库明细!$B$4:$B$2004,"&lt;="&amp;$BC$2))</f>
        <v/>
      </c>
      <c r="L212" s="67" t="str">
        <f>IF(OR($B212="",基础资料!$B$7=""),"",-SUMIFS(周转筐出入库明细!$I$4:$I$2004,周转筐出入库明细!$C$4:$C$2004,$B212,周转筐出入库明细!$D$4:$D$2004,基础资料!$B$7,周转筐出入库明细!$B$4:$B$2004,"&gt;="&amp;$BC$1,周转筐出入库明细!$B$4:$B$2004,"&lt;="&amp;$BC$2))</f>
        <v/>
      </c>
      <c r="M212" s="67" t="str">
        <f>IF(OR($B212="",基础资料!$B$8=""),"",-SUMIFS(周转筐出入库明细!$I$4:$I$2004,周转筐出入库明细!$C$4:$C$2004,$B212,周转筐出入库明细!$D$4:$D$2004,基础资料!$B$8,周转筐出入库明细!$B$4:$B$2004,"&gt;="&amp;$BC$1,周转筐出入库明细!$B$4:$B$2004,"&lt;="&amp;$BC$2))</f>
        <v/>
      </c>
      <c r="N212" s="67" t="str">
        <f t="shared" si="38"/>
        <v/>
      </c>
      <c r="O212" s="25" t="str">
        <f>IF(OR($B212="",基础资料!$B$4=""),"",SUMIFS(周转筐出入库明细!$H$4:$H$2004,周转筐出入库明细!$C$4:$C$2004,$B212,周转筐出入库明细!$D$4:$D$2004,基础资料!$B$4,周转筐出入库明细!$F$4:$F$2004,"采购入库",周转筐出入库明细!$B$4:$B$2004,"&gt;="&amp;$BC$1,周转筐出入库明细!$B$4:$B$2004,"&lt;="&amp;$BC$2))</f>
        <v/>
      </c>
      <c r="P212" s="25" t="str">
        <f>IF(OR($B212="",基础资料!$B$5=""),"",SUMIFS(周转筐出入库明细!$H$4:$H$2004,周转筐出入库明细!$C$4:$C$2004,$B212,周转筐出入库明细!$D$4:$D$2004,基础资料!$B$5,周转筐出入库明细!$F$4:$F$2004,"采购入库",周转筐出入库明细!$B$4:$B$2004,"&gt;="&amp;$BC$1,周转筐出入库明细!$B$4:$B$2004,"&lt;="&amp;$BC$2))</f>
        <v/>
      </c>
      <c r="Q212" s="25" t="str">
        <f>IF(OR($B212="",基础资料!$B$6=""),"",SUMIFS(周转筐出入库明细!$H$4:$H$2004,周转筐出入库明细!$C$4:$C$2004,$B212,周转筐出入库明细!$D$4:$D$2004,基础资料!$B$6,周转筐出入库明细!$F$4:$F$2004,"采购入库",周转筐出入库明细!$B$4:$B$2004,"&gt;="&amp;$BC$1,周转筐出入库明细!$B$4:$B$2004,"&lt;="&amp;$BC$2))</f>
        <v/>
      </c>
      <c r="R212" s="25" t="str">
        <f>IF(OR($B212="",基础资料!$B$7=""),"",SUMIFS(周转筐出入库明细!$H$4:$H$2004,周转筐出入库明细!$C$4:$C$2004,$B212,周转筐出入库明细!$D$4:$D$2004,基础资料!$B$7,周转筐出入库明细!$F$4:$F$2004,"采购入库",周转筐出入库明细!$B$4:$B$2004,"&gt;="&amp;$BC$1,周转筐出入库明细!$B$4:$B$2004,"&lt;="&amp;$BC$2))</f>
        <v/>
      </c>
      <c r="S212" s="25" t="str">
        <f>IF(OR($B212="",基础资料!$B$8=""),"",SUMIFS(周转筐出入库明细!$H$4:$H$2004,周转筐出入库明细!$C$4:$C$2004,$B212,周转筐出入库明细!$D$4:$D$2004,基础资料!$B$8,周转筐出入库明细!$F$4:$F$2004,"采购入库",周转筐出入库明细!$B$4:$B$2004,"&gt;="&amp;$BC$1,周转筐出入库明细!$B$4:$B$2004,"&lt;="&amp;$BC$2))</f>
        <v/>
      </c>
      <c r="T212" s="25" t="str">
        <f t="shared" si="39"/>
        <v/>
      </c>
      <c r="U212" s="25" t="str">
        <f>IF(OR($B212="",基础资料!$B$4=""),"",SUMIFS(周转筐出入库明细!$K$4:$K$2004,周转筐出入库明细!$C$4:$C$2004,$B212,周转筐出入库明细!$D$4:$D$2004,基础资料!$B$4,周转筐出入库明细!$B$4:$B$2004,"&gt;="&amp;$BC$1,周转筐出入库明细!$B$4:$B$2004,"&lt;="&amp;$BC$2))</f>
        <v/>
      </c>
      <c r="V212" s="25" t="str">
        <f>IF(OR($B212="",基础资料!$B$5=""),"",SUMIFS(周转筐出入库明细!$K$4:$K$2004,周转筐出入库明细!$C$4:$C$2004,$B212,周转筐出入库明细!$D$4:$D$2004,基础资料!$B$5,周转筐出入库明细!$B$4:$B$2004,"&gt;="&amp;$BC$1,周转筐出入库明细!$B$4:$B$2004,"&lt;="&amp;$BC$2))</f>
        <v/>
      </c>
      <c r="W212" s="25" t="str">
        <f>IF(OR($B212="",基础资料!$B$6=""),"",SUMIFS(周转筐出入库明细!$K$4:$K$2004,周转筐出入库明细!$C$4:$C$2004,$B212,周转筐出入库明细!$D$4:$D$2004,基础资料!$B$6,周转筐出入库明细!$B$4:$B$2004,"&gt;="&amp;$BC$1,周转筐出入库明细!$B$4:$B$2004,"&lt;="&amp;$BC$2))</f>
        <v/>
      </c>
      <c r="X212" s="25" t="str">
        <f>IF(OR($B212="",基础资料!$B$7=""),"",SUMIFS(周转筐出入库明细!$K$4:$K$2004,周转筐出入库明细!$C$4:$C$2004,$B212,周转筐出入库明细!$D$4:$D$2004,基础资料!$B$7,周转筐出入库明细!$B$4:$B$2004,"&gt;="&amp;$BC$1,周转筐出入库明细!$B$4:$B$2004,"&lt;="&amp;$BC$2))</f>
        <v/>
      </c>
      <c r="Y212" s="25" t="str">
        <f>IF(OR($B212="",基础资料!$B$8=""),"",SUMIFS(周转筐出入库明细!$K$4:$K$2004,周转筐出入库明细!$C$4:$C$2004,$B212,周转筐出入库明细!$D$4:$D$2004,基础资料!$B$8,周转筐出入库明细!$B$4:$B$2004,"&gt;="&amp;$BC$1,周转筐出入库明细!$B$4:$B$2004,"&lt;="&amp;$BC$2))</f>
        <v/>
      </c>
      <c r="Z212" s="25" t="str">
        <f t="shared" si="40"/>
        <v/>
      </c>
      <c r="AA212" s="67" t="str">
        <f>IF(OR($B212="",基础资料!$B$4=""),"",-SUMIFS(对接源_01水果筐数!$D$5:$D$304,对接源_01水果筐数!$B$5:$B$304,$B212,对接源_01水果筐数!$C$5:$C$304,基础资料!$B$4))</f>
        <v/>
      </c>
      <c r="AB212" s="67" t="str">
        <f>IF(OR($B212="",基础资料!$B$5=""),"",-SUMIFS(对接源_01水果筐数!$D$5:$D$304,对接源_01水果筐数!$B$5:$B$304,$B212,对接源_01水果筐数!$C$5:$C$304,基础资料!$B$5))</f>
        <v/>
      </c>
      <c r="AC212" s="67" t="str">
        <f>IF(OR($B212="",基础资料!$B$6=""),"",-SUMIFS(对接源_01水果筐数!$D$5:$D$304,对接源_01水果筐数!$B$5:$B$304,$B212,对接源_01水果筐数!$C$5:$C$304,基础资料!$B$6))</f>
        <v/>
      </c>
      <c r="AD212" s="67" t="str">
        <f>IF(OR($B212="",基础资料!$B$7=""),"",-SUMIFS(对接源_01水果筐数!$D$5:$D$304,对接源_01水果筐数!$B$5:$B$304,$B212,对接源_01水果筐数!$C$5:$C$304,基础资料!$B$7))</f>
        <v/>
      </c>
      <c r="AE212" s="67" t="str">
        <f>IF(OR($B212="",基础资料!$B$8=""),"",-SUMIFS(对接源_01水果筐数!$D$5:$D$304,对接源_01水果筐数!$B$5:$B$304,$B212,对接源_01水果筐数!$C$5:$C$304,基础资料!$B$8))</f>
        <v/>
      </c>
      <c r="AF212" s="25" t="str">
        <f>IF(OR($B212="",基础资料!$B$4=""),"",SUMIFS(对接源_01水果筐数!$E$5:$E$304,对接源_01水果筐数!$B$5:$B$304,$B212,对接源_01水果筐数!$C$5:$C$304,基础资料!$B$4))</f>
        <v/>
      </c>
      <c r="AG212" s="25" t="str">
        <f>IF(OR($B212="",基础资料!$B$5=""),"",SUMIFS(对接源_01水果筐数!$E$5:$E$304,对接源_01水果筐数!$B$5:$B$304,$B212,对接源_01水果筐数!$C$5:$C$304,基础资料!$B$5))</f>
        <v/>
      </c>
      <c r="AH212" s="25" t="str">
        <f>IF(OR($B212="",基础资料!$B$6=""),"",SUMIFS(对接源_01水果筐数!$E$5:$E$304,对接源_01水果筐数!$B$5:$B$304,$B212,对接源_01水果筐数!$C$5:$C$304,基础资料!$B$6))</f>
        <v/>
      </c>
      <c r="AI212" s="25" t="str">
        <f>IF(OR($B212="",基础资料!$B$7=""),"",SUMIFS(对接源_01水果筐数!$E$5:$E$304,对接源_01水果筐数!$B$5:$B$304,$B212,对接源_01水果筐数!$C$5:$C$304,基础资料!$B$7))</f>
        <v/>
      </c>
      <c r="AJ212" s="25" t="str">
        <f>IF(OR($B212="",基础资料!$B$8=""),"",SUMIFS(对接源_01水果筐数!$E$5:$E$304,对接源_01水果筐数!$B$5:$B$304,$B212,对接源_01水果筐数!$C$5:$C$304,基础资料!$B$8))</f>
        <v/>
      </c>
      <c r="AK212" s="25" t="str">
        <f>IF(OR($B212="",基础资料!$B$4=""),"",SUMIFS(对接源_01水果筐数!$F$5:$F$304,对接源_01水果筐数!$B$5:$B$304,$B212,对接源_01水果筐数!$C$5:$C$304,基础资料!$B$4))</f>
        <v/>
      </c>
      <c r="AL212" s="25" t="str">
        <f>IF(OR($B212="",基础资料!$B$5=""),"",SUMIFS(对接源_01水果筐数!$F$5:$F$304,对接源_01水果筐数!$B$5:$B$304,$B212,对接源_01水果筐数!$C$5:$C$304,基础资料!$B$5))</f>
        <v/>
      </c>
      <c r="AM212" s="25" t="str">
        <f>IF(OR($B212="",基础资料!$B$6=""),"",SUMIFS(对接源_01水果筐数!$F$5:$F$304,对接源_01水果筐数!$B$5:$B$304,$B212,对接源_01水果筐数!$C$5:$C$304,基础资料!$B$6))</f>
        <v/>
      </c>
      <c r="AN212" s="25" t="str">
        <f>IF(OR($B212="",基础资料!$B$7=""),"",SUMIFS(对接源_01水果筐数!$F$5:$F$304,对接源_01水果筐数!$B$5:$B$304,$B212,对接源_01水果筐数!$C$5:$C$304,基础资料!$B$7))</f>
        <v/>
      </c>
      <c r="AO212" s="25" t="str">
        <f>IF(OR($B212="",基础资料!$B$8=""),"",SUMIFS(对接源_01水果筐数!$F$5:$F$304,对接源_01水果筐数!$B$5:$B$304,$B212,对接源_01水果筐数!$C$5:$C$304,基础资料!$B$8))</f>
        <v/>
      </c>
      <c r="AP212" s="25" t="str">
        <f t="shared" si="41"/>
        <v/>
      </c>
      <c r="AQ212" s="25" t="str">
        <f t="shared" si="42"/>
        <v/>
      </c>
      <c r="AR212" s="25" t="str">
        <f t="shared" si="43"/>
        <v/>
      </c>
      <c r="AS212" s="25" t="str">
        <f t="shared" si="44"/>
        <v/>
      </c>
      <c r="AT212" s="25" t="str">
        <f t="shared" si="45"/>
        <v/>
      </c>
      <c r="AU212" s="25" t="str">
        <f t="shared" si="46"/>
        <v/>
      </c>
      <c r="AV212" s="24" t="str">
        <f t="shared" si="47"/>
        <v/>
      </c>
      <c r="AW212" s="72"/>
    </row>
    <row r="213" spans="1:49">
      <c r="A213" s="22" t="str">
        <f t="shared" si="36"/>
        <v/>
      </c>
      <c r="B213" s="24" t="str">
        <f>IFERROR(INDEX(_自动清单!$CC$4:$CC$253,ROW()-3),"")</f>
        <v/>
      </c>
      <c r="C213" s="25" t="str">
        <f>IF(OR($B213="",基础资料!$B$4=""),"",SUMIFS(周转筐出入库明细!$J$4:$J$2004,周转筐出入库明细!$C$4:$C$2004,$B213,周转筐出入库明细!$D$4:$D$2004,基础资料!$B$4,周转筐出入库明细!$B$4:$B$2004,"&gt;="&amp;$BC$1,周转筐出入库明细!$B$4:$B$2004,"&lt;="&amp;$BC$2))</f>
        <v/>
      </c>
      <c r="D213" s="25" t="str">
        <f>IF(OR($B213="",基础资料!$B$5=""),"",SUMIFS(周转筐出入库明细!$J$4:$J$2004,周转筐出入库明细!$C$4:$C$2004,$B213,周转筐出入库明细!$D$4:$D$2004,基础资料!$B$5,周转筐出入库明细!$B$4:$B$2004,"&gt;="&amp;$BC$1,周转筐出入库明细!$B$4:$B$2004,"&lt;="&amp;$BC$2))</f>
        <v/>
      </c>
      <c r="E213" s="25" t="str">
        <f>IF(OR($B213="",基础资料!$B$6=""),"",SUMIFS(周转筐出入库明细!$J$4:$J$2004,周转筐出入库明细!$C$4:$C$2004,$B213,周转筐出入库明细!$D$4:$D$2004,基础资料!$B$6,周转筐出入库明细!$B$4:$B$2004,"&gt;="&amp;$BC$1,周转筐出入库明细!$B$4:$B$2004,"&lt;="&amp;$BC$2))</f>
        <v/>
      </c>
      <c r="F213" s="25" t="str">
        <f>IF(OR($B213="",基础资料!$B$7=""),"",SUMIFS(周转筐出入库明细!$J$4:$J$2004,周转筐出入库明细!$C$4:$C$2004,$B213,周转筐出入库明细!$D$4:$D$2004,基础资料!$B$7,周转筐出入库明细!$B$4:$B$2004,"&gt;="&amp;$BC$1,周转筐出入库明细!$B$4:$B$2004,"&lt;="&amp;$BC$2))</f>
        <v/>
      </c>
      <c r="G213" s="25" t="str">
        <f>IF(OR($B213="",基础资料!$B$8=""),"",SUMIFS(周转筐出入库明细!$J$4:$J$2004,周转筐出入库明细!$C$4:$C$2004,$B213,周转筐出入库明细!$D$4:$D$2004,基础资料!$B$8,周转筐出入库明细!$B$4:$B$2004,"&gt;="&amp;$BC$1,周转筐出入库明细!$B$4:$B$2004,"&lt;="&amp;$BC$2))</f>
        <v/>
      </c>
      <c r="H213" s="25" t="str">
        <f t="shared" si="37"/>
        <v/>
      </c>
      <c r="I213" s="67" t="str">
        <f>IF(OR($B213="",基础资料!$B$4=""),"",-SUMIFS(周转筐出入库明细!$I$4:$I$2004,周转筐出入库明细!$C$4:$C$2004,$B213,周转筐出入库明细!$D$4:$D$2004,基础资料!$B$4,周转筐出入库明细!$B$4:$B$2004,"&gt;="&amp;$BC$1,周转筐出入库明细!$B$4:$B$2004,"&lt;="&amp;$BC$2))</f>
        <v/>
      </c>
      <c r="J213" s="67" t="str">
        <f>IF(OR($B213="",基础资料!$B$5=""),"",-SUMIFS(周转筐出入库明细!$I$4:$I$2004,周转筐出入库明细!$C$4:$C$2004,$B213,周转筐出入库明细!$D$4:$D$2004,基础资料!$B$5,周转筐出入库明细!$B$4:$B$2004,"&gt;="&amp;$BC$1,周转筐出入库明细!$B$4:$B$2004,"&lt;="&amp;$BC$2))</f>
        <v/>
      </c>
      <c r="K213" s="67" t="str">
        <f>IF(OR($B213="",基础资料!$B$6=""),"",-SUMIFS(周转筐出入库明细!$I$4:$I$2004,周转筐出入库明细!$C$4:$C$2004,$B213,周转筐出入库明细!$D$4:$D$2004,基础资料!$B$6,周转筐出入库明细!$B$4:$B$2004,"&gt;="&amp;$BC$1,周转筐出入库明细!$B$4:$B$2004,"&lt;="&amp;$BC$2))</f>
        <v/>
      </c>
      <c r="L213" s="67" t="str">
        <f>IF(OR($B213="",基础资料!$B$7=""),"",-SUMIFS(周转筐出入库明细!$I$4:$I$2004,周转筐出入库明细!$C$4:$C$2004,$B213,周转筐出入库明细!$D$4:$D$2004,基础资料!$B$7,周转筐出入库明细!$B$4:$B$2004,"&gt;="&amp;$BC$1,周转筐出入库明细!$B$4:$B$2004,"&lt;="&amp;$BC$2))</f>
        <v/>
      </c>
      <c r="M213" s="67" t="str">
        <f>IF(OR($B213="",基础资料!$B$8=""),"",-SUMIFS(周转筐出入库明细!$I$4:$I$2004,周转筐出入库明细!$C$4:$C$2004,$B213,周转筐出入库明细!$D$4:$D$2004,基础资料!$B$8,周转筐出入库明细!$B$4:$B$2004,"&gt;="&amp;$BC$1,周转筐出入库明细!$B$4:$B$2004,"&lt;="&amp;$BC$2))</f>
        <v/>
      </c>
      <c r="N213" s="67" t="str">
        <f t="shared" si="38"/>
        <v/>
      </c>
      <c r="O213" s="25" t="str">
        <f>IF(OR($B213="",基础资料!$B$4=""),"",SUMIFS(周转筐出入库明细!$H$4:$H$2004,周转筐出入库明细!$C$4:$C$2004,$B213,周转筐出入库明细!$D$4:$D$2004,基础资料!$B$4,周转筐出入库明细!$F$4:$F$2004,"采购入库",周转筐出入库明细!$B$4:$B$2004,"&gt;="&amp;$BC$1,周转筐出入库明细!$B$4:$B$2004,"&lt;="&amp;$BC$2))</f>
        <v/>
      </c>
      <c r="P213" s="25" t="str">
        <f>IF(OR($B213="",基础资料!$B$5=""),"",SUMIFS(周转筐出入库明细!$H$4:$H$2004,周转筐出入库明细!$C$4:$C$2004,$B213,周转筐出入库明细!$D$4:$D$2004,基础资料!$B$5,周转筐出入库明细!$F$4:$F$2004,"采购入库",周转筐出入库明细!$B$4:$B$2004,"&gt;="&amp;$BC$1,周转筐出入库明细!$B$4:$B$2004,"&lt;="&amp;$BC$2))</f>
        <v/>
      </c>
      <c r="Q213" s="25" t="str">
        <f>IF(OR($B213="",基础资料!$B$6=""),"",SUMIFS(周转筐出入库明细!$H$4:$H$2004,周转筐出入库明细!$C$4:$C$2004,$B213,周转筐出入库明细!$D$4:$D$2004,基础资料!$B$6,周转筐出入库明细!$F$4:$F$2004,"采购入库",周转筐出入库明细!$B$4:$B$2004,"&gt;="&amp;$BC$1,周转筐出入库明细!$B$4:$B$2004,"&lt;="&amp;$BC$2))</f>
        <v/>
      </c>
      <c r="R213" s="25" t="str">
        <f>IF(OR($B213="",基础资料!$B$7=""),"",SUMIFS(周转筐出入库明细!$H$4:$H$2004,周转筐出入库明细!$C$4:$C$2004,$B213,周转筐出入库明细!$D$4:$D$2004,基础资料!$B$7,周转筐出入库明细!$F$4:$F$2004,"采购入库",周转筐出入库明细!$B$4:$B$2004,"&gt;="&amp;$BC$1,周转筐出入库明细!$B$4:$B$2004,"&lt;="&amp;$BC$2))</f>
        <v/>
      </c>
      <c r="S213" s="25" t="str">
        <f>IF(OR($B213="",基础资料!$B$8=""),"",SUMIFS(周转筐出入库明细!$H$4:$H$2004,周转筐出入库明细!$C$4:$C$2004,$B213,周转筐出入库明细!$D$4:$D$2004,基础资料!$B$8,周转筐出入库明细!$F$4:$F$2004,"采购入库",周转筐出入库明细!$B$4:$B$2004,"&gt;="&amp;$BC$1,周转筐出入库明细!$B$4:$B$2004,"&lt;="&amp;$BC$2))</f>
        <v/>
      </c>
      <c r="T213" s="25" t="str">
        <f t="shared" si="39"/>
        <v/>
      </c>
      <c r="U213" s="25" t="str">
        <f>IF(OR($B213="",基础资料!$B$4=""),"",SUMIFS(周转筐出入库明细!$K$4:$K$2004,周转筐出入库明细!$C$4:$C$2004,$B213,周转筐出入库明细!$D$4:$D$2004,基础资料!$B$4,周转筐出入库明细!$B$4:$B$2004,"&gt;="&amp;$BC$1,周转筐出入库明细!$B$4:$B$2004,"&lt;="&amp;$BC$2))</f>
        <v/>
      </c>
      <c r="V213" s="25" t="str">
        <f>IF(OR($B213="",基础资料!$B$5=""),"",SUMIFS(周转筐出入库明细!$K$4:$K$2004,周转筐出入库明细!$C$4:$C$2004,$B213,周转筐出入库明细!$D$4:$D$2004,基础资料!$B$5,周转筐出入库明细!$B$4:$B$2004,"&gt;="&amp;$BC$1,周转筐出入库明细!$B$4:$B$2004,"&lt;="&amp;$BC$2))</f>
        <v/>
      </c>
      <c r="W213" s="25" t="str">
        <f>IF(OR($B213="",基础资料!$B$6=""),"",SUMIFS(周转筐出入库明细!$K$4:$K$2004,周转筐出入库明细!$C$4:$C$2004,$B213,周转筐出入库明细!$D$4:$D$2004,基础资料!$B$6,周转筐出入库明细!$B$4:$B$2004,"&gt;="&amp;$BC$1,周转筐出入库明细!$B$4:$B$2004,"&lt;="&amp;$BC$2))</f>
        <v/>
      </c>
      <c r="X213" s="25" t="str">
        <f>IF(OR($B213="",基础资料!$B$7=""),"",SUMIFS(周转筐出入库明细!$K$4:$K$2004,周转筐出入库明细!$C$4:$C$2004,$B213,周转筐出入库明细!$D$4:$D$2004,基础资料!$B$7,周转筐出入库明细!$B$4:$B$2004,"&gt;="&amp;$BC$1,周转筐出入库明细!$B$4:$B$2004,"&lt;="&amp;$BC$2))</f>
        <v/>
      </c>
      <c r="Y213" s="25" t="str">
        <f>IF(OR($B213="",基础资料!$B$8=""),"",SUMIFS(周转筐出入库明细!$K$4:$K$2004,周转筐出入库明细!$C$4:$C$2004,$B213,周转筐出入库明细!$D$4:$D$2004,基础资料!$B$8,周转筐出入库明细!$B$4:$B$2004,"&gt;="&amp;$BC$1,周转筐出入库明细!$B$4:$B$2004,"&lt;="&amp;$BC$2))</f>
        <v/>
      </c>
      <c r="Z213" s="25" t="str">
        <f t="shared" si="40"/>
        <v/>
      </c>
      <c r="AA213" s="67" t="str">
        <f>IF(OR($B213="",基础资料!$B$4=""),"",-SUMIFS(对接源_01水果筐数!$D$5:$D$304,对接源_01水果筐数!$B$5:$B$304,$B213,对接源_01水果筐数!$C$5:$C$304,基础资料!$B$4))</f>
        <v/>
      </c>
      <c r="AB213" s="67" t="str">
        <f>IF(OR($B213="",基础资料!$B$5=""),"",-SUMIFS(对接源_01水果筐数!$D$5:$D$304,对接源_01水果筐数!$B$5:$B$304,$B213,对接源_01水果筐数!$C$5:$C$304,基础资料!$B$5))</f>
        <v/>
      </c>
      <c r="AC213" s="67" t="str">
        <f>IF(OR($B213="",基础资料!$B$6=""),"",-SUMIFS(对接源_01水果筐数!$D$5:$D$304,对接源_01水果筐数!$B$5:$B$304,$B213,对接源_01水果筐数!$C$5:$C$304,基础资料!$B$6))</f>
        <v/>
      </c>
      <c r="AD213" s="67" t="str">
        <f>IF(OR($B213="",基础资料!$B$7=""),"",-SUMIFS(对接源_01水果筐数!$D$5:$D$304,对接源_01水果筐数!$B$5:$B$304,$B213,对接源_01水果筐数!$C$5:$C$304,基础资料!$B$7))</f>
        <v/>
      </c>
      <c r="AE213" s="67" t="str">
        <f>IF(OR($B213="",基础资料!$B$8=""),"",-SUMIFS(对接源_01水果筐数!$D$5:$D$304,对接源_01水果筐数!$B$5:$B$304,$B213,对接源_01水果筐数!$C$5:$C$304,基础资料!$B$8))</f>
        <v/>
      </c>
      <c r="AF213" s="25" t="str">
        <f>IF(OR($B213="",基础资料!$B$4=""),"",SUMIFS(对接源_01水果筐数!$E$5:$E$304,对接源_01水果筐数!$B$5:$B$304,$B213,对接源_01水果筐数!$C$5:$C$304,基础资料!$B$4))</f>
        <v/>
      </c>
      <c r="AG213" s="25" t="str">
        <f>IF(OR($B213="",基础资料!$B$5=""),"",SUMIFS(对接源_01水果筐数!$E$5:$E$304,对接源_01水果筐数!$B$5:$B$304,$B213,对接源_01水果筐数!$C$5:$C$304,基础资料!$B$5))</f>
        <v/>
      </c>
      <c r="AH213" s="25" t="str">
        <f>IF(OR($B213="",基础资料!$B$6=""),"",SUMIFS(对接源_01水果筐数!$E$5:$E$304,对接源_01水果筐数!$B$5:$B$304,$B213,对接源_01水果筐数!$C$5:$C$304,基础资料!$B$6))</f>
        <v/>
      </c>
      <c r="AI213" s="25" t="str">
        <f>IF(OR($B213="",基础资料!$B$7=""),"",SUMIFS(对接源_01水果筐数!$E$5:$E$304,对接源_01水果筐数!$B$5:$B$304,$B213,对接源_01水果筐数!$C$5:$C$304,基础资料!$B$7))</f>
        <v/>
      </c>
      <c r="AJ213" s="25" t="str">
        <f>IF(OR($B213="",基础资料!$B$8=""),"",SUMIFS(对接源_01水果筐数!$E$5:$E$304,对接源_01水果筐数!$B$5:$B$304,$B213,对接源_01水果筐数!$C$5:$C$304,基础资料!$B$8))</f>
        <v/>
      </c>
      <c r="AK213" s="25" t="str">
        <f>IF(OR($B213="",基础资料!$B$4=""),"",SUMIFS(对接源_01水果筐数!$F$5:$F$304,对接源_01水果筐数!$B$5:$B$304,$B213,对接源_01水果筐数!$C$5:$C$304,基础资料!$B$4))</f>
        <v/>
      </c>
      <c r="AL213" s="25" t="str">
        <f>IF(OR($B213="",基础资料!$B$5=""),"",SUMIFS(对接源_01水果筐数!$F$5:$F$304,对接源_01水果筐数!$B$5:$B$304,$B213,对接源_01水果筐数!$C$5:$C$304,基础资料!$B$5))</f>
        <v/>
      </c>
      <c r="AM213" s="25" t="str">
        <f>IF(OR($B213="",基础资料!$B$6=""),"",SUMIFS(对接源_01水果筐数!$F$5:$F$304,对接源_01水果筐数!$B$5:$B$304,$B213,对接源_01水果筐数!$C$5:$C$304,基础资料!$B$6))</f>
        <v/>
      </c>
      <c r="AN213" s="25" t="str">
        <f>IF(OR($B213="",基础资料!$B$7=""),"",SUMIFS(对接源_01水果筐数!$F$5:$F$304,对接源_01水果筐数!$B$5:$B$304,$B213,对接源_01水果筐数!$C$5:$C$304,基础资料!$B$7))</f>
        <v/>
      </c>
      <c r="AO213" s="25" t="str">
        <f>IF(OR($B213="",基础资料!$B$8=""),"",SUMIFS(对接源_01水果筐数!$F$5:$F$304,对接源_01水果筐数!$B$5:$B$304,$B213,对接源_01水果筐数!$C$5:$C$304,基础资料!$B$8))</f>
        <v/>
      </c>
      <c r="AP213" s="25" t="str">
        <f t="shared" si="41"/>
        <v/>
      </c>
      <c r="AQ213" s="25" t="str">
        <f t="shared" si="42"/>
        <v/>
      </c>
      <c r="AR213" s="25" t="str">
        <f t="shared" si="43"/>
        <v/>
      </c>
      <c r="AS213" s="25" t="str">
        <f t="shared" si="44"/>
        <v/>
      </c>
      <c r="AT213" s="25" t="str">
        <f t="shared" si="45"/>
        <v/>
      </c>
      <c r="AU213" s="25" t="str">
        <f t="shared" si="46"/>
        <v/>
      </c>
      <c r="AV213" s="24" t="str">
        <f t="shared" si="47"/>
        <v/>
      </c>
      <c r="AW213" s="72"/>
    </row>
    <row r="214" spans="1:49">
      <c r="A214" s="22" t="str">
        <f t="shared" si="36"/>
        <v/>
      </c>
      <c r="B214" s="24" t="str">
        <f>IFERROR(INDEX(_自动清单!$CC$4:$CC$253,ROW()-3),"")</f>
        <v/>
      </c>
      <c r="C214" s="25" t="str">
        <f>IF(OR($B214="",基础资料!$B$4=""),"",SUMIFS(周转筐出入库明细!$J$4:$J$2004,周转筐出入库明细!$C$4:$C$2004,$B214,周转筐出入库明细!$D$4:$D$2004,基础资料!$B$4,周转筐出入库明细!$B$4:$B$2004,"&gt;="&amp;$BC$1,周转筐出入库明细!$B$4:$B$2004,"&lt;="&amp;$BC$2))</f>
        <v/>
      </c>
      <c r="D214" s="25" t="str">
        <f>IF(OR($B214="",基础资料!$B$5=""),"",SUMIFS(周转筐出入库明细!$J$4:$J$2004,周转筐出入库明细!$C$4:$C$2004,$B214,周转筐出入库明细!$D$4:$D$2004,基础资料!$B$5,周转筐出入库明细!$B$4:$B$2004,"&gt;="&amp;$BC$1,周转筐出入库明细!$B$4:$B$2004,"&lt;="&amp;$BC$2))</f>
        <v/>
      </c>
      <c r="E214" s="25" t="str">
        <f>IF(OR($B214="",基础资料!$B$6=""),"",SUMIFS(周转筐出入库明细!$J$4:$J$2004,周转筐出入库明细!$C$4:$C$2004,$B214,周转筐出入库明细!$D$4:$D$2004,基础资料!$B$6,周转筐出入库明细!$B$4:$B$2004,"&gt;="&amp;$BC$1,周转筐出入库明细!$B$4:$B$2004,"&lt;="&amp;$BC$2))</f>
        <v/>
      </c>
      <c r="F214" s="25" t="str">
        <f>IF(OR($B214="",基础资料!$B$7=""),"",SUMIFS(周转筐出入库明细!$J$4:$J$2004,周转筐出入库明细!$C$4:$C$2004,$B214,周转筐出入库明细!$D$4:$D$2004,基础资料!$B$7,周转筐出入库明细!$B$4:$B$2004,"&gt;="&amp;$BC$1,周转筐出入库明细!$B$4:$B$2004,"&lt;="&amp;$BC$2))</f>
        <v/>
      </c>
      <c r="G214" s="25" t="str">
        <f>IF(OR($B214="",基础资料!$B$8=""),"",SUMIFS(周转筐出入库明细!$J$4:$J$2004,周转筐出入库明细!$C$4:$C$2004,$B214,周转筐出入库明细!$D$4:$D$2004,基础资料!$B$8,周转筐出入库明细!$B$4:$B$2004,"&gt;="&amp;$BC$1,周转筐出入库明细!$B$4:$B$2004,"&lt;="&amp;$BC$2))</f>
        <v/>
      </c>
      <c r="H214" s="25" t="str">
        <f t="shared" si="37"/>
        <v/>
      </c>
      <c r="I214" s="67" t="str">
        <f>IF(OR($B214="",基础资料!$B$4=""),"",-SUMIFS(周转筐出入库明细!$I$4:$I$2004,周转筐出入库明细!$C$4:$C$2004,$B214,周转筐出入库明细!$D$4:$D$2004,基础资料!$B$4,周转筐出入库明细!$B$4:$B$2004,"&gt;="&amp;$BC$1,周转筐出入库明细!$B$4:$B$2004,"&lt;="&amp;$BC$2))</f>
        <v/>
      </c>
      <c r="J214" s="67" t="str">
        <f>IF(OR($B214="",基础资料!$B$5=""),"",-SUMIFS(周转筐出入库明细!$I$4:$I$2004,周转筐出入库明细!$C$4:$C$2004,$B214,周转筐出入库明细!$D$4:$D$2004,基础资料!$B$5,周转筐出入库明细!$B$4:$B$2004,"&gt;="&amp;$BC$1,周转筐出入库明细!$B$4:$B$2004,"&lt;="&amp;$BC$2))</f>
        <v/>
      </c>
      <c r="K214" s="67" t="str">
        <f>IF(OR($B214="",基础资料!$B$6=""),"",-SUMIFS(周转筐出入库明细!$I$4:$I$2004,周转筐出入库明细!$C$4:$C$2004,$B214,周转筐出入库明细!$D$4:$D$2004,基础资料!$B$6,周转筐出入库明细!$B$4:$B$2004,"&gt;="&amp;$BC$1,周转筐出入库明细!$B$4:$B$2004,"&lt;="&amp;$BC$2))</f>
        <v/>
      </c>
      <c r="L214" s="67" t="str">
        <f>IF(OR($B214="",基础资料!$B$7=""),"",-SUMIFS(周转筐出入库明细!$I$4:$I$2004,周转筐出入库明细!$C$4:$C$2004,$B214,周转筐出入库明细!$D$4:$D$2004,基础资料!$B$7,周转筐出入库明细!$B$4:$B$2004,"&gt;="&amp;$BC$1,周转筐出入库明细!$B$4:$B$2004,"&lt;="&amp;$BC$2))</f>
        <v/>
      </c>
      <c r="M214" s="67" t="str">
        <f>IF(OR($B214="",基础资料!$B$8=""),"",-SUMIFS(周转筐出入库明细!$I$4:$I$2004,周转筐出入库明细!$C$4:$C$2004,$B214,周转筐出入库明细!$D$4:$D$2004,基础资料!$B$8,周转筐出入库明细!$B$4:$B$2004,"&gt;="&amp;$BC$1,周转筐出入库明细!$B$4:$B$2004,"&lt;="&amp;$BC$2))</f>
        <v/>
      </c>
      <c r="N214" s="67" t="str">
        <f t="shared" si="38"/>
        <v/>
      </c>
      <c r="O214" s="25" t="str">
        <f>IF(OR($B214="",基础资料!$B$4=""),"",SUMIFS(周转筐出入库明细!$H$4:$H$2004,周转筐出入库明细!$C$4:$C$2004,$B214,周转筐出入库明细!$D$4:$D$2004,基础资料!$B$4,周转筐出入库明细!$F$4:$F$2004,"采购入库",周转筐出入库明细!$B$4:$B$2004,"&gt;="&amp;$BC$1,周转筐出入库明细!$B$4:$B$2004,"&lt;="&amp;$BC$2))</f>
        <v/>
      </c>
      <c r="P214" s="25" t="str">
        <f>IF(OR($B214="",基础资料!$B$5=""),"",SUMIFS(周转筐出入库明细!$H$4:$H$2004,周转筐出入库明细!$C$4:$C$2004,$B214,周转筐出入库明细!$D$4:$D$2004,基础资料!$B$5,周转筐出入库明细!$F$4:$F$2004,"采购入库",周转筐出入库明细!$B$4:$B$2004,"&gt;="&amp;$BC$1,周转筐出入库明细!$B$4:$B$2004,"&lt;="&amp;$BC$2))</f>
        <v/>
      </c>
      <c r="Q214" s="25" t="str">
        <f>IF(OR($B214="",基础资料!$B$6=""),"",SUMIFS(周转筐出入库明细!$H$4:$H$2004,周转筐出入库明细!$C$4:$C$2004,$B214,周转筐出入库明细!$D$4:$D$2004,基础资料!$B$6,周转筐出入库明细!$F$4:$F$2004,"采购入库",周转筐出入库明细!$B$4:$B$2004,"&gt;="&amp;$BC$1,周转筐出入库明细!$B$4:$B$2004,"&lt;="&amp;$BC$2))</f>
        <v/>
      </c>
      <c r="R214" s="25" t="str">
        <f>IF(OR($B214="",基础资料!$B$7=""),"",SUMIFS(周转筐出入库明细!$H$4:$H$2004,周转筐出入库明细!$C$4:$C$2004,$B214,周转筐出入库明细!$D$4:$D$2004,基础资料!$B$7,周转筐出入库明细!$F$4:$F$2004,"采购入库",周转筐出入库明细!$B$4:$B$2004,"&gt;="&amp;$BC$1,周转筐出入库明细!$B$4:$B$2004,"&lt;="&amp;$BC$2))</f>
        <v/>
      </c>
      <c r="S214" s="25" t="str">
        <f>IF(OR($B214="",基础资料!$B$8=""),"",SUMIFS(周转筐出入库明细!$H$4:$H$2004,周转筐出入库明细!$C$4:$C$2004,$B214,周转筐出入库明细!$D$4:$D$2004,基础资料!$B$8,周转筐出入库明细!$F$4:$F$2004,"采购入库",周转筐出入库明细!$B$4:$B$2004,"&gt;="&amp;$BC$1,周转筐出入库明细!$B$4:$B$2004,"&lt;="&amp;$BC$2))</f>
        <v/>
      </c>
      <c r="T214" s="25" t="str">
        <f t="shared" si="39"/>
        <v/>
      </c>
      <c r="U214" s="25" t="str">
        <f>IF(OR($B214="",基础资料!$B$4=""),"",SUMIFS(周转筐出入库明细!$K$4:$K$2004,周转筐出入库明细!$C$4:$C$2004,$B214,周转筐出入库明细!$D$4:$D$2004,基础资料!$B$4,周转筐出入库明细!$B$4:$B$2004,"&gt;="&amp;$BC$1,周转筐出入库明细!$B$4:$B$2004,"&lt;="&amp;$BC$2))</f>
        <v/>
      </c>
      <c r="V214" s="25" t="str">
        <f>IF(OR($B214="",基础资料!$B$5=""),"",SUMIFS(周转筐出入库明细!$K$4:$K$2004,周转筐出入库明细!$C$4:$C$2004,$B214,周转筐出入库明细!$D$4:$D$2004,基础资料!$B$5,周转筐出入库明细!$B$4:$B$2004,"&gt;="&amp;$BC$1,周转筐出入库明细!$B$4:$B$2004,"&lt;="&amp;$BC$2))</f>
        <v/>
      </c>
      <c r="W214" s="25" t="str">
        <f>IF(OR($B214="",基础资料!$B$6=""),"",SUMIFS(周转筐出入库明细!$K$4:$K$2004,周转筐出入库明细!$C$4:$C$2004,$B214,周转筐出入库明细!$D$4:$D$2004,基础资料!$B$6,周转筐出入库明细!$B$4:$B$2004,"&gt;="&amp;$BC$1,周转筐出入库明细!$B$4:$B$2004,"&lt;="&amp;$BC$2))</f>
        <v/>
      </c>
      <c r="X214" s="25" t="str">
        <f>IF(OR($B214="",基础资料!$B$7=""),"",SUMIFS(周转筐出入库明细!$K$4:$K$2004,周转筐出入库明细!$C$4:$C$2004,$B214,周转筐出入库明细!$D$4:$D$2004,基础资料!$B$7,周转筐出入库明细!$B$4:$B$2004,"&gt;="&amp;$BC$1,周转筐出入库明细!$B$4:$B$2004,"&lt;="&amp;$BC$2))</f>
        <v/>
      </c>
      <c r="Y214" s="25" t="str">
        <f>IF(OR($B214="",基础资料!$B$8=""),"",SUMIFS(周转筐出入库明细!$K$4:$K$2004,周转筐出入库明细!$C$4:$C$2004,$B214,周转筐出入库明细!$D$4:$D$2004,基础资料!$B$8,周转筐出入库明细!$B$4:$B$2004,"&gt;="&amp;$BC$1,周转筐出入库明细!$B$4:$B$2004,"&lt;="&amp;$BC$2))</f>
        <v/>
      </c>
      <c r="Z214" s="25" t="str">
        <f t="shared" si="40"/>
        <v/>
      </c>
      <c r="AA214" s="67" t="str">
        <f>IF(OR($B214="",基础资料!$B$4=""),"",-SUMIFS(对接源_01水果筐数!$D$5:$D$304,对接源_01水果筐数!$B$5:$B$304,$B214,对接源_01水果筐数!$C$5:$C$304,基础资料!$B$4))</f>
        <v/>
      </c>
      <c r="AB214" s="67" t="str">
        <f>IF(OR($B214="",基础资料!$B$5=""),"",-SUMIFS(对接源_01水果筐数!$D$5:$D$304,对接源_01水果筐数!$B$5:$B$304,$B214,对接源_01水果筐数!$C$5:$C$304,基础资料!$B$5))</f>
        <v/>
      </c>
      <c r="AC214" s="67" t="str">
        <f>IF(OR($B214="",基础资料!$B$6=""),"",-SUMIFS(对接源_01水果筐数!$D$5:$D$304,对接源_01水果筐数!$B$5:$B$304,$B214,对接源_01水果筐数!$C$5:$C$304,基础资料!$B$6))</f>
        <v/>
      </c>
      <c r="AD214" s="67" t="str">
        <f>IF(OR($B214="",基础资料!$B$7=""),"",-SUMIFS(对接源_01水果筐数!$D$5:$D$304,对接源_01水果筐数!$B$5:$B$304,$B214,对接源_01水果筐数!$C$5:$C$304,基础资料!$B$7))</f>
        <v/>
      </c>
      <c r="AE214" s="67" t="str">
        <f>IF(OR($B214="",基础资料!$B$8=""),"",-SUMIFS(对接源_01水果筐数!$D$5:$D$304,对接源_01水果筐数!$B$5:$B$304,$B214,对接源_01水果筐数!$C$5:$C$304,基础资料!$B$8))</f>
        <v/>
      </c>
      <c r="AF214" s="25" t="str">
        <f>IF(OR($B214="",基础资料!$B$4=""),"",SUMIFS(对接源_01水果筐数!$E$5:$E$304,对接源_01水果筐数!$B$5:$B$304,$B214,对接源_01水果筐数!$C$5:$C$304,基础资料!$B$4))</f>
        <v/>
      </c>
      <c r="AG214" s="25" t="str">
        <f>IF(OR($B214="",基础资料!$B$5=""),"",SUMIFS(对接源_01水果筐数!$E$5:$E$304,对接源_01水果筐数!$B$5:$B$304,$B214,对接源_01水果筐数!$C$5:$C$304,基础资料!$B$5))</f>
        <v/>
      </c>
      <c r="AH214" s="25" t="str">
        <f>IF(OR($B214="",基础资料!$B$6=""),"",SUMIFS(对接源_01水果筐数!$E$5:$E$304,对接源_01水果筐数!$B$5:$B$304,$B214,对接源_01水果筐数!$C$5:$C$304,基础资料!$B$6))</f>
        <v/>
      </c>
      <c r="AI214" s="25" t="str">
        <f>IF(OR($B214="",基础资料!$B$7=""),"",SUMIFS(对接源_01水果筐数!$E$5:$E$304,对接源_01水果筐数!$B$5:$B$304,$B214,对接源_01水果筐数!$C$5:$C$304,基础资料!$B$7))</f>
        <v/>
      </c>
      <c r="AJ214" s="25" t="str">
        <f>IF(OR($B214="",基础资料!$B$8=""),"",SUMIFS(对接源_01水果筐数!$E$5:$E$304,对接源_01水果筐数!$B$5:$B$304,$B214,对接源_01水果筐数!$C$5:$C$304,基础资料!$B$8))</f>
        <v/>
      </c>
      <c r="AK214" s="25" t="str">
        <f>IF(OR($B214="",基础资料!$B$4=""),"",SUMIFS(对接源_01水果筐数!$F$5:$F$304,对接源_01水果筐数!$B$5:$B$304,$B214,对接源_01水果筐数!$C$5:$C$304,基础资料!$B$4))</f>
        <v/>
      </c>
      <c r="AL214" s="25" t="str">
        <f>IF(OR($B214="",基础资料!$B$5=""),"",SUMIFS(对接源_01水果筐数!$F$5:$F$304,对接源_01水果筐数!$B$5:$B$304,$B214,对接源_01水果筐数!$C$5:$C$304,基础资料!$B$5))</f>
        <v/>
      </c>
      <c r="AM214" s="25" t="str">
        <f>IF(OR($B214="",基础资料!$B$6=""),"",SUMIFS(对接源_01水果筐数!$F$5:$F$304,对接源_01水果筐数!$B$5:$B$304,$B214,对接源_01水果筐数!$C$5:$C$304,基础资料!$B$6))</f>
        <v/>
      </c>
      <c r="AN214" s="25" t="str">
        <f>IF(OR($B214="",基础资料!$B$7=""),"",SUMIFS(对接源_01水果筐数!$F$5:$F$304,对接源_01水果筐数!$B$5:$B$304,$B214,对接源_01水果筐数!$C$5:$C$304,基础资料!$B$7))</f>
        <v/>
      </c>
      <c r="AO214" s="25" t="str">
        <f>IF(OR($B214="",基础资料!$B$8=""),"",SUMIFS(对接源_01水果筐数!$F$5:$F$304,对接源_01水果筐数!$B$5:$B$304,$B214,对接源_01水果筐数!$C$5:$C$304,基础资料!$B$8))</f>
        <v/>
      </c>
      <c r="AP214" s="25" t="str">
        <f t="shared" si="41"/>
        <v/>
      </c>
      <c r="AQ214" s="25" t="str">
        <f t="shared" si="42"/>
        <v/>
      </c>
      <c r="AR214" s="25" t="str">
        <f t="shared" si="43"/>
        <v/>
      </c>
      <c r="AS214" s="25" t="str">
        <f t="shared" si="44"/>
        <v/>
      </c>
      <c r="AT214" s="25" t="str">
        <f t="shared" si="45"/>
        <v/>
      </c>
      <c r="AU214" s="25" t="str">
        <f t="shared" si="46"/>
        <v/>
      </c>
      <c r="AV214" s="24" t="str">
        <f t="shared" si="47"/>
        <v/>
      </c>
      <c r="AW214" s="72"/>
    </row>
    <row r="215" spans="1:49">
      <c r="A215" s="22" t="str">
        <f t="shared" si="36"/>
        <v/>
      </c>
      <c r="B215" s="24" t="str">
        <f>IFERROR(INDEX(_自动清单!$CC$4:$CC$253,ROW()-3),"")</f>
        <v/>
      </c>
      <c r="C215" s="25" t="str">
        <f>IF(OR($B215="",基础资料!$B$4=""),"",SUMIFS(周转筐出入库明细!$J$4:$J$2004,周转筐出入库明细!$C$4:$C$2004,$B215,周转筐出入库明细!$D$4:$D$2004,基础资料!$B$4,周转筐出入库明细!$B$4:$B$2004,"&gt;="&amp;$BC$1,周转筐出入库明细!$B$4:$B$2004,"&lt;="&amp;$BC$2))</f>
        <v/>
      </c>
      <c r="D215" s="25" t="str">
        <f>IF(OR($B215="",基础资料!$B$5=""),"",SUMIFS(周转筐出入库明细!$J$4:$J$2004,周转筐出入库明细!$C$4:$C$2004,$B215,周转筐出入库明细!$D$4:$D$2004,基础资料!$B$5,周转筐出入库明细!$B$4:$B$2004,"&gt;="&amp;$BC$1,周转筐出入库明细!$B$4:$B$2004,"&lt;="&amp;$BC$2))</f>
        <v/>
      </c>
      <c r="E215" s="25" t="str">
        <f>IF(OR($B215="",基础资料!$B$6=""),"",SUMIFS(周转筐出入库明细!$J$4:$J$2004,周转筐出入库明细!$C$4:$C$2004,$B215,周转筐出入库明细!$D$4:$D$2004,基础资料!$B$6,周转筐出入库明细!$B$4:$B$2004,"&gt;="&amp;$BC$1,周转筐出入库明细!$B$4:$B$2004,"&lt;="&amp;$BC$2))</f>
        <v/>
      </c>
      <c r="F215" s="25" t="str">
        <f>IF(OR($B215="",基础资料!$B$7=""),"",SUMIFS(周转筐出入库明细!$J$4:$J$2004,周转筐出入库明细!$C$4:$C$2004,$B215,周转筐出入库明细!$D$4:$D$2004,基础资料!$B$7,周转筐出入库明细!$B$4:$B$2004,"&gt;="&amp;$BC$1,周转筐出入库明细!$B$4:$B$2004,"&lt;="&amp;$BC$2))</f>
        <v/>
      </c>
      <c r="G215" s="25" t="str">
        <f>IF(OR($B215="",基础资料!$B$8=""),"",SUMIFS(周转筐出入库明细!$J$4:$J$2004,周转筐出入库明细!$C$4:$C$2004,$B215,周转筐出入库明细!$D$4:$D$2004,基础资料!$B$8,周转筐出入库明细!$B$4:$B$2004,"&gt;="&amp;$BC$1,周转筐出入库明细!$B$4:$B$2004,"&lt;="&amp;$BC$2))</f>
        <v/>
      </c>
      <c r="H215" s="25" t="str">
        <f t="shared" si="37"/>
        <v/>
      </c>
      <c r="I215" s="67" t="str">
        <f>IF(OR($B215="",基础资料!$B$4=""),"",-SUMIFS(周转筐出入库明细!$I$4:$I$2004,周转筐出入库明细!$C$4:$C$2004,$B215,周转筐出入库明细!$D$4:$D$2004,基础资料!$B$4,周转筐出入库明细!$B$4:$B$2004,"&gt;="&amp;$BC$1,周转筐出入库明细!$B$4:$B$2004,"&lt;="&amp;$BC$2))</f>
        <v/>
      </c>
      <c r="J215" s="67" t="str">
        <f>IF(OR($B215="",基础资料!$B$5=""),"",-SUMIFS(周转筐出入库明细!$I$4:$I$2004,周转筐出入库明细!$C$4:$C$2004,$B215,周转筐出入库明细!$D$4:$D$2004,基础资料!$B$5,周转筐出入库明细!$B$4:$B$2004,"&gt;="&amp;$BC$1,周转筐出入库明细!$B$4:$B$2004,"&lt;="&amp;$BC$2))</f>
        <v/>
      </c>
      <c r="K215" s="67" t="str">
        <f>IF(OR($B215="",基础资料!$B$6=""),"",-SUMIFS(周转筐出入库明细!$I$4:$I$2004,周转筐出入库明细!$C$4:$C$2004,$B215,周转筐出入库明细!$D$4:$D$2004,基础资料!$B$6,周转筐出入库明细!$B$4:$B$2004,"&gt;="&amp;$BC$1,周转筐出入库明细!$B$4:$B$2004,"&lt;="&amp;$BC$2))</f>
        <v/>
      </c>
      <c r="L215" s="67" t="str">
        <f>IF(OR($B215="",基础资料!$B$7=""),"",-SUMIFS(周转筐出入库明细!$I$4:$I$2004,周转筐出入库明细!$C$4:$C$2004,$B215,周转筐出入库明细!$D$4:$D$2004,基础资料!$B$7,周转筐出入库明细!$B$4:$B$2004,"&gt;="&amp;$BC$1,周转筐出入库明细!$B$4:$B$2004,"&lt;="&amp;$BC$2))</f>
        <v/>
      </c>
      <c r="M215" s="67" t="str">
        <f>IF(OR($B215="",基础资料!$B$8=""),"",-SUMIFS(周转筐出入库明细!$I$4:$I$2004,周转筐出入库明细!$C$4:$C$2004,$B215,周转筐出入库明细!$D$4:$D$2004,基础资料!$B$8,周转筐出入库明细!$B$4:$B$2004,"&gt;="&amp;$BC$1,周转筐出入库明细!$B$4:$B$2004,"&lt;="&amp;$BC$2))</f>
        <v/>
      </c>
      <c r="N215" s="67" t="str">
        <f t="shared" si="38"/>
        <v/>
      </c>
      <c r="O215" s="25" t="str">
        <f>IF(OR($B215="",基础资料!$B$4=""),"",SUMIFS(周转筐出入库明细!$H$4:$H$2004,周转筐出入库明细!$C$4:$C$2004,$B215,周转筐出入库明细!$D$4:$D$2004,基础资料!$B$4,周转筐出入库明细!$F$4:$F$2004,"采购入库",周转筐出入库明细!$B$4:$B$2004,"&gt;="&amp;$BC$1,周转筐出入库明细!$B$4:$B$2004,"&lt;="&amp;$BC$2))</f>
        <v/>
      </c>
      <c r="P215" s="25" t="str">
        <f>IF(OR($B215="",基础资料!$B$5=""),"",SUMIFS(周转筐出入库明细!$H$4:$H$2004,周转筐出入库明细!$C$4:$C$2004,$B215,周转筐出入库明细!$D$4:$D$2004,基础资料!$B$5,周转筐出入库明细!$F$4:$F$2004,"采购入库",周转筐出入库明细!$B$4:$B$2004,"&gt;="&amp;$BC$1,周转筐出入库明细!$B$4:$B$2004,"&lt;="&amp;$BC$2))</f>
        <v/>
      </c>
      <c r="Q215" s="25" t="str">
        <f>IF(OR($B215="",基础资料!$B$6=""),"",SUMIFS(周转筐出入库明细!$H$4:$H$2004,周转筐出入库明细!$C$4:$C$2004,$B215,周转筐出入库明细!$D$4:$D$2004,基础资料!$B$6,周转筐出入库明细!$F$4:$F$2004,"采购入库",周转筐出入库明细!$B$4:$B$2004,"&gt;="&amp;$BC$1,周转筐出入库明细!$B$4:$B$2004,"&lt;="&amp;$BC$2))</f>
        <v/>
      </c>
      <c r="R215" s="25" t="str">
        <f>IF(OR($B215="",基础资料!$B$7=""),"",SUMIFS(周转筐出入库明细!$H$4:$H$2004,周转筐出入库明细!$C$4:$C$2004,$B215,周转筐出入库明细!$D$4:$D$2004,基础资料!$B$7,周转筐出入库明细!$F$4:$F$2004,"采购入库",周转筐出入库明细!$B$4:$B$2004,"&gt;="&amp;$BC$1,周转筐出入库明细!$B$4:$B$2004,"&lt;="&amp;$BC$2))</f>
        <v/>
      </c>
      <c r="S215" s="25" t="str">
        <f>IF(OR($B215="",基础资料!$B$8=""),"",SUMIFS(周转筐出入库明细!$H$4:$H$2004,周转筐出入库明细!$C$4:$C$2004,$B215,周转筐出入库明细!$D$4:$D$2004,基础资料!$B$8,周转筐出入库明细!$F$4:$F$2004,"采购入库",周转筐出入库明细!$B$4:$B$2004,"&gt;="&amp;$BC$1,周转筐出入库明细!$B$4:$B$2004,"&lt;="&amp;$BC$2))</f>
        <v/>
      </c>
      <c r="T215" s="25" t="str">
        <f t="shared" si="39"/>
        <v/>
      </c>
      <c r="U215" s="25" t="str">
        <f>IF(OR($B215="",基础资料!$B$4=""),"",SUMIFS(周转筐出入库明细!$K$4:$K$2004,周转筐出入库明细!$C$4:$C$2004,$B215,周转筐出入库明细!$D$4:$D$2004,基础资料!$B$4,周转筐出入库明细!$B$4:$B$2004,"&gt;="&amp;$BC$1,周转筐出入库明细!$B$4:$B$2004,"&lt;="&amp;$BC$2))</f>
        <v/>
      </c>
      <c r="V215" s="25" t="str">
        <f>IF(OR($B215="",基础资料!$B$5=""),"",SUMIFS(周转筐出入库明细!$K$4:$K$2004,周转筐出入库明细!$C$4:$C$2004,$B215,周转筐出入库明细!$D$4:$D$2004,基础资料!$B$5,周转筐出入库明细!$B$4:$B$2004,"&gt;="&amp;$BC$1,周转筐出入库明细!$B$4:$B$2004,"&lt;="&amp;$BC$2))</f>
        <v/>
      </c>
      <c r="W215" s="25" t="str">
        <f>IF(OR($B215="",基础资料!$B$6=""),"",SUMIFS(周转筐出入库明细!$K$4:$K$2004,周转筐出入库明细!$C$4:$C$2004,$B215,周转筐出入库明细!$D$4:$D$2004,基础资料!$B$6,周转筐出入库明细!$B$4:$B$2004,"&gt;="&amp;$BC$1,周转筐出入库明细!$B$4:$B$2004,"&lt;="&amp;$BC$2))</f>
        <v/>
      </c>
      <c r="X215" s="25" t="str">
        <f>IF(OR($B215="",基础资料!$B$7=""),"",SUMIFS(周转筐出入库明细!$K$4:$K$2004,周转筐出入库明细!$C$4:$C$2004,$B215,周转筐出入库明细!$D$4:$D$2004,基础资料!$B$7,周转筐出入库明细!$B$4:$B$2004,"&gt;="&amp;$BC$1,周转筐出入库明细!$B$4:$B$2004,"&lt;="&amp;$BC$2))</f>
        <v/>
      </c>
      <c r="Y215" s="25" t="str">
        <f>IF(OR($B215="",基础资料!$B$8=""),"",SUMIFS(周转筐出入库明细!$K$4:$K$2004,周转筐出入库明细!$C$4:$C$2004,$B215,周转筐出入库明细!$D$4:$D$2004,基础资料!$B$8,周转筐出入库明细!$B$4:$B$2004,"&gt;="&amp;$BC$1,周转筐出入库明细!$B$4:$B$2004,"&lt;="&amp;$BC$2))</f>
        <v/>
      </c>
      <c r="Z215" s="25" t="str">
        <f t="shared" si="40"/>
        <v/>
      </c>
      <c r="AA215" s="67" t="str">
        <f>IF(OR($B215="",基础资料!$B$4=""),"",-SUMIFS(对接源_01水果筐数!$D$5:$D$304,对接源_01水果筐数!$B$5:$B$304,$B215,对接源_01水果筐数!$C$5:$C$304,基础资料!$B$4))</f>
        <v/>
      </c>
      <c r="AB215" s="67" t="str">
        <f>IF(OR($B215="",基础资料!$B$5=""),"",-SUMIFS(对接源_01水果筐数!$D$5:$D$304,对接源_01水果筐数!$B$5:$B$304,$B215,对接源_01水果筐数!$C$5:$C$304,基础资料!$B$5))</f>
        <v/>
      </c>
      <c r="AC215" s="67" t="str">
        <f>IF(OR($B215="",基础资料!$B$6=""),"",-SUMIFS(对接源_01水果筐数!$D$5:$D$304,对接源_01水果筐数!$B$5:$B$304,$B215,对接源_01水果筐数!$C$5:$C$304,基础资料!$B$6))</f>
        <v/>
      </c>
      <c r="AD215" s="67" t="str">
        <f>IF(OR($B215="",基础资料!$B$7=""),"",-SUMIFS(对接源_01水果筐数!$D$5:$D$304,对接源_01水果筐数!$B$5:$B$304,$B215,对接源_01水果筐数!$C$5:$C$304,基础资料!$B$7))</f>
        <v/>
      </c>
      <c r="AE215" s="67" t="str">
        <f>IF(OR($B215="",基础资料!$B$8=""),"",-SUMIFS(对接源_01水果筐数!$D$5:$D$304,对接源_01水果筐数!$B$5:$B$304,$B215,对接源_01水果筐数!$C$5:$C$304,基础资料!$B$8))</f>
        <v/>
      </c>
      <c r="AF215" s="25" t="str">
        <f>IF(OR($B215="",基础资料!$B$4=""),"",SUMIFS(对接源_01水果筐数!$E$5:$E$304,对接源_01水果筐数!$B$5:$B$304,$B215,对接源_01水果筐数!$C$5:$C$304,基础资料!$B$4))</f>
        <v/>
      </c>
      <c r="AG215" s="25" t="str">
        <f>IF(OR($B215="",基础资料!$B$5=""),"",SUMIFS(对接源_01水果筐数!$E$5:$E$304,对接源_01水果筐数!$B$5:$B$304,$B215,对接源_01水果筐数!$C$5:$C$304,基础资料!$B$5))</f>
        <v/>
      </c>
      <c r="AH215" s="25" t="str">
        <f>IF(OR($B215="",基础资料!$B$6=""),"",SUMIFS(对接源_01水果筐数!$E$5:$E$304,对接源_01水果筐数!$B$5:$B$304,$B215,对接源_01水果筐数!$C$5:$C$304,基础资料!$B$6))</f>
        <v/>
      </c>
      <c r="AI215" s="25" t="str">
        <f>IF(OR($B215="",基础资料!$B$7=""),"",SUMIFS(对接源_01水果筐数!$E$5:$E$304,对接源_01水果筐数!$B$5:$B$304,$B215,对接源_01水果筐数!$C$5:$C$304,基础资料!$B$7))</f>
        <v/>
      </c>
      <c r="AJ215" s="25" t="str">
        <f>IF(OR($B215="",基础资料!$B$8=""),"",SUMIFS(对接源_01水果筐数!$E$5:$E$304,对接源_01水果筐数!$B$5:$B$304,$B215,对接源_01水果筐数!$C$5:$C$304,基础资料!$B$8))</f>
        <v/>
      </c>
      <c r="AK215" s="25" t="str">
        <f>IF(OR($B215="",基础资料!$B$4=""),"",SUMIFS(对接源_01水果筐数!$F$5:$F$304,对接源_01水果筐数!$B$5:$B$304,$B215,对接源_01水果筐数!$C$5:$C$304,基础资料!$B$4))</f>
        <v/>
      </c>
      <c r="AL215" s="25" t="str">
        <f>IF(OR($B215="",基础资料!$B$5=""),"",SUMIFS(对接源_01水果筐数!$F$5:$F$304,对接源_01水果筐数!$B$5:$B$304,$B215,对接源_01水果筐数!$C$5:$C$304,基础资料!$B$5))</f>
        <v/>
      </c>
      <c r="AM215" s="25" t="str">
        <f>IF(OR($B215="",基础资料!$B$6=""),"",SUMIFS(对接源_01水果筐数!$F$5:$F$304,对接源_01水果筐数!$B$5:$B$304,$B215,对接源_01水果筐数!$C$5:$C$304,基础资料!$B$6))</f>
        <v/>
      </c>
      <c r="AN215" s="25" t="str">
        <f>IF(OR($B215="",基础资料!$B$7=""),"",SUMIFS(对接源_01水果筐数!$F$5:$F$304,对接源_01水果筐数!$B$5:$B$304,$B215,对接源_01水果筐数!$C$5:$C$304,基础资料!$B$7))</f>
        <v/>
      </c>
      <c r="AO215" s="25" t="str">
        <f>IF(OR($B215="",基础资料!$B$8=""),"",SUMIFS(对接源_01水果筐数!$F$5:$F$304,对接源_01水果筐数!$B$5:$B$304,$B215,对接源_01水果筐数!$C$5:$C$304,基础资料!$B$8))</f>
        <v/>
      </c>
      <c r="AP215" s="25" t="str">
        <f t="shared" si="41"/>
        <v/>
      </c>
      <c r="AQ215" s="25" t="str">
        <f t="shared" si="42"/>
        <v/>
      </c>
      <c r="AR215" s="25" t="str">
        <f t="shared" si="43"/>
        <v/>
      </c>
      <c r="AS215" s="25" t="str">
        <f t="shared" si="44"/>
        <v/>
      </c>
      <c r="AT215" s="25" t="str">
        <f t="shared" si="45"/>
        <v/>
      </c>
      <c r="AU215" s="25" t="str">
        <f t="shared" si="46"/>
        <v/>
      </c>
      <c r="AV215" s="24" t="str">
        <f t="shared" si="47"/>
        <v/>
      </c>
      <c r="AW215" s="72"/>
    </row>
    <row r="216" spans="1:49">
      <c r="A216" s="22" t="str">
        <f t="shared" si="36"/>
        <v/>
      </c>
      <c r="B216" s="24" t="str">
        <f>IFERROR(INDEX(_自动清单!$CC$4:$CC$253,ROW()-3),"")</f>
        <v/>
      </c>
      <c r="C216" s="25" t="str">
        <f>IF(OR($B216="",基础资料!$B$4=""),"",SUMIFS(周转筐出入库明细!$J$4:$J$2004,周转筐出入库明细!$C$4:$C$2004,$B216,周转筐出入库明细!$D$4:$D$2004,基础资料!$B$4,周转筐出入库明细!$B$4:$B$2004,"&gt;="&amp;$BC$1,周转筐出入库明细!$B$4:$B$2004,"&lt;="&amp;$BC$2))</f>
        <v/>
      </c>
      <c r="D216" s="25" t="str">
        <f>IF(OR($B216="",基础资料!$B$5=""),"",SUMIFS(周转筐出入库明细!$J$4:$J$2004,周转筐出入库明细!$C$4:$C$2004,$B216,周转筐出入库明细!$D$4:$D$2004,基础资料!$B$5,周转筐出入库明细!$B$4:$B$2004,"&gt;="&amp;$BC$1,周转筐出入库明细!$B$4:$B$2004,"&lt;="&amp;$BC$2))</f>
        <v/>
      </c>
      <c r="E216" s="25" t="str">
        <f>IF(OR($B216="",基础资料!$B$6=""),"",SUMIFS(周转筐出入库明细!$J$4:$J$2004,周转筐出入库明细!$C$4:$C$2004,$B216,周转筐出入库明细!$D$4:$D$2004,基础资料!$B$6,周转筐出入库明细!$B$4:$B$2004,"&gt;="&amp;$BC$1,周转筐出入库明细!$B$4:$B$2004,"&lt;="&amp;$BC$2))</f>
        <v/>
      </c>
      <c r="F216" s="25" t="str">
        <f>IF(OR($B216="",基础资料!$B$7=""),"",SUMIFS(周转筐出入库明细!$J$4:$J$2004,周转筐出入库明细!$C$4:$C$2004,$B216,周转筐出入库明细!$D$4:$D$2004,基础资料!$B$7,周转筐出入库明细!$B$4:$B$2004,"&gt;="&amp;$BC$1,周转筐出入库明细!$B$4:$B$2004,"&lt;="&amp;$BC$2))</f>
        <v/>
      </c>
      <c r="G216" s="25" t="str">
        <f>IF(OR($B216="",基础资料!$B$8=""),"",SUMIFS(周转筐出入库明细!$J$4:$J$2004,周转筐出入库明细!$C$4:$C$2004,$B216,周转筐出入库明细!$D$4:$D$2004,基础资料!$B$8,周转筐出入库明细!$B$4:$B$2004,"&gt;="&amp;$BC$1,周转筐出入库明细!$B$4:$B$2004,"&lt;="&amp;$BC$2))</f>
        <v/>
      </c>
      <c r="H216" s="25" t="str">
        <f t="shared" si="37"/>
        <v/>
      </c>
      <c r="I216" s="67" t="str">
        <f>IF(OR($B216="",基础资料!$B$4=""),"",-SUMIFS(周转筐出入库明细!$I$4:$I$2004,周转筐出入库明细!$C$4:$C$2004,$B216,周转筐出入库明细!$D$4:$D$2004,基础资料!$B$4,周转筐出入库明细!$B$4:$B$2004,"&gt;="&amp;$BC$1,周转筐出入库明细!$B$4:$B$2004,"&lt;="&amp;$BC$2))</f>
        <v/>
      </c>
      <c r="J216" s="67" t="str">
        <f>IF(OR($B216="",基础资料!$B$5=""),"",-SUMIFS(周转筐出入库明细!$I$4:$I$2004,周转筐出入库明细!$C$4:$C$2004,$B216,周转筐出入库明细!$D$4:$D$2004,基础资料!$B$5,周转筐出入库明细!$B$4:$B$2004,"&gt;="&amp;$BC$1,周转筐出入库明细!$B$4:$B$2004,"&lt;="&amp;$BC$2))</f>
        <v/>
      </c>
      <c r="K216" s="67" t="str">
        <f>IF(OR($B216="",基础资料!$B$6=""),"",-SUMIFS(周转筐出入库明细!$I$4:$I$2004,周转筐出入库明细!$C$4:$C$2004,$B216,周转筐出入库明细!$D$4:$D$2004,基础资料!$B$6,周转筐出入库明细!$B$4:$B$2004,"&gt;="&amp;$BC$1,周转筐出入库明细!$B$4:$B$2004,"&lt;="&amp;$BC$2))</f>
        <v/>
      </c>
      <c r="L216" s="67" t="str">
        <f>IF(OR($B216="",基础资料!$B$7=""),"",-SUMIFS(周转筐出入库明细!$I$4:$I$2004,周转筐出入库明细!$C$4:$C$2004,$B216,周转筐出入库明细!$D$4:$D$2004,基础资料!$B$7,周转筐出入库明细!$B$4:$B$2004,"&gt;="&amp;$BC$1,周转筐出入库明细!$B$4:$B$2004,"&lt;="&amp;$BC$2))</f>
        <v/>
      </c>
      <c r="M216" s="67" t="str">
        <f>IF(OR($B216="",基础资料!$B$8=""),"",-SUMIFS(周转筐出入库明细!$I$4:$I$2004,周转筐出入库明细!$C$4:$C$2004,$B216,周转筐出入库明细!$D$4:$D$2004,基础资料!$B$8,周转筐出入库明细!$B$4:$B$2004,"&gt;="&amp;$BC$1,周转筐出入库明细!$B$4:$B$2004,"&lt;="&amp;$BC$2))</f>
        <v/>
      </c>
      <c r="N216" s="67" t="str">
        <f t="shared" si="38"/>
        <v/>
      </c>
      <c r="O216" s="25" t="str">
        <f>IF(OR($B216="",基础资料!$B$4=""),"",SUMIFS(周转筐出入库明细!$H$4:$H$2004,周转筐出入库明细!$C$4:$C$2004,$B216,周转筐出入库明细!$D$4:$D$2004,基础资料!$B$4,周转筐出入库明细!$F$4:$F$2004,"采购入库",周转筐出入库明细!$B$4:$B$2004,"&gt;="&amp;$BC$1,周转筐出入库明细!$B$4:$B$2004,"&lt;="&amp;$BC$2))</f>
        <v/>
      </c>
      <c r="P216" s="25" t="str">
        <f>IF(OR($B216="",基础资料!$B$5=""),"",SUMIFS(周转筐出入库明细!$H$4:$H$2004,周转筐出入库明细!$C$4:$C$2004,$B216,周转筐出入库明细!$D$4:$D$2004,基础资料!$B$5,周转筐出入库明细!$F$4:$F$2004,"采购入库",周转筐出入库明细!$B$4:$B$2004,"&gt;="&amp;$BC$1,周转筐出入库明细!$B$4:$B$2004,"&lt;="&amp;$BC$2))</f>
        <v/>
      </c>
      <c r="Q216" s="25" t="str">
        <f>IF(OR($B216="",基础资料!$B$6=""),"",SUMIFS(周转筐出入库明细!$H$4:$H$2004,周转筐出入库明细!$C$4:$C$2004,$B216,周转筐出入库明细!$D$4:$D$2004,基础资料!$B$6,周转筐出入库明细!$F$4:$F$2004,"采购入库",周转筐出入库明细!$B$4:$B$2004,"&gt;="&amp;$BC$1,周转筐出入库明细!$B$4:$B$2004,"&lt;="&amp;$BC$2))</f>
        <v/>
      </c>
      <c r="R216" s="25" t="str">
        <f>IF(OR($B216="",基础资料!$B$7=""),"",SUMIFS(周转筐出入库明细!$H$4:$H$2004,周转筐出入库明细!$C$4:$C$2004,$B216,周转筐出入库明细!$D$4:$D$2004,基础资料!$B$7,周转筐出入库明细!$F$4:$F$2004,"采购入库",周转筐出入库明细!$B$4:$B$2004,"&gt;="&amp;$BC$1,周转筐出入库明细!$B$4:$B$2004,"&lt;="&amp;$BC$2))</f>
        <v/>
      </c>
      <c r="S216" s="25" t="str">
        <f>IF(OR($B216="",基础资料!$B$8=""),"",SUMIFS(周转筐出入库明细!$H$4:$H$2004,周转筐出入库明细!$C$4:$C$2004,$B216,周转筐出入库明细!$D$4:$D$2004,基础资料!$B$8,周转筐出入库明细!$F$4:$F$2004,"采购入库",周转筐出入库明细!$B$4:$B$2004,"&gt;="&amp;$BC$1,周转筐出入库明细!$B$4:$B$2004,"&lt;="&amp;$BC$2))</f>
        <v/>
      </c>
      <c r="T216" s="25" t="str">
        <f t="shared" si="39"/>
        <v/>
      </c>
      <c r="U216" s="25" t="str">
        <f>IF(OR($B216="",基础资料!$B$4=""),"",SUMIFS(周转筐出入库明细!$K$4:$K$2004,周转筐出入库明细!$C$4:$C$2004,$B216,周转筐出入库明细!$D$4:$D$2004,基础资料!$B$4,周转筐出入库明细!$B$4:$B$2004,"&gt;="&amp;$BC$1,周转筐出入库明细!$B$4:$B$2004,"&lt;="&amp;$BC$2))</f>
        <v/>
      </c>
      <c r="V216" s="25" t="str">
        <f>IF(OR($B216="",基础资料!$B$5=""),"",SUMIFS(周转筐出入库明细!$K$4:$K$2004,周转筐出入库明细!$C$4:$C$2004,$B216,周转筐出入库明细!$D$4:$D$2004,基础资料!$B$5,周转筐出入库明细!$B$4:$B$2004,"&gt;="&amp;$BC$1,周转筐出入库明细!$B$4:$B$2004,"&lt;="&amp;$BC$2))</f>
        <v/>
      </c>
      <c r="W216" s="25" t="str">
        <f>IF(OR($B216="",基础资料!$B$6=""),"",SUMIFS(周转筐出入库明细!$K$4:$K$2004,周转筐出入库明细!$C$4:$C$2004,$B216,周转筐出入库明细!$D$4:$D$2004,基础资料!$B$6,周转筐出入库明细!$B$4:$B$2004,"&gt;="&amp;$BC$1,周转筐出入库明细!$B$4:$B$2004,"&lt;="&amp;$BC$2))</f>
        <v/>
      </c>
      <c r="X216" s="25" t="str">
        <f>IF(OR($B216="",基础资料!$B$7=""),"",SUMIFS(周转筐出入库明细!$K$4:$K$2004,周转筐出入库明细!$C$4:$C$2004,$B216,周转筐出入库明细!$D$4:$D$2004,基础资料!$B$7,周转筐出入库明细!$B$4:$B$2004,"&gt;="&amp;$BC$1,周转筐出入库明细!$B$4:$B$2004,"&lt;="&amp;$BC$2))</f>
        <v/>
      </c>
      <c r="Y216" s="25" t="str">
        <f>IF(OR($B216="",基础资料!$B$8=""),"",SUMIFS(周转筐出入库明细!$K$4:$K$2004,周转筐出入库明细!$C$4:$C$2004,$B216,周转筐出入库明细!$D$4:$D$2004,基础资料!$B$8,周转筐出入库明细!$B$4:$B$2004,"&gt;="&amp;$BC$1,周转筐出入库明细!$B$4:$B$2004,"&lt;="&amp;$BC$2))</f>
        <v/>
      </c>
      <c r="Z216" s="25" t="str">
        <f t="shared" si="40"/>
        <v/>
      </c>
      <c r="AA216" s="67" t="str">
        <f>IF(OR($B216="",基础资料!$B$4=""),"",-SUMIFS(对接源_01水果筐数!$D$5:$D$304,对接源_01水果筐数!$B$5:$B$304,$B216,对接源_01水果筐数!$C$5:$C$304,基础资料!$B$4))</f>
        <v/>
      </c>
      <c r="AB216" s="67" t="str">
        <f>IF(OR($B216="",基础资料!$B$5=""),"",-SUMIFS(对接源_01水果筐数!$D$5:$D$304,对接源_01水果筐数!$B$5:$B$304,$B216,对接源_01水果筐数!$C$5:$C$304,基础资料!$B$5))</f>
        <v/>
      </c>
      <c r="AC216" s="67" t="str">
        <f>IF(OR($B216="",基础资料!$B$6=""),"",-SUMIFS(对接源_01水果筐数!$D$5:$D$304,对接源_01水果筐数!$B$5:$B$304,$B216,对接源_01水果筐数!$C$5:$C$304,基础资料!$B$6))</f>
        <v/>
      </c>
      <c r="AD216" s="67" t="str">
        <f>IF(OR($B216="",基础资料!$B$7=""),"",-SUMIFS(对接源_01水果筐数!$D$5:$D$304,对接源_01水果筐数!$B$5:$B$304,$B216,对接源_01水果筐数!$C$5:$C$304,基础资料!$B$7))</f>
        <v/>
      </c>
      <c r="AE216" s="67" t="str">
        <f>IF(OR($B216="",基础资料!$B$8=""),"",-SUMIFS(对接源_01水果筐数!$D$5:$D$304,对接源_01水果筐数!$B$5:$B$304,$B216,对接源_01水果筐数!$C$5:$C$304,基础资料!$B$8))</f>
        <v/>
      </c>
      <c r="AF216" s="25" t="str">
        <f>IF(OR($B216="",基础资料!$B$4=""),"",SUMIFS(对接源_01水果筐数!$E$5:$E$304,对接源_01水果筐数!$B$5:$B$304,$B216,对接源_01水果筐数!$C$5:$C$304,基础资料!$B$4))</f>
        <v/>
      </c>
      <c r="AG216" s="25" t="str">
        <f>IF(OR($B216="",基础资料!$B$5=""),"",SUMIFS(对接源_01水果筐数!$E$5:$E$304,对接源_01水果筐数!$B$5:$B$304,$B216,对接源_01水果筐数!$C$5:$C$304,基础资料!$B$5))</f>
        <v/>
      </c>
      <c r="AH216" s="25" t="str">
        <f>IF(OR($B216="",基础资料!$B$6=""),"",SUMIFS(对接源_01水果筐数!$E$5:$E$304,对接源_01水果筐数!$B$5:$B$304,$B216,对接源_01水果筐数!$C$5:$C$304,基础资料!$B$6))</f>
        <v/>
      </c>
      <c r="AI216" s="25" t="str">
        <f>IF(OR($B216="",基础资料!$B$7=""),"",SUMIFS(对接源_01水果筐数!$E$5:$E$304,对接源_01水果筐数!$B$5:$B$304,$B216,对接源_01水果筐数!$C$5:$C$304,基础资料!$B$7))</f>
        <v/>
      </c>
      <c r="AJ216" s="25" t="str">
        <f>IF(OR($B216="",基础资料!$B$8=""),"",SUMIFS(对接源_01水果筐数!$E$5:$E$304,对接源_01水果筐数!$B$5:$B$304,$B216,对接源_01水果筐数!$C$5:$C$304,基础资料!$B$8))</f>
        <v/>
      </c>
      <c r="AK216" s="25" t="str">
        <f>IF(OR($B216="",基础资料!$B$4=""),"",SUMIFS(对接源_01水果筐数!$F$5:$F$304,对接源_01水果筐数!$B$5:$B$304,$B216,对接源_01水果筐数!$C$5:$C$304,基础资料!$B$4))</f>
        <v/>
      </c>
      <c r="AL216" s="25" t="str">
        <f>IF(OR($B216="",基础资料!$B$5=""),"",SUMIFS(对接源_01水果筐数!$F$5:$F$304,对接源_01水果筐数!$B$5:$B$304,$B216,对接源_01水果筐数!$C$5:$C$304,基础资料!$B$5))</f>
        <v/>
      </c>
      <c r="AM216" s="25" t="str">
        <f>IF(OR($B216="",基础资料!$B$6=""),"",SUMIFS(对接源_01水果筐数!$F$5:$F$304,对接源_01水果筐数!$B$5:$B$304,$B216,对接源_01水果筐数!$C$5:$C$304,基础资料!$B$6))</f>
        <v/>
      </c>
      <c r="AN216" s="25" t="str">
        <f>IF(OR($B216="",基础资料!$B$7=""),"",SUMIFS(对接源_01水果筐数!$F$5:$F$304,对接源_01水果筐数!$B$5:$B$304,$B216,对接源_01水果筐数!$C$5:$C$304,基础资料!$B$7))</f>
        <v/>
      </c>
      <c r="AO216" s="25" t="str">
        <f>IF(OR($B216="",基础资料!$B$8=""),"",SUMIFS(对接源_01水果筐数!$F$5:$F$304,对接源_01水果筐数!$B$5:$B$304,$B216,对接源_01水果筐数!$C$5:$C$304,基础资料!$B$8))</f>
        <v/>
      </c>
      <c r="AP216" s="25" t="str">
        <f t="shared" si="41"/>
        <v/>
      </c>
      <c r="AQ216" s="25" t="str">
        <f t="shared" si="42"/>
        <v/>
      </c>
      <c r="AR216" s="25" t="str">
        <f t="shared" si="43"/>
        <v/>
      </c>
      <c r="AS216" s="25" t="str">
        <f t="shared" si="44"/>
        <v/>
      </c>
      <c r="AT216" s="25" t="str">
        <f t="shared" si="45"/>
        <v/>
      </c>
      <c r="AU216" s="25" t="str">
        <f t="shared" si="46"/>
        <v/>
      </c>
      <c r="AV216" s="24" t="str">
        <f t="shared" si="47"/>
        <v/>
      </c>
      <c r="AW216" s="72"/>
    </row>
    <row r="217" spans="1:49">
      <c r="A217" s="22" t="str">
        <f t="shared" si="36"/>
        <v/>
      </c>
      <c r="B217" s="24" t="str">
        <f>IFERROR(INDEX(_自动清单!$CC$4:$CC$253,ROW()-3),"")</f>
        <v/>
      </c>
      <c r="C217" s="25" t="str">
        <f>IF(OR($B217="",基础资料!$B$4=""),"",SUMIFS(周转筐出入库明细!$J$4:$J$2004,周转筐出入库明细!$C$4:$C$2004,$B217,周转筐出入库明细!$D$4:$D$2004,基础资料!$B$4,周转筐出入库明细!$B$4:$B$2004,"&gt;="&amp;$BC$1,周转筐出入库明细!$B$4:$B$2004,"&lt;="&amp;$BC$2))</f>
        <v/>
      </c>
      <c r="D217" s="25" t="str">
        <f>IF(OR($B217="",基础资料!$B$5=""),"",SUMIFS(周转筐出入库明细!$J$4:$J$2004,周转筐出入库明细!$C$4:$C$2004,$B217,周转筐出入库明细!$D$4:$D$2004,基础资料!$B$5,周转筐出入库明细!$B$4:$B$2004,"&gt;="&amp;$BC$1,周转筐出入库明细!$B$4:$B$2004,"&lt;="&amp;$BC$2))</f>
        <v/>
      </c>
      <c r="E217" s="25" t="str">
        <f>IF(OR($B217="",基础资料!$B$6=""),"",SUMIFS(周转筐出入库明细!$J$4:$J$2004,周转筐出入库明细!$C$4:$C$2004,$B217,周转筐出入库明细!$D$4:$D$2004,基础资料!$B$6,周转筐出入库明细!$B$4:$B$2004,"&gt;="&amp;$BC$1,周转筐出入库明细!$B$4:$B$2004,"&lt;="&amp;$BC$2))</f>
        <v/>
      </c>
      <c r="F217" s="25" t="str">
        <f>IF(OR($B217="",基础资料!$B$7=""),"",SUMIFS(周转筐出入库明细!$J$4:$J$2004,周转筐出入库明细!$C$4:$C$2004,$B217,周转筐出入库明细!$D$4:$D$2004,基础资料!$B$7,周转筐出入库明细!$B$4:$B$2004,"&gt;="&amp;$BC$1,周转筐出入库明细!$B$4:$B$2004,"&lt;="&amp;$BC$2))</f>
        <v/>
      </c>
      <c r="G217" s="25" t="str">
        <f>IF(OR($B217="",基础资料!$B$8=""),"",SUMIFS(周转筐出入库明细!$J$4:$J$2004,周转筐出入库明细!$C$4:$C$2004,$B217,周转筐出入库明细!$D$4:$D$2004,基础资料!$B$8,周转筐出入库明细!$B$4:$B$2004,"&gt;="&amp;$BC$1,周转筐出入库明细!$B$4:$B$2004,"&lt;="&amp;$BC$2))</f>
        <v/>
      </c>
      <c r="H217" s="25" t="str">
        <f t="shared" si="37"/>
        <v/>
      </c>
      <c r="I217" s="67" t="str">
        <f>IF(OR($B217="",基础资料!$B$4=""),"",-SUMIFS(周转筐出入库明细!$I$4:$I$2004,周转筐出入库明细!$C$4:$C$2004,$B217,周转筐出入库明细!$D$4:$D$2004,基础资料!$B$4,周转筐出入库明细!$B$4:$B$2004,"&gt;="&amp;$BC$1,周转筐出入库明细!$B$4:$B$2004,"&lt;="&amp;$BC$2))</f>
        <v/>
      </c>
      <c r="J217" s="67" t="str">
        <f>IF(OR($B217="",基础资料!$B$5=""),"",-SUMIFS(周转筐出入库明细!$I$4:$I$2004,周转筐出入库明细!$C$4:$C$2004,$B217,周转筐出入库明细!$D$4:$D$2004,基础资料!$B$5,周转筐出入库明细!$B$4:$B$2004,"&gt;="&amp;$BC$1,周转筐出入库明细!$B$4:$B$2004,"&lt;="&amp;$BC$2))</f>
        <v/>
      </c>
      <c r="K217" s="67" t="str">
        <f>IF(OR($B217="",基础资料!$B$6=""),"",-SUMIFS(周转筐出入库明细!$I$4:$I$2004,周转筐出入库明细!$C$4:$C$2004,$B217,周转筐出入库明细!$D$4:$D$2004,基础资料!$B$6,周转筐出入库明细!$B$4:$B$2004,"&gt;="&amp;$BC$1,周转筐出入库明细!$B$4:$B$2004,"&lt;="&amp;$BC$2))</f>
        <v/>
      </c>
      <c r="L217" s="67" t="str">
        <f>IF(OR($B217="",基础资料!$B$7=""),"",-SUMIFS(周转筐出入库明细!$I$4:$I$2004,周转筐出入库明细!$C$4:$C$2004,$B217,周转筐出入库明细!$D$4:$D$2004,基础资料!$B$7,周转筐出入库明细!$B$4:$B$2004,"&gt;="&amp;$BC$1,周转筐出入库明细!$B$4:$B$2004,"&lt;="&amp;$BC$2))</f>
        <v/>
      </c>
      <c r="M217" s="67" t="str">
        <f>IF(OR($B217="",基础资料!$B$8=""),"",-SUMIFS(周转筐出入库明细!$I$4:$I$2004,周转筐出入库明细!$C$4:$C$2004,$B217,周转筐出入库明细!$D$4:$D$2004,基础资料!$B$8,周转筐出入库明细!$B$4:$B$2004,"&gt;="&amp;$BC$1,周转筐出入库明细!$B$4:$B$2004,"&lt;="&amp;$BC$2))</f>
        <v/>
      </c>
      <c r="N217" s="67" t="str">
        <f t="shared" si="38"/>
        <v/>
      </c>
      <c r="O217" s="25" t="str">
        <f>IF(OR($B217="",基础资料!$B$4=""),"",SUMIFS(周转筐出入库明细!$H$4:$H$2004,周转筐出入库明细!$C$4:$C$2004,$B217,周转筐出入库明细!$D$4:$D$2004,基础资料!$B$4,周转筐出入库明细!$F$4:$F$2004,"采购入库",周转筐出入库明细!$B$4:$B$2004,"&gt;="&amp;$BC$1,周转筐出入库明细!$B$4:$B$2004,"&lt;="&amp;$BC$2))</f>
        <v/>
      </c>
      <c r="P217" s="25" t="str">
        <f>IF(OR($B217="",基础资料!$B$5=""),"",SUMIFS(周转筐出入库明细!$H$4:$H$2004,周转筐出入库明细!$C$4:$C$2004,$B217,周转筐出入库明细!$D$4:$D$2004,基础资料!$B$5,周转筐出入库明细!$F$4:$F$2004,"采购入库",周转筐出入库明细!$B$4:$B$2004,"&gt;="&amp;$BC$1,周转筐出入库明细!$B$4:$B$2004,"&lt;="&amp;$BC$2))</f>
        <v/>
      </c>
      <c r="Q217" s="25" t="str">
        <f>IF(OR($B217="",基础资料!$B$6=""),"",SUMIFS(周转筐出入库明细!$H$4:$H$2004,周转筐出入库明细!$C$4:$C$2004,$B217,周转筐出入库明细!$D$4:$D$2004,基础资料!$B$6,周转筐出入库明细!$F$4:$F$2004,"采购入库",周转筐出入库明细!$B$4:$B$2004,"&gt;="&amp;$BC$1,周转筐出入库明细!$B$4:$B$2004,"&lt;="&amp;$BC$2))</f>
        <v/>
      </c>
      <c r="R217" s="25" t="str">
        <f>IF(OR($B217="",基础资料!$B$7=""),"",SUMIFS(周转筐出入库明细!$H$4:$H$2004,周转筐出入库明细!$C$4:$C$2004,$B217,周转筐出入库明细!$D$4:$D$2004,基础资料!$B$7,周转筐出入库明细!$F$4:$F$2004,"采购入库",周转筐出入库明细!$B$4:$B$2004,"&gt;="&amp;$BC$1,周转筐出入库明细!$B$4:$B$2004,"&lt;="&amp;$BC$2))</f>
        <v/>
      </c>
      <c r="S217" s="25" t="str">
        <f>IF(OR($B217="",基础资料!$B$8=""),"",SUMIFS(周转筐出入库明细!$H$4:$H$2004,周转筐出入库明细!$C$4:$C$2004,$B217,周转筐出入库明细!$D$4:$D$2004,基础资料!$B$8,周转筐出入库明细!$F$4:$F$2004,"采购入库",周转筐出入库明细!$B$4:$B$2004,"&gt;="&amp;$BC$1,周转筐出入库明细!$B$4:$B$2004,"&lt;="&amp;$BC$2))</f>
        <v/>
      </c>
      <c r="T217" s="25" t="str">
        <f t="shared" si="39"/>
        <v/>
      </c>
      <c r="U217" s="25" t="str">
        <f>IF(OR($B217="",基础资料!$B$4=""),"",SUMIFS(周转筐出入库明细!$K$4:$K$2004,周转筐出入库明细!$C$4:$C$2004,$B217,周转筐出入库明细!$D$4:$D$2004,基础资料!$B$4,周转筐出入库明细!$B$4:$B$2004,"&gt;="&amp;$BC$1,周转筐出入库明细!$B$4:$B$2004,"&lt;="&amp;$BC$2))</f>
        <v/>
      </c>
      <c r="V217" s="25" t="str">
        <f>IF(OR($B217="",基础资料!$B$5=""),"",SUMIFS(周转筐出入库明细!$K$4:$K$2004,周转筐出入库明细!$C$4:$C$2004,$B217,周转筐出入库明细!$D$4:$D$2004,基础资料!$B$5,周转筐出入库明细!$B$4:$B$2004,"&gt;="&amp;$BC$1,周转筐出入库明细!$B$4:$B$2004,"&lt;="&amp;$BC$2))</f>
        <v/>
      </c>
      <c r="W217" s="25" t="str">
        <f>IF(OR($B217="",基础资料!$B$6=""),"",SUMIFS(周转筐出入库明细!$K$4:$K$2004,周转筐出入库明细!$C$4:$C$2004,$B217,周转筐出入库明细!$D$4:$D$2004,基础资料!$B$6,周转筐出入库明细!$B$4:$B$2004,"&gt;="&amp;$BC$1,周转筐出入库明细!$B$4:$B$2004,"&lt;="&amp;$BC$2))</f>
        <v/>
      </c>
      <c r="X217" s="25" t="str">
        <f>IF(OR($B217="",基础资料!$B$7=""),"",SUMIFS(周转筐出入库明细!$K$4:$K$2004,周转筐出入库明细!$C$4:$C$2004,$B217,周转筐出入库明细!$D$4:$D$2004,基础资料!$B$7,周转筐出入库明细!$B$4:$B$2004,"&gt;="&amp;$BC$1,周转筐出入库明细!$B$4:$B$2004,"&lt;="&amp;$BC$2))</f>
        <v/>
      </c>
      <c r="Y217" s="25" t="str">
        <f>IF(OR($B217="",基础资料!$B$8=""),"",SUMIFS(周转筐出入库明细!$K$4:$K$2004,周转筐出入库明细!$C$4:$C$2004,$B217,周转筐出入库明细!$D$4:$D$2004,基础资料!$B$8,周转筐出入库明细!$B$4:$B$2004,"&gt;="&amp;$BC$1,周转筐出入库明细!$B$4:$B$2004,"&lt;="&amp;$BC$2))</f>
        <v/>
      </c>
      <c r="Z217" s="25" t="str">
        <f t="shared" si="40"/>
        <v/>
      </c>
      <c r="AA217" s="67" t="str">
        <f>IF(OR($B217="",基础资料!$B$4=""),"",-SUMIFS(对接源_01水果筐数!$D$5:$D$304,对接源_01水果筐数!$B$5:$B$304,$B217,对接源_01水果筐数!$C$5:$C$304,基础资料!$B$4))</f>
        <v/>
      </c>
      <c r="AB217" s="67" t="str">
        <f>IF(OR($B217="",基础资料!$B$5=""),"",-SUMIFS(对接源_01水果筐数!$D$5:$D$304,对接源_01水果筐数!$B$5:$B$304,$B217,对接源_01水果筐数!$C$5:$C$304,基础资料!$B$5))</f>
        <v/>
      </c>
      <c r="AC217" s="67" t="str">
        <f>IF(OR($B217="",基础资料!$B$6=""),"",-SUMIFS(对接源_01水果筐数!$D$5:$D$304,对接源_01水果筐数!$B$5:$B$304,$B217,对接源_01水果筐数!$C$5:$C$304,基础资料!$B$6))</f>
        <v/>
      </c>
      <c r="AD217" s="67" t="str">
        <f>IF(OR($B217="",基础资料!$B$7=""),"",-SUMIFS(对接源_01水果筐数!$D$5:$D$304,对接源_01水果筐数!$B$5:$B$304,$B217,对接源_01水果筐数!$C$5:$C$304,基础资料!$B$7))</f>
        <v/>
      </c>
      <c r="AE217" s="67" t="str">
        <f>IF(OR($B217="",基础资料!$B$8=""),"",-SUMIFS(对接源_01水果筐数!$D$5:$D$304,对接源_01水果筐数!$B$5:$B$304,$B217,对接源_01水果筐数!$C$5:$C$304,基础资料!$B$8))</f>
        <v/>
      </c>
      <c r="AF217" s="25" t="str">
        <f>IF(OR($B217="",基础资料!$B$4=""),"",SUMIFS(对接源_01水果筐数!$E$5:$E$304,对接源_01水果筐数!$B$5:$B$304,$B217,对接源_01水果筐数!$C$5:$C$304,基础资料!$B$4))</f>
        <v/>
      </c>
      <c r="AG217" s="25" t="str">
        <f>IF(OR($B217="",基础资料!$B$5=""),"",SUMIFS(对接源_01水果筐数!$E$5:$E$304,对接源_01水果筐数!$B$5:$B$304,$B217,对接源_01水果筐数!$C$5:$C$304,基础资料!$B$5))</f>
        <v/>
      </c>
      <c r="AH217" s="25" t="str">
        <f>IF(OR($B217="",基础资料!$B$6=""),"",SUMIFS(对接源_01水果筐数!$E$5:$E$304,对接源_01水果筐数!$B$5:$B$304,$B217,对接源_01水果筐数!$C$5:$C$304,基础资料!$B$6))</f>
        <v/>
      </c>
      <c r="AI217" s="25" t="str">
        <f>IF(OR($B217="",基础资料!$B$7=""),"",SUMIFS(对接源_01水果筐数!$E$5:$E$304,对接源_01水果筐数!$B$5:$B$304,$B217,对接源_01水果筐数!$C$5:$C$304,基础资料!$B$7))</f>
        <v/>
      </c>
      <c r="AJ217" s="25" t="str">
        <f>IF(OR($B217="",基础资料!$B$8=""),"",SUMIFS(对接源_01水果筐数!$E$5:$E$304,对接源_01水果筐数!$B$5:$B$304,$B217,对接源_01水果筐数!$C$5:$C$304,基础资料!$B$8))</f>
        <v/>
      </c>
      <c r="AK217" s="25" t="str">
        <f>IF(OR($B217="",基础资料!$B$4=""),"",SUMIFS(对接源_01水果筐数!$F$5:$F$304,对接源_01水果筐数!$B$5:$B$304,$B217,对接源_01水果筐数!$C$5:$C$304,基础资料!$B$4))</f>
        <v/>
      </c>
      <c r="AL217" s="25" t="str">
        <f>IF(OR($B217="",基础资料!$B$5=""),"",SUMIFS(对接源_01水果筐数!$F$5:$F$304,对接源_01水果筐数!$B$5:$B$304,$B217,对接源_01水果筐数!$C$5:$C$304,基础资料!$B$5))</f>
        <v/>
      </c>
      <c r="AM217" s="25" t="str">
        <f>IF(OR($B217="",基础资料!$B$6=""),"",SUMIFS(对接源_01水果筐数!$F$5:$F$304,对接源_01水果筐数!$B$5:$B$304,$B217,对接源_01水果筐数!$C$5:$C$304,基础资料!$B$6))</f>
        <v/>
      </c>
      <c r="AN217" s="25" t="str">
        <f>IF(OR($B217="",基础资料!$B$7=""),"",SUMIFS(对接源_01水果筐数!$F$5:$F$304,对接源_01水果筐数!$B$5:$B$304,$B217,对接源_01水果筐数!$C$5:$C$304,基础资料!$B$7))</f>
        <v/>
      </c>
      <c r="AO217" s="25" t="str">
        <f>IF(OR($B217="",基础资料!$B$8=""),"",SUMIFS(对接源_01水果筐数!$F$5:$F$304,对接源_01水果筐数!$B$5:$B$304,$B217,对接源_01水果筐数!$C$5:$C$304,基础资料!$B$8))</f>
        <v/>
      </c>
      <c r="AP217" s="25" t="str">
        <f t="shared" si="41"/>
        <v/>
      </c>
      <c r="AQ217" s="25" t="str">
        <f t="shared" si="42"/>
        <v/>
      </c>
      <c r="AR217" s="25" t="str">
        <f t="shared" si="43"/>
        <v/>
      </c>
      <c r="AS217" s="25" t="str">
        <f t="shared" si="44"/>
        <v/>
      </c>
      <c r="AT217" s="25" t="str">
        <f t="shared" si="45"/>
        <v/>
      </c>
      <c r="AU217" s="25" t="str">
        <f t="shared" si="46"/>
        <v/>
      </c>
      <c r="AV217" s="24" t="str">
        <f t="shared" si="47"/>
        <v/>
      </c>
      <c r="AW217" s="72"/>
    </row>
    <row r="218" spans="1:49">
      <c r="A218" s="22" t="str">
        <f t="shared" si="36"/>
        <v/>
      </c>
      <c r="B218" s="24" t="str">
        <f>IFERROR(INDEX(_自动清单!$CC$4:$CC$253,ROW()-3),"")</f>
        <v/>
      </c>
      <c r="C218" s="25" t="str">
        <f>IF(OR($B218="",基础资料!$B$4=""),"",SUMIFS(周转筐出入库明细!$J$4:$J$2004,周转筐出入库明细!$C$4:$C$2004,$B218,周转筐出入库明细!$D$4:$D$2004,基础资料!$B$4,周转筐出入库明细!$B$4:$B$2004,"&gt;="&amp;$BC$1,周转筐出入库明细!$B$4:$B$2004,"&lt;="&amp;$BC$2))</f>
        <v/>
      </c>
      <c r="D218" s="25" t="str">
        <f>IF(OR($B218="",基础资料!$B$5=""),"",SUMIFS(周转筐出入库明细!$J$4:$J$2004,周转筐出入库明细!$C$4:$C$2004,$B218,周转筐出入库明细!$D$4:$D$2004,基础资料!$B$5,周转筐出入库明细!$B$4:$B$2004,"&gt;="&amp;$BC$1,周转筐出入库明细!$B$4:$B$2004,"&lt;="&amp;$BC$2))</f>
        <v/>
      </c>
      <c r="E218" s="25" t="str">
        <f>IF(OR($B218="",基础资料!$B$6=""),"",SUMIFS(周转筐出入库明细!$J$4:$J$2004,周转筐出入库明细!$C$4:$C$2004,$B218,周转筐出入库明细!$D$4:$D$2004,基础资料!$B$6,周转筐出入库明细!$B$4:$B$2004,"&gt;="&amp;$BC$1,周转筐出入库明细!$B$4:$B$2004,"&lt;="&amp;$BC$2))</f>
        <v/>
      </c>
      <c r="F218" s="25" t="str">
        <f>IF(OR($B218="",基础资料!$B$7=""),"",SUMIFS(周转筐出入库明细!$J$4:$J$2004,周转筐出入库明细!$C$4:$C$2004,$B218,周转筐出入库明细!$D$4:$D$2004,基础资料!$B$7,周转筐出入库明细!$B$4:$B$2004,"&gt;="&amp;$BC$1,周转筐出入库明细!$B$4:$B$2004,"&lt;="&amp;$BC$2))</f>
        <v/>
      </c>
      <c r="G218" s="25" t="str">
        <f>IF(OR($B218="",基础资料!$B$8=""),"",SUMIFS(周转筐出入库明细!$J$4:$J$2004,周转筐出入库明细!$C$4:$C$2004,$B218,周转筐出入库明细!$D$4:$D$2004,基础资料!$B$8,周转筐出入库明细!$B$4:$B$2004,"&gt;="&amp;$BC$1,周转筐出入库明细!$B$4:$B$2004,"&lt;="&amp;$BC$2))</f>
        <v/>
      </c>
      <c r="H218" s="25" t="str">
        <f t="shared" si="37"/>
        <v/>
      </c>
      <c r="I218" s="67" t="str">
        <f>IF(OR($B218="",基础资料!$B$4=""),"",-SUMIFS(周转筐出入库明细!$I$4:$I$2004,周转筐出入库明细!$C$4:$C$2004,$B218,周转筐出入库明细!$D$4:$D$2004,基础资料!$B$4,周转筐出入库明细!$B$4:$B$2004,"&gt;="&amp;$BC$1,周转筐出入库明细!$B$4:$B$2004,"&lt;="&amp;$BC$2))</f>
        <v/>
      </c>
      <c r="J218" s="67" t="str">
        <f>IF(OR($B218="",基础资料!$B$5=""),"",-SUMIFS(周转筐出入库明细!$I$4:$I$2004,周转筐出入库明细!$C$4:$C$2004,$B218,周转筐出入库明细!$D$4:$D$2004,基础资料!$B$5,周转筐出入库明细!$B$4:$B$2004,"&gt;="&amp;$BC$1,周转筐出入库明细!$B$4:$B$2004,"&lt;="&amp;$BC$2))</f>
        <v/>
      </c>
      <c r="K218" s="67" t="str">
        <f>IF(OR($B218="",基础资料!$B$6=""),"",-SUMIFS(周转筐出入库明细!$I$4:$I$2004,周转筐出入库明细!$C$4:$C$2004,$B218,周转筐出入库明细!$D$4:$D$2004,基础资料!$B$6,周转筐出入库明细!$B$4:$B$2004,"&gt;="&amp;$BC$1,周转筐出入库明细!$B$4:$B$2004,"&lt;="&amp;$BC$2))</f>
        <v/>
      </c>
      <c r="L218" s="67" t="str">
        <f>IF(OR($B218="",基础资料!$B$7=""),"",-SUMIFS(周转筐出入库明细!$I$4:$I$2004,周转筐出入库明细!$C$4:$C$2004,$B218,周转筐出入库明细!$D$4:$D$2004,基础资料!$B$7,周转筐出入库明细!$B$4:$B$2004,"&gt;="&amp;$BC$1,周转筐出入库明细!$B$4:$B$2004,"&lt;="&amp;$BC$2))</f>
        <v/>
      </c>
      <c r="M218" s="67" t="str">
        <f>IF(OR($B218="",基础资料!$B$8=""),"",-SUMIFS(周转筐出入库明细!$I$4:$I$2004,周转筐出入库明细!$C$4:$C$2004,$B218,周转筐出入库明细!$D$4:$D$2004,基础资料!$B$8,周转筐出入库明细!$B$4:$B$2004,"&gt;="&amp;$BC$1,周转筐出入库明细!$B$4:$B$2004,"&lt;="&amp;$BC$2))</f>
        <v/>
      </c>
      <c r="N218" s="67" t="str">
        <f t="shared" si="38"/>
        <v/>
      </c>
      <c r="O218" s="25" t="str">
        <f>IF(OR($B218="",基础资料!$B$4=""),"",SUMIFS(周转筐出入库明细!$H$4:$H$2004,周转筐出入库明细!$C$4:$C$2004,$B218,周转筐出入库明细!$D$4:$D$2004,基础资料!$B$4,周转筐出入库明细!$F$4:$F$2004,"采购入库",周转筐出入库明细!$B$4:$B$2004,"&gt;="&amp;$BC$1,周转筐出入库明细!$B$4:$B$2004,"&lt;="&amp;$BC$2))</f>
        <v/>
      </c>
      <c r="P218" s="25" t="str">
        <f>IF(OR($B218="",基础资料!$B$5=""),"",SUMIFS(周转筐出入库明细!$H$4:$H$2004,周转筐出入库明细!$C$4:$C$2004,$B218,周转筐出入库明细!$D$4:$D$2004,基础资料!$B$5,周转筐出入库明细!$F$4:$F$2004,"采购入库",周转筐出入库明细!$B$4:$B$2004,"&gt;="&amp;$BC$1,周转筐出入库明细!$B$4:$B$2004,"&lt;="&amp;$BC$2))</f>
        <v/>
      </c>
      <c r="Q218" s="25" t="str">
        <f>IF(OR($B218="",基础资料!$B$6=""),"",SUMIFS(周转筐出入库明细!$H$4:$H$2004,周转筐出入库明细!$C$4:$C$2004,$B218,周转筐出入库明细!$D$4:$D$2004,基础资料!$B$6,周转筐出入库明细!$F$4:$F$2004,"采购入库",周转筐出入库明细!$B$4:$B$2004,"&gt;="&amp;$BC$1,周转筐出入库明细!$B$4:$B$2004,"&lt;="&amp;$BC$2))</f>
        <v/>
      </c>
      <c r="R218" s="25" t="str">
        <f>IF(OR($B218="",基础资料!$B$7=""),"",SUMIFS(周转筐出入库明细!$H$4:$H$2004,周转筐出入库明细!$C$4:$C$2004,$B218,周转筐出入库明细!$D$4:$D$2004,基础资料!$B$7,周转筐出入库明细!$F$4:$F$2004,"采购入库",周转筐出入库明细!$B$4:$B$2004,"&gt;="&amp;$BC$1,周转筐出入库明细!$B$4:$B$2004,"&lt;="&amp;$BC$2))</f>
        <v/>
      </c>
      <c r="S218" s="25" t="str">
        <f>IF(OR($B218="",基础资料!$B$8=""),"",SUMIFS(周转筐出入库明细!$H$4:$H$2004,周转筐出入库明细!$C$4:$C$2004,$B218,周转筐出入库明细!$D$4:$D$2004,基础资料!$B$8,周转筐出入库明细!$F$4:$F$2004,"采购入库",周转筐出入库明细!$B$4:$B$2004,"&gt;="&amp;$BC$1,周转筐出入库明细!$B$4:$B$2004,"&lt;="&amp;$BC$2))</f>
        <v/>
      </c>
      <c r="T218" s="25" t="str">
        <f t="shared" si="39"/>
        <v/>
      </c>
      <c r="U218" s="25" t="str">
        <f>IF(OR($B218="",基础资料!$B$4=""),"",SUMIFS(周转筐出入库明细!$K$4:$K$2004,周转筐出入库明细!$C$4:$C$2004,$B218,周转筐出入库明细!$D$4:$D$2004,基础资料!$B$4,周转筐出入库明细!$B$4:$B$2004,"&gt;="&amp;$BC$1,周转筐出入库明细!$B$4:$B$2004,"&lt;="&amp;$BC$2))</f>
        <v/>
      </c>
      <c r="V218" s="25" t="str">
        <f>IF(OR($B218="",基础资料!$B$5=""),"",SUMIFS(周转筐出入库明细!$K$4:$K$2004,周转筐出入库明细!$C$4:$C$2004,$B218,周转筐出入库明细!$D$4:$D$2004,基础资料!$B$5,周转筐出入库明细!$B$4:$B$2004,"&gt;="&amp;$BC$1,周转筐出入库明细!$B$4:$B$2004,"&lt;="&amp;$BC$2))</f>
        <v/>
      </c>
      <c r="W218" s="25" t="str">
        <f>IF(OR($B218="",基础资料!$B$6=""),"",SUMIFS(周转筐出入库明细!$K$4:$K$2004,周转筐出入库明细!$C$4:$C$2004,$B218,周转筐出入库明细!$D$4:$D$2004,基础资料!$B$6,周转筐出入库明细!$B$4:$B$2004,"&gt;="&amp;$BC$1,周转筐出入库明细!$B$4:$B$2004,"&lt;="&amp;$BC$2))</f>
        <v/>
      </c>
      <c r="X218" s="25" t="str">
        <f>IF(OR($B218="",基础资料!$B$7=""),"",SUMIFS(周转筐出入库明细!$K$4:$K$2004,周转筐出入库明细!$C$4:$C$2004,$B218,周转筐出入库明细!$D$4:$D$2004,基础资料!$B$7,周转筐出入库明细!$B$4:$B$2004,"&gt;="&amp;$BC$1,周转筐出入库明细!$B$4:$B$2004,"&lt;="&amp;$BC$2))</f>
        <v/>
      </c>
      <c r="Y218" s="25" t="str">
        <f>IF(OR($B218="",基础资料!$B$8=""),"",SUMIFS(周转筐出入库明细!$K$4:$K$2004,周转筐出入库明细!$C$4:$C$2004,$B218,周转筐出入库明细!$D$4:$D$2004,基础资料!$B$8,周转筐出入库明细!$B$4:$B$2004,"&gt;="&amp;$BC$1,周转筐出入库明细!$B$4:$B$2004,"&lt;="&amp;$BC$2))</f>
        <v/>
      </c>
      <c r="Z218" s="25" t="str">
        <f t="shared" si="40"/>
        <v/>
      </c>
      <c r="AA218" s="67" t="str">
        <f>IF(OR($B218="",基础资料!$B$4=""),"",-SUMIFS(对接源_01水果筐数!$D$5:$D$304,对接源_01水果筐数!$B$5:$B$304,$B218,对接源_01水果筐数!$C$5:$C$304,基础资料!$B$4))</f>
        <v/>
      </c>
      <c r="AB218" s="67" t="str">
        <f>IF(OR($B218="",基础资料!$B$5=""),"",-SUMIFS(对接源_01水果筐数!$D$5:$D$304,对接源_01水果筐数!$B$5:$B$304,$B218,对接源_01水果筐数!$C$5:$C$304,基础资料!$B$5))</f>
        <v/>
      </c>
      <c r="AC218" s="67" t="str">
        <f>IF(OR($B218="",基础资料!$B$6=""),"",-SUMIFS(对接源_01水果筐数!$D$5:$D$304,对接源_01水果筐数!$B$5:$B$304,$B218,对接源_01水果筐数!$C$5:$C$304,基础资料!$B$6))</f>
        <v/>
      </c>
      <c r="AD218" s="67" t="str">
        <f>IF(OR($B218="",基础资料!$B$7=""),"",-SUMIFS(对接源_01水果筐数!$D$5:$D$304,对接源_01水果筐数!$B$5:$B$304,$B218,对接源_01水果筐数!$C$5:$C$304,基础资料!$B$7))</f>
        <v/>
      </c>
      <c r="AE218" s="67" t="str">
        <f>IF(OR($B218="",基础资料!$B$8=""),"",-SUMIFS(对接源_01水果筐数!$D$5:$D$304,对接源_01水果筐数!$B$5:$B$304,$B218,对接源_01水果筐数!$C$5:$C$304,基础资料!$B$8))</f>
        <v/>
      </c>
      <c r="AF218" s="25" t="str">
        <f>IF(OR($B218="",基础资料!$B$4=""),"",SUMIFS(对接源_01水果筐数!$E$5:$E$304,对接源_01水果筐数!$B$5:$B$304,$B218,对接源_01水果筐数!$C$5:$C$304,基础资料!$B$4))</f>
        <v/>
      </c>
      <c r="AG218" s="25" t="str">
        <f>IF(OR($B218="",基础资料!$B$5=""),"",SUMIFS(对接源_01水果筐数!$E$5:$E$304,对接源_01水果筐数!$B$5:$B$304,$B218,对接源_01水果筐数!$C$5:$C$304,基础资料!$B$5))</f>
        <v/>
      </c>
      <c r="AH218" s="25" t="str">
        <f>IF(OR($B218="",基础资料!$B$6=""),"",SUMIFS(对接源_01水果筐数!$E$5:$E$304,对接源_01水果筐数!$B$5:$B$304,$B218,对接源_01水果筐数!$C$5:$C$304,基础资料!$B$6))</f>
        <v/>
      </c>
      <c r="AI218" s="25" t="str">
        <f>IF(OR($B218="",基础资料!$B$7=""),"",SUMIFS(对接源_01水果筐数!$E$5:$E$304,对接源_01水果筐数!$B$5:$B$304,$B218,对接源_01水果筐数!$C$5:$C$304,基础资料!$B$7))</f>
        <v/>
      </c>
      <c r="AJ218" s="25" t="str">
        <f>IF(OR($B218="",基础资料!$B$8=""),"",SUMIFS(对接源_01水果筐数!$E$5:$E$304,对接源_01水果筐数!$B$5:$B$304,$B218,对接源_01水果筐数!$C$5:$C$304,基础资料!$B$8))</f>
        <v/>
      </c>
      <c r="AK218" s="25" t="str">
        <f>IF(OR($B218="",基础资料!$B$4=""),"",SUMIFS(对接源_01水果筐数!$F$5:$F$304,对接源_01水果筐数!$B$5:$B$304,$B218,对接源_01水果筐数!$C$5:$C$304,基础资料!$B$4))</f>
        <v/>
      </c>
      <c r="AL218" s="25" t="str">
        <f>IF(OR($B218="",基础资料!$B$5=""),"",SUMIFS(对接源_01水果筐数!$F$5:$F$304,对接源_01水果筐数!$B$5:$B$304,$B218,对接源_01水果筐数!$C$5:$C$304,基础资料!$B$5))</f>
        <v/>
      </c>
      <c r="AM218" s="25" t="str">
        <f>IF(OR($B218="",基础资料!$B$6=""),"",SUMIFS(对接源_01水果筐数!$F$5:$F$304,对接源_01水果筐数!$B$5:$B$304,$B218,对接源_01水果筐数!$C$5:$C$304,基础资料!$B$6))</f>
        <v/>
      </c>
      <c r="AN218" s="25" t="str">
        <f>IF(OR($B218="",基础资料!$B$7=""),"",SUMIFS(对接源_01水果筐数!$F$5:$F$304,对接源_01水果筐数!$B$5:$B$304,$B218,对接源_01水果筐数!$C$5:$C$304,基础资料!$B$7))</f>
        <v/>
      </c>
      <c r="AO218" s="25" t="str">
        <f>IF(OR($B218="",基础资料!$B$8=""),"",SUMIFS(对接源_01水果筐数!$F$5:$F$304,对接源_01水果筐数!$B$5:$B$304,$B218,对接源_01水果筐数!$C$5:$C$304,基础资料!$B$8))</f>
        <v/>
      </c>
      <c r="AP218" s="25" t="str">
        <f t="shared" si="41"/>
        <v/>
      </c>
      <c r="AQ218" s="25" t="str">
        <f t="shared" si="42"/>
        <v/>
      </c>
      <c r="AR218" s="25" t="str">
        <f t="shared" si="43"/>
        <v/>
      </c>
      <c r="AS218" s="25" t="str">
        <f t="shared" si="44"/>
        <v/>
      </c>
      <c r="AT218" s="25" t="str">
        <f t="shared" si="45"/>
        <v/>
      </c>
      <c r="AU218" s="25" t="str">
        <f t="shared" si="46"/>
        <v/>
      </c>
      <c r="AV218" s="24" t="str">
        <f t="shared" si="47"/>
        <v/>
      </c>
      <c r="AW218" s="72"/>
    </row>
    <row r="219" spans="1:49">
      <c r="A219" s="22" t="str">
        <f t="shared" si="36"/>
        <v/>
      </c>
      <c r="B219" s="24" t="str">
        <f>IFERROR(INDEX(_自动清单!$CC$4:$CC$253,ROW()-3),"")</f>
        <v/>
      </c>
      <c r="C219" s="25" t="str">
        <f>IF(OR($B219="",基础资料!$B$4=""),"",SUMIFS(周转筐出入库明细!$J$4:$J$2004,周转筐出入库明细!$C$4:$C$2004,$B219,周转筐出入库明细!$D$4:$D$2004,基础资料!$B$4,周转筐出入库明细!$B$4:$B$2004,"&gt;="&amp;$BC$1,周转筐出入库明细!$B$4:$B$2004,"&lt;="&amp;$BC$2))</f>
        <v/>
      </c>
      <c r="D219" s="25" t="str">
        <f>IF(OR($B219="",基础资料!$B$5=""),"",SUMIFS(周转筐出入库明细!$J$4:$J$2004,周转筐出入库明细!$C$4:$C$2004,$B219,周转筐出入库明细!$D$4:$D$2004,基础资料!$B$5,周转筐出入库明细!$B$4:$B$2004,"&gt;="&amp;$BC$1,周转筐出入库明细!$B$4:$B$2004,"&lt;="&amp;$BC$2))</f>
        <v/>
      </c>
      <c r="E219" s="25" t="str">
        <f>IF(OR($B219="",基础资料!$B$6=""),"",SUMIFS(周转筐出入库明细!$J$4:$J$2004,周转筐出入库明细!$C$4:$C$2004,$B219,周转筐出入库明细!$D$4:$D$2004,基础资料!$B$6,周转筐出入库明细!$B$4:$B$2004,"&gt;="&amp;$BC$1,周转筐出入库明细!$B$4:$B$2004,"&lt;="&amp;$BC$2))</f>
        <v/>
      </c>
      <c r="F219" s="25" t="str">
        <f>IF(OR($B219="",基础资料!$B$7=""),"",SUMIFS(周转筐出入库明细!$J$4:$J$2004,周转筐出入库明细!$C$4:$C$2004,$B219,周转筐出入库明细!$D$4:$D$2004,基础资料!$B$7,周转筐出入库明细!$B$4:$B$2004,"&gt;="&amp;$BC$1,周转筐出入库明细!$B$4:$B$2004,"&lt;="&amp;$BC$2))</f>
        <v/>
      </c>
      <c r="G219" s="25" t="str">
        <f>IF(OR($B219="",基础资料!$B$8=""),"",SUMIFS(周转筐出入库明细!$J$4:$J$2004,周转筐出入库明细!$C$4:$C$2004,$B219,周转筐出入库明细!$D$4:$D$2004,基础资料!$B$8,周转筐出入库明细!$B$4:$B$2004,"&gt;="&amp;$BC$1,周转筐出入库明细!$B$4:$B$2004,"&lt;="&amp;$BC$2))</f>
        <v/>
      </c>
      <c r="H219" s="25" t="str">
        <f t="shared" si="37"/>
        <v/>
      </c>
      <c r="I219" s="67" t="str">
        <f>IF(OR($B219="",基础资料!$B$4=""),"",-SUMIFS(周转筐出入库明细!$I$4:$I$2004,周转筐出入库明细!$C$4:$C$2004,$B219,周转筐出入库明细!$D$4:$D$2004,基础资料!$B$4,周转筐出入库明细!$B$4:$B$2004,"&gt;="&amp;$BC$1,周转筐出入库明细!$B$4:$B$2004,"&lt;="&amp;$BC$2))</f>
        <v/>
      </c>
      <c r="J219" s="67" t="str">
        <f>IF(OR($B219="",基础资料!$B$5=""),"",-SUMIFS(周转筐出入库明细!$I$4:$I$2004,周转筐出入库明细!$C$4:$C$2004,$B219,周转筐出入库明细!$D$4:$D$2004,基础资料!$B$5,周转筐出入库明细!$B$4:$B$2004,"&gt;="&amp;$BC$1,周转筐出入库明细!$B$4:$B$2004,"&lt;="&amp;$BC$2))</f>
        <v/>
      </c>
      <c r="K219" s="67" t="str">
        <f>IF(OR($B219="",基础资料!$B$6=""),"",-SUMIFS(周转筐出入库明细!$I$4:$I$2004,周转筐出入库明细!$C$4:$C$2004,$B219,周转筐出入库明细!$D$4:$D$2004,基础资料!$B$6,周转筐出入库明细!$B$4:$B$2004,"&gt;="&amp;$BC$1,周转筐出入库明细!$B$4:$B$2004,"&lt;="&amp;$BC$2))</f>
        <v/>
      </c>
      <c r="L219" s="67" t="str">
        <f>IF(OR($B219="",基础资料!$B$7=""),"",-SUMIFS(周转筐出入库明细!$I$4:$I$2004,周转筐出入库明细!$C$4:$C$2004,$B219,周转筐出入库明细!$D$4:$D$2004,基础资料!$B$7,周转筐出入库明细!$B$4:$B$2004,"&gt;="&amp;$BC$1,周转筐出入库明细!$B$4:$B$2004,"&lt;="&amp;$BC$2))</f>
        <v/>
      </c>
      <c r="M219" s="67" t="str">
        <f>IF(OR($B219="",基础资料!$B$8=""),"",-SUMIFS(周转筐出入库明细!$I$4:$I$2004,周转筐出入库明细!$C$4:$C$2004,$B219,周转筐出入库明细!$D$4:$D$2004,基础资料!$B$8,周转筐出入库明细!$B$4:$B$2004,"&gt;="&amp;$BC$1,周转筐出入库明细!$B$4:$B$2004,"&lt;="&amp;$BC$2))</f>
        <v/>
      </c>
      <c r="N219" s="67" t="str">
        <f t="shared" si="38"/>
        <v/>
      </c>
      <c r="O219" s="25" t="str">
        <f>IF(OR($B219="",基础资料!$B$4=""),"",SUMIFS(周转筐出入库明细!$H$4:$H$2004,周转筐出入库明细!$C$4:$C$2004,$B219,周转筐出入库明细!$D$4:$D$2004,基础资料!$B$4,周转筐出入库明细!$F$4:$F$2004,"采购入库",周转筐出入库明细!$B$4:$B$2004,"&gt;="&amp;$BC$1,周转筐出入库明细!$B$4:$B$2004,"&lt;="&amp;$BC$2))</f>
        <v/>
      </c>
      <c r="P219" s="25" t="str">
        <f>IF(OR($B219="",基础资料!$B$5=""),"",SUMIFS(周转筐出入库明细!$H$4:$H$2004,周转筐出入库明细!$C$4:$C$2004,$B219,周转筐出入库明细!$D$4:$D$2004,基础资料!$B$5,周转筐出入库明细!$F$4:$F$2004,"采购入库",周转筐出入库明细!$B$4:$B$2004,"&gt;="&amp;$BC$1,周转筐出入库明细!$B$4:$B$2004,"&lt;="&amp;$BC$2))</f>
        <v/>
      </c>
      <c r="Q219" s="25" t="str">
        <f>IF(OR($B219="",基础资料!$B$6=""),"",SUMIFS(周转筐出入库明细!$H$4:$H$2004,周转筐出入库明细!$C$4:$C$2004,$B219,周转筐出入库明细!$D$4:$D$2004,基础资料!$B$6,周转筐出入库明细!$F$4:$F$2004,"采购入库",周转筐出入库明细!$B$4:$B$2004,"&gt;="&amp;$BC$1,周转筐出入库明细!$B$4:$B$2004,"&lt;="&amp;$BC$2))</f>
        <v/>
      </c>
      <c r="R219" s="25" t="str">
        <f>IF(OR($B219="",基础资料!$B$7=""),"",SUMIFS(周转筐出入库明细!$H$4:$H$2004,周转筐出入库明细!$C$4:$C$2004,$B219,周转筐出入库明细!$D$4:$D$2004,基础资料!$B$7,周转筐出入库明细!$F$4:$F$2004,"采购入库",周转筐出入库明细!$B$4:$B$2004,"&gt;="&amp;$BC$1,周转筐出入库明细!$B$4:$B$2004,"&lt;="&amp;$BC$2))</f>
        <v/>
      </c>
      <c r="S219" s="25" t="str">
        <f>IF(OR($B219="",基础资料!$B$8=""),"",SUMIFS(周转筐出入库明细!$H$4:$H$2004,周转筐出入库明细!$C$4:$C$2004,$B219,周转筐出入库明细!$D$4:$D$2004,基础资料!$B$8,周转筐出入库明细!$F$4:$F$2004,"采购入库",周转筐出入库明细!$B$4:$B$2004,"&gt;="&amp;$BC$1,周转筐出入库明细!$B$4:$B$2004,"&lt;="&amp;$BC$2))</f>
        <v/>
      </c>
      <c r="T219" s="25" t="str">
        <f t="shared" si="39"/>
        <v/>
      </c>
      <c r="U219" s="25" t="str">
        <f>IF(OR($B219="",基础资料!$B$4=""),"",SUMIFS(周转筐出入库明细!$K$4:$K$2004,周转筐出入库明细!$C$4:$C$2004,$B219,周转筐出入库明细!$D$4:$D$2004,基础资料!$B$4,周转筐出入库明细!$B$4:$B$2004,"&gt;="&amp;$BC$1,周转筐出入库明细!$B$4:$B$2004,"&lt;="&amp;$BC$2))</f>
        <v/>
      </c>
      <c r="V219" s="25" t="str">
        <f>IF(OR($B219="",基础资料!$B$5=""),"",SUMIFS(周转筐出入库明细!$K$4:$K$2004,周转筐出入库明细!$C$4:$C$2004,$B219,周转筐出入库明细!$D$4:$D$2004,基础资料!$B$5,周转筐出入库明细!$B$4:$B$2004,"&gt;="&amp;$BC$1,周转筐出入库明细!$B$4:$B$2004,"&lt;="&amp;$BC$2))</f>
        <v/>
      </c>
      <c r="W219" s="25" t="str">
        <f>IF(OR($B219="",基础资料!$B$6=""),"",SUMIFS(周转筐出入库明细!$K$4:$K$2004,周转筐出入库明细!$C$4:$C$2004,$B219,周转筐出入库明细!$D$4:$D$2004,基础资料!$B$6,周转筐出入库明细!$B$4:$B$2004,"&gt;="&amp;$BC$1,周转筐出入库明细!$B$4:$B$2004,"&lt;="&amp;$BC$2))</f>
        <v/>
      </c>
      <c r="X219" s="25" t="str">
        <f>IF(OR($B219="",基础资料!$B$7=""),"",SUMIFS(周转筐出入库明细!$K$4:$K$2004,周转筐出入库明细!$C$4:$C$2004,$B219,周转筐出入库明细!$D$4:$D$2004,基础资料!$B$7,周转筐出入库明细!$B$4:$B$2004,"&gt;="&amp;$BC$1,周转筐出入库明细!$B$4:$B$2004,"&lt;="&amp;$BC$2))</f>
        <v/>
      </c>
      <c r="Y219" s="25" t="str">
        <f>IF(OR($B219="",基础资料!$B$8=""),"",SUMIFS(周转筐出入库明细!$K$4:$K$2004,周转筐出入库明细!$C$4:$C$2004,$B219,周转筐出入库明细!$D$4:$D$2004,基础资料!$B$8,周转筐出入库明细!$B$4:$B$2004,"&gt;="&amp;$BC$1,周转筐出入库明细!$B$4:$B$2004,"&lt;="&amp;$BC$2))</f>
        <v/>
      </c>
      <c r="Z219" s="25" t="str">
        <f t="shared" si="40"/>
        <v/>
      </c>
      <c r="AA219" s="67" t="str">
        <f>IF(OR($B219="",基础资料!$B$4=""),"",-SUMIFS(对接源_01水果筐数!$D$5:$D$304,对接源_01水果筐数!$B$5:$B$304,$B219,对接源_01水果筐数!$C$5:$C$304,基础资料!$B$4))</f>
        <v/>
      </c>
      <c r="AB219" s="67" t="str">
        <f>IF(OR($B219="",基础资料!$B$5=""),"",-SUMIFS(对接源_01水果筐数!$D$5:$D$304,对接源_01水果筐数!$B$5:$B$304,$B219,对接源_01水果筐数!$C$5:$C$304,基础资料!$B$5))</f>
        <v/>
      </c>
      <c r="AC219" s="67" t="str">
        <f>IF(OR($B219="",基础资料!$B$6=""),"",-SUMIFS(对接源_01水果筐数!$D$5:$D$304,对接源_01水果筐数!$B$5:$B$304,$B219,对接源_01水果筐数!$C$5:$C$304,基础资料!$B$6))</f>
        <v/>
      </c>
      <c r="AD219" s="67" t="str">
        <f>IF(OR($B219="",基础资料!$B$7=""),"",-SUMIFS(对接源_01水果筐数!$D$5:$D$304,对接源_01水果筐数!$B$5:$B$304,$B219,对接源_01水果筐数!$C$5:$C$304,基础资料!$B$7))</f>
        <v/>
      </c>
      <c r="AE219" s="67" t="str">
        <f>IF(OR($B219="",基础资料!$B$8=""),"",-SUMIFS(对接源_01水果筐数!$D$5:$D$304,对接源_01水果筐数!$B$5:$B$304,$B219,对接源_01水果筐数!$C$5:$C$304,基础资料!$B$8))</f>
        <v/>
      </c>
      <c r="AF219" s="25" t="str">
        <f>IF(OR($B219="",基础资料!$B$4=""),"",SUMIFS(对接源_01水果筐数!$E$5:$E$304,对接源_01水果筐数!$B$5:$B$304,$B219,对接源_01水果筐数!$C$5:$C$304,基础资料!$B$4))</f>
        <v/>
      </c>
      <c r="AG219" s="25" t="str">
        <f>IF(OR($B219="",基础资料!$B$5=""),"",SUMIFS(对接源_01水果筐数!$E$5:$E$304,对接源_01水果筐数!$B$5:$B$304,$B219,对接源_01水果筐数!$C$5:$C$304,基础资料!$B$5))</f>
        <v/>
      </c>
      <c r="AH219" s="25" t="str">
        <f>IF(OR($B219="",基础资料!$B$6=""),"",SUMIFS(对接源_01水果筐数!$E$5:$E$304,对接源_01水果筐数!$B$5:$B$304,$B219,对接源_01水果筐数!$C$5:$C$304,基础资料!$B$6))</f>
        <v/>
      </c>
      <c r="AI219" s="25" t="str">
        <f>IF(OR($B219="",基础资料!$B$7=""),"",SUMIFS(对接源_01水果筐数!$E$5:$E$304,对接源_01水果筐数!$B$5:$B$304,$B219,对接源_01水果筐数!$C$5:$C$304,基础资料!$B$7))</f>
        <v/>
      </c>
      <c r="AJ219" s="25" t="str">
        <f>IF(OR($B219="",基础资料!$B$8=""),"",SUMIFS(对接源_01水果筐数!$E$5:$E$304,对接源_01水果筐数!$B$5:$B$304,$B219,对接源_01水果筐数!$C$5:$C$304,基础资料!$B$8))</f>
        <v/>
      </c>
      <c r="AK219" s="25" t="str">
        <f>IF(OR($B219="",基础资料!$B$4=""),"",SUMIFS(对接源_01水果筐数!$F$5:$F$304,对接源_01水果筐数!$B$5:$B$304,$B219,对接源_01水果筐数!$C$5:$C$304,基础资料!$B$4))</f>
        <v/>
      </c>
      <c r="AL219" s="25" t="str">
        <f>IF(OR($B219="",基础资料!$B$5=""),"",SUMIFS(对接源_01水果筐数!$F$5:$F$304,对接源_01水果筐数!$B$5:$B$304,$B219,对接源_01水果筐数!$C$5:$C$304,基础资料!$B$5))</f>
        <v/>
      </c>
      <c r="AM219" s="25" t="str">
        <f>IF(OR($B219="",基础资料!$B$6=""),"",SUMIFS(对接源_01水果筐数!$F$5:$F$304,对接源_01水果筐数!$B$5:$B$304,$B219,对接源_01水果筐数!$C$5:$C$304,基础资料!$B$6))</f>
        <v/>
      </c>
      <c r="AN219" s="25" t="str">
        <f>IF(OR($B219="",基础资料!$B$7=""),"",SUMIFS(对接源_01水果筐数!$F$5:$F$304,对接源_01水果筐数!$B$5:$B$304,$B219,对接源_01水果筐数!$C$5:$C$304,基础资料!$B$7))</f>
        <v/>
      </c>
      <c r="AO219" s="25" t="str">
        <f>IF(OR($B219="",基础资料!$B$8=""),"",SUMIFS(对接源_01水果筐数!$F$5:$F$304,对接源_01水果筐数!$B$5:$B$304,$B219,对接源_01水果筐数!$C$5:$C$304,基础资料!$B$8))</f>
        <v/>
      </c>
      <c r="AP219" s="25" t="str">
        <f t="shared" si="41"/>
        <v/>
      </c>
      <c r="AQ219" s="25" t="str">
        <f t="shared" si="42"/>
        <v/>
      </c>
      <c r="AR219" s="25" t="str">
        <f t="shared" si="43"/>
        <v/>
      </c>
      <c r="AS219" s="25" t="str">
        <f t="shared" si="44"/>
        <v/>
      </c>
      <c r="AT219" s="25" t="str">
        <f t="shared" si="45"/>
        <v/>
      </c>
      <c r="AU219" s="25" t="str">
        <f t="shared" si="46"/>
        <v/>
      </c>
      <c r="AV219" s="24" t="str">
        <f t="shared" si="47"/>
        <v/>
      </c>
      <c r="AW219" s="72"/>
    </row>
    <row r="220" spans="1:49">
      <c r="A220" s="22" t="str">
        <f t="shared" si="36"/>
        <v/>
      </c>
      <c r="B220" s="24" t="str">
        <f>IFERROR(INDEX(_自动清单!$CC$4:$CC$253,ROW()-3),"")</f>
        <v/>
      </c>
      <c r="C220" s="25" t="str">
        <f>IF(OR($B220="",基础资料!$B$4=""),"",SUMIFS(周转筐出入库明细!$J$4:$J$2004,周转筐出入库明细!$C$4:$C$2004,$B220,周转筐出入库明细!$D$4:$D$2004,基础资料!$B$4,周转筐出入库明细!$B$4:$B$2004,"&gt;="&amp;$BC$1,周转筐出入库明细!$B$4:$B$2004,"&lt;="&amp;$BC$2))</f>
        <v/>
      </c>
      <c r="D220" s="25" t="str">
        <f>IF(OR($B220="",基础资料!$B$5=""),"",SUMIFS(周转筐出入库明细!$J$4:$J$2004,周转筐出入库明细!$C$4:$C$2004,$B220,周转筐出入库明细!$D$4:$D$2004,基础资料!$B$5,周转筐出入库明细!$B$4:$B$2004,"&gt;="&amp;$BC$1,周转筐出入库明细!$B$4:$B$2004,"&lt;="&amp;$BC$2))</f>
        <v/>
      </c>
      <c r="E220" s="25" t="str">
        <f>IF(OR($B220="",基础资料!$B$6=""),"",SUMIFS(周转筐出入库明细!$J$4:$J$2004,周转筐出入库明细!$C$4:$C$2004,$B220,周转筐出入库明细!$D$4:$D$2004,基础资料!$B$6,周转筐出入库明细!$B$4:$B$2004,"&gt;="&amp;$BC$1,周转筐出入库明细!$B$4:$B$2004,"&lt;="&amp;$BC$2))</f>
        <v/>
      </c>
      <c r="F220" s="25" t="str">
        <f>IF(OR($B220="",基础资料!$B$7=""),"",SUMIFS(周转筐出入库明细!$J$4:$J$2004,周转筐出入库明细!$C$4:$C$2004,$B220,周转筐出入库明细!$D$4:$D$2004,基础资料!$B$7,周转筐出入库明细!$B$4:$B$2004,"&gt;="&amp;$BC$1,周转筐出入库明细!$B$4:$B$2004,"&lt;="&amp;$BC$2))</f>
        <v/>
      </c>
      <c r="G220" s="25" t="str">
        <f>IF(OR($B220="",基础资料!$B$8=""),"",SUMIFS(周转筐出入库明细!$J$4:$J$2004,周转筐出入库明细!$C$4:$C$2004,$B220,周转筐出入库明细!$D$4:$D$2004,基础资料!$B$8,周转筐出入库明细!$B$4:$B$2004,"&gt;="&amp;$BC$1,周转筐出入库明细!$B$4:$B$2004,"&lt;="&amp;$BC$2))</f>
        <v/>
      </c>
      <c r="H220" s="25" t="str">
        <f t="shared" si="37"/>
        <v/>
      </c>
      <c r="I220" s="67" t="str">
        <f>IF(OR($B220="",基础资料!$B$4=""),"",-SUMIFS(周转筐出入库明细!$I$4:$I$2004,周转筐出入库明细!$C$4:$C$2004,$B220,周转筐出入库明细!$D$4:$D$2004,基础资料!$B$4,周转筐出入库明细!$B$4:$B$2004,"&gt;="&amp;$BC$1,周转筐出入库明细!$B$4:$B$2004,"&lt;="&amp;$BC$2))</f>
        <v/>
      </c>
      <c r="J220" s="67" t="str">
        <f>IF(OR($B220="",基础资料!$B$5=""),"",-SUMIFS(周转筐出入库明细!$I$4:$I$2004,周转筐出入库明细!$C$4:$C$2004,$B220,周转筐出入库明细!$D$4:$D$2004,基础资料!$B$5,周转筐出入库明细!$B$4:$B$2004,"&gt;="&amp;$BC$1,周转筐出入库明细!$B$4:$B$2004,"&lt;="&amp;$BC$2))</f>
        <v/>
      </c>
      <c r="K220" s="67" t="str">
        <f>IF(OR($B220="",基础资料!$B$6=""),"",-SUMIFS(周转筐出入库明细!$I$4:$I$2004,周转筐出入库明细!$C$4:$C$2004,$B220,周转筐出入库明细!$D$4:$D$2004,基础资料!$B$6,周转筐出入库明细!$B$4:$B$2004,"&gt;="&amp;$BC$1,周转筐出入库明细!$B$4:$B$2004,"&lt;="&amp;$BC$2))</f>
        <v/>
      </c>
      <c r="L220" s="67" t="str">
        <f>IF(OR($B220="",基础资料!$B$7=""),"",-SUMIFS(周转筐出入库明细!$I$4:$I$2004,周转筐出入库明细!$C$4:$C$2004,$B220,周转筐出入库明细!$D$4:$D$2004,基础资料!$B$7,周转筐出入库明细!$B$4:$B$2004,"&gt;="&amp;$BC$1,周转筐出入库明细!$B$4:$B$2004,"&lt;="&amp;$BC$2))</f>
        <v/>
      </c>
      <c r="M220" s="67" t="str">
        <f>IF(OR($B220="",基础资料!$B$8=""),"",-SUMIFS(周转筐出入库明细!$I$4:$I$2004,周转筐出入库明细!$C$4:$C$2004,$B220,周转筐出入库明细!$D$4:$D$2004,基础资料!$B$8,周转筐出入库明细!$B$4:$B$2004,"&gt;="&amp;$BC$1,周转筐出入库明细!$B$4:$B$2004,"&lt;="&amp;$BC$2))</f>
        <v/>
      </c>
      <c r="N220" s="67" t="str">
        <f t="shared" si="38"/>
        <v/>
      </c>
      <c r="O220" s="25" t="str">
        <f>IF(OR($B220="",基础资料!$B$4=""),"",SUMIFS(周转筐出入库明细!$H$4:$H$2004,周转筐出入库明细!$C$4:$C$2004,$B220,周转筐出入库明细!$D$4:$D$2004,基础资料!$B$4,周转筐出入库明细!$F$4:$F$2004,"采购入库",周转筐出入库明细!$B$4:$B$2004,"&gt;="&amp;$BC$1,周转筐出入库明细!$B$4:$B$2004,"&lt;="&amp;$BC$2))</f>
        <v/>
      </c>
      <c r="P220" s="25" t="str">
        <f>IF(OR($B220="",基础资料!$B$5=""),"",SUMIFS(周转筐出入库明细!$H$4:$H$2004,周转筐出入库明细!$C$4:$C$2004,$B220,周转筐出入库明细!$D$4:$D$2004,基础资料!$B$5,周转筐出入库明细!$F$4:$F$2004,"采购入库",周转筐出入库明细!$B$4:$B$2004,"&gt;="&amp;$BC$1,周转筐出入库明细!$B$4:$B$2004,"&lt;="&amp;$BC$2))</f>
        <v/>
      </c>
      <c r="Q220" s="25" t="str">
        <f>IF(OR($B220="",基础资料!$B$6=""),"",SUMIFS(周转筐出入库明细!$H$4:$H$2004,周转筐出入库明细!$C$4:$C$2004,$B220,周转筐出入库明细!$D$4:$D$2004,基础资料!$B$6,周转筐出入库明细!$F$4:$F$2004,"采购入库",周转筐出入库明细!$B$4:$B$2004,"&gt;="&amp;$BC$1,周转筐出入库明细!$B$4:$B$2004,"&lt;="&amp;$BC$2))</f>
        <v/>
      </c>
      <c r="R220" s="25" t="str">
        <f>IF(OR($B220="",基础资料!$B$7=""),"",SUMIFS(周转筐出入库明细!$H$4:$H$2004,周转筐出入库明细!$C$4:$C$2004,$B220,周转筐出入库明细!$D$4:$D$2004,基础资料!$B$7,周转筐出入库明细!$F$4:$F$2004,"采购入库",周转筐出入库明细!$B$4:$B$2004,"&gt;="&amp;$BC$1,周转筐出入库明细!$B$4:$B$2004,"&lt;="&amp;$BC$2))</f>
        <v/>
      </c>
      <c r="S220" s="25" t="str">
        <f>IF(OR($B220="",基础资料!$B$8=""),"",SUMIFS(周转筐出入库明细!$H$4:$H$2004,周转筐出入库明细!$C$4:$C$2004,$B220,周转筐出入库明细!$D$4:$D$2004,基础资料!$B$8,周转筐出入库明细!$F$4:$F$2004,"采购入库",周转筐出入库明细!$B$4:$B$2004,"&gt;="&amp;$BC$1,周转筐出入库明细!$B$4:$B$2004,"&lt;="&amp;$BC$2))</f>
        <v/>
      </c>
      <c r="T220" s="25" t="str">
        <f t="shared" si="39"/>
        <v/>
      </c>
      <c r="U220" s="25" t="str">
        <f>IF(OR($B220="",基础资料!$B$4=""),"",SUMIFS(周转筐出入库明细!$K$4:$K$2004,周转筐出入库明细!$C$4:$C$2004,$B220,周转筐出入库明细!$D$4:$D$2004,基础资料!$B$4,周转筐出入库明细!$B$4:$B$2004,"&gt;="&amp;$BC$1,周转筐出入库明细!$B$4:$B$2004,"&lt;="&amp;$BC$2))</f>
        <v/>
      </c>
      <c r="V220" s="25" t="str">
        <f>IF(OR($B220="",基础资料!$B$5=""),"",SUMIFS(周转筐出入库明细!$K$4:$K$2004,周转筐出入库明细!$C$4:$C$2004,$B220,周转筐出入库明细!$D$4:$D$2004,基础资料!$B$5,周转筐出入库明细!$B$4:$B$2004,"&gt;="&amp;$BC$1,周转筐出入库明细!$B$4:$B$2004,"&lt;="&amp;$BC$2))</f>
        <v/>
      </c>
      <c r="W220" s="25" t="str">
        <f>IF(OR($B220="",基础资料!$B$6=""),"",SUMIFS(周转筐出入库明细!$K$4:$K$2004,周转筐出入库明细!$C$4:$C$2004,$B220,周转筐出入库明细!$D$4:$D$2004,基础资料!$B$6,周转筐出入库明细!$B$4:$B$2004,"&gt;="&amp;$BC$1,周转筐出入库明细!$B$4:$B$2004,"&lt;="&amp;$BC$2))</f>
        <v/>
      </c>
      <c r="X220" s="25" t="str">
        <f>IF(OR($B220="",基础资料!$B$7=""),"",SUMIFS(周转筐出入库明细!$K$4:$K$2004,周转筐出入库明细!$C$4:$C$2004,$B220,周转筐出入库明细!$D$4:$D$2004,基础资料!$B$7,周转筐出入库明细!$B$4:$B$2004,"&gt;="&amp;$BC$1,周转筐出入库明细!$B$4:$B$2004,"&lt;="&amp;$BC$2))</f>
        <v/>
      </c>
      <c r="Y220" s="25" t="str">
        <f>IF(OR($B220="",基础资料!$B$8=""),"",SUMIFS(周转筐出入库明细!$K$4:$K$2004,周转筐出入库明细!$C$4:$C$2004,$B220,周转筐出入库明细!$D$4:$D$2004,基础资料!$B$8,周转筐出入库明细!$B$4:$B$2004,"&gt;="&amp;$BC$1,周转筐出入库明细!$B$4:$B$2004,"&lt;="&amp;$BC$2))</f>
        <v/>
      </c>
      <c r="Z220" s="25" t="str">
        <f t="shared" si="40"/>
        <v/>
      </c>
      <c r="AA220" s="67" t="str">
        <f>IF(OR($B220="",基础资料!$B$4=""),"",-SUMIFS(对接源_01水果筐数!$D$5:$D$304,对接源_01水果筐数!$B$5:$B$304,$B220,对接源_01水果筐数!$C$5:$C$304,基础资料!$B$4))</f>
        <v/>
      </c>
      <c r="AB220" s="67" t="str">
        <f>IF(OR($B220="",基础资料!$B$5=""),"",-SUMIFS(对接源_01水果筐数!$D$5:$D$304,对接源_01水果筐数!$B$5:$B$304,$B220,对接源_01水果筐数!$C$5:$C$304,基础资料!$B$5))</f>
        <v/>
      </c>
      <c r="AC220" s="67" t="str">
        <f>IF(OR($B220="",基础资料!$B$6=""),"",-SUMIFS(对接源_01水果筐数!$D$5:$D$304,对接源_01水果筐数!$B$5:$B$304,$B220,对接源_01水果筐数!$C$5:$C$304,基础资料!$B$6))</f>
        <v/>
      </c>
      <c r="AD220" s="67" t="str">
        <f>IF(OR($B220="",基础资料!$B$7=""),"",-SUMIFS(对接源_01水果筐数!$D$5:$D$304,对接源_01水果筐数!$B$5:$B$304,$B220,对接源_01水果筐数!$C$5:$C$304,基础资料!$B$7))</f>
        <v/>
      </c>
      <c r="AE220" s="67" t="str">
        <f>IF(OR($B220="",基础资料!$B$8=""),"",-SUMIFS(对接源_01水果筐数!$D$5:$D$304,对接源_01水果筐数!$B$5:$B$304,$B220,对接源_01水果筐数!$C$5:$C$304,基础资料!$B$8))</f>
        <v/>
      </c>
      <c r="AF220" s="25" t="str">
        <f>IF(OR($B220="",基础资料!$B$4=""),"",SUMIFS(对接源_01水果筐数!$E$5:$E$304,对接源_01水果筐数!$B$5:$B$304,$B220,对接源_01水果筐数!$C$5:$C$304,基础资料!$B$4))</f>
        <v/>
      </c>
      <c r="AG220" s="25" t="str">
        <f>IF(OR($B220="",基础资料!$B$5=""),"",SUMIFS(对接源_01水果筐数!$E$5:$E$304,对接源_01水果筐数!$B$5:$B$304,$B220,对接源_01水果筐数!$C$5:$C$304,基础资料!$B$5))</f>
        <v/>
      </c>
      <c r="AH220" s="25" t="str">
        <f>IF(OR($B220="",基础资料!$B$6=""),"",SUMIFS(对接源_01水果筐数!$E$5:$E$304,对接源_01水果筐数!$B$5:$B$304,$B220,对接源_01水果筐数!$C$5:$C$304,基础资料!$B$6))</f>
        <v/>
      </c>
      <c r="AI220" s="25" t="str">
        <f>IF(OR($B220="",基础资料!$B$7=""),"",SUMIFS(对接源_01水果筐数!$E$5:$E$304,对接源_01水果筐数!$B$5:$B$304,$B220,对接源_01水果筐数!$C$5:$C$304,基础资料!$B$7))</f>
        <v/>
      </c>
      <c r="AJ220" s="25" t="str">
        <f>IF(OR($B220="",基础资料!$B$8=""),"",SUMIFS(对接源_01水果筐数!$E$5:$E$304,对接源_01水果筐数!$B$5:$B$304,$B220,对接源_01水果筐数!$C$5:$C$304,基础资料!$B$8))</f>
        <v/>
      </c>
      <c r="AK220" s="25" t="str">
        <f>IF(OR($B220="",基础资料!$B$4=""),"",SUMIFS(对接源_01水果筐数!$F$5:$F$304,对接源_01水果筐数!$B$5:$B$304,$B220,对接源_01水果筐数!$C$5:$C$304,基础资料!$B$4))</f>
        <v/>
      </c>
      <c r="AL220" s="25" t="str">
        <f>IF(OR($B220="",基础资料!$B$5=""),"",SUMIFS(对接源_01水果筐数!$F$5:$F$304,对接源_01水果筐数!$B$5:$B$304,$B220,对接源_01水果筐数!$C$5:$C$304,基础资料!$B$5))</f>
        <v/>
      </c>
      <c r="AM220" s="25" t="str">
        <f>IF(OR($B220="",基础资料!$B$6=""),"",SUMIFS(对接源_01水果筐数!$F$5:$F$304,对接源_01水果筐数!$B$5:$B$304,$B220,对接源_01水果筐数!$C$5:$C$304,基础资料!$B$6))</f>
        <v/>
      </c>
      <c r="AN220" s="25" t="str">
        <f>IF(OR($B220="",基础资料!$B$7=""),"",SUMIFS(对接源_01水果筐数!$F$5:$F$304,对接源_01水果筐数!$B$5:$B$304,$B220,对接源_01水果筐数!$C$5:$C$304,基础资料!$B$7))</f>
        <v/>
      </c>
      <c r="AO220" s="25" t="str">
        <f>IF(OR($B220="",基础资料!$B$8=""),"",SUMIFS(对接源_01水果筐数!$F$5:$F$304,对接源_01水果筐数!$B$5:$B$304,$B220,对接源_01水果筐数!$C$5:$C$304,基础资料!$B$8))</f>
        <v/>
      </c>
      <c r="AP220" s="25" t="str">
        <f t="shared" si="41"/>
        <v/>
      </c>
      <c r="AQ220" s="25" t="str">
        <f t="shared" si="42"/>
        <v/>
      </c>
      <c r="AR220" s="25" t="str">
        <f t="shared" si="43"/>
        <v/>
      </c>
      <c r="AS220" s="25" t="str">
        <f t="shared" si="44"/>
        <v/>
      </c>
      <c r="AT220" s="25" t="str">
        <f t="shared" si="45"/>
        <v/>
      </c>
      <c r="AU220" s="25" t="str">
        <f t="shared" si="46"/>
        <v/>
      </c>
      <c r="AV220" s="24" t="str">
        <f t="shared" si="47"/>
        <v/>
      </c>
      <c r="AW220" s="72"/>
    </row>
    <row r="221" spans="1:49">
      <c r="A221" s="22" t="str">
        <f t="shared" si="36"/>
        <v/>
      </c>
      <c r="B221" s="24" t="str">
        <f>IFERROR(INDEX(_自动清单!$CC$4:$CC$253,ROW()-3),"")</f>
        <v/>
      </c>
      <c r="C221" s="25" t="str">
        <f>IF(OR($B221="",基础资料!$B$4=""),"",SUMIFS(周转筐出入库明细!$J$4:$J$2004,周转筐出入库明细!$C$4:$C$2004,$B221,周转筐出入库明细!$D$4:$D$2004,基础资料!$B$4,周转筐出入库明细!$B$4:$B$2004,"&gt;="&amp;$BC$1,周转筐出入库明细!$B$4:$B$2004,"&lt;="&amp;$BC$2))</f>
        <v/>
      </c>
      <c r="D221" s="25" t="str">
        <f>IF(OR($B221="",基础资料!$B$5=""),"",SUMIFS(周转筐出入库明细!$J$4:$J$2004,周转筐出入库明细!$C$4:$C$2004,$B221,周转筐出入库明细!$D$4:$D$2004,基础资料!$B$5,周转筐出入库明细!$B$4:$B$2004,"&gt;="&amp;$BC$1,周转筐出入库明细!$B$4:$B$2004,"&lt;="&amp;$BC$2))</f>
        <v/>
      </c>
      <c r="E221" s="25" t="str">
        <f>IF(OR($B221="",基础资料!$B$6=""),"",SUMIFS(周转筐出入库明细!$J$4:$J$2004,周转筐出入库明细!$C$4:$C$2004,$B221,周转筐出入库明细!$D$4:$D$2004,基础资料!$B$6,周转筐出入库明细!$B$4:$B$2004,"&gt;="&amp;$BC$1,周转筐出入库明细!$B$4:$B$2004,"&lt;="&amp;$BC$2))</f>
        <v/>
      </c>
      <c r="F221" s="25" t="str">
        <f>IF(OR($B221="",基础资料!$B$7=""),"",SUMIFS(周转筐出入库明细!$J$4:$J$2004,周转筐出入库明细!$C$4:$C$2004,$B221,周转筐出入库明细!$D$4:$D$2004,基础资料!$B$7,周转筐出入库明细!$B$4:$B$2004,"&gt;="&amp;$BC$1,周转筐出入库明细!$B$4:$B$2004,"&lt;="&amp;$BC$2))</f>
        <v/>
      </c>
      <c r="G221" s="25" t="str">
        <f>IF(OR($B221="",基础资料!$B$8=""),"",SUMIFS(周转筐出入库明细!$J$4:$J$2004,周转筐出入库明细!$C$4:$C$2004,$B221,周转筐出入库明细!$D$4:$D$2004,基础资料!$B$8,周转筐出入库明细!$B$4:$B$2004,"&gt;="&amp;$BC$1,周转筐出入库明细!$B$4:$B$2004,"&lt;="&amp;$BC$2))</f>
        <v/>
      </c>
      <c r="H221" s="25" t="str">
        <f t="shared" si="37"/>
        <v/>
      </c>
      <c r="I221" s="67" t="str">
        <f>IF(OR($B221="",基础资料!$B$4=""),"",-SUMIFS(周转筐出入库明细!$I$4:$I$2004,周转筐出入库明细!$C$4:$C$2004,$B221,周转筐出入库明细!$D$4:$D$2004,基础资料!$B$4,周转筐出入库明细!$B$4:$B$2004,"&gt;="&amp;$BC$1,周转筐出入库明细!$B$4:$B$2004,"&lt;="&amp;$BC$2))</f>
        <v/>
      </c>
      <c r="J221" s="67" t="str">
        <f>IF(OR($B221="",基础资料!$B$5=""),"",-SUMIFS(周转筐出入库明细!$I$4:$I$2004,周转筐出入库明细!$C$4:$C$2004,$B221,周转筐出入库明细!$D$4:$D$2004,基础资料!$B$5,周转筐出入库明细!$B$4:$B$2004,"&gt;="&amp;$BC$1,周转筐出入库明细!$B$4:$B$2004,"&lt;="&amp;$BC$2))</f>
        <v/>
      </c>
      <c r="K221" s="67" t="str">
        <f>IF(OR($B221="",基础资料!$B$6=""),"",-SUMIFS(周转筐出入库明细!$I$4:$I$2004,周转筐出入库明细!$C$4:$C$2004,$B221,周转筐出入库明细!$D$4:$D$2004,基础资料!$B$6,周转筐出入库明细!$B$4:$B$2004,"&gt;="&amp;$BC$1,周转筐出入库明细!$B$4:$B$2004,"&lt;="&amp;$BC$2))</f>
        <v/>
      </c>
      <c r="L221" s="67" t="str">
        <f>IF(OR($B221="",基础资料!$B$7=""),"",-SUMIFS(周转筐出入库明细!$I$4:$I$2004,周转筐出入库明细!$C$4:$C$2004,$B221,周转筐出入库明细!$D$4:$D$2004,基础资料!$B$7,周转筐出入库明细!$B$4:$B$2004,"&gt;="&amp;$BC$1,周转筐出入库明细!$B$4:$B$2004,"&lt;="&amp;$BC$2))</f>
        <v/>
      </c>
      <c r="M221" s="67" t="str">
        <f>IF(OR($B221="",基础资料!$B$8=""),"",-SUMIFS(周转筐出入库明细!$I$4:$I$2004,周转筐出入库明细!$C$4:$C$2004,$B221,周转筐出入库明细!$D$4:$D$2004,基础资料!$B$8,周转筐出入库明细!$B$4:$B$2004,"&gt;="&amp;$BC$1,周转筐出入库明细!$B$4:$B$2004,"&lt;="&amp;$BC$2))</f>
        <v/>
      </c>
      <c r="N221" s="67" t="str">
        <f t="shared" si="38"/>
        <v/>
      </c>
      <c r="O221" s="25" t="str">
        <f>IF(OR($B221="",基础资料!$B$4=""),"",SUMIFS(周转筐出入库明细!$H$4:$H$2004,周转筐出入库明细!$C$4:$C$2004,$B221,周转筐出入库明细!$D$4:$D$2004,基础资料!$B$4,周转筐出入库明细!$F$4:$F$2004,"采购入库",周转筐出入库明细!$B$4:$B$2004,"&gt;="&amp;$BC$1,周转筐出入库明细!$B$4:$B$2004,"&lt;="&amp;$BC$2))</f>
        <v/>
      </c>
      <c r="P221" s="25" t="str">
        <f>IF(OR($B221="",基础资料!$B$5=""),"",SUMIFS(周转筐出入库明细!$H$4:$H$2004,周转筐出入库明细!$C$4:$C$2004,$B221,周转筐出入库明细!$D$4:$D$2004,基础资料!$B$5,周转筐出入库明细!$F$4:$F$2004,"采购入库",周转筐出入库明细!$B$4:$B$2004,"&gt;="&amp;$BC$1,周转筐出入库明细!$B$4:$B$2004,"&lt;="&amp;$BC$2))</f>
        <v/>
      </c>
      <c r="Q221" s="25" t="str">
        <f>IF(OR($B221="",基础资料!$B$6=""),"",SUMIFS(周转筐出入库明细!$H$4:$H$2004,周转筐出入库明细!$C$4:$C$2004,$B221,周转筐出入库明细!$D$4:$D$2004,基础资料!$B$6,周转筐出入库明细!$F$4:$F$2004,"采购入库",周转筐出入库明细!$B$4:$B$2004,"&gt;="&amp;$BC$1,周转筐出入库明细!$B$4:$B$2004,"&lt;="&amp;$BC$2))</f>
        <v/>
      </c>
      <c r="R221" s="25" t="str">
        <f>IF(OR($B221="",基础资料!$B$7=""),"",SUMIFS(周转筐出入库明细!$H$4:$H$2004,周转筐出入库明细!$C$4:$C$2004,$B221,周转筐出入库明细!$D$4:$D$2004,基础资料!$B$7,周转筐出入库明细!$F$4:$F$2004,"采购入库",周转筐出入库明细!$B$4:$B$2004,"&gt;="&amp;$BC$1,周转筐出入库明细!$B$4:$B$2004,"&lt;="&amp;$BC$2))</f>
        <v/>
      </c>
      <c r="S221" s="25" t="str">
        <f>IF(OR($B221="",基础资料!$B$8=""),"",SUMIFS(周转筐出入库明细!$H$4:$H$2004,周转筐出入库明细!$C$4:$C$2004,$B221,周转筐出入库明细!$D$4:$D$2004,基础资料!$B$8,周转筐出入库明细!$F$4:$F$2004,"采购入库",周转筐出入库明细!$B$4:$B$2004,"&gt;="&amp;$BC$1,周转筐出入库明细!$B$4:$B$2004,"&lt;="&amp;$BC$2))</f>
        <v/>
      </c>
      <c r="T221" s="25" t="str">
        <f t="shared" si="39"/>
        <v/>
      </c>
      <c r="U221" s="25" t="str">
        <f>IF(OR($B221="",基础资料!$B$4=""),"",SUMIFS(周转筐出入库明细!$K$4:$K$2004,周转筐出入库明细!$C$4:$C$2004,$B221,周转筐出入库明细!$D$4:$D$2004,基础资料!$B$4,周转筐出入库明细!$B$4:$B$2004,"&gt;="&amp;$BC$1,周转筐出入库明细!$B$4:$B$2004,"&lt;="&amp;$BC$2))</f>
        <v/>
      </c>
      <c r="V221" s="25" t="str">
        <f>IF(OR($B221="",基础资料!$B$5=""),"",SUMIFS(周转筐出入库明细!$K$4:$K$2004,周转筐出入库明细!$C$4:$C$2004,$B221,周转筐出入库明细!$D$4:$D$2004,基础资料!$B$5,周转筐出入库明细!$B$4:$B$2004,"&gt;="&amp;$BC$1,周转筐出入库明细!$B$4:$B$2004,"&lt;="&amp;$BC$2))</f>
        <v/>
      </c>
      <c r="W221" s="25" t="str">
        <f>IF(OR($B221="",基础资料!$B$6=""),"",SUMIFS(周转筐出入库明细!$K$4:$K$2004,周转筐出入库明细!$C$4:$C$2004,$B221,周转筐出入库明细!$D$4:$D$2004,基础资料!$B$6,周转筐出入库明细!$B$4:$B$2004,"&gt;="&amp;$BC$1,周转筐出入库明细!$B$4:$B$2004,"&lt;="&amp;$BC$2))</f>
        <v/>
      </c>
      <c r="X221" s="25" t="str">
        <f>IF(OR($B221="",基础资料!$B$7=""),"",SUMIFS(周转筐出入库明细!$K$4:$K$2004,周转筐出入库明细!$C$4:$C$2004,$B221,周转筐出入库明细!$D$4:$D$2004,基础资料!$B$7,周转筐出入库明细!$B$4:$B$2004,"&gt;="&amp;$BC$1,周转筐出入库明细!$B$4:$B$2004,"&lt;="&amp;$BC$2))</f>
        <v/>
      </c>
      <c r="Y221" s="25" t="str">
        <f>IF(OR($B221="",基础资料!$B$8=""),"",SUMIFS(周转筐出入库明细!$K$4:$K$2004,周转筐出入库明细!$C$4:$C$2004,$B221,周转筐出入库明细!$D$4:$D$2004,基础资料!$B$8,周转筐出入库明细!$B$4:$B$2004,"&gt;="&amp;$BC$1,周转筐出入库明细!$B$4:$B$2004,"&lt;="&amp;$BC$2))</f>
        <v/>
      </c>
      <c r="Z221" s="25" t="str">
        <f t="shared" si="40"/>
        <v/>
      </c>
      <c r="AA221" s="67" t="str">
        <f>IF(OR($B221="",基础资料!$B$4=""),"",-SUMIFS(对接源_01水果筐数!$D$5:$D$304,对接源_01水果筐数!$B$5:$B$304,$B221,对接源_01水果筐数!$C$5:$C$304,基础资料!$B$4))</f>
        <v/>
      </c>
      <c r="AB221" s="67" t="str">
        <f>IF(OR($B221="",基础资料!$B$5=""),"",-SUMIFS(对接源_01水果筐数!$D$5:$D$304,对接源_01水果筐数!$B$5:$B$304,$B221,对接源_01水果筐数!$C$5:$C$304,基础资料!$B$5))</f>
        <v/>
      </c>
      <c r="AC221" s="67" t="str">
        <f>IF(OR($B221="",基础资料!$B$6=""),"",-SUMIFS(对接源_01水果筐数!$D$5:$D$304,对接源_01水果筐数!$B$5:$B$304,$B221,对接源_01水果筐数!$C$5:$C$304,基础资料!$B$6))</f>
        <v/>
      </c>
      <c r="AD221" s="67" t="str">
        <f>IF(OR($B221="",基础资料!$B$7=""),"",-SUMIFS(对接源_01水果筐数!$D$5:$D$304,对接源_01水果筐数!$B$5:$B$304,$B221,对接源_01水果筐数!$C$5:$C$304,基础资料!$B$7))</f>
        <v/>
      </c>
      <c r="AE221" s="67" t="str">
        <f>IF(OR($B221="",基础资料!$B$8=""),"",-SUMIFS(对接源_01水果筐数!$D$5:$D$304,对接源_01水果筐数!$B$5:$B$304,$B221,对接源_01水果筐数!$C$5:$C$304,基础资料!$B$8))</f>
        <v/>
      </c>
      <c r="AF221" s="25" t="str">
        <f>IF(OR($B221="",基础资料!$B$4=""),"",SUMIFS(对接源_01水果筐数!$E$5:$E$304,对接源_01水果筐数!$B$5:$B$304,$B221,对接源_01水果筐数!$C$5:$C$304,基础资料!$B$4))</f>
        <v/>
      </c>
      <c r="AG221" s="25" t="str">
        <f>IF(OR($B221="",基础资料!$B$5=""),"",SUMIFS(对接源_01水果筐数!$E$5:$E$304,对接源_01水果筐数!$B$5:$B$304,$B221,对接源_01水果筐数!$C$5:$C$304,基础资料!$B$5))</f>
        <v/>
      </c>
      <c r="AH221" s="25" t="str">
        <f>IF(OR($B221="",基础资料!$B$6=""),"",SUMIFS(对接源_01水果筐数!$E$5:$E$304,对接源_01水果筐数!$B$5:$B$304,$B221,对接源_01水果筐数!$C$5:$C$304,基础资料!$B$6))</f>
        <v/>
      </c>
      <c r="AI221" s="25" t="str">
        <f>IF(OR($B221="",基础资料!$B$7=""),"",SUMIFS(对接源_01水果筐数!$E$5:$E$304,对接源_01水果筐数!$B$5:$B$304,$B221,对接源_01水果筐数!$C$5:$C$304,基础资料!$B$7))</f>
        <v/>
      </c>
      <c r="AJ221" s="25" t="str">
        <f>IF(OR($B221="",基础资料!$B$8=""),"",SUMIFS(对接源_01水果筐数!$E$5:$E$304,对接源_01水果筐数!$B$5:$B$304,$B221,对接源_01水果筐数!$C$5:$C$304,基础资料!$B$8))</f>
        <v/>
      </c>
      <c r="AK221" s="25" t="str">
        <f>IF(OR($B221="",基础资料!$B$4=""),"",SUMIFS(对接源_01水果筐数!$F$5:$F$304,对接源_01水果筐数!$B$5:$B$304,$B221,对接源_01水果筐数!$C$5:$C$304,基础资料!$B$4))</f>
        <v/>
      </c>
      <c r="AL221" s="25" t="str">
        <f>IF(OR($B221="",基础资料!$B$5=""),"",SUMIFS(对接源_01水果筐数!$F$5:$F$304,对接源_01水果筐数!$B$5:$B$304,$B221,对接源_01水果筐数!$C$5:$C$304,基础资料!$B$5))</f>
        <v/>
      </c>
      <c r="AM221" s="25" t="str">
        <f>IF(OR($B221="",基础资料!$B$6=""),"",SUMIFS(对接源_01水果筐数!$F$5:$F$304,对接源_01水果筐数!$B$5:$B$304,$B221,对接源_01水果筐数!$C$5:$C$304,基础资料!$B$6))</f>
        <v/>
      </c>
      <c r="AN221" s="25" t="str">
        <f>IF(OR($B221="",基础资料!$B$7=""),"",SUMIFS(对接源_01水果筐数!$F$5:$F$304,对接源_01水果筐数!$B$5:$B$304,$B221,对接源_01水果筐数!$C$5:$C$304,基础资料!$B$7))</f>
        <v/>
      </c>
      <c r="AO221" s="25" t="str">
        <f>IF(OR($B221="",基础资料!$B$8=""),"",SUMIFS(对接源_01水果筐数!$F$5:$F$304,对接源_01水果筐数!$B$5:$B$304,$B221,对接源_01水果筐数!$C$5:$C$304,基础资料!$B$8))</f>
        <v/>
      </c>
      <c r="AP221" s="25" t="str">
        <f t="shared" si="41"/>
        <v/>
      </c>
      <c r="AQ221" s="25" t="str">
        <f t="shared" si="42"/>
        <v/>
      </c>
      <c r="AR221" s="25" t="str">
        <f t="shared" si="43"/>
        <v/>
      </c>
      <c r="AS221" s="25" t="str">
        <f t="shared" si="44"/>
        <v/>
      </c>
      <c r="AT221" s="25" t="str">
        <f t="shared" si="45"/>
        <v/>
      </c>
      <c r="AU221" s="25" t="str">
        <f t="shared" si="46"/>
        <v/>
      </c>
      <c r="AV221" s="24" t="str">
        <f t="shared" si="47"/>
        <v/>
      </c>
      <c r="AW221" s="72"/>
    </row>
    <row r="222" spans="1:49">
      <c r="A222" s="22" t="str">
        <f t="shared" si="36"/>
        <v/>
      </c>
      <c r="B222" s="24" t="str">
        <f>IFERROR(INDEX(_自动清单!$CC$4:$CC$253,ROW()-3),"")</f>
        <v/>
      </c>
      <c r="C222" s="25" t="str">
        <f>IF(OR($B222="",基础资料!$B$4=""),"",SUMIFS(周转筐出入库明细!$J$4:$J$2004,周转筐出入库明细!$C$4:$C$2004,$B222,周转筐出入库明细!$D$4:$D$2004,基础资料!$B$4,周转筐出入库明细!$B$4:$B$2004,"&gt;="&amp;$BC$1,周转筐出入库明细!$B$4:$B$2004,"&lt;="&amp;$BC$2))</f>
        <v/>
      </c>
      <c r="D222" s="25" t="str">
        <f>IF(OR($B222="",基础资料!$B$5=""),"",SUMIFS(周转筐出入库明细!$J$4:$J$2004,周转筐出入库明细!$C$4:$C$2004,$B222,周转筐出入库明细!$D$4:$D$2004,基础资料!$B$5,周转筐出入库明细!$B$4:$B$2004,"&gt;="&amp;$BC$1,周转筐出入库明细!$B$4:$B$2004,"&lt;="&amp;$BC$2))</f>
        <v/>
      </c>
      <c r="E222" s="25" t="str">
        <f>IF(OR($B222="",基础资料!$B$6=""),"",SUMIFS(周转筐出入库明细!$J$4:$J$2004,周转筐出入库明细!$C$4:$C$2004,$B222,周转筐出入库明细!$D$4:$D$2004,基础资料!$B$6,周转筐出入库明细!$B$4:$B$2004,"&gt;="&amp;$BC$1,周转筐出入库明细!$B$4:$B$2004,"&lt;="&amp;$BC$2))</f>
        <v/>
      </c>
      <c r="F222" s="25" t="str">
        <f>IF(OR($B222="",基础资料!$B$7=""),"",SUMIFS(周转筐出入库明细!$J$4:$J$2004,周转筐出入库明细!$C$4:$C$2004,$B222,周转筐出入库明细!$D$4:$D$2004,基础资料!$B$7,周转筐出入库明细!$B$4:$B$2004,"&gt;="&amp;$BC$1,周转筐出入库明细!$B$4:$B$2004,"&lt;="&amp;$BC$2))</f>
        <v/>
      </c>
      <c r="G222" s="25" t="str">
        <f>IF(OR($B222="",基础资料!$B$8=""),"",SUMIFS(周转筐出入库明细!$J$4:$J$2004,周转筐出入库明细!$C$4:$C$2004,$B222,周转筐出入库明细!$D$4:$D$2004,基础资料!$B$8,周转筐出入库明细!$B$4:$B$2004,"&gt;="&amp;$BC$1,周转筐出入库明细!$B$4:$B$2004,"&lt;="&amp;$BC$2))</f>
        <v/>
      </c>
      <c r="H222" s="25" t="str">
        <f t="shared" si="37"/>
        <v/>
      </c>
      <c r="I222" s="67" t="str">
        <f>IF(OR($B222="",基础资料!$B$4=""),"",-SUMIFS(周转筐出入库明细!$I$4:$I$2004,周转筐出入库明细!$C$4:$C$2004,$B222,周转筐出入库明细!$D$4:$D$2004,基础资料!$B$4,周转筐出入库明细!$B$4:$B$2004,"&gt;="&amp;$BC$1,周转筐出入库明细!$B$4:$B$2004,"&lt;="&amp;$BC$2))</f>
        <v/>
      </c>
      <c r="J222" s="67" t="str">
        <f>IF(OR($B222="",基础资料!$B$5=""),"",-SUMIFS(周转筐出入库明细!$I$4:$I$2004,周转筐出入库明细!$C$4:$C$2004,$B222,周转筐出入库明细!$D$4:$D$2004,基础资料!$B$5,周转筐出入库明细!$B$4:$B$2004,"&gt;="&amp;$BC$1,周转筐出入库明细!$B$4:$B$2004,"&lt;="&amp;$BC$2))</f>
        <v/>
      </c>
      <c r="K222" s="67" t="str">
        <f>IF(OR($B222="",基础资料!$B$6=""),"",-SUMIFS(周转筐出入库明细!$I$4:$I$2004,周转筐出入库明细!$C$4:$C$2004,$B222,周转筐出入库明细!$D$4:$D$2004,基础资料!$B$6,周转筐出入库明细!$B$4:$B$2004,"&gt;="&amp;$BC$1,周转筐出入库明细!$B$4:$B$2004,"&lt;="&amp;$BC$2))</f>
        <v/>
      </c>
      <c r="L222" s="67" t="str">
        <f>IF(OR($B222="",基础资料!$B$7=""),"",-SUMIFS(周转筐出入库明细!$I$4:$I$2004,周转筐出入库明细!$C$4:$C$2004,$B222,周转筐出入库明细!$D$4:$D$2004,基础资料!$B$7,周转筐出入库明细!$B$4:$B$2004,"&gt;="&amp;$BC$1,周转筐出入库明细!$B$4:$B$2004,"&lt;="&amp;$BC$2))</f>
        <v/>
      </c>
      <c r="M222" s="67" t="str">
        <f>IF(OR($B222="",基础资料!$B$8=""),"",-SUMIFS(周转筐出入库明细!$I$4:$I$2004,周转筐出入库明细!$C$4:$C$2004,$B222,周转筐出入库明细!$D$4:$D$2004,基础资料!$B$8,周转筐出入库明细!$B$4:$B$2004,"&gt;="&amp;$BC$1,周转筐出入库明细!$B$4:$B$2004,"&lt;="&amp;$BC$2))</f>
        <v/>
      </c>
      <c r="N222" s="67" t="str">
        <f t="shared" si="38"/>
        <v/>
      </c>
      <c r="O222" s="25" t="str">
        <f>IF(OR($B222="",基础资料!$B$4=""),"",SUMIFS(周转筐出入库明细!$H$4:$H$2004,周转筐出入库明细!$C$4:$C$2004,$B222,周转筐出入库明细!$D$4:$D$2004,基础资料!$B$4,周转筐出入库明细!$F$4:$F$2004,"采购入库",周转筐出入库明细!$B$4:$B$2004,"&gt;="&amp;$BC$1,周转筐出入库明细!$B$4:$B$2004,"&lt;="&amp;$BC$2))</f>
        <v/>
      </c>
      <c r="P222" s="25" t="str">
        <f>IF(OR($B222="",基础资料!$B$5=""),"",SUMIFS(周转筐出入库明细!$H$4:$H$2004,周转筐出入库明细!$C$4:$C$2004,$B222,周转筐出入库明细!$D$4:$D$2004,基础资料!$B$5,周转筐出入库明细!$F$4:$F$2004,"采购入库",周转筐出入库明细!$B$4:$B$2004,"&gt;="&amp;$BC$1,周转筐出入库明细!$B$4:$B$2004,"&lt;="&amp;$BC$2))</f>
        <v/>
      </c>
      <c r="Q222" s="25" t="str">
        <f>IF(OR($B222="",基础资料!$B$6=""),"",SUMIFS(周转筐出入库明细!$H$4:$H$2004,周转筐出入库明细!$C$4:$C$2004,$B222,周转筐出入库明细!$D$4:$D$2004,基础资料!$B$6,周转筐出入库明细!$F$4:$F$2004,"采购入库",周转筐出入库明细!$B$4:$B$2004,"&gt;="&amp;$BC$1,周转筐出入库明细!$B$4:$B$2004,"&lt;="&amp;$BC$2))</f>
        <v/>
      </c>
      <c r="R222" s="25" t="str">
        <f>IF(OR($B222="",基础资料!$B$7=""),"",SUMIFS(周转筐出入库明细!$H$4:$H$2004,周转筐出入库明细!$C$4:$C$2004,$B222,周转筐出入库明细!$D$4:$D$2004,基础资料!$B$7,周转筐出入库明细!$F$4:$F$2004,"采购入库",周转筐出入库明细!$B$4:$B$2004,"&gt;="&amp;$BC$1,周转筐出入库明细!$B$4:$B$2004,"&lt;="&amp;$BC$2))</f>
        <v/>
      </c>
      <c r="S222" s="25" t="str">
        <f>IF(OR($B222="",基础资料!$B$8=""),"",SUMIFS(周转筐出入库明细!$H$4:$H$2004,周转筐出入库明细!$C$4:$C$2004,$B222,周转筐出入库明细!$D$4:$D$2004,基础资料!$B$8,周转筐出入库明细!$F$4:$F$2004,"采购入库",周转筐出入库明细!$B$4:$B$2004,"&gt;="&amp;$BC$1,周转筐出入库明细!$B$4:$B$2004,"&lt;="&amp;$BC$2))</f>
        <v/>
      </c>
      <c r="T222" s="25" t="str">
        <f t="shared" si="39"/>
        <v/>
      </c>
      <c r="U222" s="25" t="str">
        <f>IF(OR($B222="",基础资料!$B$4=""),"",SUMIFS(周转筐出入库明细!$K$4:$K$2004,周转筐出入库明细!$C$4:$C$2004,$B222,周转筐出入库明细!$D$4:$D$2004,基础资料!$B$4,周转筐出入库明细!$B$4:$B$2004,"&gt;="&amp;$BC$1,周转筐出入库明细!$B$4:$B$2004,"&lt;="&amp;$BC$2))</f>
        <v/>
      </c>
      <c r="V222" s="25" t="str">
        <f>IF(OR($B222="",基础资料!$B$5=""),"",SUMIFS(周转筐出入库明细!$K$4:$K$2004,周转筐出入库明细!$C$4:$C$2004,$B222,周转筐出入库明细!$D$4:$D$2004,基础资料!$B$5,周转筐出入库明细!$B$4:$B$2004,"&gt;="&amp;$BC$1,周转筐出入库明细!$B$4:$B$2004,"&lt;="&amp;$BC$2))</f>
        <v/>
      </c>
      <c r="W222" s="25" t="str">
        <f>IF(OR($B222="",基础资料!$B$6=""),"",SUMIFS(周转筐出入库明细!$K$4:$K$2004,周转筐出入库明细!$C$4:$C$2004,$B222,周转筐出入库明细!$D$4:$D$2004,基础资料!$B$6,周转筐出入库明细!$B$4:$B$2004,"&gt;="&amp;$BC$1,周转筐出入库明细!$B$4:$B$2004,"&lt;="&amp;$BC$2))</f>
        <v/>
      </c>
      <c r="X222" s="25" t="str">
        <f>IF(OR($B222="",基础资料!$B$7=""),"",SUMIFS(周转筐出入库明细!$K$4:$K$2004,周转筐出入库明细!$C$4:$C$2004,$B222,周转筐出入库明细!$D$4:$D$2004,基础资料!$B$7,周转筐出入库明细!$B$4:$B$2004,"&gt;="&amp;$BC$1,周转筐出入库明细!$B$4:$B$2004,"&lt;="&amp;$BC$2))</f>
        <v/>
      </c>
      <c r="Y222" s="25" t="str">
        <f>IF(OR($B222="",基础资料!$B$8=""),"",SUMIFS(周转筐出入库明细!$K$4:$K$2004,周转筐出入库明细!$C$4:$C$2004,$B222,周转筐出入库明细!$D$4:$D$2004,基础资料!$B$8,周转筐出入库明细!$B$4:$B$2004,"&gt;="&amp;$BC$1,周转筐出入库明细!$B$4:$B$2004,"&lt;="&amp;$BC$2))</f>
        <v/>
      </c>
      <c r="Z222" s="25" t="str">
        <f t="shared" si="40"/>
        <v/>
      </c>
      <c r="AA222" s="67" t="str">
        <f>IF(OR($B222="",基础资料!$B$4=""),"",-SUMIFS(对接源_01水果筐数!$D$5:$D$304,对接源_01水果筐数!$B$5:$B$304,$B222,对接源_01水果筐数!$C$5:$C$304,基础资料!$B$4))</f>
        <v/>
      </c>
      <c r="AB222" s="67" t="str">
        <f>IF(OR($B222="",基础资料!$B$5=""),"",-SUMIFS(对接源_01水果筐数!$D$5:$D$304,对接源_01水果筐数!$B$5:$B$304,$B222,对接源_01水果筐数!$C$5:$C$304,基础资料!$B$5))</f>
        <v/>
      </c>
      <c r="AC222" s="67" t="str">
        <f>IF(OR($B222="",基础资料!$B$6=""),"",-SUMIFS(对接源_01水果筐数!$D$5:$D$304,对接源_01水果筐数!$B$5:$B$304,$B222,对接源_01水果筐数!$C$5:$C$304,基础资料!$B$6))</f>
        <v/>
      </c>
      <c r="AD222" s="67" t="str">
        <f>IF(OR($B222="",基础资料!$B$7=""),"",-SUMIFS(对接源_01水果筐数!$D$5:$D$304,对接源_01水果筐数!$B$5:$B$304,$B222,对接源_01水果筐数!$C$5:$C$304,基础资料!$B$7))</f>
        <v/>
      </c>
      <c r="AE222" s="67" t="str">
        <f>IF(OR($B222="",基础资料!$B$8=""),"",-SUMIFS(对接源_01水果筐数!$D$5:$D$304,对接源_01水果筐数!$B$5:$B$304,$B222,对接源_01水果筐数!$C$5:$C$304,基础资料!$B$8))</f>
        <v/>
      </c>
      <c r="AF222" s="25" t="str">
        <f>IF(OR($B222="",基础资料!$B$4=""),"",SUMIFS(对接源_01水果筐数!$E$5:$E$304,对接源_01水果筐数!$B$5:$B$304,$B222,对接源_01水果筐数!$C$5:$C$304,基础资料!$B$4))</f>
        <v/>
      </c>
      <c r="AG222" s="25" t="str">
        <f>IF(OR($B222="",基础资料!$B$5=""),"",SUMIFS(对接源_01水果筐数!$E$5:$E$304,对接源_01水果筐数!$B$5:$B$304,$B222,对接源_01水果筐数!$C$5:$C$304,基础资料!$B$5))</f>
        <v/>
      </c>
      <c r="AH222" s="25" t="str">
        <f>IF(OR($B222="",基础资料!$B$6=""),"",SUMIFS(对接源_01水果筐数!$E$5:$E$304,对接源_01水果筐数!$B$5:$B$304,$B222,对接源_01水果筐数!$C$5:$C$304,基础资料!$B$6))</f>
        <v/>
      </c>
      <c r="AI222" s="25" t="str">
        <f>IF(OR($B222="",基础资料!$B$7=""),"",SUMIFS(对接源_01水果筐数!$E$5:$E$304,对接源_01水果筐数!$B$5:$B$304,$B222,对接源_01水果筐数!$C$5:$C$304,基础资料!$B$7))</f>
        <v/>
      </c>
      <c r="AJ222" s="25" t="str">
        <f>IF(OR($B222="",基础资料!$B$8=""),"",SUMIFS(对接源_01水果筐数!$E$5:$E$304,对接源_01水果筐数!$B$5:$B$304,$B222,对接源_01水果筐数!$C$5:$C$304,基础资料!$B$8))</f>
        <v/>
      </c>
      <c r="AK222" s="25" t="str">
        <f>IF(OR($B222="",基础资料!$B$4=""),"",SUMIFS(对接源_01水果筐数!$F$5:$F$304,对接源_01水果筐数!$B$5:$B$304,$B222,对接源_01水果筐数!$C$5:$C$304,基础资料!$B$4))</f>
        <v/>
      </c>
      <c r="AL222" s="25" t="str">
        <f>IF(OR($B222="",基础资料!$B$5=""),"",SUMIFS(对接源_01水果筐数!$F$5:$F$304,对接源_01水果筐数!$B$5:$B$304,$B222,对接源_01水果筐数!$C$5:$C$304,基础资料!$B$5))</f>
        <v/>
      </c>
      <c r="AM222" s="25" t="str">
        <f>IF(OR($B222="",基础资料!$B$6=""),"",SUMIFS(对接源_01水果筐数!$F$5:$F$304,对接源_01水果筐数!$B$5:$B$304,$B222,对接源_01水果筐数!$C$5:$C$304,基础资料!$B$6))</f>
        <v/>
      </c>
      <c r="AN222" s="25" t="str">
        <f>IF(OR($B222="",基础资料!$B$7=""),"",SUMIFS(对接源_01水果筐数!$F$5:$F$304,对接源_01水果筐数!$B$5:$B$304,$B222,对接源_01水果筐数!$C$5:$C$304,基础资料!$B$7))</f>
        <v/>
      </c>
      <c r="AO222" s="25" t="str">
        <f>IF(OR($B222="",基础资料!$B$8=""),"",SUMIFS(对接源_01水果筐数!$F$5:$F$304,对接源_01水果筐数!$B$5:$B$304,$B222,对接源_01水果筐数!$C$5:$C$304,基础资料!$B$8))</f>
        <v/>
      </c>
      <c r="AP222" s="25" t="str">
        <f t="shared" si="41"/>
        <v/>
      </c>
      <c r="AQ222" s="25" t="str">
        <f t="shared" si="42"/>
        <v/>
      </c>
      <c r="AR222" s="25" t="str">
        <f t="shared" si="43"/>
        <v/>
      </c>
      <c r="AS222" s="25" t="str">
        <f t="shared" si="44"/>
        <v/>
      </c>
      <c r="AT222" s="25" t="str">
        <f t="shared" si="45"/>
        <v/>
      </c>
      <c r="AU222" s="25" t="str">
        <f t="shared" si="46"/>
        <v/>
      </c>
      <c r="AV222" s="24" t="str">
        <f t="shared" si="47"/>
        <v/>
      </c>
      <c r="AW222" s="72"/>
    </row>
    <row r="223" spans="1:49">
      <c r="A223" s="22" t="str">
        <f t="shared" si="36"/>
        <v/>
      </c>
      <c r="B223" s="24" t="str">
        <f>IFERROR(INDEX(_自动清单!$CC$4:$CC$253,ROW()-3),"")</f>
        <v/>
      </c>
      <c r="C223" s="25" t="str">
        <f>IF(OR($B223="",基础资料!$B$4=""),"",SUMIFS(周转筐出入库明细!$J$4:$J$2004,周转筐出入库明细!$C$4:$C$2004,$B223,周转筐出入库明细!$D$4:$D$2004,基础资料!$B$4,周转筐出入库明细!$B$4:$B$2004,"&gt;="&amp;$BC$1,周转筐出入库明细!$B$4:$B$2004,"&lt;="&amp;$BC$2))</f>
        <v/>
      </c>
      <c r="D223" s="25" t="str">
        <f>IF(OR($B223="",基础资料!$B$5=""),"",SUMIFS(周转筐出入库明细!$J$4:$J$2004,周转筐出入库明细!$C$4:$C$2004,$B223,周转筐出入库明细!$D$4:$D$2004,基础资料!$B$5,周转筐出入库明细!$B$4:$B$2004,"&gt;="&amp;$BC$1,周转筐出入库明细!$B$4:$B$2004,"&lt;="&amp;$BC$2))</f>
        <v/>
      </c>
      <c r="E223" s="25" t="str">
        <f>IF(OR($B223="",基础资料!$B$6=""),"",SUMIFS(周转筐出入库明细!$J$4:$J$2004,周转筐出入库明细!$C$4:$C$2004,$B223,周转筐出入库明细!$D$4:$D$2004,基础资料!$B$6,周转筐出入库明细!$B$4:$B$2004,"&gt;="&amp;$BC$1,周转筐出入库明细!$B$4:$B$2004,"&lt;="&amp;$BC$2))</f>
        <v/>
      </c>
      <c r="F223" s="25" t="str">
        <f>IF(OR($B223="",基础资料!$B$7=""),"",SUMIFS(周转筐出入库明细!$J$4:$J$2004,周转筐出入库明细!$C$4:$C$2004,$B223,周转筐出入库明细!$D$4:$D$2004,基础资料!$B$7,周转筐出入库明细!$B$4:$B$2004,"&gt;="&amp;$BC$1,周转筐出入库明细!$B$4:$B$2004,"&lt;="&amp;$BC$2))</f>
        <v/>
      </c>
      <c r="G223" s="25" t="str">
        <f>IF(OR($B223="",基础资料!$B$8=""),"",SUMIFS(周转筐出入库明细!$J$4:$J$2004,周转筐出入库明细!$C$4:$C$2004,$B223,周转筐出入库明细!$D$4:$D$2004,基础资料!$B$8,周转筐出入库明细!$B$4:$B$2004,"&gt;="&amp;$BC$1,周转筐出入库明细!$B$4:$B$2004,"&lt;="&amp;$BC$2))</f>
        <v/>
      </c>
      <c r="H223" s="25" t="str">
        <f t="shared" si="37"/>
        <v/>
      </c>
      <c r="I223" s="67" t="str">
        <f>IF(OR($B223="",基础资料!$B$4=""),"",-SUMIFS(周转筐出入库明细!$I$4:$I$2004,周转筐出入库明细!$C$4:$C$2004,$B223,周转筐出入库明细!$D$4:$D$2004,基础资料!$B$4,周转筐出入库明细!$B$4:$B$2004,"&gt;="&amp;$BC$1,周转筐出入库明细!$B$4:$B$2004,"&lt;="&amp;$BC$2))</f>
        <v/>
      </c>
      <c r="J223" s="67" t="str">
        <f>IF(OR($B223="",基础资料!$B$5=""),"",-SUMIFS(周转筐出入库明细!$I$4:$I$2004,周转筐出入库明细!$C$4:$C$2004,$B223,周转筐出入库明细!$D$4:$D$2004,基础资料!$B$5,周转筐出入库明细!$B$4:$B$2004,"&gt;="&amp;$BC$1,周转筐出入库明细!$B$4:$B$2004,"&lt;="&amp;$BC$2))</f>
        <v/>
      </c>
      <c r="K223" s="67" t="str">
        <f>IF(OR($B223="",基础资料!$B$6=""),"",-SUMIFS(周转筐出入库明细!$I$4:$I$2004,周转筐出入库明细!$C$4:$C$2004,$B223,周转筐出入库明细!$D$4:$D$2004,基础资料!$B$6,周转筐出入库明细!$B$4:$B$2004,"&gt;="&amp;$BC$1,周转筐出入库明细!$B$4:$B$2004,"&lt;="&amp;$BC$2))</f>
        <v/>
      </c>
      <c r="L223" s="67" t="str">
        <f>IF(OR($B223="",基础资料!$B$7=""),"",-SUMIFS(周转筐出入库明细!$I$4:$I$2004,周转筐出入库明细!$C$4:$C$2004,$B223,周转筐出入库明细!$D$4:$D$2004,基础资料!$B$7,周转筐出入库明细!$B$4:$B$2004,"&gt;="&amp;$BC$1,周转筐出入库明细!$B$4:$B$2004,"&lt;="&amp;$BC$2))</f>
        <v/>
      </c>
      <c r="M223" s="67" t="str">
        <f>IF(OR($B223="",基础资料!$B$8=""),"",-SUMIFS(周转筐出入库明细!$I$4:$I$2004,周转筐出入库明细!$C$4:$C$2004,$B223,周转筐出入库明细!$D$4:$D$2004,基础资料!$B$8,周转筐出入库明细!$B$4:$B$2004,"&gt;="&amp;$BC$1,周转筐出入库明细!$B$4:$B$2004,"&lt;="&amp;$BC$2))</f>
        <v/>
      </c>
      <c r="N223" s="67" t="str">
        <f t="shared" si="38"/>
        <v/>
      </c>
      <c r="O223" s="25" t="str">
        <f>IF(OR($B223="",基础资料!$B$4=""),"",SUMIFS(周转筐出入库明细!$H$4:$H$2004,周转筐出入库明细!$C$4:$C$2004,$B223,周转筐出入库明细!$D$4:$D$2004,基础资料!$B$4,周转筐出入库明细!$F$4:$F$2004,"采购入库",周转筐出入库明细!$B$4:$B$2004,"&gt;="&amp;$BC$1,周转筐出入库明细!$B$4:$B$2004,"&lt;="&amp;$BC$2))</f>
        <v/>
      </c>
      <c r="P223" s="25" t="str">
        <f>IF(OR($B223="",基础资料!$B$5=""),"",SUMIFS(周转筐出入库明细!$H$4:$H$2004,周转筐出入库明细!$C$4:$C$2004,$B223,周转筐出入库明细!$D$4:$D$2004,基础资料!$B$5,周转筐出入库明细!$F$4:$F$2004,"采购入库",周转筐出入库明细!$B$4:$B$2004,"&gt;="&amp;$BC$1,周转筐出入库明细!$B$4:$B$2004,"&lt;="&amp;$BC$2))</f>
        <v/>
      </c>
      <c r="Q223" s="25" t="str">
        <f>IF(OR($B223="",基础资料!$B$6=""),"",SUMIFS(周转筐出入库明细!$H$4:$H$2004,周转筐出入库明细!$C$4:$C$2004,$B223,周转筐出入库明细!$D$4:$D$2004,基础资料!$B$6,周转筐出入库明细!$F$4:$F$2004,"采购入库",周转筐出入库明细!$B$4:$B$2004,"&gt;="&amp;$BC$1,周转筐出入库明细!$B$4:$B$2004,"&lt;="&amp;$BC$2))</f>
        <v/>
      </c>
      <c r="R223" s="25" t="str">
        <f>IF(OR($B223="",基础资料!$B$7=""),"",SUMIFS(周转筐出入库明细!$H$4:$H$2004,周转筐出入库明细!$C$4:$C$2004,$B223,周转筐出入库明细!$D$4:$D$2004,基础资料!$B$7,周转筐出入库明细!$F$4:$F$2004,"采购入库",周转筐出入库明细!$B$4:$B$2004,"&gt;="&amp;$BC$1,周转筐出入库明细!$B$4:$B$2004,"&lt;="&amp;$BC$2))</f>
        <v/>
      </c>
      <c r="S223" s="25" t="str">
        <f>IF(OR($B223="",基础资料!$B$8=""),"",SUMIFS(周转筐出入库明细!$H$4:$H$2004,周转筐出入库明细!$C$4:$C$2004,$B223,周转筐出入库明细!$D$4:$D$2004,基础资料!$B$8,周转筐出入库明细!$F$4:$F$2004,"采购入库",周转筐出入库明细!$B$4:$B$2004,"&gt;="&amp;$BC$1,周转筐出入库明细!$B$4:$B$2004,"&lt;="&amp;$BC$2))</f>
        <v/>
      </c>
      <c r="T223" s="25" t="str">
        <f t="shared" si="39"/>
        <v/>
      </c>
      <c r="U223" s="25" t="str">
        <f>IF(OR($B223="",基础资料!$B$4=""),"",SUMIFS(周转筐出入库明细!$K$4:$K$2004,周转筐出入库明细!$C$4:$C$2004,$B223,周转筐出入库明细!$D$4:$D$2004,基础资料!$B$4,周转筐出入库明细!$B$4:$B$2004,"&gt;="&amp;$BC$1,周转筐出入库明细!$B$4:$B$2004,"&lt;="&amp;$BC$2))</f>
        <v/>
      </c>
      <c r="V223" s="25" t="str">
        <f>IF(OR($B223="",基础资料!$B$5=""),"",SUMIFS(周转筐出入库明细!$K$4:$K$2004,周转筐出入库明细!$C$4:$C$2004,$B223,周转筐出入库明细!$D$4:$D$2004,基础资料!$B$5,周转筐出入库明细!$B$4:$B$2004,"&gt;="&amp;$BC$1,周转筐出入库明细!$B$4:$B$2004,"&lt;="&amp;$BC$2))</f>
        <v/>
      </c>
      <c r="W223" s="25" t="str">
        <f>IF(OR($B223="",基础资料!$B$6=""),"",SUMIFS(周转筐出入库明细!$K$4:$K$2004,周转筐出入库明细!$C$4:$C$2004,$B223,周转筐出入库明细!$D$4:$D$2004,基础资料!$B$6,周转筐出入库明细!$B$4:$B$2004,"&gt;="&amp;$BC$1,周转筐出入库明细!$B$4:$B$2004,"&lt;="&amp;$BC$2))</f>
        <v/>
      </c>
      <c r="X223" s="25" t="str">
        <f>IF(OR($B223="",基础资料!$B$7=""),"",SUMIFS(周转筐出入库明细!$K$4:$K$2004,周转筐出入库明细!$C$4:$C$2004,$B223,周转筐出入库明细!$D$4:$D$2004,基础资料!$B$7,周转筐出入库明细!$B$4:$B$2004,"&gt;="&amp;$BC$1,周转筐出入库明细!$B$4:$B$2004,"&lt;="&amp;$BC$2))</f>
        <v/>
      </c>
      <c r="Y223" s="25" t="str">
        <f>IF(OR($B223="",基础资料!$B$8=""),"",SUMIFS(周转筐出入库明细!$K$4:$K$2004,周转筐出入库明细!$C$4:$C$2004,$B223,周转筐出入库明细!$D$4:$D$2004,基础资料!$B$8,周转筐出入库明细!$B$4:$B$2004,"&gt;="&amp;$BC$1,周转筐出入库明细!$B$4:$B$2004,"&lt;="&amp;$BC$2))</f>
        <v/>
      </c>
      <c r="Z223" s="25" t="str">
        <f t="shared" si="40"/>
        <v/>
      </c>
      <c r="AA223" s="67" t="str">
        <f>IF(OR($B223="",基础资料!$B$4=""),"",-SUMIFS(对接源_01水果筐数!$D$5:$D$304,对接源_01水果筐数!$B$5:$B$304,$B223,对接源_01水果筐数!$C$5:$C$304,基础资料!$B$4))</f>
        <v/>
      </c>
      <c r="AB223" s="67" t="str">
        <f>IF(OR($B223="",基础资料!$B$5=""),"",-SUMIFS(对接源_01水果筐数!$D$5:$D$304,对接源_01水果筐数!$B$5:$B$304,$B223,对接源_01水果筐数!$C$5:$C$304,基础资料!$B$5))</f>
        <v/>
      </c>
      <c r="AC223" s="67" t="str">
        <f>IF(OR($B223="",基础资料!$B$6=""),"",-SUMIFS(对接源_01水果筐数!$D$5:$D$304,对接源_01水果筐数!$B$5:$B$304,$B223,对接源_01水果筐数!$C$5:$C$304,基础资料!$B$6))</f>
        <v/>
      </c>
      <c r="AD223" s="67" t="str">
        <f>IF(OR($B223="",基础资料!$B$7=""),"",-SUMIFS(对接源_01水果筐数!$D$5:$D$304,对接源_01水果筐数!$B$5:$B$304,$B223,对接源_01水果筐数!$C$5:$C$304,基础资料!$B$7))</f>
        <v/>
      </c>
      <c r="AE223" s="67" t="str">
        <f>IF(OR($B223="",基础资料!$B$8=""),"",-SUMIFS(对接源_01水果筐数!$D$5:$D$304,对接源_01水果筐数!$B$5:$B$304,$B223,对接源_01水果筐数!$C$5:$C$304,基础资料!$B$8))</f>
        <v/>
      </c>
      <c r="AF223" s="25" t="str">
        <f>IF(OR($B223="",基础资料!$B$4=""),"",SUMIFS(对接源_01水果筐数!$E$5:$E$304,对接源_01水果筐数!$B$5:$B$304,$B223,对接源_01水果筐数!$C$5:$C$304,基础资料!$B$4))</f>
        <v/>
      </c>
      <c r="AG223" s="25" t="str">
        <f>IF(OR($B223="",基础资料!$B$5=""),"",SUMIFS(对接源_01水果筐数!$E$5:$E$304,对接源_01水果筐数!$B$5:$B$304,$B223,对接源_01水果筐数!$C$5:$C$304,基础资料!$B$5))</f>
        <v/>
      </c>
      <c r="AH223" s="25" t="str">
        <f>IF(OR($B223="",基础资料!$B$6=""),"",SUMIFS(对接源_01水果筐数!$E$5:$E$304,对接源_01水果筐数!$B$5:$B$304,$B223,对接源_01水果筐数!$C$5:$C$304,基础资料!$B$6))</f>
        <v/>
      </c>
      <c r="AI223" s="25" t="str">
        <f>IF(OR($B223="",基础资料!$B$7=""),"",SUMIFS(对接源_01水果筐数!$E$5:$E$304,对接源_01水果筐数!$B$5:$B$304,$B223,对接源_01水果筐数!$C$5:$C$304,基础资料!$B$7))</f>
        <v/>
      </c>
      <c r="AJ223" s="25" t="str">
        <f>IF(OR($B223="",基础资料!$B$8=""),"",SUMIFS(对接源_01水果筐数!$E$5:$E$304,对接源_01水果筐数!$B$5:$B$304,$B223,对接源_01水果筐数!$C$5:$C$304,基础资料!$B$8))</f>
        <v/>
      </c>
      <c r="AK223" s="25" t="str">
        <f>IF(OR($B223="",基础资料!$B$4=""),"",SUMIFS(对接源_01水果筐数!$F$5:$F$304,对接源_01水果筐数!$B$5:$B$304,$B223,对接源_01水果筐数!$C$5:$C$304,基础资料!$B$4))</f>
        <v/>
      </c>
      <c r="AL223" s="25" t="str">
        <f>IF(OR($B223="",基础资料!$B$5=""),"",SUMIFS(对接源_01水果筐数!$F$5:$F$304,对接源_01水果筐数!$B$5:$B$304,$B223,对接源_01水果筐数!$C$5:$C$304,基础资料!$B$5))</f>
        <v/>
      </c>
      <c r="AM223" s="25" t="str">
        <f>IF(OR($B223="",基础资料!$B$6=""),"",SUMIFS(对接源_01水果筐数!$F$5:$F$304,对接源_01水果筐数!$B$5:$B$304,$B223,对接源_01水果筐数!$C$5:$C$304,基础资料!$B$6))</f>
        <v/>
      </c>
      <c r="AN223" s="25" t="str">
        <f>IF(OR($B223="",基础资料!$B$7=""),"",SUMIFS(对接源_01水果筐数!$F$5:$F$304,对接源_01水果筐数!$B$5:$B$304,$B223,对接源_01水果筐数!$C$5:$C$304,基础资料!$B$7))</f>
        <v/>
      </c>
      <c r="AO223" s="25" t="str">
        <f>IF(OR($B223="",基础资料!$B$8=""),"",SUMIFS(对接源_01水果筐数!$F$5:$F$304,对接源_01水果筐数!$B$5:$B$304,$B223,对接源_01水果筐数!$C$5:$C$304,基础资料!$B$8))</f>
        <v/>
      </c>
      <c r="AP223" s="25" t="str">
        <f t="shared" si="41"/>
        <v/>
      </c>
      <c r="AQ223" s="25" t="str">
        <f t="shared" si="42"/>
        <v/>
      </c>
      <c r="AR223" s="25" t="str">
        <f t="shared" si="43"/>
        <v/>
      </c>
      <c r="AS223" s="25" t="str">
        <f t="shared" si="44"/>
        <v/>
      </c>
      <c r="AT223" s="25" t="str">
        <f t="shared" si="45"/>
        <v/>
      </c>
      <c r="AU223" s="25" t="str">
        <f t="shared" si="46"/>
        <v/>
      </c>
      <c r="AV223" s="24" t="str">
        <f t="shared" si="47"/>
        <v/>
      </c>
      <c r="AW223" s="72"/>
    </row>
    <row r="224" spans="1:49">
      <c r="A224" s="22" t="str">
        <f t="shared" si="36"/>
        <v/>
      </c>
      <c r="B224" s="24" t="str">
        <f>IFERROR(INDEX(_自动清单!$CC$4:$CC$253,ROW()-3),"")</f>
        <v/>
      </c>
      <c r="C224" s="25" t="str">
        <f>IF(OR($B224="",基础资料!$B$4=""),"",SUMIFS(周转筐出入库明细!$J$4:$J$2004,周转筐出入库明细!$C$4:$C$2004,$B224,周转筐出入库明细!$D$4:$D$2004,基础资料!$B$4,周转筐出入库明细!$B$4:$B$2004,"&gt;="&amp;$BC$1,周转筐出入库明细!$B$4:$B$2004,"&lt;="&amp;$BC$2))</f>
        <v/>
      </c>
      <c r="D224" s="25" t="str">
        <f>IF(OR($B224="",基础资料!$B$5=""),"",SUMIFS(周转筐出入库明细!$J$4:$J$2004,周转筐出入库明细!$C$4:$C$2004,$B224,周转筐出入库明细!$D$4:$D$2004,基础资料!$B$5,周转筐出入库明细!$B$4:$B$2004,"&gt;="&amp;$BC$1,周转筐出入库明细!$B$4:$B$2004,"&lt;="&amp;$BC$2))</f>
        <v/>
      </c>
      <c r="E224" s="25" t="str">
        <f>IF(OR($B224="",基础资料!$B$6=""),"",SUMIFS(周转筐出入库明细!$J$4:$J$2004,周转筐出入库明细!$C$4:$C$2004,$B224,周转筐出入库明细!$D$4:$D$2004,基础资料!$B$6,周转筐出入库明细!$B$4:$B$2004,"&gt;="&amp;$BC$1,周转筐出入库明细!$B$4:$B$2004,"&lt;="&amp;$BC$2))</f>
        <v/>
      </c>
      <c r="F224" s="25" t="str">
        <f>IF(OR($B224="",基础资料!$B$7=""),"",SUMIFS(周转筐出入库明细!$J$4:$J$2004,周转筐出入库明细!$C$4:$C$2004,$B224,周转筐出入库明细!$D$4:$D$2004,基础资料!$B$7,周转筐出入库明细!$B$4:$B$2004,"&gt;="&amp;$BC$1,周转筐出入库明细!$B$4:$B$2004,"&lt;="&amp;$BC$2))</f>
        <v/>
      </c>
      <c r="G224" s="25" t="str">
        <f>IF(OR($B224="",基础资料!$B$8=""),"",SUMIFS(周转筐出入库明细!$J$4:$J$2004,周转筐出入库明细!$C$4:$C$2004,$B224,周转筐出入库明细!$D$4:$D$2004,基础资料!$B$8,周转筐出入库明细!$B$4:$B$2004,"&gt;="&amp;$BC$1,周转筐出入库明细!$B$4:$B$2004,"&lt;="&amp;$BC$2))</f>
        <v/>
      </c>
      <c r="H224" s="25" t="str">
        <f t="shared" si="37"/>
        <v/>
      </c>
      <c r="I224" s="67" t="str">
        <f>IF(OR($B224="",基础资料!$B$4=""),"",-SUMIFS(周转筐出入库明细!$I$4:$I$2004,周转筐出入库明细!$C$4:$C$2004,$B224,周转筐出入库明细!$D$4:$D$2004,基础资料!$B$4,周转筐出入库明细!$B$4:$B$2004,"&gt;="&amp;$BC$1,周转筐出入库明细!$B$4:$B$2004,"&lt;="&amp;$BC$2))</f>
        <v/>
      </c>
      <c r="J224" s="67" t="str">
        <f>IF(OR($B224="",基础资料!$B$5=""),"",-SUMIFS(周转筐出入库明细!$I$4:$I$2004,周转筐出入库明细!$C$4:$C$2004,$B224,周转筐出入库明细!$D$4:$D$2004,基础资料!$B$5,周转筐出入库明细!$B$4:$B$2004,"&gt;="&amp;$BC$1,周转筐出入库明细!$B$4:$B$2004,"&lt;="&amp;$BC$2))</f>
        <v/>
      </c>
      <c r="K224" s="67" t="str">
        <f>IF(OR($B224="",基础资料!$B$6=""),"",-SUMIFS(周转筐出入库明细!$I$4:$I$2004,周转筐出入库明细!$C$4:$C$2004,$B224,周转筐出入库明细!$D$4:$D$2004,基础资料!$B$6,周转筐出入库明细!$B$4:$B$2004,"&gt;="&amp;$BC$1,周转筐出入库明细!$B$4:$B$2004,"&lt;="&amp;$BC$2))</f>
        <v/>
      </c>
      <c r="L224" s="67" t="str">
        <f>IF(OR($B224="",基础资料!$B$7=""),"",-SUMIFS(周转筐出入库明细!$I$4:$I$2004,周转筐出入库明细!$C$4:$C$2004,$B224,周转筐出入库明细!$D$4:$D$2004,基础资料!$B$7,周转筐出入库明细!$B$4:$B$2004,"&gt;="&amp;$BC$1,周转筐出入库明细!$B$4:$B$2004,"&lt;="&amp;$BC$2))</f>
        <v/>
      </c>
      <c r="M224" s="67" t="str">
        <f>IF(OR($B224="",基础资料!$B$8=""),"",-SUMIFS(周转筐出入库明细!$I$4:$I$2004,周转筐出入库明细!$C$4:$C$2004,$B224,周转筐出入库明细!$D$4:$D$2004,基础资料!$B$8,周转筐出入库明细!$B$4:$B$2004,"&gt;="&amp;$BC$1,周转筐出入库明细!$B$4:$B$2004,"&lt;="&amp;$BC$2))</f>
        <v/>
      </c>
      <c r="N224" s="67" t="str">
        <f t="shared" si="38"/>
        <v/>
      </c>
      <c r="O224" s="25" t="str">
        <f>IF(OR($B224="",基础资料!$B$4=""),"",SUMIFS(周转筐出入库明细!$H$4:$H$2004,周转筐出入库明细!$C$4:$C$2004,$B224,周转筐出入库明细!$D$4:$D$2004,基础资料!$B$4,周转筐出入库明细!$F$4:$F$2004,"采购入库",周转筐出入库明细!$B$4:$B$2004,"&gt;="&amp;$BC$1,周转筐出入库明细!$B$4:$B$2004,"&lt;="&amp;$BC$2))</f>
        <v/>
      </c>
      <c r="P224" s="25" t="str">
        <f>IF(OR($B224="",基础资料!$B$5=""),"",SUMIFS(周转筐出入库明细!$H$4:$H$2004,周转筐出入库明细!$C$4:$C$2004,$B224,周转筐出入库明细!$D$4:$D$2004,基础资料!$B$5,周转筐出入库明细!$F$4:$F$2004,"采购入库",周转筐出入库明细!$B$4:$B$2004,"&gt;="&amp;$BC$1,周转筐出入库明细!$B$4:$B$2004,"&lt;="&amp;$BC$2))</f>
        <v/>
      </c>
      <c r="Q224" s="25" t="str">
        <f>IF(OR($B224="",基础资料!$B$6=""),"",SUMIFS(周转筐出入库明细!$H$4:$H$2004,周转筐出入库明细!$C$4:$C$2004,$B224,周转筐出入库明细!$D$4:$D$2004,基础资料!$B$6,周转筐出入库明细!$F$4:$F$2004,"采购入库",周转筐出入库明细!$B$4:$B$2004,"&gt;="&amp;$BC$1,周转筐出入库明细!$B$4:$B$2004,"&lt;="&amp;$BC$2))</f>
        <v/>
      </c>
      <c r="R224" s="25" t="str">
        <f>IF(OR($B224="",基础资料!$B$7=""),"",SUMIFS(周转筐出入库明细!$H$4:$H$2004,周转筐出入库明细!$C$4:$C$2004,$B224,周转筐出入库明细!$D$4:$D$2004,基础资料!$B$7,周转筐出入库明细!$F$4:$F$2004,"采购入库",周转筐出入库明细!$B$4:$B$2004,"&gt;="&amp;$BC$1,周转筐出入库明细!$B$4:$B$2004,"&lt;="&amp;$BC$2))</f>
        <v/>
      </c>
      <c r="S224" s="25" t="str">
        <f>IF(OR($B224="",基础资料!$B$8=""),"",SUMIFS(周转筐出入库明细!$H$4:$H$2004,周转筐出入库明细!$C$4:$C$2004,$B224,周转筐出入库明细!$D$4:$D$2004,基础资料!$B$8,周转筐出入库明细!$F$4:$F$2004,"采购入库",周转筐出入库明细!$B$4:$B$2004,"&gt;="&amp;$BC$1,周转筐出入库明细!$B$4:$B$2004,"&lt;="&amp;$BC$2))</f>
        <v/>
      </c>
      <c r="T224" s="25" t="str">
        <f t="shared" si="39"/>
        <v/>
      </c>
      <c r="U224" s="25" t="str">
        <f>IF(OR($B224="",基础资料!$B$4=""),"",SUMIFS(周转筐出入库明细!$K$4:$K$2004,周转筐出入库明细!$C$4:$C$2004,$B224,周转筐出入库明细!$D$4:$D$2004,基础资料!$B$4,周转筐出入库明细!$B$4:$B$2004,"&gt;="&amp;$BC$1,周转筐出入库明细!$B$4:$B$2004,"&lt;="&amp;$BC$2))</f>
        <v/>
      </c>
      <c r="V224" s="25" t="str">
        <f>IF(OR($B224="",基础资料!$B$5=""),"",SUMIFS(周转筐出入库明细!$K$4:$K$2004,周转筐出入库明细!$C$4:$C$2004,$B224,周转筐出入库明细!$D$4:$D$2004,基础资料!$B$5,周转筐出入库明细!$B$4:$B$2004,"&gt;="&amp;$BC$1,周转筐出入库明细!$B$4:$B$2004,"&lt;="&amp;$BC$2))</f>
        <v/>
      </c>
      <c r="W224" s="25" t="str">
        <f>IF(OR($B224="",基础资料!$B$6=""),"",SUMIFS(周转筐出入库明细!$K$4:$K$2004,周转筐出入库明细!$C$4:$C$2004,$B224,周转筐出入库明细!$D$4:$D$2004,基础资料!$B$6,周转筐出入库明细!$B$4:$B$2004,"&gt;="&amp;$BC$1,周转筐出入库明细!$B$4:$B$2004,"&lt;="&amp;$BC$2))</f>
        <v/>
      </c>
      <c r="X224" s="25" t="str">
        <f>IF(OR($B224="",基础资料!$B$7=""),"",SUMIFS(周转筐出入库明细!$K$4:$K$2004,周转筐出入库明细!$C$4:$C$2004,$B224,周转筐出入库明细!$D$4:$D$2004,基础资料!$B$7,周转筐出入库明细!$B$4:$B$2004,"&gt;="&amp;$BC$1,周转筐出入库明细!$B$4:$B$2004,"&lt;="&amp;$BC$2))</f>
        <v/>
      </c>
      <c r="Y224" s="25" t="str">
        <f>IF(OR($B224="",基础资料!$B$8=""),"",SUMIFS(周转筐出入库明细!$K$4:$K$2004,周转筐出入库明细!$C$4:$C$2004,$B224,周转筐出入库明细!$D$4:$D$2004,基础资料!$B$8,周转筐出入库明细!$B$4:$B$2004,"&gt;="&amp;$BC$1,周转筐出入库明细!$B$4:$B$2004,"&lt;="&amp;$BC$2))</f>
        <v/>
      </c>
      <c r="Z224" s="25" t="str">
        <f t="shared" si="40"/>
        <v/>
      </c>
      <c r="AA224" s="67" t="str">
        <f>IF(OR($B224="",基础资料!$B$4=""),"",-SUMIFS(对接源_01水果筐数!$D$5:$D$304,对接源_01水果筐数!$B$5:$B$304,$B224,对接源_01水果筐数!$C$5:$C$304,基础资料!$B$4))</f>
        <v/>
      </c>
      <c r="AB224" s="67" t="str">
        <f>IF(OR($B224="",基础资料!$B$5=""),"",-SUMIFS(对接源_01水果筐数!$D$5:$D$304,对接源_01水果筐数!$B$5:$B$304,$B224,对接源_01水果筐数!$C$5:$C$304,基础资料!$B$5))</f>
        <v/>
      </c>
      <c r="AC224" s="67" t="str">
        <f>IF(OR($B224="",基础资料!$B$6=""),"",-SUMIFS(对接源_01水果筐数!$D$5:$D$304,对接源_01水果筐数!$B$5:$B$304,$B224,对接源_01水果筐数!$C$5:$C$304,基础资料!$B$6))</f>
        <v/>
      </c>
      <c r="AD224" s="67" t="str">
        <f>IF(OR($B224="",基础资料!$B$7=""),"",-SUMIFS(对接源_01水果筐数!$D$5:$D$304,对接源_01水果筐数!$B$5:$B$304,$B224,对接源_01水果筐数!$C$5:$C$304,基础资料!$B$7))</f>
        <v/>
      </c>
      <c r="AE224" s="67" t="str">
        <f>IF(OR($B224="",基础资料!$B$8=""),"",-SUMIFS(对接源_01水果筐数!$D$5:$D$304,对接源_01水果筐数!$B$5:$B$304,$B224,对接源_01水果筐数!$C$5:$C$304,基础资料!$B$8))</f>
        <v/>
      </c>
      <c r="AF224" s="25" t="str">
        <f>IF(OR($B224="",基础资料!$B$4=""),"",SUMIFS(对接源_01水果筐数!$E$5:$E$304,对接源_01水果筐数!$B$5:$B$304,$B224,对接源_01水果筐数!$C$5:$C$304,基础资料!$B$4))</f>
        <v/>
      </c>
      <c r="AG224" s="25" t="str">
        <f>IF(OR($B224="",基础资料!$B$5=""),"",SUMIFS(对接源_01水果筐数!$E$5:$E$304,对接源_01水果筐数!$B$5:$B$304,$B224,对接源_01水果筐数!$C$5:$C$304,基础资料!$B$5))</f>
        <v/>
      </c>
      <c r="AH224" s="25" t="str">
        <f>IF(OR($B224="",基础资料!$B$6=""),"",SUMIFS(对接源_01水果筐数!$E$5:$E$304,对接源_01水果筐数!$B$5:$B$304,$B224,对接源_01水果筐数!$C$5:$C$304,基础资料!$B$6))</f>
        <v/>
      </c>
      <c r="AI224" s="25" t="str">
        <f>IF(OR($B224="",基础资料!$B$7=""),"",SUMIFS(对接源_01水果筐数!$E$5:$E$304,对接源_01水果筐数!$B$5:$B$304,$B224,对接源_01水果筐数!$C$5:$C$304,基础资料!$B$7))</f>
        <v/>
      </c>
      <c r="AJ224" s="25" t="str">
        <f>IF(OR($B224="",基础资料!$B$8=""),"",SUMIFS(对接源_01水果筐数!$E$5:$E$304,对接源_01水果筐数!$B$5:$B$304,$B224,对接源_01水果筐数!$C$5:$C$304,基础资料!$B$8))</f>
        <v/>
      </c>
      <c r="AK224" s="25" t="str">
        <f>IF(OR($B224="",基础资料!$B$4=""),"",SUMIFS(对接源_01水果筐数!$F$5:$F$304,对接源_01水果筐数!$B$5:$B$304,$B224,对接源_01水果筐数!$C$5:$C$304,基础资料!$B$4))</f>
        <v/>
      </c>
      <c r="AL224" s="25" t="str">
        <f>IF(OR($B224="",基础资料!$B$5=""),"",SUMIFS(对接源_01水果筐数!$F$5:$F$304,对接源_01水果筐数!$B$5:$B$304,$B224,对接源_01水果筐数!$C$5:$C$304,基础资料!$B$5))</f>
        <v/>
      </c>
      <c r="AM224" s="25" t="str">
        <f>IF(OR($B224="",基础资料!$B$6=""),"",SUMIFS(对接源_01水果筐数!$F$5:$F$304,对接源_01水果筐数!$B$5:$B$304,$B224,对接源_01水果筐数!$C$5:$C$304,基础资料!$B$6))</f>
        <v/>
      </c>
      <c r="AN224" s="25" t="str">
        <f>IF(OR($B224="",基础资料!$B$7=""),"",SUMIFS(对接源_01水果筐数!$F$5:$F$304,对接源_01水果筐数!$B$5:$B$304,$B224,对接源_01水果筐数!$C$5:$C$304,基础资料!$B$7))</f>
        <v/>
      </c>
      <c r="AO224" s="25" t="str">
        <f>IF(OR($B224="",基础资料!$B$8=""),"",SUMIFS(对接源_01水果筐数!$F$5:$F$304,对接源_01水果筐数!$B$5:$B$304,$B224,对接源_01水果筐数!$C$5:$C$304,基础资料!$B$8))</f>
        <v/>
      </c>
      <c r="AP224" s="25" t="str">
        <f t="shared" si="41"/>
        <v/>
      </c>
      <c r="AQ224" s="25" t="str">
        <f t="shared" si="42"/>
        <v/>
      </c>
      <c r="AR224" s="25" t="str">
        <f t="shared" si="43"/>
        <v/>
      </c>
      <c r="AS224" s="25" t="str">
        <f t="shared" si="44"/>
        <v/>
      </c>
      <c r="AT224" s="25" t="str">
        <f t="shared" si="45"/>
        <v/>
      </c>
      <c r="AU224" s="25" t="str">
        <f t="shared" si="46"/>
        <v/>
      </c>
      <c r="AV224" s="24" t="str">
        <f t="shared" si="47"/>
        <v/>
      </c>
      <c r="AW224" s="72"/>
    </row>
    <row r="225" spans="1:49">
      <c r="A225" s="22" t="str">
        <f t="shared" si="36"/>
        <v/>
      </c>
      <c r="B225" s="24" t="str">
        <f>IFERROR(INDEX(_自动清单!$CC$4:$CC$253,ROW()-3),"")</f>
        <v/>
      </c>
      <c r="C225" s="25" t="str">
        <f>IF(OR($B225="",基础资料!$B$4=""),"",SUMIFS(周转筐出入库明细!$J$4:$J$2004,周转筐出入库明细!$C$4:$C$2004,$B225,周转筐出入库明细!$D$4:$D$2004,基础资料!$B$4,周转筐出入库明细!$B$4:$B$2004,"&gt;="&amp;$BC$1,周转筐出入库明细!$B$4:$B$2004,"&lt;="&amp;$BC$2))</f>
        <v/>
      </c>
      <c r="D225" s="25" t="str">
        <f>IF(OR($B225="",基础资料!$B$5=""),"",SUMIFS(周转筐出入库明细!$J$4:$J$2004,周转筐出入库明细!$C$4:$C$2004,$B225,周转筐出入库明细!$D$4:$D$2004,基础资料!$B$5,周转筐出入库明细!$B$4:$B$2004,"&gt;="&amp;$BC$1,周转筐出入库明细!$B$4:$B$2004,"&lt;="&amp;$BC$2))</f>
        <v/>
      </c>
      <c r="E225" s="25" t="str">
        <f>IF(OR($B225="",基础资料!$B$6=""),"",SUMIFS(周转筐出入库明细!$J$4:$J$2004,周转筐出入库明细!$C$4:$C$2004,$B225,周转筐出入库明细!$D$4:$D$2004,基础资料!$B$6,周转筐出入库明细!$B$4:$B$2004,"&gt;="&amp;$BC$1,周转筐出入库明细!$B$4:$B$2004,"&lt;="&amp;$BC$2))</f>
        <v/>
      </c>
      <c r="F225" s="25" t="str">
        <f>IF(OR($B225="",基础资料!$B$7=""),"",SUMIFS(周转筐出入库明细!$J$4:$J$2004,周转筐出入库明细!$C$4:$C$2004,$B225,周转筐出入库明细!$D$4:$D$2004,基础资料!$B$7,周转筐出入库明细!$B$4:$B$2004,"&gt;="&amp;$BC$1,周转筐出入库明细!$B$4:$B$2004,"&lt;="&amp;$BC$2))</f>
        <v/>
      </c>
      <c r="G225" s="25" t="str">
        <f>IF(OR($B225="",基础资料!$B$8=""),"",SUMIFS(周转筐出入库明细!$J$4:$J$2004,周转筐出入库明细!$C$4:$C$2004,$B225,周转筐出入库明细!$D$4:$D$2004,基础资料!$B$8,周转筐出入库明细!$B$4:$B$2004,"&gt;="&amp;$BC$1,周转筐出入库明细!$B$4:$B$2004,"&lt;="&amp;$BC$2))</f>
        <v/>
      </c>
      <c r="H225" s="25" t="str">
        <f t="shared" si="37"/>
        <v/>
      </c>
      <c r="I225" s="67" t="str">
        <f>IF(OR($B225="",基础资料!$B$4=""),"",-SUMIFS(周转筐出入库明细!$I$4:$I$2004,周转筐出入库明细!$C$4:$C$2004,$B225,周转筐出入库明细!$D$4:$D$2004,基础资料!$B$4,周转筐出入库明细!$B$4:$B$2004,"&gt;="&amp;$BC$1,周转筐出入库明细!$B$4:$B$2004,"&lt;="&amp;$BC$2))</f>
        <v/>
      </c>
      <c r="J225" s="67" t="str">
        <f>IF(OR($B225="",基础资料!$B$5=""),"",-SUMIFS(周转筐出入库明细!$I$4:$I$2004,周转筐出入库明细!$C$4:$C$2004,$B225,周转筐出入库明细!$D$4:$D$2004,基础资料!$B$5,周转筐出入库明细!$B$4:$B$2004,"&gt;="&amp;$BC$1,周转筐出入库明细!$B$4:$B$2004,"&lt;="&amp;$BC$2))</f>
        <v/>
      </c>
      <c r="K225" s="67" t="str">
        <f>IF(OR($B225="",基础资料!$B$6=""),"",-SUMIFS(周转筐出入库明细!$I$4:$I$2004,周转筐出入库明细!$C$4:$C$2004,$B225,周转筐出入库明细!$D$4:$D$2004,基础资料!$B$6,周转筐出入库明细!$B$4:$B$2004,"&gt;="&amp;$BC$1,周转筐出入库明细!$B$4:$B$2004,"&lt;="&amp;$BC$2))</f>
        <v/>
      </c>
      <c r="L225" s="67" t="str">
        <f>IF(OR($B225="",基础资料!$B$7=""),"",-SUMIFS(周转筐出入库明细!$I$4:$I$2004,周转筐出入库明细!$C$4:$C$2004,$B225,周转筐出入库明细!$D$4:$D$2004,基础资料!$B$7,周转筐出入库明细!$B$4:$B$2004,"&gt;="&amp;$BC$1,周转筐出入库明细!$B$4:$B$2004,"&lt;="&amp;$BC$2))</f>
        <v/>
      </c>
      <c r="M225" s="67" t="str">
        <f>IF(OR($B225="",基础资料!$B$8=""),"",-SUMIFS(周转筐出入库明细!$I$4:$I$2004,周转筐出入库明细!$C$4:$C$2004,$B225,周转筐出入库明细!$D$4:$D$2004,基础资料!$B$8,周转筐出入库明细!$B$4:$B$2004,"&gt;="&amp;$BC$1,周转筐出入库明细!$B$4:$B$2004,"&lt;="&amp;$BC$2))</f>
        <v/>
      </c>
      <c r="N225" s="67" t="str">
        <f t="shared" si="38"/>
        <v/>
      </c>
      <c r="O225" s="25" t="str">
        <f>IF(OR($B225="",基础资料!$B$4=""),"",SUMIFS(周转筐出入库明细!$H$4:$H$2004,周转筐出入库明细!$C$4:$C$2004,$B225,周转筐出入库明细!$D$4:$D$2004,基础资料!$B$4,周转筐出入库明细!$F$4:$F$2004,"采购入库",周转筐出入库明细!$B$4:$B$2004,"&gt;="&amp;$BC$1,周转筐出入库明细!$B$4:$B$2004,"&lt;="&amp;$BC$2))</f>
        <v/>
      </c>
      <c r="P225" s="25" t="str">
        <f>IF(OR($B225="",基础资料!$B$5=""),"",SUMIFS(周转筐出入库明细!$H$4:$H$2004,周转筐出入库明细!$C$4:$C$2004,$B225,周转筐出入库明细!$D$4:$D$2004,基础资料!$B$5,周转筐出入库明细!$F$4:$F$2004,"采购入库",周转筐出入库明细!$B$4:$B$2004,"&gt;="&amp;$BC$1,周转筐出入库明细!$B$4:$B$2004,"&lt;="&amp;$BC$2))</f>
        <v/>
      </c>
      <c r="Q225" s="25" t="str">
        <f>IF(OR($B225="",基础资料!$B$6=""),"",SUMIFS(周转筐出入库明细!$H$4:$H$2004,周转筐出入库明细!$C$4:$C$2004,$B225,周转筐出入库明细!$D$4:$D$2004,基础资料!$B$6,周转筐出入库明细!$F$4:$F$2004,"采购入库",周转筐出入库明细!$B$4:$B$2004,"&gt;="&amp;$BC$1,周转筐出入库明细!$B$4:$B$2004,"&lt;="&amp;$BC$2))</f>
        <v/>
      </c>
      <c r="R225" s="25" t="str">
        <f>IF(OR($B225="",基础资料!$B$7=""),"",SUMIFS(周转筐出入库明细!$H$4:$H$2004,周转筐出入库明细!$C$4:$C$2004,$B225,周转筐出入库明细!$D$4:$D$2004,基础资料!$B$7,周转筐出入库明细!$F$4:$F$2004,"采购入库",周转筐出入库明细!$B$4:$B$2004,"&gt;="&amp;$BC$1,周转筐出入库明细!$B$4:$B$2004,"&lt;="&amp;$BC$2))</f>
        <v/>
      </c>
      <c r="S225" s="25" t="str">
        <f>IF(OR($B225="",基础资料!$B$8=""),"",SUMIFS(周转筐出入库明细!$H$4:$H$2004,周转筐出入库明细!$C$4:$C$2004,$B225,周转筐出入库明细!$D$4:$D$2004,基础资料!$B$8,周转筐出入库明细!$F$4:$F$2004,"采购入库",周转筐出入库明细!$B$4:$B$2004,"&gt;="&amp;$BC$1,周转筐出入库明细!$B$4:$B$2004,"&lt;="&amp;$BC$2))</f>
        <v/>
      </c>
      <c r="T225" s="25" t="str">
        <f t="shared" si="39"/>
        <v/>
      </c>
      <c r="U225" s="25" t="str">
        <f>IF(OR($B225="",基础资料!$B$4=""),"",SUMIFS(周转筐出入库明细!$K$4:$K$2004,周转筐出入库明细!$C$4:$C$2004,$B225,周转筐出入库明细!$D$4:$D$2004,基础资料!$B$4,周转筐出入库明细!$B$4:$B$2004,"&gt;="&amp;$BC$1,周转筐出入库明细!$B$4:$B$2004,"&lt;="&amp;$BC$2))</f>
        <v/>
      </c>
      <c r="V225" s="25" t="str">
        <f>IF(OR($B225="",基础资料!$B$5=""),"",SUMIFS(周转筐出入库明细!$K$4:$K$2004,周转筐出入库明细!$C$4:$C$2004,$B225,周转筐出入库明细!$D$4:$D$2004,基础资料!$B$5,周转筐出入库明细!$B$4:$B$2004,"&gt;="&amp;$BC$1,周转筐出入库明细!$B$4:$B$2004,"&lt;="&amp;$BC$2))</f>
        <v/>
      </c>
      <c r="W225" s="25" t="str">
        <f>IF(OR($B225="",基础资料!$B$6=""),"",SUMIFS(周转筐出入库明细!$K$4:$K$2004,周转筐出入库明细!$C$4:$C$2004,$B225,周转筐出入库明细!$D$4:$D$2004,基础资料!$B$6,周转筐出入库明细!$B$4:$B$2004,"&gt;="&amp;$BC$1,周转筐出入库明细!$B$4:$B$2004,"&lt;="&amp;$BC$2))</f>
        <v/>
      </c>
      <c r="X225" s="25" t="str">
        <f>IF(OR($B225="",基础资料!$B$7=""),"",SUMIFS(周转筐出入库明细!$K$4:$K$2004,周转筐出入库明细!$C$4:$C$2004,$B225,周转筐出入库明细!$D$4:$D$2004,基础资料!$B$7,周转筐出入库明细!$B$4:$B$2004,"&gt;="&amp;$BC$1,周转筐出入库明细!$B$4:$B$2004,"&lt;="&amp;$BC$2))</f>
        <v/>
      </c>
      <c r="Y225" s="25" t="str">
        <f>IF(OR($B225="",基础资料!$B$8=""),"",SUMIFS(周转筐出入库明细!$K$4:$K$2004,周转筐出入库明细!$C$4:$C$2004,$B225,周转筐出入库明细!$D$4:$D$2004,基础资料!$B$8,周转筐出入库明细!$B$4:$B$2004,"&gt;="&amp;$BC$1,周转筐出入库明细!$B$4:$B$2004,"&lt;="&amp;$BC$2))</f>
        <v/>
      </c>
      <c r="Z225" s="25" t="str">
        <f t="shared" si="40"/>
        <v/>
      </c>
      <c r="AA225" s="67" t="str">
        <f>IF(OR($B225="",基础资料!$B$4=""),"",-SUMIFS(对接源_01水果筐数!$D$5:$D$304,对接源_01水果筐数!$B$5:$B$304,$B225,对接源_01水果筐数!$C$5:$C$304,基础资料!$B$4))</f>
        <v/>
      </c>
      <c r="AB225" s="67" t="str">
        <f>IF(OR($B225="",基础资料!$B$5=""),"",-SUMIFS(对接源_01水果筐数!$D$5:$D$304,对接源_01水果筐数!$B$5:$B$304,$B225,对接源_01水果筐数!$C$5:$C$304,基础资料!$B$5))</f>
        <v/>
      </c>
      <c r="AC225" s="67" t="str">
        <f>IF(OR($B225="",基础资料!$B$6=""),"",-SUMIFS(对接源_01水果筐数!$D$5:$D$304,对接源_01水果筐数!$B$5:$B$304,$B225,对接源_01水果筐数!$C$5:$C$304,基础资料!$B$6))</f>
        <v/>
      </c>
      <c r="AD225" s="67" t="str">
        <f>IF(OR($B225="",基础资料!$B$7=""),"",-SUMIFS(对接源_01水果筐数!$D$5:$D$304,对接源_01水果筐数!$B$5:$B$304,$B225,对接源_01水果筐数!$C$5:$C$304,基础资料!$B$7))</f>
        <v/>
      </c>
      <c r="AE225" s="67" t="str">
        <f>IF(OR($B225="",基础资料!$B$8=""),"",-SUMIFS(对接源_01水果筐数!$D$5:$D$304,对接源_01水果筐数!$B$5:$B$304,$B225,对接源_01水果筐数!$C$5:$C$304,基础资料!$B$8))</f>
        <v/>
      </c>
      <c r="AF225" s="25" t="str">
        <f>IF(OR($B225="",基础资料!$B$4=""),"",SUMIFS(对接源_01水果筐数!$E$5:$E$304,对接源_01水果筐数!$B$5:$B$304,$B225,对接源_01水果筐数!$C$5:$C$304,基础资料!$B$4))</f>
        <v/>
      </c>
      <c r="AG225" s="25" t="str">
        <f>IF(OR($B225="",基础资料!$B$5=""),"",SUMIFS(对接源_01水果筐数!$E$5:$E$304,对接源_01水果筐数!$B$5:$B$304,$B225,对接源_01水果筐数!$C$5:$C$304,基础资料!$B$5))</f>
        <v/>
      </c>
      <c r="AH225" s="25" t="str">
        <f>IF(OR($B225="",基础资料!$B$6=""),"",SUMIFS(对接源_01水果筐数!$E$5:$E$304,对接源_01水果筐数!$B$5:$B$304,$B225,对接源_01水果筐数!$C$5:$C$304,基础资料!$B$6))</f>
        <v/>
      </c>
      <c r="AI225" s="25" t="str">
        <f>IF(OR($B225="",基础资料!$B$7=""),"",SUMIFS(对接源_01水果筐数!$E$5:$E$304,对接源_01水果筐数!$B$5:$B$304,$B225,对接源_01水果筐数!$C$5:$C$304,基础资料!$B$7))</f>
        <v/>
      </c>
      <c r="AJ225" s="25" t="str">
        <f>IF(OR($B225="",基础资料!$B$8=""),"",SUMIFS(对接源_01水果筐数!$E$5:$E$304,对接源_01水果筐数!$B$5:$B$304,$B225,对接源_01水果筐数!$C$5:$C$304,基础资料!$B$8))</f>
        <v/>
      </c>
      <c r="AK225" s="25" t="str">
        <f>IF(OR($B225="",基础资料!$B$4=""),"",SUMIFS(对接源_01水果筐数!$F$5:$F$304,对接源_01水果筐数!$B$5:$B$304,$B225,对接源_01水果筐数!$C$5:$C$304,基础资料!$B$4))</f>
        <v/>
      </c>
      <c r="AL225" s="25" t="str">
        <f>IF(OR($B225="",基础资料!$B$5=""),"",SUMIFS(对接源_01水果筐数!$F$5:$F$304,对接源_01水果筐数!$B$5:$B$304,$B225,对接源_01水果筐数!$C$5:$C$304,基础资料!$B$5))</f>
        <v/>
      </c>
      <c r="AM225" s="25" t="str">
        <f>IF(OR($B225="",基础资料!$B$6=""),"",SUMIFS(对接源_01水果筐数!$F$5:$F$304,对接源_01水果筐数!$B$5:$B$304,$B225,对接源_01水果筐数!$C$5:$C$304,基础资料!$B$6))</f>
        <v/>
      </c>
      <c r="AN225" s="25" t="str">
        <f>IF(OR($B225="",基础资料!$B$7=""),"",SUMIFS(对接源_01水果筐数!$F$5:$F$304,对接源_01水果筐数!$B$5:$B$304,$B225,对接源_01水果筐数!$C$5:$C$304,基础资料!$B$7))</f>
        <v/>
      </c>
      <c r="AO225" s="25" t="str">
        <f>IF(OR($B225="",基础资料!$B$8=""),"",SUMIFS(对接源_01水果筐数!$F$5:$F$304,对接源_01水果筐数!$B$5:$B$304,$B225,对接源_01水果筐数!$C$5:$C$304,基础资料!$B$8))</f>
        <v/>
      </c>
      <c r="AP225" s="25" t="str">
        <f t="shared" si="41"/>
        <v/>
      </c>
      <c r="AQ225" s="25" t="str">
        <f t="shared" si="42"/>
        <v/>
      </c>
      <c r="AR225" s="25" t="str">
        <f t="shared" si="43"/>
        <v/>
      </c>
      <c r="AS225" s="25" t="str">
        <f t="shared" si="44"/>
        <v/>
      </c>
      <c r="AT225" s="25" t="str">
        <f t="shared" si="45"/>
        <v/>
      </c>
      <c r="AU225" s="25" t="str">
        <f t="shared" si="46"/>
        <v/>
      </c>
      <c r="AV225" s="24" t="str">
        <f t="shared" si="47"/>
        <v/>
      </c>
      <c r="AW225" s="72"/>
    </row>
    <row r="226" spans="1:49">
      <c r="A226" s="22" t="str">
        <f t="shared" si="36"/>
        <v/>
      </c>
      <c r="B226" s="24" t="str">
        <f>IFERROR(INDEX(_自动清单!$CC$4:$CC$253,ROW()-3),"")</f>
        <v/>
      </c>
      <c r="C226" s="25" t="str">
        <f>IF(OR($B226="",基础资料!$B$4=""),"",SUMIFS(周转筐出入库明细!$J$4:$J$2004,周转筐出入库明细!$C$4:$C$2004,$B226,周转筐出入库明细!$D$4:$D$2004,基础资料!$B$4,周转筐出入库明细!$B$4:$B$2004,"&gt;="&amp;$BC$1,周转筐出入库明细!$B$4:$B$2004,"&lt;="&amp;$BC$2))</f>
        <v/>
      </c>
      <c r="D226" s="25" t="str">
        <f>IF(OR($B226="",基础资料!$B$5=""),"",SUMIFS(周转筐出入库明细!$J$4:$J$2004,周转筐出入库明细!$C$4:$C$2004,$B226,周转筐出入库明细!$D$4:$D$2004,基础资料!$B$5,周转筐出入库明细!$B$4:$B$2004,"&gt;="&amp;$BC$1,周转筐出入库明细!$B$4:$B$2004,"&lt;="&amp;$BC$2))</f>
        <v/>
      </c>
      <c r="E226" s="25" t="str">
        <f>IF(OR($B226="",基础资料!$B$6=""),"",SUMIFS(周转筐出入库明细!$J$4:$J$2004,周转筐出入库明细!$C$4:$C$2004,$B226,周转筐出入库明细!$D$4:$D$2004,基础资料!$B$6,周转筐出入库明细!$B$4:$B$2004,"&gt;="&amp;$BC$1,周转筐出入库明细!$B$4:$B$2004,"&lt;="&amp;$BC$2))</f>
        <v/>
      </c>
      <c r="F226" s="25" t="str">
        <f>IF(OR($B226="",基础资料!$B$7=""),"",SUMIFS(周转筐出入库明细!$J$4:$J$2004,周转筐出入库明细!$C$4:$C$2004,$B226,周转筐出入库明细!$D$4:$D$2004,基础资料!$B$7,周转筐出入库明细!$B$4:$B$2004,"&gt;="&amp;$BC$1,周转筐出入库明细!$B$4:$B$2004,"&lt;="&amp;$BC$2))</f>
        <v/>
      </c>
      <c r="G226" s="25" t="str">
        <f>IF(OR($B226="",基础资料!$B$8=""),"",SUMIFS(周转筐出入库明细!$J$4:$J$2004,周转筐出入库明细!$C$4:$C$2004,$B226,周转筐出入库明细!$D$4:$D$2004,基础资料!$B$8,周转筐出入库明细!$B$4:$B$2004,"&gt;="&amp;$BC$1,周转筐出入库明细!$B$4:$B$2004,"&lt;="&amp;$BC$2))</f>
        <v/>
      </c>
      <c r="H226" s="25" t="str">
        <f t="shared" si="37"/>
        <v/>
      </c>
      <c r="I226" s="67" t="str">
        <f>IF(OR($B226="",基础资料!$B$4=""),"",-SUMIFS(周转筐出入库明细!$I$4:$I$2004,周转筐出入库明细!$C$4:$C$2004,$B226,周转筐出入库明细!$D$4:$D$2004,基础资料!$B$4,周转筐出入库明细!$B$4:$B$2004,"&gt;="&amp;$BC$1,周转筐出入库明细!$B$4:$B$2004,"&lt;="&amp;$BC$2))</f>
        <v/>
      </c>
      <c r="J226" s="67" t="str">
        <f>IF(OR($B226="",基础资料!$B$5=""),"",-SUMIFS(周转筐出入库明细!$I$4:$I$2004,周转筐出入库明细!$C$4:$C$2004,$B226,周转筐出入库明细!$D$4:$D$2004,基础资料!$B$5,周转筐出入库明细!$B$4:$B$2004,"&gt;="&amp;$BC$1,周转筐出入库明细!$B$4:$B$2004,"&lt;="&amp;$BC$2))</f>
        <v/>
      </c>
      <c r="K226" s="67" t="str">
        <f>IF(OR($B226="",基础资料!$B$6=""),"",-SUMIFS(周转筐出入库明细!$I$4:$I$2004,周转筐出入库明细!$C$4:$C$2004,$B226,周转筐出入库明细!$D$4:$D$2004,基础资料!$B$6,周转筐出入库明细!$B$4:$B$2004,"&gt;="&amp;$BC$1,周转筐出入库明细!$B$4:$B$2004,"&lt;="&amp;$BC$2))</f>
        <v/>
      </c>
      <c r="L226" s="67" t="str">
        <f>IF(OR($B226="",基础资料!$B$7=""),"",-SUMIFS(周转筐出入库明细!$I$4:$I$2004,周转筐出入库明细!$C$4:$C$2004,$B226,周转筐出入库明细!$D$4:$D$2004,基础资料!$B$7,周转筐出入库明细!$B$4:$B$2004,"&gt;="&amp;$BC$1,周转筐出入库明细!$B$4:$B$2004,"&lt;="&amp;$BC$2))</f>
        <v/>
      </c>
      <c r="M226" s="67" t="str">
        <f>IF(OR($B226="",基础资料!$B$8=""),"",-SUMIFS(周转筐出入库明细!$I$4:$I$2004,周转筐出入库明细!$C$4:$C$2004,$B226,周转筐出入库明细!$D$4:$D$2004,基础资料!$B$8,周转筐出入库明细!$B$4:$B$2004,"&gt;="&amp;$BC$1,周转筐出入库明细!$B$4:$B$2004,"&lt;="&amp;$BC$2))</f>
        <v/>
      </c>
      <c r="N226" s="67" t="str">
        <f t="shared" si="38"/>
        <v/>
      </c>
      <c r="O226" s="25" t="str">
        <f>IF(OR($B226="",基础资料!$B$4=""),"",SUMIFS(周转筐出入库明细!$H$4:$H$2004,周转筐出入库明细!$C$4:$C$2004,$B226,周转筐出入库明细!$D$4:$D$2004,基础资料!$B$4,周转筐出入库明细!$F$4:$F$2004,"采购入库",周转筐出入库明细!$B$4:$B$2004,"&gt;="&amp;$BC$1,周转筐出入库明细!$B$4:$B$2004,"&lt;="&amp;$BC$2))</f>
        <v/>
      </c>
      <c r="P226" s="25" t="str">
        <f>IF(OR($B226="",基础资料!$B$5=""),"",SUMIFS(周转筐出入库明细!$H$4:$H$2004,周转筐出入库明细!$C$4:$C$2004,$B226,周转筐出入库明细!$D$4:$D$2004,基础资料!$B$5,周转筐出入库明细!$F$4:$F$2004,"采购入库",周转筐出入库明细!$B$4:$B$2004,"&gt;="&amp;$BC$1,周转筐出入库明细!$B$4:$B$2004,"&lt;="&amp;$BC$2))</f>
        <v/>
      </c>
      <c r="Q226" s="25" t="str">
        <f>IF(OR($B226="",基础资料!$B$6=""),"",SUMIFS(周转筐出入库明细!$H$4:$H$2004,周转筐出入库明细!$C$4:$C$2004,$B226,周转筐出入库明细!$D$4:$D$2004,基础资料!$B$6,周转筐出入库明细!$F$4:$F$2004,"采购入库",周转筐出入库明细!$B$4:$B$2004,"&gt;="&amp;$BC$1,周转筐出入库明细!$B$4:$B$2004,"&lt;="&amp;$BC$2))</f>
        <v/>
      </c>
      <c r="R226" s="25" t="str">
        <f>IF(OR($B226="",基础资料!$B$7=""),"",SUMIFS(周转筐出入库明细!$H$4:$H$2004,周转筐出入库明细!$C$4:$C$2004,$B226,周转筐出入库明细!$D$4:$D$2004,基础资料!$B$7,周转筐出入库明细!$F$4:$F$2004,"采购入库",周转筐出入库明细!$B$4:$B$2004,"&gt;="&amp;$BC$1,周转筐出入库明细!$B$4:$B$2004,"&lt;="&amp;$BC$2))</f>
        <v/>
      </c>
      <c r="S226" s="25" t="str">
        <f>IF(OR($B226="",基础资料!$B$8=""),"",SUMIFS(周转筐出入库明细!$H$4:$H$2004,周转筐出入库明细!$C$4:$C$2004,$B226,周转筐出入库明细!$D$4:$D$2004,基础资料!$B$8,周转筐出入库明细!$F$4:$F$2004,"采购入库",周转筐出入库明细!$B$4:$B$2004,"&gt;="&amp;$BC$1,周转筐出入库明细!$B$4:$B$2004,"&lt;="&amp;$BC$2))</f>
        <v/>
      </c>
      <c r="T226" s="25" t="str">
        <f t="shared" si="39"/>
        <v/>
      </c>
      <c r="U226" s="25" t="str">
        <f>IF(OR($B226="",基础资料!$B$4=""),"",SUMIFS(周转筐出入库明细!$K$4:$K$2004,周转筐出入库明细!$C$4:$C$2004,$B226,周转筐出入库明细!$D$4:$D$2004,基础资料!$B$4,周转筐出入库明细!$B$4:$B$2004,"&gt;="&amp;$BC$1,周转筐出入库明细!$B$4:$B$2004,"&lt;="&amp;$BC$2))</f>
        <v/>
      </c>
      <c r="V226" s="25" t="str">
        <f>IF(OR($B226="",基础资料!$B$5=""),"",SUMIFS(周转筐出入库明细!$K$4:$K$2004,周转筐出入库明细!$C$4:$C$2004,$B226,周转筐出入库明细!$D$4:$D$2004,基础资料!$B$5,周转筐出入库明细!$B$4:$B$2004,"&gt;="&amp;$BC$1,周转筐出入库明细!$B$4:$B$2004,"&lt;="&amp;$BC$2))</f>
        <v/>
      </c>
      <c r="W226" s="25" t="str">
        <f>IF(OR($B226="",基础资料!$B$6=""),"",SUMIFS(周转筐出入库明细!$K$4:$K$2004,周转筐出入库明细!$C$4:$C$2004,$B226,周转筐出入库明细!$D$4:$D$2004,基础资料!$B$6,周转筐出入库明细!$B$4:$B$2004,"&gt;="&amp;$BC$1,周转筐出入库明细!$B$4:$B$2004,"&lt;="&amp;$BC$2))</f>
        <v/>
      </c>
      <c r="X226" s="25" t="str">
        <f>IF(OR($B226="",基础资料!$B$7=""),"",SUMIFS(周转筐出入库明细!$K$4:$K$2004,周转筐出入库明细!$C$4:$C$2004,$B226,周转筐出入库明细!$D$4:$D$2004,基础资料!$B$7,周转筐出入库明细!$B$4:$B$2004,"&gt;="&amp;$BC$1,周转筐出入库明细!$B$4:$B$2004,"&lt;="&amp;$BC$2))</f>
        <v/>
      </c>
      <c r="Y226" s="25" t="str">
        <f>IF(OR($B226="",基础资料!$B$8=""),"",SUMIFS(周转筐出入库明细!$K$4:$K$2004,周转筐出入库明细!$C$4:$C$2004,$B226,周转筐出入库明细!$D$4:$D$2004,基础资料!$B$8,周转筐出入库明细!$B$4:$B$2004,"&gt;="&amp;$BC$1,周转筐出入库明细!$B$4:$B$2004,"&lt;="&amp;$BC$2))</f>
        <v/>
      </c>
      <c r="Z226" s="25" t="str">
        <f t="shared" si="40"/>
        <v/>
      </c>
      <c r="AA226" s="67" t="str">
        <f>IF(OR($B226="",基础资料!$B$4=""),"",-SUMIFS(对接源_01水果筐数!$D$5:$D$304,对接源_01水果筐数!$B$5:$B$304,$B226,对接源_01水果筐数!$C$5:$C$304,基础资料!$B$4))</f>
        <v/>
      </c>
      <c r="AB226" s="67" t="str">
        <f>IF(OR($B226="",基础资料!$B$5=""),"",-SUMIFS(对接源_01水果筐数!$D$5:$D$304,对接源_01水果筐数!$B$5:$B$304,$B226,对接源_01水果筐数!$C$5:$C$304,基础资料!$B$5))</f>
        <v/>
      </c>
      <c r="AC226" s="67" t="str">
        <f>IF(OR($B226="",基础资料!$B$6=""),"",-SUMIFS(对接源_01水果筐数!$D$5:$D$304,对接源_01水果筐数!$B$5:$B$304,$B226,对接源_01水果筐数!$C$5:$C$304,基础资料!$B$6))</f>
        <v/>
      </c>
      <c r="AD226" s="67" t="str">
        <f>IF(OR($B226="",基础资料!$B$7=""),"",-SUMIFS(对接源_01水果筐数!$D$5:$D$304,对接源_01水果筐数!$B$5:$B$304,$B226,对接源_01水果筐数!$C$5:$C$304,基础资料!$B$7))</f>
        <v/>
      </c>
      <c r="AE226" s="67" t="str">
        <f>IF(OR($B226="",基础资料!$B$8=""),"",-SUMIFS(对接源_01水果筐数!$D$5:$D$304,对接源_01水果筐数!$B$5:$B$304,$B226,对接源_01水果筐数!$C$5:$C$304,基础资料!$B$8))</f>
        <v/>
      </c>
      <c r="AF226" s="25" t="str">
        <f>IF(OR($B226="",基础资料!$B$4=""),"",SUMIFS(对接源_01水果筐数!$E$5:$E$304,对接源_01水果筐数!$B$5:$B$304,$B226,对接源_01水果筐数!$C$5:$C$304,基础资料!$B$4))</f>
        <v/>
      </c>
      <c r="AG226" s="25" t="str">
        <f>IF(OR($B226="",基础资料!$B$5=""),"",SUMIFS(对接源_01水果筐数!$E$5:$E$304,对接源_01水果筐数!$B$5:$B$304,$B226,对接源_01水果筐数!$C$5:$C$304,基础资料!$B$5))</f>
        <v/>
      </c>
      <c r="AH226" s="25" t="str">
        <f>IF(OR($B226="",基础资料!$B$6=""),"",SUMIFS(对接源_01水果筐数!$E$5:$E$304,对接源_01水果筐数!$B$5:$B$304,$B226,对接源_01水果筐数!$C$5:$C$304,基础资料!$B$6))</f>
        <v/>
      </c>
      <c r="AI226" s="25" t="str">
        <f>IF(OR($B226="",基础资料!$B$7=""),"",SUMIFS(对接源_01水果筐数!$E$5:$E$304,对接源_01水果筐数!$B$5:$B$304,$B226,对接源_01水果筐数!$C$5:$C$304,基础资料!$B$7))</f>
        <v/>
      </c>
      <c r="AJ226" s="25" t="str">
        <f>IF(OR($B226="",基础资料!$B$8=""),"",SUMIFS(对接源_01水果筐数!$E$5:$E$304,对接源_01水果筐数!$B$5:$B$304,$B226,对接源_01水果筐数!$C$5:$C$304,基础资料!$B$8))</f>
        <v/>
      </c>
      <c r="AK226" s="25" t="str">
        <f>IF(OR($B226="",基础资料!$B$4=""),"",SUMIFS(对接源_01水果筐数!$F$5:$F$304,对接源_01水果筐数!$B$5:$B$304,$B226,对接源_01水果筐数!$C$5:$C$304,基础资料!$B$4))</f>
        <v/>
      </c>
      <c r="AL226" s="25" t="str">
        <f>IF(OR($B226="",基础资料!$B$5=""),"",SUMIFS(对接源_01水果筐数!$F$5:$F$304,对接源_01水果筐数!$B$5:$B$304,$B226,对接源_01水果筐数!$C$5:$C$304,基础资料!$B$5))</f>
        <v/>
      </c>
      <c r="AM226" s="25" t="str">
        <f>IF(OR($B226="",基础资料!$B$6=""),"",SUMIFS(对接源_01水果筐数!$F$5:$F$304,对接源_01水果筐数!$B$5:$B$304,$B226,对接源_01水果筐数!$C$5:$C$304,基础资料!$B$6))</f>
        <v/>
      </c>
      <c r="AN226" s="25" t="str">
        <f>IF(OR($B226="",基础资料!$B$7=""),"",SUMIFS(对接源_01水果筐数!$F$5:$F$304,对接源_01水果筐数!$B$5:$B$304,$B226,对接源_01水果筐数!$C$5:$C$304,基础资料!$B$7))</f>
        <v/>
      </c>
      <c r="AO226" s="25" t="str">
        <f>IF(OR($B226="",基础资料!$B$8=""),"",SUMIFS(对接源_01水果筐数!$F$5:$F$304,对接源_01水果筐数!$B$5:$B$304,$B226,对接源_01水果筐数!$C$5:$C$304,基础资料!$B$8))</f>
        <v/>
      </c>
      <c r="AP226" s="25" t="str">
        <f t="shared" si="41"/>
        <v/>
      </c>
      <c r="AQ226" s="25" t="str">
        <f t="shared" si="42"/>
        <v/>
      </c>
      <c r="AR226" s="25" t="str">
        <f t="shared" si="43"/>
        <v/>
      </c>
      <c r="AS226" s="25" t="str">
        <f t="shared" si="44"/>
        <v/>
      </c>
      <c r="AT226" s="25" t="str">
        <f t="shared" si="45"/>
        <v/>
      </c>
      <c r="AU226" s="25" t="str">
        <f t="shared" si="46"/>
        <v/>
      </c>
      <c r="AV226" s="24" t="str">
        <f t="shared" si="47"/>
        <v/>
      </c>
      <c r="AW226" s="72"/>
    </row>
    <row r="227" spans="1:49">
      <c r="A227" s="22" t="str">
        <f t="shared" si="36"/>
        <v/>
      </c>
      <c r="B227" s="24" t="str">
        <f>IFERROR(INDEX(_自动清单!$CC$4:$CC$253,ROW()-3),"")</f>
        <v/>
      </c>
      <c r="C227" s="25" t="str">
        <f>IF(OR($B227="",基础资料!$B$4=""),"",SUMIFS(周转筐出入库明细!$J$4:$J$2004,周转筐出入库明细!$C$4:$C$2004,$B227,周转筐出入库明细!$D$4:$D$2004,基础资料!$B$4,周转筐出入库明细!$B$4:$B$2004,"&gt;="&amp;$BC$1,周转筐出入库明细!$B$4:$B$2004,"&lt;="&amp;$BC$2))</f>
        <v/>
      </c>
      <c r="D227" s="25" t="str">
        <f>IF(OR($B227="",基础资料!$B$5=""),"",SUMIFS(周转筐出入库明细!$J$4:$J$2004,周转筐出入库明细!$C$4:$C$2004,$B227,周转筐出入库明细!$D$4:$D$2004,基础资料!$B$5,周转筐出入库明细!$B$4:$B$2004,"&gt;="&amp;$BC$1,周转筐出入库明细!$B$4:$B$2004,"&lt;="&amp;$BC$2))</f>
        <v/>
      </c>
      <c r="E227" s="25" t="str">
        <f>IF(OR($B227="",基础资料!$B$6=""),"",SUMIFS(周转筐出入库明细!$J$4:$J$2004,周转筐出入库明细!$C$4:$C$2004,$B227,周转筐出入库明细!$D$4:$D$2004,基础资料!$B$6,周转筐出入库明细!$B$4:$B$2004,"&gt;="&amp;$BC$1,周转筐出入库明细!$B$4:$B$2004,"&lt;="&amp;$BC$2))</f>
        <v/>
      </c>
      <c r="F227" s="25" t="str">
        <f>IF(OR($B227="",基础资料!$B$7=""),"",SUMIFS(周转筐出入库明细!$J$4:$J$2004,周转筐出入库明细!$C$4:$C$2004,$B227,周转筐出入库明细!$D$4:$D$2004,基础资料!$B$7,周转筐出入库明细!$B$4:$B$2004,"&gt;="&amp;$BC$1,周转筐出入库明细!$B$4:$B$2004,"&lt;="&amp;$BC$2))</f>
        <v/>
      </c>
      <c r="G227" s="25" t="str">
        <f>IF(OR($B227="",基础资料!$B$8=""),"",SUMIFS(周转筐出入库明细!$J$4:$J$2004,周转筐出入库明细!$C$4:$C$2004,$B227,周转筐出入库明细!$D$4:$D$2004,基础资料!$B$8,周转筐出入库明细!$B$4:$B$2004,"&gt;="&amp;$BC$1,周转筐出入库明细!$B$4:$B$2004,"&lt;="&amp;$BC$2))</f>
        <v/>
      </c>
      <c r="H227" s="25" t="str">
        <f t="shared" si="37"/>
        <v/>
      </c>
      <c r="I227" s="67" t="str">
        <f>IF(OR($B227="",基础资料!$B$4=""),"",-SUMIFS(周转筐出入库明细!$I$4:$I$2004,周转筐出入库明细!$C$4:$C$2004,$B227,周转筐出入库明细!$D$4:$D$2004,基础资料!$B$4,周转筐出入库明细!$B$4:$B$2004,"&gt;="&amp;$BC$1,周转筐出入库明细!$B$4:$B$2004,"&lt;="&amp;$BC$2))</f>
        <v/>
      </c>
      <c r="J227" s="67" t="str">
        <f>IF(OR($B227="",基础资料!$B$5=""),"",-SUMIFS(周转筐出入库明细!$I$4:$I$2004,周转筐出入库明细!$C$4:$C$2004,$B227,周转筐出入库明细!$D$4:$D$2004,基础资料!$B$5,周转筐出入库明细!$B$4:$B$2004,"&gt;="&amp;$BC$1,周转筐出入库明细!$B$4:$B$2004,"&lt;="&amp;$BC$2))</f>
        <v/>
      </c>
      <c r="K227" s="67" t="str">
        <f>IF(OR($B227="",基础资料!$B$6=""),"",-SUMIFS(周转筐出入库明细!$I$4:$I$2004,周转筐出入库明细!$C$4:$C$2004,$B227,周转筐出入库明细!$D$4:$D$2004,基础资料!$B$6,周转筐出入库明细!$B$4:$B$2004,"&gt;="&amp;$BC$1,周转筐出入库明细!$B$4:$B$2004,"&lt;="&amp;$BC$2))</f>
        <v/>
      </c>
      <c r="L227" s="67" t="str">
        <f>IF(OR($B227="",基础资料!$B$7=""),"",-SUMIFS(周转筐出入库明细!$I$4:$I$2004,周转筐出入库明细!$C$4:$C$2004,$B227,周转筐出入库明细!$D$4:$D$2004,基础资料!$B$7,周转筐出入库明细!$B$4:$B$2004,"&gt;="&amp;$BC$1,周转筐出入库明细!$B$4:$B$2004,"&lt;="&amp;$BC$2))</f>
        <v/>
      </c>
      <c r="M227" s="67" t="str">
        <f>IF(OR($B227="",基础资料!$B$8=""),"",-SUMIFS(周转筐出入库明细!$I$4:$I$2004,周转筐出入库明细!$C$4:$C$2004,$B227,周转筐出入库明细!$D$4:$D$2004,基础资料!$B$8,周转筐出入库明细!$B$4:$B$2004,"&gt;="&amp;$BC$1,周转筐出入库明细!$B$4:$B$2004,"&lt;="&amp;$BC$2))</f>
        <v/>
      </c>
      <c r="N227" s="67" t="str">
        <f t="shared" si="38"/>
        <v/>
      </c>
      <c r="O227" s="25" t="str">
        <f>IF(OR($B227="",基础资料!$B$4=""),"",SUMIFS(周转筐出入库明细!$H$4:$H$2004,周转筐出入库明细!$C$4:$C$2004,$B227,周转筐出入库明细!$D$4:$D$2004,基础资料!$B$4,周转筐出入库明细!$F$4:$F$2004,"采购入库",周转筐出入库明细!$B$4:$B$2004,"&gt;="&amp;$BC$1,周转筐出入库明细!$B$4:$B$2004,"&lt;="&amp;$BC$2))</f>
        <v/>
      </c>
      <c r="P227" s="25" t="str">
        <f>IF(OR($B227="",基础资料!$B$5=""),"",SUMIFS(周转筐出入库明细!$H$4:$H$2004,周转筐出入库明细!$C$4:$C$2004,$B227,周转筐出入库明细!$D$4:$D$2004,基础资料!$B$5,周转筐出入库明细!$F$4:$F$2004,"采购入库",周转筐出入库明细!$B$4:$B$2004,"&gt;="&amp;$BC$1,周转筐出入库明细!$B$4:$B$2004,"&lt;="&amp;$BC$2))</f>
        <v/>
      </c>
      <c r="Q227" s="25" t="str">
        <f>IF(OR($B227="",基础资料!$B$6=""),"",SUMIFS(周转筐出入库明细!$H$4:$H$2004,周转筐出入库明细!$C$4:$C$2004,$B227,周转筐出入库明细!$D$4:$D$2004,基础资料!$B$6,周转筐出入库明细!$F$4:$F$2004,"采购入库",周转筐出入库明细!$B$4:$B$2004,"&gt;="&amp;$BC$1,周转筐出入库明细!$B$4:$B$2004,"&lt;="&amp;$BC$2))</f>
        <v/>
      </c>
      <c r="R227" s="25" t="str">
        <f>IF(OR($B227="",基础资料!$B$7=""),"",SUMIFS(周转筐出入库明细!$H$4:$H$2004,周转筐出入库明细!$C$4:$C$2004,$B227,周转筐出入库明细!$D$4:$D$2004,基础资料!$B$7,周转筐出入库明细!$F$4:$F$2004,"采购入库",周转筐出入库明细!$B$4:$B$2004,"&gt;="&amp;$BC$1,周转筐出入库明细!$B$4:$B$2004,"&lt;="&amp;$BC$2))</f>
        <v/>
      </c>
      <c r="S227" s="25" t="str">
        <f>IF(OR($B227="",基础资料!$B$8=""),"",SUMIFS(周转筐出入库明细!$H$4:$H$2004,周转筐出入库明细!$C$4:$C$2004,$B227,周转筐出入库明细!$D$4:$D$2004,基础资料!$B$8,周转筐出入库明细!$F$4:$F$2004,"采购入库",周转筐出入库明细!$B$4:$B$2004,"&gt;="&amp;$BC$1,周转筐出入库明细!$B$4:$B$2004,"&lt;="&amp;$BC$2))</f>
        <v/>
      </c>
      <c r="T227" s="25" t="str">
        <f t="shared" si="39"/>
        <v/>
      </c>
      <c r="U227" s="25" t="str">
        <f>IF(OR($B227="",基础资料!$B$4=""),"",SUMIFS(周转筐出入库明细!$K$4:$K$2004,周转筐出入库明细!$C$4:$C$2004,$B227,周转筐出入库明细!$D$4:$D$2004,基础资料!$B$4,周转筐出入库明细!$B$4:$B$2004,"&gt;="&amp;$BC$1,周转筐出入库明细!$B$4:$B$2004,"&lt;="&amp;$BC$2))</f>
        <v/>
      </c>
      <c r="V227" s="25" t="str">
        <f>IF(OR($B227="",基础资料!$B$5=""),"",SUMIFS(周转筐出入库明细!$K$4:$K$2004,周转筐出入库明细!$C$4:$C$2004,$B227,周转筐出入库明细!$D$4:$D$2004,基础资料!$B$5,周转筐出入库明细!$B$4:$B$2004,"&gt;="&amp;$BC$1,周转筐出入库明细!$B$4:$B$2004,"&lt;="&amp;$BC$2))</f>
        <v/>
      </c>
      <c r="W227" s="25" t="str">
        <f>IF(OR($B227="",基础资料!$B$6=""),"",SUMIFS(周转筐出入库明细!$K$4:$K$2004,周转筐出入库明细!$C$4:$C$2004,$B227,周转筐出入库明细!$D$4:$D$2004,基础资料!$B$6,周转筐出入库明细!$B$4:$B$2004,"&gt;="&amp;$BC$1,周转筐出入库明细!$B$4:$B$2004,"&lt;="&amp;$BC$2))</f>
        <v/>
      </c>
      <c r="X227" s="25" t="str">
        <f>IF(OR($B227="",基础资料!$B$7=""),"",SUMIFS(周转筐出入库明细!$K$4:$K$2004,周转筐出入库明细!$C$4:$C$2004,$B227,周转筐出入库明细!$D$4:$D$2004,基础资料!$B$7,周转筐出入库明细!$B$4:$B$2004,"&gt;="&amp;$BC$1,周转筐出入库明细!$B$4:$B$2004,"&lt;="&amp;$BC$2))</f>
        <v/>
      </c>
      <c r="Y227" s="25" t="str">
        <f>IF(OR($B227="",基础资料!$B$8=""),"",SUMIFS(周转筐出入库明细!$K$4:$K$2004,周转筐出入库明细!$C$4:$C$2004,$B227,周转筐出入库明细!$D$4:$D$2004,基础资料!$B$8,周转筐出入库明细!$B$4:$B$2004,"&gt;="&amp;$BC$1,周转筐出入库明细!$B$4:$B$2004,"&lt;="&amp;$BC$2))</f>
        <v/>
      </c>
      <c r="Z227" s="25" t="str">
        <f t="shared" si="40"/>
        <v/>
      </c>
      <c r="AA227" s="67" t="str">
        <f>IF(OR($B227="",基础资料!$B$4=""),"",-SUMIFS(对接源_01水果筐数!$D$5:$D$304,对接源_01水果筐数!$B$5:$B$304,$B227,对接源_01水果筐数!$C$5:$C$304,基础资料!$B$4))</f>
        <v/>
      </c>
      <c r="AB227" s="67" t="str">
        <f>IF(OR($B227="",基础资料!$B$5=""),"",-SUMIFS(对接源_01水果筐数!$D$5:$D$304,对接源_01水果筐数!$B$5:$B$304,$B227,对接源_01水果筐数!$C$5:$C$304,基础资料!$B$5))</f>
        <v/>
      </c>
      <c r="AC227" s="67" t="str">
        <f>IF(OR($B227="",基础资料!$B$6=""),"",-SUMIFS(对接源_01水果筐数!$D$5:$D$304,对接源_01水果筐数!$B$5:$B$304,$B227,对接源_01水果筐数!$C$5:$C$304,基础资料!$B$6))</f>
        <v/>
      </c>
      <c r="AD227" s="67" t="str">
        <f>IF(OR($B227="",基础资料!$B$7=""),"",-SUMIFS(对接源_01水果筐数!$D$5:$D$304,对接源_01水果筐数!$B$5:$B$304,$B227,对接源_01水果筐数!$C$5:$C$304,基础资料!$B$7))</f>
        <v/>
      </c>
      <c r="AE227" s="67" t="str">
        <f>IF(OR($B227="",基础资料!$B$8=""),"",-SUMIFS(对接源_01水果筐数!$D$5:$D$304,对接源_01水果筐数!$B$5:$B$304,$B227,对接源_01水果筐数!$C$5:$C$304,基础资料!$B$8))</f>
        <v/>
      </c>
      <c r="AF227" s="25" t="str">
        <f>IF(OR($B227="",基础资料!$B$4=""),"",SUMIFS(对接源_01水果筐数!$E$5:$E$304,对接源_01水果筐数!$B$5:$B$304,$B227,对接源_01水果筐数!$C$5:$C$304,基础资料!$B$4))</f>
        <v/>
      </c>
      <c r="AG227" s="25" t="str">
        <f>IF(OR($B227="",基础资料!$B$5=""),"",SUMIFS(对接源_01水果筐数!$E$5:$E$304,对接源_01水果筐数!$B$5:$B$304,$B227,对接源_01水果筐数!$C$5:$C$304,基础资料!$B$5))</f>
        <v/>
      </c>
      <c r="AH227" s="25" t="str">
        <f>IF(OR($B227="",基础资料!$B$6=""),"",SUMIFS(对接源_01水果筐数!$E$5:$E$304,对接源_01水果筐数!$B$5:$B$304,$B227,对接源_01水果筐数!$C$5:$C$304,基础资料!$B$6))</f>
        <v/>
      </c>
      <c r="AI227" s="25" t="str">
        <f>IF(OR($B227="",基础资料!$B$7=""),"",SUMIFS(对接源_01水果筐数!$E$5:$E$304,对接源_01水果筐数!$B$5:$B$304,$B227,对接源_01水果筐数!$C$5:$C$304,基础资料!$B$7))</f>
        <v/>
      </c>
      <c r="AJ227" s="25" t="str">
        <f>IF(OR($B227="",基础资料!$B$8=""),"",SUMIFS(对接源_01水果筐数!$E$5:$E$304,对接源_01水果筐数!$B$5:$B$304,$B227,对接源_01水果筐数!$C$5:$C$304,基础资料!$B$8))</f>
        <v/>
      </c>
      <c r="AK227" s="25" t="str">
        <f>IF(OR($B227="",基础资料!$B$4=""),"",SUMIFS(对接源_01水果筐数!$F$5:$F$304,对接源_01水果筐数!$B$5:$B$304,$B227,对接源_01水果筐数!$C$5:$C$304,基础资料!$B$4))</f>
        <v/>
      </c>
      <c r="AL227" s="25" t="str">
        <f>IF(OR($B227="",基础资料!$B$5=""),"",SUMIFS(对接源_01水果筐数!$F$5:$F$304,对接源_01水果筐数!$B$5:$B$304,$B227,对接源_01水果筐数!$C$5:$C$304,基础资料!$B$5))</f>
        <v/>
      </c>
      <c r="AM227" s="25" t="str">
        <f>IF(OR($B227="",基础资料!$B$6=""),"",SUMIFS(对接源_01水果筐数!$F$5:$F$304,对接源_01水果筐数!$B$5:$B$304,$B227,对接源_01水果筐数!$C$5:$C$304,基础资料!$B$6))</f>
        <v/>
      </c>
      <c r="AN227" s="25" t="str">
        <f>IF(OR($B227="",基础资料!$B$7=""),"",SUMIFS(对接源_01水果筐数!$F$5:$F$304,对接源_01水果筐数!$B$5:$B$304,$B227,对接源_01水果筐数!$C$5:$C$304,基础资料!$B$7))</f>
        <v/>
      </c>
      <c r="AO227" s="25" t="str">
        <f>IF(OR($B227="",基础资料!$B$8=""),"",SUMIFS(对接源_01水果筐数!$F$5:$F$304,对接源_01水果筐数!$B$5:$B$304,$B227,对接源_01水果筐数!$C$5:$C$304,基础资料!$B$8))</f>
        <v/>
      </c>
      <c r="AP227" s="25" t="str">
        <f t="shared" si="41"/>
        <v/>
      </c>
      <c r="AQ227" s="25" t="str">
        <f t="shared" si="42"/>
        <v/>
      </c>
      <c r="AR227" s="25" t="str">
        <f t="shared" si="43"/>
        <v/>
      </c>
      <c r="AS227" s="25" t="str">
        <f t="shared" si="44"/>
        <v/>
      </c>
      <c r="AT227" s="25" t="str">
        <f t="shared" si="45"/>
        <v/>
      </c>
      <c r="AU227" s="25" t="str">
        <f t="shared" si="46"/>
        <v/>
      </c>
      <c r="AV227" s="24" t="str">
        <f t="shared" si="47"/>
        <v/>
      </c>
      <c r="AW227" s="72"/>
    </row>
    <row r="228" spans="1:49">
      <c r="A228" s="22" t="str">
        <f t="shared" si="36"/>
        <v/>
      </c>
      <c r="B228" s="24" t="str">
        <f>IFERROR(INDEX(_自动清单!$CC$4:$CC$253,ROW()-3),"")</f>
        <v/>
      </c>
      <c r="C228" s="25" t="str">
        <f>IF(OR($B228="",基础资料!$B$4=""),"",SUMIFS(周转筐出入库明细!$J$4:$J$2004,周转筐出入库明细!$C$4:$C$2004,$B228,周转筐出入库明细!$D$4:$D$2004,基础资料!$B$4,周转筐出入库明细!$B$4:$B$2004,"&gt;="&amp;$BC$1,周转筐出入库明细!$B$4:$B$2004,"&lt;="&amp;$BC$2))</f>
        <v/>
      </c>
      <c r="D228" s="25" t="str">
        <f>IF(OR($B228="",基础资料!$B$5=""),"",SUMIFS(周转筐出入库明细!$J$4:$J$2004,周转筐出入库明细!$C$4:$C$2004,$B228,周转筐出入库明细!$D$4:$D$2004,基础资料!$B$5,周转筐出入库明细!$B$4:$B$2004,"&gt;="&amp;$BC$1,周转筐出入库明细!$B$4:$B$2004,"&lt;="&amp;$BC$2))</f>
        <v/>
      </c>
      <c r="E228" s="25" t="str">
        <f>IF(OR($B228="",基础资料!$B$6=""),"",SUMIFS(周转筐出入库明细!$J$4:$J$2004,周转筐出入库明细!$C$4:$C$2004,$B228,周转筐出入库明细!$D$4:$D$2004,基础资料!$B$6,周转筐出入库明细!$B$4:$B$2004,"&gt;="&amp;$BC$1,周转筐出入库明细!$B$4:$B$2004,"&lt;="&amp;$BC$2))</f>
        <v/>
      </c>
      <c r="F228" s="25" t="str">
        <f>IF(OR($B228="",基础资料!$B$7=""),"",SUMIFS(周转筐出入库明细!$J$4:$J$2004,周转筐出入库明细!$C$4:$C$2004,$B228,周转筐出入库明细!$D$4:$D$2004,基础资料!$B$7,周转筐出入库明细!$B$4:$B$2004,"&gt;="&amp;$BC$1,周转筐出入库明细!$B$4:$B$2004,"&lt;="&amp;$BC$2))</f>
        <v/>
      </c>
      <c r="G228" s="25" t="str">
        <f>IF(OR($B228="",基础资料!$B$8=""),"",SUMIFS(周转筐出入库明细!$J$4:$J$2004,周转筐出入库明细!$C$4:$C$2004,$B228,周转筐出入库明细!$D$4:$D$2004,基础资料!$B$8,周转筐出入库明细!$B$4:$B$2004,"&gt;="&amp;$BC$1,周转筐出入库明细!$B$4:$B$2004,"&lt;="&amp;$BC$2))</f>
        <v/>
      </c>
      <c r="H228" s="25" t="str">
        <f t="shared" si="37"/>
        <v/>
      </c>
      <c r="I228" s="67" t="str">
        <f>IF(OR($B228="",基础资料!$B$4=""),"",-SUMIFS(周转筐出入库明细!$I$4:$I$2004,周转筐出入库明细!$C$4:$C$2004,$B228,周转筐出入库明细!$D$4:$D$2004,基础资料!$B$4,周转筐出入库明细!$B$4:$B$2004,"&gt;="&amp;$BC$1,周转筐出入库明细!$B$4:$B$2004,"&lt;="&amp;$BC$2))</f>
        <v/>
      </c>
      <c r="J228" s="67" t="str">
        <f>IF(OR($B228="",基础资料!$B$5=""),"",-SUMIFS(周转筐出入库明细!$I$4:$I$2004,周转筐出入库明细!$C$4:$C$2004,$B228,周转筐出入库明细!$D$4:$D$2004,基础资料!$B$5,周转筐出入库明细!$B$4:$B$2004,"&gt;="&amp;$BC$1,周转筐出入库明细!$B$4:$B$2004,"&lt;="&amp;$BC$2))</f>
        <v/>
      </c>
      <c r="K228" s="67" t="str">
        <f>IF(OR($B228="",基础资料!$B$6=""),"",-SUMIFS(周转筐出入库明细!$I$4:$I$2004,周转筐出入库明细!$C$4:$C$2004,$B228,周转筐出入库明细!$D$4:$D$2004,基础资料!$B$6,周转筐出入库明细!$B$4:$B$2004,"&gt;="&amp;$BC$1,周转筐出入库明细!$B$4:$B$2004,"&lt;="&amp;$BC$2))</f>
        <v/>
      </c>
      <c r="L228" s="67" t="str">
        <f>IF(OR($B228="",基础资料!$B$7=""),"",-SUMIFS(周转筐出入库明细!$I$4:$I$2004,周转筐出入库明细!$C$4:$C$2004,$B228,周转筐出入库明细!$D$4:$D$2004,基础资料!$B$7,周转筐出入库明细!$B$4:$B$2004,"&gt;="&amp;$BC$1,周转筐出入库明细!$B$4:$B$2004,"&lt;="&amp;$BC$2))</f>
        <v/>
      </c>
      <c r="M228" s="67" t="str">
        <f>IF(OR($B228="",基础资料!$B$8=""),"",-SUMIFS(周转筐出入库明细!$I$4:$I$2004,周转筐出入库明细!$C$4:$C$2004,$B228,周转筐出入库明细!$D$4:$D$2004,基础资料!$B$8,周转筐出入库明细!$B$4:$B$2004,"&gt;="&amp;$BC$1,周转筐出入库明细!$B$4:$B$2004,"&lt;="&amp;$BC$2))</f>
        <v/>
      </c>
      <c r="N228" s="67" t="str">
        <f t="shared" si="38"/>
        <v/>
      </c>
      <c r="O228" s="25" t="str">
        <f>IF(OR($B228="",基础资料!$B$4=""),"",SUMIFS(周转筐出入库明细!$H$4:$H$2004,周转筐出入库明细!$C$4:$C$2004,$B228,周转筐出入库明细!$D$4:$D$2004,基础资料!$B$4,周转筐出入库明细!$F$4:$F$2004,"采购入库",周转筐出入库明细!$B$4:$B$2004,"&gt;="&amp;$BC$1,周转筐出入库明细!$B$4:$B$2004,"&lt;="&amp;$BC$2))</f>
        <v/>
      </c>
      <c r="P228" s="25" t="str">
        <f>IF(OR($B228="",基础资料!$B$5=""),"",SUMIFS(周转筐出入库明细!$H$4:$H$2004,周转筐出入库明细!$C$4:$C$2004,$B228,周转筐出入库明细!$D$4:$D$2004,基础资料!$B$5,周转筐出入库明细!$F$4:$F$2004,"采购入库",周转筐出入库明细!$B$4:$B$2004,"&gt;="&amp;$BC$1,周转筐出入库明细!$B$4:$B$2004,"&lt;="&amp;$BC$2))</f>
        <v/>
      </c>
      <c r="Q228" s="25" t="str">
        <f>IF(OR($B228="",基础资料!$B$6=""),"",SUMIFS(周转筐出入库明细!$H$4:$H$2004,周转筐出入库明细!$C$4:$C$2004,$B228,周转筐出入库明细!$D$4:$D$2004,基础资料!$B$6,周转筐出入库明细!$F$4:$F$2004,"采购入库",周转筐出入库明细!$B$4:$B$2004,"&gt;="&amp;$BC$1,周转筐出入库明细!$B$4:$B$2004,"&lt;="&amp;$BC$2))</f>
        <v/>
      </c>
      <c r="R228" s="25" t="str">
        <f>IF(OR($B228="",基础资料!$B$7=""),"",SUMIFS(周转筐出入库明细!$H$4:$H$2004,周转筐出入库明细!$C$4:$C$2004,$B228,周转筐出入库明细!$D$4:$D$2004,基础资料!$B$7,周转筐出入库明细!$F$4:$F$2004,"采购入库",周转筐出入库明细!$B$4:$B$2004,"&gt;="&amp;$BC$1,周转筐出入库明细!$B$4:$B$2004,"&lt;="&amp;$BC$2))</f>
        <v/>
      </c>
      <c r="S228" s="25" t="str">
        <f>IF(OR($B228="",基础资料!$B$8=""),"",SUMIFS(周转筐出入库明细!$H$4:$H$2004,周转筐出入库明细!$C$4:$C$2004,$B228,周转筐出入库明细!$D$4:$D$2004,基础资料!$B$8,周转筐出入库明细!$F$4:$F$2004,"采购入库",周转筐出入库明细!$B$4:$B$2004,"&gt;="&amp;$BC$1,周转筐出入库明细!$B$4:$B$2004,"&lt;="&amp;$BC$2))</f>
        <v/>
      </c>
      <c r="T228" s="25" t="str">
        <f t="shared" si="39"/>
        <v/>
      </c>
      <c r="U228" s="25" t="str">
        <f>IF(OR($B228="",基础资料!$B$4=""),"",SUMIFS(周转筐出入库明细!$K$4:$K$2004,周转筐出入库明细!$C$4:$C$2004,$B228,周转筐出入库明细!$D$4:$D$2004,基础资料!$B$4,周转筐出入库明细!$B$4:$B$2004,"&gt;="&amp;$BC$1,周转筐出入库明细!$B$4:$B$2004,"&lt;="&amp;$BC$2))</f>
        <v/>
      </c>
      <c r="V228" s="25" t="str">
        <f>IF(OR($B228="",基础资料!$B$5=""),"",SUMIFS(周转筐出入库明细!$K$4:$K$2004,周转筐出入库明细!$C$4:$C$2004,$B228,周转筐出入库明细!$D$4:$D$2004,基础资料!$B$5,周转筐出入库明细!$B$4:$B$2004,"&gt;="&amp;$BC$1,周转筐出入库明细!$B$4:$B$2004,"&lt;="&amp;$BC$2))</f>
        <v/>
      </c>
      <c r="W228" s="25" t="str">
        <f>IF(OR($B228="",基础资料!$B$6=""),"",SUMIFS(周转筐出入库明细!$K$4:$K$2004,周转筐出入库明细!$C$4:$C$2004,$B228,周转筐出入库明细!$D$4:$D$2004,基础资料!$B$6,周转筐出入库明细!$B$4:$B$2004,"&gt;="&amp;$BC$1,周转筐出入库明细!$B$4:$B$2004,"&lt;="&amp;$BC$2))</f>
        <v/>
      </c>
      <c r="X228" s="25" t="str">
        <f>IF(OR($B228="",基础资料!$B$7=""),"",SUMIFS(周转筐出入库明细!$K$4:$K$2004,周转筐出入库明细!$C$4:$C$2004,$B228,周转筐出入库明细!$D$4:$D$2004,基础资料!$B$7,周转筐出入库明细!$B$4:$B$2004,"&gt;="&amp;$BC$1,周转筐出入库明细!$B$4:$B$2004,"&lt;="&amp;$BC$2))</f>
        <v/>
      </c>
      <c r="Y228" s="25" t="str">
        <f>IF(OR($B228="",基础资料!$B$8=""),"",SUMIFS(周转筐出入库明细!$K$4:$K$2004,周转筐出入库明细!$C$4:$C$2004,$B228,周转筐出入库明细!$D$4:$D$2004,基础资料!$B$8,周转筐出入库明细!$B$4:$B$2004,"&gt;="&amp;$BC$1,周转筐出入库明细!$B$4:$B$2004,"&lt;="&amp;$BC$2))</f>
        <v/>
      </c>
      <c r="Z228" s="25" t="str">
        <f t="shared" si="40"/>
        <v/>
      </c>
      <c r="AA228" s="67" t="str">
        <f>IF(OR($B228="",基础资料!$B$4=""),"",-SUMIFS(对接源_01水果筐数!$D$5:$D$304,对接源_01水果筐数!$B$5:$B$304,$B228,对接源_01水果筐数!$C$5:$C$304,基础资料!$B$4))</f>
        <v/>
      </c>
      <c r="AB228" s="67" t="str">
        <f>IF(OR($B228="",基础资料!$B$5=""),"",-SUMIFS(对接源_01水果筐数!$D$5:$D$304,对接源_01水果筐数!$B$5:$B$304,$B228,对接源_01水果筐数!$C$5:$C$304,基础资料!$B$5))</f>
        <v/>
      </c>
      <c r="AC228" s="67" t="str">
        <f>IF(OR($B228="",基础资料!$B$6=""),"",-SUMIFS(对接源_01水果筐数!$D$5:$D$304,对接源_01水果筐数!$B$5:$B$304,$B228,对接源_01水果筐数!$C$5:$C$304,基础资料!$B$6))</f>
        <v/>
      </c>
      <c r="AD228" s="67" t="str">
        <f>IF(OR($B228="",基础资料!$B$7=""),"",-SUMIFS(对接源_01水果筐数!$D$5:$D$304,对接源_01水果筐数!$B$5:$B$304,$B228,对接源_01水果筐数!$C$5:$C$304,基础资料!$B$7))</f>
        <v/>
      </c>
      <c r="AE228" s="67" t="str">
        <f>IF(OR($B228="",基础资料!$B$8=""),"",-SUMIFS(对接源_01水果筐数!$D$5:$D$304,对接源_01水果筐数!$B$5:$B$304,$B228,对接源_01水果筐数!$C$5:$C$304,基础资料!$B$8))</f>
        <v/>
      </c>
      <c r="AF228" s="25" t="str">
        <f>IF(OR($B228="",基础资料!$B$4=""),"",SUMIFS(对接源_01水果筐数!$E$5:$E$304,对接源_01水果筐数!$B$5:$B$304,$B228,对接源_01水果筐数!$C$5:$C$304,基础资料!$B$4))</f>
        <v/>
      </c>
      <c r="AG228" s="25" t="str">
        <f>IF(OR($B228="",基础资料!$B$5=""),"",SUMIFS(对接源_01水果筐数!$E$5:$E$304,对接源_01水果筐数!$B$5:$B$304,$B228,对接源_01水果筐数!$C$5:$C$304,基础资料!$B$5))</f>
        <v/>
      </c>
      <c r="AH228" s="25" t="str">
        <f>IF(OR($B228="",基础资料!$B$6=""),"",SUMIFS(对接源_01水果筐数!$E$5:$E$304,对接源_01水果筐数!$B$5:$B$304,$B228,对接源_01水果筐数!$C$5:$C$304,基础资料!$B$6))</f>
        <v/>
      </c>
      <c r="AI228" s="25" t="str">
        <f>IF(OR($B228="",基础资料!$B$7=""),"",SUMIFS(对接源_01水果筐数!$E$5:$E$304,对接源_01水果筐数!$B$5:$B$304,$B228,对接源_01水果筐数!$C$5:$C$304,基础资料!$B$7))</f>
        <v/>
      </c>
      <c r="AJ228" s="25" t="str">
        <f>IF(OR($B228="",基础资料!$B$8=""),"",SUMIFS(对接源_01水果筐数!$E$5:$E$304,对接源_01水果筐数!$B$5:$B$304,$B228,对接源_01水果筐数!$C$5:$C$304,基础资料!$B$8))</f>
        <v/>
      </c>
      <c r="AK228" s="25" t="str">
        <f>IF(OR($B228="",基础资料!$B$4=""),"",SUMIFS(对接源_01水果筐数!$F$5:$F$304,对接源_01水果筐数!$B$5:$B$304,$B228,对接源_01水果筐数!$C$5:$C$304,基础资料!$B$4))</f>
        <v/>
      </c>
      <c r="AL228" s="25" t="str">
        <f>IF(OR($B228="",基础资料!$B$5=""),"",SUMIFS(对接源_01水果筐数!$F$5:$F$304,对接源_01水果筐数!$B$5:$B$304,$B228,对接源_01水果筐数!$C$5:$C$304,基础资料!$B$5))</f>
        <v/>
      </c>
      <c r="AM228" s="25" t="str">
        <f>IF(OR($B228="",基础资料!$B$6=""),"",SUMIFS(对接源_01水果筐数!$F$5:$F$304,对接源_01水果筐数!$B$5:$B$304,$B228,对接源_01水果筐数!$C$5:$C$304,基础资料!$B$6))</f>
        <v/>
      </c>
      <c r="AN228" s="25" t="str">
        <f>IF(OR($B228="",基础资料!$B$7=""),"",SUMIFS(对接源_01水果筐数!$F$5:$F$304,对接源_01水果筐数!$B$5:$B$304,$B228,对接源_01水果筐数!$C$5:$C$304,基础资料!$B$7))</f>
        <v/>
      </c>
      <c r="AO228" s="25" t="str">
        <f>IF(OR($B228="",基础资料!$B$8=""),"",SUMIFS(对接源_01水果筐数!$F$5:$F$304,对接源_01水果筐数!$B$5:$B$304,$B228,对接源_01水果筐数!$C$5:$C$304,基础资料!$B$8))</f>
        <v/>
      </c>
      <c r="AP228" s="25" t="str">
        <f t="shared" si="41"/>
        <v/>
      </c>
      <c r="AQ228" s="25" t="str">
        <f t="shared" si="42"/>
        <v/>
      </c>
      <c r="AR228" s="25" t="str">
        <f t="shared" si="43"/>
        <v/>
      </c>
      <c r="AS228" s="25" t="str">
        <f t="shared" si="44"/>
        <v/>
      </c>
      <c r="AT228" s="25" t="str">
        <f t="shared" si="45"/>
        <v/>
      </c>
      <c r="AU228" s="25" t="str">
        <f t="shared" si="46"/>
        <v/>
      </c>
      <c r="AV228" s="24" t="str">
        <f t="shared" si="47"/>
        <v/>
      </c>
      <c r="AW228" s="72"/>
    </row>
    <row r="229" spans="1:49">
      <c r="A229" s="22" t="str">
        <f t="shared" si="36"/>
        <v/>
      </c>
      <c r="B229" s="24" t="str">
        <f>IFERROR(INDEX(_自动清单!$CC$4:$CC$253,ROW()-3),"")</f>
        <v/>
      </c>
      <c r="C229" s="25" t="str">
        <f>IF(OR($B229="",基础资料!$B$4=""),"",SUMIFS(周转筐出入库明细!$J$4:$J$2004,周转筐出入库明细!$C$4:$C$2004,$B229,周转筐出入库明细!$D$4:$D$2004,基础资料!$B$4,周转筐出入库明细!$B$4:$B$2004,"&gt;="&amp;$BC$1,周转筐出入库明细!$B$4:$B$2004,"&lt;="&amp;$BC$2))</f>
        <v/>
      </c>
      <c r="D229" s="25" t="str">
        <f>IF(OR($B229="",基础资料!$B$5=""),"",SUMIFS(周转筐出入库明细!$J$4:$J$2004,周转筐出入库明细!$C$4:$C$2004,$B229,周转筐出入库明细!$D$4:$D$2004,基础资料!$B$5,周转筐出入库明细!$B$4:$B$2004,"&gt;="&amp;$BC$1,周转筐出入库明细!$B$4:$B$2004,"&lt;="&amp;$BC$2))</f>
        <v/>
      </c>
      <c r="E229" s="25" t="str">
        <f>IF(OR($B229="",基础资料!$B$6=""),"",SUMIFS(周转筐出入库明细!$J$4:$J$2004,周转筐出入库明细!$C$4:$C$2004,$B229,周转筐出入库明细!$D$4:$D$2004,基础资料!$B$6,周转筐出入库明细!$B$4:$B$2004,"&gt;="&amp;$BC$1,周转筐出入库明细!$B$4:$B$2004,"&lt;="&amp;$BC$2))</f>
        <v/>
      </c>
      <c r="F229" s="25" t="str">
        <f>IF(OR($B229="",基础资料!$B$7=""),"",SUMIFS(周转筐出入库明细!$J$4:$J$2004,周转筐出入库明细!$C$4:$C$2004,$B229,周转筐出入库明细!$D$4:$D$2004,基础资料!$B$7,周转筐出入库明细!$B$4:$B$2004,"&gt;="&amp;$BC$1,周转筐出入库明细!$B$4:$B$2004,"&lt;="&amp;$BC$2))</f>
        <v/>
      </c>
      <c r="G229" s="25" t="str">
        <f>IF(OR($B229="",基础资料!$B$8=""),"",SUMIFS(周转筐出入库明细!$J$4:$J$2004,周转筐出入库明细!$C$4:$C$2004,$B229,周转筐出入库明细!$D$4:$D$2004,基础资料!$B$8,周转筐出入库明细!$B$4:$B$2004,"&gt;="&amp;$BC$1,周转筐出入库明细!$B$4:$B$2004,"&lt;="&amp;$BC$2))</f>
        <v/>
      </c>
      <c r="H229" s="25" t="str">
        <f t="shared" si="37"/>
        <v/>
      </c>
      <c r="I229" s="67" t="str">
        <f>IF(OR($B229="",基础资料!$B$4=""),"",-SUMIFS(周转筐出入库明细!$I$4:$I$2004,周转筐出入库明细!$C$4:$C$2004,$B229,周转筐出入库明细!$D$4:$D$2004,基础资料!$B$4,周转筐出入库明细!$B$4:$B$2004,"&gt;="&amp;$BC$1,周转筐出入库明细!$B$4:$B$2004,"&lt;="&amp;$BC$2))</f>
        <v/>
      </c>
      <c r="J229" s="67" t="str">
        <f>IF(OR($B229="",基础资料!$B$5=""),"",-SUMIFS(周转筐出入库明细!$I$4:$I$2004,周转筐出入库明细!$C$4:$C$2004,$B229,周转筐出入库明细!$D$4:$D$2004,基础资料!$B$5,周转筐出入库明细!$B$4:$B$2004,"&gt;="&amp;$BC$1,周转筐出入库明细!$B$4:$B$2004,"&lt;="&amp;$BC$2))</f>
        <v/>
      </c>
      <c r="K229" s="67" t="str">
        <f>IF(OR($B229="",基础资料!$B$6=""),"",-SUMIFS(周转筐出入库明细!$I$4:$I$2004,周转筐出入库明细!$C$4:$C$2004,$B229,周转筐出入库明细!$D$4:$D$2004,基础资料!$B$6,周转筐出入库明细!$B$4:$B$2004,"&gt;="&amp;$BC$1,周转筐出入库明细!$B$4:$B$2004,"&lt;="&amp;$BC$2))</f>
        <v/>
      </c>
      <c r="L229" s="67" t="str">
        <f>IF(OR($B229="",基础资料!$B$7=""),"",-SUMIFS(周转筐出入库明细!$I$4:$I$2004,周转筐出入库明细!$C$4:$C$2004,$B229,周转筐出入库明细!$D$4:$D$2004,基础资料!$B$7,周转筐出入库明细!$B$4:$B$2004,"&gt;="&amp;$BC$1,周转筐出入库明细!$B$4:$B$2004,"&lt;="&amp;$BC$2))</f>
        <v/>
      </c>
      <c r="M229" s="67" t="str">
        <f>IF(OR($B229="",基础资料!$B$8=""),"",-SUMIFS(周转筐出入库明细!$I$4:$I$2004,周转筐出入库明细!$C$4:$C$2004,$B229,周转筐出入库明细!$D$4:$D$2004,基础资料!$B$8,周转筐出入库明细!$B$4:$B$2004,"&gt;="&amp;$BC$1,周转筐出入库明细!$B$4:$B$2004,"&lt;="&amp;$BC$2))</f>
        <v/>
      </c>
      <c r="N229" s="67" t="str">
        <f t="shared" si="38"/>
        <v/>
      </c>
      <c r="O229" s="25" t="str">
        <f>IF(OR($B229="",基础资料!$B$4=""),"",SUMIFS(周转筐出入库明细!$H$4:$H$2004,周转筐出入库明细!$C$4:$C$2004,$B229,周转筐出入库明细!$D$4:$D$2004,基础资料!$B$4,周转筐出入库明细!$F$4:$F$2004,"采购入库",周转筐出入库明细!$B$4:$B$2004,"&gt;="&amp;$BC$1,周转筐出入库明细!$B$4:$B$2004,"&lt;="&amp;$BC$2))</f>
        <v/>
      </c>
      <c r="P229" s="25" t="str">
        <f>IF(OR($B229="",基础资料!$B$5=""),"",SUMIFS(周转筐出入库明细!$H$4:$H$2004,周转筐出入库明细!$C$4:$C$2004,$B229,周转筐出入库明细!$D$4:$D$2004,基础资料!$B$5,周转筐出入库明细!$F$4:$F$2004,"采购入库",周转筐出入库明细!$B$4:$B$2004,"&gt;="&amp;$BC$1,周转筐出入库明细!$B$4:$B$2004,"&lt;="&amp;$BC$2))</f>
        <v/>
      </c>
      <c r="Q229" s="25" t="str">
        <f>IF(OR($B229="",基础资料!$B$6=""),"",SUMIFS(周转筐出入库明细!$H$4:$H$2004,周转筐出入库明细!$C$4:$C$2004,$B229,周转筐出入库明细!$D$4:$D$2004,基础资料!$B$6,周转筐出入库明细!$F$4:$F$2004,"采购入库",周转筐出入库明细!$B$4:$B$2004,"&gt;="&amp;$BC$1,周转筐出入库明细!$B$4:$B$2004,"&lt;="&amp;$BC$2))</f>
        <v/>
      </c>
      <c r="R229" s="25" t="str">
        <f>IF(OR($B229="",基础资料!$B$7=""),"",SUMIFS(周转筐出入库明细!$H$4:$H$2004,周转筐出入库明细!$C$4:$C$2004,$B229,周转筐出入库明细!$D$4:$D$2004,基础资料!$B$7,周转筐出入库明细!$F$4:$F$2004,"采购入库",周转筐出入库明细!$B$4:$B$2004,"&gt;="&amp;$BC$1,周转筐出入库明细!$B$4:$B$2004,"&lt;="&amp;$BC$2))</f>
        <v/>
      </c>
      <c r="S229" s="25" t="str">
        <f>IF(OR($B229="",基础资料!$B$8=""),"",SUMIFS(周转筐出入库明细!$H$4:$H$2004,周转筐出入库明细!$C$4:$C$2004,$B229,周转筐出入库明细!$D$4:$D$2004,基础资料!$B$8,周转筐出入库明细!$F$4:$F$2004,"采购入库",周转筐出入库明细!$B$4:$B$2004,"&gt;="&amp;$BC$1,周转筐出入库明细!$B$4:$B$2004,"&lt;="&amp;$BC$2))</f>
        <v/>
      </c>
      <c r="T229" s="25" t="str">
        <f t="shared" si="39"/>
        <v/>
      </c>
      <c r="U229" s="25" t="str">
        <f>IF(OR($B229="",基础资料!$B$4=""),"",SUMIFS(周转筐出入库明细!$K$4:$K$2004,周转筐出入库明细!$C$4:$C$2004,$B229,周转筐出入库明细!$D$4:$D$2004,基础资料!$B$4,周转筐出入库明细!$B$4:$B$2004,"&gt;="&amp;$BC$1,周转筐出入库明细!$B$4:$B$2004,"&lt;="&amp;$BC$2))</f>
        <v/>
      </c>
      <c r="V229" s="25" t="str">
        <f>IF(OR($B229="",基础资料!$B$5=""),"",SUMIFS(周转筐出入库明细!$K$4:$K$2004,周转筐出入库明细!$C$4:$C$2004,$B229,周转筐出入库明细!$D$4:$D$2004,基础资料!$B$5,周转筐出入库明细!$B$4:$B$2004,"&gt;="&amp;$BC$1,周转筐出入库明细!$B$4:$B$2004,"&lt;="&amp;$BC$2))</f>
        <v/>
      </c>
      <c r="W229" s="25" t="str">
        <f>IF(OR($B229="",基础资料!$B$6=""),"",SUMIFS(周转筐出入库明细!$K$4:$K$2004,周转筐出入库明细!$C$4:$C$2004,$B229,周转筐出入库明细!$D$4:$D$2004,基础资料!$B$6,周转筐出入库明细!$B$4:$B$2004,"&gt;="&amp;$BC$1,周转筐出入库明细!$B$4:$B$2004,"&lt;="&amp;$BC$2))</f>
        <v/>
      </c>
      <c r="X229" s="25" t="str">
        <f>IF(OR($B229="",基础资料!$B$7=""),"",SUMIFS(周转筐出入库明细!$K$4:$K$2004,周转筐出入库明细!$C$4:$C$2004,$B229,周转筐出入库明细!$D$4:$D$2004,基础资料!$B$7,周转筐出入库明细!$B$4:$B$2004,"&gt;="&amp;$BC$1,周转筐出入库明细!$B$4:$B$2004,"&lt;="&amp;$BC$2))</f>
        <v/>
      </c>
      <c r="Y229" s="25" t="str">
        <f>IF(OR($B229="",基础资料!$B$8=""),"",SUMIFS(周转筐出入库明细!$K$4:$K$2004,周转筐出入库明细!$C$4:$C$2004,$B229,周转筐出入库明细!$D$4:$D$2004,基础资料!$B$8,周转筐出入库明细!$B$4:$B$2004,"&gt;="&amp;$BC$1,周转筐出入库明细!$B$4:$B$2004,"&lt;="&amp;$BC$2))</f>
        <v/>
      </c>
      <c r="Z229" s="25" t="str">
        <f t="shared" si="40"/>
        <v/>
      </c>
      <c r="AA229" s="67" t="str">
        <f>IF(OR($B229="",基础资料!$B$4=""),"",-SUMIFS(对接源_01水果筐数!$D$5:$D$304,对接源_01水果筐数!$B$5:$B$304,$B229,对接源_01水果筐数!$C$5:$C$304,基础资料!$B$4))</f>
        <v/>
      </c>
      <c r="AB229" s="67" t="str">
        <f>IF(OR($B229="",基础资料!$B$5=""),"",-SUMIFS(对接源_01水果筐数!$D$5:$D$304,对接源_01水果筐数!$B$5:$B$304,$B229,对接源_01水果筐数!$C$5:$C$304,基础资料!$B$5))</f>
        <v/>
      </c>
      <c r="AC229" s="67" t="str">
        <f>IF(OR($B229="",基础资料!$B$6=""),"",-SUMIFS(对接源_01水果筐数!$D$5:$D$304,对接源_01水果筐数!$B$5:$B$304,$B229,对接源_01水果筐数!$C$5:$C$304,基础资料!$B$6))</f>
        <v/>
      </c>
      <c r="AD229" s="67" t="str">
        <f>IF(OR($B229="",基础资料!$B$7=""),"",-SUMIFS(对接源_01水果筐数!$D$5:$D$304,对接源_01水果筐数!$B$5:$B$304,$B229,对接源_01水果筐数!$C$5:$C$304,基础资料!$B$7))</f>
        <v/>
      </c>
      <c r="AE229" s="67" t="str">
        <f>IF(OR($B229="",基础资料!$B$8=""),"",-SUMIFS(对接源_01水果筐数!$D$5:$D$304,对接源_01水果筐数!$B$5:$B$304,$B229,对接源_01水果筐数!$C$5:$C$304,基础资料!$B$8))</f>
        <v/>
      </c>
      <c r="AF229" s="25" t="str">
        <f>IF(OR($B229="",基础资料!$B$4=""),"",SUMIFS(对接源_01水果筐数!$E$5:$E$304,对接源_01水果筐数!$B$5:$B$304,$B229,对接源_01水果筐数!$C$5:$C$304,基础资料!$B$4))</f>
        <v/>
      </c>
      <c r="AG229" s="25" t="str">
        <f>IF(OR($B229="",基础资料!$B$5=""),"",SUMIFS(对接源_01水果筐数!$E$5:$E$304,对接源_01水果筐数!$B$5:$B$304,$B229,对接源_01水果筐数!$C$5:$C$304,基础资料!$B$5))</f>
        <v/>
      </c>
      <c r="AH229" s="25" t="str">
        <f>IF(OR($B229="",基础资料!$B$6=""),"",SUMIFS(对接源_01水果筐数!$E$5:$E$304,对接源_01水果筐数!$B$5:$B$304,$B229,对接源_01水果筐数!$C$5:$C$304,基础资料!$B$6))</f>
        <v/>
      </c>
      <c r="AI229" s="25" t="str">
        <f>IF(OR($B229="",基础资料!$B$7=""),"",SUMIFS(对接源_01水果筐数!$E$5:$E$304,对接源_01水果筐数!$B$5:$B$304,$B229,对接源_01水果筐数!$C$5:$C$304,基础资料!$B$7))</f>
        <v/>
      </c>
      <c r="AJ229" s="25" t="str">
        <f>IF(OR($B229="",基础资料!$B$8=""),"",SUMIFS(对接源_01水果筐数!$E$5:$E$304,对接源_01水果筐数!$B$5:$B$304,$B229,对接源_01水果筐数!$C$5:$C$304,基础资料!$B$8))</f>
        <v/>
      </c>
      <c r="AK229" s="25" t="str">
        <f>IF(OR($B229="",基础资料!$B$4=""),"",SUMIFS(对接源_01水果筐数!$F$5:$F$304,对接源_01水果筐数!$B$5:$B$304,$B229,对接源_01水果筐数!$C$5:$C$304,基础资料!$B$4))</f>
        <v/>
      </c>
      <c r="AL229" s="25" t="str">
        <f>IF(OR($B229="",基础资料!$B$5=""),"",SUMIFS(对接源_01水果筐数!$F$5:$F$304,对接源_01水果筐数!$B$5:$B$304,$B229,对接源_01水果筐数!$C$5:$C$304,基础资料!$B$5))</f>
        <v/>
      </c>
      <c r="AM229" s="25" t="str">
        <f>IF(OR($B229="",基础资料!$B$6=""),"",SUMIFS(对接源_01水果筐数!$F$5:$F$304,对接源_01水果筐数!$B$5:$B$304,$B229,对接源_01水果筐数!$C$5:$C$304,基础资料!$B$6))</f>
        <v/>
      </c>
      <c r="AN229" s="25" t="str">
        <f>IF(OR($B229="",基础资料!$B$7=""),"",SUMIFS(对接源_01水果筐数!$F$5:$F$304,对接源_01水果筐数!$B$5:$B$304,$B229,对接源_01水果筐数!$C$5:$C$304,基础资料!$B$7))</f>
        <v/>
      </c>
      <c r="AO229" s="25" t="str">
        <f>IF(OR($B229="",基础资料!$B$8=""),"",SUMIFS(对接源_01水果筐数!$F$5:$F$304,对接源_01水果筐数!$B$5:$B$304,$B229,对接源_01水果筐数!$C$5:$C$304,基础资料!$B$8))</f>
        <v/>
      </c>
      <c r="AP229" s="25" t="str">
        <f t="shared" si="41"/>
        <v/>
      </c>
      <c r="AQ229" s="25" t="str">
        <f t="shared" si="42"/>
        <v/>
      </c>
      <c r="AR229" s="25" t="str">
        <f t="shared" si="43"/>
        <v/>
      </c>
      <c r="AS229" s="25" t="str">
        <f t="shared" si="44"/>
        <v/>
      </c>
      <c r="AT229" s="25" t="str">
        <f t="shared" si="45"/>
        <v/>
      </c>
      <c r="AU229" s="25" t="str">
        <f t="shared" si="46"/>
        <v/>
      </c>
      <c r="AV229" s="24" t="str">
        <f t="shared" si="47"/>
        <v/>
      </c>
      <c r="AW229" s="72"/>
    </row>
    <row r="230" spans="1:49">
      <c r="A230" s="22" t="str">
        <f t="shared" si="36"/>
        <v/>
      </c>
      <c r="B230" s="24" t="str">
        <f>IFERROR(INDEX(_自动清单!$CC$4:$CC$253,ROW()-3),"")</f>
        <v/>
      </c>
      <c r="C230" s="25" t="str">
        <f>IF(OR($B230="",基础资料!$B$4=""),"",SUMIFS(周转筐出入库明细!$J$4:$J$2004,周转筐出入库明细!$C$4:$C$2004,$B230,周转筐出入库明细!$D$4:$D$2004,基础资料!$B$4,周转筐出入库明细!$B$4:$B$2004,"&gt;="&amp;$BC$1,周转筐出入库明细!$B$4:$B$2004,"&lt;="&amp;$BC$2))</f>
        <v/>
      </c>
      <c r="D230" s="25" t="str">
        <f>IF(OR($B230="",基础资料!$B$5=""),"",SUMIFS(周转筐出入库明细!$J$4:$J$2004,周转筐出入库明细!$C$4:$C$2004,$B230,周转筐出入库明细!$D$4:$D$2004,基础资料!$B$5,周转筐出入库明细!$B$4:$B$2004,"&gt;="&amp;$BC$1,周转筐出入库明细!$B$4:$B$2004,"&lt;="&amp;$BC$2))</f>
        <v/>
      </c>
      <c r="E230" s="25" t="str">
        <f>IF(OR($B230="",基础资料!$B$6=""),"",SUMIFS(周转筐出入库明细!$J$4:$J$2004,周转筐出入库明细!$C$4:$C$2004,$B230,周转筐出入库明细!$D$4:$D$2004,基础资料!$B$6,周转筐出入库明细!$B$4:$B$2004,"&gt;="&amp;$BC$1,周转筐出入库明细!$B$4:$B$2004,"&lt;="&amp;$BC$2))</f>
        <v/>
      </c>
      <c r="F230" s="25" t="str">
        <f>IF(OR($B230="",基础资料!$B$7=""),"",SUMIFS(周转筐出入库明细!$J$4:$J$2004,周转筐出入库明细!$C$4:$C$2004,$B230,周转筐出入库明细!$D$4:$D$2004,基础资料!$B$7,周转筐出入库明细!$B$4:$B$2004,"&gt;="&amp;$BC$1,周转筐出入库明细!$B$4:$B$2004,"&lt;="&amp;$BC$2))</f>
        <v/>
      </c>
      <c r="G230" s="25" t="str">
        <f>IF(OR($B230="",基础资料!$B$8=""),"",SUMIFS(周转筐出入库明细!$J$4:$J$2004,周转筐出入库明细!$C$4:$C$2004,$B230,周转筐出入库明细!$D$4:$D$2004,基础资料!$B$8,周转筐出入库明细!$B$4:$B$2004,"&gt;="&amp;$BC$1,周转筐出入库明细!$B$4:$B$2004,"&lt;="&amp;$BC$2))</f>
        <v/>
      </c>
      <c r="H230" s="25" t="str">
        <f t="shared" si="37"/>
        <v/>
      </c>
      <c r="I230" s="67" t="str">
        <f>IF(OR($B230="",基础资料!$B$4=""),"",-SUMIFS(周转筐出入库明细!$I$4:$I$2004,周转筐出入库明细!$C$4:$C$2004,$B230,周转筐出入库明细!$D$4:$D$2004,基础资料!$B$4,周转筐出入库明细!$B$4:$B$2004,"&gt;="&amp;$BC$1,周转筐出入库明细!$B$4:$B$2004,"&lt;="&amp;$BC$2))</f>
        <v/>
      </c>
      <c r="J230" s="67" t="str">
        <f>IF(OR($B230="",基础资料!$B$5=""),"",-SUMIFS(周转筐出入库明细!$I$4:$I$2004,周转筐出入库明细!$C$4:$C$2004,$B230,周转筐出入库明细!$D$4:$D$2004,基础资料!$B$5,周转筐出入库明细!$B$4:$B$2004,"&gt;="&amp;$BC$1,周转筐出入库明细!$B$4:$B$2004,"&lt;="&amp;$BC$2))</f>
        <v/>
      </c>
      <c r="K230" s="67" t="str">
        <f>IF(OR($B230="",基础资料!$B$6=""),"",-SUMIFS(周转筐出入库明细!$I$4:$I$2004,周转筐出入库明细!$C$4:$C$2004,$B230,周转筐出入库明细!$D$4:$D$2004,基础资料!$B$6,周转筐出入库明细!$B$4:$B$2004,"&gt;="&amp;$BC$1,周转筐出入库明细!$B$4:$B$2004,"&lt;="&amp;$BC$2))</f>
        <v/>
      </c>
      <c r="L230" s="67" t="str">
        <f>IF(OR($B230="",基础资料!$B$7=""),"",-SUMIFS(周转筐出入库明细!$I$4:$I$2004,周转筐出入库明细!$C$4:$C$2004,$B230,周转筐出入库明细!$D$4:$D$2004,基础资料!$B$7,周转筐出入库明细!$B$4:$B$2004,"&gt;="&amp;$BC$1,周转筐出入库明细!$B$4:$B$2004,"&lt;="&amp;$BC$2))</f>
        <v/>
      </c>
      <c r="M230" s="67" t="str">
        <f>IF(OR($B230="",基础资料!$B$8=""),"",-SUMIFS(周转筐出入库明细!$I$4:$I$2004,周转筐出入库明细!$C$4:$C$2004,$B230,周转筐出入库明细!$D$4:$D$2004,基础资料!$B$8,周转筐出入库明细!$B$4:$B$2004,"&gt;="&amp;$BC$1,周转筐出入库明细!$B$4:$B$2004,"&lt;="&amp;$BC$2))</f>
        <v/>
      </c>
      <c r="N230" s="67" t="str">
        <f t="shared" si="38"/>
        <v/>
      </c>
      <c r="O230" s="25" t="str">
        <f>IF(OR($B230="",基础资料!$B$4=""),"",SUMIFS(周转筐出入库明细!$H$4:$H$2004,周转筐出入库明细!$C$4:$C$2004,$B230,周转筐出入库明细!$D$4:$D$2004,基础资料!$B$4,周转筐出入库明细!$F$4:$F$2004,"采购入库",周转筐出入库明细!$B$4:$B$2004,"&gt;="&amp;$BC$1,周转筐出入库明细!$B$4:$B$2004,"&lt;="&amp;$BC$2))</f>
        <v/>
      </c>
      <c r="P230" s="25" t="str">
        <f>IF(OR($B230="",基础资料!$B$5=""),"",SUMIFS(周转筐出入库明细!$H$4:$H$2004,周转筐出入库明细!$C$4:$C$2004,$B230,周转筐出入库明细!$D$4:$D$2004,基础资料!$B$5,周转筐出入库明细!$F$4:$F$2004,"采购入库",周转筐出入库明细!$B$4:$B$2004,"&gt;="&amp;$BC$1,周转筐出入库明细!$B$4:$B$2004,"&lt;="&amp;$BC$2))</f>
        <v/>
      </c>
      <c r="Q230" s="25" t="str">
        <f>IF(OR($B230="",基础资料!$B$6=""),"",SUMIFS(周转筐出入库明细!$H$4:$H$2004,周转筐出入库明细!$C$4:$C$2004,$B230,周转筐出入库明细!$D$4:$D$2004,基础资料!$B$6,周转筐出入库明细!$F$4:$F$2004,"采购入库",周转筐出入库明细!$B$4:$B$2004,"&gt;="&amp;$BC$1,周转筐出入库明细!$B$4:$B$2004,"&lt;="&amp;$BC$2))</f>
        <v/>
      </c>
      <c r="R230" s="25" t="str">
        <f>IF(OR($B230="",基础资料!$B$7=""),"",SUMIFS(周转筐出入库明细!$H$4:$H$2004,周转筐出入库明细!$C$4:$C$2004,$B230,周转筐出入库明细!$D$4:$D$2004,基础资料!$B$7,周转筐出入库明细!$F$4:$F$2004,"采购入库",周转筐出入库明细!$B$4:$B$2004,"&gt;="&amp;$BC$1,周转筐出入库明细!$B$4:$B$2004,"&lt;="&amp;$BC$2))</f>
        <v/>
      </c>
      <c r="S230" s="25" t="str">
        <f>IF(OR($B230="",基础资料!$B$8=""),"",SUMIFS(周转筐出入库明细!$H$4:$H$2004,周转筐出入库明细!$C$4:$C$2004,$B230,周转筐出入库明细!$D$4:$D$2004,基础资料!$B$8,周转筐出入库明细!$F$4:$F$2004,"采购入库",周转筐出入库明细!$B$4:$B$2004,"&gt;="&amp;$BC$1,周转筐出入库明细!$B$4:$B$2004,"&lt;="&amp;$BC$2))</f>
        <v/>
      </c>
      <c r="T230" s="25" t="str">
        <f t="shared" si="39"/>
        <v/>
      </c>
      <c r="U230" s="25" t="str">
        <f>IF(OR($B230="",基础资料!$B$4=""),"",SUMIFS(周转筐出入库明细!$K$4:$K$2004,周转筐出入库明细!$C$4:$C$2004,$B230,周转筐出入库明细!$D$4:$D$2004,基础资料!$B$4,周转筐出入库明细!$B$4:$B$2004,"&gt;="&amp;$BC$1,周转筐出入库明细!$B$4:$B$2004,"&lt;="&amp;$BC$2))</f>
        <v/>
      </c>
      <c r="V230" s="25" t="str">
        <f>IF(OR($B230="",基础资料!$B$5=""),"",SUMIFS(周转筐出入库明细!$K$4:$K$2004,周转筐出入库明细!$C$4:$C$2004,$B230,周转筐出入库明细!$D$4:$D$2004,基础资料!$B$5,周转筐出入库明细!$B$4:$B$2004,"&gt;="&amp;$BC$1,周转筐出入库明细!$B$4:$B$2004,"&lt;="&amp;$BC$2))</f>
        <v/>
      </c>
      <c r="W230" s="25" t="str">
        <f>IF(OR($B230="",基础资料!$B$6=""),"",SUMIFS(周转筐出入库明细!$K$4:$K$2004,周转筐出入库明细!$C$4:$C$2004,$B230,周转筐出入库明细!$D$4:$D$2004,基础资料!$B$6,周转筐出入库明细!$B$4:$B$2004,"&gt;="&amp;$BC$1,周转筐出入库明细!$B$4:$B$2004,"&lt;="&amp;$BC$2))</f>
        <v/>
      </c>
      <c r="X230" s="25" t="str">
        <f>IF(OR($B230="",基础资料!$B$7=""),"",SUMIFS(周转筐出入库明细!$K$4:$K$2004,周转筐出入库明细!$C$4:$C$2004,$B230,周转筐出入库明细!$D$4:$D$2004,基础资料!$B$7,周转筐出入库明细!$B$4:$B$2004,"&gt;="&amp;$BC$1,周转筐出入库明细!$B$4:$B$2004,"&lt;="&amp;$BC$2))</f>
        <v/>
      </c>
      <c r="Y230" s="25" t="str">
        <f>IF(OR($B230="",基础资料!$B$8=""),"",SUMIFS(周转筐出入库明细!$K$4:$K$2004,周转筐出入库明细!$C$4:$C$2004,$B230,周转筐出入库明细!$D$4:$D$2004,基础资料!$B$8,周转筐出入库明细!$B$4:$B$2004,"&gt;="&amp;$BC$1,周转筐出入库明细!$B$4:$B$2004,"&lt;="&amp;$BC$2))</f>
        <v/>
      </c>
      <c r="Z230" s="25" t="str">
        <f t="shared" si="40"/>
        <v/>
      </c>
      <c r="AA230" s="67" t="str">
        <f>IF(OR($B230="",基础资料!$B$4=""),"",-SUMIFS(对接源_01水果筐数!$D$5:$D$304,对接源_01水果筐数!$B$5:$B$304,$B230,对接源_01水果筐数!$C$5:$C$304,基础资料!$B$4))</f>
        <v/>
      </c>
      <c r="AB230" s="67" t="str">
        <f>IF(OR($B230="",基础资料!$B$5=""),"",-SUMIFS(对接源_01水果筐数!$D$5:$D$304,对接源_01水果筐数!$B$5:$B$304,$B230,对接源_01水果筐数!$C$5:$C$304,基础资料!$B$5))</f>
        <v/>
      </c>
      <c r="AC230" s="67" t="str">
        <f>IF(OR($B230="",基础资料!$B$6=""),"",-SUMIFS(对接源_01水果筐数!$D$5:$D$304,对接源_01水果筐数!$B$5:$B$304,$B230,对接源_01水果筐数!$C$5:$C$304,基础资料!$B$6))</f>
        <v/>
      </c>
      <c r="AD230" s="67" t="str">
        <f>IF(OR($B230="",基础资料!$B$7=""),"",-SUMIFS(对接源_01水果筐数!$D$5:$D$304,对接源_01水果筐数!$B$5:$B$304,$B230,对接源_01水果筐数!$C$5:$C$304,基础资料!$B$7))</f>
        <v/>
      </c>
      <c r="AE230" s="67" t="str">
        <f>IF(OR($B230="",基础资料!$B$8=""),"",-SUMIFS(对接源_01水果筐数!$D$5:$D$304,对接源_01水果筐数!$B$5:$B$304,$B230,对接源_01水果筐数!$C$5:$C$304,基础资料!$B$8))</f>
        <v/>
      </c>
      <c r="AF230" s="25" t="str">
        <f>IF(OR($B230="",基础资料!$B$4=""),"",SUMIFS(对接源_01水果筐数!$E$5:$E$304,对接源_01水果筐数!$B$5:$B$304,$B230,对接源_01水果筐数!$C$5:$C$304,基础资料!$B$4))</f>
        <v/>
      </c>
      <c r="AG230" s="25" t="str">
        <f>IF(OR($B230="",基础资料!$B$5=""),"",SUMIFS(对接源_01水果筐数!$E$5:$E$304,对接源_01水果筐数!$B$5:$B$304,$B230,对接源_01水果筐数!$C$5:$C$304,基础资料!$B$5))</f>
        <v/>
      </c>
      <c r="AH230" s="25" t="str">
        <f>IF(OR($B230="",基础资料!$B$6=""),"",SUMIFS(对接源_01水果筐数!$E$5:$E$304,对接源_01水果筐数!$B$5:$B$304,$B230,对接源_01水果筐数!$C$5:$C$304,基础资料!$B$6))</f>
        <v/>
      </c>
      <c r="AI230" s="25" t="str">
        <f>IF(OR($B230="",基础资料!$B$7=""),"",SUMIFS(对接源_01水果筐数!$E$5:$E$304,对接源_01水果筐数!$B$5:$B$304,$B230,对接源_01水果筐数!$C$5:$C$304,基础资料!$B$7))</f>
        <v/>
      </c>
      <c r="AJ230" s="25" t="str">
        <f>IF(OR($B230="",基础资料!$B$8=""),"",SUMIFS(对接源_01水果筐数!$E$5:$E$304,对接源_01水果筐数!$B$5:$B$304,$B230,对接源_01水果筐数!$C$5:$C$304,基础资料!$B$8))</f>
        <v/>
      </c>
      <c r="AK230" s="25" t="str">
        <f>IF(OR($B230="",基础资料!$B$4=""),"",SUMIFS(对接源_01水果筐数!$F$5:$F$304,对接源_01水果筐数!$B$5:$B$304,$B230,对接源_01水果筐数!$C$5:$C$304,基础资料!$B$4))</f>
        <v/>
      </c>
      <c r="AL230" s="25" t="str">
        <f>IF(OR($B230="",基础资料!$B$5=""),"",SUMIFS(对接源_01水果筐数!$F$5:$F$304,对接源_01水果筐数!$B$5:$B$304,$B230,对接源_01水果筐数!$C$5:$C$304,基础资料!$B$5))</f>
        <v/>
      </c>
      <c r="AM230" s="25" t="str">
        <f>IF(OR($B230="",基础资料!$B$6=""),"",SUMIFS(对接源_01水果筐数!$F$5:$F$304,对接源_01水果筐数!$B$5:$B$304,$B230,对接源_01水果筐数!$C$5:$C$304,基础资料!$B$6))</f>
        <v/>
      </c>
      <c r="AN230" s="25" t="str">
        <f>IF(OR($B230="",基础资料!$B$7=""),"",SUMIFS(对接源_01水果筐数!$F$5:$F$304,对接源_01水果筐数!$B$5:$B$304,$B230,对接源_01水果筐数!$C$5:$C$304,基础资料!$B$7))</f>
        <v/>
      </c>
      <c r="AO230" s="25" t="str">
        <f>IF(OR($B230="",基础资料!$B$8=""),"",SUMIFS(对接源_01水果筐数!$F$5:$F$304,对接源_01水果筐数!$B$5:$B$304,$B230,对接源_01水果筐数!$C$5:$C$304,基础资料!$B$8))</f>
        <v/>
      </c>
      <c r="AP230" s="25" t="str">
        <f t="shared" si="41"/>
        <v/>
      </c>
      <c r="AQ230" s="25" t="str">
        <f t="shared" si="42"/>
        <v/>
      </c>
      <c r="AR230" s="25" t="str">
        <f t="shared" si="43"/>
        <v/>
      </c>
      <c r="AS230" s="25" t="str">
        <f t="shared" si="44"/>
        <v/>
      </c>
      <c r="AT230" s="25" t="str">
        <f t="shared" si="45"/>
        <v/>
      </c>
      <c r="AU230" s="25" t="str">
        <f t="shared" si="46"/>
        <v/>
      </c>
      <c r="AV230" s="24" t="str">
        <f t="shared" si="47"/>
        <v/>
      </c>
      <c r="AW230" s="72"/>
    </row>
    <row r="231" spans="1:49">
      <c r="A231" s="22" t="str">
        <f t="shared" si="36"/>
        <v/>
      </c>
      <c r="B231" s="24" t="str">
        <f>IFERROR(INDEX(_自动清单!$CC$4:$CC$253,ROW()-3),"")</f>
        <v/>
      </c>
      <c r="C231" s="25" t="str">
        <f>IF(OR($B231="",基础资料!$B$4=""),"",SUMIFS(周转筐出入库明细!$J$4:$J$2004,周转筐出入库明细!$C$4:$C$2004,$B231,周转筐出入库明细!$D$4:$D$2004,基础资料!$B$4,周转筐出入库明细!$B$4:$B$2004,"&gt;="&amp;$BC$1,周转筐出入库明细!$B$4:$B$2004,"&lt;="&amp;$BC$2))</f>
        <v/>
      </c>
      <c r="D231" s="25" t="str">
        <f>IF(OR($B231="",基础资料!$B$5=""),"",SUMIFS(周转筐出入库明细!$J$4:$J$2004,周转筐出入库明细!$C$4:$C$2004,$B231,周转筐出入库明细!$D$4:$D$2004,基础资料!$B$5,周转筐出入库明细!$B$4:$B$2004,"&gt;="&amp;$BC$1,周转筐出入库明细!$B$4:$B$2004,"&lt;="&amp;$BC$2))</f>
        <v/>
      </c>
      <c r="E231" s="25" t="str">
        <f>IF(OR($B231="",基础资料!$B$6=""),"",SUMIFS(周转筐出入库明细!$J$4:$J$2004,周转筐出入库明细!$C$4:$C$2004,$B231,周转筐出入库明细!$D$4:$D$2004,基础资料!$B$6,周转筐出入库明细!$B$4:$B$2004,"&gt;="&amp;$BC$1,周转筐出入库明细!$B$4:$B$2004,"&lt;="&amp;$BC$2))</f>
        <v/>
      </c>
      <c r="F231" s="25" t="str">
        <f>IF(OR($B231="",基础资料!$B$7=""),"",SUMIFS(周转筐出入库明细!$J$4:$J$2004,周转筐出入库明细!$C$4:$C$2004,$B231,周转筐出入库明细!$D$4:$D$2004,基础资料!$B$7,周转筐出入库明细!$B$4:$B$2004,"&gt;="&amp;$BC$1,周转筐出入库明细!$B$4:$B$2004,"&lt;="&amp;$BC$2))</f>
        <v/>
      </c>
      <c r="G231" s="25" t="str">
        <f>IF(OR($B231="",基础资料!$B$8=""),"",SUMIFS(周转筐出入库明细!$J$4:$J$2004,周转筐出入库明细!$C$4:$C$2004,$B231,周转筐出入库明细!$D$4:$D$2004,基础资料!$B$8,周转筐出入库明细!$B$4:$B$2004,"&gt;="&amp;$BC$1,周转筐出入库明细!$B$4:$B$2004,"&lt;="&amp;$BC$2))</f>
        <v/>
      </c>
      <c r="H231" s="25" t="str">
        <f t="shared" si="37"/>
        <v/>
      </c>
      <c r="I231" s="67" t="str">
        <f>IF(OR($B231="",基础资料!$B$4=""),"",-SUMIFS(周转筐出入库明细!$I$4:$I$2004,周转筐出入库明细!$C$4:$C$2004,$B231,周转筐出入库明细!$D$4:$D$2004,基础资料!$B$4,周转筐出入库明细!$B$4:$B$2004,"&gt;="&amp;$BC$1,周转筐出入库明细!$B$4:$B$2004,"&lt;="&amp;$BC$2))</f>
        <v/>
      </c>
      <c r="J231" s="67" t="str">
        <f>IF(OR($B231="",基础资料!$B$5=""),"",-SUMIFS(周转筐出入库明细!$I$4:$I$2004,周转筐出入库明细!$C$4:$C$2004,$B231,周转筐出入库明细!$D$4:$D$2004,基础资料!$B$5,周转筐出入库明细!$B$4:$B$2004,"&gt;="&amp;$BC$1,周转筐出入库明细!$B$4:$B$2004,"&lt;="&amp;$BC$2))</f>
        <v/>
      </c>
      <c r="K231" s="67" t="str">
        <f>IF(OR($B231="",基础资料!$B$6=""),"",-SUMIFS(周转筐出入库明细!$I$4:$I$2004,周转筐出入库明细!$C$4:$C$2004,$B231,周转筐出入库明细!$D$4:$D$2004,基础资料!$B$6,周转筐出入库明细!$B$4:$B$2004,"&gt;="&amp;$BC$1,周转筐出入库明细!$B$4:$B$2004,"&lt;="&amp;$BC$2))</f>
        <v/>
      </c>
      <c r="L231" s="67" t="str">
        <f>IF(OR($B231="",基础资料!$B$7=""),"",-SUMIFS(周转筐出入库明细!$I$4:$I$2004,周转筐出入库明细!$C$4:$C$2004,$B231,周转筐出入库明细!$D$4:$D$2004,基础资料!$B$7,周转筐出入库明细!$B$4:$B$2004,"&gt;="&amp;$BC$1,周转筐出入库明细!$B$4:$B$2004,"&lt;="&amp;$BC$2))</f>
        <v/>
      </c>
      <c r="M231" s="67" t="str">
        <f>IF(OR($B231="",基础资料!$B$8=""),"",-SUMIFS(周转筐出入库明细!$I$4:$I$2004,周转筐出入库明细!$C$4:$C$2004,$B231,周转筐出入库明细!$D$4:$D$2004,基础资料!$B$8,周转筐出入库明细!$B$4:$B$2004,"&gt;="&amp;$BC$1,周转筐出入库明细!$B$4:$B$2004,"&lt;="&amp;$BC$2))</f>
        <v/>
      </c>
      <c r="N231" s="67" t="str">
        <f t="shared" si="38"/>
        <v/>
      </c>
      <c r="O231" s="25" t="str">
        <f>IF(OR($B231="",基础资料!$B$4=""),"",SUMIFS(周转筐出入库明细!$H$4:$H$2004,周转筐出入库明细!$C$4:$C$2004,$B231,周转筐出入库明细!$D$4:$D$2004,基础资料!$B$4,周转筐出入库明细!$F$4:$F$2004,"采购入库",周转筐出入库明细!$B$4:$B$2004,"&gt;="&amp;$BC$1,周转筐出入库明细!$B$4:$B$2004,"&lt;="&amp;$BC$2))</f>
        <v/>
      </c>
      <c r="P231" s="25" t="str">
        <f>IF(OR($B231="",基础资料!$B$5=""),"",SUMIFS(周转筐出入库明细!$H$4:$H$2004,周转筐出入库明细!$C$4:$C$2004,$B231,周转筐出入库明细!$D$4:$D$2004,基础资料!$B$5,周转筐出入库明细!$F$4:$F$2004,"采购入库",周转筐出入库明细!$B$4:$B$2004,"&gt;="&amp;$BC$1,周转筐出入库明细!$B$4:$B$2004,"&lt;="&amp;$BC$2))</f>
        <v/>
      </c>
      <c r="Q231" s="25" t="str">
        <f>IF(OR($B231="",基础资料!$B$6=""),"",SUMIFS(周转筐出入库明细!$H$4:$H$2004,周转筐出入库明细!$C$4:$C$2004,$B231,周转筐出入库明细!$D$4:$D$2004,基础资料!$B$6,周转筐出入库明细!$F$4:$F$2004,"采购入库",周转筐出入库明细!$B$4:$B$2004,"&gt;="&amp;$BC$1,周转筐出入库明细!$B$4:$B$2004,"&lt;="&amp;$BC$2))</f>
        <v/>
      </c>
      <c r="R231" s="25" t="str">
        <f>IF(OR($B231="",基础资料!$B$7=""),"",SUMIFS(周转筐出入库明细!$H$4:$H$2004,周转筐出入库明细!$C$4:$C$2004,$B231,周转筐出入库明细!$D$4:$D$2004,基础资料!$B$7,周转筐出入库明细!$F$4:$F$2004,"采购入库",周转筐出入库明细!$B$4:$B$2004,"&gt;="&amp;$BC$1,周转筐出入库明细!$B$4:$B$2004,"&lt;="&amp;$BC$2))</f>
        <v/>
      </c>
      <c r="S231" s="25" t="str">
        <f>IF(OR($B231="",基础资料!$B$8=""),"",SUMIFS(周转筐出入库明细!$H$4:$H$2004,周转筐出入库明细!$C$4:$C$2004,$B231,周转筐出入库明细!$D$4:$D$2004,基础资料!$B$8,周转筐出入库明细!$F$4:$F$2004,"采购入库",周转筐出入库明细!$B$4:$B$2004,"&gt;="&amp;$BC$1,周转筐出入库明细!$B$4:$B$2004,"&lt;="&amp;$BC$2))</f>
        <v/>
      </c>
      <c r="T231" s="25" t="str">
        <f t="shared" si="39"/>
        <v/>
      </c>
      <c r="U231" s="25" t="str">
        <f>IF(OR($B231="",基础资料!$B$4=""),"",SUMIFS(周转筐出入库明细!$K$4:$K$2004,周转筐出入库明细!$C$4:$C$2004,$B231,周转筐出入库明细!$D$4:$D$2004,基础资料!$B$4,周转筐出入库明细!$B$4:$B$2004,"&gt;="&amp;$BC$1,周转筐出入库明细!$B$4:$B$2004,"&lt;="&amp;$BC$2))</f>
        <v/>
      </c>
      <c r="V231" s="25" t="str">
        <f>IF(OR($B231="",基础资料!$B$5=""),"",SUMIFS(周转筐出入库明细!$K$4:$K$2004,周转筐出入库明细!$C$4:$C$2004,$B231,周转筐出入库明细!$D$4:$D$2004,基础资料!$B$5,周转筐出入库明细!$B$4:$B$2004,"&gt;="&amp;$BC$1,周转筐出入库明细!$B$4:$B$2004,"&lt;="&amp;$BC$2))</f>
        <v/>
      </c>
      <c r="W231" s="25" t="str">
        <f>IF(OR($B231="",基础资料!$B$6=""),"",SUMIFS(周转筐出入库明细!$K$4:$K$2004,周转筐出入库明细!$C$4:$C$2004,$B231,周转筐出入库明细!$D$4:$D$2004,基础资料!$B$6,周转筐出入库明细!$B$4:$B$2004,"&gt;="&amp;$BC$1,周转筐出入库明细!$B$4:$B$2004,"&lt;="&amp;$BC$2))</f>
        <v/>
      </c>
      <c r="X231" s="25" t="str">
        <f>IF(OR($B231="",基础资料!$B$7=""),"",SUMIFS(周转筐出入库明细!$K$4:$K$2004,周转筐出入库明细!$C$4:$C$2004,$B231,周转筐出入库明细!$D$4:$D$2004,基础资料!$B$7,周转筐出入库明细!$B$4:$B$2004,"&gt;="&amp;$BC$1,周转筐出入库明细!$B$4:$B$2004,"&lt;="&amp;$BC$2))</f>
        <v/>
      </c>
      <c r="Y231" s="25" t="str">
        <f>IF(OR($B231="",基础资料!$B$8=""),"",SUMIFS(周转筐出入库明细!$K$4:$K$2004,周转筐出入库明细!$C$4:$C$2004,$B231,周转筐出入库明细!$D$4:$D$2004,基础资料!$B$8,周转筐出入库明细!$B$4:$B$2004,"&gt;="&amp;$BC$1,周转筐出入库明细!$B$4:$B$2004,"&lt;="&amp;$BC$2))</f>
        <v/>
      </c>
      <c r="Z231" s="25" t="str">
        <f t="shared" si="40"/>
        <v/>
      </c>
      <c r="AA231" s="67" t="str">
        <f>IF(OR($B231="",基础资料!$B$4=""),"",-SUMIFS(对接源_01水果筐数!$D$5:$D$304,对接源_01水果筐数!$B$5:$B$304,$B231,对接源_01水果筐数!$C$5:$C$304,基础资料!$B$4))</f>
        <v/>
      </c>
      <c r="AB231" s="67" t="str">
        <f>IF(OR($B231="",基础资料!$B$5=""),"",-SUMIFS(对接源_01水果筐数!$D$5:$D$304,对接源_01水果筐数!$B$5:$B$304,$B231,对接源_01水果筐数!$C$5:$C$304,基础资料!$B$5))</f>
        <v/>
      </c>
      <c r="AC231" s="67" t="str">
        <f>IF(OR($B231="",基础资料!$B$6=""),"",-SUMIFS(对接源_01水果筐数!$D$5:$D$304,对接源_01水果筐数!$B$5:$B$304,$B231,对接源_01水果筐数!$C$5:$C$304,基础资料!$B$6))</f>
        <v/>
      </c>
      <c r="AD231" s="67" t="str">
        <f>IF(OR($B231="",基础资料!$B$7=""),"",-SUMIFS(对接源_01水果筐数!$D$5:$D$304,对接源_01水果筐数!$B$5:$B$304,$B231,对接源_01水果筐数!$C$5:$C$304,基础资料!$B$7))</f>
        <v/>
      </c>
      <c r="AE231" s="67" t="str">
        <f>IF(OR($B231="",基础资料!$B$8=""),"",-SUMIFS(对接源_01水果筐数!$D$5:$D$304,对接源_01水果筐数!$B$5:$B$304,$B231,对接源_01水果筐数!$C$5:$C$304,基础资料!$B$8))</f>
        <v/>
      </c>
      <c r="AF231" s="25" t="str">
        <f>IF(OR($B231="",基础资料!$B$4=""),"",SUMIFS(对接源_01水果筐数!$E$5:$E$304,对接源_01水果筐数!$B$5:$B$304,$B231,对接源_01水果筐数!$C$5:$C$304,基础资料!$B$4))</f>
        <v/>
      </c>
      <c r="AG231" s="25" t="str">
        <f>IF(OR($B231="",基础资料!$B$5=""),"",SUMIFS(对接源_01水果筐数!$E$5:$E$304,对接源_01水果筐数!$B$5:$B$304,$B231,对接源_01水果筐数!$C$5:$C$304,基础资料!$B$5))</f>
        <v/>
      </c>
      <c r="AH231" s="25" t="str">
        <f>IF(OR($B231="",基础资料!$B$6=""),"",SUMIFS(对接源_01水果筐数!$E$5:$E$304,对接源_01水果筐数!$B$5:$B$304,$B231,对接源_01水果筐数!$C$5:$C$304,基础资料!$B$6))</f>
        <v/>
      </c>
      <c r="AI231" s="25" t="str">
        <f>IF(OR($B231="",基础资料!$B$7=""),"",SUMIFS(对接源_01水果筐数!$E$5:$E$304,对接源_01水果筐数!$B$5:$B$304,$B231,对接源_01水果筐数!$C$5:$C$304,基础资料!$B$7))</f>
        <v/>
      </c>
      <c r="AJ231" s="25" t="str">
        <f>IF(OR($B231="",基础资料!$B$8=""),"",SUMIFS(对接源_01水果筐数!$E$5:$E$304,对接源_01水果筐数!$B$5:$B$304,$B231,对接源_01水果筐数!$C$5:$C$304,基础资料!$B$8))</f>
        <v/>
      </c>
      <c r="AK231" s="25" t="str">
        <f>IF(OR($B231="",基础资料!$B$4=""),"",SUMIFS(对接源_01水果筐数!$F$5:$F$304,对接源_01水果筐数!$B$5:$B$304,$B231,对接源_01水果筐数!$C$5:$C$304,基础资料!$B$4))</f>
        <v/>
      </c>
      <c r="AL231" s="25" t="str">
        <f>IF(OR($B231="",基础资料!$B$5=""),"",SUMIFS(对接源_01水果筐数!$F$5:$F$304,对接源_01水果筐数!$B$5:$B$304,$B231,对接源_01水果筐数!$C$5:$C$304,基础资料!$B$5))</f>
        <v/>
      </c>
      <c r="AM231" s="25" t="str">
        <f>IF(OR($B231="",基础资料!$B$6=""),"",SUMIFS(对接源_01水果筐数!$F$5:$F$304,对接源_01水果筐数!$B$5:$B$304,$B231,对接源_01水果筐数!$C$5:$C$304,基础资料!$B$6))</f>
        <v/>
      </c>
      <c r="AN231" s="25" t="str">
        <f>IF(OR($B231="",基础资料!$B$7=""),"",SUMIFS(对接源_01水果筐数!$F$5:$F$304,对接源_01水果筐数!$B$5:$B$304,$B231,对接源_01水果筐数!$C$5:$C$304,基础资料!$B$7))</f>
        <v/>
      </c>
      <c r="AO231" s="25" t="str">
        <f>IF(OR($B231="",基础资料!$B$8=""),"",SUMIFS(对接源_01水果筐数!$F$5:$F$304,对接源_01水果筐数!$B$5:$B$304,$B231,对接源_01水果筐数!$C$5:$C$304,基础资料!$B$8))</f>
        <v/>
      </c>
      <c r="AP231" s="25" t="str">
        <f t="shared" si="41"/>
        <v/>
      </c>
      <c r="AQ231" s="25" t="str">
        <f t="shared" si="42"/>
        <v/>
      </c>
      <c r="AR231" s="25" t="str">
        <f t="shared" si="43"/>
        <v/>
      </c>
      <c r="AS231" s="25" t="str">
        <f t="shared" si="44"/>
        <v/>
      </c>
      <c r="AT231" s="25" t="str">
        <f t="shared" si="45"/>
        <v/>
      </c>
      <c r="AU231" s="25" t="str">
        <f t="shared" si="46"/>
        <v/>
      </c>
      <c r="AV231" s="24" t="str">
        <f t="shared" si="47"/>
        <v/>
      </c>
      <c r="AW231" s="72"/>
    </row>
    <row r="232" spans="1:49">
      <c r="A232" s="22" t="str">
        <f t="shared" si="36"/>
        <v/>
      </c>
      <c r="B232" s="24" t="str">
        <f>IFERROR(INDEX(_自动清单!$CC$4:$CC$253,ROW()-3),"")</f>
        <v/>
      </c>
      <c r="C232" s="25" t="str">
        <f>IF(OR($B232="",基础资料!$B$4=""),"",SUMIFS(周转筐出入库明细!$J$4:$J$2004,周转筐出入库明细!$C$4:$C$2004,$B232,周转筐出入库明细!$D$4:$D$2004,基础资料!$B$4,周转筐出入库明细!$B$4:$B$2004,"&gt;="&amp;$BC$1,周转筐出入库明细!$B$4:$B$2004,"&lt;="&amp;$BC$2))</f>
        <v/>
      </c>
      <c r="D232" s="25" t="str">
        <f>IF(OR($B232="",基础资料!$B$5=""),"",SUMIFS(周转筐出入库明细!$J$4:$J$2004,周转筐出入库明细!$C$4:$C$2004,$B232,周转筐出入库明细!$D$4:$D$2004,基础资料!$B$5,周转筐出入库明细!$B$4:$B$2004,"&gt;="&amp;$BC$1,周转筐出入库明细!$B$4:$B$2004,"&lt;="&amp;$BC$2))</f>
        <v/>
      </c>
      <c r="E232" s="25" t="str">
        <f>IF(OR($B232="",基础资料!$B$6=""),"",SUMIFS(周转筐出入库明细!$J$4:$J$2004,周转筐出入库明细!$C$4:$C$2004,$B232,周转筐出入库明细!$D$4:$D$2004,基础资料!$B$6,周转筐出入库明细!$B$4:$B$2004,"&gt;="&amp;$BC$1,周转筐出入库明细!$B$4:$B$2004,"&lt;="&amp;$BC$2))</f>
        <v/>
      </c>
      <c r="F232" s="25" t="str">
        <f>IF(OR($B232="",基础资料!$B$7=""),"",SUMIFS(周转筐出入库明细!$J$4:$J$2004,周转筐出入库明细!$C$4:$C$2004,$B232,周转筐出入库明细!$D$4:$D$2004,基础资料!$B$7,周转筐出入库明细!$B$4:$B$2004,"&gt;="&amp;$BC$1,周转筐出入库明细!$B$4:$B$2004,"&lt;="&amp;$BC$2))</f>
        <v/>
      </c>
      <c r="G232" s="25" t="str">
        <f>IF(OR($B232="",基础资料!$B$8=""),"",SUMIFS(周转筐出入库明细!$J$4:$J$2004,周转筐出入库明细!$C$4:$C$2004,$B232,周转筐出入库明细!$D$4:$D$2004,基础资料!$B$8,周转筐出入库明细!$B$4:$B$2004,"&gt;="&amp;$BC$1,周转筐出入库明细!$B$4:$B$2004,"&lt;="&amp;$BC$2))</f>
        <v/>
      </c>
      <c r="H232" s="25" t="str">
        <f t="shared" si="37"/>
        <v/>
      </c>
      <c r="I232" s="67" t="str">
        <f>IF(OR($B232="",基础资料!$B$4=""),"",-SUMIFS(周转筐出入库明细!$I$4:$I$2004,周转筐出入库明细!$C$4:$C$2004,$B232,周转筐出入库明细!$D$4:$D$2004,基础资料!$B$4,周转筐出入库明细!$B$4:$B$2004,"&gt;="&amp;$BC$1,周转筐出入库明细!$B$4:$B$2004,"&lt;="&amp;$BC$2))</f>
        <v/>
      </c>
      <c r="J232" s="67" t="str">
        <f>IF(OR($B232="",基础资料!$B$5=""),"",-SUMIFS(周转筐出入库明细!$I$4:$I$2004,周转筐出入库明细!$C$4:$C$2004,$B232,周转筐出入库明细!$D$4:$D$2004,基础资料!$B$5,周转筐出入库明细!$B$4:$B$2004,"&gt;="&amp;$BC$1,周转筐出入库明细!$B$4:$B$2004,"&lt;="&amp;$BC$2))</f>
        <v/>
      </c>
      <c r="K232" s="67" t="str">
        <f>IF(OR($B232="",基础资料!$B$6=""),"",-SUMIFS(周转筐出入库明细!$I$4:$I$2004,周转筐出入库明细!$C$4:$C$2004,$B232,周转筐出入库明细!$D$4:$D$2004,基础资料!$B$6,周转筐出入库明细!$B$4:$B$2004,"&gt;="&amp;$BC$1,周转筐出入库明细!$B$4:$B$2004,"&lt;="&amp;$BC$2))</f>
        <v/>
      </c>
      <c r="L232" s="67" t="str">
        <f>IF(OR($B232="",基础资料!$B$7=""),"",-SUMIFS(周转筐出入库明细!$I$4:$I$2004,周转筐出入库明细!$C$4:$C$2004,$B232,周转筐出入库明细!$D$4:$D$2004,基础资料!$B$7,周转筐出入库明细!$B$4:$B$2004,"&gt;="&amp;$BC$1,周转筐出入库明细!$B$4:$B$2004,"&lt;="&amp;$BC$2))</f>
        <v/>
      </c>
      <c r="M232" s="67" t="str">
        <f>IF(OR($B232="",基础资料!$B$8=""),"",-SUMIFS(周转筐出入库明细!$I$4:$I$2004,周转筐出入库明细!$C$4:$C$2004,$B232,周转筐出入库明细!$D$4:$D$2004,基础资料!$B$8,周转筐出入库明细!$B$4:$B$2004,"&gt;="&amp;$BC$1,周转筐出入库明细!$B$4:$B$2004,"&lt;="&amp;$BC$2))</f>
        <v/>
      </c>
      <c r="N232" s="67" t="str">
        <f t="shared" si="38"/>
        <v/>
      </c>
      <c r="O232" s="25" t="str">
        <f>IF(OR($B232="",基础资料!$B$4=""),"",SUMIFS(周转筐出入库明细!$H$4:$H$2004,周转筐出入库明细!$C$4:$C$2004,$B232,周转筐出入库明细!$D$4:$D$2004,基础资料!$B$4,周转筐出入库明细!$F$4:$F$2004,"采购入库",周转筐出入库明细!$B$4:$B$2004,"&gt;="&amp;$BC$1,周转筐出入库明细!$B$4:$B$2004,"&lt;="&amp;$BC$2))</f>
        <v/>
      </c>
      <c r="P232" s="25" t="str">
        <f>IF(OR($B232="",基础资料!$B$5=""),"",SUMIFS(周转筐出入库明细!$H$4:$H$2004,周转筐出入库明细!$C$4:$C$2004,$B232,周转筐出入库明细!$D$4:$D$2004,基础资料!$B$5,周转筐出入库明细!$F$4:$F$2004,"采购入库",周转筐出入库明细!$B$4:$B$2004,"&gt;="&amp;$BC$1,周转筐出入库明细!$B$4:$B$2004,"&lt;="&amp;$BC$2))</f>
        <v/>
      </c>
      <c r="Q232" s="25" t="str">
        <f>IF(OR($B232="",基础资料!$B$6=""),"",SUMIFS(周转筐出入库明细!$H$4:$H$2004,周转筐出入库明细!$C$4:$C$2004,$B232,周转筐出入库明细!$D$4:$D$2004,基础资料!$B$6,周转筐出入库明细!$F$4:$F$2004,"采购入库",周转筐出入库明细!$B$4:$B$2004,"&gt;="&amp;$BC$1,周转筐出入库明细!$B$4:$B$2004,"&lt;="&amp;$BC$2))</f>
        <v/>
      </c>
      <c r="R232" s="25" t="str">
        <f>IF(OR($B232="",基础资料!$B$7=""),"",SUMIFS(周转筐出入库明细!$H$4:$H$2004,周转筐出入库明细!$C$4:$C$2004,$B232,周转筐出入库明细!$D$4:$D$2004,基础资料!$B$7,周转筐出入库明细!$F$4:$F$2004,"采购入库",周转筐出入库明细!$B$4:$B$2004,"&gt;="&amp;$BC$1,周转筐出入库明细!$B$4:$B$2004,"&lt;="&amp;$BC$2))</f>
        <v/>
      </c>
      <c r="S232" s="25" t="str">
        <f>IF(OR($B232="",基础资料!$B$8=""),"",SUMIFS(周转筐出入库明细!$H$4:$H$2004,周转筐出入库明细!$C$4:$C$2004,$B232,周转筐出入库明细!$D$4:$D$2004,基础资料!$B$8,周转筐出入库明细!$F$4:$F$2004,"采购入库",周转筐出入库明细!$B$4:$B$2004,"&gt;="&amp;$BC$1,周转筐出入库明细!$B$4:$B$2004,"&lt;="&amp;$BC$2))</f>
        <v/>
      </c>
      <c r="T232" s="25" t="str">
        <f t="shared" si="39"/>
        <v/>
      </c>
      <c r="U232" s="25" t="str">
        <f>IF(OR($B232="",基础资料!$B$4=""),"",SUMIFS(周转筐出入库明细!$K$4:$K$2004,周转筐出入库明细!$C$4:$C$2004,$B232,周转筐出入库明细!$D$4:$D$2004,基础资料!$B$4,周转筐出入库明细!$B$4:$B$2004,"&gt;="&amp;$BC$1,周转筐出入库明细!$B$4:$B$2004,"&lt;="&amp;$BC$2))</f>
        <v/>
      </c>
      <c r="V232" s="25" t="str">
        <f>IF(OR($B232="",基础资料!$B$5=""),"",SUMIFS(周转筐出入库明细!$K$4:$K$2004,周转筐出入库明细!$C$4:$C$2004,$B232,周转筐出入库明细!$D$4:$D$2004,基础资料!$B$5,周转筐出入库明细!$B$4:$B$2004,"&gt;="&amp;$BC$1,周转筐出入库明细!$B$4:$B$2004,"&lt;="&amp;$BC$2))</f>
        <v/>
      </c>
      <c r="W232" s="25" t="str">
        <f>IF(OR($B232="",基础资料!$B$6=""),"",SUMIFS(周转筐出入库明细!$K$4:$K$2004,周转筐出入库明细!$C$4:$C$2004,$B232,周转筐出入库明细!$D$4:$D$2004,基础资料!$B$6,周转筐出入库明细!$B$4:$B$2004,"&gt;="&amp;$BC$1,周转筐出入库明细!$B$4:$B$2004,"&lt;="&amp;$BC$2))</f>
        <v/>
      </c>
      <c r="X232" s="25" t="str">
        <f>IF(OR($B232="",基础资料!$B$7=""),"",SUMIFS(周转筐出入库明细!$K$4:$K$2004,周转筐出入库明细!$C$4:$C$2004,$B232,周转筐出入库明细!$D$4:$D$2004,基础资料!$B$7,周转筐出入库明细!$B$4:$B$2004,"&gt;="&amp;$BC$1,周转筐出入库明细!$B$4:$B$2004,"&lt;="&amp;$BC$2))</f>
        <v/>
      </c>
      <c r="Y232" s="25" t="str">
        <f>IF(OR($B232="",基础资料!$B$8=""),"",SUMIFS(周转筐出入库明细!$K$4:$K$2004,周转筐出入库明细!$C$4:$C$2004,$B232,周转筐出入库明细!$D$4:$D$2004,基础资料!$B$8,周转筐出入库明细!$B$4:$B$2004,"&gt;="&amp;$BC$1,周转筐出入库明细!$B$4:$B$2004,"&lt;="&amp;$BC$2))</f>
        <v/>
      </c>
      <c r="Z232" s="25" t="str">
        <f t="shared" si="40"/>
        <v/>
      </c>
      <c r="AA232" s="67" t="str">
        <f>IF(OR($B232="",基础资料!$B$4=""),"",-SUMIFS(对接源_01水果筐数!$D$5:$D$304,对接源_01水果筐数!$B$5:$B$304,$B232,对接源_01水果筐数!$C$5:$C$304,基础资料!$B$4))</f>
        <v/>
      </c>
      <c r="AB232" s="67" t="str">
        <f>IF(OR($B232="",基础资料!$B$5=""),"",-SUMIFS(对接源_01水果筐数!$D$5:$D$304,对接源_01水果筐数!$B$5:$B$304,$B232,对接源_01水果筐数!$C$5:$C$304,基础资料!$B$5))</f>
        <v/>
      </c>
      <c r="AC232" s="67" t="str">
        <f>IF(OR($B232="",基础资料!$B$6=""),"",-SUMIFS(对接源_01水果筐数!$D$5:$D$304,对接源_01水果筐数!$B$5:$B$304,$B232,对接源_01水果筐数!$C$5:$C$304,基础资料!$B$6))</f>
        <v/>
      </c>
      <c r="AD232" s="67" t="str">
        <f>IF(OR($B232="",基础资料!$B$7=""),"",-SUMIFS(对接源_01水果筐数!$D$5:$D$304,对接源_01水果筐数!$B$5:$B$304,$B232,对接源_01水果筐数!$C$5:$C$304,基础资料!$B$7))</f>
        <v/>
      </c>
      <c r="AE232" s="67" t="str">
        <f>IF(OR($B232="",基础资料!$B$8=""),"",-SUMIFS(对接源_01水果筐数!$D$5:$D$304,对接源_01水果筐数!$B$5:$B$304,$B232,对接源_01水果筐数!$C$5:$C$304,基础资料!$B$8))</f>
        <v/>
      </c>
      <c r="AF232" s="25" t="str">
        <f>IF(OR($B232="",基础资料!$B$4=""),"",SUMIFS(对接源_01水果筐数!$E$5:$E$304,对接源_01水果筐数!$B$5:$B$304,$B232,对接源_01水果筐数!$C$5:$C$304,基础资料!$B$4))</f>
        <v/>
      </c>
      <c r="AG232" s="25" t="str">
        <f>IF(OR($B232="",基础资料!$B$5=""),"",SUMIFS(对接源_01水果筐数!$E$5:$E$304,对接源_01水果筐数!$B$5:$B$304,$B232,对接源_01水果筐数!$C$5:$C$304,基础资料!$B$5))</f>
        <v/>
      </c>
      <c r="AH232" s="25" t="str">
        <f>IF(OR($B232="",基础资料!$B$6=""),"",SUMIFS(对接源_01水果筐数!$E$5:$E$304,对接源_01水果筐数!$B$5:$B$304,$B232,对接源_01水果筐数!$C$5:$C$304,基础资料!$B$6))</f>
        <v/>
      </c>
      <c r="AI232" s="25" t="str">
        <f>IF(OR($B232="",基础资料!$B$7=""),"",SUMIFS(对接源_01水果筐数!$E$5:$E$304,对接源_01水果筐数!$B$5:$B$304,$B232,对接源_01水果筐数!$C$5:$C$304,基础资料!$B$7))</f>
        <v/>
      </c>
      <c r="AJ232" s="25" t="str">
        <f>IF(OR($B232="",基础资料!$B$8=""),"",SUMIFS(对接源_01水果筐数!$E$5:$E$304,对接源_01水果筐数!$B$5:$B$304,$B232,对接源_01水果筐数!$C$5:$C$304,基础资料!$B$8))</f>
        <v/>
      </c>
      <c r="AK232" s="25" t="str">
        <f>IF(OR($B232="",基础资料!$B$4=""),"",SUMIFS(对接源_01水果筐数!$F$5:$F$304,对接源_01水果筐数!$B$5:$B$304,$B232,对接源_01水果筐数!$C$5:$C$304,基础资料!$B$4))</f>
        <v/>
      </c>
      <c r="AL232" s="25" t="str">
        <f>IF(OR($B232="",基础资料!$B$5=""),"",SUMIFS(对接源_01水果筐数!$F$5:$F$304,对接源_01水果筐数!$B$5:$B$304,$B232,对接源_01水果筐数!$C$5:$C$304,基础资料!$B$5))</f>
        <v/>
      </c>
      <c r="AM232" s="25" t="str">
        <f>IF(OR($B232="",基础资料!$B$6=""),"",SUMIFS(对接源_01水果筐数!$F$5:$F$304,对接源_01水果筐数!$B$5:$B$304,$B232,对接源_01水果筐数!$C$5:$C$304,基础资料!$B$6))</f>
        <v/>
      </c>
      <c r="AN232" s="25" t="str">
        <f>IF(OR($B232="",基础资料!$B$7=""),"",SUMIFS(对接源_01水果筐数!$F$5:$F$304,对接源_01水果筐数!$B$5:$B$304,$B232,对接源_01水果筐数!$C$5:$C$304,基础资料!$B$7))</f>
        <v/>
      </c>
      <c r="AO232" s="25" t="str">
        <f>IF(OR($B232="",基础资料!$B$8=""),"",SUMIFS(对接源_01水果筐数!$F$5:$F$304,对接源_01水果筐数!$B$5:$B$304,$B232,对接源_01水果筐数!$C$5:$C$304,基础资料!$B$8))</f>
        <v/>
      </c>
      <c r="AP232" s="25" t="str">
        <f t="shared" si="41"/>
        <v/>
      </c>
      <c r="AQ232" s="25" t="str">
        <f t="shared" si="42"/>
        <v/>
      </c>
      <c r="AR232" s="25" t="str">
        <f t="shared" si="43"/>
        <v/>
      </c>
      <c r="AS232" s="25" t="str">
        <f t="shared" si="44"/>
        <v/>
      </c>
      <c r="AT232" s="25" t="str">
        <f t="shared" si="45"/>
        <v/>
      </c>
      <c r="AU232" s="25" t="str">
        <f t="shared" si="46"/>
        <v/>
      </c>
      <c r="AV232" s="24" t="str">
        <f t="shared" si="47"/>
        <v/>
      </c>
      <c r="AW232" s="72"/>
    </row>
    <row r="233" spans="1:49">
      <c r="A233" s="22" t="str">
        <f t="shared" si="36"/>
        <v/>
      </c>
      <c r="B233" s="24" t="str">
        <f>IFERROR(INDEX(_自动清单!$CC$4:$CC$253,ROW()-3),"")</f>
        <v/>
      </c>
      <c r="C233" s="25" t="str">
        <f>IF(OR($B233="",基础资料!$B$4=""),"",SUMIFS(周转筐出入库明细!$J$4:$J$2004,周转筐出入库明细!$C$4:$C$2004,$B233,周转筐出入库明细!$D$4:$D$2004,基础资料!$B$4,周转筐出入库明细!$B$4:$B$2004,"&gt;="&amp;$BC$1,周转筐出入库明细!$B$4:$B$2004,"&lt;="&amp;$BC$2))</f>
        <v/>
      </c>
      <c r="D233" s="25" t="str">
        <f>IF(OR($B233="",基础资料!$B$5=""),"",SUMIFS(周转筐出入库明细!$J$4:$J$2004,周转筐出入库明细!$C$4:$C$2004,$B233,周转筐出入库明细!$D$4:$D$2004,基础资料!$B$5,周转筐出入库明细!$B$4:$B$2004,"&gt;="&amp;$BC$1,周转筐出入库明细!$B$4:$B$2004,"&lt;="&amp;$BC$2))</f>
        <v/>
      </c>
      <c r="E233" s="25" t="str">
        <f>IF(OR($B233="",基础资料!$B$6=""),"",SUMIFS(周转筐出入库明细!$J$4:$J$2004,周转筐出入库明细!$C$4:$C$2004,$B233,周转筐出入库明细!$D$4:$D$2004,基础资料!$B$6,周转筐出入库明细!$B$4:$B$2004,"&gt;="&amp;$BC$1,周转筐出入库明细!$B$4:$B$2004,"&lt;="&amp;$BC$2))</f>
        <v/>
      </c>
      <c r="F233" s="25" t="str">
        <f>IF(OR($B233="",基础资料!$B$7=""),"",SUMIFS(周转筐出入库明细!$J$4:$J$2004,周转筐出入库明细!$C$4:$C$2004,$B233,周转筐出入库明细!$D$4:$D$2004,基础资料!$B$7,周转筐出入库明细!$B$4:$B$2004,"&gt;="&amp;$BC$1,周转筐出入库明细!$B$4:$B$2004,"&lt;="&amp;$BC$2))</f>
        <v/>
      </c>
      <c r="G233" s="25" t="str">
        <f>IF(OR($B233="",基础资料!$B$8=""),"",SUMIFS(周转筐出入库明细!$J$4:$J$2004,周转筐出入库明细!$C$4:$C$2004,$B233,周转筐出入库明细!$D$4:$D$2004,基础资料!$B$8,周转筐出入库明细!$B$4:$B$2004,"&gt;="&amp;$BC$1,周转筐出入库明细!$B$4:$B$2004,"&lt;="&amp;$BC$2))</f>
        <v/>
      </c>
      <c r="H233" s="25" t="str">
        <f t="shared" si="37"/>
        <v/>
      </c>
      <c r="I233" s="67" t="str">
        <f>IF(OR($B233="",基础资料!$B$4=""),"",-SUMIFS(周转筐出入库明细!$I$4:$I$2004,周转筐出入库明细!$C$4:$C$2004,$B233,周转筐出入库明细!$D$4:$D$2004,基础资料!$B$4,周转筐出入库明细!$B$4:$B$2004,"&gt;="&amp;$BC$1,周转筐出入库明细!$B$4:$B$2004,"&lt;="&amp;$BC$2))</f>
        <v/>
      </c>
      <c r="J233" s="67" t="str">
        <f>IF(OR($B233="",基础资料!$B$5=""),"",-SUMIFS(周转筐出入库明细!$I$4:$I$2004,周转筐出入库明细!$C$4:$C$2004,$B233,周转筐出入库明细!$D$4:$D$2004,基础资料!$B$5,周转筐出入库明细!$B$4:$B$2004,"&gt;="&amp;$BC$1,周转筐出入库明细!$B$4:$B$2004,"&lt;="&amp;$BC$2))</f>
        <v/>
      </c>
      <c r="K233" s="67" t="str">
        <f>IF(OR($B233="",基础资料!$B$6=""),"",-SUMIFS(周转筐出入库明细!$I$4:$I$2004,周转筐出入库明细!$C$4:$C$2004,$B233,周转筐出入库明细!$D$4:$D$2004,基础资料!$B$6,周转筐出入库明细!$B$4:$B$2004,"&gt;="&amp;$BC$1,周转筐出入库明细!$B$4:$B$2004,"&lt;="&amp;$BC$2))</f>
        <v/>
      </c>
      <c r="L233" s="67" t="str">
        <f>IF(OR($B233="",基础资料!$B$7=""),"",-SUMIFS(周转筐出入库明细!$I$4:$I$2004,周转筐出入库明细!$C$4:$C$2004,$B233,周转筐出入库明细!$D$4:$D$2004,基础资料!$B$7,周转筐出入库明细!$B$4:$B$2004,"&gt;="&amp;$BC$1,周转筐出入库明细!$B$4:$B$2004,"&lt;="&amp;$BC$2))</f>
        <v/>
      </c>
      <c r="M233" s="67" t="str">
        <f>IF(OR($B233="",基础资料!$B$8=""),"",-SUMIFS(周转筐出入库明细!$I$4:$I$2004,周转筐出入库明细!$C$4:$C$2004,$B233,周转筐出入库明细!$D$4:$D$2004,基础资料!$B$8,周转筐出入库明细!$B$4:$B$2004,"&gt;="&amp;$BC$1,周转筐出入库明细!$B$4:$B$2004,"&lt;="&amp;$BC$2))</f>
        <v/>
      </c>
      <c r="N233" s="67" t="str">
        <f t="shared" si="38"/>
        <v/>
      </c>
      <c r="O233" s="25" t="str">
        <f>IF(OR($B233="",基础资料!$B$4=""),"",SUMIFS(周转筐出入库明细!$H$4:$H$2004,周转筐出入库明细!$C$4:$C$2004,$B233,周转筐出入库明细!$D$4:$D$2004,基础资料!$B$4,周转筐出入库明细!$F$4:$F$2004,"采购入库",周转筐出入库明细!$B$4:$B$2004,"&gt;="&amp;$BC$1,周转筐出入库明细!$B$4:$B$2004,"&lt;="&amp;$BC$2))</f>
        <v/>
      </c>
      <c r="P233" s="25" t="str">
        <f>IF(OR($B233="",基础资料!$B$5=""),"",SUMIFS(周转筐出入库明细!$H$4:$H$2004,周转筐出入库明细!$C$4:$C$2004,$B233,周转筐出入库明细!$D$4:$D$2004,基础资料!$B$5,周转筐出入库明细!$F$4:$F$2004,"采购入库",周转筐出入库明细!$B$4:$B$2004,"&gt;="&amp;$BC$1,周转筐出入库明细!$B$4:$B$2004,"&lt;="&amp;$BC$2))</f>
        <v/>
      </c>
      <c r="Q233" s="25" t="str">
        <f>IF(OR($B233="",基础资料!$B$6=""),"",SUMIFS(周转筐出入库明细!$H$4:$H$2004,周转筐出入库明细!$C$4:$C$2004,$B233,周转筐出入库明细!$D$4:$D$2004,基础资料!$B$6,周转筐出入库明细!$F$4:$F$2004,"采购入库",周转筐出入库明细!$B$4:$B$2004,"&gt;="&amp;$BC$1,周转筐出入库明细!$B$4:$B$2004,"&lt;="&amp;$BC$2))</f>
        <v/>
      </c>
      <c r="R233" s="25" t="str">
        <f>IF(OR($B233="",基础资料!$B$7=""),"",SUMIFS(周转筐出入库明细!$H$4:$H$2004,周转筐出入库明细!$C$4:$C$2004,$B233,周转筐出入库明细!$D$4:$D$2004,基础资料!$B$7,周转筐出入库明细!$F$4:$F$2004,"采购入库",周转筐出入库明细!$B$4:$B$2004,"&gt;="&amp;$BC$1,周转筐出入库明细!$B$4:$B$2004,"&lt;="&amp;$BC$2))</f>
        <v/>
      </c>
      <c r="S233" s="25" t="str">
        <f>IF(OR($B233="",基础资料!$B$8=""),"",SUMIFS(周转筐出入库明细!$H$4:$H$2004,周转筐出入库明细!$C$4:$C$2004,$B233,周转筐出入库明细!$D$4:$D$2004,基础资料!$B$8,周转筐出入库明细!$F$4:$F$2004,"采购入库",周转筐出入库明细!$B$4:$B$2004,"&gt;="&amp;$BC$1,周转筐出入库明细!$B$4:$B$2004,"&lt;="&amp;$BC$2))</f>
        <v/>
      </c>
      <c r="T233" s="25" t="str">
        <f t="shared" si="39"/>
        <v/>
      </c>
      <c r="U233" s="25" t="str">
        <f>IF(OR($B233="",基础资料!$B$4=""),"",SUMIFS(周转筐出入库明细!$K$4:$K$2004,周转筐出入库明细!$C$4:$C$2004,$B233,周转筐出入库明细!$D$4:$D$2004,基础资料!$B$4,周转筐出入库明细!$B$4:$B$2004,"&gt;="&amp;$BC$1,周转筐出入库明细!$B$4:$B$2004,"&lt;="&amp;$BC$2))</f>
        <v/>
      </c>
      <c r="V233" s="25" t="str">
        <f>IF(OR($B233="",基础资料!$B$5=""),"",SUMIFS(周转筐出入库明细!$K$4:$K$2004,周转筐出入库明细!$C$4:$C$2004,$B233,周转筐出入库明细!$D$4:$D$2004,基础资料!$B$5,周转筐出入库明细!$B$4:$B$2004,"&gt;="&amp;$BC$1,周转筐出入库明细!$B$4:$B$2004,"&lt;="&amp;$BC$2))</f>
        <v/>
      </c>
      <c r="W233" s="25" t="str">
        <f>IF(OR($B233="",基础资料!$B$6=""),"",SUMIFS(周转筐出入库明细!$K$4:$K$2004,周转筐出入库明细!$C$4:$C$2004,$B233,周转筐出入库明细!$D$4:$D$2004,基础资料!$B$6,周转筐出入库明细!$B$4:$B$2004,"&gt;="&amp;$BC$1,周转筐出入库明细!$B$4:$B$2004,"&lt;="&amp;$BC$2))</f>
        <v/>
      </c>
      <c r="X233" s="25" t="str">
        <f>IF(OR($B233="",基础资料!$B$7=""),"",SUMIFS(周转筐出入库明细!$K$4:$K$2004,周转筐出入库明细!$C$4:$C$2004,$B233,周转筐出入库明细!$D$4:$D$2004,基础资料!$B$7,周转筐出入库明细!$B$4:$B$2004,"&gt;="&amp;$BC$1,周转筐出入库明细!$B$4:$B$2004,"&lt;="&amp;$BC$2))</f>
        <v/>
      </c>
      <c r="Y233" s="25" t="str">
        <f>IF(OR($B233="",基础资料!$B$8=""),"",SUMIFS(周转筐出入库明细!$K$4:$K$2004,周转筐出入库明细!$C$4:$C$2004,$B233,周转筐出入库明细!$D$4:$D$2004,基础资料!$B$8,周转筐出入库明细!$B$4:$B$2004,"&gt;="&amp;$BC$1,周转筐出入库明细!$B$4:$B$2004,"&lt;="&amp;$BC$2))</f>
        <v/>
      </c>
      <c r="Z233" s="25" t="str">
        <f t="shared" si="40"/>
        <v/>
      </c>
      <c r="AA233" s="67" t="str">
        <f>IF(OR($B233="",基础资料!$B$4=""),"",-SUMIFS(对接源_01水果筐数!$D$5:$D$304,对接源_01水果筐数!$B$5:$B$304,$B233,对接源_01水果筐数!$C$5:$C$304,基础资料!$B$4))</f>
        <v/>
      </c>
      <c r="AB233" s="67" t="str">
        <f>IF(OR($B233="",基础资料!$B$5=""),"",-SUMIFS(对接源_01水果筐数!$D$5:$D$304,对接源_01水果筐数!$B$5:$B$304,$B233,对接源_01水果筐数!$C$5:$C$304,基础资料!$B$5))</f>
        <v/>
      </c>
      <c r="AC233" s="67" t="str">
        <f>IF(OR($B233="",基础资料!$B$6=""),"",-SUMIFS(对接源_01水果筐数!$D$5:$D$304,对接源_01水果筐数!$B$5:$B$304,$B233,对接源_01水果筐数!$C$5:$C$304,基础资料!$B$6))</f>
        <v/>
      </c>
      <c r="AD233" s="67" t="str">
        <f>IF(OR($B233="",基础资料!$B$7=""),"",-SUMIFS(对接源_01水果筐数!$D$5:$D$304,对接源_01水果筐数!$B$5:$B$304,$B233,对接源_01水果筐数!$C$5:$C$304,基础资料!$B$7))</f>
        <v/>
      </c>
      <c r="AE233" s="67" t="str">
        <f>IF(OR($B233="",基础资料!$B$8=""),"",-SUMIFS(对接源_01水果筐数!$D$5:$D$304,对接源_01水果筐数!$B$5:$B$304,$B233,对接源_01水果筐数!$C$5:$C$304,基础资料!$B$8))</f>
        <v/>
      </c>
      <c r="AF233" s="25" t="str">
        <f>IF(OR($B233="",基础资料!$B$4=""),"",SUMIFS(对接源_01水果筐数!$E$5:$E$304,对接源_01水果筐数!$B$5:$B$304,$B233,对接源_01水果筐数!$C$5:$C$304,基础资料!$B$4))</f>
        <v/>
      </c>
      <c r="AG233" s="25" t="str">
        <f>IF(OR($B233="",基础资料!$B$5=""),"",SUMIFS(对接源_01水果筐数!$E$5:$E$304,对接源_01水果筐数!$B$5:$B$304,$B233,对接源_01水果筐数!$C$5:$C$304,基础资料!$B$5))</f>
        <v/>
      </c>
      <c r="AH233" s="25" t="str">
        <f>IF(OR($B233="",基础资料!$B$6=""),"",SUMIFS(对接源_01水果筐数!$E$5:$E$304,对接源_01水果筐数!$B$5:$B$304,$B233,对接源_01水果筐数!$C$5:$C$304,基础资料!$B$6))</f>
        <v/>
      </c>
      <c r="AI233" s="25" t="str">
        <f>IF(OR($B233="",基础资料!$B$7=""),"",SUMIFS(对接源_01水果筐数!$E$5:$E$304,对接源_01水果筐数!$B$5:$B$304,$B233,对接源_01水果筐数!$C$5:$C$304,基础资料!$B$7))</f>
        <v/>
      </c>
      <c r="AJ233" s="25" t="str">
        <f>IF(OR($B233="",基础资料!$B$8=""),"",SUMIFS(对接源_01水果筐数!$E$5:$E$304,对接源_01水果筐数!$B$5:$B$304,$B233,对接源_01水果筐数!$C$5:$C$304,基础资料!$B$8))</f>
        <v/>
      </c>
      <c r="AK233" s="25" t="str">
        <f>IF(OR($B233="",基础资料!$B$4=""),"",SUMIFS(对接源_01水果筐数!$F$5:$F$304,对接源_01水果筐数!$B$5:$B$304,$B233,对接源_01水果筐数!$C$5:$C$304,基础资料!$B$4))</f>
        <v/>
      </c>
      <c r="AL233" s="25" t="str">
        <f>IF(OR($B233="",基础资料!$B$5=""),"",SUMIFS(对接源_01水果筐数!$F$5:$F$304,对接源_01水果筐数!$B$5:$B$304,$B233,对接源_01水果筐数!$C$5:$C$304,基础资料!$B$5))</f>
        <v/>
      </c>
      <c r="AM233" s="25" t="str">
        <f>IF(OR($B233="",基础资料!$B$6=""),"",SUMIFS(对接源_01水果筐数!$F$5:$F$304,对接源_01水果筐数!$B$5:$B$304,$B233,对接源_01水果筐数!$C$5:$C$304,基础资料!$B$6))</f>
        <v/>
      </c>
      <c r="AN233" s="25" t="str">
        <f>IF(OR($B233="",基础资料!$B$7=""),"",SUMIFS(对接源_01水果筐数!$F$5:$F$304,对接源_01水果筐数!$B$5:$B$304,$B233,对接源_01水果筐数!$C$5:$C$304,基础资料!$B$7))</f>
        <v/>
      </c>
      <c r="AO233" s="25" t="str">
        <f>IF(OR($B233="",基础资料!$B$8=""),"",SUMIFS(对接源_01水果筐数!$F$5:$F$304,对接源_01水果筐数!$B$5:$B$304,$B233,对接源_01水果筐数!$C$5:$C$304,基础资料!$B$8))</f>
        <v/>
      </c>
      <c r="AP233" s="25" t="str">
        <f t="shared" si="41"/>
        <v/>
      </c>
      <c r="AQ233" s="25" t="str">
        <f t="shared" si="42"/>
        <v/>
      </c>
      <c r="AR233" s="25" t="str">
        <f t="shared" si="43"/>
        <v/>
      </c>
      <c r="AS233" s="25" t="str">
        <f t="shared" si="44"/>
        <v/>
      </c>
      <c r="AT233" s="25" t="str">
        <f t="shared" si="45"/>
        <v/>
      </c>
      <c r="AU233" s="25" t="str">
        <f t="shared" si="46"/>
        <v/>
      </c>
      <c r="AV233" s="24" t="str">
        <f t="shared" si="47"/>
        <v/>
      </c>
      <c r="AW233" s="72"/>
    </row>
    <row r="234" spans="1:49">
      <c r="A234" s="22" t="str">
        <f t="shared" si="36"/>
        <v/>
      </c>
      <c r="B234" s="24" t="str">
        <f>IFERROR(INDEX(_自动清单!$CC$4:$CC$253,ROW()-3),"")</f>
        <v/>
      </c>
      <c r="C234" s="25" t="str">
        <f>IF(OR($B234="",基础资料!$B$4=""),"",SUMIFS(周转筐出入库明细!$J$4:$J$2004,周转筐出入库明细!$C$4:$C$2004,$B234,周转筐出入库明细!$D$4:$D$2004,基础资料!$B$4,周转筐出入库明细!$B$4:$B$2004,"&gt;="&amp;$BC$1,周转筐出入库明细!$B$4:$B$2004,"&lt;="&amp;$BC$2))</f>
        <v/>
      </c>
      <c r="D234" s="25" t="str">
        <f>IF(OR($B234="",基础资料!$B$5=""),"",SUMIFS(周转筐出入库明细!$J$4:$J$2004,周转筐出入库明细!$C$4:$C$2004,$B234,周转筐出入库明细!$D$4:$D$2004,基础资料!$B$5,周转筐出入库明细!$B$4:$B$2004,"&gt;="&amp;$BC$1,周转筐出入库明细!$B$4:$B$2004,"&lt;="&amp;$BC$2))</f>
        <v/>
      </c>
      <c r="E234" s="25" t="str">
        <f>IF(OR($B234="",基础资料!$B$6=""),"",SUMIFS(周转筐出入库明细!$J$4:$J$2004,周转筐出入库明细!$C$4:$C$2004,$B234,周转筐出入库明细!$D$4:$D$2004,基础资料!$B$6,周转筐出入库明细!$B$4:$B$2004,"&gt;="&amp;$BC$1,周转筐出入库明细!$B$4:$B$2004,"&lt;="&amp;$BC$2))</f>
        <v/>
      </c>
      <c r="F234" s="25" t="str">
        <f>IF(OR($B234="",基础资料!$B$7=""),"",SUMIFS(周转筐出入库明细!$J$4:$J$2004,周转筐出入库明细!$C$4:$C$2004,$B234,周转筐出入库明细!$D$4:$D$2004,基础资料!$B$7,周转筐出入库明细!$B$4:$B$2004,"&gt;="&amp;$BC$1,周转筐出入库明细!$B$4:$B$2004,"&lt;="&amp;$BC$2))</f>
        <v/>
      </c>
      <c r="G234" s="25" t="str">
        <f>IF(OR($B234="",基础资料!$B$8=""),"",SUMIFS(周转筐出入库明细!$J$4:$J$2004,周转筐出入库明细!$C$4:$C$2004,$B234,周转筐出入库明细!$D$4:$D$2004,基础资料!$B$8,周转筐出入库明细!$B$4:$B$2004,"&gt;="&amp;$BC$1,周转筐出入库明细!$B$4:$B$2004,"&lt;="&amp;$BC$2))</f>
        <v/>
      </c>
      <c r="H234" s="25" t="str">
        <f t="shared" si="37"/>
        <v/>
      </c>
      <c r="I234" s="67" t="str">
        <f>IF(OR($B234="",基础资料!$B$4=""),"",-SUMIFS(周转筐出入库明细!$I$4:$I$2004,周转筐出入库明细!$C$4:$C$2004,$B234,周转筐出入库明细!$D$4:$D$2004,基础资料!$B$4,周转筐出入库明细!$B$4:$B$2004,"&gt;="&amp;$BC$1,周转筐出入库明细!$B$4:$B$2004,"&lt;="&amp;$BC$2))</f>
        <v/>
      </c>
      <c r="J234" s="67" t="str">
        <f>IF(OR($B234="",基础资料!$B$5=""),"",-SUMIFS(周转筐出入库明细!$I$4:$I$2004,周转筐出入库明细!$C$4:$C$2004,$B234,周转筐出入库明细!$D$4:$D$2004,基础资料!$B$5,周转筐出入库明细!$B$4:$B$2004,"&gt;="&amp;$BC$1,周转筐出入库明细!$B$4:$B$2004,"&lt;="&amp;$BC$2))</f>
        <v/>
      </c>
      <c r="K234" s="67" t="str">
        <f>IF(OR($B234="",基础资料!$B$6=""),"",-SUMIFS(周转筐出入库明细!$I$4:$I$2004,周转筐出入库明细!$C$4:$C$2004,$B234,周转筐出入库明细!$D$4:$D$2004,基础资料!$B$6,周转筐出入库明细!$B$4:$B$2004,"&gt;="&amp;$BC$1,周转筐出入库明细!$B$4:$B$2004,"&lt;="&amp;$BC$2))</f>
        <v/>
      </c>
      <c r="L234" s="67" t="str">
        <f>IF(OR($B234="",基础资料!$B$7=""),"",-SUMIFS(周转筐出入库明细!$I$4:$I$2004,周转筐出入库明细!$C$4:$C$2004,$B234,周转筐出入库明细!$D$4:$D$2004,基础资料!$B$7,周转筐出入库明细!$B$4:$B$2004,"&gt;="&amp;$BC$1,周转筐出入库明细!$B$4:$B$2004,"&lt;="&amp;$BC$2))</f>
        <v/>
      </c>
      <c r="M234" s="67" t="str">
        <f>IF(OR($B234="",基础资料!$B$8=""),"",-SUMIFS(周转筐出入库明细!$I$4:$I$2004,周转筐出入库明细!$C$4:$C$2004,$B234,周转筐出入库明细!$D$4:$D$2004,基础资料!$B$8,周转筐出入库明细!$B$4:$B$2004,"&gt;="&amp;$BC$1,周转筐出入库明细!$B$4:$B$2004,"&lt;="&amp;$BC$2))</f>
        <v/>
      </c>
      <c r="N234" s="67" t="str">
        <f t="shared" si="38"/>
        <v/>
      </c>
      <c r="O234" s="25" t="str">
        <f>IF(OR($B234="",基础资料!$B$4=""),"",SUMIFS(周转筐出入库明细!$H$4:$H$2004,周转筐出入库明细!$C$4:$C$2004,$B234,周转筐出入库明细!$D$4:$D$2004,基础资料!$B$4,周转筐出入库明细!$F$4:$F$2004,"采购入库",周转筐出入库明细!$B$4:$B$2004,"&gt;="&amp;$BC$1,周转筐出入库明细!$B$4:$B$2004,"&lt;="&amp;$BC$2))</f>
        <v/>
      </c>
      <c r="P234" s="25" t="str">
        <f>IF(OR($B234="",基础资料!$B$5=""),"",SUMIFS(周转筐出入库明细!$H$4:$H$2004,周转筐出入库明细!$C$4:$C$2004,$B234,周转筐出入库明细!$D$4:$D$2004,基础资料!$B$5,周转筐出入库明细!$F$4:$F$2004,"采购入库",周转筐出入库明细!$B$4:$B$2004,"&gt;="&amp;$BC$1,周转筐出入库明细!$B$4:$B$2004,"&lt;="&amp;$BC$2))</f>
        <v/>
      </c>
      <c r="Q234" s="25" t="str">
        <f>IF(OR($B234="",基础资料!$B$6=""),"",SUMIFS(周转筐出入库明细!$H$4:$H$2004,周转筐出入库明细!$C$4:$C$2004,$B234,周转筐出入库明细!$D$4:$D$2004,基础资料!$B$6,周转筐出入库明细!$F$4:$F$2004,"采购入库",周转筐出入库明细!$B$4:$B$2004,"&gt;="&amp;$BC$1,周转筐出入库明细!$B$4:$B$2004,"&lt;="&amp;$BC$2))</f>
        <v/>
      </c>
      <c r="R234" s="25" t="str">
        <f>IF(OR($B234="",基础资料!$B$7=""),"",SUMIFS(周转筐出入库明细!$H$4:$H$2004,周转筐出入库明细!$C$4:$C$2004,$B234,周转筐出入库明细!$D$4:$D$2004,基础资料!$B$7,周转筐出入库明细!$F$4:$F$2004,"采购入库",周转筐出入库明细!$B$4:$B$2004,"&gt;="&amp;$BC$1,周转筐出入库明细!$B$4:$B$2004,"&lt;="&amp;$BC$2))</f>
        <v/>
      </c>
      <c r="S234" s="25" t="str">
        <f>IF(OR($B234="",基础资料!$B$8=""),"",SUMIFS(周转筐出入库明细!$H$4:$H$2004,周转筐出入库明细!$C$4:$C$2004,$B234,周转筐出入库明细!$D$4:$D$2004,基础资料!$B$8,周转筐出入库明细!$F$4:$F$2004,"采购入库",周转筐出入库明细!$B$4:$B$2004,"&gt;="&amp;$BC$1,周转筐出入库明细!$B$4:$B$2004,"&lt;="&amp;$BC$2))</f>
        <v/>
      </c>
      <c r="T234" s="25" t="str">
        <f t="shared" si="39"/>
        <v/>
      </c>
      <c r="U234" s="25" t="str">
        <f>IF(OR($B234="",基础资料!$B$4=""),"",SUMIFS(周转筐出入库明细!$K$4:$K$2004,周转筐出入库明细!$C$4:$C$2004,$B234,周转筐出入库明细!$D$4:$D$2004,基础资料!$B$4,周转筐出入库明细!$B$4:$B$2004,"&gt;="&amp;$BC$1,周转筐出入库明细!$B$4:$B$2004,"&lt;="&amp;$BC$2))</f>
        <v/>
      </c>
      <c r="V234" s="25" t="str">
        <f>IF(OR($B234="",基础资料!$B$5=""),"",SUMIFS(周转筐出入库明细!$K$4:$K$2004,周转筐出入库明细!$C$4:$C$2004,$B234,周转筐出入库明细!$D$4:$D$2004,基础资料!$B$5,周转筐出入库明细!$B$4:$B$2004,"&gt;="&amp;$BC$1,周转筐出入库明细!$B$4:$B$2004,"&lt;="&amp;$BC$2))</f>
        <v/>
      </c>
      <c r="W234" s="25" t="str">
        <f>IF(OR($B234="",基础资料!$B$6=""),"",SUMIFS(周转筐出入库明细!$K$4:$K$2004,周转筐出入库明细!$C$4:$C$2004,$B234,周转筐出入库明细!$D$4:$D$2004,基础资料!$B$6,周转筐出入库明细!$B$4:$B$2004,"&gt;="&amp;$BC$1,周转筐出入库明细!$B$4:$B$2004,"&lt;="&amp;$BC$2))</f>
        <v/>
      </c>
      <c r="X234" s="25" t="str">
        <f>IF(OR($B234="",基础资料!$B$7=""),"",SUMIFS(周转筐出入库明细!$K$4:$K$2004,周转筐出入库明细!$C$4:$C$2004,$B234,周转筐出入库明细!$D$4:$D$2004,基础资料!$B$7,周转筐出入库明细!$B$4:$B$2004,"&gt;="&amp;$BC$1,周转筐出入库明细!$B$4:$B$2004,"&lt;="&amp;$BC$2))</f>
        <v/>
      </c>
      <c r="Y234" s="25" t="str">
        <f>IF(OR($B234="",基础资料!$B$8=""),"",SUMIFS(周转筐出入库明细!$K$4:$K$2004,周转筐出入库明细!$C$4:$C$2004,$B234,周转筐出入库明细!$D$4:$D$2004,基础资料!$B$8,周转筐出入库明细!$B$4:$B$2004,"&gt;="&amp;$BC$1,周转筐出入库明细!$B$4:$B$2004,"&lt;="&amp;$BC$2))</f>
        <v/>
      </c>
      <c r="Z234" s="25" t="str">
        <f t="shared" si="40"/>
        <v/>
      </c>
      <c r="AA234" s="67" t="str">
        <f>IF(OR($B234="",基础资料!$B$4=""),"",-SUMIFS(对接源_01水果筐数!$D$5:$D$304,对接源_01水果筐数!$B$5:$B$304,$B234,对接源_01水果筐数!$C$5:$C$304,基础资料!$B$4))</f>
        <v/>
      </c>
      <c r="AB234" s="67" t="str">
        <f>IF(OR($B234="",基础资料!$B$5=""),"",-SUMIFS(对接源_01水果筐数!$D$5:$D$304,对接源_01水果筐数!$B$5:$B$304,$B234,对接源_01水果筐数!$C$5:$C$304,基础资料!$B$5))</f>
        <v/>
      </c>
      <c r="AC234" s="67" t="str">
        <f>IF(OR($B234="",基础资料!$B$6=""),"",-SUMIFS(对接源_01水果筐数!$D$5:$D$304,对接源_01水果筐数!$B$5:$B$304,$B234,对接源_01水果筐数!$C$5:$C$304,基础资料!$B$6))</f>
        <v/>
      </c>
      <c r="AD234" s="67" t="str">
        <f>IF(OR($B234="",基础资料!$B$7=""),"",-SUMIFS(对接源_01水果筐数!$D$5:$D$304,对接源_01水果筐数!$B$5:$B$304,$B234,对接源_01水果筐数!$C$5:$C$304,基础资料!$B$7))</f>
        <v/>
      </c>
      <c r="AE234" s="67" t="str">
        <f>IF(OR($B234="",基础资料!$B$8=""),"",-SUMIFS(对接源_01水果筐数!$D$5:$D$304,对接源_01水果筐数!$B$5:$B$304,$B234,对接源_01水果筐数!$C$5:$C$304,基础资料!$B$8))</f>
        <v/>
      </c>
      <c r="AF234" s="25" t="str">
        <f>IF(OR($B234="",基础资料!$B$4=""),"",SUMIFS(对接源_01水果筐数!$E$5:$E$304,对接源_01水果筐数!$B$5:$B$304,$B234,对接源_01水果筐数!$C$5:$C$304,基础资料!$B$4))</f>
        <v/>
      </c>
      <c r="AG234" s="25" t="str">
        <f>IF(OR($B234="",基础资料!$B$5=""),"",SUMIFS(对接源_01水果筐数!$E$5:$E$304,对接源_01水果筐数!$B$5:$B$304,$B234,对接源_01水果筐数!$C$5:$C$304,基础资料!$B$5))</f>
        <v/>
      </c>
      <c r="AH234" s="25" t="str">
        <f>IF(OR($B234="",基础资料!$B$6=""),"",SUMIFS(对接源_01水果筐数!$E$5:$E$304,对接源_01水果筐数!$B$5:$B$304,$B234,对接源_01水果筐数!$C$5:$C$304,基础资料!$B$6))</f>
        <v/>
      </c>
      <c r="AI234" s="25" t="str">
        <f>IF(OR($B234="",基础资料!$B$7=""),"",SUMIFS(对接源_01水果筐数!$E$5:$E$304,对接源_01水果筐数!$B$5:$B$304,$B234,对接源_01水果筐数!$C$5:$C$304,基础资料!$B$7))</f>
        <v/>
      </c>
      <c r="AJ234" s="25" t="str">
        <f>IF(OR($B234="",基础资料!$B$8=""),"",SUMIFS(对接源_01水果筐数!$E$5:$E$304,对接源_01水果筐数!$B$5:$B$304,$B234,对接源_01水果筐数!$C$5:$C$304,基础资料!$B$8))</f>
        <v/>
      </c>
      <c r="AK234" s="25" t="str">
        <f>IF(OR($B234="",基础资料!$B$4=""),"",SUMIFS(对接源_01水果筐数!$F$5:$F$304,对接源_01水果筐数!$B$5:$B$304,$B234,对接源_01水果筐数!$C$5:$C$304,基础资料!$B$4))</f>
        <v/>
      </c>
      <c r="AL234" s="25" t="str">
        <f>IF(OR($B234="",基础资料!$B$5=""),"",SUMIFS(对接源_01水果筐数!$F$5:$F$304,对接源_01水果筐数!$B$5:$B$304,$B234,对接源_01水果筐数!$C$5:$C$304,基础资料!$B$5))</f>
        <v/>
      </c>
      <c r="AM234" s="25" t="str">
        <f>IF(OR($B234="",基础资料!$B$6=""),"",SUMIFS(对接源_01水果筐数!$F$5:$F$304,对接源_01水果筐数!$B$5:$B$304,$B234,对接源_01水果筐数!$C$5:$C$304,基础资料!$B$6))</f>
        <v/>
      </c>
      <c r="AN234" s="25" t="str">
        <f>IF(OR($B234="",基础资料!$B$7=""),"",SUMIFS(对接源_01水果筐数!$F$5:$F$304,对接源_01水果筐数!$B$5:$B$304,$B234,对接源_01水果筐数!$C$5:$C$304,基础资料!$B$7))</f>
        <v/>
      </c>
      <c r="AO234" s="25" t="str">
        <f>IF(OR($B234="",基础资料!$B$8=""),"",SUMIFS(对接源_01水果筐数!$F$5:$F$304,对接源_01水果筐数!$B$5:$B$304,$B234,对接源_01水果筐数!$C$5:$C$304,基础资料!$B$8))</f>
        <v/>
      </c>
      <c r="AP234" s="25" t="str">
        <f t="shared" si="41"/>
        <v/>
      </c>
      <c r="AQ234" s="25" t="str">
        <f t="shared" si="42"/>
        <v/>
      </c>
      <c r="AR234" s="25" t="str">
        <f t="shared" si="43"/>
        <v/>
      </c>
      <c r="AS234" s="25" t="str">
        <f t="shared" si="44"/>
        <v/>
      </c>
      <c r="AT234" s="25" t="str">
        <f t="shared" si="45"/>
        <v/>
      </c>
      <c r="AU234" s="25" t="str">
        <f t="shared" si="46"/>
        <v/>
      </c>
      <c r="AV234" s="24" t="str">
        <f t="shared" si="47"/>
        <v/>
      </c>
      <c r="AW234" s="72"/>
    </row>
    <row r="235" spans="1:49">
      <c r="A235" s="22" t="str">
        <f t="shared" si="36"/>
        <v/>
      </c>
      <c r="B235" s="24" t="str">
        <f>IFERROR(INDEX(_自动清单!$CC$4:$CC$253,ROW()-3),"")</f>
        <v/>
      </c>
      <c r="C235" s="25" t="str">
        <f>IF(OR($B235="",基础资料!$B$4=""),"",SUMIFS(周转筐出入库明细!$J$4:$J$2004,周转筐出入库明细!$C$4:$C$2004,$B235,周转筐出入库明细!$D$4:$D$2004,基础资料!$B$4,周转筐出入库明细!$B$4:$B$2004,"&gt;="&amp;$BC$1,周转筐出入库明细!$B$4:$B$2004,"&lt;="&amp;$BC$2))</f>
        <v/>
      </c>
      <c r="D235" s="25" t="str">
        <f>IF(OR($B235="",基础资料!$B$5=""),"",SUMIFS(周转筐出入库明细!$J$4:$J$2004,周转筐出入库明细!$C$4:$C$2004,$B235,周转筐出入库明细!$D$4:$D$2004,基础资料!$B$5,周转筐出入库明细!$B$4:$B$2004,"&gt;="&amp;$BC$1,周转筐出入库明细!$B$4:$B$2004,"&lt;="&amp;$BC$2))</f>
        <v/>
      </c>
      <c r="E235" s="25" t="str">
        <f>IF(OR($B235="",基础资料!$B$6=""),"",SUMIFS(周转筐出入库明细!$J$4:$J$2004,周转筐出入库明细!$C$4:$C$2004,$B235,周转筐出入库明细!$D$4:$D$2004,基础资料!$B$6,周转筐出入库明细!$B$4:$B$2004,"&gt;="&amp;$BC$1,周转筐出入库明细!$B$4:$B$2004,"&lt;="&amp;$BC$2))</f>
        <v/>
      </c>
      <c r="F235" s="25" t="str">
        <f>IF(OR($B235="",基础资料!$B$7=""),"",SUMIFS(周转筐出入库明细!$J$4:$J$2004,周转筐出入库明细!$C$4:$C$2004,$B235,周转筐出入库明细!$D$4:$D$2004,基础资料!$B$7,周转筐出入库明细!$B$4:$B$2004,"&gt;="&amp;$BC$1,周转筐出入库明细!$B$4:$B$2004,"&lt;="&amp;$BC$2))</f>
        <v/>
      </c>
      <c r="G235" s="25" t="str">
        <f>IF(OR($B235="",基础资料!$B$8=""),"",SUMIFS(周转筐出入库明细!$J$4:$J$2004,周转筐出入库明细!$C$4:$C$2004,$B235,周转筐出入库明细!$D$4:$D$2004,基础资料!$B$8,周转筐出入库明细!$B$4:$B$2004,"&gt;="&amp;$BC$1,周转筐出入库明细!$B$4:$B$2004,"&lt;="&amp;$BC$2))</f>
        <v/>
      </c>
      <c r="H235" s="25" t="str">
        <f t="shared" si="37"/>
        <v/>
      </c>
      <c r="I235" s="67" t="str">
        <f>IF(OR($B235="",基础资料!$B$4=""),"",-SUMIFS(周转筐出入库明细!$I$4:$I$2004,周转筐出入库明细!$C$4:$C$2004,$B235,周转筐出入库明细!$D$4:$D$2004,基础资料!$B$4,周转筐出入库明细!$B$4:$B$2004,"&gt;="&amp;$BC$1,周转筐出入库明细!$B$4:$B$2004,"&lt;="&amp;$BC$2))</f>
        <v/>
      </c>
      <c r="J235" s="67" t="str">
        <f>IF(OR($B235="",基础资料!$B$5=""),"",-SUMIFS(周转筐出入库明细!$I$4:$I$2004,周转筐出入库明细!$C$4:$C$2004,$B235,周转筐出入库明细!$D$4:$D$2004,基础资料!$B$5,周转筐出入库明细!$B$4:$B$2004,"&gt;="&amp;$BC$1,周转筐出入库明细!$B$4:$B$2004,"&lt;="&amp;$BC$2))</f>
        <v/>
      </c>
      <c r="K235" s="67" t="str">
        <f>IF(OR($B235="",基础资料!$B$6=""),"",-SUMIFS(周转筐出入库明细!$I$4:$I$2004,周转筐出入库明细!$C$4:$C$2004,$B235,周转筐出入库明细!$D$4:$D$2004,基础资料!$B$6,周转筐出入库明细!$B$4:$B$2004,"&gt;="&amp;$BC$1,周转筐出入库明细!$B$4:$B$2004,"&lt;="&amp;$BC$2))</f>
        <v/>
      </c>
      <c r="L235" s="67" t="str">
        <f>IF(OR($B235="",基础资料!$B$7=""),"",-SUMIFS(周转筐出入库明细!$I$4:$I$2004,周转筐出入库明细!$C$4:$C$2004,$B235,周转筐出入库明细!$D$4:$D$2004,基础资料!$B$7,周转筐出入库明细!$B$4:$B$2004,"&gt;="&amp;$BC$1,周转筐出入库明细!$B$4:$B$2004,"&lt;="&amp;$BC$2))</f>
        <v/>
      </c>
      <c r="M235" s="67" t="str">
        <f>IF(OR($B235="",基础资料!$B$8=""),"",-SUMIFS(周转筐出入库明细!$I$4:$I$2004,周转筐出入库明细!$C$4:$C$2004,$B235,周转筐出入库明细!$D$4:$D$2004,基础资料!$B$8,周转筐出入库明细!$B$4:$B$2004,"&gt;="&amp;$BC$1,周转筐出入库明细!$B$4:$B$2004,"&lt;="&amp;$BC$2))</f>
        <v/>
      </c>
      <c r="N235" s="67" t="str">
        <f t="shared" si="38"/>
        <v/>
      </c>
      <c r="O235" s="25" t="str">
        <f>IF(OR($B235="",基础资料!$B$4=""),"",SUMIFS(周转筐出入库明细!$H$4:$H$2004,周转筐出入库明细!$C$4:$C$2004,$B235,周转筐出入库明细!$D$4:$D$2004,基础资料!$B$4,周转筐出入库明细!$F$4:$F$2004,"采购入库",周转筐出入库明细!$B$4:$B$2004,"&gt;="&amp;$BC$1,周转筐出入库明细!$B$4:$B$2004,"&lt;="&amp;$BC$2))</f>
        <v/>
      </c>
      <c r="P235" s="25" t="str">
        <f>IF(OR($B235="",基础资料!$B$5=""),"",SUMIFS(周转筐出入库明细!$H$4:$H$2004,周转筐出入库明细!$C$4:$C$2004,$B235,周转筐出入库明细!$D$4:$D$2004,基础资料!$B$5,周转筐出入库明细!$F$4:$F$2004,"采购入库",周转筐出入库明细!$B$4:$B$2004,"&gt;="&amp;$BC$1,周转筐出入库明细!$B$4:$B$2004,"&lt;="&amp;$BC$2))</f>
        <v/>
      </c>
      <c r="Q235" s="25" t="str">
        <f>IF(OR($B235="",基础资料!$B$6=""),"",SUMIFS(周转筐出入库明细!$H$4:$H$2004,周转筐出入库明细!$C$4:$C$2004,$B235,周转筐出入库明细!$D$4:$D$2004,基础资料!$B$6,周转筐出入库明细!$F$4:$F$2004,"采购入库",周转筐出入库明细!$B$4:$B$2004,"&gt;="&amp;$BC$1,周转筐出入库明细!$B$4:$B$2004,"&lt;="&amp;$BC$2))</f>
        <v/>
      </c>
      <c r="R235" s="25" t="str">
        <f>IF(OR($B235="",基础资料!$B$7=""),"",SUMIFS(周转筐出入库明细!$H$4:$H$2004,周转筐出入库明细!$C$4:$C$2004,$B235,周转筐出入库明细!$D$4:$D$2004,基础资料!$B$7,周转筐出入库明细!$F$4:$F$2004,"采购入库",周转筐出入库明细!$B$4:$B$2004,"&gt;="&amp;$BC$1,周转筐出入库明细!$B$4:$B$2004,"&lt;="&amp;$BC$2))</f>
        <v/>
      </c>
      <c r="S235" s="25" t="str">
        <f>IF(OR($B235="",基础资料!$B$8=""),"",SUMIFS(周转筐出入库明细!$H$4:$H$2004,周转筐出入库明细!$C$4:$C$2004,$B235,周转筐出入库明细!$D$4:$D$2004,基础资料!$B$8,周转筐出入库明细!$F$4:$F$2004,"采购入库",周转筐出入库明细!$B$4:$B$2004,"&gt;="&amp;$BC$1,周转筐出入库明细!$B$4:$B$2004,"&lt;="&amp;$BC$2))</f>
        <v/>
      </c>
      <c r="T235" s="25" t="str">
        <f t="shared" si="39"/>
        <v/>
      </c>
      <c r="U235" s="25" t="str">
        <f>IF(OR($B235="",基础资料!$B$4=""),"",SUMIFS(周转筐出入库明细!$K$4:$K$2004,周转筐出入库明细!$C$4:$C$2004,$B235,周转筐出入库明细!$D$4:$D$2004,基础资料!$B$4,周转筐出入库明细!$B$4:$B$2004,"&gt;="&amp;$BC$1,周转筐出入库明细!$B$4:$B$2004,"&lt;="&amp;$BC$2))</f>
        <v/>
      </c>
      <c r="V235" s="25" t="str">
        <f>IF(OR($B235="",基础资料!$B$5=""),"",SUMIFS(周转筐出入库明细!$K$4:$K$2004,周转筐出入库明细!$C$4:$C$2004,$B235,周转筐出入库明细!$D$4:$D$2004,基础资料!$B$5,周转筐出入库明细!$B$4:$B$2004,"&gt;="&amp;$BC$1,周转筐出入库明细!$B$4:$B$2004,"&lt;="&amp;$BC$2))</f>
        <v/>
      </c>
      <c r="W235" s="25" t="str">
        <f>IF(OR($B235="",基础资料!$B$6=""),"",SUMIFS(周转筐出入库明细!$K$4:$K$2004,周转筐出入库明细!$C$4:$C$2004,$B235,周转筐出入库明细!$D$4:$D$2004,基础资料!$B$6,周转筐出入库明细!$B$4:$B$2004,"&gt;="&amp;$BC$1,周转筐出入库明细!$B$4:$B$2004,"&lt;="&amp;$BC$2))</f>
        <v/>
      </c>
      <c r="X235" s="25" t="str">
        <f>IF(OR($B235="",基础资料!$B$7=""),"",SUMIFS(周转筐出入库明细!$K$4:$K$2004,周转筐出入库明细!$C$4:$C$2004,$B235,周转筐出入库明细!$D$4:$D$2004,基础资料!$B$7,周转筐出入库明细!$B$4:$B$2004,"&gt;="&amp;$BC$1,周转筐出入库明细!$B$4:$B$2004,"&lt;="&amp;$BC$2))</f>
        <v/>
      </c>
      <c r="Y235" s="25" t="str">
        <f>IF(OR($B235="",基础资料!$B$8=""),"",SUMIFS(周转筐出入库明细!$K$4:$K$2004,周转筐出入库明细!$C$4:$C$2004,$B235,周转筐出入库明细!$D$4:$D$2004,基础资料!$B$8,周转筐出入库明细!$B$4:$B$2004,"&gt;="&amp;$BC$1,周转筐出入库明细!$B$4:$B$2004,"&lt;="&amp;$BC$2))</f>
        <v/>
      </c>
      <c r="Z235" s="25" t="str">
        <f t="shared" si="40"/>
        <v/>
      </c>
      <c r="AA235" s="67" t="str">
        <f>IF(OR($B235="",基础资料!$B$4=""),"",-SUMIFS(对接源_01水果筐数!$D$5:$D$304,对接源_01水果筐数!$B$5:$B$304,$B235,对接源_01水果筐数!$C$5:$C$304,基础资料!$B$4))</f>
        <v/>
      </c>
      <c r="AB235" s="67" t="str">
        <f>IF(OR($B235="",基础资料!$B$5=""),"",-SUMIFS(对接源_01水果筐数!$D$5:$D$304,对接源_01水果筐数!$B$5:$B$304,$B235,对接源_01水果筐数!$C$5:$C$304,基础资料!$B$5))</f>
        <v/>
      </c>
      <c r="AC235" s="67" t="str">
        <f>IF(OR($B235="",基础资料!$B$6=""),"",-SUMIFS(对接源_01水果筐数!$D$5:$D$304,对接源_01水果筐数!$B$5:$B$304,$B235,对接源_01水果筐数!$C$5:$C$304,基础资料!$B$6))</f>
        <v/>
      </c>
      <c r="AD235" s="67" t="str">
        <f>IF(OR($B235="",基础资料!$B$7=""),"",-SUMIFS(对接源_01水果筐数!$D$5:$D$304,对接源_01水果筐数!$B$5:$B$304,$B235,对接源_01水果筐数!$C$5:$C$304,基础资料!$B$7))</f>
        <v/>
      </c>
      <c r="AE235" s="67" t="str">
        <f>IF(OR($B235="",基础资料!$B$8=""),"",-SUMIFS(对接源_01水果筐数!$D$5:$D$304,对接源_01水果筐数!$B$5:$B$304,$B235,对接源_01水果筐数!$C$5:$C$304,基础资料!$B$8))</f>
        <v/>
      </c>
      <c r="AF235" s="25" t="str">
        <f>IF(OR($B235="",基础资料!$B$4=""),"",SUMIFS(对接源_01水果筐数!$E$5:$E$304,对接源_01水果筐数!$B$5:$B$304,$B235,对接源_01水果筐数!$C$5:$C$304,基础资料!$B$4))</f>
        <v/>
      </c>
      <c r="AG235" s="25" t="str">
        <f>IF(OR($B235="",基础资料!$B$5=""),"",SUMIFS(对接源_01水果筐数!$E$5:$E$304,对接源_01水果筐数!$B$5:$B$304,$B235,对接源_01水果筐数!$C$5:$C$304,基础资料!$B$5))</f>
        <v/>
      </c>
      <c r="AH235" s="25" t="str">
        <f>IF(OR($B235="",基础资料!$B$6=""),"",SUMIFS(对接源_01水果筐数!$E$5:$E$304,对接源_01水果筐数!$B$5:$B$304,$B235,对接源_01水果筐数!$C$5:$C$304,基础资料!$B$6))</f>
        <v/>
      </c>
      <c r="AI235" s="25" t="str">
        <f>IF(OR($B235="",基础资料!$B$7=""),"",SUMIFS(对接源_01水果筐数!$E$5:$E$304,对接源_01水果筐数!$B$5:$B$304,$B235,对接源_01水果筐数!$C$5:$C$304,基础资料!$B$7))</f>
        <v/>
      </c>
      <c r="AJ235" s="25" t="str">
        <f>IF(OR($B235="",基础资料!$B$8=""),"",SUMIFS(对接源_01水果筐数!$E$5:$E$304,对接源_01水果筐数!$B$5:$B$304,$B235,对接源_01水果筐数!$C$5:$C$304,基础资料!$B$8))</f>
        <v/>
      </c>
      <c r="AK235" s="25" t="str">
        <f>IF(OR($B235="",基础资料!$B$4=""),"",SUMIFS(对接源_01水果筐数!$F$5:$F$304,对接源_01水果筐数!$B$5:$B$304,$B235,对接源_01水果筐数!$C$5:$C$304,基础资料!$B$4))</f>
        <v/>
      </c>
      <c r="AL235" s="25" t="str">
        <f>IF(OR($B235="",基础资料!$B$5=""),"",SUMIFS(对接源_01水果筐数!$F$5:$F$304,对接源_01水果筐数!$B$5:$B$304,$B235,对接源_01水果筐数!$C$5:$C$304,基础资料!$B$5))</f>
        <v/>
      </c>
      <c r="AM235" s="25" t="str">
        <f>IF(OR($B235="",基础资料!$B$6=""),"",SUMIFS(对接源_01水果筐数!$F$5:$F$304,对接源_01水果筐数!$B$5:$B$304,$B235,对接源_01水果筐数!$C$5:$C$304,基础资料!$B$6))</f>
        <v/>
      </c>
      <c r="AN235" s="25" t="str">
        <f>IF(OR($B235="",基础资料!$B$7=""),"",SUMIFS(对接源_01水果筐数!$F$5:$F$304,对接源_01水果筐数!$B$5:$B$304,$B235,对接源_01水果筐数!$C$5:$C$304,基础资料!$B$7))</f>
        <v/>
      </c>
      <c r="AO235" s="25" t="str">
        <f>IF(OR($B235="",基础资料!$B$8=""),"",SUMIFS(对接源_01水果筐数!$F$5:$F$304,对接源_01水果筐数!$B$5:$B$304,$B235,对接源_01水果筐数!$C$5:$C$304,基础资料!$B$8))</f>
        <v/>
      </c>
      <c r="AP235" s="25" t="str">
        <f t="shared" si="41"/>
        <v/>
      </c>
      <c r="AQ235" s="25" t="str">
        <f t="shared" si="42"/>
        <v/>
      </c>
      <c r="AR235" s="25" t="str">
        <f t="shared" si="43"/>
        <v/>
      </c>
      <c r="AS235" s="25" t="str">
        <f t="shared" si="44"/>
        <v/>
      </c>
      <c r="AT235" s="25" t="str">
        <f t="shared" si="45"/>
        <v/>
      </c>
      <c r="AU235" s="25" t="str">
        <f t="shared" si="46"/>
        <v/>
      </c>
      <c r="AV235" s="24" t="str">
        <f t="shared" si="47"/>
        <v/>
      </c>
      <c r="AW235" s="72"/>
    </row>
    <row r="236" spans="1:49">
      <c r="A236" s="22" t="str">
        <f t="shared" si="36"/>
        <v/>
      </c>
      <c r="B236" s="24" t="str">
        <f>IFERROR(INDEX(_自动清单!$CC$4:$CC$253,ROW()-3),"")</f>
        <v/>
      </c>
      <c r="C236" s="25" t="str">
        <f>IF(OR($B236="",基础资料!$B$4=""),"",SUMIFS(周转筐出入库明细!$J$4:$J$2004,周转筐出入库明细!$C$4:$C$2004,$B236,周转筐出入库明细!$D$4:$D$2004,基础资料!$B$4,周转筐出入库明细!$B$4:$B$2004,"&gt;="&amp;$BC$1,周转筐出入库明细!$B$4:$B$2004,"&lt;="&amp;$BC$2))</f>
        <v/>
      </c>
      <c r="D236" s="25" t="str">
        <f>IF(OR($B236="",基础资料!$B$5=""),"",SUMIFS(周转筐出入库明细!$J$4:$J$2004,周转筐出入库明细!$C$4:$C$2004,$B236,周转筐出入库明细!$D$4:$D$2004,基础资料!$B$5,周转筐出入库明细!$B$4:$B$2004,"&gt;="&amp;$BC$1,周转筐出入库明细!$B$4:$B$2004,"&lt;="&amp;$BC$2))</f>
        <v/>
      </c>
      <c r="E236" s="25" t="str">
        <f>IF(OR($B236="",基础资料!$B$6=""),"",SUMIFS(周转筐出入库明细!$J$4:$J$2004,周转筐出入库明细!$C$4:$C$2004,$B236,周转筐出入库明细!$D$4:$D$2004,基础资料!$B$6,周转筐出入库明细!$B$4:$B$2004,"&gt;="&amp;$BC$1,周转筐出入库明细!$B$4:$B$2004,"&lt;="&amp;$BC$2))</f>
        <v/>
      </c>
      <c r="F236" s="25" t="str">
        <f>IF(OR($B236="",基础资料!$B$7=""),"",SUMIFS(周转筐出入库明细!$J$4:$J$2004,周转筐出入库明细!$C$4:$C$2004,$B236,周转筐出入库明细!$D$4:$D$2004,基础资料!$B$7,周转筐出入库明细!$B$4:$B$2004,"&gt;="&amp;$BC$1,周转筐出入库明细!$B$4:$B$2004,"&lt;="&amp;$BC$2))</f>
        <v/>
      </c>
      <c r="G236" s="25" t="str">
        <f>IF(OR($B236="",基础资料!$B$8=""),"",SUMIFS(周转筐出入库明细!$J$4:$J$2004,周转筐出入库明细!$C$4:$C$2004,$B236,周转筐出入库明细!$D$4:$D$2004,基础资料!$B$8,周转筐出入库明细!$B$4:$B$2004,"&gt;="&amp;$BC$1,周转筐出入库明细!$B$4:$B$2004,"&lt;="&amp;$BC$2))</f>
        <v/>
      </c>
      <c r="H236" s="25" t="str">
        <f t="shared" si="37"/>
        <v/>
      </c>
      <c r="I236" s="67" t="str">
        <f>IF(OR($B236="",基础资料!$B$4=""),"",-SUMIFS(周转筐出入库明细!$I$4:$I$2004,周转筐出入库明细!$C$4:$C$2004,$B236,周转筐出入库明细!$D$4:$D$2004,基础资料!$B$4,周转筐出入库明细!$B$4:$B$2004,"&gt;="&amp;$BC$1,周转筐出入库明细!$B$4:$B$2004,"&lt;="&amp;$BC$2))</f>
        <v/>
      </c>
      <c r="J236" s="67" t="str">
        <f>IF(OR($B236="",基础资料!$B$5=""),"",-SUMIFS(周转筐出入库明细!$I$4:$I$2004,周转筐出入库明细!$C$4:$C$2004,$B236,周转筐出入库明细!$D$4:$D$2004,基础资料!$B$5,周转筐出入库明细!$B$4:$B$2004,"&gt;="&amp;$BC$1,周转筐出入库明细!$B$4:$B$2004,"&lt;="&amp;$BC$2))</f>
        <v/>
      </c>
      <c r="K236" s="67" t="str">
        <f>IF(OR($B236="",基础资料!$B$6=""),"",-SUMIFS(周转筐出入库明细!$I$4:$I$2004,周转筐出入库明细!$C$4:$C$2004,$B236,周转筐出入库明细!$D$4:$D$2004,基础资料!$B$6,周转筐出入库明细!$B$4:$B$2004,"&gt;="&amp;$BC$1,周转筐出入库明细!$B$4:$B$2004,"&lt;="&amp;$BC$2))</f>
        <v/>
      </c>
      <c r="L236" s="67" t="str">
        <f>IF(OR($B236="",基础资料!$B$7=""),"",-SUMIFS(周转筐出入库明细!$I$4:$I$2004,周转筐出入库明细!$C$4:$C$2004,$B236,周转筐出入库明细!$D$4:$D$2004,基础资料!$B$7,周转筐出入库明细!$B$4:$B$2004,"&gt;="&amp;$BC$1,周转筐出入库明细!$B$4:$B$2004,"&lt;="&amp;$BC$2))</f>
        <v/>
      </c>
      <c r="M236" s="67" t="str">
        <f>IF(OR($B236="",基础资料!$B$8=""),"",-SUMIFS(周转筐出入库明细!$I$4:$I$2004,周转筐出入库明细!$C$4:$C$2004,$B236,周转筐出入库明细!$D$4:$D$2004,基础资料!$B$8,周转筐出入库明细!$B$4:$B$2004,"&gt;="&amp;$BC$1,周转筐出入库明细!$B$4:$B$2004,"&lt;="&amp;$BC$2))</f>
        <v/>
      </c>
      <c r="N236" s="67" t="str">
        <f t="shared" si="38"/>
        <v/>
      </c>
      <c r="O236" s="25" t="str">
        <f>IF(OR($B236="",基础资料!$B$4=""),"",SUMIFS(周转筐出入库明细!$H$4:$H$2004,周转筐出入库明细!$C$4:$C$2004,$B236,周转筐出入库明细!$D$4:$D$2004,基础资料!$B$4,周转筐出入库明细!$F$4:$F$2004,"采购入库",周转筐出入库明细!$B$4:$B$2004,"&gt;="&amp;$BC$1,周转筐出入库明细!$B$4:$B$2004,"&lt;="&amp;$BC$2))</f>
        <v/>
      </c>
      <c r="P236" s="25" t="str">
        <f>IF(OR($B236="",基础资料!$B$5=""),"",SUMIFS(周转筐出入库明细!$H$4:$H$2004,周转筐出入库明细!$C$4:$C$2004,$B236,周转筐出入库明细!$D$4:$D$2004,基础资料!$B$5,周转筐出入库明细!$F$4:$F$2004,"采购入库",周转筐出入库明细!$B$4:$B$2004,"&gt;="&amp;$BC$1,周转筐出入库明细!$B$4:$B$2004,"&lt;="&amp;$BC$2))</f>
        <v/>
      </c>
      <c r="Q236" s="25" t="str">
        <f>IF(OR($B236="",基础资料!$B$6=""),"",SUMIFS(周转筐出入库明细!$H$4:$H$2004,周转筐出入库明细!$C$4:$C$2004,$B236,周转筐出入库明细!$D$4:$D$2004,基础资料!$B$6,周转筐出入库明细!$F$4:$F$2004,"采购入库",周转筐出入库明细!$B$4:$B$2004,"&gt;="&amp;$BC$1,周转筐出入库明细!$B$4:$B$2004,"&lt;="&amp;$BC$2))</f>
        <v/>
      </c>
      <c r="R236" s="25" t="str">
        <f>IF(OR($B236="",基础资料!$B$7=""),"",SUMIFS(周转筐出入库明细!$H$4:$H$2004,周转筐出入库明细!$C$4:$C$2004,$B236,周转筐出入库明细!$D$4:$D$2004,基础资料!$B$7,周转筐出入库明细!$F$4:$F$2004,"采购入库",周转筐出入库明细!$B$4:$B$2004,"&gt;="&amp;$BC$1,周转筐出入库明细!$B$4:$B$2004,"&lt;="&amp;$BC$2))</f>
        <v/>
      </c>
      <c r="S236" s="25" t="str">
        <f>IF(OR($B236="",基础资料!$B$8=""),"",SUMIFS(周转筐出入库明细!$H$4:$H$2004,周转筐出入库明细!$C$4:$C$2004,$B236,周转筐出入库明细!$D$4:$D$2004,基础资料!$B$8,周转筐出入库明细!$F$4:$F$2004,"采购入库",周转筐出入库明细!$B$4:$B$2004,"&gt;="&amp;$BC$1,周转筐出入库明细!$B$4:$B$2004,"&lt;="&amp;$BC$2))</f>
        <v/>
      </c>
      <c r="T236" s="25" t="str">
        <f t="shared" si="39"/>
        <v/>
      </c>
      <c r="U236" s="25" t="str">
        <f>IF(OR($B236="",基础资料!$B$4=""),"",SUMIFS(周转筐出入库明细!$K$4:$K$2004,周转筐出入库明细!$C$4:$C$2004,$B236,周转筐出入库明细!$D$4:$D$2004,基础资料!$B$4,周转筐出入库明细!$B$4:$B$2004,"&gt;="&amp;$BC$1,周转筐出入库明细!$B$4:$B$2004,"&lt;="&amp;$BC$2))</f>
        <v/>
      </c>
      <c r="V236" s="25" t="str">
        <f>IF(OR($B236="",基础资料!$B$5=""),"",SUMIFS(周转筐出入库明细!$K$4:$K$2004,周转筐出入库明细!$C$4:$C$2004,$B236,周转筐出入库明细!$D$4:$D$2004,基础资料!$B$5,周转筐出入库明细!$B$4:$B$2004,"&gt;="&amp;$BC$1,周转筐出入库明细!$B$4:$B$2004,"&lt;="&amp;$BC$2))</f>
        <v/>
      </c>
      <c r="W236" s="25" t="str">
        <f>IF(OR($B236="",基础资料!$B$6=""),"",SUMIFS(周转筐出入库明细!$K$4:$K$2004,周转筐出入库明细!$C$4:$C$2004,$B236,周转筐出入库明细!$D$4:$D$2004,基础资料!$B$6,周转筐出入库明细!$B$4:$B$2004,"&gt;="&amp;$BC$1,周转筐出入库明细!$B$4:$B$2004,"&lt;="&amp;$BC$2))</f>
        <v/>
      </c>
      <c r="X236" s="25" t="str">
        <f>IF(OR($B236="",基础资料!$B$7=""),"",SUMIFS(周转筐出入库明细!$K$4:$K$2004,周转筐出入库明细!$C$4:$C$2004,$B236,周转筐出入库明细!$D$4:$D$2004,基础资料!$B$7,周转筐出入库明细!$B$4:$B$2004,"&gt;="&amp;$BC$1,周转筐出入库明细!$B$4:$B$2004,"&lt;="&amp;$BC$2))</f>
        <v/>
      </c>
      <c r="Y236" s="25" t="str">
        <f>IF(OR($B236="",基础资料!$B$8=""),"",SUMIFS(周转筐出入库明细!$K$4:$K$2004,周转筐出入库明细!$C$4:$C$2004,$B236,周转筐出入库明细!$D$4:$D$2004,基础资料!$B$8,周转筐出入库明细!$B$4:$B$2004,"&gt;="&amp;$BC$1,周转筐出入库明细!$B$4:$B$2004,"&lt;="&amp;$BC$2))</f>
        <v/>
      </c>
      <c r="Z236" s="25" t="str">
        <f t="shared" si="40"/>
        <v/>
      </c>
      <c r="AA236" s="67" t="str">
        <f>IF(OR($B236="",基础资料!$B$4=""),"",-SUMIFS(对接源_01水果筐数!$D$5:$D$304,对接源_01水果筐数!$B$5:$B$304,$B236,对接源_01水果筐数!$C$5:$C$304,基础资料!$B$4))</f>
        <v/>
      </c>
      <c r="AB236" s="67" t="str">
        <f>IF(OR($B236="",基础资料!$B$5=""),"",-SUMIFS(对接源_01水果筐数!$D$5:$D$304,对接源_01水果筐数!$B$5:$B$304,$B236,对接源_01水果筐数!$C$5:$C$304,基础资料!$B$5))</f>
        <v/>
      </c>
      <c r="AC236" s="67" t="str">
        <f>IF(OR($B236="",基础资料!$B$6=""),"",-SUMIFS(对接源_01水果筐数!$D$5:$D$304,对接源_01水果筐数!$B$5:$B$304,$B236,对接源_01水果筐数!$C$5:$C$304,基础资料!$B$6))</f>
        <v/>
      </c>
      <c r="AD236" s="67" t="str">
        <f>IF(OR($B236="",基础资料!$B$7=""),"",-SUMIFS(对接源_01水果筐数!$D$5:$D$304,对接源_01水果筐数!$B$5:$B$304,$B236,对接源_01水果筐数!$C$5:$C$304,基础资料!$B$7))</f>
        <v/>
      </c>
      <c r="AE236" s="67" t="str">
        <f>IF(OR($B236="",基础资料!$B$8=""),"",-SUMIFS(对接源_01水果筐数!$D$5:$D$304,对接源_01水果筐数!$B$5:$B$304,$B236,对接源_01水果筐数!$C$5:$C$304,基础资料!$B$8))</f>
        <v/>
      </c>
      <c r="AF236" s="25" t="str">
        <f>IF(OR($B236="",基础资料!$B$4=""),"",SUMIFS(对接源_01水果筐数!$E$5:$E$304,对接源_01水果筐数!$B$5:$B$304,$B236,对接源_01水果筐数!$C$5:$C$304,基础资料!$B$4))</f>
        <v/>
      </c>
      <c r="AG236" s="25" t="str">
        <f>IF(OR($B236="",基础资料!$B$5=""),"",SUMIFS(对接源_01水果筐数!$E$5:$E$304,对接源_01水果筐数!$B$5:$B$304,$B236,对接源_01水果筐数!$C$5:$C$304,基础资料!$B$5))</f>
        <v/>
      </c>
      <c r="AH236" s="25" t="str">
        <f>IF(OR($B236="",基础资料!$B$6=""),"",SUMIFS(对接源_01水果筐数!$E$5:$E$304,对接源_01水果筐数!$B$5:$B$304,$B236,对接源_01水果筐数!$C$5:$C$304,基础资料!$B$6))</f>
        <v/>
      </c>
      <c r="AI236" s="25" t="str">
        <f>IF(OR($B236="",基础资料!$B$7=""),"",SUMIFS(对接源_01水果筐数!$E$5:$E$304,对接源_01水果筐数!$B$5:$B$304,$B236,对接源_01水果筐数!$C$5:$C$304,基础资料!$B$7))</f>
        <v/>
      </c>
      <c r="AJ236" s="25" t="str">
        <f>IF(OR($B236="",基础资料!$B$8=""),"",SUMIFS(对接源_01水果筐数!$E$5:$E$304,对接源_01水果筐数!$B$5:$B$304,$B236,对接源_01水果筐数!$C$5:$C$304,基础资料!$B$8))</f>
        <v/>
      </c>
      <c r="AK236" s="25" t="str">
        <f>IF(OR($B236="",基础资料!$B$4=""),"",SUMIFS(对接源_01水果筐数!$F$5:$F$304,对接源_01水果筐数!$B$5:$B$304,$B236,对接源_01水果筐数!$C$5:$C$304,基础资料!$B$4))</f>
        <v/>
      </c>
      <c r="AL236" s="25" t="str">
        <f>IF(OR($B236="",基础资料!$B$5=""),"",SUMIFS(对接源_01水果筐数!$F$5:$F$304,对接源_01水果筐数!$B$5:$B$304,$B236,对接源_01水果筐数!$C$5:$C$304,基础资料!$B$5))</f>
        <v/>
      </c>
      <c r="AM236" s="25" t="str">
        <f>IF(OR($B236="",基础资料!$B$6=""),"",SUMIFS(对接源_01水果筐数!$F$5:$F$304,对接源_01水果筐数!$B$5:$B$304,$B236,对接源_01水果筐数!$C$5:$C$304,基础资料!$B$6))</f>
        <v/>
      </c>
      <c r="AN236" s="25" t="str">
        <f>IF(OR($B236="",基础资料!$B$7=""),"",SUMIFS(对接源_01水果筐数!$F$5:$F$304,对接源_01水果筐数!$B$5:$B$304,$B236,对接源_01水果筐数!$C$5:$C$304,基础资料!$B$7))</f>
        <v/>
      </c>
      <c r="AO236" s="25" t="str">
        <f>IF(OR($B236="",基础资料!$B$8=""),"",SUMIFS(对接源_01水果筐数!$F$5:$F$304,对接源_01水果筐数!$B$5:$B$304,$B236,对接源_01水果筐数!$C$5:$C$304,基础资料!$B$8))</f>
        <v/>
      </c>
      <c r="AP236" s="25" t="str">
        <f t="shared" si="41"/>
        <v/>
      </c>
      <c r="AQ236" s="25" t="str">
        <f t="shared" si="42"/>
        <v/>
      </c>
      <c r="AR236" s="25" t="str">
        <f t="shared" si="43"/>
        <v/>
      </c>
      <c r="AS236" s="25" t="str">
        <f t="shared" si="44"/>
        <v/>
      </c>
      <c r="AT236" s="25" t="str">
        <f t="shared" si="45"/>
        <v/>
      </c>
      <c r="AU236" s="25" t="str">
        <f t="shared" si="46"/>
        <v/>
      </c>
      <c r="AV236" s="24" t="str">
        <f t="shared" si="47"/>
        <v/>
      </c>
      <c r="AW236" s="72"/>
    </row>
    <row r="237" spans="1:49">
      <c r="A237" s="22" t="str">
        <f t="shared" si="36"/>
        <v/>
      </c>
      <c r="B237" s="24" t="str">
        <f>IFERROR(INDEX(_自动清单!$CC$4:$CC$253,ROW()-3),"")</f>
        <v/>
      </c>
      <c r="C237" s="25" t="str">
        <f>IF(OR($B237="",基础资料!$B$4=""),"",SUMIFS(周转筐出入库明细!$J$4:$J$2004,周转筐出入库明细!$C$4:$C$2004,$B237,周转筐出入库明细!$D$4:$D$2004,基础资料!$B$4,周转筐出入库明细!$B$4:$B$2004,"&gt;="&amp;$BC$1,周转筐出入库明细!$B$4:$B$2004,"&lt;="&amp;$BC$2))</f>
        <v/>
      </c>
      <c r="D237" s="25" t="str">
        <f>IF(OR($B237="",基础资料!$B$5=""),"",SUMIFS(周转筐出入库明细!$J$4:$J$2004,周转筐出入库明细!$C$4:$C$2004,$B237,周转筐出入库明细!$D$4:$D$2004,基础资料!$B$5,周转筐出入库明细!$B$4:$B$2004,"&gt;="&amp;$BC$1,周转筐出入库明细!$B$4:$B$2004,"&lt;="&amp;$BC$2))</f>
        <v/>
      </c>
      <c r="E237" s="25" t="str">
        <f>IF(OR($B237="",基础资料!$B$6=""),"",SUMIFS(周转筐出入库明细!$J$4:$J$2004,周转筐出入库明细!$C$4:$C$2004,$B237,周转筐出入库明细!$D$4:$D$2004,基础资料!$B$6,周转筐出入库明细!$B$4:$B$2004,"&gt;="&amp;$BC$1,周转筐出入库明细!$B$4:$B$2004,"&lt;="&amp;$BC$2))</f>
        <v/>
      </c>
      <c r="F237" s="25" t="str">
        <f>IF(OR($B237="",基础资料!$B$7=""),"",SUMIFS(周转筐出入库明细!$J$4:$J$2004,周转筐出入库明细!$C$4:$C$2004,$B237,周转筐出入库明细!$D$4:$D$2004,基础资料!$B$7,周转筐出入库明细!$B$4:$B$2004,"&gt;="&amp;$BC$1,周转筐出入库明细!$B$4:$B$2004,"&lt;="&amp;$BC$2))</f>
        <v/>
      </c>
      <c r="G237" s="25" t="str">
        <f>IF(OR($B237="",基础资料!$B$8=""),"",SUMIFS(周转筐出入库明细!$J$4:$J$2004,周转筐出入库明细!$C$4:$C$2004,$B237,周转筐出入库明细!$D$4:$D$2004,基础资料!$B$8,周转筐出入库明细!$B$4:$B$2004,"&gt;="&amp;$BC$1,周转筐出入库明细!$B$4:$B$2004,"&lt;="&amp;$BC$2))</f>
        <v/>
      </c>
      <c r="H237" s="25" t="str">
        <f t="shared" si="37"/>
        <v/>
      </c>
      <c r="I237" s="67" t="str">
        <f>IF(OR($B237="",基础资料!$B$4=""),"",-SUMIFS(周转筐出入库明细!$I$4:$I$2004,周转筐出入库明细!$C$4:$C$2004,$B237,周转筐出入库明细!$D$4:$D$2004,基础资料!$B$4,周转筐出入库明细!$B$4:$B$2004,"&gt;="&amp;$BC$1,周转筐出入库明细!$B$4:$B$2004,"&lt;="&amp;$BC$2))</f>
        <v/>
      </c>
      <c r="J237" s="67" t="str">
        <f>IF(OR($B237="",基础资料!$B$5=""),"",-SUMIFS(周转筐出入库明细!$I$4:$I$2004,周转筐出入库明细!$C$4:$C$2004,$B237,周转筐出入库明细!$D$4:$D$2004,基础资料!$B$5,周转筐出入库明细!$B$4:$B$2004,"&gt;="&amp;$BC$1,周转筐出入库明细!$B$4:$B$2004,"&lt;="&amp;$BC$2))</f>
        <v/>
      </c>
      <c r="K237" s="67" t="str">
        <f>IF(OR($B237="",基础资料!$B$6=""),"",-SUMIFS(周转筐出入库明细!$I$4:$I$2004,周转筐出入库明细!$C$4:$C$2004,$B237,周转筐出入库明细!$D$4:$D$2004,基础资料!$B$6,周转筐出入库明细!$B$4:$B$2004,"&gt;="&amp;$BC$1,周转筐出入库明细!$B$4:$B$2004,"&lt;="&amp;$BC$2))</f>
        <v/>
      </c>
      <c r="L237" s="67" t="str">
        <f>IF(OR($B237="",基础资料!$B$7=""),"",-SUMIFS(周转筐出入库明细!$I$4:$I$2004,周转筐出入库明细!$C$4:$C$2004,$B237,周转筐出入库明细!$D$4:$D$2004,基础资料!$B$7,周转筐出入库明细!$B$4:$B$2004,"&gt;="&amp;$BC$1,周转筐出入库明细!$B$4:$B$2004,"&lt;="&amp;$BC$2))</f>
        <v/>
      </c>
      <c r="M237" s="67" t="str">
        <f>IF(OR($B237="",基础资料!$B$8=""),"",-SUMIFS(周转筐出入库明细!$I$4:$I$2004,周转筐出入库明细!$C$4:$C$2004,$B237,周转筐出入库明细!$D$4:$D$2004,基础资料!$B$8,周转筐出入库明细!$B$4:$B$2004,"&gt;="&amp;$BC$1,周转筐出入库明细!$B$4:$B$2004,"&lt;="&amp;$BC$2))</f>
        <v/>
      </c>
      <c r="N237" s="67" t="str">
        <f t="shared" si="38"/>
        <v/>
      </c>
      <c r="O237" s="25" t="str">
        <f>IF(OR($B237="",基础资料!$B$4=""),"",SUMIFS(周转筐出入库明细!$H$4:$H$2004,周转筐出入库明细!$C$4:$C$2004,$B237,周转筐出入库明细!$D$4:$D$2004,基础资料!$B$4,周转筐出入库明细!$F$4:$F$2004,"采购入库",周转筐出入库明细!$B$4:$B$2004,"&gt;="&amp;$BC$1,周转筐出入库明细!$B$4:$B$2004,"&lt;="&amp;$BC$2))</f>
        <v/>
      </c>
      <c r="P237" s="25" t="str">
        <f>IF(OR($B237="",基础资料!$B$5=""),"",SUMIFS(周转筐出入库明细!$H$4:$H$2004,周转筐出入库明细!$C$4:$C$2004,$B237,周转筐出入库明细!$D$4:$D$2004,基础资料!$B$5,周转筐出入库明细!$F$4:$F$2004,"采购入库",周转筐出入库明细!$B$4:$B$2004,"&gt;="&amp;$BC$1,周转筐出入库明细!$B$4:$B$2004,"&lt;="&amp;$BC$2))</f>
        <v/>
      </c>
      <c r="Q237" s="25" t="str">
        <f>IF(OR($B237="",基础资料!$B$6=""),"",SUMIFS(周转筐出入库明细!$H$4:$H$2004,周转筐出入库明细!$C$4:$C$2004,$B237,周转筐出入库明细!$D$4:$D$2004,基础资料!$B$6,周转筐出入库明细!$F$4:$F$2004,"采购入库",周转筐出入库明细!$B$4:$B$2004,"&gt;="&amp;$BC$1,周转筐出入库明细!$B$4:$B$2004,"&lt;="&amp;$BC$2))</f>
        <v/>
      </c>
      <c r="R237" s="25" t="str">
        <f>IF(OR($B237="",基础资料!$B$7=""),"",SUMIFS(周转筐出入库明细!$H$4:$H$2004,周转筐出入库明细!$C$4:$C$2004,$B237,周转筐出入库明细!$D$4:$D$2004,基础资料!$B$7,周转筐出入库明细!$F$4:$F$2004,"采购入库",周转筐出入库明细!$B$4:$B$2004,"&gt;="&amp;$BC$1,周转筐出入库明细!$B$4:$B$2004,"&lt;="&amp;$BC$2))</f>
        <v/>
      </c>
      <c r="S237" s="25" t="str">
        <f>IF(OR($B237="",基础资料!$B$8=""),"",SUMIFS(周转筐出入库明细!$H$4:$H$2004,周转筐出入库明细!$C$4:$C$2004,$B237,周转筐出入库明细!$D$4:$D$2004,基础资料!$B$8,周转筐出入库明细!$F$4:$F$2004,"采购入库",周转筐出入库明细!$B$4:$B$2004,"&gt;="&amp;$BC$1,周转筐出入库明细!$B$4:$B$2004,"&lt;="&amp;$BC$2))</f>
        <v/>
      </c>
      <c r="T237" s="25" t="str">
        <f t="shared" si="39"/>
        <v/>
      </c>
      <c r="U237" s="25" t="str">
        <f>IF(OR($B237="",基础资料!$B$4=""),"",SUMIFS(周转筐出入库明细!$K$4:$K$2004,周转筐出入库明细!$C$4:$C$2004,$B237,周转筐出入库明细!$D$4:$D$2004,基础资料!$B$4,周转筐出入库明细!$B$4:$B$2004,"&gt;="&amp;$BC$1,周转筐出入库明细!$B$4:$B$2004,"&lt;="&amp;$BC$2))</f>
        <v/>
      </c>
      <c r="V237" s="25" t="str">
        <f>IF(OR($B237="",基础资料!$B$5=""),"",SUMIFS(周转筐出入库明细!$K$4:$K$2004,周转筐出入库明细!$C$4:$C$2004,$B237,周转筐出入库明细!$D$4:$D$2004,基础资料!$B$5,周转筐出入库明细!$B$4:$B$2004,"&gt;="&amp;$BC$1,周转筐出入库明细!$B$4:$B$2004,"&lt;="&amp;$BC$2))</f>
        <v/>
      </c>
      <c r="W237" s="25" t="str">
        <f>IF(OR($B237="",基础资料!$B$6=""),"",SUMIFS(周转筐出入库明细!$K$4:$K$2004,周转筐出入库明细!$C$4:$C$2004,$B237,周转筐出入库明细!$D$4:$D$2004,基础资料!$B$6,周转筐出入库明细!$B$4:$B$2004,"&gt;="&amp;$BC$1,周转筐出入库明细!$B$4:$B$2004,"&lt;="&amp;$BC$2))</f>
        <v/>
      </c>
      <c r="X237" s="25" t="str">
        <f>IF(OR($B237="",基础资料!$B$7=""),"",SUMIFS(周转筐出入库明细!$K$4:$K$2004,周转筐出入库明细!$C$4:$C$2004,$B237,周转筐出入库明细!$D$4:$D$2004,基础资料!$B$7,周转筐出入库明细!$B$4:$B$2004,"&gt;="&amp;$BC$1,周转筐出入库明细!$B$4:$B$2004,"&lt;="&amp;$BC$2))</f>
        <v/>
      </c>
      <c r="Y237" s="25" t="str">
        <f>IF(OR($B237="",基础资料!$B$8=""),"",SUMIFS(周转筐出入库明细!$K$4:$K$2004,周转筐出入库明细!$C$4:$C$2004,$B237,周转筐出入库明细!$D$4:$D$2004,基础资料!$B$8,周转筐出入库明细!$B$4:$B$2004,"&gt;="&amp;$BC$1,周转筐出入库明细!$B$4:$B$2004,"&lt;="&amp;$BC$2))</f>
        <v/>
      </c>
      <c r="Z237" s="25" t="str">
        <f t="shared" si="40"/>
        <v/>
      </c>
      <c r="AA237" s="67" t="str">
        <f>IF(OR($B237="",基础资料!$B$4=""),"",-SUMIFS(对接源_01水果筐数!$D$5:$D$304,对接源_01水果筐数!$B$5:$B$304,$B237,对接源_01水果筐数!$C$5:$C$304,基础资料!$B$4))</f>
        <v/>
      </c>
      <c r="AB237" s="67" t="str">
        <f>IF(OR($B237="",基础资料!$B$5=""),"",-SUMIFS(对接源_01水果筐数!$D$5:$D$304,对接源_01水果筐数!$B$5:$B$304,$B237,对接源_01水果筐数!$C$5:$C$304,基础资料!$B$5))</f>
        <v/>
      </c>
      <c r="AC237" s="67" t="str">
        <f>IF(OR($B237="",基础资料!$B$6=""),"",-SUMIFS(对接源_01水果筐数!$D$5:$D$304,对接源_01水果筐数!$B$5:$B$304,$B237,对接源_01水果筐数!$C$5:$C$304,基础资料!$B$6))</f>
        <v/>
      </c>
      <c r="AD237" s="67" t="str">
        <f>IF(OR($B237="",基础资料!$B$7=""),"",-SUMIFS(对接源_01水果筐数!$D$5:$D$304,对接源_01水果筐数!$B$5:$B$304,$B237,对接源_01水果筐数!$C$5:$C$304,基础资料!$B$7))</f>
        <v/>
      </c>
      <c r="AE237" s="67" t="str">
        <f>IF(OR($B237="",基础资料!$B$8=""),"",-SUMIFS(对接源_01水果筐数!$D$5:$D$304,对接源_01水果筐数!$B$5:$B$304,$B237,对接源_01水果筐数!$C$5:$C$304,基础资料!$B$8))</f>
        <v/>
      </c>
      <c r="AF237" s="25" t="str">
        <f>IF(OR($B237="",基础资料!$B$4=""),"",SUMIFS(对接源_01水果筐数!$E$5:$E$304,对接源_01水果筐数!$B$5:$B$304,$B237,对接源_01水果筐数!$C$5:$C$304,基础资料!$B$4))</f>
        <v/>
      </c>
      <c r="AG237" s="25" t="str">
        <f>IF(OR($B237="",基础资料!$B$5=""),"",SUMIFS(对接源_01水果筐数!$E$5:$E$304,对接源_01水果筐数!$B$5:$B$304,$B237,对接源_01水果筐数!$C$5:$C$304,基础资料!$B$5))</f>
        <v/>
      </c>
      <c r="AH237" s="25" t="str">
        <f>IF(OR($B237="",基础资料!$B$6=""),"",SUMIFS(对接源_01水果筐数!$E$5:$E$304,对接源_01水果筐数!$B$5:$B$304,$B237,对接源_01水果筐数!$C$5:$C$304,基础资料!$B$6))</f>
        <v/>
      </c>
      <c r="AI237" s="25" t="str">
        <f>IF(OR($B237="",基础资料!$B$7=""),"",SUMIFS(对接源_01水果筐数!$E$5:$E$304,对接源_01水果筐数!$B$5:$B$304,$B237,对接源_01水果筐数!$C$5:$C$304,基础资料!$B$7))</f>
        <v/>
      </c>
      <c r="AJ237" s="25" t="str">
        <f>IF(OR($B237="",基础资料!$B$8=""),"",SUMIFS(对接源_01水果筐数!$E$5:$E$304,对接源_01水果筐数!$B$5:$B$304,$B237,对接源_01水果筐数!$C$5:$C$304,基础资料!$B$8))</f>
        <v/>
      </c>
      <c r="AK237" s="25" t="str">
        <f>IF(OR($B237="",基础资料!$B$4=""),"",SUMIFS(对接源_01水果筐数!$F$5:$F$304,对接源_01水果筐数!$B$5:$B$304,$B237,对接源_01水果筐数!$C$5:$C$304,基础资料!$B$4))</f>
        <v/>
      </c>
      <c r="AL237" s="25" t="str">
        <f>IF(OR($B237="",基础资料!$B$5=""),"",SUMIFS(对接源_01水果筐数!$F$5:$F$304,对接源_01水果筐数!$B$5:$B$304,$B237,对接源_01水果筐数!$C$5:$C$304,基础资料!$B$5))</f>
        <v/>
      </c>
      <c r="AM237" s="25" t="str">
        <f>IF(OR($B237="",基础资料!$B$6=""),"",SUMIFS(对接源_01水果筐数!$F$5:$F$304,对接源_01水果筐数!$B$5:$B$304,$B237,对接源_01水果筐数!$C$5:$C$304,基础资料!$B$6))</f>
        <v/>
      </c>
      <c r="AN237" s="25" t="str">
        <f>IF(OR($B237="",基础资料!$B$7=""),"",SUMIFS(对接源_01水果筐数!$F$5:$F$304,对接源_01水果筐数!$B$5:$B$304,$B237,对接源_01水果筐数!$C$5:$C$304,基础资料!$B$7))</f>
        <v/>
      </c>
      <c r="AO237" s="25" t="str">
        <f>IF(OR($B237="",基础资料!$B$8=""),"",SUMIFS(对接源_01水果筐数!$F$5:$F$304,对接源_01水果筐数!$B$5:$B$304,$B237,对接源_01水果筐数!$C$5:$C$304,基础资料!$B$8))</f>
        <v/>
      </c>
      <c r="AP237" s="25" t="str">
        <f t="shared" si="41"/>
        <v/>
      </c>
      <c r="AQ237" s="25" t="str">
        <f t="shared" si="42"/>
        <v/>
      </c>
      <c r="AR237" s="25" t="str">
        <f t="shared" si="43"/>
        <v/>
      </c>
      <c r="AS237" s="25" t="str">
        <f t="shared" si="44"/>
        <v/>
      </c>
      <c r="AT237" s="25" t="str">
        <f t="shared" si="45"/>
        <v/>
      </c>
      <c r="AU237" s="25" t="str">
        <f t="shared" si="46"/>
        <v/>
      </c>
      <c r="AV237" s="24" t="str">
        <f t="shared" si="47"/>
        <v/>
      </c>
      <c r="AW237" s="72"/>
    </row>
    <row r="238" spans="1:49">
      <c r="A238" s="22" t="str">
        <f t="shared" si="36"/>
        <v/>
      </c>
      <c r="B238" s="24" t="str">
        <f>IFERROR(INDEX(_自动清单!$CC$4:$CC$253,ROW()-3),"")</f>
        <v/>
      </c>
      <c r="C238" s="25" t="str">
        <f>IF(OR($B238="",基础资料!$B$4=""),"",SUMIFS(周转筐出入库明细!$J$4:$J$2004,周转筐出入库明细!$C$4:$C$2004,$B238,周转筐出入库明细!$D$4:$D$2004,基础资料!$B$4,周转筐出入库明细!$B$4:$B$2004,"&gt;="&amp;$BC$1,周转筐出入库明细!$B$4:$B$2004,"&lt;="&amp;$BC$2))</f>
        <v/>
      </c>
      <c r="D238" s="25" t="str">
        <f>IF(OR($B238="",基础资料!$B$5=""),"",SUMIFS(周转筐出入库明细!$J$4:$J$2004,周转筐出入库明细!$C$4:$C$2004,$B238,周转筐出入库明细!$D$4:$D$2004,基础资料!$B$5,周转筐出入库明细!$B$4:$B$2004,"&gt;="&amp;$BC$1,周转筐出入库明细!$B$4:$B$2004,"&lt;="&amp;$BC$2))</f>
        <v/>
      </c>
      <c r="E238" s="25" t="str">
        <f>IF(OR($B238="",基础资料!$B$6=""),"",SUMIFS(周转筐出入库明细!$J$4:$J$2004,周转筐出入库明细!$C$4:$C$2004,$B238,周转筐出入库明细!$D$4:$D$2004,基础资料!$B$6,周转筐出入库明细!$B$4:$B$2004,"&gt;="&amp;$BC$1,周转筐出入库明细!$B$4:$B$2004,"&lt;="&amp;$BC$2))</f>
        <v/>
      </c>
      <c r="F238" s="25" t="str">
        <f>IF(OR($B238="",基础资料!$B$7=""),"",SUMIFS(周转筐出入库明细!$J$4:$J$2004,周转筐出入库明细!$C$4:$C$2004,$B238,周转筐出入库明细!$D$4:$D$2004,基础资料!$B$7,周转筐出入库明细!$B$4:$B$2004,"&gt;="&amp;$BC$1,周转筐出入库明细!$B$4:$B$2004,"&lt;="&amp;$BC$2))</f>
        <v/>
      </c>
      <c r="G238" s="25" t="str">
        <f>IF(OR($B238="",基础资料!$B$8=""),"",SUMIFS(周转筐出入库明细!$J$4:$J$2004,周转筐出入库明细!$C$4:$C$2004,$B238,周转筐出入库明细!$D$4:$D$2004,基础资料!$B$8,周转筐出入库明细!$B$4:$B$2004,"&gt;="&amp;$BC$1,周转筐出入库明细!$B$4:$B$2004,"&lt;="&amp;$BC$2))</f>
        <v/>
      </c>
      <c r="H238" s="25" t="str">
        <f t="shared" si="37"/>
        <v/>
      </c>
      <c r="I238" s="67" t="str">
        <f>IF(OR($B238="",基础资料!$B$4=""),"",-SUMIFS(周转筐出入库明细!$I$4:$I$2004,周转筐出入库明细!$C$4:$C$2004,$B238,周转筐出入库明细!$D$4:$D$2004,基础资料!$B$4,周转筐出入库明细!$B$4:$B$2004,"&gt;="&amp;$BC$1,周转筐出入库明细!$B$4:$B$2004,"&lt;="&amp;$BC$2))</f>
        <v/>
      </c>
      <c r="J238" s="67" t="str">
        <f>IF(OR($B238="",基础资料!$B$5=""),"",-SUMIFS(周转筐出入库明细!$I$4:$I$2004,周转筐出入库明细!$C$4:$C$2004,$B238,周转筐出入库明细!$D$4:$D$2004,基础资料!$B$5,周转筐出入库明细!$B$4:$B$2004,"&gt;="&amp;$BC$1,周转筐出入库明细!$B$4:$B$2004,"&lt;="&amp;$BC$2))</f>
        <v/>
      </c>
      <c r="K238" s="67" t="str">
        <f>IF(OR($B238="",基础资料!$B$6=""),"",-SUMIFS(周转筐出入库明细!$I$4:$I$2004,周转筐出入库明细!$C$4:$C$2004,$B238,周转筐出入库明细!$D$4:$D$2004,基础资料!$B$6,周转筐出入库明细!$B$4:$B$2004,"&gt;="&amp;$BC$1,周转筐出入库明细!$B$4:$B$2004,"&lt;="&amp;$BC$2))</f>
        <v/>
      </c>
      <c r="L238" s="67" t="str">
        <f>IF(OR($B238="",基础资料!$B$7=""),"",-SUMIFS(周转筐出入库明细!$I$4:$I$2004,周转筐出入库明细!$C$4:$C$2004,$B238,周转筐出入库明细!$D$4:$D$2004,基础资料!$B$7,周转筐出入库明细!$B$4:$B$2004,"&gt;="&amp;$BC$1,周转筐出入库明细!$B$4:$B$2004,"&lt;="&amp;$BC$2))</f>
        <v/>
      </c>
      <c r="M238" s="67" t="str">
        <f>IF(OR($B238="",基础资料!$B$8=""),"",-SUMIFS(周转筐出入库明细!$I$4:$I$2004,周转筐出入库明细!$C$4:$C$2004,$B238,周转筐出入库明细!$D$4:$D$2004,基础资料!$B$8,周转筐出入库明细!$B$4:$B$2004,"&gt;="&amp;$BC$1,周转筐出入库明细!$B$4:$B$2004,"&lt;="&amp;$BC$2))</f>
        <v/>
      </c>
      <c r="N238" s="67" t="str">
        <f t="shared" si="38"/>
        <v/>
      </c>
      <c r="O238" s="25" t="str">
        <f>IF(OR($B238="",基础资料!$B$4=""),"",SUMIFS(周转筐出入库明细!$H$4:$H$2004,周转筐出入库明细!$C$4:$C$2004,$B238,周转筐出入库明细!$D$4:$D$2004,基础资料!$B$4,周转筐出入库明细!$F$4:$F$2004,"采购入库",周转筐出入库明细!$B$4:$B$2004,"&gt;="&amp;$BC$1,周转筐出入库明细!$B$4:$B$2004,"&lt;="&amp;$BC$2))</f>
        <v/>
      </c>
      <c r="P238" s="25" t="str">
        <f>IF(OR($B238="",基础资料!$B$5=""),"",SUMIFS(周转筐出入库明细!$H$4:$H$2004,周转筐出入库明细!$C$4:$C$2004,$B238,周转筐出入库明细!$D$4:$D$2004,基础资料!$B$5,周转筐出入库明细!$F$4:$F$2004,"采购入库",周转筐出入库明细!$B$4:$B$2004,"&gt;="&amp;$BC$1,周转筐出入库明细!$B$4:$B$2004,"&lt;="&amp;$BC$2))</f>
        <v/>
      </c>
      <c r="Q238" s="25" t="str">
        <f>IF(OR($B238="",基础资料!$B$6=""),"",SUMIFS(周转筐出入库明细!$H$4:$H$2004,周转筐出入库明细!$C$4:$C$2004,$B238,周转筐出入库明细!$D$4:$D$2004,基础资料!$B$6,周转筐出入库明细!$F$4:$F$2004,"采购入库",周转筐出入库明细!$B$4:$B$2004,"&gt;="&amp;$BC$1,周转筐出入库明细!$B$4:$B$2004,"&lt;="&amp;$BC$2))</f>
        <v/>
      </c>
      <c r="R238" s="25" t="str">
        <f>IF(OR($B238="",基础资料!$B$7=""),"",SUMIFS(周转筐出入库明细!$H$4:$H$2004,周转筐出入库明细!$C$4:$C$2004,$B238,周转筐出入库明细!$D$4:$D$2004,基础资料!$B$7,周转筐出入库明细!$F$4:$F$2004,"采购入库",周转筐出入库明细!$B$4:$B$2004,"&gt;="&amp;$BC$1,周转筐出入库明细!$B$4:$B$2004,"&lt;="&amp;$BC$2))</f>
        <v/>
      </c>
      <c r="S238" s="25" t="str">
        <f>IF(OR($B238="",基础资料!$B$8=""),"",SUMIFS(周转筐出入库明细!$H$4:$H$2004,周转筐出入库明细!$C$4:$C$2004,$B238,周转筐出入库明细!$D$4:$D$2004,基础资料!$B$8,周转筐出入库明细!$F$4:$F$2004,"采购入库",周转筐出入库明细!$B$4:$B$2004,"&gt;="&amp;$BC$1,周转筐出入库明细!$B$4:$B$2004,"&lt;="&amp;$BC$2))</f>
        <v/>
      </c>
      <c r="T238" s="25" t="str">
        <f t="shared" si="39"/>
        <v/>
      </c>
      <c r="U238" s="25" t="str">
        <f>IF(OR($B238="",基础资料!$B$4=""),"",SUMIFS(周转筐出入库明细!$K$4:$K$2004,周转筐出入库明细!$C$4:$C$2004,$B238,周转筐出入库明细!$D$4:$D$2004,基础资料!$B$4,周转筐出入库明细!$B$4:$B$2004,"&gt;="&amp;$BC$1,周转筐出入库明细!$B$4:$B$2004,"&lt;="&amp;$BC$2))</f>
        <v/>
      </c>
      <c r="V238" s="25" t="str">
        <f>IF(OR($B238="",基础资料!$B$5=""),"",SUMIFS(周转筐出入库明细!$K$4:$K$2004,周转筐出入库明细!$C$4:$C$2004,$B238,周转筐出入库明细!$D$4:$D$2004,基础资料!$B$5,周转筐出入库明细!$B$4:$B$2004,"&gt;="&amp;$BC$1,周转筐出入库明细!$B$4:$B$2004,"&lt;="&amp;$BC$2))</f>
        <v/>
      </c>
      <c r="W238" s="25" t="str">
        <f>IF(OR($B238="",基础资料!$B$6=""),"",SUMIFS(周转筐出入库明细!$K$4:$K$2004,周转筐出入库明细!$C$4:$C$2004,$B238,周转筐出入库明细!$D$4:$D$2004,基础资料!$B$6,周转筐出入库明细!$B$4:$B$2004,"&gt;="&amp;$BC$1,周转筐出入库明细!$B$4:$B$2004,"&lt;="&amp;$BC$2))</f>
        <v/>
      </c>
      <c r="X238" s="25" t="str">
        <f>IF(OR($B238="",基础资料!$B$7=""),"",SUMIFS(周转筐出入库明细!$K$4:$K$2004,周转筐出入库明细!$C$4:$C$2004,$B238,周转筐出入库明细!$D$4:$D$2004,基础资料!$B$7,周转筐出入库明细!$B$4:$B$2004,"&gt;="&amp;$BC$1,周转筐出入库明细!$B$4:$B$2004,"&lt;="&amp;$BC$2))</f>
        <v/>
      </c>
      <c r="Y238" s="25" t="str">
        <f>IF(OR($B238="",基础资料!$B$8=""),"",SUMIFS(周转筐出入库明细!$K$4:$K$2004,周转筐出入库明细!$C$4:$C$2004,$B238,周转筐出入库明细!$D$4:$D$2004,基础资料!$B$8,周转筐出入库明细!$B$4:$B$2004,"&gt;="&amp;$BC$1,周转筐出入库明细!$B$4:$B$2004,"&lt;="&amp;$BC$2))</f>
        <v/>
      </c>
      <c r="Z238" s="25" t="str">
        <f t="shared" si="40"/>
        <v/>
      </c>
      <c r="AA238" s="67" t="str">
        <f>IF(OR($B238="",基础资料!$B$4=""),"",-SUMIFS(对接源_01水果筐数!$D$5:$D$304,对接源_01水果筐数!$B$5:$B$304,$B238,对接源_01水果筐数!$C$5:$C$304,基础资料!$B$4))</f>
        <v/>
      </c>
      <c r="AB238" s="67" t="str">
        <f>IF(OR($B238="",基础资料!$B$5=""),"",-SUMIFS(对接源_01水果筐数!$D$5:$D$304,对接源_01水果筐数!$B$5:$B$304,$B238,对接源_01水果筐数!$C$5:$C$304,基础资料!$B$5))</f>
        <v/>
      </c>
      <c r="AC238" s="67" t="str">
        <f>IF(OR($B238="",基础资料!$B$6=""),"",-SUMIFS(对接源_01水果筐数!$D$5:$D$304,对接源_01水果筐数!$B$5:$B$304,$B238,对接源_01水果筐数!$C$5:$C$304,基础资料!$B$6))</f>
        <v/>
      </c>
      <c r="AD238" s="67" t="str">
        <f>IF(OR($B238="",基础资料!$B$7=""),"",-SUMIFS(对接源_01水果筐数!$D$5:$D$304,对接源_01水果筐数!$B$5:$B$304,$B238,对接源_01水果筐数!$C$5:$C$304,基础资料!$B$7))</f>
        <v/>
      </c>
      <c r="AE238" s="67" t="str">
        <f>IF(OR($B238="",基础资料!$B$8=""),"",-SUMIFS(对接源_01水果筐数!$D$5:$D$304,对接源_01水果筐数!$B$5:$B$304,$B238,对接源_01水果筐数!$C$5:$C$304,基础资料!$B$8))</f>
        <v/>
      </c>
      <c r="AF238" s="25" t="str">
        <f>IF(OR($B238="",基础资料!$B$4=""),"",SUMIFS(对接源_01水果筐数!$E$5:$E$304,对接源_01水果筐数!$B$5:$B$304,$B238,对接源_01水果筐数!$C$5:$C$304,基础资料!$B$4))</f>
        <v/>
      </c>
      <c r="AG238" s="25" t="str">
        <f>IF(OR($B238="",基础资料!$B$5=""),"",SUMIFS(对接源_01水果筐数!$E$5:$E$304,对接源_01水果筐数!$B$5:$B$304,$B238,对接源_01水果筐数!$C$5:$C$304,基础资料!$B$5))</f>
        <v/>
      </c>
      <c r="AH238" s="25" t="str">
        <f>IF(OR($B238="",基础资料!$B$6=""),"",SUMIFS(对接源_01水果筐数!$E$5:$E$304,对接源_01水果筐数!$B$5:$B$304,$B238,对接源_01水果筐数!$C$5:$C$304,基础资料!$B$6))</f>
        <v/>
      </c>
      <c r="AI238" s="25" t="str">
        <f>IF(OR($B238="",基础资料!$B$7=""),"",SUMIFS(对接源_01水果筐数!$E$5:$E$304,对接源_01水果筐数!$B$5:$B$304,$B238,对接源_01水果筐数!$C$5:$C$304,基础资料!$B$7))</f>
        <v/>
      </c>
      <c r="AJ238" s="25" t="str">
        <f>IF(OR($B238="",基础资料!$B$8=""),"",SUMIFS(对接源_01水果筐数!$E$5:$E$304,对接源_01水果筐数!$B$5:$B$304,$B238,对接源_01水果筐数!$C$5:$C$304,基础资料!$B$8))</f>
        <v/>
      </c>
      <c r="AK238" s="25" t="str">
        <f>IF(OR($B238="",基础资料!$B$4=""),"",SUMIFS(对接源_01水果筐数!$F$5:$F$304,对接源_01水果筐数!$B$5:$B$304,$B238,对接源_01水果筐数!$C$5:$C$304,基础资料!$B$4))</f>
        <v/>
      </c>
      <c r="AL238" s="25" t="str">
        <f>IF(OR($B238="",基础资料!$B$5=""),"",SUMIFS(对接源_01水果筐数!$F$5:$F$304,对接源_01水果筐数!$B$5:$B$304,$B238,对接源_01水果筐数!$C$5:$C$304,基础资料!$B$5))</f>
        <v/>
      </c>
      <c r="AM238" s="25" t="str">
        <f>IF(OR($B238="",基础资料!$B$6=""),"",SUMIFS(对接源_01水果筐数!$F$5:$F$304,对接源_01水果筐数!$B$5:$B$304,$B238,对接源_01水果筐数!$C$5:$C$304,基础资料!$B$6))</f>
        <v/>
      </c>
      <c r="AN238" s="25" t="str">
        <f>IF(OR($B238="",基础资料!$B$7=""),"",SUMIFS(对接源_01水果筐数!$F$5:$F$304,对接源_01水果筐数!$B$5:$B$304,$B238,对接源_01水果筐数!$C$5:$C$304,基础资料!$B$7))</f>
        <v/>
      </c>
      <c r="AO238" s="25" t="str">
        <f>IF(OR($B238="",基础资料!$B$8=""),"",SUMIFS(对接源_01水果筐数!$F$5:$F$304,对接源_01水果筐数!$B$5:$B$304,$B238,对接源_01水果筐数!$C$5:$C$304,基础资料!$B$8))</f>
        <v/>
      </c>
      <c r="AP238" s="25" t="str">
        <f t="shared" si="41"/>
        <v/>
      </c>
      <c r="AQ238" s="25" t="str">
        <f t="shared" si="42"/>
        <v/>
      </c>
      <c r="AR238" s="25" t="str">
        <f t="shared" si="43"/>
        <v/>
      </c>
      <c r="AS238" s="25" t="str">
        <f t="shared" si="44"/>
        <v/>
      </c>
      <c r="AT238" s="25" t="str">
        <f t="shared" si="45"/>
        <v/>
      </c>
      <c r="AU238" s="25" t="str">
        <f t="shared" si="46"/>
        <v/>
      </c>
      <c r="AV238" s="24" t="str">
        <f t="shared" si="47"/>
        <v/>
      </c>
      <c r="AW238" s="72"/>
    </row>
    <row r="239" spans="1:49">
      <c r="A239" s="22" t="str">
        <f t="shared" si="36"/>
        <v/>
      </c>
      <c r="B239" s="24" t="str">
        <f>IFERROR(INDEX(_自动清单!$CC$4:$CC$253,ROW()-3),"")</f>
        <v/>
      </c>
      <c r="C239" s="25" t="str">
        <f>IF(OR($B239="",基础资料!$B$4=""),"",SUMIFS(周转筐出入库明细!$J$4:$J$2004,周转筐出入库明细!$C$4:$C$2004,$B239,周转筐出入库明细!$D$4:$D$2004,基础资料!$B$4,周转筐出入库明细!$B$4:$B$2004,"&gt;="&amp;$BC$1,周转筐出入库明细!$B$4:$B$2004,"&lt;="&amp;$BC$2))</f>
        <v/>
      </c>
      <c r="D239" s="25" t="str">
        <f>IF(OR($B239="",基础资料!$B$5=""),"",SUMIFS(周转筐出入库明细!$J$4:$J$2004,周转筐出入库明细!$C$4:$C$2004,$B239,周转筐出入库明细!$D$4:$D$2004,基础资料!$B$5,周转筐出入库明细!$B$4:$B$2004,"&gt;="&amp;$BC$1,周转筐出入库明细!$B$4:$B$2004,"&lt;="&amp;$BC$2))</f>
        <v/>
      </c>
      <c r="E239" s="25" t="str">
        <f>IF(OR($B239="",基础资料!$B$6=""),"",SUMIFS(周转筐出入库明细!$J$4:$J$2004,周转筐出入库明细!$C$4:$C$2004,$B239,周转筐出入库明细!$D$4:$D$2004,基础资料!$B$6,周转筐出入库明细!$B$4:$B$2004,"&gt;="&amp;$BC$1,周转筐出入库明细!$B$4:$B$2004,"&lt;="&amp;$BC$2))</f>
        <v/>
      </c>
      <c r="F239" s="25" t="str">
        <f>IF(OR($B239="",基础资料!$B$7=""),"",SUMIFS(周转筐出入库明细!$J$4:$J$2004,周转筐出入库明细!$C$4:$C$2004,$B239,周转筐出入库明细!$D$4:$D$2004,基础资料!$B$7,周转筐出入库明细!$B$4:$B$2004,"&gt;="&amp;$BC$1,周转筐出入库明细!$B$4:$B$2004,"&lt;="&amp;$BC$2))</f>
        <v/>
      </c>
      <c r="G239" s="25" t="str">
        <f>IF(OR($B239="",基础资料!$B$8=""),"",SUMIFS(周转筐出入库明细!$J$4:$J$2004,周转筐出入库明细!$C$4:$C$2004,$B239,周转筐出入库明细!$D$4:$D$2004,基础资料!$B$8,周转筐出入库明细!$B$4:$B$2004,"&gt;="&amp;$BC$1,周转筐出入库明细!$B$4:$B$2004,"&lt;="&amp;$BC$2))</f>
        <v/>
      </c>
      <c r="H239" s="25" t="str">
        <f t="shared" si="37"/>
        <v/>
      </c>
      <c r="I239" s="67" t="str">
        <f>IF(OR($B239="",基础资料!$B$4=""),"",-SUMIFS(周转筐出入库明细!$I$4:$I$2004,周转筐出入库明细!$C$4:$C$2004,$B239,周转筐出入库明细!$D$4:$D$2004,基础资料!$B$4,周转筐出入库明细!$B$4:$B$2004,"&gt;="&amp;$BC$1,周转筐出入库明细!$B$4:$B$2004,"&lt;="&amp;$BC$2))</f>
        <v/>
      </c>
      <c r="J239" s="67" t="str">
        <f>IF(OR($B239="",基础资料!$B$5=""),"",-SUMIFS(周转筐出入库明细!$I$4:$I$2004,周转筐出入库明细!$C$4:$C$2004,$B239,周转筐出入库明细!$D$4:$D$2004,基础资料!$B$5,周转筐出入库明细!$B$4:$B$2004,"&gt;="&amp;$BC$1,周转筐出入库明细!$B$4:$B$2004,"&lt;="&amp;$BC$2))</f>
        <v/>
      </c>
      <c r="K239" s="67" t="str">
        <f>IF(OR($B239="",基础资料!$B$6=""),"",-SUMIFS(周转筐出入库明细!$I$4:$I$2004,周转筐出入库明细!$C$4:$C$2004,$B239,周转筐出入库明细!$D$4:$D$2004,基础资料!$B$6,周转筐出入库明细!$B$4:$B$2004,"&gt;="&amp;$BC$1,周转筐出入库明细!$B$4:$B$2004,"&lt;="&amp;$BC$2))</f>
        <v/>
      </c>
      <c r="L239" s="67" t="str">
        <f>IF(OR($B239="",基础资料!$B$7=""),"",-SUMIFS(周转筐出入库明细!$I$4:$I$2004,周转筐出入库明细!$C$4:$C$2004,$B239,周转筐出入库明细!$D$4:$D$2004,基础资料!$B$7,周转筐出入库明细!$B$4:$B$2004,"&gt;="&amp;$BC$1,周转筐出入库明细!$B$4:$B$2004,"&lt;="&amp;$BC$2))</f>
        <v/>
      </c>
      <c r="M239" s="67" t="str">
        <f>IF(OR($B239="",基础资料!$B$8=""),"",-SUMIFS(周转筐出入库明细!$I$4:$I$2004,周转筐出入库明细!$C$4:$C$2004,$B239,周转筐出入库明细!$D$4:$D$2004,基础资料!$B$8,周转筐出入库明细!$B$4:$B$2004,"&gt;="&amp;$BC$1,周转筐出入库明细!$B$4:$B$2004,"&lt;="&amp;$BC$2))</f>
        <v/>
      </c>
      <c r="N239" s="67" t="str">
        <f t="shared" si="38"/>
        <v/>
      </c>
      <c r="O239" s="25" t="str">
        <f>IF(OR($B239="",基础资料!$B$4=""),"",SUMIFS(周转筐出入库明细!$H$4:$H$2004,周转筐出入库明细!$C$4:$C$2004,$B239,周转筐出入库明细!$D$4:$D$2004,基础资料!$B$4,周转筐出入库明细!$F$4:$F$2004,"采购入库",周转筐出入库明细!$B$4:$B$2004,"&gt;="&amp;$BC$1,周转筐出入库明细!$B$4:$B$2004,"&lt;="&amp;$BC$2))</f>
        <v/>
      </c>
      <c r="P239" s="25" t="str">
        <f>IF(OR($B239="",基础资料!$B$5=""),"",SUMIFS(周转筐出入库明细!$H$4:$H$2004,周转筐出入库明细!$C$4:$C$2004,$B239,周转筐出入库明细!$D$4:$D$2004,基础资料!$B$5,周转筐出入库明细!$F$4:$F$2004,"采购入库",周转筐出入库明细!$B$4:$B$2004,"&gt;="&amp;$BC$1,周转筐出入库明细!$B$4:$B$2004,"&lt;="&amp;$BC$2))</f>
        <v/>
      </c>
      <c r="Q239" s="25" t="str">
        <f>IF(OR($B239="",基础资料!$B$6=""),"",SUMIFS(周转筐出入库明细!$H$4:$H$2004,周转筐出入库明细!$C$4:$C$2004,$B239,周转筐出入库明细!$D$4:$D$2004,基础资料!$B$6,周转筐出入库明细!$F$4:$F$2004,"采购入库",周转筐出入库明细!$B$4:$B$2004,"&gt;="&amp;$BC$1,周转筐出入库明细!$B$4:$B$2004,"&lt;="&amp;$BC$2))</f>
        <v/>
      </c>
      <c r="R239" s="25" t="str">
        <f>IF(OR($B239="",基础资料!$B$7=""),"",SUMIFS(周转筐出入库明细!$H$4:$H$2004,周转筐出入库明细!$C$4:$C$2004,$B239,周转筐出入库明细!$D$4:$D$2004,基础资料!$B$7,周转筐出入库明细!$F$4:$F$2004,"采购入库",周转筐出入库明细!$B$4:$B$2004,"&gt;="&amp;$BC$1,周转筐出入库明细!$B$4:$B$2004,"&lt;="&amp;$BC$2))</f>
        <v/>
      </c>
      <c r="S239" s="25" t="str">
        <f>IF(OR($B239="",基础资料!$B$8=""),"",SUMIFS(周转筐出入库明细!$H$4:$H$2004,周转筐出入库明细!$C$4:$C$2004,$B239,周转筐出入库明细!$D$4:$D$2004,基础资料!$B$8,周转筐出入库明细!$F$4:$F$2004,"采购入库",周转筐出入库明细!$B$4:$B$2004,"&gt;="&amp;$BC$1,周转筐出入库明细!$B$4:$B$2004,"&lt;="&amp;$BC$2))</f>
        <v/>
      </c>
      <c r="T239" s="25" t="str">
        <f t="shared" si="39"/>
        <v/>
      </c>
      <c r="U239" s="25" t="str">
        <f>IF(OR($B239="",基础资料!$B$4=""),"",SUMIFS(周转筐出入库明细!$K$4:$K$2004,周转筐出入库明细!$C$4:$C$2004,$B239,周转筐出入库明细!$D$4:$D$2004,基础资料!$B$4,周转筐出入库明细!$B$4:$B$2004,"&gt;="&amp;$BC$1,周转筐出入库明细!$B$4:$B$2004,"&lt;="&amp;$BC$2))</f>
        <v/>
      </c>
      <c r="V239" s="25" t="str">
        <f>IF(OR($B239="",基础资料!$B$5=""),"",SUMIFS(周转筐出入库明细!$K$4:$K$2004,周转筐出入库明细!$C$4:$C$2004,$B239,周转筐出入库明细!$D$4:$D$2004,基础资料!$B$5,周转筐出入库明细!$B$4:$B$2004,"&gt;="&amp;$BC$1,周转筐出入库明细!$B$4:$B$2004,"&lt;="&amp;$BC$2))</f>
        <v/>
      </c>
      <c r="W239" s="25" t="str">
        <f>IF(OR($B239="",基础资料!$B$6=""),"",SUMIFS(周转筐出入库明细!$K$4:$K$2004,周转筐出入库明细!$C$4:$C$2004,$B239,周转筐出入库明细!$D$4:$D$2004,基础资料!$B$6,周转筐出入库明细!$B$4:$B$2004,"&gt;="&amp;$BC$1,周转筐出入库明细!$B$4:$B$2004,"&lt;="&amp;$BC$2))</f>
        <v/>
      </c>
      <c r="X239" s="25" t="str">
        <f>IF(OR($B239="",基础资料!$B$7=""),"",SUMIFS(周转筐出入库明细!$K$4:$K$2004,周转筐出入库明细!$C$4:$C$2004,$B239,周转筐出入库明细!$D$4:$D$2004,基础资料!$B$7,周转筐出入库明细!$B$4:$B$2004,"&gt;="&amp;$BC$1,周转筐出入库明细!$B$4:$B$2004,"&lt;="&amp;$BC$2))</f>
        <v/>
      </c>
      <c r="Y239" s="25" t="str">
        <f>IF(OR($B239="",基础资料!$B$8=""),"",SUMIFS(周转筐出入库明细!$K$4:$K$2004,周转筐出入库明细!$C$4:$C$2004,$B239,周转筐出入库明细!$D$4:$D$2004,基础资料!$B$8,周转筐出入库明细!$B$4:$B$2004,"&gt;="&amp;$BC$1,周转筐出入库明细!$B$4:$B$2004,"&lt;="&amp;$BC$2))</f>
        <v/>
      </c>
      <c r="Z239" s="25" t="str">
        <f t="shared" si="40"/>
        <v/>
      </c>
      <c r="AA239" s="67" t="str">
        <f>IF(OR($B239="",基础资料!$B$4=""),"",-SUMIFS(对接源_01水果筐数!$D$5:$D$304,对接源_01水果筐数!$B$5:$B$304,$B239,对接源_01水果筐数!$C$5:$C$304,基础资料!$B$4))</f>
        <v/>
      </c>
      <c r="AB239" s="67" t="str">
        <f>IF(OR($B239="",基础资料!$B$5=""),"",-SUMIFS(对接源_01水果筐数!$D$5:$D$304,对接源_01水果筐数!$B$5:$B$304,$B239,对接源_01水果筐数!$C$5:$C$304,基础资料!$B$5))</f>
        <v/>
      </c>
      <c r="AC239" s="67" t="str">
        <f>IF(OR($B239="",基础资料!$B$6=""),"",-SUMIFS(对接源_01水果筐数!$D$5:$D$304,对接源_01水果筐数!$B$5:$B$304,$B239,对接源_01水果筐数!$C$5:$C$304,基础资料!$B$6))</f>
        <v/>
      </c>
      <c r="AD239" s="67" t="str">
        <f>IF(OR($B239="",基础资料!$B$7=""),"",-SUMIFS(对接源_01水果筐数!$D$5:$D$304,对接源_01水果筐数!$B$5:$B$304,$B239,对接源_01水果筐数!$C$5:$C$304,基础资料!$B$7))</f>
        <v/>
      </c>
      <c r="AE239" s="67" t="str">
        <f>IF(OR($B239="",基础资料!$B$8=""),"",-SUMIFS(对接源_01水果筐数!$D$5:$D$304,对接源_01水果筐数!$B$5:$B$304,$B239,对接源_01水果筐数!$C$5:$C$304,基础资料!$B$8))</f>
        <v/>
      </c>
      <c r="AF239" s="25" t="str">
        <f>IF(OR($B239="",基础资料!$B$4=""),"",SUMIFS(对接源_01水果筐数!$E$5:$E$304,对接源_01水果筐数!$B$5:$B$304,$B239,对接源_01水果筐数!$C$5:$C$304,基础资料!$B$4))</f>
        <v/>
      </c>
      <c r="AG239" s="25" t="str">
        <f>IF(OR($B239="",基础资料!$B$5=""),"",SUMIFS(对接源_01水果筐数!$E$5:$E$304,对接源_01水果筐数!$B$5:$B$304,$B239,对接源_01水果筐数!$C$5:$C$304,基础资料!$B$5))</f>
        <v/>
      </c>
      <c r="AH239" s="25" t="str">
        <f>IF(OR($B239="",基础资料!$B$6=""),"",SUMIFS(对接源_01水果筐数!$E$5:$E$304,对接源_01水果筐数!$B$5:$B$304,$B239,对接源_01水果筐数!$C$5:$C$304,基础资料!$B$6))</f>
        <v/>
      </c>
      <c r="AI239" s="25" t="str">
        <f>IF(OR($B239="",基础资料!$B$7=""),"",SUMIFS(对接源_01水果筐数!$E$5:$E$304,对接源_01水果筐数!$B$5:$B$304,$B239,对接源_01水果筐数!$C$5:$C$304,基础资料!$B$7))</f>
        <v/>
      </c>
      <c r="AJ239" s="25" t="str">
        <f>IF(OR($B239="",基础资料!$B$8=""),"",SUMIFS(对接源_01水果筐数!$E$5:$E$304,对接源_01水果筐数!$B$5:$B$304,$B239,对接源_01水果筐数!$C$5:$C$304,基础资料!$B$8))</f>
        <v/>
      </c>
      <c r="AK239" s="25" t="str">
        <f>IF(OR($B239="",基础资料!$B$4=""),"",SUMIFS(对接源_01水果筐数!$F$5:$F$304,对接源_01水果筐数!$B$5:$B$304,$B239,对接源_01水果筐数!$C$5:$C$304,基础资料!$B$4))</f>
        <v/>
      </c>
      <c r="AL239" s="25" t="str">
        <f>IF(OR($B239="",基础资料!$B$5=""),"",SUMIFS(对接源_01水果筐数!$F$5:$F$304,对接源_01水果筐数!$B$5:$B$304,$B239,对接源_01水果筐数!$C$5:$C$304,基础资料!$B$5))</f>
        <v/>
      </c>
      <c r="AM239" s="25" t="str">
        <f>IF(OR($B239="",基础资料!$B$6=""),"",SUMIFS(对接源_01水果筐数!$F$5:$F$304,对接源_01水果筐数!$B$5:$B$304,$B239,对接源_01水果筐数!$C$5:$C$304,基础资料!$B$6))</f>
        <v/>
      </c>
      <c r="AN239" s="25" t="str">
        <f>IF(OR($B239="",基础资料!$B$7=""),"",SUMIFS(对接源_01水果筐数!$F$5:$F$304,对接源_01水果筐数!$B$5:$B$304,$B239,对接源_01水果筐数!$C$5:$C$304,基础资料!$B$7))</f>
        <v/>
      </c>
      <c r="AO239" s="25" t="str">
        <f>IF(OR($B239="",基础资料!$B$8=""),"",SUMIFS(对接源_01水果筐数!$F$5:$F$304,对接源_01水果筐数!$B$5:$B$304,$B239,对接源_01水果筐数!$C$5:$C$304,基础资料!$B$8))</f>
        <v/>
      </c>
      <c r="AP239" s="25" t="str">
        <f t="shared" si="41"/>
        <v/>
      </c>
      <c r="AQ239" s="25" t="str">
        <f t="shared" si="42"/>
        <v/>
      </c>
      <c r="AR239" s="25" t="str">
        <f t="shared" si="43"/>
        <v/>
      </c>
      <c r="AS239" s="25" t="str">
        <f t="shared" si="44"/>
        <v/>
      </c>
      <c r="AT239" s="25" t="str">
        <f t="shared" si="45"/>
        <v/>
      </c>
      <c r="AU239" s="25" t="str">
        <f t="shared" si="46"/>
        <v/>
      </c>
      <c r="AV239" s="24" t="str">
        <f t="shared" si="47"/>
        <v/>
      </c>
      <c r="AW239" s="72"/>
    </row>
    <row r="240" spans="1:49">
      <c r="A240" s="22" t="str">
        <f t="shared" si="36"/>
        <v/>
      </c>
      <c r="B240" s="24" t="str">
        <f>IFERROR(INDEX(_自动清单!$CC$4:$CC$253,ROW()-3),"")</f>
        <v/>
      </c>
      <c r="C240" s="25" t="str">
        <f>IF(OR($B240="",基础资料!$B$4=""),"",SUMIFS(周转筐出入库明细!$J$4:$J$2004,周转筐出入库明细!$C$4:$C$2004,$B240,周转筐出入库明细!$D$4:$D$2004,基础资料!$B$4,周转筐出入库明细!$B$4:$B$2004,"&gt;="&amp;$BC$1,周转筐出入库明细!$B$4:$B$2004,"&lt;="&amp;$BC$2))</f>
        <v/>
      </c>
      <c r="D240" s="25" t="str">
        <f>IF(OR($B240="",基础资料!$B$5=""),"",SUMIFS(周转筐出入库明细!$J$4:$J$2004,周转筐出入库明细!$C$4:$C$2004,$B240,周转筐出入库明细!$D$4:$D$2004,基础资料!$B$5,周转筐出入库明细!$B$4:$B$2004,"&gt;="&amp;$BC$1,周转筐出入库明细!$B$4:$B$2004,"&lt;="&amp;$BC$2))</f>
        <v/>
      </c>
      <c r="E240" s="25" t="str">
        <f>IF(OR($B240="",基础资料!$B$6=""),"",SUMIFS(周转筐出入库明细!$J$4:$J$2004,周转筐出入库明细!$C$4:$C$2004,$B240,周转筐出入库明细!$D$4:$D$2004,基础资料!$B$6,周转筐出入库明细!$B$4:$B$2004,"&gt;="&amp;$BC$1,周转筐出入库明细!$B$4:$B$2004,"&lt;="&amp;$BC$2))</f>
        <v/>
      </c>
      <c r="F240" s="25" t="str">
        <f>IF(OR($B240="",基础资料!$B$7=""),"",SUMIFS(周转筐出入库明细!$J$4:$J$2004,周转筐出入库明细!$C$4:$C$2004,$B240,周转筐出入库明细!$D$4:$D$2004,基础资料!$B$7,周转筐出入库明细!$B$4:$B$2004,"&gt;="&amp;$BC$1,周转筐出入库明细!$B$4:$B$2004,"&lt;="&amp;$BC$2))</f>
        <v/>
      </c>
      <c r="G240" s="25" t="str">
        <f>IF(OR($B240="",基础资料!$B$8=""),"",SUMIFS(周转筐出入库明细!$J$4:$J$2004,周转筐出入库明细!$C$4:$C$2004,$B240,周转筐出入库明细!$D$4:$D$2004,基础资料!$B$8,周转筐出入库明细!$B$4:$B$2004,"&gt;="&amp;$BC$1,周转筐出入库明细!$B$4:$B$2004,"&lt;="&amp;$BC$2))</f>
        <v/>
      </c>
      <c r="H240" s="25" t="str">
        <f t="shared" si="37"/>
        <v/>
      </c>
      <c r="I240" s="67" t="str">
        <f>IF(OR($B240="",基础资料!$B$4=""),"",-SUMIFS(周转筐出入库明细!$I$4:$I$2004,周转筐出入库明细!$C$4:$C$2004,$B240,周转筐出入库明细!$D$4:$D$2004,基础资料!$B$4,周转筐出入库明细!$B$4:$B$2004,"&gt;="&amp;$BC$1,周转筐出入库明细!$B$4:$B$2004,"&lt;="&amp;$BC$2))</f>
        <v/>
      </c>
      <c r="J240" s="67" t="str">
        <f>IF(OR($B240="",基础资料!$B$5=""),"",-SUMIFS(周转筐出入库明细!$I$4:$I$2004,周转筐出入库明细!$C$4:$C$2004,$B240,周转筐出入库明细!$D$4:$D$2004,基础资料!$B$5,周转筐出入库明细!$B$4:$B$2004,"&gt;="&amp;$BC$1,周转筐出入库明细!$B$4:$B$2004,"&lt;="&amp;$BC$2))</f>
        <v/>
      </c>
      <c r="K240" s="67" t="str">
        <f>IF(OR($B240="",基础资料!$B$6=""),"",-SUMIFS(周转筐出入库明细!$I$4:$I$2004,周转筐出入库明细!$C$4:$C$2004,$B240,周转筐出入库明细!$D$4:$D$2004,基础资料!$B$6,周转筐出入库明细!$B$4:$B$2004,"&gt;="&amp;$BC$1,周转筐出入库明细!$B$4:$B$2004,"&lt;="&amp;$BC$2))</f>
        <v/>
      </c>
      <c r="L240" s="67" t="str">
        <f>IF(OR($B240="",基础资料!$B$7=""),"",-SUMIFS(周转筐出入库明细!$I$4:$I$2004,周转筐出入库明细!$C$4:$C$2004,$B240,周转筐出入库明细!$D$4:$D$2004,基础资料!$B$7,周转筐出入库明细!$B$4:$B$2004,"&gt;="&amp;$BC$1,周转筐出入库明细!$B$4:$B$2004,"&lt;="&amp;$BC$2))</f>
        <v/>
      </c>
      <c r="M240" s="67" t="str">
        <f>IF(OR($B240="",基础资料!$B$8=""),"",-SUMIFS(周转筐出入库明细!$I$4:$I$2004,周转筐出入库明细!$C$4:$C$2004,$B240,周转筐出入库明细!$D$4:$D$2004,基础资料!$B$8,周转筐出入库明细!$B$4:$B$2004,"&gt;="&amp;$BC$1,周转筐出入库明细!$B$4:$B$2004,"&lt;="&amp;$BC$2))</f>
        <v/>
      </c>
      <c r="N240" s="67" t="str">
        <f t="shared" si="38"/>
        <v/>
      </c>
      <c r="O240" s="25" t="str">
        <f>IF(OR($B240="",基础资料!$B$4=""),"",SUMIFS(周转筐出入库明细!$H$4:$H$2004,周转筐出入库明细!$C$4:$C$2004,$B240,周转筐出入库明细!$D$4:$D$2004,基础资料!$B$4,周转筐出入库明细!$F$4:$F$2004,"采购入库",周转筐出入库明细!$B$4:$B$2004,"&gt;="&amp;$BC$1,周转筐出入库明细!$B$4:$B$2004,"&lt;="&amp;$BC$2))</f>
        <v/>
      </c>
      <c r="P240" s="25" t="str">
        <f>IF(OR($B240="",基础资料!$B$5=""),"",SUMIFS(周转筐出入库明细!$H$4:$H$2004,周转筐出入库明细!$C$4:$C$2004,$B240,周转筐出入库明细!$D$4:$D$2004,基础资料!$B$5,周转筐出入库明细!$F$4:$F$2004,"采购入库",周转筐出入库明细!$B$4:$B$2004,"&gt;="&amp;$BC$1,周转筐出入库明细!$B$4:$B$2004,"&lt;="&amp;$BC$2))</f>
        <v/>
      </c>
      <c r="Q240" s="25" t="str">
        <f>IF(OR($B240="",基础资料!$B$6=""),"",SUMIFS(周转筐出入库明细!$H$4:$H$2004,周转筐出入库明细!$C$4:$C$2004,$B240,周转筐出入库明细!$D$4:$D$2004,基础资料!$B$6,周转筐出入库明细!$F$4:$F$2004,"采购入库",周转筐出入库明细!$B$4:$B$2004,"&gt;="&amp;$BC$1,周转筐出入库明细!$B$4:$B$2004,"&lt;="&amp;$BC$2))</f>
        <v/>
      </c>
      <c r="R240" s="25" t="str">
        <f>IF(OR($B240="",基础资料!$B$7=""),"",SUMIFS(周转筐出入库明细!$H$4:$H$2004,周转筐出入库明细!$C$4:$C$2004,$B240,周转筐出入库明细!$D$4:$D$2004,基础资料!$B$7,周转筐出入库明细!$F$4:$F$2004,"采购入库",周转筐出入库明细!$B$4:$B$2004,"&gt;="&amp;$BC$1,周转筐出入库明细!$B$4:$B$2004,"&lt;="&amp;$BC$2))</f>
        <v/>
      </c>
      <c r="S240" s="25" t="str">
        <f>IF(OR($B240="",基础资料!$B$8=""),"",SUMIFS(周转筐出入库明细!$H$4:$H$2004,周转筐出入库明细!$C$4:$C$2004,$B240,周转筐出入库明细!$D$4:$D$2004,基础资料!$B$8,周转筐出入库明细!$F$4:$F$2004,"采购入库",周转筐出入库明细!$B$4:$B$2004,"&gt;="&amp;$BC$1,周转筐出入库明细!$B$4:$B$2004,"&lt;="&amp;$BC$2))</f>
        <v/>
      </c>
      <c r="T240" s="25" t="str">
        <f t="shared" si="39"/>
        <v/>
      </c>
      <c r="U240" s="25" t="str">
        <f>IF(OR($B240="",基础资料!$B$4=""),"",SUMIFS(周转筐出入库明细!$K$4:$K$2004,周转筐出入库明细!$C$4:$C$2004,$B240,周转筐出入库明细!$D$4:$D$2004,基础资料!$B$4,周转筐出入库明细!$B$4:$B$2004,"&gt;="&amp;$BC$1,周转筐出入库明细!$B$4:$B$2004,"&lt;="&amp;$BC$2))</f>
        <v/>
      </c>
      <c r="V240" s="25" t="str">
        <f>IF(OR($B240="",基础资料!$B$5=""),"",SUMIFS(周转筐出入库明细!$K$4:$K$2004,周转筐出入库明细!$C$4:$C$2004,$B240,周转筐出入库明细!$D$4:$D$2004,基础资料!$B$5,周转筐出入库明细!$B$4:$B$2004,"&gt;="&amp;$BC$1,周转筐出入库明细!$B$4:$B$2004,"&lt;="&amp;$BC$2))</f>
        <v/>
      </c>
      <c r="W240" s="25" t="str">
        <f>IF(OR($B240="",基础资料!$B$6=""),"",SUMIFS(周转筐出入库明细!$K$4:$K$2004,周转筐出入库明细!$C$4:$C$2004,$B240,周转筐出入库明细!$D$4:$D$2004,基础资料!$B$6,周转筐出入库明细!$B$4:$B$2004,"&gt;="&amp;$BC$1,周转筐出入库明细!$B$4:$B$2004,"&lt;="&amp;$BC$2))</f>
        <v/>
      </c>
      <c r="X240" s="25" t="str">
        <f>IF(OR($B240="",基础资料!$B$7=""),"",SUMIFS(周转筐出入库明细!$K$4:$K$2004,周转筐出入库明细!$C$4:$C$2004,$B240,周转筐出入库明细!$D$4:$D$2004,基础资料!$B$7,周转筐出入库明细!$B$4:$B$2004,"&gt;="&amp;$BC$1,周转筐出入库明细!$B$4:$B$2004,"&lt;="&amp;$BC$2))</f>
        <v/>
      </c>
      <c r="Y240" s="25" t="str">
        <f>IF(OR($B240="",基础资料!$B$8=""),"",SUMIFS(周转筐出入库明细!$K$4:$K$2004,周转筐出入库明细!$C$4:$C$2004,$B240,周转筐出入库明细!$D$4:$D$2004,基础资料!$B$8,周转筐出入库明细!$B$4:$B$2004,"&gt;="&amp;$BC$1,周转筐出入库明细!$B$4:$B$2004,"&lt;="&amp;$BC$2))</f>
        <v/>
      </c>
      <c r="Z240" s="25" t="str">
        <f t="shared" si="40"/>
        <v/>
      </c>
      <c r="AA240" s="67" t="str">
        <f>IF(OR($B240="",基础资料!$B$4=""),"",-SUMIFS(对接源_01水果筐数!$D$5:$D$304,对接源_01水果筐数!$B$5:$B$304,$B240,对接源_01水果筐数!$C$5:$C$304,基础资料!$B$4))</f>
        <v/>
      </c>
      <c r="AB240" s="67" t="str">
        <f>IF(OR($B240="",基础资料!$B$5=""),"",-SUMIFS(对接源_01水果筐数!$D$5:$D$304,对接源_01水果筐数!$B$5:$B$304,$B240,对接源_01水果筐数!$C$5:$C$304,基础资料!$B$5))</f>
        <v/>
      </c>
      <c r="AC240" s="67" t="str">
        <f>IF(OR($B240="",基础资料!$B$6=""),"",-SUMIFS(对接源_01水果筐数!$D$5:$D$304,对接源_01水果筐数!$B$5:$B$304,$B240,对接源_01水果筐数!$C$5:$C$304,基础资料!$B$6))</f>
        <v/>
      </c>
      <c r="AD240" s="67" t="str">
        <f>IF(OR($B240="",基础资料!$B$7=""),"",-SUMIFS(对接源_01水果筐数!$D$5:$D$304,对接源_01水果筐数!$B$5:$B$304,$B240,对接源_01水果筐数!$C$5:$C$304,基础资料!$B$7))</f>
        <v/>
      </c>
      <c r="AE240" s="67" t="str">
        <f>IF(OR($B240="",基础资料!$B$8=""),"",-SUMIFS(对接源_01水果筐数!$D$5:$D$304,对接源_01水果筐数!$B$5:$B$304,$B240,对接源_01水果筐数!$C$5:$C$304,基础资料!$B$8))</f>
        <v/>
      </c>
      <c r="AF240" s="25" t="str">
        <f>IF(OR($B240="",基础资料!$B$4=""),"",SUMIFS(对接源_01水果筐数!$E$5:$E$304,对接源_01水果筐数!$B$5:$B$304,$B240,对接源_01水果筐数!$C$5:$C$304,基础资料!$B$4))</f>
        <v/>
      </c>
      <c r="AG240" s="25" t="str">
        <f>IF(OR($B240="",基础资料!$B$5=""),"",SUMIFS(对接源_01水果筐数!$E$5:$E$304,对接源_01水果筐数!$B$5:$B$304,$B240,对接源_01水果筐数!$C$5:$C$304,基础资料!$B$5))</f>
        <v/>
      </c>
      <c r="AH240" s="25" t="str">
        <f>IF(OR($B240="",基础资料!$B$6=""),"",SUMIFS(对接源_01水果筐数!$E$5:$E$304,对接源_01水果筐数!$B$5:$B$304,$B240,对接源_01水果筐数!$C$5:$C$304,基础资料!$B$6))</f>
        <v/>
      </c>
      <c r="AI240" s="25" t="str">
        <f>IF(OR($B240="",基础资料!$B$7=""),"",SUMIFS(对接源_01水果筐数!$E$5:$E$304,对接源_01水果筐数!$B$5:$B$304,$B240,对接源_01水果筐数!$C$5:$C$304,基础资料!$B$7))</f>
        <v/>
      </c>
      <c r="AJ240" s="25" t="str">
        <f>IF(OR($B240="",基础资料!$B$8=""),"",SUMIFS(对接源_01水果筐数!$E$5:$E$304,对接源_01水果筐数!$B$5:$B$304,$B240,对接源_01水果筐数!$C$5:$C$304,基础资料!$B$8))</f>
        <v/>
      </c>
      <c r="AK240" s="25" t="str">
        <f>IF(OR($B240="",基础资料!$B$4=""),"",SUMIFS(对接源_01水果筐数!$F$5:$F$304,对接源_01水果筐数!$B$5:$B$304,$B240,对接源_01水果筐数!$C$5:$C$304,基础资料!$B$4))</f>
        <v/>
      </c>
      <c r="AL240" s="25" t="str">
        <f>IF(OR($B240="",基础资料!$B$5=""),"",SUMIFS(对接源_01水果筐数!$F$5:$F$304,对接源_01水果筐数!$B$5:$B$304,$B240,对接源_01水果筐数!$C$5:$C$304,基础资料!$B$5))</f>
        <v/>
      </c>
      <c r="AM240" s="25" t="str">
        <f>IF(OR($B240="",基础资料!$B$6=""),"",SUMIFS(对接源_01水果筐数!$F$5:$F$304,对接源_01水果筐数!$B$5:$B$304,$B240,对接源_01水果筐数!$C$5:$C$304,基础资料!$B$6))</f>
        <v/>
      </c>
      <c r="AN240" s="25" t="str">
        <f>IF(OR($B240="",基础资料!$B$7=""),"",SUMIFS(对接源_01水果筐数!$F$5:$F$304,对接源_01水果筐数!$B$5:$B$304,$B240,对接源_01水果筐数!$C$5:$C$304,基础资料!$B$7))</f>
        <v/>
      </c>
      <c r="AO240" s="25" t="str">
        <f>IF(OR($B240="",基础资料!$B$8=""),"",SUMIFS(对接源_01水果筐数!$F$5:$F$304,对接源_01水果筐数!$B$5:$B$304,$B240,对接源_01水果筐数!$C$5:$C$304,基础资料!$B$8))</f>
        <v/>
      </c>
      <c r="AP240" s="25" t="str">
        <f t="shared" si="41"/>
        <v/>
      </c>
      <c r="AQ240" s="25" t="str">
        <f t="shared" si="42"/>
        <v/>
      </c>
      <c r="AR240" s="25" t="str">
        <f t="shared" si="43"/>
        <v/>
      </c>
      <c r="AS240" s="25" t="str">
        <f t="shared" si="44"/>
        <v/>
      </c>
      <c r="AT240" s="25" t="str">
        <f t="shared" si="45"/>
        <v/>
      </c>
      <c r="AU240" s="25" t="str">
        <f t="shared" si="46"/>
        <v/>
      </c>
      <c r="AV240" s="24" t="str">
        <f t="shared" si="47"/>
        <v/>
      </c>
      <c r="AW240" s="72"/>
    </row>
    <row r="241" spans="1:49">
      <c r="A241" s="22" t="str">
        <f t="shared" si="36"/>
        <v/>
      </c>
      <c r="B241" s="24" t="str">
        <f>IFERROR(INDEX(_自动清单!$CC$4:$CC$253,ROW()-3),"")</f>
        <v/>
      </c>
      <c r="C241" s="25" t="str">
        <f>IF(OR($B241="",基础资料!$B$4=""),"",SUMIFS(周转筐出入库明细!$J$4:$J$2004,周转筐出入库明细!$C$4:$C$2004,$B241,周转筐出入库明细!$D$4:$D$2004,基础资料!$B$4,周转筐出入库明细!$B$4:$B$2004,"&gt;="&amp;$BC$1,周转筐出入库明细!$B$4:$B$2004,"&lt;="&amp;$BC$2))</f>
        <v/>
      </c>
      <c r="D241" s="25" t="str">
        <f>IF(OR($B241="",基础资料!$B$5=""),"",SUMIFS(周转筐出入库明细!$J$4:$J$2004,周转筐出入库明细!$C$4:$C$2004,$B241,周转筐出入库明细!$D$4:$D$2004,基础资料!$B$5,周转筐出入库明细!$B$4:$B$2004,"&gt;="&amp;$BC$1,周转筐出入库明细!$B$4:$B$2004,"&lt;="&amp;$BC$2))</f>
        <v/>
      </c>
      <c r="E241" s="25" t="str">
        <f>IF(OR($B241="",基础资料!$B$6=""),"",SUMIFS(周转筐出入库明细!$J$4:$J$2004,周转筐出入库明细!$C$4:$C$2004,$B241,周转筐出入库明细!$D$4:$D$2004,基础资料!$B$6,周转筐出入库明细!$B$4:$B$2004,"&gt;="&amp;$BC$1,周转筐出入库明细!$B$4:$B$2004,"&lt;="&amp;$BC$2))</f>
        <v/>
      </c>
      <c r="F241" s="25" t="str">
        <f>IF(OR($B241="",基础资料!$B$7=""),"",SUMIFS(周转筐出入库明细!$J$4:$J$2004,周转筐出入库明细!$C$4:$C$2004,$B241,周转筐出入库明细!$D$4:$D$2004,基础资料!$B$7,周转筐出入库明细!$B$4:$B$2004,"&gt;="&amp;$BC$1,周转筐出入库明细!$B$4:$B$2004,"&lt;="&amp;$BC$2))</f>
        <v/>
      </c>
      <c r="G241" s="25" t="str">
        <f>IF(OR($B241="",基础资料!$B$8=""),"",SUMIFS(周转筐出入库明细!$J$4:$J$2004,周转筐出入库明细!$C$4:$C$2004,$B241,周转筐出入库明细!$D$4:$D$2004,基础资料!$B$8,周转筐出入库明细!$B$4:$B$2004,"&gt;="&amp;$BC$1,周转筐出入库明细!$B$4:$B$2004,"&lt;="&amp;$BC$2))</f>
        <v/>
      </c>
      <c r="H241" s="25" t="str">
        <f t="shared" si="37"/>
        <v/>
      </c>
      <c r="I241" s="67" t="str">
        <f>IF(OR($B241="",基础资料!$B$4=""),"",-SUMIFS(周转筐出入库明细!$I$4:$I$2004,周转筐出入库明细!$C$4:$C$2004,$B241,周转筐出入库明细!$D$4:$D$2004,基础资料!$B$4,周转筐出入库明细!$B$4:$B$2004,"&gt;="&amp;$BC$1,周转筐出入库明细!$B$4:$B$2004,"&lt;="&amp;$BC$2))</f>
        <v/>
      </c>
      <c r="J241" s="67" t="str">
        <f>IF(OR($B241="",基础资料!$B$5=""),"",-SUMIFS(周转筐出入库明细!$I$4:$I$2004,周转筐出入库明细!$C$4:$C$2004,$B241,周转筐出入库明细!$D$4:$D$2004,基础资料!$B$5,周转筐出入库明细!$B$4:$B$2004,"&gt;="&amp;$BC$1,周转筐出入库明细!$B$4:$B$2004,"&lt;="&amp;$BC$2))</f>
        <v/>
      </c>
      <c r="K241" s="67" t="str">
        <f>IF(OR($B241="",基础资料!$B$6=""),"",-SUMIFS(周转筐出入库明细!$I$4:$I$2004,周转筐出入库明细!$C$4:$C$2004,$B241,周转筐出入库明细!$D$4:$D$2004,基础资料!$B$6,周转筐出入库明细!$B$4:$B$2004,"&gt;="&amp;$BC$1,周转筐出入库明细!$B$4:$B$2004,"&lt;="&amp;$BC$2))</f>
        <v/>
      </c>
      <c r="L241" s="67" t="str">
        <f>IF(OR($B241="",基础资料!$B$7=""),"",-SUMIFS(周转筐出入库明细!$I$4:$I$2004,周转筐出入库明细!$C$4:$C$2004,$B241,周转筐出入库明细!$D$4:$D$2004,基础资料!$B$7,周转筐出入库明细!$B$4:$B$2004,"&gt;="&amp;$BC$1,周转筐出入库明细!$B$4:$B$2004,"&lt;="&amp;$BC$2))</f>
        <v/>
      </c>
      <c r="M241" s="67" t="str">
        <f>IF(OR($B241="",基础资料!$B$8=""),"",-SUMIFS(周转筐出入库明细!$I$4:$I$2004,周转筐出入库明细!$C$4:$C$2004,$B241,周转筐出入库明细!$D$4:$D$2004,基础资料!$B$8,周转筐出入库明细!$B$4:$B$2004,"&gt;="&amp;$BC$1,周转筐出入库明细!$B$4:$B$2004,"&lt;="&amp;$BC$2))</f>
        <v/>
      </c>
      <c r="N241" s="67" t="str">
        <f t="shared" si="38"/>
        <v/>
      </c>
      <c r="O241" s="25" t="str">
        <f>IF(OR($B241="",基础资料!$B$4=""),"",SUMIFS(周转筐出入库明细!$H$4:$H$2004,周转筐出入库明细!$C$4:$C$2004,$B241,周转筐出入库明细!$D$4:$D$2004,基础资料!$B$4,周转筐出入库明细!$F$4:$F$2004,"采购入库",周转筐出入库明细!$B$4:$B$2004,"&gt;="&amp;$BC$1,周转筐出入库明细!$B$4:$B$2004,"&lt;="&amp;$BC$2))</f>
        <v/>
      </c>
      <c r="P241" s="25" t="str">
        <f>IF(OR($B241="",基础资料!$B$5=""),"",SUMIFS(周转筐出入库明细!$H$4:$H$2004,周转筐出入库明细!$C$4:$C$2004,$B241,周转筐出入库明细!$D$4:$D$2004,基础资料!$B$5,周转筐出入库明细!$F$4:$F$2004,"采购入库",周转筐出入库明细!$B$4:$B$2004,"&gt;="&amp;$BC$1,周转筐出入库明细!$B$4:$B$2004,"&lt;="&amp;$BC$2))</f>
        <v/>
      </c>
      <c r="Q241" s="25" t="str">
        <f>IF(OR($B241="",基础资料!$B$6=""),"",SUMIFS(周转筐出入库明细!$H$4:$H$2004,周转筐出入库明细!$C$4:$C$2004,$B241,周转筐出入库明细!$D$4:$D$2004,基础资料!$B$6,周转筐出入库明细!$F$4:$F$2004,"采购入库",周转筐出入库明细!$B$4:$B$2004,"&gt;="&amp;$BC$1,周转筐出入库明细!$B$4:$B$2004,"&lt;="&amp;$BC$2))</f>
        <v/>
      </c>
      <c r="R241" s="25" t="str">
        <f>IF(OR($B241="",基础资料!$B$7=""),"",SUMIFS(周转筐出入库明细!$H$4:$H$2004,周转筐出入库明细!$C$4:$C$2004,$B241,周转筐出入库明细!$D$4:$D$2004,基础资料!$B$7,周转筐出入库明细!$F$4:$F$2004,"采购入库",周转筐出入库明细!$B$4:$B$2004,"&gt;="&amp;$BC$1,周转筐出入库明细!$B$4:$B$2004,"&lt;="&amp;$BC$2))</f>
        <v/>
      </c>
      <c r="S241" s="25" t="str">
        <f>IF(OR($B241="",基础资料!$B$8=""),"",SUMIFS(周转筐出入库明细!$H$4:$H$2004,周转筐出入库明细!$C$4:$C$2004,$B241,周转筐出入库明细!$D$4:$D$2004,基础资料!$B$8,周转筐出入库明细!$F$4:$F$2004,"采购入库",周转筐出入库明细!$B$4:$B$2004,"&gt;="&amp;$BC$1,周转筐出入库明细!$B$4:$B$2004,"&lt;="&amp;$BC$2))</f>
        <v/>
      </c>
      <c r="T241" s="25" t="str">
        <f t="shared" si="39"/>
        <v/>
      </c>
      <c r="U241" s="25" t="str">
        <f>IF(OR($B241="",基础资料!$B$4=""),"",SUMIFS(周转筐出入库明细!$K$4:$K$2004,周转筐出入库明细!$C$4:$C$2004,$B241,周转筐出入库明细!$D$4:$D$2004,基础资料!$B$4,周转筐出入库明细!$B$4:$B$2004,"&gt;="&amp;$BC$1,周转筐出入库明细!$B$4:$B$2004,"&lt;="&amp;$BC$2))</f>
        <v/>
      </c>
      <c r="V241" s="25" t="str">
        <f>IF(OR($B241="",基础资料!$B$5=""),"",SUMIFS(周转筐出入库明细!$K$4:$K$2004,周转筐出入库明细!$C$4:$C$2004,$B241,周转筐出入库明细!$D$4:$D$2004,基础资料!$B$5,周转筐出入库明细!$B$4:$B$2004,"&gt;="&amp;$BC$1,周转筐出入库明细!$B$4:$B$2004,"&lt;="&amp;$BC$2))</f>
        <v/>
      </c>
      <c r="W241" s="25" t="str">
        <f>IF(OR($B241="",基础资料!$B$6=""),"",SUMIFS(周转筐出入库明细!$K$4:$K$2004,周转筐出入库明细!$C$4:$C$2004,$B241,周转筐出入库明细!$D$4:$D$2004,基础资料!$B$6,周转筐出入库明细!$B$4:$B$2004,"&gt;="&amp;$BC$1,周转筐出入库明细!$B$4:$B$2004,"&lt;="&amp;$BC$2))</f>
        <v/>
      </c>
      <c r="X241" s="25" t="str">
        <f>IF(OR($B241="",基础资料!$B$7=""),"",SUMIFS(周转筐出入库明细!$K$4:$K$2004,周转筐出入库明细!$C$4:$C$2004,$B241,周转筐出入库明细!$D$4:$D$2004,基础资料!$B$7,周转筐出入库明细!$B$4:$B$2004,"&gt;="&amp;$BC$1,周转筐出入库明细!$B$4:$B$2004,"&lt;="&amp;$BC$2))</f>
        <v/>
      </c>
      <c r="Y241" s="25" t="str">
        <f>IF(OR($B241="",基础资料!$B$8=""),"",SUMIFS(周转筐出入库明细!$K$4:$K$2004,周转筐出入库明细!$C$4:$C$2004,$B241,周转筐出入库明细!$D$4:$D$2004,基础资料!$B$8,周转筐出入库明细!$B$4:$B$2004,"&gt;="&amp;$BC$1,周转筐出入库明细!$B$4:$B$2004,"&lt;="&amp;$BC$2))</f>
        <v/>
      </c>
      <c r="Z241" s="25" t="str">
        <f t="shared" si="40"/>
        <v/>
      </c>
      <c r="AA241" s="67" t="str">
        <f>IF(OR($B241="",基础资料!$B$4=""),"",-SUMIFS(对接源_01水果筐数!$D$5:$D$304,对接源_01水果筐数!$B$5:$B$304,$B241,对接源_01水果筐数!$C$5:$C$304,基础资料!$B$4))</f>
        <v/>
      </c>
      <c r="AB241" s="67" t="str">
        <f>IF(OR($B241="",基础资料!$B$5=""),"",-SUMIFS(对接源_01水果筐数!$D$5:$D$304,对接源_01水果筐数!$B$5:$B$304,$B241,对接源_01水果筐数!$C$5:$C$304,基础资料!$B$5))</f>
        <v/>
      </c>
      <c r="AC241" s="67" t="str">
        <f>IF(OR($B241="",基础资料!$B$6=""),"",-SUMIFS(对接源_01水果筐数!$D$5:$D$304,对接源_01水果筐数!$B$5:$B$304,$B241,对接源_01水果筐数!$C$5:$C$304,基础资料!$B$6))</f>
        <v/>
      </c>
      <c r="AD241" s="67" t="str">
        <f>IF(OR($B241="",基础资料!$B$7=""),"",-SUMIFS(对接源_01水果筐数!$D$5:$D$304,对接源_01水果筐数!$B$5:$B$304,$B241,对接源_01水果筐数!$C$5:$C$304,基础资料!$B$7))</f>
        <v/>
      </c>
      <c r="AE241" s="67" t="str">
        <f>IF(OR($B241="",基础资料!$B$8=""),"",-SUMIFS(对接源_01水果筐数!$D$5:$D$304,对接源_01水果筐数!$B$5:$B$304,$B241,对接源_01水果筐数!$C$5:$C$304,基础资料!$B$8))</f>
        <v/>
      </c>
      <c r="AF241" s="25" t="str">
        <f>IF(OR($B241="",基础资料!$B$4=""),"",SUMIFS(对接源_01水果筐数!$E$5:$E$304,对接源_01水果筐数!$B$5:$B$304,$B241,对接源_01水果筐数!$C$5:$C$304,基础资料!$B$4))</f>
        <v/>
      </c>
      <c r="AG241" s="25" t="str">
        <f>IF(OR($B241="",基础资料!$B$5=""),"",SUMIFS(对接源_01水果筐数!$E$5:$E$304,对接源_01水果筐数!$B$5:$B$304,$B241,对接源_01水果筐数!$C$5:$C$304,基础资料!$B$5))</f>
        <v/>
      </c>
      <c r="AH241" s="25" t="str">
        <f>IF(OR($B241="",基础资料!$B$6=""),"",SUMIFS(对接源_01水果筐数!$E$5:$E$304,对接源_01水果筐数!$B$5:$B$304,$B241,对接源_01水果筐数!$C$5:$C$304,基础资料!$B$6))</f>
        <v/>
      </c>
      <c r="AI241" s="25" t="str">
        <f>IF(OR($B241="",基础资料!$B$7=""),"",SUMIFS(对接源_01水果筐数!$E$5:$E$304,对接源_01水果筐数!$B$5:$B$304,$B241,对接源_01水果筐数!$C$5:$C$304,基础资料!$B$7))</f>
        <v/>
      </c>
      <c r="AJ241" s="25" t="str">
        <f>IF(OR($B241="",基础资料!$B$8=""),"",SUMIFS(对接源_01水果筐数!$E$5:$E$304,对接源_01水果筐数!$B$5:$B$304,$B241,对接源_01水果筐数!$C$5:$C$304,基础资料!$B$8))</f>
        <v/>
      </c>
      <c r="AK241" s="25" t="str">
        <f>IF(OR($B241="",基础资料!$B$4=""),"",SUMIFS(对接源_01水果筐数!$F$5:$F$304,对接源_01水果筐数!$B$5:$B$304,$B241,对接源_01水果筐数!$C$5:$C$304,基础资料!$B$4))</f>
        <v/>
      </c>
      <c r="AL241" s="25" t="str">
        <f>IF(OR($B241="",基础资料!$B$5=""),"",SUMIFS(对接源_01水果筐数!$F$5:$F$304,对接源_01水果筐数!$B$5:$B$304,$B241,对接源_01水果筐数!$C$5:$C$304,基础资料!$B$5))</f>
        <v/>
      </c>
      <c r="AM241" s="25" t="str">
        <f>IF(OR($B241="",基础资料!$B$6=""),"",SUMIFS(对接源_01水果筐数!$F$5:$F$304,对接源_01水果筐数!$B$5:$B$304,$B241,对接源_01水果筐数!$C$5:$C$304,基础资料!$B$6))</f>
        <v/>
      </c>
      <c r="AN241" s="25" t="str">
        <f>IF(OR($B241="",基础资料!$B$7=""),"",SUMIFS(对接源_01水果筐数!$F$5:$F$304,对接源_01水果筐数!$B$5:$B$304,$B241,对接源_01水果筐数!$C$5:$C$304,基础资料!$B$7))</f>
        <v/>
      </c>
      <c r="AO241" s="25" t="str">
        <f>IF(OR($B241="",基础资料!$B$8=""),"",SUMIFS(对接源_01水果筐数!$F$5:$F$304,对接源_01水果筐数!$B$5:$B$304,$B241,对接源_01水果筐数!$C$5:$C$304,基础资料!$B$8))</f>
        <v/>
      </c>
      <c r="AP241" s="25" t="str">
        <f t="shared" si="41"/>
        <v/>
      </c>
      <c r="AQ241" s="25" t="str">
        <f t="shared" si="42"/>
        <v/>
      </c>
      <c r="AR241" s="25" t="str">
        <f t="shared" si="43"/>
        <v/>
      </c>
      <c r="AS241" s="25" t="str">
        <f t="shared" si="44"/>
        <v/>
      </c>
      <c r="AT241" s="25" t="str">
        <f t="shared" si="45"/>
        <v/>
      </c>
      <c r="AU241" s="25" t="str">
        <f t="shared" si="46"/>
        <v/>
      </c>
      <c r="AV241" s="24" t="str">
        <f t="shared" si="47"/>
        <v/>
      </c>
      <c r="AW241" s="72"/>
    </row>
    <row r="242" spans="1:49">
      <c r="A242" s="22" t="str">
        <f t="shared" si="36"/>
        <v/>
      </c>
      <c r="B242" s="24" t="str">
        <f>IFERROR(INDEX(_自动清单!$CC$4:$CC$253,ROW()-3),"")</f>
        <v/>
      </c>
      <c r="C242" s="25" t="str">
        <f>IF(OR($B242="",基础资料!$B$4=""),"",SUMIFS(周转筐出入库明细!$J$4:$J$2004,周转筐出入库明细!$C$4:$C$2004,$B242,周转筐出入库明细!$D$4:$D$2004,基础资料!$B$4,周转筐出入库明细!$B$4:$B$2004,"&gt;="&amp;$BC$1,周转筐出入库明细!$B$4:$B$2004,"&lt;="&amp;$BC$2))</f>
        <v/>
      </c>
      <c r="D242" s="25" t="str">
        <f>IF(OR($B242="",基础资料!$B$5=""),"",SUMIFS(周转筐出入库明细!$J$4:$J$2004,周转筐出入库明细!$C$4:$C$2004,$B242,周转筐出入库明细!$D$4:$D$2004,基础资料!$B$5,周转筐出入库明细!$B$4:$B$2004,"&gt;="&amp;$BC$1,周转筐出入库明细!$B$4:$B$2004,"&lt;="&amp;$BC$2))</f>
        <v/>
      </c>
      <c r="E242" s="25" t="str">
        <f>IF(OR($B242="",基础资料!$B$6=""),"",SUMIFS(周转筐出入库明细!$J$4:$J$2004,周转筐出入库明细!$C$4:$C$2004,$B242,周转筐出入库明细!$D$4:$D$2004,基础资料!$B$6,周转筐出入库明细!$B$4:$B$2004,"&gt;="&amp;$BC$1,周转筐出入库明细!$B$4:$B$2004,"&lt;="&amp;$BC$2))</f>
        <v/>
      </c>
      <c r="F242" s="25" t="str">
        <f>IF(OR($B242="",基础资料!$B$7=""),"",SUMIFS(周转筐出入库明细!$J$4:$J$2004,周转筐出入库明细!$C$4:$C$2004,$B242,周转筐出入库明细!$D$4:$D$2004,基础资料!$B$7,周转筐出入库明细!$B$4:$B$2004,"&gt;="&amp;$BC$1,周转筐出入库明细!$B$4:$B$2004,"&lt;="&amp;$BC$2))</f>
        <v/>
      </c>
      <c r="G242" s="25" t="str">
        <f>IF(OR($B242="",基础资料!$B$8=""),"",SUMIFS(周转筐出入库明细!$J$4:$J$2004,周转筐出入库明细!$C$4:$C$2004,$B242,周转筐出入库明细!$D$4:$D$2004,基础资料!$B$8,周转筐出入库明细!$B$4:$B$2004,"&gt;="&amp;$BC$1,周转筐出入库明细!$B$4:$B$2004,"&lt;="&amp;$BC$2))</f>
        <v/>
      </c>
      <c r="H242" s="25" t="str">
        <f t="shared" si="37"/>
        <v/>
      </c>
      <c r="I242" s="67" t="str">
        <f>IF(OR($B242="",基础资料!$B$4=""),"",-SUMIFS(周转筐出入库明细!$I$4:$I$2004,周转筐出入库明细!$C$4:$C$2004,$B242,周转筐出入库明细!$D$4:$D$2004,基础资料!$B$4,周转筐出入库明细!$B$4:$B$2004,"&gt;="&amp;$BC$1,周转筐出入库明细!$B$4:$B$2004,"&lt;="&amp;$BC$2))</f>
        <v/>
      </c>
      <c r="J242" s="67" t="str">
        <f>IF(OR($B242="",基础资料!$B$5=""),"",-SUMIFS(周转筐出入库明细!$I$4:$I$2004,周转筐出入库明细!$C$4:$C$2004,$B242,周转筐出入库明细!$D$4:$D$2004,基础资料!$B$5,周转筐出入库明细!$B$4:$B$2004,"&gt;="&amp;$BC$1,周转筐出入库明细!$B$4:$B$2004,"&lt;="&amp;$BC$2))</f>
        <v/>
      </c>
      <c r="K242" s="67" t="str">
        <f>IF(OR($B242="",基础资料!$B$6=""),"",-SUMIFS(周转筐出入库明细!$I$4:$I$2004,周转筐出入库明细!$C$4:$C$2004,$B242,周转筐出入库明细!$D$4:$D$2004,基础资料!$B$6,周转筐出入库明细!$B$4:$B$2004,"&gt;="&amp;$BC$1,周转筐出入库明细!$B$4:$B$2004,"&lt;="&amp;$BC$2))</f>
        <v/>
      </c>
      <c r="L242" s="67" t="str">
        <f>IF(OR($B242="",基础资料!$B$7=""),"",-SUMIFS(周转筐出入库明细!$I$4:$I$2004,周转筐出入库明细!$C$4:$C$2004,$B242,周转筐出入库明细!$D$4:$D$2004,基础资料!$B$7,周转筐出入库明细!$B$4:$B$2004,"&gt;="&amp;$BC$1,周转筐出入库明细!$B$4:$B$2004,"&lt;="&amp;$BC$2))</f>
        <v/>
      </c>
      <c r="M242" s="67" t="str">
        <f>IF(OR($B242="",基础资料!$B$8=""),"",-SUMIFS(周转筐出入库明细!$I$4:$I$2004,周转筐出入库明细!$C$4:$C$2004,$B242,周转筐出入库明细!$D$4:$D$2004,基础资料!$B$8,周转筐出入库明细!$B$4:$B$2004,"&gt;="&amp;$BC$1,周转筐出入库明细!$B$4:$B$2004,"&lt;="&amp;$BC$2))</f>
        <v/>
      </c>
      <c r="N242" s="67" t="str">
        <f t="shared" si="38"/>
        <v/>
      </c>
      <c r="O242" s="25" t="str">
        <f>IF(OR($B242="",基础资料!$B$4=""),"",SUMIFS(周转筐出入库明细!$H$4:$H$2004,周转筐出入库明细!$C$4:$C$2004,$B242,周转筐出入库明细!$D$4:$D$2004,基础资料!$B$4,周转筐出入库明细!$F$4:$F$2004,"采购入库",周转筐出入库明细!$B$4:$B$2004,"&gt;="&amp;$BC$1,周转筐出入库明细!$B$4:$B$2004,"&lt;="&amp;$BC$2))</f>
        <v/>
      </c>
      <c r="P242" s="25" t="str">
        <f>IF(OR($B242="",基础资料!$B$5=""),"",SUMIFS(周转筐出入库明细!$H$4:$H$2004,周转筐出入库明细!$C$4:$C$2004,$B242,周转筐出入库明细!$D$4:$D$2004,基础资料!$B$5,周转筐出入库明细!$F$4:$F$2004,"采购入库",周转筐出入库明细!$B$4:$B$2004,"&gt;="&amp;$BC$1,周转筐出入库明细!$B$4:$B$2004,"&lt;="&amp;$BC$2))</f>
        <v/>
      </c>
      <c r="Q242" s="25" t="str">
        <f>IF(OR($B242="",基础资料!$B$6=""),"",SUMIFS(周转筐出入库明细!$H$4:$H$2004,周转筐出入库明细!$C$4:$C$2004,$B242,周转筐出入库明细!$D$4:$D$2004,基础资料!$B$6,周转筐出入库明细!$F$4:$F$2004,"采购入库",周转筐出入库明细!$B$4:$B$2004,"&gt;="&amp;$BC$1,周转筐出入库明细!$B$4:$B$2004,"&lt;="&amp;$BC$2))</f>
        <v/>
      </c>
      <c r="R242" s="25" t="str">
        <f>IF(OR($B242="",基础资料!$B$7=""),"",SUMIFS(周转筐出入库明细!$H$4:$H$2004,周转筐出入库明细!$C$4:$C$2004,$B242,周转筐出入库明细!$D$4:$D$2004,基础资料!$B$7,周转筐出入库明细!$F$4:$F$2004,"采购入库",周转筐出入库明细!$B$4:$B$2004,"&gt;="&amp;$BC$1,周转筐出入库明细!$B$4:$B$2004,"&lt;="&amp;$BC$2))</f>
        <v/>
      </c>
      <c r="S242" s="25" t="str">
        <f>IF(OR($B242="",基础资料!$B$8=""),"",SUMIFS(周转筐出入库明细!$H$4:$H$2004,周转筐出入库明细!$C$4:$C$2004,$B242,周转筐出入库明细!$D$4:$D$2004,基础资料!$B$8,周转筐出入库明细!$F$4:$F$2004,"采购入库",周转筐出入库明细!$B$4:$B$2004,"&gt;="&amp;$BC$1,周转筐出入库明细!$B$4:$B$2004,"&lt;="&amp;$BC$2))</f>
        <v/>
      </c>
      <c r="T242" s="25" t="str">
        <f t="shared" si="39"/>
        <v/>
      </c>
      <c r="U242" s="25" t="str">
        <f>IF(OR($B242="",基础资料!$B$4=""),"",SUMIFS(周转筐出入库明细!$K$4:$K$2004,周转筐出入库明细!$C$4:$C$2004,$B242,周转筐出入库明细!$D$4:$D$2004,基础资料!$B$4,周转筐出入库明细!$B$4:$B$2004,"&gt;="&amp;$BC$1,周转筐出入库明细!$B$4:$B$2004,"&lt;="&amp;$BC$2))</f>
        <v/>
      </c>
      <c r="V242" s="25" t="str">
        <f>IF(OR($B242="",基础资料!$B$5=""),"",SUMIFS(周转筐出入库明细!$K$4:$K$2004,周转筐出入库明细!$C$4:$C$2004,$B242,周转筐出入库明细!$D$4:$D$2004,基础资料!$B$5,周转筐出入库明细!$B$4:$B$2004,"&gt;="&amp;$BC$1,周转筐出入库明细!$B$4:$B$2004,"&lt;="&amp;$BC$2))</f>
        <v/>
      </c>
      <c r="W242" s="25" t="str">
        <f>IF(OR($B242="",基础资料!$B$6=""),"",SUMIFS(周转筐出入库明细!$K$4:$K$2004,周转筐出入库明细!$C$4:$C$2004,$B242,周转筐出入库明细!$D$4:$D$2004,基础资料!$B$6,周转筐出入库明细!$B$4:$B$2004,"&gt;="&amp;$BC$1,周转筐出入库明细!$B$4:$B$2004,"&lt;="&amp;$BC$2))</f>
        <v/>
      </c>
      <c r="X242" s="25" t="str">
        <f>IF(OR($B242="",基础资料!$B$7=""),"",SUMIFS(周转筐出入库明细!$K$4:$K$2004,周转筐出入库明细!$C$4:$C$2004,$B242,周转筐出入库明细!$D$4:$D$2004,基础资料!$B$7,周转筐出入库明细!$B$4:$B$2004,"&gt;="&amp;$BC$1,周转筐出入库明细!$B$4:$B$2004,"&lt;="&amp;$BC$2))</f>
        <v/>
      </c>
      <c r="Y242" s="25" t="str">
        <f>IF(OR($B242="",基础资料!$B$8=""),"",SUMIFS(周转筐出入库明细!$K$4:$K$2004,周转筐出入库明细!$C$4:$C$2004,$B242,周转筐出入库明细!$D$4:$D$2004,基础资料!$B$8,周转筐出入库明细!$B$4:$B$2004,"&gt;="&amp;$BC$1,周转筐出入库明细!$B$4:$B$2004,"&lt;="&amp;$BC$2))</f>
        <v/>
      </c>
      <c r="Z242" s="25" t="str">
        <f t="shared" si="40"/>
        <v/>
      </c>
      <c r="AA242" s="67" t="str">
        <f>IF(OR($B242="",基础资料!$B$4=""),"",-SUMIFS(对接源_01水果筐数!$D$5:$D$304,对接源_01水果筐数!$B$5:$B$304,$B242,对接源_01水果筐数!$C$5:$C$304,基础资料!$B$4))</f>
        <v/>
      </c>
      <c r="AB242" s="67" t="str">
        <f>IF(OR($B242="",基础资料!$B$5=""),"",-SUMIFS(对接源_01水果筐数!$D$5:$D$304,对接源_01水果筐数!$B$5:$B$304,$B242,对接源_01水果筐数!$C$5:$C$304,基础资料!$B$5))</f>
        <v/>
      </c>
      <c r="AC242" s="67" t="str">
        <f>IF(OR($B242="",基础资料!$B$6=""),"",-SUMIFS(对接源_01水果筐数!$D$5:$D$304,对接源_01水果筐数!$B$5:$B$304,$B242,对接源_01水果筐数!$C$5:$C$304,基础资料!$B$6))</f>
        <v/>
      </c>
      <c r="AD242" s="67" t="str">
        <f>IF(OR($B242="",基础资料!$B$7=""),"",-SUMIFS(对接源_01水果筐数!$D$5:$D$304,对接源_01水果筐数!$B$5:$B$304,$B242,对接源_01水果筐数!$C$5:$C$304,基础资料!$B$7))</f>
        <v/>
      </c>
      <c r="AE242" s="67" t="str">
        <f>IF(OR($B242="",基础资料!$B$8=""),"",-SUMIFS(对接源_01水果筐数!$D$5:$D$304,对接源_01水果筐数!$B$5:$B$304,$B242,对接源_01水果筐数!$C$5:$C$304,基础资料!$B$8))</f>
        <v/>
      </c>
      <c r="AF242" s="25" t="str">
        <f>IF(OR($B242="",基础资料!$B$4=""),"",SUMIFS(对接源_01水果筐数!$E$5:$E$304,对接源_01水果筐数!$B$5:$B$304,$B242,对接源_01水果筐数!$C$5:$C$304,基础资料!$B$4))</f>
        <v/>
      </c>
      <c r="AG242" s="25" t="str">
        <f>IF(OR($B242="",基础资料!$B$5=""),"",SUMIFS(对接源_01水果筐数!$E$5:$E$304,对接源_01水果筐数!$B$5:$B$304,$B242,对接源_01水果筐数!$C$5:$C$304,基础资料!$B$5))</f>
        <v/>
      </c>
      <c r="AH242" s="25" t="str">
        <f>IF(OR($B242="",基础资料!$B$6=""),"",SUMIFS(对接源_01水果筐数!$E$5:$E$304,对接源_01水果筐数!$B$5:$B$304,$B242,对接源_01水果筐数!$C$5:$C$304,基础资料!$B$6))</f>
        <v/>
      </c>
      <c r="AI242" s="25" t="str">
        <f>IF(OR($B242="",基础资料!$B$7=""),"",SUMIFS(对接源_01水果筐数!$E$5:$E$304,对接源_01水果筐数!$B$5:$B$304,$B242,对接源_01水果筐数!$C$5:$C$304,基础资料!$B$7))</f>
        <v/>
      </c>
      <c r="AJ242" s="25" t="str">
        <f>IF(OR($B242="",基础资料!$B$8=""),"",SUMIFS(对接源_01水果筐数!$E$5:$E$304,对接源_01水果筐数!$B$5:$B$304,$B242,对接源_01水果筐数!$C$5:$C$304,基础资料!$B$8))</f>
        <v/>
      </c>
      <c r="AK242" s="25" t="str">
        <f>IF(OR($B242="",基础资料!$B$4=""),"",SUMIFS(对接源_01水果筐数!$F$5:$F$304,对接源_01水果筐数!$B$5:$B$304,$B242,对接源_01水果筐数!$C$5:$C$304,基础资料!$B$4))</f>
        <v/>
      </c>
      <c r="AL242" s="25" t="str">
        <f>IF(OR($B242="",基础资料!$B$5=""),"",SUMIFS(对接源_01水果筐数!$F$5:$F$304,对接源_01水果筐数!$B$5:$B$304,$B242,对接源_01水果筐数!$C$5:$C$304,基础资料!$B$5))</f>
        <v/>
      </c>
      <c r="AM242" s="25" t="str">
        <f>IF(OR($B242="",基础资料!$B$6=""),"",SUMIFS(对接源_01水果筐数!$F$5:$F$304,对接源_01水果筐数!$B$5:$B$304,$B242,对接源_01水果筐数!$C$5:$C$304,基础资料!$B$6))</f>
        <v/>
      </c>
      <c r="AN242" s="25" t="str">
        <f>IF(OR($B242="",基础资料!$B$7=""),"",SUMIFS(对接源_01水果筐数!$F$5:$F$304,对接源_01水果筐数!$B$5:$B$304,$B242,对接源_01水果筐数!$C$5:$C$304,基础资料!$B$7))</f>
        <v/>
      </c>
      <c r="AO242" s="25" t="str">
        <f>IF(OR($B242="",基础资料!$B$8=""),"",SUMIFS(对接源_01水果筐数!$F$5:$F$304,对接源_01水果筐数!$B$5:$B$304,$B242,对接源_01水果筐数!$C$5:$C$304,基础资料!$B$8))</f>
        <v/>
      </c>
      <c r="AP242" s="25" t="str">
        <f t="shared" si="41"/>
        <v/>
      </c>
      <c r="AQ242" s="25" t="str">
        <f t="shared" si="42"/>
        <v/>
      </c>
      <c r="AR242" s="25" t="str">
        <f t="shared" si="43"/>
        <v/>
      </c>
      <c r="AS242" s="25" t="str">
        <f t="shared" si="44"/>
        <v/>
      </c>
      <c r="AT242" s="25" t="str">
        <f t="shared" si="45"/>
        <v/>
      </c>
      <c r="AU242" s="25" t="str">
        <f t="shared" si="46"/>
        <v/>
      </c>
      <c r="AV242" s="24" t="str">
        <f t="shared" si="47"/>
        <v/>
      </c>
      <c r="AW242" s="72"/>
    </row>
    <row r="243" spans="1:49">
      <c r="A243" s="22" t="str">
        <f t="shared" si="36"/>
        <v/>
      </c>
      <c r="B243" s="24" t="str">
        <f>IFERROR(INDEX(_自动清单!$CC$4:$CC$253,ROW()-3),"")</f>
        <v/>
      </c>
      <c r="C243" s="25" t="str">
        <f>IF(OR($B243="",基础资料!$B$4=""),"",SUMIFS(周转筐出入库明细!$J$4:$J$2004,周转筐出入库明细!$C$4:$C$2004,$B243,周转筐出入库明细!$D$4:$D$2004,基础资料!$B$4,周转筐出入库明细!$B$4:$B$2004,"&gt;="&amp;$BC$1,周转筐出入库明细!$B$4:$B$2004,"&lt;="&amp;$BC$2))</f>
        <v/>
      </c>
      <c r="D243" s="25" t="str">
        <f>IF(OR($B243="",基础资料!$B$5=""),"",SUMIFS(周转筐出入库明细!$J$4:$J$2004,周转筐出入库明细!$C$4:$C$2004,$B243,周转筐出入库明细!$D$4:$D$2004,基础资料!$B$5,周转筐出入库明细!$B$4:$B$2004,"&gt;="&amp;$BC$1,周转筐出入库明细!$B$4:$B$2004,"&lt;="&amp;$BC$2))</f>
        <v/>
      </c>
      <c r="E243" s="25" t="str">
        <f>IF(OR($B243="",基础资料!$B$6=""),"",SUMIFS(周转筐出入库明细!$J$4:$J$2004,周转筐出入库明细!$C$4:$C$2004,$B243,周转筐出入库明细!$D$4:$D$2004,基础资料!$B$6,周转筐出入库明细!$B$4:$B$2004,"&gt;="&amp;$BC$1,周转筐出入库明细!$B$4:$B$2004,"&lt;="&amp;$BC$2))</f>
        <v/>
      </c>
      <c r="F243" s="25" t="str">
        <f>IF(OR($B243="",基础资料!$B$7=""),"",SUMIFS(周转筐出入库明细!$J$4:$J$2004,周转筐出入库明细!$C$4:$C$2004,$B243,周转筐出入库明细!$D$4:$D$2004,基础资料!$B$7,周转筐出入库明细!$B$4:$B$2004,"&gt;="&amp;$BC$1,周转筐出入库明细!$B$4:$B$2004,"&lt;="&amp;$BC$2))</f>
        <v/>
      </c>
      <c r="G243" s="25" t="str">
        <f>IF(OR($B243="",基础资料!$B$8=""),"",SUMIFS(周转筐出入库明细!$J$4:$J$2004,周转筐出入库明细!$C$4:$C$2004,$B243,周转筐出入库明细!$D$4:$D$2004,基础资料!$B$8,周转筐出入库明细!$B$4:$B$2004,"&gt;="&amp;$BC$1,周转筐出入库明细!$B$4:$B$2004,"&lt;="&amp;$BC$2))</f>
        <v/>
      </c>
      <c r="H243" s="25" t="str">
        <f t="shared" si="37"/>
        <v/>
      </c>
      <c r="I243" s="67" t="str">
        <f>IF(OR($B243="",基础资料!$B$4=""),"",-SUMIFS(周转筐出入库明细!$I$4:$I$2004,周转筐出入库明细!$C$4:$C$2004,$B243,周转筐出入库明细!$D$4:$D$2004,基础资料!$B$4,周转筐出入库明细!$B$4:$B$2004,"&gt;="&amp;$BC$1,周转筐出入库明细!$B$4:$B$2004,"&lt;="&amp;$BC$2))</f>
        <v/>
      </c>
      <c r="J243" s="67" t="str">
        <f>IF(OR($B243="",基础资料!$B$5=""),"",-SUMIFS(周转筐出入库明细!$I$4:$I$2004,周转筐出入库明细!$C$4:$C$2004,$B243,周转筐出入库明细!$D$4:$D$2004,基础资料!$B$5,周转筐出入库明细!$B$4:$B$2004,"&gt;="&amp;$BC$1,周转筐出入库明细!$B$4:$B$2004,"&lt;="&amp;$BC$2))</f>
        <v/>
      </c>
      <c r="K243" s="67" t="str">
        <f>IF(OR($B243="",基础资料!$B$6=""),"",-SUMIFS(周转筐出入库明细!$I$4:$I$2004,周转筐出入库明细!$C$4:$C$2004,$B243,周转筐出入库明细!$D$4:$D$2004,基础资料!$B$6,周转筐出入库明细!$B$4:$B$2004,"&gt;="&amp;$BC$1,周转筐出入库明细!$B$4:$B$2004,"&lt;="&amp;$BC$2))</f>
        <v/>
      </c>
      <c r="L243" s="67" t="str">
        <f>IF(OR($B243="",基础资料!$B$7=""),"",-SUMIFS(周转筐出入库明细!$I$4:$I$2004,周转筐出入库明细!$C$4:$C$2004,$B243,周转筐出入库明细!$D$4:$D$2004,基础资料!$B$7,周转筐出入库明细!$B$4:$B$2004,"&gt;="&amp;$BC$1,周转筐出入库明细!$B$4:$B$2004,"&lt;="&amp;$BC$2))</f>
        <v/>
      </c>
      <c r="M243" s="67" t="str">
        <f>IF(OR($B243="",基础资料!$B$8=""),"",-SUMIFS(周转筐出入库明细!$I$4:$I$2004,周转筐出入库明细!$C$4:$C$2004,$B243,周转筐出入库明细!$D$4:$D$2004,基础资料!$B$8,周转筐出入库明细!$B$4:$B$2004,"&gt;="&amp;$BC$1,周转筐出入库明细!$B$4:$B$2004,"&lt;="&amp;$BC$2))</f>
        <v/>
      </c>
      <c r="N243" s="67" t="str">
        <f t="shared" si="38"/>
        <v/>
      </c>
      <c r="O243" s="25" t="str">
        <f>IF(OR($B243="",基础资料!$B$4=""),"",SUMIFS(周转筐出入库明细!$H$4:$H$2004,周转筐出入库明细!$C$4:$C$2004,$B243,周转筐出入库明细!$D$4:$D$2004,基础资料!$B$4,周转筐出入库明细!$F$4:$F$2004,"采购入库",周转筐出入库明细!$B$4:$B$2004,"&gt;="&amp;$BC$1,周转筐出入库明细!$B$4:$B$2004,"&lt;="&amp;$BC$2))</f>
        <v/>
      </c>
      <c r="P243" s="25" t="str">
        <f>IF(OR($B243="",基础资料!$B$5=""),"",SUMIFS(周转筐出入库明细!$H$4:$H$2004,周转筐出入库明细!$C$4:$C$2004,$B243,周转筐出入库明细!$D$4:$D$2004,基础资料!$B$5,周转筐出入库明细!$F$4:$F$2004,"采购入库",周转筐出入库明细!$B$4:$B$2004,"&gt;="&amp;$BC$1,周转筐出入库明细!$B$4:$B$2004,"&lt;="&amp;$BC$2))</f>
        <v/>
      </c>
      <c r="Q243" s="25" t="str">
        <f>IF(OR($B243="",基础资料!$B$6=""),"",SUMIFS(周转筐出入库明细!$H$4:$H$2004,周转筐出入库明细!$C$4:$C$2004,$B243,周转筐出入库明细!$D$4:$D$2004,基础资料!$B$6,周转筐出入库明细!$F$4:$F$2004,"采购入库",周转筐出入库明细!$B$4:$B$2004,"&gt;="&amp;$BC$1,周转筐出入库明细!$B$4:$B$2004,"&lt;="&amp;$BC$2))</f>
        <v/>
      </c>
      <c r="R243" s="25" t="str">
        <f>IF(OR($B243="",基础资料!$B$7=""),"",SUMIFS(周转筐出入库明细!$H$4:$H$2004,周转筐出入库明细!$C$4:$C$2004,$B243,周转筐出入库明细!$D$4:$D$2004,基础资料!$B$7,周转筐出入库明细!$F$4:$F$2004,"采购入库",周转筐出入库明细!$B$4:$B$2004,"&gt;="&amp;$BC$1,周转筐出入库明细!$B$4:$B$2004,"&lt;="&amp;$BC$2))</f>
        <v/>
      </c>
      <c r="S243" s="25" t="str">
        <f>IF(OR($B243="",基础资料!$B$8=""),"",SUMIFS(周转筐出入库明细!$H$4:$H$2004,周转筐出入库明细!$C$4:$C$2004,$B243,周转筐出入库明细!$D$4:$D$2004,基础资料!$B$8,周转筐出入库明细!$F$4:$F$2004,"采购入库",周转筐出入库明细!$B$4:$B$2004,"&gt;="&amp;$BC$1,周转筐出入库明细!$B$4:$B$2004,"&lt;="&amp;$BC$2))</f>
        <v/>
      </c>
      <c r="T243" s="25" t="str">
        <f t="shared" si="39"/>
        <v/>
      </c>
      <c r="U243" s="25" t="str">
        <f>IF(OR($B243="",基础资料!$B$4=""),"",SUMIFS(周转筐出入库明细!$K$4:$K$2004,周转筐出入库明细!$C$4:$C$2004,$B243,周转筐出入库明细!$D$4:$D$2004,基础资料!$B$4,周转筐出入库明细!$B$4:$B$2004,"&gt;="&amp;$BC$1,周转筐出入库明细!$B$4:$B$2004,"&lt;="&amp;$BC$2))</f>
        <v/>
      </c>
      <c r="V243" s="25" t="str">
        <f>IF(OR($B243="",基础资料!$B$5=""),"",SUMIFS(周转筐出入库明细!$K$4:$K$2004,周转筐出入库明细!$C$4:$C$2004,$B243,周转筐出入库明细!$D$4:$D$2004,基础资料!$B$5,周转筐出入库明细!$B$4:$B$2004,"&gt;="&amp;$BC$1,周转筐出入库明细!$B$4:$B$2004,"&lt;="&amp;$BC$2))</f>
        <v/>
      </c>
      <c r="W243" s="25" t="str">
        <f>IF(OR($B243="",基础资料!$B$6=""),"",SUMIFS(周转筐出入库明细!$K$4:$K$2004,周转筐出入库明细!$C$4:$C$2004,$B243,周转筐出入库明细!$D$4:$D$2004,基础资料!$B$6,周转筐出入库明细!$B$4:$B$2004,"&gt;="&amp;$BC$1,周转筐出入库明细!$B$4:$B$2004,"&lt;="&amp;$BC$2))</f>
        <v/>
      </c>
      <c r="X243" s="25" t="str">
        <f>IF(OR($B243="",基础资料!$B$7=""),"",SUMIFS(周转筐出入库明细!$K$4:$K$2004,周转筐出入库明细!$C$4:$C$2004,$B243,周转筐出入库明细!$D$4:$D$2004,基础资料!$B$7,周转筐出入库明细!$B$4:$B$2004,"&gt;="&amp;$BC$1,周转筐出入库明细!$B$4:$B$2004,"&lt;="&amp;$BC$2))</f>
        <v/>
      </c>
      <c r="Y243" s="25" t="str">
        <f>IF(OR($B243="",基础资料!$B$8=""),"",SUMIFS(周转筐出入库明细!$K$4:$K$2004,周转筐出入库明细!$C$4:$C$2004,$B243,周转筐出入库明细!$D$4:$D$2004,基础资料!$B$8,周转筐出入库明细!$B$4:$B$2004,"&gt;="&amp;$BC$1,周转筐出入库明细!$B$4:$B$2004,"&lt;="&amp;$BC$2))</f>
        <v/>
      </c>
      <c r="Z243" s="25" t="str">
        <f t="shared" si="40"/>
        <v/>
      </c>
      <c r="AA243" s="67" t="str">
        <f>IF(OR($B243="",基础资料!$B$4=""),"",-SUMIFS(对接源_01水果筐数!$D$5:$D$304,对接源_01水果筐数!$B$5:$B$304,$B243,对接源_01水果筐数!$C$5:$C$304,基础资料!$B$4))</f>
        <v/>
      </c>
      <c r="AB243" s="67" t="str">
        <f>IF(OR($B243="",基础资料!$B$5=""),"",-SUMIFS(对接源_01水果筐数!$D$5:$D$304,对接源_01水果筐数!$B$5:$B$304,$B243,对接源_01水果筐数!$C$5:$C$304,基础资料!$B$5))</f>
        <v/>
      </c>
      <c r="AC243" s="67" t="str">
        <f>IF(OR($B243="",基础资料!$B$6=""),"",-SUMIFS(对接源_01水果筐数!$D$5:$D$304,对接源_01水果筐数!$B$5:$B$304,$B243,对接源_01水果筐数!$C$5:$C$304,基础资料!$B$6))</f>
        <v/>
      </c>
      <c r="AD243" s="67" t="str">
        <f>IF(OR($B243="",基础资料!$B$7=""),"",-SUMIFS(对接源_01水果筐数!$D$5:$D$304,对接源_01水果筐数!$B$5:$B$304,$B243,对接源_01水果筐数!$C$5:$C$304,基础资料!$B$7))</f>
        <v/>
      </c>
      <c r="AE243" s="67" t="str">
        <f>IF(OR($B243="",基础资料!$B$8=""),"",-SUMIFS(对接源_01水果筐数!$D$5:$D$304,对接源_01水果筐数!$B$5:$B$304,$B243,对接源_01水果筐数!$C$5:$C$304,基础资料!$B$8))</f>
        <v/>
      </c>
      <c r="AF243" s="25" t="str">
        <f>IF(OR($B243="",基础资料!$B$4=""),"",SUMIFS(对接源_01水果筐数!$E$5:$E$304,对接源_01水果筐数!$B$5:$B$304,$B243,对接源_01水果筐数!$C$5:$C$304,基础资料!$B$4))</f>
        <v/>
      </c>
      <c r="AG243" s="25" t="str">
        <f>IF(OR($B243="",基础资料!$B$5=""),"",SUMIFS(对接源_01水果筐数!$E$5:$E$304,对接源_01水果筐数!$B$5:$B$304,$B243,对接源_01水果筐数!$C$5:$C$304,基础资料!$B$5))</f>
        <v/>
      </c>
      <c r="AH243" s="25" t="str">
        <f>IF(OR($B243="",基础资料!$B$6=""),"",SUMIFS(对接源_01水果筐数!$E$5:$E$304,对接源_01水果筐数!$B$5:$B$304,$B243,对接源_01水果筐数!$C$5:$C$304,基础资料!$B$6))</f>
        <v/>
      </c>
      <c r="AI243" s="25" t="str">
        <f>IF(OR($B243="",基础资料!$B$7=""),"",SUMIFS(对接源_01水果筐数!$E$5:$E$304,对接源_01水果筐数!$B$5:$B$304,$B243,对接源_01水果筐数!$C$5:$C$304,基础资料!$B$7))</f>
        <v/>
      </c>
      <c r="AJ243" s="25" t="str">
        <f>IF(OR($B243="",基础资料!$B$8=""),"",SUMIFS(对接源_01水果筐数!$E$5:$E$304,对接源_01水果筐数!$B$5:$B$304,$B243,对接源_01水果筐数!$C$5:$C$304,基础资料!$B$8))</f>
        <v/>
      </c>
      <c r="AK243" s="25" t="str">
        <f>IF(OR($B243="",基础资料!$B$4=""),"",SUMIFS(对接源_01水果筐数!$F$5:$F$304,对接源_01水果筐数!$B$5:$B$304,$B243,对接源_01水果筐数!$C$5:$C$304,基础资料!$B$4))</f>
        <v/>
      </c>
      <c r="AL243" s="25" t="str">
        <f>IF(OR($B243="",基础资料!$B$5=""),"",SUMIFS(对接源_01水果筐数!$F$5:$F$304,对接源_01水果筐数!$B$5:$B$304,$B243,对接源_01水果筐数!$C$5:$C$304,基础资料!$B$5))</f>
        <v/>
      </c>
      <c r="AM243" s="25" t="str">
        <f>IF(OR($B243="",基础资料!$B$6=""),"",SUMIFS(对接源_01水果筐数!$F$5:$F$304,对接源_01水果筐数!$B$5:$B$304,$B243,对接源_01水果筐数!$C$5:$C$304,基础资料!$B$6))</f>
        <v/>
      </c>
      <c r="AN243" s="25" t="str">
        <f>IF(OR($B243="",基础资料!$B$7=""),"",SUMIFS(对接源_01水果筐数!$F$5:$F$304,对接源_01水果筐数!$B$5:$B$304,$B243,对接源_01水果筐数!$C$5:$C$304,基础资料!$B$7))</f>
        <v/>
      </c>
      <c r="AO243" s="25" t="str">
        <f>IF(OR($B243="",基础资料!$B$8=""),"",SUMIFS(对接源_01水果筐数!$F$5:$F$304,对接源_01水果筐数!$B$5:$B$304,$B243,对接源_01水果筐数!$C$5:$C$304,基础资料!$B$8))</f>
        <v/>
      </c>
      <c r="AP243" s="25" t="str">
        <f t="shared" si="41"/>
        <v/>
      </c>
      <c r="AQ243" s="25" t="str">
        <f t="shared" si="42"/>
        <v/>
      </c>
      <c r="AR243" s="25" t="str">
        <f t="shared" si="43"/>
        <v/>
      </c>
      <c r="AS243" s="25" t="str">
        <f t="shared" si="44"/>
        <v/>
      </c>
      <c r="AT243" s="25" t="str">
        <f t="shared" si="45"/>
        <v/>
      </c>
      <c r="AU243" s="25" t="str">
        <f t="shared" si="46"/>
        <v/>
      </c>
      <c r="AV243" s="24" t="str">
        <f t="shared" si="47"/>
        <v/>
      </c>
      <c r="AW243" s="72"/>
    </row>
    <row r="244" spans="1:49">
      <c r="A244" s="22" t="str">
        <f t="shared" si="36"/>
        <v/>
      </c>
      <c r="B244" s="24" t="str">
        <f>IFERROR(INDEX(_自动清单!$CC$4:$CC$253,ROW()-3),"")</f>
        <v/>
      </c>
      <c r="C244" s="25" t="str">
        <f>IF(OR($B244="",基础资料!$B$4=""),"",SUMIFS(周转筐出入库明细!$J$4:$J$2004,周转筐出入库明细!$C$4:$C$2004,$B244,周转筐出入库明细!$D$4:$D$2004,基础资料!$B$4,周转筐出入库明细!$B$4:$B$2004,"&gt;="&amp;$BC$1,周转筐出入库明细!$B$4:$B$2004,"&lt;="&amp;$BC$2))</f>
        <v/>
      </c>
      <c r="D244" s="25" t="str">
        <f>IF(OR($B244="",基础资料!$B$5=""),"",SUMIFS(周转筐出入库明细!$J$4:$J$2004,周转筐出入库明细!$C$4:$C$2004,$B244,周转筐出入库明细!$D$4:$D$2004,基础资料!$B$5,周转筐出入库明细!$B$4:$B$2004,"&gt;="&amp;$BC$1,周转筐出入库明细!$B$4:$B$2004,"&lt;="&amp;$BC$2))</f>
        <v/>
      </c>
      <c r="E244" s="25" t="str">
        <f>IF(OR($B244="",基础资料!$B$6=""),"",SUMIFS(周转筐出入库明细!$J$4:$J$2004,周转筐出入库明细!$C$4:$C$2004,$B244,周转筐出入库明细!$D$4:$D$2004,基础资料!$B$6,周转筐出入库明细!$B$4:$B$2004,"&gt;="&amp;$BC$1,周转筐出入库明细!$B$4:$B$2004,"&lt;="&amp;$BC$2))</f>
        <v/>
      </c>
      <c r="F244" s="25" t="str">
        <f>IF(OR($B244="",基础资料!$B$7=""),"",SUMIFS(周转筐出入库明细!$J$4:$J$2004,周转筐出入库明细!$C$4:$C$2004,$B244,周转筐出入库明细!$D$4:$D$2004,基础资料!$B$7,周转筐出入库明细!$B$4:$B$2004,"&gt;="&amp;$BC$1,周转筐出入库明细!$B$4:$B$2004,"&lt;="&amp;$BC$2))</f>
        <v/>
      </c>
      <c r="G244" s="25" t="str">
        <f>IF(OR($B244="",基础资料!$B$8=""),"",SUMIFS(周转筐出入库明细!$J$4:$J$2004,周转筐出入库明细!$C$4:$C$2004,$B244,周转筐出入库明细!$D$4:$D$2004,基础资料!$B$8,周转筐出入库明细!$B$4:$B$2004,"&gt;="&amp;$BC$1,周转筐出入库明细!$B$4:$B$2004,"&lt;="&amp;$BC$2))</f>
        <v/>
      </c>
      <c r="H244" s="25" t="str">
        <f t="shared" si="37"/>
        <v/>
      </c>
      <c r="I244" s="67" t="str">
        <f>IF(OR($B244="",基础资料!$B$4=""),"",-SUMIFS(周转筐出入库明细!$I$4:$I$2004,周转筐出入库明细!$C$4:$C$2004,$B244,周转筐出入库明细!$D$4:$D$2004,基础资料!$B$4,周转筐出入库明细!$B$4:$B$2004,"&gt;="&amp;$BC$1,周转筐出入库明细!$B$4:$B$2004,"&lt;="&amp;$BC$2))</f>
        <v/>
      </c>
      <c r="J244" s="67" t="str">
        <f>IF(OR($B244="",基础资料!$B$5=""),"",-SUMIFS(周转筐出入库明细!$I$4:$I$2004,周转筐出入库明细!$C$4:$C$2004,$B244,周转筐出入库明细!$D$4:$D$2004,基础资料!$B$5,周转筐出入库明细!$B$4:$B$2004,"&gt;="&amp;$BC$1,周转筐出入库明细!$B$4:$B$2004,"&lt;="&amp;$BC$2))</f>
        <v/>
      </c>
      <c r="K244" s="67" t="str">
        <f>IF(OR($B244="",基础资料!$B$6=""),"",-SUMIFS(周转筐出入库明细!$I$4:$I$2004,周转筐出入库明细!$C$4:$C$2004,$B244,周转筐出入库明细!$D$4:$D$2004,基础资料!$B$6,周转筐出入库明细!$B$4:$B$2004,"&gt;="&amp;$BC$1,周转筐出入库明细!$B$4:$B$2004,"&lt;="&amp;$BC$2))</f>
        <v/>
      </c>
      <c r="L244" s="67" t="str">
        <f>IF(OR($B244="",基础资料!$B$7=""),"",-SUMIFS(周转筐出入库明细!$I$4:$I$2004,周转筐出入库明细!$C$4:$C$2004,$B244,周转筐出入库明细!$D$4:$D$2004,基础资料!$B$7,周转筐出入库明细!$B$4:$B$2004,"&gt;="&amp;$BC$1,周转筐出入库明细!$B$4:$B$2004,"&lt;="&amp;$BC$2))</f>
        <v/>
      </c>
      <c r="M244" s="67" t="str">
        <f>IF(OR($B244="",基础资料!$B$8=""),"",-SUMIFS(周转筐出入库明细!$I$4:$I$2004,周转筐出入库明细!$C$4:$C$2004,$B244,周转筐出入库明细!$D$4:$D$2004,基础资料!$B$8,周转筐出入库明细!$B$4:$B$2004,"&gt;="&amp;$BC$1,周转筐出入库明细!$B$4:$B$2004,"&lt;="&amp;$BC$2))</f>
        <v/>
      </c>
      <c r="N244" s="67" t="str">
        <f t="shared" si="38"/>
        <v/>
      </c>
      <c r="O244" s="25" t="str">
        <f>IF(OR($B244="",基础资料!$B$4=""),"",SUMIFS(周转筐出入库明细!$H$4:$H$2004,周转筐出入库明细!$C$4:$C$2004,$B244,周转筐出入库明细!$D$4:$D$2004,基础资料!$B$4,周转筐出入库明细!$F$4:$F$2004,"采购入库",周转筐出入库明细!$B$4:$B$2004,"&gt;="&amp;$BC$1,周转筐出入库明细!$B$4:$B$2004,"&lt;="&amp;$BC$2))</f>
        <v/>
      </c>
      <c r="P244" s="25" t="str">
        <f>IF(OR($B244="",基础资料!$B$5=""),"",SUMIFS(周转筐出入库明细!$H$4:$H$2004,周转筐出入库明细!$C$4:$C$2004,$B244,周转筐出入库明细!$D$4:$D$2004,基础资料!$B$5,周转筐出入库明细!$F$4:$F$2004,"采购入库",周转筐出入库明细!$B$4:$B$2004,"&gt;="&amp;$BC$1,周转筐出入库明细!$B$4:$B$2004,"&lt;="&amp;$BC$2))</f>
        <v/>
      </c>
      <c r="Q244" s="25" t="str">
        <f>IF(OR($B244="",基础资料!$B$6=""),"",SUMIFS(周转筐出入库明细!$H$4:$H$2004,周转筐出入库明细!$C$4:$C$2004,$B244,周转筐出入库明细!$D$4:$D$2004,基础资料!$B$6,周转筐出入库明细!$F$4:$F$2004,"采购入库",周转筐出入库明细!$B$4:$B$2004,"&gt;="&amp;$BC$1,周转筐出入库明细!$B$4:$B$2004,"&lt;="&amp;$BC$2))</f>
        <v/>
      </c>
      <c r="R244" s="25" t="str">
        <f>IF(OR($B244="",基础资料!$B$7=""),"",SUMIFS(周转筐出入库明细!$H$4:$H$2004,周转筐出入库明细!$C$4:$C$2004,$B244,周转筐出入库明细!$D$4:$D$2004,基础资料!$B$7,周转筐出入库明细!$F$4:$F$2004,"采购入库",周转筐出入库明细!$B$4:$B$2004,"&gt;="&amp;$BC$1,周转筐出入库明细!$B$4:$B$2004,"&lt;="&amp;$BC$2))</f>
        <v/>
      </c>
      <c r="S244" s="25" t="str">
        <f>IF(OR($B244="",基础资料!$B$8=""),"",SUMIFS(周转筐出入库明细!$H$4:$H$2004,周转筐出入库明细!$C$4:$C$2004,$B244,周转筐出入库明细!$D$4:$D$2004,基础资料!$B$8,周转筐出入库明细!$F$4:$F$2004,"采购入库",周转筐出入库明细!$B$4:$B$2004,"&gt;="&amp;$BC$1,周转筐出入库明细!$B$4:$B$2004,"&lt;="&amp;$BC$2))</f>
        <v/>
      </c>
      <c r="T244" s="25" t="str">
        <f t="shared" si="39"/>
        <v/>
      </c>
      <c r="U244" s="25" t="str">
        <f>IF(OR($B244="",基础资料!$B$4=""),"",SUMIFS(周转筐出入库明细!$K$4:$K$2004,周转筐出入库明细!$C$4:$C$2004,$B244,周转筐出入库明细!$D$4:$D$2004,基础资料!$B$4,周转筐出入库明细!$B$4:$B$2004,"&gt;="&amp;$BC$1,周转筐出入库明细!$B$4:$B$2004,"&lt;="&amp;$BC$2))</f>
        <v/>
      </c>
      <c r="V244" s="25" t="str">
        <f>IF(OR($B244="",基础资料!$B$5=""),"",SUMIFS(周转筐出入库明细!$K$4:$K$2004,周转筐出入库明细!$C$4:$C$2004,$B244,周转筐出入库明细!$D$4:$D$2004,基础资料!$B$5,周转筐出入库明细!$B$4:$B$2004,"&gt;="&amp;$BC$1,周转筐出入库明细!$B$4:$B$2004,"&lt;="&amp;$BC$2))</f>
        <v/>
      </c>
      <c r="W244" s="25" t="str">
        <f>IF(OR($B244="",基础资料!$B$6=""),"",SUMIFS(周转筐出入库明细!$K$4:$K$2004,周转筐出入库明细!$C$4:$C$2004,$B244,周转筐出入库明细!$D$4:$D$2004,基础资料!$B$6,周转筐出入库明细!$B$4:$B$2004,"&gt;="&amp;$BC$1,周转筐出入库明细!$B$4:$B$2004,"&lt;="&amp;$BC$2))</f>
        <v/>
      </c>
      <c r="X244" s="25" t="str">
        <f>IF(OR($B244="",基础资料!$B$7=""),"",SUMIFS(周转筐出入库明细!$K$4:$K$2004,周转筐出入库明细!$C$4:$C$2004,$B244,周转筐出入库明细!$D$4:$D$2004,基础资料!$B$7,周转筐出入库明细!$B$4:$B$2004,"&gt;="&amp;$BC$1,周转筐出入库明细!$B$4:$B$2004,"&lt;="&amp;$BC$2))</f>
        <v/>
      </c>
      <c r="Y244" s="25" t="str">
        <f>IF(OR($B244="",基础资料!$B$8=""),"",SUMIFS(周转筐出入库明细!$K$4:$K$2004,周转筐出入库明细!$C$4:$C$2004,$B244,周转筐出入库明细!$D$4:$D$2004,基础资料!$B$8,周转筐出入库明细!$B$4:$B$2004,"&gt;="&amp;$BC$1,周转筐出入库明细!$B$4:$B$2004,"&lt;="&amp;$BC$2))</f>
        <v/>
      </c>
      <c r="Z244" s="25" t="str">
        <f t="shared" si="40"/>
        <v/>
      </c>
      <c r="AA244" s="67" t="str">
        <f>IF(OR($B244="",基础资料!$B$4=""),"",-SUMIFS(对接源_01水果筐数!$D$5:$D$304,对接源_01水果筐数!$B$5:$B$304,$B244,对接源_01水果筐数!$C$5:$C$304,基础资料!$B$4))</f>
        <v/>
      </c>
      <c r="AB244" s="67" t="str">
        <f>IF(OR($B244="",基础资料!$B$5=""),"",-SUMIFS(对接源_01水果筐数!$D$5:$D$304,对接源_01水果筐数!$B$5:$B$304,$B244,对接源_01水果筐数!$C$5:$C$304,基础资料!$B$5))</f>
        <v/>
      </c>
      <c r="AC244" s="67" t="str">
        <f>IF(OR($B244="",基础资料!$B$6=""),"",-SUMIFS(对接源_01水果筐数!$D$5:$D$304,对接源_01水果筐数!$B$5:$B$304,$B244,对接源_01水果筐数!$C$5:$C$304,基础资料!$B$6))</f>
        <v/>
      </c>
      <c r="AD244" s="67" t="str">
        <f>IF(OR($B244="",基础资料!$B$7=""),"",-SUMIFS(对接源_01水果筐数!$D$5:$D$304,对接源_01水果筐数!$B$5:$B$304,$B244,对接源_01水果筐数!$C$5:$C$304,基础资料!$B$7))</f>
        <v/>
      </c>
      <c r="AE244" s="67" t="str">
        <f>IF(OR($B244="",基础资料!$B$8=""),"",-SUMIFS(对接源_01水果筐数!$D$5:$D$304,对接源_01水果筐数!$B$5:$B$304,$B244,对接源_01水果筐数!$C$5:$C$304,基础资料!$B$8))</f>
        <v/>
      </c>
      <c r="AF244" s="25" t="str">
        <f>IF(OR($B244="",基础资料!$B$4=""),"",SUMIFS(对接源_01水果筐数!$E$5:$E$304,对接源_01水果筐数!$B$5:$B$304,$B244,对接源_01水果筐数!$C$5:$C$304,基础资料!$B$4))</f>
        <v/>
      </c>
      <c r="AG244" s="25" t="str">
        <f>IF(OR($B244="",基础资料!$B$5=""),"",SUMIFS(对接源_01水果筐数!$E$5:$E$304,对接源_01水果筐数!$B$5:$B$304,$B244,对接源_01水果筐数!$C$5:$C$304,基础资料!$B$5))</f>
        <v/>
      </c>
      <c r="AH244" s="25" t="str">
        <f>IF(OR($B244="",基础资料!$B$6=""),"",SUMIFS(对接源_01水果筐数!$E$5:$E$304,对接源_01水果筐数!$B$5:$B$304,$B244,对接源_01水果筐数!$C$5:$C$304,基础资料!$B$6))</f>
        <v/>
      </c>
      <c r="AI244" s="25" t="str">
        <f>IF(OR($B244="",基础资料!$B$7=""),"",SUMIFS(对接源_01水果筐数!$E$5:$E$304,对接源_01水果筐数!$B$5:$B$304,$B244,对接源_01水果筐数!$C$5:$C$304,基础资料!$B$7))</f>
        <v/>
      </c>
      <c r="AJ244" s="25" t="str">
        <f>IF(OR($B244="",基础资料!$B$8=""),"",SUMIFS(对接源_01水果筐数!$E$5:$E$304,对接源_01水果筐数!$B$5:$B$304,$B244,对接源_01水果筐数!$C$5:$C$304,基础资料!$B$8))</f>
        <v/>
      </c>
      <c r="AK244" s="25" t="str">
        <f>IF(OR($B244="",基础资料!$B$4=""),"",SUMIFS(对接源_01水果筐数!$F$5:$F$304,对接源_01水果筐数!$B$5:$B$304,$B244,对接源_01水果筐数!$C$5:$C$304,基础资料!$B$4))</f>
        <v/>
      </c>
      <c r="AL244" s="25" t="str">
        <f>IF(OR($B244="",基础资料!$B$5=""),"",SUMIFS(对接源_01水果筐数!$F$5:$F$304,对接源_01水果筐数!$B$5:$B$304,$B244,对接源_01水果筐数!$C$5:$C$304,基础资料!$B$5))</f>
        <v/>
      </c>
      <c r="AM244" s="25" t="str">
        <f>IF(OR($B244="",基础资料!$B$6=""),"",SUMIFS(对接源_01水果筐数!$F$5:$F$304,对接源_01水果筐数!$B$5:$B$304,$B244,对接源_01水果筐数!$C$5:$C$304,基础资料!$B$6))</f>
        <v/>
      </c>
      <c r="AN244" s="25" t="str">
        <f>IF(OR($B244="",基础资料!$B$7=""),"",SUMIFS(对接源_01水果筐数!$F$5:$F$304,对接源_01水果筐数!$B$5:$B$304,$B244,对接源_01水果筐数!$C$5:$C$304,基础资料!$B$7))</f>
        <v/>
      </c>
      <c r="AO244" s="25" t="str">
        <f>IF(OR($B244="",基础资料!$B$8=""),"",SUMIFS(对接源_01水果筐数!$F$5:$F$304,对接源_01水果筐数!$B$5:$B$304,$B244,对接源_01水果筐数!$C$5:$C$304,基础资料!$B$8))</f>
        <v/>
      </c>
      <c r="AP244" s="25" t="str">
        <f t="shared" si="41"/>
        <v/>
      </c>
      <c r="AQ244" s="25" t="str">
        <f t="shared" si="42"/>
        <v/>
      </c>
      <c r="AR244" s="25" t="str">
        <f t="shared" si="43"/>
        <v/>
      </c>
      <c r="AS244" s="25" t="str">
        <f t="shared" si="44"/>
        <v/>
      </c>
      <c r="AT244" s="25" t="str">
        <f t="shared" si="45"/>
        <v/>
      </c>
      <c r="AU244" s="25" t="str">
        <f t="shared" si="46"/>
        <v/>
      </c>
      <c r="AV244" s="24" t="str">
        <f t="shared" si="47"/>
        <v/>
      </c>
      <c r="AW244" s="72"/>
    </row>
    <row r="245" spans="1:49">
      <c r="A245" s="22" t="str">
        <f t="shared" si="36"/>
        <v/>
      </c>
      <c r="B245" s="24" t="str">
        <f>IFERROR(INDEX(_自动清单!$CC$4:$CC$253,ROW()-3),"")</f>
        <v/>
      </c>
      <c r="C245" s="25" t="str">
        <f>IF(OR($B245="",基础资料!$B$4=""),"",SUMIFS(周转筐出入库明细!$J$4:$J$2004,周转筐出入库明细!$C$4:$C$2004,$B245,周转筐出入库明细!$D$4:$D$2004,基础资料!$B$4,周转筐出入库明细!$B$4:$B$2004,"&gt;="&amp;$BC$1,周转筐出入库明细!$B$4:$B$2004,"&lt;="&amp;$BC$2))</f>
        <v/>
      </c>
      <c r="D245" s="25" t="str">
        <f>IF(OR($B245="",基础资料!$B$5=""),"",SUMIFS(周转筐出入库明细!$J$4:$J$2004,周转筐出入库明细!$C$4:$C$2004,$B245,周转筐出入库明细!$D$4:$D$2004,基础资料!$B$5,周转筐出入库明细!$B$4:$B$2004,"&gt;="&amp;$BC$1,周转筐出入库明细!$B$4:$B$2004,"&lt;="&amp;$BC$2))</f>
        <v/>
      </c>
      <c r="E245" s="25" t="str">
        <f>IF(OR($B245="",基础资料!$B$6=""),"",SUMIFS(周转筐出入库明细!$J$4:$J$2004,周转筐出入库明细!$C$4:$C$2004,$B245,周转筐出入库明细!$D$4:$D$2004,基础资料!$B$6,周转筐出入库明细!$B$4:$B$2004,"&gt;="&amp;$BC$1,周转筐出入库明细!$B$4:$B$2004,"&lt;="&amp;$BC$2))</f>
        <v/>
      </c>
      <c r="F245" s="25" t="str">
        <f>IF(OR($B245="",基础资料!$B$7=""),"",SUMIFS(周转筐出入库明细!$J$4:$J$2004,周转筐出入库明细!$C$4:$C$2004,$B245,周转筐出入库明细!$D$4:$D$2004,基础资料!$B$7,周转筐出入库明细!$B$4:$B$2004,"&gt;="&amp;$BC$1,周转筐出入库明细!$B$4:$B$2004,"&lt;="&amp;$BC$2))</f>
        <v/>
      </c>
      <c r="G245" s="25" t="str">
        <f>IF(OR($B245="",基础资料!$B$8=""),"",SUMIFS(周转筐出入库明细!$J$4:$J$2004,周转筐出入库明细!$C$4:$C$2004,$B245,周转筐出入库明细!$D$4:$D$2004,基础资料!$B$8,周转筐出入库明细!$B$4:$B$2004,"&gt;="&amp;$BC$1,周转筐出入库明细!$B$4:$B$2004,"&lt;="&amp;$BC$2))</f>
        <v/>
      </c>
      <c r="H245" s="25" t="str">
        <f t="shared" si="37"/>
        <v/>
      </c>
      <c r="I245" s="67" t="str">
        <f>IF(OR($B245="",基础资料!$B$4=""),"",-SUMIFS(周转筐出入库明细!$I$4:$I$2004,周转筐出入库明细!$C$4:$C$2004,$B245,周转筐出入库明细!$D$4:$D$2004,基础资料!$B$4,周转筐出入库明细!$B$4:$B$2004,"&gt;="&amp;$BC$1,周转筐出入库明细!$B$4:$B$2004,"&lt;="&amp;$BC$2))</f>
        <v/>
      </c>
      <c r="J245" s="67" t="str">
        <f>IF(OR($B245="",基础资料!$B$5=""),"",-SUMIFS(周转筐出入库明细!$I$4:$I$2004,周转筐出入库明细!$C$4:$C$2004,$B245,周转筐出入库明细!$D$4:$D$2004,基础资料!$B$5,周转筐出入库明细!$B$4:$B$2004,"&gt;="&amp;$BC$1,周转筐出入库明细!$B$4:$B$2004,"&lt;="&amp;$BC$2))</f>
        <v/>
      </c>
      <c r="K245" s="67" t="str">
        <f>IF(OR($B245="",基础资料!$B$6=""),"",-SUMIFS(周转筐出入库明细!$I$4:$I$2004,周转筐出入库明细!$C$4:$C$2004,$B245,周转筐出入库明细!$D$4:$D$2004,基础资料!$B$6,周转筐出入库明细!$B$4:$B$2004,"&gt;="&amp;$BC$1,周转筐出入库明细!$B$4:$B$2004,"&lt;="&amp;$BC$2))</f>
        <v/>
      </c>
      <c r="L245" s="67" t="str">
        <f>IF(OR($B245="",基础资料!$B$7=""),"",-SUMIFS(周转筐出入库明细!$I$4:$I$2004,周转筐出入库明细!$C$4:$C$2004,$B245,周转筐出入库明细!$D$4:$D$2004,基础资料!$B$7,周转筐出入库明细!$B$4:$B$2004,"&gt;="&amp;$BC$1,周转筐出入库明细!$B$4:$B$2004,"&lt;="&amp;$BC$2))</f>
        <v/>
      </c>
      <c r="M245" s="67" t="str">
        <f>IF(OR($B245="",基础资料!$B$8=""),"",-SUMIFS(周转筐出入库明细!$I$4:$I$2004,周转筐出入库明细!$C$4:$C$2004,$B245,周转筐出入库明细!$D$4:$D$2004,基础资料!$B$8,周转筐出入库明细!$B$4:$B$2004,"&gt;="&amp;$BC$1,周转筐出入库明细!$B$4:$B$2004,"&lt;="&amp;$BC$2))</f>
        <v/>
      </c>
      <c r="N245" s="67" t="str">
        <f t="shared" si="38"/>
        <v/>
      </c>
      <c r="O245" s="25" t="str">
        <f>IF(OR($B245="",基础资料!$B$4=""),"",SUMIFS(周转筐出入库明细!$H$4:$H$2004,周转筐出入库明细!$C$4:$C$2004,$B245,周转筐出入库明细!$D$4:$D$2004,基础资料!$B$4,周转筐出入库明细!$F$4:$F$2004,"采购入库",周转筐出入库明细!$B$4:$B$2004,"&gt;="&amp;$BC$1,周转筐出入库明细!$B$4:$B$2004,"&lt;="&amp;$BC$2))</f>
        <v/>
      </c>
      <c r="P245" s="25" t="str">
        <f>IF(OR($B245="",基础资料!$B$5=""),"",SUMIFS(周转筐出入库明细!$H$4:$H$2004,周转筐出入库明细!$C$4:$C$2004,$B245,周转筐出入库明细!$D$4:$D$2004,基础资料!$B$5,周转筐出入库明细!$F$4:$F$2004,"采购入库",周转筐出入库明细!$B$4:$B$2004,"&gt;="&amp;$BC$1,周转筐出入库明细!$B$4:$B$2004,"&lt;="&amp;$BC$2))</f>
        <v/>
      </c>
      <c r="Q245" s="25" t="str">
        <f>IF(OR($B245="",基础资料!$B$6=""),"",SUMIFS(周转筐出入库明细!$H$4:$H$2004,周转筐出入库明细!$C$4:$C$2004,$B245,周转筐出入库明细!$D$4:$D$2004,基础资料!$B$6,周转筐出入库明细!$F$4:$F$2004,"采购入库",周转筐出入库明细!$B$4:$B$2004,"&gt;="&amp;$BC$1,周转筐出入库明细!$B$4:$B$2004,"&lt;="&amp;$BC$2))</f>
        <v/>
      </c>
      <c r="R245" s="25" t="str">
        <f>IF(OR($B245="",基础资料!$B$7=""),"",SUMIFS(周转筐出入库明细!$H$4:$H$2004,周转筐出入库明细!$C$4:$C$2004,$B245,周转筐出入库明细!$D$4:$D$2004,基础资料!$B$7,周转筐出入库明细!$F$4:$F$2004,"采购入库",周转筐出入库明细!$B$4:$B$2004,"&gt;="&amp;$BC$1,周转筐出入库明细!$B$4:$B$2004,"&lt;="&amp;$BC$2))</f>
        <v/>
      </c>
      <c r="S245" s="25" t="str">
        <f>IF(OR($B245="",基础资料!$B$8=""),"",SUMIFS(周转筐出入库明细!$H$4:$H$2004,周转筐出入库明细!$C$4:$C$2004,$B245,周转筐出入库明细!$D$4:$D$2004,基础资料!$B$8,周转筐出入库明细!$F$4:$F$2004,"采购入库",周转筐出入库明细!$B$4:$B$2004,"&gt;="&amp;$BC$1,周转筐出入库明细!$B$4:$B$2004,"&lt;="&amp;$BC$2))</f>
        <v/>
      </c>
      <c r="T245" s="25" t="str">
        <f t="shared" si="39"/>
        <v/>
      </c>
      <c r="U245" s="25" t="str">
        <f>IF(OR($B245="",基础资料!$B$4=""),"",SUMIFS(周转筐出入库明细!$K$4:$K$2004,周转筐出入库明细!$C$4:$C$2004,$B245,周转筐出入库明细!$D$4:$D$2004,基础资料!$B$4,周转筐出入库明细!$B$4:$B$2004,"&gt;="&amp;$BC$1,周转筐出入库明细!$B$4:$B$2004,"&lt;="&amp;$BC$2))</f>
        <v/>
      </c>
      <c r="V245" s="25" t="str">
        <f>IF(OR($B245="",基础资料!$B$5=""),"",SUMIFS(周转筐出入库明细!$K$4:$K$2004,周转筐出入库明细!$C$4:$C$2004,$B245,周转筐出入库明细!$D$4:$D$2004,基础资料!$B$5,周转筐出入库明细!$B$4:$B$2004,"&gt;="&amp;$BC$1,周转筐出入库明细!$B$4:$B$2004,"&lt;="&amp;$BC$2))</f>
        <v/>
      </c>
      <c r="W245" s="25" t="str">
        <f>IF(OR($B245="",基础资料!$B$6=""),"",SUMIFS(周转筐出入库明细!$K$4:$K$2004,周转筐出入库明细!$C$4:$C$2004,$B245,周转筐出入库明细!$D$4:$D$2004,基础资料!$B$6,周转筐出入库明细!$B$4:$B$2004,"&gt;="&amp;$BC$1,周转筐出入库明细!$B$4:$B$2004,"&lt;="&amp;$BC$2))</f>
        <v/>
      </c>
      <c r="X245" s="25" t="str">
        <f>IF(OR($B245="",基础资料!$B$7=""),"",SUMIFS(周转筐出入库明细!$K$4:$K$2004,周转筐出入库明细!$C$4:$C$2004,$B245,周转筐出入库明细!$D$4:$D$2004,基础资料!$B$7,周转筐出入库明细!$B$4:$B$2004,"&gt;="&amp;$BC$1,周转筐出入库明细!$B$4:$B$2004,"&lt;="&amp;$BC$2))</f>
        <v/>
      </c>
      <c r="Y245" s="25" t="str">
        <f>IF(OR($B245="",基础资料!$B$8=""),"",SUMIFS(周转筐出入库明细!$K$4:$K$2004,周转筐出入库明细!$C$4:$C$2004,$B245,周转筐出入库明细!$D$4:$D$2004,基础资料!$B$8,周转筐出入库明细!$B$4:$B$2004,"&gt;="&amp;$BC$1,周转筐出入库明细!$B$4:$B$2004,"&lt;="&amp;$BC$2))</f>
        <v/>
      </c>
      <c r="Z245" s="25" t="str">
        <f t="shared" si="40"/>
        <v/>
      </c>
      <c r="AA245" s="67" t="str">
        <f>IF(OR($B245="",基础资料!$B$4=""),"",-SUMIFS(对接源_01水果筐数!$D$5:$D$304,对接源_01水果筐数!$B$5:$B$304,$B245,对接源_01水果筐数!$C$5:$C$304,基础资料!$B$4))</f>
        <v/>
      </c>
      <c r="AB245" s="67" t="str">
        <f>IF(OR($B245="",基础资料!$B$5=""),"",-SUMIFS(对接源_01水果筐数!$D$5:$D$304,对接源_01水果筐数!$B$5:$B$304,$B245,对接源_01水果筐数!$C$5:$C$304,基础资料!$B$5))</f>
        <v/>
      </c>
      <c r="AC245" s="67" t="str">
        <f>IF(OR($B245="",基础资料!$B$6=""),"",-SUMIFS(对接源_01水果筐数!$D$5:$D$304,对接源_01水果筐数!$B$5:$B$304,$B245,对接源_01水果筐数!$C$5:$C$304,基础资料!$B$6))</f>
        <v/>
      </c>
      <c r="AD245" s="67" t="str">
        <f>IF(OR($B245="",基础资料!$B$7=""),"",-SUMIFS(对接源_01水果筐数!$D$5:$D$304,对接源_01水果筐数!$B$5:$B$304,$B245,对接源_01水果筐数!$C$5:$C$304,基础资料!$B$7))</f>
        <v/>
      </c>
      <c r="AE245" s="67" t="str">
        <f>IF(OR($B245="",基础资料!$B$8=""),"",-SUMIFS(对接源_01水果筐数!$D$5:$D$304,对接源_01水果筐数!$B$5:$B$304,$B245,对接源_01水果筐数!$C$5:$C$304,基础资料!$B$8))</f>
        <v/>
      </c>
      <c r="AF245" s="25" t="str">
        <f>IF(OR($B245="",基础资料!$B$4=""),"",SUMIFS(对接源_01水果筐数!$E$5:$E$304,对接源_01水果筐数!$B$5:$B$304,$B245,对接源_01水果筐数!$C$5:$C$304,基础资料!$B$4))</f>
        <v/>
      </c>
      <c r="AG245" s="25" t="str">
        <f>IF(OR($B245="",基础资料!$B$5=""),"",SUMIFS(对接源_01水果筐数!$E$5:$E$304,对接源_01水果筐数!$B$5:$B$304,$B245,对接源_01水果筐数!$C$5:$C$304,基础资料!$B$5))</f>
        <v/>
      </c>
      <c r="AH245" s="25" t="str">
        <f>IF(OR($B245="",基础资料!$B$6=""),"",SUMIFS(对接源_01水果筐数!$E$5:$E$304,对接源_01水果筐数!$B$5:$B$304,$B245,对接源_01水果筐数!$C$5:$C$304,基础资料!$B$6))</f>
        <v/>
      </c>
      <c r="AI245" s="25" t="str">
        <f>IF(OR($B245="",基础资料!$B$7=""),"",SUMIFS(对接源_01水果筐数!$E$5:$E$304,对接源_01水果筐数!$B$5:$B$304,$B245,对接源_01水果筐数!$C$5:$C$304,基础资料!$B$7))</f>
        <v/>
      </c>
      <c r="AJ245" s="25" t="str">
        <f>IF(OR($B245="",基础资料!$B$8=""),"",SUMIFS(对接源_01水果筐数!$E$5:$E$304,对接源_01水果筐数!$B$5:$B$304,$B245,对接源_01水果筐数!$C$5:$C$304,基础资料!$B$8))</f>
        <v/>
      </c>
      <c r="AK245" s="25" t="str">
        <f>IF(OR($B245="",基础资料!$B$4=""),"",SUMIFS(对接源_01水果筐数!$F$5:$F$304,对接源_01水果筐数!$B$5:$B$304,$B245,对接源_01水果筐数!$C$5:$C$304,基础资料!$B$4))</f>
        <v/>
      </c>
      <c r="AL245" s="25" t="str">
        <f>IF(OR($B245="",基础资料!$B$5=""),"",SUMIFS(对接源_01水果筐数!$F$5:$F$304,对接源_01水果筐数!$B$5:$B$304,$B245,对接源_01水果筐数!$C$5:$C$304,基础资料!$B$5))</f>
        <v/>
      </c>
      <c r="AM245" s="25" t="str">
        <f>IF(OR($B245="",基础资料!$B$6=""),"",SUMIFS(对接源_01水果筐数!$F$5:$F$304,对接源_01水果筐数!$B$5:$B$304,$B245,对接源_01水果筐数!$C$5:$C$304,基础资料!$B$6))</f>
        <v/>
      </c>
      <c r="AN245" s="25" t="str">
        <f>IF(OR($B245="",基础资料!$B$7=""),"",SUMIFS(对接源_01水果筐数!$F$5:$F$304,对接源_01水果筐数!$B$5:$B$304,$B245,对接源_01水果筐数!$C$5:$C$304,基础资料!$B$7))</f>
        <v/>
      </c>
      <c r="AO245" s="25" t="str">
        <f>IF(OR($B245="",基础资料!$B$8=""),"",SUMIFS(对接源_01水果筐数!$F$5:$F$304,对接源_01水果筐数!$B$5:$B$304,$B245,对接源_01水果筐数!$C$5:$C$304,基础资料!$B$8))</f>
        <v/>
      </c>
      <c r="AP245" s="25" t="str">
        <f t="shared" si="41"/>
        <v/>
      </c>
      <c r="AQ245" s="25" t="str">
        <f t="shared" si="42"/>
        <v/>
      </c>
      <c r="AR245" s="25" t="str">
        <f t="shared" si="43"/>
        <v/>
      </c>
      <c r="AS245" s="25" t="str">
        <f t="shared" si="44"/>
        <v/>
      </c>
      <c r="AT245" s="25" t="str">
        <f t="shared" si="45"/>
        <v/>
      </c>
      <c r="AU245" s="25" t="str">
        <f t="shared" si="46"/>
        <v/>
      </c>
      <c r="AV245" s="24" t="str">
        <f t="shared" si="47"/>
        <v/>
      </c>
      <c r="AW245" s="72"/>
    </row>
    <row r="246" spans="1:49">
      <c r="A246" s="22" t="str">
        <f t="shared" si="36"/>
        <v/>
      </c>
      <c r="B246" s="24" t="str">
        <f>IFERROR(INDEX(_自动清单!$CC$4:$CC$253,ROW()-3),"")</f>
        <v/>
      </c>
      <c r="C246" s="25" t="str">
        <f>IF(OR($B246="",基础资料!$B$4=""),"",SUMIFS(周转筐出入库明细!$J$4:$J$2004,周转筐出入库明细!$C$4:$C$2004,$B246,周转筐出入库明细!$D$4:$D$2004,基础资料!$B$4,周转筐出入库明细!$B$4:$B$2004,"&gt;="&amp;$BC$1,周转筐出入库明细!$B$4:$B$2004,"&lt;="&amp;$BC$2))</f>
        <v/>
      </c>
      <c r="D246" s="25" t="str">
        <f>IF(OR($B246="",基础资料!$B$5=""),"",SUMIFS(周转筐出入库明细!$J$4:$J$2004,周转筐出入库明细!$C$4:$C$2004,$B246,周转筐出入库明细!$D$4:$D$2004,基础资料!$B$5,周转筐出入库明细!$B$4:$B$2004,"&gt;="&amp;$BC$1,周转筐出入库明细!$B$4:$B$2004,"&lt;="&amp;$BC$2))</f>
        <v/>
      </c>
      <c r="E246" s="25" t="str">
        <f>IF(OR($B246="",基础资料!$B$6=""),"",SUMIFS(周转筐出入库明细!$J$4:$J$2004,周转筐出入库明细!$C$4:$C$2004,$B246,周转筐出入库明细!$D$4:$D$2004,基础资料!$B$6,周转筐出入库明细!$B$4:$B$2004,"&gt;="&amp;$BC$1,周转筐出入库明细!$B$4:$B$2004,"&lt;="&amp;$BC$2))</f>
        <v/>
      </c>
      <c r="F246" s="25" t="str">
        <f>IF(OR($B246="",基础资料!$B$7=""),"",SUMIFS(周转筐出入库明细!$J$4:$J$2004,周转筐出入库明细!$C$4:$C$2004,$B246,周转筐出入库明细!$D$4:$D$2004,基础资料!$B$7,周转筐出入库明细!$B$4:$B$2004,"&gt;="&amp;$BC$1,周转筐出入库明细!$B$4:$B$2004,"&lt;="&amp;$BC$2))</f>
        <v/>
      </c>
      <c r="G246" s="25" t="str">
        <f>IF(OR($B246="",基础资料!$B$8=""),"",SUMIFS(周转筐出入库明细!$J$4:$J$2004,周转筐出入库明细!$C$4:$C$2004,$B246,周转筐出入库明细!$D$4:$D$2004,基础资料!$B$8,周转筐出入库明细!$B$4:$B$2004,"&gt;="&amp;$BC$1,周转筐出入库明细!$B$4:$B$2004,"&lt;="&amp;$BC$2))</f>
        <v/>
      </c>
      <c r="H246" s="25" t="str">
        <f t="shared" si="37"/>
        <v/>
      </c>
      <c r="I246" s="67" t="str">
        <f>IF(OR($B246="",基础资料!$B$4=""),"",-SUMIFS(周转筐出入库明细!$I$4:$I$2004,周转筐出入库明细!$C$4:$C$2004,$B246,周转筐出入库明细!$D$4:$D$2004,基础资料!$B$4,周转筐出入库明细!$B$4:$B$2004,"&gt;="&amp;$BC$1,周转筐出入库明细!$B$4:$B$2004,"&lt;="&amp;$BC$2))</f>
        <v/>
      </c>
      <c r="J246" s="67" t="str">
        <f>IF(OR($B246="",基础资料!$B$5=""),"",-SUMIFS(周转筐出入库明细!$I$4:$I$2004,周转筐出入库明细!$C$4:$C$2004,$B246,周转筐出入库明细!$D$4:$D$2004,基础资料!$B$5,周转筐出入库明细!$B$4:$B$2004,"&gt;="&amp;$BC$1,周转筐出入库明细!$B$4:$B$2004,"&lt;="&amp;$BC$2))</f>
        <v/>
      </c>
      <c r="K246" s="67" t="str">
        <f>IF(OR($B246="",基础资料!$B$6=""),"",-SUMIFS(周转筐出入库明细!$I$4:$I$2004,周转筐出入库明细!$C$4:$C$2004,$B246,周转筐出入库明细!$D$4:$D$2004,基础资料!$B$6,周转筐出入库明细!$B$4:$B$2004,"&gt;="&amp;$BC$1,周转筐出入库明细!$B$4:$B$2004,"&lt;="&amp;$BC$2))</f>
        <v/>
      </c>
      <c r="L246" s="67" t="str">
        <f>IF(OR($B246="",基础资料!$B$7=""),"",-SUMIFS(周转筐出入库明细!$I$4:$I$2004,周转筐出入库明细!$C$4:$C$2004,$B246,周转筐出入库明细!$D$4:$D$2004,基础资料!$B$7,周转筐出入库明细!$B$4:$B$2004,"&gt;="&amp;$BC$1,周转筐出入库明细!$B$4:$B$2004,"&lt;="&amp;$BC$2))</f>
        <v/>
      </c>
      <c r="M246" s="67" t="str">
        <f>IF(OR($B246="",基础资料!$B$8=""),"",-SUMIFS(周转筐出入库明细!$I$4:$I$2004,周转筐出入库明细!$C$4:$C$2004,$B246,周转筐出入库明细!$D$4:$D$2004,基础资料!$B$8,周转筐出入库明细!$B$4:$B$2004,"&gt;="&amp;$BC$1,周转筐出入库明细!$B$4:$B$2004,"&lt;="&amp;$BC$2))</f>
        <v/>
      </c>
      <c r="N246" s="67" t="str">
        <f t="shared" si="38"/>
        <v/>
      </c>
      <c r="O246" s="25" t="str">
        <f>IF(OR($B246="",基础资料!$B$4=""),"",SUMIFS(周转筐出入库明细!$H$4:$H$2004,周转筐出入库明细!$C$4:$C$2004,$B246,周转筐出入库明细!$D$4:$D$2004,基础资料!$B$4,周转筐出入库明细!$F$4:$F$2004,"采购入库",周转筐出入库明细!$B$4:$B$2004,"&gt;="&amp;$BC$1,周转筐出入库明细!$B$4:$B$2004,"&lt;="&amp;$BC$2))</f>
        <v/>
      </c>
      <c r="P246" s="25" t="str">
        <f>IF(OR($B246="",基础资料!$B$5=""),"",SUMIFS(周转筐出入库明细!$H$4:$H$2004,周转筐出入库明细!$C$4:$C$2004,$B246,周转筐出入库明细!$D$4:$D$2004,基础资料!$B$5,周转筐出入库明细!$F$4:$F$2004,"采购入库",周转筐出入库明细!$B$4:$B$2004,"&gt;="&amp;$BC$1,周转筐出入库明细!$B$4:$B$2004,"&lt;="&amp;$BC$2))</f>
        <v/>
      </c>
      <c r="Q246" s="25" t="str">
        <f>IF(OR($B246="",基础资料!$B$6=""),"",SUMIFS(周转筐出入库明细!$H$4:$H$2004,周转筐出入库明细!$C$4:$C$2004,$B246,周转筐出入库明细!$D$4:$D$2004,基础资料!$B$6,周转筐出入库明细!$F$4:$F$2004,"采购入库",周转筐出入库明细!$B$4:$B$2004,"&gt;="&amp;$BC$1,周转筐出入库明细!$B$4:$B$2004,"&lt;="&amp;$BC$2))</f>
        <v/>
      </c>
      <c r="R246" s="25" t="str">
        <f>IF(OR($B246="",基础资料!$B$7=""),"",SUMIFS(周转筐出入库明细!$H$4:$H$2004,周转筐出入库明细!$C$4:$C$2004,$B246,周转筐出入库明细!$D$4:$D$2004,基础资料!$B$7,周转筐出入库明细!$F$4:$F$2004,"采购入库",周转筐出入库明细!$B$4:$B$2004,"&gt;="&amp;$BC$1,周转筐出入库明细!$B$4:$B$2004,"&lt;="&amp;$BC$2))</f>
        <v/>
      </c>
      <c r="S246" s="25" t="str">
        <f>IF(OR($B246="",基础资料!$B$8=""),"",SUMIFS(周转筐出入库明细!$H$4:$H$2004,周转筐出入库明细!$C$4:$C$2004,$B246,周转筐出入库明细!$D$4:$D$2004,基础资料!$B$8,周转筐出入库明细!$F$4:$F$2004,"采购入库",周转筐出入库明细!$B$4:$B$2004,"&gt;="&amp;$BC$1,周转筐出入库明细!$B$4:$B$2004,"&lt;="&amp;$BC$2))</f>
        <v/>
      </c>
      <c r="T246" s="25" t="str">
        <f t="shared" si="39"/>
        <v/>
      </c>
      <c r="U246" s="25" t="str">
        <f>IF(OR($B246="",基础资料!$B$4=""),"",SUMIFS(周转筐出入库明细!$K$4:$K$2004,周转筐出入库明细!$C$4:$C$2004,$B246,周转筐出入库明细!$D$4:$D$2004,基础资料!$B$4,周转筐出入库明细!$B$4:$B$2004,"&gt;="&amp;$BC$1,周转筐出入库明细!$B$4:$B$2004,"&lt;="&amp;$BC$2))</f>
        <v/>
      </c>
      <c r="V246" s="25" t="str">
        <f>IF(OR($B246="",基础资料!$B$5=""),"",SUMIFS(周转筐出入库明细!$K$4:$K$2004,周转筐出入库明细!$C$4:$C$2004,$B246,周转筐出入库明细!$D$4:$D$2004,基础资料!$B$5,周转筐出入库明细!$B$4:$B$2004,"&gt;="&amp;$BC$1,周转筐出入库明细!$B$4:$B$2004,"&lt;="&amp;$BC$2))</f>
        <v/>
      </c>
      <c r="W246" s="25" t="str">
        <f>IF(OR($B246="",基础资料!$B$6=""),"",SUMIFS(周转筐出入库明细!$K$4:$K$2004,周转筐出入库明细!$C$4:$C$2004,$B246,周转筐出入库明细!$D$4:$D$2004,基础资料!$B$6,周转筐出入库明细!$B$4:$B$2004,"&gt;="&amp;$BC$1,周转筐出入库明细!$B$4:$B$2004,"&lt;="&amp;$BC$2))</f>
        <v/>
      </c>
      <c r="X246" s="25" t="str">
        <f>IF(OR($B246="",基础资料!$B$7=""),"",SUMIFS(周转筐出入库明细!$K$4:$K$2004,周转筐出入库明细!$C$4:$C$2004,$B246,周转筐出入库明细!$D$4:$D$2004,基础资料!$B$7,周转筐出入库明细!$B$4:$B$2004,"&gt;="&amp;$BC$1,周转筐出入库明细!$B$4:$B$2004,"&lt;="&amp;$BC$2))</f>
        <v/>
      </c>
      <c r="Y246" s="25" t="str">
        <f>IF(OR($B246="",基础资料!$B$8=""),"",SUMIFS(周转筐出入库明细!$K$4:$K$2004,周转筐出入库明细!$C$4:$C$2004,$B246,周转筐出入库明细!$D$4:$D$2004,基础资料!$B$8,周转筐出入库明细!$B$4:$B$2004,"&gt;="&amp;$BC$1,周转筐出入库明细!$B$4:$B$2004,"&lt;="&amp;$BC$2))</f>
        <v/>
      </c>
      <c r="Z246" s="25" t="str">
        <f t="shared" si="40"/>
        <v/>
      </c>
      <c r="AA246" s="67" t="str">
        <f>IF(OR($B246="",基础资料!$B$4=""),"",-SUMIFS(对接源_01水果筐数!$D$5:$D$304,对接源_01水果筐数!$B$5:$B$304,$B246,对接源_01水果筐数!$C$5:$C$304,基础资料!$B$4))</f>
        <v/>
      </c>
      <c r="AB246" s="67" t="str">
        <f>IF(OR($B246="",基础资料!$B$5=""),"",-SUMIFS(对接源_01水果筐数!$D$5:$D$304,对接源_01水果筐数!$B$5:$B$304,$B246,对接源_01水果筐数!$C$5:$C$304,基础资料!$B$5))</f>
        <v/>
      </c>
      <c r="AC246" s="67" t="str">
        <f>IF(OR($B246="",基础资料!$B$6=""),"",-SUMIFS(对接源_01水果筐数!$D$5:$D$304,对接源_01水果筐数!$B$5:$B$304,$B246,对接源_01水果筐数!$C$5:$C$304,基础资料!$B$6))</f>
        <v/>
      </c>
      <c r="AD246" s="67" t="str">
        <f>IF(OR($B246="",基础资料!$B$7=""),"",-SUMIFS(对接源_01水果筐数!$D$5:$D$304,对接源_01水果筐数!$B$5:$B$304,$B246,对接源_01水果筐数!$C$5:$C$304,基础资料!$B$7))</f>
        <v/>
      </c>
      <c r="AE246" s="67" t="str">
        <f>IF(OR($B246="",基础资料!$B$8=""),"",-SUMIFS(对接源_01水果筐数!$D$5:$D$304,对接源_01水果筐数!$B$5:$B$304,$B246,对接源_01水果筐数!$C$5:$C$304,基础资料!$B$8))</f>
        <v/>
      </c>
      <c r="AF246" s="25" t="str">
        <f>IF(OR($B246="",基础资料!$B$4=""),"",SUMIFS(对接源_01水果筐数!$E$5:$E$304,对接源_01水果筐数!$B$5:$B$304,$B246,对接源_01水果筐数!$C$5:$C$304,基础资料!$B$4))</f>
        <v/>
      </c>
      <c r="AG246" s="25" t="str">
        <f>IF(OR($B246="",基础资料!$B$5=""),"",SUMIFS(对接源_01水果筐数!$E$5:$E$304,对接源_01水果筐数!$B$5:$B$304,$B246,对接源_01水果筐数!$C$5:$C$304,基础资料!$B$5))</f>
        <v/>
      </c>
      <c r="AH246" s="25" t="str">
        <f>IF(OR($B246="",基础资料!$B$6=""),"",SUMIFS(对接源_01水果筐数!$E$5:$E$304,对接源_01水果筐数!$B$5:$B$304,$B246,对接源_01水果筐数!$C$5:$C$304,基础资料!$B$6))</f>
        <v/>
      </c>
      <c r="AI246" s="25" t="str">
        <f>IF(OR($B246="",基础资料!$B$7=""),"",SUMIFS(对接源_01水果筐数!$E$5:$E$304,对接源_01水果筐数!$B$5:$B$304,$B246,对接源_01水果筐数!$C$5:$C$304,基础资料!$B$7))</f>
        <v/>
      </c>
      <c r="AJ246" s="25" t="str">
        <f>IF(OR($B246="",基础资料!$B$8=""),"",SUMIFS(对接源_01水果筐数!$E$5:$E$304,对接源_01水果筐数!$B$5:$B$304,$B246,对接源_01水果筐数!$C$5:$C$304,基础资料!$B$8))</f>
        <v/>
      </c>
      <c r="AK246" s="25" t="str">
        <f>IF(OR($B246="",基础资料!$B$4=""),"",SUMIFS(对接源_01水果筐数!$F$5:$F$304,对接源_01水果筐数!$B$5:$B$304,$B246,对接源_01水果筐数!$C$5:$C$304,基础资料!$B$4))</f>
        <v/>
      </c>
      <c r="AL246" s="25" t="str">
        <f>IF(OR($B246="",基础资料!$B$5=""),"",SUMIFS(对接源_01水果筐数!$F$5:$F$304,对接源_01水果筐数!$B$5:$B$304,$B246,对接源_01水果筐数!$C$5:$C$304,基础资料!$B$5))</f>
        <v/>
      </c>
      <c r="AM246" s="25" t="str">
        <f>IF(OR($B246="",基础资料!$B$6=""),"",SUMIFS(对接源_01水果筐数!$F$5:$F$304,对接源_01水果筐数!$B$5:$B$304,$B246,对接源_01水果筐数!$C$5:$C$304,基础资料!$B$6))</f>
        <v/>
      </c>
      <c r="AN246" s="25" t="str">
        <f>IF(OR($B246="",基础资料!$B$7=""),"",SUMIFS(对接源_01水果筐数!$F$5:$F$304,对接源_01水果筐数!$B$5:$B$304,$B246,对接源_01水果筐数!$C$5:$C$304,基础资料!$B$7))</f>
        <v/>
      </c>
      <c r="AO246" s="25" t="str">
        <f>IF(OR($B246="",基础资料!$B$8=""),"",SUMIFS(对接源_01水果筐数!$F$5:$F$304,对接源_01水果筐数!$B$5:$B$304,$B246,对接源_01水果筐数!$C$5:$C$304,基础资料!$B$8))</f>
        <v/>
      </c>
      <c r="AP246" s="25" t="str">
        <f t="shared" si="41"/>
        <v/>
      </c>
      <c r="AQ246" s="25" t="str">
        <f t="shared" si="42"/>
        <v/>
      </c>
      <c r="AR246" s="25" t="str">
        <f t="shared" si="43"/>
        <v/>
      </c>
      <c r="AS246" s="25" t="str">
        <f t="shared" si="44"/>
        <v/>
      </c>
      <c r="AT246" s="25" t="str">
        <f t="shared" si="45"/>
        <v/>
      </c>
      <c r="AU246" s="25" t="str">
        <f t="shared" si="46"/>
        <v/>
      </c>
      <c r="AV246" s="24" t="str">
        <f t="shared" si="47"/>
        <v/>
      </c>
      <c r="AW246" s="72"/>
    </row>
    <row r="247" spans="1:49">
      <c r="A247" s="22" t="str">
        <f t="shared" si="36"/>
        <v/>
      </c>
      <c r="B247" s="24" t="str">
        <f>IFERROR(INDEX(_自动清单!$CC$4:$CC$253,ROW()-3),"")</f>
        <v/>
      </c>
      <c r="C247" s="25" t="str">
        <f>IF(OR($B247="",基础资料!$B$4=""),"",SUMIFS(周转筐出入库明细!$J$4:$J$2004,周转筐出入库明细!$C$4:$C$2004,$B247,周转筐出入库明细!$D$4:$D$2004,基础资料!$B$4,周转筐出入库明细!$B$4:$B$2004,"&gt;="&amp;$BC$1,周转筐出入库明细!$B$4:$B$2004,"&lt;="&amp;$BC$2))</f>
        <v/>
      </c>
      <c r="D247" s="25" t="str">
        <f>IF(OR($B247="",基础资料!$B$5=""),"",SUMIFS(周转筐出入库明细!$J$4:$J$2004,周转筐出入库明细!$C$4:$C$2004,$B247,周转筐出入库明细!$D$4:$D$2004,基础资料!$B$5,周转筐出入库明细!$B$4:$B$2004,"&gt;="&amp;$BC$1,周转筐出入库明细!$B$4:$B$2004,"&lt;="&amp;$BC$2))</f>
        <v/>
      </c>
      <c r="E247" s="25" t="str">
        <f>IF(OR($B247="",基础资料!$B$6=""),"",SUMIFS(周转筐出入库明细!$J$4:$J$2004,周转筐出入库明细!$C$4:$C$2004,$B247,周转筐出入库明细!$D$4:$D$2004,基础资料!$B$6,周转筐出入库明细!$B$4:$B$2004,"&gt;="&amp;$BC$1,周转筐出入库明细!$B$4:$B$2004,"&lt;="&amp;$BC$2))</f>
        <v/>
      </c>
      <c r="F247" s="25" t="str">
        <f>IF(OR($B247="",基础资料!$B$7=""),"",SUMIFS(周转筐出入库明细!$J$4:$J$2004,周转筐出入库明细!$C$4:$C$2004,$B247,周转筐出入库明细!$D$4:$D$2004,基础资料!$B$7,周转筐出入库明细!$B$4:$B$2004,"&gt;="&amp;$BC$1,周转筐出入库明细!$B$4:$B$2004,"&lt;="&amp;$BC$2))</f>
        <v/>
      </c>
      <c r="G247" s="25" t="str">
        <f>IF(OR($B247="",基础资料!$B$8=""),"",SUMIFS(周转筐出入库明细!$J$4:$J$2004,周转筐出入库明细!$C$4:$C$2004,$B247,周转筐出入库明细!$D$4:$D$2004,基础资料!$B$8,周转筐出入库明细!$B$4:$B$2004,"&gt;="&amp;$BC$1,周转筐出入库明细!$B$4:$B$2004,"&lt;="&amp;$BC$2))</f>
        <v/>
      </c>
      <c r="H247" s="25" t="str">
        <f t="shared" si="37"/>
        <v/>
      </c>
      <c r="I247" s="67" t="str">
        <f>IF(OR($B247="",基础资料!$B$4=""),"",-SUMIFS(周转筐出入库明细!$I$4:$I$2004,周转筐出入库明细!$C$4:$C$2004,$B247,周转筐出入库明细!$D$4:$D$2004,基础资料!$B$4,周转筐出入库明细!$B$4:$B$2004,"&gt;="&amp;$BC$1,周转筐出入库明细!$B$4:$B$2004,"&lt;="&amp;$BC$2))</f>
        <v/>
      </c>
      <c r="J247" s="67" t="str">
        <f>IF(OR($B247="",基础资料!$B$5=""),"",-SUMIFS(周转筐出入库明细!$I$4:$I$2004,周转筐出入库明细!$C$4:$C$2004,$B247,周转筐出入库明细!$D$4:$D$2004,基础资料!$B$5,周转筐出入库明细!$B$4:$B$2004,"&gt;="&amp;$BC$1,周转筐出入库明细!$B$4:$B$2004,"&lt;="&amp;$BC$2))</f>
        <v/>
      </c>
      <c r="K247" s="67" t="str">
        <f>IF(OR($B247="",基础资料!$B$6=""),"",-SUMIFS(周转筐出入库明细!$I$4:$I$2004,周转筐出入库明细!$C$4:$C$2004,$B247,周转筐出入库明细!$D$4:$D$2004,基础资料!$B$6,周转筐出入库明细!$B$4:$B$2004,"&gt;="&amp;$BC$1,周转筐出入库明细!$B$4:$B$2004,"&lt;="&amp;$BC$2))</f>
        <v/>
      </c>
      <c r="L247" s="67" t="str">
        <f>IF(OR($B247="",基础资料!$B$7=""),"",-SUMIFS(周转筐出入库明细!$I$4:$I$2004,周转筐出入库明细!$C$4:$C$2004,$B247,周转筐出入库明细!$D$4:$D$2004,基础资料!$B$7,周转筐出入库明细!$B$4:$B$2004,"&gt;="&amp;$BC$1,周转筐出入库明细!$B$4:$B$2004,"&lt;="&amp;$BC$2))</f>
        <v/>
      </c>
      <c r="M247" s="67" t="str">
        <f>IF(OR($B247="",基础资料!$B$8=""),"",-SUMIFS(周转筐出入库明细!$I$4:$I$2004,周转筐出入库明细!$C$4:$C$2004,$B247,周转筐出入库明细!$D$4:$D$2004,基础资料!$B$8,周转筐出入库明细!$B$4:$B$2004,"&gt;="&amp;$BC$1,周转筐出入库明细!$B$4:$B$2004,"&lt;="&amp;$BC$2))</f>
        <v/>
      </c>
      <c r="N247" s="67" t="str">
        <f t="shared" si="38"/>
        <v/>
      </c>
      <c r="O247" s="25" t="str">
        <f>IF(OR($B247="",基础资料!$B$4=""),"",SUMIFS(周转筐出入库明细!$H$4:$H$2004,周转筐出入库明细!$C$4:$C$2004,$B247,周转筐出入库明细!$D$4:$D$2004,基础资料!$B$4,周转筐出入库明细!$F$4:$F$2004,"采购入库",周转筐出入库明细!$B$4:$B$2004,"&gt;="&amp;$BC$1,周转筐出入库明细!$B$4:$B$2004,"&lt;="&amp;$BC$2))</f>
        <v/>
      </c>
      <c r="P247" s="25" t="str">
        <f>IF(OR($B247="",基础资料!$B$5=""),"",SUMIFS(周转筐出入库明细!$H$4:$H$2004,周转筐出入库明细!$C$4:$C$2004,$B247,周转筐出入库明细!$D$4:$D$2004,基础资料!$B$5,周转筐出入库明细!$F$4:$F$2004,"采购入库",周转筐出入库明细!$B$4:$B$2004,"&gt;="&amp;$BC$1,周转筐出入库明细!$B$4:$B$2004,"&lt;="&amp;$BC$2))</f>
        <v/>
      </c>
      <c r="Q247" s="25" t="str">
        <f>IF(OR($B247="",基础资料!$B$6=""),"",SUMIFS(周转筐出入库明细!$H$4:$H$2004,周转筐出入库明细!$C$4:$C$2004,$B247,周转筐出入库明细!$D$4:$D$2004,基础资料!$B$6,周转筐出入库明细!$F$4:$F$2004,"采购入库",周转筐出入库明细!$B$4:$B$2004,"&gt;="&amp;$BC$1,周转筐出入库明细!$B$4:$B$2004,"&lt;="&amp;$BC$2))</f>
        <v/>
      </c>
      <c r="R247" s="25" t="str">
        <f>IF(OR($B247="",基础资料!$B$7=""),"",SUMIFS(周转筐出入库明细!$H$4:$H$2004,周转筐出入库明细!$C$4:$C$2004,$B247,周转筐出入库明细!$D$4:$D$2004,基础资料!$B$7,周转筐出入库明细!$F$4:$F$2004,"采购入库",周转筐出入库明细!$B$4:$B$2004,"&gt;="&amp;$BC$1,周转筐出入库明细!$B$4:$B$2004,"&lt;="&amp;$BC$2))</f>
        <v/>
      </c>
      <c r="S247" s="25" t="str">
        <f>IF(OR($B247="",基础资料!$B$8=""),"",SUMIFS(周转筐出入库明细!$H$4:$H$2004,周转筐出入库明细!$C$4:$C$2004,$B247,周转筐出入库明细!$D$4:$D$2004,基础资料!$B$8,周转筐出入库明细!$F$4:$F$2004,"采购入库",周转筐出入库明细!$B$4:$B$2004,"&gt;="&amp;$BC$1,周转筐出入库明细!$B$4:$B$2004,"&lt;="&amp;$BC$2))</f>
        <v/>
      </c>
      <c r="T247" s="25" t="str">
        <f t="shared" si="39"/>
        <v/>
      </c>
      <c r="U247" s="25" t="str">
        <f>IF(OR($B247="",基础资料!$B$4=""),"",SUMIFS(周转筐出入库明细!$K$4:$K$2004,周转筐出入库明细!$C$4:$C$2004,$B247,周转筐出入库明细!$D$4:$D$2004,基础资料!$B$4,周转筐出入库明细!$B$4:$B$2004,"&gt;="&amp;$BC$1,周转筐出入库明细!$B$4:$B$2004,"&lt;="&amp;$BC$2))</f>
        <v/>
      </c>
      <c r="V247" s="25" t="str">
        <f>IF(OR($B247="",基础资料!$B$5=""),"",SUMIFS(周转筐出入库明细!$K$4:$K$2004,周转筐出入库明细!$C$4:$C$2004,$B247,周转筐出入库明细!$D$4:$D$2004,基础资料!$B$5,周转筐出入库明细!$B$4:$B$2004,"&gt;="&amp;$BC$1,周转筐出入库明细!$B$4:$B$2004,"&lt;="&amp;$BC$2))</f>
        <v/>
      </c>
      <c r="W247" s="25" t="str">
        <f>IF(OR($B247="",基础资料!$B$6=""),"",SUMIFS(周转筐出入库明细!$K$4:$K$2004,周转筐出入库明细!$C$4:$C$2004,$B247,周转筐出入库明细!$D$4:$D$2004,基础资料!$B$6,周转筐出入库明细!$B$4:$B$2004,"&gt;="&amp;$BC$1,周转筐出入库明细!$B$4:$B$2004,"&lt;="&amp;$BC$2))</f>
        <v/>
      </c>
      <c r="X247" s="25" t="str">
        <f>IF(OR($B247="",基础资料!$B$7=""),"",SUMIFS(周转筐出入库明细!$K$4:$K$2004,周转筐出入库明细!$C$4:$C$2004,$B247,周转筐出入库明细!$D$4:$D$2004,基础资料!$B$7,周转筐出入库明细!$B$4:$B$2004,"&gt;="&amp;$BC$1,周转筐出入库明细!$B$4:$B$2004,"&lt;="&amp;$BC$2))</f>
        <v/>
      </c>
      <c r="Y247" s="25" t="str">
        <f>IF(OR($B247="",基础资料!$B$8=""),"",SUMIFS(周转筐出入库明细!$K$4:$K$2004,周转筐出入库明细!$C$4:$C$2004,$B247,周转筐出入库明细!$D$4:$D$2004,基础资料!$B$8,周转筐出入库明细!$B$4:$B$2004,"&gt;="&amp;$BC$1,周转筐出入库明细!$B$4:$B$2004,"&lt;="&amp;$BC$2))</f>
        <v/>
      </c>
      <c r="Z247" s="25" t="str">
        <f t="shared" si="40"/>
        <v/>
      </c>
      <c r="AA247" s="67" t="str">
        <f>IF(OR($B247="",基础资料!$B$4=""),"",-SUMIFS(对接源_01水果筐数!$D$5:$D$304,对接源_01水果筐数!$B$5:$B$304,$B247,对接源_01水果筐数!$C$5:$C$304,基础资料!$B$4))</f>
        <v/>
      </c>
      <c r="AB247" s="67" t="str">
        <f>IF(OR($B247="",基础资料!$B$5=""),"",-SUMIFS(对接源_01水果筐数!$D$5:$D$304,对接源_01水果筐数!$B$5:$B$304,$B247,对接源_01水果筐数!$C$5:$C$304,基础资料!$B$5))</f>
        <v/>
      </c>
      <c r="AC247" s="67" t="str">
        <f>IF(OR($B247="",基础资料!$B$6=""),"",-SUMIFS(对接源_01水果筐数!$D$5:$D$304,对接源_01水果筐数!$B$5:$B$304,$B247,对接源_01水果筐数!$C$5:$C$304,基础资料!$B$6))</f>
        <v/>
      </c>
      <c r="AD247" s="67" t="str">
        <f>IF(OR($B247="",基础资料!$B$7=""),"",-SUMIFS(对接源_01水果筐数!$D$5:$D$304,对接源_01水果筐数!$B$5:$B$304,$B247,对接源_01水果筐数!$C$5:$C$304,基础资料!$B$7))</f>
        <v/>
      </c>
      <c r="AE247" s="67" t="str">
        <f>IF(OR($B247="",基础资料!$B$8=""),"",-SUMIFS(对接源_01水果筐数!$D$5:$D$304,对接源_01水果筐数!$B$5:$B$304,$B247,对接源_01水果筐数!$C$5:$C$304,基础资料!$B$8))</f>
        <v/>
      </c>
      <c r="AF247" s="25" t="str">
        <f>IF(OR($B247="",基础资料!$B$4=""),"",SUMIFS(对接源_01水果筐数!$E$5:$E$304,对接源_01水果筐数!$B$5:$B$304,$B247,对接源_01水果筐数!$C$5:$C$304,基础资料!$B$4))</f>
        <v/>
      </c>
      <c r="AG247" s="25" t="str">
        <f>IF(OR($B247="",基础资料!$B$5=""),"",SUMIFS(对接源_01水果筐数!$E$5:$E$304,对接源_01水果筐数!$B$5:$B$304,$B247,对接源_01水果筐数!$C$5:$C$304,基础资料!$B$5))</f>
        <v/>
      </c>
      <c r="AH247" s="25" t="str">
        <f>IF(OR($B247="",基础资料!$B$6=""),"",SUMIFS(对接源_01水果筐数!$E$5:$E$304,对接源_01水果筐数!$B$5:$B$304,$B247,对接源_01水果筐数!$C$5:$C$304,基础资料!$B$6))</f>
        <v/>
      </c>
      <c r="AI247" s="25" t="str">
        <f>IF(OR($B247="",基础资料!$B$7=""),"",SUMIFS(对接源_01水果筐数!$E$5:$E$304,对接源_01水果筐数!$B$5:$B$304,$B247,对接源_01水果筐数!$C$5:$C$304,基础资料!$B$7))</f>
        <v/>
      </c>
      <c r="AJ247" s="25" t="str">
        <f>IF(OR($B247="",基础资料!$B$8=""),"",SUMIFS(对接源_01水果筐数!$E$5:$E$304,对接源_01水果筐数!$B$5:$B$304,$B247,对接源_01水果筐数!$C$5:$C$304,基础资料!$B$8))</f>
        <v/>
      </c>
      <c r="AK247" s="25" t="str">
        <f>IF(OR($B247="",基础资料!$B$4=""),"",SUMIFS(对接源_01水果筐数!$F$5:$F$304,对接源_01水果筐数!$B$5:$B$304,$B247,对接源_01水果筐数!$C$5:$C$304,基础资料!$B$4))</f>
        <v/>
      </c>
      <c r="AL247" s="25" t="str">
        <f>IF(OR($B247="",基础资料!$B$5=""),"",SUMIFS(对接源_01水果筐数!$F$5:$F$304,对接源_01水果筐数!$B$5:$B$304,$B247,对接源_01水果筐数!$C$5:$C$304,基础资料!$B$5))</f>
        <v/>
      </c>
      <c r="AM247" s="25" t="str">
        <f>IF(OR($B247="",基础资料!$B$6=""),"",SUMIFS(对接源_01水果筐数!$F$5:$F$304,对接源_01水果筐数!$B$5:$B$304,$B247,对接源_01水果筐数!$C$5:$C$304,基础资料!$B$6))</f>
        <v/>
      </c>
      <c r="AN247" s="25" t="str">
        <f>IF(OR($B247="",基础资料!$B$7=""),"",SUMIFS(对接源_01水果筐数!$F$5:$F$304,对接源_01水果筐数!$B$5:$B$304,$B247,对接源_01水果筐数!$C$5:$C$304,基础资料!$B$7))</f>
        <v/>
      </c>
      <c r="AO247" s="25" t="str">
        <f>IF(OR($B247="",基础资料!$B$8=""),"",SUMIFS(对接源_01水果筐数!$F$5:$F$304,对接源_01水果筐数!$B$5:$B$304,$B247,对接源_01水果筐数!$C$5:$C$304,基础资料!$B$8))</f>
        <v/>
      </c>
      <c r="AP247" s="25" t="str">
        <f t="shared" si="41"/>
        <v/>
      </c>
      <c r="AQ247" s="25" t="str">
        <f t="shared" si="42"/>
        <v/>
      </c>
      <c r="AR247" s="25" t="str">
        <f t="shared" si="43"/>
        <v/>
      </c>
      <c r="AS247" s="25" t="str">
        <f t="shared" si="44"/>
        <v/>
      </c>
      <c r="AT247" s="25" t="str">
        <f t="shared" si="45"/>
        <v/>
      </c>
      <c r="AU247" s="25" t="str">
        <f t="shared" si="46"/>
        <v/>
      </c>
      <c r="AV247" s="24" t="str">
        <f t="shared" si="47"/>
        <v/>
      </c>
      <c r="AW247" s="72"/>
    </row>
    <row r="248" spans="1:49">
      <c r="A248" s="22" t="str">
        <f t="shared" si="36"/>
        <v/>
      </c>
      <c r="B248" s="24" t="str">
        <f>IFERROR(INDEX(_自动清单!$CC$4:$CC$253,ROW()-3),"")</f>
        <v/>
      </c>
      <c r="C248" s="25" t="str">
        <f>IF(OR($B248="",基础资料!$B$4=""),"",SUMIFS(周转筐出入库明细!$J$4:$J$2004,周转筐出入库明细!$C$4:$C$2004,$B248,周转筐出入库明细!$D$4:$D$2004,基础资料!$B$4,周转筐出入库明细!$B$4:$B$2004,"&gt;="&amp;$BC$1,周转筐出入库明细!$B$4:$B$2004,"&lt;="&amp;$BC$2))</f>
        <v/>
      </c>
      <c r="D248" s="25" t="str">
        <f>IF(OR($B248="",基础资料!$B$5=""),"",SUMIFS(周转筐出入库明细!$J$4:$J$2004,周转筐出入库明细!$C$4:$C$2004,$B248,周转筐出入库明细!$D$4:$D$2004,基础资料!$B$5,周转筐出入库明细!$B$4:$B$2004,"&gt;="&amp;$BC$1,周转筐出入库明细!$B$4:$B$2004,"&lt;="&amp;$BC$2))</f>
        <v/>
      </c>
      <c r="E248" s="25" t="str">
        <f>IF(OR($B248="",基础资料!$B$6=""),"",SUMIFS(周转筐出入库明细!$J$4:$J$2004,周转筐出入库明细!$C$4:$C$2004,$B248,周转筐出入库明细!$D$4:$D$2004,基础资料!$B$6,周转筐出入库明细!$B$4:$B$2004,"&gt;="&amp;$BC$1,周转筐出入库明细!$B$4:$B$2004,"&lt;="&amp;$BC$2))</f>
        <v/>
      </c>
      <c r="F248" s="25" t="str">
        <f>IF(OR($B248="",基础资料!$B$7=""),"",SUMIFS(周转筐出入库明细!$J$4:$J$2004,周转筐出入库明细!$C$4:$C$2004,$B248,周转筐出入库明细!$D$4:$D$2004,基础资料!$B$7,周转筐出入库明细!$B$4:$B$2004,"&gt;="&amp;$BC$1,周转筐出入库明细!$B$4:$B$2004,"&lt;="&amp;$BC$2))</f>
        <v/>
      </c>
      <c r="G248" s="25" t="str">
        <f>IF(OR($B248="",基础资料!$B$8=""),"",SUMIFS(周转筐出入库明细!$J$4:$J$2004,周转筐出入库明细!$C$4:$C$2004,$B248,周转筐出入库明细!$D$4:$D$2004,基础资料!$B$8,周转筐出入库明细!$B$4:$B$2004,"&gt;="&amp;$BC$1,周转筐出入库明细!$B$4:$B$2004,"&lt;="&amp;$BC$2))</f>
        <v/>
      </c>
      <c r="H248" s="25" t="str">
        <f t="shared" si="37"/>
        <v/>
      </c>
      <c r="I248" s="67" t="str">
        <f>IF(OR($B248="",基础资料!$B$4=""),"",-SUMIFS(周转筐出入库明细!$I$4:$I$2004,周转筐出入库明细!$C$4:$C$2004,$B248,周转筐出入库明细!$D$4:$D$2004,基础资料!$B$4,周转筐出入库明细!$B$4:$B$2004,"&gt;="&amp;$BC$1,周转筐出入库明细!$B$4:$B$2004,"&lt;="&amp;$BC$2))</f>
        <v/>
      </c>
      <c r="J248" s="67" t="str">
        <f>IF(OR($B248="",基础资料!$B$5=""),"",-SUMIFS(周转筐出入库明细!$I$4:$I$2004,周转筐出入库明细!$C$4:$C$2004,$B248,周转筐出入库明细!$D$4:$D$2004,基础资料!$B$5,周转筐出入库明细!$B$4:$B$2004,"&gt;="&amp;$BC$1,周转筐出入库明细!$B$4:$B$2004,"&lt;="&amp;$BC$2))</f>
        <v/>
      </c>
      <c r="K248" s="67" t="str">
        <f>IF(OR($B248="",基础资料!$B$6=""),"",-SUMIFS(周转筐出入库明细!$I$4:$I$2004,周转筐出入库明细!$C$4:$C$2004,$B248,周转筐出入库明细!$D$4:$D$2004,基础资料!$B$6,周转筐出入库明细!$B$4:$B$2004,"&gt;="&amp;$BC$1,周转筐出入库明细!$B$4:$B$2004,"&lt;="&amp;$BC$2))</f>
        <v/>
      </c>
      <c r="L248" s="67" t="str">
        <f>IF(OR($B248="",基础资料!$B$7=""),"",-SUMIFS(周转筐出入库明细!$I$4:$I$2004,周转筐出入库明细!$C$4:$C$2004,$B248,周转筐出入库明细!$D$4:$D$2004,基础资料!$B$7,周转筐出入库明细!$B$4:$B$2004,"&gt;="&amp;$BC$1,周转筐出入库明细!$B$4:$B$2004,"&lt;="&amp;$BC$2))</f>
        <v/>
      </c>
      <c r="M248" s="67" t="str">
        <f>IF(OR($B248="",基础资料!$B$8=""),"",-SUMIFS(周转筐出入库明细!$I$4:$I$2004,周转筐出入库明细!$C$4:$C$2004,$B248,周转筐出入库明细!$D$4:$D$2004,基础资料!$B$8,周转筐出入库明细!$B$4:$B$2004,"&gt;="&amp;$BC$1,周转筐出入库明细!$B$4:$B$2004,"&lt;="&amp;$BC$2))</f>
        <v/>
      </c>
      <c r="N248" s="67" t="str">
        <f t="shared" si="38"/>
        <v/>
      </c>
      <c r="O248" s="25" t="str">
        <f>IF(OR($B248="",基础资料!$B$4=""),"",SUMIFS(周转筐出入库明细!$H$4:$H$2004,周转筐出入库明细!$C$4:$C$2004,$B248,周转筐出入库明细!$D$4:$D$2004,基础资料!$B$4,周转筐出入库明细!$F$4:$F$2004,"采购入库",周转筐出入库明细!$B$4:$B$2004,"&gt;="&amp;$BC$1,周转筐出入库明细!$B$4:$B$2004,"&lt;="&amp;$BC$2))</f>
        <v/>
      </c>
      <c r="P248" s="25" t="str">
        <f>IF(OR($B248="",基础资料!$B$5=""),"",SUMIFS(周转筐出入库明细!$H$4:$H$2004,周转筐出入库明细!$C$4:$C$2004,$B248,周转筐出入库明细!$D$4:$D$2004,基础资料!$B$5,周转筐出入库明细!$F$4:$F$2004,"采购入库",周转筐出入库明细!$B$4:$B$2004,"&gt;="&amp;$BC$1,周转筐出入库明细!$B$4:$B$2004,"&lt;="&amp;$BC$2))</f>
        <v/>
      </c>
      <c r="Q248" s="25" t="str">
        <f>IF(OR($B248="",基础资料!$B$6=""),"",SUMIFS(周转筐出入库明细!$H$4:$H$2004,周转筐出入库明细!$C$4:$C$2004,$B248,周转筐出入库明细!$D$4:$D$2004,基础资料!$B$6,周转筐出入库明细!$F$4:$F$2004,"采购入库",周转筐出入库明细!$B$4:$B$2004,"&gt;="&amp;$BC$1,周转筐出入库明细!$B$4:$B$2004,"&lt;="&amp;$BC$2))</f>
        <v/>
      </c>
      <c r="R248" s="25" t="str">
        <f>IF(OR($B248="",基础资料!$B$7=""),"",SUMIFS(周转筐出入库明细!$H$4:$H$2004,周转筐出入库明细!$C$4:$C$2004,$B248,周转筐出入库明细!$D$4:$D$2004,基础资料!$B$7,周转筐出入库明细!$F$4:$F$2004,"采购入库",周转筐出入库明细!$B$4:$B$2004,"&gt;="&amp;$BC$1,周转筐出入库明细!$B$4:$B$2004,"&lt;="&amp;$BC$2))</f>
        <v/>
      </c>
      <c r="S248" s="25" t="str">
        <f>IF(OR($B248="",基础资料!$B$8=""),"",SUMIFS(周转筐出入库明细!$H$4:$H$2004,周转筐出入库明细!$C$4:$C$2004,$B248,周转筐出入库明细!$D$4:$D$2004,基础资料!$B$8,周转筐出入库明细!$F$4:$F$2004,"采购入库",周转筐出入库明细!$B$4:$B$2004,"&gt;="&amp;$BC$1,周转筐出入库明细!$B$4:$B$2004,"&lt;="&amp;$BC$2))</f>
        <v/>
      </c>
      <c r="T248" s="25" t="str">
        <f t="shared" si="39"/>
        <v/>
      </c>
      <c r="U248" s="25" t="str">
        <f>IF(OR($B248="",基础资料!$B$4=""),"",SUMIFS(周转筐出入库明细!$K$4:$K$2004,周转筐出入库明细!$C$4:$C$2004,$B248,周转筐出入库明细!$D$4:$D$2004,基础资料!$B$4,周转筐出入库明细!$B$4:$B$2004,"&gt;="&amp;$BC$1,周转筐出入库明细!$B$4:$B$2004,"&lt;="&amp;$BC$2))</f>
        <v/>
      </c>
      <c r="V248" s="25" t="str">
        <f>IF(OR($B248="",基础资料!$B$5=""),"",SUMIFS(周转筐出入库明细!$K$4:$K$2004,周转筐出入库明细!$C$4:$C$2004,$B248,周转筐出入库明细!$D$4:$D$2004,基础资料!$B$5,周转筐出入库明细!$B$4:$B$2004,"&gt;="&amp;$BC$1,周转筐出入库明细!$B$4:$B$2004,"&lt;="&amp;$BC$2))</f>
        <v/>
      </c>
      <c r="W248" s="25" t="str">
        <f>IF(OR($B248="",基础资料!$B$6=""),"",SUMIFS(周转筐出入库明细!$K$4:$K$2004,周转筐出入库明细!$C$4:$C$2004,$B248,周转筐出入库明细!$D$4:$D$2004,基础资料!$B$6,周转筐出入库明细!$B$4:$B$2004,"&gt;="&amp;$BC$1,周转筐出入库明细!$B$4:$B$2004,"&lt;="&amp;$BC$2))</f>
        <v/>
      </c>
      <c r="X248" s="25" t="str">
        <f>IF(OR($B248="",基础资料!$B$7=""),"",SUMIFS(周转筐出入库明细!$K$4:$K$2004,周转筐出入库明细!$C$4:$C$2004,$B248,周转筐出入库明细!$D$4:$D$2004,基础资料!$B$7,周转筐出入库明细!$B$4:$B$2004,"&gt;="&amp;$BC$1,周转筐出入库明细!$B$4:$B$2004,"&lt;="&amp;$BC$2))</f>
        <v/>
      </c>
      <c r="Y248" s="25" t="str">
        <f>IF(OR($B248="",基础资料!$B$8=""),"",SUMIFS(周转筐出入库明细!$K$4:$K$2004,周转筐出入库明细!$C$4:$C$2004,$B248,周转筐出入库明细!$D$4:$D$2004,基础资料!$B$8,周转筐出入库明细!$B$4:$B$2004,"&gt;="&amp;$BC$1,周转筐出入库明细!$B$4:$B$2004,"&lt;="&amp;$BC$2))</f>
        <v/>
      </c>
      <c r="Z248" s="25" t="str">
        <f t="shared" si="40"/>
        <v/>
      </c>
      <c r="AA248" s="67" t="str">
        <f>IF(OR($B248="",基础资料!$B$4=""),"",-SUMIFS(对接源_01水果筐数!$D$5:$D$304,对接源_01水果筐数!$B$5:$B$304,$B248,对接源_01水果筐数!$C$5:$C$304,基础资料!$B$4))</f>
        <v/>
      </c>
      <c r="AB248" s="67" t="str">
        <f>IF(OR($B248="",基础资料!$B$5=""),"",-SUMIFS(对接源_01水果筐数!$D$5:$D$304,对接源_01水果筐数!$B$5:$B$304,$B248,对接源_01水果筐数!$C$5:$C$304,基础资料!$B$5))</f>
        <v/>
      </c>
      <c r="AC248" s="67" t="str">
        <f>IF(OR($B248="",基础资料!$B$6=""),"",-SUMIFS(对接源_01水果筐数!$D$5:$D$304,对接源_01水果筐数!$B$5:$B$304,$B248,对接源_01水果筐数!$C$5:$C$304,基础资料!$B$6))</f>
        <v/>
      </c>
      <c r="AD248" s="67" t="str">
        <f>IF(OR($B248="",基础资料!$B$7=""),"",-SUMIFS(对接源_01水果筐数!$D$5:$D$304,对接源_01水果筐数!$B$5:$B$304,$B248,对接源_01水果筐数!$C$5:$C$304,基础资料!$B$7))</f>
        <v/>
      </c>
      <c r="AE248" s="67" t="str">
        <f>IF(OR($B248="",基础资料!$B$8=""),"",-SUMIFS(对接源_01水果筐数!$D$5:$D$304,对接源_01水果筐数!$B$5:$B$304,$B248,对接源_01水果筐数!$C$5:$C$304,基础资料!$B$8))</f>
        <v/>
      </c>
      <c r="AF248" s="25" t="str">
        <f>IF(OR($B248="",基础资料!$B$4=""),"",SUMIFS(对接源_01水果筐数!$E$5:$E$304,对接源_01水果筐数!$B$5:$B$304,$B248,对接源_01水果筐数!$C$5:$C$304,基础资料!$B$4))</f>
        <v/>
      </c>
      <c r="AG248" s="25" t="str">
        <f>IF(OR($B248="",基础资料!$B$5=""),"",SUMIFS(对接源_01水果筐数!$E$5:$E$304,对接源_01水果筐数!$B$5:$B$304,$B248,对接源_01水果筐数!$C$5:$C$304,基础资料!$B$5))</f>
        <v/>
      </c>
      <c r="AH248" s="25" t="str">
        <f>IF(OR($B248="",基础资料!$B$6=""),"",SUMIFS(对接源_01水果筐数!$E$5:$E$304,对接源_01水果筐数!$B$5:$B$304,$B248,对接源_01水果筐数!$C$5:$C$304,基础资料!$B$6))</f>
        <v/>
      </c>
      <c r="AI248" s="25" t="str">
        <f>IF(OR($B248="",基础资料!$B$7=""),"",SUMIFS(对接源_01水果筐数!$E$5:$E$304,对接源_01水果筐数!$B$5:$B$304,$B248,对接源_01水果筐数!$C$5:$C$304,基础资料!$B$7))</f>
        <v/>
      </c>
      <c r="AJ248" s="25" t="str">
        <f>IF(OR($B248="",基础资料!$B$8=""),"",SUMIFS(对接源_01水果筐数!$E$5:$E$304,对接源_01水果筐数!$B$5:$B$304,$B248,对接源_01水果筐数!$C$5:$C$304,基础资料!$B$8))</f>
        <v/>
      </c>
      <c r="AK248" s="25" t="str">
        <f>IF(OR($B248="",基础资料!$B$4=""),"",SUMIFS(对接源_01水果筐数!$F$5:$F$304,对接源_01水果筐数!$B$5:$B$304,$B248,对接源_01水果筐数!$C$5:$C$304,基础资料!$B$4))</f>
        <v/>
      </c>
      <c r="AL248" s="25" t="str">
        <f>IF(OR($B248="",基础资料!$B$5=""),"",SUMIFS(对接源_01水果筐数!$F$5:$F$304,对接源_01水果筐数!$B$5:$B$304,$B248,对接源_01水果筐数!$C$5:$C$304,基础资料!$B$5))</f>
        <v/>
      </c>
      <c r="AM248" s="25" t="str">
        <f>IF(OR($B248="",基础资料!$B$6=""),"",SUMIFS(对接源_01水果筐数!$F$5:$F$304,对接源_01水果筐数!$B$5:$B$304,$B248,对接源_01水果筐数!$C$5:$C$304,基础资料!$B$6))</f>
        <v/>
      </c>
      <c r="AN248" s="25" t="str">
        <f>IF(OR($B248="",基础资料!$B$7=""),"",SUMIFS(对接源_01水果筐数!$F$5:$F$304,对接源_01水果筐数!$B$5:$B$304,$B248,对接源_01水果筐数!$C$5:$C$304,基础资料!$B$7))</f>
        <v/>
      </c>
      <c r="AO248" s="25" t="str">
        <f>IF(OR($B248="",基础资料!$B$8=""),"",SUMIFS(对接源_01水果筐数!$F$5:$F$304,对接源_01水果筐数!$B$5:$B$304,$B248,对接源_01水果筐数!$C$5:$C$304,基础资料!$B$8))</f>
        <v/>
      </c>
      <c r="AP248" s="25" t="str">
        <f t="shared" si="41"/>
        <v/>
      </c>
      <c r="AQ248" s="25" t="str">
        <f t="shared" si="42"/>
        <v/>
      </c>
      <c r="AR248" s="25" t="str">
        <f t="shared" si="43"/>
        <v/>
      </c>
      <c r="AS248" s="25" t="str">
        <f t="shared" si="44"/>
        <v/>
      </c>
      <c r="AT248" s="25" t="str">
        <f t="shared" si="45"/>
        <v/>
      </c>
      <c r="AU248" s="25" t="str">
        <f t="shared" si="46"/>
        <v/>
      </c>
      <c r="AV248" s="24" t="str">
        <f t="shared" si="47"/>
        <v/>
      </c>
      <c r="AW248" s="72"/>
    </row>
    <row r="249" spans="1:49">
      <c r="A249" s="22" t="str">
        <f t="shared" si="36"/>
        <v/>
      </c>
      <c r="B249" s="24" t="str">
        <f>IFERROR(INDEX(_自动清单!$CC$4:$CC$253,ROW()-3),"")</f>
        <v/>
      </c>
      <c r="C249" s="25" t="str">
        <f>IF(OR($B249="",基础资料!$B$4=""),"",SUMIFS(周转筐出入库明细!$J$4:$J$2004,周转筐出入库明细!$C$4:$C$2004,$B249,周转筐出入库明细!$D$4:$D$2004,基础资料!$B$4,周转筐出入库明细!$B$4:$B$2004,"&gt;="&amp;$BC$1,周转筐出入库明细!$B$4:$B$2004,"&lt;="&amp;$BC$2))</f>
        <v/>
      </c>
      <c r="D249" s="25" t="str">
        <f>IF(OR($B249="",基础资料!$B$5=""),"",SUMIFS(周转筐出入库明细!$J$4:$J$2004,周转筐出入库明细!$C$4:$C$2004,$B249,周转筐出入库明细!$D$4:$D$2004,基础资料!$B$5,周转筐出入库明细!$B$4:$B$2004,"&gt;="&amp;$BC$1,周转筐出入库明细!$B$4:$B$2004,"&lt;="&amp;$BC$2))</f>
        <v/>
      </c>
      <c r="E249" s="25" t="str">
        <f>IF(OR($B249="",基础资料!$B$6=""),"",SUMIFS(周转筐出入库明细!$J$4:$J$2004,周转筐出入库明细!$C$4:$C$2004,$B249,周转筐出入库明细!$D$4:$D$2004,基础资料!$B$6,周转筐出入库明细!$B$4:$B$2004,"&gt;="&amp;$BC$1,周转筐出入库明细!$B$4:$B$2004,"&lt;="&amp;$BC$2))</f>
        <v/>
      </c>
      <c r="F249" s="25" t="str">
        <f>IF(OR($B249="",基础资料!$B$7=""),"",SUMIFS(周转筐出入库明细!$J$4:$J$2004,周转筐出入库明细!$C$4:$C$2004,$B249,周转筐出入库明细!$D$4:$D$2004,基础资料!$B$7,周转筐出入库明细!$B$4:$B$2004,"&gt;="&amp;$BC$1,周转筐出入库明细!$B$4:$B$2004,"&lt;="&amp;$BC$2))</f>
        <v/>
      </c>
      <c r="G249" s="25" t="str">
        <f>IF(OR($B249="",基础资料!$B$8=""),"",SUMIFS(周转筐出入库明细!$J$4:$J$2004,周转筐出入库明细!$C$4:$C$2004,$B249,周转筐出入库明细!$D$4:$D$2004,基础资料!$B$8,周转筐出入库明细!$B$4:$B$2004,"&gt;="&amp;$BC$1,周转筐出入库明细!$B$4:$B$2004,"&lt;="&amp;$BC$2))</f>
        <v/>
      </c>
      <c r="H249" s="25" t="str">
        <f t="shared" si="37"/>
        <v/>
      </c>
      <c r="I249" s="67" t="str">
        <f>IF(OR($B249="",基础资料!$B$4=""),"",-SUMIFS(周转筐出入库明细!$I$4:$I$2004,周转筐出入库明细!$C$4:$C$2004,$B249,周转筐出入库明细!$D$4:$D$2004,基础资料!$B$4,周转筐出入库明细!$B$4:$B$2004,"&gt;="&amp;$BC$1,周转筐出入库明细!$B$4:$B$2004,"&lt;="&amp;$BC$2))</f>
        <v/>
      </c>
      <c r="J249" s="67" t="str">
        <f>IF(OR($B249="",基础资料!$B$5=""),"",-SUMIFS(周转筐出入库明细!$I$4:$I$2004,周转筐出入库明细!$C$4:$C$2004,$B249,周转筐出入库明细!$D$4:$D$2004,基础资料!$B$5,周转筐出入库明细!$B$4:$B$2004,"&gt;="&amp;$BC$1,周转筐出入库明细!$B$4:$B$2004,"&lt;="&amp;$BC$2))</f>
        <v/>
      </c>
      <c r="K249" s="67" t="str">
        <f>IF(OR($B249="",基础资料!$B$6=""),"",-SUMIFS(周转筐出入库明细!$I$4:$I$2004,周转筐出入库明细!$C$4:$C$2004,$B249,周转筐出入库明细!$D$4:$D$2004,基础资料!$B$6,周转筐出入库明细!$B$4:$B$2004,"&gt;="&amp;$BC$1,周转筐出入库明细!$B$4:$B$2004,"&lt;="&amp;$BC$2))</f>
        <v/>
      </c>
      <c r="L249" s="67" t="str">
        <f>IF(OR($B249="",基础资料!$B$7=""),"",-SUMIFS(周转筐出入库明细!$I$4:$I$2004,周转筐出入库明细!$C$4:$C$2004,$B249,周转筐出入库明细!$D$4:$D$2004,基础资料!$B$7,周转筐出入库明细!$B$4:$B$2004,"&gt;="&amp;$BC$1,周转筐出入库明细!$B$4:$B$2004,"&lt;="&amp;$BC$2))</f>
        <v/>
      </c>
      <c r="M249" s="67" t="str">
        <f>IF(OR($B249="",基础资料!$B$8=""),"",-SUMIFS(周转筐出入库明细!$I$4:$I$2004,周转筐出入库明细!$C$4:$C$2004,$B249,周转筐出入库明细!$D$4:$D$2004,基础资料!$B$8,周转筐出入库明细!$B$4:$B$2004,"&gt;="&amp;$BC$1,周转筐出入库明细!$B$4:$B$2004,"&lt;="&amp;$BC$2))</f>
        <v/>
      </c>
      <c r="N249" s="67" t="str">
        <f t="shared" si="38"/>
        <v/>
      </c>
      <c r="O249" s="25" t="str">
        <f>IF(OR($B249="",基础资料!$B$4=""),"",SUMIFS(周转筐出入库明细!$H$4:$H$2004,周转筐出入库明细!$C$4:$C$2004,$B249,周转筐出入库明细!$D$4:$D$2004,基础资料!$B$4,周转筐出入库明细!$F$4:$F$2004,"采购入库",周转筐出入库明细!$B$4:$B$2004,"&gt;="&amp;$BC$1,周转筐出入库明细!$B$4:$B$2004,"&lt;="&amp;$BC$2))</f>
        <v/>
      </c>
      <c r="P249" s="25" t="str">
        <f>IF(OR($B249="",基础资料!$B$5=""),"",SUMIFS(周转筐出入库明细!$H$4:$H$2004,周转筐出入库明细!$C$4:$C$2004,$B249,周转筐出入库明细!$D$4:$D$2004,基础资料!$B$5,周转筐出入库明细!$F$4:$F$2004,"采购入库",周转筐出入库明细!$B$4:$B$2004,"&gt;="&amp;$BC$1,周转筐出入库明细!$B$4:$B$2004,"&lt;="&amp;$BC$2))</f>
        <v/>
      </c>
      <c r="Q249" s="25" t="str">
        <f>IF(OR($B249="",基础资料!$B$6=""),"",SUMIFS(周转筐出入库明细!$H$4:$H$2004,周转筐出入库明细!$C$4:$C$2004,$B249,周转筐出入库明细!$D$4:$D$2004,基础资料!$B$6,周转筐出入库明细!$F$4:$F$2004,"采购入库",周转筐出入库明细!$B$4:$B$2004,"&gt;="&amp;$BC$1,周转筐出入库明细!$B$4:$B$2004,"&lt;="&amp;$BC$2))</f>
        <v/>
      </c>
      <c r="R249" s="25" t="str">
        <f>IF(OR($B249="",基础资料!$B$7=""),"",SUMIFS(周转筐出入库明细!$H$4:$H$2004,周转筐出入库明细!$C$4:$C$2004,$B249,周转筐出入库明细!$D$4:$D$2004,基础资料!$B$7,周转筐出入库明细!$F$4:$F$2004,"采购入库",周转筐出入库明细!$B$4:$B$2004,"&gt;="&amp;$BC$1,周转筐出入库明细!$B$4:$B$2004,"&lt;="&amp;$BC$2))</f>
        <v/>
      </c>
      <c r="S249" s="25" t="str">
        <f>IF(OR($B249="",基础资料!$B$8=""),"",SUMIFS(周转筐出入库明细!$H$4:$H$2004,周转筐出入库明细!$C$4:$C$2004,$B249,周转筐出入库明细!$D$4:$D$2004,基础资料!$B$8,周转筐出入库明细!$F$4:$F$2004,"采购入库",周转筐出入库明细!$B$4:$B$2004,"&gt;="&amp;$BC$1,周转筐出入库明细!$B$4:$B$2004,"&lt;="&amp;$BC$2))</f>
        <v/>
      </c>
      <c r="T249" s="25" t="str">
        <f t="shared" si="39"/>
        <v/>
      </c>
      <c r="U249" s="25" t="str">
        <f>IF(OR($B249="",基础资料!$B$4=""),"",SUMIFS(周转筐出入库明细!$K$4:$K$2004,周转筐出入库明细!$C$4:$C$2004,$B249,周转筐出入库明细!$D$4:$D$2004,基础资料!$B$4,周转筐出入库明细!$B$4:$B$2004,"&gt;="&amp;$BC$1,周转筐出入库明细!$B$4:$B$2004,"&lt;="&amp;$BC$2))</f>
        <v/>
      </c>
      <c r="V249" s="25" t="str">
        <f>IF(OR($B249="",基础资料!$B$5=""),"",SUMIFS(周转筐出入库明细!$K$4:$K$2004,周转筐出入库明细!$C$4:$C$2004,$B249,周转筐出入库明细!$D$4:$D$2004,基础资料!$B$5,周转筐出入库明细!$B$4:$B$2004,"&gt;="&amp;$BC$1,周转筐出入库明细!$B$4:$B$2004,"&lt;="&amp;$BC$2))</f>
        <v/>
      </c>
      <c r="W249" s="25" t="str">
        <f>IF(OR($B249="",基础资料!$B$6=""),"",SUMIFS(周转筐出入库明细!$K$4:$K$2004,周转筐出入库明细!$C$4:$C$2004,$B249,周转筐出入库明细!$D$4:$D$2004,基础资料!$B$6,周转筐出入库明细!$B$4:$B$2004,"&gt;="&amp;$BC$1,周转筐出入库明细!$B$4:$B$2004,"&lt;="&amp;$BC$2))</f>
        <v/>
      </c>
      <c r="X249" s="25" t="str">
        <f>IF(OR($B249="",基础资料!$B$7=""),"",SUMIFS(周转筐出入库明细!$K$4:$K$2004,周转筐出入库明细!$C$4:$C$2004,$B249,周转筐出入库明细!$D$4:$D$2004,基础资料!$B$7,周转筐出入库明细!$B$4:$B$2004,"&gt;="&amp;$BC$1,周转筐出入库明细!$B$4:$B$2004,"&lt;="&amp;$BC$2))</f>
        <v/>
      </c>
      <c r="Y249" s="25" t="str">
        <f>IF(OR($B249="",基础资料!$B$8=""),"",SUMIFS(周转筐出入库明细!$K$4:$K$2004,周转筐出入库明细!$C$4:$C$2004,$B249,周转筐出入库明细!$D$4:$D$2004,基础资料!$B$8,周转筐出入库明细!$B$4:$B$2004,"&gt;="&amp;$BC$1,周转筐出入库明细!$B$4:$B$2004,"&lt;="&amp;$BC$2))</f>
        <v/>
      </c>
      <c r="Z249" s="25" t="str">
        <f t="shared" si="40"/>
        <v/>
      </c>
      <c r="AA249" s="67" t="str">
        <f>IF(OR($B249="",基础资料!$B$4=""),"",-SUMIFS(对接源_01水果筐数!$D$5:$D$304,对接源_01水果筐数!$B$5:$B$304,$B249,对接源_01水果筐数!$C$5:$C$304,基础资料!$B$4))</f>
        <v/>
      </c>
      <c r="AB249" s="67" t="str">
        <f>IF(OR($B249="",基础资料!$B$5=""),"",-SUMIFS(对接源_01水果筐数!$D$5:$D$304,对接源_01水果筐数!$B$5:$B$304,$B249,对接源_01水果筐数!$C$5:$C$304,基础资料!$B$5))</f>
        <v/>
      </c>
      <c r="AC249" s="67" t="str">
        <f>IF(OR($B249="",基础资料!$B$6=""),"",-SUMIFS(对接源_01水果筐数!$D$5:$D$304,对接源_01水果筐数!$B$5:$B$304,$B249,对接源_01水果筐数!$C$5:$C$304,基础资料!$B$6))</f>
        <v/>
      </c>
      <c r="AD249" s="67" t="str">
        <f>IF(OR($B249="",基础资料!$B$7=""),"",-SUMIFS(对接源_01水果筐数!$D$5:$D$304,对接源_01水果筐数!$B$5:$B$304,$B249,对接源_01水果筐数!$C$5:$C$304,基础资料!$B$7))</f>
        <v/>
      </c>
      <c r="AE249" s="67" t="str">
        <f>IF(OR($B249="",基础资料!$B$8=""),"",-SUMIFS(对接源_01水果筐数!$D$5:$D$304,对接源_01水果筐数!$B$5:$B$304,$B249,对接源_01水果筐数!$C$5:$C$304,基础资料!$B$8))</f>
        <v/>
      </c>
      <c r="AF249" s="25" t="str">
        <f>IF(OR($B249="",基础资料!$B$4=""),"",SUMIFS(对接源_01水果筐数!$E$5:$E$304,对接源_01水果筐数!$B$5:$B$304,$B249,对接源_01水果筐数!$C$5:$C$304,基础资料!$B$4))</f>
        <v/>
      </c>
      <c r="AG249" s="25" t="str">
        <f>IF(OR($B249="",基础资料!$B$5=""),"",SUMIFS(对接源_01水果筐数!$E$5:$E$304,对接源_01水果筐数!$B$5:$B$304,$B249,对接源_01水果筐数!$C$5:$C$304,基础资料!$B$5))</f>
        <v/>
      </c>
      <c r="AH249" s="25" t="str">
        <f>IF(OR($B249="",基础资料!$B$6=""),"",SUMIFS(对接源_01水果筐数!$E$5:$E$304,对接源_01水果筐数!$B$5:$B$304,$B249,对接源_01水果筐数!$C$5:$C$304,基础资料!$B$6))</f>
        <v/>
      </c>
      <c r="AI249" s="25" t="str">
        <f>IF(OR($B249="",基础资料!$B$7=""),"",SUMIFS(对接源_01水果筐数!$E$5:$E$304,对接源_01水果筐数!$B$5:$B$304,$B249,对接源_01水果筐数!$C$5:$C$304,基础资料!$B$7))</f>
        <v/>
      </c>
      <c r="AJ249" s="25" t="str">
        <f>IF(OR($B249="",基础资料!$B$8=""),"",SUMIFS(对接源_01水果筐数!$E$5:$E$304,对接源_01水果筐数!$B$5:$B$304,$B249,对接源_01水果筐数!$C$5:$C$304,基础资料!$B$8))</f>
        <v/>
      </c>
      <c r="AK249" s="25" t="str">
        <f>IF(OR($B249="",基础资料!$B$4=""),"",SUMIFS(对接源_01水果筐数!$F$5:$F$304,对接源_01水果筐数!$B$5:$B$304,$B249,对接源_01水果筐数!$C$5:$C$304,基础资料!$B$4))</f>
        <v/>
      </c>
      <c r="AL249" s="25" t="str">
        <f>IF(OR($B249="",基础资料!$B$5=""),"",SUMIFS(对接源_01水果筐数!$F$5:$F$304,对接源_01水果筐数!$B$5:$B$304,$B249,对接源_01水果筐数!$C$5:$C$304,基础资料!$B$5))</f>
        <v/>
      </c>
      <c r="AM249" s="25" t="str">
        <f>IF(OR($B249="",基础资料!$B$6=""),"",SUMIFS(对接源_01水果筐数!$F$5:$F$304,对接源_01水果筐数!$B$5:$B$304,$B249,对接源_01水果筐数!$C$5:$C$304,基础资料!$B$6))</f>
        <v/>
      </c>
      <c r="AN249" s="25" t="str">
        <f>IF(OR($B249="",基础资料!$B$7=""),"",SUMIFS(对接源_01水果筐数!$F$5:$F$304,对接源_01水果筐数!$B$5:$B$304,$B249,对接源_01水果筐数!$C$5:$C$304,基础资料!$B$7))</f>
        <v/>
      </c>
      <c r="AO249" s="25" t="str">
        <f>IF(OR($B249="",基础资料!$B$8=""),"",SUMIFS(对接源_01水果筐数!$F$5:$F$304,对接源_01水果筐数!$B$5:$B$304,$B249,对接源_01水果筐数!$C$5:$C$304,基础资料!$B$8))</f>
        <v/>
      </c>
      <c r="AP249" s="25" t="str">
        <f t="shared" si="41"/>
        <v/>
      </c>
      <c r="AQ249" s="25" t="str">
        <f t="shared" si="42"/>
        <v/>
      </c>
      <c r="AR249" s="25" t="str">
        <f t="shared" si="43"/>
        <v/>
      </c>
      <c r="AS249" s="25" t="str">
        <f t="shared" si="44"/>
        <v/>
      </c>
      <c r="AT249" s="25" t="str">
        <f t="shared" si="45"/>
        <v/>
      </c>
      <c r="AU249" s="25" t="str">
        <f t="shared" si="46"/>
        <v/>
      </c>
      <c r="AV249" s="24" t="str">
        <f t="shared" si="47"/>
        <v/>
      </c>
      <c r="AW249" s="72"/>
    </row>
    <row r="250" spans="1:49">
      <c r="A250" s="22" t="str">
        <f t="shared" si="36"/>
        <v/>
      </c>
      <c r="B250" s="24" t="str">
        <f>IFERROR(INDEX(_自动清单!$CC$4:$CC$253,ROW()-3),"")</f>
        <v/>
      </c>
      <c r="C250" s="25" t="str">
        <f>IF(OR($B250="",基础资料!$B$4=""),"",SUMIFS(周转筐出入库明细!$J$4:$J$2004,周转筐出入库明细!$C$4:$C$2004,$B250,周转筐出入库明细!$D$4:$D$2004,基础资料!$B$4,周转筐出入库明细!$B$4:$B$2004,"&gt;="&amp;$BC$1,周转筐出入库明细!$B$4:$B$2004,"&lt;="&amp;$BC$2))</f>
        <v/>
      </c>
      <c r="D250" s="25" t="str">
        <f>IF(OR($B250="",基础资料!$B$5=""),"",SUMIFS(周转筐出入库明细!$J$4:$J$2004,周转筐出入库明细!$C$4:$C$2004,$B250,周转筐出入库明细!$D$4:$D$2004,基础资料!$B$5,周转筐出入库明细!$B$4:$B$2004,"&gt;="&amp;$BC$1,周转筐出入库明细!$B$4:$B$2004,"&lt;="&amp;$BC$2))</f>
        <v/>
      </c>
      <c r="E250" s="25" t="str">
        <f>IF(OR($B250="",基础资料!$B$6=""),"",SUMIFS(周转筐出入库明细!$J$4:$J$2004,周转筐出入库明细!$C$4:$C$2004,$B250,周转筐出入库明细!$D$4:$D$2004,基础资料!$B$6,周转筐出入库明细!$B$4:$B$2004,"&gt;="&amp;$BC$1,周转筐出入库明细!$B$4:$B$2004,"&lt;="&amp;$BC$2))</f>
        <v/>
      </c>
      <c r="F250" s="25" t="str">
        <f>IF(OR($B250="",基础资料!$B$7=""),"",SUMIFS(周转筐出入库明细!$J$4:$J$2004,周转筐出入库明细!$C$4:$C$2004,$B250,周转筐出入库明细!$D$4:$D$2004,基础资料!$B$7,周转筐出入库明细!$B$4:$B$2004,"&gt;="&amp;$BC$1,周转筐出入库明细!$B$4:$B$2004,"&lt;="&amp;$BC$2))</f>
        <v/>
      </c>
      <c r="G250" s="25" t="str">
        <f>IF(OR($B250="",基础资料!$B$8=""),"",SUMIFS(周转筐出入库明细!$J$4:$J$2004,周转筐出入库明细!$C$4:$C$2004,$B250,周转筐出入库明细!$D$4:$D$2004,基础资料!$B$8,周转筐出入库明细!$B$4:$B$2004,"&gt;="&amp;$BC$1,周转筐出入库明细!$B$4:$B$2004,"&lt;="&amp;$BC$2))</f>
        <v/>
      </c>
      <c r="H250" s="25" t="str">
        <f t="shared" si="37"/>
        <v/>
      </c>
      <c r="I250" s="67" t="str">
        <f>IF(OR($B250="",基础资料!$B$4=""),"",-SUMIFS(周转筐出入库明细!$I$4:$I$2004,周转筐出入库明细!$C$4:$C$2004,$B250,周转筐出入库明细!$D$4:$D$2004,基础资料!$B$4,周转筐出入库明细!$B$4:$B$2004,"&gt;="&amp;$BC$1,周转筐出入库明细!$B$4:$B$2004,"&lt;="&amp;$BC$2))</f>
        <v/>
      </c>
      <c r="J250" s="67" t="str">
        <f>IF(OR($B250="",基础资料!$B$5=""),"",-SUMIFS(周转筐出入库明细!$I$4:$I$2004,周转筐出入库明细!$C$4:$C$2004,$B250,周转筐出入库明细!$D$4:$D$2004,基础资料!$B$5,周转筐出入库明细!$B$4:$B$2004,"&gt;="&amp;$BC$1,周转筐出入库明细!$B$4:$B$2004,"&lt;="&amp;$BC$2))</f>
        <v/>
      </c>
      <c r="K250" s="67" t="str">
        <f>IF(OR($B250="",基础资料!$B$6=""),"",-SUMIFS(周转筐出入库明细!$I$4:$I$2004,周转筐出入库明细!$C$4:$C$2004,$B250,周转筐出入库明细!$D$4:$D$2004,基础资料!$B$6,周转筐出入库明细!$B$4:$B$2004,"&gt;="&amp;$BC$1,周转筐出入库明细!$B$4:$B$2004,"&lt;="&amp;$BC$2))</f>
        <v/>
      </c>
      <c r="L250" s="67" t="str">
        <f>IF(OR($B250="",基础资料!$B$7=""),"",-SUMIFS(周转筐出入库明细!$I$4:$I$2004,周转筐出入库明细!$C$4:$C$2004,$B250,周转筐出入库明细!$D$4:$D$2004,基础资料!$B$7,周转筐出入库明细!$B$4:$B$2004,"&gt;="&amp;$BC$1,周转筐出入库明细!$B$4:$B$2004,"&lt;="&amp;$BC$2))</f>
        <v/>
      </c>
      <c r="M250" s="67" t="str">
        <f>IF(OR($B250="",基础资料!$B$8=""),"",-SUMIFS(周转筐出入库明细!$I$4:$I$2004,周转筐出入库明细!$C$4:$C$2004,$B250,周转筐出入库明细!$D$4:$D$2004,基础资料!$B$8,周转筐出入库明细!$B$4:$B$2004,"&gt;="&amp;$BC$1,周转筐出入库明细!$B$4:$B$2004,"&lt;="&amp;$BC$2))</f>
        <v/>
      </c>
      <c r="N250" s="67" t="str">
        <f t="shared" si="38"/>
        <v/>
      </c>
      <c r="O250" s="25" t="str">
        <f>IF(OR($B250="",基础资料!$B$4=""),"",SUMIFS(周转筐出入库明细!$H$4:$H$2004,周转筐出入库明细!$C$4:$C$2004,$B250,周转筐出入库明细!$D$4:$D$2004,基础资料!$B$4,周转筐出入库明细!$F$4:$F$2004,"采购入库",周转筐出入库明细!$B$4:$B$2004,"&gt;="&amp;$BC$1,周转筐出入库明细!$B$4:$B$2004,"&lt;="&amp;$BC$2))</f>
        <v/>
      </c>
      <c r="P250" s="25" t="str">
        <f>IF(OR($B250="",基础资料!$B$5=""),"",SUMIFS(周转筐出入库明细!$H$4:$H$2004,周转筐出入库明细!$C$4:$C$2004,$B250,周转筐出入库明细!$D$4:$D$2004,基础资料!$B$5,周转筐出入库明细!$F$4:$F$2004,"采购入库",周转筐出入库明细!$B$4:$B$2004,"&gt;="&amp;$BC$1,周转筐出入库明细!$B$4:$B$2004,"&lt;="&amp;$BC$2))</f>
        <v/>
      </c>
      <c r="Q250" s="25" t="str">
        <f>IF(OR($B250="",基础资料!$B$6=""),"",SUMIFS(周转筐出入库明细!$H$4:$H$2004,周转筐出入库明细!$C$4:$C$2004,$B250,周转筐出入库明细!$D$4:$D$2004,基础资料!$B$6,周转筐出入库明细!$F$4:$F$2004,"采购入库",周转筐出入库明细!$B$4:$B$2004,"&gt;="&amp;$BC$1,周转筐出入库明细!$B$4:$B$2004,"&lt;="&amp;$BC$2))</f>
        <v/>
      </c>
      <c r="R250" s="25" t="str">
        <f>IF(OR($B250="",基础资料!$B$7=""),"",SUMIFS(周转筐出入库明细!$H$4:$H$2004,周转筐出入库明细!$C$4:$C$2004,$B250,周转筐出入库明细!$D$4:$D$2004,基础资料!$B$7,周转筐出入库明细!$F$4:$F$2004,"采购入库",周转筐出入库明细!$B$4:$B$2004,"&gt;="&amp;$BC$1,周转筐出入库明细!$B$4:$B$2004,"&lt;="&amp;$BC$2))</f>
        <v/>
      </c>
      <c r="S250" s="25" t="str">
        <f>IF(OR($B250="",基础资料!$B$8=""),"",SUMIFS(周转筐出入库明细!$H$4:$H$2004,周转筐出入库明细!$C$4:$C$2004,$B250,周转筐出入库明细!$D$4:$D$2004,基础资料!$B$8,周转筐出入库明细!$F$4:$F$2004,"采购入库",周转筐出入库明细!$B$4:$B$2004,"&gt;="&amp;$BC$1,周转筐出入库明细!$B$4:$B$2004,"&lt;="&amp;$BC$2))</f>
        <v/>
      </c>
      <c r="T250" s="25" t="str">
        <f t="shared" si="39"/>
        <v/>
      </c>
      <c r="U250" s="25" t="str">
        <f>IF(OR($B250="",基础资料!$B$4=""),"",SUMIFS(周转筐出入库明细!$K$4:$K$2004,周转筐出入库明细!$C$4:$C$2004,$B250,周转筐出入库明细!$D$4:$D$2004,基础资料!$B$4,周转筐出入库明细!$B$4:$B$2004,"&gt;="&amp;$BC$1,周转筐出入库明细!$B$4:$B$2004,"&lt;="&amp;$BC$2))</f>
        <v/>
      </c>
      <c r="V250" s="25" t="str">
        <f>IF(OR($B250="",基础资料!$B$5=""),"",SUMIFS(周转筐出入库明细!$K$4:$K$2004,周转筐出入库明细!$C$4:$C$2004,$B250,周转筐出入库明细!$D$4:$D$2004,基础资料!$B$5,周转筐出入库明细!$B$4:$B$2004,"&gt;="&amp;$BC$1,周转筐出入库明细!$B$4:$B$2004,"&lt;="&amp;$BC$2))</f>
        <v/>
      </c>
      <c r="W250" s="25" t="str">
        <f>IF(OR($B250="",基础资料!$B$6=""),"",SUMIFS(周转筐出入库明细!$K$4:$K$2004,周转筐出入库明细!$C$4:$C$2004,$B250,周转筐出入库明细!$D$4:$D$2004,基础资料!$B$6,周转筐出入库明细!$B$4:$B$2004,"&gt;="&amp;$BC$1,周转筐出入库明细!$B$4:$B$2004,"&lt;="&amp;$BC$2))</f>
        <v/>
      </c>
      <c r="X250" s="25" t="str">
        <f>IF(OR($B250="",基础资料!$B$7=""),"",SUMIFS(周转筐出入库明细!$K$4:$K$2004,周转筐出入库明细!$C$4:$C$2004,$B250,周转筐出入库明细!$D$4:$D$2004,基础资料!$B$7,周转筐出入库明细!$B$4:$B$2004,"&gt;="&amp;$BC$1,周转筐出入库明细!$B$4:$B$2004,"&lt;="&amp;$BC$2))</f>
        <v/>
      </c>
      <c r="Y250" s="25" t="str">
        <f>IF(OR($B250="",基础资料!$B$8=""),"",SUMIFS(周转筐出入库明细!$K$4:$K$2004,周转筐出入库明细!$C$4:$C$2004,$B250,周转筐出入库明细!$D$4:$D$2004,基础资料!$B$8,周转筐出入库明细!$B$4:$B$2004,"&gt;="&amp;$BC$1,周转筐出入库明细!$B$4:$B$2004,"&lt;="&amp;$BC$2))</f>
        <v/>
      </c>
      <c r="Z250" s="25" t="str">
        <f t="shared" si="40"/>
        <v/>
      </c>
      <c r="AA250" s="67" t="str">
        <f>IF(OR($B250="",基础资料!$B$4=""),"",-SUMIFS(对接源_01水果筐数!$D$5:$D$304,对接源_01水果筐数!$B$5:$B$304,$B250,对接源_01水果筐数!$C$5:$C$304,基础资料!$B$4))</f>
        <v/>
      </c>
      <c r="AB250" s="67" t="str">
        <f>IF(OR($B250="",基础资料!$B$5=""),"",-SUMIFS(对接源_01水果筐数!$D$5:$D$304,对接源_01水果筐数!$B$5:$B$304,$B250,对接源_01水果筐数!$C$5:$C$304,基础资料!$B$5))</f>
        <v/>
      </c>
      <c r="AC250" s="67" t="str">
        <f>IF(OR($B250="",基础资料!$B$6=""),"",-SUMIFS(对接源_01水果筐数!$D$5:$D$304,对接源_01水果筐数!$B$5:$B$304,$B250,对接源_01水果筐数!$C$5:$C$304,基础资料!$B$6))</f>
        <v/>
      </c>
      <c r="AD250" s="67" t="str">
        <f>IF(OR($B250="",基础资料!$B$7=""),"",-SUMIFS(对接源_01水果筐数!$D$5:$D$304,对接源_01水果筐数!$B$5:$B$304,$B250,对接源_01水果筐数!$C$5:$C$304,基础资料!$B$7))</f>
        <v/>
      </c>
      <c r="AE250" s="67" t="str">
        <f>IF(OR($B250="",基础资料!$B$8=""),"",-SUMIFS(对接源_01水果筐数!$D$5:$D$304,对接源_01水果筐数!$B$5:$B$304,$B250,对接源_01水果筐数!$C$5:$C$304,基础资料!$B$8))</f>
        <v/>
      </c>
      <c r="AF250" s="25" t="str">
        <f>IF(OR($B250="",基础资料!$B$4=""),"",SUMIFS(对接源_01水果筐数!$E$5:$E$304,对接源_01水果筐数!$B$5:$B$304,$B250,对接源_01水果筐数!$C$5:$C$304,基础资料!$B$4))</f>
        <v/>
      </c>
      <c r="AG250" s="25" t="str">
        <f>IF(OR($B250="",基础资料!$B$5=""),"",SUMIFS(对接源_01水果筐数!$E$5:$E$304,对接源_01水果筐数!$B$5:$B$304,$B250,对接源_01水果筐数!$C$5:$C$304,基础资料!$B$5))</f>
        <v/>
      </c>
      <c r="AH250" s="25" t="str">
        <f>IF(OR($B250="",基础资料!$B$6=""),"",SUMIFS(对接源_01水果筐数!$E$5:$E$304,对接源_01水果筐数!$B$5:$B$304,$B250,对接源_01水果筐数!$C$5:$C$304,基础资料!$B$6))</f>
        <v/>
      </c>
      <c r="AI250" s="25" t="str">
        <f>IF(OR($B250="",基础资料!$B$7=""),"",SUMIFS(对接源_01水果筐数!$E$5:$E$304,对接源_01水果筐数!$B$5:$B$304,$B250,对接源_01水果筐数!$C$5:$C$304,基础资料!$B$7))</f>
        <v/>
      </c>
      <c r="AJ250" s="25" t="str">
        <f>IF(OR($B250="",基础资料!$B$8=""),"",SUMIFS(对接源_01水果筐数!$E$5:$E$304,对接源_01水果筐数!$B$5:$B$304,$B250,对接源_01水果筐数!$C$5:$C$304,基础资料!$B$8))</f>
        <v/>
      </c>
      <c r="AK250" s="25" t="str">
        <f>IF(OR($B250="",基础资料!$B$4=""),"",SUMIFS(对接源_01水果筐数!$F$5:$F$304,对接源_01水果筐数!$B$5:$B$304,$B250,对接源_01水果筐数!$C$5:$C$304,基础资料!$B$4))</f>
        <v/>
      </c>
      <c r="AL250" s="25" t="str">
        <f>IF(OR($B250="",基础资料!$B$5=""),"",SUMIFS(对接源_01水果筐数!$F$5:$F$304,对接源_01水果筐数!$B$5:$B$304,$B250,对接源_01水果筐数!$C$5:$C$304,基础资料!$B$5))</f>
        <v/>
      </c>
      <c r="AM250" s="25" t="str">
        <f>IF(OR($B250="",基础资料!$B$6=""),"",SUMIFS(对接源_01水果筐数!$F$5:$F$304,对接源_01水果筐数!$B$5:$B$304,$B250,对接源_01水果筐数!$C$5:$C$304,基础资料!$B$6))</f>
        <v/>
      </c>
      <c r="AN250" s="25" t="str">
        <f>IF(OR($B250="",基础资料!$B$7=""),"",SUMIFS(对接源_01水果筐数!$F$5:$F$304,对接源_01水果筐数!$B$5:$B$304,$B250,对接源_01水果筐数!$C$5:$C$304,基础资料!$B$7))</f>
        <v/>
      </c>
      <c r="AO250" s="25" t="str">
        <f>IF(OR($B250="",基础资料!$B$8=""),"",SUMIFS(对接源_01水果筐数!$F$5:$F$304,对接源_01水果筐数!$B$5:$B$304,$B250,对接源_01水果筐数!$C$5:$C$304,基础资料!$B$8))</f>
        <v/>
      </c>
      <c r="AP250" s="25" t="str">
        <f t="shared" si="41"/>
        <v/>
      </c>
      <c r="AQ250" s="25" t="str">
        <f t="shared" si="42"/>
        <v/>
      </c>
      <c r="AR250" s="25" t="str">
        <f t="shared" si="43"/>
        <v/>
      </c>
      <c r="AS250" s="25" t="str">
        <f t="shared" si="44"/>
        <v/>
      </c>
      <c r="AT250" s="25" t="str">
        <f t="shared" si="45"/>
        <v/>
      </c>
      <c r="AU250" s="25" t="str">
        <f t="shared" si="46"/>
        <v/>
      </c>
      <c r="AV250" s="24" t="str">
        <f t="shared" si="47"/>
        <v/>
      </c>
      <c r="AW250" s="72"/>
    </row>
    <row r="251" spans="1:49">
      <c r="A251" s="22" t="str">
        <f t="shared" si="36"/>
        <v/>
      </c>
      <c r="B251" s="24" t="str">
        <f>IFERROR(INDEX(_自动清单!$CC$4:$CC$253,ROW()-3),"")</f>
        <v/>
      </c>
      <c r="C251" s="25" t="str">
        <f>IF(OR($B251="",基础资料!$B$4=""),"",SUMIFS(周转筐出入库明细!$J$4:$J$2004,周转筐出入库明细!$C$4:$C$2004,$B251,周转筐出入库明细!$D$4:$D$2004,基础资料!$B$4,周转筐出入库明细!$B$4:$B$2004,"&gt;="&amp;$BC$1,周转筐出入库明细!$B$4:$B$2004,"&lt;="&amp;$BC$2))</f>
        <v/>
      </c>
      <c r="D251" s="25" t="str">
        <f>IF(OR($B251="",基础资料!$B$5=""),"",SUMIFS(周转筐出入库明细!$J$4:$J$2004,周转筐出入库明细!$C$4:$C$2004,$B251,周转筐出入库明细!$D$4:$D$2004,基础资料!$B$5,周转筐出入库明细!$B$4:$B$2004,"&gt;="&amp;$BC$1,周转筐出入库明细!$B$4:$B$2004,"&lt;="&amp;$BC$2))</f>
        <v/>
      </c>
      <c r="E251" s="25" t="str">
        <f>IF(OR($B251="",基础资料!$B$6=""),"",SUMIFS(周转筐出入库明细!$J$4:$J$2004,周转筐出入库明细!$C$4:$C$2004,$B251,周转筐出入库明细!$D$4:$D$2004,基础资料!$B$6,周转筐出入库明细!$B$4:$B$2004,"&gt;="&amp;$BC$1,周转筐出入库明细!$B$4:$B$2004,"&lt;="&amp;$BC$2))</f>
        <v/>
      </c>
      <c r="F251" s="25" t="str">
        <f>IF(OR($B251="",基础资料!$B$7=""),"",SUMIFS(周转筐出入库明细!$J$4:$J$2004,周转筐出入库明细!$C$4:$C$2004,$B251,周转筐出入库明细!$D$4:$D$2004,基础资料!$B$7,周转筐出入库明细!$B$4:$B$2004,"&gt;="&amp;$BC$1,周转筐出入库明细!$B$4:$B$2004,"&lt;="&amp;$BC$2))</f>
        <v/>
      </c>
      <c r="G251" s="25" t="str">
        <f>IF(OR($B251="",基础资料!$B$8=""),"",SUMIFS(周转筐出入库明细!$J$4:$J$2004,周转筐出入库明细!$C$4:$C$2004,$B251,周转筐出入库明细!$D$4:$D$2004,基础资料!$B$8,周转筐出入库明细!$B$4:$B$2004,"&gt;="&amp;$BC$1,周转筐出入库明细!$B$4:$B$2004,"&lt;="&amp;$BC$2))</f>
        <v/>
      </c>
      <c r="H251" s="25" t="str">
        <f t="shared" si="37"/>
        <v/>
      </c>
      <c r="I251" s="67" t="str">
        <f>IF(OR($B251="",基础资料!$B$4=""),"",-SUMIFS(周转筐出入库明细!$I$4:$I$2004,周转筐出入库明细!$C$4:$C$2004,$B251,周转筐出入库明细!$D$4:$D$2004,基础资料!$B$4,周转筐出入库明细!$B$4:$B$2004,"&gt;="&amp;$BC$1,周转筐出入库明细!$B$4:$B$2004,"&lt;="&amp;$BC$2))</f>
        <v/>
      </c>
      <c r="J251" s="67" t="str">
        <f>IF(OR($B251="",基础资料!$B$5=""),"",-SUMIFS(周转筐出入库明细!$I$4:$I$2004,周转筐出入库明细!$C$4:$C$2004,$B251,周转筐出入库明细!$D$4:$D$2004,基础资料!$B$5,周转筐出入库明细!$B$4:$B$2004,"&gt;="&amp;$BC$1,周转筐出入库明细!$B$4:$B$2004,"&lt;="&amp;$BC$2))</f>
        <v/>
      </c>
      <c r="K251" s="67" t="str">
        <f>IF(OR($B251="",基础资料!$B$6=""),"",-SUMIFS(周转筐出入库明细!$I$4:$I$2004,周转筐出入库明细!$C$4:$C$2004,$B251,周转筐出入库明细!$D$4:$D$2004,基础资料!$B$6,周转筐出入库明细!$B$4:$B$2004,"&gt;="&amp;$BC$1,周转筐出入库明细!$B$4:$B$2004,"&lt;="&amp;$BC$2))</f>
        <v/>
      </c>
      <c r="L251" s="67" t="str">
        <f>IF(OR($B251="",基础资料!$B$7=""),"",-SUMIFS(周转筐出入库明细!$I$4:$I$2004,周转筐出入库明细!$C$4:$C$2004,$B251,周转筐出入库明细!$D$4:$D$2004,基础资料!$B$7,周转筐出入库明细!$B$4:$B$2004,"&gt;="&amp;$BC$1,周转筐出入库明细!$B$4:$B$2004,"&lt;="&amp;$BC$2))</f>
        <v/>
      </c>
      <c r="M251" s="67" t="str">
        <f>IF(OR($B251="",基础资料!$B$8=""),"",-SUMIFS(周转筐出入库明细!$I$4:$I$2004,周转筐出入库明细!$C$4:$C$2004,$B251,周转筐出入库明细!$D$4:$D$2004,基础资料!$B$8,周转筐出入库明细!$B$4:$B$2004,"&gt;="&amp;$BC$1,周转筐出入库明细!$B$4:$B$2004,"&lt;="&amp;$BC$2))</f>
        <v/>
      </c>
      <c r="N251" s="67" t="str">
        <f t="shared" si="38"/>
        <v/>
      </c>
      <c r="O251" s="25" t="str">
        <f>IF(OR($B251="",基础资料!$B$4=""),"",SUMIFS(周转筐出入库明细!$H$4:$H$2004,周转筐出入库明细!$C$4:$C$2004,$B251,周转筐出入库明细!$D$4:$D$2004,基础资料!$B$4,周转筐出入库明细!$F$4:$F$2004,"采购入库",周转筐出入库明细!$B$4:$B$2004,"&gt;="&amp;$BC$1,周转筐出入库明细!$B$4:$B$2004,"&lt;="&amp;$BC$2))</f>
        <v/>
      </c>
      <c r="P251" s="25" t="str">
        <f>IF(OR($B251="",基础资料!$B$5=""),"",SUMIFS(周转筐出入库明细!$H$4:$H$2004,周转筐出入库明细!$C$4:$C$2004,$B251,周转筐出入库明细!$D$4:$D$2004,基础资料!$B$5,周转筐出入库明细!$F$4:$F$2004,"采购入库",周转筐出入库明细!$B$4:$B$2004,"&gt;="&amp;$BC$1,周转筐出入库明细!$B$4:$B$2004,"&lt;="&amp;$BC$2))</f>
        <v/>
      </c>
      <c r="Q251" s="25" t="str">
        <f>IF(OR($B251="",基础资料!$B$6=""),"",SUMIFS(周转筐出入库明细!$H$4:$H$2004,周转筐出入库明细!$C$4:$C$2004,$B251,周转筐出入库明细!$D$4:$D$2004,基础资料!$B$6,周转筐出入库明细!$F$4:$F$2004,"采购入库",周转筐出入库明细!$B$4:$B$2004,"&gt;="&amp;$BC$1,周转筐出入库明细!$B$4:$B$2004,"&lt;="&amp;$BC$2))</f>
        <v/>
      </c>
      <c r="R251" s="25" t="str">
        <f>IF(OR($B251="",基础资料!$B$7=""),"",SUMIFS(周转筐出入库明细!$H$4:$H$2004,周转筐出入库明细!$C$4:$C$2004,$B251,周转筐出入库明细!$D$4:$D$2004,基础资料!$B$7,周转筐出入库明细!$F$4:$F$2004,"采购入库",周转筐出入库明细!$B$4:$B$2004,"&gt;="&amp;$BC$1,周转筐出入库明细!$B$4:$B$2004,"&lt;="&amp;$BC$2))</f>
        <v/>
      </c>
      <c r="S251" s="25" t="str">
        <f>IF(OR($B251="",基础资料!$B$8=""),"",SUMIFS(周转筐出入库明细!$H$4:$H$2004,周转筐出入库明细!$C$4:$C$2004,$B251,周转筐出入库明细!$D$4:$D$2004,基础资料!$B$8,周转筐出入库明细!$F$4:$F$2004,"采购入库",周转筐出入库明细!$B$4:$B$2004,"&gt;="&amp;$BC$1,周转筐出入库明细!$B$4:$B$2004,"&lt;="&amp;$BC$2))</f>
        <v/>
      </c>
      <c r="T251" s="25" t="str">
        <f t="shared" si="39"/>
        <v/>
      </c>
      <c r="U251" s="25" t="str">
        <f>IF(OR($B251="",基础资料!$B$4=""),"",SUMIFS(周转筐出入库明细!$K$4:$K$2004,周转筐出入库明细!$C$4:$C$2004,$B251,周转筐出入库明细!$D$4:$D$2004,基础资料!$B$4,周转筐出入库明细!$B$4:$B$2004,"&gt;="&amp;$BC$1,周转筐出入库明细!$B$4:$B$2004,"&lt;="&amp;$BC$2))</f>
        <v/>
      </c>
      <c r="V251" s="25" t="str">
        <f>IF(OR($B251="",基础资料!$B$5=""),"",SUMIFS(周转筐出入库明细!$K$4:$K$2004,周转筐出入库明细!$C$4:$C$2004,$B251,周转筐出入库明细!$D$4:$D$2004,基础资料!$B$5,周转筐出入库明细!$B$4:$B$2004,"&gt;="&amp;$BC$1,周转筐出入库明细!$B$4:$B$2004,"&lt;="&amp;$BC$2))</f>
        <v/>
      </c>
      <c r="W251" s="25" t="str">
        <f>IF(OR($B251="",基础资料!$B$6=""),"",SUMIFS(周转筐出入库明细!$K$4:$K$2004,周转筐出入库明细!$C$4:$C$2004,$B251,周转筐出入库明细!$D$4:$D$2004,基础资料!$B$6,周转筐出入库明细!$B$4:$B$2004,"&gt;="&amp;$BC$1,周转筐出入库明细!$B$4:$B$2004,"&lt;="&amp;$BC$2))</f>
        <v/>
      </c>
      <c r="X251" s="25" t="str">
        <f>IF(OR($B251="",基础资料!$B$7=""),"",SUMIFS(周转筐出入库明细!$K$4:$K$2004,周转筐出入库明细!$C$4:$C$2004,$B251,周转筐出入库明细!$D$4:$D$2004,基础资料!$B$7,周转筐出入库明细!$B$4:$B$2004,"&gt;="&amp;$BC$1,周转筐出入库明细!$B$4:$B$2004,"&lt;="&amp;$BC$2))</f>
        <v/>
      </c>
      <c r="Y251" s="25" t="str">
        <f>IF(OR($B251="",基础资料!$B$8=""),"",SUMIFS(周转筐出入库明细!$K$4:$K$2004,周转筐出入库明细!$C$4:$C$2004,$B251,周转筐出入库明细!$D$4:$D$2004,基础资料!$B$8,周转筐出入库明细!$B$4:$B$2004,"&gt;="&amp;$BC$1,周转筐出入库明细!$B$4:$B$2004,"&lt;="&amp;$BC$2))</f>
        <v/>
      </c>
      <c r="Z251" s="25" t="str">
        <f t="shared" si="40"/>
        <v/>
      </c>
      <c r="AA251" s="67" t="str">
        <f>IF(OR($B251="",基础资料!$B$4=""),"",-SUMIFS(对接源_01水果筐数!$D$5:$D$304,对接源_01水果筐数!$B$5:$B$304,$B251,对接源_01水果筐数!$C$5:$C$304,基础资料!$B$4))</f>
        <v/>
      </c>
      <c r="AB251" s="67" t="str">
        <f>IF(OR($B251="",基础资料!$B$5=""),"",-SUMIFS(对接源_01水果筐数!$D$5:$D$304,对接源_01水果筐数!$B$5:$B$304,$B251,对接源_01水果筐数!$C$5:$C$304,基础资料!$B$5))</f>
        <v/>
      </c>
      <c r="AC251" s="67" t="str">
        <f>IF(OR($B251="",基础资料!$B$6=""),"",-SUMIFS(对接源_01水果筐数!$D$5:$D$304,对接源_01水果筐数!$B$5:$B$304,$B251,对接源_01水果筐数!$C$5:$C$304,基础资料!$B$6))</f>
        <v/>
      </c>
      <c r="AD251" s="67" t="str">
        <f>IF(OR($B251="",基础资料!$B$7=""),"",-SUMIFS(对接源_01水果筐数!$D$5:$D$304,对接源_01水果筐数!$B$5:$B$304,$B251,对接源_01水果筐数!$C$5:$C$304,基础资料!$B$7))</f>
        <v/>
      </c>
      <c r="AE251" s="67" t="str">
        <f>IF(OR($B251="",基础资料!$B$8=""),"",-SUMIFS(对接源_01水果筐数!$D$5:$D$304,对接源_01水果筐数!$B$5:$B$304,$B251,对接源_01水果筐数!$C$5:$C$304,基础资料!$B$8))</f>
        <v/>
      </c>
      <c r="AF251" s="25" t="str">
        <f>IF(OR($B251="",基础资料!$B$4=""),"",SUMIFS(对接源_01水果筐数!$E$5:$E$304,对接源_01水果筐数!$B$5:$B$304,$B251,对接源_01水果筐数!$C$5:$C$304,基础资料!$B$4))</f>
        <v/>
      </c>
      <c r="AG251" s="25" t="str">
        <f>IF(OR($B251="",基础资料!$B$5=""),"",SUMIFS(对接源_01水果筐数!$E$5:$E$304,对接源_01水果筐数!$B$5:$B$304,$B251,对接源_01水果筐数!$C$5:$C$304,基础资料!$B$5))</f>
        <v/>
      </c>
      <c r="AH251" s="25" t="str">
        <f>IF(OR($B251="",基础资料!$B$6=""),"",SUMIFS(对接源_01水果筐数!$E$5:$E$304,对接源_01水果筐数!$B$5:$B$304,$B251,对接源_01水果筐数!$C$5:$C$304,基础资料!$B$6))</f>
        <v/>
      </c>
      <c r="AI251" s="25" t="str">
        <f>IF(OR($B251="",基础资料!$B$7=""),"",SUMIFS(对接源_01水果筐数!$E$5:$E$304,对接源_01水果筐数!$B$5:$B$304,$B251,对接源_01水果筐数!$C$5:$C$304,基础资料!$B$7))</f>
        <v/>
      </c>
      <c r="AJ251" s="25" t="str">
        <f>IF(OR($B251="",基础资料!$B$8=""),"",SUMIFS(对接源_01水果筐数!$E$5:$E$304,对接源_01水果筐数!$B$5:$B$304,$B251,对接源_01水果筐数!$C$5:$C$304,基础资料!$B$8))</f>
        <v/>
      </c>
      <c r="AK251" s="25" t="str">
        <f>IF(OR($B251="",基础资料!$B$4=""),"",SUMIFS(对接源_01水果筐数!$F$5:$F$304,对接源_01水果筐数!$B$5:$B$304,$B251,对接源_01水果筐数!$C$5:$C$304,基础资料!$B$4))</f>
        <v/>
      </c>
      <c r="AL251" s="25" t="str">
        <f>IF(OR($B251="",基础资料!$B$5=""),"",SUMIFS(对接源_01水果筐数!$F$5:$F$304,对接源_01水果筐数!$B$5:$B$304,$B251,对接源_01水果筐数!$C$5:$C$304,基础资料!$B$5))</f>
        <v/>
      </c>
      <c r="AM251" s="25" t="str">
        <f>IF(OR($B251="",基础资料!$B$6=""),"",SUMIFS(对接源_01水果筐数!$F$5:$F$304,对接源_01水果筐数!$B$5:$B$304,$B251,对接源_01水果筐数!$C$5:$C$304,基础资料!$B$6))</f>
        <v/>
      </c>
      <c r="AN251" s="25" t="str">
        <f>IF(OR($B251="",基础资料!$B$7=""),"",SUMIFS(对接源_01水果筐数!$F$5:$F$304,对接源_01水果筐数!$B$5:$B$304,$B251,对接源_01水果筐数!$C$5:$C$304,基础资料!$B$7))</f>
        <v/>
      </c>
      <c r="AO251" s="25" t="str">
        <f>IF(OR($B251="",基础资料!$B$8=""),"",SUMIFS(对接源_01水果筐数!$F$5:$F$304,对接源_01水果筐数!$B$5:$B$304,$B251,对接源_01水果筐数!$C$5:$C$304,基础资料!$B$8))</f>
        <v/>
      </c>
      <c r="AP251" s="25" t="str">
        <f t="shared" si="41"/>
        <v/>
      </c>
      <c r="AQ251" s="25" t="str">
        <f t="shared" si="42"/>
        <v/>
      </c>
      <c r="AR251" s="25" t="str">
        <f t="shared" si="43"/>
        <v/>
      </c>
      <c r="AS251" s="25" t="str">
        <f t="shared" si="44"/>
        <v/>
      </c>
      <c r="AT251" s="25" t="str">
        <f t="shared" si="45"/>
        <v/>
      </c>
      <c r="AU251" s="25" t="str">
        <f t="shared" si="46"/>
        <v/>
      </c>
      <c r="AV251" s="24" t="str">
        <f t="shared" si="47"/>
        <v/>
      </c>
      <c r="AW251" s="72"/>
    </row>
    <row r="252" spans="1:49">
      <c r="A252" s="22" t="str">
        <f t="shared" si="36"/>
        <v/>
      </c>
      <c r="B252" s="24" t="str">
        <f>IFERROR(INDEX(_自动清单!$CC$4:$CC$253,ROW()-3),"")</f>
        <v/>
      </c>
      <c r="C252" s="25" t="str">
        <f>IF(OR($B252="",基础资料!$B$4=""),"",SUMIFS(周转筐出入库明细!$J$4:$J$2004,周转筐出入库明细!$C$4:$C$2004,$B252,周转筐出入库明细!$D$4:$D$2004,基础资料!$B$4,周转筐出入库明细!$B$4:$B$2004,"&gt;="&amp;$BC$1,周转筐出入库明细!$B$4:$B$2004,"&lt;="&amp;$BC$2))</f>
        <v/>
      </c>
      <c r="D252" s="25" t="str">
        <f>IF(OR($B252="",基础资料!$B$5=""),"",SUMIFS(周转筐出入库明细!$J$4:$J$2004,周转筐出入库明细!$C$4:$C$2004,$B252,周转筐出入库明细!$D$4:$D$2004,基础资料!$B$5,周转筐出入库明细!$B$4:$B$2004,"&gt;="&amp;$BC$1,周转筐出入库明细!$B$4:$B$2004,"&lt;="&amp;$BC$2))</f>
        <v/>
      </c>
      <c r="E252" s="25" t="str">
        <f>IF(OR($B252="",基础资料!$B$6=""),"",SUMIFS(周转筐出入库明细!$J$4:$J$2004,周转筐出入库明细!$C$4:$C$2004,$B252,周转筐出入库明细!$D$4:$D$2004,基础资料!$B$6,周转筐出入库明细!$B$4:$B$2004,"&gt;="&amp;$BC$1,周转筐出入库明细!$B$4:$B$2004,"&lt;="&amp;$BC$2))</f>
        <v/>
      </c>
      <c r="F252" s="25" t="str">
        <f>IF(OR($B252="",基础资料!$B$7=""),"",SUMIFS(周转筐出入库明细!$J$4:$J$2004,周转筐出入库明细!$C$4:$C$2004,$B252,周转筐出入库明细!$D$4:$D$2004,基础资料!$B$7,周转筐出入库明细!$B$4:$B$2004,"&gt;="&amp;$BC$1,周转筐出入库明细!$B$4:$B$2004,"&lt;="&amp;$BC$2))</f>
        <v/>
      </c>
      <c r="G252" s="25" t="str">
        <f>IF(OR($B252="",基础资料!$B$8=""),"",SUMIFS(周转筐出入库明细!$J$4:$J$2004,周转筐出入库明细!$C$4:$C$2004,$B252,周转筐出入库明细!$D$4:$D$2004,基础资料!$B$8,周转筐出入库明细!$B$4:$B$2004,"&gt;="&amp;$BC$1,周转筐出入库明细!$B$4:$B$2004,"&lt;="&amp;$BC$2))</f>
        <v/>
      </c>
      <c r="H252" s="25" t="str">
        <f t="shared" si="37"/>
        <v/>
      </c>
      <c r="I252" s="67" t="str">
        <f>IF(OR($B252="",基础资料!$B$4=""),"",-SUMIFS(周转筐出入库明细!$I$4:$I$2004,周转筐出入库明细!$C$4:$C$2004,$B252,周转筐出入库明细!$D$4:$D$2004,基础资料!$B$4,周转筐出入库明细!$B$4:$B$2004,"&gt;="&amp;$BC$1,周转筐出入库明细!$B$4:$B$2004,"&lt;="&amp;$BC$2))</f>
        <v/>
      </c>
      <c r="J252" s="67" t="str">
        <f>IF(OR($B252="",基础资料!$B$5=""),"",-SUMIFS(周转筐出入库明细!$I$4:$I$2004,周转筐出入库明细!$C$4:$C$2004,$B252,周转筐出入库明细!$D$4:$D$2004,基础资料!$B$5,周转筐出入库明细!$B$4:$B$2004,"&gt;="&amp;$BC$1,周转筐出入库明细!$B$4:$B$2004,"&lt;="&amp;$BC$2))</f>
        <v/>
      </c>
      <c r="K252" s="67" t="str">
        <f>IF(OR($B252="",基础资料!$B$6=""),"",-SUMIFS(周转筐出入库明细!$I$4:$I$2004,周转筐出入库明细!$C$4:$C$2004,$B252,周转筐出入库明细!$D$4:$D$2004,基础资料!$B$6,周转筐出入库明细!$B$4:$B$2004,"&gt;="&amp;$BC$1,周转筐出入库明细!$B$4:$B$2004,"&lt;="&amp;$BC$2))</f>
        <v/>
      </c>
      <c r="L252" s="67" t="str">
        <f>IF(OR($B252="",基础资料!$B$7=""),"",-SUMIFS(周转筐出入库明细!$I$4:$I$2004,周转筐出入库明细!$C$4:$C$2004,$B252,周转筐出入库明细!$D$4:$D$2004,基础资料!$B$7,周转筐出入库明细!$B$4:$B$2004,"&gt;="&amp;$BC$1,周转筐出入库明细!$B$4:$B$2004,"&lt;="&amp;$BC$2))</f>
        <v/>
      </c>
      <c r="M252" s="67" t="str">
        <f>IF(OR($B252="",基础资料!$B$8=""),"",-SUMIFS(周转筐出入库明细!$I$4:$I$2004,周转筐出入库明细!$C$4:$C$2004,$B252,周转筐出入库明细!$D$4:$D$2004,基础资料!$B$8,周转筐出入库明细!$B$4:$B$2004,"&gt;="&amp;$BC$1,周转筐出入库明细!$B$4:$B$2004,"&lt;="&amp;$BC$2))</f>
        <v/>
      </c>
      <c r="N252" s="67" t="str">
        <f t="shared" si="38"/>
        <v/>
      </c>
      <c r="O252" s="25" t="str">
        <f>IF(OR($B252="",基础资料!$B$4=""),"",SUMIFS(周转筐出入库明细!$H$4:$H$2004,周转筐出入库明细!$C$4:$C$2004,$B252,周转筐出入库明细!$D$4:$D$2004,基础资料!$B$4,周转筐出入库明细!$F$4:$F$2004,"采购入库",周转筐出入库明细!$B$4:$B$2004,"&gt;="&amp;$BC$1,周转筐出入库明细!$B$4:$B$2004,"&lt;="&amp;$BC$2))</f>
        <v/>
      </c>
      <c r="P252" s="25" t="str">
        <f>IF(OR($B252="",基础资料!$B$5=""),"",SUMIFS(周转筐出入库明细!$H$4:$H$2004,周转筐出入库明细!$C$4:$C$2004,$B252,周转筐出入库明细!$D$4:$D$2004,基础资料!$B$5,周转筐出入库明细!$F$4:$F$2004,"采购入库",周转筐出入库明细!$B$4:$B$2004,"&gt;="&amp;$BC$1,周转筐出入库明细!$B$4:$B$2004,"&lt;="&amp;$BC$2))</f>
        <v/>
      </c>
      <c r="Q252" s="25" t="str">
        <f>IF(OR($B252="",基础资料!$B$6=""),"",SUMIFS(周转筐出入库明细!$H$4:$H$2004,周转筐出入库明细!$C$4:$C$2004,$B252,周转筐出入库明细!$D$4:$D$2004,基础资料!$B$6,周转筐出入库明细!$F$4:$F$2004,"采购入库",周转筐出入库明细!$B$4:$B$2004,"&gt;="&amp;$BC$1,周转筐出入库明细!$B$4:$B$2004,"&lt;="&amp;$BC$2))</f>
        <v/>
      </c>
      <c r="R252" s="25" t="str">
        <f>IF(OR($B252="",基础资料!$B$7=""),"",SUMIFS(周转筐出入库明细!$H$4:$H$2004,周转筐出入库明细!$C$4:$C$2004,$B252,周转筐出入库明细!$D$4:$D$2004,基础资料!$B$7,周转筐出入库明细!$F$4:$F$2004,"采购入库",周转筐出入库明细!$B$4:$B$2004,"&gt;="&amp;$BC$1,周转筐出入库明细!$B$4:$B$2004,"&lt;="&amp;$BC$2))</f>
        <v/>
      </c>
      <c r="S252" s="25" t="str">
        <f>IF(OR($B252="",基础资料!$B$8=""),"",SUMIFS(周转筐出入库明细!$H$4:$H$2004,周转筐出入库明细!$C$4:$C$2004,$B252,周转筐出入库明细!$D$4:$D$2004,基础资料!$B$8,周转筐出入库明细!$F$4:$F$2004,"采购入库",周转筐出入库明细!$B$4:$B$2004,"&gt;="&amp;$BC$1,周转筐出入库明细!$B$4:$B$2004,"&lt;="&amp;$BC$2))</f>
        <v/>
      </c>
      <c r="T252" s="25" t="str">
        <f t="shared" si="39"/>
        <v/>
      </c>
      <c r="U252" s="25" t="str">
        <f>IF(OR($B252="",基础资料!$B$4=""),"",SUMIFS(周转筐出入库明细!$K$4:$K$2004,周转筐出入库明细!$C$4:$C$2004,$B252,周转筐出入库明细!$D$4:$D$2004,基础资料!$B$4,周转筐出入库明细!$B$4:$B$2004,"&gt;="&amp;$BC$1,周转筐出入库明细!$B$4:$B$2004,"&lt;="&amp;$BC$2))</f>
        <v/>
      </c>
      <c r="V252" s="25" t="str">
        <f>IF(OR($B252="",基础资料!$B$5=""),"",SUMIFS(周转筐出入库明细!$K$4:$K$2004,周转筐出入库明细!$C$4:$C$2004,$B252,周转筐出入库明细!$D$4:$D$2004,基础资料!$B$5,周转筐出入库明细!$B$4:$B$2004,"&gt;="&amp;$BC$1,周转筐出入库明细!$B$4:$B$2004,"&lt;="&amp;$BC$2))</f>
        <v/>
      </c>
      <c r="W252" s="25" t="str">
        <f>IF(OR($B252="",基础资料!$B$6=""),"",SUMIFS(周转筐出入库明细!$K$4:$K$2004,周转筐出入库明细!$C$4:$C$2004,$B252,周转筐出入库明细!$D$4:$D$2004,基础资料!$B$6,周转筐出入库明细!$B$4:$B$2004,"&gt;="&amp;$BC$1,周转筐出入库明细!$B$4:$B$2004,"&lt;="&amp;$BC$2))</f>
        <v/>
      </c>
      <c r="X252" s="25" t="str">
        <f>IF(OR($B252="",基础资料!$B$7=""),"",SUMIFS(周转筐出入库明细!$K$4:$K$2004,周转筐出入库明细!$C$4:$C$2004,$B252,周转筐出入库明细!$D$4:$D$2004,基础资料!$B$7,周转筐出入库明细!$B$4:$B$2004,"&gt;="&amp;$BC$1,周转筐出入库明细!$B$4:$B$2004,"&lt;="&amp;$BC$2))</f>
        <v/>
      </c>
      <c r="Y252" s="25" t="str">
        <f>IF(OR($B252="",基础资料!$B$8=""),"",SUMIFS(周转筐出入库明细!$K$4:$K$2004,周转筐出入库明细!$C$4:$C$2004,$B252,周转筐出入库明细!$D$4:$D$2004,基础资料!$B$8,周转筐出入库明细!$B$4:$B$2004,"&gt;="&amp;$BC$1,周转筐出入库明细!$B$4:$B$2004,"&lt;="&amp;$BC$2))</f>
        <v/>
      </c>
      <c r="Z252" s="25" t="str">
        <f t="shared" si="40"/>
        <v/>
      </c>
      <c r="AA252" s="67" t="str">
        <f>IF(OR($B252="",基础资料!$B$4=""),"",-SUMIFS(对接源_01水果筐数!$D$5:$D$304,对接源_01水果筐数!$B$5:$B$304,$B252,对接源_01水果筐数!$C$5:$C$304,基础资料!$B$4))</f>
        <v/>
      </c>
      <c r="AB252" s="67" t="str">
        <f>IF(OR($B252="",基础资料!$B$5=""),"",-SUMIFS(对接源_01水果筐数!$D$5:$D$304,对接源_01水果筐数!$B$5:$B$304,$B252,对接源_01水果筐数!$C$5:$C$304,基础资料!$B$5))</f>
        <v/>
      </c>
      <c r="AC252" s="67" t="str">
        <f>IF(OR($B252="",基础资料!$B$6=""),"",-SUMIFS(对接源_01水果筐数!$D$5:$D$304,对接源_01水果筐数!$B$5:$B$304,$B252,对接源_01水果筐数!$C$5:$C$304,基础资料!$B$6))</f>
        <v/>
      </c>
      <c r="AD252" s="67" t="str">
        <f>IF(OR($B252="",基础资料!$B$7=""),"",-SUMIFS(对接源_01水果筐数!$D$5:$D$304,对接源_01水果筐数!$B$5:$B$304,$B252,对接源_01水果筐数!$C$5:$C$304,基础资料!$B$7))</f>
        <v/>
      </c>
      <c r="AE252" s="67" t="str">
        <f>IF(OR($B252="",基础资料!$B$8=""),"",-SUMIFS(对接源_01水果筐数!$D$5:$D$304,对接源_01水果筐数!$B$5:$B$304,$B252,对接源_01水果筐数!$C$5:$C$304,基础资料!$B$8))</f>
        <v/>
      </c>
      <c r="AF252" s="25" t="str">
        <f>IF(OR($B252="",基础资料!$B$4=""),"",SUMIFS(对接源_01水果筐数!$E$5:$E$304,对接源_01水果筐数!$B$5:$B$304,$B252,对接源_01水果筐数!$C$5:$C$304,基础资料!$B$4))</f>
        <v/>
      </c>
      <c r="AG252" s="25" t="str">
        <f>IF(OR($B252="",基础资料!$B$5=""),"",SUMIFS(对接源_01水果筐数!$E$5:$E$304,对接源_01水果筐数!$B$5:$B$304,$B252,对接源_01水果筐数!$C$5:$C$304,基础资料!$B$5))</f>
        <v/>
      </c>
      <c r="AH252" s="25" t="str">
        <f>IF(OR($B252="",基础资料!$B$6=""),"",SUMIFS(对接源_01水果筐数!$E$5:$E$304,对接源_01水果筐数!$B$5:$B$304,$B252,对接源_01水果筐数!$C$5:$C$304,基础资料!$B$6))</f>
        <v/>
      </c>
      <c r="AI252" s="25" t="str">
        <f>IF(OR($B252="",基础资料!$B$7=""),"",SUMIFS(对接源_01水果筐数!$E$5:$E$304,对接源_01水果筐数!$B$5:$B$304,$B252,对接源_01水果筐数!$C$5:$C$304,基础资料!$B$7))</f>
        <v/>
      </c>
      <c r="AJ252" s="25" t="str">
        <f>IF(OR($B252="",基础资料!$B$8=""),"",SUMIFS(对接源_01水果筐数!$E$5:$E$304,对接源_01水果筐数!$B$5:$B$304,$B252,对接源_01水果筐数!$C$5:$C$304,基础资料!$B$8))</f>
        <v/>
      </c>
      <c r="AK252" s="25" t="str">
        <f>IF(OR($B252="",基础资料!$B$4=""),"",SUMIFS(对接源_01水果筐数!$F$5:$F$304,对接源_01水果筐数!$B$5:$B$304,$B252,对接源_01水果筐数!$C$5:$C$304,基础资料!$B$4))</f>
        <v/>
      </c>
      <c r="AL252" s="25" t="str">
        <f>IF(OR($B252="",基础资料!$B$5=""),"",SUMIFS(对接源_01水果筐数!$F$5:$F$304,对接源_01水果筐数!$B$5:$B$304,$B252,对接源_01水果筐数!$C$5:$C$304,基础资料!$B$5))</f>
        <v/>
      </c>
      <c r="AM252" s="25" t="str">
        <f>IF(OR($B252="",基础资料!$B$6=""),"",SUMIFS(对接源_01水果筐数!$F$5:$F$304,对接源_01水果筐数!$B$5:$B$304,$B252,对接源_01水果筐数!$C$5:$C$304,基础资料!$B$6))</f>
        <v/>
      </c>
      <c r="AN252" s="25" t="str">
        <f>IF(OR($B252="",基础资料!$B$7=""),"",SUMIFS(对接源_01水果筐数!$F$5:$F$304,对接源_01水果筐数!$B$5:$B$304,$B252,对接源_01水果筐数!$C$5:$C$304,基础资料!$B$7))</f>
        <v/>
      </c>
      <c r="AO252" s="25" t="str">
        <f>IF(OR($B252="",基础资料!$B$8=""),"",SUMIFS(对接源_01水果筐数!$F$5:$F$304,对接源_01水果筐数!$B$5:$B$304,$B252,对接源_01水果筐数!$C$5:$C$304,基础资料!$B$8))</f>
        <v/>
      </c>
      <c r="AP252" s="25" t="str">
        <f t="shared" si="41"/>
        <v/>
      </c>
      <c r="AQ252" s="25" t="str">
        <f t="shared" si="42"/>
        <v/>
      </c>
      <c r="AR252" s="25" t="str">
        <f t="shared" si="43"/>
        <v/>
      </c>
      <c r="AS252" s="25" t="str">
        <f t="shared" si="44"/>
        <v/>
      </c>
      <c r="AT252" s="25" t="str">
        <f t="shared" si="45"/>
        <v/>
      </c>
      <c r="AU252" s="25" t="str">
        <f t="shared" si="46"/>
        <v/>
      </c>
      <c r="AV252" s="24" t="str">
        <f t="shared" si="47"/>
        <v/>
      </c>
      <c r="AW252" s="72"/>
    </row>
    <row r="253" spans="1:49">
      <c r="A253" s="22" t="str">
        <f t="shared" si="36"/>
        <v/>
      </c>
      <c r="B253" s="24" t="str">
        <f>IFERROR(INDEX(_自动清单!$CC$4:$CC$253,ROW()-3),"")</f>
        <v/>
      </c>
      <c r="C253" s="25" t="str">
        <f>IF(OR($B253="",基础资料!$B$4=""),"",SUMIFS(周转筐出入库明细!$J$4:$J$2004,周转筐出入库明细!$C$4:$C$2004,$B253,周转筐出入库明细!$D$4:$D$2004,基础资料!$B$4,周转筐出入库明细!$B$4:$B$2004,"&gt;="&amp;$BC$1,周转筐出入库明细!$B$4:$B$2004,"&lt;="&amp;$BC$2))</f>
        <v/>
      </c>
      <c r="D253" s="25" t="str">
        <f>IF(OR($B253="",基础资料!$B$5=""),"",SUMIFS(周转筐出入库明细!$J$4:$J$2004,周转筐出入库明细!$C$4:$C$2004,$B253,周转筐出入库明细!$D$4:$D$2004,基础资料!$B$5,周转筐出入库明细!$B$4:$B$2004,"&gt;="&amp;$BC$1,周转筐出入库明细!$B$4:$B$2004,"&lt;="&amp;$BC$2))</f>
        <v/>
      </c>
      <c r="E253" s="25" t="str">
        <f>IF(OR($B253="",基础资料!$B$6=""),"",SUMIFS(周转筐出入库明细!$J$4:$J$2004,周转筐出入库明细!$C$4:$C$2004,$B253,周转筐出入库明细!$D$4:$D$2004,基础资料!$B$6,周转筐出入库明细!$B$4:$B$2004,"&gt;="&amp;$BC$1,周转筐出入库明细!$B$4:$B$2004,"&lt;="&amp;$BC$2))</f>
        <v/>
      </c>
      <c r="F253" s="25" t="str">
        <f>IF(OR($B253="",基础资料!$B$7=""),"",SUMIFS(周转筐出入库明细!$J$4:$J$2004,周转筐出入库明细!$C$4:$C$2004,$B253,周转筐出入库明细!$D$4:$D$2004,基础资料!$B$7,周转筐出入库明细!$B$4:$B$2004,"&gt;="&amp;$BC$1,周转筐出入库明细!$B$4:$B$2004,"&lt;="&amp;$BC$2))</f>
        <v/>
      </c>
      <c r="G253" s="25" t="str">
        <f>IF(OR($B253="",基础资料!$B$8=""),"",SUMIFS(周转筐出入库明细!$J$4:$J$2004,周转筐出入库明细!$C$4:$C$2004,$B253,周转筐出入库明细!$D$4:$D$2004,基础资料!$B$8,周转筐出入库明细!$B$4:$B$2004,"&gt;="&amp;$BC$1,周转筐出入库明细!$B$4:$B$2004,"&lt;="&amp;$BC$2))</f>
        <v/>
      </c>
      <c r="H253" s="25" t="str">
        <f t="shared" si="37"/>
        <v/>
      </c>
      <c r="I253" s="67" t="str">
        <f>IF(OR($B253="",基础资料!$B$4=""),"",-SUMIFS(周转筐出入库明细!$I$4:$I$2004,周转筐出入库明细!$C$4:$C$2004,$B253,周转筐出入库明细!$D$4:$D$2004,基础资料!$B$4,周转筐出入库明细!$B$4:$B$2004,"&gt;="&amp;$BC$1,周转筐出入库明细!$B$4:$B$2004,"&lt;="&amp;$BC$2))</f>
        <v/>
      </c>
      <c r="J253" s="67" t="str">
        <f>IF(OR($B253="",基础资料!$B$5=""),"",-SUMIFS(周转筐出入库明细!$I$4:$I$2004,周转筐出入库明细!$C$4:$C$2004,$B253,周转筐出入库明细!$D$4:$D$2004,基础资料!$B$5,周转筐出入库明细!$B$4:$B$2004,"&gt;="&amp;$BC$1,周转筐出入库明细!$B$4:$B$2004,"&lt;="&amp;$BC$2))</f>
        <v/>
      </c>
      <c r="K253" s="67" t="str">
        <f>IF(OR($B253="",基础资料!$B$6=""),"",-SUMIFS(周转筐出入库明细!$I$4:$I$2004,周转筐出入库明细!$C$4:$C$2004,$B253,周转筐出入库明细!$D$4:$D$2004,基础资料!$B$6,周转筐出入库明细!$B$4:$B$2004,"&gt;="&amp;$BC$1,周转筐出入库明细!$B$4:$B$2004,"&lt;="&amp;$BC$2))</f>
        <v/>
      </c>
      <c r="L253" s="67" t="str">
        <f>IF(OR($B253="",基础资料!$B$7=""),"",-SUMIFS(周转筐出入库明细!$I$4:$I$2004,周转筐出入库明细!$C$4:$C$2004,$B253,周转筐出入库明细!$D$4:$D$2004,基础资料!$B$7,周转筐出入库明细!$B$4:$B$2004,"&gt;="&amp;$BC$1,周转筐出入库明细!$B$4:$B$2004,"&lt;="&amp;$BC$2))</f>
        <v/>
      </c>
      <c r="M253" s="67" t="str">
        <f>IF(OR($B253="",基础资料!$B$8=""),"",-SUMIFS(周转筐出入库明细!$I$4:$I$2004,周转筐出入库明细!$C$4:$C$2004,$B253,周转筐出入库明细!$D$4:$D$2004,基础资料!$B$8,周转筐出入库明细!$B$4:$B$2004,"&gt;="&amp;$BC$1,周转筐出入库明细!$B$4:$B$2004,"&lt;="&amp;$BC$2))</f>
        <v/>
      </c>
      <c r="N253" s="67" t="str">
        <f t="shared" si="38"/>
        <v/>
      </c>
      <c r="O253" s="25" t="str">
        <f>IF(OR($B253="",基础资料!$B$4=""),"",SUMIFS(周转筐出入库明细!$H$4:$H$2004,周转筐出入库明细!$C$4:$C$2004,$B253,周转筐出入库明细!$D$4:$D$2004,基础资料!$B$4,周转筐出入库明细!$F$4:$F$2004,"采购入库",周转筐出入库明细!$B$4:$B$2004,"&gt;="&amp;$BC$1,周转筐出入库明细!$B$4:$B$2004,"&lt;="&amp;$BC$2))</f>
        <v/>
      </c>
      <c r="P253" s="25" t="str">
        <f>IF(OR($B253="",基础资料!$B$5=""),"",SUMIFS(周转筐出入库明细!$H$4:$H$2004,周转筐出入库明细!$C$4:$C$2004,$B253,周转筐出入库明细!$D$4:$D$2004,基础资料!$B$5,周转筐出入库明细!$F$4:$F$2004,"采购入库",周转筐出入库明细!$B$4:$B$2004,"&gt;="&amp;$BC$1,周转筐出入库明细!$B$4:$B$2004,"&lt;="&amp;$BC$2))</f>
        <v/>
      </c>
      <c r="Q253" s="25" t="str">
        <f>IF(OR($B253="",基础资料!$B$6=""),"",SUMIFS(周转筐出入库明细!$H$4:$H$2004,周转筐出入库明细!$C$4:$C$2004,$B253,周转筐出入库明细!$D$4:$D$2004,基础资料!$B$6,周转筐出入库明细!$F$4:$F$2004,"采购入库",周转筐出入库明细!$B$4:$B$2004,"&gt;="&amp;$BC$1,周转筐出入库明细!$B$4:$B$2004,"&lt;="&amp;$BC$2))</f>
        <v/>
      </c>
      <c r="R253" s="25" t="str">
        <f>IF(OR($B253="",基础资料!$B$7=""),"",SUMIFS(周转筐出入库明细!$H$4:$H$2004,周转筐出入库明细!$C$4:$C$2004,$B253,周转筐出入库明细!$D$4:$D$2004,基础资料!$B$7,周转筐出入库明细!$F$4:$F$2004,"采购入库",周转筐出入库明细!$B$4:$B$2004,"&gt;="&amp;$BC$1,周转筐出入库明细!$B$4:$B$2004,"&lt;="&amp;$BC$2))</f>
        <v/>
      </c>
      <c r="S253" s="25" t="str">
        <f>IF(OR($B253="",基础资料!$B$8=""),"",SUMIFS(周转筐出入库明细!$H$4:$H$2004,周转筐出入库明细!$C$4:$C$2004,$B253,周转筐出入库明细!$D$4:$D$2004,基础资料!$B$8,周转筐出入库明细!$F$4:$F$2004,"采购入库",周转筐出入库明细!$B$4:$B$2004,"&gt;="&amp;$BC$1,周转筐出入库明细!$B$4:$B$2004,"&lt;="&amp;$BC$2))</f>
        <v/>
      </c>
      <c r="T253" s="25" t="str">
        <f t="shared" si="39"/>
        <v/>
      </c>
      <c r="U253" s="25" t="str">
        <f>IF(OR($B253="",基础资料!$B$4=""),"",SUMIFS(周转筐出入库明细!$K$4:$K$2004,周转筐出入库明细!$C$4:$C$2004,$B253,周转筐出入库明细!$D$4:$D$2004,基础资料!$B$4,周转筐出入库明细!$B$4:$B$2004,"&gt;="&amp;$BC$1,周转筐出入库明细!$B$4:$B$2004,"&lt;="&amp;$BC$2))</f>
        <v/>
      </c>
      <c r="V253" s="25" t="str">
        <f>IF(OR($B253="",基础资料!$B$5=""),"",SUMIFS(周转筐出入库明细!$K$4:$K$2004,周转筐出入库明细!$C$4:$C$2004,$B253,周转筐出入库明细!$D$4:$D$2004,基础资料!$B$5,周转筐出入库明细!$B$4:$B$2004,"&gt;="&amp;$BC$1,周转筐出入库明细!$B$4:$B$2004,"&lt;="&amp;$BC$2))</f>
        <v/>
      </c>
      <c r="W253" s="25" t="str">
        <f>IF(OR($B253="",基础资料!$B$6=""),"",SUMIFS(周转筐出入库明细!$K$4:$K$2004,周转筐出入库明细!$C$4:$C$2004,$B253,周转筐出入库明细!$D$4:$D$2004,基础资料!$B$6,周转筐出入库明细!$B$4:$B$2004,"&gt;="&amp;$BC$1,周转筐出入库明细!$B$4:$B$2004,"&lt;="&amp;$BC$2))</f>
        <v/>
      </c>
      <c r="X253" s="25" t="str">
        <f>IF(OR($B253="",基础资料!$B$7=""),"",SUMIFS(周转筐出入库明细!$K$4:$K$2004,周转筐出入库明细!$C$4:$C$2004,$B253,周转筐出入库明细!$D$4:$D$2004,基础资料!$B$7,周转筐出入库明细!$B$4:$B$2004,"&gt;="&amp;$BC$1,周转筐出入库明细!$B$4:$B$2004,"&lt;="&amp;$BC$2))</f>
        <v/>
      </c>
      <c r="Y253" s="25" t="str">
        <f>IF(OR($B253="",基础资料!$B$8=""),"",SUMIFS(周转筐出入库明细!$K$4:$K$2004,周转筐出入库明细!$C$4:$C$2004,$B253,周转筐出入库明细!$D$4:$D$2004,基础资料!$B$8,周转筐出入库明细!$B$4:$B$2004,"&gt;="&amp;$BC$1,周转筐出入库明细!$B$4:$B$2004,"&lt;="&amp;$BC$2))</f>
        <v/>
      </c>
      <c r="Z253" s="25" t="str">
        <f t="shared" si="40"/>
        <v/>
      </c>
      <c r="AA253" s="67" t="str">
        <f>IF(OR($B253="",基础资料!$B$4=""),"",-SUMIFS(对接源_01水果筐数!$D$5:$D$304,对接源_01水果筐数!$B$5:$B$304,$B253,对接源_01水果筐数!$C$5:$C$304,基础资料!$B$4))</f>
        <v/>
      </c>
      <c r="AB253" s="67" t="str">
        <f>IF(OR($B253="",基础资料!$B$5=""),"",-SUMIFS(对接源_01水果筐数!$D$5:$D$304,对接源_01水果筐数!$B$5:$B$304,$B253,对接源_01水果筐数!$C$5:$C$304,基础资料!$B$5))</f>
        <v/>
      </c>
      <c r="AC253" s="67" t="str">
        <f>IF(OR($B253="",基础资料!$B$6=""),"",-SUMIFS(对接源_01水果筐数!$D$5:$D$304,对接源_01水果筐数!$B$5:$B$304,$B253,对接源_01水果筐数!$C$5:$C$304,基础资料!$B$6))</f>
        <v/>
      </c>
      <c r="AD253" s="67" t="str">
        <f>IF(OR($B253="",基础资料!$B$7=""),"",-SUMIFS(对接源_01水果筐数!$D$5:$D$304,对接源_01水果筐数!$B$5:$B$304,$B253,对接源_01水果筐数!$C$5:$C$304,基础资料!$B$7))</f>
        <v/>
      </c>
      <c r="AE253" s="67" t="str">
        <f>IF(OR($B253="",基础资料!$B$8=""),"",-SUMIFS(对接源_01水果筐数!$D$5:$D$304,对接源_01水果筐数!$B$5:$B$304,$B253,对接源_01水果筐数!$C$5:$C$304,基础资料!$B$8))</f>
        <v/>
      </c>
      <c r="AF253" s="25" t="str">
        <f>IF(OR($B253="",基础资料!$B$4=""),"",SUMIFS(对接源_01水果筐数!$E$5:$E$304,对接源_01水果筐数!$B$5:$B$304,$B253,对接源_01水果筐数!$C$5:$C$304,基础资料!$B$4))</f>
        <v/>
      </c>
      <c r="AG253" s="25" t="str">
        <f>IF(OR($B253="",基础资料!$B$5=""),"",SUMIFS(对接源_01水果筐数!$E$5:$E$304,对接源_01水果筐数!$B$5:$B$304,$B253,对接源_01水果筐数!$C$5:$C$304,基础资料!$B$5))</f>
        <v/>
      </c>
      <c r="AH253" s="25" t="str">
        <f>IF(OR($B253="",基础资料!$B$6=""),"",SUMIFS(对接源_01水果筐数!$E$5:$E$304,对接源_01水果筐数!$B$5:$B$304,$B253,对接源_01水果筐数!$C$5:$C$304,基础资料!$B$6))</f>
        <v/>
      </c>
      <c r="AI253" s="25" t="str">
        <f>IF(OR($B253="",基础资料!$B$7=""),"",SUMIFS(对接源_01水果筐数!$E$5:$E$304,对接源_01水果筐数!$B$5:$B$304,$B253,对接源_01水果筐数!$C$5:$C$304,基础资料!$B$7))</f>
        <v/>
      </c>
      <c r="AJ253" s="25" t="str">
        <f>IF(OR($B253="",基础资料!$B$8=""),"",SUMIFS(对接源_01水果筐数!$E$5:$E$304,对接源_01水果筐数!$B$5:$B$304,$B253,对接源_01水果筐数!$C$5:$C$304,基础资料!$B$8))</f>
        <v/>
      </c>
      <c r="AK253" s="25" t="str">
        <f>IF(OR($B253="",基础资料!$B$4=""),"",SUMIFS(对接源_01水果筐数!$F$5:$F$304,对接源_01水果筐数!$B$5:$B$304,$B253,对接源_01水果筐数!$C$5:$C$304,基础资料!$B$4))</f>
        <v/>
      </c>
      <c r="AL253" s="25" t="str">
        <f>IF(OR($B253="",基础资料!$B$5=""),"",SUMIFS(对接源_01水果筐数!$F$5:$F$304,对接源_01水果筐数!$B$5:$B$304,$B253,对接源_01水果筐数!$C$5:$C$304,基础资料!$B$5))</f>
        <v/>
      </c>
      <c r="AM253" s="25" t="str">
        <f>IF(OR($B253="",基础资料!$B$6=""),"",SUMIFS(对接源_01水果筐数!$F$5:$F$304,对接源_01水果筐数!$B$5:$B$304,$B253,对接源_01水果筐数!$C$5:$C$304,基础资料!$B$6))</f>
        <v/>
      </c>
      <c r="AN253" s="25" t="str">
        <f>IF(OR($B253="",基础资料!$B$7=""),"",SUMIFS(对接源_01水果筐数!$F$5:$F$304,对接源_01水果筐数!$B$5:$B$304,$B253,对接源_01水果筐数!$C$5:$C$304,基础资料!$B$7))</f>
        <v/>
      </c>
      <c r="AO253" s="25" t="str">
        <f>IF(OR($B253="",基础资料!$B$8=""),"",SUMIFS(对接源_01水果筐数!$F$5:$F$304,对接源_01水果筐数!$B$5:$B$304,$B253,对接源_01水果筐数!$C$5:$C$304,基础资料!$B$8))</f>
        <v/>
      </c>
      <c r="AP253" s="25" t="str">
        <f t="shared" si="41"/>
        <v/>
      </c>
      <c r="AQ253" s="25" t="str">
        <f t="shared" si="42"/>
        <v/>
      </c>
      <c r="AR253" s="25" t="str">
        <f t="shared" si="43"/>
        <v/>
      </c>
      <c r="AS253" s="25" t="str">
        <f t="shared" si="44"/>
        <v/>
      </c>
      <c r="AT253" s="25" t="str">
        <f t="shared" si="45"/>
        <v/>
      </c>
      <c r="AU253" s="25" t="str">
        <f t="shared" si="46"/>
        <v/>
      </c>
      <c r="AV253" s="24" t="str">
        <f t="shared" si="47"/>
        <v/>
      </c>
      <c r="AW253" s="72"/>
    </row>
    <row r="254" spans="1:49">
      <c r="A254" s="68"/>
      <c r="B254" s="69" t="s">
        <v>473</v>
      </c>
      <c r="C254" s="70">
        <f t="shared" ref="C254:AU254" si="48">ROUND(SUM(C4:C253),0)</f>
        <v>5214</v>
      </c>
      <c r="D254" s="70">
        <f t="shared" si="48"/>
        <v>6607</v>
      </c>
      <c r="E254" s="70">
        <f t="shared" si="48"/>
        <v>1011</v>
      </c>
      <c r="F254" s="70">
        <f t="shared" si="48"/>
        <v>0</v>
      </c>
      <c r="G254" s="70">
        <f t="shared" si="48"/>
        <v>16512</v>
      </c>
      <c r="H254" s="70">
        <f t="shared" si="48"/>
        <v>29344</v>
      </c>
      <c r="I254" s="73">
        <f t="shared" si="48"/>
        <v>-1</v>
      </c>
      <c r="J254" s="73">
        <f t="shared" si="48"/>
        <v>-81</v>
      </c>
      <c r="K254" s="73">
        <f t="shared" si="48"/>
        <v>0</v>
      </c>
      <c r="L254" s="73">
        <f t="shared" si="48"/>
        <v>0</v>
      </c>
      <c r="M254" s="73">
        <f t="shared" si="48"/>
        <v>0</v>
      </c>
      <c r="N254" s="73">
        <f t="shared" si="48"/>
        <v>-82</v>
      </c>
      <c r="O254" s="70">
        <f t="shared" si="48"/>
        <v>0</v>
      </c>
      <c r="P254" s="70">
        <f t="shared" si="48"/>
        <v>0</v>
      </c>
      <c r="Q254" s="70">
        <f t="shared" si="48"/>
        <v>0</v>
      </c>
      <c r="R254" s="70">
        <f t="shared" si="48"/>
        <v>0</v>
      </c>
      <c r="S254" s="70">
        <f t="shared" si="48"/>
        <v>17472</v>
      </c>
      <c r="T254" s="70">
        <f t="shared" si="48"/>
        <v>17472</v>
      </c>
      <c r="U254" s="70">
        <f t="shared" si="48"/>
        <v>0</v>
      </c>
      <c r="V254" s="70">
        <f t="shared" si="48"/>
        <v>0</v>
      </c>
      <c r="W254" s="70">
        <f t="shared" si="48"/>
        <v>0</v>
      </c>
      <c r="X254" s="70">
        <f t="shared" si="48"/>
        <v>0</v>
      </c>
      <c r="Y254" s="70">
        <f t="shared" si="48"/>
        <v>960</v>
      </c>
      <c r="Z254" s="70">
        <f t="shared" si="48"/>
        <v>960</v>
      </c>
      <c r="AA254" s="73">
        <f t="shared" si="48"/>
        <v>-1732</v>
      </c>
      <c r="AB254" s="73">
        <f t="shared" si="48"/>
        <v>-3570</v>
      </c>
      <c r="AC254" s="73">
        <f t="shared" si="48"/>
        <v>-74</v>
      </c>
      <c r="AD254" s="73">
        <f t="shared" si="48"/>
        <v>0</v>
      </c>
      <c r="AE254" s="73">
        <f t="shared" si="48"/>
        <v>-8796</v>
      </c>
      <c r="AF254" s="70">
        <f t="shared" si="48"/>
        <v>0</v>
      </c>
      <c r="AG254" s="70">
        <f t="shared" si="48"/>
        <v>1</v>
      </c>
      <c r="AH254" s="70">
        <f t="shared" si="48"/>
        <v>0</v>
      </c>
      <c r="AI254" s="70">
        <f t="shared" si="48"/>
        <v>0</v>
      </c>
      <c r="AJ254" s="70">
        <f t="shared" si="48"/>
        <v>0</v>
      </c>
      <c r="AK254" s="70">
        <f t="shared" si="48"/>
        <v>113</v>
      </c>
      <c r="AL254" s="70">
        <f t="shared" si="48"/>
        <v>4</v>
      </c>
      <c r="AM254" s="70">
        <f t="shared" si="48"/>
        <v>0</v>
      </c>
      <c r="AN254" s="70">
        <f t="shared" si="48"/>
        <v>0</v>
      </c>
      <c r="AO254" s="70">
        <f t="shared" si="48"/>
        <v>0</v>
      </c>
      <c r="AP254" s="70">
        <f t="shared" si="48"/>
        <v>3594</v>
      </c>
      <c r="AQ254" s="70">
        <f t="shared" si="48"/>
        <v>2961</v>
      </c>
      <c r="AR254" s="70">
        <f t="shared" si="48"/>
        <v>937</v>
      </c>
      <c r="AS254" s="70">
        <f t="shared" si="48"/>
        <v>0</v>
      </c>
      <c r="AT254" s="70">
        <f t="shared" si="48"/>
        <v>7716</v>
      </c>
      <c r="AU254" s="70">
        <f t="shared" si="48"/>
        <v>15208</v>
      </c>
      <c r="AV254" s="68"/>
      <c r="AW254" s="68"/>
    </row>
  </sheetData>
  <mergeCells count="2">
    <mergeCell ref="A1:R1"/>
    <mergeCell ref="A2:H2"/>
  </mergeCells>
  <conditionalFormatting sqref="A2">
    <cfRule type="expression" dxfId="0" priority="1">
      <formula>(N(_自动清单!$BY$1)&gt;250)+(N(_自动清单!$Q$1)&gt;4)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DC3E6"/>
  </sheetPr>
  <dimension ref="A1:P20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G3" sqref="G3"/>
    </sheetView>
  </sheetViews>
  <sheetFormatPr defaultColWidth="9" defaultRowHeight="15"/>
  <cols>
    <col min="1" max="1" width="6" customWidth="1"/>
    <col min="2" max="2" width="15" customWidth="1"/>
    <col min="3" max="7" width="14" customWidth="1"/>
    <col min="8" max="9" width="11" customWidth="1"/>
    <col min="10" max="12" width="13" customWidth="1"/>
    <col min="13" max="13" width="16" customWidth="1"/>
    <col min="16" max="16" width="12" customWidth="1"/>
  </cols>
  <sheetData>
    <row r="1" ht="30" customHeight="1" spans="1:16">
      <c r="A1" s="7" t="s">
        <v>491</v>
      </c>
      <c r="P1" s="11">
        <f>IF($J2="",DATE(1900,1,1),$J2)</f>
        <v>1</v>
      </c>
    </row>
    <row r="2" ht="20" customHeight="1" spans="1:16">
      <c r="A2" s="12" t="s">
        <v>492</v>
      </c>
      <c r="I2" s="13" t="s">
        <v>466</v>
      </c>
      <c r="J2" s="19"/>
      <c r="K2" s="13" t="s">
        <v>467</v>
      </c>
      <c r="L2" s="19"/>
      <c r="P2" s="11">
        <f>IF($L2="",DATE(2999,12,31),$L2)</f>
        <v>401768</v>
      </c>
    </row>
    <row r="3" ht="30" customHeight="1" spans="1:16">
      <c r="A3" s="21" t="s">
        <v>3</v>
      </c>
      <c r="B3" s="21" t="s">
        <v>126</v>
      </c>
      <c r="C3" s="21" t="str">
        <f>"采购-"&amp;基础资料!$B$4</f>
        <v>采购-公司一次性筐</v>
      </c>
      <c r="D3" s="21" t="str">
        <f>"采购-"&amp;基础资料!$B$5</f>
        <v>采购-公司杂周转筐</v>
      </c>
      <c r="E3" s="21" t="str">
        <f>"采购-"&amp;基础资料!$B$6</f>
        <v>采购-公司新周转筐</v>
      </c>
      <c r="F3" s="21" t="str">
        <f>"采购-"&amp;基础资料!$B$7</f>
        <v>采购-公司白周转筐</v>
      </c>
      <c r="G3" s="21" t="str">
        <f>"采购-"&amp;基础资料!$B$8</f>
        <v>采购-公司红周转筐</v>
      </c>
      <c r="H3" s="21" t="s">
        <v>493</v>
      </c>
      <c r="I3" s="21" t="s">
        <v>494</v>
      </c>
      <c r="J3" s="21" t="s">
        <v>495</v>
      </c>
      <c r="K3" s="21" t="s">
        <v>496</v>
      </c>
      <c r="L3" s="21" t="s">
        <v>497</v>
      </c>
      <c r="M3" s="21" t="s">
        <v>306</v>
      </c>
    </row>
    <row r="4" spans="1:16">
      <c r="A4" s="22">
        <f t="shared" ref="A4:A67" si="0">IF($B4="","",ROW()-3)</f>
        <v>1</v>
      </c>
      <c r="B4" s="37" t="str">
        <f>IFERROR(INDEX(_自动清单!$CW$4:$CW$203,ROW()-3),"")</f>
        <v>全修塑业</v>
      </c>
      <c r="C4" s="25">
        <f>IF(OR($B4="",基础资料!$B$4=""),"",SUMIFS(周转筐出入库明细!$H$4:$H$2004,周转筐出入库明细!$C$4:$C$2004,$B4,周转筐出入库明细!$D$4:$D$2004,基础资料!$B$4,周转筐出入库明细!$F$4:$F$2004,"采购入库",周转筐出入库明细!$B$4:$B$2004,"&gt;="&amp;$P$1,周转筐出入库明细!$B$4:$B$2004,"&lt;="&amp;$P$2))</f>
        <v>0</v>
      </c>
      <c r="D4" s="25">
        <f>IF(OR($B4="",基础资料!$B$5=""),"",SUMIFS(周转筐出入库明细!$H$4:$H$2004,周转筐出入库明细!$C$4:$C$2004,$B4,周转筐出入库明细!$D$4:$D$2004,基础资料!$B$5,周转筐出入库明细!$F$4:$F$2004,"采购入库",周转筐出入库明细!$B$4:$B$2004,"&gt;="&amp;$P$1,周转筐出入库明细!$B$4:$B$2004,"&lt;="&amp;$P$2))</f>
        <v>0</v>
      </c>
      <c r="E4" s="25">
        <f>IF(OR($B4="",基础资料!$B$6=""),"",SUMIFS(周转筐出入库明细!$H$4:$H$2004,周转筐出入库明细!$C$4:$C$2004,$B4,周转筐出入库明细!$D$4:$D$2004,基础资料!$B$6,周转筐出入库明细!$F$4:$F$2004,"采购入库",周转筐出入库明细!$B$4:$B$2004,"&gt;="&amp;$P$1,周转筐出入库明细!$B$4:$B$2004,"&lt;="&amp;$P$2))</f>
        <v>0</v>
      </c>
      <c r="F4" s="25">
        <f>IF(OR($B4="",基础资料!$B$7=""),"",SUMIFS(周转筐出入库明细!$H$4:$H$2004,周转筐出入库明细!$C$4:$C$2004,$B4,周转筐出入库明细!$D$4:$D$2004,基础资料!$B$7,周转筐出入库明细!$F$4:$F$2004,"采购入库",周转筐出入库明细!$B$4:$B$2004,"&gt;="&amp;$P$1,周转筐出入库明细!$B$4:$B$2004,"&lt;="&amp;$P$2))</f>
        <v>0</v>
      </c>
      <c r="G4" s="25">
        <f>IF(OR($B4="",基础资料!$B$8=""),"",SUMIFS(周转筐出入库明细!$H$4:$H$2004,周转筐出入库明细!$C$4:$C$2004,$B4,周转筐出入库明细!$D$4:$D$2004,基础资料!$B$8,周转筐出入库明细!$F$4:$F$2004,"采购入库",周转筐出入库明细!$B$4:$B$2004,"&gt;="&amp;$P$1,周转筐出入库明细!$B$4:$B$2004,"&lt;="&amp;$P$2))</f>
        <v>17472</v>
      </c>
      <c r="H4" s="25">
        <f>IF($B4="","",SUMIFS(周转筐出入库明细!$H$4:$H$2004,周转筐出入库明细!$C$4:$C$2004,$B4,周转筐出入库明细!$F$4:$F$2004,"采购入库",周转筐出入库明细!$B$4:$B$2004,"&gt;="&amp;$P$1,周转筐出入库明细!$B$4:$B$2004,"&lt;="&amp;$P$2)-SUM($C4:$G4))</f>
        <v>0</v>
      </c>
      <c r="I4" s="25">
        <f t="shared" ref="I4:I67" si="1">IF($B4="","",SUM($C4:$H4))</f>
        <v>17472</v>
      </c>
      <c r="J4" s="26">
        <f>IF($B4="","",ROUND(SUMIFS(周转筐出入库明细!$P$4:$P$2004,周转筐出入库明细!$C$4:$C$2004,$B4,周转筐出入库明细!$F$4:$F$2004,"采购入库",周转筐出入库明细!$B$4:$B$2004,"&gt;="&amp;$P$1,周转筐出入库明细!$B$4:$B$2004,"&lt;="&amp;$P$2),2))</f>
        <v>174720</v>
      </c>
      <c r="K4" s="26">
        <f>IF($B4="","",ROUND(SUMIFS(周转筐出入库明细!$P$4:$P$2004,周转筐出入库明细!$C$4:$C$2004,$B4,周转筐出入库明细!$F$4:$F$2004,"采购入库",周转筐出入库明细!$Q$4:$Q$2004,"已付款",周转筐出入库明细!$B$4:$B$2004,"&gt;="&amp;$P$1,周转筐出入库明细!$B$4:$B$2004,"&lt;="&amp;$P$2),2))</f>
        <v>0</v>
      </c>
      <c r="L4" s="26">
        <f t="shared" ref="L4:L67" si="2">IF($B4="","",ROUND(N($J4)-N($K4),2))</f>
        <v>174720</v>
      </c>
    </row>
    <row r="5" spans="1:16">
      <c r="A5" s="22" t="str">
        <f t="shared" si="0"/>
        <v/>
      </c>
      <c r="B5" s="37" t="str">
        <f>IFERROR(INDEX(_自动清单!$CW$4:$CW$203,ROW()-3),"")</f>
        <v/>
      </c>
      <c r="C5" s="25" t="str">
        <f>IF(OR($B5="",基础资料!$B$4=""),"",SUMIFS(周转筐出入库明细!$H$4:$H$2004,周转筐出入库明细!$C$4:$C$2004,$B5,周转筐出入库明细!$D$4:$D$2004,基础资料!$B$4,周转筐出入库明细!$F$4:$F$2004,"采购入库",周转筐出入库明细!$B$4:$B$2004,"&gt;="&amp;$P$1,周转筐出入库明细!$B$4:$B$2004,"&lt;="&amp;$P$2))</f>
        <v/>
      </c>
      <c r="D5" s="25" t="str">
        <f>IF(OR($B5="",基础资料!$B$5=""),"",SUMIFS(周转筐出入库明细!$H$4:$H$2004,周转筐出入库明细!$C$4:$C$2004,$B5,周转筐出入库明细!$D$4:$D$2004,基础资料!$B$5,周转筐出入库明细!$F$4:$F$2004,"采购入库",周转筐出入库明细!$B$4:$B$2004,"&gt;="&amp;$P$1,周转筐出入库明细!$B$4:$B$2004,"&lt;="&amp;$P$2))</f>
        <v/>
      </c>
      <c r="E5" s="25" t="str">
        <f>IF(OR($B5="",基础资料!$B$6=""),"",SUMIFS(周转筐出入库明细!$H$4:$H$2004,周转筐出入库明细!$C$4:$C$2004,$B5,周转筐出入库明细!$D$4:$D$2004,基础资料!$B$6,周转筐出入库明细!$F$4:$F$2004,"采购入库",周转筐出入库明细!$B$4:$B$2004,"&gt;="&amp;$P$1,周转筐出入库明细!$B$4:$B$2004,"&lt;="&amp;$P$2))</f>
        <v/>
      </c>
      <c r="F5" s="25" t="str">
        <f>IF(OR($B5="",基础资料!$B$7=""),"",SUMIFS(周转筐出入库明细!$H$4:$H$2004,周转筐出入库明细!$C$4:$C$2004,$B5,周转筐出入库明细!$D$4:$D$2004,基础资料!$B$7,周转筐出入库明细!$F$4:$F$2004,"采购入库",周转筐出入库明细!$B$4:$B$2004,"&gt;="&amp;$P$1,周转筐出入库明细!$B$4:$B$2004,"&lt;="&amp;$P$2))</f>
        <v/>
      </c>
      <c r="G5" s="25" t="str">
        <f>IF(OR($B5="",基础资料!$B$8=""),"",SUMIFS(周转筐出入库明细!$H$4:$H$2004,周转筐出入库明细!$C$4:$C$2004,$B5,周转筐出入库明细!$D$4:$D$2004,基础资料!$B$8,周转筐出入库明细!$F$4:$F$2004,"采购入库",周转筐出入库明细!$B$4:$B$2004,"&gt;="&amp;$P$1,周转筐出入库明细!$B$4:$B$2004,"&lt;="&amp;$P$2))</f>
        <v/>
      </c>
      <c r="H5" s="25" t="str">
        <f>IF($B5="","",SUMIFS(周转筐出入库明细!$H$4:$H$2004,周转筐出入库明细!$C$4:$C$2004,$B5,周转筐出入库明细!$F$4:$F$2004,"采购入库",周转筐出入库明细!$B$4:$B$2004,"&gt;="&amp;$P$1,周转筐出入库明细!$B$4:$B$2004,"&lt;="&amp;$P$2)-SUM($C5:$G5))</f>
        <v/>
      </c>
      <c r="I5" s="25" t="str">
        <f t="shared" si="1"/>
        <v/>
      </c>
      <c r="J5" s="26" t="str">
        <f>IF($B5="","",ROUND(SUMIFS(周转筐出入库明细!$P$4:$P$2004,周转筐出入库明细!$C$4:$C$2004,$B5,周转筐出入库明细!$F$4:$F$2004,"采购入库",周转筐出入库明细!$B$4:$B$2004,"&gt;="&amp;$P$1,周转筐出入库明细!$B$4:$B$2004,"&lt;="&amp;$P$2),2))</f>
        <v/>
      </c>
      <c r="K5" s="26" t="str">
        <f>IF($B5="","",ROUND(SUMIFS(周转筐出入库明细!$P$4:$P$2004,周转筐出入库明细!$C$4:$C$2004,$B5,周转筐出入库明细!$F$4:$F$2004,"采购入库",周转筐出入库明细!$Q$4:$Q$2004,"已付款",周转筐出入库明细!$B$4:$B$2004,"&gt;="&amp;$P$1,周转筐出入库明细!$B$4:$B$2004,"&lt;="&amp;$P$2),2))</f>
        <v/>
      </c>
      <c r="L5" s="26" t="str">
        <f t="shared" si="2"/>
        <v/>
      </c>
    </row>
    <row r="6" spans="1:16">
      <c r="A6" s="22" t="str">
        <f t="shared" si="0"/>
        <v/>
      </c>
      <c r="B6" s="37" t="str">
        <f>IFERROR(INDEX(_自动清单!$CW$4:$CW$203,ROW()-3),"")</f>
        <v/>
      </c>
      <c r="C6" s="25" t="str">
        <f>IF(OR($B6="",基础资料!$B$4=""),"",SUMIFS(周转筐出入库明细!$H$4:$H$2004,周转筐出入库明细!$C$4:$C$2004,$B6,周转筐出入库明细!$D$4:$D$2004,基础资料!$B$4,周转筐出入库明细!$F$4:$F$2004,"采购入库",周转筐出入库明细!$B$4:$B$2004,"&gt;="&amp;$P$1,周转筐出入库明细!$B$4:$B$2004,"&lt;="&amp;$P$2))</f>
        <v/>
      </c>
      <c r="D6" s="25" t="str">
        <f>IF(OR($B6="",基础资料!$B$5=""),"",SUMIFS(周转筐出入库明细!$H$4:$H$2004,周转筐出入库明细!$C$4:$C$2004,$B6,周转筐出入库明细!$D$4:$D$2004,基础资料!$B$5,周转筐出入库明细!$F$4:$F$2004,"采购入库",周转筐出入库明细!$B$4:$B$2004,"&gt;="&amp;$P$1,周转筐出入库明细!$B$4:$B$2004,"&lt;="&amp;$P$2))</f>
        <v/>
      </c>
      <c r="E6" s="25" t="str">
        <f>IF(OR($B6="",基础资料!$B$6=""),"",SUMIFS(周转筐出入库明细!$H$4:$H$2004,周转筐出入库明细!$C$4:$C$2004,$B6,周转筐出入库明细!$D$4:$D$2004,基础资料!$B$6,周转筐出入库明细!$F$4:$F$2004,"采购入库",周转筐出入库明细!$B$4:$B$2004,"&gt;="&amp;$P$1,周转筐出入库明细!$B$4:$B$2004,"&lt;="&amp;$P$2))</f>
        <v/>
      </c>
      <c r="F6" s="25" t="str">
        <f>IF(OR($B6="",基础资料!$B$7=""),"",SUMIFS(周转筐出入库明细!$H$4:$H$2004,周转筐出入库明细!$C$4:$C$2004,$B6,周转筐出入库明细!$D$4:$D$2004,基础资料!$B$7,周转筐出入库明细!$F$4:$F$2004,"采购入库",周转筐出入库明细!$B$4:$B$2004,"&gt;="&amp;$P$1,周转筐出入库明细!$B$4:$B$2004,"&lt;="&amp;$P$2))</f>
        <v/>
      </c>
      <c r="G6" s="25" t="str">
        <f>IF(OR($B6="",基础资料!$B$8=""),"",SUMIFS(周转筐出入库明细!$H$4:$H$2004,周转筐出入库明细!$C$4:$C$2004,$B6,周转筐出入库明细!$D$4:$D$2004,基础资料!$B$8,周转筐出入库明细!$F$4:$F$2004,"采购入库",周转筐出入库明细!$B$4:$B$2004,"&gt;="&amp;$P$1,周转筐出入库明细!$B$4:$B$2004,"&lt;="&amp;$P$2))</f>
        <v/>
      </c>
      <c r="H6" s="25" t="str">
        <f>IF($B6="","",SUMIFS(周转筐出入库明细!$H$4:$H$2004,周转筐出入库明细!$C$4:$C$2004,$B6,周转筐出入库明细!$F$4:$F$2004,"采购入库",周转筐出入库明细!$B$4:$B$2004,"&gt;="&amp;$P$1,周转筐出入库明细!$B$4:$B$2004,"&lt;="&amp;$P$2)-SUM($C6:$G6))</f>
        <v/>
      </c>
      <c r="I6" s="25" t="str">
        <f t="shared" si="1"/>
        <v/>
      </c>
      <c r="J6" s="26" t="str">
        <f>IF($B6="","",ROUND(SUMIFS(周转筐出入库明细!$P$4:$P$2004,周转筐出入库明细!$C$4:$C$2004,$B6,周转筐出入库明细!$F$4:$F$2004,"采购入库",周转筐出入库明细!$B$4:$B$2004,"&gt;="&amp;$P$1,周转筐出入库明细!$B$4:$B$2004,"&lt;="&amp;$P$2),2))</f>
        <v/>
      </c>
      <c r="K6" s="26" t="str">
        <f>IF($B6="","",ROUND(SUMIFS(周转筐出入库明细!$P$4:$P$2004,周转筐出入库明细!$C$4:$C$2004,$B6,周转筐出入库明细!$F$4:$F$2004,"采购入库",周转筐出入库明细!$Q$4:$Q$2004,"已付款",周转筐出入库明细!$B$4:$B$2004,"&gt;="&amp;$P$1,周转筐出入库明细!$B$4:$B$2004,"&lt;="&amp;$P$2),2))</f>
        <v/>
      </c>
      <c r="L6" s="26" t="str">
        <f t="shared" si="2"/>
        <v/>
      </c>
    </row>
    <row r="7" spans="1:16">
      <c r="A7" s="22" t="str">
        <f t="shared" si="0"/>
        <v/>
      </c>
      <c r="B7" s="37" t="str">
        <f>IFERROR(INDEX(_自动清单!$CW$4:$CW$203,ROW()-3),"")</f>
        <v/>
      </c>
      <c r="C7" s="25" t="str">
        <f>IF(OR($B7="",基础资料!$B$4=""),"",SUMIFS(周转筐出入库明细!$H$4:$H$2004,周转筐出入库明细!$C$4:$C$2004,$B7,周转筐出入库明细!$D$4:$D$2004,基础资料!$B$4,周转筐出入库明细!$F$4:$F$2004,"采购入库",周转筐出入库明细!$B$4:$B$2004,"&gt;="&amp;$P$1,周转筐出入库明细!$B$4:$B$2004,"&lt;="&amp;$P$2))</f>
        <v/>
      </c>
      <c r="D7" s="25" t="str">
        <f>IF(OR($B7="",基础资料!$B$5=""),"",SUMIFS(周转筐出入库明细!$H$4:$H$2004,周转筐出入库明细!$C$4:$C$2004,$B7,周转筐出入库明细!$D$4:$D$2004,基础资料!$B$5,周转筐出入库明细!$F$4:$F$2004,"采购入库",周转筐出入库明细!$B$4:$B$2004,"&gt;="&amp;$P$1,周转筐出入库明细!$B$4:$B$2004,"&lt;="&amp;$P$2))</f>
        <v/>
      </c>
      <c r="E7" s="25" t="str">
        <f>IF(OR($B7="",基础资料!$B$6=""),"",SUMIFS(周转筐出入库明细!$H$4:$H$2004,周转筐出入库明细!$C$4:$C$2004,$B7,周转筐出入库明细!$D$4:$D$2004,基础资料!$B$6,周转筐出入库明细!$F$4:$F$2004,"采购入库",周转筐出入库明细!$B$4:$B$2004,"&gt;="&amp;$P$1,周转筐出入库明细!$B$4:$B$2004,"&lt;="&amp;$P$2))</f>
        <v/>
      </c>
      <c r="F7" s="25" t="str">
        <f>IF(OR($B7="",基础资料!$B$7=""),"",SUMIFS(周转筐出入库明细!$H$4:$H$2004,周转筐出入库明细!$C$4:$C$2004,$B7,周转筐出入库明细!$D$4:$D$2004,基础资料!$B$7,周转筐出入库明细!$F$4:$F$2004,"采购入库",周转筐出入库明细!$B$4:$B$2004,"&gt;="&amp;$P$1,周转筐出入库明细!$B$4:$B$2004,"&lt;="&amp;$P$2))</f>
        <v/>
      </c>
      <c r="G7" s="25" t="str">
        <f>IF(OR($B7="",基础资料!$B$8=""),"",SUMIFS(周转筐出入库明细!$H$4:$H$2004,周转筐出入库明细!$C$4:$C$2004,$B7,周转筐出入库明细!$D$4:$D$2004,基础资料!$B$8,周转筐出入库明细!$F$4:$F$2004,"采购入库",周转筐出入库明细!$B$4:$B$2004,"&gt;="&amp;$P$1,周转筐出入库明细!$B$4:$B$2004,"&lt;="&amp;$P$2))</f>
        <v/>
      </c>
      <c r="H7" s="25" t="str">
        <f>IF($B7="","",SUMIFS(周转筐出入库明细!$H$4:$H$2004,周转筐出入库明细!$C$4:$C$2004,$B7,周转筐出入库明细!$F$4:$F$2004,"采购入库",周转筐出入库明细!$B$4:$B$2004,"&gt;="&amp;$P$1,周转筐出入库明细!$B$4:$B$2004,"&lt;="&amp;$P$2)-SUM($C7:$G7))</f>
        <v/>
      </c>
      <c r="I7" s="25" t="str">
        <f t="shared" si="1"/>
        <v/>
      </c>
      <c r="J7" s="26" t="str">
        <f>IF($B7="","",ROUND(SUMIFS(周转筐出入库明细!$P$4:$P$2004,周转筐出入库明细!$C$4:$C$2004,$B7,周转筐出入库明细!$F$4:$F$2004,"采购入库",周转筐出入库明细!$B$4:$B$2004,"&gt;="&amp;$P$1,周转筐出入库明细!$B$4:$B$2004,"&lt;="&amp;$P$2),2))</f>
        <v/>
      </c>
      <c r="K7" s="26" t="str">
        <f>IF($B7="","",ROUND(SUMIFS(周转筐出入库明细!$P$4:$P$2004,周转筐出入库明细!$C$4:$C$2004,$B7,周转筐出入库明细!$F$4:$F$2004,"采购入库",周转筐出入库明细!$Q$4:$Q$2004,"已付款",周转筐出入库明细!$B$4:$B$2004,"&gt;="&amp;$P$1,周转筐出入库明细!$B$4:$B$2004,"&lt;="&amp;$P$2),2))</f>
        <v/>
      </c>
      <c r="L7" s="26" t="str">
        <f t="shared" si="2"/>
        <v/>
      </c>
    </row>
    <row r="8" spans="1:16">
      <c r="A8" s="22" t="str">
        <f t="shared" si="0"/>
        <v/>
      </c>
      <c r="B8" s="37" t="str">
        <f>IFERROR(INDEX(_自动清单!$CW$4:$CW$203,ROW()-3),"")</f>
        <v/>
      </c>
      <c r="C8" s="25" t="str">
        <f>IF(OR($B8="",基础资料!$B$4=""),"",SUMIFS(周转筐出入库明细!$H$4:$H$2004,周转筐出入库明细!$C$4:$C$2004,$B8,周转筐出入库明细!$D$4:$D$2004,基础资料!$B$4,周转筐出入库明细!$F$4:$F$2004,"采购入库",周转筐出入库明细!$B$4:$B$2004,"&gt;="&amp;$P$1,周转筐出入库明细!$B$4:$B$2004,"&lt;="&amp;$P$2))</f>
        <v/>
      </c>
      <c r="D8" s="25" t="str">
        <f>IF(OR($B8="",基础资料!$B$5=""),"",SUMIFS(周转筐出入库明细!$H$4:$H$2004,周转筐出入库明细!$C$4:$C$2004,$B8,周转筐出入库明细!$D$4:$D$2004,基础资料!$B$5,周转筐出入库明细!$F$4:$F$2004,"采购入库",周转筐出入库明细!$B$4:$B$2004,"&gt;="&amp;$P$1,周转筐出入库明细!$B$4:$B$2004,"&lt;="&amp;$P$2))</f>
        <v/>
      </c>
      <c r="E8" s="25" t="str">
        <f>IF(OR($B8="",基础资料!$B$6=""),"",SUMIFS(周转筐出入库明细!$H$4:$H$2004,周转筐出入库明细!$C$4:$C$2004,$B8,周转筐出入库明细!$D$4:$D$2004,基础资料!$B$6,周转筐出入库明细!$F$4:$F$2004,"采购入库",周转筐出入库明细!$B$4:$B$2004,"&gt;="&amp;$P$1,周转筐出入库明细!$B$4:$B$2004,"&lt;="&amp;$P$2))</f>
        <v/>
      </c>
      <c r="F8" s="25" t="str">
        <f>IF(OR($B8="",基础资料!$B$7=""),"",SUMIFS(周转筐出入库明细!$H$4:$H$2004,周转筐出入库明细!$C$4:$C$2004,$B8,周转筐出入库明细!$D$4:$D$2004,基础资料!$B$7,周转筐出入库明细!$F$4:$F$2004,"采购入库",周转筐出入库明细!$B$4:$B$2004,"&gt;="&amp;$P$1,周转筐出入库明细!$B$4:$B$2004,"&lt;="&amp;$P$2))</f>
        <v/>
      </c>
      <c r="G8" s="25" t="str">
        <f>IF(OR($B8="",基础资料!$B$8=""),"",SUMIFS(周转筐出入库明细!$H$4:$H$2004,周转筐出入库明细!$C$4:$C$2004,$B8,周转筐出入库明细!$D$4:$D$2004,基础资料!$B$8,周转筐出入库明细!$F$4:$F$2004,"采购入库",周转筐出入库明细!$B$4:$B$2004,"&gt;="&amp;$P$1,周转筐出入库明细!$B$4:$B$2004,"&lt;="&amp;$P$2))</f>
        <v/>
      </c>
      <c r="H8" s="25" t="str">
        <f>IF($B8="","",SUMIFS(周转筐出入库明细!$H$4:$H$2004,周转筐出入库明细!$C$4:$C$2004,$B8,周转筐出入库明细!$F$4:$F$2004,"采购入库",周转筐出入库明细!$B$4:$B$2004,"&gt;="&amp;$P$1,周转筐出入库明细!$B$4:$B$2004,"&lt;="&amp;$P$2)-SUM($C8:$G8))</f>
        <v/>
      </c>
      <c r="I8" s="25" t="str">
        <f t="shared" si="1"/>
        <v/>
      </c>
      <c r="J8" s="26" t="str">
        <f>IF($B8="","",ROUND(SUMIFS(周转筐出入库明细!$P$4:$P$2004,周转筐出入库明细!$C$4:$C$2004,$B8,周转筐出入库明细!$F$4:$F$2004,"采购入库",周转筐出入库明细!$B$4:$B$2004,"&gt;="&amp;$P$1,周转筐出入库明细!$B$4:$B$2004,"&lt;="&amp;$P$2),2))</f>
        <v/>
      </c>
      <c r="K8" s="26" t="str">
        <f>IF($B8="","",ROUND(SUMIFS(周转筐出入库明细!$P$4:$P$2004,周转筐出入库明细!$C$4:$C$2004,$B8,周转筐出入库明细!$F$4:$F$2004,"采购入库",周转筐出入库明细!$Q$4:$Q$2004,"已付款",周转筐出入库明细!$B$4:$B$2004,"&gt;="&amp;$P$1,周转筐出入库明细!$B$4:$B$2004,"&lt;="&amp;$P$2),2))</f>
        <v/>
      </c>
      <c r="L8" s="26" t="str">
        <f t="shared" si="2"/>
        <v/>
      </c>
    </row>
    <row r="9" spans="1:16">
      <c r="A9" s="22" t="str">
        <f t="shared" si="0"/>
        <v/>
      </c>
      <c r="B9" s="37" t="str">
        <f>IFERROR(INDEX(_自动清单!$CW$4:$CW$203,ROW()-3),"")</f>
        <v/>
      </c>
      <c r="C9" s="25" t="str">
        <f>IF(OR($B9="",基础资料!$B$4=""),"",SUMIFS(周转筐出入库明细!$H$4:$H$2004,周转筐出入库明细!$C$4:$C$2004,$B9,周转筐出入库明细!$D$4:$D$2004,基础资料!$B$4,周转筐出入库明细!$F$4:$F$2004,"采购入库",周转筐出入库明细!$B$4:$B$2004,"&gt;="&amp;$P$1,周转筐出入库明细!$B$4:$B$2004,"&lt;="&amp;$P$2))</f>
        <v/>
      </c>
      <c r="D9" s="25" t="str">
        <f>IF(OR($B9="",基础资料!$B$5=""),"",SUMIFS(周转筐出入库明细!$H$4:$H$2004,周转筐出入库明细!$C$4:$C$2004,$B9,周转筐出入库明细!$D$4:$D$2004,基础资料!$B$5,周转筐出入库明细!$F$4:$F$2004,"采购入库",周转筐出入库明细!$B$4:$B$2004,"&gt;="&amp;$P$1,周转筐出入库明细!$B$4:$B$2004,"&lt;="&amp;$P$2))</f>
        <v/>
      </c>
      <c r="E9" s="25" t="str">
        <f>IF(OR($B9="",基础资料!$B$6=""),"",SUMIFS(周转筐出入库明细!$H$4:$H$2004,周转筐出入库明细!$C$4:$C$2004,$B9,周转筐出入库明细!$D$4:$D$2004,基础资料!$B$6,周转筐出入库明细!$F$4:$F$2004,"采购入库",周转筐出入库明细!$B$4:$B$2004,"&gt;="&amp;$P$1,周转筐出入库明细!$B$4:$B$2004,"&lt;="&amp;$P$2))</f>
        <v/>
      </c>
      <c r="F9" s="25" t="str">
        <f>IF(OR($B9="",基础资料!$B$7=""),"",SUMIFS(周转筐出入库明细!$H$4:$H$2004,周转筐出入库明细!$C$4:$C$2004,$B9,周转筐出入库明细!$D$4:$D$2004,基础资料!$B$7,周转筐出入库明细!$F$4:$F$2004,"采购入库",周转筐出入库明细!$B$4:$B$2004,"&gt;="&amp;$P$1,周转筐出入库明细!$B$4:$B$2004,"&lt;="&amp;$P$2))</f>
        <v/>
      </c>
      <c r="G9" s="25" t="str">
        <f>IF(OR($B9="",基础资料!$B$8=""),"",SUMIFS(周转筐出入库明细!$H$4:$H$2004,周转筐出入库明细!$C$4:$C$2004,$B9,周转筐出入库明细!$D$4:$D$2004,基础资料!$B$8,周转筐出入库明细!$F$4:$F$2004,"采购入库",周转筐出入库明细!$B$4:$B$2004,"&gt;="&amp;$P$1,周转筐出入库明细!$B$4:$B$2004,"&lt;="&amp;$P$2))</f>
        <v/>
      </c>
      <c r="H9" s="25" t="str">
        <f>IF($B9="","",SUMIFS(周转筐出入库明细!$H$4:$H$2004,周转筐出入库明细!$C$4:$C$2004,$B9,周转筐出入库明细!$F$4:$F$2004,"采购入库",周转筐出入库明细!$B$4:$B$2004,"&gt;="&amp;$P$1,周转筐出入库明细!$B$4:$B$2004,"&lt;="&amp;$P$2)-SUM($C9:$G9))</f>
        <v/>
      </c>
      <c r="I9" s="25" t="str">
        <f t="shared" si="1"/>
        <v/>
      </c>
      <c r="J9" s="26" t="str">
        <f>IF($B9="","",ROUND(SUMIFS(周转筐出入库明细!$P$4:$P$2004,周转筐出入库明细!$C$4:$C$2004,$B9,周转筐出入库明细!$F$4:$F$2004,"采购入库",周转筐出入库明细!$B$4:$B$2004,"&gt;="&amp;$P$1,周转筐出入库明细!$B$4:$B$2004,"&lt;="&amp;$P$2),2))</f>
        <v/>
      </c>
      <c r="K9" s="26" t="str">
        <f>IF($B9="","",ROUND(SUMIFS(周转筐出入库明细!$P$4:$P$2004,周转筐出入库明细!$C$4:$C$2004,$B9,周转筐出入库明细!$F$4:$F$2004,"采购入库",周转筐出入库明细!$Q$4:$Q$2004,"已付款",周转筐出入库明细!$B$4:$B$2004,"&gt;="&amp;$P$1,周转筐出入库明细!$B$4:$B$2004,"&lt;="&amp;$P$2),2))</f>
        <v/>
      </c>
      <c r="L9" s="26" t="str">
        <f t="shared" si="2"/>
        <v/>
      </c>
    </row>
    <row r="10" spans="1:16">
      <c r="A10" s="22" t="str">
        <f t="shared" si="0"/>
        <v/>
      </c>
      <c r="B10" s="37" t="str">
        <f>IFERROR(INDEX(_自动清单!$CW$4:$CW$203,ROW()-3),"")</f>
        <v/>
      </c>
      <c r="C10" s="25" t="str">
        <f>IF(OR($B10="",基础资料!$B$4=""),"",SUMIFS(周转筐出入库明细!$H$4:$H$2004,周转筐出入库明细!$C$4:$C$2004,$B10,周转筐出入库明细!$D$4:$D$2004,基础资料!$B$4,周转筐出入库明细!$F$4:$F$2004,"采购入库",周转筐出入库明细!$B$4:$B$2004,"&gt;="&amp;$P$1,周转筐出入库明细!$B$4:$B$2004,"&lt;="&amp;$P$2))</f>
        <v/>
      </c>
      <c r="D10" s="25" t="str">
        <f>IF(OR($B10="",基础资料!$B$5=""),"",SUMIFS(周转筐出入库明细!$H$4:$H$2004,周转筐出入库明细!$C$4:$C$2004,$B10,周转筐出入库明细!$D$4:$D$2004,基础资料!$B$5,周转筐出入库明细!$F$4:$F$2004,"采购入库",周转筐出入库明细!$B$4:$B$2004,"&gt;="&amp;$P$1,周转筐出入库明细!$B$4:$B$2004,"&lt;="&amp;$P$2))</f>
        <v/>
      </c>
      <c r="E10" s="25" t="str">
        <f>IF(OR($B10="",基础资料!$B$6=""),"",SUMIFS(周转筐出入库明细!$H$4:$H$2004,周转筐出入库明细!$C$4:$C$2004,$B10,周转筐出入库明细!$D$4:$D$2004,基础资料!$B$6,周转筐出入库明细!$F$4:$F$2004,"采购入库",周转筐出入库明细!$B$4:$B$2004,"&gt;="&amp;$P$1,周转筐出入库明细!$B$4:$B$2004,"&lt;="&amp;$P$2))</f>
        <v/>
      </c>
      <c r="F10" s="25" t="str">
        <f>IF(OR($B10="",基础资料!$B$7=""),"",SUMIFS(周转筐出入库明细!$H$4:$H$2004,周转筐出入库明细!$C$4:$C$2004,$B10,周转筐出入库明细!$D$4:$D$2004,基础资料!$B$7,周转筐出入库明细!$F$4:$F$2004,"采购入库",周转筐出入库明细!$B$4:$B$2004,"&gt;="&amp;$P$1,周转筐出入库明细!$B$4:$B$2004,"&lt;="&amp;$P$2))</f>
        <v/>
      </c>
      <c r="G10" s="25" t="str">
        <f>IF(OR($B10="",基础资料!$B$8=""),"",SUMIFS(周转筐出入库明细!$H$4:$H$2004,周转筐出入库明细!$C$4:$C$2004,$B10,周转筐出入库明细!$D$4:$D$2004,基础资料!$B$8,周转筐出入库明细!$F$4:$F$2004,"采购入库",周转筐出入库明细!$B$4:$B$2004,"&gt;="&amp;$P$1,周转筐出入库明细!$B$4:$B$2004,"&lt;="&amp;$P$2))</f>
        <v/>
      </c>
      <c r="H10" s="25" t="str">
        <f>IF($B10="","",SUMIFS(周转筐出入库明细!$H$4:$H$2004,周转筐出入库明细!$C$4:$C$2004,$B10,周转筐出入库明细!$F$4:$F$2004,"采购入库",周转筐出入库明细!$B$4:$B$2004,"&gt;="&amp;$P$1,周转筐出入库明细!$B$4:$B$2004,"&lt;="&amp;$P$2)-SUM($C10:$G10))</f>
        <v/>
      </c>
      <c r="I10" s="25" t="str">
        <f t="shared" si="1"/>
        <v/>
      </c>
      <c r="J10" s="26" t="str">
        <f>IF($B10="","",ROUND(SUMIFS(周转筐出入库明细!$P$4:$P$2004,周转筐出入库明细!$C$4:$C$2004,$B10,周转筐出入库明细!$F$4:$F$2004,"采购入库",周转筐出入库明细!$B$4:$B$2004,"&gt;="&amp;$P$1,周转筐出入库明细!$B$4:$B$2004,"&lt;="&amp;$P$2),2))</f>
        <v/>
      </c>
      <c r="K10" s="26" t="str">
        <f>IF($B10="","",ROUND(SUMIFS(周转筐出入库明细!$P$4:$P$2004,周转筐出入库明细!$C$4:$C$2004,$B10,周转筐出入库明细!$F$4:$F$2004,"采购入库",周转筐出入库明细!$Q$4:$Q$2004,"已付款",周转筐出入库明细!$B$4:$B$2004,"&gt;="&amp;$P$1,周转筐出入库明细!$B$4:$B$2004,"&lt;="&amp;$P$2),2))</f>
        <v/>
      </c>
      <c r="L10" s="26" t="str">
        <f t="shared" si="2"/>
        <v/>
      </c>
    </row>
    <row r="11" spans="1:16">
      <c r="A11" s="22" t="str">
        <f t="shared" si="0"/>
        <v/>
      </c>
      <c r="B11" s="37" t="str">
        <f>IFERROR(INDEX(_自动清单!$CW$4:$CW$203,ROW()-3),"")</f>
        <v/>
      </c>
      <c r="C11" s="25" t="str">
        <f>IF(OR($B11="",基础资料!$B$4=""),"",SUMIFS(周转筐出入库明细!$H$4:$H$2004,周转筐出入库明细!$C$4:$C$2004,$B11,周转筐出入库明细!$D$4:$D$2004,基础资料!$B$4,周转筐出入库明细!$F$4:$F$2004,"采购入库",周转筐出入库明细!$B$4:$B$2004,"&gt;="&amp;$P$1,周转筐出入库明细!$B$4:$B$2004,"&lt;="&amp;$P$2))</f>
        <v/>
      </c>
      <c r="D11" s="25" t="str">
        <f>IF(OR($B11="",基础资料!$B$5=""),"",SUMIFS(周转筐出入库明细!$H$4:$H$2004,周转筐出入库明细!$C$4:$C$2004,$B11,周转筐出入库明细!$D$4:$D$2004,基础资料!$B$5,周转筐出入库明细!$F$4:$F$2004,"采购入库",周转筐出入库明细!$B$4:$B$2004,"&gt;="&amp;$P$1,周转筐出入库明细!$B$4:$B$2004,"&lt;="&amp;$P$2))</f>
        <v/>
      </c>
      <c r="E11" s="25" t="str">
        <f>IF(OR($B11="",基础资料!$B$6=""),"",SUMIFS(周转筐出入库明细!$H$4:$H$2004,周转筐出入库明细!$C$4:$C$2004,$B11,周转筐出入库明细!$D$4:$D$2004,基础资料!$B$6,周转筐出入库明细!$F$4:$F$2004,"采购入库",周转筐出入库明细!$B$4:$B$2004,"&gt;="&amp;$P$1,周转筐出入库明细!$B$4:$B$2004,"&lt;="&amp;$P$2))</f>
        <v/>
      </c>
      <c r="F11" s="25" t="str">
        <f>IF(OR($B11="",基础资料!$B$7=""),"",SUMIFS(周转筐出入库明细!$H$4:$H$2004,周转筐出入库明细!$C$4:$C$2004,$B11,周转筐出入库明细!$D$4:$D$2004,基础资料!$B$7,周转筐出入库明细!$F$4:$F$2004,"采购入库",周转筐出入库明细!$B$4:$B$2004,"&gt;="&amp;$P$1,周转筐出入库明细!$B$4:$B$2004,"&lt;="&amp;$P$2))</f>
        <v/>
      </c>
      <c r="G11" s="25" t="str">
        <f>IF(OR($B11="",基础资料!$B$8=""),"",SUMIFS(周转筐出入库明细!$H$4:$H$2004,周转筐出入库明细!$C$4:$C$2004,$B11,周转筐出入库明细!$D$4:$D$2004,基础资料!$B$8,周转筐出入库明细!$F$4:$F$2004,"采购入库",周转筐出入库明细!$B$4:$B$2004,"&gt;="&amp;$P$1,周转筐出入库明细!$B$4:$B$2004,"&lt;="&amp;$P$2))</f>
        <v/>
      </c>
      <c r="H11" s="25" t="str">
        <f>IF($B11="","",SUMIFS(周转筐出入库明细!$H$4:$H$2004,周转筐出入库明细!$C$4:$C$2004,$B11,周转筐出入库明细!$F$4:$F$2004,"采购入库",周转筐出入库明细!$B$4:$B$2004,"&gt;="&amp;$P$1,周转筐出入库明细!$B$4:$B$2004,"&lt;="&amp;$P$2)-SUM($C11:$G11))</f>
        <v/>
      </c>
      <c r="I11" s="25" t="str">
        <f t="shared" si="1"/>
        <v/>
      </c>
      <c r="J11" s="26" t="str">
        <f>IF($B11="","",ROUND(SUMIFS(周转筐出入库明细!$P$4:$P$2004,周转筐出入库明细!$C$4:$C$2004,$B11,周转筐出入库明细!$F$4:$F$2004,"采购入库",周转筐出入库明细!$B$4:$B$2004,"&gt;="&amp;$P$1,周转筐出入库明细!$B$4:$B$2004,"&lt;="&amp;$P$2),2))</f>
        <v/>
      </c>
      <c r="K11" s="26" t="str">
        <f>IF($B11="","",ROUND(SUMIFS(周转筐出入库明细!$P$4:$P$2004,周转筐出入库明细!$C$4:$C$2004,$B11,周转筐出入库明细!$F$4:$F$2004,"采购入库",周转筐出入库明细!$Q$4:$Q$2004,"已付款",周转筐出入库明细!$B$4:$B$2004,"&gt;="&amp;$P$1,周转筐出入库明细!$B$4:$B$2004,"&lt;="&amp;$P$2),2))</f>
        <v/>
      </c>
      <c r="L11" s="26" t="str">
        <f t="shared" si="2"/>
        <v/>
      </c>
    </row>
    <row r="12" spans="1:16">
      <c r="A12" s="22" t="str">
        <f t="shared" si="0"/>
        <v/>
      </c>
      <c r="B12" s="37" t="str">
        <f>IFERROR(INDEX(_自动清单!$CW$4:$CW$203,ROW()-3),"")</f>
        <v/>
      </c>
      <c r="C12" s="25" t="str">
        <f>IF(OR($B12="",基础资料!$B$4=""),"",SUMIFS(周转筐出入库明细!$H$4:$H$2004,周转筐出入库明细!$C$4:$C$2004,$B12,周转筐出入库明细!$D$4:$D$2004,基础资料!$B$4,周转筐出入库明细!$F$4:$F$2004,"采购入库",周转筐出入库明细!$B$4:$B$2004,"&gt;="&amp;$P$1,周转筐出入库明细!$B$4:$B$2004,"&lt;="&amp;$P$2))</f>
        <v/>
      </c>
      <c r="D12" s="25" t="str">
        <f>IF(OR($B12="",基础资料!$B$5=""),"",SUMIFS(周转筐出入库明细!$H$4:$H$2004,周转筐出入库明细!$C$4:$C$2004,$B12,周转筐出入库明细!$D$4:$D$2004,基础资料!$B$5,周转筐出入库明细!$F$4:$F$2004,"采购入库",周转筐出入库明细!$B$4:$B$2004,"&gt;="&amp;$P$1,周转筐出入库明细!$B$4:$B$2004,"&lt;="&amp;$P$2))</f>
        <v/>
      </c>
      <c r="E12" s="25" t="str">
        <f>IF(OR($B12="",基础资料!$B$6=""),"",SUMIFS(周转筐出入库明细!$H$4:$H$2004,周转筐出入库明细!$C$4:$C$2004,$B12,周转筐出入库明细!$D$4:$D$2004,基础资料!$B$6,周转筐出入库明细!$F$4:$F$2004,"采购入库",周转筐出入库明细!$B$4:$B$2004,"&gt;="&amp;$P$1,周转筐出入库明细!$B$4:$B$2004,"&lt;="&amp;$P$2))</f>
        <v/>
      </c>
      <c r="F12" s="25" t="str">
        <f>IF(OR($B12="",基础资料!$B$7=""),"",SUMIFS(周转筐出入库明细!$H$4:$H$2004,周转筐出入库明细!$C$4:$C$2004,$B12,周转筐出入库明细!$D$4:$D$2004,基础资料!$B$7,周转筐出入库明细!$F$4:$F$2004,"采购入库",周转筐出入库明细!$B$4:$B$2004,"&gt;="&amp;$P$1,周转筐出入库明细!$B$4:$B$2004,"&lt;="&amp;$P$2))</f>
        <v/>
      </c>
      <c r="G12" s="25" t="str">
        <f>IF(OR($B12="",基础资料!$B$8=""),"",SUMIFS(周转筐出入库明细!$H$4:$H$2004,周转筐出入库明细!$C$4:$C$2004,$B12,周转筐出入库明细!$D$4:$D$2004,基础资料!$B$8,周转筐出入库明细!$F$4:$F$2004,"采购入库",周转筐出入库明细!$B$4:$B$2004,"&gt;="&amp;$P$1,周转筐出入库明细!$B$4:$B$2004,"&lt;="&amp;$P$2))</f>
        <v/>
      </c>
      <c r="H12" s="25" t="str">
        <f>IF($B12="","",SUMIFS(周转筐出入库明细!$H$4:$H$2004,周转筐出入库明细!$C$4:$C$2004,$B12,周转筐出入库明细!$F$4:$F$2004,"采购入库",周转筐出入库明细!$B$4:$B$2004,"&gt;="&amp;$P$1,周转筐出入库明细!$B$4:$B$2004,"&lt;="&amp;$P$2)-SUM($C12:$G12))</f>
        <v/>
      </c>
      <c r="I12" s="25" t="str">
        <f t="shared" si="1"/>
        <v/>
      </c>
      <c r="J12" s="26" t="str">
        <f>IF($B12="","",ROUND(SUMIFS(周转筐出入库明细!$P$4:$P$2004,周转筐出入库明细!$C$4:$C$2004,$B12,周转筐出入库明细!$F$4:$F$2004,"采购入库",周转筐出入库明细!$B$4:$B$2004,"&gt;="&amp;$P$1,周转筐出入库明细!$B$4:$B$2004,"&lt;="&amp;$P$2),2))</f>
        <v/>
      </c>
      <c r="K12" s="26" t="str">
        <f>IF($B12="","",ROUND(SUMIFS(周转筐出入库明细!$P$4:$P$2004,周转筐出入库明细!$C$4:$C$2004,$B12,周转筐出入库明细!$F$4:$F$2004,"采购入库",周转筐出入库明细!$Q$4:$Q$2004,"已付款",周转筐出入库明细!$B$4:$B$2004,"&gt;="&amp;$P$1,周转筐出入库明细!$B$4:$B$2004,"&lt;="&amp;$P$2),2))</f>
        <v/>
      </c>
      <c r="L12" s="26" t="str">
        <f t="shared" si="2"/>
        <v/>
      </c>
    </row>
    <row r="13" spans="1:16">
      <c r="A13" s="22" t="str">
        <f t="shared" si="0"/>
        <v/>
      </c>
      <c r="B13" s="37" t="str">
        <f>IFERROR(INDEX(_自动清单!$CW$4:$CW$203,ROW()-3),"")</f>
        <v/>
      </c>
      <c r="C13" s="25" t="str">
        <f>IF(OR($B13="",基础资料!$B$4=""),"",SUMIFS(周转筐出入库明细!$H$4:$H$2004,周转筐出入库明细!$C$4:$C$2004,$B13,周转筐出入库明细!$D$4:$D$2004,基础资料!$B$4,周转筐出入库明细!$F$4:$F$2004,"采购入库",周转筐出入库明细!$B$4:$B$2004,"&gt;="&amp;$P$1,周转筐出入库明细!$B$4:$B$2004,"&lt;="&amp;$P$2))</f>
        <v/>
      </c>
      <c r="D13" s="25" t="str">
        <f>IF(OR($B13="",基础资料!$B$5=""),"",SUMIFS(周转筐出入库明细!$H$4:$H$2004,周转筐出入库明细!$C$4:$C$2004,$B13,周转筐出入库明细!$D$4:$D$2004,基础资料!$B$5,周转筐出入库明细!$F$4:$F$2004,"采购入库",周转筐出入库明细!$B$4:$B$2004,"&gt;="&amp;$P$1,周转筐出入库明细!$B$4:$B$2004,"&lt;="&amp;$P$2))</f>
        <v/>
      </c>
      <c r="E13" s="25" t="str">
        <f>IF(OR($B13="",基础资料!$B$6=""),"",SUMIFS(周转筐出入库明细!$H$4:$H$2004,周转筐出入库明细!$C$4:$C$2004,$B13,周转筐出入库明细!$D$4:$D$2004,基础资料!$B$6,周转筐出入库明细!$F$4:$F$2004,"采购入库",周转筐出入库明细!$B$4:$B$2004,"&gt;="&amp;$P$1,周转筐出入库明细!$B$4:$B$2004,"&lt;="&amp;$P$2))</f>
        <v/>
      </c>
      <c r="F13" s="25" t="str">
        <f>IF(OR($B13="",基础资料!$B$7=""),"",SUMIFS(周转筐出入库明细!$H$4:$H$2004,周转筐出入库明细!$C$4:$C$2004,$B13,周转筐出入库明细!$D$4:$D$2004,基础资料!$B$7,周转筐出入库明细!$F$4:$F$2004,"采购入库",周转筐出入库明细!$B$4:$B$2004,"&gt;="&amp;$P$1,周转筐出入库明细!$B$4:$B$2004,"&lt;="&amp;$P$2))</f>
        <v/>
      </c>
      <c r="G13" s="25" t="str">
        <f>IF(OR($B13="",基础资料!$B$8=""),"",SUMIFS(周转筐出入库明细!$H$4:$H$2004,周转筐出入库明细!$C$4:$C$2004,$B13,周转筐出入库明细!$D$4:$D$2004,基础资料!$B$8,周转筐出入库明细!$F$4:$F$2004,"采购入库",周转筐出入库明细!$B$4:$B$2004,"&gt;="&amp;$P$1,周转筐出入库明细!$B$4:$B$2004,"&lt;="&amp;$P$2))</f>
        <v/>
      </c>
      <c r="H13" s="25" t="str">
        <f>IF($B13="","",SUMIFS(周转筐出入库明细!$H$4:$H$2004,周转筐出入库明细!$C$4:$C$2004,$B13,周转筐出入库明细!$F$4:$F$2004,"采购入库",周转筐出入库明细!$B$4:$B$2004,"&gt;="&amp;$P$1,周转筐出入库明细!$B$4:$B$2004,"&lt;="&amp;$P$2)-SUM($C13:$G13))</f>
        <v/>
      </c>
      <c r="I13" s="25" t="str">
        <f t="shared" si="1"/>
        <v/>
      </c>
      <c r="J13" s="26" t="str">
        <f>IF($B13="","",ROUND(SUMIFS(周转筐出入库明细!$P$4:$P$2004,周转筐出入库明细!$C$4:$C$2004,$B13,周转筐出入库明细!$F$4:$F$2004,"采购入库",周转筐出入库明细!$B$4:$B$2004,"&gt;="&amp;$P$1,周转筐出入库明细!$B$4:$B$2004,"&lt;="&amp;$P$2),2))</f>
        <v/>
      </c>
      <c r="K13" s="26" t="str">
        <f>IF($B13="","",ROUND(SUMIFS(周转筐出入库明细!$P$4:$P$2004,周转筐出入库明细!$C$4:$C$2004,$B13,周转筐出入库明细!$F$4:$F$2004,"采购入库",周转筐出入库明细!$Q$4:$Q$2004,"已付款",周转筐出入库明细!$B$4:$B$2004,"&gt;="&amp;$P$1,周转筐出入库明细!$B$4:$B$2004,"&lt;="&amp;$P$2),2))</f>
        <v/>
      </c>
      <c r="L13" s="26" t="str">
        <f t="shared" si="2"/>
        <v/>
      </c>
    </row>
    <row r="14" spans="1:16">
      <c r="A14" s="22" t="str">
        <f t="shared" si="0"/>
        <v/>
      </c>
      <c r="B14" s="37" t="str">
        <f>IFERROR(INDEX(_自动清单!$CW$4:$CW$203,ROW()-3),"")</f>
        <v/>
      </c>
      <c r="C14" s="25" t="str">
        <f>IF(OR($B14="",基础资料!$B$4=""),"",SUMIFS(周转筐出入库明细!$H$4:$H$2004,周转筐出入库明细!$C$4:$C$2004,$B14,周转筐出入库明细!$D$4:$D$2004,基础资料!$B$4,周转筐出入库明细!$F$4:$F$2004,"采购入库",周转筐出入库明细!$B$4:$B$2004,"&gt;="&amp;$P$1,周转筐出入库明细!$B$4:$B$2004,"&lt;="&amp;$P$2))</f>
        <v/>
      </c>
      <c r="D14" s="25" t="str">
        <f>IF(OR($B14="",基础资料!$B$5=""),"",SUMIFS(周转筐出入库明细!$H$4:$H$2004,周转筐出入库明细!$C$4:$C$2004,$B14,周转筐出入库明细!$D$4:$D$2004,基础资料!$B$5,周转筐出入库明细!$F$4:$F$2004,"采购入库",周转筐出入库明细!$B$4:$B$2004,"&gt;="&amp;$P$1,周转筐出入库明细!$B$4:$B$2004,"&lt;="&amp;$P$2))</f>
        <v/>
      </c>
      <c r="E14" s="25" t="str">
        <f>IF(OR($B14="",基础资料!$B$6=""),"",SUMIFS(周转筐出入库明细!$H$4:$H$2004,周转筐出入库明细!$C$4:$C$2004,$B14,周转筐出入库明细!$D$4:$D$2004,基础资料!$B$6,周转筐出入库明细!$F$4:$F$2004,"采购入库",周转筐出入库明细!$B$4:$B$2004,"&gt;="&amp;$P$1,周转筐出入库明细!$B$4:$B$2004,"&lt;="&amp;$P$2))</f>
        <v/>
      </c>
      <c r="F14" s="25" t="str">
        <f>IF(OR($B14="",基础资料!$B$7=""),"",SUMIFS(周转筐出入库明细!$H$4:$H$2004,周转筐出入库明细!$C$4:$C$2004,$B14,周转筐出入库明细!$D$4:$D$2004,基础资料!$B$7,周转筐出入库明细!$F$4:$F$2004,"采购入库",周转筐出入库明细!$B$4:$B$2004,"&gt;="&amp;$P$1,周转筐出入库明细!$B$4:$B$2004,"&lt;="&amp;$P$2))</f>
        <v/>
      </c>
      <c r="G14" s="25" t="str">
        <f>IF(OR($B14="",基础资料!$B$8=""),"",SUMIFS(周转筐出入库明细!$H$4:$H$2004,周转筐出入库明细!$C$4:$C$2004,$B14,周转筐出入库明细!$D$4:$D$2004,基础资料!$B$8,周转筐出入库明细!$F$4:$F$2004,"采购入库",周转筐出入库明细!$B$4:$B$2004,"&gt;="&amp;$P$1,周转筐出入库明细!$B$4:$B$2004,"&lt;="&amp;$P$2))</f>
        <v/>
      </c>
      <c r="H14" s="25" t="str">
        <f>IF($B14="","",SUMIFS(周转筐出入库明细!$H$4:$H$2004,周转筐出入库明细!$C$4:$C$2004,$B14,周转筐出入库明细!$F$4:$F$2004,"采购入库",周转筐出入库明细!$B$4:$B$2004,"&gt;="&amp;$P$1,周转筐出入库明细!$B$4:$B$2004,"&lt;="&amp;$P$2)-SUM($C14:$G14))</f>
        <v/>
      </c>
      <c r="I14" s="25" t="str">
        <f t="shared" si="1"/>
        <v/>
      </c>
      <c r="J14" s="26" t="str">
        <f>IF($B14="","",ROUND(SUMIFS(周转筐出入库明细!$P$4:$P$2004,周转筐出入库明细!$C$4:$C$2004,$B14,周转筐出入库明细!$F$4:$F$2004,"采购入库",周转筐出入库明细!$B$4:$B$2004,"&gt;="&amp;$P$1,周转筐出入库明细!$B$4:$B$2004,"&lt;="&amp;$P$2),2))</f>
        <v/>
      </c>
      <c r="K14" s="26" t="str">
        <f>IF($B14="","",ROUND(SUMIFS(周转筐出入库明细!$P$4:$P$2004,周转筐出入库明细!$C$4:$C$2004,$B14,周转筐出入库明细!$F$4:$F$2004,"采购入库",周转筐出入库明细!$Q$4:$Q$2004,"已付款",周转筐出入库明细!$B$4:$B$2004,"&gt;="&amp;$P$1,周转筐出入库明细!$B$4:$B$2004,"&lt;="&amp;$P$2),2))</f>
        <v/>
      </c>
      <c r="L14" s="26" t="str">
        <f t="shared" si="2"/>
        <v/>
      </c>
    </row>
    <row r="15" spans="1:16">
      <c r="A15" s="22" t="str">
        <f t="shared" si="0"/>
        <v/>
      </c>
      <c r="B15" s="37" t="str">
        <f>IFERROR(INDEX(_自动清单!$CW$4:$CW$203,ROW()-3),"")</f>
        <v/>
      </c>
      <c r="C15" s="25" t="str">
        <f>IF(OR($B15="",基础资料!$B$4=""),"",SUMIFS(周转筐出入库明细!$H$4:$H$2004,周转筐出入库明细!$C$4:$C$2004,$B15,周转筐出入库明细!$D$4:$D$2004,基础资料!$B$4,周转筐出入库明细!$F$4:$F$2004,"采购入库",周转筐出入库明细!$B$4:$B$2004,"&gt;="&amp;$P$1,周转筐出入库明细!$B$4:$B$2004,"&lt;="&amp;$P$2))</f>
        <v/>
      </c>
      <c r="D15" s="25" t="str">
        <f>IF(OR($B15="",基础资料!$B$5=""),"",SUMIFS(周转筐出入库明细!$H$4:$H$2004,周转筐出入库明细!$C$4:$C$2004,$B15,周转筐出入库明细!$D$4:$D$2004,基础资料!$B$5,周转筐出入库明细!$F$4:$F$2004,"采购入库",周转筐出入库明细!$B$4:$B$2004,"&gt;="&amp;$P$1,周转筐出入库明细!$B$4:$B$2004,"&lt;="&amp;$P$2))</f>
        <v/>
      </c>
      <c r="E15" s="25" t="str">
        <f>IF(OR($B15="",基础资料!$B$6=""),"",SUMIFS(周转筐出入库明细!$H$4:$H$2004,周转筐出入库明细!$C$4:$C$2004,$B15,周转筐出入库明细!$D$4:$D$2004,基础资料!$B$6,周转筐出入库明细!$F$4:$F$2004,"采购入库",周转筐出入库明细!$B$4:$B$2004,"&gt;="&amp;$P$1,周转筐出入库明细!$B$4:$B$2004,"&lt;="&amp;$P$2))</f>
        <v/>
      </c>
      <c r="F15" s="25" t="str">
        <f>IF(OR($B15="",基础资料!$B$7=""),"",SUMIFS(周转筐出入库明细!$H$4:$H$2004,周转筐出入库明细!$C$4:$C$2004,$B15,周转筐出入库明细!$D$4:$D$2004,基础资料!$B$7,周转筐出入库明细!$F$4:$F$2004,"采购入库",周转筐出入库明细!$B$4:$B$2004,"&gt;="&amp;$P$1,周转筐出入库明细!$B$4:$B$2004,"&lt;="&amp;$P$2))</f>
        <v/>
      </c>
      <c r="G15" s="25" t="str">
        <f>IF(OR($B15="",基础资料!$B$8=""),"",SUMIFS(周转筐出入库明细!$H$4:$H$2004,周转筐出入库明细!$C$4:$C$2004,$B15,周转筐出入库明细!$D$4:$D$2004,基础资料!$B$8,周转筐出入库明细!$F$4:$F$2004,"采购入库",周转筐出入库明细!$B$4:$B$2004,"&gt;="&amp;$P$1,周转筐出入库明细!$B$4:$B$2004,"&lt;="&amp;$P$2))</f>
        <v/>
      </c>
      <c r="H15" s="25" t="str">
        <f>IF($B15="","",SUMIFS(周转筐出入库明细!$H$4:$H$2004,周转筐出入库明细!$C$4:$C$2004,$B15,周转筐出入库明细!$F$4:$F$2004,"采购入库",周转筐出入库明细!$B$4:$B$2004,"&gt;="&amp;$P$1,周转筐出入库明细!$B$4:$B$2004,"&lt;="&amp;$P$2)-SUM($C15:$G15))</f>
        <v/>
      </c>
      <c r="I15" s="25" t="str">
        <f t="shared" si="1"/>
        <v/>
      </c>
      <c r="J15" s="26" t="str">
        <f>IF($B15="","",ROUND(SUMIFS(周转筐出入库明细!$P$4:$P$2004,周转筐出入库明细!$C$4:$C$2004,$B15,周转筐出入库明细!$F$4:$F$2004,"采购入库",周转筐出入库明细!$B$4:$B$2004,"&gt;="&amp;$P$1,周转筐出入库明细!$B$4:$B$2004,"&lt;="&amp;$P$2),2))</f>
        <v/>
      </c>
      <c r="K15" s="26" t="str">
        <f>IF($B15="","",ROUND(SUMIFS(周转筐出入库明细!$P$4:$P$2004,周转筐出入库明细!$C$4:$C$2004,$B15,周转筐出入库明细!$F$4:$F$2004,"采购入库",周转筐出入库明细!$Q$4:$Q$2004,"已付款",周转筐出入库明细!$B$4:$B$2004,"&gt;="&amp;$P$1,周转筐出入库明细!$B$4:$B$2004,"&lt;="&amp;$P$2),2))</f>
        <v/>
      </c>
      <c r="L15" s="26" t="str">
        <f t="shared" si="2"/>
        <v/>
      </c>
    </row>
    <row r="16" spans="1:16">
      <c r="A16" s="22" t="str">
        <f t="shared" si="0"/>
        <v/>
      </c>
      <c r="B16" s="37" t="str">
        <f>IFERROR(INDEX(_自动清单!$CW$4:$CW$203,ROW()-3),"")</f>
        <v/>
      </c>
      <c r="C16" s="25" t="str">
        <f>IF(OR($B16="",基础资料!$B$4=""),"",SUMIFS(周转筐出入库明细!$H$4:$H$2004,周转筐出入库明细!$C$4:$C$2004,$B16,周转筐出入库明细!$D$4:$D$2004,基础资料!$B$4,周转筐出入库明细!$F$4:$F$2004,"采购入库",周转筐出入库明细!$B$4:$B$2004,"&gt;="&amp;$P$1,周转筐出入库明细!$B$4:$B$2004,"&lt;="&amp;$P$2))</f>
        <v/>
      </c>
      <c r="D16" s="25" t="str">
        <f>IF(OR($B16="",基础资料!$B$5=""),"",SUMIFS(周转筐出入库明细!$H$4:$H$2004,周转筐出入库明细!$C$4:$C$2004,$B16,周转筐出入库明细!$D$4:$D$2004,基础资料!$B$5,周转筐出入库明细!$F$4:$F$2004,"采购入库",周转筐出入库明细!$B$4:$B$2004,"&gt;="&amp;$P$1,周转筐出入库明细!$B$4:$B$2004,"&lt;="&amp;$P$2))</f>
        <v/>
      </c>
      <c r="E16" s="25" t="str">
        <f>IF(OR($B16="",基础资料!$B$6=""),"",SUMIFS(周转筐出入库明细!$H$4:$H$2004,周转筐出入库明细!$C$4:$C$2004,$B16,周转筐出入库明细!$D$4:$D$2004,基础资料!$B$6,周转筐出入库明细!$F$4:$F$2004,"采购入库",周转筐出入库明细!$B$4:$B$2004,"&gt;="&amp;$P$1,周转筐出入库明细!$B$4:$B$2004,"&lt;="&amp;$P$2))</f>
        <v/>
      </c>
      <c r="F16" s="25" t="str">
        <f>IF(OR($B16="",基础资料!$B$7=""),"",SUMIFS(周转筐出入库明细!$H$4:$H$2004,周转筐出入库明细!$C$4:$C$2004,$B16,周转筐出入库明细!$D$4:$D$2004,基础资料!$B$7,周转筐出入库明细!$F$4:$F$2004,"采购入库",周转筐出入库明细!$B$4:$B$2004,"&gt;="&amp;$P$1,周转筐出入库明细!$B$4:$B$2004,"&lt;="&amp;$P$2))</f>
        <v/>
      </c>
      <c r="G16" s="25" t="str">
        <f>IF(OR($B16="",基础资料!$B$8=""),"",SUMIFS(周转筐出入库明细!$H$4:$H$2004,周转筐出入库明细!$C$4:$C$2004,$B16,周转筐出入库明细!$D$4:$D$2004,基础资料!$B$8,周转筐出入库明细!$F$4:$F$2004,"采购入库",周转筐出入库明细!$B$4:$B$2004,"&gt;="&amp;$P$1,周转筐出入库明细!$B$4:$B$2004,"&lt;="&amp;$P$2))</f>
        <v/>
      </c>
      <c r="H16" s="25" t="str">
        <f>IF($B16="","",SUMIFS(周转筐出入库明细!$H$4:$H$2004,周转筐出入库明细!$C$4:$C$2004,$B16,周转筐出入库明细!$F$4:$F$2004,"采购入库",周转筐出入库明细!$B$4:$B$2004,"&gt;="&amp;$P$1,周转筐出入库明细!$B$4:$B$2004,"&lt;="&amp;$P$2)-SUM($C16:$G16))</f>
        <v/>
      </c>
      <c r="I16" s="25" t="str">
        <f t="shared" si="1"/>
        <v/>
      </c>
      <c r="J16" s="26" t="str">
        <f>IF($B16="","",ROUND(SUMIFS(周转筐出入库明细!$P$4:$P$2004,周转筐出入库明细!$C$4:$C$2004,$B16,周转筐出入库明细!$F$4:$F$2004,"采购入库",周转筐出入库明细!$B$4:$B$2004,"&gt;="&amp;$P$1,周转筐出入库明细!$B$4:$B$2004,"&lt;="&amp;$P$2),2))</f>
        <v/>
      </c>
      <c r="K16" s="26" t="str">
        <f>IF($B16="","",ROUND(SUMIFS(周转筐出入库明细!$P$4:$P$2004,周转筐出入库明细!$C$4:$C$2004,$B16,周转筐出入库明细!$F$4:$F$2004,"采购入库",周转筐出入库明细!$Q$4:$Q$2004,"已付款",周转筐出入库明细!$B$4:$B$2004,"&gt;="&amp;$P$1,周转筐出入库明细!$B$4:$B$2004,"&lt;="&amp;$P$2),2))</f>
        <v/>
      </c>
      <c r="L16" s="26" t="str">
        <f t="shared" si="2"/>
        <v/>
      </c>
    </row>
    <row r="17" spans="1:12">
      <c r="A17" s="22" t="str">
        <f t="shared" si="0"/>
        <v/>
      </c>
      <c r="B17" s="37" t="str">
        <f>IFERROR(INDEX(_自动清单!$CW$4:$CW$203,ROW()-3),"")</f>
        <v/>
      </c>
      <c r="C17" s="25" t="str">
        <f>IF(OR($B17="",基础资料!$B$4=""),"",SUMIFS(周转筐出入库明细!$H$4:$H$2004,周转筐出入库明细!$C$4:$C$2004,$B17,周转筐出入库明细!$D$4:$D$2004,基础资料!$B$4,周转筐出入库明细!$F$4:$F$2004,"采购入库",周转筐出入库明细!$B$4:$B$2004,"&gt;="&amp;$P$1,周转筐出入库明细!$B$4:$B$2004,"&lt;="&amp;$P$2))</f>
        <v/>
      </c>
      <c r="D17" s="25" t="str">
        <f>IF(OR($B17="",基础资料!$B$5=""),"",SUMIFS(周转筐出入库明细!$H$4:$H$2004,周转筐出入库明细!$C$4:$C$2004,$B17,周转筐出入库明细!$D$4:$D$2004,基础资料!$B$5,周转筐出入库明细!$F$4:$F$2004,"采购入库",周转筐出入库明细!$B$4:$B$2004,"&gt;="&amp;$P$1,周转筐出入库明细!$B$4:$B$2004,"&lt;="&amp;$P$2))</f>
        <v/>
      </c>
      <c r="E17" s="25" t="str">
        <f>IF(OR($B17="",基础资料!$B$6=""),"",SUMIFS(周转筐出入库明细!$H$4:$H$2004,周转筐出入库明细!$C$4:$C$2004,$B17,周转筐出入库明细!$D$4:$D$2004,基础资料!$B$6,周转筐出入库明细!$F$4:$F$2004,"采购入库",周转筐出入库明细!$B$4:$B$2004,"&gt;="&amp;$P$1,周转筐出入库明细!$B$4:$B$2004,"&lt;="&amp;$P$2))</f>
        <v/>
      </c>
      <c r="F17" s="25" t="str">
        <f>IF(OR($B17="",基础资料!$B$7=""),"",SUMIFS(周转筐出入库明细!$H$4:$H$2004,周转筐出入库明细!$C$4:$C$2004,$B17,周转筐出入库明细!$D$4:$D$2004,基础资料!$B$7,周转筐出入库明细!$F$4:$F$2004,"采购入库",周转筐出入库明细!$B$4:$B$2004,"&gt;="&amp;$P$1,周转筐出入库明细!$B$4:$B$2004,"&lt;="&amp;$P$2))</f>
        <v/>
      </c>
      <c r="G17" s="25" t="str">
        <f>IF(OR($B17="",基础资料!$B$8=""),"",SUMIFS(周转筐出入库明细!$H$4:$H$2004,周转筐出入库明细!$C$4:$C$2004,$B17,周转筐出入库明细!$D$4:$D$2004,基础资料!$B$8,周转筐出入库明细!$F$4:$F$2004,"采购入库",周转筐出入库明细!$B$4:$B$2004,"&gt;="&amp;$P$1,周转筐出入库明细!$B$4:$B$2004,"&lt;="&amp;$P$2))</f>
        <v/>
      </c>
      <c r="H17" s="25" t="str">
        <f>IF($B17="","",SUMIFS(周转筐出入库明细!$H$4:$H$2004,周转筐出入库明细!$C$4:$C$2004,$B17,周转筐出入库明细!$F$4:$F$2004,"采购入库",周转筐出入库明细!$B$4:$B$2004,"&gt;="&amp;$P$1,周转筐出入库明细!$B$4:$B$2004,"&lt;="&amp;$P$2)-SUM($C17:$G17))</f>
        <v/>
      </c>
      <c r="I17" s="25" t="str">
        <f t="shared" si="1"/>
        <v/>
      </c>
      <c r="J17" s="26" t="str">
        <f>IF($B17="","",ROUND(SUMIFS(周转筐出入库明细!$P$4:$P$2004,周转筐出入库明细!$C$4:$C$2004,$B17,周转筐出入库明细!$F$4:$F$2004,"采购入库",周转筐出入库明细!$B$4:$B$2004,"&gt;="&amp;$P$1,周转筐出入库明细!$B$4:$B$2004,"&lt;="&amp;$P$2),2))</f>
        <v/>
      </c>
      <c r="K17" s="26" t="str">
        <f>IF($B17="","",ROUND(SUMIFS(周转筐出入库明细!$P$4:$P$2004,周转筐出入库明细!$C$4:$C$2004,$B17,周转筐出入库明细!$F$4:$F$2004,"采购入库",周转筐出入库明细!$Q$4:$Q$2004,"已付款",周转筐出入库明细!$B$4:$B$2004,"&gt;="&amp;$P$1,周转筐出入库明细!$B$4:$B$2004,"&lt;="&amp;$P$2),2))</f>
        <v/>
      </c>
      <c r="L17" s="26" t="str">
        <f t="shared" si="2"/>
        <v/>
      </c>
    </row>
    <row r="18" spans="1:12">
      <c r="A18" s="22" t="str">
        <f t="shared" si="0"/>
        <v/>
      </c>
      <c r="B18" s="37" t="str">
        <f>IFERROR(INDEX(_自动清单!$CW$4:$CW$203,ROW()-3),"")</f>
        <v/>
      </c>
      <c r="C18" s="25" t="str">
        <f>IF(OR($B18="",基础资料!$B$4=""),"",SUMIFS(周转筐出入库明细!$H$4:$H$2004,周转筐出入库明细!$C$4:$C$2004,$B18,周转筐出入库明细!$D$4:$D$2004,基础资料!$B$4,周转筐出入库明细!$F$4:$F$2004,"采购入库",周转筐出入库明细!$B$4:$B$2004,"&gt;="&amp;$P$1,周转筐出入库明细!$B$4:$B$2004,"&lt;="&amp;$P$2))</f>
        <v/>
      </c>
      <c r="D18" s="25" t="str">
        <f>IF(OR($B18="",基础资料!$B$5=""),"",SUMIFS(周转筐出入库明细!$H$4:$H$2004,周转筐出入库明细!$C$4:$C$2004,$B18,周转筐出入库明细!$D$4:$D$2004,基础资料!$B$5,周转筐出入库明细!$F$4:$F$2004,"采购入库",周转筐出入库明细!$B$4:$B$2004,"&gt;="&amp;$P$1,周转筐出入库明细!$B$4:$B$2004,"&lt;="&amp;$P$2))</f>
        <v/>
      </c>
      <c r="E18" s="25" t="str">
        <f>IF(OR($B18="",基础资料!$B$6=""),"",SUMIFS(周转筐出入库明细!$H$4:$H$2004,周转筐出入库明细!$C$4:$C$2004,$B18,周转筐出入库明细!$D$4:$D$2004,基础资料!$B$6,周转筐出入库明细!$F$4:$F$2004,"采购入库",周转筐出入库明细!$B$4:$B$2004,"&gt;="&amp;$P$1,周转筐出入库明细!$B$4:$B$2004,"&lt;="&amp;$P$2))</f>
        <v/>
      </c>
      <c r="F18" s="25" t="str">
        <f>IF(OR($B18="",基础资料!$B$7=""),"",SUMIFS(周转筐出入库明细!$H$4:$H$2004,周转筐出入库明细!$C$4:$C$2004,$B18,周转筐出入库明细!$D$4:$D$2004,基础资料!$B$7,周转筐出入库明细!$F$4:$F$2004,"采购入库",周转筐出入库明细!$B$4:$B$2004,"&gt;="&amp;$P$1,周转筐出入库明细!$B$4:$B$2004,"&lt;="&amp;$P$2))</f>
        <v/>
      </c>
      <c r="G18" s="25" t="str">
        <f>IF(OR($B18="",基础资料!$B$8=""),"",SUMIFS(周转筐出入库明细!$H$4:$H$2004,周转筐出入库明细!$C$4:$C$2004,$B18,周转筐出入库明细!$D$4:$D$2004,基础资料!$B$8,周转筐出入库明细!$F$4:$F$2004,"采购入库",周转筐出入库明细!$B$4:$B$2004,"&gt;="&amp;$P$1,周转筐出入库明细!$B$4:$B$2004,"&lt;="&amp;$P$2))</f>
        <v/>
      </c>
      <c r="H18" s="25" t="str">
        <f>IF($B18="","",SUMIFS(周转筐出入库明细!$H$4:$H$2004,周转筐出入库明细!$C$4:$C$2004,$B18,周转筐出入库明细!$F$4:$F$2004,"采购入库",周转筐出入库明细!$B$4:$B$2004,"&gt;="&amp;$P$1,周转筐出入库明细!$B$4:$B$2004,"&lt;="&amp;$P$2)-SUM($C18:$G18))</f>
        <v/>
      </c>
      <c r="I18" s="25" t="str">
        <f t="shared" si="1"/>
        <v/>
      </c>
      <c r="J18" s="26" t="str">
        <f>IF($B18="","",ROUND(SUMIFS(周转筐出入库明细!$P$4:$P$2004,周转筐出入库明细!$C$4:$C$2004,$B18,周转筐出入库明细!$F$4:$F$2004,"采购入库",周转筐出入库明细!$B$4:$B$2004,"&gt;="&amp;$P$1,周转筐出入库明细!$B$4:$B$2004,"&lt;="&amp;$P$2),2))</f>
        <v/>
      </c>
      <c r="K18" s="26" t="str">
        <f>IF($B18="","",ROUND(SUMIFS(周转筐出入库明细!$P$4:$P$2004,周转筐出入库明细!$C$4:$C$2004,$B18,周转筐出入库明细!$F$4:$F$2004,"采购入库",周转筐出入库明细!$Q$4:$Q$2004,"已付款",周转筐出入库明细!$B$4:$B$2004,"&gt;="&amp;$P$1,周转筐出入库明细!$B$4:$B$2004,"&lt;="&amp;$P$2),2))</f>
        <v/>
      </c>
      <c r="L18" s="26" t="str">
        <f t="shared" si="2"/>
        <v/>
      </c>
    </row>
    <row r="19" spans="1:12">
      <c r="A19" s="22" t="str">
        <f t="shared" si="0"/>
        <v/>
      </c>
      <c r="B19" s="37" t="str">
        <f>IFERROR(INDEX(_自动清单!$CW$4:$CW$203,ROW()-3),"")</f>
        <v/>
      </c>
      <c r="C19" s="25" t="str">
        <f>IF(OR($B19="",基础资料!$B$4=""),"",SUMIFS(周转筐出入库明细!$H$4:$H$2004,周转筐出入库明细!$C$4:$C$2004,$B19,周转筐出入库明细!$D$4:$D$2004,基础资料!$B$4,周转筐出入库明细!$F$4:$F$2004,"采购入库",周转筐出入库明细!$B$4:$B$2004,"&gt;="&amp;$P$1,周转筐出入库明细!$B$4:$B$2004,"&lt;="&amp;$P$2))</f>
        <v/>
      </c>
      <c r="D19" s="25" t="str">
        <f>IF(OR($B19="",基础资料!$B$5=""),"",SUMIFS(周转筐出入库明细!$H$4:$H$2004,周转筐出入库明细!$C$4:$C$2004,$B19,周转筐出入库明细!$D$4:$D$2004,基础资料!$B$5,周转筐出入库明细!$F$4:$F$2004,"采购入库",周转筐出入库明细!$B$4:$B$2004,"&gt;="&amp;$P$1,周转筐出入库明细!$B$4:$B$2004,"&lt;="&amp;$P$2))</f>
        <v/>
      </c>
      <c r="E19" s="25" t="str">
        <f>IF(OR($B19="",基础资料!$B$6=""),"",SUMIFS(周转筐出入库明细!$H$4:$H$2004,周转筐出入库明细!$C$4:$C$2004,$B19,周转筐出入库明细!$D$4:$D$2004,基础资料!$B$6,周转筐出入库明细!$F$4:$F$2004,"采购入库",周转筐出入库明细!$B$4:$B$2004,"&gt;="&amp;$P$1,周转筐出入库明细!$B$4:$B$2004,"&lt;="&amp;$P$2))</f>
        <v/>
      </c>
      <c r="F19" s="25" t="str">
        <f>IF(OR($B19="",基础资料!$B$7=""),"",SUMIFS(周转筐出入库明细!$H$4:$H$2004,周转筐出入库明细!$C$4:$C$2004,$B19,周转筐出入库明细!$D$4:$D$2004,基础资料!$B$7,周转筐出入库明细!$F$4:$F$2004,"采购入库",周转筐出入库明细!$B$4:$B$2004,"&gt;="&amp;$P$1,周转筐出入库明细!$B$4:$B$2004,"&lt;="&amp;$P$2))</f>
        <v/>
      </c>
      <c r="G19" s="25" t="str">
        <f>IF(OR($B19="",基础资料!$B$8=""),"",SUMIFS(周转筐出入库明细!$H$4:$H$2004,周转筐出入库明细!$C$4:$C$2004,$B19,周转筐出入库明细!$D$4:$D$2004,基础资料!$B$8,周转筐出入库明细!$F$4:$F$2004,"采购入库",周转筐出入库明细!$B$4:$B$2004,"&gt;="&amp;$P$1,周转筐出入库明细!$B$4:$B$2004,"&lt;="&amp;$P$2))</f>
        <v/>
      </c>
      <c r="H19" s="25" t="str">
        <f>IF($B19="","",SUMIFS(周转筐出入库明细!$H$4:$H$2004,周转筐出入库明细!$C$4:$C$2004,$B19,周转筐出入库明细!$F$4:$F$2004,"采购入库",周转筐出入库明细!$B$4:$B$2004,"&gt;="&amp;$P$1,周转筐出入库明细!$B$4:$B$2004,"&lt;="&amp;$P$2)-SUM($C19:$G19))</f>
        <v/>
      </c>
      <c r="I19" s="25" t="str">
        <f t="shared" si="1"/>
        <v/>
      </c>
      <c r="J19" s="26" t="str">
        <f>IF($B19="","",ROUND(SUMIFS(周转筐出入库明细!$P$4:$P$2004,周转筐出入库明细!$C$4:$C$2004,$B19,周转筐出入库明细!$F$4:$F$2004,"采购入库",周转筐出入库明细!$B$4:$B$2004,"&gt;="&amp;$P$1,周转筐出入库明细!$B$4:$B$2004,"&lt;="&amp;$P$2),2))</f>
        <v/>
      </c>
      <c r="K19" s="26" t="str">
        <f>IF($B19="","",ROUND(SUMIFS(周转筐出入库明细!$P$4:$P$2004,周转筐出入库明细!$C$4:$C$2004,$B19,周转筐出入库明细!$F$4:$F$2004,"采购入库",周转筐出入库明细!$Q$4:$Q$2004,"已付款",周转筐出入库明细!$B$4:$B$2004,"&gt;="&amp;$P$1,周转筐出入库明细!$B$4:$B$2004,"&lt;="&amp;$P$2),2))</f>
        <v/>
      </c>
      <c r="L19" s="26" t="str">
        <f t="shared" si="2"/>
        <v/>
      </c>
    </row>
    <row r="20" spans="1:12">
      <c r="A20" s="22" t="str">
        <f t="shared" si="0"/>
        <v/>
      </c>
      <c r="B20" s="37" t="str">
        <f>IFERROR(INDEX(_自动清单!$CW$4:$CW$203,ROW()-3),"")</f>
        <v/>
      </c>
      <c r="C20" s="25" t="str">
        <f>IF(OR($B20="",基础资料!$B$4=""),"",SUMIFS(周转筐出入库明细!$H$4:$H$2004,周转筐出入库明细!$C$4:$C$2004,$B20,周转筐出入库明细!$D$4:$D$2004,基础资料!$B$4,周转筐出入库明细!$F$4:$F$2004,"采购入库",周转筐出入库明细!$B$4:$B$2004,"&gt;="&amp;$P$1,周转筐出入库明细!$B$4:$B$2004,"&lt;="&amp;$P$2))</f>
        <v/>
      </c>
      <c r="D20" s="25" t="str">
        <f>IF(OR($B20="",基础资料!$B$5=""),"",SUMIFS(周转筐出入库明细!$H$4:$H$2004,周转筐出入库明细!$C$4:$C$2004,$B20,周转筐出入库明细!$D$4:$D$2004,基础资料!$B$5,周转筐出入库明细!$F$4:$F$2004,"采购入库",周转筐出入库明细!$B$4:$B$2004,"&gt;="&amp;$P$1,周转筐出入库明细!$B$4:$B$2004,"&lt;="&amp;$P$2))</f>
        <v/>
      </c>
      <c r="E20" s="25" t="str">
        <f>IF(OR($B20="",基础资料!$B$6=""),"",SUMIFS(周转筐出入库明细!$H$4:$H$2004,周转筐出入库明细!$C$4:$C$2004,$B20,周转筐出入库明细!$D$4:$D$2004,基础资料!$B$6,周转筐出入库明细!$F$4:$F$2004,"采购入库",周转筐出入库明细!$B$4:$B$2004,"&gt;="&amp;$P$1,周转筐出入库明细!$B$4:$B$2004,"&lt;="&amp;$P$2))</f>
        <v/>
      </c>
      <c r="F20" s="25" t="str">
        <f>IF(OR($B20="",基础资料!$B$7=""),"",SUMIFS(周转筐出入库明细!$H$4:$H$2004,周转筐出入库明细!$C$4:$C$2004,$B20,周转筐出入库明细!$D$4:$D$2004,基础资料!$B$7,周转筐出入库明细!$F$4:$F$2004,"采购入库",周转筐出入库明细!$B$4:$B$2004,"&gt;="&amp;$P$1,周转筐出入库明细!$B$4:$B$2004,"&lt;="&amp;$P$2))</f>
        <v/>
      </c>
      <c r="G20" s="25" t="str">
        <f>IF(OR($B20="",基础资料!$B$8=""),"",SUMIFS(周转筐出入库明细!$H$4:$H$2004,周转筐出入库明细!$C$4:$C$2004,$B20,周转筐出入库明细!$D$4:$D$2004,基础资料!$B$8,周转筐出入库明细!$F$4:$F$2004,"采购入库",周转筐出入库明细!$B$4:$B$2004,"&gt;="&amp;$P$1,周转筐出入库明细!$B$4:$B$2004,"&lt;="&amp;$P$2))</f>
        <v/>
      </c>
      <c r="H20" s="25" t="str">
        <f>IF($B20="","",SUMIFS(周转筐出入库明细!$H$4:$H$2004,周转筐出入库明细!$C$4:$C$2004,$B20,周转筐出入库明细!$F$4:$F$2004,"采购入库",周转筐出入库明细!$B$4:$B$2004,"&gt;="&amp;$P$1,周转筐出入库明细!$B$4:$B$2004,"&lt;="&amp;$P$2)-SUM($C20:$G20))</f>
        <v/>
      </c>
      <c r="I20" s="25" t="str">
        <f t="shared" si="1"/>
        <v/>
      </c>
      <c r="J20" s="26" t="str">
        <f>IF($B20="","",ROUND(SUMIFS(周转筐出入库明细!$P$4:$P$2004,周转筐出入库明细!$C$4:$C$2004,$B20,周转筐出入库明细!$F$4:$F$2004,"采购入库",周转筐出入库明细!$B$4:$B$2004,"&gt;="&amp;$P$1,周转筐出入库明细!$B$4:$B$2004,"&lt;="&amp;$P$2),2))</f>
        <v/>
      </c>
      <c r="K20" s="26" t="str">
        <f>IF($B20="","",ROUND(SUMIFS(周转筐出入库明细!$P$4:$P$2004,周转筐出入库明细!$C$4:$C$2004,$B20,周转筐出入库明细!$F$4:$F$2004,"采购入库",周转筐出入库明细!$Q$4:$Q$2004,"已付款",周转筐出入库明细!$B$4:$B$2004,"&gt;="&amp;$P$1,周转筐出入库明细!$B$4:$B$2004,"&lt;="&amp;$P$2),2))</f>
        <v/>
      </c>
      <c r="L20" s="26" t="str">
        <f t="shared" si="2"/>
        <v/>
      </c>
    </row>
    <row r="21" spans="1:12">
      <c r="A21" s="22" t="str">
        <f t="shared" si="0"/>
        <v/>
      </c>
      <c r="B21" s="37" t="str">
        <f>IFERROR(INDEX(_自动清单!$CW$4:$CW$203,ROW()-3),"")</f>
        <v/>
      </c>
      <c r="C21" s="25" t="str">
        <f>IF(OR($B21="",基础资料!$B$4=""),"",SUMIFS(周转筐出入库明细!$H$4:$H$2004,周转筐出入库明细!$C$4:$C$2004,$B21,周转筐出入库明细!$D$4:$D$2004,基础资料!$B$4,周转筐出入库明细!$F$4:$F$2004,"采购入库",周转筐出入库明细!$B$4:$B$2004,"&gt;="&amp;$P$1,周转筐出入库明细!$B$4:$B$2004,"&lt;="&amp;$P$2))</f>
        <v/>
      </c>
      <c r="D21" s="25" t="str">
        <f>IF(OR($B21="",基础资料!$B$5=""),"",SUMIFS(周转筐出入库明细!$H$4:$H$2004,周转筐出入库明细!$C$4:$C$2004,$B21,周转筐出入库明细!$D$4:$D$2004,基础资料!$B$5,周转筐出入库明细!$F$4:$F$2004,"采购入库",周转筐出入库明细!$B$4:$B$2004,"&gt;="&amp;$P$1,周转筐出入库明细!$B$4:$B$2004,"&lt;="&amp;$P$2))</f>
        <v/>
      </c>
      <c r="E21" s="25" t="str">
        <f>IF(OR($B21="",基础资料!$B$6=""),"",SUMIFS(周转筐出入库明细!$H$4:$H$2004,周转筐出入库明细!$C$4:$C$2004,$B21,周转筐出入库明细!$D$4:$D$2004,基础资料!$B$6,周转筐出入库明细!$F$4:$F$2004,"采购入库",周转筐出入库明细!$B$4:$B$2004,"&gt;="&amp;$P$1,周转筐出入库明细!$B$4:$B$2004,"&lt;="&amp;$P$2))</f>
        <v/>
      </c>
      <c r="F21" s="25" t="str">
        <f>IF(OR($B21="",基础资料!$B$7=""),"",SUMIFS(周转筐出入库明细!$H$4:$H$2004,周转筐出入库明细!$C$4:$C$2004,$B21,周转筐出入库明细!$D$4:$D$2004,基础资料!$B$7,周转筐出入库明细!$F$4:$F$2004,"采购入库",周转筐出入库明细!$B$4:$B$2004,"&gt;="&amp;$P$1,周转筐出入库明细!$B$4:$B$2004,"&lt;="&amp;$P$2))</f>
        <v/>
      </c>
      <c r="G21" s="25" t="str">
        <f>IF(OR($B21="",基础资料!$B$8=""),"",SUMIFS(周转筐出入库明细!$H$4:$H$2004,周转筐出入库明细!$C$4:$C$2004,$B21,周转筐出入库明细!$D$4:$D$2004,基础资料!$B$8,周转筐出入库明细!$F$4:$F$2004,"采购入库",周转筐出入库明细!$B$4:$B$2004,"&gt;="&amp;$P$1,周转筐出入库明细!$B$4:$B$2004,"&lt;="&amp;$P$2))</f>
        <v/>
      </c>
      <c r="H21" s="25" t="str">
        <f>IF($B21="","",SUMIFS(周转筐出入库明细!$H$4:$H$2004,周转筐出入库明细!$C$4:$C$2004,$B21,周转筐出入库明细!$F$4:$F$2004,"采购入库",周转筐出入库明细!$B$4:$B$2004,"&gt;="&amp;$P$1,周转筐出入库明细!$B$4:$B$2004,"&lt;="&amp;$P$2)-SUM($C21:$G21))</f>
        <v/>
      </c>
      <c r="I21" s="25" t="str">
        <f t="shared" si="1"/>
        <v/>
      </c>
      <c r="J21" s="26" t="str">
        <f>IF($B21="","",ROUND(SUMIFS(周转筐出入库明细!$P$4:$P$2004,周转筐出入库明细!$C$4:$C$2004,$B21,周转筐出入库明细!$F$4:$F$2004,"采购入库",周转筐出入库明细!$B$4:$B$2004,"&gt;="&amp;$P$1,周转筐出入库明细!$B$4:$B$2004,"&lt;="&amp;$P$2),2))</f>
        <v/>
      </c>
      <c r="K21" s="26" t="str">
        <f>IF($B21="","",ROUND(SUMIFS(周转筐出入库明细!$P$4:$P$2004,周转筐出入库明细!$C$4:$C$2004,$B21,周转筐出入库明细!$F$4:$F$2004,"采购入库",周转筐出入库明细!$Q$4:$Q$2004,"已付款",周转筐出入库明细!$B$4:$B$2004,"&gt;="&amp;$P$1,周转筐出入库明细!$B$4:$B$2004,"&lt;="&amp;$P$2),2))</f>
        <v/>
      </c>
      <c r="L21" s="26" t="str">
        <f t="shared" si="2"/>
        <v/>
      </c>
    </row>
    <row r="22" spans="1:12">
      <c r="A22" s="22" t="str">
        <f t="shared" si="0"/>
        <v/>
      </c>
      <c r="B22" s="37" t="str">
        <f>IFERROR(INDEX(_自动清单!$CW$4:$CW$203,ROW()-3),"")</f>
        <v/>
      </c>
      <c r="C22" s="25" t="str">
        <f>IF(OR($B22="",基础资料!$B$4=""),"",SUMIFS(周转筐出入库明细!$H$4:$H$2004,周转筐出入库明细!$C$4:$C$2004,$B22,周转筐出入库明细!$D$4:$D$2004,基础资料!$B$4,周转筐出入库明细!$F$4:$F$2004,"采购入库",周转筐出入库明细!$B$4:$B$2004,"&gt;="&amp;$P$1,周转筐出入库明细!$B$4:$B$2004,"&lt;="&amp;$P$2))</f>
        <v/>
      </c>
      <c r="D22" s="25" t="str">
        <f>IF(OR($B22="",基础资料!$B$5=""),"",SUMIFS(周转筐出入库明细!$H$4:$H$2004,周转筐出入库明细!$C$4:$C$2004,$B22,周转筐出入库明细!$D$4:$D$2004,基础资料!$B$5,周转筐出入库明细!$F$4:$F$2004,"采购入库",周转筐出入库明细!$B$4:$B$2004,"&gt;="&amp;$P$1,周转筐出入库明细!$B$4:$B$2004,"&lt;="&amp;$P$2))</f>
        <v/>
      </c>
      <c r="E22" s="25" t="str">
        <f>IF(OR($B22="",基础资料!$B$6=""),"",SUMIFS(周转筐出入库明细!$H$4:$H$2004,周转筐出入库明细!$C$4:$C$2004,$B22,周转筐出入库明细!$D$4:$D$2004,基础资料!$B$6,周转筐出入库明细!$F$4:$F$2004,"采购入库",周转筐出入库明细!$B$4:$B$2004,"&gt;="&amp;$P$1,周转筐出入库明细!$B$4:$B$2004,"&lt;="&amp;$P$2))</f>
        <v/>
      </c>
      <c r="F22" s="25" t="str">
        <f>IF(OR($B22="",基础资料!$B$7=""),"",SUMIFS(周转筐出入库明细!$H$4:$H$2004,周转筐出入库明细!$C$4:$C$2004,$B22,周转筐出入库明细!$D$4:$D$2004,基础资料!$B$7,周转筐出入库明细!$F$4:$F$2004,"采购入库",周转筐出入库明细!$B$4:$B$2004,"&gt;="&amp;$P$1,周转筐出入库明细!$B$4:$B$2004,"&lt;="&amp;$P$2))</f>
        <v/>
      </c>
      <c r="G22" s="25" t="str">
        <f>IF(OR($B22="",基础资料!$B$8=""),"",SUMIFS(周转筐出入库明细!$H$4:$H$2004,周转筐出入库明细!$C$4:$C$2004,$B22,周转筐出入库明细!$D$4:$D$2004,基础资料!$B$8,周转筐出入库明细!$F$4:$F$2004,"采购入库",周转筐出入库明细!$B$4:$B$2004,"&gt;="&amp;$P$1,周转筐出入库明细!$B$4:$B$2004,"&lt;="&amp;$P$2))</f>
        <v/>
      </c>
      <c r="H22" s="25" t="str">
        <f>IF($B22="","",SUMIFS(周转筐出入库明细!$H$4:$H$2004,周转筐出入库明细!$C$4:$C$2004,$B22,周转筐出入库明细!$F$4:$F$2004,"采购入库",周转筐出入库明细!$B$4:$B$2004,"&gt;="&amp;$P$1,周转筐出入库明细!$B$4:$B$2004,"&lt;="&amp;$P$2)-SUM($C22:$G22))</f>
        <v/>
      </c>
      <c r="I22" s="25" t="str">
        <f t="shared" si="1"/>
        <v/>
      </c>
      <c r="J22" s="26" t="str">
        <f>IF($B22="","",ROUND(SUMIFS(周转筐出入库明细!$P$4:$P$2004,周转筐出入库明细!$C$4:$C$2004,$B22,周转筐出入库明细!$F$4:$F$2004,"采购入库",周转筐出入库明细!$B$4:$B$2004,"&gt;="&amp;$P$1,周转筐出入库明细!$B$4:$B$2004,"&lt;="&amp;$P$2),2))</f>
        <v/>
      </c>
      <c r="K22" s="26" t="str">
        <f>IF($B22="","",ROUND(SUMIFS(周转筐出入库明细!$P$4:$P$2004,周转筐出入库明细!$C$4:$C$2004,$B22,周转筐出入库明细!$F$4:$F$2004,"采购入库",周转筐出入库明细!$Q$4:$Q$2004,"已付款",周转筐出入库明细!$B$4:$B$2004,"&gt;="&amp;$P$1,周转筐出入库明细!$B$4:$B$2004,"&lt;="&amp;$P$2),2))</f>
        <v/>
      </c>
      <c r="L22" s="26" t="str">
        <f t="shared" si="2"/>
        <v/>
      </c>
    </row>
    <row r="23" spans="1:12">
      <c r="A23" s="22" t="str">
        <f t="shared" si="0"/>
        <v/>
      </c>
      <c r="B23" s="37" t="str">
        <f>IFERROR(INDEX(_自动清单!$CW$4:$CW$203,ROW()-3),"")</f>
        <v/>
      </c>
      <c r="C23" s="25" t="str">
        <f>IF(OR($B23="",基础资料!$B$4=""),"",SUMIFS(周转筐出入库明细!$H$4:$H$2004,周转筐出入库明细!$C$4:$C$2004,$B23,周转筐出入库明细!$D$4:$D$2004,基础资料!$B$4,周转筐出入库明细!$F$4:$F$2004,"采购入库",周转筐出入库明细!$B$4:$B$2004,"&gt;="&amp;$P$1,周转筐出入库明细!$B$4:$B$2004,"&lt;="&amp;$P$2))</f>
        <v/>
      </c>
      <c r="D23" s="25" t="str">
        <f>IF(OR($B23="",基础资料!$B$5=""),"",SUMIFS(周转筐出入库明细!$H$4:$H$2004,周转筐出入库明细!$C$4:$C$2004,$B23,周转筐出入库明细!$D$4:$D$2004,基础资料!$B$5,周转筐出入库明细!$F$4:$F$2004,"采购入库",周转筐出入库明细!$B$4:$B$2004,"&gt;="&amp;$P$1,周转筐出入库明细!$B$4:$B$2004,"&lt;="&amp;$P$2))</f>
        <v/>
      </c>
      <c r="E23" s="25" t="str">
        <f>IF(OR($B23="",基础资料!$B$6=""),"",SUMIFS(周转筐出入库明细!$H$4:$H$2004,周转筐出入库明细!$C$4:$C$2004,$B23,周转筐出入库明细!$D$4:$D$2004,基础资料!$B$6,周转筐出入库明细!$F$4:$F$2004,"采购入库",周转筐出入库明细!$B$4:$B$2004,"&gt;="&amp;$P$1,周转筐出入库明细!$B$4:$B$2004,"&lt;="&amp;$P$2))</f>
        <v/>
      </c>
      <c r="F23" s="25" t="str">
        <f>IF(OR($B23="",基础资料!$B$7=""),"",SUMIFS(周转筐出入库明细!$H$4:$H$2004,周转筐出入库明细!$C$4:$C$2004,$B23,周转筐出入库明细!$D$4:$D$2004,基础资料!$B$7,周转筐出入库明细!$F$4:$F$2004,"采购入库",周转筐出入库明细!$B$4:$B$2004,"&gt;="&amp;$P$1,周转筐出入库明细!$B$4:$B$2004,"&lt;="&amp;$P$2))</f>
        <v/>
      </c>
      <c r="G23" s="25" t="str">
        <f>IF(OR($B23="",基础资料!$B$8=""),"",SUMIFS(周转筐出入库明细!$H$4:$H$2004,周转筐出入库明细!$C$4:$C$2004,$B23,周转筐出入库明细!$D$4:$D$2004,基础资料!$B$8,周转筐出入库明细!$F$4:$F$2004,"采购入库",周转筐出入库明细!$B$4:$B$2004,"&gt;="&amp;$P$1,周转筐出入库明细!$B$4:$B$2004,"&lt;="&amp;$P$2))</f>
        <v/>
      </c>
      <c r="H23" s="25" t="str">
        <f>IF($B23="","",SUMIFS(周转筐出入库明细!$H$4:$H$2004,周转筐出入库明细!$C$4:$C$2004,$B23,周转筐出入库明细!$F$4:$F$2004,"采购入库",周转筐出入库明细!$B$4:$B$2004,"&gt;="&amp;$P$1,周转筐出入库明细!$B$4:$B$2004,"&lt;="&amp;$P$2)-SUM($C23:$G23))</f>
        <v/>
      </c>
      <c r="I23" s="25" t="str">
        <f t="shared" si="1"/>
        <v/>
      </c>
      <c r="J23" s="26" t="str">
        <f>IF($B23="","",ROUND(SUMIFS(周转筐出入库明细!$P$4:$P$2004,周转筐出入库明细!$C$4:$C$2004,$B23,周转筐出入库明细!$F$4:$F$2004,"采购入库",周转筐出入库明细!$B$4:$B$2004,"&gt;="&amp;$P$1,周转筐出入库明细!$B$4:$B$2004,"&lt;="&amp;$P$2),2))</f>
        <v/>
      </c>
      <c r="K23" s="26" t="str">
        <f>IF($B23="","",ROUND(SUMIFS(周转筐出入库明细!$P$4:$P$2004,周转筐出入库明细!$C$4:$C$2004,$B23,周转筐出入库明细!$F$4:$F$2004,"采购入库",周转筐出入库明细!$Q$4:$Q$2004,"已付款",周转筐出入库明细!$B$4:$B$2004,"&gt;="&amp;$P$1,周转筐出入库明细!$B$4:$B$2004,"&lt;="&amp;$P$2),2))</f>
        <v/>
      </c>
      <c r="L23" s="26" t="str">
        <f t="shared" si="2"/>
        <v/>
      </c>
    </row>
    <row r="24" spans="1:12">
      <c r="A24" s="22" t="str">
        <f t="shared" si="0"/>
        <v/>
      </c>
      <c r="B24" s="37" t="str">
        <f>IFERROR(INDEX(_自动清单!$CW$4:$CW$203,ROW()-3),"")</f>
        <v/>
      </c>
      <c r="C24" s="25" t="str">
        <f>IF(OR($B24="",基础资料!$B$4=""),"",SUMIFS(周转筐出入库明细!$H$4:$H$2004,周转筐出入库明细!$C$4:$C$2004,$B24,周转筐出入库明细!$D$4:$D$2004,基础资料!$B$4,周转筐出入库明细!$F$4:$F$2004,"采购入库",周转筐出入库明细!$B$4:$B$2004,"&gt;="&amp;$P$1,周转筐出入库明细!$B$4:$B$2004,"&lt;="&amp;$P$2))</f>
        <v/>
      </c>
      <c r="D24" s="25" t="str">
        <f>IF(OR($B24="",基础资料!$B$5=""),"",SUMIFS(周转筐出入库明细!$H$4:$H$2004,周转筐出入库明细!$C$4:$C$2004,$B24,周转筐出入库明细!$D$4:$D$2004,基础资料!$B$5,周转筐出入库明细!$F$4:$F$2004,"采购入库",周转筐出入库明细!$B$4:$B$2004,"&gt;="&amp;$P$1,周转筐出入库明细!$B$4:$B$2004,"&lt;="&amp;$P$2))</f>
        <v/>
      </c>
      <c r="E24" s="25" t="str">
        <f>IF(OR($B24="",基础资料!$B$6=""),"",SUMIFS(周转筐出入库明细!$H$4:$H$2004,周转筐出入库明细!$C$4:$C$2004,$B24,周转筐出入库明细!$D$4:$D$2004,基础资料!$B$6,周转筐出入库明细!$F$4:$F$2004,"采购入库",周转筐出入库明细!$B$4:$B$2004,"&gt;="&amp;$P$1,周转筐出入库明细!$B$4:$B$2004,"&lt;="&amp;$P$2))</f>
        <v/>
      </c>
      <c r="F24" s="25" t="str">
        <f>IF(OR($B24="",基础资料!$B$7=""),"",SUMIFS(周转筐出入库明细!$H$4:$H$2004,周转筐出入库明细!$C$4:$C$2004,$B24,周转筐出入库明细!$D$4:$D$2004,基础资料!$B$7,周转筐出入库明细!$F$4:$F$2004,"采购入库",周转筐出入库明细!$B$4:$B$2004,"&gt;="&amp;$P$1,周转筐出入库明细!$B$4:$B$2004,"&lt;="&amp;$P$2))</f>
        <v/>
      </c>
      <c r="G24" s="25" t="str">
        <f>IF(OR($B24="",基础资料!$B$8=""),"",SUMIFS(周转筐出入库明细!$H$4:$H$2004,周转筐出入库明细!$C$4:$C$2004,$B24,周转筐出入库明细!$D$4:$D$2004,基础资料!$B$8,周转筐出入库明细!$F$4:$F$2004,"采购入库",周转筐出入库明细!$B$4:$B$2004,"&gt;="&amp;$P$1,周转筐出入库明细!$B$4:$B$2004,"&lt;="&amp;$P$2))</f>
        <v/>
      </c>
      <c r="H24" s="25" t="str">
        <f>IF($B24="","",SUMIFS(周转筐出入库明细!$H$4:$H$2004,周转筐出入库明细!$C$4:$C$2004,$B24,周转筐出入库明细!$F$4:$F$2004,"采购入库",周转筐出入库明细!$B$4:$B$2004,"&gt;="&amp;$P$1,周转筐出入库明细!$B$4:$B$2004,"&lt;="&amp;$P$2)-SUM($C24:$G24))</f>
        <v/>
      </c>
      <c r="I24" s="25" t="str">
        <f t="shared" si="1"/>
        <v/>
      </c>
      <c r="J24" s="26" t="str">
        <f>IF($B24="","",ROUND(SUMIFS(周转筐出入库明细!$P$4:$P$2004,周转筐出入库明细!$C$4:$C$2004,$B24,周转筐出入库明细!$F$4:$F$2004,"采购入库",周转筐出入库明细!$B$4:$B$2004,"&gt;="&amp;$P$1,周转筐出入库明细!$B$4:$B$2004,"&lt;="&amp;$P$2),2))</f>
        <v/>
      </c>
      <c r="K24" s="26" t="str">
        <f>IF($B24="","",ROUND(SUMIFS(周转筐出入库明细!$P$4:$P$2004,周转筐出入库明细!$C$4:$C$2004,$B24,周转筐出入库明细!$F$4:$F$2004,"采购入库",周转筐出入库明细!$Q$4:$Q$2004,"已付款",周转筐出入库明细!$B$4:$B$2004,"&gt;="&amp;$P$1,周转筐出入库明细!$B$4:$B$2004,"&lt;="&amp;$P$2),2))</f>
        <v/>
      </c>
      <c r="L24" s="26" t="str">
        <f t="shared" si="2"/>
        <v/>
      </c>
    </row>
    <row r="25" spans="1:12">
      <c r="A25" s="22" t="str">
        <f t="shared" si="0"/>
        <v/>
      </c>
      <c r="B25" s="37" t="str">
        <f>IFERROR(INDEX(_自动清单!$CW$4:$CW$203,ROW()-3),"")</f>
        <v/>
      </c>
      <c r="C25" s="25" t="str">
        <f>IF(OR($B25="",基础资料!$B$4=""),"",SUMIFS(周转筐出入库明细!$H$4:$H$2004,周转筐出入库明细!$C$4:$C$2004,$B25,周转筐出入库明细!$D$4:$D$2004,基础资料!$B$4,周转筐出入库明细!$F$4:$F$2004,"采购入库",周转筐出入库明细!$B$4:$B$2004,"&gt;="&amp;$P$1,周转筐出入库明细!$B$4:$B$2004,"&lt;="&amp;$P$2))</f>
        <v/>
      </c>
      <c r="D25" s="25" t="str">
        <f>IF(OR($B25="",基础资料!$B$5=""),"",SUMIFS(周转筐出入库明细!$H$4:$H$2004,周转筐出入库明细!$C$4:$C$2004,$B25,周转筐出入库明细!$D$4:$D$2004,基础资料!$B$5,周转筐出入库明细!$F$4:$F$2004,"采购入库",周转筐出入库明细!$B$4:$B$2004,"&gt;="&amp;$P$1,周转筐出入库明细!$B$4:$B$2004,"&lt;="&amp;$P$2))</f>
        <v/>
      </c>
      <c r="E25" s="25" t="str">
        <f>IF(OR($B25="",基础资料!$B$6=""),"",SUMIFS(周转筐出入库明细!$H$4:$H$2004,周转筐出入库明细!$C$4:$C$2004,$B25,周转筐出入库明细!$D$4:$D$2004,基础资料!$B$6,周转筐出入库明细!$F$4:$F$2004,"采购入库",周转筐出入库明细!$B$4:$B$2004,"&gt;="&amp;$P$1,周转筐出入库明细!$B$4:$B$2004,"&lt;="&amp;$P$2))</f>
        <v/>
      </c>
      <c r="F25" s="25" t="str">
        <f>IF(OR($B25="",基础资料!$B$7=""),"",SUMIFS(周转筐出入库明细!$H$4:$H$2004,周转筐出入库明细!$C$4:$C$2004,$B25,周转筐出入库明细!$D$4:$D$2004,基础资料!$B$7,周转筐出入库明细!$F$4:$F$2004,"采购入库",周转筐出入库明细!$B$4:$B$2004,"&gt;="&amp;$P$1,周转筐出入库明细!$B$4:$B$2004,"&lt;="&amp;$P$2))</f>
        <v/>
      </c>
      <c r="G25" s="25" t="str">
        <f>IF(OR($B25="",基础资料!$B$8=""),"",SUMIFS(周转筐出入库明细!$H$4:$H$2004,周转筐出入库明细!$C$4:$C$2004,$B25,周转筐出入库明细!$D$4:$D$2004,基础资料!$B$8,周转筐出入库明细!$F$4:$F$2004,"采购入库",周转筐出入库明细!$B$4:$B$2004,"&gt;="&amp;$P$1,周转筐出入库明细!$B$4:$B$2004,"&lt;="&amp;$P$2))</f>
        <v/>
      </c>
      <c r="H25" s="25" t="str">
        <f>IF($B25="","",SUMIFS(周转筐出入库明细!$H$4:$H$2004,周转筐出入库明细!$C$4:$C$2004,$B25,周转筐出入库明细!$F$4:$F$2004,"采购入库",周转筐出入库明细!$B$4:$B$2004,"&gt;="&amp;$P$1,周转筐出入库明细!$B$4:$B$2004,"&lt;="&amp;$P$2)-SUM($C25:$G25))</f>
        <v/>
      </c>
      <c r="I25" s="25" t="str">
        <f t="shared" si="1"/>
        <v/>
      </c>
      <c r="J25" s="26" t="str">
        <f>IF($B25="","",ROUND(SUMIFS(周转筐出入库明细!$P$4:$P$2004,周转筐出入库明细!$C$4:$C$2004,$B25,周转筐出入库明细!$F$4:$F$2004,"采购入库",周转筐出入库明细!$B$4:$B$2004,"&gt;="&amp;$P$1,周转筐出入库明细!$B$4:$B$2004,"&lt;="&amp;$P$2),2))</f>
        <v/>
      </c>
      <c r="K25" s="26" t="str">
        <f>IF($B25="","",ROUND(SUMIFS(周转筐出入库明细!$P$4:$P$2004,周转筐出入库明细!$C$4:$C$2004,$B25,周转筐出入库明细!$F$4:$F$2004,"采购入库",周转筐出入库明细!$Q$4:$Q$2004,"已付款",周转筐出入库明细!$B$4:$B$2004,"&gt;="&amp;$P$1,周转筐出入库明细!$B$4:$B$2004,"&lt;="&amp;$P$2),2))</f>
        <v/>
      </c>
      <c r="L25" s="26" t="str">
        <f t="shared" si="2"/>
        <v/>
      </c>
    </row>
    <row r="26" spans="1:12">
      <c r="A26" s="22" t="str">
        <f t="shared" si="0"/>
        <v/>
      </c>
      <c r="B26" s="37" t="str">
        <f>IFERROR(INDEX(_自动清单!$CW$4:$CW$203,ROW()-3),"")</f>
        <v/>
      </c>
      <c r="C26" s="25" t="str">
        <f>IF(OR($B26="",基础资料!$B$4=""),"",SUMIFS(周转筐出入库明细!$H$4:$H$2004,周转筐出入库明细!$C$4:$C$2004,$B26,周转筐出入库明细!$D$4:$D$2004,基础资料!$B$4,周转筐出入库明细!$F$4:$F$2004,"采购入库",周转筐出入库明细!$B$4:$B$2004,"&gt;="&amp;$P$1,周转筐出入库明细!$B$4:$B$2004,"&lt;="&amp;$P$2))</f>
        <v/>
      </c>
      <c r="D26" s="25" t="str">
        <f>IF(OR($B26="",基础资料!$B$5=""),"",SUMIFS(周转筐出入库明细!$H$4:$H$2004,周转筐出入库明细!$C$4:$C$2004,$B26,周转筐出入库明细!$D$4:$D$2004,基础资料!$B$5,周转筐出入库明细!$F$4:$F$2004,"采购入库",周转筐出入库明细!$B$4:$B$2004,"&gt;="&amp;$P$1,周转筐出入库明细!$B$4:$B$2004,"&lt;="&amp;$P$2))</f>
        <v/>
      </c>
      <c r="E26" s="25" t="str">
        <f>IF(OR($B26="",基础资料!$B$6=""),"",SUMIFS(周转筐出入库明细!$H$4:$H$2004,周转筐出入库明细!$C$4:$C$2004,$B26,周转筐出入库明细!$D$4:$D$2004,基础资料!$B$6,周转筐出入库明细!$F$4:$F$2004,"采购入库",周转筐出入库明细!$B$4:$B$2004,"&gt;="&amp;$P$1,周转筐出入库明细!$B$4:$B$2004,"&lt;="&amp;$P$2))</f>
        <v/>
      </c>
      <c r="F26" s="25" t="str">
        <f>IF(OR($B26="",基础资料!$B$7=""),"",SUMIFS(周转筐出入库明细!$H$4:$H$2004,周转筐出入库明细!$C$4:$C$2004,$B26,周转筐出入库明细!$D$4:$D$2004,基础资料!$B$7,周转筐出入库明细!$F$4:$F$2004,"采购入库",周转筐出入库明细!$B$4:$B$2004,"&gt;="&amp;$P$1,周转筐出入库明细!$B$4:$B$2004,"&lt;="&amp;$P$2))</f>
        <v/>
      </c>
      <c r="G26" s="25" t="str">
        <f>IF(OR($B26="",基础资料!$B$8=""),"",SUMIFS(周转筐出入库明细!$H$4:$H$2004,周转筐出入库明细!$C$4:$C$2004,$B26,周转筐出入库明细!$D$4:$D$2004,基础资料!$B$8,周转筐出入库明细!$F$4:$F$2004,"采购入库",周转筐出入库明细!$B$4:$B$2004,"&gt;="&amp;$P$1,周转筐出入库明细!$B$4:$B$2004,"&lt;="&amp;$P$2))</f>
        <v/>
      </c>
      <c r="H26" s="25" t="str">
        <f>IF($B26="","",SUMIFS(周转筐出入库明细!$H$4:$H$2004,周转筐出入库明细!$C$4:$C$2004,$B26,周转筐出入库明细!$F$4:$F$2004,"采购入库",周转筐出入库明细!$B$4:$B$2004,"&gt;="&amp;$P$1,周转筐出入库明细!$B$4:$B$2004,"&lt;="&amp;$P$2)-SUM($C26:$G26))</f>
        <v/>
      </c>
      <c r="I26" s="25" t="str">
        <f t="shared" si="1"/>
        <v/>
      </c>
      <c r="J26" s="26" t="str">
        <f>IF($B26="","",ROUND(SUMIFS(周转筐出入库明细!$P$4:$P$2004,周转筐出入库明细!$C$4:$C$2004,$B26,周转筐出入库明细!$F$4:$F$2004,"采购入库",周转筐出入库明细!$B$4:$B$2004,"&gt;="&amp;$P$1,周转筐出入库明细!$B$4:$B$2004,"&lt;="&amp;$P$2),2))</f>
        <v/>
      </c>
      <c r="K26" s="26" t="str">
        <f>IF($B26="","",ROUND(SUMIFS(周转筐出入库明细!$P$4:$P$2004,周转筐出入库明细!$C$4:$C$2004,$B26,周转筐出入库明细!$F$4:$F$2004,"采购入库",周转筐出入库明细!$Q$4:$Q$2004,"已付款",周转筐出入库明细!$B$4:$B$2004,"&gt;="&amp;$P$1,周转筐出入库明细!$B$4:$B$2004,"&lt;="&amp;$P$2),2))</f>
        <v/>
      </c>
      <c r="L26" s="26" t="str">
        <f t="shared" si="2"/>
        <v/>
      </c>
    </row>
    <row r="27" spans="1:12">
      <c r="A27" s="22" t="str">
        <f t="shared" si="0"/>
        <v/>
      </c>
      <c r="B27" s="37" t="str">
        <f>IFERROR(INDEX(_自动清单!$CW$4:$CW$203,ROW()-3),"")</f>
        <v/>
      </c>
      <c r="C27" s="25" t="str">
        <f>IF(OR($B27="",基础资料!$B$4=""),"",SUMIFS(周转筐出入库明细!$H$4:$H$2004,周转筐出入库明细!$C$4:$C$2004,$B27,周转筐出入库明细!$D$4:$D$2004,基础资料!$B$4,周转筐出入库明细!$F$4:$F$2004,"采购入库",周转筐出入库明细!$B$4:$B$2004,"&gt;="&amp;$P$1,周转筐出入库明细!$B$4:$B$2004,"&lt;="&amp;$P$2))</f>
        <v/>
      </c>
      <c r="D27" s="25" t="str">
        <f>IF(OR($B27="",基础资料!$B$5=""),"",SUMIFS(周转筐出入库明细!$H$4:$H$2004,周转筐出入库明细!$C$4:$C$2004,$B27,周转筐出入库明细!$D$4:$D$2004,基础资料!$B$5,周转筐出入库明细!$F$4:$F$2004,"采购入库",周转筐出入库明细!$B$4:$B$2004,"&gt;="&amp;$P$1,周转筐出入库明细!$B$4:$B$2004,"&lt;="&amp;$P$2))</f>
        <v/>
      </c>
      <c r="E27" s="25" t="str">
        <f>IF(OR($B27="",基础资料!$B$6=""),"",SUMIFS(周转筐出入库明细!$H$4:$H$2004,周转筐出入库明细!$C$4:$C$2004,$B27,周转筐出入库明细!$D$4:$D$2004,基础资料!$B$6,周转筐出入库明细!$F$4:$F$2004,"采购入库",周转筐出入库明细!$B$4:$B$2004,"&gt;="&amp;$P$1,周转筐出入库明细!$B$4:$B$2004,"&lt;="&amp;$P$2))</f>
        <v/>
      </c>
      <c r="F27" s="25" t="str">
        <f>IF(OR($B27="",基础资料!$B$7=""),"",SUMIFS(周转筐出入库明细!$H$4:$H$2004,周转筐出入库明细!$C$4:$C$2004,$B27,周转筐出入库明细!$D$4:$D$2004,基础资料!$B$7,周转筐出入库明细!$F$4:$F$2004,"采购入库",周转筐出入库明细!$B$4:$B$2004,"&gt;="&amp;$P$1,周转筐出入库明细!$B$4:$B$2004,"&lt;="&amp;$P$2))</f>
        <v/>
      </c>
      <c r="G27" s="25" t="str">
        <f>IF(OR($B27="",基础资料!$B$8=""),"",SUMIFS(周转筐出入库明细!$H$4:$H$2004,周转筐出入库明细!$C$4:$C$2004,$B27,周转筐出入库明细!$D$4:$D$2004,基础资料!$B$8,周转筐出入库明细!$F$4:$F$2004,"采购入库",周转筐出入库明细!$B$4:$B$2004,"&gt;="&amp;$P$1,周转筐出入库明细!$B$4:$B$2004,"&lt;="&amp;$P$2))</f>
        <v/>
      </c>
      <c r="H27" s="25" t="str">
        <f>IF($B27="","",SUMIFS(周转筐出入库明细!$H$4:$H$2004,周转筐出入库明细!$C$4:$C$2004,$B27,周转筐出入库明细!$F$4:$F$2004,"采购入库",周转筐出入库明细!$B$4:$B$2004,"&gt;="&amp;$P$1,周转筐出入库明细!$B$4:$B$2004,"&lt;="&amp;$P$2)-SUM($C27:$G27))</f>
        <v/>
      </c>
      <c r="I27" s="25" t="str">
        <f t="shared" si="1"/>
        <v/>
      </c>
      <c r="J27" s="26" t="str">
        <f>IF($B27="","",ROUND(SUMIFS(周转筐出入库明细!$P$4:$P$2004,周转筐出入库明细!$C$4:$C$2004,$B27,周转筐出入库明细!$F$4:$F$2004,"采购入库",周转筐出入库明细!$B$4:$B$2004,"&gt;="&amp;$P$1,周转筐出入库明细!$B$4:$B$2004,"&lt;="&amp;$P$2),2))</f>
        <v/>
      </c>
      <c r="K27" s="26" t="str">
        <f>IF($B27="","",ROUND(SUMIFS(周转筐出入库明细!$P$4:$P$2004,周转筐出入库明细!$C$4:$C$2004,$B27,周转筐出入库明细!$F$4:$F$2004,"采购入库",周转筐出入库明细!$Q$4:$Q$2004,"已付款",周转筐出入库明细!$B$4:$B$2004,"&gt;="&amp;$P$1,周转筐出入库明细!$B$4:$B$2004,"&lt;="&amp;$P$2),2))</f>
        <v/>
      </c>
      <c r="L27" s="26" t="str">
        <f t="shared" si="2"/>
        <v/>
      </c>
    </row>
    <row r="28" spans="1:12">
      <c r="A28" s="22" t="str">
        <f t="shared" si="0"/>
        <v/>
      </c>
      <c r="B28" s="37" t="str">
        <f>IFERROR(INDEX(_自动清单!$CW$4:$CW$203,ROW()-3),"")</f>
        <v/>
      </c>
      <c r="C28" s="25" t="str">
        <f>IF(OR($B28="",基础资料!$B$4=""),"",SUMIFS(周转筐出入库明细!$H$4:$H$2004,周转筐出入库明细!$C$4:$C$2004,$B28,周转筐出入库明细!$D$4:$D$2004,基础资料!$B$4,周转筐出入库明细!$F$4:$F$2004,"采购入库",周转筐出入库明细!$B$4:$B$2004,"&gt;="&amp;$P$1,周转筐出入库明细!$B$4:$B$2004,"&lt;="&amp;$P$2))</f>
        <v/>
      </c>
      <c r="D28" s="25" t="str">
        <f>IF(OR($B28="",基础资料!$B$5=""),"",SUMIFS(周转筐出入库明细!$H$4:$H$2004,周转筐出入库明细!$C$4:$C$2004,$B28,周转筐出入库明细!$D$4:$D$2004,基础资料!$B$5,周转筐出入库明细!$F$4:$F$2004,"采购入库",周转筐出入库明细!$B$4:$B$2004,"&gt;="&amp;$P$1,周转筐出入库明细!$B$4:$B$2004,"&lt;="&amp;$P$2))</f>
        <v/>
      </c>
      <c r="E28" s="25" t="str">
        <f>IF(OR($B28="",基础资料!$B$6=""),"",SUMIFS(周转筐出入库明细!$H$4:$H$2004,周转筐出入库明细!$C$4:$C$2004,$B28,周转筐出入库明细!$D$4:$D$2004,基础资料!$B$6,周转筐出入库明细!$F$4:$F$2004,"采购入库",周转筐出入库明细!$B$4:$B$2004,"&gt;="&amp;$P$1,周转筐出入库明细!$B$4:$B$2004,"&lt;="&amp;$P$2))</f>
        <v/>
      </c>
      <c r="F28" s="25" t="str">
        <f>IF(OR($B28="",基础资料!$B$7=""),"",SUMIFS(周转筐出入库明细!$H$4:$H$2004,周转筐出入库明细!$C$4:$C$2004,$B28,周转筐出入库明细!$D$4:$D$2004,基础资料!$B$7,周转筐出入库明细!$F$4:$F$2004,"采购入库",周转筐出入库明细!$B$4:$B$2004,"&gt;="&amp;$P$1,周转筐出入库明细!$B$4:$B$2004,"&lt;="&amp;$P$2))</f>
        <v/>
      </c>
      <c r="G28" s="25" t="str">
        <f>IF(OR($B28="",基础资料!$B$8=""),"",SUMIFS(周转筐出入库明细!$H$4:$H$2004,周转筐出入库明细!$C$4:$C$2004,$B28,周转筐出入库明细!$D$4:$D$2004,基础资料!$B$8,周转筐出入库明细!$F$4:$F$2004,"采购入库",周转筐出入库明细!$B$4:$B$2004,"&gt;="&amp;$P$1,周转筐出入库明细!$B$4:$B$2004,"&lt;="&amp;$P$2))</f>
        <v/>
      </c>
      <c r="H28" s="25" t="str">
        <f>IF($B28="","",SUMIFS(周转筐出入库明细!$H$4:$H$2004,周转筐出入库明细!$C$4:$C$2004,$B28,周转筐出入库明细!$F$4:$F$2004,"采购入库",周转筐出入库明细!$B$4:$B$2004,"&gt;="&amp;$P$1,周转筐出入库明细!$B$4:$B$2004,"&lt;="&amp;$P$2)-SUM($C28:$G28))</f>
        <v/>
      </c>
      <c r="I28" s="25" t="str">
        <f t="shared" si="1"/>
        <v/>
      </c>
      <c r="J28" s="26" t="str">
        <f>IF($B28="","",ROUND(SUMIFS(周转筐出入库明细!$P$4:$P$2004,周转筐出入库明细!$C$4:$C$2004,$B28,周转筐出入库明细!$F$4:$F$2004,"采购入库",周转筐出入库明细!$B$4:$B$2004,"&gt;="&amp;$P$1,周转筐出入库明细!$B$4:$B$2004,"&lt;="&amp;$P$2),2))</f>
        <v/>
      </c>
      <c r="K28" s="26" t="str">
        <f>IF($B28="","",ROUND(SUMIFS(周转筐出入库明细!$P$4:$P$2004,周转筐出入库明细!$C$4:$C$2004,$B28,周转筐出入库明细!$F$4:$F$2004,"采购入库",周转筐出入库明细!$Q$4:$Q$2004,"已付款",周转筐出入库明细!$B$4:$B$2004,"&gt;="&amp;$P$1,周转筐出入库明细!$B$4:$B$2004,"&lt;="&amp;$P$2),2))</f>
        <v/>
      </c>
      <c r="L28" s="26" t="str">
        <f t="shared" si="2"/>
        <v/>
      </c>
    </row>
    <row r="29" spans="1:12">
      <c r="A29" s="22" t="str">
        <f t="shared" si="0"/>
        <v/>
      </c>
      <c r="B29" s="37" t="str">
        <f>IFERROR(INDEX(_自动清单!$CW$4:$CW$203,ROW()-3),"")</f>
        <v/>
      </c>
      <c r="C29" s="25" t="str">
        <f>IF(OR($B29="",基础资料!$B$4=""),"",SUMIFS(周转筐出入库明细!$H$4:$H$2004,周转筐出入库明细!$C$4:$C$2004,$B29,周转筐出入库明细!$D$4:$D$2004,基础资料!$B$4,周转筐出入库明细!$F$4:$F$2004,"采购入库",周转筐出入库明细!$B$4:$B$2004,"&gt;="&amp;$P$1,周转筐出入库明细!$B$4:$B$2004,"&lt;="&amp;$P$2))</f>
        <v/>
      </c>
      <c r="D29" s="25" t="str">
        <f>IF(OR($B29="",基础资料!$B$5=""),"",SUMIFS(周转筐出入库明细!$H$4:$H$2004,周转筐出入库明细!$C$4:$C$2004,$B29,周转筐出入库明细!$D$4:$D$2004,基础资料!$B$5,周转筐出入库明细!$F$4:$F$2004,"采购入库",周转筐出入库明细!$B$4:$B$2004,"&gt;="&amp;$P$1,周转筐出入库明细!$B$4:$B$2004,"&lt;="&amp;$P$2))</f>
        <v/>
      </c>
      <c r="E29" s="25" t="str">
        <f>IF(OR($B29="",基础资料!$B$6=""),"",SUMIFS(周转筐出入库明细!$H$4:$H$2004,周转筐出入库明细!$C$4:$C$2004,$B29,周转筐出入库明细!$D$4:$D$2004,基础资料!$B$6,周转筐出入库明细!$F$4:$F$2004,"采购入库",周转筐出入库明细!$B$4:$B$2004,"&gt;="&amp;$P$1,周转筐出入库明细!$B$4:$B$2004,"&lt;="&amp;$P$2))</f>
        <v/>
      </c>
      <c r="F29" s="25" t="str">
        <f>IF(OR($B29="",基础资料!$B$7=""),"",SUMIFS(周转筐出入库明细!$H$4:$H$2004,周转筐出入库明细!$C$4:$C$2004,$B29,周转筐出入库明细!$D$4:$D$2004,基础资料!$B$7,周转筐出入库明细!$F$4:$F$2004,"采购入库",周转筐出入库明细!$B$4:$B$2004,"&gt;="&amp;$P$1,周转筐出入库明细!$B$4:$B$2004,"&lt;="&amp;$P$2))</f>
        <v/>
      </c>
      <c r="G29" s="25" t="str">
        <f>IF(OR($B29="",基础资料!$B$8=""),"",SUMIFS(周转筐出入库明细!$H$4:$H$2004,周转筐出入库明细!$C$4:$C$2004,$B29,周转筐出入库明细!$D$4:$D$2004,基础资料!$B$8,周转筐出入库明细!$F$4:$F$2004,"采购入库",周转筐出入库明细!$B$4:$B$2004,"&gt;="&amp;$P$1,周转筐出入库明细!$B$4:$B$2004,"&lt;="&amp;$P$2))</f>
        <v/>
      </c>
      <c r="H29" s="25" t="str">
        <f>IF($B29="","",SUMIFS(周转筐出入库明细!$H$4:$H$2004,周转筐出入库明细!$C$4:$C$2004,$B29,周转筐出入库明细!$F$4:$F$2004,"采购入库",周转筐出入库明细!$B$4:$B$2004,"&gt;="&amp;$P$1,周转筐出入库明细!$B$4:$B$2004,"&lt;="&amp;$P$2)-SUM($C29:$G29))</f>
        <v/>
      </c>
      <c r="I29" s="25" t="str">
        <f t="shared" si="1"/>
        <v/>
      </c>
      <c r="J29" s="26" t="str">
        <f>IF($B29="","",ROUND(SUMIFS(周转筐出入库明细!$P$4:$P$2004,周转筐出入库明细!$C$4:$C$2004,$B29,周转筐出入库明细!$F$4:$F$2004,"采购入库",周转筐出入库明细!$B$4:$B$2004,"&gt;="&amp;$P$1,周转筐出入库明细!$B$4:$B$2004,"&lt;="&amp;$P$2),2))</f>
        <v/>
      </c>
      <c r="K29" s="26" t="str">
        <f>IF($B29="","",ROUND(SUMIFS(周转筐出入库明细!$P$4:$P$2004,周转筐出入库明细!$C$4:$C$2004,$B29,周转筐出入库明细!$F$4:$F$2004,"采购入库",周转筐出入库明细!$Q$4:$Q$2004,"已付款",周转筐出入库明细!$B$4:$B$2004,"&gt;="&amp;$P$1,周转筐出入库明细!$B$4:$B$2004,"&lt;="&amp;$P$2),2))</f>
        <v/>
      </c>
      <c r="L29" s="26" t="str">
        <f t="shared" si="2"/>
        <v/>
      </c>
    </row>
    <row r="30" spans="1:12">
      <c r="A30" s="22" t="str">
        <f t="shared" si="0"/>
        <v/>
      </c>
      <c r="B30" s="37" t="str">
        <f>IFERROR(INDEX(_自动清单!$CW$4:$CW$203,ROW()-3),"")</f>
        <v/>
      </c>
      <c r="C30" s="25" t="str">
        <f>IF(OR($B30="",基础资料!$B$4=""),"",SUMIFS(周转筐出入库明细!$H$4:$H$2004,周转筐出入库明细!$C$4:$C$2004,$B30,周转筐出入库明细!$D$4:$D$2004,基础资料!$B$4,周转筐出入库明细!$F$4:$F$2004,"采购入库",周转筐出入库明细!$B$4:$B$2004,"&gt;="&amp;$P$1,周转筐出入库明细!$B$4:$B$2004,"&lt;="&amp;$P$2))</f>
        <v/>
      </c>
      <c r="D30" s="25" t="str">
        <f>IF(OR($B30="",基础资料!$B$5=""),"",SUMIFS(周转筐出入库明细!$H$4:$H$2004,周转筐出入库明细!$C$4:$C$2004,$B30,周转筐出入库明细!$D$4:$D$2004,基础资料!$B$5,周转筐出入库明细!$F$4:$F$2004,"采购入库",周转筐出入库明细!$B$4:$B$2004,"&gt;="&amp;$P$1,周转筐出入库明细!$B$4:$B$2004,"&lt;="&amp;$P$2))</f>
        <v/>
      </c>
      <c r="E30" s="25" t="str">
        <f>IF(OR($B30="",基础资料!$B$6=""),"",SUMIFS(周转筐出入库明细!$H$4:$H$2004,周转筐出入库明细!$C$4:$C$2004,$B30,周转筐出入库明细!$D$4:$D$2004,基础资料!$B$6,周转筐出入库明细!$F$4:$F$2004,"采购入库",周转筐出入库明细!$B$4:$B$2004,"&gt;="&amp;$P$1,周转筐出入库明细!$B$4:$B$2004,"&lt;="&amp;$P$2))</f>
        <v/>
      </c>
      <c r="F30" s="25" t="str">
        <f>IF(OR($B30="",基础资料!$B$7=""),"",SUMIFS(周转筐出入库明细!$H$4:$H$2004,周转筐出入库明细!$C$4:$C$2004,$B30,周转筐出入库明细!$D$4:$D$2004,基础资料!$B$7,周转筐出入库明细!$F$4:$F$2004,"采购入库",周转筐出入库明细!$B$4:$B$2004,"&gt;="&amp;$P$1,周转筐出入库明细!$B$4:$B$2004,"&lt;="&amp;$P$2))</f>
        <v/>
      </c>
      <c r="G30" s="25" t="str">
        <f>IF(OR($B30="",基础资料!$B$8=""),"",SUMIFS(周转筐出入库明细!$H$4:$H$2004,周转筐出入库明细!$C$4:$C$2004,$B30,周转筐出入库明细!$D$4:$D$2004,基础资料!$B$8,周转筐出入库明细!$F$4:$F$2004,"采购入库",周转筐出入库明细!$B$4:$B$2004,"&gt;="&amp;$P$1,周转筐出入库明细!$B$4:$B$2004,"&lt;="&amp;$P$2))</f>
        <v/>
      </c>
      <c r="H30" s="25" t="str">
        <f>IF($B30="","",SUMIFS(周转筐出入库明细!$H$4:$H$2004,周转筐出入库明细!$C$4:$C$2004,$B30,周转筐出入库明细!$F$4:$F$2004,"采购入库",周转筐出入库明细!$B$4:$B$2004,"&gt;="&amp;$P$1,周转筐出入库明细!$B$4:$B$2004,"&lt;="&amp;$P$2)-SUM($C30:$G30))</f>
        <v/>
      </c>
      <c r="I30" s="25" t="str">
        <f t="shared" si="1"/>
        <v/>
      </c>
      <c r="J30" s="26" t="str">
        <f>IF($B30="","",ROUND(SUMIFS(周转筐出入库明细!$P$4:$P$2004,周转筐出入库明细!$C$4:$C$2004,$B30,周转筐出入库明细!$F$4:$F$2004,"采购入库",周转筐出入库明细!$B$4:$B$2004,"&gt;="&amp;$P$1,周转筐出入库明细!$B$4:$B$2004,"&lt;="&amp;$P$2),2))</f>
        <v/>
      </c>
      <c r="K30" s="26" t="str">
        <f>IF($B30="","",ROUND(SUMIFS(周转筐出入库明细!$P$4:$P$2004,周转筐出入库明细!$C$4:$C$2004,$B30,周转筐出入库明细!$F$4:$F$2004,"采购入库",周转筐出入库明细!$Q$4:$Q$2004,"已付款",周转筐出入库明细!$B$4:$B$2004,"&gt;="&amp;$P$1,周转筐出入库明细!$B$4:$B$2004,"&lt;="&amp;$P$2),2))</f>
        <v/>
      </c>
      <c r="L30" s="26" t="str">
        <f t="shared" si="2"/>
        <v/>
      </c>
    </row>
    <row r="31" spans="1:12">
      <c r="A31" s="22" t="str">
        <f t="shared" si="0"/>
        <v/>
      </c>
      <c r="B31" s="37" t="str">
        <f>IFERROR(INDEX(_自动清单!$CW$4:$CW$203,ROW()-3),"")</f>
        <v/>
      </c>
      <c r="C31" s="25" t="str">
        <f>IF(OR($B31="",基础资料!$B$4=""),"",SUMIFS(周转筐出入库明细!$H$4:$H$2004,周转筐出入库明细!$C$4:$C$2004,$B31,周转筐出入库明细!$D$4:$D$2004,基础资料!$B$4,周转筐出入库明细!$F$4:$F$2004,"采购入库",周转筐出入库明细!$B$4:$B$2004,"&gt;="&amp;$P$1,周转筐出入库明细!$B$4:$B$2004,"&lt;="&amp;$P$2))</f>
        <v/>
      </c>
      <c r="D31" s="25" t="str">
        <f>IF(OR($B31="",基础资料!$B$5=""),"",SUMIFS(周转筐出入库明细!$H$4:$H$2004,周转筐出入库明细!$C$4:$C$2004,$B31,周转筐出入库明细!$D$4:$D$2004,基础资料!$B$5,周转筐出入库明细!$F$4:$F$2004,"采购入库",周转筐出入库明细!$B$4:$B$2004,"&gt;="&amp;$P$1,周转筐出入库明细!$B$4:$B$2004,"&lt;="&amp;$P$2))</f>
        <v/>
      </c>
      <c r="E31" s="25" t="str">
        <f>IF(OR($B31="",基础资料!$B$6=""),"",SUMIFS(周转筐出入库明细!$H$4:$H$2004,周转筐出入库明细!$C$4:$C$2004,$B31,周转筐出入库明细!$D$4:$D$2004,基础资料!$B$6,周转筐出入库明细!$F$4:$F$2004,"采购入库",周转筐出入库明细!$B$4:$B$2004,"&gt;="&amp;$P$1,周转筐出入库明细!$B$4:$B$2004,"&lt;="&amp;$P$2))</f>
        <v/>
      </c>
      <c r="F31" s="25" t="str">
        <f>IF(OR($B31="",基础资料!$B$7=""),"",SUMIFS(周转筐出入库明细!$H$4:$H$2004,周转筐出入库明细!$C$4:$C$2004,$B31,周转筐出入库明细!$D$4:$D$2004,基础资料!$B$7,周转筐出入库明细!$F$4:$F$2004,"采购入库",周转筐出入库明细!$B$4:$B$2004,"&gt;="&amp;$P$1,周转筐出入库明细!$B$4:$B$2004,"&lt;="&amp;$P$2))</f>
        <v/>
      </c>
      <c r="G31" s="25" t="str">
        <f>IF(OR($B31="",基础资料!$B$8=""),"",SUMIFS(周转筐出入库明细!$H$4:$H$2004,周转筐出入库明细!$C$4:$C$2004,$B31,周转筐出入库明细!$D$4:$D$2004,基础资料!$B$8,周转筐出入库明细!$F$4:$F$2004,"采购入库",周转筐出入库明细!$B$4:$B$2004,"&gt;="&amp;$P$1,周转筐出入库明细!$B$4:$B$2004,"&lt;="&amp;$P$2))</f>
        <v/>
      </c>
      <c r="H31" s="25" t="str">
        <f>IF($B31="","",SUMIFS(周转筐出入库明细!$H$4:$H$2004,周转筐出入库明细!$C$4:$C$2004,$B31,周转筐出入库明细!$F$4:$F$2004,"采购入库",周转筐出入库明细!$B$4:$B$2004,"&gt;="&amp;$P$1,周转筐出入库明细!$B$4:$B$2004,"&lt;="&amp;$P$2)-SUM($C31:$G31))</f>
        <v/>
      </c>
      <c r="I31" s="25" t="str">
        <f t="shared" si="1"/>
        <v/>
      </c>
      <c r="J31" s="26" t="str">
        <f>IF($B31="","",ROUND(SUMIFS(周转筐出入库明细!$P$4:$P$2004,周转筐出入库明细!$C$4:$C$2004,$B31,周转筐出入库明细!$F$4:$F$2004,"采购入库",周转筐出入库明细!$B$4:$B$2004,"&gt;="&amp;$P$1,周转筐出入库明细!$B$4:$B$2004,"&lt;="&amp;$P$2),2))</f>
        <v/>
      </c>
      <c r="K31" s="26" t="str">
        <f>IF($B31="","",ROUND(SUMIFS(周转筐出入库明细!$P$4:$P$2004,周转筐出入库明细!$C$4:$C$2004,$B31,周转筐出入库明细!$F$4:$F$2004,"采购入库",周转筐出入库明细!$Q$4:$Q$2004,"已付款",周转筐出入库明细!$B$4:$B$2004,"&gt;="&amp;$P$1,周转筐出入库明细!$B$4:$B$2004,"&lt;="&amp;$P$2),2))</f>
        <v/>
      </c>
      <c r="L31" s="26" t="str">
        <f t="shared" si="2"/>
        <v/>
      </c>
    </row>
    <row r="32" spans="1:12">
      <c r="A32" s="22" t="str">
        <f t="shared" si="0"/>
        <v/>
      </c>
      <c r="B32" s="37" t="str">
        <f>IFERROR(INDEX(_自动清单!$CW$4:$CW$203,ROW()-3),"")</f>
        <v/>
      </c>
      <c r="C32" s="25" t="str">
        <f>IF(OR($B32="",基础资料!$B$4=""),"",SUMIFS(周转筐出入库明细!$H$4:$H$2004,周转筐出入库明细!$C$4:$C$2004,$B32,周转筐出入库明细!$D$4:$D$2004,基础资料!$B$4,周转筐出入库明细!$F$4:$F$2004,"采购入库",周转筐出入库明细!$B$4:$B$2004,"&gt;="&amp;$P$1,周转筐出入库明细!$B$4:$B$2004,"&lt;="&amp;$P$2))</f>
        <v/>
      </c>
      <c r="D32" s="25" t="str">
        <f>IF(OR($B32="",基础资料!$B$5=""),"",SUMIFS(周转筐出入库明细!$H$4:$H$2004,周转筐出入库明细!$C$4:$C$2004,$B32,周转筐出入库明细!$D$4:$D$2004,基础资料!$B$5,周转筐出入库明细!$F$4:$F$2004,"采购入库",周转筐出入库明细!$B$4:$B$2004,"&gt;="&amp;$P$1,周转筐出入库明细!$B$4:$B$2004,"&lt;="&amp;$P$2))</f>
        <v/>
      </c>
      <c r="E32" s="25" t="str">
        <f>IF(OR($B32="",基础资料!$B$6=""),"",SUMIFS(周转筐出入库明细!$H$4:$H$2004,周转筐出入库明细!$C$4:$C$2004,$B32,周转筐出入库明细!$D$4:$D$2004,基础资料!$B$6,周转筐出入库明细!$F$4:$F$2004,"采购入库",周转筐出入库明细!$B$4:$B$2004,"&gt;="&amp;$P$1,周转筐出入库明细!$B$4:$B$2004,"&lt;="&amp;$P$2))</f>
        <v/>
      </c>
      <c r="F32" s="25" t="str">
        <f>IF(OR($B32="",基础资料!$B$7=""),"",SUMIFS(周转筐出入库明细!$H$4:$H$2004,周转筐出入库明细!$C$4:$C$2004,$B32,周转筐出入库明细!$D$4:$D$2004,基础资料!$B$7,周转筐出入库明细!$F$4:$F$2004,"采购入库",周转筐出入库明细!$B$4:$B$2004,"&gt;="&amp;$P$1,周转筐出入库明细!$B$4:$B$2004,"&lt;="&amp;$P$2))</f>
        <v/>
      </c>
      <c r="G32" s="25" t="str">
        <f>IF(OR($B32="",基础资料!$B$8=""),"",SUMIFS(周转筐出入库明细!$H$4:$H$2004,周转筐出入库明细!$C$4:$C$2004,$B32,周转筐出入库明细!$D$4:$D$2004,基础资料!$B$8,周转筐出入库明细!$F$4:$F$2004,"采购入库",周转筐出入库明细!$B$4:$B$2004,"&gt;="&amp;$P$1,周转筐出入库明细!$B$4:$B$2004,"&lt;="&amp;$P$2))</f>
        <v/>
      </c>
      <c r="H32" s="25" t="str">
        <f>IF($B32="","",SUMIFS(周转筐出入库明细!$H$4:$H$2004,周转筐出入库明细!$C$4:$C$2004,$B32,周转筐出入库明细!$F$4:$F$2004,"采购入库",周转筐出入库明细!$B$4:$B$2004,"&gt;="&amp;$P$1,周转筐出入库明细!$B$4:$B$2004,"&lt;="&amp;$P$2)-SUM($C32:$G32))</f>
        <v/>
      </c>
      <c r="I32" s="25" t="str">
        <f t="shared" si="1"/>
        <v/>
      </c>
      <c r="J32" s="26" t="str">
        <f>IF($B32="","",ROUND(SUMIFS(周转筐出入库明细!$P$4:$P$2004,周转筐出入库明细!$C$4:$C$2004,$B32,周转筐出入库明细!$F$4:$F$2004,"采购入库",周转筐出入库明细!$B$4:$B$2004,"&gt;="&amp;$P$1,周转筐出入库明细!$B$4:$B$2004,"&lt;="&amp;$P$2),2))</f>
        <v/>
      </c>
      <c r="K32" s="26" t="str">
        <f>IF($B32="","",ROUND(SUMIFS(周转筐出入库明细!$P$4:$P$2004,周转筐出入库明细!$C$4:$C$2004,$B32,周转筐出入库明细!$F$4:$F$2004,"采购入库",周转筐出入库明细!$Q$4:$Q$2004,"已付款",周转筐出入库明细!$B$4:$B$2004,"&gt;="&amp;$P$1,周转筐出入库明细!$B$4:$B$2004,"&lt;="&amp;$P$2),2))</f>
        <v/>
      </c>
      <c r="L32" s="26" t="str">
        <f t="shared" si="2"/>
        <v/>
      </c>
    </row>
    <row r="33" spans="1:12">
      <c r="A33" s="22" t="str">
        <f t="shared" si="0"/>
        <v/>
      </c>
      <c r="B33" s="37" t="str">
        <f>IFERROR(INDEX(_自动清单!$CW$4:$CW$203,ROW()-3),"")</f>
        <v/>
      </c>
      <c r="C33" s="25" t="str">
        <f>IF(OR($B33="",基础资料!$B$4=""),"",SUMIFS(周转筐出入库明细!$H$4:$H$2004,周转筐出入库明细!$C$4:$C$2004,$B33,周转筐出入库明细!$D$4:$D$2004,基础资料!$B$4,周转筐出入库明细!$F$4:$F$2004,"采购入库",周转筐出入库明细!$B$4:$B$2004,"&gt;="&amp;$P$1,周转筐出入库明细!$B$4:$B$2004,"&lt;="&amp;$P$2))</f>
        <v/>
      </c>
      <c r="D33" s="25" t="str">
        <f>IF(OR($B33="",基础资料!$B$5=""),"",SUMIFS(周转筐出入库明细!$H$4:$H$2004,周转筐出入库明细!$C$4:$C$2004,$B33,周转筐出入库明细!$D$4:$D$2004,基础资料!$B$5,周转筐出入库明细!$F$4:$F$2004,"采购入库",周转筐出入库明细!$B$4:$B$2004,"&gt;="&amp;$P$1,周转筐出入库明细!$B$4:$B$2004,"&lt;="&amp;$P$2))</f>
        <v/>
      </c>
      <c r="E33" s="25" t="str">
        <f>IF(OR($B33="",基础资料!$B$6=""),"",SUMIFS(周转筐出入库明细!$H$4:$H$2004,周转筐出入库明细!$C$4:$C$2004,$B33,周转筐出入库明细!$D$4:$D$2004,基础资料!$B$6,周转筐出入库明细!$F$4:$F$2004,"采购入库",周转筐出入库明细!$B$4:$B$2004,"&gt;="&amp;$P$1,周转筐出入库明细!$B$4:$B$2004,"&lt;="&amp;$P$2))</f>
        <v/>
      </c>
      <c r="F33" s="25" t="str">
        <f>IF(OR($B33="",基础资料!$B$7=""),"",SUMIFS(周转筐出入库明细!$H$4:$H$2004,周转筐出入库明细!$C$4:$C$2004,$B33,周转筐出入库明细!$D$4:$D$2004,基础资料!$B$7,周转筐出入库明细!$F$4:$F$2004,"采购入库",周转筐出入库明细!$B$4:$B$2004,"&gt;="&amp;$P$1,周转筐出入库明细!$B$4:$B$2004,"&lt;="&amp;$P$2))</f>
        <v/>
      </c>
      <c r="G33" s="25" t="str">
        <f>IF(OR($B33="",基础资料!$B$8=""),"",SUMIFS(周转筐出入库明细!$H$4:$H$2004,周转筐出入库明细!$C$4:$C$2004,$B33,周转筐出入库明细!$D$4:$D$2004,基础资料!$B$8,周转筐出入库明细!$F$4:$F$2004,"采购入库",周转筐出入库明细!$B$4:$B$2004,"&gt;="&amp;$P$1,周转筐出入库明细!$B$4:$B$2004,"&lt;="&amp;$P$2))</f>
        <v/>
      </c>
      <c r="H33" s="25" t="str">
        <f>IF($B33="","",SUMIFS(周转筐出入库明细!$H$4:$H$2004,周转筐出入库明细!$C$4:$C$2004,$B33,周转筐出入库明细!$F$4:$F$2004,"采购入库",周转筐出入库明细!$B$4:$B$2004,"&gt;="&amp;$P$1,周转筐出入库明细!$B$4:$B$2004,"&lt;="&amp;$P$2)-SUM($C33:$G33))</f>
        <v/>
      </c>
      <c r="I33" s="25" t="str">
        <f t="shared" si="1"/>
        <v/>
      </c>
      <c r="J33" s="26" t="str">
        <f>IF($B33="","",ROUND(SUMIFS(周转筐出入库明细!$P$4:$P$2004,周转筐出入库明细!$C$4:$C$2004,$B33,周转筐出入库明细!$F$4:$F$2004,"采购入库",周转筐出入库明细!$B$4:$B$2004,"&gt;="&amp;$P$1,周转筐出入库明细!$B$4:$B$2004,"&lt;="&amp;$P$2),2))</f>
        <v/>
      </c>
      <c r="K33" s="26" t="str">
        <f>IF($B33="","",ROUND(SUMIFS(周转筐出入库明细!$P$4:$P$2004,周转筐出入库明细!$C$4:$C$2004,$B33,周转筐出入库明细!$F$4:$F$2004,"采购入库",周转筐出入库明细!$Q$4:$Q$2004,"已付款",周转筐出入库明细!$B$4:$B$2004,"&gt;="&amp;$P$1,周转筐出入库明细!$B$4:$B$2004,"&lt;="&amp;$P$2),2))</f>
        <v/>
      </c>
      <c r="L33" s="26" t="str">
        <f t="shared" si="2"/>
        <v/>
      </c>
    </row>
    <row r="34" spans="1:12">
      <c r="A34" s="22" t="str">
        <f t="shared" si="0"/>
        <v/>
      </c>
      <c r="B34" s="37" t="str">
        <f>IFERROR(INDEX(_自动清单!$CW$4:$CW$203,ROW()-3),"")</f>
        <v/>
      </c>
      <c r="C34" s="25" t="str">
        <f>IF(OR($B34="",基础资料!$B$4=""),"",SUMIFS(周转筐出入库明细!$H$4:$H$2004,周转筐出入库明细!$C$4:$C$2004,$B34,周转筐出入库明细!$D$4:$D$2004,基础资料!$B$4,周转筐出入库明细!$F$4:$F$2004,"采购入库",周转筐出入库明细!$B$4:$B$2004,"&gt;="&amp;$P$1,周转筐出入库明细!$B$4:$B$2004,"&lt;="&amp;$P$2))</f>
        <v/>
      </c>
      <c r="D34" s="25" t="str">
        <f>IF(OR($B34="",基础资料!$B$5=""),"",SUMIFS(周转筐出入库明细!$H$4:$H$2004,周转筐出入库明细!$C$4:$C$2004,$B34,周转筐出入库明细!$D$4:$D$2004,基础资料!$B$5,周转筐出入库明细!$F$4:$F$2004,"采购入库",周转筐出入库明细!$B$4:$B$2004,"&gt;="&amp;$P$1,周转筐出入库明细!$B$4:$B$2004,"&lt;="&amp;$P$2))</f>
        <v/>
      </c>
      <c r="E34" s="25" t="str">
        <f>IF(OR($B34="",基础资料!$B$6=""),"",SUMIFS(周转筐出入库明细!$H$4:$H$2004,周转筐出入库明细!$C$4:$C$2004,$B34,周转筐出入库明细!$D$4:$D$2004,基础资料!$B$6,周转筐出入库明细!$F$4:$F$2004,"采购入库",周转筐出入库明细!$B$4:$B$2004,"&gt;="&amp;$P$1,周转筐出入库明细!$B$4:$B$2004,"&lt;="&amp;$P$2))</f>
        <v/>
      </c>
      <c r="F34" s="25" t="str">
        <f>IF(OR($B34="",基础资料!$B$7=""),"",SUMIFS(周转筐出入库明细!$H$4:$H$2004,周转筐出入库明细!$C$4:$C$2004,$B34,周转筐出入库明细!$D$4:$D$2004,基础资料!$B$7,周转筐出入库明细!$F$4:$F$2004,"采购入库",周转筐出入库明细!$B$4:$B$2004,"&gt;="&amp;$P$1,周转筐出入库明细!$B$4:$B$2004,"&lt;="&amp;$P$2))</f>
        <v/>
      </c>
      <c r="G34" s="25" t="str">
        <f>IF(OR($B34="",基础资料!$B$8=""),"",SUMIFS(周转筐出入库明细!$H$4:$H$2004,周转筐出入库明细!$C$4:$C$2004,$B34,周转筐出入库明细!$D$4:$D$2004,基础资料!$B$8,周转筐出入库明细!$F$4:$F$2004,"采购入库",周转筐出入库明细!$B$4:$B$2004,"&gt;="&amp;$P$1,周转筐出入库明细!$B$4:$B$2004,"&lt;="&amp;$P$2))</f>
        <v/>
      </c>
      <c r="H34" s="25" t="str">
        <f>IF($B34="","",SUMIFS(周转筐出入库明细!$H$4:$H$2004,周转筐出入库明细!$C$4:$C$2004,$B34,周转筐出入库明细!$F$4:$F$2004,"采购入库",周转筐出入库明细!$B$4:$B$2004,"&gt;="&amp;$P$1,周转筐出入库明细!$B$4:$B$2004,"&lt;="&amp;$P$2)-SUM($C34:$G34))</f>
        <v/>
      </c>
      <c r="I34" s="25" t="str">
        <f t="shared" si="1"/>
        <v/>
      </c>
      <c r="J34" s="26" t="str">
        <f>IF($B34="","",ROUND(SUMIFS(周转筐出入库明细!$P$4:$P$2004,周转筐出入库明细!$C$4:$C$2004,$B34,周转筐出入库明细!$F$4:$F$2004,"采购入库",周转筐出入库明细!$B$4:$B$2004,"&gt;="&amp;$P$1,周转筐出入库明细!$B$4:$B$2004,"&lt;="&amp;$P$2),2))</f>
        <v/>
      </c>
      <c r="K34" s="26" t="str">
        <f>IF($B34="","",ROUND(SUMIFS(周转筐出入库明细!$P$4:$P$2004,周转筐出入库明细!$C$4:$C$2004,$B34,周转筐出入库明细!$F$4:$F$2004,"采购入库",周转筐出入库明细!$Q$4:$Q$2004,"已付款",周转筐出入库明细!$B$4:$B$2004,"&gt;="&amp;$P$1,周转筐出入库明细!$B$4:$B$2004,"&lt;="&amp;$P$2),2))</f>
        <v/>
      </c>
      <c r="L34" s="26" t="str">
        <f t="shared" si="2"/>
        <v/>
      </c>
    </row>
    <row r="35" spans="1:12">
      <c r="A35" s="22" t="str">
        <f t="shared" si="0"/>
        <v/>
      </c>
      <c r="B35" s="37" t="str">
        <f>IFERROR(INDEX(_自动清单!$CW$4:$CW$203,ROW()-3),"")</f>
        <v/>
      </c>
      <c r="C35" s="25" t="str">
        <f>IF(OR($B35="",基础资料!$B$4=""),"",SUMIFS(周转筐出入库明细!$H$4:$H$2004,周转筐出入库明细!$C$4:$C$2004,$B35,周转筐出入库明细!$D$4:$D$2004,基础资料!$B$4,周转筐出入库明细!$F$4:$F$2004,"采购入库",周转筐出入库明细!$B$4:$B$2004,"&gt;="&amp;$P$1,周转筐出入库明细!$B$4:$B$2004,"&lt;="&amp;$P$2))</f>
        <v/>
      </c>
      <c r="D35" s="25" t="str">
        <f>IF(OR($B35="",基础资料!$B$5=""),"",SUMIFS(周转筐出入库明细!$H$4:$H$2004,周转筐出入库明细!$C$4:$C$2004,$B35,周转筐出入库明细!$D$4:$D$2004,基础资料!$B$5,周转筐出入库明细!$F$4:$F$2004,"采购入库",周转筐出入库明细!$B$4:$B$2004,"&gt;="&amp;$P$1,周转筐出入库明细!$B$4:$B$2004,"&lt;="&amp;$P$2))</f>
        <v/>
      </c>
      <c r="E35" s="25" t="str">
        <f>IF(OR($B35="",基础资料!$B$6=""),"",SUMIFS(周转筐出入库明细!$H$4:$H$2004,周转筐出入库明细!$C$4:$C$2004,$B35,周转筐出入库明细!$D$4:$D$2004,基础资料!$B$6,周转筐出入库明细!$F$4:$F$2004,"采购入库",周转筐出入库明细!$B$4:$B$2004,"&gt;="&amp;$P$1,周转筐出入库明细!$B$4:$B$2004,"&lt;="&amp;$P$2))</f>
        <v/>
      </c>
      <c r="F35" s="25" t="str">
        <f>IF(OR($B35="",基础资料!$B$7=""),"",SUMIFS(周转筐出入库明细!$H$4:$H$2004,周转筐出入库明细!$C$4:$C$2004,$B35,周转筐出入库明细!$D$4:$D$2004,基础资料!$B$7,周转筐出入库明细!$F$4:$F$2004,"采购入库",周转筐出入库明细!$B$4:$B$2004,"&gt;="&amp;$P$1,周转筐出入库明细!$B$4:$B$2004,"&lt;="&amp;$P$2))</f>
        <v/>
      </c>
      <c r="G35" s="25" t="str">
        <f>IF(OR($B35="",基础资料!$B$8=""),"",SUMIFS(周转筐出入库明细!$H$4:$H$2004,周转筐出入库明细!$C$4:$C$2004,$B35,周转筐出入库明细!$D$4:$D$2004,基础资料!$B$8,周转筐出入库明细!$F$4:$F$2004,"采购入库",周转筐出入库明细!$B$4:$B$2004,"&gt;="&amp;$P$1,周转筐出入库明细!$B$4:$B$2004,"&lt;="&amp;$P$2))</f>
        <v/>
      </c>
      <c r="H35" s="25" t="str">
        <f>IF($B35="","",SUMIFS(周转筐出入库明细!$H$4:$H$2004,周转筐出入库明细!$C$4:$C$2004,$B35,周转筐出入库明细!$F$4:$F$2004,"采购入库",周转筐出入库明细!$B$4:$B$2004,"&gt;="&amp;$P$1,周转筐出入库明细!$B$4:$B$2004,"&lt;="&amp;$P$2)-SUM($C35:$G35))</f>
        <v/>
      </c>
      <c r="I35" s="25" t="str">
        <f t="shared" si="1"/>
        <v/>
      </c>
      <c r="J35" s="26" t="str">
        <f>IF($B35="","",ROUND(SUMIFS(周转筐出入库明细!$P$4:$P$2004,周转筐出入库明细!$C$4:$C$2004,$B35,周转筐出入库明细!$F$4:$F$2004,"采购入库",周转筐出入库明细!$B$4:$B$2004,"&gt;="&amp;$P$1,周转筐出入库明细!$B$4:$B$2004,"&lt;="&amp;$P$2),2))</f>
        <v/>
      </c>
      <c r="K35" s="26" t="str">
        <f>IF($B35="","",ROUND(SUMIFS(周转筐出入库明细!$P$4:$P$2004,周转筐出入库明细!$C$4:$C$2004,$B35,周转筐出入库明细!$F$4:$F$2004,"采购入库",周转筐出入库明细!$Q$4:$Q$2004,"已付款",周转筐出入库明细!$B$4:$B$2004,"&gt;="&amp;$P$1,周转筐出入库明细!$B$4:$B$2004,"&lt;="&amp;$P$2),2))</f>
        <v/>
      </c>
      <c r="L35" s="26" t="str">
        <f t="shared" si="2"/>
        <v/>
      </c>
    </row>
    <row r="36" spans="1:12">
      <c r="A36" s="22" t="str">
        <f t="shared" si="0"/>
        <v/>
      </c>
      <c r="B36" s="37" t="str">
        <f>IFERROR(INDEX(_自动清单!$CW$4:$CW$203,ROW()-3),"")</f>
        <v/>
      </c>
      <c r="C36" s="25" t="str">
        <f>IF(OR($B36="",基础资料!$B$4=""),"",SUMIFS(周转筐出入库明细!$H$4:$H$2004,周转筐出入库明细!$C$4:$C$2004,$B36,周转筐出入库明细!$D$4:$D$2004,基础资料!$B$4,周转筐出入库明细!$F$4:$F$2004,"采购入库",周转筐出入库明细!$B$4:$B$2004,"&gt;="&amp;$P$1,周转筐出入库明细!$B$4:$B$2004,"&lt;="&amp;$P$2))</f>
        <v/>
      </c>
      <c r="D36" s="25" t="str">
        <f>IF(OR($B36="",基础资料!$B$5=""),"",SUMIFS(周转筐出入库明细!$H$4:$H$2004,周转筐出入库明细!$C$4:$C$2004,$B36,周转筐出入库明细!$D$4:$D$2004,基础资料!$B$5,周转筐出入库明细!$F$4:$F$2004,"采购入库",周转筐出入库明细!$B$4:$B$2004,"&gt;="&amp;$P$1,周转筐出入库明细!$B$4:$B$2004,"&lt;="&amp;$P$2))</f>
        <v/>
      </c>
      <c r="E36" s="25" t="str">
        <f>IF(OR($B36="",基础资料!$B$6=""),"",SUMIFS(周转筐出入库明细!$H$4:$H$2004,周转筐出入库明细!$C$4:$C$2004,$B36,周转筐出入库明细!$D$4:$D$2004,基础资料!$B$6,周转筐出入库明细!$F$4:$F$2004,"采购入库",周转筐出入库明细!$B$4:$B$2004,"&gt;="&amp;$P$1,周转筐出入库明细!$B$4:$B$2004,"&lt;="&amp;$P$2))</f>
        <v/>
      </c>
      <c r="F36" s="25" t="str">
        <f>IF(OR($B36="",基础资料!$B$7=""),"",SUMIFS(周转筐出入库明细!$H$4:$H$2004,周转筐出入库明细!$C$4:$C$2004,$B36,周转筐出入库明细!$D$4:$D$2004,基础资料!$B$7,周转筐出入库明细!$F$4:$F$2004,"采购入库",周转筐出入库明细!$B$4:$B$2004,"&gt;="&amp;$P$1,周转筐出入库明细!$B$4:$B$2004,"&lt;="&amp;$P$2))</f>
        <v/>
      </c>
      <c r="G36" s="25" t="str">
        <f>IF(OR($B36="",基础资料!$B$8=""),"",SUMIFS(周转筐出入库明细!$H$4:$H$2004,周转筐出入库明细!$C$4:$C$2004,$B36,周转筐出入库明细!$D$4:$D$2004,基础资料!$B$8,周转筐出入库明细!$F$4:$F$2004,"采购入库",周转筐出入库明细!$B$4:$B$2004,"&gt;="&amp;$P$1,周转筐出入库明细!$B$4:$B$2004,"&lt;="&amp;$P$2))</f>
        <v/>
      </c>
      <c r="H36" s="25" t="str">
        <f>IF($B36="","",SUMIFS(周转筐出入库明细!$H$4:$H$2004,周转筐出入库明细!$C$4:$C$2004,$B36,周转筐出入库明细!$F$4:$F$2004,"采购入库",周转筐出入库明细!$B$4:$B$2004,"&gt;="&amp;$P$1,周转筐出入库明细!$B$4:$B$2004,"&lt;="&amp;$P$2)-SUM($C36:$G36))</f>
        <v/>
      </c>
      <c r="I36" s="25" t="str">
        <f t="shared" si="1"/>
        <v/>
      </c>
      <c r="J36" s="26" t="str">
        <f>IF($B36="","",ROUND(SUMIFS(周转筐出入库明细!$P$4:$P$2004,周转筐出入库明细!$C$4:$C$2004,$B36,周转筐出入库明细!$F$4:$F$2004,"采购入库",周转筐出入库明细!$B$4:$B$2004,"&gt;="&amp;$P$1,周转筐出入库明细!$B$4:$B$2004,"&lt;="&amp;$P$2),2))</f>
        <v/>
      </c>
      <c r="K36" s="26" t="str">
        <f>IF($B36="","",ROUND(SUMIFS(周转筐出入库明细!$P$4:$P$2004,周转筐出入库明细!$C$4:$C$2004,$B36,周转筐出入库明细!$F$4:$F$2004,"采购入库",周转筐出入库明细!$Q$4:$Q$2004,"已付款",周转筐出入库明细!$B$4:$B$2004,"&gt;="&amp;$P$1,周转筐出入库明细!$B$4:$B$2004,"&lt;="&amp;$P$2),2))</f>
        <v/>
      </c>
      <c r="L36" s="26" t="str">
        <f t="shared" si="2"/>
        <v/>
      </c>
    </row>
    <row r="37" spans="1:12">
      <c r="A37" s="22" t="str">
        <f t="shared" si="0"/>
        <v/>
      </c>
      <c r="B37" s="37" t="str">
        <f>IFERROR(INDEX(_自动清单!$CW$4:$CW$203,ROW()-3),"")</f>
        <v/>
      </c>
      <c r="C37" s="25" t="str">
        <f>IF(OR($B37="",基础资料!$B$4=""),"",SUMIFS(周转筐出入库明细!$H$4:$H$2004,周转筐出入库明细!$C$4:$C$2004,$B37,周转筐出入库明细!$D$4:$D$2004,基础资料!$B$4,周转筐出入库明细!$F$4:$F$2004,"采购入库",周转筐出入库明细!$B$4:$B$2004,"&gt;="&amp;$P$1,周转筐出入库明细!$B$4:$B$2004,"&lt;="&amp;$P$2))</f>
        <v/>
      </c>
      <c r="D37" s="25" t="str">
        <f>IF(OR($B37="",基础资料!$B$5=""),"",SUMIFS(周转筐出入库明细!$H$4:$H$2004,周转筐出入库明细!$C$4:$C$2004,$B37,周转筐出入库明细!$D$4:$D$2004,基础资料!$B$5,周转筐出入库明细!$F$4:$F$2004,"采购入库",周转筐出入库明细!$B$4:$B$2004,"&gt;="&amp;$P$1,周转筐出入库明细!$B$4:$B$2004,"&lt;="&amp;$P$2))</f>
        <v/>
      </c>
      <c r="E37" s="25" t="str">
        <f>IF(OR($B37="",基础资料!$B$6=""),"",SUMIFS(周转筐出入库明细!$H$4:$H$2004,周转筐出入库明细!$C$4:$C$2004,$B37,周转筐出入库明细!$D$4:$D$2004,基础资料!$B$6,周转筐出入库明细!$F$4:$F$2004,"采购入库",周转筐出入库明细!$B$4:$B$2004,"&gt;="&amp;$P$1,周转筐出入库明细!$B$4:$B$2004,"&lt;="&amp;$P$2))</f>
        <v/>
      </c>
      <c r="F37" s="25" t="str">
        <f>IF(OR($B37="",基础资料!$B$7=""),"",SUMIFS(周转筐出入库明细!$H$4:$H$2004,周转筐出入库明细!$C$4:$C$2004,$B37,周转筐出入库明细!$D$4:$D$2004,基础资料!$B$7,周转筐出入库明细!$F$4:$F$2004,"采购入库",周转筐出入库明细!$B$4:$B$2004,"&gt;="&amp;$P$1,周转筐出入库明细!$B$4:$B$2004,"&lt;="&amp;$P$2))</f>
        <v/>
      </c>
      <c r="G37" s="25" t="str">
        <f>IF(OR($B37="",基础资料!$B$8=""),"",SUMIFS(周转筐出入库明细!$H$4:$H$2004,周转筐出入库明细!$C$4:$C$2004,$B37,周转筐出入库明细!$D$4:$D$2004,基础资料!$B$8,周转筐出入库明细!$F$4:$F$2004,"采购入库",周转筐出入库明细!$B$4:$B$2004,"&gt;="&amp;$P$1,周转筐出入库明细!$B$4:$B$2004,"&lt;="&amp;$P$2))</f>
        <v/>
      </c>
      <c r="H37" s="25" t="str">
        <f>IF($B37="","",SUMIFS(周转筐出入库明细!$H$4:$H$2004,周转筐出入库明细!$C$4:$C$2004,$B37,周转筐出入库明细!$F$4:$F$2004,"采购入库",周转筐出入库明细!$B$4:$B$2004,"&gt;="&amp;$P$1,周转筐出入库明细!$B$4:$B$2004,"&lt;="&amp;$P$2)-SUM($C37:$G37))</f>
        <v/>
      </c>
      <c r="I37" s="25" t="str">
        <f t="shared" si="1"/>
        <v/>
      </c>
      <c r="J37" s="26" t="str">
        <f>IF($B37="","",ROUND(SUMIFS(周转筐出入库明细!$P$4:$P$2004,周转筐出入库明细!$C$4:$C$2004,$B37,周转筐出入库明细!$F$4:$F$2004,"采购入库",周转筐出入库明细!$B$4:$B$2004,"&gt;="&amp;$P$1,周转筐出入库明细!$B$4:$B$2004,"&lt;="&amp;$P$2),2))</f>
        <v/>
      </c>
      <c r="K37" s="26" t="str">
        <f>IF($B37="","",ROUND(SUMIFS(周转筐出入库明细!$P$4:$P$2004,周转筐出入库明细!$C$4:$C$2004,$B37,周转筐出入库明细!$F$4:$F$2004,"采购入库",周转筐出入库明细!$Q$4:$Q$2004,"已付款",周转筐出入库明细!$B$4:$B$2004,"&gt;="&amp;$P$1,周转筐出入库明细!$B$4:$B$2004,"&lt;="&amp;$P$2),2))</f>
        <v/>
      </c>
      <c r="L37" s="26" t="str">
        <f t="shared" si="2"/>
        <v/>
      </c>
    </row>
    <row r="38" spans="1:12">
      <c r="A38" s="22" t="str">
        <f t="shared" si="0"/>
        <v/>
      </c>
      <c r="B38" s="37" t="str">
        <f>IFERROR(INDEX(_自动清单!$CW$4:$CW$203,ROW()-3),"")</f>
        <v/>
      </c>
      <c r="C38" s="25" t="str">
        <f>IF(OR($B38="",基础资料!$B$4=""),"",SUMIFS(周转筐出入库明细!$H$4:$H$2004,周转筐出入库明细!$C$4:$C$2004,$B38,周转筐出入库明细!$D$4:$D$2004,基础资料!$B$4,周转筐出入库明细!$F$4:$F$2004,"采购入库",周转筐出入库明细!$B$4:$B$2004,"&gt;="&amp;$P$1,周转筐出入库明细!$B$4:$B$2004,"&lt;="&amp;$P$2))</f>
        <v/>
      </c>
      <c r="D38" s="25" t="str">
        <f>IF(OR($B38="",基础资料!$B$5=""),"",SUMIFS(周转筐出入库明细!$H$4:$H$2004,周转筐出入库明细!$C$4:$C$2004,$B38,周转筐出入库明细!$D$4:$D$2004,基础资料!$B$5,周转筐出入库明细!$F$4:$F$2004,"采购入库",周转筐出入库明细!$B$4:$B$2004,"&gt;="&amp;$P$1,周转筐出入库明细!$B$4:$B$2004,"&lt;="&amp;$P$2))</f>
        <v/>
      </c>
      <c r="E38" s="25" t="str">
        <f>IF(OR($B38="",基础资料!$B$6=""),"",SUMIFS(周转筐出入库明细!$H$4:$H$2004,周转筐出入库明细!$C$4:$C$2004,$B38,周转筐出入库明细!$D$4:$D$2004,基础资料!$B$6,周转筐出入库明细!$F$4:$F$2004,"采购入库",周转筐出入库明细!$B$4:$B$2004,"&gt;="&amp;$P$1,周转筐出入库明细!$B$4:$B$2004,"&lt;="&amp;$P$2))</f>
        <v/>
      </c>
      <c r="F38" s="25" t="str">
        <f>IF(OR($B38="",基础资料!$B$7=""),"",SUMIFS(周转筐出入库明细!$H$4:$H$2004,周转筐出入库明细!$C$4:$C$2004,$B38,周转筐出入库明细!$D$4:$D$2004,基础资料!$B$7,周转筐出入库明细!$F$4:$F$2004,"采购入库",周转筐出入库明细!$B$4:$B$2004,"&gt;="&amp;$P$1,周转筐出入库明细!$B$4:$B$2004,"&lt;="&amp;$P$2))</f>
        <v/>
      </c>
      <c r="G38" s="25" t="str">
        <f>IF(OR($B38="",基础资料!$B$8=""),"",SUMIFS(周转筐出入库明细!$H$4:$H$2004,周转筐出入库明细!$C$4:$C$2004,$B38,周转筐出入库明细!$D$4:$D$2004,基础资料!$B$8,周转筐出入库明细!$F$4:$F$2004,"采购入库",周转筐出入库明细!$B$4:$B$2004,"&gt;="&amp;$P$1,周转筐出入库明细!$B$4:$B$2004,"&lt;="&amp;$P$2))</f>
        <v/>
      </c>
      <c r="H38" s="25" t="str">
        <f>IF($B38="","",SUMIFS(周转筐出入库明细!$H$4:$H$2004,周转筐出入库明细!$C$4:$C$2004,$B38,周转筐出入库明细!$F$4:$F$2004,"采购入库",周转筐出入库明细!$B$4:$B$2004,"&gt;="&amp;$P$1,周转筐出入库明细!$B$4:$B$2004,"&lt;="&amp;$P$2)-SUM($C38:$G38))</f>
        <v/>
      </c>
      <c r="I38" s="25" t="str">
        <f t="shared" si="1"/>
        <v/>
      </c>
      <c r="J38" s="26" t="str">
        <f>IF($B38="","",ROUND(SUMIFS(周转筐出入库明细!$P$4:$P$2004,周转筐出入库明细!$C$4:$C$2004,$B38,周转筐出入库明细!$F$4:$F$2004,"采购入库",周转筐出入库明细!$B$4:$B$2004,"&gt;="&amp;$P$1,周转筐出入库明细!$B$4:$B$2004,"&lt;="&amp;$P$2),2))</f>
        <v/>
      </c>
      <c r="K38" s="26" t="str">
        <f>IF($B38="","",ROUND(SUMIFS(周转筐出入库明细!$P$4:$P$2004,周转筐出入库明细!$C$4:$C$2004,$B38,周转筐出入库明细!$F$4:$F$2004,"采购入库",周转筐出入库明细!$Q$4:$Q$2004,"已付款",周转筐出入库明细!$B$4:$B$2004,"&gt;="&amp;$P$1,周转筐出入库明细!$B$4:$B$2004,"&lt;="&amp;$P$2),2))</f>
        <v/>
      </c>
      <c r="L38" s="26" t="str">
        <f t="shared" si="2"/>
        <v/>
      </c>
    </row>
    <row r="39" spans="1:12">
      <c r="A39" s="22" t="str">
        <f t="shared" si="0"/>
        <v/>
      </c>
      <c r="B39" s="37" t="str">
        <f>IFERROR(INDEX(_自动清单!$CW$4:$CW$203,ROW()-3),"")</f>
        <v/>
      </c>
      <c r="C39" s="25" t="str">
        <f>IF(OR($B39="",基础资料!$B$4=""),"",SUMIFS(周转筐出入库明细!$H$4:$H$2004,周转筐出入库明细!$C$4:$C$2004,$B39,周转筐出入库明细!$D$4:$D$2004,基础资料!$B$4,周转筐出入库明细!$F$4:$F$2004,"采购入库",周转筐出入库明细!$B$4:$B$2004,"&gt;="&amp;$P$1,周转筐出入库明细!$B$4:$B$2004,"&lt;="&amp;$P$2))</f>
        <v/>
      </c>
      <c r="D39" s="25" t="str">
        <f>IF(OR($B39="",基础资料!$B$5=""),"",SUMIFS(周转筐出入库明细!$H$4:$H$2004,周转筐出入库明细!$C$4:$C$2004,$B39,周转筐出入库明细!$D$4:$D$2004,基础资料!$B$5,周转筐出入库明细!$F$4:$F$2004,"采购入库",周转筐出入库明细!$B$4:$B$2004,"&gt;="&amp;$P$1,周转筐出入库明细!$B$4:$B$2004,"&lt;="&amp;$P$2))</f>
        <v/>
      </c>
      <c r="E39" s="25" t="str">
        <f>IF(OR($B39="",基础资料!$B$6=""),"",SUMIFS(周转筐出入库明细!$H$4:$H$2004,周转筐出入库明细!$C$4:$C$2004,$B39,周转筐出入库明细!$D$4:$D$2004,基础资料!$B$6,周转筐出入库明细!$F$4:$F$2004,"采购入库",周转筐出入库明细!$B$4:$B$2004,"&gt;="&amp;$P$1,周转筐出入库明细!$B$4:$B$2004,"&lt;="&amp;$P$2))</f>
        <v/>
      </c>
      <c r="F39" s="25" t="str">
        <f>IF(OR($B39="",基础资料!$B$7=""),"",SUMIFS(周转筐出入库明细!$H$4:$H$2004,周转筐出入库明细!$C$4:$C$2004,$B39,周转筐出入库明细!$D$4:$D$2004,基础资料!$B$7,周转筐出入库明细!$F$4:$F$2004,"采购入库",周转筐出入库明细!$B$4:$B$2004,"&gt;="&amp;$P$1,周转筐出入库明细!$B$4:$B$2004,"&lt;="&amp;$P$2))</f>
        <v/>
      </c>
      <c r="G39" s="25" t="str">
        <f>IF(OR($B39="",基础资料!$B$8=""),"",SUMIFS(周转筐出入库明细!$H$4:$H$2004,周转筐出入库明细!$C$4:$C$2004,$B39,周转筐出入库明细!$D$4:$D$2004,基础资料!$B$8,周转筐出入库明细!$F$4:$F$2004,"采购入库",周转筐出入库明细!$B$4:$B$2004,"&gt;="&amp;$P$1,周转筐出入库明细!$B$4:$B$2004,"&lt;="&amp;$P$2))</f>
        <v/>
      </c>
      <c r="H39" s="25" t="str">
        <f>IF($B39="","",SUMIFS(周转筐出入库明细!$H$4:$H$2004,周转筐出入库明细!$C$4:$C$2004,$B39,周转筐出入库明细!$F$4:$F$2004,"采购入库",周转筐出入库明细!$B$4:$B$2004,"&gt;="&amp;$P$1,周转筐出入库明细!$B$4:$B$2004,"&lt;="&amp;$P$2)-SUM($C39:$G39))</f>
        <v/>
      </c>
      <c r="I39" s="25" t="str">
        <f t="shared" si="1"/>
        <v/>
      </c>
      <c r="J39" s="26" t="str">
        <f>IF($B39="","",ROUND(SUMIFS(周转筐出入库明细!$P$4:$P$2004,周转筐出入库明细!$C$4:$C$2004,$B39,周转筐出入库明细!$F$4:$F$2004,"采购入库",周转筐出入库明细!$B$4:$B$2004,"&gt;="&amp;$P$1,周转筐出入库明细!$B$4:$B$2004,"&lt;="&amp;$P$2),2))</f>
        <v/>
      </c>
      <c r="K39" s="26" t="str">
        <f>IF($B39="","",ROUND(SUMIFS(周转筐出入库明细!$P$4:$P$2004,周转筐出入库明细!$C$4:$C$2004,$B39,周转筐出入库明细!$F$4:$F$2004,"采购入库",周转筐出入库明细!$Q$4:$Q$2004,"已付款",周转筐出入库明细!$B$4:$B$2004,"&gt;="&amp;$P$1,周转筐出入库明细!$B$4:$B$2004,"&lt;="&amp;$P$2),2))</f>
        <v/>
      </c>
      <c r="L39" s="26" t="str">
        <f t="shared" si="2"/>
        <v/>
      </c>
    </row>
    <row r="40" spans="1:12">
      <c r="A40" s="22" t="str">
        <f t="shared" si="0"/>
        <v/>
      </c>
      <c r="B40" s="37" t="str">
        <f>IFERROR(INDEX(_自动清单!$CW$4:$CW$203,ROW()-3),"")</f>
        <v/>
      </c>
      <c r="C40" s="25" t="str">
        <f>IF(OR($B40="",基础资料!$B$4=""),"",SUMIFS(周转筐出入库明细!$H$4:$H$2004,周转筐出入库明细!$C$4:$C$2004,$B40,周转筐出入库明细!$D$4:$D$2004,基础资料!$B$4,周转筐出入库明细!$F$4:$F$2004,"采购入库",周转筐出入库明细!$B$4:$B$2004,"&gt;="&amp;$P$1,周转筐出入库明细!$B$4:$B$2004,"&lt;="&amp;$P$2))</f>
        <v/>
      </c>
      <c r="D40" s="25" t="str">
        <f>IF(OR($B40="",基础资料!$B$5=""),"",SUMIFS(周转筐出入库明细!$H$4:$H$2004,周转筐出入库明细!$C$4:$C$2004,$B40,周转筐出入库明细!$D$4:$D$2004,基础资料!$B$5,周转筐出入库明细!$F$4:$F$2004,"采购入库",周转筐出入库明细!$B$4:$B$2004,"&gt;="&amp;$P$1,周转筐出入库明细!$B$4:$B$2004,"&lt;="&amp;$P$2))</f>
        <v/>
      </c>
      <c r="E40" s="25" t="str">
        <f>IF(OR($B40="",基础资料!$B$6=""),"",SUMIFS(周转筐出入库明细!$H$4:$H$2004,周转筐出入库明细!$C$4:$C$2004,$B40,周转筐出入库明细!$D$4:$D$2004,基础资料!$B$6,周转筐出入库明细!$F$4:$F$2004,"采购入库",周转筐出入库明细!$B$4:$B$2004,"&gt;="&amp;$P$1,周转筐出入库明细!$B$4:$B$2004,"&lt;="&amp;$P$2))</f>
        <v/>
      </c>
      <c r="F40" s="25" t="str">
        <f>IF(OR($B40="",基础资料!$B$7=""),"",SUMIFS(周转筐出入库明细!$H$4:$H$2004,周转筐出入库明细!$C$4:$C$2004,$B40,周转筐出入库明细!$D$4:$D$2004,基础资料!$B$7,周转筐出入库明细!$F$4:$F$2004,"采购入库",周转筐出入库明细!$B$4:$B$2004,"&gt;="&amp;$P$1,周转筐出入库明细!$B$4:$B$2004,"&lt;="&amp;$P$2))</f>
        <v/>
      </c>
      <c r="G40" s="25" t="str">
        <f>IF(OR($B40="",基础资料!$B$8=""),"",SUMIFS(周转筐出入库明细!$H$4:$H$2004,周转筐出入库明细!$C$4:$C$2004,$B40,周转筐出入库明细!$D$4:$D$2004,基础资料!$B$8,周转筐出入库明细!$F$4:$F$2004,"采购入库",周转筐出入库明细!$B$4:$B$2004,"&gt;="&amp;$P$1,周转筐出入库明细!$B$4:$B$2004,"&lt;="&amp;$P$2))</f>
        <v/>
      </c>
      <c r="H40" s="25" t="str">
        <f>IF($B40="","",SUMIFS(周转筐出入库明细!$H$4:$H$2004,周转筐出入库明细!$C$4:$C$2004,$B40,周转筐出入库明细!$F$4:$F$2004,"采购入库",周转筐出入库明细!$B$4:$B$2004,"&gt;="&amp;$P$1,周转筐出入库明细!$B$4:$B$2004,"&lt;="&amp;$P$2)-SUM($C40:$G40))</f>
        <v/>
      </c>
      <c r="I40" s="25" t="str">
        <f t="shared" si="1"/>
        <v/>
      </c>
      <c r="J40" s="26" t="str">
        <f>IF($B40="","",ROUND(SUMIFS(周转筐出入库明细!$P$4:$P$2004,周转筐出入库明细!$C$4:$C$2004,$B40,周转筐出入库明细!$F$4:$F$2004,"采购入库",周转筐出入库明细!$B$4:$B$2004,"&gt;="&amp;$P$1,周转筐出入库明细!$B$4:$B$2004,"&lt;="&amp;$P$2),2))</f>
        <v/>
      </c>
      <c r="K40" s="26" t="str">
        <f>IF($B40="","",ROUND(SUMIFS(周转筐出入库明细!$P$4:$P$2004,周转筐出入库明细!$C$4:$C$2004,$B40,周转筐出入库明细!$F$4:$F$2004,"采购入库",周转筐出入库明细!$Q$4:$Q$2004,"已付款",周转筐出入库明细!$B$4:$B$2004,"&gt;="&amp;$P$1,周转筐出入库明细!$B$4:$B$2004,"&lt;="&amp;$P$2),2))</f>
        <v/>
      </c>
      <c r="L40" s="26" t="str">
        <f t="shared" si="2"/>
        <v/>
      </c>
    </row>
    <row r="41" spans="1:12">
      <c r="A41" s="22" t="str">
        <f t="shared" si="0"/>
        <v/>
      </c>
      <c r="B41" s="37" t="str">
        <f>IFERROR(INDEX(_自动清单!$CW$4:$CW$203,ROW()-3),"")</f>
        <v/>
      </c>
      <c r="C41" s="25" t="str">
        <f>IF(OR($B41="",基础资料!$B$4=""),"",SUMIFS(周转筐出入库明细!$H$4:$H$2004,周转筐出入库明细!$C$4:$C$2004,$B41,周转筐出入库明细!$D$4:$D$2004,基础资料!$B$4,周转筐出入库明细!$F$4:$F$2004,"采购入库",周转筐出入库明细!$B$4:$B$2004,"&gt;="&amp;$P$1,周转筐出入库明细!$B$4:$B$2004,"&lt;="&amp;$P$2))</f>
        <v/>
      </c>
      <c r="D41" s="25" t="str">
        <f>IF(OR($B41="",基础资料!$B$5=""),"",SUMIFS(周转筐出入库明细!$H$4:$H$2004,周转筐出入库明细!$C$4:$C$2004,$B41,周转筐出入库明细!$D$4:$D$2004,基础资料!$B$5,周转筐出入库明细!$F$4:$F$2004,"采购入库",周转筐出入库明细!$B$4:$B$2004,"&gt;="&amp;$P$1,周转筐出入库明细!$B$4:$B$2004,"&lt;="&amp;$P$2))</f>
        <v/>
      </c>
      <c r="E41" s="25" t="str">
        <f>IF(OR($B41="",基础资料!$B$6=""),"",SUMIFS(周转筐出入库明细!$H$4:$H$2004,周转筐出入库明细!$C$4:$C$2004,$B41,周转筐出入库明细!$D$4:$D$2004,基础资料!$B$6,周转筐出入库明细!$F$4:$F$2004,"采购入库",周转筐出入库明细!$B$4:$B$2004,"&gt;="&amp;$P$1,周转筐出入库明细!$B$4:$B$2004,"&lt;="&amp;$P$2))</f>
        <v/>
      </c>
      <c r="F41" s="25" t="str">
        <f>IF(OR($B41="",基础资料!$B$7=""),"",SUMIFS(周转筐出入库明细!$H$4:$H$2004,周转筐出入库明细!$C$4:$C$2004,$B41,周转筐出入库明细!$D$4:$D$2004,基础资料!$B$7,周转筐出入库明细!$F$4:$F$2004,"采购入库",周转筐出入库明细!$B$4:$B$2004,"&gt;="&amp;$P$1,周转筐出入库明细!$B$4:$B$2004,"&lt;="&amp;$P$2))</f>
        <v/>
      </c>
      <c r="G41" s="25" t="str">
        <f>IF(OR($B41="",基础资料!$B$8=""),"",SUMIFS(周转筐出入库明细!$H$4:$H$2004,周转筐出入库明细!$C$4:$C$2004,$B41,周转筐出入库明细!$D$4:$D$2004,基础资料!$B$8,周转筐出入库明细!$F$4:$F$2004,"采购入库",周转筐出入库明细!$B$4:$B$2004,"&gt;="&amp;$P$1,周转筐出入库明细!$B$4:$B$2004,"&lt;="&amp;$P$2))</f>
        <v/>
      </c>
      <c r="H41" s="25" t="str">
        <f>IF($B41="","",SUMIFS(周转筐出入库明细!$H$4:$H$2004,周转筐出入库明细!$C$4:$C$2004,$B41,周转筐出入库明细!$F$4:$F$2004,"采购入库",周转筐出入库明细!$B$4:$B$2004,"&gt;="&amp;$P$1,周转筐出入库明细!$B$4:$B$2004,"&lt;="&amp;$P$2)-SUM($C41:$G41))</f>
        <v/>
      </c>
      <c r="I41" s="25" t="str">
        <f t="shared" si="1"/>
        <v/>
      </c>
      <c r="J41" s="26" t="str">
        <f>IF($B41="","",ROUND(SUMIFS(周转筐出入库明细!$P$4:$P$2004,周转筐出入库明细!$C$4:$C$2004,$B41,周转筐出入库明细!$F$4:$F$2004,"采购入库",周转筐出入库明细!$B$4:$B$2004,"&gt;="&amp;$P$1,周转筐出入库明细!$B$4:$B$2004,"&lt;="&amp;$P$2),2))</f>
        <v/>
      </c>
      <c r="K41" s="26" t="str">
        <f>IF($B41="","",ROUND(SUMIFS(周转筐出入库明细!$P$4:$P$2004,周转筐出入库明细!$C$4:$C$2004,$B41,周转筐出入库明细!$F$4:$F$2004,"采购入库",周转筐出入库明细!$Q$4:$Q$2004,"已付款",周转筐出入库明细!$B$4:$B$2004,"&gt;="&amp;$P$1,周转筐出入库明细!$B$4:$B$2004,"&lt;="&amp;$P$2),2))</f>
        <v/>
      </c>
      <c r="L41" s="26" t="str">
        <f t="shared" si="2"/>
        <v/>
      </c>
    </row>
    <row r="42" spans="1:12">
      <c r="A42" s="22" t="str">
        <f t="shared" si="0"/>
        <v/>
      </c>
      <c r="B42" s="37" t="str">
        <f>IFERROR(INDEX(_自动清单!$CW$4:$CW$203,ROW()-3),"")</f>
        <v/>
      </c>
      <c r="C42" s="25" t="str">
        <f>IF(OR($B42="",基础资料!$B$4=""),"",SUMIFS(周转筐出入库明细!$H$4:$H$2004,周转筐出入库明细!$C$4:$C$2004,$B42,周转筐出入库明细!$D$4:$D$2004,基础资料!$B$4,周转筐出入库明细!$F$4:$F$2004,"采购入库",周转筐出入库明细!$B$4:$B$2004,"&gt;="&amp;$P$1,周转筐出入库明细!$B$4:$B$2004,"&lt;="&amp;$P$2))</f>
        <v/>
      </c>
      <c r="D42" s="25" t="str">
        <f>IF(OR($B42="",基础资料!$B$5=""),"",SUMIFS(周转筐出入库明细!$H$4:$H$2004,周转筐出入库明细!$C$4:$C$2004,$B42,周转筐出入库明细!$D$4:$D$2004,基础资料!$B$5,周转筐出入库明细!$F$4:$F$2004,"采购入库",周转筐出入库明细!$B$4:$B$2004,"&gt;="&amp;$P$1,周转筐出入库明细!$B$4:$B$2004,"&lt;="&amp;$P$2))</f>
        <v/>
      </c>
      <c r="E42" s="25" t="str">
        <f>IF(OR($B42="",基础资料!$B$6=""),"",SUMIFS(周转筐出入库明细!$H$4:$H$2004,周转筐出入库明细!$C$4:$C$2004,$B42,周转筐出入库明细!$D$4:$D$2004,基础资料!$B$6,周转筐出入库明细!$F$4:$F$2004,"采购入库",周转筐出入库明细!$B$4:$B$2004,"&gt;="&amp;$P$1,周转筐出入库明细!$B$4:$B$2004,"&lt;="&amp;$P$2))</f>
        <v/>
      </c>
      <c r="F42" s="25" t="str">
        <f>IF(OR($B42="",基础资料!$B$7=""),"",SUMIFS(周转筐出入库明细!$H$4:$H$2004,周转筐出入库明细!$C$4:$C$2004,$B42,周转筐出入库明细!$D$4:$D$2004,基础资料!$B$7,周转筐出入库明细!$F$4:$F$2004,"采购入库",周转筐出入库明细!$B$4:$B$2004,"&gt;="&amp;$P$1,周转筐出入库明细!$B$4:$B$2004,"&lt;="&amp;$P$2))</f>
        <v/>
      </c>
      <c r="G42" s="25" t="str">
        <f>IF(OR($B42="",基础资料!$B$8=""),"",SUMIFS(周转筐出入库明细!$H$4:$H$2004,周转筐出入库明细!$C$4:$C$2004,$B42,周转筐出入库明细!$D$4:$D$2004,基础资料!$B$8,周转筐出入库明细!$F$4:$F$2004,"采购入库",周转筐出入库明细!$B$4:$B$2004,"&gt;="&amp;$P$1,周转筐出入库明细!$B$4:$B$2004,"&lt;="&amp;$P$2))</f>
        <v/>
      </c>
      <c r="H42" s="25" t="str">
        <f>IF($B42="","",SUMIFS(周转筐出入库明细!$H$4:$H$2004,周转筐出入库明细!$C$4:$C$2004,$B42,周转筐出入库明细!$F$4:$F$2004,"采购入库",周转筐出入库明细!$B$4:$B$2004,"&gt;="&amp;$P$1,周转筐出入库明细!$B$4:$B$2004,"&lt;="&amp;$P$2)-SUM($C42:$G42))</f>
        <v/>
      </c>
      <c r="I42" s="25" t="str">
        <f t="shared" si="1"/>
        <v/>
      </c>
      <c r="J42" s="26" t="str">
        <f>IF($B42="","",ROUND(SUMIFS(周转筐出入库明细!$P$4:$P$2004,周转筐出入库明细!$C$4:$C$2004,$B42,周转筐出入库明细!$F$4:$F$2004,"采购入库",周转筐出入库明细!$B$4:$B$2004,"&gt;="&amp;$P$1,周转筐出入库明细!$B$4:$B$2004,"&lt;="&amp;$P$2),2))</f>
        <v/>
      </c>
      <c r="K42" s="26" t="str">
        <f>IF($B42="","",ROUND(SUMIFS(周转筐出入库明细!$P$4:$P$2004,周转筐出入库明细!$C$4:$C$2004,$B42,周转筐出入库明细!$F$4:$F$2004,"采购入库",周转筐出入库明细!$Q$4:$Q$2004,"已付款",周转筐出入库明细!$B$4:$B$2004,"&gt;="&amp;$P$1,周转筐出入库明细!$B$4:$B$2004,"&lt;="&amp;$P$2),2))</f>
        <v/>
      </c>
      <c r="L42" s="26" t="str">
        <f t="shared" si="2"/>
        <v/>
      </c>
    </row>
    <row r="43" spans="1:12">
      <c r="A43" s="22" t="str">
        <f t="shared" si="0"/>
        <v/>
      </c>
      <c r="B43" s="37" t="str">
        <f>IFERROR(INDEX(_自动清单!$CW$4:$CW$203,ROW()-3),"")</f>
        <v/>
      </c>
      <c r="C43" s="25" t="str">
        <f>IF(OR($B43="",基础资料!$B$4=""),"",SUMIFS(周转筐出入库明细!$H$4:$H$2004,周转筐出入库明细!$C$4:$C$2004,$B43,周转筐出入库明细!$D$4:$D$2004,基础资料!$B$4,周转筐出入库明细!$F$4:$F$2004,"采购入库",周转筐出入库明细!$B$4:$B$2004,"&gt;="&amp;$P$1,周转筐出入库明细!$B$4:$B$2004,"&lt;="&amp;$P$2))</f>
        <v/>
      </c>
      <c r="D43" s="25" t="str">
        <f>IF(OR($B43="",基础资料!$B$5=""),"",SUMIFS(周转筐出入库明细!$H$4:$H$2004,周转筐出入库明细!$C$4:$C$2004,$B43,周转筐出入库明细!$D$4:$D$2004,基础资料!$B$5,周转筐出入库明细!$F$4:$F$2004,"采购入库",周转筐出入库明细!$B$4:$B$2004,"&gt;="&amp;$P$1,周转筐出入库明细!$B$4:$B$2004,"&lt;="&amp;$P$2))</f>
        <v/>
      </c>
      <c r="E43" s="25" t="str">
        <f>IF(OR($B43="",基础资料!$B$6=""),"",SUMIFS(周转筐出入库明细!$H$4:$H$2004,周转筐出入库明细!$C$4:$C$2004,$B43,周转筐出入库明细!$D$4:$D$2004,基础资料!$B$6,周转筐出入库明细!$F$4:$F$2004,"采购入库",周转筐出入库明细!$B$4:$B$2004,"&gt;="&amp;$P$1,周转筐出入库明细!$B$4:$B$2004,"&lt;="&amp;$P$2))</f>
        <v/>
      </c>
      <c r="F43" s="25" t="str">
        <f>IF(OR($B43="",基础资料!$B$7=""),"",SUMIFS(周转筐出入库明细!$H$4:$H$2004,周转筐出入库明细!$C$4:$C$2004,$B43,周转筐出入库明细!$D$4:$D$2004,基础资料!$B$7,周转筐出入库明细!$F$4:$F$2004,"采购入库",周转筐出入库明细!$B$4:$B$2004,"&gt;="&amp;$P$1,周转筐出入库明细!$B$4:$B$2004,"&lt;="&amp;$P$2))</f>
        <v/>
      </c>
      <c r="G43" s="25" t="str">
        <f>IF(OR($B43="",基础资料!$B$8=""),"",SUMIFS(周转筐出入库明细!$H$4:$H$2004,周转筐出入库明细!$C$4:$C$2004,$B43,周转筐出入库明细!$D$4:$D$2004,基础资料!$B$8,周转筐出入库明细!$F$4:$F$2004,"采购入库",周转筐出入库明细!$B$4:$B$2004,"&gt;="&amp;$P$1,周转筐出入库明细!$B$4:$B$2004,"&lt;="&amp;$P$2))</f>
        <v/>
      </c>
      <c r="H43" s="25" t="str">
        <f>IF($B43="","",SUMIFS(周转筐出入库明细!$H$4:$H$2004,周转筐出入库明细!$C$4:$C$2004,$B43,周转筐出入库明细!$F$4:$F$2004,"采购入库",周转筐出入库明细!$B$4:$B$2004,"&gt;="&amp;$P$1,周转筐出入库明细!$B$4:$B$2004,"&lt;="&amp;$P$2)-SUM($C43:$G43))</f>
        <v/>
      </c>
      <c r="I43" s="25" t="str">
        <f t="shared" si="1"/>
        <v/>
      </c>
      <c r="J43" s="26" t="str">
        <f>IF($B43="","",ROUND(SUMIFS(周转筐出入库明细!$P$4:$P$2004,周转筐出入库明细!$C$4:$C$2004,$B43,周转筐出入库明细!$F$4:$F$2004,"采购入库",周转筐出入库明细!$B$4:$B$2004,"&gt;="&amp;$P$1,周转筐出入库明细!$B$4:$B$2004,"&lt;="&amp;$P$2),2))</f>
        <v/>
      </c>
      <c r="K43" s="26" t="str">
        <f>IF($B43="","",ROUND(SUMIFS(周转筐出入库明细!$P$4:$P$2004,周转筐出入库明细!$C$4:$C$2004,$B43,周转筐出入库明细!$F$4:$F$2004,"采购入库",周转筐出入库明细!$Q$4:$Q$2004,"已付款",周转筐出入库明细!$B$4:$B$2004,"&gt;="&amp;$P$1,周转筐出入库明细!$B$4:$B$2004,"&lt;="&amp;$P$2),2))</f>
        <v/>
      </c>
      <c r="L43" s="26" t="str">
        <f t="shared" si="2"/>
        <v/>
      </c>
    </row>
    <row r="44" spans="1:12">
      <c r="A44" s="22" t="str">
        <f t="shared" si="0"/>
        <v/>
      </c>
      <c r="B44" s="37" t="str">
        <f>IFERROR(INDEX(_自动清单!$CW$4:$CW$203,ROW()-3),"")</f>
        <v/>
      </c>
      <c r="C44" s="25" t="str">
        <f>IF(OR($B44="",基础资料!$B$4=""),"",SUMIFS(周转筐出入库明细!$H$4:$H$2004,周转筐出入库明细!$C$4:$C$2004,$B44,周转筐出入库明细!$D$4:$D$2004,基础资料!$B$4,周转筐出入库明细!$F$4:$F$2004,"采购入库",周转筐出入库明细!$B$4:$B$2004,"&gt;="&amp;$P$1,周转筐出入库明细!$B$4:$B$2004,"&lt;="&amp;$P$2))</f>
        <v/>
      </c>
      <c r="D44" s="25" t="str">
        <f>IF(OR($B44="",基础资料!$B$5=""),"",SUMIFS(周转筐出入库明细!$H$4:$H$2004,周转筐出入库明细!$C$4:$C$2004,$B44,周转筐出入库明细!$D$4:$D$2004,基础资料!$B$5,周转筐出入库明细!$F$4:$F$2004,"采购入库",周转筐出入库明细!$B$4:$B$2004,"&gt;="&amp;$P$1,周转筐出入库明细!$B$4:$B$2004,"&lt;="&amp;$P$2))</f>
        <v/>
      </c>
      <c r="E44" s="25" t="str">
        <f>IF(OR($B44="",基础资料!$B$6=""),"",SUMIFS(周转筐出入库明细!$H$4:$H$2004,周转筐出入库明细!$C$4:$C$2004,$B44,周转筐出入库明细!$D$4:$D$2004,基础资料!$B$6,周转筐出入库明细!$F$4:$F$2004,"采购入库",周转筐出入库明细!$B$4:$B$2004,"&gt;="&amp;$P$1,周转筐出入库明细!$B$4:$B$2004,"&lt;="&amp;$P$2))</f>
        <v/>
      </c>
      <c r="F44" s="25" t="str">
        <f>IF(OR($B44="",基础资料!$B$7=""),"",SUMIFS(周转筐出入库明细!$H$4:$H$2004,周转筐出入库明细!$C$4:$C$2004,$B44,周转筐出入库明细!$D$4:$D$2004,基础资料!$B$7,周转筐出入库明细!$F$4:$F$2004,"采购入库",周转筐出入库明细!$B$4:$B$2004,"&gt;="&amp;$P$1,周转筐出入库明细!$B$4:$B$2004,"&lt;="&amp;$P$2))</f>
        <v/>
      </c>
      <c r="G44" s="25" t="str">
        <f>IF(OR($B44="",基础资料!$B$8=""),"",SUMIFS(周转筐出入库明细!$H$4:$H$2004,周转筐出入库明细!$C$4:$C$2004,$B44,周转筐出入库明细!$D$4:$D$2004,基础资料!$B$8,周转筐出入库明细!$F$4:$F$2004,"采购入库",周转筐出入库明细!$B$4:$B$2004,"&gt;="&amp;$P$1,周转筐出入库明细!$B$4:$B$2004,"&lt;="&amp;$P$2))</f>
        <v/>
      </c>
      <c r="H44" s="25" t="str">
        <f>IF($B44="","",SUMIFS(周转筐出入库明细!$H$4:$H$2004,周转筐出入库明细!$C$4:$C$2004,$B44,周转筐出入库明细!$F$4:$F$2004,"采购入库",周转筐出入库明细!$B$4:$B$2004,"&gt;="&amp;$P$1,周转筐出入库明细!$B$4:$B$2004,"&lt;="&amp;$P$2)-SUM($C44:$G44))</f>
        <v/>
      </c>
      <c r="I44" s="25" t="str">
        <f t="shared" si="1"/>
        <v/>
      </c>
      <c r="J44" s="26" t="str">
        <f>IF($B44="","",ROUND(SUMIFS(周转筐出入库明细!$P$4:$P$2004,周转筐出入库明细!$C$4:$C$2004,$B44,周转筐出入库明细!$F$4:$F$2004,"采购入库",周转筐出入库明细!$B$4:$B$2004,"&gt;="&amp;$P$1,周转筐出入库明细!$B$4:$B$2004,"&lt;="&amp;$P$2),2))</f>
        <v/>
      </c>
      <c r="K44" s="26" t="str">
        <f>IF($B44="","",ROUND(SUMIFS(周转筐出入库明细!$P$4:$P$2004,周转筐出入库明细!$C$4:$C$2004,$B44,周转筐出入库明细!$F$4:$F$2004,"采购入库",周转筐出入库明细!$Q$4:$Q$2004,"已付款",周转筐出入库明细!$B$4:$B$2004,"&gt;="&amp;$P$1,周转筐出入库明细!$B$4:$B$2004,"&lt;="&amp;$P$2),2))</f>
        <v/>
      </c>
      <c r="L44" s="26" t="str">
        <f t="shared" si="2"/>
        <v/>
      </c>
    </row>
    <row r="45" spans="1:12">
      <c r="A45" s="22" t="str">
        <f t="shared" si="0"/>
        <v/>
      </c>
      <c r="B45" s="37" t="str">
        <f>IFERROR(INDEX(_自动清单!$CW$4:$CW$203,ROW()-3),"")</f>
        <v/>
      </c>
      <c r="C45" s="25" t="str">
        <f>IF(OR($B45="",基础资料!$B$4=""),"",SUMIFS(周转筐出入库明细!$H$4:$H$2004,周转筐出入库明细!$C$4:$C$2004,$B45,周转筐出入库明细!$D$4:$D$2004,基础资料!$B$4,周转筐出入库明细!$F$4:$F$2004,"采购入库",周转筐出入库明细!$B$4:$B$2004,"&gt;="&amp;$P$1,周转筐出入库明细!$B$4:$B$2004,"&lt;="&amp;$P$2))</f>
        <v/>
      </c>
      <c r="D45" s="25" t="str">
        <f>IF(OR($B45="",基础资料!$B$5=""),"",SUMIFS(周转筐出入库明细!$H$4:$H$2004,周转筐出入库明细!$C$4:$C$2004,$B45,周转筐出入库明细!$D$4:$D$2004,基础资料!$B$5,周转筐出入库明细!$F$4:$F$2004,"采购入库",周转筐出入库明细!$B$4:$B$2004,"&gt;="&amp;$P$1,周转筐出入库明细!$B$4:$B$2004,"&lt;="&amp;$P$2))</f>
        <v/>
      </c>
      <c r="E45" s="25" t="str">
        <f>IF(OR($B45="",基础资料!$B$6=""),"",SUMIFS(周转筐出入库明细!$H$4:$H$2004,周转筐出入库明细!$C$4:$C$2004,$B45,周转筐出入库明细!$D$4:$D$2004,基础资料!$B$6,周转筐出入库明细!$F$4:$F$2004,"采购入库",周转筐出入库明细!$B$4:$B$2004,"&gt;="&amp;$P$1,周转筐出入库明细!$B$4:$B$2004,"&lt;="&amp;$P$2))</f>
        <v/>
      </c>
      <c r="F45" s="25" t="str">
        <f>IF(OR($B45="",基础资料!$B$7=""),"",SUMIFS(周转筐出入库明细!$H$4:$H$2004,周转筐出入库明细!$C$4:$C$2004,$B45,周转筐出入库明细!$D$4:$D$2004,基础资料!$B$7,周转筐出入库明细!$F$4:$F$2004,"采购入库",周转筐出入库明细!$B$4:$B$2004,"&gt;="&amp;$P$1,周转筐出入库明细!$B$4:$B$2004,"&lt;="&amp;$P$2))</f>
        <v/>
      </c>
      <c r="G45" s="25" t="str">
        <f>IF(OR($B45="",基础资料!$B$8=""),"",SUMIFS(周转筐出入库明细!$H$4:$H$2004,周转筐出入库明细!$C$4:$C$2004,$B45,周转筐出入库明细!$D$4:$D$2004,基础资料!$B$8,周转筐出入库明细!$F$4:$F$2004,"采购入库",周转筐出入库明细!$B$4:$B$2004,"&gt;="&amp;$P$1,周转筐出入库明细!$B$4:$B$2004,"&lt;="&amp;$P$2))</f>
        <v/>
      </c>
      <c r="H45" s="25" t="str">
        <f>IF($B45="","",SUMIFS(周转筐出入库明细!$H$4:$H$2004,周转筐出入库明细!$C$4:$C$2004,$B45,周转筐出入库明细!$F$4:$F$2004,"采购入库",周转筐出入库明细!$B$4:$B$2004,"&gt;="&amp;$P$1,周转筐出入库明细!$B$4:$B$2004,"&lt;="&amp;$P$2)-SUM($C45:$G45))</f>
        <v/>
      </c>
      <c r="I45" s="25" t="str">
        <f t="shared" si="1"/>
        <v/>
      </c>
      <c r="J45" s="26" t="str">
        <f>IF($B45="","",ROUND(SUMIFS(周转筐出入库明细!$P$4:$P$2004,周转筐出入库明细!$C$4:$C$2004,$B45,周转筐出入库明细!$F$4:$F$2004,"采购入库",周转筐出入库明细!$B$4:$B$2004,"&gt;="&amp;$P$1,周转筐出入库明细!$B$4:$B$2004,"&lt;="&amp;$P$2),2))</f>
        <v/>
      </c>
      <c r="K45" s="26" t="str">
        <f>IF($B45="","",ROUND(SUMIFS(周转筐出入库明细!$P$4:$P$2004,周转筐出入库明细!$C$4:$C$2004,$B45,周转筐出入库明细!$F$4:$F$2004,"采购入库",周转筐出入库明细!$Q$4:$Q$2004,"已付款",周转筐出入库明细!$B$4:$B$2004,"&gt;="&amp;$P$1,周转筐出入库明细!$B$4:$B$2004,"&lt;="&amp;$P$2),2))</f>
        <v/>
      </c>
      <c r="L45" s="26" t="str">
        <f t="shared" si="2"/>
        <v/>
      </c>
    </row>
    <row r="46" spans="1:12">
      <c r="A46" s="22" t="str">
        <f t="shared" si="0"/>
        <v/>
      </c>
      <c r="B46" s="37" t="str">
        <f>IFERROR(INDEX(_自动清单!$CW$4:$CW$203,ROW()-3),"")</f>
        <v/>
      </c>
      <c r="C46" s="25" t="str">
        <f>IF(OR($B46="",基础资料!$B$4=""),"",SUMIFS(周转筐出入库明细!$H$4:$H$2004,周转筐出入库明细!$C$4:$C$2004,$B46,周转筐出入库明细!$D$4:$D$2004,基础资料!$B$4,周转筐出入库明细!$F$4:$F$2004,"采购入库",周转筐出入库明细!$B$4:$B$2004,"&gt;="&amp;$P$1,周转筐出入库明细!$B$4:$B$2004,"&lt;="&amp;$P$2))</f>
        <v/>
      </c>
      <c r="D46" s="25" t="str">
        <f>IF(OR($B46="",基础资料!$B$5=""),"",SUMIFS(周转筐出入库明细!$H$4:$H$2004,周转筐出入库明细!$C$4:$C$2004,$B46,周转筐出入库明细!$D$4:$D$2004,基础资料!$B$5,周转筐出入库明细!$F$4:$F$2004,"采购入库",周转筐出入库明细!$B$4:$B$2004,"&gt;="&amp;$P$1,周转筐出入库明细!$B$4:$B$2004,"&lt;="&amp;$P$2))</f>
        <v/>
      </c>
      <c r="E46" s="25" t="str">
        <f>IF(OR($B46="",基础资料!$B$6=""),"",SUMIFS(周转筐出入库明细!$H$4:$H$2004,周转筐出入库明细!$C$4:$C$2004,$B46,周转筐出入库明细!$D$4:$D$2004,基础资料!$B$6,周转筐出入库明细!$F$4:$F$2004,"采购入库",周转筐出入库明细!$B$4:$B$2004,"&gt;="&amp;$P$1,周转筐出入库明细!$B$4:$B$2004,"&lt;="&amp;$P$2))</f>
        <v/>
      </c>
      <c r="F46" s="25" t="str">
        <f>IF(OR($B46="",基础资料!$B$7=""),"",SUMIFS(周转筐出入库明细!$H$4:$H$2004,周转筐出入库明细!$C$4:$C$2004,$B46,周转筐出入库明细!$D$4:$D$2004,基础资料!$B$7,周转筐出入库明细!$F$4:$F$2004,"采购入库",周转筐出入库明细!$B$4:$B$2004,"&gt;="&amp;$P$1,周转筐出入库明细!$B$4:$B$2004,"&lt;="&amp;$P$2))</f>
        <v/>
      </c>
      <c r="G46" s="25" t="str">
        <f>IF(OR($B46="",基础资料!$B$8=""),"",SUMIFS(周转筐出入库明细!$H$4:$H$2004,周转筐出入库明细!$C$4:$C$2004,$B46,周转筐出入库明细!$D$4:$D$2004,基础资料!$B$8,周转筐出入库明细!$F$4:$F$2004,"采购入库",周转筐出入库明细!$B$4:$B$2004,"&gt;="&amp;$P$1,周转筐出入库明细!$B$4:$B$2004,"&lt;="&amp;$P$2))</f>
        <v/>
      </c>
      <c r="H46" s="25" t="str">
        <f>IF($B46="","",SUMIFS(周转筐出入库明细!$H$4:$H$2004,周转筐出入库明细!$C$4:$C$2004,$B46,周转筐出入库明细!$F$4:$F$2004,"采购入库",周转筐出入库明细!$B$4:$B$2004,"&gt;="&amp;$P$1,周转筐出入库明细!$B$4:$B$2004,"&lt;="&amp;$P$2)-SUM($C46:$G46))</f>
        <v/>
      </c>
      <c r="I46" s="25" t="str">
        <f t="shared" si="1"/>
        <v/>
      </c>
      <c r="J46" s="26" t="str">
        <f>IF($B46="","",ROUND(SUMIFS(周转筐出入库明细!$P$4:$P$2004,周转筐出入库明细!$C$4:$C$2004,$B46,周转筐出入库明细!$F$4:$F$2004,"采购入库",周转筐出入库明细!$B$4:$B$2004,"&gt;="&amp;$P$1,周转筐出入库明细!$B$4:$B$2004,"&lt;="&amp;$P$2),2))</f>
        <v/>
      </c>
      <c r="K46" s="26" t="str">
        <f>IF($B46="","",ROUND(SUMIFS(周转筐出入库明细!$P$4:$P$2004,周转筐出入库明细!$C$4:$C$2004,$B46,周转筐出入库明细!$F$4:$F$2004,"采购入库",周转筐出入库明细!$Q$4:$Q$2004,"已付款",周转筐出入库明细!$B$4:$B$2004,"&gt;="&amp;$P$1,周转筐出入库明细!$B$4:$B$2004,"&lt;="&amp;$P$2),2))</f>
        <v/>
      </c>
      <c r="L46" s="26" t="str">
        <f t="shared" si="2"/>
        <v/>
      </c>
    </row>
    <row r="47" spans="1:12">
      <c r="A47" s="22" t="str">
        <f t="shared" si="0"/>
        <v/>
      </c>
      <c r="B47" s="37" t="str">
        <f>IFERROR(INDEX(_自动清单!$CW$4:$CW$203,ROW()-3),"")</f>
        <v/>
      </c>
      <c r="C47" s="25" t="str">
        <f>IF(OR($B47="",基础资料!$B$4=""),"",SUMIFS(周转筐出入库明细!$H$4:$H$2004,周转筐出入库明细!$C$4:$C$2004,$B47,周转筐出入库明细!$D$4:$D$2004,基础资料!$B$4,周转筐出入库明细!$F$4:$F$2004,"采购入库",周转筐出入库明细!$B$4:$B$2004,"&gt;="&amp;$P$1,周转筐出入库明细!$B$4:$B$2004,"&lt;="&amp;$P$2))</f>
        <v/>
      </c>
      <c r="D47" s="25" t="str">
        <f>IF(OR($B47="",基础资料!$B$5=""),"",SUMIFS(周转筐出入库明细!$H$4:$H$2004,周转筐出入库明细!$C$4:$C$2004,$B47,周转筐出入库明细!$D$4:$D$2004,基础资料!$B$5,周转筐出入库明细!$F$4:$F$2004,"采购入库",周转筐出入库明细!$B$4:$B$2004,"&gt;="&amp;$P$1,周转筐出入库明细!$B$4:$B$2004,"&lt;="&amp;$P$2))</f>
        <v/>
      </c>
      <c r="E47" s="25" t="str">
        <f>IF(OR($B47="",基础资料!$B$6=""),"",SUMIFS(周转筐出入库明细!$H$4:$H$2004,周转筐出入库明细!$C$4:$C$2004,$B47,周转筐出入库明细!$D$4:$D$2004,基础资料!$B$6,周转筐出入库明细!$F$4:$F$2004,"采购入库",周转筐出入库明细!$B$4:$B$2004,"&gt;="&amp;$P$1,周转筐出入库明细!$B$4:$B$2004,"&lt;="&amp;$P$2))</f>
        <v/>
      </c>
      <c r="F47" s="25" t="str">
        <f>IF(OR($B47="",基础资料!$B$7=""),"",SUMIFS(周转筐出入库明细!$H$4:$H$2004,周转筐出入库明细!$C$4:$C$2004,$B47,周转筐出入库明细!$D$4:$D$2004,基础资料!$B$7,周转筐出入库明细!$F$4:$F$2004,"采购入库",周转筐出入库明细!$B$4:$B$2004,"&gt;="&amp;$P$1,周转筐出入库明细!$B$4:$B$2004,"&lt;="&amp;$P$2))</f>
        <v/>
      </c>
      <c r="G47" s="25" t="str">
        <f>IF(OR($B47="",基础资料!$B$8=""),"",SUMIFS(周转筐出入库明细!$H$4:$H$2004,周转筐出入库明细!$C$4:$C$2004,$B47,周转筐出入库明细!$D$4:$D$2004,基础资料!$B$8,周转筐出入库明细!$F$4:$F$2004,"采购入库",周转筐出入库明细!$B$4:$B$2004,"&gt;="&amp;$P$1,周转筐出入库明细!$B$4:$B$2004,"&lt;="&amp;$P$2))</f>
        <v/>
      </c>
      <c r="H47" s="25" t="str">
        <f>IF($B47="","",SUMIFS(周转筐出入库明细!$H$4:$H$2004,周转筐出入库明细!$C$4:$C$2004,$B47,周转筐出入库明细!$F$4:$F$2004,"采购入库",周转筐出入库明细!$B$4:$B$2004,"&gt;="&amp;$P$1,周转筐出入库明细!$B$4:$B$2004,"&lt;="&amp;$P$2)-SUM($C47:$G47))</f>
        <v/>
      </c>
      <c r="I47" s="25" t="str">
        <f t="shared" si="1"/>
        <v/>
      </c>
      <c r="J47" s="26" t="str">
        <f>IF($B47="","",ROUND(SUMIFS(周转筐出入库明细!$P$4:$P$2004,周转筐出入库明细!$C$4:$C$2004,$B47,周转筐出入库明细!$F$4:$F$2004,"采购入库",周转筐出入库明细!$B$4:$B$2004,"&gt;="&amp;$P$1,周转筐出入库明细!$B$4:$B$2004,"&lt;="&amp;$P$2),2))</f>
        <v/>
      </c>
      <c r="K47" s="26" t="str">
        <f>IF($B47="","",ROUND(SUMIFS(周转筐出入库明细!$P$4:$P$2004,周转筐出入库明细!$C$4:$C$2004,$B47,周转筐出入库明细!$F$4:$F$2004,"采购入库",周转筐出入库明细!$Q$4:$Q$2004,"已付款",周转筐出入库明细!$B$4:$B$2004,"&gt;="&amp;$P$1,周转筐出入库明细!$B$4:$B$2004,"&lt;="&amp;$P$2),2))</f>
        <v/>
      </c>
      <c r="L47" s="26" t="str">
        <f t="shared" si="2"/>
        <v/>
      </c>
    </row>
    <row r="48" spans="1:12">
      <c r="A48" s="22" t="str">
        <f t="shared" si="0"/>
        <v/>
      </c>
      <c r="B48" s="37" t="str">
        <f>IFERROR(INDEX(_自动清单!$CW$4:$CW$203,ROW()-3),"")</f>
        <v/>
      </c>
      <c r="C48" s="25" t="str">
        <f>IF(OR($B48="",基础资料!$B$4=""),"",SUMIFS(周转筐出入库明细!$H$4:$H$2004,周转筐出入库明细!$C$4:$C$2004,$B48,周转筐出入库明细!$D$4:$D$2004,基础资料!$B$4,周转筐出入库明细!$F$4:$F$2004,"采购入库",周转筐出入库明细!$B$4:$B$2004,"&gt;="&amp;$P$1,周转筐出入库明细!$B$4:$B$2004,"&lt;="&amp;$P$2))</f>
        <v/>
      </c>
      <c r="D48" s="25" t="str">
        <f>IF(OR($B48="",基础资料!$B$5=""),"",SUMIFS(周转筐出入库明细!$H$4:$H$2004,周转筐出入库明细!$C$4:$C$2004,$B48,周转筐出入库明细!$D$4:$D$2004,基础资料!$B$5,周转筐出入库明细!$F$4:$F$2004,"采购入库",周转筐出入库明细!$B$4:$B$2004,"&gt;="&amp;$P$1,周转筐出入库明细!$B$4:$B$2004,"&lt;="&amp;$P$2))</f>
        <v/>
      </c>
      <c r="E48" s="25" t="str">
        <f>IF(OR($B48="",基础资料!$B$6=""),"",SUMIFS(周转筐出入库明细!$H$4:$H$2004,周转筐出入库明细!$C$4:$C$2004,$B48,周转筐出入库明细!$D$4:$D$2004,基础资料!$B$6,周转筐出入库明细!$F$4:$F$2004,"采购入库",周转筐出入库明细!$B$4:$B$2004,"&gt;="&amp;$P$1,周转筐出入库明细!$B$4:$B$2004,"&lt;="&amp;$P$2))</f>
        <v/>
      </c>
      <c r="F48" s="25" t="str">
        <f>IF(OR($B48="",基础资料!$B$7=""),"",SUMIFS(周转筐出入库明细!$H$4:$H$2004,周转筐出入库明细!$C$4:$C$2004,$B48,周转筐出入库明细!$D$4:$D$2004,基础资料!$B$7,周转筐出入库明细!$F$4:$F$2004,"采购入库",周转筐出入库明细!$B$4:$B$2004,"&gt;="&amp;$P$1,周转筐出入库明细!$B$4:$B$2004,"&lt;="&amp;$P$2))</f>
        <v/>
      </c>
      <c r="G48" s="25" t="str">
        <f>IF(OR($B48="",基础资料!$B$8=""),"",SUMIFS(周转筐出入库明细!$H$4:$H$2004,周转筐出入库明细!$C$4:$C$2004,$B48,周转筐出入库明细!$D$4:$D$2004,基础资料!$B$8,周转筐出入库明细!$F$4:$F$2004,"采购入库",周转筐出入库明细!$B$4:$B$2004,"&gt;="&amp;$P$1,周转筐出入库明细!$B$4:$B$2004,"&lt;="&amp;$P$2))</f>
        <v/>
      </c>
      <c r="H48" s="25" t="str">
        <f>IF($B48="","",SUMIFS(周转筐出入库明细!$H$4:$H$2004,周转筐出入库明细!$C$4:$C$2004,$B48,周转筐出入库明细!$F$4:$F$2004,"采购入库",周转筐出入库明细!$B$4:$B$2004,"&gt;="&amp;$P$1,周转筐出入库明细!$B$4:$B$2004,"&lt;="&amp;$P$2)-SUM($C48:$G48))</f>
        <v/>
      </c>
      <c r="I48" s="25" t="str">
        <f t="shared" si="1"/>
        <v/>
      </c>
      <c r="J48" s="26" t="str">
        <f>IF($B48="","",ROUND(SUMIFS(周转筐出入库明细!$P$4:$P$2004,周转筐出入库明细!$C$4:$C$2004,$B48,周转筐出入库明细!$F$4:$F$2004,"采购入库",周转筐出入库明细!$B$4:$B$2004,"&gt;="&amp;$P$1,周转筐出入库明细!$B$4:$B$2004,"&lt;="&amp;$P$2),2))</f>
        <v/>
      </c>
      <c r="K48" s="26" t="str">
        <f>IF($B48="","",ROUND(SUMIFS(周转筐出入库明细!$P$4:$P$2004,周转筐出入库明细!$C$4:$C$2004,$B48,周转筐出入库明细!$F$4:$F$2004,"采购入库",周转筐出入库明细!$Q$4:$Q$2004,"已付款",周转筐出入库明细!$B$4:$B$2004,"&gt;="&amp;$P$1,周转筐出入库明细!$B$4:$B$2004,"&lt;="&amp;$P$2),2))</f>
        <v/>
      </c>
      <c r="L48" s="26" t="str">
        <f t="shared" si="2"/>
        <v/>
      </c>
    </row>
    <row r="49" spans="1:12">
      <c r="A49" s="22" t="str">
        <f t="shared" si="0"/>
        <v/>
      </c>
      <c r="B49" s="37" t="str">
        <f>IFERROR(INDEX(_自动清单!$CW$4:$CW$203,ROW()-3),"")</f>
        <v/>
      </c>
      <c r="C49" s="25" t="str">
        <f>IF(OR($B49="",基础资料!$B$4=""),"",SUMIFS(周转筐出入库明细!$H$4:$H$2004,周转筐出入库明细!$C$4:$C$2004,$B49,周转筐出入库明细!$D$4:$D$2004,基础资料!$B$4,周转筐出入库明细!$F$4:$F$2004,"采购入库",周转筐出入库明细!$B$4:$B$2004,"&gt;="&amp;$P$1,周转筐出入库明细!$B$4:$B$2004,"&lt;="&amp;$P$2))</f>
        <v/>
      </c>
      <c r="D49" s="25" t="str">
        <f>IF(OR($B49="",基础资料!$B$5=""),"",SUMIFS(周转筐出入库明细!$H$4:$H$2004,周转筐出入库明细!$C$4:$C$2004,$B49,周转筐出入库明细!$D$4:$D$2004,基础资料!$B$5,周转筐出入库明细!$F$4:$F$2004,"采购入库",周转筐出入库明细!$B$4:$B$2004,"&gt;="&amp;$P$1,周转筐出入库明细!$B$4:$B$2004,"&lt;="&amp;$P$2))</f>
        <v/>
      </c>
      <c r="E49" s="25" t="str">
        <f>IF(OR($B49="",基础资料!$B$6=""),"",SUMIFS(周转筐出入库明细!$H$4:$H$2004,周转筐出入库明细!$C$4:$C$2004,$B49,周转筐出入库明细!$D$4:$D$2004,基础资料!$B$6,周转筐出入库明细!$F$4:$F$2004,"采购入库",周转筐出入库明细!$B$4:$B$2004,"&gt;="&amp;$P$1,周转筐出入库明细!$B$4:$B$2004,"&lt;="&amp;$P$2))</f>
        <v/>
      </c>
      <c r="F49" s="25" t="str">
        <f>IF(OR($B49="",基础资料!$B$7=""),"",SUMIFS(周转筐出入库明细!$H$4:$H$2004,周转筐出入库明细!$C$4:$C$2004,$B49,周转筐出入库明细!$D$4:$D$2004,基础资料!$B$7,周转筐出入库明细!$F$4:$F$2004,"采购入库",周转筐出入库明细!$B$4:$B$2004,"&gt;="&amp;$P$1,周转筐出入库明细!$B$4:$B$2004,"&lt;="&amp;$P$2))</f>
        <v/>
      </c>
      <c r="G49" s="25" t="str">
        <f>IF(OR($B49="",基础资料!$B$8=""),"",SUMIFS(周转筐出入库明细!$H$4:$H$2004,周转筐出入库明细!$C$4:$C$2004,$B49,周转筐出入库明细!$D$4:$D$2004,基础资料!$B$8,周转筐出入库明细!$F$4:$F$2004,"采购入库",周转筐出入库明细!$B$4:$B$2004,"&gt;="&amp;$P$1,周转筐出入库明细!$B$4:$B$2004,"&lt;="&amp;$P$2))</f>
        <v/>
      </c>
      <c r="H49" s="25" t="str">
        <f>IF($B49="","",SUMIFS(周转筐出入库明细!$H$4:$H$2004,周转筐出入库明细!$C$4:$C$2004,$B49,周转筐出入库明细!$F$4:$F$2004,"采购入库",周转筐出入库明细!$B$4:$B$2004,"&gt;="&amp;$P$1,周转筐出入库明细!$B$4:$B$2004,"&lt;="&amp;$P$2)-SUM($C49:$G49))</f>
        <v/>
      </c>
      <c r="I49" s="25" t="str">
        <f t="shared" si="1"/>
        <v/>
      </c>
      <c r="J49" s="26" t="str">
        <f>IF($B49="","",ROUND(SUMIFS(周转筐出入库明细!$P$4:$P$2004,周转筐出入库明细!$C$4:$C$2004,$B49,周转筐出入库明细!$F$4:$F$2004,"采购入库",周转筐出入库明细!$B$4:$B$2004,"&gt;="&amp;$P$1,周转筐出入库明细!$B$4:$B$2004,"&lt;="&amp;$P$2),2))</f>
        <v/>
      </c>
      <c r="K49" s="26" t="str">
        <f>IF($B49="","",ROUND(SUMIFS(周转筐出入库明细!$P$4:$P$2004,周转筐出入库明细!$C$4:$C$2004,$B49,周转筐出入库明细!$F$4:$F$2004,"采购入库",周转筐出入库明细!$Q$4:$Q$2004,"已付款",周转筐出入库明细!$B$4:$B$2004,"&gt;="&amp;$P$1,周转筐出入库明细!$B$4:$B$2004,"&lt;="&amp;$P$2),2))</f>
        <v/>
      </c>
      <c r="L49" s="26" t="str">
        <f t="shared" si="2"/>
        <v/>
      </c>
    </row>
    <row r="50" spans="1:12">
      <c r="A50" s="22" t="str">
        <f t="shared" si="0"/>
        <v/>
      </c>
      <c r="B50" s="37" t="str">
        <f>IFERROR(INDEX(_自动清单!$CW$4:$CW$203,ROW()-3),"")</f>
        <v/>
      </c>
      <c r="C50" s="25" t="str">
        <f>IF(OR($B50="",基础资料!$B$4=""),"",SUMIFS(周转筐出入库明细!$H$4:$H$2004,周转筐出入库明细!$C$4:$C$2004,$B50,周转筐出入库明细!$D$4:$D$2004,基础资料!$B$4,周转筐出入库明细!$F$4:$F$2004,"采购入库",周转筐出入库明细!$B$4:$B$2004,"&gt;="&amp;$P$1,周转筐出入库明细!$B$4:$B$2004,"&lt;="&amp;$P$2))</f>
        <v/>
      </c>
      <c r="D50" s="25" t="str">
        <f>IF(OR($B50="",基础资料!$B$5=""),"",SUMIFS(周转筐出入库明细!$H$4:$H$2004,周转筐出入库明细!$C$4:$C$2004,$B50,周转筐出入库明细!$D$4:$D$2004,基础资料!$B$5,周转筐出入库明细!$F$4:$F$2004,"采购入库",周转筐出入库明细!$B$4:$B$2004,"&gt;="&amp;$P$1,周转筐出入库明细!$B$4:$B$2004,"&lt;="&amp;$P$2))</f>
        <v/>
      </c>
      <c r="E50" s="25" t="str">
        <f>IF(OR($B50="",基础资料!$B$6=""),"",SUMIFS(周转筐出入库明细!$H$4:$H$2004,周转筐出入库明细!$C$4:$C$2004,$B50,周转筐出入库明细!$D$4:$D$2004,基础资料!$B$6,周转筐出入库明细!$F$4:$F$2004,"采购入库",周转筐出入库明细!$B$4:$B$2004,"&gt;="&amp;$P$1,周转筐出入库明细!$B$4:$B$2004,"&lt;="&amp;$P$2))</f>
        <v/>
      </c>
      <c r="F50" s="25" t="str">
        <f>IF(OR($B50="",基础资料!$B$7=""),"",SUMIFS(周转筐出入库明细!$H$4:$H$2004,周转筐出入库明细!$C$4:$C$2004,$B50,周转筐出入库明细!$D$4:$D$2004,基础资料!$B$7,周转筐出入库明细!$F$4:$F$2004,"采购入库",周转筐出入库明细!$B$4:$B$2004,"&gt;="&amp;$P$1,周转筐出入库明细!$B$4:$B$2004,"&lt;="&amp;$P$2))</f>
        <v/>
      </c>
      <c r="G50" s="25" t="str">
        <f>IF(OR($B50="",基础资料!$B$8=""),"",SUMIFS(周转筐出入库明细!$H$4:$H$2004,周转筐出入库明细!$C$4:$C$2004,$B50,周转筐出入库明细!$D$4:$D$2004,基础资料!$B$8,周转筐出入库明细!$F$4:$F$2004,"采购入库",周转筐出入库明细!$B$4:$B$2004,"&gt;="&amp;$P$1,周转筐出入库明细!$B$4:$B$2004,"&lt;="&amp;$P$2))</f>
        <v/>
      </c>
      <c r="H50" s="25" t="str">
        <f>IF($B50="","",SUMIFS(周转筐出入库明细!$H$4:$H$2004,周转筐出入库明细!$C$4:$C$2004,$B50,周转筐出入库明细!$F$4:$F$2004,"采购入库",周转筐出入库明细!$B$4:$B$2004,"&gt;="&amp;$P$1,周转筐出入库明细!$B$4:$B$2004,"&lt;="&amp;$P$2)-SUM($C50:$G50))</f>
        <v/>
      </c>
      <c r="I50" s="25" t="str">
        <f t="shared" si="1"/>
        <v/>
      </c>
      <c r="J50" s="26" t="str">
        <f>IF($B50="","",ROUND(SUMIFS(周转筐出入库明细!$P$4:$P$2004,周转筐出入库明细!$C$4:$C$2004,$B50,周转筐出入库明细!$F$4:$F$2004,"采购入库",周转筐出入库明细!$B$4:$B$2004,"&gt;="&amp;$P$1,周转筐出入库明细!$B$4:$B$2004,"&lt;="&amp;$P$2),2))</f>
        <v/>
      </c>
      <c r="K50" s="26" t="str">
        <f>IF($B50="","",ROUND(SUMIFS(周转筐出入库明细!$P$4:$P$2004,周转筐出入库明细!$C$4:$C$2004,$B50,周转筐出入库明细!$F$4:$F$2004,"采购入库",周转筐出入库明细!$Q$4:$Q$2004,"已付款",周转筐出入库明细!$B$4:$B$2004,"&gt;="&amp;$P$1,周转筐出入库明细!$B$4:$B$2004,"&lt;="&amp;$P$2),2))</f>
        <v/>
      </c>
      <c r="L50" s="26" t="str">
        <f t="shared" si="2"/>
        <v/>
      </c>
    </row>
    <row r="51" spans="1:12">
      <c r="A51" s="22" t="str">
        <f t="shared" si="0"/>
        <v/>
      </c>
      <c r="B51" s="37" t="str">
        <f>IFERROR(INDEX(_自动清单!$CW$4:$CW$203,ROW()-3),"")</f>
        <v/>
      </c>
      <c r="C51" s="25" t="str">
        <f>IF(OR($B51="",基础资料!$B$4=""),"",SUMIFS(周转筐出入库明细!$H$4:$H$2004,周转筐出入库明细!$C$4:$C$2004,$B51,周转筐出入库明细!$D$4:$D$2004,基础资料!$B$4,周转筐出入库明细!$F$4:$F$2004,"采购入库",周转筐出入库明细!$B$4:$B$2004,"&gt;="&amp;$P$1,周转筐出入库明细!$B$4:$B$2004,"&lt;="&amp;$P$2))</f>
        <v/>
      </c>
      <c r="D51" s="25" t="str">
        <f>IF(OR($B51="",基础资料!$B$5=""),"",SUMIFS(周转筐出入库明细!$H$4:$H$2004,周转筐出入库明细!$C$4:$C$2004,$B51,周转筐出入库明细!$D$4:$D$2004,基础资料!$B$5,周转筐出入库明细!$F$4:$F$2004,"采购入库",周转筐出入库明细!$B$4:$B$2004,"&gt;="&amp;$P$1,周转筐出入库明细!$B$4:$B$2004,"&lt;="&amp;$P$2))</f>
        <v/>
      </c>
      <c r="E51" s="25" t="str">
        <f>IF(OR($B51="",基础资料!$B$6=""),"",SUMIFS(周转筐出入库明细!$H$4:$H$2004,周转筐出入库明细!$C$4:$C$2004,$B51,周转筐出入库明细!$D$4:$D$2004,基础资料!$B$6,周转筐出入库明细!$F$4:$F$2004,"采购入库",周转筐出入库明细!$B$4:$B$2004,"&gt;="&amp;$P$1,周转筐出入库明细!$B$4:$B$2004,"&lt;="&amp;$P$2))</f>
        <v/>
      </c>
      <c r="F51" s="25" t="str">
        <f>IF(OR($B51="",基础资料!$B$7=""),"",SUMIFS(周转筐出入库明细!$H$4:$H$2004,周转筐出入库明细!$C$4:$C$2004,$B51,周转筐出入库明细!$D$4:$D$2004,基础资料!$B$7,周转筐出入库明细!$F$4:$F$2004,"采购入库",周转筐出入库明细!$B$4:$B$2004,"&gt;="&amp;$P$1,周转筐出入库明细!$B$4:$B$2004,"&lt;="&amp;$P$2))</f>
        <v/>
      </c>
      <c r="G51" s="25" t="str">
        <f>IF(OR($B51="",基础资料!$B$8=""),"",SUMIFS(周转筐出入库明细!$H$4:$H$2004,周转筐出入库明细!$C$4:$C$2004,$B51,周转筐出入库明细!$D$4:$D$2004,基础资料!$B$8,周转筐出入库明细!$F$4:$F$2004,"采购入库",周转筐出入库明细!$B$4:$B$2004,"&gt;="&amp;$P$1,周转筐出入库明细!$B$4:$B$2004,"&lt;="&amp;$P$2))</f>
        <v/>
      </c>
      <c r="H51" s="25" t="str">
        <f>IF($B51="","",SUMIFS(周转筐出入库明细!$H$4:$H$2004,周转筐出入库明细!$C$4:$C$2004,$B51,周转筐出入库明细!$F$4:$F$2004,"采购入库",周转筐出入库明细!$B$4:$B$2004,"&gt;="&amp;$P$1,周转筐出入库明细!$B$4:$B$2004,"&lt;="&amp;$P$2)-SUM($C51:$G51))</f>
        <v/>
      </c>
      <c r="I51" s="25" t="str">
        <f t="shared" si="1"/>
        <v/>
      </c>
      <c r="J51" s="26" t="str">
        <f>IF($B51="","",ROUND(SUMIFS(周转筐出入库明细!$P$4:$P$2004,周转筐出入库明细!$C$4:$C$2004,$B51,周转筐出入库明细!$F$4:$F$2004,"采购入库",周转筐出入库明细!$B$4:$B$2004,"&gt;="&amp;$P$1,周转筐出入库明细!$B$4:$B$2004,"&lt;="&amp;$P$2),2))</f>
        <v/>
      </c>
      <c r="K51" s="26" t="str">
        <f>IF($B51="","",ROUND(SUMIFS(周转筐出入库明细!$P$4:$P$2004,周转筐出入库明细!$C$4:$C$2004,$B51,周转筐出入库明细!$F$4:$F$2004,"采购入库",周转筐出入库明细!$Q$4:$Q$2004,"已付款",周转筐出入库明细!$B$4:$B$2004,"&gt;="&amp;$P$1,周转筐出入库明细!$B$4:$B$2004,"&lt;="&amp;$P$2),2))</f>
        <v/>
      </c>
      <c r="L51" s="26" t="str">
        <f t="shared" si="2"/>
        <v/>
      </c>
    </row>
    <row r="52" spans="1:12">
      <c r="A52" s="22" t="str">
        <f t="shared" si="0"/>
        <v/>
      </c>
      <c r="B52" s="37" t="str">
        <f>IFERROR(INDEX(_自动清单!$CW$4:$CW$203,ROW()-3),"")</f>
        <v/>
      </c>
      <c r="C52" s="25" t="str">
        <f>IF(OR($B52="",基础资料!$B$4=""),"",SUMIFS(周转筐出入库明细!$H$4:$H$2004,周转筐出入库明细!$C$4:$C$2004,$B52,周转筐出入库明细!$D$4:$D$2004,基础资料!$B$4,周转筐出入库明细!$F$4:$F$2004,"采购入库",周转筐出入库明细!$B$4:$B$2004,"&gt;="&amp;$P$1,周转筐出入库明细!$B$4:$B$2004,"&lt;="&amp;$P$2))</f>
        <v/>
      </c>
      <c r="D52" s="25" t="str">
        <f>IF(OR($B52="",基础资料!$B$5=""),"",SUMIFS(周转筐出入库明细!$H$4:$H$2004,周转筐出入库明细!$C$4:$C$2004,$B52,周转筐出入库明细!$D$4:$D$2004,基础资料!$B$5,周转筐出入库明细!$F$4:$F$2004,"采购入库",周转筐出入库明细!$B$4:$B$2004,"&gt;="&amp;$P$1,周转筐出入库明细!$B$4:$B$2004,"&lt;="&amp;$P$2))</f>
        <v/>
      </c>
      <c r="E52" s="25" t="str">
        <f>IF(OR($B52="",基础资料!$B$6=""),"",SUMIFS(周转筐出入库明细!$H$4:$H$2004,周转筐出入库明细!$C$4:$C$2004,$B52,周转筐出入库明细!$D$4:$D$2004,基础资料!$B$6,周转筐出入库明细!$F$4:$F$2004,"采购入库",周转筐出入库明细!$B$4:$B$2004,"&gt;="&amp;$P$1,周转筐出入库明细!$B$4:$B$2004,"&lt;="&amp;$P$2))</f>
        <v/>
      </c>
      <c r="F52" s="25" t="str">
        <f>IF(OR($B52="",基础资料!$B$7=""),"",SUMIFS(周转筐出入库明细!$H$4:$H$2004,周转筐出入库明细!$C$4:$C$2004,$B52,周转筐出入库明细!$D$4:$D$2004,基础资料!$B$7,周转筐出入库明细!$F$4:$F$2004,"采购入库",周转筐出入库明细!$B$4:$B$2004,"&gt;="&amp;$P$1,周转筐出入库明细!$B$4:$B$2004,"&lt;="&amp;$P$2))</f>
        <v/>
      </c>
      <c r="G52" s="25" t="str">
        <f>IF(OR($B52="",基础资料!$B$8=""),"",SUMIFS(周转筐出入库明细!$H$4:$H$2004,周转筐出入库明细!$C$4:$C$2004,$B52,周转筐出入库明细!$D$4:$D$2004,基础资料!$B$8,周转筐出入库明细!$F$4:$F$2004,"采购入库",周转筐出入库明细!$B$4:$B$2004,"&gt;="&amp;$P$1,周转筐出入库明细!$B$4:$B$2004,"&lt;="&amp;$P$2))</f>
        <v/>
      </c>
      <c r="H52" s="25" t="str">
        <f>IF($B52="","",SUMIFS(周转筐出入库明细!$H$4:$H$2004,周转筐出入库明细!$C$4:$C$2004,$B52,周转筐出入库明细!$F$4:$F$2004,"采购入库",周转筐出入库明细!$B$4:$B$2004,"&gt;="&amp;$P$1,周转筐出入库明细!$B$4:$B$2004,"&lt;="&amp;$P$2)-SUM($C52:$G52))</f>
        <v/>
      </c>
      <c r="I52" s="25" t="str">
        <f t="shared" si="1"/>
        <v/>
      </c>
      <c r="J52" s="26" t="str">
        <f>IF($B52="","",ROUND(SUMIFS(周转筐出入库明细!$P$4:$P$2004,周转筐出入库明细!$C$4:$C$2004,$B52,周转筐出入库明细!$F$4:$F$2004,"采购入库",周转筐出入库明细!$B$4:$B$2004,"&gt;="&amp;$P$1,周转筐出入库明细!$B$4:$B$2004,"&lt;="&amp;$P$2),2))</f>
        <v/>
      </c>
      <c r="K52" s="26" t="str">
        <f>IF($B52="","",ROUND(SUMIFS(周转筐出入库明细!$P$4:$P$2004,周转筐出入库明细!$C$4:$C$2004,$B52,周转筐出入库明细!$F$4:$F$2004,"采购入库",周转筐出入库明细!$Q$4:$Q$2004,"已付款",周转筐出入库明细!$B$4:$B$2004,"&gt;="&amp;$P$1,周转筐出入库明细!$B$4:$B$2004,"&lt;="&amp;$P$2),2))</f>
        <v/>
      </c>
      <c r="L52" s="26" t="str">
        <f t="shared" si="2"/>
        <v/>
      </c>
    </row>
    <row r="53" spans="1:12">
      <c r="A53" s="22" t="str">
        <f t="shared" si="0"/>
        <v/>
      </c>
      <c r="B53" s="37" t="str">
        <f>IFERROR(INDEX(_自动清单!$CW$4:$CW$203,ROW()-3),"")</f>
        <v/>
      </c>
      <c r="C53" s="25" t="str">
        <f>IF(OR($B53="",基础资料!$B$4=""),"",SUMIFS(周转筐出入库明细!$H$4:$H$2004,周转筐出入库明细!$C$4:$C$2004,$B53,周转筐出入库明细!$D$4:$D$2004,基础资料!$B$4,周转筐出入库明细!$F$4:$F$2004,"采购入库",周转筐出入库明细!$B$4:$B$2004,"&gt;="&amp;$P$1,周转筐出入库明细!$B$4:$B$2004,"&lt;="&amp;$P$2))</f>
        <v/>
      </c>
      <c r="D53" s="25" t="str">
        <f>IF(OR($B53="",基础资料!$B$5=""),"",SUMIFS(周转筐出入库明细!$H$4:$H$2004,周转筐出入库明细!$C$4:$C$2004,$B53,周转筐出入库明细!$D$4:$D$2004,基础资料!$B$5,周转筐出入库明细!$F$4:$F$2004,"采购入库",周转筐出入库明细!$B$4:$B$2004,"&gt;="&amp;$P$1,周转筐出入库明细!$B$4:$B$2004,"&lt;="&amp;$P$2))</f>
        <v/>
      </c>
      <c r="E53" s="25" t="str">
        <f>IF(OR($B53="",基础资料!$B$6=""),"",SUMIFS(周转筐出入库明细!$H$4:$H$2004,周转筐出入库明细!$C$4:$C$2004,$B53,周转筐出入库明细!$D$4:$D$2004,基础资料!$B$6,周转筐出入库明细!$F$4:$F$2004,"采购入库",周转筐出入库明细!$B$4:$B$2004,"&gt;="&amp;$P$1,周转筐出入库明细!$B$4:$B$2004,"&lt;="&amp;$P$2))</f>
        <v/>
      </c>
      <c r="F53" s="25" t="str">
        <f>IF(OR($B53="",基础资料!$B$7=""),"",SUMIFS(周转筐出入库明细!$H$4:$H$2004,周转筐出入库明细!$C$4:$C$2004,$B53,周转筐出入库明细!$D$4:$D$2004,基础资料!$B$7,周转筐出入库明细!$F$4:$F$2004,"采购入库",周转筐出入库明细!$B$4:$B$2004,"&gt;="&amp;$P$1,周转筐出入库明细!$B$4:$B$2004,"&lt;="&amp;$P$2))</f>
        <v/>
      </c>
      <c r="G53" s="25" t="str">
        <f>IF(OR($B53="",基础资料!$B$8=""),"",SUMIFS(周转筐出入库明细!$H$4:$H$2004,周转筐出入库明细!$C$4:$C$2004,$B53,周转筐出入库明细!$D$4:$D$2004,基础资料!$B$8,周转筐出入库明细!$F$4:$F$2004,"采购入库",周转筐出入库明细!$B$4:$B$2004,"&gt;="&amp;$P$1,周转筐出入库明细!$B$4:$B$2004,"&lt;="&amp;$P$2))</f>
        <v/>
      </c>
      <c r="H53" s="25" t="str">
        <f>IF($B53="","",SUMIFS(周转筐出入库明细!$H$4:$H$2004,周转筐出入库明细!$C$4:$C$2004,$B53,周转筐出入库明细!$F$4:$F$2004,"采购入库",周转筐出入库明细!$B$4:$B$2004,"&gt;="&amp;$P$1,周转筐出入库明细!$B$4:$B$2004,"&lt;="&amp;$P$2)-SUM($C53:$G53))</f>
        <v/>
      </c>
      <c r="I53" s="25" t="str">
        <f t="shared" si="1"/>
        <v/>
      </c>
      <c r="J53" s="26" t="str">
        <f>IF($B53="","",ROUND(SUMIFS(周转筐出入库明细!$P$4:$P$2004,周转筐出入库明细!$C$4:$C$2004,$B53,周转筐出入库明细!$F$4:$F$2004,"采购入库",周转筐出入库明细!$B$4:$B$2004,"&gt;="&amp;$P$1,周转筐出入库明细!$B$4:$B$2004,"&lt;="&amp;$P$2),2))</f>
        <v/>
      </c>
      <c r="K53" s="26" t="str">
        <f>IF($B53="","",ROUND(SUMIFS(周转筐出入库明细!$P$4:$P$2004,周转筐出入库明细!$C$4:$C$2004,$B53,周转筐出入库明细!$F$4:$F$2004,"采购入库",周转筐出入库明细!$Q$4:$Q$2004,"已付款",周转筐出入库明细!$B$4:$B$2004,"&gt;="&amp;$P$1,周转筐出入库明细!$B$4:$B$2004,"&lt;="&amp;$P$2),2))</f>
        <v/>
      </c>
      <c r="L53" s="26" t="str">
        <f t="shared" si="2"/>
        <v/>
      </c>
    </row>
    <row r="54" spans="1:12">
      <c r="A54" s="22" t="str">
        <f t="shared" si="0"/>
        <v/>
      </c>
      <c r="B54" s="37" t="str">
        <f>IFERROR(INDEX(_自动清单!$CW$4:$CW$203,ROW()-3),"")</f>
        <v/>
      </c>
      <c r="C54" s="25" t="str">
        <f>IF(OR($B54="",基础资料!$B$4=""),"",SUMIFS(周转筐出入库明细!$H$4:$H$2004,周转筐出入库明细!$C$4:$C$2004,$B54,周转筐出入库明细!$D$4:$D$2004,基础资料!$B$4,周转筐出入库明细!$F$4:$F$2004,"采购入库",周转筐出入库明细!$B$4:$B$2004,"&gt;="&amp;$P$1,周转筐出入库明细!$B$4:$B$2004,"&lt;="&amp;$P$2))</f>
        <v/>
      </c>
      <c r="D54" s="25" t="str">
        <f>IF(OR($B54="",基础资料!$B$5=""),"",SUMIFS(周转筐出入库明细!$H$4:$H$2004,周转筐出入库明细!$C$4:$C$2004,$B54,周转筐出入库明细!$D$4:$D$2004,基础资料!$B$5,周转筐出入库明细!$F$4:$F$2004,"采购入库",周转筐出入库明细!$B$4:$B$2004,"&gt;="&amp;$P$1,周转筐出入库明细!$B$4:$B$2004,"&lt;="&amp;$P$2))</f>
        <v/>
      </c>
      <c r="E54" s="25" t="str">
        <f>IF(OR($B54="",基础资料!$B$6=""),"",SUMIFS(周转筐出入库明细!$H$4:$H$2004,周转筐出入库明细!$C$4:$C$2004,$B54,周转筐出入库明细!$D$4:$D$2004,基础资料!$B$6,周转筐出入库明细!$F$4:$F$2004,"采购入库",周转筐出入库明细!$B$4:$B$2004,"&gt;="&amp;$P$1,周转筐出入库明细!$B$4:$B$2004,"&lt;="&amp;$P$2))</f>
        <v/>
      </c>
      <c r="F54" s="25" t="str">
        <f>IF(OR($B54="",基础资料!$B$7=""),"",SUMIFS(周转筐出入库明细!$H$4:$H$2004,周转筐出入库明细!$C$4:$C$2004,$B54,周转筐出入库明细!$D$4:$D$2004,基础资料!$B$7,周转筐出入库明细!$F$4:$F$2004,"采购入库",周转筐出入库明细!$B$4:$B$2004,"&gt;="&amp;$P$1,周转筐出入库明细!$B$4:$B$2004,"&lt;="&amp;$P$2))</f>
        <v/>
      </c>
      <c r="G54" s="25" t="str">
        <f>IF(OR($B54="",基础资料!$B$8=""),"",SUMIFS(周转筐出入库明细!$H$4:$H$2004,周转筐出入库明细!$C$4:$C$2004,$B54,周转筐出入库明细!$D$4:$D$2004,基础资料!$B$8,周转筐出入库明细!$F$4:$F$2004,"采购入库",周转筐出入库明细!$B$4:$B$2004,"&gt;="&amp;$P$1,周转筐出入库明细!$B$4:$B$2004,"&lt;="&amp;$P$2))</f>
        <v/>
      </c>
      <c r="H54" s="25" t="str">
        <f>IF($B54="","",SUMIFS(周转筐出入库明细!$H$4:$H$2004,周转筐出入库明细!$C$4:$C$2004,$B54,周转筐出入库明细!$F$4:$F$2004,"采购入库",周转筐出入库明细!$B$4:$B$2004,"&gt;="&amp;$P$1,周转筐出入库明细!$B$4:$B$2004,"&lt;="&amp;$P$2)-SUM($C54:$G54))</f>
        <v/>
      </c>
      <c r="I54" s="25" t="str">
        <f t="shared" si="1"/>
        <v/>
      </c>
      <c r="J54" s="26" t="str">
        <f>IF($B54="","",ROUND(SUMIFS(周转筐出入库明细!$P$4:$P$2004,周转筐出入库明细!$C$4:$C$2004,$B54,周转筐出入库明细!$F$4:$F$2004,"采购入库",周转筐出入库明细!$B$4:$B$2004,"&gt;="&amp;$P$1,周转筐出入库明细!$B$4:$B$2004,"&lt;="&amp;$P$2),2))</f>
        <v/>
      </c>
      <c r="K54" s="26" t="str">
        <f>IF($B54="","",ROUND(SUMIFS(周转筐出入库明细!$P$4:$P$2004,周转筐出入库明细!$C$4:$C$2004,$B54,周转筐出入库明细!$F$4:$F$2004,"采购入库",周转筐出入库明细!$Q$4:$Q$2004,"已付款",周转筐出入库明细!$B$4:$B$2004,"&gt;="&amp;$P$1,周转筐出入库明细!$B$4:$B$2004,"&lt;="&amp;$P$2),2))</f>
        <v/>
      </c>
      <c r="L54" s="26" t="str">
        <f t="shared" si="2"/>
        <v/>
      </c>
    </row>
    <row r="55" spans="1:12">
      <c r="A55" s="22" t="str">
        <f t="shared" si="0"/>
        <v/>
      </c>
      <c r="B55" s="37" t="str">
        <f>IFERROR(INDEX(_自动清单!$CW$4:$CW$203,ROW()-3),"")</f>
        <v/>
      </c>
      <c r="C55" s="25" t="str">
        <f>IF(OR($B55="",基础资料!$B$4=""),"",SUMIFS(周转筐出入库明细!$H$4:$H$2004,周转筐出入库明细!$C$4:$C$2004,$B55,周转筐出入库明细!$D$4:$D$2004,基础资料!$B$4,周转筐出入库明细!$F$4:$F$2004,"采购入库",周转筐出入库明细!$B$4:$B$2004,"&gt;="&amp;$P$1,周转筐出入库明细!$B$4:$B$2004,"&lt;="&amp;$P$2))</f>
        <v/>
      </c>
      <c r="D55" s="25" t="str">
        <f>IF(OR($B55="",基础资料!$B$5=""),"",SUMIFS(周转筐出入库明细!$H$4:$H$2004,周转筐出入库明细!$C$4:$C$2004,$B55,周转筐出入库明细!$D$4:$D$2004,基础资料!$B$5,周转筐出入库明细!$F$4:$F$2004,"采购入库",周转筐出入库明细!$B$4:$B$2004,"&gt;="&amp;$P$1,周转筐出入库明细!$B$4:$B$2004,"&lt;="&amp;$P$2))</f>
        <v/>
      </c>
      <c r="E55" s="25" t="str">
        <f>IF(OR($B55="",基础资料!$B$6=""),"",SUMIFS(周转筐出入库明细!$H$4:$H$2004,周转筐出入库明细!$C$4:$C$2004,$B55,周转筐出入库明细!$D$4:$D$2004,基础资料!$B$6,周转筐出入库明细!$F$4:$F$2004,"采购入库",周转筐出入库明细!$B$4:$B$2004,"&gt;="&amp;$P$1,周转筐出入库明细!$B$4:$B$2004,"&lt;="&amp;$P$2))</f>
        <v/>
      </c>
      <c r="F55" s="25" t="str">
        <f>IF(OR($B55="",基础资料!$B$7=""),"",SUMIFS(周转筐出入库明细!$H$4:$H$2004,周转筐出入库明细!$C$4:$C$2004,$B55,周转筐出入库明细!$D$4:$D$2004,基础资料!$B$7,周转筐出入库明细!$F$4:$F$2004,"采购入库",周转筐出入库明细!$B$4:$B$2004,"&gt;="&amp;$P$1,周转筐出入库明细!$B$4:$B$2004,"&lt;="&amp;$P$2))</f>
        <v/>
      </c>
      <c r="G55" s="25" t="str">
        <f>IF(OR($B55="",基础资料!$B$8=""),"",SUMIFS(周转筐出入库明细!$H$4:$H$2004,周转筐出入库明细!$C$4:$C$2004,$B55,周转筐出入库明细!$D$4:$D$2004,基础资料!$B$8,周转筐出入库明细!$F$4:$F$2004,"采购入库",周转筐出入库明细!$B$4:$B$2004,"&gt;="&amp;$P$1,周转筐出入库明细!$B$4:$B$2004,"&lt;="&amp;$P$2))</f>
        <v/>
      </c>
      <c r="H55" s="25" t="str">
        <f>IF($B55="","",SUMIFS(周转筐出入库明细!$H$4:$H$2004,周转筐出入库明细!$C$4:$C$2004,$B55,周转筐出入库明细!$F$4:$F$2004,"采购入库",周转筐出入库明细!$B$4:$B$2004,"&gt;="&amp;$P$1,周转筐出入库明细!$B$4:$B$2004,"&lt;="&amp;$P$2)-SUM($C55:$G55))</f>
        <v/>
      </c>
      <c r="I55" s="25" t="str">
        <f t="shared" si="1"/>
        <v/>
      </c>
      <c r="J55" s="26" t="str">
        <f>IF($B55="","",ROUND(SUMIFS(周转筐出入库明细!$P$4:$P$2004,周转筐出入库明细!$C$4:$C$2004,$B55,周转筐出入库明细!$F$4:$F$2004,"采购入库",周转筐出入库明细!$B$4:$B$2004,"&gt;="&amp;$P$1,周转筐出入库明细!$B$4:$B$2004,"&lt;="&amp;$P$2),2))</f>
        <v/>
      </c>
      <c r="K55" s="26" t="str">
        <f>IF($B55="","",ROUND(SUMIFS(周转筐出入库明细!$P$4:$P$2004,周转筐出入库明细!$C$4:$C$2004,$B55,周转筐出入库明细!$F$4:$F$2004,"采购入库",周转筐出入库明细!$Q$4:$Q$2004,"已付款",周转筐出入库明细!$B$4:$B$2004,"&gt;="&amp;$P$1,周转筐出入库明细!$B$4:$B$2004,"&lt;="&amp;$P$2),2))</f>
        <v/>
      </c>
      <c r="L55" s="26" t="str">
        <f t="shared" si="2"/>
        <v/>
      </c>
    </row>
    <row r="56" spans="1:12">
      <c r="A56" s="22" t="str">
        <f t="shared" si="0"/>
        <v/>
      </c>
      <c r="B56" s="37" t="str">
        <f>IFERROR(INDEX(_自动清单!$CW$4:$CW$203,ROW()-3),"")</f>
        <v/>
      </c>
      <c r="C56" s="25" t="str">
        <f>IF(OR($B56="",基础资料!$B$4=""),"",SUMIFS(周转筐出入库明细!$H$4:$H$2004,周转筐出入库明细!$C$4:$C$2004,$B56,周转筐出入库明细!$D$4:$D$2004,基础资料!$B$4,周转筐出入库明细!$F$4:$F$2004,"采购入库",周转筐出入库明细!$B$4:$B$2004,"&gt;="&amp;$P$1,周转筐出入库明细!$B$4:$B$2004,"&lt;="&amp;$P$2))</f>
        <v/>
      </c>
      <c r="D56" s="25" t="str">
        <f>IF(OR($B56="",基础资料!$B$5=""),"",SUMIFS(周转筐出入库明细!$H$4:$H$2004,周转筐出入库明细!$C$4:$C$2004,$B56,周转筐出入库明细!$D$4:$D$2004,基础资料!$B$5,周转筐出入库明细!$F$4:$F$2004,"采购入库",周转筐出入库明细!$B$4:$B$2004,"&gt;="&amp;$P$1,周转筐出入库明细!$B$4:$B$2004,"&lt;="&amp;$P$2))</f>
        <v/>
      </c>
      <c r="E56" s="25" t="str">
        <f>IF(OR($B56="",基础资料!$B$6=""),"",SUMIFS(周转筐出入库明细!$H$4:$H$2004,周转筐出入库明细!$C$4:$C$2004,$B56,周转筐出入库明细!$D$4:$D$2004,基础资料!$B$6,周转筐出入库明细!$F$4:$F$2004,"采购入库",周转筐出入库明细!$B$4:$B$2004,"&gt;="&amp;$P$1,周转筐出入库明细!$B$4:$B$2004,"&lt;="&amp;$P$2))</f>
        <v/>
      </c>
      <c r="F56" s="25" t="str">
        <f>IF(OR($B56="",基础资料!$B$7=""),"",SUMIFS(周转筐出入库明细!$H$4:$H$2004,周转筐出入库明细!$C$4:$C$2004,$B56,周转筐出入库明细!$D$4:$D$2004,基础资料!$B$7,周转筐出入库明细!$F$4:$F$2004,"采购入库",周转筐出入库明细!$B$4:$B$2004,"&gt;="&amp;$P$1,周转筐出入库明细!$B$4:$B$2004,"&lt;="&amp;$P$2))</f>
        <v/>
      </c>
      <c r="G56" s="25" t="str">
        <f>IF(OR($B56="",基础资料!$B$8=""),"",SUMIFS(周转筐出入库明细!$H$4:$H$2004,周转筐出入库明细!$C$4:$C$2004,$B56,周转筐出入库明细!$D$4:$D$2004,基础资料!$B$8,周转筐出入库明细!$F$4:$F$2004,"采购入库",周转筐出入库明细!$B$4:$B$2004,"&gt;="&amp;$P$1,周转筐出入库明细!$B$4:$B$2004,"&lt;="&amp;$P$2))</f>
        <v/>
      </c>
      <c r="H56" s="25" t="str">
        <f>IF($B56="","",SUMIFS(周转筐出入库明细!$H$4:$H$2004,周转筐出入库明细!$C$4:$C$2004,$B56,周转筐出入库明细!$F$4:$F$2004,"采购入库",周转筐出入库明细!$B$4:$B$2004,"&gt;="&amp;$P$1,周转筐出入库明细!$B$4:$B$2004,"&lt;="&amp;$P$2)-SUM($C56:$G56))</f>
        <v/>
      </c>
      <c r="I56" s="25" t="str">
        <f t="shared" si="1"/>
        <v/>
      </c>
      <c r="J56" s="26" t="str">
        <f>IF($B56="","",ROUND(SUMIFS(周转筐出入库明细!$P$4:$P$2004,周转筐出入库明细!$C$4:$C$2004,$B56,周转筐出入库明细!$F$4:$F$2004,"采购入库",周转筐出入库明细!$B$4:$B$2004,"&gt;="&amp;$P$1,周转筐出入库明细!$B$4:$B$2004,"&lt;="&amp;$P$2),2))</f>
        <v/>
      </c>
      <c r="K56" s="26" t="str">
        <f>IF($B56="","",ROUND(SUMIFS(周转筐出入库明细!$P$4:$P$2004,周转筐出入库明细!$C$4:$C$2004,$B56,周转筐出入库明细!$F$4:$F$2004,"采购入库",周转筐出入库明细!$Q$4:$Q$2004,"已付款",周转筐出入库明细!$B$4:$B$2004,"&gt;="&amp;$P$1,周转筐出入库明细!$B$4:$B$2004,"&lt;="&amp;$P$2),2))</f>
        <v/>
      </c>
      <c r="L56" s="26" t="str">
        <f t="shared" si="2"/>
        <v/>
      </c>
    </row>
    <row r="57" spans="1:12">
      <c r="A57" s="22" t="str">
        <f t="shared" si="0"/>
        <v/>
      </c>
      <c r="B57" s="37" t="str">
        <f>IFERROR(INDEX(_自动清单!$CW$4:$CW$203,ROW()-3),"")</f>
        <v/>
      </c>
      <c r="C57" s="25" t="str">
        <f>IF(OR($B57="",基础资料!$B$4=""),"",SUMIFS(周转筐出入库明细!$H$4:$H$2004,周转筐出入库明细!$C$4:$C$2004,$B57,周转筐出入库明细!$D$4:$D$2004,基础资料!$B$4,周转筐出入库明细!$F$4:$F$2004,"采购入库",周转筐出入库明细!$B$4:$B$2004,"&gt;="&amp;$P$1,周转筐出入库明细!$B$4:$B$2004,"&lt;="&amp;$P$2))</f>
        <v/>
      </c>
      <c r="D57" s="25" t="str">
        <f>IF(OR($B57="",基础资料!$B$5=""),"",SUMIFS(周转筐出入库明细!$H$4:$H$2004,周转筐出入库明细!$C$4:$C$2004,$B57,周转筐出入库明细!$D$4:$D$2004,基础资料!$B$5,周转筐出入库明细!$F$4:$F$2004,"采购入库",周转筐出入库明细!$B$4:$B$2004,"&gt;="&amp;$P$1,周转筐出入库明细!$B$4:$B$2004,"&lt;="&amp;$P$2))</f>
        <v/>
      </c>
      <c r="E57" s="25" t="str">
        <f>IF(OR($B57="",基础资料!$B$6=""),"",SUMIFS(周转筐出入库明细!$H$4:$H$2004,周转筐出入库明细!$C$4:$C$2004,$B57,周转筐出入库明细!$D$4:$D$2004,基础资料!$B$6,周转筐出入库明细!$F$4:$F$2004,"采购入库",周转筐出入库明细!$B$4:$B$2004,"&gt;="&amp;$P$1,周转筐出入库明细!$B$4:$B$2004,"&lt;="&amp;$P$2))</f>
        <v/>
      </c>
      <c r="F57" s="25" t="str">
        <f>IF(OR($B57="",基础资料!$B$7=""),"",SUMIFS(周转筐出入库明细!$H$4:$H$2004,周转筐出入库明细!$C$4:$C$2004,$B57,周转筐出入库明细!$D$4:$D$2004,基础资料!$B$7,周转筐出入库明细!$F$4:$F$2004,"采购入库",周转筐出入库明细!$B$4:$B$2004,"&gt;="&amp;$P$1,周转筐出入库明细!$B$4:$B$2004,"&lt;="&amp;$P$2))</f>
        <v/>
      </c>
      <c r="G57" s="25" t="str">
        <f>IF(OR($B57="",基础资料!$B$8=""),"",SUMIFS(周转筐出入库明细!$H$4:$H$2004,周转筐出入库明细!$C$4:$C$2004,$B57,周转筐出入库明细!$D$4:$D$2004,基础资料!$B$8,周转筐出入库明细!$F$4:$F$2004,"采购入库",周转筐出入库明细!$B$4:$B$2004,"&gt;="&amp;$P$1,周转筐出入库明细!$B$4:$B$2004,"&lt;="&amp;$P$2))</f>
        <v/>
      </c>
      <c r="H57" s="25" t="str">
        <f>IF($B57="","",SUMIFS(周转筐出入库明细!$H$4:$H$2004,周转筐出入库明细!$C$4:$C$2004,$B57,周转筐出入库明细!$F$4:$F$2004,"采购入库",周转筐出入库明细!$B$4:$B$2004,"&gt;="&amp;$P$1,周转筐出入库明细!$B$4:$B$2004,"&lt;="&amp;$P$2)-SUM($C57:$G57))</f>
        <v/>
      </c>
      <c r="I57" s="25" t="str">
        <f t="shared" si="1"/>
        <v/>
      </c>
      <c r="J57" s="26" t="str">
        <f>IF($B57="","",ROUND(SUMIFS(周转筐出入库明细!$P$4:$P$2004,周转筐出入库明细!$C$4:$C$2004,$B57,周转筐出入库明细!$F$4:$F$2004,"采购入库",周转筐出入库明细!$B$4:$B$2004,"&gt;="&amp;$P$1,周转筐出入库明细!$B$4:$B$2004,"&lt;="&amp;$P$2),2))</f>
        <v/>
      </c>
      <c r="K57" s="26" t="str">
        <f>IF($B57="","",ROUND(SUMIFS(周转筐出入库明细!$P$4:$P$2004,周转筐出入库明细!$C$4:$C$2004,$B57,周转筐出入库明细!$F$4:$F$2004,"采购入库",周转筐出入库明细!$Q$4:$Q$2004,"已付款",周转筐出入库明细!$B$4:$B$2004,"&gt;="&amp;$P$1,周转筐出入库明细!$B$4:$B$2004,"&lt;="&amp;$P$2),2))</f>
        <v/>
      </c>
      <c r="L57" s="26" t="str">
        <f t="shared" si="2"/>
        <v/>
      </c>
    </row>
    <row r="58" spans="1:12">
      <c r="A58" s="22" t="str">
        <f t="shared" si="0"/>
        <v/>
      </c>
      <c r="B58" s="37" t="str">
        <f>IFERROR(INDEX(_自动清单!$CW$4:$CW$203,ROW()-3),"")</f>
        <v/>
      </c>
      <c r="C58" s="25" t="str">
        <f>IF(OR($B58="",基础资料!$B$4=""),"",SUMIFS(周转筐出入库明细!$H$4:$H$2004,周转筐出入库明细!$C$4:$C$2004,$B58,周转筐出入库明细!$D$4:$D$2004,基础资料!$B$4,周转筐出入库明细!$F$4:$F$2004,"采购入库",周转筐出入库明细!$B$4:$B$2004,"&gt;="&amp;$P$1,周转筐出入库明细!$B$4:$B$2004,"&lt;="&amp;$P$2))</f>
        <v/>
      </c>
      <c r="D58" s="25" t="str">
        <f>IF(OR($B58="",基础资料!$B$5=""),"",SUMIFS(周转筐出入库明细!$H$4:$H$2004,周转筐出入库明细!$C$4:$C$2004,$B58,周转筐出入库明细!$D$4:$D$2004,基础资料!$B$5,周转筐出入库明细!$F$4:$F$2004,"采购入库",周转筐出入库明细!$B$4:$B$2004,"&gt;="&amp;$P$1,周转筐出入库明细!$B$4:$B$2004,"&lt;="&amp;$P$2))</f>
        <v/>
      </c>
      <c r="E58" s="25" t="str">
        <f>IF(OR($B58="",基础资料!$B$6=""),"",SUMIFS(周转筐出入库明细!$H$4:$H$2004,周转筐出入库明细!$C$4:$C$2004,$B58,周转筐出入库明细!$D$4:$D$2004,基础资料!$B$6,周转筐出入库明细!$F$4:$F$2004,"采购入库",周转筐出入库明细!$B$4:$B$2004,"&gt;="&amp;$P$1,周转筐出入库明细!$B$4:$B$2004,"&lt;="&amp;$P$2))</f>
        <v/>
      </c>
      <c r="F58" s="25" t="str">
        <f>IF(OR($B58="",基础资料!$B$7=""),"",SUMIFS(周转筐出入库明细!$H$4:$H$2004,周转筐出入库明细!$C$4:$C$2004,$B58,周转筐出入库明细!$D$4:$D$2004,基础资料!$B$7,周转筐出入库明细!$F$4:$F$2004,"采购入库",周转筐出入库明细!$B$4:$B$2004,"&gt;="&amp;$P$1,周转筐出入库明细!$B$4:$B$2004,"&lt;="&amp;$P$2))</f>
        <v/>
      </c>
      <c r="G58" s="25" t="str">
        <f>IF(OR($B58="",基础资料!$B$8=""),"",SUMIFS(周转筐出入库明细!$H$4:$H$2004,周转筐出入库明细!$C$4:$C$2004,$B58,周转筐出入库明细!$D$4:$D$2004,基础资料!$B$8,周转筐出入库明细!$F$4:$F$2004,"采购入库",周转筐出入库明细!$B$4:$B$2004,"&gt;="&amp;$P$1,周转筐出入库明细!$B$4:$B$2004,"&lt;="&amp;$P$2))</f>
        <v/>
      </c>
      <c r="H58" s="25" t="str">
        <f>IF($B58="","",SUMIFS(周转筐出入库明细!$H$4:$H$2004,周转筐出入库明细!$C$4:$C$2004,$B58,周转筐出入库明细!$F$4:$F$2004,"采购入库",周转筐出入库明细!$B$4:$B$2004,"&gt;="&amp;$P$1,周转筐出入库明细!$B$4:$B$2004,"&lt;="&amp;$P$2)-SUM($C58:$G58))</f>
        <v/>
      </c>
      <c r="I58" s="25" t="str">
        <f t="shared" si="1"/>
        <v/>
      </c>
      <c r="J58" s="26" t="str">
        <f>IF($B58="","",ROUND(SUMIFS(周转筐出入库明细!$P$4:$P$2004,周转筐出入库明细!$C$4:$C$2004,$B58,周转筐出入库明细!$F$4:$F$2004,"采购入库",周转筐出入库明细!$B$4:$B$2004,"&gt;="&amp;$P$1,周转筐出入库明细!$B$4:$B$2004,"&lt;="&amp;$P$2),2))</f>
        <v/>
      </c>
      <c r="K58" s="26" t="str">
        <f>IF($B58="","",ROUND(SUMIFS(周转筐出入库明细!$P$4:$P$2004,周转筐出入库明细!$C$4:$C$2004,$B58,周转筐出入库明细!$F$4:$F$2004,"采购入库",周转筐出入库明细!$Q$4:$Q$2004,"已付款",周转筐出入库明细!$B$4:$B$2004,"&gt;="&amp;$P$1,周转筐出入库明细!$B$4:$B$2004,"&lt;="&amp;$P$2),2))</f>
        <v/>
      </c>
      <c r="L58" s="26" t="str">
        <f t="shared" si="2"/>
        <v/>
      </c>
    </row>
    <row r="59" spans="1:12">
      <c r="A59" s="22" t="str">
        <f t="shared" si="0"/>
        <v/>
      </c>
      <c r="B59" s="37" t="str">
        <f>IFERROR(INDEX(_自动清单!$CW$4:$CW$203,ROW()-3),"")</f>
        <v/>
      </c>
      <c r="C59" s="25" t="str">
        <f>IF(OR($B59="",基础资料!$B$4=""),"",SUMIFS(周转筐出入库明细!$H$4:$H$2004,周转筐出入库明细!$C$4:$C$2004,$B59,周转筐出入库明细!$D$4:$D$2004,基础资料!$B$4,周转筐出入库明细!$F$4:$F$2004,"采购入库",周转筐出入库明细!$B$4:$B$2004,"&gt;="&amp;$P$1,周转筐出入库明细!$B$4:$B$2004,"&lt;="&amp;$P$2))</f>
        <v/>
      </c>
      <c r="D59" s="25" t="str">
        <f>IF(OR($B59="",基础资料!$B$5=""),"",SUMIFS(周转筐出入库明细!$H$4:$H$2004,周转筐出入库明细!$C$4:$C$2004,$B59,周转筐出入库明细!$D$4:$D$2004,基础资料!$B$5,周转筐出入库明细!$F$4:$F$2004,"采购入库",周转筐出入库明细!$B$4:$B$2004,"&gt;="&amp;$P$1,周转筐出入库明细!$B$4:$B$2004,"&lt;="&amp;$P$2))</f>
        <v/>
      </c>
      <c r="E59" s="25" t="str">
        <f>IF(OR($B59="",基础资料!$B$6=""),"",SUMIFS(周转筐出入库明细!$H$4:$H$2004,周转筐出入库明细!$C$4:$C$2004,$B59,周转筐出入库明细!$D$4:$D$2004,基础资料!$B$6,周转筐出入库明细!$F$4:$F$2004,"采购入库",周转筐出入库明细!$B$4:$B$2004,"&gt;="&amp;$P$1,周转筐出入库明细!$B$4:$B$2004,"&lt;="&amp;$P$2))</f>
        <v/>
      </c>
      <c r="F59" s="25" t="str">
        <f>IF(OR($B59="",基础资料!$B$7=""),"",SUMIFS(周转筐出入库明细!$H$4:$H$2004,周转筐出入库明细!$C$4:$C$2004,$B59,周转筐出入库明细!$D$4:$D$2004,基础资料!$B$7,周转筐出入库明细!$F$4:$F$2004,"采购入库",周转筐出入库明细!$B$4:$B$2004,"&gt;="&amp;$P$1,周转筐出入库明细!$B$4:$B$2004,"&lt;="&amp;$P$2))</f>
        <v/>
      </c>
      <c r="G59" s="25" t="str">
        <f>IF(OR($B59="",基础资料!$B$8=""),"",SUMIFS(周转筐出入库明细!$H$4:$H$2004,周转筐出入库明细!$C$4:$C$2004,$B59,周转筐出入库明细!$D$4:$D$2004,基础资料!$B$8,周转筐出入库明细!$F$4:$F$2004,"采购入库",周转筐出入库明细!$B$4:$B$2004,"&gt;="&amp;$P$1,周转筐出入库明细!$B$4:$B$2004,"&lt;="&amp;$P$2))</f>
        <v/>
      </c>
      <c r="H59" s="25" t="str">
        <f>IF($B59="","",SUMIFS(周转筐出入库明细!$H$4:$H$2004,周转筐出入库明细!$C$4:$C$2004,$B59,周转筐出入库明细!$F$4:$F$2004,"采购入库",周转筐出入库明细!$B$4:$B$2004,"&gt;="&amp;$P$1,周转筐出入库明细!$B$4:$B$2004,"&lt;="&amp;$P$2)-SUM($C59:$G59))</f>
        <v/>
      </c>
      <c r="I59" s="25" t="str">
        <f t="shared" si="1"/>
        <v/>
      </c>
      <c r="J59" s="26" t="str">
        <f>IF($B59="","",ROUND(SUMIFS(周转筐出入库明细!$P$4:$P$2004,周转筐出入库明细!$C$4:$C$2004,$B59,周转筐出入库明细!$F$4:$F$2004,"采购入库",周转筐出入库明细!$B$4:$B$2004,"&gt;="&amp;$P$1,周转筐出入库明细!$B$4:$B$2004,"&lt;="&amp;$P$2),2))</f>
        <v/>
      </c>
      <c r="K59" s="26" t="str">
        <f>IF($B59="","",ROUND(SUMIFS(周转筐出入库明细!$P$4:$P$2004,周转筐出入库明细!$C$4:$C$2004,$B59,周转筐出入库明细!$F$4:$F$2004,"采购入库",周转筐出入库明细!$Q$4:$Q$2004,"已付款",周转筐出入库明细!$B$4:$B$2004,"&gt;="&amp;$P$1,周转筐出入库明细!$B$4:$B$2004,"&lt;="&amp;$P$2),2))</f>
        <v/>
      </c>
      <c r="L59" s="26" t="str">
        <f t="shared" si="2"/>
        <v/>
      </c>
    </row>
    <row r="60" spans="1:12">
      <c r="A60" s="22" t="str">
        <f t="shared" si="0"/>
        <v/>
      </c>
      <c r="B60" s="37" t="str">
        <f>IFERROR(INDEX(_自动清单!$CW$4:$CW$203,ROW()-3),"")</f>
        <v/>
      </c>
      <c r="C60" s="25" t="str">
        <f>IF(OR($B60="",基础资料!$B$4=""),"",SUMIFS(周转筐出入库明细!$H$4:$H$2004,周转筐出入库明细!$C$4:$C$2004,$B60,周转筐出入库明细!$D$4:$D$2004,基础资料!$B$4,周转筐出入库明细!$F$4:$F$2004,"采购入库",周转筐出入库明细!$B$4:$B$2004,"&gt;="&amp;$P$1,周转筐出入库明细!$B$4:$B$2004,"&lt;="&amp;$P$2))</f>
        <v/>
      </c>
      <c r="D60" s="25" t="str">
        <f>IF(OR($B60="",基础资料!$B$5=""),"",SUMIFS(周转筐出入库明细!$H$4:$H$2004,周转筐出入库明细!$C$4:$C$2004,$B60,周转筐出入库明细!$D$4:$D$2004,基础资料!$B$5,周转筐出入库明细!$F$4:$F$2004,"采购入库",周转筐出入库明细!$B$4:$B$2004,"&gt;="&amp;$P$1,周转筐出入库明细!$B$4:$B$2004,"&lt;="&amp;$P$2))</f>
        <v/>
      </c>
      <c r="E60" s="25" t="str">
        <f>IF(OR($B60="",基础资料!$B$6=""),"",SUMIFS(周转筐出入库明细!$H$4:$H$2004,周转筐出入库明细!$C$4:$C$2004,$B60,周转筐出入库明细!$D$4:$D$2004,基础资料!$B$6,周转筐出入库明细!$F$4:$F$2004,"采购入库",周转筐出入库明细!$B$4:$B$2004,"&gt;="&amp;$P$1,周转筐出入库明细!$B$4:$B$2004,"&lt;="&amp;$P$2))</f>
        <v/>
      </c>
      <c r="F60" s="25" t="str">
        <f>IF(OR($B60="",基础资料!$B$7=""),"",SUMIFS(周转筐出入库明细!$H$4:$H$2004,周转筐出入库明细!$C$4:$C$2004,$B60,周转筐出入库明细!$D$4:$D$2004,基础资料!$B$7,周转筐出入库明细!$F$4:$F$2004,"采购入库",周转筐出入库明细!$B$4:$B$2004,"&gt;="&amp;$P$1,周转筐出入库明细!$B$4:$B$2004,"&lt;="&amp;$P$2))</f>
        <v/>
      </c>
      <c r="G60" s="25" t="str">
        <f>IF(OR($B60="",基础资料!$B$8=""),"",SUMIFS(周转筐出入库明细!$H$4:$H$2004,周转筐出入库明细!$C$4:$C$2004,$B60,周转筐出入库明细!$D$4:$D$2004,基础资料!$B$8,周转筐出入库明细!$F$4:$F$2004,"采购入库",周转筐出入库明细!$B$4:$B$2004,"&gt;="&amp;$P$1,周转筐出入库明细!$B$4:$B$2004,"&lt;="&amp;$P$2))</f>
        <v/>
      </c>
      <c r="H60" s="25" t="str">
        <f>IF($B60="","",SUMIFS(周转筐出入库明细!$H$4:$H$2004,周转筐出入库明细!$C$4:$C$2004,$B60,周转筐出入库明细!$F$4:$F$2004,"采购入库",周转筐出入库明细!$B$4:$B$2004,"&gt;="&amp;$P$1,周转筐出入库明细!$B$4:$B$2004,"&lt;="&amp;$P$2)-SUM($C60:$G60))</f>
        <v/>
      </c>
      <c r="I60" s="25" t="str">
        <f t="shared" si="1"/>
        <v/>
      </c>
      <c r="J60" s="26" t="str">
        <f>IF($B60="","",ROUND(SUMIFS(周转筐出入库明细!$P$4:$P$2004,周转筐出入库明细!$C$4:$C$2004,$B60,周转筐出入库明细!$F$4:$F$2004,"采购入库",周转筐出入库明细!$B$4:$B$2004,"&gt;="&amp;$P$1,周转筐出入库明细!$B$4:$B$2004,"&lt;="&amp;$P$2),2))</f>
        <v/>
      </c>
      <c r="K60" s="26" t="str">
        <f>IF($B60="","",ROUND(SUMIFS(周转筐出入库明细!$P$4:$P$2004,周转筐出入库明细!$C$4:$C$2004,$B60,周转筐出入库明细!$F$4:$F$2004,"采购入库",周转筐出入库明细!$Q$4:$Q$2004,"已付款",周转筐出入库明细!$B$4:$B$2004,"&gt;="&amp;$P$1,周转筐出入库明细!$B$4:$B$2004,"&lt;="&amp;$P$2),2))</f>
        <v/>
      </c>
      <c r="L60" s="26" t="str">
        <f t="shared" si="2"/>
        <v/>
      </c>
    </row>
    <row r="61" spans="1:12">
      <c r="A61" s="22" t="str">
        <f t="shared" si="0"/>
        <v/>
      </c>
      <c r="B61" s="37" t="str">
        <f>IFERROR(INDEX(_自动清单!$CW$4:$CW$203,ROW()-3),"")</f>
        <v/>
      </c>
      <c r="C61" s="25" t="str">
        <f>IF(OR($B61="",基础资料!$B$4=""),"",SUMIFS(周转筐出入库明细!$H$4:$H$2004,周转筐出入库明细!$C$4:$C$2004,$B61,周转筐出入库明细!$D$4:$D$2004,基础资料!$B$4,周转筐出入库明细!$F$4:$F$2004,"采购入库",周转筐出入库明细!$B$4:$B$2004,"&gt;="&amp;$P$1,周转筐出入库明细!$B$4:$B$2004,"&lt;="&amp;$P$2))</f>
        <v/>
      </c>
      <c r="D61" s="25" t="str">
        <f>IF(OR($B61="",基础资料!$B$5=""),"",SUMIFS(周转筐出入库明细!$H$4:$H$2004,周转筐出入库明细!$C$4:$C$2004,$B61,周转筐出入库明细!$D$4:$D$2004,基础资料!$B$5,周转筐出入库明细!$F$4:$F$2004,"采购入库",周转筐出入库明细!$B$4:$B$2004,"&gt;="&amp;$P$1,周转筐出入库明细!$B$4:$B$2004,"&lt;="&amp;$P$2))</f>
        <v/>
      </c>
      <c r="E61" s="25" t="str">
        <f>IF(OR($B61="",基础资料!$B$6=""),"",SUMIFS(周转筐出入库明细!$H$4:$H$2004,周转筐出入库明细!$C$4:$C$2004,$B61,周转筐出入库明细!$D$4:$D$2004,基础资料!$B$6,周转筐出入库明细!$F$4:$F$2004,"采购入库",周转筐出入库明细!$B$4:$B$2004,"&gt;="&amp;$P$1,周转筐出入库明细!$B$4:$B$2004,"&lt;="&amp;$P$2))</f>
        <v/>
      </c>
      <c r="F61" s="25" t="str">
        <f>IF(OR($B61="",基础资料!$B$7=""),"",SUMIFS(周转筐出入库明细!$H$4:$H$2004,周转筐出入库明细!$C$4:$C$2004,$B61,周转筐出入库明细!$D$4:$D$2004,基础资料!$B$7,周转筐出入库明细!$F$4:$F$2004,"采购入库",周转筐出入库明细!$B$4:$B$2004,"&gt;="&amp;$P$1,周转筐出入库明细!$B$4:$B$2004,"&lt;="&amp;$P$2))</f>
        <v/>
      </c>
      <c r="G61" s="25" t="str">
        <f>IF(OR($B61="",基础资料!$B$8=""),"",SUMIFS(周转筐出入库明细!$H$4:$H$2004,周转筐出入库明细!$C$4:$C$2004,$B61,周转筐出入库明细!$D$4:$D$2004,基础资料!$B$8,周转筐出入库明细!$F$4:$F$2004,"采购入库",周转筐出入库明细!$B$4:$B$2004,"&gt;="&amp;$P$1,周转筐出入库明细!$B$4:$B$2004,"&lt;="&amp;$P$2))</f>
        <v/>
      </c>
      <c r="H61" s="25" t="str">
        <f>IF($B61="","",SUMIFS(周转筐出入库明细!$H$4:$H$2004,周转筐出入库明细!$C$4:$C$2004,$B61,周转筐出入库明细!$F$4:$F$2004,"采购入库",周转筐出入库明细!$B$4:$B$2004,"&gt;="&amp;$P$1,周转筐出入库明细!$B$4:$B$2004,"&lt;="&amp;$P$2)-SUM($C61:$G61))</f>
        <v/>
      </c>
      <c r="I61" s="25" t="str">
        <f t="shared" si="1"/>
        <v/>
      </c>
      <c r="J61" s="26" t="str">
        <f>IF($B61="","",ROUND(SUMIFS(周转筐出入库明细!$P$4:$P$2004,周转筐出入库明细!$C$4:$C$2004,$B61,周转筐出入库明细!$F$4:$F$2004,"采购入库",周转筐出入库明细!$B$4:$B$2004,"&gt;="&amp;$P$1,周转筐出入库明细!$B$4:$B$2004,"&lt;="&amp;$P$2),2))</f>
        <v/>
      </c>
      <c r="K61" s="26" t="str">
        <f>IF($B61="","",ROUND(SUMIFS(周转筐出入库明细!$P$4:$P$2004,周转筐出入库明细!$C$4:$C$2004,$B61,周转筐出入库明细!$F$4:$F$2004,"采购入库",周转筐出入库明细!$Q$4:$Q$2004,"已付款",周转筐出入库明细!$B$4:$B$2004,"&gt;="&amp;$P$1,周转筐出入库明细!$B$4:$B$2004,"&lt;="&amp;$P$2),2))</f>
        <v/>
      </c>
      <c r="L61" s="26" t="str">
        <f t="shared" si="2"/>
        <v/>
      </c>
    </row>
    <row r="62" spans="1:12">
      <c r="A62" s="22" t="str">
        <f t="shared" si="0"/>
        <v/>
      </c>
      <c r="B62" s="37" t="str">
        <f>IFERROR(INDEX(_自动清单!$CW$4:$CW$203,ROW()-3),"")</f>
        <v/>
      </c>
      <c r="C62" s="25" t="str">
        <f>IF(OR($B62="",基础资料!$B$4=""),"",SUMIFS(周转筐出入库明细!$H$4:$H$2004,周转筐出入库明细!$C$4:$C$2004,$B62,周转筐出入库明细!$D$4:$D$2004,基础资料!$B$4,周转筐出入库明细!$F$4:$F$2004,"采购入库",周转筐出入库明细!$B$4:$B$2004,"&gt;="&amp;$P$1,周转筐出入库明细!$B$4:$B$2004,"&lt;="&amp;$P$2))</f>
        <v/>
      </c>
      <c r="D62" s="25" t="str">
        <f>IF(OR($B62="",基础资料!$B$5=""),"",SUMIFS(周转筐出入库明细!$H$4:$H$2004,周转筐出入库明细!$C$4:$C$2004,$B62,周转筐出入库明细!$D$4:$D$2004,基础资料!$B$5,周转筐出入库明细!$F$4:$F$2004,"采购入库",周转筐出入库明细!$B$4:$B$2004,"&gt;="&amp;$P$1,周转筐出入库明细!$B$4:$B$2004,"&lt;="&amp;$P$2))</f>
        <v/>
      </c>
      <c r="E62" s="25" t="str">
        <f>IF(OR($B62="",基础资料!$B$6=""),"",SUMIFS(周转筐出入库明细!$H$4:$H$2004,周转筐出入库明细!$C$4:$C$2004,$B62,周转筐出入库明细!$D$4:$D$2004,基础资料!$B$6,周转筐出入库明细!$F$4:$F$2004,"采购入库",周转筐出入库明细!$B$4:$B$2004,"&gt;="&amp;$P$1,周转筐出入库明细!$B$4:$B$2004,"&lt;="&amp;$P$2))</f>
        <v/>
      </c>
      <c r="F62" s="25" t="str">
        <f>IF(OR($B62="",基础资料!$B$7=""),"",SUMIFS(周转筐出入库明细!$H$4:$H$2004,周转筐出入库明细!$C$4:$C$2004,$B62,周转筐出入库明细!$D$4:$D$2004,基础资料!$B$7,周转筐出入库明细!$F$4:$F$2004,"采购入库",周转筐出入库明细!$B$4:$B$2004,"&gt;="&amp;$P$1,周转筐出入库明细!$B$4:$B$2004,"&lt;="&amp;$P$2))</f>
        <v/>
      </c>
      <c r="G62" s="25" t="str">
        <f>IF(OR($B62="",基础资料!$B$8=""),"",SUMIFS(周转筐出入库明细!$H$4:$H$2004,周转筐出入库明细!$C$4:$C$2004,$B62,周转筐出入库明细!$D$4:$D$2004,基础资料!$B$8,周转筐出入库明细!$F$4:$F$2004,"采购入库",周转筐出入库明细!$B$4:$B$2004,"&gt;="&amp;$P$1,周转筐出入库明细!$B$4:$B$2004,"&lt;="&amp;$P$2))</f>
        <v/>
      </c>
      <c r="H62" s="25" t="str">
        <f>IF($B62="","",SUMIFS(周转筐出入库明细!$H$4:$H$2004,周转筐出入库明细!$C$4:$C$2004,$B62,周转筐出入库明细!$F$4:$F$2004,"采购入库",周转筐出入库明细!$B$4:$B$2004,"&gt;="&amp;$P$1,周转筐出入库明细!$B$4:$B$2004,"&lt;="&amp;$P$2)-SUM($C62:$G62))</f>
        <v/>
      </c>
      <c r="I62" s="25" t="str">
        <f t="shared" si="1"/>
        <v/>
      </c>
      <c r="J62" s="26" t="str">
        <f>IF($B62="","",ROUND(SUMIFS(周转筐出入库明细!$P$4:$P$2004,周转筐出入库明细!$C$4:$C$2004,$B62,周转筐出入库明细!$F$4:$F$2004,"采购入库",周转筐出入库明细!$B$4:$B$2004,"&gt;="&amp;$P$1,周转筐出入库明细!$B$4:$B$2004,"&lt;="&amp;$P$2),2))</f>
        <v/>
      </c>
      <c r="K62" s="26" t="str">
        <f>IF($B62="","",ROUND(SUMIFS(周转筐出入库明细!$P$4:$P$2004,周转筐出入库明细!$C$4:$C$2004,$B62,周转筐出入库明细!$F$4:$F$2004,"采购入库",周转筐出入库明细!$Q$4:$Q$2004,"已付款",周转筐出入库明细!$B$4:$B$2004,"&gt;="&amp;$P$1,周转筐出入库明细!$B$4:$B$2004,"&lt;="&amp;$P$2),2))</f>
        <v/>
      </c>
      <c r="L62" s="26" t="str">
        <f t="shared" si="2"/>
        <v/>
      </c>
    </row>
    <row r="63" spans="1:12">
      <c r="A63" s="22" t="str">
        <f t="shared" si="0"/>
        <v/>
      </c>
      <c r="B63" s="37" t="str">
        <f>IFERROR(INDEX(_自动清单!$CW$4:$CW$203,ROW()-3),"")</f>
        <v/>
      </c>
      <c r="C63" s="25" t="str">
        <f>IF(OR($B63="",基础资料!$B$4=""),"",SUMIFS(周转筐出入库明细!$H$4:$H$2004,周转筐出入库明细!$C$4:$C$2004,$B63,周转筐出入库明细!$D$4:$D$2004,基础资料!$B$4,周转筐出入库明细!$F$4:$F$2004,"采购入库",周转筐出入库明细!$B$4:$B$2004,"&gt;="&amp;$P$1,周转筐出入库明细!$B$4:$B$2004,"&lt;="&amp;$P$2))</f>
        <v/>
      </c>
      <c r="D63" s="25" t="str">
        <f>IF(OR($B63="",基础资料!$B$5=""),"",SUMIFS(周转筐出入库明细!$H$4:$H$2004,周转筐出入库明细!$C$4:$C$2004,$B63,周转筐出入库明细!$D$4:$D$2004,基础资料!$B$5,周转筐出入库明细!$F$4:$F$2004,"采购入库",周转筐出入库明细!$B$4:$B$2004,"&gt;="&amp;$P$1,周转筐出入库明细!$B$4:$B$2004,"&lt;="&amp;$P$2))</f>
        <v/>
      </c>
      <c r="E63" s="25" t="str">
        <f>IF(OR($B63="",基础资料!$B$6=""),"",SUMIFS(周转筐出入库明细!$H$4:$H$2004,周转筐出入库明细!$C$4:$C$2004,$B63,周转筐出入库明细!$D$4:$D$2004,基础资料!$B$6,周转筐出入库明细!$F$4:$F$2004,"采购入库",周转筐出入库明细!$B$4:$B$2004,"&gt;="&amp;$P$1,周转筐出入库明细!$B$4:$B$2004,"&lt;="&amp;$P$2))</f>
        <v/>
      </c>
      <c r="F63" s="25" t="str">
        <f>IF(OR($B63="",基础资料!$B$7=""),"",SUMIFS(周转筐出入库明细!$H$4:$H$2004,周转筐出入库明细!$C$4:$C$2004,$B63,周转筐出入库明细!$D$4:$D$2004,基础资料!$B$7,周转筐出入库明细!$F$4:$F$2004,"采购入库",周转筐出入库明细!$B$4:$B$2004,"&gt;="&amp;$P$1,周转筐出入库明细!$B$4:$B$2004,"&lt;="&amp;$P$2))</f>
        <v/>
      </c>
      <c r="G63" s="25" t="str">
        <f>IF(OR($B63="",基础资料!$B$8=""),"",SUMIFS(周转筐出入库明细!$H$4:$H$2004,周转筐出入库明细!$C$4:$C$2004,$B63,周转筐出入库明细!$D$4:$D$2004,基础资料!$B$8,周转筐出入库明细!$F$4:$F$2004,"采购入库",周转筐出入库明细!$B$4:$B$2004,"&gt;="&amp;$P$1,周转筐出入库明细!$B$4:$B$2004,"&lt;="&amp;$P$2))</f>
        <v/>
      </c>
      <c r="H63" s="25" t="str">
        <f>IF($B63="","",SUMIFS(周转筐出入库明细!$H$4:$H$2004,周转筐出入库明细!$C$4:$C$2004,$B63,周转筐出入库明细!$F$4:$F$2004,"采购入库",周转筐出入库明细!$B$4:$B$2004,"&gt;="&amp;$P$1,周转筐出入库明细!$B$4:$B$2004,"&lt;="&amp;$P$2)-SUM($C63:$G63))</f>
        <v/>
      </c>
      <c r="I63" s="25" t="str">
        <f t="shared" si="1"/>
        <v/>
      </c>
      <c r="J63" s="26" t="str">
        <f>IF($B63="","",ROUND(SUMIFS(周转筐出入库明细!$P$4:$P$2004,周转筐出入库明细!$C$4:$C$2004,$B63,周转筐出入库明细!$F$4:$F$2004,"采购入库",周转筐出入库明细!$B$4:$B$2004,"&gt;="&amp;$P$1,周转筐出入库明细!$B$4:$B$2004,"&lt;="&amp;$P$2),2))</f>
        <v/>
      </c>
      <c r="K63" s="26" t="str">
        <f>IF($B63="","",ROUND(SUMIFS(周转筐出入库明细!$P$4:$P$2004,周转筐出入库明细!$C$4:$C$2004,$B63,周转筐出入库明细!$F$4:$F$2004,"采购入库",周转筐出入库明细!$Q$4:$Q$2004,"已付款",周转筐出入库明细!$B$4:$B$2004,"&gt;="&amp;$P$1,周转筐出入库明细!$B$4:$B$2004,"&lt;="&amp;$P$2),2))</f>
        <v/>
      </c>
      <c r="L63" s="26" t="str">
        <f t="shared" si="2"/>
        <v/>
      </c>
    </row>
    <row r="64" spans="1:12">
      <c r="A64" s="22" t="str">
        <f t="shared" si="0"/>
        <v/>
      </c>
      <c r="B64" s="37" t="str">
        <f>IFERROR(INDEX(_自动清单!$CW$4:$CW$203,ROW()-3),"")</f>
        <v/>
      </c>
      <c r="C64" s="25" t="str">
        <f>IF(OR($B64="",基础资料!$B$4=""),"",SUMIFS(周转筐出入库明细!$H$4:$H$2004,周转筐出入库明细!$C$4:$C$2004,$B64,周转筐出入库明细!$D$4:$D$2004,基础资料!$B$4,周转筐出入库明细!$F$4:$F$2004,"采购入库",周转筐出入库明细!$B$4:$B$2004,"&gt;="&amp;$P$1,周转筐出入库明细!$B$4:$B$2004,"&lt;="&amp;$P$2))</f>
        <v/>
      </c>
      <c r="D64" s="25" t="str">
        <f>IF(OR($B64="",基础资料!$B$5=""),"",SUMIFS(周转筐出入库明细!$H$4:$H$2004,周转筐出入库明细!$C$4:$C$2004,$B64,周转筐出入库明细!$D$4:$D$2004,基础资料!$B$5,周转筐出入库明细!$F$4:$F$2004,"采购入库",周转筐出入库明细!$B$4:$B$2004,"&gt;="&amp;$P$1,周转筐出入库明细!$B$4:$B$2004,"&lt;="&amp;$P$2))</f>
        <v/>
      </c>
      <c r="E64" s="25" t="str">
        <f>IF(OR($B64="",基础资料!$B$6=""),"",SUMIFS(周转筐出入库明细!$H$4:$H$2004,周转筐出入库明细!$C$4:$C$2004,$B64,周转筐出入库明细!$D$4:$D$2004,基础资料!$B$6,周转筐出入库明细!$F$4:$F$2004,"采购入库",周转筐出入库明细!$B$4:$B$2004,"&gt;="&amp;$P$1,周转筐出入库明细!$B$4:$B$2004,"&lt;="&amp;$P$2))</f>
        <v/>
      </c>
      <c r="F64" s="25" t="str">
        <f>IF(OR($B64="",基础资料!$B$7=""),"",SUMIFS(周转筐出入库明细!$H$4:$H$2004,周转筐出入库明细!$C$4:$C$2004,$B64,周转筐出入库明细!$D$4:$D$2004,基础资料!$B$7,周转筐出入库明细!$F$4:$F$2004,"采购入库",周转筐出入库明细!$B$4:$B$2004,"&gt;="&amp;$P$1,周转筐出入库明细!$B$4:$B$2004,"&lt;="&amp;$P$2))</f>
        <v/>
      </c>
      <c r="G64" s="25" t="str">
        <f>IF(OR($B64="",基础资料!$B$8=""),"",SUMIFS(周转筐出入库明细!$H$4:$H$2004,周转筐出入库明细!$C$4:$C$2004,$B64,周转筐出入库明细!$D$4:$D$2004,基础资料!$B$8,周转筐出入库明细!$F$4:$F$2004,"采购入库",周转筐出入库明细!$B$4:$B$2004,"&gt;="&amp;$P$1,周转筐出入库明细!$B$4:$B$2004,"&lt;="&amp;$P$2))</f>
        <v/>
      </c>
      <c r="H64" s="25" t="str">
        <f>IF($B64="","",SUMIFS(周转筐出入库明细!$H$4:$H$2004,周转筐出入库明细!$C$4:$C$2004,$B64,周转筐出入库明细!$F$4:$F$2004,"采购入库",周转筐出入库明细!$B$4:$B$2004,"&gt;="&amp;$P$1,周转筐出入库明细!$B$4:$B$2004,"&lt;="&amp;$P$2)-SUM($C64:$G64))</f>
        <v/>
      </c>
      <c r="I64" s="25" t="str">
        <f t="shared" si="1"/>
        <v/>
      </c>
      <c r="J64" s="26" t="str">
        <f>IF($B64="","",ROUND(SUMIFS(周转筐出入库明细!$P$4:$P$2004,周转筐出入库明细!$C$4:$C$2004,$B64,周转筐出入库明细!$F$4:$F$2004,"采购入库",周转筐出入库明细!$B$4:$B$2004,"&gt;="&amp;$P$1,周转筐出入库明细!$B$4:$B$2004,"&lt;="&amp;$P$2),2))</f>
        <v/>
      </c>
      <c r="K64" s="26" t="str">
        <f>IF($B64="","",ROUND(SUMIFS(周转筐出入库明细!$P$4:$P$2004,周转筐出入库明细!$C$4:$C$2004,$B64,周转筐出入库明细!$F$4:$F$2004,"采购入库",周转筐出入库明细!$Q$4:$Q$2004,"已付款",周转筐出入库明细!$B$4:$B$2004,"&gt;="&amp;$P$1,周转筐出入库明细!$B$4:$B$2004,"&lt;="&amp;$P$2),2))</f>
        <v/>
      </c>
      <c r="L64" s="26" t="str">
        <f t="shared" si="2"/>
        <v/>
      </c>
    </row>
    <row r="65" spans="1:12">
      <c r="A65" s="22" t="str">
        <f t="shared" si="0"/>
        <v/>
      </c>
      <c r="B65" s="37" t="str">
        <f>IFERROR(INDEX(_自动清单!$CW$4:$CW$203,ROW()-3),"")</f>
        <v/>
      </c>
      <c r="C65" s="25" t="str">
        <f>IF(OR($B65="",基础资料!$B$4=""),"",SUMIFS(周转筐出入库明细!$H$4:$H$2004,周转筐出入库明细!$C$4:$C$2004,$B65,周转筐出入库明细!$D$4:$D$2004,基础资料!$B$4,周转筐出入库明细!$F$4:$F$2004,"采购入库",周转筐出入库明细!$B$4:$B$2004,"&gt;="&amp;$P$1,周转筐出入库明细!$B$4:$B$2004,"&lt;="&amp;$P$2))</f>
        <v/>
      </c>
      <c r="D65" s="25" t="str">
        <f>IF(OR($B65="",基础资料!$B$5=""),"",SUMIFS(周转筐出入库明细!$H$4:$H$2004,周转筐出入库明细!$C$4:$C$2004,$B65,周转筐出入库明细!$D$4:$D$2004,基础资料!$B$5,周转筐出入库明细!$F$4:$F$2004,"采购入库",周转筐出入库明细!$B$4:$B$2004,"&gt;="&amp;$P$1,周转筐出入库明细!$B$4:$B$2004,"&lt;="&amp;$P$2))</f>
        <v/>
      </c>
      <c r="E65" s="25" t="str">
        <f>IF(OR($B65="",基础资料!$B$6=""),"",SUMIFS(周转筐出入库明细!$H$4:$H$2004,周转筐出入库明细!$C$4:$C$2004,$B65,周转筐出入库明细!$D$4:$D$2004,基础资料!$B$6,周转筐出入库明细!$F$4:$F$2004,"采购入库",周转筐出入库明细!$B$4:$B$2004,"&gt;="&amp;$P$1,周转筐出入库明细!$B$4:$B$2004,"&lt;="&amp;$P$2))</f>
        <v/>
      </c>
      <c r="F65" s="25" t="str">
        <f>IF(OR($B65="",基础资料!$B$7=""),"",SUMIFS(周转筐出入库明细!$H$4:$H$2004,周转筐出入库明细!$C$4:$C$2004,$B65,周转筐出入库明细!$D$4:$D$2004,基础资料!$B$7,周转筐出入库明细!$F$4:$F$2004,"采购入库",周转筐出入库明细!$B$4:$B$2004,"&gt;="&amp;$P$1,周转筐出入库明细!$B$4:$B$2004,"&lt;="&amp;$P$2))</f>
        <v/>
      </c>
      <c r="G65" s="25" t="str">
        <f>IF(OR($B65="",基础资料!$B$8=""),"",SUMIFS(周转筐出入库明细!$H$4:$H$2004,周转筐出入库明细!$C$4:$C$2004,$B65,周转筐出入库明细!$D$4:$D$2004,基础资料!$B$8,周转筐出入库明细!$F$4:$F$2004,"采购入库",周转筐出入库明细!$B$4:$B$2004,"&gt;="&amp;$P$1,周转筐出入库明细!$B$4:$B$2004,"&lt;="&amp;$P$2))</f>
        <v/>
      </c>
      <c r="H65" s="25" t="str">
        <f>IF($B65="","",SUMIFS(周转筐出入库明细!$H$4:$H$2004,周转筐出入库明细!$C$4:$C$2004,$B65,周转筐出入库明细!$F$4:$F$2004,"采购入库",周转筐出入库明细!$B$4:$B$2004,"&gt;="&amp;$P$1,周转筐出入库明细!$B$4:$B$2004,"&lt;="&amp;$P$2)-SUM($C65:$G65))</f>
        <v/>
      </c>
      <c r="I65" s="25" t="str">
        <f t="shared" si="1"/>
        <v/>
      </c>
      <c r="J65" s="26" t="str">
        <f>IF($B65="","",ROUND(SUMIFS(周转筐出入库明细!$P$4:$P$2004,周转筐出入库明细!$C$4:$C$2004,$B65,周转筐出入库明细!$F$4:$F$2004,"采购入库",周转筐出入库明细!$B$4:$B$2004,"&gt;="&amp;$P$1,周转筐出入库明细!$B$4:$B$2004,"&lt;="&amp;$P$2),2))</f>
        <v/>
      </c>
      <c r="K65" s="26" t="str">
        <f>IF($B65="","",ROUND(SUMIFS(周转筐出入库明细!$P$4:$P$2004,周转筐出入库明细!$C$4:$C$2004,$B65,周转筐出入库明细!$F$4:$F$2004,"采购入库",周转筐出入库明细!$Q$4:$Q$2004,"已付款",周转筐出入库明细!$B$4:$B$2004,"&gt;="&amp;$P$1,周转筐出入库明细!$B$4:$B$2004,"&lt;="&amp;$P$2),2))</f>
        <v/>
      </c>
      <c r="L65" s="26" t="str">
        <f t="shared" si="2"/>
        <v/>
      </c>
    </row>
    <row r="66" spans="1:12">
      <c r="A66" s="22" t="str">
        <f t="shared" si="0"/>
        <v/>
      </c>
      <c r="B66" s="37" t="str">
        <f>IFERROR(INDEX(_自动清单!$CW$4:$CW$203,ROW()-3),"")</f>
        <v/>
      </c>
      <c r="C66" s="25" t="str">
        <f>IF(OR($B66="",基础资料!$B$4=""),"",SUMIFS(周转筐出入库明细!$H$4:$H$2004,周转筐出入库明细!$C$4:$C$2004,$B66,周转筐出入库明细!$D$4:$D$2004,基础资料!$B$4,周转筐出入库明细!$F$4:$F$2004,"采购入库",周转筐出入库明细!$B$4:$B$2004,"&gt;="&amp;$P$1,周转筐出入库明细!$B$4:$B$2004,"&lt;="&amp;$P$2))</f>
        <v/>
      </c>
      <c r="D66" s="25" t="str">
        <f>IF(OR($B66="",基础资料!$B$5=""),"",SUMIFS(周转筐出入库明细!$H$4:$H$2004,周转筐出入库明细!$C$4:$C$2004,$B66,周转筐出入库明细!$D$4:$D$2004,基础资料!$B$5,周转筐出入库明细!$F$4:$F$2004,"采购入库",周转筐出入库明细!$B$4:$B$2004,"&gt;="&amp;$P$1,周转筐出入库明细!$B$4:$B$2004,"&lt;="&amp;$P$2))</f>
        <v/>
      </c>
      <c r="E66" s="25" t="str">
        <f>IF(OR($B66="",基础资料!$B$6=""),"",SUMIFS(周转筐出入库明细!$H$4:$H$2004,周转筐出入库明细!$C$4:$C$2004,$B66,周转筐出入库明细!$D$4:$D$2004,基础资料!$B$6,周转筐出入库明细!$F$4:$F$2004,"采购入库",周转筐出入库明细!$B$4:$B$2004,"&gt;="&amp;$P$1,周转筐出入库明细!$B$4:$B$2004,"&lt;="&amp;$P$2))</f>
        <v/>
      </c>
      <c r="F66" s="25" t="str">
        <f>IF(OR($B66="",基础资料!$B$7=""),"",SUMIFS(周转筐出入库明细!$H$4:$H$2004,周转筐出入库明细!$C$4:$C$2004,$B66,周转筐出入库明细!$D$4:$D$2004,基础资料!$B$7,周转筐出入库明细!$F$4:$F$2004,"采购入库",周转筐出入库明细!$B$4:$B$2004,"&gt;="&amp;$P$1,周转筐出入库明细!$B$4:$B$2004,"&lt;="&amp;$P$2))</f>
        <v/>
      </c>
      <c r="G66" s="25" t="str">
        <f>IF(OR($B66="",基础资料!$B$8=""),"",SUMIFS(周转筐出入库明细!$H$4:$H$2004,周转筐出入库明细!$C$4:$C$2004,$B66,周转筐出入库明细!$D$4:$D$2004,基础资料!$B$8,周转筐出入库明细!$F$4:$F$2004,"采购入库",周转筐出入库明细!$B$4:$B$2004,"&gt;="&amp;$P$1,周转筐出入库明细!$B$4:$B$2004,"&lt;="&amp;$P$2))</f>
        <v/>
      </c>
      <c r="H66" s="25" t="str">
        <f>IF($B66="","",SUMIFS(周转筐出入库明细!$H$4:$H$2004,周转筐出入库明细!$C$4:$C$2004,$B66,周转筐出入库明细!$F$4:$F$2004,"采购入库",周转筐出入库明细!$B$4:$B$2004,"&gt;="&amp;$P$1,周转筐出入库明细!$B$4:$B$2004,"&lt;="&amp;$P$2)-SUM($C66:$G66))</f>
        <v/>
      </c>
      <c r="I66" s="25" t="str">
        <f t="shared" si="1"/>
        <v/>
      </c>
      <c r="J66" s="26" t="str">
        <f>IF($B66="","",ROUND(SUMIFS(周转筐出入库明细!$P$4:$P$2004,周转筐出入库明细!$C$4:$C$2004,$B66,周转筐出入库明细!$F$4:$F$2004,"采购入库",周转筐出入库明细!$B$4:$B$2004,"&gt;="&amp;$P$1,周转筐出入库明细!$B$4:$B$2004,"&lt;="&amp;$P$2),2))</f>
        <v/>
      </c>
      <c r="K66" s="26" t="str">
        <f>IF($B66="","",ROUND(SUMIFS(周转筐出入库明细!$P$4:$P$2004,周转筐出入库明细!$C$4:$C$2004,$B66,周转筐出入库明细!$F$4:$F$2004,"采购入库",周转筐出入库明细!$Q$4:$Q$2004,"已付款",周转筐出入库明细!$B$4:$B$2004,"&gt;="&amp;$P$1,周转筐出入库明细!$B$4:$B$2004,"&lt;="&amp;$P$2),2))</f>
        <v/>
      </c>
      <c r="L66" s="26" t="str">
        <f t="shared" si="2"/>
        <v/>
      </c>
    </row>
    <row r="67" spans="1:12">
      <c r="A67" s="22" t="str">
        <f t="shared" si="0"/>
        <v/>
      </c>
      <c r="B67" s="37" t="str">
        <f>IFERROR(INDEX(_自动清单!$CW$4:$CW$203,ROW()-3),"")</f>
        <v/>
      </c>
      <c r="C67" s="25" t="str">
        <f>IF(OR($B67="",基础资料!$B$4=""),"",SUMIFS(周转筐出入库明细!$H$4:$H$2004,周转筐出入库明细!$C$4:$C$2004,$B67,周转筐出入库明细!$D$4:$D$2004,基础资料!$B$4,周转筐出入库明细!$F$4:$F$2004,"采购入库",周转筐出入库明细!$B$4:$B$2004,"&gt;="&amp;$P$1,周转筐出入库明细!$B$4:$B$2004,"&lt;="&amp;$P$2))</f>
        <v/>
      </c>
      <c r="D67" s="25" t="str">
        <f>IF(OR($B67="",基础资料!$B$5=""),"",SUMIFS(周转筐出入库明细!$H$4:$H$2004,周转筐出入库明细!$C$4:$C$2004,$B67,周转筐出入库明细!$D$4:$D$2004,基础资料!$B$5,周转筐出入库明细!$F$4:$F$2004,"采购入库",周转筐出入库明细!$B$4:$B$2004,"&gt;="&amp;$P$1,周转筐出入库明细!$B$4:$B$2004,"&lt;="&amp;$P$2))</f>
        <v/>
      </c>
      <c r="E67" s="25" t="str">
        <f>IF(OR($B67="",基础资料!$B$6=""),"",SUMIFS(周转筐出入库明细!$H$4:$H$2004,周转筐出入库明细!$C$4:$C$2004,$B67,周转筐出入库明细!$D$4:$D$2004,基础资料!$B$6,周转筐出入库明细!$F$4:$F$2004,"采购入库",周转筐出入库明细!$B$4:$B$2004,"&gt;="&amp;$P$1,周转筐出入库明细!$B$4:$B$2004,"&lt;="&amp;$P$2))</f>
        <v/>
      </c>
      <c r="F67" s="25" t="str">
        <f>IF(OR($B67="",基础资料!$B$7=""),"",SUMIFS(周转筐出入库明细!$H$4:$H$2004,周转筐出入库明细!$C$4:$C$2004,$B67,周转筐出入库明细!$D$4:$D$2004,基础资料!$B$7,周转筐出入库明细!$F$4:$F$2004,"采购入库",周转筐出入库明细!$B$4:$B$2004,"&gt;="&amp;$P$1,周转筐出入库明细!$B$4:$B$2004,"&lt;="&amp;$P$2))</f>
        <v/>
      </c>
      <c r="G67" s="25" t="str">
        <f>IF(OR($B67="",基础资料!$B$8=""),"",SUMIFS(周转筐出入库明细!$H$4:$H$2004,周转筐出入库明细!$C$4:$C$2004,$B67,周转筐出入库明细!$D$4:$D$2004,基础资料!$B$8,周转筐出入库明细!$F$4:$F$2004,"采购入库",周转筐出入库明细!$B$4:$B$2004,"&gt;="&amp;$P$1,周转筐出入库明细!$B$4:$B$2004,"&lt;="&amp;$P$2))</f>
        <v/>
      </c>
      <c r="H67" s="25" t="str">
        <f>IF($B67="","",SUMIFS(周转筐出入库明细!$H$4:$H$2004,周转筐出入库明细!$C$4:$C$2004,$B67,周转筐出入库明细!$F$4:$F$2004,"采购入库",周转筐出入库明细!$B$4:$B$2004,"&gt;="&amp;$P$1,周转筐出入库明细!$B$4:$B$2004,"&lt;="&amp;$P$2)-SUM($C67:$G67))</f>
        <v/>
      </c>
      <c r="I67" s="25" t="str">
        <f t="shared" si="1"/>
        <v/>
      </c>
      <c r="J67" s="26" t="str">
        <f>IF($B67="","",ROUND(SUMIFS(周转筐出入库明细!$P$4:$P$2004,周转筐出入库明细!$C$4:$C$2004,$B67,周转筐出入库明细!$F$4:$F$2004,"采购入库",周转筐出入库明细!$B$4:$B$2004,"&gt;="&amp;$P$1,周转筐出入库明细!$B$4:$B$2004,"&lt;="&amp;$P$2),2))</f>
        <v/>
      </c>
      <c r="K67" s="26" t="str">
        <f>IF($B67="","",ROUND(SUMIFS(周转筐出入库明细!$P$4:$P$2004,周转筐出入库明细!$C$4:$C$2004,$B67,周转筐出入库明细!$F$4:$F$2004,"采购入库",周转筐出入库明细!$Q$4:$Q$2004,"已付款",周转筐出入库明细!$B$4:$B$2004,"&gt;="&amp;$P$1,周转筐出入库明细!$B$4:$B$2004,"&lt;="&amp;$P$2),2))</f>
        <v/>
      </c>
      <c r="L67" s="26" t="str">
        <f t="shared" si="2"/>
        <v/>
      </c>
    </row>
    <row r="68" spans="1:12">
      <c r="A68" s="22" t="str">
        <f t="shared" ref="A68:A131" si="3">IF($B68="","",ROW()-3)</f>
        <v/>
      </c>
      <c r="B68" s="37" t="str">
        <f>IFERROR(INDEX(_自动清单!$CW$4:$CW$203,ROW()-3),"")</f>
        <v/>
      </c>
      <c r="C68" s="25" t="str">
        <f>IF(OR($B68="",基础资料!$B$4=""),"",SUMIFS(周转筐出入库明细!$H$4:$H$2004,周转筐出入库明细!$C$4:$C$2004,$B68,周转筐出入库明细!$D$4:$D$2004,基础资料!$B$4,周转筐出入库明细!$F$4:$F$2004,"采购入库",周转筐出入库明细!$B$4:$B$2004,"&gt;="&amp;$P$1,周转筐出入库明细!$B$4:$B$2004,"&lt;="&amp;$P$2))</f>
        <v/>
      </c>
      <c r="D68" s="25" t="str">
        <f>IF(OR($B68="",基础资料!$B$5=""),"",SUMIFS(周转筐出入库明细!$H$4:$H$2004,周转筐出入库明细!$C$4:$C$2004,$B68,周转筐出入库明细!$D$4:$D$2004,基础资料!$B$5,周转筐出入库明细!$F$4:$F$2004,"采购入库",周转筐出入库明细!$B$4:$B$2004,"&gt;="&amp;$P$1,周转筐出入库明细!$B$4:$B$2004,"&lt;="&amp;$P$2))</f>
        <v/>
      </c>
      <c r="E68" s="25" t="str">
        <f>IF(OR($B68="",基础资料!$B$6=""),"",SUMIFS(周转筐出入库明细!$H$4:$H$2004,周转筐出入库明细!$C$4:$C$2004,$B68,周转筐出入库明细!$D$4:$D$2004,基础资料!$B$6,周转筐出入库明细!$F$4:$F$2004,"采购入库",周转筐出入库明细!$B$4:$B$2004,"&gt;="&amp;$P$1,周转筐出入库明细!$B$4:$B$2004,"&lt;="&amp;$P$2))</f>
        <v/>
      </c>
      <c r="F68" s="25" t="str">
        <f>IF(OR($B68="",基础资料!$B$7=""),"",SUMIFS(周转筐出入库明细!$H$4:$H$2004,周转筐出入库明细!$C$4:$C$2004,$B68,周转筐出入库明细!$D$4:$D$2004,基础资料!$B$7,周转筐出入库明细!$F$4:$F$2004,"采购入库",周转筐出入库明细!$B$4:$B$2004,"&gt;="&amp;$P$1,周转筐出入库明细!$B$4:$B$2004,"&lt;="&amp;$P$2))</f>
        <v/>
      </c>
      <c r="G68" s="25" t="str">
        <f>IF(OR($B68="",基础资料!$B$8=""),"",SUMIFS(周转筐出入库明细!$H$4:$H$2004,周转筐出入库明细!$C$4:$C$2004,$B68,周转筐出入库明细!$D$4:$D$2004,基础资料!$B$8,周转筐出入库明细!$F$4:$F$2004,"采购入库",周转筐出入库明细!$B$4:$B$2004,"&gt;="&amp;$P$1,周转筐出入库明细!$B$4:$B$2004,"&lt;="&amp;$P$2))</f>
        <v/>
      </c>
      <c r="H68" s="25" t="str">
        <f>IF($B68="","",SUMIFS(周转筐出入库明细!$H$4:$H$2004,周转筐出入库明细!$C$4:$C$2004,$B68,周转筐出入库明细!$F$4:$F$2004,"采购入库",周转筐出入库明细!$B$4:$B$2004,"&gt;="&amp;$P$1,周转筐出入库明细!$B$4:$B$2004,"&lt;="&amp;$P$2)-SUM($C68:$G68))</f>
        <v/>
      </c>
      <c r="I68" s="25" t="str">
        <f t="shared" ref="I68:I131" si="4">IF($B68="","",SUM($C68:$H68))</f>
        <v/>
      </c>
      <c r="J68" s="26" t="str">
        <f>IF($B68="","",ROUND(SUMIFS(周转筐出入库明细!$P$4:$P$2004,周转筐出入库明细!$C$4:$C$2004,$B68,周转筐出入库明细!$F$4:$F$2004,"采购入库",周转筐出入库明细!$B$4:$B$2004,"&gt;="&amp;$P$1,周转筐出入库明细!$B$4:$B$2004,"&lt;="&amp;$P$2),2))</f>
        <v/>
      </c>
      <c r="K68" s="26" t="str">
        <f>IF($B68="","",ROUND(SUMIFS(周转筐出入库明细!$P$4:$P$2004,周转筐出入库明细!$C$4:$C$2004,$B68,周转筐出入库明细!$F$4:$F$2004,"采购入库",周转筐出入库明细!$Q$4:$Q$2004,"已付款",周转筐出入库明细!$B$4:$B$2004,"&gt;="&amp;$P$1,周转筐出入库明细!$B$4:$B$2004,"&lt;="&amp;$P$2),2))</f>
        <v/>
      </c>
      <c r="L68" s="26" t="str">
        <f t="shared" ref="L68:L131" si="5">IF($B68="","",ROUND(N($J68)-N($K68),2))</f>
        <v/>
      </c>
    </row>
    <row r="69" spans="1:12">
      <c r="A69" s="22" t="str">
        <f t="shared" si="3"/>
        <v/>
      </c>
      <c r="B69" s="37" t="str">
        <f>IFERROR(INDEX(_自动清单!$CW$4:$CW$203,ROW()-3),"")</f>
        <v/>
      </c>
      <c r="C69" s="25" t="str">
        <f>IF(OR($B69="",基础资料!$B$4=""),"",SUMIFS(周转筐出入库明细!$H$4:$H$2004,周转筐出入库明细!$C$4:$C$2004,$B69,周转筐出入库明细!$D$4:$D$2004,基础资料!$B$4,周转筐出入库明细!$F$4:$F$2004,"采购入库",周转筐出入库明细!$B$4:$B$2004,"&gt;="&amp;$P$1,周转筐出入库明细!$B$4:$B$2004,"&lt;="&amp;$P$2))</f>
        <v/>
      </c>
      <c r="D69" s="25" t="str">
        <f>IF(OR($B69="",基础资料!$B$5=""),"",SUMIFS(周转筐出入库明细!$H$4:$H$2004,周转筐出入库明细!$C$4:$C$2004,$B69,周转筐出入库明细!$D$4:$D$2004,基础资料!$B$5,周转筐出入库明细!$F$4:$F$2004,"采购入库",周转筐出入库明细!$B$4:$B$2004,"&gt;="&amp;$P$1,周转筐出入库明细!$B$4:$B$2004,"&lt;="&amp;$P$2))</f>
        <v/>
      </c>
      <c r="E69" s="25" t="str">
        <f>IF(OR($B69="",基础资料!$B$6=""),"",SUMIFS(周转筐出入库明细!$H$4:$H$2004,周转筐出入库明细!$C$4:$C$2004,$B69,周转筐出入库明细!$D$4:$D$2004,基础资料!$B$6,周转筐出入库明细!$F$4:$F$2004,"采购入库",周转筐出入库明细!$B$4:$B$2004,"&gt;="&amp;$P$1,周转筐出入库明细!$B$4:$B$2004,"&lt;="&amp;$P$2))</f>
        <v/>
      </c>
      <c r="F69" s="25" t="str">
        <f>IF(OR($B69="",基础资料!$B$7=""),"",SUMIFS(周转筐出入库明细!$H$4:$H$2004,周转筐出入库明细!$C$4:$C$2004,$B69,周转筐出入库明细!$D$4:$D$2004,基础资料!$B$7,周转筐出入库明细!$F$4:$F$2004,"采购入库",周转筐出入库明细!$B$4:$B$2004,"&gt;="&amp;$P$1,周转筐出入库明细!$B$4:$B$2004,"&lt;="&amp;$P$2))</f>
        <v/>
      </c>
      <c r="G69" s="25" t="str">
        <f>IF(OR($B69="",基础资料!$B$8=""),"",SUMIFS(周转筐出入库明细!$H$4:$H$2004,周转筐出入库明细!$C$4:$C$2004,$B69,周转筐出入库明细!$D$4:$D$2004,基础资料!$B$8,周转筐出入库明细!$F$4:$F$2004,"采购入库",周转筐出入库明细!$B$4:$B$2004,"&gt;="&amp;$P$1,周转筐出入库明细!$B$4:$B$2004,"&lt;="&amp;$P$2))</f>
        <v/>
      </c>
      <c r="H69" s="25" t="str">
        <f>IF($B69="","",SUMIFS(周转筐出入库明细!$H$4:$H$2004,周转筐出入库明细!$C$4:$C$2004,$B69,周转筐出入库明细!$F$4:$F$2004,"采购入库",周转筐出入库明细!$B$4:$B$2004,"&gt;="&amp;$P$1,周转筐出入库明细!$B$4:$B$2004,"&lt;="&amp;$P$2)-SUM($C69:$G69))</f>
        <v/>
      </c>
      <c r="I69" s="25" t="str">
        <f t="shared" si="4"/>
        <v/>
      </c>
      <c r="J69" s="26" t="str">
        <f>IF($B69="","",ROUND(SUMIFS(周转筐出入库明细!$P$4:$P$2004,周转筐出入库明细!$C$4:$C$2004,$B69,周转筐出入库明细!$F$4:$F$2004,"采购入库",周转筐出入库明细!$B$4:$B$2004,"&gt;="&amp;$P$1,周转筐出入库明细!$B$4:$B$2004,"&lt;="&amp;$P$2),2))</f>
        <v/>
      </c>
      <c r="K69" s="26" t="str">
        <f>IF($B69="","",ROUND(SUMIFS(周转筐出入库明细!$P$4:$P$2004,周转筐出入库明细!$C$4:$C$2004,$B69,周转筐出入库明细!$F$4:$F$2004,"采购入库",周转筐出入库明细!$Q$4:$Q$2004,"已付款",周转筐出入库明细!$B$4:$B$2004,"&gt;="&amp;$P$1,周转筐出入库明细!$B$4:$B$2004,"&lt;="&amp;$P$2),2))</f>
        <v/>
      </c>
      <c r="L69" s="26" t="str">
        <f t="shared" si="5"/>
        <v/>
      </c>
    </row>
    <row r="70" spans="1:12">
      <c r="A70" s="22" t="str">
        <f t="shared" si="3"/>
        <v/>
      </c>
      <c r="B70" s="37" t="str">
        <f>IFERROR(INDEX(_自动清单!$CW$4:$CW$203,ROW()-3),"")</f>
        <v/>
      </c>
      <c r="C70" s="25" t="str">
        <f>IF(OR($B70="",基础资料!$B$4=""),"",SUMIFS(周转筐出入库明细!$H$4:$H$2004,周转筐出入库明细!$C$4:$C$2004,$B70,周转筐出入库明细!$D$4:$D$2004,基础资料!$B$4,周转筐出入库明细!$F$4:$F$2004,"采购入库",周转筐出入库明细!$B$4:$B$2004,"&gt;="&amp;$P$1,周转筐出入库明细!$B$4:$B$2004,"&lt;="&amp;$P$2))</f>
        <v/>
      </c>
      <c r="D70" s="25" t="str">
        <f>IF(OR($B70="",基础资料!$B$5=""),"",SUMIFS(周转筐出入库明细!$H$4:$H$2004,周转筐出入库明细!$C$4:$C$2004,$B70,周转筐出入库明细!$D$4:$D$2004,基础资料!$B$5,周转筐出入库明细!$F$4:$F$2004,"采购入库",周转筐出入库明细!$B$4:$B$2004,"&gt;="&amp;$P$1,周转筐出入库明细!$B$4:$B$2004,"&lt;="&amp;$P$2))</f>
        <v/>
      </c>
      <c r="E70" s="25" t="str">
        <f>IF(OR($B70="",基础资料!$B$6=""),"",SUMIFS(周转筐出入库明细!$H$4:$H$2004,周转筐出入库明细!$C$4:$C$2004,$B70,周转筐出入库明细!$D$4:$D$2004,基础资料!$B$6,周转筐出入库明细!$F$4:$F$2004,"采购入库",周转筐出入库明细!$B$4:$B$2004,"&gt;="&amp;$P$1,周转筐出入库明细!$B$4:$B$2004,"&lt;="&amp;$P$2))</f>
        <v/>
      </c>
      <c r="F70" s="25" t="str">
        <f>IF(OR($B70="",基础资料!$B$7=""),"",SUMIFS(周转筐出入库明细!$H$4:$H$2004,周转筐出入库明细!$C$4:$C$2004,$B70,周转筐出入库明细!$D$4:$D$2004,基础资料!$B$7,周转筐出入库明细!$F$4:$F$2004,"采购入库",周转筐出入库明细!$B$4:$B$2004,"&gt;="&amp;$P$1,周转筐出入库明细!$B$4:$B$2004,"&lt;="&amp;$P$2))</f>
        <v/>
      </c>
      <c r="G70" s="25" t="str">
        <f>IF(OR($B70="",基础资料!$B$8=""),"",SUMIFS(周转筐出入库明细!$H$4:$H$2004,周转筐出入库明细!$C$4:$C$2004,$B70,周转筐出入库明细!$D$4:$D$2004,基础资料!$B$8,周转筐出入库明细!$F$4:$F$2004,"采购入库",周转筐出入库明细!$B$4:$B$2004,"&gt;="&amp;$P$1,周转筐出入库明细!$B$4:$B$2004,"&lt;="&amp;$P$2))</f>
        <v/>
      </c>
      <c r="H70" s="25" t="str">
        <f>IF($B70="","",SUMIFS(周转筐出入库明细!$H$4:$H$2004,周转筐出入库明细!$C$4:$C$2004,$B70,周转筐出入库明细!$F$4:$F$2004,"采购入库",周转筐出入库明细!$B$4:$B$2004,"&gt;="&amp;$P$1,周转筐出入库明细!$B$4:$B$2004,"&lt;="&amp;$P$2)-SUM($C70:$G70))</f>
        <v/>
      </c>
      <c r="I70" s="25" t="str">
        <f t="shared" si="4"/>
        <v/>
      </c>
      <c r="J70" s="26" t="str">
        <f>IF($B70="","",ROUND(SUMIFS(周转筐出入库明细!$P$4:$P$2004,周转筐出入库明细!$C$4:$C$2004,$B70,周转筐出入库明细!$F$4:$F$2004,"采购入库",周转筐出入库明细!$B$4:$B$2004,"&gt;="&amp;$P$1,周转筐出入库明细!$B$4:$B$2004,"&lt;="&amp;$P$2),2))</f>
        <v/>
      </c>
      <c r="K70" s="26" t="str">
        <f>IF($B70="","",ROUND(SUMIFS(周转筐出入库明细!$P$4:$P$2004,周转筐出入库明细!$C$4:$C$2004,$B70,周转筐出入库明细!$F$4:$F$2004,"采购入库",周转筐出入库明细!$Q$4:$Q$2004,"已付款",周转筐出入库明细!$B$4:$B$2004,"&gt;="&amp;$P$1,周转筐出入库明细!$B$4:$B$2004,"&lt;="&amp;$P$2),2))</f>
        <v/>
      </c>
      <c r="L70" s="26" t="str">
        <f t="shared" si="5"/>
        <v/>
      </c>
    </row>
    <row r="71" spans="1:12">
      <c r="A71" s="22" t="str">
        <f t="shared" si="3"/>
        <v/>
      </c>
      <c r="B71" s="37" t="str">
        <f>IFERROR(INDEX(_自动清单!$CW$4:$CW$203,ROW()-3),"")</f>
        <v/>
      </c>
      <c r="C71" s="25" t="str">
        <f>IF(OR($B71="",基础资料!$B$4=""),"",SUMIFS(周转筐出入库明细!$H$4:$H$2004,周转筐出入库明细!$C$4:$C$2004,$B71,周转筐出入库明细!$D$4:$D$2004,基础资料!$B$4,周转筐出入库明细!$F$4:$F$2004,"采购入库",周转筐出入库明细!$B$4:$B$2004,"&gt;="&amp;$P$1,周转筐出入库明细!$B$4:$B$2004,"&lt;="&amp;$P$2))</f>
        <v/>
      </c>
      <c r="D71" s="25" t="str">
        <f>IF(OR($B71="",基础资料!$B$5=""),"",SUMIFS(周转筐出入库明细!$H$4:$H$2004,周转筐出入库明细!$C$4:$C$2004,$B71,周转筐出入库明细!$D$4:$D$2004,基础资料!$B$5,周转筐出入库明细!$F$4:$F$2004,"采购入库",周转筐出入库明细!$B$4:$B$2004,"&gt;="&amp;$P$1,周转筐出入库明细!$B$4:$B$2004,"&lt;="&amp;$P$2))</f>
        <v/>
      </c>
      <c r="E71" s="25" t="str">
        <f>IF(OR($B71="",基础资料!$B$6=""),"",SUMIFS(周转筐出入库明细!$H$4:$H$2004,周转筐出入库明细!$C$4:$C$2004,$B71,周转筐出入库明细!$D$4:$D$2004,基础资料!$B$6,周转筐出入库明细!$F$4:$F$2004,"采购入库",周转筐出入库明细!$B$4:$B$2004,"&gt;="&amp;$P$1,周转筐出入库明细!$B$4:$B$2004,"&lt;="&amp;$P$2))</f>
        <v/>
      </c>
      <c r="F71" s="25" t="str">
        <f>IF(OR($B71="",基础资料!$B$7=""),"",SUMIFS(周转筐出入库明细!$H$4:$H$2004,周转筐出入库明细!$C$4:$C$2004,$B71,周转筐出入库明细!$D$4:$D$2004,基础资料!$B$7,周转筐出入库明细!$F$4:$F$2004,"采购入库",周转筐出入库明细!$B$4:$B$2004,"&gt;="&amp;$P$1,周转筐出入库明细!$B$4:$B$2004,"&lt;="&amp;$P$2))</f>
        <v/>
      </c>
      <c r="G71" s="25" t="str">
        <f>IF(OR($B71="",基础资料!$B$8=""),"",SUMIFS(周转筐出入库明细!$H$4:$H$2004,周转筐出入库明细!$C$4:$C$2004,$B71,周转筐出入库明细!$D$4:$D$2004,基础资料!$B$8,周转筐出入库明细!$F$4:$F$2004,"采购入库",周转筐出入库明细!$B$4:$B$2004,"&gt;="&amp;$P$1,周转筐出入库明细!$B$4:$B$2004,"&lt;="&amp;$P$2))</f>
        <v/>
      </c>
      <c r="H71" s="25" t="str">
        <f>IF($B71="","",SUMIFS(周转筐出入库明细!$H$4:$H$2004,周转筐出入库明细!$C$4:$C$2004,$B71,周转筐出入库明细!$F$4:$F$2004,"采购入库",周转筐出入库明细!$B$4:$B$2004,"&gt;="&amp;$P$1,周转筐出入库明细!$B$4:$B$2004,"&lt;="&amp;$P$2)-SUM($C71:$G71))</f>
        <v/>
      </c>
      <c r="I71" s="25" t="str">
        <f t="shared" si="4"/>
        <v/>
      </c>
      <c r="J71" s="26" t="str">
        <f>IF($B71="","",ROUND(SUMIFS(周转筐出入库明细!$P$4:$P$2004,周转筐出入库明细!$C$4:$C$2004,$B71,周转筐出入库明细!$F$4:$F$2004,"采购入库",周转筐出入库明细!$B$4:$B$2004,"&gt;="&amp;$P$1,周转筐出入库明细!$B$4:$B$2004,"&lt;="&amp;$P$2),2))</f>
        <v/>
      </c>
      <c r="K71" s="26" t="str">
        <f>IF($B71="","",ROUND(SUMIFS(周转筐出入库明细!$P$4:$P$2004,周转筐出入库明细!$C$4:$C$2004,$B71,周转筐出入库明细!$F$4:$F$2004,"采购入库",周转筐出入库明细!$Q$4:$Q$2004,"已付款",周转筐出入库明细!$B$4:$B$2004,"&gt;="&amp;$P$1,周转筐出入库明细!$B$4:$B$2004,"&lt;="&amp;$P$2),2))</f>
        <v/>
      </c>
      <c r="L71" s="26" t="str">
        <f t="shared" si="5"/>
        <v/>
      </c>
    </row>
    <row r="72" spans="1:12">
      <c r="A72" s="22" t="str">
        <f t="shared" si="3"/>
        <v/>
      </c>
      <c r="B72" s="37" t="str">
        <f>IFERROR(INDEX(_自动清单!$CW$4:$CW$203,ROW()-3),"")</f>
        <v/>
      </c>
      <c r="C72" s="25" t="str">
        <f>IF(OR($B72="",基础资料!$B$4=""),"",SUMIFS(周转筐出入库明细!$H$4:$H$2004,周转筐出入库明细!$C$4:$C$2004,$B72,周转筐出入库明细!$D$4:$D$2004,基础资料!$B$4,周转筐出入库明细!$F$4:$F$2004,"采购入库",周转筐出入库明细!$B$4:$B$2004,"&gt;="&amp;$P$1,周转筐出入库明细!$B$4:$B$2004,"&lt;="&amp;$P$2))</f>
        <v/>
      </c>
      <c r="D72" s="25" t="str">
        <f>IF(OR($B72="",基础资料!$B$5=""),"",SUMIFS(周转筐出入库明细!$H$4:$H$2004,周转筐出入库明细!$C$4:$C$2004,$B72,周转筐出入库明细!$D$4:$D$2004,基础资料!$B$5,周转筐出入库明细!$F$4:$F$2004,"采购入库",周转筐出入库明细!$B$4:$B$2004,"&gt;="&amp;$P$1,周转筐出入库明细!$B$4:$B$2004,"&lt;="&amp;$P$2))</f>
        <v/>
      </c>
      <c r="E72" s="25" t="str">
        <f>IF(OR($B72="",基础资料!$B$6=""),"",SUMIFS(周转筐出入库明细!$H$4:$H$2004,周转筐出入库明细!$C$4:$C$2004,$B72,周转筐出入库明细!$D$4:$D$2004,基础资料!$B$6,周转筐出入库明细!$F$4:$F$2004,"采购入库",周转筐出入库明细!$B$4:$B$2004,"&gt;="&amp;$P$1,周转筐出入库明细!$B$4:$B$2004,"&lt;="&amp;$P$2))</f>
        <v/>
      </c>
      <c r="F72" s="25" t="str">
        <f>IF(OR($B72="",基础资料!$B$7=""),"",SUMIFS(周转筐出入库明细!$H$4:$H$2004,周转筐出入库明细!$C$4:$C$2004,$B72,周转筐出入库明细!$D$4:$D$2004,基础资料!$B$7,周转筐出入库明细!$F$4:$F$2004,"采购入库",周转筐出入库明细!$B$4:$B$2004,"&gt;="&amp;$P$1,周转筐出入库明细!$B$4:$B$2004,"&lt;="&amp;$P$2))</f>
        <v/>
      </c>
      <c r="G72" s="25" t="str">
        <f>IF(OR($B72="",基础资料!$B$8=""),"",SUMIFS(周转筐出入库明细!$H$4:$H$2004,周转筐出入库明细!$C$4:$C$2004,$B72,周转筐出入库明细!$D$4:$D$2004,基础资料!$B$8,周转筐出入库明细!$F$4:$F$2004,"采购入库",周转筐出入库明细!$B$4:$B$2004,"&gt;="&amp;$P$1,周转筐出入库明细!$B$4:$B$2004,"&lt;="&amp;$P$2))</f>
        <v/>
      </c>
      <c r="H72" s="25" t="str">
        <f>IF($B72="","",SUMIFS(周转筐出入库明细!$H$4:$H$2004,周转筐出入库明细!$C$4:$C$2004,$B72,周转筐出入库明细!$F$4:$F$2004,"采购入库",周转筐出入库明细!$B$4:$B$2004,"&gt;="&amp;$P$1,周转筐出入库明细!$B$4:$B$2004,"&lt;="&amp;$P$2)-SUM($C72:$G72))</f>
        <v/>
      </c>
      <c r="I72" s="25" t="str">
        <f t="shared" si="4"/>
        <v/>
      </c>
      <c r="J72" s="26" t="str">
        <f>IF($B72="","",ROUND(SUMIFS(周转筐出入库明细!$P$4:$P$2004,周转筐出入库明细!$C$4:$C$2004,$B72,周转筐出入库明细!$F$4:$F$2004,"采购入库",周转筐出入库明细!$B$4:$B$2004,"&gt;="&amp;$P$1,周转筐出入库明细!$B$4:$B$2004,"&lt;="&amp;$P$2),2))</f>
        <v/>
      </c>
      <c r="K72" s="26" t="str">
        <f>IF($B72="","",ROUND(SUMIFS(周转筐出入库明细!$P$4:$P$2004,周转筐出入库明细!$C$4:$C$2004,$B72,周转筐出入库明细!$F$4:$F$2004,"采购入库",周转筐出入库明细!$Q$4:$Q$2004,"已付款",周转筐出入库明细!$B$4:$B$2004,"&gt;="&amp;$P$1,周转筐出入库明细!$B$4:$B$2004,"&lt;="&amp;$P$2),2))</f>
        <v/>
      </c>
      <c r="L72" s="26" t="str">
        <f t="shared" si="5"/>
        <v/>
      </c>
    </row>
    <row r="73" spans="1:12">
      <c r="A73" s="22" t="str">
        <f t="shared" si="3"/>
        <v/>
      </c>
      <c r="B73" s="37" t="str">
        <f>IFERROR(INDEX(_自动清单!$CW$4:$CW$203,ROW()-3),"")</f>
        <v/>
      </c>
      <c r="C73" s="25" t="str">
        <f>IF(OR($B73="",基础资料!$B$4=""),"",SUMIFS(周转筐出入库明细!$H$4:$H$2004,周转筐出入库明细!$C$4:$C$2004,$B73,周转筐出入库明细!$D$4:$D$2004,基础资料!$B$4,周转筐出入库明细!$F$4:$F$2004,"采购入库",周转筐出入库明细!$B$4:$B$2004,"&gt;="&amp;$P$1,周转筐出入库明细!$B$4:$B$2004,"&lt;="&amp;$P$2))</f>
        <v/>
      </c>
      <c r="D73" s="25" t="str">
        <f>IF(OR($B73="",基础资料!$B$5=""),"",SUMIFS(周转筐出入库明细!$H$4:$H$2004,周转筐出入库明细!$C$4:$C$2004,$B73,周转筐出入库明细!$D$4:$D$2004,基础资料!$B$5,周转筐出入库明细!$F$4:$F$2004,"采购入库",周转筐出入库明细!$B$4:$B$2004,"&gt;="&amp;$P$1,周转筐出入库明细!$B$4:$B$2004,"&lt;="&amp;$P$2))</f>
        <v/>
      </c>
      <c r="E73" s="25" t="str">
        <f>IF(OR($B73="",基础资料!$B$6=""),"",SUMIFS(周转筐出入库明细!$H$4:$H$2004,周转筐出入库明细!$C$4:$C$2004,$B73,周转筐出入库明细!$D$4:$D$2004,基础资料!$B$6,周转筐出入库明细!$F$4:$F$2004,"采购入库",周转筐出入库明细!$B$4:$B$2004,"&gt;="&amp;$P$1,周转筐出入库明细!$B$4:$B$2004,"&lt;="&amp;$P$2))</f>
        <v/>
      </c>
      <c r="F73" s="25" t="str">
        <f>IF(OR($B73="",基础资料!$B$7=""),"",SUMIFS(周转筐出入库明细!$H$4:$H$2004,周转筐出入库明细!$C$4:$C$2004,$B73,周转筐出入库明细!$D$4:$D$2004,基础资料!$B$7,周转筐出入库明细!$F$4:$F$2004,"采购入库",周转筐出入库明细!$B$4:$B$2004,"&gt;="&amp;$P$1,周转筐出入库明细!$B$4:$B$2004,"&lt;="&amp;$P$2))</f>
        <v/>
      </c>
      <c r="G73" s="25" t="str">
        <f>IF(OR($B73="",基础资料!$B$8=""),"",SUMIFS(周转筐出入库明细!$H$4:$H$2004,周转筐出入库明细!$C$4:$C$2004,$B73,周转筐出入库明细!$D$4:$D$2004,基础资料!$B$8,周转筐出入库明细!$F$4:$F$2004,"采购入库",周转筐出入库明细!$B$4:$B$2004,"&gt;="&amp;$P$1,周转筐出入库明细!$B$4:$B$2004,"&lt;="&amp;$P$2))</f>
        <v/>
      </c>
      <c r="H73" s="25" t="str">
        <f>IF($B73="","",SUMIFS(周转筐出入库明细!$H$4:$H$2004,周转筐出入库明细!$C$4:$C$2004,$B73,周转筐出入库明细!$F$4:$F$2004,"采购入库",周转筐出入库明细!$B$4:$B$2004,"&gt;="&amp;$P$1,周转筐出入库明细!$B$4:$B$2004,"&lt;="&amp;$P$2)-SUM($C73:$G73))</f>
        <v/>
      </c>
      <c r="I73" s="25" t="str">
        <f t="shared" si="4"/>
        <v/>
      </c>
      <c r="J73" s="26" t="str">
        <f>IF($B73="","",ROUND(SUMIFS(周转筐出入库明细!$P$4:$P$2004,周转筐出入库明细!$C$4:$C$2004,$B73,周转筐出入库明细!$F$4:$F$2004,"采购入库",周转筐出入库明细!$B$4:$B$2004,"&gt;="&amp;$P$1,周转筐出入库明细!$B$4:$B$2004,"&lt;="&amp;$P$2),2))</f>
        <v/>
      </c>
      <c r="K73" s="26" t="str">
        <f>IF($B73="","",ROUND(SUMIFS(周转筐出入库明细!$P$4:$P$2004,周转筐出入库明细!$C$4:$C$2004,$B73,周转筐出入库明细!$F$4:$F$2004,"采购入库",周转筐出入库明细!$Q$4:$Q$2004,"已付款",周转筐出入库明细!$B$4:$B$2004,"&gt;="&amp;$P$1,周转筐出入库明细!$B$4:$B$2004,"&lt;="&amp;$P$2),2))</f>
        <v/>
      </c>
      <c r="L73" s="26" t="str">
        <f t="shared" si="5"/>
        <v/>
      </c>
    </row>
    <row r="74" spans="1:12">
      <c r="A74" s="22" t="str">
        <f t="shared" si="3"/>
        <v/>
      </c>
      <c r="B74" s="37" t="str">
        <f>IFERROR(INDEX(_自动清单!$CW$4:$CW$203,ROW()-3),"")</f>
        <v/>
      </c>
      <c r="C74" s="25" t="str">
        <f>IF(OR($B74="",基础资料!$B$4=""),"",SUMIFS(周转筐出入库明细!$H$4:$H$2004,周转筐出入库明细!$C$4:$C$2004,$B74,周转筐出入库明细!$D$4:$D$2004,基础资料!$B$4,周转筐出入库明细!$F$4:$F$2004,"采购入库",周转筐出入库明细!$B$4:$B$2004,"&gt;="&amp;$P$1,周转筐出入库明细!$B$4:$B$2004,"&lt;="&amp;$P$2))</f>
        <v/>
      </c>
      <c r="D74" s="25" t="str">
        <f>IF(OR($B74="",基础资料!$B$5=""),"",SUMIFS(周转筐出入库明细!$H$4:$H$2004,周转筐出入库明细!$C$4:$C$2004,$B74,周转筐出入库明细!$D$4:$D$2004,基础资料!$B$5,周转筐出入库明细!$F$4:$F$2004,"采购入库",周转筐出入库明细!$B$4:$B$2004,"&gt;="&amp;$P$1,周转筐出入库明细!$B$4:$B$2004,"&lt;="&amp;$P$2))</f>
        <v/>
      </c>
      <c r="E74" s="25" t="str">
        <f>IF(OR($B74="",基础资料!$B$6=""),"",SUMIFS(周转筐出入库明细!$H$4:$H$2004,周转筐出入库明细!$C$4:$C$2004,$B74,周转筐出入库明细!$D$4:$D$2004,基础资料!$B$6,周转筐出入库明细!$F$4:$F$2004,"采购入库",周转筐出入库明细!$B$4:$B$2004,"&gt;="&amp;$P$1,周转筐出入库明细!$B$4:$B$2004,"&lt;="&amp;$P$2))</f>
        <v/>
      </c>
      <c r="F74" s="25" t="str">
        <f>IF(OR($B74="",基础资料!$B$7=""),"",SUMIFS(周转筐出入库明细!$H$4:$H$2004,周转筐出入库明细!$C$4:$C$2004,$B74,周转筐出入库明细!$D$4:$D$2004,基础资料!$B$7,周转筐出入库明细!$F$4:$F$2004,"采购入库",周转筐出入库明细!$B$4:$B$2004,"&gt;="&amp;$P$1,周转筐出入库明细!$B$4:$B$2004,"&lt;="&amp;$P$2))</f>
        <v/>
      </c>
      <c r="G74" s="25" t="str">
        <f>IF(OR($B74="",基础资料!$B$8=""),"",SUMIFS(周转筐出入库明细!$H$4:$H$2004,周转筐出入库明细!$C$4:$C$2004,$B74,周转筐出入库明细!$D$4:$D$2004,基础资料!$B$8,周转筐出入库明细!$F$4:$F$2004,"采购入库",周转筐出入库明细!$B$4:$B$2004,"&gt;="&amp;$P$1,周转筐出入库明细!$B$4:$B$2004,"&lt;="&amp;$P$2))</f>
        <v/>
      </c>
      <c r="H74" s="25" t="str">
        <f>IF($B74="","",SUMIFS(周转筐出入库明细!$H$4:$H$2004,周转筐出入库明细!$C$4:$C$2004,$B74,周转筐出入库明细!$F$4:$F$2004,"采购入库",周转筐出入库明细!$B$4:$B$2004,"&gt;="&amp;$P$1,周转筐出入库明细!$B$4:$B$2004,"&lt;="&amp;$P$2)-SUM($C74:$G74))</f>
        <v/>
      </c>
      <c r="I74" s="25" t="str">
        <f t="shared" si="4"/>
        <v/>
      </c>
      <c r="J74" s="26" t="str">
        <f>IF($B74="","",ROUND(SUMIFS(周转筐出入库明细!$P$4:$P$2004,周转筐出入库明细!$C$4:$C$2004,$B74,周转筐出入库明细!$F$4:$F$2004,"采购入库",周转筐出入库明细!$B$4:$B$2004,"&gt;="&amp;$P$1,周转筐出入库明细!$B$4:$B$2004,"&lt;="&amp;$P$2),2))</f>
        <v/>
      </c>
      <c r="K74" s="26" t="str">
        <f>IF($B74="","",ROUND(SUMIFS(周转筐出入库明细!$P$4:$P$2004,周转筐出入库明细!$C$4:$C$2004,$B74,周转筐出入库明细!$F$4:$F$2004,"采购入库",周转筐出入库明细!$Q$4:$Q$2004,"已付款",周转筐出入库明细!$B$4:$B$2004,"&gt;="&amp;$P$1,周转筐出入库明细!$B$4:$B$2004,"&lt;="&amp;$P$2),2))</f>
        <v/>
      </c>
      <c r="L74" s="26" t="str">
        <f t="shared" si="5"/>
        <v/>
      </c>
    </row>
    <row r="75" spans="1:12">
      <c r="A75" s="22" t="str">
        <f t="shared" si="3"/>
        <v/>
      </c>
      <c r="B75" s="37" t="str">
        <f>IFERROR(INDEX(_自动清单!$CW$4:$CW$203,ROW()-3),"")</f>
        <v/>
      </c>
      <c r="C75" s="25" t="str">
        <f>IF(OR($B75="",基础资料!$B$4=""),"",SUMIFS(周转筐出入库明细!$H$4:$H$2004,周转筐出入库明细!$C$4:$C$2004,$B75,周转筐出入库明细!$D$4:$D$2004,基础资料!$B$4,周转筐出入库明细!$F$4:$F$2004,"采购入库",周转筐出入库明细!$B$4:$B$2004,"&gt;="&amp;$P$1,周转筐出入库明细!$B$4:$B$2004,"&lt;="&amp;$P$2))</f>
        <v/>
      </c>
      <c r="D75" s="25" t="str">
        <f>IF(OR($B75="",基础资料!$B$5=""),"",SUMIFS(周转筐出入库明细!$H$4:$H$2004,周转筐出入库明细!$C$4:$C$2004,$B75,周转筐出入库明细!$D$4:$D$2004,基础资料!$B$5,周转筐出入库明细!$F$4:$F$2004,"采购入库",周转筐出入库明细!$B$4:$B$2004,"&gt;="&amp;$P$1,周转筐出入库明细!$B$4:$B$2004,"&lt;="&amp;$P$2))</f>
        <v/>
      </c>
      <c r="E75" s="25" t="str">
        <f>IF(OR($B75="",基础资料!$B$6=""),"",SUMIFS(周转筐出入库明细!$H$4:$H$2004,周转筐出入库明细!$C$4:$C$2004,$B75,周转筐出入库明细!$D$4:$D$2004,基础资料!$B$6,周转筐出入库明细!$F$4:$F$2004,"采购入库",周转筐出入库明细!$B$4:$B$2004,"&gt;="&amp;$P$1,周转筐出入库明细!$B$4:$B$2004,"&lt;="&amp;$P$2))</f>
        <v/>
      </c>
      <c r="F75" s="25" t="str">
        <f>IF(OR($B75="",基础资料!$B$7=""),"",SUMIFS(周转筐出入库明细!$H$4:$H$2004,周转筐出入库明细!$C$4:$C$2004,$B75,周转筐出入库明细!$D$4:$D$2004,基础资料!$B$7,周转筐出入库明细!$F$4:$F$2004,"采购入库",周转筐出入库明细!$B$4:$B$2004,"&gt;="&amp;$P$1,周转筐出入库明细!$B$4:$B$2004,"&lt;="&amp;$P$2))</f>
        <v/>
      </c>
      <c r="G75" s="25" t="str">
        <f>IF(OR($B75="",基础资料!$B$8=""),"",SUMIFS(周转筐出入库明细!$H$4:$H$2004,周转筐出入库明细!$C$4:$C$2004,$B75,周转筐出入库明细!$D$4:$D$2004,基础资料!$B$8,周转筐出入库明细!$F$4:$F$2004,"采购入库",周转筐出入库明细!$B$4:$B$2004,"&gt;="&amp;$P$1,周转筐出入库明细!$B$4:$B$2004,"&lt;="&amp;$P$2))</f>
        <v/>
      </c>
      <c r="H75" s="25" t="str">
        <f>IF($B75="","",SUMIFS(周转筐出入库明细!$H$4:$H$2004,周转筐出入库明细!$C$4:$C$2004,$B75,周转筐出入库明细!$F$4:$F$2004,"采购入库",周转筐出入库明细!$B$4:$B$2004,"&gt;="&amp;$P$1,周转筐出入库明细!$B$4:$B$2004,"&lt;="&amp;$P$2)-SUM($C75:$G75))</f>
        <v/>
      </c>
      <c r="I75" s="25" t="str">
        <f t="shared" si="4"/>
        <v/>
      </c>
      <c r="J75" s="26" t="str">
        <f>IF($B75="","",ROUND(SUMIFS(周转筐出入库明细!$P$4:$P$2004,周转筐出入库明细!$C$4:$C$2004,$B75,周转筐出入库明细!$F$4:$F$2004,"采购入库",周转筐出入库明细!$B$4:$B$2004,"&gt;="&amp;$P$1,周转筐出入库明细!$B$4:$B$2004,"&lt;="&amp;$P$2),2))</f>
        <v/>
      </c>
      <c r="K75" s="26" t="str">
        <f>IF($B75="","",ROUND(SUMIFS(周转筐出入库明细!$P$4:$P$2004,周转筐出入库明细!$C$4:$C$2004,$B75,周转筐出入库明细!$F$4:$F$2004,"采购入库",周转筐出入库明细!$Q$4:$Q$2004,"已付款",周转筐出入库明细!$B$4:$B$2004,"&gt;="&amp;$P$1,周转筐出入库明细!$B$4:$B$2004,"&lt;="&amp;$P$2),2))</f>
        <v/>
      </c>
      <c r="L75" s="26" t="str">
        <f t="shared" si="5"/>
        <v/>
      </c>
    </row>
    <row r="76" spans="1:12">
      <c r="A76" s="22" t="str">
        <f t="shared" si="3"/>
        <v/>
      </c>
      <c r="B76" s="37" t="str">
        <f>IFERROR(INDEX(_自动清单!$CW$4:$CW$203,ROW()-3),"")</f>
        <v/>
      </c>
      <c r="C76" s="25" t="str">
        <f>IF(OR($B76="",基础资料!$B$4=""),"",SUMIFS(周转筐出入库明细!$H$4:$H$2004,周转筐出入库明细!$C$4:$C$2004,$B76,周转筐出入库明细!$D$4:$D$2004,基础资料!$B$4,周转筐出入库明细!$F$4:$F$2004,"采购入库",周转筐出入库明细!$B$4:$B$2004,"&gt;="&amp;$P$1,周转筐出入库明细!$B$4:$B$2004,"&lt;="&amp;$P$2))</f>
        <v/>
      </c>
      <c r="D76" s="25" t="str">
        <f>IF(OR($B76="",基础资料!$B$5=""),"",SUMIFS(周转筐出入库明细!$H$4:$H$2004,周转筐出入库明细!$C$4:$C$2004,$B76,周转筐出入库明细!$D$4:$D$2004,基础资料!$B$5,周转筐出入库明细!$F$4:$F$2004,"采购入库",周转筐出入库明细!$B$4:$B$2004,"&gt;="&amp;$P$1,周转筐出入库明细!$B$4:$B$2004,"&lt;="&amp;$P$2))</f>
        <v/>
      </c>
      <c r="E76" s="25" t="str">
        <f>IF(OR($B76="",基础资料!$B$6=""),"",SUMIFS(周转筐出入库明细!$H$4:$H$2004,周转筐出入库明细!$C$4:$C$2004,$B76,周转筐出入库明细!$D$4:$D$2004,基础资料!$B$6,周转筐出入库明细!$F$4:$F$2004,"采购入库",周转筐出入库明细!$B$4:$B$2004,"&gt;="&amp;$P$1,周转筐出入库明细!$B$4:$B$2004,"&lt;="&amp;$P$2))</f>
        <v/>
      </c>
      <c r="F76" s="25" t="str">
        <f>IF(OR($B76="",基础资料!$B$7=""),"",SUMIFS(周转筐出入库明细!$H$4:$H$2004,周转筐出入库明细!$C$4:$C$2004,$B76,周转筐出入库明细!$D$4:$D$2004,基础资料!$B$7,周转筐出入库明细!$F$4:$F$2004,"采购入库",周转筐出入库明细!$B$4:$B$2004,"&gt;="&amp;$P$1,周转筐出入库明细!$B$4:$B$2004,"&lt;="&amp;$P$2))</f>
        <v/>
      </c>
      <c r="G76" s="25" t="str">
        <f>IF(OR($B76="",基础资料!$B$8=""),"",SUMIFS(周转筐出入库明细!$H$4:$H$2004,周转筐出入库明细!$C$4:$C$2004,$B76,周转筐出入库明细!$D$4:$D$2004,基础资料!$B$8,周转筐出入库明细!$F$4:$F$2004,"采购入库",周转筐出入库明细!$B$4:$B$2004,"&gt;="&amp;$P$1,周转筐出入库明细!$B$4:$B$2004,"&lt;="&amp;$P$2))</f>
        <v/>
      </c>
      <c r="H76" s="25" t="str">
        <f>IF($B76="","",SUMIFS(周转筐出入库明细!$H$4:$H$2004,周转筐出入库明细!$C$4:$C$2004,$B76,周转筐出入库明细!$F$4:$F$2004,"采购入库",周转筐出入库明细!$B$4:$B$2004,"&gt;="&amp;$P$1,周转筐出入库明细!$B$4:$B$2004,"&lt;="&amp;$P$2)-SUM($C76:$G76))</f>
        <v/>
      </c>
      <c r="I76" s="25" t="str">
        <f t="shared" si="4"/>
        <v/>
      </c>
      <c r="J76" s="26" t="str">
        <f>IF($B76="","",ROUND(SUMIFS(周转筐出入库明细!$P$4:$P$2004,周转筐出入库明细!$C$4:$C$2004,$B76,周转筐出入库明细!$F$4:$F$2004,"采购入库",周转筐出入库明细!$B$4:$B$2004,"&gt;="&amp;$P$1,周转筐出入库明细!$B$4:$B$2004,"&lt;="&amp;$P$2),2))</f>
        <v/>
      </c>
      <c r="K76" s="26" t="str">
        <f>IF($B76="","",ROUND(SUMIFS(周转筐出入库明细!$P$4:$P$2004,周转筐出入库明细!$C$4:$C$2004,$B76,周转筐出入库明细!$F$4:$F$2004,"采购入库",周转筐出入库明细!$Q$4:$Q$2004,"已付款",周转筐出入库明细!$B$4:$B$2004,"&gt;="&amp;$P$1,周转筐出入库明细!$B$4:$B$2004,"&lt;="&amp;$P$2),2))</f>
        <v/>
      </c>
      <c r="L76" s="26" t="str">
        <f t="shared" si="5"/>
        <v/>
      </c>
    </row>
    <row r="77" spans="1:12">
      <c r="A77" s="22" t="str">
        <f t="shared" si="3"/>
        <v/>
      </c>
      <c r="B77" s="37" t="str">
        <f>IFERROR(INDEX(_自动清单!$CW$4:$CW$203,ROW()-3),"")</f>
        <v/>
      </c>
      <c r="C77" s="25" t="str">
        <f>IF(OR($B77="",基础资料!$B$4=""),"",SUMIFS(周转筐出入库明细!$H$4:$H$2004,周转筐出入库明细!$C$4:$C$2004,$B77,周转筐出入库明细!$D$4:$D$2004,基础资料!$B$4,周转筐出入库明细!$F$4:$F$2004,"采购入库",周转筐出入库明细!$B$4:$B$2004,"&gt;="&amp;$P$1,周转筐出入库明细!$B$4:$B$2004,"&lt;="&amp;$P$2))</f>
        <v/>
      </c>
      <c r="D77" s="25" t="str">
        <f>IF(OR($B77="",基础资料!$B$5=""),"",SUMIFS(周转筐出入库明细!$H$4:$H$2004,周转筐出入库明细!$C$4:$C$2004,$B77,周转筐出入库明细!$D$4:$D$2004,基础资料!$B$5,周转筐出入库明细!$F$4:$F$2004,"采购入库",周转筐出入库明细!$B$4:$B$2004,"&gt;="&amp;$P$1,周转筐出入库明细!$B$4:$B$2004,"&lt;="&amp;$P$2))</f>
        <v/>
      </c>
      <c r="E77" s="25" t="str">
        <f>IF(OR($B77="",基础资料!$B$6=""),"",SUMIFS(周转筐出入库明细!$H$4:$H$2004,周转筐出入库明细!$C$4:$C$2004,$B77,周转筐出入库明细!$D$4:$D$2004,基础资料!$B$6,周转筐出入库明细!$F$4:$F$2004,"采购入库",周转筐出入库明细!$B$4:$B$2004,"&gt;="&amp;$P$1,周转筐出入库明细!$B$4:$B$2004,"&lt;="&amp;$P$2))</f>
        <v/>
      </c>
      <c r="F77" s="25" t="str">
        <f>IF(OR($B77="",基础资料!$B$7=""),"",SUMIFS(周转筐出入库明细!$H$4:$H$2004,周转筐出入库明细!$C$4:$C$2004,$B77,周转筐出入库明细!$D$4:$D$2004,基础资料!$B$7,周转筐出入库明细!$F$4:$F$2004,"采购入库",周转筐出入库明细!$B$4:$B$2004,"&gt;="&amp;$P$1,周转筐出入库明细!$B$4:$B$2004,"&lt;="&amp;$P$2))</f>
        <v/>
      </c>
      <c r="G77" s="25" t="str">
        <f>IF(OR($B77="",基础资料!$B$8=""),"",SUMIFS(周转筐出入库明细!$H$4:$H$2004,周转筐出入库明细!$C$4:$C$2004,$B77,周转筐出入库明细!$D$4:$D$2004,基础资料!$B$8,周转筐出入库明细!$F$4:$F$2004,"采购入库",周转筐出入库明细!$B$4:$B$2004,"&gt;="&amp;$P$1,周转筐出入库明细!$B$4:$B$2004,"&lt;="&amp;$P$2))</f>
        <v/>
      </c>
      <c r="H77" s="25" t="str">
        <f>IF($B77="","",SUMIFS(周转筐出入库明细!$H$4:$H$2004,周转筐出入库明细!$C$4:$C$2004,$B77,周转筐出入库明细!$F$4:$F$2004,"采购入库",周转筐出入库明细!$B$4:$B$2004,"&gt;="&amp;$P$1,周转筐出入库明细!$B$4:$B$2004,"&lt;="&amp;$P$2)-SUM($C77:$G77))</f>
        <v/>
      </c>
      <c r="I77" s="25" t="str">
        <f t="shared" si="4"/>
        <v/>
      </c>
      <c r="J77" s="26" t="str">
        <f>IF($B77="","",ROUND(SUMIFS(周转筐出入库明细!$P$4:$P$2004,周转筐出入库明细!$C$4:$C$2004,$B77,周转筐出入库明细!$F$4:$F$2004,"采购入库",周转筐出入库明细!$B$4:$B$2004,"&gt;="&amp;$P$1,周转筐出入库明细!$B$4:$B$2004,"&lt;="&amp;$P$2),2))</f>
        <v/>
      </c>
      <c r="K77" s="26" t="str">
        <f>IF($B77="","",ROUND(SUMIFS(周转筐出入库明细!$P$4:$P$2004,周转筐出入库明细!$C$4:$C$2004,$B77,周转筐出入库明细!$F$4:$F$2004,"采购入库",周转筐出入库明细!$Q$4:$Q$2004,"已付款",周转筐出入库明细!$B$4:$B$2004,"&gt;="&amp;$P$1,周转筐出入库明细!$B$4:$B$2004,"&lt;="&amp;$P$2),2))</f>
        <v/>
      </c>
      <c r="L77" s="26" t="str">
        <f t="shared" si="5"/>
        <v/>
      </c>
    </row>
    <row r="78" spans="1:12">
      <c r="A78" s="22" t="str">
        <f t="shared" si="3"/>
        <v/>
      </c>
      <c r="B78" s="37" t="str">
        <f>IFERROR(INDEX(_自动清单!$CW$4:$CW$203,ROW()-3),"")</f>
        <v/>
      </c>
      <c r="C78" s="25" t="str">
        <f>IF(OR($B78="",基础资料!$B$4=""),"",SUMIFS(周转筐出入库明细!$H$4:$H$2004,周转筐出入库明细!$C$4:$C$2004,$B78,周转筐出入库明细!$D$4:$D$2004,基础资料!$B$4,周转筐出入库明细!$F$4:$F$2004,"采购入库",周转筐出入库明细!$B$4:$B$2004,"&gt;="&amp;$P$1,周转筐出入库明细!$B$4:$B$2004,"&lt;="&amp;$P$2))</f>
        <v/>
      </c>
      <c r="D78" s="25" t="str">
        <f>IF(OR($B78="",基础资料!$B$5=""),"",SUMIFS(周转筐出入库明细!$H$4:$H$2004,周转筐出入库明细!$C$4:$C$2004,$B78,周转筐出入库明细!$D$4:$D$2004,基础资料!$B$5,周转筐出入库明细!$F$4:$F$2004,"采购入库",周转筐出入库明细!$B$4:$B$2004,"&gt;="&amp;$P$1,周转筐出入库明细!$B$4:$B$2004,"&lt;="&amp;$P$2))</f>
        <v/>
      </c>
      <c r="E78" s="25" t="str">
        <f>IF(OR($B78="",基础资料!$B$6=""),"",SUMIFS(周转筐出入库明细!$H$4:$H$2004,周转筐出入库明细!$C$4:$C$2004,$B78,周转筐出入库明细!$D$4:$D$2004,基础资料!$B$6,周转筐出入库明细!$F$4:$F$2004,"采购入库",周转筐出入库明细!$B$4:$B$2004,"&gt;="&amp;$P$1,周转筐出入库明细!$B$4:$B$2004,"&lt;="&amp;$P$2))</f>
        <v/>
      </c>
      <c r="F78" s="25" t="str">
        <f>IF(OR($B78="",基础资料!$B$7=""),"",SUMIFS(周转筐出入库明细!$H$4:$H$2004,周转筐出入库明细!$C$4:$C$2004,$B78,周转筐出入库明细!$D$4:$D$2004,基础资料!$B$7,周转筐出入库明细!$F$4:$F$2004,"采购入库",周转筐出入库明细!$B$4:$B$2004,"&gt;="&amp;$P$1,周转筐出入库明细!$B$4:$B$2004,"&lt;="&amp;$P$2))</f>
        <v/>
      </c>
      <c r="G78" s="25" t="str">
        <f>IF(OR($B78="",基础资料!$B$8=""),"",SUMIFS(周转筐出入库明细!$H$4:$H$2004,周转筐出入库明细!$C$4:$C$2004,$B78,周转筐出入库明细!$D$4:$D$2004,基础资料!$B$8,周转筐出入库明细!$F$4:$F$2004,"采购入库",周转筐出入库明细!$B$4:$B$2004,"&gt;="&amp;$P$1,周转筐出入库明细!$B$4:$B$2004,"&lt;="&amp;$P$2))</f>
        <v/>
      </c>
      <c r="H78" s="25" t="str">
        <f>IF($B78="","",SUMIFS(周转筐出入库明细!$H$4:$H$2004,周转筐出入库明细!$C$4:$C$2004,$B78,周转筐出入库明细!$F$4:$F$2004,"采购入库",周转筐出入库明细!$B$4:$B$2004,"&gt;="&amp;$P$1,周转筐出入库明细!$B$4:$B$2004,"&lt;="&amp;$P$2)-SUM($C78:$G78))</f>
        <v/>
      </c>
      <c r="I78" s="25" t="str">
        <f t="shared" si="4"/>
        <v/>
      </c>
      <c r="J78" s="26" t="str">
        <f>IF($B78="","",ROUND(SUMIFS(周转筐出入库明细!$P$4:$P$2004,周转筐出入库明细!$C$4:$C$2004,$B78,周转筐出入库明细!$F$4:$F$2004,"采购入库",周转筐出入库明细!$B$4:$B$2004,"&gt;="&amp;$P$1,周转筐出入库明细!$B$4:$B$2004,"&lt;="&amp;$P$2),2))</f>
        <v/>
      </c>
      <c r="K78" s="26" t="str">
        <f>IF($B78="","",ROUND(SUMIFS(周转筐出入库明细!$P$4:$P$2004,周转筐出入库明细!$C$4:$C$2004,$B78,周转筐出入库明细!$F$4:$F$2004,"采购入库",周转筐出入库明细!$Q$4:$Q$2004,"已付款",周转筐出入库明细!$B$4:$B$2004,"&gt;="&amp;$P$1,周转筐出入库明细!$B$4:$B$2004,"&lt;="&amp;$P$2),2))</f>
        <v/>
      </c>
      <c r="L78" s="26" t="str">
        <f t="shared" si="5"/>
        <v/>
      </c>
    </row>
    <row r="79" spans="1:12">
      <c r="A79" s="22" t="str">
        <f t="shared" si="3"/>
        <v/>
      </c>
      <c r="B79" s="37" t="str">
        <f>IFERROR(INDEX(_自动清单!$CW$4:$CW$203,ROW()-3),"")</f>
        <v/>
      </c>
      <c r="C79" s="25" t="str">
        <f>IF(OR($B79="",基础资料!$B$4=""),"",SUMIFS(周转筐出入库明细!$H$4:$H$2004,周转筐出入库明细!$C$4:$C$2004,$B79,周转筐出入库明细!$D$4:$D$2004,基础资料!$B$4,周转筐出入库明细!$F$4:$F$2004,"采购入库",周转筐出入库明细!$B$4:$B$2004,"&gt;="&amp;$P$1,周转筐出入库明细!$B$4:$B$2004,"&lt;="&amp;$P$2))</f>
        <v/>
      </c>
      <c r="D79" s="25" t="str">
        <f>IF(OR($B79="",基础资料!$B$5=""),"",SUMIFS(周转筐出入库明细!$H$4:$H$2004,周转筐出入库明细!$C$4:$C$2004,$B79,周转筐出入库明细!$D$4:$D$2004,基础资料!$B$5,周转筐出入库明细!$F$4:$F$2004,"采购入库",周转筐出入库明细!$B$4:$B$2004,"&gt;="&amp;$P$1,周转筐出入库明细!$B$4:$B$2004,"&lt;="&amp;$P$2))</f>
        <v/>
      </c>
      <c r="E79" s="25" t="str">
        <f>IF(OR($B79="",基础资料!$B$6=""),"",SUMIFS(周转筐出入库明细!$H$4:$H$2004,周转筐出入库明细!$C$4:$C$2004,$B79,周转筐出入库明细!$D$4:$D$2004,基础资料!$B$6,周转筐出入库明细!$F$4:$F$2004,"采购入库",周转筐出入库明细!$B$4:$B$2004,"&gt;="&amp;$P$1,周转筐出入库明细!$B$4:$B$2004,"&lt;="&amp;$P$2))</f>
        <v/>
      </c>
      <c r="F79" s="25" t="str">
        <f>IF(OR($B79="",基础资料!$B$7=""),"",SUMIFS(周转筐出入库明细!$H$4:$H$2004,周转筐出入库明细!$C$4:$C$2004,$B79,周转筐出入库明细!$D$4:$D$2004,基础资料!$B$7,周转筐出入库明细!$F$4:$F$2004,"采购入库",周转筐出入库明细!$B$4:$B$2004,"&gt;="&amp;$P$1,周转筐出入库明细!$B$4:$B$2004,"&lt;="&amp;$P$2))</f>
        <v/>
      </c>
      <c r="G79" s="25" t="str">
        <f>IF(OR($B79="",基础资料!$B$8=""),"",SUMIFS(周转筐出入库明细!$H$4:$H$2004,周转筐出入库明细!$C$4:$C$2004,$B79,周转筐出入库明细!$D$4:$D$2004,基础资料!$B$8,周转筐出入库明细!$F$4:$F$2004,"采购入库",周转筐出入库明细!$B$4:$B$2004,"&gt;="&amp;$P$1,周转筐出入库明细!$B$4:$B$2004,"&lt;="&amp;$P$2))</f>
        <v/>
      </c>
      <c r="H79" s="25" t="str">
        <f>IF($B79="","",SUMIFS(周转筐出入库明细!$H$4:$H$2004,周转筐出入库明细!$C$4:$C$2004,$B79,周转筐出入库明细!$F$4:$F$2004,"采购入库",周转筐出入库明细!$B$4:$B$2004,"&gt;="&amp;$P$1,周转筐出入库明细!$B$4:$B$2004,"&lt;="&amp;$P$2)-SUM($C79:$G79))</f>
        <v/>
      </c>
      <c r="I79" s="25" t="str">
        <f t="shared" si="4"/>
        <v/>
      </c>
      <c r="J79" s="26" t="str">
        <f>IF($B79="","",ROUND(SUMIFS(周转筐出入库明细!$P$4:$P$2004,周转筐出入库明细!$C$4:$C$2004,$B79,周转筐出入库明细!$F$4:$F$2004,"采购入库",周转筐出入库明细!$B$4:$B$2004,"&gt;="&amp;$P$1,周转筐出入库明细!$B$4:$B$2004,"&lt;="&amp;$P$2),2))</f>
        <v/>
      </c>
      <c r="K79" s="26" t="str">
        <f>IF($B79="","",ROUND(SUMIFS(周转筐出入库明细!$P$4:$P$2004,周转筐出入库明细!$C$4:$C$2004,$B79,周转筐出入库明细!$F$4:$F$2004,"采购入库",周转筐出入库明细!$Q$4:$Q$2004,"已付款",周转筐出入库明细!$B$4:$B$2004,"&gt;="&amp;$P$1,周转筐出入库明细!$B$4:$B$2004,"&lt;="&amp;$P$2),2))</f>
        <v/>
      </c>
      <c r="L79" s="26" t="str">
        <f t="shared" si="5"/>
        <v/>
      </c>
    </row>
    <row r="80" spans="1:12">
      <c r="A80" s="22" t="str">
        <f t="shared" si="3"/>
        <v/>
      </c>
      <c r="B80" s="37" t="str">
        <f>IFERROR(INDEX(_自动清单!$CW$4:$CW$203,ROW()-3),"")</f>
        <v/>
      </c>
      <c r="C80" s="25" t="str">
        <f>IF(OR($B80="",基础资料!$B$4=""),"",SUMIFS(周转筐出入库明细!$H$4:$H$2004,周转筐出入库明细!$C$4:$C$2004,$B80,周转筐出入库明细!$D$4:$D$2004,基础资料!$B$4,周转筐出入库明细!$F$4:$F$2004,"采购入库",周转筐出入库明细!$B$4:$B$2004,"&gt;="&amp;$P$1,周转筐出入库明细!$B$4:$B$2004,"&lt;="&amp;$P$2))</f>
        <v/>
      </c>
      <c r="D80" s="25" t="str">
        <f>IF(OR($B80="",基础资料!$B$5=""),"",SUMIFS(周转筐出入库明细!$H$4:$H$2004,周转筐出入库明细!$C$4:$C$2004,$B80,周转筐出入库明细!$D$4:$D$2004,基础资料!$B$5,周转筐出入库明细!$F$4:$F$2004,"采购入库",周转筐出入库明细!$B$4:$B$2004,"&gt;="&amp;$P$1,周转筐出入库明细!$B$4:$B$2004,"&lt;="&amp;$P$2))</f>
        <v/>
      </c>
      <c r="E80" s="25" t="str">
        <f>IF(OR($B80="",基础资料!$B$6=""),"",SUMIFS(周转筐出入库明细!$H$4:$H$2004,周转筐出入库明细!$C$4:$C$2004,$B80,周转筐出入库明细!$D$4:$D$2004,基础资料!$B$6,周转筐出入库明细!$F$4:$F$2004,"采购入库",周转筐出入库明细!$B$4:$B$2004,"&gt;="&amp;$P$1,周转筐出入库明细!$B$4:$B$2004,"&lt;="&amp;$P$2))</f>
        <v/>
      </c>
      <c r="F80" s="25" t="str">
        <f>IF(OR($B80="",基础资料!$B$7=""),"",SUMIFS(周转筐出入库明细!$H$4:$H$2004,周转筐出入库明细!$C$4:$C$2004,$B80,周转筐出入库明细!$D$4:$D$2004,基础资料!$B$7,周转筐出入库明细!$F$4:$F$2004,"采购入库",周转筐出入库明细!$B$4:$B$2004,"&gt;="&amp;$P$1,周转筐出入库明细!$B$4:$B$2004,"&lt;="&amp;$P$2))</f>
        <v/>
      </c>
      <c r="G80" s="25" t="str">
        <f>IF(OR($B80="",基础资料!$B$8=""),"",SUMIFS(周转筐出入库明细!$H$4:$H$2004,周转筐出入库明细!$C$4:$C$2004,$B80,周转筐出入库明细!$D$4:$D$2004,基础资料!$B$8,周转筐出入库明细!$F$4:$F$2004,"采购入库",周转筐出入库明细!$B$4:$B$2004,"&gt;="&amp;$P$1,周转筐出入库明细!$B$4:$B$2004,"&lt;="&amp;$P$2))</f>
        <v/>
      </c>
      <c r="H80" s="25" t="str">
        <f>IF($B80="","",SUMIFS(周转筐出入库明细!$H$4:$H$2004,周转筐出入库明细!$C$4:$C$2004,$B80,周转筐出入库明细!$F$4:$F$2004,"采购入库",周转筐出入库明细!$B$4:$B$2004,"&gt;="&amp;$P$1,周转筐出入库明细!$B$4:$B$2004,"&lt;="&amp;$P$2)-SUM($C80:$G80))</f>
        <v/>
      </c>
      <c r="I80" s="25" t="str">
        <f t="shared" si="4"/>
        <v/>
      </c>
      <c r="J80" s="26" t="str">
        <f>IF($B80="","",ROUND(SUMIFS(周转筐出入库明细!$P$4:$P$2004,周转筐出入库明细!$C$4:$C$2004,$B80,周转筐出入库明细!$F$4:$F$2004,"采购入库",周转筐出入库明细!$B$4:$B$2004,"&gt;="&amp;$P$1,周转筐出入库明细!$B$4:$B$2004,"&lt;="&amp;$P$2),2))</f>
        <v/>
      </c>
      <c r="K80" s="26" t="str">
        <f>IF($B80="","",ROUND(SUMIFS(周转筐出入库明细!$P$4:$P$2004,周转筐出入库明细!$C$4:$C$2004,$B80,周转筐出入库明细!$F$4:$F$2004,"采购入库",周转筐出入库明细!$Q$4:$Q$2004,"已付款",周转筐出入库明细!$B$4:$B$2004,"&gt;="&amp;$P$1,周转筐出入库明细!$B$4:$B$2004,"&lt;="&amp;$P$2),2))</f>
        <v/>
      </c>
      <c r="L80" s="26" t="str">
        <f t="shared" si="5"/>
        <v/>
      </c>
    </row>
    <row r="81" spans="1:12">
      <c r="A81" s="22" t="str">
        <f t="shared" si="3"/>
        <v/>
      </c>
      <c r="B81" s="37" t="str">
        <f>IFERROR(INDEX(_自动清单!$CW$4:$CW$203,ROW()-3),"")</f>
        <v/>
      </c>
      <c r="C81" s="25" t="str">
        <f>IF(OR($B81="",基础资料!$B$4=""),"",SUMIFS(周转筐出入库明细!$H$4:$H$2004,周转筐出入库明细!$C$4:$C$2004,$B81,周转筐出入库明细!$D$4:$D$2004,基础资料!$B$4,周转筐出入库明细!$F$4:$F$2004,"采购入库",周转筐出入库明细!$B$4:$B$2004,"&gt;="&amp;$P$1,周转筐出入库明细!$B$4:$B$2004,"&lt;="&amp;$P$2))</f>
        <v/>
      </c>
      <c r="D81" s="25" t="str">
        <f>IF(OR($B81="",基础资料!$B$5=""),"",SUMIFS(周转筐出入库明细!$H$4:$H$2004,周转筐出入库明细!$C$4:$C$2004,$B81,周转筐出入库明细!$D$4:$D$2004,基础资料!$B$5,周转筐出入库明细!$F$4:$F$2004,"采购入库",周转筐出入库明细!$B$4:$B$2004,"&gt;="&amp;$P$1,周转筐出入库明细!$B$4:$B$2004,"&lt;="&amp;$P$2))</f>
        <v/>
      </c>
      <c r="E81" s="25" t="str">
        <f>IF(OR($B81="",基础资料!$B$6=""),"",SUMIFS(周转筐出入库明细!$H$4:$H$2004,周转筐出入库明细!$C$4:$C$2004,$B81,周转筐出入库明细!$D$4:$D$2004,基础资料!$B$6,周转筐出入库明细!$F$4:$F$2004,"采购入库",周转筐出入库明细!$B$4:$B$2004,"&gt;="&amp;$P$1,周转筐出入库明细!$B$4:$B$2004,"&lt;="&amp;$P$2))</f>
        <v/>
      </c>
      <c r="F81" s="25" t="str">
        <f>IF(OR($B81="",基础资料!$B$7=""),"",SUMIFS(周转筐出入库明细!$H$4:$H$2004,周转筐出入库明细!$C$4:$C$2004,$B81,周转筐出入库明细!$D$4:$D$2004,基础资料!$B$7,周转筐出入库明细!$F$4:$F$2004,"采购入库",周转筐出入库明细!$B$4:$B$2004,"&gt;="&amp;$P$1,周转筐出入库明细!$B$4:$B$2004,"&lt;="&amp;$P$2))</f>
        <v/>
      </c>
      <c r="G81" s="25" t="str">
        <f>IF(OR($B81="",基础资料!$B$8=""),"",SUMIFS(周转筐出入库明细!$H$4:$H$2004,周转筐出入库明细!$C$4:$C$2004,$B81,周转筐出入库明细!$D$4:$D$2004,基础资料!$B$8,周转筐出入库明细!$F$4:$F$2004,"采购入库",周转筐出入库明细!$B$4:$B$2004,"&gt;="&amp;$P$1,周转筐出入库明细!$B$4:$B$2004,"&lt;="&amp;$P$2))</f>
        <v/>
      </c>
      <c r="H81" s="25" t="str">
        <f>IF($B81="","",SUMIFS(周转筐出入库明细!$H$4:$H$2004,周转筐出入库明细!$C$4:$C$2004,$B81,周转筐出入库明细!$F$4:$F$2004,"采购入库",周转筐出入库明细!$B$4:$B$2004,"&gt;="&amp;$P$1,周转筐出入库明细!$B$4:$B$2004,"&lt;="&amp;$P$2)-SUM($C81:$G81))</f>
        <v/>
      </c>
      <c r="I81" s="25" t="str">
        <f t="shared" si="4"/>
        <v/>
      </c>
      <c r="J81" s="26" t="str">
        <f>IF($B81="","",ROUND(SUMIFS(周转筐出入库明细!$P$4:$P$2004,周转筐出入库明细!$C$4:$C$2004,$B81,周转筐出入库明细!$F$4:$F$2004,"采购入库",周转筐出入库明细!$B$4:$B$2004,"&gt;="&amp;$P$1,周转筐出入库明细!$B$4:$B$2004,"&lt;="&amp;$P$2),2))</f>
        <v/>
      </c>
      <c r="K81" s="26" t="str">
        <f>IF($B81="","",ROUND(SUMIFS(周转筐出入库明细!$P$4:$P$2004,周转筐出入库明细!$C$4:$C$2004,$B81,周转筐出入库明细!$F$4:$F$2004,"采购入库",周转筐出入库明细!$Q$4:$Q$2004,"已付款",周转筐出入库明细!$B$4:$B$2004,"&gt;="&amp;$P$1,周转筐出入库明细!$B$4:$B$2004,"&lt;="&amp;$P$2),2))</f>
        <v/>
      </c>
      <c r="L81" s="26" t="str">
        <f t="shared" si="5"/>
        <v/>
      </c>
    </row>
    <row r="82" spans="1:12">
      <c r="A82" s="22" t="str">
        <f t="shared" si="3"/>
        <v/>
      </c>
      <c r="B82" s="37" t="str">
        <f>IFERROR(INDEX(_自动清单!$CW$4:$CW$203,ROW()-3),"")</f>
        <v/>
      </c>
      <c r="C82" s="25" t="str">
        <f>IF(OR($B82="",基础资料!$B$4=""),"",SUMIFS(周转筐出入库明细!$H$4:$H$2004,周转筐出入库明细!$C$4:$C$2004,$B82,周转筐出入库明细!$D$4:$D$2004,基础资料!$B$4,周转筐出入库明细!$F$4:$F$2004,"采购入库",周转筐出入库明细!$B$4:$B$2004,"&gt;="&amp;$P$1,周转筐出入库明细!$B$4:$B$2004,"&lt;="&amp;$P$2))</f>
        <v/>
      </c>
      <c r="D82" s="25" t="str">
        <f>IF(OR($B82="",基础资料!$B$5=""),"",SUMIFS(周转筐出入库明细!$H$4:$H$2004,周转筐出入库明细!$C$4:$C$2004,$B82,周转筐出入库明细!$D$4:$D$2004,基础资料!$B$5,周转筐出入库明细!$F$4:$F$2004,"采购入库",周转筐出入库明细!$B$4:$B$2004,"&gt;="&amp;$P$1,周转筐出入库明细!$B$4:$B$2004,"&lt;="&amp;$P$2))</f>
        <v/>
      </c>
      <c r="E82" s="25" t="str">
        <f>IF(OR($B82="",基础资料!$B$6=""),"",SUMIFS(周转筐出入库明细!$H$4:$H$2004,周转筐出入库明细!$C$4:$C$2004,$B82,周转筐出入库明细!$D$4:$D$2004,基础资料!$B$6,周转筐出入库明细!$F$4:$F$2004,"采购入库",周转筐出入库明细!$B$4:$B$2004,"&gt;="&amp;$P$1,周转筐出入库明细!$B$4:$B$2004,"&lt;="&amp;$P$2))</f>
        <v/>
      </c>
      <c r="F82" s="25" t="str">
        <f>IF(OR($B82="",基础资料!$B$7=""),"",SUMIFS(周转筐出入库明细!$H$4:$H$2004,周转筐出入库明细!$C$4:$C$2004,$B82,周转筐出入库明细!$D$4:$D$2004,基础资料!$B$7,周转筐出入库明细!$F$4:$F$2004,"采购入库",周转筐出入库明细!$B$4:$B$2004,"&gt;="&amp;$P$1,周转筐出入库明细!$B$4:$B$2004,"&lt;="&amp;$P$2))</f>
        <v/>
      </c>
      <c r="G82" s="25" t="str">
        <f>IF(OR($B82="",基础资料!$B$8=""),"",SUMIFS(周转筐出入库明细!$H$4:$H$2004,周转筐出入库明细!$C$4:$C$2004,$B82,周转筐出入库明细!$D$4:$D$2004,基础资料!$B$8,周转筐出入库明细!$F$4:$F$2004,"采购入库",周转筐出入库明细!$B$4:$B$2004,"&gt;="&amp;$P$1,周转筐出入库明细!$B$4:$B$2004,"&lt;="&amp;$P$2))</f>
        <v/>
      </c>
      <c r="H82" s="25" t="str">
        <f>IF($B82="","",SUMIFS(周转筐出入库明细!$H$4:$H$2004,周转筐出入库明细!$C$4:$C$2004,$B82,周转筐出入库明细!$F$4:$F$2004,"采购入库",周转筐出入库明细!$B$4:$B$2004,"&gt;="&amp;$P$1,周转筐出入库明细!$B$4:$B$2004,"&lt;="&amp;$P$2)-SUM($C82:$G82))</f>
        <v/>
      </c>
      <c r="I82" s="25" t="str">
        <f t="shared" si="4"/>
        <v/>
      </c>
      <c r="J82" s="26" t="str">
        <f>IF($B82="","",ROUND(SUMIFS(周转筐出入库明细!$P$4:$P$2004,周转筐出入库明细!$C$4:$C$2004,$B82,周转筐出入库明细!$F$4:$F$2004,"采购入库",周转筐出入库明细!$B$4:$B$2004,"&gt;="&amp;$P$1,周转筐出入库明细!$B$4:$B$2004,"&lt;="&amp;$P$2),2))</f>
        <v/>
      </c>
      <c r="K82" s="26" t="str">
        <f>IF($B82="","",ROUND(SUMIFS(周转筐出入库明细!$P$4:$P$2004,周转筐出入库明细!$C$4:$C$2004,$B82,周转筐出入库明细!$F$4:$F$2004,"采购入库",周转筐出入库明细!$Q$4:$Q$2004,"已付款",周转筐出入库明细!$B$4:$B$2004,"&gt;="&amp;$P$1,周转筐出入库明细!$B$4:$B$2004,"&lt;="&amp;$P$2),2))</f>
        <v/>
      </c>
      <c r="L82" s="26" t="str">
        <f t="shared" si="5"/>
        <v/>
      </c>
    </row>
    <row r="83" spans="1:12">
      <c r="A83" s="22" t="str">
        <f t="shared" si="3"/>
        <v/>
      </c>
      <c r="B83" s="37" t="str">
        <f>IFERROR(INDEX(_自动清单!$CW$4:$CW$203,ROW()-3),"")</f>
        <v/>
      </c>
      <c r="C83" s="25" t="str">
        <f>IF(OR($B83="",基础资料!$B$4=""),"",SUMIFS(周转筐出入库明细!$H$4:$H$2004,周转筐出入库明细!$C$4:$C$2004,$B83,周转筐出入库明细!$D$4:$D$2004,基础资料!$B$4,周转筐出入库明细!$F$4:$F$2004,"采购入库",周转筐出入库明细!$B$4:$B$2004,"&gt;="&amp;$P$1,周转筐出入库明细!$B$4:$B$2004,"&lt;="&amp;$P$2))</f>
        <v/>
      </c>
      <c r="D83" s="25" t="str">
        <f>IF(OR($B83="",基础资料!$B$5=""),"",SUMIFS(周转筐出入库明细!$H$4:$H$2004,周转筐出入库明细!$C$4:$C$2004,$B83,周转筐出入库明细!$D$4:$D$2004,基础资料!$B$5,周转筐出入库明细!$F$4:$F$2004,"采购入库",周转筐出入库明细!$B$4:$B$2004,"&gt;="&amp;$P$1,周转筐出入库明细!$B$4:$B$2004,"&lt;="&amp;$P$2))</f>
        <v/>
      </c>
      <c r="E83" s="25" t="str">
        <f>IF(OR($B83="",基础资料!$B$6=""),"",SUMIFS(周转筐出入库明细!$H$4:$H$2004,周转筐出入库明细!$C$4:$C$2004,$B83,周转筐出入库明细!$D$4:$D$2004,基础资料!$B$6,周转筐出入库明细!$F$4:$F$2004,"采购入库",周转筐出入库明细!$B$4:$B$2004,"&gt;="&amp;$P$1,周转筐出入库明细!$B$4:$B$2004,"&lt;="&amp;$P$2))</f>
        <v/>
      </c>
      <c r="F83" s="25" t="str">
        <f>IF(OR($B83="",基础资料!$B$7=""),"",SUMIFS(周转筐出入库明细!$H$4:$H$2004,周转筐出入库明细!$C$4:$C$2004,$B83,周转筐出入库明细!$D$4:$D$2004,基础资料!$B$7,周转筐出入库明细!$F$4:$F$2004,"采购入库",周转筐出入库明细!$B$4:$B$2004,"&gt;="&amp;$P$1,周转筐出入库明细!$B$4:$B$2004,"&lt;="&amp;$P$2))</f>
        <v/>
      </c>
      <c r="G83" s="25" t="str">
        <f>IF(OR($B83="",基础资料!$B$8=""),"",SUMIFS(周转筐出入库明细!$H$4:$H$2004,周转筐出入库明细!$C$4:$C$2004,$B83,周转筐出入库明细!$D$4:$D$2004,基础资料!$B$8,周转筐出入库明细!$F$4:$F$2004,"采购入库",周转筐出入库明细!$B$4:$B$2004,"&gt;="&amp;$P$1,周转筐出入库明细!$B$4:$B$2004,"&lt;="&amp;$P$2))</f>
        <v/>
      </c>
      <c r="H83" s="25" t="str">
        <f>IF($B83="","",SUMIFS(周转筐出入库明细!$H$4:$H$2004,周转筐出入库明细!$C$4:$C$2004,$B83,周转筐出入库明细!$F$4:$F$2004,"采购入库",周转筐出入库明细!$B$4:$B$2004,"&gt;="&amp;$P$1,周转筐出入库明细!$B$4:$B$2004,"&lt;="&amp;$P$2)-SUM($C83:$G83))</f>
        <v/>
      </c>
      <c r="I83" s="25" t="str">
        <f t="shared" si="4"/>
        <v/>
      </c>
      <c r="J83" s="26" t="str">
        <f>IF($B83="","",ROUND(SUMIFS(周转筐出入库明细!$P$4:$P$2004,周转筐出入库明细!$C$4:$C$2004,$B83,周转筐出入库明细!$F$4:$F$2004,"采购入库",周转筐出入库明细!$B$4:$B$2004,"&gt;="&amp;$P$1,周转筐出入库明细!$B$4:$B$2004,"&lt;="&amp;$P$2),2))</f>
        <v/>
      </c>
      <c r="K83" s="26" t="str">
        <f>IF($B83="","",ROUND(SUMIFS(周转筐出入库明细!$P$4:$P$2004,周转筐出入库明细!$C$4:$C$2004,$B83,周转筐出入库明细!$F$4:$F$2004,"采购入库",周转筐出入库明细!$Q$4:$Q$2004,"已付款",周转筐出入库明细!$B$4:$B$2004,"&gt;="&amp;$P$1,周转筐出入库明细!$B$4:$B$2004,"&lt;="&amp;$P$2),2))</f>
        <v/>
      </c>
      <c r="L83" s="26" t="str">
        <f t="shared" si="5"/>
        <v/>
      </c>
    </row>
    <row r="84" spans="1:12">
      <c r="A84" s="22" t="str">
        <f t="shared" si="3"/>
        <v/>
      </c>
      <c r="B84" s="37" t="str">
        <f>IFERROR(INDEX(_自动清单!$CW$4:$CW$203,ROW()-3),"")</f>
        <v/>
      </c>
      <c r="C84" s="25" t="str">
        <f>IF(OR($B84="",基础资料!$B$4=""),"",SUMIFS(周转筐出入库明细!$H$4:$H$2004,周转筐出入库明细!$C$4:$C$2004,$B84,周转筐出入库明细!$D$4:$D$2004,基础资料!$B$4,周转筐出入库明细!$F$4:$F$2004,"采购入库",周转筐出入库明细!$B$4:$B$2004,"&gt;="&amp;$P$1,周转筐出入库明细!$B$4:$B$2004,"&lt;="&amp;$P$2))</f>
        <v/>
      </c>
      <c r="D84" s="25" t="str">
        <f>IF(OR($B84="",基础资料!$B$5=""),"",SUMIFS(周转筐出入库明细!$H$4:$H$2004,周转筐出入库明细!$C$4:$C$2004,$B84,周转筐出入库明细!$D$4:$D$2004,基础资料!$B$5,周转筐出入库明细!$F$4:$F$2004,"采购入库",周转筐出入库明细!$B$4:$B$2004,"&gt;="&amp;$P$1,周转筐出入库明细!$B$4:$B$2004,"&lt;="&amp;$P$2))</f>
        <v/>
      </c>
      <c r="E84" s="25" t="str">
        <f>IF(OR($B84="",基础资料!$B$6=""),"",SUMIFS(周转筐出入库明细!$H$4:$H$2004,周转筐出入库明细!$C$4:$C$2004,$B84,周转筐出入库明细!$D$4:$D$2004,基础资料!$B$6,周转筐出入库明细!$F$4:$F$2004,"采购入库",周转筐出入库明细!$B$4:$B$2004,"&gt;="&amp;$P$1,周转筐出入库明细!$B$4:$B$2004,"&lt;="&amp;$P$2))</f>
        <v/>
      </c>
      <c r="F84" s="25" t="str">
        <f>IF(OR($B84="",基础资料!$B$7=""),"",SUMIFS(周转筐出入库明细!$H$4:$H$2004,周转筐出入库明细!$C$4:$C$2004,$B84,周转筐出入库明细!$D$4:$D$2004,基础资料!$B$7,周转筐出入库明细!$F$4:$F$2004,"采购入库",周转筐出入库明细!$B$4:$B$2004,"&gt;="&amp;$P$1,周转筐出入库明细!$B$4:$B$2004,"&lt;="&amp;$P$2))</f>
        <v/>
      </c>
      <c r="G84" s="25" t="str">
        <f>IF(OR($B84="",基础资料!$B$8=""),"",SUMIFS(周转筐出入库明细!$H$4:$H$2004,周转筐出入库明细!$C$4:$C$2004,$B84,周转筐出入库明细!$D$4:$D$2004,基础资料!$B$8,周转筐出入库明细!$F$4:$F$2004,"采购入库",周转筐出入库明细!$B$4:$B$2004,"&gt;="&amp;$P$1,周转筐出入库明细!$B$4:$B$2004,"&lt;="&amp;$P$2))</f>
        <v/>
      </c>
      <c r="H84" s="25" t="str">
        <f>IF($B84="","",SUMIFS(周转筐出入库明细!$H$4:$H$2004,周转筐出入库明细!$C$4:$C$2004,$B84,周转筐出入库明细!$F$4:$F$2004,"采购入库",周转筐出入库明细!$B$4:$B$2004,"&gt;="&amp;$P$1,周转筐出入库明细!$B$4:$B$2004,"&lt;="&amp;$P$2)-SUM($C84:$G84))</f>
        <v/>
      </c>
      <c r="I84" s="25" t="str">
        <f t="shared" si="4"/>
        <v/>
      </c>
      <c r="J84" s="26" t="str">
        <f>IF($B84="","",ROUND(SUMIFS(周转筐出入库明细!$P$4:$P$2004,周转筐出入库明细!$C$4:$C$2004,$B84,周转筐出入库明细!$F$4:$F$2004,"采购入库",周转筐出入库明细!$B$4:$B$2004,"&gt;="&amp;$P$1,周转筐出入库明细!$B$4:$B$2004,"&lt;="&amp;$P$2),2))</f>
        <v/>
      </c>
      <c r="K84" s="26" t="str">
        <f>IF($B84="","",ROUND(SUMIFS(周转筐出入库明细!$P$4:$P$2004,周转筐出入库明细!$C$4:$C$2004,$B84,周转筐出入库明细!$F$4:$F$2004,"采购入库",周转筐出入库明细!$Q$4:$Q$2004,"已付款",周转筐出入库明细!$B$4:$B$2004,"&gt;="&amp;$P$1,周转筐出入库明细!$B$4:$B$2004,"&lt;="&amp;$P$2),2))</f>
        <v/>
      </c>
      <c r="L84" s="26" t="str">
        <f t="shared" si="5"/>
        <v/>
      </c>
    </row>
    <row r="85" spans="1:12">
      <c r="A85" s="22" t="str">
        <f t="shared" si="3"/>
        <v/>
      </c>
      <c r="B85" s="37" t="str">
        <f>IFERROR(INDEX(_自动清单!$CW$4:$CW$203,ROW()-3),"")</f>
        <v/>
      </c>
      <c r="C85" s="25" t="str">
        <f>IF(OR($B85="",基础资料!$B$4=""),"",SUMIFS(周转筐出入库明细!$H$4:$H$2004,周转筐出入库明细!$C$4:$C$2004,$B85,周转筐出入库明细!$D$4:$D$2004,基础资料!$B$4,周转筐出入库明细!$F$4:$F$2004,"采购入库",周转筐出入库明细!$B$4:$B$2004,"&gt;="&amp;$P$1,周转筐出入库明细!$B$4:$B$2004,"&lt;="&amp;$P$2))</f>
        <v/>
      </c>
      <c r="D85" s="25" t="str">
        <f>IF(OR($B85="",基础资料!$B$5=""),"",SUMIFS(周转筐出入库明细!$H$4:$H$2004,周转筐出入库明细!$C$4:$C$2004,$B85,周转筐出入库明细!$D$4:$D$2004,基础资料!$B$5,周转筐出入库明细!$F$4:$F$2004,"采购入库",周转筐出入库明细!$B$4:$B$2004,"&gt;="&amp;$P$1,周转筐出入库明细!$B$4:$B$2004,"&lt;="&amp;$P$2))</f>
        <v/>
      </c>
      <c r="E85" s="25" t="str">
        <f>IF(OR($B85="",基础资料!$B$6=""),"",SUMIFS(周转筐出入库明细!$H$4:$H$2004,周转筐出入库明细!$C$4:$C$2004,$B85,周转筐出入库明细!$D$4:$D$2004,基础资料!$B$6,周转筐出入库明细!$F$4:$F$2004,"采购入库",周转筐出入库明细!$B$4:$B$2004,"&gt;="&amp;$P$1,周转筐出入库明细!$B$4:$B$2004,"&lt;="&amp;$P$2))</f>
        <v/>
      </c>
      <c r="F85" s="25" t="str">
        <f>IF(OR($B85="",基础资料!$B$7=""),"",SUMIFS(周转筐出入库明细!$H$4:$H$2004,周转筐出入库明细!$C$4:$C$2004,$B85,周转筐出入库明细!$D$4:$D$2004,基础资料!$B$7,周转筐出入库明细!$F$4:$F$2004,"采购入库",周转筐出入库明细!$B$4:$B$2004,"&gt;="&amp;$P$1,周转筐出入库明细!$B$4:$B$2004,"&lt;="&amp;$P$2))</f>
        <v/>
      </c>
      <c r="G85" s="25" t="str">
        <f>IF(OR($B85="",基础资料!$B$8=""),"",SUMIFS(周转筐出入库明细!$H$4:$H$2004,周转筐出入库明细!$C$4:$C$2004,$B85,周转筐出入库明细!$D$4:$D$2004,基础资料!$B$8,周转筐出入库明细!$F$4:$F$2004,"采购入库",周转筐出入库明细!$B$4:$B$2004,"&gt;="&amp;$P$1,周转筐出入库明细!$B$4:$B$2004,"&lt;="&amp;$P$2))</f>
        <v/>
      </c>
      <c r="H85" s="25" t="str">
        <f>IF($B85="","",SUMIFS(周转筐出入库明细!$H$4:$H$2004,周转筐出入库明细!$C$4:$C$2004,$B85,周转筐出入库明细!$F$4:$F$2004,"采购入库",周转筐出入库明细!$B$4:$B$2004,"&gt;="&amp;$P$1,周转筐出入库明细!$B$4:$B$2004,"&lt;="&amp;$P$2)-SUM($C85:$G85))</f>
        <v/>
      </c>
      <c r="I85" s="25" t="str">
        <f t="shared" si="4"/>
        <v/>
      </c>
      <c r="J85" s="26" t="str">
        <f>IF($B85="","",ROUND(SUMIFS(周转筐出入库明细!$P$4:$P$2004,周转筐出入库明细!$C$4:$C$2004,$B85,周转筐出入库明细!$F$4:$F$2004,"采购入库",周转筐出入库明细!$B$4:$B$2004,"&gt;="&amp;$P$1,周转筐出入库明细!$B$4:$B$2004,"&lt;="&amp;$P$2),2))</f>
        <v/>
      </c>
      <c r="K85" s="26" t="str">
        <f>IF($B85="","",ROUND(SUMIFS(周转筐出入库明细!$P$4:$P$2004,周转筐出入库明细!$C$4:$C$2004,$B85,周转筐出入库明细!$F$4:$F$2004,"采购入库",周转筐出入库明细!$Q$4:$Q$2004,"已付款",周转筐出入库明细!$B$4:$B$2004,"&gt;="&amp;$P$1,周转筐出入库明细!$B$4:$B$2004,"&lt;="&amp;$P$2),2))</f>
        <v/>
      </c>
      <c r="L85" s="26" t="str">
        <f t="shared" si="5"/>
        <v/>
      </c>
    </row>
    <row r="86" spans="1:12">
      <c r="A86" s="22" t="str">
        <f t="shared" si="3"/>
        <v/>
      </c>
      <c r="B86" s="37" t="str">
        <f>IFERROR(INDEX(_自动清单!$CW$4:$CW$203,ROW()-3),"")</f>
        <v/>
      </c>
      <c r="C86" s="25" t="str">
        <f>IF(OR($B86="",基础资料!$B$4=""),"",SUMIFS(周转筐出入库明细!$H$4:$H$2004,周转筐出入库明细!$C$4:$C$2004,$B86,周转筐出入库明细!$D$4:$D$2004,基础资料!$B$4,周转筐出入库明细!$F$4:$F$2004,"采购入库",周转筐出入库明细!$B$4:$B$2004,"&gt;="&amp;$P$1,周转筐出入库明细!$B$4:$B$2004,"&lt;="&amp;$P$2))</f>
        <v/>
      </c>
      <c r="D86" s="25" t="str">
        <f>IF(OR($B86="",基础资料!$B$5=""),"",SUMIFS(周转筐出入库明细!$H$4:$H$2004,周转筐出入库明细!$C$4:$C$2004,$B86,周转筐出入库明细!$D$4:$D$2004,基础资料!$B$5,周转筐出入库明细!$F$4:$F$2004,"采购入库",周转筐出入库明细!$B$4:$B$2004,"&gt;="&amp;$P$1,周转筐出入库明细!$B$4:$B$2004,"&lt;="&amp;$P$2))</f>
        <v/>
      </c>
      <c r="E86" s="25" t="str">
        <f>IF(OR($B86="",基础资料!$B$6=""),"",SUMIFS(周转筐出入库明细!$H$4:$H$2004,周转筐出入库明细!$C$4:$C$2004,$B86,周转筐出入库明细!$D$4:$D$2004,基础资料!$B$6,周转筐出入库明细!$F$4:$F$2004,"采购入库",周转筐出入库明细!$B$4:$B$2004,"&gt;="&amp;$P$1,周转筐出入库明细!$B$4:$B$2004,"&lt;="&amp;$P$2))</f>
        <v/>
      </c>
      <c r="F86" s="25" t="str">
        <f>IF(OR($B86="",基础资料!$B$7=""),"",SUMIFS(周转筐出入库明细!$H$4:$H$2004,周转筐出入库明细!$C$4:$C$2004,$B86,周转筐出入库明细!$D$4:$D$2004,基础资料!$B$7,周转筐出入库明细!$F$4:$F$2004,"采购入库",周转筐出入库明细!$B$4:$B$2004,"&gt;="&amp;$P$1,周转筐出入库明细!$B$4:$B$2004,"&lt;="&amp;$P$2))</f>
        <v/>
      </c>
      <c r="G86" s="25" t="str">
        <f>IF(OR($B86="",基础资料!$B$8=""),"",SUMIFS(周转筐出入库明细!$H$4:$H$2004,周转筐出入库明细!$C$4:$C$2004,$B86,周转筐出入库明细!$D$4:$D$2004,基础资料!$B$8,周转筐出入库明细!$F$4:$F$2004,"采购入库",周转筐出入库明细!$B$4:$B$2004,"&gt;="&amp;$P$1,周转筐出入库明细!$B$4:$B$2004,"&lt;="&amp;$P$2))</f>
        <v/>
      </c>
      <c r="H86" s="25" t="str">
        <f>IF($B86="","",SUMIFS(周转筐出入库明细!$H$4:$H$2004,周转筐出入库明细!$C$4:$C$2004,$B86,周转筐出入库明细!$F$4:$F$2004,"采购入库",周转筐出入库明细!$B$4:$B$2004,"&gt;="&amp;$P$1,周转筐出入库明细!$B$4:$B$2004,"&lt;="&amp;$P$2)-SUM($C86:$G86))</f>
        <v/>
      </c>
      <c r="I86" s="25" t="str">
        <f t="shared" si="4"/>
        <v/>
      </c>
      <c r="J86" s="26" t="str">
        <f>IF($B86="","",ROUND(SUMIFS(周转筐出入库明细!$P$4:$P$2004,周转筐出入库明细!$C$4:$C$2004,$B86,周转筐出入库明细!$F$4:$F$2004,"采购入库",周转筐出入库明细!$B$4:$B$2004,"&gt;="&amp;$P$1,周转筐出入库明细!$B$4:$B$2004,"&lt;="&amp;$P$2),2))</f>
        <v/>
      </c>
      <c r="K86" s="26" t="str">
        <f>IF($B86="","",ROUND(SUMIFS(周转筐出入库明细!$P$4:$P$2004,周转筐出入库明细!$C$4:$C$2004,$B86,周转筐出入库明细!$F$4:$F$2004,"采购入库",周转筐出入库明细!$Q$4:$Q$2004,"已付款",周转筐出入库明细!$B$4:$B$2004,"&gt;="&amp;$P$1,周转筐出入库明细!$B$4:$B$2004,"&lt;="&amp;$P$2),2))</f>
        <v/>
      </c>
      <c r="L86" s="26" t="str">
        <f t="shared" si="5"/>
        <v/>
      </c>
    </row>
    <row r="87" spans="1:12">
      <c r="A87" s="22" t="str">
        <f t="shared" si="3"/>
        <v/>
      </c>
      <c r="B87" s="37" t="str">
        <f>IFERROR(INDEX(_自动清单!$CW$4:$CW$203,ROW()-3),"")</f>
        <v/>
      </c>
      <c r="C87" s="25" t="str">
        <f>IF(OR($B87="",基础资料!$B$4=""),"",SUMIFS(周转筐出入库明细!$H$4:$H$2004,周转筐出入库明细!$C$4:$C$2004,$B87,周转筐出入库明细!$D$4:$D$2004,基础资料!$B$4,周转筐出入库明细!$F$4:$F$2004,"采购入库",周转筐出入库明细!$B$4:$B$2004,"&gt;="&amp;$P$1,周转筐出入库明细!$B$4:$B$2004,"&lt;="&amp;$P$2))</f>
        <v/>
      </c>
      <c r="D87" s="25" t="str">
        <f>IF(OR($B87="",基础资料!$B$5=""),"",SUMIFS(周转筐出入库明细!$H$4:$H$2004,周转筐出入库明细!$C$4:$C$2004,$B87,周转筐出入库明细!$D$4:$D$2004,基础资料!$B$5,周转筐出入库明细!$F$4:$F$2004,"采购入库",周转筐出入库明细!$B$4:$B$2004,"&gt;="&amp;$P$1,周转筐出入库明细!$B$4:$B$2004,"&lt;="&amp;$P$2))</f>
        <v/>
      </c>
      <c r="E87" s="25" t="str">
        <f>IF(OR($B87="",基础资料!$B$6=""),"",SUMIFS(周转筐出入库明细!$H$4:$H$2004,周转筐出入库明细!$C$4:$C$2004,$B87,周转筐出入库明细!$D$4:$D$2004,基础资料!$B$6,周转筐出入库明细!$F$4:$F$2004,"采购入库",周转筐出入库明细!$B$4:$B$2004,"&gt;="&amp;$P$1,周转筐出入库明细!$B$4:$B$2004,"&lt;="&amp;$P$2))</f>
        <v/>
      </c>
      <c r="F87" s="25" t="str">
        <f>IF(OR($B87="",基础资料!$B$7=""),"",SUMIFS(周转筐出入库明细!$H$4:$H$2004,周转筐出入库明细!$C$4:$C$2004,$B87,周转筐出入库明细!$D$4:$D$2004,基础资料!$B$7,周转筐出入库明细!$F$4:$F$2004,"采购入库",周转筐出入库明细!$B$4:$B$2004,"&gt;="&amp;$P$1,周转筐出入库明细!$B$4:$B$2004,"&lt;="&amp;$P$2))</f>
        <v/>
      </c>
      <c r="G87" s="25" t="str">
        <f>IF(OR($B87="",基础资料!$B$8=""),"",SUMIFS(周转筐出入库明细!$H$4:$H$2004,周转筐出入库明细!$C$4:$C$2004,$B87,周转筐出入库明细!$D$4:$D$2004,基础资料!$B$8,周转筐出入库明细!$F$4:$F$2004,"采购入库",周转筐出入库明细!$B$4:$B$2004,"&gt;="&amp;$P$1,周转筐出入库明细!$B$4:$B$2004,"&lt;="&amp;$P$2))</f>
        <v/>
      </c>
      <c r="H87" s="25" t="str">
        <f>IF($B87="","",SUMIFS(周转筐出入库明细!$H$4:$H$2004,周转筐出入库明细!$C$4:$C$2004,$B87,周转筐出入库明细!$F$4:$F$2004,"采购入库",周转筐出入库明细!$B$4:$B$2004,"&gt;="&amp;$P$1,周转筐出入库明细!$B$4:$B$2004,"&lt;="&amp;$P$2)-SUM($C87:$G87))</f>
        <v/>
      </c>
      <c r="I87" s="25" t="str">
        <f t="shared" si="4"/>
        <v/>
      </c>
      <c r="J87" s="26" t="str">
        <f>IF($B87="","",ROUND(SUMIFS(周转筐出入库明细!$P$4:$P$2004,周转筐出入库明细!$C$4:$C$2004,$B87,周转筐出入库明细!$F$4:$F$2004,"采购入库",周转筐出入库明细!$B$4:$B$2004,"&gt;="&amp;$P$1,周转筐出入库明细!$B$4:$B$2004,"&lt;="&amp;$P$2),2))</f>
        <v/>
      </c>
      <c r="K87" s="26" t="str">
        <f>IF($B87="","",ROUND(SUMIFS(周转筐出入库明细!$P$4:$P$2004,周转筐出入库明细!$C$4:$C$2004,$B87,周转筐出入库明细!$F$4:$F$2004,"采购入库",周转筐出入库明细!$Q$4:$Q$2004,"已付款",周转筐出入库明细!$B$4:$B$2004,"&gt;="&amp;$P$1,周转筐出入库明细!$B$4:$B$2004,"&lt;="&amp;$P$2),2))</f>
        <v/>
      </c>
      <c r="L87" s="26" t="str">
        <f t="shared" si="5"/>
        <v/>
      </c>
    </row>
    <row r="88" spans="1:12">
      <c r="A88" s="22" t="str">
        <f t="shared" si="3"/>
        <v/>
      </c>
      <c r="B88" s="37" t="str">
        <f>IFERROR(INDEX(_自动清单!$CW$4:$CW$203,ROW()-3),"")</f>
        <v/>
      </c>
      <c r="C88" s="25" t="str">
        <f>IF(OR($B88="",基础资料!$B$4=""),"",SUMIFS(周转筐出入库明细!$H$4:$H$2004,周转筐出入库明细!$C$4:$C$2004,$B88,周转筐出入库明细!$D$4:$D$2004,基础资料!$B$4,周转筐出入库明细!$F$4:$F$2004,"采购入库",周转筐出入库明细!$B$4:$B$2004,"&gt;="&amp;$P$1,周转筐出入库明细!$B$4:$B$2004,"&lt;="&amp;$P$2))</f>
        <v/>
      </c>
      <c r="D88" s="25" t="str">
        <f>IF(OR($B88="",基础资料!$B$5=""),"",SUMIFS(周转筐出入库明细!$H$4:$H$2004,周转筐出入库明细!$C$4:$C$2004,$B88,周转筐出入库明细!$D$4:$D$2004,基础资料!$B$5,周转筐出入库明细!$F$4:$F$2004,"采购入库",周转筐出入库明细!$B$4:$B$2004,"&gt;="&amp;$P$1,周转筐出入库明细!$B$4:$B$2004,"&lt;="&amp;$P$2))</f>
        <v/>
      </c>
      <c r="E88" s="25" t="str">
        <f>IF(OR($B88="",基础资料!$B$6=""),"",SUMIFS(周转筐出入库明细!$H$4:$H$2004,周转筐出入库明细!$C$4:$C$2004,$B88,周转筐出入库明细!$D$4:$D$2004,基础资料!$B$6,周转筐出入库明细!$F$4:$F$2004,"采购入库",周转筐出入库明细!$B$4:$B$2004,"&gt;="&amp;$P$1,周转筐出入库明细!$B$4:$B$2004,"&lt;="&amp;$P$2))</f>
        <v/>
      </c>
      <c r="F88" s="25" t="str">
        <f>IF(OR($B88="",基础资料!$B$7=""),"",SUMIFS(周转筐出入库明细!$H$4:$H$2004,周转筐出入库明细!$C$4:$C$2004,$B88,周转筐出入库明细!$D$4:$D$2004,基础资料!$B$7,周转筐出入库明细!$F$4:$F$2004,"采购入库",周转筐出入库明细!$B$4:$B$2004,"&gt;="&amp;$P$1,周转筐出入库明细!$B$4:$B$2004,"&lt;="&amp;$P$2))</f>
        <v/>
      </c>
      <c r="G88" s="25" t="str">
        <f>IF(OR($B88="",基础资料!$B$8=""),"",SUMIFS(周转筐出入库明细!$H$4:$H$2004,周转筐出入库明细!$C$4:$C$2004,$B88,周转筐出入库明细!$D$4:$D$2004,基础资料!$B$8,周转筐出入库明细!$F$4:$F$2004,"采购入库",周转筐出入库明细!$B$4:$B$2004,"&gt;="&amp;$P$1,周转筐出入库明细!$B$4:$B$2004,"&lt;="&amp;$P$2))</f>
        <v/>
      </c>
      <c r="H88" s="25" t="str">
        <f>IF($B88="","",SUMIFS(周转筐出入库明细!$H$4:$H$2004,周转筐出入库明细!$C$4:$C$2004,$B88,周转筐出入库明细!$F$4:$F$2004,"采购入库",周转筐出入库明细!$B$4:$B$2004,"&gt;="&amp;$P$1,周转筐出入库明细!$B$4:$B$2004,"&lt;="&amp;$P$2)-SUM($C88:$G88))</f>
        <v/>
      </c>
      <c r="I88" s="25" t="str">
        <f t="shared" si="4"/>
        <v/>
      </c>
      <c r="J88" s="26" t="str">
        <f>IF($B88="","",ROUND(SUMIFS(周转筐出入库明细!$P$4:$P$2004,周转筐出入库明细!$C$4:$C$2004,$B88,周转筐出入库明细!$F$4:$F$2004,"采购入库",周转筐出入库明细!$B$4:$B$2004,"&gt;="&amp;$P$1,周转筐出入库明细!$B$4:$B$2004,"&lt;="&amp;$P$2),2))</f>
        <v/>
      </c>
      <c r="K88" s="26" t="str">
        <f>IF($B88="","",ROUND(SUMIFS(周转筐出入库明细!$P$4:$P$2004,周转筐出入库明细!$C$4:$C$2004,$B88,周转筐出入库明细!$F$4:$F$2004,"采购入库",周转筐出入库明细!$Q$4:$Q$2004,"已付款",周转筐出入库明细!$B$4:$B$2004,"&gt;="&amp;$P$1,周转筐出入库明细!$B$4:$B$2004,"&lt;="&amp;$P$2),2))</f>
        <v/>
      </c>
      <c r="L88" s="26" t="str">
        <f t="shared" si="5"/>
        <v/>
      </c>
    </row>
    <row r="89" spans="1:12">
      <c r="A89" s="22" t="str">
        <f t="shared" si="3"/>
        <v/>
      </c>
      <c r="B89" s="37" t="str">
        <f>IFERROR(INDEX(_自动清单!$CW$4:$CW$203,ROW()-3),"")</f>
        <v/>
      </c>
      <c r="C89" s="25" t="str">
        <f>IF(OR($B89="",基础资料!$B$4=""),"",SUMIFS(周转筐出入库明细!$H$4:$H$2004,周转筐出入库明细!$C$4:$C$2004,$B89,周转筐出入库明细!$D$4:$D$2004,基础资料!$B$4,周转筐出入库明细!$F$4:$F$2004,"采购入库",周转筐出入库明细!$B$4:$B$2004,"&gt;="&amp;$P$1,周转筐出入库明细!$B$4:$B$2004,"&lt;="&amp;$P$2))</f>
        <v/>
      </c>
      <c r="D89" s="25" t="str">
        <f>IF(OR($B89="",基础资料!$B$5=""),"",SUMIFS(周转筐出入库明细!$H$4:$H$2004,周转筐出入库明细!$C$4:$C$2004,$B89,周转筐出入库明细!$D$4:$D$2004,基础资料!$B$5,周转筐出入库明细!$F$4:$F$2004,"采购入库",周转筐出入库明细!$B$4:$B$2004,"&gt;="&amp;$P$1,周转筐出入库明细!$B$4:$B$2004,"&lt;="&amp;$P$2))</f>
        <v/>
      </c>
      <c r="E89" s="25" t="str">
        <f>IF(OR($B89="",基础资料!$B$6=""),"",SUMIFS(周转筐出入库明细!$H$4:$H$2004,周转筐出入库明细!$C$4:$C$2004,$B89,周转筐出入库明细!$D$4:$D$2004,基础资料!$B$6,周转筐出入库明细!$F$4:$F$2004,"采购入库",周转筐出入库明细!$B$4:$B$2004,"&gt;="&amp;$P$1,周转筐出入库明细!$B$4:$B$2004,"&lt;="&amp;$P$2))</f>
        <v/>
      </c>
      <c r="F89" s="25" t="str">
        <f>IF(OR($B89="",基础资料!$B$7=""),"",SUMIFS(周转筐出入库明细!$H$4:$H$2004,周转筐出入库明细!$C$4:$C$2004,$B89,周转筐出入库明细!$D$4:$D$2004,基础资料!$B$7,周转筐出入库明细!$F$4:$F$2004,"采购入库",周转筐出入库明细!$B$4:$B$2004,"&gt;="&amp;$P$1,周转筐出入库明细!$B$4:$B$2004,"&lt;="&amp;$P$2))</f>
        <v/>
      </c>
      <c r="G89" s="25" t="str">
        <f>IF(OR($B89="",基础资料!$B$8=""),"",SUMIFS(周转筐出入库明细!$H$4:$H$2004,周转筐出入库明细!$C$4:$C$2004,$B89,周转筐出入库明细!$D$4:$D$2004,基础资料!$B$8,周转筐出入库明细!$F$4:$F$2004,"采购入库",周转筐出入库明细!$B$4:$B$2004,"&gt;="&amp;$P$1,周转筐出入库明细!$B$4:$B$2004,"&lt;="&amp;$P$2))</f>
        <v/>
      </c>
      <c r="H89" s="25" t="str">
        <f>IF($B89="","",SUMIFS(周转筐出入库明细!$H$4:$H$2004,周转筐出入库明细!$C$4:$C$2004,$B89,周转筐出入库明细!$F$4:$F$2004,"采购入库",周转筐出入库明细!$B$4:$B$2004,"&gt;="&amp;$P$1,周转筐出入库明细!$B$4:$B$2004,"&lt;="&amp;$P$2)-SUM($C89:$G89))</f>
        <v/>
      </c>
      <c r="I89" s="25" t="str">
        <f t="shared" si="4"/>
        <v/>
      </c>
      <c r="J89" s="26" t="str">
        <f>IF($B89="","",ROUND(SUMIFS(周转筐出入库明细!$P$4:$P$2004,周转筐出入库明细!$C$4:$C$2004,$B89,周转筐出入库明细!$F$4:$F$2004,"采购入库",周转筐出入库明细!$B$4:$B$2004,"&gt;="&amp;$P$1,周转筐出入库明细!$B$4:$B$2004,"&lt;="&amp;$P$2),2))</f>
        <v/>
      </c>
      <c r="K89" s="26" t="str">
        <f>IF($B89="","",ROUND(SUMIFS(周转筐出入库明细!$P$4:$P$2004,周转筐出入库明细!$C$4:$C$2004,$B89,周转筐出入库明细!$F$4:$F$2004,"采购入库",周转筐出入库明细!$Q$4:$Q$2004,"已付款",周转筐出入库明细!$B$4:$B$2004,"&gt;="&amp;$P$1,周转筐出入库明细!$B$4:$B$2004,"&lt;="&amp;$P$2),2))</f>
        <v/>
      </c>
      <c r="L89" s="26" t="str">
        <f t="shared" si="5"/>
        <v/>
      </c>
    </row>
    <row r="90" spans="1:12">
      <c r="A90" s="22" t="str">
        <f t="shared" si="3"/>
        <v/>
      </c>
      <c r="B90" s="37" t="str">
        <f>IFERROR(INDEX(_自动清单!$CW$4:$CW$203,ROW()-3),"")</f>
        <v/>
      </c>
      <c r="C90" s="25" t="str">
        <f>IF(OR($B90="",基础资料!$B$4=""),"",SUMIFS(周转筐出入库明细!$H$4:$H$2004,周转筐出入库明细!$C$4:$C$2004,$B90,周转筐出入库明细!$D$4:$D$2004,基础资料!$B$4,周转筐出入库明细!$F$4:$F$2004,"采购入库",周转筐出入库明细!$B$4:$B$2004,"&gt;="&amp;$P$1,周转筐出入库明细!$B$4:$B$2004,"&lt;="&amp;$P$2))</f>
        <v/>
      </c>
      <c r="D90" s="25" t="str">
        <f>IF(OR($B90="",基础资料!$B$5=""),"",SUMIFS(周转筐出入库明细!$H$4:$H$2004,周转筐出入库明细!$C$4:$C$2004,$B90,周转筐出入库明细!$D$4:$D$2004,基础资料!$B$5,周转筐出入库明细!$F$4:$F$2004,"采购入库",周转筐出入库明细!$B$4:$B$2004,"&gt;="&amp;$P$1,周转筐出入库明细!$B$4:$B$2004,"&lt;="&amp;$P$2))</f>
        <v/>
      </c>
      <c r="E90" s="25" t="str">
        <f>IF(OR($B90="",基础资料!$B$6=""),"",SUMIFS(周转筐出入库明细!$H$4:$H$2004,周转筐出入库明细!$C$4:$C$2004,$B90,周转筐出入库明细!$D$4:$D$2004,基础资料!$B$6,周转筐出入库明细!$F$4:$F$2004,"采购入库",周转筐出入库明细!$B$4:$B$2004,"&gt;="&amp;$P$1,周转筐出入库明细!$B$4:$B$2004,"&lt;="&amp;$P$2))</f>
        <v/>
      </c>
      <c r="F90" s="25" t="str">
        <f>IF(OR($B90="",基础资料!$B$7=""),"",SUMIFS(周转筐出入库明细!$H$4:$H$2004,周转筐出入库明细!$C$4:$C$2004,$B90,周转筐出入库明细!$D$4:$D$2004,基础资料!$B$7,周转筐出入库明细!$F$4:$F$2004,"采购入库",周转筐出入库明细!$B$4:$B$2004,"&gt;="&amp;$P$1,周转筐出入库明细!$B$4:$B$2004,"&lt;="&amp;$P$2))</f>
        <v/>
      </c>
      <c r="G90" s="25" t="str">
        <f>IF(OR($B90="",基础资料!$B$8=""),"",SUMIFS(周转筐出入库明细!$H$4:$H$2004,周转筐出入库明细!$C$4:$C$2004,$B90,周转筐出入库明细!$D$4:$D$2004,基础资料!$B$8,周转筐出入库明细!$F$4:$F$2004,"采购入库",周转筐出入库明细!$B$4:$B$2004,"&gt;="&amp;$P$1,周转筐出入库明细!$B$4:$B$2004,"&lt;="&amp;$P$2))</f>
        <v/>
      </c>
      <c r="H90" s="25" t="str">
        <f>IF($B90="","",SUMIFS(周转筐出入库明细!$H$4:$H$2004,周转筐出入库明细!$C$4:$C$2004,$B90,周转筐出入库明细!$F$4:$F$2004,"采购入库",周转筐出入库明细!$B$4:$B$2004,"&gt;="&amp;$P$1,周转筐出入库明细!$B$4:$B$2004,"&lt;="&amp;$P$2)-SUM($C90:$G90))</f>
        <v/>
      </c>
      <c r="I90" s="25" t="str">
        <f t="shared" si="4"/>
        <v/>
      </c>
      <c r="J90" s="26" t="str">
        <f>IF($B90="","",ROUND(SUMIFS(周转筐出入库明细!$P$4:$P$2004,周转筐出入库明细!$C$4:$C$2004,$B90,周转筐出入库明细!$F$4:$F$2004,"采购入库",周转筐出入库明细!$B$4:$B$2004,"&gt;="&amp;$P$1,周转筐出入库明细!$B$4:$B$2004,"&lt;="&amp;$P$2),2))</f>
        <v/>
      </c>
      <c r="K90" s="26" t="str">
        <f>IF($B90="","",ROUND(SUMIFS(周转筐出入库明细!$P$4:$P$2004,周转筐出入库明细!$C$4:$C$2004,$B90,周转筐出入库明细!$F$4:$F$2004,"采购入库",周转筐出入库明细!$Q$4:$Q$2004,"已付款",周转筐出入库明细!$B$4:$B$2004,"&gt;="&amp;$P$1,周转筐出入库明细!$B$4:$B$2004,"&lt;="&amp;$P$2),2))</f>
        <v/>
      </c>
      <c r="L90" s="26" t="str">
        <f t="shared" si="5"/>
        <v/>
      </c>
    </row>
    <row r="91" spans="1:12">
      <c r="A91" s="22" t="str">
        <f t="shared" si="3"/>
        <v/>
      </c>
      <c r="B91" s="37" t="str">
        <f>IFERROR(INDEX(_自动清单!$CW$4:$CW$203,ROW()-3),"")</f>
        <v/>
      </c>
      <c r="C91" s="25" t="str">
        <f>IF(OR($B91="",基础资料!$B$4=""),"",SUMIFS(周转筐出入库明细!$H$4:$H$2004,周转筐出入库明细!$C$4:$C$2004,$B91,周转筐出入库明细!$D$4:$D$2004,基础资料!$B$4,周转筐出入库明细!$F$4:$F$2004,"采购入库",周转筐出入库明细!$B$4:$B$2004,"&gt;="&amp;$P$1,周转筐出入库明细!$B$4:$B$2004,"&lt;="&amp;$P$2))</f>
        <v/>
      </c>
      <c r="D91" s="25" t="str">
        <f>IF(OR($B91="",基础资料!$B$5=""),"",SUMIFS(周转筐出入库明细!$H$4:$H$2004,周转筐出入库明细!$C$4:$C$2004,$B91,周转筐出入库明细!$D$4:$D$2004,基础资料!$B$5,周转筐出入库明细!$F$4:$F$2004,"采购入库",周转筐出入库明细!$B$4:$B$2004,"&gt;="&amp;$P$1,周转筐出入库明细!$B$4:$B$2004,"&lt;="&amp;$P$2))</f>
        <v/>
      </c>
      <c r="E91" s="25" t="str">
        <f>IF(OR($B91="",基础资料!$B$6=""),"",SUMIFS(周转筐出入库明细!$H$4:$H$2004,周转筐出入库明细!$C$4:$C$2004,$B91,周转筐出入库明细!$D$4:$D$2004,基础资料!$B$6,周转筐出入库明细!$F$4:$F$2004,"采购入库",周转筐出入库明细!$B$4:$B$2004,"&gt;="&amp;$P$1,周转筐出入库明细!$B$4:$B$2004,"&lt;="&amp;$P$2))</f>
        <v/>
      </c>
      <c r="F91" s="25" t="str">
        <f>IF(OR($B91="",基础资料!$B$7=""),"",SUMIFS(周转筐出入库明细!$H$4:$H$2004,周转筐出入库明细!$C$4:$C$2004,$B91,周转筐出入库明细!$D$4:$D$2004,基础资料!$B$7,周转筐出入库明细!$F$4:$F$2004,"采购入库",周转筐出入库明细!$B$4:$B$2004,"&gt;="&amp;$P$1,周转筐出入库明细!$B$4:$B$2004,"&lt;="&amp;$P$2))</f>
        <v/>
      </c>
      <c r="G91" s="25" t="str">
        <f>IF(OR($B91="",基础资料!$B$8=""),"",SUMIFS(周转筐出入库明细!$H$4:$H$2004,周转筐出入库明细!$C$4:$C$2004,$B91,周转筐出入库明细!$D$4:$D$2004,基础资料!$B$8,周转筐出入库明细!$F$4:$F$2004,"采购入库",周转筐出入库明细!$B$4:$B$2004,"&gt;="&amp;$P$1,周转筐出入库明细!$B$4:$B$2004,"&lt;="&amp;$P$2))</f>
        <v/>
      </c>
      <c r="H91" s="25" t="str">
        <f>IF($B91="","",SUMIFS(周转筐出入库明细!$H$4:$H$2004,周转筐出入库明细!$C$4:$C$2004,$B91,周转筐出入库明细!$F$4:$F$2004,"采购入库",周转筐出入库明细!$B$4:$B$2004,"&gt;="&amp;$P$1,周转筐出入库明细!$B$4:$B$2004,"&lt;="&amp;$P$2)-SUM($C91:$G91))</f>
        <v/>
      </c>
      <c r="I91" s="25" t="str">
        <f t="shared" si="4"/>
        <v/>
      </c>
      <c r="J91" s="26" t="str">
        <f>IF($B91="","",ROUND(SUMIFS(周转筐出入库明细!$P$4:$P$2004,周转筐出入库明细!$C$4:$C$2004,$B91,周转筐出入库明细!$F$4:$F$2004,"采购入库",周转筐出入库明细!$B$4:$B$2004,"&gt;="&amp;$P$1,周转筐出入库明细!$B$4:$B$2004,"&lt;="&amp;$P$2),2))</f>
        <v/>
      </c>
      <c r="K91" s="26" t="str">
        <f>IF($B91="","",ROUND(SUMIFS(周转筐出入库明细!$P$4:$P$2004,周转筐出入库明细!$C$4:$C$2004,$B91,周转筐出入库明细!$F$4:$F$2004,"采购入库",周转筐出入库明细!$Q$4:$Q$2004,"已付款",周转筐出入库明细!$B$4:$B$2004,"&gt;="&amp;$P$1,周转筐出入库明细!$B$4:$B$2004,"&lt;="&amp;$P$2),2))</f>
        <v/>
      </c>
      <c r="L91" s="26" t="str">
        <f t="shared" si="5"/>
        <v/>
      </c>
    </row>
    <row r="92" spans="1:12">
      <c r="A92" s="22" t="str">
        <f t="shared" si="3"/>
        <v/>
      </c>
      <c r="B92" s="37" t="str">
        <f>IFERROR(INDEX(_自动清单!$CW$4:$CW$203,ROW()-3),"")</f>
        <v/>
      </c>
      <c r="C92" s="25" t="str">
        <f>IF(OR($B92="",基础资料!$B$4=""),"",SUMIFS(周转筐出入库明细!$H$4:$H$2004,周转筐出入库明细!$C$4:$C$2004,$B92,周转筐出入库明细!$D$4:$D$2004,基础资料!$B$4,周转筐出入库明细!$F$4:$F$2004,"采购入库",周转筐出入库明细!$B$4:$B$2004,"&gt;="&amp;$P$1,周转筐出入库明细!$B$4:$B$2004,"&lt;="&amp;$P$2))</f>
        <v/>
      </c>
      <c r="D92" s="25" t="str">
        <f>IF(OR($B92="",基础资料!$B$5=""),"",SUMIFS(周转筐出入库明细!$H$4:$H$2004,周转筐出入库明细!$C$4:$C$2004,$B92,周转筐出入库明细!$D$4:$D$2004,基础资料!$B$5,周转筐出入库明细!$F$4:$F$2004,"采购入库",周转筐出入库明细!$B$4:$B$2004,"&gt;="&amp;$P$1,周转筐出入库明细!$B$4:$B$2004,"&lt;="&amp;$P$2))</f>
        <v/>
      </c>
      <c r="E92" s="25" t="str">
        <f>IF(OR($B92="",基础资料!$B$6=""),"",SUMIFS(周转筐出入库明细!$H$4:$H$2004,周转筐出入库明细!$C$4:$C$2004,$B92,周转筐出入库明细!$D$4:$D$2004,基础资料!$B$6,周转筐出入库明细!$F$4:$F$2004,"采购入库",周转筐出入库明细!$B$4:$B$2004,"&gt;="&amp;$P$1,周转筐出入库明细!$B$4:$B$2004,"&lt;="&amp;$P$2))</f>
        <v/>
      </c>
      <c r="F92" s="25" t="str">
        <f>IF(OR($B92="",基础资料!$B$7=""),"",SUMIFS(周转筐出入库明细!$H$4:$H$2004,周转筐出入库明细!$C$4:$C$2004,$B92,周转筐出入库明细!$D$4:$D$2004,基础资料!$B$7,周转筐出入库明细!$F$4:$F$2004,"采购入库",周转筐出入库明细!$B$4:$B$2004,"&gt;="&amp;$P$1,周转筐出入库明细!$B$4:$B$2004,"&lt;="&amp;$P$2))</f>
        <v/>
      </c>
      <c r="G92" s="25" t="str">
        <f>IF(OR($B92="",基础资料!$B$8=""),"",SUMIFS(周转筐出入库明细!$H$4:$H$2004,周转筐出入库明细!$C$4:$C$2004,$B92,周转筐出入库明细!$D$4:$D$2004,基础资料!$B$8,周转筐出入库明细!$F$4:$F$2004,"采购入库",周转筐出入库明细!$B$4:$B$2004,"&gt;="&amp;$P$1,周转筐出入库明细!$B$4:$B$2004,"&lt;="&amp;$P$2))</f>
        <v/>
      </c>
      <c r="H92" s="25" t="str">
        <f>IF($B92="","",SUMIFS(周转筐出入库明细!$H$4:$H$2004,周转筐出入库明细!$C$4:$C$2004,$B92,周转筐出入库明细!$F$4:$F$2004,"采购入库",周转筐出入库明细!$B$4:$B$2004,"&gt;="&amp;$P$1,周转筐出入库明细!$B$4:$B$2004,"&lt;="&amp;$P$2)-SUM($C92:$G92))</f>
        <v/>
      </c>
      <c r="I92" s="25" t="str">
        <f t="shared" si="4"/>
        <v/>
      </c>
      <c r="J92" s="26" t="str">
        <f>IF($B92="","",ROUND(SUMIFS(周转筐出入库明细!$P$4:$P$2004,周转筐出入库明细!$C$4:$C$2004,$B92,周转筐出入库明细!$F$4:$F$2004,"采购入库",周转筐出入库明细!$B$4:$B$2004,"&gt;="&amp;$P$1,周转筐出入库明细!$B$4:$B$2004,"&lt;="&amp;$P$2),2))</f>
        <v/>
      </c>
      <c r="K92" s="26" t="str">
        <f>IF($B92="","",ROUND(SUMIFS(周转筐出入库明细!$P$4:$P$2004,周转筐出入库明细!$C$4:$C$2004,$B92,周转筐出入库明细!$F$4:$F$2004,"采购入库",周转筐出入库明细!$Q$4:$Q$2004,"已付款",周转筐出入库明细!$B$4:$B$2004,"&gt;="&amp;$P$1,周转筐出入库明细!$B$4:$B$2004,"&lt;="&amp;$P$2),2))</f>
        <v/>
      </c>
      <c r="L92" s="26" t="str">
        <f t="shared" si="5"/>
        <v/>
      </c>
    </row>
    <row r="93" spans="1:12">
      <c r="A93" s="22" t="str">
        <f t="shared" si="3"/>
        <v/>
      </c>
      <c r="B93" s="37" t="str">
        <f>IFERROR(INDEX(_自动清单!$CW$4:$CW$203,ROW()-3),"")</f>
        <v/>
      </c>
      <c r="C93" s="25" t="str">
        <f>IF(OR($B93="",基础资料!$B$4=""),"",SUMIFS(周转筐出入库明细!$H$4:$H$2004,周转筐出入库明细!$C$4:$C$2004,$B93,周转筐出入库明细!$D$4:$D$2004,基础资料!$B$4,周转筐出入库明细!$F$4:$F$2004,"采购入库",周转筐出入库明细!$B$4:$B$2004,"&gt;="&amp;$P$1,周转筐出入库明细!$B$4:$B$2004,"&lt;="&amp;$P$2))</f>
        <v/>
      </c>
      <c r="D93" s="25" t="str">
        <f>IF(OR($B93="",基础资料!$B$5=""),"",SUMIFS(周转筐出入库明细!$H$4:$H$2004,周转筐出入库明细!$C$4:$C$2004,$B93,周转筐出入库明细!$D$4:$D$2004,基础资料!$B$5,周转筐出入库明细!$F$4:$F$2004,"采购入库",周转筐出入库明细!$B$4:$B$2004,"&gt;="&amp;$P$1,周转筐出入库明细!$B$4:$B$2004,"&lt;="&amp;$P$2))</f>
        <v/>
      </c>
      <c r="E93" s="25" t="str">
        <f>IF(OR($B93="",基础资料!$B$6=""),"",SUMIFS(周转筐出入库明细!$H$4:$H$2004,周转筐出入库明细!$C$4:$C$2004,$B93,周转筐出入库明细!$D$4:$D$2004,基础资料!$B$6,周转筐出入库明细!$F$4:$F$2004,"采购入库",周转筐出入库明细!$B$4:$B$2004,"&gt;="&amp;$P$1,周转筐出入库明细!$B$4:$B$2004,"&lt;="&amp;$P$2))</f>
        <v/>
      </c>
      <c r="F93" s="25" t="str">
        <f>IF(OR($B93="",基础资料!$B$7=""),"",SUMIFS(周转筐出入库明细!$H$4:$H$2004,周转筐出入库明细!$C$4:$C$2004,$B93,周转筐出入库明细!$D$4:$D$2004,基础资料!$B$7,周转筐出入库明细!$F$4:$F$2004,"采购入库",周转筐出入库明细!$B$4:$B$2004,"&gt;="&amp;$P$1,周转筐出入库明细!$B$4:$B$2004,"&lt;="&amp;$P$2))</f>
        <v/>
      </c>
      <c r="G93" s="25" t="str">
        <f>IF(OR($B93="",基础资料!$B$8=""),"",SUMIFS(周转筐出入库明细!$H$4:$H$2004,周转筐出入库明细!$C$4:$C$2004,$B93,周转筐出入库明细!$D$4:$D$2004,基础资料!$B$8,周转筐出入库明细!$F$4:$F$2004,"采购入库",周转筐出入库明细!$B$4:$B$2004,"&gt;="&amp;$P$1,周转筐出入库明细!$B$4:$B$2004,"&lt;="&amp;$P$2))</f>
        <v/>
      </c>
      <c r="H93" s="25" t="str">
        <f>IF($B93="","",SUMIFS(周转筐出入库明细!$H$4:$H$2004,周转筐出入库明细!$C$4:$C$2004,$B93,周转筐出入库明细!$F$4:$F$2004,"采购入库",周转筐出入库明细!$B$4:$B$2004,"&gt;="&amp;$P$1,周转筐出入库明细!$B$4:$B$2004,"&lt;="&amp;$P$2)-SUM($C93:$G93))</f>
        <v/>
      </c>
      <c r="I93" s="25" t="str">
        <f t="shared" si="4"/>
        <v/>
      </c>
      <c r="J93" s="26" t="str">
        <f>IF($B93="","",ROUND(SUMIFS(周转筐出入库明细!$P$4:$P$2004,周转筐出入库明细!$C$4:$C$2004,$B93,周转筐出入库明细!$F$4:$F$2004,"采购入库",周转筐出入库明细!$B$4:$B$2004,"&gt;="&amp;$P$1,周转筐出入库明细!$B$4:$B$2004,"&lt;="&amp;$P$2),2))</f>
        <v/>
      </c>
      <c r="K93" s="26" t="str">
        <f>IF($B93="","",ROUND(SUMIFS(周转筐出入库明细!$P$4:$P$2004,周转筐出入库明细!$C$4:$C$2004,$B93,周转筐出入库明细!$F$4:$F$2004,"采购入库",周转筐出入库明细!$Q$4:$Q$2004,"已付款",周转筐出入库明细!$B$4:$B$2004,"&gt;="&amp;$P$1,周转筐出入库明细!$B$4:$B$2004,"&lt;="&amp;$P$2),2))</f>
        <v/>
      </c>
      <c r="L93" s="26" t="str">
        <f t="shared" si="5"/>
        <v/>
      </c>
    </row>
    <row r="94" spans="1:12">
      <c r="A94" s="22" t="str">
        <f t="shared" si="3"/>
        <v/>
      </c>
      <c r="B94" s="37" t="str">
        <f>IFERROR(INDEX(_自动清单!$CW$4:$CW$203,ROW()-3),"")</f>
        <v/>
      </c>
      <c r="C94" s="25" t="str">
        <f>IF(OR($B94="",基础资料!$B$4=""),"",SUMIFS(周转筐出入库明细!$H$4:$H$2004,周转筐出入库明细!$C$4:$C$2004,$B94,周转筐出入库明细!$D$4:$D$2004,基础资料!$B$4,周转筐出入库明细!$F$4:$F$2004,"采购入库",周转筐出入库明细!$B$4:$B$2004,"&gt;="&amp;$P$1,周转筐出入库明细!$B$4:$B$2004,"&lt;="&amp;$P$2))</f>
        <v/>
      </c>
      <c r="D94" s="25" t="str">
        <f>IF(OR($B94="",基础资料!$B$5=""),"",SUMIFS(周转筐出入库明细!$H$4:$H$2004,周转筐出入库明细!$C$4:$C$2004,$B94,周转筐出入库明细!$D$4:$D$2004,基础资料!$B$5,周转筐出入库明细!$F$4:$F$2004,"采购入库",周转筐出入库明细!$B$4:$B$2004,"&gt;="&amp;$P$1,周转筐出入库明细!$B$4:$B$2004,"&lt;="&amp;$P$2))</f>
        <v/>
      </c>
      <c r="E94" s="25" t="str">
        <f>IF(OR($B94="",基础资料!$B$6=""),"",SUMIFS(周转筐出入库明细!$H$4:$H$2004,周转筐出入库明细!$C$4:$C$2004,$B94,周转筐出入库明细!$D$4:$D$2004,基础资料!$B$6,周转筐出入库明细!$F$4:$F$2004,"采购入库",周转筐出入库明细!$B$4:$B$2004,"&gt;="&amp;$P$1,周转筐出入库明细!$B$4:$B$2004,"&lt;="&amp;$P$2))</f>
        <v/>
      </c>
      <c r="F94" s="25" t="str">
        <f>IF(OR($B94="",基础资料!$B$7=""),"",SUMIFS(周转筐出入库明细!$H$4:$H$2004,周转筐出入库明细!$C$4:$C$2004,$B94,周转筐出入库明细!$D$4:$D$2004,基础资料!$B$7,周转筐出入库明细!$F$4:$F$2004,"采购入库",周转筐出入库明细!$B$4:$B$2004,"&gt;="&amp;$P$1,周转筐出入库明细!$B$4:$B$2004,"&lt;="&amp;$P$2))</f>
        <v/>
      </c>
      <c r="G94" s="25" t="str">
        <f>IF(OR($B94="",基础资料!$B$8=""),"",SUMIFS(周转筐出入库明细!$H$4:$H$2004,周转筐出入库明细!$C$4:$C$2004,$B94,周转筐出入库明细!$D$4:$D$2004,基础资料!$B$8,周转筐出入库明细!$F$4:$F$2004,"采购入库",周转筐出入库明细!$B$4:$B$2004,"&gt;="&amp;$P$1,周转筐出入库明细!$B$4:$B$2004,"&lt;="&amp;$P$2))</f>
        <v/>
      </c>
      <c r="H94" s="25" t="str">
        <f>IF($B94="","",SUMIFS(周转筐出入库明细!$H$4:$H$2004,周转筐出入库明细!$C$4:$C$2004,$B94,周转筐出入库明细!$F$4:$F$2004,"采购入库",周转筐出入库明细!$B$4:$B$2004,"&gt;="&amp;$P$1,周转筐出入库明细!$B$4:$B$2004,"&lt;="&amp;$P$2)-SUM($C94:$G94))</f>
        <v/>
      </c>
      <c r="I94" s="25" t="str">
        <f t="shared" si="4"/>
        <v/>
      </c>
      <c r="J94" s="26" t="str">
        <f>IF($B94="","",ROUND(SUMIFS(周转筐出入库明细!$P$4:$P$2004,周转筐出入库明细!$C$4:$C$2004,$B94,周转筐出入库明细!$F$4:$F$2004,"采购入库",周转筐出入库明细!$B$4:$B$2004,"&gt;="&amp;$P$1,周转筐出入库明细!$B$4:$B$2004,"&lt;="&amp;$P$2),2))</f>
        <v/>
      </c>
      <c r="K94" s="26" t="str">
        <f>IF($B94="","",ROUND(SUMIFS(周转筐出入库明细!$P$4:$P$2004,周转筐出入库明细!$C$4:$C$2004,$B94,周转筐出入库明细!$F$4:$F$2004,"采购入库",周转筐出入库明细!$Q$4:$Q$2004,"已付款",周转筐出入库明细!$B$4:$B$2004,"&gt;="&amp;$P$1,周转筐出入库明细!$B$4:$B$2004,"&lt;="&amp;$P$2),2))</f>
        <v/>
      </c>
      <c r="L94" s="26" t="str">
        <f t="shared" si="5"/>
        <v/>
      </c>
    </row>
    <row r="95" spans="1:12">
      <c r="A95" s="22" t="str">
        <f t="shared" si="3"/>
        <v/>
      </c>
      <c r="B95" s="37" t="str">
        <f>IFERROR(INDEX(_自动清单!$CW$4:$CW$203,ROW()-3),"")</f>
        <v/>
      </c>
      <c r="C95" s="25" t="str">
        <f>IF(OR($B95="",基础资料!$B$4=""),"",SUMIFS(周转筐出入库明细!$H$4:$H$2004,周转筐出入库明细!$C$4:$C$2004,$B95,周转筐出入库明细!$D$4:$D$2004,基础资料!$B$4,周转筐出入库明细!$F$4:$F$2004,"采购入库",周转筐出入库明细!$B$4:$B$2004,"&gt;="&amp;$P$1,周转筐出入库明细!$B$4:$B$2004,"&lt;="&amp;$P$2))</f>
        <v/>
      </c>
      <c r="D95" s="25" t="str">
        <f>IF(OR($B95="",基础资料!$B$5=""),"",SUMIFS(周转筐出入库明细!$H$4:$H$2004,周转筐出入库明细!$C$4:$C$2004,$B95,周转筐出入库明细!$D$4:$D$2004,基础资料!$B$5,周转筐出入库明细!$F$4:$F$2004,"采购入库",周转筐出入库明细!$B$4:$B$2004,"&gt;="&amp;$P$1,周转筐出入库明细!$B$4:$B$2004,"&lt;="&amp;$P$2))</f>
        <v/>
      </c>
      <c r="E95" s="25" t="str">
        <f>IF(OR($B95="",基础资料!$B$6=""),"",SUMIFS(周转筐出入库明细!$H$4:$H$2004,周转筐出入库明细!$C$4:$C$2004,$B95,周转筐出入库明细!$D$4:$D$2004,基础资料!$B$6,周转筐出入库明细!$F$4:$F$2004,"采购入库",周转筐出入库明细!$B$4:$B$2004,"&gt;="&amp;$P$1,周转筐出入库明细!$B$4:$B$2004,"&lt;="&amp;$P$2))</f>
        <v/>
      </c>
      <c r="F95" s="25" t="str">
        <f>IF(OR($B95="",基础资料!$B$7=""),"",SUMIFS(周转筐出入库明细!$H$4:$H$2004,周转筐出入库明细!$C$4:$C$2004,$B95,周转筐出入库明细!$D$4:$D$2004,基础资料!$B$7,周转筐出入库明细!$F$4:$F$2004,"采购入库",周转筐出入库明细!$B$4:$B$2004,"&gt;="&amp;$P$1,周转筐出入库明细!$B$4:$B$2004,"&lt;="&amp;$P$2))</f>
        <v/>
      </c>
      <c r="G95" s="25" t="str">
        <f>IF(OR($B95="",基础资料!$B$8=""),"",SUMIFS(周转筐出入库明细!$H$4:$H$2004,周转筐出入库明细!$C$4:$C$2004,$B95,周转筐出入库明细!$D$4:$D$2004,基础资料!$B$8,周转筐出入库明细!$F$4:$F$2004,"采购入库",周转筐出入库明细!$B$4:$B$2004,"&gt;="&amp;$P$1,周转筐出入库明细!$B$4:$B$2004,"&lt;="&amp;$P$2))</f>
        <v/>
      </c>
      <c r="H95" s="25" t="str">
        <f>IF($B95="","",SUMIFS(周转筐出入库明细!$H$4:$H$2004,周转筐出入库明细!$C$4:$C$2004,$B95,周转筐出入库明细!$F$4:$F$2004,"采购入库",周转筐出入库明细!$B$4:$B$2004,"&gt;="&amp;$P$1,周转筐出入库明细!$B$4:$B$2004,"&lt;="&amp;$P$2)-SUM($C95:$G95))</f>
        <v/>
      </c>
      <c r="I95" s="25" t="str">
        <f t="shared" si="4"/>
        <v/>
      </c>
      <c r="J95" s="26" t="str">
        <f>IF($B95="","",ROUND(SUMIFS(周转筐出入库明细!$P$4:$P$2004,周转筐出入库明细!$C$4:$C$2004,$B95,周转筐出入库明细!$F$4:$F$2004,"采购入库",周转筐出入库明细!$B$4:$B$2004,"&gt;="&amp;$P$1,周转筐出入库明细!$B$4:$B$2004,"&lt;="&amp;$P$2),2))</f>
        <v/>
      </c>
      <c r="K95" s="26" t="str">
        <f>IF($B95="","",ROUND(SUMIFS(周转筐出入库明细!$P$4:$P$2004,周转筐出入库明细!$C$4:$C$2004,$B95,周转筐出入库明细!$F$4:$F$2004,"采购入库",周转筐出入库明细!$Q$4:$Q$2004,"已付款",周转筐出入库明细!$B$4:$B$2004,"&gt;="&amp;$P$1,周转筐出入库明细!$B$4:$B$2004,"&lt;="&amp;$P$2),2))</f>
        <v/>
      </c>
      <c r="L95" s="26" t="str">
        <f t="shared" si="5"/>
        <v/>
      </c>
    </row>
    <row r="96" spans="1:12">
      <c r="A96" s="22" t="str">
        <f t="shared" si="3"/>
        <v/>
      </c>
      <c r="B96" s="37" t="str">
        <f>IFERROR(INDEX(_自动清单!$CW$4:$CW$203,ROW()-3),"")</f>
        <v/>
      </c>
      <c r="C96" s="25" t="str">
        <f>IF(OR($B96="",基础资料!$B$4=""),"",SUMIFS(周转筐出入库明细!$H$4:$H$2004,周转筐出入库明细!$C$4:$C$2004,$B96,周转筐出入库明细!$D$4:$D$2004,基础资料!$B$4,周转筐出入库明细!$F$4:$F$2004,"采购入库",周转筐出入库明细!$B$4:$B$2004,"&gt;="&amp;$P$1,周转筐出入库明细!$B$4:$B$2004,"&lt;="&amp;$P$2))</f>
        <v/>
      </c>
      <c r="D96" s="25" t="str">
        <f>IF(OR($B96="",基础资料!$B$5=""),"",SUMIFS(周转筐出入库明细!$H$4:$H$2004,周转筐出入库明细!$C$4:$C$2004,$B96,周转筐出入库明细!$D$4:$D$2004,基础资料!$B$5,周转筐出入库明细!$F$4:$F$2004,"采购入库",周转筐出入库明细!$B$4:$B$2004,"&gt;="&amp;$P$1,周转筐出入库明细!$B$4:$B$2004,"&lt;="&amp;$P$2))</f>
        <v/>
      </c>
      <c r="E96" s="25" t="str">
        <f>IF(OR($B96="",基础资料!$B$6=""),"",SUMIFS(周转筐出入库明细!$H$4:$H$2004,周转筐出入库明细!$C$4:$C$2004,$B96,周转筐出入库明细!$D$4:$D$2004,基础资料!$B$6,周转筐出入库明细!$F$4:$F$2004,"采购入库",周转筐出入库明细!$B$4:$B$2004,"&gt;="&amp;$P$1,周转筐出入库明细!$B$4:$B$2004,"&lt;="&amp;$P$2))</f>
        <v/>
      </c>
      <c r="F96" s="25" t="str">
        <f>IF(OR($B96="",基础资料!$B$7=""),"",SUMIFS(周转筐出入库明细!$H$4:$H$2004,周转筐出入库明细!$C$4:$C$2004,$B96,周转筐出入库明细!$D$4:$D$2004,基础资料!$B$7,周转筐出入库明细!$F$4:$F$2004,"采购入库",周转筐出入库明细!$B$4:$B$2004,"&gt;="&amp;$P$1,周转筐出入库明细!$B$4:$B$2004,"&lt;="&amp;$P$2))</f>
        <v/>
      </c>
      <c r="G96" s="25" t="str">
        <f>IF(OR($B96="",基础资料!$B$8=""),"",SUMIFS(周转筐出入库明细!$H$4:$H$2004,周转筐出入库明细!$C$4:$C$2004,$B96,周转筐出入库明细!$D$4:$D$2004,基础资料!$B$8,周转筐出入库明细!$F$4:$F$2004,"采购入库",周转筐出入库明细!$B$4:$B$2004,"&gt;="&amp;$P$1,周转筐出入库明细!$B$4:$B$2004,"&lt;="&amp;$P$2))</f>
        <v/>
      </c>
      <c r="H96" s="25" t="str">
        <f>IF($B96="","",SUMIFS(周转筐出入库明细!$H$4:$H$2004,周转筐出入库明细!$C$4:$C$2004,$B96,周转筐出入库明细!$F$4:$F$2004,"采购入库",周转筐出入库明细!$B$4:$B$2004,"&gt;="&amp;$P$1,周转筐出入库明细!$B$4:$B$2004,"&lt;="&amp;$P$2)-SUM($C96:$G96))</f>
        <v/>
      </c>
      <c r="I96" s="25" t="str">
        <f t="shared" si="4"/>
        <v/>
      </c>
      <c r="J96" s="26" t="str">
        <f>IF($B96="","",ROUND(SUMIFS(周转筐出入库明细!$P$4:$P$2004,周转筐出入库明细!$C$4:$C$2004,$B96,周转筐出入库明细!$F$4:$F$2004,"采购入库",周转筐出入库明细!$B$4:$B$2004,"&gt;="&amp;$P$1,周转筐出入库明细!$B$4:$B$2004,"&lt;="&amp;$P$2),2))</f>
        <v/>
      </c>
      <c r="K96" s="26" t="str">
        <f>IF($B96="","",ROUND(SUMIFS(周转筐出入库明细!$P$4:$P$2004,周转筐出入库明细!$C$4:$C$2004,$B96,周转筐出入库明细!$F$4:$F$2004,"采购入库",周转筐出入库明细!$Q$4:$Q$2004,"已付款",周转筐出入库明细!$B$4:$B$2004,"&gt;="&amp;$P$1,周转筐出入库明细!$B$4:$B$2004,"&lt;="&amp;$P$2),2))</f>
        <v/>
      </c>
      <c r="L96" s="26" t="str">
        <f t="shared" si="5"/>
        <v/>
      </c>
    </row>
    <row r="97" spans="1:12">
      <c r="A97" s="22" t="str">
        <f t="shared" si="3"/>
        <v/>
      </c>
      <c r="B97" s="37" t="str">
        <f>IFERROR(INDEX(_自动清单!$CW$4:$CW$203,ROW()-3),"")</f>
        <v/>
      </c>
      <c r="C97" s="25" t="str">
        <f>IF(OR($B97="",基础资料!$B$4=""),"",SUMIFS(周转筐出入库明细!$H$4:$H$2004,周转筐出入库明细!$C$4:$C$2004,$B97,周转筐出入库明细!$D$4:$D$2004,基础资料!$B$4,周转筐出入库明细!$F$4:$F$2004,"采购入库",周转筐出入库明细!$B$4:$B$2004,"&gt;="&amp;$P$1,周转筐出入库明细!$B$4:$B$2004,"&lt;="&amp;$P$2))</f>
        <v/>
      </c>
      <c r="D97" s="25" t="str">
        <f>IF(OR($B97="",基础资料!$B$5=""),"",SUMIFS(周转筐出入库明细!$H$4:$H$2004,周转筐出入库明细!$C$4:$C$2004,$B97,周转筐出入库明细!$D$4:$D$2004,基础资料!$B$5,周转筐出入库明细!$F$4:$F$2004,"采购入库",周转筐出入库明细!$B$4:$B$2004,"&gt;="&amp;$P$1,周转筐出入库明细!$B$4:$B$2004,"&lt;="&amp;$P$2))</f>
        <v/>
      </c>
      <c r="E97" s="25" t="str">
        <f>IF(OR($B97="",基础资料!$B$6=""),"",SUMIFS(周转筐出入库明细!$H$4:$H$2004,周转筐出入库明细!$C$4:$C$2004,$B97,周转筐出入库明细!$D$4:$D$2004,基础资料!$B$6,周转筐出入库明细!$F$4:$F$2004,"采购入库",周转筐出入库明细!$B$4:$B$2004,"&gt;="&amp;$P$1,周转筐出入库明细!$B$4:$B$2004,"&lt;="&amp;$P$2))</f>
        <v/>
      </c>
      <c r="F97" s="25" t="str">
        <f>IF(OR($B97="",基础资料!$B$7=""),"",SUMIFS(周转筐出入库明细!$H$4:$H$2004,周转筐出入库明细!$C$4:$C$2004,$B97,周转筐出入库明细!$D$4:$D$2004,基础资料!$B$7,周转筐出入库明细!$F$4:$F$2004,"采购入库",周转筐出入库明细!$B$4:$B$2004,"&gt;="&amp;$P$1,周转筐出入库明细!$B$4:$B$2004,"&lt;="&amp;$P$2))</f>
        <v/>
      </c>
      <c r="G97" s="25" t="str">
        <f>IF(OR($B97="",基础资料!$B$8=""),"",SUMIFS(周转筐出入库明细!$H$4:$H$2004,周转筐出入库明细!$C$4:$C$2004,$B97,周转筐出入库明细!$D$4:$D$2004,基础资料!$B$8,周转筐出入库明细!$F$4:$F$2004,"采购入库",周转筐出入库明细!$B$4:$B$2004,"&gt;="&amp;$P$1,周转筐出入库明细!$B$4:$B$2004,"&lt;="&amp;$P$2))</f>
        <v/>
      </c>
      <c r="H97" s="25" t="str">
        <f>IF($B97="","",SUMIFS(周转筐出入库明细!$H$4:$H$2004,周转筐出入库明细!$C$4:$C$2004,$B97,周转筐出入库明细!$F$4:$F$2004,"采购入库",周转筐出入库明细!$B$4:$B$2004,"&gt;="&amp;$P$1,周转筐出入库明细!$B$4:$B$2004,"&lt;="&amp;$P$2)-SUM($C97:$G97))</f>
        <v/>
      </c>
      <c r="I97" s="25" t="str">
        <f t="shared" si="4"/>
        <v/>
      </c>
      <c r="J97" s="26" t="str">
        <f>IF($B97="","",ROUND(SUMIFS(周转筐出入库明细!$P$4:$P$2004,周转筐出入库明细!$C$4:$C$2004,$B97,周转筐出入库明细!$F$4:$F$2004,"采购入库",周转筐出入库明细!$B$4:$B$2004,"&gt;="&amp;$P$1,周转筐出入库明细!$B$4:$B$2004,"&lt;="&amp;$P$2),2))</f>
        <v/>
      </c>
      <c r="K97" s="26" t="str">
        <f>IF($B97="","",ROUND(SUMIFS(周转筐出入库明细!$P$4:$P$2004,周转筐出入库明细!$C$4:$C$2004,$B97,周转筐出入库明细!$F$4:$F$2004,"采购入库",周转筐出入库明细!$Q$4:$Q$2004,"已付款",周转筐出入库明细!$B$4:$B$2004,"&gt;="&amp;$P$1,周转筐出入库明细!$B$4:$B$2004,"&lt;="&amp;$P$2),2))</f>
        <v/>
      </c>
      <c r="L97" s="26" t="str">
        <f t="shared" si="5"/>
        <v/>
      </c>
    </row>
    <row r="98" spans="1:12">
      <c r="A98" s="22" t="str">
        <f t="shared" si="3"/>
        <v/>
      </c>
      <c r="B98" s="37" t="str">
        <f>IFERROR(INDEX(_自动清单!$CW$4:$CW$203,ROW()-3),"")</f>
        <v/>
      </c>
      <c r="C98" s="25" t="str">
        <f>IF(OR($B98="",基础资料!$B$4=""),"",SUMIFS(周转筐出入库明细!$H$4:$H$2004,周转筐出入库明细!$C$4:$C$2004,$B98,周转筐出入库明细!$D$4:$D$2004,基础资料!$B$4,周转筐出入库明细!$F$4:$F$2004,"采购入库",周转筐出入库明细!$B$4:$B$2004,"&gt;="&amp;$P$1,周转筐出入库明细!$B$4:$B$2004,"&lt;="&amp;$P$2))</f>
        <v/>
      </c>
      <c r="D98" s="25" t="str">
        <f>IF(OR($B98="",基础资料!$B$5=""),"",SUMIFS(周转筐出入库明细!$H$4:$H$2004,周转筐出入库明细!$C$4:$C$2004,$B98,周转筐出入库明细!$D$4:$D$2004,基础资料!$B$5,周转筐出入库明细!$F$4:$F$2004,"采购入库",周转筐出入库明细!$B$4:$B$2004,"&gt;="&amp;$P$1,周转筐出入库明细!$B$4:$B$2004,"&lt;="&amp;$P$2))</f>
        <v/>
      </c>
      <c r="E98" s="25" t="str">
        <f>IF(OR($B98="",基础资料!$B$6=""),"",SUMIFS(周转筐出入库明细!$H$4:$H$2004,周转筐出入库明细!$C$4:$C$2004,$B98,周转筐出入库明细!$D$4:$D$2004,基础资料!$B$6,周转筐出入库明细!$F$4:$F$2004,"采购入库",周转筐出入库明细!$B$4:$B$2004,"&gt;="&amp;$P$1,周转筐出入库明细!$B$4:$B$2004,"&lt;="&amp;$P$2))</f>
        <v/>
      </c>
      <c r="F98" s="25" t="str">
        <f>IF(OR($B98="",基础资料!$B$7=""),"",SUMIFS(周转筐出入库明细!$H$4:$H$2004,周转筐出入库明细!$C$4:$C$2004,$B98,周转筐出入库明细!$D$4:$D$2004,基础资料!$B$7,周转筐出入库明细!$F$4:$F$2004,"采购入库",周转筐出入库明细!$B$4:$B$2004,"&gt;="&amp;$P$1,周转筐出入库明细!$B$4:$B$2004,"&lt;="&amp;$P$2))</f>
        <v/>
      </c>
      <c r="G98" s="25" t="str">
        <f>IF(OR($B98="",基础资料!$B$8=""),"",SUMIFS(周转筐出入库明细!$H$4:$H$2004,周转筐出入库明细!$C$4:$C$2004,$B98,周转筐出入库明细!$D$4:$D$2004,基础资料!$B$8,周转筐出入库明细!$F$4:$F$2004,"采购入库",周转筐出入库明细!$B$4:$B$2004,"&gt;="&amp;$P$1,周转筐出入库明细!$B$4:$B$2004,"&lt;="&amp;$P$2))</f>
        <v/>
      </c>
      <c r="H98" s="25" t="str">
        <f>IF($B98="","",SUMIFS(周转筐出入库明细!$H$4:$H$2004,周转筐出入库明细!$C$4:$C$2004,$B98,周转筐出入库明细!$F$4:$F$2004,"采购入库",周转筐出入库明细!$B$4:$B$2004,"&gt;="&amp;$P$1,周转筐出入库明细!$B$4:$B$2004,"&lt;="&amp;$P$2)-SUM($C98:$G98))</f>
        <v/>
      </c>
      <c r="I98" s="25" t="str">
        <f t="shared" si="4"/>
        <v/>
      </c>
      <c r="J98" s="26" t="str">
        <f>IF($B98="","",ROUND(SUMIFS(周转筐出入库明细!$P$4:$P$2004,周转筐出入库明细!$C$4:$C$2004,$B98,周转筐出入库明细!$F$4:$F$2004,"采购入库",周转筐出入库明细!$B$4:$B$2004,"&gt;="&amp;$P$1,周转筐出入库明细!$B$4:$B$2004,"&lt;="&amp;$P$2),2))</f>
        <v/>
      </c>
      <c r="K98" s="26" t="str">
        <f>IF($B98="","",ROUND(SUMIFS(周转筐出入库明细!$P$4:$P$2004,周转筐出入库明细!$C$4:$C$2004,$B98,周转筐出入库明细!$F$4:$F$2004,"采购入库",周转筐出入库明细!$Q$4:$Q$2004,"已付款",周转筐出入库明细!$B$4:$B$2004,"&gt;="&amp;$P$1,周转筐出入库明细!$B$4:$B$2004,"&lt;="&amp;$P$2),2))</f>
        <v/>
      </c>
      <c r="L98" s="26" t="str">
        <f t="shared" si="5"/>
        <v/>
      </c>
    </row>
    <row r="99" spans="1:12">
      <c r="A99" s="22" t="str">
        <f t="shared" si="3"/>
        <v/>
      </c>
      <c r="B99" s="37" t="str">
        <f>IFERROR(INDEX(_自动清单!$CW$4:$CW$203,ROW()-3),"")</f>
        <v/>
      </c>
      <c r="C99" s="25" t="str">
        <f>IF(OR($B99="",基础资料!$B$4=""),"",SUMIFS(周转筐出入库明细!$H$4:$H$2004,周转筐出入库明细!$C$4:$C$2004,$B99,周转筐出入库明细!$D$4:$D$2004,基础资料!$B$4,周转筐出入库明细!$F$4:$F$2004,"采购入库",周转筐出入库明细!$B$4:$B$2004,"&gt;="&amp;$P$1,周转筐出入库明细!$B$4:$B$2004,"&lt;="&amp;$P$2))</f>
        <v/>
      </c>
      <c r="D99" s="25" t="str">
        <f>IF(OR($B99="",基础资料!$B$5=""),"",SUMIFS(周转筐出入库明细!$H$4:$H$2004,周转筐出入库明细!$C$4:$C$2004,$B99,周转筐出入库明细!$D$4:$D$2004,基础资料!$B$5,周转筐出入库明细!$F$4:$F$2004,"采购入库",周转筐出入库明细!$B$4:$B$2004,"&gt;="&amp;$P$1,周转筐出入库明细!$B$4:$B$2004,"&lt;="&amp;$P$2))</f>
        <v/>
      </c>
      <c r="E99" s="25" t="str">
        <f>IF(OR($B99="",基础资料!$B$6=""),"",SUMIFS(周转筐出入库明细!$H$4:$H$2004,周转筐出入库明细!$C$4:$C$2004,$B99,周转筐出入库明细!$D$4:$D$2004,基础资料!$B$6,周转筐出入库明细!$F$4:$F$2004,"采购入库",周转筐出入库明细!$B$4:$B$2004,"&gt;="&amp;$P$1,周转筐出入库明细!$B$4:$B$2004,"&lt;="&amp;$P$2))</f>
        <v/>
      </c>
      <c r="F99" s="25" t="str">
        <f>IF(OR($B99="",基础资料!$B$7=""),"",SUMIFS(周转筐出入库明细!$H$4:$H$2004,周转筐出入库明细!$C$4:$C$2004,$B99,周转筐出入库明细!$D$4:$D$2004,基础资料!$B$7,周转筐出入库明细!$F$4:$F$2004,"采购入库",周转筐出入库明细!$B$4:$B$2004,"&gt;="&amp;$P$1,周转筐出入库明细!$B$4:$B$2004,"&lt;="&amp;$P$2))</f>
        <v/>
      </c>
      <c r="G99" s="25" t="str">
        <f>IF(OR($B99="",基础资料!$B$8=""),"",SUMIFS(周转筐出入库明细!$H$4:$H$2004,周转筐出入库明细!$C$4:$C$2004,$B99,周转筐出入库明细!$D$4:$D$2004,基础资料!$B$8,周转筐出入库明细!$F$4:$F$2004,"采购入库",周转筐出入库明细!$B$4:$B$2004,"&gt;="&amp;$P$1,周转筐出入库明细!$B$4:$B$2004,"&lt;="&amp;$P$2))</f>
        <v/>
      </c>
      <c r="H99" s="25" t="str">
        <f>IF($B99="","",SUMIFS(周转筐出入库明细!$H$4:$H$2004,周转筐出入库明细!$C$4:$C$2004,$B99,周转筐出入库明细!$F$4:$F$2004,"采购入库",周转筐出入库明细!$B$4:$B$2004,"&gt;="&amp;$P$1,周转筐出入库明细!$B$4:$B$2004,"&lt;="&amp;$P$2)-SUM($C99:$G99))</f>
        <v/>
      </c>
      <c r="I99" s="25" t="str">
        <f t="shared" si="4"/>
        <v/>
      </c>
      <c r="J99" s="26" t="str">
        <f>IF($B99="","",ROUND(SUMIFS(周转筐出入库明细!$P$4:$P$2004,周转筐出入库明细!$C$4:$C$2004,$B99,周转筐出入库明细!$F$4:$F$2004,"采购入库",周转筐出入库明细!$B$4:$B$2004,"&gt;="&amp;$P$1,周转筐出入库明细!$B$4:$B$2004,"&lt;="&amp;$P$2),2))</f>
        <v/>
      </c>
      <c r="K99" s="26" t="str">
        <f>IF($B99="","",ROUND(SUMIFS(周转筐出入库明细!$P$4:$P$2004,周转筐出入库明细!$C$4:$C$2004,$B99,周转筐出入库明细!$F$4:$F$2004,"采购入库",周转筐出入库明细!$Q$4:$Q$2004,"已付款",周转筐出入库明细!$B$4:$B$2004,"&gt;="&amp;$P$1,周转筐出入库明细!$B$4:$B$2004,"&lt;="&amp;$P$2),2))</f>
        <v/>
      </c>
      <c r="L99" s="26" t="str">
        <f t="shared" si="5"/>
        <v/>
      </c>
    </row>
    <row r="100" spans="1:12">
      <c r="A100" s="22" t="str">
        <f t="shared" si="3"/>
        <v/>
      </c>
      <c r="B100" s="37" t="str">
        <f>IFERROR(INDEX(_自动清单!$CW$4:$CW$203,ROW()-3),"")</f>
        <v/>
      </c>
      <c r="C100" s="25" t="str">
        <f>IF(OR($B100="",基础资料!$B$4=""),"",SUMIFS(周转筐出入库明细!$H$4:$H$2004,周转筐出入库明细!$C$4:$C$2004,$B100,周转筐出入库明细!$D$4:$D$2004,基础资料!$B$4,周转筐出入库明细!$F$4:$F$2004,"采购入库",周转筐出入库明细!$B$4:$B$2004,"&gt;="&amp;$P$1,周转筐出入库明细!$B$4:$B$2004,"&lt;="&amp;$P$2))</f>
        <v/>
      </c>
      <c r="D100" s="25" t="str">
        <f>IF(OR($B100="",基础资料!$B$5=""),"",SUMIFS(周转筐出入库明细!$H$4:$H$2004,周转筐出入库明细!$C$4:$C$2004,$B100,周转筐出入库明细!$D$4:$D$2004,基础资料!$B$5,周转筐出入库明细!$F$4:$F$2004,"采购入库",周转筐出入库明细!$B$4:$B$2004,"&gt;="&amp;$P$1,周转筐出入库明细!$B$4:$B$2004,"&lt;="&amp;$P$2))</f>
        <v/>
      </c>
      <c r="E100" s="25" t="str">
        <f>IF(OR($B100="",基础资料!$B$6=""),"",SUMIFS(周转筐出入库明细!$H$4:$H$2004,周转筐出入库明细!$C$4:$C$2004,$B100,周转筐出入库明细!$D$4:$D$2004,基础资料!$B$6,周转筐出入库明细!$F$4:$F$2004,"采购入库",周转筐出入库明细!$B$4:$B$2004,"&gt;="&amp;$P$1,周转筐出入库明细!$B$4:$B$2004,"&lt;="&amp;$P$2))</f>
        <v/>
      </c>
      <c r="F100" s="25" t="str">
        <f>IF(OR($B100="",基础资料!$B$7=""),"",SUMIFS(周转筐出入库明细!$H$4:$H$2004,周转筐出入库明细!$C$4:$C$2004,$B100,周转筐出入库明细!$D$4:$D$2004,基础资料!$B$7,周转筐出入库明细!$F$4:$F$2004,"采购入库",周转筐出入库明细!$B$4:$B$2004,"&gt;="&amp;$P$1,周转筐出入库明细!$B$4:$B$2004,"&lt;="&amp;$P$2))</f>
        <v/>
      </c>
      <c r="G100" s="25" t="str">
        <f>IF(OR($B100="",基础资料!$B$8=""),"",SUMIFS(周转筐出入库明细!$H$4:$H$2004,周转筐出入库明细!$C$4:$C$2004,$B100,周转筐出入库明细!$D$4:$D$2004,基础资料!$B$8,周转筐出入库明细!$F$4:$F$2004,"采购入库",周转筐出入库明细!$B$4:$B$2004,"&gt;="&amp;$P$1,周转筐出入库明细!$B$4:$B$2004,"&lt;="&amp;$P$2))</f>
        <v/>
      </c>
      <c r="H100" s="25" t="str">
        <f>IF($B100="","",SUMIFS(周转筐出入库明细!$H$4:$H$2004,周转筐出入库明细!$C$4:$C$2004,$B100,周转筐出入库明细!$F$4:$F$2004,"采购入库",周转筐出入库明细!$B$4:$B$2004,"&gt;="&amp;$P$1,周转筐出入库明细!$B$4:$B$2004,"&lt;="&amp;$P$2)-SUM($C100:$G100))</f>
        <v/>
      </c>
      <c r="I100" s="25" t="str">
        <f t="shared" si="4"/>
        <v/>
      </c>
      <c r="J100" s="26" t="str">
        <f>IF($B100="","",ROUND(SUMIFS(周转筐出入库明细!$P$4:$P$2004,周转筐出入库明细!$C$4:$C$2004,$B100,周转筐出入库明细!$F$4:$F$2004,"采购入库",周转筐出入库明细!$B$4:$B$2004,"&gt;="&amp;$P$1,周转筐出入库明细!$B$4:$B$2004,"&lt;="&amp;$P$2),2))</f>
        <v/>
      </c>
      <c r="K100" s="26" t="str">
        <f>IF($B100="","",ROUND(SUMIFS(周转筐出入库明细!$P$4:$P$2004,周转筐出入库明细!$C$4:$C$2004,$B100,周转筐出入库明细!$F$4:$F$2004,"采购入库",周转筐出入库明细!$Q$4:$Q$2004,"已付款",周转筐出入库明细!$B$4:$B$2004,"&gt;="&amp;$P$1,周转筐出入库明细!$B$4:$B$2004,"&lt;="&amp;$P$2),2))</f>
        <v/>
      </c>
      <c r="L100" s="26" t="str">
        <f t="shared" si="5"/>
        <v/>
      </c>
    </row>
    <row r="101" spans="1:12">
      <c r="A101" s="22" t="str">
        <f t="shared" si="3"/>
        <v/>
      </c>
      <c r="B101" s="37" t="str">
        <f>IFERROR(INDEX(_自动清单!$CW$4:$CW$203,ROW()-3),"")</f>
        <v/>
      </c>
      <c r="C101" s="25" t="str">
        <f>IF(OR($B101="",基础资料!$B$4=""),"",SUMIFS(周转筐出入库明细!$H$4:$H$2004,周转筐出入库明细!$C$4:$C$2004,$B101,周转筐出入库明细!$D$4:$D$2004,基础资料!$B$4,周转筐出入库明细!$F$4:$F$2004,"采购入库",周转筐出入库明细!$B$4:$B$2004,"&gt;="&amp;$P$1,周转筐出入库明细!$B$4:$B$2004,"&lt;="&amp;$P$2))</f>
        <v/>
      </c>
      <c r="D101" s="25" t="str">
        <f>IF(OR($B101="",基础资料!$B$5=""),"",SUMIFS(周转筐出入库明细!$H$4:$H$2004,周转筐出入库明细!$C$4:$C$2004,$B101,周转筐出入库明细!$D$4:$D$2004,基础资料!$B$5,周转筐出入库明细!$F$4:$F$2004,"采购入库",周转筐出入库明细!$B$4:$B$2004,"&gt;="&amp;$P$1,周转筐出入库明细!$B$4:$B$2004,"&lt;="&amp;$P$2))</f>
        <v/>
      </c>
      <c r="E101" s="25" t="str">
        <f>IF(OR($B101="",基础资料!$B$6=""),"",SUMIFS(周转筐出入库明细!$H$4:$H$2004,周转筐出入库明细!$C$4:$C$2004,$B101,周转筐出入库明细!$D$4:$D$2004,基础资料!$B$6,周转筐出入库明细!$F$4:$F$2004,"采购入库",周转筐出入库明细!$B$4:$B$2004,"&gt;="&amp;$P$1,周转筐出入库明细!$B$4:$B$2004,"&lt;="&amp;$P$2))</f>
        <v/>
      </c>
      <c r="F101" s="25" t="str">
        <f>IF(OR($B101="",基础资料!$B$7=""),"",SUMIFS(周转筐出入库明细!$H$4:$H$2004,周转筐出入库明细!$C$4:$C$2004,$B101,周转筐出入库明细!$D$4:$D$2004,基础资料!$B$7,周转筐出入库明细!$F$4:$F$2004,"采购入库",周转筐出入库明细!$B$4:$B$2004,"&gt;="&amp;$P$1,周转筐出入库明细!$B$4:$B$2004,"&lt;="&amp;$P$2))</f>
        <v/>
      </c>
      <c r="G101" s="25" t="str">
        <f>IF(OR($B101="",基础资料!$B$8=""),"",SUMIFS(周转筐出入库明细!$H$4:$H$2004,周转筐出入库明细!$C$4:$C$2004,$B101,周转筐出入库明细!$D$4:$D$2004,基础资料!$B$8,周转筐出入库明细!$F$4:$F$2004,"采购入库",周转筐出入库明细!$B$4:$B$2004,"&gt;="&amp;$P$1,周转筐出入库明细!$B$4:$B$2004,"&lt;="&amp;$P$2))</f>
        <v/>
      </c>
      <c r="H101" s="25" t="str">
        <f>IF($B101="","",SUMIFS(周转筐出入库明细!$H$4:$H$2004,周转筐出入库明细!$C$4:$C$2004,$B101,周转筐出入库明细!$F$4:$F$2004,"采购入库",周转筐出入库明细!$B$4:$B$2004,"&gt;="&amp;$P$1,周转筐出入库明细!$B$4:$B$2004,"&lt;="&amp;$P$2)-SUM($C101:$G101))</f>
        <v/>
      </c>
      <c r="I101" s="25" t="str">
        <f t="shared" si="4"/>
        <v/>
      </c>
      <c r="J101" s="26" t="str">
        <f>IF($B101="","",ROUND(SUMIFS(周转筐出入库明细!$P$4:$P$2004,周转筐出入库明细!$C$4:$C$2004,$B101,周转筐出入库明细!$F$4:$F$2004,"采购入库",周转筐出入库明细!$B$4:$B$2004,"&gt;="&amp;$P$1,周转筐出入库明细!$B$4:$B$2004,"&lt;="&amp;$P$2),2))</f>
        <v/>
      </c>
      <c r="K101" s="26" t="str">
        <f>IF($B101="","",ROUND(SUMIFS(周转筐出入库明细!$P$4:$P$2004,周转筐出入库明细!$C$4:$C$2004,$B101,周转筐出入库明细!$F$4:$F$2004,"采购入库",周转筐出入库明细!$Q$4:$Q$2004,"已付款",周转筐出入库明细!$B$4:$B$2004,"&gt;="&amp;$P$1,周转筐出入库明细!$B$4:$B$2004,"&lt;="&amp;$P$2),2))</f>
        <v/>
      </c>
      <c r="L101" s="26" t="str">
        <f t="shared" si="5"/>
        <v/>
      </c>
    </row>
    <row r="102" spans="1:12">
      <c r="A102" s="22" t="str">
        <f t="shared" si="3"/>
        <v/>
      </c>
      <c r="B102" s="37" t="str">
        <f>IFERROR(INDEX(_自动清单!$CW$4:$CW$203,ROW()-3),"")</f>
        <v/>
      </c>
      <c r="C102" s="25" t="str">
        <f>IF(OR($B102="",基础资料!$B$4=""),"",SUMIFS(周转筐出入库明细!$H$4:$H$2004,周转筐出入库明细!$C$4:$C$2004,$B102,周转筐出入库明细!$D$4:$D$2004,基础资料!$B$4,周转筐出入库明细!$F$4:$F$2004,"采购入库",周转筐出入库明细!$B$4:$B$2004,"&gt;="&amp;$P$1,周转筐出入库明细!$B$4:$B$2004,"&lt;="&amp;$P$2))</f>
        <v/>
      </c>
      <c r="D102" s="25" t="str">
        <f>IF(OR($B102="",基础资料!$B$5=""),"",SUMIFS(周转筐出入库明细!$H$4:$H$2004,周转筐出入库明细!$C$4:$C$2004,$B102,周转筐出入库明细!$D$4:$D$2004,基础资料!$B$5,周转筐出入库明细!$F$4:$F$2004,"采购入库",周转筐出入库明细!$B$4:$B$2004,"&gt;="&amp;$P$1,周转筐出入库明细!$B$4:$B$2004,"&lt;="&amp;$P$2))</f>
        <v/>
      </c>
      <c r="E102" s="25" t="str">
        <f>IF(OR($B102="",基础资料!$B$6=""),"",SUMIFS(周转筐出入库明细!$H$4:$H$2004,周转筐出入库明细!$C$4:$C$2004,$B102,周转筐出入库明细!$D$4:$D$2004,基础资料!$B$6,周转筐出入库明细!$F$4:$F$2004,"采购入库",周转筐出入库明细!$B$4:$B$2004,"&gt;="&amp;$P$1,周转筐出入库明细!$B$4:$B$2004,"&lt;="&amp;$P$2))</f>
        <v/>
      </c>
      <c r="F102" s="25" t="str">
        <f>IF(OR($B102="",基础资料!$B$7=""),"",SUMIFS(周转筐出入库明细!$H$4:$H$2004,周转筐出入库明细!$C$4:$C$2004,$B102,周转筐出入库明细!$D$4:$D$2004,基础资料!$B$7,周转筐出入库明细!$F$4:$F$2004,"采购入库",周转筐出入库明细!$B$4:$B$2004,"&gt;="&amp;$P$1,周转筐出入库明细!$B$4:$B$2004,"&lt;="&amp;$P$2))</f>
        <v/>
      </c>
      <c r="G102" s="25" t="str">
        <f>IF(OR($B102="",基础资料!$B$8=""),"",SUMIFS(周转筐出入库明细!$H$4:$H$2004,周转筐出入库明细!$C$4:$C$2004,$B102,周转筐出入库明细!$D$4:$D$2004,基础资料!$B$8,周转筐出入库明细!$F$4:$F$2004,"采购入库",周转筐出入库明细!$B$4:$B$2004,"&gt;="&amp;$P$1,周转筐出入库明细!$B$4:$B$2004,"&lt;="&amp;$P$2))</f>
        <v/>
      </c>
      <c r="H102" s="25" t="str">
        <f>IF($B102="","",SUMIFS(周转筐出入库明细!$H$4:$H$2004,周转筐出入库明细!$C$4:$C$2004,$B102,周转筐出入库明细!$F$4:$F$2004,"采购入库",周转筐出入库明细!$B$4:$B$2004,"&gt;="&amp;$P$1,周转筐出入库明细!$B$4:$B$2004,"&lt;="&amp;$P$2)-SUM($C102:$G102))</f>
        <v/>
      </c>
      <c r="I102" s="25" t="str">
        <f t="shared" si="4"/>
        <v/>
      </c>
      <c r="J102" s="26" t="str">
        <f>IF($B102="","",ROUND(SUMIFS(周转筐出入库明细!$P$4:$P$2004,周转筐出入库明细!$C$4:$C$2004,$B102,周转筐出入库明细!$F$4:$F$2004,"采购入库",周转筐出入库明细!$B$4:$B$2004,"&gt;="&amp;$P$1,周转筐出入库明细!$B$4:$B$2004,"&lt;="&amp;$P$2),2))</f>
        <v/>
      </c>
      <c r="K102" s="26" t="str">
        <f>IF($B102="","",ROUND(SUMIFS(周转筐出入库明细!$P$4:$P$2004,周转筐出入库明细!$C$4:$C$2004,$B102,周转筐出入库明细!$F$4:$F$2004,"采购入库",周转筐出入库明细!$Q$4:$Q$2004,"已付款",周转筐出入库明细!$B$4:$B$2004,"&gt;="&amp;$P$1,周转筐出入库明细!$B$4:$B$2004,"&lt;="&amp;$P$2),2))</f>
        <v/>
      </c>
      <c r="L102" s="26" t="str">
        <f t="shared" si="5"/>
        <v/>
      </c>
    </row>
    <row r="103" spans="1:12">
      <c r="A103" s="22" t="str">
        <f t="shared" si="3"/>
        <v/>
      </c>
      <c r="B103" s="37" t="str">
        <f>IFERROR(INDEX(_自动清单!$CW$4:$CW$203,ROW()-3),"")</f>
        <v/>
      </c>
      <c r="C103" s="25" t="str">
        <f>IF(OR($B103="",基础资料!$B$4=""),"",SUMIFS(周转筐出入库明细!$H$4:$H$2004,周转筐出入库明细!$C$4:$C$2004,$B103,周转筐出入库明细!$D$4:$D$2004,基础资料!$B$4,周转筐出入库明细!$F$4:$F$2004,"采购入库",周转筐出入库明细!$B$4:$B$2004,"&gt;="&amp;$P$1,周转筐出入库明细!$B$4:$B$2004,"&lt;="&amp;$P$2))</f>
        <v/>
      </c>
      <c r="D103" s="25" t="str">
        <f>IF(OR($B103="",基础资料!$B$5=""),"",SUMIFS(周转筐出入库明细!$H$4:$H$2004,周转筐出入库明细!$C$4:$C$2004,$B103,周转筐出入库明细!$D$4:$D$2004,基础资料!$B$5,周转筐出入库明细!$F$4:$F$2004,"采购入库",周转筐出入库明细!$B$4:$B$2004,"&gt;="&amp;$P$1,周转筐出入库明细!$B$4:$B$2004,"&lt;="&amp;$P$2))</f>
        <v/>
      </c>
      <c r="E103" s="25" t="str">
        <f>IF(OR($B103="",基础资料!$B$6=""),"",SUMIFS(周转筐出入库明细!$H$4:$H$2004,周转筐出入库明细!$C$4:$C$2004,$B103,周转筐出入库明细!$D$4:$D$2004,基础资料!$B$6,周转筐出入库明细!$F$4:$F$2004,"采购入库",周转筐出入库明细!$B$4:$B$2004,"&gt;="&amp;$P$1,周转筐出入库明细!$B$4:$B$2004,"&lt;="&amp;$P$2))</f>
        <v/>
      </c>
      <c r="F103" s="25" t="str">
        <f>IF(OR($B103="",基础资料!$B$7=""),"",SUMIFS(周转筐出入库明细!$H$4:$H$2004,周转筐出入库明细!$C$4:$C$2004,$B103,周转筐出入库明细!$D$4:$D$2004,基础资料!$B$7,周转筐出入库明细!$F$4:$F$2004,"采购入库",周转筐出入库明细!$B$4:$B$2004,"&gt;="&amp;$P$1,周转筐出入库明细!$B$4:$B$2004,"&lt;="&amp;$P$2))</f>
        <v/>
      </c>
      <c r="G103" s="25" t="str">
        <f>IF(OR($B103="",基础资料!$B$8=""),"",SUMIFS(周转筐出入库明细!$H$4:$H$2004,周转筐出入库明细!$C$4:$C$2004,$B103,周转筐出入库明细!$D$4:$D$2004,基础资料!$B$8,周转筐出入库明细!$F$4:$F$2004,"采购入库",周转筐出入库明细!$B$4:$B$2004,"&gt;="&amp;$P$1,周转筐出入库明细!$B$4:$B$2004,"&lt;="&amp;$P$2))</f>
        <v/>
      </c>
      <c r="H103" s="25" t="str">
        <f>IF($B103="","",SUMIFS(周转筐出入库明细!$H$4:$H$2004,周转筐出入库明细!$C$4:$C$2004,$B103,周转筐出入库明细!$F$4:$F$2004,"采购入库",周转筐出入库明细!$B$4:$B$2004,"&gt;="&amp;$P$1,周转筐出入库明细!$B$4:$B$2004,"&lt;="&amp;$P$2)-SUM($C103:$G103))</f>
        <v/>
      </c>
      <c r="I103" s="25" t="str">
        <f t="shared" si="4"/>
        <v/>
      </c>
      <c r="J103" s="26" t="str">
        <f>IF($B103="","",ROUND(SUMIFS(周转筐出入库明细!$P$4:$P$2004,周转筐出入库明细!$C$4:$C$2004,$B103,周转筐出入库明细!$F$4:$F$2004,"采购入库",周转筐出入库明细!$B$4:$B$2004,"&gt;="&amp;$P$1,周转筐出入库明细!$B$4:$B$2004,"&lt;="&amp;$P$2),2))</f>
        <v/>
      </c>
      <c r="K103" s="26" t="str">
        <f>IF($B103="","",ROUND(SUMIFS(周转筐出入库明细!$P$4:$P$2004,周转筐出入库明细!$C$4:$C$2004,$B103,周转筐出入库明细!$F$4:$F$2004,"采购入库",周转筐出入库明细!$Q$4:$Q$2004,"已付款",周转筐出入库明细!$B$4:$B$2004,"&gt;="&amp;$P$1,周转筐出入库明细!$B$4:$B$2004,"&lt;="&amp;$P$2),2))</f>
        <v/>
      </c>
      <c r="L103" s="26" t="str">
        <f t="shared" si="5"/>
        <v/>
      </c>
    </row>
    <row r="104" spans="1:12">
      <c r="A104" s="22" t="str">
        <f t="shared" si="3"/>
        <v/>
      </c>
      <c r="B104" s="37" t="str">
        <f>IFERROR(INDEX(_自动清单!$CW$4:$CW$203,ROW()-3),"")</f>
        <v/>
      </c>
      <c r="C104" s="25" t="str">
        <f>IF(OR($B104="",基础资料!$B$4=""),"",SUMIFS(周转筐出入库明细!$H$4:$H$2004,周转筐出入库明细!$C$4:$C$2004,$B104,周转筐出入库明细!$D$4:$D$2004,基础资料!$B$4,周转筐出入库明细!$F$4:$F$2004,"采购入库",周转筐出入库明细!$B$4:$B$2004,"&gt;="&amp;$P$1,周转筐出入库明细!$B$4:$B$2004,"&lt;="&amp;$P$2))</f>
        <v/>
      </c>
      <c r="D104" s="25" t="str">
        <f>IF(OR($B104="",基础资料!$B$5=""),"",SUMIFS(周转筐出入库明细!$H$4:$H$2004,周转筐出入库明细!$C$4:$C$2004,$B104,周转筐出入库明细!$D$4:$D$2004,基础资料!$B$5,周转筐出入库明细!$F$4:$F$2004,"采购入库",周转筐出入库明细!$B$4:$B$2004,"&gt;="&amp;$P$1,周转筐出入库明细!$B$4:$B$2004,"&lt;="&amp;$P$2))</f>
        <v/>
      </c>
      <c r="E104" s="25" t="str">
        <f>IF(OR($B104="",基础资料!$B$6=""),"",SUMIFS(周转筐出入库明细!$H$4:$H$2004,周转筐出入库明细!$C$4:$C$2004,$B104,周转筐出入库明细!$D$4:$D$2004,基础资料!$B$6,周转筐出入库明细!$F$4:$F$2004,"采购入库",周转筐出入库明细!$B$4:$B$2004,"&gt;="&amp;$P$1,周转筐出入库明细!$B$4:$B$2004,"&lt;="&amp;$P$2))</f>
        <v/>
      </c>
      <c r="F104" s="25" t="str">
        <f>IF(OR($B104="",基础资料!$B$7=""),"",SUMIFS(周转筐出入库明细!$H$4:$H$2004,周转筐出入库明细!$C$4:$C$2004,$B104,周转筐出入库明细!$D$4:$D$2004,基础资料!$B$7,周转筐出入库明细!$F$4:$F$2004,"采购入库",周转筐出入库明细!$B$4:$B$2004,"&gt;="&amp;$P$1,周转筐出入库明细!$B$4:$B$2004,"&lt;="&amp;$P$2))</f>
        <v/>
      </c>
      <c r="G104" s="25" t="str">
        <f>IF(OR($B104="",基础资料!$B$8=""),"",SUMIFS(周转筐出入库明细!$H$4:$H$2004,周转筐出入库明细!$C$4:$C$2004,$B104,周转筐出入库明细!$D$4:$D$2004,基础资料!$B$8,周转筐出入库明细!$F$4:$F$2004,"采购入库",周转筐出入库明细!$B$4:$B$2004,"&gt;="&amp;$P$1,周转筐出入库明细!$B$4:$B$2004,"&lt;="&amp;$P$2))</f>
        <v/>
      </c>
      <c r="H104" s="25" t="str">
        <f>IF($B104="","",SUMIFS(周转筐出入库明细!$H$4:$H$2004,周转筐出入库明细!$C$4:$C$2004,$B104,周转筐出入库明细!$F$4:$F$2004,"采购入库",周转筐出入库明细!$B$4:$B$2004,"&gt;="&amp;$P$1,周转筐出入库明细!$B$4:$B$2004,"&lt;="&amp;$P$2)-SUM($C104:$G104))</f>
        <v/>
      </c>
      <c r="I104" s="25" t="str">
        <f t="shared" si="4"/>
        <v/>
      </c>
      <c r="J104" s="26" t="str">
        <f>IF($B104="","",ROUND(SUMIFS(周转筐出入库明细!$P$4:$P$2004,周转筐出入库明细!$C$4:$C$2004,$B104,周转筐出入库明细!$F$4:$F$2004,"采购入库",周转筐出入库明细!$B$4:$B$2004,"&gt;="&amp;$P$1,周转筐出入库明细!$B$4:$B$2004,"&lt;="&amp;$P$2),2))</f>
        <v/>
      </c>
      <c r="K104" s="26" t="str">
        <f>IF($B104="","",ROUND(SUMIFS(周转筐出入库明细!$P$4:$P$2004,周转筐出入库明细!$C$4:$C$2004,$B104,周转筐出入库明细!$F$4:$F$2004,"采购入库",周转筐出入库明细!$Q$4:$Q$2004,"已付款",周转筐出入库明细!$B$4:$B$2004,"&gt;="&amp;$P$1,周转筐出入库明细!$B$4:$B$2004,"&lt;="&amp;$P$2),2))</f>
        <v/>
      </c>
      <c r="L104" s="26" t="str">
        <f t="shared" si="5"/>
        <v/>
      </c>
    </row>
    <row r="105" spans="1:12">
      <c r="A105" s="22" t="str">
        <f t="shared" si="3"/>
        <v/>
      </c>
      <c r="B105" s="37" t="str">
        <f>IFERROR(INDEX(_自动清单!$CW$4:$CW$203,ROW()-3),"")</f>
        <v/>
      </c>
      <c r="C105" s="25" t="str">
        <f>IF(OR($B105="",基础资料!$B$4=""),"",SUMIFS(周转筐出入库明细!$H$4:$H$2004,周转筐出入库明细!$C$4:$C$2004,$B105,周转筐出入库明细!$D$4:$D$2004,基础资料!$B$4,周转筐出入库明细!$F$4:$F$2004,"采购入库",周转筐出入库明细!$B$4:$B$2004,"&gt;="&amp;$P$1,周转筐出入库明细!$B$4:$B$2004,"&lt;="&amp;$P$2))</f>
        <v/>
      </c>
      <c r="D105" s="25" t="str">
        <f>IF(OR($B105="",基础资料!$B$5=""),"",SUMIFS(周转筐出入库明细!$H$4:$H$2004,周转筐出入库明细!$C$4:$C$2004,$B105,周转筐出入库明细!$D$4:$D$2004,基础资料!$B$5,周转筐出入库明细!$F$4:$F$2004,"采购入库",周转筐出入库明细!$B$4:$B$2004,"&gt;="&amp;$P$1,周转筐出入库明细!$B$4:$B$2004,"&lt;="&amp;$P$2))</f>
        <v/>
      </c>
      <c r="E105" s="25" t="str">
        <f>IF(OR($B105="",基础资料!$B$6=""),"",SUMIFS(周转筐出入库明细!$H$4:$H$2004,周转筐出入库明细!$C$4:$C$2004,$B105,周转筐出入库明细!$D$4:$D$2004,基础资料!$B$6,周转筐出入库明细!$F$4:$F$2004,"采购入库",周转筐出入库明细!$B$4:$B$2004,"&gt;="&amp;$P$1,周转筐出入库明细!$B$4:$B$2004,"&lt;="&amp;$P$2))</f>
        <v/>
      </c>
      <c r="F105" s="25" t="str">
        <f>IF(OR($B105="",基础资料!$B$7=""),"",SUMIFS(周转筐出入库明细!$H$4:$H$2004,周转筐出入库明细!$C$4:$C$2004,$B105,周转筐出入库明细!$D$4:$D$2004,基础资料!$B$7,周转筐出入库明细!$F$4:$F$2004,"采购入库",周转筐出入库明细!$B$4:$B$2004,"&gt;="&amp;$P$1,周转筐出入库明细!$B$4:$B$2004,"&lt;="&amp;$P$2))</f>
        <v/>
      </c>
      <c r="G105" s="25" t="str">
        <f>IF(OR($B105="",基础资料!$B$8=""),"",SUMIFS(周转筐出入库明细!$H$4:$H$2004,周转筐出入库明细!$C$4:$C$2004,$B105,周转筐出入库明细!$D$4:$D$2004,基础资料!$B$8,周转筐出入库明细!$F$4:$F$2004,"采购入库",周转筐出入库明细!$B$4:$B$2004,"&gt;="&amp;$P$1,周转筐出入库明细!$B$4:$B$2004,"&lt;="&amp;$P$2))</f>
        <v/>
      </c>
      <c r="H105" s="25" t="str">
        <f>IF($B105="","",SUMIFS(周转筐出入库明细!$H$4:$H$2004,周转筐出入库明细!$C$4:$C$2004,$B105,周转筐出入库明细!$F$4:$F$2004,"采购入库",周转筐出入库明细!$B$4:$B$2004,"&gt;="&amp;$P$1,周转筐出入库明细!$B$4:$B$2004,"&lt;="&amp;$P$2)-SUM($C105:$G105))</f>
        <v/>
      </c>
      <c r="I105" s="25" t="str">
        <f t="shared" si="4"/>
        <v/>
      </c>
      <c r="J105" s="26" t="str">
        <f>IF($B105="","",ROUND(SUMIFS(周转筐出入库明细!$P$4:$P$2004,周转筐出入库明细!$C$4:$C$2004,$B105,周转筐出入库明细!$F$4:$F$2004,"采购入库",周转筐出入库明细!$B$4:$B$2004,"&gt;="&amp;$P$1,周转筐出入库明细!$B$4:$B$2004,"&lt;="&amp;$P$2),2))</f>
        <v/>
      </c>
      <c r="K105" s="26" t="str">
        <f>IF($B105="","",ROUND(SUMIFS(周转筐出入库明细!$P$4:$P$2004,周转筐出入库明细!$C$4:$C$2004,$B105,周转筐出入库明细!$F$4:$F$2004,"采购入库",周转筐出入库明细!$Q$4:$Q$2004,"已付款",周转筐出入库明细!$B$4:$B$2004,"&gt;="&amp;$P$1,周转筐出入库明细!$B$4:$B$2004,"&lt;="&amp;$P$2),2))</f>
        <v/>
      </c>
      <c r="L105" s="26" t="str">
        <f t="shared" si="5"/>
        <v/>
      </c>
    </row>
    <row r="106" spans="1:12">
      <c r="A106" s="22" t="str">
        <f t="shared" si="3"/>
        <v/>
      </c>
      <c r="B106" s="37" t="str">
        <f>IFERROR(INDEX(_自动清单!$CW$4:$CW$203,ROW()-3),"")</f>
        <v/>
      </c>
      <c r="C106" s="25" t="str">
        <f>IF(OR($B106="",基础资料!$B$4=""),"",SUMIFS(周转筐出入库明细!$H$4:$H$2004,周转筐出入库明细!$C$4:$C$2004,$B106,周转筐出入库明细!$D$4:$D$2004,基础资料!$B$4,周转筐出入库明细!$F$4:$F$2004,"采购入库",周转筐出入库明细!$B$4:$B$2004,"&gt;="&amp;$P$1,周转筐出入库明细!$B$4:$B$2004,"&lt;="&amp;$P$2))</f>
        <v/>
      </c>
      <c r="D106" s="25" t="str">
        <f>IF(OR($B106="",基础资料!$B$5=""),"",SUMIFS(周转筐出入库明细!$H$4:$H$2004,周转筐出入库明细!$C$4:$C$2004,$B106,周转筐出入库明细!$D$4:$D$2004,基础资料!$B$5,周转筐出入库明细!$F$4:$F$2004,"采购入库",周转筐出入库明细!$B$4:$B$2004,"&gt;="&amp;$P$1,周转筐出入库明细!$B$4:$B$2004,"&lt;="&amp;$P$2))</f>
        <v/>
      </c>
      <c r="E106" s="25" t="str">
        <f>IF(OR($B106="",基础资料!$B$6=""),"",SUMIFS(周转筐出入库明细!$H$4:$H$2004,周转筐出入库明细!$C$4:$C$2004,$B106,周转筐出入库明细!$D$4:$D$2004,基础资料!$B$6,周转筐出入库明细!$F$4:$F$2004,"采购入库",周转筐出入库明细!$B$4:$B$2004,"&gt;="&amp;$P$1,周转筐出入库明细!$B$4:$B$2004,"&lt;="&amp;$P$2))</f>
        <v/>
      </c>
      <c r="F106" s="25" t="str">
        <f>IF(OR($B106="",基础资料!$B$7=""),"",SUMIFS(周转筐出入库明细!$H$4:$H$2004,周转筐出入库明细!$C$4:$C$2004,$B106,周转筐出入库明细!$D$4:$D$2004,基础资料!$B$7,周转筐出入库明细!$F$4:$F$2004,"采购入库",周转筐出入库明细!$B$4:$B$2004,"&gt;="&amp;$P$1,周转筐出入库明细!$B$4:$B$2004,"&lt;="&amp;$P$2))</f>
        <v/>
      </c>
      <c r="G106" s="25" t="str">
        <f>IF(OR($B106="",基础资料!$B$8=""),"",SUMIFS(周转筐出入库明细!$H$4:$H$2004,周转筐出入库明细!$C$4:$C$2004,$B106,周转筐出入库明细!$D$4:$D$2004,基础资料!$B$8,周转筐出入库明细!$F$4:$F$2004,"采购入库",周转筐出入库明细!$B$4:$B$2004,"&gt;="&amp;$P$1,周转筐出入库明细!$B$4:$B$2004,"&lt;="&amp;$P$2))</f>
        <v/>
      </c>
      <c r="H106" s="25" t="str">
        <f>IF($B106="","",SUMIFS(周转筐出入库明细!$H$4:$H$2004,周转筐出入库明细!$C$4:$C$2004,$B106,周转筐出入库明细!$F$4:$F$2004,"采购入库",周转筐出入库明细!$B$4:$B$2004,"&gt;="&amp;$P$1,周转筐出入库明细!$B$4:$B$2004,"&lt;="&amp;$P$2)-SUM($C106:$G106))</f>
        <v/>
      </c>
      <c r="I106" s="25" t="str">
        <f t="shared" si="4"/>
        <v/>
      </c>
      <c r="J106" s="26" t="str">
        <f>IF($B106="","",ROUND(SUMIFS(周转筐出入库明细!$P$4:$P$2004,周转筐出入库明细!$C$4:$C$2004,$B106,周转筐出入库明细!$F$4:$F$2004,"采购入库",周转筐出入库明细!$B$4:$B$2004,"&gt;="&amp;$P$1,周转筐出入库明细!$B$4:$B$2004,"&lt;="&amp;$P$2),2))</f>
        <v/>
      </c>
      <c r="K106" s="26" t="str">
        <f>IF($B106="","",ROUND(SUMIFS(周转筐出入库明细!$P$4:$P$2004,周转筐出入库明细!$C$4:$C$2004,$B106,周转筐出入库明细!$F$4:$F$2004,"采购入库",周转筐出入库明细!$Q$4:$Q$2004,"已付款",周转筐出入库明细!$B$4:$B$2004,"&gt;="&amp;$P$1,周转筐出入库明细!$B$4:$B$2004,"&lt;="&amp;$P$2),2))</f>
        <v/>
      </c>
      <c r="L106" s="26" t="str">
        <f t="shared" si="5"/>
        <v/>
      </c>
    </row>
    <row r="107" spans="1:12">
      <c r="A107" s="22" t="str">
        <f t="shared" si="3"/>
        <v/>
      </c>
      <c r="B107" s="37" t="str">
        <f>IFERROR(INDEX(_自动清单!$CW$4:$CW$203,ROW()-3),"")</f>
        <v/>
      </c>
      <c r="C107" s="25" t="str">
        <f>IF(OR($B107="",基础资料!$B$4=""),"",SUMIFS(周转筐出入库明细!$H$4:$H$2004,周转筐出入库明细!$C$4:$C$2004,$B107,周转筐出入库明细!$D$4:$D$2004,基础资料!$B$4,周转筐出入库明细!$F$4:$F$2004,"采购入库",周转筐出入库明细!$B$4:$B$2004,"&gt;="&amp;$P$1,周转筐出入库明细!$B$4:$B$2004,"&lt;="&amp;$P$2))</f>
        <v/>
      </c>
      <c r="D107" s="25" t="str">
        <f>IF(OR($B107="",基础资料!$B$5=""),"",SUMIFS(周转筐出入库明细!$H$4:$H$2004,周转筐出入库明细!$C$4:$C$2004,$B107,周转筐出入库明细!$D$4:$D$2004,基础资料!$B$5,周转筐出入库明细!$F$4:$F$2004,"采购入库",周转筐出入库明细!$B$4:$B$2004,"&gt;="&amp;$P$1,周转筐出入库明细!$B$4:$B$2004,"&lt;="&amp;$P$2))</f>
        <v/>
      </c>
      <c r="E107" s="25" t="str">
        <f>IF(OR($B107="",基础资料!$B$6=""),"",SUMIFS(周转筐出入库明细!$H$4:$H$2004,周转筐出入库明细!$C$4:$C$2004,$B107,周转筐出入库明细!$D$4:$D$2004,基础资料!$B$6,周转筐出入库明细!$F$4:$F$2004,"采购入库",周转筐出入库明细!$B$4:$B$2004,"&gt;="&amp;$P$1,周转筐出入库明细!$B$4:$B$2004,"&lt;="&amp;$P$2))</f>
        <v/>
      </c>
      <c r="F107" s="25" t="str">
        <f>IF(OR($B107="",基础资料!$B$7=""),"",SUMIFS(周转筐出入库明细!$H$4:$H$2004,周转筐出入库明细!$C$4:$C$2004,$B107,周转筐出入库明细!$D$4:$D$2004,基础资料!$B$7,周转筐出入库明细!$F$4:$F$2004,"采购入库",周转筐出入库明细!$B$4:$B$2004,"&gt;="&amp;$P$1,周转筐出入库明细!$B$4:$B$2004,"&lt;="&amp;$P$2))</f>
        <v/>
      </c>
      <c r="G107" s="25" t="str">
        <f>IF(OR($B107="",基础资料!$B$8=""),"",SUMIFS(周转筐出入库明细!$H$4:$H$2004,周转筐出入库明细!$C$4:$C$2004,$B107,周转筐出入库明细!$D$4:$D$2004,基础资料!$B$8,周转筐出入库明细!$F$4:$F$2004,"采购入库",周转筐出入库明细!$B$4:$B$2004,"&gt;="&amp;$P$1,周转筐出入库明细!$B$4:$B$2004,"&lt;="&amp;$P$2))</f>
        <v/>
      </c>
      <c r="H107" s="25" t="str">
        <f>IF($B107="","",SUMIFS(周转筐出入库明细!$H$4:$H$2004,周转筐出入库明细!$C$4:$C$2004,$B107,周转筐出入库明细!$F$4:$F$2004,"采购入库",周转筐出入库明细!$B$4:$B$2004,"&gt;="&amp;$P$1,周转筐出入库明细!$B$4:$B$2004,"&lt;="&amp;$P$2)-SUM($C107:$G107))</f>
        <v/>
      </c>
      <c r="I107" s="25" t="str">
        <f t="shared" si="4"/>
        <v/>
      </c>
      <c r="J107" s="26" t="str">
        <f>IF($B107="","",ROUND(SUMIFS(周转筐出入库明细!$P$4:$P$2004,周转筐出入库明细!$C$4:$C$2004,$B107,周转筐出入库明细!$F$4:$F$2004,"采购入库",周转筐出入库明细!$B$4:$B$2004,"&gt;="&amp;$P$1,周转筐出入库明细!$B$4:$B$2004,"&lt;="&amp;$P$2),2))</f>
        <v/>
      </c>
      <c r="K107" s="26" t="str">
        <f>IF($B107="","",ROUND(SUMIFS(周转筐出入库明细!$P$4:$P$2004,周转筐出入库明细!$C$4:$C$2004,$B107,周转筐出入库明细!$F$4:$F$2004,"采购入库",周转筐出入库明细!$Q$4:$Q$2004,"已付款",周转筐出入库明细!$B$4:$B$2004,"&gt;="&amp;$P$1,周转筐出入库明细!$B$4:$B$2004,"&lt;="&amp;$P$2),2))</f>
        <v/>
      </c>
      <c r="L107" s="26" t="str">
        <f t="shared" si="5"/>
        <v/>
      </c>
    </row>
    <row r="108" spans="1:12">
      <c r="A108" s="22" t="str">
        <f t="shared" si="3"/>
        <v/>
      </c>
      <c r="B108" s="37" t="str">
        <f>IFERROR(INDEX(_自动清单!$CW$4:$CW$203,ROW()-3),"")</f>
        <v/>
      </c>
      <c r="C108" s="25" t="str">
        <f>IF(OR($B108="",基础资料!$B$4=""),"",SUMIFS(周转筐出入库明细!$H$4:$H$2004,周转筐出入库明细!$C$4:$C$2004,$B108,周转筐出入库明细!$D$4:$D$2004,基础资料!$B$4,周转筐出入库明细!$F$4:$F$2004,"采购入库",周转筐出入库明细!$B$4:$B$2004,"&gt;="&amp;$P$1,周转筐出入库明细!$B$4:$B$2004,"&lt;="&amp;$P$2))</f>
        <v/>
      </c>
      <c r="D108" s="25" t="str">
        <f>IF(OR($B108="",基础资料!$B$5=""),"",SUMIFS(周转筐出入库明细!$H$4:$H$2004,周转筐出入库明细!$C$4:$C$2004,$B108,周转筐出入库明细!$D$4:$D$2004,基础资料!$B$5,周转筐出入库明细!$F$4:$F$2004,"采购入库",周转筐出入库明细!$B$4:$B$2004,"&gt;="&amp;$P$1,周转筐出入库明细!$B$4:$B$2004,"&lt;="&amp;$P$2))</f>
        <v/>
      </c>
      <c r="E108" s="25" t="str">
        <f>IF(OR($B108="",基础资料!$B$6=""),"",SUMIFS(周转筐出入库明细!$H$4:$H$2004,周转筐出入库明细!$C$4:$C$2004,$B108,周转筐出入库明细!$D$4:$D$2004,基础资料!$B$6,周转筐出入库明细!$F$4:$F$2004,"采购入库",周转筐出入库明细!$B$4:$B$2004,"&gt;="&amp;$P$1,周转筐出入库明细!$B$4:$B$2004,"&lt;="&amp;$P$2))</f>
        <v/>
      </c>
      <c r="F108" s="25" t="str">
        <f>IF(OR($B108="",基础资料!$B$7=""),"",SUMIFS(周转筐出入库明细!$H$4:$H$2004,周转筐出入库明细!$C$4:$C$2004,$B108,周转筐出入库明细!$D$4:$D$2004,基础资料!$B$7,周转筐出入库明细!$F$4:$F$2004,"采购入库",周转筐出入库明细!$B$4:$B$2004,"&gt;="&amp;$P$1,周转筐出入库明细!$B$4:$B$2004,"&lt;="&amp;$P$2))</f>
        <v/>
      </c>
      <c r="G108" s="25" t="str">
        <f>IF(OR($B108="",基础资料!$B$8=""),"",SUMIFS(周转筐出入库明细!$H$4:$H$2004,周转筐出入库明细!$C$4:$C$2004,$B108,周转筐出入库明细!$D$4:$D$2004,基础资料!$B$8,周转筐出入库明细!$F$4:$F$2004,"采购入库",周转筐出入库明细!$B$4:$B$2004,"&gt;="&amp;$P$1,周转筐出入库明细!$B$4:$B$2004,"&lt;="&amp;$P$2))</f>
        <v/>
      </c>
      <c r="H108" s="25" t="str">
        <f>IF($B108="","",SUMIFS(周转筐出入库明细!$H$4:$H$2004,周转筐出入库明细!$C$4:$C$2004,$B108,周转筐出入库明细!$F$4:$F$2004,"采购入库",周转筐出入库明细!$B$4:$B$2004,"&gt;="&amp;$P$1,周转筐出入库明细!$B$4:$B$2004,"&lt;="&amp;$P$2)-SUM($C108:$G108))</f>
        <v/>
      </c>
      <c r="I108" s="25" t="str">
        <f t="shared" si="4"/>
        <v/>
      </c>
      <c r="J108" s="26" t="str">
        <f>IF($B108="","",ROUND(SUMIFS(周转筐出入库明细!$P$4:$P$2004,周转筐出入库明细!$C$4:$C$2004,$B108,周转筐出入库明细!$F$4:$F$2004,"采购入库",周转筐出入库明细!$B$4:$B$2004,"&gt;="&amp;$P$1,周转筐出入库明细!$B$4:$B$2004,"&lt;="&amp;$P$2),2))</f>
        <v/>
      </c>
      <c r="K108" s="26" t="str">
        <f>IF($B108="","",ROUND(SUMIFS(周转筐出入库明细!$P$4:$P$2004,周转筐出入库明细!$C$4:$C$2004,$B108,周转筐出入库明细!$F$4:$F$2004,"采购入库",周转筐出入库明细!$Q$4:$Q$2004,"已付款",周转筐出入库明细!$B$4:$B$2004,"&gt;="&amp;$P$1,周转筐出入库明细!$B$4:$B$2004,"&lt;="&amp;$P$2),2))</f>
        <v/>
      </c>
      <c r="L108" s="26" t="str">
        <f t="shared" si="5"/>
        <v/>
      </c>
    </row>
    <row r="109" spans="1:12">
      <c r="A109" s="22" t="str">
        <f t="shared" si="3"/>
        <v/>
      </c>
      <c r="B109" s="37" t="str">
        <f>IFERROR(INDEX(_自动清单!$CW$4:$CW$203,ROW()-3),"")</f>
        <v/>
      </c>
      <c r="C109" s="25" t="str">
        <f>IF(OR($B109="",基础资料!$B$4=""),"",SUMIFS(周转筐出入库明细!$H$4:$H$2004,周转筐出入库明细!$C$4:$C$2004,$B109,周转筐出入库明细!$D$4:$D$2004,基础资料!$B$4,周转筐出入库明细!$F$4:$F$2004,"采购入库",周转筐出入库明细!$B$4:$B$2004,"&gt;="&amp;$P$1,周转筐出入库明细!$B$4:$B$2004,"&lt;="&amp;$P$2))</f>
        <v/>
      </c>
      <c r="D109" s="25" t="str">
        <f>IF(OR($B109="",基础资料!$B$5=""),"",SUMIFS(周转筐出入库明细!$H$4:$H$2004,周转筐出入库明细!$C$4:$C$2004,$B109,周转筐出入库明细!$D$4:$D$2004,基础资料!$B$5,周转筐出入库明细!$F$4:$F$2004,"采购入库",周转筐出入库明细!$B$4:$B$2004,"&gt;="&amp;$P$1,周转筐出入库明细!$B$4:$B$2004,"&lt;="&amp;$P$2))</f>
        <v/>
      </c>
      <c r="E109" s="25" t="str">
        <f>IF(OR($B109="",基础资料!$B$6=""),"",SUMIFS(周转筐出入库明细!$H$4:$H$2004,周转筐出入库明细!$C$4:$C$2004,$B109,周转筐出入库明细!$D$4:$D$2004,基础资料!$B$6,周转筐出入库明细!$F$4:$F$2004,"采购入库",周转筐出入库明细!$B$4:$B$2004,"&gt;="&amp;$P$1,周转筐出入库明细!$B$4:$B$2004,"&lt;="&amp;$P$2))</f>
        <v/>
      </c>
      <c r="F109" s="25" t="str">
        <f>IF(OR($B109="",基础资料!$B$7=""),"",SUMIFS(周转筐出入库明细!$H$4:$H$2004,周转筐出入库明细!$C$4:$C$2004,$B109,周转筐出入库明细!$D$4:$D$2004,基础资料!$B$7,周转筐出入库明细!$F$4:$F$2004,"采购入库",周转筐出入库明细!$B$4:$B$2004,"&gt;="&amp;$P$1,周转筐出入库明细!$B$4:$B$2004,"&lt;="&amp;$P$2))</f>
        <v/>
      </c>
      <c r="G109" s="25" t="str">
        <f>IF(OR($B109="",基础资料!$B$8=""),"",SUMIFS(周转筐出入库明细!$H$4:$H$2004,周转筐出入库明细!$C$4:$C$2004,$B109,周转筐出入库明细!$D$4:$D$2004,基础资料!$B$8,周转筐出入库明细!$F$4:$F$2004,"采购入库",周转筐出入库明细!$B$4:$B$2004,"&gt;="&amp;$P$1,周转筐出入库明细!$B$4:$B$2004,"&lt;="&amp;$P$2))</f>
        <v/>
      </c>
      <c r="H109" s="25" t="str">
        <f>IF($B109="","",SUMIFS(周转筐出入库明细!$H$4:$H$2004,周转筐出入库明细!$C$4:$C$2004,$B109,周转筐出入库明细!$F$4:$F$2004,"采购入库",周转筐出入库明细!$B$4:$B$2004,"&gt;="&amp;$P$1,周转筐出入库明细!$B$4:$B$2004,"&lt;="&amp;$P$2)-SUM($C109:$G109))</f>
        <v/>
      </c>
      <c r="I109" s="25" t="str">
        <f t="shared" si="4"/>
        <v/>
      </c>
      <c r="J109" s="26" t="str">
        <f>IF($B109="","",ROUND(SUMIFS(周转筐出入库明细!$P$4:$P$2004,周转筐出入库明细!$C$4:$C$2004,$B109,周转筐出入库明细!$F$4:$F$2004,"采购入库",周转筐出入库明细!$B$4:$B$2004,"&gt;="&amp;$P$1,周转筐出入库明细!$B$4:$B$2004,"&lt;="&amp;$P$2),2))</f>
        <v/>
      </c>
      <c r="K109" s="26" t="str">
        <f>IF($B109="","",ROUND(SUMIFS(周转筐出入库明细!$P$4:$P$2004,周转筐出入库明细!$C$4:$C$2004,$B109,周转筐出入库明细!$F$4:$F$2004,"采购入库",周转筐出入库明细!$Q$4:$Q$2004,"已付款",周转筐出入库明细!$B$4:$B$2004,"&gt;="&amp;$P$1,周转筐出入库明细!$B$4:$B$2004,"&lt;="&amp;$P$2),2))</f>
        <v/>
      </c>
      <c r="L109" s="26" t="str">
        <f t="shared" si="5"/>
        <v/>
      </c>
    </row>
    <row r="110" spans="1:12">
      <c r="A110" s="22" t="str">
        <f t="shared" si="3"/>
        <v/>
      </c>
      <c r="B110" s="37" t="str">
        <f>IFERROR(INDEX(_自动清单!$CW$4:$CW$203,ROW()-3),"")</f>
        <v/>
      </c>
      <c r="C110" s="25" t="str">
        <f>IF(OR($B110="",基础资料!$B$4=""),"",SUMIFS(周转筐出入库明细!$H$4:$H$2004,周转筐出入库明细!$C$4:$C$2004,$B110,周转筐出入库明细!$D$4:$D$2004,基础资料!$B$4,周转筐出入库明细!$F$4:$F$2004,"采购入库",周转筐出入库明细!$B$4:$B$2004,"&gt;="&amp;$P$1,周转筐出入库明细!$B$4:$B$2004,"&lt;="&amp;$P$2))</f>
        <v/>
      </c>
      <c r="D110" s="25" t="str">
        <f>IF(OR($B110="",基础资料!$B$5=""),"",SUMIFS(周转筐出入库明细!$H$4:$H$2004,周转筐出入库明细!$C$4:$C$2004,$B110,周转筐出入库明细!$D$4:$D$2004,基础资料!$B$5,周转筐出入库明细!$F$4:$F$2004,"采购入库",周转筐出入库明细!$B$4:$B$2004,"&gt;="&amp;$P$1,周转筐出入库明细!$B$4:$B$2004,"&lt;="&amp;$P$2))</f>
        <v/>
      </c>
      <c r="E110" s="25" t="str">
        <f>IF(OR($B110="",基础资料!$B$6=""),"",SUMIFS(周转筐出入库明细!$H$4:$H$2004,周转筐出入库明细!$C$4:$C$2004,$B110,周转筐出入库明细!$D$4:$D$2004,基础资料!$B$6,周转筐出入库明细!$F$4:$F$2004,"采购入库",周转筐出入库明细!$B$4:$B$2004,"&gt;="&amp;$P$1,周转筐出入库明细!$B$4:$B$2004,"&lt;="&amp;$P$2))</f>
        <v/>
      </c>
      <c r="F110" s="25" t="str">
        <f>IF(OR($B110="",基础资料!$B$7=""),"",SUMIFS(周转筐出入库明细!$H$4:$H$2004,周转筐出入库明细!$C$4:$C$2004,$B110,周转筐出入库明细!$D$4:$D$2004,基础资料!$B$7,周转筐出入库明细!$F$4:$F$2004,"采购入库",周转筐出入库明细!$B$4:$B$2004,"&gt;="&amp;$P$1,周转筐出入库明细!$B$4:$B$2004,"&lt;="&amp;$P$2))</f>
        <v/>
      </c>
      <c r="G110" s="25" t="str">
        <f>IF(OR($B110="",基础资料!$B$8=""),"",SUMIFS(周转筐出入库明细!$H$4:$H$2004,周转筐出入库明细!$C$4:$C$2004,$B110,周转筐出入库明细!$D$4:$D$2004,基础资料!$B$8,周转筐出入库明细!$F$4:$F$2004,"采购入库",周转筐出入库明细!$B$4:$B$2004,"&gt;="&amp;$P$1,周转筐出入库明细!$B$4:$B$2004,"&lt;="&amp;$P$2))</f>
        <v/>
      </c>
      <c r="H110" s="25" t="str">
        <f>IF($B110="","",SUMIFS(周转筐出入库明细!$H$4:$H$2004,周转筐出入库明细!$C$4:$C$2004,$B110,周转筐出入库明细!$F$4:$F$2004,"采购入库",周转筐出入库明细!$B$4:$B$2004,"&gt;="&amp;$P$1,周转筐出入库明细!$B$4:$B$2004,"&lt;="&amp;$P$2)-SUM($C110:$G110))</f>
        <v/>
      </c>
      <c r="I110" s="25" t="str">
        <f t="shared" si="4"/>
        <v/>
      </c>
      <c r="J110" s="26" t="str">
        <f>IF($B110="","",ROUND(SUMIFS(周转筐出入库明细!$P$4:$P$2004,周转筐出入库明细!$C$4:$C$2004,$B110,周转筐出入库明细!$F$4:$F$2004,"采购入库",周转筐出入库明细!$B$4:$B$2004,"&gt;="&amp;$P$1,周转筐出入库明细!$B$4:$B$2004,"&lt;="&amp;$P$2),2))</f>
        <v/>
      </c>
      <c r="K110" s="26" t="str">
        <f>IF($B110="","",ROUND(SUMIFS(周转筐出入库明细!$P$4:$P$2004,周转筐出入库明细!$C$4:$C$2004,$B110,周转筐出入库明细!$F$4:$F$2004,"采购入库",周转筐出入库明细!$Q$4:$Q$2004,"已付款",周转筐出入库明细!$B$4:$B$2004,"&gt;="&amp;$P$1,周转筐出入库明细!$B$4:$B$2004,"&lt;="&amp;$P$2),2))</f>
        <v/>
      </c>
      <c r="L110" s="26" t="str">
        <f t="shared" si="5"/>
        <v/>
      </c>
    </row>
    <row r="111" spans="1:12">
      <c r="A111" s="22" t="str">
        <f t="shared" si="3"/>
        <v/>
      </c>
      <c r="B111" s="37" t="str">
        <f>IFERROR(INDEX(_自动清单!$CW$4:$CW$203,ROW()-3),"")</f>
        <v/>
      </c>
      <c r="C111" s="25" t="str">
        <f>IF(OR($B111="",基础资料!$B$4=""),"",SUMIFS(周转筐出入库明细!$H$4:$H$2004,周转筐出入库明细!$C$4:$C$2004,$B111,周转筐出入库明细!$D$4:$D$2004,基础资料!$B$4,周转筐出入库明细!$F$4:$F$2004,"采购入库",周转筐出入库明细!$B$4:$B$2004,"&gt;="&amp;$P$1,周转筐出入库明细!$B$4:$B$2004,"&lt;="&amp;$P$2))</f>
        <v/>
      </c>
      <c r="D111" s="25" t="str">
        <f>IF(OR($B111="",基础资料!$B$5=""),"",SUMIFS(周转筐出入库明细!$H$4:$H$2004,周转筐出入库明细!$C$4:$C$2004,$B111,周转筐出入库明细!$D$4:$D$2004,基础资料!$B$5,周转筐出入库明细!$F$4:$F$2004,"采购入库",周转筐出入库明细!$B$4:$B$2004,"&gt;="&amp;$P$1,周转筐出入库明细!$B$4:$B$2004,"&lt;="&amp;$P$2))</f>
        <v/>
      </c>
      <c r="E111" s="25" t="str">
        <f>IF(OR($B111="",基础资料!$B$6=""),"",SUMIFS(周转筐出入库明细!$H$4:$H$2004,周转筐出入库明细!$C$4:$C$2004,$B111,周转筐出入库明细!$D$4:$D$2004,基础资料!$B$6,周转筐出入库明细!$F$4:$F$2004,"采购入库",周转筐出入库明细!$B$4:$B$2004,"&gt;="&amp;$P$1,周转筐出入库明细!$B$4:$B$2004,"&lt;="&amp;$P$2))</f>
        <v/>
      </c>
      <c r="F111" s="25" t="str">
        <f>IF(OR($B111="",基础资料!$B$7=""),"",SUMIFS(周转筐出入库明细!$H$4:$H$2004,周转筐出入库明细!$C$4:$C$2004,$B111,周转筐出入库明细!$D$4:$D$2004,基础资料!$B$7,周转筐出入库明细!$F$4:$F$2004,"采购入库",周转筐出入库明细!$B$4:$B$2004,"&gt;="&amp;$P$1,周转筐出入库明细!$B$4:$B$2004,"&lt;="&amp;$P$2))</f>
        <v/>
      </c>
      <c r="G111" s="25" t="str">
        <f>IF(OR($B111="",基础资料!$B$8=""),"",SUMIFS(周转筐出入库明细!$H$4:$H$2004,周转筐出入库明细!$C$4:$C$2004,$B111,周转筐出入库明细!$D$4:$D$2004,基础资料!$B$8,周转筐出入库明细!$F$4:$F$2004,"采购入库",周转筐出入库明细!$B$4:$B$2004,"&gt;="&amp;$P$1,周转筐出入库明细!$B$4:$B$2004,"&lt;="&amp;$P$2))</f>
        <v/>
      </c>
      <c r="H111" s="25" t="str">
        <f>IF($B111="","",SUMIFS(周转筐出入库明细!$H$4:$H$2004,周转筐出入库明细!$C$4:$C$2004,$B111,周转筐出入库明细!$F$4:$F$2004,"采购入库",周转筐出入库明细!$B$4:$B$2004,"&gt;="&amp;$P$1,周转筐出入库明细!$B$4:$B$2004,"&lt;="&amp;$P$2)-SUM($C111:$G111))</f>
        <v/>
      </c>
      <c r="I111" s="25" t="str">
        <f t="shared" si="4"/>
        <v/>
      </c>
      <c r="J111" s="26" t="str">
        <f>IF($B111="","",ROUND(SUMIFS(周转筐出入库明细!$P$4:$P$2004,周转筐出入库明细!$C$4:$C$2004,$B111,周转筐出入库明细!$F$4:$F$2004,"采购入库",周转筐出入库明细!$B$4:$B$2004,"&gt;="&amp;$P$1,周转筐出入库明细!$B$4:$B$2004,"&lt;="&amp;$P$2),2))</f>
        <v/>
      </c>
      <c r="K111" s="26" t="str">
        <f>IF($B111="","",ROUND(SUMIFS(周转筐出入库明细!$P$4:$P$2004,周转筐出入库明细!$C$4:$C$2004,$B111,周转筐出入库明细!$F$4:$F$2004,"采购入库",周转筐出入库明细!$Q$4:$Q$2004,"已付款",周转筐出入库明细!$B$4:$B$2004,"&gt;="&amp;$P$1,周转筐出入库明细!$B$4:$B$2004,"&lt;="&amp;$P$2),2))</f>
        <v/>
      </c>
      <c r="L111" s="26" t="str">
        <f t="shared" si="5"/>
        <v/>
      </c>
    </row>
    <row r="112" spans="1:12">
      <c r="A112" s="22" t="str">
        <f t="shared" si="3"/>
        <v/>
      </c>
      <c r="B112" s="37" t="str">
        <f>IFERROR(INDEX(_自动清单!$CW$4:$CW$203,ROW()-3),"")</f>
        <v/>
      </c>
      <c r="C112" s="25" t="str">
        <f>IF(OR($B112="",基础资料!$B$4=""),"",SUMIFS(周转筐出入库明细!$H$4:$H$2004,周转筐出入库明细!$C$4:$C$2004,$B112,周转筐出入库明细!$D$4:$D$2004,基础资料!$B$4,周转筐出入库明细!$F$4:$F$2004,"采购入库",周转筐出入库明细!$B$4:$B$2004,"&gt;="&amp;$P$1,周转筐出入库明细!$B$4:$B$2004,"&lt;="&amp;$P$2))</f>
        <v/>
      </c>
      <c r="D112" s="25" t="str">
        <f>IF(OR($B112="",基础资料!$B$5=""),"",SUMIFS(周转筐出入库明细!$H$4:$H$2004,周转筐出入库明细!$C$4:$C$2004,$B112,周转筐出入库明细!$D$4:$D$2004,基础资料!$B$5,周转筐出入库明细!$F$4:$F$2004,"采购入库",周转筐出入库明细!$B$4:$B$2004,"&gt;="&amp;$P$1,周转筐出入库明细!$B$4:$B$2004,"&lt;="&amp;$P$2))</f>
        <v/>
      </c>
      <c r="E112" s="25" t="str">
        <f>IF(OR($B112="",基础资料!$B$6=""),"",SUMIFS(周转筐出入库明细!$H$4:$H$2004,周转筐出入库明细!$C$4:$C$2004,$B112,周转筐出入库明细!$D$4:$D$2004,基础资料!$B$6,周转筐出入库明细!$F$4:$F$2004,"采购入库",周转筐出入库明细!$B$4:$B$2004,"&gt;="&amp;$P$1,周转筐出入库明细!$B$4:$B$2004,"&lt;="&amp;$P$2))</f>
        <v/>
      </c>
      <c r="F112" s="25" t="str">
        <f>IF(OR($B112="",基础资料!$B$7=""),"",SUMIFS(周转筐出入库明细!$H$4:$H$2004,周转筐出入库明细!$C$4:$C$2004,$B112,周转筐出入库明细!$D$4:$D$2004,基础资料!$B$7,周转筐出入库明细!$F$4:$F$2004,"采购入库",周转筐出入库明细!$B$4:$B$2004,"&gt;="&amp;$P$1,周转筐出入库明细!$B$4:$B$2004,"&lt;="&amp;$P$2))</f>
        <v/>
      </c>
      <c r="G112" s="25" t="str">
        <f>IF(OR($B112="",基础资料!$B$8=""),"",SUMIFS(周转筐出入库明细!$H$4:$H$2004,周转筐出入库明细!$C$4:$C$2004,$B112,周转筐出入库明细!$D$4:$D$2004,基础资料!$B$8,周转筐出入库明细!$F$4:$F$2004,"采购入库",周转筐出入库明细!$B$4:$B$2004,"&gt;="&amp;$P$1,周转筐出入库明细!$B$4:$B$2004,"&lt;="&amp;$P$2))</f>
        <v/>
      </c>
      <c r="H112" s="25" t="str">
        <f>IF($B112="","",SUMIFS(周转筐出入库明细!$H$4:$H$2004,周转筐出入库明细!$C$4:$C$2004,$B112,周转筐出入库明细!$F$4:$F$2004,"采购入库",周转筐出入库明细!$B$4:$B$2004,"&gt;="&amp;$P$1,周转筐出入库明细!$B$4:$B$2004,"&lt;="&amp;$P$2)-SUM($C112:$G112))</f>
        <v/>
      </c>
      <c r="I112" s="25" t="str">
        <f t="shared" si="4"/>
        <v/>
      </c>
      <c r="J112" s="26" t="str">
        <f>IF($B112="","",ROUND(SUMIFS(周转筐出入库明细!$P$4:$P$2004,周转筐出入库明细!$C$4:$C$2004,$B112,周转筐出入库明细!$F$4:$F$2004,"采购入库",周转筐出入库明细!$B$4:$B$2004,"&gt;="&amp;$P$1,周转筐出入库明细!$B$4:$B$2004,"&lt;="&amp;$P$2),2))</f>
        <v/>
      </c>
      <c r="K112" s="26" t="str">
        <f>IF($B112="","",ROUND(SUMIFS(周转筐出入库明细!$P$4:$P$2004,周转筐出入库明细!$C$4:$C$2004,$B112,周转筐出入库明细!$F$4:$F$2004,"采购入库",周转筐出入库明细!$Q$4:$Q$2004,"已付款",周转筐出入库明细!$B$4:$B$2004,"&gt;="&amp;$P$1,周转筐出入库明细!$B$4:$B$2004,"&lt;="&amp;$P$2),2))</f>
        <v/>
      </c>
      <c r="L112" s="26" t="str">
        <f t="shared" si="5"/>
        <v/>
      </c>
    </row>
    <row r="113" spans="1:12">
      <c r="A113" s="22" t="str">
        <f t="shared" si="3"/>
        <v/>
      </c>
      <c r="B113" s="37" t="str">
        <f>IFERROR(INDEX(_自动清单!$CW$4:$CW$203,ROW()-3),"")</f>
        <v/>
      </c>
      <c r="C113" s="25" t="str">
        <f>IF(OR($B113="",基础资料!$B$4=""),"",SUMIFS(周转筐出入库明细!$H$4:$H$2004,周转筐出入库明细!$C$4:$C$2004,$B113,周转筐出入库明细!$D$4:$D$2004,基础资料!$B$4,周转筐出入库明细!$F$4:$F$2004,"采购入库",周转筐出入库明细!$B$4:$B$2004,"&gt;="&amp;$P$1,周转筐出入库明细!$B$4:$B$2004,"&lt;="&amp;$P$2))</f>
        <v/>
      </c>
      <c r="D113" s="25" t="str">
        <f>IF(OR($B113="",基础资料!$B$5=""),"",SUMIFS(周转筐出入库明细!$H$4:$H$2004,周转筐出入库明细!$C$4:$C$2004,$B113,周转筐出入库明细!$D$4:$D$2004,基础资料!$B$5,周转筐出入库明细!$F$4:$F$2004,"采购入库",周转筐出入库明细!$B$4:$B$2004,"&gt;="&amp;$P$1,周转筐出入库明细!$B$4:$B$2004,"&lt;="&amp;$P$2))</f>
        <v/>
      </c>
      <c r="E113" s="25" t="str">
        <f>IF(OR($B113="",基础资料!$B$6=""),"",SUMIFS(周转筐出入库明细!$H$4:$H$2004,周转筐出入库明细!$C$4:$C$2004,$B113,周转筐出入库明细!$D$4:$D$2004,基础资料!$B$6,周转筐出入库明细!$F$4:$F$2004,"采购入库",周转筐出入库明细!$B$4:$B$2004,"&gt;="&amp;$P$1,周转筐出入库明细!$B$4:$B$2004,"&lt;="&amp;$P$2))</f>
        <v/>
      </c>
      <c r="F113" s="25" t="str">
        <f>IF(OR($B113="",基础资料!$B$7=""),"",SUMIFS(周转筐出入库明细!$H$4:$H$2004,周转筐出入库明细!$C$4:$C$2004,$B113,周转筐出入库明细!$D$4:$D$2004,基础资料!$B$7,周转筐出入库明细!$F$4:$F$2004,"采购入库",周转筐出入库明细!$B$4:$B$2004,"&gt;="&amp;$P$1,周转筐出入库明细!$B$4:$B$2004,"&lt;="&amp;$P$2))</f>
        <v/>
      </c>
      <c r="G113" s="25" t="str">
        <f>IF(OR($B113="",基础资料!$B$8=""),"",SUMIFS(周转筐出入库明细!$H$4:$H$2004,周转筐出入库明细!$C$4:$C$2004,$B113,周转筐出入库明细!$D$4:$D$2004,基础资料!$B$8,周转筐出入库明细!$F$4:$F$2004,"采购入库",周转筐出入库明细!$B$4:$B$2004,"&gt;="&amp;$P$1,周转筐出入库明细!$B$4:$B$2004,"&lt;="&amp;$P$2))</f>
        <v/>
      </c>
      <c r="H113" s="25" t="str">
        <f>IF($B113="","",SUMIFS(周转筐出入库明细!$H$4:$H$2004,周转筐出入库明细!$C$4:$C$2004,$B113,周转筐出入库明细!$F$4:$F$2004,"采购入库",周转筐出入库明细!$B$4:$B$2004,"&gt;="&amp;$P$1,周转筐出入库明细!$B$4:$B$2004,"&lt;="&amp;$P$2)-SUM($C113:$G113))</f>
        <v/>
      </c>
      <c r="I113" s="25" t="str">
        <f t="shared" si="4"/>
        <v/>
      </c>
      <c r="J113" s="26" t="str">
        <f>IF($B113="","",ROUND(SUMIFS(周转筐出入库明细!$P$4:$P$2004,周转筐出入库明细!$C$4:$C$2004,$B113,周转筐出入库明细!$F$4:$F$2004,"采购入库",周转筐出入库明细!$B$4:$B$2004,"&gt;="&amp;$P$1,周转筐出入库明细!$B$4:$B$2004,"&lt;="&amp;$P$2),2))</f>
        <v/>
      </c>
      <c r="K113" s="26" t="str">
        <f>IF($B113="","",ROUND(SUMIFS(周转筐出入库明细!$P$4:$P$2004,周转筐出入库明细!$C$4:$C$2004,$B113,周转筐出入库明细!$F$4:$F$2004,"采购入库",周转筐出入库明细!$Q$4:$Q$2004,"已付款",周转筐出入库明细!$B$4:$B$2004,"&gt;="&amp;$P$1,周转筐出入库明细!$B$4:$B$2004,"&lt;="&amp;$P$2),2))</f>
        <v/>
      </c>
      <c r="L113" s="26" t="str">
        <f t="shared" si="5"/>
        <v/>
      </c>
    </row>
    <row r="114" spans="1:12">
      <c r="A114" s="22" t="str">
        <f t="shared" si="3"/>
        <v/>
      </c>
      <c r="B114" s="37" t="str">
        <f>IFERROR(INDEX(_自动清单!$CW$4:$CW$203,ROW()-3),"")</f>
        <v/>
      </c>
      <c r="C114" s="25" t="str">
        <f>IF(OR($B114="",基础资料!$B$4=""),"",SUMIFS(周转筐出入库明细!$H$4:$H$2004,周转筐出入库明细!$C$4:$C$2004,$B114,周转筐出入库明细!$D$4:$D$2004,基础资料!$B$4,周转筐出入库明细!$F$4:$F$2004,"采购入库",周转筐出入库明细!$B$4:$B$2004,"&gt;="&amp;$P$1,周转筐出入库明细!$B$4:$B$2004,"&lt;="&amp;$P$2))</f>
        <v/>
      </c>
      <c r="D114" s="25" t="str">
        <f>IF(OR($B114="",基础资料!$B$5=""),"",SUMIFS(周转筐出入库明细!$H$4:$H$2004,周转筐出入库明细!$C$4:$C$2004,$B114,周转筐出入库明细!$D$4:$D$2004,基础资料!$B$5,周转筐出入库明细!$F$4:$F$2004,"采购入库",周转筐出入库明细!$B$4:$B$2004,"&gt;="&amp;$P$1,周转筐出入库明细!$B$4:$B$2004,"&lt;="&amp;$P$2))</f>
        <v/>
      </c>
      <c r="E114" s="25" t="str">
        <f>IF(OR($B114="",基础资料!$B$6=""),"",SUMIFS(周转筐出入库明细!$H$4:$H$2004,周转筐出入库明细!$C$4:$C$2004,$B114,周转筐出入库明细!$D$4:$D$2004,基础资料!$B$6,周转筐出入库明细!$F$4:$F$2004,"采购入库",周转筐出入库明细!$B$4:$B$2004,"&gt;="&amp;$P$1,周转筐出入库明细!$B$4:$B$2004,"&lt;="&amp;$P$2))</f>
        <v/>
      </c>
      <c r="F114" s="25" t="str">
        <f>IF(OR($B114="",基础资料!$B$7=""),"",SUMIFS(周转筐出入库明细!$H$4:$H$2004,周转筐出入库明细!$C$4:$C$2004,$B114,周转筐出入库明细!$D$4:$D$2004,基础资料!$B$7,周转筐出入库明细!$F$4:$F$2004,"采购入库",周转筐出入库明细!$B$4:$B$2004,"&gt;="&amp;$P$1,周转筐出入库明细!$B$4:$B$2004,"&lt;="&amp;$P$2))</f>
        <v/>
      </c>
      <c r="G114" s="25" t="str">
        <f>IF(OR($B114="",基础资料!$B$8=""),"",SUMIFS(周转筐出入库明细!$H$4:$H$2004,周转筐出入库明细!$C$4:$C$2004,$B114,周转筐出入库明细!$D$4:$D$2004,基础资料!$B$8,周转筐出入库明细!$F$4:$F$2004,"采购入库",周转筐出入库明细!$B$4:$B$2004,"&gt;="&amp;$P$1,周转筐出入库明细!$B$4:$B$2004,"&lt;="&amp;$P$2))</f>
        <v/>
      </c>
      <c r="H114" s="25" t="str">
        <f>IF($B114="","",SUMIFS(周转筐出入库明细!$H$4:$H$2004,周转筐出入库明细!$C$4:$C$2004,$B114,周转筐出入库明细!$F$4:$F$2004,"采购入库",周转筐出入库明细!$B$4:$B$2004,"&gt;="&amp;$P$1,周转筐出入库明细!$B$4:$B$2004,"&lt;="&amp;$P$2)-SUM($C114:$G114))</f>
        <v/>
      </c>
      <c r="I114" s="25" t="str">
        <f t="shared" si="4"/>
        <v/>
      </c>
      <c r="J114" s="26" t="str">
        <f>IF($B114="","",ROUND(SUMIFS(周转筐出入库明细!$P$4:$P$2004,周转筐出入库明细!$C$4:$C$2004,$B114,周转筐出入库明细!$F$4:$F$2004,"采购入库",周转筐出入库明细!$B$4:$B$2004,"&gt;="&amp;$P$1,周转筐出入库明细!$B$4:$B$2004,"&lt;="&amp;$P$2),2))</f>
        <v/>
      </c>
      <c r="K114" s="26" t="str">
        <f>IF($B114="","",ROUND(SUMIFS(周转筐出入库明细!$P$4:$P$2004,周转筐出入库明细!$C$4:$C$2004,$B114,周转筐出入库明细!$F$4:$F$2004,"采购入库",周转筐出入库明细!$Q$4:$Q$2004,"已付款",周转筐出入库明细!$B$4:$B$2004,"&gt;="&amp;$P$1,周转筐出入库明细!$B$4:$B$2004,"&lt;="&amp;$P$2),2))</f>
        <v/>
      </c>
      <c r="L114" s="26" t="str">
        <f t="shared" si="5"/>
        <v/>
      </c>
    </row>
    <row r="115" spans="1:12">
      <c r="A115" s="22" t="str">
        <f t="shared" si="3"/>
        <v/>
      </c>
      <c r="B115" s="37" t="str">
        <f>IFERROR(INDEX(_自动清单!$CW$4:$CW$203,ROW()-3),"")</f>
        <v/>
      </c>
      <c r="C115" s="25" t="str">
        <f>IF(OR($B115="",基础资料!$B$4=""),"",SUMIFS(周转筐出入库明细!$H$4:$H$2004,周转筐出入库明细!$C$4:$C$2004,$B115,周转筐出入库明细!$D$4:$D$2004,基础资料!$B$4,周转筐出入库明细!$F$4:$F$2004,"采购入库",周转筐出入库明细!$B$4:$B$2004,"&gt;="&amp;$P$1,周转筐出入库明细!$B$4:$B$2004,"&lt;="&amp;$P$2))</f>
        <v/>
      </c>
      <c r="D115" s="25" t="str">
        <f>IF(OR($B115="",基础资料!$B$5=""),"",SUMIFS(周转筐出入库明细!$H$4:$H$2004,周转筐出入库明细!$C$4:$C$2004,$B115,周转筐出入库明细!$D$4:$D$2004,基础资料!$B$5,周转筐出入库明细!$F$4:$F$2004,"采购入库",周转筐出入库明细!$B$4:$B$2004,"&gt;="&amp;$P$1,周转筐出入库明细!$B$4:$B$2004,"&lt;="&amp;$P$2))</f>
        <v/>
      </c>
      <c r="E115" s="25" t="str">
        <f>IF(OR($B115="",基础资料!$B$6=""),"",SUMIFS(周转筐出入库明细!$H$4:$H$2004,周转筐出入库明细!$C$4:$C$2004,$B115,周转筐出入库明细!$D$4:$D$2004,基础资料!$B$6,周转筐出入库明细!$F$4:$F$2004,"采购入库",周转筐出入库明细!$B$4:$B$2004,"&gt;="&amp;$P$1,周转筐出入库明细!$B$4:$B$2004,"&lt;="&amp;$P$2))</f>
        <v/>
      </c>
      <c r="F115" s="25" t="str">
        <f>IF(OR($B115="",基础资料!$B$7=""),"",SUMIFS(周转筐出入库明细!$H$4:$H$2004,周转筐出入库明细!$C$4:$C$2004,$B115,周转筐出入库明细!$D$4:$D$2004,基础资料!$B$7,周转筐出入库明细!$F$4:$F$2004,"采购入库",周转筐出入库明细!$B$4:$B$2004,"&gt;="&amp;$P$1,周转筐出入库明细!$B$4:$B$2004,"&lt;="&amp;$P$2))</f>
        <v/>
      </c>
      <c r="G115" s="25" t="str">
        <f>IF(OR($B115="",基础资料!$B$8=""),"",SUMIFS(周转筐出入库明细!$H$4:$H$2004,周转筐出入库明细!$C$4:$C$2004,$B115,周转筐出入库明细!$D$4:$D$2004,基础资料!$B$8,周转筐出入库明细!$F$4:$F$2004,"采购入库",周转筐出入库明细!$B$4:$B$2004,"&gt;="&amp;$P$1,周转筐出入库明细!$B$4:$B$2004,"&lt;="&amp;$P$2))</f>
        <v/>
      </c>
      <c r="H115" s="25" t="str">
        <f>IF($B115="","",SUMIFS(周转筐出入库明细!$H$4:$H$2004,周转筐出入库明细!$C$4:$C$2004,$B115,周转筐出入库明细!$F$4:$F$2004,"采购入库",周转筐出入库明细!$B$4:$B$2004,"&gt;="&amp;$P$1,周转筐出入库明细!$B$4:$B$2004,"&lt;="&amp;$P$2)-SUM($C115:$G115))</f>
        <v/>
      </c>
      <c r="I115" s="25" t="str">
        <f t="shared" si="4"/>
        <v/>
      </c>
      <c r="J115" s="26" t="str">
        <f>IF($B115="","",ROUND(SUMIFS(周转筐出入库明细!$P$4:$P$2004,周转筐出入库明细!$C$4:$C$2004,$B115,周转筐出入库明细!$F$4:$F$2004,"采购入库",周转筐出入库明细!$B$4:$B$2004,"&gt;="&amp;$P$1,周转筐出入库明细!$B$4:$B$2004,"&lt;="&amp;$P$2),2))</f>
        <v/>
      </c>
      <c r="K115" s="26" t="str">
        <f>IF($B115="","",ROUND(SUMIFS(周转筐出入库明细!$P$4:$P$2004,周转筐出入库明细!$C$4:$C$2004,$B115,周转筐出入库明细!$F$4:$F$2004,"采购入库",周转筐出入库明细!$Q$4:$Q$2004,"已付款",周转筐出入库明细!$B$4:$B$2004,"&gt;="&amp;$P$1,周转筐出入库明细!$B$4:$B$2004,"&lt;="&amp;$P$2),2))</f>
        <v/>
      </c>
      <c r="L115" s="26" t="str">
        <f t="shared" si="5"/>
        <v/>
      </c>
    </row>
    <row r="116" spans="1:12">
      <c r="A116" s="22" t="str">
        <f t="shared" si="3"/>
        <v/>
      </c>
      <c r="B116" s="37" t="str">
        <f>IFERROR(INDEX(_自动清单!$CW$4:$CW$203,ROW()-3),"")</f>
        <v/>
      </c>
      <c r="C116" s="25" t="str">
        <f>IF(OR($B116="",基础资料!$B$4=""),"",SUMIFS(周转筐出入库明细!$H$4:$H$2004,周转筐出入库明细!$C$4:$C$2004,$B116,周转筐出入库明细!$D$4:$D$2004,基础资料!$B$4,周转筐出入库明细!$F$4:$F$2004,"采购入库",周转筐出入库明细!$B$4:$B$2004,"&gt;="&amp;$P$1,周转筐出入库明细!$B$4:$B$2004,"&lt;="&amp;$P$2))</f>
        <v/>
      </c>
      <c r="D116" s="25" t="str">
        <f>IF(OR($B116="",基础资料!$B$5=""),"",SUMIFS(周转筐出入库明细!$H$4:$H$2004,周转筐出入库明细!$C$4:$C$2004,$B116,周转筐出入库明细!$D$4:$D$2004,基础资料!$B$5,周转筐出入库明细!$F$4:$F$2004,"采购入库",周转筐出入库明细!$B$4:$B$2004,"&gt;="&amp;$P$1,周转筐出入库明细!$B$4:$B$2004,"&lt;="&amp;$P$2))</f>
        <v/>
      </c>
      <c r="E116" s="25" t="str">
        <f>IF(OR($B116="",基础资料!$B$6=""),"",SUMIFS(周转筐出入库明细!$H$4:$H$2004,周转筐出入库明细!$C$4:$C$2004,$B116,周转筐出入库明细!$D$4:$D$2004,基础资料!$B$6,周转筐出入库明细!$F$4:$F$2004,"采购入库",周转筐出入库明细!$B$4:$B$2004,"&gt;="&amp;$P$1,周转筐出入库明细!$B$4:$B$2004,"&lt;="&amp;$P$2))</f>
        <v/>
      </c>
      <c r="F116" s="25" t="str">
        <f>IF(OR($B116="",基础资料!$B$7=""),"",SUMIFS(周转筐出入库明细!$H$4:$H$2004,周转筐出入库明细!$C$4:$C$2004,$B116,周转筐出入库明细!$D$4:$D$2004,基础资料!$B$7,周转筐出入库明细!$F$4:$F$2004,"采购入库",周转筐出入库明细!$B$4:$B$2004,"&gt;="&amp;$P$1,周转筐出入库明细!$B$4:$B$2004,"&lt;="&amp;$P$2))</f>
        <v/>
      </c>
      <c r="G116" s="25" t="str">
        <f>IF(OR($B116="",基础资料!$B$8=""),"",SUMIFS(周转筐出入库明细!$H$4:$H$2004,周转筐出入库明细!$C$4:$C$2004,$B116,周转筐出入库明细!$D$4:$D$2004,基础资料!$B$8,周转筐出入库明细!$F$4:$F$2004,"采购入库",周转筐出入库明细!$B$4:$B$2004,"&gt;="&amp;$P$1,周转筐出入库明细!$B$4:$B$2004,"&lt;="&amp;$P$2))</f>
        <v/>
      </c>
      <c r="H116" s="25" t="str">
        <f>IF($B116="","",SUMIFS(周转筐出入库明细!$H$4:$H$2004,周转筐出入库明细!$C$4:$C$2004,$B116,周转筐出入库明细!$F$4:$F$2004,"采购入库",周转筐出入库明细!$B$4:$B$2004,"&gt;="&amp;$P$1,周转筐出入库明细!$B$4:$B$2004,"&lt;="&amp;$P$2)-SUM($C116:$G116))</f>
        <v/>
      </c>
      <c r="I116" s="25" t="str">
        <f t="shared" si="4"/>
        <v/>
      </c>
      <c r="J116" s="26" t="str">
        <f>IF($B116="","",ROUND(SUMIFS(周转筐出入库明细!$P$4:$P$2004,周转筐出入库明细!$C$4:$C$2004,$B116,周转筐出入库明细!$F$4:$F$2004,"采购入库",周转筐出入库明细!$B$4:$B$2004,"&gt;="&amp;$P$1,周转筐出入库明细!$B$4:$B$2004,"&lt;="&amp;$P$2),2))</f>
        <v/>
      </c>
      <c r="K116" s="26" t="str">
        <f>IF($B116="","",ROUND(SUMIFS(周转筐出入库明细!$P$4:$P$2004,周转筐出入库明细!$C$4:$C$2004,$B116,周转筐出入库明细!$F$4:$F$2004,"采购入库",周转筐出入库明细!$Q$4:$Q$2004,"已付款",周转筐出入库明细!$B$4:$B$2004,"&gt;="&amp;$P$1,周转筐出入库明细!$B$4:$B$2004,"&lt;="&amp;$P$2),2))</f>
        <v/>
      </c>
      <c r="L116" s="26" t="str">
        <f t="shared" si="5"/>
        <v/>
      </c>
    </row>
    <row r="117" spans="1:12">
      <c r="A117" s="22" t="str">
        <f t="shared" si="3"/>
        <v/>
      </c>
      <c r="B117" s="37" t="str">
        <f>IFERROR(INDEX(_自动清单!$CW$4:$CW$203,ROW()-3),"")</f>
        <v/>
      </c>
      <c r="C117" s="25" t="str">
        <f>IF(OR($B117="",基础资料!$B$4=""),"",SUMIFS(周转筐出入库明细!$H$4:$H$2004,周转筐出入库明细!$C$4:$C$2004,$B117,周转筐出入库明细!$D$4:$D$2004,基础资料!$B$4,周转筐出入库明细!$F$4:$F$2004,"采购入库",周转筐出入库明细!$B$4:$B$2004,"&gt;="&amp;$P$1,周转筐出入库明细!$B$4:$B$2004,"&lt;="&amp;$P$2))</f>
        <v/>
      </c>
      <c r="D117" s="25" t="str">
        <f>IF(OR($B117="",基础资料!$B$5=""),"",SUMIFS(周转筐出入库明细!$H$4:$H$2004,周转筐出入库明细!$C$4:$C$2004,$B117,周转筐出入库明细!$D$4:$D$2004,基础资料!$B$5,周转筐出入库明细!$F$4:$F$2004,"采购入库",周转筐出入库明细!$B$4:$B$2004,"&gt;="&amp;$P$1,周转筐出入库明细!$B$4:$B$2004,"&lt;="&amp;$P$2))</f>
        <v/>
      </c>
      <c r="E117" s="25" t="str">
        <f>IF(OR($B117="",基础资料!$B$6=""),"",SUMIFS(周转筐出入库明细!$H$4:$H$2004,周转筐出入库明细!$C$4:$C$2004,$B117,周转筐出入库明细!$D$4:$D$2004,基础资料!$B$6,周转筐出入库明细!$F$4:$F$2004,"采购入库",周转筐出入库明细!$B$4:$B$2004,"&gt;="&amp;$P$1,周转筐出入库明细!$B$4:$B$2004,"&lt;="&amp;$P$2))</f>
        <v/>
      </c>
      <c r="F117" s="25" t="str">
        <f>IF(OR($B117="",基础资料!$B$7=""),"",SUMIFS(周转筐出入库明细!$H$4:$H$2004,周转筐出入库明细!$C$4:$C$2004,$B117,周转筐出入库明细!$D$4:$D$2004,基础资料!$B$7,周转筐出入库明细!$F$4:$F$2004,"采购入库",周转筐出入库明细!$B$4:$B$2004,"&gt;="&amp;$P$1,周转筐出入库明细!$B$4:$B$2004,"&lt;="&amp;$P$2))</f>
        <v/>
      </c>
      <c r="G117" s="25" t="str">
        <f>IF(OR($B117="",基础资料!$B$8=""),"",SUMIFS(周转筐出入库明细!$H$4:$H$2004,周转筐出入库明细!$C$4:$C$2004,$B117,周转筐出入库明细!$D$4:$D$2004,基础资料!$B$8,周转筐出入库明细!$F$4:$F$2004,"采购入库",周转筐出入库明细!$B$4:$B$2004,"&gt;="&amp;$P$1,周转筐出入库明细!$B$4:$B$2004,"&lt;="&amp;$P$2))</f>
        <v/>
      </c>
      <c r="H117" s="25" t="str">
        <f>IF($B117="","",SUMIFS(周转筐出入库明细!$H$4:$H$2004,周转筐出入库明细!$C$4:$C$2004,$B117,周转筐出入库明细!$F$4:$F$2004,"采购入库",周转筐出入库明细!$B$4:$B$2004,"&gt;="&amp;$P$1,周转筐出入库明细!$B$4:$B$2004,"&lt;="&amp;$P$2)-SUM($C117:$G117))</f>
        <v/>
      </c>
      <c r="I117" s="25" t="str">
        <f t="shared" si="4"/>
        <v/>
      </c>
      <c r="J117" s="26" t="str">
        <f>IF($B117="","",ROUND(SUMIFS(周转筐出入库明细!$P$4:$P$2004,周转筐出入库明细!$C$4:$C$2004,$B117,周转筐出入库明细!$F$4:$F$2004,"采购入库",周转筐出入库明细!$B$4:$B$2004,"&gt;="&amp;$P$1,周转筐出入库明细!$B$4:$B$2004,"&lt;="&amp;$P$2),2))</f>
        <v/>
      </c>
      <c r="K117" s="26" t="str">
        <f>IF($B117="","",ROUND(SUMIFS(周转筐出入库明细!$P$4:$P$2004,周转筐出入库明细!$C$4:$C$2004,$B117,周转筐出入库明细!$F$4:$F$2004,"采购入库",周转筐出入库明细!$Q$4:$Q$2004,"已付款",周转筐出入库明细!$B$4:$B$2004,"&gt;="&amp;$P$1,周转筐出入库明细!$B$4:$B$2004,"&lt;="&amp;$P$2),2))</f>
        <v/>
      </c>
      <c r="L117" s="26" t="str">
        <f t="shared" si="5"/>
        <v/>
      </c>
    </row>
    <row r="118" spans="1:12">
      <c r="A118" s="22" t="str">
        <f t="shared" si="3"/>
        <v/>
      </c>
      <c r="B118" s="37" t="str">
        <f>IFERROR(INDEX(_自动清单!$CW$4:$CW$203,ROW()-3),"")</f>
        <v/>
      </c>
      <c r="C118" s="25" t="str">
        <f>IF(OR($B118="",基础资料!$B$4=""),"",SUMIFS(周转筐出入库明细!$H$4:$H$2004,周转筐出入库明细!$C$4:$C$2004,$B118,周转筐出入库明细!$D$4:$D$2004,基础资料!$B$4,周转筐出入库明细!$F$4:$F$2004,"采购入库",周转筐出入库明细!$B$4:$B$2004,"&gt;="&amp;$P$1,周转筐出入库明细!$B$4:$B$2004,"&lt;="&amp;$P$2))</f>
        <v/>
      </c>
      <c r="D118" s="25" t="str">
        <f>IF(OR($B118="",基础资料!$B$5=""),"",SUMIFS(周转筐出入库明细!$H$4:$H$2004,周转筐出入库明细!$C$4:$C$2004,$B118,周转筐出入库明细!$D$4:$D$2004,基础资料!$B$5,周转筐出入库明细!$F$4:$F$2004,"采购入库",周转筐出入库明细!$B$4:$B$2004,"&gt;="&amp;$P$1,周转筐出入库明细!$B$4:$B$2004,"&lt;="&amp;$P$2))</f>
        <v/>
      </c>
      <c r="E118" s="25" t="str">
        <f>IF(OR($B118="",基础资料!$B$6=""),"",SUMIFS(周转筐出入库明细!$H$4:$H$2004,周转筐出入库明细!$C$4:$C$2004,$B118,周转筐出入库明细!$D$4:$D$2004,基础资料!$B$6,周转筐出入库明细!$F$4:$F$2004,"采购入库",周转筐出入库明细!$B$4:$B$2004,"&gt;="&amp;$P$1,周转筐出入库明细!$B$4:$B$2004,"&lt;="&amp;$P$2))</f>
        <v/>
      </c>
      <c r="F118" s="25" t="str">
        <f>IF(OR($B118="",基础资料!$B$7=""),"",SUMIFS(周转筐出入库明细!$H$4:$H$2004,周转筐出入库明细!$C$4:$C$2004,$B118,周转筐出入库明细!$D$4:$D$2004,基础资料!$B$7,周转筐出入库明细!$F$4:$F$2004,"采购入库",周转筐出入库明细!$B$4:$B$2004,"&gt;="&amp;$P$1,周转筐出入库明细!$B$4:$B$2004,"&lt;="&amp;$P$2))</f>
        <v/>
      </c>
      <c r="G118" s="25" t="str">
        <f>IF(OR($B118="",基础资料!$B$8=""),"",SUMIFS(周转筐出入库明细!$H$4:$H$2004,周转筐出入库明细!$C$4:$C$2004,$B118,周转筐出入库明细!$D$4:$D$2004,基础资料!$B$8,周转筐出入库明细!$F$4:$F$2004,"采购入库",周转筐出入库明细!$B$4:$B$2004,"&gt;="&amp;$P$1,周转筐出入库明细!$B$4:$B$2004,"&lt;="&amp;$P$2))</f>
        <v/>
      </c>
      <c r="H118" s="25" t="str">
        <f>IF($B118="","",SUMIFS(周转筐出入库明细!$H$4:$H$2004,周转筐出入库明细!$C$4:$C$2004,$B118,周转筐出入库明细!$F$4:$F$2004,"采购入库",周转筐出入库明细!$B$4:$B$2004,"&gt;="&amp;$P$1,周转筐出入库明细!$B$4:$B$2004,"&lt;="&amp;$P$2)-SUM($C118:$G118))</f>
        <v/>
      </c>
      <c r="I118" s="25" t="str">
        <f t="shared" si="4"/>
        <v/>
      </c>
      <c r="J118" s="26" t="str">
        <f>IF($B118="","",ROUND(SUMIFS(周转筐出入库明细!$P$4:$P$2004,周转筐出入库明细!$C$4:$C$2004,$B118,周转筐出入库明细!$F$4:$F$2004,"采购入库",周转筐出入库明细!$B$4:$B$2004,"&gt;="&amp;$P$1,周转筐出入库明细!$B$4:$B$2004,"&lt;="&amp;$P$2),2))</f>
        <v/>
      </c>
      <c r="K118" s="26" t="str">
        <f>IF($B118="","",ROUND(SUMIFS(周转筐出入库明细!$P$4:$P$2004,周转筐出入库明细!$C$4:$C$2004,$B118,周转筐出入库明细!$F$4:$F$2004,"采购入库",周转筐出入库明细!$Q$4:$Q$2004,"已付款",周转筐出入库明细!$B$4:$B$2004,"&gt;="&amp;$P$1,周转筐出入库明细!$B$4:$B$2004,"&lt;="&amp;$P$2),2))</f>
        <v/>
      </c>
      <c r="L118" s="26" t="str">
        <f t="shared" si="5"/>
        <v/>
      </c>
    </row>
    <row r="119" spans="1:12">
      <c r="A119" s="22" t="str">
        <f t="shared" si="3"/>
        <v/>
      </c>
      <c r="B119" s="37" t="str">
        <f>IFERROR(INDEX(_自动清单!$CW$4:$CW$203,ROW()-3),"")</f>
        <v/>
      </c>
      <c r="C119" s="25" t="str">
        <f>IF(OR($B119="",基础资料!$B$4=""),"",SUMIFS(周转筐出入库明细!$H$4:$H$2004,周转筐出入库明细!$C$4:$C$2004,$B119,周转筐出入库明细!$D$4:$D$2004,基础资料!$B$4,周转筐出入库明细!$F$4:$F$2004,"采购入库",周转筐出入库明细!$B$4:$B$2004,"&gt;="&amp;$P$1,周转筐出入库明细!$B$4:$B$2004,"&lt;="&amp;$P$2))</f>
        <v/>
      </c>
      <c r="D119" s="25" t="str">
        <f>IF(OR($B119="",基础资料!$B$5=""),"",SUMIFS(周转筐出入库明细!$H$4:$H$2004,周转筐出入库明细!$C$4:$C$2004,$B119,周转筐出入库明细!$D$4:$D$2004,基础资料!$B$5,周转筐出入库明细!$F$4:$F$2004,"采购入库",周转筐出入库明细!$B$4:$B$2004,"&gt;="&amp;$P$1,周转筐出入库明细!$B$4:$B$2004,"&lt;="&amp;$P$2))</f>
        <v/>
      </c>
      <c r="E119" s="25" t="str">
        <f>IF(OR($B119="",基础资料!$B$6=""),"",SUMIFS(周转筐出入库明细!$H$4:$H$2004,周转筐出入库明细!$C$4:$C$2004,$B119,周转筐出入库明细!$D$4:$D$2004,基础资料!$B$6,周转筐出入库明细!$F$4:$F$2004,"采购入库",周转筐出入库明细!$B$4:$B$2004,"&gt;="&amp;$P$1,周转筐出入库明细!$B$4:$B$2004,"&lt;="&amp;$P$2))</f>
        <v/>
      </c>
      <c r="F119" s="25" t="str">
        <f>IF(OR($B119="",基础资料!$B$7=""),"",SUMIFS(周转筐出入库明细!$H$4:$H$2004,周转筐出入库明细!$C$4:$C$2004,$B119,周转筐出入库明细!$D$4:$D$2004,基础资料!$B$7,周转筐出入库明细!$F$4:$F$2004,"采购入库",周转筐出入库明细!$B$4:$B$2004,"&gt;="&amp;$P$1,周转筐出入库明细!$B$4:$B$2004,"&lt;="&amp;$P$2))</f>
        <v/>
      </c>
      <c r="G119" s="25" t="str">
        <f>IF(OR($B119="",基础资料!$B$8=""),"",SUMIFS(周转筐出入库明细!$H$4:$H$2004,周转筐出入库明细!$C$4:$C$2004,$B119,周转筐出入库明细!$D$4:$D$2004,基础资料!$B$8,周转筐出入库明细!$F$4:$F$2004,"采购入库",周转筐出入库明细!$B$4:$B$2004,"&gt;="&amp;$P$1,周转筐出入库明细!$B$4:$B$2004,"&lt;="&amp;$P$2))</f>
        <v/>
      </c>
      <c r="H119" s="25" t="str">
        <f>IF($B119="","",SUMIFS(周转筐出入库明细!$H$4:$H$2004,周转筐出入库明细!$C$4:$C$2004,$B119,周转筐出入库明细!$F$4:$F$2004,"采购入库",周转筐出入库明细!$B$4:$B$2004,"&gt;="&amp;$P$1,周转筐出入库明细!$B$4:$B$2004,"&lt;="&amp;$P$2)-SUM($C119:$G119))</f>
        <v/>
      </c>
      <c r="I119" s="25" t="str">
        <f t="shared" si="4"/>
        <v/>
      </c>
      <c r="J119" s="26" t="str">
        <f>IF($B119="","",ROUND(SUMIFS(周转筐出入库明细!$P$4:$P$2004,周转筐出入库明细!$C$4:$C$2004,$B119,周转筐出入库明细!$F$4:$F$2004,"采购入库",周转筐出入库明细!$B$4:$B$2004,"&gt;="&amp;$P$1,周转筐出入库明细!$B$4:$B$2004,"&lt;="&amp;$P$2),2))</f>
        <v/>
      </c>
      <c r="K119" s="26" t="str">
        <f>IF($B119="","",ROUND(SUMIFS(周转筐出入库明细!$P$4:$P$2004,周转筐出入库明细!$C$4:$C$2004,$B119,周转筐出入库明细!$F$4:$F$2004,"采购入库",周转筐出入库明细!$Q$4:$Q$2004,"已付款",周转筐出入库明细!$B$4:$B$2004,"&gt;="&amp;$P$1,周转筐出入库明细!$B$4:$B$2004,"&lt;="&amp;$P$2),2))</f>
        <v/>
      </c>
      <c r="L119" s="26" t="str">
        <f t="shared" si="5"/>
        <v/>
      </c>
    </row>
    <row r="120" spans="1:12">
      <c r="A120" s="22" t="str">
        <f t="shared" si="3"/>
        <v/>
      </c>
      <c r="B120" s="37" t="str">
        <f>IFERROR(INDEX(_自动清单!$CW$4:$CW$203,ROW()-3),"")</f>
        <v/>
      </c>
      <c r="C120" s="25" t="str">
        <f>IF(OR($B120="",基础资料!$B$4=""),"",SUMIFS(周转筐出入库明细!$H$4:$H$2004,周转筐出入库明细!$C$4:$C$2004,$B120,周转筐出入库明细!$D$4:$D$2004,基础资料!$B$4,周转筐出入库明细!$F$4:$F$2004,"采购入库",周转筐出入库明细!$B$4:$B$2004,"&gt;="&amp;$P$1,周转筐出入库明细!$B$4:$B$2004,"&lt;="&amp;$P$2))</f>
        <v/>
      </c>
      <c r="D120" s="25" t="str">
        <f>IF(OR($B120="",基础资料!$B$5=""),"",SUMIFS(周转筐出入库明细!$H$4:$H$2004,周转筐出入库明细!$C$4:$C$2004,$B120,周转筐出入库明细!$D$4:$D$2004,基础资料!$B$5,周转筐出入库明细!$F$4:$F$2004,"采购入库",周转筐出入库明细!$B$4:$B$2004,"&gt;="&amp;$P$1,周转筐出入库明细!$B$4:$B$2004,"&lt;="&amp;$P$2))</f>
        <v/>
      </c>
      <c r="E120" s="25" t="str">
        <f>IF(OR($B120="",基础资料!$B$6=""),"",SUMIFS(周转筐出入库明细!$H$4:$H$2004,周转筐出入库明细!$C$4:$C$2004,$B120,周转筐出入库明细!$D$4:$D$2004,基础资料!$B$6,周转筐出入库明细!$F$4:$F$2004,"采购入库",周转筐出入库明细!$B$4:$B$2004,"&gt;="&amp;$P$1,周转筐出入库明细!$B$4:$B$2004,"&lt;="&amp;$P$2))</f>
        <v/>
      </c>
      <c r="F120" s="25" t="str">
        <f>IF(OR($B120="",基础资料!$B$7=""),"",SUMIFS(周转筐出入库明细!$H$4:$H$2004,周转筐出入库明细!$C$4:$C$2004,$B120,周转筐出入库明细!$D$4:$D$2004,基础资料!$B$7,周转筐出入库明细!$F$4:$F$2004,"采购入库",周转筐出入库明细!$B$4:$B$2004,"&gt;="&amp;$P$1,周转筐出入库明细!$B$4:$B$2004,"&lt;="&amp;$P$2))</f>
        <v/>
      </c>
      <c r="G120" s="25" t="str">
        <f>IF(OR($B120="",基础资料!$B$8=""),"",SUMIFS(周转筐出入库明细!$H$4:$H$2004,周转筐出入库明细!$C$4:$C$2004,$B120,周转筐出入库明细!$D$4:$D$2004,基础资料!$B$8,周转筐出入库明细!$F$4:$F$2004,"采购入库",周转筐出入库明细!$B$4:$B$2004,"&gt;="&amp;$P$1,周转筐出入库明细!$B$4:$B$2004,"&lt;="&amp;$P$2))</f>
        <v/>
      </c>
      <c r="H120" s="25" t="str">
        <f>IF($B120="","",SUMIFS(周转筐出入库明细!$H$4:$H$2004,周转筐出入库明细!$C$4:$C$2004,$B120,周转筐出入库明细!$F$4:$F$2004,"采购入库",周转筐出入库明细!$B$4:$B$2004,"&gt;="&amp;$P$1,周转筐出入库明细!$B$4:$B$2004,"&lt;="&amp;$P$2)-SUM($C120:$G120))</f>
        <v/>
      </c>
      <c r="I120" s="25" t="str">
        <f t="shared" si="4"/>
        <v/>
      </c>
      <c r="J120" s="26" t="str">
        <f>IF($B120="","",ROUND(SUMIFS(周转筐出入库明细!$P$4:$P$2004,周转筐出入库明细!$C$4:$C$2004,$B120,周转筐出入库明细!$F$4:$F$2004,"采购入库",周转筐出入库明细!$B$4:$B$2004,"&gt;="&amp;$P$1,周转筐出入库明细!$B$4:$B$2004,"&lt;="&amp;$P$2),2))</f>
        <v/>
      </c>
      <c r="K120" s="26" t="str">
        <f>IF($B120="","",ROUND(SUMIFS(周转筐出入库明细!$P$4:$P$2004,周转筐出入库明细!$C$4:$C$2004,$B120,周转筐出入库明细!$F$4:$F$2004,"采购入库",周转筐出入库明细!$Q$4:$Q$2004,"已付款",周转筐出入库明细!$B$4:$B$2004,"&gt;="&amp;$P$1,周转筐出入库明细!$B$4:$B$2004,"&lt;="&amp;$P$2),2))</f>
        <v/>
      </c>
      <c r="L120" s="26" t="str">
        <f t="shared" si="5"/>
        <v/>
      </c>
    </row>
    <row r="121" spans="1:12">
      <c r="A121" s="22" t="str">
        <f t="shared" si="3"/>
        <v/>
      </c>
      <c r="B121" s="37" t="str">
        <f>IFERROR(INDEX(_自动清单!$CW$4:$CW$203,ROW()-3),"")</f>
        <v/>
      </c>
      <c r="C121" s="25" t="str">
        <f>IF(OR($B121="",基础资料!$B$4=""),"",SUMIFS(周转筐出入库明细!$H$4:$H$2004,周转筐出入库明细!$C$4:$C$2004,$B121,周转筐出入库明细!$D$4:$D$2004,基础资料!$B$4,周转筐出入库明细!$F$4:$F$2004,"采购入库",周转筐出入库明细!$B$4:$B$2004,"&gt;="&amp;$P$1,周转筐出入库明细!$B$4:$B$2004,"&lt;="&amp;$P$2))</f>
        <v/>
      </c>
      <c r="D121" s="25" t="str">
        <f>IF(OR($B121="",基础资料!$B$5=""),"",SUMIFS(周转筐出入库明细!$H$4:$H$2004,周转筐出入库明细!$C$4:$C$2004,$B121,周转筐出入库明细!$D$4:$D$2004,基础资料!$B$5,周转筐出入库明细!$F$4:$F$2004,"采购入库",周转筐出入库明细!$B$4:$B$2004,"&gt;="&amp;$P$1,周转筐出入库明细!$B$4:$B$2004,"&lt;="&amp;$P$2))</f>
        <v/>
      </c>
      <c r="E121" s="25" t="str">
        <f>IF(OR($B121="",基础资料!$B$6=""),"",SUMIFS(周转筐出入库明细!$H$4:$H$2004,周转筐出入库明细!$C$4:$C$2004,$B121,周转筐出入库明细!$D$4:$D$2004,基础资料!$B$6,周转筐出入库明细!$F$4:$F$2004,"采购入库",周转筐出入库明细!$B$4:$B$2004,"&gt;="&amp;$P$1,周转筐出入库明细!$B$4:$B$2004,"&lt;="&amp;$P$2))</f>
        <v/>
      </c>
      <c r="F121" s="25" t="str">
        <f>IF(OR($B121="",基础资料!$B$7=""),"",SUMIFS(周转筐出入库明细!$H$4:$H$2004,周转筐出入库明细!$C$4:$C$2004,$B121,周转筐出入库明细!$D$4:$D$2004,基础资料!$B$7,周转筐出入库明细!$F$4:$F$2004,"采购入库",周转筐出入库明细!$B$4:$B$2004,"&gt;="&amp;$P$1,周转筐出入库明细!$B$4:$B$2004,"&lt;="&amp;$P$2))</f>
        <v/>
      </c>
      <c r="G121" s="25" t="str">
        <f>IF(OR($B121="",基础资料!$B$8=""),"",SUMIFS(周转筐出入库明细!$H$4:$H$2004,周转筐出入库明细!$C$4:$C$2004,$B121,周转筐出入库明细!$D$4:$D$2004,基础资料!$B$8,周转筐出入库明细!$F$4:$F$2004,"采购入库",周转筐出入库明细!$B$4:$B$2004,"&gt;="&amp;$P$1,周转筐出入库明细!$B$4:$B$2004,"&lt;="&amp;$P$2))</f>
        <v/>
      </c>
      <c r="H121" s="25" t="str">
        <f>IF($B121="","",SUMIFS(周转筐出入库明细!$H$4:$H$2004,周转筐出入库明细!$C$4:$C$2004,$B121,周转筐出入库明细!$F$4:$F$2004,"采购入库",周转筐出入库明细!$B$4:$B$2004,"&gt;="&amp;$P$1,周转筐出入库明细!$B$4:$B$2004,"&lt;="&amp;$P$2)-SUM($C121:$G121))</f>
        <v/>
      </c>
      <c r="I121" s="25" t="str">
        <f t="shared" si="4"/>
        <v/>
      </c>
      <c r="J121" s="26" t="str">
        <f>IF($B121="","",ROUND(SUMIFS(周转筐出入库明细!$P$4:$P$2004,周转筐出入库明细!$C$4:$C$2004,$B121,周转筐出入库明细!$F$4:$F$2004,"采购入库",周转筐出入库明细!$B$4:$B$2004,"&gt;="&amp;$P$1,周转筐出入库明细!$B$4:$B$2004,"&lt;="&amp;$P$2),2))</f>
        <v/>
      </c>
      <c r="K121" s="26" t="str">
        <f>IF($B121="","",ROUND(SUMIFS(周转筐出入库明细!$P$4:$P$2004,周转筐出入库明细!$C$4:$C$2004,$B121,周转筐出入库明细!$F$4:$F$2004,"采购入库",周转筐出入库明细!$Q$4:$Q$2004,"已付款",周转筐出入库明细!$B$4:$B$2004,"&gt;="&amp;$P$1,周转筐出入库明细!$B$4:$B$2004,"&lt;="&amp;$P$2),2))</f>
        <v/>
      </c>
      <c r="L121" s="26" t="str">
        <f t="shared" si="5"/>
        <v/>
      </c>
    </row>
    <row r="122" spans="1:12">
      <c r="A122" s="22" t="str">
        <f t="shared" si="3"/>
        <v/>
      </c>
      <c r="B122" s="37" t="str">
        <f>IFERROR(INDEX(_自动清单!$CW$4:$CW$203,ROW()-3),"")</f>
        <v/>
      </c>
      <c r="C122" s="25" t="str">
        <f>IF(OR($B122="",基础资料!$B$4=""),"",SUMIFS(周转筐出入库明细!$H$4:$H$2004,周转筐出入库明细!$C$4:$C$2004,$B122,周转筐出入库明细!$D$4:$D$2004,基础资料!$B$4,周转筐出入库明细!$F$4:$F$2004,"采购入库",周转筐出入库明细!$B$4:$B$2004,"&gt;="&amp;$P$1,周转筐出入库明细!$B$4:$B$2004,"&lt;="&amp;$P$2))</f>
        <v/>
      </c>
      <c r="D122" s="25" t="str">
        <f>IF(OR($B122="",基础资料!$B$5=""),"",SUMIFS(周转筐出入库明细!$H$4:$H$2004,周转筐出入库明细!$C$4:$C$2004,$B122,周转筐出入库明细!$D$4:$D$2004,基础资料!$B$5,周转筐出入库明细!$F$4:$F$2004,"采购入库",周转筐出入库明细!$B$4:$B$2004,"&gt;="&amp;$P$1,周转筐出入库明细!$B$4:$B$2004,"&lt;="&amp;$P$2))</f>
        <v/>
      </c>
      <c r="E122" s="25" t="str">
        <f>IF(OR($B122="",基础资料!$B$6=""),"",SUMIFS(周转筐出入库明细!$H$4:$H$2004,周转筐出入库明细!$C$4:$C$2004,$B122,周转筐出入库明细!$D$4:$D$2004,基础资料!$B$6,周转筐出入库明细!$F$4:$F$2004,"采购入库",周转筐出入库明细!$B$4:$B$2004,"&gt;="&amp;$P$1,周转筐出入库明细!$B$4:$B$2004,"&lt;="&amp;$P$2))</f>
        <v/>
      </c>
      <c r="F122" s="25" t="str">
        <f>IF(OR($B122="",基础资料!$B$7=""),"",SUMIFS(周转筐出入库明细!$H$4:$H$2004,周转筐出入库明细!$C$4:$C$2004,$B122,周转筐出入库明细!$D$4:$D$2004,基础资料!$B$7,周转筐出入库明细!$F$4:$F$2004,"采购入库",周转筐出入库明细!$B$4:$B$2004,"&gt;="&amp;$P$1,周转筐出入库明细!$B$4:$B$2004,"&lt;="&amp;$P$2))</f>
        <v/>
      </c>
      <c r="G122" s="25" t="str">
        <f>IF(OR($B122="",基础资料!$B$8=""),"",SUMIFS(周转筐出入库明细!$H$4:$H$2004,周转筐出入库明细!$C$4:$C$2004,$B122,周转筐出入库明细!$D$4:$D$2004,基础资料!$B$8,周转筐出入库明细!$F$4:$F$2004,"采购入库",周转筐出入库明细!$B$4:$B$2004,"&gt;="&amp;$P$1,周转筐出入库明细!$B$4:$B$2004,"&lt;="&amp;$P$2))</f>
        <v/>
      </c>
      <c r="H122" s="25" t="str">
        <f>IF($B122="","",SUMIFS(周转筐出入库明细!$H$4:$H$2004,周转筐出入库明细!$C$4:$C$2004,$B122,周转筐出入库明细!$F$4:$F$2004,"采购入库",周转筐出入库明细!$B$4:$B$2004,"&gt;="&amp;$P$1,周转筐出入库明细!$B$4:$B$2004,"&lt;="&amp;$P$2)-SUM($C122:$G122))</f>
        <v/>
      </c>
      <c r="I122" s="25" t="str">
        <f t="shared" si="4"/>
        <v/>
      </c>
      <c r="J122" s="26" t="str">
        <f>IF($B122="","",ROUND(SUMIFS(周转筐出入库明细!$P$4:$P$2004,周转筐出入库明细!$C$4:$C$2004,$B122,周转筐出入库明细!$F$4:$F$2004,"采购入库",周转筐出入库明细!$B$4:$B$2004,"&gt;="&amp;$P$1,周转筐出入库明细!$B$4:$B$2004,"&lt;="&amp;$P$2),2))</f>
        <v/>
      </c>
      <c r="K122" s="26" t="str">
        <f>IF($B122="","",ROUND(SUMIFS(周转筐出入库明细!$P$4:$P$2004,周转筐出入库明细!$C$4:$C$2004,$B122,周转筐出入库明细!$F$4:$F$2004,"采购入库",周转筐出入库明细!$Q$4:$Q$2004,"已付款",周转筐出入库明细!$B$4:$B$2004,"&gt;="&amp;$P$1,周转筐出入库明细!$B$4:$B$2004,"&lt;="&amp;$P$2),2))</f>
        <v/>
      </c>
      <c r="L122" s="26" t="str">
        <f t="shared" si="5"/>
        <v/>
      </c>
    </row>
    <row r="123" spans="1:12">
      <c r="A123" s="22" t="str">
        <f t="shared" si="3"/>
        <v/>
      </c>
      <c r="B123" s="37" t="str">
        <f>IFERROR(INDEX(_自动清单!$CW$4:$CW$203,ROW()-3),"")</f>
        <v/>
      </c>
      <c r="C123" s="25" t="str">
        <f>IF(OR($B123="",基础资料!$B$4=""),"",SUMIFS(周转筐出入库明细!$H$4:$H$2004,周转筐出入库明细!$C$4:$C$2004,$B123,周转筐出入库明细!$D$4:$D$2004,基础资料!$B$4,周转筐出入库明细!$F$4:$F$2004,"采购入库",周转筐出入库明细!$B$4:$B$2004,"&gt;="&amp;$P$1,周转筐出入库明细!$B$4:$B$2004,"&lt;="&amp;$P$2))</f>
        <v/>
      </c>
      <c r="D123" s="25" t="str">
        <f>IF(OR($B123="",基础资料!$B$5=""),"",SUMIFS(周转筐出入库明细!$H$4:$H$2004,周转筐出入库明细!$C$4:$C$2004,$B123,周转筐出入库明细!$D$4:$D$2004,基础资料!$B$5,周转筐出入库明细!$F$4:$F$2004,"采购入库",周转筐出入库明细!$B$4:$B$2004,"&gt;="&amp;$P$1,周转筐出入库明细!$B$4:$B$2004,"&lt;="&amp;$P$2))</f>
        <v/>
      </c>
      <c r="E123" s="25" t="str">
        <f>IF(OR($B123="",基础资料!$B$6=""),"",SUMIFS(周转筐出入库明细!$H$4:$H$2004,周转筐出入库明细!$C$4:$C$2004,$B123,周转筐出入库明细!$D$4:$D$2004,基础资料!$B$6,周转筐出入库明细!$F$4:$F$2004,"采购入库",周转筐出入库明细!$B$4:$B$2004,"&gt;="&amp;$P$1,周转筐出入库明细!$B$4:$B$2004,"&lt;="&amp;$P$2))</f>
        <v/>
      </c>
      <c r="F123" s="25" t="str">
        <f>IF(OR($B123="",基础资料!$B$7=""),"",SUMIFS(周转筐出入库明细!$H$4:$H$2004,周转筐出入库明细!$C$4:$C$2004,$B123,周转筐出入库明细!$D$4:$D$2004,基础资料!$B$7,周转筐出入库明细!$F$4:$F$2004,"采购入库",周转筐出入库明细!$B$4:$B$2004,"&gt;="&amp;$P$1,周转筐出入库明细!$B$4:$B$2004,"&lt;="&amp;$P$2))</f>
        <v/>
      </c>
      <c r="G123" s="25" t="str">
        <f>IF(OR($B123="",基础资料!$B$8=""),"",SUMIFS(周转筐出入库明细!$H$4:$H$2004,周转筐出入库明细!$C$4:$C$2004,$B123,周转筐出入库明细!$D$4:$D$2004,基础资料!$B$8,周转筐出入库明细!$F$4:$F$2004,"采购入库",周转筐出入库明细!$B$4:$B$2004,"&gt;="&amp;$P$1,周转筐出入库明细!$B$4:$B$2004,"&lt;="&amp;$P$2))</f>
        <v/>
      </c>
      <c r="H123" s="25" t="str">
        <f>IF($B123="","",SUMIFS(周转筐出入库明细!$H$4:$H$2004,周转筐出入库明细!$C$4:$C$2004,$B123,周转筐出入库明细!$F$4:$F$2004,"采购入库",周转筐出入库明细!$B$4:$B$2004,"&gt;="&amp;$P$1,周转筐出入库明细!$B$4:$B$2004,"&lt;="&amp;$P$2)-SUM($C123:$G123))</f>
        <v/>
      </c>
      <c r="I123" s="25" t="str">
        <f t="shared" si="4"/>
        <v/>
      </c>
      <c r="J123" s="26" t="str">
        <f>IF($B123="","",ROUND(SUMIFS(周转筐出入库明细!$P$4:$P$2004,周转筐出入库明细!$C$4:$C$2004,$B123,周转筐出入库明细!$F$4:$F$2004,"采购入库",周转筐出入库明细!$B$4:$B$2004,"&gt;="&amp;$P$1,周转筐出入库明细!$B$4:$B$2004,"&lt;="&amp;$P$2),2))</f>
        <v/>
      </c>
      <c r="K123" s="26" t="str">
        <f>IF($B123="","",ROUND(SUMIFS(周转筐出入库明细!$P$4:$P$2004,周转筐出入库明细!$C$4:$C$2004,$B123,周转筐出入库明细!$F$4:$F$2004,"采购入库",周转筐出入库明细!$Q$4:$Q$2004,"已付款",周转筐出入库明细!$B$4:$B$2004,"&gt;="&amp;$P$1,周转筐出入库明细!$B$4:$B$2004,"&lt;="&amp;$P$2),2))</f>
        <v/>
      </c>
      <c r="L123" s="26" t="str">
        <f t="shared" si="5"/>
        <v/>
      </c>
    </row>
    <row r="124" spans="1:12">
      <c r="A124" s="22" t="str">
        <f t="shared" si="3"/>
        <v/>
      </c>
      <c r="B124" s="37" t="str">
        <f>IFERROR(INDEX(_自动清单!$CW$4:$CW$203,ROW()-3),"")</f>
        <v/>
      </c>
      <c r="C124" s="25" t="str">
        <f>IF(OR($B124="",基础资料!$B$4=""),"",SUMIFS(周转筐出入库明细!$H$4:$H$2004,周转筐出入库明细!$C$4:$C$2004,$B124,周转筐出入库明细!$D$4:$D$2004,基础资料!$B$4,周转筐出入库明细!$F$4:$F$2004,"采购入库",周转筐出入库明细!$B$4:$B$2004,"&gt;="&amp;$P$1,周转筐出入库明细!$B$4:$B$2004,"&lt;="&amp;$P$2))</f>
        <v/>
      </c>
      <c r="D124" s="25" t="str">
        <f>IF(OR($B124="",基础资料!$B$5=""),"",SUMIFS(周转筐出入库明细!$H$4:$H$2004,周转筐出入库明细!$C$4:$C$2004,$B124,周转筐出入库明细!$D$4:$D$2004,基础资料!$B$5,周转筐出入库明细!$F$4:$F$2004,"采购入库",周转筐出入库明细!$B$4:$B$2004,"&gt;="&amp;$P$1,周转筐出入库明细!$B$4:$B$2004,"&lt;="&amp;$P$2))</f>
        <v/>
      </c>
      <c r="E124" s="25" t="str">
        <f>IF(OR($B124="",基础资料!$B$6=""),"",SUMIFS(周转筐出入库明细!$H$4:$H$2004,周转筐出入库明细!$C$4:$C$2004,$B124,周转筐出入库明细!$D$4:$D$2004,基础资料!$B$6,周转筐出入库明细!$F$4:$F$2004,"采购入库",周转筐出入库明细!$B$4:$B$2004,"&gt;="&amp;$P$1,周转筐出入库明细!$B$4:$B$2004,"&lt;="&amp;$P$2))</f>
        <v/>
      </c>
      <c r="F124" s="25" t="str">
        <f>IF(OR($B124="",基础资料!$B$7=""),"",SUMIFS(周转筐出入库明细!$H$4:$H$2004,周转筐出入库明细!$C$4:$C$2004,$B124,周转筐出入库明细!$D$4:$D$2004,基础资料!$B$7,周转筐出入库明细!$F$4:$F$2004,"采购入库",周转筐出入库明细!$B$4:$B$2004,"&gt;="&amp;$P$1,周转筐出入库明细!$B$4:$B$2004,"&lt;="&amp;$P$2))</f>
        <v/>
      </c>
      <c r="G124" s="25" t="str">
        <f>IF(OR($B124="",基础资料!$B$8=""),"",SUMIFS(周转筐出入库明细!$H$4:$H$2004,周转筐出入库明细!$C$4:$C$2004,$B124,周转筐出入库明细!$D$4:$D$2004,基础资料!$B$8,周转筐出入库明细!$F$4:$F$2004,"采购入库",周转筐出入库明细!$B$4:$B$2004,"&gt;="&amp;$P$1,周转筐出入库明细!$B$4:$B$2004,"&lt;="&amp;$P$2))</f>
        <v/>
      </c>
      <c r="H124" s="25" t="str">
        <f>IF($B124="","",SUMIFS(周转筐出入库明细!$H$4:$H$2004,周转筐出入库明细!$C$4:$C$2004,$B124,周转筐出入库明细!$F$4:$F$2004,"采购入库",周转筐出入库明细!$B$4:$B$2004,"&gt;="&amp;$P$1,周转筐出入库明细!$B$4:$B$2004,"&lt;="&amp;$P$2)-SUM($C124:$G124))</f>
        <v/>
      </c>
      <c r="I124" s="25" t="str">
        <f t="shared" si="4"/>
        <v/>
      </c>
      <c r="J124" s="26" t="str">
        <f>IF($B124="","",ROUND(SUMIFS(周转筐出入库明细!$P$4:$P$2004,周转筐出入库明细!$C$4:$C$2004,$B124,周转筐出入库明细!$F$4:$F$2004,"采购入库",周转筐出入库明细!$B$4:$B$2004,"&gt;="&amp;$P$1,周转筐出入库明细!$B$4:$B$2004,"&lt;="&amp;$P$2),2))</f>
        <v/>
      </c>
      <c r="K124" s="26" t="str">
        <f>IF($B124="","",ROUND(SUMIFS(周转筐出入库明细!$P$4:$P$2004,周转筐出入库明细!$C$4:$C$2004,$B124,周转筐出入库明细!$F$4:$F$2004,"采购入库",周转筐出入库明细!$Q$4:$Q$2004,"已付款",周转筐出入库明细!$B$4:$B$2004,"&gt;="&amp;$P$1,周转筐出入库明细!$B$4:$B$2004,"&lt;="&amp;$P$2),2))</f>
        <v/>
      </c>
      <c r="L124" s="26" t="str">
        <f t="shared" si="5"/>
        <v/>
      </c>
    </row>
    <row r="125" spans="1:12">
      <c r="A125" s="22" t="str">
        <f t="shared" si="3"/>
        <v/>
      </c>
      <c r="B125" s="37" t="str">
        <f>IFERROR(INDEX(_自动清单!$CW$4:$CW$203,ROW()-3),"")</f>
        <v/>
      </c>
      <c r="C125" s="25" t="str">
        <f>IF(OR($B125="",基础资料!$B$4=""),"",SUMIFS(周转筐出入库明细!$H$4:$H$2004,周转筐出入库明细!$C$4:$C$2004,$B125,周转筐出入库明细!$D$4:$D$2004,基础资料!$B$4,周转筐出入库明细!$F$4:$F$2004,"采购入库",周转筐出入库明细!$B$4:$B$2004,"&gt;="&amp;$P$1,周转筐出入库明细!$B$4:$B$2004,"&lt;="&amp;$P$2))</f>
        <v/>
      </c>
      <c r="D125" s="25" t="str">
        <f>IF(OR($B125="",基础资料!$B$5=""),"",SUMIFS(周转筐出入库明细!$H$4:$H$2004,周转筐出入库明细!$C$4:$C$2004,$B125,周转筐出入库明细!$D$4:$D$2004,基础资料!$B$5,周转筐出入库明细!$F$4:$F$2004,"采购入库",周转筐出入库明细!$B$4:$B$2004,"&gt;="&amp;$P$1,周转筐出入库明细!$B$4:$B$2004,"&lt;="&amp;$P$2))</f>
        <v/>
      </c>
      <c r="E125" s="25" t="str">
        <f>IF(OR($B125="",基础资料!$B$6=""),"",SUMIFS(周转筐出入库明细!$H$4:$H$2004,周转筐出入库明细!$C$4:$C$2004,$B125,周转筐出入库明细!$D$4:$D$2004,基础资料!$B$6,周转筐出入库明细!$F$4:$F$2004,"采购入库",周转筐出入库明细!$B$4:$B$2004,"&gt;="&amp;$P$1,周转筐出入库明细!$B$4:$B$2004,"&lt;="&amp;$P$2))</f>
        <v/>
      </c>
      <c r="F125" s="25" t="str">
        <f>IF(OR($B125="",基础资料!$B$7=""),"",SUMIFS(周转筐出入库明细!$H$4:$H$2004,周转筐出入库明细!$C$4:$C$2004,$B125,周转筐出入库明细!$D$4:$D$2004,基础资料!$B$7,周转筐出入库明细!$F$4:$F$2004,"采购入库",周转筐出入库明细!$B$4:$B$2004,"&gt;="&amp;$P$1,周转筐出入库明细!$B$4:$B$2004,"&lt;="&amp;$P$2))</f>
        <v/>
      </c>
      <c r="G125" s="25" t="str">
        <f>IF(OR($B125="",基础资料!$B$8=""),"",SUMIFS(周转筐出入库明细!$H$4:$H$2004,周转筐出入库明细!$C$4:$C$2004,$B125,周转筐出入库明细!$D$4:$D$2004,基础资料!$B$8,周转筐出入库明细!$F$4:$F$2004,"采购入库",周转筐出入库明细!$B$4:$B$2004,"&gt;="&amp;$P$1,周转筐出入库明细!$B$4:$B$2004,"&lt;="&amp;$P$2))</f>
        <v/>
      </c>
      <c r="H125" s="25" t="str">
        <f>IF($B125="","",SUMIFS(周转筐出入库明细!$H$4:$H$2004,周转筐出入库明细!$C$4:$C$2004,$B125,周转筐出入库明细!$F$4:$F$2004,"采购入库",周转筐出入库明细!$B$4:$B$2004,"&gt;="&amp;$P$1,周转筐出入库明细!$B$4:$B$2004,"&lt;="&amp;$P$2)-SUM($C125:$G125))</f>
        <v/>
      </c>
      <c r="I125" s="25" t="str">
        <f t="shared" si="4"/>
        <v/>
      </c>
      <c r="J125" s="26" t="str">
        <f>IF($B125="","",ROUND(SUMIFS(周转筐出入库明细!$P$4:$P$2004,周转筐出入库明细!$C$4:$C$2004,$B125,周转筐出入库明细!$F$4:$F$2004,"采购入库",周转筐出入库明细!$B$4:$B$2004,"&gt;="&amp;$P$1,周转筐出入库明细!$B$4:$B$2004,"&lt;="&amp;$P$2),2))</f>
        <v/>
      </c>
      <c r="K125" s="26" t="str">
        <f>IF($B125="","",ROUND(SUMIFS(周转筐出入库明细!$P$4:$P$2004,周转筐出入库明细!$C$4:$C$2004,$B125,周转筐出入库明细!$F$4:$F$2004,"采购入库",周转筐出入库明细!$Q$4:$Q$2004,"已付款",周转筐出入库明细!$B$4:$B$2004,"&gt;="&amp;$P$1,周转筐出入库明细!$B$4:$B$2004,"&lt;="&amp;$P$2),2))</f>
        <v/>
      </c>
      <c r="L125" s="26" t="str">
        <f t="shared" si="5"/>
        <v/>
      </c>
    </row>
    <row r="126" spans="1:12">
      <c r="A126" s="22" t="str">
        <f t="shared" si="3"/>
        <v/>
      </c>
      <c r="B126" s="37" t="str">
        <f>IFERROR(INDEX(_自动清单!$CW$4:$CW$203,ROW()-3),"")</f>
        <v/>
      </c>
      <c r="C126" s="25" t="str">
        <f>IF(OR($B126="",基础资料!$B$4=""),"",SUMIFS(周转筐出入库明细!$H$4:$H$2004,周转筐出入库明细!$C$4:$C$2004,$B126,周转筐出入库明细!$D$4:$D$2004,基础资料!$B$4,周转筐出入库明细!$F$4:$F$2004,"采购入库",周转筐出入库明细!$B$4:$B$2004,"&gt;="&amp;$P$1,周转筐出入库明细!$B$4:$B$2004,"&lt;="&amp;$P$2))</f>
        <v/>
      </c>
      <c r="D126" s="25" t="str">
        <f>IF(OR($B126="",基础资料!$B$5=""),"",SUMIFS(周转筐出入库明细!$H$4:$H$2004,周转筐出入库明细!$C$4:$C$2004,$B126,周转筐出入库明细!$D$4:$D$2004,基础资料!$B$5,周转筐出入库明细!$F$4:$F$2004,"采购入库",周转筐出入库明细!$B$4:$B$2004,"&gt;="&amp;$P$1,周转筐出入库明细!$B$4:$B$2004,"&lt;="&amp;$P$2))</f>
        <v/>
      </c>
      <c r="E126" s="25" t="str">
        <f>IF(OR($B126="",基础资料!$B$6=""),"",SUMIFS(周转筐出入库明细!$H$4:$H$2004,周转筐出入库明细!$C$4:$C$2004,$B126,周转筐出入库明细!$D$4:$D$2004,基础资料!$B$6,周转筐出入库明细!$F$4:$F$2004,"采购入库",周转筐出入库明细!$B$4:$B$2004,"&gt;="&amp;$P$1,周转筐出入库明细!$B$4:$B$2004,"&lt;="&amp;$P$2))</f>
        <v/>
      </c>
      <c r="F126" s="25" t="str">
        <f>IF(OR($B126="",基础资料!$B$7=""),"",SUMIFS(周转筐出入库明细!$H$4:$H$2004,周转筐出入库明细!$C$4:$C$2004,$B126,周转筐出入库明细!$D$4:$D$2004,基础资料!$B$7,周转筐出入库明细!$F$4:$F$2004,"采购入库",周转筐出入库明细!$B$4:$B$2004,"&gt;="&amp;$P$1,周转筐出入库明细!$B$4:$B$2004,"&lt;="&amp;$P$2))</f>
        <v/>
      </c>
      <c r="G126" s="25" t="str">
        <f>IF(OR($B126="",基础资料!$B$8=""),"",SUMIFS(周转筐出入库明细!$H$4:$H$2004,周转筐出入库明细!$C$4:$C$2004,$B126,周转筐出入库明细!$D$4:$D$2004,基础资料!$B$8,周转筐出入库明细!$F$4:$F$2004,"采购入库",周转筐出入库明细!$B$4:$B$2004,"&gt;="&amp;$P$1,周转筐出入库明细!$B$4:$B$2004,"&lt;="&amp;$P$2))</f>
        <v/>
      </c>
      <c r="H126" s="25" t="str">
        <f>IF($B126="","",SUMIFS(周转筐出入库明细!$H$4:$H$2004,周转筐出入库明细!$C$4:$C$2004,$B126,周转筐出入库明细!$F$4:$F$2004,"采购入库",周转筐出入库明细!$B$4:$B$2004,"&gt;="&amp;$P$1,周转筐出入库明细!$B$4:$B$2004,"&lt;="&amp;$P$2)-SUM($C126:$G126))</f>
        <v/>
      </c>
      <c r="I126" s="25" t="str">
        <f t="shared" si="4"/>
        <v/>
      </c>
      <c r="J126" s="26" t="str">
        <f>IF($B126="","",ROUND(SUMIFS(周转筐出入库明细!$P$4:$P$2004,周转筐出入库明细!$C$4:$C$2004,$B126,周转筐出入库明细!$F$4:$F$2004,"采购入库",周转筐出入库明细!$B$4:$B$2004,"&gt;="&amp;$P$1,周转筐出入库明细!$B$4:$B$2004,"&lt;="&amp;$P$2),2))</f>
        <v/>
      </c>
      <c r="K126" s="26" t="str">
        <f>IF($B126="","",ROUND(SUMIFS(周转筐出入库明细!$P$4:$P$2004,周转筐出入库明细!$C$4:$C$2004,$B126,周转筐出入库明细!$F$4:$F$2004,"采购入库",周转筐出入库明细!$Q$4:$Q$2004,"已付款",周转筐出入库明细!$B$4:$B$2004,"&gt;="&amp;$P$1,周转筐出入库明细!$B$4:$B$2004,"&lt;="&amp;$P$2),2))</f>
        <v/>
      </c>
      <c r="L126" s="26" t="str">
        <f t="shared" si="5"/>
        <v/>
      </c>
    </row>
    <row r="127" spans="1:12">
      <c r="A127" s="22" t="str">
        <f t="shared" si="3"/>
        <v/>
      </c>
      <c r="B127" s="37" t="str">
        <f>IFERROR(INDEX(_自动清单!$CW$4:$CW$203,ROW()-3),"")</f>
        <v/>
      </c>
      <c r="C127" s="25" t="str">
        <f>IF(OR($B127="",基础资料!$B$4=""),"",SUMIFS(周转筐出入库明细!$H$4:$H$2004,周转筐出入库明细!$C$4:$C$2004,$B127,周转筐出入库明细!$D$4:$D$2004,基础资料!$B$4,周转筐出入库明细!$F$4:$F$2004,"采购入库",周转筐出入库明细!$B$4:$B$2004,"&gt;="&amp;$P$1,周转筐出入库明细!$B$4:$B$2004,"&lt;="&amp;$P$2))</f>
        <v/>
      </c>
      <c r="D127" s="25" t="str">
        <f>IF(OR($B127="",基础资料!$B$5=""),"",SUMIFS(周转筐出入库明细!$H$4:$H$2004,周转筐出入库明细!$C$4:$C$2004,$B127,周转筐出入库明细!$D$4:$D$2004,基础资料!$B$5,周转筐出入库明细!$F$4:$F$2004,"采购入库",周转筐出入库明细!$B$4:$B$2004,"&gt;="&amp;$P$1,周转筐出入库明细!$B$4:$B$2004,"&lt;="&amp;$P$2))</f>
        <v/>
      </c>
      <c r="E127" s="25" t="str">
        <f>IF(OR($B127="",基础资料!$B$6=""),"",SUMIFS(周转筐出入库明细!$H$4:$H$2004,周转筐出入库明细!$C$4:$C$2004,$B127,周转筐出入库明细!$D$4:$D$2004,基础资料!$B$6,周转筐出入库明细!$F$4:$F$2004,"采购入库",周转筐出入库明细!$B$4:$B$2004,"&gt;="&amp;$P$1,周转筐出入库明细!$B$4:$B$2004,"&lt;="&amp;$P$2))</f>
        <v/>
      </c>
      <c r="F127" s="25" t="str">
        <f>IF(OR($B127="",基础资料!$B$7=""),"",SUMIFS(周转筐出入库明细!$H$4:$H$2004,周转筐出入库明细!$C$4:$C$2004,$B127,周转筐出入库明细!$D$4:$D$2004,基础资料!$B$7,周转筐出入库明细!$F$4:$F$2004,"采购入库",周转筐出入库明细!$B$4:$B$2004,"&gt;="&amp;$P$1,周转筐出入库明细!$B$4:$B$2004,"&lt;="&amp;$P$2))</f>
        <v/>
      </c>
      <c r="G127" s="25" t="str">
        <f>IF(OR($B127="",基础资料!$B$8=""),"",SUMIFS(周转筐出入库明细!$H$4:$H$2004,周转筐出入库明细!$C$4:$C$2004,$B127,周转筐出入库明细!$D$4:$D$2004,基础资料!$B$8,周转筐出入库明细!$F$4:$F$2004,"采购入库",周转筐出入库明细!$B$4:$B$2004,"&gt;="&amp;$P$1,周转筐出入库明细!$B$4:$B$2004,"&lt;="&amp;$P$2))</f>
        <v/>
      </c>
      <c r="H127" s="25" t="str">
        <f>IF($B127="","",SUMIFS(周转筐出入库明细!$H$4:$H$2004,周转筐出入库明细!$C$4:$C$2004,$B127,周转筐出入库明细!$F$4:$F$2004,"采购入库",周转筐出入库明细!$B$4:$B$2004,"&gt;="&amp;$P$1,周转筐出入库明细!$B$4:$B$2004,"&lt;="&amp;$P$2)-SUM($C127:$G127))</f>
        <v/>
      </c>
      <c r="I127" s="25" t="str">
        <f t="shared" si="4"/>
        <v/>
      </c>
      <c r="J127" s="26" t="str">
        <f>IF($B127="","",ROUND(SUMIFS(周转筐出入库明细!$P$4:$P$2004,周转筐出入库明细!$C$4:$C$2004,$B127,周转筐出入库明细!$F$4:$F$2004,"采购入库",周转筐出入库明细!$B$4:$B$2004,"&gt;="&amp;$P$1,周转筐出入库明细!$B$4:$B$2004,"&lt;="&amp;$P$2),2))</f>
        <v/>
      </c>
      <c r="K127" s="26" t="str">
        <f>IF($B127="","",ROUND(SUMIFS(周转筐出入库明细!$P$4:$P$2004,周转筐出入库明细!$C$4:$C$2004,$B127,周转筐出入库明细!$F$4:$F$2004,"采购入库",周转筐出入库明细!$Q$4:$Q$2004,"已付款",周转筐出入库明细!$B$4:$B$2004,"&gt;="&amp;$P$1,周转筐出入库明细!$B$4:$B$2004,"&lt;="&amp;$P$2),2))</f>
        <v/>
      </c>
      <c r="L127" s="26" t="str">
        <f t="shared" si="5"/>
        <v/>
      </c>
    </row>
    <row r="128" spans="1:12">
      <c r="A128" s="22" t="str">
        <f t="shared" si="3"/>
        <v/>
      </c>
      <c r="B128" s="37" t="str">
        <f>IFERROR(INDEX(_自动清单!$CW$4:$CW$203,ROW()-3),"")</f>
        <v/>
      </c>
      <c r="C128" s="25" t="str">
        <f>IF(OR($B128="",基础资料!$B$4=""),"",SUMIFS(周转筐出入库明细!$H$4:$H$2004,周转筐出入库明细!$C$4:$C$2004,$B128,周转筐出入库明细!$D$4:$D$2004,基础资料!$B$4,周转筐出入库明细!$F$4:$F$2004,"采购入库",周转筐出入库明细!$B$4:$B$2004,"&gt;="&amp;$P$1,周转筐出入库明细!$B$4:$B$2004,"&lt;="&amp;$P$2))</f>
        <v/>
      </c>
      <c r="D128" s="25" t="str">
        <f>IF(OR($B128="",基础资料!$B$5=""),"",SUMIFS(周转筐出入库明细!$H$4:$H$2004,周转筐出入库明细!$C$4:$C$2004,$B128,周转筐出入库明细!$D$4:$D$2004,基础资料!$B$5,周转筐出入库明细!$F$4:$F$2004,"采购入库",周转筐出入库明细!$B$4:$B$2004,"&gt;="&amp;$P$1,周转筐出入库明细!$B$4:$B$2004,"&lt;="&amp;$P$2))</f>
        <v/>
      </c>
      <c r="E128" s="25" t="str">
        <f>IF(OR($B128="",基础资料!$B$6=""),"",SUMIFS(周转筐出入库明细!$H$4:$H$2004,周转筐出入库明细!$C$4:$C$2004,$B128,周转筐出入库明细!$D$4:$D$2004,基础资料!$B$6,周转筐出入库明细!$F$4:$F$2004,"采购入库",周转筐出入库明细!$B$4:$B$2004,"&gt;="&amp;$P$1,周转筐出入库明细!$B$4:$B$2004,"&lt;="&amp;$P$2))</f>
        <v/>
      </c>
      <c r="F128" s="25" t="str">
        <f>IF(OR($B128="",基础资料!$B$7=""),"",SUMIFS(周转筐出入库明细!$H$4:$H$2004,周转筐出入库明细!$C$4:$C$2004,$B128,周转筐出入库明细!$D$4:$D$2004,基础资料!$B$7,周转筐出入库明细!$F$4:$F$2004,"采购入库",周转筐出入库明细!$B$4:$B$2004,"&gt;="&amp;$P$1,周转筐出入库明细!$B$4:$B$2004,"&lt;="&amp;$P$2))</f>
        <v/>
      </c>
      <c r="G128" s="25" t="str">
        <f>IF(OR($B128="",基础资料!$B$8=""),"",SUMIFS(周转筐出入库明细!$H$4:$H$2004,周转筐出入库明细!$C$4:$C$2004,$B128,周转筐出入库明细!$D$4:$D$2004,基础资料!$B$8,周转筐出入库明细!$F$4:$F$2004,"采购入库",周转筐出入库明细!$B$4:$B$2004,"&gt;="&amp;$P$1,周转筐出入库明细!$B$4:$B$2004,"&lt;="&amp;$P$2))</f>
        <v/>
      </c>
      <c r="H128" s="25" t="str">
        <f>IF($B128="","",SUMIFS(周转筐出入库明细!$H$4:$H$2004,周转筐出入库明细!$C$4:$C$2004,$B128,周转筐出入库明细!$F$4:$F$2004,"采购入库",周转筐出入库明细!$B$4:$B$2004,"&gt;="&amp;$P$1,周转筐出入库明细!$B$4:$B$2004,"&lt;="&amp;$P$2)-SUM($C128:$G128))</f>
        <v/>
      </c>
      <c r="I128" s="25" t="str">
        <f t="shared" si="4"/>
        <v/>
      </c>
      <c r="J128" s="26" t="str">
        <f>IF($B128="","",ROUND(SUMIFS(周转筐出入库明细!$P$4:$P$2004,周转筐出入库明细!$C$4:$C$2004,$B128,周转筐出入库明细!$F$4:$F$2004,"采购入库",周转筐出入库明细!$B$4:$B$2004,"&gt;="&amp;$P$1,周转筐出入库明细!$B$4:$B$2004,"&lt;="&amp;$P$2),2))</f>
        <v/>
      </c>
      <c r="K128" s="26" t="str">
        <f>IF($B128="","",ROUND(SUMIFS(周转筐出入库明细!$P$4:$P$2004,周转筐出入库明细!$C$4:$C$2004,$B128,周转筐出入库明细!$F$4:$F$2004,"采购入库",周转筐出入库明细!$Q$4:$Q$2004,"已付款",周转筐出入库明细!$B$4:$B$2004,"&gt;="&amp;$P$1,周转筐出入库明细!$B$4:$B$2004,"&lt;="&amp;$P$2),2))</f>
        <v/>
      </c>
      <c r="L128" s="26" t="str">
        <f t="shared" si="5"/>
        <v/>
      </c>
    </row>
    <row r="129" spans="1:12">
      <c r="A129" s="22" t="str">
        <f t="shared" si="3"/>
        <v/>
      </c>
      <c r="B129" s="37" t="str">
        <f>IFERROR(INDEX(_自动清单!$CW$4:$CW$203,ROW()-3),"")</f>
        <v/>
      </c>
      <c r="C129" s="25" t="str">
        <f>IF(OR($B129="",基础资料!$B$4=""),"",SUMIFS(周转筐出入库明细!$H$4:$H$2004,周转筐出入库明细!$C$4:$C$2004,$B129,周转筐出入库明细!$D$4:$D$2004,基础资料!$B$4,周转筐出入库明细!$F$4:$F$2004,"采购入库",周转筐出入库明细!$B$4:$B$2004,"&gt;="&amp;$P$1,周转筐出入库明细!$B$4:$B$2004,"&lt;="&amp;$P$2))</f>
        <v/>
      </c>
      <c r="D129" s="25" t="str">
        <f>IF(OR($B129="",基础资料!$B$5=""),"",SUMIFS(周转筐出入库明细!$H$4:$H$2004,周转筐出入库明细!$C$4:$C$2004,$B129,周转筐出入库明细!$D$4:$D$2004,基础资料!$B$5,周转筐出入库明细!$F$4:$F$2004,"采购入库",周转筐出入库明细!$B$4:$B$2004,"&gt;="&amp;$P$1,周转筐出入库明细!$B$4:$B$2004,"&lt;="&amp;$P$2))</f>
        <v/>
      </c>
      <c r="E129" s="25" t="str">
        <f>IF(OR($B129="",基础资料!$B$6=""),"",SUMIFS(周转筐出入库明细!$H$4:$H$2004,周转筐出入库明细!$C$4:$C$2004,$B129,周转筐出入库明细!$D$4:$D$2004,基础资料!$B$6,周转筐出入库明细!$F$4:$F$2004,"采购入库",周转筐出入库明细!$B$4:$B$2004,"&gt;="&amp;$P$1,周转筐出入库明细!$B$4:$B$2004,"&lt;="&amp;$P$2))</f>
        <v/>
      </c>
      <c r="F129" s="25" t="str">
        <f>IF(OR($B129="",基础资料!$B$7=""),"",SUMIFS(周转筐出入库明细!$H$4:$H$2004,周转筐出入库明细!$C$4:$C$2004,$B129,周转筐出入库明细!$D$4:$D$2004,基础资料!$B$7,周转筐出入库明细!$F$4:$F$2004,"采购入库",周转筐出入库明细!$B$4:$B$2004,"&gt;="&amp;$P$1,周转筐出入库明细!$B$4:$B$2004,"&lt;="&amp;$P$2))</f>
        <v/>
      </c>
      <c r="G129" s="25" t="str">
        <f>IF(OR($B129="",基础资料!$B$8=""),"",SUMIFS(周转筐出入库明细!$H$4:$H$2004,周转筐出入库明细!$C$4:$C$2004,$B129,周转筐出入库明细!$D$4:$D$2004,基础资料!$B$8,周转筐出入库明细!$F$4:$F$2004,"采购入库",周转筐出入库明细!$B$4:$B$2004,"&gt;="&amp;$P$1,周转筐出入库明细!$B$4:$B$2004,"&lt;="&amp;$P$2))</f>
        <v/>
      </c>
      <c r="H129" s="25" t="str">
        <f>IF($B129="","",SUMIFS(周转筐出入库明细!$H$4:$H$2004,周转筐出入库明细!$C$4:$C$2004,$B129,周转筐出入库明细!$F$4:$F$2004,"采购入库",周转筐出入库明细!$B$4:$B$2004,"&gt;="&amp;$P$1,周转筐出入库明细!$B$4:$B$2004,"&lt;="&amp;$P$2)-SUM($C129:$G129))</f>
        <v/>
      </c>
      <c r="I129" s="25" t="str">
        <f t="shared" si="4"/>
        <v/>
      </c>
      <c r="J129" s="26" t="str">
        <f>IF($B129="","",ROUND(SUMIFS(周转筐出入库明细!$P$4:$P$2004,周转筐出入库明细!$C$4:$C$2004,$B129,周转筐出入库明细!$F$4:$F$2004,"采购入库",周转筐出入库明细!$B$4:$B$2004,"&gt;="&amp;$P$1,周转筐出入库明细!$B$4:$B$2004,"&lt;="&amp;$P$2),2))</f>
        <v/>
      </c>
      <c r="K129" s="26" t="str">
        <f>IF($B129="","",ROUND(SUMIFS(周转筐出入库明细!$P$4:$P$2004,周转筐出入库明细!$C$4:$C$2004,$B129,周转筐出入库明细!$F$4:$F$2004,"采购入库",周转筐出入库明细!$Q$4:$Q$2004,"已付款",周转筐出入库明细!$B$4:$B$2004,"&gt;="&amp;$P$1,周转筐出入库明细!$B$4:$B$2004,"&lt;="&amp;$P$2),2))</f>
        <v/>
      </c>
      <c r="L129" s="26" t="str">
        <f t="shared" si="5"/>
        <v/>
      </c>
    </row>
    <row r="130" spans="1:12">
      <c r="A130" s="22" t="str">
        <f t="shared" si="3"/>
        <v/>
      </c>
      <c r="B130" s="37" t="str">
        <f>IFERROR(INDEX(_自动清单!$CW$4:$CW$203,ROW()-3),"")</f>
        <v/>
      </c>
      <c r="C130" s="25" t="str">
        <f>IF(OR($B130="",基础资料!$B$4=""),"",SUMIFS(周转筐出入库明细!$H$4:$H$2004,周转筐出入库明细!$C$4:$C$2004,$B130,周转筐出入库明细!$D$4:$D$2004,基础资料!$B$4,周转筐出入库明细!$F$4:$F$2004,"采购入库",周转筐出入库明细!$B$4:$B$2004,"&gt;="&amp;$P$1,周转筐出入库明细!$B$4:$B$2004,"&lt;="&amp;$P$2))</f>
        <v/>
      </c>
      <c r="D130" s="25" t="str">
        <f>IF(OR($B130="",基础资料!$B$5=""),"",SUMIFS(周转筐出入库明细!$H$4:$H$2004,周转筐出入库明细!$C$4:$C$2004,$B130,周转筐出入库明细!$D$4:$D$2004,基础资料!$B$5,周转筐出入库明细!$F$4:$F$2004,"采购入库",周转筐出入库明细!$B$4:$B$2004,"&gt;="&amp;$P$1,周转筐出入库明细!$B$4:$B$2004,"&lt;="&amp;$P$2))</f>
        <v/>
      </c>
      <c r="E130" s="25" t="str">
        <f>IF(OR($B130="",基础资料!$B$6=""),"",SUMIFS(周转筐出入库明细!$H$4:$H$2004,周转筐出入库明细!$C$4:$C$2004,$B130,周转筐出入库明细!$D$4:$D$2004,基础资料!$B$6,周转筐出入库明细!$F$4:$F$2004,"采购入库",周转筐出入库明细!$B$4:$B$2004,"&gt;="&amp;$P$1,周转筐出入库明细!$B$4:$B$2004,"&lt;="&amp;$P$2))</f>
        <v/>
      </c>
      <c r="F130" s="25" t="str">
        <f>IF(OR($B130="",基础资料!$B$7=""),"",SUMIFS(周转筐出入库明细!$H$4:$H$2004,周转筐出入库明细!$C$4:$C$2004,$B130,周转筐出入库明细!$D$4:$D$2004,基础资料!$B$7,周转筐出入库明细!$F$4:$F$2004,"采购入库",周转筐出入库明细!$B$4:$B$2004,"&gt;="&amp;$P$1,周转筐出入库明细!$B$4:$B$2004,"&lt;="&amp;$P$2))</f>
        <v/>
      </c>
      <c r="G130" s="25" t="str">
        <f>IF(OR($B130="",基础资料!$B$8=""),"",SUMIFS(周转筐出入库明细!$H$4:$H$2004,周转筐出入库明细!$C$4:$C$2004,$B130,周转筐出入库明细!$D$4:$D$2004,基础资料!$B$8,周转筐出入库明细!$F$4:$F$2004,"采购入库",周转筐出入库明细!$B$4:$B$2004,"&gt;="&amp;$P$1,周转筐出入库明细!$B$4:$B$2004,"&lt;="&amp;$P$2))</f>
        <v/>
      </c>
      <c r="H130" s="25" t="str">
        <f>IF($B130="","",SUMIFS(周转筐出入库明细!$H$4:$H$2004,周转筐出入库明细!$C$4:$C$2004,$B130,周转筐出入库明细!$F$4:$F$2004,"采购入库",周转筐出入库明细!$B$4:$B$2004,"&gt;="&amp;$P$1,周转筐出入库明细!$B$4:$B$2004,"&lt;="&amp;$P$2)-SUM($C130:$G130))</f>
        <v/>
      </c>
      <c r="I130" s="25" t="str">
        <f t="shared" si="4"/>
        <v/>
      </c>
      <c r="J130" s="26" t="str">
        <f>IF($B130="","",ROUND(SUMIFS(周转筐出入库明细!$P$4:$P$2004,周转筐出入库明细!$C$4:$C$2004,$B130,周转筐出入库明细!$F$4:$F$2004,"采购入库",周转筐出入库明细!$B$4:$B$2004,"&gt;="&amp;$P$1,周转筐出入库明细!$B$4:$B$2004,"&lt;="&amp;$P$2),2))</f>
        <v/>
      </c>
      <c r="K130" s="26" t="str">
        <f>IF($B130="","",ROUND(SUMIFS(周转筐出入库明细!$P$4:$P$2004,周转筐出入库明细!$C$4:$C$2004,$B130,周转筐出入库明细!$F$4:$F$2004,"采购入库",周转筐出入库明细!$Q$4:$Q$2004,"已付款",周转筐出入库明细!$B$4:$B$2004,"&gt;="&amp;$P$1,周转筐出入库明细!$B$4:$B$2004,"&lt;="&amp;$P$2),2))</f>
        <v/>
      </c>
      <c r="L130" s="26" t="str">
        <f t="shared" si="5"/>
        <v/>
      </c>
    </row>
    <row r="131" spans="1:12">
      <c r="A131" s="22" t="str">
        <f t="shared" si="3"/>
        <v/>
      </c>
      <c r="B131" s="37" t="str">
        <f>IFERROR(INDEX(_自动清单!$CW$4:$CW$203,ROW()-3),"")</f>
        <v/>
      </c>
      <c r="C131" s="25" t="str">
        <f>IF(OR($B131="",基础资料!$B$4=""),"",SUMIFS(周转筐出入库明细!$H$4:$H$2004,周转筐出入库明细!$C$4:$C$2004,$B131,周转筐出入库明细!$D$4:$D$2004,基础资料!$B$4,周转筐出入库明细!$F$4:$F$2004,"采购入库",周转筐出入库明细!$B$4:$B$2004,"&gt;="&amp;$P$1,周转筐出入库明细!$B$4:$B$2004,"&lt;="&amp;$P$2))</f>
        <v/>
      </c>
      <c r="D131" s="25" t="str">
        <f>IF(OR($B131="",基础资料!$B$5=""),"",SUMIFS(周转筐出入库明细!$H$4:$H$2004,周转筐出入库明细!$C$4:$C$2004,$B131,周转筐出入库明细!$D$4:$D$2004,基础资料!$B$5,周转筐出入库明细!$F$4:$F$2004,"采购入库",周转筐出入库明细!$B$4:$B$2004,"&gt;="&amp;$P$1,周转筐出入库明细!$B$4:$B$2004,"&lt;="&amp;$P$2))</f>
        <v/>
      </c>
      <c r="E131" s="25" t="str">
        <f>IF(OR($B131="",基础资料!$B$6=""),"",SUMIFS(周转筐出入库明细!$H$4:$H$2004,周转筐出入库明细!$C$4:$C$2004,$B131,周转筐出入库明细!$D$4:$D$2004,基础资料!$B$6,周转筐出入库明细!$F$4:$F$2004,"采购入库",周转筐出入库明细!$B$4:$B$2004,"&gt;="&amp;$P$1,周转筐出入库明细!$B$4:$B$2004,"&lt;="&amp;$P$2))</f>
        <v/>
      </c>
      <c r="F131" s="25" t="str">
        <f>IF(OR($B131="",基础资料!$B$7=""),"",SUMIFS(周转筐出入库明细!$H$4:$H$2004,周转筐出入库明细!$C$4:$C$2004,$B131,周转筐出入库明细!$D$4:$D$2004,基础资料!$B$7,周转筐出入库明细!$F$4:$F$2004,"采购入库",周转筐出入库明细!$B$4:$B$2004,"&gt;="&amp;$P$1,周转筐出入库明细!$B$4:$B$2004,"&lt;="&amp;$P$2))</f>
        <v/>
      </c>
      <c r="G131" s="25" t="str">
        <f>IF(OR($B131="",基础资料!$B$8=""),"",SUMIFS(周转筐出入库明细!$H$4:$H$2004,周转筐出入库明细!$C$4:$C$2004,$B131,周转筐出入库明细!$D$4:$D$2004,基础资料!$B$8,周转筐出入库明细!$F$4:$F$2004,"采购入库",周转筐出入库明细!$B$4:$B$2004,"&gt;="&amp;$P$1,周转筐出入库明细!$B$4:$B$2004,"&lt;="&amp;$P$2))</f>
        <v/>
      </c>
      <c r="H131" s="25" t="str">
        <f>IF($B131="","",SUMIFS(周转筐出入库明细!$H$4:$H$2004,周转筐出入库明细!$C$4:$C$2004,$B131,周转筐出入库明细!$F$4:$F$2004,"采购入库",周转筐出入库明细!$B$4:$B$2004,"&gt;="&amp;$P$1,周转筐出入库明细!$B$4:$B$2004,"&lt;="&amp;$P$2)-SUM($C131:$G131))</f>
        <v/>
      </c>
      <c r="I131" s="25" t="str">
        <f t="shared" si="4"/>
        <v/>
      </c>
      <c r="J131" s="26" t="str">
        <f>IF($B131="","",ROUND(SUMIFS(周转筐出入库明细!$P$4:$P$2004,周转筐出入库明细!$C$4:$C$2004,$B131,周转筐出入库明细!$F$4:$F$2004,"采购入库",周转筐出入库明细!$B$4:$B$2004,"&gt;="&amp;$P$1,周转筐出入库明细!$B$4:$B$2004,"&lt;="&amp;$P$2),2))</f>
        <v/>
      </c>
      <c r="K131" s="26" t="str">
        <f>IF($B131="","",ROUND(SUMIFS(周转筐出入库明细!$P$4:$P$2004,周转筐出入库明细!$C$4:$C$2004,$B131,周转筐出入库明细!$F$4:$F$2004,"采购入库",周转筐出入库明细!$Q$4:$Q$2004,"已付款",周转筐出入库明细!$B$4:$B$2004,"&gt;="&amp;$P$1,周转筐出入库明细!$B$4:$B$2004,"&lt;="&amp;$P$2),2))</f>
        <v/>
      </c>
      <c r="L131" s="26" t="str">
        <f t="shared" si="5"/>
        <v/>
      </c>
    </row>
    <row r="132" spans="1:12">
      <c r="A132" s="22" t="str">
        <f t="shared" ref="A132:A195" si="6">IF($B132="","",ROW()-3)</f>
        <v/>
      </c>
      <c r="B132" s="37" t="str">
        <f>IFERROR(INDEX(_自动清单!$CW$4:$CW$203,ROW()-3),"")</f>
        <v/>
      </c>
      <c r="C132" s="25" t="str">
        <f>IF(OR($B132="",基础资料!$B$4=""),"",SUMIFS(周转筐出入库明细!$H$4:$H$2004,周转筐出入库明细!$C$4:$C$2004,$B132,周转筐出入库明细!$D$4:$D$2004,基础资料!$B$4,周转筐出入库明细!$F$4:$F$2004,"采购入库",周转筐出入库明细!$B$4:$B$2004,"&gt;="&amp;$P$1,周转筐出入库明细!$B$4:$B$2004,"&lt;="&amp;$P$2))</f>
        <v/>
      </c>
      <c r="D132" s="25" t="str">
        <f>IF(OR($B132="",基础资料!$B$5=""),"",SUMIFS(周转筐出入库明细!$H$4:$H$2004,周转筐出入库明细!$C$4:$C$2004,$B132,周转筐出入库明细!$D$4:$D$2004,基础资料!$B$5,周转筐出入库明细!$F$4:$F$2004,"采购入库",周转筐出入库明细!$B$4:$B$2004,"&gt;="&amp;$P$1,周转筐出入库明细!$B$4:$B$2004,"&lt;="&amp;$P$2))</f>
        <v/>
      </c>
      <c r="E132" s="25" t="str">
        <f>IF(OR($B132="",基础资料!$B$6=""),"",SUMIFS(周转筐出入库明细!$H$4:$H$2004,周转筐出入库明细!$C$4:$C$2004,$B132,周转筐出入库明细!$D$4:$D$2004,基础资料!$B$6,周转筐出入库明细!$F$4:$F$2004,"采购入库",周转筐出入库明细!$B$4:$B$2004,"&gt;="&amp;$P$1,周转筐出入库明细!$B$4:$B$2004,"&lt;="&amp;$P$2))</f>
        <v/>
      </c>
      <c r="F132" s="25" t="str">
        <f>IF(OR($B132="",基础资料!$B$7=""),"",SUMIFS(周转筐出入库明细!$H$4:$H$2004,周转筐出入库明细!$C$4:$C$2004,$B132,周转筐出入库明细!$D$4:$D$2004,基础资料!$B$7,周转筐出入库明细!$F$4:$F$2004,"采购入库",周转筐出入库明细!$B$4:$B$2004,"&gt;="&amp;$P$1,周转筐出入库明细!$B$4:$B$2004,"&lt;="&amp;$P$2))</f>
        <v/>
      </c>
      <c r="G132" s="25" t="str">
        <f>IF(OR($B132="",基础资料!$B$8=""),"",SUMIFS(周转筐出入库明细!$H$4:$H$2004,周转筐出入库明细!$C$4:$C$2004,$B132,周转筐出入库明细!$D$4:$D$2004,基础资料!$B$8,周转筐出入库明细!$F$4:$F$2004,"采购入库",周转筐出入库明细!$B$4:$B$2004,"&gt;="&amp;$P$1,周转筐出入库明细!$B$4:$B$2004,"&lt;="&amp;$P$2))</f>
        <v/>
      </c>
      <c r="H132" s="25" t="str">
        <f>IF($B132="","",SUMIFS(周转筐出入库明细!$H$4:$H$2004,周转筐出入库明细!$C$4:$C$2004,$B132,周转筐出入库明细!$F$4:$F$2004,"采购入库",周转筐出入库明细!$B$4:$B$2004,"&gt;="&amp;$P$1,周转筐出入库明细!$B$4:$B$2004,"&lt;="&amp;$P$2)-SUM($C132:$G132))</f>
        <v/>
      </c>
      <c r="I132" s="25" t="str">
        <f t="shared" ref="I132:I195" si="7">IF($B132="","",SUM($C132:$H132))</f>
        <v/>
      </c>
      <c r="J132" s="26" t="str">
        <f>IF($B132="","",ROUND(SUMIFS(周转筐出入库明细!$P$4:$P$2004,周转筐出入库明细!$C$4:$C$2004,$B132,周转筐出入库明细!$F$4:$F$2004,"采购入库",周转筐出入库明细!$B$4:$B$2004,"&gt;="&amp;$P$1,周转筐出入库明细!$B$4:$B$2004,"&lt;="&amp;$P$2),2))</f>
        <v/>
      </c>
      <c r="K132" s="26" t="str">
        <f>IF($B132="","",ROUND(SUMIFS(周转筐出入库明细!$P$4:$P$2004,周转筐出入库明细!$C$4:$C$2004,$B132,周转筐出入库明细!$F$4:$F$2004,"采购入库",周转筐出入库明细!$Q$4:$Q$2004,"已付款",周转筐出入库明细!$B$4:$B$2004,"&gt;="&amp;$P$1,周转筐出入库明细!$B$4:$B$2004,"&lt;="&amp;$P$2),2))</f>
        <v/>
      </c>
      <c r="L132" s="26" t="str">
        <f t="shared" ref="L132:L195" si="8">IF($B132="","",ROUND(N($J132)-N($K132),2))</f>
        <v/>
      </c>
    </row>
    <row r="133" spans="1:12">
      <c r="A133" s="22" t="str">
        <f t="shared" si="6"/>
        <v/>
      </c>
      <c r="B133" s="37" t="str">
        <f>IFERROR(INDEX(_自动清单!$CW$4:$CW$203,ROW()-3),"")</f>
        <v/>
      </c>
      <c r="C133" s="25" t="str">
        <f>IF(OR($B133="",基础资料!$B$4=""),"",SUMIFS(周转筐出入库明细!$H$4:$H$2004,周转筐出入库明细!$C$4:$C$2004,$B133,周转筐出入库明细!$D$4:$D$2004,基础资料!$B$4,周转筐出入库明细!$F$4:$F$2004,"采购入库",周转筐出入库明细!$B$4:$B$2004,"&gt;="&amp;$P$1,周转筐出入库明细!$B$4:$B$2004,"&lt;="&amp;$P$2))</f>
        <v/>
      </c>
      <c r="D133" s="25" t="str">
        <f>IF(OR($B133="",基础资料!$B$5=""),"",SUMIFS(周转筐出入库明细!$H$4:$H$2004,周转筐出入库明细!$C$4:$C$2004,$B133,周转筐出入库明细!$D$4:$D$2004,基础资料!$B$5,周转筐出入库明细!$F$4:$F$2004,"采购入库",周转筐出入库明细!$B$4:$B$2004,"&gt;="&amp;$P$1,周转筐出入库明细!$B$4:$B$2004,"&lt;="&amp;$P$2))</f>
        <v/>
      </c>
      <c r="E133" s="25" t="str">
        <f>IF(OR($B133="",基础资料!$B$6=""),"",SUMIFS(周转筐出入库明细!$H$4:$H$2004,周转筐出入库明细!$C$4:$C$2004,$B133,周转筐出入库明细!$D$4:$D$2004,基础资料!$B$6,周转筐出入库明细!$F$4:$F$2004,"采购入库",周转筐出入库明细!$B$4:$B$2004,"&gt;="&amp;$P$1,周转筐出入库明细!$B$4:$B$2004,"&lt;="&amp;$P$2))</f>
        <v/>
      </c>
      <c r="F133" s="25" t="str">
        <f>IF(OR($B133="",基础资料!$B$7=""),"",SUMIFS(周转筐出入库明细!$H$4:$H$2004,周转筐出入库明细!$C$4:$C$2004,$B133,周转筐出入库明细!$D$4:$D$2004,基础资料!$B$7,周转筐出入库明细!$F$4:$F$2004,"采购入库",周转筐出入库明细!$B$4:$B$2004,"&gt;="&amp;$P$1,周转筐出入库明细!$B$4:$B$2004,"&lt;="&amp;$P$2))</f>
        <v/>
      </c>
      <c r="G133" s="25" t="str">
        <f>IF(OR($B133="",基础资料!$B$8=""),"",SUMIFS(周转筐出入库明细!$H$4:$H$2004,周转筐出入库明细!$C$4:$C$2004,$B133,周转筐出入库明细!$D$4:$D$2004,基础资料!$B$8,周转筐出入库明细!$F$4:$F$2004,"采购入库",周转筐出入库明细!$B$4:$B$2004,"&gt;="&amp;$P$1,周转筐出入库明细!$B$4:$B$2004,"&lt;="&amp;$P$2))</f>
        <v/>
      </c>
      <c r="H133" s="25" t="str">
        <f>IF($B133="","",SUMIFS(周转筐出入库明细!$H$4:$H$2004,周转筐出入库明细!$C$4:$C$2004,$B133,周转筐出入库明细!$F$4:$F$2004,"采购入库",周转筐出入库明细!$B$4:$B$2004,"&gt;="&amp;$P$1,周转筐出入库明细!$B$4:$B$2004,"&lt;="&amp;$P$2)-SUM($C133:$G133))</f>
        <v/>
      </c>
      <c r="I133" s="25" t="str">
        <f t="shared" si="7"/>
        <v/>
      </c>
      <c r="J133" s="26" t="str">
        <f>IF($B133="","",ROUND(SUMIFS(周转筐出入库明细!$P$4:$P$2004,周转筐出入库明细!$C$4:$C$2004,$B133,周转筐出入库明细!$F$4:$F$2004,"采购入库",周转筐出入库明细!$B$4:$B$2004,"&gt;="&amp;$P$1,周转筐出入库明细!$B$4:$B$2004,"&lt;="&amp;$P$2),2))</f>
        <v/>
      </c>
      <c r="K133" s="26" t="str">
        <f>IF($B133="","",ROUND(SUMIFS(周转筐出入库明细!$P$4:$P$2004,周转筐出入库明细!$C$4:$C$2004,$B133,周转筐出入库明细!$F$4:$F$2004,"采购入库",周转筐出入库明细!$Q$4:$Q$2004,"已付款",周转筐出入库明细!$B$4:$B$2004,"&gt;="&amp;$P$1,周转筐出入库明细!$B$4:$B$2004,"&lt;="&amp;$P$2),2))</f>
        <v/>
      </c>
      <c r="L133" s="26" t="str">
        <f t="shared" si="8"/>
        <v/>
      </c>
    </row>
    <row r="134" spans="1:12">
      <c r="A134" s="22" t="str">
        <f t="shared" si="6"/>
        <v/>
      </c>
      <c r="B134" s="37" t="str">
        <f>IFERROR(INDEX(_自动清单!$CW$4:$CW$203,ROW()-3),"")</f>
        <v/>
      </c>
      <c r="C134" s="25" t="str">
        <f>IF(OR($B134="",基础资料!$B$4=""),"",SUMIFS(周转筐出入库明细!$H$4:$H$2004,周转筐出入库明细!$C$4:$C$2004,$B134,周转筐出入库明细!$D$4:$D$2004,基础资料!$B$4,周转筐出入库明细!$F$4:$F$2004,"采购入库",周转筐出入库明细!$B$4:$B$2004,"&gt;="&amp;$P$1,周转筐出入库明细!$B$4:$B$2004,"&lt;="&amp;$P$2))</f>
        <v/>
      </c>
      <c r="D134" s="25" t="str">
        <f>IF(OR($B134="",基础资料!$B$5=""),"",SUMIFS(周转筐出入库明细!$H$4:$H$2004,周转筐出入库明细!$C$4:$C$2004,$B134,周转筐出入库明细!$D$4:$D$2004,基础资料!$B$5,周转筐出入库明细!$F$4:$F$2004,"采购入库",周转筐出入库明细!$B$4:$B$2004,"&gt;="&amp;$P$1,周转筐出入库明细!$B$4:$B$2004,"&lt;="&amp;$P$2))</f>
        <v/>
      </c>
      <c r="E134" s="25" t="str">
        <f>IF(OR($B134="",基础资料!$B$6=""),"",SUMIFS(周转筐出入库明细!$H$4:$H$2004,周转筐出入库明细!$C$4:$C$2004,$B134,周转筐出入库明细!$D$4:$D$2004,基础资料!$B$6,周转筐出入库明细!$F$4:$F$2004,"采购入库",周转筐出入库明细!$B$4:$B$2004,"&gt;="&amp;$P$1,周转筐出入库明细!$B$4:$B$2004,"&lt;="&amp;$P$2))</f>
        <v/>
      </c>
      <c r="F134" s="25" t="str">
        <f>IF(OR($B134="",基础资料!$B$7=""),"",SUMIFS(周转筐出入库明细!$H$4:$H$2004,周转筐出入库明细!$C$4:$C$2004,$B134,周转筐出入库明细!$D$4:$D$2004,基础资料!$B$7,周转筐出入库明细!$F$4:$F$2004,"采购入库",周转筐出入库明细!$B$4:$B$2004,"&gt;="&amp;$P$1,周转筐出入库明细!$B$4:$B$2004,"&lt;="&amp;$P$2))</f>
        <v/>
      </c>
      <c r="G134" s="25" t="str">
        <f>IF(OR($B134="",基础资料!$B$8=""),"",SUMIFS(周转筐出入库明细!$H$4:$H$2004,周转筐出入库明细!$C$4:$C$2004,$B134,周转筐出入库明细!$D$4:$D$2004,基础资料!$B$8,周转筐出入库明细!$F$4:$F$2004,"采购入库",周转筐出入库明细!$B$4:$B$2004,"&gt;="&amp;$P$1,周转筐出入库明细!$B$4:$B$2004,"&lt;="&amp;$P$2))</f>
        <v/>
      </c>
      <c r="H134" s="25" t="str">
        <f>IF($B134="","",SUMIFS(周转筐出入库明细!$H$4:$H$2004,周转筐出入库明细!$C$4:$C$2004,$B134,周转筐出入库明细!$F$4:$F$2004,"采购入库",周转筐出入库明细!$B$4:$B$2004,"&gt;="&amp;$P$1,周转筐出入库明细!$B$4:$B$2004,"&lt;="&amp;$P$2)-SUM($C134:$G134))</f>
        <v/>
      </c>
      <c r="I134" s="25" t="str">
        <f t="shared" si="7"/>
        <v/>
      </c>
      <c r="J134" s="26" t="str">
        <f>IF($B134="","",ROUND(SUMIFS(周转筐出入库明细!$P$4:$P$2004,周转筐出入库明细!$C$4:$C$2004,$B134,周转筐出入库明细!$F$4:$F$2004,"采购入库",周转筐出入库明细!$B$4:$B$2004,"&gt;="&amp;$P$1,周转筐出入库明细!$B$4:$B$2004,"&lt;="&amp;$P$2),2))</f>
        <v/>
      </c>
      <c r="K134" s="26" t="str">
        <f>IF($B134="","",ROUND(SUMIFS(周转筐出入库明细!$P$4:$P$2004,周转筐出入库明细!$C$4:$C$2004,$B134,周转筐出入库明细!$F$4:$F$2004,"采购入库",周转筐出入库明细!$Q$4:$Q$2004,"已付款",周转筐出入库明细!$B$4:$B$2004,"&gt;="&amp;$P$1,周转筐出入库明细!$B$4:$B$2004,"&lt;="&amp;$P$2),2))</f>
        <v/>
      </c>
      <c r="L134" s="26" t="str">
        <f t="shared" si="8"/>
        <v/>
      </c>
    </row>
    <row r="135" spans="1:12">
      <c r="A135" s="22" t="str">
        <f t="shared" si="6"/>
        <v/>
      </c>
      <c r="B135" s="37" t="str">
        <f>IFERROR(INDEX(_自动清单!$CW$4:$CW$203,ROW()-3),"")</f>
        <v/>
      </c>
      <c r="C135" s="25" t="str">
        <f>IF(OR($B135="",基础资料!$B$4=""),"",SUMIFS(周转筐出入库明细!$H$4:$H$2004,周转筐出入库明细!$C$4:$C$2004,$B135,周转筐出入库明细!$D$4:$D$2004,基础资料!$B$4,周转筐出入库明细!$F$4:$F$2004,"采购入库",周转筐出入库明细!$B$4:$B$2004,"&gt;="&amp;$P$1,周转筐出入库明细!$B$4:$B$2004,"&lt;="&amp;$P$2))</f>
        <v/>
      </c>
      <c r="D135" s="25" t="str">
        <f>IF(OR($B135="",基础资料!$B$5=""),"",SUMIFS(周转筐出入库明细!$H$4:$H$2004,周转筐出入库明细!$C$4:$C$2004,$B135,周转筐出入库明细!$D$4:$D$2004,基础资料!$B$5,周转筐出入库明细!$F$4:$F$2004,"采购入库",周转筐出入库明细!$B$4:$B$2004,"&gt;="&amp;$P$1,周转筐出入库明细!$B$4:$B$2004,"&lt;="&amp;$P$2))</f>
        <v/>
      </c>
      <c r="E135" s="25" t="str">
        <f>IF(OR($B135="",基础资料!$B$6=""),"",SUMIFS(周转筐出入库明细!$H$4:$H$2004,周转筐出入库明细!$C$4:$C$2004,$B135,周转筐出入库明细!$D$4:$D$2004,基础资料!$B$6,周转筐出入库明细!$F$4:$F$2004,"采购入库",周转筐出入库明细!$B$4:$B$2004,"&gt;="&amp;$P$1,周转筐出入库明细!$B$4:$B$2004,"&lt;="&amp;$P$2))</f>
        <v/>
      </c>
      <c r="F135" s="25" t="str">
        <f>IF(OR($B135="",基础资料!$B$7=""),"",SUMIFS(周转筐出入库明细!$H$4:$H$2004,周转筐出入库明细!$C$4:$C$2004,$B135,周转筐出入库明细!$D$4:$D$2004,基础资料!$B$7,周转筐出入库明细!$F$4:$F$2004,"采购入库",周转筐出入库明细!$B$4:$B$2004,"&gt;="&amp;$P$1,周转筐出入库明细!$B$4:$B$2004,"&lt;="&amp;$P$2))</f>
        <v/>
      </c>
      <c r="G135" s="25" t="str">
        <f>IF(OR($B135="",基础资料!$B$8=""),"",SUMIFS(周转筐出入库明细!$H$4:$H$2004,周转筐出入库明细!$C$4:$C$2004,$B135,周转筐出入库明细!$D$4:$D$2004,基础资料!$B$8,周转筐出入库明细!$F$4:$F$2004,"采购入库",周转筐出入库明细!$B$4:$B$2004,"&gt;="&amp;$P$1,周转筐出入库明细!$B$4:$B$2004,"&lt;="&amp;$P$2))</f>
        <v/>
      </c>
      <c r="H135" s="25" t="str">
        <f>IF($B135="","",SUMIFS(周转筐出入库明细!$H$4:$H$2004,周转筐出入库明细!$C$4:$C$2004,$B135,周转筐出入库明细!$F$4:$F$2004,"采购入库",周转筐出入库明细!$B$4:$B$2004,"&gt;="&amp;$P$1,周转筐出入库明细!$B$4:$B$2004,"&lt;="&amp;$P$2)-SUM($C135:$G135))</f>
        <v/>
      </c>
      <c r="I135" s="25" t="str">
        <f t="shared" si="7"/>
        <v/>
      </c>
      <c r="J135" s="26" t="str">
        <f>IF($B135="","",ROUND(SUMIFS(周转筐出入库明细!$P$4:$P$2004,周转筐出入库明细!$C$4:$C$2004,$B135,周转筐出入库明细!$F$4:$F$2004,"采购入库",周转筐出入库明细!$B$4:$B$2004,"&gt;="&amp;$P$1,周转筐出入库明细!$B$4:$B$2004,"&lt;="&amp;$P$2),2))</f>
        <v/>
      </c>
      <c r="K135" s="26" t="str">
        <f>IF($B135="","",ROUND(SUMIFS(周转筐出入库明细!$P$4:$P$2004,周转筐出入库明细!$C$4:$C$2004,$B135,周转筐出入库明细!$F$4:$F$2004,"采购入库",周转筐出入库明细!$Q$4:$Q$2004,"已付款",周转筐出入库明细!$B$4:$B$2004,"&gt;="&amp;$P$1,周转筐出入库明细!$B$4:$B$2004,"&lt;="&amp;$P$2),2))</f>
        <v/>
      </c>
      <c r="L135" s="26" t="str">
        <f t="shared" si="8"/>
        <v/>
      </c>
    </row>
    <row r="136" spans="1:12">
      <c r="A136" s="22" t="str">
        <f t="shared" si="6"/>
        <v/>
      </c>
      <c r="B136" s="37" t="str">
        <f>IFERROR(INDEX(_自动清单!$CW$4:$CW$203,ROW()-3),"")</f>
        <v/>
      </c>
      <c r="C136" s="25" t="str">
        <f>IF(OR($B136="",基础资料!$B$4=""),"",SUMIFS(周转筐出入库明细!$H$4:$H$2004,周转筐出入库明细!$C$4:$C$2004,$B136,周转筐出入库明细!$D$4:$D$2004,基础资料!$B$4,周转筐出入库明细!$F$4:$F$2004,"采购入库",周转筐出入库明细!$B$4:$B$2004,"&gt;="&amp;$P$1,周转筐出入库明细!$B$4:$B$2004,"&lt;="&amp;$P$2))</f>
        <v/>
      </c>
      <c r="D136" s="25" t="str">
        <f>IF(OR($B136="",基础资料!$B$5=""),"",SUMIFS(周转筐出入库明细!$H$4:$H$2004,周转筐出入库明细!$C$4:$C$2004,$B136,周转筐出入库明细!$D$4:$D$2004,基础资料!$B$5,周转筐出入库明细!$F$4:$F$2004,"采购入库",周转筐出入库明细!$B$4:$B$2004,"&gt;="&amp;$P$1,周转筐出入库明细!$B$4:$B$2004,"&lt;="&amp;$P$2))</f>
        <v/>
      </c>
      <c r="E136" s="25" t="str">
        <f>IF(OR($B136="",基础资料!$B$6=""),"",SUMIFS(周转筐出入库明细!$H$4:$H$2004,周转筐出入库明细!$C$4:$C$2004,$B136,周转筐出入库明细!$D$4:$D$2004,基础资料!$B$6,周转筐出入库明细!$F$4:$F$2004,"采购入库",周转筐出入库明细!$B$4:$B$2004,"&gt;="&amp;$P$1,周转筐出入库明细!$B$4:$B$2004,"&lt;="&amp;$P$2))</f>
        <v/>
      </c>
      <c r="F136" s="25" t="str">
        <f>IF(OR($B136="",基础资料!$B$7=""),"",SUMIFS(周转筐出入库明细!$H$4:$H$2004,周转筐出入库明细!$C$4:$C$2004,$B136,周转筐出入库明细!$D$4:$D$2004,基础资料!$B$7,周转筐出入库明细!$F$4:$F$2004,"采购入库",周转筐出入库明细!$B$4:$B$2004,"&gt;="&amp;$P$1,周转筐出入库明细!$B$4:$B$2004,"&lt;="&amp;$P$2))</f>
        <v/>
      </c>
      <c r="G136" s="25" t="str">
        <f>IF(OR($B136="",基础资料!$B$8=""),"",SUMIFS(周转筐出入库明细!$H$4:$H$2004,周转筐出入库明细!$C$4:$C$2004,$B136,周转筐出入库明细!$D$4:$D$2004,基础资料!$B$8,周转筐出入库明细!$F$4:$F$2004,"采购入库",周转筐出入库明细!$B$4:$B$2004,"&gt;="&amp;$P$1,周转筐出入库明细!$B$4:$B$2004,"&lt;="&amp;$P$2))</f>
        <v/>
      </c>
      <c r="H136" s="25" t="str">
        <f>IF($B136="","",SUMIFS(周转筐出入库明细!$H$4:$H$2004,周转筐出入库明细!$C$4:$C$2004,$B136,周转筐出入库明细!$F$4:$F$2004,"采购入库",周转筐出入库明细!$B$4:$B$2004,"&gt;="&amp;$P$1,周转筐出入库明细!$B$4:$B$2004,"&lt;="&amp;$P$2)-SUM($C136:$G136))</f>
        <v/>
      </c>
      <c r="I136" s="25" t="str">
        <f t="shared" si="7"/>
        <v/>
      </c>
      <c r="J136" s="26" t="str">
        <f>IF($B136="","",ROUND(SUMIFS(周转筐出入库明细!$P$4:$P$2004,周转筐出入库明细!$C$4:$C$2004,$B136,周转筐出入库明细!$F$4:$F$2004,"采购入库",周转筐出入库明细!$B$4:$B$2004,"&gt;="&amp;$P$1,周转筐出入库明细!$B$4:$B$2004,"&lt;="&amp;$P$2),2))</f>
        <v/>
      </c>
      <c r="K136" s="26" t="str">
        <f>IF($B136="","",ROUND(SUMIFS(周转筐出入库明细!$P$4:$P$2004,周转筐出入库明细!$C$4:$C$2004,$B136,周转筐出入库明细!$F$4:$F$2004,"采购入库",周转筐出入库明细!$Q$4:$Q$2004,"已付款",周转筐出入库明细!$B$4:$B$2004,"&gt;="&amp;$P$1,周转筐出入库明细!$B$4:$B$2004,"&lt;="&amp;$P$2),2))</f>
        <v/>
      </c>
      <c r="L136" s="26" t="str">
        <f t="shared" si="8"/>
        <v/>
      </c>
    </row>
    <row r="137" spans="1:12">
      <c r="A137" s="22" t="str">
        <f t="shared" si="6"/>
        <v/>
      </c>
      <c r="B137" s="37" t="str">
        <f>IFERROR(INDEX(_自动清单!$CW$4:$CW$203,ROW()-3),"")</f>
        <v/>
      </c>
      <c r="C137" s="25" t="str">
        <f>IF(OR($B137="",基础资料!$B$4=""),"",SUMIFS(周转筐出入库明细!$H$4:$H$2004,周转筐出入库明细!$C$4:$C$2004,$B137,周转筐出入库明细!$D$4:$D$2004,基础资料!$B$4,周转筐出入库明细!$F$4:$F$2004,"采购入库",周转筐出入库明细!$B$4:$B$2004,"&gt;="&amp;$P$1,周转筐出入库明细!$B$4:$B$2004,"&lt;="&amp;$P$2))</f>
        <v/>
      </c>
      <c r="D137" s="25" t="str">
        <f>IF(OR($B137="",基础资料!$B$5=""),"",SUMIFS(周转筐出入库明细!$H$4:$H$2004,周转筐出入库明细!$C$4:$C$2004,$B137,周转筐出入库明细!$D$4:$D$2004,基础资料!$B$5,周转筐出入库明细!$F$4:$F$2004,"采购入库",周转筐出入库明细!$B$4:$B$2004,"&gt;="&amp;$P$1,周转筐出入库明细!$B$4:$B$2004,"&lt;="&amp;$P$2))</f>
        <v/>
      </c>
      <c r="E137" s="25" t="str">
        <f>IF(OR($B137="",基础资料!$B$6=""),"",SUMIFS(周转筐出入库明细!$H$4:$H$2004,周转筐出入库明细!$C$4:$C$2004,$B137,周转筐出入库明细!$D$4:$D$2004,基础资料!$B$6,周转筐出入库明细!$F$4:$F$2004,"采购入库",周转筐出入库明细!$B$4:$B$2004,"&gt;="&amp;$P$1,周转筐出入库明细!$B$4:$B$2004,"&lt;="&amp;$P$2))</f>
        <v/>
      </c>
      <c r="F137" s="25" t="str">
        <f>IF(OR($B137="",基础资料!$B$7=""),"",SUMIFS(周转筐出入库明细!$H$4:$H$2004,周转筐出入库明细!$C$4:$C$2004,$B137,周转筐出入库明细!$D$4:$D$2004,基础资料!$B$7,周转筐出入库明细!$F$4:$F$2004,"采购入库",周转筐出入库明细!$B$4:$B$2004,"&gt;="&amp;$P$1,周转筐出入库明细!$B$4:$B$2004,"&lt;="&amp;$P$2))</f>
        <v/>
      </c>
      <c r="G137" s="25" t="str">
        <f>IF(OR($B137="",基础资料!$B$8=""),"",SUMIFS(周转筐出入库明细!$H$4:$H$2004,周转筐出入库明细!$C$4:$C$2004,$B137,周转筐出入库明细!$D$4:$D$2004,基础资料!$B$8,周转筐出入库明细!$F$4:$F$2004,"采购入库",周转筐出入库明细!$B$4:$B$2004,"&gt;="&amp;$P$1,周转筐出入库明细!$B$4:$B$2004,"&lt;="&amp;$P$2))</f>
        <v/>
      </c>
      <c r="H137" s="25" t="str">
        <f>IF($B137="","",SUMIFS(周转筐出入库明细!$H$4:$H$2004,周转筐出入库明细!$C$4:$C$2004,$B137,周转筐出入库明细!$F$4:$F$2004,"采购入库",周转筐出入库明细!$B$4:$B$2004,"&gt;="&amp;$P$1,周转筐出入库明细!$B$4:$B$2004,"&lt;="&amp;$P$2)-SUM($C137:$G137))</f>
        <v/>
      </c>
      <c r="I137" s="25" t="str">
        <f t="shared" si="7"/>
        <v/>
      </c>
      <c r="J137" s="26" t="str">
        <f>IF($B137="","",ROUND(SUMIFS(周转筐出入库明细!$P$4:$P$2004,周转筐出入库明细!$C$4:$C$2004,$B137,周转筐出入库明细!$F$4:$F$2004,"采购入库",周转筐出入库明细!$B$4:$B$2004,"&gt;="&amp;$P$1,周转筐出入库明细!$B$4:$B$2004,"&lt;="&amp;$P$2),2))</f>
        <v/>
      </c>
      <c r="K137" s="26" t="str">
        <f>IF($B137="","",ROUND(SUMIFS(周转筐出入库明细!$P$4:$P$2004,周转筐出入库明细!$C$4:$C$2004,$B137,周转筐出入库明细!$F$4:$F$2004,"采购入库",周转筐出入库明细!$Q$4:$Q$2004,"已付款",周转筐出入库明细!$B$4:$B$2004,"&gt;="&amp;$P$1,周转筐出入库明细!$B$4:$B$2004,"&lt;="&amp;$P$2),2))</f>
        <v/>
      </c>
      <c r="L137" s="26" t="str">
        <f t="shared" si="8"/>
        <v/>
      </c>
    </row>
    <row r="138" spans="1:12">
      <c r="A138" s="22" t="str">
        <f t="shared" si="6"/>
        <v/>
      </c>
      <c r="B138" s="37" t="str">
        <f>IFERROR(INDEX(_自动清单!$CW$4:$CW$203,ROW()-3),"")</f>
        <v/>
      </c>
      <c r="C138" s="25" t="str">
        <f>IF(OR($B138="",基础资料!$B$4=""),"",SUMIFS(周转筐出入库明细!$H$4:$H$2004,周转筐出入库明细!$C$4:$C$2004,$B138,周转筐出入库明细!$D$4:$D$2004,基础资料!$B$4,周转筐出入库明细!$F$4:$F$2004,"采购入库",周转筐出入库明细!$B$4:$B$2004,"&gt;="&amp;$P$1,周转筐出入库明细!$B$4:$B$2004,"&lt;="&amp;$P$2))</f>
        <v/>
      </c>
      <c r="D138" s="25" t="str">
        <f>IF(OR($B138="",基础资料!$B$5=""),"",SUMIFS(周转筐出入库明细!$H$4:$H$2004,周转筐出入库明细!$C$4:$C$2004,$B138,周转筐出入库明细!$D$4:$D$2004,基础资料!$B$5,周转筐出入库明细!$F$4:$F$2004,"采购入库",周转筐出入库明细!$B$4:$B$2004,"&gt;="&amp;$P$1,周转筐出入库明细!$B$4:$B$2004,"&lt;="&amp;$P$2))</f>
        <v/>
      </c>
      <c r="E138" s="25" t="str">
        <f>IF(OR($B138="",基础资料!$B$6=""),"",SUMIFS(周转筐出入库明细!$H$4:$H$2004,周转筐出入库明细!$C$4:$C$2004,$B138,周转筐出入库明细!$D$4:$D$2004,基础资料!$B$6,周转筐出入库明细!$F$4:$F$2004,"采购入库",周转筐出入库明细!$B$4:$B$2004,"&gt;="&amp;$P$1,周转筐出入库明细!$B$4:$B$2004,"&lt;="&amp;$P$2))</f>
        <v/>
      </c>
      <c r="F138" s="25" t="str">
        <f>IF(OR($B138="",基础资料!$B$7=""),"",SUMIFS(周转筐出入库明细!$H$4:$H$2004,周转筐出入库明细!$C$4:$C$2004,$B138,周转筐出入库明细!$D$4:$D$2004,基础资料!$B$7,周转筐出入库明细!$F$4:$F$2004,"采购入库",周转筐出入库明细!$B$4:$B$2004,"&gt;="&amp;$P$1,周转筐出入库明细!$B$4:$B$2004,"&lt;="&amp;$P$2))</f>
        <v/>
      </c>
      <c r="G138" s="25" t="str">
        <f>IF(OR($B138="",基础资料!$B$8=""),"",SUMIFS(周转筐出入库明细!$H$4:$H$2004,周转筐出入库明细!$C$4:$C$2004,$B138,周转筐出入库明细!$D$4:$D$2004,基础资料!$B$8,周转筐出入库明细!$F$4:$F$2004,"采购入库",周转筐出入库明细!$B$4:$B$2004,"&gt;="&amp;$P$1,周转筐出入库明细!$B$4:$B$2004,"&lt;="&amp;$P$2))</f>
        <v/>
      </c>
      <c r="H138" s="25" t="str">
        <f>IF($B138="","",SUMIFS(周转筐出入库明细!$H$4:$H$2004,周转筐出入库明细!$C$4:$C$2004,$B138,周转筐出入库明细!$F$4:$F$2004,"采购入库",周转筐出入库明细!$B$4:$B$2004,"&gt;="&amp;$P$1,周转筐出入库明细!$B$4:$B$2004,"&lt;="&amp;$P$2)-SUM($C138:$G138))</f>
        <v/>
      </c>
      <c r="I138" s="25" t="str">
        <f t="shared" si="7"/>
        <v/>
      </c>
      <c r="J138" s="26" t="str">
        <f>IF($B138="","",ROUND(SUMIFS(周转筐出入库明细!$P$4:$P$2004,周转筐出入库明细!$C$4:$C$2004,$B138,周转筐出入库明细!$F$4:$F$2004,"采购入库",周转筐出入库明细!$B$4:$B$2004,"&gt;="&amp;$P$1,周转筐出入库明细!$B$4:$B$2004,"&lt;="&amp;$P$2),2))</f>
        <v/>
      </c>
      <c r="K138" s="26" t="str">
        <f>IF($B138="","",ROUND(SUMIFS(周转筐出入库明细!$P$4:$P$2004,周转筐出入库明细!$C$4:$C$2004,$B138,周转筐出入库明细!$F$4:$F$2004,"采购入库",周转筐出入库明细!$Q$4:$Q$2004,"已付款",周转筐出入库明细!$B$4:$B$2004,"&gt;="&amp;$P$1,周转筐出入库明细!$B$4:$B$2004,"&lt;="&amp;$P$2),2))</f>
        <v/>
      </c>
      <c r="L138" s="26" t="str">
        <f t="shared" si="8"/>
        <v/>
      </c>
    </row>
    <row r="139" spans="1:12">
      <c r="A139" s="22" t="str">
        <f t="shared" si="6"/>
        <v/>
      </c>
      <c r="B139" s="37" t="str">
        <f>IFERROR(INDEX(_自动清单!$CW$4:$CW$203,ROW()-3),"")</f>
        <v/>
      </c>
      <c r="C139" s="25" t="str">
        <f>IF(OR($B139="",基础资料!$B$4=""),"",SUMIFS(周转筐出入库明细!$H$4:$H$2004,周转筐出入库明细!$C$4:$C$2004,$B139,周转筐出入库明细!$D$4:$D$2004,基础资料!$B$4,周转筐出入库明细!$F$4:$F$2004,"采购入库",周转筐出入库明细!$B$4:$B$2004,"&gt;="&amp;$P$1,周转筐出入库明细!$B$4:$B$2004,"&lt;="&amp;$P$2))</f>
        <v/>
      </c>
      <c r="D139" s="25" t="str">
        <f>IF(OR($B139="",基础资料!$B$5=""),"",SUMIFS(周转筐出入库明细!$H$4:$H$2004,周转筐出入库明细!$C$4:$C$2004,$B139,周转筐出入库明细!$D$4:$D$2004,基础资料!$B$5,周转筐出入库明细!$F$4:$F$2004,"采购入库",周转筐出入库明细!$B$4:$B$2004,"&gt;="&amp;$P$1,周转筐出入库明细!$B$4:$B$2004,"&lt;="&amp;$P$2))</f>
        <v/>
      </c>
      <c r="E139" s="25" t="str">
        <f>IF(OR($B139="",基础资料!$B$6=""),"",SUMIFS(周转筐出入库明细!$H$4:$H$2004,周转筐出入库明细!$C$4:$C$2004,$B139,周转筐出入库明细!$D$4:$D$2004,基础资料!$B$6,周转筐出入库明细!$F$4:$F$2004,"采购入库",周转筐出入库明细!$B$4:$B$2004,"&gt;="&amp;$P$1,周转筐出入库明细!$B$4:$B$2004,"&lt;="&amp;$P$2))</f>
        <v/>
      </c>
      <c r="F139" s="25" t="str">
        <f>IF(OR($B139="",基础资料!$B$7=""),"",SUMIFS(周转筐出入库明细!$H$4:$H$2004,周转筐出入库明细!$C$4:$C$2004,$B139,周转筐出入库明细!$D$4:$D$2004,基础资料!$B$7,周转筐出入库明细!$F$4:$F$2004,"采购入库",周转筐出入库明细!$B$4:$B$2004,"&gt;="&amp;$P$1,周转筐出入库明细!$B$4:$B$2004,"&lt;="&amp;$P$2))</f>
        <v/>
      </c>
      <c r="G139" s="25" t="str">
        <f>IF(OR($B139="",基础资料!$B$8=""),"",SUMIFS(周转筐出入库明细!$H$4:$H$2004,周转筐出入库明细!$C$4:$C$2004,$B139,周转筐出入库明细!$D$4:$D$2004,基础资料!$B$8,周转筐出入库明细!$F$4:$F$2004,"采购入库",周转筐出入库明细!$B$4:$B$2004,"&gt;="&amp;$P$1,周转筐出入库明细!$B$4:$B$2004,"&lt;="&amp;$P$2))</f>
        <v/>
      </c>
      <c r="H139" s="25" t="str">
        <f>IF($B139="","",SUMIFS(周转筐出入库明细!$H$4:$H$2004,周转筐出入库明细!$C$4:$C$2004,$B139,周转筐出入库明细!$F$4:$F$2004,"采购入库",周转筐出入库明细!$B$4:$B$2004,"&gt;="&amp;$P$1,周转筐出入库明细!$B$4:$B$2004,"&lt;="&amp;$P$2)-SUM($C139:$G139))</f>
        <v/>
      </c>
      <c r="I139" s="25" t="str">
        <f t="shared" si="7"/>
        <v/>
      </c>
      <c r="J139" s="26" t="str">
        <f>IF($B139="","",ROUND(SUMIFS(周转筐出入库明细!$P$4:$P$2004,周转筐出入库明细!$C$4:$C$2004,$B139,周转筐出入库明细!$F$4:$F$2004,"采购入库",周转筐出入库明细!$B$4:$B$2004,"&gt;="&amp;$P$1,周转筐出入库明细!$B$4:$B$2004,"&lt;="&amp;$P$2),2))</f>
        <v/>
      </c>
      <c r="K139" s="26" t="str">
        <f>IF($B139="","",ROUND(SUMIFS(周转筐出入库明细!$P$4:$P$2004,周转筐出入库明细!$C$4:$C$2004,$B139,周转筐出入库明细!$F$4:$F$2004,"采购入库",周转筐出入库明细!$Q$4:$Q$2004,"已付款",周转筐出入库明细!$B$4:$B$2004,"&gt;="&amp;$P$1,周转筐出入库明细!$B$4:$B$2004,"&lt;="&amp;$P$2),2))</f>
        <v/>
      </c>
      <c r="L139" s="26" t="str">
        <f t="shared" si="8"/>
        <v/>
      </c>
    </row>
    <row r="140" spans="1:12">
      <c r="A140" s="22" t="str">
        <f t="shared" si="6"/>
        <v/>
      </c>
      <c r="B140" s="37" t="str">
        <f>IFERROR(INDEX(_自动清单!$CW$4:$CW$203,ROW()-3),"")</f>
        <v/>
      </c>
      <c r="C140" s="25" t="str">
        <f>IF(OR($B140="",基础资料!$B$4=""),"",SUMIFS(周转筐出入库明细!$H$4:$H$2004,周转筐出入库明细!$C$4:$C$2004,$B140,周转筐出入库明细!$D$4:$D$2004,基础资料!$B$4,周转筐出入库明细!$F$4:$F$2004,"采购入库",周转筐出入库明细!$B$4:$B$2004,"&gt;="&amp;$P$1,周转筐出入库明细!$B$4:$B$2004,"&lt;="&amp;$P$2))</f>
        <v/>
      </c>
      <c r="D140" s="25" t="str">
        <f>IF(OR($B140="",基础资料!$B$5=""),"",SUMIFS(周转筐出入库明细!$H$4:$H$2004,周转筐出入库明细!$C$4:$C$2004,$B140,周转筐出入库明细!$D$4:$D$2004,基础资料!$B$5,周转筐出入库明细!$F$4:$F$2004,"采购入库",周转筐出入库明细!$B$4:$B$2004,"&gt;="&amp;$P$1,周转筐出入库明细!$B$4:$B$2004,"&lt;="&amp;$P$2))</f>
        <v/>
      </c>
      <c r="E140" s="25" t="str">
        <f>IF(OR($B140="",基础资料!$B$6=""),"",SUMIFS(周转筐出入库明细!$H$4:$H$2004,周转筐出入库明细!$C$4:$C$2004,$B140,周转筐出入库明细!$D$4:$D$2004,基础资料!$B$6,周转筐出入库明细!$F$4:$F$2004,"采购入库",周转筐出入库明细!$B$4:$B$2004,"&gt;="&amp;$P$1,周转筐出入库明细!$B$4:$B$2004,"&lt;="&amp;$P$2))</f>
        <v/>
      </c>
      <c r="F140" s="25" t="str">
        <f>IF(OR($B140="",基础资料!$B$7=""),"",SUMIFS(周转筐出入库明细!$H$4:$H$2004,周转筐出入库明细!$C$4:$C$2004,$B140,周转筐出入库明细!$D$4:$D$2004,基础资料!$B$7,周转筐出入库明细!$F$4:$F$2004,"采购入库",周转筐出入库明细!$B$4:$B$2004,"&gt;="&amp;$P$1,周转筐出入库明细!$B$4:$B$2004,"&lt;="&amp;$P$2))</f>
        <v/>
      </c>
      <c r="G140" s="25" t="str">
        <f>IF(OR($B140="",基础资料!$B$8=""),"",SUMIFS(周转筐出入库明细!$H$4:$H$2004,周转筐出入库明细!$C$4:$C$2004,$B140,周转筐出入库明细!$D$4:$D$2004,基础资料!$B$8,周转筐出入库明细!$F$4:$F$2004,"采购入库",周转筐出入库明细!$B$4:$B$2004,"&gt;="&amp;$P$1,周转筐出入库明细!$B$4:$B$2004,"&lt;="&amp;$P$2))</f>
        <v/>
      </c>
      <c r="H140" s="25" t="str">
        <f>IF($B140="","",SUMIFS(周转筐出入库明细!$H$4:$H$2004,周转筐出入库明细!$C$4:$C$2004,$B140,周转筐出入库明细!$F$4:$F$2004,"采购入库",周转筐出入库明细!$B$4:$B$2004,"&gt;="&amp;$P$1,周转筐出入库明细!$B$4:$B$2004,"&lt;="&amp;$P$2)-SUM($C140:$G140))</f>
        <v/>
      </c>
      <c r="I140" s="25" t="str">
        <f t="shared" si="7"/>
        <v/>
      </c>
      <c r="J140" s="26" t="str">
        <f>IF($B140="","",ROUND(SUMIFS(周转筐出入库明细!$P$4:$P$2004,周转筐出入库明细!$C$4:$C$2004,$B140,周转筐出入库明细!$F$4:$F$2004,"采购入库",周转筐出入库明细!$B$4:$B$2004,"&gt;="&amp;$P$1,周转筐出入库明细!$B$4:$B$2004,"&lt;="&amp;$P$2),2))</f>
        <v/>
      </c>
      <c r="K140" s="26" t="str">
        <f>IF($B140="","",ROUND(SUMIFS(周转筐出入库明细!$P$4:$P$2004,周转筐出入库明细!$C$4:$C$2004,$B140,周转筐出入库明细!$F$4:$F$2004,"采购入库",周转筐出入库明细!$Q$4:$Q$2004,"已付款",周转筐出入库明细!$B$4:$B$2004,"&gt;="&amp;$P$1,周转筐出入库明细!$B$4:$B$2004,"&lt;="&amp;$P$2),2))</f>
        <v/>
      </c>
      <c r="L140" s="26" t="str">
        <f t="shared" si="8"/>
        <v/>
      </c>
    </row>
    <row r="141" spans="1:12">
      <c r="A141" s="22" t="str">
        <f t="shared" si="6"/>
        <v/>
      </c>
      <c r="B141" s="37" t="str">
        <f>IFERROR(INDEX(_自动清单!$CW$4:$CW$203,ROW()-3),"")</f>
        <v/>
      </c>
      <c r="C141" s="25" t="str">
        <f>IF(OR($B141="",基础资料!$B$4=""),"",SUMIFS(周转筐出入库明细!$H$4:$H$2004,周转筐出入库明细!$C$4:$C$2004,$B141,周转筐出入库明细!$D$4:$D$2004,基础资料!$B$4,周转筐出入库明细!$F$4:$F$2004,"采购入库",周转筐出入库明细!$B$4:$B$2004,"&gt;="&amp;$P$1,周转筐出入库明细!$B$4:$B$2004,"&lt;="&amp;$P$2))</f>
        <v/>
      </c>
      <c r="D141" s="25" t="str">
        <f>IF(OR($B141="",基础资料!$B$5=""),"",SUMIFS(周转筐出入库明细!$H$4:$H$2004,周转筐出入库明细!$C$4:$C$2004,$B141,周转筐出入库明细!$D$4:$D$2004,基础资料!$B$5,周转筐出入库明细!$F$4:$F$2004,"采购入库",周转筐出入库明细!$B$4:$B$2004,"&gt;="&amp;$P$1,周转筐出入库明细!$B$4:$B$2004,"&lt;="&amp;$P$2))</f>
        <v/>
      </c>
      <c r="E141" s="25" t="str">
        <f>IF(OR($B141="",基础资料!$B$6=""),"",SUMIFS(周转筐出入库明细!$H$4:$H$2004,周转筐出入库明细!$C$4:$C$2004,$B141,周转筐出入库明细!$D$4:$D$2004,基础资料!$B$6,周转筐出入库明细!$F$4:$F$2004,"采购入库",周转筐出入库明细!$B$4:$B$2004,"&gt;="&amp;$P$1,周转筐出入库明细!$B$4:$B$2004,"&lt;="&amp;$P$2))</f>
        <v/>
      </c>
      <c r="F141" s="25" t="str">
        <f>IF(OR($B141="",基础资料!$B$7=""),"",SUMIFS(周转筐出入库明细!$H$4:$H$2004,周转筐出入库明细!$C$4:$C$2004,$B141,周转筐出入库明细!$D$4:$D$2004,基础资料!$B$7,周转筐出入库明细!$F$4:$F$2004,"采购入库",周转筐出入库明细!$B$4:$B$2004,"&gt;="&amp;$P$1,周转筐出入库明细!$B$4:$B$2004,"&lt;="&amp;$P$2))</f>
        <v/>
      </c>
      <c r="G141" s="25" t="str">
        <f>IF(OR($B141="",基础资料!$B$8=""),"",SUMIFS(周转筐出入库明细!$H$4:$H$2004,周转筐出入库明细!$C$4:$C$2004,$B141,周转筐出入库明细!$D$4:$D$2004,基础资料!$B$8,周转筐出入库明细!$F$4:$F$2004,"采购入库",周转筐出入库明细!$B$4:$B$2004,"&gt;="&amp;$P$1,周转筐出入库明细!$B$4:$B$2004,"&lt;="&amp;$P$2))</f>
        <v/>
      </c>
      <c r="H141" s="25" t="str">
        <f>IF($B141="","",SUMIFS(周转筐出入库明细!$H$4:$H$2004,周转筐出入库明细!$C$4:$C$2004,$B141,周转筐出入库明细!$F$4:$F$2004,"采购入库",周转筐出入库明细!$B$4:$B$2004,"&gt;="&amp;$P$1,周转筐出入库明细!$B$4:$B$2004,"&lt;="&amp;$P$2)-SUM($C141:$G141))</f>
        <v/>
      </c>
      <c r="I141" s="25" t="str">
        <f t="shared" si="7"/>
        <v/>
      </c>
      <c r="J141" s="26" t="str">
        <f>IF($B141="","",ROUND(SUMIFS(周转筐出入库明细!$P$4:$P$2004,周转筐出入库明细!$C$4:$C$2004,$B141,周转筐出入库明细!$F$4:$F$2004,"采购入库",周转筐出入库明细!$B$4:$B$2004,"&gt;="&amp;$P$1,周转筐出入库明细!$B$4:$B$2004,"&lt;="&amp;$P$2),2))</f>
        <v/>
      </c>
      <c r="K141" s="26" t="str">
        <f>IF($B141="","",ROUND(SUMIFS(周转筐出入库明细!$P$4:$P$2004,周转筐出入库明细!$C$4:$C$2004,$B141,周转筐出入库明细!$F$4:$F$2004,"采购入库",周转筐出入库明细!$Q$4:$Q$2004,"已付款",周转筐出入库明细!$B$4:$B$2004,"&gt;="&amp;$P$1,周转筐出入库明细!$B$4:$B$2004,"&lt;="&amp;$P$2),2))</f>
        <v/>
      </c>
      <c r="L141" s="26" t="str">
        <f t="shared" si="8"/>
        <v/>
      </c>
    </row>
    <row r="142" spans="1:12">
      <c r="A142" s="22" t="str">
        <f t="shared" si="6"/>
        <v/>
      </c>
      <c r="B142" s="37" t="str">
        <f>IFERROR(INDEX(_自动清单!$CW$4:$CW$203,ROW()-3),"")</f>
        <v/>
      </c>
      <c r="C142" s="25" t="str">
        <f>IF(OR($B142="",基础资料!$B$4=""),"",SUMIFS(周转筐出入库明细!$H$4:$H$2004,周转筐出入库明细!$C$4:$C$2004,$B142,周转筐出入库明细!$D$4:$D$2004,基础资料!$B$4,周转筐出入库明细!$F$4:$F$2004,"采购入库",周转筐出入库明细!$B$4:$B$2004,"&gt;="&amp;$P$1,周转筐出入库明细!$B$4:$B$2004,"&lt;="&amp;$P$2))</f>
        <v/>
      </c>
      <c r="D142" s="25" t="str">
        <f>IF(OR($B142="",基础资料!$B$5=""),"",SUMIFS(周转筐出入库明细!$H$4:$H$2004,周转筐出入库明细!$C$4:$C$2004,$B142,周转筐出入库明细!$D$4:$D$2004,基础资料!$B$5,周转筐出入库明细!$F$4:$F$2004,"采购入库",周转筐出入库明细!$B$4:$B$2004,"&gt;="&amp;$P$1,周转筐出入库明细!$B$4:$B$2004,"&lt;="&amp;$P$2))</f>
        <v/>
      </c>
      <c r="E142" s="25" t="str">
        <f>IF(OR($B142="",基础资料!$B$6=""),"",SUMIFS(周转筐出入库明细!$H$4:$H$2004,周转筐出入库明细!$C$4:$C$2004,$B142,周转筐出入库明细!$D$4:$D$2004,基础资料!$B$6,周转筐出入库明细!$F$4:$F$2004,"采购入库",周转筐出入库明细!$B$4:$B$2004,"&gt;="&amp;$P$1,周转筐出入库明细!$B$4:$B$2004,"&lt;="&amp;$P$2))</f>
        <v/>
      </c>
      <c r="F142" s="25" t="str">
        <f>IF(OR($B142="",基础资料!$B$7=""),"",SUMIFS(周转筐出入库明细!$H$4:$H$2004,周转筐出入库明细!$C$4:$C$2004,$B142,周转筐出入库明细!$D$4:$D$2004,基础资料!$B$7,周转筐出入库明细!$F$4:$F$2004,"采购入库",周转筐出入库明细!$B$4:$B$2004,"&gt;="&amp;$P$1,周转筐出入库明细!$B$4:$B$2004,"&lt;="&amp;$P$2))</f>
        <v/>
      </c>
      <c r="G142" s="25" t="str">
        <f>IF(OR($B142="",基础资料!$B$8=""),"",SUMIFS(周转筐出入库明细!$H$4:$H$2004,周转筐出入库明细!$C$4:$C$2004,$B142,周转筐出入库明细!$D$4:$D$2004,基础资料!$B$8,周转筐出入库明细!$F$4:$F$2004,"采购入库",周转筐出入库明细!$B$4:$B$2004,"&gt;="&amp;$P$1,周转筐出入库明细!$B$4:$B$2004,"&lt;="&amp;$P$2))</f>
        <v/>
      </c>
      <c r="H142" s="25" t="str">
        <f>IF($B142="","",SUMIFS(周转筐出入库明细!$H$4:$H$2004,周转筐出入库明细!$C$4:$C$2004,$B142,周转筐出入库明细!$F$4:$F$2004,"采购入库",周转筐出入库明细!$B$4:$B$2004,"&gt;="&amp;$P$1,周转筐出入库明细!$B$4:$B$2004,"&lt;="&amp;$P$2)-SUM($C142:$G142))</f>
        <v/>
      </c>
      <c r="I142" s="25" t="str">
        <f t="shared" si="7"/>
        <v/>
      </c>
      <c r="J142" s="26" t="str">
        <f>IF($B142="","",ROUND(SUMIFS(周转筐出入库明细!$P$4:$P$2004,周转筐出入库明细!$C$4:$C$2004,$B142,周转筐出入库明细!$F$4:$F$2004,"采购入库",周转筐出入库明细!$B$4:$B$2004,"&gt;="&amp;$P$1,周转筐出入库明细!$B$4:$B$2004,"&lt;="&amp;$P$2),2))</f>
        <v/>
      </c>
      <c r="K142" s="26" t="str">
        <f>IF($B142="","",ROUND(SUMIFS(周转筐出入库明细!$P$4:$P$2004,周转筐出入库明细!$C$4:$C$2004,$B142,周转筐出入库明细!$F$4:$F$2004,"采购入库",周转筐出入库明细!$Q$4:$Q$2004,"已付款",周转筐出入库明细!$B$4:$B$2004,"&gt;="&amp;$P$1,周转筐出入库明细!$B$4:$B$2004,"&lt;="&amp;$P$2),2))</f>
        <v/>
      </c>
      <c r="L142" s="26" t="str">
        <f t="shared" si="8"/>
        <v/>
      </c>
    </row>
    <row r="143" spans="1:12">
      <c r="A143" s="22" t="str">
        <f t="shared" si="6"/>
        <v/>
      </c>
      <c r="B143" s="37" t="str">
        <f>IFERROR(INDEX(_自动清单!$CW$4:$CW$203,ROW()-3),"")</f>
        <v/>
      </c>
      <c r="C143" s="25" t="str">
        <f>IF(OR($B143="",基础资料!$B$4=""),"",SUMIFS(周转筐出入库明细!$H$4:$H$2004,周转筐出入库明细!$C$4:$C$2004,$B143,周转筐出入库明细!$D$4:$D$2004,基础资料!$B$4,周转筐出入库明细!$F$4:$F$2004,"采购入库",周转筐出入库明细!$B$4:$B$2004,"&gt;="&amp;$P$1,周转筐出入库明细!$B$4:$B$2004,"&lt;="&amp;$P$2))</f>
        <v/>
      </c>
      <c r="D143" s="25" t="str">
        <f>IF(OR($B143="",基础资料!$B$5=""),"",SUMIFS(周转筐出入库明细!$H$4:$H$2004,周转筐出入库明细!$C$4:$C$2004,$B143,周转筐出入库明细!$D$4:$D$2004,基础资料!$B$5,周转筐出入库明细!$F$4:$F$2004,"采购入库",周转筐出入库明细!$B$4:$B$2004,"&gt;="&amp;$P$1,周转筐出入库明细!$B$4:$B$2004,"&lt;="&amp;$P$2))</f>
        <v/>
      </c>
      <c r="E143" s="25" t="str">
        <f>IF(OR($B143="",基础资料!$B$6=""),"",SUMIFS(周转筐出入库明细!$H$4:$H$2004,周转筐出入库明细!$C$4:$C$2004,$B143,周转筐出入库明细!$D$4:$D$2004,基础资料!$B$6,周转筐出入库明细!$F$4:$F$2004,"采购入库",周转筐出入库明细!$B$4:$B$2004,"&gt;="&amp;$P$1,周转筐出入库明细!$B$4:$B$2004,"&lt;="&amp;$P$2))</f>
        <v/>
      </c>
      <c r="F143" s="25" t="str">
        <f>IF(OR($B143="",基础资料!$B$7=""),"",SUMIFS(周转筐出入库明细!$H$4:$H$2004,周转筐出入库明细!$C$4:$C$2004,$B143,周转筐出入库明细!$D$4:$D$2004,基础资料!$B$7,周转筐出入库明细!$F$4:$F$2004,"采购入库",周转筐出入库明细!$B$4:$B$2004,"&gt;="&amp;$P$1,周转筐出入库明细!$B$4:$B$2004,"&lt;="&amp;$P$2))</f>
        <v/>
      </c>
      <c r="G143" s="25" t="str">
        <f>IF(OR($B143="",基础资料!$B$8=""),"",SUMIFS(周转筐出入库明细!$H$4:$H$2004,周转筐出入库明细!$C$4:$C$2004,$B143,周转筐出入库明细!$D$4:$D$2004,基础资料!$B$8,周转筐出入库明细!$F$4:$F$2004,"采购入库",周转筐出入库明细!$B$4:$B$2004,"&gt;="&amp;$P$1,周转筐出入库明细!$B$4:$B$2004,"&lt;="&amp;$P$2))</f>
        <v/>
      </c>
      <c r="H143" s="25" t="str">
        <f>IF($B143="","",SUMIFS(周转筐出入库明细!$H$4:$H$2004,周转筐出入库明细!$C$4:$C$2004,$B143,周转筐出入库明细!$F$4:$F$2004,"采购入库",周转筐出入库明细!$B$4:$B$2004,"&gt;="&amp;$P$1,周转筐出入库明细!$B$4:$B$2004,"&lt;="&amp;$P$2)-SUM($C143:$G143))</f>
        <v/>
      </c>
      <c r="I143" s="25" t="str">
        <f t="shared" si="7"/>
        <v/>
      </c>
      <c r="J143" s="26" t="str">
        <f>IF($B143="","",ROUND(SUMIFS(周转筐出入库明细!$P$4:$P$2004,周转筐出入库明细!$C$4:$C$2004,$B143,周转筐出入库明细!$F$4:$F$2004,"采购入库",周转筐出入库明细!$B$4:$B$2004,"&gt;="&amp;$P$1,周转筐出入库明细!$B$4:$B$2004,"&lt;="&amp;$P$2),2))</f>
        <v/>
      </c>
      <c r="K143" s="26" t="str">
        <f>IF($B143="","",ROUND(SUMIFS(周转筐出入库明细!$P$4:$P$2004,周转筐出入库明细!$C$4:$C$2004,$B143,周转筐出入库明细!$F$4:$F$2004,"采购入库",周转筐出入库明细!$Q$4:$Q$2004,"已付款",周转筐出入库明细!$B$4:$B$2004,"&gt;="&amp;$P$1,周转筐出入库明细!$B$4:$B$2004,"&lt;="&amp;$P$2),2))</f>
        <v/>
      </c>
      <c r="L143" s="26" t="str">
        <f t="shared" si="8"/>
        <v/>
      </c>
    </row>
    <row r="144" spans="1:12">
      <c r="A144" s="22" t="str">
        <f t="shared" si="6"/>
        <v/>
      </c>
      <c r="B144" s="37" t="str">
        <f>IFERROR(INDEX(_自动清单!$CW$4:$CW$203,ROW()-3),"")</f>
        <v/>
      </c>
      <c r="C144" s="25" t="str">
        <f>IF(OR($B144="",基础资料!$B$4=""),"",SUMIFS(周转筐出入库明细!$H$4:$H$2004,周转筐出入库明细!$C$4:$C$2004,$B144,周转筐出入库明细!$D$4:$D$2004,基础资料!$B$4,周转筐出入库明细!$F$4:$F$2004,"采购入库",周转筐出入库明细!$B$4:$B$2004,"&gt;="&amp;$P$1,周转筐出入库明细!$B$4:$B$2004,"&lt;="&amp;$P$2))</f>
        <v/>
      </c>
      <c r="D144" s="25" t="str">
        <f>IF(OR($B144="",基础资料!$B$5=""),"",SUMIFS(周转筐出入库明细!$H$4:$H$2004,周转筐出入库明细!$C$4:$C$2004,$B144,周转筐出入库明细!$D$4:$D$2004,基础资料!$B$5,周转筐出入库明细!$F$4:$F$2004,"采购入库",周转筐出入库明细!$B$4:$B$2004,"&gt;="&amp;$P$1,周转筐出入库明细!$B$4:$B$2004,"&lt;="&amp;$P$2))</f>
        <v/>
      </c>
      <c r="E144" s="25" t="str">
        <f>IF(OR($B144="",基础资料!$B$6=""),"",SUMIFS(周转筐出入库明细!$H$4:$H$2004,周转筐出入库明细!$C$4:$C$2004,$B144,周转筐出入库明细!$D$4:$D$2004,基础资料!$B$6,周转筐出入库明细!$F$4:$F$2004,"采购入库",周转筐出入库明细!$B$4:$B$2004,"&gt;="&amp;$P$1,周转筐出入库明细!$B$4:$B$2004,"&lt;="&amp;$P$2))</f>
        <v/>
      </c>
      <c r="F144" s="25" t="str">
        <f>IF(OR($B144="",基础资料!$B$7=""),"",SUMIFS(周转筐出入库明细!$H$4:$H$2004,周转筐出入库明细!$C$4:$C$2004,$B144,周转筐出入库明细!$D$4:$D$2004,基础资料!$B$7,周转筐出入库明细!$F$4:$F$2004,"采购入库",周转筐出入库明细!$B$4:$B$2004,"&gt;="&amp;$P$1,周转筐出入库明细!$B$4:$B$2004,"&lt;="&amp;$P$2))</f>
        <v/>
      </c>
      <c r="G144" s="25" t="str">
        <f>IF(OR($B144="",基础资料!$B$8=""),"",SUMIFS(周转筐出入库明细!$H$4:$H$2004,周转筐出入库明细!$C$4:$C$2004,$B144,周转筐出入库明细!$D$4:$D$2004,基础资料!$B$8,周转筐出入库明细!$F$4:$F$2004,"采购入库",周转筐出入库明细!$B$4:$B$2004,"&gt;="&amp;$P$1,周转筐出入库明细!$B$4:$B$2004,"&lt;="&amp;$P$2))</f>
        <v/>
      </c>
      <c r="H144" s="25" t="str">
        <f>IF($B144="","",SUMIFS(周转筐出入库明细!$H$4:$H$2004,周转筐出入库明细!$C$4:$C$2004,$B144,周转筐出入库明细!$F$4:$F$2004,"采购入库",周转筐出入库明细!$B$4:$B$2004,"&gt;="&amp;$P$1,周转筐出入库明细!$B$4:$B$2004,"&lt;="&amp;$P$2)-SUM($C144:$G144))</f>
        <v/>
      </c>
      <c r="I144" s="25" t="str">
        <f t="shared" si="7"/>
        <v/>
      </c>
      <c r="J144" s="26" t="str">
        <f>IF($B144="","",ROUND(SUMIFS(周转筐出入库明细!$P$4:$P$2004,周转筐出入库明细!$C$4:$C$2004,$B144,周转筐出入库明细!$F$4:$F$2004,"采购入库",周转筐出入库明细!$B$4:$B$2004,"&gt;="&amp;$P$1,周转筐出入库明细!$B$4:$B$2004,"&lt;="&amp;$P$2),2))</f>
        <v/>
      </c>
      <c r="K144" s="26" t="str">
        <f>IF($B144="","",ROUND(SUMIFS(周转筐出入库明细!$P$4:$P$2004,周转筐出入库明细!$C$4:$C$2004,$B144,周转筐出入库明细!$F$4:$F$2004,"采购入库",周转筐出入库明细!$Q$4:$Q$2004,"已付款",周转筐出入库明细!$B$4:$B$2004,"&gt;="&amp;$P$1,周转筐出入库明细!$B$4:$B$2004,"&lt;="&amp;$P$2),2))</f>
        <v/>
      </c>
      <c r="L144" s="26" t="str">
        <f t="shared" si="8"/>
        <v/>
      </c>
    </row>
    <row r="145" spans="1:12">
      <c r="A145" s="22" t="str">
        <f t="shared" si="6"/>
        <v/>
      </c>
      <c r="B145" s="37" t="str">
        <f>IFERROR(INDEX(_自动清单!$CW$4:$CW$203,ROW()-3),"")</f>
        <v/>
      </c>
      <c r="C145" s="25" t="str">
        <f>IF(OR($B145="",基础资料!$B$4=""),"",SUMIFS(周转筐出入库明细!$H$4:$H$2004,周转筐出入库明细!$C$4:$C$2004,$B145,周转筐出入库明细!$D$4:$D$2004,基础资料!$B$4,周转筐出入库明细!$F$4:$F$2004,"采购入库",周转筐出入库明细!$B$4:$B$2004,"&gt;="&amp;$P$1,周转筐出入库明细!$B$4:$B$2004,"&lt;="&amp;$P$2))</f>
        <v/>
      </c>
      <c r="D145" s="25" t="str">
        <f>IF(OR($B145="",基础资料!$B$5=""),"",SUMIFS(周转筐出入库明细!$H$4:$H$2004,周转筐出入库明细!$C$4:$C$2004,$B145,周转筐出入库明细!$D$4:$D$2004,基础资料!$B$5,周转筐出入库明细!$F$4:$F$2004,"采购入库",周转筐出入库明细!$B$4:$B$2004,"&gt;="&amp;$P$1,周转筐出入库明细!$B$4:$B$2004,"&lt;="&amp;$P$2))</f>
        <v/>
      </c>
      <c r="E145" s="25" t="str">
        <f>IF(OR($B145="",基础资料!$B$6=""),"",SUMIFS(周转筐出入库明细!$H$4:$H$2004,周转筐出入库明细!$C$4:$C$2004,$B145,周转筐出入库明细!$D$4:$D$2004,基础资料!$B$6,周转筐出入库明细!$F$4:$F$2004,"采购入库",周转筐出入库明细!$B$4:$B$2004,"&gt;="&amp;$P$1,周转筐出入库明细!$B$4:$B$2004,"&lt;="&amp;$P$2))</f>
        <v/>
      </c>
      <c r="F145" s="25" t="str">
        <f>IF(OR($B145="",基础资料!$B$7=""),"",SUMIFS(周转筐出入库明细!$H$4:$H$2004,周转筐出入库明细!$C$4:$C$2004,$B145,周转筐出入库明细!$D$4:$D$2004,基础资料!$B$7,周转筐出入库明细!$F$4:$F$2004,"采购入库",周转筐出入库明细!$B$4:$B$2004,"&gt;="&amp;$P$1,周转筐出入库明细!$B$4:$B$2004,"&lt;="&amp;$P$2))</f>
        <v/>
      </c>
      <c r="G145" s="25" t="str">
        <f>IF(OR($B145="",基础资料!$B$8=""),"",SUMIFS(周转筐出入库明细!$H$4:$H$2004,周转筐出入库明细!$C$4:$C$2004,$B145,周转筐出入库明细!$D$4:$D$2004,基础资料!$B$8,周转筐出入库明细!$F$4:$F$2004,"采购入库",周转筐出入库明细!$B$4:$B$2004,"&gt;="&amp;$P$1,周转筐出入库明细!$B$4:$B$2004,"&lt;="&amp;$P$2))</f>
        <v/>
      </c>
      <c r="H145" s="25" t="str">
        <f>IF($B145="","",SUMIFS(周转筐出入库明细!$H$4:$H$2004,周转筐出入库明细!$C$4:$C$2004,$B145,周转筐出入库明细!$F$4:$F$2004,"采购入库",周转筐出入库明细!$B$4:$B$2004,"&gt;="&amp;$P$1,周转筐出入库明细!$B$4:$B$2004,"&lt;="&amp;$P$2)-SUM($C145:$G145))</f>
        <v/>
      </c>
      <c r="I145" s="25" t="str">
        <f t="shared" si="7"/>
        <v/>
      </c>
      <c r="J145" s="26" t="str">
        <f>IF($B145="","",ROUND(SUMIFS(周转筐出入库明细!$P$4:$P$2004,周转筐出入库明细!$C$4:$C$2004,$B145,周转筐出入库明细!$F$4:$F$2004,"采购入库",周转筐出入库明细!$B$4:$B$2004,"&gt;="&amp;$P$1,周转筐出入库明细!$B$4:$B$2004,"&lt;="&amp;$P$2),2))</f>
        <v/>
      </c>
      <c r="K145" s="26" t="str">
        <f>IF($B145="","",ROUND(SUMIFS(周转筐出入库明细!$P$4:$P$2004,周转筐出入库明细!$C$4:$C$2004,$B145,周转筐出入库明细!$F$4:$F$2004,"采购入库",周转筐出入库明细!$Q$4:$Q$2004,"已付款",周转筐出入库明细!$B$4:$B$2004,"&gt;="&amp;$P$1,周转筐出入库明细!$B$4:$B$2004,"&lt;="&amp;$P$2),2))</f>
        <v/>
      </c>
      <c r="L145" s="26" t="str">
        <f t="shared" si="8"/>
        <v/>
      </c>
    </row>
    <row r="146" spans="1:12">
      <c r="A146" s="22" t="str">
        <f t="shared" si="6"/>
        <v/>
      </c>
      <c r="B146" s="37" t="str">
        <f>IFERROR(INDEX(_自动清单!$CW$4:$CW$203,ROW()-3),"")</f>
        <v/>
      </c>
      <c r="C146" s="25" t="str">
        <f>IF(OR($B146="",基础资料!$B$4=""),"",SUMIFS(周转筐出入库明细!$H$4:$H$2004,周转筐出入库明细!$C$4:$C$2004,$B146,周转筐出入库明细!$D$4:$D$2004,基础资料!$B$4,周转筐出入库明细!$F$4:$F$2004,"采购入库",周转筐出入库明细!$B$4:$B$2004,"&gt;="&amp;$P$1,周转筐出入库明细!$B$4:$B$2004,"&lt;="&amp;$P$2))</f>
        <v/>
      </c>
      <c r="D146" s="25" t="str">
        <f>IF(OR($B146="",基础资料!$B$5=""),"",SUMIFS(周转筐出入库明细!$H$4:$H$2004,周转筐出入库明细!$C$4:$C$2004,$B146,周转筐出入库明细!$D$4:$D$2004,基础资料!$B$5,周转筐出入库明细!$F$4:$F$2004,"采购入库",周转筐出入库明细!$B$4:$B$2004,"&gt;="&amp;$P$1,周转筐出入库明细!$B$4:$B$2004,"&lt;="&amp;$P$2))</f>
        <v/>
      </c>
      <c r="E146" s="25" t="str">
        <f>IF(OR($B146="",基础资料!$B$6=""),"",SUMIFS(周转筐出入库明细!$H$4:$H$2004,周转筐出入库明细!$C$4:$C$2004,$B146,周转筐出入库明细!$D$4:$D$2004,基础资料!$B$6,周转筐出入库明细!$F$4:$F$2004,"采购入库",周转筐出入库明细!$B$4:$B$2004,"&gt;="&amp;$P$1,周转筐出入库明细!$B$4:$B$2004,"&lt;="&amp;$P$2))</f>
        <v/>
      </c>
      <c r="F146" s="25" t="str">
        <f>IF(OR($B146="",基础资料!$B$7=""),"",SUMIFS(周转筐出入库明细!$H$4:$H$2004,周转筐出入库明细!$C$4:$C$2004,$B146,周转筐出入库明细!$D$4:$D$2004,基础资料!$B$7,周转筐出入库明细!$F$4:$F$2004,"采购入库",周转筐出入库明细!$B$4:$B$2004,"&gt;="&amp;$P$1,周转筐出入库明细!$B$4:$B$2004,"&lt;="&amp;$P$2))</f>
        <v/>
      </c>
      <c r="G146" s="25" t="str">
        <f>IF(OR($B146="",基础资料!$B$8=""),"",SUMIFS(周转筐出入库明细!$H$4:$H$2004,周转筐出入库明细!$C$4:$C$2004,$B146,周转筐出入库明细!$D$4:$D$2004,基础资料!$B$8,周转筐出入库明细!$F$4:$F$2004,"采购入库",周转筐出入库明细!$B$4:$B$2004,"&gt;="&amp;$P$1,周转筐出入库明细!$B$4:$B$2004,"&lt;="&amp;$P$2))</f>
        <v/>
      </c>
      <c r="H146" s="25" t="str">
        <f>IF($B146="","",SUMIFS(周转筐出入库明细!$H$4:$H$2004,周转筐出入库明细!$C$4:$C$2004,$B146,周转筐出入库明细!$F$4:$F$2004,"采购入库",周转筐出入库明细!$B$4:$B$2004,"&gt;="&amp;$P$1,周转筐出入库明细!$B$4:$B$2004,"&lt;="&amp;$P$2)-SUM($C146:$G146))</f>
        <v/>
      </c>
      <c r="I146" s="25" t="str">
        <f t="shared" si="7"/>
        <v/>
      </c>
      <c r="J146" s="26" t="str">
        <f>IF($B146="","",ROUND(SUMIFS(周转筐出入库明细!$P$4:$P$2004,周转筐出入库明细!$C$4:$C$2004,$B146,周转筐出入库明细!$F$4:$F$2004,"采购入库",周转筐出入库明细!$B$4:$B$2004,"&gt;="&amp;$P$1,周转筐出入库明细!$B$4:$B$2004,"&lt;="&amp;$P$2),2))</f>
        <v/>
      </c>
      <c r="K146" s="26" t="str">
        <f>IF($B146="","",ROUND(SUMIFS(周转筐出入库明细!$P$4:$P$2004,周转筐出入库明细!$C$4:$C$2004,$B146,周转筐出入库明细!$F$4:$F$2004,"采购入库",周转筐出入库明细!$Q$4:$Q$2004,"已付款",周转筐出入库明细!$B$4:$B$2004,"&gt;="&amp;$P$1,周转筐出入库明细!$B$4:$B$2004,"&lt;="&amp;$P$2),2))</f>
        <v/>
      </c>
      <c r="L146" s="26" t="str">
        <f t="shared" si="8"/>
        <v/>
      </c>
    </row>
    <row r="147" spans="1:12">
      <c r="A147" s="22" t="str">
        <f t="shared" si="6"/>
        <v/>
      </c>
      <c r="B147" s="37" t="str">
        <f>IFERROR(INDEX(_自动清单!$CW$4:$CW$203,ROW()-3),"")</f>
        <v/>
      </c>
      <c r="C147" s="25" t="str">
        <f>IF(OR($B147="",基础资料!$B$4=""),"",SUMIFS(周转筐出入库明细!$H$4:$H$2004,周转筐出入库明细!$C$4:$C$2004,$B147,周转筐出入库明细!$D$4:$D$2004,基础资料!$B$4,周转筐出入库明细!$F$4:$F$2004,"采购入库",周转筐出入库明细!$B$4:$B$2004,"&gt;="&amp;$P$1,周转筐出入库明细!$B$4:$B$2004,"&lt;="&amp;$P$2))</f>
        <v/>
      </c>
      <c r="D147" s="25" t="str">
        <f>IF(OR($B147="",基础资料!$B$5=""),"",SUMIFS(周转筐出入库明细!$H$4:$H$2004,周转筐出入库明细!$C$4:$C$2004,$B147,周转筐出入库明细!$D$4:$D$2004,基础资料!$B$5,周转筐出入库明细!$F$4:$F$2004,"采购入库",周转筐出入库明细!$B$4:$B$2004,"&gt;="&amp;$P$1,周转筐出入库明细!$B$4:$B$2004,"&lt;="&amp;$P$2))</f>
        <v/>
      </c>
      <c r="E147" s="25" t="str">
        <f>IF(OR($B147="",基础资料!$B$6=""),"",SUMIFS(周转筐出入库明细!$H$4:$H$2004,周转筐出入库明细!$C$4:$C$2004,$B147,周转筐出入库明细!$D$4:$D$2004,基础资料!$B$6,周转筐出入库明细!$F$4:$F$2004,"采购入库",周转筐出入库明细!$B$4:$B$2004,"&gt;="&amp;$P$1,周转筐出入库明细!$B$4:$B$2004,"&lt;="&amp;$P$2))</f>
        <v/>
      </c>
      <c r="F147" s="25" t="str">
        <f>IF(OR($B147="",基础资料!$B$7=""),"",SUMIFS(周转筐出入库明细!$H$4:$H$2004,周转筐出入库明细!$C$4:$C$2004,$B147,周转筐出入库明细!$D$4:$D$2004,基础资料!$B$7,周转筐出入库明细!$F$4:$F$2004,"采购入库",周转筐出入库明细!$B$4:$B$2004,"&gt;="&amp;$P$1,周转筐出入库明细!$B$4:$B$2004,"&lt;="&amp;$P$2))</f>
        <v/>
      </c>
      <c r="G147" s="25" t="str">
        <f>IF(OR($B147="",基础资料!$B$8=""),"",SUMIFS(周转筐出入库明细!$H$4:$H$2004,周转筐出入库明细!$C$4:$C$2004,$B147,周转筐出入库明细!$D$4:$D$2004,基础资料!$B$8,周转筐出入库明细!$F$4:$F$2004,"采购入库",周转筐出入库明细!$B$4:$B$2004,"&gt;="&amp;$P$1,周转筐出入库明细!$B$4:$B$2004,"&lt;="&amp;$P$2))</f>
        <v/>
      </c>
      <c r="H147" s="25" t="str">
        <f>IF($B147="","",SUMIFS(周转筐出入库明细!$H$4:$H$2004,周转筐出入库明细!$C$4:$C$2004,$B147,周转筐出入库明细!$F$4:$F$2004,"采购入库",周转筐出入库明细!$B$4:$B$2004,"&gt;="&amp;$P$1,周转筐出入库明细!$B$4:$B$2004,"&lt;="&amp;$P$2)-SUM($C147:$G147))</f>
        <v/>
      </c>
      <c r="I147" s="25" t="str">
        <f t="shared" si="7"/>
        <v/>
      </c>
      <c r="J147" s="26" t="str">
        <f>IF($B147="","",ROUND(SUMIFS(周转筐出入库明细!$P$4:$P$2004,周转筐出入库明细!$C$4:$C$2004,$B147,周转筐出入库明细!$F$4:$F$2004,"采购入库",周转筐出入库明细!$B$4:$B$2004,"&gt;="&amp;$P$1,周转筐出入库明细!$B$4:$B$2004,"&lt;="&amp;$P$2),2))</f>
        <v/>
      </c>
      <c r="K147" s="26" t="str">
        <f>IF($B147="","",ROUND(SUMIFS(周转筐出入库明细!$P$4:$P$2004,周转筐出入库明细!$C$4:$C$2004,$B147,周转筐出入库明细!$F$4:$F$2004,"采购入库",周转筐出入库明细!$Q$4:$Q$2004,"已付款",周转筐出入库明细!$B$4:$B$2004,"&gt;="&amp;$P$1,周转筐出入库明细!$B$4:$B$2004,"&lt;="&amp;$P$2),2))</f>
        <v/>
      </c>
      <c r="L147" s="26" t="str">
        <f t="shared" si="8"/>
        <v/>
      </c>
    </row>
    <row r="148" spans="1:12">
      <c r="A148" s="22" t="str">
        <f t="shared" si="6"/>
        <v/>
      </c>
      <c r="B148" s="37" t="str">
        <f>IFERROR(INDEX(_自动清单!$CW$4:$CW$203,ROW()-3),"")</f>
        <v/>
      </c>
      <c r="C148" s="25" t="str">
        <f>IF(OR($B148="",基础资料!$B$4=""),"",SUMIFS(周转筐出入库明细!$H$4:$H$2004,周转筐出入库明细!$C$4:$C$2004,$B148,周转筐出入库明细!$D$4:$D$2004,基础资料!$B$4,周转筐出入库明细!$F$4:$F$2004,"采购入库",周转筐出入库明细!$B$4:$B$2004,"&gt;="&amp;$P$1,周转筐出入库明细!$B$4:$B$2004,"&lt;="&amp;$P$2))</f>
        <v/>
      </c>
      <c r="D148" s="25" t="str">
        <f>IF(OR($B148="",基础资料!$B$5=""),"",SUMIFS(周转筐出入库明细!$H$4:$H$2004,周转筐出入库明细!$C$4:$C$2004,$B148,周转筐出入库明细!$D$4:$D$2004,基础资料!$B$5,周转筐出入库明细!$F$4:$F$2004,"采购入库",周转筐出入库明细!$B$4:$B$2004,"&gt;="&amp;$P$1,周转筐出入库明细!$B$4:$B$2004,"&lt;="&amp;$P$2))</f>
        <v/>
      </c>
      <c r="E148" s="25" t="str">
        <f>IF(OR($B148="",基础资料!$B$6=""),"",SUMIFS(周转筐出入库明细!$H$4:$H$2004,周转筐出入库明细!$C$4:$C$2004,$B148,周转筐出入库明细!$D$4:$D$2004,基础资料!$B$6,周转筐出入库明细!$F$4:$F$2004,"采购入库",周转筐出入库明细!$B$4:$B$2004,"&gt;="&amp;$P$1,周转筐出入库明细!$B$4:$B$2004,"&lt;="&amp;$P$2))</f>
        <v/>
      </c>
      <c r="F148" s="25" t="str">
        <f>IF(OR($B148="",基础资料!$B$7=""),"",SUMIFS(周转筐出入库明细!$H$4:$H$2004,周转筐出入库明细!$C$4:$C$2004,$B148,周转筐出入库明细!$D$4:$D$2004,基础资料!$B$7,周转筐出入库明细!$F$4:$F$2004,"采购入库",周转筐出入库明细!$B$4:$B$2004,"&gt;="&amp;$P$1,周转筐出入库明细!$B$4:$B$2004,"&lt;="&amp;$P$2))</f>
        <v/>
      </c>
      <c r="G148" s="25" t="str">
        <f>IF(OR($B148="",基础资料!$B$8=""),"",SUMIFS(周转筐出入库明细!$H$4:$H$2004,周转筐出入库明细!$C$4:$C$2004,$B148,周转筐出入库明细!$D$4:$D$2004,基础资料!$B$8,周转筐出入库明细!$F$4:$F$2004,"采购入库",周转筐出入库明细!$B$4:$B$2004,"&gt;="&amp;$P$1,周转筐出入库明细!$B$4:$B$2004,"&lt;="&amp;$P$2))</f>
        <v/>
      </c>
      <c r="H148" s="25" t="str">
        <f>IF($B148="","",SUMIFS(周转筐出入库明细!$H$4:$H$2004,周转筐出入库明细!$C$4:$C$2004,$B148,周转筐出入库明细!$F$4:$F$2004,"采购入库",周转筐出入库明细!$B$4:$B$2004,"&gt;="&amp;$P$1,周转筐出入库明细!$B$4:$B$2004,"&lt;="&amp;$P$2)-SUM($C148:$G148))</f>
        <v/>
      </c>
      <c r="I148" s="25" t="str">
        <f t="shared" si="7"/>
        <v/>
      </c>
      <c r="J148" s="26" t="str">
        <f>IF($B148="","",ROUND(SUMIFS(周转筐出入库明细!$P$4:$P$2004,周转筐出入库明细!$C$4:$C$2004,$B148,周转筐出入库明细!$F$4:$F$2004,"采购入库",周转筐出入库明细!$B$4:$B$2004,"&gt;="&amp;$P$1,周转筐出入库明细!$B$4:$B$2004,"&lt;="&amp;$P$2),2))</f>
        <v/>
      </c>
      <c r="K148" s="26" t="str">
        <f>IF($B148="","",ROUND(SUMIFS(周转筐出入库明细!$P$4:$P$2004,周转筐出入库明细!$C$4:$C$2004,$B148,周转筐出入库明细!$F$4:$F$2004,"采购入库",周转筐出入库明细!$Q$4:$Q$2004,"已付款",周转筐出入库明细!$B$4:$B$2004,"&gt;="&amp;$P$1,周转筐出入库明细!$B$4:$B$2004,"&lt;="&amp;$P$2),2))</f>
        <v/>
      </c>
      <c r="L148" s="26" t="str">
        <f t="shared" si="8"/>
        <v/>
      </c>
    </row>
    <row r="149" spans="1:12">
      <c r="A149" s="22" t="str">
        <f t="shared" si="6"/>
        <v/>
      </c>
      <c r="B149" s="37" t="str">
        <f>IFERROR(INDEX(_自动清单!$CW$4:$CW$203,ROW()-3),"")</f>
        <v/>
      </c>
      <c r="C149" s="25" t="str">
        <f>IF(OR($B149="",基础资料!$B$4=""),"",SUMIFS(周转筐出入库明细!$H$4:$H$2004,周转筐出入库明细!$C$4:$C$2004,$B149,周转筐出入库明细!$D$4:$D$2004,基础资料!$B$4,周转筐出入库明细!$F$4:$F$2004,"采购入库",周转筐出入库明细!$B$4:$B$2004,"&gt;="&amp;$P$1,周转筐出入库明细!$B$4:$B$2004,"&lt;="&amp;$P$2))</f>
        <v/>
      </c>
      <c r="D149" s="25" t="str">
        <f>IF(OR($B149="",基础资料!$B$5=""),"",SUMIFS(周转筐出入库明细!$H$4:$H$2004,周转筐出入库明细!$C$4:$C$2004,$B149,周转筐出入库明细!$D$4:$D$2004,基础资料!$B$5,周转筐出入库明细!$F$4:$F$2004,"采购入库",周转筐出入库明细!$B$4:$B$2004,"&gt;="&amp;$P$1,周转筐出入库明细!$B$4:$B$2004,"&lt;="&amp;$P$2))</f>
        <v/>
      </c>
      <c r="E149" s="25" t="str">
        <f>IF(OR($B149="",基础资料!$B$6=""),"",SUMIFS(周转筐出入库明细!$H$4:$H$2004,周转筐出入库明细!$C$4:$C$2004,$B149,周转筐出入库明细!$D$4:$D$2004,基础资料!$B$6,周转筐出入库明细!$F$4:$F$2004,"采购入库",周转筐出入库明细!$B$4:$B$2004,"&gt;="&amp;$P$1,周转筐出入库明细!$B$4:$B$2004,"&lt;="&amp;$P$2))</f>
        <v/>
      </c>
      <c r="F149" s="25" t="str">
        <f>IF(OR($B149="",基础资料!$B$7=""),"",SUMIFS(周转筐出入库明细!$H$4:$H$2004,周转筐出入库明细!$C$4:$C$2004,$B149,周转筐出入库明细!$D$4:$D$2004,基础资料!$B$7,周转筐出入库明细!$F$4:$F$2004,"采购入库",周转筐出入库明细!$B$4:$B$2004,"&gt;="&amp;$P$1,周转筐出入库明细!$B$4:$B$2004,"&lt;="&amp;$P$2))</f>
        <v/>
      </c>
      <c r="G149" s="25" t="str">
        <f>IF(OR($B149="",基础资料!$B$8=""),"",SUMIFS(周转筐出入库明细!$H$4:$H$2004,周转筐出入库明细!$C$4:$C$2004,$B149,周转筐出入库明细!$D$4:$D$2004,基础资料!$B$8,周转筐出入库明细!$F$4:$F$2004,"采购入库",周转筐出入库明细!$B$4:$B$2004,"&gt;="&amp;$P$1,周转筐出入库明细!$B$4:$B$2004,"&lt;="&amp;$P$2))</f>
        <v/>
      </c>
      <c r="H149" s="25" t="str">
        <f>IF($B149="","",SUMIFS(周转筐出入库明细!$H$4:$H$2004,周转筐出入库明细!$C$4:$C$2004,$B149,周转筐出入库明细!$F$4:$F$2004,"采购入库",周转筐出入库明细!$B$4:$B$2004,"&gt;="&amp;$P$1,周转筐出入库明细!$B$4:$B$2004,"&lt;="&amp;$P$2)-SUM($C149:$G149))</f>
        <v/>
      </c>
      <c r="I149" s="25" t="str">
        <f t="shared" si="7"/>
        <v/>
      </c>
      <c r="J149" s="26" t="str">
        <f>IF($B149="","",ROUND(SUMIFS(周转筐出入库明细!$P$4:$P$2004,周转筐出入库明细!$C$4:$C$2004,$B149,周转筐出入库明细!$F$4:$F$2004,"采购入库",周转筐出入库明细!$B$4:$B$2004,"&gt;="&amp;$P$1,周转筐出入库明细!$B$4:$B$2004,"&lt;="&amp;$P$2),2))</f>
        <v/>
      </c>
      <c r="K149" s="26" t="str">
        <f>IF($B149="","",ROUND(SUMIFS(周转筐出入库明细!$P$4:$P$2004,周转筐出入库明细!$C$4:$C$2004,$B149,周转筐出入库明细!$F$4:$F$2004,"采购入库",周转筐出入库明细!$Q$4:$Q$2004,"已付款",周转筐出入库明细!$B$4:$B$2004,"&gt;="&amp;$P$1,周转筐出入库明细!$B$4:$B$2004,"&lt;="&amp;$P$2),2))</f>
        <v/>
      </c>
      <c r="L149" s="26" t="str">
        <f t="shared" si="8"/>
        <v/>
      </c>
    </row>
    <row r="150" spans="1:12">
      <c r="A150" s="22" t="str">
        <f t="shared" si="6"/>
        <v/>
      </c>
      <c r="B150" s="37" t="str">
        <f>IFERROR(INDEX(_自动清单!$CW$4:$CW$203,ROW()-3),"")</f>
        <v/>
      </c>
      <c r="C150" s="25" t="str">
        <f>IF(OR($B150="",基础资料!$B$4=""),"",SUMIFS(周转筐出入库明细!$H$4:$H$2004,周转筐出入库明细!$C$4:$C$2004,$B150,周转筐出入库明细!$D$4:$D$2004,基础资料!$B$4,周转筐出入库明细!$F$4:$F$2004,"采购入库",周转筐出入库明细!$B$4:$B$2004,"&gt;="&amp;$P$1,周转筐出入库明细!$B$4:$B$2004,"&lt;="&amp;$P$2))</f>
        <v/>
      </c>
      <c r="D150" s="25" t="str">
        <f>IF(OR($B150="",基础资料!$B$5=""),"",SUMIFS(周转筐出入库明细!$H$4:$H$2004,周转筐出入库明细!$C$4:$C$2004,$B150,周转筐出入库明细!$D$4:$D$2004,基础资料!$B$5,周转筐出入库明细!$F$4:$F$2004,"采购入库",周转筐出入库明细!$B$4:$B$2004,"&gt;="&amp;$P$1,周转筐出入库明细!$B$4:$B$2004,"&lt;="&amp;$P$2))</f>
        <v/>
      </c>
      <c r="E150" s="25" t="str">
        <f>IF(OR($B150="",基础资料!$B$6=""),"",SUMIFS(周转筐出入库明细!$H$4:$H$2004,周转筐出入库明细!$C$4:$C$2004,$B150,周转筐出入库明细!$D$4:$D$2004,基础资料!$B$6,周转筐出入库明细!$F$4:$F$2004,"采购入库",周转筐出入库明细!$B$4:$B$2004,"&gt;="&amp;$P$1,周转筐出入库明细!$B$4:$B$2004,"&lt;="&amp;$P$2))</f>
        <v/>
      </c>
      <c r="F150" s="25" t="str">
        <f>IF(OR($B150="",基础资料!$B$7=""),"",SUMIFS(周转筐出入库明细!$H$4:$H$2004,周转筐出入库明细!$C$4:$C$2004,$B150,周转筐出入库明细!$D$4:$D$2004,基础资料!$B$7,周转筐出入库明细!$F$4:$F$2004,"采购入库",周转筐出入库明细!$B$4:$B$2004,"&gt;="&amp;$P$1,周转筐出入库明细!$B$4:$B$2004,"&lt;="&amp;$P$2))</f>
        <v/>
      </c>
      <c r="G150" s="25" t="str">
        <f>IF(OR($B150="",基础资料!$B$8=""),"",SUMIFS(周转筐出入库明细!$H$4:$H$2004,周转筐出入库明细!$C$4:$C$2004,$B150,周转筐出入库明细!$D$4:$D$2004,基础资料!$B$8,周转筐出入库明细!$F$4:$F$2004,"采购入库",周转筐出入库明细!$B$4:$B$2004,"&gt;="&amp;$P$1,周转筐出入库明细!$B$4:$B$2004,"&lt;="&amp;$P$2))</f>
        <v/>
      </c>
      <c r="H150" s="25" t="str">
        <f>IF($B150="","",SUMIFS(周转筐出入库明细!$H$4:$H$2004,周转筐出入库明细!$C$4:$C$2004,$B150,周转筐出入库明细!$F$4:$F$2004,"采购入库",周转筐出入库明细!$B$4:$B$2004,"&gt;="&amp;$P$1,周转筐出入库明细!$B$4:$B$2004,"&lt;="&amp;$P$2)-SUM($C150:$G150))</f>
        <v/>
      </c>
      <c r="I150" s="25" t="str">
        <f t="shared" si="7"/>
        <v/>
      </c>
      <c r="J150" s="26" t="str">
        <f>IF($B150="","",ROUND(SUMIFS(周转筐出入库明细!$P$4:$P$2004,周转筐出入库明细!$C$4:$C$2004,$B150,周转筐出入库明细!$F$4:$F$2004,"采购入库",周转筐出入库明细!$B$4:$B$2004,"&gt;="&amp;$P$1,周转筐出入库明细!$B$4:$B$2004,"&lt;="&amp;$P$2),2))</f>
        <v/>
      </c>
      <c r="K150" s="26" t="str">
        <f>IF($B150="","",ROUND(SUMIFS(周转筐出入库明细!$P$4:$P$2004,周转筐出入库明细!$C$4:$C$2004,$B150,周转筐出入库明细!$F$4:$F$2004,"采购入库",周转筐出入库明细!$Q$4:$Q$2004,"已付款",周转筐出入库明细!$B$4:$B$2004,"&gt;="&amp;$P$1,周转筐出入库明细!$B$4:$B$2004,"&lt;="&amp;$P$2),2))</f>
        <v/>
      </c>
      <c r="L150" s="26" t="str">
        <f t="shared" si="8"/>
        <v/>
      </c>
    </row>
    <row r="151" spans="1:12">
      <c r="A151" s="22" t="str">
        <f t="shared" si="6"/>
        <v/>
      </c>
      <c r="B151" s="37" t="str">
        <f>IFERROR(INDEX(_自动清单!$CW$4:$CW$203,ROW()-3),"")</f>
        <v/>
      </c>
      <c r="C151" s="25" t="str">
        <f>IF(OR($B151="",基础资料!$B$4=""),"",SUMIFS(周转筐出入库明细!$H$4:$H$2004,周转筐出入库明细!$C$4:$C$2004,$B151,周转筐出入库明细!$D$4:$D$2004,基础资料!$B$4,周转筐出入库明细!$F$4:$F$2004,"采购入库",周转筐出入库明细!$B$4:$B$2004,"&gt;="&amp;$P$1,周转筐出入库明细!$B$4:$B$2004,"&lt;="&amp;$P$2))</f>
        <v/>
      </c>
      <c r="D151" s="25" t="str">
        <f>IF(OR($B151="",基础资料!$B$5=""),"",SUMIFS(周转筐出入库明细!$H$4:$H$2004,周转筐出入库明细!$C$4:$C$2004,$B151,周转筐出入库明细!$D$4:$D$2004,基础资料!$B$5,周转筐出入库明细!$F$4:$F$2004,"采购入库",周转筐出入库明细!$B$4:$B$2004,"&gt;="&amp;$P$1,周转筐出入库明细!$B$4:$B$2004,"&lt;="&amp;$P$2))</f>
        <v/>
      </c>
      <c r="E151" s="25" t="str">
        <f>IF(OR($B151="",基础资料!$B$6=""),"",SUMIFS(周转筐出入库明细!$H$4:$H$2004,周转筐出入库明细!$C$4:$C$2004,$B151,周转筐出入库明细!$D$4:$D$2004,基础资料!$B$6,周转筐出入库明细!$F$4:$F$2004,"采购入库",周转筐出入库明细!$B$4:$B$2004,"&gt;="&amp;$P$1,周转筐出入库明细!$B$4:$B$2004,"&lt;="&amp;$P$2))</f>
        <v/>
      </c>
      <c r="F151" s="25" t="str">
        <f>IF(OR($B151="",基础资料!$B$7=""),"",SUMIFS(周转筐出入库明细!$H$4:$H$2004,周转筐出入库明细!$C$4:$C$2004,$B151,周转筐出入库明细!$D$4:$D$2004,基础资料!$B$7,周转筐出入库明细!$F$4:$F$2004,"采购入库",周转筐出入库明细!$B$4:$B$2004,"&gt;="&amp;$P$1,周转筐出入库明细!$B$4:$B$2004,"&lt;="&amp;$P$2))</f>
        <v/>
      </c>
      <c r="G151" s="25" t="str">
        <f>IF(OR($B151="",基础资料!$B$8=""),"",SUMIFS(周转筐出入库明细!$H$4:$H$2004,周转筐出入库明细!$C$4:$C$2004,$B151,周转筐出入库明细!$D$4:$D$2004,基础资料!$B$8,周转筐出入库明细!$F$4:$F$2004,"采购入库",周转筐出入库明细!$B$4:$B$2004,"&gt;="&amp;$P$1,周转筐出入库明细!$B$4:$B$2004,"&lt;="&amp;$P$2))</f>
        <v/>
      </c>
      <c r="H151" s="25" t="str">
        <f>IF($B151="","",SUMIFS(周转筐出入库明细!$H$4:$H$2004,周转筐出入库明细!$C$4:$C$2004,$B151,周转筐出入库明细!$F$4:$F$2004,"采购入库",周转筐出入库明细!$B$4:$B$2004,"&gt;="&amp;$P$1,周转筐出入库明细!$B$4:$B$2004,"&lt;="&amp;$P$2)-SUM($C151:$G151))</f>
        <v/>
      </c>
      <c r="I151" s="25" t="str">
        <f t="shared" si="7"/>
        <v/>
      </c>
      <c r="J151" s="26" t="str">
        <f>IF($B151="","",ROUND(SUMIFS(周转筐出入库明细!$P$4:$P$2004,周转筐出入库明细!$C$4:$C$2004,$B151,周转筐出入库明细!$F$4:$F$2004,"采购入库",周转筐出入库明细!$B$4:$B$2004,"&gt;="&amp;$P$1,周转筐出入库明细!$B$4:$B$2004,"&lt;="&amp;$P$2),2))</f>
        <v/>
      </c>
      <c r="K151" s="26" t="str">
        <f>IF($B151="","",ROUND(SUMIFS(周转筐出入库明细!$P$4:$P$2004,周转筐出入库明细!$C$4:$C$2004,$B151,周转筐出入库明细!$F$4:$F$2004,"采购入库",周转筐出入库明细!$Q$4:$Q$2004,"已付款",周转筐出入库明细!$B$4:$B$2004,"&gt;="&amp;$P$1,周转筐出入库明细!$B$4:$B$2004,"&lt;="&amp;$P$2),2))</f>
        <v/>
      </c>
      <c r="L151" s="26" t="str">
        <f t="shared" si="8"/>
        <v/>
      </c>
    </row>
    <row r="152" spans="1:12">
      <c r="A152" s="22" t="str">
        <f t="shared" si="6"/>
        <v/>
      </c>
      <c r="B152" s="37" t="str">
        <f>IFERROR(INDEX(_自动清单!$CW$4:$CW$203,ROW()-3),"")</f>
        <v/>
      </c>
      <c r="C152" s="25" t="str">
        <f>IF(OR($B152="",基础资料!$B$4=""),"",SUMIFS(周转筐出入库明细!$H$4:$H$2004,周转筐出入库明细!$C$4:$C$2004,$B152,周转筐出入库明细!$D$4:$D$2004,基础资料!$B$4,周转筐出入库明细!$F$4:$F$2004,"采购入库",周转筐出入库明细!$B$4:$B$2004,"&gt;="&amp;$P$1,周转筐出入库明细!$B$4:$B$2004,"&lt;="&amp;$P$2))</f>
        <v/>
      </c>
      <c r="D152" s="25" t="str">
        <f>IF(OR($B152="",基础资料!$B$5=""),"",SUMIFS(周转筐出入库明细!$H$4:$H$2004,周转筐出入库明细!$C$4:$C$2004,$B152,周转筐出入库明细!$D$4:$D$2004,基础资料!$B$5,周转筐出入库明细!$F$4:$F$2004,"采购入库",周转筐出入库明细!$B$4:$B$2004,"&gt;="&amp;$P$1,周转筐出入库明细!$B$4:$B$2004,"&lt;="&amp;$P$2))</f>
        <v/>
      </c>
      <c r="E152" s="25" t="str">
        <f>IF(OR($B152="",基础资料!$B$6=""),"",SUMIFS(周转筐出入库明细!$H$4:$H$2004,周转筐出入库明细!$C$4:$C$2004,$B152,周转筐出入库明细!$D$4:$D$2004,基础资料!$B$6,周转筐出入库明细!$F$4:$F$2004,"采购入库",周转筐出入库明细!$B$4:$B$2004,"&gt;="&amp;$P$1,周转筐出入库明细!$B$4:$B$2004,"&lt;="&amp;$P$2))</f>
        <v/>
      </c>
      <c r="F152" s="25" t="str">
        <f>IF(OR($B152="",基础资料!$B$7=""),"",SUMIFS(周转筐出入库明细!$H$4:$H$2004,周转筐出入库明细!$C$4:$C$2004,$B152,周转筐出入库明细!$D$4:$D$2004,基础资料!$B$7,周转筐出入库明细!$F$4:$F$2004,"采购入库",周转筐出入库明细!$B$4:$B$2004,"&gt;="&amp;$P$1,周转筐出入库明细!$B$4:$B$2004,"&lt;="&amp;$P$2))</f>
        <v/>
      </c>
      <c r="G152" s="25" t="str">
        <f>IF(OR($B152="",基础资料!$B$8=""),"",SUMIFS(周转筐出入库明细!$H$4:$H$2004,周转筐出入库明细!$C$4:$C$2004,$B152,周转筐出入库明细!$D$4:$D$2004,基础资料!$B$8,周转筐出入库明细!$F$4:$F$2004,"采购入库",周转筐出入库明细!$B$4:$B$2004,"&gt;="&amp;$P$1,周转筐出入库明细!$B$4:$B$2004,"&lt;="&amp;$P$2))</f>
        <v/>
      </c>
      <c r="H152" s="25" t="str">
        <f>IF($B152="","",SUMIFS(周转筐出入库明细!$H$4:$H$2004,周转筐出入库明细!$C$4:$C$2004,$B152,周转筐出入库明细!$F$4:$F$2004,"采购入库",周转筐出入库明细!$B$4:$B$2004,"&gt;="&amp;$P$1,周转筐出入库明细!$B$4:$B$2004,"&lt;="&amp;$P$2)-SUM($C152:$G152))</f>
        <v/>
      </c>
      <c r="I152" s="25" t="str">
        <f t="shared" si="7"/>
        <v/>
      </c>
      <c r="J152" s="26" t="str">
        <f>IF($B152="","",ROUND(SUMIFS(周转筐出入库明细!$P$4:$P$2004,周转筐出入库明细!$C$4:$C$2004,$B152,周转筐出入库明细!$F$4:$F$2004,"采购入库",周转筐出入库明细!$B$4:$B$2004,"&gt;="&amp;$P$1,周转筐出入库明细!$B$4:$B$2004,"&lt;="&amp;$P$2),2))</f>
        <v/>
      </c>
      <c r="K152" s="26" t="str">
        <f>IF($B152="","",ROUND(SUMIFS(周转筐出入库明细!$P$4:$P$2004,周转筐出入库明细!$C$4:$C$2004,$B152,周转筐出入库明细!$F$4:$F$2004,"采购入库",周转筐出入库明细!$Q$4:$Q$2004,"已付款",周转筐出入库明细!$B$4:$B$2004,"&gt;="&amp;$P$1,周转筐出入库明细!$B$4:$B$2004,"&lt;="&amp;$P$2),2))</f>
        <v/>
      </c>
      <c r="L152" s="26" t="str">
        <f t="shared" si="8"/>
        <v/>
      </c>
    </row>
    <row r="153" spans="1:12">
      <c r="A153" s="22" t="str">
        <f t="shared" si="6"/>
        <v/>
      </c>
      <c r="B153" s="37" t="str">
        <f>IFERROR(INDEX(_自动清单!$CW$4:$CW$203,ROW()-3),"")</f>
        <v/>
      </c>
      <c r="C153" s="25" t="str">
        <f>IF(OR($B153="",基础资料!$B$4=""),"",SUMIFS(周转筐出入库明细!$H$4:$H$2004,周转筐出入库明细!$C$4:$C$2004,$B153,周转筐出入库明细!$D$4:$D$2004,基础资料!$B$4,周转筐出入库明细!$F$4:$F$2004,"采购入库",周转筐出入库明细!$B$4:$B$2004,"&gt;="&amp;$P$1,周转筐出入库明细!$B$4:$B$2004,"&lt;="&amp;$P$2))</f>
        <v/>
      </c>
      <c r="D153" s="25" t="str">
        <f>IF(OR($B153="",基础资料!$B$5=""),"",SUMIFS(周转筐出入库明细!$H$4:$H$2004,周转筐出入库明细!$C$4:$C$2004,$B153,周转筐出入库明细!$D$4:$D$2004,基础资料!$B$5,周转筐出入库明细!$F$4:$F$2004,"采购入库",周转筐出入库明细!$B$4:$B$2004,"&gt;="&amp;$P$1,周转筐出入库明细!$B$4:$B$2004,"&lt;="&amp;$P$2))</f>
        <v/>
      </c>
      <c r="E153" s="25" t="str">
        <f>IF(OR($B153="",基础资料!$B$6=""),"",SUMIFS(周转筐出入库明细!$H$4:$H$2004,周转筐出入库明细!$C$4:$C$2004,$B153,周转筐出入库明细!$D$4:$D$2004,基础资料!$B$6,周转筐出入库明细!$F$4:$F$2004,"采购入库",周转筐出入库明细!$B$4:$B$2004,"&gt;="&amp;$P$1,周转筐出入库明细!$B$4:$B$2004,"&lt;="&amp;$P$2))</f>
        <v/>
      </c>
      <c r="F153" s="25" t="str">
        <f>IF(OR($B153="",基础资料!$B$7=""),"",SUMIFS(周转筐出入库明细!$H$4:$H$2004,周转筐出入库明细!$C$4:$C$2004,$B153,周转筐出入库明细!$D$4:$D$2004,基础资料!$B$7,周转筐出入库明细!$F$4:$F$2004,"采购入库",周转筐出入库明细!$B$4:$B$2004,"&gt;="&amp;$P$1,周转筐出入库明细!$B$4:$B$2004,"&lt;="&amp;$P$2))</f>
        <v/>
      </c>
      <c r="G153" s="25" t="str">
        <f>IF(OR($B153="",基础资料!$B$8=""),"",SUMIFS(周转筐出入库明细!$H$4:$H$2004,周转筐出入库明细!$C$4:$C$2004,$B153,周转筐出入库明细!$D$4:$D$2004,基础资料!$B$8,周转筐出入库明细!$F$4:$F$2004,"采购入库",周转筐出入库明细!$B$4:$B$2004,"&gt;="&amp;$P$1,周转筐出入库明细!$B$4:$B$2004,"&lt;="&amp;$P$2))</f>
        <v/>
      </c>
      <c r="H153" s="25" t="str">
        <f>IF($B153="","",SUMIFS(周转筐出入库明细!$H$4:$H$2004,周转筐出入库明细!$C$4:$C$2004,$B153,周转筐出入库明细!$F$4:$F$2004,"采购入库",周转筐出入库明细!$B$4:$B$2004,"&gt;="&amp;$P$1,周转筐出入库明细!$B$4:$B$2004,"&lt;="&amp;$P$2)-SUM($C153:$G153))</f>
        <v/>
      </c>
      <c r="I153" s="25" t="str">
        <f t="shared" si="7"/>
        <v/>
      </c>
      <c r="J153" s="26" t="str">
        <f>IF($B153="","",ROUND(SUMIFS(周转筐出入库明细!$P$4:$P$2004,周转筐出入库明细!$C$4:$C$2004,$B153,周转筐出入库明细!$F$4:$F$2004,"采购入库",周转筐出入库明细!$B$4:$B$2004,"&gt;="&amp;$P$1,周转筐出入库明细!$B$4:$B$2004,"&lt;="&amp;$P$2),2))</f>
        <v/>
      </c>
      <c r="K153" s="26" t="str">
        <f>IF($B153="","",ROUND(SUMIFS(周转筐出入库明细!$P$4:$P$2004,周转筐出入库明细!$C$4:$C$2004,$B153,周转筐出入库明细!$F$4:$F$2004,"采购入库",周转筐出入库明细!$Q$4:$Q$2004,"已付款",周转筐出入库明细!$B$4:$B$2004,"&gt;="&amp;$P$1,周转筐出入库明细!$B$4:$B$2004,"&lt;="&amp;$P$2),2))</f>
        <v/>
      </c>
      <c r="L153" s="26" t="str">
        <f t="shared" si="8"/>
        <v/>
      </c>
    </row>
    <row r="154" spans="1:12">
      <c r="A154" s="22" t="str">
        <f t="shared" si="6"/>
        <v/>
      </c>
      <c r="B154" s="37" t="str">
        <f>IFERROR(INDEX(_自动清单!$CW$4:$CW$203,ROW()-3),"")</f>
        <v/>
      </c>
      <c r="C154" s="25" t="str">
        <f>IF(OR($B154="",基础资料!$B$4=""),"",SUMIFS(周转筐出入库明细!$H$4:$H$2004,周转筐出入库明细!$C$4:$C$2004,$B154,周转筐出入库明细!$D$4:$D$2004,基础资料!$B$4,周转筐出入库明细!$F$4:$F$2004,"采购入库",周转筐出入库明细!$B$4:$B$2004,"&gt;="&amp;$P$1,周转筐出入库明细!$B$4:$B$2004,"&lt;="&amp;$P$2))</f>
        <v/>
      </c>
      <c r="D154" s="25" t="str">
        <f>IF(OR($B154="",基础资料!$B$5=""),"",SUMIFS(周转筐出入库明细!$H$4:$H$2004,周转筐出入库明细!$C$4:$C$2004,$B154,周转筐出入库明细!$D$4:$D$2004,基础资料!$B$5,周转筐出入库明细!$F$4:$F$2004,"采购入库",周转筐出入库明细!$B$4:$B$2004,"&gt;="&amp;$P$1,周转筐出入库明细!$B$4:$B$2004,"&lt;="&amp;$P$2))</f>
        <v/>
      </c>
      <c r="E154" s="25" t="str">
        <f>IF(OR($B154="",基础资料!$B$6=""),"",SUMIFS(周转筐出入库明细!$H$4:$H$2004,周转筐出入库明细!$C$4:$C$2004,$B154,周转筐出入库明细!$D$4:$D$2004,基础资料!$B$6,周转筐出入库明细!$F$4:$F$2004,"采购入库",周转筐出入库明细!$B$4:$B$2004,"&gt;="&amp;$P$1,周转筐出入库明细!$B$4:$B$2004,"&lt;="&amp;$P$2))</f>
        <v/>
      </c>
      <c r="F154" s="25" t="str">
        <f>IF(OR($B154="",基础资料!$B$7=""),"",SUMIFS(周转筐出入库明细!$H$4:$H$2004,周转筐出入库明细!$C$4:$C$2004,$B154,周转筐出入库明细!$D$4:$D$2004,基础资料!$B$7,周转筐出入库明细!$F$4:$F$2004,"采购入库",周转筐出入库明细!$B$4:$B$2004,"&gt;="&amp;$P$1,周转筐出入库明细!$B$4:$B$2004,"&lt;="&amp;$P$2))</f>
        <v/>
      </c>
      <c r="G154" s="25" t="str">
        <f>IF(OR($B154="",基础资料!$B$8=""),"",SUMIFS(周转筐出入库明细!$H$4:$H$2004,周转筐出入库明细!$C$4:$C$2004,$B154,周转筐出入库明细!$D$4:$D$2004,基础资料!$B$8,周转筐出入库明细!$F$4:$F$2004,"采购入库",周转筐出入库明细!$B$4:$B$2004,"&gt;="&amp;$P$1,周转筐出入库明细!$B$4:$B$2004,"&lt;="&amp;$P$2))</f>
        <v/>
      </c>
      <c r="H154" s="25" t="str">
        <f>IF($B154="","",SUMIFS(周转筐出入库明细!$H$4:$H$2004,周转筐出入库明细!$C$4:$C$2004,$B154,周转筐出入库明细!$F$4:$F$2004,"采购入库",周转筐出入库明细!$B$4:$B$2004,"&gt;="&amp;$P$1,周转筐出入库明细!$B$4:$B$2004,"&lt;="&amp;$P$2)-SUM($C154:$G154))</f>
        <v/>
      </c>
      <c r="I154" s="25" t="str">
        <f t="shared" si="7"/>
        <v/>
      </c>
      <c r="J154" s="26" t="str">
        <f>IF($B154="","",ROUND(SUMIFS(周转筐出入库明细!$P$4:$P$2004,周转筐出入库明细!$C$4:$C$2004,$B154,周转筐出入库明细!$F$4:$F$2004,"采购入库",周转筐出入库明细!$B$4:$B$2004,"&gt;="&amp;$P$1,周转筐出入库明细!$B$4:$B$2004,"&lt;="&amp;$P$2),2))</f>
        <v/>
      </c>
      <c r="K154" s="26" t="str">
        <f>IF($B154="","",ROUND(SUMIFS(周转筐出入库明细!$P$4:$P$2004,周转筐出入库明细!$C$4:$C$2004,$B154,周转筐出入库明细!$F$4:$F$2004,"采购入库",周转筐出入库明细!$Q$4:$Q$2004,"已付款",周转筐出入库明细!$B$4:$B$2004,"&gt;="&amp;$P$1,周转筐出入库明细!$B$4:$B$2004,"&lt;="&amp;$P$2),2))</f>
        <v/>
      </c>
      <c r="L154" s="26" t="str">
        <f t="shared" si="8"/>
        <v/>
      </c>
    </row>
    <row r="155" spans="1:12">
      <c r="A155" s="22" t="str">
        <f t="shared" si="6"/>
        <v/>
      </c>
      <c r="B155" s="37" t="str">
        <f>IFERROR(INDEX(_自动清单!$CW$4:$CW$203,ROW()-3),"")</f>
        <v/>
      </c>
      <c r="C155" s="25" t="str">
        <f>IF(OR($B155="",基础资料!$B$4=""),"",SUMIFS(周转筐出入库明细!$H$4:$H$2004,周转筐出入库明细!$C$4:$C$2004,$B155,周转筐出入库明细!$D$4:$D$2004,基础资料!$B$4,周转筐出入库明细!$F$4:$F$2004,"采购入库",周转筐出入库明细!$B$4:$B$2004,"&gt;="&amp;$P$1,周转筐出入库明细!$B$4:$B$2004,"&lt;="&amp;$P$2))</f>
        <v/>
      </c>
      <c r="D155" s="25" t="str">
        <f>IF(OR($B155="",基础资料!$B$5=""),"",SUMIFS(周转筐出入库明细!$H$4:$H$2004,周转筐出入库明细!$C$4:$C$2004,$B155,周转筐出入库明细!$D$4:$D$2004,基础资料!$B$5,周转筐出入库明细!$F$4:$F$2004,"采购入库",周转筐出入库明细!$B$4:$B$2004,"&gt;="&amp;$P$1,周转筐出入库明细!$B$4:$B$2004,"&lt;="&amp;$P$2))</f>
        <v/>
      </c>
      <c r="E155" s="25" t="str">
        <f>IF(OR($B155="",基础资料!$B$6=""),"",SUMIFS(周转筐出入库明细!$H$4:$H$2004,周转筐出入库明细!$C$4:$C$2004,$B155,周转筐出入库明细!$D$4:$D$2004,基础资料!$B$6,周转筐出入库明细!$F$4:$F$2004,"采购入库",周转筐出入库明细!$B$4:$B$2004,"&gt;="&amp;$P$1,周转筐出入库明细!$B$4:$B$2004,"&lt;="&amp;$P$2))</f>
        <v/>
      </c>
      <c r="F155" s="25" t="str">
        <f>IF(OR($B155="",基础资料!$B$7=""),"",SUMIFS(周转筐出入库明细!$H$4:$H$2004,周转筐出入库明细!$C$4:$C$2004,$B155,周转筐出入库明细!$D$4:$D$2004,基础资料!$B$7,周转筐出入库明细!$F$4:$F$2004,"采购入库",周转筐出入库明细!$B$4:$B$2004,"&gt;="&amp;$P$1,周转筐出入库明细!$B$4:$B$2004,"&lt;="&amp;$P$2))</f>
        <v/>
      </c>
      <c r="G155" s="25" t="str">
        <f>IF(OR($B155="",基础资料!$B$8=""),"",SUMIFS(周转筐出入库明细!$H$4:$H$2004,周转筐出入库明细!$C$4:$C$2004,$B155,周转筐出入库明细!$D$4:$D$2004,基础资料!$B$8,周转筐出入库明细!$F$4:$F$2004,"采购入库",周转筐出入库明细!$B$4:$B$2004,"&gt;="&amp;$P$1,周转筐出入库明细!$B$4:$B$2004,"&lt;="&amp;$P$2))</f>
        <v/>
      </c>
      <c r="H155" s="25" t="str">
        <f>IF($B155="","",SUMIFS(周转筐出入库明细!$H$4:$H$2004,周转筐出入库明细!$C$4:$C$2004,$B155,周转筐出入库明细!$F$4:$F$2004,"采购入库",周转筐出入库明细!$B$4:$B$2004,"&gt;="&amp;$P$1,周转筐出入库明细!$B$4:$B$2004,"&lt;="&amp;$P$2)-SUM($C155:$G155))</f>
        <v/>
      </c>
      <c r="I155" s="25" t="str">
        <f t="shared" si="7"/>
        <v/>
      </c>
      <c r="J155" s="26" t="str">
        <f>IF($B155="","",ROUND(SUMIFS(周转筐出入库明细!$P$4:$P$2004,周转筐出入库明细!$C$4:$C$2004,$B155,周转筐出入库明细!$F$4:$F$2004,"采购入库",周转筐出入库明细!$B$4:$B$2004,"&gt;="&amp;$P$1,周转筐出入库明细!$B$4:$B$2004,"&lt;="&amp;$P$2),2))</f>
        <v/>
      </c>
      <c r="K155" s="26" t="str">
        <f>IF($B155="","",ROUND(SUMIFS(周转筐出入库明细!$P$4:$P$2004,周转筐出入库明细!$C$4:$C$2004,$B155,周转筐出入库明细!$F$4:$F$2004,"采购入库",周转筐出入库明细!$Q$4:$Q$2004,"已付款",周转筐出入库明细!$B$4:$B$2004,"&gt;="&amp;$P$1,周转筐出入库明细!$B$4:$B$2004,"&lt;="&amp;$P$2),2))</f>
        <v/>
      </c>
      <c r="L155" s="26" t="str">
        <f t="shared" si="8"/>
        <v/>
      </c>
    </row>
    <row r="156" spans="1:12">
      <c r="A156" s="22" t="str">
        <f t="shared" si="6"/>
        <v/>
      </c>
      <c r="B156" s="37" t="str">
        <f>IFERROR(INDEX(_自动清单!$CW$4:$CW$203,ROW()-3),"")</f>
        <v/>
      </c>
      <c r="C156" s="25" t="str">
        <f>IF(OR($B156="",基础资料!$B$4=""),"",SUMIFS(周转筐出入库明细!$H$4:$H$2004,周转筐出入库明细!$C$4:$C$2004,$B156,周转筐出入库明细!$D$4:$D$2004,基础资料!$B$4,周转筐出入库明细!$F$4:$F$2004,"采购入库",周转筐出入库明细!$B$4:$B$2004,"&gt;="&amp;$P$1,周转筐出入库明细!$B$4:$B$2004,"&lt;="&amp;$P$2))</f>
        <v/>
      </c>
      <c r="D156" s="25" t="str">
        <f>IF(OR($B156="",基础资料!$B$5=""),"",SUMIFS(周转筐出入库明细!$H$4:$H$2004,周转筐出入库明细!$C$4:$C$2004,$B156,周转筐出入库明细!$D$4:$D$2004,基础资料!$B$5,周转筐出入库明细!$F$4:$F$2004,"采购入库",周转筐出入库明细!$B$4:$B$2004,"&gt;="&amp;$P$1,周转筐出入库明细!$B$4:$B$2004,"&lt;="&amp;$P$2))</f>
        <v/>
      </c>
      <c r="E156" s="25" t="str">
        <f>IF(OR($B156="",基础资料!$B$6=""),"",SUMIFS(周转筐出入库明细!$H$4:$H$2004,周转筐出入库明细!$C$4:$C$2004,$B156,周转筐出入库明细!$D$4:$D$2004,基础资料!$B$6,周转筐出入库明细!$F$4:$F$2004,"采购入库",周转筐出入库明细!$B$4:$B$2004,"&gt;="&amp;$P$1,周转筐出入库明细!$B$4:$B$2004,"&lt;="&amp;$P$2))</f>
        <v/>
      </c>
      <c r="F156" s="25" t="str">
        <f>IF(OR($B156="",基础资料!$B$7=""),"",SUMIFS(周转筐出入库明细!$H$4:$H$2004,周转筐出入库明细!$C$4:$C$2004,$B156,周转筐出入库明细!$D$4:$D$2004,基础资料!$B$7,周转筐出入库明细!$F$4:$F$2004,"采购入库",周转筐出入库明细!$B$4:$B$2004,"&gt;="&amp;$P$1,周转筐出入库明细!$B$4:$B$2004,"&lt;="&amp;$P$2))</f>
        <v/>
      </c>
      <c r="G156" s="25" t="str">
        <f>IF(OR($B156="",基础资料!$B$8=""),"",SUMIFS(周转筐出入库明细!$H$4:$H$2004,周转筐出入库明细!$C$4:$C$2004,$B156,周转筐出入库明细!$D$4:$D$2004,基础资料!$B$8,周转筐出入库明细!$F$4:$F$2004,"采购入库",周转筐出入库明细!$B$4:$B$2004,"&gt;="&amp;$P$1,周转筐出入库明细!$B$4:$B$2004,"&lt;="&amp;$P$2))</f>
        <v/>
      </c>
      <c r="H156" s="25" t="str">
        <f>IF($B156="","",SUMIFS(周转筐出入库明细!$H$4:$H$2004,周转筐出入库明细!$C$4:$C$2004,$B156,周转筐出入库明细!$F$4:$F$2004,"采购入库",周转筐出入库明细!$B$4:$B$2004,"&gt;="&amp;$P$1,周转筐出入库明细!$B$4:$B$2004,"&lt;="&amp;$P$2)-SUM($C156:$G156))</f>
        <v/>
      </c>
      <c r="I156" s="25" t="str">
        <f t="shared" si="7"/>
        <v/>
      </c>
      <c r="J156" s="26" t="str">
        <f>IF($B156="","",ROUND(SUMIFS(周转筐出入库明细!$P$4:$P$2004,周转筐出入库明细!$C$4:$C$2004,$B156,周转筐出入库明细!$F$4:$F$2004,"采购入库",周转筐出入库明细!$B$4:$B$2004,"&gt;="&amp;$P$1,周转筐出入库明细!$B$4:$B$2004,"&lt;="&amp;$P$2),2))</f>
        <v/>
      </c>
      <c r="K156" s="26" t="str">
        <f>IF($B156="","",ROUND(SUMIFS(周转筐出入库明细!$P$4:$P$2004,周转筐出入库明细!$C$4:$C$2004,$B156,周转筐出入库明细!$F$4:$F$2004,"采购入库",周转筐出入库明细!$Q$4:$Q$2004,"已付款",周转筐出入库明细!$B$4:$B$2004,"&gt;="&amp;$P$1,周转筐出入库明细!$B$4:$B$2004,"&lt;="&amp;$P$2),2))</f>
        <v/>
      </c>
      <c r="L156" s="26" t="str">
        <f t="shared" si="8"/>
        <v/>
      </c>
    </row>
    <row r="157" spans="1:12">
      <c r="A157" s="22" t="str">
        <f t="shared" si="6"/>
        <v/>
      </c>
      <c r="B157" s="37" t="str">
        <f>IFERROR(INDEX(_自动清单!$CW$4:$CW$203,ROW()-3),"")</f>
        <v/>
      </c>
      <c r="C157" s="25" t="str">
        <f>IF(OR($B157="",基础资料!$B$4=""),"",SUMIFS(周转筐出入库明细!$H$4:$H$2004,周转筐出入库明细!$C$4:$C$2004,$B157,周转筐出入库明细!$D$4:$D$2004,基础资料!$B$4,周转筐出入库明细!$F$4:$F$2004,"采购入库",周转筐出入库明细!$B$4:$B$2004,"&gt;="&amp;$P$1,周转筐出入库明细!$B$4:$B$2004,"&lt;="&amp;$P$2))</f>
        <v/>
      </c>
      <c r="D157" s="25" t="str">
        <f>IF(OR($B157="",基础资料!$B$5=""),"",SUMIFS(周转筐出入库明细!$H$4:$H$2004,周转筐出入库明细!$C$4:$C$2004,$B157,周转筐出入库明细!$D$4:$D$2004,基础资料!$B$5,周转筐出入库明细!$F$4:$F$2004,"采购入库",周转筐出入库明细!$B$4:$B$2004,"&gt;="&amp;$P$1,周转筐出入库明细!$B$4:$B$2004,"&lt;="&amp;$P$2))</f>
        <v/>
      </c>
      <c r="E157" s="25" t="str">
        <f>IF(OR($B157="",基础资料!$B$6=""),"",SUMIFS(周转筐出入库明细!$H$4:$H$2004,周转筐出入库明细!$C$4:$C$2004,$B157,周转筐出入库明细!$D$4:$D$2004,基础资料!$B$6,周转筐出入库明细!$F$4:$F$2004,"采购入库",周转筐出入库明细!$B$4:$B$2004,"&gt;="&amp;$P$1,周转筐出入库明细!$B$4:$B$2004,"&lt;="&amp;$P$2))</f>
        <v/>
      </c>
      <c r="F157" s="25" t="str">
        <f>IF(OR($B157="",基础资料!$B$7=""),"",SUMIFS(周转筐出入库明细!$H$4:$H$2004,周转筐出入库明细!$C$4:$C$2004,$B157,周转筐出入库明细!$D$4:$D$2004,基础资料!$B$7,周转筐出入库明细!$F$4:$F$2004,"采购入库",周转筐出入库明细!$B$4:$B$2004,"&gt;="&amp;$P$1,周转筐出入库明细!$B$4:$B$2004,"&lt;="&amp;$P$2))</f>
        <v/>
      </c>
      <c r="G157" s="25" t="str">
        <f>IF(OR($B157="",基础资料!$B$8=""),"",SUMIFS(周转筐出入库明细!$H$4:$H$2004,周转筐出入库明细!$C$4:$C$2004,$B157,周转筐出入库明细!$D$4:$D$2004,基础资料!$B$8,周转筐出入库明细!$F$4:$F$2004,"采购入库",周转筐出入库明细!$B$4:$B$2004,"&gt;="&amp;$P$1,周转筐出入库明细!$B$4:$B$2004,"&lt;="&amp;$P$2))</f>
        <v/>
      </c>
      <c r="H157" s="25" t="str">
        <f>IF($B157="","",SUMIFS(周转筐出入库明细!$H$4:$H$2004,周转筐出入库明细!$C$4:$C$2004,$B157,周转筐出入库明细!$F$4:$F$2004,"采购入库",周转筐出入库明细!$B$4:$B$2004,"&gt;="&amp;$P$1,周转筐出入库明细!$B$4:$B$2004,"&lt;="&amp;$P$2)-SUM($C157:$G157))</f>
        <v/>
      </c>
      <c r="I157" s="25" t="str">
        <f t="shared" si="7"/>
        <v/>
      </c>
      <c r="J157" s="26" t="str">
        <f>IF($B157="","",ROUND(SUMIFS(周转筐出入库明细!$P$4:$P$2004,周转筐出入库明细!$C$4:$C$2004,$B157,周转筐出入库明细!$F$4:$F$2004,"采购入库",周转筐出入库明细!$B$4:$B$2004,"&gt;="&amp;$P$1,周转筐出入库明细!$B$4:$B$2004,"&lt;="&amp;$P$2),2))</f>
        <v/>
      </c>
      <c r="K157" s="26" t="str">
        <f>IF($B157="","",ROUND(SUMIFS(周转筐出入库明细!$P$4:$P$2004,周转筐出入库明细!$C$4:$C$2004,$B157,周转筐出入库明细!$F$4:$F$2004,"采购入库",周转筐出入库明细!$Q$4:$Q$2004,"已付款",周转筐出入库明细!$B$4:$B$2004,"&gt;="&amp;$P$1,周转筐出入库明细!$B$4:$B$2004,"&lt;="&amp;$P$2),2))</f>
        <v/>
      </c>
      <c r="L157" s="26" t="str">
        <f t="shared" si="8"/>
        <v/>
      </c>
    </row>
    <row r="158" spans="1:12">
      <c r="A158" s="22" t="str">
        <f t="shared" si="6"/>
        <v/>
      </c>
      <c r="B158" s="37" t="str">
        <f>IFERROR(INDEX(_自动清单!$CW$4:$CW$203,ROW()-3),"")</f>
        <v/>
      </c>
      <c r="C158" s="25" t="str">
        <f>IF(OR($B158="",基础资料!$B$4=""),"",SUMIFS(周转筐出入库明细!$H$4:$H$2004,周转筐出入库明细!$C$4:$C$2004,$B158,周转筐出入库明细!$D$4:$D$2004,基础资料!$B$4,周转筐出入库明细!$F$4:$F$2004,"采购入库",周转筐出入库明细!$B$4:$B$2004,"&gt;="&amp;$P$1,周转筐出入库明细!$B$4:$B$2004,"&lt;="&amp;$P$2))</f>
        <v/>
      </c>
      <c r="D158" s="25" t="str">
        <f>IF(OR($B158="",基础资料!$B$5=""),"",SUMIFS(周转筐出入库明细!$H$4:$H$2004,周转筐出入库明细!$C$4:$C$2004,$B158,周转筐出入库明细!$D$4:$D$2004,基础资料!$B$5,周转筐出入库明细!$F$4:$F$2004,"采购入库",周转筐出入库明细!$B$4:$B$2004,"&gt;="&amp;$P$1,周转筐出入库明细!$B$4:$B$2004,"&lt;="&amp;$P$2))</f>
        <v/>
      </c>
      <c r="E158" s="25" t="str">
        <f>IF(OR($B158="",基础资料!$B$6=""),"",SUMIFS(周转筐出入库明细!$H$4:$H$2004,周转筐出入库明细!$C$4:$C$2004,$B158,周转筐出入库明细!$D$4:$D$2004,基础资料!$B$6,周转筐出入库明细!$F$4:$F$2004,"采购入库",周转筐出入库明细!$B$4:$B$2004,"&gt;="&amp;$P$1,周转筐出入库明细!$B$4:$B$2004,"&lt;="&amp;$P$2))</f>
        <v/>
      </c>
      <c r="F158" s="25" t="str">
        <f>IF(OR($B158="",基础资料!$B$7=""),"",SUMIFS(周转筐出入库明细!$H$4:$H$2004,周转筐出入库明细!$C$4:$C$2004,$B158,周转筐出入库明细!$D$4:$D$2004,基础资料!$B$7,周转筐出入库明细!$F$4:$F$2004,"采购入库",周转筐出入库明细!$B$4:$B$2004,"&gt;="&amp;$P$1,周转筐出入库明细!$B$4:$B$2004,"&lt;="&amp;$P$2))</f>
        <v/>
      </c>
      <c r="G158" s="25" t="str">
        <f>IF(OR($B158="",基础资料!$B$8=""),"",SUMIFS(周转筐出入库明细!$H$4:$H$2004,周转筐出入库明细!$C$4:$C$2004,$B158,周转筐出入库明细!$D$4:$D$2004,基础资料!$B$8,周转筐出入库明细!$F$4:$F$2004,"采购入库",周转筐出入库明细!$B$4:$B$2004,"&gt;="&amp;$P$1,周转筐出入库明细!$B$4:$B$2004,"&lt;="&amp;$P$2))</f>
        <v/>
      </c>
      <c r="H158" s="25" t="str">
        <f>IF($B158="","",SUMIFS(周转筐出入库明细!$H$4:$H$2004,周转筐出入库明细!$C$4:$C$2004,$B158,周转筐出入库明细!$F$4:$F$2004,"采购入库",周转筐出入库明细!$B$4:$B$2004,"&gt;="&amp;$P$1,周转筐出入库明细!$B$4:$B$2004,"&lt;="&amp;$P$2)-SUM($C158:$G158))</f>
        <v/>
      </c>
      <c r="I158" s="25" t="str">
        <f t="shared" si="7"/>
        <v/>
      </c>
      <c r="J158" s="26" t="str">
        <f>IF($B158="","",ROUND(SUMIFS(周转筐出入库明细!$P$4:$P$2004,周转筐出入库明细!$C$4:$C$2004,$B158,周转筐出入库明细!$F$4:$F$2004,"采购入库",周转筐出入库明细!$B$4:$B$2004,"&gt;="&amp;$P$1,周转筐出入库明细!$B$4:$B$2004,"&lt;="&amp;$P$2),2))</f>
        <v/>
      </c>
      <c r="K158" s="26" t="str">
        <f>IF($B158="","",ROUND(SUMIFS(周转筐出入库明细!$P$4:$P$2004,周转筐出入库明细!$C$4:$C$2004,$B158,周转筐出入库明细!$F$4:$F$2004,"采购入库",周转筐出入库明细!$Q$4:$Q$2004,"已付款",周转筐出入库明细!$B$4:$B$2004,"&gt;="&amp;$P$1,周转筐出入库明细!$B$4:$B$2004,"&lt;="&amp;$P$2),2))</f>
        <v/>
      </c>
      <c r="L158" s="26" t="str">
        <f t="shared" si="8"/>
        <v/>
      </c>
    </row>
    <row r="159" spans="1:12">
      <c r="A159" s="22" t="str">
        <f t="shared" si="6"/>
        <v/>
      </c>
      <c r="B159" s="37" t="str">
        <f>IFERROR(INDEX(_自动清单!$CW$4:$CW$203,ROW()-3),"")</f>
        <v/>
      </c>
      <c r="C159" s="25" t="str">
        <f>IF(OR($B159="",基础资料!$B$4=""),"",SUMIFS(周转筐出入库明细!$H$4:$H$2004,周转筐出入库明细!$C$4:$C$2004,$B159,周转筐出入库明细!$D$4:$D$2004,基础资料!$B$4,周转筐出入库明细!$F$4:$F$2004,"采购入库",周转筐出入库明细!$B$4:$B$2004,"&gt;="&amp;$P$1,周转筐出入库明细!$B$4:$B$2004,"&lt;="&amp;$P$2))</f>
        <v/>
      </c>
      <c r="D159" s="25" t="str">
        <f>IF(OR($B159="",基础资料!$B$5=""),"",SUMIFS(周转筐出入库明细!$H$4:$H$2004,周转筐出入库明细!$C$4:$C$2004,$B159,周转筐出入库明细!$D$4:$D$2004,基础资料!$B$5,周转筐出入库明细!$F$4:$F$2004,"采购入库",周转筐出入库明细!$B$4:$B$2004,"&gt;="&amp;$P$1,周转筐出入库明细!$B$4:$B$2004,"&lt;="&amp;$P$2))</f>
        <v/>
      </c>
      <c r="E159" s="25" t="str">
        <f>IF(OR($B159="",基础资料!$B$6=""),"",SUMIFS(周转筐出入库明细!$H$4:$H$2004,周转筐出入库明细!$C$4:$C$2004,$B159,周转筐出入库明细!$D$4:$D$2004,基础资料!$B$6,周转筐出入库明细!$F$4:$F$2004,"采购入库",周转筐出入库明细!$B$4:$B$2004,"&gt;="&amp;$P$1,周转筐出入库明细!$B$4:$B$2004,"&lt;="&amp;$P$2))</f>
        <v/>
      </c>
      <c r="F159" s="25" t="str">
        <f>IF(OR($B159="",基础资料!$B$7=""),"",SUMIFS(周转筐出入库明细!$H$4:$H$2004,周转筐出入库明细!$C$4:$C$2004,$B159,周转筐出入库明细!$D$4:$D$2004,基础资料!$B$7,周转筐出入库明细!$F$4:$F$2004,"采购入库",周转筐出入库明细!$B$4:$B$2004,"&gt;="&amp;$P$1,周转筐出入库明细!$B$4:$B$2004,"&lt;="&amp;$P$2))</f>
        <v/>
      </c>
      <c r="G159" s="25" t="str">
        <f>IF(OR($B159="",基础资料!$B$8=""),"",SUMIFS(周转筐出入库明细!$H$4:$H$2004,周转筐出入库明细!$C$4:$C$2004,$B159,周转筐出入库明细!$D$4:$D$2004,基础资料!$B$8,周转筐出入库明细!$F$4:$F$2004,"采购入库",周转筐出入库明细!$B$4:$B$2004,"&gt;="&amp;$P$1,周转筐出入库明细!$B$4:$B$2004,"&lt;="&amp;$P$2))</f>
        <v/>
      </c>
      <c r="H159" s="25" t="str">
        <f>IF($B159="","",SUMIFS(周转筐出入库明细!$H$4:$H$2004,周转筐出入库明细!$C$4:$C$2004,$B159,周转筐出入库明细!$F$4:$F$2004,"采购入库",周转筐出入库明细!$B$4:$B$2004,"&gt;="&amp;$P$1,周转筐出入库明细!$B$4:$B$2004,"&lt;="&amp;$P$2)-SUM($C159:$G159))</f>
        <v/>
      </c>
      <c r="I159" s="25" t="str">
        <f t="shared" si="7"/>
        <v/>
      </c>
      <c r="J159" s="26" t="str">
        <f>IF($B159="","",ROUND(SUMIFS(周转筐出入库明细!$P$4:$P$2004,周转筐出入库明细!$C$4:$C$2004,$B159,周转筐出入库明细!$F$4:$F$2004,"采购入库",周转筐出入库明细!$B$4:$B$2004,"&gt;="&amp;$P$1,周转筐出入库明细!$B$4:$B$2004,"&lt;="&amp;$P$2),2))</f>
        <v/>
      </c>
      <c r="K159" s="26" t="str">
        <f>IF($B159="","",ROUND(SUMIFS(周转筐出入库明细!$P$4:$P$2004,周转筐出入库明细!$C$4:$C$2004,$B159,周转筐出入库明细!$F$4:$F$2004,"采购入库",周转筐出入库明细!$Q$4:$Q$2004,"已付款",周转筐出入库明细!$B$4:$B$2004,"&gt;="&amp;$P$1,周转筐出入库明细!$B$4:$B$2004,"&lt;="&amp;$P$2),2))</f>
        <v/>
      </c>
      <c r="L159" s="26" t="str">
        <f t="shared" si="8"/>
        <v/>
      </c>
    </row>
    <row r="160" spans="1:12">
      <c r="A160" s="22" t="str">
        <f t="shared" si="6"/>
        <v/>
      </c>
      <c r="B160" s="37" t="str">
        <f>IFERROR(INDEX(_自动清单!$CW$4:$CW$203,ROW()-3),"")</f>
        <v/>
      </c>
      <c r="C160" s="25" t="str">
        <f>IF(OR($B160="",基础资料!$B$4=""),"",SUMIFS(周转筐出入库明细!$H$4:$H$2004,周转筐出入库明细!$C$4:$C$2004,$B160,周转筐出入库明细!$D$4:$D$2004,基础资料!$B$4,周转筐出入库明细!$F$4:$F$2004,"采购入库",周转筐出入库明细!$B$4:$B$2004,"&gt;="&amp;$P$1,周转筐出入库明细!$B$4:$B$2004,"&lt;="&amp;$P$2))</f>
        <v/>
      </c>
      <c r="D160" s="25" t="str">
        <f>IF(OR($B160="",基础资料!$B$5=""),"",SUMIFS(周转筐出入库明细!$H$4:$H$2004,周转筐出入库明细!$C$4:$C$2004,$B160,周转筐出入库明细!$D$4:$D$2004,基础资料!$B$5,周转筐出入库明细!$F$4:$F$2004,"采购入库",周转筐出入库明细!$B$4:$B$2004,"&gt;="&amp;$P$1,周转筐出入库明细!$B$4:$B$2004,"&lt;="&amp;$P$2))</f>
        <v/>
      </c>
      <c r="E160" s="25" t="str">
        <f>IF(OR($B160="",基础资料!$B$6=""),"",SUMIFS(周转筐出入库明细!$H$4:$H$2004,周转筐出入库明细!$C$4:$C$2004,$B160,周转筐出入库明细!$D$4:$D$2004,基础资料!$B$6,周转筐出入库明细!$F$4:$F$2004,"采购入库",周转筐出入库明细!$B$4:$B$2004,"&gt;="&amp;$P$1,周转筐出入库明细!$B$4:$B$2004,"&lt;="&amp;$P$2))</f>
        <v/>
      </c>
      <c r="F160" s="25" t="str">
        <f>IF(OR($B160="",基础资料!$B$7=""),"",SUMIFS(周转筐出入库明细!$H$4:$H$2004,周转筐出入库明细!$C$4:$C$2004,$B160,周转筐出入库明细!$D$4:$D$2004,基础资料!$B$7,周转筐出入库明细!$F$4:$F$2004,"采购入库",周转筐出入库明细!$B$4:$B$2004,"&gt;="&amp;$P$1,周转筐出入库明细!$B$4:$B$2004,"&lt;="&amp;$P$2))</f>
        <v/>
      </c>
      <c r="G160" s="25" t="str">
        <f>IF(OR($B160="",基础资料!$B$8=""),"",SUMIFS(周转筐出入库明细!$H$4:$H$2004,周转筐出入库明细!$C$4:$C$2004,$B160,周转筐出入库明细!$D$4:$D$2004,基础资料!$B$8,周转筐出入库明细!$F$4:$F$2004,"采购入库",周转筐出入库明细!$B$4:$B$2004,"&gt;="&amp;$P$1,周转筐出入库明细!$B$4:$B$2004,"&lt;="&amp;$P$2))</f>
        <v/>
      </c>
      <c r="H160" s="25" t="str">
        <f>IF($B160="","",SUMIFS(周转筐出入库明细!$H$4:$H$2004,周转筐出入库明细!$C$4:$C$2004,$B160,周转筐出入库明细!$F$4:$F$2004,"采购入库",周转筐出入库明细!$B$4:$B$2004,"&gt;="&amp;$P$1,周转筐出入库明细!$B$4:$B$2004,"&lt;="&amp;$P$2)-SUM($C160:$G160))</f>
        <v/>
      </c>
      <c r="I160" s="25" t="str">
        <f t="shared" si="7"/>
        <v/>
      </c>
      <c r="J160" s="26" t="str">
        <f>IF($B160="","",ROUND(SUMIFS(周转筐出入库明细!$P$4:$P$2004,周转筐出入库明细!$C$4:$C$2004,$B160,周转筐出入库明细!$F$4:$F$2004,"采购入库",周转筐出入库明细!$B$4:$B$2004,"&gt;="&amp;$P$1,周转筐出入库明细!$B$4:$B$2004,"&lt;="&amp;$P$2),2))</f>
        <v/>
      </c>
      <c r="K160" s="26" t="str">
        <f>IF($B160="","",ROUND(SUMIFS(周转筐出入库明细!$P$4:$P$2004,周转筐出入库明细!$C$4:$C$2004,$B160,周转筐出入库明细!$F$4:$F$2004,"采购入库",周转筐出入库明细!$Q$4:$Q$2004,"已付款",周转筐出入库明细!$B$4:$B$2004,"&gt;="&amp;$P$1,周转筐出入库明细!$B$4:$B$2004,"&lt;="&amp;$P$2),2))</f>
        <v/>
      </c>
      <c r="L160" s="26" t="str">
        <f t="shared" si="8"/>
        <v/>
      </c>
    </row>
    <row r="161" spans="1:12">
      <c r="A161" s="22" t="str">
        <f t="shared" si="6"/>
        <v/>
      </c>
      <c r="B161" s="37" t="str">
        <f>IFERROR(INDEX(_自动清单!$CW$4:$CW$203,ROW()-3),"")</f>
        <v/>
      </c>
      <c r="C161" s="25" t="str">
        <f>IF(OR($B161="",基础资料!$B$4=""),"",SUMIFS(周转筐出入库明细!$H$4:$H$2004,周转筐出入库明细!$C$4:$C$2004,$B161,周转筐出入库明细!$D$4:$D$2004,基础资料!$B$4,周转筐出入库明细!$F$4:$F$2004,"采购入库",周转筐出入库明细!$B$4:$B$2004,"&gt;="&amp;$P$1,周转筐出入库明细!$B$4:$B$2004,"&lt;="&amp;$P$2))</f>
        <v/>
      </c>
      <c r="D161" s="25" t="str">
        <f>IF(OR($B161="",基础资料!$B$5=""),"",SUMIFS(周转筐出入库明细!$H$4:$H$2004,周转筐出入库明细!$C$4:$C$2004,$B161,周转筐出入库明细!$D$4:$D$2004,基础资料!$B$5,周转筐出入库明细!$F$4:$F$2004,"采购入库",周转筐出入库明细!$B$4:$B$2004,"&gt;="&amp;$P$1,周转筐出入库明细!$B$4:$B$2004,"&lt;="&amp;$P$2))</f>
        <v/>
      </c>
      <c r="E161" s="25" t="str">
        <f>IF(OR($B161="",基础资料!$B$6=""),"",SUMIFS(周转筐出入库明细!$H$4:$H$2004,周转筐出入库明细!$C$4:$C$2004,$B161,周转筐出入库明细!$D$4:$D$2004,基础资料!$B$6,周转筐出入库明细!$F$4:$F$2004,"采购入库",周转筐出入库明细!$B$4:$B$2004,"&gt;="&amp;$P$1,周转筐出入库明细!$B$4:$B$2004,"&lt;="&amp;$P$2))</f>
        <v/>
      </c>
      <c r="F161" s="25" t="str">
        <f>IF(OR($B161="",基础资料!$B$7=""),"",SUMIFS(周转筐出入库明细!$H$4:$H$2004,周转筐出入库明细!$C$4:$C$2004,$B161,周转筐出入库明细!$D$4:$D$2004,基础资料!$B$7,周转筐出入库明细!$F$4:$F$2004,"采购入库",周转筐出入库明细!$B$4:$B$2004,"&gt;="&amp;$P$1,周转筐出入库明细!$B$4:$B$2004,"&lt;="&amp;$P$2))</f>
        <v/>
      </c>
      <c r="G161" s="25" t="str">
        <f>IF(OR($B161="",基础资料!$B$8=""),"",SUMIFS(周转筐出入库明细!$H$4:$H$2004,周转筐出入库明细!$C$4:$C$2004,$B161,周转筐出入库明细!$D$4:$D$2004,基础资料!$B$8,周转筐出入库明细!$F$4:$F$2004,"采购入库",周转筐出入库明细!$B$4:$B$2004,"&gt;="&amp;$P$1,周转筐出入库明细!$B$4:$B$2004,"&lt;="&amp;$P$2))</f>
        <v/>
      </c>
      <c r="H161" s="25" t="str">
        <f>IF($B161="","",SUMIFS(周转筐出入库明细!$H$4:$H$2004,周转筐出入库明细!$C$4:$C$2004,$B161,周转筐出入库明细!$F$4:$F$2004,"采购入库",周转筐出入库明细!$B$4:$B$2004,"&gt;="&amp;$P$1,周转筐出入库明细!$B$4:$B$2004,"&lt;="&amp;$P$2)-SUM($C161:$G161))</f>
        <v/>
      </c>
      <c r="I161" s="25" t="str">
        <f t="shared" si="7"/>
        <v/>
      </c>
      <c r="J161" s="26" t="str">
        <f>IF($B161="","",ROUND(SUMIFS(周转筐出入库明细!$P$4:$P$2004,周转筐出入库明细!$C$4:$C$2004,$B161,周转筐出入库明细!$F$4:$F$2004,"采购入库",周转筐出入库明细!$B$4:$B$2004,"&gt;="&amp;$P$1,周转筐出入库明细!$B$4:$B$2004,"&lt;="&amp;$P$2),2))</f>
        <v/>
      </c>
      <c r="K161" s="26" t="str">
        <f>IF($B161="","",ROUND(SUMIFS(周转筐出入库明细!$P$4:$P$2004,周转筐出入库明细!$C$4:$C$2004,$B161,周转筐出入库明细!$F$4:$F$2004,"采购入库",周转筐出入库明细!$Q$4:$Q$2004,"已付款",周转筐出入库明细!$B$4:$B$2004,"&gt;="&amp;$P$1,周转筐出入库明细!$B$4:$B$2004,"&lt;="&amp;$P$2),2))</f>
        <v/>
      </c>
      <c r="L161" s="26" t="str">
        <f t="shared" si="8"/>
        <v/>
      </c>
    </row>
    <row r="162" spans="1:12">
      <c r="A162" s="22" t="str">
        <f t="shared" si="6"/>
        <v/>
      </c>
      <c r="B162" s="37" t="str">
        <f>IFERROR(INDEX(_自动清单!$CW$4:$CW$203,ROW()-3),"")</f>
        <v/>
      </c>
      <c r="C162" s="25" t="str">
        <f>IF(OR($B162="",基础资料!$B$4=""),"",SUMIFS(周转筐出入库明细!$H$4:$H$2004,周转筐出入库明细!$C$4:$C$2004,$B162,周转筐出入库明细!$D$4:$D$2004,基础资料!$B$4,周转筐出入库明细!$F$4:$F$2004,"采购入库",周转筐出入库明细!$B$4:$B$2004,"&gt;="&amp;$P$1,周转筐出入库明细!$B$4:$B$2004,"&lt;="&amp;$P$2))</f>
        <v/>
      </c>
      <c r="D162" s="25" t="str">
        <f>IF(OR($B162="",基础资料!$B$5=""),"",SUMIFS(周转筐出入库明细!$H$4:$H$2004,周转筐出入库明细!$C$4:$C$2004,$B162,周转筐出入库明细!$D$4:$D$2004,基础资料!$B$5,周转筐出入库明细!$F$4:$F$2004,"采购入库",周转筐出入库明细!$B$4:$B$2004,"&gt;="&amp;$P$1,周转筐出入库明细!$B$4:$B$2004,"&lt;="&amp;$P$2))</f>
        <v/>
      </c>
      <c r="E162" s="25" t="str">
        <f>IF(OR($B162="",基础资料!$B$6=""),"",SUMIFS(周转筐出入库明细!$H$4:$H$2004,周转筐出入库明细!$C$4:$C$2004,$B162,周转筐出入库明细!$D$4:$D$2004,基础资料!$B$6,周转筐出入库明细!$F$4:$F$2004,"采购入库",周转筐出入库明细!$B$4:$B$2004,"&gt;="&amp;$P$1,周转筐出入库明细!$B$4:$B$2004,"&lt;="&amp;$P$2))</f>
        <v/>
      </c>
      <c r="F162" s="25" t="str">
        <f>IF(OR($B162="",基础资料!$B$7=""),"",SUMIFS(周转筐出入库明细!$H$4:$H$2004,周转筐出入库明细!$C$4:$C$2004,$B162,周转筐出入库明细!$D$4:$D$2004,基础资料!$B$7,周转筐出入库明细!$F$4:$F$2004,"采购入库",周转筐出入库明细!$B$4:$B$2004,"&gt;="&amp;$P$1,周转筐出入库明细!$B$4:$B$2004,"&lt;="&amp;$P$2))</f>
        <v/>
      </c>
      <c r="G162" s="25" t="str">
        <f>IF(OR($B162="",基础资料!$B$8=""),"",SUMIFS(周转筐出入库明细!$H$4:$H$2004,周转筐出入库明细!$C$4:$C$2004,$B162,周转筐出入库明细!$D$4:$D$2004,基础资料!$B$8,周转筐出入库明细!$F$4:$F$2004,"采购入库",周转筐出入库明细!$B$4:$B$2004,"&gt;="&amp;$P$1,周转筐出入库明细!$B$4:$B$2004,"&lt;="&amp;$P$2))</f>
        <v/>
      </c>
      <c r="H162" s="25" t="str">
        <f>IF($B162="","",SUMIFS(周转筐出入库明细!$H$4:$H$2004,周转筐出入库明细!$C$4:$C$2004,$B162,周转筐出入库明细!$F$4:$F$2004,"采购入库",周转筐出入库明细!$B$4:$B$2004,"&gt;="&amp;$P$1,周转筐出入库明细!$B$4:$B$2004,"&lt;="&amp;$P$2)-SUM($C162:$G162))</f>
        <v/>
      </c>
      <c r="I162" s="25" t="str">
        <f t="shared" si="7"/>
        <v/>
      </c>
      <c r="J162" s="26" t="str">
        <f>IF($B162="","",ROUND(SUMIFS(周转筐出入库明细!$P$4:$P$2004,周转筐出入库明细!$C$4:$C$2004,$B162,周转筐出入库明细!$F$4:$F$2004,"采购入库",周转筐出入库明细!$B$4:$B$2004,"&gt;="&amp;$P$1,周转筐出入库明细!$B$4:$B$2004,"&lt;="&amp;$P$2),2))</f>
        <v/>
      </c>
      <c r="K162" s="26" t="str">
        <f>IF($B162="","",ROUND(SUMIFS(周转筐出入库明细!$P$4:$P$2004,周转筐出入库明细!$C$4:$C$2004,$B162,周转筐出入库明细!$F$4:$F$2004,"采购入库",周转筐出入库明细!$Q$4:$Q$2004,"已付款",周转筐出入库明细!$B$4:$B$2004,"&gt;="&amp;$P$1,周转筐出入库明细!$B$4:$B$2004,"&lt;="&amp;$P$2),2))</f>
        <v/>
      </c>
      <c r="L162" s="26" t="str">
        <f t="shared" si="8"/>
        <v/>
      </c>
    </row>
    <row r="163" spans="1:12">
      <c r="A163" s="22" t="str">
        <f t="shared" si="6"/>
        <v/>
      </c>
      <c r="B163" s="37" t="str">
        <f>IFERROR(INDEX(_自动清单!$CW$4:$CW$203,ROW()-3),"")</f>
        <v/>
      </c>
      <c r="C163" s="25" t="str">
        <f>IF(OR($B163="",基础资料!$B$4=""),"",SUMIFS(周转筐出入库明细!$H$4:$H$2004,周转筐出入库明细!$C$4:$C$2004,$B163,周转筐出入库明细!$D$4:$D$2004,基础资料!$B$4,周转筐出入库明细!$F$4:$F$2004,"采购入库",周转筐出入库明细!$B$4:$B$2004,"&gt;="&amp;$P$1,周转筐出入库明细!$B$4:$B$2004,"&lt;="&amp;$P$2))</f>
        <v/>
      </c>
      <c r="D163" s="25" t="str">
        <f>IF(OR($B163="",基础资料!$B$5=""),"",SUMIFS(周转筐出入库明细!$H$4:$H$2004,周转筐出入库明细!$C$4:$C$2004,$B163,周转筐出入库明细!$D$4:$D$2004,基础资料!$B$5,周转筐出入库明细!$F$4:$F$2004,"采购入库",周转筐出入库明细!$B$4:$B$2004,"&gt;="&amp;$P$1,周转筐出入库明细!$B$4:$B$2004,"&lt;="&amp;$P$2))</f>
        <v/>
      </c>
      <c r="E163" s="25" t="str">
        <f>IF(OR($B163="",基础资料!$B$6=""),"",SUMIFS(周转筐出入库明细!$H$4:$H$2004,周转筐出入库明细!$C$4:$C$2004,$B163,周转筐出入库明细!$D$4:$D$2004,基础资料!$B$6,周转筐出入库明细!$F$4:$F$2004,"采购入库",周转筐出入库明细!$B$4:$B$2004,"&gt;="&amp;$P$1,周转筐出入库明细!$B$4:$B$2004,"&lt;="&amp;$P$2))</f>
        <v/>
      </c>
      <c r="F163" s="25" t="str">
        <f>IF(OR($B163="",基础资料!$B$7=""),"",SUMIFS(周转筐出入库明细!$H$4:$H$2004,周转筐出入库明细!$C$4:$C$2004,$B163,周转筐出入库明细!$D$4:$D$2004,基础资料!$B$7,周转筐出入库明细!$F$4:$F$2004,"采购入库",周转筐出入库明细!$B$4:$B$2004,"&gt;="&amp;$P$1,周转筐出入库明细!$B$4:$B$2004,"&lt;="&amp;$P$2))</f>
        <v/>
      </c>
      <c r="G163" s="25" t="str">
        <f>IF(OR($B163="",基础资料!$B$8=""),"",SUMIFS(周转筐出入库明细!$H$4:$H$2004,周转筐出入库明细!$C$4:$C$2004,$B163,周转筐出入库明细!$D$4:$D$2004,基础资料!$B$8,周转筐出入库明细!$F$4:$F$2004,"采购入库",周转筐出入库明细!$B$4:$B$2004,"&gt;="&amp;$P$1,周转筐出入库明细!$B$4:$B$2004,"&lt;="&amp;$P$2))</f>
        <v/>
      </c>
      <c r="H163" s="25" t="str">
        <f>IF($B163="","",SUMIFS(周转筐出入库明细!$H$4:$H$2004,周转筐出入库明细!$C$4:$C$2004,$B163,周转筐出入库明细!$F$4:$F$2004,"采购入库",周转筐出入库明细!$B$4:$B$2004,"&gt;="&amp;$P$1,周转筐出入库明细!$B$4:$B$2004,"&lt;="&amp;$P$2)-SUM($C163:$G163))</f>
        <v/>
      </c>
      <c r="I163" s="25" t="str">
        <f t="shared" si="7"/>
        <v/>
      </c>
      <c r="J163" s="26" t="str">
        <f>IF($B163="","",ROUND(SUMIFS(周转筐出入库明细!$P$4:$P$2004,周转筐出入库明细!$C$4:$C$2004,$B163,周转筐出入库明细!$F$4:$F$2004,"采购入库",周转筐出入库明细!$B$4:$B$2004,"&gt;="&amp;$P$1,周转筐出入库明细!$B$4:$B$2004,"&lt;="&amp;$P$2),2))</f>
        <v/>
      </c>
      <c r="K163" s="26" t="str">
        <f>IF($B163="","",ROUND(SUMIFS(周转筐出入库明细!$P$4:$P$2004,周转筐出入库明细!$C$4:$C$2004,$B163,周转筐出入库明细!$F$4:$F$2004,"采购入库",周转筐出入库明细!$Q$4:$Q$2004,"已付款",周转筐出入库明细!$B$4:$B$2004,"&gt;="&amp;$P$1,周转筐出入库明细!$B$4:$B$2004,"&lt;="&amp;$P$2),2))</f>
        <v/>
      </c>
      <c r="L163" s="26" t="str">
        <f t="shared" si="8"/>
        <v/>
      </c>
    </row>
    <row r="164" spans="1:12">
      <c r="A164" s="22" t="str">
        <f t="shared" si="6"/>
        <v/>
      </c>
      <c r="B164" s="37" t="str">
        <f>IFERROR(INDEX(_自动清单!$CW$4:$CW$203,ROW()-3),"")</f>
        <v/>
      </c>
      <c r="C164" s="25" t="str">
        <f>IF(OR($B164="",基础资料!$B$4=""),"",SUMIFS(周转筐出入库明细!$H$4:$H$2004,周转筐出入库明细!$C$4:$C$2004,$B164,周转筐出入库明细!$D$4:$D$2004,基础资料!$B$4,周转筐出入库明细!$F$4:$F$2004,"采购入库",周转筐出入库明细!$B$4:$B$2004,"&gt;="&amp;$P$1,周转筐出入库明细!$B$4:$B$2004,"&lt;="&amp;$P$2))</f>
        <v/>
      </c>
      <c r="D164" s="25" t="str">
        <f>IF(OR($B164="",基础资料!$B$5=""),"",SUMIFS(周转筐出入库明细!$H$4:$H$2004,周转筐出入库明细!$C$4:$C$2004,$B164,周转筐出入库明细!$D$4:$D$2004,基础资料!$B$5,周转筐出入库明细!$F$4:$F$2004,"采购入库",周转筐出入库明细!$B$4:$B$2004,"&gt;="&amp;$P$1,周转筐出入库明细!$B$4:$B$2004,"&lt;="&amp;$P$2))</f>
        <v/>
      </c>
      <c r="E164" s="25" t="str">
        <f>IF(OR($B164="",基础资料!$B$6=""),"",SUMIFS(周转筐出入库明细!$H$4:$H$2004,周转筐出入库明细!$C$4:$C$2004,$B164,周转筐出入库明细!$D$4:$D$2004,基础资料!$B$6,周转筐出入库明细!$F$4:$F$2004,"采购入库",周转筐出入库明细!$B$4:$B$2004,"&gt;="&amp;$P$1,周转筐出入库明细!$B$4:$B$2004,"&lt;="&amp;$P$2))</f>
        <v/>
      </c>
      <c r="F164" s="25" t="str">
        <f>IF(OR($B164="",基础资料!$B$7=""),"",SUMIFS(周转筐出入库明细!$H$4:$H$2004,周转筐出入库明细!$C$4:$C$2004,$B164,周转筐出入库明细!$D$4:$D$2004,基础资料!$B$7,周转筐出入库明细!$F$4:$F$2004,"采购入库",周转筐出入库明细!$B$4:$B$2004,"&gt;="&amp;$P$1,周转筐出入库明细!$B$4:$B$2004,"&lt;="&amp;$P$2))</f>
        <v/>
      </c>
      <c r="G164" s="25" t="str">
        <f>IF(OR($B164="",基础资料!$B$8=""),"",SUMIFS(周转筐出入库明细!$H$4:$H$2004,周转筐出入库明细!$C$4:$C$2004,$B164,周转筐出入库明细!$D$4:$D$2004,基础资料!$B$8,周转筐出入库明细!$F$4:$F$2004,"采购入库",周转筐出入库明细!$B$4:$B$2004,"&gt;="&amp;$P$1,周转筐出入库明细!$B$4:$B$2004,"&lt;="&amp;$P$2))</f>
        <v/>
      </c>
      <c r="H164" s="25" t="str">
        <f>IF($B164="","",SUMIFS(周转筐出入库明细!$H$4:$H$2004,周转筐出入库明细!$C$4:$C$2004,$B164,周转筐出入库明细!$F$4:$F$2004,"采购入库",周转筐出入库明细!$B$4:$B$2004,"&gt;="&amp;$P$1,周转筐出入库明细!$B$4:$B$2004,"&lt;="&amp;$P$2)-SUM($C164:$G164))</f>
        <v/>
      </c>
      <c r="I164" s="25" t="str">
        <f t="shared" si="7"/>
        <v/>
      </c>
      <c r="J164" s="26" t="str">
        <f>IF($B164="","",ROUND(SUMIFS(周转筐出入库明细!$P$4:$P$2004,周转筐出入库明细!$C$4:$C$2004,$B164,周转筐出入库明细!$F$4:$F$2004,"采购入库",周转筐出入库明细!$B$4:$B$2004,"&gt;="&amp;$P$1,周转筐出入库明细!$B$4:$B$2004,"&lt;="&amp;$P$2),2))</f>
        <v/>
      </c>
      <c r="K164" s="26" t="str">
        <f>IF($B164="","",ROUND(SUMIFS(周转筐出入库明细!$P$4:$P$2004,周转筐出入库明细!$C$4:$C$2004,$B164,周转筐出入库明细!$F$4:$F$2004,"采购入库",周转筐出入库明细!$Q$4:$Q$2004,"已付款",周转筐出入库明细!$B$4:$B$2004,"&gt;="&amp;$P$1,周转筐出入库明细!$B$4:$B$2004,"&lt;="&amp;$P$2),2))</f>
        <v/>
      </c>
      <c r="L164" s="26" t="str">
        <f t="shared" si="8"/>
        <v/>
      </c>
    </row>
    <row r="165" spans="1:12">
      <c r="A165" s="22" t="str">
        <f t="shared" si="6"/>
        <v/>
      </c>
      <c r="B165" s="37" t="str">
        <f>IFERROR(INDEX(_自动清单!$CW$4:$CW$203,ROW()-3),"")</f>
        <v/>
      </c>
      <c r="C165" s="25" t="str">
        <f>IF(OR($B165="",基础资料!$B$4=""),"",SUMIFS(周转筐出入库明细!$H$4:$H$2004,周转筐出入库明细!$C$4:$C$2004,$B165,周转筐出入库明细!$D$4:$D$2004,基础资料!$B$4,周转筐出入库明细!$F$4:$F$2004,"采购入库",周转筐出入库明细!$B$4:$B$2004,"&gt;="&amp;$P$1,周转筐出入库明细!$B$4:$B$2004,"&lt;="&amp;$P$2))</f>
        <v/>
      </c>
      <c r="D165" s="25" t="str">
        <f>IF(OR($B165="",基础资料!$B$5=""),"",SUMIFS(周转筐出入库明细!$H$4:$H$2004,周转筐出入库明细!$C$4:$C$2004,$B165,周转筐出入库明细!$D$4:$D$2004,基础资料!$B$5,周转筐出入库明细!$F$4:$F$2004,"采购入库",周转筐出入库明细!$B$4:$B$2004,"&gt;="&amp;$P$1,周转筐出入库明细!$B$4:$B$2004,"&lt;="&amp;$P$2))</f>
        <v/>
      </c>
      <c r="E165" s="25" t="str">
        <f>IF(OR($B165="",基础资料!$B$6=""),"",SUMIFS(周转筐出入库明细!$H$4:$H$2004,周转筐出入库明细!$C$4:$C$2004,$B165,周转筐出入库明细!$D$4:$D$2004,基础资料!$B$6,周转筐出入库明细!$F$4:$F$2004,"采购入库",周转筐出入库明细!$B$4:$B$2004,"&gt;="&amp;$P$1,周转筐出入库明细!$B$4:$B$2004,"&lt;="&amp;$P$2))</f>
        <v/>
      </c>
      <c r="F165" s="25" t="str">
        <f>IF(OR($B165="",基础资料!$B$7=""),"",SUMIFS(周转筐出入库明细!$H$4:$H$2004,周转筐出入库明细!$C$4:$C$2004,$B165,周转筐出入库明细!$D$4:$D$2004,基础资料!$B$7,周转筐出入库明细!$F$4:$F$2004,"采购入库",周转筐出入库明细!$B$4:$B$2004,"&gt;="&amp;$P$1,周转筐出入库明细!$B$4:$B$2004,"&lt;="&amp;$P$2))</f>
        <v/>
      </c>
      <c r="G165" s="25" t="str">
        <f>IF(OR($B165="",基础资料!$B$8=""),"",SUMIFS(周转筐出入库明细!$H$4:$H$2004,周转筐出入库明细!$C$4:$C$2004,$B165,周转筐出入库明细!$D$4:$D$2004,基础资料!$B$8,周转筐出入库明细!$F$4:$F$2004,"采购入库",周转筐出入库明细!$B$4:$B$2004,"&gt;="&amp;$P$1,周转筐出入库明细!$B$4:$B$2004,"&lt;="&amp;$P$2))</f>
        <v/>
      </c>
      <c r="H165" s="25" t="str">
        <f>IF($B165="","",SUMIFS(周转筐出入库明细!$H$4:$H$2004,周转筐出入库明细!$C$4:$C$2004,$B165,周转筐出入库明细!$F$4:$F$2004,"采购入库",周转筐出入库明细!$B$4:$B$2004,"&gt;="&amp;$P$1,周转筐出入库明细!$B$4:$B$2004,"&lt;="&amp;$P$2)-SUM($C165:$G165))</f>
        <v/>
      </c>
      <c r="I165" s="25" t="str">
        <f t="shared" si="7"/>
        <v/>
      </c>
      <c r="J165" s="26" t="str">
        <f>IF($B165="","",ROUND(SUMIFS(周转筐出入库明细!$P$4:$P$2004,周转筐出入库明细!$C$4:$C$2004,$B165,周转筐出入库明细!$F$4:$F$2004,"采购入库",周转筐出入库明细!$B$4:$B$2004,"&gt;="&amp;$P$1,周转筐出入库明细!$B$4:$B$2004,"&lt;="&amp;$P$2),2))</f>
        <v/>
      </c>
      <c r="K165" s="26" t="str">
        <f>IF($B165="","",ROUND(SUMIFS(周转筐出入库明细!$P$4:$P$2004,周转筐出入库明细!$C$4:$C$2004,$B165,周转筐出入库明细!$F$4:$F$2004,"采购入库",周转筐出入库明细!$Q$4:$Q$2004,"已付款",周转筐出入库明细!$B$4:$B$2004,"&gt;="&amp;$P$1,周转筐出入库明细!$B$4:$B$2004,"&lt;="&amp;$P$2),2))</f>
        <v/>
      </c>
      <c r="L165" s="26" t="str">
        <f t="shared" si="8"/>
        <v/>
      </c>
    </row>
    <row r="166" spans="1:12">
      <c r="A166" s="22" t="str">
        <f t="shared" si="6"/>
        <v/>
      </c>
      <c r="B166" s="37" t="str">
        <f>IFERROR(INDEX(_自动清单!$CW$4:$CW$203,ROW()-3),"")</f>
        <v/>
      </c>
      <c r="C166" s="25" t="str">
        <f>IF(OR($B166="",基础资料!$B$4=""),"",SUMIFS(周转筐出入库明细!$H$4:$H$2004,周转筐出入库明细!$C$4:$C$2004,$B166,周转筐出入库明细!$D$4:$D$2004,基础资料!$B$4,周转筐出入库明细!$F$4:$F$2004,"采购入库",周转筐出入库明细!$B$4:$B$2004,"&gt;="&amp;$P$1,周转筐出入库明细!$B$4:$B$2004,"&lt;="&amp;$P$2))</f>
        <v/>
      </c>
      <c r="D166" s="25" t="str">
        <f>IF(OR($B166="",基础资料!$B$5=""),"",SUMIFS(周转筐出入库明细!$H$4:$H$2004,周转筐出入库明细!$C$4:$C$2004,$B166,周转筐出入库明细!$D$4:$D$2004,基础资料!$B$5,周转筐出入库明细!$F$4:$F$2004,"采购入库",周转筐出入库明细!$B$4:$B$2004,"&gt;="&amp;$P$1,周转筐出入库明细!$B$4:$B$2004,"&lt;="&amp;$P$2))</f>
        <v/>
      </c>
      <c r="E166" s="25" t="str">
        <f>IF(OR($B166="",基础资料!$B$6=""),"",SUMIFS(周转筐出入库明细!$H$4:$H$2004,周转筐出入库明细!$C$4:$C$2004,$B166,周转筐出入库明细!$D$4:$D$2004,基础资料!$B$6,周转筐出入库明细!$F$4:$F$2004,"采购入库",周转筐出入库明细!$B$4:$B$2004,"&gt;="&amp;$P$1,周转筐出入库明细!$B$4:$B$2004,"&lt;="&amp;$P$2))</f>
        <v/>
      </c>
      <c r="F166" s="25" t="str">
        <f>IF(OR($B166="",基础资料!$B$7=""),"",SUMIFS(周转筐出入库明细!$H$4:$H$2004,周转筐出入库明细!$C$4:$C$2004,$B166,周转筐出入库明细!$D$4:$D$2004,基础资料!$B$7,周转筐出入库明细!$F$4:$F$2004,"采购入库",周转筐出入库明细!$B$4:$B$2004,"&gt;="&amp;$P$1,周转筐出入库明细!$B$4:$B$2004,"&lt;="&amp;$P$2))</f>
        <v/>
      </c>
      <c r="G166" s="25" t="str">
        <f>IF(OR($B166="",基础资料!$B$8=""),"",SUMIFS(周转筐出入库明细!$H$4:$H$2004,周转筐出入库明细!$C$4:$C$2004,$B166,周转筐出入库明细!$D$4:$D$2004,基础资料!$B$8,周转筐出入库明细!$F$4:$F$2004,"采购入库",周转筐出入库明细!$B$4:$B$2004,"&gt;="&amp;$P$1,周转筐出入库明细!$B$4:$B$2004,"&lt;="&amp;$P$2))</f>
        <v/>
      </c>
      <c r="H166" s="25" t="str">
        <f>IF($B166="","",SUMIFS(周转筐出入库明细!$H$4:$H$2004,周转筐出入库明细!$C$4:$C$2004,$B166,周转筐出入库明细!$F$4:$F$2004,"采购入库",周转筐出入库明细!$B$4:$B$2004,"&gt;="&amp;$P$1,周转筐出入库明细!$B$4:$B$2004,"&lt;="&amp;$P$2)-SUM($C166:$G166))</f>
        <v/>
      </c>
      <c r="I166" s="25" t="str">
        <f t="shared" si="7"/>
        <v/>
      </c>
      <c r="J166" s="26" t="str">
        <f>IF($B166="","",ROUND(SUMIFS(周转筐出入库明细!$P$4:$P$2004,周转筐出入库明细!$C$4:$C$2004,$B166,周转筐出入库明细!$F$4:$F$2004,"采购入库",周转筐出入库明细!$B$4:$B$2004,"&gt;="&amp;$P$1,周转筐出入库明细!$B$4:$B$2004,"&lt;="&amp;$P$2),2))</f>
        <v/>
      </c>
      <c r="K166" s="26" t="str">
        <f>IF($B166="","",ROUND(SUMIFS(周转筐出入库明细!$P$4:$P$2004,周转筐出入库明细!$C$4:$C$2004,$B166,周转筐出入库明细!$F$4:$F$2004,"采购入库",周转筐出入库明细!$Q$4:$Q$2004,"已付款",周转筐出入库明细!$B$4:$B$2004,"&gt;="&amp;$P$1,周转筐出入库明细!$B$4:$B$2004,"&lt;="&amp;$P$2),2))</f>
        <v/>
      </c>
      <c r="L166" s="26" t="str">
        <f t="shared" si="8"/>
        <v/>
      </c>
    </row>
    <row r="167" spans="1:12">
      <c r="A167" s="22" t="str">
        <f t="shared" si="6"/>
        <v/>
      </c>
      <c r="B167" s="37" t="str">
        <f>IFERROR(INDEX(_自动清单!$CW$4:$CW$203,ROW()-3),"")</f>
        <v/>
      </c>
      <c r="C167" s="25" t="str">
        <f>IF(OR($B167="",基础资料!$B$4=""),"",SUMIFS(周转筐出入库明细!$H$4:$H$2004,周转筐出入库明细!$C$4:$C$2004,$B167,周转筐出入库明细!$D$4:$D$2004,基础资料!$B$4,周转筐出入库明细!$F$4:$F$2004,"采购入库",周转筐出入库明细!$B$4:$B$2004,"&gt;="&amp;$P$1,周转筐出入库明细!$B$4:$B$2004,"&lt;="&amp;$P$2))</f>
        <v/>
      </c>
      <c r="D167" s="25" t="str">
        <f>IF(OR($B167="",基础资料!$B$5=""),"",SUMIFS(周转筐出入库明细!$H$4:$H$2004,周转筐出入库明细!$C$4:$C$2004,$B167,周转筐出入库明细!$D$4:$D$2004,基础资料!$B$5,周转筐出入库明细!$F$4:$F$2004,"采购入库",周转筐出入库明细!$B$4:$B$2004,"&gt;="&amp;$P$1,周转筐出入库明细!$B$4:$B$2004,"&lt;="&amp;$P$2))</f>
        <v/>
      </c>
      <c r="E167" s="25" t="str">
        <f>IF(OR($B167="",基础资料!$B$6=""),"",SUMIFS(周转筐出入库明细!$H$4:$H$2004,周转筐出入库明细!$C$4:$C$2004,$B167,周转筐出入库明细!$D$4:$D$2004,基础资料!$B$6,周转筐出入库明细!$F$4:$F$2004,"采购入库",周转筐出入库明细!$B$4:$B$2004,"&gt;="&amp;$P$1,周转筐出入库明细!$B$4:$B$2004,"&lt;="&amp;$P$2))</f>
        <v/>
      </c>
      <c r="F167" s="25" t="str">
        <f>IF(OR($B167="",基础资料!$B$7=""),"",SUMIFS(周转筐出入库明细!$H$4:$H$2004,周转筐出入库明细!$C$4:$C$2004,$B167,周转筐出入库明细!$D$4:$D$2004,基础资料!$B$7,周转筐出入库明细!$F$4:$F$2004,"采购入库",周转筐出入库明细!$B$4:$B$2004,"&gt;="&amp;$P$1,周转筐出入库明细!$B$4:$B$2004,"&lt;="&amp;$P$2))</f>
        <v/>
      </c>
      <c r="G167" s="25" t="str">
        <f>IF(OR($B167="",基础资料!$B$8=""),"",SUMIFS(周转筐出入库明细!$H$4:$H$2004,周转筐出入库明细!$C$4:$C$2004,$B167,周转筐出入库明细!$D$4:$D$2004,基础资料!$B$8,周转筐出入库明细!$F$4:$F$2004,"采购入库",周转筐出入库明细!$B$4:$B$2004,"&gt;="&amp;$P$1,周转筐出入库明细!$B$4:$B$2004,"&lt;="&amp;$P$2))</f>
        <v/>
      </c>
      <c r="H167" s="25" t="str">
        <f>IF($B167="","",SUMIFS(周转筐出入库明细!$H$4:$H$2004,周转筐出入库明细!$C$4:$C$2004,$B167,周转筐出入库明细!$F$4:$F$2004,"采购入库",周转筐出入库明细!$B$4:$B$2004,"&gt;="&amp;$P$1,周转筐出入库明细!$B$4:$B$2004,"&lt;="&amp;$P$2)-SUM($C167:$G167))</f>
        <v/>
      </c>
      <c r="I167" s="25" t="str">
        <f t="shared" si="7"/>
        <v/>
      </c>
      <c r="J167" s="26" t="str">
        <f>IF($B167="","",ROUND(SUMIFS(周转筐出入库明细!$P$4:$P$2004,周转筐出入库明细!$C$4:$C$2004,$B167,周转筐出入库明细!$F$4:$F$2004,"采购入库",周转筐出入库明细!$B$4:$B$2004,"&gt;="&amp;$P$1,周转筐出入库明细!$B$4:$B$2004,"&lt;="&amp;$P$2),2))</f>
        <v/>
      </c>
      <c r="K167" s="26" t="str">
        <f>IF($B167="","",ROUND(SUMIFS(周转筐出入库明细!$P$4:$P$2004,周转筐出入库明细!$C$4:$C$2004,$B167,周转筐出入库明细!$F$4:$F$2004,"采购入库",周转筐出入库明细!$Q$4:$Q$2004,"已付款",周转筐出入库明细!$B$4:$B$2004,"&gt;="&amp;$P$1,周转筐出入库明细!$B$4:$B$2004,"&lt;="&amp;$P$2),2))</f>
        <v/>
      </c>
      <c r="L167" s="26" t="str">
        <f t="shared" si="8"/>
        <v/>
      </c>
    </row>
    <row r="168" spans="1:12">
      <c r="A168" s="22" t="str">
        <f t="shared" si="6"/>
        <v/>
      </c>
      <c r="B168" s="37" t="str">
        <f>IFERROR(INDEX(_自动清单!$CW$4:$CW$203,ROW()-3),"")</f>
        <v/>
      </c>
      <c r="C168" s="25" t="str">
        <f>IF(OR($B168="",基础资料!$B$4=""),"",SUMIFS(周转筐出入库明细!$H$4:$H$2004,周转筐出入库明细!$C$4:$C$2004,$B168,周转筐出入库明细!$D$4:$D$2004,基础资料!$B$4,周转筐出入库明细!$F$4:$F$2004,"采购入库",周转筐出入库明细!$B$4:$B$2004,"&gt;="&amp;$P$1,周转筐出入库明细!$B$4:$B$2004,"&lt;="&amp;$P$2))</f>
        <v/>
      </c>
      <c r="D168" s="25" t="str">
        <f>IF(OR($B168="",基础资料!$B$5=""),"",SUMIFS(周转筐出入库明细!$H$4:$H$2004,周转筐出入库明细!$C$4:$C$2004,$B168,周转筐出入库明细!$D$4:$D$2004,基础资料!$B$5,周转筐出入库明细!$F$4:$F$2004,"采购入库",周转筐出入库明细!$B$4:$B$2004,"&gt;="&amp;$P$1,周转筐出入库明细!$B$4:$B$2004,"&lt;="&amp;$P$2))</f>
        <v/>
      </c>
      <c r="E168" s="25" t="str">
        <f>IF(OR($B168="",基础资料!$B$6=""),"",SUMIFS(周转筐出入库明细!$H$4:$H$2004,周转筐出入库明细!$C$4:$C$2004,$B168,周转筐出入库明细!$D$4:$D$2004,基础资料!$B$6,周转筐出入库明细!$F$4:$F$2004,"采购入库",周转筐出入库明细!$B$4:$B$2004,"&gt;="&amp;$P$1,周转筐出入库明细!$B$4:$B$2004,"&lt;="&amp;$P$2))</f>
        <v/>
      </c>
      <c r="F168" s="25" t="str">
        <f>IF(OR($B168="",基础资料!$B$7=""),"",SUMIFS(周转筐出入库明细!$H$4:$H$2004,周转筐出入库明细!$C$4:$C$2004,$B168,周转筐出入库明细!$D$4:$D$2004,基础资料!$B$7,周转筐出入库明细!$F$4:$F$2004,"采购入库",周转筐出入库明细!$B$4:$B$2004,"&gt;="&amp;$P$1,周转筐出入库明细!$B$4:$B$2004,"&lt;="&amp;$P$2))</f>
        <v/>
      </c>
      <c r="G168" s="25" t="str">
        <f>IF(OR($B168="",基础资料!$B$8=""),"",SUMIFS(周转筐出入库明细!$H$4:$H$2004,周转筐出入库明细!$C$4:$C$2004,$B168,周转筐出入库明细!$D$4:$D$2004,基础资料!$B$8,周转筐出入库明细!$F$4:$F$2004,"采购入库",周转筐出入库明细!$B$4:$B$2004,"&gt;="&amp;$P$1,周转筐出入库明细!$B$4:$B$2004,"&lt;="&amp;$P$2))</f>
        <v/>
      </c>
      <c r="H168" s="25" t="str">
        <f>IF($B168="","",SUMIFS(周转筐出入库明细!$H$4:$H$2004,周转筐出入库明细!$C$4:$C$2004,$B168,周转筐出入库明细!$F$4:$F$2004,"采购入库",周转筐出入库明细!$B$4:$B$2004,"&gt;="&amp;$P$1,周转筐出入库明细!$B$4:$B$2004,"&lt;="&amp;$P$2)-SUM($C168:$G168))</f>
        <v/>
      </c>
      <c r="I168" s="25" t="str">
        <f t="shared" si="7"/>
        <v/>
      </c>
      <c r="J168" s="26" t="str">
        <f>IF($B168="","",ROUND(SUMIFS(周转筐出入库明细!$P$4:$P$2004,周转筐出入库明细!$C$4:$C$2004,$B168,周转筐出入库明细!$F$4:$F$2004,"采购入库",周转筐出入库明细!$B$4:$B$2004,"&gt;="&amp;$P$1,周转筐出入库明细!$B$4:$B$2004,"&lt;="&amp;$P$2),2))</f>
        <v/>
      </c>
      <c r="K168" s="26" t="str">
        <f>IF($B168="","",ROUND(SUMIFS(周转筐出入库明细!$P$4:$P$2004,周转筐出入库明细!$C$4:$C$2004,$B168,周转筐出入库明细!$F$4:$F$2004,"采购入库",周转筐出入库明细!$Q$4:$Q$2004,"已付款",周转筐出入库明细!$B$4:$B$2004,"&gt;="&amp;$P$1,周转筐出入库明细!$B$4:$B$2004,"&lt;="&amp;$P$2),2))</f>
        <v/>
      </c>
      <c r="L168" s="26" t="str">
        <f t="shared" si="8"/>
        <v/>
      </c>
    </row>
    <row r="169" spans="1:12">
      <c r="A169" s="22" t="str">
        <f t="shared" si="6"/>
        <v/>
      </c>
      <c r="B169" s="37" t="str">
        <f>IFERROR(INDEX(_自动清单!$CW$4:$CW$203,ROW()-3),"")</f>
        <v/>
      </c>
      <c r="C169" s="25" t="str">
        <f>IF(OR($B169="",基础资料!$B$4=""),"",SUMIFS(周转筐出入库明细!$H$4:$H$2004,周转筐出入库明细!$C$4:$C$2004,$B169,周转筐出入库明细!$D$4:$D$2004,基础资料!$B$4,周转筐出入库明细!$F$4:$F$2004,"采购入库",周转筐出入库明细!$B$4:$B$2004,"&gt;="&amp;$P$1,周转筐出入库明细!$B$4:$B$2004,"&lt;="&amp;$P$2))</f>
        <v/>
      </c>
      <c r="D169" s="25" t="str">
        <f>IF(OR($B169="",基础资料!$B$5=""),"",SUMIFS(周转筐出入库明细!$H$4:$H$2004,周转筐出入库明细!$C$4:$C$2004,$B169,周转筐出入库明细!$D$4:$D$2004,基础资料!$B$5,周转筐出入库明细!$F$4:$F$2004,"采购入库",周转筐出入库明细!$B$4:$B$2004,"&gt;="&amp;$P$1,周转筐出入库明细!$B$4:$B$2004,"&lt;="&amp;$P$2))</f>
        <v/>
      </c>
      <c r="E169" s="25" t="str">
        <f>IF(OR($B169="",基础资料!$B$6=""),"",SUMIFS(周转筐出入库明细!$H$4:$H$2004,周转筐出入库明细!$C$4:$C$2004,$B169,周转筐出入库明细!$D$4:$D$2004,基础资料!$B$6,周转筐出入库明细!$F$4:$F$2004,"采购入库",周转筐出入库明细!$B$4:$B$2004,"&gt;="&amp;$P$1,周转筐出入库明细!$B$4:$B$2004,"&lt;="&amp;$P$2))</f>
        <v/>
      </c>
      <c r="F169" s="25" t="str">
        <f>IF(OR($B169="",基础资料!$B$7=""),"",SUMIFS(周转筐出入库明细!$H$4:$H$2004,周转筐出入库明细!$C$4:$C$2004,$B169,周转筐出入库明细!$D$4:$D$2004,基础资料!$B$7,周转筐出入库明细!$F$4:$F$2004,"采购入库",周转筐出入库明细!$B$4:$B$2004,"&gt;="&amp;$P$1,周转筐出入库明细!$B$4:$B$2004,"&lt;="&amp;$P$2))</f>
        <v/>
      </c>
      <c r="G169" s="25" t="str">
        <f>IF(OR($B169="",基础资料!$B$8=""),"",SUMIFS(周转筐出入库明细!$H$4:$H$2004,周转筐出入库明细!$C$4:$C$2004,$B169,周转筐出入库明细!$D$4:$D$2004,基础资料!$B$8,周转筐出入库明细!$F$4:$F$2004,"采购入库",周转筐出入库明细!$B$4:$B$2004,"&gt;="&amp;$P$1,周转筐出入库明细!$B$4:$B$2004,"&lt;="&amp;$P$2))</f>
        <v/>
      </c>
      <c r="H169" s="25" t="str">
        <f>IF($B169="","",SUMIFS(周转筐出入库明细!$H$4:$H$2004,周转筐出入库明细!$C$4:$C$2004,$B169,周转筐出入库明细!$F$4:$F$2004,"采购入库",周转筐出入库明细!$B$4:$B$2004,"&gt;="&amp;$P$1,周转筐出入库明细!$B$4:$B$2004,"&lt;="&amp;$P$2)-SUM($C169:$G169))</f>
        <v/>
      </c>
      <c r="I169" s="25" t="str">
        <f t="shared" si="7"/>
        <v/>
      </c>
      <c r="J169" s="26" t="str">
        <f>IF($B169="","",ROUND(SUMIFS(周转筐出入库明细!$P$4:$P$2004,周转筐出入库明细!$C$4:$C$2004,$B169,周转筐出入库明细!$F$4:$F$2004,"采购入库",周转筐出入库明细!$B$4:$B$2004,"&gt;="&amp;$P$1,周转筐出入库明细!$B$4:$B$2004,"&lt;="&amp;$P$2),2))</f>
        <v/>
      </c>
      <c r="K169" s="26" t="str">
        <f>IF($B169="","",ROUND(SUMIFS(周转筐出入库明细!$P$4:$P$2004,周转筐出入库明细!$C$4:$C$2004,$B169,周转筐出入库明细!$F$4:$F$2004,"采购入库",周转筐出入库明细!$Q$4:$Q$2004,"已付款",周转筐出入库明细!$B$4:$B$2004,"&gt;="&amp;$P$1,周转筐出入库明细!$B$4:$B$2004,"&lt;="&amp;$P$2),2))</f>
        <v/>
      </c>
      <c r="L169" s="26" t="str">
        <f t="shared" si="8"/>
        <v/>
      </c>
    </row>
    <row r="170" spans="1:12">
      <c r="A170" s="22" t="str">
        <f t="shared" si="6"/>
        <v/>
      </c>
      <c r="B170" s="37" t="str">
        <f>IFERROR(INDEX(_自动清单!$CW$4:$CW$203,ROW()-3),"")</f>
        <v/>
      </c>
      <c r="C170" s="25" t="str">
        <f>IF(OR($B170="",基础资料!$B$4=""),"",SUMIFS(周转筐出入库明细!$H$4:$H$2004,周转筐出入库明细!$C$4:$C$2004,$B170,周转筐出入库明细!$D$4:$D$2004,基础资料!$B$4,周转筐出入库明细!$F$4:$F$2004,"采购入库",周转筐出入库明细!$B$4:$B$2004,"&gt;="&amp;$P$1,周转筐出入库明细!$B$4:$B$2004,"&lt;="&amp;$P$2))</f>
        <v/>
      </c>
      <c r="D170" s="25" t="str">
        <f>IF(OR($B170="",基础资料!$B$5=""),"",SUMIFS(周转筐出入库明细!$H$4:$H$2004,周转筐出入库明细!$C$4:$C$2004,$B170,周转筐出入库明细!$D$4:$D$2004,基础资料!$B$5,周转筐出入库明细!$F$4:$F$2004,"采购入库",周转筐出入库明细!$B$4:$B$2004,"&gt;="&amp;$P$1,周转筐出入库明细!$B$4:$B$2004,"&lt;="&amp;$P$2))</f>
        <v/>
      </c>
      <c r="E170" s="25" t="str">
        <f>IF(OR($B170="",基础资料!$B$6=""),"",SUMIFS(周转筐出入库明细!$H$4:$H$2004,周转筐出入库明细!$C$4:$C$2004,$B170,周转筐出入库明细!$D$4:$D$2004,基础资料!$B$6,周转筐出入库明细!$F$4:$F$2004,"采购入库",周转筐出入库明细!$B$4:$B$2004,"&gt;="&amp;$P$1,周转筐出入库明细!$B$4:$B$2004,"&lt;="&amp;$P$2))</f>
        <v/>
      </c>
      <c r="F170" s="25" t="str">
        <f>IF(OR($B170="",基础资料!$B$7=""),"",SUMIFS(周转筐出入库明细!$H$4:$H$2004,周转筐出入库明细!$C$4:$C$2004,$B170,周转筐出入库明细!$D$4:$D$2004,基础资料!$B$7,周转筐出入库明细!$F$4:$F$2004,"采购入库",周转筐出入库明细!$B$4:$B$2004,"&gt;="&amp;$P$1,周转筐出入库明细!$B$4:$B$2004,"&lt;="&amp;$P$2))</f>
        <v/>
      </c>
      <c r="G170" s="25" t="str">
        <f>IF(OR($B170="",基础资料!$B$8=""),"",SUMIFS(周转筐出入库明细!$H$4:$H$2004,周转筐出入库明细!$C$4:$C$2004,$B170,周转筐出入库明细!$D$4:$D$2004,基础资料!$B$8,周转筐出入库明细!$F$4:$F$2004,"采购入库",周转筐出入库明细!$B$4:$B$2004,"&gt;="&amp;$P$1,周转筐出入库明细!$B$4:$B$2004,"&lt;="&amp;$P$2))</f>
        <v/>
      </c>
      <c r="H170" s="25" t="str">
        <f>IF($B170="","",SUMIFS(周转筐出入库明细!$H$4:$H$2004,周转筐出入库明细!$C$4:$C$2004,$B170,周转筐出入库明细!$F$4:$F$2004,"采购入库",周转筐出入库明细!$B$4:$B$2004,"&gt;="&amp;$P$1,周转筐出入库明细!$B$4:$B$2004,"&lt;="&amp;$P$2)-SUM($C170:$G170))</f>
        <v/>
      </c>
      <c r="I170" s="25" t="str">
        <f t="shared" si="7"/>
        <v/>
      </c>
      <c r="J170" s="26" t="str">
        <f>IF($B170="","",ROUND(SUMIFS(周转筐出入库明细!$P$4:$P$2004,周转筐出入库明细!$C$4:$C$2004,$B170,周转筐出入库明细!$F$4:$F$2004,"采购入库",周转筐出入库明细!$B$4:$B$2004,"&gt;="&amp;$P$1,周转筐出入库明细!$B$4:$B$2004,"&lt;="&amp;$P$2),2))</f>
        <v/>
      </c>
      <c r="K170" s="26" t="str">
        <f>IF($B170="","",ROUND(SUMIFS(周转筐出入库明细!$P$4:$P$2004,周转筐出入库明细!$C$4:$C$2004,$B170,周转筐出入库明细!$F$4:$F$2004,"采购入库",周转筐出入库明细!$Q$4:$Q$2004,"已付款",周转筐出入库明细!$B$4:$B$2004,"&gt;="&amp;$P$1,周转筐出入库明细!$B$4:$B$2004,"&lt;="&amp;$P$2),2))</f>
        <v/>
      </c>
      <c r="L170" s="26" t="str">
        <f t="shared" si="8"/>
        <v/>
      </c>
    </row>
    <row r="171" spans="1:12">
      <c r="A171" s="22" t="str">
        <f t="shared" si="6"/>
        <v/>
      </c>
      <c r="B171" s="37" t="str">
        <f>IFERROR(INDEX(_自动清单!$CW$4:$CW$203,ROW()-3),"")</f>
        <v/>
      </c>
      <c r="C171" s="25" t="str">
        <f>IF(OR($B171="",基础资料!$B$4=""),"",SUMIFS(周转筐出入库明细!$H$4:$H$2004,周转筐出入库明细!$C$4:$C$2004,$B171,周转筐出入库明细!$D$4:$D$2004,基础资料!$B$4,周转筐出入库明细!$F$4:$F$2004,"采购入库",周转筐出入库明细!$B$4:$B$2004,"&gt;="&amp;$P$1,周转筐出入库明细!$B$4:$B$2004,"&lt;="&amp;$P$2))</f>
        <v/>
      </c>
      <c r="D171" s="25" t="str">
        <f>IF(OR($B171="",基础资料!$B$5=""),"",SUMIFS(周转筐出入库明细!$H$4:$H$2004,周转筐出入库明细!$C$4:$C$2004,$B171,周转筐出入库明细!$D$4:$D$2004,基础资料!$B$5,周转筐出入库明细!$F$4:$F$2004,"采购入库",周转筐出入库明细!$B$4:$B$2004,"&gt;="&amp;$P$1,周转筐出入库明细!$B$4:$B$2004,"&lt;="&amp;$P$2))</f>
        <v/>
      </c>
      <c r="E171" s="25" t="str">
        <f>IF(OR($B171="",基础资料!$B$6=""),"",SUMIFS(周转筐出入库明细!$H$4:$H$2004,周转筐出入库明细!$C$4:$C$2004,$B171,周转筐出入库明细!$D$4:$D$2004,基础资料!$B$6,周转筐出入库明细!$F$4:$F$2004,"采购入库",周转筐出入库明细!$B$4:$B$2004,"&gt;="&amp;$P$1,周转筐出入库明细!$B$4:$B$2004,"&lt;="&amp;$P$2))</f>
        <v/>
      </c>
      <c r="F171" s="25" t="str">
        <f>IF(OR($B171="",基础资料!$B$7=""),"",SUMIFS(周转筐出入库明细!$H$4:$H$2004,周转筐出入库明细!$C$4:$C$2004,$B171,周转筐出入库明细!$D$4:$D$2004,基础资料!$B$7,周转筐出入库明细!$F$4:$F$2004,"采购入库",周转筐出入库明细!$B$4:$B$2004,"&gt;="&amp;$P$1,周转筐出入库明细!$B$4:$B$2004,"&lt;="&amp;$P$2))</f>
        <v/>
      </c>
      <c r="G171" s="25" t="str">
        <f>IF(OR($B171="",基础资料!$B$8=""),"",SUMIFS(周转筐出入库明细!$H$4:$H$2004,周转筐出入库明细!$C$4:$C$2004,$B171,周转筐出入库明细!$D$4:$D$2004,基础资料!$B$8,周转筐出入库明细!$F$4:$F$2004,"采购入库",周转筐出入库明细!$B$4:$B$2004,"&gt;="&amp;$P$1,周转筐出入库明细!$B$4:$B$2004,"&lt;="&amp;$P$2))</f>
        <v/>
      </c>
      <c r="H171" s="25" t="str">
        <f>IF($B171="","",SUMIFS(周转筐出入库明细!$H$4:$H$2004,周转筐出入库明细!$C$4:$C$2004,$B171,周转筐出入库明细!$F$4:$F$2004,"采购入库",周转筐出入库明细!$B$4:$B$2004,"&gt;="&amp;$P$1,周转筐出入库明细!$B$4:$B$2004,"&lt;="&amp;$P$2)-SUM($C171:$G171))</f>
        <v/>
      </c>
      <c r="I171" s="25" t="str">
        <f t="shared" si="7"/>
        <v/>
      </c>
      <c r="J171" s="26" t="str">
        <f>IF($B171="","",ROUND(SUMIFS(周转筐出入库明细!$P$4:$P$2004,周转筐出入库明细!$C$4:$C$2004,$B171,周转筐出入库明细!$F$4:$F$2004,"采购入库",周转筐出入库明细!$B$4:$B$2004,"&gt;="&amp;$P$1,周转筐出入库明细!$B$4:$B$2004,"&lt;="&amp;$P$2),2))</f>
        <v/>
      </c>
      <c r="K171" s="26" t="str">
        <f>IF($B171="","",ROUND(SUMIFS(周转筐出入库明细!$P$4:$P$2004,周转筐出入库明细!$C$4:$C$2004,$B171,周转筐出入库明细!$F$4:$F$2004,"采购入库",周转筐出入库明细!$Q$4:$Q$2004,"已付款",周转筐出入库明细!$B$4:$B$2004,"&gt;="&amp;$P$1,周转筐出入库明细!$B$4:$B$2004,"&lt;="&amp;$P$2),2))</f>
        <v/>
      </c>
      <c r="L171" s="26" t="str">
        <f t="shared" si="8"/>
        <v/>
      </c>
    </row>
    <row r="172" spans="1:12">
      <c r="A172" s="22" t="str">
        <f t="shared" si="6"/>
        <v/>
      </c>
      <c r="B172" s="37" t="str">
        <f>IFERROR(INDEX(_自动清单!$CW$4:$CW$203,ROW()-3),"")</f>
        <v/>
      </c>
      <c r="C172" s="25" t="str">
        <f>IF(OR($B172="",基础资料!$B$4=""),"",SUMIFS(周转筐出入库明细!$H$4:$H$2004,周转筐出入库明细!$C$4:$C$2004,$B172,周转筐出入库明细!$D$4:$D$2004,基础资料!$B$4,周转筐出入库明细!$F$4:$F$2004,"采购入库",周转筐出入库明细!$B$4:$B$2004,"&gt;="&amp;$P$1,周转筐出入库明细!$B$4:$B$2004,"&lt;="&amp;$P$2))</f>
        <v/>
      </c>
      <c r="D172" s="25" t="str">
        <f>IF(OR($B172="",基础资料!$B$5=""),"",SUMIFS(周转筐出入库明细!$H$4:$H$2004,周转筐出入库明细!$C$4:$C$2004,$B172,周转筐出入库明细!$D$4:$D$2004,基础资料!$B$5,周转筐出入库明细!$F$4:$F$2004,"采购入库",周转筐出入库明细!$B$4:$B$2004,"&gt;="&amp;$P$1,周转筐出入库明细!$B$4:$B$2004,"&lt;="&amp;$P$2))</f>
        <v/>
      </c>
      <c r="E172" s="25" t="str">
        <f>IF(OR($B172="",基础资料!$B$6=""),"",SUMIFS(周转筐出入库明细!$H$4:$H$2004,周转筐出入库明细!$C$4:$C$2004,$B172,周转筐出入库明细!$D$4:$D$2004,基础资料!$B$6,周转筐出入库明细!$F$4:$F$2004,"采购入库",周转筐出入库明细!$B$4:$B$2004,"&gt;="&amp;$P$1,周转筐出入库明细!$B$4:$B$2004,"&lt;="&amp;$P$2))</f>
        <v/>
      </c>
      <c r="F172" s="25" t="str">
        <f>IF(OR($B172="",基础资料!$B$7=""),"",SUMIFS(周转筐出入库明细!$H$4:$H$2004,周转筐出入库明细!$C$4:$C$2004,$B172,周转筐出入库明细!$D$4:$D$2004,基础资料!$B$7,周转筐出入库明细!$F$4:$F$2004,"采购入库",周转筐出入库明细!$B$4:$B$2004,"&gt;="&amp;$P$1,周转筐出入库明细!$B$4:$B$2004,"&lt;="&amp;$P$2))</f>
        <v/>
      </c>
      <c r="G172" s="25" t="str">
        <f>IF(OR($B172="",基础资料!$B$8=""),"",SUMIFS(周转筐出入库明细!$H$4:$H$2004,周转筐出入库明细!$C$4:$C$2004,$B172,周转筐出入库明细!$D$4:$D$2004,基础资料!$B$8,周转筐出入库明细!$F$4:$F$2004,"采购入库",周转筐出入库明细!$B$4:$B$2004,"&gt;="&amp;$P$1,周转筐出入库明细!$B$4:$B$2004,"&lt;="&amp;$P$2))</f>
        <v/>
      </c>
      <c r="H172" s="25" t="str">
        <f>IF($B172="","",SUMIFS(周转筐出入库明细!$H$4:$H$2004,周转筐出入库明细!$C$4:$C$2004,$B172,周转筐出入库明细!$F$4:$F$2004,"采购入库",周转筐出入库明细!$B$4:$B$2004,"&gt;="&amp;$P$1,周转筐出入库明细!$B$4:$B$2004,"&lt;="&amp;$P$2)-SUM($C172:$G172))</f>
        <v/>
      </c>
      <c r="I172" s="25" t="str">
        <f t="shared" si="7"/>
        <v/>
      </c>
      <c r="J172" s="26" t="str">
        <f>IF($B172="","",ROUND(SUMIFS(周转筐出入库明细!$P$4:$P$2004,周转筐出入库明细!$C$4:$C$2004,$B172,周转筐出入库明细!$F$4:$F$2004,"采购入库",周转筐出入库明细!$B$4:$B$2004,"&gt;="&amp;$P$1,周转筐出入库明细!$B$4:$B$2004,"&lt;="&amp;$P$2),2))</f>
        <v/>
      </c>
      <c r="K172" s="26" t="str">
        <f>IF($B172="","",ROUND(SUMIFS(周转筐出入库明细!$P$4:$P$2004,周转筐出入库明细!$C$4:$C$2004,$B172,周转筐出入库明细!$F$4:$F$2004,"采购入库",周转筐出入库明细!$Q$4:$Q$2004,"已付款",周转筐出入库明细!$B$4:$B$2004,"&gt;="&amp;$P$1,周转筐出入库明细!$B$4:$B$2004,"&lt;="&amp;$P$2),2))</f>
        <v/>
      </c>
      <c r="L172" s="26" t="str">
        <f t="shared" si="8"/>
        <v/>
      </c>
    </row>
    <row r="173" spans="1:12">
      <c r="A173" s="22" t="str">
        <f t="shared" si="6"/>
        <v/>
      </c>
      <c r="B173" s="37" t="str">
        <f>IFERROR(INDEX(_自动清单!$CW$4:$CW$203,ROW()-3),"")</f>
        <v/>
      </c>
      <c r="C173" s="25" t="str">
        <f>IF(OR($B173="",基础资料!$B$4=""),"",SUMIFS(周转筐出入库明细!$H$4:$H$2004,周转筐出入库明细!$C$4:$C$2004,$B173,周转筐出入库明细!$D$4:$D$2004,基础资料!$B$4,周转筐出入库明细!$F$4:$F$2004,"采购入库",周转筐出入库明细!$B$4:$B$2004,"&gt;="&amp;$P$1,周转筐出入库明细!$B$4:$B$2004,"&lt;="&amp;$P$2))</f>
        <v/>
      </c>
      <c r="D173" s="25" t="str">
        <f>IF(OR($B173="",基础资料!$B$5=""),"",SUMIFS(周转筐出入库明细!$H$4:$H$2004,周转筐出入库明细!$C$4:$C$2004,$B173,周转筐出入库明细!$D$4:$D$2004,基础资料!$B$5,周转筐出入库明细!$F$4:$F$2004,"采购入库",周转筐出入库明细!$B$4:$B$2004,"&gt;="&amp;$P$1,周转筐出入库明细!$B$4:$B$2004,"&lt;="&amp;$P$2))</f>
        <v/>
      </c>
      <c r="E173" s="25" t="str">
        <f>IF(OR($B173="",基础资料!$B$6=""),"",SUMIFS(周转筐出入库明细!$H$4:$H$2004,周转筐出入库明细!$C$4:$C$2004,$B173,周转筐出入库明细!$D$4:$D$2004,基础资料!$B$6,周转筐出入库明细!$F$4:$F$2004,"采购入库",周转筐出入库明细!$B$4:$B$2004,"&gt;="&amp;$P$1,周转筐出入库明细!$B$4:$B$2004,"&lt;="&amp;$P$2))</f>
        <v/>
      </c>
      <c r="F173" s="25" t="str">
        <f>IF(OR($B173="",基础资料!$B$7=""),"",SUMIFS(周转筐出入库明细!$H$4:$H$2004,周转筐出入库明细!$C$4:$C$2004,$B173,周转筐出入库明细!$D$4:$D$2004,基础资料!$B$7,周转筐出入库明细!$F$4:$F$2004,"采购入库",周转筐出入库明细!$B$4:$B$2004,"&gt;="&amp;$P$1,周转筐出入库明细!$B$4:$B$2004,"&lt;="&amp;$P$2))</f>
        <v/>
      </c>
      <c r="G173" s="25" t="str">
        <f>IF(OR($B173="",基础资料!$B$8=""),"",SUMIFS(周转筐出入库明细!$H$4:$H$2004,周转筐出入库明细!$C$4:$C$2004,$B173,周转筐出入库明细!$D$4:$D$2004,基础资料!$B$8,周转筐出入库明细!$F$4:$F$2004,"采购入库",周转筐出入库明细!$B$4:$B$2004,"&gt;="&amp;$P$1,周转筐出入库明细!$B$4:$B$2004,"&lt;="&amp;$P$2))</f>
        <v/>
      </c>
      <c r="H173" s="25" t="str">
        <f>IF($B173="","",SUMIFS(周转筐出入库明细!$H$4:$H$2004,周转筐出入库明细!$C$4:$C$2004,$B173,周转筐出入库明细!$F$4:$F$2004,"采购入库",周转筐出入库明细!$B$4:$B$2004,"&gt;="&amp;$P$1,周转筐出入库明细!$B$4:$B$2004,"&lt;="&amp;$P$2)-SUM($C173:$G173))</f>
        <v/>
      </c>
      <c r="I173" s="25" t="str">
        <f t="shared" si="7"/>
        <v/>
      </c>
      <c r="J173" s="26" t="str">
        <f>IF($B173="","",ROUND(SUMIFS(周转筐出入库明细!$P$4:$P$2004,周转筐出入库明细!$C$4:$C$2004,$B173,周转筐出入库明细!$F$4:$F$2004,"采购入库",周转筐出入库明细!$B$4:$B$2004,"&gt;="&amp;$P$1,周转筐出入库明细!$B$4:$B$2004,"&lt;="&amp;$P$2),2))</f>
        <v/>
      </c>
      <c r="K173" s="26" t="str">
        <f>IF($B173="","",ROUND(SUMIFS(周转筐出入库明细!$P$4:$P$2004,周转筐出入库明细!$C$4:$C$2004,$B173,周转筐出入库明细!$F$4:$F$2004,"采购入库",周转筐出入库明细!$Q$4:$Q$2004,"已付款",周转筐出入库明细!$B$4:$B$2004,"&gt;="&amp;$P$1,周转筐出入库明细!$B$4:$B$2004,"&lt;="&amp;$P$2),2))</f>
        <v/>
      </c>
      <c r="L173" s="26" t="str">
        <f t="shared" si="8"/>
        <v/>
      </c>
    </row>
    <row r="174" spans="1:12">
      <c r="A174" s="22" t="str">
        <f t="shared" si="6"/>
        <v/>
      </c>
      <c r="B174" s="37" t="str">
        <f>IFERROR(INDEX(_自动清单!$CW$4:$CW$203,ROW()-3),"")</f>
        <v/>
      </c>
      <c r="C174" s="25" t="str">
        <f>IF(OR($B174="",基础资料!$B$4=""),"",SUMIFS(周转筐出入库明细!$H$4:$H$2004,周转筐出入库明细!$C$4:$C$2004,$B174,周转筐出入库明细!$D$4:$D$2004,基础资料!$B$4,周转筐出入库明细!$F$4:$F$2004,"采购入库",周转筐出入库明细!$B$4:$B$2004,"&gt;="&amp;$P$1,周转筐出入库明细!$B$4:$B$2004,"&lt;="&amp;$P$2))</f>
        <v/>
      </c>
      <c r="D174" s="25" t="str">
        <f>IF(OR($B174="",基础资料!$B$5=""),"",SUMIFS(周转筐出入库明细!$H$4:$H$2004,周转筐出入库明细!$C$4:$C$2004,$B174,周转筐出入库明细!$D$4:$D$2004,基础资料!$B$5,周转筐出入库明细!$F$4:$F$2004,"采购入库",周转筐出入库明细!$B$4:$B$2004,"&gt;="&amp;$P$1,周转筐出入库明细!$B$4:$B$2004,"&lt;="&amp;$P$2))</f>
        <v/>
      </c>
      <c r="E174" s="25" t="str">
        <f>IF(OR($B174="",基础资料!$B$6=""),"",SUMIFS(周转筐出入库明细!$H$4:$H$2004,周转筐出入库明细!$C$4:$C$2004,$B174,周转筐出入库明细!$D$4:$D$2004,基础资料!$B$6,周转筐出入库明细!$F$4:$F$2004,"采购入库",周转筐出入库明细!$B$4:$B$2004,"&gt;="&amp;$P$1,周转筐出入库明细!$B$4:$B$2004,"&lt;="&amp;$P$2))</f>
        <v/>
      </c>
      <c r="F174" s="25" t="str">
        <f>IF(OR($B174="",基础资料!$B$7=""),"",SUMIFS(周转筐出入库明细!$H$4:$H$2004,周转筐出入库明细!$C$4:$C$2004,$B174,周转筐出入库明细!$D$4:$D$2004,基础资料!$B$7,周转筐出入库明细!$F$4:$F$2004,"采购入库",周转筐出入库明细!$B$4:$B$2004,"&gt;="&amp;$P$1,周转筐出入库明细!$B$4:$B$2004,"&lt;="&amp;$P$2))</f>
        <v/>
      </c>
      <c r="G174" s="25" t="str">
        <f>IF(OR($B174="",基础资料!$B$8=""),"",SUMIFS(周转筐出入库明细!$H$4:$H$2004,周转筐出入库明细!$C$4:$C$2004,$B174,周转筐出入库明细!$D$4:$D$2004,基础资料!$B$8,周转筐出入库明细!$F$4:$F$2004,"采购入库",周转筐出入库明细!$B$4:$B$2004,"&gt;="&amp;$P$1,周转筐出入库明细!$B$4:$B$2004,"&lt;="&amp;$P$2))</f>
        <v/>
      </c>
      <c r="H174" s="25" t="str">
        <f>IF($B174="","",SUMIFS(周转筐出入库明细!$H$4:$H$2004,周转筐出入库明细!$C$4:$C$2004,$B174,周转筐出入库明细!$F$4:$F$2004,"采购入库",周转筐出入库明细!$B$4:$B$2004,"&gt;="&amp;$P$1,周转筐出入库明细!$B$4:$B$2004,"&lt;="&amp;$P$2)-SUM($C174:$G174))</f>
        <v/>
      </c>
      <c r="I174" s="25" t="str">
        <f t="shared" si="7"/>
        <v/>
      </c>
      <c r="J174" s="26" t="str">
        <f>IF($B174="","",ROUND(SUMIFS(周转筐出入库明细!$P$4:$P$2004,周转筐出入库明细!$C$4:$C$2004,$B174,周转筐出入库明细!$F$4:$F$2004,"采购入库",周转筐出入库明细!$B$4:$B$2004,"&gt;="&amp;$P$1,周转筐出入库明细!$B$4:$B$2004,"&lt;="&amp;$P$2),2))</f>
        <v/>
      </c>
      <c r="K174" s="26" t="str">
        <f>IF($B174="","",ROUND(SUMIFS(周转筐出入库明细!$P$4:$P$2004,周转筐出入库明细!$C$4:$C$2004,$B174,周转筐出入库明细!$F$4:$F$2004,"采购入库",周转筐出入库明细!$Q$4:$Q$2004,"已付款",周转筐出入库明细!$B$4:$B$2004,"&gt;="&amp;$P$1,周转筐出入库明细!$B$4:$B$2004,"&lt;="&amp;$P$2),2))</f>
        <v/>
      </c>
      <c r="L174" s="26" t="str">
        <f t="shared" si="8"/>
        <v/>
      </c>
    </row>
    <row r="175" spans="1:12">
      <c r="A175" s="22" t="str">
        <f t="shared" si="6"/>
        <v/>
      </c>
      <c r="B175" s="37" t="str">
        <f>IFERROR(INDEX(_自动清单!$CW$4:$CW$203,ROW()-3),"")</f>
        <v/>
      </c>
      <c r="C175" s="25" t="str">
        <f>IF(OR($B175="",基础资料!$B$4=""),"",SUMIFS(周转筐出入库明细!$H$4:$H$2004,周转筐出入库明细!$C$4:$C$2004,$B175,周转筐出入库明细!$D$4:$D$2004,基础资料!$B$4,周转筐出入库明细!$F$4:$F$2004,"采购入库",周转筐出入库明细!$B$4:$B$2004,"&gt;="&amp;$P$1,周转筐出入库明细!$B$4:$B$2004,"&lt;="&amp;$P$2))</f>
        <v/>
      </c>
      <c r="D175" s="25" t="str">
        <f>IF(OR($B175="",基础资料!$B$5=""),"",SUMIFS(周转筐出入库明细!$H$4:$H$2004,周转筐出入库明细!$C$4:$C$2004,$B175,周转筐出入库明细!$D$4:$D$2004,基础资料!$B$5,周转筐出入库明细!$F$4:$F$2004,"采购入库",周转筐出入库明细!$B$4:$B$2004,"&gt;="&amp;$P$1,周转筐出入库明细!$B$4:$B$2004,"&lt;="&amp;$P$2))</f>
        <v/>
      </c>
      <c r="E175" s="25" t="str">
        <f>IF(OR($B175="",基础资料!$B$6=""),"",SUMIFS(周转筐出入库明细!$H$4:$H$2004,周转筐出入库明细!$C$4:$C$2004,$B175,周转筐出入库明细!$D$4:$D$2004,基础资料!$B$6,周转筐出入库明细!$F$4:$F$2004,"采购入库",周转筐出入库明细!$B$4:$B$2004,"&gt;="&amp;$P$1,周转筐出入库明细!$B$4:$B$2004,"&lt;="&amp;$P$2))</f>
        <v/>
      </c>
      <c r="F175" s="25" t="str">
        <f>IF(OR($B175="",基础资料!$B$7=""),"",SUMIFS(周转筐出入库明细!$H$4:$H$2004,周转筐出入库明细!$C$4:$C$2004,$B175,周转筐出入库明细!$D$4:$D$2004,基础资料!$B$7,周转筐出入库明细!$F$4:$F$2004,"采购入库",周转筐出入库明细!$B$4:$B$2004,"&gt;="&amp;$P$1,周转筐出入库明细!$B$4:$B$2004,"&lt;="&amp;$P$2))</f>
        <v/>
      </c>
      <c r="G175" s="25" t="str">
        <f>IF(OR($B175="",基础资料!$B$8=""),"",SUMIFS(周转筐出入库明细!$H$4:$H$2004,周转筐出入库明细!$C$4:$C$2004,$B175,周转筐出入库明细!$D$4:$D$2004,基础资料!$B$8,周转筐出入库明细!$F$4:$F$2004,"采购入库",周转筐出入库明细!$B$4:$B$2004,"&gt;="&amp;$P$1,周转筐出入库明细!$B$4:$B$2004,"&lt;="&amp;$P$2))</f>
        <v/>
      </c>
      <c r="H175" s="25" t="str">
        <f>IF($B175="","",SUMIFS(周转筐出入库明细!$H$4:$H$2004,周转筐出入库明细!$C$4:$C$2004,$B175,周转筐出入库明细!$F$4:$F$2004,"采购入库",周转筐出入库明细!$B$4:$B$2004,"&gt;="&amp;$P$1,周转筐出入库明细!$B$4:$B$2004,"&lt;="&amp;$P$2)-SUM($C175:$G175))</f>
        <v/>
      </c>
      <c r="I175" s="25" t="str">
        <f t="shared" si="7"/>
        <v/>
      </c>
      <c r="J175" s="26" t="str">
        <f>IF($B175="","",ROUND(SUMIFS(周转筐出入库明细!$P$4:$P$2004,周转筐出入库明细!$C$4:$C$2004,$B175,周转筐出入库明细!$F$4:$F$2004,"采购入库",周转筐出入库明细!$B$4:$B$2004,"&gt;="&amp;$P$1,周转筐出入库明细!$B$4:$B$2004,"&lt;="&amp;$P$2),2))</f>
        <v/>
      </c>
      <c r="K175" s="26" t="str">
        <f>IF($B175="","",ROUND(SUMIFS(周转筐出入库明细!$P$4:$P$2004,周转筐出入库明细!$C$4:$C$2004,$B175,周转筐出入库明细!$F$4:$F$2004,"采购入库",周转筐出入库明细!$Q$4:$Q$2004,"已付款",周转筐出入库明细!$B$4:$B$2004,"&gt;="&amp;$P$1,周转筐出入库明细!$B$4:$B$2004,"&lt;="&amp;$P$2),2))</f>
        <v/>
      </c>
      <c r="L175" s="26" t="str">
        <f t="shared" si="8"/>
        <v/>
      </c>
    </row>
    <row r="176" spans="1:12">
      <c r="A176" s="22" t="str">
        <f t="shared" si="6"/>
        <v/>
      </c>
      <c r="B176" s="37" t="str">
        <f>IFERROR(INDEX(_自动清单!$CW$4:$CW$203,ROW()-3),"")</f>
        <v/>
      </c>
      <c r="C176" s="25" t="str">
        <f>IF(OR($B176="",基础资料!$B$4=""),"",SUMIFS(周转筐出入库明细!$H$4:$H$2004,周转筐出入库明细!$C$4:$C$2004,$B176,周转筐出入库明细!$D$4:$D$2004,基础资料!$B$4,周转筐出入库明细!$F$4:$F$2004,"采购入库",周转筐出入库明细!$B$4:$B$2004,"&gt;="&amp;$P$1,周转筐出入库明细!$B$4:$B$2004,"&lt;="&amp;$P$2))</f>
        <v/>
      </c>
      <c r="D176" s="25" t="str">
        <f>IF(OR($B176="",基础资料!$B$5=""),"",SUMIFS(周转筐出入库明细!$H$4:$H$2004,周转筐出入库明细!$C$4:$C$2004,$B176,周转筐出入库明细!$D$4:$D$2004,基础资料!$B$5,周转筐出入库明细!$F$4:$F$2004,"采购入库",周转筐出入库明细!$B$4:$B$2004,"&gt;="&amp;$P$1,周转筐出入库明细!$B$4:$B$2004,"&lt;="&amp;$P$2))</f>
        <v/>
      </c>
      <c r="E176" s="25" t="str">
        <f>IF(OR($B176="",基础资料!$B$6=""),"",SUMIFS(周转筐出入库明细!$H$4:$H$2004,周转筐出入库明细!$C$4:$C$2004,$B176,周转筐出入库明细!$D$4:$D$2004,基础资料!$B$6,周转筐出入库明细!$F$4:$F$2004,"采购入库",周转筐出入库明细!$B$4:$B$2004,"&gt;="&amp;$P$1,周转筐出入库明细!$B$4:$B$2004,"&lt;="&amp;$P$2))</f>
        <v/>
      </c>
      <c r="F176" s="25" t="str">
        <f>IF(OR($B176="",基础资料!$B$7=""),"",SUMIFS(周转筐出入库明细!$H$4:$H$2004,周转筐出入库明细!$C$4:$C$2004,$B176,周转筐出入库明细!$D$4:$D$2004,基础资料!$B$7,周转筐出入库明细!$F$4:$F$2004,"采购入库",周转筐出入库明细!$B$4:$B$2004,"&gt;="&amp;$P$1,周转筐出入库明细!$B$4:$B$2004,"&lt;="&amp;$P$2))</f>
        <v/>
      </c>
      <c r="G176" s="25" t="str">
        <f>IF(OR($B176="",基础资料!$B$8=""),"",SUMIFS(周转筐出入库明细!$H$4:$H$2004,周转筐出入库明细!$C$4:$C$2004,$B176,周转筐出入库明细!$D$4:$D$2004,基础资料!$B$8,周转筐出入库明细!$F$4:$F$2004,"采购入库",周转筐出入库明细!$B$4:$B$2004,"&gt;="&amp;$P$1,周转筐出入库明细!$B$4:$B$2004,"&lt;="&amp;$P$2))</f>
        <v/>
      </c>
      <c r="H176" s="25" t="str">
        <f>IF($B176="","",SUMIFS(周转筐出入库明细!$H$4:$H$2004,周转筐出入库明细!$C$4:$C$2004,$B176,周转筐出入库明细!$F$4:$F$2004,"采购入库",周转筐出入库明细!$B$4:$B$2004,"&gt;="&amp;$P$1,周转筐出入库明细!$B$4:$B$2004,"&lt;="&amp;$P$2)-SUM($C176:$G176))</f>
        <v/>
      </c>
      <c r="I176" s="25" t="str">
        <f t="shared" si="7"/>
        <v/>
      </c>
      <c r="J176" s="26" t="str">
        <f>IF($B176="","",ROUND(SUMIFS(周转筐出入库明细!$P$4:$P$2004,周转筐出入库明细!$C$4:$C$2004,$B176,周转筐出入库明细!$F$4:$F$2004,"采购入库",周转筐出入库明细!$B$4:$B$2004,"&gt;="&amp;$P$1,周转筐出入库明细!$B$4:$B$2004,"&lt;="&amp;$P$2),2))</f>
        <v/>
      </c>
      <c r="K176" s="26" t="str">
        <f>IF($B176="","",ROUND(SUMIFS(周转筐出入库明细!$P$4:$P$2004,周转筐出入库明细!$C$4:$C$2004,$B176,周转筐出入库明细!$F$4:$F$2004,"采购入库",周转筐出入库明细!$Q$4:$Q$2004,"已付款",周转筐出入库明细!$B$4:$B$2004,"&gt;="&amp;$P$1,周转筐出入库明细!$B$4:$B$2004,"&lt;="&amp;$P$2),2))</f>
        <v/>
      </c>
      <c r="L176" s="26" t="str">
        <f t="shared" si="8"/>
        <v/>
      </c>
    </row>
    <row r="177" spans="1:12">
      <c r="A177" s="22" t="str">
        <f t="shared" si="6"/>
        <v/>
      </c>
      <c r="B177" s="37" t="str">
        <f>IFERROR(INDEX(_自动清单!$CW$4:$CW$203,ROW()-3),"")</f>
        <v/>
      </c>
      <c r="C177" s="25" t="str">
        <f>IF(OR($B177="",基础资料!$B$4=""),"",SUMIFS(周转筐出入库明细!$H$4:$H$2004,周转筐出入库明细!$C$4:$C$2004,$B177,周转筐出入库明细!$D$4:$D$2004,基础资料!$B$4,周转筐出入库明细!$F$4:$F$2004,"采购入库",周转筐出入库明细!$B$4:$B$2004,"&gt;="&amp;$P$1,周转筐出入库明细!$B$4:$B$2004,"&lt;="&amp;$P$2))</f>
        <v/>
      </c>
      <c r="D177" s="25" t="str">
        <f>IF(OR($B177="",基础资料!$B$5=""),"",SUMIFS(周转筐出入库明细!$H$4:$H$2004,周转筐出入库明细!$C$4:$C$2004,$B177,周转筐出入库明细!$D$4:$D$2004,基础资料!$B$5,周转筐出入库明细!$F$4:$F$2004,"采购入库",周转筐出入库明细!$B$4:$B$2004,"&gt;="&amp;$P$1,周转筐出入库明细!$B$4:$B$2004,"&lt;="&amp;$P$2))</f>
        <v/>
      </c>
      <c r="E177" s="25" t="str">
        <f>IF(OR($B177="",基础资料!$B$6=""),"",SUMIFS(周转筐出入库明细!$H$4:$H$2004,周转筐出入库明细!$C$4:$C$2004,$B177,周转筐出入库明细!$D$4:$D$2004,基础资料!$B$6,周转筐出入库明细!$F$4:$F$2004,"采购入库",周转筐出入库明细!$B$4:$B$2004,"&gt;="&amp;$P$1,周转筐出入库明细!$B$4:$B$2004,"&lt;="&amp;$P$2))</f>
        <v/>
      </c>
      <c r="F177" s="25" t="str">
        <f>IF(OR($B177="",基础资料!$B$7=""),"",SUMIFS(周转筐出入库明细!$H$4:$H$2004,周转筐出入库明细!$C$4:$C$2004,$B177,周转筐出入库明细!$D$4:$D$2004,基础资料!$B$7,周转筐出入库明细!$F$4:$F$2004,"采购入库",周转筐出入库明细!$B$4:$B$2004,"&gt;="&amp;$P$1,周转筐出入库明细!$B$4:$B$2004,"&lt;="&amp;$P$2))</f>
        <v/>
      </c>
      <c r="G177" s="25" t="str">
        <f>IF(OR($B177="",基础资料!$B$8=""),"",SUMIFS(周转筐出入库明细!$H$4:$H$2004,周转筐出入库明细!$C$4:$C$2004,$B177,周转筐出入库明细!$D$4:$D$2004,基础资料!$B$8,周转筐出入库明细!$F$4:$F$2004,"采购入库",周转筐出入库明细!$B$4:$B$2004,"&gt;="&amp;$P$1,周转筐出入库明细!$B$4:$B$2004,"&lt;="&amp;$P$2))</f>
        <v/>
      </c>
      <c r="H177" s="25" t="str">
        <f>IF($B177="","",SUMIFS(周转筐出入库明细!$H$4:$H$2004,周转筐出入库明细!$C$4:$C$2004,$B177,周转筐出入库明细!$F$4:$F$2004,"采购入库",周转筐出入库明细!$B$4:$B$2004,"&gt;="&amp;$P$1,周转筐出入库明细!$B$4:$B$2004,"&lt;="&amp;$P$2)-SUM($C177:$G177))</f>
        <v/>
      </c>
      <c r="I177" s="25" t="str">
        <f t="shared" si="7"/>
        <v/>
      </c>
      <c r="J177" s="26" t="str">
        <f>IF($B177="","",ROUND(SUMIFS(周转筐出入库明细!$P$4:$P$2004,周转筐出入库明细!$C$4:$C$2004,$B177,周转筐出入库明细!$F$4:$F$2004,"采购入库",周转筐出入库明细!$B$4:$B$2004,"&gt;="&amp;$P$1,周转筐出入库明细!$B$4:$B$2004,"&lt;="&amp;$P$2),2))</f>
        <v/>
      </c>
      <c r="K177" s="26" t="str">
        <f>IF($B177="","",ROUND(SUMIFS(周转筐出入库明细!$P$4:$P$2004,周转筐出入库明细!$C$4:$C$2004,$B177,周转筐出入库明细!$F$4:$F$2004,"采购入库",周转筐出入库明细!$Q$4:$Q$2004,"已付款",周转筐出入库明细!$B$4:$B$2004,"&gt;="&amp;$P$1,周转筐出入库明细!$B$4:$B$2004,"&lt;="&amp;$P$2),2))</f>
        <v/>
      </c>
      <c r="L177" s="26" t="str">
        <f t="shared" si="8"/>
        <v/>
      </c>
    </row>
    <row r="178" spans="1:12">
      <c r="A178" s="22" t="str">
        <f t="shared" si="6"/>
        <v/>
      </c>
      <c r="B178" s="37" t="str">
        <f>IFERROR(INDEX(_自动清单!$CW$4:$CW$203,ROW()-3),"")</f>
        <v/>
      </c>
      <c r="C178" s="25" t="str">
        <f>IF(OR($B178="",基础资料!$B$4=""),"",SUMIFS(周转筐出入库明细!$H$4:$H$2004,周转筐出入库明细!$C$4:$C$2004,$B178,周转筐出入库明细!$D$4:$D$2004,基础资料!$B$4,周转筐出入库明细!$F$4:$F$2004,"采购入库",周转筐出入库明细!$B$4:$B$2004,"&gt;="&amp;$P$1,周转筐出入库明细!$B$4:$B$2004,"&lt;="&amp;$P$2))</f>
        <v/>
      </c>
      <c r="D178" s="25" t="str">
        <f>IF(OR($B178="",基础资料!$B$5=""),"",SUMIFS(周转筐出入库明细!$H$4:$H$2004,周转筐出入库明细!$C$4:$C$2004,$B178,周转筐出入库明细!$D$4:$D$2004,基础资料!$B$5,周转筐出入库明细!$F$4:$F$2004,"采购入库",周转筐出入库明细!$B$4:$B$2004,"&gt;="&amp;$P$1,周转筐出入库明细!$B$4:$B$2004,"&lt;="&amp;$P$2))</f>
        <v/>
      </c>
      <c r="E178" s="25" t="str">
        <f>IF(OR($B178="",基础资料!$B$6=""),"",SUMIFS(周转筐出入库明细!$H$4:$H$2004,周转筐出入库明细!$C$4:$C$2004,$B178,周转筐出入库明细!$D$4:$D$2004,基础资料!$B$6,周转筐出入库明细!$F$4:$F$2004,"采购入库",周转筐出入库明细!$B$4:$B$2004,"&gt;="&amp;$P$1,周转筐出入库明细!$B$4:$B$2004,"&lt;="&amp;$P$2))</f>
        <v/>
      </c>
      <c r="F178" s="25" t="str">
        <f>IF(OR($B178="",基础资料!$B$7=""),"",SUMIFS(周转筐出入库明细!$H$4:$H$2004,周转筐出入库明细!$C$4:$C$2004,$B178,周转筐出入库明细!$D$4:$D$2004,基础资料!$B$7,周转筐出入库明细!$F$4:$F$2004,"采购入库",周转筐出入库明细!$B$4:$B$2004,"&gt;="&amp;$P$1,周转筐出入库明细!$B$4:$B$2004,"&lt;="&amp;$P$2))</f>
        <v/>
      </c>
      <c r="G178" s="25" t="str">
        <f>IF(OR($B178="",基础资料!$B$8=""),"",SUMIFS(周转筐出入库明细!$H$4:$H$2004,周转筐出入库明细!$C$4:$C$2004,$B178,周转筐出入库明细!$D$4:$D$2004,基础资料!$B$8,周转筐出入库明细!$F$4:$F$2004,"采购入库",周转筐出入库明细!$B$4:$B$2004,"&gt;="&amp;$P$1,周转筐出入库明细!$B$4:$B$2004,"&lt;="&amp;$P$2))</f>
        <v/>
      </c>
      <c r="H178" s="25" t="str">
        <f>IF($B178="","",SUMIFS(周转筐出入库明细!$H$4:$H$2004,周转筐出入库明细!$C$4:$C$2004,$B178,周转筐出入库明细!$F$4:$F$2004,"采购入库",周转筐出入库明细!$B$4:$B$2004,"&gt;="&amp;$P$1,周转筐出入库明细!$B$4:$B$2004,"&lt;="&amp;$P$2)-SUM($C178:$G178))</f>
        <v/>
      </c>
      <c r="I178" s="25" t="str">
        <f t="shared" si="7"/>
        <v/>
      </c>
      <c r="J178" s="26" t="str">
        <f>IF($B178="","",ROUND(SUMIFS(周转筐出入库明细!$P$4:$P$2004,周转筐出入库明细!$C$4:$C$2004,$B178,周转筐出入库明细!$F$4:$F$2004,"采购入库",周转筐出入库明细!$B$4:$B$2004,"&gt;="&amp;$P$1,周转筐出入库明细!$B$4:$B$2004,"&lt;="&amp;$P$2),2))</f>
        <v/>
      </c>
      <c r="K178" s="26" t="str">
        <f>IF($B178="","",ROUND(SUMIFS(周转筐出入库明细!$P$4:$P$2004,周转筐出入库明细!$C$4:$C$2004,$B178,周转筐出入库明细!$F$4:$F$2004,"采购入库",周转筐出入库明细!$Q$4:$Q$2004,"已付款",周转筐出入库明细!$B$4:$B$2004,"&gt;="&amp;$P$1,周转筐出入库明细!$B$4:$B$2004,"&lt;="&amp;$P$2),2))</f>
        <v/>
      </c>
      <c r="L178" s="26" t="str">
        <f t="shared" si="8"/>
        <v/>
      </c>
    </row>
    <row r="179" spans="1:12">
      <c r="A179" s="22" t="str">
        <f t="shared" si="6"/>
        <v/>
      </c>
      <c r="B179" s="37" t="str">
        <f>IFERROR(INDEX(_自动清单!$CW$4:$CW$203,ROW()-3),"")</f>
        <v/>
      </c>
      <c r="C179" s="25" t="str">
        <f>IF(OR($B179="",基础资料!$B$4=""),"",SUMIFS(周转筐出入库明细!$H$4:$H$2004,周转筐出入库明细!$C$4:$C$2004,$B179,周转筐出入库明细!$D$4:$D$2004,基础资料!$B$4,周转筐出入库明细!$F$4:$F$2004,"采购入库",周转筐出入库明细!$B$4:$B$2004,"&gt;="&amp;$P$1,周转筐出入库明细!$B$4:$B$2004,"&lt;="&amp;$P$2))</f>
        <v/>
      </c>
      <c r="D179" s="25" t="str">
        <f>IF(OR($B179="",基础资料!$B$5=""),"",SUMIFS(周转筐出入库明细!$H$4:$H$2004,周转筐出入库明细!$C$4:$C$2004,$B179,周转筐出入库明细!$D$4:$D$2004,基础资料!$B$5,周转筐出入库明细!$F$4:$F$2004,"采购入库",周转筐出入库明细!$B$4:$B$2004,"&gt;="&amp;$P$1,周转筐出入库明细!$B$4:$B$2004,"&lt;="&amp;$P$2))</f>
        <v/>
      </c>
      <c r="E179" s="25" t="str">
        <f>IF(OR($B179="",基础资料!$B$6=""),"",SUMIFS(周转筐出入库明细!$H$4:$H$2004,周转筐出入库明细!$C$4:$C$2004,$B179,周转筐出入库明细!$D$4:$D$2004,基础资料!$B$6,周转筐出入库明细!$F$4:$F$2004,"采购入库",周转筐出入库明细!$B$4:$B$2004,"&gt;="&amp;$P$1,周转筐出入库明细!$B$4:$B$2004,"&lt;="&amp;$P$2))</f>
        <v/>
      </c>
      <c r="F179" s="25" t="str">
        <f>IF(OR($B179="",基础资料!$B$7=""),"",SUMIFS(周转筐出入库明细!$H$4:$H$2004,周转筐出入库明细!$C$4:$C$2004,$B179,周转筐出入库明细!$D$4:$D$2004,基础资料!$B$7,周转筐出入库明细!$F$4:$F$2004,"采购入库",周转筐出入库明细!$B$4:$B$2004,"&gt;="&amp;$P$1,周转筐出入库明细!$B$4:$B$2004,"&lt;="&amp;$P$2))</f>
        <v/>
      </c>
      <c r="G179" s="25" t="str">
        <f>IF(OR($B179="",基础资料!$B$8=""),"",SUMIFS(周转筐出入库明细!$H$4:$H$2004,周转筐出入库明细!$C$4:$C$2004,$B179,周转筐出入库明细!$D$4:$D$2004,基础资料!$B$8,周转筐出入库明细!$F$4:$F$2004,"采购入库",周转筐出入库明细!$B$4:$B$2004,"&gt;="&amp;$P$1,周转筐出入库明细!$B$4:$B$2004,"&lt;="&amp;$P$2))</f>
        <v/>
      </c>
      <c r="H179" s="25" t="str">
        <f>IF($B179="","",SUMIFS(周转筐出入库明细!$H$4:$H$2004,周转筐出入库明细!$C$4:$C$2004,$B179,周转筐出入库明细!$F$4:$F$2004,"采购入库",周转筐出入库明细!$B$4:$B$2004,"&gt;="&amp;$P$1,周转筐出入库明细!$B$4:$B$2004,"&lt;="&amp;$P$2)-SUM($C179:$G179))</f>
        <v/>
      </c>
      <c r="I179" s="25" t="str">
        <f t="shared" si="7"/>
        <v/>
      </c>
      <c r="J179" s="26" t="str">
        <f>IF($B179="","",ROUND(SUMIFS(周转筐出入库明细!$P$4:$P$2004,周转筐出入库明细!$C$4:$C$2004,$B179,周转筐出入库明细!$F$4:$F$2004,"采购入库",周转筐出入库明细!$B$4:$B$2004,"&gt;="&amp;$P$1,周转筐出入库明细!$B$4:$B$2004,"&lt;="&amp;$P$2),2))</f>
        <v/>
      </c>
      <c r="K179" s="26" t="str">
        <f>IF($B179="","",ROUND(SUMIFS(周转筐出入库明细!$P$4:$P$2004,周转筐出入库明细!$C$4:$C$2004,$B179,周转筐出入库明细!$F$4:$F$2004,"采购入库",周转筐出入库明细!$Q$4:$Q$2004,"已付款",周转筐出入库明细!$B$4:$B$2004,"&gt;="&amp;$P$1,周转筐出入库明细!$B$4:$B$2004,"&lt;="&amp;$P$2),2))</f>
        <v/>
      </c>
      <c r="L179" s="26" t="str">
        <f t="shared" si="8"/>
        <v/>
      </c>
    </row>
    <row r="180" spans="1:12">
      <c r="A180" s="22" t="str">
        <f t="shared" si="6"/>
        <v/>
      </c>
      <c r="B180" s="37" t="str">
        <f>IFERROR(INDEX(_自动清单!$CW$4:$CW$203,ROW()-3),"")</f>
        <v/>
      </c>
      <c r="C180" s="25" t="str">
        <f>IF(OR($B180="",基础资料!$B$4=""),"",SUMIFS(周转筐出入库明细!$H$4:$H$2004,周转筐出入库明细!$C$4:$C$2004,$B180,周转筐出入库明细!$D$4:$D$2004,基础资料!$B$4,周转筐出入库明细!$F$4:$F$2004,"采购入库",周转筐出入库明细!$B$4:$B$2004,"&gt;="&amp;$P$1,周转筐出入库明细!$B$4:$B$2004,"&lt;="&amp;$P$2))</f>
        <v/>
      </c>
      <c r="D180" s="25" t="str">
        <f>IF(OR($B180="",基础资料!$B$5=""),"",SUMIFS(周转筐出入库明细!$H$4:$H$2004,周转筐出入库明细!$C$4:$C$2004,$B180,周转筐出入库明细!$D$4:$D$2004,基础资料!$B$5,周转筐出入库明细!$F$4:$F$2004,"采购入库",周转筐出入库明细!$B$4:$B$2004,"&gt;="&amp;$P$1,周转筐出入库明细!$B$4:$B$2004,"&lt;="&amp;$P$2))</f>
        <v/>
      </c>
      <c r="E180" s="25" t="str">
        <f>IF(OR($B180="",基础资料!$B$6=""),"",SUMIFS(周转筐出入库明细!$H$4:$H$2004,周转筐出入库明细!$C$4:$C$2004,$B180,周转筐出入库明细!$D$4:$D$2004,基础资料!$B$6,周转筐出入库明细!$F$4:$F$2004,"采购入库",周转筐出入库明细!$B$4:$B$2004,"&gt;="&amp;$P$1,周转筐出入库明细!$B$4:$B$2004,"&lt;="&amp;$P$2))</f>
        <v/>
      </c>
      <c r="F180" s="25" t="str">
        <f>IF(OR($B180="",基础资料!$B$7=""),"",SUMIFS(周转筐出入库明细!$H$4:$H$2004,周转筐出入库明细!$C$4:$C$2004,$B180,周转筐出入库明细!$D$4:$D$2004,基础资料!$B$7,周转筐出入库明细!$F$4:$F$2004,"采购入库",周转筐出入库明细!$B$4:$B$2004,"&gt;="&amp;$P$1,周转筐出入库明细!$B$4:$B$2004,"&lt;="&amp;$P$2))</f>
        <v/>
      </c>
      <c r="G180" s="25" t="str">
        <f>IF(OR($B180="",基础资料!$B$8=""),"",SUMIFS(周转筐出入库明细!$H$4:$H$2004,周转筐出入库明细!$C$4:$C$2004,$B180,周转筐出入库明细!$D$4:$D$2004,基础资料!$B$8,周转筐出入库明细!$F$4:$F$2004,"采购入库",周转筐出入库明细!$B$4:$B$2004,"&gt;="&amp;$P$1,周转筐出入库明细!$B$4:$B$2004,"&lt;="&amp;$P$2))</f>
        <v/>
      </c>
      <c r="H180" s="25" t="str">
        <f>IF($B180="","",SUMIFS(周转筐出入库明细!$H$4:$H$2004,周转筐出入库明细!$C$4:$C$2004,$B180,周转筐出入库明细!$F$4:$F$2004,"采购入库",周转筐出入库明细!$B$4:$B$2004,"&gt;="&amp;$P$1,周转筐出入库明细!$B$4:$B$2004,"&lt;="&amp;$P$2)-SUM($C180:$G180))</f>
        <v/>
      </c>
      <c r="I180" s="25" t="str">
        <f t="shared" si="7"/>
        <v/>
      </c>
      <c r="J180" s="26" t="str">
        <f>IF($B180="","",ROUND(SUMIFS(周转筐出入库明细!$P$4:$P$2004,周转筐出入库明细!$C$4:$C$2004,$B180,周转筐出入库明细!$F$4:$F$2004,"采购入库",周转筐出入库明细!$B$4:$B$2004,"&gt;="&amp;$P$1,周转筐出入库明细!$B$4:$B$2004,"&lt;="&amp;$P$2),2))</f>
        <v/>
      </c>
      <c r="K180" s="26" t="str">
        <f>IF($B180="","",ROUND(SUMIFS(周转筐出入库明细!$P$4:$P$2004,周转筐出入库明细!$C$4:$C$2004,$B180,周转筐出入库明细!$F$4:$F$2004,"采购入库",周转筐出入库明细!$Q$4:$Q$2004,"已付款",周转筐出入库明细!$B$4:$B$2004,"&gt;="&amp;$P$1,周转筐出入库明细!$B$4:$B$2004,"&lt;="&amp;$P$2),2))</f>
        <v/>
      </c>
      <c r="L180" s="26" t="str">
        <f t="shared" si="8"/>
        <v/>
      </c>
    </row>
    <row r="181" spans="1:12">
      <c r="A181" s="22" t="str">
        <f t="shared" si="6"/>
        <v/>
      </c>
      <c r="B181" s="37" t="str">
        <f>IFERROR(INDEX(_自动清单!$CW$4:$CW$203,ROW()-3),"")</f>
        <v/>
      </c>
      <c r="C181" s="25" t="str">
        <f>IF(OR($B181="",基础资料!$B$4=""),"",SUMIFS(周转筐出入库明细!$H$4:$H$2004,周转筐出入库明细!$C$4:$C$2004,$B181,周转筐出入库明细!$D$4:$D$2004,基础资料!$B$4,周转筐出入库明细!$F$4:$F$2004,"采购入库",周转筐出入库明细!$B$4:$B$2004,"&gt;="&amp;$P$1,周转筐出入库明细!$B$4:$B$2004,"&lt;="&amp;$P$2))</f>
        <v/>
      </c>
      <c r="D181" s="25" t="str">
        <f>IF(OR($B181="",基础资料!$B$5=""),"",SUMIFS(周转筐出入库明细!$H$4:$H$2004,周转筐出入库明细!$C$4:$C$2004,$B181,周转筐出入库明细!$D$4:$D$2004,基础资料!$B$5,周转筐出入库明细!$F$4:$F$2004,"采购入库",周转筐出入库明细!$B$4:$B$2004,"&gt;="&amp;$P$1,周转筐出入库明细!$B$4:$B$2004,"&lt;="&amp;$P$2))</f>
        <v/>
      </c>
      <c r="E181" s="25" t="str">
        <f>IF(OR($B181="",基础资料!$B$6=""),"",SUMIFS(周转筐出入库明细!$H$4:$H$2004,周转筐出入库明细!$C$4:$C$2004,$B181,周转筐出入库明细!$D$4:$D$2004,基础资料!$B$6,周转筐出入库明细!$F$4:$F$2004,"采购入库",周转筐出入库明细!$B$4:$B$2004,"&gt;="&amp;$P$1,周转筐出入库明细!$B$4:$B$2004,"&lt;="&amp;$P$2))</f>
        <v/>
      </c>
      <c r="F181" s="25" t="str">
        <f>IF(OR($B181="",基础资料!$B$7=""),"",SUMIFS(周转筐出入库明细!$H$4:$H$2004,周转筐出入库明细!$C$4:$C$2004,$B181,周转筐出入库明细!$D$4:$D$2004,基础资料!$B$7,周转筐出入库明细!$F$4:$F$2004,"采购入库",周转筐出入库明细!$B$4:$B$2004,"&gt;="&amp;$P$1,周转筐出入库明细!$B$4:$B$2004,"&lt;="&amp;$P$2))</f>
        <v/>
      </c>
      <c r="G181" s="25" t="str">
        <f>IF(OR($B181="",基础资料!$B$8=""),"",SUMIFS(周转筐出入库明细!$H$4:$H$2004,周转筐出入库明细!$C$4:$C$2004,$B181,周转筐出入库明细!$D$4:$D$2004,基础资料!$B$8,周转筐出入库明细!$F$4:$F$2004,"采购入库",周转筐出入库明细!$B$4:$B$2004,"&gt;="&amp;$P$1,周转筐出入库明细!$B$4:$B$2004,"&lt;="&amp;$P$2))</f>
        <v/>
      </c>
      <c r="H181" s="25" t="str">
        <f>IF($B181="","",SUMIFS(周转筐出入库明细!$H$4:$H$2004,周转筐出入库明细!$C$4:$C$2004,$B181,周转筐出入库明细!$F$4:$F$2004,"采购入库",周转筐出入库明细!$B$4:$B$2004,"&gt;="&amp;$P$1,周转筐出入库明细!$B$4:$B$2004,"&lt;="&amp;$P$2)-SUM($C181:$G181))</f>
        <v/>
      </c>
      <c r="I181" s="25" t="str">
        <f t="shared" si="7"/>
        <v/>
      </c>
      <c r="J181" s="26" t="str">
        <f>IF($B181="","",ROUND(SUMIFS(周转筐出入库明细!$P$4:$P$2004,周转筐出入库明细!$C$4:$C$2004,$B181,周转筐出入库明细!$F$4:$F$2004,"采购入库",周转筐出入库明细!$B$4:$B$2004,"&gt;="&amp;$P$1,周转筐出入库明细!$B$4:$B$2004,"&lt;="&amp;$P$2),2))</f>
        <v/>
      </c>
      <c r="K181" s="26" t="str">
        <f>IF($B181="","",ROUND(SUMIFS(周转筐出入库明细!$P$4:$P$2004,周转筐出入库明细!$C$4:$C$2004,$B181,周转筐出入库明细!$F$4:$F$2004,"采购入库",周转筐出入库明细!$Q$4:$Q$2004,"已付款",周转筐出入库明细!$B$4:$B$2004,"&gt;="&amp;$P$1,周转筐出入库明细!$B$4:$B$2004,"&lt;="&amp;$P$2),2))</f>
        <v/>
      </c>
      <c r="L181" s="26" t="str">
        <f t="shared" si="8"/>
        <v/>
      </c>
    </row>
    <row r="182" spans="1:12">
      <c r="A182" s="22" t="str">
        <f t="shared" si="6"/>
        <v/>
      </c>
      <c r="B182" s="37" t="str">
        <f>IFERROR(INDEX(_自动清单!$CW$4:$CW$203,ROW()-3),"")</f>
        <v/>
      </c>
      <c r="C182" s="25" t="str">
        <f>IF(OR($B182="",基础资料!$B$4=""),"",SUMIFS(周转筐出入库明细!$H$4:$H$2004,周转筐出入库明细!$C$4:$C$2004,$B182,周转筐出入库明细!$D$4:$D$2004,基础资料!$B$4,周转筐出入库明细!$F$4:$F$2004,"采购入库",周转筐出入库明细!$B$4:$B$2004,"&gt;="&amp;$P$1,周转筐出入库明细!$B$4:$B$2004,"&lt;="&amp;$P$2))</f>
        <v/>
      </c>
      <c r="D182" s="25" t="str">
        <f>IF(OR($B182="",基础资料!$B$5=""),"",SUMIFS(周转筐出入库明细!$H$4:$H$2004,周转筐出入库明细!$C$4:$C$2004,$B182,周转筐出入库明细!$D$4:$D$2004,基础资料!$B$5,周转筐出入库明细!$F$4:$F$2004,"采购入库",周转筐出入库明细!$B$4:$B$2004,"&gt;="&amp;$P$1,周转筐出入库明细!$B$4:$B$2004,"&lt;="&amp;$P$2))</f>
        <v/>
      </c>
      <c r="E182" s="25" t="str">
        <f>IF(OR($B182="",基础资料!$B$6=""),"",SUMIFS(周转筐出入库明细!$H$4:$H$2004,周转筐出入库明细!$C$4:$C$2004,$B182,周转筐出入库明细!$D$4:$D$2004,基础资料!$B$6,周转筐出入库明细!$F$4:$F$2004,"采购入库",周转筐出入库明细!$B$4:$B$2004,"&gt;="&amp;$P$1,周转筐出入库明细!$B$4:$B$2004,"&lt;="&amp;$P$2))</f>
        <v/>
      </c>
      <c r="F182" s="25" t="str">
        <f>IF(OR($B182="",基础资料!$B$7=""),"",SUMIFS(周转筐出入库明细!$H$4:$H$2004,周转筐出入库明细!$C$4:$C$2004,$B182,周转筐出入库明细!$D$4:$D$2004,基础资料!$B$7,周转筐出入库明细!$F$4:$F$2004,"采购入库",周转筐出入库明细!$B$4:$B$2004,"&gt;="&amp;$P$1,周转筐出入库明细!$B$4:$B$2004,"&lt;="&amp;$P$2))</f>
        <v/>
      </c>
      <c r="G182" s="25" t="str">
        <f>IF(OR($B182="",基础资料!$B$8=""),"",SUMIFS(周转筐出入库明细!$H$4:$H$2004,周转筐出入库明细!$C$4:$C$2004,$B182,周转筐出入库明细!$D$4:$D$2004,基础资料!$B$8,周转筐出入库明细!$F$4:$F$2004,"采购入库",周转筐出入库明细!$B$4:$B$2004,"&gt;="&amp;$P$1,周转筐出入库明细!$B$4:$B$2004,"&lt;="&amp;$P$2))</f>
        <v/>
      </c>
      <c r="H182" s="25" t="str">
        <f>IF($B182="","",SUMIFS(周转筐出入库明细!$H$4:$H$2004,周转筐出入库明细!$C$4:$C$2004,$B182,周转筐出入库明细!$F$4:$F$2004,"采购入库",周转筐出入库明细!$B$4:$B$2004,"&gt;="&amp;$P$1,周转筐出入库明细!$B$4:$B$2004,"&lt;="&amp;$P$2)-SUM($C182:$G182))</f>
        <v/>
      </c>
      <c r="I182" s="25" t="str">
        <f t="shared" si="7"/>
        <v/>
      </c>
      <c r="J182" s="26" t="str">
        <f>IF($B182="","",ROUND(SUMIFS(周转筐出入库明细!$P$4:$P$2004,周转筐出入库明细!$C$4:$C$2004,$B182,周转筐出入库明细!$F$4:$F$2004,"采购入库",周转筐出入库明细!$B$4:$B$2004,"&gt;="&amp;$P$1,周转筐出入库明细!$B$4:$B$2004,"&lt;="&amp;$P$2),2))</f>
        <v/>
      </c>
      <c r="K182" s="26" t="str">
        <f>IF($B182="","",ROUND(SUMIFS(周转筐出入库明细!$P$4:$P$2004,周转筐出入库明细!$C$4:$C$2004,$B182,周转筐出入库明细!$F$4:$F$2004,"采购入库",周转筐出入库明细!$Q$4:$Q$2004,"已付款",周转筐出入库明细!$B$4:$B$2004,"&gt;="&amp;$P$1,周转筐出入库明细!$B$4:$B$2004,"&lt;="&amp;$P$2),2))</f>
        <v/>
      </c>
      <c r="L182" s="26" t="str">
        <f t="shared" si="8"/>
        <v/>
      </c>
    </row>
    <row r="183" spans="1:12">
      <c r="A183" s="22" t="str">
        <f t="shared" si="6"/>
        <v/>
      </c>
      <c r="B183" s="37" t="str">
        <f>IFERROR(INDEX(_自动清单!$CW$4:$CW$203,ROW()-3),"")</f>
        <v/>
      </c>
      <c r="C183" s="25" t="str">
        <f>IF(OR($B183="",基础资料!$B$4=""),"",SUMIFS(周转筐出入库明细!$H$4:$H$2004,周转筐出入库明细!$C$4:$C$2004,$B183,周转筐出入库明细!$D$4:$D$2004,基础资料!$B$4,周转筐出入库明细!$F$4:$F$2004,"采购入库",周转筐出入库明细!$B$4:$B$2004,"&gt;="&amp;$P$1,周转筐出入库明细!$B$4:$B$2004,"&lt;="&amp;$P$2))</f>
        <v/>
      </c>
      <c r="D183" s="25" t="str">
        <f>IF(OR($B183="",基础资料!$B$5=""),"",SUMIFS(周转筐出入库明细!$H$4:$H$2004,周转筐出入库明细!$C$4:$C$2004,$B183,周转筐出入库明细!$D$4:$D$2004,基础资料!$B$5,周转筐出入库明细!$F$4:$F$2004,"采购入库",周转筐出入库明细!$B$4:$B$2004,"&gt;="&amp;$P$1,周转筐出入库明细!$B$4:$B$2004,"&lt;="&amp;$P$2))</f>
        <v/>
      </c>
      <c r="E183" s="25" t="str">
        <f>IF(OR($B183="",基础资料!$B$6=""),"",SUMIFS(周转筐出入库明细!$H$4:$H$2004,周转筐出入库明细!$C$4:$C$2004,$B183,周转筐出入库明细!$D$4:$D$2004,基础资料!$B$6,周转筐出入库明细!$F$4:$F$2004,"采购入库",周转筐出入库明细!$B$4:$B$2004,"&gt;="&amp;$P$1,周转筐出入库明细!$B$4:$B$2004,"&lt;="&amp;$P$2))</f>
        <v/>
      </c>
      <c r="F183" s="25" t="str">
        <f>IF(OR($B183="",基础资料!$B$7=""),"",SUMIFS(周转筐出入库明细!$H$4:$H$2004,周转筐出入库明细!$C$4:$C$2004,$B183,周转筐出入库明细!$D$4:$D$2004,基础资料!$B$7,周转筐出入库明细!$F$4:$F$2004,"采购入库",周转筐出入库明细!$B$4:$B$2004,"&gt;="&amp;$P$1,周转筐出入库明细!$B$4:$B$2004,"&lt;="&amp;$P$2))</f>
        <v/>
      </c>
      <c r="G183" s="25" t="str">
        <f>IF(OR($B183="",基础资料!$B$8=""),"",SUMIFS(周转筐出入库明细!$H$4:$H$2004,周转筐出入库明细!$C$4:$C$2004,$B183,周转筐出入库明细!$D$4:$D$2004,基础资料!$B$8,周转筐出入库明细!$F$4:$F$2004,"采购入库",周转筐出入库明细!$B$4:$B$2004,"&gt;="&amp;$P$1,周转筐出入库明细!$B$4:$B$2004,"&lt;="&amp;$P$2))</f>
        <v/>
      </c>
      <c r="H183" s="25" t="str">
        <f>IF($B183="","",SUMIFS(周转筐出入库明细!$H$4:$H$2004,周转筐出入库明细!$C$4:$C$2004,$B183,周转筐出入库明细!$F$4:$F$2004,"采购入库",周转筐出入库明细!$B$4:$B$2004,"&gt;="&amp;$P$1,周转筐出入库明细!$B$4:$B$2004,"&lt;="&amp;$P$2)-SUM($C183:$G183))</f>
        <v/>
      </c>
      <c r="I183" s="25" t="str">
        <f t="shared" si="7"/>
        <v/>
      </c>
      <c r="J183" s="26" t="str">
        <f>IF($B183="","",ROUND(SUMIFS(周转筐出入库明细!$P$4:$P$2004,周转筐出入库明细!$C$4:$C$2004,$B183,周转筐出入库明细!$F$4:$F$2004,"采购入库",周转筐出入库明细!$B$4:$B$2004,"&gt;="&amp;$P$1,周转筐出入库明细!$B$4:$B$2004,"&lt;="&amp;$P$2),2))</f>
        <v/>
      </c>
      <c r="K183" s="26" t="str">
        <f>IF($B183="","",ROUND(SUMIFS(周转筐出入库明细!$P$4:$P$2004,周转筐出入库明细!$C$4:$C$2004,$B183,周转筐出入库明细!$F$4:$F$2004,"采购入库",周转筐出入库明细!$Q$4:$Q$2004,"已付款",周转筐出入库明细!$B$4:$B$2004,"&gt;="&amp;$P$1,周转筐出入库明细!$B$4:$B$2004,"&lt;="&amp;$P$2),2))</f>
        <v/>
      </c>
      <c r="L183" s="26" t="str">
        <f t="shared" si="8"/>
        <v/>
      </c>
    </row>
    <row r="184" spans="1:12">
      <c r="A184" s="22" t="str">
        <f t="shared" si="6"/>
        <v/>
      </c>
      <c r="B184" s="37" t="str">
        <f>IFERROR(INDEX(_自动清单!$CW$4:$CW$203,ROW()-3),"")</f>
        <v/>
      </c>
      <c r="C184" s="25" t="str">
        <f>IF(OR($B184="",基础资料!$B$4=""),"",SUMIFS(周转筐出入库明细!$H$4:$H$2004,周转筐出入库明细!$C$4:$C$2004,$B184,周转筐出入库明细!$D$4:$D$2004,基础资料!$B$4,周转筐出入库明细!$F$4:$F$2004,"采购入库",周转筐出入库明细!$B$4:$B$2004,"&gt;="&amp;$P$1,周转筐出入库明细!$B$4:$B$2004,"&lt;="&amp;$P$2))</f>
        <v/>
      </c>
      <c r="D184" s="25" t="str">
        <f>IF(OR($B184="",基础资料!$B$5=""),"",SUMIFS(周转筐出入库明细!$H$4:$H$2004,周转筐出入库明细!$C$4:$C$2004,$B184,周转筐出入库明细!$D$4:$D$2004,基础资料!$B$5,周转筐出入库明细!$F$4:$F$2004,"采购入库",周转筐出入库明细!$B$4:$B$2004,"&gt;="&amp;$P$1,周转筐出入库明细!$B$4:$B$2004,"&lt;="&amp;$P$2))</f>
        <v/>
      </c>
      <c r="E184" s="25" t="str">
        <f>IF(OR($B184="",基础资料!$B$6=""),"",SUMIFS(周转筐出入库明细!$H$4:$H$2004,周转筐出入库明细!$C$4:$C$2004,$B184,周转筐出入库明细!$D$4:$D$2004,基础资料!$B$6,周转筐出入库明细!$F$4:$F$2004,"采购入库",周转筐出入库明细!$B$4:$B$2004,"&gt;="&amp;$P$1,周转筐出入库明细!$B$4:$B$2004,"&lt;="&amp;$P$2))</f>
        <v/>
      </c>
      <c r="F184" s="25" t="str">
        <f>IF(OR($B184="",基础资料!$B$7=""),"",SUMIFS(周转筐出入库明细!$H$4:$H$2004,周转筐出入库明细!$C$4:$C$2004,$B184,周转筐出入库明细!$D$4:$D$2004,基础资料!$B$7,周转筐出入库明细!$F$4:$F$2004,"采购入库",周转筐出入库明细!$B$4:$B$2004,"&gt;="&amp;$P$1,周转筐出入库明细!$B$4:$B$2004,"&lt;="&amp;$P$2))</f>
        <v/>
      </c>
      <c r="G184" s="25" t="str">
        <f>IF(OR($B184="",基础资料!$B$8=""),"",SUMIFS(周转筐出入库明细!$H$4:$H$2004,周转筐出入库明细!$C$4:$C$2004,$B184,周转筐出入库明细!$D$4:$D$2004,基础资料!$B$8,周转筐出入库明细!$F$4:$F$2004,"采购入库",周转筐出入库明细!$B$4:$B$2004,"&gt;="&amp;$P$1,周转筐出入库明细!$B$4:$B$2004,"&lt;="&amp;$P$2))</f>
        <v/>
      </c>
      <c r="H184" s="25" t="str">
        <f>IF($B184="","",SUMIFS(周转筐出入库明细!$H$4:$H$2004,周转筐出入库明细!$C$4:$C$2004,$B184,周转筐出入库明细!$F$4:$F$2004,"采购入库",周转筐出入库明细!$B$4:$B$2004,"&gt;="&amp;$P$1,周转筐出入库明细!$B$4:$B$2004,"&lt;="&amp;$P$2)-SUM($C184:$G184))</f>
        <v/>
      </c>
      <c r="I184" s="25" t="str">
        <f t="shared" si="7"/>
        <v/>
      </c>
      <c r="J184" s="26" t="str">
        <f>IF($B184="","",ROUND(SUMIFS(周转筐出入库明细!$P$4:$P$2004,周转筐出入库明细!$C$4:$C$2004,$B184,周转筐出入库明细!$F$4:$F$2004,"采购入库",周转筐出入库明细!$B$4:$B$2004,"&gt;="&amp;$P$1,周转筐出入库明细!$B$4:$B$2004,"&lt;="&amp;$P$2),2))</f>
        <v/>
      </c>
      <c r="K184" s="26" t="str">
        <f>IF($B184="","",ROUND(SUMIFS(周转筐出入库明细!$P$4:$P$2004,周转筐出入库明细!$C$4:$C$2004,$B184,周转筐出入库明细!$F$4:$F$2004,"采购入库",周转筐出入库明细!$Q$4:$Q$2004,"已付款",周转筐出入库明细!$B$4:$B$2004,"&gt;="&amp;$P$1,周转筐出入库明细!$B$4:$B$2004,"&lt;="&amp;$P$2),2))</f>
        <v/>
      </c>
      <c r="L184" s="26" t="str">
        <f t="shared" si="8"/>
        <v/>
      </c>
    </row>
    <row r="185" spans="1:12">
      <c r="A185" s="22" t="str">
        <f t="shared" si="6"/>
        <v/>
      </c>
      <c r="B185" s="37" t="str">
        <f>IFERROR(INDEX(_自动清单!$CW$4:$CW$203,ROW()-3),"")</f>
        <v/>
      </c>
      <c r="C185" s="25" t="str">
        <f>IF(OR($B185="",基础资料!$B$4=""),"",SUMIFS(周转筐出入库明细!$H$4:$H$2004,周转筐出入库明细!$C$4:$C$2004,$B185,周转筐出入库明细!$D$4:$D$2004,基础资料!$B$4,周转筐出入库明细!$F$4:$F$2004,"采购入库",周转筐出入库明细!$B$4:$B$2004,"&gt;="&amp;$P$1,周转筐出入库明细!$B$4:$B$2004,"&lt;="&amp;$P$2))</f>
        <v/>
      </c>
      <c r="D185" s="25" t="str">
        <f>IF(OR($B185="",基础资料!$B$5=""),"",SUMIFS(周转筐出入库明细!$H$4:$H$2004,周转筐出入库明细!$C$4:$C$2004,$B185,周转筐出入库明细!$D$4:$D$2004,基础资料!$B$5,周转筐出入库明细!$F$4:$F$2004,"采购入库",周转筐出入库明细!$B$4:$B$2004,"&gt;="&amp;$P$1,周转筐出入库明细!$B$4:$B$2004,"&lt;="&amp;$P$2))</f>
        <v/>
      </c>
      <c r="E185" s="25" t="str">
        <f>IF(OR($B185="",基础资料!$B$6=""),"",SUMIFS(周转筐出入库明细!$H$4:$H$2004,周转筐出入库明细!$C$4:$C$2004,$B185,周转筐出入库明细!$D$4:$D$2004,基础资料!$B$6,周转筐出入库明细!$F$4:$F$2004,"采购入库",周转筐出入库明细!$B$4:$B$2004,"&gt;="&amp;$P$1,周转筐出入库明细!$B$4:$B$2004,"&lt;="&amp;$P$2))</f>
        <v/>
      </c>
      <c r="F185" s="25" t="str">
        <f>IF(OR($B185="",基础资料!$B$7=""),"",SUMIFS(周转筐出入库明细!$H$4:$H$2004,周转筐出入库明细!$C$4:$C$2004,$B185,周转筐出入库明细!$D$4:$D$2004,基础资料!$B$7,周转筐出入库明细!$F$4:$F$2004,"采购入库",周转筐出入库明细!$B$4:$B$2004,"&gt;="&amp;$P$1,周转筐出入库明细!$B$4:$B$2004,"&lt;="&amp;$P$2))</f>
        <v/>
      </c>
      <c r="G185" s="25" t="str">
        <f>IF(OR($B185="",基础资料!$B$8=""),"",SUMIFS(周转筐出入库明细!$H$4:$H$2004,周转筐出入库明细!$C$4:$C$2004,$B185,周转筐出入库明细!$D$4:$D$2004,基础资料!$B$8,周转筐出入库明细!$F$4:$F$2004,"采购入库",周转筐出入库明细!$B$4:$B$2004,"&gt;="&amp;$P$1,周转筐出入库明细!$B$4:$B$2004,"&lt;="&amp;$P$2))</f>
        <v/>
      </c>
      <c r="H185" s="25" t="str">
        <f>IF($B185="","",SUMIFS(周转筐出入库明细!$H$4:$H$2004,周转筐出入库明细!$C$4:$C$2004,$B185,周转筐出入库明细!$F$4:$F$2004,"采购入库",周转筐出入库明细!$B$4:$B$2004,"&gt;="&amp;$P$1,周转筐出入库明细!$B$4:$B$2004,"&lt;="&amp;$P$2)-SUM($C185:$G185))</f>
        <v/>
      </c>
      <c r="I185" s="25" t="str">
        <f t="shared" si="7"/>
        <v/>
      </c>
      <c r="J185" s="26" t="str">
        <f>IF($B185="","",ROUND(SUMIFS(周转筐出入库明细!$P$4:$P$2004,周转筐出入库明细!$C$4:$C$2004,$B185,周转筐出入库明细!$F$4:$F$2004,"采购入库",周转筐出入库明细!$B$4:$B$2004,"&gt;="&amp;$P$1,周转筐出入库明细!$B$4:$B$2004,"&lt;="&amp;$P$2),2))</f>
        <v/>
      </c>
      <c r="K185" s="26" t="str">
        <f>IF($B185="","",ROUND(SUMIFS(周转筐出入库明细!$P$4:$P$2004,周转筐出入库明细!$C$4:$C$2004,$B185,周转筐出入库明细!$F$4:$F$2004,"采购入库",周转筐出入库明细!$Q$4:$Q$2004,"已付款",周转筐出入库明细!$B$4:$B$2004,"&gt;="&amp;$P$1,周转筐出入库明细!$B$4:$B$2004,"&lt;="&amp;$P$2),2))</f>
        <v/>
      </c>
      <c r="L185" s="26" t="str">
        <f t="shared" si="8"/>
        <v/>
      </c>
    </row>
    <row r="186" spans="1:12">
      <c r="A186" s="22" t="str">
        <f t="shared" si="6"/>
        <v/>
      </c>
      <c r="B186" s="37" t="str">
        <f>IFERROR(INDEX(_自动清单!$CW$4:$CW$203,ROW()-3),"")</f>
        <v/>
      </c>
      <c r="C186" s="25" t="str">
        <f>IF(OR($B186="",基础资料!$B$4=""),"",SUMIFS(周转筐出入库明细!$H$4:$H$2004,周转筐出入库明细!$C$4:$C$2004,$B186,周转筐出入库明细!$D$4:$D$2004,基础资料!$B$4,周转筐出入库明细!$F$4:$F$2004,"采购入库",周转筐出入库明细!$B$4:$B$2004,"&gt;="&amp;$P$1,周转筐出入库明细!$B$4:$B$2004,"&lt;="&amp;$P$2))</f>
        <v/>
      </c>
      <c r="D186" s="25" t="str">
        <f>IF(OR($B186="",基础资料!$B$5=""),"",SUMIFS(周转筐出入库明细!$H$4:$H$2004,周转筐出入库明细!$C$4:$C$2004,$B186,周转筐出入库明细!$D$4:$D$2004,基础资料!$B$5,周转筐出入库明细!$F$4:$F$2004,"采购入库",周转筐出入库明细!$B$4:$B$2004,"&gt;="&amp;$P$1,周转筐出入库明细!$B$4:$B$2004,"&lt;="&amp;$P$2))</f>
        <v/>
      </c>
      <c r="E186" s="25" t="str">
        <f>IF(OR($B186="",基础资料!$B$6=""),"",SUMIFS(周转筐出入库明细!$H$4:$H$2004,周转筐出入库明细!$C$4:$C$2004,$B186,周转筐出入库明细!$D$4:$D$2004,基础资料!$B$6,周转筐出入库明细!$F$4:$F$2004,"采购入库",周转筐出入库明细!$B$4:$B$2004,"&gt;="&amp;$P$1,周转筐出入库明细!$B$4:$B$2004,"&lt;="&amp;$P$2))</f>
        <v/>
      </c>
      <c r="F186" s="25" t="str">
        <f>IF(OR($B186="",基础资料!$B$7=""),"",SUMIFS(周转筐出入库明细!$H$4:$H$2004,周转筐出入库明细!$C$4:$C$2004,$B186,周转筐出入库明细!$D$4:$D$2004,基础资料!$B$7,周转筐出入库明细!$F$4:$F$2004,"采购入库",周转筐出入库明细!$B$4:$B$2004,"&gt;="&amp;$P$1,周转筐出入库明细!$B$4:$B$2004,"&lt;="&amp;$P$2))</f>
        <v/>
      </c>
      <c r="G186" s="25" t="str">
        <f>IF(OR($B186="",基础资料!$B$8=""),"",SUMIFS(周转筐出入库明细!$H$4:$H$2004,周转筐出入库明细!$C$4:$C$2004,$B186,周转筐出入库明细!$D$4:$D$2004,基础资料!$B$8,周转筐出入库明细!$F$4:$F$2004,"采购入库",周转筐出入库明细!$B$4:$B$2004,"&gt;="&amp;$P$1,周转筐出入库明细!$B$4:$B$2004,"&lt;="&amp;$P$2))</f>
        <v/>
      </c>
      <c r="H186" s="25" t="str">
        <f>IF($B186="","",SUMIFS(周转筐出入库明细!$H$4:$H$2004,周转筐出入库明细!$C$4:$C$2004,$B186,周转筐出入库明细!$F$4:$F$2004,"采购入库",周转筐出入库明细!$B$4:$B$2004,"&gt;="&amp;$P$1,周转筐出入库明细!$B$4:$B$2004,"&lt;="&amp;$P$2)-SUM($C186:$G186))</f>
        <v/>
      </c>
      <c r="I186" s="25" t="str">
        <f t="shared" si="7"/>
        <v/>
      </c>
      <c r="J186" s="26" t="str">
        <f>IF($B186="","",ROUND(SUMIFS(周转筐出入库明细!$P$4:$P$2004,周转筐出入库明细!$C$4:$C$2004,$B186,周转筐出入库明细!$F$4:$F$2004,"采购入库",周转筐出入库明细!$B$4:$B$2004,"&gt;="&amp;$P$1,周转筐出入库明细!$B$4:$B$2004,"&lt;="&amp;$P$2),2))</f>
        <v/>
      </c>
      <c r="K186" s="26" t="str">
        <f>IF($B186="","",ROUND(SUMIFS(周转筐出入库明细!$P$4:$P$2004,周转筐出入库明细!$C$4:$C$2004,$B186,周转筐出入库明细!$F$4:$F$2004,"采购入库",周转筐出入库明细!$Q$4:$Q$2004,"已付款",周转筐出入库明细!$B$4:$B$2004,"&gt;="&amp;$P$1,周转筐出入库明细!$B$4:$B$2004,"&lt;="&amp;$P$2),2))</f>
        <v/>
      </c>
      <c r="L186" s="26" t="str">
        <f t="shared" si="8"/>
        <v/>
      </c>
    </row>
    <row r="187" spans="1:12">
      <c r="A187" s="22" t="str">
        <f t="shared" si="6"/>
        <v/>
      </c>
      <c r="B187" s="37" t="str">
        <f>IFERROR(INDEX(_自动清单!$CW$4:$CW$203,ROW()-3),"")</f>
        <v/>
      </c>
      <c r="C187" s="25" t="str">
        <f>IF(OR($B187="",基础资料!$B$4=""),"",SUMIFS(周转筐出入库明细!$H$4:$H$2004,周转筐出入库明细!$C$4:$C$2004,$B187,周转筐出入库明细!$D$4:$D$2004,基础资料!$B$4,周转筐出入库明细!$F$4:$F$2004,"采购入库",周转筐出入库明细!$B$4:$B$2004,"&gt;="&amp;$P$1,周转筐出入库明细!$B$4:$B$2004,"&lt;="&amp;$P$2))</f>
        <v/>
      </c>
      <c r="D187" s="25" t="str">
        <f>IF(OR($B187="",基础资料!$B$5=""),"",SUMIFS(周转筐出入库明细!$H$4:$H$2004,周转筐出入库明细!$C$4:$C$2004,$B187,周转筐出入库明细!$D$4:$D$2004,基础资料!$B$5,周转筐出入库明细!$F$4:$F$2004,"采购入库",周转筐出入库明细!$B$4:$B$2004,"&gt;="&amp;$P$1,周转筐出入库明细!$B$4:$B$2004,"&lt;="&amp;$P$2))</f>
        <v/>
      </c>
      <c r="E187" s="25" t="str">
        <f>IF(OR($B187="",基础资料!$B$6=""),"",SUMIFS(周转筐出入库明细!$H$4:$H$2004,周转筐出入库明细!$C$4:$C$2004,$B187,周转筐出入库明细!$D$4:$D$2004,基础资料!$B$6,周转筐出入库明细!$F$4:$F$2004,"采购入库",周转筐出入库明细!$B$4:$B$2004,"&gt;="&amp;$P$1,周转筐出入库明细!$B$4:$B$2004,"&lt;="&amp;$P$2))</f>
        <v/>
      </c>
      <c r="F187" s="25" t="str">
        <f>IF(OR($B187="",基础资料!$B$7=""),"",SUMIFS(周转筐出入库明细!$H$4:$H$2004,周转筐出入库明细!$C$4:$C$2004,$B187,周转筐出入库明细!$D$4:$D$2004,基础资料!$B$7,周转筐出入库明细!$F$4:$F$2004,"采购入库",周转筐出入库明细!$B$4:$B$2004,"&gt;="&amp;$P$1,周转筐出入库明细!$B$4:$B$2004,"&lt;="&amp;$P$2))</f>
        <v/>
      </c>
      <c r="G187" s="25" t="str">
        <f>IF(OR($B187="",基础资料!$B$8=""),"",SUMIFS(周转筐出入库明细!$H$4:$H$2004,周转筐出入库明细!$C$4:$C$2004,$B187,周转筐出入库明细!$D$4:$D$2004,基础资料!$B$8,周转筐出入库明细!$F$4:$F$2004,"采购入库",周转筐出入库明细!$B$4:$B$2004,"&gt;="&amp;$P$1,周转筐出入库明细!$B$4:$B$2004,"&lt;="&amp;$P$2))</f>
        <v/>
      </c>
      <c r="H187" s="25" t="str">
        <f>IF($B187="","",SUMIFS(周转筐出入库明细!$H$4:$H$2004,周转筐出入库明细!$C$4:$C$2004,$B187,周转筐出入库明细!$F$4:$F$2004,"采购入库",周转筐出入库明细!$B$4:$B$2004,"&gt;="&amp;$P$1,周转筐出入库明细!$B$4:$B$2004,"&lt;="&amp;$P$2)-SUM($C187:$G187))</f>
        <v/>
      </c>
      <c r="I187" s="25" t="str">
        <f t="shared" si="7"/>
        <v/>
      </c>
      <c r="J187" s="26" t="str">
        <f>IF($B187="","",ROUND(SUMIFS(周转筐出入库明细!$P$4:$P$2004,周转筐出入库明细!$C$4:$C$2004,$B187,周转筐出入库明细!$F$4:$F$2004,"采购入库",周转筐出入库明细!$B$4:$B$2004,"&gt;="&amp;$P$1,周转筐出入库明细!$B$4:$B$2004,"&lt;="&amp;$P$2),2))</f>
        <v/>
      </c>
      <c r="K187" s="26" t="str">
        <f>IF($B187="","",ROUND(SUMIFS(周转筐出入库明细!$P$4:$P$2004,周转筐出入库明细!$C$4:$C$2004,$B187,周转筐出入库明细!$F$4:$F$2004,"采购入库",周转筐出入库明细!$Q$4:$Q$2004,"已付款",周转筐出入库明细!$B$4:$B$2004,"&gt;="&amp;$P$1,周转筐出入库明细!$B$4:$B$2004,"&lt;="&amp;$P$2),2))</f>
        <v/>
      </c>
      <c r="L187" s="26" t="str">
        <f t="shared" si="8"/>
        <v/>
      </c>
    </row>
    <row r="188" spans="1:12">
      <c r="A188" s="22" t="str">
        <f t="shared" si="6"/>
        <v/>
      </c>
      <c r="B188" s="37" t="str">
        <f>IFERROR(INDEX(_自动清单!$CW$4:$CW$203,ROW()-3),"")</f>
        <v/>
      </c>
      <c r="C188" s="25" t="str">
        <f>IF(OR($B188="",基础资料!$B$4=""),"",SUMIFS(周转筐出入库明细!$H$4:$H$2004,周转筐出入库明细!$C$4:$C$2004,$B188,周转筐出入库明细!$D$4:$D$2004,基础资料!$B$4,周转筐出入库明细!$F$4:$F$2004,"采购入库",周转筐出入库明细!$B$4:$B$2004,"&gt;="&amp;$P$1,周转筐出入库明细!$B$4:$B$2004,"&lt;="&amp;$P$2))</f>
        <v/>
      </c>
      <c r="D188" s="25" t="str">
        <f>IF(OR($B188="",基础资料!$B$5=""),"",SUMIFS(周转筐出入库明细!$H$4:$H$2004,周转筐出入库明细!$C$4:$C$2004,$B188,周转筐出入库明细!$D$4:$D$2004,基础资料!$B$5,周转筐出入库明细!$F$4:$F$2004,"采购入库",周转筐出入库明细!$B$4:$B$2004,"&gt;="&amp;$P$1,周转筐出入库明细!$B$4:$B$2004,"&lt;="&amp;$P$2))</f>
        <v/>
      </c>
      <c r="E188" s="25" t="str">
        <f>IF(OR($B188="",基础资料!$B$6=""),"",SUMIFS(周转筐出入库明细!$H$4:$H$2004,周转筐出入库明细!$C$4:$C$2004,$B188,周转筐出入库明细!$D$4:$D$2004,基础资料!$B$6,周转筐出入库明细!$F$4:$F$2004,"采购入库",周转筐出入库明细!$B$4:$B$2004,"&gt;="&amp;$P$1,周转筐出入库明细!$B$4:$B$2004,"&lt;="&amp;$P$2))</f>
        <v/>
      </c>
      <c r="F188" s="25" t="str">
        <f>IF(OR($B188="",基础资料!$B$7=""),"",SUMIFS(周转筐出入库明细!$H$4:$H$2004,周转筐出入库明细!$C$4:$C$2004,$B188,周转筐出入库明细!$D$4:$D$2004,基础资料!$B$7,周转筐出入库明细!$F$4:$F$2004,"采购入库",周转筐出入库明细!$B$4:$B$2004,"&gt;="&amp;$P$1,周转筐出入库明细!$B$4:$B$2004,"&lt;="&amp;$P$2))</f>
        <v/>
      </c>
      <c r="G188" s="25" t="str">
        <f>IF(OR($B188="",基础资料!$B$8=""),"",SUMIFS(周转筐出入库明细!$H$4:$H$2004,周转筐出入库明细!$C$4:$C$2004,$B188,周转筐出入库明细!$D$4:$D$2004,基础资料!$B$8,周转筐出入库明细!$F$4:$F$2004,"采购入库",周转筐出入库明细!$B$4:$B$2004,"&gt;="&amp;$P$1,周转筐出入库明细!$B$4:$B$2004,"&lt;="&amp;$P$2))</f>
        <v/>
      </c>
      <c r="H188" s="25" t="str">
        <f>IF($B188="","",SUMIFS(周转筐出入库明细!$H$4:$H$2004,周转筐出入库明细!$C$4:$C$2004,$B188,周转筐出入库明细!$F$4:$F$2004,"采购入库",周转筐出入库明细!$B$4:$B$2004,"&gt;="&amp;$P$1,周转筐出入库明细!$B$4:$B$2004,"&lt;="&amp;$P$2)-SUM($C188:$G188))</f>
        <v/>
      </c>
      <c r="I188" s="25" t="str">
        <f t="shared" si="7"/>
        <v/>
      </c>
      <c r="J188" s="26" t="str">
        <f>IF($B188="","",ROUND(SUMIFS(周转筐出入库明细!$P$4:$P$2004,周转筐出入库明细!$C$4:$C$2004,$B188,周转筐出入库明细!$F$4:$F$2004,"采购入库",周转筐出入库明细!$B$4:$B$2004,"&gt;="&amp;$P$1,周转筐出入库明细!$B$4:$B$2004,"&lt;="&amp;$P$2),2))</f>
        <v/>
      </c>
      <c r="K188" s="26" t="str">
        <f>IF($B188="","",ROUND(SUMIFS(周转筐出入库明细!$P$4:$P$2004,周转筐出入库明细!$C$4:$C$2004,$B188,周转筐出入库明细!$F$4:$F$2004,"采购入库",周转筐出入库明细!$Q$4:$Q$2004,"已付款",周转筐出入库明细!$B$4:$B$2004,"&gt;="&amp;$P$1,周转筐出入库明细!$B$4:$B$2004,"&lt;="&amp;$P$2),2))</f>
        <v/>
      </c>
      <c r="L188" s="26" t="str">
        <f t="shared" si="8"/>
        <v/>
      </c>
    </row>
    <row r="189" spans="1:12">
      <c r="A189" s="22" t="str">
        <f t="shared" si="6"/>
        <v/>
      </c>
      <c r="B189" s="37" t="str">
        <f>IFERROR(INDEX(_自动清单!$CW$4:$CW$203,ROW()-3),"")</f>
        <v/>
      </c>
      <c r="C189" s="25" t="str">
        <f>IF(OR($B189="",基础资料!$B$4=""),"",SUMIFS(周转筐出入库明细!$H$4:$H$2004,周转筐出入库明细!$C$4:$C$2004,$B189,周转筐出入库明细!$D$4:$D$2004,基础资料!$B$4,周转筐出入库明细!$F$4:$F$2004,"采购入库",周转筐出入库明细!$B$4:$B$2004,"&gt;="&amp;$P$1,周转筐出入库明细!$B$4:$B$2004,"&lt;="&amp;$P$2))</f>
        <v/>
      </c>
      <c r="D189" s="25" t="str">
        <f>IF(OR($B189="",基础资料!$B$5=""),"",SUMIFS(周转筐出入库明细!$H$4:$H$2004,周转筐出入库明细!$C$4:$C$2004,$B189,周转筐出入库明细!$D$4:$D$2004,基础资料!$B$5,周转筐出入库明细!$F$4:$F$2004,"采购入库",周转筐出入库明细!$B$4:$B$2004,"&gt;="&amp;$P$1,周转筐出入库明细!$B$4:$B$2004,"&lt;="&amp;$P$2))</f>
        <v/>
      </c>
      <c r="E189" s="25" t="str">
        <f>IF(OR($B189="",基础资料!$B$6=""),"",SUMIFS(周转筐出入库明细!$H$4:$H$2004,周转筐出入库明细!$C$4:$C$2004,$B189,周转筐出入库明细!$D$4:$D$2004,基础资料!$B$6,周转筐出入库明细!$F$4:$F$2004,"采购入库",周转筐出入库明细!$B$4:$B$2004,"&gt;="&amp;$P$1,周转筐出入库明细!$B$4:$B$2004,"&lt;="&amp;$P$2))</f>
        <v/>
      </c>
      <c r="F189" s="25" t="str">
        <f>IF(OR($B189="",基础资料!$B$7=""),"",SUMIFS(周转筐出入库明细!$H$4:$H$2004,周转筐出入库明细!$C$4:$C$2004,$B189,周转筐出入库明细!$D$4:$D$2004,基础资料!$B$7,周转筐出入库明细!$F$4:$F$2004,"采购入库",周转筐出入库明细!$B$4:$B$2004,"&gt;="&amp;$P$1,周转筐出入库明细!$B$4:$B$2004,"&lt;="&amp;$P$2))</f>
        <v/>
      </c>
      <c r="G189" s="25" t="str">
        <f>IF(OR($B189="",基础资料!$B$8=""),"",SUMIFS(周转筐出入库明细!$H$4:$H$2004,周转筐出入库明细!$C$4:$C$2004,$B189,周转筐出入库明细!$D$4:$D$2004,基础资料!$B$8,周转筐出入库明细!$F$4:$F$2004,"采购入库",周转筐出入库明细!$B$4:$B$2004,"&gt;="&amp;$P$1,周转筐出入库明细!$B$4:$B$2004,"&lt;="&amp;$P$2))</f>
        <v/>
      </c>
      <c r="H189" s="25" t="str">
        <f>IF($B189="","",SUMIFS(周转筐出入库明细!$H$4:$H$2004,周转筐出入库明细!$C$4:$C$2004,$B189,周转筐出入库明细!$F$4:$F$2004,"采购入库",周转筐出入库明细!$B$4:$B$2004,"&gt;="&amp;$P$1,周转筐出入库明细!$B$4:$B$2004,"&lt;="&amp;$P$2)-SUM($C189:$G189))</f>
        <v/>
      </c>
      <c r="I189" s="25" t="str">
        <f t="shared" si="7"/>
        <v/>
      </c>
      <c r="J189" s="26" t="str">
        <f>IF($B189="","",ROUND(SUMIFS(周转筐出入库明细!$P$4:$P$2004,周转筐出入库明细!$C$4:$C$2004,$B189,周转筐出入库明细!$F$4:$F$2004,"采购入库",周转筐出入库明细!$B$4:$B$2004,"&gt;="&amp;$P$1,周转筐出入库明细!$B$4:$B$2004,"&lt;="&amp;$P$2),2))</f>
        <v/>
      </c>
      <c r="K189" s="26" t="str">
        <f>IF($B189="","",ROUND(SUMIFS(周转筐出入库明细!$P$4:$P$2004,周转筐出入库明细!$C$4:$C$2004,$B189,周转筐出入库明细!$F$4:$F$2004,"采购入库",周转筐出入库明细!$Q$4:$Q$2004,"已付款",周转筐出入库明细!$B$4:$B$2004,"&gt;="&amp;$P$1,周转筐出入库明细!$B$4:$B$2004,"&lt;="&amp;$P$2),2))</f>
        <v/>
      </c>
      <c r="L189" s="26" t="str">
        <f t="shared" si="8"/>
        <v/>
      </c>
    </row>
    <row r="190" spans="1:12">
      <c r="A190" s="22" t="str">
        <f t="shared" si="6"/>
        <v/>
      </c>
      <c r="B190" s="37" t="str">
        <f>IFERROR(INDEX(_自动清单!$CW$4:$CW$203,ROW()-3),"")</f>
        <v/>
      </c>
      <c r="C190" s="25" t="str">
        <f>IF(OR($B190="",基础资料!$B$4=""),"",SUMIFS(周转筐出入库明细!$H$4:$H$2004,周转筐出入库明细!$C$4:$C$2004,$B190,周转筐出入库明细!$D$4:$D$2004,基础资料!$B$4,周转筐出入库明细!$F$4:$F$2004,"采购入库",周转筐出入库明细!$B$4:$B$2004,"&gt;="&amp;$P$1,周转筐出入库明细!$B$4:$B$2004,"&lt;="&amp;$P$2))</f>
        <v/>
      </c>
      <c r="D190" s="25" t="str">
        <f>IF(OR($B190="",基础资料!$B$5=""),"",SUMIFS(周转筐出入库明细!$H$4:$H$2004,周转筐出入库明细!$C$4:$C$2004,$B190,周转筐出入库明细!$D$4:$D$2004,基础资料!$B$5,周转筐出入库明细!$F$4:$F$2004,"采购入库",周转筐出入库明细!$B$4:$B$2004,"&gt;="&amp;$P$1,周转筐出入库明细!$B$4:$B$2004,"&lt;="&amp;$P$2))</f>
        <v/>
      </c>
      <c r="E190" s="25" t="str">
        <f>IF(OR($B190="",基础资料!$B$6=""),"",SUMIFS(周转筐出入库明细!$H$4:$H$2004,周转筐出入库明细!$C$4:$C$2004,$B190,周转筐出入库明细!$D$4:$D$2004,基础资料!$B$6,周转筐出入库明细!$F$4:$F$2004,"采购入库",周转筐出入库明细!$B$4:$B$2004,"&gt;="&amp;$P$1,周转筐出入库明细!$B$4:$B$2004,"&lt;="&amp;$P$2))</f>
        <v/>
      </c>
      <c r="F190" s="25" t="str">
        <f>IF(OR($B190="",基础资料!$B$7=""),"",SUMIFS(周转筐出入库明细!$H$4:$H$2004,周转筐出入库明细!$C$4:$C$2004,$B190,周转筐出入库明细!$D$4:$D$2004,基础资料!$B$7,周转筐出入库明细!$F$4:$F$2004,"采购入库",周转筐出入库明细!$B$4:$B$2004,"&gt;="&amp;$P$1,周转筐出入库明细!$B$4:$B$2004,"&lt;="&amp;$P$2))</f>
        <v/>
      </c>
      <c r="G190" s="25" t="str">
        <f>IF(OR($B190="",基础资料!$B$8=""),"",SUMIFS(周转筐出入库明细!$H$4:$H$2004,周转筐出入库明细!$C$4:$C$2004,$B190,周转筐出入库明细!$D$4:$D$2004,基础资料!$B$8,周转筐出入库明细!$F$4:$F$2004,"采购入库",周转筐出入库明细!$B$4:$B$2004,"&gt;="&amp;$P$1,周转筐出入库明细!$B$4:$B$2004,"&lt;="&amp;$P$2))</f>
        <v/>
      </c>
      <c r="H190" s="25" t="str">
        <f>IF($B190="","",SUMIFS(周转筐出入库明细!$H$4:$H$2004,周转筐出入库明细!$C$4:$C$2004,$B190,周转筐出入库明细!$F$4:$F$2004,"采购入库",周转筐出入库明细!$B$4:$B$2004,"&gt;="&amp;$P$1,周转筐出入库明细!$B$4:$B$2004,"&lt;="&amp;$P$2)-SUM($C190:$G190))</f>
        <v/>
      </c>
      <c r="I190" s="25" t="str">
        <f t="shared" si="7"/>
        <v/>
      </c>
      <c r="J190" s="26" t="str">
        <f>IF($B190="","",ROUND(SUMIFS(周转筐出入库明细!$P$4:$P$2004,周转筐出入库明细!$C$4:$C$2004,$B190,周转筐出入库明细!$F$4:$F$2004,"采购入库",周转筐出入库明细!$B$4:$B$2004,"&gt;="&amp;$P$1,周转筐出入库明细!$B$4:$B$2004,"&lt;="&amp;$P$2),2))</f>
        <v/>
      </c>
      <c r="K190" s="26" t="str">
        <f>IF($B190="","",ROUND(SUMIFS(周转筐出入库明细!$P$4:$P$2004,周转筐出入库明细!$C$4:$C$2004,$B190,周转筐出入库明细!$F$4:$F$2004,"采购入库",周转筐出入库明细!$Q$4:$Q$2004,"已付款",周转筐出入库明细!$B$4:$B$2004,"&gt;="&amp;$P$1,周转筐出入库明细!$B$4:$B$2004,"&lt;="&amp;$P$2),2))</f>
        <v/>
      </c>
      <c r="L190" s="26" t="str">
        <f t="shared" si="8"/>
        <v/>
      </c>
    </row>
    <row r="191" spans="1:12">
      <c r="A191" s="22" t="str">
        <f t="shared" si="6"/>
        <v/>
      </c>
      <c r="B191" s="37" t="str">
        <f>IFERROR(INDEX(_自动清单!$CW$4:$CW$203,ROW()-3),"")</f>
        <v/>
      </c>
      <c r="C191" s="25" t="str">
        <f>IF(OR($B191="",基础资料!$B$4=""),"",SUMIFS(周转筐出入库明细!$H$4:$H$2004,周转筐出入库明细!$C$4:$C$2004,$B191,周转筐出入库明细!$D$4:$D$2004,基础资料!$B$4,周转筐出入库明细!$F$4:$F$2004,"采购入库",周转筐出入库明细!$B$4:$B$2004,"&gt;="&amp;$P$1,周转筐出入库明细!$B$4:$B$2004,"&lt;="&amp;$P$2))</f>
        <v/>
      </c>
      <c r="D191" s="25" t="str">
        <f>IF(OR($B191="",基础资料!$B$5=""),"",SUMIFS(周转筐出入库明细!$H$4:$H$2004,周转筐出入库明细!$C$4:$C$2004,$B191,周转筐出入库明细!$D$4:$D$2004,基础资料!$B$5,周转筐出入库明细!$F$4:$F$2004,"采购入库",周转筐出入库明细!$B$4:$B$2004,"&gt;="&amp;$P$1,周转筐出入库明细!$B$4:$B$2004,"&lt;="&amp;$P$2))</f>
        <v/>
      </c>
      <c r="E191" s="25" t="str">
        <f>IF(OR($B191="",基础资料!$B$6=""),"",SUMIFS(周转筐出入库明细!$H$4:$H$2004,周转筐出入库明细!$C$4:$C$2004,$B191,周转筐出入库明细!$D$4:$D$2004,基础资料!$B$6,周转筐出入库明细!$F$4:$F$2004,"采购入库",周转筐出入库明细!$B$4:$B$2004,"&gt;="&amp;$P$1,周转筐出入库明细!$B$4:$B$2004,"&lt;="&amp;$P$2))</f>
        <v/>
      </c>
      <c r="F191" s="25" t="str">
        <f>IF(OR($B191="",基础资料!$B$7=""),"",SUMIFS(周转筐出入库明细!$H$4:$H$2004,周转筐出入库明细!$C$4:$C$2004,$B191,周转筐出入库明细!$D$4:$D$2004,基础资料!$B$7,周转筐出入库明细!$F$4:$F$2004,"采购入库",周转筐出入库明细!$B$4:$B$2004,"&gt;="&amp;$P$1,周转筐出入库明细!$B$4:$B$2004,"&lt;="&amp;$P$2))</f>
        <v/>
      </c>
      <c r="G191" s="25" t="str">
        <f>IF(OR($B191="",基础资料!$B$8=""),"",SUMIFS(周转筐出入库明细!$H$4:$H$2004,周转筐出入库明细!$C$4:$C$2004,$B191,周转筐出入库明细!$D$4:$D$2004,基础资料!$B$8,周转筐出入库明细!$F$4:$F$2004,"采购入库",周转筐出入库明细!$B$4:$B$2004,"&gt;="&amp;$P$1,周转筐出入库明细!$B$4:$B$2004,"&lt;="&amp;$P$2))</f>
        <v/>
      </c>
      <c r="H191" s="25" t="str">
        <f>IF($B191="","",SUMIFS(周转筐出入库明细!$H$4:$H$2004,周转筐出入库明细!$C$4:$C$2004,$B191,周转筐出入库明细!$F$4:$F$2004,"采购入库",周转筐出入库明细!$B$4:$B$2004,"&gt;="&amp;$P$1,周转筐出入库明细!$B$4:$B$2004,"&lt;="&amp;$P$2)-SUM($C191:$G191))</f>
        <v/>
      </c>
      <c r="I191" s="25" t="str">
        <f t="shared" si="7"/>
        <v/>
      </c>
      <c r="J191" s="26" t="str">
        <f>IF($B191="","",ROUND(SUMIFS(周转筐出入库明细!$P$4:$P$2004,周转筐出入库明细!$C$4:$C$2004,$B191,周转筐出入库明细!$F$4:$F$2004,"采购入库",周转筐出入库明细!$B$4:$B$2004,"&gt;="&amp;$P$1,周转筐出入库明细!$B$4:$B$2004,"&lt;="&amp;$P$2),2))</f>
        <v/>
      </c>
      <c r="K191" s="26" t="str">
        <f>IF($B191="","",ROUND(SUMIFS(周转筐出入库明细!$P$4:$P$2004,周转筐出入库明细!$C$4:$C$2004,$B191,周转筐出入库明细!$F$4:$F$2004,"采购入库",周转筐出入库明细!$Q$4:$Q$2004,"已付款",周转筐出入库明细!$B$4:$B$2004,"&gt;="&amp;$P$1,周转筐出入库明细!$B$4:$B$2004,"&lt;="&amp;$P$2),2))</f>
        <v/>
      </c>
      <c r="L191" s="26" t="str">
        <f t="shared" si="8"/>
        <v/>
      </c>
    </row>
    <row r="192" spans="1:12">
      <c r="A192" s="22" t="str">
        <f t="shared" si="6"/>
        <v/>
      </c>
      <c r="B192" s="37" t="str">
        <f>IFERROR(INDEX(_自动清单!$CW$4:$CW$203,ROW()-3),"")</f>
        <v/>
      </c>
      <c r="C192" s="25" t="str">
        <f>IF(OR($B192="",基础资料!$B$4=""),"",SUMIFS(周转筐出入库明细!$H$4:$H$2004,周转筐出入库明细!$C$4:$C$2004,$B192,周转筐出入库明细!$D$4:$D$2004,基础资料!$B$4,周转筐出入库明细!$F$4:$F$2004,"采购入库",周转筐出入库明细!$B$4:$B$2004,"&gt;="&amp;$P$1,周转筐出入库明细!$B$4:$B$2004,"&lt;="&amp;$P$2))</f>
        <v/>
      </c>
      <c r="D192" s="25" t="str">
        <f>IF(OR($B192="",基础资料!$B$5=""),"",SUMIFS(周转筐出入库明细!$H$4:$H$2004,周转筐出入库明细!$C$4:$C$2004,$B192,周转筐出入库明细!$D$4:$D$2004,基础资料!$B$5,周转筐出入库明细!$F$4:$F$2004,"采购入库",周转筐出入库明细!$B$4:$B$2004,"&gt;="&amp;$P$1,周转筐出入库明细!$B$4:$B$2004,"&lt;="&amp;$P$2))</f>
        <v/>
      </c>
      <c r="E192" s="25" t="str">
        <f>IF(OR($B192="",基础资料!$B$6=""),"",SUMIFS(周转筐出入库明细!$H$4:$H$2004,周转筐出入库明细!$C$4:$C$2004,$B192,周转筐出入库明细!$D$4:$D$2004,基础资料!$B$6,周转筐出入库明细!$F$4:$F$2004,"采购入库",周转筐出入库明细!$B$4:$B$2004,"&gt;="&amp;$P$1,周转筐出入库明细!$B$4:$B$2004,"&lt;="&amp;$P$2))</f>
        <v/>
      </c>
      <c r="F192" s="25" t="str">
        <f>IF(OR($B192="",基础资料!$B$7=""),"",SUMIFS(周转筐出入库明细!$H$4:$H$2004,周转筐出入库明细!$C$4:$C$2004,$B192,周转筐出入库明细!$D$4:$D$2004,基础资料!$B$7,周转筐出入库明细!$F$4:$F$2004,"采购入库",周转筐出入库明细!$B$4:$B$2004,"&gt;="&amp;$P$1,周转筐出入库明细!$B$4:$B$2004,"&lt;="&amp;$P$2))</f>
        <v/>
      </c>
      <c r="G192" s="25" t="str">
        <f>IF(OR($B192="",基础资料!$B$8=""),"",SUMIFS(周转筐出入库明细!$H$4:$H$2004,周转筐出入库明细!$C$4:$C$2004,$B192,周转筐出入库明细!$D$4:$D$2004,基础资料!$B$8,周转筐出入库明细!$F$4:$F$2004,"采购入库",周转筐出入库明细!$B$4:$B$2004,"&gt;="&amp;$P$1,周转筐出入库明细!$B$4:$B$2004,"&lt;="&amp;$P$2))</f>
        <v/>
      </c>
      <c r="H192" s="25" t="str">
        <f>IF($B192="","",SUMIFS(周转筐出入库明细!$H$4:$H$2004,周转筐出入库明细!$C$4:$C$2004,$B192,周转筐出入库明细!$F$4:$F$2004,"采购入库",周转筐出入库明细!$B$4:$B$2004,"&gt;="&amp;$P$1,周转筐出入库明细!$B$4:$B$2004,"&lt;="&amp;$P$2)-SUM($C192:$G192))</f>
        <v/>
      </c>
      <c r="I192" s="25" t="str">
        <f t="shared" si="7"/>
        <v/>
      </c>
      <c r="J192" s="26" t="str">
        <f>IF($B192="","",ROUND(SUMIFS(周转筐出入库明细!$P$4:$P$2004,周转筐出入库明细!$C$4:$C$2004,$B192,周转筐出入库明细!$F$4:$F$2004,"采购入库",周转筐出入库明细!$B$4:$B$2004,"&gt;="&amp;$P$1,周转筐出入库明细!$B$4:$B$2004,"&lt;="&amp;$P$2),2))</f>
        <v/>
      </c>
      <c r="K192" s="26" t="str">
        <f>IF($B192="","",ROUND(SUMIFS(周转筐出入库明细!$P$4:$P$2004,周转筐出入库明细!$C$4:$C$2004,$B192,周转筐出入库明细!$F$4:$F$2004,"采购入库",周转筐出入库明细!$Q$4:$Q$2004,"已付款",周转筐出入库明细!$B$4:$B$2004,"&gt;="&amp;$P$1,周转筐出入库明细!$B$4:$B$2004,"&lt;="&amp;$P$2),2))</f>
        <v/>
      </c>
      <c r="L192" s="26" t="str">
        <f t="shared" si="8"/>
        <v/>
      </c>
    </row>
    <row r="193" spans="1:12">
      <c r="A193" s="22" t="str">
        <f t="shared" si="6"/>
        <v/>
      </c>
      <c r="B193" s="37" t="str">
        <f>IFERROR(INDEX(_自动清单!$CW$4:$CW$203,ROW()-3),"")</f>
        <v/>
      </c>
      <c r="C193" s="25" t="str">
        <f>IF(OR($B193="",基础资料!$B$4=""),"",SUMIFS(周转筐出入库明细!$H$4:$H$2004,周转筐出入库明细!$C$4:$C$2004,$B193,周转筐出入库明细!$D$4:$D$2004,基础资料!$B$4,周转筐出入库明细!$F$4:$F$2004,"采购入库",周转筐出入库明细!$B$4:$B$2004,"&gt;="&amp;$P$1,周转筐出入库明细!$B$4:$B$2004,"&lt;="&amp;$P$2))</f>
        <v/>
      </c>
      <c r="D193" s="25" t="str">
        <f>IF(OR($B193="",基础资料!$B$5=""),"",SUMIFS(周转筐出入库明细!$H$4:$H$2004,周转筐出入库明细!$C$4:$C$2004,$B193,周转筐出入库明细!$D$4:$D$2004,基础资料!$B$5,周转筐出入库明细!$F$4:$F$2004,"采购入库",周转筐出入库明细!$B$4:$B$2004,"&gt;="&amp;$P$1,周转筐出入库明细!$B$4:$B$2004,"&lt;="&amp;$P$2))</f>
        <v/>
      </c>
      <c r="E193" s="25" t="str">
        <f>IF(OR($B193="",基础资料!$B$6=""),"",SUMIFS(周转筐出入库明细!$H$4:$H$2004,周转筐出入库明细!$C$4:$C$2004,$B193,周转筐出入库明细!$D$4:$D$2004,基础资料!$B$6,周转筐出入库明细!$F$4:$F$2004,"采购入库",周转筐出入库明细!$B$4:$B$2004,"&gt;="&amp;$P$1,周转筐出入库明细!$B$4:$B$2004,"&lt;="&amp;$P$2))</f>
        <v/>
      </c>
      <c r="F193" s="25" t="str">
        <f>IF(OR($B193="",基础资料!$B$7=""),"",SUMIFS(周转筐出入库明细!$H$4:$H$2004,周转筐出入库明细!$C$4:$C$2004,$B193,周转筐出入库明细!$D$4:$D$2004,基础资料!$B$7,周转筐出入库明细!$F$4:$F$2004,"采购入库",周转筐出入库明细!$B$4:$B$2004,"&gt;="&amp;$P$1,周转筐出入库明细!$B$4:$B$2004,"&lt;="&amp;$P$2))</f>
        <v/>
      </c>
      <c r="G193" s="25" t="str">
        <f>IF(OR($B193="",基础资料!$B$8=""),"",SUMIFS(周转筐出入库明细!$H$4:$H$2004,周转筐出入库明细!$C$4:$C$2004,$B193,周转筐出入库明细!$D$4:$D$2004,基础资料!$B$8,周转筐出入库明细!$F$4:$F$2004,"采购入库",周转筐出入库明细!$B$4:$B$2004,"&gt;="&amp;$P$1,周转筐出入库明细!$B$4:$B$2004,"&lt;="&amp;$P$2))</f>
        <v/>
      </c>
      <c r="H193" s="25" t="str">
        <f>IF($B193="","",SUMIFS(周转筐出入库明细!$H$4:$H$2004,周转筐出入库明细!$C$4:$C$2004,$B193,周转筐出入库明细!$F$4:$F$2004,"采购入库",周转筐出入库明细!$B$4:$B$2004,"&gt;="&amp;$P$1,周转筐出入库明细!$B$4:$B$2004,"&lt;="&amp;$P$2)-SUM($C193:$G193))</f>
        <v/>
      </c>
      <c r="I193" s="25" t="str">
        <f t="shared" si="7"/>
        <v/>
      </c>
      <c r="J193" s="26" t="str">
        <f>IF($B193="","",ROUND(SUMIFS(周转筐出入库明细!$P$4:$P$2004,周转筐出入库明细!$C$4:$C$2004,$B193,周转筐出入库明细!$F$4:$F$2004,"采购入库",周转筐出入库明细!$B$4:$B$2004,"&gt;="&amp;$P$1,周转筐出入库明细!$B$4:$B$2004,"&lt;="&amp;$P$2),2))</f>
        <v/>
      </c>
      <c r="K193" s="26" t="str">
        <f>IF($B193="","",ROUND(SUMIFS(周转筐出入库明细!$P$4:$P$2004,周转筐出入库明细!$C$4:$C$2004,$B193,周转筐出入库明细!$F$4:$F$2004,"采购入库",周转筐出入库明细!$Q$4:$Q$2004,"已付款",周转筐出入库明细!$B$4:$B$2004,"&gt;="&amp;$P$1,周转筐出入库明细!$B$4:$B$2004,"&lt;="&amp;$P$2),2))</f>
        <v/>
      </c>
      <c r="L193" s="26" t="str">
        <f t="shared" si="8"/>
        <v/>
      </c>
    </row>
    <row r="194" spans="1:12">
      <c r="A194" s="22" t="str">
        <f t="shared" si="6"/>
        <v/>
      </c>
      <c r="B194" s="37" t="str">
        <f>IFERROR(INDEX(_自动清单!$CW$4:$CW$203,ROW()-3),"")</f>
        <v/>
      </c>
      <c r="C194" s="25" t="str">
        <f>IF(OR($B194="",基础资料!$B$4=""),"",SUMIFS(周转筐出入库明细!$H$4:$H$2004,周转筐出入库明细!$C$4:$C$2004,$B194,周转筐出入库明细!$D$4:$D$2004,基础资料!$B$4,周转筐出入库明细!$F$4:$F$2004,"采购入库",周转筐出入库明细!$B$4:$B$2004,"&gt;="&amp;$P$1,周转筐出入库明细!$B$4:$B$2004,"&lt;="&amp;$P$2))</f>
        <v/>
      </c>
      <c r="D194" s="25" t="str">
        <f>IF(OR($B194="",基础资料!$B$5=""),"",SUMIFS(周转筐出入库明细!$H$4:$H$2004,周转筐出入库明细!$C$4:$C$2004,$B194,周转筐出入库明细!$D$4:$D$2004,基础资料!$B$5,周转筐出入库明细!$F$4:$F$2004,"采购入库",周转筐出入库明细!$B$4:$B$2004,"&gt;="&amp;$P$1,周转筐出入库明细!$B$4:$B$2004,"&lt;="&amp;$P$2))</f>
        <v/>
      </c>
      <c r="E194" s="25" t="str">
        <f>IF(OR($B194="",基础资料!$B$6=""),"",SUMIFS(周转筐出入库明细!$H$4:$H$2004,周转筐出入库明细!$C$4:$C$2004,$B194,周转筐出入库明细!$D$4:$D$2004,基础资料!$B$6,周转筐出入库明细!$F$4:$F$2004,"采购入库",周转筐出入库明细!$B$4:$B$2004,"&gt;="&amp;$P$1,周转筐出入库明细!$B$4:$B$2004,"&lt;="&amp;$P$2))</f>
        <v/>
      </c>
      <c r="F194" s="25" t="str">
        <f>IF(OR($B194="",基础资料!$B$7=""),"",SUMIFS(周转筐出入库明细!$H$4:$H$2004,周转筐出入库明细!$C$4:$C$2004,$B194,周转筐出入库明细!$D$4:$D$2004,基础资料!$B$7,周转筐出入库明细!$F$4:$F$2004,"采购入库",周转筐出入库明细!$B$4:$B$2004,"&gt;="&amp;$P$1,周转筐出入库明细!$B$4:$B$2004,"&lt;="&amp;$P$2))</f>
        <v/>
      </c>
      <c r="G194" s="25" t="str">
        <f>IF(OR($B194="",基础资料!$B$8=""),"",SUMIFS(周转筐出入库明细!$H$4:$H$2004,周转筐出入库明细!$C$4:$C$2004,$B194,周转筐出入库明细!$D$4:$D$2004,基础资料!$B$8,周转筐出入库明细!$F$4:$F$2004,"采购入库",周转筐出入库明细!$B$4:$B$2004,"&gt;="&amp;$P$1,周转筐出入库明细!$B$4:$B$2004,"&lt;="&amp;$P$2))</f>
        <v/>
      </c>
      <c r="H194" s="25" t="str">
        <f>IF($B194="","",SUMIFS(周转筐出入库明细!$H$4:$H$2004,周转筐出入库明细!$C$4:$C$2004,$B194,周转筐出入库明细!$F$4:$F$2004,"采购入库",周转筐出入库明细!$B$4:$B$2004,"&gt;="&amp;$P$1,周转筐出入库明细!$B$4:$B$2004,"&lt;="&amp;$P$2)-SUM($C194:$G194))</f>
        <v/>
      </c>
      <c r="I194" s="25" t="str">
        <f t="shared" si="7"/>
        <v/>
      </c>
      <c r="J194" s="26" t="str">
        <f>IF($B194="","",ROUND(SUMIFS(周转筐出入库明细!$P$4:$P$2004,周转筐出入库明细!$C$4:$C$2004,$B194,周转筐出入库明细!$F$4:$F$2004,"采购入库",周转筐出入库明细!$B$4:$B$2004,"&gt;="&amp;$P$1,周转筐出入库明细!$B$4:$B$2004,"&lt;="&amp;$P$2),2))</f>
        <v/>
      </c>
      <c r="K194" s="26" t="str">
        <f>IF($B194="","",ROUND(SUMIFS(周转筐出入库明细!$P$4:$P$2004,周转筐出入库明细!$C$4:$C$2004,$B194,周转筐出入库明细!$F$4:$F$2004,"采购入库",周转筐出入库明细!$Q$4:$Q$2004,"已付款",周转筐出入库明细!$B$4:$B$2004,"&gt;="&amp;$P$1,周转筐出入库明细!$B$4:$B$2004,"&lt;="&amp;$P$2),2))</f>
        <v/>
      </c>
      <c r="L194" s="26" t="str">
        <f t="shared" si="8"/>
        <v/>
      </c>
    </row>
    <row r="195" spans="1:12">
      <c r="A195" s="22" t="str">
        <f t="shared" si="6"/>
        <v/>
      </c>
      <c r="B195" s="37" t="str">
        <f>IFERROR(INDEX(_自动清单!$CW$4:$CW$203,ROW()-3),"")</f>
        <v/>
      </c>
      <c r="C195" s="25" t="str">
        <f>IF(OR($B195="",基础资料!$B$4=""),"",SUMIFS(周转筐出入库明细!$H$4:$H$2004,周转筐出入库明细!$C$4:$C$2004,$B195,周转筐出入库明细!$D$4:$D$2004,基础资料!$B$4,周转筐出入库明细!$F$4:$F$2004,"采购入库",周转筐出入库明细!$B$4:$B$2004,"&gt;="&amp;$P$1,周转筐出入库明细!$B$4:$B$2004,"&lt;="&amp;$P$2))</f>
        <v/>
      </c>
      <c r="D195" s="25" t="str">
        <f>IF(OR($B195="",基础资料!$B$5=""),"",SUMIFS(周转筐出入库明细!$H$4:$H$2004,周转筐出入库明细!$C$4:$C$2004,$B195,周转筐出入库明细!$D$4:$D$2004,基础资料!$B$5,周转筐出入库明细!$F$4:$F$2004,"采购入库",周转筐出入库明细!$B$4:$B$2004,"&gt;="&amp;$P$1,周转筐出入库明细!$B$4:$B$2004,"&lt;="&amp;$P$2))</f>
        <v/>
      </c>
      <c r="E195" s="25" t="str">
        <f>IF(OR($B195="",基础资料!$B$6=""),"",SUMIFS(周转筐出入库明细!$H$4:$H$2004,周转筐出入库明细!$C$4:$C$2004,$B195,周转筐出入库明细!$D$4:$D$2004,基础资料!$B$6,周转筐出入库明细!$F$4:$F$2004,"采购入库",周转筐出入库明细!$B$4:$B$2004,"&gt;="&amp;$P$1,周转筐出入库明细!$B$4:$B$2004,"&lt;="&amp;$P$2))</f>
        <v/>
      </c>
      <c r="F195" s="25" t="str">
        <f>IF(OR($B195="",基础资料!$B$7=""),"",SUMIFS(周转筐出入库明细!$H$4:$H$2004,周转筐出入库明细!$C$4:$C$2004,$B195,周转筐出入库明细!$D$4:$D$2004,基础资料!$B$7,周转筐出入库明细!$F$4:$F$2004,"采购入库",周转筐出入库明细!$B$4:$B$2004,"&gt;="&amp;$P$1,周转筐出入库明细!$B$4:$B$2004,"&lt;="&amp;$P$2))</f>
        <v/>
      </c>
      <c r="G195" s="25" t="str">
        <f>IF(OR($B195="",基础资料!$B$8=""),"",SUMIFS(周转筐出入库明细!$H$4:$H$2004,周转筐出入库明细!$C$4:$C$2004,$B195,周转筐出入库明细!$D$4:$D$2004,基础资料!$B$8,周转筐出入库明细!$F$4:$F$2004,"采购入库",周转筐出入库明细!$B$4:$B$2004,"&gt;="&amp;$P$1,周转筐出入库明细!$B$4:$B$2004,"&lt;="&amp;$P$2))</f>
        <v/>
      </c>
      <c r="H195" s="25" t="str">
        <f>IF($B195="","",SUMIFS(周转筐出入库明细!$H$4:$H$2004,周转筐出入库明细!$C$4:$C$2004,$B195,周转筐出入库明细!$F$4:$F$2004,"采购入库",周转筐出入库明细!$B$4:$B$2004,"&gt;="&amp;$P$1,周转筐出入库明细!$B$4:$B$2004,"&lt;="&amp;$P$2)-SUM($C195:$G195))</f>
        <v/>
      </c>
      <c r="I195" s="25" t="str">
        <f t="shared" si="7"/>
        <v/>
      </c>
      <c r="J195" s="26" t="str">
        <f>IF($B195="","",ROUND(SUMIFS(周转筐出入库明细!$P$4:$P$2004,周转筐出入库明细!$C$4:$C$2004,$B195,周转筐出入库明细!$F$4:$F$2004,"采购入库",周转筐出入库明细!$B$4:$B$2004,"&gt;="&amp;$P$1,周转筐出入库明细!$B$4:$B$2004,"&lt;="&amp;$P$2),2))</f>
        <v/>
      </c>
      <c r="K195" s="26" t="str">
        <f>IF($B195="","",ROUND(SUMIFS(周转筐出入库明细!$P$4:$P$2004,周转筐出入库明细!$C$4:$C$2004,$B195,周转筐出入库明细!$F$4:$F$2004,"采购入库",周转筐出入库明细!$Q$4:$Q$2004,"已付款",周转筐出入库明细!$B$4:$B$2004,"&gt;="&amp;$P$1,周转筐出入库明细!$B$4:$B$2004,"&lt;="&amp;$P$2),2))</f>
        <v/>
      </c>
      <c r="L195" s="26" t="str">
        <f t="shared" si="8"/>
        <v/>
      </c>
    </row>
    <row r="196" spans="1:12">
      <c r="A196" s="22" t="str">
        <f t="shared" ref="A196:A203" si="9">IF($B196="","",ROW()-3)</f>
        <v/>
      </c>
      <c r="B196" s="37" t="str">
        <f>IFERROR(INDEX(_自动清单!$CW$4:$CW$203,ROW()-3),"")</f>
        <v/>
      </c>
      <c r="C196" s="25" t="str">
        <f>IF(OR($B196="",基础资料!$B$4=""),"",SUMIFS(周转筐出入库明细!$H$4:$H$2004,周转筐出入库明细!$C$4:$C$2004,$B196,周转筐出入库明细!$D$4:$D$2004,基础资料!$B$4,周转筐出入库明细!$F$4:$F$2004,"采购入库",周转筐出入库明细!$B$4:$B$2004,"&gt;="&amp;$P$1,周转筐出入库明细!$B$4:$B$2004,"&lt;="&amp;$P$2))</f>
        <v/>
      </c>
      <c r="D196" s="25" t="str">
        <f>IF(OR($B196="",基础资料!$B$5=""),"",SUMIFS(周转筐出入库明细!$H$4:$H$2004,周转筐出入库明细!$C$4:$C$2004,$B196,周转筐出入库明细!$D$4:$D$2004,基础资料!$B$5,周转筐出入库明细!$F$4:$F$2004,"采购入库",周转筐出入库明细!$B$4:$B$2004,"&gt;="&amp;$P$1,周转筐出入库明细!$B$4:$B$2004,"&lt;="&amp;$P$2))</f>
        <v/>
      </c>
      <c r="E196" s="25" t="str">
        <f>IF(OR($B196="",基础资料!$B$6=""),"",SUMIFS(周转筐出入库明细!$H$4:$H$2004,周转筐出入库明细!$C$4:$C$2004,$B196,周转筐出入库明细!$D$4:$D$2004,基础资料!$B$6,周转筐出入库明细!$F$4:$F$2004,"采购入库",周转筐出入库明细!$B$4:$B$2004,"&gt;="&amp;$P$1,周转筐出入库明细!$B$4:$B$2004,"&lt;="&amp;$P$2))</f>
        <v/>
      </c>
      <c r="F196" s="25" t="str">
        <f>IF(OR($B196="",基础资料!$B$7=""),"",SUMIFS(周转筐出入库明细!$H$4:$H$2004,周转筐出入库明细!$C$4:$C$2004,$B196,周转筐出入库明细!$D$4:$D$2004,基础资料!$B$7,周转筐出入库明细!$F$4:$F$2004,"采购入库",周转筐出入库明细!$B$4:$B$2004,"&gt;="&amp;$P$1,周转筐出入库明细!$B$4:$B$2004,"&lt;="&amp;$P$2))</f>
        <v/>
      </c>
      <c r="G196" s="25" t="str">
        <f>IF(OR($B196="",基础资料!$B$8=""),"",SUMIFS(周转筐出入库明细!$H$4:$H$2004,周转筐出入库明细!$C$4:$C$2004,$B196,周转筐出入库明细!$D$4:$D$2004,基础资料!$B$8,周转筐出入库明细!$F$4:$F$2004,"采购入库",周转筐出入库明细!$B$4:$B$2004,"&gt;="&amp;$P$1,周转筐出入库明细!$B$4:$B$2004,"&lt;="&amp;$P$2))</f>
        <v/>
      </c>
      <c r="H196" s="25" t="str">
        <f>IF($B196="","",SUMIFS(周转筐出入库明细!$H$4:$H$2004,周转筐出入库明细!$C$4:$C$2004,$B196,周转筐出入库明细!$F$4:$F$2004,"采购入库",周转筐出入库明细!$B$4:$B$2004,"&gt;="&amp;$P$1,周转筐出入库明细!$B$4:$B$2004,"&lt;="&amp;$P$2)-SUM($C196:$G196))</f>
        <v/>
      </c>
      <c r="I196" s="25" t="str">
        <f t="shared" ref="I196:I203" si="10">IF($B196="","",SUM($C196:$H196))</f>
        <v/>
      </c>
      <c r="J196" s="26" t="str">
        <f>IF($B196="","",ROUND(SUMIFS(周转筐出入库明细!$P$4:$P$2004,周转筐出入库明细!$C$4:$C$2004,$B196,周转筐出入库明细!$F$4:$F$2004,"采购入库",周转筐出入库明细!$B$4:$B$2004,"&gt;="&amp;$P$1,周转筐出入库明细!$B$4:$B$2004,"&lt;="&amp;$P$2),2))</f>
        <v/>
      </c>
      <c r="K196" s="26" t="str">
        <f>IF($B196="","",ROUND(SUMIFS(周转筐出入库明细!$P$4:$P$2004,周转筐出入库明细!$C$4:$C$2004,$B196,周转筐出入库明细!$F$4:$F$2004,"采购入库",周转筐出入库明细!$Q$4:$Q$2004,"已付款",周转筐出入库明细!$B$4:$B$2004,"&gt;="&amp;$P$1,周转筐出入库明细!$B$4:$B$2004,"&lt;="&amp;$P$2),2))</f>
        <v/>
      </c>
      <c r="L196" s="26" t="str">
        <f t="shared" ref="L196:L203" si="11">IF($B196="","",ROUND(N($J196)-N($K196),2))</f>
        <v/>
      </c>
    </row>
    <row r="197" spans="1:12">
      <c r="A197" s="22" t="str">
        <f t="shared" si="9"/>
        <v/>
      </c>
      <c r="B197" s="37" t="str">
        <f>IFERROR(INDEX(_自动清单!$CW$4:$CW$203,ROW()-3),"")</f>
        <v/>
      </c>
      <c r="C197" s="25" t="str">
        <f>IF(OR($B197="",基础资料!$B$4=""),"",SUMIFS(周转筐出入库明细!$H$4:$H$2004,周转筐出入库明细!$C$4:$C$2004,$B197,周转筐出入库明细!$D$4:$D$2004,基础资料!$B$4,周转筐出入库明细!$F$4:$F$2004,"采购入库",周转筐出入库明细!$B$4:$B$2004,"&gt;="&amp;$P$1,周转筐出入库明细!$B$4:$B$2004,"&lt;="&amp;$P$2))</f>
        <v/>
      </c>
      <c r="D197" s="25" t="str">
        <f>IF(OR($B197="",基础资料!$B$5=""),"",SUMIFS(周转筐出入库明细!$H$4:$H$2004,周转筐出入库明细!$C$4:$C$2004,$B197,周转筐出入库明细!$D$4:$D$2004,基础资料!$B$5,周转筐出入库明细!$F$4:$F$2004,"采购入库",周转筐出入库明细!$B$4:$B$2004,"&gt;="&amp;$P$1,周转筐出入库明细!$B$4:$B$2004,"&lt;="&amp;$P$2))</f>
        <v/>
      </c>
      <c r="E197" s="25" t="str">
        <f>IF(OR($B197="",基础资料!$B$6=""),"",SUMIFS(周转筐出入库明细!$H$4:$H$2004,周转筐出入库明细!$C$4:$C$2004,$B197,周转筐出入库明细!$D$4:$D$2004,基础资料!$B$6,周转筐出入库明细!$F$4:$F$2004,"采购入库",周转筐出入库明细!$B$4:$B$2004,"&gt;="&amp;$P$1,周转筐出入库明细!$B$4:$B$2004,"&lt;="&amp;$P$2))</f>
        <v/>
      </c>
      <c r="F197" s="25" t="str">
        <f>IF(OR($B197="",基础资料!$B$7=""),"",SUMIFS(周转筐出入库明细!$H$4:$H$2004,周转筐出入库明细!$C$4:$C$2004,$B197,周转筐出入库明细!$D$4:$D$2004,基础资料!$B$7,周转筐出入库明细!$F$4:$F$2004,"采购入库",周转筐出入库明细!$B$4:$B$2004,"&gt;="&amp;$P$1,周转筐出入库明细!$B$4:$B$2004,"&lt;="&amp;$P$2))</f>
        <v/>
      </c>
      <c r="G197" s="25" t="str">
        <f>IF(OR($B197="",基础资料!$B$8=""),"",SUMIFS(周转筐出入库明细!$H$4:$H$2004,周转筐出入库明细!$C$4:$C$2004,$B197,周转筐出入库明细!$D$4:$D$2004,基础资料!$B$8,周转筐出入库明细!$F$4:$F$2004,"采购入库",周转筐出入库明细!$B$4:$B$2004,"&gt;="&amp;$P$1,周转筐出入库明细!$B$4:$B$2004,"&lt;="&amp;$P$2))</f>
        <v/>
      </c>
      <c r="H197" s="25" t="str">
        <f>IF($B197="","",SUMIFS(周转筐出入库明细!$H$4:$H$2004,周转筐出入库明细!$C$4:$C$2004,$B197,周转筐出入库明细!$F$4:$F$2004,"采购入库",周转筐出入库明细!$B$4:$B$2004,"&gt;="&amp;$P$1,周转筐出入库明细!$B$4:$B$2004,"&lt;="&amp;$P$2)-SUM($C197:$G197))</f>
        <v/>
      </c>
      <c r="I197" s="25" t="str">
        <f t="shared" si="10"/>
        <v/>
      </c>
      <c r="J197" s="26" t="str">
        <f>IF($B197="","",ROUND(SUMIFS(周转筐出入库明细!$P$4:$P$2004,周转筐出入库明细!$C$4:$C$2004,$B197,周转筐出入库明细!$F$4:$F$2004,"采购入库",周转筐出入库明细!$B$4:$B$2004,"&gt;="&amp;$P$1,周转筐出入库明细!$B$4:$B$2004,"&lt;="&amp;$P$2),2))</f>
        <v/>
      </c>
      <c r="K197" s="26" t="str">
        <f>IF($B197="","",ROUND(SUMIFS(周转筐出入库明细!$P$4:$P$2004,周转筐出入库明细!$C$4:$C$2004,$B197,周转筐出入库明细!$F$4:$F$2004,"采购入库",周转筐出入库明细!$Q$4:$Q$2004,"已付款",周转筐出入库明细!$B$4:$B$2004,"&gt;="&amp;$P$1,周转筐出入库明细!$B$4:$B$2004,"&lt;="&amp;$P$2),2))</f>
        <v/>
      </c>
      <c r="L197" s="26" t="str">
        <f t="shared" si="11"/>
        <v/>
      </c>
    </row>
    <row r="198" spans="1:12">
      <c r="A198" s="22" t="str">
        <f t="shared" si="9"/>
        <v/>
      </c>
      <c r="B198" s="37" t="str">
        <f>IFERROR(INDEX(_自动清单!$CW$4:$CW$203,ROW()-3),"")</f>
        <v/>
      </c>
      <c r="C198" s="25" t="str">
        <f>IF(OR($B198="",基础资料!$B$4=""),"",SUMIFS(周转筐出入库明细!$H$4:$H$2004,周转筐出入库明细!$C$4:$C$2004,$B198,周转筐出入库明细!$D$4:$D$2004,基础资料!$B$4,周转筐出入库明细!$F$4:$F$2004,"采购入库",周转筐出入库明细!$B$4:$B$2004,"&gt;="&amp;$P$1,周转筐出入库明细!$B$4:$B$2004,"&lt;="&amp;$P$2))</f>
        <v/>
      </c>
      <c r="D198" s="25" t="str">
        <f>IF(OR($B198="",基础资料!$B$5=""),"",SUMIFS(周转筐出入库明细!$H$4:$H$2004,周转筐出入库明细!$C$4:$C$2004,$B198,周转筐出入库明细!$D$4:$D$2004,基础资料!$B$5,周转筐出入库明细!$F$4:$F$2004,"采购入库",周转筐出入库明细!$B$4:$B$2004,"&gt;="&amp;$P$1,周转筐出入库明细!$B$4:$B$2004,"&lt;="&amp;$P$2))</f>
        <v/>
      </c>
      <c r="E198" s="25" t="str">
        <f>IF(OR($B198="",基础资料!$B$6=""),"",SUMIFS(周转筐出入库明细!$H$4:$H$2004,周转筐出入库明细!$C$4:$C$2004,$B198,周转筐出入库明细!$D$4:$D$2004,基础资料!$B$6,周转筐出入库明细!$F$4:$F$2004,"采购入库",周转筐出入库明细!$B$4:$B$2004,"&gt;="&amp;$P$1,周转筐出入库明细!$B$4:$B$2004,"&lt;="&amp;$P$2))</f>
        <v/>
      </c>
      <c r="F198" s="25" t="str">
        <f>IF(OR($B198="",基础资料!$B$7=""),"",SUMIFS(周转筐出入库明细!$H$4:$H$2004,周转筐出入库明细!$C$4:$C$2004,$B198,周转筐出入库明细!$D$4:$D$2004,基础资料!$B$7,周转筐出入库明细!$F$4:$F$2004,"采购入库",周转筐出入库明细!$B$4:$B$2004,"&gt;="&amp;$P$1,周转筐出入库明细!$B$4:$B$2004,"&lt;="&amp;$P$2))</f>
        <v/>
      </c>
      <c r="G198" s="25" t="str">
        <f>IF(OR($B198="",基础资料!$B$8=""),"",SUMIFS(周转筐出入库明细!$H$4:$H$2004,周转筐出入库明细!$C$4:$C$2004,$B198,周转筐出入库明细!$D$4:$D$2004,基础资料!$B$8,周转筐出入库明细!$F$4:$F$2004,"采购入库",周转筐出入库明细!$B$4:$B$2004,"&gt;="&amp;$P$1,周转筐出入库明细!$B$4:$B$2004,"&lt;="&amp;$P$2))</f>
        <v/>
      </c>
      <c r="H198" s="25" t="str">
        <f>IF($B198="","",SUMIFS(周转筐出入库明细!$H$4:$H$2004,周转筐出入库明细!$C$4:$C$2004,$B198,周转筐出入库明细!$F$4:$F$2004,"采购入库",周转筐出入库明细!$B$4:$B$2004,"&gt;="&amp;$P$1,周转筐出入库明细!$B$4:$B$2004,"&lt;="&amp;$P$2)-SUM($C198:$G198))</f>
        <v/>
      </c>
      <c r="I198" s="25" t="str">
        <f t="shared" si="10"/>
        <v/>
      </c>
      <c r="J198" s="26" t="str">
        <f>IF($B198="","",ROUND(SUMIFS(周转筐出入库明细!$P$4:$P$2004,周转筐出入库明细!$C$4:$C$2004,$B198,周转筐出入库明细!$F$4:$F$2004,"采购入库",周转筐出入库明细!$B$4:$B$2004,"&gt;="&amp;$P$1,周转筐出入库明细!$B$4:$B$2004,"&lt;="&amp;$P$2),2))</f>
        <v/>
      </c>
      <c r="K198" s="26" t="str">
        <f>IF($B198="","",ROUND(SUMIFS(周转筐出入库明细!$P$4:$P$2004,周转筐出入库明细!$C$4:$C$2004,$B198,周转筐出入库明细!$F$4:$F$2004,"采购入库",周转筐出入库明细!$Q$4:$Q$2004,"已付款",周转筐出入库明细!$B$4:$B$2004,"&gt;="&amp;$P$1,周转筐出入库明细!$B$4:$B$2004,"&lt;="&amp;$P$2),2))</f>
        <v/>
      </c>
      <c r="L198" s="26" t="str">
        <f t="shared" si="11"/>
        <v/>
      </c>
    </row>
    <row r="199" spans="1:12">
      <c r="A199" s="22" t="str">
        <f t="shared" si="9"/>
        <v/>
      </c>
      <c r="B199" s="37" t="str">
        <f>IFERROR(INDEX(_自动清单!$CW$4:$CW$203,ROW()-3),"")</f>
        <v/>
      </c>
      <c r="C199" s="25" t="str">
        <f>IF(OR($B199="",基础资料!$B$4=""),"",SUMIFS(周转筐出入库明细!$H$4:$H$2004,周转筐出入库明细!$C$4:$C$2004,$B199,周转筐出入库明细!$D$4:$D$2004,基础资料!$B$4,周转筐出入库明细!$F$4:$F$2004,"采购入库",周转筐出入库明细!$B$4:$B$2004,"&gt;="&amp;$P$1,周转筐出入库明细!$B$4:$B$2004,"&lt;="&amp;$P$2))</f>
        <v/>
      </c>
      <c r="D199" s="25" t="str">
        <f>IF(OR($B199="",基础资料!$B$5=""),"",SUMIFS(周转筐出入库明细!$H$4:$H$2004,周转筐出入库明细!$C$4:$C$2004,$B199,周转筐出入库明细!$D$4:$D$2004,基础资料!$B$5,周转筐出入库明细!$F$4:$F$2004,"采购入库",周转筐出入库明细!$B$4:$B$2004,"&gt;="&amp;$P$1,周转筐出入库明细!$B$4:$B$2004,"&lt;="&amp;$P$2))</f>
        <v/>
      </c>
      <c r="E199" s="25" t="str">
        <f>IF(OR($B199="",基础资料!$B$6=""),"",SUMIFS(周转筐出入库明细!$H$4:$H$2004,周转筐出入库明细!$C$4:$C$2004,$B199,周转筐出入库明细!$D$4:$D$2004,基础资料!$B$6,周转筐出入库明细!$F$4:$F$2004,"采购入库",周转筐出入库明细!$B$4:$B$2004,"&gt;="&amp;$P$1,周转筐出入库明细!$B$4:$B$2004,"&lt;="&amp;$P$2))</f>
        <v/>
      </c>
      <c r="F199" s="25" t="str">
        <f>IF(OR($B199="",基础资料!$B$7=""),"",SUMIFS(周转筐出入库明细!$H$4:$H$2004,周转筐出入库明细!$C$4:$C$2004,$B199,周转筐出入库明细!$D$4:$D$2004,基础资料!$B$7,周转筐出入库明细!$F$4:$F$2004,"采购入库",周转筐出入库明细!$B$4:$B$2004,"&gt;="&amp;$P$1,周转筐出入库明细!$B$4:$B$2004,"&lt;="&amp;$P$2))</f>
        <v/>
      </c>
      <c r="G199" s="25" t="str">
        <f>IF(OR($B199="",基础资料!$B$8=""),"",SUMIFS(周转筐出入库明细!$H$4:$H$2004,周转筐出入库明细!$C$4:$C$2004,$B199,周转筐出入库明细!$D$4:$D$2004,基础资料!$B$8,周转筐出入库明细!$F$4:$F$2004,"采购入库",周转筐出入库明细!$B$4:$B$2004,"&gt;="&amp;$P$1,周转筐出入库明细!$B$4:$B$2004,"&lt;="&amp;$P$2))</f>
        <v/>
      </c>
      <c r="H199" s="25" t="str">
        <f>IF($B199="","",SUMIFS(周转筐出入库明细!$H$4:$H$2004,周转筐出入库明细!$C$4:$C$2004,$B199,周转筐出入库明细!$F$4:$F$2004,"采购入库",周转筐出入库明细!$B$4:$B$2004,"&gt;="&amp;$P$1,周转筐出入库明细!$B$4:$B$2004,"&lt;="&amp;$P$2)-SUM($C199:$G199))</f>
        <v/>
      </c>
      <c r="I199" s="25" t="str">
        <f t="shared" si="10"/>
        <v/>
      </c>
      <c r="J199" s="26" t="str">
        <f>IF($B199="","",ROUND(SUMIFS(周转筐出入库明细!$P$4:$P$2004,周转筐出入库明细!$C$4:$C$2004,$B199,周转筐出入库明细!$F$4:$F$2004,"采购入库",周转筐出入库明细!$B$4:$B$2004,"&gt;="&amp;$P$1,周转筐出入库明细!$B$4:$B$2004,"&lt;="&amp;$P$2),2))</f>
        <v/>
      </c>
      <c r="K199" s="26" t="str">
        <f>IF($B199="","",ROUND(SUMIFS(周转筐出入库明细!$P$4:$P$2004,周转筐出入库明细!$C$4:$C$2004,$B199,周转筐出入库明细!$F$4:$F$2004,"采购入库",周转筐出入库明细!$Q$4:$Q$2004,"已付款",周转筐出入库明细!$B$4:$B$2004,"&gt;="&amp;$P$1,周转筐出入库明细!$B$4:$B$2004,"&lt;="&amp;$P$2),2))</f>
        <v/>
      </c>
      <c r="L199" s="26" t="str">
        <f t="shared" si="11"/>
        <v/>
      </c>
    </row>
    <row r="200" spans="1:12">
      <c r="A200" s="22" t="str">
        <f t="shared" si="9"/>
        <v/>
      </c>
      <c r="B200" s="37" t="str">
        <f>IFERROR(INDEX(_自动清单!$CW$4:$CW$203,ROW()-3),"")</f>
        <v/>
      </c>
      <c r="C200" s="25" t="str">
        <f>IF(OR($B200="",基础资料!$B$4=""),"",SUMIFS(周转筐出入库明细!$H$4:$H$2004,周转筐出入库明细!$C$4:$C$2004,$B200,周转筐出入库明细!$D$4:$D$2004,基础资料!$B$4,周转筐出入库明细!$F$4:$F$2004,"采购入库",周转筐出入库明细!$B$4:$B$2004,"&gt;="&amp;$P$1,周转筐出入库明细!$B$4:$B$2004,"&lt;="&amp;$P$2))</f>
        <v/>
      </c>
      <c r="D200" s="25" t="str">
        <f>IF(OR($B200="",基础资料!$B$5=""),"",SUMIFS(周转筐出入库明细!$H$4:$H$2004,周转筐出入库明细!$C$4:$C$2004,$B200,周转筐出入库明细!$D$4:$D$2004,基础资料!$B$5,周转筐出入库明细!$F$4:$F$2004,"采购入库",周转筐出入库明细!$B$4:$B$2004,"&gt;="&amp;$P$1,周转筐出入库明细!$B$4:$B$2004,"&lt;="&amp;$P$2))</f>
        <v/>
      </c>
      <c r="E200" s="25" t="str">
        <f>IF(OR($B200="",基础资料!$B$6=""),"",SUMIFS(周转筐出入库明细!$H$4:$H$2004,周转筐出入库明细!$C$4:$C$2004,$B200,周转筐出入库明细!$D$4:$D$2004,基础资料!$B$6,周转筐出入库明细!$F$4:$F$2004,"采购入库",周转筐出入库明细!$B$4:$B$2004,"&gt;="&amp;$P$1,周转筐出入库明细!$B$4:$B$2004,"&lt;="&amp;$P$2))</f>
        <v/>
      </c>
      <c r="F200" s="25" t="str">
        <f>IF(OR($B200="",基础资料!$B$7=""),"",SUMIFS(周转筐出入库明细!$H$4:$H$2004,周转筐出入库明细!$C$4:$C$2004,$B200,周转筐出入库明细!$D$4:$D$2004,基础资料!$B$7,周转筐出入库明细!$F$4:$F$2004,"采购入库",周转筐出入库明细!$B$4:$B$2004,"&gt;="&amp;$P$1,周转筐出入库明细!$B$4:$B$2004,"&lt;="&amp;$P$2))</f>
        <v/>
      </c>
      <c r="G200" s="25" t="str">
        <f>IF(OR($B200="",基础资料!$B$8=""),"",SUMIFS(周转筐出入库明细!$H$4:$H$2004,周转筐出入库明细!$C$4:$C$2004,$B200,周转筐出入库明细!$D$4:$D$2004,基础资料!$B$8,周转筐出入库明细!$F$4:$F$2004,"采购入库",周转筐出入库明细!$B$4:$B$2004,"&gt;="&amp;$P$1,周转筐出入库明细!$B$4:$B$2004,"&lt;="&amp;$P$2))</f>
        <v/>
      </c>
      <c r="H200" s="25" t="str">
        <f>IF($B200="","",SUMIFS(周转筐出入库明细!$H$4:$H$2004,周转筐出入库明细!$C$4:$C$2004,$B200,周转筐出入库明细!$F$4:$F$2004,"采购入库",周转筐出入库明细!$B$4:$B$2004,"&gt;="&amp;$P$1,周转筐出入库明细!$B$4:$B$2004,"&lt;="&amp;$P$2)-SUM($C200:$G200))</f>
        <v/>
      </c>
      <c r="I200" s="25" t="str">
        <f t="shared" si="10"/>
        <v/>
      </c>
      <c r="J200" s="26" t="str">
        <f>IF($B200="","",ROUND(SUMIFS(周转筐出入库明细!$P$4:$P$2004,周转筐出入库明细!$C$4:$C$2004,$B200,周转筐出入库明细!$F$4:$F$2004,"采购入库",周转筐出入库明细!$B$4:$B$2004,"&gt;="&amp;$P$1,周转筐出入库明细!$B$4:$B$2004,"&lt;="&amp;$P$2),2))</f>
        <v/>
      </c>
      <c r="K200" s="26" t="str">
        <f>IF($B200="","",ROUND(SUMIFS(周转筐出入库明细!$P$4:$P$2004,周转筐出入库明细!$C$4:$C$2004,$B200,周转筐出入库明细!$F$4:$F$2004,"采购入库",周转筐出入库明细!$Q$4:$Q$2004,"已付款",周转筐出入库明细!$B$4:$B$2004,"&gt;="&amp;$P$1,周转筐出入库明细!$B$4:$B$2004,"&lt;="&amp;$P$2),2))</f>
        <v/>
      </c>
      <c r="L200" s="26" t="str">
        <f t="shared" si="11"/>
        <v/>
      </c>
    </row>
    <row r="201" spans="1:12">
      <c r="A201" s="22" t="str">
        <f t="shared" si="9"/>
        <v/>
      </c>
      <c r="B201" s="37" t="str">
        <f>IFERROR(INDEX(_自动清单!$CW$4:$CW$203,ROW()-3),"")</f>
        <v/>
      </c>
      <c r="C201" s="25" t="str">
        <f>IF(OR($B201="",基础资料!$B$4=""),"",SUMIFS(周转筐出入库明细!$H$4:$H$2004,周转筐出入库明细!$C$4:$C$2004,$B201,周转筐出入库明细!$D$4:$D$2004,基础资料!$B$4,周转筐出入库明细!$F$4:$F$2004,"采购入库",周转筐出入库明细!$B$4:$B$2004,"&gt;="&amp;$P$1,周转筐出入库明细!$B$4:$B$2004,"&lt;="&amp;$P$2))</f>
        <v/>
      </c>
      <c r="D201" s="25" t="str">
        <f>IF(OR($B201="",基础资料!$B$5=""),"",SUMIFS(周转筐出入库明细!$H$4:$H$2004,周转筐出入库明细!$C$4:$C$2004,$B201,周转筐出入库明细!$D$4:$D$2004,基础资料!$B$5,周转筐出入库明细!$F$4:$F$2004,"采购入库",周转筐出入库明细!$B$4:$B$2004,"&gt;="&amp;$P$1,周转筐出入库明细!$B$4:$B$2004,"&lt;="&amp;$P$2))</f>
        <v/>
      </c>
      <c r="E201" s="25" t="str">
        <f>IF(OR($B201="",基础资料!$B$6=""),"",SUMIFS(周转筐出入库明细!$H$4:$H$2004,周转筐出入库明细!$C$4:$C$2004,$B201,周转筐出入库明细!$D$4:$D$2004,基础资料!$B$6,周转筐出入库明细!$F$4:$F$2004,"采购入库",周转筐出入库明细!$B$4:$B$2004,"&gt;="&amp;$P$1,周转筐出入库明细!$B$4:$B$2004,"&lt;="&amp;$P$2))</f>
        <v/>
      </c>
      <c r="F201" s="25" t="str">
        <f>IF(OR($B201="",基础资料!$B$7=""),"",SUMIFS(周转筐出入库明细!$H$4:$H$2004,周转筐出入库明细!$C$4:$C$2004,$B201,周转筐出入库明细!$D$4:$D$2004,基础资料!$B$7,周转筐出入库明细!$F$4:$F$2004,"采购入库",周转筐出入库明细!$B$4:$B$2004,"&gt;="&amp;$P$1,周转筐出入库明细!$B$4:$B$2004,"&lt;="&amp;$P$2))</f>
        <v/>
      </c>
      <c r="G201" s="25" t="str">
        <f>IF(OR($B201="",基础资料!$B$8=""),"",SUMIFS(周转筐出入库明细!$H$4:$H$2004,周转筐出入库明细!$C$4:$C$2004,$B201,周转筐出入库明细!$D$4:$D$2004,基础资料!$B$8,周转筐出入库明细!$F$4:$F$2004,"采购入库",周转筐出入库明细!$B$4:$B$2004,"&gt;="&amp;$P$1,周转筐出入库明细!$B$4:$B$2004,"&lt;="&amp;$P$2))</f>
        <v/>
      </c>
      <c r="H201" s="25" t="str">
        <f>IF($B201="","",SUMIFS(周转筐出入库明细!$H$4:$H$2004,周转筐出入库明细!$C$4:$C$2004,$B201,周转筐出入库明细!$F$4:$F$2004,"采购入库",周转筐出入库明细!$B$4:$B$2004,"&gt;="&amp;$P$1,周转筐出入库明细!$B$4:$B$2004,"&lt;="&amp;$P$2)-SUM($C201:$G201))</f>
        <v/>
      </c>
      <c r="I201" s="25" t="str">
        <f t="shared" si="10"/>
        <v/>
      </c>
      <c r="J201" s="26" t="str">
        <f>IF($B201="","",ROUND(SUMIFS(周转筐出入库明细!$P$4:$P$2004,周转筐出入库明细!$C$4:$C$2004,$B201,周转筐出入库明细!$F$4:$F$2004,"采购入库",周转筐出入库明细!$B$4:$B$2004,"&gt;="&amp;$P$1,周转筐出入库明细!$B$4:$B$2004,"&lt;="&amp;$P$2),2))</f>
        <v/>
      </c>
      <c r="K201" s="26" t="str">
        <f>IF($B201="","",ROUND(SUMIFS(周转筐出入库明细!$P$4:$P$2004,周转筐出入库明细!$C$4:$C$2004,$B201,周转筐出入库明细!$F$4:$F$2004,"采购入库",周转筐出入库明细!$Q$4:$Q$2004,"已付款",周转筐出入库明细!$B$4:$B$2004,"&gt;="&amp;$P$1,周转筐出入库明细!$B$4:$B$2004,"&lt;="&amp;$P$2),2))</f>
        <v/>
      </c>
      <c r="L201" s="26" t="str">
        <f t="shared" si="11"/>
        <v/>
      </c>
    </row>
    <row r="202" spans="1:12">
      <c r="A202" s="22" t="str">
        <f t="shared" si="9"/>
        <v/>
      </c>
      <c r="B202" s="37" t="str">
        <f>IFERROR(INDEX(_自动清单!$CW$4:$CW$203,ROW()-3),"")</f>
        <v/>
      </c>
      <c r="C202" s="25" t="str">
        <f>IF(OR($B202="",基础资料!$B$4=""),"",SUMIFS(周转筐出入库明细!$H$4:$H$2004,周转筐出入库明细!$C$4:$C$2004,$B202,周转筐出入库明细!$D$4:$D$2004,基础资料!$B$4,周转筐出入库明细!$F$4:$F$2004,"采购入库",周转筐出入库明细!$B$4:$B$2004,"&gt;="&amp;$P$1,周转筐出入库明细!$B$4:$B$2004,"&lt;="&amp;$P$2))</f>
        <v/>
      </c>
      <c r="D202" s="25" t="str">
        <f>IF(OR($B202="",基础资料!$B$5=""),"",SUMIFS(周转筐出入库明细!$H$4:$H$2004,周转筐出入库明细!$C$4:$C$2004,$B202,周转筐出入库明细!$D$4:$D$2004,基础资料!$B$5,周转筐出入库明细!$F$4:$F$2004,"采购入库",周转筐出入库明细!$B$4:$B$2004,"&gt;="&amp;$P$1,周转筐出入库明细!$B$4:$B$2004,"&lt;="&amp;$P$2))</f>
        <v/>
      </c>
      <c r="E202" s="25" t="str">
        <f>IF(OR($B202="",基础资料!$B$6=""),"",SUMIFS(周转筐出入库明细!$H$4:$H$2004,周转筐出入库明细!$C$4:$C$2004,$B202,周转筐出入库明细!$D$4:$D$2004,基础资料!$B$6,周转筐出入库明细!$F$4:$F$2004,"采购入库",周转筐出入库明细!$B$4:$B$2004,"&gt;="&amp;$P$1,周转筐出入库明细!$B$4:$B$2004,"&lt;="&amp;$P$2))</f>
        <v/>
      </c>
      <c r="F202" s="25" t="str">
        <f>IF(OR($B202="",基础资料!$B$7=""),"",SUMIFS(周转筐出入库明细!$H$4:$H$2004,周转筐出入库明细!$C$4:$C$2004,$B202,周转筐出入库明细!$D$4:$D$2004,基础资料!$B$7,周转筐出入库明细!$F$4:$F$2004,"采购入库",周转筐出入库明细!$B$4:$B$2004,"&gt;="&amp;$P$1,周转筐出入库明细!$B$4:$B$2004,"&lt;="&amp;$P$2))</f>
        <v/>
      </c>
      <c r="G202" s="25" t="str">
        <f>IF(OR($B202="",基础资料!$B$8=""),"",SUMIFS(周转筐出入库明细!$H$4:$H$2004,周转筐出入库明细!$C$4:$C$2004,$B202,周转筐出入库明细!$D$4:$D$2004,基础资料!$B$8,周转筐出入库明细!$F$4:$F$2004,"采购入库",周转筐出入库明细!$B$4:$B$2004,"&gt;="&amp;$P$1,周转筐出入库明细!$B$4:$B$2004,"&lt;="&amp;$P$2))</f>
        <v/>
      </c>
      <c r="H202" s="25" t="str">
        <f>IF($B202="","",SUMIFS(周转筐出入库明细!$H$4:$H$2004,周转筐出入库明细!$C$4:$C$2004,$B202,周转筐出入库明细!$F$4:$F$2004,"采购入库",周转筐出入库明细!$B$4:$B$2004,"&gt;="&amp;$P$1,周转筐出入库明细!$B$4:$B$2004,"&lt;="&amp;$P$2)-SUM($C202:$G202))</f>
        <v/>
      </c>
      <c r="I202" s="25" t="str">
        <f t="shared" si="10"/>
        <v/>
      </c>
      <c r="J202" s="26" t="str">
        <f>IF($B202="","",ROUND(SUMIFS(周转筐出入库明细!$P$4:$P$2004,周转筐出入库明细!$C$4:$C$2004,$B202,周转筐出入库明细!$F$4:$F$2004,"采购入库",周转筐出入库明细!$B$4:$B$2004,"&gt;="&amp;$P$1,周转筐出入库明细!$B$4:$B$2004,"&lt;="&amp;$P$2),2))</f>
        <v/>
      </c>
      <c r="K202" s="26" t="str">
        <f>IF($B202="","",ROUND(SUMIFS(周转筐出入库明细!$P$4:$P$2004,周转筐出入库明细!$C$4:$C$2004,$B202,周转筐出入库明细!$F$4:$F$2004,"采购入库",周转筐出入库明细!$Q$4:$Q$2004,"已付款",周转筐出入库明细!$B$4:$B$2004,"&gt;="&amp;$P$1,周转筐出入库明细!$B$4:$B$2004,"&lt;="&amp;$P$2),2))</f>
        <v/>
      </c>
      <c r="L202" s="26" t="str">
        <f t="shared" si="11"/>
        <v/>
      </c>
    </row>
    <row r="203" spans="1:12">
      <c r="A203" s="22" t="str">
        <f t="shared" si="9"/>
        <v/>
      </c>
      <c r="B203" s="37" t="str">
        <f>IFERROR(INDEX(_自动清单!$CW$4:$CW$203,ROW()-3),"")</f>
        <v/>
      </c>
      <c r="C203" s="25" t="str">
        <f>IF(OR($B203="",基础资料!$B$4=""),"",SUMIFS(周转筐出入库明细!$H$4:$H$2004,周转筐出入库明细!$C$4:$C$2004,$B203,周转筐出入库明细!$D$4:$D$2004,基础资料!$B$4,周转筐出入库明细!$F$4:$F$2004,"采购入库",周转筐出入库明细!$B$4:$B$2004,"&gt;="&amp;$P$1,周转筐出入库明细!$B$4:$B$2004,"&lt;="&amp;$P$2))</f>
        <v/>
      </c>
      <c r="D203" s="25" t="str">
        <f>IF(OR($B203="",基础资料!$B$5=""),"",SUMIFS(周转筐出入库明细!$H$4:$H$2004,周转筐出入库明细!$C$4:$C$2004,$B203,周转筐出入库明细!$D$4:$D$2004,基础资料!$B$5,周转筐出入库明细!$F$4:$F$2004,"采购入库",周转筐出入库明细!$B$4:$B$2004,"&gt;="&amp;$P$1,周转筐出入库明细!$B$4:$B$2004,"&lt;="&amp;$P$2))</f>
        <v/>
      </c>
      <c r="E203" s="25" t="str">
        <f>IF(OR($B203="",基础资料!$B$6=""),"",SUMIFS(周转筐出入库明细!$H$4:$H$2004,周转筐出入库明细!$C$4:$C$2004,$B203,周转筐出入库明细!$D$4:$D$2004,基础资料!$B$6,周转筐出入库明细!$F$4:$F$2004,"采购入库",周转筐出入库明细!$B$4:$B$2004,"&gt;="&amp;$P$1,周转筐出入库明细!$B$4:$B$2004,"&lt;="&amp;$P$2))</f>
        <v/>
      </c>
      <c r="F203" s="25" t="str">
        <f>IF(OR($B203="",基础资料!$B$7=""),"",SUMIFS(周转筐出入库明细!$H$4:$H$2004,周转筐出入库明细!$C$4:$C$2004,$B203,周转筐出入库明细!$D$4:$D$2004,基础资料!$B$7,周转筐出入库明细!$F$4:$F$2004,"采购入库",周转筐出入库明细!$B$4:$B$2004,"&gt;="&amp;$P$1,周转筐出入库明细!$B$4:$B$2004,"&lt;="&amp;$P$2))</f>
        <v/>
      </c>
      <c r="G203" s="25" t="str">
        <f>IF(OR($B203="",基础资料!$B$8=""),"",SUMIFS(周转筐出入库明细!$H$4:$H$2004,周转筐出入库明细!$C$4:$C$2004,$B203,周转筐出入库明细!$D$4:$D$2004,基础资料!$B$8,周转筐出入库明细!$F$4:$F$2004,"采购入库",周转筐出入库明细!$B$4:$B$2004,"&gt;="&amp;$P$1,周转筐出入库明细!$B$4:$B$2004,"&lt;="&amp;$P$2))</f>
        <v/>
      </c>
      <c r="H203" s="25" t="str">
        <f>IF($B203="","",SUMIFS(周转筐出入库明细!$H$4:$H$2004,周转筐出入库明细!$C$4:$C$2004,$B203,周转筐出入库明细!$F$4:$F$2004,"采购入库",周转筐出入库明细!$B$4:$B$2004,"&gt;="&amp;$P$1,周转筐出入库明细!$B$4:$B$2004,"&lt;="&amp;$P$2)-SUM($C203:$G203))</f>
        <v/>
      </c>
      <c r="I203" s="25" t="str">
        <f t="shared" si="10"/>
        <v/>
      </c>
      <c r="J203" s="26" t="str">
        <f>IF($B203="","",ROUND(SUMIFS(周转筐出入库明细!$P$4:$P$2004,周转筐出入库明细!$C$4:$C$2004,$B203,周转筐出入库明细!$F$4:$F$2004,"采购入库",周转筐出入库明细!$B$4:$B$2004,"&gt;="&amp;$P$1,周转筐出入库明细!$B$4:$B$2004,"&lt;="&amp;$P$2),2))</f>
        <v/>
      </c>
      <c r="K203" s="26" t="str">
        <f>IF($B203="","",ROUND(SUMIFS(周转筐出入库明细!$P$4:$P$2004,周转筐出入库明细!$C$4:$C$2004,$B203,周转筐出入库明细!$F$4:$F$2004,"采购入库",周转筐出入库明细!$Q$4:$Q$2004,"已付款",周转筐出入库明细!$B$4:$B$2004,"&gt;="&amp;$P$1,周转筐出入库明细!$B$4:$B$2004,"&lt;="&amp;$P$2),2))</f>
        <v/>
      </c>
      <c r="L203" s="26" t="str">
        <f t="shared" si="11"/>
        <v/>
      </c>
    </row>
    <row r="204" spans="1:12">
      <c r="A204" s="68"/>
      <c r="B204" s="69" t="s">
        <v>473</v>
      </c>
      <c r="C204" s="70">
        <f t="shared" ref="C204:L204" si="12">ROUND(SUM(C4:C203),2)</f>
        <v>0</v>
      </c>
      <c r="D204" s="70">
        <f t="shared" si="12"/>
        <v>0</v>
      </c>
      <c r="E204" s="70">
        <f t="shared" si="12"/>
        <v>0</v>
      </c>
      <c r="F204" s="70">
        <f t="shared" si="12"/>
        <v>0</v>
      </c>
      <c r="G204" s="70">
        <f t="shared" si="12"/>
        <v>17472</v>
      </c>
      <c r="H204" s="70">
        <f t="shared" si="12"/>
        <v>0</v>
      </c>
      <c r="I204" s="70">
        <f t="shared" si="12"/>
        <v>17472</v>
      </c>
      <c r="J204" s="71">
        <f t="shared" si="12"/>
        <v>174720</v>
      </c>
      <c r="K204" s="71">
        <f t="shared" si="12"/>
        <v>0</v>
      </c>
      <c r="L204" s="71">
        <f t="shared" si="12"/>
        <v>174720</v>
      </c>
    </row>
  </sheetData>
  <mergeCells count="2">
    <mergeCell ref="A1:L1"/>
    <mergeCell ref="A2:H2"/>
  </mergeCells>
  <conditionalFormatting sqref="A2">
    <cfRule type="expression" dxfId="0" priority="1">
      <formula>(N(_自动清单!$W$1)&gt;200)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P20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S15" sqref="S15"/>
    </sheetView>
  </sheetViews>
  <sheetFormatPr defaultColWidth="9" defaultRowHeight="15"/>
  <cols>
    <col min="1" max="1" width="5" style="53" customWidth="1"/>
    <col min="2" max="2" width="15" style="53" customWidth="1"/>
    <col min="3" max="6" width="11" style="53" customWidth="1"/>
    <col min="7" max="7" width="10" style="53" customWidth="1"/>
    <col min="8" max="8" width="12" style="53" customWidth="1"/>
    <col min="9" max="11" width="13" style="53" customWidth="1"/>
    <col min="12" max="12" width="14" style="53" customWidth="1"/>
    <col min="13" max="15" width="9" style="53"/>
    <col min="16" max="16" width="10.1428571428571" style="53"/>
    <col min="17" max="16384" width="9" style="53"/>
  </cols>
  <sheetData>
    <row r="1" ht="30" customHeight="1" spans="1:16">
      <c r="A1" s="7" t="s">
        <v>498</v>
      </c>
      <c r="P1" s="54">
        <f>IF($J2="",DATE(1900,1,1),$J2)</f>
        <v>1</v>
      </c>
    </row>
    <row r="2" ht="20" customHeight="1" spans="1:16">
      <c r="A2" s="55" t="s">
        <v>465</v>
      </c>
      <c r="I2" s="13" t="s">
        <v>466</v>
      </c>
      <c r="J2" s="19"/>
      <c r="K2" s="13" t="s">
        <v>467</v>
      </c>
      <c r="L2" s="19"/>
      <c r="P2" s="54">
        <f>IF($L2="",DATE(2999,12,31),$L2)</f>
        <v>401768</v>
      </c>
    </row>
    <row r="3" ht="30" customHeight="1" spans="1:16">
      <c r="A3" s="21" t="s">
        <v>3</v>
      </c>
      <c r="B3" s="21" t="s">
        <v>457</v>
      </c>
      <c r="C3" s="21" t="str">
        <f>IF(_自动清单!$U$4="","（备用）",_自动清单!$U$4)</f>
        <v>公司一次性筐</v>
      </c>
      <c r="D3" s="21" t="str">
        <f>IF(_自动清单!$U$5="","（备用）",_自动清单!$U$5)</f>
        <v>公司杂周转筐</v>
      </c>
      <c r="E3" s="21" t="str">
        <f>IF(_自动清单!$U$6="","（备用）",_自动清单!$U$6)</f>
        <v>公司新周转筐</v>
      </c>
      <c r="F3" s="21" t="str">
        <f>IF(_自动清单!$U$7="","（备用）",_自动清单!$U$7)</f>
        <v>公司白周转筐</v>
      </c>
      <c r="G3" s="21" t="s">
        <v>229</v>
      </c>
      <c r="H3" s="21" t="s">
        <v>494</v>
      </c>
      <c r="I3" s="21" t="s">
        <v>499</v>
      </c>
      <c r="J3" s="21" t="s">
        <v>500</v>
      </c>
      <c r="K3" s="21" t="s">
        <v>501</v>
      </c>
      <c r="L3" s="21" t="s">
        <v>306</v>
      </c>
    </row>
    <row r="4" spans="1:16">
      <c r="A4" s="24">
        <f t="shared" ref="A4:A67" si="0">IF($B4="","",ROW()-3)</f>
        <v>1</v>
      </c>
      <c r="B4" s="24" t="str">
        <f>IFERROR(INDEX(_自动清单!$AA$4:$AA$203,ROW()-3),"")</f>
        <v>王照雪</v>
      </c>
      <c r="C4" s="25">
        <f>IF(OR($B4="",_自动清单!$U$4=""),"",SUMIFS(周转筐出入库明细!$K$4:$K$2004,周转筐出入库明细!$C$4:$C$2004,$B4,周转筐出入库明细!$D$4:$D$2004,_自动清单!$U$4,周转筐出入库明细!$B$4:$B$2004,"&gt;="&amp;$P$1,周转筐出入库明细!$B$4:$B$2004,"&lt;="&amp;$P$2))</f>
        <v>0</v>
      </c>
      <c r="D4" s="25">
        <f>IF(OR($B4="",_自动清单!$U$5=""),"",SUMIFS(周转筐出入库明细!$K$4:$K$2004,周转筐出入库明细!$C$4:$C$2004,$B4,周转筐出入库明细!$D$4:$D$2004,_自动清单!$U$5,周转筐出入库明细!$B$4:$B$2004,"&gt;="&amp;$P$1,周转筐出入库明细!$B$4:$B$2004,"&lt;="&amp;$P$2))</f>
        <v>0</v>
      </c>
      <c r="E4" s="25">
        <f>IF(OR($B4="",_自动清单!$U$6=""),"",SUMIFS(周转筐出入库明细!$K$4:$K$2004,周转筐出入库明细!$C$4:$C$2004,$B4,周转筐出入库明细!$D$4:$D$2004,_自动清单!$U$6,周转筐出入库明细!$B$4:$B$2004,"&gt;="&amp;$P$1,周转筐出入库明细!$B$4:$B$2004,"&lt;="&amp;$P$2))</f>
        <v>0</v>
      </c>
      <c r="F4" s="25">
        <f>IF(OR($B4="",_自动清单!$U$7=""),"",SUMIFS(周转筐出入库明细!$K$4:$K$2004,周转筐出入库明细!$C$4:$C$2004,$B4,周转筐出入库明细!$D$4:$D$2004,_自动清单!$U$7,周转筐出入库明细!$B$4:$B$2004,"&gt;="&amp;$P$1,周转筐出入库明细!$B$4:$B$2004,"&lt;="&amp;$P$2))</f>
        <v>0</v>
      </c>
      <c r="G4" s="25">
        <f>IF($B4="","",SUMIFS(周转筐出入库明细!$K$4:$K$2004,周转筐出入库明细!$C$4:$C$2004,$B4,周转筐出入库明细!$B$4:$B$2004,"&gt;="&amp;$P$1,周转筐出入库明细!$B$4:$B$2004,"&lt;="&amp;$P$2)-SUM($C4:$F4))</f>
        <v>0</v>
      </c>
      <c r="H4" s="25">
        <f t="shared" ref="H4:H67" si="1">IF($B4="","",SUM($C4:$G4))</f>
        <v>0</v>
      </c>
      <c r="I4" s="26">
        <f>IF($B4="","",ROUND(SUMIFS(周转筐出入库明细!$P$4:$P$2004,周转筐出入库明细!$C$4:$C$2004,$B4,周转筐出入库明细!$F$4:$F$2004,"销售出库",周转筐出入库明细!$B$4:$B$2004,"&gt;="&amp;$P$1,周转筐出入库明细!$B$4:$B$2004,"&lt;="&amp;$P$2),2))</f>
        <v>0</v>
      </c>
      <c r="J4" s="26">
        <f>IF($B4="","",ROUND(SUMIFS(周转筐出入库明细!$P$4:$P$2004,周转筐出入库明细!$C$4:$C$2004,$B4,周转筐出入库明细!$F$4:$F$2004,"销售出库",周转筐出入库明细!$Q$4:$Q$2004,"已收讫",周转筐出入库明细!$B$4:$B$2004,"&gt;="&amp;$P$1,周转筐出入库明细!$B$4:$B$2004,"&lt;="&amp;$P$2),2))</f>
        <v>0</v>
      </c>
      <c r="K4" s="26">
        <f t="shared" ref="K4:K67" si="2">IF($B4="","",ROUND(N($I4)-N($J4),2))</f>
        <v>0</v>
      </c>
      <c r="L4" s="41"/>
    </row>
    <row r="5" spans="1:16">
      <c r="A5" s="24">
        <f t="shared" si="0"/>
        <v>2</v>
      </c>
      <c r="B5" s="24" t="str">
        <f>IFERROR(INDEX(_自动清单!$AA$4:$AA$203,ROW()-3),"")</f>
        <v>王浩</v>
      </c>
      <c r="C5" s="25">
        <f>IF(OR($B5="",_自动清单!$U$4=""),"",SUMIFS(周转筐出入库明细!$K$4:$K$2004,周转筐出入库明细!$C$4:$C$2004,$B5,周转筐出入库明细!$D$4:$D$2004,_自动清单!$U$4,周转筐出入库明细!$B$4:$B$2004,"&gt;="&amp;$P$1,周转筐出入库明细!$B$4:$B$2004,"&lt;="&amp;$P$2))</f>
        <v>0</v>
      </c>
      <c r="D5" s="25">
        <f>IF(OR($B5="",_自动清单!$U$5=""),"",SUMIFS(周转筐出入库明细!$K$4:$K$2004,周转筐出入库明细!$C$4:$C$2004,$B5,周转筐出入库明细!$D$4:$D$2004,_自动清单!$U$5,周转筐出入库明细!$B$4:$B$2004,"&gt;="&amp;$P$1,周转筐出入库明细!$B$4:$B$2004,"&lt;="&amp;$P$2))</f>
        <v>0</v>
      </c>
      <c r="E5" s="25">
        <f>IF(OR($B5="",_自动清单!$U$6=""),"",SUMIFS(周转筐出入库明细!$K$4:$K$2004,周转筐出入库明细!$C$4:$C$2004,$B5,周转筐出入库明细!$D$4:$D$2004,_自动清单!$U$6,周转筐出入库明细!$B$4:$B$2004,"&gt;="&amp;$P$1,周转筐出入库明细!$B$4:$B$2004,"&lt;="&amp;$P$2))</f>
        <v>0</v>
      </c>
      <c r="F5" s="25">
        <f>IF(OR($B5="",_自动清单!$U$7=""),"",SUMIFS(周转筐出入库明细!$K$4:$K$2004,周转筐出入库明细!$C$4:$C$2004,$B5,周转筐出入库明细!$D$4:$D$2004,_自动清单!$U$7,周转筐出入库明细!$B$4:$B$2004,"&gt;="&amp;$P$1,周转筐出入库明细!$B$4:$B$2004,"&lt;="&amp;$P$2))</f>
        <v>0</v>
      </c>
      <c r="G5" s="25">
        <f>IF($B5="","",SUMIFS(周转筐出入库明细!$K$4:$K$2004,周转筐出入库明细!$C$4:$C$2004,$B5,周转筐出入库明细!$B$4:$B$2004,"&gt;="&amp;$P$1,周转筐出入库明细!$B$4:$B$2004,"&lt;="&amp;$P$2)-SUM($C5:$F5))</f>
        <v>0</v>
      </c>
      <c r="H5" s="25">
        <f t="shared" si="1"/>
        <v>0</v>
      </c>
      <c r="I5" s="26">
        <f>IF($B5="","",ROUND(SUMIFS(周转筐出入库明细!$P$4:$P$2004,周转筐出入库明细!$C$4:$C$2004,$B5,周转筐出入库明细!$F$4:$F$2004,"销售出库",周转筐出入库明细!$B$4:$B$2004,"&gt;="&amp;$P$1,周转筐出入库明细!$B$4:$B$2004,"&lt;="&amp;$P$2),2))</f>
        <v>0</v>
      </c>
      <c r="J5" s="26">
        <f>IF($B5="","",ROUND(SUMIFS(周转筐出入库明细!$P$4:$P$2004,周转筐出入库明细!$C$4:$C$2004,$B5,周转筐出入库明细!$F$4:$F$2004,"销售出库",周转筐出入库明细!$Q$4:$Q$2004,"已收讫",周转筐出入库明细!$B$4:$B$2004,"&gt;="&amp;$P$1,周转筐出入库明细!$B$4:$B$2004,"&lt;="&amp;$P$2),2))</f>
        <v>0</v>
      </c>
      <c r="K5" s="26">
        <f t="shared" si="2"/>
        <v>0</v>
      </c>
      <c r="L5" s="41"/>
    </row>
    <row r="6" spans="1:16">
      <c r="A6" s="24">
        <f t="shared" si="0"/>
        <v>3</v>
      </c>
      <c r="B6" s="24" t="str">
        <f>IFERROR(INDEX(_自动清单!$AA$4:$AA$203,ROW()-3),"")</f>
        <v>马锦祥</v>
      </c>
      <c r="C6" s="25">
        <f>IF(OR($B6="",_自动清单!$U$4=""),"",SUMIFS(周转筐出入库明细!$K$4:$K$2004,周转筐出入库明细!$C$4:$C$2004,$B6,周转筐出入库明细!$D$4:$D$2004,_自动清单!$U$4,周转筐出入库明细!$B$4:$B$2004,"&gt;="&amp;$P$1,周转筐出入库明细!$B$4:$B$2004,"&lt;="&amp;$P$2))</f>
        <v>0</v>
      </c>
      <c r="D6" s="25">
        <f>IF(OR($B6="",_自动清单!$U$5=""),"",SUMIFS(周转筐出入库明细!$K$4:$K$2004,周转筐出入库明细!$C$4:$C$2004,$B6,周转筐出入库明细!$D$4:$D$2004,_自动清单!$U$5,周转筐出入库明细!$B$4:$B$2004,"&gt;="&amp;$P$1,周转筐出入库明细!$B$4:$B$2004,"&lt;="&amp;$P$2))</f>
        <v>0</v>
      </c>
      <c r="E6" s="25">
        <f>IF(OR($B6="",_自动清单!$U$6=""),"",SUMIFS(周转筐出入库明细!$K$4:$K$2004,周转筐出入库明细!$C$4:$C$2004,$B6,周转筐出入库明细!$D$4:$D$2004,_自动清单!$U$6,周转筐出入库明细!$B$4:$B$2004,"&gt;="&amp;$P$1,周转筐出入库明细!$B$4:$B$2004,"&lt;="&amp;$P$2))</f>
        <v>0</v>
      </c>
      <c r="F6" s="25">
        <f>IF(OR($B6="",_自动清单!$U$7=""),"",SUMIFS(周转筐出入库明细!$K$4:$K$2004,周转筐出入库明细!$C$4:$C$2004,$B6,周转筐出入库明细!$D$4:$D$2004,_自动清单!$U$7,周转筐出入库明细!$B$4:$B$2004,"&gt;="&amp;$P$1,周转筐出入库明细!$B$4:$B$2004,"&lt;="&amp;$P$2))</f>
        <v>0</v>
      </c>
      <c r="G6" s="25">
        <f>IF($B6="","",SUMIFS(周转筐出入库明细!$K$4:$K$2004,周转筐出入库明细!$C$4:$C$2004,$B6,周转筐出入库明细!$B$4:$B$2004,"&gt;="&amp;$P$1,周转筐出入库明细!$B$4:$B$2004,"&lt;="&amp;$P$2)-SUM($C6:$F6))</f>
        <v>0</v>
      </c>
      <c r="H6" s="25">
        <f t="shared" si="1"/>
        <v>0</v>
      </c>
      <c r="I6" s="26">
        <f>IF($B6="","",ROUND(SUMIFS(周转筐出入库明细!$P$4:$P$2004,周转筐出入库明细!$C$4:$C$2004,$B6,周转筐出入库明细!$F$4:$F$2004,"销售出库",周转筐出入库明细!$B$4:$B$2004,"&gt;="&amp;$P$1,周转筐出入库明细!$B$4:$B$2004,"&lt;="&amp;$P$2),2))</f>
        <v>0</v>
      </c>
      <c r="J6" s="26">
        <f>IF($B6="","",ROUND(SUMIFS(周转筐出入库明细!$P$4:$P$2004,周转筐出入库明细!$C$4:$C$2004,$B6,周转筐出入库明细!$F$4:$F$2004,"销售出库",周转筐出入库明细!$Q$4:$Q$2004,"已收讫",周转筐出入库明细!$B$4:$B$2004,"&gt;="&amp;$P$1,周转筐出入库明细!$B$4:$B$2004,"&lt;="&amp;$P$2),2))</f>
        <v>0</v>
      </c>
      <c r="K6" s="26">
        <f t="shared" si="2"/>
        <v>0</v>
      </c>
      <c r="L6" s="41"/>
    </row>
    <row r="7" spans="1:16">
      <c r="A7" s="24">
        <f t="shared" si="0"/>
        <v>4</v>
      </c>
      <c r="B7" s="24" t="str">
        <f>IFERROR(INDEX(_自动清单!$AA$4:$AA$203,ROW()-3),"")</f>
        <v>全修塑业</v>
      </c>
      <c r="C7" s="25">
        <f>IF(OR($B7="",_自动清单!$U$4=""),"",SUMIFS(周转筐出入库明细!$K$4:$K$2004,周转筐出入库明细!$C$4:$C$2004,$B7,周转筐出入库明细!$D$4:$D$2004,_自动清单!$U$4,周转筐出入库明细!$B$4:$B$2004,"&gt;="&amp;$P$1,周转筐出入库明细!$B$4:$B$2004,"&lt;="&amp;$P$2))</f>
        <v>0</v>
      </c>
      <c r="D7" s="25">
        <f>IF(OR($B7="",_自动清单!$U$5=""),"",SUMIFS(周转筐出入库明细!$K$4:$K$2004,周转筐出入库明细!$C$4:$C$2004,$B7,周转筐出入库明细!$D$4:$D$2004,_自动清单!$U$5,周转筐出入库明细!$B$4:$B$2004,"&gt;="&amp;$P$1,周转筐出入库明细!$B$4:$B$2004,"&lt;="&amp;$P$2))</f>
        <v>0</v>
      </c>
      <c r="E7" s="25">
        <f>IF(OR($B7="",_自动清单!$U$6=""),"",SUMIFS(周转筐出入库明细!$K$4:$K$2004,周转筐出入库明细!$C$4:$C$2004,$B7,周转筐出入库明细!$D$4:$D$2004,_自动清单!$U$6,周转筐出入库明细!$B$4:$B$2004,"&gt;="&amp;$P$1,周转筐出入库明细!$B$4:$B$2004,"&lt;="&amp;$P$2))</f>
        <v>0</v>
      </c>
      <c r="F7" s="25">
        <f>IF(OR($B7="",_自动清单!$U$7=""),"",SUMIFS(周转筐出入库明细!$K$4:$K$2004,周转筐出入库明细!$C$4:$C$2004,$B7,周转筐出入库明细!$D$4:$D$2004,_自动清单!$U$7,周转筐出入库明细!$B$4:$B$2004,"&gt;="&amp;$P$1,周转筐出入库明细!$B$4:$B$2004,"&lt;="&amp;$P$2))</f>
        <v>0</v>
      </c>
      <c r="G7" s="25">
        <f>IF($B7="","",SUMIFS(周转筐出入库明细!$K$4:$K$2004,周转筐出入库明细!$C$4:$C$2004,$B7,周转筐出入库明细!$B$4:$B$2004,"&gt;="&amp;$P$1,周转筐出入库明细!$B$4:$B$2004,"&lt;="&amp;$P$2)-SUM($C7:$F7))</f>
        <v>0</v>
      </c>
      <c r="H7" s="25">
        <f t="shared" si="1"/>
        <v>0</v>
      </c>
      <c r="I7" s="26">
        <f>IF($B7="","",ROUND(SUMIFS(周转筐出入库明细!$P$4:$P$2004,周转筐出入库明细!$C$4:$C$2004,$B7,周转筐出入库明细!$F$4:$F$2004,"销售出库",周转筐出入库明细!$B$4:$B$2004,"&gt;="&amp;$P$1,周转筐出入库明细!$B$4:$B$2004,"&lt;="&amp;$P$2),2))</f>
        <v>0</v>
      </c>
      <c r="J7" s="26">
        <f>IF($B7="","",ROUND(SUMIFS(周转筐出入库明细!$P$4:$P$2004,周转筐出入库明细!$C$4:$C$2004,$B7,周转筐出入库明细!$F$4:$F$2004,"销售出库",周转筐出入库明细!$Q$4:$Q$2004,"已收讫",周转筐出入库明细!$B$4:$B$2004,"&gt;="&amp;$P$1,周转筐出入库明细!$B$4:$B$2004,"&lt;="&amp;$P$2),2))</f>
        <v>0</v>
      </c>
      <c r="K7" s="26">
        <f t="shared" si="2"/>
        <v>0</v>
      </c>
      <c r="L7" s="41"/>
    </row>
    <row r="8" spans="1:16">
      <c r="A8" s="24">
        <f t="shared" si="0"/>
        <v>5</v>
      </c>
      <c r="B8" s="24" t="str">
        <f>IFERROR(INDEX(_自动清单!$AA$4:$AA$203,ROW()-3),"")</f>
        <v>吐尔洪</v>
      </c>
      <c r="C8" s="25">
        <f>IF(OR($B8="",_自动清单!$U$4=""),"",SUMIFS(周转筐出入库明细!$K$4:$K$2004,周转筐出入库明细!$C$4:$C$2004,$B8,周转筐出入库明细!$D$4:$D$2004,_自动清单!$U$4,周转筐出入库明细!$B$4:$B$2004,"&gt;="&amp;$P$1,周转筐出入库明细!$B$4:$B$2004,"&lt;="&amp;$P$2))</f>
        <v>0</v>
      </c>
      <c r="D8" s="25">
        <f>IF(OR($B8="",_自动清单!$U$5=""),"",SUMIFS(周转筐出入库明细!$K$4:$K$2004,周转筐出入库明细!$C$4:$C$2004,$B8,周转筐出入库明细!$D$4:$D$2004,_自动清单!$U$5,周转筐出入库明细!$B$4:$B$2004,"&gt;="&amp;$P$1,周转筐出入库明细!$B$4:$B$2004,"&lt;="&amp;$P$2))</f>
        <v>0</v>
      </c>
      <c r="E8" s="25">
        <f>IF(OR($B8="",_自动清单!$U$6=""),"",SUMIFS(周转筐出入库明细!$K$4:$K$2004,周转筐出入库明细!$C$4:$C$2004,$B8,周转筐出入库明细!$D$4:$D$2004,_自动清单!$U$6,周转筐出入库明细!$B$4:$B$2004,"&gt;="&amp;$P$1,周转筐出入库明细!$B$4:$B$2004,"&lt;="&amp;$P$2))</f>
        <v>0</v>
      </c>
      <c r="F8" s="25">
        <f>IF(OR($B8="",_自动清单!$U$7=""),"",SUMIFS(周转筐出入库明细!$K$4:$K$2004,周转筐出入库明细!$C$4:$C$2004,$B8,周转筐出入库明细!$D$4:$D$2004,_自动清单!$U$7,周转筐出入库明细!$B$4:$B$2004,"&gt;="&amp;$P$1,周转筐出入库明细!$B$4:$B$2004,"&lt;="&amp;$P$2))</f>
        <v>0</v>
      </c>
      <c r="G8" s="25">
        <f>IF($B8="","",SUMIFS(周转筐出入库明细!$K$4:$K$2004,周转筐出入库明细!$C$4:$C$2004,$B8,周转筐出入库明细!$B$4:$B$2004,"&gt;="&amp;$P$1,周转筐出入库明细!$B$4:$B$2004,"&lt;="&amp;$P$2)-SUM($C8:$F8))</f>
        <v>0</v>
      </c>
      <c r="H8" s="25">
        <f t="shared" si="1"/>
        <v>0</v>
      </c>
      <c r="I8" s="26">
        <f>IF($B8="","",ROUND(SUMIFS(周转筐出入库明细!$P$4:$P$2004,周转筐出入库明细!$C$4:$C$2004,$B8,周转筐出入库明细!$F$4:$F$2004,"销售出库",周转筐出入库明细!$B$4:$B$2004,"&gt;="&amp;$P$1,周转筐出入库明细!$B$4:$B$2004,"&lt;="&amp;$P$2),2))</f>
        <v>0</v>
      </c>
      <c r="J8" s="26">
        <f>IF($B8="","",ROUND(SUMIFS(周转筐出入库明细!$P$4:$P$2004,周转筐出入库明细!$C$4:$C$2004,$B8,周转筐出入库明细!$F$4:$F$2004,"销售出库",周转筐出入库明细!$Q$4:$Q$2004,"已收讫",周转筐出入库明细!$B$4:$B$2004,"&gt;="&amp;$P$1,周转筐出入库明细!$B$4:$B$2004,"&lt;="&amp;$P$2),2))</f>
        <v>0</v>
      </c>
      <c r="K8" s="26">
        <f t="shared" si="2"/>
        <v>0</v>
      </c>
      <c r="L8" s="41"/>
    </row>
    <row r="9" spans="1:16">
      <c r="A9" s="24">
        <f t="shared" si="0"/>
        <v>6</v>
      </c>
      <c r="B9" s="24" t="str">
        <f>IFERROR(INDEX(_自动清单!$AA$4:$AA$203,ROW()-3),"")</f>
        <v>热合曼</v>
      </c>
      <c r="C9" s="25">
        <f>IF(OR($B9="",_自动清单!$U$4=""),"",SUMIFS(周转筐出入库明细!$K$4:$K$2004,周转筐出入库明细!$C$4:$C$2004,$B9,周转筐出入库明细!$D$4:$D$2004,_自动清单!$U$4,周转筐出入库明细!$B$4:$B$2004,"&gt;="&amp;$P$1,周转筐出入库明细!$B$4:$B$2004,"&lt;="&amp;$P$2))</f>
        <v>0</v>
      </c>
      <c r="D9" s="25">
        <f>IF(OR($B9="",_自动清单!$U$5=""),"",SUMIFS(周转筐出入库明细!$K$4:$K$2004,周转筐出入库明细!$C$4:$C$2004,$B9,周转筐出入库明细!$D$4:$D$2004,_自动清单!$U$5,周转筐出入库明细!$B$4:$B$2004,"&gt;="&amp;$P$1,周转筐出入库明细!$B$4:$B$2004,"&lt;="&amp;$P$2))</f>
        <v>0</v>
      </c>
      <c r="E9" s="25">
        <f>IF(OR($B9="",_自动清单!$U$6=""),"",SUMIFS(周转筐出入库明细!$K$4:$K$2004,周转筐出入库明细!$C$4:$C$2004,$B9,周转筐出入库明细!$D$4:$D$2004,_自动清单!$U$6,周转筐出入库明细!$B$4:$B$2004,"&gt;="&amp;$P$1,周转筐出入库明细!$B$4:$B$2004,"&lt;="&amp;$P$2))</f>
        <v>0</v>
      </c>
      <c r="F9" s="25">
        <f>IF(OR($B9="",_自动清单!$U$7=""),"",SUMIFS(周转筐出入库明细!$K$4:$K$2004,周转筐出入库明细!$C$4:$C$2004,$B9,周转筐出入库明细!$D$4:$D$2004,_自动清单!$U$7,周转筐出入库明细!$B$4:$B$2004,"&gt;="&amp;$P$1,周转筐出入库明细!$B$4:$B$2004,"&lt;="&amp;$P$2))</f>
        <v>0</v>
      </c>
      <c r="G9" s="25">
        <f>IF($B9="","",SUMIFS(周转筐出入库明细!$K$4:$K$2004,周转筐出入库明细!$C$4:$C$2004,$B9,周转筐出入库明细!$B$4:$B$2004,"&gt;="&amp;$P$1,周转筐出入库明细!$B$4:$B$2004,"&lt;="&amp;$P$2)-SUM($C9:$F9))</f>
        <v>0</v>
      </c>
      <c r="H9" s="25">
        <f t="shared" si="1"/>
        <v>0</v>
      </c>
      <c r="I9" s="26">
        <f>IF($B9="","",ROUND(SUMIFS(周转筐出入库明细!$P$4:$P$2004,周转筐出入库明细!$C$4:$C$2004,$B9,周转筐出入库明细!$F$4:$F$2004,"销售出库",周转筐出入库明细!$B$4:$B$2004,"&gt;="&amp;$P$1,周转筐出入库明细!$B$4:$B$2004,"&lt;="&amp;$P$2),2))</f>
        <v>0</v>
      </c>
      <c r="J9" s="26">
        <f>IF($B9="","",ROUND(SUMIFS(周转筐出入库明细!$P$4:$P$2004,周转筐出入库明细!$C$4:$C$2004,$B9,周转筐出入库明细!$F$4:$F$2004,"销售出库",周转筐出入库明细!$Q$4:$Q$2004,"已收讫",周转筐出入库明细!$B$4:$B$2004,"&gt;="&amp;$P$1,周转筐出入库明细!$B$4:$B$2004,"&lt;="&amp;$P$2),2))</f>
        <v>0</v>
      </c>
      <c r="K9" s="26">
        <f t="shared" si="2"/>
        <v>0</v>
      </c>
      <c r="L9" s="41"/>
    </row>
    <row r="10" spans="1:16">
      <c r="A10" s="24">
        <f t="shared" si="0"/>
        <v>7</v>
      </c>
      <c r="B10" s="24" t="str">
        <f>IFERROR(INDEX(_自动清单!$AA$4:$AA$203,ROW()-3),"")</f>
        <v>王灵云</v>
      </c>
      <c r="C10" s="25">
        <f>IF(OR($B10="",_自动清单!$U$4=""),"",SUMIFS(周转筐出入库明细!$K$4:$K$2004,周转筐出入库明细!$C$4:$C$2004,$B10,周转筐出入库明细!$D$4:$D$2004,_自动清单!$U$4,周转筐出入库明细!$B$4:$B$2004,"&gt;="&amp;$P$1,周转筐出入库明细!$B$4:$B$2004,"&lt;="&amp;$P$2))</f>
        <v>0</v>
      </c>
      <c r="D10" s="25">
        <f>IF(OR($B10="",_自动清单!$U$5=""),"",SUMIFS(周转筐出入库明细!$K$4:$K$2004,周转筐出入库明细!$C$4:$C$2004,$B10,周转筐出入库明细!$D$4:$D$2004,_自动清单!$U$5,周转筐出入库明细!$B$4:$B$2004,"&gt;="&amp;$P$1,周转筐出入库明细!$B$4:$B$2004,"&lt;="&amp;$P$2))</f>
        <v>0</v>
      </c>
      <c r="E10" s="25">
        <f>IF(OR($B10="",_自动清单!$U$6=""),"",SUMIFS(周转筐出入库明细!$K$4:$K$2004,周转筐出入库明细!$C$4:$C$2004,$B10,周转筐出入库明细!$D$4:$D$2004,_自动清单!$U$6,周转筐出入库明细!$B$4:$B$2004,"&gt;="&amp;$P$1,周转筐出入库明细!$B$4:$B$2004,"&lt;="&amp;$P$2))</f>
        <v>0</v>
      </c>
      <c r="F10" s="25">
        <f>IF(OR($B10="",_自动清单!$U$7=""),"",SUMIFS(周转筐出入库明细!$K$4:$K$2004,周转筐出入库明细!$C$4:$C$2004,$B10,周转筐出入库明细!$D$4:$D$2004,_自动清单!$U$7,周转筐出入库明细!$B$4:$B$2004,"&gt;="&amp;$P$1,周转筐出入库明细!$B$4:$B$2004,"&lt;="&amp;$P$2))</f>
        <v>0</v>
      </c>
      <c r="G10" s="25">
        <f>IF($B10="","",SUMIFS(周转筐出入库明细!$K$4:$K$2004,周转筐出入库明细!$C$4:$C$2004,$B10,周转筐出入库明细!$B$4:$B$2004,"&gt;="&amp;$P$1,周转筐出入库明细!$B$4:$B$2004,"&lt;="&amp;$P$2)-SUM($C10:$F10))</f>
        <v>960</v>
      </c>
      <c r="H10" s="25">
        <f t="shared" si="1"/>
        <v>960</v>
      </c>
      <c r="I10" s="26">
        <f>IF($B10="","",ROUND(SUMIFS(周转筐出入库明细!$P$4:$P$2004,周转筐出入库明细!$C$4:$C$2004,$B10,周转筐出入库明细!$F$4:$F$2004,"销售出库",周转筐出入库明细!$B$4:$B$2004,"&gt;="&amp;$P$1,周转筐出入库明细!$B$4:$B$2004,"&lt;="&amp;$P$2),2))</f>
        <v>0</v>
      </c>
      <c r="J10" s="26">
        <f>IF($B10="","",ROUND(SUMIFS(周转筐出入库明细!$P$4:$P$2004,周转筐出入库明细!$C$4:$C$2004,$B10,周转筐出入库明细!$F$4:$F$2004,"销售出库",周转筐出入库明细!$Q$4:$Q$2004,"已收讫",周转筐出入库明细!$B$4:$B$2004,"&gt;="&amp;$P$1,周转筐出入库明细!$B$4:$B$2004,"&lt;="&amp;$P$2),2))</f>
        <v>0</v>
      </c>
      <c r="K10" s="26">
        <f t="shared" si="2"/>
        <v>0</v>
      </c>
      <c r="L10" s="41"/>
    </row>
    <row r="11" spans="1:16">
      <c r="A11" s="24">
        <f t="shared" si="0"/>
        <v>8</v>
      </c>
      <c r="B11" s="24" t="str">
        <f>IFERROR(INDEX(_自动清单!$AA$4:$AA$203,ROW()-3),"")</f>
        <v>麦麦提</v>
      </c>
      <c r="C11" s="25">
        <f>IF(OR($B11="",_自动清单!$U$4=""),"",SUMIFS(周转筐出入库明细!$K$4:$K$2004,周转筐出入库明细!$C$4:$C$2004,$B11,周转筐出入库明细!$D$4:$D$2004,_自动清单!$U$4,周转筐出入库明细!$B$4:$B$2004,"&gt;="&amp;$P$1,周转筐出入库明细!$B$4:$B$2004,"&lt;="&amp;$P$2))</f>
        <v>0</v>
      </c>
      <c r="D11" s="25">
        <f>IF(OR($B11="",_自动清单!$U$5=""),"",SUMIFS(周转筐出入库明细!$K$4:$K$2004,周转筐出入库明细!$C$4:$C$2004,$B11,周转筐出入库明细!$D$4:$D$2004,_自动清单!$U$5,周转筐出入库明细!$B$4:$B$2004,"&gt;="&amp;$P$1,周转筐出入库明细!$B$4:$B$2004,"&lt;="&amp;$P$2))</f>
        <v>0</v>
      </c>
      <c r="E11" s="25">
        <f>IF(OR($B11="",_自动清单!$U$6=""),"",SUMIFS(周转筐出入库明细!$K$4:$K$2004,周转筐出入库明细!$C$4:$C$2004,$B11,周转筐出入库明细!$D$4:$D$2004,_自动清单!$U$6,周转筐出入库明细!$B$4:$B$2004,"&gt;="&amp;$P$1,周转筐出入库明细!$B$4:$B$2004,"&lt;="&amp;$P$2))</f>
        <v>0</v>
      </c>
      <c r="F11" s="25">
        <f>IF(OR($B11="",_自动清单!$U$7=""),"",SUMIFS(周转筐出入库明细!$K$4:$K$2004,周转筐出入库明细!$C$4:$C$2004,$B11,周转筐出入库明细!$D$4:$D$2004,_自动清单!$U$7,周转筐出入库明细!$B$4:$B$2004,"&gt;="&amp;$P$1,周转筐出入库明细!$B$4:$B$2004,"&lt;="&amp;$P$2))</f>
        <v>0</v>
      </c>
      <c r="G11" s="25">
        <f>IF($B11="","",SUMIFS(周转筐出入库明细!$K$4:$K$2004,周转筐出入库明细!$C$4:$C$2004,$B11,周转筐出入库明细!$B$4:$B$2004,"&gt;="&amp;$P$1,周转筐出入库明细!$B$4:$B$2004,"&lt;="&amp;$P$2)-SUM($C11:$F11))</f>
        <v>0</v>
      </c>
      <c r="H11" s="25">
        <f t="shared" si="1"/>
        <v>0</v>
      </c>
      <c r="I11" s="26">
        <f>IF($B11="","",ROUND(SUMIFS(周转筐出入库明细!$P$4:$P$2004,周转筐出入库明细!$C$4:$C$2004,$B11,周转筐出入库明细!$F$4:$F$2004,"销售出库",周转筐出入库明细!$B$4:$B$2004,"&gt;="&amp;$P$1,周转筐出入库明细!$B$4:$B$2004,"&lt;="&amp;$P$2),2))</f>
        <v>0</v>
      </c>
      <c r="J11" s="26">
        <f>IF($B11="","",ROUND(SUMIFS(周转筐出入库明细!$P$4:$P$2004,周转筐出入库明细!$C$4:$C$2004,$B11,周转筐出入库明细!$F$4:$F$2004,"销售出库",周转筐出入库明细!$Q$4:$Q$2004,"已收讫",周转筐出入库明细!$B$4:$B$2004,"&gt;="&amp;$P$1,周转筐出入库明细!$B$4:$B$2004,"&lt;="&amp;$P$2),2))</f>
        <v>0</v>
      </c>
      <c r="K11" s="26">
        <f t="shared" si="2"/>
        <v>0</v>
      </c>
      <c r="L11" s="41"/>
    </row>
    <row r="12" spans="1:16">
      <c r="A12" s="24">
        <f t="shared" si="0"/>
        <v>9</v>
      </c>
      <c r="B12" s="24" t="str">
        <f>IFERROR(INDEX(_自动清单!$AA$4:$AA$203,ROW()-3),"")</f>
        <v>努尔敦</v>
      </c>
      <c r="C12" s="25">
        <f>IF(OR($B12="",_自动清单!$U$4=""),"",SUMIFS(周转筐出入库明细!$K$4:$K$2004,周转筐出入库明细!$C$4:$C$2004,$B12,周转筐出入库明细!$D$4:$D$2004,_自动清单!$U$4,周转筐出入库明细!$B$4:$B$2004,"&gt;="&amp;$P$1,周转筐出入库明细!$B$4:$B$2004,"&lt;="&amp;$P$2))</f>
        <v>0</v>
      </c>
      <c r="D12" s="25">
        <f>IF(OR($B12="",_自动清单!$U$5=""),"",SUMIFS(周转筐出入库明细!$K$4:$K$2004,周转筐出入库明细!$C$4:$C$2004,$B12,周转筐出入库明细!$D$4:$D$2004,_自动清单!$U$5,周转筐出入库明细!$B$4:$B$2004,"&gt;="&amp;$P$1,周转筐出入库明细!$B$4:$B$2004,"&lt;="&amp;$P$2))</f>
        <v>0</v>
      </c>
      <c r="E12" s="25">
        <f>IF(OR($B12="",_自动清单!$U$6=""),"",SUMIFS(周转筐出入库明细!$K$4:$K$2004,周转筐出入库明细!$C$4:$C$2004,$B12,周转筐出入库明细!$D$4:$D$2004,_自动清单!$U$6,周转筐出入库明细!$B$4:$B$2004,"&gt;="&amp;$P$1,周转筐出入库明细!$B$4:$B$2004,"&lt;="&amp;$P$2))</f>
        <v>0</v>
      </c>
      <c r="F12" s="25">
        <f>IF(OR($B12="",_自动清单!$U$7=""),"",SUMIFS(周转筐出入库明细!$K$4:$K$2004,周转筐出入库明细!$C$4:$C$2004,$B12,周转筐出入库明细!$D$4:$D$2004,_自动清单!$U$7,周转筐出入库明细!$B$4:$B$2004,"&gt;="&amp;$P$1,周转筐出入库明细!$B$4:$B$2004,"&lt;="&amp;$P$2))</f>
        <v>0</v>
      </c>
      <c r="G12" s="25">
        <f>IF($B12="","",SUMIFS(周转筐出入库明细!$K$4:$K$2004,周转筐出入库明细!$C$4:$C$2004,$B12,周转筐出入库明细!$B$4:$B$2004,"&gt;="&amp;$P$1,周转筐出入库明细!$B$4:$B$2004,"&lt;="&amp;$P$2)-SUM($C12:$F12))</f>
        <v>0</v>
      </c>
      <c r="H12" s="25">
        <f t="shared" si="1"/>
        <v>0</v>
      </c>
      <c r="I12" s="26">
        <f>IF($B12="","",ROUND(SUMIFS(周转筐出入库明细!$P$4:$P$2004,周转筐出入库明细!$C$4:$C$2004,$B12,周转筐出入库明细!$F$4:$F$2004,"销售出库",周转筐出入库明细!$B$4:$B$2004,"&gt;="&amp;$P$1,周转筐出入库明细!$B$4:$B$2004,"&lt;="&amp;$P$2),2))</f>
        <v>0</v>
      </c>
      <c r="J12" s="26">
        <f>IF($B12="","",ROUND(SUMIFS(周转筐出入库明细!$P$4:$P$2004,周转筐出入库明细!$C$4:$C$2004,$B12,周转筐出入库明细!$F$4:$F$2004,"销售出库",周转筐出入库明细!$Q$4:$Q$2004,"已收讫",周转筐出入库明细!$B$4:$B$2004,"&gt;="&amp;$P$1,周转筐出入库明细!$B$4:$B$2004,"&lt;="&amp;$P$2),2))</f>
        <v>0</v>
      </c>
      <c r="K12" s="26">
        <f t="shared" si="2"/>
        <v>0</v>
      </c>
      <c r="L12" s="41"/>
    </row>
    <row r="13" spans="1:16">
      <c r="A13" s="24">
        <f t="shared" si="0"/>
        <v>10</v>
      </c>
      <c r="B13" s="24" t="str">
        <f>IFERROR(INDEX(_自动清单!$AA$4:$AA$203,ROW()-3),"")</f>
        <v>荆建君</v>
      </c>
      <c r="C13" s="25">
        <f>IF(OR($B13="",_自动清单!$U$4=""),"",SUMIFS(周转筐出入库明细!$K$4:$K$2004,周转筐出入库明细!$C$4:$C$2004,$B13,周转筐出入库明细!$D$4:$D$2004,_自动清单!$U$4,周转筐出入库明细!$B$4:$B$2004,"&gt;="&amp;$P$1,周转筐出入库明细!$B$4:$B$2004,"&lt;="&amp;$P$2))</f>
        <v>0</v>
      </c>
      <c r="D13" s="25">
        <f>IF(OR($B13="",_自动清单!$U$5=""),"",SUMIFS(周转筐出入库明细!$K$4:$K$2004,周转筐出入库明细!$C$4:$C$2004,$B13,周转筐出入库明细!$D$4:$D$2004,_自动清单!$U$5,周转筐出入库明细!$B$4:$B$2004,"&gt;="&amp;$P$1,周转筐出入库明细!$B$4:$B$2004,"&lt;="&amp;$P$2))</f>
        <v>0</v>
      </c>
      <c r="E13" s="25">
        <f>IF(OR($B13="",_自动清单!$U$6=""),"",SUMIFS(周转筐出入库明细!$K$4:$K$2004,周转筐出入库明细!$C$4:$C$2004,$B13,周转筐出入库明细!$D$4:$D$2004,_自动清单!$U$6,周转筐出入库明细!$B$4:$B$2004,"&gt;="&amp;$P$1,周转筐出入库明细!$B$4:$B$2004,"&lt;="&amp;$P$2))</f>
        <v>0</v>
      </c>
      <c r="F13" s="25">
        <f>IF(OR($B13="",_自动清单!$U$7=""),"",SUMIFS(周转筐出入库明细!$K$4:$K$2004,周转筐出入库明细!$C$4:$C$2004,$B13,周转筐出入库明细!$D$4:$D$2004,_自动清单!$U$7,周转筐出入库明细!$B$4:$B$2004,"&gt;="&amp;$P$1,周转筐出入库明细!$B$4:$B$2004,"&lt;="&amp;$P$2))</f>
        <v>0</v>
      </c>
      <c r="G13" s="25">
        <f>IF($B13="","",SUMIFS(周转筐出入库明细!$K$4:$K$2004,周转筐出入库明细!$C$4:$C$2004,$B13,周转筐出入库明细!$B$4:$B$2004,"&gt;="&amp;$P$1,周转筐出入库明细!$B$4:$B$2004,"&lt;="&amp;$P$2)-SUM($C13:$F13))</f>
        <v>0</v>
      </c>
      <c r="H13" s="25">
        <f t="shared" si="1"/>
        <v>0</v>
      </c>
      <c r="I13" s="26">
        <f>IF($B13="","",ROUND(SUMIFS(周转筐出入库明细!$P$4:$P$2004,周转筐出入库明细!$C$4:$C$2004,$B13,周转筐出入库明细!$F$4:$F$2004,"销售出库",周转筐出入库明细!$B$4:$B$2004,"&gt;="&amp;$P$1,周转筐出入库明细!$B$4:$B$2004,"&lt;="&amp;$P$2),2))</f>
        <v>0</v>
      </c>
      <c r="J13" s="26">
        <f>IF($B13="","",ROUND(SUMIFS(周转筐出入库明细!$P$4:$P$2004,周转筐出入库明细!$C$4:$C$2004,$B13,周转筐出入库明细!$F$4:$F$2004,"销售出库",周转筐出入库明细!$Q$4:$Q$2004,"已收讫",周转筐出入库明细!$B$4:$B$2004,"&gt;="&amp;$P$1,周转筐出入库明细!$B$4:$B$2004,"&lt;="&amp;$P$2),2))</f>
        <v>0</v>
      </c>
      <c r="K13" s="26">
        <f t="shared" si="2"/>
        <v>0</v>
      </c>
      <c r="L13" s="41"/>
    </row>
    <row r="14" spans="1:16">
      <c r="A14" s="24">
        <f t="shared" si="0"/>
        <v>11</v>
      </c>
      <c r="B14" s="24" t="str">
        <f>IFERROR(INDEX(_自动清单!$AA$4:$AA$203,ROW()-3),"")</f>
        <v>贾建国</v>
      </c>
      <c r="C14" s="25">
        <f>IF(OR($B14="",_自动清单!$U$4=""),"",SUMIFS(周转筐出入库明细!$K$4:$K$2004,周转筐出入库明细!$C$4:$C$2004,$B14,周转筐出入库明细!$D$4:$D$2004,_自动清单!$U$4,周转筐出入库明细!$B$4:$B$2004,"&gt;="&amp;$P$1,周转筐出入库明细!$B$4:$B$2004,"&lt;="&amp;$P$2))</f>
        <v>0</v>
      </c>
      <c r="D14" s="25">
        <f>IF(OR($B14="",_自动清单!$U$5=""),"",SUMIFS(周转筐出入库明细!$K$4:$K$2004,周转筐出入库明细!$C$4:$C$2004,$B14,周转筐出入库明细!$D$4:$D$2004,_自动清单!$U$5,周转筐出入库明细!$B$4:$B$2004,"&gt;="&amp;$P$1,周转筐出入库明细!$B$4:$B$2004,"&lt;="&amp;$P$2))</f>
        <v>0</v>
      </c>
      <c r="E14" s="25">
        <f>IF(OR($B14="",_自动清单!$U$6=""),"",SUMIFS(周转筐出入库明细!$K$4:$K$2004,周转筐出入库明细!$C$4:$C$2004,$B14,周转筐出入库明细!$D$4:$D$2004,_自动清单!$U$6,周转筐出入库明细!$B$4:$B$2004,"&gt;="&amp;$P$1,周转筐出入库明细!$B$4:$B$2004,"&lt;="&amp;$P$2))</f>
        <v>0</v>
      </c>
      <c r="F14" s="25">
        <f>IF(OR($B14="",_自动清单!$U$7=""),"",SUMIFS(周转筐出入库明细!$K$4:$K$2004,周转筐出入库明细!$C$4:$C$2004,$B14,周转筐出入库明细!$D$4:$D$2004,_自动清单!$U$7,周转筐出入库明细!$B$4:$B$2004,"&gt;="&amp;$P$1,周转筐出入库明细!$B$4:$B$2004,"&lt;="&amp;$P$2))</f>
        <v>0</v>
      </c>
      <c r="G14" s="25">
        <f>IF($B14="","",SUMIFS(周转筐出入库明细!$K$4:$K$2004,周转筐出入库明细!$C$4:$C$2004,$B14,周转筐出入库明细!$B$4:$B$2004,"&gt;="&amp;$P$1,周转筐出入库明细!$B$4:$B$2004,"&lt;="&amp;$P$2)-SUM($C14:$F14))</f>
        <v>0</v>
      </c>
      <c r="H14" s="25">
        <f t="shared" si="1"/>
        <v>0</v>
      </c>
      <c r="I14" s="26">
        <f>IF($B14="","",ROUND(SUMIFS(周转筐出入库明细!$P$4:$P$2004,周转筐出入库明细!$C$4:$C$2004,$B14,周转筐出入库明细!$F$4:$F$2004,"销售出库",周转筐出入库明细!$B$4:$B$2004,"&gt;="&amp;$P$1,周转筐出入库明细!$B$4:$B$2004,"&lt;="&amp;$P$2),2))</f>
        <v>0</v>
      </c>
      <c r="J14" s="26">
        <f>IF($B14="","",ROUND(SUMIFS(周转筐出入库明细!$P$4:$P$2004,周转筐出入库明细!$C$4:$C$2004,$B14,周转筐出入库明细!$F$4:$F$2004,"销售出库",周转筐出入库明细!$Q$4:$Q$2004,"已收讫",周转筐出入库明细!$B$4:$B$2004,"&gt;="&amp;$P$1,周转筐出入库明细!$B$4:$B$2004,"&lt;="&amp;$P$2),2))</f>
        <v>0</v>
      </c>
      <c r="K14" s="26">
        <f t="shared" si="2"/>
        <v>0</v>
      </c>
      <c r="L14" s="41"/>
    </row>
    <row r="15" spans="1:16">
      <c r="A15" s="24">
        <f t="shared" si="0"/>
        <v>12</v>
      </c>
      <c r="B15" s="24" t="str">
        <f>IFERROR(INDEX(_自动清单!$AA$4:$AA$203,ROW()-3),"")</f>
        <v>吐尔逊</v>
      </c>
      <c r="C15" s="25">
        <f>IF(OR($B15="",_自动清单!$U$4=""),"",SUMIFS(周转筐出入库明细!$K$4:$K$2004,周转筐出入库明细!$C$4:$C$2004,$B15,周转筐出入库明细!$D$4:$D$2004,_自动清单!$U$4,周转筐出入库明细!$B$4:$B$2004,"&gt;="&amp;$P$1,周转筐出入库明细!$B$4:$B$2004,"&lt;="&amp;$P$2))</f>
        <v>0</v>
      </c>
      <c r="D15" s="25">
        <f>IF(OR($B15="",_自动清单!$U$5=""),"",SUMIFS(周转筐出入库明细!$K$4:$K$2004,周转筐出入库明细!$C$4:$C$2004,$B15,周转筐出入库明细!$D$4:$D$2004,_自动清单!$U$5,周转筐出入库明细!$B$4:$B$2004,"&gt;="&amp;$P$1,周转筐出入库明细!$B$4:$B$2004,"&lt;="&amp;$P$2))</f>
        <v>0</v>
      </c>
      <c r="E15" s="25">
        <f>IF(OR($B15="",_自动清单!$U$6=""),"",SUMIFS(周转筐出入库明细!$K$4:$K$2004,周转筐出入库明细!$C$4:$C$2004,$B15,周转筐出入库明细!$D$4:$D$2004,_自动清单!$U$6,周转筐出入库明细!$B$4:$B$2004,"&gt;="&amp;$P$1,周转筐出入库明细!$B$4:$B$2004,"&lt;="&amp;$P$2))</f>
        <v>0</v>
      </c>
      <c r="F15" s="25">
        <f>IF(OR($B15="",_自动清单!$U$7=""),"",SUMIFS(周转筐出入库明细!$K$4:$K$2004,周转筐出入库明细!$C$4:$C$2004,$B15,周转筐出入库明细!$D$4:$D$2004,_自动清单!$U$7,周转筐出入库明细!$B$4:$B$2004,"&gt;="&amp;$P$1,周转筐出入库明细!$B$4:$B$2004,"&lt;="&amp;$P$2))</f>
        <v>0</v>
      </c>
      <c r="G15" s="25">
        <f>IF($B15="","",SUMIFS(周转筐出入库明细!$K$4:$K$2004,周转筐出入库明细!$C$4:$C$2004,$B15,周转筐出入库明细!$B$4:$B$2004,"&gt;="&amp;$P$1,周转筐出入库明细!$B$4:$B$2004,"&lt;="&amp;$P$2)-SUM($C15:$F15))</f>
        <v>0</v>
      </c>
      <c r="H15" s="25">
        <f t="shared" si="1"/>
        <v>0</v>
      </c>
      <c r="I15" s="26">
        <f>IF($B15="","",ROUND(SUMIFS(周转筐出入库明细!$P$4:$P$2004,周转筐出入库明细!$C$4:$C$2004,$B15,周转筐出入库明细!$F$4:$F$2004,"销售出库",周转筐出入库明细!$B$4:$B$2004,"&gt;="&amp;$P$1,周转筐出入库明细!$B$4:$B$2004,"&lt;="&amp;$P$2),2))</f>
        <v>0</v>
      </c>
      <c r="J15" s="26">
        <f>IF($B15="","",ROUND(SUMIFS(周转筐出入库明细!$P$4:$P$2004,周转筐出入库明细!$C$4:$C$2004,$B15,周转筐出入库明细!$F$4:$F$2004,"销售出库",周转筐出入库明细!$Q$4:$Q$2004,"已收讫",周转筐出入库明细!$B$4:$B$2004,"&gt;="&amp;$P$1,周转筐出入库明细!$B$4:$B$2004,"&lt;="&amp;$P$2),2))</f>
        <v>0</v>
      </c>
      <c r="K15" s="26">
        <f t="shared" si="2"/>
        <v>0</v>
      </c>
      <c r="L15" s="41"/>
    </row>
    <row r="16" spans="1:16">
      <c r="A16" s="24" t="str">
        <f t="shared" si="0"/>
        <v/>
      </c>
      <c r="B16" s="24" t="str">
        <f>IFERROR(INDEX(_自动清单!$AA$4:$AA$203,ROW()-3),"")</f>
        <v/>
      </c>
      <c r="C16" s="25" t="str">
        <f>IF(OR($B16="",_自动清单!$U$4=""),"",SUMIFS(周转筐出入库明细!$K$4:$K$2004,周转筐出入库明细!$C$4:$C$2004,$B16,周转筐出入库明细!$D$4:$D$2004,_自动清单!$U$4,周转筐出入库明细!$B$4:$B$2004,"&gt;="&amp;$P$1,周转筐出入库明细!$B$4:$B$2004,"&lt;="&amp;$P$2))</f>
        <v/>
      </c>
      <c r="D16" s="25" t="str">
        <f>IF(OR($B16="",_自动清单!$U$5=""),"",SUMIFS(周转筐出入库明细!$K$4:$K$2004,周转筐出入库明细!$C$4:$C$2004,$B16,周转筐出入库明细!$D$4:$D$2004,_自动清单!$U$5,周转筐出入库明细!$B$4:$B$2004,"&gt;="&amp;$P$1,周转筐出入库明细!$B$4:$B$2004,"&lt;="&amp;$P$2))</f>
        <v/>
      </c>
      <c r="E16" s="25" t="str">
        <f>IF(OR($B16="",_自动清单!$U$6=""),"",SUMIFS(周转筐出入库明细!$K$4:$K$2004,周转筐出入库明细!$C$4:$C$2004,$B16,周转筐出入库明细!$D$4:$D$2004,_自动清单!$U$6,周转筐出入库明细!$B$4:$B$2004,"&gt;="&amp;$P$1,周转筐出入库明细!$B$4:$B$2004,"&lt;="&amp;$P$2))</f>
        <v/>
      </c>
      <c r="F16" s="25" t="str">
        <f>IF(OR($B16="",_自动清单!$U$7=""),"",SUMIFS(周转筐出入库明细!$K$4:$K$2004,周转筐出入库明细!$C$4:$C$2004,$B16,周转筐出入库明细!$D$4:$D$2004,_自动清单!$U$7,周转筐出入库明细!$B$4:$B$2004,"&gt;="&amp;$P$1,周转筐出入库明细!$B$4:$B$2004,"&lt;="&amp;$P$2))</f>
        <v/>
      </c>
      <c r="G16" s="25" t="str">
        <f>IF($B16="","",SUMIFS(周转筐出入库明细!$K$4:$K$2004,周转筐出入库明细!$C$4:$C$2004,$B16,周转筐出入库明细!$B$4:$B$2004,"&gt;="&amp;$P$1,周转筐出入库明细!$B$4:$B$2004,"&lt;="&amp;$P$2)-SUM($C16:$F16))</f>
        <v/>
      </c>
      <c r="H16" s="25" t="str">
        <f t="shared" si="1"/>
        <v/>
      </c>
      <c r="I16" s="26" t="str">
        <f>IF($B16="","",ROUND(SUMIFS(周转筐出入库明细!$P$4:$P$2004,周转筐出入库明细!$C$4:$C$2004,$B16,周转筐出入库明细!$F$4:$F$2004,"销售出库",周转筐出入库明细!$B$4:$B$2004,"&gt;="&amp;$P$1,周转筐出入库明细!$B$4:$B$2004,"&lt;="&amp;$P$2),2))</f>
        <v/>
      </c>
      <c r="J16" s="26" t="str">
        <f>IF($B16="","",ROUND(SUMIFS(周转筐出入库明细!$P$4:$P$2004,周转筐出入库明细!$C$4:$C$2004,$B16,周转筐出入库明细!$F$4:$F$2004,"销售出库",周转筐出入库明细!$Q$4:$Q$2004,"已收讫",周转筐出入库明细!$B$4:$B$2004,"&gt;="&amp;$P$1,周转筐出入库明细!$B$4:$B$2004,"&lt;="&amp;$P$2),2))</f>
        <v/>
      </c>
      <c r="K16" s="26" t="str">
        <f t="shared" si="2"/>
        <v/>
      </c>
      <c r="L16" s="41"/>
    </row>
    <row r="17" spans="1:12">
      <c r="A17" s="24" t="str">
        <f t="shared" si="0"/>
        <v/>
      </c>
      <c r="B17" s="24" t="str">
        <f>IFERROR(INDEX(_自动清单!$AA$4:$AA$203,ROW()-3),"")</f>
        <v/>
      </c>
      <c r="C17" s="25" t="str">
        <f>IF(OR($B17="",_自动清单!$U$4=""),"",SUMIFS(周转筐出入库明细!$K$4:$K$2004,周转筐出入库明细!$C$4:$C$2004,$B17,周转筐出入库明细!$D$4:$D$2004,_自动清单!$U$4,周转筐出入库明细!$B$4:$B$2004,"&gt;="&amp;$P$1,周转筐出入库明细!$B$4:$B$2004,"&lt;="&amp;$P$2))</f>
        <v/>
      </c>
      <c r="D17" s="25" t="str">
        <f>IF(OR($B17="",_自动清单!$U$5=""),"",SUMIFS(周转筐出入库明细!$K$4:$K$2004,周转筐出入库明细!$C$4:$C$2004,$B17,周转筐出入库明细!$D$4:$D$2004,_自动清单!$U$5,周转筐出入库明细!$B$4:$B$2004,"&gt;="&amp;$P$1,周转筐出入库明细!$B$4:$B$2004,"&lt;="&amp;$P$2))</f>
        <v/>
      </c>
      <c r="E17" s="25" t="str">
        <f>IF(OR($B17="",_自动清单!$U$6=""),"",SUMIFS(周转筐出入库明细!$K$4:$K$2004,周转筐出入库明细!$C$4:$C$2004,$B17,周转筐出入库明细!$D$4:$D$2004,_自动清单!$U$6,周转筐出入库明细!$B$4:$B$2004,"&gt;="&amp;$P$1,周转筐出入库明细!$B$4:$B$2004,"&lt;="&amp;$P$2))</f>
        <v/>
      </c>
      <c r="F17" s="25" t="str">
        <f>IF(OR($B17="",_自动清单!$U$7=""),"",SUMIFS(周转筐出入库明细!$K$4:$K$2004,周转筐出入库明细!$C$4:$C$2004,$B17,周转筐出入库明细!$D$4:$D$2004,_自动清单!$U$7,周转筐出入库明细!$B$4:$B$2004,"&gt;="&amp;$P$1,周转筐出入库明细!$B$4:$B$2004,"&lt;="&amp;$P$2))</f>
        <v/>
      </c>
      <c r="G17" s="25" t="str">
        <f>IF($B17="","",SUMIFS(周转筐出入库明细!$K$4:$K$2004,周转筐出入库明细!$C$4:$C$2004,$B17,周转筐出入库明细!$B$4:$B$2004,"&gt;="&amp;$P$1,周转筐出入库明细!$B$4:$B$2004,"&lt;="&amp;$P$2)-SUM($C17:$F17))</f>
        <v/>
      </c>
      <c r="H17" s="25" t="str">
        <f t="shared" si="1"/>
        <v/>
      </c>
      <c r="I17" s="26" t="str">
        <f>IF($B17="","",ROUND(SUMIFS(周转筐出入库明细!$P$4:$P$2004,周转筐出入库明细!$C$4:$C$2004,$B17,周转筐出入库明细!$F$4:$F$2004,"销售出库",周转筐出入库明细!$B$4:$B$2004,"&gt;="&amp;$P$1,周转筐出入库明细!$B$4:$B$2004,"&lt;="&amp;$P$2),2))</f>
        <v/>
      </c>
      <c r="J17" s="26" t="str">
        <f>IF($B17="","",ROUND(SUMIFS(周转筐出入库明细!$P$4:$P$2004,周转筐出入库明细!$C$4:$C$2004,$B17,周转筐出入库明细!$F$4:$F$2004,"销售出库",周转筐出入库明细!$Q$4:$Q$2004,"已收讫",周转筐出入库明细!$B$4:$B$2004,"&gt;="&amp;$P$1,周转筐出入库明细!$B$4:$B$2004,"&lt;="&amp;$P$2),2))</f>
        <v/>
      </c>
      <c r="K17" s="26" t="str">
        <f t="shared" si="2"/>
        <v/>
      </c>
      <c r="L17" s="41"/>
    </row>
    <row r="18" spans="1:12">
      <c r="A18" s="24" t="str">
        <f t="shared" si="0"/>
        <v/>
      </c>
      <c r="B18" s="24" t="str">
        <f>IFERROR(INDEX(_自动清单!$AA$4:$AA$203,ROW()-3),"")</f>
        <v/>
      </c>
      <c r="C18" s="25" t="str">
        <f>IF(OR($B18="",_自动清单!$U$4=""),"",SUMIFS(周转筐出入库明细!$K$4:$K$2004,周转筐出入库明细!$C$4:$C$2004,$B18,周转筐出入库明细!$D$4:$D$2004,_自动清单!$U$4,周转筐出入库明细!$B$4:$B$2004,"&gt;="&amp;$P$1,周转筐出入库明细!$B$4:$B$2004,"&lt;="&amp;$P$2))</f>
        <v/>
      </c>
      <c r="D18" s="25" t="str">
        <f>IF(OR($B18="",_自动清单!$U$5=""),"",SUMIFS(周转筐出入库明细!$K$4:$K$2004,周转筐出入库明细!$C$4:$C$2004,$B18,周转筐出入库明细!$D$4:$D$2004,_自动清单!$U$5,周转筐出入库明细!$B$4:$B$2004,"&gt;="&amp;$P$1,周转筐出入库明细!$B$4:$B$2004,"&lt;="&amp;$P$2))</f>
        <v/>
      </c>
      <c r="E18" s="25" t="str">
        <f>IF(OR($B18="",_自动清单!$U$6=""),"",SUMIFS(周转筐出入库明细!$K$4:$K$2004,周转筐出入库明细!$C$4:$C$2004,$B18,周转筐出入库明细!$D$4:$D$2004,_自动清单!$U$6,周转筐出入库明细!$B$4:$B$2004,"&gt;="&amp;$P$1,周转筐出入库明细!$B$4:$B$2004,"&lt;="&amp;$P$2))</f>
        <v/>
      </c>
      <c r="F18" s="25" t="str">
        <f>IF(OR($B18="",_自动清单!$U$7=""),"",SUMIFS(周转筐出入库明细!$K$4:$K$2004,周转筐出入库明细!$C$4:$C$2004,$B18,周转筐出入库明细!$D$4:$D$2004,_自动清单!$U$7,周转筐出入库明细!$B$4:$B$2004,"&gt;="&amp;$P$1,周转筐出入库明细!$B$4:$B$2004,"&lt;="&amp;$P$2))</f>
        <v/>
      </c>
      <c r="G18" s="25" t="str">
        <f>IF($B18="","",SUMIFS(周转筐出入库明细!$K$4:$K$2004,周转筐出入库明细!$C$4:$C$2004,$B18,周转筐出入库明细!$B$4:$B$2004,"&gt;="&amp;$P$1,周转筐出入库明细!$B$4:$B$2004,"&lt;="&amp;$P$2)-SUM($C18:$F18))</f>
        <v/>
      </c>
      <c r="H18" s="25" t="str">
        <f t="shared" si="1"/>
        <v/>
      </c>
      <c r="I18" s="26" t="str">
        <f>IF($B18="","",ROUND(SUMIFS(周转筐出入库明细!$P$4:$P$2004,周转筐出入库明细!$C$4:$C$2004,$B18,周转筐出入库明细!$F$4:$F$2004,"销售出库",周转筐出入库明细!$B$4:$B$2004,"&gt;="&amp;$P$1,周转筐出入库明细!$B$4:$B$2004,"&lt;="&amp;$P$2),2))</f>
        <v/>
      </c>
      <c r="J18" s="26" t="str">
        <f>IF($B18="","",ROUND(SUMIFS(周转筐出入库明细!$P$4:$P$2004,周转筐出入库明细!$C$4:$C$2004,$B18,周转筐出入库明细!$F$4:$F$2004,"销售出库",周转筐出入库明细!$Q$4:$Q$2004,"已收讫",周转筐出入库明细!$B$4:$B$2004,"&gt;="&amp;$P$1,周转筐出入库明细!$B$4:$B$2004,"&lt;="&amp;$P$2),2))</f>
        <v/>
      </c>
      <c r="K18" s="26" t="str">
        <f t="shared" si="2"/>
        <v/>
      </c>
      <c r="L18" s="41"/>
    </row>
    <row r="19" spans="1:12">
      <c r="A19" s="24" t="str">
        <f t="shared" si="0"/>
        <v/>
      </c>
      <c r="B19" s="24" t="str">
        <f>IFERROR(INDEX(_自动清单!$AA$4:$AA$203,ROW()-3),"")</f>
        <v/>
      </c>
      <c r="C19" s="25" t="str">
        <f>IF(OR($B19="",_自动清单!$U$4=""),"",SUMIFS(周转筐出入库明细!$K$4:$K$2004,周转筐出入库明细!$C$4:$C$2004,$B19,周转筐出入库明细!$D$4:$D$2004,_自动清单!$U$4,周转筐出入库明细!$B$4:$B$2004,"&gt;="&amp;$P$1,周转筐出入库明细!$B$4:$B$2004,"&lt;="&amp;$P$2))</f>
        <v/>
      </c>
      <c r="D19" s="25" t="str">
        <f>IF(OR($B19="",_自动清单!$U$5=""),"",SUMIFS(周转筐出入库明细!$K$4:$K$2004,周转筐出入库明细!$C$4:$C$2004,$B19,周转筐出入库明细!$D$4:$D$2004,_自动清单!$U$5,周转筐出入库明细!$B$4:$B$2004,"&gt;="&amp;$P$1,周转筐出入库明细!$B$4:$B$2004,"&lt;="&amp;$P$2))</f>
        <v/>
      </c>
      <c r="E19" s="25" t="str">
        <f>IF(OR($B19="",_自动清单!$U$6=""),"",SUMIFS(周转筐出入库明细!$K$4:$K$2004,周转筐出入库明细!$C$4:$C$2004,$B19,周转筐出入库明细!$D$4:$D$2004,_自动清单!$U$6,周转筐出入库明细!$B$4:$B$2004,"&gt;="&amp;$P$1,周转筐出入库明细!$B$4:$B$2004,"&lt;="&amp;$P$2))</f>
        <v/>
      </c>
      <c r="F19" s="25" t="str">
        <f>IF(OR($B19="",_自动清单!$U$7=""),"",SUMIFS(周转筐出入库明细!$K$4:$K$2004,周转筐出入库明细!$C$4:$C$2004,$B19,周转筐出入库明细!$D$4:$D$2004,_自动清单!$U$7,周转筐出入库明细!$B$4:$B$2004,"&gt;="&amp;$P$1,周转筐出入库明细!$B$4:$B$2004,"&lt;="&amp;$P$2))</f>
        <v/>
      </c>
      <c r="G19" s="25" t="str">
        <f>IF($B19="","",SUMIFS(周转筐出入库明细!$K$4:$K$2004,周转筐出入库明细!$C$4:$C$2004,$B19,周转筐出入库明细!$B$4:$B$2004,"&gt;="&amp;$P$1,周转筐出入库明细!$B$4:$B$2004,"&lt;="&amp;$P$2)-SUM($C19:$F19))</f>
        <v/>
      </c>
      <c r="H19" s="25" t="str">
        <f t="shared" si="1"/>
        <v/>
      </c>
      <c r="I19" s="26" t="str">
        <f>IF($B19="","",ROUND(SUMIFS(周转筐出入库明细!$P$4:$P$2004,周转筐出入库明细!$C$4:$C$2004,$B19,周转筐出入库明细!$F$4:$F$2004,"销售出库",周转筐出入库明细!$B$4:$B$2004,"&gt;="&amp;$P$1,周转筐出入库明细!$B$4:$B$2004,"&lt;="&amp;$P$2),2))</f>
        <v/>
      </c>
      <c r="J19" s="26" t="str">
        <f>IF($B19="","",ROUND(SUMIFS(周转筐出入库明细!$P$4:$P$2004,周转筐出入库明细!$C$4:$C$2004,$B19,周转筐出入库明细!$F$4:$F$2004,"销售出库",周转筐出入库明细!$Q$4:$Q$2004,"已收讫",周转筐出入库明细!$B$4:$B$2004,"&gt;="&amp;$P$1,周转筐出入库明细!$B$4:$B$2004,"&lt;="&amp;$P$2),2))</f>
        <v/>
      </c>
      <c r="K19" s="26" t="str">
        <f t="shared" si="2"/>
        <v/>
      </c>
      <c r="L19" s="41"/>
    </row>
    <row r="20" spans="1:12">
      <c r="A20" s="24" t="str">
        <f t="shared" si="0"/>
        <v/>
      </c>
      <c r="B20" s="24" t="str">
        <f>IFERROR(INDEX(_自动清单!$AA$4:$AA$203,ROW()-3),"")</f>
        <v/>
      </c>
      <c r="C20" s="25" t="str">
        <f>IF(OR($B20="",_自动清单!$U$4=""),"",SUMIFS(周转筐出入库明细!$K$4:$K$2004,周转筐出入库明细!$C$4:$C$2004,$B20,周转筐出入库明细!$D$4:$D$2004,_自动清单!$U$4,周转筐出入库明细!$B$4:$B$2004,"&gt;="&amp;$P$1,周转筐出入库明细!$B$4:$B$2004,"&lt;="&amp;$P$2))</f>
        <v/>
      </c>
      <c r="D20" s="25" t="str">
        <f>IF(OR($B20="",_自动清单!$U$5=""),"",SUMIFS(周转筐出入库明细!$K$4:$K$2004,周转筐出入库明细!$C$4:$C$2004,$B20,周转筐出入库明细!$D$4:$D$2004,_自动清单!$U$5,周转筐出入库明细!$B$4:$B$2004,"&gt;="&amp;$P$1,周转筐出入库明细!$B$4:$B$2004,"&lt;="&amp;$P$2))</f>
        <v/>
      </c>
      <c r="E20" s="25" t="str">
        <f>IF(OR($B20="",_自动清单!$U$6=""),"",SUMIFS(周转筐出入库明细!$K$4:$K$2004,周转筐出入库明细!$C$4:$C$2004,$B20,周转筐出入库明细!$D$4:$D$2004,_自动清单!$U$6,周转筐出入库明细!$B$4:$B$2004,"&gt;="&amp;$P$1,周转筐出入库明细!$B$4:$B$2004,"&lt;="&amp;$P$2))</f>
        <v/>
      </c>
      <c r="F20" s="25" t="str">
        <f>IF(OR($B20="",_自动清单!$U$7=""),"",SUMIFS(周转筐出入库明细!$K$4:$K$2004,周转筐出入库明细!$C$4:$C$2004,$B20,周转筐出入库明细!$D$4:$D$2004,_自动清单!$U$7,周转筐出入库明细!$B$4:$B$2004,"&gt;="&amp;$P$1,周转筐出入库明细!$B$4:$B$2004,"&lt;="&amp;$P$2))</f>
        <v/>
      </c>
      <c r="G20" s="25" t="str">
        <f>IF($B20="","",SUMIFS(周转筐出入库明细!$K$4:$K$2004,周转筐出入库明细!$C$4:$C$2004,$B20,周转筐出入库明细!$B$4:$B$2004,"&gt;="&amp;$P$1,周转筐出入库明细!$B$4:$B$2004,"&lt;="&amp;$P$2)-SUM($C20:$F20))</f>
        <v/>
      </c>
      <c r="H20" s="25" t="str">
        <f t="shared" si="1"/>
        <v/>
      </c>
      <c r="I20" s="26" t="str">
        <f>IF($B20="","",ROUND(SUMIFS(周转筐出入库明细!$P$4:$P$2004,周转筐出入库明细!$C$4:$C$2004,$B20,周转筐出入库明细!$F$4:$F$2004,"销售出库",周转筐出入库明细!$B$4:$B$2004,"&gt;="&amp;$P$1,周转筐出入库明细!$B$4:$B$2004,"&lt;="&amp;$P$2),2))</f>
        <v/>
      </c>
      <c r="J20" s="26" t="str">
        <f>IF($B20="","",ROUND(SUMIFS(周转筐出入库明细!$P$4:$P$2004,周转筐出入库明细!$C$4:$C$2004,$B20,周转筐出入库明细!$F$4:$F$2004,"销售出库",周转筐出入库明细!$Q$4:$Q$2004,"已收讫",周转筐出入库明细!$B$4:$B$2004,"&gt;="&amp;$P$1,周转筐出入库明细!$B$4:$B$2004,"&lt;="&amp;$P$2),2))</f>
        <v/>
      </c>
      <c r="K20" s="26" t="str">
        <f t="shared" si="2"/>
        <v/>
      </c>
      <c r="L20" s="41"/>
    </row>
    <row r="21" spans="1:12">
      <c r="A21" s="24" t="str">
        <f t="shared" si="0"/>
        <v/>
      </c>
      <c r="B21" s="24" t="str">
        <f>IFERROR(INDEX(_自动清单!$AA$4:$AA$203,ROW()-3),"")</f>
        <v/>
      </c>
      <c r="C21" s="25" t="str">
        <f>IF(OR($B21="",_自动清单!$U$4=""),"",SUMIFS(周转筐出入库明细!$K$4:$K$2004,周转筐出入库明细!$C$4:$C$2004,$B21,周转筐出入库明细!$D$4:$D$2004,_自动清单!$U$4,周转筐出入库明细!$B$4:$B$2004,"&gt;="&amp;$P$1,周转筐出入库明细!$B$4:$B$2004,"&lt;="&amp;$P$2))</f>
        <v/>
      </c>
      <c r="D21" s="25" t="str">
        <f>IF(OR($B21="",_自动清单!$U$5=""),"",SUMIFS(周转筐出入库明细!$K$4:$K$2004,周转筐出入库明细!$C$4:$C$2004,$B21,周转筐出入库明细!$D$4:$D$2004,_自动清单!$U$5,周转筐出入库明细!$B$4:$B$2004,"&gt;="&amp;$P$1,周转筐出入库明细!$B$4:$B$2004,"&lt;="&amp;$P$2))</f>
        <v/>
      </c>
      <c r="E21" s="25" t="str">
        <f>IF(OR($B21="",_自动清单!$U$6=""),"",SUMIFS(周转筐出入库明细!$K$4:$K$2004,周转筐出入库明细!$C$4:$C$2004,$B21,周转筐出入库明细!$D$4:$D$2004,_自动清单!$U$6,周转筐出入库明细!$B$4:$B$2004,"&gt;="&amp;$P$1,周转筐出入库明细!$B$4:$B$2004,"&lt;="&amp;$P$2))</f>
        <v/>
      </c>
      <c r="F21" s="25" t="str">
        <f>IF(OR($B21="",_自动清单!$U$7=""),"",SUMIFS(周转筐出入库明细!$K$4:$K$2004,周转筐出入库明细!$C$4:$C$2004,$B21,周转筐出入库明细!$D$4:$D$2004,_自动清单!$U$7,周转筐出入库明细!$B$4:$B$2004,"&gt;="&amp;$P$1,周转筐出入库明细!$B$4:$B$2004,"&lt;="&amp;$P$2))</f>
        <v/>
      </c>
      <c r="G21" s="25" t="str">
        <f>IF($B21="","",SUMIFS(周转筐出入库明细!$K$4:$K$2004,周转筐出入库明细!$C$4:$C$2004,$B21,周转筐出入库明细!$B$4:$B$2004,"&gt;="&amp;$P$1,周转筐出入库明细!$B$4:$B$2004,"&lt;="&amp;$P$2)-SUM($C21:$F21))</f>
        <v/>
      </c>
      <c r="H21" s="25" t="str">
        <f t="shared" si="1"/>
        <v/>
      </c>
      <c r="I21" s="26" t="str">
        <f>IF($B21="","",ROUND(SUMIFS(周转筐出入库明细!$P$4:$P$2004,周转筐出入库明细!$C$4:$C$2004,$B21,周转筐出入库明细!$F$4:$F$2004,"销售出库",周转筐出入库明细!$B$4:$B$2004,"&gt;="&amp;$P$1,周转筐出入库明细!$B$4:$B$2004,"&lt;="&amp;$P$2),2))</f>
        <v/>
      </c>
      <c r="J21" s="26" t="str">
        <f>IF($B21="","",ROUND(SUMIFS(周转筐出入库明细!$P$4:$P$2004,周转筐出入库明细!$C$4:$C$2004,$B21,周转筐出入库明细!$F$4:$F$2004,"销售出库",周转筐出入库明细!$Q$4:$Q$2004,"已收讫",周转筐出入库明细!$B$4:$B$2004,"&gt;="&amp;$P$1,周转筐出入库明细!$B$4:$B$2004,"&lt;="&amp;$P$2),2))</f>
        <v/>
      </c>
      <c r="K21" s="26" t="str">
        <f t="shared" si="2"/>
        <v/>
      </c>
      <c r="L21" s="41"/>
    </row>
    <row r="22" spans="1:12">
      <c r="A22" s="24" t="str">
        <f t="shared" si="0"/>
        <v/>
      </c>
      <c r="B22" s="24" t="str">
        <f>IFERROR(INDEX(_自动清单!$AA$4:$AA$203,ROW()-3),"")</f>
        <v/>
      </c>
      <c r="C22" s="25" t="str">
        <f>IF(OR($B22="",_自动清单!$U$4=""),"",SUMIFS(周转筐出入库明细!$K$4:$K$2004,周转筐出入库明细!$C$4:$C$2004,$B22,周转筐出入库明细!$D$4:$D$2004,_自动清单!$U$4,周转筐出入库明细!$B$4:$B$2004,"&gt;="&amp;$P$1,周转筐出入库明细!$B$4:$B$2004,"&lt;="&amp;$P$2))</f>
        <v/>
      </c>
      <c r="D22" s="25" t="str">
        <f>IF(OR($B22="",_自动清单!$U$5=""),"",SUMIFS(周转筐出入库明细!$K$4:$K$2004,周转筐出入库明细!$C$4:$C$2004,$B22,周转筐出入库明细!$D$4:$D$2004,_自动清单!$U$5,周转筐出入库明细!$B$4:$B$2004,"&gt;="&amp;$P$1,周转筐出入库明细!$B$4:$B$2004,"&lt;="&amp;$P$2))</f>
        <v/>
      </c>
      <c r="E22" s="25" t="str">
        <f>IF(OR($B22="",_自动清单!$U$6=""),"",SUMIFS(周转筐出入库明细!$K$4:$K$2004,周转筐出入库明细!$C$4:$C$2004,$B22,周转筐出入库明细!$D$4:$D$2004,_自动清单!$U$6,周转筐出入库明细!$B$4:$B$2004,"&gt;="&amp;$P$1,周转筐出入库明细!$B$4:$B$2004,"&lt;="&amp;$P$2))</f>
        <v/>
      </c>
      <c r="F22" s="25" t="str">
        <f>IF(OR($B22="",_自动清单!$U$7=""),"",SUMIFS(周转筐出入库明细!$K$4:$K$2004,周转筐出入库明细!$C$4:$C$2004,$B22,周转筐出入库明细!$D$4:$D$2004,_自动清单!$U$7,周转筐出入库明细!$B$4:$B$2004,"&gt;="&amp;$P$1,周转筐出入库明细!$B$4:$B$2004,"&lt;="&amp;$P$2))</f>
        <v/>
      </c>
      <c r="G22" s="25" t="str">
        <f>IF($B22="","",SUMIFS(周转筐出入库明细!$K$4:$K$2004,周转筐出入库明细!$C$4:$C$2004,$B22,周转筐出入库明细!$B$4:$B$2004,"&gt;="&amp;$P$1,周转筐出入库明细!$B$4:$B$2004,"&lt;="&amp;$P$2)-SUM($C22:$F22))</f>
        <v/>
      </c>
      <c r="H22" s="25" t="str">
        <f t="shared" si="1"/>
        <v/>
      </c>
      <c r="I22" s="26" t="str">
        <f>IF($B22="","",ROUND(SUMIFS(周转筐出入库明细!$P$4:$P$2004,周转筐出入库明细!$C$4:$C$2004,$B22,周转筐出入库明细!$F$4:$F$2004,"销售出库",周转筐出入库明细!$B$4:$B$2004,"&gt;="&amp;$P$1,周转筐出入库明细!$B$4:$B$2004,"&lt;="&amp;$P$2),2))</f>
        <v/>
      </c>
      <c r="J22" s="26" t="str">
        <f>IF($B22="","",ROUND(SUMIFS(周转筐出入库明细!$P$4:$P$2004,周转筐出入库明细!$C$4:$C$2004,$B22,周转筐出入库明细!$F$4:$F$2004,"销售出库",周转筐出入库明细!$Q$4:$Q$2004,"已收讫",周转筐出入库明细!$B$4:$B$2004,"&gt;="&amp;$P$1,周转筐出入库明细!$B$4:$B$2004,"&lt;="&amp;$P$2),2))</f>
        <v/>
      </c>
      <c r="K22" s="26" t="str">
        <f t="shared" si="2"/>
        <v/>
      </c>
      <c r="L22" s="41"/>
    </row>
    <row r="23" spans="1:12">
      <c r="A23" s="24" t="str">
        <f t="shared" si="0"/>
        <v/>
      </c>
      <c r="B23" s="24" t="str">
        <f>IFERROR(INDEX(_自动清单!$AA$4:$AA$203,ROW()-3),"")</f>
        <v/>
      </c>
      <c r="C23" s="25" t="str">
        <f>IF(OR($B23="",_自动清单!$U$4=""),"",SUMIFS(周转筐出入库明细!$K$4:$K$2004,周转筐出入库明细!$C$4:$C$2004,$B23,周转筐出入库明细!$D$4:$D$2004,_自动清单!$U$4,周转筐出入库明细!$B$4:$B$2004,"&gt;="&amp;$P$1,周转筐出入库明细!$B$4:$B$2004,"&lt;="&amp;$P$2))</f>
        <v/>
      </c>
      <c r="D23" s="25" t="str">
        <f>IF(OR($B23="",_自动清单!$U$5=""),"",SUMIFS(周转筐出入库明细!$K$4:$K$2004,周转筐出入库明细!$C$4:$C$2004,$B23,周转筐出入库明细!$D$4:$D$2004,_自动清单!$U$5,周转筐出入库明细!$B$4:$B$2004,"&gt;="&amp;$P$1,周转筐出入库明细!$B$4:$B$2004,"&lt;="&amp;$P$2))</f>
        <v/>
      </c>
      <c r="E23" s="25" t="str">
        <f>IF(OR($B23="",_自动清单!$U$6=""),"",SUMIFS(周转筐出入库明细!$K$4:$K$2004,周转筐出入库明细!$C$4:$C$2004,$B23,周转筐出入库明细!$D$4:$D$2004,_自动清单!$U$6,周转筐出入库明细!$B$4:$B$2004,"&gt;="&amp;$P$1,周转筐出入库明细!$B$4:$B$2004,"&lt;="&amp;$P$2))</f>
        <v/>
      </c>
      <c r="F23" s="25" t="str">
        <f>IF(OR($B23="",_自动清单!$U$7=""),"",SUMIFS(周转筐出入库明细!$K$4:$K$2004,周转筐出入库明细!$C$4:$C$2004,$B23,周转筐出入库明细!$D$4:$D$2004,_自动清单!$U$7,周转筐出入库明细!$B$4:$B$2004,"&gt;="&amp;$P$1,周转筐出入库明细!$B$4:$B$2004,"&lt;="&amp;$P$2))</f>
        <v/>
      </c>
      <c r="G23" s="25" t="str">
        <f>IF($B23="","",SUMIFS(周转筐出入库明细!$K$4:$K$2004,周转筐出入库明细!$C$4:$C$2004,$B23,周转筐出入库明细!$B$4:$B$2004,"&gt;="&amp;$P$1,周转筐出入库明细!$B$4:$B$2004,"&lt;="&amp;$P$2)-SUM($C23:$F23))</f>
        <v/>
      </c>
      <c r="H23" s="25" t="str">
        <f t="shared" si="1"/>
        <v/>
      </c>
      <c r="I23" s="26" t="str">
        <f>IF($B23="","",ROUND(SUMIFS(周转筐出入库明细!$P$4:$P$2004,周转筐出入库明细!$C$4:$C$2004,$B23,周转筐出入库明细!$F$4:$F$2004,"销售出库",周转筐出入库明细!$B$4:$B$2004,"&gt;="&amp;$P$1,周转筐出入库明细!$B$4:$B$2004,"&lt;="&amp;$P$2),2))</f>
        <v/>
      </c>
      <c r="J23" s="26" t="str">
        <f>IF($B23="","",ROUND(SUMIFS(周转筐出入库明细!$P$4:$P$2004,周转筐出入库明细!$C$4:$C$2004,$B23,周转筐出入库明细!$F$4:$F$2004,"销售出库",周转筐出入库明细!$Q$4:$Q$2004,"已收讫",周转筐出入库明细!$B$4:$B$2004,"&gt;="&amp;$P$1,周转筐出入库明细!$B$4:$B$2004,"&lt;="&amp;$P$2),2))</f>
        <v/>
      </c>
      <c r="K23" s="26" t="str">
        <f t="shared" si="2"/>
        <v/>
      </c>
      <c r="L23" s="41"/>
    </row>
    <row r="24" spans="1:12">
      <c r="A24" s="24" t="str">
        <f t="shared" si="0"/>
        <v/>
      </c>
      <c r="B24" s="24" t="str">
        <f>IFERROR(INDEX(_自动清单!$AA$4:$AA$203,ROW()-3),"")</f>
        <v/>
      </c>
      <c r="C24" s="25" t="str">
        <f>IF(OR($B24="",_自动清单!$U$4=""),"",SUMIFS(周转筐出入库明细!$K$4:$K$2004,周转筐出入库明细!$C$4:$C$2004,$B24,周转筐出入库明细!$D$4:$D$2004,_自动清单!$U$4,周转筐出入库明细!$B$4:$B$2004,"&gt;="&amp;$P$1,周转筐出入库明细!$B$4:$B$2004,"&lt;="&amp;$P$2))</f>
        <v/>
      </c>
      <c r="D24" s="25" t="str">
        <f>IF(OR($B24="",_自动清单!$U$5=""),"",SUMIFS(周转筐出入库明细!$K$4:$K$2004,周转筐出入库明细!$C$4:$C$2004,$B24,周转筐出入库明细!$D$4:$D$2004,_自动清单!$U$5,周转筐出入库明细!$B$4:$B$2004,"&gt;="&amp;$P$1,周转筐出入库明细!$B$4:$B$2004,"&lt;="&amp;$P$2))</f>
        <v/>
      </c>
      <c r="E24" s="25" t="str">
        <f>IF(OR($B24="",_自动清单!$U$6=""),"",SUMIFS(周转筐出入库明细!$K$4:$K$2004,周转筐出入库明细!$C$4:$C$2004,$B24,周转筐出入库明细!$D$4:$D$2004,_自动清单!$U$6,周转筐出入库明细!$B$4:$B$2004,"&gt;="&amp;$P$1,周转筐出入库明细!$B$4:$B$2004,"&lt;="&amp;$P$2))</f>
        <v/>
      </c>
      <c r="F24" s="25" t="str">
        <f>IF(OR($B24="",_自动清单!$U$7=""),"",SUMIFS(周转筐出入库明细!$K$4:$K$2004,周转筐出入库明细!$C$4:$C$2004,$B24,周转筐出入库明细!$D$4:$D$2004,_自动清单!$U$7,周转筐出入库明细!$B$4:$B$2004,"&gt;="&amp;$P$1,周转筐出入库明细!$B$4:$B$2004,"&lt;="&amp;$P$2))</f>
        <v/>
      </c>
      <c r="G24" s="25" t="str">
        <f>IF($B24="","",SUMIFS(周转筐出入库明细!$K$4:$K$2004,周转筐出入库明细!$C$4:$C$2004,$B24,周转筐出入库明细!$B$4:$B$2004,"&gt;="&amp;$P$1,周转筐出入库明细!$B$4:$B$2004,"&lt;="&amp;$P$2)-SUM($C24:$F24))</f>
        <v/>
      </c>
      <c r="H24" s="25" t="str">
        <f t="shared" si="1"/>
        <v/>
      </c>
      <c r="I24" s="26" t="str">
        <f>IF($B24="","",ROUND(SUMIFS(周转筐出入库明细!$P$4:$P$2004,周转筐出入库明细!$C$4:$C$2004,$B24,周转筐出入库明细!$F$4:$F$2004,"销售出库",周转筐出入库明细!$B$4:$B$2004,"&gt;="&amp;$P$1,周转筐出入库明细!$B$4:$B$2004,"&lt;="&amp;$P$2),2))</f>
        <v/>
      </c>
      <c r="J24" s="26" t="str">
        <f>IF($B24="","",ROUND(SUMIFS(周转筐出入库明细!$P$4:$P$2004,周转筐出入库明细!$C$4:$C$2004,$B24,周转筐出入库明细!$F$4:$F$2004,"销售出库",周转筐出入库明细!$Q$4:$Q$2004,"已收讫",周转筐出入库明细!$B$4:$B$2004,"&gt;="&amp;$P$1,周转筐出入库明细!$B$4:$B$2004,"&lt;="&amp;$P$2),2))</f>
        <v/>
      </c>
      <c r="K24" s="26" t="str">
        <f t="shared" si="2"/>
        <v/>
      </c>
      <c r="L24" s="41"/>
    </row>
    <row r="25" spans="1:12">
      <c r="A25" s="24" t="str">
        <f t="shared" si="0"/>
        <v/>
      </c>
      <c r="B25" s="24" t="str">
        <f>IFERROR(INDEX(_自动清单!$AA$4:$AA$203,ROW()-3),"")</f>
        <v/>
      </c>
      <c r="C25" s="25" t="str">
        <f>IF(OR($B25="",_自动清单!$U$4=""),"",SUMIFS(周转筐出入库明细!$K$4:$K$2004,周转筐出入库明细!$C$4:$C$2004,$B25,周转筐出入库明细!$D$4:$D$2004,_自动清单!$U$4,周转筐出入库明细!$B$4:$B$2004,"&gt;="&amp;$P$1,周转筐出入库明细!$B$4:$B$2004,"&lt;="&amp;$P$2))</f>
        <v/>
      </c>
      <c r="D25" s="25" t="str">
        <f>IF(OR($B25="",_自动清单!$U$5=""),"",SUMIFS(周转筐出入库明细!$K$4:$K$2004,周转筐出入库明细!$C$4:$C$2004,$B25,周转筐出入库明细!$D$4:$D$2004,_自动清单!$U$5,周转筐出入库明细!$B$4:$B$2004,"&gt;="&amp;$P$1,周转筐出入库明细!$B$4:$B$2004,"&lt;="&amp;$P$2))</f>
        <v/>
      </c>
      <c r="E25" s="25" t="str">
        <f>IF(OR($B25="",_自动清单!$U$6=""),"",SUMIFS(周转筐出入库明细!$K$4:$K$2004,周转筐出入库明细!$C$4:$C$2004,$B25,周转筐出入库明细!$D$4:$D$2004,_自动清单!$U$6,周转筐出入库明细!$B$4:$B$2004,"&gt;="&amp;$P$1,周转筐出入库明细!$B$4:$B$2004,"&lt;="&amp;$P$2))</f>
        <v/>
      </c>
      <c r="F25" s="25" t="str">
        <f>IF(OR($B25="",_自动清单!$U$7=""),"",SUMIFS(周转筐出入库明细!$K$4:$K$2004,周转筐出入库明细!$C$4:$C$2004,$B25,周转筐出入库明细!$D$4:$D$2004,_自动清单!$U$7,周转筐出入库明细!$B$4:$B$2004,"&gt;="&amp;$P$1,周转筐出入库明细!$B$4:$B$2004,"&lt;="&amp;$P$2))</f>
        <v/>
      </c>
      <c r="G25" s="25" t="str">
        <f>IF($B25="","",SUMIFS(周转筐出入库明细!$K$4:$K$2004,周转筐出入库明细!$C$4:$C$2004,$B25,周转筐出入库明细!$B$4:$B$2004,"&gt;="&amp;$P$1,周转筐出入库明细!$B$4:$B$2004,"&lt;="&amp;$P$2)-SUM($C25:$F25))</f>
        <v/>
      </c>
      <c r="H25" s="25" t="str">
        <f t="shared" si="1"/>
        <v/>
      </c>
      <c r="I25" s="26" t="str">
        <f>IF($B25="","",ROUND(SUMIFS(周转筐出入库明细!$P$4:$P$2004,周转筐出入库明细!$C$4:$C$2004,$B25,周转筐出入库明细!$F$4:$F$2004,"销售出库",周转筐出入库明细!$B$4:$B$2004,"&gt;="&amp;$P$1,周转筐出入库明细!$B$4:$B$2004,"&lt;="&amp;$P$2),2))</f>
        <v/>
      </c>
      <c r="J25" s="26" t="str">
        <f>IF($B25="","",ROUND(SUMIFS(周转筐出入库明细!$P$4:$P$2004,周转筐出入库明细!$C$4:$C$2004,$B25,周转筐出入库明细!$F$4:$F$2004,"销售出库",周转筐出入库明细!$Q$4:$Q$2004,"已收讫",周转筐出入库明细!$B$4:$B$2004,"&gt;="&amp;$P$1,周转筐出入库明细!$B$4:$B$2004,"&lt;="&amp;$P$2),2))</f>
        <v/>
      </c>
      <c r="K25" s="26" t="str">
        <f t="shared" si="2"/>
        <v/>
      </c>
      <c r="L25" s="41"/>
    </row>
    <row r="26" spans="1:12">
      <c r="A26" s="24" t="str">
        <f t="shared" si="0"/>
        <v/>
      </c>
      <c r="B26" s="24" t="str">
        <f>IFERROR(INDEX(_自动清单!$AA$4:$AA$203,ROW()-3),"")</f>
        <v/>
      </c>
      <c r="C26" s="25" t="str">
        <f>IF(OR($B26="",_自动清单!$U$4=""),"",SUMIFS(周转筐出入库明细!$K$4:$K$2004,周转筐出入库明细!$C$4:$C$2004,$B26,周转筐出入库明细!$D$4:$D$2004,_自动清单!$U$4,周转筐出入库明细!$B$4:$B$2004,"&gt;="&amp;$P$1,周转筐出入库明细!$B$4:$B$2004,"&lt;="&amp;$P$2))</f>
        <v/>
      </c>
      <c r="D26" s="25" t="str">
        <f>IF(OR($B26="",_自动清单!$U$5=""),"",SUMIFS(周转筐出入库明细!$K$4:$K$2004,周转筐出入库明细!$C$4:$C$2004,$B26,周转筐出入库明细!$D$4:$D$2004,_自动清单!$U$5,周转筐出入库明细!$B$4:$B$2004,"&gt;="&amp;$P$1,周转筐出入库明细!$B$4:$B$2004,"&lt;="&amp;$P$2))</f>
        <v/>
      </c>
      <c r="E26" s="25" t="str">
        <f>IF(OR($B26="",_自动清单!$U$6=""),"",SUMIFS(周转筐出入库明细!$K$4:$K$2004,周转筐出入库明细!$C$4:$C$2004,$B26,周转筐出入库明细!$D$4:$D$2004,_自动清单!$U$6,周转筐出入库明细!$B$4:$B$2004,"&gt;="&amp;$P$1,周转筐出入库明细!$B$4:$B$2004,"&lt;="&amp;$P$2))</f>
        <v/>
      </c>
      <c r="F26" s="25" t="str">
        <f>IF(OR($B26="",_自动清单!$U$7=""),"",SUMIFS(周转筐出入库明细!$K$4:$K$2004,周转筐出入库明细!$C$4:$C$2004,$B26,周转筐出入库明细!$D$4:$D$2004,_自动清单!$U$7,周转筐出入库明细!$B$4:$B$2004,"&gt;="&amp;$P$1,周转筐出入库明细!$B$4:$B$2004,"&lt;="&amp;$P$2))</f>
        <v/>
      </c>
      <c r="G26" s="25" t="str">
        <f>IF($B26="","",SUMIFS(周转筐出入库明细!$K$4:$K$2004,周转筐出入库明细!$C$4:$C$2004,$B26,周转筐出入库明细!$B$4:$B$2004,"&gt;="&amp;$P$1,周转筐出入库明细!$B$4:$B$2004,"&lt;="&amp;$P$2)-SUM($C26:$F26))</f>
        <v/>
      </c>
      <c r="H26" s="25" t="str">
        <f t="shared" si="1"/>
        <v/>
      </c>
      <c r="I26" s="26" t="str">
        <f>IF($B26="","",ROUND(SUMIFS(周转筐出入库明细!$P$4:$P$2004,周转筐出入库明细!$C$4:$C$2004,$B26,周转筐出入库明细!$F$4:$F$2004,"销售出库",周转筐出入库明细!$B$4:$B$2004,"&gt;="&amp;$P$1,周转筐出入库明细!$B$4:$B$2004,"&lt;="&amp;$P$2),2))</f>
        <v/>
      </c>
      <c r="J26" s="26" t="str">
        <f>IF($B26="","",ROUND(SUMIFS(周转筐出入库明细!$P$4:$P$2004,周转筐出入库明细!$C$4:$C$2004,$B26,周转筐出入库明细!$F$4:$F$2004,"销售出库",周转筐出入库明细!$Q$4:$Q$2004,"已收讫",周转筐出入库明细!$B$4:$B$2004,"&gt;="&amp;$P$1,周转筐出入库明细!$B$4:$B$2004,"&lt;="&amp;$P$2),2))</f>
        <v/>
      </c>
      <c r="K26" s="26" t="str">
        <f t="shared" si="2"/>
        <v/>
      </c>
      <c r="L26" s="41"/>
    </row>
    <row r="27" spans="1:12">
      <c r="A27" s="24" t="str">
        <f t="shared" si="0"/>
        <v/>
      </c>
      <c r="B27" s="24" t="str">
        <f>IFERROR(INDEX(_自动清单!$AA$4:$AA$203,ROW()-3),"")</f>
        <v/>
      </c>
      <c r="C27" s="25" t="str">
        <f>IF(OR($B27="",_自动清单!$U$4=""),"",SUMIFS(周转筐出入库明细!$K$4:$K$2004,周转筐出入库明细!$C$4:$C$2004,$B27,周转筐出入库明细!$D$4:$D$2004,_自动清单!$U$4,周转筐出入库明细!$B$4:$B$2004,"&gt;="&amp;$P$1,周转筐出入库明细!$B$4:$B$2004,"&lt;="&amp;$P$2))</f>
        <v/>
      </c>
      <c r="D27" s="25" t="str">
        <f>IF(OR($B27="",_自动清单!$U$5=""),"",SUMIFS(周转筐出入库明细!$K$4:$K$2004,周转筐出入库明细!$C$4:$C$2004,$B27,周转筐出入库明细!$D$4:$D$2004,_自动清单!$U$5,周转筐出入库明细!$B$4:$B$2004,"&gt;="&amp;$P$1,周转筐出入库明细!$B$4:$B$2004,"&lt;="&amp;$P$2))</f>
        <v/>
      </c>
      <c r="E27" s="25" t="str">
        <f>IF(OR($B27="",_自动清单!$U$6=""),"",SUMIFS(周转筐出入库明细!$K$4:$K$2004,周转筐出入库明细!$C$4:$C$2004,$B27,周转筐出入库明细!$D$4:$D$2004,_自动清单!$U$6,周转筐出入库明细!$B$4:$B$2004,"&gt;="&amp;$P$1,周转筐出入库明细!$B$4:$B$2004,"&lt;="&amp;$P$2))</f>
        <v/>
      </c>
      <c r="F27" s="25" t="str">
        <f>IF(OR($B27="",_自动清单!$U$7=""),"",SUMIFS(周转筐出入库明细!$K$4:$K$2004,周转筐出入库明细!$C$4:$C$2004,$B27,周转筐出入库明细!$D$4:$D$2004,_自动清单!$U$7,周转筐出入库明细!$B$4:$B$2004,"&gt;="&amp;$P$1,周转筐出入库明细!$B$4:$B$2004,"&lt;="&amp;$P$2))</f>
        <v/>
      </c>
      <c r="G27" s="25" t="str">
        <f>IF($B27="","",SUMIFS(周转筐出入库明细!$K$4:$K$2004,周转筐出入库明细!$C$4:$C$2004,$B27,周转筐出入库明细!$B$4:$B$2004,"&gt;="&amp;$P$1,周转筐出入库明细!$B$4:$B$2004,"&lt;="&amp;$P$2)-SUM($C27:$F27))</f>
        <v/>
      </c>
      <c r="H27" s="25" t="str">
        <f t="shared" si="1"/>
        <v/>
      </c>
      <c r="I27" s="26" t="str">
        <f>IF($B27="","",ROUND(SUMIFS(周转筐出入库明细!$P$4:$P$2004,周转筐出入库明细!$C$4:$C$2004,$B27,周转筐出入库明细!$F$4:$F$2004,"销售出库",周转筐出入库明细!$B$4:$B$2004,"&gt;="&amp;$P$1,周转筐出入库明细!$B$4:$B$2004,"&lt;="&amp;$P$2),2))</f>
        <v/>
      </c>
      <c r="J27" s="26" t="str">
        <f>IF($B27="","",ROUND(SUMIFS(周转筐出入库明细!$P$4:$P$2004,周转筐出入库明细!$C$4:$C$2004,$B27,周转筐出入库明细!$F$4:$F$2004,"销售出库",周转筐出入库明细!$Q$4:$Q$2004,"已收讫",周转筐出入库明细!$B$4:$B$2004,"&gt;="&amp;$P$1,周转筐出入库明细!$B$4:$B$2004,"&lt;="&amp;$P$2),2))</f>
        <v/>
      </c>
      <c r="K27" s="26" t="str">
        <f t="shared" si="2"/>
        <v/>
      </c>
      <c r="L27" s="41"/>
    </row>
    <row r="28" spans="1:12">
      <c r="A28" s="24" t="str">
        <f t="shared" si="0"/>
        <v/>
      </c>
      <c r="B28" s="24" t="str">
        <f>IFERROR(INDEX(_自动清单!$AA$4:$AA$203,ROW()-3),"")</f>
        <v/>
      </c>
      <c r="C28" s="25" t="str">
        <f>IF(OR($B28="",_自动清单!$U$4=""),"",SUMIFS(周转筐出入库明细!$K$4:$K$2004,周转筐出入库明细!$C$4:$C$2004,$B28,周转筐出入库明细!$D$4:$D$2004,_自动清单!$U$4,周转筐出入库明细!$B$4:$B$2004,"&gt;="&amp;$P$1,周转筐出入库明细!$B$4:$B$2004,"&lt;="&amp;$P$2))</f>
        <v/>
      </c>
      <c r="D28" s="25" t="str">
        <f>IF(OR($B28="",_自动清单!$U$5=""),"",SUMIFS(周转筐出入库明细!$K$4:$K$2004,周转筐出入库明细!$C$4:$C$2004,$B28,周转筐出入库明细!$D$4:$D$2004,_自动清单!$U$5,周转筐出入库明细!$B$4:$B$2004,"&gt;="&amp;$P$1,周转筐出入库明细!$B$4:$B$2004,"&lt;="&amp;$P$2))</f>
        <v/>
      </c>
      <c r="E28" s="25" t="str">
        <f>IF(OR($B28="",_自动清单!$U$6=""),"",SUMIFS(周转筐出入库明细!$K$4:$K$2004,周转筐出入库明细!$C$4:$C$2004,$B28,周转筐出入库明细!$D$4:$D$2004,_自动清单!$U$6,周转筐出入库明细!$B$4:$B$2004,"&gt;="&amp;$P$1,周转筐出入库明细!$B$4:$B$2004,"&lt;="&amp;$P$2))</f>
        <v/>
      </c>
      <c r="F28" s="25" t="str">
        <f>IF(OR($B28="",_自动清单!$U$7=""),"",SUMIFS(周转筐出入库明细!$K$4:$K$2004,周转筐出入库明细!$C$4:$C$2004,$B28,周转筐出入库明细!$D$4:$D$2004,_自动清单!$U$7,周转筐出入库明细!$B$4:$B$2004,"&gt;="&amp;$P$1,周转筐出入库明细!$B$4:$B$2004,"&lt;="&amp;$P$2))</f>
        <v/>
      </c>
      <c r="G28" s="25" t="str">
        <f>IF($B28="","",SUMIFS(周转筐出入库明细!$K$4:$K$2004,周转筐出入库明细!$C$4:$C$2004,$B28,周转筐出入库明细!$B$4:$B$2004,"&gt;="&amp;$P$1,周转筐出入库明细!$B$4:$B$2004,"&lt;="&amp;$P$2)-SUM($C28:$F28))</f>
        <v/>
      </c>
      <c r="H28" s="25" t="str">
        <f t="shared" si="1"/>
        <v/>
      </c>
      <c r="I28" s="26" t="str">
        <f>IF($B28="","",ROUND(SUMIFS(周转筐出入库明细!$P$4:$P$2004,周转筐出入库明细!$C$4:$C$2004,$B28,周转筐出入库明细!$F$4:$F$2004,"销售出库",周转筐出入库明细!$B$4:$B$2004,"&gt;="&amp;$P$1,周转筐出入库明细!$B$4:$B$2004,"&lt;="&amp;$P$2),2))</f>
        <v/>
      </c>
      <c r="J28" s="26" t="str">
        <f>IF($B28="","",ROUND(SUMIFS(周转筐出入库明细!$P$4:$P$2004,周转筐出入库明细!$C$4:$C$2004,$B28,周转筐出入库明细!$F$4:$F$2004,"销售出库",周转筐出入库明细!$Q$4:$Q$2004,"已收讫",周转筐出入库明细!$B$4:$B$2004,"&gt;="&amp;$P$1,周转筐出入库明细!$B$4:$B$2004,"&lt;="&amp;$P$2),2))</f>
        <v/>
      </c>
      <c r="K28" s="26" t="str">
        <f t="shared" si="2"/>
        <v/>
      </c>
      <c r="L28" s="41"/>
    </row>
    <row r="29" spans="1:12">
      <c r="A29" s="24" t="str">
        <f t="shared" si="0"/>
        <v/>
      </c>
      <c r="B29" s="24" t="str">
        <f>IFERROR(INDEX(_自动清单!$AA$4:$AA$203,ROW()-3),"")</f>
        <v/>
      </c>
      <c r="C29" s="25" t="str">
        <f>IF(OR($B29="",_自动清单!$U$4=""),"",SUMIFS(周转筐出入库明细!$K$4:$K$2004,周转筐出入库明细!$C$4:$C$2004,$B29,周转筐出入库明细!$D$4:$D$2004,_自动清单!$U$4,周转筐出入库明细!$B$4:$B$2004,"&gt;="&amp;$P$1,周转筐出入库明细!$B$4:$B$2004,"&lt;="&amp;$P$2))</f>
        <v/>
      </c>
      <c r="D29" s="25" t="str">
        <f>IF(OR($B29="",_自动清单!$U$5=""),"",SUMIFS(周转筐出入库明细!$K$4:$K$2004,周转筐出入库明细!$C$4:$C$2004,$B29,周转筐出入库明细!$D$4:$D$2004,_自动清单!$U$5,周转筐出入库明细!$B$4:$B$2004,"&gt;="&amp;$P$1,周转筐出入库明细!$B$4:$B$2004,"&lt;="&amp;$P$2))</f>
        <v/>
      </c>
      <c r="E29" s="25" t="str">
        <f>IF(OR($B29="",_自动清单!$U$6=""),"",SUMIFS(周转筐出入库明细!$K$4:$K$2004,周转筐出入库明细!$C$4:$C$2004,$B29,周转筐出入库明细!$D$4:$D$2004,_自动清单!$U$6,周转筐出入库明细!$B$4:$B$2004,"&gt;="&amp;$P$1,周转筐出入库明细!$B$4:$B$2004,"&lt;="&amp;$P$2))</f>
        <v/>
      </c>
      <c r="F29" s="25" t="str">
        <f>IF(OR($B29="",_自动清单!$U$7=""),"",SUMIFS(周转筐出入库明细!$K$4:$K$2004,周转筐出入库明细!$C$4:$C$2004,$B29,周转筐出入库明细!$D$4:$D$2004,_自动清单!$U$7,周转筐出入库明细!$B$4:$B$2004,"&gt;="&amp;$P$1,周转筐出入库明细!$B$4:$B$2004,"&lt;="&amp;$P$2))</f>
        <v/>
      </c>
      <c r="G29" s="25" t="str">
        <f>IF($B29="","",SUMIFS(周转筐出入库明细!$K$4:$K$2004,周转筐出入库明细!$C$4:$C$2004,$B29,周转筐出入库明细!$B$4:$B$2004,"&gt;="&amp;$P$1,周转筐出入库明细!$B$4:$B$2004,"&lt;="&amp;$P$2)-SUM($C29:$F29))</f>
        <v/>
      </c>
      <c r="H29" s="25" t="str">
        <f t="shared" si="1"/>
        <v/>
      </c>
      <c r="I29" s="26" t="str">
        <f>IF($B29="","",ROUND(SUMIFS(周转筐出入库明细!$P$4:$P$2004,周转筐出入库明细!$C$4:$C$2004,$B29,周转筐出入库明细!$F$4:$F$2004,"销售出库",周转筐出入库明细!$B$4:$B$2004,"&gt;="&amp;$P$1,周转筐出入库明细!$B$4:$B$2004,"&lt;="&amp;$P$2),2))</f>
        <v/>
      </c>
      <c r="J29" s="26" t="str">
        <f>IF($B29="","",ROUND(SUMIFS(周转筐出入库明细!$P$4:$P$2004,周转筐出入库明细!$C$4:$C$2004,$B29,周转筐出入库明细!$F$4:$F$2004,"销售出库",周转筐出入库明细!$Q$4:$Q$2004,"已收讫",周转筐出入库明细!$B$4:$B$2004,"&gt;="&amp;$P$1,周转筐出入库明细!$B$4:$B$2004,"&lt;="&amp;$P$2),2))</f>
        <v/>
      </c>
      <c r="K29" s="26" t="str">
        <f t="shared" si="2"/>
        <v/>
      </c>
      <c r="L29" s="41"/>
    </row>
    <row r="30" spans="1:12">
      <c r="A30" s="24" t="str">
        <f t="shared" si="0"/>
        <v/>
      </c>
      <c r="B30" s="24" t="str">
        <f>IFERROR(INDEX(_自动清单!$AA$4:$AA$203,ROW()-3),"")</f>
        <v/>
      </c>
      <c r="C30" s="25" t="str">
        <f>IF(OR($B30="",_自动清单!$U$4=""),"",SUMIFS(周转筐出入库明细!$K$4:$K$2004,周转筐出入库明细!$C$4:$C$2004,$B30,周转筐出入库明细!$D$4:$D$2004,_自动清单!$U$4,周转筐出入库明细!$B$4:$B$2004,"&gt;="&amp;$P$1,周转筐出入库明细!$B$4:$B$2004,"&lt;="&amp;$P$2))</f>
        <v/>
      </c>
      <c r="D30" s="25" t="str">
        <f>IF(OR($B30="",_自动清单!$U$5=""),"",SUMIFS(周转筐出入库明细!$K$4:$K$2004,周转筐出入库明细!$C$4:$C$2004,$B30,周转筐出入库明细!$D$4:$D$2004,_自动清单!$U$5,周转筐出入库明细!$B$4:$B$2004,"&gt;="&amp;$P$1,周转筐出入库明细!$B$4:$B$2004,"&lt;="&amp;$P$2))</f>
        <v/>
      </c>
      <c r="E30" s="25" t="str">
        <f>IF(OR($B30="",_自动清单!$U$6=""),"",SUMIFS(周转筐出入库明细!$K$4:$K$2004,周转筐出入库明细!$C$4:$C$2004,$B30,周转筐出入库明细!$D$4:$D$2004,_自动清单!$U$6,周转筐出入库明细!$B$4:$B$2004,"&gt;="&amp;$P$1,周转筐出入库明细!$B$4:$B$2004,"&lt;="&amp;$P$2))</f>
        <v/>
      </c>
      <c r="F30" s="25" t="str">
        <f>IF(OR($B30="",_自动清单!$U$7=""),"",SUMIFS(周转筐出入库明细!$K$4:$K$2004,周转筐出入库明细!$C$4:$C$2004,$B30,周转筐出入库明细!$D$4:$D$2004,_自动清单!$U$7,周转筐出入库明细!$B$4:$B$2004,"&gt;="&amp;$P$1,周转筐出入库明细!$B$4:$B$2004,"&lt;="&amp;$P$2))</f>
        <v/>
      </c>
      <c r="G30" s="25" t="str">
        <f>IF($B30="","",SUMIFS(周转筐出入库明细!$K$4:$K$2004,周转筐出入库明细!$C$4:$C$2004,$B30,周转筐出入库明细!$B$4:$B$2004,"&gt;="&amp;$P$1,周转筐出入库明细!$B$4:$B$2004,"&lt;="&amp;$P$2)-SUM($C30:$F30))</f>
        <v/>
      </c>
      <c r="H30" s="25" t="str">
        <f t="shared" si="1"/>
        <v/>
      </c>
      <c r="I30" s="26" t="str">
        <f>IF($B30="","",ROUND(SUMIFS(周转筐出入库明细!$P$4:$P$2004,周转筐出入库明细!$C$4:$C$2004,$B30,周转筐出入库明细!$F$4:$F$2004,"销售出库",周转筐出入库明细!$B$4:$B$2004,"&gt;="&amp;$P$1,周转筐出入库明细!$B$4:$B$2004,"&lt;="&amp;$P$2),2))</f>
        <v/>
      </c>
      <c r="J30" s="26" t="str">
        <f>IF($B30="","",ROUND(SUMIFS(周转筐出入库明细!$P$4:$P$2004,周转筐出入库明细!$C$4:$C$2004,$B30,周转筐出入库明细!$F$4:$F$2004,"销售出库",周转筐出入库明细!$Q$4:$Q$2004,"已收讫",周转筐出入库明细!$B$4:$B$2004,"&gt;="&amp;$P$1,周转筐出入库明细!$B$4:$B$2004,"&lt;="&amp;$P$2),2))</f>
        <v/>
      </c>
      <c r="K30" s="26" t="str">
        <f t="shared" si="2"/>
        <v/>
      </c>
      <c r="L30" s="41"/>
    </row>
    <row r="31" spans="1:12">
      <c r="A31" s="24" t="str">
        <f t="shared" si="0"/>
        <v/>
      </c>
      <c r="B31" s="24" t="str">
        <f>IFERROR(INDEX(_自动清单!$AA$4:$AA$203,ROW()-3),"")</f>
        <v/>
      </c>
      <c r="C31" s="25" t="str">
        <f>IF(OR($B31="",_自动清单!$U$4=""),"",SUMIFS(周转筐出入库明细!$K$4:$K$2004,周转筐出入库明细!$C$4:$C$2004,$B31,周转筐出入库明细!$D$4:$D$2004,_自动清单!$U$4,周转筐出入库明细!$B$4:$B$2004,"&gt;="&amp;$P$1,周转筐出入库明细!$B$4:$B$2004,"&lt;="&amp;$P$2))</f>
        <v/>
      </c>
      <c r="D31" s="25" t="str">
        <f>IF(OR($B31="",_自动清单!$U$5=""),"",SUMIFS(周转筐出入库明细!$K$4:$K$2004,周转筐出入库明细!$C$4:$C$2004,$B31,周转筐出入库明细!$D$4:$D$2004,_自动清单!$U$5,周转筐出入库明细!$B$4:$B$2004,"&gt;="&amp;$P$1,周转筐出入库明细!$B$4:$B$2004,"&lt;="&amp;$P$2))</f>
        <v/>
      </c>
      <c r="E31" s="25" t="str">
        <f>IF(OR($B31="",_自动清单!$U$6=""),"",SUMIFS(周转筐出入库明细!$K$4:$K$2004,周转筐出入库明细!$C$4:$C$2004,$B31,周转筐出入库明细!$D$4:$D$2004,_自动清单!$U$6,周转筐出入库明细!$B$4:$B$2004,"&gt;="&amp;$P$1,周转筐出入库明细!$B$4:$B$2004,"&lt;="&amp;$P$2))</f>
        <v/>
      </c>
      <c r="F31" s="25" t="str">
        <f>IF(OR($B31="",_自动清单!$U$7=""),"",SUMIFS(周转筐出入库明细!$K$4:$K$2004,周转筐出入库明细!$C$4:$C$2004,$B31,周转筐出入库明细!$D$4:$D$2004,_自动清单!$U$7,周转筐出入库明细!$B$4:$B$2004,"&gt;="&amp;$P$1,周转筐出入库明细!$B$4:$B$2004,"&lt;="&amp;$P$2))</f>
        <v/>
      </c>
      <c r="G31" s="25" t="str">
        <f>IF($B31="","",SUMIFS(周转筐出入库明细!$K$4:$K$2004,周转筐出入库明细!$C$4:$C$2004,$B31,周转筐出入库明细!$B$4:$B$2004,"&gt;="&amp;$P$1,周转筐出入库明细!$B$4:$B$2004,"&lt;="&amp;$P$2)-SUM($C31:$F31))</f>
        <v/>
      </c>
      <c r="H31" s="25" t="str">
        <f t="shared" si="1"/>
        <v/>
      </c>
      <c r="I31" s="26" t="str">
        <f>IF($B31="","",ROUND(SUMIFS(周转筐出入库明细!$P$4:$P$2004,周转筐出入库明细!$C$4:$C$2004,$B31,周转筐出入库明细!$F$4:$F$2004,"销售出库",周转筐出入库明细!$B$4:$B$2004,"&gt;="&amp;$P$1,周转筐出入库明细!$B$4:$B$2004,"&lt;="&amp;$P$2),2))</f>
        <v/>
      </c>
      <c r="J31" s="26" t="str">
        <f>IF($B31="","",ROUND(SUMIFS(周转筐出入库明细!$P$4:$P$2004,周转筐出入库明细!$C$4:$C$2004,$B31,周转筐出入库明细!$F$4:$F$2004,"销售出库",周转筐出入库明细!$Q$4:$Q$2004,"已收讫",周转筐出入库明细!$B$4:$B$2004,"&gt;="&amp;$P$1,周转筐出入库明细!$B$4:$B$2004,"&lt;="&amp;$P$2),2))</f>
        <v/>
      </c>
      <c r="K31" s="26" t="str">
        <f t="shared" si="2"/>
        <v/>
      </c>
      <c r="L31" s="41"/>
    </row>
    <row r="32" spans="1:12">
      <c r="A32" s="24" t="str">
        <f t="shared" si="0"/>
        <v/>
      </c>
      <c r="B32" s="24" t="str">
        <f>IFERROR(INDEX(_自动清单!$AA$4:$AA$203,ROW()-3),"")</f>
        <v/>
      </c>
      <c r="C32" s="25" t="str">
        <f>IF(OR($B32="",_自动清单!$U$4=""),"",SUMIFS(周转筐出入库明细!$K$4:$K$2004,周转筐出入库明细!$C$4:$C$2004,$B32,周转筐出入库明细!$D$4:$D$2004,_自动清单!$U$4,周转筐出入库明细!$B$4:$B$2004,"&gt;="&amp;$P$1,周转筐出入库明细!$B$4:$B$2004,"&lt;="&amp;$P$2))</f>
        <v/>
      </c>
      <c r="D32" s="25" t="str">
        <f>IF(OR($B32="",_自动清单!$U$5=""),"",SUMIFS(周转筐出入库明细!$K$4:$K$2004,周转筐出入库明细!$C$4:$C$2004,$B32,周转筐出入库明细!$D$4:$D$2004,_自动清单!$U$5,周转筐出入库明细!$B$4:$B$2004,"&gt;="&amp;$P$1,周转筐出入库明细!$B$4:$B$2004,"&lt;="&amp;$P$2))</f>
        <v/>
      </c>
      <c r="E32" s="25" t="str">
        <f>IF(OR($B32="",_自动清单!$U$6=""),"",SUMIFS(周转筐出入库明细!$K$4:$K$2004,周转筐出入库明细!$C$4:$C$2004,$B32,周转筐出入库明细!$D$4:$D$2004,_自动清单!$U$6,周转筐出入库明细!$B$4:$B$2004,"&gt;="&amp;$P$1,周转筐出入库明细!$B$4:$B$2004,"&lt;="&amp;$P$2))</f>
        <v/>
      </c>
      <c r="F32" s="25" t="str">
        <f>IF(OR($B32="",_自动清单!$U$7=""),"",SUMIFS(周转筐出入库明细!$K$4:$K$2004,周转筐出入库明细!$C$4:$C$2004,$B32,周转筐出入库明细!$D$4:$D$2004,_自动清单!$U$7,周转筐出入库明细!$B$4:$B$2004,"&gt;="&amp;$P$1,周转筐出入库明细!$B$4:$B$2004,"&lt;="&amp;$P$2))</f>
        <v/>
      </c>
      <c r="G32" s="25" t="str">
        <f>IF($B32="","",SUMIFS(周转筐出入库明细!$K$4:$K$2004,周转筐出入库明细!$C$4:$C$2004,$B32,周转筐出入库明细!$B$4:$B$2004,"&gt;="&amp;$P$1,周转筐出入库明细!$B$4:$B$2004,"&lt;="&amp;$P$2)-SUM($C32:$F32))</f>
        <v/>
      </c>
      <c r="H32" s="25" t="str">
        <f t="shared" si="1"/>
        <v/>
      </c>
      <c r="I32" s="26" t="str">
        <f>IF($B32="","",ROUND(SUMIFS(周转筐出入库明细!$P$4:$P$2004,周转筐出入库明细!$C$4:$C$2004,$B32,周转筐出入库明细!$F$4:$F$2004,"销售出库",周转筐出入库明细!$B$4:$B$2004,"&gt;="&amp;$P$1,周转筐出入库明细!$B$4:$B$2004,"&lt;="&amp;$P$2),2))</f>
        <v/>
      </c>
      <c r="J32" s="26" t="str">
        <f>IF($B32="","",ROUND(SUMIFS(周转筐出入库明细!$P$4:$P$2004,周转筐出入库明细!$C$4:$C$2004,$B32,周转筐出入库明细!$F$4:$F$2004,"销售出库",周转筐出入库明细!$Q$4:$Q$2004,"已收讫",周转筐出入库明细!$B$4:$B$2004,"&gt;="&amp;$P$1,周转筐出入库明细!$B$4:$B$2004,"&lt;="&amp;$P$2),2))</f>
        <v/>
      </c>
      <c r="K32" s="26" t="str">
        <f t="shared" si="2"/>
        <v/>
      </c>
      <c r="L32" s="41"/>
    </row>
    <row r="33" spans="1:12">
      <c r="A33" s="24" t="str">
        <f t="shared" si="0"/>
        <v/>
      </c>
      <c r="B33" s="24" t="str">
        <f>IFERROR(INDEX(_自动清单!$AA$4:$AA$203,ROW()-3),"")</f>
        <v/>
      </c>
      <c r="C33" s="25" t="str">
        <f>IF(OR($B33="",_自动清单!$U$4=""),"",SUMIFS(周转筐出入库明细!$K$4:$K$2004,周转筐出入库明细!$C$4:$C$2004,$B33,周转筐出入库明细!$D$4:$D$2004,_自动清单!$U$4,周转筐出入库明细!$B$4:$B$2004,"&gt;="&amp;$P$1,周转筐出入库明细!$B$4:$B$2004,"&lt;="&amp;$P$2))</f>
        <v/>
      </c>
      <c r="D33" s="25" t="str">
        <f>IF(OR($B33="",_自动清单!$U$5=""),"",SUMIFS(周转筐出入库明细!$K$4:$K$2004,周转筐出入库明细!$C$4:$C$2004,$B33,周转筐出入库明细!$D$4:$D$2004,_自动清单!$U$5,周转筐出入库明细!$B$4:$B$2004,"&gt;="&amp;$P$1,周转筐出入库明细!$B$4:$B$2004,"&lt;="&amp;$P$2))</f>
        <v/>
      </c>
      <c r="E33" s="25" t="str">
        <f>IF(OR($B33="",_自动清单!$U$6=""),"",SUMIFS(周转筐出入库明细!$K$4:$K$2004,周转筐出入库明细!$C$4:$C$2004,$B33,周转筐出入库明细!$D$4:$D$2004,_自动清单!$U$6,周转筐出入库明细!$B$4:$B$2004,"&gt;="&amp;$P$1,周转筐出入库明细!$B$4:$B$2004,"&lt;="&amp;$P$2))</f>
        <v/>
      </c>
      <c r="F33" s="25" t="str">
        <f>IF(OR($B33="",_自动清单!$U$7=""),"",SUMIFS(周转筐出入库明细!$K$4:$K$2004,周转筐出入库明细!$C$4:$C$2004,$B33,周转筐出入库明细!$D$4:$D$2004,_自动清单!$U$7,周转筐出入库明细!$B$4:$B$2004,"&gt;="&amp;$P$1,周转筐出入库明细!$B$4:$B$2004,"&lt;="&amp;$P$2))</f>
        <v/>
      </c>
      <c r="G33" s="25" t="str">
        <f>IF($B33="","",SUMIFS(周转筐出入库明细!$K$4:$K$2004,周转筐出入库明细!$C$4:$C$2004,$B33,周转筐出入库明细!$B$4:$B$2004,"&gt;="&amp;$P$1,周转筐出入库明细!$B$4:$B$2004,"&lt;="&amp;$P$2)-SUM($C33:$F33))</f>
        <v/>
      </c>
      <c r="H33" s="25" t="str">
        <f t="shared" si="1"/>
        <v/>
      </c>
      <c r="I33" s="26" t="str">
        <f>IF($B33="","",ROUND(SUMIFS(周转筐出入库明细!$P$4:$P$2004,周转筐出入库明细!$C$4:$C$2004,$B33,周转筐出入库明细!$F$4:$F$2004,"销售出库",周转筐出入库明细!$B$4:$B$2004,"&gt;="&amp;$P$1,周转筐出入库明细!$B$4:$B$2004,"&lt;="&amp;$P$2),2))</f>
        <v/>
      </c>
      <c r="J33" s="26" t="str">
        <f>IF($B33="","",ROUND(SUMIFS(周转筐出入库明细!$P$4:$P$2004,周转筐出入库明细!$C$4:$C$2004,$B33,周转筐出入库明细!$F$4:$F$2004,"销售出库",周转筐出入库明细!$Q$4:$Q$2004,"已收讫",周转筐出入库明细!$B$4:$B$2004,"&gt;="&amp;$P$1,周转筐出入库明细!$B$4:$B$2004,"&lt;="&amp;$P$2),2))</f>
        <v/>
      </c>
      <c r="K33" s="26" t="str">
        <f t="shared" si="2"/>
        <v/>
      </c>
      <c r="L33" s="41"/>
    </row>
    <row r="34" spans="1:12">
      <c r="A34" s="24" t="str">
        <f t="shared" si="0"/>
        <v/>
      </c>
      <c r="B34" s="24" t="str">
        <f>IFERROR(INDEX(_自动清单!$AA$4:$AA$203,ROW()-3),"")</f>
        <v/>
      </c>
      <c r="C34" s="25" t="str">
        <f>IF(OR($B34="",_自动清单!$U$4=""),"",SUMIFS(周转筐出入库明细!$K$4:$K$2004,周转筐出入库明细!$C$4:$C$2004,$B34,周转筐出入库明细!$D$4:$D$2004,_自动清单!$U$4,周转筐出入库明细!$B$4:$B$2004,"&gt;="&amp;$P$1,周转筐出入库明细!$B$4:$B$2004,"&lt;="&amp;$P$2))</f>
        <v/>
      </c>
      <c r="D34" s="25" t="str">
        <f>IF(OR($B34="",_自动清单!$U$5=""),"",SUMIFS(周转筐出入库明细!$K$4:$K$2004,周转筐出入库明细!$C$4:$C$2004,$B34,周转筐出入库明细!$D$4:$D$2004,_自动清单!$U$5,周转筐出入库明细!$B$4:$B$2004,"&gt;="&amp;$P$1,周转筐出入库明细!$B$4:$B$2004,"&lt;="&amp;$P$2))</f>
        <v/>
      </c>
      <c r="E34" s="25" t="str">
        <f>IF(OR($B34="",_自动清单!$U$6=""),"",SUMIFS(周转筐出入库明细!$K$4:$K$2004,周转筐出入库明细!$C$4:$C$2004,$B34,周转筐出入库明细!$D$4:$D$2004,_自动清单!$U$6,周转筐出入库明细!$B$4:$B$2004,"&gt;="&amp;$P$1,周转筐出入库明细!$B$4:$B$2004,"&lt;="&amp;$P$2))</f>
        <v/>
      </c>
      <c r="F34" s="25" t="str">
        <f>IF(OR($B34="",_自动清单!$U$7=""),"",SUMIFS(周转筐出入库明细!$K$4:$K$2004,周转筐出入库明细!$C$4:$C$2004,$B34,周转筐出入库明细!$D$4:$D$2004,_自动清单!$U$7,周转筐出入库明细!$B$4:$B$2004,"&gt;="&amp;$P$1,周转筐出入库明细!$B$4:$B$2004,"&lt;="&amp;$P$2))</f>
        <v/>
      </c>
      <c r="G34" s="25" t="str">
        <f>IF($B34="","",SUMIFS(周转筐出入库明细!$K$4:$K$2004,周转筐出入库明细!$C$4:$C$2004,$B34,周转筐出入库明细!$B$4:$B$2004,"&gt;="&amp;$P$1,周转筐出入库明细!$B$4:$B$2004,"&lt;="&amp;$P$2)-SUM($C34:$F34))</f>
        <v/>
      </c>
      <c r="H34" s="25" t="str">
        <f t="shared" si="1"/>
        <v/>
      </c>
      <c r="I34" s="26" t="str">
        <f>IF($B34="","",ROUND(SUMIFS(周转筐出入库明细!$P$4:$P$2004,周转筐出入库明细!$C$4:$C$2004,$B34,周转筐出入库明细!$F$4:$F$2004,"销售出库",周转筐出入库明细!$B$4:$B$2004,"&gt;="&amp;$P$1,周转筐出入库明细!$B$4:$B$2004,"&lt;="&amp;$P$2),2))</f>
        <v/>
      </c>
      <c r="J34" s="26" t="str">
        <f>IF($B34="","",ROUND(SUMIFS(周转筐出入库明细!$P$4:$P$2004,周转筐出入库明细!$C$4:$C$2004,$B34,周转筐出入库明细!$F$4:$F$2004,"销售出库",周转筐出入库明细!$Q$4:$Q$2004,"已收讫",周转筐出入库明细!$B$4:$B$2004,"&gt;="&amp;$P$1,周转筐出入库明细!$B$4:$B$2004,"&lt;="&amp;$P$2),2))</f>
        <v/>
      </c>
      <c r="K34" s="26" t="str">
        <f t="shared" si="2"/>
        <v/>
      </c>
      <c r="L34" s="41"/>
    </row>
    <row r="35" spans="1:12">
      <c r="A35" s="24" t="str">
        <f t="shared" si="0"/>
        <v/>
      </c>
      <c r="B35" s="24" t="str">
        <f>IFERROR(INDEX(_自动清单!$AA$4:$AA$203,ROW()-3),"")</f>
        <v/>
      </c>
      <c r="C35" s="25" t="str">
        <f>IF(OR($B35="",_自动清单!$U$4=""),"",SUMIFS(周转筐出入库明细!$K$4:$K$2004,周转筐出入库明细!$C$4:$C$2004,$B35,周转筐出入库明细!$D$4:$D$2004,_自动清单!$U$4,周转筐出入库明细!$B$4:$B$2004,"&gt;="&amp;$P$1,周转筐出入库明细!$B$4:$B$2004,"&lt;="&amp;$P$2))</f>
        <v/>
      </c>
      <c r="D35" s="25" t="str">
        <f>IF(OR($B35="",_自动清单!$U$5=""),"",SUMIFS(周转筐出入库明细!$K$4:$K$2004,周转筐出入库明细!$C$4:$C$2004,$B35,周转筐出入库明细!$D$4:$D$2004,_自动清单!$U$5,周转筐出入库明细!$B$4:$B$2004,"&gt;="&amp;$P$1,周转筐出入库明细!$B$4:$B$2004,"&lt;="&amp;$P$2))</f>
        <v/>
      </c>
      <c r="E35" s="25" t="str">
        <f>IF(OR($B35="",_自动清单!$U$6=""),"",SUMIFS(周转筐出入库明细!$K$4:$K$2004,周转筐出入库明细!$C$4:$C$2004,$B35,周转筐出入库明细!$D$4:$D$2004,_自动清单!$U$6,周转筐出入库明细!$B$4:$B$2004,"&gt;="&amp;$P$1,周转筐出入库明细!$B$4:$B$2004,"&lt;="&amp;$P$2))</f>
        <v/>
      </c>
      <c r="F35" s="25" t="str">
        <f>IF(OR($B35="",_自动清单!$U$7=""),"",SUMIFS(周转筐出入库明细!$K$4:$K$2004,周转筐出入库明细!$C$4:$C$2004,$B35,周转筐出入库明细!$D$4:$D$2004,_自动清单!$U$7,周转筐出入库明细!$B$4:$B$2004,"&gt;="&amp;$P$1,周转筐出入库明细!$B$4:$B$2004,"&lt;="&amp;$P$2))</f>
        <v/>
      </c>
      <c r="G35" s="25" t="str">
        <f>IF($B35="","",SUMIFS(周转筐出入库明细!$K$4:$K$2004,周转筐出入库明细!$C$4:$C$2004,$B35,周转筐出入库明细!$B$4:$B$2004,"&gt;="&amp;$P$1,周转筐出入库明细!$B$4:$B$2004,"&lt;="&amp;$P$2)-SUM($C35:$F35))</f>
        <v/>
      </c>
      <c r="H35" s="25" t="str">
        <f t="shared" si="1"/>
        <v/>
      </c>
      <c r="I35" s="26" t="str">
        <f>IF($B35="","",ROUND(SUMIFS(周转筐出入库明细!$P$4:$P$2004,周转筐出入库明细!$C$4:$C$2004,$B35,周转筐出入库明细!$F$4:$F$2004,"销售出库",周转筐出入库明细!$B$4:$B$2004,"&gt;="&amp;$P$1,周转筐出入库明细!$B$4:$B$2004,"&lt;="&amp;$P$2),2))</f>
        <v/>
      </c>
      <c r="J35" s="26" t="str">
        <f>IF($B35="","",ROUND(SUMIFS(周转筐出入库明细!$P$4:$P$2004,周转筐出入库明细!$C$4:$C$2004,$B35,周转筐出入库明细!$F$4:$F$2004,"销售出库",周转筐出入库明细!$Q$4:$Q$2004,"已收讫",周转筐出入库明细!$B$4:$B$2004,"&gt;="&amp;$P$1,周转筐出入库明细!$B$4:$B$2004,"&lt;="&amp;$P$2),2))</f>
        <v/>
      </c>
      <c r="K35" s="26" t="str">
        <f t="shared" si="2"/>
        <v/>
      </c>
      <c r="L35" s="41"/>
    </row>
    <row r="36" spans="1:12">
      <c r="A36" s="24" t="str">
        <f t="shared" si="0"/>
        <v/>
      </c>
      <c r="B36" s="24" t="str">
        <f>IFERROR(INDEX(_自动清单!$AA$4:$AA$203,ROW()-3),"")</f>
        <v/>
      </c>
      <c r="C36" s="25" t="str">
        <f>IF(OR($B36="",_自动清单!$U$4=""),"",SUMIFS(周转筐出入库明细!$K$4:$K$2004,周转筐出入库明细!$C$4:$C$2004,$B36,周转筐出入库明细!$D$4:$D$2004,_自动清单!$U$4,周转筐出入库明细!$B$4:$B$2004,"&gt;="&amp;$P$1,周转筐出入库明细!$B$4:$B$2004,"&lt;="&amp;$P$2))</f>
        <v/>
      </c>
      <c r="D36" s="25" t="str">
        <f>IF(OR($B36="",_自动清单!$U$5=""),"",SUMIFS(周转筐出入库明细!$K$4:$K$2004,周转筐出入库明细!$C$4:$C$2004,$B36,周转筐出入库明细!$D$4:$D$2004,_自动清单!$U$5,周转筐出入库明细!$B$4:$B$2004,"&gt;="&amp;$P$1,周转筐出入库明细!$B$4:$B$2004,"&lt;="&amp;$P$2))</f>
        <v/>
      </c>
      <c r="E36" s="25" t="str">
        <f>IF(OR($B36="",_自动清单!$U$6=""),"",SUMIFS(周转筐出入库明细!$K$4:$K$2004,周转筐出入库明细!$C$4:$C$2004,$B36,周转筐出入库明细!$D$4:$D$2004,_自动清单!$U$6,周转筐出入库明细!$B$4:$B$2004,"&gt;="&amp;$P$1,周转筐出入库明细!$B$4:$B$2004,"&lt;="&amp;$P$2))</f>
        <v/>
      </c>
      <c r="F36" s="25" t="str">
        <f>IF(OR($B36="",_自动清单!$U$7=""),"",SUMIFS(周转筐出入库明细!$K$4:$K$2004,周转筐出入库明细!$C$4:$C$2004,$B36,周转筐出入库明细!$D$4:$D$2004,_自动清单!$U$7,周转筐出入库明细!$B$4:$B$2004,"&gt;="&amp;$P$1,周转筐出入库明细!$B$4:$B$2004,"&lt;="&amp;$P$2))</f>
        <v/>
      </c>
      <c r="G36" s="25" t="str">
        <f>IF($B36="","",SUMIFS(周转筐出入库明细!$K$4:$K$2004,周转筐出入库明细!$C$4:$C$2004,$B36,周转筐出入库明细!$B$4:$B$2004,"&gt;="&amp;$P$1,周转筐出入库明细!$B$4:$B$2004,"&lt;="&amp;$P$2)-SUM($C36:$F36))</f>
        <v/>
      </c>
      <c r="H36" s="25" t="str">
        <f t="shared" si="1"/>
        <v/>
      </c>
      <c r="I36" s="26" t="str">
        <f>IF($B36="","",ROUND(SUMIFS(周转筐出入库明细!$P$4:$P$2004,周转筐出入库明细!$C$4:$C$2004,$B36,周转筐出入库明细!$F$4:$F$2004,"销售出库",周转筐出入库明细!$B$4:$B$2004,"&gt;="&amp;$P$1,周转筐出入库明细!$B$4:$B$2004,"&lt;="&amp;$P$2),2))</f>
        <v/>
      </c>
      <c r="J36" s="26" t="str">
        <f>IF($B36="","",ROUND(SUMIFS(周转筐出入库明细!$P$4:$P$2004,周转筐出入库明细!$C$4:$C$2004,$B36,周转筐出入库明细!$F$4:$F$2004,"销售出库",周转筐出入库明细!$Q$4:$Q$2004,"已收讫",周转筐出入库明细!$B$4:$B$2004,"&gt;="&amp;$P$1,周转筐出入库明细!$B$4:$B$2004,"&lt;="&amp;$P$2),2))</f>
        <v/>
      </c>
      <c r="K36" s="26" t="str">
        <f t="shared" si="2"/>
        <v/>
      </c>
      <c r="L36" s="41"/>
    </row>
    <row r="37" spans="1:12">
      <c r="A37" s="24" t="str">
        <f t="shared" si="0"/>
        <v/>
      </c>
      <c r="B37" s="24" t="str">
        <f>IFERROR(INDEX(_自动清单!$AA$4:$AA$203,ROW()-3),"")</f>
        <v/>
      </c>
      <c r="C37" s="25" t="str">
        <f>IF(OR($B37="",_自动清单!$U$4=""),"",SUMIFS(周转筐出入库明细!$K$4:$K$2004,周转筐出入库明细!$C$4:$C$2004,$B37,周转筐出入库明细!$D$4:$D$2004,_自动清单!$U$4,周转筐出入库明细!$B$4:$B$2004,"&gt;="&amp;$P$1,周转筐出入库明细!$B$4:$B$2004,"&lt;="&amp;$P$2))</f>
        <v/>
      </c>
      <c r="D37" s="25" t="str">
        <f>IF(OR($B37="",_自动清单!$U$5=""),"",SUMIFS(周转筐出入库明细!$K$4:$K$2004,周转筐出入库明细!$C$4:$C$2004,$B37,周转筐出入库明细!$D$4:$D$2004,_自动清单!$U$5,周转筐出入库明细!$B$4:$B$2004,"&gt;="&amp;$P$1,周转筐出入库明细!$B$4:$B$2004,"&lt;="&amp;$P$2))</f>
        <v/>
      </c>
      <c r="E37" s="25" t="str">
        <f>IF(OR($B37="",_自动清单!$U$6=""),"",SUMIFS(周转筐出入库明细!$K$4:$K$2004,周转筐出入库明细!$C$4:$C$2004,$B37,周转筐出入库明细!$D$4:$D$2004,_自动清单!$U$6,周转筐出入库明细!$B$4:$B$2004,"&gt;="&amp;$P$1,周转筐出入库明细!$B$4:$B$2004,"&lt;="&amp;$P$2))</f>
        <v/>
      </c>
      <c r="F37" s="25" t="str">
        <f>IF(OR($B37="",_自动清单!$U$7=""),"",SUMIFS(周转筐出入库明细!$K$4:$K$2004,周转筐出入库明细!$C$4:$C$2004,$B37,周转筐出入库明细!$D$4:$D$2004,_自动清单!$U$7,周转筐出入库明细!$B$4:$B$2004,"&gt;="&amp;$P$1,周转筐出入库明细!$B$4:$B$2004,"&lt;="&amp;$P$2))</f>
        <v/>
      </c>
      <c r="G37" s="25" t="str">
        <f>IF($B37="","",SUMIFS(周转筐出入库明细!$K$4:$K$2004,周转筐出入库明细!$C$4:$C$2004,$B37,周转筐出入库明细!$B$4:$B$2004,"&gt;="&amp;$P$1,周转筐出入库明细!$B$4:$B$2004,"&lt;="&amp;$P$2)-SUM($C37:$F37))</f>
        <v/>
      </c>
      <c r="H37" s="25" t="str">
        <f t="shared" si="1"/>
        <v/>
      </c>
      <c r="I37" s="26" t="str">
        <f>IF($B37="","",ROUND(SUMIFS(周转筐出入库明细!$P$4:$P$2004,周转筐出入库明细!$C$4:$C$2004,$B37,周转筐出入库明细!$F$4:$F$2004,"销售出库",周转筐出入库明细!$B$4:$B$2004,"&gt;="&amp;$P$1,周转筐出入库明细!$B$4:$B$2004,"&lt;="&amp;$P$2),2))</f>
        <v/>
      </c>
      <c r="J37" s="26" t="str">
        <f>IF($B37="","",ROUND(SUMIFS(周转筐出入库明细!$P$4:$P$2004,周转筐出入库明细!$C$4:$C$2004,$B37,周转筐出入库明细!$F$4:$F$2004,"销售出库",周转筐出入库明细!$Q$4:$Q$2004,"已收讫",周转筐出入库明细!$B$4:$B$2004,"&gt;="&amp;$P$1,周转筐出入库明细!$B$4:$B$2004,"&lt;="&amp;$P$2),2))</f>
        <v/>
      </c>
      <c r="K37" s="26" t="str">
        <f t="shared" si="2"/>
        <v/>
      </c>
      <c r="L37" s="41"/>
    </row>
    <row r="38" spans="1:12">
      <c r="A38" s="24" t="str">
        <f t="shared" si="0"/>
        <v/>
      </c>
      <c r="B38" s="24" t="str">
        <f>IFERROR(INDEX(_自动清单!$AA$4:$AA$203,ROW()-3),"")</f>
        <v/>
      </c>
      <c r="C38" s="25" t="str">
        <f>IF(OR($B38="",_自动清单!$U$4=""),"",SUMIFS(周转筐出入库明细!$K$4:$K$2004,周转筐出入库明细!$C$4:$C$2004,$B38,周转筐出入库明细!$D$4:$D$2004,_自动清单!$U$4,周转筐出入库明细!$B$4:$B$2004,"&gt;="&amp;$P$1,周转筐出入库明细!$B$4:$B$2004,"&lt;="&amp;$P$2))</f>
        <v/>
      </c>
      <c r="D38" s="25" t="str">
        <f>IF(OR($B38="",_自动清单!$U$5=""),"",SUMIFS(周转筐出入库明细!$K$4:$K$2004,周转筐出入库明细!$C$4:$C$2004,$B38,周转筐出入库明细!$D$4:$D$2004,_自动清单!$U$5,周转筐出入库明细!$B$4:$B$2004,"&gt;="&amp;$P$1,周转筐出入库明细!$B$4:$B$2004,"&lt;="&amp;$P$2))</f>
        <v/>
      </c>
      <c r="E38" s="25" t="str">
        <f>IF(OR($B38="",_自动清单!$U$6=""),"",SUMIFS(周转筐出入库明细!$K$4:$K$2004,周转筐出入库明细!$C$4:$C$2004,$B38,周转筐出入库明细!$D$4:$D$2004,_自动清单!$U$6,周转筐出入库明细!$B$4:$B$2004,"&gt;="&amp;$P$1,周转筐出入库明细!$B$4:$B$2004,"&lt;="&amp;$P$2))</f>
        <v/>
      </c>
      <c r="F38" s="25" t="str">
        <f>IF(OR($B38="",_自动清单!$U$7=""),"",SUMIFS(周转筐出入库明细!$K$4:$K$2004,周转筐出入库明细!$C$4:$C$2004,$B38,周转筐出入库明细!$D$4:$D$2004,_自动清单!$U$7,周转筐出入库明细!$B$4:$B$2004,"&gt;="&amp;$P$1,周转筐出入库明细!$B$4:$B$2004,"&lt;="&amp;$P$2))</f>
        <v/>
      </c>
      <c r="G38" s="25" t="str">
        <f>IF($B38="","",SUMIFS(周转筐出入库明细!$K$4:$K$2004,周转筐出入库明细!$C$4:$C$2004,$B38,周转筐出入库明细!$B$4:$B$2004,"&gt;="&amp;$P$1,周转筐出入库明细!$B$4:$B$2004,"&lt;="&amp;$P$2)-SUM($C38:$F38))</f>
        <v/>
      </c>
      <c r="H38" s="25" t="str">
        <f t="shared" si="1"/>
        <v/>
      </c>
      <c r="I38" s="26" t="str">
        <f>IF($B38="","",ROUND(SUMIFS(周转筐出入库明细!$P$4:$P$2004,周转筐出入库明细!$C$4:$C$2004,$B38,周转筐出入库明细!$F$4:$F$2004,"销售出库",周转筐出入库明细!$B$4:$B$2004,"&gt;="&amp;$P$1,周转筐出入库明细!$B$4:$B$2004,"&lt;="&amp;$P$2),2))</f>
        <v/>
      </c>
      <c r="J38" s="26" t="str">
        <f>IF($B38="","",ROUND(SUMIFS(周转筐出入库明细!$P$4:$P$2004,周转筐出入库明细!$C$4:$C$2004,$B38,周转筐出入库明细!$F$4:$F$2004,"销售出库",周转筐出入库明细!$Q$4:$Q$2004,"已收讫",周转筐出入库明细!$B$4:$B$2004,"&gt;="&amp;$P$1,周转筐出入库明细!$B$4:$B$2004,"&lt;="&amp;$P$2),2))</f>
        <v/>
      </c>
      <c r="K38" s="26" t="str">
        <f t="shared" si="2"/>
        <v/>
      </c>
      <c r="L38" s="41"/>
    </row>
    <row r="39" spans="1:12">
      <c r="A39" s="24" t="str">
        <f t="shared" si="0"/>
        <v/>
      </c>
      <c r="B39" s="24" t="str">
        <f>IFERROR(INDEX(_自动清单!$AA$4:$AA$203,ROW()-3),"")</f>
        <v/>
      </c>
      <c r="C39" s="25" t="str">
        <f>IF(OR($B39="",_自动清单!$U$4=""),"",SUMIFS(周转筐出入库明细!$K$4:$K$2004,周转筐出入库明细!$C$4:$C$2004,$B39,周转筐出入库明细!$D$4:$D$2004,_自动清单!$U$4,周转筐出入库明细!$B$4:$B$2004,"&gt;="&amp;$P$1,周转筐出入库明细!$B$4:$B$2004,"&lt;="&amp;$P$2))</f>
        <v/>
      </c>
      <c r="D39" s="25" t="str">
        <f>IF(OR($B39="",_自动清单!$U$5=""),"",SUMIFS(周转筐出入库明细!$K$4:$K$2004,周转筐出入库明细!$C$4:$C$2004,$B39,周转筐出入库明细!$D$4:$D$2004,_自动清单!$U$5,周转筐出入库明细!$B$4:$B$2004,"&gt;="&amp;$P$1,周转筐出入库明细!$B$4:$B$2004,"&lt;="&amp;$P$2))</f>
        <v/>
      </c>
      <c r="E39" s="25" t="str">
        <f>IF(OR($B39="",_自动清单!$U$6=""),"",SUMIFS(周转筐出入库明细!$K$4:$K$2004,周转筐出入库明细!$C$4:$C$2004,$B39,周转筐出入库明细!$D$4:$D$2004,_自动清单!$U$6,周转筐出入库明细!$B$4:$B$2004,"&gt;="&amp;$P$1,周转筐出入库明细!$B$4:$B$2004,"&lt;="&amp;$P$2))</f>
        <v/>
      </c>
      <c r="F39" s="25" t="str">
        <f>IF(OR($B39="",_自动清单!$U$7=""),"",SUMIFS(周转筐出入库明细!$K$4:$K$2004,周转筐出入库明细!$C$4:$C$2004,$B39,周转筐出入库明细!$D$4:$D$2004,_自动清单!$U$7,周转筐出入库明细!$B$4:$B$2004,"&gt;="&amp;$P$1,周转筐出入库明细!$B$4:$B$2004,"&lt;="&amp;$P$2))</f>
        <v/>
      </c>
      <c r="G39" s="25" t="str">
        <f>IF($B39="","",SUMIFS(周转筐出入库明细!$K$4:$K$2004,周转筐出入库明细!$C$4:$C$2004,$B39,周转筐出入库明细!$B$4:$B$2004,"&gt;="&amp;$P$1,周转筐出入库明细!$B$4:$B$2004,"&lt;="&amp;$P$2)-SUM($C39:$F39))</f>
        <v/>
      </c>
      <c r="H39" s="25" t="str">
        <f t="shared" si="1"/>
        <v/>
      </c>
      <c r="I39" s="26" t="str">
        <f>IF($B39="","",ROUND(SUMIFS(周转筐出入库明细!$P$4:$P$2004,周转筐出入库明细!$C$4:$C$2004,$B39,周转筐出入库明细!$F$4:$F$2004,"销售出库",周转筐出入库明细!$B$4:$B$2004,"&gt;="&amp;$P$1,周转筐出入库明细!$B$4:$B$2004,"&lt;="&amp;$P$2),2))</f>
        <v/>
      </c>
      <c r="J39" s="26" t="str">
        <f>IF($B39="","",ROUND(SUMIFS(周转筐出入库明细!$P$4:$P$2004,周转筐出入库明细!$C$4:$C$2004,$B39,周转筐出入库明细!$F$4:$F$2004,"销售出库",周转筐出入库明细!$Q$4:$Q$2004,"已收讫",周转筐出入库明细!$B$4:$B$2004,"&gt;="&amp;$P$1,周转筐出入库明细!$B$4:$B$2004,"&lt;="&amp;$P$2),2))</f>
        <v/>
      </c>
      <c r="K39" s="26" t="str">
        <f t="shared" si="2"/>
        <v/>
      </c>
      <c r="L39" s="41"/>
    </row>
    <row r="40" spans="1:12">
      <c r="A40" s="24" t="str">
        <f t="shared" si="0"/>
        <v/>
      </c>
      <c r="B40" s="24" t="str">
        <f>IFERROR(INDEX(_自动清单!$AA$4:$AA$203,ROW()-3),"")</f>
        <v/>
      </c>
      <c r="C40" s="25" t="str">
        <f>IF(OR($B40="",_自动清单!$U$4=""),"",SUMIFS(周转筐出入库明细!$K$4:$K$2004,周转筐出入库明细!$C$4:$C$2004,$B40,周转筐出入库明细!$D$4:$D$2004,_自动清单!$U$4,周转筐出入库明细!$B$4:$B$2004,"&gt;="&amp;$P$1,周转筐出入库明细!$B$4:$B$2004,"&lt;="&amp;$P$2))</f>
        <v/>
      </c>
      <c r="D40" s="25" t="str">
        <f>IF(OR($B40="",_自动清单!$U$5=""),"",SUMIFS(周转筐出入库明细!$K$4:$K$2004,周转筐出入库明细!$C$4:$C$2004,$B40,周转筐出入库明细!$D$4:$D$2004,_自动清单!$U$5,周转筐出入库明细!$B$4:$B$2004,"&gt;="&amp;$P$1,周转筐出入库明细!$B$4:$B$2004,"&lt;="&amp;$P$2))</f>
        <v/>
      </c>
      <c r="E40" s="25" t="str">
        <f>IF(OR($B40="",_自动清单!$U$6=""),"",SUMIFS(周转筐出入库明细!$K$4:$K$2004,周转筐出入库明细!$C$4:$C$2004,$B40,周转筐出入库明细!$D$4:$D$2004,_自动清单!$U$6,周转筐出入库明细!$B$4:$B$2004,"&gt;="&amp;$P$1,周转筐出入库明细!$B$4:$B$2004,"&lt;="&amp;$P$2))</f>
        <v/>
      </c>
      <c r="F40" s="25" t="str">
        <f>IF(OR($B40="",_自动清单!$U$7=""),"",SUMIFS(周转筐出入库明细!$K$4:$K$2004,周转筐出入库明细!$C$4:$C$2004,$B40,周转筐出入库明细!$D$4:$D$2004,_自动清单!$U$7,周转筐出入库明细!$B$4:$B$2004,"&gt;="&amp;$P$1,周转筐出入库明细!$B$4:$B$2004,"&lt;="&amp;$P$2))</f>
        <v/>
      </c>
      <c r="G40" s="25" t="str">
        <f>IF($B40="","",SUMIFS(周转筐出入库明细!$K$4:$K$2004,周转筐出入库明细!$C$4:$C$2004,$B40,周转筐出入库明细!$B$4:$B$2004,"&gt;="&amp;$P$1,周转筐出入库明细!$B$4:$B$2004,"&lt;="&amp;$P$2)-SUM($C40:$F40))</f>
        <v/>
      </c>
      <c r="H40" s="25" t="str">
        <f t="shared" si="1"/>
        <v/>
      </c>
      <c r="I40" s="26" t="str">
        <f>IF($B40="","",ROUND(SUMIFS(周转筐出入库明细!$P$4:$P$2004,周转筐出入库明细!$C$4:$C$2004,$B40,周转筐出入库明细!$F$4:$F$2004,"销售出库",周转筐出入库明细!$B$4:$B$2004,"&gt;="&amp;$P$1,周转筐出入库明细!$B$4:$B$2004,"&lt;="&amp;$P$2),2))</f>
        <v/>
      </c>
      <c r="J40" s="26" t="str">
        <f>IF($B40="","",ROUND(SUMIFS(周转筐出入库明细!$P$4:$P$2004,周转筐出入库明细!$C$4:$C$2004,$B40,周转筐出入库明细!$F$4:$F$2004,"销售出库",周转筐出入库明细!$Q$4:$Q$2004,"已收讫",周转筐出入库明细!$B$4:$B$2004,"&gt;="&amp;$P$1,周转筐出入库明细!$B$4:$B$2004,"&lt;="&amp;$P$2),2))</f>
        <v/>
      </c>
      <c r="K40" s="26" t="str">
        <f t="shared" si="2"/>
        <v/>
      </c>
      <c r="L40" s="41"/>
    </row>
    <row r="41" spans="1:12">
      <c r="A41" s="24" t="str">
        <f t="shared" si="0"/>
        <v/>
      </c>
      <c r="B41" s="24" t="str">
        <f>IFERROR(INDEX(_自动清单!$AA$4:$AA$203,ROW()-3),"")</f>
        <v/>
      </c>
      <c r="C41" s="25" t="str">
        <f>IF(OR($B41="",_自动清单!$U$4=""),"",SUMIFS(周转筐出入库明细!$K$4:$K$2004,周转筐出入库明细!$C$4:$C$2004,$B41,周转筐出入库明细!$D$4:$D$2004,_自动清单!$U$4,周转筐出入库明细!$B$4:$B$2004,"&gt;="&amp;$P$1,周转筐出入库明细!$B$4:$B$2004,"&lt;="&amp;$P$2))</f>
        <v/>
      </c>
      <c r="D41" s="25" t="str">
        <f>IF(OR($B41="",_自动清单!$U$5=""),"",SUMIFS(周转筐出入库明细!$K$4:$K$2004,周转筐出入库明细!$C$4:$C$2004,$B41,周转筐出入库明细!$D$4:$D$2004,_自动清单!$U$5,周转筐出入库明细!$B$4:$B$2004,"&gt;="&amp;$P$1,周转筐出入库明细!$B$4:$B$2004,"&lt;="&amp;$P$2))</f>
        <v/>
      </c>
      <c r="E41" s="25" t="str">
        <f>IF(OR($B41="",_自动清单!$U$6=""),"",SUMIFS(周转筐出入库明细!$K$4:$K$2004,周转筐出入库明细!$C$4:$C$2004,$B41,周转筐出入库明细!$D$4:$D$2004,_自动清单!$U$6,周转筐出入库明细!$B$4:$B$2004,"&gt;="&amp;$P$1,周转筐出入库明细!$B$4:$B$2004,"&lt;="&amp;$P$2))</f>
        <v/>
      </c>
      <c r="F41" s="25" t="str">
        <f>IF(OR($B41="",_自动清单!$U$7=""),"",SUMIFS(周转筐出入库明细!$K$4:$K$2004,周转筐出入库明细!$C$4:$C$2004,$B41,周转筐出入库明细!$D$4:$D$2004,_自动清单!$U$7,周转筐出入库明细!$B$4:$B$2004,"&gt;="&amp;$P$1,周转筐出入库明细!$B$4:$B$2004,"&lt;="&amp;$P$2))</f>
        <v/>
      </c>
      <c r="G41" s="25" t="str">
        <f>IF($B41="","",SUMIFS(周转筐出入库明细!$K$4:$K$2004,周转筐出入库明细!$C$4:$C$2004,$B41,周转筐出入库明细!$B$4:$B$2004,"&gt;="&amp;$P$1,周转筐出入库明细!$B$4:$B$2004,"&lt;="&amp;$P$2)-SUM($C41:$F41))</f>
        <v/>
      </c>
      <c r="H41" s="25" t="str">
        <f t="shared" si="1"/>
        <v/>
      </c>
      <c r="I41" s="26" t="str">
        <f>IF($B41="","",ROUND(SUMIFS(周转筐出入库明细!$P$4:$P$2004,周转筐出入库明细!$C$4:$C$2004,$B41,周转筐出入库明细!$F$4:$F$2004,"销售出库",周转筐出入库明细!$B$4:$B$2004,"&gt;="&amp;$P$1,周转筐出入库明细!$B$4:$B$2004,"&lt;="&amp;$P$2),2))</f>
        <v/>
      </c>
      <c r="J41" s="26" t="str">
        <f>IF($B41="","",ROUND(SUMIFS(周转筐出入库明细!$P$4:$P$2004,周转筐出入库明细!$C$4:$C$2004,$B41,周转筐出入库明细!$F$4:$F$2004,"销售出库",周转筐出入库明细!$Q$4:$Q$2004,"已收讫",周转筐出入库明细!$B$4:$B$2004,"&gt;="&amp;$P$1,周转筐出入库明细!$B$4:$B$2004,"&lt;="&amp;$P$2),2))</f>
        <v/>
      </c>
      <c r="K41" s="26" t="str">
        <f t="shared" si="2"/>
        <v/>
      </c>
      <c r="L41" s="41"/>
    </row>
    <row r="42" spans="1:12">
      <c r="A42" s="24" t="str">
        <f t="shared" si="0"/>
        <v/>
      </c>
      <c r="B42" s="24" t="str">
        <f>IFERROR(INDEX(_自动清单!$AA$4:$AA$203,ROW()-3),"")</f>
        <v/>
      </c>
      <c r="C42" s="25" t="str">
        <f>IF(OR($B42="",_自动清单!$U$4=""),"",SUMIFS(周转筐出入库明细!$K$4:$K$2004,周转筐出入库明细!$C$4:$C$2004,$B42,周转筐出入库明细!$D$4:$D$2004,_自动清单!$U$4,周转筐出入库明细!$B$4:$B$2004,"&gt;="&amp;$P$1,周转筐出入库明细!$B$4:$B$2004,"&lt;="&amp;$P$2))</f>
        <v/>
      </c>
      <c r="D42" s="25" t="str">
        <f>IF(OR($B42="",_自动清单!$U$5=""),"",SUMIFS(周转筐出入库明细!$K$4:$K$2004,周转筐出入库明细!$C$4:$C$2004,$B42,周转筐出入库明细!$D$4:$D$2004,_自动清单!$U$5,周转筐出入库明细!$B$4:$B$2004,"&gt;="&amp;$P$1,周转筐出入库明细!$B$4:$B$2004,"&lt;="&amp;$P$2))</f>
        <v/>
      </c>
      <c r="E42" s="25" t="str">
        <f>IF(OR($B42="",_自动清单!$U$6=""),"",SUMIFS(周转筐出入库明细!$K$4:$K$2004,周转筐出入库明细!$C$4:$C$2004,$B42,周转筐出入库明细!$D$4:$D$2004,_自动清单!$U$6,周转筐出入库明细!$B$4:$B$2004,"&gt;="&amp;$P$1,周转筐出入库明细!$B$4:$B$2004,"&lt;="&amp;$P$2))</f>
        <v/>
      </c>
      <c r="F42" s="25" t="str">
        <f>IF(OR($B42="",_自动清单!$U$7=""),"",SUMIFS(周转筐出入库明细!$K$4:$K$2004,周转筐出入库明细!$C$4:$C$2004,$B42,周转筐出入库明细!$D$4:$D$2004,_自动清单!$U$7,周转筐出入库明细!$B$4:$B$2004,"&gt;="&amp;$P$1,周转筐出入库明细!$B$4:$B$2004,"&lt;="&amp;$P$2))</f>
        <v/>
      </c>
      <c r="G42" s="25" t="str">
        <f>IF($B42="","",SUMIFS(周转筐出入库明细!$K$4:$K$2004,周转筐出入库明细!$C$4:$C$2004,$B42,周转筐出入库明细!$B$4:$B$2004,"&gt;="&amp;$P$1,周转筐出入库明细!$B$4:$B$2004,"&lt;="&amp;$P$2)-SUM($C42:$F42))</f>
        <v/>
      </c>
      <c r="H42" s="25" t="str">
        <f t="shared" si="1"/>
        <v/>
      </c>
      <c r="I42" s="26" t="str">
        <f>IF($B42="","",ROUND(SUMIFS(周转筐出入库明细!$P$4:$P$2004,周转筐出入库明细!$C$4:$C$2004,$B42,周转筐出入库明细!$F$4:$F$2004,"销售出库",周转筐出入库明细!$B$4:$B$2004,"&gt;="&amp;$P$1,周转筐出入库明细!$B$4:$B$2004,"&lt;="&amp;$P$2),2))</f>
        <v/>
      </c>
      <c r="J42" s="26" t="str">
        <f>IF($B42="","",ROUND(SUMIFS(周转筐出入库明细!$P$4:$P$2004,周转筐出入库明细!$C$4:$C$2004,$B42,周转筐出入库明细!$F$4:$F$2004,"销售出库",周转筐出入库明细!$Q$4:$Q$2004,"已收讫",周转筐出入库明细!$B$4:$B$2004,"&gt;="&amp;$P$1,周转筐出入库明细!$B$4:$B$2004,"&lt;="&amp;$P$2),2))</f>
        <v/>
      </c>
      <c r="K42" s="26" t="str">
        <f t="shared" si="2"/>
        <v/>
      </c>
      <c r="L42" s="41"/>
    </row>
    <row r="43" spans="1:12">
      <c r="A43" s="24" t="str">
        <f t="shared" si="0"/>
        <v/>
      </c>
      <c r="B43" s="24" t="str">
        <f>IFERROR(INDEX(_自动清单!$AA$4:$AA$203,ROW()-3),"")</f>
        <v/>
      </c>
      <c r="C43" s="25" t="str">
        <f>IF(OR($B43="",_自动清单!$U$4=""),"",SUMIFS(周转筐出入库明细!$K$4:$K$2004,周转筐出入库明细!$C$4:$C$2004,$B43,周转筐出入库明细!$D$4:$D$2004,_自动清单!$U$4,周转筐出入库明细!$B$4:$B$2004,"&gt;="&amp;$P$1,周转筐出入库明细!$B$4:$B$2004,"&lt;="&amp;$P$2))</f>
        <v/>
      </c>
      <c r="D43" s="25" t="str">
        <f>IF(OR($B43="",_自动清单!$U$5=""),"",SUMIFS(周转筐出入库明细!$K$4:$K$2004,周转筐出入库明细!$C$4:$C$2004,$B43,周转筐出入库明细!$D$4:$D$2004,_自动清单!$U$5,周转筐出入库明细!$B$4:$B$2004,"&gt;="&amp;$P$1,周转筐出入库明细!$B$4:$B$2004,"&lt;="&amp;$P$2))</f>
        <v/>
      </c>
      <c r="E43" s="25" t="str">
        <f>IF(OR($B43="",_自动清单!$U$6=""),"",SUMIFS(周转筐出入库明细!$K$4:$K$2004,周转筐出入库明细!$C$4:$C$2004,$B43,周转筐出入库明细!$D$4:$D$2004,_自动清单!$U$6,周转筐出入库明细!$B$4:$B$2004,"&gt;="&amp;$P$1,周转筐出入库明细!$B$4:$B$2004,"&lt;="&amp;$P$2))</f>
        <v/>
      </c>
      <c r="F43" s="25" t="str">
        <f>IF(OR($B43="",_自动清单!$U$7=""),"",SUMIFS(周转筐出入库明细!$K$4:$K$2004,周转筐出入库明细!$C$4:$C$2004,$B43,周转筐出入库明细!$D$4:$D$2004,_自动清单!$U$7,周转筐出入库明细!$B$4:$B$2004,"&gt;="&amp;$P$1,周转筐出入库明细!$B$4:$B$2004,"&lt;="&amp;$P$2))</f>
        <v/>
      </c>
      <c r="G43" s="25" t="str">
        <f>IF($B43="","",SUMIFS(周转筐出入库明细!$K$4:$K$2004,周转筐出入库明细!$C$4:$C$2004,$B43,周转筐出入库明细!$B$4:$B$2004,"&gt;="&amp;$P$1,周转筐出入库明细!$B$4:$B$2004,"&lt;="&amp;$P$2)-SUM($C43:$F43))</f>
        <v/>
      </c>
      <c r="H43" s="25" t="str">
        <f t="shared" si="1"/>
        <v/>
      </c>
      <c r="I43" s="26" t="str">
        <f>IF($B43="","",ROUND(SUMIFS(周转筐出入库明细!$P$4:$P$2004,周转筐出入库明细!$C$4:$C$2004,$B43,周转筐出入库明细!$F$4:$F$2004,"销售出库",周转筐出入库明细!$B$4:$B$2004,"&gt;="&amp;$P$1,周转筐出入库明细!$B$4:$B$2004,"&lt;="&amp;$P$2),2))</f>
        <v/>
      </c>
      <c r="J43" s="26" t="str">
        <f>IF($B43="","",ROUND(SUMIFS(周转筐出入库明细!$P$4:$P$2004,周转筐出入库明细!$C$4:$C$2004,$B43,周转筐出入库明细!$F$4:$F$2004,"销售出库",周转筐出入库明细!$Q$4:$Q$2004,"已收讫",周转筐出入库明细!$B$4:$B$2004,"&gt;="&amp;$P$1,周转筐出入库明细!$B$4:$B$2004,"&lt;="&amp;$P$2),2))</f>
        <v/>
      </c>
      <c r="K43" s="26" t="str">
        <f t="shared" si="2"/>
        <v/>
      </c>
      <c r="L43" s="41"/>
    </row>
    <row r="44" spans="1:12">
      <c r="A44" s="24" t="str">
        <f t="shared" si="0"/>
        <v/>
      </c>
      <c r="B44" s="24" t="str">
        <f>IFERROR(INDEX(_自动清单!$AA$4:$AA$203,ROW()-3),"")</f>
        <v/>
      </c>
      <c r="C44" s="25" t="str">
        <f>IF(OR($B44="",_自动清单!$U$4=""),"",SUMIFS(周转筐出入库明细!$K$4:$K$2004,周转筐出入库明细!$C$4:$C$2004,$B44,周转筐出入库明细!$D$4:$D$2004,_自动清单!$U$4,周转筐出入库明细!$B$4:$B$2004,"&gt;="&amp;$P$1,周转筐出入库明细!$B$4:$B$2004,"&lt;="&amp;$P$2))</f>
        <v/>
      </c>
      <c r="D44" s="25" t="str">
        <f>IF(OR($B44="",_自动清单!$U$5=""),"",SUMIFS(周转筐出入库明细!$K$4:$K$2004,周转筐出入库明细!$C$4:$C$2004,$B44,周转筐出入库明细!$D$4:$D$2004,_自动清单!$U$5,周转筐出入库明细!$B$4:$B$2004,"&gt;="&amp;$P$1,周转筐出入库明细!$B$4:$B$2004,"&lt;="&amp;$P$2))</f>
        <v/>
      </c>
      <c r="E44" s="25" t="str">
        <f>IF(OR($B44="",_自动清单!$U$6=""),"",SUMIFS(周转筐出入库明细!$K$4:$K$2004,周转筐出入库明细!$C$4:$C$2004,$B44,周转筐出入库明细!$D$4:$D$2004,_自动清单!$U$6,周转筐出入库明细!$B$4:$B$2004,"&gt;="&amp;$P$1,周转筐出入库明细!$B$4:$B$2004,"&lt;="&amp;$P$2))</f>
        <v/>
      </c>
      <c r="F44" s="25" t="str">
        <f>IF(OR($B44="",_自动清单!$U$7=""),"",SUMIFS(周转筐出入库明细!$K$4:$K$2004,周转筐出入库明细!$C$4:$C$2004,$B44,周转筐出入库明细!$D$4:$D$2004,_自动清单!$U$7,周转筐出入库明细!$B$4:$B$2004,"&gt;="&amp;$P$1,周转筐出入库明细!$B$4:$B$2004,"&lt;="&amp;$P$2))</f>
        <v/>
      </c>
      <c r="G44" s="25" t="str">
        <f>IF($B44="","",SUMIFS(周转筐出入库明细!$K$4:$K$2004,周转筐出入库明细!$C$4:$C$2004,$B44,周转筐出入库明细!$B$4:$B$2004,"&gt;="&amp;$P$1,周转筐出入库明细!$B$4:$B$2004,"&lt;="&amp;$P$2)-SUM($C44:$F44))</f>
        <v/>
      </c>
      <c r="H44" s="25" t="str">
        <f t="shared" si="1"/>
        <v/>
      </c>
      <c r="I44" s="26" t="str">
        <f>IF($B44="","",ROUND(SUMIFS(周转筐出入库明细!$P$4:$P$2004,周转筐出入库明细!$C$4:$C$2004,$B44,周转筐出入库明细!$F$4:$F$2004,"销售出库",周转筐出入库明细!$B$4:$B$2004,"&gt;="&amp;$P$1,周转筐出入库明细!$B$4:$B$2004,"&lt;="&amp;$P$2),2))</f>
        <v/>
      </c>
      <c r="J44" s="26" t="str">
        <f>IF($B44="","",ROUND(SUMIFS(周转筐出入库明细!$P$4:$P$2004,周转筐出入库明细!$C$4:$C$2004,$B44,周转筐出入库明细!$F$4:$F$2004,"销售出库",周转筐出入库明细!$Q$4:$Q$2004,"已收讫",周转筐出入库明细!$B$4:$B$2004,"&gt;="&amp;$P$1,周转筐出入库明细!$B$4:$B$2004,"&lt;="&amp;$P$2),2))</f>
        <v/>
      </c>
      <c r="K44" s="26" t="str">
        <f t="shared" si="2"/>
        <v/>
      </c>
      <c r="L44" s="41"/>
    </row>
    <row r="45" spans="1:12">
      <c r="A45" s="24" t="str">
        <f t="shared" si="0"/>
        <v/>
      </c>
      <c r="B45" s="24" t="str">
        <f>IFERROR(INDEX(_自动清单!$AA$4:$AA$203,ROW()-3),"")</f>
        <v/>
      </c>
      <c r="C45" s="25" t="str">
        <f>IF(OR($B45="",_自动清单!$U$4=""),"",SUMIFS(周转筐出入库明细!$K$4:$K$2004,周转筐出入库明细!$C$4:$C$2004,$B45,周转筐出入库明细!$D$4:$D$2004,_自动清单!$U$4,周转筐出入库明细!$B$4:$B$2004,"&gt;="&amp;$P$1,周转筐出入库明细!$B$4:$B$2004,"&lt;="&amp;$P$2))</f>
        <v/>
      </c>
      <c r="D45" s="25" t="str">
        <f>IF(OR($B45="",_自动清单!$U$5=""),"",SUMIFS(周转筐出入库明细!$K$4:$K$2004,周转筐出入库明细!$C$4:$C$2004,$B45,周转筐出入库明细!$D$4:$D$2004,_自动清单!$U$5,周转筐出入库明细!$B$4:$B$2004,"&gt;="&amp;$P$1,周转筐出入库明细!$B$4:$B$2004,"&lt;="&amp;$P$2))</f>
        <v/>
      </c>
      <c r="E45" s="25" t="str">
        <f>IF(OR($B45="",_自动清单!$U$6=""),"",SUMIFS(周转筐出入库明细!$K$4:$K$2004,周转筐出入库明细!$C$4:$C$2004,$B45,周转筐出入库明细!$D$4:$D$2004,_自动清单!$U$6,周转筐出入库明细!$B$4:$B$2004,"&gt;="&amp;$P$1,周转筐出入库明细!$B$4:$B$2004,"&lt;="&amp;$P$2))</f>
        <v/>
      </c>
      <c r="F45" s="25" t="str">
        <f>IF(OR($B45="",_自动清单!$U$7=""),"",SUMIFS(周转筐出入库明细!$K$4:$K$2004,周转筐出入库明细!$C$4:$C$2004,$B45,周转筐出入库明细!$D$4:$D$2004,_自动清单!$U$7,周转筐出入库明细!$B$4:$B$2004,"&gt;="&amp;$P$1,周转筐出入库明细!$B$4:$B$2004,"&lt;="&amp;$P$2))</f>
        <v/>
      </c>
      <c r="G45" s="25" t="str">
        <f>IF($B45="","",SUMIFS(周转筐出入库明细!$K$4:$K$2004,周转筐出入库明细!$C$4:$C$2004,$B45,周转筐出入库明细!$B$4:$B$2004,"&gt;="&amp;$P$1,周转筐出入库明细!$B$4:$B$2004,"&lt;="&amp;$P$2)-SUM($C45:$F45))</f>
        <v/>
      </c>
      <c r="H45" s="25" t="str">
        <f t="shared" si="1"/>
        <v/>
      </c>
      <c r="I45" s="26" t="str">
        <f>IF($B45="","",ROUND(SUMIFS(周转筐出入库明细!$P$4:$P$2004,周转筐出入库明细!$C$4:$C$2004,$B45,周转筐出入库明细!$F$4:$F$2004,"销售出库",周转筐出入库明细!$B$4:$B$2004,"&gt;="&amp;$P$1,周转筐出入库明细!$B$4:$B$2004,"&lt;="&amp;$P$2),2))</f>
        <v/>
      </c>
      <c r="J45" s="26" t="str">
        <f>IF($B45="","",ROUND(SUMIFS(周转筐出入库明细!$P$4:$P$2004,周转筐出入库明细!$C$4:$C$2004,$B45,周转筐出入库明细!$F$4:$F$2004,"销售出库",周转筐出入库明细!$Q$4:$Q$2004,"已收讫",周转筐出入库明细!$B$4:$B$2004,"&gt;="&amp;$P$1,周转筐出入库明细!$B$4:$B$2004,"&lt;="&amp;$P$2),2))</f>
        <v/>
      </c>
      <c r="K45" s="26" t="str">
        <f t="shared" si="2"/>
        <v/>
      </c>
      <c r="L45" s="41"/>
    </row>
    <row r="46" spans="1:12">
      <c r="A46" s="24" t="str">
        <f t="shared" si="0"/>
        <v/>
      </c>
      <c r="B46" s="24" t="str">
        <f>IFERROR(INDEX(_自动清单!$AA$4:$AA$203,ROW()-3),"")</f>
        <v/>
      </c>
      <c r="C46" s="25" t="str">
        <f>IF(OR($B46="",_自动清单!$U$4=""),"",SUMIFS(周转筐出入库明细!$K$4:$K$2004,周转筐出入库明细!$C$4:$C$2004,$B46,周转筐出入库明细!$D$4:$D$2004,_自动清单!$U$4,周转筐出入库明细!$B$4:$B$2004,"&gt;="&amp;$P$1,周转筐出入库明细!$B$4:$B$2004,"&lt;="&amp;$P$2))</f>
        <v/>
      </c>
      <c r="D46" s="25" t="str">
        <f>IF(OR($B46="",_自动清单!$U$5=""),"",SUMIFS(周转筐出入库明细!$K$4:$K$2004,周转筐出入库明细!$C$4:$C$2004,$B46,周转筐出入库明细!$D$4:$D$2004,_自动清单!$U$5,周转筐出入库明细!$B$4:$B$2004,"&gt;="&amp;$P$1,周转筐出入库明细!$B$4:$B$2004,"&lt;="&amp;$P$2))</f>
        <v/>
      </c>
      <c r="E46" s="25" t="str">
        <f>IF(OR($B46="",_自动清单!$U$6=""),"",SUMIFS(周转筐出入库明细!$K$4:$K$2004,周转筐出入库明细!$C$4:$C$2004,$B46,周转筐出入库明细!$D$4:$D$2004,_自动清单!$U$6,周转筐出入库明细!$B$4:$B$2004,"&gt;="&amp;$P$1,周转筐出入库明细!$B$4:$B$2004,"&lt;="&amp;$P$2))</f>
        <v/>
      </c>
      <c r="F46" s="25" t="str">
        <f>IF(OR($B46="",_自动清单!$U$7=""),"",SUMIFS(周转筐出入库明细!$K$4:$K$2004,周转筐出入库明细!$C$4:$C$2004,$B46,周转筐出入库明细!$D$4:$D$2004,_自动清单!$U$7,周转筐出入库明细!$B$4:$B$2004,"&gt;="&amp;$P$1,周转筐出入库明细!$B$4:$B$2004,"&lt;="&amp;$P$2))</f>
        <v/>
      </c>
      <c r="G46" s="25" t="str">
        <f>IF($B46="","",SUMIFS(周转筐出入库明细!$K$4:$K$2004,周转筐出入库明细!$C$4:$C$2004,$B46,周转筐出入库明细!$B$4:$B$2004,"&gt;="&amp;$P$1,周转筐出入库明细!$B$4:$B$2004,"&lt;="&amp;$P$2)-SUM($C46:$F46))</f>
        <v/>
      </c>
      <c r="H46" s="25" t="str">
        <f t="shared" si="1"/>
        <v/>
      </c>
      <c r="I46" s="26" t="str">
        <f>IF($B46="","",ROUND(SUMIFS(周转筐出入库明细!$P$4:$P$2004,周转筐出入库明细!$C$4:$C$2004,$B46,周转筐出入库明细!$F$4:$F$2004,"销售出库",周转筐出入库明细!$B$4:$B$2004,"&gt;="&amp;$P$1,周转筐出入库明细!$B$4:$B$2004,"&lt;="&amp;$P$2),2))</f>
        <v/>
      </c>
      <c r="J46" s="26" t="str">
        <f>IF($B46="","",ROUND(SUMIFS(周转筐出入库明细!$P$4:$P$2004,周转筐出入库明细!$C$4:$C$2004,$B46,周转筐出入库明细!$F$4:$F$2004,"销售出库",周转筐出入库明细!$Q$4:$Q$2004,"已收讫",周转筐出入库明细!$B$4:$B$2004,"&gt;="&amp;$P$1,周转筐出入库明细!$B$4:$B$2004,"&lt;="&amp;$P$2),2))</f>
        <v/>
      </c>
      <c r="K46" s="26" t="str">
        <f t="shared" si="2"/>
        <v/>
      </c>
      <c r="L46" s="41"/>
    </row>
    <row r="47" spans="1:12">
      <c r="A47" s="24" t="str">
        <f t="shared" si="0"/>
        <v/>
      </c>
      <c r="B47" s="24" t="str">
        <f>IFERROR(INDEX(_自动清单!$AA$4:$AA$203,ROW()-3),"")</f>
        <v/>
      </c>
      <c r="C47" s="25" t="str">
        <f>IF(OR($B47="",_自动清单!$U$4=""),"",SUMIFS(周转筐出入库明细!$K$4:$K$2004,周转筐出入库明细!$C$4:$C$2004,$B47,周转筐出入库明细!$D$4:$D$2004,_自动清单!$U$4,周转筐出入库明细!$B$4:$B$2004,"&gt;="&amp;$P$1,周转筐出入库明细!$B$4:$B$2004,"&lt;="&amp;$P$2))</f>
        <v/>
      </c>
      <c r="D47" s="25" t="str">
        <f>IF(OR($B47="",_自动清单!$U$5=""),"",SUMIFS(周转筐出入库明细!$K$4:$K$2004,周转筐出入库明细!$C$4:$C$2004,$B47,周转筐出入库明细!$D$4:$D$2004,_自动清单!$U$5,周转筐出入库明细!$B$4:$B$2004,"&gt;="&amp;$P$1,周转筐出入库明细!$B$4:$B$2004,"&lt;="&amp;$P$2))</f>
        <v/>
      </c>
      <c r="E47" s="25" t="str">
        <f>IF(OR($B47="",_自动清单!$U$6=""),"",SUMIFS(周转筐出入库明细!$K$4:$K$2004,周转筐出入库明细!$C$4:$C$2004,$B47,周转筐出入库明细!$D$4:$D$2004,_自动清单!$U$6,周转筐出入库明细!$B$4:$B$2004,"&gt;="&amp;$P$1,周转筐出入库明细!$B$4:$B$2004,"&lt;="&amp;$P$2))</f>
        <v/>
      </c>
      <c r="F47" s="25" t="str">
        <f>IF(OR($B47="",_自动清单!$U$7=""),"",SUMIFS(周转筐出入库明细!$K$4:$K$2004,周转筐出入库明细!$C$4:$C$2004,$B47,周转筐出入库明细!$D$4:$D$2004,_自动清单!$U$7,周转筐出入库明细!$B$4:$B$2004,"&gt;="&amp;$P$1,周转筐出入库明细!$B$4:$B$2004,"&lt;="&amp;$P$2))</f>
        <v/>
      </c>
      <c r="G47" s="25" t="str">
        <f>IF($B47="","",SUMIFS(周转筐出入库明细!$K$4:$K$2004,周转筐出入库明细!$C$4:$C$2004,$B47,周转筐出入库明细!$B$4:$B$2004,"&gt;="&amp;$P$1,周转筐出入库明细!$B$4:$B$2004,"&lt;="&amp;$P$2)-SUM($C47:$F47))</f>
        <v/>
      </c>
      <c r="H47" s="25" t="str">
        <f t="shared" si="1"/>
        <v/>
      </c>
      <c r="I47" s="26" t="str">
        <f>IF($B47="","",ROUND(SUMIFS(周转筐出入库明细!$P$4:$P$2004,周转筐出入库明细!$C$4:$C$2004,$B47,周转筐出入库明细!$F$4:$F$2004,"销售出库",周转筐出入库明细!$B$4:$B$2004,"&gt;="&amp;$P$1,周转筐出入库明细!$B$4:$B$2004,"&lt;="&amp;$P$2),2))</f>
        <v/>
      </c>
      <c r="J47" s="26" t="str">
        <f>IF($B47="","",ROUND(SUMIFS(周转筐出入库明细!$P$4:$P$2004,周转筐出入库明细!$C$4:$C$2004,$B47,周转筐出入库明细!$F$4:$F$2004,"销售出库",周转筐出入库明细!$Q$4:$Q$2004,"已收讫",周转筐出入库明细!$B$4:$B$2004,"&gt;="&amp;$P$1,周转筐出入库明细!$B$4:$B$2004,"&lt;="&amp;$P$2),2))</f>
        <v/>
      </c>
      <c r="K47" s="26" t="str">
        <f t="shared" si="2"/>
        <v/>
      </c>
      <c r="L47" s="41"/>
    </row>
    <row r="48" spans="1:12">
      <c r="A48" s="24" t="str">
        <f t="shared" si="0"/>
        <v/>
      </c>
      <c r="B48" s="24" t="str">
        <f>IFERROR(INDEX(_自动清单!$AA$4:$AA$203,ROW()-3),"")</f>
        <v/>
      </c>
      <c r="C48" s="25" t="str">
        <f>IF(OR($B48="",_自动清单!$U$4=""),"",SUMIFS(周转筐出入库明细!$K$4:$K$2004,周转筐出入库明细!$C$4:$C$2004,$B48,周转筐出入库明细!$D$4:$D$2004,_自动清单!$U$4,周转筐出入库明细!$B$4:$B$2004,"&gt;="&amp;$P$1,周转筐出入库明细!$B$4:$B$2004,"&lt;="&amp;$P$2))</f>
        <v/>
      </c>
      <c r="D48" s="25" t="str">
        <f>IF(OR($B48="",_自动清单!$U$5=""),"",SUMIFS(周转筐出入库明细!$K$4:$K$2004,周转筐出入库明细!$C$4:$C$2004,$B48,周转筐出入库明细!$D$4:$D$2004,_自动清单!$U$5,周转筐出入库明细!$B$4:$B$2004,"&gt;="&amp;$P$1,周转筐出入库明细!$B$4:$B$2004,"&lt;="&amp;$P$2))</f>
        <v/>
      </c>
      <c r="E48" s="25" t="str">
        <f>IF(OR($B48="",_自动清单!$U$6=""),"",SUMIFS(周转筐出入库明细!$K$4:$K$2004,周转筐出入库明细!$C$4:$C$2004,$B48,周转筐出入库明细!$D$4:$D$2004,_自动清单!$U$6,周转筐出入库明细!$B$4:$B$2004,"&gt;="&amp;$P$1,周转筐出入库明细!$B$4:$B$2004,"&lt;="&amp;$P$2))</f>
        <v/>
      </c>
      <c r="F48" s="25" t="str">
        <f>IF(OR($B48="",_自动清单!$U$7=""),"",SUMIFS(周转筐出入库明细!$K$4:$K$2004,周转筐出入库明细!$C$4:$C$2004,$B48,周转筐出入库明细!$D$4:$D$2004,_自动清单!$U$7,周转筐出入库明细!$B$4:$B$2004,"&gt;="&amp;$P$1,周转筐出入库明细!$B$4:$B$2004,"&lt;="&amp;$P$2))</f>
        <v/>
      </c>
      <c r="G48" s="25" t="str">
        <f>IF($B48="","",SUMIFS(周转筐出入库明细!$K$4:$K$2004,周转筐出入库明细!$C$4:$C$2004,$B48,周转筐出入库明细!$B$4:$B$2004,"&gt;="&amp;$P$1,周转筐出入库明细!$B$4:$B$2004,"&lt;="&amp;$P$2)-SUM($C48:$F48))</f>
        <v/>
      </c>
      <c r="H48" s="25" t="str">
        <f t="shared" si="1"/>
        <v/>
      </c>
      <c r="I48" s="26" t="str">
        <f>IF($B48="","",ROUND(SUMIFS(周转筐出入库明细!$P$4:$P$2004,周转筐出入库明细!$C$4:$C$2004,$B48,周转筐出入库明细!$F$4:$F$2004,"销售出库",周转筐出入库明细!$B$4:$B$2004,"&gt;="&amp;$P$1,周转筐出入库明细!$B$4:$B$2004,"&lt;="&amp;$P$2),2))</f>
        <v/>
      </c>
      <c r="J48" s="26" t="str">
        <f>IF($B48="","",ROUND(SUMIFS(周转筐出入库明细!$P$4:$P$2004,周转筐出入库明细!$C$4:$C$2004,$B48,周转筐出入库明细!$F$4:$F$2004,"销售出库",周转筐出入库明细!$Q$4:$Q$2004,"已收讫",周转筐出入库明细!$B$4:$B$2004,"&gt;="&amp;$P$1,周转筐出入库明细!$B$4:$B$2004,"&lt;="&amp;$P$2),2))</f>
        <v/>
      </c>
      <c r="K48" s="26" t="str">
        <f t="shared" si="2"/>
        <v/>
      </c>
      <c r="L48" s="41"/>
    </row>
    <row r="49" spans="1:12">
      <c r="A49" s="24" t="str">
        <f t="shared" si="0"/>
        <v/>
      </c>
      <c r="B49" s="24" t="str">
        <f>IFERROR(INDEX(_自动清单!$AA$4:$AA$203,ROW()-3),"")</f>
        <v/>
      </c>
      <c r="C49" s="25" t="str">
        <f>IF(OR($B49="",_自动清单!$U$4=""),"",SUMIFS(周转筐出入库明细!$K$4:$K$2004,周转筐出入库明细!$C$4:$C$2004,$B49,周转筐出入库明细!$D$4:$D$2004,_自动清单!$U$4,周转筐出入库明细!$B$4:$B$2004,"&gt;="&amp;$P$1,周转筐出入库明细!$B$4:$B$2004,"&lt;="&amp;$P$2))</f>
        <v/>
      </c>
      <c r="D49" s="25" t="str">
        <f>IF(OR($B49="",_自动清单!$U$5=""),"",SUMIFS(周转筐出入库明细!$K$4:$K$2004,周转筐出入库明细!$C$4:$C$2004,$B49,周转筐出入库明细!$D$4:$D$2004,_自动清单!$U$5,周转筐出入库明细!$B$4:$B$2004,"&gt;="&amp;$P$1,周转筐出入库明细!$B$4:$B$2004,"&lt;="&amp;$P$2))</f>
        <v/>
      </c>
      <c r="E49" s="25" t="str">
        <f>IF(OR($B49="",_自动清单!$U$6=""),"",SUMIFS(周转筐出入库明细!$K$4:$K$2004,周转筐出入库明细!$C$4:$C$2004,$B49,周转筐出入库明细!$D$4:$D$2004,_自动清单!$U$6,周转筐出入库明细!$B$4:$B$2004,"&gt;="&amp;$P$1,周转筐出入库明细!$B$4:$B$2004,"&lt;="&amp;$P$2))</f>
        <v/>
      </c>
      <c r="F49" s="25" t="str">
        <f>IF(OR($B49="",_自动清单!$U$7=""),"",SUMIFS(周转筐出入库明细!$K$4:$K$2004,周转筐出入库明细!$C$4:$C$2004,$B49,周转筐出入库明细!$D$4:$D$2004,_自动清单!$U$7,周转筐出入库明细!$B$4:$B$2004,"&gt;="&amp;$P$1,周转筐出入库明细!$B$4:$B$2004,"&lt;="&amp;$P$2))</f>
        <v/>
      </c>
      <c r="G49" s="25" t="str">
        <f>IF($B49="","",SUMIFS(周转筐出入库明细!$K$4:$K$2004,周转筐出入库明细!$C$4:$C$2004,$B49,周转筐出入库明细!$B$4:$B$2004,"&gt;="&amp;$P$1,周转筐出入库明细!$B$4:$B$2004,"&lt;="&amp;$P$2)-SUM($C49:$F49))</f>
        <v/>
      </c>
      <c r="H49" s="25" t="str">
        <f t="shared" si="1"/>
        <v/>
      </c>
      <c r="I49" s="26" t="str">
        <f>IF($B49="","",ROUND(SUMIFS(周转筐出入库明细!$P$4:$P$2004,周转筐出入库明细!$C$4:$C$2004,$B49,周转筐出入库明细!$F$4:$F$2004,"销售出库",周转筐出入库明细!$B$4:$B$2004,"&gt;="&amp;$P$1,周转筐出入库明细!$B$4:$B$2004,"&lt;="&amp;$P$2),2))</f>
        <v/>
      </c>
      <c r="J49" s="26" t="str">
        <f>IF($B49="","",ROUND(SUMIFS(周转筐出入库明细!$P$4:$P$2004,周转筐出入库明细!$C$4:$C$2004,$B49,周转筐出入库明细!$F$4:$F$2004,"销售出库",周转筐出入库明细!$Q$4:$Q$2004,"已收讫",周转筐出入库明细!$B$4:$B$2004,"&gt;="&amp;$P$1,周转筐出入库明细!$B$4:$B$2004,"&lt;="&amp;$P$2),2))</f>
        <v/>
      </c>
      <c r="K49" s="26" t="str">
        <f t="shared" si="2"/>
        <v/>
      </c>
      <c r="L49" s="41"/>
    </row>
    <row r="50" spans="1:12">
      <c r="A50" s="24" t="str">
        <f t="shared" si="0"/>
        <v/>
      </c>
      <c r="B50" s="24" t="str">
        <f>IFERROR(INDEX(_自动清单!$AA$4:$AA$203,ROW()-3),"")</f>
        <v/>
      </c>
      <c r="C50" s="25" t="str">
        <f>IF(OR($B50="",_自动清单!$U$4=""),"",SUMIFS(周转筐出入库明细!$K$4:$K$2004,周转筐出入库明细!$C$4:$C$2004,$B50,周转筐出入库明细!$D$4:$D$2004,_自动清单!$U$4,周转筐出入库明细!$B$4:$B$2004,"&gt;="&amp;$P$1,周转筐出入库明细!$B$4:$B$2004,"&lt;="&amp;$P$2))</f>
        <v/>
      </c>
      <c r="D50" s="25" t="str">
        <f>IF(OR($B50="",_自动清单!$U$5=""),"",SUMIFS(周转筐出入库明细!$K$4:$K$2004,周转筐出入库明细!$C$4:$C$2004,$B50,周转筐出入库明细!$D$4:$D$2004,_自动清单!$U$5,周转筐出入库明细!$B$4:$B$2004,"&gt;="&amp;$P$1,周转筐出入库明细!$B$4:$B$2004,"&lt;="&amp;$P$2))</f>
        <v/>
      </c>
      <c r="E50" s="25" t="str">
        <f>IF(OR($B50="",_自动清单!$U$6=""),"",SUMIFS(周转筐出入库明细!$K$4:$K$2004,周转筐出入库明细!$C$4:$C$2004,$B50,周转筐出入库明细!$D$4:$D$2004,_自动清单!$U$6,周转筐出入库明细!$B$4:$B$2004,"&gt;="&amp;$P$1,周转筐出入库明细!$B$4:$B$2004,"&lt;="&amp;$P$2))</f>
        <v/>
      </c>
      <c r="F50" s="25" t="str">
        <f>IF(OR($B50="",_自动清单!$U$7=""),"",SUMIFS(周转筐出入库明细!$K$4:$K$2004,周转筐出入库明细!$C$4:$C$2004,$B50,周转筐出入库明细!$D$4:$D$2004,_自动清单!$U$7,周转筐出入库明细!$B$4:$B$2004,"&gt;="&amp;$P$1,周转筐出入库明细!$B$4:$B$2004,"&lt;="&amp;$P$2))</f>
        <v/>
      </c>
      <c r="G50" s="25" t="str">
        <f>IF($B50="","",SUMIFS(周转筐出入库明细!$K$4:$K$2004,周转筐出入库明细!$C$4:$C$2004,$B50,周转筐出入库明细!$B$4:$B$2004,"&gt;="&amp;$P$1,周转筐出入库明细!$B$4:$B$2004,"&lt;="&amp;$P$2)-SUM($C50:$F50))</f>
        <v/>
      </c>
      <c r="H50" s="25" t="str">
        <f t="shared" si="1"/>
        <v/>
      </c>
      <c r="I50" s="26" t="str">
        <f>IF($B50="","",ROUND(SUMIFS(周转筐出入库明细!$P$4:$P$2004,周转筐出入库明细!$C$4:$C$2004,$B50,周转筐出入库明细!$F$4:$F$2004,"销售出库",周转筐出入库明细!$B$4:$B$2004,"&gt;="&amp;$P$1,周转筐出入库明细!$B$4:$B$2004,"&lt;="&amp;$P$2),2))</f>
        <v/>
      </c>
      <c r="J50" s="26" t="str">
        <f>IF($B50="","",ROUND(SUMIFS(周转筐出入库明细!$P$4:$P$2004,周转筐出入库明细!$C$4:$C$2004,$B50,周转筐出入库明细!$F$4:$F$2004,"销售出库",周转筐出入库明细!$Q$4:$Q$2004,"已收讫",周转筐出入库明细!$B$4:$B$2004,"&gt;="&amp;$P$1,周转筐出入库明细!$B$4:$B$2004,"&lt;="&amp;$P$2),2))</f>
        <v/>
      </c>
      <c r="K50" s="26" t="str">
        <f t="shared" si="2"/>
        <v/>
      </c>
      <c r="L50" s="41"/>
    </row>
    <row r="51" spans="1:12">
      <c r="A51" s="24" t="str">
        <f t="shared" si="0"/>
        <v/>
      </c>
      <c r="B51" s="24" t="str">
        <f>IFERROR(INDEX(_自动清单!$AA$4:$AA$203,ROW()-3),"")</f>
        <v/>
      </c>
      <c r="C51" s="25" t="str">
        <f>IF(OR($B51="",_自动清单!$U$4=""),"",SUMIFS(周转筐出入库明细!$K$4:$K$2004,周转筐出入库明细!$C$4:$C$2004,$B51,周转筐出入库明细!$D$4:$D$2004,_自动清单!$U$4,周转筐出入库明细!$B$4:$B$2004,"&gt;="&amp;$P$1,周转筐出入库明细!$B$4:$B$2004,"&lt;="&amp;$P$2))</f>
        <v/>
      </c>
      <c r="D51" s="25" t="str">
        <f>IF(OR($B51="",_自动清单!$U$5=""),"",SUMIFS(周转筐出入库明细!$K$4:$K$2004,周转筐出入库明细!$C$4:$C$2004,$B51,周转筐出入库明细!$D$4:$D$2004,_自动清单!$U$5,周转筐出入库明细!$B$4:$B$2004,"&gt;="&amp;$P$1,周转筐出入库明细!$B$4:$B$2004,"&lt;="&amp;$P$2))</f>
        <v/>
      </c>
      <c r="E51" s="25" t="str">
        <f>IF(OR($B51="",_自动清单!$U$6=""),"",SUMIFS(周转筐出入库明细!$K$4:$K$2004,周转筐出入库明细!$C$4:$C$2004,$B51,周转筐出入库明细!$D$4:$D$2004,_自动清单!$U$6,周转筐出入库明细!$B$4:$B$2004,"&gt;="&amp;$P$1,周转筐出入库明细!$B$4:$B$2004,"&lt;="&amp;$P$2))</f>
        <v/>
      </c>
      <c r="F51" s="25" t="str">
        <f>IF(OR($B51="",_自动清单!$U$7=""),"",SUMIFS(周转筐出入库明细!$K$4:$K$2004,周转筐出入库明细!$C$4:$C$2004,$B51,周转筐出入库明细!$D$4:$D$2004,_自动清单!$U$7,周转筐出入库明细!$B$4:$B$2004,"&gt;="&amp;$P$1,周转筐出入库明细!$B$4:$B$2004,"&lt;="&amp;$P$2))</f>
        <v/>
      </c>
      <c r="G51" s="25" t="str">
        <f>IF($B51="","",SUMIFS(周转筐出入库明细!$K$4:$K$2004,周转筐出入库明细!$C$4:$C$2004,$B51,周转筐出入库明细!$B$4:$B$2004,"&gt;="&amp;$P$1,周转筐出入库明细!$B$4:$B$2004,"&lt;="&amp;$P$2)-SUM($C51:$F51))</f>
        <v/>
      </c>
      <c r="H51" s="25" t="str">
        <f t="shared" si="1"/>
        <v/>
      </c>
      <c r="I51" s="26" t="str">
        <f>IF($B51="","",ROUND(SUMIFS(周转筐出入库明细!$P$4:$P$2004,周转筐出入库明细!$C$4:$C$2004,$B51,周转筐出入库明细!$F$4:$F$2004,"销售出库",周转筐出入库明细!$B$4:$B$2004,"&gt;="&amp;$P$1,周转筐出入库明细!$B$4:$B$2004,"&lt;="&amp;$P$2),2))</f>
        <v/>
      </c>
      <c r="J51" s="26" t="str">
        <f>IF($B51="","",ROUND(SUMIFS(周转筐出入库明细!$P$4:$P$2004,周转筐出入库明细!$C$4:$C$2004,$B51,周转筐出入库明细!$F$4:$F$2004,"销售出库",周转筐出入库明细!$Q$4:$Q$2004,"已收讫",周转筐出入库明细!$B$4:$B$2004,"&gt;="&amp;$P$1,周转筐出入库明细!$B$4:$B$2004,"&lt;="&amp;$P$2),2))</f>
        <v/>
      </c>
      <c r="K51" s="26" t="str">
        <f t="shared" si="2"/>
        <v/>
      </c>
      <c r="L51" s="41"/>
    </row>
    <row r="52" spans="1:12">
      <c r="A52" s="24" t="str">
        <f t="shared" si="0"/>
        <v/>
      </c>
      <c r="B52" s="24" t="str">
        <f>IFERROR(INDEX(_自动清单!$AA$4:$AA$203,ROW()-3),"")</f>
        <v/>
      </c>
      <c r="C52" s="25" t="str">
        <f>IF(OR($B52="",_自动清单!$U$4=""),"",SUMIFS(周转筐出入库明细!$K$4:$K$2004,周转筐出入库明细!$C$4:$C$2004,$B52,周转筐出入库明细!$D$4:$D$2004,_自动清单!$U$4,周转筐出入库明细!$B$4:$B$2004,"&gt;="&amp;$P$1,周转筐出入库明细!$B$4:$B$2004,"&lt;="&amp;$P$2))</f>
        <v/>
      </c>
      <c r="D52" s="25" t="str">
        <f>IF(OR($B52="",_自动清单!$U$5=""),"",SUMIFS(周转筐出入库明细!$K$4:$K$2004,周转筐出入库明细!$C$4:$C$2004,$B52,周转筐出入库明细!$D$4:$D$2004,_自动清单!$U$5,周转筐出入库明细!$B$4:$B$2004,"&gt;="&amp;$P$1,周转筐出入库明细!$B$4:$B$2004,"&lt;="&amp;$P$2))</f>
        <v/>
      </c>
      <c r="E52" s="25" t="str">
        <f>IF(OR($B52="",_自动清单!$U$6=""),"",SUMIFS(周转筐出入库明细!$K$4:$K$2004,周转筐出入库明细!$C$4:$C$2004,$B52,周转筐出入库明细!$D$4:$D$2004,_自动清单!$U$6,周转筐出入库明细!$B$4:$B$2004,"&gt;="&amp;$P$1,周转筐出入库明细!$B$4:$B$2004,"&lt;="&amp;$P$2))</f>
        <v/>
      </c>
      <c r="F52" s="25" t="str">
        <f>IF(OR($B52="",_自动清单!$U$7=""),"",SUMIFS(周转筐出入库明细!$K$4:$K$2004,周转筐出入库明细!$C$4:$C$2004,$B52,周转筐出入库明细!$D$4:$D$2004,_自动清单!$U$7,周转筐出入库明细!$B$4:$B$2004,"&gt;="&amp;$P$1,周转筐出入库明细!$B$4:$B$2004,"&lt;="&amp;$P$2))</f>
        <v/>
      </c>
      <c r="G52" s="25" t="str">
        <f>IF($B52="","",SUMIFS(周转筐出入库明细!$K$4:$K$2004,周转筐出入库明细!$C$4:$C$2004,$B52,周转筐出入库明细!$B$4:$B$2004,"&gt;="&amp;$P$1,周转筐出入库明细!$B$4:$B$2004,"&lt;="&amp;$P$2)-SUM($C52:$F52))</f>
        <v/>
      </c>
      <c r="H52" s="25" t="str">
        <f t="shared" si="1"/>
        <v/>
      </c>
      <c r="I52" s="26" t="str">
        <f>IF($B52="","",ROUND(SUMIFS(周转筐出入库明细!$P$4:$P$2004,周转筐出入库明细!$C$4:$C$2004,$B52,周转筐出入库明细!$F$4:$F$2004,"销售出库",周转筐出入库明细!$B$4:$B$2004,"&gt;="&amp;$P$1,周转筐出入库明细!$B$4:$B$2004,"&lt;="&amp;$P$2),2))</f>
        <v/>
      </c>
      <c r="J52" s="26" t="str">
        <f>IF($B52="","",ROUND(SUMIFS(周转筐出入库明细!$P$4:$P$2004,周转筐出入库明细!$C$4:$C$2004,$B52,周转筐出入库明细!$F$4:$F$2004,"销售出库",周转筐出入库明细!$Q$4:$Q$2004,"已收讫",周转筐出入库明细!$B$4:$B$2004,"&gt;="&amp;$P$1,周转筐出入库明细!$B$4:$B$2004,"&lt;="&amp;$P$2),2))</f>
        <v/>
      </c>
      <c r="K52" s="26" t="str">
        <f t="shared" si="2"/>
        <v/>
      </c>
      <c r="L52" s="41"/>
    </row>
    <row r="53" spans="1:12">
      <c r="A53" s="24" t="str">
        <f t="shared" si="0"/>
        <v/>
      </c>
      <c r="B53" s="24" t="str">
        <f>IFERROR(INDEX(_自动清单!$AA$4:$AA$203,ROW()-3),"")</f>
        <v/>
      </c>
      <c r="C53" s="25" t="str">
        <f>IF(OR($B53="",_自动清单!$U$4=""),"",SUMIFS(周转筐出入库明细!$K$4:$K$2004,周转筐出入库明细!$C$4:$C$2004,$B53,周转筐出入库明细!$D$4:$D$2004,_自动清单!$U$4,周转筐出入库明细!$B$4:$B$2004,"&gt;="&amp;$P$1,周转筐出入库明细!$B$4:$B$2004,"&lt;="&amp;$P$2))</f>
        <v/>
      </c>
      <c r="D53" s="25" t="str">
        <f>IF(OR($B53="",_自动清单!$U$5=""),"",SUMIFS(周转筐出入库明细!$K$4:$K$2004,周转筐出入库明细!$C$4:$C$2004,$B53,周转筐出入库明细!$D$4:$D$2004,_自动清单!$U$5,周转筐出入库明细!$B$4:$B$2004,"&gt;="&amp;$P$1,周转筐出入库明细!$B$4:$B$2004,"&lt;="&amp;$P$2))</f>
        <v/>
      </c>
      <c r="E53" s="25" t="str">
        <f>IF(OR($B53="",_自动清单!$U$6=""),"",SUMIFS(周转筐出入库明细!$K$4:$K$2004,周转筐出入库明细!$C$4:$C$2004,$B53,周转筐出入库明细!$D$4:$D$2004,_自动清单!$U$6,周转筐出入库明细!$B$4:$B$2004,"&gt;="&amp;$P$1,周转筐出入库明细!$B$4:$B$2004,"&lt;="&amp;$P$2))</f>
        <v/>
      </c>
      <c r="F53" s="25" t="str">
        <f>IF(OR($B53="",_自动清单!$U$7=""),"",SUMIFS(周转筐出入库明细!$K$4:$K$2004,周转筐出入库明细!$C$4:$C$2004,$B53,周转筐出入库明细!$D$4:$D$2004,_自动清单!$U$7,周转筐出入库明细!$B$4:$B$2004,"&gt;="&amp;$P$1,周转筐出入库明细!$B$4:$B$2004,"&lt;="&amp;$P$2))</f>
        <v/>
      </c>
      <c r="G53" s="25" t="str">
        <f>IF($B53="","",SUMIFS(周转筐出入库明细!$K$4:$K$2004,周转筐出入库明细!$C$4:$C$2004,$B53,周转筐出入库明细!$B$4:$B$2004,"&gt;="&amp;$P$1,周转筐出入库明细!$B$4:$B$2004,"&lt;="&amp;$P$2)-SUM($C53:$F53))</f>
        <v/>
      </c>
      <c r="H53" s="25" t="str">
        <f t="shared" si="1"/>
        <v/>
      </c>
      <c r="I53" s="26" t="str">
        <f>IF($B53="","",ROUND(SUMIFS(周转筐出入库明细!$P$4:$P$2004,周转筐出入库明细!$C$4:$C$2004,$B53,周转筐出入库明细!$F$4:$F$2004,"销售出库",周转筐出入库明细!$B$4:$B$2004,"&gt;="&amp;$P$1,周转筐出入库明细!$B$4:$B$2004,"&lt;="&amp;$P$2),2))</f>
        <v/>
      </c>
      <c r="J53" s="26" t="str">
        <f>IF($B53="","",ROUND(SUMIFS(周转筐出入库明细!$P$4:$P$2004,周转筐出入库明细!$C$4:$C$2004,$B53,周转筐出入库明细!$F$4:$F$2004,"销售出库",周转筐出入库明细!$Q$4:$Q$2004,"已收讫",周转筐出入库明细!$B$4:$B$2004,"&gt;="&amp;$P$1,周转筐出入库明细!$B$4:$B$2004,"&lt;="&amp;$P$2),2))</f>
        <v/>
      </c>
      <c r="K53" s="26" t="str">
        <f t="shared" si="2"/>
        <v/>
      </c>
      <c r="L53" s="41"/>
    </row>
    <row r="54" spans="1:12">
      <c r="A54" s="24" t="str">
        <f t="shared" si="0"/>
        <v/>
      </c>
      <c r="B54" s="24" t="str">
        <f>IFERROR(INDEX(_自动清单!$AA$4:$AA$203,ROW()-3),"")</f>
        <v/>
      </c>
      <c r="C54" s="25" t="str">
        <f>IF(OR($B54="",_自动清单!$U$4=""),"",SUMIFS(周转筐出入库明细!$K$4:$K$2004,周转筐出入库明细!$C$4:$C$2004,$B54,周转筐出入库明细!$D$4:$D$2004,_自动清单!$U$4,周转筐出入库明细!$B$4:$B$2004,"&gt;="&amp;$P$1,周转筐出入库明细!$B$4:$B$2004,"&lt;="&amp;$P$2))</f>
        <v/>
      </c>
      <c r="D54" s="25" t="str">
        <f>IF(OR($B54="",_自动清单!$U$5=""),"",SUMIFS(周转筐出入库明细!$K$4:$K$2004,周转筐出入库明细!$C$4:$C$2004,$B54,周转筐出入库明细!$D$4:$D$2004,_自动清单!$U$5,周转筐出入库明细!$B$4:$B$2004,"&gt;="&amp;$P$1,周转筐出入库明细!$B$4:$B$2004,"&lt;="&amp;$P$2))</f>
        <v/>
      </c>
      <c r="E54" s="25" t="str">
        <f>IF(OR($B54="",_自动清单!$U$6=""),"",SUMIFS(周转筐出入库明细!$K$4:$K$2004,周转筐出入库明细!$C$4:$C$2004,$B54,周转筐出入库明细!$D$4:$D$2004,_自动清单!$U$6,周转筐出入库明细!$B$4:$B$2004,"&gt;="&amp;$P$1,周转筐出入库明细!$B$4:$B$2004,"&lt;="&amp;$P$2))</f>
        <v/>
      </c>
      <c r="F54" s="25" t="str">
        <f>IF(OR($B54="",_自动清单!$U$7=""),"",SUMIFS(周转筐出入库明细!$K$4:$K$2004,周转筐出入库明细!$C$4:$C$2004,$B54,周转筐出入库明细!$D$4:$D$2004,_自动清单!$U$7,周转筐出入库明细!$B$4:$B$2004,"&gt;="&amp;$P$1,周转筐出入库明细!$B$4:$B$2004,"&lt;="&amp;$P$2))</f>
        <v/>
      </c>
      <c r="G54" s="25" t="str">
        <f>IF($B54="","",SUMIFS(周转筐出入库明细!$K$4:$K$2004,周转筐出入库明细!$C$4:$C$2004,$B54,周转筐出入库明细!$B$4:$B$2004,"&gt;="&amp;$P$1,周转筐出入库明细!$B$4:$B$2004,"&lt;="&amp;$P$2)-SUM($C54:$F54))</f>
        <v/>
      </c>
      <c r="H54" s="25" t="str">
        <f t="shared" si="1"/>
        <v/>
      </c>
      <c r="I54" s="26" t="str">
        <f>IF($B54="","",ROUND(SUMIFS(周转筐出入库明细!$P$4:$P$2004,周转筐出入库明细!$C$4:$C$2004,$B54,周转筐出入库明细!$F$4:$F$2004,"销售出库",周转筐出入库明细!$B$4:$B$2004,"&gt;="&amp;$P$1,周转筐出入库明细!$B$4:$B$2004,"&lt;="&amp;$P$2),2))</f>
        <v/>
      </c>
      <c r="J54" s="26" t="str">
        <f>IF($B54="","",ROUND(SUMIFS(周转筐出入库明细!$P$4:$P$2004,周转筐出入库明细!$C$4:$C$2004,$B54,周转筐出入库明细!$F$4:$F$2004,"销售出库",周转筐出入库明细!$Q$4:$Q$2004,"已收讫",周转筐出入库明细!$B$4:$B$2004,"&gt;="&amp;$P$1,周转筐出入库明细!$B$4:$B$2004,"&lt;="&amp;$P$2),2))</f>
        <v/>
      </c>
      <c r="K54" s="26" t="str">
        <f t="shared" si="2"/>
        <v/>
      </c>
      <c r="L54" s="41"/>
    </row>
    <row r="55" spans="1:12">
      <c r="A55" s="24" t="str">
        <f t="shared" si="0"/>
        <v/>
      </c>
      <c r="B55" s="24" t="str">
        <f>IFERROR(INDEX(_自动清单!$AA$4:$AA$203,ROW()-3),"")</f>
        <v/>
      </c>
      <c r="C55" s="25" t="str">
        <f>IF(OR($B55="",_自动清单!$U$4=""),"",SUMIFS(周转筐出入库明细!$K$4:$K$2004,周转筐出入库明细!$C$4:$C$2004,$B55,周转筐出入库明细!$D$4:$D$2004,_自动清单!$U$4,周转筐出入库明细!$B$4:$B$2004,"&gt;="&amp;$P$1,周转筐出入库明细!$B$4:$B$2004,"&lt;="&amp;$P$2))</f>
        <v/>
      </c>
      <c r="D55" s="25" t="str">
        <f>IF(OR($B55="",_自动清单!$U$5=""),"",SUMIFS(周转筐出入库明细!$K$4:$K$2004,周转筐出入库明细!$C$4:$C$2004,$B55,周转筐出入库明细!$D$4:$D$2004,_自动清单!$U$5,周转筐出入库明细!$B$4:$B$2004,"&gt;="&amp;$P$1,周转筐出入库明细!$B$4:$B$2004,"&lt;="&amp;$P$2))</f>
        <v/>
      </c>
      <c r="E55" s="25" t="str">
        <f>IF(OR($B55="",_自动清单!$U$6=""),"",SUMIFS(周转筐出入库明细!$K$4:$K$2004,周转筐出入库明细!$C$4:$C$2004,$B55,周转筐出入库明细!$D$4:$D$2004,_自动清单!$U$6,周转筐出入库明细!$B$4:$B$2004,"&gt;="&amp;$P$1,周转筐出入库明细!$B$4:$B$2004,"&lt;="&amp;$P$2))</f>
        <v/>
      </c>
      <c r="F55" s="25" t="str">
        <f>IF(OR($B55="",_自动清单!$U$7=""),"",SUMIFS(周转筐出入库明细!$K$4:$K$2004,周转筐出入库明细!$C$4:$C$2004,$B55,周转筐出入库明细!$D$4:$D$2004,_自动清单!$U$7,周转筐出入库明细!$B$4:$B$2004,"&gt;="&amp;$P$1,周转筐出入库明细!$B$4:$B$2004,"&lt;="&amp;$P$2))</f>
        <v/>
      </c>
      <c r="G55" s="25" t="str">
        <f>IF($B55="","",SUMIFS(周转筐出入库明细!$K$4:$K$2004,周转筐出入库明细!$C$4:$C$2004,$B55,周转筐出入库明细!$B$4:$B$2004,"&gt;="&amp;$P$1,周转筐出入库明细!$B$4:$B$2004,"&lt;="&amp;$P$2)-SUM($C55:$F55))</f>
        <v/>
      </c>
      <c r="H55" s="25" t="str">
        <f t="shared" si="1"/>
        <v/>
      </c>
      <c r="I55" s="26" t="str">
        <f>IF($B55="","",ROUND(SUMIFS(周转筐出入库明细!$P$4:$P$2004,周转筐出入库明细!$C$4:$C$2004,$B55,周转筐出入库明细!$F$4:$F$2004,"销售出库",周转筐出入库明细!$B$4:$B$2004,"&gt;="&amp;$P$1,周转筐出入库明细!$B$4:$B$2004,"&lt;="&amp;$P$2),2))</f>
        <v/>
      </c>
      <c r="J55" s="26" t="str">
        <f>IF($B55="","",ROUND(SUMIFS(周转筐出入库明细!$P$4:$P$2004,周转筐出入库明细!$C$4:$C$2004,$B55,周转筐出入库明细!$F$4:$F$2004,"销售出库",周转筐出入库明细!$Q$4:$Q$2004,"已收讫",周转筐出入库明细!$B$4:$B$2004,"&gt;="&amp;$P$1,周转筐出入库明细!$B$4:$B$2004,"&lt;="&amp;$P$2),2))</f>
        <v/>
      </c>
      <c r="K55" s="26" t="str">
        <f t="shared" si="2"/>
        <v/>
      </c>
      <c r="L55" s="41"/>
    </row>
    <row r="56" spans="1:12">
      <c r="A56" s="24" t="str">
        <f t="shared" si="0"/>
        <v/>
      </c>
      <c r="B56" s="24" t="str">
        <f>IFERROR(INDEX(_自动清单!$AA$4:$AA$203,ROW()-3),"")</f>
        <v/>
      </c>
      <c r="C56" s="25" t="str">
        <f>IF(OR($B56="",_自动清单!$U$4=""),"",SUMIFS(周转筐出入库明细!$K$4:$K$2004,周转筐出入库明细!$C$4:$C$2004,$B56,周转筐出入库明细!$D$4:$D$2004,_自动清单!$U$4,周转筐出入库明细!$B$4:$B$2004,"&gt;="&amp;$P$1,周转筐出入库明细!$B$4:$B$2004,"&lt;="&amp;$P$2))</f>
        <v/>
      </c>
      <c r="D56" s="25" t="str">
        <f>IF(OR($B56="",_自动清单!$U$5=""),"",SUMIFS(周转筐出入库明细!$K$4:$K$2004,周转筐出入库明细!$C$4:$C$2004,$B56,周转筐出入库明细!$D$4:$D$2004,_自动清单!$U$5,周转筐出入库明细!$B$4:$B$2004,"&gt;="&amp;$P$1,周转筐出入库明细!$B$4:$B$2004,"&lt;="&amp;$P$2))</f>
        <v/>
      </c>
      <c r="E56" s="25" t="str">
        <f>IF(OR($B56="",_自动清单!$U$6=""),"",SUMIFS(周转筐出入库明细!$K$4:$K$2004,周转筐出入库明细!$C$4:$C$2004,$B56,周转筐出入库明细!$D$4:$D$2004,_自动清单!$U$6,周转筐出入库明细!$B$4:$B$2004,"&gt;="&amp;$P$1,周转筐出入库明细!$B$4:$B$2004,"&lt;="&amp;$P$2))</f>
        <v/>
      </c>
      <c r="F56" s="25" t="str">
        <f>IF(OR($B56="",_自动清单!$U$7=""),"",SUMIFS(周转筐出入库明细!$K$4:$K$2004,周转筐出入库明细!$C$4:$C$2004,$B56,周转筐出入库明细!$D$4:$D$2004,_自动清单!$U$7,周转筐出入库明细!$B$4:$B$2004,"&gt;="&amp;$P$1,周转筐出入库明细!$B$4:$B$2004,"&lt;="&amp;$P$2))</f>
        <v/>
      </c>
      <c r="G56" s="25" t="str">
        <f>IF($B56="","",SUMIFS(周转筐出入库明细!$K$4:$K$2004,周转筐出入库明细!$C$4:$C$2004,$B56,周转筐出入库明细!$B$4:$B$2004,"&gt;="&amp;$P$1,周转筐出入库明细!$B$4:$B$2004,"&lt;="&amp;$P$2)-SUM($C56:$F56))</f>
        <v/>
      </c>
      <c r="H56" s="25" t="str">
        <f t="shared" si="1"/>
        <v/>
      </c>
      <c r="I56" s="26" t="str">
        <f>IF($B56="","",ROUND(SUMIFS(周转筐出入库明细!$P$4:$P$2004,周转筐出入库明细!$C$4:$C$2004,$B56,周转筐出入库明细!$F$4:$F$2004,"销售出库",周转筐出入库明细!$B$4:$B$2004,"&gt;="&amp;$P$1,周转筐出入库明细!$B$4:$B$2004,"&lt;="&amp;$P$2),2))</f>
        <v/>
      </c>
      <c r="J56" s="26" t="str">
        <f>IF($B56="","",ROUND(SUMIFS(周转筐出入库明细!$P$4:$P$2004,周转筐出入库明细!$C$4:$C$2004,$B56,周转筐出入库明细!$F$4:$F$2004,"销售出库",周转筐出入库明细!$Q$4:$Q$2004,"已收讫",周转筐出入库明细!$B$4:$B$2004,"&gt;="&amp;$P$1,周转筐出入库明细!$B$4:$B$2004,"&lt;="&amp;$P$2),2))</f>
        <v/>
      </c>
      <c r="K56" s="26" t="str">
        <f t="shared" si="2"/>
        <v/>
      </c>
      <c r="L56" s="41"/>
    </row>
    <row r="57" spans="1:12">
      <c r="A57" s="24" t="str">
        <f t="shared" si="0"/>
        <v/>
      </c>
      <c r="B57" s="24" t="str">
        <f>IFERROR(INDEX(_自动清单!$AA$4:$AA$203,ROW()-3),"")</f>
        <v/>
      </c>
      <c r="C57" s="25" t="str">
        <f>IF(OR($B57="",_自动清单!$U$4=""),"",SUMIFS(周转筐出入库明细!$K$4:$K$2004,周转筐出入库明细!$C$4:$C$2004,$B57,周转筐出入库明细!$D$4:$D$2004,_自动清单!$U$4,周转筐出入库明细!$B$4:$B$2004,"&gt;="&amp;$P$1,周转筐出入库明细!$B$4:$B$2004,"&lt;="&amp;$P$2))</f>
        <v/>
      </c>
      <c r="D57" s="25" t="str">
        <f>IF(OR($B57="",_自动清单!$U$5=""),"",SUMIFS(周转筐出入库明细!$K$4:$K$2004,周转筐出入库明细!$C$4:$C$2004,$B57,周转筐出入库明细!$D$4:$D$2004,_自动清单!$U$5,周转筐出入库明细!$B$4:$B$2004,"&gt;="&amp;$P$1,周转筐出入库明细!$B$4:$B$2004,"&lt;="&amp;$P$2))</f>
        <v/>
      </c>
      <c r="E57" s="25" t="str">
        <f>IF(OR($B57="",_自动清单!$U$6=""),"",SUMIFS(周转筐出入库明细!$K$4:$K$2004,周转筐出入库明细!$C$4:$C$2004,$B57,周转筐出入库明细!$D$4:$D$2004,_自动清单!$U$6,周转筐出入库明细!$B$4:$B$2004,"&gt;="&amp;$P$1,周转筐出入库明细!$B$4:$B$2004,"&lt;="&amp;$P$2))</f>
        <v/>
      </c>
      <c r="F57" s="25" t="str">
        <f>IF(OR($B57="",_自动清单!$U$7=""),"",SUMIFS(周转筐出入库明细!$K$4:$K$2004,周转筐出入库明细!$C$4:$C$2004,$B57,周转筐出入库明细!$D$4:$D$2004,_自动清单!$U$7,周转筐出入库明细!$B$4:$B$2004,"&gt;="&amp;$P$1,周转筐出入库明细!$B$4:$B$2004,"&lt;="&amp;$P$2))</f>
        <v/>
      </c>
      <c r="G57" s="25" t="str">
        <f>IF($B57="","",SUMIFS(周转筐出入库明细!$K$4:$K$2004,周转筐出入库明细!$C$4:$C$2004,$B57,周转筐出入库明细!$B$4:$B$2004,"&gt;="&amp;$P$1,周转筐出入库明细!$B$4:$B$2004,"&lt;="&amp;$P$2)-SUM($C57:$F57))</f>
        <v/>
      </c>
      <c r="H57" s="25" t="str">
        <f t="shared" si="1"/>
        <v/>
      </c>
      <c r="I57" s="26" t="str">
        <f>IF($B57="","",ROUND(SUMIFS(周转筐出入库明细!$P$4:$P$2004,周转筐出入库明细!$C$4:$C$2004,$B57,周转筐出入库明细!$F$4:$F$2004,"销售出库",周转筐出入库明细!$B$4:$B$2004,"&gt;="&amp;$P$1,周转筐出入库明细!$B$4:$B$2004,"&lt;="&amp;$P$2),2))</f>
        <v/>
      </c>
      <c r="J57" s="26" t="str">
        <f>IF($B57="","",ROUND(SUMIFS(周转筐出入库明细!$P$4:$P$2004,周转筐出入库明细!$C$4:$C$2004,$B57,周转筐出入库明细!$F$4:$F$2004,"销售出库",周转筐出入库明细!$Q$4:$Q$2004,"已收讫",周转筐出入库明细!$B$4:$B$2004,"&gt;="&amp;$P$1,周转筐出入库明细!$B$4:$B$2004,"&lt;="&amp;$P$2),2))</f>
        <v/>
      </c>
      <c r="K57" s="26" t="str">
        <f t="shared" si="2"/>
        <v/>
      </c>
      <c r="L57" s="41"/>
    </row>
    <row r="58" spans="1:12">
      <c r="A58" s="24" t="str">
        <f t="shared" si="0"/>
        <v/>
      </c>
      <c r="B58" s="24" t="str">
        <f>IFERROR(INDEX(_自动清单!$AA$4:$AA$203,ROW()-3),"")</f>
        <v/>
      </c>
      <c r="C58" s="25" t="str">
        <f>IF(OR($B58="",_自动清单!$U$4=""),"",SUMIFS(周转筐出入库明细!$K$4:$K$2004,周转筐出入库明细!$C$4:$C$2004,$B58,周转筐出入库明细!$D$4:$D$2004,_自动清单!$U$4,周转筐出入库明细!$B$4:$B$2004,"&gt;="&amp;$P$1,周转筐出入库明细!$B$4:$B$2004,"&lt;="&amp;$P$2))</f>
        <v/>
      </c>
      <c r="D58" s="25" t="str">
        <f>IF(OR($B58="",_自动清单!$U$5=""),"",SUMIFS(周转筐出入库明细!$K$4:$K$2004,周转筐出入库明细!$C$4:$C$2004,$B58,周转筐出入库明细!$D$4:$D$2004,_自动清单!$U$5,周转筐出入库明细!$B$4:$B$2004,"&gt;="&amp;$P$1,周转筐出入库明细!$B$4:$B$2004,"&lt;="&amp;$P$2))</f>
        <v/>
      </c>
      <c r="E58" s="25" t="str">
        <f>IF(OR($B58="",_自动清单!$U$6=""),"",SUMIFS(周转筐出入库明细!$K$4:$K$2004,周转筐出入库明细!$C$4:$C$2004,$B58,周转筐出入库明细!$D$4:$D$2004,_自动清单!$U$6,周转筐出入库明细!$B$4:$B$2004,"&gt;="&amp;$P$1,周转筐出入库明细!$B$4:$B$2004,"&lt;="&amp;$P$2))</f>
        <v/>
      </c>
      <c r="F58" s="25" t="str">
        <f>IF(OR($B58="",_自动清单!$U$7=""),"",SUMIFS(周转筐出入库明细!$K$4:$K$2004,周转筐出入库明细!$C$4:$C$2004,$B58,周转筐出入库明细!$D$4:$D$2004,_自动清单!$U$7,周转筐出入库明细!$B$4:$B$2004,"&gt;="&amp;$P$1,周转筐出入库明细!$B$4:$B$2004,"&lt;="&amp;$P$2))</f>
        <v/>
      </c>
      <c r="G58" s="25" t="str">
        <f>IF($B58="","",SUMIFS(周转筐出入库明细!$K$4:$K$2004,周转筐出入库明细!$C$4:$C$2004,$B58,周转筐出入库明细!$B$4:$B$2004,"&gt;="&amp;$P$1,周转筐出入库明细!$B$4:$B$2004,"&lt;="&amp;$P$2)-SUM($C58:$F58))</f>
        <v/>
      </c>
      <c r="H58" s="25" t="str">
        <f t="shared" si="1"/>
        <v/>
      </c>
      <c r="I58" s="26" t="str">
        <f>IF($B58="","",ROUND(SUMIFS(周转筐出入库明细!$P$4:$P$2004,周转筐出入库明细!$C$4:$C$2004,$B58,周转筐出入库明细!$F$4:$F$2004,"销售出库",周转筐出入库明细!$B$4:$B$2004,"&gt;="&amp;$P$1,周转筐出入库明细!$B$4:$B$2004,"&lt;="&amp;$P$2),2))</f>
        <v/>
      </c>
      <c r="J58" s="26" t="str">
        <f>IF($B58="","",ROUND(SUMIFS(周转筐出入库明细!$P$4:$P$2004,周转筐出入库明细!$C$4:$C$2004,$B58,周转筐出入库明细!$F$4:$F$2004,"销售出库",周转筐出入库明细!$Q$4:$Q$2004,"已收讫",周转筐出入库明细!$B$4:$B$2004,"&gt;="&amp;$P$1,周转筐出入库明细!$B$4:$B$2004,"&lt;="&amp;$P$2),2))</f>
        <v/>
      </c>
      <c r="K58" s="26" t="str">
        <f t="shared" si="2"/>
        <v/>
      </c>
      <c r="L58" s="41"/>
    </row>
    <row r="59" spans="1:12">
      <c r="A59" s="24" t="str">
        <f t="shared" si="0"/>
        <v/>
      </c>
      <c r="B59" s="24" t="str">
        <f>IFERROR(INDEX(_自动清单!$AA$4:$AA$203,ROW()-3),"")</f>
        <v/>
      </c>
      <c r="C59" s="25" t="str">
        <f>IF(OR($B59="",_自动清单!$U$4=""),"",SUMIFS(周转筐出入库明细!$K$4:$K$2004,周转筐出入库明细!$C$4:$C$2004,$B59,周转筐出入库明细!$D$4:$D$2004,_自动清单!$U$4,周转筐出入库明细!$B$4:$B$2004,"&gt;="&amp;$P$1,周转筐出入库明细!$B$4:$B$2004,"&lt;="&amp;$P$2))</f>
        <v/>
      </c>
      <c r="D59" s="25" t="str">
        <f>IF(OR($B59="",_自动清单!$U$5=""),"",SUMIFS(周转筐出入库明细!$K$4:$K$2004,周转筐出入库明细!$C$4:$C$2004,$B59,周转筐出入库明细!$D$4:$D$2004,_自动清单!$U$5,周转筐出入库明细!$B$4:$B$2004,"&gt;="&amp;$P$1,周转筐出入库明细!$B$4:$B$2004,"&lt;="&amp;$P$2))</f>
        <v/>
      </c>
      <c r="E59" s="25" t="str">
        <f>IF(OR($B59="",_自动清单!$U$6=""),"",SUMIFS(周转筐出入库明细!$K$4:$K$2004,周转筐出入库明细!$C$4:$C$2004,$B59,周转筐出入库明细!$D$4:$D$2004,_自动清单!$U$6,周转筐出入库明细!$B$4:$B$2004,"&gt;="&amp;$P$1,周转筐出入库明细!$B$4:$B$2004,"&lt;="&amp;$P$2))</f>
        <v/>
      </c>
      <c r="F59" s="25" t="str">
        <f>IF(OR($B59="",_自动清单!$U$7=""),"",SUMIFS(周转筐出入库明细!$K$4:$K$2004,周转筐出入库明细!$C$4:$C$2004,$B59,周转筐出入库明细!$D$4:$D$2004,_自动清单!$U$7,周转筐出入库明细!$B$4:$B$2004,"&gt;="&amp;$P$1,周转筐出入库明细!$B$4:$B$2004,"&lt;="&amp;$P$2))</f>
        <v/>
      </c>
      <c r="G59" s="25" t="str">
        <f>IF($B59="","",SUMIFS(周转筐出入库明细!$K$4:$K$2004,周转筐出入库明细!$C$4:$C$2004,$B59,周转筐出入库明细!$B$4:$B$2004,"&gt;="&amp;$P$1,周转筐出入库明细!$B$4:$B$2004,"&lt;="&amp;$P$2)-SUM($C59:$F59))</f>
        <v/>
      </c>
      <c r="H59" s="25" t="str">
        <f t="shared" si="1"/>
        <v/>
      </c>
      <c r="I59" s="26" t="str">
        <f>IF($B59="","",ROUND(SUMIFS(周转筐出入库明细!$P$4:$P$2004,周转筐出入库明细!$C$4:$C$2004,$B59,周转筐出入库明细!$F$4:$F$2004,"销售出库",周转筐出入库明细!$B$4:$B$2004,"&gt;="&amp;$P$1,周转筐出入库明细!$B$4:$B$2004,"&lt;="&amp;$P$2),2))</f>
        <v/>
      </c>
      <c r="J59" s="26" t="str">
        <f>IF($B59="","",ROUND(SUMIFS(周转筐出入库明细!$P$4:$P$2004,周转筐出入库明细!$C$4:$C$2004,$B59,周转筐出入库明细!$F$4:$F$2004,"销售出库",周转筐出入库明细!$Q$4:$Q$2004,"已收讫",周转筐出入库明细!$B$4:$B$2004,"&gt;="&amp;$P$1,周转筐出入库明细!$B$4:$B$2004,"&lt;="&amp;$P$2),2))</f>
        <v/>
      </c>
      <c r="K59" s="26" t="str">
        <f t="shared" si="2"/>
        <v/>
      </c>
      <c r="L59" s="41"/>
    </row>
    <row r="60" spans="1:12">
      <c r="A60" s="24" t="str">
        <f t="shared" si="0"/>
        <v/>
      </c>
      <c r="B60" s="24" t="str">
        <f>IFERROR(INDEX(_自动清单!$AA$4:$AA$203,ROW()-3),"")</f>
        <v/>
      </c>
      <c r="C60" s="25" t="str">
        <f>IF(OR($B60="",_自动清单!$U$4=""),"",SUMIFS(周转筐出入库明细!$K$4:$K$2004,周转筐出入库明细!$C$4:$C$2004,$B60,周转筐出入库明细!$D$4:$D$2004,_自动清单!$U$4,周转筐出入库明细!$B$4:$B$2004,"&gt;="&amp;$P$1,周转筐出入库明细!$B$4:$B$2004,"&lt;="&amp;$P$2))</f>
        <v/>
      </c>
      <c r="D60" s="25" t="str">
        <f>IF(OR($B60="",_自动清单!$U$5=""),"",SUMIFS(周转筐出入库明细!$K$4:$K$2004,周转筐出入库明细!$C$4:$C$2004,$B60,周转筐出入库明细!$D$4:$D$2004,_自动清单!$U$5,周转筐出入库明细!$B$4:$B$2004,"&gt;="&amp;$P$1,周转筐出入库明细!$B$4:$B$2004,"&lt;="&amp;$P$2))</f>
        <v/>
      </c>
      <c r="E60" s="25" t="str">
        <f>IF(OR($B60="",_自动清单!$U$6=""),"",SUMIFS(周转筐出入库明细!$K$4:$K$2004,周转筐出入库明细!$C$4:$C$2004,$B60,周转筐出入库明细!$D$4:$D$2004,_自动清单!$U$6,周转筐出入库明细!$B$4:$B$2004,"&gt;="&amp;$P$1,周转筐出入库明细!$B$4:$B$2004,"&lt;="&amp;$P$2))</f>
        <v/>
      </c>
      <c r="F60" s="25" t="str">
        <f>IF(OR($B60="",_自动清单!$U$7=""),"",SUMIFS(周转筐出入库明细!$K$4:$K$2004,周转筐出入库明细!$C$4:$C$2004,$B60,周转筐出入库明细!$D$4:$D$2004,_自动清单!$U$7,周转筐出入库明细!$B$4:$B$2004,"&gt;="&amp;$P$1,周转筐出入库明细!$B$4:$B$2004,"&lt;="&amp;$P$2))</f>
        <v/>
      </c>
      <c r="G60" s="25" t="str">
        <f>IF($B60="","",SUMIFS(周转筐出入库明细!$K$4:$K$2004,周转筐出入库明细!$C$4:$C$2004,$B60,周转筐出入库明细!$B$4:$B$2004,"&gt;="&amp;$P$1,周转筐出入库明细!$B$4:$B$2004,"&lt;="&amp;$P$2)-SUM($C60:$F60))</f>
        <v/>
      </c>
      <c r="H60" s="25" t="str">
        <f t="shared" si="1"/>
        <v/>
      </c>
      <c r="I60" s="26" t="str">
        <f>IF($B60="","",ROUND(SUMIFS(周转筐出入库明细!$P$4:$P$2004,周转筐出入库明细!$C$4:$C$2004,$B60,周转筐出入库明细!$F$4:$F$2004,"销售出库",周转筐出入库明细!$B$4:$B$2004,"&gt;="&amp;$P$1,周转筐出入库明细!$B$4:$B$2004,"&lt;="&amp;$P$2),2))</f>
        <v/>
      </c>
      <c r="J60" s="26" t="str">
        <f>IF($B60="","",ROUND(SUMIFS(周转筐出入库明细!$P$4:$P$2004,周转筐出入库明细!$C$4:$C$2004,$B60,周转筐出入库明细!$F$4:$F$2004,"销售出库",周转筐出入库明细!$Q$4:$Q$2004,"已收讫",周转筐出入库明细!$B$4:$B$2004,"&gt;="&amp;$P$1,周转筐出入库明细!$B$4:$B$2004,"&lt;="&amp;$P$2),2))</f>
        <v/>
      </c>
      <c r="K60" s="26" t="str">
        <f t="shared" si="2"/>
        <v/>
      </c>
      <c r="L60" s="41"/>
    </row>
    <row r="61" spans="1:12">
      <c r="A61" s="24" t="str">
        <f t="shared" si="0"/>
        <v/>
      </c>
      <c r="B61" s="24" t="str">
        <f>IFERROR(INDEX(_自动清单!$AA$4:$AA$203,ROW()-3),"")</f>
        <v/>
      </c>
      <c r="C61" s="25" t="str">
        <f>IF(OR($B61="",_自动清单!$U$4=""),"",SUMIFS(周转筐出入库明细!$K$4:$K$2004,周转筐出入库明细!$C$4:$C$2004,$B61,周转筐出入库明细!$D$4:$D$2004,_自动清单!$U$4,周转筐出入库明细!$B$4:$B$2004,"&gt;="&amp;$P$1,周转筐出入库明细!$B$4:$B$2004,"&lt;="&amp;$P$2))</f>
        <v/>
      </c>
      <c r="D61" s="25" t="str">
        <f>IF(OR($B61="",_自动清单!$U$5=""),"",SUMIFS(周转筐出入库明细!$K$4:$K$2004,周转筐出入库明细!$C$4:$C$2004,$B61,周转筐出入库明细!$D$4:$D$2004,_自动清单!$U$5,周转筐出入库明细!$B$4:$B$2004,"&gt;="&amp;$P$1,周转筐出入库明细!$B$4:$B$2004,"&lt;="&amp;$P$2))</f>
        <v/>
      </c>
      <c r="E61" s="25" t="str">
        <f>IF(OR($B61="",_自动清单!$U$6=""),"",SUMIFS(周转筐出入库明细!$K$4:$K$2004,周转筐出入库明细!$C$4:$C$2004,$B61,周转筐出入库明细!$D$4:$D$2004,_自动清单!$U$6,周转筐出入库明细!$B$4:$B$2004,"&gt;="&amp;$P$1,周转筐出入库明细!$B$4:$B$2004,"&lt;="&amp;$P$2))</f>
        <v/>
      </c>
      <c r="F61" s="25" t="str">
        <f>IF(OR($B61="",_自动清单!$U$7=""),"",SUMIFS(周转筐出入库明细!$K$4:$K$2004,周转筐出入库明细!$C$4:$C$2004,$B61,周转筐出入库明细!$D$4:$D$2004,_自动清单!$U$7,周转筐出入库明细!$B$4:$B$2004,"&gt;="&amp;$P$1,周转筐出入库明细!$B$4:$B$2004,"&lt;="&amp;$P$2))</f>
        <v/>
      </c>
      <c r="G61" s="25" t="str">
        <f>IF($B61="","",SUMIFS(周转筐出入库明细!$K$4:$K$2004,周转筐出入库明细!$C$4:$C$2004,$B61,周转筐出入库明细!$B$4:$B$2004,"&gt;="&amp;$P$1,周转筐出入库明细!$B$4:$B$2004,"&lt;="&amp;$P$2)-SUM($C61:$F61))</f>
        <v/>
      </c>
      <c r="H61" s="25" t="str">
        <f t="shared" si="1"/>
        <v/>
      </c>
      <c r="I61" s="26" t="str">
        <f>IF($B61="","",ROUND(SUMIFS(周转筐出入库明细!$P$4:$P$2004,周转筐出入库明细!$C$4:$C$2004,$B61,周转筐出入库明细!$F$4:$F$2004,"销售出库",周转筐出入库明细!$B$4:$B$2004,"&gt;="&amp;$P$1,周转筐出入库明细!$B$4:$B$2004,"&lt;="&amp;$P$2),2))</f>
        <v/>
      </c>
      <c r="J61" s="26" t="str">
        <f>IF($B61="","",ROUND(SUMIFS(周转筐出入库明细!$P$4:$P$2004,周转筐出入库明细!$C$4:$C$2004,$B61,周转筐出入库明细!$F$4:$F$2004,"销售出库",周转筐出入库明细!$Q$4:$Q$2004,"已收讫",周转筐出入库明细!$B$4:$B$2004,"&gt;="&amp;$P$1,周转筐出入库明细!$B$4:$B$2004,"&lt;="&amp;$P$2),2))</f>
        <v/>
      </c>
      <c r="K61" s="26" t="str">
        <f t="shared" si="2"/>
        <v/>
      </c>
      <c r="L61" s="41"/>
    </row>
    <row r="62" spans="1:12">
      <c r="A62" s="24" t="str">
        <f t="shared" si="0"/>
        <v/>
      </c>
      <c r="B62" s="24" t="str">
        <f>IFERROR(INDEX(_自动清单!$AA$4:$AA$203,ROW()-3),"")</f>
        <v/>
      </c>
      <c r="C62" s="25" t="str">
        <f>IF(OR($B62="",_自动清单!$U$4=""),"",SUMIFS(周转筐出入库明细!$K$4:$K$2004,周转筐出入库明细!$C$4:$C$2004,$B62,周转筐出入库明细!$D$4:$D$2004,_自动清单!$U$4,周转筐出入库明细!$B$4:$B$2004,"&gt;="&amp;$P$1,周转筐出入库明细!$B$4:$B$2004,"&lt;="&amp;$P$2))</f>
        <v/>
      </c>
      <c r="D62" s="25" t="str">
        <f>IF(OR($B62="",_自动清单!$U$5=""),"",SUMIFS(周转筐出入库明细!$K$4:$K$2004,周转筐出入库明细!$C$4:$C$2004,$B62,周转筐出入库明细!$D$4:$D$2004,_自动清单!$U$5,周转筐出入库明细!$B$4:$B$2004,"&gt;="&amp;$P$1,周转筐出入库明细!$B$4:$B$2004,"&lt;="&amp;$P$2))</f>
        <v/>
      </c>
      <c r="E62" s="25" t="str">
        <f>IF(OR($B62="",_自动清单!$U$6=""),"",SUMIFS(周转筐出入库明细!$K$4:$K$2004,周转筐出入库明细!$C$4:$C$2004,$B62,周转筐出入库明细!$D$4:$D$2004,_自动清单!$U$6,周转筐出入库明细!$B$4:$B$2004,"&gt;="&amp;$P$1,周转筐出入库明细!$B$4:$B$2004,"&lt;="&amp;$P$2))</f>
        <v/>
      </c>
      <c r="F62" s="25" t="str">
        <f>IF(OR($B62="",_自动清单!$U$7=""),"",SUMIFS(周转筐出入库明细!$K$4:$K$2004,周转筐出入库明细!$C$4:$C$2004,$B62,周转筐出入库明细!$D$4:$D$2004,_自动清单!$U$7,周转筐出入库明细!$B$4:$B$2004,"&gt;="&amp;$P$1,周转筐出入库明细!$B$4:$B$2004,"&lt;="&amp;$P$2))</f>
        <v/>
      </c>
      <c r="G62" s="25" t="str">
        <f>IF($B62="","",SUMIFS(周转筐出入库明细!$K$4:$K$2004,周转筐出入库明细!$C$4:$C$2004,$B62,周转筐出入库明细!$B$4:$B$2004,"&gt;="&amp;$P$1,周转筐出入库明细!$B$4:$B$2004,"&lt;="&amp;$P$2)-SUM($C62:$F62))</f>
        <v/>
      </c>
      <c r="H62" s="25" t="str">
        <f t="shared" si="1"/>
        <v/>
      </c>
      <c r="I62" s="26" t="str">
        <f>IF($B62="","",ROUND(SUMIFS(周转筐出入库明细!$P$4:$P$2004,周转筐出入库明细!$C$4:$C$2004,$B62,周转筐出入库明细!$F$4:$F$2004,"销售出库",周转筐出入库明细!$B$4:$B$2004,"&gt;="&amp;$P$1,周转筐出入库明细!$B$4:$B$2004,"&lt;="&amp;$P$2),2))</f>
        <v/>
      </c>
      <c r="J62" s="26" t="str">
        <f>IF($B62="","",ROUND(SUMIFS(周转筐出入库明细!$P$4:$P$2004,周转筐出入库明细!$C$4:$C$2004,$B62,周转筐出入库明细!$F$4:$F$2004,"销售出库",周转筐出入库明细!$Q$4:$Q$2004,"已收讫",周转筐出入库明细!$B$4:$B$2004,"&gt;="&amp;$P$1,周转筐出入库明细!$B$4:$B$2004,"&lt;="&amp;$P$2),2))</f>
        <v/>
      </c>
      <c r="K62" s="26" t="str">
        <f t="shared" si="2"/>
        <v/>
      </c>
      <c r="L62" s="41"/>
    </row>
    <row r="63" spans="1:12">
      <c r="A63" s="24" t="str">
        <f t="shared" si="0"/>
        <v/>
      </c>
      <c r="B63" s="24" t="str">
        <f>IFERROR(INDEX(_自动清单!$AA$4:$AA$203,ROW()-3),"")</f>
        <v/>
      </c>
      <c r="C63" s="25" t="str">
        <f>IF(OR($B63="",_自动清单!$U$4=""),"",SUMIFS(周转筐出入库明细!$K$4:$K$2004,周转筐出入库明细!$C$4:$C$2004,$B63,周转筐出入库明细!$D$4:$D$2004,_自动清单!$U$4,周转筐出入库明细!$B$4:$B$2004,"&gt;="&amp;$P$1,周转筐出入库明细!$B$4:$B$2004,"&lt;="&amp;$P$2))</f>
        <v/>
      </c>
      <c r="D63" s="25" t="str">
        <f>IF(OR($B63="",_自动清单!$U$5=""),"",SUMIFS(周转筐出入库明细!$K$4:$K$2004,周转筐出入库明细!$C$4:$C$2004,$B63,周转筐出入库明细!$D$4:$D$2004,_自动清单!$U$5,周转筐出入库明细!$B$4:$B$2004,"&gt;="&amp;$P$1,周转筐出入库明细!$B$4:$B$2004,"&lt;="&amp;$P$2))</f>
        <v/>
      </c>
      <c r="E63" s="25" t="str">
        <f>IF(OR($B63="",_自动清单!$U$6=""),"",SUMIFS(周转筐出入库明细!$K$4:$K$2004,周转筐出入库明细!$C$4:$C$2004,$B63,周转筐出入库明细!$D$4:$D$2004,_自动清单!$U$6,周转筐出入库明细!$B$4:$B$2004,"&gt;="&amp;$P$1,周转筐出入库明细!$B$4:$B$2004,"&lt;="&amp;$P$2))</f>
        <v/>
      </c>
      <c r="F63" s="25" t="str">
        <f>IF(OR($B63="",_自动清单!$U$7=""),"",SUMIFS(周转筐出入库明细!$K$4:$K$2004,周转筐出入库明细!$C$4:$C$2004,$B63,周转筐出入库明细!$D$4:$D$2004,_自动清单!$U$7,周转筐出入库明细!$B$4:$B$2004,"&gt;="&amp;$P$1,周转筐出入库明细!$B$4:$B$2004,"&lt;="&amp;$P$2))</f>
        <v/>
      </c>
      <c r="G63" s="25" t="str">
        <f>IF($B63="","",SUMIFS(周转筐出入库明细!$K$4:$K$2004,周转筐出入库明细!$C$4:$C$2004,$B63,周转筐出入库明细!$B$4:$B$2004,"&gt;="&amp;$P$1,周转筐出入库明细!$B$4:$B$2004,"&lt;="&amp;$P$2)-SUM($C63:$F63))</f>
        <v/>
      </c>
      <c r="H63" s="25" t="str">
        <f t="shared" si="1"/>
        <v/>
      </c>
      <c r="I63" s="26" t="str">
        <f>IF($B63="","",ROUND(SUMIFS(周转筐出入库明细!$P$4:$P$2004,周转筐出入库明细!$C$4:$C$2004,$B63,周转筐出入库明细!$F$4:$F$2004,"销售出库",周转筐出入库明细!$B$4:$B$2004,"&gt;="&amp;$P$1,周转筐出入库明细!$B$4:$B$2004,"&lt;="&amp;$P$2),2))</f>
        <v/>
      </c>
      <c r="J63" s="26" t="str">
        <f>IF($B63="","",ROUND(SUMIFS(周转筐出入库明细!$P$4:$P$2004,周转筐出入库明细!$C$4:$C$2004,$B63,周转筐出入库明细!$F$4:$F$2004,"销售出库",周转筐出入库明细!$Q$4:$Q$2004,"已收讫",周转筐出入库明细!$B$4:$B$2004,"&gt;="&amp;$P$1,周转筐出入库明细!$B$4:$B$2004,"&lt;="&amp;$P$2),2))</f>
        <v/>
      </c>
      <c r="K63" s="26" t="str">
        <f t="shared" si="2"/>
        <v/>
      </c>
      <c r="L63" s="41"/>
    </row>
    <row r="64" spans="1:12">
      <c r="A64" s="24" t="str">
        <f t="shared" si="0"/>
        <v/>
      </c>
      <c r="B64" s="24" t="str">
        <f>IFERROR(INDEX(_自动清单!$AA$4:$AA$203,ROW()-3),"")</f>
        <v/>
      </c>
      <c r="C64" s="25" t="str">
        <f>IF(OR($B64="",_自动清单!$U$4=""),"",SUMIFS(周转筐出入库明细!$K$4:$K$2004,周转筐出入库明细!$C$4:$C$2004,$B64,周转筐出入库明细!$D$4:$D$2004,_自动清单!$U$4,周转筐出入库明细!$B$4:$B$2004,"&gt;="&amp;$P$1,周转筐出入库明细!$B$4:$B$2004,"&lt;="&amp;$P$2))</f>
        <v/>
      </c>
      <c r="D64" s="25" t="str">
        <f>IF(OR($B64="",_自动清单!$U$5=""),"",SUMIFS(周转筐出入库明细!$K$4:$K$2004,周转筐出入库明细!$C$4:$C$2004,$B64,周转筐出入库明细!$D$4:$D$2004,_自动清单!$U$5,周转筐出入库明细!$B$4:$B$2004,"&gt;="&amp;$P$1,周转筐出入库明细!$B$4:$B$2004,"&lt;="&amp;$P$2))</f>
        <v/>
      </c>
      <c r="E64" s="25" t="str">
        <f>IF(OR($B64="",_自动清单!$U$6=""),"",SUMIFS(周转筐出入库明细!$K$4:$K$2004,周转筐出入库明细!$C$4:$C$2004,$B64,周转筐出入库明细!$D$4:$D$2004,_自动清单!$U$6,周转筐出入库明细!$B$4:$B$2004,"&gt;="&amp;$P$1,周转筐出入库明细!$B$4:$B$2004,"&lt;="&amp;$P$2))</f>
        <v/>
      </c>
      <c r="F64" s="25" t="str">
        <f>IF(OR($B64="",_自动清单!$U$7=""),"",SUMIFS(周转筐出入库明细!$K$4:$K$2004,周转筐出入库明细!$C$4:$C$2004,$B64,周转筐出入库明细!$D$4:$D$2004,_自动清单!$U$7,周转筐出入库明细!$B$4:$B$2004,"&gt;="&amp;$P$1,周转筐出入库明细!$B$4:$B$2004,"&lt;="&amp;$P$2))</f>
        <v/>
      </c>
      <c r="G64" s="25" t="str">
        <f>IF($B64="","",SUMIFS(周转筐出入库明细!$K$4:$K$2004,周转筐出入库明细!$C$4:$C$2004,$B64,周转筐出入库明细!$B$4:$B$2004,"&gt;="&amp;$P$1,周转筐出入库明细!$B$4:$B$2004,"&lt;="&amp;$P$2)-SUM($C64:$F64))</f>
        <v/>
      </c>
      <c r="H64" s="25" t="str">
        <f t="shared" si="1"/>
        <v/>
      </c>
      <c r="I64" s="26" t="str">
        <f>IF($B64="","",ROUND(SUMIFS(周转筐出入库明细!$P$4:$P$2004,周转筐出入库明细!$C$4:$C$2004,$B64,周转筐出入库明细!$F$4:$F$2004,"销售出库",周转筐出入库明细!$B$4:$B$2004,"&gt;="&amp;$P$1,周转筐出入库明细!$B$4:$B$2004,"&lt;="&amp;$P$2),2))</f>
        <v/>
      </c>
      <c r="J64" s="26" t="str">
        <f>IF($B64="","",ROUND(SUMIFS(周转筐出入库明细!$P$4:$P$2004,周转筐出入库明细!$C$4:$C$2004,$B64,周转筐出入库明细!$F$4:$F$2004,"销售出库",周转筐出入库明细!$Q$4:$Q$2004,"已收讫",周转筐出入库明细!$B$4:$B$2004,"&gt;="&amp;$P$1,周转筐出入库明细!$B$4:$B$2004,"&lt;="&amp;$P$2),2))</f>
        <v/>
      </c>
      <c r="K64" s="26" t="str">
        <f t="shared" si="2"/>
        <v/>
      </c>
      <c r="L64" s="41"/>
    </row>
    <row r="65" spans="1:12">
      <c r="A65" s="24" t="str">
        <f t="shared" si="0"/>
        <v/>
      </c>
      <c r="B65" s="24" t="str">
        <f>IFERROR(INDEX(_自动清单!$AA$4:$AA$203,ROW()-3),"")</f>
        <v/>
      </c>
      <c r="C65" s="25" t="str">
        <f>IF(OR($B65="",_自动清单!$U$4=""),"",SUMIFS(周转筐出入库明细!$K$4:$K$2004,周转筐出入库明细!$C$4:$C$2004,$B65,周转筐出入库明细!$D$4:$D$2004,_自动清单!$U$4,周转筐出入库明细!$B$4:$B$2004,"&gt;="&amp;$P$1,周转筐出入库明细!$B$4:$B$2004,"&lt;="&amp;$P$2))</f>
        <v/>
      </c>
      <c r="D65" s="25" t="str">
        <f>IF(OR($B65="",_自动清单!$U$5=""),"",SUMIFS(周转筐出入库明细!$K$4:$K$2004,周转筐出入库明细!$C$4:$C$2004,$B65,周转筐出入库明细!$D$4:$D$2004,_自动清单!$U$5,周转筐出入库明细!$B$4:$B$2004,"&gt;="&amp;$P$1,周转筐出入库明细!$B$4:$B$2004,"&lt;="&amp;$P$2))</f>
        <v/>
      </c>
      <c r="E65" s="25" t="str">
        <f>IF(OR($B65="",_自动清单!$U$6=""),"",SUMIFS(周转筐出入库明细!$K$4:$K$2004,周转筐出入库明细!$C$4:$C$2004,$B65,周转筐出入库明细!$D$4:$D$2004,_自动清单!$U$6,周转筐出入库明细!$B$4:$B$2004,"&gt;="&amp;$P$1,周转筐出入库明细!$B$4:$B$2004,"&lt;="&amp;$P$2))</f>
        <v/>
      </c>
      <c r="F65" s="25" t="str">
        <f>IF(OR($B65="",_自动清单!$U$7=""),"",SUMIFS(周转筐出入库明细!$K$4:$K$2004,周转筐出入库明细!$C$4:$C$2004,$B65,周转筐出入库明细!$D$4:$D$2004,_自动清单!$U$7,周转筐出入库明细!$B$4:$B$2004,"&gt;="&amp;$P$1,周转筐出入库明细!$B$4:$B$2004,"&lt;="&amp;$P$2))</f>
        <v/>
      </c>
      <c r="G65" s="25" t="str">
        <f>IF($B65="","",SUMIFS(周转筐出入库明细!$K$4:$K$2004,周转筐出入库明细!$C$4:$C$2004,$B65,周转筐出入库明细!$B$4:$B$2004,"&gt;="&amp;$P$1,周转筐出入库明细!$B$4:$B$2004,"&lt;="&amp;$P$2)-SUM($C65:$F65))</f>
        <v/>
      </c>
      <c r="H65" s="25" t="str">
        <f t="shared" si="1"/>
        <v/>
      </c>
      <c r="I65" s="26" t="str">
        <f>IF($B65="","",ROUND(SUMIFS(周转筐出入库明细!$P$4:$P$2004,周转筐出入库明细!$C$4:$C$2004,$B65,周转筐出入库明细!$F$4:$F$2004,"销售出库",周转筐出入库明细!$B$4:$B$2004,"&gt;="&amp;$P$1,周转筐出入库明细!$B$4:$B$2004,"&lt;="&amp;$P$2),2))</f>
        <v/>
      </c>
      <c r="J65" s="26" t="str">
        <f>IF($B65="","",ROUND(SUMIFS(周转筐出入库明细!$P$4:$P$2004,周转筐出入库明细!$C$4:$C$2004,$B65,周转筐出入库明细!$F$4:$F$2004,"销售出库",周转筐出入库明细!$Q$4:$Q$2004,"已收讫",周转筐出入库明细!$B$4:$B$2004,"&gt;="&amp;$P$1,周转筐出入库明细!$B$4:$B$2004,"&lt;="&amp;$P$2),2))</f>
        <v/>
      </c>
      <c r="K65" s="26" t="str">
        <f t="shared" si="2"/>
        <v/>
      </c>
      <c r="L65" s="41"/>
    </row>
    <row r="66" spans="1:12">
      <c r="A66" s="24" t="str">
        <f t="shared" si="0"/>
        <v/>
      </c>
      <c r="B66" s="24" t="str">
        <f>IFERROR(INDEX(_自动清单!$AA$4:$AA$203,ROW()-3),"")</f>
        <v/>
      </c>
      <c r="C66" s="25" t="str">
        <f>IF(OR($B66="",_自动清单!$U$4=""),"",SUMIFS(周转筐出入库明细!$K$4:$K$2004,周转筐出入库明细!$C$4:$C$2004,$B66,周转筐出入库明细!$D$4:$D$2004,_自动清单!$U$4,周转筐出入库明细!$B$4:$B$2004,"&gt;="&amp;$P$1,周转筐出入库明细!$B$4:$B$2004,"&lt;="&amp;$P$2))</f>
        <v/>
      </c>
      <c r="D66" s="25" t="str">
        <f>IF(OR($B66="",_自动清单!$U$5=""),"",SUMIFS(周转筐出入库明细!$K$4:$K$2004,周转筐出入库明细!$C$4:$C$2004,$B66,周转筐出入库明细!$D$4:$D$2004,_自动清单!$U$5,周转筐出入库明细!$B$4:$B$2004,"&gt;="&amp;$P$1,周转筐出入库明细!$B$4:$B$2004,"&lt;="&amp;$P$2))</f>
        <v/>
      </c>
      <c r="E66" s="25" t="str">
        <f>IF(OR($B66="",_自动清单!$U$6=""),"",SUMIFS(周转筐出入库明细!$K$4:$K$2004,周转筐出入库明细!$C$4:$C$2004,$B66,周转筐出入库明细!$D$4:$D$2004,_自动清单!$U$6,周转筐出入库明细!$B$4:$B$2004,"&gt;="&amp;$P$1,周转筐出入库明细!$B$4:$B$2004,"&lt;="&amp;$P$2))</f>
        <v/>
      </c>
      <c r="F66" s="25" t="str">
        <f>IF(OR($B66="",_自动清单!$U$7=""),"",SUMIFS(周转筐出入库明细!$K$4:$K$2004,周转筐出入库明细!$C$4:$C$2004,$B66,周转筐出入库明细!$D$4:$D$2004,_自动清单!$U$7,周转筐出入库明细!$B$4:$B$2004,"&gt;="&amp;$P$1,周转筐出入库明细!$B$4:$B$2004,"&lt;="&amp;$P$2))</f>
        <v/>
      </c>
      <c r="G66" s="25" t="str">
        <f>IF($B66="","",SUMIFS(周转筐出入库明细!$K$4:$K$2004,周转筐出入库明细!$C$4:$C$2004,$B66,周转筐出入库明细!$B$4:$B$2004,"&gt;="&amp;$P$1,周转筐出入库明细!$B$4:$B$2004,"&lt;="&amp;$P$2)-SUM($C66:$F66))</f>
        <v/>
      </c>
      <c r="H66" s="25" t="str">
        <f t="shared" si="1"/>
        <v/>
      </c>
      <c r="I66" s="26" t="str">
        <f>IF($B66="","",ROUND(SUMIFS(周转筐出入库明细!$P$4:$P$2004,周转筐出入库明细!$C$4:$C$2004,$B66,周转筐出入库明细!$F$4:$F$2004,"销售出库",周转筐出入库明细!$B$4:$B$2004,"&gt;="&amp;$P$1,周转筐出入库明细!$B$4:$B$2004,"&lt;="&amp;$P$2),2))</f>
        <v/>
      </c>
      <c r="J66" s="26" t="str">
        <f>IF($B66="","",ROUND(SUMIFS(周转筐出入库明细!$P$4:$P$2004,周转筐出入库明细!$C$4:$C$2004,$B66,周转筐出入库明细!$F$4:$F$2004,"销售出库",周转筐出入库明细!$Q$4:$Q$2004,"已收讫",周转筐出入库明细!$B$4:$B$2004,"&gt;="&amp;$P$1,周转筐出入库明细!$B$4:$B$2004,"&lt;="&amp;$P$2),2))</f>
        <v/>
      </c>
      <c r="K66" s="26" t="str">
        <f t="shared" si="2"/>
        <v/>
      </c>
      <c r="L66" s="41"/>
    </row>
    <row r="67" spans="1:12">
      <c r="A67" s="24" t="str">
        <f t="shared" si="0"/>
        <v/>
      </c>
      <c r="B67" s="24" t="str">
        <f>IFERROR(INDEX(_自动清单!$AA$4:$AA$203,ROW()-3),"")</f>
        <v/>
      </c>
      <c r="C67" s="25" t="str">
        <f>IF(OR($B67="",_自动清单!$U$4=""),"",SUMIFS(周转筐出入库明细!$K$4:$K$2004,周转筐出入库明细!$C$4:$C$2004,$B67,周转筐出入库明细!$D$4:$D$2004,_自动清单!$U$4,周转筐出入库明细!$B$4:$B$2004,"&gt;="&amp;$P$1,周转筐出入库明细!$B$4:$B$2004,"&lt;="&amp;$P$2))</f>
        <v/>
      </c>
      <c r="D67" s="25" t="str">
        <f>IF(OR($B67="",_自动清单!$U$5=""),"",SUMIFS(周转筐出入库明细!$K$4:$K$2004,周转筐出入库明细!$C$4:$C$2004,$B67,周转筐出入库明细!$D$4:$D$2004,_自动清单!$U$5,周转筐出入库明细!$B$4:$B$2004,"&gt;="&amp;$P$1,周转筐出入库明细!$B$4:$B$2004,"&lt;="&amp;$P$2))</f>
        <v/>
      </c>
      <c r="E67" s="25" t="str">
        <f>IF(OR($B67="",_自动清单!$U$6=""),"",SUMIFS(周转筐出入库明细!$K$4:$K$2004,周转筐出入库明细!$C$4:$C$2004,$B67,周转筐出入库明细!$D$4:$D$2004,_自动清单!$U$6,周转筐出入库明细!$B$4:$B$2004,"&gt;="&amp;$P$1,周转筐出入库明细!$B$4:$B$2004,"&lt;="&amp;$P$2))</f>
        <v/>
      </c>
      <c r="F67" s="25" t="str">
        <f>IF(OR($B67="",_自动清单!$U$7=""),"",SUMIFS(周转筐出入库明细!$K$4:$K$2004,周转筐出入库明细!$C$4:$C$2004,$B67,周转筐出入库明细!$D$4:$D$2004,_自动清单!$U$7,周转筐出入库明细!$B$4:$B$2004,"&gt;="&amp;$P$1,周转筐出入库明细!$B$4:$B$2004,"&lt;="&amp;$P$2))</f>
        <v/>
      </c>
      <c r="G67" s="25" t="str">
        <f>IF($B67="","",SUMIFS(周转筐出入库明细!$K$4:$K$2004,周转筐出入库明细!$C$4:$C$2004,$B67,周转筐出入库明细!$B$4:$B$2004,"&gt;="&amp;$P$1,周转筐出入库明细!$B$4:$B$2004,"&lt;="&amp;$P$2)-SUM($C67:$F67))</f>
        <v/>
      </c>
      <c r="H67" s="25" t="str">
        <f t="shared" si="1"/>
        <v/>
      </c>
      <c r="I67" s="26" t="str">
        <f>IF($B67="","",ROUND(SUMIFS(周转筐出入库明细!$P$4:$P$2004,周转筐出入库明细!$C$4:$C$2004,$B67,周转筐出入库明细!$F$4:$F$2004,"销售出库",周转筐出入库明细!$B$4:$B$2004,"&gt;="&amp;$P$1,周转筐出入库明细!$B$4:$B$2004,"&lt;="&amp;$P$2),2))</f>
        <v/>
      </c>
      <c r="J67" s="26" t="str">
        <f>IF($B67="","",ROUND(SUMIFS(周转筐出入库明细!$P$4:$P$2004,周转筐出入库明细!$C$4:$C$2004,$B67,周转筐出入库明细!$F$4:$F$2004,"销售出库",周转筐出入库明细!$Q$4:$Q$2004,"已收讫",周转筐出入库明细!$B$4:$B$2004,"&gt;="&amp;$P$1,周转筐出入库明细!$B$4:$B$2004,"&lt;="&amp;$P$2),2))</f>
        <v/>
      </c>
      <c r="K67" s="26" t="str">
        <f t="shared" si="2"/>
        <v/>
      </c>
      <c r="L67" s="41"/>
    </row>
    <row r="68" spans="1:12">
      <c r="A68" s="24" t="str">
        <f t="shared" ref="A68:A131" si="3">IF($B68="","",ROW()-3)</f>
        <v/>
      </c>
      <c r="B68" s="24" t="str">
        <f>IFERROR(INDEX(_自动清单!$AA$4:$AA$203,ROW()-3),"")</f>
        <v/>
      </c>
      <c r="C68" s="25" t="str">
        <f>IF(OR($B68="",_自动清单!$U$4=""),"",SUMIFS(周转筐出入库明细!$K$4:$K$2004,周转筐出入库明细!$C$4:$C$2004,$B68,周转筐出入库明细!$D$4:$D$2004,_自动清单!$U$4,周转筐出入库明细!$B$4:$B$2004,"&gt;="&amp;$P$1,周转筐出入库明细!$B$4:$B$2004,"&lt;="&amp;$P$2))</f>
        <v/>
      </c>
      <c r="D68" s="25" t="str">
        <f>IF(OR($B68="",_自动清单!$U$5=""),"",SUMIFS(周转筐出入库明细!$K$4:$K$2004,周转筐出入库明细!$C$4:$C$2004,$B68,周转筐出入库明细!$D$4:$D$2004,_自动清单!$U$5,周转筐出入库明细!$B$4:$B$2004,"&gt;="&amp;$P$1,周转筐出入库明细!$B$4:$B$2004,"&lt;="&amp;$P$2))</f>
        <v/>
      </c>
      <c r="E68" s="25" t="str">
        <f>IF(OR($B68="",_自动清单!$U$6=""),"",SUMIFS(周转筐出入库明细!$K$4:$K$2004,周转筐出入库明细!$C$4:$C$2004,$B68,周转筐出入库明细!$D$4:$D$2004,_自动清单!$U$6,周转筐出入库明细!$B$4:$B$2004,"&gt;="&amp;$P$1,周转筐出入库明细!$B$4:$B$2004,"&lt;="&amp;$P$2))</f>
        <v/>
      </c>
      <c r="F68" s="25" t="str">
        <f>IF(OR($B68="",_自动清单!$U$7=""),"",SUMIFS(周转筐出入库明细!$K$4:$K$2004,周转筐出入库明细!$C$4:$C$2004,$B68,周转筐出入库明细!$D$4:$D$2004,_自动清单!$U$7,周转筐出入库明细!$B$4:$B$2004,"&gt;="&amp;$P$1,周转筐出入库明细!$B$4:$B$2004,"&lt;="&amp;$P$2))</f>
        <v/>
      </c>
      <c r="G68" s="25" t="str">
        <f>IF($B68="","",SUMIFS(周转筐出入库明细!$K$4:$K$2004,周转筐出入库明细!$C$4:$C$2004,$B68,周转筐出入库明细!$B$4:$B$2004,"&gt;="&amp;$P$1,周转筐出入库明细!$B$4:$B$2004,"&lt;="&amp;$P$2)-SUM($C68:$F68))</f>
        <v/>
      </c>
      <c r="H68" s="25" t="str">
        <f t="shared" ref="H68:H131" si="4">IF($B68="","",SUM($C68:$G68))</f>
        <v/>
      </c>
      <c r="I68" s="26" t="str">
        <f>IF($B68="","",ROUND(SUMIFS(周转筐出入库明细!$P$4:$P$2004,周转筐出入库明细!$C$4:$C$2004,$B68,周转筐出入库明细!$F$4:$F$2004,"销售出库",周转筐出入库明细!$B$4:$B$2004,"&gt;="&amp;$P$1,周转筐出入库明细!$B$4:$B$2004,"&lt;="&amp;$P$2),2))</f>
        <v/>
      </c>
      <c r="J68" s="26" t="str">
        <f>IF($B68="","",ROUND(SUMIFS(周转筐出入库明细!$P$4:$P$2004,周转筐出入库明细!$C$4:$C$2004,$B68,周转筐出入库明细!$F$4:$F$2004,"销售出库",周转筐出入库明细!$Q$4:$Q$2004,"已收讫",周转筐出入库明细!$B$4:$B$2004,"&gt;="&amp;$P$1,周转筐出入库明细!$B$4:$B$2004,"&lt;="&amp;$P$2),2))</f>
        <v/>
      </c>
      <c r="K68" s="26" t="str">
        <f t="shared" ref="K68:K131" si="5">IF($B68="","",ROUND(N($I68)-N($J68),2))</f>
        <v/>
      </c>
      <c r="L68" s="41"/>
    </row>
    <row r="69" spans="1:12">
      <c r="A69" s="24" t="str">
        <f t="shared" si="3"/>
        <v/>
      </c>
      <c r="B69" s="24" t="str">
        <f>IFERROR(INDEX(_自动清单!$AA$4:$AA$203,ROW()-3),"")</f>
        <v/>
      </c>
      <c r="C69" s="25" t="str">
        <f>IF(OR($B69="",_自动清单!$U$4=""),"",SUMIFS(周转筐出入库明细!$K$4:$K$2004,周转筐出入库明细!$C$4:$C$2004,$B69,周转筐出入库明细!$D$4:$D$2004,_自动清单!$U$4,周转筐出入库明细!$B$4:$B$2004,"&gt;="&amp;$P$1,周转筐出入库明细!$B$4:$B$2004,"&lt;="&amp;$P$2))</f>
        <v/>
      </c>
      <c r="D69" s="25" t="str">
        <f>IF(OR($B69="",_自动清单!$U$5=""),"",SUMIFS(周转筐出入库明细!$K$4:$K$2004,周转筐出入库明细!$C$4:$C$2004,$B69,周转筐出入库明细!$D$4:$D$2004,_自动清单!$U$5,周转筐出入库明细!$B$4:$B$2004,"&gt;="&amp;$P$1,周转筐出入库明细!$B$4:$B$2004,"&lt;="&amp;$P$2))</f>
        <v/>
      </c>
      <c r="E69" s="25" t="str">
        <f>IF(OR($B69="",_自动清单!$U$6=""),"",SUMIFS(周转筐出入库明细!$K$4:$K$2004,周转筐出入库明细!$C$4:$C$2004,$B69,周转筐出入库明细!$D$4:$D$2004,_自动清单!$U$6,周转筐出入库明细!$B$4:$B$2004,"&gt;="&amp;$P$1,周转筐出入库明细!$B$4:$B$2004,"&lt;="&amp;$P$2))</f>
        <v/>
      </c>
      <c r="F69" s="25" t="str">
        <f>IF(OR($B69="",_自动清单!$U$7=""),"",SUMIFS(周转筐出入库明细!$K$4:$K$2004,周转筐出入库明细!$C$4:$C$2004,$B69,周转筐出入库明细!$D$4:$D$2004,_自动清单!$U$7,周转筐出入库明细!$B$4:$B$2004,"&gt;="&amp;$P$1,周转筐出入库明细!$B$4:$B$2004,"&lt;="&amp;$P$2))</f>
        <v/>
      </c>
      <c r="G69" s="25" t="str">
        <f>IF($B69="","",SUMIFS(周转筐出入库明细!$K$4:$K$2004,周转筐出入库明细!$C$4:$C$2004,$B69,周转筐出入库明细!$B$4:$B$2004,"&gt;="&amp;$P$1,周转筐出入库明细!$B$4:$B$2004,"&lt;="&amp;$P$2)-SUM($C69:$F69))</f>
        <v/>
      </c>
      <c r="H69" s="25" t="str">
        <f t="shared" si="4"/>
        <v/>
      </c>
      <c r="I69" s="26" t="str">
        <f>IF($B69="","",ROUND(SUMIFS(周转筐出入库明细!$P$4:$P$2004,周转筐出入库明细!$C$4:$C$2004,$B69,周转筐出入库明细!$F$4:$F$2004,"销售出库",周转筐出入库明细!$B$4:$B$2004,"&gt;="&amp;$P$1,周转筐出入库明细!$B$4:$B$2004,"&lt;="&amp;$P$2),2))</f>
        <v/>
      </c>
      <c r="J69" s="26" t="str">
        <f>IF($B69="","",ROUND(SUMIFS(周转筐出入库明细!$P$4:$P$2004,周转筐出入库明细!$C$4:$C$2004,$B69,周转筐出入库明细!$F$4:$F$2004,"销售出库",周转筐出入库明细!$Q$4:$Q$2004,"已收讫",周转筐出入库明细!$B$4:$B$2004,"&gt;="&amp;$P$1,周转筐出入库明细!$B$4:$B$2004,"&lt;="&amp;$P$2),2))</f>
        <v/>
      </c>
      <c r="K69" s="26" t="str">
        <f t="shared" si="5"/>
        <v/>
      </c>
      <c r="L69" s="41"/>
    </row>
    <row r="70" spans="1:12">
      <c r="A70" s="24" t="str">
        <f t="shared" si="3"/>
        <v/>
      </c>
      <c r="B70" s="24" t="str">
        <f>IFERROR(INDEX(_自动清单!$AA$4:$AA$203,ROW()-3),"")</f>
        <v/>
      </c>
      <c r="C70" s="25" t="str">
        <f>IF(OR($B70="",_自动清单!$U$4=""),"",SUMIFS(周转筐出入库明细!$K$4:$K$2004,周转筐出入库明细!$C$4:$C$2004,$B70,周转筐出入库明细!$D$4:$D$2004,_自动清单!$U$4,周转筐出入库明细!$B$4:$B$2004,"&gt;="&amp;$P$1,周转筐出入库明细!$B$4:$B$2004,"&lt;="&amp;$P$2))</f>
        <v/>
      </c>
      <c r="D70" s="25" t="str">
        <f>IF(OR($B70="",_自动清单!$U$5=""),"",SUMIFS(周转筐出入库明细!$K$4:$K$2004,周转筐出入库明细!$C$4:$C$2004,$B70,周转筐出入库明细!$D$4:$D$2004,_自动清单!$U$5,周转筐出入库明细!$B$4:$B$2004,"&gt;="&amp;$P$1,周转筐出入库明细!$B$4:$B$2004,"&lt;="&amp;$P$2))</f>
        <v/>
      </c>
      <c r="E70" s="25" t="str">
        <f>IF(OR($B70="",_自动清单!$U$6=""),"",SUMIFS(周转筐出入库明细!$K$4:$K$2004,周转筐出入库明细!$C$4:$C$2004,$B70,周转筐出入库明细!$D$4:$D$2004,_自动清单!$U$6,周转筐出入库明细!$B$4:$B$2004,"&gt;="&amp;$P$1,周转筐出入库明细!$B$4:$B$2004,"&lt;="&amp;$P$2))</f>
        <v/>
      </c>
      <c r="F70" s="25" t="str">
        <f>IF(OR($B70="",_自动清单!$U$7=""),"",SUMIFS(周转筐出入库明细!$K$4:$K$2004,周转筐出入库明细!$C$4:$C$2004,$B70,周转筐出入库明细!$D$4:$D$2004,_自动清单!$U$7,周转筐出入库明细!$B$4:$B$2004,"&gt;="&amp;$P$1,周转筐出入库明细!$B$4:$B$2004,"&lt;="&amp;$P$2))</f>
        <v/>
      </c>
      <c r="G70" s="25" t="str">
        <f>IF($B70="","",SUMIFS(周转筐出入库明细!$K$4:$K$2004,周转筐出入库明细!$C$4:$C$2004,$B70,周转筐出入库明细!$B$4:$B$2004,"&gt;="&amp;$P$1,周转筐出入库明细!$B$4:$B$2004,"&lt;="&amp;$P$2)-SUM($C70:$F70))</f>
        <v/>
      </c>
      <c r="H70" s="25" t="str">
        <f t="shared" si="4"/>
        <v/>
      </c>
      <c r="I70" s="26" t="str">
        <f>IF($B70="","",ROUND(SUMIFS(周转筐出入库明细!$P$4:$P$2004,周转筐出入库明细!$C$4:$C$2004,$B70,周转筐出入库明细!$F$4:$F$2004,"销售出库",周转筐出入库明细!$B$4:$B$2004,"&gt;="&amp;$P$1,周转筐出入库明细!$B$4:$B$2004,"&lt;="&amp;$P$2),2))</f>
        <v/>
      </c>
      <c r="J70" s="26" t="str">
        <f>IF($B70="","",ROUND(SUMIFS(周转筐出入库明细!$P$4:$P$2004,周转筐出入库明细!$C$4:$C$2004,$B70,周转筐出入库明细!$F$4:$F$2004,"销售出库",周转筐出入库明细!$Q$4:$Q$2004,"已收讫",周转筐出入库明细!$B$4:$B$2004,"&gt;="&amp;$P$1,周转筐出入库明细!$B$4:$B$2004,"&lt;="&amp;$P$2),2))</f>
        <v/>
      </c>
      <c r="K70" s="26" t="str">
        <f t="shared" si="5"/>
        <v/>
      </c>
      <c r="L70" s="41"/>
    </row>
    <row r="71" spans="1:12">
      <c r="A71" s="24" t="str">
        <f t="shared" si="3"/>
        <v/>
      </c>
      <c r="B71" s="24" t="str">
        <f>IFERROR(INDEX(_自动清单!$AA$4:$AA$203,ROW()-3),"")</f>
        <v/>
      </c>
      <c r="C71" s="25" t="str">
        <f>IF(OR($B71="",_自动清单!$U$4=""),"",SUMIFS(周转筐出入库明细!$K$4:$K$2004,周转筐出入库明细!$C$4:$C$2004,$B71,周转筐出入库明细!$D$4:$D$2004,_自动清单!$U$4,周转筐出入库明细!$B$4:$B$2004,"&gt;="&amp;$P$1,周转筐出入库明细!$B$4:$B$2004,"&lt;="&amp;$P$2))</f>
        <v/>
      </c>
      <c r="D71" s="25" t="str">
        <f>IF(OR($B71="",_自动清单!$U$5=""),"",SUMIFS(周转筐出入库明细!$K$4:$K$2004,周转筐出入库明细!$C$4:$C$2004,$B71,周转筐出入库明细!$D$4:$D$2004,_自动清单!$U$5,周转筐出入库明细!$B$4:$B$2004,"&gt;="&amp;$P$1,周转筐出入库明细!$B$4:$B$2004,"&lt;="&amp;$P$2))</f>
        <v/>
      </c>
      <c r="E71" s="25" t="str">
        <f>IF(OR($B71="",_自动清单!$U$6=""),"",SUMIFS(周转筐出入库明细!$K$4:$K$2004,周转筐出入库明细!$C$4:$C$2004,$B71,周转筐出入库明细!$D$4:$D$2004,_自动清单!$U$6,周转筐出入库明细!$B$4:$B$2004,"&gt;="&amp;$P$1,周转筐出入库明细!$B$4:$B$2004,"&lt;="&amp;$P$2))</f>
        <v/>
      </c>
      <c r="F71" s="25" t="str">
        <f>IF(OR($B71="",_自动清单!$U$7=""),"",SUMIFS(周转筐出入库明细!$K$4:$K$2004,周转筐出入库明细!$C$4:$C$2004,$B71,周转筐出入库明细!$D$4:$D$2004,_自动清单!$U$7,周转筐出入库明细!$B$4:$B$2004,"&gt;="&amp;$P$1,周转筐出入库明细!$B$4:$B$2004,"&lt;="&amp;$P$2))</f>
        <v/>
      </c>
      <c r="G71" s="25" t="str">
        <f>IF($B71="","",SUMIFS(周转筐出入库明细!$K$4:$K$2004,周转筐出入库明细!$C$4:$C$2004,$B71,周转筐出入库明细!$B$4:$B$2004,"&gt;="&amp;$P$1,周转筐出入库明细!$B$4:$B$2004,"&lt;="&amp;$P$2)-SUM($C71:$F71))</f>
        <v/>
      </c>
      <c r="H71" s="25" t="str">
        <f t="shared" si="4"/>
        <v/>
      </c>
      <c r="I71" s="26" t="str">
        <f>IF($B71="","",ROUND(SUMIFS(周转筐出入库明细!$P$4:$P$2004,周转筐出入库明细!$C$4:$C$2004,$B71,周转筐出入库明细!$F$4:$F$2004,"销售出库",周转筐出入库明细!$B$4:$B$2004,"&gt;="&amp;$P$1,周转筐出入库明细!$B$4:$B$2004,"&lt;="&amp;$P$2),2))</f>
        <v/>
      </c>
      <c r="J71" s="26" t="str">
        <f>IF($B71="","",ROUND(SUMIFS(周转筐出入库明细!$P$4:$P$2004,周转筐出入库明细!$C$4:$C$2004,$B71,周转筐出入库明细!$F$4:$F$2004,"销售出库",周转筐出入库明细!$Q$4:$Q$2004,"已收讫",周转筐出入库明细!$B$4:$B$2004,"&gt;="&amp;$P$1,周转筐出入库明细!$B$4:$B$2004,"&lt;="&amp;$P$2),2))</f>
        <v/>
      </c>
      <c r="K71" s="26" t="str">
        <f t="shared" si="5"/>
        <v/>
      </c>
      <c r="L71" s="41"/>
    </row>
    <row r="72" spans="1:12">
      <c r="A72" s="24" t="str">
        <f t="shared" si="3"/>
        <v/>
      </c>
      <c r="B72" s="24" t="str">
        <f>IFERROR(INDEX(_自动清单!$AA$4:$AA$203,ROW()-3),"")</f>
        <v/>
      </c>
      <c r="C72" s="25" t="str">
        <f>IF(OR($B72="",_自动清单!$U$4=""),"",SUMIFS(周转筐出入库明细!$K$4:$K$2004,周转筐出入库明细!$C$4:$C$2004,$B72,周转筐出入库明细!$D$4:$D$2004,_自动清单!$U$4,周转筐出入库明细!$B$4:$B$2004,"&gt;="&amp;$P$1,周转筐出入库明细!$B$4:$B$2004,"&lt;="&amp;$P$2))</f>
        <v/>
      </c>
      <c r="D72" s="25" t="str">
        <f>IF(OR($B72="",_自动清单!$U$5=""),"",SUMIFS(周转筐出入库明细!$K$4:$K$2004,周转筐出入库明细!$C$4:$C$2004,$B72,周转筐出入库明细!$D$4:$D$2004,_自动清单!$U$5,周转筐出入库明细!$B$4:$B$2004,"&gt;="&amp;$P$1,周转筐出入库明细!$B$4:$B$2004,"&lt;="&amp;$P$2))</f>
        <v/>
      </c>
      <c r="E72" s="25" t="str">
        <f>IF(OR($B72="",_自动清单!$U$6=""),"",SUMIFS(周转筐出入库明细!$K$4:$K$2004,周转筐出入库明细!$C$4:$C$2004,$B72,周转筐出入库明细!$D$4:$D$2004,_自动清单!$U$6,周转筐出入库明细!$B$4:$B$2004,"&gt;="&amp;$P$1,周转筐出入库明细!$B$4:$B$2004,"&lt;="&amp;$P$2))</f>
        <v/>
      </c>
      <c r="F72" s="25" t="str">
        <f>IF(OR($B72="",_自动清单!$U$7=""),"",SUMIFS(周转筐出入库明细!$K$4:$K$2004,周转筐出入库明细!$C$4:$C$2004,$B72,周转筐出入库明细!$D$4:$D$2004,_自动清单!$U$7,周转筐出入库明细!$B$4:$B$2004,"&gt;="&amp;$P$1,周转筐出入库明细!$B$4:$B$2004,"&lt;="&amp;$P$2))</f>
        <v/>
      </c>
      <c r="G72" s="25" t="str">
        <f>IF($B72="","",SUMIFS(周转筐出入库明细!$K$4:$K$2004,周转筐出入库明细!$C$4:$C$2004,$B72,周转筐出入库明细!$B$4:$B$2004,"&gt;="&amp;$P$1,周转筐出入库明细!$B$4:$B$2004,"&lt;="&amp;$P$2)-SUM($C72:$F72))</f>
        <v/>
      </c>
      <c r="H72" s="25" t="str">
        <f t="shared" si="4"/>
        <v/>
      </c>
      <c r="I72" s="26" t="str">
        <f>IF($B72="","",ROUND(SUMIFS(周转筐出入库明细!$P$4:$P$2004,周转筐出入库明细!$C$4:$C$2004,$B72,周转筐出入库明细!$F$4:$F$2004,"销售出库",周转筐出入库明细!$B$4:$B$2004,"&gt;="&amp;$P$1,周转筐出入库明细!$B$4:$B$2004,"&lt;="&amp;$P$2),2))</f>
        <v/>
      </c>
      <c r="J72" s="26" t="str">
        <f>IF($B72="","",ROUND(SUMIFS(周转筐出入库明细!$P$4:$P$2004,周转筐出入库明细!$C$4:$C$2004,$B72,周转筐出入库明细!$F$4:$F$2004,"销售出库",周转筐出入库明细!$Q$4:$Q$2004,"已收讫",周转筐出入库明细!$B$4:$B$2004,"&gt;="&amp;$P$1,周转筐出入库明细!$B$4:$B$2004,"&lt;="&amp;$P$2),2))</f>
        <v/>
      </c>
      <c r="K72" s="26" t="str">
        <f t="shared" si="5"/>
        <v/>
      </c>
      <c r="L72" s="41"/>
    </row>
    <row r="73" spans="1:12">
      <c r="A73" s="24" t="str">
        <f t="shared" si="3"/>
        <v/>
      </c>
      <c r="B73" s="24" t="str">
        <f>IFERROR(INDEX(_自动清单!$AA$4:$AA$203,ROW()-3),"")</f>
        <v/>
      </c>
      <c r="C73" s="25" t="str">
        <f>IF(OR($B73="",_自动清单!$U$4=""),"",SUMIFS(周转筐出入库明细!$K$4:$K$2004,周转筐出入库明细!$C$4:$C$2004,$B73,周转筐出入库明细!$D$4:$D$2004,_自动清单!$U$4,周转筐出入库明细!$B$4:$B$2004,"&gt;="&amp;$P$1,周转筐出入库明细!$B$4:$B$2004,"&lt;="&amp;$P$2))</f>
        <v/>
      </c>
      <c r="D73" s="25" t="str">
        <f>IF(OR($B73="",_自动清单!$U$5=""),"",SUMIFS(周转筐出入库明细!$K$4:$K$2004,周转筐出入库明细!$C$4:$C$2004,$B73,周转筐出入库明细!$D$4:$D$2004,_自动清单!$U$5,周转筐出入库明细!$B$4:$B$2004,"&gt;="&amp;$P$1,周转筐出入库明细!$B$4:$B$2004,"&lt;="&amp;$P$2))</f>
        <v/>
      </c>
      <c r="E73" s="25" t="str">
        <f>IF(OR($B73="",_自动清单!$U$6=""),"",SUMIFS(周转筐出入库明细!$K$4:$K$2004,周转筐出入库明细!$C$4:$C$2004,$B73,周转筐出入库明细!$D$4:$D$2004,_自动清单!$U$6,周转筐出入库明细!$B$4:$B$2004,"&gt;="&amp;$P$1,周转筐出入库明细!$B$4:$B$2004,"&lt;="&amp;$P$2))</f>
        <v/>
      </c>
      <c r="F73" s="25" t="str">
        <f>IF(OR($B73="",_自动清单!$U$7=""),"",SUMIFS(周转筐出入库明细!$K$4:$K$2004,周转筐出入库明细!$C$4:$C$2004,$B73,周转筐出入库明细!$D$4:$D$2004,_自动清单!$U$7,周转筐出入库明细!$B$4:$B$2004,"&gt;="&amp;$P$1,周转筐出入库明细!$B$4:$B$2004,"&lt;="&amp;$P$2))</f>
        <v/>
      </c>
      <c r="G73" s="25" t="str">
        <f>IF($B73="","",SUMIFS(周转筐出入库明细!$K$4:$K$2004,周转筐出入库明细!$C$4:$C$2004,$B73,周转筐出入库明细!$B$4:$B$2004,"&gt;="&amp;$P$1,周转筐出入库明细!$B$4:$B$2004,"&lt;="&amp;$P$2)-SUM($C73:$F73))</f>
        <v/>
      </c>
      <c r="H73" s="25" t="str">
        <f t="shared" si="4"/>
        <v/>
      </c>
      <c r="I73" s="26" t="str">
        <f>IF($B73="","",ROUND(SUMIFS(周转筐出入库明细!$P$4:$P$2004,周转筐出入库明细!$C$4:$C$2004,$B73,周转筐出入库明细!$F$4:$F$2004,"销售出库",周转筐出入库明细!$B$4:$B$2004,"&gt;="&amp;$P$1,周转筐出入库明细!$B$4:$B$2004,"&lt;="&amp;$P$2),2))</f>
        <v/>
      </c>
      <c r="J73" s="26" t="str">
        <f>IF($B73="","",ROUND(SUMIFS(周转筐出入库明细!$P$4:$P$2004,周转筐出入库明细!$C$4:$C$2004,$B73,周转筐出入库明细!$F$4:$F$2004,"销售出库",周转筐出入库明细!$Q$4:$Q$2004,"已收讫",周转筐出入库明细!$B$4:$B$2004,"&gt;="&amp;$P$1,周转筐出入库明细!$B$4:$B$2004,"&lt;="&amp;$P$2),2))</f>
        <v/>
      </c>
      <c r="K73" s="26" t="str">
        <f t="shared" si="5"/>
        <v/>
      </c>
      <c r="L73" s="41"/>
    </row>
    <row r="74" spans="1:12">
      <c r="A74" s="24" t="str">
        <f t="shared" si="3"/>
        <v/>
      </c>
      <c r="B74" s="24" t="str">
        <f>IFERROR(INDEX(_自动清单!$AA$4:$AA$203,ROW()-3),"")</f>
        <v/>
      </c>
      <c r="C74" s="25" t="str">
        <f>IF(OR($B74="",_自动清单!$U$4=""),"",SUMIFS(周转筐出入库明细!$K$4:$K$2004,周转筐出入库明细!$C$4:$C$2004,$B74,周转筐出入库明细!$D$4:$D$2004,_自动清单!$U$4,周转筐出入库明细!$B$4:$B$2004,"&gt;="&amp;$P$1,周转筐出入库明细!$B$4:$B$2004,"&lt;="&amp;$P$2))</f>
        <v/>
      </c>
      <c r="D74" s="25" t="str">
        <f>IF(OR($B74="",_自动清单!$U$5=""),"",SUMIFS(周转筐出入库明细!$K$4:$K$2004,周转筐出入库明细!$C$4:$C$2004,$B74,周转筐出入库明细!$D$4:$D$2004,_自动清单!$U$5,周转筐出入库明细!$B$4:$B$2004,"&gt;="&amp;$P$1,周转筐出入库明细!$B$4:$B$2004,"&lt;="&amp;$P$2))</f>
        <v/>
      </c>
      <c r="E74" s="25" t="str">
        <f>IF(OR($B74="",_自动清单!$U$6=""),"",SUMIFS(周转筐出入库明细!$K$4:$K$2004,周转筐出入库明细!$C$4:$C$2004,$B74,周转筐出入库明细!$D$4:$D$2004,_自动清单!$U$6,周转筐出入库明细!$B$4:$B$2004,"&gt;="&amp;$P$1,周转筐出入库明细!$B$4:$B$2004,"&lt;="&amp;$P$2))</f>
        <v/>
      </c>
      <c r="F74" s="25" t="str">
        <f>IF(OR($B74="",_自动清单!$U$7=""),"",SUMIFS(周转筐出入库明细!$K$4:$K$2004,周转筐出入库明细!$C$4:$C$2004,$B74,周转筐出入库明细!$D$4:$D$2004,_自动清单!$U$7,周转筐出入库明细!$B$4:$B$2004,"&gt;="&amp;$P$1,周转筐出入库明细!$B$4:$B$2004,"&lt;="&amp;$P$2))</f>
        <v/>
      </c>
      <c r="G74" s="25" t="str">
        <f>IF($B74="","",SUMIFS(周转筐出入库明细!$K$4:$K$2004,周转筐出入库明细!$C$4:$C$2004,$B74,周转筐出入库明细!$B$4:$B$2004,"&gt;="&amp;$P$1,周转筐出入库明细!$B$4:$B$2004,"&lt;="&amp;$P$2)-SUM($C74:$F74))</f>
        <v/>
      </c>
      <c r="H74" s="25" t="str">
        <f t="shared" si="4"/>
        <v/>
      </c>
      <c r="I74" s="26" t="str">
        <f>IF($B74="","",ROUND(SUMIFS(周转筐出入库明细!$P$4:$P$2004,周转筐出入库明细!$C$4:$C$2004,$B74,周转筐出入库明细!$F$4:$F$2004,"销售出库",周转筐出入库明细!$B$4:$B$2004,"&gt;="&amp;$P$1,周转筐出入库明细!$B$4:$B$2004,"&lt;="&amp;$P$2),2))</f>
        <v/>
      </c>
      <c r="J74" s="26" t="str">
        <f>IF($B74="","",ROUND(SUMIFS(周转筐出入库明细!$P$4:$P$2004,周转筐出入库明细!$C$4:$C$2004,$B74,周转筐出入库明细!$F$4:$F$2004,"销售出库",周转筐出入库明细!$Q$4:$Q$2004,"已收讫",周转筐出入库明细!$B$4:$B$2004,"&gt;="&amp;$P$1,周转筐出入库明细!$B$4:$B$2004,"&lt;="&amp;$P$2),2))</f>
        <v/>
      </c>
      <c r="K74" s="26" t="str">
        <f t="shared" si="5"/>
        <v/>
      </c>
      <c r="L74" s="41"/>
    </row>
    <row r="75" spans="1:12">
      <c r="A75" s="24" t="str">
        <f t="shared" si="3"/>
        <v/>
      </c>
      <c r="B75" s="24" t="str">
        <f>IFERROR(INDEX(_自动清单!$AA$4:$AA$203,ROW()-3),"")</f>
        <v/>
      </c>
      <c r="C75" s="25" t="str">
        <f>IF(OR($B75="",_自动清单!$U$4=""),"",SUMIFS(周转筐出入库明细!$K$4:$K$2004,周转筐出入库明细!$C$4:$C$2004,$B75,周转筐出入库明细!$D$4:$D$2004,_自动清单!$U$4,周转筐出入库明细!$B$4:$B$2004,"&gt;="&amp;$P$1,周转筐出入库明细!$B$4:$B$2004,"&lt;="&amp;$P$2))</f>
        <v/>
      </c>
      <c r="D75" s="25" t="str">
        <f>IF(OR($B75="",_自动清单!$U$5=""),"",SUMIFS(周转筐出入库明细!$K$4:$K$2004,周转筐出入库明细!$C$4:$C$2004,$B75,周转筐出入库明细!$D$4:$D$2004,_自动清单!$U$5,周转筐出入库明细!$B$4:$B$2004,"&gt;="&amp;$P$1,周转筐出入库明细!$B$4:$B$2004,"&lt;="&amp;$P$2))</f>
        <v/>
      </c>
      <c r="E75" s="25" t="str">
        <f>IF(OR($B75="",_自动清单!$U$6=""),"",SUMIFS(周转筐出入库明细!$K$4:$K$2004,周转筐出入库明细!$C$4:$C$2004,$B75,周转筐出入库明细!$D$4:$D$2004,_自动清单!$U$6,周转筐出入库明细!$B$4:$B$2004,"&gt;="&amp;$P$1,周转筐出入库明细!$B$4:$B$2004,"&lt;="&amp;$P$2))</f>
        <v/>
      </c>
      <c r="F75" s="25" t="str">
        <f>IF(OR($B75="",_自动清单!$U$7=""),"",SUMIFS(周转筐出入库明细!$K$4:$K$2004,周转筐出入库明细!$C$4:$C$2004,$B75,周转筐出入库明细!$D$4:$D$2004,_自动清单!$U$7,周转筐出入库明细!$B$4:$B$2004,"&gt;="&amp;$P$1,周转筐出入库明细!$B$4:$B$2004,"&lt;="&amp;$P$2))</f>
        <v/>
      </c>
      <c r="G75" s="25" t="str">
        <f>IF($B75="","",SUMIFS(周转筐出入库明细!$K$4:$K$2004,周转筐出入库明细!$C$4:$C$2004,$B75,周转筐出入库明细!$B$4:$B$2004,"&gt;="&amp;$P$1,周转筐出入库明细!$B$4:$B$2004,"&lt;="&amp;$P$2)-SUM($C75:$F75))</f>
        <v/>
      </c>
      <c r="H75" s="25" t="str">
        <f t="shared" si="4"/>
        <v/>
      </c>
      <c r="I75" s="26" t="str">
        <f>IF($B75="","",ROUND(SUMIFS(周转筐出入库明细!$P$4:$P$2004,周转筐出入库明细!$C$4:$C$2004,$B75,周转筐出入库明细!$F$4:$F$2004,"销售出库",周转筐出入库明细!$B$4:$B$2004,"&gt;="&amp;$P$1,周转筐出入库明细!$B$4:$B$2004,"&lt;="&amp;$P$2),2))</f>
        <v/>
      </c>
      <c r="J75" s="26" t="str">
        <f>IF($B75="","",ROUND(SUMIFS(周转筐出入库明细!$P$4:$P$2004,周转筐出入库明细!$C$4:$C$2004,$B75,周转筐出入库明细!$F$4:$F$2004,"销售出库",周转筐出入库明细!$Q$4:$Q$2004,"已收讫",周转筐出入库明细!$B$4:$B$2004,"&gt;="&amp;$P$1,周转筐出入库明细!$B$4:$B$2004,"&lt;="&amp;$P$2),2))</f>
        <v/>
      </c>
      <c r="K75" s="26" t="str">
        <f t="shared" si="5"/>
        <v/>
      </c>
      <c r="L75" s="41"/>
    </row>
    <row r="76" spans="1:12">
      <c r="A76" s="24" t="str">
        <f t="shared" si="3"/>
        <v/>
      </c>
      <c r="B76" s="24" t="str">
        <f>IFERROR(INDEX(_自动清单!$AA$4:$AA$203,ROW()-3),"")</f>
        <v/>
      </c>
      <c r="C76" s="25" t="str">
        <f>IF(OR($B76="",_自动清单!$U$4=""),"",SUMIFS(周转筐出入库明细!$K$4:$K$2004,周转筐出入库明细!$C$4:$C$2004,$B76,周转筐出入库明细!$D$4:$D$2004,_自动清单!$U$4,周转筐出入库明细!$B$4:$B$2004,"&gt;="&amp;$P$1,周转筐出入库明细!$B$4:$B$2004,"&lt;="&amp;$P$2))</f>
        <v/>
      </c>
      <c r="D76" s="25" t="str">
        <f>IF(OR($B76="",_自动清单!$U$5=""),"",SUMIFS(周转筐出入库明细!$K$4:$K$2004,周转筐出入库明细!$C$4:$C$2004,$B76,周转筐出入库明细!$D$4:$D$2004,_自动清单!$U$5,周转筐出入库明细!$B$4:$B$2004,"&gt;="&amp;$P$1,周转筐出入库明细!$B$4:$B$2004,"&lt;="&amp;$P$2))</f>
        <v/>
      </c>
      <c r="E76" s="25" t="str">
        <f>IF(OR($B76="",_自动清单!$U$6=""),"",SUMIFS(周转筐出入库明细!$K$4:$K$2004,周转筐出入库明细!$C$4:$C$2004,$B76,周转筐出入库明细!$D$4:$D$2004,_自动清单!$U$6,周转筐出入库明细!$B$4:$B$2004,"&gt;="&amp;$P$1,周转筐出入库明细!$B$4:$B$2004,"&lt;="&amp;$P$2))</f>
        <v/>
      </c>
      <c r="F76" s="25" t="str">
        <f>IF(OR($B76="",_自动清单!$U$7=""),"",SUMIFS(周转筐出入库明细!$K$4:$K$2004,周转筐出入库明细!$C$4:$C$2004,$B76,周转筐出入库明细!$D$4:$D$2004,_自动清单!$U$7,周转筐出入库明细!$B$4:$B$2004,"&gt;="&amp;$P$1,周转筐出入库明细!$B$4:$B$2004,"&lt;="&amp;$P$2))</f>
        <v/>
      </c>
      <c r="G76" s="25" t="str">
        <f>IF($B76="","",SUMIFS(周转筐出入库明细!$K$4:$K$2004,周转筐出入库明细!$C$4:$C$2004,$B76,周转筐出入库明细!$B$4:$B$2004,"&gt;="&amp;$P$1,周转筐出入库明细!$B$4:$B$2004,"&lt;="&amp;$P$2)-SUM($C76:$F76))</f>
        <v/>
      </c>
      <c r="H76" s="25" t="str">
        <f t="shared" si="4"/>
        <v/>
      </c>
      <c r="I76" s="26" t="str">
        <f>IF($B76="","",ROUND(SUMIFS(周转筐出入库明细!$P$4:$P$2004,周转筐出入库明细!$C$4:$C$2004,$B76,周转筐出入库明细!$F$4:$F$2004,"销售出库",周转筐出入库明细!$B$4:$B$2004,"&gt;="&amp;$P$1,周转筐出入库明细!$B$4:$B$2004,"&lt;="&amp;$P$2),2))</f>
        <v/>
      </c>
      <c r="J76" s="26" t="str">
        <f>IF($B76="","",ROUND(SUMIFS(周转筐出入库明细!$P$4:$P$2004,周转筐出入库明细!$C$4:$C$2004,$B76,周转筐出入库明细!$F$4:$F$2004,"销售出库",周转筐出入库明细!$Q$4:$Q$2004,"已收讫",周转筐出入库明细!$B$4:$B$2004,"&gt;="&amp;$P$1,周转筐出入库明细!$B$4:$B$2004,"&lt;="&amp;$P$2),2))</f>
        <v/>
      </c>
      <c r="K76" s="26" t="str">
        <f t="shared" si="5"/>
        <v/>
      </c>
      <c r="L76" s="41"/>
    </row>
    <row r="77" spans="1:12">
      <c r="A77" s="24" t="str">
        <f t="shared" si="3"/>
        <v/>
      </c>
      <c r="B77" s="24" t="str">
        <f>IFERROR(INDEX(_自动清单!$AA$4:$AA$203,ROW()-3),"")</f>
        <v/>
      </c>
      <c r="C77" s="25" t="str">
        <f>IF(OR($B77="",_自动清单!$U$4=""),"",SUMIFS(周转筐出入库明细!$K$4:$K$2004,周转筐出入库明细!$C$4:$C$2004,$B77,周转筐出入库明细!$D$4:$D$2004,_自动清单!$U$4,周转筐出入库明细!$B$4:$B$2004,"&gt;="&amp;$P$1,周转筐出入库明细!$B$4:$B$2004,"&lt;="&amp;$P$2))</f>
        <v/>
      </c>
      <c r="D77" s="25" t="str">
        <f>IF(OR($B77="",_自动清单!$U$5=""),"",SUMIFS(周转筐出入库明细!$K$4:$K$2004,周转筐出入库明细!$C$4:$C$2004,$B77,周转筐出入库明细!$D$4:$D$2004,_自动清单!$U$5,周转筐出入库明细!$B$4:$B$2004,"&gt;="&amp;$P$1,周转筐出入库明细!$B$4:$B$2004,"&lt;="&amp;$P$2))</f>
        <v/>
      </c>
      <c r="E77" s="25" t="str">
        <f>IF(OR($B77="",_自动清单!$U$6=""),"",SUMIFS(周转筐出入库明细!$K$4:$K$2004,周转筐出入库明细!$C$4:$C$2004,$B77,周转筐出入库明细!$D$4:$D$2004,_自动清单!$U$6,周转筐出入库明细!$B$4:$B$2004,"&gt;="&amp;$P$1,周转筐出入库明细!$B$4:$B$2004,"&lt;="&amp;$P$2))</f>
        <v/>
      </c>
      <c r="F77" s="25" t="str">
        <f>IF(OR($B77="",_自动清单!$U$7=""),"",SUMIFS(周转筐出入库明细!$K$4:$K$2004,周转筐出入库明细!$C$4:$C$2004,$B77,周转筐出入库明细!$D$4:$D$2004,_自动清单!$U$7,周转筐出入库明细!$B$4:$B$2004,"&gt;="&amp;$P$1,周转筐出入库明细!$B$4:$B$2004,"&lt;="&amp;$P$2))</f>
        <v/>
      </c>
      <c r="G77" s="25" t="str">
        <f>IF($B77="","",SUMIFS(周转筐出入库明细!$K$4:$K$2004,周转筐出入库明细!$C$4:$C$2004,$B77,周转筐出入库明细!$B$4:$B$2004,"&gt;="&amp;$P$1,周转筐出入库明细!$B$4:$B$2004,"&lt;="&amp;$P$2)-SUM($C77:$F77))</f>
        <v/>
      </c>
      <c r="H77" s="25" t="str">
        <f t="shared" si="4"/>
        <v/>
      </c>
      <c r="I77" s="26" t="str">
        <f>IF($B77="","",ROUND(SUMIFS(周转筐出入库明细!$P$4:$P$2004,周转筐出入库明细!$C$4:$C$2004,$B77,周转筐出入库明细!$F$4:$F$2004,"销售出库",周转筐出入库明细!$B$4:$B$2004,"&gt;="&amp;$P$1,周转筐出入库明细!$B$4:$B$2004,"&lt;="&amp;$P$2),2))</f>
        <v/>
      </c>
      <c r="J77" s="26" t="str">
        <f>IF($B77="","",ROUND(SUMIFS(周转筐出入库明细!$P$4:$P$2004,周转筐出入库明细!$C$4:$C$2004,$B77,周转筐出入库明细!$F$4:$F$2004,"销售出库",周转筐出入库明细!$Q$4:$Q$2004,"已收讫",周转筐出入库明细!$B$4:$B$2004,"&gt;="&amp;$P$1,周转筐出入库明细!$B$4:$B$2004,"&lt;="&amp;$P$2),2))</f>
        <v/>
      </c>
      <c r="K77" s="26" t="str">
        <f t="shared" si="5"/>
        <v/>
      </c>
      <c r="L77" s="41"/>
    </row>
    <row r="78" spans="1:12">
      <c r="A78" s="24" t="str">
        <f t="shared" si="3"/>
        <v/>
      </c>
      <c r="B78" s="24" t="str">
        <f>IFERROR(INDEX(_自动清单!$AA$4:$AA$203,ROW()-3),"")</f>
        <v/>
      </c>
      <c r="C78" s="25" t="str">
        <f>IF(OR($B78="",_自动清单!$U$4=""),"",SUMIFS(周转筐出入库明细!$K$4:$K$2004,周转筐出入库明细!$C$4:$C$2004,$B78,周转筐出入库明细!$D$4:$D$2004,_自动清单!$U$4,周转筐出入库明细!$B$4:$B$2004,"&gt;="&amp;$P$1,周转筐出入库明细!$B$4:$B$2004,"&lt;="&amp;$P$2))</f>
        <v/>
      </c>
      <c r="D78" s="25" t="str">
        <f>IF(OR($B78="",_自动清单!$U$5=""),"",SUMIFS(周转筐出入库明细!$K$4:$K$2004,周转筐出入库明细!$C$4:$C$2004,$B78,周转筐出入库明细!$D$4:$D$2004,_自动清单!$U$5,周转筐出入库明细!$B$4:$B$2004,"&gt;="&amp;$P$1,周转筐出入库明细!$B$4:$B$2004,"&lt;="&amp;$P$2))</f>
        <v/>
      </c>
      <c r="E78" s="25" t="str">
        <f>IF(OR($B78="",_自动清单!$U$6=""),"",SUMIFS(周转筐出入库明细!$K$4:$K$2004,周转筐出入库明细!$C$4:$C$2004,$B78,周转筐出入库明细!$D$4:$D$2004,_自动清单!$U$6,周转筐出入库明细!$B$4:$B$2004,"&gt;="&amp;$P$1,周转筐出入库明细!$B$4:$B$2004,"&lt;="&amp;$P$2))</f>
        <v/>
      </c>
      <c r="F78" s="25" t="str">
        <f>IF(OR($B78="",_自动清单!$U$7=""),"",SUMIFS(周转筐出入库明细!$K$4:$K$2004,周转筐出入库明细!$C$4:$C$2004,$B78,周转筐出入库明细!$D$4:$D$2004,_自动清单!$U$7,周转筐出入库明细!$B$4:$B$2004,"&gt;="&amp;$P$1,周转筐出入库明细!$B$4:$B$2004,"&lt;="&amp;$P$2))</f>
        <v/>
      </c>
      <c r="G78" s="25" t="str">
        <f>IF($B78="","",SUMIFS(周转筐出入库明细!$K$4:$K$2004,周转筐出入库明细!$C$4:$C$2004,$B78,周转筐出入库明细!$B$4:$B$2004,"&gt;="&amp;$P$1,周转筐出入库明细!$B$4:$B$2004,"&lt;="&amp;$P$2)-SUM($C78:$F78))</f>
        <v/>
      </c>
      <c r="H78" s="25" t="str">
        <f t="shared" si="4"/>
        <v/>
      </c>
      <c r="I78" s="26" t="str">
        <f>IF($B78="","",ROUND(SUMIFS(周转筐出入库明细!$P$4:$P$2004,周转筐出入库明细!$C$4:$C$2004,$B78,周转筐出入库明细!$F$4:$F$2004,"销售出库",周转筐出入库明细!$B$4:$B$2004,"&gt;="&amp;$P$1,周转筐出入库明细!$B$4:$B$2004,"&lt;="&amp;$P$2),2))</f>
        <v/>
      </c>
      <c r="J78" s="26" t="str">
        <f>IF($B78="","",ROUND(SUMIFS(周转筐出入库明细!$P$4:$P$2004,周转筐出入库明细!$C$4:$C$2004,$B78,周转筐出入库明细!$F$4:$F$2004,"销售出库",周转筐出入库明细!$Q$4:$Q$2004,"已收讫",周转筐出入库明细!$B$4:$B$2004,"&gt;="&amp;$P$1,周转筐出入库明细!$B$4:$B$2004,"&lt;="&amp;$P$2),2))</f>
        <v/>
      </c>
      <c r="K78" s="26" t="str">
        <f t="shared" si="5"/>
        <v/>
      </c>
      <c r="L78" s="41"/>
    </row>
    <row r="79" spans="1:12">
      <c r="A79" s="24" t="str">
        <f t="shared" si="3"/>
        <v/>
      </c>
      <c r="B79" s="24" t="str">
        <f>IFERROR(INDEX(_自动清单!$AA$4:$AA$203,ROW()-3),"")</f>
        <v/>
      </c>
      <c r="C79" s="25" t="str">
        <f>IF(OR($B79="",_自动清单!$U$4=""),"",SUMIFS(周转筐出入库明细!$K$4:$K$2004,周转筐出入库明细!$C$4:$C$2004,$B79,周转筐出入库明细!$D$4:$D$2004,_自动清单!$U$4,周转筐出入库明细!$B$4:$B$2004,"&gt;="&amp;$P$1,周转筐出入库明细!$B$4:$B$2004,"&lt;="&amp;$P$2))</f>
        <v/>
      </c>
      <c r="D79" s="25" t="str">
        <f>IF(OR($B79="",_自动清单!$U$5=""),"",SUMIFS(周转筐出入库明细!$K$4:$K$2004,周转筐出入库明细!$C$4:$C$2004,$B79,周转筐出入库明细!$D$4:$D$2004,_自动清单!$U$5,周转筐出入库明细!$B$4:$B$2004,"&gt;="&amp;$P$1,周转筐出入库明细!$B$4:$B$2004,"&lt;="&amp;$P$2))</f>
        <v/>
      </c>
      <c r="E79" s="25" t="str">
        <f>IF(OR($B79="",_自动清单!$U$6=""),"",SUMIFS(周转筐出入库明细!$K$4:$K$2004,周转筐出入库明细!$C$4:$C$2004,$B79,周转筐出入库明细!$D$4:$D$2004,_自动清单!$U$6,周转筐出入库明细!$B$4:$B$2004,"&gt;="&amp;$P$1,周转筐出入库明细!$B$4:$B$2004,"&lt;="&amp;$P$2))</f>
        <v/>
      </c>
      <c r="F79" s="25" t="str">
        <f>IF(OR($B79="",_自动清单!$U$7=""),"",SUMIFS(周转筐出入库明细!$K$4:$K$2004,周转筐出入库明细!$C$4:$C$2004,$B79,周转筐出入库明细!$D$4:$D$2004,_自动清单!$U$7,周转筐出入库明细!$B$4:$B$2004,"&gt;="&amp;$P$1,周转筐出入库明细!$B$4:$B$2004,"&lt;="&amp;$P$2))</f>
        <v/>
      </c>
      <c r="G79" s="25" t="str">
        <f>IF($B79="","",SUMIFS(周转筐出入库明细!$K$4:$K$2004,周转筐出入库明细!$C$4:$C$2004,$B79,周转筐出入库明细!$B$4:$B$2004,"&gt;="&amp;$P$1,周转筐出入库明细!$B$4:$B$2004,"&lt;="&amp;$P$2)-SUM($C79:$F79))</f>
        <v/>
      </c>
      <c r="H79" s="25" t="str">
        <f t="shared" si="4"/>
        <v/>
      </c>
      <c r="I79" s="26" t="str">
        <f>IF($B79="","",ROUND(SUMIFS(周转筐出入库明细!$P$4:$P$2004,周转筐出入库明细!$C$4:$C$2004,$B79,周转筐出入库明细!$F$4:$F$2004,"销售出库",周转筐出入库明细!$B$4:$B$2004,"&gt;="&amp;$P$1,周转筐出入库明细!$B$4:$B$2004,"&lt;="&amp;$P$2),2))</f>
        <v/>
      </c>
      <c r="J79" s="26" t="str">
        <f>IF($B79="","",ROUND(SUMIFS(周转筐出入库明细!$P$4:$P$2004,周转筐出入库明细!$C$4:$C$2004,$B79,周转筐出入库明细!$F$4:$F$2004,"销售出库",周转筐出入库明细!$Q$4:$Q$2004,"已收讫",周转筐出入库明细!$B$4:$B$2004,"&gt;="&amp;$P$1,周转筐出入库明细!$B$4:$B$2004,"&lt;="&amp;$P$2),2))</f>
        <v/>
      </c>
      <c r="K79" s="26" t="str">
        <f t="shared" si="5"/>
        <v/>
      </c>
      <c r="L79" s="41"/>
    </row>
    <row r="80" spans="1:12">
      <c r="A80" s="24" t="str">
        <f t="shared" si="3"/>
        <v/>
      </c>
      <c r="B80" s="24" t="str">
        <f>IFERROR(INDEX(_自动清单!$AA$4:$AA$203,ROW()-3),"")</f>
        <v/>
      </c>
      <c r="C80" s="25" t="str">
        <f>IF(OR($B80="",_自动清单!$U$4=""),"",SUMIFS(周转筐出入库明细!$K$4:$K$2004,周转筐出入库明细!$C$4:$C$2004,$B80,周转筐出入库明细!$D$4:$D$2004,_自动清单!$U$4,周转筐出入库明细!$B$4:$B$2004,"&gt;="&amp;$P$1,周转筐出入库明细!$B$4:$B$2004,"&lt;="&amp;$P$2))</f>
        <v/>
      </c>
      <c r="D80" s="25" t="str">
        <f>IF(OR($B80="",_自动清单!$U$5=""),"",SUMIFS(周转筐出入库明细!$K$4:$K$2004,周转筐出入库明细!$C$4:$C$2004,$B80,周转筐出入库明细!$D$4:$D$2004,_自动清单!$U$5,周转筐出入库明细!$B$4:$B$2004,"&gt;="&amp;$P$1,周转筐出入库明细!$B$4:$B$2004,"&lt;="&amp;$P$2))</f>
        <v/>
      </c>
      <c r="E80" s="25" t="str">
        <f>IF(OR($B80="",_自动清单!$U$6=""),"",SUMIFS(周转筐出入库明细!$K$4:$K$2004,周转筐出入库明细!$C$4:$C$2004,$B80,周转筐出入库明细!$D$4:$D$2004,_自动清单!$U$6,周转筐出入库明细!$B$4:$B$2004,"&gt;="&amp;$P$1,周转筐出入库明细!$B$4:$B$2004,"&lt;="&amp;$P$2))</f>
        <v/>
      </c>
      <c r="F80" s="25" t="str">
        <f>IF(OR($B80="",_自动清单!$U$7=""),"",SUMIFS(周转筐出入库明细!$K$4:$K$2004,周转筐出入库明细!$C$4:$C$2004,$B80,周转筐出入库明细!$D$4:$D$2004,_自动清单!$U$7,周转筐出入库明细!$B$4:$B$2004,"&gt;="&amp;$P$1,周转筐出入库明细!$B$4:$B$2004,"&lt;="&amp;$P$2))</f>
        <v/>
      </c>
      <c r="G80" s="25" t="str">
        <f>IF($B80="","",SUMIFS(周转筐出入库明细!$K$4:$K$2004,周转筐出入库明细!$C$4:$C$2004,$B80,周转筐出入库明细!$B$4:$B$2004,"&gt;="&amp;$P$1,周转筐出入库明细!$B$4:$B$2004,"&lt;="&amp;$P$2)-SUM($C80:$F80))</f>
        <v/>
      </c>
      <c r="H80" s="25" t="str">
        <f t="shared" si="4"/>
        <v/>
      </c>
      <c r="I80" s="26" t="str">
        <f>IF($B80="","",ROUND(SUMIFS(周转筐出入库明细!$P$4:$P$2004,周转筐出入库明细!$C$4:$C$2004,$B80,周转筐出入库明细!$F$4:$F$2004,"销售出库",周转筐出入库明细!$B$4:$B$2004,"&gt;="&amp;$P$1,周转筐出入库明细!$B$4:$B$2004,"&lt;="&amp;$P$2),2))</f>
        <v/>
      </c>
      <c r="J80" s="26" t="str">
        <f>IF($B80="","",ROUND(SUMIFS(周转筐出入库明细!$P$4:$P$2004,周转筐出入库明细!$C$4:$C$2004,$B80,周转筐出入库明细!$F$4:$F$2004,"销售出库",周转筐出入库明细!$Q$4:$Q$2004,"已收讫",周转筐出入库明细!$B$4:$B$2004,"&gt;="&amp;$P$1,周转筐出入库明细!$B$4:$B$2004,"&lt;="&amp;$P$2),2))</f>
        <v/>
      </c>
      <c r="K80" s="26" t="str">
        <f t="shared" si="5"/>
        <v/>
      </c>
      <c r="L80" s="41"/>
    </row>
    <row r="81" spans="1:12">
      <c r="A81" s="24" t="str">
        <f t="shared" si="3"/>
        <v/>
      </c>
      <c r="B81" s="24" t="str">
        <f>IFERROR(INDEX(_自动清单!$AA$4:$AA$203,ROW()-3),"")</f>
        <v/>
      </c>
      <c r="C81" s="25" t="str">
        <f>IF(OR($B81="",_自动清单!$U$4=""),"",SUMIFS(周转筐出入库明细!$K$4:$K$2004,周转筐出入库明细!$C$4:$C$2004,$B81,周转筐出入库明细!$D$4:$D$2004,_自动清单!$U$4,周转筐出入库明细!$B$4:$B$2004,"&gt;="&amp;$P$1,周转筐出入库明细!$B$4:$B$2004,"&lt;="&amp;$P$2))</f>
        <v/>
      </c>
      <c r="D81" s="25" t="str">
        <f>IF(OR($B81="",_自动清单!$U$5=""),"",SUMIFS(周转筐出入库明细!$K$4:$K$2004,周转筐出入库明细!$C$4:$C$2004,$B81,周转筐出入库明细!$D$4:$D$2004,_自动清单!$U$5,周转筐出入库明细!$B$4:$B$2004,"&gt;="&amp;$P$1,周转筐出入库明细!$B$4:$B$2004,"&lt;="&amp;$P$2))</f>
        <v/>
      </c>
      <c r="E81" s="25" t="str">
        <f>IF(OR($B81="",_自动清单!$U$6=""),"",SUMIFS(周转筐出入库明细!$K$4:$K$2004,周转筐出入库明细!$C$4:$C$2004,$B81,周转筐出入库明细!$D$4:$D$2004,_自动清单!$U$6,周转筐出入库明细!$B$4:$B$2004,"&gt;="&amp;$P$1,周转筐出入库明细!$B$4:$B$2004,"&lt;="&amp;$P$2))</f>
        <v/>
      </c>
      <c r="F81" s="25" t="str">
        <f>IF(OR($B81="",_自动清单!$U$7=""),"",SUMIFS(周转筐出入库明细!$K$4:$K$2004,周转筐出入库明细!$C$4:$C$2004,$B81,周转筐出入库明细!$D$4:$D$2004,_自动清单!$U$7,周转筐出入库明细!$B$4:$B$2004,"&gt;="&amp;$P$1,周转筐出入库明细!$B$4:$B$2004,"&lt;="&amp;$P$2))</f>
        <v/>
      </c>
      <c r="G81" s="25" t="str">
        <f>IF($B81="","",SUMIFS(周转筐出入库明细!$K$4:$K$2004,周转筐出入库明细!$C$4:$C$2004,$B81,周转筐出入库明细!$B$4:$B$2004,"&gt;="&amp;$P$1,周转筐出入库明细!$B$4:$B$2004,"&lt;="&amp;$P$2)-SUM($C81:$F81))</f>
        <v/>
      </c>
      <c r="H81" s="25" t="str">
        <f t="shared" si="4"/>
        <v/>
      </c>
      <c r="I81" s="26" t="str">
        <f>IF($B81="","",ROUND(SUMIFS(周转筐出入库明细!$P$4:$P$2004,周转筐出入库明细!$C$4:$C$2004,$B81,周转筐出入库明细!$F$4:$F$2004,"销售出库",周转筐出入库明细!$B$4:$B$2004,"&gt;="&amp;$P$1,周转筐出入库明细!$B$4:$B$2004,"&lt;="&amp;$P$2),2))</f>
        <v/>
      </c>
      <c r="J81" s="26" t="str">
        <f>IF($B81="","",ROUND(SUMIFS(周转筐出入库明细!$P$4:$P$2004,周转筐出入库明细!$C$4:$C$2004,$B81,周转筐出入库明细!$F$4:$F$2004,"销售出库",周转筐出入库明细!$Q$4:$Q$2004,"已收讫",周转筐出入库明细!$B$4:$B$2004,"&gt;="&amp;$P$1,周转筐出入库明细!$B$4:$B$2004,"&lt;="&amp;$P$2),2))</f>
        <v/>
      </c>
      <c r="K81" s="26" t="str">
        <f t="shared" si="5"/>
        <v/>
      </c>
      <c r="L81" s="41"/>
    </row>
    <row r="82" spans="1:12">
      <c r="A82" s="24" t="str">
        <f t="shared" si="3"/>
        <v/>
      </c>
      <c r="B82" s="24" t="str">
        <f>IFERROR(INDEX(_自动清单!$AA$4:$AA$203,ROW()-3),"")</f>
        <v/>
      </c>
      <c r="C82" s="25" t="str">
        <f>IF(OR($B82="",_自动清单!$U$4=""),"",SUMIFS(周转筐出入库明细!$K$4:$K$2004,周转筐出入库明细!$C$4:$C$2004,$B82,周转筐出入库明细!$D$4:$D$2004,_自动清单!$U$4,周转筐出入库明细!$B$4:$B$2004,"&gt;="&amp;$P$1,周转筐出入库明细!$B$4:$B$2004,"&lt;="&amp;$P$2))</f>
        <v/>
      </c>
      <c r="D82" s="25" t="str">
        <f>IF(OR($B82="",_自动清单!$U$5=""),"",SUMIFS(周转筐出入库明细!$K$4:$K$2004,周转筐出入库明细!$C$4:$C$2004,$B82,周转筐出入库明细!$D$4:$D$2004,_自动清单!$U$5,周转筐出入库明细!$B$4:$B$2004,"&gt;="&amp;$P$1,周转筐出入库明细!$B$4:$B$2004,"&lt;="&amp;$P$2))</f>
        <v/>
      </c>
      <c r="E82" s="25" t="str">
        <f>IF(OR($B82="",_自动清单!$U$6=""),"",SUMIFS(周转筐出入库明细!$K$4:$K$2004,周转筐出入库明细!$C$4:$C$2004,$B82,周转筐出入库明细!$D$4:$D$2004,_自动清单!$U$6,周转筐出入库明细!$B$4:$B$2004,"&gt;="&amp;$P$1,周转筐出入库明细!$B$4:$B$2004,"&lt;="&amp;$P$2))</f>
        <v/>
      </c>
      <c r="F82" s="25" t="str">
        <f>IF(OR($B82="",_自动清单!$U$7=""),"",SUMIFS(周转筐出入库明细!$K$4:$K$2004,周转筐出入库明细!$C$4:$C$2004,$B82,周转筐出入库明细!$D$4:$D$2004,_自动清单!$U$7,周转筐出入库明细!$B$4:$B$2004,"&gt;="&amp;$P$1,周转筐出入库明细!$B$4:$B$2004,"&lt;="&amp;$P$2))</f>
        <v/>
      </c>
      <c r="G82" s="25" t="str">
        <f>IF($B82="","",SUMIFS(周转筐出入库明细!$K$4:$K$2004,周转筐出入库明细!$C$4:$C$2004,$B82,周转筐出入库明细!$B$4:$B$2004,"&gt;="&amp;$P$1,周转筐出入库明细!$B$4:$B$2004,"&lt;="&amp;$P$2)-SUM($C82:$F82))</f>
        <v/>
      </c>
      <c r="H82" s="25" t="str">
        <f t="shared" si="4"/>
        <v/>
      </c>
      <c r="I82" s="26" t="str">
        <f>IF($B82="","",ROUND(SUMIFS(周转筐出入库明细!$P$4:$P$2004,周转筐出入库明细!$C$4:$C$2004,$B82,周转筐出入库明细!$F$4:$F$2004,"销售出库",周转筐出入库明细!$B$4:$B$2004,"&gt;="&amp;$P$1,周转筐出入库明细!$B$4:$B$2004,"&lt;="&amp;$P$2),2))</f>
        <v/>
      </c>
      <c r="J82" s="26" t="str">
        <f>IF($B82="","",ROUND(SUMIFS(周转筐出入库明细!$P$4:$P$2004,周转筐出入库明细!$C$4:$C$2004,$B82,周转筐出入库明细!$F$4:$F$2004,"销售出库",周转筐出入库明细!$Q$4:$Q$2004,"已收讫",周转筐出入库明细!$B$4:$B$2004,"&gt;="&amp;$P$1,周转筐出入库明细!$B$4:$B$2004,"&lt;="&amp;$P$2),2))</f>
        <v/>
      </c>
      <c r="K82" s="26" t="str">
        <f t="shared" si="5"/>
        <v/>
      </c>
      <c r="L82" s="41"/>
    </row>
    <row r="83" spans="1:12">
      <c r="A83" s="24" t="str">
        <f t="shared" si="3"/>
        <v/>
      </c>
      <c r="B83" s="24" t="str">
        <f>IFERROR(INDEX(_自动清单!$AA$4:$AA$203,ROW()-3),"")</f>
        <v/>
      </c>
      <c r="C83" s="25" t="str">
        <f>IF(OR($B83="",_自动清单!$U$4=""),"",SUMIFS(周转筐出入库明细!$K$4:$K$2004,周转筐出入库明细!$C$4:$C$2004,$B83,周转筐出入库明细!$D$4:$D$2004,_自动清单!$U$4,周转筐出入库明细!$B$4:$B$2004,"&gt;="&amp;$P$1,周转筐出入库明细!$B$4:$B$2004,"&lt;="&amp;$P$2))</f>
        <v/>
      </c>
      <c r="D83" s="25" t="str">
        <f>IF(OR($B83="",_自动清单!$U$5=""),"",SUMIFS(周转筐出入库明细!$K$4:$K$2004,周转筐出入库明细!$C$4:$C$2004,$B83,周转筐出入库明细!$D$4:$D$2004,_自动清单!$U$5,周转筐出入库明细!$B$4:$B$2004,"&gt;="&amp;$P$1,周转筐出入库明细!$B$4:$B$2004,"&lt;="&amp;$P$2))</f>
        <v/>
      </c>
      <c r="E83" s="25" t="str">
        <f>IF(OR($B83="",_自动清单!$U$6=""),"",SUMIFS(周转筐出入库明细!$K$4:$K$2004,周转筐出入库明细!$C$4:$C$2004,$B83,周转筐出入库明细!$D$4:$D$2004,_自动清单!$U$6,周转筐出入库明细!$B$4:$B$2004,"&gt;="&amp;$P$1,周转筐出入库明细!$B$4:$B$2004,"&lt;="&amp;$P$2))</f>
        <v/>
      </c>
      <c r="F83" s="25" t="str">
        <f>IF(OR($B83="",_自动清单!$U$7=""),"",SUMIFS(周转筐出入库明细!$K$4:$K$2004,周转筐出入库明细!$C$4:$C$2004,$B83,周转筐出入库明细!$D$4:$D$2004,_自动清单!$U$7,周转筐出入库明细!$B$4:$B$2004,"&gt;="&amp;$P$1,周转筐出入库明细!$B$4:$B$2004,"&lt;="&amp;$P$2))</f>
        <v/>
      </c>
      <c r="G83" s="25" t="str">
        <f>IF($B83="","",SUMIFS(周转筐出入库明细!$K$4:$K$2004,周转筐出入库明细!$C$4:$C$2004,$B83,周转筐出入库明细!$B$4:$B$2004,"&gt;="&amp;$P$1,周转筐出入库明细!$B$4:$B$2004,"&lt;="&amp;$P$2)-SUM($C83:$F83))</f>
        <v/>
      </c>
      <c r="H83" s="25" t="str">
        <f t="shared" si="4"/>
        <v/>
      </c>
      <c r="I83" s="26" t="str">
        <f>IF($B83="","",ROUND(SUMIFS(周转筐出入库明细!$P$4:$P$2004,周转筐出入库明细!$C$4:$C$2004,$B83,周转筐出入库明细!$F$4:$F$2004,"销售出库",周转筐出入库明细!$B$4:$B$2004,"&gt;="&amp;$P$1,周转筐出入库明细!$B$4:$B$2004,"&lt;="&amp;$P$2),2))</f>
        <v/>
      </c>
      <c r="J83" s="26" t="str">
        <f>IF($B83="","",ROUND(SUMIFS(周转筐出入库明细!$P$4:$P$2004,周转筐出入库明细!$C$4:$C$2004,$B83,周转筐出入库明细!$F$4:$F$2004,"销售出库",周转筐出入库明细!$Q$4:$Q$2004,"已收讫",周转筐出入库明细!$B$4:$B$2004,"&gt;="&amp;$P$1,周转筐出入库明细!$B$4:$B$2004,"&lt;="&amp;$P$2),2))</f>
        <v/>
      </c>
      <c r="K83" s="26" t="str">
        <f t="shared" si="5"/>
        <v/>
      </c>
      <c r="L83" s="41"/>
    </row>
    <row r="84" spans="1:12">
      <c r="A84" s="24" t="str">
        <f t="shared" si="3"/>
        <v/>
      </c>
      <c r="B84" s="24" t="str">
        <f>IFERROR(INDEX(_自动清单!$AA$4:$AA$203,ROW()-3),"")</f>
        <v/>
      </c>
      <c r="C84" s="25" t="str">
        <f>IF(OR($B84="",_自动清单!$U$4=""),"",SUMIFS(周转筐出入库明细!$K$4:$K$2004,周转筐出入库明细!$C$4:$C$2004,$B84,周转筐出入库明细!$D$4:$D$2004,_自动清单!$U$4,周转筐出入库明细!$B$4:$B$2004,"&gt;="&amp;$P$1,周转筐出入库明细!$B$4:$B$2004,"&lt;="&amp;$P$2))</f>
        <v/>
      </c>
      <c r="D84" s="25" t="str">
        <f>IF(OR($B84="",_自动清单!$U$5=""),"",SUMIFS(周转筐出入库明细!$K$4:$K$2004,周转筐出入库明细!$C$4:$C$2004,$B84,周转筐出入库明细!$D$4:$D$2004,_自动清单!$U$5,周转筐出入库明细!$B$4:$B$2004,"&gt;="&amp;$P$1,周转筐出入库明细!$B$4:$B$2004,"&lt;="&amp;$P$2))</f>
        <v/>
      </c>
      <c r="E84" s="25" t="str">
        <f>IF(OR($B84="",_自动清单!$U$6=""),"",SUMIFS(周转筐出入库明细!$K$4:$K$2004,周转筐出入库明细!$C$4:$C$2004,$B84,周转筐出入库明细!$D$4:$D$2004,_自动清单!$U$6,周转筐出入库明细!$B$4:$B$2004,"&gt;="&amp;$P$1,周转筐出入库明细!$B$4:$B$2004,"&lt;="&amp;$P$2))</f>
        <v/>
      </c>
      <c r="F84" s="25" t="str">
        <f>IF(OR($B84="",_自动清单!$U$7=""),"",SUMIFS(周转筐出入库明细!$K$4:$K$2004,周转筐出入库明细!$C$4:$C$2004,$B84,周转筐出入库明细!$D$4:$D$2004,_自动清单!$U$7,周转筐出入库明细!$B$4:$B$2004,"&gt;="&amp;$P$1,周转筐出入库明细!$B$4:$B$2004,"&lt;="&amp;$P$2))</f>
        <v/>
      </c>
      <c r="G84" s="25" t="str">
        <f>IF($B84="","",SUMIFS(周转筐出入库明细!$K$4:$K$2004,周转筐出入库明细!$C$4:$C$2004,$B84,周转筐出入库明细!$B$4:$B$2004,"&gt;="&amp;$P$1,周转筐出入库明细!$B$4:$B$2004,"&lt;="&amp;$P$2)-SUM($C84:$F84))</f>
        <v/>
      </c>
      <c r="H84" s="25" t="str">
        <f t="shared" si="4"/>
        <v/>
      </c>
      <c r="I84" s="26" t="str">
        <f>IF($B84="","",ROUND(SUMIFS(周转筐出入库明细!$P$4:$P$2004,周转筐出入库明细!$C$4:$C$2004,$B84,周转筐出入库明细!$F$4:$F$2004,"销售出库",周转筐出入库明细!$B$4:$B$2004,"&gt;="&amp;$P$1,周转筐出入库明细!$B$4:$B$2004,"&lt;="&amp;$P$2),2))</f>
        <v/>
      </c>
      <c r="J84" s="26" t="str">
        <f>IF($B84="","",ROUND(SUMIFS(周转筐出入库明细!$P$4:$P$2004,周转筐出入库明细!$C$4:$C$2004,$B84,周转筐出入库明细!$F$4:$F$2004,"销售出库",周转筐出入库明细!$Q$4:$Q$2004,"已收讫",周转筐出入库明细!$B$4:$B$2004,"&gt;="&amp;$P$1,周转筐出入库明细!$B$4:$B$2004,"&lt;="&amp;$P$2),2))</f>
        <v/>
      </c>
      <c r="K84" s="26" t="str">
        <f t="shared" si="5"/>
        <v/>
      </c>
      <c r="L84" s="41"/>
    </row>
    <row r="85" spans="1:12">
      <c r="A85" s="24" t="str">
        <f t="shared" si="3"/>
        <v/>
      </c>
      <c r="B85" s="24" t="str">
        <f>IFERROR(INDEX(_自动清单!$AA$4:$AA$203,ROW()-3),"")</f>
        <v/>
      </c>
      <c r="C85" s="25" t="str">
        <f>IF(OR($B85="",_自动清单!$U$4=""),"",SUMIFS(周转筐出入库明细!$K$4:$K$2004,周转筐出入库明细!$C$4:$C$2004,$B85,周转筐出入库明细!$D$4:$D$2004,_自动清单!$U$4,周转筐出入库明细!$B$4:$B$2004,"&gt;="&amp;$P$1,周转筐出入库明细!$B$4:$B$2004,"&lt;="&amp;$P$2))</f>
        <v/>
      </c>
      <c r="D85" s="25" t="str">
        <f>IF(OR($B85="",_自动清单!$U$5=""),"",SUMIFS(周转筐出入库明细!$K$4:$K$2004,周转筐出入库明细!$C$4:$C$2004,$B85,周转筐出入库明细!$D$4:$D$2004,_自动清单!$U$5,周转筐出入库明细!$B$4:$B$2004,"&gt;="&amp;$P$1,周转筐出入库明细!$B$4:$B$2004,"&lt;="&amp;$P$2))</f>
        <v/>
      </c>
      <c r="E85" s="25" t="str">
        <f>IF(OR($B85="",_自动清单!$U$6=""),"",SUMIFS(周转筐出入库明细!$K$4:$K$2004,周转筐出入库明细!$C$4:$C$2004,$B85,周转筐出入库明细!$D$4:$D$2004,_自动清单!$U$6,周转筐出入库明细!$B$4:$B$2004,"&gt;="&amp;$P$1,周转筐出入库明细!$B$4:$B$2004,"&lt;="&amp;$P$2))</f>
        <v/>
      </c>
      <c r="F85" s="25" t="str">
        <f>IF(OR($B85="",_自动清单!$U$7=""),"",SUMIFS(周转筐出入库明细!$K$4:$K$2004,周转筐出入库明细!$C$4:$C$2004,$B85,周转筐出入库明细!$D$4:$D$2004,_自动清单!$U$7,周转筐出入库明细!$B$4:$B$2004,"&gt;="&amp;$P$1,周转筐出入库明细!$B$4:$B$2004,"&lt;="&amp;$P$2))</f>
        <v/>
      </c>
      <c r="G85" s="25" t="str">
        <f>IF($B85="","",SUMIFS(周转筐出入库明细!$K$4:$K$2004,周转筐出入库明细!$C$4:$C$2004,$B85,周转筐出入库明细!$B$4:$B$2004,"&gt;="&amp;$P$1,周转筐出入库明细!$B$4:$B$2004,"&lt;="&amp;$P$2)-SUM($C85:$F85))</f>
        <v/>
      </c>
      <c r="H85" s="25" t="str">
        <f t="shared" si="4"/>
        <v/>
      </c>
      <c r="I85" s="26" t="str">
        <f>IF($B85="","",ROUND(SUMIFS(周转筐出入库明细!$P$4:$P$2004,周转筐出入库明细!$C$4:$C$2004,$B85,周转筐出入库明细!$F$4:$F$2004,"销售出库",周转筐出入库明细!$B$4:$B$2004,"&gt;="&amp;$P$1,周转筐出入库明细!$B$4:$B$2004,"&lt;="&amp;$P$2),2))</f>
        <v/>
      </c>
      <c r="J85" s="26" t="str">
        <f>IF($B85="","",ROUND(SUMIFS(周转筐出入库明细!$P$4:$P$2004,周转筐出入库明细!$C$4:$C$2004,$B85,周转筐出入库明细!$F$4:$F$2004,"销售出库",周转筐出入库明细!$Q$4:$Q$2004,"已收讫",周转筐出入库明细!$B$4:$B$2004,"&gt;="&amp;$P$1,周转筐出入库明细!$B$4:$B$2004,"&lt;="&amp;$P$2),2))</f>
        <v/>
      </c>
      <c r="K85" s="26" t="str">
        <f t="shared" si="5"/>
        <v/>
      </c>
      <c r="L85" s="41"/>
    </row>
    <row r="86" spans="1:12">
      <c r="A86" s="24" t="str">
        <f t="shared" si="3"/>
        <v/>
      </c>
      <c r="B86" s="24" t="str">
        <f>IFERROR(INDEX(_自动清单!$AA$4:$AA$203,ROW()-3),"")</f>
        <v/>
      </c>
      <c r="C86" s="25" t="str">
        <f>IF(OR($B86="",_自动清单!$U$4=""),"",SUMIFS(周转筐出入库明细!$K$4:$K$2004,周转筐出入库明细!$C$4:$C$2004,$B86,周转筐出入库明细!$D$4:$D$2004,_自动清单!$U$4,周转筐出入库明细!$B$4:$B$2004,"&gt;="&amp;$P$1,周转筐出入库明细!$B$4:$B$2004,"&lt;="&amp;$P$2))</f>
        <v/>
      </c>
      <c r="D86" s="25" t="str">
        <f>IF(OR($B86="",_自动清单!$U$5=""),"",SUMIFS(周转筐出入库明细!$K$4:$K$2004,周转筐出入库明细!$C$4:$C$2004,$B86,周转筐出入库明细!$D$4:$D$2004,_自动清单!$U$5,周转筐出入库明细!$B$4:$B$2004,"&gt;="&amp;$P$1,周转筐出入库明细!$B$4:$B$2004,"&lt;="&amp;$P$2))</f>
        <v/>
      </c>
      <c r="E86" s="25" t="str">
        <f>IF(OR($B86="",_自动清单!$U$6=""),"",SUMIFS(周转筐出入库明细!$K$4:$K$2004,周转筐出入库明细!$C$4:$C$2004,$B86,周转筐出入库明细!$D$4:$D$2004,_自动清单!$U$6,周转筐出入库明细!$B$4:$B$2004,"&gt;="&amp;$P$1,周转筐出入库明细!$B$4:$B$2004,"&lt;="&amp;$P$2))</f>
        <v/>
      </c>
      <c r="F86" s="25" t="str">
        <f>IF(OR($B86="",_自动清单!$U$7=""),"",SUMIFS(周转筐出入库明细!$K$4:$K$2004,周转筐出入库明细!$C$4:$C$2004,$B86,周转筐出入库明细!$D$4:$D$2004,_自动清单!$U$7,周转筐出入库明细!$B$4:$B$2004,"&gt;="&amp;$P$1,周转筐出入库明细!$B$4:$B$2004,"&lt;="&amp;$P$2))</f>
        <v/>
      </c>
      <c r="G86" s="25" t="str">
        <f>IF($B86="","",SUMIFS(周转筐出入库明细!$K$4:$K$2004,周转筐出入库明细!$C$4:$C$2004,$B86,周转筐出入库明细!$B$4:$B$2004,"&gt;="&amp;$P$1,周转筐出入库明细!$B$4:$B$2004,"&lt;="&amp;$P$2)-SUM($C86:$F86))</f>
        <v/>
      </c>
      <c r="H86" s="25" t="str">
        <f t="shared" si="4"/>
        <v/>
      </c>
      <c r="I86" s="26" t="str">
        <f>IF($B86="","",ROUND(SUMIFS(周转筐出入库明细!$P$4:$P$2004,周转筐出入库明细!$C$4:$C$2004,$B86,周转筐出入库明细!$F$4:$F$2004,"销售出库",周转筐出入库明细!$B$4:$B$2004,"&gt;="&amp;$P$1,周转筐出入库明细!$B$4:$B$2004,"&lt;="&amp;$P$2),2))</f>
        <v/>
      </c>
      <c r="J86" s="26" t="str">
        <f>IF($B86="","",ROUND(SUMIFS(周转筐出入库明细!$P$4:$P$2004,周转筐出入库明细!$C$4:$C$2004,$B86,周转筐出入库明细!$F$4:$F$2004,"销售出库",周转筐出入库明细!$Q$4:$Q$2004,"已收讫",周转筐出入库明细!$B$4:$B$2004,"&gt;="&amp;$P$1,周转筐出入库明细!$B$4:$B$2004,"&lt;="&amp;$P$2),2))</f>
        <v/>
      </c>
      <c r="K86" s="26" t="str">
        <f t="shared" si="5"/>
        <v/>
      </c>
      <c r="L86" s="41"/>
    </row>
    <row r="87" spans="1:12">
      <c r="A87" s="24" t="str">
        <f t="shared" si="3"/>
        <v/>
      </c>
      <c r="B87" s="24" t="str">
        <f>IFERROR(INDEX(_自动清单!$AA$4:$AA$203,ROW()-3),"")</f>
        <v/>
      </c>
      <c r="C87" s="25" t="str">
        <f>IF(OR($B87="",_自动清单!$U$4=""),"",SUMIFS(周转筐出入库明细!$K$4:$K$2004,周转筐出入库明细!$C$4:$C$2004,$B87,周转筐出入库明细!$D$4:$D$2004,_自动清单!$U$4,周转筐出入库明细!$B$4:$B$2004,"&gt;="&amp;$P$1,周转筐出入库明细!$B$4:$B$2004,"&lt;="&amp;$P$2))</f>
        <v/>
      </c>
      <c r="D87" s="25" t="str">
        <f>IF(OR($B87="",_自动清单!$U$5=""),"",SUMIFS(周转筐出入库明细!$K$4:$K$2004,周转筐出入库明细!$C$4:$C$2004,$B87,周转筐出入库明细!$D$4:$D$2004,_自动清单!$U$5,周转筐出入库明细!$B$4:$B$2004,"&gt;="&amp;$P$1,周转筐出入库明细!$B$4:$B$2004,"&lt;="&amp;$P$2))</f>
        <v/>
      </c>
      <c r="E87" s="25" t="str">
        <f>IF(OR($B87="",_自动清单!$U$6=""),"",SUMIFS(周转筐出入库明细!$K$4:$K$2004,周转筐出入库明细!$C$4:$C$2004,$B87,周转筐出入库明细!$D$4:$D$2004,_自动清单!$U$6,周转筐出入库明细!$B$4:$B$2004,"&gt;="&amp;$P$1,周转筐出入库明细!$B$4:$B$2004,"&lt;="&amp;$P$2))</f>
        <v/>
      </c>
      <c r="F87" s="25" t="str">
        <f>IF(OR($B87="",_自动清单!$U$7=""),"",SUMIFS(周转筐出入库明细!$K$4:$K$2004,周转筐出入库明细!$C$4:$C$2004,$B87,周转筐出入库明细!$D$4:$D$2004,_自动清单!$U$7,周转筐出入库明细!$B$4:$B$2004,"&gt;="&amp;$P$1,周转筐出入库明细!$B$4:$B$2004,"&lt;="&amp;$P$2))</f>
        <v/>
      </c>
      <c r="G87" s="25" t="str">
        <f>IF($B87="","",SUMIFS(周转筐出入库明细!$K$4:$K$2004,周转筐出入库明细!$C$4:$C$2004,$B87,周转筐出入库明细!$B$4:$B$2004,"&gt;="&amp;$P$1,周转筐出入库明细!$B$4:$B$2004,"&lt;="&amp;$P$2)-SUM($C87:$F87))</f>
        <v/>
      </c>
      <c r="H87" s="25" t="str">
        <f t="shared" si="4"/>
        <v/>
      </c>
      <c r="I87" s="26" t="str">
        <f>IF($B87="","",ROUND(SUMIFS(周转筐出入库明细!$P$4:$P$2004,周转筐出入库明细!$C$4:$C$2004,$B87,周转筐出入库明细!$F$4:$F$2004,"销售出库",周转筐出入库明细!$B$4:$B$2004,"&gt;="&amp;$P$1,周转筐出入库明细!$B$4:$B$2004,"&lt;="&amp;$P$2),2))</f>
        <v/>
      </c>
      <c r="J87" s="26" t="str">
        <f>IF($B87="","",ROUND(SUMIFS(周转筐出入库明细!$P$4:$P$2004,周转筐出入库明细!$C$4:$C$2004,$B87,周转筐出入库明细!$F$4:$F$2004,"销售出库",周转筐出入库明细!$Q$4:$Q$2004,"已收讫",周转筐出入库明细!$B$4:$B$2004,"&gt;="&amp;$P$1,周转筐出入库明细!$B$4:$B$2004,"&lt;="&amp;$P$2),2))</f>
        <v/>
      </c>
      <c r="K87" s="26" t="str">
        <f t="shared" si="5"/>
        <v/>
      </c>
      <c r="L87" s="41"/>
    </row>
    <row r="88" spans="1:12">
      <c r="A88" s="24" t="str">
        <f t="shared" si="3"/>
        <v/>
      </c>
      <c r="B88" s="24" t="str">
        <f>IFERROR(INDEX(_自动清单!$AA$4:$AA$203,ROW()-3),"")</f>
        <v/>
      </c>
      <c r="C88" s="25" t="str">
        <f>IF(OR($B88="",_自动清单!$U$4=""),"",SUMIFS(周转筐出入库明细!$K$4:$K$2004,周转筐出入库明细!$C$4:$C$2004,$B88,周转筐出入库明细!$D$4:$D$2004,_自动清单!$U$4,周转筐出入库明细!$B$4:$B$2004,"&gt;="&amp;$P$1,周转筐出入库明细!$B$4:$B$2004,"&lt;="&amp;$P$2))</f>
        <v/>
      </c>
      <c r="D88" s="25" t="str">
        <f>IF(OR($B88="",_自动清单!$U$5=""),"",SUMIFS(周转筐出入库明细!$K$4:$K$2004,周转筐出入库明细!$C$4:$C$2004,$B88,周转筐出入库明细!$D$4:$D$2004,_自动清单!$U$5,周转筐出入库明细!$B$4:$B$2004,"&gt;="&amp;$P$1,周转筐出入库明细!$B$4:$B$2004,"&lt;="&amp;$P$2))</f>
        <v/>
      </c>
      <c r="E88" s="25" t="str">
        <f>IF(OR($B88="",_自动清单!$U$6=""),"",SUMIFS(周转筐出入库明细!$K$4:$K$2004,周转筐出入库明细!$C$4:$C$2004,$B88,周转筐出入库明细!$D$4:$D$2004,_自动清单!$U$6,周转筐出入库明细!$B$4:$B$2004,"&gt;="&amp;$P$1,周转筐出入库明细!$B$4:$B$2004,"&lt;="&amp;$P$2))</f>
        <v/>
      </c>
      <c r="F88" s="25" t="str">
        <f>IF(OR($B88="",_自动清单!$U$7=""),"",SUMIFS(周转筐出入库明细!$K$4:$K$2004,周转筐出入库明细!$C$4:$C$2004,$B88,周转筐出入库明细!$D$4:$D$2004,_自动清单!$U$7,周转筐出入库明细!$B$4:$B$2004,"&gt;="&amp;$P$1,周转筐出入库明细!$B$4:$B$2004,"&lt;="&amp;$P$2))</f>
        <v/>
      </c>
      <c r="G88" s="25" t="str">
        <f>IF($B88="","",SUMIFS(周转筐出入库明细!$K$4:$K$2004,周转筐出入库明细!$C$4:$C$2004,$B88,周转筐出入库明细!$B$4:$B$2004,"&gt;="&amp;$P$1,周转筐出入库明细!$B$4:$B$2004,"&lt;="&amp;$P$2)-SUM($C88:$F88))</f>
        <v/>
      </c>
      <c r="H88" s="25" t="str">
        <f t="shared" si="4"/>
        <v/>
      </c>
      <c r="I88" s="26" t="str">
        <f>IF($B88="","",ROUND(SUMIFS(周转筐出入库明细!$P$4:$P$2004,周转筐出入库明细!$C$4:$C$2004,$B88,周转筐出入库明细!$F$4:$F$2004,"销售出库",周转筐出入库明细!$B$4:$B$2004,"&gt;="&amp;$P$1,周转筐出入库明细!$B$4:$B$2004,"&lt;="&amp;$P$2),2))</f>
        <v/>
      </c>
      <c r="J88" s="26" t="str">
        <f>IF($B88="","",ROUND(SUMIFS(周转筐出入库明细!$P$4:$P$2004,周转筐出入库明细!$C$4:$C$2004,$B88,周转筐出入库明细!$F$4:$F$2004,"销售出库",周转筐出入库明细!$Q$4:$Q$2004,"已收讫",周转筐出入库明细!$B$4:$B$2004,"&gt;="&amp;$P$1,周转筐出入库明细!$B$4:$B$2004,"&lt;="&amp;$P$2),2))</f>
        <v/>
      </c>
      <c r="K88" s="26" t="str">
        <f t="shared" si="5"/>
        <v/>
      </c>
      <c r="L88" s="41"/>
    </row>
    <row r="89" spans="1:12">
      <c r="A89" s="24" t="str">
        <f t="shared" si="3"/>
        <v/>
      </c>
      <c r="B89" s="24" t="str">
        <f>IFERROR(INDEX(_自动清单!$AA$4:$AA$203,ROW()-3),"")</f>
        <v/>
      </c>
      <c r="C89" s="25" t="str">
        <f>IF(OR($B89="",_自动清单!$U$4=""),"",SUMIFS(周转筐出入库明细!$K$4:$K$2004,周转筐出入库明细!$C$4:$C$2004,$B89,周转筐出入库明细!$D$4:$D$2004,_自动清单!$U$4,周转筐出入库明细!$B$4:$B$2004,"&gt;="&amp;$P$1,周转筐出入库明细!$B$4:$B$2004,"&lt;="&amp;$P$2))</f>
        <v/>
      </c>
      <c r="D89" s="25" t="str">
        <f>IF(OR($B89="",_自动清单!$U$5=""),"",SUMIFS(周转筐出入库明细!$K$4:$K$2004,周转筐出入库明细!$C$4:$C$2004,$B89,周转筐出入库明细!$D$4:$D$2004,_自动清单!$U$5,周转筐出入库明细!$B$4:$B$2004,"&gt;="&amp;$P$1,周转筐出入库明细!$B$4:$B$2004,"&lt;="&amp;$P$2))</f>
        <v/>
      </c>
      <c r="E89" s="25" t="str">
        <f>IF(OR($B89="",_自动清单!$U$6=""),"",SUMIFS(周转筐出入库明细!$K$4:$K$2004,周转筐出入库明细!$C$4:$C$2004,$B89,周转筐出入库明细!$D$4:$D$2004,_自动清单!$U$6,周转筐出入库明细!$B$4:$B$2004,"&gt;="&amp;$P$1,周转筐出入库明细!$B$4:$B$2004,"&lt;="&amp;$P$2))</f>
        <v/>
      </c>
      <c r="F89" s="25" t="str">
        <f>IF(OR($B89="",_自动清单!$U$7=""),"",SUMIFS(周转筐出入库明细!$K$4:$K$2004,周转筐出入库明细!$C$4:$C$2004,$B89,周转筐出入库明细!$D$4:$D$2004,_自动清单!$U$7,周转筐出入库明细!$B$4:$B$2004,"&gt;="&amp;$P$1,周转筐出入库明细!$B$4:$B$2004,"&lt;="&amp;$P$2))</f>
        <v/>
      </c>
      <c r="G89" s="25" t="str">
        <f>IF($B89="","",SUMIFS(周转筐出入库明细!$K$4:$K$2004,周转筐出入库明细!$C$4:$C$2004,$B89,周转筐出入库明细!$B$4:$B$2004,"&gt;="&amp;$P$1,周转筐出入库明细!$B$4:$B$2004,"&lt;="&amp;$P$2)-SUM($C89:$F89))</f>
        <v/>
      </c>
      <c r="H89" s="25" t="str">
        <f t="shared" si="4"/>
        <v/>
      </c>
      <c r="I89" s="26" t="str">
        <f>IF($B89="","",ROUND(SUMIFS(周转筐出入库明细!$P$4:$P$2004,周转筐出入库明细!$C$4:$C$2004,$B89,周转筐出入库明细!$F$4:$F$2004,"销售出库",周转筐出入库明细!$B$4:$B$2004,"&gt;="&amp;$P$1,周转筐出入库明细!$B$4:$B$2004,"&lt;="&amp;$P$2),2))</f>
        <v/>
      </c>
      <c r="J89" s="26" t="str">
        <f>IF($B89="","",ROUND(SUMIFS(周转筐出入库明细!$P$4:$P$2004,周转筐出入库明细!$C$4:$C$2004,$B89,周转筐出入库明细!$F$4:$F$2004,"销售出库",周转筐出入库明细!$Q$4:$Q$2004,"已收讫",周转筐出入库明细!$B$4:$B$2004,"&gt;="&amp;$P$1,周转筐出入库明细!$B$4:$B$2004,"&lt;="&amp;$P$2),2))</f>
        <v/>
      </c>
      <c r="K89" s="26" t="str">
        <f t="shared" si="5"/>
        <v/>
      </c>
      <c r="L89" s="41"/>
    </row>
    <row r="90" spans="1:12">
      <c r="A90" s="24" t="str">
        <f t="shared" si="3"/>
        <v/>
      </c>
      <c r="B90" s="24" t="str">
        <f>IFERROR(INDEX(_自动清单!$AA$4:$AA$203,ROW()-3),"")</f>
        <v/>
      </c>
      <c r="C90" s="25" t="str">
        <f>IF(OR($B90="",_自动清单!$U$4=""),"",SUMIFS(周转筐出入库明细!$K$4:$K$2004,周转筐出入库明细!$C$4:$C$2004,$B90,周转筐出入库明细!$D$4:$D$2004,_自动清单!$U$4,周转筐出入库明细!$B$4:$B$2004,"&gt;="&amp;$P$1,周转筐出入库明细!$B$4:$B$2004,"&lt;="&amp;$P$2))</f>
        <v/>
      </c>
      <c r="D90" s="25" t="str">
        <f>IF(OR($B90="",_自动清单!$U$5=""),"",SUMIFS(周转筐出入库明细!$K$4:$K$2004,周转筐出入库明细!$C$4:$C$2004,$B90,周转筐出入库明细!$D$4:$D$2004,_自动清单!$U$5,周转筐出入库明细!$B$4:$B$2004,"&gt;="&amp;$P$1,周转筐出入库明细!$B$4:$B$2004,"&lt;="&amp;$P$2))</f>
        <v/>
      </c>
      <c r="E90" s="25" t="str">
        <f>IF(OR($B90="",_自动清单!$U$6=""),"",SUMIFS(周转筐出入库明细!$K$4:$K$2004,周转筐出入库明细!$C$4:$C$2004,$B90,周转筐出入库明细!$D$4:$D$2004,_自动清单!$U$6,周转筐出入库明细!$B$4:$B$2004,"&gt;="&amp;$P$1,周转筐出入库明细!$B$4:$B$2004,"&lt;="&amp;$P$2))</f>
        <v/>
      </c>
      <c r="F90" s="25" t="str">
        <f>IF(OR($B90="",_自动清单!$U$7=""),"",SUMIFS(周转筐出入库明细!$K$4:$K$2004,周转筐出入库明细!$C$4:$C$2004,$B90,周转筐出入库明细!$D$4:$D$2004,_自动清单!$U$7,周转筐出入库明细!$B$4:$B$2004,"&gt;="&amp;$P$1,周转筐出入库明细!$B$4:$B$2004,"&lt;="&amp;$P$2))</f>
        <v/>
      </c>
      <c r="G90" s="25" t="str">
        <f>IF($B90="","",SUMIFS(周转筐出入库明细!$K$4:$K$2004,周转筐出入库明细!$C$4:$C$2004,$B90,周转筐出入库明细!$B$4:$B$2004,"&gt;="&amp;$P$1,周转筐出入库明细!$B$4:$B$2004,"&lt;="&amp;$P$2)-SUM($C90:$F90))</f>
        <v/>
      </c>
      <c r="H90" s="25" t="str">
        <f t="shared" si="4"/>
        <v/>
      </c>
      <c r="I90" s="26" t="str">
        <f>IF($B90="","",ROUND(SUMIFS(周转筐出入库明细!$P$4:$P$2004,周转筐出入库明细!$C$4:$C$2004,$B90,周转筐出入库明细!$F$4:$F$2004,"销售出库",周转筐出入库明细!$B$4:$B$2004,"&gt;="&amp;$P$1,周转筐出入库明细!$B$4:$B$2004,"&lt;="&amp;$P$2),2))</f>
        <v/>
      </c>
      <c r="J90" s="26" t="str">
        <f>IF($B90="","",ROUND(SUMIFS(周转筐出入库明细!$P$4:$P$2004,周转筐出入库明细!$C$4:$C$2004,$B90,周转筐出入库明细!$F$4:$F$2004,"销售出库",周转筐出入库明细!$Q$4:$Q$2004,"已收讫",周转筐出入库明细!$B$4:$B$2004,"&gt;="&amp;$P$1,周转筐出入库明细!$B$4:$B$2004,"&lt;="&amp;$P$2),2))</f>
        <v/>
      </c>
      <c r="K90" s="26" t="str">
        <f t="shared" si="5"/>
        <v/>
      </c>
      <c r="L90" s="41"/>
    </row>
    <row r="91" spans="1:12">
      <c r="A91" s="24" t="str">
        <f t="shared" si="3"/>
        <v/>
      </c>
      <c r="B91" s="24" t="str">
        <f>IFERROR(INDEX(_自动清单!$AA$4:$AA$203,ROW()-3),"")</f>
        <v/>
      </c>
      <c r="C91" s="25" t="str">
        <f>IF(OR($B91="",_自动清单!$U$4=""),"",SUMIFS(周转筐出入库明细!$K$4:$K$2004,周转筐出入库明细!$C$4:$C$2004,$B91,周转筐出入库明细!$D$4:$D$2004,_自动清单!$U$4,周转筐出入库明细!$B$4:$B$2004,"&gt;="&amp;$P$1,周转筐出入库明细!$B$4:$B$2004,"&lt;="&amp;$P$2))</f>
        <v/>
      </c>
      <c r="D91" s="25" t="str">
        <f>IF(OR($B91="",_自动清单!$U$5=""),"",SUMIFS(周转筐出入库明细!$K$4:$K$2004,周转筐出入库明细!$C$4:$C$2004,$B91,周转筐出入库明细!$D$4:$D$2004,_自动清单!$U$5,周转筐出入库明细!$B$4:$B$2004,"&gt;="&amp;$P$1,周转筐出入库明细!$B$4:$B$2004,"&lt;="&amp;$P$2))</f>
        <v/>
      </c>
      <c r="E91" s="25" t="str">
        <f>IF(OR($B91="",_自动清单!$U$6=""),"",SUMIFS(周转筐出入库明细!$K$4:$K$2004,周转筐出入库明细!$C$4:$C$2004,$B91,周转筐出入库明细!$D$4:$D$2004,_自动清单!$U$6,周转筐出入库明细!$B$4:$B$2004,"&gt;="&amp;$P$1,周转筐出入库明细!$B$4:$B$2004,"&lt;="&amp;$P$2))</f>
        <v/>
      </c>
      <c r="F91" s="25" t="str">
        <f>IF(OR($B91="",_自动清单!$U$7=""),"",SUMIFS(周转筐出入库明细!$K$4:$K$2004,周转筐出入库明细!$C$4:$C$2004,$B91,周转筐出入库明细!$D$4:$D$2004,_自动清单!$U$7,周转筐出入库明细!$B$4:$B$2004,"&gt;="&amp;$P$1,周转筐出入库明细!$B$4:$B$2004,"&lt;="&amp;$P$2))</f>
        <v/>
      </c>
      <c r="G91" s="25" t="str">
        <f>IF($B91="","",SUMIFS(周转筐出入库明细!$K$4:$K$2004,周转筐出入库明细!$C$4:$C$2004,$B91,周转筐出入库明细!$B$4:$B$2004,"&gt;="&amp;$P$1,周转筐出入库明细!$B$4:$B$2004,"&lt;="&amp;$P$2)-SUM($C91:$F91))</f>
        <v/>
      </c>
      <c r="H91" s="25" t="str">
        <f t="shared" si="4"/>
        <v/>
      </c>
      <c r="I91" s="26" t="str">
        <f>IF($B91="","",ROUND(SUMIFS(周转筐出入库明细!$P$4:$P$2004,周转筐出入库明细!$C$4:$C$2004,$B91,周转筐出入库明细!$F$4:$F$2004,"销售出库",周转筐出入库明细!$B$4:$B$2004,"&gt;="&amp;$P$1,周转筐出入库明细!$B$4:$B$2004,"&lt;="&amp;$P$2),2))</f>
        <v/>
      </c>
      <c r="J91" s="26" t="str">
        <f>IF($B91="","",ROUND(SUMIFS(周转筐出入库明细!$P$4:$P$2004,周转筐出入库明细!$C$4:$C$2004,$B91,周转筐出入库明细!$F$4:$F$2004,"销售出库",周转筐出入库明细!$Q$4:$Q$2004,"已收讫",周转筐出入库明细!$B$4:$B$2004,"&gt;="&amp;$P$1,周转筐出入库明细!$B$4:$B$2004,"&lt;="&amp;$P$2),2))</f>
        <v/>
      </c>
      <c r="K91" s="26" t="str">
        <f t="shared" si="5"/>
        <v/>
      </c>
      <c r="L91" s="41"/>
    </row>
    <row r="92" spans="1:12">
      <c r="A92" s="24" t="str">
        <f t="shared" si="3"/>
        <v/>
      </c>
      <c r="B92" s="24" t="str">
        <f>IFERROR(INDEX(_自动清单!$AA$4:$AA$203,ROW()-3),"")</f>
        <v/>
      </c>
      <c r="C92" s="25" t="str">
        <f>IF(OR($B92="",_自动清单!$U$4=""),"",SUMIFS(周转筐出入库明细!$K$4:$K$2004,周转筐出入库明细!$C$4:$C$2004,$B92,周转筐出入库明细!$D$4:$D$2004,_自动清单!$U$4,周转筐出入库明细!$B$4:$B$2004,"&gt;="&amp;$P$1,周转筐出入库明细!$B$4:$B$2004,"&lt;="&amp;$P$2))</f>
        <v/>
      </c>
      <c r="D92" s="25" t="str">
        <f>IF(OR($B92="",_自动清单!$U$5=""),"",SUMIFS(周转筐出入库明细!$K$4:$K$2004,周转筐出入库明细!$C$4:$C$2004,$B92,周转筐出入库明细!$D$4:$D$2004,_自动清单!$U$5,周转筐出入库明细!$B$4:$B$2004,"&gt;="&amp;$P$1,周转筐出入库明细!$B$4:$B$2004,"&lt;="&amp;$P$2))</f>
        <v/>
      </c>
      <c r="E92" s="25" t="str">
        <f>IF(OR($B92="",_自动清单!$U$6=""),"",SUMIFS(周转筐出入库明细!$K$4:$K$2004,周转筐出入库明细!$C$4:$C$2004,$B92,周转筐出入库明细!$D$4:$D$2004,_自动清单!$U$6,周转筐出入库明细!$B$4:$B$2004,"&gt;="&amp;$P$1,周转筐出入库明细!$B$4:$B$2004,"&lt;="&amp;$P$2))</f>
        <v/>
      </c>
      <c r="F92" s="25" t="str">
        <f>IF(OR($B92="",_自动清单!$U$7=""),"",SUMIFS(周转筐出入库明细!$K$4:$K$2004,周转筐出入库明细!$C$4:$C$2004,$B92,周转筐出入库明细!$D$4:$D$2004,_自动清单!$U$7,周转筐出入库明细!$B$4:$B$2004,"&gt;="&amp;$P$1,周转筐出入库明细!$B$4:$B$2004,"&lt;="&amp;$P$2))</f>
        <v/>
      </c>
      <c r="G92" s="25" t="str">
        <f>IF($B92="","",SUMIFS(周转筐出入库明细!$K$4:$K$2004,周转筐出入库明细!$C$4:$C$2004,$B92,周转筐出入库明细!$B$4:$B$2004,"&gt;="&amp;$P$1,周转筐出入库明细!$B$4:$B$2004,"&lt;="&amp;$P$2)-SUM($C92:$F92))</f>
        <v/>
      </c>
      <c r="H92" s="25" t="str">
        <f t="shared" si="4"/>
        <v/>
      </c>
      <c r="I92" s="26" t="str">
        <f>IF($B92="","",ROUND(SUMIFS(周转筐出入库明细!$P$4:$P$2004,周转筐出入库明细!$C$4:$C$2004,$B92,周转筐出入库明细!$F$4:$F$2004,"销售出库",周转筐出入库明细!$B$4:$B$2004,"&gt;="&amp;$P$1,周转筐出入库明细!$B$4:$B$2004,"&lt;="&amp;$P$2),2))</f>
        <v/>
      </c>
      <c r="J92" s="26" t="str">
        <f>IF($B92="","",ROUND(SUMIFS(周转筐出入库明细!$P$4:$P$2004,周转筐出入库明细!$C$4:$C$2004,$B92,周转筐出入库明细!$F$4:$F$2004,"销售出库",周转筐出入库明细!$Q$4:$Q$2004,"已收讫",周转筐出入库明细!$B$4:$B$2004,"&gt;="&amp;$P$1,周转筐出入库明细!$B$4:$B$2004,"&lt;="&amp;$P$2),2))</f>
        <v/>
      </c>
      <c r="K92" s="26" t="str">
        <f t="shared" si="5"/>
        <v/>
      </c>
      <c r="L92" s="41"/>
    </row>
    <row r="93" spans="1:12">
      <c r="A93" s="24" t="str">
        <f t="shared" si="3"/>
        <v/>
      </c>
      <c r="B93" s="24" t="str">
        <f>IFERROR(INDEX(_自动清单!$AA$4:$AA$203,ROW()-3),"")</f>
        <v/>
      </c>
      <c r="C93" s="25" t="str">
        <f>IF(OR($B93="",_自动清单!$U$4=""),"",SUMIFS(周转筐出入库明细!$K$4:$K$2004,周转筐出入库明细!$C$4:$C$2004,$B93,周转筐出入库明细!$D$4:$D$2004,_自动清单!$U$4,周转筐出入库明细!$B$4:$B$2004,"&gt;="&amp;$P$1,周转筐出入库明细!$B$4:$B$2004,"&lt;="&amp;$P$2))</f>
        <v/>
      </c>
      <c r="D93" s="25" t="str">
        <f>IF(OR($B93="",_自动清单!$U$5=""),"",SUMIFS(周转筐出入库明细!$K$4:$K$2004,周转筐出入库明细!$C$4:$C$2004,$B93,周转筐出入库明细!$D$4:$D$2004,_自动清单!$U$5,周转筐出入库明细!$B$4:$B$2004,"&gt;="&amp;$P$1,周转筐出入库明细!$B$4:$B$2004,"&lt;="&amp;$P$2))</f>
        <v/>
      </c>
      <c r="E93" s="25" t="str">
        <f>IF(OR($B93="",_自动清单!$U$6=""),"",SUMIFS(周转筐出入库明细!$K$4:$K$2004,周转筐出入库明细!$C$4:$C$2004,$B93,周转筐出入库明细!$D$4:$D$2004,_自动清单!$U$6,周转筐出入库明细!$B$4:$B$2004,"&gt;="&amp;$P$1,周转筐出入库明细!$B$4:$B$2004,"&lt;="&amp;$P$2))</f>
        <v/>
      </c>
      <c r="F93" s="25" t="str">
        <f>IF(OR($B93="",_自动清单!$U$7=""),"",SUMIFS(周转筐出入库明细!$K$4:$K$2004,周转筐出入库明细!$C$4:$C$2004,$B93,周转筐出入库明细!$D$4:$D$2004,_自动清单!$U$7,周转筐出入库明细!$B$4:$B$2004,"&gt;="&amp;$P$1,周转筐出入库明细!$B$4:$B$2004,"&lt;="&amp;$P$2))</f>
        <v/>
      </c>
      <c r="G93" s="25" t="str">
        <f>IF($B93="","",SUMIFS(周转筐出入库明细!$K$4:$K$2004,周转筐出入库明细!$C$4:$C$2004,$B93,周转筐出入库明细!$B$4:$B$2004,"&gt;="&amp;$P$1,周转筐出入库明细!$B$4:$B$2004,"&lt;="&amp;$P$2)-SUM($C93:$F93))</f>
        <v/>
      </c>
      <c r="H93" s="25" t="str">
        <f t="shared" si="4"/>
        <v/>
      </c>
      <c r="I93" s="26" t="str">
        <f>IF($B93="","",ROUND(SUMIFS(周转筐出入库明细!$P$4:$P$2004,周转筐出入库明细!$C$4:$C$2004,$B93,周转筐出入库明细!$F$4:$F$2004,"销售出库",周转筐出入库明细!$B$4:$B$2004,"&gt;="&amp;$P$1,周转筐出入库明细!$B$4:$B$2004,"&lt;="&amp;$P$2),2))</f>
        <v/>
      </c>
      <c r="J93" s="26" t="str">
        <f>IF($B93="","",ROUND(SUMIFS(周转筐出入库明细!$P$4:$P$2004,周转筐出入库明细!$C$4:$C$2004,$B93,周转筐出入库明细!$F$4:$F$2004,"销售出库",周转筐出入库明细!$Q$4:$Q$2004,"已收讫",周转筐出入库明细!$B$4:$B$2004,"&gt;="&amp;$P$1,周转筐出入库明细!$B$4:$B$2004,"&lt;="&amp;$P$2),2))</f>
        <v/>
      </c>
      <c r="K93" s="26" t="str">
        <f t="shared" si="5"/>
        <v/>
      </c>
      <c r="L93" s="41"/>
    </row>
    <row r="94" spans="1:12">
      <c r="A94" s="24" t="str">
        <f t="shared" si="3"/>
        <v/>
      </c>
      <c r="B94" s="24" t="str">
        <f>IFERROR(INDEX(_自动清单!$AA$4:$AA$203,ROW()-3),"")</f>
        <v/>
      </c>
      <c r="C94" s="25" t="str">
        <f>IF(OR($B94="",_自动清单!$U$4=""),"",SUMIFS(周转筐出入库明细!$K$4:$K$2004,周转筐出入库明细!$C$4:$C$2004,$B94,周转筐出入库明细!$D$4:$D$2004,_自动清单!$U$4,周转筐出入库明细!$B$4:$B$2004,"&gt;="&amp;$P$1,周转筐出入库明细!$B$4:$B$2004,"&lt;="&amp;$P$2))</f>
        <v/>
      </c>
      <c r="D94" s="25" t="str">
        <f>IF(OR($B94="",_自动清单!$U$5=""),"",SUMIFS(周转筐出入库明细!$K$4:$K$2004,周转筐出入库明细!$C$4:$C$2004,$B94,周转筐出入库明细!$D$4:$D$2004,_自动清单!$U$5,周转筐出入库明细!$B$4:$B$2004,"&gt;="&amp;$P$1,周转筐出入库明细!$B$4:$B$2004,"&lt;="&amp;$P$2))</f>
        <v/>
      </c>
      <c r="E94" s="25" t="str">
        <f>IF(OR($B94="",_自动清单!$U$6=""),"",SUMIFS(周转筐出入库明细!$K$4:$K$2004,周转筐出入库明细!$C$4:$C$2004,$B94,周转筐出入库明细!$D$4:$D$2004,_自动清单!$U$6,周转筐出入库明细!$B$4:$B$2004,"&gt;="&amp;$P$1,周转筐出入库明细!$B$4:$B$2004,"&lt;="&amp;$P$2))</f>
        <v/>
      </c>
      <c r="F94" s="25" t="str">
        <f>IF(OR($B94="",_自动清单!$U$7=""),"",SUMIFS(周转筐出入库明细!$K$4:$K$2004,周转筐出入库明细!$C$4:$C$2004,$B94,周转筐出入库明细!$D$4:$D$2004,_自动清单!$U$7,周转筐出入库明细!$B$4:$B$2004,"&gt;="&amp;$P$1,周转筐出入库明细!$B$4:$B$2004,"&lt;="&amp;$P$2))</f>
        <v/>
      </c>
      <c r="G94" s="25" t="str">
        <f>IF($B94="","",SUMIFS(周转筐出入库明细!$K$4:$K$2004,周转筐出入库明细!$C$4:$C$2004,$B94,周转筐出入库明细!$B$4:$B$2004,"&gt;="&amp;$P$1,周转筐出入库明细!$B$4:$B$2004,"&lt;="&amp;$P$2)-SUM($C94:$F94))</f>
        <v/>
      </c>
      <c r="H94" s="25" t="str">
        <f t="shared" si="4"/>
        <v/>
      </c>
      <c r="I94" s="26" t="str">
        <f>IF($B94="","",ROUND(SUMIFS(周转筐出入库明细!$P$4:$P$2004,周转筐出入库明细!$C$4:$C$2004,$B94,周转筐出入库明细!$F$4:$F$2004,"销售出库",周转筐出入库明细!$B$4:$B$2004,"&gt;="&amp;$P$1,周转筐出入库明细!$B$4:$B$2004,"&lt;="&amp;$P$2),2))</f>
        <v/>
      </c>
      <c r="J94" s="26" t="str">
        <f>IF($B94="","",ROUND(SUMIFS(周转筐出入库明细!$P$4:$P$2004,周转筐出入库明细!$C$4:$C$2004,$B94,周转筐出入库明细!$F$4:$F$2004,"销售出库",周转筐出入库明细!$Q$4:$Q$2004,"已收讫",周转筐出入库明细!$B$4:$B$2004,"&gt;="&amp;$P$1,周转筐出入库明细!$B$4:$B$2004,"&lt;="&amp;$P$2),2))</f>
        <v/>
      </c>
      <c r="K94" s="26" t="str">
        <f t="shared" si="5"/>
        <v/>
      </c>
      <c r="L94" s="41"/>
    </row>
    <row r="95" spans="1:12">
      <c r="A95" s="24" t="str">
        <f t="shared" si="3"/>
        <v/>
      </c>
      <c r="B95" s="24" t="str">
        <f>IFERROR(INDEX(_自动清单!$AA$4:$AA$203,ROW()-3),"")</f>
        <v/>
      </c>
      <c r="C95" s="25" t="str">
        <f>IF(OR($B95="",_自动清单!$U$4=""),"",SUMIFS(周转筐出入库明细!$K$4:$K$2004,周转筐出入库明细!$C$4:$C$2004,$B95,周转筐出入库明细!$D$4:$D$2004,_自动清单!$U$4,周转筐出入库明细!$B$4:$B$2004,"&gt;="&amp;$P$1,周转筐出入库明细!$B$4:$B$2004,"&lt;="&amp;$P$2))</f>
        <v/>
      </c>
      <c r="D95" s="25" t="str">
        <f>IF(OR($B95="",_自动清单!$U$5=""),"",SUMIFS(周转筐出入库明细!$K$4:$K$2004,周转筐出入库明细!$C$4:$C$2004,$B95,周转筐出入库明细!$D$4:$D$2004,_自动清单!$U$5,周转筐出入库明细!$B$4:$B$2004,"&gt;="&amp;$P$1,周转筐出入库明细!$B$4:$B$2004,"&lt;="&amp;$P$2))</f>
        <v/>
      </c>
      <c r="E95" s="25" t="str">
        <f>IF(OR($B95="",_自动清单!$U$6=""),"",SUMIFS(周转筐出入库明细!$K$4:$K$2004,周转筐出入库明细!$C$4:$C$2004,$B95,周转筐出入库明细!$D$4:$D$2004,_自动清单!$U$6,周转筐出入库明细!$B$4:$B$2004,"&gt;="&amp;$P$1,周转筐出入库明细!$B$4:$B$2004,"&lt;="&amp;$P$2))</f>
        <v/>
      </c>
      <c r="F95" s="25" t="str">
        <f>IF(OR($B95="",_自动清单!$U$7=""),"",SUMIFS(周转筐出入库明细!$K$4:$K$2004,周转筐出入库明细!$C$4:$C$2004,$B95,周转筐出入库明细!$D$4:$D$2004,_自动清单!$U$7,周转筐出入库明细!$B$4:$B$2004,"&gt;="&amp;$P$1,周转筐出入库明细!$B$4:$B$2004,"&lt;="&amp;$P$2))</f>
        <v/>
      </c>
      <c r="G95" s="25" t="str">
        <f>IF($B95="","",SUMIFS(周转筐出入库明细!$K$4:$K$2004,周转筐出入库明细!$C$4:$C$2004,$B95,周转筐出入库明细!$B$4:$B$2004,"&gt;="&amp;$P$1,周转筐出入库明细!$B$4:$B$2004,"&lt;="&amp;$P$2)-SUM($C95:$F95))</f>
        <v/>
      </c>
      <c r="H95" s="25" t="str">
        <f t="shared" si="4"/>
        <v/>
      </c>
      <c r="I95" s="26" t="str">
        <f>IF($B95="","",ROUND(SUMIFS(周转筐出入库明细!$P$4:$P$2004,周转筐出入库明细!$C$4:$C$2004,$B95,周转筐出入库明细!$F$4:$F$2004,"销售出库",周转筐出入库明细!$B$4:$B$2004,"&gt;="&amp;$P$1,周转筐出入库明细!$B$4:$B$2004,"&lt;="&amp;$P$2),2))</f>
        <v/>
      </c>
      <c r="J95" s="26" t="str">
        <f>IF($B95="","",ROUND(SUMIFS(周转筐出入库明细!$P$4:$P$2004,周转筐出入库明细!$C$4:$C$2004,$B95,周转筐出入库明细!$F$4:$F$2004,"销售出库",周转筐出入库明细!$Q$4:$Q$2004,"已收讫",周转筐出入库明细!$B$4:$B$2004,"&gt;="&amp;$P$1,周转筐出入库明细!$B$4:$B$2004,"&lt;="&amp;$P$2),2))</f>
        <v/>
      </c>
      <c r="K95" s="26" t="str">
        <f t="shared" si="5"/>
        <v/>
      </c>
      <c r="L95" s="41"/>
    </row>
    <row r="96" spans="1:12">
      <c r="A96" s="24" t="str">
        <f t="shared" si="3"/>
        <v/>
      </c>
      <c r="B96" s="24" t="str">
        <f>IFERROR(INDEX(_自动清单!$AA$4:$AA$203,ROW()-3),"")</f>
        <v/>
      </c>
      <c r="C96" s="25" t="str">
        <f>IF(OR($B96="",_自动清单!$U$4=""),"",SUMIFS(周转筐出入库明细!$K$4:$K$2004,周转筐出入库明细!$C$4:$C$2004,$B96,周转筐出入库明细!$D$4:$D$2004,_自动清单!$U$4,周转筐出入库明细!$B$4:$B$2004,"&gt;="&amp;$P$1,周转筐出入库明细!$B$4:$B$2004,"&lt;="&amp;$P$2))</f>
        <v/>
      </c>
      <c r="D96" s="25" t="str">
        <f>IF(OR($B96="",_自动清单!$U$5=""),"",SUMIFS(周转筐出入库明细!$K$4:$K$2004,周转筐出入库明细!$C$4:$C$2004,$B96,周转筐出入库明细!$D$4:$D$2004,_自动清单!$U$5,周转筐出入库明细!$B$4:$B$2004,"&gt;="&amp;$P$1,周转筐出入库明细!$B$4:$B$2004,"&lt;="&amp;$P$2))</f>
        <v/>
      </c>
      <c r="E96" s="25" t="str">
        <f>IF(OR($B96="",_自动清单!$U$6=""),"",SUMIFS(周转筐出入库明细!$K$4:$K$2004,周转筐出入库明细!$C$4:$C$2004,$B96,周转筐出入库明细!$D$4:$D$2004,_自动清单!$U$6,周转筐出入库明细!$B$4:$B$2004,"&gt;="&amp;$P$1,周转筐出入库明细!$B$4:$B$2004,"&lt;="&amp;$P$2))</f>
        <v/>
      </c>
      <c r="F96" s="25" t="str">
        <f>IF(OR($B96="",_自动清单!$U$7=""),"",SUMIFS(周转筐出入库明细!$K$4:$K$2004,周转筐出入库明细!$C$4:$C$2004,$B96,周转筐出入库明细!$D$4:$D$2004,_自动清单!$U$7,周转筐出入库明细!$B$4:$B$2004,"&gt;="&amp;$P$1,周转筐出入库明细!$B$4:$B$2004,"&lt;="&amp;$P$2))</f>
        <v/>
      </c>
      <c r="G96" s="25" t="str">
        <f>IF($B96="","",SUMIFS(周转筐出入库明细!$K$4:$K$2004,周转筐出入库明细!$C$4:$C$2004,$B96,周转筐出入库明细!$B$4:$B$2004,"&gt;="&amp;$P$1,周转筐出入库明细!$B$4:$B$2004,"&lt;="&amp;$P$2)-SUM($C96:$F96))</f>
        <v/>
      </c>
      <c r="H96" s="25" t="str">
        <f t="shared" si="4"/>
        <v/>
      </c>
      <c r="I96" s="26" t="str">
        <f>IF($B96="","",ROUND(SUMIFS(周转筐出入库明细!$P$4:$P$2004,周转筐出入库明细!$C$4:$C$2004,$B96,周转筐出入库明细!$F$4:$F$2004,"销售出库",周转筐出入库明细!$B$4:$B$2004,"&gt;="&amp;$P$1,周转筐出入库明细!$B$4:$B$2004,"&lt;="&amp;$P$2),2))</f>
        <v/>
      </c>
      <c r="J96" s="26" t="str">
        <f>IF($B96="","",ROUND(SUMIFS(周转筐出入库明细!$P$4:$P$2004,周转筐出入库明细!$C$4:$C$2004,$B96,周转筐出入库明细!$F$4:$F$2004,"销售出库",周转筐出入库明细!$Q$4:$Q$2004,"已收讫",周转筐出入库明细!$B$4:$B$2004,"&gt;="&amp;$P$1,周转筐出入库明细!$B$4:$B$2004,"&lt;="&amp;$P$2),2))</f>
        <v/>
      </c>
      <c r="K96" s="26" t="str">
        <f t="shared" si="5"/>
        <v/>
      </c>
      <c r="L96" s="41"/>
    </row>
    <row r="97" spans="1:12">
      <c r="A97" s="24" t="str">
        <f t="shared" si="3"/>
        <v/>
      </c>
      <c r="B97" s="24" t="str">
        <f>IFERROR(INDEX(_自动清单!$AA$4:$AA$203,ROW()-3),"")</f>
        <v/>
      </c>
      <c r="C97" s="25" t="str">
        <f>IF(OR($B97="",_自动清单!$U$4=""),"",SUMIFS(周转筐出入库明细!$K$4:$K$2004,周转筐出入库明细!$C$4:$C$2004,$B97,周转筐出入库明细!$D$4:$D$2004,_自动清单!$U$4,周转筐出入库明细!$B$4:$B$2004,"&gt;="&amp;$P$1,周转筐出入库明细!$B$4:$B$2004,"&lt;="&amp;$P$2))</f>
        <v/>
      </c>
      <c r="D97" s="25" t="str">
        <f>IF(OR($B97="",_自动清单!$U$5=""),"",SUMIFS(周转筐出入库明细!$K$4:$K$2004,周转筐出入库明细!$C$4:$C$2004,$B97,周转筐出入库明细!$D$4:$D$2004,_自动清单!$U$5,周转筐出入库明细!$B$4:$B$2004,"&gt;="&amp;$P$1,周转筐出入库明细!$B$4:$B$2004,"&lt;="&amp;$P$2))</f>
        <v/>
      </c>
      <c r="E97" s="25" t="str">
        <f>IF(OR($B97="",_自动清单!$U$6=""),"",SUMIFS(周转筐出入库明细!$K$4:$K$2004,周转筐出入库明细!$C$4:$C$2004,$B97,周转筐出入库明细!$D$4:$D$2004,_自动清单!$U$6,周转筐出入库明细!$B$4:$B$2004,"&gt;="&amp;$P$1,周转筐出入库明细!$B$4:$B$2004,"&lt;="&amp;$P$2))</f>
        <v/>
      </c>
      <c r="F97" s="25" t="str">
        <f>IF(OR($B97="",_自动清单!$U$7=""),"",SUMIFS(周转筐出入库明细!$K$4:$K$2004,周转筐出入库明细!$C$4:$C$2004,$B97,周转筐出入库明细!$D$4:$D$2004,_自动清单!$U$7,周转筐出入库明细!$B$4:$B$2004,"&gt;="&amp;$P$1,周转筐出入库明细!$B$4:$B$2004,"&lt;="&amp;$P$2))</f>
        <v/>
      </c>
      <c r="G97" s="25" t="str">
        <f>IF($B97="","",SUMIFS(周转筐出入库明细!$K$4:$K$2004,周转筐出入库明细!$C$4:$C$2004,$B97,周转筐出入库明细!$B$4:$B$2004,"&gt;="&amp;$P$1,周转筐出入库明细!$B$4:$B$2004,"&lt;="&amp;$P$2)-SUM($C97:$F97))</f>
        <v/>
      </c>
      <c r="H97" s="25" t="str">
        <f t="shared" si="4"/>
        <v/>
      </c>
      <c r="I97" s="26" t="str">
        <f>IF($B97="","",ROUND(SUMIFS(周转筐出入库明细!$P$4:$P$2004,周转筐出入库明细!$C$4:$C$2004,$B97,周转筐出入库明细!$F$4:$F$2004,"销售出库",周转筐出入库明细!$B$4:$B$2004,"&gt;="&amp;$P$1,周转筐出入库明细!$B$4:$B$2004,"&lt;="&amp;$P$2),2))</f>
        <v/>
      </c>
      <c r="J97" s="26" t="str">
        <f>IF($B97="","",ROUND(SUMIFS(周转筐出入库明细!$P$4:$P$2004,周转筐出入库明细!$C$4:$C$2004,$B97,周转筐出入库明细!$F$4:$F$2004,"销售出库",周转筐出入库明细!$Q$4:$Q$2004,"已收讫",周转筐出入库明细!$B$4:$B$2004,"&gt;="&amp;$P$1,周转筐出入库明细!$B$4:$B$2004,"&lt;="&amp;$P$2),2))</f>
        <v/>
      </c>
      <c r="K97" s="26" t="str">
        <f t="shared" si="5"/>
        <v/>
      </c>
      <c r="L97" s="41"/>
    </row>
    <row r="98" spans="1:12">
      <c r="A98" s="24" t="str">
        <f t="shared" si="3"/>
        <v/>
      </c>
      <c r="B98" s="24" t="str">
        <f>IFERROR(INDEX(_自动清单!$AA$4:$AA$203,ROW()-3),"")</f>
        <v/>
      </c>
      <c r="C98" s="25" t="str">
        <f>IF(OR($B98="",_自动清单!$U$4=""),"",SUMIFS(周转筐出入库明细!$K$4:$K$2004,周转筐出入库明细!$C$4:$C$2004,$B98,周转筐出入库明细!$D$4:$D$2004,_自动清单!$U$4,周转筐出入库明细!$B$4:$B$2004,"&gt;="&amp;$P$1,周转筐出入库明细!$B$4:$B$2004,"&lt;="&amp;$P$2))</f>
        <v/>
      </c>
      <c r="D98" s="25" t="str">
        <f>IF(OR($B98="",_自动清单!$U$5=""),"",SUMIFS(周转筐出入库明细!$K$4:$K$2004,周转筐出入库明细!$C$4:$C$2004,$B98,周转筐出入库明细!$D$4:$D$2004,_自动清单!$U$5,周转筐出入库明细!$B$4:$B$2004,"&gt;="&amp;$P$1,周转筐出入库明细!$B$4:$B$2004,"&lt;="&amp;$P$2))</f>
        <v/>
      </c>
      <c r="E98" s="25" t="str">
        <f>IF(OR($B98="",_自动清单!$U$6=""),"",SUMIFS(周转筐出入库明细!$K$4:$K$2004,周转筐出入库明细!$C$4:$C$2004,$B98,周转筐出入库明细!$D$4:$D$2004,_自动清单!$U$6,周转筐出入库明细!$B$4:$B$2004,"&gt;="&amp;$P$1,周转筐出入库明细!$B$4:$B$2004,"&lt;="&amp;$P$2))</f>
        <v/>
      </c>
      <c r="F98" s="25" t="str">
        <f>IF(OR($B98="",_自动清单!$U$7=""),"",SUMIFS(周转筐出入库明细!$K$4:$K$2004,周转筐出入库明细!$C$4:$C$2004,$B98,周转筐出入库明细!$D$4:$D$2004,_自动清单!$U$7,周转筐出入库明细!$B$4:$B$2004,"&gt;="&amp;$P$1,周转筐出入库明细!$B$4:$B$2004,"&lt;="&amp;$P$2))</f>
        <v/>
      </c>
      <c r="G98" s="25" t="str">
        <f>IF($B98="","",SUMIFS(周转筐出入库明细!$K$4:$K$2004,周转筐出入库明细!$C$4:$C$2004,$B98,周转筐出入库明细!$B$4:$B$2004,"&gt;="&amp;$P$1,周转筐出入库明细!$B$4:$B$2004,"&lt;="&amp;$P$2)-SUM($C98:$F98))</f>
        <v/>
      </c>
      <c r="H98" s="25" t="str">
        <f t="shared" si="4"/>
        <v/>
      </c>
      <c r="I98" s="26" t="str">
        <f>IF($B98="","",ROUND(SUMIFS(周转筐出入库明细!$P$4:$P$2004,周转筐出入库明细!$C$4:$C$2004,$B98,周转筐出入库明细!$F$4:$F$2004,"销售出库",周转筐出入库明细!$B$4:$B$2004,"&gt;="&amp;$P$1,周转筐出入库明细!$B$4:$B$2004,"&lt;="&amp;$P$2),2))</f>
        <v/>
      </c>
      <c r="J98" s="26" t="str">
        <f>IF($B98="","",ROUND(SUMIFS(周转筐出入库明细!$P$4:$P$2004,周转筐出入库明细!$C$4:$C$2004,$B98,周转筐出入库明细!$F$4:$F$2004,"销售出库",周转筐出入库明细!$Q$4:$Q$2004,"已收讫",周转筐出入库明细!$B$4:$B$2004,"&gt;="&amp;$P$1,周转筐出入库明细!$B$4:$B$2004,"&lt;="&amp;$P$2),2))</f>
        <v/>
      </c>
      <c r="K98" s="26" t="str">
        <f t="shared" si="5"/>
        <v/>
      </c>
      <c r="L98" s="41"/>
    </row>
    <row r="99" spans="1:12">
      <c r="A99" s="24" t="str">
        <f t="shared" si="3"/>
        <v/>
      </c>
      <c r="B99" s="24" t="str">
        <f>IFERROR(INDEX(_自动清单!$AA$4:$AA$203,ROW()-3),"")</f>
        <v/>
      </c>
      <c r="C99" s="25" t="str">
        <f>IF(OR($B99="",_自动清单!$U$4=""),"",SUMIFS(周转筐出入库明细!$K$4:$K$2004,周转筐出入库明细!$C$4:$C$2004,$B99,周转筐出入库明细!$D$4:$D$2004,_自动清单!$U$4,周转筐出入库明细!$B$4:$B$2004,"&gt;="&amp;$P$1,周转筐出入库明细!$B$4:$B$2004,"&lt;="&amp;$P$2))</f>
        <v/>
      </c>
      <c r="D99" s="25" t="str">
        <f>IF(OR($B99="",_自动清单!$U$5=""),"",SUMIFS(周转筐出入库明细!$K$4:$K$2004,周转筐出入库明细!$C$4:$C$2004,$B99,周转筐出入库明细!$D$4:$D$2004,_自动清单!$U$5,周转筐出入库明细!$B$4:$B$2004,"&gt;="&amp;$P$1,周转筐出入库明细!$B$4:$B$2004,"&lt;="&amp;$P$2))</f>
        <v/>
      </c>
      <c r="E99" s="25" t="str">
        <f>IF(OR($B99="",_自动清单!$U$6=""),"",SUMIFS(周转筐出入库明细!$K$4:$K$2004,周转筐出入库明细!$C$4:$C$2004,$B99,周转筐出入库明细!$D$4:$D$2004,_自动清单!$U$6,周转筐出入库明细!$B$4:$B$2004,"&gt;="&amp;$P$1,周转筐出入库明细!$B$4:$B$2004,"&lt;="&amp;$P$2))</f>
        <v/>
      </c>
      <c r="F99" s="25" t="str">
        <f>IF(OR($B99="",_自动清单!$U$7=""),"",SUMIFS(周转筐出入库明细!$K$4:$K$2004,周转筐出入库明细!$C$4:$C$2004,$B99,周转筐出入库明细!$D$4:$D$2004,_自动清单!$U$7,周转筐出入库明细!$B$4:$B$2004,"&gt;="&amp;$P$1,周转筐出入库明细!$B$4:$B$2004,"&lt;="&amp;$P$2))</f>
        <v/>
      </c>
      <c r="G99" s="25" t="str">
        <f>IF($B99="","",SUMIFS(周转筐出入库明细!$K$4:$K$2004,周转筐出入库明细!$C$4:$C$2004,$B99,周转筐出入库明细!$B$4:$B$2004,"&gt;="&amp;$P$1,周转筐出入库明细!$B$4:$B$2004,"&lt;="&amp;$P$2)-SUM($C99:$F99))</f>
        <v/>
      </c>
      <c r="H99" s="25" t="str">
        <f t="shared" si="4"/>
        <v/>
      </c>
      <c r="I99" s="26" t="str">
        <f>IF($B99="","",ROUND(SUMIFS(周转筐出入库明细!$P$4:$P$2004,周转筐出入库明细!$C$4:$C$2004,$B99,周转筐出入库明细!$F$4:$F$2004,"销售出库",周转筐出入库明细!$B$4:$B$2004,"&gt;="&amp;$P$1,周转筐出入库明细!$B$4:$B$2004,"&lt;="&amp;$P$2),2))</f>
        <v/>
      </c>
      <c r="J99" s="26" t="str">
        <f>IF($B99="","",ROUND(SUMIFS(周转筐出入库明细!$P$4:$P$2004,周转筐出入库明细!$C$4:$C$2004,$B99,周转筐出入库明细!$F$4:$F$2004,"销售出库",周转筐出入库明细!$Q$4:$Q$2004,"已收讫",周转筐出入库明细!$B$4:$B$2004,"&gt;="&amp;$P$1,周转筐出入库明细!$B$4:$B$2004,"&lt;="&amp;$P$2),2))</f>
        <v/>
      </c>
      <c r="K99" s="26" t="str">
        <f t="shared" si="5"/>
        <v/>
      </c>
      <c r="L99" s="41"/>
    </row>
    <row r="100" spans="1:12">
      <c r="A100" s="24" t="str">
        <f t="shared" si="3"/>
        <v/>
      </c>
      <c r="B100" s="24" t="str">
        <f>IFERROR(INDEX(_自动清单!$AA$4:$AA$203,ROW()-3),"")</f>
        <v/>
      </c>
      <c r="C100" s="25" t="str">
        <f>IF(OR($B100="",_自动清单!$U$4=""),"",SUMIFS(周转筐出入库明细!$K$4:$K$2004,周转筐出入库明细!$C$4:$C$2004,$B100,周转筐出入库明细!$D$4:$D$2004,_自动清单!$U$4,周转筐出入库明细!$B$4:$B$2004,"&gt;="&amp;$P$1,周转筐出入库明细!$B$4:$B$2004,"&lt;="&amp;$P$2))</f>
        <v/>
      </c>
      <c r="D100" s="25" t="str">
        <f>IF(OR($B100="",_自动清单!$U$5=""),"",SUMIFS(周转筐出入库明细!$K$4:$K$2004,周转筐出入库明细!$C$4:$C$2004,$B100,周转筐出入库明细!$D$4:$D$2004,_自动清单!$U$5,周转筐出入库明细!$B$4:$B$2004,"&gt;="&amp;$P$1,周转筐出入库明细!$B$4:$B$2004,"&lt;="&amp;$P$2))</f>
        <v/>
      </c>
      <c r="E100" s="25" t="str">
        <f>IF(OR($B100="",_自动清单!$U$6=""),"",SUMIFS(周转筐出入库明细!$K$4:$K$2004,周转筐出入库明细!$C$4:$C$2004,$B100,周转筐出入库明细!$D$4:$D$2004,_自动清单!$U$6,周转筐出入库明细!$B$4:$B$2004,"&gt;="&amp;$P$1,周转筐出入库明细!$B$4:$B$2004,"&lt;="&amp;$P$2))</f>
        <v/>
      </c>
      <c r="F100" s="25" t="str">
        <f>IF(OR($B100="",_自动清单!$U$7=""),"",SUMIFS(周转筐出入库明细!$K$4:$K$2004,周转筐出入库明细!$C$4:$C$2004,$B100,周转筐出入库明细!$D$4:$D$2004,_自动清单!$U$7,周转筐出入库明细!$B$4:$B$2004,"&gt;="&amp;$P$1,周转筐出入库明细!$B$4:$B$2004,"&lt;="&amp;$P$2))</f>
        <v/>
      </c>
      <c r="G100" s="25" t="str">
        <f>IF($B100="","",SUMIFS(周转筐出入库明细!$K$4:$K$2004,周转筐出入库明细!$C$4:$C$2004,$B100,周转筐出入库明细!$B$4:$B$2004,"&gt;="&amp;$P$1,周转筐出入库明细!$B$4:$B$2004,"&lt;="&amp;$P$2)-SUM($C100:$F100))</f>
        <v/>
      </c>
      <c r="H100" s="25" t="str">
        <f t="shared" si="4"/>
        <v/>
      </c>
      <c r="I100" s="26" t="str">
        <f>IF($B100="","",ROUND(SUMIFS(周转筐出入库明细!$P$4:$P$2004,周转筐出入库明细!$C$4:$C$2004,$B100,周转筐出入库明细!$F$4:$F$2004,"销售出库",周转筐出入库明细!$B$4:$B$2004,"&gt;="&amp;$P$1,周转筐出入库明细!$B$4:$B$2004,"&lt;="&amp;$P$2),2))</f>
        <v/>
      </c>
      <c r="J100" s="26" t="str">
        <f>IF($B100="","",ROUND(SUMIFS(周转筐出入库明细!$P$4:$P$2004,周转筐出入库明细!$C$4:$C$2004,$B100,周转筐出入库明细!$F$4:$F$2004,"销售出库",周转筐出入库明细!$Q$4:$Q$2004,"已收讫",周转筐出入库明细!$B$4:$B$2004,"&gt;="&amp;$P$1,周转筐出入库明细!$B$4:$B$2004,"&lt;="&amp;$P$2),2))</f>
        <v/>
      </c>
      <c r="K100" s="26" t="str">
        <f t="shared" si="5"/>
        <v/>
      </c>
      <c r="L100" s="41"/>
    </row>
    <row r="101" spans="1:12">
      <c r="A101" s="24" t="str">
        <f t="shared" si="3"/>
        <v/>
      </c>
      <c r="B101" s="24" t="str">
        <f>IFERROR(INDEX(_自动清单!$AA$4:$AA$203,ROW()-3),"")</f>
        <v/>
      </c>
      <c r="C101" s="25" t="str">
        <f>IF(OR($B101="",_自动清单!$U$4=""),"",SUMIFS(周转筐出入库明细!$K$4:$K$2004,周转筐出入库明细!$C$4:$C$2004,$B101,周转筐出入库明细!$D$4:$D$2004,_自动清单!$U$4,周转筐出入库明细!$B$4:$B$2004,"&gt;="&amp;$P$1,周转筐出入库明细!$B$4:$B$2004,"&lt;="&amp;$P$2))</f>
        <v/>
      </c>
      <c r="D101" s="25" t="str">
        <f>IF(OR($B101="",_自动清单!$U$5=""),"",SUMIFS(周转筐出入库明细!$K$4:$K$2004,周转筐出入库明细!$C$4:$C$2004,$B101,周转筐出入库明细!$D$4:$D$2004,_自动清单!$U$5,周转筐出入库明细!$B$4:$B$2004,"&gt;="&amp;$P$1,周转筐出入库明细!$B$4:$B$2004,"&lt;="&amp;$P$2))</f>
        <v/>
      </c>
      <c r="E101" s="25" t="str">
        <f>IF(OR($B101="",_自动清单!$U$6=""),"",SUMIFS(周转筐出入库明细!$K$4:$K$2004,周转筐出入库明细!$C$4:$C$2004,$B101,周转筐出入库明细!$D$4:$D$2004,_自动清单!$U$6,周转筐出入库明细!$B$4:$B$2004,"&gt;="&amp;$P$1,周转筐出入库明细!$B$4:$B$2004,"&lt;="&amp;$P$2))</f>
        <v/>
      </c>
      <c r="F101" s="25" t="str">
        <f>IF(OR($B101="",_自动清单!$U$7=""),"",SUMIFS(周转筐出入库明细!$K$4:$K$2004,周转筐出入库明细!$C$4:$C$2004,$B101,周转筐出入库明细!$D$4:$D$2004,_自动清单!$U$7,周转筐出入库明细!$B$4:$B$2004,"&gt;="&amp;$P$1,周转筐出入库明细!$B$4:$B$2004,"&lt;="&amp;$P$2))</f>
        <v/>
      </c>
      <c r="G101" s="25" t="str">
        <f>IF($B101="","",SUMIFS(周转筐出入库明细!$K$4:$K$2004,周转筐出入库明细!$C$4:$C$2004,$B101,周转筐出入库明细!$B$4:$B$2004,"&gt;="&amp;$P$1,周转筐出入库明细!$B$4:$B$2004,"&lt;="&amp;$P$2)-SUM($C101:$F101))</f>
        <v/>
      </c>
      <c r="H101" s="25" t="str">
        <f t="shared" si="4"/>
        <v/>
      </c>
      <c r="I101" s="26" t="str">
        <f>IF($B101="","",ROUND(SUMIFS(周转筐出入库明细!$P$4:$P$2004,周转筐出入库明细!$C$4:$C$2004,$B101,周转筐出入库明细!$F$4:$F$2004,"销售出库",周转筐出入库明细!$B$4:$B$2004,"&gt;="&amp;$P$1,周转筐出入库明细!$B$4:$B$2004,"&lt;="&amp;$P$2),2))</f>
        <v/>
      </c>
      <c r="J101" s="26" t="str">
        <f>IF($B101="","",ROUND(SUMIFS(周转筐出入库明细!$P$4:$P$2004,周转筐出入库明细!$C$4:$C$2004,$B101,周转筐出入库明细!$F$4:$F$2004,"销售出库",周转筐出入库明细!$Q$4:$Q$2004,"已收讫",周转筐出入库明细!$B$4:$B$2004,"&gt;="&amp;$P$1,周转筐出入库明细!$B$4:$B$2004,"&lt;="&amp;$P$2),2))</f>
        <v/>
      </c>
      <c r="K101" s="26" t="str">
        <f t="shared" si="5"/>
        <v/>
      </c>
      <c r="L101" s="41"/>
    </row>
    <row r="102" spans="1:12">
      <c r="A102" s="24" t="str">
        <f t="shared" si="3"/>
        <v/>
      </c>
      <c r="B102" s="24" t="str">
        <f>IFERROR(INDEX(_自动清单!$AA$4:$AA$203,ROW()-3),"")</f>
        <v/>
      </c>
      <c r="C102" s="25" t="str">
        <f>IF(OR($B102="",_自动清单!$U$4=""),"",SUMIFS(周转筐出入库明细!$K$4:$K$2004,周转筐出入库明细!$C$4:$C$2004,$B102,周转筐出入库明细!$D$4:$D$2004,_自动清单!$U$4,周转筐出入库明细!$B$4:$B$2004,"&gt;="&amp;$P$1,周转筐出入库明细!$B$4:$B$2004,"&lt;="&amp;$P$2))</f>
        <v/>
      </c>
      <c r="D102" s="25" t="str">
        <f>IF(OR($B102="",_自动清单!$U$5=""),"",SUMIFS(周转筐出入库明细!$K$4:$K$2004,周转筐出入库明细!$C$4:$C$2004,$B102,周转筐出入库明细!$D$4:$D$2004,_自动清单!$U$5,周转筐出入库明细!$B$4:$B$2004,"&gt;="&amp;$P$1,周转筐出入库明细!$B$4:$B$2004,"&lt;="&amp;$P$2))</f>
        <v/>
      </c>
      <c r="E102" s="25" t="str">
        <f>IF(OR($B102="",_自动清单!$U$6=""),"",SUMIFS(周转筐出入库明细!$K$4:$K$2004,周转筐出入库明细!$C$4:$C$2004,$B102,周转筐出入库明细!$D$4:$D$2004,_自动清单!$U$6,周转筐出入库明细!$B$4:$B$2004,"&gt;="&amp;$P$1,周转筐出入库明细!$B$4:$B$2004,"&lt;="&amp;$P$2))</f>
        <v/>
      </c>
      <c r="F102" s="25" t="str">
        <f>IF(OR($B102="",_自动清单!$U$7=""),"",SUMIFS(周转筐出入库明细!$K$4:$K$2004,周转筐出入库明细!$C$4:$C$2004,$B102,周转筐出入库明细!$D$4:$D$2004,_自动清单!$U$7,周转筐出入库明细!$B$4:$B$2004,"&gt;="&amp;$P$1,周转筐出入库明细!$B$4:$B$2004,"&lt;="&amp;$P$2))</f>
        <v/>
      </c>
      <c r="G102" s="25" t="str">
        <f>IF($B102="","",SUMIFS(周转筐出入库明细!$K$4:$K$2004,周转筐出入库明细!$C$4:$C$2004,$B102,周转筐出入库明细!$B$4:$B$2004,"&gt;="&amp;$P$1,周转筐出入库明细!$B$4:$B$2004,"&lt;="&amp;$P$2)-SUM($C102:$F102))</f>
        <v/>
      </c>
      <c r="H102" s="25" t="str">
        <f t="shared" si="4"/>
        <v/>
      </c>
      <c r="I102" s="26" t="str">
        <f>IF($B102="","",ROUND(SUMIFS(周转筐出入库明细!$P$4:$P$2004,周转筐出入库明细!$C$4:$C$2004,$B102,周转筐出入库明细!$F$4:$F$2004,"销售出库",周转筐出入库明细!$B$4:$B$2004,"&gt;="&amp;$P$1,周转筐出入库明细!$B$4:$B$2004,"&lt;="&amp;$P$2),2))</f>
        <v/>
      </c>
      <c r="J102" s="26" t="str">
        <f>IF($B102="","",ROUND(SUMIFS(周转筐出入库明细!$P$4:$P$2004,周转筐出入库明细!$C$4:$C$2004,$B102,周转筐出入库明细!$F$4:$F$2004,"销售出库",周转筐出入库明细!$Q$4:$Q$2004,"已收讫",周转筐出入库明细!$B$4:$B$2004,"&gt;="&amp;$P$1,周转筐出入库明细!$B$4:$B$2004,"&lt;="&amp;$P$2),2))</f>
        <v/>
      </c>
      <c r="K102" s="26" t="str">
        <f t="shared" si="5"/>
        <v/>
      </c>
      <c r="L102" s="41"/>
    </row>
    <row r="103" spans="1:12">
      <c r="A103" s="24" t="str">
        <f t="shared" si="3"/>
        <v/>
      </c>
      <c r="B103" s="24" t="str">
        <f>IFERROR(INDEX(_自动清单!$AA$4:$AA$203,ROW()-3),"")</f>
        <v/>
      </c>
      <c r="C103" s="25" t="str">
        <f>IF(OR($B103="",_自动清单!$U$4=""),"",SUMIFS(周转筐出入库明细!$K$4:$K$2004,周转筐出入库明细!$C$4:$C$2004,$B103,周转筐出入库明细!$D$4:$D$2004,_自动清单!$U$4,周转筐出入库明细!$B$4:$B$2004,"&gt;="&amp;$P$1,周转筐出入库明细!$B$4:$B$2004,"&lt;="&amp;$P$2))</f>
        <v/>
      </c>
      <c r="D103" s="25" t="str">
        <f>IF(OR($B103="",_自动清单!$U$5=""),"",SUMIFS(周转筐出入库明细!$K$4:$K$2004,周转筐出入库明细!$C$4:$C$2004,$B103,周转筐出入库明细!$D$4:$D$2004,_自动清单!$U$5,周转筐出入库明细!$B$4:$B$2004,"&gt;="&amp;$P$1,周转筐出入库明细!$B$4:$B$2004,"&lt;="&amp;$P$2))</f>
        <v/>
      </c>
      <c r="E103" s="25" t="str">
        <f>IF(OR($B103="",_自动清单!$U$6=""),"",SUMIFS(周转筐出入库明细!$K$4:$K$2004,周转筐出入库明细!$C$4:$C$2004,$B103,周转筐出入库明细!$D$4:$D$2004,_自动清单!$U$6,周转筐出入库明细!$B$4:$B$2004,"&gt;="&amp;$P$1,周转筐出入库明细!$B$4:$B$2004,"&lt;="&amp;$P$2))</f>
        <v/>
      </c>
      <c r="F103" s="25" t="str">
        <f>IF(OR($B103="",_自动清单!$U$7=""),"",SUMIFS(周转筐出入库明细!$K$4:$K$2004,周转筐出入库明细!$C$4:$C$2004,$B103,周转筐出入库明细!$D$4:$D$2004,_自动清单!$U$7,周转筐出入库明细!$B$4:$B$2004,"&gt;="&amp;$P$1,周转筐出入库明细!$B$4:$B$2004,"&lt;="&amp;$P$2))</f>
        <v/>
      </c>
      <c r="G103" s="25" t="str">
        <f>IF($B103="","",SUMIFS(周转筐出入库明细!$K$4:$K$2004,周转筐出入库明细!$C$4:$C$2004,$B103,周转筐出入库明细!$B$4:$B$2004,"&gt;="&amp;$P$1,周转筐出入库明细!$B$4:$B$2004,"&lt;="&amp;$P$2)-SUM($C103:$F103))</f>
        <v/>
      </c>
      <c r="H103" s="25" t="str">
        <f t="shared" si="4"/>
        <v/>
      </c>
      <c r="I103" s="26" t="str">
        <f>IF($B103="","",ROUND(SUMIFS(周转筐出入库明细!$P$4:$P$2004,周转筐出入库明细!$C$4:$C$2004,$B103,周转筐出入库明细!$F$4:$F$2004,"销售出库",周转筐出入库明细!$B$4:$B$2004,"&gt;="&amp;$P$1,周转筐出入库明细!$B$4:$B$2004,"&lt;="&amp;$P$2),2))</f>
        <v/>
      </c>
      <c r="J103" s="26" t="str">
        <f>IF($B103="","",ROUND(SUMIFS(周转筐出入库明细!$P$4:$P$2004,周转筐出入库明细!$C$4:$C$2004,$B103,周转筐出入库明细!$F$4:$F$2004,"销售出库",周转筐出入库明细!$Q$4:$Q$2004,"已收讫",周转筐出入库明细!$B$4:$B$2004,"&gt;="&amp;$P$1,周转筐出入库明细!$B$4:$B$2004,"&lt;="&amp;$P$2),2))</f>
        <v/>
      </c>
      <c r="K103" s="26" t="str">
        <f t="shared" si="5"/>
        <v/>
      </c>
      <c r="L103" s="41"/>
    </row>
    <row r="104" spans="1:12">
      <c r="A104" s="24" t="str">
        <f t="shared" si="3"/>
        <v/>
      </c>
      <c r="B104" s="24" t="str">
        <f>IFERROR(INDEX(_自动清单!$AA$4:$AA$203,ROW()-3),"")</f>
        <v/>
      </c>
      <c r="C104" s="25" t="str">
        <f>IF(OR($B104="",_自动清单!$U$4=""),"",SUMIFS(周转筐出入库明细!$K$4:$K$2004,周转筐出入库明细!$C$4:$C$2004,$B104,周转筐出入库明细!$D$4:$D$2004,_自动清单!$U$4,周转筐出入库明细!$B$4:$B$2004,"&gt;="&amp;$P$1,周转筐出入库明细!$B$4:$B$2004,"&lt;="&amp;$P$2))</f>
        <v/>
      </c>
      <c r="D104" s="25" t="str">
        <f>IF(OR($B104="",_自动清单!$U$5=""),"",SUMIFS(周转筐出入库明细!$K$4:$K$2004,周转筐出入库明细!$C$4:$C$2004,$B104,周转筐出入库明细!$D$4:$D$2004,_自动清单!$U$5,周转筐出入库明细!$B$4:$B$2004,"&gt;="&amp;$P$1,周转筐出入库明细!$B$4:$B$2004,"&lt;="&amp;$P$2))</f>
        <v/>
      </c>
      <c r="E104" s="25" t="str">
        <f>IF(OR($B104="",_自动清单!$U$6=""),"",SUMIFS(周转筐出入库明细!$K$4:$K$2004,周转筐出入库明细!$C$4:$C$2004,$B104,周转筐出入库明细!$D$4:$D$2004,_自动清单!$U$6,周转筐出入库明细!$B$4:$B$2004,"&gt;="&amp;$P$1,周转筐出入库明细!$B$4:$B$2004,"&lt;="&amp;$P$2))</f>
        <v/>
      </c>
      <c r="F104" s="25" t="str">
        <f>IF(OR($B104="",_自动清单!$U$7=""),"",SUMIFS(周转筐出入库明细!$K$4:$K$2004,周转筐出入库明细!$C$4:$C$2004,$B104,周转筐出入库明细!$D$4:$D$2004,_自动清单!$U$7,周转筐出入库明细!$B$4:$B$2004,"&gt;="&amp;$P$1,周转筐出入库明细!$B$4:$B$2004,"&lt;="&amp;$P$2))</f>
        <v/>
      </c>
      <c r="G104" s="25" t="str">
        <f>IF($B104="","",SUMIFS(周转筐出入库明细!$K$4:$K$2004,周转筐出入库明细!$C$4:$C$2004,$B104,周转筐出入库明细!$B$4:$B$2004,"&gt;="&amp;$P$1,周转筐出入库明细!$B$4:$B$2004,"&lt;="&amp;$P$2)-SUM($C104:$F104))</f>
        <v/>
      </c>
      <c r="H104" s="25" t="str">
        <f t="shared" si="4"/>
        <v/>
      </c>
      <c r="I104" s="26" t="str">
        <f>IF($B104="","",ROUND(SUMIFS(周转筐出入库明细!$P$4:$P$2004,周转筐出入库明细!$C$4:$C$2004,$B104,周转筐出入库明细!$F$4:$F$2004,"销售出库",周转筐出入库明细!$B$4:$B$2004,"&gt;="&amp;$P$1,周转筐出入库明细!$B$4:$B$2004,"&lt;="&amp;$P$2),2))</f>
        <v/>
      </c>
      <c r="J104" s="26" t="str">
        <f>IF($B104="","",ROUND(SUMIFS(周转筐出入库明细!$P$4:$P$2004,周转筐出入库明细!$C$4:$C$2004,$B104,周转筐出入库明细!$F$4:$F$2004,"销售出库",周转筐出入库明细!$Q$4:$Q$2004,"已收讫",周转筐出入库明细!$B$4:$B$2004,"&gt;="&amp;$P$1,周转筐出入库明细!$B$4:$B$2004,"&lt;="&amp;$P$2),2))</f>
        <v/>
      </c>
      <c r="K104" s="26" t="str">
        <f t="shared" si="5"/>
        <v/>
      </c>
      <c r="L104" s="41"/>
    </row>
    <row r="105" spans="1:12">
      <c r="A105" s="24" t="str">
        <f t="shared" si="3"/>
        <v/>
      </c>
      <c r="B105" s="24" t="str">
        <f>IFERROR(INDEX(_自动清单!$AA$4:$AA$203,ROW()-3),"")</f>
        <v/>
      </c>
      <c r="C105" s="25" t="str">
        <f>IF(OR($B105="",_自动清单!$U$4=""),"",SUMIFS(周转筐出入库明细!$K$4:$K$2004,周转筐出入库明细!$C$4:$C$2004,$B105,周转筐出入库明细!$D$4:$D$2004,_自动清单!$U$4,周转筐出入库明细!$B$4:$B$2004,"&gt;="&amp;$P$1,周转筐出入库明细!$B$4:$B$2004,"&lt;="&amp;$P$2))</f>
        <v/>
      </c>
      <c r="D105" s="25" t="str">
        <f>IF(OR($B105="",_自动清单!$U$5=""),"",SUMIFS(周转筐出入库明细!$K$4:$K$2004,周转筐出入库明细!$C$4:$C$2004,$B105,周转筐出入库明细!$D$4:$D$2004,_自动清单!$U$5,周转筐出入库明细!$B$4:$B$2004,"&gt;="&amp;$P$1,周转筐出入库明细!$B$4:$B$2004,"&lt;="&amp;$P$2))</f>
        <v/>
      </c>
      <c r="E105" s="25" t="str">
        <f>IF(OR($B105="",_自动清单!$U$6=""),"",SUMIFS(周转筐出入库明细!$K$4:$K$2004,周转筐出入库明细!$C$4:$C$2004,$B105,周转筐出入库明细!$D$4:$D$2004,_自动清单!$U$6,周转筐出入库明细!$B$4:$B$2004,"&gt;="&amp;$P$1,周转筐出入库明细!$B$4:$B$2004,"&lt;="&amp;$P$2))</f>
        <v/>
      </c>
      <c r="F105" s="25" t="str">
        <f>IF(OR($B105="",_自动清单!$U$7=""),"",SUMIFS(周转筐出入库明细!$K$4:$K$2004,周转筐出入库明细!$C$4:$C$2004,$B105,周转筐出入库明细!$D$4:$D$2004,_自动清单!$U$7,周转筐出入库明细!$B$4:$B$2004,"&gt;="&amp;$P$1,周转筐出入库明细!$B$4:$B$2004,"&lt;="&amp;$P$2))</f>
        <v/>
      </c>
      <c r="G105" s="25" t="str">
        <f>IF($B105="","",SUMIFS(周转筐出入库明细!$K$4:$K$2004,周转筐出入库明细!$C$4:$C$2004,$B105,周转筐出入库明细!$B$4:$B$2004,"&gt;="&amp;$P$1,周转筐出入库明细!$B$4:$B$2004,"&lt;="&amp;$P$2)-SUM($C105:$F105))</f>
        <v/>
      </c>
      <c r="H105" s="25" t="str">
        <f t="shared" si="4"/>
        <v/>
      </c>
      <c r="I105" s="26" t="str">
        <f>IF($B105="","",ROUND(SUMIFS(周转筐出入库明细!$P$4:$P$2004,周转筐出入库明细!$C$4:$C$2004,$B105,周转筐出入库明细!$F$4:$F$2004,"销售出库",周转筐出入库明细!$B$4:$B$2004,"&gt;="&amp;$P$1,周转筐出入库明细!$B$4:$B$2004,"&lt;="&amp;$P$2),2))</f>
        <v/>
      </c>
      <c r="J105" s="26" t="str">
        <f>IF($B105="","",ROUND(SUMIFS(周转筐出入库明细!$P$4:$P$2004,周转筐出入库明细!$C$4:$C$2004,$B105,周转筐出入库明细!$F$4:$F$2004,"销售出库",周转筐出入库明细!$Q$4:$Q$2004,"已收讫",周转筐出入库明细!$B$4:$B$2004,"&gt;="&amp;$P$1,周转筐出入库明细!$B$4:$B$2004,"&lt;="&amp;$P$2),2))</f>
        <v/>
      </c>
      <c r="K105" s="26" t="str">
        <f t="shared" si="5"/>
        <v/>
      </c>
      <c r="L105" s="41"/>
    </row>
    <row r="106" spans="1:12">
      <c r="A106" s="24" t="str">
        <f t="shared" si="3"/>
        <v/>
      </c>
      <c r="B106" s="24" t="str">
        <f>IFERROR(INDEX(_自动清单!$AA$4:$AA$203,ROW()-3),"")</f>
        <v/>
      </c>
      <c r="C106" s="25" t="str">
        <f>IF(OR($B106="",_自动清单!$U$4=""),"",SUMIFS(周转筐出入库明细!$K$4:$K$2004,周转筐出入库明细!$C$4:$C$2004,$B106,周转筐出入库明细!$D$4:$D$2004,_自动清单!$U$4,周转筐出入库明细!$B$4:$B$2004,"&gt;="&amp;$P$1,周转筐出入库明细!$B$4:$B$2004,"&lt;="&amp;$P$2))</f>
        <v/>
      </c>
      <c r="D106" s="25" t="str">
        <f>IF(OR($B106="",_自动清单!$U$5=""),"",SUMIFS(周转筐出入库明细!$K$4:$K$2004,周转筐出入库明细!$C$4:$C$2004,$B106,周转筐出入库明细!$D$4:$D$2004,_自动清单!$U$5,周转筐出入库明细!$B$4:$B$2004,"&gt;="&amp;$P$1,周转筐出入库明细!$B$4:$B$2004,"&lt;="&amp;$P$2))</f>
        <v/>
      </c>
      <c r="E106" s="25" t="str">
        <f>IF(OR($B106="",_自动清单!$U$6=""),"",SUMIFS(周转筐出入库明细!$K$4:$K$2004,周转筐出入库明细!$C$4:$C$2004,$B106,周转筐出入库明细!$D$4:$D$2004,_自动清单!$U$6,周转筐出入库明细!$B$4:$B$2004,"&gt;="&amp;$P$1,周转筐出入库明细!$B$4:$B$2004,"&lt;="&amp;$P$2))</f>
        <v/>
      </c>
      <c r="F106" s="25" t="str">
        <f>IF(OR($B106="",_自动清单!$U$7=""),"",SUMIFS(周转筐出入库明细!$K$4:$K$2004,周转筐出入库明细!$C$4:$C$2004,$B106,周转筐出入库明细!$D$4:$D$2004,_自动清单!$U$7,周转筐出入库明细!$B$4:$B$2004,"&gt;="&amp;$P$1,周转筐出入库明细!$B$4:$B$2004,"&lt;="&amp;$P$2))</f>
        <v/>
      </c>
      <c r="G106" s="25" t="str">
        <f>IF($B106="","",SUMIFS(周转筐出入库明细!$K$4:$K$2004,周转筐出入库明细!$C$4:$C$2004,$B106,周转筐出入库明细!$B$4:$B$2004,"&gt;="&amp;$P$1,周转筐出入库明细!$B$4:$B$2004,"&lt;="&amp;$P$2)-SUM($C106:$F106))</f>
        <v/>
      </c>
      <c r="H106" s="25" t="str">
        <f t="shared" si="4"/>
        <v/>
      </c>
      <c r="I106" s="26" t="str">
        <f>IF($B106="","",ROUND(SUMIFS(周转筐出入库明细!$P$4:$P$2004,周转筐出入库明细!$C$4:$C$2004,$B106,周转筐出入库明细!$F$4:$F$2004,"销售出库",周转筐出入库明细!$B$4:$B$2004,"&gt;="&amp;$P$1,周转筐出入库明细!$B$4:$B$2004,"&lt;="&amp;$P$2),2))</f>
        <v/>
      </c>
      <c r="J106" s="26" t="str">
        <f>IF($B106="","",ROUND(SUMIFS(周转筐出入库明细!$P$4:$P$2004,周转筐出入库明细!$C$4:$C$2004,$B106,周转筐出入库明细!$F$4:$F$2004,"销售出库",周转筐出入库明细!$Q$4:$Q$2004,"已收讫",周转筐出入库明细!$B$4:$B$2004,"&gt;="&amp;$P$1,周转筐出入库明细!$B$4:$B$2004,"&lt;="&amp;$P$2),2))</f>
        <v/>
      </c>
      <c r="K106" s="26" t="str">
        <f t="shared" si="5"/>
        <v/>
      </c>
      <c r="L106" s="41"/>
    </row>
    <row r="107" spans="1:12">
      <c r="A107" s="24" t="str">
        <f t="shared" si="3"/>
        <v/>
      </c>
      <c r="B107" s="24" t="str">
        <f>IFERROR(INDEX(_自动清单!$AA$4:$AA$203,ROW()-3),"")</f>
        <v/>
      </c>
      <c r="C107" s="25" t="str">
        <f>IF(OR($B107="",_自动清单!$U$4=""),"",SUMIFS(周转筐出入库明细!$K$4:$K$2004,周转筐出入库明细!$C$4:$C$2004,$B107,周转筐出入库明细!$D$4:$D$2004,_自动清单!$U$4,周转筐出入库明细!$B$4:$B$2004,"&gt;="&amp;$P$1,周转筐出入库明细!$B$4:$B$2004,"&lt;="&amp;$P$2))</f>
        <v/>
      </c>
      <c r="D107" s="25" t="str">
        <f>IF(OR($B107="",_自动清单!$U$5=""),"",SUMIFS(周转筐出入库明细!$K$4:$K$2004,周转筐出入库明细!$C$4:$C$2004,$B107,周转筐出入库明细!$D$4:$D$2004,_自动清单!$U$5,周转筐出入库明细!$B$4:$B$2004,"&gt;="&amp;$P$1,周转筐出入库明细!$B$4:$B$2004,"&lt;="&amp;$P$2))</f>
        <v/>
      </c>
      <c r="E107" s="25" t="str">
        <f>IF(OR($B107="",_自动清单!$U$6=""),"",SUMIFS(周转筐出入库明细!$K$4:$K$2004,周转筐出入库明细!$C$4:$C$2004,$B107,周转筐出入库明细!$D$4:$D$2004,_自动清单!$U$6,周转筐出入库明细!$B$4:$B$2004,"&gt;="&amp;$P$1,周转筐出入库明细!$B$4:$B$2004,"&lt;="&amp;$P$2))</f>
        <v/>
      </c>
      <c r="F107" s="25" t="str">
        <f>IF(OR($B107="",_自动清单!$U$7=""),"",SUMIFS(周转筐出入库明细!$K$4:$K$2004,周转筐出入库明细!$C$4:$C$2004,$B107,周转筐出入库明细!$D$4:$D$2004,_自动清单!$U$7,周转筐出入库明细!$B$4:$B$2004,"&gt;="&amp;$P$1,周转筐出入库明细!$B$4:$B$2004,"&lt;="&amp;$P$2))</f>
        <v/>
      </c>
      <c r="G107" s="25" t="str">
        <f>IF($B107="","",SUMIFS(周转筐出入库明细!$K$4:$K$2004,周转筐出入库明细!$C$4:$C$2004,$B107,周转筐出入库明细!$B$4:$B$2004,"&gt;="&amp;$P$1,周转筐出入库明细!$B$4:$B$2004,"&lt;="&amp;$P$2)-SUM($C107:$F107))</f>
        <v/>
      </c>
      <c r="H107" s="25" t="str">
        <f t="shared" si="4"/>
        <v/>
      </c>
      <c r="I107" s="26" t="str">
        <f>IF($B107="","",ROUND(SUMIFS(周转筐出入库明细!$P$4:$P$2004,周转筐出入库明细!$C$4:$C$2004,$B107,周转筐出入库明细!$F$4:$F$2004,"销售出库",周转筐出入库明细!$B$4:$B$2004,"&gt;="&amp;$P$1,周转筐出入库明细!$B$4:$B$2004,"&lt;="&amp;$P$2),2))</f>
        <v/>
      </c>
      <c r="J107" s="26" t="str">
        <f>IF($B107="","",ROUND(SUMIFS(周转筐出入库明细!$P$4:$P$2004,周转筐出入库明细!$C$4:$C$2004,$B107,周转筐出入库明细!$F$4:$F$2004,"销售出库",周转筐出入库明细!$Q$4:$Q$2004,"已收讫",周转筐出入库明细!$B$4:$B$2004,"&gt;="&amp;$P$1,周转筐出入库明细!$B$4:$B$2004,"&lt;="&amp;$P$2),2))</f>
        <v/>
      </c>
      <c r="K107" s="26" t="str">
        <f t="shared" si="5"/>
        <v/>
      </c>
      <c r="L107" s="41"/>
    </row>
    <row r="108" spans="1:12">
      <c r="A108" s="24" t="str">
        <f t="shared" si="3"/>
        <v/>
      </c>
      <c r="B108" s="24" t="str">
        <f>IFERROR(INDEX(_自动清单!$AA$4:$AA$203,ROW()-3),"")</f>
        <v/>
      </c>
      <c r="C108" s="25" t="str">
        <f>IF(OR($B108="",_自动清单!$U$4=""),"",SUMIFS(周转筐出入库明细!$K$4:$K$2004,周转筐出入库明细!$C$4:$C$2004,$B108,周转筐出入库明细!$D$4:$D$2004,_自动清单!$U$4,周转筐出入库明细!$B$4:$B$2004,"&gt;="&amp;$P$1,周转筐出入库明细!$B$4:$B$2004,"&lt;="&amp;$P$2))</f>
        <v/>
      </c>
      <c r="D108" s="25" t="str">
        <f>IF(OR($B108="",_自动清单!$U$5=""),"",SUMIFS(周转筐出入库明细!$K$4:$K$2004,周转筐出入库明细!$C$4:$C$2004,$B108,周转筐出入库明细!$D$4:$D$2004,_自动清单!$U$5,周转筐出入库明细!$B$4:$B$2004,"&gt;="&amp;$P$1,周转筐出入库明细!$B$4:$B$2004,"&lt;="&amp;$P$2))</f>
        <v/>
      </c>
      <c r="E108" s="25" t="str">
        <f>IF(OR($B108="",_自动清单!$U$6=""),"",SUMIFS(周转筐出入库明细!$K$4:$K$2004,周转筐出入库明细!$C$4:$C$2004,$B108,周转筐出入库明细!$D$4:$D$2004,_自动清单!$U$6,周转筐出入库明细!$B$4:$B$2004,"&gt;="&amp;$P$1,周转筐出入库明细!$B$4:$B$2004,"&lt;="&amp;$P$2))</f>
        <v/>
      </c>
      <c r="F108" s="25" t="str">
        <f>IF(OR($B108="",_自动清单!$U$7=""),"",SUMIFS(周转筐出入库明细!$K$4:$K$2004,周转筐出入库明细!$C$4:$C$2004,$B108,周转筐出入库明细!$D$4:$D$2004,_自动清单!$U$7,周转筐出入库明细!$B$4:$B$2004,"&gt;="&amp;$P$1,周转筐出入库明细!$B$4:$B$2004,"&lt;="&amp;$P$2))</f>
        <v/>
      </c>
      <c r="G108" s="25" t="str">
        <f>IF($B108="","",SUMIFS(周转筐出入库明细!$K$4:$K$2004,周转筐出入库明细!$C$4:$C$2004,$B108,周转筐出入库明细!$B$4:$B$2004,"&gt;="&amp;$P$1,周转筐出入库明细!$B$4:$B$2004,"&lt;="&amp;$P$2)-SUM($C108:$F108))</f>
        <v/>
      </c>
      <c r="H108" s="25" t="str">
        <f t="shared" si="4"/>
        <v/>
      </c>
      <c r="I108" s="26" t="str">
        <f>IF($B108="","",ROUND(SUMIFS(周转筐出入库明细!$P$4:$P$2004,周转筐出入库明细!$C$4:$C$2004,$B108,周转筐出入库明细!$F$4:$F$2004,"销售出库",周转筐出入库明细!$B$4:$B$2004,"&gt;="&amp;$P$1,周转筐出入库明细!$B$4:$B$2004,"&lt;="&amp;$P$2),2))</f>
        <v/>
      </c>
      <c r="J108" s="26" t="str">
        <f>IF($B108="","",ROUND(SUMIFS(周转筐出入库明细!$P$4:$P$2004,周转筐出入库明细!$C$4:$C$2004,$B108,周转筐出入库明细!$F$4:$F$2004,"销售出库",周转筐出入库明细!$Q$4:$Q$2004,"已收讫",周转筐出入库明细!$B$4:$B$2004,"&gt;="&amp;$P$1,周转筐出入库明细!$B$4:$B$2004,"&lt;="&amp;$P$2),2))</f>
        <v/>
      </c>
      <c r="K108" s="26" t="str">
        <f t="shared" si="5"/>
        <v/>
      </c>
      <c r="L108" s="41"/>
    </row>
    <row r="109" spans="1:12">
      <c r="A109" s="24" t="str">
        <f t="shared" si="3"/>
        <v/>
      </c>
      <c r="B109" s="24" t="str">
        <f>IFERROR(INDEX(_自动清单!$AA$4:$AA$203,ROW()-3),"")</f>
        <v/>
      </c>
      <c r="C109" s="25" t="str">
        <f>IF(OR($B109="",_自动清单!$U$4=""),"",SUMIFS(周转筐出入库明细!$K$4:$K$2004,周转筐出入库明细!$C$4:$C$2004,$B109,周转筐出入库明细!$D$4:$D$2004,_自动清单!$U$4,周转筐出入库明细!$B$4:$B$2004,"&gt;="&amp;$P$1,周转筐出入库明细!$B$4:$B$2004,"&lt;="&amp;$P$2))</f>
        <v/>
      </c>
      <c r="D109" s="25" t="str">
        <f>IF(OR($B109="",_自动清单!$U$5=""),"",SUMIFS(周转筐出入库明细!$K$4:$K$2004,周转筐出入库明细!$C$4:$C$2004,$B109,周转筐出入库明细!$D$4:$D$2004,_自动清单!$U$5,周转筐出入库明细!$B$4:$B$2004,"&gt;="&amp;$P$1,周转筐出入库明细!$B$4:$B$2004,"&lt;="&amp;$P$2))</f>
        <v/>
      </c>
      <c r="E109" s="25" t="str">
        <f>IF(OR($B109="",_自动清单!$U$6=""),"",SUMIFS(周转筐出入库明细!$K$4:$K$2004,周转筐出入库明细!$C$4:$C$2004,$B109,周转筐出入库明细!$D$4:$D$2004,_自动清单!$U$6,周转筐出入库明细!$B$4:$B$2004,"&gt;="&amp;$P$1,周转筐出入库明细!$B$4:$B$2004,"&lt;="&amp;$P$2))</f>
        <v/>
      </c>
      <c r="F109" s="25" t="str">
        <f>IF(OR($B109="",_自动清单!$U$7=""),"",SUMIFS(周转筐出入库明细!$K$4:$K$2004,周转筐出入库明细!$C$4:$C$2004,$B109,周转筐出入库明细!$D$4:$D$2004,_自动清单!$U$7,周转筐出入库明细!$B$4:$B$2004,"&gt;="&amp;$P$1,周转筐出入库明细!$B$4:$B$2004,"&lt;="&amp;$P$2))</f>
        <v/>
      </c>
      <c r="G109" s="25" t="str">
        <f>IF($B109="","",SUMIFS(周转筐出入库明细!$K$4:$K$2004,周转筐出入库明细!$C$4:$C$2004,$B109,周转筐出入库明细!$B$4:$B$2004,"&gt;="&amp;$P$1,周转筐出入库明细!$B$4:$B$2004,"&lt;="&amp;$P$2)-SUM($C109:$F109))</f>
        <v/>
      </c>
      <c r="H109" s="25" t="str">
        <f t="shared" si="4"/>
        <v/>
      </c>
      <c r="I109" s="26" t="str">
        <f>IF($B109="","",ROUND(SUMIFS(周转筐出入库明细!$P$4:$P$2004,周转筐出入库明细!$C$4:$C$2004,$B109,周转筐出入库明细!$F$4:$F$2004,"销售出库",周转筐出入库明细!$B$4:$B$2004,"&gt;="&amp;$P$1,周转筐出入库明细!$B$4:$B$2004,"&lt;="&amp;$P$2),2))</f>
        <v/>
      </c>
      <c r="J109" s="26" t="str">
        <f>IF($B109="","",ROUND(SUMIFS(周转筐出入库明细!$P$4:$P$2004,周转筐出入库明细!$C$4:$C$2004,$B109,周转筐出入库明细!$F$4:$F$2004,"销售出库",周转筐出入库明细!$Q$4:$Q$2004,"已收讫",周转筐出入库明细!$B$4:$B$2004,"&gt;="&amp;$P$1,周转筐出入库明细!$B$4:$B$2004,"&lt;="&amp;$P$2),2))</f>
        <v/>
      </c>
      <c r="K109" s="26" t="str">
        <f t="shared" si="5"/>
        <v/>
      </c>
      <c r="L109" s="41"/>
    </row>
    <row r="110" spans="1:12">
      <c r="A110" s="24" t="str">
        <f t="shared" si="3"/>
        <v/>
      </c>
      <c r="B110" s="24" t="str">
        <f>IFERROR(INDEX(_自动清单!$AA$4:$AA$203,ROW()-3),"")</f>
        <v/>
      </c>
      <c r="C110" s="25" t="str">
        <f>IF(OR($B110="",_自动清单!$U$4=""),"",SUMIFS(周转筐出入库明细!$K$4:$K$2004,周转筐出入库明细!$C$4:$C$2004,$B110,周转筐出入库明细!$D$4:$D$2004,_自动清单!$U$4,周转筐出入库明细!$B$4:$B$2004,"&gt;="&amp;$P$1,周转筐出入库明细!$B$4:$B$2004,"&lt;="&amp;$P$2))</f>
        <v/>
      </c>
      <c r="D110" s="25" t="str">
        <f>IF(OR($B110="",_自动清单!$U$5=""),"",SUMIFS(周转筐出入库明细!$K$4:$K$2004,周转筐出入库明细!$C$4:$C$2004,$B110,周转筐出入库明细!$D$4:$D$2004,_自动清单!$U$5,周转筐出入库明细!$B$4:$B$2004,"&gt;="&amp;$P$1,周转筐出入库明细!$B$4:$B$2004,"&lt;="&amp;$P$2))</f>
        <v/>
      </c>
      <c r="E110" s="25" t="str">
        <f>IF(OR($B110="",_自动清单!$U$6=""),"",SUMIFS(周转筐出入库明细!$K$4:$K$2004,周转筐出入库明细!$C$4:$C$2004,$B110,周转筐出入库明细!$D$4:$D$2004,_自动清单!$U$6,周转筐出入库明细!$B$4:$B$2004,"&gt;="&amp;$P$1,周转筐出入库明细!$B$4:$B$2004,"&lt;="&amp;$P$2))</f>
        <v/>
      </c>
      <c r="F110" s="25" t="str">
        <f>IF(OR($B110="",_自动清单!$U$7=""),"",SUMIFS(周转筐出入库明细!$K$4:$K$2004,周转筐出入库明细!$C$4:$C$2004,$B110,周转筐出入库明细!$D$4:$D$2004,_自动清单!$U$7,周转筐出入库明细!$B$4:$B$2004,"&gt;="&amp;$P$1,周转筐出入库明细!$B$4:$B$2004,"&lt;="&amp;$P$2))</f>
        <v/>
      </c>
      <c r="G110" s="25" t="str">
        <f>IF($B110="","",SUMIFS(周转筐出入库明细!$K$4:$K$2004,周转筐出入库明细!$C$4:$C$2004,$B110,周转筐出入库明细!$B$4:$B$2004,"&gt;="&amp;$P$1,周转筐出入库明细!$B$4:$B$2004,"&lt;="&amp;$P$2)-SUM($C110:$F110))</f>
        <v/>
      </c>
      <c r="H110" s="25" t="str">
        <f t="shared" si="4"/>
        <v/>
      </c>
      <c r="I110" s="26" t="str">
        <f>IF($B110="","",ROUND(SUMIFS(周转筐出入库明细!$P$4:$P$2004,周转筐出入库明细!$C$4:$C$2004,$B110,周转筐出入库明细!$F$4:$F$2004,"销售出库",周转筐出入库明细!$B$4:$B$2004,"&gt;="&amp;$P$1,周转筐出入库明细!$B$4:$B$2004,"&lt;="&amp;$P$2),2))</f>
        <v/>
      </c>
      <c r="J110" s="26" t="str">
        <f>IF($B110="","",ROUND(SUMIFS(周转筐出入库明细!$P$4:$P$2004,周转筐出入库明细!$C$4:$C$2004,$B110,周转筐出入库明细!$F$4:$F$2004,"销售出库",周转筐出入库明细!$Q$4:$Q$2004,"已收讫",周转筐出入库明细!$B$4:$B$2004,"&gt;="&amp;$P$1,周转筐出入库明细!$B$4:$B$2004,"&lt;="&amp;$P$2),2))</f>
        <v/>
      </c>
      <c r="K110" s="26" t="str">
        <f t="shared" si="5"/>
        <v/>
      </c>
      <c r="L110" s="41"/>
    </row>
    <row r="111" spans="1:12">
      <c r="A111" s="24" t="str">
        <f t="shared" si="3"/>
        <v/>
      </c>
      <c r="B111" s="24" t="str">
        <f>IFERROR(INDEX(_自动清单!$AA$4:$AA$203,ROW()-3),"")</f>
        <v/>
      </c>
      <c r="C111" s="25" t="str">
        <f>IF(OR($B111="",_自动清单!$U$4=""),"",SUMIFS(周转筐出入库明细!$K$4:$K$2004,周转筐出入库明细!$C$4:$C$2004,$B111,周转筐出入库明细!$D$4:$D$2004,_自动清单!$U$4,周转筐出入库明细!$B$4:$B$2004,"&gt;="&amp;$P$1,周转筐出入库明细!$B$4:$B$2004,"&lt;="&amp;$P$2))</f>
        <v/>
      </c>
      <c r="D111" s="25" t="str">
        <f>IF(OR($B111="",_自动清单!$U$5=""),"",SUMIFS(周转筐出入库明细!$K$4:$K$2004,周转筐出入库明细!$C$4:$C$2004,$B111,周转筐出入库明细!$D$4:$D$2004,_自动清单!$U$5,周转筐出入库明细!$B$4:$B$2004,"&gt;="&amp;$P$1,周转筐出入库明细!$B$4:$B$2004,"&lt;="&amp;$P$2))</f>
        <v/>
      </c>
      <c r="E111" s="25" t="str">
        <f>IF(OR($B111="",_自动清单!$U$6=""),"",SUMIFS(周转筐出入库明细!$K$4:$K$2004,周转筐出入库明细!$C$4:$C$2004,$B111,周转筐出入库明细!$D$4:$D$2004,_自动清单!$U$6,周转筐出入库明细!$B$4:$B$2004,"&gt;="&amp;$P$1,周转筐出入库明细!$B$4:$B$2004,"&lt;="&amp;$P$2))</f>
        <v/>
      </c>
      <c r="F111" s="25" t="str">
        <f>IF(OR($B111="",_自动清单!$U$7=""),"",SUMIFS(周转筐出入库明细!$K$4:$K$2004,周转筐出入库明细!$C$4:$C$2004,$B111,周转筐出入库明细!$D$4:$D$2004,_自动清单!$U$7,周转筐出入库明细!$B$4:$B$2004,"&gt;="&amp;$P$1,周转筐出入库明细!$B$4:$B$2004,"&lt;="&amp;$P$2))</f>
        <v/>
      </c>
      <c r="G111" s="25" t="str">
        <f>IF($B111="","",SUMIFS(周转筐出入库明细!$K$4:$K$2004,周转筐出入库明细!$C$4:$C$2004,$B111,周转筐出入库明细!$B$4:$B$2004,"&gt;="&amp;$P$1,周转筐出入库明细!$B$4:$B$2004,"&lt;="&amp;$P$2)-SUM($C111:$F111))</f>
        <v/>
      </c>
      <c r="H111" s="25" t="str">
        <f t="shared" si="4"/>
        <v/>
      </c>
      <c r="I111" s="26" t="str">
        <f>IF($B111="","",ROUND(SUMIFS(周转筐出入库明细!$P$4:$P$2004,周转筐出入库明细!$C$4:$C$2004,$B111,周转筐出入库明细!$F$4:$F$2004,"销售出库",周转筐出入库明细!$B$4:$B$2004,"&gt;="&amp;$P$1,周转筐出入库明细!$B$4:$B$2004,"&lt;="&amp;$P$2),2))</f>
        <v/>
      </c>
      <c r="J111" s="26" t="str">
        <f>IF($B111="","",ROUND(SUMIFS(周转筐出入库明细!$P$4:$P$2004,周转筐出入库明细!$C$4:$C$2004,$B111,周转筐出入库明细!$F$4:$F$2004,"销售出库",周转筐出入库明细!$Q$4:$Q$2004,"已收讫",周转筐出入库明细!$B$4:$B$2004,"&gt;="&amp;$P$1,周转筐出入库明细!$B$4:$B$2004,"&lt;="&amp;$P$2),2))</f>
        <v/>
      </c>
      <c r="K111" s="26" t="str">
        <f t="shared" si="5"/>
        <v/>
      </c>
      <c r="L111" s="41"/>
    </row>
    <row r="112" spans="1:12">
      <c r="A112" s="24" t="str">
        <f t="shared" si="3"/>
        <v/>
      </c>
      <c r="B112" s="24" t="str">
        <f>IFERROR(INDEX(_自动清单!$AA$4:$AA$203,ROW()-3),"")</f>
        <v/>
      </c>
      <c r="C112" s="25" t="str">
        <f>IF(OR($B112="",_自动清单!$U$4=""),"",SUMIFS(周转筐出入库明细!$K$4:$K$2004,周转筐出入库明细!$C$4:$C$2004,$B112,周转筐出入库明细!$D$4:$D$2004,_自动清单!$U$4,周转筐出入库明细!$B$4:$B$2004,"&gt;="&amp;$P$1,周转筐出入库明细!$B$4:$B$2004,"&lt;="&amp;$P$2))</f>
        <v/>
      </c>
      <c r="D112" s="25" t="str">
        <f>IF(OR($B112="",_自动清单!$U$5=""),"",SUMIFS(周转筐出入库明细!$K$4:$K$2004,周转筐出入库明细!$C$4:$C$2004,$B112,周转筐出入库明细!$D$4:$D$2004,_自动清单!$U$5,周转筐出入库明细!$B$4:$B$2004,"&gt;="&amp;$P$1,周转筐出入库明细!$B$4:$B$2004,"&lt;="&amp;$P$2))</f>
        <v/>
      </c>
      <c r="E112" s="25" t="str">
        <f>IF(OR($B112="",_自动清单!$U$6=""),"",SUMIFS(周转筐出入库明细!$K$4:$K$2004,周转筐出入库明细!$C$4:$C$2004,$B112,周转筐出入库明细!$D$4:$D$2004,_自动清单!$U$6,周转筐出入库明细!$B$4:$B$2004,"&gt;="&amp;$P$1,周转筐出入库明细!$B$4:$B$2004,"&lt;="&amp;$P$2))</f>
        <v/>
      </c>
      <c r="F112" s="25" t="str">
        <f>IF(OR($B112="",_自动清单!$U$7=""),"",SUMIFS(周转筐出入库明细!$K$4:$K$2004,周转筐出入库明细!$C$4:$C$2004,$B112,周转筐出入库明细!$D$4:$D$2004,_自动清单!$U$7,周转筐出入库明细!$B$4:$B$2004,"&gt;="&amp;$P$1,周转筐出入库明细!$B$4:$B$2004,"&lt;="&amp;$P$2))</f>
        <v/>
      </c>
      <c r="G112" s="25" t="str">
        <f>IF($B112="","",SUMIFS(周转筐出入库明细!$K$4:$K$2004,周转筐出入库明细!$C$4:$C$2004,$B112,周转筐出入库明细!$B$4:$B$2004,"&gt;="&amp;$P$1,周转筐出入库明细!$B$4:$B$2004,"&lt;="&amp;$P$2)-SUM($C112:$F112))</f>
        <v/>
      </c>
      <c r="H112" s="25" t="str">
        <f t="shared" si="4"/>
        <v/>
      </c>
      <c r="I112" s="26" t="str">
        <f>IF($B112="","",ROUND(SUMIFS(周转筐出入库明细!$P$4:$P$2004,周转筐出入库明细!$C$4:$C$2004,$B112,周转筐出入库明细!$F$4:$F$2004,"销售出库",周转筐出入库明细!$B$4:$B$2004,"&gt;="&amp;$P$1,周转筐出入库明细!$B$4:$B$2004,"&lt;="&amp;$P$2),2))</f>
        <v/>
      </c>
      <c r="J112" s="26" t="str">
        <f>IF($B112="","",ROUND(SUMIFS(周转筐出入库明细!$P$4:$P$2004,周转筐出入库明细!$C$4:$C$2004,$B112,周转筐出入库明细!$F$4:$F$2004,"销售出库",周转筐出入库明细!$Q$4:$Q$2004,"已收讫",周转筐出入库明细!$B$4:$B$2004,"&gt;="&amp;$P$1,周转筐出入库明细!$B$4:$B$2004,"&lt;="&amp;$P$2),2))</f>
        <v/>
      </c>
      <c r="K112" s="26" t="str">
        <f t="shared" si="5"/>
        <v/>
      </c>
      <c r="L112" s="41"/>
    </row>
    <row r="113" spans="1:12">
      <c r="A113" s="24" t="str">
        <f t="shared" si="3"/>
        <v/>
      </c>
      <c r="B113" s="24" t="str">
        <f>IFERROR(INDEX(_自动清单!$AA$4:$AA$203,ROW()-3),"")</f>
        <v/>
      </c>
      <c r="C113" s="25" t="str">
        <f>IF(OR($B113="",_自动清单!$U$4=""),"",SUMIFS(周转筐出入库明细!$K$4:$K$2004,周转筐出入库明细!$C$4:$C$2004,$B113,周转筐出入库明细!$D$4:$D$2004,_自动清单!$U$4,周转筐出入库明细!$B$4:$B$2004,"&gt;="&amp;$P$1,周转筐出入库明细!$B$4:$B$2004,"&lt;="&amp;$P$2))</f>
        <v/>
      </c>
      <c r="D113" s="25" t="str">
        <f>IF(OR($B113="",_自动清单!$U$5=""),"",SUMIFS(周转筐出入库明细!$K$4:$K$2004,周转筐出入库明细!$C$4:$C$2004,$B113,周转筐出入库明细!$D$4:$D$2004,_自动清单!$U$5,周转筐出入库明细!$B$4:$B$2004,"&gt;="&amp;$P$1,周转筐出入库明细!$B$4:$B$2004,"&lt;="&amp;$P$2))</f>
        <v/>
      </c>
      <c r="E113" s="25" t="str">
        <f>IF(OR($B113="",_自动清单!$U$6=""),"",SUMIFS(周转筐出入库明细!$K$4:$K$2004,周转筐出入库明细!$C$4:$C$2004,$B113,周转筐出入库明细!$D$4:$D$2004,_自动清单!$U$6,周转筐出入库明细!$B$4:$B$2004,"&gt;="&amp;$P$1,周转筐出入库明细!$B$4:$B$2004,"&lt;="&amp;$P$2))</f>
        <v/>
      </c>
      <c r="F113" s="25" t="str">
        <f>IF(OR($B113="",_自动清单!$U$7=""),"",SUMIFS(周转筐出入库明细!$K$4:$K$2004,周转筐出入库明细!$C$4:$C$2004,$B113,周转筐出入库明细!$D$4:$D$2004,_自动清单!$U$7,周转筐出入库明细!$B$4:$B$2004,"&gt;="&amp;$P$1,周转筐出入库明细!$B$4:$B$2004,"&lt;="&amp;$P$2))</f>
        <v/>
      </c>
      <c r="G113" s="25" t="str">
        <f>IF($B113="","",SUMIFS(周转筐出入库明细!$K$4:$K$2004,周转筐出入库明细!$C$4:$C$2004,$B113,周转筐出入库明细!$B$4:$B$2004,"&gt;="&amp;$P$1,周转筐出入库明细!$B$4:$B$2004,"&lt;="&amp;$P$2)-SUM($C113:$F113))</f>
        <v/>
      </c>
      <c r="H113" s="25" t="str">
        <f t="shared" si="4"/>
        <v/>
      </c>
      <c r="I113" s="26" t="str">
        <f>IF($B113="","",ROUND(SUMIFS(周转筐出入库明细!$P$4:$P$2004,周转筐出入库明细!$C$4:$C$2004,$B113,周转筐出入库明细!$F$4:$F$2004,"销售出库",周转筐出入库明细!$B$4:$B$2004,"&gt;="&amp;$P$1,周转筐出入库明细!$B$4:$B$2004,"&lt;="&amp;$P$2),2))</f>
        <v/>
      </c>
      <c r="J113" s="26" t="str">
        <f>IF($B113="","",ROUND(SUMIFS(周转筐出入库明细!$P$4:$P$2004,周转筐出入库明细!$C$4:$C$2004,$B113,周转筐出入库明细!$F$4:$F$2004,"销售出库",周转筐出入库明细!$Q$4:$Q$2004,"已收讫",周转筐出入库明细!$B$4:$B$2004,"&gt;="&amp;$P$1,周转筐出入库明细!$B$4:$B$2004,"&lt;="&amp;$P$2),2))</f>
        <v/>
      </c>
      <c r="K113" s="26" t="str">
        <f t="shared" si="5"/>
        <v/>
      </c>
      <c r="L113" s="41"/>
    </row>
    <row r="114" spans="1:12">
      <c r="A114" s="24" t="str">
        <f t="shared" si="3"/>
        <v/>
      </c>
      <c r="B114" s="24" t="str">
        <f>IFERROR(INDEX(_自动清单!$AA$4:$AA$203,ROW()-3),"")</f>
        <v/>
      </c>
      <c r="C114" s="25" t="str">
        <f>IF(OR($B114="",_自动清单!$U$4=""),"",SUMIFS(周转筐出入库明细!$K$4:$K$2004,周转筐出入库明细!$C$4:$C$2004,$B114,周转筐出入库明细!$D$4:$D$2004,_自动清单!$U$4,周转筐出入库明细!$B$4:$B$2004,"&gt;="&amp;$P$1,周转筐出入库明细!$B$4:$B$2004,"&lt;="&amp;$P$2))</f>
        <v/>
      </c>
      <c r="D114" s="25" t="str">
        <f>IF(OR($B114="",_自动清单!$U$5=""),"",SUMIFS(周转筐出入库明细!$K$4:$K$2004,周转筐出入库明细!$C$4:$C$2004,$B114,周转筐出入库明细!$D$4:$D$2004,_自动清单!$U$5,周转筐出入库明细!$B$4:$B$2004,"&gt;="&amp;$P$1,周转筐出入库明细!$B$4:$B$2004,"&lt;="&amp;$P$2))</f>
        <v/>
      </c>
      <c r="E114" s="25" t="str">
        <f>IF(OR($B114="",_自动清单!$U$6=""),"",SUMIFS(周转筐出入库明细!$K$4:$K$2004,周转筐出入库明细!$C$4:$C$2004,$B114,周转筐出入库明细!$D$4:$D$2004,_自动清单!$U$6,周转筐出入库明细!$B$4:$B$2004,"&gt;="&amp;$P$1,周转筐出入库明细!$B$4:$B$2004,"&lt;="&amp;$P$2))</f>
        <v/>
      </c>
      <c r="F114" s="25" t="str">
        <f>IF(OR($B114="",_自动清单!$U$7=""),"",SUMIFS(周转筐出入库明细!$K$4:$K$2004,周转筐出入库明细!$C$4:$C$2004,$B114,周转筐出入库明细!$D$4:$D$2004,_自动清单!$U$7,周转筐出入库明细!$B$4:$B$2004,"&gt;="&amp;$P$1,周转筐出入库明细!$B$4:$B$2004,"&lt;="&amp;$P$2))</f>
        <v/>
      </c>
      <c r="G114" s="25" t="str">
        <f>IF($B114="","",SUMIFS(周转筐出入库明细!$K$4:$K$2004,周转筐出入库明细!$C$4:$C$2004,$B114,周转筐出入库明细!$B$4:$B$2004,"&gt;="&amp;$P$1,周转筐出入库明细!$B$4:$B$2004,"&lt;="&amp;$P$2)-SUM($C114:$F114))</f>
        <v/>
      </c>
      <c r="H114" s="25" t="str">
        <f t="shared" si="4"/>
        <v/>
      </c>
      <c r="I114" s="26" t="str">
        <f>IF($B114="","",ROUND(SUMIFS(周转筐出入库明细!$P$4:$P$2004,周转筐出入库明细!$C$4:$C$2004,$B114,周转筐出入库明细!$F$4:$F$2004,"销售出库",周转筐出入库明细!$B$4:$B$2004,"&gt;="&amp;$P$1,周转筐出入库明细!$B$4:$B$2004,"&lt;="&amp;$P$2),2))</f>
        <v/>
      </c>
      <c r="J114" s="26" t="str">
        <f>IF($B114="","",ROUND(SUMIFS(周转筐出入库明细!$P$4:$P$2004,周转筐出入库明细!$C$4:$C$2004,$B114,周转筐出入库明细!$F$4:$F$2004,"销售出库",周转筐出入库明细!$Q$4:$Q$2004,"已收讫",周转筐出入库明细!$B$4:$B$2004,"&gt;="&amp;$P$1,周转筐出入库明细!$B$4:$B$2004,"&lt;="&amp;$P$2),2))</f>
        <v/>
      </c>
      <c r="K114" s="26" t="str">
        <f t="shared" si="5"/>
        <v/>
      </c>
      <c r="L114" s="41"/>
    </row>
    <row r="115" spans="1:12">
      <c r="A115" s="24" t="str">
        <f t="shared" si="3"/>
        <v/>
      </c>
      <c r="B115" s="24" t="str">
        <f>IFERROR(INDEX(_自动清单!$AA$4:$AA$203,ROW()-3),"")</f>
        <v/>
      </c>
      <c r="C115" s="25" t="str">
        <f>IF(OR($B115="",_自动清单!$U$4=""),"",SUMIFS(周转筐出入库明细!$K$4:$K$2004,周转筐出入库明细!$C$4:$C$2004,$B115,周转筐出入库明细!$D$4:$D$2004,_自动清单!$U$4,周转筐出入库明细!$B$4:$B$2004,"&gt;="&amp;$P$1,周转筐出入库明细!$B$4:$B$2004,"&lt;="&amp;$P$2))</f>
        <v/>
      </c>
      <c r="D115" s="25" t="str">
        <f>IF(OR($B115="",_自动清单!$U$5=""),"",SUMIFS(周转筐出入库明细!$K$4:$K$2004,周转筐出入库明细!$C$4:$C$2004,$B115,周转筐出入库明细!$D$4:$D$2004,_自动清单!$U$5,周转筐出入库明细!$B$4:$B$2004,"&gt;="&amp;$P$1,周转筐出入库明细!$B$4:$B$2004,"&lt;="&amp;$P$2))</f>
        <v/>
      </c>
      <c r="E115" s="25" t="str">
        <f>IF(OR($B115="",_自动清单!$U$6=""),"",SUMIFS(周转筐出入库明细!$K$4:$K$2004,周转筐出入库明细!$C$4:$C$2004,$B115,周转筐出入库明细!$D$4:$D$2004,_自动清单!$U$6,周转筐出入库明细!$B$4:$B$2004,"&gt;="&amp;$P$1,周转筐出入库明细!$B$4:$B$2004,"&lt;="&amp;$P$2))</f>
        <v/>
      </c>
      <c r="F115" s="25" t="str">
        <f>IF(OR($B115="",_自动清单!$U$7=""),"",SUMIFS(周转筐出入库明细!$K$4:$K$2004,周转筐出入库明细!$C$4:$C$2004,$B115,周转筐出入库明细!$D$4:$D$2004,_自动清单!$U$7,周转筐出入库明细!$B$4:$B$2004,"&gt;="&amp;$P$1,周转筐出入库明细!$B$4:$B$2004,"&lt;="&amp;$P$2))</f>
        <v/>
      </c>
      <c r="G115" s="25" t="str">
        <f>IF($B115="","",SUMIFS(周转筐出入库明细!$K$4:$K$2004,周转筐出入库明细!$C$4:$C$2004,$B115,周转筐出入库明细!$B$4:$B$2004,"&gt;="&amp;$P$1,周转筐出入库明细!$B$4:$B$2004,"&lt;="&amp;$P$2)-SUM($C115:$F115))</f>
        <v/>
      </c>
      <c r="H115" s="25" t="str">
        <f t="shared" si="4"/>
        <v/>
      </c>
      <c r="I115" s="26" t="str">
        <f>IF($B115="","",ROUND(SUMIFS(周转筐出入库明细!$P$4:$P$2004,周转筐出入库明细!$C$4:$C$2004,$B115,周转筐出入库明细!$F$4:$F$2004,"销售出库",周转筐出入库明细!$B$4:$B$2004,"&gt;="&amp;$P$1,周转筐出入库明细!$B$4:$B$2004,"&lt;="&amp;$P$2),2))</f>
        <v/>
      </c>
      <c r="J115" s="26" t="str">
        <f>IF($B115="","",ROUND(SUMIFS(周转筐出入库明细!$P$4:$P$2004,周转筐出入库明细!$C$4:$C$2004,$B115,周转筐出入库明细!$F$4:$F$2004,"销售出库",周转筐出入库明细!$Q$4:$Q$2004,"已收讫",周转筐出入库明细!$B$4:$B$2004,"&gt;="&amp;$P$1,周转筐出入库明细!$B$4:$B$2004,"&lt;="&amp;$P$2),2))</f>
        <v/>
      </c>
      <c r="K115" s="26" t="str">
        <f t="shared" si="5"/>
        <v/>
      </c>
      <c r="L115" s="41"/>
    </row>
    <row r="116" spans="1:12">
      <c r="A116" s="24" t="str">
        <f t="shared" si="3"/>
        <v/>
      </c>
      <c r="B116" s="24" t="str">
        <f>IFERROR(INDEX(_自动清单!$AA$4:$AA$203,ROW()-3),"")</f>
        <v/>
      </c>
      <c r="C116" s="25" t="str">
        <f>IF(OR($B116="",_自动清单!$U$4=""),"",SUMIFS(周转筐出入库明细!$K$4:$K$2004,周转筐出入库明细!$C$4:$C$2004,$B116,周转筐出入库明细!$D$4:$D$2004,_自动清单!$U$4,周转筐出入库明细!$B$4:$B$2004,"&gt;="&amp;$P$1,周转筐出入库明细!$B$4:$B$2004,"&lt;="&amp;$P$2))</f>
        <v/>
      </c>
      <c r="D116" s="25" t="str">
        <f>IF(OR($B116="",_自动清单!$U$5=""),"",SUMIFS(周转筐出入库明细!$K$4:$K$2004,周转筐出入库明细!$C$4:$C$2004,$B116,周转筐出入库明细!$D$4:$D$2004,_自动清单!$U$5,周转筐出入库明细!$B$4:$B$2004,"&gt;="&amp;$P$1,周转筐出入库明细!$B$4:$B$2004,"&lt;="&amp;$P$2))</f>
        <v/>
      </c>
      <c r="E116" s="25" t="str">
        <f>IF(OR($B116="",_自动清单!$U$6=""),"",SUMIFS(周转筐出入库明细!$K$4:$K$2004,周转筐出入库明细!$C$4:$C$2004,$B116,周转筐出入库明细!$D$4:$D$2004,_自动清单!$U$6,周转筐出入库明细!$B$4:$B$2004,"&gt;="&amp;$P$1,周转筐出入库明细!$B$4:$B$2004,"&lt;="&amp;$P$2))</f>
        <v/>
      </c>
      <c r="F116" s="25" t="str">
        <f>IF(OR($B116="",_自动清单!$U$7=""),"",SUMIFS(周转筐出入库明细!$K$4:$K$2004,周转筐出入库明细!$C$4:$C$2004,$B116,周转筐出入库明细!$D$4:$D$2004,_自动清单!$U$7,周转筐出入库明细!$B$4:$B$2004,"&gt;="&amp;$P$1,周转筐出入库明细!$B$4:$B$2004,"&lt;="&amp;$P$2))</f>
        <v/>
      </c>
      <c r="G116" s="25" t="str">
        <f>IF($B116="","",SUMIFS(周转筐出入库明细!$K$4:$K$2004,周转筐出入库明细!$C$4:$C$2004,$B116,周转筐出入库明细!$B$4:$B$2004,"&gt;="&amp;$P$1,周转筐出入库明细!$B$4:$B$2004,"&lt;="&amp;$P$2)-SUM($C116:$F116))</f>
        <v/>
      </c>
      <c r="H116" s="25" t="str">
        <f t="shared" si="4"/>
        <v/>
      </c>
      <c r="I116" s="26" t="str">
        <f>IF($B116="","",ROUND(SUMIFS(周转筐出入库明细!$P$4:$P$2004,周转筐出入库明细!$C$4:$C$2004,$B116,周转筐出入库明细!$F$4:$F$2004,"销售出库",周转筐出入库明细!$B$4:$B$2004,"&gt;="&amp;$P$1,周转筐出入库明细!$B$4:$B$2004,"&lt;="&amp;$P$2),2))</f>
        <v/>
      </c>
      <c r="J116" s="26" t="str">
        <f>IF($B116="","",ROUND(SUMIFS(周转筐出入库明细!$P$4:$P$2004,周转筐出入库明细!$C$4:$C$2004,$B116,周转筐出入库明细!$F$4:$F$2004,"销售出库",周转筐出入库明细!$Q$4:$Q$2004,"已收讫",周转筐出入库明细!$B$4:$B$2004,"&gt;="&amp;$P$1,周转筐出入库明细!$B$4:$B$2004,"&lt;="&amp;$P$2),2))</f>
        <v/>
      </c>
      <c r="K116" s="26" t="str">
        <f t="shared" si="5"/>
        <v/>
      </c>
      <c r="L116" s="41"/>
    </row>
    <row r="117" spans="1:12">
      <c r="A117" s="24" t="str">
        <f t="shared" si="3"/>
        <v/>
      </c>
      <c r="B117" s="24" t="str">
        <f>IFERROR(INDEX(_自动清单!$AA$4:$AA$203,ROW()-3),"")</f>
        <v/>
      </c>
      <c r="C117" s="25" t="str">
        <f>IF(OR($B117="",_自动清单!$U$4=""),"",SUMIFS(周转筐出入库明细!$K$4:$K$2004,周转筐出入库明细!$C$4:$C$2004,$B117,周转筐出入库明细!$D$4:$D$2004,_自动清单!$U$4,周转筐出入库明细!$B$4:$B$2004,"&gt;="&amp;$P$1,周转筐出入库明细!$B$4:$B$2004,"&lt;="&amp;$P$2))</f>
        <v/>
      </c>
      <c r="D117" s="25" t="str">
        <f>IF(OR($B117="",_自动清单!$U$5=""),"",SUMIFS(周转筐出入库明细!$K$4:$K$2004,周转筐出入库明细!$C$4:$C$2004,$B117,周转筐出入库明细!$D$4:$D$2004,_自动清单!$U$5,周转筐出入库明细!$B$4:$B$2004,"&gt;="&amp;$P$1,周转筐出入库明细!$B$4:$B$2004,"&lt;="&amp;$P$2))</f>
        <v/>
      </c>
      <c r="E117" s="25" t="str">
        <f>IF(OR($B117="",_自动清单!$U$6=""),"",SUMIFS(周转筐出入库明细!$K$4:$K$2004,周转筐出入库明细!$C$4:$C$2004,$B117,周转筐出入库明细!$D$4:$D$2004,_自动清单!$U$6,周转筐出入库明细!$B$4:$B$2004,"&gt;="&amp;$P$1,周转筐出入库明细!$B$4:$B$2004,"&lt;="&amp;$P$2))</f>
        <v/>
      </c>
      <c r="F117" s="25" t="str">
        <f>IF(OR($B117="",_自动清单!$U$7=""),"",SUMIFS(周转筐出入库明细!$K$4:$K$2004,周转筐出入库明细!$C$4:$C$2004,$B117,周转筐出入库明细!$D$4:$D$2004,_自动清单!$U$7,周转筐出入库明细!$B$4:$B$2004,"&gt;="&amp;$P$1,周转筐出入库明细!$B$4:$B$2004,"&lt;="&amp;$P$2))</f>
        <v/>
      </c>
      <c r="G117" s="25" t="str">
        <f>IF($B117="","",SUMIFS(周转筐出入库明细!$K$4:$K$2004,周转筐出入库明细!$C$4:$C$2004,$B117,周转筐出入库明细!$B$4:$B$2004,"&gt;="&amp;$P$1,周转筐出入库明细!$B$4:$B$2004,"&lt;="&amp;$P$2)-SUM($C117:$F117))</f>
        <v/>
      </c>
      <c r="H117" s="25" t="str">
        <f t="shared" si="4"/>
        <v/>
      </c>
      <c r="I117" s="26" t="str">
        <f>IF($B117="","",ROUND(SUMIFS(周转筐出入库明细!$P$4:$P$2004,周转筐出入库明细!$C$4:$C$2004,$B117,周转筐出入库明细!$F$4:$F$2004,"销售出库",周转筐出入库明细!$B$4:$B$2004,"&gt;="&amp;$P$1,周转筐出入库明细!$B$4:$B$2004,"&lt;="&amp;$P$2),2))</f>
        <v/>
      </c>
      <c r="J117" s="26" t="str">
        <f>IF($B117="","",ROUND(SUMIFS(周转筐出入库明细!$P$4:$P$2004,周转筐出入库明细!$C$4:$C$2004,$B117,周转筐出入库明细!$F$4:$F$2004,"销售出库",周转筐出入库明细!$Q$4:$Q$2004,"已收讫",周转筐出入库明细!$B$4:$B$2004,"&gt;="&amp;$P$1,周转筐出入库明细!$B$4:$B$2004,"&lt;="&amp;$P$2),2))</f>
        <v/>
      </c>
      <c r="K117" s="26" t="str">
        <f t="shared" si="5"/>
        <v/>
      </c>
      <c r="L117" s="41"/>
    </row>
    <row r="118" spans="1:12">
      <c r="A118" s="24" t="str">
        <f t="shared" si="3"/>
        <v/>
      </c>
      <c r="B118" s="24" t="str">
        <f>IFERROR(INDEX(_自动清单!$AA$4:$AA$203,ROW()-3),"")</f>
        <v/>
      </c>
      <c r="C118" s="25" t="str">
        <f>IF(OR($B118="",_自动清单!$U$4=""),"",SUMIFS(周转筐出入库明细!$K$4:$K$2004,周转筐出入库明细!$C$4:$C$2004,$B118,周转筐出入库明细!$D$4:$D$2004,_自动清单!$U$4,周转筐出入库明细!$B$4:$B$2004,"&gt;="&amp;$P$1,周转筐出入库明细!$B$4:$B$2004,"&lt;="&amp;$P$2))</f>
        <v/>
      </c>
      <c r="D118" s="25" t="str">
        <f>IF(OR($B118="",_自动清单!$U$5=""),"",SUMIFS(周转筐出入库明细!$K$4:$K$2004,周转筐出入库明细!$C$4:$C$2004,$B118,周转筐出入库明细!$D$4:$D$2004,_自动清单!$U$5,周转筐出入库明细!$B$4:$B$2004,"&gt;="&amp;$P$1,周转筐出入库明细!$B$4:$B$2004,"&lt;="&amp;$P$2))</f>
        <v/>
      </c>
      <c r="E118" s="25" t="str">
        <f>IF(OR($B118="",_自动清单!$U$6=""),"",SUMIFS(周转筐出入库明细!$K$4:$K$2004,周转筐出入库明细!$C$4:$C$2004,$B118,周转筐出入库明细!$D$4:$D$2004,_自动清单!$U$6,周转筐出入库明细!$B$4:$B$2004,"&gt;="&amp;$P$1,周转筐出入库明细!$B$4:$B$2004,"&lt;="&amp;$P$2))</f>
        <v/>
      </c>
      <c r="F118" s="25" t="str">
        <f>IF(OR($B118="",_自动清单!$U$7=""),"",SUMIFS(周转筐出入库明细!$K$4:$K$2004,周转筐出入库明细!$C$4:$C$2004,$B118,周转筐出入库明细!$D$4:$D$2004,_自动清单!$U$7,周转筐出入库明细!$B$4:$B$2004,"&gt;="&amp;$P$1,周转筐出入库明细!$B$4:$B$2004,"&lt;="&amp;$P$2))</f>
        <v/>
      </c>
      <c r="G118" s="25" t="str">
        <f>IF($B118="","",SUMIFS(周转筐出入库明细!$K$4:$K$2004,周转筐出入库明细!$C$4:$C$2004,$B118,周转筐出入库明细!$B$4:$B$2004,"&gt;="&amp;$P$1,周转筐出入库明细!$B$4:$B$2004,"&lt;="&amp;$P$2)-SUM($C118:$F118))</f>
        <v/>
      </c>
      <c r="H118" s="25" t="str">
        <f t="shared" si="4"/>
        <v/>
      </c>
      <c r="I118" s="26" t="str">
        <f>IF($B118="","",ROUND(SUMIFS(周转筐出入库明细!$P$4:$P$2004,周转筐出入库明细!$C$4:$C$2004,$B118,周转筐出入库明细!$F$4:$F$2004,"销售出库",周转筐出入库明细!$B$4:$B$2004,"&gt;="&amp;$P$1,周转筐出入库明细!$B$4:$B$2004,"&lt;="&amp;$P$2),2))</f>
        <v/>
      </c>
      <c r="J118" s="26" t="str">
        <f>IF($B118="","",ROUND(SUMIFS(周转筐出入库明细!$P$4:$P$2004,周转筐出入库明细!$C$4:$C$2004,$B118,周转筐出入库明细!$F$4:$F$2004,"销售出库",周转筐出入库明细!$Q$4:$Q$2004,"已收讫",周转筐出入库明细!$B$4:$B$2004,"&gt;="&amp;$P$1,周转筐出入库明细!$B$4:$B$2004,"&lt;="&amp;$P$2),2))</f>
        <v/>
      </c>
      <c r="K118" s="26" t="str">
        <f t="shared" si="5"/>
        <v/>
      </c>
      <c r="L118" s="41"/>
    </row>
    <row r="119" spans="1:12">
      <c r="A119" s="24" t="str">
        <f t="shared" si="3"/>
        <v/>
      </c>
      <c r="B119" s="24" t="str">
        <f>IFERROR(INDEX(_自动清单!$AA$4:$AA$203,ROW()-3),"")</f>
        <v/>
      </c>
      <c r="C119" s="25" t="str">
        <f>IF(OR($B119="",_自动清单!$U$4=""),"",SUMIFS(周转筐出入库明细!$K$4:$K$2004,周转筐出入库明细!$C$4:$C$2004,$B119,周转筐出入库明细!$D$4:$D$2004,_自动清单!$U$4,周转筐出入库明细!$B$4:$B$2004,"&gt;="&amp;$P$1,周转筐出入库明细!$B$4:$B$2004,"&lt;="&amp;$P$2))</f>
        <v/>
      </c>
      <c r="D119" s="25" t="str">
        <f>IF(OR($B119="",_自动清单!$U$5=""),"",SUMIFS(周转筐出入库明细!$K$4:$K$2004,周转筐出入库明细!$C$4:$C$2004,$B119,周转筐出入库明细!$D$4:$D$2004,_自动清单!$U$5,周转筐出入库明细!$B$4:$B$2004,"&gt;="&amp;$P$1,周转筐出入库明细!$B$4:$B$2004,"&lt;="&amp;$P$2))</f>
        <v/>
      </c>
      <c r="E119" s="25" t="str">
        <f>IF(OR($B119="",_自动清单!$U$6=""),"",SUMIFS(周转筐出入库明细!$K$4:$K$2004,周转筐出入库明细!$C$4:$C$2004,$B119,周转筐出入库明细!$D$4:$D$2004,_自动清单!$U$6,周转筐出入库明细!$B$4:$B$2004,"&gt;="&amp;$P$1,周转筐出入库明细!$B$4:$B$2004,"&lt;="&amp;$P$2))</f>
        <v/>
      </c>
      <c r="F119" s="25" t="str">
        <f>IF(OR($B119="",_自动清单!$U$7=""),"",SUMIFS(周转筐出入库明细!$K$4:$K$2004,周转筐出入库明细!$C$4:$C$2004,$B119,周转筐出入库明细!$D$4:$D$2004,_自动清单!$U$7,周转筐出入库明细!$B$4:$B$2004,"&gt;="&amp;$P$1,周转筐出入库明细!$B$4:$B$2004,"&lt;="&amp;$P$2))</f>
        <v/>
      </c>
      <c r="G119" s="25" t="str">
        <f>IF($B119="","",SUMIFS(周转筐出入库明细!$K$4:$K$2004,周转筐出入库明细!$C$4:$C$2004,$B119,周转筐出入库明细!$B$4:$B$2004,"&gt;="&amp;$P$1,周转筐出入库明细!$B$4:$B$2004,"&lt;="&amp;$P$2)-SUM($C119:$F119))</f>
        <v/>
      </c>
      <c r="H119" s="25" t="str">
        <f t="shared" si="4"/>
        <v/>
      </c>
      <c r="I119" s="26" t="str">
        <f>IF($B119="","",ROUND(SUMIFS(周转筐出入库明细!$P$4:$P$2004,周转筐出入库明细!$C$4:$C$2004,$B119,周转筐出入库明细!$F$4:$F$2004,"销售出库",周转筐出入库明细!$B$4:$B$2004,"&gt;="&amp;$P$1,周转筐出入库明细!$B$4:$B$2004,"&lt;="&amp;$P$2),2))</f>
        <v/>
      </c>
      <c r="J119" s="26" t="str">
        <f>IF($B119="","",ROUND(SUMIFS(周转筐出入库明细!$P$4:$P$2004,周转筐出入库明细!$C$4:$C$2004,$B119,周转筐出入库明细!$F$4:$F$2004,"销售出库",周转筐出入库明细!$Q$4:$Q$2004,"已收讫",周转筐出入库明细!$B$4:$B$2004,"&gt;="&amp;$P$1,周转筐出入库明细!$B$4:$B$2004,"&lt;="&amp;$P$2),2))</f>
        <v/>
      </c>
      <c r="K119" s="26" t="str">
        <f t="shared" si="5"/>
        <v/>
      </c>
      <c r="L119" s="41"/>
    </row>
    <row r="120" spans="1:12">
      <c r="A120" s="24" t="str">
        <f t="shared" si="3"/>
        <v/>
      </c>
      <c r="B120" s="24" t="str">
        <f>IFERROR(INDEX(_自动清单!$AA$4:$AA$203,ROW()-3),"")</f>
        <v/>
      </c>
      <c r="C120" s="25" t="str">
        <f>IF(OR($B120="",_自动清单!$U$4=""),"",SUMIFS(周转筐出入库明细!$K$4:$K$2004,周转筐出入库明细!$C$4:$C$2004,$B120,周转筐出入库明细!$D$4:$D$2004,_自动清单!$U$4,周转筐出入库明细!$B$4:$B$2004,"&gt;="&amp;$P$1,周转筐出入库明细!$B$4:$B$2004,"&lt;="&amp;$P$2))</f>
        <v/>
      </c>
      <c r="D120" s="25" t="str">
        <f>IF(OR($B120="",_自动清单!$U$5=""),"",SUMIFS(周转筐出入库明细!$K$4:$K$2004,周转筐出入库明细!$C$4:$C$2004,$B120,周转筐出入库明细!$D$4:$D$2004,_自动清单!$U$5,周转筐出入库明细!$B$4:$B$2004,"&gt;="&amp;$P$1,周转筐出入库明细!$B$4:$B$2004,"&lt;="&amp;$P$2))</f>
        <v/>
      </c>
      <c r="E120" s="25" t="str">
        <f>IF(OR($B120="",_自动清单!$U$6=""),"",SUMIFS(周转筐出入库明细!$K$4:$K$2004,周转筐出入库明细!$C$4:$C$2004,$B120,周转筐出入库明细!$D$4:$D$2004,_自动清单!$U$6,周转筐出入库明细!$B$4:$B$2004,"&gt;="&amp;$P$1,周转筐出入库明细!$B$4:$B$2004,"&lt;="&amp;$P$2))</f>
        <v/>
      </c>
      <c r="F120" s="25" t="str">
        <f>IF(OR($B120="",_自动清单!$U$7=""),"",SUMIFS(周转筐出入库明细!$K$4:$K$2004,周转筐出入库明细!$C$4:$C$2004,$B120,周转筐出入库明细!$D$4:$D$2004,_自动清单!$U$7,周转筐出入库明细!$B$4:$B$2004,"&gt;="&amp;$P$1,周转筐出入库明细!$B$4:$B$2004,"&lt;="&amp;$P$2))</f>
        <v/>
      </c>
      <c r="G120" s="25" t="str">
        <f>IF($B120="","",SUMIFS(周转筐出入库明细!$K$4:$K$2004,周转筐出入库明细!$C$4:$C$2004,$B120,周转筐出入库明细!$B$4:$B$2004,"&gt;="&amp;$P$1,周转筐出入库明细!$B$4:$B$2004,"&lt;="&amp;$P$2)-SUM($C120:$F120))</f>
        <v/>
      </c>
      <c r="H120" s="25" t="str">
        <f t="shared" si="4"/>
        <v/>
      </c>
      <c r="I120" s="26" t="str">
        <f>IF($B120="","",ROUND(SUMIFS(周转筐出入库明细!$P$4:$P$2004,周转筐出入库明细!$C$4:$C$2004,$B120,周转筐出入库明细!$F$4:$F$2004,"销售出库",周转筐出入库明细!$B$4:$B$2004,"&gt;="&amp;$P$1,周转筐出入库明细!$B$4:$B$2004,"&lt;="&amp;$P$2),2))</f>
        <v/>
      </c>
      <c r="J120" s="26" t="str">
        <f>IF($B120="","",ROUND(SUMIFS(周转筐出入库明细!$P$4:$P$2004,周转筐出入库明细!$C$4:$C$2004,$B120,周转筐出入库明细!$F$4:$F$2004,"销售出库",周转筐出入库明细!$Q$4:$Q$2004,"已收讫",周转筐出入库明细!$B$4:$B$2004,"&gt;="&amp;$P$1,周转筐出入库明细!$B$4:$B$2004,"&lt;="&amp;$P$2),2))</f>
        <v/>
      </c>
      <c r="K120" s="26" t="str">
        <f t="shared" si="5"/>
        <v/>
      </c>
      <c r="L120" s="41"/>
    </row>
    <row r="121" spans="1:12">
      <c r="A121" s="24" t="str">
        <f t="shared" si="3"/>
        <v/>
      </c>
      <c r="B121" s="24" t="str">
        <f>IFERROR(INDEX(_自动清单!$AA$4:$AA$203,ROW()-3),"")</f>
        <v/>
      </c>
      <c r="C121" s="25" t="str">
        <f>IF(OR($B121="",_自动清单!$U$4=""),"",SUMIFS(周转筐出入库明细!$K$4:$K$2004,周转筐出入库明细!$C$4:$C$2004,$B121,周转筐出入库明细!$D$4:$D$2004,_自动清单!$U$4,周转筐出入库明细!$B$4:$B$2004,"&gt;="&amp;$P$1,周转筐出入库明细!$B$4:$B$2004,"&lt;="&amp;$P$2))</f>
        <v/>
      </c>
      <c r="D121" s="25" t="str">
        <f>IF(OR($B121="",_自动清单!$U$5=""),"",SUMIFS(周转筐出入库明细!$K$4:$K$2004,周转筐出入库明细!$C$4:$C$2004,$B121,周转筐出入库明细!$D$4:$D$2004,_自动清单!$U$5,周转筐出入库明细!$B$4:$B$2004,"&gt;="&amp;$P$1,周转筐出入库明细!$B$4:$B$2004,"&lt;="&amp;$P$2))</f>
        <v/>
      </c>
      <c r="E121" s="25" t="str">
        <f>IF(OR($B121="",_自动清单!$U$6=""),"",SUMIFS(周转筐出入库明细!$K$4:$K$2004,周转筐出入库明细!$C$4:$C$2004,$B121,周转筐出入库明细!$D$4:$D$2004,_自动清单!$U$6,周转筐出入库明细!$B$4:$B$2004,"&gt;="&amp;$P$1,周转筐出入库明细!$B$4:$B$2004,"&lt;="&amp;$P$2))</f>
        <v/>
      </c>
      <c r="F121" s="25" t="str">
        <f>IF(OR($B121="",_自动清单!$U$7=""),"",SUMIFS(周转筐出入库明细!$K$4:$K$2004,周转筐出入库明细!$C$4:$C$2004,$B121,周转筐出入库明细!$D$4:$D$2004,_自动清单!$U$7,周转筐出入库明细!$B$4:$B$2004,"&gt;="&amp;$P$1,周转筐出入库明细!$B$4:$B$2004,"&lt;="&amp;$P$2))</f>
        <v/>
      </c>
      <c r="G121" s="25" t="str">
        <f>IF($B121="","",SUMIFS(周转筐出入库明细!$K$4:$K$2004,周转筐出入库明细!$C$4:$C$2004,$B121,周转筐出入库明细!$B$4:$B$2004,"&gt;="&amp;$P$1,周转筐出入库明细!$B$4:$B$2004,"&lt;="&amp;$P$2)-SUM($C121:$F121))</f>
        <v/>
      </c>
      <c r="H121" s="25" t="str">
        <f t="shared" si="4"/>
        <v/>
      </c>
      <c r="I121" s="26" t="str">
        <f>IF($B121="","",ROUND(SUMIFS(周转筐出入库明细!$P$4:$P$2004,周转筐出入库明细!$C$4:$C$2004,$B121,周转筐出入库明细!$F$4:$F$2004,"销售出库",周转筐出入库明细!$B$4:$B$2004,"&gt;="&amp;$P$1,周转筐出入库明细!$B$4:$B$2004,"&lt;="&amp;$P$2),2))</f>
        <v/>
      </c>
      <c r="J121" s="26" t="str">
        <f>IF($B121="","",ROUND(SUMIFS(周转筐出入库明细!$P$4:$P$2004,周转筐出入库明细!$C$4:$C$2004,$B121,周转筐出入库明细!$F$4:$F$2004,"销售出库",周转筐出入库明细!$Q$4:$Q$2004,"已收讫",周转筐出入库明细!$B$4:$B$2004,"&gt;="&amp;$P$1,周转筐出入库明细!$B$4:$B$2004,"&lt;="&amp;$P$2),2))</f>
        <v/>
      </c>
      <c r="K121" s="26" t="str">
        <f t="shared" si="5"/>
        <v/>
      </c>
      <c r="L121" s="41"/>
    </row>
    <row r="122" spans="1:12">
      <c r="A122" s="24" t="str">
        <f t="shared" si="3"/>
        <v/>
      </c>
      <c r="B122" s="24" t="str">
        <f>IFERROR(INDEX(_自动清单!$AA$4:$AA$203,ROW()-3),"")</f>
        <v/>
      </c>
      <c r="C122" s="25" t="str">
        <f>IF(OR($B122="",_自动清单!$U$4=""),"",SUMIFS(周转筐出入库明细!$K$4:$K$2004,周转筐出入库明细!$C$4:$C$2004,$B122,周转筐出入库明细!$D$4:$D$2004,_自动清单!$U$4,周转筐出入库明细!$B$4:$B$2004,"&gt;="&amp;$P$1,周转筐出入库明细!$B$4:$B$2004,"&lt;="&amp;$P$2))</f>
        <v/>
      </c>
      <c r="D122" s="25" t="str">
        <f>IF(OR($B122="",_自动清单!$U$5=""),"",SUMIFS(周转筐出入库明细!$K$4:$K$2004,周转筐出入库明细!$C$4:$C$2004,$B122,周转筐出入库明细!$D$4:$D$2004,_自动清单!$U$5,周转筐出入库明细!$B$4:$B$2004,"&gt;="&amp;$P$1,周转筐出入库明细!$B$4:$B$2004,"&lt;="&amp;$P$2))</f>
        <v/>
      </c>
      <c r="E122" s="25" t="str">
        <f>IF(OR($B122="",_自动清单!$U$6=""),"",SUMIFS(周转筐出入库明细!$K$4:$K$2004,周转筐出入库明细!$C$4:$C$2004,$B122,周转筐出入库明细!$D$4:$D$2004,_自动清单!$U$6,周转筐出入库明细!$B$4:$B$2004,"&gt;="&amp;$P$1,周转筐出入库明细!$B$4:$B$2004,"&lt;="&amp;$P$2))</f>
        <v/>
      </c>
      <c r="F122" s="25" t="str">
        <f>IF(OR($B122="",_自动清单!$U$7=""),"",SUMIFS(周转筐出入库明细!$K$4:$K$2004,周转筐出入库明细!$C$4:$C$2004,$B122,周转筐出入库明细!$D$4:$D$2004,_自动清单!$U$7,周转筐出入库明细!$B$4:$B$2004,"&gt;="&amp;$P$1,周转筐出入库明细!$B$4:$B$2004,"&lt;="&amp;$P$2))</f>
        <v/>
      </c>
      <c r="G122" s="25" t="str">
        <f>IF($B122="","",SUMIFS(周转筐出入库明细!$K$4:$K$2004,周转筐出入库明细!$C$4:$C$2004,$B122,周转筐出入库明细!$B$4:$B$2004,"&gt;="&amp;$P$1,周转筐出入库明细!$B$4:$B$2004,"&lt;="&amp;$P$2)-SUM($C122:$F122))</f>
        <v/>
      </c>
      <c r="H122" s="25" t="str">
        <f t="shared" si="4"/>
        <v/>
      </c>
      <c r="I122" s="26" t="str">
        <f>IF($B122="","",ROUND(SUMIFS(周转筐出入库明细!$P$4:$P$2004,周转筐出入库明细!$C$4:$C$2004,$B122,周转筐出入库明细!$F$4:$F$2004,"销售出库",周转筐出入库明细!$B$4:$B$2004,"&gt;="&amp;$P$1,周转筐出入库明细!$B$4:$B$2004,"&lt;="&amp;$P$2),2))</f>
        <v/>
      </c>
      <c r="J122" s="26" t="str">
        <f>IF($B122="","",ROUND(SUMIFS(周转筐出入库明细!$P$4:$P$2004,周转筐出入库明细!$C$4:$C$2004,$B122,周转筐出入库明细!$F$4:$F$2004,"销售出库",周转筐出入库明细!$Q$4:$Q$2004,"已收讫",周转筐出入库明细!$B$4:$B$2004,"&gt;="&amp;$P$1,周转筐出入库明细!$B$4:$B$2004,"&lt;="&amp;$P$2),2))</f>
        <v/>
      </c>
      <c r="K122" s="26" t="str">
        <f t="shared" si="5"/>
        <v/>
      </c>
      <c r="L122" s="41"/>
    </row>
    <row r="123" spans="1:12">
      <c r="A123" s="24" t="str">
        <f t="shared" si="3"/>
        <v/>
      </c>
      <c r="B123" s="24" t="str">
        <f>IFERROR(INDEX(_自动清单!$AA$4:$AA$203,ROW()-3),"")</f>
        <v/>
      </c>
      <c r="C123" s="25" t="str">
        <f>IF(OR($B123="",_自动清单!$U$4=""),"",SUMIFS(周转筐出入库明细!$K$4:$K$2004,周转筐出入库明细!$C$4:$C$2004,$B123,周转筐出入库明细!$D$4:$D$2004,_自动清单!$U$4,周转筐出入库明细!$B$4:$B$2004,"&gt;="&amp;$P$1,周转筐出入库明细!$B$4:$B$2004,"&lt;="&amp;$P$2))</f>
        <v/>
      </c>
      <c r="D123" s="25" t="str">
        <f>IF(OR($B123="",_自动清单!$U$5=""),"",SUMIFS(周转筐出入库明细!$K$4:$K$2004,周转筐出入库明细!$C$4:$C$2004,$B123,周转筐出入库明细!$D$4:$D$2004,_自动清单!$U$5,周转筐出入库明细!$B$4:$B$2004,"&gt;="&amp;$P$1,周转筐出入库明细!$B$4:$B$2004,"&lt;="&amp;$P$2))</f>
        <v/>
      </c>
      <c r="E123" s="25" t="str">
        <f>IF(OR($B123="",_自动清单!$U$6=""),"",SUMIFS(周转筐出入库明细!$K$4:$K$2004,周转筐出入库明细!$C$4:$C$2004,$B123,周转筐出入库明细!$D$4:$D$2004,_自动清单!$U$6,周转筐出入库明细!$B$4:$B$2004,"&gt;="&amp;$P$1,周转筐出入库明细!$B$4:$B$2004,"&lt;="&amp;$P$2))</f>
        <v/>
      </c>
      <c r="F123" s="25" t="str">
        <f>IF(OR($B123="",_自动清单!$U$7=""),"",SUMIFS(周转筐出入库明细!$K$4:$K$2004,周转筐出入库明细!$C$4:$C$2004,$B123,周转筐出入库明细!$D$4:$D$2004,_自动清单!$U$7,周转筐出入库明细!$B$4:$B$2004,"&gt;="&amp;$P$1,周转筐出入库明细!$B$4:$B$2004,"&lt;="&amp;$P$2))</f>
        <v/>
      </c>
      <c r="G123" s="25" t="str">
        <f>IF($B123="","",SUMIFS(周转筐出入库明细!$K$4:$K$2004,周转筐出入库明细!$C$4:$C$2004,$B123,周转筐出入库明细!$B$4:$B$2004,"&gt;="&amp;$P$1,周转筐出入库明细!$B$4:$B$2004,"&lt;="&amp;$P$2)-SUM($C123:$F123))</f>
        <v/>
      </c>
      <c r="H123" s="25" t="str">
        <f t="shared" si="4"/>
        <v/>
      </c>
      <c r="I123" s="26" t="str">
        <f>IF($B123="","",ROUND(SUMIFS(周转筐出入库明细!$P$4:$P$2004,周转筐出入库明细!$C$4:$C$2004,$B123,周转筐出入库明细!$F$4:$F$2004,"销售出库",周转筐出入库明细!$B$4:$B$2004,"&gt;="&amp;$P$1,周转筐出入库明细!$B$4:$B$2004,"&lt;="&amp;$P$2),2))</f>
        <v/>
      </c>
      <c r="J123" s="26" t="str">
        <f>IF($B123="","",ROUND(SUMIFS(周转筐出入库明细!$P$4:$P$2004,周转筐出入库明细!$C$4:$C$2004,$B123,周转筐出入库明细!$F$4:$F$2004,"销售出库",周转筐出入库明细!$Q$4:$Q$2004,"已收讫",周转筐出入库明细!$B$4:$B$2004,"&gt;="&amp;$P$1,周转筐出入库明细!$B$4:$B$2004,"&lt;="&amp;$P$2),2))</f>
        <v/>
      </c>
      <c r="K123" s="26" t="str">
        <f t="shared" si="5"/>
        <v/>
      </c>
      <c r="L123" s="41"/>
    </row>
    <row r="124" spans="1:12">
      <c r="A124" s="24" t="str">
        <f t="shared" si="3"/>
        <v/>
      </c>
      <c r="B124" s="24" t="str">
        <f>IFERROR(INDEX(_自动清单!$AA$4:$AA$203,ROW()-3),"")</f>
        <v/>
      </c>
      <c r="C124" s="25" t="str">
        <f>IF(OR($B124="",_自动清单!$U$4=""),"",SUMIFS(周转筐出入库明细!$K$4:$K$2004,周转筐出入库明细!$C$4:$C$2004,$B124,周转筐出入库明细!$D$4:$D$2004,_自动清单!$U$4,周转筐出入库明细!$B$4:$B$2004,"&gt;="&amp;$P$1,周转筐出入库明细!$B$4:$B$2004,"&lt;="&amp;$P$2))</f>
        <v/>
      </c>
      <c r="D124" s="25" t="str">
        <f>IF(OR($B124="",_自动清单!$U$5=""),"",SUMIFS(周转筐出入库明细!$K$4:$K$2004,周转筐出入库明细!$C$4:$C$2004,$B124,周转筐出入库明细!$D$4:$D$2004,_自动清单!$U$5,周转筐出入库明细!$B$4:$B$2004,"&gt;="&amp;$P$1,周转筐出入库明细!$B$4:$B$2004,"&lt;="&amp;$P$2))</f>
        <v/>
      </c>
      <c r="E124" s="25" t="str">
        <f>IF(OR($B124="",_自动清单!$U$6=""),"",SUMIFS(周转筐出入库明细!$K$4:$K$2004,周转筐出入库明细!$C$4:$C$2004,$B124,周转筐出入库明细!$D$4:$D$2004,_自动清单!$U$6,周转筐出入库明细!$B$4:$B$2004,"&gt;="&amp;$P$1,周转筐出入库明细!$B$4:$B$2004,"&lt;="&amp;$P$2))</f>
        <v/>
      </c>
      <c r="F124" s="25" t="str">
        <f>IF(OR($B124="",_自动清单!$U$7=""),"",SUMIFS(周转筐出入库明细!$K$4:$K$2004,周转筐出入库明细!$C$4:$C$2004,$B124,周转筐出入库明细!$D$4:$D$2004,_自动清单!$U$7,周转筐出入库明细!$B$4:$B$2004,"&gt;="&amp;$P$1,周转筐出入库明细!$B$4:$B$2004,"&lt;="&amp;$P$2))</f>
        <v/>
      </c>
      <c r="G124" s="25" t="str">
        <f>IF($B124="","",SUMIFS(周转筐出入库明细!$K$4:$K$2004,周转筐出入库明细!$C$4:$C$2004,$B124,周转筐出入库明细!$B$4:$B$2004,"&gt;="&amp;$P$1,周转筐出入库明细!$B$4:$B$2004,"&lt;="&amp;$P$2)-SUM($C124:$F124))</f>
        <v/>
      </c>
      <c r="H124" s="25" t="str">
        <f t="shared" si="4"/>
        <v/>
      </c>
      <c r="I124" s="26" t="str">
        <f>IF($B124="","",ROUND(SUMIFS(周转筐出入库明细!$P$4:$P$2004,周转筐出入库明细!$C$4:$C$2004,$B124,周转筐出入库明细!$F$4:$F$2004,"销售出库",周转筐出入库明细!$B$4:$B$2004,"&gt;="&amp;$P$1,周转筐出入库明细!$B$4:$B$2004,"&lt;="&amp;$P$2),2))</f>
        <v/>
      </c>
      <c r="J124" s="26" t="str">
        <f>IF($B124="","",ROUND(SUMIFS(周转筐出入库明细!$P$4:$P$2004,周转筐出入库明细!$C$4:$C$2004,$B124,周转筐出入库明细!$F$4:$F$2004,"销售出库",周转筐出入库明细!$Q$4:$Q$2004,"已收讫",周转筐出入库明细!$B$4:$B$2004,"&gt;="&amp;$P$1,周转筐出入库明细!$B$4:$B$2004,"&lt;="&amp;$P$2),2))</f>
        <v/>
      </c>
      <c r="K124" s="26" t="str">
        <f t="shared" si="5"/>
        <v/>
      </c>
      <c r="L124" s="41"/>
    </row>
    <row r="125" spans="1:12">
      <c r="A125" s="24" t="str">
        <f t="shared" si="3"/>
        <v/>
      </c>
      <c r="B125" s="24" t="str">
        <f>IFERROR(INDEX(_自动清单!$AA$4:$AA$203,ROW()-3),"")</f>
        <v/>
      </c>
      <c r="C125" s="25" t="str">
        <f>IF(OR($B125="",_自动清单!$U$4=""),"",SUMIFS(周转筐出入库明细!$K$4:$K$2004,周转筐出入库明细!$C$4:$C$2004,$B125,周转筐出入库明细!$D$4:$D$2004,_自动清单!$U$4,周转筐出入库明细!$B$4:$B$2004,"&gt;="&amp;$P$1,周转筐出入库明细!$B$4:$B$2004,"&lt;="&amp;$P$2))</f>
        <v/>
      </c>
      <c r="D125" s="25" t="str">
        <f>IF(OR($B125="",_自动清单!$U$5=""),"",SUMIFS(周转筐出入库明细!$K$4:$K$2004,周转筐出入库明细!$C$4:$C$2004,$B125,周转筐出入库明细!$D$4:$D$2004,_自动清单!$U$5,周转筐出入库明细!$B$4:$B$2004,"&gt;="&amp;$P$1,周转筐出入库明细!$B$4:$B$2004,"&lt;="&amp;$P$2))</f>
        <v/>
      </c>
      <c r="E125" s="25" t="str">
        <f>IF(OR($B125="",_自动清单!$U$6=""),"",SUMIFS(周转筐出入库明细!$K$4:$K$2004,周转筐出入库明细!$C$4:$C$2004,$B125,周转筐出入库明细!$D$4:$D$2004,_自动清单!$U$6,周转筐出入库明细!$B$4:$B$2004,"&gt;="&amp;$P$1,周转筐出入库明细!$B$4:$B$2004,"&lt;="&amp;$P$2))</f>
        <v/>
      </c>
      <c r="F125" s="25" t="str">
        <f>IF(OR($B125="",_自动清单!$U$7=""),"",SUMIFS(周转筐出入库明细!$K$4:$K$2004,周转筐出入库明细!$C$4:$C$2004,$B125,周转筐出入库明细!$D$4:$D$2004,_自动清单!$U$7,周转筐出入库明细!$B$4:$B$2004,"&gt;="&amp;$P$1,周转筐出入库明细!$B$4:$B$2004,"&lt;="&amp;$P$2))</f>
        <v/>
      </c>
      <c r="G125" s="25" t="str">
        <f>IF($B125="","",SUMIFS(周转筐出入库明细!$K$4:$K$2004,周转筐出入库明细!$C$4:$C$2004,$B125,周转筐出入库明细!$B$4:$B$2004,"&gt;="&amp;$P$1,周转筐出入库明细!$B$4:$B$2004,"&lt;="&amp;$P$2)-SUM($C125:$F125))</f>
        <v/>
      </c>
      <c r="H125" s="25" t="str">
        <f t="shared" si="4"/>
        <v/>
      </c>
      <c r="I125" s="26" t="str">
        <f>IF($B125="","",ROUND(SUMIFS(周转筐出入库明细!$P$4:$P$2004,周转筐出入库明细!$C$4:$C$2004,$B125,周转筐出入库明细!$F$4:$F$2004,"销售出库",周转筐出入库明细!$B$4:$B$2004,"&gt;="&amp;$P$1,周转筐出入库明细!$B$4:$B$2004,"&lt;="&amp;$P$2),2))</f>
        <v/>
      </c>
      <c r="J125" s="26" t="str">
        <f>IF($B125="","",ROUND(SUMIFS(周转筐出入库明细!$P$4:$P$2004,周转筐出入库明细!$C$4:$C$2004,$B125,周转筐出入库明细!$F$4:$F$2004,"销售出库",周转筐出入库明细!$Q$4:$Q$2004,"已收讫",周转筐出入库明细!$B$4:$B$2004,"&gt;="&amp;$P$1,周转筐出入库明细!$B$4:$B$2004,"&lt;="&amp;$P$2),2))</f>
        <v/>
      </c>
      <c r="K125" s="26" t="str">
        <f t="shared" si="5"/>
        <v/>
      </c>
      <c r="L125" s="41"/>
    </row>
    <row r="126" spans="1:12">
      <c r="A126" s="24" t="str">
        <f t="shared" si="3"/>
        <v/>
      </c>
      <c r="B126" s="24" t="str">
        <f>IFERROR(INDEX(_自动清单!$AA$4:$AA$203,ROW()-3),"")</f>
        <v/>
      </c>
      <c r="C126" s="25" t="str">
        <f>IF(OR($B126="",_自动清单!$U$4=""),"",SUMIFS(周转筐出入库明细!$K$4:$K$2004,周转筐出入库明细!$C$4:$C$2004,$B126,周转筐出入库明细!$D$4:$D$2004,_自动清单!$U$4,周转筐出入库明细!$B$4:$B$2004,"&gt;="&amp;$P$1,周转筐出入库明细!$B$4:$B$2004,"&lt;="&amp;$P$2))</f>
        <v/>
      </c>
      <c r="D126" s="25" t="str">
        <f>IF(OR($B126="",_自动清单!$U$5=""),"",SUMIFS(周转筐出入库明细!$K$4:$K$2004,周转筐出入库明细!$C$4:$C$2004,$B126,周转筐出入库明细!$D$4:$D$2004,_自动清单!$U$5,周转筐出入库明细!$B$4:$B$2004,"&gt;="&amp;$P$1,周转筐出入库明细!$B$4:$B$2004,"&lt;="&amp;$P$2))</f>
        <v/>
      </c>
      <c r="E126" s="25" t="str">
        <f>IF(OR($B126="",_自动清单!$U$6=""),"",SUMIFS(周转筐出入库明细!$K$4:$K$2004,周转筐出入库明细!$C$4:$C$2004,$B126,周转筐出入库明细!$D$4:$D$2004,_自动清单!$U$6,周转筐出入库明细!$B$4:$B$2004,"&gt;="&amp;$P$1,周转筐出入库明细!$B$4:$B$2004,"&lt;="&amp;$P$2))</f>
        <v/>
      </c>
      <c r="F126" s="25" t="str">
        <f>IF(OR($B126="",_自动清单!$U$7=""),"",SUMIFS(周转筐出入库明细!$K$4:$K$2004,周转筐出入库明细!$C$4:$C$2004,$B126,周转筐出入库明细!$D$4:$D$2004,_自动清单!$U$7,周转筐出入库明细!$B$4:$B$2004,"&gt;="&amp;$P$1,周转筐出入库明细!$B$4:$B$2004,"&lt;="&amp;$P$2))</f>
        <v/>
      </c>
      <c r="G126" s="25" t="str">
        <f>IF($B126="","",SUMIFS(周转筐出入库明细!$K$4:$K$2004,周转筐出入库明细!$C$4:$C$2004,$B126,周转筐出入库明细!$B$4:$B$2004,"&gt;="&amp;$P$1,周转筐出入库明细!$B$4:$B$2004,"&lt;="&amp;$P$2)-SUM($C126:$F126))</f>
        <v/>
      </c>
      <c r="H126" s="25" t="str">
        <f t="shared" si="4"/>
        <v/>
      </c>
      <c r="I126" s="26" t="str">
        <f>IF($B126="","",ROUND(SUMIFS(周转筐出入库明细!$P$4:$P$2004,周转筐出入库明细!$C$4:$C$2004,$B126,周转筐出入库明细!$F$4:$F$2004,"销售出库",周转筐出入库明细!$B$4:$B$2004,"&gt;="&amp;$P$1,周转筐出入库明细!$B$4:$B$2004,"&lt;="&amp;$P$2),2))</f>
        <v/>
      </c>
      <c r="J126" s="26" t="str">
        <f>IF($B126="","",ROUND(SUMIFS(周转筐出入库明细!$P$4:$P$2004,周转筐出入库明细!$C$4:$C$2004,$B126,周转筐出入库明细!$F$4:$F$2004,"销售出库",周转筐出入库明细!$Q$4:$Q$2004,"已收讫",周转筐出入库明细!$B$4:$B$2004,"&gt;="&amp;$P$1,周转筐出入库明细!$B$4:$B$2004,"&lt;="&amp;$P$2),2))</f>
        <v/>
      </c>
      <c r="K126" s="26" t="str">
        <f t="shared" si="5"/>
        <v/>
      </c>
      <c r="L126" s="41"/>
    </row>
    <row r="127" spans="1:12">
      <c r="A127" s="24" t="str">
        <f t="shared" si="3"/>
        <v/>
      </c>
      <c r="B127" s="24" t="str">
        <f>IFERROR(INDEX(_自动清单!$AA$4:$AA$203,ROW()-3),"")</f>
        <v/>
      </c>
      <c r="C127" s="25" t="str">
        <f>IF(OR($B127="",_自动清单!$U$4=""),"",SUMIFS(周转筐出入库明细!$K$4:$K$2004,周转筐出入库明细!$C$4:$C$2004,$B127,周转筐出入库明细!$D$4:$D$2004,_自动清单!$U$4,周转筐出入库明细!$B$4:$B$2004,"&gt;="&amp;$P$1,周转筐出入库明细!$B$4:$B$2004,"&lt;="&amp;$P$2))</f>
        <v/>
      </c>
      <c r="D127" s="25" t="str">
        <f>IF(OR($B127="",_自动清单!$U$5=""),"",SUMIFS(周转筐出入库明细!$K$4:$K$2004,周转筐出入库明细!$C$4:$C$2004,$B127,周转筐出入库明细!$D$4:$D$2004,_自动清单!$U$5,周转筐出入库明细!$B$4:$B$2004,"&gt;="&amp;$P$1,周转筐出入库明细!$B$4:$B$2004,"&lt;="&amp;$P$2))</f>
        <v/>
      </c>
      <c r="E127" s="25" t="str">
        <f>IF(OR($B127="",_自动清单!$U$6=""),"",SUMIFS(周转筐出入库明细!$K$4:$K$2004,周转筐出入库明细!$C$4:$C$2004,$B127,周转筐出入库明细!$D$4:$D$2004,_自动清单!$U$6,周转筐出入库明细!$B$4:$B$2004,"&gt;="&amp;$P$1,周转筐出入库明细!$B$4:$B$2004,"&lt;="&amp;$P$2))</f>
        <v/>
      </c>
      <c r="F127" s="25" t="str">
        <f>IF(OR($B127="",_自动清单!$U$7=""),"",SUMIFS(周转筐出入库明细!$K$4:$K$2004,周转筐出入库明细!$C$4:$C$2004,$B127,周转筐出入库明细!$D$4:$D$2004,_自动清单!$U$7,周转筐出入库明细!$B$4:$B$2004,"&gt;="&amp;$P$1,周转筐出入库明细!$B$4:$B$2004,"&lt;="&amp;$P$2))</f>
        <v/>
      </c>
      <c r="G127" s="25" t="str">
        <f>IF($B127="","",SUMIFS(周转筐出入库明细!$K$4:$K$2004,周转筐出入库明细!$C$4:$C$2004,$B127,周转筐出入库明细!$B$4:$B$2004,"&gt;="&amp;$P$1,周转筐出入库明细!$B$4:$B$2004,"&lt;="&amp;$P$2)-SUM($C127:$F127))</f>
        <v/>
      </c>
      <c r="H127" s="25" t="str">
        <f t="shared" si="4"/>
        <v/>
      </c>
      <c r="I127" s="26" t="str">
        <f>IF($B127="","",ROUND(SUMIFS(周转筐出入库明细!$P$4:$P$2004,周转筐出入库明细!$C$4:$C$2004,$B127,周转筐出入库明细!$F$4:$F$2004,"销售出库",周转筐出入库明细!$B$4:$B$2004,"&gt;="&amp;$P$1,周转筐出入库明细!$B$4:$B$2004,"&lt;="&amp;$P$2),2))</f>
        <v/>
      </c>
      <c r="J127" s="26" t="str">
        <f>IF($B127="","",ROUND(SUMIFS(周转筐出入库明细!$P$4:$P$2004,周转筐出入库明细!$C$4:$C$2004,$B127,周转筐出入库明细!$F$4:$F$2004,"销售出库",周转筐出入库明细!$Q$4:$Q$2004,"已收讫",周转筐出入库明细!$B$4:$B$2004,"&gt;="&amp;$P$1,周转筐出入库明细!$B$4:$B$2004,"&lt;="&amp;$P$2),2))</f>
        <v/>
      </c>
      <c r="K127" s="26" t="str">
        <f t="shared" si="5"/>
        <v/>
      </c>
      <c r="L127" s="41"/>
    </row>
    <row r="128" spans="1:12">
      <c r="A128" s="24" t="str">
        <f t="shared" si="3"/>
        <v/>
      </c>
      <c r="B128" s="24" t="str">
        <f>IFERROR(INDEX(_自动清单!$AA$4:$AA$203,ROW()-3),"")</f>
        <v/>
      </c>
      <c r="C128" s="25" t="str">
        <f>IF(OR($B128="",_自动清单!$U$4=""),"",SUMIFS(周转筐出入库明细!$K$4:$K$2004,周转筐出入库明细!$C$4:$C$2004,$B128,周转筐出入库明细!$D$4:$D$2004,_自动清单!$U$4,周转筐出入库明细!$B$4:$B$2004,"&gt;="&amp;$P$1,周转筐出入库明细!$B$4:$B$2004,"&lt;="&amp;$P$2))</f>
        <v/>
      </c>
      <c r="D128" s="25" t="str">
        <f>IF(OR($B128="",_自动清单!$U$5=""),"",SUMIFS(周转筐出入库明细!$K$4:$K$2004,周转筐出入库明细!$C$4:$C$2004,$B128,周转筐出入库明细!$D$4:$D$2004,_自动清单!$U$5,周转筐出入库明细!$B$4:$B$2004,"&gt;="&amp;$P$1,周转筐出入库明细!$B$4:$B$2004,"&lt;="&amp;$P$2))</f>
        <v/>
      </c>
      <c r="E128" s="25" t="str">
        <f>IF(OR($B128="",_自动清单!$U$6=""),"",SUMIFS(周转筐出入库明细!$K$4:$K$2004,周转筐出入库明细!$C$4:$C$2004,$B128,周转筐出入库明细!$D$4:$D$2004,_自动清单!$U$6,周转筐出入库明细!$B$4:$B$2004,"&gt;="&amp;$P$1,周转筐出入库明细!$B$4:$B$2004,"&lt;="&amp;$P$2))</f>
        <v/>
      </c>
      <c r="F128" s="25" t="str">
        <f>IF(OR($B128="",_自动清单!$U$7=""),"",SUMIFS(周转筐出入库明细!$K$4:$K$2004,周转筐出入库明细!$C$4:$C$2004,$B128,周转筐出入库明细!$D$4:$D$2004,_自动清单!$U$7,周转筐出入库明细!$B$4:$B$2004,"&gt;="&amp;$P$1,周转筐出入库明细!$B$4:$B$2004,"&lt;="&amp;$P$2))</f>
        <v/>
      </c>
      <c r="G128" s="25" t="str">
        <f>IF($B128="","",SUMIFS(周转筐出入库明细!$K$4:$K$2004,周转筐出入库明细!$C$4:$C$2004,$B128,周转筐出入库明细!$B$4:$B$2004,"&gt;="&amp;$P$1,周转筐出入库明细!$B$4:$B$2004,"&lt;="&amp;$P$2)-SUM($C128:$F128))</f>
        <v/>
      </c>
      <c r="H128" s="25" t="str">
        <f t="shared" si="4"/>
        <v/>
      </c>
      <c r="I128" s="26" t="str">
        <f>IF($B128="","",ROUND(SUMIFS(周转筐出入库明细!$P$4:$P$2004,周转筐出入库明细!$C$4:$C$2004,$B128,周转筐出入库明细!$F$4:$F$2004,"销售出库",周转筐出入库明细!$B$4:$B$2004,"&gt;="&amp;$P$1,周转筐出入库明细!$B$4:$B$2004,"&lt;="&amp;$P$2),2))</f>
        <v/>
      </c>
      <c r="J128" s="26" t="str">
        <f>IF($B128="","",ROUND(SUMIFS(周转筐出入库明细!$P$4:$P$2004,周转筐出入库明细!$C$4:$C$2004,$B128,周转筐出入库明细!$F$4:$F$2004,"销售出库",周转筐出入库明细!$Q$4:$Q$2004,"已收讫",周转筐出入库明细!$B$4:$B$2004,"&gt;="&amp;$P$1,周转筐出入库明细!$B$4:$B$2004,"&lt;="&amp;$P$2),2))</f>
        <v/>
      </c>
      <c r="K128" s="26" t="str">
        <f t="shared" si="5"/>
        <v/>
      </c>
      <c r="L128" s="41"/>
    </row>
    <row r="129" spans="1:12">
      <c r="A129" s="24" t="str">
        <f t="shared" si="3"/>
        <v/>
      </c>
      <c r="B129" s="24" t="str">
        <f>IFERROR(INDEX(_自动清单!$AA$4:$AA$203,ROW()-3),"")</f>
        <v/>
      </c>
      <c r="C129" s="25" t="str">
        <f>IF(OR($B129="",_自动清单!$U$4=""),"",SUMIFS(周转筐出入库明细!$K$4:$K$2004,周转筐出入库明细!$C$4:$C$2004,$B129,周转筐出入库明细!$D$4:$D$2004,_自动清单!$U$4,周转筐出入库明细!$B$4:$B$2004,"&gt;="&amp;$P$1,周转筐出入库明细!$B$4:$B$2004,"&lt;="&amp;$P$2))</f>
        <v/>
      </c>
      <c r="D129" s="25" t="str">
        <f>IF(OR($B129="",_自动清单!$U$5=""),"",SUMIFS(周转筐出入库明细!$K$4:$K$2004,周转筐出入库明细!$C$4:$C$2004,$B129,周转筐出入库明细!$D$4:$D$2004,_自动清单!$U$5,周转筐出入库明细!$B$4:$B$2004,"&gt;="&amp;$P$1,周转筐出入库明细!$B$4:$B$2004,"&lt;="&amp;$P$2))</f>
        <v/>
      </c>
      <c r="E129" s="25" t="str">
        <f>IF(OR($B129="",_自动清单!$U$6=""),"",SUMIFS(周转筐出入库明细!$K$4:$K$2004,周转筐出入库明细!$C$4:$C$2004,$B129,周转筐出入库明细!$D$4:$D$2004,_自动清单!$U$6,周转筐出入库明细!$B$4:$B$2004,"&gt;="&amp;$P$1,周转筐出入库明细!$B$4:$B$2004,"&lt;="&amp;$P$2))</f>
        <v/>
      </c>
      <c r="F129" s="25" t="str">
        <f>IF(OR($B129="",_自动清单!$U$7=""),"",SUMIFS(周转筐出入库明细!$K$4:$K$2004,周转筐出入库明细!$C$4:$C$2004,$B129,周转筐出入库明细!$D$4:$D$2004,_自动清单!$U$7,周转筐出入库明细!$B$4:$B$2004,"&gt;="&amp;$P$1,周转筐出入库明细!$B$4:$B$2004,"&lt;="&amp;$P$2))</f>
        <v/>
      </c>
      <c r="G129" s="25" t="str">
        <f>IF($B129="","",SUMIFS(周转筐出入库明细!$K$4:$K$2004,周转筐出入库明细!$C$4:$C$2004,$B129,周转筐出入库明细!$B$4:$B$2004,"&gt;="&amp;$P$1,周转筐出入库明细!$B$4:$B$2004,"&lt;="&amp;$P$2)-SUM($C129:$F129))</f>
        <v/>
      </c>
      <c r="H129" s="25" t="str">
        <f t="shared" si="4"/>
        <v/>
      </c>
      <c r="I129" s="26" t="str">
        <f>IF($B129="","",ROUND(SUMIFS(周转筐出入库明细!$P$4:$P$2004,周转筐出入库明细!$C$4:$C$2004,$B129,周转筐出入库明细!$F$4:$F$2004,"销售出库",周转筐出入库明细!$B$4:$B$2004,"&gt;="&amp;$P$1,周转筐出入库明细!$B$4:$B$2004,"&lt;="&amp;$P$2),2))</f>
        <v/>
      </c>
      <c r="J129" s="26" t="str">
        <f>IF($B129="","",ROUND(SUMIFS(周转筐出入库明细!$P$4:$P$2004,周转筐出入库明细!$C$4:$C$2004,$B129,周转筐出入库明细!$F$4:$F$2004,"销售出库",周转筐出入库明细!$Q$4:$Q$2004,"已收讫",周转筐出入库明细!$B$4:$B$2004,"&gt;="&amp;$P$1,周转筐出入库明细!$B$4:$B$2004,"&lt;="&amp;$P$2),2))</f>
        <v/>
      </c>
      <c r="K129" s="26" t="str">
        <f t="shared" si="5"/>
        <v/>
      </c>
      <c r="L129" s="41"/>
    </row>
    <row r="130" spans="1:12">
      <c r="A130" s="24" t="str">
        <f t="shared" si="3"/>
        <v/>
      </c>
      <c r="B130" s="24" t="str">
        <f>IFERROR(INDEX(_自动清单!$AA$4:$AA$203,ROW()-3),"")</f>
        <v/>
      </c>
      <c r="C130" s="25" t="str">
        <f>IF(OR($B130="",_自动清单!$U$4=""),"",SUMIFS(周转筐出入库明细!$K$4:$K$2004,周转筐出入库明细!$C$4:$C$2004,$B130,周转筐出入库明细!$D$4:$D$2004,_自动清单!$U$4,周转筐出入库明细!$B$4:$B$2004,"&gt;="&amp;$P$1,周转筐出入库明细!$B$4:$B$2004,"&lt;="&amp;$P$2))</f>
        <v/>
      </c>
      <c r="D130" s="25" t="str">
        <f>IF(OR($B130="",_自动清单!$U$5=""),"",SUMIFS(周转筐出入库明细!$K$4:$K$2004,周转筐出入库明细!$C$4:$C$2004,$B130,周转筐出入库明细!$D$4:$D$2004,_自动清单!$U$5,周转筐出入库明细!$B$4:$B$2004,"&gt;="&amp;$P$1,周转筐出入库明细!$B$4:$B$2004,"&lt;="&amp;$P$2))</f>
        <v/>
      </c>
      <c r="E130" s="25" t="str">
        <f>IF(OR($B130="",_自动清单!$U$6=""),"",SUMIFS(周转筐出入库明细!$K$4:$K$2004,周转筐出入库明细!$C$4:$C$2004,$B130,周转筐出入库明细!$D$4:$D$2004,_自动清单!$U$6,周转筐出入库明细!$B$4:$B$2004,"&gt;="&amp;$P$1,周转筐出入库明细!$B$4:$B$2004,"&lt;="&amp;$P$2))</f>
        <v/>
      </c>
      <c r="F130" s="25" t="str">
        <f>IF(OR($B130="",_自动清单!$U$7=""),"",SUMIFS(周转筐出入库明细!$K$4:$K$2004,周转筐出入库明细!$C$4:$C$2004,$B130,周转筐出入库明细!$D$4:$D$2004,_自动清单!$U$7,周转筐出入库明细!$B$4:$B$2004,"&gt;="&amp;$P$1,周转筐出入库明细!$B$4:$B$2004,"&lt;="&amp;$P$2))</f>
        <v/>
      </c>
      <c r="G130" s="25" t="str">
        <f>IF($B130="","",SUMIFS(周转筐出入库明细!$K$4:$K$2004,周转筐出入库明细!$C$4:$C$2004,$B130,周转筐出入库明细!$B$4:$B$2004,"&gt;="&amp;$P$1,周转筐出入库明细!$B$4:$B$2004,"&lt;="&amp;$P$2)-SUM($C130:$F130))</f>
        <v/>
      </c>
      <c r="H130" s="25" t="str">
        <f t="shared" si="4"/>
        <v/>
      </c>
      <c r="I130" s="26" t="str">
        <f>IF($B130="","",ROUND(SUMIFS(周转筐出入库明细!$P$4:$P$2004,周转筐出入库明细!$C$4:$C$2004,$B130,周转筐出入库明细!$F$4:$F$2004,"销售出库",周转筐出入库明细!$B$4:$B$2004,"&gt;="&amp;$P$1,周转筐出入库明细!$B$4:$B$2004,"&lt;="&amp;$P$2),2))</f>
        <v/>
      </c>
      <c r="J130" s="26" t="str">
        <f>IF($B130="","",ROUND(SUMIFS(周转筐出入库明细!$P$4:$P$2004,周转筐出入库明细!$C$4:$C$2004,$B130,周转筐出入库明细!$F$4:$F$2004,"销售出库",周转筐出入库明细!$Q$4:$Q$2004,"已收讫",周转筐出入库明细!$B$4:$B$2004,"&gt;="&amp;$P$1,周转筐出入库明细!$B$4:$B$2004,"&lt;="&amp;$P$2),2))</f>
        <v/>
      </c>
      <c r="K130" s="26" t="str">
        <f t="shared" si="5"/>
        <v/>
      </c>
      <c r="L130" s="41"/>
    </row>
    <row r="131" spans="1:12">
      <c r="A131" s="24" t="str">
        <f t="shared" si="3"/>
        <v/>
      </c>
      <c r="B131" s="24" t="str">
        <f>IFERROR(INDEX(_自动清单!$AA$4:$AA$203,ROW()-3),"")</f>
        <v/>
      </c>
      <c r="C131" s="25" t="str">
        <f>IF(OR($B131="",_自动清单!$U$4=""),"",SUMIFS(周转筐出入库明细!$K$4:$K$2004,周转筐出入库明细!$C$4:$C$2004,$B131,周转筐出入库明细!$D$4:$D$2004,_自动清单!$U$4,周转筐出入库明细!$B$4:$B$2004,"&gt;="&amp;$P$1,周转筐出入库明细!$B$4:$B$2004,"&lt;="&amp;$P$2))</f>
        <v/>
      </c>
      <c r="D131" s="25" t="str">
        <f>IF(OR($B131="",_自动清单!$U$5=""),"",SUMIFS(周转筐出入库明细!$K$4:$K$2004,周转筐出入库明细!$C$4:$C$2004,$B131,周转筐出入库明细!$D$4:$D$2004,_自动清单!$U$5,周转筐出入库明细!$B$4:$B$2004,"&gt;="&amp;$P$1,周转筐出入库明细!$B$4:$B$2004,"&lt;="&amp;$P$2))</f>
        <v/>
      </c>
      <c r="E131" s="25" t="str">
        <f>IF(OR($B131="",_自动清单!$U$6=""),"",SUMIFS(周转筐出入库明细!$K$4:$K$2004,周转筐出入库明细!$C$4:$C$2004,$B131,周转筐出入库明细!$D$4:$D$2004,_自动清单!$U$6,周转筐出入库明细!$B$4:$B$2004,"&gt;="&amp;$P$1,周转筐出入库明细!$B$4:$B$2004,"&lt;="&amp;$P$2))</f>
        <v/>
      </c>
      <c r="F131" s="25" t="str">
        <f>IF(OR($B131="",_自动清单!$U$7=""),"",SUMIFS(周转筐出入库明细!$K$4:$K$2004,周转筐出入库明细!$C$4:$C$2004,$B131,周转筐出入库明细!$D$4:$D$2004,_自动清单!$U$7,周转筐出入库明细!$B$4:$B$2004,"&gt;="&amp;$P$1,周转筐出入库明细!$B$4:$B$2004,"&lt;="&amp;$P$2))</f>
        <v/>
      </c>
      <c r="G131" s="25" t="str">
        <f>IF($B131="","",SUMIFS(周转筐出入库明细!$K$4:$K$2004,周转筐出入库明细!$C$4:$C$2004,$B131,周转筐出入库明细!$B$4:$B$2004,"&gt;="&amp;$P$1,周转筐出入库明细!$B$4:$B$2004,"&lt;="&amp;$P$2)-SUM($C131:$F131))</f>
        <v/>
      </c>
      <c r="H131" s="25" t="str">
        <f t="shared" si="4"/>
        <v/>
      </c>
      <c r="I131" s="26" t="str">
        <f>IF($B131="","",ROUND(SUMIFS(周转筐出入库明细!$P$4:$P$2004,周转筐出入库明细!$C$4:$C$2004,$B131,周转筐出入库明细!$F$4:$F$2004,"销售出库",周转筐出入库明细!$B$4:$B$2004,"&gt;="&amp;$P$1,周转筐出入库明细!$B$4:$B$2004,"&lt;="&amp;$P$2),2))</f>
        <v/>
      </c>
      <c r="J131" s="26" t="str">
        <f>IF($B131="","",ROUND(SUMIFS(周转筐出入库明细!$P$4:$P$2004,周转筐出入库明细!$C$4:$C$2004,$B131,周转筐出入库明细!$F$4:$F$2004,"销售出库",周转筐出入库明细!$Q$4:$Q$2004,"已收讫",周转筐出入库明细!$B$4:$B$2004,"&gt;="&amp;$P$1,周转筐出入库明细!$B$4:$B$2004,"&lt;="&amp;$P$2),2))</f>
        <v/>
      </c>
      <c r="K131" s="26" t="str">
        <f t="shared" si="5"/>
        <v/>
      </c>
      <c r="L131" s="41"/>
    </row>
    <row r="132" spans="1:12">
      <c r="A132" s="24" t="str">
        <f t="shared" ref="A132:A195" si="6">IF($B132="","",ROW()-3)</f>
        <v/>
      </c>
      <c r="B132" s="24" t="str">
        <f>IFERROR(INDEX(_自动清单!$AA$4:$AA$203,ROW()-3),"")</f>
        <v/>
      </c>
      <c r="C132" s="25" t="str">
        <f>IF(OR($B132="",_自动清单!$U$4=""),"",SUMIFS(周转筐出入库明细!$K$4:$K$2004,周转筐出入库明细!$C$4:$C$2004,$B132,周转筐出入库明细!$D$4:$D$2004,_自动清单!$U$4,周转筐出入库明细!$B$4:$B$2004,"&gt;="&amp;$P$1,周转筐出入库明细!$B$4:$B$2004,"&lt;="&amp;$P$2))</f>
        <v/>
      </c>
      <c r="D132" s="25" t="str">
        <f>IF(OR($B132="",_自动清单!$U$5=""),"",SUMIFS(周转筐出入库明细!$K$4:$K$2004,周转筐出入库明细!$C$4:$C$2004,$B132,周转筐出入库明细!$D$4:$D$2004,_自动清单!$U$5,周转筐出入库明细!$B$4:$B$2004,"&gt;="&amp;$P$1,周转筐出入库明细!$B$4:$B$2004,"&lt;="&amp;$P$2))</f>
        <v/>
      </c>
      <c r="E132" s="25" t="str">
        <f>IF(OR($B132="",_自动清单!$U$6=""),"",SUMIFS(周转筐出入库明细!$K$4:$K$2004,周转筐出入库明细!$C$4:$C$2004,$B132,周转筐出入库明细!$D$4:$D$2004,_自动清单!$U$6,周转筐出入库明细!$B$4:$B$2004,"&gt;="&amp;$P$1,周转筐出入库明细!$B$4:$B$2004,"&lt;="&amp;$P$2))</f>
        <v/>
      </c>
      <c r="F132" s="25" t="str">
        <f>IF(OR($B132="",_自动清单!$U$7=""),"",SUMIFS(周转筐出入库明细!$K$4:$K$2004,周转筐出入库明细!$C$4:$C$2004,$B132,周转筐出入库明细!$D$4:$D$2004,_自动清单!$U$7,周转筐出入库明细!$B$4:$B$2004,"&gt;="&amp;$P$1,周转筐出入库明细!$B$4:$B$2004,"&lt;="&amp;$P$2))</f>
        <v/>
      </c>
      <c r="G132" s="25" t="str">
        <f>IF($B132="","",SUMIFS(周转筐出入库明细!$K$4:$K$2004,周转筐出入库明细!$C$4:$C$2004,$B132,周转筐出入库明细!$B$4:$B$2004,"&gt;="&amp;$P$1,周转筐出入库明细!$B$4:$B$2004,"&lt;="&amp;$P$2)-SUM($C132:$F132))</f>
        <v/>
      </c>
      <c r="H132" s="25" t="str">
        <f t="shared" ref="H132:H195" si="7">IF($B132="","",SUM($C132:$G132))</f>
        <v/>
      </c>
      <c r="I132" s="26" t="str">
        <f>IF($B132="","",ROUND(SUMIFS(周转筐出入库明细!$P$4:$P$2004,周转筐出入库明细!$C$4:$C$2004,$B132,周转筐出入库明细!$F$4:$F$2004,"销售出库",周转筐出入库明细!$B$4:$B$2004,"&gt;="&amp;$P$1,周转筐出入库明细!$B$4:$B$2004,"&lt;="&amp;$P$2),2))</f>
        <v/>
      </c>
      <c r="J132" s="26" t="str">
        <f>IF($B132="","",ROUND(SUMIFS(周转筐出入库明细!$P$4:$P$2004,周转筐出入库明细!$C$4:$C$2004,$B132,周转筐出入库明细!$F$4:$F$2004,"销售出库",周转筐出入库明细!$Q$4:$Q$2004,"已收讫",周转筐出入库明细!$B$4:$B$2004,"&gt;="&amp;$P$1,周转筐出入库明细!$B$4:$B$2004,"&lt;="&amp;$P$2),2))</f>
        <v/>
      </c>
      <c r="K132" s="26" t="str">
        <f t="shared" ref="K132:K195" si="8">IF($B132="","",ROUND(N($I132)-N($J132),2))</f>
        <v/>
      </c>
      <c r="L132" s="41"/>
    </row>
    <row r="133" spans="1:12">
      <c r="A133" s="24" t="str">
        <f t="shared" si="6"/>
        <v/>
      </c>
      <c r="B133" s="24" t="str">
        <f>IFERROR(INDEX(_自动清单!$AA$4:$AA$203,ROW()-3),"")</f>
        <v/>
      </c>
      <c r="C133" s="25" t="str">
        <f>IF(OR($B133="",_自动清单!$U$4=""),"",SUMIFS(周转筐出入库明细!$K$4:$K$2004,周转筐出入库明细!$C$4:$C$2004,$B133,周转筐出入库明细!$D$4:$D$2004,_自动清单!$U$4,周转筐出入库明细!$B$4:$B$2004,"&gt;="&amp;$P$1,周转筐出入库明细!$B$4:$B$2004,"&lt;="&amp;$P$2))</f>
        <v/>
      </c>
      <c r="D133" s="25" t="str">
        <f>IF(OR($B133="",_自动清单!$U$5=""),"",SUMIFS(周转筐出入库明细!$K$4:$K$2004,周转筐出入库明细!$C$4:$C$2004,$B133,周转筐出入库明细!$D$4:$D$2004,_自动清单!$U$5,周转筐出入库明细!$B$4:$B$2004,"&gt;="&amp;$P$1,周转筐出入库明细!$B$4:$B$2004,"&lt;="&amp;$P$2))</f>
        <v/>
      </c>
      <c r="E133" s="25" t="str">
        <f>IF(OR($B133="",_自动清单!$U$6=""),"",SUMIFS(周转筐出入库明细!$K$4:$K$2004,周转筐出入库明细!$C$4:$C$2004,$B133,周转筐出入库明细!$D$4:$D$2004,_自动清单!$U$6,周转筐出入库明细!$B$4:$B$2004,"&gt;="&amp;$P$1,周转筐出入库明细!$B$4:$B$2004,"&lt;="&amp;$P$2))</f>
        <v/>
      </c>
      <c r="F133" s="25" t="str">
        <f>IF(OR($B133="",_自动清单!$U$7=""),"",SUMIFS(周转筐出入库明细!$K$4:$K$2004,周转筐出入库明细!$C$4:$C$2004,$B133,周转筐出入库明细!$D$4:$D$2004,_自动清单!$U$7,周转筐出入库明细!$B$4:$B$2004,"&gt;="&amp;$P$1,周转筐出入库明细!$B$4:$B$2004,"&lt;="&amp;$P$2))</f>
        <v/>
      </c>
      <c r="G133" s="25" t="str">
        <f>IF($B133="","",SUMIFS(周转筐出入库明细!$K$4:$K$2004,周转筐出入库明细!$C$4:$C$2004,$B133,周转筐出入库明细!$B$4:$B$2004,"&gt;="&amp;$P$1,周转筐出入库明细!$B$4:$B$2004,"&lt;="&amp;$P$2)-SUM($C133:$F133))</f>
        <v/>
      </c>
      <c r="H133" s="25" t="str">
        <f t="shared" si="7"/>
        <v/>
      </c>
      <c r="I133" s="26" t="str">
        <f>IF($B133="","",ROUND(SUMIFS(周转筐出入库明细!$P$4:$P$2004,周转筐出入库明细!$C$4:$C$2004,$B133,周转筐出入库明细!$F$4:$F$2004,"销售出库",周转筐出入库明细!$B$4:$B$2004,"&gt;="&amp;$P$1,周转筐出入库明细!$B$4:$B$2004,"&lt;="&amp;$P$2),2))</f>
        <v/>
      </c>
      <c r="J133" s="26" t="str">
        <f>IF($B133="","",ROUND(SUMIFS(周转筐出入库明细!$P$4:$P$2004,周转筐出入库明细!$C$4:$C$2004,$B133,周转筐出入库明细!$F$4:$F$2004,"销售出库",周转筐出入库明细!$Q$4:$Q$2004,"已收讫",周转筐出入库明细!$B$4:$B$2004,"&gt;="&amp;$P$1,周转筐出入库明细!$B$4:$B$2004,"&lt;="&amp;$P$2),2))</f>
        <v/>
      </c>
      <c r="K133" s="26" t="str">
        <f t="shared" si="8"/>
        <v/>
      </c>
      <c r="L133" s="41"/>
    </row>
    <row r="134" spans="1:12">
      <c r="A134" s="24" t="str">
        <f t="shared" si="6"/>
        <v/>
      </c>
      <c r="B134" s="24" t="str">
        <f>IFERROR(INDEX(_自动清单!$AA$4:$AA$203,ROW()-3),"")</f>
        <v/>
      </c>
      <c r="C134" s="25" t="str">
        <f>IF(OR($B134="",_自动清单!$U$4=""),"",SUMIFS(周转筐出入库明细!$K$4:$K$2004,周转筐出入库明细!$C$4:$C$2004,$B134,周转筐出入库明细!$D$4:$D$2004,_自动清单!$U$4,周转筐出入库明细!$B$4:$B$2004,"&gt;="&amp;$P$1,周转筐出入库明细!$B$4:$B$2004,"&lt;="&amp;$P$2))</f>
        <v/>
      </c>
      <c r="D134" s="25" t="str">
        <f>IF(OR($B134="",_自动清单!$U$5=""),"",SUMIFS(周转筐出入库明细!$K$4:$K$2004,周转筐出入库明细!$C$4:$C$2004,$B134,周转筐出入库明细!$D$4:$D$2004,_自动清单!$U$5,周转筐出入库明细!$B$4:$B$2004,"&gt;="&amp;$P$1,周转筐出入库明细!$B$4:$B$2004,"&lt;="&amp;$P$2))</f>
        <v/>
      </c>
      <c r="E134" s="25" t="str">
        <f>IF(OR($B134="",_自动清单!$U$6=""),"",SUMIFS(周转筐出入库明细!$K$4:$K$2004,周转筐出入库明细!$C$4:$C$2004,$B134,周转筐出入库明细!$D$4:$D$2004,_自动清单!$U$6,周转筐出入库明细!$B$4:$B$2004,"&gt;="&amp;$P$1,周转筐出入库明细!$B$4:$B$2004,"&lt;="&amp;$P$2))</f>
        <v/>
      </c>
      <c r="F134" s="25" t="str">
        <f>IF(OR($B134="",_自动清单!$U$7=""),"",SUMIFS(周转筐出入库明细!$K$4:$K$2004,周转筐出入库明细!$C$4:$C$2004,$B134,周转筐出入库明细!$D$4:$D$2004,_自动清单!$U$7,周转筐出入库明细!$B$4:$B$2004,"&gt;="&amp;$P$1,周转筐出入库明细!$B$4:$B$2004,"&lt;="&amp;$P$2))</f>
        <v/>
      </c>
      <c r="G134" s="25" t="str">
        <f>IF($B134="","",SUMIFS(周转筐出入库明细!$K$4:$K$2004,周转筐出入库明细!$C$4:$C$2004,$B134,周转筐出入库明细!$B$4:$B$2004,"&gt;="&amp;$P$1,周转筐出入库明细!$B$4:$B$2004,"&lt;="&amp;$P$2)-SUM($C134:$F134))</f>
        <v/>
      </c>
      <c r="H134" s="25" t="str">
        <f t="shared" si="7"/>
        <v/>
      </c>
      <c r="I134" s="26" t="str">
        <f>IF($B134="","",ROUND(SUMIFS(周转筐出入库明细!$P$4:$P$2004,周转筐出入库明细!$C$4:$C$2004,$B134,周转筐出入库明细!$F$4:$F$2004,"销售出库",周转筐出入库明细!$B$4:$B$2004,"&gt;="&amp;$P$1,周转筐出入库明细!$B$4:$B$2004,"&lt;="&amp;$P$2),2))</f>
        <v/>
      </c>
      <c r="J134" s="26" t="str">
        <f>IF($B134="","",ROUND(SUMIFS(周转筐出入库明细!$P$4:$P$2004,周转筐出入库明细!$C$4:$C$2004,$B134,周转筐出入库明细!$F$4:$F$2004,"销售出库",周转筐出入库明细!$Q$4:$Q$2004,"已收讫",周转筐出入库明细!$B$4:$B$2004,"&gt;="&amp;$P$1,周转筐出入库明细!$B$4:$B$2004,"&lt;="&amp;$P$2),2))</f>
        <v/>
      </c>
      <c r="K134" s="26" t="str">
        <f t="shared" si="8"/>
        <v/>
      </c>
      <c r="L134" s="41"/>
    </row>
    <row r="135" spans="1:12">
      <c r="A135" s="24" t="str">
        <f t="shared" si="6"/>
        <v/>
      </c>
      <c r="B135" s="24" t="str">
        <f>IFERROR(INDEX(_自动清单!$AA$4:$AA$203,ROW()-3),"")</f>
        <v/>
      </c>
      <c r="C135" s="25" t="str">
        <f>IF(OR($B135="",_自动清单!$U$4=""),"",SUMIFS(周转筐出入库明细!$K$4:$K$2004,周转筐出入库明细!$C$4:$C$2004,$B135,周转筐出入库明细!$D$4:$D$2004,_自动清单!$U$4,周转筐出入库明细!$B$4:$B$2004,"&gt;="&amp;$P$1,周转筐出入库明细!$B$4:$B$2004,"&lt;="&amp;$P$2))</f>
        <v/>
      </c>
      <c r="D135" s="25" t="str">
        <f>IF(OR($B135="",_自动清单!$U$5=""),"",SUMIFS(周转筐出入库明细!$K$4:$K$2004,周转筐出入库明细!$C$4:$C$2004,$B135,周转筐出入库明细!$D$4:$D$2004,_自动清单!$U$5,周转筐出入库明细!$B$4:$B$2004,"&gt;="&amp;$P$1,周转筐出入库明细!$B$4:$B$2004,"&lt;="&amp;$P$2))</f>
        <v/>
      </c>
      <c r="E135" s="25" t="str">
        <f>IF(OR($B135="",_自动清单!$U$6=""),"",SUMIFS(周转筐出入库明细!$K$4:$K$2004,周转筐出入库明细!$C$4:$C$2004,$B135,周转筐出入库明细!$D$4:$D$2004,_自动清单!$U$6,周转筐出入库明细!$B$4:$B$2004,"&gt;="&amp;$P$1,周转筐出入库明细!$B$4:$B$2004,"&lt;="&amp;$P$2))</f>
        <v/>
      </c>
      <c r="F135" s="25" t="str">
        <f>IF(OR($B135="",_自动清单!$U$7=""),"",SUMIFS(周转筐出入库明细!$K$4:$K$2004,周转筐出入库明细!$C$4:$C$2004,$B135,周转筐出入库明细!$D$4:$D$2004,_自动清单!$U$7,周转筐出入库明细!$B$4:$B$2004,"&gt;="&amp;$P$1,周转筐出入库明细!$B$4:$B$2004,"&lt;="&amp;$P$2))</f>
        <v/>
      </c>
      <c r="G135" s="25" t="str">
        <f>IF($B135="","",SUMIFS(周转筐出入库明细!$K$4:$K$2004,周转筐出入库明细!$C$4:$C$2004,$B135,周转筐出入库明细!$B$4:$B$2004,"&gt;="&amp;$P$1,周转筐出入库明细!$B$4:$B$2004,"&lt;="&amp;$P$2)-SUM($C135:$F135))</f>
        <v/>
      </c>
      <c r="H135" s="25" t="str">
        <f t="shared" si="7"/>
        <v/>
      </c>
      <c r="I135" s="26" t="str">
        <f>IF($B135="","",ROUND(SUMIFS(周转筐出入库明细!$P$4:$P$2004,周转筐出入库明细!$C$4:$C$2004,$B135,周转筐出入库明细!$F$4:$F$2004,"销售出库",周转筐出入库明细!$B$4:$B$2004,"&gt;="&amp;$P$1,周转筐出入库明细!$B$4:$B$2004,"&lt;="&amp;$P$2),2))</f>
        <v/>
      </c>
      <c r="J135" s="26" t="str">
        <f>IF($B135="","",ROUND(SUMIFS(周转筐出入库明细!$P$4:$P$2004,周转筐出入库明细!$C$4:$C$2004,$B135,周转筐出入库明细!$F$4:$F$2004,"销售出库",周转筐出入库明细!$Q$4:$Q$2004,"已收讫",周转筐出入库明细!$B$4:$B$2004,"&gt;="&amp;$P$1,周转筐出入库明细!$B$4:$B$2004,"&lt;="&amp;$P$2),2))</f>
        <v/>
      </c>
      <c r="K135" s="26" t="str">
        <f t="shared" si="8"/>
        <v/>
      </c>
      <c r="L135" s="41"/>
    </row>
    <row r="136" spans="1:12">
      <c r="A136" s="24" t="str">
        <f t="shared" si="6"/>
        <v/>
      </c>
      <c r="B136" s="24" t="str">
        <f>IFERROR(INDEX(_自动清单!$AA$4:$AA$203,ROW()-3),"")</f>
        <v/>
      </c>
      <c r="C136" s="25" t="str">
        <f>IF(OR($B136="",_自动清单!$U$4=""),"",SUMIFS(周转筐出入库明细!$K$4:$K$2004,周转筐出入库明细!$C$4:$C$2004,$B136,周转筐出入库明细!$D$4:$D$2004,_自动清单!$U$4,周转筐出入库明细!$B$4:$B$2004,"&gt;="&amp;$P$1,周转筐出入库明细!$B$4:$B$2004,"&lt;="&amp;$P$2))</f>
        <v/>
      </c>
      <c r="D136" s="25" t="str">
        <f>IF(OR($B136="",_自动清单!$U$5=""),"",SUMIFS(周转筐出入库明细!$K$4:$K$2004,周转筐出入库明细!$C$4:$C$2004,$B136,周转筐出入库明细!$D$4:$D$2004,_自动清单!$U$5,周转筐出入库明细!$B$4:$B$2004,"&gt;="&amp;$P$1,周转筐出入库明细!$B$4:$B$2004,"&lt;="&amp;$P$2))</f>
        <v/>
      </c>
      <c r="E136" s="25" t="str">
        <f>IF(OR($B136="",_自动清单!$U$6=""),"",SUMIFS(周转筐出入库明细!$K$4:$K$2004,周转筐出入库明细!$C$4:$C$2004,$B136,周转筐出入库明细!$D$4:$D$2004,_自动清单!$U$6,周转筐出入库明细!$B$4:$B$2004,"&gt;="&amp;$P$1,周转筐出入库明细!$B$4:$B$2004,"&lt;="&amp;$P$2))</f>
        <v/>
      </c>
      <c r="F136" s="25" t="str">
        <f>IF(OR($B136="",_自动清单!$U$7=""),"",SUMIFS(周转筐出入库明细!$K$4:$K$2004,周转筐出入库明细!$C$4:$C$2004,$B136,周转筐出入库明细!$D$4:$D$2004,_自动清单!$U$7,周转筐出入库明细!$B$4:$B$2004,"&gt;="&amp;$P$1,周转筐出入库明细!$B$4:$B$2004,"&lt;="&amp;$P$2))</f>
        <v/>
      </c>
      <c r="G136" s="25" t="str">
        <f>IF($B136="","",SUMIFS(周转筐出入库明细!$K$4:$K$2004,周转筐出入库明细!$C$4:$C$2004,$B136,周转筐出入库明细!$B$4:$B$2004,"&gt;="&amp;$P$1,周转筐出入库明细!$B$4:$B$2004,"&lt;="&amp;$P$2)-SUM($C136:$F136))</f>
        <v/>
      </c>
      <c r="H136" s="25" t="str">
        <f t="shared" si="7"/>
        <v/>
      </c>
      <c r="I136" s="26" t="str">
        <f>IF($B136="","",ROUND(SUMIFS(周转筐出入库明细!$P$4:$P$2004,周转筐出入库明细!$C$4:$C$2004,$B136,周转筐出入库明细!$F$4:$F$2004,"销售出库",周转筐出入库明细!$B$4:$B$2004,"&gt;="&amp;$P$1,周转筐出入库明细!$B$4:$B$2004,"&lt;="&amp;$P$2),2))</f>
        <v/>
      </c>
      <c r="J136" s="26" t="str">
        <f>IF($B136="","",ROUND(SUMIFS(周转筐出入库明细!$P$4:$P$2004,周转筐出入库明细!$C$4:$C$2004,$B136,周转筐出入库明细!$F$4:$F$2004,"销售出库",周转筐出入库明细!$Q$4:$Q$2004,"已收讫",周转筐出入库明细!$B$4:$B$2004,"&gt;="&amp;$P$1,周转筐出入库明细!$B$4:$B$2004,"&lt;="&amp;$P$2),2))</f>
        <v/>
      </c>
      <c r="K136" s="26" t="str">
        <f t="shared" si="8"/>
        <v/>
      </c>
      <c r="L136" s="41"/>
    </row>
    <row r="137" spans="1:12">
      <c r="A137" s="24" t="str">
        <f t="shared" si="6"/>
        <v/>
      </c>
      <c r="B137" s="24" t="str">
        <f>IFERROR(INDEX(_自动清单!$AA$4:$AA$203,ROW()-3),"")</f>
        <v/>
      </c>
      <c r="C137" s="25" t="str">
        <f>IF(OR($B137="",_自动清单!$U$4=""),"",SUMIFS(周转筐出入库明细!$K$4:$K$2004,周转筐出入库明细!$C$4:$C$2004,$B137,周转筐出入库明细!$D$4:$D$2004,_自动清单!$U$4,周转筐出入库明细!$B$4:$B$2004,"&gt;="&amp;$P$1,周转筐出入库明细!$B$4:$B$2004,"&lt;="&amp;$P$2))</f>
        <v/>
      </c>
      <c r="D137" s="25" t="str">
        <f>IF(OR($B137="",_自动清单!$U$5=""),"",SUMIFS(周转筐出入库明细!$K$4:$K$2004,周转筐出入库明细!$C$4:$C$2004,$B137,周转筐出入库明细!$D$4:$D$2004,_自动清单!$U$5,周转筐出入库明细!$B$4:$B$2004,"&gt;="&amp;$P$1,周转筐出入库明细!$B$4:$B$2004,"&lt;="&amp;$P$2))</f>
        <v/>
      </c>
      <c r="E137" s="25" t="str">
        <f>IF(OR($B137="",_自动清单!$U$6=""),"",SUMIFS(周转筐出入库明细!$K$4:$K$2004,周转筐出入库明细!$C$4:$C$2004,$B137,周转筐出入库明细!$D$4:$D$2004,_自动清单!$U$6,周转筐出入库明细!$B$4:$B$2004,"&gt;="&amp;$P$1,周转筐出入库明细!$B$4:$B$2004,"&lt;="&amp;$P$2))</f>
        <v/>
      </c>
      <c r="F137" s="25" t="str">
        <f>IF(OR($B137="",_自动清单!$U$7=""),"",SUMIFS(周转筐出入库明细!$K$4:$K$2004,周转筐出入库明细!$C$4:$C$2004,$B137,周转筐出入库明细!$D$4:$D$2004,_自动清单!$U$7,周转筐出入库明细!$B$4:$B$2004,"&gt;="&amp;$P$1,周转筐出入库明细!$B$4:$B$2004,"&lt;="&amp;$P$2))</f>
        <v/>
      </c>
      <c r="G137" s="25" t="str">
        <f>IF($B137="","",SUMIFS(周转筐出入库明细!$K$4:$K$2004,周转筐出入库明细!$C$4:$C$2004,$B137,周转筐出入库明细!$B$4:$B$2004,"&gt;="&amp;$P$1,周转筐出入库明细!$B$4:$B$2004,"&lt;="&amp;$P$2)-SUM($C137:$F137))</f>
        <v/>
      </c>
      <c r="H137" s="25" t="str">
        <f t="shared" si="7"/>
        <v/>
      </c>
      <c r="I137" s="26" t="str">
        <f>IF($B137="","",ROUND(SUMIFS(周转筐出入库明细!$P$4:$P$2004,周转筐出入库明细!$C$4:$C$2004,$B137,周转筐出入库明细!$F$4:$F$2004,"销售出库",周转筐出入库明细!$B$4:$B$2004,"&gt;="&amp;$P$1,周转筐出入库明细!$B$4:$B$2004,"&lt;="&amp;$P$2),2))</f>
        <v/>
      </c>
      <c r="J137" s="26" t="str">
        <f>IF($B137="","",ROUND(SUMIFS(周转筐出入库明细!$P$4:$P$2004,周转筐出入库明细!$C$4:$C$2004,$B137,周转筐出入库明细!$F$4:$F$2004,"销售出库",周转筐出入库明细!$Q$4:$Q$2004,"已收讫",周转筐出入库明细!$B$4:$B$2004,"&gt;="&amp;$P$1,周转筐出入库明细!$B$4:$B$2004,"&lt;="&amp;$P$2),2))</f>
        <v/>
      </c>
      <c r="K137" s="26" t="str">
        <f t="shared" si="8"/>
        <v/>
      </c>
      <c r="L137" s="41"/>
    </row>
    <row r="138" spans="1:12">
      <c r="A138" s="24" t="str">
        <f t="shared" si="6"/>
        <v/>
      </c>
      <c r="B138" s="24" t="str">
        <f>IFERROR(INDEX(_自动清单!$AA$4:$AA$203,ROW()-3),"")</f>
        <v/>
      </c>
      <c r="C138" s="25" t="str">
        <f>IF(OR($B138="",_自动清单!$U$4=""),"",SUMIFS(周转筐出入库明细!$K$4:$K$2004,周转筐出入库明细!$C$4:$C$2004,$B138,周转筐出入库明细!$D$4:$D$2004,_自动清单!$U$4,周转筐出入库明细!$B$4:$B$2004,"&gt;="&amp;$P$1,周转筐出入库明细!$B$4:$B$2004,"&lt;="&amp;$P$2))</f>
        <v/>
      </c>
      <c r="D138" s="25" t="str">
        <f>IF(OR($B138="",_自动清单!$U$5=""),"",SUMIFS(周转筐出入库明细!$K$4:$K$2004,周转筐出入库明细!$C$4:$C$2004,$B138,周转筐出入库明细!$D$4:$D$2004,_自动清单!$U$5,周转筐出入库明细!$B$4:$B$2004,"&gt;="&amp;$P$1,周转筐出入库明细!$B$4:$B$2004,"&lt;="&amp;$P$2))</f>
        <v/>
      </c>
      <c r="E138" s="25" t="str">
        <f>IF(OR($B138="",_自动清单!$U$6=""),"",SUMIFS(周转筐出入库明细!$K$4:$K$2004,周转筐出入库明细!$C$4:$C$2004,$B138,周转筐出入库明细!$D$4:$D$2004,_自动清单!$U$6,周转筐出入库明细!$B$4:$B$2004,"&gt;="&amp;$P$1,周转筐出入库明细!$B$4:$B$2004,"&lt;="&amp;$P$2))</f>
        <v/>
      </c>
      <c r="F138" s="25" t="str">
        <f>IF(OR($B138="",_自动清单!$U$7=""),"",SUMIFS(周转筐出入库明细!$K$4:$K$2004,周转筐出入库明细!$C$4:$C$2004,$B138,周转筐出入库明细!$D$4:$D$2004,_自动清单!$U$7,周转筐出入库明细!$B$4:$B$2004,"&gt;="&amp;$P$1,周转筐出入库明细!$B$4:$B$2004,"&lt;="&amp;$P$2))</f>
        <v/>
      </c>
      <c r="G138" s="25" t="str">
        <f>IF($B138="","",SUMIFS(周转筐出入库明细!$K$4:$K$2004,周转筐出入库明细!$C$4:$C$2004,$B138,周转筐出入库明细!$B$4:$B$2004,"&gt;="&amp;$P$1,周转筐出入库明细!$B$4:$B$2004,"&lt;="&amp;$P$2)-SUM($C138:$F138))</f>
        <v/>
      </c>
      <c r="H138" s="25" t="str">
        <f t="shared" si="7"/>
        <v/>
      </c>
      <c r="I138" s="26" t="str">
        <f>IF($B138="","",ROUND(SUMIFS(周转筐出入库明细!$P$4:$P$2004,周转筐出入库明细!$C$4:$C$2004,$B138,周转筐出入库明细!$F$4:$F$2004,"销售出库",周转筐出入库明细!$B$4:$B$2004,"&gt;="&amp;$P$1,周转筐出入库明细!$B$4:$B$2004,"&lt;="&amp;$P$2),2))</f>
        <v/>
      </c>
      <c r="J138" s="26" t="str">
        <f>IF($B138="","",ROUND(SUMIFS(周转筐出入库明细!$P$4:$P$2004,周转筐出入库明细!$C$4:$C$2004,$B138,周转筐出入库明细!$F$4:$F$2004,"销售出库",周转筐出入库明细!$Q$4:$Q$2004,"已收讫",周转筐出入库明细!$B$4:$B$2004,"&gt;="&amp;$P$1,周转筐出入库明细!$B$4:$B$2004,"&lt;="&amp;$P$2),2))</f>
        <v/>
      </c>
      <c r="K138" s="26" t="str">
        <f t="shared" si="8"/>
        <v/>
      </c>
      <c r="L138" s="41"/>
    </row>
    <row r="139" spans="1:12">
      <c r="A139" s="24" t="str">
        <f t="shared" si="6"/>
        <v/>
      </c>
      <c r="B139" s="24" t="str">
        <f>IFERROR(INDEX(_自动清单!$AA$4:$AA$203,ROW()-3),"")</f>
        <v/>
      </c>
      <c r="C139" s="25" t="str">
        <f>IF(OR($B139="",_自动清单!$U$4=""),"",SUMIFS(周转筐出入库明细!$K$4:$K$2004,周转筐出入库明细!$C$4:$C$2004,$B139,周转筐出入库明细!$D$4:$D$2004,_自动清单!$U$4,周转筐出入库明细!$B$4:$B$2004,"&gt;="&amp;$P$1,周转筐出入库明细!$B$4:$B$2004,"&lt;="&amp;$P$2))</f>
        <v/>
      </c>
      <c r="D139" s="25" t="str">
        <f>IF(OR($B139="",_自动清单!$U$5=""),"",SUMIFS(周转筐出入库明细!$K$4:$K$2004,周转筐出入库明细!$C$4:$C$2004,$B139,周转筐出入库明细!$D$4:$D$2004,_自动清单!$U$5,周转筐出入库明细!$B$4:$B$2004,"&gt;="&amp;$P$1,周转筐出入库明细!$B$4:$B$2004,"&lt;="&amp;$P$2))</f>
        <v/>
      </c>
      <c r="E139" s="25" t="str">
        <f>IF(OR($B139="",_自动清单!$U$6=""),"",SUMIFS(周转筐出入库明细!$K$4:$K$2004,周转筐出入库明细!$C$4:$C$2004,$B139,周转筐出入库明细!$D$4:$D$2004,_自动清单!$U$6,周转筐出入库明细!$B$4:$B$2004,"&gt;="&amp;$P$1,周转筐出入库明细!$B$4:$B$2004,"&lt;="&amp;$P$2))</f>
        <v/>
      </c>
      <c r="F139" s="25" t="str">
        <f>IF(OR($B139="",_自动清单!$U$7=""),"",SUMIFS(周转筐出入库明细!$K$4:$K$2004,周转筐出入库明细!$C$4:$C$2004,$B139,周转筐出入库明细!$D$4:$D$2004,_自动清单!$U$7,周转筐出入库明细!$B$4:$B$2004,"&gt;="&amp;$P$1,周转筐出入库明细!$B$4:$B$2004,"&lt;="&amp;$P$2))</f>
        <v/>
      </c>
      <c r="G139" s="25" t="str">
        <f>IF($B139="","",SUMIFS(周转筐出入库明细!$K$4:$K$2004,周转筐出入库明细!$C$4:$C$2004,$B139,周转筐出入库明细!$B$4:$B$2004,"&gt;="&amp;$P$1,周转筐出入库明细!$B$4:$B$2004,"&lt;="&amp;$P$2)-SUM($C139:$F139))</f>
        <v/>
      </c>
      <c r="H139" s="25" t="str">
        <f t="shared" si="7"/>
        <v/>
      </c>
      <c r="I139" s="26" t="str">
        <f>IF($B139="","",ROUND(SUMIFS(周转筐出入库明细!$P$4:$P$2004,周转筐出入库明细!$C$4:$C$2004,$B139,周转筐出入库明细!$F$4:$F$2004,"销售出库",周转筐出入库明细!$B$4:$B$2004,"&gt;="&amp;$P$1,周转筐出入库明细!$B$4:$B$2004,"&lt;="&amp;$P$2),2))</f>
        <v/>
      </c>
      <c r="J139" s="26" t="str">
        <f>IF($B139="","",ROUND(SUMIFS(周转筐出入库明细!$P$4:$P$2004,周转筐出入库明细!$C$4:$C$2004,$B139,周转筐出入库明细!$F$4:$F$2004,"销售出库",周转筐出入库明细!$Q$4:$Q$2004,"已收讫",周转筐出入库明细!$B$4:$B$2004,"&gt;="&amp;$P$1,周转筐出入库明细!$B$4:$B$2004,"&lt;="&amp;$P$2),2))</f>
        <v/>
      </c>
      <c r="K139" s="26" t="str">
        <f t="shared" si="8"/>
        <v/>
      </c>
      <c r="L139" s="41"/>
    </row>
    <row r="140" spans="1:12">
      <c r="A140" s="24" t="str">
        <f t="shared" si="6"/>
        <v/>
      </c>
      <c r="B140" s="24" t="str">
        <f>IFERROR(INDEX(_自动清单!$AA$4:$AA$203,ROW()-3),"")</f>
        <v/>
      </c>
      <c r="C140" s="25" t="str">
        <f>IF(OR($B140="",_自动清单!$U$4=""),"",SUMIFS(周转筐出入库明细!$K$4:$K$2004,周转筐出入库明细!$C$4:$C$2004,$B140,周转筐出入库明细!$D$4:$D$2004,_自动清单!$U$4,周转筐出入库明细!$B$4:$B$2004,"&gt;="&amp;$P$1,周转筐出入库明细!$B$4:$B$2004,"&lt;="&amp;$P$2))</f>
        <v/>
      </c>
      <c r="D140" s="25" t="str">
        <f>IF(OR($B140="",_自动清单!$U$5=""),"",SUMIFS(周转筐出入库明细!$K$4:$K$2004,周转筐出入库明细!$C$4:$C$2004,$B140,周转筐出入库明细!$D$4:$D$2004,_自动清单!$U$5,周转筐出入库明细!$B$4:$B$2004,"&gt;="&amp;$P$1,周转筐出入库明细!$B$4:$B$2004,"&lt;="&amp;$P$2))</f>
        <v/>
      </c>
      <c r="E140" s="25" t="str">
        <f>IF(OR($B140="",_自动清单!$U$6=""),"",SUMIFS(周转筐出入库明细!$K$4:$K$2004,周转筐出入库明细!$C$4:$C$2004,$B140,周转筐出入库明细!$D$4:$D$2004,_自动清单!$U$6,周转筐出入库明细!$B$4:$B$2004,"&gt;="&amp;$P$1,周转筐出入库明细!$B$4:$B$2004,"&lt;="&amp;$P$2))</f>
        <v/>
      </c>
      <c r="F140" s="25" t="str">
        <f>IF(OR($B140="",_自动清单!$U$7=""),"",SUMIFS(周转筐出入库明细!$K$4:$K$2004,周转筐出入库明细!$C$4:$C$2004,$B140,周转筐出入库明细!$D$4:$D$2004,_自动清单!$U$7,周转筐出入库明细!$B$4:$B$2004,"&gt;="&amp;$P$1,周转筐出入库明细!$B$4:$B$2004,"&lt;="&amp;$P$2))</f>
        <v/>
      </c>
      <c r="G140" s="25" t="str">
        <f>IF($B140="","",SUMIFS(周转筐出入库明细!$K$4:$K$2004,周转筐出入库明细!$C$4:$C$2004,$B140,周转筐出入库明细!$B$4:$B$2004,"&gt;="&amp;$P$1,周转筐出入库明细!$B$4:$B$2004,"&lt;="&amp;$P$2)-SUM($C140:$F140))</f>
        <v/>
      </c>
      <c r="H140" s="25" t="str">
        <f t="shared" si="7"/>
        <v/>
      </c>
      <c r="I140" s="26" t="str">
        <f>IF($B140="","",ROUND(SUMIFS(周转筐出入库明细!$P$4:$P$2004,周转筐出入库明细!$C$4:$C$2004,$B140,周转筐出入库明细!$F$4:$F$2004,"销售出库",周转筐出入库明细!$B$4:$B$2004,"&gt;="&amp;$P$1,周转筐出入库明细!$B$4:$B$2004,"&lt;="&amp;$P$2),2))</f>
        <v/>
      </c>
      <c r="J140" s="26" t="str">
        <f>IF($B140="","",ROUND(SUMIFS(周转筐出入库明细!$P$4:$P$2004,周转筐出入库明细!$C$4:$C$2004,$B140,周转筐出入库明细!$F$4:$F$2004,"销售出库",周转筐出入库明细!$Q$4:$Q$2004,"已收讫",周转筐出入库明细!$B$4:$B$2004,"&gt;="&amp;$P$1,周转筐出入库明细!$B$4:$B$2004,"&lt;="&amp;$P$2),2))</f>
        <v/>
      </c>
      <c r="K140" s="26" t="str">
        <f t="shared" si="8"/>
        <v/>
      </c>
      <c r="L140" s="41"/>
    </row>
    <row r="141" spans="1:12">
      <c r="A141" s="24" t="str">
        <f t="shared" si="6"/>
        <v/>
      </c>
      <c r="B141" s="24" t="str">
        <f>IFERROR(INDEX(_自动清单!$AA$4:$AA$203,ROW()-3),"")</f>
        <v/>
      </c>
      <c r="C141" s="25" t="str">
        <f>IF(OR($B141="",_自动清单!$U$4=""),"",SUMIFS(周转筐出入库明细!$K$4:$K$2004,周转筐出入库明细!$C$4:$C$2004,$B141,周转筐出入库明细!$D$4:$D$2004,_自动清单!$U$4,周转筐出入库明细!$B$4:$B$2004,"&gt;="&amp;$P$1,周转筐出入库明细!$B$4:$B$2004,"&lt;="&amp;$P$2))</f>
        <v/>
      </c>
      <c r="D141" s="25" t="str">
        <f>IF(OR($B141="",_自动清单!$U$5=""),"",SUMIFS(周转筐出入库明细!$K$4:$K$2004,周转筐出入库明细!$C$4:$C$2004,$B141,周转筐出入库明细!$D$4:$D$2004,_自动清单!$U$5,周转筐出入库明细!$B$4:$B$2004,"&gt;="&amp;$P$1,周转筐出入库明细!$B$4:$B$2004,"&lt;="&amp;$P$2))</f>
        <v/>
      </c>
      <c r="E141" s="25" t="str">
        <f>IF(OR($B141="",_自动清单!$U$6=""),"",SUMIFS(周转筐出入库明细!$K$4:$K$2004,周转筐出入库明细!$C$4:$C$2004,$B141,周转筐出入库明细!$D$4:$D$2004,_自动清单!$U$6,周转筐出入库明细!$B$4:$B$2004,"&gt;="&amp;$P$1,周转筐出入库明细!$B$4:$B$2004,"&lt;="&amp;$P$2))</f>
        <v/>
      </c>
      <c r="F141" s="25" t="str">
        <f>IF(OR($B141="",_自动清单!$U$7=""),"",SUMIFS(周转筐出入库明细!$K$4:$K$2004,周转筐出入库明细!$C$4:$C$2004,$B141,周转筐出入库明细!$D$4:$D$2004,_自动清单!$U$7,周转筐出入库明细!$B$4:$B$2004,"&gt;="&amp;$P$1,周转筐出入库明细!$B$4:$B$2004,"&lt;="&amp;$P$2))</f>
        <v/>
      </c>
      <c r="G141" s="25" t="str">
        <f>IF($B141="","",SUMIFS(周转筐出入库明细!$K$4:$K$2004,周转筐出入库明细!$C$4:$C$2004,$B141,周转筐出入库明细!$B$4:$B$2004,"&gt;="&amp;$P$1,周转筐出入库明细!$B$4:$B$2004,"&lt;="&amp;$P$2)-SUM($C141:$F141))</f>
        <v/>
      </c>
      <c r="H141" s="25" t="str">
        <f t="shared" si="7"/>
        <v/>
      </c>
      <c r="I141" s="26" t="str">
        <f>IF($B141="","",ROUND(SUMIFS(周转筐出入库明细!$P$4:$P$2004,周转筐出入库明细!$C$4:$C$2004,$B141,周转筐出入库明细!$F$4:$F$2004,"销售出库",周转筐出入库明细!$B$4:$B$2004,"&gt;="&amp;$P$1,周转筐出入库明细!$B$4:$B$2004,"&lt;="&amp;$P$2),2))</f>
        <v/>
      </c>
      <c r="J141" s="26" t="str">
        <f>IF($B141="","",ROUND(SUMIFS(周转筐出入库明细!$P$4:$P$2004,周转筐出入库明细!$C$4:$C$2004,$B141,周转筐出入库明细!$F$4:$F$2004,"销售出库",周转筐出入库明细!$Q$4:$Q$2004,"已收讫",周转筐出入库明细!$B$4:$B$2004,"&gt;="&amp;$P$1,周转筐出入库明细!$B$4:$B$2004,"&lt;="&amp;$P$2),2))</f>
        <v/>
      </c>
      <c r="K141" s="26" t="str">
        <f t="shared" si="8"/>
        <v/>
      </c>
      <c r="L141" s="41"/>
    </row>
    <row r="142" spans="1:12">
      <c r="A142" s="24" t="str">
        <f t="shared" si="6"/>
        <v/>
      </c>
      <c r="B142" s="24" t="str">
        <f>IFERROR(INDEX(_自动清单!$AA$4:$AA$203,ROW()-3),"")</f>
        <v/>
      </c>
      <c r="C142" s="25" t="str">
        <f>IF(OR($B142="",_自动清单!$U$4=""),"",SUMIFS(周转筐出入库明细!$K$4:$K$2004,周转筐出入库明细!$C$4:$C$2004,$B142,周转筐出入库明细!$D$4:$D$2004,_自动清单!$U$4,周转筐出入库明细!$B$4:$B$2004,"&gt;="&amp;$P$1,周转筐出入库明细!$B$4:$B$2004,"&lt;="&amp;$P$2))</f>
        <v/>
      </c>
      <c r="D142" s="25" t="str">
        <f>IF(OR($B142="",_自动清单!$U$5=""),"",SUMIFS(周转筐出入库明细!$K$4:$K$2004,周转筐出入库明细!$C$4:$C$2004,$B142,周转筐出入库明细!$D$4:$D$2004,_自动清单!$U$5,周转筐出入库明细!$B$4:$B$2004,"&gt;="&amp;$P$1,周转筐出入库明细!$B$4:$B$2004,"&lt;="&amp;$P$2))</f>
        <v/>
      </c>
      <c r="E142" s="25" t="str">
        <f>IF(OR($B142="",_自动清单!$U$6=""),"",SUMIFS(周转筐出入库明细!$K$4:$K$2004,周转筐出入库明细!$C$4:$C$2004,$B142,周转筐出入库明细!$D$4:$D$2004,_自动清单!$U$6,周转筐出入库明细!$B$4:$B$2004,"&gt;="&amp;$P$1,周转筐出入库明细!$B$4:$B$2004,"&lt;="&amp;$P$2))</f>
        <v/>
      </c>
      <c r="F142" s="25" t="str">
        <f>IF(OR($B142="",_自动清单!$U$7=""),"",SUMIFS(周转筐出入库明细!$K$4:$K$2004,周转筐出入库明细!$C$4:$C$2004,$B142,周转筐出入库明细!$D$4:$D$2004,_自动清单!$U$7,周转筐出入库明细!$B$4:$B$2004,"&gt;="&amp;$P$1,周转筐出入库明细!$B$4:$B$2004,"&lt;="&amp;$P$2))</f>
        <v/>
      </c>
      <c r="G142" s="25" t="str">
        <f>IF($B142="","",SUMIFS(周转筐出入库明细!$K$4:$K$2004,周转筐出入库明细!$C$4:$C$2004,$B142,周转筐出入库明细!$B$4:$B$2004,"&gt;="&amp;$P$1,周转筐出入库明细!$B$4:$B$2004,"&lt;="&amp;$P$2)-SUM($C142:$F142))</f>
        <v/>
      </c>
      <c r="H142" s="25" t="str">
        <f t="shared" si="7"/>
        <v/>
      </c>
      <c r="I142" s="26" t="str">
        <f>IF($B142="","",ROUND(SUMIFS(周转筐出入库明细!$P$4:$P$2004,周转筐出入库明细!$C$4:$C$2004,$B142,周转筐出入库明细!$F$4:$F$2004,"销售出库",周转筐出入库明细!$B$4:$B$2004,"&gt;="&amp;$P$1,周转筐出入库明细!$B$4:$B$2004,"&lt;="&amp;$P$2),2))</f>
        <v/>
      </c>
      <c r="J142" s="26" t="str">
        <f>IF($B142="","",ROUND(SUMIFS(周转筐出入库明细!$P$4:$P$2004,周转筐出入库明细!$C$4:$C$2004,$B142,周转筐出入库明细!$F$4:$F$2004,"销售出库",周转筐出入库明细!$Q$4:$Q$2004,"已收讫",周转筐出入库明细!$B$4:$B$2004,"&gt;="&amp;$P$1,周转筐出入库明细!$B$4:$B$2004,"&lt;="&amp;$P$2),2))</f>
        <v/>
      </c>
      <c r="K142" s="26" t="str">
        <f t="shared" si="8"/>
        <v/>
      </c>
      <c r="L142" s="41"/>
    </row>
    <row r="143" spans="1:12">
      <c r="A143" s="24" t="str">
        <f t="shared" si="6"/>
        <v/>
      </c>
      <c r="B143" s="24" t="str">
        <f>IFERROR(INDEX(_自动清单!$AA$4:$AA$203,ROW()-3),"")</f>
        <v/>
      </c>
      <c r="C143" s="25" t="str">
        <f>IF(OR($B143="",_自动清单!$U$4=""),"",SUMIFS(周转筐出入库明细!$K$4:$K$2004,周转筐出入库明细!$C$4:$C$2004,$B143,周转筐出入库明细!$D$4:$D$2004,_自动清单!$U$4,周转筐出入库明细!$B$4:$B$2004,"&gt;="&amp;$P$1,周转筐出入库明细!$B$4:$B$2004,"&lt;="&amp;$P$2))</f>
        <v/>
      </c>
      <c r="D143" s="25" t="str">
        <f>IF(OR($B143="",_自动清单!$U$5=""),"",SUMIFS(周转筐出入库明细!$K$4:$K$2004,周转筐出入库明细!$C$4:$C$2004,$B143,周转筐出入库明细!$D$4:$D$2004,_自动清单!$U$5,周转筐出入库明细!$B$4:$B$2004,"&gt;="&amp;$P$1,周转筐出入库明细!$B$4:$B$2004,"&lt;="&amp;$P$2))</f>
        <v/>
      </c>
      <c r="E143" s="25" t="str">
        <f>IF(OR($B143="",_自动清单!$U$6=""),"",SUMIFS(周转筐出入库明细!$K$4:$K$2004,周转筐出入库明细!$C$4:$C$2004,$B143,周转筐出入库明细!$D$4:$D$2004,_自动清单!$U$6,周转筐出入库明细!$B$4:$B$2004,"&gt;="&amp;$P$1,周转筐出入库明细!$B$4:$B$2004,"&lt;="&amp;$P$2))</f>
        <v/>
      </c>
      <c r="F143" s="25" t="str">
        <f>IF(OR($B143="",_自动清单!$U$7=""),"",SUMIFS(周转筐出入库明细!$K$4:$K$2004,周转筐出入库明细!$C$4:$C$2004,$B143,周转筐出入库明细!$D$4:$D$2004,_自动清单!$U$7,周转筐出入库明细!$B$4:$B$2004,"&gt;="&amp;$P$1,周转筐出入库明细!$B$4:$B$2004,"&lt;="&amp;$P$2))</f>
        <v/>
      </c>
      <c r="G143" s="25" t="str">
        <f>IF($B143="","",SUMIFS(周转筐出入库明细!$K$4:$K$2004,周转筐出入库明细!$C$4:$C$2004,$B143,周转筐出入库明细!$B$4:$B$2004,"&gt;="&amp;$P$1,周转筐出入库明细!$B$4:$B$2004,"&lt;="&amp;$P$2)-SUM($C143:$F143))</f>
        <v/>
      </c>
      <c r="H143" s="25" t="str">
        <f t="shared" si="7"/>
        <v/>
      </c>
      <c r="I143" s="26" t="str">
        <f>IF($B143="","",ROUND(SUMIFS(周转筐出入库明细!$P$4:$P$2004,周转筐出入库明细!$C$4:$C$2004,$B143,周转筐出入库明细!$F$4:$F$2004,"销售出库",周转筐出入库明细!$B$4:$B$2004,"&gt;="&amp;$P$1,周转筐出入库明细!$B$4:$B$2004,"&lt;="&amp;$P$2),2))</f>
        <v/>
      </c>
      <c r="J143" s="26" t="str">
        <f>IF($B143="","",ROUND(SUMIFS(周转筐出入库明细!$P$4:$P$2004,周转筐出入库明细!$C$4:$C$2004,$B143,周转筐出入库明细!$F$4:$F$2004,"销售出库",周转筐出入库明细!$Q$4:$Q$2004,"已收讫",周转筐出入库明细!$B$4:$B$2004,"&gt;="&amp;$P$1,周转筐出入库明细!$B$4:$B$2004,"&lt;="&amp;$P$2),2))</f>
        <v/>
      </c>
      <c r="K143" s="26" t="str">
        <f t="shared" si="8"/>
        <v/>
      </c>
      <c r="L143" s="41"/>
    </row>
    <row r="144" spans="1:12">
      <c r="A144" s="24" t="str">
        <f t="shared" si="6"/>
        <v/>
      </c>
      <c r="B144" s="24" t="str">
        <f>IFERROR(INDEX(_自动清单!$AA$4:$AA$203,ROW()-3),"")</f>
        <v/>
      </c>
      <c r="C144" s="25" t="str">
        <f>IF(OR($B144="",_自动清单!$U$4=""),"",SUMIFS(周转筐出入库明细!$K$4:$K$2004,周转筐出入库明细!$C$4:$C$2004,$B144,周转筐出入库明细!$D$4:$D$2004,_自动清单!$U$4,周转筐出入库明细!$B$4:$B$2004,"&gt;="&amp;$P$1,周转筐出入库明细!$B$4:$B$2004,"&lt;="&amp;$P$2))</f>
        <v/>
      </c>
      <c r="D144" s="25" t="str">
        <f>IF(OR($B144="",_自动清单!$U$5=""),"",SUMIFS(周转筐出入库明细!$K$4:$K$2004,周转筐出入库明细!$C$4:$C$2004,$B144,周转筐出入库明细!$D$4:$D$2004,_自动清单!$U$5,周转筐出入库明细!$B$4:$B$2004,"&gt;="&amp;$P$1,周转筐出入库明细!$B$4:$B$2004,"&lt;="&amp;$P$2))</f>
        <v/>
      </c>
      <c r="E144" s="25" t="str">
        <f>IF(OR($B144="",_自动清单!$U$6=""),"",SUMIFS(周转筐出入库明细!$K$4:$K$2004,周转筐出入库明细!$C$4:$C$2004,$B144,周转筐出入库明细!$D$4:$D$2004,_自动清单!$U$6,周转筐出入库明细!$B$4:$B$2004,"&gt;="&amp;$P$1,周转筐出入库明细!$B$4:$B$2004,"&lt;="&amp;$P$2))</f>
        <v/>
      </c>
      <c r="F144" s="25" t="str">
        <f>IF(OR($B144="",_自动清单!$U$7=""),"",SUMIFS(周转筐出入库明细!$K$4:$K$2004,周转筐出入库明细!$C$4:$C$2004,$B144,周转筐出入库明细!$D$4:$D$2004,_自动清单!$U$7,周转筐出入库明细!$B$4:$B$2004,"&gt;="&amp;$P$1,周转筐出入库明细!$B$4:$B$2004,"&lt;="&amp;$P$2))</f>
        <v/>
      </c>
      <c r="G144" s="25" t="str">
        <f>IF($B144="","",SUMIFS(周转筐出入库明细!$K$4:$K$2004,周转筐出入库明细!$C$4:$C$2004,$B144,周转筐出入库明细!$B$4:$B$2004,"&gt;="&amp;$P$1,周转筐出入库明细!$B$4:$B$2004,"&lt;="&amp;$P$2)-SUM($C144:$F144))</f>
        <v/>
      </c>
      <c r="H144" s="25" t="str">
        <f t="shared" si="7"/>
        <v/>
      </c>
      <c r="I144" s="26" t="str">
        <f>IF($B144="","",ROUND(SUMIFS(周转筐出入库明细!$P$4:$P$2004,周转筐出入库明细!$C$4:$C$2004,$B144,周转筐出入库明细!$F$4:$F$2004,"销售出库",周转筐出入库明细!$B$4:$B$2004,"&gt;="&amp;$P$1,周转筐出入库明细!$B$4:$B$2004,"&lt;="&amp;$P$2),2))</f>
        <v/>
      </c>
      <c r="J144" s="26" t="str">
        <f>IF($B144="","",ROUND(SUMIFS(周转筐出入库明细!$P$4:$P$2004,周转筐出入库明细!$C$4:$C$2004,$B144,周转筐出入库明细!$F$4:$F$2004,"销售出库",周转筐出入库明细!$Q$4:$Q$2004,"已收讫",周转筐出入库明细!$B$4:$B$2004,"&gt;="&amp;$P$1,周转筐出入库明细!$B$4:$B$2004,"&lt;="&amp;$P$2),2))</f>
        <v/>
      </c>
      <c r="K144" s="26" t="str">
        <f t="shared" si="8"/>
        <v/>
      </c>
      <c r="L144" s="41"/>
    </row>
    <row r="145" spans="1:12">
      <c r="A145" s="24" t="str">
        <f t="shared" si="6"/>
        <v/>
      </c>
      <c r="B145" s="24" t="str">
        <f>IFERROR(INDEX(_自动清单!$AA$4:$AA$203,ROW()-3),"")</f>
        <v/>
      </c>
      <c r="C145" s="25" t="str">
        <f>IF(OR($B145="",_自动清单!$U$4=""),"",SUMIFS(周转筐出入库明细!$K$4:$K$2004,周转筐出入库明细!$C$4:$C$2004,$B145,周转筐出入库明细!$D$4:$D$2004,_自动清单!$U$4,周转筐出入库明细!$B$4:$B$2004,"&gt;="&amp;$P$1,周转筐出入库明细!$B$4:$B$2004,"&lt;="&amp;$P$2))</f>
        <v/>
      </c>
      <c r="D145" s="25" t="str">
        <f>IF(OR($B145="",_自动清单!$U$5=""),"",SUMIFS(周转筐出入库明细!$K$4:$K$2004,周转筐出入库明细!$C$4:$C$2004,$B145,周转筐出入库明细!$D$4:$D$2004,_自动清单!$U$5,周转筐出入库明细!$B$4:$B$2004,"&gt;="&amp;$P$1,周转筐出入库明细!$B$4:$B$2004,"&lt;="&amp;$P$2))</f>
        <v/>
      </c>
      <c r="E145" s="25" t="str">
        <f>IF(OR($B145="",_自动清单!$U$6=""),"",SUMIFS(周转筐出入库明细!$K$4:$K$2004,周转筐出入库明细!$C$4:$C$2004,$B145,周转筐出入库明细!$D$4:$D$2004,_自动清单!$U$6,周转筐出入库明细!$B$4:$B$2004,"&gt;="&amp;$P$1,周转筐出入库明细!$B$4:$B$2004,"&lt;="&amp;$P$2))</f>
        <v/>
      </c>
      <c r="F145" s="25" t="str">
        <f>IF(OR($B145="",_自动清单!$U$7=""),"",SUMIFS(周转筐出入库明细!$K$4:$K$2004,周转筐出入库明细!$C$4:$C$2004,$B145,周转筐出入库明细!$D$4:$D$2004,_自动清单!$U$7,周转筐出入库明细!$B$4:$B$2004,"&gt;="&amp;$P$1,周转筐出入库明细!$B$4:$B$2004,"&lt;="&amp;$P$2))</f>
        <v/>
      </c>
      <c r="G145" s="25" t="str">
        <f>IF($B145="","",SUMIFS(周转筐出入库明细!$K$4:$K$2004,周转筐出入库明细!$C$4:$C$2004,$B145,周转筐出入库明细!$B$4:$B$2004,"&gt;="&amp;$P$1,周转筐出入库明细!$B$4:$B$2004,"&lt;="&amp;$P$2)-SUM($C145:$F145))</f>
        <v/>
      </c>
      <c r="H145" s="25" t="str">
        <f t="shared" si="7"/>
        <v/>
      </c>
      <c r="I145" s="26" t="str">
        <f>IF($B145="","",ROUND(SUMIFS(周转筐出入库明细!$P$4:$P$2004,周转筐出入库明细!$C$4:$C$2004,$B145,周转筐出入库明细!$F$4:$F$2004,"销售出库",周转筐出入库明细!$B$4:$B$2004,"&gt;="&amp;$P$1,周转筐出入库明细!$B$4:$B$2004,"&lt;="&amp;$P$2),2))</f>
        <v/>
      </c>
      <c r="J145" s="26" t="str">
        <f>IF($B145="","",ROUND(SUMIFS(周转筐出入库明细!$P$4:$P$2004,周转筐出入库明细!$C$4:$C$2004,$B145,周转筐出入库明细!$F$4:$F$2004,"销售出库",周转筐出入库明细!$Q$4:$Q$2004,"已收讫",周转筐出入库明细!$B$4:$B$2004,"&gt;="&amp;$P$1,周转筐出入库明细!$B$4:$B$2004,"&lt;="&amp;$P$2),2))</f>
        <v/>
      </c>
      <c r="K145" s="26" t="str">
        <f t="shared" si="8"/>
        <v/>
      </c>
      <c r="L145" s="41"/>
    </row>
    <row r="146" spans="1:12">
      <c r="A146" s="24" t="str">
        <f t="shared" si="6"/>
        <v/>
      </c>
      <c r="B146" s="24" t="str">
        <f>IFERROR(INDEX(_自动清单!$AA$4:$AA$203,ROW()-3),"")</f>
        <v/>
      </c>
      <c r="C146" s="25" t="str">
        <f>IF(OR($B146="",_自动清单!$U$4=""),"",SUMIFS(周转筐出入库明细!$K$4:$K$2004,周转筐出入库明细!$C$4:$C$2004,$B146,周转筐出入库明细!$D$4:$D$2004,_自动清单!$U$4,周转筐出入库明细!$B$4:$B$2004,"&gt;="&amp;$P$1,周转筐出入库明细!$B$4:$B$2004,"&lt;="&amp;$P$2))</f>
        <v/>
      </c>
      <c r="D146" s="25" t="str">
        <f>IF(OR($B146="",_自动清单!$U$5=""),"",SUMIFS(周转筐出入库明细!$K$4:$K$2004,周转筐出入库明细!$C$4:$C$2004,$B146,周转筐出入库明细!$D$4:$D$2004,_自动清单!$U$5,周转筐出入库明细!$B$4:$B$2004,"&gt;="&amp;$P$1,周转筐出入库明细!$B$4:$B$2004,"&lt;="&amp;$P$2))</f>
        <v/>
      </c>
      <c r="E146" s="25" t="str">
        <f>IF(OR($B146="",_自动清单!$U$6=""),"",SUMIFS(周转筐出入库明细!$K$4:$K$2004,周转筐出入库明细!$C$4:$C$2004,$B146,周转筐出入库明细!$D$4:$D$2004,_自动清单!$U$6,周转筐出入库明细!$B$4:$B$2004,"&gt;="&amp;$P$1,周转筐出入库明细!$B$4:$B$2004,"&lt;="&amp;$P$2))</f>
        <v/>
      </c>
      <c r="F146" s="25" t="str">
        <f>IF(OR($B146="",_自动清单!$U$7=""),"",SUMIFS(周转筐出入库明细!$K$4:$K$2004,周转筐出入库明细!$C$4:$C$2004,$B146,周转筐出入库明细!$D$4:$D$2004,_自动清单!$U$7,周转筐出入库明细!$B$4:$B$2004,"&gt;="&amp;$P$1,周转筐出入库明细!$B$4:$B$2004,"&lt;="&amp;$P$2))</f>
        <v/>
      </c>
      <c r="G146" s="25" t="str">
        <f>IF($B146="","",SUMIFS(周转筐出入库明细!$K$4:$K$2004,周转筐出入库明细!$C$4:$C$2004,$B146,周转筐出入库明细!$B$4:$B$2004,"&gt;="&amp;$P$1,周转筐出入库明细!$B$4:$B$2004,"&lt;="&amp;$P$2)-SUM($C146:$F146))</f>
        <v/>
      </c>
      <c r="H146" s="25" t="str">
        <f t="shared" si="7"/>
        <v/>
      </c>
      <c r="I146" s="26" t="str">
        <f>IF($B146="","",ROUND(SUMIFS(周转筐出入库明细!$P$4:$P$2004,周转筐出入库明细!$C$4:$C$2004,$B146,周转筐出入库明细!$F$4:$F$2004,"销售出库",周转筐出入库明细!$B$4:$B$2004,"&gt;="&amp;$P$1,周转筐出入库明细!$B$4:$B$2004,"&lt;="&amp;$P$2),2))</f>
        <v/>
      </c>
      <c r="J146" s="26" t="str">
        <f>IF($B146="","",ROUND(SUMIFS(周转筐出入库明细!$P$4:$P$2004,周转筐出入库明细!$C$4:$C$2004,$B146,周转筐出入库明细!$F$4:$F$2004,"销售出库",周转筐出入库明细!$Q$4:$Q$2004,"已收讫",周转筐出入库明细!$B$4:$B$2004,"&gt;="&amp;$P$1,周转筐出入库明细!$B$4:$B$2004,"&lt;="&amp;$P$2),2))</f>
        <v/>
      </c>
      <c r="K146" s="26" t="str">
        <f t="shared" si="8"/>
        <v/>
      </c>
      <c r="L146" s="41"/>
    </row>
    <row r="147" spans="1:12">
      <c r="A147" s="24" t="str">
        <f t="shared" si="6"/>
        <v/>
      </c>
      <c r="B147" s="24" t="str">
        <f>IFERROR(INDEX(_自动清单!$AA$4:$AA$203,ROW()-3),"")</f>
        <v/>
      </c>
      <c r="C147" s="25" t="str">
        <f>IF(OR($B147="",_自动清单!$U$4=""),"",SUMIFS(周转筐出入库明细!$K$4:$K$2004,周转筐出入库明细!$C$4:$C$2004,$B147,周转筐出入库明细!$D$4:$D$2004,_自动清单!$U$4,周转筐出入库明细!$B$4:$B$2004,"&gt;="&amp;$P$1,周转筐出入库明细!$B$4:$B$2004,"&lt;="&amp;$P$2))</f>
        <v/>
      </c>
      <c r="D147" s="25" t="str">
        <f>IF(OR($B147="",_自动清单!$U$5=""),"",SUMIFS(周转筐出入库明细!$K$4:$K$2004,周转筐出入库明细!$C$4:$C$2004,$B147,周转筐出入库明细!$D$4:$D$2004,_自动清单!$U$5,周转筐出入库明细!$B$4:$B$2004,"&gt;="&amp;$P$1,周转筐出入库明细!$B$4:$B$2004,"&lt;="&amp;$P$2))</f>
        <v/>
      </c>
      <c r="E147" s="25" t="str">
        <f>IF(OR($B147="",_自动清单!$U$6=""),"",SUMIFS(周转筐出入库明细!$K$4:$K$2004,周转筐出入库明细!$C$4:$C$2004,$B147,周转筐出入库明细!$D$4:$D$2004,_自动清单!$U$6,周转筐出入库明细!$B$4:$B$2004,"&gt;="&amp;$P$1,周转筐出入库明细!$B$4:$B$2004,"&lt;="&amp;$P$2))</f>
        <v/>
      </c>
      <c r="F147" s="25" t="str">
        <f>IF(OR($B147="",_自动清单!$U$7=""),"",SUMIFS(周转筐出入库明细!$K$4:$K$2004,周转筐出入库明细!$C$4:$C$2004,$B147,周转筐出入库明细!$D$4:$D$2004,_自动清单!$U$7,周转筐出入库明细!$B$4:$B$2004,"&gt;="&amp;$P$1,周转筐出入库明细!$B$4:$B$2004,"&lt;="&amp;$P$2))</f>
        <v/>
      </c>
      <c r="G147" s="25" t="str">
        <f>IF($B147="","",SUMIFS(周转筐出入库明细!$K$4:$K$2004,周转筐出入库明细!$C$4:$C$2004,$B147,周转筐出入库明细!$B$4:$B$2004,"&gt;="&amp;$P$1,周转筐出入库明细!$B$4:$B$2004,"&lt;="&amp;$P$2)-SUM($C147:$F147))</f>
        <v/>
      </c>
      <c r="H147" s="25" t="str">
        <f t="shared" si="7"/>
        <v/>
      </c>
      <c r="I147" s="26" t="str">
        <f>IF($B147="","",ROUND(SUMIFS(周转筐出入库明细!$P$4:$P$2004,周转筐出入库明细!$C$4:$C$2004,$B147,周转筐出入库明细!$F$4:$F$2004,"销售出库",周转筐出入库明细!$B$4:$B$2004,"&gt;="&amp;$P$1,周转筐出入库明细!$B$4:$B$2004,"&lt;="&amp;$P$2),2))</f>
        <v/>
      </c>
      <c r="J147" s="26" t="str">
        <f>IF($B147="","",ROUND(SUMIFS(周转筐出入库明细!$P$4:$P$2004,周转筐出入库明细!$C$4:$C$2004,$B147,周转筐出入库明细!$F$4:$F$2004,"销售出库",周转筐出入库明细!$Q$4:$Q$2004,"已收讫",周转筐出入库明细!$B$4:$B$2004,"&gt;="&amp;$P$1,周转筐出入库明细!$B$4:$B$2004,"&lt;="&amp;$P$2),2))</f>
        <v/>
      </c>
      <c r="K147" s="26" t="str">
        <f t="shared" si="8"/>
        <v/>
      </c>
      <c r="L147" s="41"/>
    </row>
    <row r="148" spans="1:12">
      <c r="A148" s="24" t="str">
        <f t="shared" si="6"/>
        <v/>
      </c>
      <c r="B148" s="24" t="str">
        <f>IFERROR(INDEX(_自动清单!$AA$4:$AA$203,ROW()-3),"")</f>
        <v/>
      </c>
      <c r="C148" s="25" t="str">
        <f>IF(OR($B148="",_自动清单!$U$4=""),"",SUMIFS(周转筐出入库明细!$K$4:$K$2004,周转筐出入库明细!$C$4:$C$2004,$B148,周转筐出入库明细!$D$4:$D$2004,_自动清单!$U$4,周转筐出入库明细!$B$4:$B$2004,"&gt;="&amp;$P$1,周转筐出入库明细!$B$4:$B$2004,"&lt;="&amp;$P$2))</f>
        <v/>
      </c>
      <c r="D148" s="25" t="str">
        <f>IF(OR($B148="",_自动清单!$U$5=""),"",SUMIFS(周转筐出入库明细!$K$4:$K$2004,周转筐出入库明细!$C$4:$C$2004,$B148,周转筐出入库明细!$D$4:$D$2004,_自动清单!$U$5,周转筐出入库明细!$B$4:$B$2004,"&gt;="&amp;$P$1,周转筐出入库明细!$B$4:$B$2004,"&lt;="&amp;$P$2))</f>
        <v/>
      </c>
      <c r="E148" s="25" t="str">
        <f>IF(OR($B148="",_自动清单!$U$6=""),"",SUMIFS(周转筐出入库明细!$K$4:$K$2004,周转筐出入库明细!$C$4:$C$2004,$B148,周转筐出入库明细!$D$4:$D$2004,_自动清单!$U$6,周转筐出入库明细!$B$4:$B$2004,"&gt;="&amp;$P$1,周转筐出入库明细!$B$4:$B$2004,"&lt;="&amp;$P$2))</f>
        <v/>
      </c>
      <c r="F148" s="25" t="str">
        <f>IF(OR($B148="",_自动清单!$U$7=""),"",SUMIFS(周转筐出入库明细!$K$4:$K$2004,周转筐出入库明细!$C$4:$C$2004,$B148,周转筐出入库明细!$D$4:$D$2004,_自动清单!$U$7,周转筐出入库明细!$B$4:$B$2004,"&gt;="&amp;$P$1,周转筐出入库明细!$B$4:$B$2004,"&lt;="&amp;$P$2))</f>
        <v/>
      </c>
      <c r="G148" s="25" t="str">
        <f>IF($B148="","",SUMIFS(周转筐出入库明细!$K$4:$K$2004,周转筐出入库明细!$C$4:$C$2004,$B148,周转筐出入库明细!$B$4:$B$2004,"&gt;="&amp;$P$1,周转筐出入库明细!$B$4:$B$2004,"&lt;="&amp;$P$2)-SUM($C148:$F148))</f>
        <v/>
      </c>
      <c r="H148" s="25" t="str">
        <f t="shared" si="7"/>
        <v/>
      </c>
      <c r="I148" s="26" t="str">
        <f>IF($B148="","",ROUND(SUMIFS(周转筐出入库明细!$P$4:$P$2004,周转筐出入库明细!$C$4:$C$2004,$B148,周转筐出入库明细!$F$4:$F$2004,"销售出库",周转筐出入库明细!$B$4:$B$2004,"&gt;="&amp;$P$1,周转筐出入库明细!$B$4:$B$2004,"&lt;="&amp;$P$2),2))</f>
        <v/>
      </c>
      <c r="J148" s="26" t="str">
        <f>IF($B148="","",ROUND(SUMIFS(周转筐出入库明细!$P$4:$P$2004,周转筐出入库明细!$C$4:$C$2004,$B148,周转筐出入库明细!$F$4:$F$2004,"销售出库",周转筐出入库明细!$Q$4:$Q$2004,"已收讫",周转筐出入库明细!$B$4:$B$2004,"&gt;="&amp;$P$1,周转筐出入库明细!$B$4:$B$2004,"&lt;="&amp;$P$2),2))</f>
        <v/>
      </c>
      <c r="K148" s="26" t="str">
        <f t="shared" si="8"/>
        <v/>
      </c>
      <c r="L148" s="41"/>
    </row>
    <row r="149" spans="1:12">
      <c r="A149" s="24" t="str">
        <f t="shared" si="6"/>
        <v/>
      </c>
      <c r="B149" s="24" t="str">
        <f>IFERROR(INDEX(_自动清单!$AA$4:$AA$203,ROW()-3),"")</f>
        <v/>
      </c>
      <c r="C149" s="25" t="str">
        <f>IF(OR($B149="",_自动清单!$U$4=""),"",SUMIFS(周转筐出入库明细!$K$4:$K$2004,周转筐出入库明细!$C$4:$C$2004,$B149,周转筐出入库明细!$D$4:$D$2004,_自动清单!$U$4,周转筐出入库明细!$B$4:$B$2004,"&gt;="&amp;$P$1,周转筐出入库明细!$B$4:$B$2004,"&lt;="&amp;$P$2))</f>
        <v/>
      </c>
      <c r="D149" s="25" t="str">
        <f>IF(OR($B149="",_自动清单!$U$5=""),"",SUMIFS(周转筐出入库明细!$K$4:$K$2004,周转筐出入库明细!$C$4:$C$2004,$B149,周转筐出入库明细!$D$4:$D$2004,_自动清单!$U$5,周转筐出入库明细!$B$4:$B$2004,"&gt;="&amp;$P$1,周转筐出入库明细!$B$4:$B$2004,"&lt;="&amp;$P$2))</f>
        <v/>
      </c>
      <c r="E149" s="25" t="str">
        <f>IF(OR($B149="",_自动清单!$U$6=""),"",SUMIFS(周转筐出入库明细!$K$4:$K$2004,周转筐出入库明细!$C$4:$C$2004,$B149,周转筐出入库明细!$D$4:$D$2004,_自动清单!$U$6,周转筐出入库明细!$B$4:$B$2004,"&gt;="&amp;$P$1,周转筐出入库明细!$B$4:$B$2004,"&lt;="&amp;$P$2))</f>
        <v/>
      </c>
      <c r="F149" s="25" t="str">
        <f>IF(OR($B149="",_自动清单!$U$7=""),"",SUMIFS(周转筐出入库明细!$K$4:$K$2004,周转筐出入库明细!$C$4:$C$2004,$B149,周转筐出入库明细!$D$4:$D$2004,_自动清单!$U$7,周转筐出入库明细!$B$4:$B$2004,"&gt;="&amp;$P$1,周转筐出入库明细!$B$4:$B$2004,"&lt;="&amp;$P$2))</f>
        <v/>
      </c>
      <c r="G149" s="25" t="str">
        <f>IF($B149="","",SUMIFS(周转筐出入库明细!$K$4:$K$2004,周转筐出入库明细!$C$4:$C$2004,$B149,周转筐出入库明细!$B$4:$B$2004,"&gt;="&amp;$P$1,周转筐出入库明细!$B$4:$B$2004,"&lt;="&amp;$P$2)-SUM($C149:$F149))</f>
        <v/>
      </c>
      <c r="H149" s="25" t="str">
        <f t="shared" si="7"/>
        <v/>
      </c>
      <c r="I149" s="26" t="str">
        <f>IF($B149="","",ROUND(SUMIFS(周转筐出入库明细!$P$4:$P$2004,周转筐出入库明细!$C$4:$C$2004,$B149,周转筐出入库明细!$F$4:$F$2004,"销售出库",周转筐出入库明细!$B$4:$B$2004,"&gt;="&amp;$P$1,周转筐出入库明细!$B$4:$B$2004,"&lt;="&amp;$P$2),2))</f>
        <v/>
      </c>
      <c r="J149" s="26" t="str">
        <f>IF($B149="","",ROUND(SUMIFS(周转筐出入库明细!$P$4:$P$2004,周转筐出入库明细!$C$4:$C$2004,$B149,周转筐出入库明细!$F$4:$F$2004,"销售出库",周转筐出入库明细!$Q$4:$Q$2004,"已收讫",周转筐出入库明细!$B$4:$B$2004,"&gt;="&amp;$P$1,周转筐出入库明细!$B$4:$B$2004,"&lt;="&amp;$P$2),2))</f>
        <v/>
      </c>
      <c r="K149" s="26" t="str">
        <f t="shared" si="8"/>
        <v/>
      </c>
      <c r="L149" s="41"/>
    </row>
    <row r="150" spans="1:12">
      <c r="A150" s="24" t="str">
        <f t="shared" si="6"/>
        <v/>
      </c>
      <c r="B150" s="24" t="str">
        <f>IFERROR(INDEX(_自动清单!$AA$4:$AA$203,ROW()-3),"")</f>
        <v/>
      </c>
      <c r="C150" s="25" t="str">
        <f>IF(OR($B150="",_自动清单!$U$4=""),"",SUMIFS(周转筐出入库明细!$K$4:$K$2004,周转筐出入库明细!$C$4:$C$2004,$B150,周转筐出入库明细!$D$4:$D$2004,_自动清单!$U$4,周转筐出入库明细!$B$4:$B$2004,"&gt;="&amp;$P$1,周转筐出入库明细!$B$4:$B$2004,"&lt;="&amp;$P$2))</f>
        <v/>
      </c>
      <c r="D150" s="25" t="str">
        <f>IF(OR($B150="",_自动清单!$U$5=""),"",SUMIFS(周转筐出入库明细!$K$4:$K$2004,周转筐出入库明细!$C$4:$C$2004,$B150,周转筐出入库明细!$D$4:$D$2004,_自动清单!$U$5,周转筐出入库明细!$B$4:$B$2004,"&gt;="&amp;$P$1,周转筐出入库明细!$B$4:$B$2004,"&lt;="&amp;$P$2))</f>
        <v/>
      </c>
      <c r="E150" s="25" t="str">
        <f>IF(OR($B150="",_自动清单!$U$6=""),"",SUMIFS(周转筐出入库明细!$K$4:$K$2004,周转筐出入库明细!$C$4:$C$2004,$B150,周转筐出入库明细!$D$4:$D$2004,_自动清单!$U$6,周转筐出入库明细!$B$4:$B$2004,"&gt;="&amp;$P$1,周转筐出入库明细!$B$4:$B$2004,"&lt;="&amp;$P$2))</f>
        <v/>
      </c>
      <c r="F150" s="25" t="str">
        <f>IF(OR($B150="",_自动清单!$U$7=""),"",SUMIFS(周转筐出入库明细!$K$4:$K$2004,周转筐出入库明细!$C$4:$C$2004,$B150,周转筐出入库明细!$D$4:$D$2004,_自动清单!$U$7,周转筐出入库明细!$B$4:$B$2004,"&gt;="&amp;$P$1,周转筐出入库明细!$B$4:$B$2004,"&lt;="&amp;$P$2))</f>
        <v/>
      </c>
      <c r="G150" s="25" t="str">
        <f>IF($B150="","",SUMIFS(周转筐出入库明细!$K$4:$K$2004,周转筐出入库明细!$C$4:$C$2004,$B150,周转筐出入库明细!$B$4:$B$2004,"&gt;="&amp;$P$1,周转筐出入库明细!$B$4:$B$2004,"&lt;="&amp;$P$2)-SUM($C150:$F150))</f>
        <v/>
      </c>
      <c r="H150" s="25" t="str">
        <f t="shared" si="7"/>
        <v/>
      </c>
      <c r="I150" s="26" t="str">
        <f>IF($B150="","",ROUND(SUMIFS(周转筐出入库明细!$P$4:$P$2004,周转筐出入库明细!$C$4:$C$2004,$B150,周转筐出入库明细!$F$4:$F$2004,"销售出库",周转筐出入库明细!$B$4:$B$2004,"&gt;="&amp;$P$1,周转筐出入库明细!$B$4:$B$2004,"&lt;="&amp;$P$2),2))</f>
        <v/>
      </c>
      <c r="J150" s="26" t="str">
        <f>IF($B150="","",ROUND(SUMIFS(周转筐出入库明细!$P$4:$P$2004,周转筐出入库明细!$C$4:$C$2004,$B150,周转筐出入库明细!$F$4:$F$2004,"销售出库",周转筐出入库明细!$Q$4:$Q$2004,"已收讫",周转筐出入库明细!$B$4:$B$2004,"&gt;="&amp;$P$1,周转筐出入库明细!$B$4:$B$2004,"&lt;="&amp;$P$2),2))</f>
        <v/>
      </c>
      <c r="K150" s="26" t="str">
        <f t="shared" si="8"/>
        <v/>
      </c>
      <c r="L150" s="41"/>
    </row>
    <row r="151" spans="1:12">
      <c r="A151" s="24" t="str">
        <f t="shared" si="6"/>
        <v/>
      </c>
      <c r="B151" s="24" t="str">
        <f>IFERROR(INDEX(_自动清单!$AA$4:$AA$203,ROW()-3),"")</f>
        <v/>
      </c>
      <c r="C151" s="25" t="str">
        <f>IF(OR($B151="",_自动清单!$U$4=""),"",SUMIFS(周转筐出入库明细!$K$4:$K$2004,周转筐出入库明细!$C$4:$C$2004,$B151,周转筐出入库明细!$D$4:$D$2004,_自动清单!$U$4,周转筐出入库明细!$B$4:$B$2004,"&gt;="&amp;$P$1,周转筐出入库明细!$B$4:$B$2004,"&lt;="&amp;$P$2))</f>
        <v/>
      </c>
      <c r="D151" s="25" t="str">
        <f>IF(OR($B151="",_自动清单!$U$5=""),"",SUMIFS(周转筐出入库明细!$K$4:$K$2004,周转筐出入库明细!$C$4:$C$2004,$B151,周转筐出入库明细!$D$4:$D$2004,_自动清单!$U$5,周转筐出入库明细!$B$4:$B$2004,"&gt;="&amp;$P$1,周转筐出入库明细!$B$4:$B$2004,"&lt;="&amp;$P$2))</f>
        <v/>
      </c>
      <c r="E151" s="25" t="str">
        <f>IF(OR($B151="",_自动清单!$U$6=""),"",SUMIFS(周转筐出入库明细!$K$4:$K$2004,周转筐出入库明细!$C$4:$C$2004,$B151,周转筐出入库明细!$D$4:$D$2004,_自动清单!$U$6,周转筐出入库明细!$B$4:$B$2004,"&gt;="&amp;$P$1,周转筐出入库明细!$B$4:$B$2004,"&lt;="&amp;$P$2))</f>
        <v/>
      </c>
      <c r="F151" s="25" t="str">
        <f>IF(OR($B151="",_自动清单!$U$7=""),"",SUMIFS(周转筐出入库明细!$K$4:$K$2004,周转筐出入库明细!$C$4:$C$2004,$B151,周转筐出入库明细!$D$4:$D$2004,_自动清单!$U$7,周转筐出入库明细!$B$4:$B$2004,"&gt;="&amp;$P$1,周转筐出入库明细!$B$4:$B$2004,"&lt;="&amp;$P$2))</f>
        <v/>
      </c>
      <c r="G151" s="25" t="str">
        <f>IF($B151="","",SUMIFS(周转筐出入库明细!$K$4:$K$2004,周转筐出入库明细!$C$4:$C$2004,$B151,周转筐出入库明细!$B$4:$B$2004,"&gt;="&amp;$P$1,周转筐出入库明细!$B$4:$B$2004,"&lt;="&amp;$P$2)-SUM($C151:$F151))</f>
        <v/>
      </c>
      <c r="H151" s="25" t="str">
        <f t="shared" si="7"/>
        <v/>
      </c>
      <c r="I151" s="26" t="str">
        <f>IF($B151="","",ROUND(SUMIFS(周转筐出入库明细!$P$4:$P$2004,周转筐出入库明细!$C$4:$C$2004,$B151,周转筐出入库明细!$F$4:$F$2004,"销售出库",周转筐出入库明细!$B$4:$B$2004,"&gt;="&amp;$P$1,周转筐出入库明细!$B$4:$B$2004,"&lt;="&amp;$P$2),2))</f>
        <v/>
      </c>
      <c r="J151" s="26" t="str">
        <f>IF($B151="","",ROUND(SUMIFS(周转筐出入库明细!$P$4:$P$2004,周转筐出入库明细!$C$4:$C$2004,$B151,周转筐出入库明细!$F$4:$F$2004,"销售出库",周转筐出入库明细!$Q$4:$Q$2004,"已收讫",周转筐出入库明细!$B$4:$B$2004,"&gt;="&amp;$P$1,周转筐出入库明细!$B$4:$B$2004,"&lt;="&amp;$P$2),2))</f>
        <v/>
      </c>
      <c r="K151" s="26" t="str">
        <f t="shared" si="8"/>
        <v/>
      </c>
      <c r="L151" s="41"/>
    </row>
    <row r="152" spans="1:12">
      <c r="A152" s="24" t="str">
        <f t="shared" si="6"/>
        <v/>
      </c>
      <c r="B152" s="24" t="str">
        <f>IFERROR(INDEX(_自动清单!$AA$4:$AA$203,ROW()-3),"")</f>
        <v/>
      </c>
      <c r="C152" s="25" t="str">
        <f>IF(OR($B152="",_自动清单!$U$4=""),"",SUMIFS(周转筐出入库明细!$K$4:$K$2004,周转筐出入库明细!$C$4:$C$2004,$B152,周转筐出入库明细!$D$4:$D$2004,_自动清单!$U$4,周转筐出入库明细!$B$4:$B$2004,"&gt;="&amp;$P$1,周转筐出入库明细!$B$4:$B$2004,"&lt;="&amp;$P$2))</f>
        <v/>
      </c>
      <c r="D152" s="25" t="str">
        <f>IF(OR($B152="",_自动清单!$U$5=""),"",SUMIFS(周转筐出入库明细!$K$4:$K$2004,周转筐出入库明细!$C$4:$C$2004,$B152,周转筐出入库明细!$D$4:$D$2004,_自动清单!$U$5,周转筐出入库明细!$B$4:$B$2004,"&gt;="&amp;$P$1,周转筐出入库明细!$B$4:$B$2004,"&lt;="&amp;$P$2))</f>
        <v/>
      </c>
      <c r="E152" s="25" t="str">
        <f>IF(OR($B152="",_自动清单!$U$6=""),"",SUMIFS(周转筐出入库明细!$K$4:$K$2004,周转筐出入库明细!$C$4:$C$2004,$B152,周转筐出入库明细!$D$4:$D$2004,_自动清单!$U$6,周转筐出入库明细!$B$4:$B$2004,"&gt;="&amp;$P$1,周转筐出入库明细!$B$4:$B$2004,"&lt;="&amp;$P$2))</f>
        <v/>
      </c>
      <c r="F152" s="25" t="str">
        <f>IF(OR($B152="",_自动清单!$U$7=""),"",SUMIFS(周转筐出入库明细!$K$4:$K$2004,周转筐出入库明细!$C$4:$C$2004,$B152,周转筐出入库明细!$D$4:$D$2004,_自动清单!$U$7,周转筐出入库明细!$B$4:$B$2004,"&gt;="&amp;$P$1,周转筐出入库明细!$B$4:$B$2004,"&lt;="&amp;$P$2))</f>
        <v/>
      </c>
      <c r="G152" s="25" t="str">
        <f>IF($B152="","",SUMIFS(周转筐出入库明细!$K$4:$K$2004,周转筐出入库明细!$C$4:$C$2004,$B152,周转筐出入库明细!$B$4:$B$2004,"&gt;="&amp;$P$1,周转筐出入库明细!$B$4:$B$2004,"&lt;="&amp;$P$2)-SUM($C152:$F152))</f>
        <v/>
      </c>
      <c r="H152" s="25" t="str">
        <f t="shared" si="7"/>
        <v/>
      </c>
      <c r="I152" s="26" t="str">
        <f>IF($B152="","",ROUND(SUMIFS(周转筐出入库明细!$P$4:$P$2004,周转筐出入库明细!$C$4:$C$2004,$B152,周转筐出入库明细!$F$4:$F$2004,"销售出库",周转筐出入库明细!$B$4:$B$2004,"&gt;="&amp;$P$1,周转筐出入库明细!$B$4:$B$2004,"&lt;="&amp;$P$2),2))</f>
        <v/>
      </c>
      <c r="J152" s="26" t="str">
        <f>IF($B152="","",ROUND(SUMIFS(周转筐出入库明细!$P$4:$P$2004,周转筐出入库明细!$C$4:$C$2004,$B152,周转筐出入库明细!$F$4:$F$2004,"销售出库",周转筐出入库明细!$Q$4:$Q$2004,"已收讫",周转筐出入库明细!$B$4:$B$2004,"&gt;="&amp;$P$1,周转筐出入库明细!$B$4:$B$2004,"&lt;="&amp;$P$2),2))</f>
        <v/>
      </c>
      <c r="K152" s="26" t="str">
        <f t="shared" si="8"/>
        <v/>
      </c>
      <c r="L152" s="41"/>
    </row>
    <row r="153" spans="1:12">
      <c r="A153" s="24" t="str">
        <f t="shared" si="6"/>
        <v/>
      </c>
      <c r="B153" s="24" t="str">
        <f>IFERROR(INDEX(_自动清单!$AA$4:$AA$203,ROW()-3),"")</f>
        <v/>
      </c>
      <c r="C153" s="25" t="str">
        <f>IF(OR($B153="",_自动清单!$U$4=""),"",SUMIFS(周转筐出入库明细!$K$4:$K$2004,周转筐出入库明细!$C$4:$C$2004,$B153,周转筐出入库明细!$D$4:$D$2004,_自动清单!$U$4,周转筐出入库明细!$B$4:$B$2004,"&gt;="&amp;$P$1,周转筐出入库明细!$B$4:$B$2004,"&lt;="&amp;$P$2))</f>
        <v/>
      </c>
      <c r="D153" s="25" t="str">
        <f>IF(OR($B153="",_自动清单!$U$5=""),"",SUMIFS(周转筐出入库明细!$K$4:$K$2004,周转筐出入库明细!$C$4:$C$2004,$B153,周转筐出入库明细!$D$4:$D$2004,_自动清单!$U$5,周转筐出入库明细!$B$4:$B$2004,"&gt;="&amp;$P$1,周转筐出入库明细!$B$4:$B$2004,"&lt;="&amp;$P$2))</f>
        <v/>
      </c>
      <c r="E153" s="25" t="str">
        <f>IF(OR($B153="",_自动清单!$U$6=""),"",SUMIFS(周转筐出入库明细!$K$4:$K$2004,周转筐出入库明细!$C$4:$C$2004,$B153,周转筐出入库明细!$D$4:$D$2004,_自动清单!$U$6,周转筐出入库明细!$B$4:$B$2004,"&gt;="&amp;$P$1,周转筐出入库明细!$B$4:$B$2004,"&lt;="&amp;$P$2))</f>
        <v/>
      </c>
      <c r="F153" s="25" t="str">
        <f>IF(OR($B153="",_自动清单!$U$7=""),"",SUMIFS(周转筐出入库明细!$K$4:$K$2004,周转筐出入库明细!$C$4:$C$2004,$B153,周转筐出入库明细!$D$4:$D$2004,_自动清单!$U$7,周转筐出入库明细!$B$4:$B$2004,"&gt;="&amp;$P$1,周转筐出入库明细!$B$4:$B$2004,"&lt;="&amp;$P$2))</f>
        <v/>
      </c>
      <c r="G153" s="25" t="str">
        <f>IF($B153="","",SUMIFS(周转筐出入库明细!$K$4:$K$2004,周转筐出入库明细!$C$4:$C$2004,$B153,周转筐出入库明细!$B$4:$B$2004,"&gt;="&amp;$P$1,周转筐出入库明细!$B$4:$B$2004,"&lt;="&amp;$P$2)-SUM($C153:$F153))</f>
        <v/>
      </c>
      <c r="H153" s="25" t="str">
        <f t="shared" si="7"/>
        <v/>
      </c>
      <c r="I153" s="26" t="str">
        <f>IF($B153="","",ROUND(SUMIFS(周转筐出入库明细!$P$4:$P$2004,周转筐出入库明细!$C$4:$C$2004,$B153,周转筐出入库明细!$F$4:$F$2004,"销售出库",周转筐出入库明细!$B$4:$B$2004,"&gt;="&amp;$P$1,周转筐出入库明细!$B$4:$B$2004,"&lt;="&amp;$P$2),2))</f>
        <v/>
      </c>
      <c r="J153" s="26" t="str">
        <f>IF($B153="","",ROUND(SUMIFS(周转筐出入库明细!$P$4:$P$2004,周转筐出入库明细!$C$4:$C$2004,$B153,周转筐出入库明细!$F$4:$F$2004,"销售出库",周转筐出入库明细!$Q$4:$Q$2004,"已收讫",周转筐出入库明细!$B$4:$B$2004,"&gt;="&amp;$P$1,周转筐出入库明细!$B$4:$B$2004,"&lt;="&amp;$P$2),2))</f>
        <v/>
      </c>
      <c r="K153" s="26" t="str">
        <f t="shared" si="8"/>
        <v/>
      </c>
      <c r="L153" s="41"/>
    </row>
    <row r="154" spans="1:12">
      <c r="A154" s="24" t="str">
        <f t="shared" si="6"/>
        <v/>
      </c>
      <c r="B154" s="24" t="str">
        <f>IFERROR(INDEX(_自动清单!$AA$4:$AA$203,ROW()-3),"")</f>
        <v/>
      </c>
      <c r="C154" s="25" t="str">
        <f>IF(OR($B154="",_自动清单!$U$4=""),"",SUMIFS(周转筐出入库明细!$K$4:$K$2004,周转筐出入库明细!$C$4:$C$2004,$B154,周转筐出入库明细!$D$4:$D$2004,_自动清单!$U$4,周转筐出入库明细!$B$4:$B$2004,"&gt;="&amp;$P$1,周转筐出入库明细!$B$4:$B$2004,"&lt;="&amp;$P$2))</f>
        <v/>
      </c>
      <c r="D154" s="25" t="str">
        <f>IF(OR($B154="",_自动清单!$U$5=""),"",SUMIFS(周转筐出入库明细!$K$4:$K$2004,周转筐出入库明细!$C$4:$C$2004,$B154,周转筐出入库明细!$D$4:$D$2004,_自动清单!$U$5,周转筐出入库明细!$B$4:$B$2004,"&gt;="&amp;$P$1,周转筐出入库明细!$B$4:$B$2004,"&lt;="&amp;$P$2))</f>
        <v/>
      </c>
      <c r="E154" s="25" t="str">
        <f>IF(OR($B154="",_自动清单!$U$6=""),"",SUMIFS(周转筐出入库明细!$K$4:$K$2004,周转筐出入库明细!$C$4:$C$2004,$B154,周转筐出入库明细!$D$4:$D$2004,_自动清单!$U$6,周转筐出入库明细!$B$4:$B$2004,"&gt;="&amp;$P$1,周转筐出入库明细!$B$4:$B$2004,"&lt;="&amp;$P$2))</f>
        <v/>
      </c>
      <c r="F154" s="25" t="str">
        <f>IF(OR($B154="",_自动清单!$U$7=""),"",SUMIFS(周转筐出入库明细!$K$4:$K$2004,周转筐出入库明细!$C$4:$C$2004,$B154,周转筐出入库明细!$D$4:$D$2004,_自动清单!$U$7,周转筐出入库明细!$B$4:$B$2004,"&gt;="&amp;$P$1,周转筐出入库明细!$B$4:$B$2004,"&lt;="&amp;$P$2))</f>
        <v/>
      </c>
      <c r="G154" s="25" t="str">
        <f>IF($B154="","",SUMIFS(周转筐出入库明细!$K$4:$K$2004,周转筐出入库明细!$C$4:$C$2004,$B154,周转筐出入库明细!$B$4:$B$2004,"&gt;="&amp;$P$1,周转筐出入库明细!$B$4:$B$2004,"&lt;="&amp;$P$2)-SUM($C154:$F154))</f>
        <v/>
      </c>
      <c r="H154" s="25" t="str">
        <f t="shared" si="7"/>
        <v/>
      </c>
      <c r="I154" s="26" t="str">
        <f>IF($B154="","",ROUND(SUMIFS(周转筐出入库明细!$P$4:$P$2004,周转筐出入库明细!$C$4:$C$2004,$B154,周转筐出入库明细!$F$4:$F$2004,"销售出库",周转筐出入库明细!$B$4:$B$2004,"&gt;="&amp;$P$1,周转筐出入库明细!$B$4:$B$2004,"&lt;="&amp;$P$2),2))</f>
        <v/>
      </c>
      <c r="J154" s="26" t="str">
        <f>IF($B154="","",ROUND(SUMIFS(周转筐出入库明细!$P$4:$P$2004,周转筐出入库明细!$C$4:$C$2004,$B154,周转筐出入库明细!$F$4:$F$2004,"销售出库",周转筐出入库明细!$Q$4:$Q$2004,"已收讫",周转筐出入库明细!$B$4:$B$2004,"&gt;="&amp;$P$1,周转筐出入库明细!$B$4:$B$2004,"&lt;="&amp;$P$2),2))</f>
        <v/>
      </c>
      <c r="K154" s="26" t="str">
        <f t="shared" si="8"/>
        <v/>
      </c>
      <c r="L154" s="41"/>
    </row>
    <row r="155" spans="1:12">
      <c r="A155" s="24" t="str">
        <f t="shared" si="6"/>
        <v/>
      </c>
      <c r="B155" s="24" t="str">
        <f>IFERROR(INDEX(_自动清单!$AA$4:$AA$203,ROW()-3),"")</f>
        <v/>
      </c>
      <c r="C155" s="25" t="str">
        <f>IF(OR($B155="",_自动清单!$U$4=""),"",SUMIFS(周转筐出入库明细!$K$4:$K$2004,周转筐出入库明细!$C$4:$C$2004,$B155,周转筐出入库明细!$D$4:$D$2004,_自动清单!$U$4,周转筐出入库明细!$B$4:$B$2004,"&gt;="&amp;$P$1,周转筐出入库明细!$B$4:$B$2004,"&lt;="&amp;$P$2))</f>
        <v/>
      </c>
      <c r="D155" s="25" t="str">
        <f>IF(OR($B155="",_自动清单!$U$5=""),"",SUMIFS(周转筐出入库明细!$K$4:$K$2004,周转筐出入库明细!$C$4:$C$2004,$B155,周转筐出入库明细!$D$4:$D$2004,_自动清单!$U$5,周转筐出入库明细!$B$4:$B$2004,"&gt;="&amp;$P$1,周转筐出入库明细!$B$4:$B$2004,"&lt;="&amp;$P$2))</f>
        <v/>
      </c>
      <c r="E155" s="25" t="str">
        <f>IF(OR($B155="",_自动清单!$U$6=""),"",SUMIFS(周转筐出入库明细!$K$4:$K$2004,周转筐出入库明细!$C$4:$C$2004,$B155,周转筐出入库明细!$D$4:$D$2004,_自动清单!$U$6,周转筐出入库明细!$B$4:$B$2004,"&gt;="&amp;$P$1,周转筐出入库明细!$B$4:$B$2004,"&lt;="&amp;$P$2))</f>
        <v/>
      </c>
      <c r="F155" s="25" t="str">
        <f>IF(OR($B155="",_自动清单!$U$7=""),"",SUMIFS(周转筐出入库明细!$K$4:$K$2004,周转筐出入库明细!$C$4:$C$2004,$B155,周转筐出入库明细!$D$4:$D$2004,_自动清单!$U$7,周转筐出入库明细!$B$4:$B$2004,"&gt;="&amp;$P$1,周转筐出入库明细!$B$4:$B$2004,"&lt;="&amp;$P$2))</f>
        <v/>
      </c>
      <c r="G155" s="25" t="str">
        <f>IF($B155="","",SUMIFS(周转筐出入库明细!$K$4:$K$2004,周转筐出入库明细!$C$4:$C$2004,$B155,周转筐出入库明细!$B$4:$B$2004,"&gt;="&amp;$P$1,周转筐出入库明细!$B$4:$B$2004,"&lt;="&amp;$P$2)-SUM($C155:$F155))</f>
        <v/>
      </c>
      <c r="H155" s="25" t="str">
        <f t="shared" si="7"/>
        <v/>
      </c>
      <c r="I155" s="26" t="str">
        <f>IF($B155="","",ROUND(SUMIFS(周转筐出入库明细!$P$4:$P$2004,周转筐出入库明细!$C$4:$C$2004,$B155,周转筐出入库明细!$F$4:$F$2004,"销售出库",周转筐出入库明细!$B$4:$B$2004,"&gt;="&amp;$P$1,周转筐出入库明细!$B$4:$B$2004,"&lt;="&amp;$P$2),2))</f>
        <v/>
      </c>
      <c r="J155" s="26" t="str">
        <f>IF($B155="","",ROUND(SUMIFS(周转筐出入库明细!$P$4:$P$2004,周转筐出入库明细!$C$4:$C$2004,$B155,周转筐出入库明细!$F$4:$F$2004,"销售出库",周转筐出入库明细!$Q$4:$Q$2004,"已收讫",周转筐出入库明细!$B$4:$B$2004,"&gt;="&amp;$P$1,周转筐出入库明细!$B$4:$B$2004,"&lt;="&amp;$P$2),2))</f>
        <v/>
      </c>
      <c r="K155" s="26" t="str">
        <f t="shared" si="8"/>
        <v/>
      </c>
      <c r="L155" s="41"/>
    </row>
    <row r="156" spans="1:12">
      <c r="A156" s="24" t="str">
        <f t="shared" si="6"/>
        <v/>
      </c>
      <c r="B156" s="24" t="str">
        <f>IFERROR(INDEX(_自动清单!$AA$4:$AA$203,ROW()-3),"")</f>
        <v/>
      </c>
      <c r="C156" s="25" t="str">
        <f>IF(OR($B156="",_自动清单!$U$4=""),"",SUMIFS(周转筐出入库明细!$K$4:$K$2004,周转筐出入库明细!$C$4:$C$2004,$B156,周转筐出入库明细!$D$4:$D$2004,_自动清单!$U$4,周转筐出入库明细!$B$4:$B$2004,"&gt;="&amp;$P$1,周转筐出入库明细!$B$4:$B$2004,"&lt;="&amp;$P$2))</f>
        <v/>
      </c>
      <c r="D156" s="25" t="str">
        <f>IF(OR($B156="",_自动清单!$U$5=""),"",SUMIFS(周转筐出入库明细!$K$4:$K$2004,周转筐出入库明细!$C$4:$C$2004,$B156,周转筐出入库明细!$D$4:$D$2004,_自动清单!$U$5,周转筐出入库明细!$B$4:$B$2004,"&gt;="&amp;$P$1,周转筐出入库明细!$B$4:$B$2004,"&lt;="&amp;$P$2))</f>
        <v/>
      </c>
      <c r="E156" s="25" t="str">
        <f>IF(OR($B156="",_自动清单!$U$6=""),"",SUMIFS(周转筐出入库明细!$K$4:$K$2004,周转筐出入库明细!$C$4:$C$2004,$B156,周转筐出入库明细!$D$4:$D$2004,_自动清单!$U$6,周转筐出入库明细!$B$4:$B$2004,"&gt;="&amp;$P$1,周转筐出入库明细!$B$4:$B$2004,"&lt;="&amp;$P$2))</f>
        <v/>
      </c>
      <c r="F156" s="25" t="str">
        <f>IF(OR($B156="",_自动清单!$U$7=""),"",SUMIFS(周转筐出入库明细!$K$4:$K$2004,周转筐出入库明细!$C$4:$C$2004,$B156,周转筐出入库明细!$D$4:$D$2004,_自动清单!$U$7,周转筐出入库明细!$B$4:$B$2004,"&gt;="&amp;$P$1,周转筐出入库明细!$B$4:$B$2004,"&lt;="&amp;$P$2))</f>
        <v/>
      </c>
      <c r="G156" s="25" t="str">
        <f>IF($B156="","",SUMIFS(周转筐出入库明细!$K$4:$K$2004,周转筐出入库明细!$C$4:$C$2004,$B156,周转筐出入库明细!$B$4:$B$2004,"&gt;="&amp;$P$1,周转筐出入库明细!$B$4:$B$2004,"&lt;="&amp;$P$2)-SUM($C156:$F156))</f>
        <v/>
      </c>
      <c r="H156" s="25" t="str">
        <f t="shared" si="7"/>
        <v/>
      </c>
      <c r="I156" s="26" t="str">
        <f>IF($B156="","",ROUND(SUMIFS(周转筐出入库明细!$P$4:$P$2004,周转筐出入库明细!$C$4:$C$2004,$B156,周转筐出入库明细!$F$4:$F$2004,"销售出库",周转筐出入库明细!$B$4:$B$2004,"&gt;="&amp;$P$1,周转筐出入库明细!$B$4:$B$2004,"&lt;="&amp;$P$2),2))</f>
        <v/>
      </c>
      <c r="J156" s="26" t="str">
        <f>IF($B156="","",ROUND(SUMIFS(周转筐出入库明细!$P$4:$P$2004,周转筐出入库明细!$C$4:$C$2004,$B156,周转筐出入库明细!$F$4:$F$2004,"销售出库",周转筐出入库明细!$Q$4:$Q$2004,"已收讫",周转筐出入库明细!$B$4:$B$2004,"&gt;="&amp;$P$1,周转筐出入库明细!$B$4:$B$2004,"&lt;="&amp;$P$2),2))</f>
        <v/>
      </c>
      <c r="K156" s="26" t="str">
        <f t="shared" si="8"/>
        <v/>
      </c>
      <c r="L156" s="41"/>
    </row>
    <row r="157" spans="1:12">
      <c r="A157" s="24" t="str">
        <f t="shared" si="6"/>
        <v/>
      </c>
      <c r="B157" s="24" t="str">
        <f>IFERROR(INDEX(_自动清单!$AA$4:$AA$203,ROW()-3),"")</f>
        <v/>
      </c>
      <c r="C157" s="25" t="str">
        <f>IF(OR($B157="",_自动清单!$U$4=""),"",SUMIFS(周转筐出入库明细!$K$4:$K$2004,周转筐出入库明细!$C$4:$C$2004,$B157,周转筐出入库明细!$D$4:$D$2004,_自动清单!$U$4,周转筐出入库明细!$B$4:$B$2004,"&gt;="&amp;$P$1,周转筐出入库明细!$B$4:$B$2004,"&lt;="&amp;$P$2))</f>
        <v/>
      </c>
      <c r="D157" s="25" t="str">
        <f>IF(OR($B157="",_自动清单!$U$5=""),"",SUMIFS(周转筐出入库明细!$K$4:$K$2004,周转筐出入库明细!$C$4:$C$2004,$B157,周转筐出入库明细!$D$4:$D$2004,_自动清单!$U$5,周转筐出入库明细!$B$4:$B$2004,"&gt;="&amp;$P$1,周转筐出入库明细!$B$4:$B$2004,"&lt;="&amp;$P$2))</f>
        <v/>
      </c>
      <c r="E157" s="25" t="str">
        <f>IF(OR($B157="",_自动清单!$U$6=""),"",SUMIFS(周转筐出入库明细!$K$4:$K$2004,周转筐出入库明细!$C$4:$C$2004,$B157,周转筐出入库明细!$D$4:$D$2004,_自动清单!$U$6,周转筐出入库明细!$B$4:$B$2004,"&gt;="&amp;$P$1,周转筐出入库明细!$B$4:$B$2004,"&lt;="&amp;$P$2))</f>
        <v/>
      </c>
      <c r="F157" s="25" t="str">
        <f>IF(OR($B157="",_自动清单!$U$7=""),"",SUMIFS(周转筐出入库明细!$K$4:$K$2004,周转筐出入库明细!$C$4:$C$2004,$B157,周转筐出入库明细!$D$4:$D$2004,_自动清单!$U$7,周转筐出入库明细!$B$4:$B$2004,"&gt;="&amp;$P$1,周转筐出入库明细!$B$4:$B$2004,"&lt;="&amp;$P$2))</f>
        <v/>
      </c>
      <c r="G157" s="25" t="str">
        <f>IF($B157="","",SUMIFS(周转筐出入库明细!$K$4:$K$2004,周转筐出入库明细!$C$4:$C$2004,$B157,周转筐出入库明细!$B$4:$B$2004,"&gt;="&amp;$P$1,周转筐出入库明细!$B$4:$B$2004,"&lt;="&amp;$P$2)-SUM($C157:$F157))</f>
        <v/>
      </c>
      <c r="H157" s="25" t="str">
        <f t="shared" si="7"/>
        <v/>
      </c>
      <c r="I157" s="26" t="str">
        <f>IF($B157="","",ROUND(SUMIFS(周转筐出入库明细!$P$4:$P$2004,周转筐出入库明细!$C$4:$C$2004,$B157,周转筐出入库明细!$F$4:$F$2004,"销售出库",周转筐出入库明细!$B$4:$B$2004,"&gt;="&amp;$P$1,周转筐出入库明细!$B$4:$B$2004,"&lt;="&amp;$P$2),2))</f>
        <v/>
      </c>
      <c r="J157" s="26" t="str">
        <f>IF($B157="","",ROUND(SUMIFS(周转筐出入库明细!$P$4:$P$2004,周转筐出入库明细!$C$4:$C$2004,$B157,周转筐出入库明细!$F$4:$F$2004,"销售出库",周转筐出入库明细!$Q$4:$Q$2004,"已收讫",周转筐出入库明细!$B$4:$B$2004,"&gt;="&amp;$P$1,周转筐出入库明细!$B$4:$B$2004,"&lt;="&amp;$P$2),2))</f>
        <v/>
      </c>
      <c r="K157" s="26" t="str">
        <f t="shared" si="8"/>
        <v/>
      </c>
      <c r="L157" s="41"/>
    </row>
    <row r="158" spans="1:12">
      <c r="A158" s="24" t="str">
        <f t="shared" si="6"/>
        <v/>
      </c>
      <c r="B158" s="24" t="str">
        <f>IFERROR(INDEX(_自动清单!$AA$4:$AA$203,ROW()-3),"")</f>
        <v/>
      </c>
      <c r="C158" s="25" t="str">
        <f>IF(OR($B158="",_自动清单!$U$4=""),"",SUMIFS(周转筐出入库明细!$K$4:$K$2004,周转筐出入库明细!$C$4:$C$2004,$B158,周转筐出入库明细!$D$4:$D$2004,_自动清单!$U$4,周转筐出入库明细!$B$4:$B$2004,"&gt;="&amp;$P$1,周转筐出入库明细!$B$4:$B$2004,"&lt;="&amp;$P$2))</f>
        <v/>
      </c>
      <c r="D158" s="25" t="str">
        <f>IF(OR($B158="",_自动清单!$U$5=""),"",SUMIFS(周转筐出入库明细!$K$4:$K$2004,周转筐出入库明细!$C$4:$C$2004,$B158,周转筐出入库明细!$D$4:$D$2004,_自动清单!$U$5,周转筐出入库明细!$B$4:$B$2004,"&gt;="&amp;$P$1,周转筐出入库明细!$B$4:$B$2004,"&lt;="&amp;$P$2))</f>
        <v/>
      </c>
      <c r="E158" s="25" t="str">
        <f>IF(OR($B158="",_自动清单!$U$6=""),"",SUMIFS(周转筐出入库明细!$K$4:$K$2004,周转筐出入库明细!$C$4:$C$2004,$B158,周转筐出入库明细!$D$4:$D$2004,_自动清单!$U$6,周转筐出入库明细!$B$4:$B$2004,"&gt;="&amp;$P$1,周转筐出入库明细!$B$4:$B$2004,"&lt;="&amp;$P$2))</f>
        <v/>
      </c>
      <c r="F158" s="25" t="str">
        <f>IF(OR($B158="",_自动清单!$U$7=""),"",SUMIFS(周转筐出入库明细!$K$4:$K$2004,周转筐出入库明细!$C$4:$C$2004,$B158,周转筐出入库明细!$D$4:$D$2004,_自动清单!$U$7,周转筐出入库明细!$B$4:$B$2004,"&gt;="&amp;$P$1,周转筐出入库明细!$B$4:$B$2004,"&lt;="&amp;$P$2))</f>
        <v/>
      </c>
      <c r="G158" s="25" t="str">
        <f>IF($B158="","",SUMIFS(周转筐出入库明细!$K$4:$K$2004,周转筐出入库明细!$C$4:$C$2004,$B158,周转筐出入库明细!$B$4:$B$2004,"&gt;="&amp;$P$1,周转筐出入库明细!$B$4:$B$2004,"&lt;="&amp;$P$2)-SUM($C158:$F158))</f>
        <v/>
      </c>
      <c r="H158" s="25" t="str">
        <f t="shared" si="7"/>
        <v/>
      </c>
      <c r="I158" s="26" t="str">
        <f>IF($B158="","",ROUND(SUMIFS(周转筐出入库明细!$P$4:$P$2004,周转筐出入库明细!$C$4:$C$2004,$B158,周转筐出入库明细!$F$4:$F$2004,"销售出库",周转筐出入库明细!$B$4:$B$2004,"&gt;="&amp;$P$1,周转筐出入库明细!$B$4:$B$2004,"&lt;="&amp;$P$2),2))</f>
        <v/>
      </c>
      <c r="J158" s="26" t="str">
        <f>IF($B158="","",ROUND(SUMIFS(周转筐出入库明细!$P$4:$P$2004,周转筐出入库明细!$C$4:$C$2004,$B158,周转筐出入库明细!$F$4:$F$2004,"销售出库",周转筐出入库明细!$Q$4:$Q$2004,"已收讫",周转筐出入库明细!$B$4:$B$2004,"&gt;="&amp;$P$1,周转筐出入库明细!$B$4:$B$2004,"&lt;="&amp;$P$2),2))</f>
        <v/>
      </c>
      <c r="K158" s="26" t="str">
        <f t="shared" si="8"/>
        <v/>
      </c>
      <c r="L158" s="41"/>
    </row>
    <row r="159" spans="1:12">
      <c r="A159" s="24" t="str">
        <f t="shared" si="6"/>
        <v/>
      </c>
      <c r="B159" s="24" t="str">
        <f>IFERROR(INDEX(_自动清单!$AA$4:$AA$203,ROW()-3),"")</f>
        <v/>
      </c>
      <c r="C159" s="25" t="str">
        <f>IF(OR($B159="",_自动清单!$U$4=""),"",SUMIFS(周转筐出入库明细!$K$4:$K$2004,周转筐出入库明细!$C$4:$C$2004,$B159,周转筐出入库明细!$D$4:$D$2004,_自动清单!$U$4,周转筐出入库明细!$B$4:$B$2004,"&gt;="&amp;$P$1,周转筐出入库明细!$B$4:$B$2004,"&lt;="&amp;$P$2))</f>
        <v/>
      </c>
      <c r="D159" s="25" t="str">
        <f>IF(OR($B159="",_自动清单!$U$5=""),"",SUMIFS(周转筐出入库明细!$K$4:$K$2004,周转筐出入库明细!$C$4:$C$2004,$B159,周转筐出入库明细!$D$4:$D$2004,_自动清单!$U$5,周转筐出入库明细!$B$4:$B$2004,"&gt;="&amp;$P$1,周转筐出入库明细!$B$4:$B$2004,"&lt;="&amp;$P$2))</f>
        <v/>
      </c>
      <c r="E159" s="25" t="str">
        <f>IF(OR($B159="",_自动清单!$U$6=""),"",SUMIFS(周转筐出入库明细!$K$4:$K$2004,周转筐出入库明细!$C$4:$C$2004,$B159,周转筐出入库明细!$D$4:$D$2004,_自动清单!$U$6,周转筐出入库明细!$B$4:$B$2004,"&gt;="&amp;$P$1,周转筐出入库明细!$B$4:$B$2004,"&lt;="&amp;$P$2))</f>
        <v/>
      </c>
      <c r="F159" s="25" t="str">
        <f>IF(OR($B159="",_自动清单!$U$7=""),"",SUMIFS(周转筐出入库明细!$K$4:$K$2004,周转筐出入库明细!$C$4:$C$2004,$B159,周转筐出入库明细!$D$4:$D$2004,_自动清单!$U$7,周转筐出入库明细!$B$4:$B$2004,"&gt;="&amp;$P$1,周转筐出入库明细!$B$4:$B$2004,"&lt;="&amp;$P$2))</f>
        <v/>
      </c>
      <c r="G159" s="25" t="str">
        <f>IF($B159="","",SUMIFS(周转筐出入库明细!$K$4:$K$2004,周转筐出入库明细!$C$4:$C$2004,$B159,周转筐出入库明细!$B$4:$B$2004,"&gt;="&amp;$P$1,周转筐出入库明细!$B$4:$B$2004,"&lt;="&amp;$P$2)-SUM($C159:$F159))</f>
        <v/>
      </c>
      <c r="H159" s="25" t="str">
        <f t="shared" si="7"/>
        <v/>
      </c>
      <c r="I159" s="26" t="str">
        <f>IF($B159="","",ROUND(SUMIFS(周转筐出入库明细!$P$4:$P$2004,周转筐出入库明细!$C$4:$C$2004,$B159,周转筐出入库明细!$F$4:$F$2004,"销售出库",周转筐出入库明细!$B$4:$B$2004,"&gt;="&amp;$P$1,周转筐出入库明细!$B$4:$B$2004,"&lt;="&amp;$P$2),2))</f>
        <v/>
      </c>
      <c r="J159" s="26" t="str">
        <f>IF($B159="","",ROUND(SUMIFS(周转筐出入库明细!$P$4:$P$2004,周转筐出入库明细!$C$4:$C$2004,$B159,周转筐出入库明细!$F$4:$F$2004,"销售出库",周转筐出入库明细!$Q$4:$Q$2004,"已收讫",周转筐出入库明细!$B$4:$B$2004,"&gt;="&amp;$P$1,周转筐出入库明细!$B$4:$B$2004,"&lt;="&amp;$P$2),2))</f>
        <v/>
      </c>
      <c r="K159" s="26" t="str">
        <f t="shared" si="8"/>
        <v/>
      </c>
      <c r="L159" s="41"/>
    </row>
    <row r="160" spans="1:12">
      <c r="A160" s="24" t="str">
        <f t="shared" si="6"/>
        <v/>
      </c>
      <c r="B160" s="24" t="str">
        <f>IFERROR(INDEX(_自动清单!$AA$4:$AA$203,ROW()-3),"")</f>
        <v/>
      </c>
      <c r="C160" s="25" t="str">
        <f>IF(OR($B160="",_自动清单!$U$4=""),"",SUMIFS(周转筐出入库明细!$K$4:$K$2004,周转筐出入库明细!$C$4:$C$2004,$B160,周转筐出入库明细!$D$4:$D$2004,_自动清单!$U$4,周转筐出入库明细!$B$4:$B$2004,"&gt;="&amp;$P$1,周转筐出入库明细!$B$4:$B$2004,"&lt;="&amp;$P$2))</f>
        <v/>
      </c>
      <c r="D160" s="25" t="str">
        <f>IF(OR($B160="",_自动清单!$U$5=""),"",SUMIFS(周转筐出入库明细!$K$4:$K$2004,周转筐出入库明细!$C$4:$C$2004,$B160,周转筐出入库明细!$D$4:$D$2004,_自动清单!$U$5,周转筐出入库明细!$B$4:$B$2004,"&gt;="&amp;$P$1,周转筐出入库明细!$B$4:$B$2004,"&lt;="&amp;$P$2))</f>
        <v/>
      </c>
      <c r="E160" s="25" t="str">
        <f>IF(OR($B160="",_自动清单!$U$6=""),"",SUMIFS(周转筐出入库明细!$K$4:$K$2004,周转筐出入库明细!$C$4:$C$2004,$B160,周转筐出入库明细!$D$4:$D$2004,_自动清单!$U$6,周转筐出入库明细!$B$4:$B$2004,"&gt;="&amp;$P$1,周转筐出入库明细!$B$4:$B$2004,"&lt;="&amp;$P$2))</f>
        <v/>
      </c>
      <c r="F160" s="25" t="str">
        <f>IF(OR($B160="",_自动清单!$U$7=""),"",SUMIFS(周转筐出入库明细!$K$4:$K$2004,周转筐出入库明细!$C$4:$C$2004,$B160,周转筐出入库明细!$D$4:$D$2004,_自动清单!$U$7,周转筐出入库明细!$B$4:$B$2004,"&gt;="&amp;$P$1,周转筐出入库明细!$B$4:$B$2004,"&lt;="&amp;$P$2))</f>
        <v/>
      </c>
      <c r="G160" s="25" t="str">
        <f>IF($B160="","",SUMIFS(周转筐出入库明细!$K$4:$K$2004,周转筐出入库明细!$C$4:$C$2004,$B160,周转筐出入库明细!$B$4:$B$2004,"&gt;="&amp;$P$1,周转筐出入库明细!$B$4:$B$2004,"&lt;="&amp;$P$2)-SUM($C160:$F160))</f>
        <v/>
      </c>
      <c r="H160" s="25" t="str">
        <f t="shared" si="7"/>
        <v/>
      </c>
      <c r="I160" s="26" t="str">
        <f>IF($B160="","",ROUND(SUMIFS(周转筐出入库明细!$P$4:$P$2004,周转筐出入库明细!$C$4:$C$2004,$B160,周转筐出入库明细!$F$4:$F$2004,"销售出库",周转筐出入库明细!$B$4:$B$2004,"&gt;="&amp;$P$1,周转筐出入库明细!$B$4:$B$2004,"&lt;="&amp;$P$2),2))</f>
        <v/>
      </c>
      <c r="J160" s="26" t="str">
        <f>IF($B160="","",ROUND(SUMIFS(周转筐出入库明细!$P$4:$P$2004,周转筐出入库明细!$C$4:$C$2004,$B160,周转筐出入库明细!$F$4:$F$2004,"销售出库",周转筐出入库明细!$Q$4:$Q$2004,"已收讫",周转筐出入库明细!$B$4:$B$2004,"&gt;="&amp;$P$1,周转筐出入库明细!$B$4:$B$2004,"&lt;="&amp;$P$2),2))</f>
        <v/>
      </c>
      <c r="K160" s="26" t="str">
        <f t="shared" si="8"/>
        <v/>
      </c>
      <c r="L160" s="41"/>
    </row>
    <row r="161" spans="1:12">
      <c r="A161" s="24" t="str">
        <f t="shared" si="6"/>
        <v/>
      </c>
      <c r="B161" s="24" t="str">
        <f>IFERROR(INDEX(_自动清单!$AA$4:$AA$203,ROW()-3),"")</f>
        <v/>
      </c>
      <c r="C161" s="25" t="str">
        <f>IF(OR($B161="",_自动清单!$U$4=""),"",SUMIFS(周转筐出入库明细!$K$4:$K$2004,周转筐出入库明细!$C$4:$C$2004,$B161,周转筐出入库明细!$D$4:$D$2004,_自动清单!$U$4,周转筐出入库明细!$B$4:$B$2004,"&gt;="&amp;$P$1,周转筐出入库明细!$B$4:$B$2004,"&lt;="&amp;$P$2))</f>
        <v/>
      </c>
      <c r="D161" s="25" t="str">
        <f>IF(OR($B161="",_自动清单!$U$5=""),"",SUMIFS(周转筐出入库明细!$K$4:$K$2004,周转筐出入库明细!$C$4:$C$2004,$B161,周转筐出入库明细!$D$4:$D$2004,_自动清单!$U$5,周转筐出入库明细!$B$4:$B$2004,"&gt;="&amp;$P$1,周转筐出入库明细!$B$4:$B$2004,"&lt;="&amp;$P$2))</f>
        <v/>
      </c>
      <c r="E161" s="25" t="str">
        <f>IF(OR($B161="",_自动清单!$U$6=""),"",SUMIFS(周转筐出入库明细!$K$4:$K$2004,周转筐出入库明细!$C$4:$C$2004,$B161,周转筐出入库明细!$D$4:$D$2004,_自动清单!$U$6,周转筐出入库明细!$B$4:$B$2004,"&gt;="&amp;$P$1,周转筐出入库明细!$B$4:$B$2004,"&lt;="&amp;$P$2))</f>
        <v/>
      </c>
      <c r="F161" s="25" t="str">
        <f>IF(OR($B161="",_自动清单!$U$7=""),"",SUMIFS(周转筐出入库明细!$K$4:$K$2004,周转筐出入库明细!$C$4:$C$2004,$B161,周转筐出入库明细!$D$4:$D$2004,_自动清单!$U$7,周转筐出入库明细!$B$4:$B$2004,"&gt;="&amp;$P$1,周转筐出入库明细!$B$4:$B$2004,"&lt;="&amp;$P$2))</f>
        <v/>
      </c>
      <c r="G161" s="25" t="str">
        <f>IF($B161="","",SUMIFS(周转筐出入库明细!$K$4:$K$2004,周转筐出入库明细!$C$4:$C$2004,$B161,周转筐出入库明细!$B$4:$B$2004,"&gt;="&amp;$P$1,周转筐出入库明细!$B$4:$B$2004,"&lt;="&amp;$P$2)-SUM($C161:$F161))</f>
        <v/>
      </c>
      <c r="H161" s="25" t="str">
        <f t="shared" si="7"/>
        <v/>
      </c>
      <c r="I161" s="26" t="str">
        <f>IF($B161="","",ROUND(SUMIFS(周转筐出入库明细!$P$4:$P$2004,周转筐出入库明细!$C$4:$C$2004,$B161,周转筐出入库明细!$F$4:$F$2004,"销售出库",周转筐出入库明细!$B$4:$B$2004,"&gt;="&amp;$P$1,周转筐出入库明细!$B$4:$B$2004,"&lt;="&amp;$P$2),2))</f>
        <v/>
      </c>
      <c r="J161" s="26" t="str">
        <f>IF($B161="","",ROUND(SUMIFS(周转筐出入库明细!$P$4:$P$2004,周转筐出入库明细!$C$4:$C$2004,$B161,周转筐出入库明细!$F$4:$F$2004,"销售出库",周转筐出入库明细!$Q$4:$Q$2004,"已收讫",周转筐出入库明细!$B$4:$B$2004,"&gt;="&amp;$P$1,周转筐出入库明细!$B$4:$B$2004,"&lt;="&amp;$P$2),2))</f>
        <v/>
      </c>
      <c r="K161" s="26" t="str">
        <f t="shared" si="8"/>
        <v/>
      </c>
      <c r="L161" s="41"/>
    </row>
    <row r="162" spans="1:12">
      <c r="A162" s="24" t="str">
        <f t="shared" si="6"/>
        <v/>
      </c>
      <c r="B162" s="24" t="str">
        <f>IFERROR(INDEX(_自动清单!$AA$4:$AA$203,ROW()-3),"")</f>
        <v/>
      </c>
      <c r="C162" s="25" t="str">
        <f>IF(OR($B162="",_自动清单!$U$4=""),"",SUMIFS(周转筐出入库明细!$K$4:$K$2004,周转筐出入库明细!$C$4:$C$2004,$B162,周转筐出入库明细!$D$4:$D$2004,_自动清单!$U$4,周转筐出入库明细!$B$4:$B$2004,"&gt;="&amp;$P$1,周转筐出入库明细!$B$4:$B$2004,"&lt;="&amp;$P$2))</f>
        <v/>
      </c>
      <c r="D162" s="25" t="str">
        <f>IF(OR($B162="",_自动清单!$U$5=""),"",SUMIFS(周转筐出入库明细!$K$4:$K$2004,周转筐出入库明细!$C$4:$C$2004,$B162,周转筐出入库明细!$D$4:$D$2004,_自动清单!$U$5,周转筐出入库明细!$B$4:$B$2004,"&gt;="&amp;$P$1,周转筐出入库明细!$B$4:$B$2004,"&lt;="&amp;$P$2))</f>
        <v/>
      </c>
      <c r="E162" s="25" t="str">
        <f>IF(OR($B162="",_自动清单!$U$6=""),"",SUMIFS(周转筐出入库明细!$K$4:$K$2004,周转筐出入库明细!$C$4:$C$2004,$B162,周转筐出入库明细!$D$4:$D$2004,_自动清单!$U$6,周转筐出入库明细!$B$4:$B$2004,"&gt;="&amp;$P$1,周转筐出入库明细!$B$4:$B$2004,"&lt;="&amp;$P$2))</f>
        <v/>
      </c>
      <c r="F162" s="25" t="str">
        <f>IF(OR($B162="",_自动清单!$U$7=""),"",SUMIFS(周转筐出入库明细!$K$4:$K$2004,周转筐出入库明细!$C$4:$C$2004,$B162,周转筐出入库明细!$D$4:$D$2004,_自动清单!$U$7,周转筐出入库明细!$B$4:$B$2004,"&gt;="&amp;$P$1,周转筐出入库明细!$B$4:$B$2004,"&lt;="&amp;$P$2))</f>
        <v/>
      </c>
      <c r="G162" s="25" t="str">
        <f>IF($B162="","",SUMIFS(周转筐出入库明细!$K$4:$K$2004,周转筐出入库明细!$C$4:$C$2004,$B162,周转筐出入库明细!$B$4:$B$2004,"&gt;="&amp;$P$1,周转筐出入库明细!$B$4:$B$2004,"&lt;="&amp;$P$2)-SUM($C162:$F162))</f>
        <v/>
      </c>
      <c r="H162" s="25" t="str">
        <f t="shared" si="7"/>
        <v/>
      </c>
      <c r="I162" s="26" t="str">
        <f>IF($B162="","",ROUND(SUMIFS(周转筐出入库明细!$P$4:$P$2004,周转筐出入库明细!$C$4:$C$2004,$B162,周转筐出入库明细!$F$4:$F$2004,"销售出库",周转筐出入库明细!$B$4:$B$2004,"&gt;="&amp;$P$1,周转筐出入库明细!$B$4:$B$2004,"&lt;="&amp;$P$2),2))</f>
        <v/>
      </c>
      <c r="J162" s="26" t="str">
        <f>IF($B162="","",ROUND(SUMIFS(周转筐出入库明细!$P$4:$P$2004,周转筐出入库明细!$C$4:$C$2004,$B162,周转筐出入库明细!$F$4:$F$2004,"销售出库",周转筐出入库明细!$Q$4:$Q$2004,"已收讫",周转筐出入库明细!$B$4:$B$2004,"&gt;="&amp;$P$1,周转筐出入库明细!$B$4:$B$2004,"&lt;="&amp;$P$2),2))</f>
        <v/>
      </c>
      <c r="K162" s="26" t="str">
        <f t="shared" si="8"/>
        <v/>
      </c>
      <c r="L162" s="41"/>
    </row>
    <row r="163" spans="1:12">
      <c r="A163" s="24" t="str">
        <f t="shared" si="6"/>
        <v/>
      </c>
      <c r="B163" s="24" t="str">
        <f>IFERROR(INDEX(_自动清单!$AA$4:$AA$203,ROW()-3),"")</f>
        <v/>
      </c>
      <c r="C163" s="25" t="str">
        <f>IF(OR($B163="",_自动清单!$U$4=""),"",SUMIFS(周转筐出入库明细!$K$4:$K$2004,周转筐出入库明细!$C$4:$C$2004,$B163,周转筐出入库明细!$D$4:$D$2004,_自动清单!$U$4,周转筐出入库明细!$B$4:$B$2004,"&gt;="&amp;$P$1,周转筐出入库明细!$B$4:$B$2004,"&lt;="&amp;$P$2))</f>
        <v/>
      </c>
      <c r="D163" s="25" t="str">
        <f>IF(OR($B163="",_自动清单!$U$5=""),"",SUMIFS(周转筐出入库明细!$K$4:$K$2004,周转筐出入库明细!$C$4:$C$2004,$B163,周转筐出入库明细!$D$4:$D$2004,_自动清单!$U$5,周转筐出入库明细!$B$4:$B$2004,"&gt;="&amp;$P$1,周转筐出入库明细!$B$4:$B$2004,"&lt;="&amp;$P$2))</f>
        <v/>
      </c>
      <c r="E163" s="25" t="str">
        <f>IF(OR($B163="",_自动清单!$U$6=""),"",SUMIFS(周转筐出入库明细!$K$4:$K$2004,周转筐出入库明细!$C$4:$C$2004,$B163,周转筐出入库明细!$D$4:$D$2004,_自动清单!$U$6,周转筐出入库明细!$B$4:$B$2004,"&gt;="&amp;$P$1,周转筐出入库明细!$B$4:$B$2004,"&lt;="&amp;$P$2))</f>
        <v/>
      </c>
      <c r="F163" s="25" t="str">
        <f>IF(OR($B163="",_自动清单!$U$7=""),"",SUMIFS(周转筐出入库明细!$K$4:$K$2004,周转筐出入库明细!$C$4:$C$2004,$B163,周转筐出入库明细!$D$4:$D$2004,_自动清单!$U$7,周转筐出入库明细!$B$4:$B$2004,"&gt;="&amp;$P$1,周转筐出入库明细!$B$4:$B$2004,"&lt;="&amp;$P$2))</f>
        <v/>
      </c>
      <c r="G163" s="25" t="str">
        <f>IF($B163="","",SUMIFS(周转筐出入库明细!$K$4:$K$2004,周转筐出入库明细!$C$4:$C$2004,$B163,周转筐出入库明细!$B$4:$B$2004,"&gt;="&amp;$P$1,周转筐出入库明细!$B$4:$B$2004,"&lt;="&amp;$P$2)-SUM($C163:$F163))</f>
        <v/>
      </c>
      <c r="H163" s="25" t="str">
        <f t="shared" si="7"/>
        <v/>
      </c>
      <c r="I163" s="26" t="str">
        <f>IF($B163="","",ROUND(SUMIFS(周转筐出入库明细!$P$4:$P$2004,周转筐出入库明细!$C$4:$C$2004,$B163,周转筐出入库明细!$F$4:$F$2004,"销售出库",周转筐出入库明细!$B$4:$B$2004,"&gt;="&amp;$P$1,周转筐出入库明细!$B$4:$B$2004,"&lt;="&amp;$P$2),2))</f>
        <v/>
      </c>
      <c r="J163" s="26" t="str">
        <f>IF($B163="","",ROUND(SUMIFS(周转筐出入库明细!$P$4:$P$2004,周转筐出入库明细!$C$4:$C$2004,$B163,周转筐出入库明细!$F$4:$F$2004,"销售出库",周转筐出入库明细!$Q$4:$Q$2004,"已收讫",周转筐出入库明细!$B$4:$B$2004,"&gt;="&amp;$P$1,周转筐出入库明细!$B$4:$B$2004,"&lt;="&amp;$P$2),2))</f>
        <v/>
      </c>
      <c r="K163" s="26" t="str">
        <f t="shared" si="8"/>
        <v/>
      </c>
      <c r="L163" s="41"/>
    </row>
    <row r="164" spans="1:12">
      <c r="A164" s="24" t="str">
        <f t="shared" si="6"/>
        <v/>
      </c>
      <c r="B164" s="24" t="str">
        <f>IFERROR(INDEX(_自动清单!$AA$4:$AA$203,ROW()-3),"")</f>
        <v/>
      </c>
      <c r="C164" s="25" t="str">
        <f>IF(OR($B164="",_自动清单!$U$4=""),"",SUMIFS(周转筐出入库明细!$K$4:$K$2004,周转筐出入库明细!$C$4:$C$2004,$B164,周转筐出入库明细!$D$4:$D$2004,_自动清单!$U$4,周转筐出入库明细!$B$4:$B$2004,"&gt;="&amp;$P$1,周转筐出入库明细!$B$4:$B$2004,"&lt;="&amp;$P$2))</f>
        <v/>
      </c>
      <c r="D164" s="25" t="str">
        <f>IF(OR($B164="",_自动清单!$U$5=""),"",SUMIFS(周转筐出入库明细!$K$4:$K$2004,周转筐出入库明细!$C$4:$C$2004,$B164,周转筐出入库明细!$D$4:$D$2004,_自动清单!$U$5,周转筐出入库明细!$B$4:$B$2004,"&gt;="&amp;$P$1,周转筐出入库明细!$B$4:$B$2004,"&lt;="&amp;$P$2))</f>
        <v/>
      </c>
      <c r="E164" s="25" t="str">
        <f>IF(OR($B164="",_自动清单!$U$6=""),"",SUMIFS(周转筐出入库明细!$K$4:$K$2004,周转筐出入库明细!$C$4:$C$2004,$B164,周转筐出入库明细!$D$4:$D$2004,_自动清单!$U$6,周转筐出入库明细!$B$4:$B$2004,"&gt;="&amp;$P$1,周转筐出入库明细!$B$4:$B$2004,"&lt;="&amp;$P$2))</f>
        <v/>
      </c>
      <c r="F164" s="25" t="str">
        <f>IF(OR($B164="",_自动清单!$U$7=""),"",SUMIFS(周转筐出入库明细!$K$4:$K$2004,周转筐出入库明细!$C$4:$C$2004,$B164,周转筐出入库明细!$D$4:$D$2004,_自动清单!$U$7,周转筐出入库明细!$B$4:$B$2004,"&gt;="&amp;$P$1,周转筐出入库明细!$B$4:$B$2004,"&lt;="&amp;$P$2))</f>
        <v/>
      </c>
      <c r="G164" s="25" t="str">
        <f>IF($B164="","",SUMIFS(周转筐出入库明细!$K$4:$K$2004,周转筐出入库明细!$C$4:$C$2004,$B164,周转筐出入库明细!$B$4:$B$2004,"&gt;="&amp;$P$1,周转筐出入库明细!$B$4:$B$2004,"&lt;="&amp;$P$2)-SUM($C164:$F164))</f>
        <v/>
      </c>
      <c r="H164" s="25" t="str">
        <f t="shared" si="7"/>
        <v/>
      </c>
      <c r="I164" s="26" t="str">
        <f>IF($B164="","",ROUND(SUMIFS(周转筐出入库明细!$P$4:$P$2004,周转筐出入库明细!$C$4:$C$2004,$B164,周转筐出入库明细!$F$4:$F$2004,"销售出库",周转筐出入库明细!$B$4:$B$2004,"&gt;="&amp;$P$1,周转筐出入库明细!$B$4:$B$2004,"&lt;="&amp;$P$2),2))</f>
        <v/>
      </c>
      <c r="J164" s="26" t="str">
        <f>IF($B164="","",ROUND(SUMIFS(周转筐出入库明细!$P$4:$P$2004,周转筐出入库明细!$C$4:$C$2004,$B164,周转筐出入库明细!$F$4:$F$2004,"销售出库",周转筐出入库明细!$Q$4:$Q$2004,"已收讫",周转筐出入库明细!$B$4:$B$2004,"&gt;="&amp;$P$1,周转筐出入库明细!$B$4:$B$2004,"&lt;="&amp;$P$2),2))</f>
        <v/>
      </c>
      <c r="K164" s="26" t="str">
        <f t="shared" si="8"/>
        <v/>
      </c>
      <c r="L164" s="41"/>
    </row>
    <row r="165" spans="1:12">
      <c r="A165" s="24" t="str">
        <f t="shared" si="6"/>
        <v/>
      </c>
      <c r="B165" s="24" t="str">
        <f>IFERROR(INDEX(_自动清单!$AA$4:$AA$203,ROW()-3),"")</f>
        <v/>
      </c>
      <c r="C165" s="25" t="str">
        <f>IF(OR($B165="",_自动清单!$U$4=""),"",SUMIFS(周转筐出入库明细!$K$4:$K$2004,周转筐出入库明细!$C$4:$C$2004,$B165,周转筐出入库明细!$D$4:$D$2004,_自动清单!$U$4,周转筐出入库明细!$B$4:$B$2004,"&gt;="&amp;$P$1,周转筐出入库明细!$B$4:$B$2004,"&lt;="&amp;$P$2))</f>
        <v/>
      </c>
      <c r="D165" s="25" t="str">
        <f>IF(OR($B165="",_自动清单!$U$5=""),"",SUMIFS(周转筐出入库明细!$K$4:$K$2004,周转筐出入库明细!$C$4:$C$2004,$B165,周转筐出入库明细!$D$4:$D$2004,_自动清单!$U$5,周转筐出入库明细!$B$4:$B$2004,"&gt;="&amp;$P$1,周转筐出入库明细!$B$4:$B$2004,"&lt;="&amp;$P$2))</f>
        <v/>
      </c>
      <c r="E165" s="25" t="str">
        <f>IF(OR($B165="",_自动清单!$U$6=""),"",SUMIFS(周转筐出入库明细!$K$4:$K$2004,周转筐出入库明细!$C$4:$C$2004,$B165,周转筐出入库明细!$D$4:$D$2004,_自动清单!$U$6,周转筐出入库明细!$B$4:$B$2004,"&gt;="&amp;$P$1,周转筐出入库明细!$B$4:$B$2004,"&lt;="&amp;$P$2))</f>
        <v/>
      </c>
      <c r="F165" s="25" t="str">
        <f>IF(OR($B165="",_自动清单!$U$7=""),"",SUMIFS(周转筐出入库明细!$K$4:$K$2004,周转筐出入库明细!$C$4:$C$2004,$B165,周转筐出入库明细!$D$4:$D$2004,_自动清单!$U$7,周转筐出入库明细!$B$4:$B$2004,"&gt;="&amp;$P$1,周转筐出入库明细!$B$4:$B$2004,"&lt;="&amp;$P$2))</f>
        <v/>
      </c>
      <c r="G165" s="25" t="str">
        <f>IF($B165="","",SUMIFS(周转筐出入库明细!$K$4:$K$2004,周转筐出入库明细!$C$4:$C$2004,$B165,周转筐出入库明细!$B$4:$B$2004,"&gt;="&amp;$P$1,周转筐出入库明细!$B$4:$B$2004,"&lt;="&amp;$P$2)-SUM($C165:$F165))</f>
        <v/>
      </c>
      <c r="H165" s="25" t="str">
        <f t="shared" si="7"/>
        <v/>
      </c>
      <c r="I165" s="26" t="str">
        <f>IF($B165="","",ROUND(SUMIFS(周转筐出入库明细!$P$4:$P$2004,周转筐出入库明细!$C$4:$C$2004,$B165,周转筐出入库明细!$F$4:$F$2004,"销售出库",周转筐出入库明细!$B$4:$B$2004,"&gt;="&amp;$P$1,周转筐出入库明细!$B$4:$B$2004,"&lt;="&amp;$P$2),2))</f>
        <v/>
      </c>
      <c r="J165" s="26" t="str">
        <f>IF($B165="","",ROUND(SUMIFS(周转筐出入库明细!$P$4:$P$2004,周转筐出入库明细!$C$4:$C$2004,$B165,周转筐出入库明细!$F$4:$F$2004,"销售出库",周转筐出入库明细!$Q$4:$Q$2004,"已收讫",周转筐出入库明细!$B$4:$B$2004,"&gt;="&amp;$P$1,周转筐出入库明细!$B$4:$B$2004,"&lt;="&amp;$P$2),2))</f>
        <v/>
      </c>
      <c r="K165" s="26" t="str">
        <f t="shared" si="8"/>
        <v/>
      </c>
      <c r="L165" s="41"/>
    </row>
    <row r="166" spans="1:12">
      <c r="A166" s="24" t="str">
        <f t="shared" si="6"/>
        <v/>
      </c>
      <c r="B166" s="24" t="str">
        <f>IFERROR(INDEX(_自动清单!$AA$4:$AA$203,ROW()-3),"")</f>
        <v/>
      </c>
      <c r="C166" s="25" t="str">
        <f>IF(OR($B166="",_自动清单!$U$4=""),"",SUMIFS(周转筐出入库明细!$K$4:$K$2004,周转筐出入库明细!$C$4:$C$2004,$B166,周转筐出入库明细!$D$4:$D$2004,_自动清单!$U$4,周转筐出入库明细!$B$4:$B$2004,"&gt;="&amp;$P$1,周转筐出入库明细!$B$4:$B$2004,"&lt;="&amp;$P$2))</f>
        <v/>
      </c>
      <c r="D166" s="25" t="str">
        <f>IF(OR($B166="",_自动清单!$U$5=""),"",SUMIFS(周转筐出入库明细!$K$4:$K$2004,周转筐出入库明细!$C$4:$C$2004,$B166,周转筐出入库明细!$D$4:$D$2004,_自动清单!$U$5,周转筐出入库明细!$B$4:$B$2004,"&gt;="&amp;$P$1,周转筐出入库明细!$B$4:$B$2004,"&lt;="&amp;$P$2))</f>
        <v/>
      </c>
      <c r="E166" s="25" t="str">
        <f>IF(OR($B166="",_自动清单!$U$6=""),"",SUMIFS(周转筐出入库明细!$K$4:$K$2004,周转筐出入库明细!$C$4:$C$2004,$B166,周转筐出入库明细!$D$4:$D$2004,_自动清单!$U$6,周转筐出入库明细!$B$4:$B$2004,"&gt;="&amp;$P$1,周转筐出入库明细!$B$4:$B$2004,"&lt;="&amp;$P$2))</f>
        <v/>
      </c>
      <c r="F166" s="25" t="str">
        <f>IF(OR($B166="",_自动清单!$U$7=""),"",SUMIFS(周转筐出入库明细!$K$4:$K$2004,周转筐出入库明细!$C$4:$C$2004,$B166,周转筐出入库明细!$D$4:$D$2004,_自动清单!$U$7,周转筐出入库明细!$B$4:$B$2004,"&gt;="&amp;$P$1,周转筐出入库明细!$B$4:$B$2004,"&lt;="&amp;$P$2))</f>
        <v/>
      </c>
      <c r="G166" s="25" t="str">
        <f>IF($B166="","",SUMIFS(周转筐出入库明细!$K$4:$K$2004,周转筐出入库明细!$C$4:$C$2004,$B166,周转筐出入库明细!$B$4:$B$2004,"&gt;="&amp;$P$1,周转筐出入库明细!$B$4:$B$2004,"&lt;="&amp;$P$2)-SUM($C166:$F166))</f>
        <v/>
      </c>
      <c r="H166" s="25" t="str">
        <f t="shared" si="7"/>
        <v/>
      </c>
      <c r="I166" s="26" t="str">
        <f>IF($B166="","",ROUND(SUMIFS(周转筐出入库明细!$P$4:$P$2004,周转筐出入库明细!$C$4:$C$2004,$B166,周转筐出入库明细!$F$4:$F$2004,"销售出库",周转筐出入库明细!$B$4:$B$2004,"&gt;="&amp;$P$1,周转筐出入库明细!$B$4:$B$2004,"&lt;="&amp;$P$2),2))</f>
        <v/>
      </c>
      <c r="J166" s="26" t="str">
        <f>IF($B166="","",ROUND(SUMIFS(周转筐出入库明细!$P$4:$P$2004,周转筐出入库明细!$C$4:$C$2004,$B166,周转筐出入库明细!$F$4:$F$2004,"销售出库",周转筐出入库明细!$Q$4:$Q$2004,"已收讫",周转筐出入库明细!$B$4:$B$2004,"&gt;="&amp;$P$1,周转筐出入库明细!$B$4:$B$2004,"&lt;="&amp;$P$2),2))</f>
        <v/>
      </c>
      <c r="K166" s="26" t="str">
        <f t="shared" si="8"/>
        <v/>
      </c>
      <c r="L166" s="41"/>
    </row>
    <row r="167" spans="1:12">
      <c r="A167" s="24" t="str">
        <f t="shared" si="6"/>
        <v/>
      </c>
      <c r="B167" s="24" t="str">
        <f>IFERROR(INDEX(_自动清单!$AA$4:$AA$203,ROW()-3),"")</f>
        <v/>
      </c>
      <c r="C167" s="25" t="str">
        <f>IF(OR($B167="",_自动清单!$U$4=""),"",SUMIFS(周转筐出入库明细!$K$4:$K$2004,周转筐出入库明细!$C$4:$C$2004,$B167,周转筐出入库明细!$D$4:$D$2004,_自动清单!$U$4,周转筐出入库明细!$B$4:$B$2004,"&gt;="&amp;$P$1,周转筐出入库明细!$B$4:$B$2004,"&lt;="&amp;$P$2))</f>
        <v/>
      </c>
      <c r="D167" s="25" t="str">
        <f>IF(OR($B167="",_自动清单!$U$5=""),"",SUMIFS(周转筐出入库明细!$K$4:$K$2004,周转筐出入库明细!$C$4:$C$2004,$B167,周转筐出入库明细!$D$4:$D$2004,_自动清单!$U$5,周转筐出入库明细!$B$4:$B$2004,"&gt;="&amp;$P$1,周转筐出入库明细!$B$4:$B$2004,"&lt;="&amp;$P$2))</f>
        <v/>
      </c>
      <c r="E167" s="25" t="str">
        <f>IF(OR($B167="",_自动清单!$U$6=""),"",SUMIFS(周转筐出入库明细!$K$4:$K$2004,周转筐出入库明细!$C$4:$C$2004,$B167,周转筐出入库明细!$D$4:$D$2004,_自动清单!$U$6,周转筐出入库明细!$B$4:$B$2004,"&gt;="&amp;$P$1,周转筐出入库明细!$B$4:$B$2004,"&lt;="&amp;$P$2))</f>
        <v/>
      </c>
      <c r="F167" s="25" t="str">
        <f>IF(OR($B167="",_自动清单!$U$7=""),"",SUMIFS(周转筐出入库明细!$K$4:$K$2004,周转筐出入库明细!$C$4:$C$2004,$B167,周转筐出入库明细!$D$4:$D$2004,_自动清单!$U$7,周转筐出入库明细!$B$4:$B$2004,"&gt;="&amp;$P$1,周转筐出入库明细!$B$4:$B$2004,"&lt;="&amp;$P$2))</f>
        <v/>
      </c>
      <c r="G167" s="25" t="str">
        <f>IF($B167="","",SUMIFS(周转筐出入库明细!$K$4:$K$2004,周转筐出入库明细!$C$4:$C$2004,$B167,周转筐出入库明细!$B$4:$B$2004,"&gt;="&amp;$P$1,周转筐出入库明细!$B$4:$B$2004,"&lt;="&amp;$P$2)-SUM($C167:$F167))</f>
        <v/>
      </c>
      <c r="H167" s="25" t="str">
        <f t="shared" si="7"/>
        <v/>
      </c>
      <c r="I167" s="26" t="str">
        <f>IF($B167="","",ROUND(SUMIFS(周转筐出入库明细!$P$4:$P$2004,周转筐出入库明细!$C$4:$C$2004,$B167,周转筐出入库明细!$F$4:$F$2004,"销售出库",周转筐出入库明细!$B$4:$B$2004,"&gt;="&amp;$P$1,周转筐出入库明细!$B$4:$B$2004,"&lt;="&amp;$P$2),2))</f>
        <v/>
      </c>
      <c r="J167" s="26" t="str">
        <f>IF($B167="","",ROUND(SUMIFS(周转筐出入库明细!$P$4:$P$2004,周转筐出入库明细!$C$4:$C$2004,$B167,周转筐出入库明细!$F$4:$F$2004,"销售出库",周转筐出入库明细!$Q$4:$Q$2004,"已收讫",周转筐出入库明细!$B$4:$B$2004,"&gt;="&amp;$P$1,周转筐出入库明细!$B$4:$B$2004,"&lt;="&amp;$P$2),2))</f>
        <v/>
      </c>
      <c r="K167" s="26" t="str">
        <f t="shared" si="8"/>
        <v/>
      </c>
      <c r="L167" s="41"/>
    </row>
    <row r="168" spans="1:12">
      <c r="A168" s="24" t="str">
        <f t="shared" si="6"/>
        <v/>
      </c>
      <c r="B168" s="24" t="str">
        <f>IFERROR(INDEX(_自动清单!$AA$4:$AA$203,ROW()-3),"")</f>
        <v/>
      </c>
      <c r="C168" s="25" t="str">
        <f>IF(OR($B168="",_自动清单!$U$4=""),"",SUMIFS(周转筐出入库明细!$K$4:$K$2004,周转筐出入库明细!$C$4:$C$2004,$B168,周转筐出入库明细!$D$4:$D$2004,_自动清单!$U$4,周转筐出入库明细!$B$4:$B$2004,"&gt;="&amp;$P$1,周转筐出入库明细!$B$4:$B$2004,"&lt;="&amp;$P$2))</f>
        <v/>
      </c>
      <c r="D168" s="25" t="str">
        <f>IF(OR($B168="",_自动清单!$U$5=""),"",SUMIFS(周转筐出入库明细!$K$4:$K$2004,周转筐出入库明细!$C$4:$C$2004,$B168,周转筐出入库明细!$D$4:$D$2004,_自动清单!$U$5,周转筐出入库明细!$B$4:$B$2004,"&gt;="&amp;$P$1,周转筐出入库明细!$B$4:$B$2004,"&lt;="&amp;$P$2))</f>
        <v/>
      </c>
      <c r="E168" s="25" t="str">
        <f>IF(OR($B168="",_自动清单!$U$6=""),"",SUMIFS(周转筐出入库明细!$K$4:$K$2004,周转筐出入库明细!$C$4:$C$2004,$B168,周转筐出入库明细!$D$4:$D$2004,_自动清单!$U$6,周转筐出入库明细!$B$4:$B$2004,"&gt;="&amp;$P$1,周转筐出入库明细!$B$4:$B$2004,"&lt;="&amp;$P$2))</f>
        <v/>
      </c>
      <c r="F168" s="25" t="str">
        <f>IF(OR($B168="",_自动清单!$U$7=""),"",SUMIFS(周转筐出入库明细!$K$4:$K$2004,周转筐出入库明细!$C$4:$C$2004,$B168,周转筐出入库明细!$D$4:$D$2004,_自动清单!$U$7,周转筐出入库明细!$B$4:$B$2004,"&gt;="&amp;$P$1,周转筐出入库明细!$B$4:$B$2004,"&lt;="&amp;$P$2))</f>
        <v/>
      </c>
      <c r="G168" s="25" t="str">
        <f>IF($B168="","",SUMIFS(周转筐出入库明细!$K$4:$K$2004,周转筐出入库明细!$C$4:$C$2004,$B168,周转筐出入库明细!$B$4:$B$2004,"&gt;="&amp;$P$1,周转筐出入库明细!$B$4:$B$2004,"&lt;="&amp;$P$2)-SUM($C168:$F168))</f>
        <v/>
      </c>
      <c r="H168" s="25" t="str">
        <f t="shared" si="7"/>
        <v/>
      </c>
      <c r="I168" s="26" t="str">
        <f>IF($B168="","",ROUND(SUMIFS(周转筐出入库明细!$P$4:$P$2004,周转筐出入库明细!$C$4:$C$2004,$B168,周转筐出入库明细!$F$4:$F$2004,"销售出库",周转筐出入库明细!$B$4:$B$2004,"&gt;="&amp;$P$1,周转筐出入库明细!$B$4:$B$2004,"&lt;="&amp;$P$2),2))</f>
        <v/>
      </c>
      <c r="J168" s="26" t="str">
        <f>IF($B168="","",ROUND(SUMIFS(周转筐出入库明细!$P$4:$P$2004,周转筐出入库明细!$C$4:$C$2004,$B168,周转筐出入库明细!$F$4:$F$2004,"销售出库",周转筐出入库明细!$Q$4:$Q$2004,"已收讫",周转筐出入库明细!$B$4:$B$2004,"&gt;="&amp;$P$1,周转筐出入库明细!$B$4:$B$2004,"&lt;="&amp;$P$2),2))</f>
        <v/>
      </c>
      <c r="K168" s="26" t="str">
        <f t="shared" si="8"/>
        <v/>
      </c>
      <c r="L168" s="41"/>
    </row>
    <row r="169" spans="1:12">
      <c r="A169" s="24" t="str">
        <f t="shared" si="6"/>
        <v/>
      </c>
      <c r="B169" s="24" t="str">
        <f>IFERROR(INDEX(_自动清单!$AA$4:$AA$203,ROW()-3),"")</f>
        <v/>
      </c>
      <c r="C169" s="25" t="str">
        <f>IF(OR($B169="",_自动清单!$U$4=""),"",SUMIFS(周转筐出入库明细!$K$4:$K$2004,周转筐出入库明细!$C$4:$C$2004,$B169,周转筐出入库明细!$D$4:$D$2004,_自动清单!$U$4,周转筐出入库明细!$B$4:$B$2004,"&gt;="&amp;$P$1,周转筐出入库明细!$B$4:$B$2004,"&lt;="&amp;$P$2))</f>
        <v/>
      </c>
      <c r="D169" s="25" t="str">
        <f>IF(OR($B169="",_自动清单!$U$5=""),"",SUMIFS(周转筐出入库明细!$K$4:$K$2004,周转筐出入库明细!$C$4:$C$2004,$B169,周转筐出入库明细!$D$4:$D$2004,_自动清单!$U$5,周转筐出入库明细!$B$4:$B$2004,"&gt;="&amp;$P$1,周转筐出入库明细!$B$4:$B$2004,"&lt;="&amp;$P$2))</f>
        <v/>
      </c>
      <c r="E169" s="25" t="str">
        <f>IF(OR($B169="",_自动清单!$U$6=""),"",SUMIFS(周转筐出入库明细!$K$4:$K$2004,周转筐出入库明细!$C$4:$C$2004,$B169,周转筐出入库明细!$D$4:$D$2004,_自动清单!$U$6,周转筐出入库明细!$B$4:$B$2004,"&gt;="&amp;$P$1,周转筐出入库明细!$B$4:$B$2004,"&lt;="&amp;$P$2))</f>
        <v/>
      </c>
      <c r="F169" s="25" t="str">
        <f>IF(OR($B169="",_自动清单!$U$7=""),"",SUMIFS(周转筐出入库明细!$K$4:$K$2004,周转筐出入库明细!$C$4:$C$2004,$B169,周转筐出入库明细!$D$4:$D$2004,_自动清单!$U$7,周转筐出入库明细!$B$4:$B$2004,"&gt;="&amp;$P$1,周转筐出入库明细!$B$4:$B$2004,"&lt;="&amp;$P$2))</f>
        <v/>
      </c>
      <c r="G169" s="25" t="str">
        <f>IF($B169="","",SUMIFS(周转筐出入库明细!$K$4:$K$2004,周转筐出入库明细!$C$4:$C$2004,$B169,周转筐出入库明细!$B$4:$B$2004,"&gt;="&amp;$P$1,周转筐出入库明细!$B$4:$B$2004,"&lt;="&amp;$P$2)-SUM($C169:$F169))</f>
        <v/>
      </c>
      <c r="H169" s="25" t="str">
        <f t="shared" si="7"/>
        <v/>
      </c>
      <c r="I169" s="26" t="str">
        <f>IF($B169="","",ROUND(SUMIFS(周转筐出入库明细!$P$4:$P$2004,周转筐出入库明细!$C$4:$C$2004,$B169,周转筐出入库明细!$F$4:$F$2004,"销售出库",周转筐出入库明细!$B$4:$B$2004,"&gt;="&amp;$P$1,周转筐出入库明细!$B$4:$B$2004,"&lt;="&amp;$P$2),2))</f>
        <v/>
      </c>
      <c r="J169" s="26" t="str">
        <f>IF($B169="","",ROUND(SUMIFS(周转筐出入库明细!$P$4:$P$2004,周转筐出入库明细!$C$4:$C$2004,$B169,周转筐出入库明细!$F$4:$F$2004,"销售出库",周转筐出入库明细!$Q$4:$Q$2004,"已收讫",周转筐出入库明细!$B$4:$B$2004,"&gt;="&amp;$P$1,周转筐出入库明细!$B$4:$B$2004,"&lt;="&amp;$P$2),2))</f>
        <v/>
      </c>
      <c r="K169" s="26" t="str">
        <f t="shared" si="8"/>
        <v/>
      </c>
      <c r="L169" s="41"/>
    </row>
    <row r="170" spans="1:12">
      <c r="A170" s="24" t="str">
        <f t="shared" si="6"/>
        <v/>
      </c>
      <c r="B170" s="24" t="str">
        <f>IFERROR(INDEX(_自动清单!$AA$4:$AA$203,ROW()-3),"")</f>
        <v/>
      </c>
      <c r="C170" s="25" t="str">
        <f>IF(OR($B170="",_自动清单!$U$4=""),"",SUMIFS(周转筐出入库明细!$K$4:$K$2004,周转筐出入库明细!$C$4:$C$2004,$B170,周转筐出入库明细!$D$4:$D$2004,_自动清单!$U$4,周转筐出入库明细!$B$4:$B$2004,"&gt;="&amp;$P$1,周转筐出入库明细!$B$4:$B$2004,"&lt;="&amp;$P$2))</f>
        <v/>
      </c>
      <c r="D170" s="25" t="str">
        <f>IF(OR($B170="",_自动清单!$U$5=""),"",SUMIFS(周转筐出入库明细!$K$4:$K$2004,周转筐出入库明细!$C$4:$C$2004,$B170,周转筐出入库明细!$D$4:$D$2004,_自动清单!$U$5,周转筐出入库明细!$B$4:$B$2004,"&gt;="&amp;$P$1,周转筐出入库明细!$B$4:$B$2004,"&lt;="&amp;$P$2))</f>
        <v/>
      </c>
      <c r="E170" s="25" t="str">
        <f>IF(OR($B170="",_自动清单!$U$6=""),"",SUMIFS(周转筐出入库明细!$K$4:$K$2004,周转筐出入库明细!$C$4:$C$2004,$B170,周转筐出入库明细!$D$4:$D$2004,_自动清单!$U$6,周转筐出入库明细!$B$4:$B$2004,"&gt;="&amp;$P$1,周转筐出入库明细!$B$4:$B$2004,"&lt;="&amp;$P$2))</f>
        <v/>
      </c>
      <c r="F170" s="25" t="str">
        <f>IF(OR($B170="",_自动清单!$U$7=""),"",SUMIFS(周转筐出入库明细!$K$4:$K$2004,周转筐出入库明细!$C$4:$C$2004,$B170,周转筐出入库明细!$D$4:$D$2004,_自动清单!$U$7,周转筐出入库明细!$B$4:$B$2004,"&gt;="&amp;$P$1,周转筐出入库明细!$B$4:$B$2004,"&lt;="&amp;$P$2))</f>
        <v/>
      </c>
      <c r="G170" s="25" t="str">
        <f>IF($B170="","",SUMIFS(周转筐出入库明细!$K$4:$K$2004,周转筐出入库明细!$C$4:$C$2004,$B170,周转筐出入库明细!$B$4:$B$2004,"&gt;="&amp;$P$1,周转筐出入库明细!$B$4:$B$2004,"&lt;="&amp;$P$2)-SUM($C170:$F170))</f>
        <v/>
      </c>
      <c r="H170" s="25" t="str">
        <f t="shared" si="7"/>
        <v/>
      </c>
      <c r="I170" s="26" t="str">
        <f>IF($B170="","",ROUND(SUMIFS(周转筐出入库明细!$P$4:$P$2004,周转筐出入库明细!$C$4:$C$2004,$B170,周转筐出入库明细!$F$4:$F$2004,"销售出库",周转筐出入库明细!$B$4:$B$2004,"&gt;="&amp;$P$1,周转筐出入库明细!$B$4:$B$2004,"&lt;="&amp;$P$2),2))</f>
        <v/>
      </c>
      <c r="J170" s="26" t="str">
        <f>IF($B170="","",ROUND(SUMIFS(周转筐出入库明细!$P$4:$P$2004,周转筐出入库明细!$C$4:$C$2004,$B170,周转筐出入库明细!$F$4:$F$2004,"销售出库",周转筐出入库明细!$Q$4:$Q$2004,"已收讫",周转筐出入库明细!$B$4:$B$2004,"&gt;="&amp;$P$1,周转筐出入库明细!$B$4:$B$2004,"&lt;="&amp;$P$2),2))</f>
        <v/>
      </c>
      <c r="K170" s="26" t="str">
        <f t="shared" si="8"/>
        <v/>
      </c>
      <c r="L170" s="41"/>
    </row>
    <row r="171" spans="1:12">
      <c r="A171" s="24" t="str">
        <f t="shared" si="6"/>
        <v/>
      </c>
      <c r="B171" s="24" t="str">
        <f>IFERROR(INDEX(_自动清单!$AA$4:$AA$203,ROW()-3),"")</f>
        <v/>
      </c>
      <c r="C171" s="25" t="str">
        <f>IF(OR($B171="",_自动清单!$U$4=""),"",SUMIFS(周转筐出入库明细!$K$4:$K$2004,周转筐出入库明细!$C$4:$C$2004,$B171,周转筐出入库明细!$D$4:$D$2004,_自动清单!$U$4,周转筐出入库明细!$B$4:$B$2004,"&gt;="&amp;$P$1,周转筐出入库明细!$B$4:$B$2004,"&lt;="&amp;$P$2))</f>
        <v/>
      </c>
      <c r="D171" s="25" t="str">
        <f>IF(OR($B171="",_自动清单!$U$5=""),"",SUMIFS(周转筐出入库明细!$K$4:$K$2004,周转筐出入库明细!$C$4:$C$2004,$B171,周转筐出入库明细!$D$4:$D$2004,_自动清单!$U$5,周转筐出入库明细!$B$4:$B$2004,"&gt;="&amp;$P$1,周转筐出入库明细!$B$4:$B$2004,"&lt;="&amp;$P$2))</f>
        <v/>
      </c>
      <c r="E171" s="25" t="str">
        <f>IF(OR($B171="",_自动清单!$U$6=""),"",SUMIFS(周转筐出入库明细!$K$4:$K$2004,周转筐出入库明细!$C$4:$C$2004,$B171,周转筐出入库明细!$D$4:$D$2004,_自动清单!$U$6,周转筐出入库明细!$B$4:$B$2004,"&gt;="&amp;$P$1,周转筐出入库明细!$B$4:$B$2004,"&lt;="&amp;$P$2))</f>
        <v/>
      </c>
      <c r="F171" s="25" t="str">
        <f>IF(OR($B171="",_自动清单!$U$7=""),"",SUMIFS(周转筐出入库明细!$K$4:$K$2004,周转筐出入库明细!$C$4:$C$2004,$B171,周转筐出入库明细!$D$4:$D$2004,_自动清单!$U$7,周转筐出入库明细!$B$4:$B$2004,"&gt;="&amp;$P$1,周转筐出入库明细!$B$4:$B$2004,"&lt;="&amp;$P$2))</f>
        <v/>
      </c>
      <c r="G171" s="25" t="str">
        <f>IF($B171="","",SUMIFS(周转筐出入库明细!$K$4:$K$2004,周转筐出入库明细!$C$4:$C$2004,$B171,周转筐出入库明细!$B$4:$B$2004,"&gt;="&amp;$P$1,周转筐出入库明细!$B$4:$B$2004,"&lt;="&amp;$P$2)-SUM($C171:$F171))</f>
        <v/>
      </c>
      <c r="H171" s="25" t="str">
        <f t="shared" si="7"/>
        <v/>
      </c>
      <c r="I171" s="26" t="str">
        <f>IF($B171="","",ROUND(SUMIFS(周转筐出入库明细!$P$4:$P$2004,周转筐出入库明细!$C$4:$C$2004,$B171,周转筐出入库明细!$F$4:$F$2004,"销售出库",周转筐出入库明细!$B$4:$B$2004,"&gt;="&amp;$P$1,周转筐出入库明细!$B$4:$B$2004,"&lt;="&amp;$P$2),2))</f>
        <v/>
      </c>
      <c r="J171" s="26" t="str">
        <f>IF($B171="","",ROUND(SUMIFS(周转筐出入库明细!$P$4:$P$2004,周转筐出入库明细!$C$4:$C$2004,$B171,周转筐出入库明细!$F$4:$F$2004,"销售出库",周转筐出入库明细!$Q$4:$Q$2004,"已收讫",周转筐出入库明细!$B$4:$B$2004,"&gt;="&amp;$P$1,周转筐出入库明细!$B$4:$B$2004,"&lt;="&amp;$P$2),2))</f>
        <v/>
      </c>
      <c r="K171" s="26" t="str">
        <f t="shared" si="8"/>
        <v/>
      </c>
      <c r="L171" s="41"/>
    </row>
    <row r="172" spans="1:12">
      <c r="A172" s="24" t="str">
        <f t="shared" si="6"/>
        <v/>
      </c>
      <c r="B172" s="24" t="str">
        <f>IFERROR(INDEX(_自动清单!$AA$4:$AA$203,ROW()-3),"")</f>
        <v/>
      </c>
      <c r="C172" s="25" t="str">
        <f>IF(OR($B172="",_自动清单!$U$4=""),"",SUMIFS(周转筐出入库明细!$K$4:$K$2004,周转筐出入库明细!$C$4:$C$2004,$B172,周转筐出入库明细!$D$4:$D$2004,_自动清单!$U$4,周转筐出入库明细!$B$4:$B$2004,"&gt;="&amp;$P$1,周转筐出入库明细!$B$4:$B$2004,"&lt;="&amp;$P$2))</f>
        <v/>
      </c>
      <c r="D172" s="25" t="str">
        <f>IF(OR($B172="",_自动清单!$U$5=""),"",SUMIFS(周转筐出入库明细!$K$4:$K$2004,周转筐出入库明细!$C$4:$C$2004,$B172,周转筐出入库明细!$D$4:$D$2004,_自动清单!$U$5,周转筐出入库明细!$B$4:$B$2004,"&gt;="&amp;$P$1,周转筐出入库明细!$B$4:$B$2004,"&lt;="&amp;$P$2))</f>
        <v/>
      </c>
      <c r="E172" s="25" t="str">
        <f>IF(OR($B172="",_自动清单!$U$6=""),"",SUMIFS(周转筐出入库明细!$K$4:$K$2004,周转筐出入库明细!$C$4:$C$2004,$B172,周转筐出入库明细!$D$4:$D$2004,_自动清单!$U$6,周转筐出入库明细!$B$4:$B$2004,"&gt;="&amp;$P$1,周转筐出入库明细!$B$4:$B$2004,"&lt;="&amp;$P$2))</f>
        <v/>
      </c>
      <c r="F172" s="25" t="str">
        <f>IF(OR($B172="",_自动清单!$U$7=""),"",SUMIFS(周转筐出入库明细!$K$4:$K$2004,周转筐出入库明细!$C$4:$C$2004,$B172,周转筐出入库明细!$D$4:$D$2004,_自动清单!$U$7,周转筐出入库明细!$B$4:$B$2004,"&gt;="&amp;$P$1,周转筐出入库明细!$B$4:$B$2004,"&lt;="&amp;$P$2))</f>
        <v/>
      </c>
      <c r="G172" s="25" t="str">
        <f>IF($B172="","",SUMIFS(周转筐出入库明细!$K$4:$K$2004,周转筐出入库明细!$C$4:$C$2004,$B172,周转筐出入库明细!$B$4:$B$2004,"&gt;="&amp;$P$1,周转筐出入库明细!$B$4:$B$2004,"&lt;="&amp;$P$2)-SUM($C172:$F172))</f>
        <v/>
      </c>
      <c r="H172" s="25" t="str">
        <f t="shared" si="7"/>
        <v/>
      </c>
      <c r="I172" s="26" t="str">
        <f>IF($B172="","",ROUND(SUMIFS(周转筐出入库明细!$P$4:$P$2004,周转筐出入库明细!$C$4:$C$2004,$B172,周转筐出入库明细!$F$4:$F$2004,"销售出库",周转筐出入库明细!$B$4:$B$2004,"&gt;="&amp;$P$1,周转筐出入库明细!$B$4:$B$2004,"&lt;="&amp;$P$2),2))</f>
        <v/>
      </c>
      <c r="J172" s="26" t="str">
        <f>IF($B172="","",ROUND(SUMIFS(周转筐出入库明细!$P$4:$P$2004,周转筐出入库明细!$C$4:$C$2004,$B172,周转筐出入库明细!$F$4:$F$2004,"销售出库",周转筐出入库明细!$Q$4:$Q$2004,"已收讫",周转筐出入库明细!$B$4:$B$2004,"&gt;="&amp;$P$1,周转筐出入库明细!$B$4:$B$2004,"&lt;="&amp;$P$2),2))</f>
        <v/>
      </c>
      <c r="K172" s="26" t="str">
        <f t="shared" si="8"/>
        <v/>
      </c>
      <c r="L172" s="41"/>
    </row>
    <row r="173" spans="1:12">
      <c r="A173" s="24" t="str">
        <f t="shared" si="6"/>
        <v/>
      </c>
      <c r="B173" s="24" t="str">
        <f>IFERROR(INDEX(_自动清单!$AA$4:$AA$203,ROW()-3),"")</f>
        <v/>
      </c>
      <c r="C173" s="25" t="str">
        <f>IF(OR($B173="",_自动清单!$U$4=""),"",SUMIFS(周转筐出入库明细!$K$4:$K$2004,周转筐出入库明细!$C$4:$C$2004,$B173,周转筐出入库明细!$D$4:$D$2004,_自动清单!$U$4,周转筐出入库明细!$B$4:$B$2004,"&gt;="&amp;$P$1,周转筐出入库明细!$B$4:$B$2004,"&lt;="&amp;$P$2))</f>
        <v/>
      </c>
      <c r="D173" s="25" t="str">
        <f>IF(OR($B173="",_自动清单!$U$5=""),"",SUMIFS(周转筐出入库明细!$K$4:$K$2004,周转筐出入库明细!$C$4:$C$2004,$B173,周转筐出入库明细!$D$4:$D$2004,_自动清单!$U$5,周转筐出入库明细!$B$4:$B$2004,"&gt;="&amp;$P$1,周转筐出入库明细!$B$4:$B$2004,"&lt;="&amp;$P$2))</f>
        <v/>
      </c>
      <c r="E173" s="25" t="str">
        <f>IF(OR($B173="",_自动清单!$U$6=""),"",SUMIFS(周转筐出入库明细!$K$4:$K$2004,周转筐出入库明细!$C$4:$C$2004,$B173,周转筐出入库明细!$D$4:$D$2004,_自动清单!$U$6,周转筐出入库明细!$B$4:$B$2004,"&gt;="&amp;$P$1,周转筐出入库明细!$B$4:$B$2004,"&lt;="&amp;$P$2))</f>
        <v/>
      </c>
      <c r="F173" s="25" t="str">
        <f>IF(OR($B173="",_自动清单!$U$7=""),"",SUMIFS(周转筐出入库明细!$K$4:$K$2004,周转筐出入库明细!$C$4:$C$2004,$B173,周转筐出入库明细!$D$4:$D$2004,_自动清单!$U$7,周转筐出入库明细!$B$4:$B$2004,"&gt;="&amp;$P$1,周转筐出入库明细!$B$4:$B$2004,"&lt;="&amp;$P$2))</f>
        <v/>
      </c>
      <c r="G173" s="25" t="str">
        <f>IF($B173="","",SUMIFS(周转筐出入库明细!$K$4:$K$2004,周转筐出入库明细!$C$4:$C$2004,$B173,周转筐出入库明细!$B$4:$B$2004,"&gt;="&amp;$P$1,周转筐出入库明细!$B$4:$B$2004,"&lt;="&amp;$P$2)-SUM($C173:$F173))</f>
        <v/>
      </c>
      <c r="H173" s="25" t="str">
        <f t="shared" si="7"/>
        <v/>
      </c>
      <c r="I173" s="26" t="str">
        <f>IF($B173="","",ROUND(SUMIFS(周转筐出入库明细!$P$4:$P$2004,周转筐出入库明细!$C$4:$C$2004,$B173,周转筐出入库明细!$F$4:$F$2004,"销售出库",周转筐出入库明细!$B$4:$B$2004,"&gt;="&amp;$P$1,周转筐出入库明细!$B$4:$B$2004,"&lt;="&amp;$P$2),2))</f>
        <v/>
      </c>
      <c r="J173" s="26" t="str">
        <f>IF($B173="","",ROUND(SUMIFS(周转筐出入库明细!$P$4:$P$2004,周转筐出入库明细!$C$4:$C$2004,$B173,周转筐出入库明细!$F$4:$F$2004,"销售出库",周转筐出入库明细!$Q$4:$Q$2004,"已收讫",周转筐出入库明细!$B$4:$B$2004,"&gt;="&amp;$P$1,周转筐出入库明细!$B$4:$B$2004,"&lt;="&amp;$P$2),2))</f>
        <v/>
      </c>
      <c r="K173" s="26" t="str">
        <f t="shared" si="8"/>
        <v/>
      </c>
      <c r="L173" s="41"/>
    </row>
    <row r="174" spans="1:12">
      <c r="A174" s="24" t="str">
        <f t="shared" si="6"/>
        <v/>
      </c>
      <c r="B174" s="24" t="str">
        <f>IFERROR(INDEX(_自动清单!$AA$4:$AA$203,ROW()-3),"")</f>
        <v/>
      </c>
      <c r="C174" s="25" t="str">
        <f>IF(OR($B174="",_自动清单!$U$4=""),"",SUMIFS(周转筐出入库明细!$K$4:$K$2004,周转筐出入库明细!$C$4:$C$2004,$B174,周转筐出入库明细!$D$4:$D$2004,_自动清单!$U$4,周转筐出入库明细!$B$4:$B$2004,"&gt;="&amp;$P$1,周转筐出入库明细!$B$4:$B$2004,"&lt;="&amp;$P$2))</f>
        <v/>
      </c>
      <c r="D174" s="25" t="str">
        <f>IF(OR($B174="",_自动清单!$U$5=""),"",SUMIFS(周转筐出入库明细!$K$4:$K$2004,周转筐出入库明细!$C$4:$C$2004,$B174,周转筐出入库明细!$D$4:$D$2004,_自动清单!$U$5,周转筐出入库明细!$B$4:$B$2004,"&gt;="&amp;$P$1,周转筐出入库明细!$B$4:$B$2004,"&lt;="&amp;$P$2))</f>
        <v/>
      </c>
      <c r="E174" s="25" t="str">
        <f>IF(OR($B174="",_自动清单!$U$6=""),"",SUMIFS(周转筐出入库明细!$K$4:$K$2004,周转筐出入库明细!$C$4:$C$2004,$B174,周转筐出入库明细!$D$4:$D$2004,_自动清单!$U$6,周转筐出入库明细!$B$4:$B$2004,"&gt;="&amp;$P$1,周转筐出入库明细!$B$4:$B$2004,"&lt;="&amp;$P$2))</f>
        <v/>
      </c>
      <c r="F174" s="25" t="str">
        <f>IF(OR($B174="",_自动清单!$U$7=""),"",SUMIFS(周转筐出入库明细!$K$4:$K$2004,周转筐出入库明细!$C$4:$C$2004,$B174,周转筐出入库明细!$D$4:$D$2004,_自动清单!$U$7,周转筐出入库明细!$B$4:$B$2004,"&gt;="&amp;$P$1,周转筐出入库明细!$B$4:$B$2004,"&lt;="&amp;$P$2))</f>
        <v/>
      </c>
      <c r="G174" s="25" t="str">
        <f>IF($B174="","",SUMIFS(周转筐出入库明细!$K$4:$K$2004,周转筐出入库明细!$C$4:$C$2004,$B174,周转筐出入库明细!$B$4:$B$2004,"&gt;="&amp;$P$1,周转筐出入库明细!$B$4:$B$2004,"&lt;="&amp;$P$2)-SUM($C174:$F174))</f>
        <v/>
      </c>
      <c r="H174" s="25" t="str">
        <f t="shared" si="7"/>
        <v/>
      </c>
      <c r="I174" s="26" t="str">
        <f>IF($B174="","",ROUND(SUMIFS(周转筐出入库明细!$P$4:$P$2004,周转筐出入库明细!$C$4:$C$2004,$B174,周转筐出入库明细!$F$4:$F$2004,"销售出库",周转筐出入库明细!$B$4:$B$2004,"&gt;="&amp;$P$1,周转筐出入库明细!$B$4:$B$2004,"&lt;="&amp;$P$2),2))</f>
        <v/>
      </c>
      <c r="J174" s="26" t="str">
        <f>IF($B174="","",ROUND(SUMIFS(周转筐出入库明细!$P$4:$P$2004,周转筐出入库明细!$C$4:$C$2004,$B174,周转筐出入库明细!$F$4:$F$2004,"销售出库",周转筐出入库明细!$Q$4:$Q$2004,"已收讫",周转筐出入库明细!$B$4:$B$2004,"&gt;="&amp;$P$1,周转筐出入库明细!$B$4:$B$2004,"&lt;="&amp;$P$2),2))</f>
        <v/>
      </c>
      <c r="K174" s="26" t="str">
        <f t="shared" si="8"/>
        <v/>
      </c>
      <c r="L174" s="41"/>
    </row>
    <row r="175" spans="1:12">
      <c r="A175" s="24" t="str">
        <f t="shared" si="6"/>
        <v/>
      </c>
      <c r="B175" s="24" t="str">
        <f>IFERROR(INDEX(_自动清单!$AA$4:$AA$203,ROW()-3),"")</f>
        <v/>
      </c>
      <c r="C175" s="25" t="str">
        <f>IF(OR($B175="",_自动清单!$U$4=""),"",SUMIFS(周转筐出入库明细!$K$4:$K$2004,周转筐出入库明细!$C$4:$C$2004,$B175,周转筐出入库明细!$D$4:$D$2004,_自动清单!$U$4,周转筐出入库明细!$B$4:$B$2004,"&gt;="&amp;$P$1,周转筐出入库明细!$B$4:$B$2004,"&lt;="&amp;$P$2))</f>
        <v/>
      </c>
      <c r="D175" s="25" t="str">
        <f>IF(OR($B175="",_自动清单!$U$5=""),"",SUMIFS(周转筐出入库明细!$K$4:$K$2004,周转筐出入库明细!$C$4:$C$2004,$B175,周转筐出入库明细!$D$4:$D$2004,_自动清单!$U$5,周转筐出入库明细!$B$4:$B$2004,"&gt;="&amp;$P$1,周转筐出入库明细!$B$4:$B$2004,"&lt;="&amp;$P$2))</f>
        <v/>
      </c>
      <c r="E175" s="25" t="str">
        <f>IF(OR($B175="",_自动清单!$U$6=""),"",SUMIFS(周转筐出入库明细!$K$4:$K$2004,周转筐出入库明细!$C$4:$C$2004,$B175,周转筐出入库明细!$D$4:$D$2004,_自动清单!$U$6,周转筐出入库明细!$B$4:$B$2004,"&gt;="&amp;$P$1,周转筐出入库明细!$B$4:$B$2004,"&lt;="&amp;$P$2))</f>
        <v/>
      </c>
      <c r="F175" s="25" t="str">
        <f>IF(OR($B175="",_自动清单!$U$7=""),"",SUMIFS(周转筐出入库明细!$K$4:$K$2004,周转筐出入库明细!$C$4:$C$2004,$B175,周转筐出入库明细!$D$4:$D$2004,_自动清单!$U$7,周转筐出入库明细!$B$4:$B$2004,"&gt;="&amp;$P$1,周转筐出入库明细!$B$4:$B$2004,"&lt;="&amp;$P$2))</f>
        <v/>
      </c>
      <c r="G175" s="25" t="str">
        <f>IF($B175="","",SUMIFS(周转筐出入库明细!$K$4:$K$2004,周转筐出入库明细!$C$4:$C$2004,$B175,周转筐出入库明细!$B$4:$B$2004,"&gt;="&amp;$P$1,周转筐出入库明细!$B$4:$B$2004,"&lt;="&amp;$P$2)-SUM($C175:$F175))</f>
        <v/>
      </c>
      <c r="H175" s="25" t="str">
        <f t="shared" si="7"/>
        <v/>
      </c>
      <c r="I175" s="26" t="str">
        <f>IF($B175="","",ROUND(SUMIFS(周转筐出入库明细!$P$4:$P$2004,周转筐出入库明细!$C$4:$C$2004,$B175,周转筐出入库明细!$F$4:$F$2004,"销售出库",周转筐出入库明细!$B$4:$B$2004,"&gt;="&amp;$P$1,周转筐出入库明细!$B$4:$B$2004,"&lt;="&amp;$P$2),2))</f>
        <v/>
      </c>
      <c r="J175" s="26" t="str">
        <f>IF($B175="","",ROUND(SUMIFS(周转筐出入库明细!$P$4:$P$2004,周转筐出入库明细!$C$4:$C$2004,$B175,周转筐出入库明细!$F$4:$F$2004,"销售出库",周转筐出入库明细!$Q$4:$Q$2004,"已收讫",周转筐出入库明细!$B$4:$B$2004,"&gt;="&amp;$P$1,周转筐出入库明细!$B$4:$B$2004,"&lt;="&amp;$P$2),2))</f>
        <v/>
      </c>
      <c r="K175" s="26" t="str">
        <f t="shared" si="8"/>
        <v/>
      </c>
      <c r="L175" s="41"/>
    </row>
    <row r="176" spans="1:12">
      <c r="A176" s="24" t="str">
        <f t="shared" si="6"/>
        <v/>
      </c>
      <c r="B176" s="24" t="str">
        <f>IFERROR(INDEX(_自动清单!$AA$4:$AA$203,ROW()-3),"")</f>
        <v/>
      </c>
      <c r="C176" s="25" t="str">
        <f>IF(OR($B176="",_自动清单!$U$4=""),"",SUMIFS(周转筐出入库明细!$K$4:$K$2004,周转筐出入库明细!$C$4:$C$2004,$B176,周转筐出入库明细!$D$4:$D$2004,_自动清单!$U$4,周转筐出入库明细!$B$4:$B$2004,"&gt;="&amp;$P$1,周转筐出入库明细!$B$4:$B$2004,"&lt;="&amp;$P$2))</f>
        <v/>
      </c>
      <c r="D176" s="25" t="str">
        <f>IF(OR($B176="",_自动清单!$U$5=""),"",SUMIFS(周转筐出入库明细!$K$4:$K$2004,周转筐出入库明细!$C$4:$C$2004,$B176,周转筐出入库明细!$D$4:$D$2004,_自动清单!$U$5,周转筐出入库明细!$B$4:$B$2004,"&gt;="&amp;$P$1,周转筐出入库明细!$B$4:$B$2004,"&lt;="&amp;$P$2))</f>
        <v/>
      </c>
      <c r="E176" s="25" t="str">
        <f>IF(OR($B176="",_自动清单!$U$6=""),"",SUMIFS(周转筐出入库明细!$K$4:$K$2004,周转筐出入库明细!$C$4:$C$2004,$B176,周转筐出入库明细!$D$4:$D$2004,_自动清单!$U$6,周转筐出入库明细!$B$4:$B$2004,"&gt;="&amp;$P$1,周转筐出入库明细!$B$4:$B$2004,"&lt;="&amp;$P$2))</f>
        <v/>
      </c>
      <c r="F176" s="25" t="str">
        <f>IF(OR($B176="",_自动清单!$U$7=""),"",SUMIFS(周转筐出入库明细!$K$4:$K$2004,周转筐出入库明细!$C$4:$C$2004,$B176,周转筐出入库明细!$D$4:$D$2004,_自动清单!$U$7,周转筐出入库明细!$B$4:$B$2004,"&gt;="&amp;$P$1,周转筐出入库明细!$B$4:$B$2004,"&lt;="&amp;$P$2))</f>
        <v/>
      </c>
      <c r="G176" s="25" t="str">
        <f>IF($B176="","",SUMIFS(周转筐出入库明细!$K$4:$K$2004,周转筐出入库明细!$C$4:$C$2004,$B176,周转筐出入库明细!$B$4:$B$2004,"&gt;="&amp;$P$1,周转筐出入库明细!$B$4:$B$2004,"&lt;="&amp;$P$2)-SUM($C176:$F176))</f>
        <v/>
      </c>
      <c r="H176" s="25" t="str">
        <f t="shared" si="7"/>
        <v/>
      </c>
      <c r="I176" s="26" t="str">
        <f>IF($B176="","",ROUND(SUMIFS(周转筐出入库明细!$P$4:$P$2004,周转筐出入库明细!$C$4:$C$2004,$B176,周转筐出入库明细!$F$4:$F$2004,"销售出库",周转筐出入库明细!$B$4:$B$2004,"&gt;="&amp;$P$1,周转筐出入库明细!$B$4:$B$2004,"&lt;="&amp;$P$2),2))</f>
        <v/>
      </c>
      <c r="J176" s="26" t="str">
        <f>IF($B176="","",ROUND(SUMIFS(周转筐出入库明细!$P$4:$P$2004,周转筐出入库明细!$C$4:$C$2004,$B176,周转筐出入库明细!$F$4:$F$2004,"销售出库",周转筐出入库明细!$Q$4:$Q$2004,"已收讫",周转筐出入库明细!$B$4:$B$2004,"&gt;="&amp;$P$1,周转筐出入库明细!$B$4:$B$2004,"&lt;="&amp;$P$2),2))</f>
        <v/>
      </c>
      <c r="K176" s="26" t="str">
        <f t="shared" si="8"/>
        <v/>
      </c>
      <c r="L176" s="41"/>
    </row>
    <row r="177" spans="1:12">
      <c r="A177" s="24" t="str">
        <f t="shared" si="6"/>
        <v/>
      </c>
      <c r="B177" s="24" t="str">
        <f>IFERROR(INDEX(_自动清单!$AA$4:$AA$203,ROW()-3),"")</f>
        <v/>
      </c>
      <c r="C177" s="25" t="str">
        <f>IF(OR($B177="",_自动清单!$U$4=""),"",SUMIFS(周转筐出入库明细!$K$4:$K$2004,周转筐出入库明细!$C$4:$C$2004,$B177,周转筐出入库明细!$D$4:$D$2004,_自动清单!$U$4,周转筐出入库明细!$B$4:$B$2004,"&gt;="&amp;$P$1,周转筐出入库明细!$B$4:$B$2004,"&lt;="&amp;$P$2))</f>
        <v/>
      </c>
      <c r="D177" s="25" t="str">
        <f>IF(OR($B177="",_自动清单!$U$5=""),"",SUMIFS(周转筐出入库明细!$K$4:$K$2004,周转筐出入库明细!$C$4:$C$2004,$B177,周转筐出入库明细!$D$4:$D$2004,_自动清单!$U$5,周转筐出入库明细!$B$4:$B$2004,"&gt;="&amp;$P$1,周转筐出入库明细!$B$4:$B$2004,"&lt;="&amp;$P$2))</f>
        <v/>
      </c>
      <c r="E177" s="25" t="str">
        <f>IF(OR($B177="",_自动清单!$U$6=""),"",SUMIFS(周转筐出入库明细!$K$4:$K$2004,周转筐出入库明细!$C$4:$C$2004,$B177,周转筐出入库明细!$D$4:$D$2004,_自动清单!$U$6,周转筐出入库明细!$B$4:$B$2004,"&gt;="&amp;$P$1,周转筐出入库明细!$B$4:$B$2004,"&lt;="&amp;$P$2))</f>
        <v/>
      </c>
      <c r="F177" s="25" t="str">
        <f>IF(OR($B177="",_自动清单!$U$7=""),"",SUMIFS(周转筐出入库明细!$K$4:$K$2004,周转筐出入库明细!$C$4:$C$2004,$B177,周转筐出入库明细!$D$4:$D$2004,_自动清单!$U$7,周转筐出入库明细!$B$4:$B$2004,"&gt;="&amp;$P$1,周转筐出入库明细!$B$4:$B$2004,"&lt;="&amp;$P$2))</f>
        <v/>
      </c>
      <c r="G177" s="25" t="str">
        <f>IF($B177="","",SUMIFS(周转筐出入库明细!$K$4:$K$2004,周转筐出入库明细!$C$4:$C$2004,$B177,周转筐出入库明细!$B$4:$B$2004,"&gt;="&amp;$P$1,周转筐出入库明细!$B$4:$B$2004,"&lt;="&amp;$P$2)-SUM($C177:$F177))</f>
        <v/>
      </c>
      <c r="H177" s="25" t="str">
        <f t="shared" si="7"/>
        <v/>
      </c>
      <c r="I177" s="26" t="str">
        <f>IF($B177="","",ROUND(SUMIFS(周转筐出入库明细!$P$4:$P$2004,周转筐出入库明细!$C$4:$C$2004,$B177,周转筐出入库明细!$F$4:$F$2004,"销售出库",周转筐出入库明细!$B$4:$B$2004,"&gt;="&amp;$P$1,周转筐出入库明细!$B$4:$B$2004,"&lt;="&amp;$P$2),2))</f>
        <v/>
      </c>
      <c r="J177" s="26" t="str">
        <f>IF($B177="","",ROUND(SUMIFS(周转筐出入库明细!$P$4:$P$2004,周转筐出入库明细!$C$4:$C$2004,$B177,周转筐出入库明细!$F$4:$F$2004,"销售出库",周转筐出入库明细!$Q$4:$Q$2004,"已收讫",周转筐出入库明细!$B$4:$B$2004,"&gt;="&amp;$P$1,周转筐出入库明细!$B$4:$B$2004,"&lt;="&amp;$P$2),2))</f>
        <v/>
      </c>
      <c r="K177" s="26" t="str">
        <f t="shared" si="8"/>
        <v/>
      </c>
      <c r="L177" s="41"/>
    </row>
    <row r="178" spans="1:12">
      <c r="A178" s="24" t="str">
        <f t="shared" si="6"/>
        <v/>
      </c>
      <c r="B178" s="24" t="str">
        <f>IFERROR(INDEX(_自动清单!$AA$4:$AA$203,ROW()-3),"")</f>
        <v/>
      </c>
      <c r="C178" s="25" t="str">
        <f>IF(OR($B178="",_自动清单!$U$4=""),"",SUMIFS(周转筐出入库明细!$K$4:$K$2004,周转筐出入库明细!$C$4:$C$2004,$B178,周转筐出入库明细!$D$4:$D$2004,_自动清单!$U$4,周转筐出入库明细!$B$4:$B$2004,"&gt;="&amp;$P$1,周转筐出入库明细!$B$4:$B$2004,"&lt;="&amp;$P$2))</f>
        <v/>
      </c>
      <c r="D178" s="25" t="str">
        <f>IF(OR($B178="",_自动清单!$U$5=""),"",SUMIFS(周转筐出入库明细!$K$4:$K$2004,周转筐出入库明细!$C$4:$C$2004,$B178,周转筐出入库明细!$D$4:$D$2004,_自动清单!$U$5,周转筐出入库明细!$B$4:$B$2004,"&gt;="&amp;$P$1,周转筐出入库明细!$B$4:$B$2004,"&lt;="&amp;$P$2))</f>
        <v/>
      </c>
      <c r="E178" s="25" t="str">
        <f>IF(OR($B178="",_自动清单!$U$6=""),"",SUMIFS(周转筐出入库明细!$K$4:$K$2004,周转筐出入库明细!$C$4:$C$2004,$B178,周转筐出入库明细!$D$4:$D$2004,_自动清单!$U$6,周转筐出入库明细!$B$4:$B$2004,"&gt;="&amp;$P$1,周转筐出入库明细!$B$4:$B$2004,"&lt;="&amp;$P$2))</f>
        <v/>
      </c>
      <c r="F178" s="25" t="str">
        <f>IF(OR($B178="",_自动清单!$U$7=""),"",SUMIFS(周转筐出入库明细!$K$4:$K$2004,周转筐出入库明细!$C$4:$C$2004,$B178,周转筐出入库明细!$D$4:$D$2004,_自动清单!$U$7,周转筐出入库明细!$B$4:$B$2004,"&gt;="&amp;$P$1,周转筐出入库明细!$B$4:$B$2004,"&lt;="&amp;$P$2))</f>
        <v/>
      </c>
      <c r="G178" s="25" t="str">
        <f>IF($B178="","",SUMIFS(周转筐出入库明细!$K$4:$K$2004,周转筐出入库明细!$C$4:$C$2004,$B178,周转筐出入库明细!$B$4:$B$2004,"&gt;="&amp;$P$1,周转筐出入库明细!$B$4:$B$2004,"&lt;="&amp;$P$2)-SUM($C178:$F178))</f>
        <v/>
      </c>
      <c r="H178" s="25" t="str">
        <f t="shared" si="7"/>
        <v/>
      </c>
      <c r="I178" s="26" t="str">
        <f>IF($B178="","",ROUND(SUMIFS(周转筐出入库明细!$P$4:$P$2004,周转筐出入库明细!$C$4:$C$2004,$B178,周转筐出入库明细!$F$4:$F$2004,"销售出库",周转筐出入库明细!$B$4:$B$2004,"&gt;="&amp;$P$1,周转筐出入库明细!$B$4:$B$2004,"&lt;="&amp;$P$2),2))</f>
        <v/>
      </c>
      <c r="J178" s="26" t="str">
        <f>IF($B178="","",ROUND(SUMIFS(周转筐出入库明细!$P$4:$P$2004,周转筐出入库明细!$C$4:$C$2004,$B178,周转筐出入库明细!$F$4:$F$2004,"销售出库",周转筐出入库明细!$Q$4:$Q$2004,"已收讫",周转筐出入库明细!$B$4:$B$2004,"&gt;="&amp;$P$1,周转筐出入库明细!$B$4:$B$2004,"&lt;="&amp;$P$2),2))</f>
        <v/>
      </c>
      <c r="K178" s="26" t="str">
        <f t="shared" si="8"/>
        <v/>
      </c>
      <c r="L178" s="41"/>
    </row>
    <row r="179" spans="1:12">
      <c r="A179" s="24" t="str">
        <f t="shared" si="6"/>
        <v/>
      </c>
      <c r="B179" s="24" t="str">
        <f>IFERROR(INDEX(_自动清单!$AA$4:$AA$203,ROW()-3),"")</f>
        <v/>
      </c>
      <c r="C179" s="25" t="str">
        <f>IF(OR($B179="",_自动清单!$U$4=""),"",SUMIFS(周转筐出入库明细!$K$4:$K$2004,周转筐出入库明细!$C$4:$C$2004,$B179,周转筐出入库明细!$D$4:$D$2004,_自动清单!$U$4,周转筐出入库明细!$B$4:$B$2004,"&gt;="&amp;$P$1,周转筐出入库明细!$B$4:$B$2004,"&lt;="&amp;$P$2))</f>
        <v/>
      </c>
      <c r="D179" s="25" t="str">
        <f>IF(OR($B179="",_自动清单!$U$5=""),"",SUMIFS(周转筐出入库明细!$K$4:$K$2004,周转筐出入库明细!$C$4:$C$2004,$B179,周转筐出入库明细!$D$4:$D$2004,_自动清单!$U$5,周转筐出入库明细!$B$4:$B$2004,"&gt;="&amp;$P$1,周转筐出入库明细!$B$4:$B$2004,"&lt;="&amp;$P$2))</f>
        <v/>
      </c>
      <c r="E179" s="25" t="str">
        <f>IF(OR($B179="",_自动清单!$U$6=""),"",SUMIFS(周转筐出入库明细!$K$4:$K$2004,周转筐出入库明细!$C$4:$C$2004,$B179,周转筐出入库明细!$D$4:$D$2004,_自动清单!$U$6,周转筐出入库明细!$B$4:$B$2004,"&gt;="&amp;$P$1,周转筐出入库明细!$B$4:$B$2004,"&lt;="&amp;$P$2))</f>
        <v/>
      </c>
      <c r="F179" s="25" t="str">
        <f>IF(OR($B179="",_自动清单!$U$7=""),"",SUMIFS(周转筐出入库明细!$K$4:$K$2004,周转筐出入库明细!$C$4:$C$2004,$B179,周转筐出入库明细!$D$4:$D$2004,_自动清单!$U$7,周转筐出入库明细!$B$4:$B$2004,"&gt;="&amp;$P$1,周转筐出入库明细!$B$4:$B$2004,"&lt;="&amp;$P$2))</f>
        <v/>
      </c>
      <c r="G179" s="25" t="str">
        <f>IF($B179="","",SUMIFS(周转筐出入库明细!$K$4:$K$2004,周转筐出入库明细!$C$4:$C$2004,$B179,周转筐出入库明细!$B$4:$B$2004,"&gt;="&amp;$P$1,周转筐出入库明细!$B$4:$B$2004,"&lt;="&amp;$P$2)-SUM($C179:$F179))</f>
        <v/>
      </c>
      <c r="H179" s="25" t="str">
        <f t="shared" si="7"/>
        <v/>
      </c>
      <c r="I179" s="26" t="str">
        <f>IF($B179="","",ROUND(SUMIFS(周转筐出入库明细!$P$4:$P$2004,周转筐出入库明细!$C$4:$C$2004,$B179,周转筐出入库明细!$F$4:$F$2004,"销售出库",周转筐出入库明细!$B$4:$B$2004,"&gt;="&amp;$P$1,周转筐出入库明细!$B$4:$B$2004,"&lt;="&amp;$P$2),2))</f>
        <v/>
      </c>
      <c r="J179" s="26" t="str">
        <f>IF($B179="","",ROUND(SUMIFS(周转筐出入库明细!$P$4:$P$2004,周转筐出入库明细!$C$4:$C$2004,$B179,周转筐出入库明细!$F$4:$F$2004,"销售出库",周转筐出入库明细!$Q$4:$Q$2004,"已收讫",周转筐出入库明细!$B$4:$B$2004,"&gt;="&amp;$P$1,周转筐出入库明细!$B$4:$B$2004,"&lt;="&amp;$P$2),2))</f>
        <v/>
      </c>
      <c r="K179" s="26" t="str">
        <f t="shared" si="8"/>
        <v/>
      </c>
      <c r="L179" s="41"/>
    </row>
    <row r="180" spans="1:12">
      <c r="A180" s="24" t="str">
        <f t="shared" si="6"/>
        <v/>
      </c>
      <c r="B180" s="24" t="str">
        <f>IFERROR(INDEX(_自动清单!$AA$4:$AA$203,ROW()-3),"")</f>
        <v/>
      </c>
      <c r="C180" s="25" t="str">
        <f>IF(OR($B180="",_自动清单!$U$4=""),"",SUMIFS(周转筐出入库明细!$K$4:$K$2004,周转筐出入库明细!$C$4:$C$2004,$B180,周转筐出入库明细!$D$4:$D$2004,_自动清单!$U$4,周转筐出入库明细!$B$4:$B$2004,"&gt;="&amp;$P$1,周转筐出入库明细!$B$4:$B$2004,"&lt;="&amp;$P$2))</f>
        <v/>
      </c>
      <c r="D180" s="25" t="str">
        <f>IF(OR($B180="",_自动清单!$U$5=""),"",SUMIFS(周转筐出入库明细!$K$4:$K$2004,周转筐出入库明细!$C$4:$C$2004,$B180,周转筐出入库明细!$D$4:$D$2004,_自动清单!$U$5,周转筐出入库明细!$B$4:$B$2004,"&gt;="&amp;$P$1,周转筐出入库明细!$B$4:$B$2004,"&lt;="&amp;$P$2))</f>
        <v/>
      </c>
      <c r="E180" s="25" t="str">
        <f>IF(OR($B180="",_自动清单!$U$6=""),"",SUMIFS(周转筐出入库明细!$K$4:$K$2004,周转筐出入库明细!$C$4:$C$2004,$B180,周转筐出入库明细!$D$4:$D$2004,_自动清单!$U$6,周转筐出入库明细!$B$4:$B$2004,"&gt;="&amp;$P$1,周转筐出入库明细!$B$4:$B$2004,"&lt;="&amp;$P$2))</f>
        <v/>
      </c>
      <c r="F180" s="25" t="str">
        <f>IF(OR($B180="",_自动清单!$U$7=""),"",SUMIFS(周转筐出入库明细!$K$4:$K$2004,周转筐出入库明细!$C$4:$C$2004,$B180,周转筐出入库明细!$D$4:$D$2004,_自动清单!$U$7,周转筐出入库明细!$B$4:$B$2004,"&gt;="&amp;$P$1,周转筐出入库明细!$B$4:$B$2004,"&lt;="&amp;$P$2))</f>
        <v/>
      </c>
      <c r="G180" s="25" t="str">
        <f>IF($B180="","",SUMIFS(周转筐出入库明细!$K$4:$K$2004,周转筐出入库明细!$C$4:$C$2004,$B180,周转筐出入库明细!$B$4:$B$2004,"&gt;="&amp;$P$1,周转筐出入库明细!$B$4:$B$2004,"&lt;="&amp;$P$2)-SUM($C180:$F180))</f>
        <v/>
      </c>
      <c r="H180" s="25" t="str">
        <f t="shared" si="7"/>
        <v/>
      </c>
      <c r="I180" s="26" t="str">
        <f>IF($B180="","",ROUND(SUMIFS(周转筐出入库明细!$P$4:$P$2004,周转筐出入库明细!$C$4:$C$2004,$B180,周转筐出入库明细!$F$4:$F$2004,"销售出库",周转筐出入库明细!$B$4:$B$2004,"&gt;="&amp;$P$1,周转筐出入库明细!$B$4:$B$2004,"&lt;="&amp;$P$2),2))</f>
        <v/>
      </c>
      <c r="J180" s="26" t="str">
        <f>IF($B180="","",ROUND(SUMIFS(周转筐出入库明细!$P$4:$P$2004,周转筐出入库明细!$C$4:$C$2004,$B180,周转筐出入库明细!$F$4:$F$2004,"销售出库",周转筐出入库明细!$Q$4:$Q$2004,"已收讫",周转筐出入库明细!$B$4:$B$2004,"&gt;="&amp;$P$1,周转筐出入库明细!$B$4:$B$2004,"&lt;="&amp;$P$2),2))</f>
        <v/>
      </c>
      <c r="K180" s="26" t="str">
        <f t="shared" si="8"/>
        <v/>
      </c>
      <c r="L180" s="41"/>
    </row>
    <row r="181" spans="1:12">
      <c r="A181" s="24" t="str">
        <f t="shared" si="6"/>
        <v/>
      </c>
      <c r="B181" s="24" t="str">
        <f>IFERROR(INDEX(_自动清单!$AA$4:$AA$203,ROW()-3),"")</f>
        <v/>
      </c>
      <c r="C181" s="25" t="str">
        <f>IF(OR($B181="",_自动清单!$U$4=""),"",SUMIFS(周转筐出入库明细!$K$4:$K$2004,周转筐出入库明细!$C$4:$C$2004,$B181,周转筐出入库明细!$D$4:$D$2004,_自动清单!$U$4,周转筐出入库明细!$B$4:$B$2004,"&gt;="&amp;$P$1,周转筐出入库明细!$B$4:$B$2004,"&lt;="&amp;$P$2))</f>
        <v/>
      </c>
      <c r="D181" s="25" t="str">
        <f>IF(OR($B181="",_自动清单!$U$5=""),"",SUMIFS(周转筐出入库明细!$K$4:$K$2004,周转筐出入库明细!$C$4:$C$2004,$B181,周转筐出入库明细!$D$4:$D$2004,_自动清单!$U$5,周转筐出入库明细!$B$4:$B$2004,"&gt;="&amp;$P$1,周转筐出入库明细!$B$4:$B$2004,"&lt;="&amp;$P$2))</f>
        <v/>
      </c>
      <c r="E181" s="25" t="str">
        <f>IF(OR($B181="",_自动清单!$U$6=""),"",SUMIFS(周转筐出入库明细!$K$4:$K$2004,周转筐出入库明细!$C$4:$C$2004,$B181,周转筐出入库明细!$D$4:$D$2004,_自动清单!$U$6,周转筐出入库明细!$B$4:$B$2004,"&gt;="&amp;$P$1,周转筐出入库明细!$B$4:$B$2004,"&lt;="&amp;$P$2))</f>
        <v/>
      </c>
      <c r="F181" s="25" t="str">
        <f>IF(OR($B181="",_自动清单!$U$7=""),"",SUMIFS(周转筐出入库明细!$K$4:$K$2004,周转筐出入库明细!$C$4:$C$2004,$B181,周转筐出入库明细!$D$4:$D$2004,_自动清单!$U$7,周转筐出入库明细!$B$4:$B$2004,"&gt;="&amp;$P$1,周转筐出入库明细!$B$4:$B$2004,"&lt;="&amp;$P$2))</f>
        <v/>
      </c>
      <c r="G181" s="25" t="str">
        <f>IF($B181="","",SUMIFS(周转筐出入库明细!$K$4:$K$2004,周转筐出入库明细!$C$4:$C$2004,$B181,周转筐出入库明细!$B$4:$B$2004,"&gt;="&amp;$P$1,周转筐出入库明细!$B$4:$B$2004,"&lt;="&amp;$P$2)-SUM($C181:$F181))</f>
        <v/>
      </c>
      <c r="H181" s="25" t="str">
        <f t="shared" si="7"/>
        <v/>
      </c>
      <c r="I181" s="26" t="str">
        <f>IF($B181="","",ROUND(SUMIFS(周转筐出入库明细!$P$4:$P$2004,周转筐出入库明细!$C$4:$C$2004,$B181,周转筐出入库明细!$F$4:$F$2004,"销售出库",周转筐出入库明细!$B$4:$B$2004,"&gt;="&amp;$P$1,周转筐出入库明细!$B$4:$B$2004,"&lt;="&amp;$P$2),2))</f>
        <v/>
      </c>
      <c r="J181" s="26" t="str">
        <f>IF($B181="","",ROUND(SUMIFS(周转筐出入库明细!$P$4:$P$2004,周转筐出入库明细!$C$4:$C$2004,$B181,周转筐出入库明细!$F$4:$F$2004,"销售出库",周转筐出入库明细!$Q$4:$Q$2004,"已收讫",周转筐出入库明细!$B$4:$B$2004,"&gt;="&amp;$P$1,周转筐出入库明细!$B$4:$B$2004,"&lt;="&amp;$P$2),2))</f>
        <v/>
      </c>
      <c r="K181" s="26" t="str">
        <f t="shared" si="8"/>
        <v/>
      </c>
      <c r="L181" s="41"/>
    </row>
    <row r="182" spans="1:12">
      <c r="A182" s="24" t="str">
        <f t="shared" si="6"/>
        <v/>
      </c>
      <c r="B182" s="24" t="str">
        <f>IFERROR(INDEX(_自动清单!$AA$4:$AA$203,ROW()-3),"")</f>
        <v/>
      </c>
      <c r="C182" s="25" t="str">
        <f>IF(OR($B182="",_自动清单!$U$4=""),"",SUMIFS(周转筐出入库明细!$K$4:$K$2004,周转筐出入库明细!$C$4:$C$2004,$B182,周转筐出入库明细!$D$4:$D$2004,_自动清单!$U$4,周转筐出入库明细!$B$4:$B$2004,"&gt;="&amp;$P$1,周转筐出入库明细!$B$4:$B$2004,"&lt;="&amp;$P$2))</f>
        <v/>
      </c>
      <c r="D182" s="25" t="str">
        <f>IF(OR($B182="",_自动清单!$U$5=""),"",SUMIFS(周转筐出入库明细!$K$4:$K$2004,周转筐出入库明细!$C$4:$C$2004,$B182,周转筐出入库明细!$D$4:$D$2004,_自动清单!$U$5,周转筐出入库明细!$B$4:$B$2004,"&gt;="&amp;$P$1,周转筐出入库明细!$B$4:$B$2004,"&lt;="&amp;$P$2))</f>
        <v/>
      </c>
      <c r="E182" s="25" t="str">
        <f>IF(OR($B182="",_自动清单!$U$6=""),"",SUMIFS(周转筐出入库明细!$K$4:$K$2004,周转筐出入库明细!$C$4:$C$2004,$B182,周转筐出入库明细!$D$4:$D$2004,_自动清单!$U$6,周转筐出入库明细!$B$4:$B$2004,"&gt;="&amp;$P$1,周转筐出入库明细!$B$4:$B$2004,"&lt;="&amp;$P$2))</f>
        <v/>
      </c>
      <c r="F182" s="25" t="str">
        <f>IF(OR($B182="",_自动清单!$U$7=""),"",SUMIFS(周转筐出入库明细!$K$4:$K$2004,周转筐出入库明细!$C$4:$C$2004,$B182,周转筐出入库明细!$D$4:$D$2004,_自动清单!$U$7,周转筐出入库明细!$B$4:$B$2004,"&gt;="&amp;$P$1,周转筐出入库明细!$B$4:$B$2004,"&lt;="&amp;$P$2))</f>
        <v/>
      </c>
      <c r="G182" s="25" t="str">
        <f>IF($B182="","",SUMIFS(周转筐出入库明细!$K$4:$K$2004,周转筐出入库明细!$C$4:$C$2004,$B182,周转筐出入库明细!$B$4:$B$2004,"&gt;="&amp;$P$1,周转筐出入库明细!$B$4:$B$2004,"&lt;="&amp;$P$2)-SUM($C182:$F182))</f>
        <v/>
      </c>
      <c r="H182" s="25" t="str">
        <f t="shared" si="7"/>
        <v/>
      </c>
      <c r="I182" s="26" t="str">
        <f>IF($B182="","",ROUND(SUMIFS(周转筐出入库明细!$P$4:$P$2004,周转筐出入库明细!$C$4:$C$2004,$B182,周转筐出入库明细!$F$4:$F$2004,"销售出库",周转筐出入库明细!$B$4:$B$2004,"&gt;="&amp;$P$1,周转筐出入库明细!$B$4:$B$2004,"&lt;="&amp;$P$2),2))</f>
        <v/>
      </c>
      <c r="J182" s="26" t="str">
        <f>IF($B182="","",ROUND(SUMIFS(周转筐出入库明细!$P$4:$P$2004,周转筐出入库明细!$C$4:$C$2004,$B182,周转筐出入库明细!$F$4:$F$2004,"销售出库",周转筐出入库明细!$Q$4:$Q$2004,"已收讫",周转筐出入库明细!$B$4:$B$2004,"&gt;="&amp;$P$1,周转筐出入库明细!$B$4:$B$2004,"&lt;="&amp;$P$2),2))</f>
        <v/>
      </c>
      <c r="K182" s="26" t="str">
        <f t="shared" si="8"/>
        <v/>
      </c>
      <c r="L182" s="41"/>
    </row>
    <row r="183" spans="1:12">
      <c r="A183" s="24" t="str">
        <f t="shared" si="6"/>
        <v/>
      </c>
      <c r="B183" s="24" t="str">
        <f>IFERROR(INDEX(_自动清单!$AA$4:$AA$203,ROW()-3),"")</f>
        <v/>
      </c>
      <c r="C183" s="25" t="str">
        <f>IF(OR($B183="",_自动清单!$U$4=""),"",SUMIFS(周转筐出入库明细!$K$4:$K$2004,周转筐出入库明细!$C$4:$C$2004,$B183,周转筐出入库明细!$D$4:$D$2004,_自动清单!$U$4,周转筐出入库明细!$B$4:$B$2004,"&gt;="&amp;$P$1,周转筐出入库明细!$B$4:$B$2004,"&lt;="&amp;$P$2))</f>
        <v/>
      </c>
      <c r="D183" s="25" t="str">
        <f>IF(OR($B183="",_自动清单!$U$5=""),"",SUMIFS(周转筐出入库明细!$K$4:$K$2004,周转筐出入库明细!$C$4:$C$2004,$B183,周转筐出入库明细!$D$4:$D$2004,_自动清单!$U$5,周转筐出入库明细!$B$4:$B$2004,"&gt;="&amp;$P$1,周转筐出入库明细!$B$4:$B$2004,"&lt;="&amp;$P$2))</f>
        <v/>
      </c>
      <c r="E183" s="25" t="str">
        <f>IF(OR($B183="",_自动清单!$U$6=""),"",SUMIFS(周转筐出入库明细!$K$4:$K$2004,周转筐出入库明细!$C$4:$C$2004,$B183,周转筐出入库明细!$D$4:$D$2004,_自动清单!$U$6,周转筐出入库明细!$B$4:$B$2004,"&gt;="&amp;$P$1,周转筐出入库明细!$B$4:$B$2004,"&lt;="&amp;$P$2))</f>
        <v/>
      </c>
      <c r="F183" s="25" t="str">
        <f>IF(OR($B183="",_自动清单!$U$7=""),"",SUMIFS(周转筐出入库明细!$K$4:$K$2004,周转筐出入库明细!$C$4:$C$2004,$B183,周转筐出入库明细!$D$4:$D$2004,_自动清单!$U$7,周转筐出入库明细!$B$4:$B$2004,"&gt;="&amp;$P$1,周转筐出入库明细!$B$4:$B$2004,"&lt;="&amp;$P$2))</f>
        <v/>
      </c>
      <c r="G183" s="25" t="str">
        <f>IF($B183="","",SUMIFS(周转筐出入库明细!$K$4:$K$2004,周转筐出入库明细!$C$4:$C$2004,$B183,周转筐出入库明细!$B$4:$B$2004,"&gt;="&amp;$P$1,周转筐出入库明细!$B$4:$B$2004,"&lt;="&amp;$P$2)-SUM($C183:$F183))</f>
        <v/>
      </c>
      <c r="H183" s="25" t="str">
        <f t="shared" si="7"/>
        <v/>
      </c>
      <c r="I183" s="26" t="str">
        <f>IF($B183="","",ROUND(SUMIFS(周转筐出入库明细!$P$4:$P$2004,周转筐出入库明细!$C$4:$C$2004,$B183,周转筐出入库明细!$F$4:$F$2004,"销售出库",周转筐出入库明细!$B$4:$B$2004,"&gt;="&amp;$P$1,周转筐出入库明细!$B$4:$B$2004,"&lt;="&amp;$P$2),2))</f>
        <v/>
      </c>
      <c r="J183" s="26" t="str">
        <f>IF($B183="","",ROUND(SUMIFS(周转筐出入库明细!$P$4:$P$2004,周转筐出入库明细!$C$4:$C$2004,$B183,周转筐出入库明细!$F$4:$F$2004,"销售出库",周转筐出入库明细!$Q$4:$Q$2004,"已收讫",周转筐出入库明细!$B$4:$B$2004,"&gt;="&amp;$P$1,周转筐出入库明细!$B$4:$B$2004,"&lt;="&amp;$P$2),2))</f>
        <v/>
      </c>
      <c r="K183" s="26" t="str">
        <f t="shared" si="8"/>
        <v/>
      </c>
      <c r="L183" s="41"/>
    </row>
    <row r="184" spans="1:12">
      <c r="A184" s="24" t="str">
        <f t="shared" si="6"/>
        <v/>
      </c>
      <c r="B184" s="24" t="str">
        <f>IFERROR(INDEX(_自动清单!$AA$4:$AA$203,ROW()-3),"")</f>
        <v/>
      </c>
      <c r="C184" s="25" t="str">
        <f>IF(OR($B184="",_自动清单!$U$4=""),"",SUMIFS(周转筐出入库明细!$K$4:$K$2004,周转筐出入库明细!$C$4:$C$2004,$B184,周转筐出入库明细!$D$4:$D$2004,_自动清单!$U$4,周转筐出入库明细!$B$4:$B$2004,"&gt;="&amp;$P$1,周转筐出入库明细!$B$4:$B$2004,"&lt;="&amp;$P$2))</f>
        <v/>
      </c>
      <c r="D184" s="25" t="str">
        <f>IF(OR($B184="",_自动清单!$U$5=""),"",SUMIFS(周转筐出入库明细!$K$4:$K$2004,周转筐出入库明细!$C$4:$C$2004,$B184,周转筐出入库明细!$D$4:$D$2004,_自动清单!$U$5,周转筐出入库明细!$B$4:$B$2004,"&gt;="&amp;$P$1,周转筐出入库明细!$B$4:$B$2004,"&lt;="&amp;$P$2))</f>
        <v/>
      </c>
      <c r="E184" s="25" t="str">
        <f>IF(OR($B184="",_自动清单!$U$6=""),"",SUMIFS(周转筐出入库明细!$K$4:$K$2004,周转筐出入库明细!$C$4:$C$2004,$B184,周转筐出入库明细!$D$4:$D$2004,_自动清单!$U$6,周转筐出入库明细!$B$4:$B$2004,"&gt;="&amp;$P$1,周转筐出入库明细!$B$4:$B$2004,"&lt;="&amp;$P$2))</f>
        <v/>
      </c>
      <c r="F184" s="25" t="str">
        <f>IF(OR($B184="",_自动清单!$U$7=""),"",SUMIFS(周转筐出入库明细!$K$4:$K$2004,周转筐出入库明细!$C$4:$C$2004,$B184,周转筐出入库明细!$D$4:$D$2004,_自动清单!$U$7,周转筐出入库明细!$B$4:$B$2004,"&gt;="&amp;$P$1,周转筐出入库明细!$B$4:$B$2004,"&lt;="&amp;$P$2))</f>
        <v/>
      </c>
      <c r="G184" s="25" t="str">
        <f>IF($B184="","",SUMIFS(周转筐出入库明细!$K$4:$K$2004,周转筐出入库明细!$C$4:$C$2004,$B184,周转筐出入库明细!$B$4:$B$2004,"&gt;="&amp;$P$1,周转筐出入库明细!$B$4:$B$2004,"&lt;="&amp;$P$2)-SUM($C184:$F184))</f>
        <v/>
      </c>
      <c r="H184" s="25" t="str">
        <f t="shared" si="7"/>
        <v/>
      </c>
      <c r="I184" s="26" t="str">
        <f>IF($B184="","",ROUND(SUMIFS(周转筐出入库明细!$P$4:$P$2004,周转筐出入库明细!$C$4:$C$2004,$B184,周转筐出入库明细!$F$4:$F$2004,"销售出库",周转筐出入库明细!$B$4:$B$2004,"&gt;="&amp;$P$1,周转筐出入库明细!$B$4:$B$2004,"&lt;="&amp;$P$2),2))</f>
        <v/>
      </c>
      <c r="J184" s="26" t="str">
        <f>IF($B184="","",ROUND(SUMIFS(周转筐出入库明细!$P$4:$P$2004,周转筐出入库明细!$C$4:$C$2004,$B184,周转筐出入库明细!$F$4:$F$2004,"销售出库",周转筐出入库明细!$Q$4:$Q$2004,"已收讫",周转筐出入库明细!$B$4:$B$2004,"&gt;="&amp;$P$1,周转筐出入库明细!$B$4:$B$2004,"&lt;="&amp;$P$2),2))</f>
        <v/>
      </c>
      <c r="K184" s="26" t="str">
        <f t="shared" si="8"/>
        <v/>
      </c>
      <c r="L184" s="41"/>
    </row>
    <row r="185" spans="1:12">
      <c r="A185" s="24" t="str">
        <f t="shared" si="6"/>
        <v/>
      </c>
      <c r="B185" s="24" t="str">
        <f>IFERROR(INDEX(_自动清单!$AA$4:$AA$203,ROW()-3),"")</f>
        <v/>
      </c>
      <c r="C185" s="25" t="str">
        <f>IF(OR($B185="",_自动清单!$U$4=""),"",SUMIFS(周转筐出入库明细!$K$4:$K$2004,周转筐出入库明细!$C$4:$C$2004,$B185,周转筐出入库明细!$D$4:$D$2004,_自动清单!$U$4,周转筐出入库明细!$B$4:$B$2004,"&gt;="&amp;$P$1,周转筐出入库明细!$B$4:$B$2004,"&lt;="&amp;$P$2))</f>
        <v/>
      </c>
      <c r="D185" s="25" t="str">
        <f>IF(OR($B185="",_自动清单!$U$5=""),"",SUMIFS(周转筐出入库明细!$K$4:$K$2004,周转筐出入库明细!$C$4:$C$2004,$B185,周转筐出入库明细!$D$4:$D$2004,_自动清单!$U$5,周转筐出入库明细!$B$4:$B$2004,"&gt;="&amp;$P$1,周转筐出入库明细!$B$4:$B$2004,"&lt;="&amp;$P$2))</f>
        <v/>
      </c>
      <c r="E185" s="25" t="str">
        <f>IF(OR($B185="",_自动清单!$U$6=""),"",SUMIFS(周转筐出入库明细!$K$4:$K$2004,周转筐出入库明细!$C$4:$C$2004,$B185,周转筐出入库明细!$D$4:$D$2004,_自动清单!$U$6,周转筐出入库明细!$B$4:$B$2004,"&gt;="&amp;$P$1,周转筐出入库明细!$B$4:$B$2004,"&lt;="&amp;$P$2))</f>
        <v/>
      </c>
      <c r="F185" s="25" t="str">
        <f>IF(OR($B185="",_自动清单!$U$7=""),"",SUMIFS(周转筐出入库明细!$K$4:$K$2004,周转筐出入库明细!$C$4:$C$2004,$B185,周转筐出入库明细!$D$4:$D$2004,_自动清单!$U$7,周转筐出入库明细!$B$4:$B$2004,"&gt;="&amp;$P$1,周转筐出入库明细!$B$4:$B$2004,"&lt;="&amp;$P$2))</f>
        <v/>
      </c>
      <c r="G185" s="25" t="str">
        <f>IF($B185="","",SUMIFS(周转筐出入库明细!$K$4:$K$2004,周转筐出入库明细!$C$4:$C$2004,$B185,周转筐出入库明细!$B$4:$B$2004,"&gt;="&amp;$P$1,周转筐出入库明细!$B$4:$B$2004,"&lt;="&amp;$P$2)-SUM($C185:$F185))</f>
        <v/>
      </c>
      <c r="H185" s="25" t="str">
        <f t="shared" si="7"/>
        <v/>
      </c>
      <c r="I185" s="26" t="str">
        <f>IF($B185="","",ROUND(SUMIFS(周转筐出入库明细!$P$4:$P$2004,周转筐出入库明细!$C$4:$C$2004,$B185,周转筐出入库明细!$F$4:$F$2004,"销售出库",周转筐出入库明细!$B$4:$B$2004,"&gt;="&amp;$P$1,周转筐出入库明细!$B$4:$B$2004,"&lt;="&amp;$P$2),2))</f>
        <v/>
      </c>
      <c r="J185" s="26" t="str">
        <f>IF($B185="","",ROUND(SUMIFS(周转筐出入库明细!$P$4:$P$2004,周转筐出入库明细!$C$4:$C$2004,$B185,周转筐出入库明细!$F$4:$F$2004,"销售出库",周转筐出入库明细!$Q$4:$Q$2004,"已收讫",周转筐出入库明细!$B$4:$B$2004,"&gt;="&amp;$P$1,周转筐出入库明细!$B$4:$B$2004,"&lt;="&amp;$P$2),2))</f>
        <v/>
      </c>
      <c r="K185" s="26" t="str">
        <f t="shared" si="8"/>
        <v/>
      </c>
      <c r="L185" s="41"/>
    </row>
    <row r="186" spans="1:12">
      <c r="A186" s="24" t="str">
        <f t="shared" si="6"/>
        <v/>
      </c>
      <c r="B186" s="24" t="str">
        <f>IFERROR(INDEX(_自动清单!$AA$4:$AA$203,ROW()-3),"")</f>
        <v/>
      </c>
      <c r="C186" s="25" t="str">
        <f>IF(OR($B186="",_自动清单!$U$4=""),"",SUMIFS(周转筐出入库明细!$K$4:$K$2004,周转筐出入库明细!$C$4:$C$2004,$B186,周转筐出入库明细!$D$4:$D$2004,_自动清单!$U$4,周转筐出入库明细!$B$4:$B$2004,"&gt;="&amp;$P$1,周转筐出入库明细!$B$4:$B$2004,"&lt;="&amp;$P$2))</f>
        <v/>
      </c>
      <c r="D186" s="25" t="str">
        <f>IF(OR($B186="",_自动清单!$U$5=""),"",SUMIFS(周转筐出入库明细!$K$4:$K$2004,周转筐出入库明细!$C$4:$C$2004,$B186,周转筐出入库明细!$D$4:$D$2004,_自动清单!$U$5,周转筐出入库明细!$B$4:$B$2004,"&gt;="&amp;$P$1,周转筐出入库明细!$B$4:$B$2004,"&lt;="&amp;$P$2))</f>
        <v/>
      </c>
      <c r="E186" s="25" t="str">
        <f>IF(OR($B186="",_自动清单!$U$6=""),"",SUMIFS(周转筐出入库明细!$K$4:$K$2004,周转筐出入库明细!$C$4:$C$2004,$B186,周转筐出入库明细!$D$4:$D$2004,_自动清单!$U$6,周转筐出入库明细!$B$4:$B$2004,"&gt;="&amp;$P$1,周转筐出入库明细!$B$4:$B$2004,"&lt;="&amp;$P$2))</f>
        <v/>
      </c>
      <c r="F186" s="25" t="str">
        <f>IF(OR($B186="",_自动清单!$U$7=""),"",SUMIFS(周转筐出入库明细!$K$4:$K$2004,周转筐出入库明细!$C$4:$C$2004,$B186,周转筐出入库明细!$D$4:$D$2004,_自动清单!$U$7,周转筐出入库明细!$B$4:$B$2004,"&gt;="&amp;$P$1,周转筐出入库明细!$B$4:$B$2004,"&lt;="&amp;$P$2))</f>
        <v/>
      </c>
      <c r="G186" s="25" t="str">
        <f>IF($B186="","",SUMIFS(周转筐出入库明细!$K$4:$K$2004,周转筐出入库明细!$C$4:$C$2004,$B186,周转筐出入库明细!$B$4:$B$2004,"&gt;="&amp;$P$1,周转筐出入库明细!$B$4:$B$2004,"&lt;="&amp;$P$2)-SUM($C186:$F186))</f>
        <v/>
      </c>
      <c r="H186" s="25" t="str">
        <f t="shared" si="7"/>
        <v/>
      </c>
      <c r="I186" s="26" t="str">
        <f>IF($B186="","",ROUND(SUMIFS(周转筐出入库明细!$P$4:$P$2004,周转筐出入库明细!$C$4:$C$2004,$B186,周转筐出入库明细!$F$4:$F$2004,"销售出库",周转筐出入库明细!$B$4:$B$2004,"&gt;="&amp;$P$1,周转筐出入库明细!$B$4:$B$2004,"&lt;="&amp;$P$2),2))</f>
        <v/>
      </c>
      <c r="J186" s="26" t="str">
        <f>IF($B186="","",ROUND(SUMIFS(周转筐出入库明细!$P$4:$P$2004,周转筐出入库明细!$C$4:$C$2004,$B186,周转筐出入库明细!$F$4:$F$2004,"销售出库",周转筐出入库明细!$Q$4:$Q$2004,"已收讫",周转筐出入库明细!$B$4:$B$2004,"&gt;="&amp;$P$1,周转筐出入库明细!$B$4:$B$2004,"&lt;="&amp;$P$2),2))</f>
        <v/>
      </c>
      <c r="K186" s="26" t="str">
        <f t="shared" si="8"/>
        <v/>
      </c>
      <c r="L186" s="41"/>
    </row>
    <row r="187" spans="1:12">
      <c r="A187" s="24" t="str">
        <f t="shared" si="6"/>
        <v/>
      </c>
      <c r="B187" s="24" t="str">
        <f>IFERROR(INDEX(_自动清单!$AA$4:$AA$203,ROW()-3),"")</f>
        <v/>
      </c>
      <c r="C187" s="25" t="str">
        <f>IF(OR($B187="",_自动清单!$U$4=""),"",SUMIFS(周转筐出入库明细!$K$4:$K$2004,周转筐出入库明细!$C$4:$C$2004,$B187,周转筐出入库明细!$D$4:$D$2004,_自动清单!$U$4,周转筐出入库明细!$B$4:$B$2004,"&gt;="&amp;$P$1,周转筐出入库明细!$B$4:$B$2004,"&lt;="&amp;$P$2))</f>
        <v/>
      </c>
      <c r="D187" s="25" t="str">
        <f>IF(OR($B187="",_自动清单!$U$5=""),"",SUMIFS(周转筐出入库明细!$K$4:$K$2004,周转筐出入库明细!$C$4:$C$2004,$B187,周转筐出入库明细!$D$4:$D$2004,_自动清单!$U$5,周转筐出入库明细!$B$4:$B$2004,"&gt;="&amp;$P$1,周转筐出入库明细!$B$4:$B$2004,"&lt;="&amp;$P$2))</f>
        <v/>
      </c>
      <c r="E187" s="25" t="str">
        <f>IF(OR($B187="",_自动清单!$U$6=""),"",SUMIFS(周转筐出入库明细!$K$4:$K$2004,周转筐出入库明细!$C$4:$C$2004,$B187,周转筐出入库明细!$D$4:$D$2004,_自动清单!$U$6,周转筐出入库明细!$B$4:$B$2004,"&gt;="&amp;$P$1,周转筐出入库明细!$B$4:$B$2004,"&lt;="&amp;$P$2))</f>
        <v/>
      </c>
      <c r="F187" s="25" t="str">
        <f>IF(OR($B187="",_自动清单!$U$7=""),"",SUMIFS(周转筐出入库明细!$K$4:$K$2004,周转筐出入库明细!$C$4:$C$2004,$B187,周转筐出入库明细!$D$4:$D$2004,_自动清单!$U$7,周转筐出入库明细!$B$4:$B$2004,"&gt;="&amp;$P$1,周转筐出入库明细!$B$4:$B$2004,"&lt;="&amp;$P$2))</f>
        <v/>
      </c>
      <c r="G187" s="25" t="str">
        <f>IF($B187="","",SUMIFS(周转筐出入库明细!$K$4:$K$2004,周转筐出入库明细!$C$4:$C$2004,$B187,周转筐出入库明细!$B$4:$B$2004,"&gt;="&amp;$P$1,周转筐出入库明细!$B$4:$B$2004,"&lt;="&amp;$P$2)-SUM($C187:$F187))</f>
        <v/>
      </c>
      <c r="H187" s="25" t="str">
        <f t="shared" si="7"/>
        <v/>
      </c>
      <c r="I187" s="26" t="str">
        <f>IF($B187="","",ROUND(SUMIFS(周转筐出入库明细!$P$4:$P$2004,周转筐出入库明细!$C$4:$C$2004,$B187,周转筐出入库明细!$F$4:$F$2004,"销售出库",周转筐出入库明细!$B$4:$B$2004,"&gt;="&amp;$P$1,周转筐出入库明细!$B$4:$B$2004,"&lt;="&amp;$P$2),2))</f>
        <v/>
      </c>
      <c r="J187" s="26" t="str">
        <f>IF($B187="","",ROUND(SUMIFS(周转筐出入库明细!$P$4:$P$2004,周转筐出入库明细!$C$4:$C$2004,$B187,周转筐出入库明细!$F$4:$F$2004,"销售出库",周转筐出入库明细!$Q$4:$Q$2004,"已收讫",周转筐出入库明细!$B$4:$B$2004,"&gt;="&amp;$P$1,周转筐出入库明细!$B$4:$B$2004,"&lt;="&amp;$P$2),2))</f>
        <v/>
      </c>
      <c r="K187" s="26" t="str">
        <f t="shared" si="8"/>
        <v/>
      </c>
      <c r="L187" s="41"/>
    </row>
    <row r="188" spans="1:12">
      <c r="A188" s="24" t="str">
        <f t="shared" si="6"/>
        <v/>
      </c>
      <c r="B188" s="24" t="str">
        <f>IFERROR(INDEX(_自动清单!$AA$4:$AA$203,ROW()-3),"")</f>
        <v/>
      </c>
      <c r="C188" s="25" t="str">
        <f>IF(OR($B188="",_自动清单!$U$4=""),"",SUMIFS(周转筐出入库明细!$K$4:$K$2004,周转筐出入库明细!$C$4:$C$2004,$B188,周转筐出入库明细!$D$4:$D$2004,_自动清单!$U$4,周转筐出入库明细!$B$4:$B$2004,"&gt;="&amp;$P$1,周转筐出入库明细!$B$4:$B$2004,"&lt;="&amp;$P$2))</f>
        <v/>
      </c>
      <c r="D188" s="25" t="str">
        <f>IF(OR($B188="",_自动清单!$U$5=""),"",SUMIFS(周转筐出入库明细!$K$4:$K$2004,周转筐出入库明细!$C$4:$C$2004,$B188,周转筐出入库明细!$D$4:$D$2004,_自动清单!$U$5,周转筐出入库明细!$B$4:$B$2004,"&gt;="&amp;$P$1,周转筐出入库明细!$B$4:$B$2004,"&lt;="&amp;$P$2))</f>
        <v/>
      </c>
      <c r="E188" s="25" t="str">
        <f>IF(OR($B188="",_自动清单!$U$6=""),"",SUMIFS(周转筐出入库明细!$K$4:$K$2004,周转筐出入库明细!$C$4:$C$2004,$B188,周转筐出入库明细!$D$4:$D$2004,_自动清单!$U$6,周转筐出入库明细!$B$4:$B$2004,"&gt;="&amp;$P$1,周转筐出入库明细!$B$4:$B$2004,"&lt;="&amp;$P$2))</f>
        <v/>
      </c>
      <c r="F188" s="25" t="str">
        <f>IF(OR($B188="",_自动清单!$U$7=""),"",SUMIFS(周转筐出入库明细!$K$4:$K$2004,周转筐出入库明细!$C$4:$C$2004,$B188,周转筐出入库明细!$D$4:$D$2004,_自动清单!$U$7,周转筐出入库明细!$B$4:$B$2004,"&gt;="&amp;$P$1,周转筐出入库明细!$B$4:$B$2004,"&lt;="&amp;$P$2))</f>
        <v/>
      </c>
      <c r="G188" s="25" t="str">
        <f>IF($B188="","",SUMIFS(周转筐出入库明细!$K$4:$K$2004,周转筐出入库明细!$C$4:$C$2004,$B188,周转筐出入库明细!$B$4:$B$2004,"&gt;="&amp;$P$1,周转筐出入库明细!$B$4:$B$2004,"&lt;="&amp;$P$2)-SUM($C188:$F188))</f>
        <v/>
      </c>
      <c r="H188" s="25" t="str">
        <f t="shared" si="7"/>
        <v/>
      </c>
      <c r="I188" s="26" t="str">
        <f>IF($B188="","",ROUND(SUMIFS(周转筐出入库明细!$P$4:$P$2004,周转筐出入库明细!$C$4:$C$2004,$B188,周转筐出入库明细!$F$4:$F$2004,"销售出库",周转筐出入库明细!$B$4:$B$2004,"&gt;="&amp;$P$1,周转筐出入库明细!$B$4:$B$2004,"&lt;="&amp;$P$2),2))</f>
        <v/>
      </c>
      <c r="J188" s="26" t="str">
        <f>IF($B188="","",ROUND(SUMIFS(周转筐出入库明细!$P$4:$P$2004,周转筐出入库明细!$C$4:$C$2004,$B188,周转筐出入库明细!$F$4:$F$2004,"销售出库",周转筐出入库明细!$Q$4:$Q$2004,"已收讫",周转筐出入库明细!$B$4:$B$2004,"&gt;="&amp;$P$1,周转筐出入库明细!$B$4:$B$2004,"&lt;="&amp;$P$2),2))</f>
        <v/>
      </c>
      <c r="K188" s="26" t="str">
        <f t="shared" si="8"/>
        <v/>
      </c>
      <c r="L188" s="41"/>
    </row>
    <row r="189" spans="1:12">
      <c r="A189" s="24" t="str">
        <f t="shared" si="6"/>
        <v/>
      </c>
      <c r="B189" s="24" t="str">
        <f>IFERROR(INDEX(_自动清单!$AA$4:$AA$203,ROW()-3),"")</f>
        <v/>
      </c>
      <c r="C189" s="25" t="str">
        <f>IF(OR($B189="",_自动清单!$U$4=""),"",SUMIFS(周转筐出入库明细!$K$4:$K$2004,周转筐出入库明细!$C$4:$C$2004,$B189,周转筐出入库明细!$D$4:$D$2004,_自动清单!$U$4,周转筐出入库明细!$B$4:$B$2004,"&gt;="&amp;$P$1,周转筐出入库明细!$B$4:$B$2004,"&lt;="&amp;$P$2))</f>
        <v/>
      </c>
      <c r="D189" s="25" t="str">
        <f>IF(OR($B189="",_自动清单!$U$5=""),"",SUMIFS(周转筐出入库明细!$K$4:$K$2004,周转筐出入库明细!$C$4:$C$2004,$B189,周转筐出入库明细!$D$4:$D$2004,_自动清单!$U$5,周转筐出入库明细!$B$4:$B$2004,"&gt;="&amp;$P$1,周转筐出入库明细!$B$4:$B$2004,"&lt;="&amp;$P$2))</f>
        <v/>
      </c>
      <c r="E189" s="25" t="str">
        <f>IF(OR($B189="",_自动清单!$U$6=""),"",SUMIFS(周转筐出入库明细!$K$4:$K$2004,周转筐出入库明细!$C$4:$C$2004,$B189,周转筐出入库明细!$D$4:$D$2004,_自动清单!$U$6,周转筐出入库明细!$B$4:$B$2004,"&gt;="&amp;$P$1,周转筐出入库明细!$B$4:$B$2004,"&lt;="&amp;$P$2))</f>
        <v/>
      </c>
      <c r="F189" s="25" t="str">
        <f>IF(OR($B189="",_自动清单!$U$7=""),"",SUMIFS(周转筐出入库明细!$K$4:$K$2004,周转筐出入库明细!$C$4:$C$2004,$B189,周转筐出入库明细!$D$4:$D$2004,_自动清单!$U$7,周转筐出入库明细!$B$4:$B$2004,"&gt;="&amp;$P$1,周转筐出入库明细!$B$4:$B$2004,"&lt;="&amp;$P$2))</f>
        <v/>
      </c>
      <c r="G189" s="25" t="str">
        <f>IF($B189="","",SUMIFS(周转筐出入库明细!$K$4:$K$2004,周转筐出入库明细!$C$4:$C$2004,$B189,周转筐出入库明细!$B$4:$B$2004,"&gt;="&amp;$P$1,周转筐出入库明细!$B$4:$B$2004,"&lt;="&amp;$P$2)-SUM($C189:$F189))</f>
        <v/>
      </c>
      <c r="H189" s="25" t="str">
        <f t="shared" si="7"/>
        <v/>
      </c>
      <c r="I189" s="26" t="str">
        <f>IF($B189="","",ROUND(SUMIFS(周转筐出入库明细!$P$4:$P$2004,周转筐出入库明细!$C$4:$C$2004,$B189,周转筐出入库明细!$F$4:$F$2004,"销售出库",周转筐出入库明细!$B$4:$B$2004,"&gt;="&amp;$P$1,周转筐出入库明细!$B$4:$B$2004,"&lt;="&amp;$P$2),2))</f>
        <v/>
      </c>
      <c r="J189" s="26" t="str">
        <f>IF($B189="","",ROUND(SUMIFS(周转筐出入库明细!$P$4:$P$2004,周转筐出入库明细!$C$4:$C$2004,$B189,周转筐出入库明细!$F$4:$F$2004,"销售出库",周转筐出入库明细!$Q$4:$Q$2004,"已收讫",周转筐出入库明细!$B$4:$B$2004,"&gt;="&amp;$P$1,周转筐出入库明细!$B$4:$B$2004,"&lt;="&amp;$P$2),2))</f>
        <v/>
      </c>
      <c r="K189" s="26" t="str">
        <f t="shared" si="8"/>
        <v/>
      </c>
      <c r="L189" s="41"/>
    </row>
    <row r="190" spans="1:12">
      <c r="A190" s="24" t="str">
        <f t="shared" si="6"/>
        <v/>
      </c>
      <c r="B190" s="24" t="str">
        <f>IFERROR(INDEX(_自动清单!$AA$4:$AA$203,ROW()-3),"")</f>
        <v/>
      </c>
      <c r="C190" s="25" t="str">
        <f>IF(OR($B190="",_自动清单!$U$4=""),"",SUMIFS(周转筐出入库明细!$K$4:$K$2004,周转筐出入库明细!$C$4:$C$2004,$B190,周转筐出入库明细!$D$4:$D$2004,_自动清单!$U$4,周转筐出入库明细!$B$4:$B$2004,"&gt;="&amp;$P$1,周转筐出入库明细!$B$4:$B$2004,"&lt;="&amp;$P$2))</f>
        <v/>
      </c>
      <c r="D190" s="25" t="str">
        <f>IF(OR($B190="",_自动清单!$U$5=""),"",SUMIFS(周转筐出入库明细!$K$4:$K$2004,周转筐出入库明细!$C$4:$C$2004,$B190,周转筐出入库明细!$D$4:$D$2004,_自动清单!$U$5,周转筐出入库明细!$B$4:$B$2004,"&gt;="&amp;$P$1,周转筐出入库明细!$B$4:$B$2004,"&lt;="&amp;$P$2))</f>
        <v/>
      </c>
      <c r="E190" s="25" t="str">
        <f>IF(OR($B190="",_自动清单!$U$6=""),"",SUMIFS(周转筐出入库明细!$K$4:$K$2004,周转筐出入库明细!$C$4:$C$2004,$B190,周转筐出入库明细!$D$4:$D$2004,_自动清单!$U$6,周转筐出入库明细!$B$4:$B$2004,"&gt;="&amp;$P$1,周转筐出入库明细!$B$4:$B$2004,"&lt;="&amp;$P$2))</f>
        <v/>
      </c>
      <c r="F190" s="25" t="str">
        <f>IF(OR($B190="",_自动清单!$U$7=""),"",SUMIFS(周转筐出入库明细!$K$4:$K$2004,周转筐出入库明细!$C$4:$C$2004,$B190,周转筐出入库明细!$D$4:$D$2004,_自动清单!$U$7,周转筐出入库明细!$B$4:$B$2004,"&gt;="&amp;$P$1,周转筐出入库明细!$B$4:$B$2004,"&lt;="&amp;$P$2))</f>
        <v/>
      </c>
      <c r="G190" s="25" t="str">
        <f>IF($B190="","",SUMIFS(周转筐出入库明细!$K$4:$K$2004,周转筐出入库明细!$C$4:$C$2004,$B190,周转筐出入库明细!$B$4:$B$2004,"&gt;="&amp;$P$1,周转筐出入库明细!$B$4:$B$2004,"&lt;="&amp;$P$2)-SUM($C190:$F190))</f>
        <v/>
      </c>
      <c r="H190" s="25" t="str">
        <f t="shared" si="7"/>
        <v/>
      </c>
      <c r="I190" s="26" t="str">
        <f>IF($B190="","",ROUND(SUMIFS(周转筐出入库明细!$P$4:$P$2004,周转筐出入库明细!$C$4:$C$2004,$B190,周转筐出入库明细!$F$4:$F$2004,"销售出库",周转筐出入库明细!$B$4:$B$2004,"&gt;="&amp;$P$1,周转筐出入库明细!$B$4:$B$2004,"&lt;="&amp;$P$2),2))</f>
        <v/>
      </c>
      <c r="J190" s="26" t="str">
        <f>IF($B190="","",ROUND(SUMIFS(周转筐出入库明细!$P$4:$P$2004,周转筐出入库明细!$C$4:$C$2004,$B190,周转筐出入库明细!$F$4:$F$2004,"销售出库",周转筐出入库明细!$Q$4:$Q$2004,"已收讫",周转筐出入库明细!$B$4:$B$2004,"&gt;="&amp;$P$1,周转筐出入库明细!$B$4:$B$2004,"&lt;="&amp;$P$2),2))</f>
        <v/>
      </c>
      <c r="K190" s="26" t="str">
        <f t="shared" si="8"/>
        <v/>
      </c>
      <c r="L190" s="41"/>
    </row>
    <row r="191" spans="1:12">
      <c r="A191" s="24" t="str">
        <f t="shared" si="6"/>
        <v/>
      </c>
      <c r="B191" s="24" t="str">
        <f>IFERROR(INDEX(_自动清单!$AA$4:$AA$203,ROW()-3),"")</f>
        <v/>
      </c>
      <c r="C191" s="25" t="str">
        <f>IF(OR($B191="",_自动清单!$U$4=""),"",SUMIFS(周转筐出入库明细!$K$4:$K$2004,周转筐出入库明细!$C$4:$C$2004,$B191,周转筐出入库明细!$D$4:$D$2004,_自动清单!$U$4,周转筐出入库明细!$B$4:$B$2004,"&gt;="&amp;$P$1,周转筐出入库明细!$B$4:$B$2004,"&lt;="&amp;$P$2))</f>
        <v/>
      </c>
      <c r="D191" s="25" t="str">
        <f>IF(OR($B191="",_自动清单!$U$5=""),"",SUMIFS(周转筐出入库明细!$K$4:$K$2004,周转筐出入库明细!$C$4:$C$2004,$B191,周转筐出入库明细!$D$4:$D$2004,_自动清单!$U$5,周转筐出入库明细!$B$4:$B$2004,"&gt;="&amp;$P$1,周转筐出入库明细!$B$4:$B$2004,"&lt;="&amp;$P$2))</f>
        <v/>
      </c>
      <c r="E191" s="25" t="str">
        <f>IF(OR($B191="",_自动清单!$U$6=""),"",SUMIFS(周转筐出入库明细!$K$4:$K$2004,周转筐出入库明细!$C$4:$C$2004,$B191,周转筐出入库明细!$D$4:$D$2004,_自动清单!$U$6,周转筐出入库明细!$B$4:$B$2004,"&gt;="&amp;$P$1,周转筐出入库明细!$B$4:$B$2004,"&lt;="&amp;$P$2))</f>
        <v/>
      </c>
      <c r="F191" s="25" t="str">
        <f>IF(OR($B191="",_自动清单!$U$7=""),"",SUMIFS(周转筐出入库明细!$K$4:$K$2004,周转筐出入库明细!$C$4:$C$2004,$B191,周转筐出入库明细!$D$4:$D$2004,_自动清单!$U$7,周转筐出入库明细!$B$4:$B$2004,"&gt;="&amp;$P$1,周转筐出入库明细!$B$4:$B$2004,"&lt;="&amp;$P$2))</f>
        <v/>
      </c>
      <c r="G191" s="25" t="str">
        <f>IF($B191="","",SUMIFS(周转筐出入库明细!$K$4:$K$2004,周转筐出入库明细!$C$4:$C$2004,$B191,周转筐出入库明细!$B$4:$B$2004,"&gt;="&amp;$P$1,周转筐出入库明细!$B$4:$B$2004,"&lt;="&amp;$P$2)-SUM($C191:$F191))</f>
        <v/>
      </c>
      <c r="H191" s="25" t="str">
        <f t="shared" si="7"/>
        <v/>
      </c>
      <c r="I191" s="26" t="str">
        <f>IF($B191="","",ROUND(SUMIFS(周转筐出入库明细!$P$4:$P$2004,周转筐出入库明细!$C$4:$C$2004,$B191,周转筐出入库明细!$F$4:$F$2004,"销售出库",周转筐出入库明细!$B$4:$B$2004,"&gt;="&amp;$P$1,周转筐出入库明细!$B$4:$B$2004,"&lt;="&amp;$P$2),2))</f>
        <v/>
      </c>
      <c r="J191" s="26" t="str">
        <f>IF($B191="","",ROUND(SUMIFS(周转筐出入库明细!$P$4:$P$2004,周转筐出入库明细!$C$4:$C$2004,$B191,周转筐出入库明细!$F$4:$F$2004,"销售出库",周转筐出入库明细!$Q$4:$Q$2004,"已收讫",周转筐出入库明细!$B$4:$B$2004,"&gt;="&amp;$P$1,周转筐出入库明细!$B$4:$B$2004,"&lt;="&amp;$P$2),2))</f>
        <v/>
      </c>
      <c r="K191" s="26" t="str">
        <f t="shared" si="8"/>
        <v/>
      </c>
      <c r="L191" s="41"/>
    </row>
    <row r="192" spans="1:12">
      <c r="A192" s="24" t="str">
        <f t="shared" si="6"/>
        <v/>
      </c>
      <c r="B192" s="24" t="str">
        <f>IFERROR(INDEX(_自动清单!$AA$4:$AA$203,ROW()-3),"")</f>
        <v/>
      </c>
      <c r="C192" s="25" t="str">
        <f>IF(OR($B192="",_自动清单!$U$4=""),"",SUMIFS(周转筐出入库明细!$K$4:$K$2004,周转筐出入库明细!$C$4:$C$2004,$B192,周转筐出入库明细!$D$4:$D$2004,_自动清单!$U$4,周转筐出入库明细!$B$4:$B$2004,"&gt;="&amp;$P$1,周转筐出入库明细!$B$4:$B$2004,"&lt;="&amp;$P$2))</f>
        <v/>
      </c>
      <c r="D192" s="25" t="str">
        <f>IF(OR($B192="",_自动清单!$U$5=""),"",SUMIFS(周转筐出入库明细!$K$4:$K$2004,周转筐出入库明细!$C$4:$C$2004,$B192,周转筐出入库明细!$D$4:$D$2004,_自动清单!$U$5,周转筐出入库明细!$B$4:$B$2004,"&gt;="&amp;$P$1,周转筐出入库明细!$B$4:$B$2004,"&lt;="&amp;$P$2))</f>
        <v/>
      </c>
      <c r="E192" s="25" t="str">
        <f>IF(OR($B192="",_自动清单!$U$6=""),"",SUMIFS(周转筐出入库明细!$K$4:$K$2004,周转筐出入库明细!$C$4:$C$2004,$B192,周转筐出入库明细!$D$4:$D$2004,_自动清单!$U$6,周转筐出入库明细!$B$4:$B$2004,"&gt;="&amp;$P$1,周转筐出入库明细!$B$4:$B$2004,"&lt;="&amp;$P$2))</f>
        <v/>
      </c>
      <c r="F192" s="25" t="str">
        <f>IF(OR($B192="",_自动清单!$U$7=""),"",SUMIFS(周转筐出入库明细!$K$4:$K$2004,周转筐出入库明细!$C$4:$C$2004,$B192,周转筐出入库明细!$D$4:$D$2004,_自动清单!$U$7,周转筐出入库明细!$B$4:$B$2004,"&gt;="&amp;$P$1,周转筐出入库明细!$B$4:$B$2004,"&lt;="&amp;$P$2))</f>
        <v/>
      </c>
      <c r="G192" s="25" t="str">
        <f>IF($B192="","",SUMIFS(周转筐出入库明细!$K$4:$K$2004,周转筐出入库明细!$C$4:$C$2004,$B192,周转筐出入库明细!$B$4:$B$2004,"&gt;="&amp;$P$1,周转筐出入库明细!$B$4:$B$2004,"&lt;="&amp;$P$2)-SUM($C192:$F192))</f>
        <v/>
      </c>
      <c r="H192" s="25" t="str">
        <f t="shared" si="7"/>
        <v/>
      </c>
      <c r="I192" s="26" t="str">
        <f>IF($B192="","",ROUND(SUMIFS(周转筐出入库明细!$P$4:$P$2004,周转筐出入库明细!$C$4:$C$2004,$B192,周转筐出入库明细!$F$4:$F$2004,"销售出库",周转筐出入库明细!$B$4:$B$2004,"&gt;="&amp;$P$1,周转筐出入库明细!$B$4:$B$2004,"&lt;="&amp;$P$2),2))</f>
        <v/>
      </c>
      <c r="J192" s="26" t="str">
        <f>IF($B192="","",ROUND(SUMIFS(周转筐出入库明细!$P$4:$P$2004,周转筐出入库明细!$C$4:$C$2004,$B192,周转筐出入库明细!$F$4:$F$2004,"销售出库",周转筐出入库明细!$Q$4:$Q$2004,"已收讫",周转筐出入库明细!$B$4:$B$2004,"&gt;="&amp;$P$1,周转筐出入库明细!$B$4:$B$2004,"&lt;="&amp;$P$2),2))</f>
        <v/>
      </c>
      <c r="K192" s="26" t="str">
        <f t="shared" si="8"/>
        <v/>
      </c>
      <c r="L192" s="41"/>
    </row>
    <row r="193" spans="1:12">
      <c r="A193" s="24" t="str">
        <f t="shared" si="6"/>
        <v/>
      </c>
      <c r="B193" s="24" t="str">
        <f>IFERROR(INDEX(_自动清单!$AA$4:$AA$203,ROW()-3),"")</f>
        <v/>
      </c>
      <c r="C193" s="25" t="str">
        <f>IF(OR($B193="",_自动清单!$U$4=""),"",SUMIFS(周转筐出入库明细!$K$4:$K$2004,周转筐出入库明细!$C$4:$C$2004,$B193,周转筐出入库明细!$D$4:$D$2004,_自动清单!$U$4,周转筐出入库明细!$B$4:$B$2004,"&gt;="&amp;$P$1,周转筐出入库明细!$B$4:$B$2004,"&lt;="&amp;$P$2))</f>
        <v/>
      </c>
      <c r="D193" s="25" t="str">
        <f>IF(OR($B193="",_自动清单!$U$5=""),"",SUMIFS(周转筐出入库明细!$K$4:$K$2004,周转筐出入库明细!$C$4:$C$2004,$B193,周转筐出入库明细!$D$4:$D$2004,_自动清单!$U$5,周转筐出入库明细!$B$4:$B$2004,"&gt;="&amp;$P$1,周转筐出入库明细!$B$4:$B$2004,"&lt;="&amp;$P$2))</f>
        <v/>
      </c>
      <c r="E193" s="25" t="str">
        <f>IF(OR($B193="",_自动清单!$U$6=""),"",SUMIFS(周转筐出入库明细!$K$4:$K$2004,周转筐出入库明细!$C$4:$C$2004,$B193,周转筐出入库明细!$D$4:$D$2004,_自动清单!$U$6,周转筐出入库明细!$B$4:$B$2004,"&gt;="&amp;$P$1,周转筐出入库明细!$B$4:$B$2004,"&lt;="&amp;$P$2))</f>
        <v/>
      </c>
      <c r="F193" s="25" t="str">
        <f>IF(OR($B193="",_自动清单!$U$7=""),"",SUMIFS(周转筐出入库明细!$K$4:$K$2004,周转筐出入库明细!$C$4:$C$2004,$B193,周转筐出入库明细!$D$4:$D$2004,_自动清单!$U$7,周转筐出入库明细!$B$4:$B$2004,"&gt;="&amp;$P$1,周转筐出入库明细!$B$4:$B$2004,"&lt;="&amp;$P$2))</f>
        <v/>
      </c>
      <c r="G193" s="25" t="str">
        <f>IF($B193="","",SUMIFS(周转筐出入库明细!$K$4:$K$2004,周转筐出入库明细!$C$4:$C$2004,$B193,周转筐出入库明细!$B$4:$B$2004,"&gt;="&amp;$P$1,周转筐出入库明细!$B$4:$B$2004,"&lt;="&amp;$P$2)-SUM($C193:$F193))</f>
        <v/>
      </c>
      <c r="H193" s="25" t="str">
        <f t="shared" si="7"/>
        <v/>
      </c>
      <c r="I193" s="26" t="str">
        <f>IF($B193="","",ROUND(SUMIFS(周转筐出入库明细!$P$4:$P$2004,周转筐出入库明细!$C$4:$C$2004,$B193,周转筐出入库明细!$F$4:$F$2004,"销售出库",周转筐出入库明细!$B$4:$B$2004,"&gt;="&amp;$P$1,周转筐出入库明细!$B$4:$B$2004,"&lt;="&amp;$P$2),2))</f>
        <v/>
      </c>
      <c r="J193" s="26" t="str">
        <f>IF($B193="","",ROUND(SUMIFS(周转筐出入库明细!$P$4:$P$2004,周转筐出入库明细!$C$4:$C$2004,$B193,周转筐出入库明细!$F$4:$F$2004,"销售出库",周转筐出入库明细!$Q$4:$Q$2004,"已收讫",周转筐出入库明细!$B$4:$B$2004,"&gt;="&amp;$P$1,周转筐出入库明细!$B$4:$B$2004,"&lt;="&amp;$P$2),2))</f>
        <v/>
      </c>
      <c r="K193" s="26" t="str">
        <f t="shared" si="8"/>
        <v/>
      </c>
      <c r="L193" s="41"/>
    </row>
    <row r="194" spans="1:12">
      <c r="A194" s="24" t="str">
        <f t="shared" si="6"/>
        <v/>
      </c>
      <c r="B194" s="24" t="str">
        <f>IFERROR(INDEX(_自动清单!$AA$4:$AA$203,ROW()-3),"")</f>
        <v/>
      </c>
      <c r="C194" s="25" t="str">
        <f>IF(OR($B194="",_自动清单!$U$4=""),"",SUMIFS(周转筐出入库明细!$K$4:$K$2004,周转筐出入库明细!$C$4:$C$2004,$B194,周转筐出入库明细!$D$4:$D$2004,_自动清单!$U$4,周转筐出入库明细!$B$4:$B$2004,"&gt;="&amp;$P$1,周转筐出入库明细!$B$4:$B$2004,"&lt;="&amp;$P$2))</f>
        <v/>
      </c>
      <c r="D194" s="25" t="str">
        <f>IF(OR($B194="",_自动清单!$U$5=""),"",SUMIFS(周转筐出入库明细!$K$4:$K$2004,周转筐出入库明细!$C$4:$C$2004,$B194,周转筐出入库明细!$D$4:$D$2004,_自动清单!$U$5,周转筐出入库明细!$B$4:$B$2004,"&gt;="&amp;$P$1,周转筐出入库明细!$B$4:$B$2004,"&lt;="&amp;$P$2))</f>
        <v/>
      </c>
      <c r="E194" s="25" t="str">
        <f>IF(OR($B194="",_自动清单!$U$6=""),"",SUMIFS(周转筐出入库明细!$K$4:$K$2004,周转筐出入库明细!$C$4:$C$2004,$B194,周转筐出入库明细!$D$4:$D$2004,_自动清单!$U$6,周转筐出入库明细!$B$4:$B$2004,"&gt;="&amp;$P$1,周转筐出入库明细!$B$4:$B$2004,"&lt;="&amp;$P$2))</f>
        <v/>
      </c>
      <c r="F194" s="25" t="str">
        <f>IF(OR($B194="",_自动清单!$U$7=""),"",SUMIFS(周转筐出入库明细!$K$4:$K$2004,周转筐出入库明细!$C$4:$C$2004,$B194,周转筐出入库明细!$D$4:$D$2004,_自动清单!$U$7,周转筐出入库明细!$B$4:$B$2004,"&gt;="&amp;$P$1,周转筐出入库明细!$B$4:$B$2004,"&lt;="&amp;$P$2))</f>
        <v/>
      </c>
      <c r="G194" s="25" t="str">
        <f>IF($B194="","",SUMIFS(周转筐出入库明细!$K$4:$K$2004,周转筐出入库明细!$C$4:$C$2004,$B194,周转筐出入库明细!$B$4:$B$2004,"&gt;="&amp;$P$1,周转筐出入库明细!$B$4:$B$2004,"&lt;="&amp;$P$2)-SUM($C194:$F194))</f>
        <v/>
      </c>
      <c r="H194" s="25" t="str">
        <f t="shared" si="7"/>
        <v/>
      </c>
      <c r="I194" s="26" t="str">
        <f>IF($B194="","",ROUND(SUMIFS(周转筐出入库明细!$P$4:$P$2004,周转筐出入库明细!$C$4:$C$2004,$B194,周转筐出入库明细!$F$4:$F$2004,"销售出库",周转筐出入库明细!$B$4:$B$2004,"&gt;="&amp;$P$1,周转筐出入库明细!$B$4:$B$2004,"&lt;="&amp;$P$2),2))</f>
        <v/>
      </c>
      <c r="J194" s="26" t="str">
        <f>IF($B194="","",ROUND(SUMIFS(周转筐出入库明细!$P$4:$P$2004,周转筐出入库明细!$C$4:$C$2004,$B194,周转筐出入库明细!$F$4:$F$2004,"销售出库",周转筐出入库明细!$Q$4:$Q$2004,"已收讫",周转筐出入库明细!$B$4:$B$2004,"&gt;="&amp;$P$1,周转筐出入库明细!$B$4:$B$2004,"&lt;="&amp;$P$2),2))</f>
        <v/>
      </c>
      <c r="K194" s="26" t="str">
        <f t="shared" si="8"/>
        <v/>
      </c>
      <c r="L194" s="41"/>
    </row>
    <row r="195" spans="1:12">
      <c r="A195" s="24" t="str">
        <f t="shared" si="6"/>
        <v/>
      </c>
      <c r="B195" s="24" t="str">
        <f>IFERROR(INDEX(_自动清单!$AA$4:$AA$203,ROW()-3),"")</f>
        <v/>
      </c>
      <c r="C195" s="25" t="str">
        <f>IF(OR($B195="",_自动清单!$U$4=""),"",SUMIFS(周转筐出入库明细!$K$4:$K$2004,周转筐出入库明细!$C$4:$C$2004,$B195,周转筐出入库明细!$D$4:$D$2004,_自动清单!$U$4,周转筐出入库明细!$B$4:$B$2004,"&gt;="&amp;$P$1,周转筐出入库明细!$B$4:$B$2004,"&lt;="&amp;$P$2))</f>
        <v/>
      </c>
      <c r="D195" s="25" t="str">
        <f>IF(OR($B195="",_自动清单!$U$5=""),"",SUMIFS(周转筐出入库明细!$K$4:$K$2004,周转筐出入库明细!$C$4:$C$2004,$B195,周转筐出入库明细!$D$4:$D$2004,_自动清单!$U$5,周转筐出入库明细!$B$4:$B$2004,"&gt;="&amp;$P$1,周转筐出入库明细!$B$4:$B$2004,"&lt;="&amp;$P$2))</f>
        <v/>
      </c>
      <c r="E195" s="25" t="str">
        <f>IF(OR($B195="",_自动清单!$U$6=""),"",SUMIFS(周转筐出入库明细!$K$4:$K$2004,周转筐出入库明细!$C$4:$C$2004,$B195,周转筐出入库明细!$D$4:$D$2004,_自动清单!$U$6,周转筐出入库明细!$B$4:$B$2004,"&gt;="&amp;$P$1,周转筐出入库明细!$B$4:$B$2004,"&lt;="&amp;$P$2))</f>
        <v/>
      </c>
      <c r="F195" s="25" t="str">
        <f>IF(OR($B195="",_自动清单!$U$7=""),"",SUMIFS(周转筐出入库明细!$K$4:$K$2004,周转筐出入库明细!$C$4:$C$2004,$B195,周转筐出入库明细!$D$4:$D$2004,_自动清单!$U$7,周转筐出入库明细!$B$4:$B$2004,"&gt;="&amp;$P$1,周转筐出入库明细!$B$4:$B$2004,"&lt;="&amp;$P$2))</f>
        <v/>
      </c>
      <c r="G195" s="25" t="str">
        <f>IF($B195="","",SUMIFS(周转筐出入库明细!$K$4:$K$2004,周转筐出入库明细!$C$4:$C$2004,$B195,周转筐出入库明细!$B$4:$B$2004,"&gt;="&amp;$P$1,周转筐出入库明细!$B$4:$B$2004,"&lt;="&amp;$P$2)-SUM($C195:$F195))</f>
        <v/>
      </c>
      <c r="H195" s="25" t="str">
        <f t="shared" si="7"/>
        <v/>
      </c>
      <c r="I195" s="26" t="str">
        <f>IF($B195="","",ROUND(SUMIFS(周转筐出入库明细!$P$4:$P$2004,周转筐出入库明细!$C$4:$C$2004,$B195,周转筐出入库明细!$F$4:$F$2004,"销售出库",周转筐出入库明细!$B$4:$B$2004,"&gt;="&amp;$P$1,周转筐出入库明细!$B$4:$B$2004,"&lt;="&amp;$P$2),2))</f>
        <v/>
      </c>
      <c r="J195" s="26" t="str">
        <f>IF($B195="","",ROUND(SUMIFS(周转筐出入库明细!$P$4:$P$2004,周转筐出入库明细!$C$4:$C$2004,$B195,周转筐出入库明细!$F$4:$F$2004,"销售出库",周转筐出入库明细!$Q$4:$Q$2004,"已收讫",周转筐出入库明细!$B$4:$B$2004,"&gt;="&amp;$P$1,周转筐出入库明细!$B$4:$B$2004,"&lt;="&amp;$P$2),2))</f>
        <v/>
      </c>
      <c r="K195" s="26" t="str">
        <f t="shared" si="8"/>
        <v/>
      </c>
      <c r="L195" s="41"/>
    </row>
    <row r="196" spans="1:12">
      <c r="A196" s="24" t="str">
        <f t="shared" ref="A196:A203" si="9">IF($B196="","",ROW()-3)</f>
        <v/>
      </c>
      <c r="B196" s="24" t="str">
        <f>IFERROR(INDEX(_自动清单!$AA$4:$AA$203,ROW()-3),"")</f>
        <v/>
      </c>
      <c r="C196" s="25" t="str">
        <f>IF(OR($B196="",_自动清单!$U$4=""),"",SUMIFS(周转筐出入库明细!$K$4:$K$2004,周转筐出入库明细!$C$4:$C$2004,$B196,周转筐出入库明细!$D$4:$D$2004,_自动清单!$U$4,周转筐出入库明细!$B$4:$B$2004,"&gt;="&amp;$P$1,周转筐出入库明细!$B$4:$B$2004,"&lt;="&amp;$P$2))</f>
        <v/>
      </c>
      <c r="D196" s="25" t="str">
        <f>IF(OR($B196="",_自动清单!$U$5=""),"",SUMIFS(周转筐出入库明细!$K$4:$K$2004,周转筐出入库明细!$C$4:$C$2004,$B196,周转筐出入库明细!$D$4:$D$2004,_自动清单!$U$5,周转筐出入库明细!$B$4:$B$2004,"&gt;="&amp;$P$1,周转筐出入库明细!$B$4:$B$2004,"&lt;="&amp;$P$2))</f>
        <v/>
      </c>
      <c r="E196" s="25" t="str">
        <f>IF(OR($B196="",_自动清单!$U$6=""),"",SUMIFS(周转筐出入库明细!$K$4:$K$2004,周转筐出入库明细!$C$4:$C$2004,$B196,周转筐出入库明细!$D$4:$D$2004,_自动清单!$U$6,周转筐出入库明细!$B$4:$B$2004,"&gt;="&amp;$P$1,周转筐出入库明细!$B$4:$B$2004,"&lt;="&amp;$P$2))</f>
        <v/>
      </c>
      <c r="F196" s="25" t="str">
        <f>IF(OR($B196="",_自动清单!$U$7=""),"",SUMIFS(周转筐出入库明细!$K$4:$K$2004,周转筐出入库明细!$C$4:$C$2004,$B196,周转筐出入库明细!$D$4:$D$2004,_自动清单!$U$7,周转筐出入库明细!$B$4:$B$2004,"&gt;="&amp;$P$1,周转筐出入库明细!$B$4:$B$2004,"&lt;="&amp;$P$2))</f>
        <v/>
      </c>
      <c r="G196" s="25" t="str">
        <f>IF($B196="","",SUMIFS(周转筐出入库明细!$K$4:$K$2004,周转筐出入库明细!$C$4:$C$2004,$B196,周转筐出入库明细!$B$4:$B$2004,"&gt;="&amp;$P$1,周转筐出入库明细!$B$4:$B$2004,"&lt;="&amp;$P$2)-SUM($C196:$F196))</f>
        <v/>
      </c>
      <c r="H196" s="25" t="str">
        <f t="shared" ref="H196:H203" si="10">IF($B196="","",SUM($C196:$G196))</f>
        <v/>
      </c>
      <c r="I196" s="26" t="str">
        <f>IF($B196="","",ROUND(SUMIFS(周转筐出入库明细!$P$4:$P$2004,周转筐出入库明细!$C$4:$C$2004,$B196,周转筐出入库明细!$F$4:$F$2004,"销售出库",周转筐出入库明细!$B$4:$B$2004,"&gt;="&amp;$P$1,周转筐出入库明细!$B$4:$B$2004,"&lt;="&amp;$P$2),2))</f>
        <v/>
      </c>
      <c r="J196" s="26" t="str">
        <f>IF($B196="","",ROUND(SUMIFS(周转筐出入库明细!$P$4:$P$2004,周转筐出入库明细!$C$4:$C$2004,$B196,周转筐出入库明细!$F$4:$F$2004,"销售出库",周转筐出入库明细!$Q$4:$Q$2004,"已收讫",周转筐出入库明细!$B$4:$B$2004,"&gt;="&amp;$P$1,周转筐出入库明细!$B$4:$B$2004,"&lt;="&amp;$P$2),2))</f>
        <v/>
      </c>
      <c r="K196" s="26" t="str">
        <f t="shared" ref="K196:K203" si="11">IF($B196="","",ROUND(N($I196)-N($J196),2))</f>
        <v/>
      </c>
      <c r="L196" s="41"/>
    </row>
    <row r="197" spans="1:12">
      <c r="A197" s="24" t="str">
        <f t="shared" si="9"/>
        <v/>
      </c>
      <c r="B197" s="24" t="str">
        <f>IFERROR(INDEX(_自动清单!$AA$4:$AA$203,ROW()-3),"")</f>
        <v/>
      </c>
      <c r="C197" s="25" t="str">
        <f>IF(OR($B197="",_自动清单!$U$4=""),"",SUMIFS(周转筐出入库明细!$K$4:$K$2004,周转筐出入库明细!$C$4:$C$2004,$B197,周转筐出入库明细!$D$4:$D$2004,_自动清单!$U$4,周转筐出入库明细!$B$4:$B$2004,"&gt;="&amp;$P$1,周转筐出入库明细!$B$4:$B$2004,"&lt;="&amp;$P$2))</f>
        <v/>
      </c>
      <c r="D197" s="25" t="str">
        <f>IF(OR($B197="",_自动清单!$U$5=""),"",SUMIFS(周转筐出入库明细!$K$4:$K$2004,周转筐出入库明细!$C$4:$C$2004,$B197,周转筐出入库明细!$D$4:$D$2004,_自动清单!$U$5,周转筐出入库明细!$B$4:$B$2004,"&gt;="&amp;$P$1,周转筐出入库明细!$B$4:$B$2004,"&lt;="&amp;$P$2))</f>
        <v/>
      </c>
      <c r="E197" s="25" t="str">
        <f>IF(OR($B197="",_自动清单!$U$6=""),"",SUMIFS(周转筐出入库明细!$K$4:$K$2004,周转筐出入库明细!$C$4:$C$2004,$B197,周转筐出入库明细!$D$4:$D$2004,_自动清单!$U$6,周转筐出入库明细!$B$4:$B$2004,"&gt;="&amp;$P$1,周转筐出入库明细!$B$4:$B$2004,"&lt;="&amp;$P$2))</f>
        <v/>
      </c>
      <c r="F197" s="25" t="str">
        <f>IF(OR($B197="",_自动清单!$U$7=""),"",SUMIFS(周转筐出入库明细!$K$4:$K$2004,周转筐出入库明细!$C$4:$C$2004,$B197,周转筐出入库明细!$D$4:$D$2004,_自动清单!$U$7,周转筐出入库明细!$B$4:$B$2004,"&gt;="&amp;$P$1,周转筐出入库明细!$B$4:$B$2004,"&lt;="&amp;$P$2))</f>
        <v/>
      </c>
      <c r="G197" s="25" t="str">
        <f>IF($B197="","",SUMIFS(周转筐出入库明细!$K$4:$K$2004,周转筐出入库明细!$C$4:$C$2004,$B197,周转筐出入库明细!$B$4:$B$2004,"&gt;="&amp;$P$1,周转筐出入库明细!$B$4:$B$2004,"&lt;="&amp;$P$2)-SUM($C197:$F197))</f>
        <v/>
      </c>
      <c r="H197" s="25" t="str">
        <f t="shared" si="10"/>
        <v/>
      </c>
      <c r="I197" s="26" t="str">
        <f>IF($B197="","",ROUND(SUMIFS(周转筐出入库明细!$P$4:$P$2004,周转筐出入库明细!$C$4:$C$2004,$B197,周转筐出入库明细!$F$4:$F$2004,"销售出库",周转筐出入库明细!$B$4:$B$2004,"&gt;="&amp;$P$1,周转筐出入库明细!$B$4:$B$2004,"&lt;="&amp;$P$2),2))</f>
        <v/>
      </c>
      <c r="J197" s="26" t="str">
        <f>IF($B197="","",ROUND(SUMIFS(周转筐出入库明细!$P$4:$P$2004,周转筐出入库明细!$C$4:$C$2004,$B197,周转筐出入库明细!$F$4:$F$2004,"销售出库",周转筐出入库明细!$Q$4:$Q$2004,"已收讫",周转筐出入库明细!$B$4:$B$2004,"&gt;="&amp;$P$1,周转筐出入库明细!$B$4:$B$2004,"&lt;="&amp;$P$2),2))</f>
        <v/>
      </c>
      <c r="K197" s="26" t="str">
        <f t="shared" si="11"/>
        <v/>
      </c>
      <c r="L197" s="41"/>
    </row>
    <row r="198" spans="1:12">
      <c r="A198" s="24" t="str">
        <f t="shared" si="9"/>
        <v/>
      </c>
      <c r="B198" s="24" t="str">
        <f>IFERROR(INDEX(_自动清单!$AA$4:$AA$203,ROW()-3),"")</f>
        <v/>
      </c>
      <c r="C198" s="25" t="str">
        <f>IF(OR($B198="",_自动清单!$U$4=""),"",SUMIFS(周转筐出入库明细!$K$4:$K$2004,周转筐出入库明细!$C$4:$C$2004,$B198,周转筐出入库明细!$D$4:$D$2004,_自动清单!$U$4,周转筐出入库明细!$B$4:$B$2004,"&gt;="&amp;$P$1,周转筐出入库明细!$B$4:$B$2004,"&lt;="&amp;$P$2))</f>
        <v/>
      </c>
      <c r="D198" s="25" t="str">
        <f>IF(OR($B198="",_自动清单!$U$5=""),"",SUMIFS(周转筐出入库明细!$K$4:$K$2004,周转筐出入库明细!$C$4:$C$2004,$B198,周转筐出入库明细!$D$4:$D$2004,_自动清单!$U$5,周转筐出入库明细!$B$4:$B$2004,"&gt;="&amp;$P$1,周转筐出入库明细!$B$4:$B$2004,"&lt;="&amp;$P$2))</f>
        <v/>
      </c>
      <c r="E198" s="25" t="str">
        <f>IF(OR($B198="",_自动清单!$U$6=""),"",SUMIFS(周转筐出入库明细!$K$4:$K$2004,周转筐出入库明细!$C$4:$C$2004,$B198,周转筐出入库明细!$D$4:$D$2004,_自动清单!$U$6,周转筐出入库明细!$B$4:$B$2004,"&gt;="&amp;$P$1,周转筐出入库明细!$B$4:$B$2004,"&lt;="&amp;$P$2))</f>
        <v/>
      </c>
      <c r="F198" s="25" t="str">
        <f>IF(OR($B198="",_自动清单!$U$7=""),"",SUMIFS(周转筐出入库明细!$K$4:$K$2004,周转筐出入库明细!$C$4:$C$2004,$B198,周转筐出入库明细!$D$4:$D$2004,_自动清单!$U$7,周转筐出入库明细!$B$4:$B$2004,"&gt;="&amp;$P$1,周转筐出入库明细!$B$4:$B$2004,"&lt;="&amp;$P$2))</f>
        <v/>
      </c>
      <c r="G198" s="25" t="str">
        <f>IF($B198="","",SUMIFS(周转筐出入库明细!$K$4:$K$2004,周转筐出入库明细!$C$4:$C$2004,$B198,周转筐出入库明细!$B$4:$B$2004,"&gt;="&amp;$P$1,周转筐出入库明细!$B$4:$B$2004,"&lt;="&amp;$P$2)-SUM($C198:$F198))</f>
        <v/>
      </c>
      <c r="H198" s="25" t="str">
        <f t="shared" si="10"/>
        <v/>
      </c>
      <c r="I198" s="26" t="str">
        <f>IF($B198="","",ROUND(SUMIFS(周转筐出入库明细!$P$4:$P$2004,周转筐出入库明细!$C$4:$C$2004,$B198,周转筐出入库明细!$F$4:$F$2004,"销售出库",周转筐出入库明细!$B$4:$B$2004,"&gt;="&amp;$P$1,周转筐出入库明细!$B$4:$B$2004,"&lt;="&amp;$P$2),2))</f>
        <v/>
      </c>
      <c r="J198" s="26" t="str">
        <f>IF($B198="","",ROUND(SUMIFS(周转筐出入库明细!$P$4:$P$2004,周转筐出入库明细!$C$4:$C$2004,$B198,周转筐出入库明细!$F$4:$F$2004,"销售出库",周转筐出入库明细!$Q$4:$Q$2004,"已收讫",周转筐出入库明细!$B$4:$B$2004,"&gt;="&amp;$P$1,周转筐出入库明细!$B$4:$B$2004,"&lt;="&amp;$P$2),2))</f>
        <v/>
      </c>
      <c r="K198" s="26" t="str">
        <f t="shared" si="11"/>
        <v/>
      </c>
      <c r="L198" s="41"/>
    </row>
    <row r="199" spans="1:12">
      <c r="A199" s="24" t="str">
        <f t="shared" si="9"/>
        <v/>
      </c>
      <c r="B199" s="24" t="str">
        <f>IFERROR(INDEX(_自动清单!$AA$4:$AA$203,ROW()-3),"")</f>
        <v/>
      </c>
      <c r="C199" s="25" t="str">
        <f>IF(OR($B199="",_自动清单!$U$4=""),"",SUMIFS(周转筐出入库明细!$K$4:$K$2004,周转筐出入库明细!$C$4:$C$2004,$B199,周转筐出入库明细!$D$4:$D$2004,_自动清单!$U$4,周转筐出入库明细!$B$4:$B$2004,"&gt;="&amp;$P$1,周转筐出入库明细!$B$4:$B$2004,"&lt;="&amp;$P$2))</f>
        <v/>
      </c>
      <c r="D199" s="25" t="str">
        <f>IF(OR($B199="",_自动清单!$U$5=""),"",SUMIFS(周转筐出入库明细!$K$4:$K$2004,周转筐出入库明细!$C$4:$C$2004,$B199,周转筐出入库明细!$D$4:$D$2004,_自动清单!$U$5,周转筐出入库明细!$B$4:$B$2004,"&gt;="&amp;$P$1,周转筐出入库明细!$B$4:$B$2004,"&lt;="&amp;$P$2))</f>
        <v/>
      </c>
      <c r="E199" s="25" t="str">
        <f>IF(OR($B199="",_自动清单!$U$6=""),"",SUMIFS(周转筐出入库明细!$K$4:$K$2004,周转筐出入库明细!$C$4:$C$2004,$B199,周转筐出入库明细!$D$4:$D$2004,_自动清单!$U$6,周转筐出入库明细!$B$4:$B$2004,"&gt;="&amp;$P$1,周转筐出入库明细!$B$4:$B$2004,"&lt;="&amp;$P$2))</f>
        <v/>
      </c>
      <c r="F199" s="25" t="str">
        <f>IF(OR($B199="",_自动清单!$U$7=""),"",SUMIFS(周转筐出入库明细!$K$4:$K$2004,周转筐出入库明细!$C$4:$C$2004,$B199,周转筐出入库明细!$D$4:$D$2004,_自动清单!$U$7,周转筐出入库明细!$B$4:$B$2004,"&gt;="&amp;$P$1,周转筐出入库明细!$B$4:$B$2004,"&lt;="&amp;$P$2))</f>
        <v/>
      </c>
      <c r="G199" s="25" t="str">
        <f>IF($B199="","",SUMIFS(周转筐出入库明细!$K$4:$K$2004,周转筐出入库明细!$C$4:$C$2004,$B199,周转筐出入库明细!$B$4:$B$2004,"&gt;="&amp;$P$1,周转筐出入库明细!$B$4:$B$2004,"&lt;="&amp;$P$2)-SUM($C199:$F199))</f>
        <v/>
      </c>
      <c r="H199" s="25" t="str">
        <f t="shared" si="10"/>
        <v/>
      </c>
      <c r="I199" s="26" t="str">
        <f>IF($B199="","",ROUND(SUMIFS(周转筐出入库明细!$P$4:$P$2004,周转筐出入库明细!$C$4:$C$2004,$B199,周转筐出入库明细!$F$4:$F$2004,"销售出库",周转筐出入库明细!$B$4:$B$2004,"&gt;="&amp;$P$1,周转筐出入库明细!$B$4:$B$2004,"&lt;="&amp;$P$2),2))</f>
        <v/>
      </c>
      <c r="J199" s="26" t="str">
        <f>IF($B199="","",ROUND(SUMIFS(周转筐出入库明细!$P$4:$P$2004,周转筐出入库明细!$C$4:$C$2004,$B199,周转筐出入库明细!$F$4:$F$2004,"销售出库",周转筐出入库明细!$Q$4:$Q$2004,"已收讫",周转筐出入库明细!$B$4:$B$2004,"&gt;="&amp;$P$1,周转筐出入库明细!$B$4:$B$2004,"&lt;="&amp;$P$2),2))</f>
        <v/>
      </c>
      <c r="K199" s="26" t="str">
        <f t="shared" si="11"/>
        <v/>
      </c>
      <c r="L199" s="41"/>
    </row>
    <row r="200" spans="1:12">
      <c r="A200" s="24" t="str">
        <f t="shared" si="9"/>
        <v/>
      </c>
      <c r="B200" s="24" t="str">
        <f>IFERROR(INDEX(_自动清单!$AA$4:$AA$203,ROW()-3),"")</f>
        <v/>
      </c>
      <c r="C200" s="25" t="str">
        <f>IF(OR($B200="",_自动清单!$U$4=""),"",SUMIFS(周转筐出入库明细!$K$4:$K$2004,周转筐出入库明细!$C$4:$C$2004,$B200,周转筐出入库明细!$D$4:$D$2004,_自动清单!$U$4,周转筐出入库明细!$B$4:$B$2004,"&gt;="&amp;$P$1,周转筐出入库明细!$B$4:$B$2004,"&lt;="&amp;$P$2))</f>
        <v/>
      </c>
      <c r="D200" s="25" t="str">
        <f>IF(OR($B200="",_自动清单!$U$5=""),"",SUMIFS(周转筐出入库明细!$K$4:$K$2004,周转筐出入库明细!$C$4:$C$2004,$B200,周转筐出入库明细!$D$4:$D$2004,_自动清单!$U$5,周转筐出入库明细!$B$4:$B$2004,"&gt;="&amp;$P$1,周转筐出入库明细!$B$4:$B$2004,"&lt;="&amp;$P$2))</f>
        <v/>
      </c>
      <c r="E200" s="25" t="str">
        <f>IF(OR($B200="",_自动清单!$U$6=""),"",SUMIFS(周转筐出入库明细!$K$4:$K$2004,周转筐出入库明细!$C$4:$C$2004,$B200,周转筐出入库明细!$D$4:$D$2004,_自动清单!$U$6,周转筐出入库明细!$B$4:$B$2004,"&gt;="&amp;$P$1,周转筐出入库明细!$B$4:$B$2004,"&lt;="&amp;$P$2))</f>
        <v/>
      </c>
      <c r="F200" s="25" t="str">
        <f>IF(OR($B200="",_自动清单!$U$7=""),"",SUMIFS(周转筐出入库明细!$K$4:$K$2004,周转筐出入库明细!$C$4:$C$2004,$B200,周转筐出入库明细!$D$4:$D$2004,_自动清单!$U$7,周转筐出入库明细!$B$4:$B$2004,"&gt;="&amp;$P$1,周转筐出入库明细!$B$4:$B$2004,"&lt;="&amp;$P$2))</f>
        <v/>
      </c>
      <c r="G200" s="25" t="str">
        <f>IF($B200="","",SUMIFS(周转筐出入库明细!$K$4:$K$2004,周转筐出入库明细!$C$4:$C$2004,$B200,周转筐出入库明细!$B$4:$B$2004,"&gt;="&amp;$P$1,周转筐出入库明细!$B$4:$B$2004,"&lt;="&amp;$P$2)-SUM($C200:$F200))</f>
        <v/>
      </c>
      <c r="H200" s="25" t="str">
        <f t="shared" si="10"/>
        <v/>
      </c>
      <c r="I200" s="26" t="str">
        <f>IF($B200="","",ROUND(SUMIFS(周转筐出入库明细!$P$4:$P$2004,周转筐出入库明细!$C$4:$C$2004,$B200,周转筐出入库明细!$F$4:$F$2004,"销售出库",周转筐出入库明细!$B$4:$B$2004,"&gt;="&amp;$P$1,周转筐出入库明细!$B$4:$B$2004,"&lt;="&amp;$P$2),2))</f>
        <v/>
      </c>
      <c r="J200" s="26" t="str">
        <f>IF($B200="","",ROUND(SUMIFS(周转筐出入库明细!$P$4:$P$2004,周转筐出入库明细!$C$4:$C$2004,$B200,周转筐出入库明细!$F$4:$F$2004,"销售出库",周转筐出入库明细!$Q$4:$Q$2004,"已收讫",周转筐出入库明细!$B$4:$B$2004,"&gt;="&amp;$P$1,周转筐出入库明细!$B$4:$B$2004,"&lt;="&amp;$P$2),2))</f>
        <v/>
      </c>
      <c r="K200" s="26" t="str">
        <f t="shared" si="11"/>
        <v/>
      </c>
      <c r="L200" s="41"/>
    </row>
    <row r="201" spans="1:12">
      <c r="A201" s="24" t="str">
        <f t="shared" si="9"/>
        <v/>
      </c>
      <c r="B201" s="24" t="str">
        <f>IFERROR(INDEX(_自动清单!$AA$4:$AA$203,ROW()-3),"")</f>
        <v/>
      </c>
      <c r="C201" s="25" t="str">
        <f>IF(OR($B201="",_自动清单!$U$4=""),"",SUMIFS(周转筐出入库明细!$K$4:$K$2004,周转筐出入库明细!$C$4:$C$2004,$B201,周转筐出入库明细!$D$4:$D$2004,_自动清单!$U$4,周转筐出入库明细!$B$4:$B$2004,"&gt;="&amp;$P$1,周转筐出入库明细!$B$4:$B$2004,"&lt;="&amp;$P$2))</f>
        <v/>
      </c>
      <c r="D201" s="25" t="str">
        <f>IF(OR($B201="",_自动清单!$U$5=""),"",SUMIFS(周转筐出入库明细!$K$4:$K$2004,周转筐出入库明细!$C$4:$C$2004,$B201,周转筐出入库明细!$D$4:$D$2004,_自动清单!$U$5,周转筐出入库明细!$B$4:$B$2004,"&gt;="&amp;$P$1,周转筐出入库明细!$B$4:$B$2004,"&lt;="&amp;$P$2))</f>
        <v/>
      </c>
      <c r="E201" s="25" t="str">
        <f>IF(OR($B201="",_自动清单!$U$6=""),"",SUMIFS(周转筐出入库明细!$K$4:$K$2004,周转筐出入库明细!$C$4:$C$2004,$B201,周转筐出入库明细!$D$4:$D$2004,_自动清单!$U$6,周转筐出入库明细!$B$4:$B$2004,"&gt;="&amp;$P$1,周转筐出入库明细!$B$4:$B$2004,"&lt;="&amp;$P$2))</f>
        <v/>
      </c>
      <c r="F201" s="25" t="str">
        <f>IF(OR($B201="",_自动清单!$U$7=""),"",SUMIFS(周转筐出入库明细!$K$4:$K$2004,周转筐出入库明细!$C$4:$C$2004,$B201,周转筐出入库明细!$D$4:$D$2004,_自动清单!$U$7,周转筐出入库明细!$B$4:$B$2004,"&gt;="&amp;$P$1,周转筐出入库明细!$B$4:$B$2004,"&lt;="&amp;$P$2))</f>
        <v/>
      </c>
      <c r="G201" s="25" t="str">
        <f>IF($B201="","",SUMIFS(周转筐出入库明细!$K$4:$K$2004,周转筐出入库明细!$C$4:$C$2004,$B201,周转筐出入库明细!$B$4:$B$2004,"&gt;="&amp;$P$1,周转筐出入库明细!$B$4:$B$2004,"&lt;="&amp;$P$2)-SUM($C201:$F201))</f>
        <v/>
      </c>
      <c r="H201" s="25" t="str">
        <f t="shared" si="10"/>
        <v/>
      </c>
      <c r="I201" s="26" t="str">
        <f>IF($B201="","",ROUND(SUMIFS(周转筐出入库明细!$P$4:$P$2004,周转筐出入库明细!$C$4:$C$2004,$B201,周转筐出入库明细!$F$4:$F$2004,"销售出库",周转筐出入库明细!$B$4:$B$2004,"&gt;="&amp;$P$1,周转筐出入库明细!$B$4:$B$2004,"&lt;="&amp;$P$2),2))</f>
        <v/>
      </c>
      <c r="J201" s="26" t="str">
        <f>IF($B201="","",ROUND(SUMIFS(周转筐出入库明细!$P$4:$P$2004,周转筐出入库明细!$C$4:$C$2004,$B201,周转筐出入库明细!$F$4:$F$2004,"销售出库",周转筐出入库明细!$Q$4:$Q$2004,"已收讫",周转筐出入库明细!$B$4:$B$2004,"&gt;="&amp;$P$1,周转筐出入库明细!$B$4:$B$2004,"&lt;="&amp;$P$2),2))</f>
        <v/>
      </c>
      <c r="K201" s="26" t="str">
        <f t="shared" si="11"/>
        <v/>
      </c>
      <c r="L201" s="41"/>
    </row>
    <row r="202" spans="1:12">
      <c r="A202" s="24" t="str">
        <f t="shared" si="9"/>
        <v/>
      </c>
      <c r="B202" s="24" t="str">
        <f>IFERROR(INDEX(_自动清单!$AA$4:$AA$203,ROW()-3),"")</f>
        <v/>
      </c>
      <c r="C202" s="25" t="str">
        <f>IF(OR($B202="",_自动清单!$U$4=""),"",SUMIFS(周转筐出入库明细!$K$4:$K$2004,周转筐出入库明细!$C$4:$C$2004,$B202,周转筐出入库明细!$D$4:$D$2004,_自动清单!$U$4,周转筐出入库明细!$B$4:$B$2004,"&gt;="&amp;$P$1,周转筐出入库明细!$B$4:$B$2004,"&lt;="&amp;$P$2))</f>
        <v/>
      </c>
      <c r="D202" s="25" t="str">
        <f>IF(OR($B202="",_自动清单!$U$5=""),"",SUMIFS(周转筐出入库明细!$K$4:$K$2004,周转筐出入库明细!$C$4:$C$2004,$B202,周转筐出入库明细!$D$4:$D$2004,_自动清单!$U$5,周转筐出入库明细!$B$4:$B$2004,"&gt;="&amp;$P$1,周转筐出入库明细!$B$4:$B$2004,"&lt;="&amp;$P$2))</f>
        <v/>
      </c>
      <c r="E202" s="25" t="str">
        <f>IF(OR($B202="",_自动清单!$U$6=""),"",SUMIFS(周转筐出入库明细!$K$4:$K$2004,周转筐出入库明细!$C$4:$C$2004,$B202,周转筐出入库明细!$D$4:$D$2004,_自动清单!$U$6,周转筐出入库明细!$B$4:$B$2004,"&gt;="&amp;$P$1,周转筐出入库明细!$B$4:$B$2004,"&lt;="&amp;$P$2))</f>
        <v/>
      </c>
      <c r="F202" s="25" t="str">
        <f>IF(OR($B202="",_自动清单!$U$7=""),"",SUMIFS(周转筐出入库明细!$K$4:$K$2004,周转筐出入库明细!$C$4:$C$2004,$B202,周转筐出入库明细!$D$4:$D$2004,_自动清单!$U$7,周转筐出入库明细!$B$4:$B$2004,"&gt;="&amp;$P$1,周转筐出入库明细!$B$4:$B$2004,"&lt;="&amp;$P$2))</f>
        <v/>
      </c>
      <c r="G202" s="25" t="str">
        <f>IF($B202="","",SUMIFS(周转筐出入库明细!$K$4:$K$2004,周转筐出入库明细!$C$4:$C$2004,$B202,周转筐出入库明细!$B$4:$B$2004,"&gt;="&amp;$P$1,周转筐出入库明细!$B$4:$B$2004,"&lt;="&amp;$P$2)-SUM($C202:$F202))</f>
        <v/>
      </c>
      <c r="H202" s="25" t="str">
        <f t="shared" si="10"/>
        <v/>
      </c>
      <c r="I202" s="26" t="str">
        <f>IF($B202="","",ROUND(SUMIFS(周转筐出入库明细!$P$4:$P$2004,周转筐出入库明细!$C$4:$C$2004,$B202,周转筐出入库明细!$F$4:$F$2004,"销售出库",周转筐出入库明细!$B$4:$B$2004,"&gt;="&amp;$P$1,周转筐出入库明细!$B$4:$B$2004,"&lt;="&amp;$P$2),2))</f>
        <v/>
      </c>
      <c r="J202" s="26" t="str">
        <f>IF($B202="","",ROUND(SUMIFS(周转筐出入库明细!$P$4:$P$2004,周转筐出入库明细!$C$4:$C$2004,$B202,周转筐出入库明细!$F$4:$F$2004,"销售出库",周转筐出入库明细!$Q$4:$Q$2004,"已收讫",周转筐出入库明细!$B$4:$B$2004,"&gt;="&amp;$P$1,周转筐出入库明细!$B$4:$B$2004,"&lt;="&amp;$P$2),2))</f>
        <v/>
      </c>
      <c r="K202" s="26" t="str">
        <f t="shared" si="11"/>
        <v/>
      </c>
      <c r="L202" s="41"/>
    </row>
    <row r="203" spans="1:12">
      <c r="A203" s="24" t="str">
        <f t="shared" si="9"/>
        <v/>
      </c>
      <c r="B203" s="24" t="str">
        <f>IFERROR(INDEX(_自动清单!$AA$4:$AA$203,ROW()-3),"")</f>
        <v/>
      </c>
      <c r="C203" s="25" t="str">
        <f>IF(OR($B203="",_自动清单!$U$4=""),"",SUMIFS(周转筐出入库明细!$K$4:$K$2004,周转筐出入库明细!$C$4:$C$2004,$B203,周转筐出入库明细!$D$4:$D$2004,_自动清单!$U$4,周转筐出入库明细!$B$4:$B$2004,"&gt;="&amp;$P$1,周转筐出入库明细!$B$4:$B$2004,"&lt;="&amp;$P$2))</f>
        <v/>
      </c>
      <c r="D203" s="25" t="str">
        <f>IF(OR($B203="",_自动清单!$U$5=""),"",SUMIFS(周转筐出入库明细!$K$4:$K$2004,周转筐出入库明细!$C$4:$C$2004,$B203,周转筐出入库明细!$D$4:$D$2004,_自动清单!$U$5,周转筐出入库明细!$B$4:$B$2004,"&gt;="&amp;$P$1,周转筐出入库明细!$B$4:$B$2004,"&lt;="&amp;$P$2))</f>
        <v/>
      </c>
      <c r="E203" s="25" t="str">
        <f>IF(OR($B203="",_自动清单!$U$6=""),"",SUMIFS(周转筐出入库明细!$K$4:$K$2004,周转筐出入库明细!$C$4:$C$2004,$B203,周转筐出入库明细!$D$4:$D$2004,_自动清单!$U$6,周转筐出入库明细!$B$4:$B$2004,"&gt;="&amp;$P$1,周转筐出入库明细!$B$4:$B$2004,"&lt;="&amp;$P$2))</f>
        <v/>
      </c>
      <c r="F203" s="25" t="str">
        <f>IF(OR($B203="",_自动清单!$U$7=""),"",SUMIFS(周转筐出入库明细!$K$4:$K$2004,周转筐出入库明细!$C$4:$C$2004,$B203,周转筐出入库明细!$D$4:$D$2004,_自动清单!$U$7,周转筐出入库明细!$B$4:$B$2004,"&gt;="&amp;$P$1,周转筐出入库明细!$B$4:$B$2004,"&lt;="&amp;$P$2))</f>
        <v/>
      </c>
      <c r="G203" s="25" t="str">
        <f>IF($B203="","",SUMIFS(周转筐出入库明细!$K$4:$K$2004,周转筐出入库明细!$C$4:$C$2004,$B203,周转筐出入库明细!$B$4:$B$2004,"&gt;="&amp;$P$1,周转筐出入库明细!$B$4:$B$2004,"&lt;="&amp;$P$2)-SUM($C203:$F203))</f>
        <v/>
      </c>
      <c r="H203" s="25" t="str">
        <f t="shared" si="10"/>
        <v/>
      </c>
      <c r="I203" s="26" t="str">
        <f>IF($B203="","",ROUND(SUMIFS(周转筐出入库明细!$P$4:$P$2004,周转筐出入库明细!$C$4:$C$2004,$B203,周转筐出入库明细!$F$4:$F$2004,"销售出库",周转筐出入库明细!$B$4:$B$2004,"&gt;="&amp;$P$1,周转筐出入库明细!$B$4:$B$2004,"&lt;="&amp;$P$2),2))</f>
        <v/>
      </c>
      <c r="J203" s="26" t="str">
        <f>IF($B203="","",ROUND(SUMIFS(周转筐出入库明细!$P$4:$P$2004,周转筐出入库明细!$C$4:$C$2004,$B203,周转筐出入库明细!$F$4:$F$2004,"销售出库",周转筐出入库明细!$Q$4:$Q$2004,"已收讫",周转筐出入库明细!$B$4:$B$2004,"&gt;="&amp;$P$1,周转筐出入库明细!$B$4:$B$2004,"&lt;="&amp;$P$2),2))</f>
        <v/>
      </c>
      <c r="K203" s="26" t="str">
        <f t="shared" si="11"/>
        <v/>
      </c>
      <c r="L203" s="41"/>
    </row>
    <row r="204" spans="1:12">
      <c r="A204" s="51"/>
      <c r="B204" s="51" t="s">
        <v>473</v>
      </c>
      <c r="C204" s="57">
        <f t="shared" ref="C204:K204" si="12">ROUND(SUM(C4:C203),2)</f>
        <v>0</v>
      </c>
      <c r="D204" s="57">
        <f t="shared" si="12"/>
        <v>0</v>
      </c>
      <c r="E204" s="57">
        <f t="shared" si="12"/>
        <v>0</v>
      </c>
      <c r="F204" s="57">
        <f t="shared" si="12"/>
        <v>0</v>
      </c>
      <c r="G204" s="57">
        <f t="shared" si="12"/>
        <v>960</v>
      </c>
      <c r="H204" s="57">
        <f t="shared" si="12"/>
        <v>960</v>
      </c>
      <c r="I204" s="59">
        <f t="shared" si="12"/>
        <v>0</v>
      </c>
      <c r="J204" s="59">
        <f t="shared" si="12"/>
        <v>0</v>
      </c>
      <c r="K204" s="59">
        <f t="shared" si="12"/>
        <v>0</v>
      </c>
      <c r="L204" s="51"/>
    </row>
  </sheetData>
  <mergeCells count="2">
    <mergeCell ref="A1:L1"/>
    <mergeCell ref="A2:H2"/>
  </mergeCells>
  <conditionalFormatting sqref="A2">
    <cfRule type="expression" dxfId="0" priority="1">
      <formula>(N(_自动清单!$W$1)&gt;200)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T20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Q18" sqref="Q18"/>
    </sheetView>
  </sheetViews>
  <sheetFormatPr defaultColWidth="9" defaultRowHeight="15"/>
  <cols>
    <col min="1" max="1" width="6" customWidth="1"/>
    <col min="2" max="2" width="14" customWidth="1"/>
    <col min="3" max="14" width="15" customWidth="1"/>
    <col min="15" max="15" width="11" customWidth="1"/>
    <col min="16" max="17" width="14" customWidth="1"/>
    <col min="18" max="19" width="13" hidden="1" customWidth="1"/>
    <col min="20" max="20" width="12" hidden="1" customWidth="1"/>
  </cols>
  <sheetData>
    <row r="1" ht="30" customHeight="1" spans="1:20">
      <c r="A1" s="7" t="s">
        <v>502</v>
      </c>
      <c r="S1" s="11"/>
      <c r="T1" s="11">
        <f>IF($O2="",DATE(1900,1,1),$O2)</f>
        <v>1</v>
      </c>
    </row>
    <row r="2" ht="20" customHeight="1" spans="1:20">
      <c r="A2" s="12" t="s">
        <v>503</v>
      </c>
      <c r="N2" s="13" t="s">
        <v>466</v>
      </c>
      <c r="O2" s="19"/>
      <c r="P2" s="13" t="s">
        <v>467</v>
      </c>
      <c r="Q2" s="19"/>
      <c r="S2" s="11"/>
      <c r="T2" s="11">
        <f>IF($Q2="",DATE(2999,12,31),$Q2)</f>
        <v>401768</v>
      </c>
    </row>
    <row r="3" ht="41" customHeight="1" spans="1:20">
      <c r="A3" s="21" t="s">
        <v>3</v>
      </c>
      <c r="B3" s="21" t="s">
        <v>457</v>
      </c>
      <c r="C3" s="21" t="str">
        <f>"随原料入库-"&amp;基础资料!$B$9&amp;"(01册)"</f>
        <v>随原料入库-自备一次性筐(01册)</v>
      </c>
      <c r="D3" s="21" t="str">
        <f>"随原料入库-"&amp;基础资料!$B$10&amp;"(01册)"</f>
        <v>随原料入库-自备杂周转筐(01册)</v>
      </c>
      <c r="E3" s="21" t="str">
        <f>"自备加工筐入库-"&amp;基础资料!$B$9&amp;"(本册)"</f>
        <v>自备加工筐入库-自备一次性筐(本册)</v>
      </c>
      <c r="F3" s="21" t="str">
        <f>"自备加工筐入库-"&amp;基础资料!$B$10&amp;"(本册)"</f>
        <v>自备加工筐入库-自备杂周转筐(本册)</v>
      </c>
      <c r="G3" s="21" t="str">
        <f>"随原料出库-"&amp;基础资料!$B$9&amp;"(01册·负)"</f>
        <v>随原料出库-自备一次性筐(01册·负)</v>
      </c>
      <c r="H3" s="21" t="str">
        <f>"随原料出库-"&amp;基础资料!$B$10&amp;"(01册·负)"</f>
        <v>随原料出库-自备杂周转筐(01册·负)</v>
      </c>
      <c r="I3" s="21" t="str">
        <f>"随成品出库-"&amp;基础资料!$B$9&amp;"(01册·负)"</f>
        <v>随成品出库-自备一次性筐(01册·负)</v>
      </c>
      <c r="J3" s="21" t="str">
        <f>"随成品出库-"&amp;基础资料!$B$10&amp;"(01册·负)"</f>
        <v>随成品出库-自备杂周转筐(01册·负)</v>
      </c>
      <c r="K3" s="21" t="str">
        <f>"退还空筐-"&amp;基础资料!$B$9&amp;"(本册·负)"</f>
        <v>退还空筐-自备一次性筐(本册·负)</v>
      </c>
      <c r="L3" s="21" t="str">
        <f>"退还空筐-"&amp;基础资料!$B$10&amp;"(本册·负)"</f>
        <v>退还空筐-自备杂周转筐(本册·负)</v>
      </c>
      <c r="M3" s="21" t="str">
        <f>"剩余在库-"&amp;基础资料!$B$9</f>
        <v>剩余在库-自备一次性筐</v>
      </c>
      <c r="N3" s="21" t="str">
        <f>"剩余在库-"&amp;基础资料!$B$10</f>
        <v>剩余在库-自备杂周转筐</v>
      </c>
      <c r="O3" s="21" t="s">
        <v>504</v>
      </c>
      <c r="P3" s="21" t="s">
        <v>130</v>
      </c>
      <c r="Q3" s="21" t="s">
        <v>306</v>
      </c>
    </row>
    <row r="4" spans="1:20">
      <c r="A4" s="22">
        <f t="shared" ref="A4:A67" si="0">IF($B4="","",ROW()-3)</f>
        <v>1</v>
      </c>
      <c r="B4" s="37" t="str">
        <f>IFERROR(INDEX(_自动清单!$AM$4:$AM$203,ROW()-3),"")</f>
        <v>王照雪</v>
      </c>
      <c r="C4" s="25">
        <f>IF(OR($B4="",基础资料!$B$9=""),"",SUMIFS(对接源_01水果筐数!$D$5:$D$304,对接源_01水果筐数!$B$5:$B$304,$B4,对接源_01水果筐数!$C$5:$C$304,基础资料!$B$9))</f>
        <v>422</v>
      </c>
      <c r="D4" s="25">
        <f>IF(OR($B4="",基础资料!$B$10=""),"",SUMIFS(对接源_01水果筐数!$D$5:$D$304,对接源_01水果筐数!$B$5:$B$304,$B4,对接源_01水果筐数!$C$5:$C$304,基础资料!$B$10))</f>
        <v>0</v>
      </c>
      <c r="E4" s="25">
        <f>IF(OR($B4="",基础资料!$B$9=""),"",SUMIFS(客户自备加工筐明细!$F$4:$F$1203,客户自备加工筐明细!$E$4:$E$1203,$B4,客户自备加工筐明细!$C$4:$C$1203,基础资料!$B$9,客户自备加工筐明细!$B$4:$B$1203,"&gt;="&amp;$T$1,客户自备加工筐明细!$B$4:$B$1203,"&lt;="&amp;$T$2))</f>
        <v>1000</v>
      </c>
      <c r="F4" s="25">
        <f>IF(OR($B4="",基础资料!$B$10=""),"",SUMIFS(客户自备加工筐明细!$F$4:$F$1203,客户自备加工筐明细!$E$4:$E$1203,$B4,客户自备加工筐明细!$C$4:$C$1203,基础资料!$B$10,客户自备加工筐明细!$B$4:$B$1203,"&gt;="&amp;$T$1,客户自备加工筐明细!$B$4:$B$1203,"&lt;="&amp;$T$2))</f>
        <v>0</v>
      </c>
      <c r="G4" s="67">
        <f>IF(OR($B4="",基础资料!$B$9=""),"",-SUMIFS(对接源_01水果筐数!$E$5:$E$304,对接源_01水果筐数!$B$5:$B$304,$B4,对接源_01水果筐数!$C$5:$C$304,基础资料!$B$9))</f>
        <v>-422</v>
      </c>
      <c r="H4" s="67">
        <f>IF(OR($B4="",基础资料!$B$10=""),"",-SUMIFS(对接源_01水果筐数!$E$5:$E$304,对接源_01水果筐数!$B$5:$B$304,$B4,对接源_01水果筐数!$C$5:$C$304,基础资料!$B$10))</f>
        <v>0</v>
      </c>
      <c r="I4" s="67">
        <f>IF(OR($B4="",基础资料!$B$9=""),"",-SUMIFS(对接源_01水果筐数!$F$5:$F$304,对接源_01水果筐数!$B$5:$B$304,$B4,对接源_01水果筐数!$C$5:$C$304,基础资料!$B$9))</f>
        <v>0</v>
      </c>
      <c r="J4" s="67">
        <f>IF(OR($B4="",基础资料!$B$10=""),"",-SUMIFS(对接源_01水果筐数!$F$5:$F$304,对接源_01水果筐数!$B$5:$B$304,$B4,对接源_01水果筐数!$C$5:$C$304,基础资料!$B$10))</f>
        <v>0</v>
      </c>
      <c r="K4" s="67">
        <f>IF(OR($B4="",基础资料!$B$9=""),"",-SUMIFS(客户自备加工筐明细!$G$4:$G$1203,客户自备加工筐明细!$E$4:$E$1203,$B4,客户自备加工筐明细!$C$4:$C$1203,基础资料!$B$9,客户自备加工筐明细!$B$4:$B$1203,"&gt;="&amp;$T$1,客户自备加工筐明细!$B$4:$B$1203,"&lt;="&amp;$T$2))</f>
        <v>-12</v>
      </c>
      <c r="L4" s="67">
        <f>IF(OR($B4="",基础资料!$B$10=""),"",-SUMIFS(客户自备加工筐明细!$G$4:$G$1203,客户自备加工筐明细!$E$4:$E$1203,$B4,客户自备加工筐明细!$C$4:$C$1203,基础资料!$B$10,客户自备加工筐明细!$B$4:$B$1203,"&gt;="&amp;$T$1,客户自备加工筐明细!$B$4:$B$1203,"&lt;="&amp;$T$2))</f>
        <v>0</v>
      </c>
      <c r="M4" s="25">
        <f t="shared" ref="M4:M67" si="1">IF($B4="","",N($C4)+N($E4)+N($G4)+N($I4)+N($K4))</f>
        <v>988</v>
      </c>
      <c r="N4" s="25">
        <f t="shared" ref="N4:N67" si="2">IF($B4="","",N($D4)+N($F4)+N($H4)+N($J4)+N($L4))</f>
        <v>0</v>
      </c>
      <c r="O4" s="25">
        <f t="shared" ref="O4:O67" si="3">IF($B4="","",N($M4)+N($N4))</f>
        <v>988</v>
      </c>
      <c r="P4" s="37" t="str">
        <f t="shared" ref="P4:P67" si="4">IF($B4="","",IF(N($O4)&lt;0,"⚠ 剩余为负，请检查","✔"))</f>
        <v>✔</v>
      </c>
      <c r="Q4" s="27"/>
    </row>
    <row r="5" spans="1:20">
      <c r="A5" s="22">
        <f t="shared" si="0"/>
        <v>2</v>
      </c>
      <c r="B5" s="37" t="str">
        <f>IFERROR(INDEX(_自动清单!$AM$4:$AM$203,ROW()-3),"")</f>
        <v>聂新平</v>
      </c>
      <c r="C5" s="25">
        <f>IF(OR($B5="",基础资料!$B$9=""),"",SUMIFS(对接源_01水果筐数!$D$5:$D$304,对接源_01水果筐数!$B$5:$B$304,$B5,对接源_01水果筐数!$C$5:$C$304,基础资料!$B$9))</f>
        <v>11421</v>
      </c>
      <c r="D5" s="25">
        <f>IF(OR($B5="",基础资料!$B$10=""),"",SUMIFS(对接源_01水果筐数!$D$5:$D$304,对接源_01水果筐数!$B$5:$B$304,$B5,对接源_01水果筐数!$C$5:$C$304,基础资料!$B$10))</f>
        <v>0</v>
      </c>
      <c r="E5" s="25">
        <f>IF(OR($B5="",基础资料!$B$9=""),"",SUMIFS(客户自备加工筐明细!$F$4:$F$1203,客户自备加工筐明细!$E$4:$E$1203,$B5,客户自备加工筐明细!$C$4:$C$1203,基础资料!$B$9,客户自备加工筐明细!$B$4:$B$1203,"&gt;="&amp;$T$1,客户自备加工筐明细!$B$4:$B$1203,"&lt;="&amp;$T$2))</f>
        <v>0</v>
      </c>
      <c r="F5" s="25">
        <f>IF(OR($B5="",基础资料!$B$10=""),"",SUMIFS(客户自备加工筐明细!$F$4:$F$1203,客户自备加工筐明细!$E$4:$E$1203,$B5,客户自备加工筐明细!$C$4:$C$1203,基础资料!$B$10,客户自备加工筐明细!$B$4:$B$1203,"&gt;="&amp;$T$1,客户自备加工筐明细!$B$4:$B$1203,"&lt;="&amp;$T$2))</f>
        <v>0</v>
      </c>
      <c r="G5" s="67">
        <f>IF(OR($B5="",基础资料!$B$9=""),"",-SUMIFS(对接源_01水果筐数!$E$5:$E$304,对接源_01水果筐数!$B$5:$B$304,$B5,对接源_01水果筐数!$C$5:$C$304,基础资料!$B$9))</f>
        <v>-10143</v>
      </c>
      <c r="H5" s="67">
        <f>IF(OR($B5="",基础资料!$B$10=""),"",-SUMIFS(对接源_01水果筐数!$E$5:$E$304,对接源_01水果筐数!$B$5:$B$304,$B5,对接源_01水果筐数!$C$5:$C$304,基础资料!$B$10))</f>
        <v>0</v>
      </c>
      <c r="I5" s="67">
        <f>IF(OR($B5="",基础资料!$B$9=""),"",-SUMIFS(对接源_01水果筐数!$F$5:$F$304,对接源_01水果筐数!$B$5:$B$304,$B5,对接源_01水果筐数!$C$5:$C$304,基础资料!$B$9))</f>
        <v>-1260</v>
      </c>
      <c r="J5" s="67">
        <f>IF(OR($B5="",基础资料!$B$10=""),"",-SUMIFS(对接源_01水果筐数!$F$5:$F$304,对接源_01水果筐数!$B$5:$B$304,$B5,对接源_01水果筐数!$C$5:$C$304,基础资料!$B$10))</f>
        <v>0</v>
      </c>
      <c r="K5" s="67">
        <f>IF(OR($B5="",基础资料!$B$9=""),"",-SUMIFS(客户自备加工筐明细!$G$4:$G$1203,客户自备加工筐明细!$E$4:$E$1203,$B5,客户自备加工筐明细!$C$4:$C$1203,基础资料!$B$9,客户自备加工筐明细!$B$4:$B$1203,"&gt;="&amp;$T$1,客户自备加工筐明细!$B$4:$B$1203,"&lt;="&amp;$T$2))</f>
        <v>0</v>
      </c>
      <c r="L5" s="67">
        <f>IF(OR($B5="",基础资料!$B$10=""),"",-SUMIFS(客户自备加工筐明细!$G$4:$G$1203,客户自备加工筐明细!$E$4:$E$1203,$B5,客户自备加工筐明细!$C$4:$C$1203,基础资料!$B$10,客户自备加工筐明细!$B$4:$B$1203,"&gt;="&amp;$T$1,客户自备加工筐明细!$B$4:$B$1203,"&lt;="&amp;$T$2))</f>
        <v>0</v>
      </c>
      <c r="M5" s="25">
        <f t="shared" si="1"/>
        <v>18</v>
      </c>
      <c r="N5" s="25">
        <f t="shared" si="2"/>
        <v>0</v>
      </c>
      <c r="O5" s="25">
        <f t="shared" si="3"/>
        <v>18</v>
      </c>
      <c r="P5" s="37" t="str">
        <f t="shared" si="4"/>
        <v>✔</v>
      </c>
      <c r="Q5" s="27"/>
    </row>
    <row r="6" spans="1:20">
      <c r="A6" s="22">
        <f t="shared" si="0"/>
        <v>3</v>
      </c>
      <c r="B6" s="37" t="str">
        <f>IFERROR(INDEX(_自动清单!$AM$4:$AM$203,ROW()-3),"")</f>
        <v>伍元虎</v>
      </c>
      <c r="C6" s="25">
        <f>IF(OR($B6="",基础资料!$B$9=""),"",SUMIFS(对接源_01水果筐数!$D$5:$D$304,对接源_01水果筐数!$B$5:$B$304,$B6,对接源_01水果筐数!$C$5:$C$304,基础资料!$B$9))</f>
        <v>87</v>
      </c>
      <c r="D6" s="25">
        <f>IF(OR($B6="",基础资料!$B$10=""),"",SUMIFS(对接源_01水果筐数!$D$5:$D$304,对接源_01水果筐数!$B$5:$B$304,$B6,对接源_01水果筐数!$C$5:$C$304,基础资料!$B$10))</f>
        <v>0</v>
      </c>
      <c r="E6" s="25">
        <f>IF(OR($B6="",基础资料!$B$9=""),"",SUMIFS(客户自备加工筐明细!$F$4:$F$1203,客户自备加工筐明细!$E$4:$E$1203,$B6,客户自备加工筐明细!$C$4:$C$1203,基础资料!$B$9,客户自备加工筐明细!$B$4:$B$1203,"&gt;="&amp;$T$1,客户自备加工筐明细!$B$4:$B$1203,"&lt;="&amp;$T$2))</f>
        <v>0</v>
      </c>
      <c r="F6" s="25">
        <f>IF(OR($B6="",基础资料!$B$10=""),"",SUMIFS(客户自备加工筐明细!$F$4:$F$1203,客户自备加工筐明细!$E$4:$E$1203,$B6,客户自备加工筐明细!$C$4:$C$1203,基础资料!$B$10,客户自备加工筐明细!$B$4:$B$1203,"&gt;="&amp;$T$1,客户自备加工筐明细!$B$4:$B$1203,"&lt;="&amp;$T$2))</f>
        <v>0</v>
      </c>
      <c r="G6" s="67">
        <f>IF(OR($B6="",基础资料!$B$9=""),"",-SUMIFS(对接源_01水果筐数!$E$5:$E$304,对接源_01水果筐数!$B$5:$B$304,$B6,对接源_01水果筐数!$C$5:$C$304,基础资料!$B$9))</f>
        <v>-87</v>
      </c>
      <c r="H6" s="67">
        <f>IF(OR($B6="",基础资料!$B$10=""),"",-SUMIFS(对接源_01水果筐数!$E$5:$E$304,对接源_01水果筐数!$B$5:$B$304,$B6,对接源_01水果筐数!$C$5:$C$304,基础资料!$B$10))</f>
        <v>0</v>
      </c>
      <c r="I6" s="67">
        <f>IF(OR($B6="",基础资料!$B$9=""),"",-SUMIFS(对接源_01水果筐数!$F$5:$F$304,对接源_01水果筐数!$B$5:$B$304,$B6,对接源_01水果筐数!$C$5:$C$304,基础资料!$B$9))</f>
        <v>0</v>
      </c>
      <c r="J6" s="67">
        <f>IF(OR($B6="",基础资料!$B$10=""),"",-SUMIFS(对接源_01水果筐数!$F$5:$F$304,对接源_01水果筐数!$B$5:$B$304,$B6,对接源_01水果筐数!$C$5:$C$304,基础资料!$B$10))</f>
        <v>0</v>
      </c>
      <c r="K6" s="67">
        <f>IF(OR($B6="",基础资料!$B$9=""),"",-SUMIFS(客户自备加工筐明细!$G$4:$G$1203,客户自备加工筐明细!$E$4:$E$1203,$B6,客户自备加工筐明细!$C$4:$C$1203,基础资料!$B$9,客户自备加工筐明细!$B$4:$B$1203,"&gt;="&amp;$T$1,客户自备加工筐明细!$B$4:$B$1203,"&lt;="&amp;$T$2))</f>
        <v>0</v>
      </c>
      <c r="L6" s="67">
        <f>IF(OR($B6="",基础资料!$B$10=""),"",-SUMIFS(客户自备加工筐明细!$G$4:$G$1203,客户自备加工筐明细!$E$4:$E$1203,$B6,客户自备加工筐明细!$C$4:$C$1203,基础资料!$B$10,客户自备加工筐明细!$B$4:$B$1203,"&gt;="&amp;$T$1,客户自备加工筐明细!$B$4:$B$1203,"&lt;="&amp;$T$2))</f>
        <v>0</v>
      </c>
      <c r="M6" s="25">
        <f t="shared" si="1"/>
        <v>0</v>
      </c>
      <c r="N6" s="25">
        <f t="shared" si="2"/>
        <v>0</v>
      </c>
      <c r="O6" s="25">
        <f t="shared" si="3"/>
        <v>0</v>
      </c>
      <c r="P6" s="37" t="str">
        <f t="shared" si="4"/>
        <v>✔</v>
      </c>
      <c r="Q6" s="27"/>
    </row>
    <row r="7" spans="1:20">
      <c r="A7" s="22">
        <f t="shared" si="0"/>
        <v>4</v>
      </c>
      <c r="B7" s="37" t="str">
        <f>IFERROR(INDEX(_自动清单!$AM$4:$AM$203,ROW()-3),"")</f>
        <v>马锦祥</v>
      </c>
      <c r="C7" s="25">
        <f>IF(OR($B7="",基础资料!$B$9=""),"",SUMIFS(对接源_01水果筐数!$D$5:$D$304,对接源_01水果筐数!$B$5:$B$304,$B7,对接源_01水果筐数!$C$5:$C$304,基础资料!$B$9))</f>
        <v>68</v>
      </c>
      <c r="D7" s="25">
        <f>IF(OR($B7="",基础资料!$B$10=""),"",SUMIFS(对接源_01水果筐数!$D$5:$D$304,对接源_01水果筐数!$B$5:$B$304,$B7,对接源_01水果筐数!$C$5:$C$304,基础资料!$B$10))</f>
        <v>0</v>
      </c>
      <c r="E7" s="25">
        <f>IF(OR($B7="",基础资料!$B$9=""),"",SUMIFS(客户自备加工筐明细!$F$4:$F$1203,客户自备加工筐明细!$E$4:$E$1203,$B7,客户自备加工筐明细!$C$4:$C$1203,基础资料!$B$9,客户自备加工筐明细!$B$4:$B$1203,"&gt;="&amp;$T$1,客户自备加工筐明细!$B$4:$B$1203,"&lt;="&amp;$T$2))</f>
        <v>0</v>
      </c>
      <c r="F7" s="25">
        <f>IF(OR($B7="",基础资料!$B$10=""),"",SUMIFS(客户自备加工筐明细!$F$4:$F$1203,客户自备加工筐明细!$E$4:$E$1203,$B7,客户自备加工筐明细!$C$4:$C$1203,基础资料!$B$10,客户自备加工筐明细!$B$4:$B$1203,"&gt;="&amp;$T$1,客户自备加工筐明细!$B$4:$B$1203,"&lt;="&amp;$T$2))</f>
        <v>0</v>
      </c>
      <c r="G7" s="67">
        <f>IF(OR($B7="",基础资料!$B$9=""),"",-SUMIFS(对接源_01水果筐数!$E$5:$E$304,对接源_01水果筐数!$B$5:$B$304,$B7,对接源_01水果筐数!$C$5:$C$304,基础资料!$B$9))</f>
        <v>-2</v>
      </c>
      <c r="H7" s="67">
        <f>IF(OR($B7="",基础资料!$B$10=""),"",-SUMIFS(对接源_01水果筐数!$E$5:$E$304,对接源_01水果筐数!$B$5:$B$304,$B7,对接源_01水果筐数!$C$5:$C$304,基础资料!$B$10))</f>
        <v>0</v>
      </c>
      <c r="I7" s="67">
        <f>IF(OR($B7="",基础资料!$B$9=""),"",-SUMIFS(对接源_01水果筐数!$F$5:$F$304,对接源_01水果筐数!$B$5:$B$304,$B7,对接源_01水果筐数!$C$5:$C$304,基础资料!$B$9))</f>
        <v>0</v>
      </c>
      <c r="J7" s="67">
        <f>IF(OR($B7="",基础资料!$B$10=""),"",-SUMIFS(对接源_01水果筐数!$F$5:$F$304,对接源_01水果筐数!$B$5:$B$304,$B7,对接源_01水果筐数!$C$5:$C$304,基础资料!$B$10))</f>
        <v>0</v>
      </c>
      <c r="K7" s="67">
        <f>IF(OR($B7="",基础资料!$B$9=""),"",-SUMIFS(客户自备加工筐明细!$G$4:$G$1203,客户自备加工筐明细!$E$4:$E$1203,$B7,客户自备加工筐明细!$C$4:$C$1203,基础资料!$B$9,客户自备加工筐明细!$B$4:$B$1203,"&gt;="&amp;$T$1,客户自备加工筐明细!$B$4:$B$1203,"&lt;="&amp;$T$2))</f>
        <v>0</v>
      </c>
      <c r="L7" s="67">
        <f>IF(OR($B7="",基础资料!$B$10=""),"",-SUMIFS(客户自备加工筐明细!$G$4:$G$1203,客户自备加工筐明细!$E$4:$E$1203,$B7,客户自备加工筐明细!$C$4:$C$1203,基础资料!$B$10,客户自备加工筐明细!$B$4:$B$1203,"&gt;="&amp;$T$1,客户自备加工筐明细!$B$4:$B$1203,"&lt;="&amp;$T$2))</f>
        <v>0</v>
      </c>
      <c r="M7" s="25">
        <f t="shared" si="1"/>
        <v>66</v>
      </c>
      <c r="N7" s="25">
        <f t="shared" si="2"/>
        <v>0</v>
      </c>
      <c r="O7" s="25">
        <f t="shared" si="3"/>
        <v>66</v>
      </c>
      <c r="P7" s="37" t="str">
        <f t="shared" si="4"/>
        <v>✔</v>
      </c>
      <c r="Q7" s="27"/>
    </row>
    <row r="8" spans="1:20">
      <c r="A8" s="22">
        <f t="shared" si="0"/>
        <v>5</v>
      </c>
      <c r="B8" s="37" t="str">
        <f>IFERROR(INDEX(_自动清单!$AM$4:$AM$203,ROW()-3),"")</f>
        <v>贾建国</v>
      </c>
      <c r="C8" s="25">
        <f>IF(OR($B8="",基础资料!$B$9=""),"",SUMIFS(对接源_01水果筐数!$D$5:$D$304,对接源_01水果筐数!$B$5:$B$304,$B8,对接源_01水果筐数!$C$5:$C$304,基础资料!$B$9))</f>
        <v>832</v>
      </c>
      <c r="D8" s="25">
        <f>IF(OR($B8="",基础资料!$B$10=""),"",SUMIFS(对接源_01水果筐数!$D$5:$D$304,对接源_01水果筐数!$B$5:$B$304,$B8,对接源_01水果筐数!$C$5:$C$304,基础资料!$B$10))</f>
        <v>354</v>
      </c>
      <c r="E8" s="25">
        <f>IF(OR($B8="",基础资料!$B$9=""),"",SUMIFS(客户自备加工筐明细!$F$4:$F$1203,客户自备加工筐明细!$E$4:$E$1203,$B8,客户自备加工筐明细!$C$4:$C$1203,基础资料!$B$9,客户自备加工筐明细!$B$4:$B$1203,"&gt;="&amp;$T$1,客户自备加工筐明细!$B$4:$B$1203,"&lt;="&amp;$T$2))</f>
        <v>0</v>
      </c>
      <c r="F8" s="25">
        <f>IF(OR($B8="",基础资料!$B$10=""),"",SUMIFS(客户自备加工筐明细!$F$4:$F$1203,客户自备加工筐明细!$E$4:$E$1203,$B8,客户自备加工筐明细!$C$4:$C$1203,基础资料!$B$10,客户自备加工筐明细!$B$4:$B$1203,"&gt;="&amp;$T$1,客户自备加工筐明细!$B$4:$B$1203,"&lt;="&amp;$T$2))</f>
        <v>0</v>
      </c>
      <c r="G8" s="67">
        <f>IF(OR($B8="",基础资料!$B$9=""),"",-SUMIFS(对接源_01水果筐数!$E$5:$E$304,对接源_01水果筐数!$B$5:$B$304,$B8,对接源_01水果筐数!$C$5:$C$304,基础资料!$B$9))</f>
        <v>0</v>
      </c>
      <c r="H8" s="67">
        <f>IF(OR($B8="",基础资料!$B$10=""),"",-SUMIFS(对接源_01水果筐数!$E$5:$E$304,对接源_01水果筐数!$B$5:$B$304,$B8,对接源_01水果筐数!$C$5:$C$304,基础资料!$B$10))</f>
        <v>0</v>
      </c>
      <c r="I8" s="67">
        <f>IF(OR($B8="",基础资料!$B$9=""),"",-SUMIFS(对接源_01水果筐数!$F$5:$F$304,对接源_01水果筐数!$B$5:$B$304,$B8,对接源_01水果筐数!$C$5:$C$304,基础资料!$B$9))</f>
        <v>0</v>
      </c>
      <c r="J8" s="67">
        <f>IF(OR($B8="",基础资料!$B$10=""),"",-SUMIFS(对接源_01水果筐数!$F$5:$F$304,对接源_01水果筐数!$B$5:$B$304,$B8,对接源_01水果筐数!$C$5:$C$304,基础资料!$B$10))</f>
        <v>0</v>
      </c>
      <c r="K8" s="67">
        <f>IF(OR($B8="",基础资料!$B$9=""),"",-SUMIFS(客户自备加工筐明细!$G$4:$G$1203,客户自备加工筐明细!$E$4:$E$1203,$B8,客户自备加工筐明细!$C$4:$C$1203,基础资料!$B$9,客户自备加工筐明细!$B$4:$B$1203,"&gt;="&amp;$T$1,客户自备加工筐明细!$B$4:$B$1203,"&lt;="&amp;$T$2))</f>
        <v>0</v>
      </c>
      <c r="L8" s="67">
        <f>IF(OR($B8="",基础资料!$B$10=""),"",-SUMIFS(客户自备加工筐明细!$G$4:$G$1203,客户自备加工筐明细!$E$4:$E$1203,$B8,客户自备加工筐明细!$C$4:$C$1203,基础资料!$B$10,客户自备加工筐明细!$B$4:$B$1203,"&gt;="&amp;$T$1,客户自备加工筐明细!$B$4:$B$1203,"&lt;="&amp;$T$2))</f>
        <v>0</v>
      </c>
      <c r="M8" s="25">
        <f t="shared" si="1"/>
        <v>832</v>
      </c>
      <c r="N8" s="25">
        <f t="shared" si="2"/>
        <v>354</v>
      </c>
      <c r="O8" s="25">
        <f t="shared" si="3"/>
        <v>1186</v>
      </c>
      <c r="P8" s="37" t="str">
        <f t="shared" si="4"/>
        <v>✔</v>
      </c>
      <c r="Q8" s="27"/>
    </row>
    <row r="9" spans="1:20">
      <c r="A9" s="22">
        <f t="shared" si="0"/>
        <v>6</v>
      </c>
      <c r="B9" s="37" t="str">
        <f>IFERROR(INDEX(_自动清单!$AM$4:$AM$203,ROW()-3),"")</f>
        <v>杨艳玲</v>
      </c>
      <c r="C9" s="25">
        <f>IF(OR($B9="",基础资料!$B$9=""),"",SUMIFS(对接源_01水果筐数!$D$5:$D$304,对接源_01水果筐数!$B$5:$B$304,$B9,对接源_01水果筐数!$C$5:$C$304,基础资料!$B$9))</f>
        <v>104</v>
      </c>
      <c r="D9" s="25">
        <f>IF(OR($B9="",基础资料!$B$10=""),"",SUMIFS(对接源_01水果筐数!$D$5:$D$304,对接源_01水果筐数!$B$5:$B$304,$B9,对接源_01水果筐数!$C$5:$C$304,基础资料!$B$10))</f>
        <v>0</v>
      </c>
      <c r="E9" s="25">
        <f>IF(OR($B9="",基础资料!$B$9=""),"",SUMIFS(客户自备加工筐明细!$F$4:$F$1203,客户自备加工筐明细!$E$4:$E$1203,$B9,客户自备加工筐明细!$C$4:$C$1203,基础资料!$B$9,客户自备加工筐明细!$B$4:$B$1203,"&gt;="&amp;$T$1,客户自备加工筐明细!$B$4:$B$1203,"&lt;="&amp;$T$2))</f>
        <v>0</v>
      </c>
      <c r="F9" s="25">
        <f>IF(OR($B9="",基础资料!$B$10=""),"",SUMIFS(客户自备加工筐明细!$F$4:$F$1203,客户自备加工筐明细!$E$4:$E$1203,$B9,客户自备加工筐明细!$C$4:$C$1203,基础资料!$B$10,客户自备加工筐明细!$B$4:$B$1203,"&gt;="&amp;$T$1,客户自备加工筐明细!$B$4:$B$1203,"&lt;="&amp;$T$2))</f>
        <v>0</v>
      </c>
      <c r="G9" s="67">
        <f>IF(OR($B9="",基础资料!$B$9=""),"",-SUMIFS(对接源_01水果筐数!$E$5:$E$304,对接源_01水果筐数!$B$5:$B$304,$B9,对接源_01水果筐数!$C$5:$C$304,基础资料!$B$9))</f>
        <v>0</v>
      </c>
      <c r="H9" s="67">
        <f>IF(OR($B9="",基础资料!$B$10=""),"",-SUMIFS(对接源_01水果筐数!$E$5:$E$304,对接源_01水果筐数!$B$5:$B$304,$B9,对接源_01水果筐数!$C$5:$C$304,基础资料!$B$10))</f>
        <v>0</v>
      </c>
      <c r="I9" s="67">
        <f>IF(OR($B9="",基础资料!$B$9=""),"",-SUMIFS(对接源_01水果筐数!$F$5:$F$304,对接源_01水果筐数!$B$5:$B$304,$B9,对接源_01水果筐数!$C$5:$C$304,基础资料!$B$9))</f>
        <v>0</v>
      </c>
      <c r="J9" s="67">
        <f>IF(OR($B9="",基础资料!$B$10=""),"",-SUMIFS(对接源_01水果筐数!$F$5:$F$304,对接源_01水果筐数!$B$5:$B$304,$B9,对接源_01水果筐数!$C$5:$C$304,基础资料!$B$10))</f>
        <v>0</v>
      </c>
      <c r="K9" s="67">
        <f>IF(OR($B9="",基础资料!$B$9=""),"",-SUMIFS(客户自备加工筐明细!$G$4:$G$1203,客户自备加工筐明细!$E$4:$E$1203,$B9,客户自备加工筐明细!$C$4:$C$1203,基础资料!$B$9,客户自备加工筐明细!$B$4:$B$1203,"&gt;="&amp;$T$1,客户自备加工筐明细!$B$4:$B$1203,"&lt;="&amp;$T$2))</f>
        <v>0</v>
      </c>
      <c r="L9" s="67">
        <f>IF(OR($B9="",基础资料!$B$10=""),"",-SUMIFS(客户自备加工筐明细!$G$4:$G$1203,客户自备加工筐明细!$E$4:$E$1203,$B9,客户自备加工筐明细!$C$4:$C$1203,基础资料!$B$10,客户自备加工筐明细!$B$4:$B$1203,"&gt;="&amp;$T$1,客户自备加工筐明细!$B$4:$B$1203,"&lt;="&amp;$T$2))</f>
        <v>0</v>
      </c>
      <c r="M9" s="25">
        <f t="shared" si="1"/>
        <v>104</v>
      </c>
      <c r="N9" s="25">
        <f t="shared" si="2"/>
        <v>0</v>
      </c>
      <c r="O9" s="25">
        <f t="shared" si="3"/>
        <v>104</v>
      </c>
      <c r="P9" s="37" t="str">
        <f t="shared" si="4"/>
        <v>✔</v>
      </c>
      <c r="Q9" s="27"/>
    </row>
    <row r="10" spans="1:20">
      <c r="A10" s="22" t="str">
        <f t="shared" si="0"/>
        <v/>
      </c>
      <c r="B10" s="37" t="str">
        <f>IFERROR(INDEX(_自动清单!$AM$4:$AM$203,ROW()-3),"")</f>
        <v/>
      </c>
      <c r="C10" s="25" t="str">
        <f>IF(OR($B10="",基础资料!$B$9=""),"",SUMIFS(对接源_01水果筐数!$D$5:$D$304,对接源_01水果筐数!$B$5:$B$304,$B10,对接源_01水果筐数!$C$5:$C$304,基础资料!$B$9))</f>
        <v/>
      </c>
      <c r="D10" s="25" t="str">
        <f>IF(OR($B10="",基础资料!$B$10=""),"",SUMIFS(对接源_01水果筐数!$D$5:$D$304,对接源_01水果筐数!$B$5:$B$304,$B10,对接源_01水果筐数!$C$5:$C$304,基础资料!$B$10))</f>
        <v/>
      </c>
      <c r="E10" s="25" t="str">
        <f>IF(OR($B10="",基础资料!$B$9=""),"",SUMIFS(客户自备加工筐明细!$F$4:$F$1203,客户自备加工筐明细!$E$4:$E$1203,$B10,客户自备加工筐明细!$C$4:$C$1203,基础资料!$B$9,客户自备加工筐明细!$B$4:$B$1203,"&gt;="&amp;$T$1,客户自备加工筐明细!$B$4:$B$1203,"&lt;="&amp;$T$2))</f>
        <v/>
      </c>
      <c r="F10" s="25" t="str">
        <f>IF(OR($B10="",基础资料!$B$10=""),"",SUMIFS(客户自备加工筐明细!$F$4:$F$1203,客户自备加工筐明细!$E$4:$E$1203,$B10,客户自备加工筐明细!$C$4:$C$1203,基础资料!$B$10,客户自备加工筐明细!$B$4:$B$1203,"&gt;="&amp;$T$1,客户自备加工筐明细!$B$4:$B$1203,"&lt;="&amp;$T$2))</f>
        <v/>
      </c>
      <c r="G10" s="67" t="str">
        <f>IF(OR($B10="",基础资料!$B$9=""),"",-SUMIFS(对接源_01水果筐数!$E$5:$E$304,对接源_01水果筐数!$B$5:$B$304,$B10,对接源_01水果筐数!$C$5:$C$304,基础资料!$B$9))</f>
        <v/>
      </c>
      <c r="H10" s="67" t="str">
        <f>IF(OR($B10="",基础资料!$B$10=""),"",-SUMIFS(对接源_01水果筐数!$E$5:$E$304,对接源_01水果筐数!$B$5:$B$304,$B10,对接源_01水果筐数!$C$5:$C$304,基础资料!$B$10))</f>
        <v/>
      </c>
      <c r="I10" s="67" t="str">
        <f>IF(OR($B10="",基础资料!$B$9=""),"",-SUMIFS(对接源_01水果筐数!$F$5:$F$304,对接源_01水果筐数!$B$5:$B$304,$B10,对接源_01水果筐数!$C$5:$C$304,基础资料!$B$9))</f>
        <v/>
      </c>
      <c r="J10" s="67" t="str">
        <f>IF(OR($B10="",基础资料!$B$10=""),"",-SUMIFS(对接源_01水果筐数!$F$5:$F$304,对接源_01水果筐数!$B$5:$B$304,$B10,对接源_01水果筐数!$C$5:$C$304,基础资料!$B$10))</f>
        <v/>
      </c>
      <c r="K10" s="67" t="str">
        <f>IF(OR($B10="",基础资料!$B$9=""),"",-SUMIFS(客户自备加工筐明细!$G$4:$G$1203,客户自备加工筐明细!$E$4:$E$1203,$B10,客户自备加工筐明细!$C$4:$C$1203,基础资料!$B$9,客户自备加工筐明细!$B$4:$B$1203,"&gt;="&amp;$T$1,客户自备加工筐明细!$B$4:$B$1203,"&lt;="&amp;$T$2))</f>
        <v/>
      </c>
      <c r="L10" s="67" t="str">
        <f>IF(OR($B10="",基础资料!$B$10=""),"",-SUMIFS(客户自备加工筐明细!$G$4:$G$1203,客户自备加工筐明细!$E$4:$E$1203,$B10,客户自备加工筐明细!$C$4:$C$1203,基础资料!$B$10,客户自备加工筐明细!$B$4:$B$1203,"&gt;="&amp;$T$1,客户自备加工筐明细!$B$4:$B$1203,"&lt;="&amp;$T$2))</f>
        <v/>
      </c>
      <c r="M10" s="25" t="str">
        <f t="shared" si="1"/>
        <v/>
      </c>
      <c r="N10" s="25" t="str">
        <f t="shared" si="2"/>
        <v/>
      </c>
      <c r="O10" s="25" t="str">
        <f t="shared" si="3"/>
        <v/>
      </c>
      <c r="P10" s="37" t="str">
        <f t="shared" si="4"/>
        <v/>
      </c>
      <c r="Q10" s="27"/>
    </row>
    <row r="11" spans="1:20">
      <c r="A11" s="22" t="str">
        <f t="shared" si="0"/>
        <v/>
      </c>
      <c r="B11" s="37" t="str">
        <f>IFERROR(INDEX(_自动清单!$AM$4:$AM$203,ROW()-3),"")</f>
        <v/>
      </c>
      <c r="C11" s="25" t="str">
        <f>IF(OR($B11="",基础资料!$B$9=""),"",SUMIFS(对接源_01水果筐数!$D$5:$D$304,对接源_01水果筐数!$B$5:$B$304,$B11,对接源_01水果筐数!$C$5:$C$304,基础资料!$B$9))</f>
        <v/>
      </c>
      <c r="D11" s="25" t="str">
        <f>IF(OR($B11="",基础资料!$B$10=""),"",SUMIFS(对接源_01水果筐数!$D$5:$D$304,对接源_01水果筐数!$B$5:$B$304,$B11,对接源_01水果筐数!$C$5:$C$304,基础资料!$B$10))</f>
        <v/>
      </c>
      <c r="E11" s="25" t="str">
        <f>IF(OR($B11="",基础资料!$B$9=""),"",SUMIFS(客户自备加工筐明细!$F$4:$F$1203,客户自备加工筐明细!$E$4:$E$1203,$B11,客户自备加工筐明细!$C$4:$C$1203,基础资料!$B$9,客户自备加工筐明细!$B$4:$B$1203,"&gt;="&amp;$T$1,客户自备加工筐明细!$B$4:$B$1203,"&lt;="&amp;$T$2))</f>
        <v/>
      </c>
      <c r="F11" s="25" t="str">
        <f>IF(OR($B11="",基础资料!$B$10=""),"",SUMIFS(客户自备加工筐明细!$F$4:$F$1203,客户自备加工筐明细!$E$4:$E$1203,$B11,客户自备加工筐明细!$C$4:$C$1203,基础资料!$B$10,客户自备加工筐明细!$B$4:$B$1203,"&gt;="&amp;$T$1,客户自备加工筐明细!$B$4:$B$1203,"&lt;="&amp;$T$2))</f>
        <v/>
      </c>
      <c r="G11" s="67" t="str">
        <f>IF(OR($B11="",基础资料!$B$9=""),"",-SUMIFS(对接源_01水果筐数!$E$5:$E$304,对接源_01水果筐数!$B$5:$B$304,$B11,对接源_01水果筐数!$C$5:$C$304,基础资料!$B$9))</f>
        <v/>
      </c>
      <c r="H11" s="67" t="str">
        <f>IF(OR($B11="",基础资料!$B$10=""),"",-SUMIFS(对接源_01水果筐数!$E$5:$E$304,对接源_01水果筐数!$B$5:$B$304,$B11,对接源_01水果筐数!$C$5:$C$304,基础资料!$B$10))</f>
        <v/>
      </c>
      <c r="I11" s="67" t="str">
        <f>IF(OR($B11="",基础资料!$B$9=""),"",-SUMIFS(对接源_01水果筐数!$F$5:$F$304,对接源_01水果筐数!$B$5:$B$304,$B11,对接源_01水果筐数!$C$5:$C$304,基础资料!$B$9))</f>
        <v/>
      </c>
      <c r="J11" s="67" t="str">
        <f>IF(OR($B11="",基础资料!$B$10=""),"",-SUMIFS(对接源_01水果筐数!$F$5:$F$304,对接源_01水果筐数!$B$5:$B$304,$B11,对接源_01水果筐数!$C$5:$C$304,基础资料!$B$10))</f>
        <v/>
      </c>
      <c r="K11" s="67" t="str">
        <f>IF(OR($B11="",基础资料!$B$9=""),"",-SUMIFS(客户自备加工筐明细!$G$4:$G$1203,客户自备加工筐明细!$E$4:$E$1203,$B11,客户自备加工筐明细!$C$4:$C$1203,基础资料!$B$9,客户自备加工筐明细!$B$4:$B$1203,"&gt;="&amp;$T$1,客户自备加工筐明细!$B$4:$B$1203,"&lt;="&amp;$T$2))</f>
        <v/>
      </c>
      <c r="L11" s="67" t="str">
        <f>IF(OR($B11="",基础资料!$B$10=""),"",-SUMIFS(客户自备加工筐明细!$G$4:$G$1203,客户自备加工筐明细!$E$4:$E$1203,$B11,客户自备加工筐明细!$C$4:$C$1203,基础资料!$B$10,客户自备加工筐明细!$B$4:$B$1203,"&gt;="&amp;$T$1,客户自备加工筐明细!$B$4:$B$1203,"&lt;="&amp;$T$2))</f>
        <v/>
      </c>
      <c r="M11" s="25" t="str">
        <f t="shared" si="1"/>
        <v/>
      </c>
      <c r="N11" s="25" t="str">
        <f t="shared" si="2"/>
        <v/>
      </c>
      <c r="O11" s="25" t="str">
        <f t="shared" si="3"/>
        <v/>
      </c>
      <c r="P11" s="37" t="str">
        <f t="shared" si="4"/>
        <v/>
      </c>
      <c r="Q11" s="27"/>
    </row>
    <row r="12" spans="1:20">
      <c r="A12" s="22" t="str">
        <f t="shared" si="0"/>
        <v/>
      </c>
      <c r="B12" s="37" t="str">
        <f>IFERROR(INDEX(_自动清单!$AM$4:$AM$203,ROW()-3),"")</f>
        <v/>
      </c>
      <c r="C12" s="25" t="str">
        <f>IF(OR($B12="",基础资料!$B$9=""),"",SUMIFS(对接源_01水果筐数!$D$5:$D$304,对接源_01水果筐数!$B$5:$B$304,$B12,对接源_01水果筐数!$C$5:$C$304,基础资料!$B$9))</f>
        <v/>
      </c>
      <c r="D12" s="25" t="str">
        <f>IF(OR($B12="",基础资料!$B$10=""),"",SUMIFS(对接源_01水果筐数!$D$5:$D$304,对接源_01水果筐数!$B$5:$B$304,$B12,对接源_01水果筐数!$C$5:$C$304,基础资料!$B$10))</f>
        <v/>
      </c>
      <c r="E12" s="25" t="str">
        <f>IF(OR($B12="",基础资料!$B$9=""),"",SUMIFS(客户自备加工筐明细!$F$4:$F$1203,客户自备加工筐明细!$E$4:$E$1203,$B12,客户自备加工筐明细!$C$4:$C$1203,基础资料!$B$9,客户自备加工筐明细!$B$4:$B$1203,"&gt;="&amp;$T$1,客户自备加工筐明细!$B$4:$B$1203,"&lt;="&amp;$T$2))</f>
        <v/>
      </c>
      <c r="F12" s="25" t="str">
        <f>IF(OR($B12="",基础资料!$B$10=""),"",SUMIFS(客户自备加工筐明细!$F$4:$F$1203,客户自备加工筐明细!$E$4:$E$1203,$B12,客户自备加工筐明细!$C$4:$C$1203,基础资料!$B$10,客户自备加工筐明细!$B$4:$B$1203,"&gt;="&amp;$T$1,客户自备加工筐明细!$B$4:$B$1203,"&lt;="&amp;$T$2))</f>
        <v/>
      </c>
      <c r="G12" s="67" t="str">
        <f>IF(OR($B12="",基础资料!$B$9=""),"",-SUMIFS(对接源_01水果筐数!$E$5:$E$304,对接源_01水果筐数!$B$5:$B$304,$B12,对接源_01水果筐数!$C$5:$C$304,基础资料!$B$9))</f>
        <v/>
      </c>
      <c r="H12" s="67" t="str">
        <f>IF(OR($B12="",基础资料!$B$10=""),"",-SUMIFS(对接源_01水果筐数!$E$5:$E$304,对接源_01水果筐数!$B$5:$B$304,$B12,对接源_01水果筐数!$C$5:$C$304,基础资料!$B$10))</f>
        <v/>
      </c>
      <c r="I12" s="67" t="str">
        <f>IF(OR($B12="",基础资料!$B$9=""),"",-SUMIFS(对接源_01水果筐数!$F$5:$F$304,对接源_01水果筐数!$B$5:$B$304,$B12,对接源_01水果筐数!$C$5:$C$304,基础资料!$B$9))</f>
        <v/>
      </c>
      <c r="J12" s="67" t="str">
        <f>IF(OR($B12="",基础资料!$B$10=""),"",-SUMIFS(对接源_01水果筐数!$F$5:$F$304,对接源_01水果筐数!$B$5:$B$304,$B12,对接源_01水果筐数!$C$5:$C$304,基础资料!$B$10))</f>
        <v/>
      </c>
      <c r="K12" s="67" t="str">
        <f>IF(OR($B12="",基础资料!$B$9=""),"",-SUMIFS(客户自备加工筐明细!$G$4:$G$1203,客户自备加工筐明细!$E$4:$E$1203,$B12,客户自备加工筐明细!$C$4:$C$1203,基础资料!$B$9,客户自备加工筐明细!$B$4:$B$1203,"&gt;="&amp;$T$1,客户自备加工筐明细!$B$4:$B$1203,"&lt;="&amp;$T$2))</f>
        <v/>
      </c>
      <c r="L12" s="67" t="str">
        <f>IF(OR($B12="",基础资料!$B$10=""),"",-SUMIFS(客户自备加工筐明细!$G$4:$G$1203,客户自备加工筐明细!$E$4:$E$1203,$B12,客户自备加工筐明细!$C$4:$C$1203,基础资料!$B$10,客户自备加工筐明细!$B$4:$B$1203,"&gt;="&amp;$T$1,客户自备加工筐明细!$B$4:$B$1203,"&lt;="&amp;$T$2))</f>
        <v/>
      </c>
      <c r="M12" s="25" t="str">
        <f t="shared" si="1"/>
        <v/>
      </c>
      <c r="N12" s="25" t="str">
        <f t="shared" si="2"/>
        <v/>
      </c>
      <c r="O12" s="25" t="str">
        <f t="shared" si="3"/>
        <v/>
      </c>
      <c r="P12" s="37" t="str">
        <f t="shared" si="4"/>
        <v/>
      </c>
      <c r="Q12" s="27"/>
    </row>
    <row r="13" spans="1:20">
      <c r="A13" s="22" t="str">
        <f t="shared" si="0"/>
        <v/>
      </c>
      <c r="B13" s="37" t="str">
        <f>IFERROR(INDEX(_自动清单!$AM$4:$AM$203,ROW()-3),"")</f>
        <v/>
      </c>
      <c r="C13" s="25" t="str">
        <f>IF(OR($B13="",基础资料!$B$9=""),"",SUMIFS(对接源_01水果筐数!$D$5:$D$304,对接源_01水果筐数!$B$5:$B$304,$B13,对接源_01水果筐数!$C$5:$C$304,基础资料!$B$9))</f>
        <v/>
      </c>
      <c r="D13" s="25" t="str">
        <f>IF(OR($B13="",基础资料!$B$10=""),"",SUMIFS(对接源_01水果筐数!$D$5:$D$304,对接源_01水果筐数!$B$5:$B$304,$B13,对接源_01水果筐数!$C$5:$C$304,基础资料!$B$10))</f>
        <v/>
      </c>
      <c r="E13" s="25" t="str">
        <f>IF(OR($B13="",基础资料!$B$9=""),"",SUMIFS(客户自备加工筐明细!$F$4:$F$1203,客户自备加工筐明细!$E$4:$E$1203,$B13,客户自备加工筐明细!$C$4:$C$1203,基础资料!$B$9,客户自备加工筐明细!$B$4:$B$1203,"&gt;="&amp;$T$1,客户自备加工筐明细!$B$4:$B$1203,"&lt;="&amp;$T$2))</f>
        <v/>
      </c>
      <c r="F13" s="25" t="str">
        <f>IF(OR($B13="",基础资料!$B$10=""),"",SUMIFS(客户自备加工筐明细!$F$4:$F$1203,客户自备加工筐明细!$E$4:$E$1203,$B13,客户自备加工筐明细!$C$4:$C$1203,基础资料!$B$10,客户自备加工筐明细!$B$4:$B$1203,"&gt;="&amp;$T$1,客户自备加工筐明细!$B$4:$B$1203,"&lt;="&amp;$T$2))</f>
        <v/>
      </c>
      <c r="G13" s="67" t="str">
        <f>IF(OR($B13="",基础资料!$B$9=""),"",-SUMIFS(对接源_01水果筐数!$E$5:$E$304,对接源_01水果筐数!$B$5:$B$304,$B13,对接源_01水果筐数!$C$5:$C$304,基础资料!$B$9))</f>
        <v/>
      </c>
      <c r="H13" s="67" t="str">
        <f>IF(OR($B13="",基础资料!$B$10=""),"",-SUMIFS(对接源_01水果筐数!$E$5:$E$304,对接源_01水果筐数!$B$5:$B$304,$B13,对接源_01水果筐数!$C$5:$C$304,基础资料!$B$10))</f>
        <v/>
      </c>
      <c r="I13" s="67" t="str">
        <f>IF(OR($B13="",基础资料!$B$9=""),"",-SUMIFS(对接源_01水果筐数!$F$5:$F$304,对接源_01水果筐数!$B$5:$B$304,$B13,对接源_01水果筐数!$C$5:$C$304,基础资料!$B$9))</f>
        <v/>
      </c>
      <c r="J13" s="67" t="str">
        <f>IF(OR($B13="",基础资料!$B$10=""),"",-SUMIFS(对接源_01水果筐数!$F$5:$F$304,对接源_01水果筐数!$B$5:$B$304,$B13,对接源_01水果筐数!$C$5:$C$304,基础资料!$B$10))</f>
        <v/>
      </c>
      <c r="K13" s="67" t="str">
        <f>IF(OR($B13="",基础资料!$B$9=""),"",-SUMIFS(客户自备加工筐明细!$G$4:$G$1203,客户自备加工筐明细!$E$4:$E$1203,$B13,客户自备加工筐明细!$C$4:$C$1203,基础资料!$B$9,客户自备加工筐明细!$B$4:$B$1203,"&gt;="&amp;$T$1,客户自备加工筐明细!$B$4:$B$1203,"&lt;="&amp;$T$2))</f>
        <v/>
      </c>
      <c r="L13" s="67" t="str">
        <f>IF(OR($B13="",基础资料!$B$10=""),"",-SUMIFS(客户自备加工筐明细!$G$4:$G$1203,客户自备加工筐明细!$E$4:$E$1203,$B13,客户自备加工筐明细!$C$4:$C$1203,基础资料!$B$10,客户自备加工筐明细!$B$4:$B$1203,"&gt;="&amp;$T$1,客户自备加工筐明细!$B$4:$B$1203,"&lt;="&amp;$T$2))</f>
        <v/>
      </c>
      <c r="M13" s="25" t="str">
        <f t="shared" si="1"/>
        <v/>
      </c>
      <c r="N13" s="25" t="str">
        <f t="shared" si="2"/>
        <v/>
      </c>
      <c r="O13" s="25" t="str">
        <f t="shared" si="3"/>
        <v/>
      </c>
      <c r="P13" s="37" t="str">
        <f t="shared" si="4"/>
        <v/>
      </c>
      <c r="Q13" s="27"/>
    </row>
    <row r="14" spans="1:20">
      <c r="A14" s="22" t="str">
        <f t="shared" si="0"/>
        <v/>
      </c>
      <c r="B14" s="37" t="str">
        <f>IFERROR(INDEX(_自动清单!$AM$4:$AM$203,ROW()-3),"")</f>
        <v/>
      </c>
      <c r="C14" s="25" t="str">
        <f>IF(OR($B14="",基础资料!$B$9=""),"",SUMIFS(对接源_01水果筐数!$D$5:$D$304,对接源_01水果筐数!$B$5:$B$304,$B14,对接源_01水果筐数!$C$5:$C$304,基础资料!$B$9))</f>
        <v/>
      </c>
      <c r="D14" s="25" t="str">
        <f>IF(OR($B14="",基础资料!$B$10=""),"",SUMIFS(对接源_01水果筐数!$D$5:$D$304,对接源_01水果筐数!$B$5:$B$304,$B14,对接源_01水果筐数!$C$5:$C$304,基础资料!$B$10))</f>
        <v/>
      </c>
      <c r="E14" s="25" t="str">
        <f>IF(OR($B14="",基础资料!$B$9=""),"",SUMIFS(客户自备加工筐明细!$F$4:$F$1203,客户自备加工筐明细!$E$4:$E$1203,$B14,客户自备加工筐明细!$C$4:$C$1203,基础资料!$B$9,客户自备加工筐明细!$B$4:$B$1203,"&gt;="&amp;$T$1,客户自备加工筐明细!$B$4:$B$1203,"&lt;="&amp;$T$2))</f>
        <v/>
      </c>
      <c r="F14" s="25" t="str">
        <f>IF(OR($B14="",基础资料!$B$10=""),"",SUMIFS(客户自备加工筐明细!$F$4:$F$1203,客户自备加工筐明细!$E$4:$E$1203,$B14,客户自备加工筐明细!$C$4:$C$1203,基础资料!$B$10,客户自备加工筐明细!$B$4:$B$1203,"&gt;="&amp;$T$1,客户自备加工筐明细!$B$4:$B$1203,"&lt;="&amp;$T$2))</f>
        <v/>
      </c>
      <c r="G14" s="67" t="str">
        <f>IF(OR($B14="",基础资料!$B$9=""),"",-SUMIFS(对接源_01水果筐数!$E$5:$E$304,对接源_01水果筐数!$B$5:$B$304,$B14,对接源_01水果筐数!$C$5:$C$304,基础资料!$B$9))</f>
        <v/>
      </c>
      <c r="H14" s="67" t="str">
        <f>IF(OR($B14="",基础资料!$B$10=""),"",-SUMIFS(对接源_01水果筐数!$E$5:$E$304,对接源_01水果筐数!$B$5:$B$304,$B14,对接源_01水果筐数!$C$5:$C$304,基础资料!$B$10))</f>
        <v/>
      </c>
      <c r="I14" s="67" t="str">
        <f>IF(OR($B14="",基础资料!$B$9=""),"",-SUMIFS(对接源_01水果筐数!$F$5:$F$304,对接源_01水果筐数!$B$5:$B$304,$B14,对接源_01水果筐数!$C$5:$C$304,基础资料!$B$9))</f>
        <v/>
      </c>
      <c r="J14" s="67" t="str">
        <f>IF(OR($B14="",基础资料!$B$10=""),"",-SUMIFS(对接源_01水果筐数!$F$5:$F$304,对接源_01水果筐数!$B$5:$B$304,$B14,对接源_01水果筐数!$C$5:$C$304,基础资料!$B$10))</f>
        <v/>
      </c>
      <c r="K14" s="67" t="str">
        <f>IF(OR($B14="",基础资料!$B$9=""),"",-SUMIFS(客户自备加工筐明细!$G$4:$G$1203,客户自备加工筐明细!$E$4:$E$1203,$B14,客户自备加工筐明细!$C$4:$C$1203,基础资料!$B$9,客户自备加工筐明细!$B$4:$B$1203,"&gt;="&amp;$T$1,客户自备加工筐明细!$B$4:$B$1203,"&lt;="&amp;$T$2))</f>
        <v/>
      </c>
      <c r="L14" s="67" t="str">
        <f>IF(OR($B14="",基础资料!$B$10=""),"",-SUMIFS(客户自备加工筐明细!$G$4:$G$1203,客户自备加工筐明细!$E$4:$E$1203,$B14,客户自备加工筐明细!$C$4:$C$1203,基础资料!$B$10,客户自备加工筐明细!$B$4:$B$1203,"&gt;="&amp;$T$1,客户自备加工筐明细!$B$4:$B$1203,"&lt;="&amp;$T$2))</f>
        <v/>
      </c>
      <c r="M14" s="25" t="str">
        <f t="shared" si="1"/>
        <v/>
      </c>
      <c r="N14" s="25" t="str">
        <f t="shared" si="2"/>
        <v/>
      </c>
      <c r="O14" s="25" t="str">
        <f t="shared" si="3"/>
        <v/>
      </c>
      <c r="P14" s="37" t="str">
        <f t="shared" si="4"/>
        <v/>
      </c>
      <c r="Q14" s="27"/>
    </row>
    <row r="15" spans="1:20">
      <c r="A15" s="22" t="str">
        <f t="shared" si="0"/>
        <v/>
      </c>
      <c r="B15" s="37" t="str">
        <f>IFERROR(INDEX(_自动清单!$AM$4:$AM$203,ROW()-3),"")</f>
        <v/>
      </c>
      <c r="C15" s="25" t="str">
        <f>IF(OR($B15="",基础资料!$B$9=""),"",SUMIFS(对接源_01水果筐数!$D$5:$D$304,对接源_01水果筐数!$B$5:$B$304,$B15,对接源_01水果筐数!$C$5:$C$304,基础资料!$B$9))</f>
        <v/>
      </c>
      <c r="D15" s="25" t="str">
        <f>IF(OR($B15="",基础资料!$B$10=""),"",SUMIFS(对接源_01水果筐数!$D$5:$D$304,对接源_01水果筐数!$B$5:$B$304,$B15,对接源_01水果筐数!$C$5:$C$304,基础资料!$B$10))</f>
        <v/>
      </c>
      <c r="E15" s="25" t="str">
        <f>IF(OR($B15="",基础资料!$B$9=""),"",SUMIFS(客户自备加工筐明细!$F$4:$F$1203,客户自备加工筐明细!$E$4:$E$1203,$B15,客户自备加工筐明细!$C$4:$C$1203,基础资料!$B$9,客户自备加工筐明细!$B$4:$B$1203,"&gt;="&amp;$T$1,客户自备加工筐明细!$B$4:$B$1203,"&lt;="&amp;$T$2))</f>
        <v/>
      </c>
      <c r="F15" s="25" t="str">
        <f>IF(OR($B15="",基础资料!$B$10=""),"",SUMIFS(客户自备加工筐明细!$F$4:$F$1203,客户自备加工筐明细!$E$4:$E$1203,$B15,客户自备加工筐明细!$C$4:$C$1203,基础资料!$B$10,客户自备加工筐明细!$B$4:$B$1203,"&gt;="&amp;$T$1,客户自备加工筐明细!$B$4:$B$1203,"&lt;="&amp;$T$2))</f>
        <v/>
      </c>
      <c r="G15" s="67" t="str">
        <f>IF(OR($B15="",基础资料!$B$9=""),"",-SUMIFS(对接源_01水果筐数!$E$5:$E$304,对接源_01水果筐数!$B$5:$B$304,$B15,对接源_01水果筐数!$C$5:$C$304,基础资料!$B$9))</f>
        <v/>
      </c>
      <c r="H15" s="67" t="str">
        <f>IF(OR($B15="",基础资料!$B$10=""),"",-SUMIFS(对接源_01水果筐数!$E$5:$E$304,对接源_01水果筐数!$B$5:$B$304,$B15,对接源_01水果筐数!$C$5:$C$304,基础资料!$B$10))</f>
        <v/>
      </c>
      <c r="I15" s="67" t="str">
        <f>IF(OR($B15="",基础资料!$B$9=""),"",-SUMIFS(对接源_01水果筐数!$F$5:$F$304,对接源_01水果筐数!$B$5:$B$304,$B15,对接源_01水果筐数!$C$5:$C$304,基础资料!$B$9))</f>
        <v/>
      </c>
      <c r="J15" s="67" t="str">
        <f>IF(OR($B15="",基础资料!$B$10=""),"",-SUMIFS(对接源_01水果筐数!$F$5:$F$304,对接源_01水果筐数!$B$5:$B$304,$B15,对接源_01水果筐数!$C$5:$C$304,基础资料!$B$10))</f>
        <v/>
      </c>
      <c r="K15" s="67" t="str">
        <f>IF(OR($B15="",基础资料!$B$9=""),"",-SUMIFS(客户自备加工筐明细!$G$4:$G$1203,客户自备加工筐明细!$E$4:$E$1203,$B15,客户自备加工筐明细!$C$4:$C$1203,基础资料!$B$9,客户自备加工筐明细!$B$4:$B$1203,"&gt;="&amp;$T$1,客户自备加工筐明细!$B$4:$B$1203,"&lt;="&amp;$T$2))</f>
        <v/>
      </c>
      <c r="L15" s="67" t="str">
        <f>IF(OR($B15="",基础资料!$B$10=""),"",-SUMIFS(客户自备加工筐明细!$G$4:$G$1203,客户自备加工筐明细!$E$4:$E$1203,$B15,客户自备加工筐明细!$C$4:$C$1203,基础资料!$B$10,客户自备加工筐明细!$B$4:$B$1203,"&gt;="&amp;$T$1,客户自备加工筐明细!$B$4:$B$1203,"&lt;="&amp;$T$2))</f>
        <v/>
      </c>
      <c r="M15" s="25" t="str">
        <f t="shared" si="1"/>
        <v/>
      </c>
      <c r="N15" s="25" t="str">
        <f t="shared" si="2"/>
        <v/>
      </c>
      <c r="O15" s="25" t="str">
        <f t="shared" si="3"/>
        <v/>
      </c>
      <c r="P15" s="37" t="str">
        <f t="shared" si="4"/>
        <v/>
      </c>
      <c r="Q15" s="27"/>
    </row>
    <row r="16" spans="1:20">
      <c r="A16" s="22" t="str">
        <f t="shared" si="0"/>
        <v/>
      </c>
      <c r="B16" s="37" t="str">
        <f>IFERROR(INDEX(_自动清单!$AM$4:$AM$203,ROW()-3),"")</f>
        <v/>
      </c>
      <c r="C16" s="25" t="str">
        <f>IF(OR($B16="",基础资料!$B$9=""),"",SUMIFS(对接源_01水果筐数!$D$5:$D$304,对接源_01水果筐数!$B$5:$B$304,$B16,对接源_01水果筐数!$C$5:$C$304,基础资料!$B$9))</f>
        <v/>
      </c>
      <c r="D16" s="25" t="str">
        <f>IF(OR($B16="",基础资料!$B$10=""),"",SUMIFS(对接源_01水果筐数!$D$5:$D$304,对接源_01水果筐数!$B$5:$B$304,$B16,对接源_01水果筐数!$C$5:$C$304,基础资料!$B$10))</f>
        <v/>
      </c>
      <c r="E16" s="25" t="str">
        <f>IF(OR($B16="",基础资料!$B$9=""),"",SUMIFS(客户自备加工筐明细!$F$4:$F$1203,客户自备加工筐明细!$E$4:$E$1203,$B16,客户自备加工筐明细!$C$4:$C$1203,基础资料!$B$9,客户自备加工筐明细!$B$4:$B$1203,"&gt;="&amp;$T$1,客户自备加工筐明细!$B$4:$B$1203,"&lt;="&amp;$T$2))</f>
        <v/>
      </c>
      <c r="F16" s="25" t="str">
        <f>IF(OR($B16="",基础资料!$B$10=""),"",SUMIFS(客户自备加工筐明细!$F$4:$F$1203,客户自备加工筐明细!$E$4:$E$1203,$B16,客户自备加工筐明细!$C$4:$C$1203,基础资料!$B$10,客户自备加工筐明细!$B$4:$B$1203,"&gt;="&amp;$T$1,客户自备加工筐明细!$B$4:$B$1203,"&lt;="&amp;$T$2))</f>
        <v/>
      </c>
      <c r="G16" s="67" t="str">
        <f>IF(OR($B16="",基础资料!$B$9=""),"",-SUMIFS(对接源_01水果筐数!$E$5:$E$304,对接源_01水果筐数!$B$5:$B$304,$B16,对接源_01水果筐数!$C$5:$C$304,基础资料!$B$9))</f>
        <v/>
      </c>
      <c r="H16" s="67" t="str">
        <f>IF(OR($B16="",基础资料!$B$10=""),"",-SUMIFS(对接源_01水果筐数!$E$5:$E$304,对接源_01水果筐数!$B$5:$B$304,$B16,对接源_01水果筐数!$C$5:$C$304,基础资料!$B$10))</f>
        <v/>
      </c>
      <c r="I16" s="67" t="str">
        <f>IF(OR($B16="",基础资料!$B$9=""),"",-SUMIFS(对接源_01水果筐数!$F$5:$F$304,对接源_01水果筐数!$B$5:$B$304,$B16,对接源_01水果筐数!$C$5:$C$304,基础资料!$B$9))</f>
        <v/>
      </c>
      <c r="J16" s="67" t="str">
        <f>IF(OR($B16="",基础资料!$B$10=""),"",-SUMIFS(对接源_01水果筐数!$F$5:$F$304,对接源_01水果筐数!$B$5:$B$304,$B16,对接源_01水果筐数!$C$5:$C$304,基础资料!$B$10))</f>
        <v/>
      </c>
      <c r="K16" s="67" t="str">
        <f>IF(OR($B16="",基础资料!$B$9=""),"",-SUMIFS(客户自备加工筐明细!$G$4:$G$1203,客户自备加工筐明细!$E$4:$E$1203,$B16,客户自备加工筐明细!$C$4:$C$1203,基础资料!$B$9,客户自备加工筐明细!$B$4:$B$1203,"&gt;="&amp;$T$1,客户自备加工筐明细!$B$4:$B$1203,"&lt;="&amp;$T$2))</f>
        <v/>
      </c>
      <c r="L16" s="67" t="str">
        <f>IF(OR($B16="",基础资料!$B$10=""),"",-SUMIFS(客户自备加工筐明细!$G$4:$G$1203,客户自备加工筐明细!$E$4:$E$1203,$B16,客户自备加工筐明细!$C$4:$C$1203,基础资料!$B$10,客户自备加工筐明细!$B$4:$B$1203,"&gt;="&amp;$T$1,客户自备加工筐明细!$B$4:$B$1203,"&lt;="&amp;$T$2))</f>
        <v/>
      </c>
      <c r="M16" s="25" t="str">
        <f t="shared" si="1"/>
        <v/>
      </c>
      <c r="N16" s="25" t="str">
        <f t="shared" si="2"/>
        <v/>
      </c>
      <c r="O16" s="25" t="str">
        <f t="shared" si="3"/>
        <v/>
      </c>
      <c r="P16" s="37" t="str">
        <f t="shared" si="4"/>
        <v/>
      </c>
      <c r="Q16" s="27"/>
    </row>
    <row r="17" spans="1:17">
      <c r="A17" s="22" t="str">
        <f t="shared" si="0"/>
        <v/>
      </c>
      <c r="B17" s="37" t="str">
        <f>IFERROR(INDEX(_自动清单!$AM$4:$AM$203,ROW()-3),"")</f>
        <v/>
      </c>
      <c r="C17" s="25" t="str">
        <f>IF(OR($B17="",基础资料!$B$9=""),"",SUMIFS(对接源_01水果筐数!$D$5:$D$304,对接源_01水果筐数!$B$5:$B$304,$B17,对接源_01水果筐数!$C$5:$C$304,基础资料!$B$9))</f>
        <v/>
      </c>
      <c r="D17" s="25" t="str">
        <f>IF(OR($B17="",基础资料!$B$10=""),"",SUMIFS(对接源_01水果筐数!$D$5:$D$304,对接源_01水果筐数!$B$5:$B$304,$B17,对接源_01水果筐数!$C$5:$C$304,基础资料!$B$10))</f>
        <v/>
      </c>
      <c r="E17" s="25" t="str">
        <f>IF(OR($B17="",基础资料!$B$9=""),"",SUMIFS(客户自备加工筐明细!$F$4:$F$1203,客户自备加工筐明细!$E$4:$E$1203,$B17,客户自备加工筐明细!$C$4:$C$1203,基础资料!$B$9,客户自备加工筐明细!$B$4:$B$1203,"&gt;="&amp;$T$1,客户自备加工筐明细!$B$4:$B$1203,"&lt;="&amp;$T$2))</f>
        <v/>
      </c>
      <c r="F17" s="25" t="str">
        <f>IF(OR($B17="",基础资料!$B$10=""),"",SUMIFS(客户自备加工筐明细!$F$4:$F$1203,客户自备加工筐明细!$E$4:$E$1203,$B17,客户自备加工筐明细!$C$4:$C$1203,基础资料!$B$10,客户自备加工筐明细!$B$4:$B$1203,"&gt;="&amp;$T$1,客户自备加工筐明细!$B$4:$B$1203,"&lt;="&amp;$T$2))</f>
        <v/>
      </c>
      <c r="G17" s="67" t="str">
        <f>IF(OR($B17="",基础资料!$B$9=""),"",-SUMIFS(对接源_01水果筐数!$E$5:$E$304,对接源_01水果筐数!$B$5:$B$304,$B17,对接源_01水果筐数!$C$5:$C$304,基础资料!$B$9))</f>
        <v/>
      </c>
      <c r="H17" s="67" t="str">
        <f>IF(OR($B17="",基础资料!$B$10=""),"",-SUMIFS(对接源_01水果筐数!$E$5:$E$304,对接源_01水果筐数!$B$5:$B$304,$B17,对接源_01水果筐数!$C$5:$C$304,基础资料!$B$10))</f>
        <v/>
      </c>
      <c r="I17" s="67" t="str">
        <f>IF(OR($B17="",基础资料!$B$9=""),"",-SUMIFS(对接源_01水果筐数!$F$5:$F$304,对接源_01水果筐数!$B$5:$B$304,$B17,对接源_01水果筐数!$C$5:$C$304,基础资料!$B$9))</f>
        <v/>
      </c>
      <c r="J17" s="67" t="str">
        <f>IF(OR($B17="",基础资料!$B$10=""),"",-SUMIFS(对接源_01水果筐数!$F$5:$F$304,对接源_01水果筐数!$B$5:$B$304,$B17,对接源_01水果筐数!$C$5:$C$304,基础资料!$B$10))</f>
        <v/>
      </c>
      <c r="K17" s="67" t="str">
        <f>IF(OR($B17="",基础资料!$B$9=""),"",-SUMIFS(客户自备加工筐明细!$G$4:$G$1203,客户自备加工筐明细!$E$4:$E$1203,$B17,客户自备加工筐明细!$C$4:$C$1203,基础资料!$B$9,客户自备加工筐明细!$B$4:$B$1203,"&gt;="&amp;$T$1,客户自备加工筐明细!$B$4:$B$1203,"&lt;="&amp;$T$2))</f>
        <v/>
      </c>
      <c r="L17" s="67" t="str">
        <f>IF(OR($B17="",基础资料!$B$10=""),"",-SUMIFS(客户自备加工筐明细!$G$4:$G$1203,客户自备加工筐明细!$E$4:$E$1203,$B17,客户自备加工筐明细!$C$4:$C$1203,基础资料!$B$10,客户自备加工筐明细!$B$4:$B$1203,"&gt;="&amp;$T$1,客户自备加工筐明细!$B$4:$B$1203,"&lt;="&amp;$T$2))</f>
        <v/>
      </c>
      <c r="M17" s="25" t="str">
        <f t="shared" si="1"/>
        <v/>
      </c>
      <c r="N17" s="25" t="str">
        <f t="shared" si="2"/>
        <v/>
      </c>
      <c r="O17" s="25" t="str">
        <f t="shared" si="3"/>
        <v/>
      </c>
      <c r="P17" s="37" t="str">
        <f t="shared" si="4"/>
        <v/>
      </c>
      <c r="Q17" s="27"/>
    </row>
    <row r="18" spans="1:17">
      <c r="A18" s="22" t="str">
        <f t="shared" si="0"/>
        <v/>
      </c>
      <c r="B18" s="37" t="str">
        <f>IFERROR(INDEX(_自动清单!$AM$4:$AM$203,ROW()-3),"")</f>
        <v/>
      </c>
      <c r="C18" s="25" t="str">
        <f>IF(OR($B18="",基础资料!$B$9=""),"",SUMIFS(对接源_01水果筐数!$D$5:$D$304,对接源_01水果筐数!$B$5:$B$304,$B18,对接源_01水果筐数!$C$5:$C$304,基础资料!$B$9))</f>
        <v/>
      </c>
      <c r="D18" s="25" t="str">
        <f>IF(OR($B18="",基础资料!$B$10=""),"",SUMIFS(对接源_01水果筐数!$D$5:$D$304,对接源_01水果筐数!$B$5:$B$304,$B18,对接源_01水果筐数!$C$5:$C$304,基础资料!$B$10))</f>
        <v/>
      </c>
      <c r="E18" s="25" t="str">
        <f>IF(OR($B18="",基础资料!$B$9=""),"",SUMIFS(客户自备加工筐明细!$F$4:$F$1203,客户自备加工筐明细!$E$4:$E$1203,$B18,客户自备加工筐明细!$C$4:$C$1203,基础资料!$B$9,客户自备加工筐明细!$B$4:$B$1203,"&gt;="&amp;$T$1,客户自备加工筐明细!$B$4:$B$1203,"&lt;="&amp;$T$2))</f>
        <v/>
      </c>
      <c r="F18" s="25" t="str">
        <f>IF(OR($B18="",基础资料!$B$10=""),"",SUMIFS(客户自备加工筐明细!$F$4:$F$1203,客户自备加工筐明细!$E$4:$E$1203,$B18,客户自备加工筐明细!$C$4:$C$1203,基础资料!$B$10,客户自备加工筐明细!$B$4:$B$1203,"&gt;="&amp;$T$1,客户自备加工筐明细!$B$4:$B$1203,"&lt;="&amp;$T$2))</f>
        <v/>
      </c>
      <c r="G18" s="67" t="str">
        <f>IF(OR($B18="",基础资料!$B$9=""),"",-SUMIFS(对接源_01水果筐数!$E$5:$E$304,对接源_01水果筐数!$B$5:$B$304,$B18,对接源_01水果筐数!$C$5:$C$304,基础资料!$B$9))</f>
        <v/>
      </c>
      <c r="H18" s="67" t="str">
        <f>IF(OR($B18="",基础资料!$B$10=""),"",-SUMIFS(对接源_01水果筐数!$E$5:$E$304,对接源_01水果筐数!$B$5:$B$304,$B18,对接源_01水果筐数!$C$5:$C$304,基础资料!$B$10))</f>
        <v/>
      </c>
      <c r="I18" s="67" t="str">
        <f>IF(OR($B18="",基础资料!$B$9=""),"",-SUMIFS(对接源_01水果筐数!$F$5:$F$304,对接源_01水果筐数!$B$5:$B$304,$B18,对接源_01水果筐数!$C$5:$C$304,基础资料!$B$9))</f>
        <v/>
      </c>
      <c r="J18" s="67" t="str">
        <f>IF(OR($B18="",基础资料!$B$10=""),"",-SUMIFS(对接源_01水果筐数!$F$5:$F$304,对接源_01水果筐数!$B$5:$B$304,$B18,对接源_01水果筐数!$C$5:$C$304,基础资料!$B$10))</f>
        <v/>
      </c>
      <c r="K18" s="67" t="str">
        <f>IF(OR($B18="",基础资料!$B$9=""),"",-SUMIFS(客户自备加工筐明细!$G$4:$G$1203,客户自备加工筐明细!$E$4:$E$1203,$B18,客户自备加工筐明细!$C$4:$C$1203,基础资料!$B$9,客户自备加工筐明细!$B$4:$B$1203,"&gt;="&amp;$T$1,客户自备加工筐明细!$B$4:$B$1203,"&lt;="&amp;$T$2))</f>
        <v/>
      </c>
      <c r="L18" s="67" t="str">
        <f>IF(OR($B18="",基础资料!$B$10=""),"",-SUMIFS(客户自备加工筐明细!$G$4:$G$1203,客户自备加工筐明细!$E$4:$E$1203,$B18,客户自备加工筐明细!$C$4:$C$1203,基础资料!$B$10,客户自备加工筐明细!$B$4:$B$1203,"&gt;="&amp;$T$1,客户自备加工筐明细!$B$4:$B$1203,"&lt;="&amp;$T$2))</f>
        <v/>
      </c>
      <c r="M18" s="25" t="str">
        <f t="shared" si="1"/>
        <v/>
      </c>
      <c r="N18" s="25" t="str">
        <f t="shared" si="2"/>
        <v/>
      </c>
      <c r="O18" s="25" t="str">
        <f t="shared" si="3"/>
        <v/>
      </c>
      <c r="P18" s="37" t="str">
        <f t="shared" si="4"/>
        <v/>
      </c>
      <c r="Q18" s="27"/>
    </row>
    <row r="19" spans="1:17">
      <c r="A19" s="22" t="str">
        <f t="shared" si="0"/>
        <v/>
      </c>
      <c r="B19" s="37" t="str">
        <f>IFERROR(INDEX(_自动清单!$AM$4:$AM$203,ROW()-3),"")</f>
        <v/>
      </c>
      <c r="C19" s="25" t="str">
        <f>IF(OR($B19="",基础资料!$B$9=""),"",SUMIFS(对接源_01水果筐数!$D$5:$D$304,对接源_01水果筐数!$B$5:$B$304,$B19,对接源_01水果筐数!$C$5:$C$304,基础资料!$B$9))</f>
        <v/>
      </c>
      <c r="D19" s="25" t="str">
        <f>IF(OR($B19="",基础资料!$B$10=""),"",SUMIFS(对接源_01水果筐数!$D$5:$D$304,对接源_01水果筐数!$B$5:$B$304,$B19,对接源_01水果筐数!$C$5:$C$304,基础资料!$B$10))</f>
        <v/>
      </c>
      <c r="E19" s="25" t="str">
        <f>IF(OR($B19="",基础资料!$B$9=""),"",SUMIFS(客户自备加工筐明细!$F$4:$F$1203,客户自备加工筐明细!$E$4:$E$1203,$B19,客户自备加工筐明细!$C$4:$C$1203,基础资料!$B$9,客户自备加工筐明细!$B$4:$B$1203,"&gt;="&amp;$T$1,客户自备加工筐明细!$B$4:$B$1203,"&lt;="&amp;$T$2))</f>
        <v/>
      </c>
      <c r="F19" s="25" t="str">
        <f>IF(OR($B19="",基础资料!$B$10=""),"",SUMIFS(客户自备加工筐明细!$F$4:$F$1203,客户自备加工筐明细!$E$4:$E$1203,$B19,客户自备加工筐明细!$C$4:$C$1203,基础资料!$B$10,客户自备加工筐明细!$B$4:$B$1203,"&gt;="&amp;$T$1,客户自备加工筐明细!$B$4:$B$1203,"&lt;="&amp;$T$2))</f>
        <v/>
      </c>
      <c r="G19" s="67" t="str">
        <f>IF(OR($B19="",基础资料!$B$9=""),"",-SUMIFS(对接源_01水果筐数!$E$5:$E$304,对接源_01水果筐数!$B$5:$B$304,$B19,对接源_01水果筐数!$C$5:$C$304,基础资料!$B$9))</f>
        <v/>
      </c>
      <c r="H19" s="67" t="str">
        <f>IF(OR($B19="",基础资料!$B$10=""),"",-SUMIFS(对接源_01水果筐数!$E$5:$E$304,对接源_01水果筐数!$B$5:$B$304,$B19,对接源_01水果筐数!$C$5:$C$304,基础资料!$B$10))</f>
        <v/>
      </c>
      <c r="I19" s="67" t="str">
        <f>IF(OR($B19="",基础资料!$B$9=""),"",-SUMIFS(对接源_01水果筐数!$F$5:$F$304,对接源_01水果筐数!$B$5:$B$304,$B19,对接源_01水果筐数!$C$5:$C$304,基础资料!$B$9))</f>
        <v/>
      </c>
      <c r="J19" s="67" t="str">
        <f>IF(OR($B19="",基础资料!$B$10=""),"",-SUMIFS(对接源_01水果筐数!$F$5:$F$304,对接源_01水果筐数!$B$5:$B$304,$B19,对接源_01水果筐数!$C$5:$C$304,基础资料!$B$10))</f>
        <v/>
      </c>
      <c r="K19" s="67" t="str">
        <f>IF(OR($B19="",基础资料!$B$9=""),"",-SUMIFS(客户自备加工筐明细!$G$4:$G$1203,客户自备加工筐明细!$E$4:$E$1203,$B19,客户自备加工筐明细!$C$4:$C$1203,基础资料!$B$9,客户自备加工筐明细!$B$4:$B$1203,"&gt;="&amp;$T$1,客户自备加工筐明细!$B$4:$B$1203,"&lt;="&amp;$T$2))</f>
        <v/>
      </c>
      <c r="L19" s="67" t="str">
        <f>IF(OR($B19="",基础资料!$B$10=""),"",-SUMIFS(客户自备加工筐明细!$G$4:$G$1203,客户自备加工筐明细!$E$4:$E$1203,$B19,客户自备加工筐明细!$C$4:$C$1203,基础资料!$B$10,客户自备加工筐明细!$B$4:$B$1203,"&gt;="&amp;$T$1,客户自备加工筐明细!$B$4:$B$1203,"&lt;="&amp;$T$2))</f>
        <v/>
      </c>
      <c r="M19" s="25" t="str">
        <f t="shared" si="1"/>
        <v/>
      </c>
      <c r="N19" s="25" t="str">
        <f t="shared" si="2"/>
        <v/>
      </c>
      <c r="O19" s="25" t="str">
        <f t="shared" si="3"/>
        <v/>
      </c>
      <c r="P19" s="37" t="str">
        <f t="shared" si="4"/>
        <v/>
      </c>
      <c r="Q19" s="27"/>
    </row>
    <row r="20" spans="1:17">
      <c r="A20" s="22" t="str">
        <f t="shared" si="0"/>
        <v/>
      </c>
      <c r="B20" s="37" t="str">
        <f>IFERROR(INDEX(_自动清单!$AM$4:$AM$203,ROW()-3),"")</f>
        <v/>
      </c>
      <c r="C20" s="25" t="str">
        <f>IF(OR($B20="",基础资料!$B$9=""),"",SUMIFS(对接源_01水果筐数!$D$5:$D$304,对接源_01水果筐数!$B$5:$B$304,$B20,对接源_01水果筐数!$C$5:$C$304,基础资料!$B$9))</f>
        <v/>
      </c>
      <c r="D20" s="25" t="str">
        <f>IF(OR($B20="",基础资料!$B$10=""),"",SUMIFS(对接源_01水果筐数!$D$5:$D$304,对接源_01水果筐数!$B$5:$B$304,$B20,对接源_01水果筐数!$C$5:$C$304,基础资料!$B$10))</f>
        <v/>
      </c>
      <c r="E20" s="25" t="str">
        <f>IF(OR($B20="",基础资料!$B$9=""),"",SUMIFS(客户自备加工筐明细!$F$4:$F$1203,客户自备加工筐明细!$E$4:$E$1203,$B20,客户自备加工筐明细!$C$4:$C$1203,基础资料!$B$9,客户自备加工筐明细!$B$4:$B$1203,"&gt;="&amp;$T$1,客户自备加工筐明细!$B$4:$B$1203,"&lt;="&amp;$T$2))</f>
        <v/>
      </c>
      <c r="F20" s="25" t="str">
        <f>IF(OR($B20="",基础资料!$B$10=""),"",SUMIFS(客户自备加工筐明细!$F$4:$F$1203,客户自备加工筐明细!$E$4:$E$1203,$B20,客户自备加工筐明细!$C$4:$C$1203,基础资料!$B$10,客户自备加工筐明细!$B$4:$B$1203,"&gt;="&amp;$T$1,客户自备加工筐明细!$B$4:$B$1203,"&lt;="&amp;$T$2))</f>
        <v/>
      </c>
      <c r="G20" s="67" t="str">
        <f>IF(OR($B20="",基础资料!$B$9=""),"",-SUMIFS(对接源_01水果筐数!$E$5:$E$304,对接源_01水果筐数!$B$5:$B$304,$B20,对接源_01水果筐数!$C$5:$C$304,基础资料!$B$9))</f>
        <v/>
      </c>
      <c r="H20" s="67" t="str">
        <f>IF(OR($B20="",基础资料!$B$10=""),"",-SUMIFS(对接源_01水果筐数!$E$5:$E$304,对接源_01水果筐数!$B$5:$B$304,$B20,对接源_01水果筐数!$C$5:$C$304,基础资料!$B$10))</f>
        <v/>
      </c>
      <c r="I20" s="67" t="str">
        <f>IF(OR($B20="",基础资料!$B$9=""),"",-SUMIFS(对接源_01水果筐数!$F$5:$F$304,对接源_01水果筐数!$B$5:$B$304,$B20,对接源_01水果筐数!$C$5:$C$304,基础资料!$B$9))</f>
        <v/>
      </c>
      <c r="J20" s="67" t="str">
        <f>IF(OR($B20="",基础资料!$B$10=""),"",-SUMIFS(对接源_01水果筐数!$F$5:$F$304,对接源_01水果筐数!$B$5:$B$304,$B20,对接源_01水果筐数!$C$5:$C$304,基础资料!$B$10))</f>
        <v/>
      </c>
      <c r="K20" s="67" t="str">
        <f>IF(OR($B20="",基础资料!$B$9=""),"",-SUMIFS(客户自备加工筐明细!$G$4:$G$1203,客户自备加工筐明细!$E$4:$E$1203,$B20,客户自备加工筐明细!$C$4:$C$1203,基础资料!$B$9,客户自备加工筐明细!$B$4:$B$1203,"&gt;="&amp;$T$1,客户自备加工筐明细!$B$4:$B$1203,"&lt;="&amp;$T$2))</f>
        <v/>
      </c>
      <c r="L20" s="67" t="str">
        <f>IF(OR($B20="",基础资料!$B$10=""),"",-SUMIFS(客户自备加工筐明细!$G$4:$G$1203,客户自备加工筐明细!$E$4:$E$1203,$B20,客户自备加工筐明细!$C$4:$C$1203,基础资料!$B$10,客户自备加工筐明细!$B$4:$B$1203,"&gt;="&amp;$T$1,客户自备加工筐明细!$B$4:$B$1203,"&lt;="&amp;$T$2))</f>
        <v/>
      </c>
      <c r="M20" s="25" t="str">
        <f t="shared" si="1"/>
        <v/>
      </c>
      <c r="N20" s="25" t="str">
        <f t="shared" si="2"/>
        <v/>
      </c>
      <c r="O20" s="25" t="str">
        <f t="shared" si="3"/>
        <v/>
      </c>
      <c r="P20" s="37" t="str">
        <f t="shared" si="4"/>
        <v/>
      </c>
      <c r="Q20" s="27"/>
    </row>
    <row r="21" spans="1:17">
      <c r="A21" s="22" t="str">
        <f t="shared" si="0"/>
        <v/>
      </c>
      <c r="B21" s="37" t="str">
        <f>IFERROR(INDEX(_自动清单!$AM$4:$AM$203,ROW()-3),"")</f>
        <v/>
      </c>
      <c r="C21" s="25" t="str">
        <f>IF(OR($B21="",基础资料!$B$9=""),"",SUMIFS(对接源_01水果筐数!$D$5:$D$304,对接源_01水果筐数!$B$5:$B$304,$B21,对接源_01水果筐数!$C$5:$C$304,基础资料!$B$9))</f>
        <v/>
      </c>
      <c r="D21" s="25" t="str">
        <f>IF(OR($B21="",基础资料!$B$10=""),"",SUMIFS(对接源_01水果筐数!$D$5:$D$304,对接源_01水果筐数!$B$5:$B$304,$B21,对接源_01水果筐数!$C$5:$C$304,基础资料!$B$10))</f>
        <v/>
      </c>
      <c r="E21" s="25" t="str">
        <f>IF(OR($B21="",基础资料!$B$9=""),"",SUMIFS(客户自备加工筐明细!$F$4:$F$1203,客户自备加工筐明细!$E$4:$E$1203,$B21,客户自备加工筐明细!$C$4:$C$1203,基础资料!$B$9,客户自备加工筐明细!$B$4:$B$1203,"&gt;="&amp;$T$1,客户自备加工筐明细!$B$4:$B$1203,"&lt;="&amp;$T$2))</f>
        <v/>
      </c>
      <c r="F21" s="25" t="str">
        <f>IF(OR($B21="",基础资料!$B$10=""),"",SUMIFS(客户自备加工筐明细!$F$4:$F$1203,客户自备加工筐明细!$E$4:$E$1203,$B21,客户自备加工筐明细!$C$4:$C$1203,基础资料!$B$10,客户自备加工筐明细!$B$4:$B$1203,"&gt;="&amp;$T$1,客户自备加工筐明细!$B$4:$B$1203,"&lt;="&amp;$T$2))</f>
        <v/>
      </c>
      <c r="G21" s="67" t="str">
        <f>IF(OR($B21="",基础资料!$B$9=""),"",-SUMIFS(对接源_01水果筐数!$E$5:$E$304,对接源_01水果筐数!$B$5:$B$304,$B21,对接源_01水果筐数!$C$5:$C$304,基础资料!$B$9))</f>
        <v/>
      </c>
      <c r="H21" s="67" t="str">
        <f>IF(OR($B21="",基础资料!$B$10=""),"",-SUMIFS(对接源_01水果筐数!$E$5:$E$304,对接源_01水果筐数!$B$5:$B$304,$B21,对接源_01水果筐数!$C$5:$C$304,基础资料!$B$10))</f>
        <v/>
      </c>
      <c r="I21" s="67" t="str">
        <f>IF(OR($B21="",基础资料!$B$9=""),"",-SUMIFS(对接源_01水果筐数!$F$5:$F$304,对接源_01水果筐数!$B$5:$B$304,$B21,对接源_01水果筐数!$C$5:$C$304,基础资料!$B$9))</f>
        <v/>
      </c>
      <c r="J21" s="67" t="str">
        <f>IF(OR($B21="",基础资料!$B$10=""),"",-SUMIFS(对接源_01水果筐数!$F$5:$F$304,对接源_01水果筐数!$B$5:$B$304,$B21,对接源_01水果筐数!$C$5:$C$304,基础资料!$B$10))</f>
        <v/>
      </c>
      <c r="K21" s="67" t="str">
        <f>IF(OR($B21="",基础资料!$B$9=""),"",-SUMIFS(客户自备加工筐明细!$G$4:$G$1203,客户自备加工筐明细!$E$4:$E$1203,$B21,客户自备加工筐明细!$C$4:$C$1203,基础资料!$B$9,客户自备加工筐明细!$B$4:$B$1203,"&gt;="&amp;$T$1,客户自备加工筐明细!$B$4:$B$1203,"&lt;="&amp;$T$2))</f>
        <v/>
      </c>
      <c r="L21" s="67" t="str">
        <f>IF(OR($B21="",基础资料!$B$10=""),"",-SUMIFS(客户自备加工筐明细!$G$4:$G$1203,客户自备加工筐明细!$E$4:$E$1203,$B21,客户自备加工筐明细!$C$4:$C$1203,基础资料!$B$10,客户自备加工筐明细!$B$4:$B$1203,"&gt;="&amp;$T$1,客户自备加工筐明细!$B$4:$B$1203,"&lt;="&amp;$T$2))</f>
        <v/>
      </c>
      <c r="M21" s="25" t="str">
        <f t="shared" si="1"/>
        <v/>
      </c>
      <c r="N21" s="25" t="str">
        <f t="shared" si="2"/>
        <v/>
      </c>
      <c r="O21" s="25" t="str">
        <f t="shared" si="3"/>
        <v/>
      </c>
      <c r="P21" s="37" t="str">
        <f t="shared" si="4"/>
        <v/>
      </c>
      <c r="Q21" s="27"/>
    </row>
    <row r="22" spans="1:17">
      <c r="A22" s="22" t="str">
        <f t="shared" si="0"/>
        <v/>
      </c>
      <c r="B22" s="37" t="str">
        <f>IFERROR(INDEX(_自动清单!$AM$4:$AM$203,ROW()-3),"")</f>
        <v/>
      </c>
      <c r="C22" s="25" t="str">
        <f>IF(OR($B22="",基础资料!$B$9=""),"",SUMIFS(对接源_01水果筐数!$D$5:$D$304,对接源_01水果筐数!$B$5:$B$304,$B22,对接源_01水果筐数!$C$5:$C$304,基础资料!$B$9))</f>
        <v/>
      </c>
      <c r="D22" s="25" t="str">
        <f>IF(OR($B22="",基础资料!$B$10=""),"",SUMIFS(对接源_01水果筐数!$D$5:$D$304,对接源_01水果筐数!$B$5:$B$304,$B22,对接源_01水果筐数!$C$5:$C$304,基础资料!$B$10))</f>
        <v/>
      </c>
      <c r="E22" s="25" t="str">
        <f>IF(OR($B22="",基础资料!$B$9=""),"",SUMIFS(客户自备加工筐明细!$F$4:$F$1203,客户自备加工筐明细!$E$4:$E$1203,$B22,客户自备加工筐明细!$C$4:$C$1203,基础资料!$B$9,客户自备加工筐明细!$B$4:$B$1203,"&gt;="&amp;$T$1,客户自备加工筐明细!$B$4:$B$1203,"&lt;="&amp;$T$2))</f>
        <v/>
      </c>
      <c r="F22" s="25" t="str">
        <f>IF(OR($B22="",基础资料!$B$10=""),"",SUMIFS(客户自备加工筐明细!$F$4:$F$1203,客户自备加工筐明细!$E$4:$E$1203,$B22,客户自备加工筐明细!$C$4:$C$1203,基础资料!$B$10,客户自备加工筐明细!$B$4:$B$1203,"&gt;="&amp;$T$1,客户自备加工筐明细!$B$4:$B$1203,"&lt;="&amp;$T$2))</f>
        <v/>
      </c>
      <c r="G22" s="67" t="str">
        <f>IF(OR($B22="",基础资料!$B$9=""),"",-SUMIFS(对接源_01水果筐数!$E$5:$E$304,对接源_01水果筐数!$B$5:$B$304,$B22,对接源_01水果筐数!$C$5:$C$304,基础资料!$B$9))</f>
        <v/>
      </c>
      <c r="H22" s="67" t="str">
        <f>IF(OR($B22="",基础资料!$B$10=""),"",-SUMIFS(对接源_01水果筐数!$E$5:$E$304,对接源_01水果筐数!$B$5:$B$304,$B22,对接源_01水果筐数!$C$5:$C$304,基础资料!$B$10))</f>
        <v/>
      </c>
      <c r="I22" s="67" t="str">
        <f>IF(OR($B22="",基础资料!$B$9=""),"",-SUMIFS(对接源_01水果筐数!$F$5:$F$304,对接源_01水果筐数!$B$5:$B$304,$B22,对接源_01水果筐数!$C$5:$C$304,基础资料!$B$9))</f>
        <v/>
      </c>
      <c r="J22" s="67" t="str">
        <f>IF(OR($B22="",基础资料!$B$10=""),"",-SUMIFS(对接源_01水果筐数!$F$5:$F$304,对接源_01水果筐数!$B$5:$B$304,$B22,对接源_01水果筐数!$C$5:$C$304,基础资料!$B$10))</f>
        <v/>
      </c>
      <c r="K22" s="67" t="str">
        <f>IF(OR($B22="",基础资料!$B$9=""),"",-SUMIFS(客户自备加工筐明细!$G$4:$G$1203,客户自备加工筐明细!$E$4:$E$1203,$B22,客户自备加工筐明细!$C$4:$C$1203,基础资料!$B$9,客户自备加工筐明细!$B$4:$B$1203,"&gt;="&amp;$T$1,客户自备加工筐明细!$B$4:$B$1203,"&lt;="&amp;$T$2))</f>
        <v/>
      </c>
      <c r="L22" s="67" t="str">
        <f>IF(OR($B22="",基础资料!$B$10=""),"",-SUMIFS(客户自备加工筐明细!$G$4:$G$1203,客户自备加工筐明细!$E$4:$E$1203,$B22,客户自备加工筐明细!$C$4:$C$1203,基础资料!$B$10,客户自备加工筐明细!$B$4:$B$1203,"&gt;="&amp;$T$1,客户自备加工筐明细!$B$4:$B$1203,"&lt;="&amp;$T$2))</f>
        <v/>
      </c>
      <c r="M22" s="25" t="str">
        <f t="shared" si="1"/>
        <v/>
      </c>
      <c r="N22" s="25" t="str">
        <f t="shared" si="2"/>
        <v/>
      </c>
      <c r="O22" s="25" t="str">
        <f t="shared" si="3"/>
        <v/>
      </c>
      <c r="P22" s="37" t="str">
        <f t="shared" si="4"/>
        <v/>
      </c>
      <c r="Q22" s="27"/>
    </row>
    <row r="23" spans="1:17">
      <c r="A23" s="22" t="str">
        <f t="shared" si="0"/>
        <v/>
      </c>
      <c r="B23" s="37" t="str">
        <f>IFERROR(INDEX(_自动清单!$AM$4:$AM$203,ROW()-3),"")</f>
        <v/>
      </c>
      <c r="C23" s="25" t="str">
        <f>IF(OR($B23="",基础资料!$B$9=""),"",SUMIFS(对接源_01水果筐数!$D$5:$D$304,对接源_01水果筐数!$B$5:$B$304,$B23,对接源_01水果筐数!$C$5:$C$304,基础资料!$B$9))</f>
        <v/>
      </c>
      <c r="D23" s="25" t="str">
        <f>IF(OR($B23="",基础资料!$B$10=""),"",SUMIFS(对接源_01水果筐数!$D$5:$D$304,对接源_01水果筐数!$B$5:$B$304,$B23,对接源_01水果筐数!$C$5:$C$304,基础资料!$B$10))</f>
        <v/>
      </c>
      <c r="E23" s="25" t="str">
        <f>IF(OR($B23="",基础资料!$B$9=""),"",SUMIFS(客户自备加工筐明细!$F$4:$F$1203,客户自备加工筐明细!$E$4:$E$1203,$B23,客户自备加工筐明细!$C$4:$C$1203,基础资料!$B$9,客户自备加工筐明细!$B$4:$B$1203,"&gt;="&amp;$T$1,客户自备加工筐明细!$B$4:$B$1203,"&lt;="&amp;$T$2))</f>
        <v/>
      </c>
      <c r="F23" s="25" t="str">
        <f>IF(OR($B23="",基础资料!$B$10=""),"",SUMIFS(客户自备加工筐明细!$F$4:$F$1203,客户自备加工筐明细!$E$4:$E$1203,$B23,客户自备加工筐明细!$C$4:$C$1203,基础资料!$B$10,客户自备加工筐明细!$B$4:$B$1203,"&gt;="&amp;$T$1,客户自备加工筐明细!$B$4:$B$1203,"&lt;="&amp;$T$2))</f>
        <v/>
      </c>
      <c r="G23" s="67" t="str">
        <f>IF(OR($B23="",基础资料!$B$9=""),"",-SUMIFS(对接源_01水果筐数!$E$5:$E$304,对接源_01水果筐数!$B$5:$B$304,$B23,对接源_01水果筐数!$C$5:$C$304,基础资料!$B$9))</f>
        <v/>
      </c>
      <c r="H23" s="67" t="str">
        <f>IF(OR($B23="",基础资料!$B$10=""),"",-SUMIFS(对接源_01水果筐数!$E$5:$E$304,对接源_01水果筐数!$B$5:$B$304,$B23,对接源_01水果筐数!$C$5:$C$304,基础资料!$B$10))</f>
        <v/>
      </c>
      <c r="I23" s="67" t="str">
        <f>IF(OR($B23="",基础资料!$B$9=""),"",-SUMIFS(对接源_01水果筐数!$F$5:$F$304,对接源_01水果筐数!$B$5:$B$304,$B23,对接源_01水果筐数!$C$5:$C$304,基础资料!$B$9))</f>
        <v/>
      </c>
      <c r="J23" s="67" t="str">
        <f>IF(OR($B23="",基础资料!$B$10=""),"",-SUMIFS(对接源_01水果筐数!$F$5:$F$304,对接源_01水果筐数!$B$5:$B$304,$B23,对接源_01水果筐数!$C$5:$C$304,基础资料!$B$10))</f>
        <v/>
      </c>
      <c r="K23" s="67" t="str">
        <f>IF(OR($B23="",基础资料!$B$9=""),"",-SUMIFS(客户自备加工筐明细!$G$4:$G$1203,客户自备加工筐明细!$E$4:$E$1203,$B23,客户自备加工筐明细!$C$4:$C$1203,基础资料!$B$9,客户自备加工筐明细!$B$4:$B$1203,"&gt;="&amp;$T$1,客户自备加工筐明细!$B$4:$B$1203,"&lt;="&amp;$T$2))</f>
        <v/>
      </c>
      <c r="L23" s="67" t="str">
        <f>IF(OR($B23="",基础资料!$B$10=""),"",-SUMIFS(客户自备加工筐明细!$G$4:$G$1203,客户自备加工筐明细!$E$4:$E$1203,$B23,客户自备加工筐明细!$C$4:$C$1203,基础资料!$B$10,客户自备加工筐明细!$B$4:$B$1203,"&gt;="&amp;$T$1,客户自备加工筐明细!$B$4:$B$1203,"&lt;="&amp;$T$2))</f>
        <v/>
      </c>
      <c r="M23" s="25" t="str">
        <f t="shared" si="1"/>
        <v/>
      </c>
      <c r="N23" s="25" t="str">
        <f t="shared" si="2"/>
        <v/>
      </c>
      <c r="O23" s="25" t="str">
        <f t="shared" si="3"/>
        <v/>
      </c>
      <c r="P23" s="37" t="str">
        <f t="shared" si="4"/>
        <v/>
      </c>
      <c r="Q23" s="27"/>
    </row>
    <row r="24" spans="1:17">
      <c r="A24" s="22" t="str">
        <f t="shared" si="0"/>
        <v/>
      </c>
      <c r="B24" s="37" t="str">
        <f>IFERROR(INDEX(_自动清单!$AM$4:$AM$203,ROW()-3),"")</f>
        <v/>
      </c>
      <c r="C24" s="25" t="str">
        <f>IF(OR($B24="",基础资料!$B$9=""),"",SUMIFS(对接源_01水果筐数!$D$5:$D$304,对接源_01水果筐数!$B$5:$B$304,$B24,对接源_01水果筐数!$C$5:$C$304,基础资料!$B$9))</f>
        <v/>
      </c>
      <c r="D24" s="25" t="str">
        <f>IF(OR($B24="",基础资料!$B$10=""),"",SUMIFS(对接源_01水果筐数!$D$5:$D$304,对接源_01水果筐数!$B$5:$B$304,$B24,对接源_01水果筐数!$C$5:$C$304,基础资料!$B$10))</f>
        <v/>
      </c>
      <c r="E24" s="25" t="str">
        <f>IF(OR($B24="",基础资料!$B$9=""),"",SUMIFS(客户自备加工筐明细!$F$4:$F$1203,客户自备加工筐明细!$E$4:$E$1203,$B24,客户自备加工筐明细!$C$4:$C$1203,基础资料!$B$9,客户自备加工筐明细!$B$4:$B$1203,"&gt;="&amp;$T$1,客户自备加工筐明细!$B$4:$B$1203,"&lt;="&amp;$T$2))</f>
        <v/>
      </c>
      <c r="F24" s="25" t="str">
        <f>IF(OR($B24="",基础资料!$B$10=""),"",SUMIFS(客户自备加工筐明细!$F$4:$F$1203,客户自备加工筐明细!$E$4:$E$1203,$B24,客户自备加工筐明细!$C$4:$C$1203,基础资料!$B$10,客户自备加工筐明细!$B$4:$B$1203,"&gt;="&amp;$T$1,客户自备加工筐明细!$B$4:$B$1203,"&lt;="&amp;$T$2))</f>
        <v/>
      </c>
      <c r="G24" s="67" t="str">
        <f>IF(OR($B24="",基础资料!$B$9=""),"",-SUMIFS(对接源_01水果筐数!$E$5:$E$304,对接源_01水果筐数!$B$5:$B$304,$B24,对接源_01水果筐数!$C$5:$C$304,基础资料!$B$9))</f>
        <v/>
      </c>
      <c r="H24" s="67" t="str">
        <f>IF(OR($B24="",基础资料!$B$10=""),"",-SUMIFS(对接源_01水果筐数!$E$5:$E$304,对接源_01水果筐数!$B$5:$B$304,$B24,对接源_01水果筐数!$C$5:$C$304,基础资料!$B$10))</f>
        <v/>
      </c>
      <c r="I24" s="67" t="str">
        <f>IF(OR($B24="",基础资料!$B$9=""),"",-SUMIFS(对接源_01水果筐数!$F$5:$F$304,对接源_01水果筐数!$B$5:$B$304,$B24,对接源_01水果筐数!$C$5:$C$304,基础资料!$B$9))</f>
        <v/>
      </c>
      <c r="J24" s="67" t="str">
        <f>IF(OR($B24="",基础资料!$B$10=""),"",-SUMIFS(对接源_01水果筐数!$F$5:$F$304,对接源_01水果筐数!$B$5:$B$304,$B24,对接源_01水果筐数!$C$5:$C$304,基础资料!$B$10))</f>
        <v/>
      </c>
      <c r="K24" s="67" t="str">
        <f>IF(OR($B24="",基础资料!$B$9=""),"",-SUMIFS(客户自备加工筐明细!$G$4:$G$1203,客户自备加工筐明细!$E$4:$E$1203,$B24,客户自备加工筐明细!$C$4:$C$1203,基础资料!$B$9,客户自备加工筐明细!$B$4:$B$1203,"&gt;="&amp;$T$1,客户自备加工筐明细!$B$4:$B$1203,"&lt;="&amp;$T$2))</f>
        <v/>
      </c>
      <c r="L24" s="67" t="str">
        <f>IF(OR($B24="",基础资料!$B$10=""),"",-SUMIFS(客户自备加工筐明细!$G$4:$G$1203,客户自备加工筐明细!$E$4:$E$1203,$B24,客户自备加工筐明细!$C$4:$C$1203,基础资料!$B$10,客户自备加工筐明细!$B$4:$B$1203,"&gt;="&amp;$T$1,客户自备加工筐明细!$B$4:$B$1203,"&lt;="&amp;$T$2))</f>
        <v/>
      </c>
      <c r="M24" s="25" t="str">
        <f t="shared" si="1"/>
        <v/>
      </c>
      <c r="N24" s="25" t="str">
        <f t="shared" si="2"/>
        <v/>
      </c>
      <c r="O24" s="25" t="str">
        <f t="shared" si="3"/>
        <v/>
      </c>
      <c r="P24" s="37" t="str">
        <f t="shared" si="4"/>
        <v/>
      </c>
      <c r="Q24" s="27"/>
    </row>
    <row r="25" spans="1:17">
      <c r="A25" s="22" t="str">
        <f t="shared" si="0"/>
        <v/>
      </c>
      <c r="B25" s="37" t="str">
        <f>IFERROR(INDEX(_自动清单!$AM$4:$AM$203,ROW()-3),"")</f>
        <v/>
      </c>
      <c r="C25" s="25" t="str">
        <f>IF(OR($B25="",基础资料!$B$9=""),"",SUMIFS(对接源_01水果筐数!$D$5:$D$304,对接源_01水果筐数!$B$5:$B$304,$B25,对接源_01水果筐数!$C$5:$C$304,基础资料!$B$9))</f>
        <v/>
      </c>
      <c r="D25" s="25" t="str">
        <f>IF(OR($B25="",基础资料!$B$10=""),"",SUMIFS(对接源_01水果筐数!$D$5:$D$304,对接源_01水果筐数!$B$5:$B$304,$B25,对接源_01水果筐数!$C$5:$C$304,基础资料!$B$10))</f>
        <v/>
      </c>
      <c r="E25" s="25" t="str">
        <f>IF(OR($B25="",基础资料!$B$9=""),"",SUMIFS(客户自备加工筐明细!$F$4:$F$1203,客户自备加工筐明细!$E$4:$E$1203,$B25,客户自备加工筐明细!$C$4:$C$1203,基础资料!$B$9,客户自备加工筐明细!$B$4:$B$1203,"&gt;="&amp;$T$1,客户自备加工筐明细!$B$4:$B$1203,"&lt;="&amp;$T$2))</f>
        <v/>
      </c>
      <c r="F25" s="25" t="str">
        <f>IF(OR($B25="",基础资料!$B$10=""),"",SUMIFS(客户自备加工筐明细!$F$4:$F$1203,客户自备加工筐明细!$E$4:$E$1203,$B25,客户自备加工筐明细!$C$4:$C$1203,基础资料!$B$10,客户自备加工筐明细!$B$4:$B$1203,"&gt;="&amp;$T$1,客户自备加工筐明细!$B$4:$B$1203,"&lt;="&amp;$T$2))</f>
        <v/>
      </c>
      <c r="G25" s="67" t="str">
        <f>IF(OR($B25="",基础资料!$B$9=""),"",-SUMIFS(对接源_01水果筐数!$E$5:$E$304,对接源_01水果筐数!$B$5:$B$304,$B25,对接源_01水果筐数!$C$5:$C$304,基础资料!$B$9))</f>
        <v/>
      </c>
      <c r="H25" s="67" t="str">
        <f>IF(OR($B25="",基础资料!$B$10=""),"",-SUMIFS(对接源_01水果筐数!$E$5:$E$304,对接源_01水果筐数!$B$5:$B$304,$B25,对接源_01水果筐数!$C$5:$C$304,基础资料!$B$10))</f>
        <v/>
      </c>
      <c r="I25" s="67" t="str">
        <f>IF(OR($B25="",基础资料!$B$9=""),"",-SUMIFS(对接源_01水果筐数!$F$5:$F$304,对接源_01水果筐数!$B$5:$B$304,$B25,对接源_01水果筐数!$C$5:$C$304,基础资料!$B$9))</f>
        <v/>
      </c>
      <c r="J25" s="67" t="str">
        <f>IF(OR($B25="",基础资料!$B$10=""),"",-SUMIFS(对接源_01水果筐数!$F$5:$F$304,对接源_01水果筐数!$B$5:$B$304,$B25,对接源_01水果筐数!$C$5:$C$304,基础资料!$B$10))</f>
        <v/>
      </c>
      <c r="K25" s="67" t="str">
        <f>IF(OR($B25="",基础资料!$B$9=""),"",-SUMIFS(客户自备加工筐明细!$G$4:$G$1203,客户自备加工筐明细!$E$4:$E$1203,$B25,客户自备加工筐明细!$C$4:$C$1203,基础资料!$B$9,客户自备加工筐明细!$B$4:$B$1203,"&gt;="&amp;$T$1,客户自备加工筐明细!$B$4:$B$1203,"&lt;="&amp;$T$2))</f>
        <v/>
      </c>
      <c r="L25" s="67" t="str">
        <f>IF(OR($B25="",基础资料!$B$10=""),"",-SUMIFS(客户自备加工筐明细!$G$4:$G$1203,客户自备加工筐明细!$E$4:$E$1203,$B25,客户自备加工筐明细!$C$4:$C$1203,基础资料!$B$10,客户自备加工筐明细!$B$4:$B$1203,"&gt;="&amp;$T$1,客户自备加工筐明细!$B$4:$B$1203,"&lt;="&amp;$T$2))</f>
        <v/>
      </c>
      <c r="M25" s="25" t="str">
        <f t="shared" si="1"/>
        <v/>
      </c>
      <c r="N25" s="25" t="str">
        <f t="shared" si="2"/>
        <v/>
      </c>
      <c r="O25" s="25" t="str">
        <f t="shared" si="3"/>
        <v/>
      </c>
      <c r="P25" s="37" t="str">
        <f t="shared" si="4"/>
        <v/>
      </c>
      <c r="Q25" s="27"/>
    </row>
    <row r="26" spans="1:17">
      <c r="A26" s="22" t="str">
        <f t="shared" si="0"/>
        <v/>
      </c>
      <c r="B26" s="37" t="str">
        <f>IFERROR(INDEX(_自动清单!$AM$4:$AM$203,ROW()-3),"")</f>
        <v/>
      </c>
      <c r="C26" s="25" t="str">
        <f>IF(OR($B26="",基础资料!$B$9=""),"",SUMIFS(对接源_01水果筐数!$D$5:$D$304,对接源_01水果筐数!$B$5:$B$304,$B26,对接源_01水果筐数!$C$5:$C$304,基础资料!$B$9))</f>
        <v/>
      </c>
      <c r="D26" s="25" t="str">
        <f>IF(OR($B26="",基础资料!$B$10=""),"",SUMIFS(对接源_01水果筐数!$D$5:$D$304,对接源_01水果筐数!$B$5:$B$304,$B26,对接源_01水果筐数!$C$5:$C$304,基础资料!$B$10))</f>
        <v/>
      </c>
      <c r="E26" s="25" t="str">
        <f>IF(OR($B26="",基础资料!$B$9=""),"",SUMIFS(客户自备加工筐明细!$F$4:$F$1203,客户自备加工筐明细!$E$4:$E$1203,$B26,客户自备加工筐明细!$C$4:$C$1203,基础资料!$B$9,客户自备加工筐明细!$B$4:$B$1203,"&gt;="&amp;$T$1,客户自备加工筐明细!$B$4:$B$1203,"&lt;="&amp;$T$2))</f>
        <v/>
      </c>
      <c r="F26" s="25" t="str">
        <f>IF(OR($B26="",基础资料!$B$10=""),"",SUMIFS(客户自备加工筐明细!$F$4:$F$1203,客户自备加工筐明细!$E$4:$E$1203,$B26,客户自备加工筐明细!$C$4:$C$1203,基础资料!$B$10,客户自备加工筐明细!$B$4:$B$1203,"&gt;="&amp;$T$1,客户自备加工筐明细!$B$4:$B$1203,"&lt;="&amp;$T$2))</f>
        <v/>
      </c>
      <c r="G26" s="67" t="str">
        <f>IF(OR($B26="",基础资料!$B$9=""),"",-SUMIFS(对接源_01水果筐数!$E$5:$E$304,对接源_01水果筐数!$B$5:$B$304,$B26,对接源_01水果筐数!$C$5:$C$304,基础资料!$B$9))</f>
        <v/>
      </c>
      <c r="H26" s="67" t="str">
        <f>IF(OR($B26="",基础资料!$B$10=""),"",-SUMIFS(对接源_01水果筐数!$E$5:$E$304,对接源_01水果筐数!$B$5:$B$304,$B26,对接源_01水果筐数!$C$5:$C$304,基础资料!$B$10))</f>
        <v/>
      </c>
      <c r="I26" s="67" t="str">
        <f>IF(OR($B26="",基础资料!$B$9=""),"",-SUMIFS(对接源_01水果筐数!$F$5:$F$304,对接源_01水果筐数!$B$5:$B$304,$B26,对接源_01水果筐数!$C$5:$C$304,基础资料!$B$9))</f>
        <v/>
      </c>
      <c r="J26" s="67" t="str">
        <f>IF(OR($B26="",基础资料!$B$10=""),"",-SUMIFS(对接源_01水果筐数!$F$5:$F$304,对接源_01水果筐数!$B$5:$B$304,$B26,对接源_01水果筐数!$C$5:$C$304,基础资料!$B$10))</f>
        <v/>
      </c>
      <c r="K26" s="67" t="str">
        <f>IF(OR($B26="",基础资料!$B$9=""),"",-SUMIFS(客户自备加工筐明细!$G$4:$G$1203,客户自备加工筐明细!$E$4:$E$1203,$B26,客户自备加工筐明细!$C$4:$C$1203,基础资料!$B$9,客户自备加工筐明细!$B$4:$B$1203,"&gt;="&amp;$T$1,客户自备加工筐明细!$B$4:$B$1203,"&lt;="&amp;$T$2))</f>
        <v/>
      </c>
      <c r="L26" s="67" t="str">
        <f>IF(OR($B26="",基础资料!$B$10=""),"",-SUMIFS(客户自备加工筐明细!$G$4:$G$1203,客户自备加工筐明细!$E$4:$E$1203,$B26,客户自备加工筐明细!$C$4:$C$1203,基础资料!$B$10,客户自备加工筐明细!$B$4:$B$1203,"&gt;="&amp;$T$1,客户自备加工筐明细!$B$4:$B$1203,"&lt;="&amp;$T$2))</f>
        <v/>
      </c>
      <c r="M26" s="25" t="str">
        <f t="shared" si="1"/>
        <v/>
      </c>
      <c r="N26" s="25" t="str">
        <f t="shared" si="2"/>
        <v/>
      </c>
      <c r="O26" s="25" t="str">
        <f t="shared" si="3"/>
        <v/>
      </c>
      <c r="P26" s="37" t="str">
        <f t="shared" si="4"/>
        <v/>
      </c>
      <c r="Q26" s="27"/>
    </row>
    <row r="27" spans="1:17">
      <c r="A27" s="22" t="str">
        <f t="shared" si="0"/>
        <v/>
      </c>
      <c r="B27" s="37" t="str">
        <f>IFERROR(INDEX(_自动清单!$AM$4:$AM$203,ROW()-3),"")</f>
        <v/>
      </c>
      <c r="C27" s="25" t="str">
        <f>IF(OR($B27="",基础资料!$B$9=""),"",SUMIFS(对接源_01水果筐数!$D$5:$D$304,对接源_01水果筐数!$B$5:$B$304,$B27,对接源_01水果筐数!$C$5:$C$304,基础资料!$B$9))</f>
        <v/>
      </c>
      <c r="D27" s="25" t="str">
        <f>IF(OR($B27="",基础资料!$B$10=""),"",SUMIFS(对接源_01水果筐数!$D$5:$D$304,对接源_01水果筐数!$B$5:$B$304,$B27,对接源_01水果筐数!$C$5:$C$304,基础资料!$B$10))</f>
        <v/>
      </c>
      <c r="E27" s="25" t="str">
        <f>IF(OR($B27="",基础资料!$B$9=""),"",SUMIFS(客户自备加工筐明细!$F$4:$F$1203,客户自备加工筐明细!$E$4:$E$1203,$B27,客户自备加工筐明细!$C$4:$C$1203,基础资料!$B$9,客户自备加工筐明细!$B$4:$B$1203,"&gt;="&amp;$T$1,客户自备加工筐明细!$B$4:$B$1203,"&lt;="&amp;$T$2))</f>
        <v/>
      </c>
      <c r="F27" s="25" t="str">
        <f>IF(OR($B27="",基础资料!$B$10=""),"",SUMIFS(客户自备加工筐明细!$F$4:$F$1203,客户自备加工筐明细!$E$4:$E$1203,$B27,客户自备加工筐明细!$C$4:$C$1203,基础资料!$B$10,客户自备加工筐明细!$B$4:$B$1203,"&gt;="&amp;$T$1,客户自备加工筐明细!$B$4:$B$1203,"&lt;="&amp;$T$2))</f>
        <v/>
      </c>
      <c r="G27" s="67" t="str">
        <f>IF(OR($B27="",基础资料!$B$9=""),"",-SUMIFS(对接源_01水果筐数!$E$5:$E$304,对接源_01水果筐数!$B$5:$B$304,$B27,对接源_01水果筐数!$C$5:$C$304,基础资料!$B$9))</f>
        <v/>
      </c>
      <c r="H27" s="67" t="str">
        <f>IF(OR($B27="",基础资料!$B$10=""),"",-SUMIFS(对接源_01水果筐数!$E$5:$E$304,对接源_01水果筐数!$B$5:$B$304,$B27,对接源_01水果筐数!$C$5:$C$304,基础资料!$B$10))</f>
        <v/>
      </c>
      <c r="I27" s="67" t="str">
        <f>IF(OR($B27="",基础资料!$B$9=""),"",-SUMIFS(对接源_01水果筐数!$F$5:$F$304,对接源_01水果筐数!$B$5:$B$304,$B27,对接源_01水果筐数!$C$5:$C$304,基础资料!$B$9))</f>
        <v/>
      </c>
      <c r="J27" s="67" t="str">
        <f>IF(OR($B27="",基础资料!$B$10=""),"",-SUMIFS(对接源_01水果筐数!$F$5:$F$304,对接源_01水果筐数!$B$5:$B$304,$B27,对接源_01水果筐数!$C$5:$C$304,基础资料!$B$10))</f>
        <v/>
      </c>
      <c r="K27" s="67" t="str">
        <f>IF(OR($B27="",基础资料!$B$9=""),"",-SUMIFS(客户自备加工筐明细!$G$4:$G$1203,客户自备加工筐明细!$E$4:$E$1203,$B27,客户自备加工筐明细!$C$4:$C$1203,基础资料!$B$9,客户自备加工筐明细!$B$4:$B$1203,"&gt;="&amp;$T$1,客户自备加工筐明细!$B$4:$B$1203,"&lt;="&amp;$T$2))</f>
        <v/>
      </c>
      <c r="L27" s="67" t="str">
        <f>IF(OR($B27="",基础资料!$B$10=""),"",-SUMIFS(客户自备加工筐明细!$G$4:$G$1203,客户自备加工筐明细!$E$4:$E$1203,$B27,客户自备加工筐明细!$C$4:$C$1203,基础资料!$B$10,客户自备加工筐明细!$B$4:$B$1203,"&gt;="&amp;$T$1,客户自备加工筐明细!$B$4:$B$1203,"&lt;="&amp;$T$2))</f>
        <v/>
      </c>
      <c r="M27" s="25" t="str">
        <f t="shared" si="1"/>
        <v/>
      </c>
      <c r="N27" s="25" t="str">
        <f t="shared" si="2"/>
        <v/>
      </c>
      <c r="O27" s="25" t="str">
        <f t="shared" si="3"/>
        <v/>
      </c>
      <c r="P27" s="37" t="str">
        <f t="shared" si="4"/>
        <v/>
      </c>
      <c r="Q27" s="27"/>
    </row>
    <row r="28" spans="1:17">
      <c r="A28" s="22" t="str">
        <f t="shared" si="0"/>
        <v/>
      </c>
      <c r="B28" s="37" t="str">
        <f>IFERROR(INDEX(_自动清单!$AM$4:$AM$203,ROW()-3),"")</f>
        <v/>
      </c>
      <c r="C28" s="25" t="str">
        <f>IF(OR($B28="",基础资料!$B$9=""),"",SUMIFS(对接源_01水果筐数!$D$5:$D$304,对接源_01水果筐数!$B$5:$B$304,$B28,对接源_01水果筐数!$C$5:$C$304,基础资料!$B$9))</f>
        <v/>
      </c>
      <c r="D28" s="25" t="str">
        <f>IF(OR($B28="",基础资料!$B$10=""),"",SUMIFS(对接源_01水果筐数!$D$5:$D$304,对接源_01水果筐数!$B$5:$B$304,$B28,对接源_01水果筐数!$C$5:$C$304,基础资料!$B$10))</f>
        <v/>
      </c>
      <c r="E28" s="25" t="str">
        <f>IF(OR($B28="",基础资料!$B$9=""),"",SUMIFS(客户自备加工筐明细!$F$4:$F$1203,客户自备加工筐明细!$E$4:$E$1203,$B28,客户自备加工筐明细!$C$4:$C$1203,基础资料!$B$9,客户自备加工筐明细!$B$4:$B$1203,"&gt;="&amp;$T$1,客户自备加工筐明细!$B$4:$B$1203,"&lt;="&amp;$T$2))</f>
        <v/>
      </c>
      <c r="F28" s="25" t="str">
        <f>IF(OR($B28="",基础资料!$B$10=""),"",SUMIFS(客户自备加工筐明细!$F$4:$F$1203,客户自备加工筐明细!$E$4:$E$1203,$B28,客户自备加工筐明细!$C$4:$C$1203,基础资料!$B$10,客户自备加工筐明细!$B$4:$B$1203,"&gt;="&amp;$T$1,客户自备加工筐明细!$B$4:$B$1203,"&lt;="&amp;$T$2))</f>
        <v/>
      </c>
      <c r="G28" s="67" t="str">
        <f>IF(OR($B28="",基础资料!$B$9=""),"",-SUMIFS(对接源_01水果筐数!$E$5:$E$304,对接源_01水果筐数!$B$5:$B$304,$B28,对接源_01水果筐数!$C$5:$C$304,基础资料!$B$9))</f>
        <v/>
      </c>
      <c r="H28" s="67" t="str">
        <f>IF(OR($B28="",基础资料!$B$10=""),"",-SUMIFS(对接源_01水果筐数!$E$5:$E$304,对接源_01水果筐数!$B$5:$B$304,$B28,对接源_01水果筐数!$C$5:$C$304,基础资料!$B$10))</f>
        <v/>
      </c>
      <c r="I28" s="67" t="str">
        <f>IF(OR($B28="",基础资料!$B$9=""),"",-SUMIFS(对接源_01水果筐数!$F$5:$F$304,对接源_01水果筐数!$B$5:$B$304,$B28,对接源_01水果筐数!$C$5:$C$304,基础资料!$B$9))</f>
        <v/>
      </c>
      <c r="J28" s="67" t="str">
        <f>IF(OR($B28="",基础资料!$B$10=""),"",-SUMIFS(对接源_01水果筐数!$F$5:$F$304,对接源_01水果筐数!$B$5:$B$304,$B28,对接源_01水果筐数!$C$5:$C$304,基础资料!$B$10))</f>
        <v/>
      </c>
      <c r="K28" s="67" t="str">
        <f>IF(OR($B28="",基础资料!$B$9=""),"",-SUMIFS(客户自备加工筐明细!$G$4:$G$1203,客户自备加工筐明细!$E$4:$E$1203,$B28,客户自备加工筐明细!$C$4:$C$1203,基础资料!$B$9,客户自备加工筐明细!$B$4:$B$1203,"&gt;="&amp;$T$1,客户自备加工筐明细!$B$4:$B$1203,"&lt;="&amp;$T$2))</f>
        <v/>
      </c>
      <c r="L28" s="67" t="str">
        <f>IF(OR($B28="",基础资料!$B$10=""),"",-SUMIFS(客户自备加工筐明细!$G$4:$G$1203,客户自备加工筐明细!$E$4:$E$1203,$B28,客户自备加工筐明细!$C$4:$C$1203,基础资料!$B$10,客户自备加工筐明细!$B$4:$B$1203,"&gt;="&amp;$T$1,客户自备加工筐明细!$B$4:$B$1203,"&lt;="&amp;$T$2))</f>
        <v/>
      </c>
      <c r="M28" s="25" t="str">
        <f t="shared" si="1"/>
        <v/>
      </c>
      <c r="N28" s="25" t="str">
        <f t="shared" si="2"/>
        <v/>
      </c>
      <c r="O28" s="25" t="str">
        <f t="shared" si="3"/>
        <v/>
      </c>
      <c r="P28" s="37" t="str">
        <f t="shared" si="4"/>
        <v/>
      </c>
      <c r="Q28" s="27"/>
    </row>
    <row r="29" spans="1:17">
      <c r="A29" s="22" t="str">
        <f t="shared" si="0"/>
        <v/>
      </c>
      <c r="B29" s="37" t="str">
        <f>IFERROR(INDEX(_自动清单!$AM$4:$AM$203,ROW()-3),"")</f>
        <v/>
      </c>
      <c r="C29" s="25" t="str">
        <f>IF(OR($B29="",基础资料!$B$9=""),"",SUMIFS(对接源_01水果筐数!$D$5:$D$304,对接源_01水果筐数!$B$5:$B$304,$B29,对接源_01水果筐数!$C$5:$C$304,基础资料!$B$9))</f>
        <v/>
      </c>
      <c r="D29" s="25" t="str">
        <f>IF(OR($B29="",基础资料!$B$10=""),"",SUMIFS(对接源_01水果筐数!$D$5:$D$304,对接源_01水果筐数!$B$5:$B$304,$B29,对接源_01水果筐数!$C$5:$C$304,基础资料!$B$10))</f>
        <v/>
      </c>
      <c r="E29" s="25" t="str">
        <f>IF(OR($B29="",基础资料!$B$9=""),"",SUMIFS(客户自备加工筐明细!$F$4:$F$1203,客户自备加工筐明细!$E$4:$E$1203,$B29,客户自备加工筐明细!$C$4:$C$1203,基础资料!$B$9,客户自备加工筐明细!$B$4:$B$1203,"&gt;="&amp;$T$1,客户自备加工筐明细!$B$4:$B$1203,"&lt;="&amp;$T$2))</f>
        <v/>
      </c>
      <c r="F29" s="25" t="str">
        <f>IF(OR($B29="",基础资料!$B$10=""),"",SUMIFS(客户自备加工筐明细!$F$4:$F$1203,客户自备加工筐明细!$E$4:$E$1203,$B29,客户自备加工筐明细!$C$4:$C$1203,基础资料!$B$10,客户自备加工筐明细!$B$4:$B$1203,"&gt;="&amp;$T$1,客户自备加工筐明细!$B$4:$B$1203,"&lt;="&amp;$T$2))</f>
        <v/>
      </c>
      <c r="G29" s="67" t="str">
        <f>IF(OR($B29="",基础资料!$B$9=""),"",-SUMIFS(对接源_01水果筐数!$E$5:$E$304,对接源_01水果筐数!$B$5:$B$304,$B29,对接源_01水果筐数!$C$5:$C$304,基础资料!$B$9))</f>
        <v/>
      </c>
      <c r="H29" s="67" t="str">
        <f>IF(OR($B29="",基础资料!$B$10=""),"",-SUMIFS(对接源_01水果筐数!$E$5:$E$304,对接源_01水果筐数!$B$5:$B$304,$B29,对接源_01水果筐数!$C$5:$C$304,基础资料!$B$10))</f>
        <v/>
      </c>
      <c r="I29" s="67" t="str">
        <f>IF(OR($B29="",基础资料!$B$9=""),"",-SUMIFS(对接源_01水果筐数!$F$5:$F$304,对接源_01水果筐数!$B$5:$B$304,$B29,对接源_01水果筐数!$C$5:$C$304,基础资料!$B$9))</f>
        <v/>
      </c>
      <c r="J29" s="67" t="str">
        <f>IF(OR($B29="",基础资料!$B$10=""),"",-SUMIFS(对接源_01水果筐数!$F$5:$F$304,对接源_01水果筐数!$B$5:$B$304,$B29,对接源_01水果筐数!$C$5:$C$304,基础资料!$B$10))</f>
        <v/>
      </c>
      <c r="K29" s="67" t="str">
        <f>IF(OR($B29="",基础资料!$B$9=""),"",-SUMIFS(客户自备加工筐明细!$G$4:$G$1203,客户自备加工筐明细!$E$4:$E$1203,$B29,客户自备加工筐明细!$C$4:$C$1203,基础资料!$B$9,客户自备加工筐明细!$B$4:$B$1203,"&gt;="&amp;$T$1,客户自备加工筐明细!$B$4:$B$1203,"&lt;="&amp;$T$2))</f>
        <v/>
      </c>
      <c r="L29" s="67" t="str">
        <f>IF(OR($B29="",基础资料!$B$10=""),"",-SUMIFS(客户自备加工筐明细!$G$4:$G$1203,客户自备加工筐明细!$E$4:$E$1203,$B29,客户自备加工筐明细!$C$4:$C$1203,基础资料!$B$10,客户自备加工筐明细!$B$4:$B$1203,"&gt;="&amp;$T$1,客户自备加工筐明细!$B$4:$B$1203,"&lt;="&amp;$T$2))</f>
        <v/>
      </c>
      <c r="M29" s="25" t="str">
        <f t="shared" si="1"/>
        <v/>
      </c>
      <c r="N29" s="25" t="str">
        <f t="shared" si="2"/>
        <v/>
      </c>
      <c r="O29" s="25" t="str">
        <f t="shared" si="3"/>
        <v/>
      </c>
      <c r="P29" s="37" t="str">
        <f t="shared" si="4"/>
        <v/>
      </c>
      <c r="Q29" s="27"/>
    </row>
    <row r="30" spans="1:17">
      <c r="A30" s="22" t="str">
        <f t="shared" si="0"/>
        <v/>
      </c>
      <c r="B30" s="37" t="str">
        <f>IFERROR(INDEX(_自动清单!$AM$4:$AM$203,ROW()-3),"")</f>
        <v/>
      </c>
      <c r="C30" s="25" t="str">
        <f>IF(OR($B30="",基础资料!$B$9=""),"",SUMIFS(对接源_01水果筐数!$D$5:$D$304,对接源_01水果筐数!$B$5:$B$304,$B30,对接源_01水果筐数!$C$5:$C$304,基础资料!$B$9))</f>
        <v/>
      </c>
      <c r="D30" s="25" t="str">
        <f>IF(OR($B30="",基础资料!$B$10=""),"",SUMIFS(对接源_01水果筐数!$D$5:$D$304,对接源_01水果筐数!$B$5:$B$304,$B30,对接源_01水果筐数!$C$5:$C$304,基础资料!$B$10))</f>
        <v/>
      </c>
      <c r="E30" s="25" t="str">
        <f>IF(OR($B30="",基础资料!$B$9=""),"",SUMIFS(客户自备加工筐明细!$F$4:$F$1203,客户自备加工筐明细!$E$4:$E$1203,$B30,客户自备加工筐明细!$C$4:$C$1203,基础资料!$B$9,客户自备加工筐明细!$B$4:$B$1203,"&gt;="&amp;$T$1,客户自备加工筐明细!$B$4:$B$1203,"&lt;="&amp;$T$2))</f>
        <v/>
      </c>
      <c r="F30" s="25" t="str">
        <f>IF(OR($B30="",基础资料!$B$10=""),"",SUMIFS(客户自备加工筐明细!$F$4:$F$1203,客户自备加工筐明细!$E$4:$E$1203,$B30,客户自备加工筐明细!$C$4:$C$1203,基础资料!$B$10,客户自备加工筐明细!$B$4:$B$1203,"&gt;="&amp;$T$1,客户自备加工筐明细!$B$4:$B$1203,"&lt;="&amp;$T$2))</f>
        <v/>
      </c>
      <c r="G30" s="67" t="str">
        <f>IF(OR($B30="",基础资料!$B$9=""),"",-SUMIFS(对接源_01水果筐数!$E$5:$E$304,对接源_01水果筐数!$B$5:$B$304,$B30,对接源_01水果筐数!$C$5:$C$304,基础资料!$B$9))</f>
        <v/>
      </c>
      <c r="H30" s="67" t="str">
        <f>IF(OR($B30="",基础资料!$B$10=""),"",-SUMIFS(对接源_01水果筐数!$E$5:$E$304,对接源_01水果筐数!$B$5:$B$304,$B30,对接源_01水果筐数!$C$5:$C$304,基础资料!$B$10))</f>
        <v/>
      </c>
      <c r="I30" s="67" t="str">
        <f>IF(OR($B30="",基础资料!$B$9=""),"",-SUMIFS(对接源_01水果筐数!$F$5:$F$304,对接源_01水果筐数!$B$5:$B$304,$B30,对接源_01水果筐数!$C$5:$C$304,基础资料!$B$9))</f>
        <v/>
      </c>
      <c r="J30" s="67" t="str">
        <f>IF(OR($B30="",基础资料!$B$10=""),"",-SUMIFS(对接源_01水果筐数!$F$5:$F$304,对接源_01水果筐数!$B$5:$B$304,$B30,对接源_01水果筐数!$C$5:$C$304,基础资料!$B$10))</f>
        <v/>
      </c>
      <c r="K30" s="67" t="str">
        <f>IF(OR($B30="",基础资料!$B$9=""),"",-SUMIFS(客户自备加工筐明细!$G$4:$G$1203,客户自备加工筐明细!$E$4:$E$1203,$B30,客户自备加工筐明细!$C$4:$C$1203,基础资料!$B$9,客户自备加工筐明细!$B$4:$B$1203,"&gt;="&amp;$T$1,客户自备加工筐明细!$B$4:$B$1203,"&lt;="&amp;$T$2))</f>
        <v/>
      </c>
      <c r="L30" s="67" t="str">
        <f>IF(OR($B30="",基础资料!$B$10=""),"",-SUMIFS(客户自备加工筐明细!$G$4:$G$1203,客户自备加工筐明细!$E$4:$E$1203,$B30,客户自备加工筐明细!$C$4:$C$1203,基础资料!$B$10,客户自备加工筐明细!$B$4:$B$1203,"&gt;="&amp;$T$1,客户自备加工筐明细!$B$4:$B$1203,"&lt;="&amp;$T$2))</f>
        <v/>
      </c>
      <c r="M30" s="25" t="str">
        <f t="shared" si="1"/>
        <v/>
      </c>
      <c r="N30" s="25" t="str">
        <f t="shared" si="2"/>
        <v/>
      </c>
      <c r="O30" s="25" t="str">
        <f t="shared" si="3"/>
        <v/>
      </c>
      <c r="P30" s="37" t="str">
        <f t="shared" si="4"/>
        <v/>
      </c>
      <c r="Q30" s="27"/>
    </row>
    <row r="31" spans="1:17">
      <c r="A31" s="22" t="str">
        <f t="shared" si="0"/>
        <v/>
      </c>
      <c r="B31" s="37" t="str">
        <f>IFERROR(INDEX(_自动清单!$AM$4:$AM$203,ROW()-3),"")</f>
        <v/>
      </c>
      <c r="C31" s="25" t="str">
        <f>IF(OR($B31="",基础资料!$B$9=""),"",SUMIFS(对接源_01水果筐数!$D$5:$D$304,对接源_01水果筐数!$B$5:$B$304,$B31,对接源_01水果筐数!$C$5:$C$304,基础资料!$B$9))</f>
        <v/>
      </c>
      <c r="D31" s="25" t="str">
        <f>IF(OR($B31="",基础资料!$B$10=""),"",SUMIFS(对接源_01水果筐数!$D$5:$D$304,对接源_01水果筐数!$B$5:$B$304,$B31,对接源_01水果筐数!$C$5:$C$304,基础资料!$B$10))</f>
        <v/>
      </c>
      <c r="E31" s="25" t="str">
        <f>IF(OR($B31="",基础资料!$B$9=""),"",SUMIFS(客户自备加工筐明细!$F$4:$F$1203,客户自备加工筐明细!$E$4:$E$1203,$B31,客户自备加工筐明细!$C$4:$C$1203,基础资料!$B$9,客户自备加工筐明细!$B$4:$B$1203,"&gt;="&amp;$T$1,客户自备加工筐明细!$B$4:$B$1203,"&lt;="&amp;$T$2))</f>
        <v/>
      </c>
      <c r="F31" s="25" t="str">
        <f>IF(OR($B31="",基础资料!$B$10=""),"",SUMIFS(客户自备加工筐明细!$F$4:$F$1203,客户自备加工筐明细!$E$4:$E$1203,$B31,客户自备加工筐明细!$C$4:$C$1203,基础资料!$B$10,客户自备加工筐明细!$B$4:$B$1203,"&gt;="&amp;$T$1,客户自备加工筐明细!$B$4:$B$1203,"&lt;="&amp;$T$2))</f>
        <v/>
      </c>
      <c r="G31" s="67" t="str">
        <f>IF(OR($B31="",基础资料!$B$9=""),"",-SUMIFS(对接源_01水果筐数!$E$5:$E$304,对接源_01水果筐数!$B$5:$B$304,$B31,对接源_01水果筐数!$C$5:$C$304,基础资料!$B$9))</f>
        <v/>
      </c>
      <c r="H31" s="67" t="str">
        <f>IF(OR($B31="",基础资料!$B$10=""),"",-SUMIFS(对接源_01水果筐数!$E$5:$E$304,对接源_01水果筐数!$B$5:$B$304,$B31,对接源_01水果筐数!$C$5:$C$304,基础资料!$B$10))</f>
        <v/>
      </c>
      <c r="I31" s="67" t="str">
        <f>IF(OR($B31="",基础资料!$B$9=""),"",-SUMIFS(对接源_01水果筐数!$F$5:$F$304,对接源_01水果筐数!$B$5:$B$304,$B31,对接源_01水果筐数!$C$5:$C$304,基础资料!$B$9))</f>
        <v/>
      </c>
      <c r="J31" s="67" t="str">
        <f>IF(OR($B31="",基础资料!$B$10=""),"",-SUMIFS(对接源_01水果筐数!$F$5:$F$304,对接源_01水果筐数!$B$5:$B$304,$B31,对接源_01水果筐数!$C$5:$C$304,基础资料!$B$10))</f>
        <v/>
      </c>
      <c r="K31" s="67" t="str">
        <f>IF(OR($B31="",基础资料!$B$9=""),"",-SUMIFS(客户自备加工筐明细!$G$4:$G$1203,客户自备加工筐明细!$E$4:$E$1203,$B31,客户自备加工筐明细!$C$4:$C$1203,基础资料!$B$9,客户自备加工筐明细!$B$4:$B$1203,"&gt;="&amp;$T$1,客户自备加工筐明细!$B$4:$B$1203,"&lt;="&amp;$T$2))</f>
        <v/>
      </c>
      <c r="L31" s="67" t="str">
        <f>IF(OR($B31="",基础资料!$B$10=""),"",-SUMIFS(客户自备加工筐明细!$G$4:$G$1203,客户自备加工筐明细!$E$4:$E$1203,$B31,客户自备加工筐明细!$C$4:$C$1203,基础资料!$B$10,客户自备加工筐明细!$B$4:$B$1203,"&gt;="&amp;$T$1,客户自备加工筐明细!$B$4:$B$1203,"&lt;="&amp;$T$2))</f>
        <v/>
      </c>
      <c r="M31" s="25" t="str">
        <f t="shared" si="1"/>
        <v/>
      </c>
      <c r="N31" s="25" t="str">
        <f t="shared" si="2"/>
        <v/>
      </c>
      <c r="O31" s="25" t="str">
        <f t="shared" si="3"/>
        <v/>
      </c>
      <c r="P31" s="37" t="str">
        <f t="shared" si="4"/>
        <v/>
      </c>
      <c r="Q31" s="27"/>
    </row>
    <row r="32" spans="1:17">
      <c r="A32" s="22" t="str">
        <f t="shared" si="0"/>
        <v/>
      </c>
      <c r="B32" s="37" t="str">
        <f>IFERROR(INDEX(_自动清单!$AM$4:$AM$203,ROW()-3),"")</f>
        <v/>
      </c>
      <c r="C32" s="25" t="str">
        <f>IF(OR($B32="",基础资料!$B$9=""),"",SUMIFS(对接源_01水果筐数!$D$5:$D$304,对接源_01水果筐数!$B$5:$B$304,$B32,对接源_01水果筐数!$C$5:$C$304,基础资料!$B$9))</f>
        <v/>
      </c>
      <c r="D32" s="25" t="str">
        <f>IF(OR($B32="",基础资料!$B$10=""),"",SUMIFS(对接源_01水果筐数!$D$5:$D$304,对接源_01水果筐数!$B$5:$B$304,$B32,对接源_01水果筐数!$C$5:$C$304,基础资料!$B$10))</f>
        <v/>
      </c>
      <c r="E32" s="25" t="str">
        <f>IF(OR($B32="",基础资料!$B$9=""),"",SUMIFS(客户自备加工筐明细!$F$4:$F$1203,客户自备加工筐明细!$E$4:$E$1203,$B32,客户自备加工筐明细!$C$4:$C$1203,基础资料!$B$9,客户自备加工筐明细!$B$4:$B$1203,"&gt;="&amp;$T$1,客户自备加工筐明细!$B$4:$B$1203,"&lt;="&amp;$T$2))</f>
        <v/>
      </c>
      <c r="F32" s="25" t="str">
        <f>IF(OR($B32="",基础资料!$B$10=""),"",SUMIFS(客户自备加工筐明细!$F$4:$F$1203,客户自备加工筐明细!$E$4:$E$1203,$B32,客户自备加工筐明细!$C$4:$C$1203,基础资料!$B$10,客户自备加工筐明细!$B$4:$B$1203,"&gt;="&amp;$T$1,客户自备加工筐明细!$B$4:$B$1203,"&lt;="&amp;$T$2))</f>
        <v/>
      </c>
      <c r="G32" s="67" t="str">
        <f>IF(OR($B32="",基础资料!$B$9=""),"",-SUMIFS(对接源_01水果筐数!$E$5:$E$304,对接源_01水果筐数!$B$5:$B$304,$B32,对接源_01水果筐数!$C$5:$C$304,基础资料!$B$9))</f>
        <v/>
      </c>
      <c r="H32" s="67" t="str">
        <f>IF(OR($B32="",基础资料!$B$10=""),"",-SUMIFS(对接源_01水果筐数!$E$5:$E$304,对接源_01水果筐数!$B$5:$B$304,$B32,对接源_01水果筐数!$C$5:$C$304,基础资料!$B$10))</f>
        <v/>
      </c>
      <c r="I32" s="67" t="str">
        <f>IF(OR($B32="",基础资料!$B$9=""),"",-SUMIFS(对接源_01水果筐数!$F$5:$F$304,对接源_01水果筐数!$B$5:$B$304,$B32,对接源_01水果筐数!$C$5:$C$304,基础资料!$B$9))</f>
        <v/>
      </c>
      <c r="J32" s="67" t="str">
        <f>IF(OR($B32="",基础资料!$B$10=""),"",-SUMIFS(对接源_01水果筐数!$F$5:$F$304,对接源_01水果筐数!$B$5:$B$304,$B32,对接源_01水果筐数!$C$5:$C$304,基础资料!$B$10))</f>
        <v/>
      </c>
      <c r="K32" s="67" t="str">
        <f>IF(OR($B32="",基础资料!$B$9=""),"",-SUMIFS(客户自备加工筐明细!$G$4:$G$1203,客户自备加工筐明细!$E$4:$E$1203,$B32,客户自备加工筐明细!$C$4:$C$1203,基础资料!$B$9,客户自备加工筐明细!$B$4:$B$1203,"&gt;="&amp;$T$1,客户自备加工筐明细!$B$4:$B$1203,"&lt;="&amp;$T$2))</f>
        <v/>
      </c>
      <c r="L32" s="67" t="str">
        <f>IF(OR($B32="",基础资料!$B$10=""),"",-SUMIFS(客户自备加工筐明细!$G$4:$G$1203,客户自备加工筐明细!$E$4:$E$1203,$B32,客户自备加工筐明细!$C$4:$C$1203,基础资料!$B$10,客户自备加工筐明细!$B$4:$B$1203,"&gt;="&amp;$T$1,客户自备加工筐明细!$B$4:$B$1203,"&lt;="&amp;$T$2))</f>
        <v/>
      </c>
      <c r="M32" s="25" t="str">
        <f t="shared" si="1"/>
        <v/>
      </c>
      <c r="N32" s="25" t="str">
        <f t="shared" si="2"/>
        <v/>
      </c>
      <c r="O32" s="25" t="str">
        <f t="shared" si="3"/>
        <v/>
      </c>
      <c r="P32" s="37" t="str">
        <f t="shared" si="4"/>
        <v/>
      </c>
      <c r="Q32" s="27"/>
    </row>
    <row r="33" spans="1:17">
      <c r="A33" s="22" t="str">
        <f t="shared" si="0"/>
        <v/>
      </c>
      <c r="B33" s="37" t="str">
        <f>IFERROR(INDEX(_自动清单!$AM$4:$AM$203,ROW()-3),"")</f>
        <v/>
      </c>
      <c r="C33" s="25" t="str">
        <f>IF(OR($B33="",基础资料!$B$9=""),"",SUMIFS(对接源_01水果筐数!$D$5:$D$304,对接源_01水果筐数!$B$5:$B$304,$B33,对接源_01水果筐数!$C$5:$C$304,基础资料!$B$9))</f>
        <v/>
      </c>
      <c r="D33" s="25" t="str">
        <f>IF(OR($B33="",基础资料!$B$10=""),"",SUMIFS(对接源_01水果筐数!$D$5:$D$304,对接源_01水果筐数!$B$5:$B$304,$B33,对接源_01水果筐数!$C$5:$C$304,基础资料!$B$10))</f>
        <v/>
      </c>
      <c r="E33" s="25" t="str">
        <f>IF(OR($B33="",基础资料!$B$9=""),"",SUMIFS(客户自备加工筐明细!$F$4:$F$1203,客户自备加工筐明细!$E$4:$E$1203,$B33,客户自备加工筐明细!$C$4:$C$1203,基础资料!$B$9,客户自备加工筐明细!$B$4:$B$1203,"&gt;="&amp;$T$1,客户自备加工筐明细!$B$4:$B$1203,"&lt;="&amp;$T$2))</f>
        <v/>
      </c>
      <c r="F33" s="25" t="str">
        <f>IF(OR($B33="",基础资料!$B$10=""),"",SUMIFS(客户自备加工筐明细!$F$4:$F$1203,客户自备加工筐明细!$E$4:$E$1203,$B33,客户自备加工筐明细!$C$4:$C$1203,基础资料!$B$10,客户自备加工筐明细!$B$4:$B$1203,"&gt;="&amp;$T$1,客户自备加工筐明细!$B$4:$B$1203,"&lt;="&amp;$T$2))</f>
        <v/>
      </c>
      <c r="G33" s="67" t="str">
        <f>IF(OR($B33="",基础资料!$B$9=""),"",-SUMIFS(对接源_01水果筐数!$E$5:$E$304,对接源_01水果筐数!$B$5:$B$304,$B33,对接源_01水果筐数!$C$5:$C$304,基础资料!$B$9))</f>
        <v/>
      </c>
      <c r="H33" s="67" t="str">
        <f>IF(OR($B33="",基础资料!$B$10=""),"",-SUMIFS(对接源_01水果筐数!$E$5:$E$304,对接源_01水果筐数!$B$5:$B$304,$B33,对接源_01水果筐数!$C$5:$C$304,基础资料!$B$10))</f>
        <v/>
      </c>
      <c r="I33" s="67" t="str">
        <f>IF(OR($B33="",基础资料!$B$9=""),"",-SUMIFS(对接源_01水果筐数!$F$5:$F$304,对接源_01水果筐数!$B$5:$B$304,$B33,对接源_01水果筐数!$C$5:$C$304,基础资料!$B$9))</f>
        <v/>
      </c>
      <c r="J33" s="67" t="str">
        <f>IF(OR($B33="",基础资料!$B$10=""),"",-SUMIFS(对接源_01水果筐数!$F$5:$F$304,对接源_01水果筐数!$B$5:$B$304,$B33,对接源_01水果筐数!$C$5:$C$304,基础资料!$B$10))</f>
        <v/>
      </c>
      <c r="K33" s="67" t="str">
        <f>IF(OR($B33="",基础资料!$B$9=""),"",-SUMIFS(客户自备加工筐明细!$G$4:$G$1203,客户自备加工筐明细!$E$4:$E$1203,$B33,客户自备加工筐明细!$C$4:$C$1203,基础资料!$B$9,客户自备加工筐明细!$B$4:$B$1203,"&gt;="&amp;$T$1,客户自备加工筐明细!$B$4:$B$1203,"&lt;="&amp;$T$2))</f>
        <v/>
      </c>
      <c r="L33" s="67" t="str">
        <f>IF(OR($B33="",基础资料!$B$10=""),"",-SUMIFS(客户自备加工筐明细!$G$4:$G$1203,客户自备加工筐明细!$E$4:$E$1203,$B33,客户自备加工筐明细!$C$4:$C$1203,基础资料!$B$10,客户自备加工筐明细!$B$4:$B$1203,"&gt;="&amp;$T$1,客户自备加工筐明细!$B$4:$B$1203,"&lt;="&amp;$T$2))</f>
        <v/>
      </c>
      <c r="M33" s="25" t="str">
        <f t="shared" si="1"/>
        <v/>
      </c>
      <c r="N33" s="25" t="str">
        <f t="shared" si="2"/>
        <v/>
      </c>
      <c r="O33" s="25" t="str">
        <f t="shared" si="3"/>
        <v/>
      </c>
      <c r="P33" s="37" t="str">
        <f t="shared" si="4"/>
        <v/>
      </c>
      <c r="Q33" s="27"/>
    </row>
    <row r="34" spans="1:17">
      <c r="A34" s="22" t="str">
        <f t="shared" si="0"/>
        <v/>
      </c>
      <c r="B34" s="37" t="str">
        <f>IFERROR(INDEX(_自动清单!$AM$4:$AM$203,ROW()-3),"")</f>
        <v/>
      </c>
      <c r="C34" s="25" t="str">
        <f>IF(OR($B34="",基础资料!$B$9=""),"",SUMIFS(对接源_01水果筐数!$D$5:$D$304,对接源_01水果筐数!$B$5:$B$304,$B34,对接源_01水果筐数!$C$5:$C$304,基础资料!$B$9))</f>
        <v/>
      </c>
      <c r="D34" s="25" t="str">
        <f>IF(OR($B34="",基础资料!$B$10=""),"",SUMIFS(对接源_01水果筐数!$D$5:$D$304,对接源_01水果筐数!$B$5:$B$304,$B34,对接源_01水果筐数!$C$5:$C$304,基础资料!$B$10))</f>
        <v/>
      </c>
      <c r="E34" s="25" t="str">
        <f>IF(OR($B34="",基础资料!$B$9=""),"",SUMIFS(客户自备加工筐明细!$F$4:$F$1203,客户自备加工筐明细!$E$4:$E$1203,$B34,客户自备加工筐明细!$C$4:$C$1203,基础资料!$B$9,客户自备加工筐明细!$B$4:$B$1203,"&gt;="&amp;$T$1,客户自备加工筐明细!$B$4:$B$1203,"&lt;="&amp;$T$2))</f>
        <v/>
      </c>
      <c r="F34" s="25" t="str">
        <f>IF(OR($B34="",基础资料!$B$10=""),"",SUMIFS(客户自备加工筐明细!$F$4:$F$1203,客户自备加工筐明细!$E$4:$E$1203,$B34,客户自备加工筐明细!$C$4:$C$1203,基础资料!$B$10,客户自备加工筐明细!$B$4:$B$1203,"&gt;="&amp;$T$1,客户自备加工筐明细!$B$4:$B$1203,"&lt;="&amp;$T$2))</f>
        <v/>
      </c>
      <c r="G34" s="67" t="str">
        <f>IF(OR($B34="",基础资料!$B$9=""),"",-SUMIFS(对接源_01水果筐数!$E$5:$E$304,对接源_01水果筐数!$B$5:$B$304,$B34,对接源_01水果筐数!$C$5:$C$304,基础资料!$B$9))</f>
        <v/>
      </c>
      <c r="H34" s="67" t="str">
        <f>IF(OR($B34="",基础资料!$B$10=""),"",-SUMIFS(对接源_01水果筐数!$E$5:$E$304,对接源_01水果筐数!$B$5:$B$304,$B34,对接源_01水果筐数!$C$5:$C$304,基础资料!$B$10))</f>
        <v/>
      </c>
      <c r="I34" s="67" t="str">
        <f>IF(OR($B34="",基础资料!$B$9=""),"",-SUMIFS(对接源_01水果筐数!$F$5:$F$304,对接源_01水果筐数!$B$5:$B$304,$B34,对接源_01水果筐数!$C$5:$C$304,基础资料!$B$9))</f>
        <v/>
      </c>
      <c r="J34" s="67" t="str">
        <f>IF(OR($B34="",基础资料!$B$10=""),"",-SUMIFS(对接源_01水果筐数!$F$5:$F$304,对接源_01水果筐数!$B$5:$B$304,$B34,对接源_01水果筐数!$C$5:$C$304,基础资料!$B$10))</f>
        <v/>
      </c>
      <c r="K34" s="67" t="str">
        <f>IF(OR($B34="",基础资料!$B$9=""),"",-SUMIFS(客户自备加工筐明细!$G$4:$G$1203,客户自备加工筐明细!$E$4:$E$1203,$B34,客户自备加工筐明细!$C$4:$C$1203,基础资料!$B$9,客户自备加工筐明细!$B$4:$B$1203,"&gt;="&amp;$T$1,客户自备加工筐明细!$B$4:$B$1203,"&lt;="&amp;$T$2))</f>
        <v/>
      </c>
      <c r="L34" s="67" t="str">
        <f>IF(OR($B34="",基础资料!$B$10=""),"",-SUMIFS(客户自备加工筐明细!$G$4:$G$1203,客户自备加工筐明细!$E$4:$E$1203,$B34,客户自备加工筐明细!$C$4:$C$1203,基础资料!$B$10,客户自备加工筐明细!$B$4:$B$1203,"&gt;="&amp;$T$1,客户自备加工筐明细!$B$4:$B$1203,"&lt;="&amp;$T$2))</f>
        <v/>
      </c>
      <c r="M34" s="25" t="str">
        <f t="shared" si="1"/>
        <v/>
      </c>
      <c r="N34" s="25" t="str">
        <f t="shared" si="2"/>
        <v/>
      </c>
      <c r="O34" s="25" t="str">
        <f t="shared" si="3"/>
        <v/>
      </c>
      <c r="P34" s="37" t="str">
        <f t="shared" si="4"/>
        <v/>
      </c>
      <c r="Q34" s="27"/>
    </row>
    <row r="35" spans="1:17">
      <c r="A35" s="22" t="str">
        <f t="shared" si="0"/>
        <v/>
      </c>
      <c r="B35" s="37" t="str">
        <f>IFERROR(INDEX(_自动清单!$AM$4:$AM$203,ROW()-3),"")</f>
        <v/>
      </c>
      <c r="C35" s="25" t="str">
        <f>IF(OR($B35="",基础资料!$B$9=""),"",SUMIFS(对接源_01水果筐数!$D$5:$D$304,对接源_01水果筐数!$B$5:$B$304,$B35,对接源_01水果筐数!$C$5:$C$304,基础资料!$B$9))</f>
        <v/>
      </c>
      <c r="D35" s="25" t="str">
        <f>IF(OR($B35="",基础资料!$B$10=""),"",SUMIFS(对接源_01水果筐数!$D$5:$D$304,对接源_01水果筐数!$B$5:$B$304,$B35,对接源_01水果筐数!$C$5:$C$304,基础资料!$B$10))</f>
        <v/>
      </c>
      <c r="E35" s="25" t="str">
        <f>IF(OR($B35="",基础资料!$B$9=""),"",SUMIFS(客户自备加工筐明细!$F$4:$F$1203,客户自备加工筐明细!$E$4:$E$1203,$B35,客户自备加工筐明细!$C$4:$C$1203,基础资料!$B$9,客户自备加工筐明细!$B$4:$B$1203,"&gt;="&amp;$T$1,客户自备加工筐明细!$B$4:$B$1203,"&lt;="&amp;$T$2))</f>
        <v/>
      </c>
      <c r="F35" s="25" t="str">
        <f>IF(OR($B35="",基础资料!$B$10=""),"",SUMIFS(客户自备加工筐明细!$F$4:$F$1203,客户自备加工筐明细!$E$4:$E$1203,$B35,客户自备加工筐明细!$C$4:$C$1203,基础资料!$B$10,客户自备加工筐明细!$B$4:$B$1203,"&gt;="&amp;$T$1,客户自备加工筐明细!$B$4:$B$1203,"&lt;="&amp;$T$2))</f>
        <v/>
      </c>
      <c r="G35" s="67" t="str">
        <f>IF(OR($B35="",基础资料!$B$9=""),"",-SUMIFS(对接源_01水果筐数!$E$5:$E$304,对接源_01水果筐数!$B$5:$B$304,$B35,对接源_01水果筐数!$C$5:$C$304,基础资料!$B$9))</f>
        <v/>
      </c>
      <c r="H35" s="67" t="str">
        <f>IF(OR($B35="",基础资料!$B$10=""),"",-SUMIFS(对接源_01水果筐数!$E$5:$E$304,对接源_01水果筐数!$B$5:$B$304,$B35,对接源_01水果筐数!$C$5:$C$304,基础资料!$B$10))</f>
        <v/>
      </c>
      <c r="I35" s="67" t="str">
        <f>IF(OR($B35="",基础资料!$B$9=""),"",-SUMIFS(对接源_01水果筐数!$F$5:$F$304,对接源_01水果筐数!$B$5:$B$304,$B35,对接源_01水果筐数!$C$5:$C$304,基础资料!$B$9))</f>
        <v/>
      </c>
      <c r="J35" s="67" t="str">
        <f>IF(OR($B35="",基础资料!$B$10=""),"",-SUMIFS(对接源_01水果筐数!$F$5:$F$304,对接源_01水果筐数!$B$5:$B$304,$B35,对接源_01水果筐数!$C$5:$C$304,基础资料!$B$10))</f>
        <v/>
      </c>
      <c r="K35" s="67" t="str">
        <f>IF(OR($B35="",基础资料!$B$9=""),"",-SUMIFS(客户自备加工筐明细!$G$4:$G$1203,客户自备加工筐明细!$E$4:$E$1203,$B35,客户自备加工筐明细!$C$4:$C$1203,基础资料!$B$9,客户自备加工筐明细!$B$4:$B$1203,"&gt;="&amp;$T$1,客户自备加工筐明细!$B$4:$B$1203,"&lt;="&amp;$T$2))</f>
        <v/>
      </c>
      <c r="L35" s="67" t="str">
        <f>IF(OR($B35="",基础资料!$B$10=""),"",-SUMIFS(客户自备加工筐明细!$G$4:$G$1203,客户自备加工筐明细!$E$4:$E$1203,$B35,客户自备加工筐明细!$C$4:$C$1203,基础资料!$B$10,客户自备加工筐明细!$B$4:$B$1203,"&gt;="&amp;$T$1,客户自备加工筐明细!$B$4:$B$1203,"&lt;="&amp;$T$2))</f>
        <v/>
      </c>
      <c r="M35" s="25" t="str">
        <f t="shared" si="1"/>
        <v/>
      </c>
      <c r="N35" s="25" t="str">
        <f t="shared" si="2"/>
        <v/>
      </c>
      <c r="O35" s="25" t="str">
        <f t="shared" si="3"/>
        <v/>
      </c>
      <c r="P35" s="37" t="str">
        <f t="shared" si="4"/>
        <v/>
      </c>
      <c r="Q35" s="27"/>
    </row>
    <row r="36" spans="1:17">
      <c r="A36" s="22" t="str">
        <f t="shared" si="0"/>
        <v/>
      </c>
      <c r="B36" s="37" t="str">
        <f>IFERROR(INDEX(_自动清单!$AM$4:$AM$203,ROW()-3),"")</f>
        <v/>
      </c>
      <c r="C36" s="25" t="str">
        <f>IF(OR($B36="",基础资料!$B$9=""),"",SUMIFS(对接源_01水果筐数!$D$5:$D$304,对接源_01水果筐数!$B$5:$B$304,$B36,对接源_01水果筐数!$C$5:$C$304,基础资料!$B$9))</f>
        <v/>
      </c>
      <c r="D36" s="25" t="str">
        <f>IF(OR($B36="",基础资料!$B$10=""),"",SUMIFS(对接源_01水果筐数!$D$5:$D$304,对接源_01水果筐数!$B$5:$B$304,$B36,对接源_01水果筐数!$C$5:$C$304,基础资料!$B$10))</f>
        <v/>
      </c>
      <c r="E36" s="25" t="str">
        <f>IF(OR($B36="",基础资料!$B$9=""),"",SUMIFS(客户自备加工筐明细!$F$4:$F$1203,客户自备加工筐明细!$E$4:$E$1203,$B36,客户自备加工筐明细!$C$4:$C$1203,基础资料!$B$9,客户自备加工筐明细!$B$4:$B$1203,"&gt;="&amp;$T$1,客户自备加工筐明细!$B$4:$B$1203,"&lt;="&amp;$T$2))</f>
        <v/>
      </c>
      <c r="F36" s="25" t="str">
        <f>IF(OR($B36="",基础资料!$B$10=""),"",SUMIFS(客户自备加工筐明细!$F$4:$F$1203,客户自备加工筐明细!$E$4:$E$1203,$B36,客户自备加工筐明细!$C$4:$C$1203,基础资料!$B$10,客户自备加工筐明细!$B$4:$B$1203,"&gt;="&amp;$T$1,客户自备加工筐明细!$B$4:$B$1203,"&lt;="&amp;$T$2))</f>
        <v/>
      </c>
      <c r="G36" s="67" t="str">
        <f>IF(OR($B36="",基础资料!$B$9=""),"",-SUMIFS(对接源_01水果筐数!$E$5:$E$304,对接源_01水果筐数!$B$5:$B$304,$B36,对接源_01水果筐数!$C$5:$C$304,基础资料!$B$9))</f>
        <v/>
      </c>
      <c r="H36" s="67" t="str">
        <f>IF(OR($B36="",基础资料!$B$10=""),"",-SUMIFS(对接源_01水果筐数!$E$5:$E$304,对接源_01水果筐数!$B$5:$B$304,$B36,对接源_01水果筐数!$C$5:$C$304,基础资料!$B$10))</f>
        <v/>
      </c>
      <c r="I36" s="67" t="str">
        <f>IF(OR($B36="",基础资料!$B$9=""),"",-SUMIFS(对接源_01水果筐数!$F$5:$F$304,对接源_01水果筐数!$B$5:$B$304,$B36,对接源_01水果筐数!$C$5:$C$304,基础资料!$B$9))</f>
        <v/>
      </c>
      <c r="J36" s="67" t="str">
        <f>IF(OR($B36="",基础资料!$B$10=""),"",-SUMIFS(对接源_01水果筐数!$F$5:$F$304,对接源_01水果筐数!$B$5:$B$304,$B36,对接源_01水果筐数!$C$5:$C$304,基础资料!$B$10))</f>
        <v/>
      </c>
      <c r="K36" s="67" t="str">
        <f>IF(OR($B36="",基础资料!$B$9=""),"",-SUMIFS(客户自备加工筐明细!$G$4:$G$1203,客户自备加工筐明细!$E$4:$E$1203,$B36,客户自备加工筐明细!$C$4:$C$1203,基础资料!$B$9,客户自备加工筐明细!$B$4:$B$1203,"&gt;="&amp;$T$1,客户自备加工筐明细!$B$4:$B$1203,"&lt;="&amp;$T$2))</f>
        <v/>
      </c>
      <c r="L36" s="67" t="str">
        <f>IF(OR($B36="",基础资料!$B$10=""),"",-SUMIFS(客户自备加工筐明细!$G$4:$G$1203,客户自备加工筐明细!$E$4:$E$1203,$B36,客户自备加工筐明细!$C$4:$C$1203,基础资料!$B$10,客户自备加工筐明细!$B$4:$B$1203,"&gt;="&amp;$T$1,客户自备加工筐明细!$B$4:$B$1203,"&lt;="&amp;$T$2))</f>
        <v/>
      </c>
      <c r="M36" s="25" t="str">
        <f t="shared" si="1"/>
        <v/>
      </c>
      <c r="N36" s="25" t="str">
        <f t="shared" si="2"/>
        <v/>
      </c>
      <c r="O36" s="25" t="str">
        <f t="shared" si="3"/>
        <v/>
      </c>
      <c r="P36" s="37" t="str">
        <f t="shared" si="4"/>
        <v/>
      </c>
      <c r="Q36" s="27"/>
    </row>
    <row r="37" spans="1:17">
      <c r="A37" s="22" t="str">
        <f t="shared" si="0"/>
        <v/>
      </c>
      <c r="B37" s="37" t="str">
        <f>IFERROR(INDEX(_自动清单!$AM$4:$AM$203,ROW()-3),"")</f>
        <v/>
      </c>
      <c r="C37" s="25" t="str">
        <f>IF(OR($B37="",基础资料!$B$9=""),"",SUMIFS(对接源_01水果筐数!$D$5:$D$304,对接源_01水果筐数!$B$5:$B$304,$B37,对接源_01水果筐数!$C$5:$C$304,基础资料!$B$9))</f>
        <v/>
      </c>
      <c r="D37" s="25" t="str">
        <f>IF(OR($B37="",基础资料!$B$10=""),"",SUMIFS(对接源_01水果筐数!$D$5:$D$304,对接源_01水果筐数!$B$5:$B$304,$B37,对接源_01水果筐数!$C$5:$C$304,基础资料!$B$10))</f>
        <v/>
      </c>
      <c r="E37" s="25" t="str">
        <f>IF(OR($B37="",基础资料!$B$9=""),"",SUMIFS(客户自备加工筐明细!$F$4:$F$1203,客户自备加工筐明细!$E$4:$E$1203,$B37,客户自备加工筐明细!$C$4:$C$1203,基础资料!$B$9,客户自备加工筐明细!$B$4:$B$1203,"&gt;="&amp;$T$1,客户自备加工筐明细!$B$4:$B$1203,"&lt;="&amp;$T$2))</f>
        <v/>
      </c>
      <c r="F37" s="25" t="str">
        <f>IF(OR($B37="",基础资料!$B$10=""),"",SUMIFS(客户自备加工筐明细!$F$4:$F$1203,客户自备加工筐明细!$E$4:$E$1203,$B37,客户自备加工筐明细!$C$4:$C$1203,基础资料!$B$10,客户自备加工筐明细!$B$4:$B$1203,"&gt;="&amp;$T$1,客户自备加工筐明细!$B$4:$B$1203,"&lt;="&amp;$T$2))</f>
        <v/>
      </c>
      <c r="G37" s="67" t="str">
        <f>IF(OR($B37="",基础资料!$B$9=""),"",-SUMIFS(对接源_01水果筐数!$E$5:$E$304,对接源_01水果筐数!$B$5:$B$304,$B37,对接源_01水果筐数!$C$5:$C$304,基础资料!$B$9))</f>
        <v/>
      </c>
      <c r="H37" s="67" t="str">
        <f>IF(OR($B37="",基础资料!$B$10=""),"",-SUMIFS(对接源_01水果筐数!$E$5:$E$304,对接源_01水果筐数!$B$5:$B$304,$B37,对接源_01水果筐数!$C$5:$C$304,基础资料!$B$10))</f>
        <v/>
      </c>
      <c r="I37" s="67" t="str">
        <f>IF(OR($B37="",基础资料!$B$9=""),"",-SUMIFS(对接源_01水果筐数!$F$5:$F$304,对接源_01水果筐数!$B$5:$B$304,$B37,对接源_01水果筐数!$C$5:$C$304,基础资料!$B$9))</f>
        <v/>
      </c>
      <c r="J37" s="67" t="str">
        <f>IF(OR($B37="",基础资料!$B$10=""),"",-SUMIFS(对接源_01水果筐数!$F$5:$F$304,对接源_01水果筐数!$B$5:$B$304,$B37,对接源_01水果筐数!$C$5:$C$304,基础资料!$B$10))</f>
        <v/>
      </c>
      <c r="K37" s="67" t="str">
        <f>IF(OR($B37="",基础资料!$B$9=""),"",-SUMIFS(客户自备加工筐明细!$G$4:$G$1203,客户自备加工筐明细!$E$4:$E$1203,$B37,客户自备加工筐明细!$C$4:$C$1203,基础资料!$B$9,客户自备加工筐明细!$B$4:$B$1203,"&gt;="&amp;$T$1,客户自备加工筐明细!$B$4:$B$1203,"&lt;="&amp;$T$2))</f>
        <v/>
      </c>
      <c r="L37" s="67" t="str">
        <f>IF(OR($B37="",基础资料!$B$10=""),"",-SUMIFS(客户自备加工筐明细!$G$4:$G$1203,客户自备加工筐明细!$E$4:$E$1203,$B37,客户自备加工筐明细!$C$4:$C$1203,基础资料!$B$10,客户自备加工筐明细!$B$4:$B$1203,"&gt;="&amp;$T$1,客户自备加工筐明细!$B$4:$B$1203,"&lt;="&amp;$T$2))</f>
        <v/>
      </c>
      <c r="M37" s="25" t="str">
        <f t="shared" si="1"/>
        <v/>
      </c>
      <c r="N37" s="25" t="str">
        <f t="shared" si="2"/>
        <v/>
      </c>
      <c r="O37" s="25" t="str">
        <f t="shared" si="3"/>
        <v/>
      </c>
      <c r="P37" s="37" t="str">
        <f t="shared" si="4"/>
        <v/>
      </c>
      <c r="Q37" s="27"/>
    </row>
    <row r="38" spans="1:17">
      <c r="A38" s="22" t="str">
        <f t="shared" si="0"/>
        <v/>
      </c>
      <c r="B38" s="37" t="str">
        <f>IFERROR(INDEX(_自动清单!$AM$4:$AM$203,ROW()-3),"")</f>
        <v/>
      </c>
      <c r="C38" s="25" t="str">
        <f>IF(OR($B38="",基础资料!$B$9=""),"",SUMIFS(对接源_01水果筐数!$D$5:$D$304,对接源_01水果筐数!$B$5:$B$304,$B38,对接源_01水果筐数!$C$5:$C$304,基础资料!$B$9))</f>
        <v/>
      </c>
      <c r="D38" s="25" t="str">
        <f>IF(OR($B38="",基础资料!$B$10=""),"",SUMIFS(对接源_01水果筐数!$D$5:$D$304,对接源_01水果筐数!$B$5:$B$304,$B38,对接源_01水果筐数!$C$5:$C$304,基础资料!$B$10))</f>
        <v/>
      </c>
      <c r="E38" s="25" t="str">
        <f>IF(OR($B38="",基础资料!$B$9=""),"",SUMIFS(客户自备加工筐明细!$F$4:$F$1203,客户自备加工筐明细!$E$4:$E$1203,$B38,客户自备加工筐明细!$C$4:$C$1203,基础资料!$B$9,客户自备加工筐明细!$B$4:$B$1203,"&gt;="&amp;$T$1,客户自备加工筐明细!$B$4:$B$1203,"&lt;="&amp;$T$2))</f>
        <v/>
      </c>
      <c r="F38" s="25" t="str">
        <f>IF(OR($B38="",基础资料!$B$10=""),"",SUMIFS(客户自备加工筐明细!$F$4:$F$1203,客户自备加工筐明细!$E$4:$E$1203,$B38,客户自备加工筐明细!$C$4:$C$1203,基础资料!$B$10,客户自备加工筐明细!$B$4:$B$1203,"&gt;="&amp;$T$1,客户自备加工筐明细!$B$4:$B$1203,"&lt;="&amp;$T$2))</f>
        <v/>
      </c>
      <c r="G38" s="67" t="str">
        <f>IF(OR($B38="",基础资料!$B$9=""),"",-SUMIFS(对接源_01水果筐数!$E$5:$E$304,对接源_01水果筐数!$B$5:$B$304,$B38,对接源_01水果筐数!$C$5:$C$304,基础资料!$B$9))</f>
        <v/>
      </c>
      <c r="H38" s="67" t="str">
        <f>IF(OR($B38="",基础资料!$B$10=""),"",-SUMIFS(对接源_01水果筐数!$E$5:$E$304,对接源_01水果筐数!$B$5:$B$304,$B38,对接源_01水果筐数!$C$5:$C$304,基础资料!$B$10))</f>
        <v/>
      </c>
      <c r="I38" s="67" t="str">
        <f>IF(OR($B38="",基础资料!$B$9=""),"",-SUMIFS(对接源_01水果筐数!$F$5:$F$304,对接源_01水果筐数!$B$5:$B$304,$B38,对接源_01水果筐数!$C$5:$C$304,基础资料!$B$9))</f>
        <v/>
      </c>
      <c r="J38" s="67" t="str">
        <f>IF(OR($B38="",基础资料!$B$10=""),"",-SUMIFS(对接源_01水果筐数!$F$5:$F$304,对接源_01水果筐数!$B$5:$B$304,$B38,对接源_01水果筐数!$C$5:$C$304,基础资料!$B$10))</f>
        <v/>
      </c>
      <c r="K38" s="67" t="str">
        <f>IF(OR($B38="",基础资料!$B$9=""),"",-SUMIFS(客户自备加工筐明细!$G$4:$G$1203,客户自备加工筐明细!$E$4:$E$1203,$B38,客户自备加工筐明细!$C$4:$C$1203,基础资料!$B$9,客户自备加工筐明细!$B$4:$B$1203,"&gt;="&amp;$T$1,客户自备加工筐明细!$B$4:$B$1203,"&lt;="&amp;$T$2))</f>
        <v/>
      </c>
      <c r="L38" s="67" t="str">
        <f>IF(OR($B38="",基础资料!$B$10=""),"",-SUMIFS(客户自备加工筐明细!$G$4:$G$1203,客户自备加工筐明细!$E$4:$E$1203,$B38,客户自备加工筐明细!$C$4:$C$1203,基础资料!$B$10,客户自备加工筐明细!$B$4:$B$1203,"&gt;="&amp;$T$1,客户自备加工筐明细!$B$4:$B$1203,"&lt;="&amp;$T$2))</f>
        <v/>
      </c>
      <c r="M38" s="25" t="str">
        <f t="shared" si="1"/>
        <v/>
      </c>
      <c r="N38" s="25" t="str">
        <f t="shared" si="2"/>
        <v/>
      </c>
      <c r="O38" s="25" t="str">
        <f t="shared" si="3"/>
        <v/>
      </c>
      <c r="P38" s="37" t="str">
        <f t="shared" si="4"/>
        <v/>
      </c>
      <c r="Q38" s="27"/>
    </row>
    <row r="39" spans="1:17">
      <c r="A39" s="22" t="str">
        <f t="shared" si="0"/>
        <v/>
      </c>
      <c r="B39" s="37" t="str">
        <f>IFERROR(INDEX(_自动清单!$AM$4:$AM$203,ROW()-3),"")</f>
        <v/>
      </c>
      <c r="C39" s="25" t="str">
        <f>IF(OR($B39="",基础资料!$B$9=""),"",SUMIFS(对接源_01水果筐数!$D$5:$D$304,对接源_01水果筐数!$B$5:$B$304,$B39,对接源_01水果筐数!$C$5:$C$304,基础资料!$B$9))</f>
        <v/>
      </c>
      <c r="D39" s="25" t="str">
        <f>IF(OR($B39="",基础资料!$B$10=""),"",SUMIFS(对接源_01水果筐数!$D$5:$D$304,对接源_01水果筐数!$B$5:$B$304,$B39,对接源_01水果筐数!$C$5:$C$304,基础资料!$B$10))</f>
        <v/>
      </c>
      <c r="E39" s="25" t="str">
        <f>IF(OR($B39="",基础资料!$B$9=""),"",SUMIFS(客户自备加工筐明细!$F$4:$F$1203,客户自备加工筐明细!$E$4:$E$1203,$B39,客户自备加工筐明细!$C$4:$C$1203,基础资料!$B$9,客户自备加工筐明细!$B$4:$B$1203,"&gt;="&amp;$T$1,客户自备加工筐明细!$B$4:$B$1203,"&lt;="&amp;$T$2))</f>
        <v/>
      </c>
      <c r="F39" s="25" t="str">
        <f>IF(OR($B39="",基础资料!$B$10=""),"",SUMIFS(客户自备加工筐明细!$F$4:$F$1203,客户自备加工筐明细!$E$4:$E$1203,$B39,客户自备加工筐明细!$C$4:$C$1203,基础资料!$B$10,客户自备加工筐明细!$B$4:$B$1203,"&gt;="&amp;$T$1,客户自备加工筐明细!$B$4:$B$1203,"&lt;="&amp;$T$2))</f>
        <v/>
      </c>
      <c r="G39" s="67" t="str">
        <f>IF(OR($B39="",基础资料!$B$9=""),"",-SUMIFS(对接源_01水果筐数!$E$5:$E$304,对接源_01水果筐数!$B$5:$B$304,$B39,对接源_01水果筐数!$C$5:$C$304,基础资料!$B$9))</f>
        <v/>
      </c>
      <c r="H39" s="67" t="str">
        <f>IF(OR($B39="",基础资料!$B$10=""),"",-SUMIFS(对接源_01水果筐数!$E$5:$E$304,对接源_01水果筐数!$B$5:$B$304,$B39,对接源_01水果筐数!$C$5:$C$304,基础资料!$B$10))</f>
        <v/>
      </c>
      <c r="I39" s="67" t="str">
        <f>IF(OR($B39="",基础资料!$B$9=""),"",-SUMIFS(对接源_01水果筐数!$F$5:$F$304,对接源_01水果筐数!$B$5:$B$304,$B39,对接源_01水果筐数!$C$5:$C$304,基础资料!$B$9))</f>
        <v/>
      </c>
      <c r="J39" s="67" t="str">
        <f>IF(OR($B39="",基础资料!$B$10=""),"",-SUMIFS(对接源_01水果筐数!$F$5:$F$304,对接源_01水果筐数!$B$5:$B$304,$B39,对接源_01水果筐数!$C$5:$C$304,基础资料!$B$10))</f>
        <v/>
      </c>
      <c r="K39" s="67" t="str">
        <f>IF(OR($B39="",基础资料!$B$9=""),"",-SUMIFS(客户自备加工筐明细!$G$4:$G$1203,客户自备加工筐明细!$E$4:$E$1203,$B39,客户自备加工筐明细!$C$4:$C$1203,基础资料!$B$9,客户自备加工筐明细!$B$4:$B$1203,"&gt;="&amp;$T$1,客户自备加工筐明细!$B$4:$B$1203,"&lt;="&amp;$T$2))</f>
        <v/>
      </c>
      <c r="L39" s="67" t="str">
        <f>IF(OR($B39="",基础资料!$B$10=""),"",-SUMIFS(客户自备加工筐明细!$G$4:$G$1203,客户自备加工筐明细!$E$4:$E$1203,$B39,客户自备加工筐明细!$C$4:$C$1203,基础资料!$B$10,客户自备加工筐明细!$B$4:$B$1203,"&gt;="&amp;$T$1,客户自备加工筐明细!$B$4:$B$1203,"&lt;="&amp;$T$2))</f>
        <v/>
      </c>
      <c r="M39" s="25" t="str">
        <f t="shared" si="1"/>
        <v/>
      </c>
      <c r="N39" s="25" t="str">
        <f t="shared" si="2"/>
        <v/>
      </c>
      <c r="O39" s="25" t="str">
        <f t="shared" si="3"/>
        <v/>
      </c>
      <c r="P39" s="37" t="str">
        <f t="shared" si="4"/>
        <v/>
      </c>
      <c r="Q39" s="27"/>
    </row>
    <row r="40" spans="1:17">
      <c r="A40" s="22" t="str">
        <f t="shared" si="0"/>
        <v/>
      </c>
      <c r="B40" s="37" t="str">
        <f>IFERROR(INDEX(_自动清单!$AM$4:$AM$203,ROW()-3),"")</f>
        <v/>
      </c>
      <c r="C40" s="25" t="str">
        <f>IF(OR($B40="",基础资料!$B$9=""),"",SUMIFS(对接源_01水果筐数!$D$5:$D$304,对接源_01水果筐数!$B$5:$B$304,$B40,对接源_01水果筐数!$C$5:$C$304,基础资料!$B$9))</f>
        <v/>
      </c>
      <c r="D40" s="25" t="str">
        <f>IF(OR($B40="",基础资料!$B$10=""),"",SUMIFS(对接源_01水果筐数!$D$5:$D$304,对接源_01水果筐数!$B$5:$B$304,$B40,对接源_01水果筐数!$C$5:$C$304,基础资料!$B$10))</f>
        <v/>
      </c>
      <c r="E40" s="25" t="str">
        <f>IF(OR($B40="",基础资料!$B$9=""),"",SUMIFS(客户自备加工筐明细!$F$4:$F$1203,客户自备加工筐明细!$E$4:$E$1203,$B40,客户自备加工筐明细!$C$4:$C$1203,基础资料!$B$9,客户自备加工筐明细!$B$4:$B$1203,"&gt;="&amp;$T$1,客户自备加工筐明细!$B$4:$B$1203,"&lt;="&amp;$T$2))</f>
        <v/>
      </c>
      <c r="F40" s="25" t="str">
        <f>IF(OR($B40="",基础资料!$B$10=""),"",SUMIFS(客户自备加工筐明细!$F$4:$F$1203,客户自备加工筐明细!$E$4:$E$1203,$B40,客户自备加工筐明细!$C$4:$C$1203,基础资料!$B$10,客户自备加工筐明细!$B$4:$B$1203,"&gt;="&amp;$T$1,客户自备加工筐明细!$B$4:$B$1203,"&lt;="&amp;$T$2))</f>
        <v/>
      </c>
      <c r="G40" s="67" t="str">
        <f>IF(OR($B40="",基础资料!$B$9=""),"",-SUMIFS(对接源_01水果筐数!$E$5:$E$304,对接源_01水果筐数!$B$5:$B$304,$B40,对接源_01水果筐数!$C$5:$C$304,基础资料!$B$9))</f>
        <v/>
      </c>
      <c r="H40" s="67" t="str">
        <f>IF(OR($B40="",基础资料!$B$10=""),"",-SUMIFS(对接源_01水果筐数!$E$5:$E$304,对接源_01水果筐数!$B$5:$B$304,$B40,对接源_01水果筐数!$C$5:$C$304,基础资料!$B$10))</f>
        <v/>
      </c>
      <c r="I40" s="67" t="str">
        <f>IF(OR($B40="",基础资料!$B$9=""),"",-SUMIFS(对接源_01水果筐数!$F$5:$F$304,对接源_01水果筐数!$B$5:$B$304,$B40,对接源_01水果筐数!$C$5:$C$304,基础资料!$B$9))</f>
        <v/>
      </c>
      <c r="J40" s="67" t="str">
        <f>IF(OR($B40="",基础资料!$B$10=""),"",-SUMIFS(对接源_01水果筐数!$F$5:$F$304,对接源_01水果筐数!$B$5:$B$304,$B40,对接源_01水果筐数!$C$5:$C$304,基础资料!$B$10))</f>
        <v/>
      </c>
      <c r="K40" s="67" t="str">
        <f>IF(OR($B40="",基础资料!$B$9=""),"",-SUMIFS(客户自备加工筐明细!$G$4:$G$1203,客户自备加工筐明细!$E$4:$E$1203,$B40,客户自备加工筐明细!$C$4:$C$1203,基础资料!$B$9,客户自备加工筐明细!$B$4:$B$1203,"&gt;="&amp;$T$1,客户自备加工筐明细!$B$4:$B$1203,"&lt;="&amp;$T$2))</f>
        <v/>
      </c>
      <c r="L40" s="67" t="str">
        <f>IF(OR($B40="",基础资料!$B$10=""),"",-SUMIFS(客户自备加工筐明细!$G$4:$G$1203,客户自备加工筐明细!$E$4:$E$1203,$B40,客户自备加工筐明细!$C$4:$C$1203,基础资料!$B$10,客户自备加工筐明细!$B$4:$B$1203,"&gt;="&amp;$T$1,客户自备加工筐明细!$B$4:$B$1203,"&lt;="&amp;$T$2))</f>
        <v/>
      </c>
      <c r="M40" s="25" t="str">
        <f t="shared" si="1"/>
        <v/>
      </c>
      <c r="N40" s="25" t="str">
        <f t="shared" si="2"/>
        <v/>
      </c>
      <c r="O40" s="25" t="str">
        <f t="shared" si="3"/>
        <v/>
      </c>
      <c r="P40" s="37" t="str">
        <f t="shared" si="4"/>
        <v/>
      </c>
      <c r="Q40" s="27"/>
    </row>
    <row r="41" spans="1:17">
      <c r="A41" s="22" t="str">
        <f t="shared" si="0"/>
        <v/>
      </c>
      <c r="B41" s="37" t="str">
        <f>IFERROR(INDEX(_自动清单!$AM$4:$AM$203,ROW()-3),"")</f>
        <v/>
      </c>
      <c r="C41" s="25" t="str">
        <f>IF(OR($B41="",基础资料!$B$9=""),"",SUMIFS(对接源_01水果筐数!$D$5:$D$304,对接源_01水果筐数!$B$5:$B$304,$B41,对接源_01水果筐数!$C$5:$C$304,基础资料!$B$9))</f>
        <v/>
      </c>
      <c r="D41" s="25" t="str">
        <f>IF(OR($B41="",基础资料!$B$10=""),"",SUMIFS(对接源_01水果筐数!$D$5:$D$304,对接源_01水果筐数!$B$5:$B$304,$B41,对接源_01水果筐数!$C$5:$C$304,基础资料!$B$10))</f>
        <v/>
      </c>
      <c r="E41" s="25" t="str">
        <f>IF(OR($B41="",基础资料!$B$9=""),"",SUMIFS(客户自备加工筐明细!$F$4:$F$1203,客户自备加工筐明细!$E$4:$E$1203,$B41,客户自备加工筐明细!$C$4:$C$1203,基础资料!$B$9,客户自备加工筐明细!$B$4:$B$1203,"&gt;="&amp;$T$1,客户自备加工筐明细!$B$4:$B$1203,"&lt;="&amp;$T$2))</f>
        <v/>
      </c>
      <c r="F41" s="25" t="str">
        <f>IF(OR($B41="",基础资料!$B$10=""),"",SUMIFS(客户自备加工筐明细!$F$4:$F$1203,客户自备加工筐明细!$E$4:$E$1203,$B41,客户自备加工筐明细!$C$4:$C$1203,基础资料!$B$10,客户自备加工筐明细!$B$4:$B$1203,"&gt;="&amp;$T$1,客户自备加工筐明细!$B$4:$B$1203,"&lt;="&amp;$T$2))</f>
        <v/>
      </c>
      <c r="G41" s="67" t="str">
        <f>IF(OR($B41="",基础资料!$B$9=""),"",-SUMIFS(对接源_01水果筐数!$E$5:$E$304,对接源_01水果筐数!$B$5:$B$304,$B41,对接源_01水果筐数!$C$5:$C$304,基础资料!$B$9))</f>
        <v/>
      </c>
      <c r="H41" s="67" t="str">
        <f>IF(OR($B41="",基础资料!$B$10=""),"",-SUMIFS(对接源_01水果筐数!$E$5:$E$304,对接源_01水果筐数!$B$5:$B$304,$B41,对接源_01水果筐数!$C$5:$C$304,基础资料!$B$10))</f>
        <v/>
      </c>
      <c r="I41" s="67" t="str">
        <f>IF(OR($B41="",基础资料!$B$9=""),"",-SUMIFS(对接源_01水果筐数!$F$5:$F$304,对接源_01水果筐数!$B$5:$B$304,$B41,对接源_01水果筐数!$C$5:$C$304,基础资料!$B$9))</f>
        <v/>
      </c>
      <c r="J41" s="67" t="str">
        <f>IF(OR($B41="",基础资料!$B$10=""),"",-SUMIFS(对接源_01水果筐数!$F$5:$F$304,对接源_01水果筐数!$B$5:$B$304,$B41,对接源_01水果筐数!$C$5:$C$304,基础资料!$B$10))</f>
        <v/>
      </c>
      <c r="K41" s="67" t="str">
        <f>IF(OR($B41="",基础资料!$B$9=""),"",-SUMIFS(客户自备加工筐明细!$G$4:$G$1203,客户自备加工筐明细!$E$4:$E$1203,$B41,客户自备加工筐明细!$C$4:$C$1203,基础资料!$B$9,客户自备加工筐明细!$B$4:$B$1203,"&gt;="&amp;$T$1,客户自备加工筐明细!$B$4:$B$1203,"&lt;="&amp;$T$2))</f>
        <v/>
      </c>
      <c r="L41" s="67" t="str">
        <f>IF(OR($B41="",基础资料!$B$10=""),"",-SUMIFS(客户自备加工筐明细!$G$4:$G$1203,客户自备加工筐明细!$E$4:$E$1203,$B41,客户自备加工筐明细!$C$4:$C$1203,基础资料!$B$10,客户自备加工筐明细!$B$4:$B$1203,"&gt;="&amp;$T$1,客户自备加工筐明细!$B$4:$B$1203,"&lt;="&amp;$T$2))</f>
        <v/>
      </c>
      <c r="M41" s="25" t="str">
        <f t="shared" si="1"/>
        <v/>
      </c>
      <c r="N41" s="25" t="str">
        <f t="shared" si="2"/>
        <v/>
      </c>
      <c r="O41" s="25" t="str">
        <f t="shared" si="3"/>
        <v/>
      </c>
      <c r="P41" s="37" t="str">
        <f t="shared" si="4"/>
        <v/>
      </c>
      <c r="Q41" s="27"/>
    </row>
    <row r="42" spans="1:17">
      <c r="A42" s="22" t="str">
        <f t="shared" si="0"/>
        <v/>
      </c>
      <c r="B42" s="37" t="str">
        <f>IFERROR(INDEX(_自动清单!$AM$4:$AM$203,ROW()-3),"")</f>
        <v/>
      </c>
      <c r="C42" s="25" t="str">
        <f>IF(OR($B42="",基础资料!$B$9=""),"",SUMIFS(对接源_01水果筐数!$D$5:$D$304,对接源_01水果筐数!$B$5:$B$304,$B42,对接源_01水果筐数!$C$5:$C$304,基础资料!$B$9))</f>
        <v/>
      </c>
      <c r="D42" s="25" t="str">
        <f>IF(OR($B42="",基础资料!$B$10=""),"",SUMIFS(对接源_01水果筐数!$D$5:$D$304,对接源_01水果筐数!$B$5:$B$304,$B42,对接源_01水果筐数!$C$5:$C$304,基础资料!$B$10))</f>
        <v/>
      </c>
      <c r="E42" s="25" t="str">
        <f>IF(OR($B42="",基础资料!$B$9=""),"",SUMIFS(客户自备加工筐明细!$F$4:$F$1203,客户自备加工筐明细!$E$4:$E$1203,$B42,客户自备加工筐明细!$C$4:$C$1203,基础资料!$B$9,客户自备加工筐明细!$B$4:$B$1203,"&gt;="&amp;$T$1,客户自备加工筐明细!$B$4:$B$1203,"&lt;="&amp;$T$2))</f>
        <v/>
      </c>
      <c r="F42" s="25" t="str">
        <f>IF(OR($B42="",基础资料!$B$10=""),"",SUMIFS(客户自备加工筐明细!$F$4:$F$1203,客户自备加工筐明细!$E$4:$E$1203,$B42,客户自备加工筐明细!$C$4:$C$1203,基础资料!$B$10,客户自备加工筐明细!$B$4:$B$1203,"&gt;="&amp;$T$1,客户自备加工筐明细!$B$4:$B$1203,"&lt;="&amp;$T$2))</f>
        <v/>
      </c>
      <c r="G42" s="67" t="str">
        <f>IF(OR($B42="",基础资料!$B$9=""),"",-SUMIFS(对接源_01水果筐数!$E$5:$E$304,对接源_01水果筐数!$B$5:$B$304,$B42,对接源_01水果筐数!$C$5:$C$304,基础资料!$B$9))</f>
        <v/>
      </c>
      <c r="H42" s="67" t="str">
        <f>IF(OR($B42="",基础资料!$B$10=""),"",-SUMIFS(对接源_01水果筐数!$E$5:$E$304,对接源_01水果筐数!$B$5:$B$304,$B42,对接源_01水果筐数!$C$5:$C$304,基础资料!$B$10))</f>
        <v/>
      </c>
      <c r="I42" s="67" t="str">
        <f>IF(OR($B42="",基础资料!$B$9=""),"",-SUMIFS(对接源_01水果筐数!$F$5:$F$304,对接源_01水果筐数!$B$5:$B$304,$B42,对接源_01水果筐数!$C$5:$C$304,基础资料!$B$9))</f>
        <v/>
      </c>
      <c r="J42" s="67" t="str">
        <f>IF(OR($B42="",基础资料!$B$10=""),"",-SUMIFS(对接源_01水果筐数!$F$5:$F$304,对接源_01水果筐数!$B$5:$B$304,$B42,对接源_01水果筐数!$C$5:$C$304,基础资料!$B$10))</f>
        <v/>
      </c>
      <c r="K42" s="67" t="str">
        <f>IF(OR($B42="",基础资料!$B$9=""),"",-SUMIFS(客户自备加工筐明细!$G$4:$G$1203,客户自备加工筐明细!$E$4:$E$1203,$B42,客户自备加工筐明细!$C$4:$C$1203,基础资料!$B$9,客户自备加工筐明细!$B$4:$B$1203,"&gt;="&amp;$T$1,客户自备加工筐明细!$B$4:$B$1203,"&lt;="&amp;$T$2))</f>
        <v/>
      </c>
      <c r="L42" s="67" t="str">
        <f>IF(OR($B42="",基础资料!$B$10=""),"",-SUMIFS(客户自备加工筐明细!$G$4:$G$1203,客户自备加工筐明细!$E$4:$E$1203,$B42,客户自备加工筐明细!$C$4:$C$1203,基础资料!$B$10,客户自备加工筐明细!$B$4:$B$1203,"&gt;="&amp;$T$1,客户自备加工筐明细!$B$4:$B$1203,"&lt;="&amp;$T$2))</f>
        <v/>
      </c>
      <c r="M42" s="25" t="str">
        <f t="shared" si="1"/>
        <v/>
      </c>
      <c r="N42" s="25" t="str">
        <f t="shared" si="2"/>
        <v/>
      </c>
      <c r="O42" s="25" t="str">
        <f t="shared" si="3"/>
        <v/>
      </c>
      <c r="P42" s="37" t="str">
        <f t="shared" si="4"/>
        <v/>
      </c>
      <c r="Q42" s="27"/>
    </row>
    <row r="43" spans="1:17">
      <c r="A43" s="22" t="str">
        <f t="shared" si="0"/>
        <v/>
      </c>
      <c r="B43" s="37" t="str">
        <f>IFERROR(INDEX(_自动清单!$AM$4:$AM$203,ROW()-3),"")</f>
        <v/>
      </c>
      <c r="C43" s="25" t="str">
        <f>IF(OR($B43="",基础资料!$B$9=""),"",SUMIFS(对接源_01水果筐数!$D$5:$D$304,对接源_01水果筐数!$B$5:$B$304,$B43,对接源_01水果筐数!$C$5:$C$304,基础资料!$B$9))</f>
        <v/>
      </c>
      <c r="D43" s="25" t="str">
        <f>IF(OR($B43="",基础资料!$B$10=""),"",SUMIFS(对接源_01水果筐数!$D$5:$D$304,对接源_01水果筐数!$B$5:$B$304,$B43,对接源_01水果筐数!$C$5:$C$304,基础资料!$B$10))</f>
        <v/>
      </c>
      <c r="E43" s="25" t="str">
        <f>IF(OR($B43="",基础资料!$B$9=""),"",SUMIFS(客户自备加工筐明细!$F$4:$F$1203,客户自备加工筐明细!$E$4:$E$1203,$B43,客户自备加工筐明细!$C$4:$C$1203,基础资料!$B$9,客户自备加工筐明细!$B$4:$B$1203,"&gt;="&amp;$T$1,客户自备加工筐明细!$B$4:$B$1203,"&lt;="&amp;$T$2))</f>
        <v/>
      </c>
      <c r="F43" s="25" t="str">
        <f>IF(OR($B43="",基础资料!$B$10=""),"",SUMIFS(客户自备加工筐明细!$F$4:$F$1203,客户自备加工筐明细!$E$4:$E$1203,$B43,客户自备加工筐明细!$C$4:$C$1203,基础资料!$B$10,客户自备加工筐明细!$B$4:$B$1203,"&gt;="&amp;$T$1,客户自备加工筐明细!$B$4:$B$1203,"&lt;="&amp;$T$2))</f>
        <v/>
      </c>
      <c r="G43" s="67" t="str">
        <f>IF(OR($B43="",基础资料!$B$9=""),"",-SUMIFS(对接源_01水果筐数!$E$5:$E$304,对接源_01水果筐数!$B$5:$B$304,$B43,对接源_01水果筐数!$C$5:$C$304,基础资料!$B$9))</f>
        <v/>
      </c>
      <c r="H43" s="67" t="str">
        <f>IF(OR($B43="",基础资料!$B$10=""),"",-SUMIFS(对接源_01水果筐数!$E$5:$E$304,对接源_01水果筐数!$B$5:$B$304,$B43,对接源_01水果筐数!$C$5:$C$304,基础资料!$B$10))</f>
        <v/>
      </c>
      <c r="I43" s="67" t="str">
        <f>IF(OR($B43="",基础资料!$B$9=""),"",-SUMIFS(对接源_01水果筐数!$F$5:$F$304,对接源_01水果筐数!$B$5:$B$304,$B43,对接源_01水果筐数!$C$5:$C$304,基础资料!$B$9))</f>
        <v/>
      </c>
      <c r="J43" s="67" t="str">
        <f>IF(OR($B43="",基础资料!$B$10=""),"",-SUMIFS(对接源_01水果筐数!$F$5:$F$304,对接源_01水果筐数!$B$5:$B$304,$B43,对接源_01水果筐数!$C$5:$C$304,基础资料!$B$10))</f>
        <v/>
      </c>
      <c r="K43" s="67" t="str">
        <f>IF(OR($B43="",基础资料!$B$9=""),"",-SUMIFS(客户自备加工筐明细!$G$4:$G$1203,客户自备加工筐明细!$E$4:$E$1203,$B43,客户自备加工筐明细!$C$4:$C$1203,基础资料!$B$9,客户自备加工筐明细!$B$4:$B$1203,"&gt;="&amp;$T$1,客户自备加工筐明细!$B$4:$B$1203,"&lt;="&amp;$T$2))</f>
        <v/>
      </c>
      <c r="L43" s="67" t="str">
        <f>IF(OR($B43="",基础资料!$B$10=""),"",-SUMIFS(客户自备加工筐明细!$G$4:$G$1203,客户自备加工筐明细!$E$4:$E$1203,$B43,客户自备加工筐明细!$C$4:$C$1203,基础资料!$B$10,客户自备加工筐明细!$B$4:$B$1203,"&gt;="&amp;$T$1,客户自备加工筐明细!$B$4:$B$1203,"&lt;="&amp;$T$2))</f>
        <v/>
      </c>
      <c r="M43" s="25" t="str">
        <f t="shared" si="1"/>
        <v/>
      </c>
      <c r="N43" s="25" t="str">
        <f t="shared" si="2"/>
        <v/>
      </c>
      <c r="O43" s="25" t="str">
        <f t="shared" si="3"/>
        <v/>
      </c>
      <c r="P43" s="37" t="str">
        <f t="shared" si="4"/>
        <v/>
      </c>
      <c r="Q43" s="27"/>
    </row>
    <row r="44" spans="1:17">
      <c r="A44" s="22" t="str">
        <f t="shared" si="0"/>
        <v/>
      </c>
      <c r="B44" s="37" t="str">
        <f>IFERROR(INDEX(_自动清单!$AM$4:$AM$203,ROW()-3),"")</f>
        <v/>
      </c>
      <c r="C44" s="25" t="str">
        <f>IF(OR($B44="",基础资料!$B$9=""),"",SUMIFS(对接源_01水果筐数!$D$5:$D$304,对接源_01水果筐数!$B$5:$B$304,$B44,对接源_01水果筐数!$C$5:$C$304,基础资料!$B$9))</f>
        <v/>
      </c>
      <c r="D44" s="25" t="str">
        <f>IF(OR($B44="",基础资料!$B$10=""),"",SUMIFS(对接源_01水果筐数!$D$5:$D$304,对接源_01水果筐数!$B$5:$B$304,$B44,对接源_01水果筐数!$C$5:$C$304,基础资料!$B$10))</f>
        <v/>
      </c>
      <c r="E44" s="25" t="str">
        <f>IF(OR($B44="",基础资料!$B$9=""),"",SUMIFS(客户自备加工筐明细!$F$4:$F$1203,客户自备加工筐明细!$E$4:$E$1203,$B44,客户自备加工筐明细!$C$4:$C$1203,基础资料!$B$9,客户自备加工筐明细!$B$4:$B$1203,"&gt;="&amp;$T$1,客户自备加工筐明细!$B$4:$B$1203,"&lt;="&amp;$T$2))</f>
        <v/>
      </c>
      <c r="F44" s="25" t="str">
        <f>IF(OR($B44="",基础资料!$B$10=""),"",SUMIFS(客户自备加工筐明细!$F$4:$F$1203,客户自备加工筐明细!$E$4:$E$1203,$B44,客户自备加工筐明细!$C$4:$C$1203,基础资料!$B$10,客户自备加工筐明细!$B$4:$B$1203,"&gt;="&amp;$T$1,客户自备加工筐明细!$B$4:$B$1203,"&lt;="&amp;$T$2))</f>
        <v/>
      </c>
      <c r="G44" s="67" t="str">
        <f>IF(OR($B44="",基础资料!$B$9=""),"",-SUMIFS(对接源_01水果筐数!$E$5:$E$304,对接源_01水果筐数!$B$5:$B$304,$B44,对接源_01水果筐数!$C$5:$C$304,基础资料!$B$9))</f>
        <v/>
      </c>
      <c r="H44" s="67" t="str">
        <f>IF(OR($B44="",基础资料!$B$10=""),"",-SUMIFS(对接源_01水果筐数!$E$5:$E$304,对接源_01水果筐数!$B$5:$B$304,$B44,对接源_01水果筐数!$C$5:$C$304,基础资料!$B$10))</f>
        <v/>
      </c>
      <c r="I44" s="67" t="str">
        <f>IF(OR($B44="",基础资料!$B$9=""),"",-SUMIFS(对接源_01水果筐数!$F$5:$F$304,对接源_01水果筐数!$B$5:$B$304,$B44,对接源_01水果筐数!$C$5:$C$304,基础资料!$B$9))</f>
        <v/>
      </c>
      <c r="J44" s="67" t="str">
        <f>IF(OR($B44="",基础资料!$B$10=""),"",-SUMIFS(对接源_01水果筐数!$F$5:$F$304,对接源_01水果筐数!$B$5:$B$304,$B44,对接源_01水果筐数!$C$5:$C$304,基础资料!$B$10))</f>
        <v/>
      </c>
      <c r="K44" s="67" t="str">
        <f>IF(OR($B44="",基础资料!$B$9=""),"",-SUMIFS(客户自备加工筐明细!$G$4:$G$1203,客户自备加工筐明细!$E$4:$E$1203,$B44,客户自备加工筐明细!$C$4:$C$1203,基础资料!$B$9,客户自备加工筐明细!$B$4:$B$1203,"&gt;="&amp;$T$1,客户自备加工筐明细!$B$4:$B$1203,"&lt;="&amp;$T$2))</f>
        <v/>
      </c>
      <c r="L44" s="67" t="str">
        <f>IF(OR($B44="",基础资料!$B$10=""),"",-SUMIFS(客户自备加工筐明细!$G$4:$G$1203,客户自备加工筐明细!$E$4:$E$1203,$B44,客户自备加工筐明细!$C$4:$C$1203,基础资料!$B$10,客户自备加工筐明细!$B$4:$B$1203,"&gt;="&amp;$T$1,客户自备加工筐明细!$B$4:$B$1203,"&lt;="&amp;$T$2))</f>
        <v/>
      </c>
      <c r="M44" s="25" t="str">
        <f t="shared" si="1"/>
        <v/>
      </c>
      <c r="N44" s="25" t="str">
        <f t="shared" si="2"/>
        <v/>
      </c>
      <c r="O44" s="25" t="str">
        <f t="shared" si="3"/>
        <v/>
      </c>
      <c r="P44" s="37" t="str">
        <f t="shared" si="4"/>
        <v/>
      </c>
      <c r="Q44" s="27"/>
    </row>
    <row r="45" spans="1:17">
      <c r="A45" s="22" t="str">
        <f t="shared" si="0"/>
        <v/>
      </c>
      <c r="B45" s="37" t="str">
        <f>IFERROR(INDEX(_自动清单!$AM$4:$AM$203,ROW()-3),"")</f>
        <v/>
      </c>
      <c r="C45" s="25" t="str">
        <f>IF(OR($B45="",基础资料!$B$9=""),"",SUMIFS(对接源_01水果筐数!$D$5:$D$304,对接源_01水果筐数!$B$5:$B$304,$B45,对接源_01水果筐数!$C$5:$C$304,基础资料!$B$9))</f>
        <v/>
      </c>
      <c r="D45" s="25" t="str">
        <f>IF(OR($B45="",基础资料!$B$10=""),"",SUMIFS(对接源_01水果筐数!$D$5:$D$304,对接源_01水果筐数!$B$5:$B$304,$B45,对接源_01水果筐数!$C$5:$C$304,基础资料!$B$10))</f>
        <v/>
      </c>
      <c r="E45" s="25" t="str">
        <f>IF(OR($B45="",基础资料!$B$9=""),"",SUMIFS(客户自备加工筐明细!$F$4:$F$1203,客户自备加工筐明细!$E$4:$E$1203,$B45,客户自备加工筐明细!$C$4:$C$1203,基础资料!$B$9,客户自备加工筐明细!$B$4:$B$1203,"&gt;="&amp;$T$1,客户自备加工筐明细!$B$4:$B$1203,"&lt;="&amp;$T$2))</f>
        <v/>
      </c>
      <c r="F45" s="25" t="str">
        <f>IF(OR($B45="",基础资料!$B$10=""),"",SUMIFS(客户自备加工筐明细!$F$4:$F$1203,客户自备加工筐明细!$E$4:$E$1203,$B45,客户自备加工筐明细!$C$4:$C$1203,基础资料!$B$10,客户自备加工筐明细!$B$4:$B$1203,"&gt;="&amp;$T$1,客户自备加工筐明细!$B$4:$B$1203,"&lt;="&amp;$T$2))</f>
        <v/>
      </c>
      <c r="G45" s="67" t="str">
        <f>IF(OR($B45="",基础资料!$B$9=""),"",-SUMIFS(对接源_01水果筐数!$E$5:$E$304,对接源_01水果筐数!$B$5:$B$304,$B45,对接源_01水果筐数!$C$5:$C$304,基础资料!$B$9))</f>
        <v/>
      </c>
      <c r="H45" s="67" t="str">
        <f>IF(OR($B45="",基础资料!$B$10=""),"",-SUMIFS(对接源_01水果筐数!$E$5:$E$304,对接源_01水果筐数!$B$5:$B$304,$B45,对接源_01水果筐数!$C$5:$C$304,基础资料!$B$10))</f>
        <v/>
      </c>
      <c r="I45" s="67" t="str">
        <f>IF(OR($B45="",基础资料!$B$9=""),"",-SUMIFS(对接源_01水果筐数!$F$5:$F$304,对接源_01水果筐数!$B$5:$B$304,$B45,对接源_01水果筐数!$C$5:$C$304,基础资料!$B$9))</f>
        <v/>
      </c>
      <c r="J45" s="67" t="str">
        <f>IF(OR($B45="",基础资料!$B$10=""),"",-SUMIFS(对接源_01水果筐数!$F$5:$F$304,对接源_01水果筐数!$B$5:$B$304,$B45,对接源_01水果筐数!$C$5:$C$304,基础资料!$B$10))</f>
        <v/>
      </c>
      <c r="K45" s="67" t="str">
        <f>IF(OR($B45="",基础资料!$B$9=""),"",-SUMIFS(客户自备加工筐明细!$G$4:$G$1203,客户自备加工筐明细!$E$4:$E$1203,$B45,客户自备加工筐明细!$C$4:$C$1203,基础资料!$B$9,客户自备加工筐明细!$B$4:$B$1203,"&gt;="&amp;$T$1,客户自备加工筐明细!$B$4:$B$1203,"&lt;="&amp;$T$2))</f>
        <v/>
      </c>
      <c r="L45" s="67" t="str">
        <f>IF(OR($B45="",基础资料!$B$10=""),"",-SUMIFS(客户自备加工筐明细!$G$4:$G$1203,客户自备加工筐明细!$E$4:$E$1203,$B45,客户自备加工筐明细!$C$4:$C$1203,基础资料!$B$10,客户自备加工筐明细!$B$4:$B$1203,"&gt;="&amp;$T$1,客户自备加工筐明细!$B$4:$B$1203,"&lt;="&amp;$T$2))</f>
        <v/>
      </c>
      <c r="M45" s="25" t="str">
        <f t="shared" si="1"/>
        <v/>
      </c>
      <c r="N45" s="25" t="str">
        <f t="shared" si="2"/>
        <v/>
      </c>
      <c r="O45" s="25" t="str">
        <f t="shared" si="3"/>
        <v/>
      </c>
      <c r="P45" s="37" t="str">
        <f t="shared" si="4"/>
        <v/>
      </c>
      <c r="Q45" s="27"/>
    </row>
    <row r="46" spans="1:17">
      <c r="A46" s="22" t="str">
        <f t="shared" si="0"/>
        <v/>
      </c>
      <c r="B46" s="37" t="str">
        <f>IFERROR(INDEX(_自动清单!$AM$4:$AM$203,ROW()-3),"")</f>
        <v/>
      </c>
      <c r="C46" s="25" t="str">
        <f>IF(OR($B46="",基础资料!$B$9=""),"",SUMIFS(对接源_01水果筐数!$D$5:$D$304,对接源_01水果筐数!$B$5:$B$304,$B46,对接源_01水果筐数!$C$5:$C$304,基础资料!$B$9))</f>
        <v/>
      </c>
      <c r="D46" s="25" t="str">
        <f>IF(OR($B46="",基础资料!$B$10=""),"",SUMIFS(对接源_01水果筐数!$D$5:$D$304,对接源_01水果筐数!$B$5:$B$304,$B46,对接源_01水果筐数!$C$5:$C$304,基础资料!$B$10))</f>
        <v/>
      </c>
      <c r="E46" s="25" t="str">
        <f>IF(OR($B46="",基础资料!$B$9=""),"",SUMIFS(客户自备加工筐明细!$F$4:$F$1203,客户自备加工筐明细!$E$4:$E$1203,$B46,客户自备加工筐明细!$C$4:$C$1203,基础资料!$B$9,客户自备加工筐明细!$B$4:$B$1203,"&gt;="&amp;$T$1,客户自备加工筐明细!$B$4:$B$1203,"&lt;="&amp;$T$2))</f>
        <v/>
      </c>
      <c r="F46" s="25" t="str">
        <f>IF(OR($B46="",基础资料!$B$10=""),"",SUMIFS(客户自备加工筐明细!$F$4:$F$1203,客户自备加工筐明细!$E$4:$E$1203,$B46,客户自备加工筐明细!$C$4:$C$1203,基础资料!$B$10,客户自备加工筐明细!$B$4:$B$1203,"&gt;="&amp;$T$1,客户自备加工筐明细!$B$4:$B$1203,"&lt;="&amp;$T$2))</f>
        <v/>
      </c>
      <c r="G46" s="67" t="str">
        <f>IF(OR($B46="",基础资料!$B$9=""),"",-SUMIFS(对接源_01水果筐数!$E$5:$E$304,对接源_01水果筐数!$B$5:$B$304,$B46,对接源_01水果筐数!$C$5:$C$304,基础资料!$B$9))</f>
        <v/>
      </c>
      <c r="H46" s="67" t="str">
        <f>IF(OR($B46="",基础资料!$B$10=""),"",-SUMIFS(对接源_01水果筐数!$E$5:$E$304,对接源_01水果筐数!$B$5:$B$304,$B46,对接源_01水果筐数!$C$5:$C$304,基础资料!$B$10))</f>
        <v/>
      </c>
      <c r="I46" s="67" t="str">
        <f>IF(OR($B46="",基础资料!$B$9=""),"",-SUMIFS(对接源_01水果筐数!$F$5:$F$304,对接源_01水果筐数!$B$5:$B$304,$B46,对接源_01水果筐数!$C$5:$C$304,基础资料!$B$9))</f>
        <v/>
      </c>
      <c r="J46" s="67" t="str">
        <f>IF(OR($B46="",基础资料!$B$10=""),"",-SUMIFS(对接源_01水果筐数!$F$5:$F$304,对接源_01水果筐数!$B$5:$B$304,$B46,对接源_01水果筐数!$C$5:$C$304,基础资料!$B$10))</f>
        <v/>
      </c>
      <c r="K46" s="67" t="str">
        <f>IF(OR($B46="",基础资料!$B$9=""),"",-SUMIFS(客户自备加工筐明细!$G$4:$G$1203,客户自备加工筐明细!$E$4:$E$1203,$B46,客户自备加工筐明细!$C$4:$C$1203,基础资料!$B$9,客户自备加工筐明细!$B$4:$B$1203,"&gt;="&amp;$T$1,客户自备加工筐明细!$B$4:$B$1203,"&lt;="&amp;$T$2))</f>
        <v/>
      </c>
      <c r="L46" s="67" t="str">
        <f>IF(OR($B46="",基础资料!$B$10=""),"",-SUMIFS(客户自备加工筐明细!$G$4:$G$1203,客户自备加工筐明细!$E$4:$E$1203,$B46,客户自备加工筐明细!$C$4:$C$1203,基础资料!$B$10,客户自备加工筐明细!$B$4:$B$1203,"&gt;="&amp;$T$1,客户自备加工筐明细!$B$4:$B$1203,"&lt;="&amp;$T$2))</f>
        <v/>
      </c>
      <c r="M46" s="25" t="str">
        <f t="shared" si="1"/>
        <v/>
      </c>
      <c r="N46" s="25" t="str">
        <f t="shared" si="2"/>
        <v/>
      </c>
      <c r="O46" s="25" t="str">
        <f t="shared" si="3"/>
        <v/>
      </c>
      <c r="P46" s="37" t="str">
        <f t="shared" si="4"/>
        <v/>
      </c>
      <c r="Q46" s="27"/>
    </row>
    <row r="47" spans="1:17">
      <c r="A47" s="22" t="str">
        <f t="shared" si="0"/>
        <v/>
      </c>
      <c r="B47" s="37" t="str">
        <f>IFERROR(INDEX(_自动清单!$AM$4:$AM$203,ROW()-3),"")</f>
        <v/>
      </c>
      <c r="C47" s="25" t="str">
        <f>IF(OR($B47="",基础资料!$B$9=""),"",SUMIFS(对接源_01水果筐数!$D$5:$D$304,对接源_01水果筐数!$B$5:$B$304,$B47,对接源_01水果筐数!$C$5:$C$304,基础资料!$B$9))</f>
        <v/>
      </c>
      <c r="D47" s="25" t="str">
        <f>IF(OR($B47="",基础资料!$B$10=""),"",SUMIFS(对接源_01水果筐数!$D$5:$D$304,对接源_01水果筐数!$B$5:$B$304,$B47,对接源_01水果筐数!$C$5:$C$304,基础资料!$B$10))</f>
        <v/>
      </c>
      <c r="E47" s="25" t="str">
        <f>IF(OR($B47="",基础资料!$B$9=""),"",SUMIFS(客户自备加工筐明细!$F$4:$F$1203,客户自备加工筐明细!$E$4:$E$1203,$B47,客户自备加工筐明细!$C$4:$C$1203,基础资料!$B$9,客户自备加工筐明细!$B$4:$B$1203,"&gt;="&amp;$T$1,客户自备加工筐明细!$B$4:$B$1203,"&lt;="&amp;$T$2))</f>
        <v/>
      </c>
      <c r="F47" s="25" t="str">
        <f>IF(OR($B47="",基础资料!$B$10=""),"",SUMIFS(客户自备加工筐明细!$F$4:$F$1203,客户自备加工筐明细!$E$4:$E$1203,$B47,客户自备加工筐明细!$C$4:$C$1203,基础资料!$B$10,客户自备加工筐明细!$B$4:$B$1203,"&gt;="&amp;$T$1,客户自备加工筐明细!$B$4:$B$1203,"&lt;="&amp;$T$2))</f>
        <v/>
      </c>
      <c r="G47" s="67" t="str">
        <f>IF(OR($B47="",基础资料!$B$9=""),"",-SUMIFS(对接源_01水果筐数!$E$5:$E$304,对接源_01水果筐数!$B$5:$B$304,$B47,对接源_01水果筐数!$C$5:$C$304,基础资料!$B$9))</f>
        <v/>
      </c>
      <c r="H47" s="67" t="str">
        <f>IF(OR($B47="",基础资料!$B$10=""),"",-SUMIFS(对接源_01水果筐数!$E$5:$E$304,对接源_01水果筐数!$B$5:$B$304,$B47,对接源_01水果筐数!$C$5:$C$304,基础资料!$B$10))</f>
        <v/>
      </c>
      <c r="I47" s="67" t="str">
        <f>IF(OR($B47="",基础资料!$B$9=""),"",-SUMIFS(对接源_01水果筐数!$F$5:$F$304,对接源_01水果筐数!$B$5:$B$304,$B47,对接源_01水果筐数!$C$5:$C$304,基础资料!$B$9))</f>
        <v/>
      </c>
      <c r="J47" s="67" t="str">
        <f>IF(OR($B47="",基础资料!$B$10=""),"",-SUMIFS(对接源_01水果筐数!$F$5:$F$304,对接源_01水果筐数!$B$5:$B$304,$B47,对接源_01水果筐数!$C$5:$C$304,基础资料!$B$10))</f>
        <v/>
      </c>
      <c r="K47" s="67" t="str">
        <f>IF(OR($B47="",基础资料!$B$9=""),"",-SUMIFS(客户自备加工筐明细!$G$4:$G$1203,客户自备加工筐明细!$E$4:$E$1203,$B47,客户自备加工筐明细!$C$4:$C$1203,基础资料!$B$9,客户自备加工筐明细!$B$4:$B$1203,"&gt;="&amp;$T$1,客户自备加工筐明细!$B$4:$B$1203,"&lt;="&amp;$T$2))</f>
        <v/>
      </c>
      <c r="L47" s="67" t="str">
        <f>IF(OR($B47="",基础资料!$B$10=""),"",-SUMIFS(客户自备加工筐明细!$G$4:$G$1203,客户自备加工筐明细!$E$4:$E$1203,$B47,客户自备加工筐明细!$C$4:$C$1203,基础资料!$B$10,客户自备加工筐明细!$B$4:$B$1203,"&gt;="&amp;$T$1,客户自备加工筐明细!$B$4:$B$1203,"&lt;="&amp;$T$2))</f>
        <v/>
      </c>
      <c r="M47" s="25" t="str">
        <f t="shared" si="1"/>
        <v/>
      </c>
      <c r="N47" s="25" t="str">
        <f t="shared" si="2"/>
        <v/>
      </c>
      <c r="O47" s="25" t="str">
        <f t="shared" si="3"/>
        <v/>
      </c>
      <c r="P47" s="37" t="str">
        <f t="shared" si="4"/>
        <v/>
      </c>
      <c r="Q47" s="27"/>
    </row>
    <row r="48" spans="1:17">
      <c r="A48" s="22" t="str">
        <f t="shared" si="0"/>
        <v/>
      </c>
      <c r="B48" s="37" t="str">
        <f>IFERROR(INDEX(_自动清单!$AM$4:$AM$203,ROW()-3),"")</f>
        <v/>
      </c>
      <c r="C48" s="25" t="str">
        <f>IF(OR($B48="",基础资料!$B$9=""),"",SUMIFS(对接源_01水果筐数!$D$5:$D$304,对接源_01水果筐数!$B$5:$B$304,$B48,对接源_01水果筐数!$C$5:$C$304,基础资料!$B$9))</f>
        <v/>
      </c>
      <c r="D48" s="25" t="str">
        <f>IF(OR($B48="",基础资料!$B$10=""),"",SUMIFS(对接源_01水果筐数!$D$5:$D$304,对接源_01水果筐数!$B$5:$B$304,$B48,对接源_01水果筐数!$C$5:$C$304,基础资料!$B$10))</f>
        <v/>
      </c>
      <c r="E48" s="25" t="str">
        <f>IF(OR($B48="",基础资料!$B$9=""),"",SUMIFS(客户自备加工筐明细!$F$4:$F$1203,客户自备加工筐明细!$E$4:$E$1203,$B48,客户自备加工筐明细!$C$4:$C$1203,基础资料!$B$9,客户自备加工筐明细!$B$4:$B$1203,"&gt;="&amp;$T$1,客户自备加工筐明细!$B$4:$B$1203,"&lt;="&amp;$T$2))</f>
        <v/>
      </c>
      <c r="F48" s="25" t="str">
        <f>IF(OR($B48="",基础资料!$B$10=""),"",SUMIFS(客户自备加工筐明细!$F$4:$F$1203,客户自备加工筐明细!$E$4:$E$1203,$B48,客户自备加工筐明细!$C$4:$C$1203,基础资料!$B$10,客户自备加工筐明细!$B$4:$B$1203,"&gt;="&amp;$T$1,客户自备加工筐明细!$B$4:$B$1203,"&lt;="&amp;$T$2))</f>
        <v/>
      </c>
      <c r="G48" s="67" t="str">
        <f>IF(OR($B48="",基础资料!$B$9=""),"",-SUMIFS(对接源_01水果筐数!$E$5:$E$304,对接源_01水果筐数!$B$5:$B$304,$B48,对接源_01水果筐数!$C$5:$C$304,基础资料!$B$9))</f>
        <v/>
      </c>
      <c r="H48" s="67" t="str">
        <f>IF(OR($B48="",基础资料!$B$10=""),"",-SUMIFS(对接源_01水果筐数!$E$5:$E$304,对接源_01水果筐数!$B$5:$B$304,$B48,对接源_01水果筐数!$C$5:$C$304,基础资料!$B$10))</f>
        <v/>
      </c>
      <c r="I48" s="67" t="str">
        <f>IF(OR($B48="",基础资料!$B$9=""),"",-SUMIFS(对接源_01水果筐数!$F$5:$F$304,对接源_01水果筐数!$B$5:$B$304,$B48,对接源_01水果筐数!$C$5:$C$304,基础资料!$B$9))</f>
        <v/>
      </c>
      <c r="J48" s="67" t="str">
        <f>IF(OR($B48="",基础资料!$B$10=""),"",-SUMIFS(对接源_01水果筐数!$F$5:$F$304,对接源_01水果筐数!$B$5:$B$304,$B48,对接源_01水果筐数!$C$5:$C$304,基础资料!$B$10))</f>
        <v/>
      </c>
      <c r="K48" s="67" t="str">
        <f>IF(OR($B48="",基础资料!$B$9=""),"",-SUMIFS(客户自备加工筐明细!$G$4:$G$1203,客户自备加工筐明细!$E$4:$E$1203,$B48,客户自备加工筐明细!$C$4:$C$1203,基础资料!$B$9,客户自备加工筐明细!$B$4:$B$1203,"&gt;="&amp;$T$1,客户自备加工筐明细!$B$4:$B$1203,"&lt;="&amp;$T$2))</f>
        <v/>
      </c>
      <c r="L48" s="67" t="str">
        <f>IF(OR($B48="",基础资料!$B$10=""),"",-SUMIFS(客户自备加工筐明细!$G$4:$G$1203,客户自备加工筐明细!$E$4:$E$1203,$B48,客户自备加工筐明细!$C$4:$C$1203,基础资料!$B$10,客户自备加工筐明细!$B$4:$B$1203,"&gt;="&amp;$T$1,客户自备加工筐明细!$B$4:$B$1203,"&lt;="&amp;$T$2))</f>
        <v/>
      </c>
      <c r="M48" s="25" t="str">
        <f t="shared" si="1"/>
        <v/>
      </c>
      <c r="N48" s="25" t="str">
        <f t="shared" si="2"/>
        <v/>
      </c>
      <c r="O48" s="25" t="str">
        <f t="shared" si="3"/>
        <v/>
      </c>
      <c r="P48" s="37" t="str">
        <f t="shared" si="4"/>
        <v/>
      </c>
      <c r="Q48" s="27"/>
    </row>
    <row r="49" spans="1:17">
      <c r="A49" s="22" t="str">
        <f t="shared" si="0"/>
        <v/>
      </c>
      <c r="B49" s="37" t="str">
        <f>IFERROR(INDEX(_自动清单!$AM$4:$AM$203,ROW()-3),"")</f>
        <v/>
      </c>
      <c r="C49" s="25" t="str">
        <f>IF(OR($B49="",基础资料!$B$9=""),"",SUMIFS(对接源_01水果筐数!$D$5:$D$304,对接源_01水果筐数!$B$5:$B$304,$B49,对接源_01水果筐数!$C$5:$C$304,基础资料!$B$9))</f>
        <v/>
      </c>
      <c r="D49" s="25" t="str">
        <f>IF(OR($B49="",基础资料!$B$10=""),"",SUMIFS(对接源_01水果筐数!$D$5:$D$304,对接源_01水果筐数!$B$5:$B$304,$B49,对接源_01水果筐数!$C$5:$C$304,基础资料!$B$10))</f>
        <v/>
      </c>
      <c r="E49" s="25" t="str">
        <f>IF(OR($B49="",基础资料!$B$9=""),"",SUMIFS(客户自备加工筐明细!$F$4:$F$1203,客户自备加工筐明细!$E$4:$E$1203,$B49,客户自备加工筐明细!$C$4:$C$1203,基础资料!$B$9,客户自备加工筐明细!$B$4:$B$1203,"&gt;="&amp;$T$1,客户自备加工筐明细!$B$4:$B$1203,"&lt;="&amp;$T$2))</f>
        <v/>
      </c>
      <c r="F49" s="25" t="str">
        <f>IF(OR($B49="",基础资料!$B$10=""),"",SUMIFS(客户自备加工筐明细!$F$4:$F$1203,客户自备加工筐明细!$E$4:$E$1203,$B49,客户自备加工筐明细!$C$4:$C$1203,基础资料!$B$10,客户自备加工筐明细!$B$4:$B$1203,"&gt;="&amp;$T$1,客户自备加工筐明细!$B$4:$B$1203,"&lt;="&amp;$T$2))</f>
        <v/>
      </c>
      <c r="G49" s="67" t="str">
        <f>IF(OR($B49="",基础资料!$B$9=""),"",-SUMIFS(对接源_01水果筐数!$E$5:$E$304,对接源_01水果筐数!$B$5:$B$304,$B49,对接源_01水果筐数!$C$5:$C$304,基础资料!$B$9))</f>
        <v/>
      </c>
      <c r="H49" s="67" t="str">
        <f>IF(OR($B49="",基础资料!$B$10=""),"",-SUMIFS(对接源_01水果筐数!$E$5:$E$304,对接源_01水果筐数!$B$5:$B$304,$B49,对接源_01水果筐数!$C$5:$C$304,基础资料!$B$10))</f>
        <v/>
      </c>
      <c r="I49" s="67" t="str">
        <f>IF(OR($B49="",基础资料!$B$9=""),"",-SUMIFS(对接源_01水果筐数!$F$5:$F$304,对接源_01水果筐数!$B$5:$B$304,$B49,对接源_01水果筐数!$C$5:$C$304,基础资料!$B$9))</f>
        <v/>
      </c>
      <c r="J49" s="67" t="str">
        <f>IF(OR($B49="",基础资料!$B$10=""),"",-SUMIFS(对接源_01水果筐数!$F$5:$F$304,对接源_01水果筐数!$B$5:$B$304,$B49,对接源_01水果筐数!$C$5:$C$304,基础资料!$B$10))</f>
        <v/>
      </c>
      <c r="K49" s="67" t="str">
        <f>IF(OR($B49="",基础资料!$B$9=""),"",-SUMIFS(客户自备加工筐明细!$G$4:$G$1203,客户自备加工筐明细!$E$4:$E$1203,$B49,客户自备加工筐明细!$C$4:$C$1203,基础资料!$B$9,客户自备加工筐明细!$B$4:$B$1203,"&gt;="&amp;$T$1,客户自备加工筐明细!$B$4:$B$1203,"&lt;="&amp;$T$2))</f>
        <v/>
      </c>
      <c r="L49" s="67" t="str">
        <f>IF(OR($B49="",基础资料!$B$10=""),"",-SUMIFS(客户自备加工筐明细!$G$4:$G$1203,客户自备加工筐明细!$E$4:$E$1203,$B49,客户自备加工筐明细!$C$4:$C$1203,基础资料!$B$10,客户自备加工筐明细!$B$4:$B$1203,"&gt;="&amp;$T$1,客户自备加工筐明细!$B$4:$B$1203,"&lt;="&amp;$T$2))</f>
        <v/>
      </c>
      <c r="M49" s="25" t="str">
        <f t="shared" si="1"/>
        <v/>
      </c>
      <c r="N49" s="25" t="str">
        <f t="shared" si="2"/>
        <v/>
      </c>
      <c r="O49" s="25" t="str">
        <f t="shared" si="3"/>
        <v/>
      </c>
      <c r="P49" s="37" t="str">
        <f t="shared" si="4"/>
        <v/>
      </c>
      <c r="Q49" s="27"/>
    </row>
    <row r="50" spans="1:17">
      <c r="A50" s="22" t="str">
        <f t="shared" si="0"/>
        <v/>
      </c>
      <c r="B50" s="37" t="str">
        <f>IFERROR(INDEX(_自动清单!$AM$4:$AM$203,ROW()-3),"")</f>
        <v/>
      </c>
      <c r="C50" s="25" t="str">
        <f>IF(OR($B50="",基础资料!$B$9=""),"",SUMIFS(对接源_01水果筐数!$D$5:$D$304,对接源_01水果筐数!$B$5:$B$304,$B50,对接源_01水果筐数!$C$5:$C$304,基础资料!$B$9))</f>
        <v/>
      </c>
      <c r="D50" s="25" t="str">
        <f>IF(OR($B50="",基础资料!$B$10=""),"",SUMIFS(对接源_01水果筐数!$D$5:$D$304,对接源_01水果筐数!$B$5:$B$304,$B50,对接源_01水果筐数!$C$5:$C$304,基础资料!$B$10))</f>
        <v/>
      </c>
      <c r="E50" s="25" t="str">
        <f>IF(OR($B50="",基础资料!$B$9=""),"",SUMIFS(客户自备加工筐明细!$F$4:$F$1203,客户自备加工筐明细!$E$4:$E$1203,$B50,客户自备加工筐明细!$C$4:$C$1203,基础资料!$B$9,客户自备加工筐明细!$B$4:$B$1203,"&gt;="&amp;$T$1,客户自备加工筐明细!$B$4:$B$1203,"&lt;="&amp;$T$2))</f>
        <v/>
      </c>
      <c r="F50" s="25" t="str">
        <f>IF(OR($B50="",基础资料!$B$10=""),"",SUMIFS(客户自备加工筐明细!$F$4:$F$1203,客户自备加工筐明细!$E$4:$E$1203,$B50,客户自备加工筐明细!$C$4:$C$1203,基础资料!$B$10,客户自备加工筐明细!$B$4:$B$1203,"&gt;="&amp;$T$1,客户自备加工筐明细!$B$4:$B$1203,"&lt;="&amp;$T$2))</f>
        <v/>
      </c>
      <c r="G50" s="67" t="str">
        <f>IF(OR($B50="",基础资料!$B$9=""),"",-SUMIFS(对接源_01水果筐数!$E$5:$E$304,对接源_01水果筐数!$B$5:$B$304,$B50,对接源_01水果筐数!$C$5:$C$304,基础资料!$B$9))</f>
        <v/>
      </c>
      <c r="H50" s="67" t="str">
        <f>IF(OR($B50="",基础资料!$B$10=""),"",-SUMIFS(对接源_01水果筐数!$E$5:$E$304,对接源_01水果筐数!$B$5:$B$304,$B50,对接源_01水果筐数!$C$5:$C$304,基础资料!$B$10))</f>
        <v/>
      </c>
      <c r="I50" s="67" t="str">
        <f>IF(OR($B50="",基础资料!$B$9=""),"",-SUMIFS(对接源_01水果筐数!$F$5:$F$304,对接源_01水果筐数!$B$5:$B$304,$B50,对接源_01水果筐数!$C$5:$C$304,基础资料!$B$9))</f>
        <v/>
      </c>
      <c r="J50" s="67" t="str">
        <f>IF(OR($B50="",基础资料!$B$10=""),"",-SUMIFS(对接源_01水果筐数!$F$5:$F$304,对接源_01水果筐数!$B$5:$B$304,$B50,对接源_01水果筐数!$C$5:$C$304,基础资料!$B$10))</f>
        <v/>
      </c>
      <c r="K50" s="67" t="str">
        <f>IF(OR($B50="",基础资料!$B$9=""),"",-SUMIFS(客户自备加工筐明细!$G$4:$G$1203,客户自备加工筐明细!$E$4:$E$1203,$B50,客户自备加工筐明细!$C$4:$C$1203,基础资料!$B$9,客户自备加工筐明细!$B$4:$B$1203,"&gt;="&amp;$T$1,客户自备加工筐明细!$B$4:$B$1203,"&lt;="&amp;$T$2))</f>
        <v/>
      </c>
      <c r="L50" s="67" t="str">
        <f>IF(OR($B50="",基础资料!$B$10=""),"",-SUMIFS(客户自备加工筐明细!$G$4:$G$1203,客户自备加工筐明细!$E$4:$E$1203,$B50,客户自备加工筐明细!$C$4:$C$1203,基础资料!$B$10,客户自备加工筐明细!$B$4:$B$1203,"&gt;="&amp;$T$1,客户自备加工筐明细!$B$4:$B$1203,"&lt;="&amp;$T$2))</f>
        <v/>
      </c>
      <c r="M50" s="25" t="str">
        <f t="shared" si="1"/>
        <v/>
      </c>
      <c r="N50" s="25" t="str">
        <f t="shared" si="2"/>
        <v/>
      </c>
      <c r="O50" s="25" t="str">
        <f t="shared" si="3"/>
        <v/>
      </c>
      <c r="P50" s="37" t="str">
        <f t="shared" si="4"/>
        <v/>
      </c>
      <c r="Q50" s="27"/>
    </row>
    <row r="51" spans="1:17">
      <c r="A51" s="22" t="str">
        <f t="shared" si="0"/>
        <v/>
      </c>
      <c r="B51" s="37" t="str">
        <f>IFERROR(INDEX(_自动清单!$AM$4:$AM$203,ROW()-3),"")</f>
        <v/>
      </c>
      <c r="C51" s="25" t="str">
        <f>IF(OR($B51="",基础资料!$B$9=""),"",SUMIFS(对接源_01水果筐数!$D$5:$D$304,对接源_01水果筐数!$B$5:$B$304,$B51,对接源_01水果筐数!$C$5:$C$304,基础资料!$B$9))</f>
        <v/>
      </c>
      <c r="D51" s="25" t="str">
        <f>IF(OR($B51="",基础资料!$B$10=""),"",SUMIFS(对接源_01水果筐数!$D$5:$D$304,对接源_01水果筐数!$B$5:$B$304,$B51,对接源_01水果筐数!$C$5:$C$304,基础资料!$B$10))</f>
        <v/>
      </c>
      <c r="E51" s="25" t="str">
        <f>IF(OR($B51="",基础资料!$B$9=""),"",SUMIFS(客户自备加工筐明细!$F$4:$F$1203,客户自备加工筐明细!$E$4:$E$1203,$B51,客户自备加工筐明细!$C$4:$C$1203,基础资料!$B$9,客户自备加工筐明细!$B$4:$B$1203,"&gt;="&amp;$T$1,客户自备加工筐明细!$B$4:$B$1203,"&lt;="&amp;$T$2))</f>
        <v/>
      </c>
      <c r="F51" s="25" t="str">
        <f>IF(OR($B51="",基础资料!$B$10=""),"",SUMIFS(客户自备加工筐明细!$F$4:$F$1203,客户自备加工筐明细!$E$4:$E$1203,$B51,客户自备加工筐明细!$C$4:$C$1203,基础资料!$B$10,客户自备加工筐明细!$B$4:$B$1203,"&gt;="&amp;$T$1,客户自备加工筐明细!$B$4:$B$1203,"&lt;="&amp;$T$2))</f>
        <v/>
      </c>
      <c r="G51" s="67" t="str">
        <f>IF(OR($B51="",基础资料!$B$9=""),"",-SUMIFS(对接源_01水果筐数!$E$5:$E$304,对接源_01水果筐数!$B$5:$B$304,$B51,对接源_01水果筐数!$C$5:$C$304,基础资料!$B$9))</f>
        <v/>
      </c>
      <c r="H51" s="67" t="str">
        <f>IF(OR($B51="",基础资料!$B$10=""),"",-SUMIFS(对接源_01水果筐数!$E$5:$E$304,对接源_01水果筐数!$B$5:$B$304,$B51,对接源_01水果筐数!$C$5:$C$304,基础资料!$B$10))</f>
        <v/>
      </c>
      <c r="I51" s="67" t="str">
        <f>IF(OR($B51="",基础资料!$B$9=""),"",-SUMIFS(对接源_01水果筐数!$F$5:$F$304,对接源_01水果筐数!$B$5:$B$304,$B51,对接源_01水果筐数!$C$5:$C$304,基础资料!$B$9))</f>
        <v/>
      </c>
      <c r="J51" s="67" t="str">
        <f>IF(OR($B51="",基础资料!$B$10=""),"",-SUMIFS(对接源_01水果筐数!$F$5:$F$304,对接源_01水果筐数!$B$5:$B$304,$B51,对接源_01水果筐数!$C$5:$C$304,基础资料!$B$10))</f>
        <v/>
      </c>
      <c r="K51" s="67" t="str">
        <f>IF(OR($B51="",基础资料!$B$9=""),"",-SUMIFS(客户自备加工筐明细!$G$4:$G$1203,客户自备加工筐明细!$E$4:$E$1203,$B51,客户自备加工筐明细!$C$4:$C$1203,基础资料!$B$9,客户自备加工筐明细!$B$4:$B$1203,"&gt;="&amp;$T$1,客户自备加工筐明细!$B$4:$B$1203,"&lt;="&amp;$T$2))</f>
        <v/>
      </c>
      <c r="L51" s="67" t="str">
        <f>IF(OR($B51="",基础资料!$B$10=""),"",-SUMIFS(客户自备加工筐明细!$G$4:$G$1203,客户自备加工筐明细!$E$4:$E$1203,$B51,客户自备加工筐明细!$C$4:$C$1203,基础资料!$B$10,客户自备加工筐明细!$B$4:$B$1203,"&gt;="&amp;$T$1,客户自备加工筐明细!$B$4:$B$1203,"&lt;="&amp;$T$2))</f>
        <v/>
      </c>
      <c r="M51" s="25" t="str">
        <f t="shared" si="1"/>
        <v/>
      </c>
      <c r="N51" s="25" t="str">
        <f t="shared" si="2"/>
        <v/>
      </c>
      <c r="O51" s="25" t="str">
        <f t="shared" si="3"/>
        <v/>
      </c>
      <c r="P51" s="37" t="str">
        <f t="shared" si="4"/>
        <v/>
      </c>
      <c r="Q51" s="27"/>
    </row>
    <row r="52" spans="1:17">
      <c r="A52" s="22" t="str">
        <f t="shared" si="0"/>
        <v/>
      </c>
      <c r="B52" s="37" t="str">
        <f>IFERROR(INDEX(_自动清单!$AM$4:$AM$203,ROW()-3),"")</f>
        <v/>
      </c>
      <c r="C52" s="25" t="str">
        <f>IF(OR($B52="",基础资料!$B$9=""),"",SUMIFS(对接源_01水果筐数!$D$5:$D$304,对接源_01水果筐数!$B$5:$B$304,$B52,对接源_01水果筐数!$C$5:$C$304,基础资料!$B$9))</f>
        <v/>
      </c>
      <c r="D52" s="25" t="str">
        <f>IF(OR($B52="",基础资料!$B$10=""),"",SUMIFS(对接源_01水果筐数!$D$5:$D$304,对接源_01水果筐数!$B$5:$B$304,$B52,对接源_01水果筐数!$C$5:$C$304,基础资料!$B$10))</f>
        <v/>
      </c>
      <c r="E52" s="25" t="str">
        <f>IF(OR($B52="",基础资料!$B$9=""),"",SUMIFS(客户自备加工筐明细!$F$4:$F$1203,客户自备加工筐明细!$E$4:$E$1203,$B52,客户自备加工筐明细!$C$4:$C$1203,基础资料!$B$9,客户自备加工筐明细!$B$4:$B$1203,"&gt;="&amp;$T$1,客户自备加工筐明细!$B$4:$B$1203,"&lt;="&amp;$T$2))</f>
        <v/>
      </c>
      <c r="F52" s="25" t="str">
        <f>IF(OR($B52="",基础资料!$B$10=""),"",SUMIFS(客户自备加工筐明细!$F$4:$F$1203,客户自备加工筐明细!$E$4:$E$1203,$B52,客户自备加工筐明细!$C$4:$C$1203,基础资料!$B$10,客户自备加工筐明细!$B$4:$B$1203,"&gt;="&amp;$T$1,客户自备加工筐明细!$B$4:$B$1203,"&lt;="&amp;$T$2))</f>
        <v/>
      </c>
      <c r="G52" s="67" t="str">
        <f>IF(OR($B52="",基础资料!$B$9=""),"",-SUMIFS(对接源_01水果筐数!$E$5:$E$304,对接源_01水果筐数!$B$5:$B$304,$B52,对接源_01水果筐数!$C$5:$C$304,基础资料!$B$9))</f>
        <v/>
      </c>
      <c r="H52" s="67" t="str">
        <f>IF(OR($B52="",基础资料!$B$10=""),"",-SUMIFS(对接源_01水果筐数!$E$5:$E$304,对接源_01水果筐数!$B$5:$B$304,$B52,对接源_01水果筐数!$C$5:$C$304,基础资料!$B$10))</f>
        <v/>
      </c>
      <c r="I52" s="67" t="str">
        <f>IF(OR($B52="",基础资料!$B$9=""),"",-SUMIFS(对接源_01水果筐数!$F$5:$F$304,对接源_01水果筐数!$B$5:$B$304,$B52,对接源_01水果筐数!$C$5:$C$304,基础资料!$B$9))</f>
        <v/>
      </c>
      <c r="J52" s="67" t="str">
        <f>IF(OR($B52="",基础资料!$B$10=""),"",-SUMIFS(对接源_01水果筐数!$F$5:$F$304,对接源_01水果筐数!$B$5:$B$304,$B52,对接源_01水果筐数!$C$5:$C$304,基础资料!$B$10))</f>
        <v/>
      </c>
      <c r="K52" s="67" t="str">
        <f>IF(OR($B52="",基础资料!$B$9=""),"",-SUMIFS(客户自备加工筐明细!$G$4:$G$1203,客户自备加工筐明细!$E$4:$E$1203,$B52,客户自备加工筐明细!$C$4:$C$1203,基础资料!$B$9,客户自备加工筐明细!$B$4:$B$1203,"&gt;="&amp;$T$1,客户自备加工筐明细!$B$4:$B$1203,"&lt;="&amp;$T$2))</f>
        <v/>
      </c>
      <c r="L52" s="67" t="str">
        <f>IF(OR($B52="",基础资料!$B$10=""),"",-SUMIFS(客户自备加工筐明细!$G$4:$G$1203,客户自备加工筐明细!$E$4:$E$1203,$B52,客户自备加工筐明细!$C$4:$C$1203,基础资料!$B$10,客户自备加工筐明细!$B$4:$B$1203,"&gt;="&amp;$T$1,客户自备加工筐明细!$B$4:$B$1203,"&lt;="&amp;$T$2))</f>
        <v/>
      </c>
      <c r="M52" s="25" t="str">
        <f t="shared" si="1"/>
        <v/>
      </c>
      <c r="N52" s="25" t="str">
        <f t="shared" si="2"/>
        <v/>
      </c>
      <c r="O52" s="25" t="str">
        <f t="shared" si="3"/>
        <v/>
      </c>
      <c r="P52" s="37" t="str">
        <f t="shared" si="4"/>
        <v/>
      </c>
      <c r="Q52" s="27"/>
    </row>
    <row r="53" spans="1:17">
      <c r="A53" s="22" t="str">
        <f t="shared" si="0"/>
        <v/>
      </c>
      <c r="B53" s="37" t="str">
        <f>IFERROR(INDEX(_自动清单!$AM$4:$AM$203,ROW()-3),"")</f>
        <v/>
      </c>
      <c r="C53" s="25" t="str">
        <f>IF(OR($B53="",基础资料!$B$9=""),"",SUMIFS(对接源_01水果筐数!$D$5:$D$304,对接源_01水果筐数!$B$5:$B$304,$B53,对接源_01水果筐数!$C$5:$C$304,基础资料!$B$9))</f>
        <v/>
      </c>
      <c r="D53" s="25" t="str">
        <f>IF(OR($B53="",基础资料!$B$10=""),"",SUMIFS(对接源_01水果筐数!$D$5:$D$304,对接源_01水果筐数!$B$5:$B$304,$B53,对接源_01水果筐数!$C$5:$C$304,基础资料!$B$10))</f>
        <v/>
      </c>
      <c r="E53" s="25" t="str">
        <f>IF(OR($B53="",基础资料!$B$9=""),"",SUMIFS(客户自备加工筐明细!$F$4:$F$1203,客户自备加工筐明细!$E$4:$E$1203,$B53,客户自备加工筐明细!$C$4:$C$1203,基础资料!$B$9,客户自备加工筐明细!$B$4:$B$1203,"&gt;="&amp;$T$1,客户自备加工筐明细!$B$4:$B$1203,"&lt;="&amp;$T$2))</f>
        <v/>
      </c>
      <c r="F53" s="25" t="str">
        <f>IF(OR($B53="",基础资料!$B$10=""),"",SUMIFS(客户自备加工筐明细!$F$4:$F$1203,客户自备加工筐明细!$E$4:$E$1203,$B53,客户自备加工筐明细!$C$4:$C$1203,基础资料!$B$10,客户自备加工筐明细!$B$4:$B$1203,"&gt;="&amp;$T$1,客户自备加工筐明细!$B$4:$B$1203,"&lt;="&amp;$T$2))</f>
        <v/>
      </c>
      <c r="G53" s="67" t="str">
        <f>IF(OR($B53="",基础资料!$B$9=""),"",-SUMIFS(对接源_01水果筐数!$E$5:$E$304,对接源_01水果筐数!$B$5:$B$304,$B53,对接源_01水果筐数!$C$5:$C$304,基础资料!$B$9))</f>
        <v/>
      </c>
      <c r="H53" s="67" t="str">
        <f>IF(OR($B53="",基础资料!$B$10=""),"",-SUMIFS(对接源_01水果筐数!$E$5:$E$304,对接源_01水果筐数!$B$5:$B$304,$B53,对接源_01水果筐数!$C$5:$C$304,基础资料!$B$10))</f>
        <v/>
      </c>
      <c r="I53" s="67" t="str">
        <f>IF(OR($B53="",基础资料!$B$9=""),"",-SUMIFS(对接源_01水果筐数!$F$5:$F$304,对接源_01水果筐数!$B$5:$B$304,$B53,对接源_01水果筐数!$C$5:$C$304,基础资料!$B$9))</f>
        <v/>
      </c>
      <c r="J53" s="67" t="str">
        <f>IF(OR($B53="",基础资料!$B$10=""),"",-SUMIFS(对接源_01水果筐数!$F$5:$F$304,对接源_01水果筐数!$B$5:$B$304,$B53,对接源_01水果筐数!$C$5:$C$304,基础资料!$B$10))</f>
        <v/>
      </c>
      <c r="K53" s="67" t="str">
        <f>IF(OR($B53="",基础资料!$B$9=""),"",-SUMIFS(客户自备加工筐明细!$G$4:$G$1203,客户自备加工筐明细!$E$4:$E$1203,$B53,客户自备加工筐明细!$C$4:$C$1203,基础资料!$B$9,客户自备加工筐明细!$B$4:$B$1203,"&gt;="&amp;$T$1,客户自备加工筐明细!$B$4:$B$1203,"&lt;="&amp;$T$2))</f>
        <v/>
      </c>
      <c r="L53" s="67" t="str">
        <f>IF(OR($B53="",基础资料!$B$10=""),"",-SUMIFS(客户自备加工筐明细!$G$4:$G$1203,客户自备加工筐明细!$E$4:$E$1203,$B53,客户自备加工筐明细!$C$4:$C$1203,基础资料!$B$10,客户自备加工筐明细!$B$4:$B$1203,"&gt;="&amp;$T$1,客户自备加工筐明细!$B$4:$B$1203,"&lt;="&amp;$T$2))</f>
        <v/>
      </c>
      <c r="M53" s="25" t="str">
        <f t="shared" si="1"/>
        <v/>
      </c>
      <c r="N53" s="25" t="str">
        <f t="shared" si="2"/>
        <v/>
      </c>
      <c r="O53" s="25" t="str">
        <f t="shared" si="3"/>
        <v/>
      </c>
      <c r="P53" s="37" t="str">
        <f t="shared" si="4"/>
        <v/>
      </c>
      <c r="Q53" s="27"/>
    </row>
    <row r="54" spans="1:17">
      <c r="A54" s="22" t="str">
        <f t="shared" si="0"/>
        <v/>
      </c>
      <c r="B54" s="37" t="str">
        <f>IFERROR(INDEX(_自动清单!$AM$4:$AM$203,ROW()-3),"")</f>
        <v/>
      </c>
      <c r="C54" s="25" t="str">
        <f>IF(OR($B54="",基础资料!$B$9=""),"",SUMIFS(对接源_01水果筐数!$D$5:$D$304,对接源_01水果筐数!$B$5:$B$304,$B54,对接源_01水果筐数!$C$5:$C$304,基础资料!$B$9))</f>
        <v/>
      </c>
      <c r="D54" s="25" t="str">
        <f>IF(OR($B54="",基础资料!$B$10=""),"",SUMIFS(对接源_01水果筐数!$D$5:$D$304,对接源_01水果筐数!$B$5:$B$304,$B54,对接源_01水果筐数!$C$5:$C$304,基础资料!$B$10))</f>
        <v/>
      </c>
      <c r="E54" s="25" t="str">
        <f>IF(OR($B54="",基础资料!$B$9=""),"",SUMIFS(客户自备加工筐明细!$F$4:$F$1203,客户自备加工筐明细!$E$4:$E$1203,$B54,客户自备加工筐明细!$C$4:$C$1203,基础资料!$B$9,客户自备加工筐明细!$B$4:$B$1203,"&gt;="&amp;$T$1,客户自备加工筐明细!$B$4:$B$1203,"&lt;="&amp;$T$2))</f>
        <v/>
      </c>
      <c r="F54" s="25" t="str">
        <f>IF(OR($B54="",基础资料!$B$10=""),"",SUMIFS(客户自备加工筐明细!$F$4:$F$1203,客户自备加工筐明细!$E$4:$E$1203,$B54,客户自备加工筐明细!$C$4:$C$1203,基础资料!$B$10,客户自备加工筐明细!$B$4:$B$1203,"&gt;="&amp;$T$1,客户自备加工筐明细!$B$4:$B$1203,"&lt;="&amp;$T$2))</f>
        <v/>
      </c>
      <c r="G54" s="67" t="str">
        <f>IF(OR($B54="",基础资料!$B$9=""),"",-SUMIFS(对接源_01水果筐数!$E$5:$E$304,对接源_01水果筐数!$B$5:$B$304,$B54,对接源_01水果筐数!$C$5:$C$304,基础资料!$B$9))</f>
        <v/>
      </c>
      <c r="H54" s="67" t="str">
        <f>IF(OR($B54="",基础资料!$B$10=""),"",-SUMIFS(对接源_01水果筐数!$E$5:$E$304,对接源_01水果筐数!$B$5:$B$304,$B54,对接源_01水果筐数!$C$5:$C$304,基础资料!$B$10))</f>
        <v/>
      </c>
      <c r="I54" s="67" t="str">
        <f>IF(OR($B54="",基础资料!$B$9=""),"",-SUMIFS(对接源_01水果筐数!$F$5:$F$304,对接源_01水果筐数!$B$5:$B$304,$B54,对接源_01水果筐数!$C$5:$C$304,基础资料!$B$9))</f>
        <v/>
      </c>
      <c r="J54" s="67" t="str">
        <f>IF(OR($B54="",基础资料!$B$10=""),"",-SUMIFS(对接源_01水果筐数!$F$5:$F$304,对接源_01水果筐数!$B$5:$B$304,$B54,对接源_01水果筐数!$C$5:$C$304,基础资料!$B$10))</f>
        <v/>
      </c>
      <c r="K54" s="67" t="str">
        <f>IF(OR($B54="",基础资料!$B$9=""),"",-SUMIFS(客户自备加工筐明细!$G$4:$G$1203,客户自备加工筐明细!$E$4:$E$1203,$B54,客户自备加工筐明细!$C$4:$C$1203,基础资料!$B$9,客户自备加工筐明细!$B$4:$B$1203,"&gt;="&amp;$T$1,客户自备加工筐明细!$B$4:$B$1203,"&lt;="&amp;$T$2))</f>
        <v/>
      </c>
      <c r="L54" s="67" t="str">
        <f>IF(OR($B54="",基础资料!$B$10=""),"",-SUMIFS(客户自备加工筐明细!$G$4:$G$1203,客户自备加工筐明细!$E$4:$E$1203,$B54,客户自备加工筐明细!$C$4:$C$1203,基础资料!$B$10,客户自备加工筐明细!$B$4:$B$1203,"&gt;="&amp;$T$1,客户自备加工筐明细!$B$4:$B$1203,"&lt;="&amp;$T$2))</f>
        <v/>
      </c>
      <c r="M54" s="25" t="str">
        <f t="shared" si="1"/>
        <v/>
      </c>
      <c r="N54" s="25" t="str">
        <f t="shared" si="2"/>
        <v/>
      </c>
      <c r="O54" s="25" t="str">
        <f t="shared" si="3"/>
        <v/>
      </c>
      <c r="P54" s="37" t="str">
        <f t="shared" si="4"/>
        <v/>
      </c>
      <c r="Q54" s="27"/>
    </row>
    <row r="55" spans="1:17">
      <c r="A55" s="22" t="str">
        <f t="shared" si="0"/>
        <v/>
      </c>
      <c r="B55" s="37" t="str">
        <f>IFERROR(INDEX(_自动清单!$AM$4:$AM$203,ROW()-3),"")</f>
        <v/>
      </c>
      <c r="C55" s="25" t="str">
        <f>IF(OR($B55="",基础资料!$B$9=""),"",SUMIFS(对接源_01水果筐数!$D$5:$D$304,对接源_01水果筐数!$B$5:$B$304,$B55,对接源_01水果筐数!$C$5:$C$304,基础资料!$B$9))</f>
        <v/>
      </c>
      <c r="D55" s="25" t="str">
        <f>IF(OR($B55="",基础资料!$B$10=""),"",SUMIFS(对接源_01水果筐数!$D$5:$D$304,对接源_01水果筐数!$B$5:$B$304,$B55,对接源_01水果筐数!$C$5:$C$304,基础资料!$B$10))</f>
        <v/>
      </c>
      <c r="E55" s="25" t="str">
        <f>IF(OR($B55="",基础资料!$B$9=""),"",SUMIFS(客户自备加工筐明细!$F$4:$F$1203,客户自备加工筐明细!$E$4:$E$1203,$B55,客户自备加工筐明细!$C$4:$C$1203,基础资料!$B$9,客户自备加工筐明细!$B$4:$B$1203,"&gt;="&amp;$T$1,客户自备加工筐明细!$B$4:$B$1203,"&lt;="&amp;$T$2))</f>
        <v/>
      </c>
      <c r="F55" s="25" t="str">
        <f>IF(OR($B55="",基础资料!$B$10=""),"",SUMIFS(客户自备加工筐明细!$F$4:$F$1203,客户自备加工筐明细!$E$4:$E$1203,$B55,客户自备加工筐明细!$C$4:$C$1203,基础资料!$B$10,客户自备加工筐明细!$B$4:$B$1203,"&gt;="&amp;$T$1,客户自备加工筐明细!$B$4:$B$1203,"&lt;="&amp;$T$2))</f>
        <v/>
      </c>
      <c r="G55" s="67" t="str">
        <f>IF(OR($B55="",基础资料!$B$9=""),"",-SUMIFS(对接源_01水果筐数!$E$5:$E$304,对接源_01水果筐数!$B$5:$B$304,$B55,对接源_01水果筐数!$C$5:$C$304,基础资料!$B$9))</f>
        <v/>
      </c>
      <c r="H55" s="67" t="str">
        <f>IF(OR($B55="",基础资料!$B$10=""),"",-SUMIFS(对接源_01水果筐数!$E$5:$E$304,对接源_01水果筐数!$B$5:$B$304,$B55,对接源_01水果筐数!$C$5:$C$304,基础资料!$B$10))</f>
        <v/>
      </c>
      <c r="I55" s="67" t="str">
        <f>IF(OR($B55="",基础资料!$B$9=""),"",-SUMIFS(对接源_01水果筐数!$F$5:$F$304,对接源_01水果筐数!$B$5:$B$304,$B55,对接源_01水果筐数!$C$5:$C$304,基础资料!$B$9))</f>
        <v/>
      </c>
      <c r="J55" s="67" t="str">
        <f>IF(OR($B55="",基础资料!$B$10=""),"",-SUMIFS(对接源_01水果筐数!$F$5:$F$304,对接源_01水果筐数!$B$5:$B$304,$B55,对接源_01水果筐数!$C$5:$C$304,基础资料!$B$10))</f>
        <v/>
      </c>
      <c r="K55" s="67" t="str">
        <f>IF(OR($B55="",基础资料!$B$9=""),"",-SUMIFS(客户自备加工筐明细!$G$4:$G$1203,客户自备加工筐明细!$E$4:$E$1203,$B55,客户自备加工筐明细!$C$4:$C$1203,基础资料!$B$9,客户自备加工筐明细!$B$4:$B$1203,"&gt;="&amp;$T$1,客户自备加工筐明细!$B$4:$B$1203,"&lt;="&amp;$T$2))</f>
        <v/>
      </c>
      <c r="L55" s="67" t="str">
        <f>IF(OR($B55="",基础资料!$B$10=""),"",-SUMIFS(客户自备加工筐明细!$G$4:$G$1203,客户自备加工筐明细!$E$4:$E$1203,$B55,客户自备加工筐明细!$C$4:$C$1203,基础资料!$B$10,客户自备加工筐明细!$B$4:$B$1203,"&gt;="&amp;$T$1,客户自备加工筐明细!$B$4:$B$1203,"&lt;="&amp;$T$2))</f>
        <v/>
      </c>
      <c r="M55" s="25" t="str">
        <f t="shared" si="1"/>
        <v/>
      </c>
      <c r="N55" s="25" t="str">
        <f t="shared" si="2"/>
        <v/>
      </c>
      <c r="O55" s="25" t="str">
        <f t="shared" si="3"/>
        <v/>
      </c>
      <c r="P55" s="37" t="str">
        <f t="shared" si="4"/>
        <v/>
      </c>
      <c r="Q55" s="27"/>
    </row>
    <row r="56" spans="1:17">
      <c r="A56" s="22" t="str">
        <f t="shared" si="0"/>
        <v/>
      </c>
      <c r="B56" s="37" t="str">
        <f>IFERROR(INDEX(_自动清单!$AM$4:$AM$203,ROW()-3),"")</f>
        <v/>
      </c>
      <c r="C56" s="25" t="str">
        <f>IF(OR($B56="",基础资料!$B$9=""),"",SUMIFS(对接源_01水果筐数!$D$5:$D$304,对接源_01水果筐数!$B$5:$B$304,$B56,对接源_01水果筐数!$C$5:$C$304,基础资料!$B$9))</f>
        <v/>
      </c>
      <c r="D56" s="25" t="str">
        <f>IF(OR($B56="",基础资料!$B$10=""),"",SUMIFS(对接源_01水果筐数!$D$5:$D$304,对接源_01水果筐数!$B$5:$B$304,$B56,对接源_01水果筐数!$C$5:$C$304,基础资料!$B$10))</f>
        <v/>
      </c>
      <c r="E56" s="25" t="str">
        <f>IF(OR($B56="",基础资料!$B$9=""),"",SUMIFS(客户自备加工筐明细!$F$4:$F$1203,客户自备加工筐明细!$E$4:$E$1203,$B56,客户自备加工筐明细!$C$4:$C$1203,基础资料!$B$9,客户自备加工筐明细!$B$4:$B$1203,"&gt;="&amp;$T$1,客户自备加工筐明细!$B$4:$B$1203,"&lt;="&amp;$T$2))</f>
        <v/>
      </c>
      <c r="F56" s="25" t="str">
        <f>IF(OR($B56="",基础资料!$B$10=""),"",SUMIFS(客户自备加工筐明细!$F$4:$F$1203,客户自备加工筐明细!$E$4:$E$1203,$B56,客户自备加工筐明细!$C$4:$C$1203,基础资料!$B$10,客户自备加工筐明细!$B$4:$B$1203,"&gt;="&amp;$T$1,客户自备加工筐明细!$B$4:$B$1203,"&lt;="&amp;$T$2))</f>
        <v/>
      </c>
      <c r="G56" s="67" t="str">
        <f>IF(OR($B56="",基础资料!$B$9=""),"",-SUMIFS(对接源_01水果筐数!$E$5:$E$304,对接源_01水果筐数!$B$5:$B$304,$B56,对接源_01水果筐数!$C$5:$C$304,基础资料!$B$9))</f>
        <v/>
      </c>
      <c r="H56" s="67" t="str">
        <f>IF(OR($B56="",基础资料!$B$10=""),"",-SUMIFS(对接源_01水果筐数!$E$5:$E$304,对接源_01水果筐数!$B$5:$B$304,$B56,对接源_01水果筐数!$C$5:$C$304,基础资料!$B$10))</f>
        <v/>
      </c>
      <c r="I56" s="67" t="str">
        <f>IF(OR($B56="",基础资料!$B$9=""),"",-SUMIFS(对接源_01水果筐数!$F$5:$F$304,对接源_01水果筐数!$B$5:$B$304,$B56,对接源_01水果筐数!$C$5:$C$304,基础资料!$B$9))</f>
        <v/>
      </c>
      <c r="J56" s="67" t="str">
        <f>IF(OR($B56="",基础资料!$B$10=""),"",-SUMIFS(对接源_01水果筐数!$F$5:$F$304,对接源_01水果筐数!$B$5:$B$304,$B56,对接源_01水果筐数!$C$5:$C$304,基础资料!$B$10))</f>
        <v/>
      </c>
      <c r="K56" s="67" t="str">
        <f>IF(OR($B56="",基础资料!$B$9=""),"",-SUMIFS(客户自备加工筐明细!$G$4:$G$1203,客户自备加工筐明细!$E$4:$E$1203,$B56,客户自备加工筐明细!$C$4:$C$1203,基础资料!$B$9,客户自备加工筐明细!$B$4:$B$1203,"&gt;="&amp;$T$1,客户自备加工筐明细!$B$4:$B$1203,"&lt;="&amp;$T$2))</f>
        <v/>
      </c>
      <c r="L56" s="67" t="str">
        <f>IF(OR($B56="",基础资料!$B$10=""),"",-SUMIFS(客户自备加工筐明细!$G$4:$G$1203,客户自备加工筐明细!$E$4:$E$1203,$B56,客户自备加工筐明细!$C$4:$C$1203,基础资料!$B$10,客户自备加工筐明细!$B$4:$B$1203,"&gt;="&amp;$T$1,客户自备加工筐明细!$B$4:$B$1203,"&lt;="&amp;$T$2))</f>
        <v/>
      </c>
      <c r="M56" s="25" t="str">
        <f t="shared" si="1"/>
        <v/>
      </c>
      <c r="N56" s="25" t="str">
        <f t="shared" si="2"/>
        <v/>
      </c>
      <c r="O56" s="25" t="str">
        <f t="shared" si="3"/>
        <v/>
      </c>
      <c r="P56" s="37" t="str">
        <f t="shared" si="4"/>
        <v/>
      </c>
      <c r="Q56" s="27"/>
    </row>
    <row r="57" spans="1:17">
      <c r="A57" s="22" t="str">
        <f t="shared" si="0"/>
        <v/>
      </c>
      <c r="B57" s="37" t="str">
        <f>IFERROR(INDEX(_自动清单!$AM$4:$AM$203,ROW()-3),"")</f>
        <v/>
      </c>
      <c r="C57" s="25" t="str">
        <f>IF(OR($B57="",基础资料!$B$9=""),"",SUMIFS(对接源_01水果筐数!$D$5:$D$304,对接源_01水果筐数!$B$5:$B$304,$B57,对接源_01水果筐数!$C$5:$C$304,基础资料!$B$9))</f>
        <v/>
      </c>
      <c r="D57" s="25" t="str">
        <f>IF(OR($B57="",基础资料!$B$10=""),"",SUMIFS(对接源_01水果筐数!$D$5:$D$304,对接源_01水果筐数!$B$5:$B$304,$B57,对接源_01水果筐数!$C$5:$C$304,基础资料!$B$10))</f>
        <v/>
      </c>
      <c r="E57" s="25" t="str">
        <f>IF(OR($B57="",基础资料!$B$9=""),"",SUMIFS(客户自备加工筐明细!$F$4:$F$1203,客户自备加工筐明细!$E$4:$E$1203,$B57,客户自备加工筐明细!$C$4:$C$1203,基础资料!$B$9,客户自备加工筐明细!$B$4:$B$1203,"&gt;="&amp;$T$1,客户自备加工筐明细!$B$4:$B$1203,"&lt;="&amp;$T$2))</f>
        <v/>
      </c>
      <c r="F57" s="25" t="str">
        <f>IF(OR($B57="",基础资料!$B$10=""),"",SUMIFS(客户自备加工筐明细!$F$4:$F$1203,客户自备加工筐明细!$E$4:$E$1203,$B57,客户自备加工筐明细!$C$4:$C$1203,基础资料!$B$10,客户自备加工筐明细!$B$4:$B$1203,"&gt;="&amp;$T$1,客户自备加工筐明细!$B$4:$B$1203,"&lt;="&amp;$T$2))</f>
        <v/>
      </c>
      <c r="G57" s="67" t="str">
        <f>IF(OR($B57="",基础资料!$B$9=""),"",-SUMIFS(对接源_01水果筐数!$E$5:$E$304,对接源_01水果筐数!$B$5:$B$304,$B57,对接源_01水果筐数!$C$5:$C$304,基础资料!$B$9))</f>
        <v/>
      </c>
      <c r="H57" s="67" t="str">
        <f>IF(OR($B57="",基础资料!$B$10=""),"",-SUMIFS(对接源_01水果筐数!$E$5:$E$304,对接源_01水果筐数!$B$5:$B$304,$B57,对接源_01水果筐数!$C$5:$C$304,基础资料!$B$10))</f>
        <v/>
      </c>
      <c r="I57" s="67" t="str">
        <f>IF(OR($B57="",基础资料!$B$9=""),"",-SUMIFS(对接源_01水果筐数!$F$5:$F$304,对接源_01水果筐数!$B$5:$B$304,$B57,对接源_01水果筐数!$C$5:$C$304,基础资料!$B$9))</f>
        <v/>
      </c>
      <c r="J57" s="67" t="str">
        <f>IF(OR($B57="",基础资料!$B$10=""),"",-SUMIFS(对接源_01水果筐数!$F$5:$F$304,对接源_01水果筐数!$B$5:$B$304,$B57,对接源_01水果筐数!$C$5:$C$304,基础资料!$B$10))</f>
        <v/>
      </c>
      <c r="K57" s="67" t="str">
        <f>IF(OR($B57="",基础资料!$B$9=""),"",-SUMIFS(客户自备加工筐明细!$G$4:$G$1203,客户自备加工筐明细!$E$4:$E$1203,$B57,客户自备加工筐明细!$C$4:$C$1203,基础资料!$B$9,客户自备加工筐明细!$B$4:$B$1203,"&gt;="&amp;$T$1,客户自备加工筐明细!$B$4:$B$1203,"&lt;="&amp;$T$2))</f>
        <v/>
      </c>
      <c r="L57" s="67" t="str">
        <f>IF(OR($B57="",基础资料!$B$10=""),"",-SUMIFS(客户自备加工筐明细!$G$4:$G$1203,客户自备加工筐明细!$E$4:$E$1203,$B57,客户自备加工筐明细!$C$4:$C$1203,基础资料!$B$10,客户自备加工筐明细!$B$4:$B$1203,"&gt;="&amp;$T$1,客户自备加工筐明细!$B$4:$B$1203,"&lt;="&amp;$T$2))</f>
        <v/>
      </c>
      <c r="M57" s="25" t="str">
        <f t="shared" si="1"/>
        <v/>
      </c>
      <c r="N57" s="25" t="str">
        <f t="shared" si="2"/>
        <v/>
      </c>
      <c r="O57" s="25" t="str">
        <f t="shared" si="3"/>
        <v/>
      </c>
      <c r="P57" s="37" t="str">
        <f t="shared" si="4"/>
        <v/>
      </c>
      <c r="Q57" s="27"/>
    </row>
    <row r="58" spans="1:17">
      <c r="A58" s="22" t="str">
        <f t="shared" si="0"/>
        <v/>
      </c>
      <c r="B58" s="37" t="str">
        <f>IFERROR(INDEX(_自动清单!$AM$4:$AM$203,ROW()-3),"")</f>
        <v/>
      </c>
      <c r="C58" s="25" t="str">
        <f>IF(OR($B58="",基础资料!$B$9=""),"",SUMIFS(对接源_01水果筐数!$D$5:$D$304,对接源_01水果筐数!$B$5:$B$304,$B58,对接源_01水果筐数!$C$5:$C$304,基础资料!$B$9))</f>
        <v/>
      </c>
      <c r="D58" s="25" t="str">
        <f>IF(OR($B58="",基础资料!$B$10=""),"",SUMIFS(对接源_01水果筐数!$D$5:$D$304,对接源_01水果筐数!$B$5:$B$304,$B58,对接源_01水果筐数!$C$5:$C$304,基础资料!$B$10))</f>
        <v/>
      </c>
      <c r="E58" s="25" t="str">
        <f>IF(OR($B58="",基础资料!$B$9=""),"",SUMIFS(客户自备加工筐明细!$F$4:$F$1203,客户自备加工筐明细!$E$4:$E$1203,$B58,客户自备加工筐明细!$C$4:$C$1203,基础资料!$B$9,客户自备加工筐明细!$B$4:$B$1203,"&gt;="&amp;$T$1,客户自备加工筐明细!$B$4:$B$1203,"&lt;="&amp;$T$2))</f>
        <v/>
      </c>
      <c r="F58" s="25" t="str">
        <f>IF(OR($B58="",基础资料!$B$10=""),"",SUMIFS(客户自备加工筐明细!$F$4:$F$1203,客户自备加工筐明细!$E$4:$E$1203,$B58,客户自备加工筐明细!$C$4:$C$1203,基础资料!$B$10,客户自备加工筐明细!$B$4:$B$1203,"&gt;="&amp;$T$1,客户自备加工筐明细!$B$4:$B$1203,"&lt;="&amp;$T$2))</f>
        <v/>
      </c>
      <c r="G58" s="67" t="str">
        <f>IF(OR($B58="",基础资料!$B$9=""),"",-SUMIFS(对接源_01水果筐数!$E$5:$E$304,对接源_01水果筐数!$B$5:$B$304,$B58,对接源_01水果筐数!$C$5:$C$304,基础资料!$B$9))</f>
        <v/>
      </c>
      <c r="H58" s="67" t="str">
        <f>IF(OR($B58="",基础资料!$B$10=""),"",-SUMIFS(对接源_01水果筐数!$E$5:$E$304,对接源_01水果筐数!$B$5:$B$304,$B58,对接源_01水果筐数!$C$5:$C$304,基础资料!$B$10))</f>
        <v/>
      </c>
      <c r="I58" s="67" t="str">
        <f>IF(OR($B58="",基础资料!$B$9=""),"",-SUMIFS(对接源_01水果筐数!$F$5:$F$304,对接源_01水果筐数!$B$5:$B$304,$B58,对接源_01水果筐数!$C$5:$C$304,基础资料!$B$9))</f>
        <v/>
      </c>
      <c r="J58" s="67" t="str">
        <f>IF(OR($B58="",基础资料!$B$10=""),"",-SUMIFS(对接源_01水果筐数!$F$5:$F$304,对接源_01水果筐数!$B$5:$B$304,$B58,对接源_01水果筐数!$C$5:$C$304,基础资料!$B$10))</f>
        <v/>
      </c>
      <c r="K58" s="67" t="str">
        <f>IF(OR($B58="",基础资料!$B$9=""),"",-SUMIFS(客户自备加工筐明细!$G$4:$G$1203,客户自备加工筐明细!$E$4:$E$1203,$B58,客户自备加工筐明细!$C$4:$C$1203,基础资料!$B$9,客户自备加工筐明细!$B$4:$B$1203,"&gt;="&amp;$T$1,客户自备加工筐明细!$B$4:$B$1203,"&lt;="&amp;$T$2))</f>
        <v/>
      </c>
      <c r="L58" s="67" t="str">
        <f>IF(OR($B58="",基础资料!$B$10=""),"",-SUMIFS(客户自备加工筐明细!$G$4:$G$1203,客户自备加工筐明细!$E$4:$E$1203,$B58,客户自备加工筐明细!$C$4:$C$1203,基础资料!$B$10,客户自备加工筐明细!$B$4:$B$1203,"&gt;="&amp;$T$1,客户自备加工筐明细!$B$4:$B$1203,"&lt;="&amp;$T$2))</f>
        <v/>
      </c>
      <c r="M58" s="25" t="str">
        <f t="shared" si="1"/>
        <v/>
      </c>
      <c r="N58" s="25" t="str">
        <f t="shared" si="2"/>
        <v/>
      </c>
      <c r="O58" s="25" t="str">
        <f t="shared" si="3"/>
        <v/>
      </c>
      <c r="P58" s="37" t="str">
        <f t="shared" si="4"/>
        <v/>
      </c>
      <c r="Q58" s="27"/>
    </row>
    <row r="59" spans="1:17">
      <c r="A59" s="22" t="str">
        <f t="shared" si="0"/>
        <v/>
      </c>
      <c r="B59" s="37" t="str">
        <f>IFERROR(INDEX(_自动清单!$AM$4:$AM$203,ROW()-3),"")</f>
        <v/>
      </c>
      <c r="C59" s="25" t="str">
        <f>IF(OR($B59="",基础资料!$B$9=""),"",SUMIFS(对接源_01水果筐数!$D$5:$D$304,对接源_01水果筐数!$B$5:$B$304,$B59,对接源_01水果筐数!$C$5:$C$304,基础资料!$B$9))</f>
        <v/>
      </c>
      <c r="D59" s="25" t="str">
        <f>IF(OR($B59="",基础资料!$B$10=""),"",SUMIFS(对接源_01水果筐数!$D$5:$D$304,对接源_01水果筐数!$B$5:$B$304,$B59,对接源_01水果筐数!$C$5:$C$304,基础资料!$B$10))</f>
        <v/>
      </c>
      <c r="E59" s="25" t="str">
        <f>IF(OR($B59="",基础资料!$B$9=""),"",SUMIFS(客户自备加工筐明细!$F$4:$F$1203,客户自备加工筐明细!$E$4:$E$1203,$B59,客户自备加工筐明细!$C$4:$C$1203,基础资料!$B$9,客户自备加工筐明细!$B$4:$B$1203,"&gt;="&amp;$T$1,客户自备加工筐明细!$B$4:$B$1203,"&lt;="&amp;$T$2))</f>
        <v/>
      </c>
      <c r="F59" s="25" t="str">
        <f>IF(OR($B59="",基础资料!$B$10=""),"",SUMIFS(客户自备加工筐明细!$F$4:$F$1203,客户自备加工筐明细!$E$4:$E$1203,$B59,客户自备加工筐明细!$C$4:$C$1203,基础资料!$B$10,客户自备加工筐明细!$B$4:$B$1203,"&gt;="&amp;$T$1,客户自备加工筐明细!$B$4:$B$1203,"&lt;="&amp;$T$2))</f>
        <v/>
      </c>
      <c r="G59" s="67" t="str">
        <f>IF(OR($B59="",基础资料!$B$9=""),"",-SUMIFS(对接源_01水果筐数!$E$5:$E$304,对接源_01水果筐数!$B$5:$B$304,$B59,对接源_01水果筐数!$C$5:$C$304,基础资料!$B$9))</f>
        <v/>
      </c>
      <c r="H59" s="67" t="str">
        <f>IF(OR($B59="",基础资料!$B$10=""),"",-SUMIFS(对接源_01水果筐数!$E$5:$E$304,对接源_01水果筐数!$B$5:$B$304,$B59,对接源_01水果筐数!$C$5:$C$304,基础资料!$B$10))</f>
        <v/>
      </c>
      <c r="I59" s="67" t="str">
        <f>IF(OR($B59="",基础资料!$B$9=""),"",-SUMIFS(对接源_01水果筐数!$F$5:$F$304,对接源_01水果筐数!$B$5:$B$304,$B59,对接源_01水果筐数!$C$5:$C$304,基础资料!$B$9))</f>
        <v/>
      </c>
      <c r="J59" s="67" t="str">
        <f>IF(OR($B59="",基础资料!$B$10=""),"",-SUMIFS(对接源_01水果筐数!$F$5:$F$304,对接源_01水果筐数!$B$5:$B$304,$B59,对接源_01水果筐数!$C$5:$C$304,基础资料!$B$10))</f>
        <v/>
      </c>
      <c r="K59" s="67" t="str">
        <f>IF(OR($B59="",基础资料!$B$9=""),"",-SUMIFS(客户自备加工筐明细!$G$4:$G$1203,客户自备加工筐明细!$E$4:$E$1203,$B59,客户自备加工筐明细!$C$4:$C$1203,基础资料!$B$9,客户自备加工筐明细!$B$4:$B$1203,"&gt;="&amp;$T$1,客户自备加工筐明细!$B$4:$B$1203,"&lt;="&amp;$T$2))</f>
        <v/>
      </c>
      <c r="L59" s="67" t="str">
        <f>IF(OR($B59="",基础资料!$B$10=""),"",-SUMIFS(客户自备加工筐明细!$G$4:$G$1203,客户自备加工筐明细!$E$4:$E$1203,$B59,客户自备加工筐明细!$C$4:$C$1203,基础资料!$B$10,客户自备加工筐明细!$B$4:$B$1203,"&gt;="&amp;$T$1,客户自备加工筐明细!$B$4:$B$1203,"&lt;="&amp;$T$2))</f>
        <v/>
      </c>
      <c r="M59" s="25" t="str">
        <f t="shared" si="1"/>
        <v/>
      </c>
      <c r="N59" s="25" t="str">
        <f t="shared" si="2"/>
        <v/>
      </c>
      <c r="O59" s="25" t="str">
        <f t="shared" si="3"/>
        <v/>
      </c>
      <c r="P59" s="37" t="str">
        <f t="shared" si="4"/>
        <v/>
      </c>
      <c r="Q59" s="27"/>
    </row>
    <row r="60" spans="1:17">
      <c r="A60" s="22" t="str">
        <f t="shared" si="0"/>
        <v/>
      </c>
      <c r="B60" s="37" t="str">
        <f>IFERROR(INDEX(_自动清单!$AM$4:$AM$203,ROW()-3),"")</f>
        <v/>
      </c>
      <c r="C60" s="25" t="str">
        <f>IF(OR($B60="",基础资料!$B$9=""),"",SUMIFS(对接源_01水果筐数!$D$5:$D$304,对接源_01水果筐数!$B$5:$B$304,$B60,对接源_01水果筐数!$C$5:$C$304,基础资料!$B$9))</f>
        <v/>
      </c>
      <c r="D60" s="25" t="str">
        <f>IF(OR($B60="",基础资料!$B$10=""),"",SUMIFS(对接源_01水果筐数!$D$5:$D$304,对接源_01水果筐数!$B$5:$B$304,$B60,对接源_01水果筐数!$C$5:$C$304,基础资料!$B$10))</f>
        <v/>
      </c>
      <c r="E60" s="25" t="str">
        <f>IF(OR($B60="",基础资料!$B$9=""),"",SUMIFS(客户自备加工筐明细!$F$4:$F$1203,客户自备加工筐明细!$E$4:$E$1203,$B60,客户自备加工筐明细!$C$4:$C$1203,基础资料!$B$9,客户自备加工筐明细!$B$4:$B$1203,"&gt;="&amp;$T$1,客户自备加工筐明细!$B$4:$B$1203,"&lt;="&amp;$T$2))</f>
        <v/>
      </c>
      <c r="F60" s="25" t="str">
        <f>IF(OR($B60="",基础资料!$B$10=""),"",SUMIFS(客户自备加工筐明细!$F$4:$F$1203,客户自备加工筐明细!$E$4:$E$1203,$B60,客户自备加工筐明细!$C$4:$C$1203,基础资料!$B$10,客户自备加工筐明细!$B$4:$B$1203,"&gt;="&amp;$T$1,客户自备加工筐明细!$B$4:$B$1203,"&lt;="&amp;$T$2))</f>
        <v/>
      </c>
      <c r="G60" s="67" t="str">
        <f>IF(OR($B60="",基础资料!$B$9=""),"",-SUMIFS(对接源_01水果筐数!$E$5:$E$304,对接源_01水果筐数!$B$5:$B$304,$B60,对接源_01水果筐数!$C$5:$C$304,基础资料!$B$9))</f>
        <v/>
      </c>
      <c r="H60" s="67" t="str">
        <f>IF(OR($B60="",基础资料!$B$10=""),"",-SUMIFS(对接源_01水果筐数!$E$5:$E$304,对接源_01水果筐数!$B$5:$B$304,$B60,对接源_01水果筐数!$C$5:$C$304,基础资料!$B$10))</f>
        <v/>
      </c>
      <c r="I60" s="67" t="str">
        <f>IF(OR($B60="",基础资料!$B$9=""),"",-SUMIFS(对接源_01水果筐数!$F$5:$F$304,对接源_01水果筐数!$B$5:$B$304,$B60,对接源_01水果筐数!$C$5:$C$304,基础资料!$B$9))</f>
        <v/>
      </c>
      <c r="J60" s="67" t="str">
        <f>IF(OR($B60="",基础资料!$B$10=""),"",-SUMIFS(对接源_01水果筐数!$F$5:$F$304,对接源_01水果筐数!$B$5:$B$304,$B60,对接源_01水果筐数!$C$5:$C$304,基础资料!$B$10))</f>
        <v/>
      </c>
      <c r="K60" s="67" t="str">
        <f>IF(OR($B60="",基础资料!$B$9=""),"",-SUMIFS(客户自备加工筐明细!$G$4:$G$1203,客户自备加工筐明细!$E$4:$E$1203,$B60,客户自备加工筐明细!$C$4:$C$1203,基础资料!$B$9,客户自备加工筐明细!$B$4:$B$1203,"&gt;="&amp;$T$1,客户自备加工筐明细!$B$4:$B$1203,"&lt;="&amp;$T$2))</f>
        <v/>
      </c>
      <c r="L60" s="67" t="str">
        <f>IF(OR($B60="",基础资料!$B$10=""),"",-SUMIFS(客户自备加工筐明细!$G$4:$G$1203,客户自备加工筐明细!$E$4:$E$1203,$B60,客户自备加工筐明细!$C$4:$C$1203,基础资料!$B$10,客户自备加工筐明细!$B$4:$B$1203,"&gt;="&amp;$T$1,客户自备加工筐明细!$B$4:$B$1203,"&lt;="&amp;$T$2))</f>
        <v/>
      </c>
      <c r="M60" s="25" t="str">
        <f t="shared" si="1"/>
        <v/>
      </c>
      <c r="N60" s="25" t="str">
        <f t="shared" si="2"/>
        <v/>
      </c>
      <c r="O60" s="25" t="str">
        <f t="shared" si="3"/>
        <v/>
      </c>
      <c r="P60" s="37" t="str">
        <f t="shared" si="4"/>
        <v/>
      </c>
      <c r="Q60" s="27"/>
    </row>
    <row r="61" spans="1:17">
      <c r="A61" s="22" t="str">
        <f t="shared" si="0"/>
        <v/>
      </c>
      <c r="B61" s="37" t="str">
        <f>IFERROR(INDEX(_自动清单!$AM$4:$AM$203,ROW()-3),"")</f>
        <v/>
      </c>
      <c r="C61" s="25" t="str">
        <f>IF(OR($B61="",基础资料!$B$9=""),"",SUMIFS(对接源_01水果筐数!$D$5:$D$304,对接源_01水果筐数!$B$5:$B$304,$B61,对接源_01水果筐数!$C$5:$C$304,基础资料!$B$9))</f>
        <v/>
      </c>
      <c r="D61" s="25" t="str">
        <f>IF(OR($B61="",基础资料!$B$10=""),"",SUMIFS(对接源_01水果筐数!$D$5:$D$304,对接源_01水果筐数!$B$5:$B$304,$B61,对接源_01水果筐数!$C$5:$C$304,基础资料!$B$10))</f>
        <v/>
      </c>
      <c r="E61" s="25" t="str">
        <f>IF(OR($B61="",基础资料!$B$9=""),"",SUMIFS(客户自备加工筐明细!$F$4:$F$1203,客户自备加工筐明细!$E$4:$E$1203,$B61,客户自备加工筐明细!$C$4:$C$1203,基础资料!$B$9,客户自备加工筐明细!$B$4:$B$1203,"&gt;="&amp;$T$1,客户自备加工筐明细!$B$4:$B$1203,"&lt;="&amp;$T$2))</f>
        <v/>
      </c>
      <c r="F61" s="25" t="str">
        <f>IF(OR($B61="",基础资料!$B$10=""),"",SUMIFS(客户自备加工筐明细!$F$4:$F$1203,客户自备加工筐明细!$E$4:$E$1203,$B61,客户自备加工筐明细!$C$4:$C$1203,基础资料!$B$10,客户自备加工筐明细!$B$4:$B$1203,"&gt;="&amp;$T$1,客户自备加工筐明细!$B$4:$B$1203,"&lt;="&amp;$T$2))</f>
        <v/>
      </c>
      <c r="G61" s="67" t="str">
        <f>IF(OR($B61="",基础资料!$B$9=""),"",-SUMIFS(对接源_01水果筐数!$E$5:$E$304,对接源_01水果筐数!$B$5:$B$304,$B61,对接源_01水果筐数!$C$5:$C$304,基础资料!$B$9))</f>
        <v/>
      </c>
      <c r="H61" s="67" t="str">
        <f>IF(OR($B61="",基础资料!$B$10=""),"",-SUMIFS(对接源_01水果筐数!$E$5:$E$304,对接源_01水果筐数!$B$5:$B$304,$B61,对接源_01水果筐数!$C$5:$C$304,基础资料!$B$10))</f>
        <v/>
      </c>
      <c r="I61" s="67" t="str">
        <f>IF(OR($B61="",基础资料!$B$9=""),"",-SUMIFS(对接源_01水果筐数!$F$5:$F$304,对接源_01水果筐数!$B$5:$B$304,$B61,对接源_01水果筐数!$C$5:$C$304,基础资料!$B$9))</f>
        <v/>
      </c>
      <c r="J61" s="67" t="str">
        <f>IF(OR($B61="",基础资料!$B$10=""),"",-SUMIFS(对接源_01水果筐数!$F$5:$F$304,对接源_01水果筐数!$B$5:$B$304,$B61,对接源_01水果筐数!$C$5:$C$304,基础资料!$B$10))</f>
        <v/>
      </c>
      <c r="K61" s="67" t="str">
        <f>IF(OR($B61="",基础资料!$B$9=""),"",-SUMIFS(客户自备加工筐明细!$G$4:$G$1203,客户自备加工筐明细!$E$4:$E$1203,$B61,客户自备加工筐明细!$C$4:$C$1203,基础资料!$B$9,客户自备加工筐明细!$B$4:$B$1203,"&gt;="&amp;$T$1,客户自备加工筐明细!$B$4:$B$1203,"&lt;="&amp;$T$2))</f>
        <v/>
      </c>
      <c r="L61" s="67" t="str">
        <f>IF(OR($B61="",基础资料!$B$10=""),"",-SUMIFS(客户自备加工筐明细!$G$4:$G$1203,客户自备加工筐明细!$E$4:$E$1203,$B61,客户自备加工筐明细!$C$4:$C$1203,基础资料!$B$10,客户自备加工筐明细!$B$4:$B$1203,"&gt;="&amp;$T$1,客户自备加工筐明细!$B$4:$B$1203,"&lt;="&amp;$T$2))</f>
        <v/>
      </c>
      <c r="M61" s="25" t="str">
        <f t="shared" si="1"/>
        <v/>
      </c>
      <c r="N61" s="25" t="str">
        <f t="shared" si="2"/>
        <v/>
      </c>
      <c r="O61" s="25" t="str">
        <f t="shared" si="3"/>
        <v/>
      </c>
      <c r="P61" s="37" t="str">
        <f t="shared" si="4"/>
        <v/>
      </c>
      <c r="Q61" s="27"/>
    </row>
    <row r="62" spans="1:17">
      <c r="A62" s="22" t="str">
        <f t="shared" si="0"/>
        <v/>
      </c>
      <c r="B62" s="37" t="str">
        <f>IFERROR(INDEX(_自动清单!$AM$4:$AM$203,ROW()-3),"")</f>
        <v/>
      </c>
      <c r="C62" s="25" t="str">
        <f>IF(OR($B62="",基础资料!$B$9=""),"",SUMIFS(对接源_01水果筐数!$D$5:$D$304,对接源_01水果筐数!$B$5:$B$304,$B62,对接源_01水果筐数!$C$5:$C$304,基础资料!$B$9))</f>
        <v/>
      </c>
      <c r="D62" s="25" t="str">
        <f>IF(OR($B62="",基础资料!$B$10=""),"",SUMIFS(对接源_01水果筐数!$D$5:$D$304,对接源_01水果筐数!$B$5:$B$304,$B62,对接源_01水果筐数!$C$5:$C$304,基础资料!$B$10))</f>
        <v/>
      </c>
      <c r="E62" s="25" t="str">
        <f>IF(OR($B62="",基础资料!$B$9=""),"",SUMIFS(客户自备加工筐明细!$F$4:$F$1203,客户自备加工筐明细!$E$4:$E$1203,$B62,客户自备加工筐明细!$C$4:$C$1203,基础资料!$B$9,客户自备加工筐明细!$B$4:$B$1203,"&gt;="&amp;$T$1,客户自备加工筐明细!$B$4:$B$1203,"&lt;="&amp;$T$2))</f>
        <v/>
      </c>
      <c r="F62" s="25" t="str">
        <f>IF(OR($B62="",基础资料!$B$10=""),"",SUMIFS(客户自备加工筐明细!$F$4:$F$1203,客户自备加工筐明细!$E$4:$E$1203,$B62,客户自备加工筐明细!$C$4:$C$1203,基础资料!$B$10,客户自备加工筐明细!$B$4:$B$1203,"&gt;="&amp;$T$1,客户自备加工筐明细!$B$4:$B$1203,"&lt;="&amp;$T$2))</f>
        <v/>
      </c>
      <c r="G62" s="67" t="str">
        <f>IF(OR($B62="",基础资料!$B$9=""),"",-SUMIFS(对接源_01水果筐数!$E$5:$E$304,对接源_01水果筐数!$B$5:$B$304,$B62,对接源_01水果筐数!$C$5:$C$304,基础资料!$B$9))</f>
        <v/>
      </c>
      <c r="H62" s="67" t="str">
        <f>IF(OR($B62="",基础资料!$B$10=""),"",-SUMIFS(对接源_01水果筐数!$E$5:$E$304,对接源_01水果筐数!$B$5:$B$304,$B62,对接源_01水果筐数!$C$5:$C$304,基础资料!$B$10))</f>
        <v/>
      </c>
      <c r="I62" s="67" t="str">
        <f>IF(OR($B62="",基础资料!$B$9=""),"",-SUMIFS(对接源_01水果筐数!$F$5:$F$304,对接源_01水果筐数!$B$5:$B$304,$B62,对接源_01水果筐数!$C$5:$C$304,基础资料!$B$9))</f>
        <v/>
      </c>
      <c r="J62" s="67" t="str">
        <f>IF(OR($B62="",基础资料!$B$10=""),"",-SUMIFS(对接源_01水果筐数!$F$5:$F$304,对接源_01水果筐数!$B$5:$B$304,$B62,对接源_01水果筐数!$C$5:$C$304,基础资料!$B$10))</f>
        <v/>
      </c>
      <c r="K62" s="67" t="str">
        <f>IF(OR($B62="",基础资料!$B$9=""),"",-SUMIFS(客户自备加工筐明细!$G$4:$G$1203,客户自备加工筐明细!$E$4:$E$1203,$B62,客户自备加工筐明细!$C$4:$C$1203,基础资料!$B$9,客户自备加工筐明细!$B$4:$B$1203,"&gt;="&amp;$T$1,客户自备加工筐明细!$B$4:$B$1203,"&lt;="&amp;$T$2))</f>
        <v/>
      </c>
      <c r="L62" s="67" t="str">
        <f>IF(OR($B62="",基础资料!$B$10=""),"",-SUMIFS(客户自备加工筐明细!$G$4:$G$1203,客户自备加工筐明细!$E$4:$E$1203,$B62,客户自备加工筐明细!$C$4:$C$1203,基础资料!$B$10,客户自备加工筐明细!$B$4:$B$1203,"&gt;="&amp;$T$1,客户自备加工筐明细!$B$4:$B$1203,"&lt;="&amp;$T$2))</f>
        <v/>
      </c>
      <c r="M62" s="25" t="str">
        <f t="shared" si="1"/>
        <v/>
      </c>
      <c r="N62" s="25" t="str">
        <f t="shared" si="2"/>
        <v/>
      </c>
      <c r="O62" s="25" t="str">
        <f t="shared" si="3"/>
        <v/>
      </c>
      <c r="P62" s="37" t="str">
        <f t="shared" si="4"/>
        <v/>
      </c>
      <c r="Q62" s="27"/>
    </row>
    <row r="63" spans="1:17">
      <c r="A63" s="22" t="str">
        <f t="shared" si="0"/>
        <v/>
      </c>
      <c r="B63" s="37" t="str">
        <f>IFERROR(INDEX(_自动清单!$AM$4:$AM$203,ROW()-3),"")</f>
        <v/>
      </c>
      <c r="C63" s="25" t="str">
        <f>IF(OR($B63="",基础资料!$B$9=""),"",SUMIFS(对接源_01水果筐数!$D$5:$D$304,对接源_01水果筐数!$B$5:$B$304,$B63,对接源_01水果筐数!$C$5:$C$304,基础资料!$B$9))</f>
        <v/>
      </c>
      <c r="D63" s="25" t="str">
        <f>IF(OR($B63="",基础资料!$B$10=""),"",SUMIFS(对接源_01水果筐数!$D$5:$D$304,对接源_01水果筐数!$B$5:$B$304,$B63,对接源_01水果筐数!$C$5:$C$304,基础资料!$B$10))</f>
        <v/>
      </c>
      <c r="E63" s="25" t="str">
        <f>IF(OR($B63="",基础资料!$B$9=""),"",SUMIFS(客户自备加工筐明细!$F$4:$F$1203,客户自备加工筐明细!$E$4:$E$1203,$B63,客户自备加工筐明细!$C$4:$C$1203,基础资料!$B$9,客户自备加工筐明细!$B$4:$B$1203,"&gt;="&amp;$T$1,客户自备加工筐明细!$B$4:$B$1203,"&lt;="&amp;$T$2))</f>
        <v/>
      </c>
      <c r="F63" s="25" t="str">
        <f>IF(OR($B63="",基础资料!$B$10=""),"",SUMIFS(客户自备加工筐明细!$F$4:$F$1203,客户自备加工筐明细!$E$4:$E$1203,$B63,客户自备加工筐明细!$C$4:$C$1203,基础资料!$B$10,客户自备加工筐明细!$B$4:$B$1203,"&gt;="&amp;$T$1,客户自备加工筐明细!$B$4:$B$1203,"&lt;="&amp;$T$2))</f>
        <v/>
      </c>
      <c r="G63" s="67" t="str">
        <f>IF(OR($B63="",基础资料!$B$9=""),"",-SUMIFS(对接源_01水果筐数!$E$5:$E$304,对接源_01水果筐数!$B$5:$B$304,$B63,对接源_01水果筐数!$C$5:$C$304,基础资料!$B$9))</f>
        <v/>
      </c>
      <c r="H63" s="67" t="str">
        <f>IF(OR($B63="",基础资料!$B$10=""),"",-SUMIFS(对接源_01水果筐数!$E$5:$E$304,对接源_01水果筐数!$B$5:$B$304,$B63,对接源_01水果筐数!$C$5:$C$304,基础资料!$B$10))</f>
        <v/>
      </c>
      <c r="I63" s="67" t="str">
        <f>IF(OR($B63="",基础资料!$B$9=""),"",-SUMIFS(对接源_01水果筐数!$F$5:$F$304,对接源_01水果筐数!$B$5:$B$304,$B63,对接源_01水果筐数!$C$5:$C$304,基础资料!$B$9))</f>
        <v/>
      </c>
      <c r="J63" s="67" t="str">
        <f>IF(OR($B63="",基础资料!$B$10=""),"",-SUMIFS(对接源_01水果筐数!$F$5:$F$304,对接源_01水果筐数!$B$5:$B$304,$B63,对接源_01水果筐数!$C$5:$C$304,基础资料!$B$10))</f>
        <v/>
      </c>
      <c r="K63" s="67" t="str">
        <f>IF(OR($B63="",基础资料!$B$9=""),"",-SUMIFS(客户自备加工筐明细!$G$4:$G$1203,客户自备加工筐明细!$E$4:$E$1203,$B63,客户自备加工筐明细!$C$4:$C$1203,基础资料!$B$9,客户自备加工筐明细!$B$4:$B$1203,"&gt;="&amp;$T$1,客户自备加工筐明细!$B$4:$B$1203,"&lt;="&amp;$T$2))</f>
        <v/>
      </c>
      <c r="L63" s="67" t="str">
        <f>IF(OR($B63="",基础资料!$B$10=""),"",-SUMIFS(客户自备加工筐明细!$G$4:$G$1203,客户自备加工筐明细!$E$4:$E$1203,$B63,客户自备加工筐明细!$C$4:$C$1203,基础资料!$B$10,客户自备加工筐明细!$B$4:$B$1203,"&gt;="&amp;$T$1,客户自备加工筐明细!$B$4:$B$1203,"&lt;="&amp;$T$2))</f>
        <v/>
      </c>
      <c r="M63" s="25" t="str">
        <f t="shared" si="1"/>
        <v/>
      </c>
      <c r="N63" s="25" t="str">
        <f t="shared" si="2"/>
        <v/>
      </c>
      <c r="O63" s="25" t="str">
        <f t="shared" si="3"/>
        <v/>
      </c>
      <c r="P63" s="37" t="str">
        <f t="shared" si="4"/>
        <v/>
      </c>
      <c r="Q63" s="27"/>
    </row>
    <row r="64" spans="1:17">
      <c r="A64" s="22" t="str">
        <f t="shared" si="0"/>
        <v/>
      </c>
      <c r="B64" s="37" t="str">
        <f>IFERROR(INDEX(_自动清单!$AM$4:$AM$203,ROW()-3),"")</f>
        <v/>
      </c>
      <c r="C64" s="25" t="str">
        <f>IF(OR($B64="",基础资料!$B$9=""),"",SUMIFS(对接源_01水果筐数!$D$5:$D$304,对接源_01水果筐数!$B$5:$B$304,$B64,对接源_01水果筐数!$C$5:$C$304,基础资料!$B$9))</f>
        <v/>
      </c>
      <c r="D64" s="25" t="str">
        <f>IF(OR($B64="",基础资料!$B$10=""),"",SUMIFS(对接源_01水果筐数!$D$5:$D$304,对接源_01水果筐数!$B$5:$B$304,$B64,对接源_01水果筐数!$C$5:$C$304,基础资料!$B$10))</f>
        <v/>
      </c>
      <c r="E64" s="25" t="str">
        <f>IF(OR($B64="",基础资料!$B$9=""),"",SUMIFS(客户自备加工筐明细!$F$4:$F$1203,客户自备加工筐明细!$E$4:$E$1203,$B64,客户自备加工筐明细!$C$4:$C$1203,基础资料!$B$9,客户自备加工筐明细!$B$4:$B$1203,"&gt;="&amp;$T$1,客户自备加工筐明细!$B$4:$B$1203,"&lt;="&amp;$T$2))</f>
        <v/>
      </c>
      <c r="F64" s="25" t="str">
        <f>IF(OR($B64="",基础资料!$B$10=""),"",SUMIFS(客户自备加工筐明细!$F$4:$F$1203,客户自备加工筐明细!$E$4:$E$1203,$B64,客户自备加工筐明细!$C$4:$C$1203,基础资料!$B$10,客户自备加工筐明细!$B$4:$B$1203,"&gt;="&amp;$T$1,客户自备加工筐明细!$B$4:$B$1203,"&lt;="&amp;$T$2))</f>
        <v/>
      </c>
      <c r="G64" s="67" t="str">
        <f>IF(OR($B64="",基础资料!$B$9=""),"",-SUMIFS(对接源_01水果筐数!$E$5:$E$304,对接源_01水果筐数!$B$5:$B$304,$B64,对接源_01水果筐数!$C$5:$C$304,基础资料!$B$9))</f>
        <v/>
      </c>
      <c r="H64" s="67" t="str">
        <f>IF(OR($B64="",基础资料!$B$10=""),"",-SUMIFS(对接源_01水果筐数!$E$5:$E$304,对接源_01水果筐数!$B$5:$B$304,$B64,对接源_01水果筐数!$C$5:$C$304,基础资料!$B$10))</f>
        <v/>
      </c>
      <c r="I64" s="67" t="str">
        <f>IF(OR($B64="",基础资料!$B$9=""),"",-SUMIFS(对接源_01水果筐数!$F$5:$F$304,对接源_01水果筐数!$B$5:$B$304,$B64,对接源_01水果筐数!$C$5:$C$304,基础资料!$B$9))</f>
        <v/>
      </c>
      <c r="J64" s="67" t="str">
        <f>IF(OR($B64="",基础资料!$B$10=""),"",-SUMIFS(对接源_01水果筐数!$F$5:$F$304,对接源_01水果筐数!$B$5:$B$304,$B64,对接源_01水果筐数!$C$5:$C$304,基础资料!$B$10))</f>
        <v/>
      </c>
      <c r="K64" s="67" t="str">
        <f>IF(OR($B64="",基础资料!$B$9=""),"",-SUMIFS(客户自备加工筐明细!$G$4:$G$1203,客户自备加工筐明细!$E$4:$E$1203,$B64,客户自备加工筐明细!$C$4:$C$1203,基础资料!$B$9,客户自备加工筐明细!$B$4:$B$1203,"&gt;="&amp;$T$1,客户自备加工筐明细!$B$4:$B$1203,"&lt;="&amp;$T$2))</f>
        <v/>
      </c>
      <c r="L64" s="67" t="str">
        <f>IF(OR($B64="",基础资料!$B$10=""),"",-SUMIFS(客户自备加工筐明细!$G$4:$G$1203,客户自备加工筐明细!$E$4:$E$1203,$B64,客户自备加工筐明细!$C$4:$C$1203,基础资料!$B$10,客户自备加工筐明细!$B$4:$B$1203,"&gt;="&amp;$T$1,客户自备加工筐明细!$B$4:$B$1203,"&lt;="&amp;$T$2))</f>
        <v/>
      </c>
      <c r="M64" s="25" t="str">
        <f t="shared" si="1"/>
        <v/>
      </c>
      <c r="N64" s="25" t="str">
        <f t="shared" si="2"/>
        <v/>
      </c>
      <c r="O64" s="25" t="str">
        <f t="shared" si="3"/>
        <v/>
      </c>
      <c r="P64" s="37" t="str">
        <f t="shared" si="4"/>
        <v/>
      </c>
      <c r="Q64" s="27"/>
    </row>
    <row r="65" spans="1:17">
      <c r="A65" s="22" t="str">
        <f t="shared" si="0"/>
        <v/>
      </c>
      <c r="B65" s="37" t="str">
        <f>IFERROR(INDEX(_自动清单!$AM$4:$AM$203,ROW()-3),"")</f>
        <v/>
      </c>
      <c r="C65" s="25" t="str">
        <f>IF(OR($B65="",基础资料!$B$9=""),"",SUMIFS(对接源_01水果筐数!$D$5:$D$304,对接源_01水果筐数!$B$5:$B$304,$B65,对接源_01水果筐数!$C$5:$C$304,基础资料!$B$9))</f>
        <v/>
      </c>
      <c r="D65" s="25" t="str">
        <f>IF(OR($B65="",基础资料!$B$10=""),"",SUMIFS(对接源_01水果筐数!$D$5:$D$304,对接源_01水果筐数!$B$5:$B$304,$B65,对接源_01水果筐数!$C$5:$C$304,基础资料!$B$10))</f>
        <v/>
      </c>
      <c r="E65" s="25" t="str">
        <f>IF(OR($B65="",基础资料!$B$9=""),"",SUMIFS(客户自备加工筐明细!$F$4:$F$1203,客户自备加工筐明细!$E$4:$E$1203,$B65,客户自备加工筐明细!$C$4:$C$1203,基础资料!$B$9,客户自备加工筐明细!$B$4:$B$1203,"&gt;="&amp;$T$1,客户自备加工筐明细!$B$4:$B$1203,"&lt;="&amp;$T$2))</f>
        <v/>
      </c>
      <c r="F65" s="25" t="str">
        <f>IF(OR($B65="",基础资料!$B$10=""),"",SUMIFS(客户自备加工筐明细!$F$4:$F$1203,客户自备加工筐明细!$E$4:$E$1203,$B65,客户自备加工筐明细!$C$4:$C$1203,基础资料!$B$10,客户自备加工筐明细!$B$4:$B$1203,"&gt;="&amp;$T$1,客户自备加工筐明细!$B$4:$B$1203,"&lt;="&amp;$T$2))</f>
        <v/>
      </c>
      <c r="G65" s="67" t="str">
        <f>IF(OR($B65="",基础资料!$B$9=""),"",-SUMIFS(对接源_01水果筐数!$E$5:$E$304,对接源_01水果筐数!$B$5:$B$304,$B65,对接源_01水果筐数!$C$5:$C$304,基础资料!$B$9))</f>
        <v/>
      </c>
      <c r="H65" s="67" t="str">
        <f>IF(OR($B65="",基础资料!$B$10=""),"",-SUMIFS(对接源_01水果筐数!$E$5:$E$304,对接源_01水果筐数!$B$5:$B$304,$B65,对接源_01水果筐数!$C$5:$C$304,基础资料!$B$10))</f>
        <v/>
      </c>
      <c r="I65" s="67" t="str">
        <f>IF(OR($B65="",基础资料!$B$9=""),"",-SUMIFS(对接源_01水果筐数!$F$5:$F$304,对接源_01水果筐数!$B$5:$B$304,$B65,对接源_01水果筐数!$C$5:$C$304,基础资料!$B$9))</f>
        <v/>
      </c>
      <c r="J65" s="67" t="str">
        <f>IF(OR($B65="",基础资料!$B$10=""),"",-SUMIFS(对接源_01水果筐数!$F$5:$F$304,对接源_01水果筐数!$B$5:$B$304,$B65,对接源_01水果筐数!$C$5:$C$304,基础资料!$B$10))</f>
        <v/>
      </c>
      <c r="K65" s="67" t="str">
        <f>IF(OR($B65="",基础资料!$B$9=""),"",-SUMIFS(客户自备加工筐明细!$G$4:$G$1203,客户自备加工筐明细!$E$4:$E$1203,$B65,客户自备加工筐明细!$C$4:$C$1203,基础资料!$B$9,客户自备加工筐明细!$B$4:$B$1203,"&gt;="&amp;$T$1,客户自备加工筐明细!$B$4:$B$1203,"&lt;="&amp;$T$2))</f>
        <v/>
      </c>
      <c r="L65" s="67" t="str">
        <f>IF(OR($B65="",基础资料!$B$10=""),"",-SUMIFS(客户自备加工筐明细!$G$4:$G$1203,客户自备加工筐明细!$E$4:$E$1203,$B65,客户自备加工筐明细!$C$4:$C$1203,基础资料!$B$10,客户自备加工筐明细!$B$4:$B$1203,"&gt;="&amp;$T$1,客户自备加工筐明细!$B$4:$B$1203,"&lt;="&amp;$T$2))</f>
        <v/>
      </c>
      <c r="M65" s="25" t="str">
        <f t="shared" si="1"/>
        <v/>
      </c>
      <c r="N65" s="25" t="str">
        <f t="shared" si="2"/>
        <v/>
      </c>
      <c r="O65" s="25" t="str">
        <f t="shared" si="3"/>
        <v/>
      </c>
      <c r="P65" s="37" t="str">
        <f t="shared" si="4"/>
        <v/>
      </c>
      <c r="Q65" s="27"/>
    </row>
    <row r="66" spans="1:17">
      <c r="A66" s="22" t="str">
        <f t="shared" si="0"/>
        <v/>
      </c>
      <c r="B66" s="37" t="str">
        <f>IFERROR(INDEX(_自动清单!$AM$4:$AM$203,ROW()-3),"")</f>
        <v/>
      </c>
      <c r="C66" s="25" t="str">
        <f>IF(OR($B66="",基础资料!$B$9=""),"",SUMIFS(对接源_01水果筐数!$D$5:$D$304,对接源_01水果筐数!$B$5:$B$304,$B66,对接源_01水果筐数!$C$5:$C$304,基础资料!$B$9))</f>
        <v/>
      </c>
      <c r="D66" s="25" t="str">
        <f>IF(OR($B66="",基础资料!$B$10=""),"",SUMIFS(对接源_01水果筐数!$D$5:$D$304,对接源_01水果筐数!$B$5:$B$304,$B66,对接源_01水果筐数!$C$5:$C$304,基础资料!$B$10))</f>
        <v/>
      </c>
      <c r="E66" s="25" t="str">
        <f>IF(OR($B66="",基础资料!$B$9=""),"",SUMIFS(客户自备加工筐明细!$F$4:$F$1203,客户自备加工筐明细!$E$4:$E$1203,$B66,客户自备加工筐明细!$C$4:$C$1203,基础资料!$B$9,客户自备加工筐明细!$B$4:$B$1203,"&gt;="&amp;$T$1,客户自备加工筐明细!$B$4:$B$1203,"&lt;="&amp;$T$2))</f>
        <v/>
      </c>
      <c r="F66" s="25" t="str">
        <f>IF(OR($B66="",基础资料!$B$10=""),"",SUMIFS(客户自备加工筐明细!$F$4:$F$1203,客户自备加工筐明细!$E$4:$E$1203,$B66,客户自备加工筐明细!$C$4:$C$1203,基础资料!$B$10,客户自备加工筐明细!$B$4:$B$1203,"&gt;="&amp;$T$1,客户自备加工筐明细!$B$4:$B$1203,"&lt;="&amp;$T$2))</f>
        <v/>
      </c>
      <c r="G66" s="67" t="str">
        <f>IF(OR($B66="",基础资料!$B$9=""),"",-SUMIFS(对接源_01水果筐数!$E$5:$E$304,对接源_01水果筐数!$B$5:$B$304,$B66,对接源_01水果筐数!$C$5:$C$304,基础资料!$B$9))</f>
        <v/>
      </c>
      <c r="H66" s="67" t="str">
        <f>IF(OR($B66="",基础资料!$B$10=""),"",-SUMIFS(对接源_01水果筐数!$E$5:$E$304,对接源_01水果筐数!$B$5:$B$304,$B66,对接源_01水果筐数!$C$5:$C$304,基础资料!$B$10))</f>
        <v/>
      </c>
      <c r="I66" s="67" t="str">
        <f>IF(OR($B66="",基础资料!$B$9=""),"",-SUMIFS(对接源_01水果筐数!$F$5:$F$304,对接源_01水果筐数!$B$5:$B$304,$B66,对接源_01水果筐数!$C$5:$C$304,基础资料!$B$9))</f>
        <v/>
      </c>
      <c r="J66" s="67" t="str">
        <f>IF(OR($B66="",基础资料!$B$10=""),"",-SUMIFS(对接源_01水果筐数!$F$5:$F$304,对接源_01水果筐数!$B$5:$B$304,$B66,对接源_01水果筐数!$C$5:$C$304,基础资料!$B$10))</f>
        <v/>
      </c>
      <c r="K66" s="67" t="str">
        <f>IF(OR($B66="",基础资料!$B$9=""),"",-SUMIFS(客户自备加工筐明细!$G$4:$G$1203,客户自备加工筐明细!$E$4:$E$1203,$B66,客户自备加工筐明细!$C$4:$C$1203,基础资料!$B$9,客户自备加工筐明细!$B$4:$B$1203,"&gt;="&amp;$T$1,客户自备加工筐明细!$B$4:$B$1203,"&lt;="&amp;$T$2))</f>
        <v/>
      </c>
      <c r="L66" s="67" t="str">
        <f>IF(OR($B66="",基础资料!$B$10=""),"",-SUMIFS(客户自备加工筐明细!$G$4:$G$1203,客户自备加工筐明细!$E$4:$E$1203,$B66,客户自备加工筐明细!$C$4:$C$1203,基础资料!$B$10,客户自备加工筐明细!$B$4:$B$1203,"&gt;="&amp;$T$1,客户自备加工筐明细!$B$4:$B$1203,"&lt;="&amp;$T$2))</f>
        <v/>
      </c>
      <c r="M66" s="25" t="str">
        <f t="shared" si="1"/>
        <v/>
      </c>
      <c r="N66" s="25" t="str">
        <f t="shared" si="2"/>
        <v/>
      </c>
      <c r="O66" s="25" t="str">
        <f t="shared" si="3"/>
        <v/>
      </c>
      <c r="P66" s="37" t="str">
        <f t="shared" si="4"/>
        <v/>
      </c>
      <c r="Q66" s="27"/>
    </row>
    <row r="67" spans="1:17">
      <c r="A67" s="22" t="str">
        <f t="shared" si="0"/>
        <v/>
      </c>
      <c r="B67" s="37" t="str">
        <f>IFERROR(INDEX(_自动清单!$AM$4:$AM$203,ROW()-3),"")</f>
        <v/>
      </c>
      <c r="C67" s="25" t="str">
        <f>IF(OR($B67="",基础资料!$B$9=""),"",SUMIFS(对接源_01水果筐数!$D$5:$D$304,对接源_01水果筐数!$B$5:$B$304,$B67,对接源_01水果筐数!$C$5:$C$304,基础资料!$B$9))</f>
        <v/>
      </c>
      <c r="D67" s="25" t="str">
        <f>IF(OR($B67="",基础资料!$B$10=""),"",SUMIFS(对接源_01水果筐数!$D$5:$D$304,对接源_01水果筐数!$B$5:$B$304,$B67,对接源_01水果筐数!$C$5:$C$304,基础资料!$B$10))</f>
        <v/>
      </c>
      <c r="E67" s="25" t="str">
        <f>IF(OR($B67="",基础资料!$B$9=""),"",SUMIFS(客户自备加工筐明细!$F$4:$F$1203,客户自备加工筐明细!$E$4:$E$1203,$B67,客户自备加工筐明细!$C$4:$C$1203,基础资料!$B$9,客户自备加工筐明细!$B$4:$B$1203,"&gt;="&amp;$T$1,客户自备加工筐明细!$B$4:$B$1203,"&lt;="&amp;$T$2))</f>
        <v/>
      </c>
      <c r="F67" s="25" t="str">
        <f>IF(OR($B67="",基础资料!$B$10=""),"",SUMIFS(客户自备加工筐明细!$F$4:$F$1203,客户自备加工筐明细!$E$4:$E$1203,$B67,客户自备加工筐明细!$C$4:$C$1203,基础资料!$B$10,客户自备加工筐明细!$B$4:$B$1203,"&gt;="&amp;$T$1,客户自备加工筐明细!$B$4:$B$1203,"&lt;="&amp;$T$2))</f>
        <v/>
      </c>
      <c r="G67" s="67" t="str">
        <f>IF(OR($B67="",基础资料!$B$9=""),"",-SUMIFS(对接源_01水果筐数!$E$5:$E$304,对接源_01水果筐数!$B$5:$B$304,$B67,对接源_01水果筐数!$C$5:$C$304,基础资料!$B$9))</f>
        <v/>
      </c>
      <c r="H67" s="67" t="str">
        <f>IF(OR($B67="",基础资料!$B$10=""),"",-SUMIFS(对接源_01水果筐数!$E$5:$E$304,对接源_01水果筐数!$B$5:$B$304,$B67,对接源_01水果筐数!$C$5:$C$304,基础资料!$B$10))</f>
        <v/>
      </c>
      <c r="I67" s="67" t="str">
        <f>IF(OR($B67="",基础资料!$B$9=""),"",-SUMIFS(对接源_01水果筐数!$F$5:$F$304,对接源_01水果筐数!$B$5:$B$304,$B67,对接源_01水果筐数!$C$5:$C$304,基础资料!$B$9))</f>
        <v/>
      </c>
      <c r="J67" s="67" t="str">
        <f>IF(OR($B67="",基础资料!$B$10=""),"",-SUMIFS(对接源_01水果筐数!$F$5:$F$304,对接源_01水果筐数!$B$5:$B$304,$B67,对接源_01水果筐数!$C$5:$C$304,基础资料!$B$10))</f>
        <v/>
      </c>
      <c r="K67" s="67" t="str">
        <f>IF(OR($B67="",基础资料!$B$9=""),"",-SUMIFS(客户自备加工筐明细!$G$4:$G$1203,客户自备加工筐明细!$E$4:$E$1203,$B67,客户自备加工筐明细!$C$4:$C$1203,基础资料!$B$9,客户自备加工筐明细!$B$4:$B$1203,"&gt;="&amp;$T$1,客户自备加工筐明细!$B$4:$B$1203,"&lt;="&amp;$T$2))</f>
        <v/>
      </c>
      <c r="L67" s="67" t="str">
        <f>IF(OR($B67="",基础资料!$B$10=""),"",-SUMIFS(客户自备加工筐明细!$G$4:$G$1203,客户自备加工筐明细!$E$4:$E$1203,$B67,客户自备加工筐明细!$C$4:$C$1203,基础资料!$B$10,客户自备加工筐明细!$B$4:$B$1203,"&gt;="&amp;$T$1,客户自备加工筐明细!$B$4:$B$1203,"&lt;="&amp;$T$2))</f>
        <v/>
      </c>
      <c r="M67" s="25" t="str">
        <f t="shared" si="1"/>
        <v/>
      </c>
      <c r="N67" s="25" t="str">
        <f t="shared" si="2"/>
        <v/>
      </c>
      <c r="O67" s="25" t="str">
        <f t="shared" si="3"/>
        <v/>
      </c>
      <c r="P67" s="37" t="str">
        <f t="shared" si="4"/>
        <v/>
      </c>
      <c r="Q67" s="27"/>
    </row>
    <row r="68" spans="1:17">
      <c r="A68" s="22" t="str">
        <f t="shared" ref="A68:A131" si="5">IF($B68="","",ROW()-3)</f>
        <v/>
      </c>
      <c r="B68" s="37" t="str">
        <f>IFERROR(INDEX(_自动清单!$AM$4:$AM$203,ROW()-3),"")</f>
        <v/>
      </c>
      <c r="C68" s="25" t="str">
        <f>IF(OR($B68="",基础资料!$B$9=""),"",SUMIFS(对接源_01水果筐数!$D$5:$D$304,对接源_01水果筐数!$B$5:$B$304,$B68,对接源_01水果筐数!$C$5:$C$304,基础资料!$B$9))</f>
        <v/>
      </c>
      <c r="D68" s="25" t="str">
        <f>IF(OR($B68="",基础资料!$B$10=""),"",SUMIFS(对接源_01水果筐数!$D$5:$D$304,对接源_01水果筐数!$B$5:$B$304,$B68,对接源_01水果筐数!$C$5:$C$304,基础资料!$B$10))</f>
        <v/>
      </c>
      <c r="E68" s="25" t="str">
        <f>IF(OR($B68="",基础资料!$B$9=""),"",SUMIFS(客户自备加工筐明细!$F$4:$F$1203,客户自备加工筐明细!$E$4:$E$1203,$B68,客户自备加工筐明细!$C$4:$C$1203,基础资料!$B$9,客户自备加工筐明细!$B$4:$B$1203,"&gt;="&amp;$T$1,客户自备加工筐明细!$B$4:$B$1203,"&lt;="&amp;$T$2))</f>
        <v/>
      </c>
      <c r="F68" s="25" t="str">
        <f>IF(OR($B68="",基础资料!$B$10=""),"",SUMIFS(客户自备加工筐明细!$F$4:$F$1203,客户自备加工筐明细!$E$4:$E$1203,$B68,客户自备加工筐明细!$C$4:$C$1203,基础资料!$B$10,客户自备加工筐明细!$B$4:$B$1203,"&gt;="&amp;$T$1,客户自备加工筐明细!$B$4:$B$1203,"&lt;="&amp;$T$2))</f>
        <v/>
      </c>
      <c r="G68" s="67" t="str">
        <f>IF(OR($B68="",基础资料!$B$9=""),"",-SUMIFS(对接源_01水果筐数!$E$5:$E$304,对接源_01水果筐数!$B$5:$B$304,$B68,对接源_01水果筐数!$C$5:$C$304,基础资料!$B$9))</f>
        <v/>
      </c>
      <c r="H68" s="67" t="str">
        <f>IF(OR($B68="",基础资料!$B$10=""),"",-SUMIFS(对接源_01水果筐数!$E$5:$E$304,对接源_01水果筐数!$B$5:$B$304,$B68,对接源_01水果筐数!$C$5:$C$304,基础资料!$B$10))</f>
        <v/>
      </c>
      <c r="I68" s="67" t="str">
        <f>IF(OR($B68="",基础资料!$B$9=""),"",-SUMIFS(对接源_01水果筐数!$F$5:$F$304,对接源_01水果筐数!$B$5:$B$304,$B68,对接源_01水果筐数!$C$5:$C$304,基础资料!$B$9))</f>
        <v/>
      </c>
      <c r="J68" s="67" t="str">
        <f>IF(OR($B68="",基础资料!$B$10=""),"",-SUMIFS(对接源_01水果筐数!$F$5:$F$304,对接源_01水果筐数!$B$5:$B$304,$B68,对接源_01水果筐数!$C$5:$C$304,基础资料!$B$10))</f>
        <v/>
      </c>
      <c r="K68" s="67" t="str">
        <f>IF(OR($B68="",基础资料!$B$9=""),"",-SUMIFS(客户自备加工筐明细!$G$4:$G$1203,客户自备加工筐明细!$E$4:$E$1203,$B68,客户自备加工筐明细!$C$4:$C$1203,基础资料!$B$9,客户自备加工筐明细!$B$4:$B$1203,"&gt;="&amp;$T$1,客户自备加工筐明细!$B$4:$B$1203,"&lt;="&amp;$T$2))</f>
        <v/>
      </c>
      <c r="L68" s="67" t="str">
        <f>IF(OR($B68="",基础资料!$B$10=""),"",-SUMIFS(客户自备加工筐明细!$G$4:$G$1203,客户自备加工筐明细!$E$4:$E$1203,$B68,客户自备加工筐明细!$C$4:$C$1203,基础资料!$B$10,客户自备加工筐明细!$B$4:$B$1203,"&gt;="&amp;$T$1,客户自备加工筐明细!$B$4:$B$1203,"&lt;="&amp;$T$2))</f>
        <v/>
      </c>
      <c r="M68" s="25" t="str">
        <f t="shared" ref="M68:M131" si="6">IF($B68="","",N($C68)+N($E68)+N($G68)+N($I68)+N($K68))</f>
        <v/>
      </c>
      <c r="N68" s="25" t="str">
        <f t="shared" ref="N68:N131" si="7">IF($B68="","",N($D68)+N($F68)+N($H68)+N($J68)+N($L68))</f>
        <v/>
      </c>
      <c r="O68" s="25" t="str">
        <f t="shared" ref="O68:O131" si="8">IF($B68="","",N($M68)+N($N68))</f>
        <v/>
      </c>
      <c r="P68" s="37" t="str">
        <f t="shared" ref="P68:P131" si="9">IF($B68="","",IF(N($O68)&lt;0,"⚠ 剩余为负，请检查","✔"))</f>
        <v/>
      </c>
      <c r="Q68" s="27"/>
    </row>
    <row r="69" spans="1:17">
      <c r="A69" s="22" t="str">
        <f t="shared" si="5"/>
        <v/>
      </c>
      <c r="B69" s="37" t="str">
        <f>IFERROR(INDEX(_自动清单!$AM$4:$AM$203,ROW()-3),"")</f>
        <v/>
      </c>
      <c r="C69" s="25" t="str">
        <f>IF(OR($B69="",基础资料!$B$9=""),"",SUMIFS(对接源_01水果筐数!$D$5:$D$304,对接源_01水果筐数!$B$5:$B$304,$B69,对接源_01水果筐数!$C$5:$C$304,基础资料!$B$9))</f>
        <v/>
      </c>
      <c r="D69" s="25" t="str">
        <f>IF(OR($B69="",基础资料!$B$10=""),"",SUMIFS(对接源_01水果筐数!$D$5:$D$304,对接源_01水果筐数!$B$5:$B$304,$B69,对接源_01水果筐数!$C$5:$C$304,基础资料!$B$10))</f>
        <v/>
      </c>
      <c r="E69" s="25" t="str">
        <f>IF(OR($B69="",基础资料!$B$9=""),"",SUMIFS(客户自备加工筐明细!$F$4:$F$1203,客户自备加工筐明细!$E$4:$E$1203,$B69,客户自备加工筐明细!$C$4:$C$1203,基础资料!$B$9,客户自备加工筐明细!$B$4:$B$1203,"&gt;="&amp;$T$1,客户自备加工筐明细!$B$4:$B$1203,"&lt;="&amp;$T$2))</f>
        <v/>
      </c>
      <c r="F69" s="25" t="str">
        <f>IF(OR($B69="",基础资料!$B$10=""),"",SUMIFS(客户自备加工筐明细!$F$4:$F$1203,客户自备加工筐明细!$E$4:$E$1203,$B69,客户自备加工筐明细!$C$4:$C$1203,基础资料!$B$10,客户自备加工筐明细!$B$4:$B$1203,"&gt;="&amp;$T$1,客户自备加工筐明细!$B$4:$B$1203,"&lt;="&amp;$T$2))</f>
        <v/>
      </c>
      <c r="G69" s="67" t="str">
        <f>IF(OR($B69="",基础资料!$B$9=""),"",-SUMIFS(对接源_01水果筐数!$E$5:$E$304,对接源_01水果筐数!$B$5:$B$304,$B69,对接源_01水果筐数!$C$5:$C$304,基础资料!$B$9))</f>
        <v/>
      </c>
      <c r="H69" s="67" t="str">
        <f>IF(OR($B69="",基础资料!$B$10=""),"",-SUMIFS(对接源_01水果筐数!$E$5:$E$304,对接源_01水果筐数!$B$5:$B$304,$B69,对接源_01水果筐数!$C$5:$C$304,基础资料!$B$10))</f>
        <v/>
      </c>
      <c r="I69" s="67" t="str">
        <f>IF(OR($B69="",基础资料!$B$9=""),"",-SUMIFS(对接源_01水果筐数!$F$5:$F$304,对接源_01水果筐数!$B$5:$B$304,$B69,对接源_01水果筐数!$C$5:$C$304,基础资料!$B$9))</f>
        <v/>
      </c>
      <c r="J69" s="67" t="str">
        <f>IF(OR($B69="",基础资料!$B$10=""),"",-SUMIFS(对接源_01水果筐数!$F$5:$F$304,对接源_01水果筐数!$B$5:$B$304,$B69,对接源_01水果筐数!$C$5:$C$304,基础资料!$B$10))</f>
        <v/>
      </c>
      <c r="K69" s="67" t="str">
        <f>IF(OR($B69="",基础资料!$B$9=""),"",-SUMIFS(客户自备加工筐明细!$G$4:$G$1203,客户自备加工筐明细!$E$4:$E$1203,$B69,客户自备加工筐明细!$C$4:$C$1203,基础资料!$B$9,客户自备加工筐明细!$B$4:$B$1203,"&gt;="&amp;$T$1,客户自备加工筐明细!$B$4:$B$1203,"&lt;="&amp;$T$2))</f>
        <v/>
      </c>
      <c r="L69" s="67" t="str">
        <f>IF(OR($B69="",基础资料!$B$10=""),"",-SUMIFS(客户自备加工筐明细!$G$4:$G$1203,客户自备加工筐明细!$E$4:$E$1203,$B69,客户自备加工筐明细!$C$4:$C$1203,基础资料!$B$10,客户自备加工筐明细!$B$4:$B$1203,"&gt;="&amp;$T$1,客户自备加工筐明细!$B$4:$B$1203,"&lt;="&amp;$T$2))</f>
        <v/>
      </c>
      <c r="M69" s="25" t="str">
        <f t="shared" si="6"/>
        <v/>
      </c>
      <c r="N69" s="25" t="str">
        <f t="shared" si="7"/>
        <v/>
      </c>
      <c r="O69" s="25" t="str">
        <f t="shared" si="8"/>
        <v/>
      </c>
      <c r="P69" s="37" t="str">
        <f t="shared" si="9"/>
        <v/>
      </c>
      <c r="Q69" s="27"/>
    </row>
    <row r="70" spans="1:17">
      <c r="A70" s="22" t="str">
        <f t="shared" si="5"/>
        <v/>
      </c>
      <c r="B70" s="37" t="str">
        <f>IFERROR(INDEX(_自动清单!$AM$4:$AM$203,ROW()-3),"")</f>
        <v/>
      </c>
      <c r="C70" s="25" t="str">
        <f>IF(OR($B70="",基础资料!$B$9=""),"",SUMIFS(对接源_01水果筐数!$D$5:$D$304,对接源_01水果筐数!$B$5:$B$304,$B70,对接源_01水果筐数!$C$5:$C$304,基础资料!$B$9))</f>
        <v/>
      </c>
      <c r="D70" s="25" t="str">
        <f>IF(OR($B70="",基础资料!$B$10=""),"",SUMIFS(对接源_01水果筐数!$D$5:$D$304,对接源_01水果筐数!$B$5:$B$304,$B70,对接源_01水果筐数!$C$5:$C$304,基础资料!$B$10))</f>
        <v/>
      </c>
      <c r="E70" s="25" t="str">
        <f>IF(OR($B70="",基础资料!$B$9=""),"",SUMIFS(客户自备加工筐明细!$F$4:$F$1203,客户自备加工筐明细!$E$4:$E$1203,$B70,客户自备加工筐明细!$C$4:$C$1203,基础资料!$B$9,客户自备加工筐明细!$B$4:$B$1203,"&gt;="&amp;$T$1,客户自备加工筐明细!$B$4:$B$1203,"&lt;="&amp;$T$2))</f>
        <v/>
      </c>
      <c r="F70" s="25" t="str">
        <f>IF(OR($B70="",基础资料!$B$10=""),"",SUMIFS(客户自备加工筐明细!$F$4:$F$1203,客户自备加工筐明细!$E$4:$E$1203,$B70,客户自备加工筐明细!$C$4:$C$1203,基础资料!$B$10,客户自备加工筐明细!$B$4:$B$1203,"&gt;="&amp;$T$1,客户自备加工筐明细!$B$4:$B$1203,"&lt;="&amp;$T$2))</f>
        <v/>
      </c>
      <c r="G70" s="67" t="str">
        <f>IF(OR($B70="",基础资料!$B$9=""),"",-SUMIFS(对接源_01水果筐数!$E$5:$E$304,对接源_01水果筐数!$B$5:$B$304,$B70,对接源_01水果筐数!$C$5:$C$304,基础资料!$B$9))</f>
        <v/>
      </c>
      <c r="H70" s="67" t="str">
        <f>IF(OR($B70="",基础资料!$B$10=""),"",-SUMIFS(对接源_01水果筐数!$E$5:$E$304,对接源_01水果筐数!$B$5:$B$304,$B70,对接源_01水果筐数!$C$5:$C$304,基础资料!$B$10))</f>
        <v/>
      </c>
      <c r="I70" s="67" t="str">
        <f>IF(OR($B70="",基础资料!$B$9=""),"",-SUMIFS(对接源_01水果筐数!$F$5:$F$304,对接源_01水果筐数!$B$5:$B$304,$B70,对接源_01水果筐数!$C$5:$C$304,基础资料!$B$9))</f>
        <v/>
      </c>
      <c r="J70" s="67" t="str">
        <f>IF(OR($B70="",基础资料!$B$10=""),"",-SUMIFS(对接源_01水果筐数!$F$5:$F$304,对接源_01水果筐数!$B$5:$B$304,$B70,对接源_01水果筐数!$C$5:$C$304,基础资料!$B$10))</f>
        <v/>
      </c>
      <c r="K70" s="67" t="str">
        <f>IF(OR($B70="",基础资料!$B$9=""),"",-SUMIFS(客户自备加工筐明细!$G$4:$G$1203,客户自备加工筐明细!$E$4:$E$1203,$B70,客户自备加工筐明细!$C$4:$C$1203,基础资料!$B$9,客户自备加工筐明细!$B$4:$B$1203,"&gt;="&amp;$T$1,客户自备加工筐明细!$B$4:$B$1203,"&lt;="&amp;$T$2))</f>
        <v/>
      </c>
      <c r="L70" s="67" t="str">
        <f>IF(OR($B70="",基础资料!$B$10=""),"",-SUMIFS(客户自备加工筐明细!$G$4:$G$1203,客户自备加工筐明细!$E$4:$E$1203,$B70,客户自备加工筐明细!$C$4:$C$1203,基础资料!$B$10,客户自备加工筐明细!$B$4:$B$1203,"&gt;="&amp;$T$1,客户自备加工筐明细!$B$4:$B$1203,"&lt;="&amp;$T$2))</f>
        <v/>
      </c>
      <c r="M70" s="25" t="str">
        <f t="shared" si="6"/>
        <v/>
      </c>
      <c r="N70" s="25" t="str">
        <f t="shared" si="7"/>
        <v/>
      </c>
      <c r="O70" s="25" t="str">
        <f t="shared" si="8"/>
        <v/>
      </c>
      <c r="P70" s="37" t="str">
        <f t="shared" si="9"/>
        <v/>
      </c>
      <c r="Q70" s="27"/>
    </row>
    <row r="71" spans="1:17">
      <c r="A71" s="22" t="str">
        <f t="shared" si="5"/>
        <v/>
      </c>
      <c r="B71" s="37" t="str">
        <f>IFERROR(INDEX(_自动清单!$AM$4:$AM$203,ROW()-3),"")</f>
        <v/>
      </c>
      <c r="C71" s="25" t="str">
        <f>IF(OR($B71="",基础资料!$B$9=""),"",SUMIFS(对接源_01水果筐数!$D$5:$D$304,对接源_01水果筐数!$B$5:$B$304,$B71,对接源_01水果筐数!$C$5:$C$304,基础资料!$B$9))</f>
        <v/>
      </c>
      <c r="D71" s="25" t="str">
        <f>IF(OR($B71="",基础资料!$B$10=""),"",SUMIFS(对接源_01水果筐数!$D$5:$D$304,对接源_01水果筐数!$B$5:$B$304,$B71,对接源_01水果筐数!$C$5:$C$304,基础资料!$B$10))</f>
        <v/>
      </c>
      <c r="E71" s="25" t="str">
        <f>IF(OR($B71="",基础资料!$B$9=""),"",SUMIFS(客户自备加工筐明细!$F$4:$F$1203,客户自备加工筐明细!$E$4:$E$1203,$B71,客户自备加工筐明细!$C$4:$C$1203,基础资料!$B$9,客户自备加工筐明细!$B$4:$B$1203,"&gt;="&amp;$T$1,客户自备加工筐明细!$B$4:$B$1203,"&lt;="&amp;$T$2))</f>
        <v/>
      </c>
      <c r="F71" s="25" t="str">
        <f>IF(OR($B71="",基础资料!$B$10=""),"",SUMIFS(客户自备加工筐明细!$F$4:$F$1203,客户自备加工筐明细!$E$4:$E$1203,$B71,客户自备加工筐明细!$C$4:$C$1203,基础资料!$B$10,客户自备加工筐明细!$B$4:$B$1203,"&gt;="&amp;$T$1,客户自备加工筐明细!$B$4:$B$1203,"&lt;="&amp;$T$2))</f>
        <v/>
      </c>
      <c r="G71" s="67" t="str">
        <f>IF(OR($B71="",基础资料!$B$9=""),"",-SUMIFS(对接源_01水果筐数!$E$5:$E$304,对接源_01水果筐数!$B$5:$B$304,$B71,对接源_01水果筐数!$C$5:$C$304,基础资料!$B$9))</f>
        <v/>
      </c>
      <c r="H71" s="67" t="str">
        <f>IF(OR($B71="",基础资料!$B$10=""),"",-SUMIFS(对接源_01水果筐数!$E$5:$E$304,对接源_01水果筐数!$B$5:$B$304,$B71,对接源_01水果筐数!$C$5:$C$304,基础资料!$B$10))</f>
        <v/>
      </c>
      <c r="I71" s="67" t="str">
        <f>IF(OR($B71="",基础资料!$B$9=""),"",-SUMIFS(对接源_01水果筐数!$F$5:$F$304,对接源_01水果筐数!$B$5:$B$304,$B71,对接源_01水果筐数!$C$5:$C$304,基础资料!$B$9))</f>
        <v/>
      </c>
      <c r="J71" s="67" t="str">
        <f>IF(OR($B71="",基础资料!$B$10=""),"",-SUMIFS(对接源_01水果筐数!$F$5:$F$304,对接源_01水果筐数!$B$5:$B$304,$B71,对接源_01水果筐数!$C$5:$C$304,基础资料!$B$10))</f>
        <v/>
      </c>
      <c r="K71" s="67" t="str">
        <f>IF(OR($B71="",基础资料!$B$9=""),"",-SUMIFS(客户自备加工筐明细!$G$4:$G$1203,客户自备加工筐明细!$E$4:$E$1203,$B71,客户自备加工筐明细!$C$4:$C$1203,基础资料!$B$9,客户自备加工筐明细!$B$4:$B$1203,"&gt;="&amp;$T$1,客户自备加工筐明细!$B$4:$B$1203,"&lt;="&amp;$T$2))</f>
        <v/>
      </c>
      <c r="L71" s="67" t="str">
        <f>IF(OR($B71="",基础资料!$B$10=""),"",-SUMIFS(客户自备加工筐明细!$G$4:$G$1203,客户自备加工筐明细!$E$4:$E$1203,$B71,客户自备加工筐明细!$C$4:$C$1203,基础资料!$B$10,客户自备加工筐明细!$B$4:$B$1203,"&gt;="&amp;$T$1,客户自备加工筐明细!$B$4:$B$1203,"&lt;="&amp;$T$2))</f>
        <v/>
      </c>
      <c r="M71" s="25" t="str">
        <f t="shared" si="6"/>
        <v/>
      </c>
      <c r="N71" s="25" t="str">
        <f t="shared" si="7"/>
        <v/>
      </c>
      <c r="O71" s="25" t="str">
        <f t="shared" si="8"/>
        <v/>
      </c>
      <c r="P71" s="37" t="str">
        <f t="shared" si="9"/>
        <v/>
      </c>
      <c r="Q71" s="27"/>
    </row>
    <row r="72" spans="1:17">
      <c r="A72" s="22" t="str">
        <f t="shared" si="5"/>
        <v/>
      </c>
      <c r="B72" s="37" t="str">
        <f>IFERROR(INDEX(_自动清单!$AM$4:$AM$203,ROW()-3),"")</f>
        <v/>
      </c>
      <c r="C72" s="25" t="str">
        <f>IF(OR($B72="",基础资料!$B$9=""),"",SUMIFS(对接源_01水果筐数!$D$5:$D$304,对接源_01水果筐数!$B$5:$B$304,$B72,对接源_01水果筐数!$C$5:$C$304,基础资料!$B$9))</f>
        <v/>
      </c>
      <c r="D72" s="25" t="str">
        <f>IF(OR($B72="",基础资料!$B$10=""),"",SUMIFS(对接源_01水果筐数!$D$5:$D$304,对接源_01水果筐数!$B$5:$B$304,$B72,对接源_01水果筐数!$C$5:$C$304,基础资料!$B$10))</f>
        <v/>
      </c>
      <c r="E72" s="25" t="str">
        <f>IF(OR($B72="",基础资料!$B$9=""),"",SUMIFS(客户自备加工筐明细!$F$4:$F$1203,客户自备加工筐明细!$E$4:$E$1203,$B72,客户自备加工筐明细!$C$4:$C$1203,基础资料!$B$9,客户自备加工筐明细!$B$4:$B$1203,"&gt;="&amp;$T$1,客户自备加工筐明细!$B$4:$B$1203,"&lt;="&amp;$T$2))</f>
        <v/>
      </c>
      <c r="F72" s="25" t="str">
        <f>IF(OR($B72="",基础资料!$B$10=""),"",SUMIFS(客户自备加工筐明细!$F$4:$F$1203,客户自备加工筐明细!$E$4:$E$1203,$B72,客户自备加工筐明细!$C$4:$C$1203,基础资料!$B$10,客户自备加工筐明细!$B$4:$B$1203,"&gt;="&amp;$T$1,客户自备加工筐明细!$B$4:$B$1203,"&lt;="&amp;$T$2))</f>
        <v/>
      </c>
      <c r="G72" s="67" t="str">
        <f>IF(OR($B72="",基础资料!$B$9=""),"",-SUMIFS(对接源_01水果筐数!$E$5:$E$304,对接源_01水果筐数!$B$5:$B$304,$B72,对接源_01水果筐数!$C$5:$C$304,基础资料!$B$9))</f>
        <v/>
      </c>
      <c r="H72" s="67" t="str">
        <f>IF(OR($B72="",基础资料!$B$10=""),"",-SUMIFS(对接源_01水果筐数!$E$5:$E$304,对接源_01水果筐数!$B$5:$B$304,$B72,对接源_01水果筐数!$C$5:$C$304,基础资料!$B$10))</f>
        <v/>
      </c>
      <c r="I72" s="67" t="str">
        <f>IF(OR($B72="",基础资料!$B$9=""),"",-SUMIFS(对接源_01水果筐数!$F$5:$F$304,对接源_01水果筐数!$B$5:$B$304,$B72,对接源_01水果筐数!$C$5:$C$304,基础资料!$B$9))</f>
        <v/>
      </c>
      <c r="J72" s="67" t="str">
        <f>IF(OR($B72="",基础资料!$B$10=""),"",-SUMIFS(对接源_01水果筐数!$F$5:$F$304,对接源_01水果筐数!$B$5:$B$304,$B72,对接源_01水果筐数!$C$5:$C$304,基础资料!$B$10))</f>
        <v/>
      </c>
      <c r="K72" s="67" t="str">
        <f>IF(OR($B72="",基础资料!$B$9=""),"",-SUMIFS(客户自备加工筐明细!$G$4:$G$1203,客户自备加工筐明细!$E$4:$E$1203,$B72,客户自备加工筐明细!$C$4:$C$1203,基础资料!$B$9,客户自备加工筐明细!$B$4:$B$1203,"&gt;="&amp;$T$1,客户自备加工筐明细!$B$4:$B$1203,"&lt;="&amp;$T$2))</f>
        <v/>
      </c>
      <c r="L72" s="67" t="str">
        <f>IF(OR($B72="",基础资料!$B$10=""),"",-SUMIFS(客户自备加工筐明细!$G$4:$G$1203,客户自备加工筐明细!$E$4:$E$1203,$B72,客户自备加工筐明细!$C$4:$C$1203,基础资料!$B$10,客户自备加工筐明细!$B$4:$B$1203,"&gt;="&amp;$T$1,客户自备加工筐明细!$B$4:$B$1203,"&lt;="&amp;$T$2))</f>
        <v/>
      </c>
      <c r="M72" s="25" t="str">
        <f t="shared" si="6"/>
        <v/>
      </c>
      <c r="N72" s="25" t="str">
        <f t="shared" si="7"/>
        <v/>
      </c>
      <c r="O72" s="25" t="str">
        <f t="shared" si="8"/>
        <v/>
      </c>
      <c r="P72" s="37" t="str">
        <f t="shared" si="9"/>
        <v/>
      </c>
      <c r="Q72" s="27"/>
    </row>
    <row r="73" spans="1:17">
      <c r="A73" s="22" t="str">
        <f t="shared" si="5"/>
        <v/>
      </c>
      <c r="B73" s="37" t="str">
        <f>IFERROR(INDEX(_自动清单!$AM$4:$AM$203,ROW()-3),"")</f>
        <v/>
      </c>
      <c r="C73" s="25" t="str">
        <f>IF(OR($B73="",基础资料!$B$9=""),"",SUMIFS(对接源_01水果筐数!$D$5:$D$304,对接源_01水果筐数!$B$5:$B$304,$B73,对接源_01水果筐数!$C$5:$C$304,基础资料!$B$9))</f>
        <v/>
      </c>
      <c r="D73" s="25" t="str">
        <f>IF(OR($B73="",基础资料!$B$10=""),"",SUMIFS(对接源_01水果筐数!$D$5:$D$304,对接源_01水果筐数!$B$5:$B$304,$B73,对接源_01水果筐数!$C$5:$C$304,基础资料!$B$10))</f>
        <v/>
      </c>
      <c r="E73" s="25" t="str">
        <f>IF(OR($B73="",基础资料!$B$9=""),"",SUMIFS(客户自备加工筐明细!$F$4:$F$1203,客户自备加工筐明细!$E$4:$E$1203,$B73,客户自备加工筐明细!$C$4:$C$1203,基础资料!$B$9,客户自备加工筐明细!$B$4:$B$1203,"&gt;="&amp;$T$1,客户自备加工筐明细!$B$4:$B$1203,"&lt;="&amp;$T$2))</f>
        <v/>
      </c>
      <c r="F73" s="25" t="str">
        <f>IF(OR($B73="",基础资料!$B$10=""),"",SUMIFS(客户自备加工筐明细!$F$4:$F$1203,客户自备加工筐明细!$E$4:$E$1203,$B73,客户自备加工筐明细!$C$4:$C$1203,基础资料!$B$10,客户自备加工筐明细!$B$4:$B$1203,"&gt;="&amp;$T$1,客户自备加工筐明细!$B$4:$B$1203,"&lt;="&amp;$T$2))</f>
        <v/>
      </c>
      <c r="G73" s="67" t="str">
        <f>IF(OR($B73="",基础资料!$B$9=""),"",-SUMIFS(对接源_01水果筐数!$E$5:$E$304,对接源_01水果筐数!$B$5:$B$304,$B73,对接源_01水果筐数!$C$5:$C$304,基础资料!$B$9))</f>
        <v/>
      </c>
      <c r="H73" s="67" t="str">
        <f>IF(OR($B73="",基础资料!$B$10=""),"",-SUMIFS(对接源_01水果筐数!$E$5:$E$304,对接源_01水果筐数!$B$5:$B$304,$B73,对接源_01水果筐数!$C$5:$C$304,基础资料!$B$10))</f>
        <v/>
      </c>
      <c r="I73" s="67" t="str">
        <f>IF(OR($B73="",基础资料!$B$9=""),"",-SUMIFS(对接源_01水果筐数!$F$5:$F$304,对接源_01水果筐数!$B$5:$B$304,$B73,对接源_01水果筐数!$C$5:$C$304,基础资料!$B$9))</f>
        <v/>
      </c>
      <c r="J73" s="67" t="str">
        <f>IF(OR($B73="",基础资料!$B$10=""),"",-SUMIFS(对接源_01水果筐数!$F$5:$F$304,对接源_01水果筐数!$B$5:$B$304,$B73,对接源_01水果筐数!$C$5:$C$304,基础资料!$B$10))</f>
        <v/>
      </c>
      <c r="K73" s="67" t="str">
        <f>IF(OR($B73="",基础资料!$B$9=""),"",-SUMIFS(客户自备加工筐明细!$G$4:$G$1203,客户自备加工筐明细!$E$4:$E$1203,$B73,客户自备加工筐明细!$C$4:$C$1203,基础资料!$B$9,客户自备加工筐明细!$B$4:$B$1203,"&gt;="&amp;$T$1,客户自备加工筐明细!$B$4:$B$1203,"&lt;="&amp;$T$2))</f>
        <v/>
      </c>
      <c r="L73" s="67" t="str">
        <f>IF(OR($B73="",基础资料!$B$10=""),"",-SUMIFS(客户自备加工筐明细!$G$4:$G$1203,客户自备加工筐明细!$E$4:$E$1203,$B73,客户自备加工筐明细!$C$4:$C$1203,基础资料!$B$10,客户自备加工筐明细!$B$4:$B$1203,"&gt;="&amp;$T$1,客户自备加工筐明细!$B$4:$B$1203,"&lt;="&amp;$T$2))</f>
        <v/>
      </c>
      <c r="M73" s="25" t="str">
        <f t="shared" si="6"/>
        <v/>
      </c>
      <c r="N73" s="25" t="str">
        <f t="shared" si="7"/>
        <v/>
      </c>
      <c r="O73" s="25" t="str">
        <f t="shared" si="8"/>
        <v/>
      </c>
      <c r="P73" s="37" t="str">
        <f t="shared" si="9"/>
        <v/>
      </c>
      <c r="Q73" s="27"/>
    </row>
    <row r="74" spans="1:17">
      <c r="A74" s="22" t="str">
        <f t="shared" si="5"/>
        <v/>
      </c>
      <c r="B74" s="37" t="str">
        <f>IFERROR(INDEX(_自动清单!$AM$4:$AM$203,ROW()-3),"")</f>
        <v/>
      </c>
      <c r="C74" s="25" t="str">
        <f>IF(OR($B74="",基础资料!$B$9=""),"",SUMIFS(对接源_01水果筐数!$D$5:$D$304,对接源_01水果筐数!$B$5:$B$304,$B74,对接源_01水果筐数!$C$5:$C$304,基础资料!$B$9))</f>
        <v/>
      </c>
      <c r="D74" s="25" t="str">
        <f>IF(OR($B74="",基础资料!$B$10=""),"",SUMIFS(对接源_01水果筐数!$D$5:$D$304,对接源_01水果筐数!$B$5:$B$304,$B74,对接源_01水果筐数!$C$5:$C$304,基础资料!$B$10))</f>
        <v/>
      </c>
      <c r="E74" s="25" t="str">
        <f>IF(OR($B74="",基础资料!$B$9=""),"",SUMIFS(客户自备加工筐明细!$F$4:$F$1203,客户自备加工筐明细!$E$4:$E$1203,$B74,客户自备加工筐明细!$C$4:$C$1203,基础资料!$B$9,客户自备加工筐明细!$B$4:$B$1203,"&gt;="&amp;$T$1,客户自备加工筐明细!$B$4:$B$1203,"&lt;="&amp;$T$2))</f>
        <v/>
      </c>
      <c r="F74" s="25" t="str">
        <f>IF(OR($B74="",基础资料!$B$10=""),"",SUMIFS(客户自备加工筐明细!$F$4:$F$1203,客户自备加工筐明细!$E$4:$E$1203,$B74,客户自备加工筐明细!$C$4:$C$1203,基础资料!$B$10,客户自备加工筐明细!$B$4:$B$1203,"&gt;="&amp;$T$1,客户自备加工筐明细!$B$4:$B$1203,"&lt;="&amp;$T$2))</f>
        <v/>
      </c>
      <c r="G74" s="67" t="str">
        <f>IF(OR($B74="",基础资料!$B$9=""),"",-SUMIFS(对接源_01水果筐数!$E$5:$E$304,对接源_01水果筐数!$B$5:$B$304,$B74,对接源_01水果筐数!$C$5:$C$304,基础资料!$B$9))</f>
        <v/>
      </c>
      <c r="H74" s="67" t="str">
        <f>IF(OR($B74="",基础资料!$B$10=""),"",-SUMIFS(对接源_01水果筐数!$E$5:$E$304,对接源_01水果筐数!$B$5:$B$304,$B74,对接源_01水果筐数!$C$5:$C$304,基础资料!$B$10))</f>
        <v/>
      </c>
      <c r="I74" s="67" t="str">
        <f>IF(OR($B74="",基础资料!$B$9=""),"",-SUMIFS(对接源_01水果筐数!$F$5:$F$304,对接源_01水果筐数!$B$5:$B$304,$B74,对接源_01水果筐数!$C$5:$C$304,基础资料!$B$9))</f>
        <v/>
      </c>
      <c r="J74" s="67" t="str">
        <f>IF(OR($B74="",基础资料!$B$10=""),"",-SUMIFS(对接源_01水果筐数!$F$5:$F$304,对接源_01水果筐数!$B$5:$B$304,$B74,对接源_01水果筐数!$C$5:$C$304,基础资料!$B$10))</f>
        <v/>
      </c>
      <c r="K74" s="67" t="str">
        <f>IF(OR($B74="",基础资料!$B$9=""),"",-SUMIFS(客户自备加工筐明细!$G$4:$G$1203,客户自备加工筐明细!$E$4:$E$1203,$B74,客户自备加工筐明细!$C$4:$C$1203,基础资料!$B$9,客户自备加工筐明细!$B$4:$B$1203,"&gt;="&amp;$T$1,客户自备加工筐明细!$B$4:$B$1203,"&lt;="&amp;$T$2))</f>
        <v/>
      </c>
      <c r="L74" s="67" t="str">
        <f>IF(OR($B74="",基础资料!$B$10=""),"",-SUMIFS(客户自备加工筐明细!$G$4:$G$1203,客户自备加工筐明细!$E$4:$E$1203,$B74,客户自备加工筐明细!$C$4:$C$1203,基础资料!$B$10,客户自备加工筐明细!$B$4:$B$1203,"&gt;="&amp;$T$1,客户自备加工筐明细!$B$4:$B$1203,"&lt;="&amp;$T$2))</f>
        <v/>
      </c>
      <c r="M74" s="25" t="str">
        <f t="shared" si="6"/>
        <v/>
      </c>
      <c r="N74" s="25" t="str">
        <f t="shared" si="7"/>
        <v/>
      </c>
      <c r="O74" s="25" t="str">
        <f t="shared" si="8"/>
        <v/>
      </c>
      <c r="P74" s="37" t="str">
        <f t="shared" si="9"/>
        <v/>
      </c>
      <c r="Q74" s="27"/>
    </row>
    <row r="75" spans="1:17">
      <c r="A75" s="22" t="str">
        <f t="shared" si="5"/>
        <v/>
      </c>
      <c r="B75" s="37" t="str">
        <f>IFERROR(INDEX(_自动清单!$AM$4:$AM$203,ROW()-3),"")</f>
        <v/>
      </c>
      <c r="C75" s="25" t="str">
        <f>IF(OR($B75="",基础资料!$B$9=""),"",SUMIFS(对接源_01水果筐数!$D$5:$D$304,对接源_01水果筐数!$B$5:$B$304,$B75,对接源_01水果筐数!$C$5:$C$304,基础资料!$B$9))</f>
        <v/>
      </c>
      <c r="D75" s="25" t="str">
        <f>IF(OR($B75="",基础资料!$B$10=""),"",SUMIFS(对接源_01水果筐数!$D$5:$D$304,对接源_01水果筐数!$B$5:$B$304,$B75,对接源_01水果筐数!$C$5:$C$304,基础资料!$B$10))</f>
        <v/>
      </c>
      <c r="E75" s="25" t="str">
        <f>IF(OR($B75="",基础资料!$B$9=""),"",SUMIFS(客户自备加工筐明细!$F$4:$F$1203,客户自备加工筐明细!$E$4:$E$1203,$B75,客户自备加工筐明细!$C$4:$C$1203,基础资料!$B$9,客户自备加工筐明细!$B$4:$B$1203,"&gt;="&amp;$T$1,客户自备加工筐明细!$B$4:$B$1203,"&lt;="&amp;$T$2))</f>
        <v/>
      </c>
      <c r="F75" s="25" t="str">
        <f>IF(OR($B75="",基础资料!$B$10=""),"",SUMIFS(客户自备加工筐明细!$F$4:$F$1203,客户自备加工筐明细!$E$4:$E$1203,$B75,客户自备加工筐明细!$C$4:$C$1203,基础资料!$B$10,客户自备加工筐明细!$B$4:$B$1203,"&gt;="&amp;$T$1,客户自备加工筐明细!$B$4:$B$1203,"&lt;="&amp;$T$2))</f>
        <v/>
      </c>
      <c r="G75" s="67" t="str">
        <f>IF(OR($B75="",基础资料!$B$9=""),"",-SUMIFS(对接源_01水果筐数!$E$5:$E$304,对接源_01水果筐数!$B$5:$B$304,$B75,对接源_01水果筐数!$C$5:$C$304,基础资料!$B$9))</f>
        <v/>
      </c>
      <c r="H75" s="67" t="str">
        <f>IF(OR($B75="",基础资料!$B$10=""),"",-SUMIFS(对接源_01水果筐数!$E$5:$E$304,对接源_01水果筐数!$B$5:$B$304,$B75,对接源_01水果筐数!$C$5:$C$304,基础资料!$B$10))</f>
        <v/>
      </c>
      <c r="I75" s="67" t="str">
        <f>IF(OR($B75="",基础资料!$B$9=""),"",-SUMIFS(对接源_01水果筐数!$F$5:$F$304,对接源_01水果筐数!$B$5:$B$304,$B75,对接源_01水果筐数!$C$5:$C$304,基础资料!$B$9))</f>
        <v/>
      </c>
      <c r="J75" s="67" t="str">
        <f>IF(OR($B75="",基础资料!$B$10=""),"",-SUMIFS(对接源_01水果筐数!$F$5:$F$304,对接源_01水果筐数!$B$5:$B$304,$B75,对接源_01水果筐数!$C$5:$C$304,基础资料!$B$10))</f>
        <v/>
      </c>
      <c r="K75" s="67" t="str">
        <f>IF(OR($B75="",基础资料!$B$9=""),"",-SUMIFS(客户自备加工筐明细!$G$4:$G$1203,客户自备加工筐明细!$E$4:$E$1203,$B75,客户自备加工筐明细!$C$4:$C$1203,基础资料!$B$9,客户自备加工筐明细!$B$4:$B$1203,"&gt;="&amp;$T$1,客户自备加工筐明细!$B$4:$B$1203,"&lt;="&amp;$T$2))</f>
        <v/>
      </c>
      <c r="L75" s="67" t="str">
        <f>IF(OR($B75="",基础资料!$B$10=""),"",-SUMIFS(客户自备加工筐明细!$G$4:$G$1203,客户自备加工筐明细!$E$4:$E$1203,$B75,客户自备加工筐明细!$C$4:$C$1203,基础资料!$B$10,客户自备加工筐明细!$B$4:$B$1203,"&gt;="&amp;$T$1,客户自备加工筐明细!$B$4:$B$1203,"&lt;="&amp;$T$2))</f>
        <v/>
      </c>
      <c r="M75" s="25" t="str">
        <f t="shared" si="6"/>
        <v/>
      </c>
      <c r="N75" s="25" t="str">
        <f t="shared" si="7"/>
        <v/>
      </c>
      <c r="O75" s="25" t="str">
        <f t="shared" si="8"/>
        <v/>
      </c>
      <c r="P75" s="37" t="str">
        <f t="shared" si="9"/>
        <v/>
      </c>
      <c r="Q75" s="27"/>
    </row>
    <row r="76" spans="1:17">
      <c r="A76" s="22" t="str">
        <f t="shared" si="5"/>
        <v/>
      </c>
      <c r="B76" s="37" t="str">
        <f>IFERROR(INDEX(_自动清单!$AM$4:$AM$203,ROW()-3),"")</f>
        <v/>
      </c>
      <c r="C76" s="25" t="str">
        <f>IF(OR($B76="",基础资料!$B$9=""),"",SUMIFS(对接源_01水果筐数!$D$5:$D$304,对接源_01水果筐数!$B$5:$B$304,$B76,对接源_01水果筐数!$C$5:$C$304,基础资料!$B$9))</f>
        <v/>
      </c>
      <c r="D76" s="25" t="str">
        <f>IF(OR($B76="",基础资料!$B$10=""),"",SUMIFS(对接源_01水果筐数!$D$5:$D$304,对接源_01水果筐数!$B$5:$B$304,$B76,对接源_01水果筐数!$C$5:$C$304,基础资料!$B$10))</f>
        <v/>
      </c>
      <c r="E76" s="25" t="str">
        <f>IF(OR($B76="",基础资料!$B$9=""),"",SUMIFS(客户自备加工筐明细!$F$4:$F$1203,客户自备加工筐明细!$E$4:$E$1203,$B76,客户自备加工筐明细!$C$4:$C$1203,基础资料!$B$9,客户自备加工筐明细!$B$4:$B$1203,"&gt;="&amp;$T$1,客户自备加工筐明细!$B$4:$B$1203,"&lt;="&amp;$T$2))</f>
        <v/>
      </c>
      <c r="F76" s="25" t="str">
        <f>IF(OR($B76="",基础资料!$B$10=""),"",SUMIFS(客户自备加工筐明细!$F$4:$F$1203,客户自备加工筐明细!$E$4:$E$1203,$B76,客户自备加工筐明细!$C$4:$C$1203,基础资料!$B$10,客户自备加工筐明细!$B$4:$B$1203,"&gt;="&amp;$T$1,客户自备加工筐明细!$B$4:$B$1203,"&lt;="&amp;$T$2))</f>
        <v/>
      </c>
      <c r="G76" s="67" t="str">
        <f>IF(OR($B76="",基础资料!$B$9=""),"",-SUMIFS(对接源_01水果筐数!$E$5:$E$304,对接源_01水果筐数!$B$5:$B$304,$B76,对接源_01水果筐数!$C$5:$C$304,基础资料!$B$9))</f>
        <v/>
      </c>
      <c r="H76" s="67" t="str">
        <f>IF(OR($B76="",基础资料!$B$10=""),"",-SUMIFS(对接源_01水果筐数!$E$5:$E$304,对接源_01水果筐数!$B$5:$B$304,$B76,对接源_01水果筐数!$C$5:$C$304,基础资料!$B$10))</f>
        <v/>
      </c>
      <c r="I76" s="67" t="str">
        <f>IF(OR($B76="",基础资料!$B$9=""),"",-SUMIFS(对接源_01水果筐数!$F$5:$F$304,对接源_01水果筐数!$B$5:$B$304,$B76,对接源_01水果筐数!$C$5:$C$304,基础资料!$B$9))</f>
        <v/>
      </c>
      <c r="J76" s="67" t="str">
        <f>IF(OR($B76="",基础资料!$B$10=""),"",-SUMIFS(对接源_01水果筐数!$F$5:$F$304,对接源_01水果筐数!$B$5:$B$304,$B76,对接源_01水果筐数!$C$5:$C$304,基础资料!$B$10))</f>
        <v/>
      </c>
      <c r="K76" s="67" t="str">
        <f>IF(OR($B76="",基础资料!$B$9=""),"",-SUMIFS(客户自备加工筐明细!$G$4:$G$1203,客户自备加工筐明细!$E$4:$E$1203,$B76,客户自备加工筐明细!$C$4:$C$1203,基础资料!$B$9,客户自备加工筐明细!$B$4:$B$1203,"&gt;="&amp;$T$1,客户自备加工筐明细!$B$4:$B$1203,"&lt;="&amp;$T$2))</f>
        <v/>
      </c>
      <c r="L76" s="67" t="str">
        <f>IF(OR($B76="",基础资料!$B$10=""),"",-SUMIFS(客户自备加工筐明细!$G$4:$G$1203,客户自备加工筐明细!$E$4:$E$1203,$B76,客户自备加工筐明细!$C$4:$C$1203,基础资料!$B$10,客户自备加工筐明细!$B$4:$B$1203,"&gt;="&amp;$T$1,客户自备加工筐明细!$B$4:$B$1203,"&lt;="&amp;$T$2))</f>
        <v/>
      </c>
      <c r="M76" s="25" t="str">
        <f t="shared" si="6"/>
        <v/>
      </c>
      <c r="N76" s="25" t="str">
        <f t="shared" si="7"/>
        <v/>
      </c>
      <c r="O76" s="25" t="str">
        <f t="shared" si="8"/>
        <v/>
      </c>
      <c r="P76" s="37" t="str">
        <f t="shared" si="9"/>
        <v/>
      </c>
      <c r="Q76" s="27"/>
    </row>
    <row r="77" spans="1:17">
      <c r="A77" s="22" t="str">
        <f t="shared" si="5"/>
        <v/>
      </c>
      <c r="B77" s="37" t="str">
        <f>IFERROR(INDEX(_自动清单!$AM$4:$AM$203,ROW()-3),"")</f>
        <v/>
      </c>
      <c r="C77" s="25" t="str">
        <f>IF(OR($B77="",基础资料!$B$9=""),"",SUMIFS(对接源_01水果筐数!$D$5:$D$304,对接源_01水果筐数!$B$5:$B$304,$B77,对接源_01水果筐数!$C$5:$C$304,基础资料!$B$9))</f>
        <v/>
      </c>
      <c r="D77" s="25" t="str">
        <f>IF(OR($B77="",基础资料!$B$10=""),"",SUMIFS(对接源_01水果筐数!$D$5:$D$304,对接源_01水果筐数!$B$5:$B$304,$B77,对接源_01水果筐数!$C$5:$C$304,基础资料!$B$10))</f>
        <v/>
      </c>
      <c r="E77" s="25" t="str">
        <f>IF(OR($B77="",基础资料!$B$9=""),"",SUMIFS(客户自备加工筐明细!$F$4:$F$1203,客户自备加工筐明细!$E$4:$E$1203,$B77,客户自备加工筐明细!$C$4:$C$1203,基础资料!$B$9,客户自备加工筐明细!$B$4:$B$1203,"&gt;="&amp;$T$1,客户自备加工筐明细!$B$4:$B$1203,"&lt;="&amp;$T$2))</f>
        <v/>
      </c>
      <c r="F77" s="25" t="str">
        <f>IF(OR($B77="",基础资料!$B$10=""),"",SUMIFS(客户自备加工筐明细!$F$4:$F$1203,客户自备加工筐明细!$E$4:$E$1203,$B77,客户自备加工筐明细!$C$4:$C$1203,基础资料!$B$10,客户自备加工筐明细!$B$4:$B$1203,"&gt;="&amp;$T$1,客户自备加工筐明细!$B$4:$B$1203,"&lt;="&amp;$T$2))</f>
        <v/>
      </c>
      <c r="G77" s="67" t="str">
        <f>IF(OR($B77="",基础资料!$B$9=""),"",-SUMIFS(对接源_01水果筐数!$E$5:$E$304,对接源_01水果筐数!$B$5:$B$304,$B77,对接源_01水果筐数!$C$5:$C$304,基础资料!$B$9))</f>
        <v/>
      </c>
      <c r="H77" s="67" t="str">
        <f>IF(OR($B77="",基础资料!$B$10=""),"",-SUMIFS(对接源_01水果筐数!$E$5:$E$304,对接源_01水果筐数!$B$5:$B$304,$B77,对接源_01水果筐数!$C$5:$C$304,基础资料!$B$10))</f>
        <v/>
      </c>
      <c r="I77" s="67" t="str">
        <f>IF(OR($B77="",基础资料!$B$9=""),"",-SUMIFS(对接源_01水果筐数!$F$5:$F$304,对接源_01水果筐数!$B$5:$B$304,$B77,对接源_01水果筐数!$C$5:$C$304,基础资料!$B$9))</f>
        <v/>
      </c>
      <c r="J77" s="67" t="str">
        <f>IF(OR($B77="",基础资料!$B$10=""),"",-SUMIFS(对接源_01水果筐数!$F$5:$F$304,对接源_01水果筐数!$B$5:$B$304,$B77,对接源_01水果筐数!$C$5:$C$304,基础资料!$B$10))</f>
        <v/>
      </c>
      <c r="K77" s="67" t="str">
        <f>IF(OR($B77="",基础资料!$B$9=""),"",-SUMIFS(客户自备加工筐明细!$G$4:$G$1203,客户自备加工筐明细!$E$4:$E$1203,$B77,客户自备加工筐明细!$C$4:$C$1203,基础资料!$B$9,客户自备加工筐明细!$B$4:$B$1203,"&gt;="&amp;$T$1,客户自备加工筐明细!$B$4:$B$1203,"&lt;="&amp;$T$2))</f>
        <v/>
      </c>
      <c r="L77" s="67" t="str">
        <f>IF(OR($B77="",基础资料!$B$10=""),"",-SUMIFS(客户自备加工筐明细!$G$4:$G$1203,客户自备加工筐明细!$E$4:$E$1203,$B77,客户自备加工筐明细!$C$4:$C$1203,基础资料!$B$10,客户自备加工筐明细!$B$4:$B$1203,"&gt;="&amp;$T$1,客户自备加工筐明细!$B$4:$B$1203,"&lt;="&amp;$T$2))</f>
        <v/>
      </c>
      <c r="M77" s="25" t="str">
        <f t="shared" si="6"/>
        <v/>
      </c>
      <c r="N77" s="25" t="str">
        <f t="shared" si="7"/>
        <v/>
      </c>
      <c r="O77" s="25" t="str">
        <f t="shared" si="8"/>
        <v/>
      </c>
      <c r="P77" s="37" t="str">
        <f t="shared" si="9"/>
        <v/>
      </c>
      <c r="Q77" s="27"/>
    </row>
    <row r="78" spans="1:17">
      <c r="A78" s="22" t="str">
        <f t="shared" si="5"/>
        <v/>
      </c>
      <c r="B78" s="37" t="str">
        <f>IFERROR(INDEX(_自动清单!$AM$4:$AM$203,ROW()-3),"")</f>
        <v/>
      </c>
      <c r="C78" s="25" t="str">
        <f>IF(OR($B78="",基础资料!$B$9=""),"",SUMIFS(对接源_01水果筐数!$D$5:$D$304,对接源_01水果筐数!$B$5:$B$304,$B78,对接源_01水果筐数!$C$5:$C$304,基础资料!$B$9))</f>
        <v/>
      </c>
      <c r="D78" s="25" t="str">
        <f>IF(OR($B78="",基础资料!$B$10=""),"",SUMIFS(对接源_01水果筐数!$D$5:$D$304,对接源_01水果筐数!$B$5:$B$304,$B78,对接源_01水果筐数!$C$5:$C$304,基础资料!$B$10))</f>
        <v/>
      </c>
      <c r="E78" s="25" t="str">
        <f>IF(OR($B78="",基础资料!$B$9=""),"",SUMIFS(客户自备加工筐明细!$F$4:$F$1203,客户自备加工筐明细!$E$4:$E$1203,$B78,客户自备加工筐明细!$C$4:$C$1203,基础资料!$B$9,客户自备加工筐明细!$B$4:$B$1203,"&gt;="&amp;$T$1,客户自备加工筐明细!$B$4:$B$1203,"&lt;="&amp;$T$2))</f>
        <v/>
      </c>
      <c r="F78" s="25" t="str">
        <f>IF(OR($B78="",基础资料!$B$10=""),"",SUMIFS(客户自备加工筐明细!$F$4:$F$1203,客户自备加工筐明细!$E$4:$E$1203,$B78,客户自备加工筐明细!$C$4:$C$1203,基础资料!$B$10,客户自备加工筐明细!$B$4:$B$1203,"&gt;="&amp;$T$1,客户自备加工筐明细!$B$4:$B$1203,"&lt;="&amp;$T$2))</f>
        <v/>
      </c>
      <c r="G78" s="67" t="str">
        <f>IF(OR($B78="",基础资料!$B$9=""),"",-SUMIFS(对接源_01水果筐数!$E$5:$E$304,对接源_01水果筐数!$B$5:$B$304,$B78,对接源_01水果筐数!$C$5:$C$304,基础资料!$B$9))</f>
        <v/>
      </c>
      <c r="H78" s="67" t="str">
        <f>IF(OR($B78="",基础资料!$B$10=""),"",-SUMIFS(对接源_01水果筐数!$E$5:$E$304,对接源_01水果筐数!$B$5:$B$304,$B78,对接源_01水果筐数!$C$5:$C$304,基础资料!$B$10))</f>
        <v/>
      </c>
      <c r="I78" s="67" t="str">
        <f>IF(OR($B78="",基础资料!$B$9=""),"",-SUMIFS(对接源_01水果筐数!$F$5:$F$304,对接源_01水果筐数!$B$5:$B$304,$B78,对接源_01水果筐数!$C$5:$C$304,基础资料!$B$9))</f>
        <v/>
      </c>
      <c r="J78" s="67" t="str">
        <f>IF(OR($B78="",基础资料!$B$10=""),"",-SUMIFS(对接源_01水果筐数!$F$5:$F$304,对接源_01水果筐数!$B$5:$B$304,$B78,对接源_01水果筐数!$C$5:$C$304,基础资料!$B$10))</f>
        <v/>
      </c>
      <c r="K78" s="67" t="str">
        <f>IF(OR($B78="",基础资料!$B$9=""),"",-SUMIFS(客户自备加工筐明细!$G$4:$G$1203,客户自备加工筐明细!$E$4:$E$1203,$B78,客户自备加工筐明细!$C$4:$C$1203,基础资料!$B$9,客户自备加工筐明细!$B$4:$B$1203,"&gt;="&amp;$T$1,客户自备加工筐明细!$B$4:$B$1203,"&lt;="&amp;$T$2))</f>
        <v/>
      </c>
      <c r="L78" s="67" t="str">
        <f>IF(OR($B78="",基础资料!$B$10=""),"",-SUMIFS(客户自备加工筐明细!$G$4:$G$1203,客户自备加工筐明细!$E$4:$E$1203,$B78,客户自备加工筐明细!$C$4:$C$1203,基础资料!$B$10,客户自备加工筐明细!$B$4:$B$1203,"&gt;="&amp;$T$1,客户自备加工筐明细!$B$4:$B$1203,"&lt;="&amp;$T$2))</f>
        <v/>
      </c>
      <c r="M78" s="25" t="str">
        <f t="shared" si="6"/>
        <v/>
      </c>
      <c r="N78" s="25" t="str">
        <f t="shared" si="7"/>
        <v/>
      </c>
      <c r="O78" s="25" t="str">
        <f t="shared" si="8"/>
        <v/>
      </c>
      <c r="P78" s="37" t="str">
        <f t="shared" si="9"/>
        <v/>
      </c>
      <c r="Q78" s="27"/>
    </row>
    <row r="79" spans="1:17">
      <c r="A79" s="22" t="str">
        <f t="shared" si="5"/>
        <v/>
      </c>
      <c r="B79" s="37" t="str">
        <f>IFERROR(INDEX(_自动清单!$AM$4:$AM$203,ROW()-3),"")</f>
        <v/>
      </c>
      <c r="C79" s="25" t="str">
        <f>IF(OR($B79="",基础资料!$B$9=""),"",SUMIFS(对接源_01水果筐数!$D$5:$D$304,对接源_01水果筐数!$B$5:$B$304,$B79,对接源_01水果筐数!$C$5:$C$304,基础资料!$B$9))</f>
        <v/>
      </c>
      <c r="D79" s="25" t="str">
        <f>IF(OR($B79="",基础资料!$B$10=""),"",SUMIFS(对接源_01水果筐数!$D$5:$D$304,对接源_01水果筐数!$B$5:$B$304,$B79,对接源_01水果筐数!$C$5:$C$304,基础资料!$B$10))</f>
        <v/>
      </c>
      <c r="E79" s="25" t="str">
        <f>IF(OR($B79="",基础资料!$B$9=""),"",SUMIFS(客户自备加工筐明细!$F$4:$F$1203,客户自备加工筐明细!$E$4:$E$1203,$B79,客户自备加工筐明细!$C$4:$C$1203,基础资料!$B$9,客户自备加工筐明细!$B$4:$B$1203,"&gt;="&amp;$T$1,客户自备加工筐明细!$B$4:$B$1203,"&lt;="&amp;$T$2))</f>
        <v/>
      </c>
      <c r="F79" s="25" t="str">
        <f>IF(OR($B79="",基础资料!$B$10=""),"",SUMIFS(客户自备加工筐明细!$F$4:$F$1203,客户自备加工筐明细!$E$4:$E$1203,$B79,客户自备加工筐明细!$C$4:$C$1203,基础资料!$B$10,客户自备加工筐明细!$B$4:$B$1203,"&gt;="&amp;$T$1,客户自备加工筐明细!$B$4:$B$1203,"&lt;="&amp;$T$2))</f>
        <v/>
      </c>
      <c r="G79" s="67" t="str">
        <f>IF(OR($B79="",基础资料!$B$9=""),"",-SUMIFS(对接源_01水果筐数!$E$5:$E$304,对接源_01水果筐数!$B$5:$B$304,$B79,对接源_01水果筐数!$C$5:$C$304,基础资料!$B$9))</f>
        <v/>
      </c>
      <c r="H79" s="67" t="str">
        <f>IF(OR($B79="",基础资料!$B$10=""),"",-SUMIFS(对接源_01水果筐数!$E$5:$E$304,对接源_01水果筐数!$B$5:$B$304,$B79,对接源_01水果筐数!$C$5:$C$304,基础资料!$B$10))</f>
        <v/>
      </c>
      <c r="I79" s="67" t="str">
        <f>IF(OR($B79="",基础资料!$B$9=""),"",-SUMIFS(对接源_01水果筐数!$F$5:$F$304,对接源_01水果筐数!$B$5:$B$304,$B79,对接源_01水果筐数!$C$5:$C$304,基础资料!$B$9))</f>
        <v/>
      </c>
      <c r="J79" s="67" t="str">
        <f>IF(OR($B79="",基础资料!$B$10=""),"",-SUMIFS(对接源_01水果筐数!$F$5:$F$304,对接源_01水果筐数!$B$5:$B$304,$B79,对接源_01水果筐数!$C$5:$C$304,基础资料!$B$10))</f>
        <v/>
      </c>
      <c r="K79" s="67" t="str">
        <f>IF(OR($B79="",基础资料!$B$9=""),"",-SUMIFS(客户自备加工筐明细!$G$4:$G$1203,客户自备加工筐明细!$E$4:$E$1203,$B79,客户自备加工筐明细!$C$4:$C$1203,基础资料!$B$9,客户自备加工筐明细!$B$4:$B$1203,"&gt;="&amp;$T$1,客户自备加工筐明细!$B$4:$B$1203,"&lt;="&amp;$T$2))</f>
        <v/>
      </c>
      <c r="L79" s="67" t="str">
        <f>IF(OR($B79="",基础资料!$B$10=""),"",-SUMIFS(客户自备加工筐明细!$G$4:$G$1203,客户自备加工筐明细!$E$4:$E$1203,$B79,客户自备加工筐明细!$C$4:$C$1203,基础资料!$B$10,客户自备加工筐明细!$B$4:$B$1203,"&gt;="&amp;$T$1,客户自备加工筐明细!$B$4:$B$1203,"&lt;="&amp;$T$2))</f>
        <v/>
      </c>
      <c r="M79" s="25" t="str">
        <f t="shared" si="6"/>
        <v/>
      </c>
      <c r="N79" s="25" t="str">
        <f t="shared" si="7"/>
        <v/>
      </c>
      <c r="O79" s="25" t="str">
        <f t="shared" si="8"/>
        <v/>
      </c>
      <c r="P79" s="37" t="str">
        <f t="shared" si="9"/>
        <v/>
      </c>
      <c r="Q79" s="27"/>
    </row>
    <row r="80" spans="1:17">
      <c r="A80" s="22" t="str">
        <f t="shared" si="5"/>
        <v/>
      </c>
      <c r="B80" s="37" t="str">
        <f>IFERROR(INDEX(_自动清单!$AM$4:$AM$203,ROW()-3),"")</f>
        <v/>
      </c>
      <c r="C80" s="25" t="str">
        <f>IF(OR($B80="",基础资料!$B$9=""),"",SUMIFS(对接源_01水果筐数!$D$5:$D$304,对接源_01水果筐数!$B$5:$B$304,$B80,对接源_01水果筐数!$C$5:$C$304,基础资料!$B$9))</f>
        <v/>
      </c>
      <c r="D80" s="25" t="str">
        <f>IF(OR($B80="",基础资料!$B$10=""),"",SUMIFS(对接源_01水果筐数!$D$5:$D$304,对接源_01水果筐数!$B$5:$B$304,$B80,对接源_01水果筐数!$C$5:$C$304,基础资料!$B$10))</f>
        <v/>
      </c>
      <c r="E80" s="25" t="str">
        <f>IF(OR($B80="",基础资料!$B$9=""),"",SUMIFS(客户自备加工筐明细!$F$4:$F$1203,客户自备加工筐明细!$E$4:$E$1203,$B80,客户自备加工筐明细!$C$4:$C$1203,基础资料!$B$9,客户自备加工筐明细!$B$4:$B$1203,"&gt;="&amp;$T$1,客户自备加工筐明细!$B$4:$B$1203,"&lt;="&amp;$T$2))</f>
        <v/>
      </c>
      <c r="F80" s="25" t="str">
        <f>IF(OR($B80="",基础资料!$B$10=""),"",SUMIFS(客户自备加工筐明细!$F$4:$F$1203,客户自备加工筐明细!$E$4:$E$1203,$B80,客户自备加工筐明细!$C$4:$C$1203,基础资料!$B$10,客户自备加工筐明细!$B$4:$B$1203,"&gt;="&amp;$T$1,客户自备加工筐明细!$B$4:$B$1203,"&lt;="&amp;$T$2))</f>
        <v/>
      </c>
      <c r="G80" s="67" t="str">
        <f>IF(OR($B80="",基础资料!$B$9=""),"",-SUMIFS(对接源_01水果筐数!$E$5:$E$304,对接源_01水果筐数!$B$5:$B$304,$B80,对接源_01水果筐数!$C$5:$C$304,基础资料!$B$9))</f>
        <v/>
      </c>
      <c r="H80" s="67" t="str">
        <f>IF(OR($B80="",基础资料!$B$10=""),"",-SUMIFS(对接源_01水果筐数!$E$5:$E$304,对接源_01水果筐数!$B$5:$B$304,$B80,对接源_01水果筐数!$C$5:$C$304,基础资料!$B$10))</f>
        <v/>
      </c>
      <c r="I80" s="67" t="str">
        <f>IF(OR($B80="",基础资料!$B$9=""),"",-SUMIFS(对接源_01水果筐数!$F$5:$F$304,对接源_01水果筐数!$B$5:$B$304,$B80,对接源_01水果筐数!$C$5:$C$304,基础资料!$B$9))</f>
        <v/>
      </c>
      <c r="J80" s="67" t="str">
        <f>IF(OR($B80="",基础资料!$B$10=""),"",-SUMIFS(对接源_01水果筐数!$F$5:$F$304,对接源_01水果筐数!$B$5:$B$304,$B80,对接源_01水果筐数!$C$5:$C$304,基础资料!$B$10))</f>
        <v/>
      </c>
      <c r="K80" s="67" t="str">
        <f>IF(OR($B80="",基础资料!$B$9=""),"",-SUMIFS(客户自备加工筐明细!$G$4:$G$1203,客户自备加工筐明细!$E$4:$E$1203,$B80,客户自备加工筐明细!$C$4:$C$1203,基础资料!$B$9,客户自备加工筐明细!$B$4:$B$1203,"&gt;="&amp;$T$1,客户自备加工筐明细!$B$4:$B$1203,"&lt;="&amp;$T$2))</f>
        <v/>
      </c>
      <c r="L80" s="67" t="str">
        <f>IF(OR($B80="",基础资料!$B$10=""),"",-SUMIFS(客户自备加工筐明细!$G$4:$G$1203,客户自备加工筐明细!$E$4:$E$1203,$B80,客户自备加工筐明细!$C$4:$C$1203,基础资料!$B$10,客户自备加工筐明细!$B$4:$B$1203,"&gt;="&amp;$T$1,客户自备加工筐明细!$B$4:$B$1203,"&lt;="&amp;$T$2))</f>
        <v/>
      </c>
      <c r="M80" s="25" t="str">
        <f t="shared" si="6"/>
        <v/>
      </c>
      <c r="N80" s="25" t="str">
        <f t="shared" si="7"/>
        <v/>
      </c>
      <c r="O80" s="25" t="str">
        <f t="shared" si="8"/>
        <v/>
      </c>
      <c r="P80" s="37" t="str">
        <f t="shared" si="9"/>
        <v/>
      </c>
      <c r="Q80" s="27"/>
    </row>
    <row r="81" spans="1:17">
      <c r="A81" s="22" t="str">
        <f t="shared" si="5"/>
        <v/>
      </c>
      <c r="B81" s="37" t="str">
        <f>IFERROR(INDEX(_自动清单!$AM$4:$AM$203,ROW()-3),"")</f>
        <v/>
      </c>
      <c r="C81" s="25" t="str">
        <f>IF(OR($B81="",基础资料!$B$9=""),"",SUMIFS(对接源_01水果筐数!$D$5:$D$304,对接源_01水果筐数!$B$5:$B$304,$B81,对接源_01水果筐数!$C$5:$C$304,基础资料!$B$9))</f>
        <v/>
      </c>
      <c r="D81" s="25" t="str">
        <f>IF(OR($B81="",基础资料!$B$10=""),"",SUMIFS(对接源_01水果筐数!$D$5:$D$304,对接源_01水果筐数!$B$5:$B$304,$B81,对接源_01水果筐数!$C$5:$C$304,基础资料!$B$10))</f>
        <v/>
      </c>
      <c r="E81" s="25" t="str">
        <f>IF(OR($B81="",基础资料!$B$9=""),"",SUMIFS(客户自备加工筐明细!$F$4:$F$1203,客户自备加工筐明细!$E$4:$E$1203,$B81,客户自备加工筐明细!$C$4:$C$1203,基础资料!$B$9,客户自备加工筐明细!$B$4:$B$1203,"&gt;="&amp;$T$1,客户自备加工筐明细!$B$4:$B$1203,"&lt;="&amp;$T$2))</f>
        <v/>
      </c>
      <c r="F81" s="25" t="str">
        <f>IF(OR($B81="",基础资料!$B$10=""),"",SUMIFS(客户自备加工筐明细!$F$4:$F$1203,客户自备加工筐明细!$E$4:$E$1203,$B81,客户自备加工筐明细!$C$4:$C$1203,基础资料!$B$10,客户自备加工筐明细!$B$4:$B$1203,"&gt;="&amp;$T$1,客户自备加工筐明细!$B$4:$B$1203,"&lt;="&amp;$T$2))</f>
        <v/>
      </c>
      <c r="G81" s="67" t="str">
        <f>IF(OR($B81="",基础资料!$B$9=""),"",-SUMIFS(对接源_01水果筐数!$E$5:$E$304,对接源_01水果筐数!$B$5:$B$304,$B81,对接源_01水果筐数!$C$5:$C$304,基础资料!$B$9))</f>
        <v/>
      </c>
      <c r="H81" s="67" t="str">
        <f>IF(OR($B81="",基础资料!$B$10=""),"",-SUMIFS(对接源_01水果筐数!$E$5:$E$304,对接源_01水果筐数!$B$5:$B$304,$B81,对接源_01水果筐数!$C$5:$C$304,基础资料!$B$10))</f>
        <v/>
      </c>
      <c r="I81" s="67" t="str">
        <f>IF(OR($B81="",基础资料!$B$9=""),"",-SUMIFS(对接源_01水果筐数!$F$5:$F$304,对接源_01水果筐数!$B$5:$B$304,$B81,对接源_01水果筐数!$C$5:$C$304,基础资料!$B$9))</f>
        <v/>
      </c>
      <c r="J81" s="67" t="str">
        <f>IF(OR($B81="",基础资料!$B$10=""),"",-SUMIFS(对接源_01水果筐数!$F$5:$F$304,对接源_01水果筐数!$B$5:$B$304,$B81,对接源_01水果筐数!$C$5:$C$304,基础资料!$B$10))</f>
        <v/>
      </c>
      <c r="K81" s="67" t="str">
        <f>IF(OR($B81="",基础资料!$B$9=""),"",-SUMIFS(客户自备加工筐明细!$G$4:$G$1203,客户自备加工筐明细!$E$4:$E$1203,$B81,客户自备加工筐明细!$C$4:$C$1203,基础资料!$B$9,客户自备加工筐明细!$B$4:$B$1203,"&gt;="&amp;$T$1,客户自备加工筐明细!$B$4:$B$1203,"&lt;="&amp;$T$2))</f>
        <v/>
      </c>
      <c r="L81" s="67" t="str">
        <f>IF(OR($B81="",基础资料!$B$10=""),"",-SUMIFS(客户自备加工筐明细!$G$4:$G$1203,客户自备加工筐明细!$E$4:$E$1203,$B81,客户自备加工筐明细!$C$4:$C$1203,基础资料!$B$10,客户自备加工筐明细!$B$4:$B$1203,"&gt;="&amp;$T$1,客户自备加工筐明细!$B$4:$B$1203,"&lt;="&amp;$T$2))</f>
        <v/>
      </c>
      <c r="M81" s="25" t="str">
        <f t="shared" si="6"/>
        <v/>
      </c>
      <c r="N81" s="25" t="str">
        <f t="shared" si="7"/>
        <v/>
      </c>
      <c r="O81" s="25" t="str">
        <f t="shared" si="8"/>
        <v/>
      </c>
      <c r="P81" s="37" t="str">
        <f t="shared" si="9"/>
        <v/>
      </c>
      <c r="Q81" s="27"/>
    </row>
    <row r="82" spans="1:17">
      <c r="A82" s="22" t="str">
        <f t="shared" si="5"/>
        <v/>
      </c>
      <c r="B82" s="37" t="str">
        <f>IFERROR(INDEX(_自动清单!$AM$4:$AM$203,ROW()-3),"")</f>
        <v/>
      </c>
      <c r="C82" s="25" t="str">
        <f>IF(OR($B82="",基础资料!$B$9=""),"",SUMIFS(对接源_01水果筐数!$D$5:$D$304,对接源_01水果筐数!$B$5:$B$304,$B82,对接源_01水果筐数!$C$5:$C$304,基础资料!$B$9))</f>
        <v/>
      </c>
      <c r="D82" s="25" t="str">
        <f>IF(OR($B82="",基础资料!$B$10=""),"",SUMIFS(对接源_01水果筐数!$D$5:$D$304,对接源_01水果筐数!$B$5:$B$304,$B82,对接源_01水果筐数!$C$5:$C$304,基础资料!$B$10))</f>
        <v/>
      </c>
      <c r="E82" s="25" t="str">
        <f>IF(OR($B82="",基础资料!$B$9=""),"",SUMIFS(客户自备加工筐明细!$F$4:$F$1203,客户自备加工筐明细!$E$4:$E$1203,$B82,客户自备加工筐明细!$C$4:$C$1203,基础资料!$B$9,客户自备加工筐明细!$B$4:$B$1203,"&gt;="&amp;$T$1,客户自备加工筐明细!$B$4:$B$1203,"&lt;="&amp;$T$2))</f>
        <v/>
      </c>
      <c r="F82" s="25" t="str">
        <f>IF(OR($B82="",基础资料!$B$10=""),"",SUMIFS(客户自备加工筐明细!$F$4:$F$1203,客户自备加工筐明细!$E$4:$E$1203,$B82,客户自备加工筐明细!$C$4:$C$1203,基础资料!$B$10,客户自备加工筐明细!$B$4:$B$1203,"&gt;="&amp;$T$1,客户自备加工筐明细!$B$4:$B$1203,"&lt;="&amp;$T$2))</f>
        <v/>
      </c>
      <c r="G82" s="67" t="str">
        <f>IF(OR($B82="",基础资料!$B$9=""),"",-SUMIFS(对接源_01水果筐数!$E$5:$E$304,对接源_01水果筐数!$B$5:$B$304,$B82,对接源_01水果筐数!$C$5:$C$304,基础资料!$B$9))</f>
        <v/>
      </c>
      <c r="H82" s="67" t="str">
        <f>IF(OR($B82="",基础资料!$B$10=""),"",-SUMIFS(对接源_01水果筐数!$E$5:$E$304,对接源_01水果筐数!$B$5:$B$304,$B82,对接源_01水果筐数!$C$5:$C$304,基础资料!$B$10))</f>
        <v/>
      </c>
      <c r="I82" s="67" t="str">
        <f>IF(OR($B82="",基础资料!$B$9=""),"",-SUMIFS(对接源_01水果筐数!$F$5:$F$304,对接源_01水果筐数!$B$5:$B$304,$B82,对接源_01水果筐数!$C$5:$C$304,基础资料!$B$9))</f>
        <v/>
      </c>
      <c r="J82" s="67" t="str">
        <f>IF(OR($B82="",基础资料!$B$10=""),"",-SUMIFS(对接源_01水果筐数!$F$5:$F$304,对接源_01水果筐数!$B$5:$B$304,$B82,对接源_01水果筐数!$C$5:$C$304,基础资料!$B$10))</f>
        <v/>
      </c>
      <c r="K82" s="67" t="str">
        <f>IF(OR($B82="",基础资料!$B$9=""),"",-SUMIFS(客户自备加工筐明细!$G$4:$G$1203,客户自备加工筐明细!$E$4:$E$1203,$B82,客户自备加工筐明细!$C$4:$C$1203,基础资料!$B$9,客户自备加工筐明细!$B$4:$B$1203,"&gt;="&amp;$T$1,客户自备加工筐明细!$B$4:$B$1203,"&lt;="&amp;$T$2))</f>
        <v/>
      </c>
      <c r="L82" s="67" t="str">
        <f>IF(OR($B82="",基础资料!$B$10=""),"",-SUMIFS(客户自备加工筐明细!$G$4:$G$1203,客户自备加工筐明细!$E$4:$E$1203,$B82,客户自备加工筐明细!$C$4:$C$1203,基础资料!$B$10,客户自备加工筐明细!$B$4:$B$1203,"&gt;="&amp;$T$1,客户自备加工筐明细!$B$4:$B$1203,"&lt;="&amp;$T$2))</f>
        <v/>
      </c>
      <c r="M82" s="25" t="str">
        <f t="shared" si="6"/>
        <v/>
      </c>
      <c r="N82" s="25" t="str">
        <f t="shared" si="7"/>
        <v/>
      </c>
      <c r="O82" s="25" t="str">
        <f t="shared" si="8"/>
        <v/>
      </c>
      <c r="P82" s="37" t="str">
        <f t="shared" si="9"/>
        <v/>
      </c>
      <c r="Q82" s="27"/>
    </row>
    <row r="83" spans="1:17">
      <c r="A83" s="22" t="str">
        <f t="shared" si="5"/>
        <v/>
      </c>
      <c r="B83" s="37" t="str">
        <f>IFERROR(INDEX(_自动清单!$AM$4:$AM$203,ROW()-3),"")</f>
        <v/>
      </c>
      <c r="C83" s="25" t="str">
        <f>IF(OR($B83="",基础资料!$B$9=""),"",SUMIFS(对接源_01水果筐数!$D$5:$D$304,对接源_01水果筐数!$B$5:$B$304,$B83,对接源_01水果筐数!$C$5:$C$304,基础资料!$B$9))</f>
        <v/>
      </c>
      <c r="D83" s="25" t="str">
        <f>IF(OR($B83="",基础资料!$B$10=""),"",SUMIFS(对接源_01水果筐数!$D$5:$D$304,对接源_01水果筐数!$B$5:$B$304,$B83,对接源_01水果筐数!$C$5:$C$304,基础资料!$B$10))</f>
        <v/>
      </c>
      <c r="E83" s="25" t="str">
        <f>IF(OR($B83="",基础资料!$B$9=""),"",SUMIFS(客户自备加工筐明细!$F$4:$F$1203,客户自备加工筐明细!$E$4:$E$1203,$B83,客户自备加工筐明细!$C$4:$C$1203,基础资料!$B$9,客户自备加工筐明细!$B$4:$B$1203,"&gt;="&amp;$T$1,客户自备加工筐明细!$B$4:$B$1203,"&lt;="&amp;$T$2))</f>
        <v/>
      </c>
      <c r="F83" s="25" t="str">
        <f>IF(OR($B83="",基础资料!$B$10=""),"",SUMIFS(客户自备加工筐明细!$F$4:$F$1203,客户自备加工筐明细!$E$4:$E$1203,$B83,客户自备加工筐明细!$C$4:$C$1203,基础资料!$B$10,客户自备加工筐明细!$B$4:$B$1203,"&gt;="&amp;$T$1,客户自备加工筐明细!$B$4:$B$1203,"&lt;="&amp;$T$2))</f>
        <v/>
      </c>
      <c r="G83" s="67" t="str">
        <f>IF(OR($B83="",基础资料!$B$9=""),"",-SUMIFS(对接源_01水果筐数!$E$5:$E$304,对接源_01水果筐数!$B$5:$B$304,$B83,对接源_01水果筐数!$C$5:$C$304,基础资料!$B$9))</f>
        <v/>
      </c>
      <c r="H83" s="67" t="str">
        <f>IF(OR($B83="",基础资料!$B$10=""),"",-SUMIFS(对接源_01水果筐数!$E$5:$E$304,对接源_01水果筐数!$B$5:$B$304,$B83,对接源_01水果筐数!$C$5:$C$304,基础资料!$B$10))</f>
        <v/>
      </c>
      <c r="I83" s="67" t="str">
        <f>IF(OR($B83="",基础资料!$B$9=""),"",-SUMIFS(对接源_01水果筐数!$F$5:$F$304,对接源_01水果筐数!$B$5:$B$304,$B83,对接源_01水果筐数!$C$5:$C$304,基础资料!$B$9))</f>
        <v/>
      </c>
      <c r="J83" s="67" t="str">
        <f>IF(OR($B83="",基础资料!$B$10=""),"",-SUMIFS(对接源_01水果筐数!$F$5:$F$304,对接源_01水果筐数!$B$5:$B$304,$B83,对接源_01水果筐数!$C$5:$C$304,基础资料!$B$10))</f>
        <v/>
      </c>
      <c r="K83" s="67" t="str">
        <f>IF(OR($B83="",基础资料!$B$9=""),"",-SUMIFS(客户自备加工筐明细!$G$4:$G$1203,客户自备加工筐明细!$E$4:$E$1203,$B83,客户自备加工筐明细!$C$4:$C$1203,基础资料!$B$9,客户自备加工筐明细!$B$4:$B$1203,"&gt;="&amp;$T$1,客户自备加工筐明细!$B$4:$B$1203,"&lt;="&amp;$T$2))</f>
        <v/>
      </c>
      <c r="L83" s="67" t="str">
        <f>IF(OR($B83="",基础资料!$B$10=""),"",-SUMIFS(客户自备加工筐明细!$G$4:$G$1203,客户自备加工筐明细!$E$4:$E$1203,$B83,客户自备加工筐明细!$C$4:$C$1203,基础资料!$B$10,客户自备加工筐明细!$B$4:$B$1203,"&gt;="&amp;$T$1,客户自备加工筐明细!$B$4:$B$1203,"&lt;="&amp;$T$2))</f>
        <v/>
      </c>
      <c r="M83" s="25" t="str">
        <f t="shared" si="6"/>
        <v/>
      </c>
      <c r="N83" s="25" t="str">
        <f t="shared" si="7"/>
        <v/>
      </c>
      <c r="O83" s="25" t="str">
        <f t="shared" si="8"/>
        <v/>
      </c>
      <c r="P83" s="37" t="str">
        <f t="shared" si="9"/>
        <v/>
      </c>
      <c r="Q83" s="27"/>
    </row>
    <row r="84" spans="1:17">
      <c r="A84" s="22" t="str">
        <f t="shared" si="5"/>
        <v/>
      </c>
      <c r="B84" s="37" t="str">
        <f>IFERROR(INDEX(_自动清单!$AM$4:$AM$203,ROW()-3),"")</f>
        <v/>
      </c>
      <c r="C84" s="25" t="str">
        <f>IF(OR($B84="",基础资料!$B$9=""),"",SUMIFS(对接源_01水果筐数!$D$5:$D$304,对接源_01水果筐数!$B$5:$B$304,$B84,对接源_01水果筐数!$C$5:$C$304,基础资料!$B$9))</f>
        <v/>
      </c>
      <c r="D84" s="25" t="str">
        <f>IF(OR($B84="",基础资料!$B$10=""),"",SUMIFS(对接源_01水果筐数!$D$5:$D$304,对接源_01水果筐数!$B$5:$B$304,$B84,对接源_01水果筐数!$C$5:$C$304,基础资料!$B$10))</f>
        <v/>
      </c>
      <c r="E84" s="25" t="str">
        <f>IF(OR($B84="",基础资料!$B$9=""),"",SUMIFS(客户自备加工筐明细!$F$4:$F$1203,客户自备加工筐明细!$E$4:$E$1203,$B84,客户自备加工筐明细!$C$4:$C$1203,基础资料!$B$9,客户自备加工筐明细!$B$4:$B$1203,"&gt;="&amp;$T$1,客户自备加工筐明细!$B$4:$B$1203,"&lt;="&amp;$T$2))</f>
        <v/>
      </c>
      <c r="F84" s="25" t="str">
        <f>IF(OR($B84="",基础资料!$B$10=""),"",SUMIFS(客户自备加工筐明细!$F$4:$F$1203,客户自备加工筐明细!$E$4:$E$1203,$B84,客户自备加工筐明细!$C$4:$C$1203,基础资料!$B$10,客户自备加工筐明细!$B$4:$B$1203,"&gt;="&amp;$T$1,客户自备加工筐明细!$B$4:$B$1203,"&lt;="&amp;$T$2))</f>
        <v/>
      </c>
      <c r="G84" s="67" t="str">
        <f>IF(OR($B84="",基础资料!$B$9=""),"",-SUMIFS(对接源_01水果筐数!$E$5:$E$304,对接源_01水果筐数!$B$5:$B$304,$B84,对接源_01水果筐数!$C$5:$C$304,基础资料!$B$9))</f>
        <v/>
      </c>
      <c r="H84" s="67" t="str">
        <f>IF(OR($B84="",基础资料!$B$10=""),"",-SUMIFS(对接源_01水果筐数!$E$5:$E$304,对接源_01水果筐数!$B$5:$B$304,$B84,对接源_01水果筐数!$C$5:$C$304,基础资料!$B$10))</f>
        <v/>
      </c>
      <c r="I84" s="67" t="str">
        <f>IF(OR($B84="",基础资料!$B$9=""),"",-SUMIFS(对接源_01水果筐数!$F$5:$F$304,对接源_01水果筐数!$B$5:$B$304,$B84,对接源_01水果筐数!$C$5:$C$304,基础资料!$B$9))</f>
        <v/>
      </c>
      <c r="J84" s="67" t="str">
        <f>IF(OR($B84="",基础资料!$B$10=""),"",-SUMIFS(对接源_01水果筐数!$F$5:$F$304,对接源_01水果筐数!$B$5:$B$304,$B84,对接源_01水果筐数!$C$5:$C$304,基础资料!$B$10))</f>
        <v/>
      </c>
      <c r="K84" s="67" t="str">
        <f>IF(OR($B84="",基础资料!$B$9=""),"",-SUMIFS(客户自备加工筐明细!$G$4:$G$1203,客户自备加工筐明细!$E$4:$E$1203,$B84,客户自备加工筐明细!$C$4:$C$1203,基础资料!$B$9,客户自备加工筐明细!$B$4:$B$1203,"&gt;="&amp;$T$1,客户自备加工筐明细!$B$4:$B$1203,"&lt;="&amp;$T$2))</f>
        <v/>
      </c>
      <c r="L84" s="67" t="str">
        <f>IF(OR($B84="",基础资料!$B$10=""),"",-SUMIFS(客户自备加工筐明细!$G$4:$G$1203,客户自备加工筐明细!$E$4:$E$1203,$B84,客户自备加工筐明细!$C$4:$C$1203,基础资料!$B$10,客户自备加工筐明细!$B$4:$B$1203,"&gt;="&amp;$T$1,客户自备加工筐明细!$B$4:$B$1203,"&lt;="&amp;$T$2))</f>
        <v/>
      </c>
      <c r="M84" s="25" t="str">
        <f t="shared" si="6"/>
        <v/>
      </c>
      <c r="N84" s="25" t="str">
        <f t="shared" si="7"/>
        <v/>
      </c>
      <c r="O84" s="25" t="str">
        <f t="shared" si="8"/>
        <v/>
      </c>
      <c r="P84" s="37" t="str">
        <f t="shared" si="9"/>
        <v/>
      </c>
      <c r="Q84" s="27"/>
    </row>
    <row r="85" spans="1:17">
      <c r="A85" s="22" t="str">
        <f t="shared" si="5"/>
        <v/>
      </c>
      <c r="B85" s="37" t="str">
        <f>IFERROR(INDEX(_自动清单!$AM$4:$AM$203,ROW()-3),"")</f>
        <v/>
      </c>
      <c r="C85" s="25" t="str">
        <f>IF(OR($B85="",基础资料!$B$9=""),"",SUMIFS(对接源_01水果筐数!$D$5:$D$304,对接源_01水果筐数!$B$5:$B$304,$B85,对接源_01水果筐数!$C$5:$C$304,基础资料!$B$9))</f>
        <v/>
      </c>
      <c r="D85" s="25" t="str">
        <f>IF(OR($B85="",基础资料!$B$10=""),"",SUMIFS(对接源_01水果筐数!$D$5:$D$304,对接源_01水果筐数!$B$5:$B$304,$B85,对接源_01水果筐数!$C$5:$C$304,基础资料!$B$10))</f>
        <v/>
      </c>
      <c r="E85" s="25" t="str">
        <f>IF(OR($B85="",基础资料!$B$9=""),"",SUMIFS(客户自备加工筐明细!$F$4:$F$1203,客户自备加工筐明细!$E$4:$E$1203,$B85,客户自备加工筐明细!$C$4:$C$1203,基础资料!$B$9,客户自备加工筐明细!$B$4:$B$1203,"&gt;="&amp;$T$1,客户自备加工筐明细!$B$4:$B$1203,"&lt;="&amp;$T$2))</f>
        <v/>
      </c>
      <c r="F85" s="25" t="str">
        <f>IF(OR($B85="",基础资料!$B$10=""),"",SUMIFS(客户自备加工筐明细!$F$4:$F$1203,客户自备加工筐明细!$E$4:$E$1203,$B85,客户自备加工筐明细!$C$4:$C$1203,基础资料!$B$10,客户自备加工筐明细!$B$4:$B$1203,"&gt;="&amp;$T$1,客户自备加工筐明细!$B$4:$B$1203,"&lt;="&amp;$T$2))</f>
        <v/>
      </c>
      <c r="G85" s="67" t="str">
        <f>IF(OR($B85="",基础资料!$B$9=""),"",-SUMIFS(对接源_01水果筐数!$E$5:$E$304,对接源_01水果筐数!$B$5:$B$304,$B85,对接源_01水果筐数!$C$5:$C$304,基础资料!$B$9))</f>
        <v/>
      </c>
      <c r="H85" s="67" t="str">
        <f>IF(OR($B85="",基础资料!$B$10=""),"",-SUMIFS(对接源_01水果筐数!$E$5:$E$304,对接源_01水果筐数!$B$5:$B$304,$B85,对接源_01水果筐数!$C$5:$C$304,基础资料!$B$10))</f>
        <v/>
      </c>
      <c r="I85" s="67" t="str">
        <f>IF(OR($B85="",基础资料!$B$9=""),"",-SUMIFS(对接源_01水果筐数!$F$5:$F$304,对接源_01水果筐数!$B$5:$B$304,$B85,对接源_01水果筐数!$C$5:$C$304,基础资料!$B$9))</f>
        <v/>
      </c>
      <c r="J85" s="67" t="str">
        <f>IF(OR($B85="",基础资料!$B$10=""),"",-SUMIFS(对接源_01水果筐数!$F$5:$F$304,对接源_01水果筐数!$B$5:$B$304,$B85,对接源_01水果筐数!$C$5:$C$304,基础资料!$B$10))</f>
        <v/>
      </c>
      <c r="K85" s="67" t="str">
        <f>IF(OR($B85="",基础资料!$B$9=""),"",-SUMIFS(客户自备加工筐明细!$G$4:$G$1203,客户自备加工筐明细!$E$4:$E$1203,$B85,客户自备加工筐明细!$C$4:$C$1203,基础资料!$B$9,客户自备加工筐明细!$B$4:$B$1203,"&gt;="&amp;$T$1,客户自备加工筐明细!$B$4:$B$1203,"&lt;="&amp;$T$2))</f>
        <v/>
      </c>
      <c r="L85" s="67" t="str">
        <f>IF(OR($B85="",基础资料!$B$10=""),"",-SUMIFS(客户自备加工筐明细!$G$4:$G$1203,客户自备加工筐明细!$E$4:$E$1203,$B85,客户自备加工筐明细!$C$4:$C$1203,基础资料!$B$10,客户自备加工筐明细!$B$4:$B$1203,"&gt;="&amp;$T$1,客户自备加工筐明细!$B$4:$B$1203,"&lt;="&amp;$T$2))</f>
        <v/>
      </c>
      <c r="M85" s="25" t="str">
        <f t="shared" si="6"/>
        <v/>
      </c>
      <c r="N85" s="25" t="str">
        <f t="shared" si="7"/>
        <v/>
      </c>
      <c r="O85" s="25" t="str">
        <f t="shared" si="8"/>
        <v/>
      </c>
      <c r="P85" s="37" t="str">
        <f t="shared" si="9"/>
        <v/>
      </c>
      <c r="Q85" s="27"/>
    </row>
    <row r="86" spans="1:17">
      <c r="A86" s="22" t="str">
        <f t="shared" si="5"/>
        <v/>
      </c>
      <c r="B86" s="37" t="str">
        <f>IFERROR(INDEX(_自动清单!$AM$4:$AM$203,ROW()-3),"")</f>
        <v/>
      </c>
      <c r="C86" s="25" t="str">
        <f>IF(OR($B86="",基础资料!$B$9=""),"",SUMIFS(对接源_01水果筐数!$D$5:$D$304,对接源_01水果筐数!$B$5:$B$304,$B86,对接源_01水果筐数!$C$5:$C$304,基础资料!$B$9))</f>
        <v/>
      </c>
      <c r="D86" s="25" t="str">
        <f>IF(OR($B86="",基础资料!$B$10=""),"",SUMIFS(对接源_01水果筐数!$D$5:$D$304,对接源_01水果筐数!$B$5:$B$304,$B86,对接源_01水果筐数!$C$5:$C$304,基础资料!$B$10))</f>
        <v/>
      </c>
      <c r="E86" s="25" t="str">
        <f>IF(OR($B86="",基础资料!$B$9=""),"",SUMIFS(客户自备加工筐明细!$F$4:$F$1203,客户自备加工筐明细!$E$4:$E$1203,$B86,客户自备加工筐明细!$C$4:$C$1203,基础资料!$B$9,客户自备加工筐明细!$B$4:$B$1203,"&gt;="&amp;$T$1,客户自备加工筐明细!$B$4:$B$1203,"&lt;="&amp;$T$2))</f>
        <v/>
      </c>
      <c r="F86" s="25" t="str">
        <f>IF(OR($B86="",基础资料!$B$10=""),"",SUMIFS(客户自备加工筐明细!$F$4:$F$1203,客户自备加工筐明细!$E$4:$E$1203,$B86,客户自备加工筐明细!$C$4:$C$1203,基础资料!$B$10,客户自备加工筐明细!$B$4:$B$1203,"&gt;="&amp;$T$1,客户自备加工筐明细!$B$4:$B$1203,"&lt;="&amp;$T$2))</f>
        <v/>
      </c>
      <c r="G86" s="67" t="str">
        <f>IF(OR($B86="",基础资料!$B$9=""),"",-SUMIFS(对接源_01水果筐数!$E$5:$E$304,对接源_01水果筐数!$B$5:$B$304,$B86,对接源_01水果筐数!$C$5:$C$304,基础资料!$B$9))</f>
        <v/>
      </c>
      <c r="H86" s="67" t="str">
        <f>IF(OR($B86="",基础资料!$B$10=""),"",-SUMIFS(对接源_01水果筐数!$E$5:$E$304,对接源_01水果筐数!$B$5:$B$304,$B86,对接源_01水果筐数!$C$5:$C$304,基础资料!$B$10))</f>
        <v/>
      </c>
      <c r="I86" s="67" t="str">
        <f>IF(OR($B86="",基础资料!$B$9=""),"",-SUMIFS(对接源_01水果筐数!$F$5:$F$304,对接源_01水果筐数!$B$5:$B$304,$B86,对接源_01水果筐数!$C$5:$C$304,基础资料!$B$9))</f>
        <v/>
      </c>
      <c r="J86" s="67" t="str">
        <f>IF(OR($B86="",基础资料!$B$10=""),"",-SUMIFS(对接源_01水果筐数!$F$5:$F$304,对接源_01水果筐数!$B$5:$B$304,$B86,对接源_01水果筐数!$C$5:$C$304,基础资料!$B$10))</f>
        <v/>
      </c>
      <c r="K86" s="67" t="str">
        <f>IF(OR($B86="",基础资料!$B$9=""),"",-SUMIFS(客户自备加工筐明细!$G$4:$G$1203,客户自备加工筐明细!$E$4:$E$1203,$B86,客户自备加工筐明细!$C$4:$C$1203,基础资料!$B$9,客户自备加工筐明细!$B$4:$B$1203,"&gt;="&amp;$T$1,客户自备加工筐明细!$B$4:$B$1203,"&lt;="&amp;$T$2))</f>
        <v/>
      </c>
      <c r="L86" s="67" t="str">
        <f>IF(OR($B86="",基础资料!$B$10=""),"",-SUMIFS(客户自备加工筐明细!$G$4:$G$1203,客户自备加工筐明细!$E$4:$E$1203,$B86,客户自备加工筐明细!$C$4:$C$1203,基础资料!$B$10,客户自备加工筐明细!$B$4:$B$1203,"&gt;="&amp;$T$1,客户自备加工筐明细!$B$4:$B$1203,"&lt;="&amp;$T$2))</f>
        <v/>
      </c>
      <c r="M86" s="25" t="str">
        <f t="shared" si="6"/>
        <v/>
      </c>
      <c r="N86" s="25" t="str">
        <f t="shared" si="7"/>
        <v/>
      </c>
      <c r="O86" s="25" t="str">
        <f t="shared" si="8"/>
        <v/>
      </c>
      <c r="P86" s="37" t="str">
        <f t="shared" si="9"/>
        <v/>
      </c>
      <c r="Q86" s="27"/>
    </row>
    <row r="87" spans="1:17">
      <c r="A87" s="22" t="str">
        <f t="shared" si="5"/>
        <v/>
      </c>
      <c r="B87" s="37" t="str">
        <f>IFERROR(INDEX(_自动清单!$AM$4:$AM$203,ROW()-3),"")</f>
        <v/>
      </c>
      <c r="C87" s="25" t="str">
        <f>IF(OR($B87="",基础资料!$B$9=""),"",SUMIFS(对接源_01水果筐数!$D$5:$D$304,对接源_01水果筐数!$B$5:$B$304,$B87,对接源_01水果筐数!$C$5:$C$304,基础资料!$B$9))</f>
        <v/>
      </c>
      <c r="D87" s="25" t="str">
        <f>IF(OR($B87="",基础资料!$B$10=""),"",SUMIFS(对接源_01水果筐数!$D$5:$D$304,对接源_01水果筐数!$B$5:$B$304,$B87,对接源_01水果筐数!$C$5:$C$304,基础资料!$B$10))</f>
        <v/>
      </c>
      <c r="E87" s="25" t="str">
        <f>IF(OR($B87="",基础资料!$B$9=""),"",SUMIFS(客户自备加工筐明细!$F$4:$F$1203,客户自备加工筐明细!$E$4:$E$1203,$B87,客户自备加工筐明细!$C$4:$C$1203,基础资料!$B$9,客户自备加工筐明细!$B$4:$B$1203,"&gt;="&amp;$T$1,客户自备加工筐明细!$B$4:$B$1203,"&lt;="&amp;$T$2))</f>
        <v/>
      </c>
      <c r="F87" s="25" t="str">
        <f>IF(OR($B87="",基础资料!$B$10=""),"",SUMIFS(客户自备加工筐明细!$F$4:$F$1203,客户自备加工筐明细!$E$4:$E$1203,$B87,客户自备加工筐明细!$C$4:$C$1203,基础资料!$B$10,客户自备加工筐明细!$B$4:$B$1203,"&gt;="&amp;$T$1,客户自备加工筐明细!$B$4:$B$1203,"&lt;="&amp;$T$2))</f>
        <v/>
      </c>
      <c r="G87" s="67" t="str">
        <f>IF(OR($B87="",基础资料!$B$9=""),"",-SUMIFS(对接源_01水果筐数!$E$5:$E$304,对接源_01水果筐数!$B$5:$B$304,$B87,对接源_01水果筐数!$C$5:$C$304,基础资料!$B$9))</f>
        <v/>
      </c>
      <c r="H87" s="67" t="str">
        <f>IF(OR($B87="",基础资料!$B$10=""),"",-SUMIFS(对接源_01水果筐数!$E$5:$E$304,对接源_01水果筐数!$B$5:$B$304,$B87,对接源_01水果筐数!$C$5:$C$304,基础资料!$B$10))</f>
        <v/>
      </c>
      <c r="I87" s="67" t="str">
        <f>IF(OR($B87="",基础资料!$B$9=""),"",-SUMIFS(对接源_01水果筐数!$F$5:$F$304,对接源_01水果筐数!$B$5:$B$304,$B87,对接源_01水果筐数!$C$5:$C$304,基础资料!$B$9))</f>
        <v/>
      </c>
      <c r="J87" s="67" t="str">
        <f>IF(OR($B87="",基础资料!$B$10=""),"",-SUMIFS(对接源_01水果筐数!$F$5:$F$304,对接源_01水果筐数!$B$5:$B$304,$B87,对接源_01水果筐数!$C$5:$C$304,基础资料!$B$10))</f>
        <v/>
      </c>
      <c r="K87" s="67" t="str">
        <f>IF(OR($B87="",基础资料!$B$9=""),"",-SUMIFS(客户自备加工筐明细!$G$4:$G$1203,客户自备加工筐明细!$E$4:$E$1203,$B87,客户自备加工筐明细!$C$4:$C$1203,基础资料!$B$9,客户自备加工筐明细!$B$4:$B$1203,"&gt;="&amp;$T$1,客户自备加工筐明细!$B$4:$B$1203,"&lt;="&amp;$T$2))</f>
        <v/>
      </c>
      <c r="L87" s="67" t="str">
        <f>IF(OR($B87="",基础资料!$B$10=""),"",-SUMIFS(客户自备加工筐明细!$G$4:$G$1203,客户自备加工筐明细!$E$4:$E$1203,$B87,客户自备加工筐明细!$C$4:$C$1203,基础资料!$B$10,客户自备加工筐明细!$B$4:$B$1203,"&gt;="&amp;$T$1,客户自备加工筐明细!$B$4:$B$1203,"&lt;="&amp;$T$2))</f>
        <v/>
      </c>
      <c r="M87" s="25" t="str">
        <f t="shared" si="6"/>
        <v/>
      </c>
      <c r="N87" s="25" t="str">
        <f t="shared" si="7"/>
        <v/>
      </c>
      <c r="O87" s="25" t="str">
        <f t="shared" si="8"/>
        <v/>
      </c>
      <c r="P87" s="37" t="str">
        <f t="shared" si="9"/>
        <v/>
      </c>
      <c r="Q87" s="27"/>
    </row>
    <row r="88" spans="1:17">
      <c r="A88" s="22" t="str">
        <f t="shared" si="5"/>
        <v/>
      </c>
      <c r="B88" s="37" t="str">
        <f>IFERROR(INDEX(_自动清单!$AM$4:$AM$203,ROW()-3),"")</f>
        <v/>
      </c>
      <c r="C88" s="25" t="str">
        <f>IF(OR($B88="",基础资料!$B$9=""),"",SUMIFS(对接源_01水果筐数!$D$5:$D$304,对接源_01水果筐数!$B$5:$B$304,$B88,对接源_01水果筐数!$C$5:$C$304,基础资料!$B$9))</f>
        <v/>
      </c>
      <c r="D88" s="25" t="str">
        <f>IF(OR($B88="",基础资料!$B$10=""),"",SUMIFS(对接源_01水果筐数!$D$5:$D$304,对接源_01水果筐数!$B$5:$B$304,$B88,对接源_01水果筐数!$C$5:$C$304,基础资料!$B$10))</f>
        <v/>
      </c>
      <c r="E88" s="25" t="str">
        <f>IF(OR($B88="",基础资料!$B$9=""),"",SUMIFS(客户自备加工筐明细!$F$4:$F$1203,客户自备加工筐明细!$E$4:$E$1203,$B88,客户自备加工筐明细!$C$4:$C$1203,基础资料!$B$9,客户自备加工筐明细!$B$4:$B$1203,"&gt;="&amp;$T$1,客户自备加工筐明细!$B$4:$B$1203,"&lt;="&amp;$T$2))</f>
        <v/>
      </c>
      <c r="F88" s="25" t="str">
        <f>IF(OR($B88="",基础资料!$B$10=""),"",SUMIFS(客户自备加工筐明细!$F$4:$F$1203,客户自备加工筐明细!$E$4:$E$1203,$B88,客户自备加工筐明细!$C$4:$C$1203,基础资料!$B$10,客户自备加工筐明细!$B$4:$B$1203,"&gt;="&amp;$T$1,客户自备加工筐明细!$B$4:$B$1203,"&lt;="&amp;$T$2))</f>
        <v/>
      </c>
      <c r="G88" s="67" t="str">
        <f>IF(OR($B88="",基础资料!$B$9=""),"",-SUMIFS(对接源_01水果筐数!$E$5:$E$304,对接源_01水果筐数!$B$5:$B$304,$B88,对接源_01水果筐数!$C$5:$C$304,基础资料!$B$9))</f>
        <v/>
      </c>
      <c r="H88" s="67" t="str">
        <f>IF(OR($B88="",基础资料!$B$10=""),"",-SUMIFS(对接源_01水果筐数!$E$5:$E$304,对接源_01水果筐数!$B$5:$B$304,$B88,对接源_01水果筐数!$C$5:$C$304,基础资料!$B$10))</f>
        <v/>
      </c>
      <c r="I88" s="67" t="str">
        <f>IF(OR($B88="",基础资料!$B$9=""),"",-SUMIFS(对接源_01水果筐数!$F$5:$F$304,对接源_01水果筐数!$B$5:$B$304,$B88,对接源_01水果筐数!$C$5:$C$304,基础资料!$B$9))</f>
        <v/>
      </c>
      <c r="J88" s="67" t="str">
        <f>IF(OR($B88="",基础资料!$B$10=""),"",-SUMIFS(对接源_01水果筐数!$F$5:$F$304,对接源_01水果筐数!$B$5:$B$304,$B88,对接源_01水果筐数!$C$5:$C$304,基础资料!$B$10))</f>
        <v/>
      </c>
      <c r="K88" s="67" t="str">
        <f>IF(OR($B88="",基础资料!$B$9=""),"",-SUMIFS(客户自备加工筐明细!$G$4:$G$1203,客户自备加工筐明细!$E$4:$E$1203,$B88,客户自备加工筐明细!$C$4:$C$1203,基础资料!$B$9,客户自备加工筐明细!$B$4:$B$1203,"&gt;="&amp;$T$1,客户自备加工筐明细!$B$4:$B$1203,"&lt;="&amp;$T$2))</f>
        <v/>
      </c>
      <c r="L88" s="67" t="str">
        <f>IF(OR($B88="",基础资料!$B$10=""),"",-SUMIFS(客户自备加工筐明细!$G$4:$G$1203,客户自备加工筐明细!$E$4:$E$1203,$B88,客户自备加工筐明细!$C$4:$C$1203,基础资料!$B$10,客户自备加工筐明细!$B$4:$B$1203,"&gt;="&amp;$T$1,客户自备加工筐明细!$B$4:$B$1203,"&lt;="&amp;$T$2))</f>
        <v/>
      </c>
      <c r="M88" s="25" t="str">
        <f t="shared" si="6"/>
        <v/>
      </c>
      <c r="N88" s="25" t="str">
        <f t="shared" si="7"/>
        <v/>
      </c>
      <c r="O88" s="25" t="str">
        <f t="shared" si="8"/>
        <v/>
      </c>
      <c r="P88" s="37" t="str">
        <f t="shared" si="9"/>
        <v/>
      </c>
      <c r="Q88" s="27"/>
    </row>
    <row r="89" spans="1:17">
      <c r="A89" s="22" t="str">
        <f t="shared" si="5"/>
        <v/>
      </c>
      <c r="B89" s="37" t="str">
        <f>IFERROR(INDEX(_自动清单!$AM$4:$AM$203,ROW()-3),"")</f>
        <v/>
      </c>
      <c r="C89" s="25" t="str">
        <f>IF(OR($B89="",基础资料!$B$9=""),"",SUMIFS(对接源_01水果筐数!$D$5:$D$304,对接源_01水果筐数!$B$5:$B$304,$B89,对接源_01水果筐数!$C$5:$C$304,基础资料!$B$9))</f>
        <v/>
      </c>
      <c r="D89" s="25" t="str">
        <f>IF(OR($B89="",基础资料!$B$10=""),"",SUMIFS(对接源_01水果筐数!$D$5:$D$304,对接源_01水果筐数!$B$5:$B$304,$B89,对接源_01水果筐数!$C$5:$C$304,基础资料!$B$10))</f>
        <v/>
      </c>
      <c r="E89" s="25" t="str">
        <f>IF(OR($B89="",基础资料!$B$9=""),"",SUMIFS(客户自备加工筐明细!$F$4:$F$1203,客户自备加工筐明细!$E$4:$E$1203,$B89,客户自备加工筐明细!$C$4:$C$1203,基础资料!$B$9,客户自备加工筐明细!$B$4:$B$1203,"&gt;="&amp;$T$1,客户自备加工筐明细!$B$4:$B$1203,"&lt;="&amp;$T$2))</f>
        <v/>
      </c>
      <c r="F89" s="25" t="str">
        <f>IF(OR($B89="",基础资料!$B$10=""),"",SUMIFS(客户自备加工筐明细!$F$4:$F$1203,客户自备加工筐明细!$E$4:$E$1203,$B89,客户自备加工筐明细!$C$4:$C$1203,基础资料!$B$10,客户自备加工筐明细!$B$4:$B$1203,"&gt;="&amp;$T$1,客户自备加工筐明细!$B$4:$B$1203,"&lt;="&amp;$T$2))</f>
        <v/>
      </c>
      <c r="G89" s="67" t="str">
        <f>IF(OR($B89="",基础资料!$B$9=""),"",-SUMIFS(对接源_01水果筐数!$E$5:$E$304,对接源_01水果筐数!$B$5:$B$304,$B89,对接源_01水果筐数!$C$5:$C$304,基础资料!$B$9))</f>
        <v/>
      </c>
      <c r="H89" s="67" t="str">
        <f>IF(OR($B89="",基础资料!$B$10=""),"",-SUMIFS(对接源_01水果筐数!$E$5:$E$304,对接源_01水果筐数!$B$5:$B$304,$B89,对接源_01水果筐数!$C$5:$C$304,基础资料!$B$10))</f>
        <v/>
      </c>
      <c r="I89" s="67" t="str">
        <f>IF(OR($B89="",基础资料!$B$9=""),"",-SUMIFS(对接源_01水果筐数!$F$5:$F$304,对接源_01水果筐数!$B$5:$B$304,$B89,对接源_01水果筐数!$C$5:$C$304,基础资料!$B$9))</f>
        <v/>
      </c>
      <c r="J89" s="67" t="str">
        <f>IF(OR($B89="",基础资料!$B$10=""),"",-SUMIFS(对接源_01水果筐数!$F$5:$F$304,对接源_01水果筐数!$B$5:$B$304,$B89,对接源_01水果筐数!$C$5:$C$304,基础资料!$B$10))</f>
        <v/>
      </c>
      <c r="K89" s="67" t="str">
        <f>IF(OR($B89="",基础资料!$B$9=""),"",-SUMIFS(客户自备加工筐明细!$G$4:$G$1203,客户自备加工筐明细!$E$4:$E$1203,$B89,客户自备加工筐明细!$C$4:$C$1203,基础资料!$B$9,客户自备加工筐明细!$B$4:$B$1203,"&gt;="&amp;$T$1,客户自备加工筐明细!$B$4:$B$1203,"&lt;="&amp;$T$2))</f>
        <v/>
      </c>
      <c r="L89" s="67" t="str">
        <f>IF(OR($B89="",基础资料!$B$10=""),"",-SUMIFS(客户自备加工筐明细!$G$4:$G$1203,客户自备加工筐明细!$E$4:$E$1203,$B89,客户自备加工筐明细!$C$4:$C$1203,基础资料!$B$10,客户自备加工筐明细!$B$4:$B$1203,"&gt;="&amp;$T$1,客户自备加工筐明细!$B$4:$B$1203,"&lt;="&amp;$T$2))</f>
        <v/>
      </c>
      <c r="M89" s="25" t="str">
        <f t="shared" si="6"/>
        <v/>
      </c>
      <c r="N89" s="25" t="str">
        <f t="shared" si="7"/>
        <v/>
      </c>
      <c r="O89" s="25" t="str">
        <f t="shared" si="8"/>
        <v/>
      </c>
      <c r="P89" s="37" t="str">
        <f t="shared" si="9"/>
        <v/>
      </c>
      <c r="Q89" s="27"/>
    </row>
    <row r="90" spans="1:17">
      <c r="A90" s="22" t="str">
        <f t="shared" si="5"/>
        <v/>
      </c>
      <c r="B90" s="37" t="str">
        <f>IFERROR(INDEX(_自动清单!$AM$4:$AM$203,ROW()-3),"")</f>
        <v/>
      </c>
      <c r="C90" s="25" t="str">
        <f>IF(OR($B90="",基础资料!$B$9=""),"",SUMIFS(对接源_01水果筐数!$D$5:$D$304,对接源_01水果筐数!$B$5:$B$304,$B90,对接源_01水果筐数!$C$5:$C$304,基础资料!$B$9))</f>
        <v/>
      </c>
      <c r="D90" s="25" t="str">
        <f>IF(OR($B90="",基础资料!$B$10=""),"",SUMIFS(对接源_01水果筐数!$D$5:$D$304,对接源_01水果筐数!$B$5:$B$304,$B90,对接源_01水果筐数!$C$5:$C$304,基础资料!$B$10))</f>
        <v/>
      </c>
      <c r="E90" s="25" t="str">
        <f>IF(OR($B90="",基础资料!$B$9=""),"",SUMIFS(客户自备加工筐明细!$F$4:$F$1203,客户自备加工筐明细!$E$4:$E$1203,$B90,客户自备加工筐明细!$C$4:$C$1203,基础资料!$B$9,客户自备加工筐明细!$B$4:$B$1203,"&gt;="&amp;$T$1,客户自备加工筐明细!$B$4:$B$1203,"&lt;="&amp;$T$2))</f>
        <v/>
      </c>
      <c r="F90" s="25" t="str">
        <f>IF(OR($B90="",基础资料!$B$10=""),"",SUMIFS(客户自备加工筐明细!$F$4:$F$1203,客户自备加工筐明细!$E$4:$E$1203,$B90,客户自备加工筐明细!$C$4:$C$1203,基础资料!$B$10,客户自备加工筐明细!$B$4:$B$1203,"&gt;="&amp;$T$1,客户自备加工筐明细!$B$4:$B$1203,"&lt;="&amp;$T$2))</f>
        <v/>
      </c>
      <c r="G90" s="67" t="str">
        <f>IF(OR($B90="",基础资料!$B$9=""),"",-SUMIFS(对接源_01水果筐数!$E$5:$E$304,对接源_01水果筐数!$B$5:$B$304,$B90,对接源_01水果筐数!$C$5:$C$304,基础资料!$B$9))</f>
        <v/>
      </c>
      <c r="H90" s="67" t="str">
        <f>IF(OR($B90="",基础资料!$B$10=""),"",-SUMIFS(对接源_01水果筐数!$E$5:$E$304,对接源_01水果筐数!$B$5:$B$304,$B90,对接源_01水果筐数!$C$5:$C$304,基础资料!$B$10))</f>
        <v/>
      </c>
      <c r="I90" s="67" t="str">
        <f>IF(OR($B90="",基础资料!$B$9=""),"",-SUMIFS(对接源_01水果筐数!$F$5:$F$304,对接源_01水果筐数!$B$5:$B$304,$B90,对接源_01水果筐数!$C$5:$C$304,基础资料!$B$9))</f>
        <v/>
      </c>
      <c r="J90" s="67" t="str">
        <f>IF(OR($B90="",基础资料!$B$10=""),"",-SUMIFS(对接源_01水果筐数!$F$5:$F$304,对接源_01水果筐数!$B$5:$B$304,$B90,对接源_01水果筐数!$C$5:$C$304,基础资料!$B$10))</f>
        <v/>
      </c>
      <c r="K90" s="67" t="str">
        <f>IF(OR($B90="",基础资料!$B$9=""),"",-SUMIFS(客户自备加工筐明细!$G$4:$G$1203,客户自备加工筐明细!$E$4:$E$1203,$B90,客户自备加工筐明细!$C$4:$C$1203,基础资料!$B$9,客户自备加工筐明细!$B$4:$B$1203,"&gt;="&amp;$T$1,客户自备加工筐明细!$B$4:$B$1203,"&lt;="&amp;$T$2))</f>
        <v/>
      </c>
      <c r="L90" s="67" t="str">
        <f>IF(OR($B90="",基础资料!$B$10=""),"",-SUMIFS(客户自备加工筐明细!$G$4:$G$1203,客户自备加工筐明细!$E$4:$E$1203,$B90,客户自备加工筐明细!$C$4:$C$1203,基础资料!$B$10,客户自备加工筐明细!$B$4:$B$1203,"&gt;="&amp;$T$1,客户自备加工筐明细!$B$4:$B$1203,"&lt;="&amp;$T$2))</f>
        <v/>
      </c>
      <c r="M90" s="25" t="str">
        <f t="shared" si="6"/>
        <v/>
      </c>
      <c r="N90" s="25" t="str">
        <f t="shared" si="7"/>
        <v/>
      </c>
      <c r="O90" s="25" t="str">
        <f t="shared" si="8"/>
        <v/>
      </c>
      <c r="P90" s="37" t="str">
        <f t="shared" si="9"/>
        <v/>
      </c>
      <c r="Q90" s="27"/>
    </row>
    <row r="91" spans="1:17">
      <c r="A91" s="22" t="str">
        <f t="shared" si="5"/>
        <v/>
      </c>
      <c r="B91" s="37" t="str">
        <f>IFERROR(INDEX(_自动清单!$AM$4:$AM$203,ROW()-3),"")</f>
        <v/>
      </c>
      <c r="C91" s="25" t="str">
        <f>IF(OR($B91="",基础资料!$B$9=""),"",SUMIFS(对接源_01水果筐数!$D$5:$D$304,对接源_01水果筐数!$B$5:$B$304,$B91,对接源_01水果筐数!$C$5:$C$304,基础资料!$B$9))</f>
        <v/>
      </c>
      <c r="D91" s="25" t="str">
        <f>IF(OR($B91="",基础资料!$B$10=""),"",SUMIFS(对接源_01水果筐数!$D$5:$D$304,对接源_01水果筐数!$B$5:$B$304,$B91,对接源_01水果筐数!$C$5:$C$304,基础资料!$B$10))</f>
        <v/>
      </c>
      <c r="E91" s="25" t="str">
        <f>IF(OR($B91="",基础资料!$B$9=""),"",SUMIFS(客户自备加工筐明细!$F$4:$F$1203,客户自备加工筐明细!$E$4:$E$1203,$B91,客户自备加工筐明细!$C$4:$C$1203,基础资料!$B$9,客户自备加工筐明细!$B$4:$B$1203,"&gt;="&amp;$T$1,客户自备加工筐明细!$B$4:$B$1203,"&lt;="&amp;$T$2))</f>
        <v/>
      </c>
      <c r="F91" s="25" t="str">
        <f>IF(OR($B91="",基础资料!$B$10=""),"",SUMIFS(客户自备加工筐明细!$F$4:$F$1203,客户自备加工筐明细!$E$4:$E$1203,$B91,客户自备加工筐明细!$C$4:$C$1203,基础资料!$B$10,客户自备加工筐明细!$B$4:$B$1203,"&gt;="&amp;$T$1,客户自备加工筐明细!$B$4:$B$1203,"&lt;="&amp;$T$2))</f>
        <v/>
      </c>
      <c r="G91" s="67" t="str">
        <f>IF(OR($B91="",基础资料!$B$9=""),"",-SUMIFS(对接源_01水果筐数!$E$5:$E$304,对接源_01水果筐数!$B$5:$B$304,$B91,对接源_01水果筐数!$C$5:$C$304,基础资料!$B$9))</f>
        <v/>
      </c>
      <c r="H91" s="67" t="str">
        <f>IF(OR($B91="",基础资料!$B$10=""),"",-SUMIFS(对接源_01水果筐数!$E$5:$E$304,对接源_01水果筐数!$B$5:$B$304,$B91,对接源_01水果筐数!$C$5:$C$304,基础资料!$B$10))</f>
        <v/>
      </c>
      <c r="I91" s="67" t="str">
        <f>IF(OR($B91="",基础资料!$B$9=""),"",-SUMIFS(对接源_01水果筐数!$F$5:$F$304,对接源_01水果筐数!$B$5:$B$304,$B91,对接源_01水果筐数!$C$5:$C$304,基础资料!$B$9))</f>
        <v/>
      </c>
      <c r="J91" s="67" t="str">
        <f>IF(OR($B91="",基础资料!$B$10=""),"",-SUMIFS(对接源_01水果筐数!$F$5:$F$304,对接源_01水果筐数!$B$5:$B$304,$B91,对接源_01水果筐数!$C$5:$C$304,基础资料!$B$10))</f>
        <v/>
      </c>
      <c r="K91" s="67" t="str">
        <f>IF(OR($B91="",基础资料!$B$9=""),"",-SUMIFS(客户自备加工筐明细!$G$4:$G$1203,客户自备加工筐明细!$E$4:$E$1203,$B91,客户自备加工筐明细!$C$4:$C$1203,基础资料!$B$9,客户自备加工筐明细!$B$4:$B$1203,"&gt;="&amp;$T$1,客户自备加工筐明细!$B$4:$B$1203,"&lt;="&amp;$T$2))</f>
        <v/>
      </c>
      <c r="L91" s="67" t="str">
        <f>IF(OR($B91="",基础资料!$B$10=""),"",-SUMIFS(客户自备加工筐明细!$G$4:$G$1203,客户自备加工筐明细!$E$4:$E$1203,$B91,客户自备加工筐明细!$C$4:$C$1203,基础资料!$B$10,客户自备加工筐明细!$B$4:$B$1203,"&gt;="&amp;$T$1,客户自备加工筐明细!$B$4:$B$1203,"&lt;="&amp;$T$2))</f>
        <v/>
      </c>
      <c r="M91" s="25" t="str">
        <f t="shared" si="6"/>
        <v/>
      </c>
      <c r="N91" s="25" t="str">
        <f t="shared" si="7"/>
        <v/>
      </c>
      <c r="O91" s="25" t="str">
        <f t="shared" si="8"/>
        <v/>
      </c>
      <c r="P91" s="37" t="str">
        <f t="shared" si="9"/>
        <v/>
      </c>
      <c r="Q91" s="27"/>
    </row>
    <row r="92" spans="1:17">
      <c r="A92" s="22" t="str">
        <f t="shared" si="5"/>
        <v/>
      </c>
      <c r="B92" s="37" t="str">
        <f>IFERROR(INDEX(_自动清单!$AM$4:$AM$203,ROW()-3),"")</f>
        <v/>
      </c>
      <c r="C92" s="25" t="str">
        <f>IF(OR($B92="",基础资料!$B$9=""),"",SUMIFS(对接源_01水果筐数!$D$5:$D$304,对接源_01水果筐数!$B$5:$B$304,$B92,对接源_01水果筐数!$C$5:$C$304,基础资料!$B$9))</f>
        <v/>
      </c>
      <c r="D92" s="25" t="str">
        <f>IF(OR($B92="",基础资料!$B$10=""),"",SUMIFS(对接源_01水果筐数!$D$5:$D$304,对接源_01水果筐数!$B$5:$B$304,$B92,对接源_01水果筐数!$C$5:$C$304,基础资料!$B$10))</f>
        <v/>
      </c>
      <c r="E92" s="25" t="str">
        <f>IF(OR($B92="",基础资料!$B$9=""),"",SUMIFS(客户自备加工筐明细!$F$4:$F$1203,客户自备加工筐明细!$E$4:$E$1203,$B92,客户自备加工筐明细!$C$4:$C$1203,基础资料!$B$9,客户自备加工筐明细!$B$4:$B$1203,"&gt;="&amp;$T$1,客户自备加工筐明细!$B$4:$B$1203,"&lt;="&amp;$T$2))</f>
        <v/>
      </c>
      <c r="F92" s="25" t="str">
        <f>IF(OR($B92="",基础资料!$B$10=""),"",SUMIFS(客户自备加工筐明细!$F$4:$F$1203,客户自备加工筐明细!$E$4:$E$1203,$B92,客户自备加工筐明细!$C$4:$C$1203,基础资料!$B$10,客户自备加工筐明细!$B$4:$B$1203,"&gt;="&amp;$T$1,客户自备加工筐明细!$B$4:$B$1203,"&lt;="&amp;$T$2))</f>
        <v/>
      </c>
      <c r="G92" s="67" t="str">
        <f>IF(OR($B92="",基础资料!$B$9=""),"",-SUMIFS(对接源_01水果筐数!$E$5:$E$304,对接源_01水果筐数!$B$5:$B$304,$B92,对接源_01水果筐数!$C$5:$C$304,基础资料!$B$9))</f>
        <v/>
      </c>
      <c r="H92" s="67" t="str">
        <f>IF(OR($B92="",基础资料!$B$10=""),"",-SUMIFS(对接源_01水果筐数!$E$5:$E$304,对接源_01水果筐数!$B$5:$B$304,$B92,对接源_01水果筐数!$C$5:$C$304,基础资料!$B$10))</f>
        <v/>
      </c>
      <c r="I92" s="67" t="str">
        <f>IF(OR($B92="",基础资料!$B$9=""),"",-SUMIFS(对接源_01水果筐数!$F$5:$F$304,对接源_01水果筐数!$B$5:$B$304,$B92,对接源_01水果筐数!$C$5:$C$304,基础资料!$B$9))</f>
        <v/>
      </c>
      <c r="J92" s="67" t="str">
        <f>IF(OR($B92="",基础资料!$B$10=""),"",-SUMIFS(对接源_01水果筐数!$F$5:$F$304,对接源_01水果筐数!$B$5:$B$304,$B92,对接源_01水果筐数!$C$5:$C$304,基础资料!$B$10))</f>
        <v/>
      </c>
      <c r="K92" s="67" t="str">
        <f>IF(OR($B92="",基础资料!$B$9=""),"",-SUMIFS(客户自备加工筐明细!$G$4:$G$1203,客户自备加工筐明细!$E$4:$E$1203,$B92,客户自备加工筐明细!$C$4:$C$1203,基础资料!$B$9,客户自备加工筐明细!$B$4:$B$1203,"&gt;="&amp;$T$1,客户自备加工筐明细!$B$4:$B$1203,"&lt;="&amp;$T$2))</f>
        <v/>
      </c>
      <c r="L92" s="67" t="str">
        <f>IF(OR($B92="",基础资料!$B$10=""),"",-SUMIFS(客户自备加工筐明细!$G$4:$G$1203,客户自备加工筐明细!$E$4:$E$1203,$B92,客户自备加工筐明细!$C$4:$C$1203,基础资料!$B$10,客户自备加工筐明细!$B$4:$B$1203,"&gt;="&amp;$T$1,客户自备加工筐明细!$B$4:$B$1203,"&lt;="&amp;$T$2))</f>
        <v/>
      </c>
      <c r="M92" s="25" t="str">
        <f t="shared" si="6"/>
        <v/>
      </c>
      <c r="N92" s="25" t="str">
        <f t="shared" si="7"/>
        <v/>
      </c>
      <c r="O92" s="25" t="str">
        <f t="shared" si="8"/>
        <v/>
      </c>
      <c r="P92" s="37" t="str">
        <f t="shared" si="9"/>
        <v/>
      </c>
      <c r="Q92" s="27"/>
    </row>
    <row r="93" spans="1:17">
      <c r="A93" s="22" t="str">
        <f t="shared" si="5"/>
        <v/>
      </c>
      <c r="B93" s="37" t="str">
        <f>IFERROR(INDEX(_自动清单!$AM$4:$AM$203,ROW()-3),"")</f>
        <v/>
      </c>
      <c r="C93" s="25" t="str">
        <f>IF(OR($B93="",基础资料!$B$9=""),"",SUMIFS(对接源_01水果筐数!$D$5:$D$304,对接源_01水果筐数!$B$5:$B$304,$B93,对接源_01水果筐数!$C$5:$C$304,基础资料!$B$9))</f>
        <v/>
      </c>
      <c r="D93" s="25" t="str">
        <f>IF(OR($B93="",基础资料!$B$10=""),"",SUMIFS(对接源_01水果筐数!$D$5:$D$304,对接源_01水果筐数!$B$5:$B$304,$B93,对接源_01水果筐数!$C$5:$C$304,基础资料!$B$10))</f>
        <v/>
      </c>
      <c r="E93" s="25" t="str">
        <f>IF(OR($B93="",基础资料!$B$9=""),"",SUMIFS(客户自备加工筐明细!$F$4:$F$1203,客户自备加工筐明细!$E$4:$E$1203,$B93,客户自备加工筐明细!$C$4:$C$1203,基础资料!$B$9,客户自备加工筐明细!$B$4:$B$1203,"&gt;="&amp;$T$1,客户自备加工筐明细!$B$4:$B$1203,"&lt;="&amp;$T$2))</f>
        <v/>
      </c>
      <c r="F93" s="25" t="str">
        <f>IF(OR($B93="",基础资料!$B$10=""),"",SUMIFS(客户自备加工筐明细!$F$4:$F$1203,客户自备加工筐明细!$E$4:$E$1203,$B93,客户自备加工筐明细!$C$4:$C$1203,基础资料!$B$10,客户自备加工筐明细!$B$4:$B$1203,"&gt;="&amp;$T$1,客户自备加工筐明细!$B$4:$B$1203,"&lt;="&amp;$T$2))</f>
        <v/>
      </c>
      <c r="G93" s="67" t="str">
        <f>IF(OR($B93="",基础资料!$B$9=""),"",-SUMIFS(对接源_01水果筐数!$E$5:$E$304,对接源_01水果筐数!$B$5:$B$304,$B93,对接源_01水果筐数!$C$5:$C$304,基础资料!$B$9))</f>
        <v/>
      </c>
      <c r="H93" s="67" t="str">
        <f>IF(OR($B93="",基础资料!$B$10=""),"",-SUMIFS(对接源_01水果筐数!$E$5:$E$304,对接源_01水果筐数!$B$5:$B$304,$B93,对接源_01水果筐数!$C$5:$C$304,基础资料!$B$10))</f>
        <v/>
      </c>
      <c r="I93" s="67" t="str">
        <f>IF(OR($B93="",基础资料!$B$9=""),"",-SUMIFS(对接源_01水果筐数!$F$5:$F$304,对接源_01水果筐数!$B$5:$B$304,$B93,对接源_01水果筐数!$C$5:$C$304,基础资料!$B$9))</f>
        <v/>
      </c>
      <c r="J93" s="67" t="str">
        <f>IF(OR($B93="",基础资料!$B$10=""),"",-SUMIFS(对接源_01水果筐数!$F$5:$F$304,对接源_01水果筐数!$B$5:$B$304,$B93,对接源_01水果筐数!$C$5:$C$304,基础资料!$B$10))</f>
        <v/>
      </c>
      <c r="K93" s="67" t="str">
        <f>IF(OR($B93="",基础资料!$B$9=""),"",-SUMIFS(客户自备加工筐明细!$G$4:$G$1203,客户自备加工筐明细!$E$4:$E$1203,$B93,客户自备加工筐明细!$C$4:$C$1203,基础资料!$B$9,客户自备加工筐明细!$B$4:$B$1203,"&gt;="&amp;$T$1,客户自备加工筐明细!$B$4:$B$1203,"&lt;="&amp;$T$2))</f>
        <v/>
      </c>
      <c r="L93" s="67" t="str">
        <f>IF(OR($B93="",基础资料!$B$10=""),"",-SUMIFS(客户自备加工筐明细!$G$4:$G$1203,客户自备加工筐明细!$E$4:$E$1203,$B93,客户自备加工筐明细!$C$4:$C$1203,基础资料!$B$10,客户自备加工筐明细!$B$4:$B$1203,"&gt;="&amp;$T$1,客户自备加工筐明细!$B$4:$B$1203,"&lt;="&amp;$T$2))</f>
        <v/>
      </c>
      <c r="M93" s="25" t="str">
        <f t="shared" si="6"/>
        <v/>
      </c>
      <c r="N93" s="25" t="str">
        <f t="shared" si="7"/>
        <v/>
      </c>
      <c r="O93" s="25" t="str">
        <f t="shared" si="8"/>
        <v/>
      </c>
      <c r="P93" s="37" t="str">
        <f t="shared" si="9"/>
        <v/>
      </c>
      <c r="Q93" s="27"/>
    </row>
    <row r="94" spans="1:17">
      <c r="A94" s="22" t="str">
        <f t="shared" si="5"/>
        <v/>
      </c>
      <c r="B94" s="37" t="str">
        <f>IFERROR(INDEX(_自动清单!$AM$4:$AM$203,ROW()-3),"")</f>
        <v/>
      </c>
      <c r="C94" s="25" t="str">
        <f>IF(OR($B94="",基础资料!$B$9=""),"",SUMIFS(对接源_01水果筐数!$D$5:$D$304,对接源_01水果筐数!$B$5:$B$304,$B94,对接源_01水果筐数!$C$5:$C$304,基础资料!$B$9))</f>
        <v/>
      </c>
      <c r="D94" s="25" t="str">
        <f>IF(OR($B94="",基础资料!$B$10=""),"",SUMIFS(对接源_01水果筐数!$D$5:$D$304,对接源_01水果筐数!$B$5:$B$304,$B94,对接源_01水果筐数!$C$5:$C$304,基础资料!$B$10))</f>
        <v/>
      </c>
      <c r="E94" s="25" t="str">
        <f>IF(OR($B94="",基础资料!$B$9=""),"",SUMIFS(客户自备加工筐明细!$F$4:$F$1203,客户自备加工筐明细!$E$4:$E$1203,$B94,客户自备加工筐明细!$C$4:$C$1203,基础资料!$B$9,客户自备加工筐明细!$B$4:$B$1203,"&gt;="&amp;$T$1,客户自备加工筐明细!$B$4:$B$1203,"&lt;="&amp;$T$2))</f>
        <v/>
      </c>
      <c r="F94" s="25" t="str">
        <f>IF(OR($B94="",基础资料!$B$10=""),"",SUMIFS(客户自备加工筐明细!$F$4:$F$1203,客户自备加工筐明细!$E$4:$E$1203,$B94,客户自备加工筐明细!$C$4:$C$1203,基础资料!$B$10,客户自备加工筐明细!$B$4:$B$1203,"&gt;="&amp;$T$1,客户自备加工筐明细!$B$4:$B$1203,"&lt;="&amp;$T$2))</f>
        <v/>
      </c>
      <c r="G94" s="67" t="str">
        <f>IF(OR($B94="",基础资料!$B$9=""),"",-SUMIFS(对接源_01水果筐数!$E$5:$E$304,对接源_01水果筐数!$B$5:$B$304,$B94,对接源_01水果筐数!$C$5:$C$304,基础资料!$B$9))</f>
        <v/>
      </c>
      <c r="H94" s="67" t="str">
        <f>IF(OR($B94="",基础资料!$B$10=""),"",-SUMIFS(对接源_01水果筐数!$E$5:$E$304,对接源_01水果筐数!$B$5:$B$304,$B94,对接源_01水果筐数!$C$5:$C$304,基础资料!$B$10))</f>
        <v/>
      </c>
      <c r="I94" s="67" t="str">
        <f>IF(OR($B94="",基础资料!$B$9=""),"",-SUMIFS(对接源_01水果筐数!$F$5:$F$304,对接源_01水果筐数!$B$5:$B$304,$B94,对接源_01水果筐数!$C$5:$C$304,基础资料!$B$9))</f>
        <v/>
      </c>
      <c r="J94" s="67" t="str">
        <f>IF(OR($B94="",基础资料!$B$10=""),"",-SUMIFS(对接源_01水果筐数!$F$5:$F$304,对接源_01水果筐数!$B$5:$B$304,$B94,对接源_01水果筐数!$C$5:$C$304,基础资料!$B$10))</f>
        <v/>
      </c>
      <c r="K94" s="67" t="str">
        <f>IF(OR($B94="",基础资料!$B$9=""),"",-SUMIFS(客户自备加工筐明细!$G$4:$G$1203,客户自备加工筐明细!$E$4:$E$1203,$B94,客户自备加工筐明细!$C$4:$C$1203,基础资料!$B$9,客户自备加工筐明细!$B$4:$B$1203,"&gt;="&amp;$T$1,客户自备加工筐明细!$B$4:$B$1203,"&lt;="&amp;$T$2))</f>
        <v/>
      </c>
      <c r="L94" s="67" t="str">
        <f>IF(OR($B94="",基础资料!$B$10=""),"",-SUMIFS(客户自备加工筐明细!$G$4:$G$1203,客户自备加工筐明细!$E$4:$E$1203,$B94,客户自备加工筐明细!$C$4:$C$1203,基础资料!$B$10,客户自备加工筐明细!$B$4:$B$1203,"&gt;="&amp;$T$1,客户自备加工筐明细!$B$4:$B$1203,"&lt;="&amp;$T$2))</f>
        <v/>
      </c>
      <c r="M94" s="25" t="str">
        <f t="shared" si="6"/>
        <v/>
      </c>
      <c r="N94" s="25" t="str">
        <f t="shared" si="7"/>
        <v/>
      </c>
      <c r="O94" s="25" t="str">
        <f t="shared" si="8"/>
        <v/>
      </c>
      <c r="P94" s="37" t="str">
        <f t="shared" si="9"/>
        <v/>
      </c>
      <c r="Q94" s="27"/>
    </row>
    <row r="95" spans="1:17">
      <c r="A95" s="22" t="str">
        <f t="shared" si="5"/>
        <v/>
      </c>
      <c r="B95" s="37" t="str">
        <f>IFERROR(INDEX(_自动清单!$AM$4:$AM$203,ROW()-3),"")</f>
        <v/>
      </c>
      <c r="C95" s="25" t="str">
        <f>IF(OR($B95="",基础资料!$B$9=""),"",SUMIFS(对接源_01水果筐数!$D$5:$D$304,对接源_01水果筐数!$B$5:$B$304,$B95,对接源_01水果筐数!$C$5:$C$304,基础资料!$B$9))</f>
        <v/>
      </c>
      <c r="D95" s="25" t="str">
        <f>IF(OR($B95="",基础资料!$B$10=""),"",SUMIFS(对接源_01水果筐数!$D$5:$D$304,对接源_01水果筐数!$B$5:$B$304,$B95,对接源_01水果筐数!$C$5:$C$304,基础资料!$B$10))</f>
        <v/>
      </c>
      <c r="E95" s="25" t="str">
        <f>IF(OR($B95="",基础资料!$B$9=""),"",SUMIFS(客户自备加工筐明细!$F$4:$F$1203,客户自备加工筐明细!$E$4:$E$1203,$B95,客户自备加工筐明细!$C$4:$C$1203,基础资料!$B$9,客户自备加工筐明细!$B$4:$B$1203,"&gt;="&amp;$T$1,客户自备加工筐明细!$B$4:$B$1203,"&lt;="&amp;$T$2))</f>
        <v/>
      </c>
      <c r="F95" s="25" t="str">
        <f>IF(OR($B95="",基础资料!$B$10=""),"",SUMIFS(客户自备加工筐明细!$F$4:$F$1203,客户自备加工筐明细!$E$4:$E$1203,$B95,客户自备加工筐明细!$C$4:$C$1203,基础资料!$B$10,客户自备加工筐明细!$B$4:$B$1203,"&gt;="&amp;$T$1,客户自备加工筐明细!$B$4:$B$1203,"&lt;="&amp;$T$2))</f>
        <v/>
      </c>
      <c r="G95" s="67" t="str">
        <f>IF(OR($B95="",基础资料!$B$9=""),"",-SUMIFS(对接源_01水果筐数!$E$5:$E$304,对接源_01水果筐数!$B$5:$B$304,$B95,对接源_01水果筐数!$C$5:$C$304,基础资料!$B$9))</f>
        <v/>
      </c>
      <c r="H95" s="67" t="str">
        <f>IF(OR($B95="",基础资料!$B$10=""),"",-SUMIFS(对接源_01水果筐数!$E$5:$E$304,对接源_01水果筐数!$B$5:$B$304,$B95,对接源_01水果筐数!$C$5:$C$304,基础资料!$B$10))</f>
        <v/>
      </c>
      <c r="I95" s="67" t="str">
        <f>IF(OR($B95="",基础资料!$B$9=""),"",-SUMIFS(对接源_01水果筐数!$F$5:$F$304,对接源_01水果筐数!$B$5:$B$304,$B95,对接源_01水果筐数!$C$5:$C$304,基础资料!$B$9))</f>
        <v/>
      </c>
      <c r="J95" s="67" t="str">
        <f>IF(OR($B95="",基础资料!$B$10=""),"",-SUMIFS(对接源_01水果筐数!$F$5:$F$304,对接源_01水果筐数!$B$5:$B$304,$B95,对接源_01水果筐数!$C$5:$C$304,基础资料!$B$10))</f>
        <v/>
      </c>
      <c r="K95" s="67" t="str">
        <f>IF(OR($B95="",基础资料!$B$9=""),"",-SUMIFS(客户自备加工筐明细!$G$4:$G$1203,客户自备加工筐明细!$E$4:$E$1203,$B95,客户自备加工筐明细!$C$4:$C$1203,基础资料!$B$9,客户自备加工筐明细!$B$4:$B$1203,"&gt;="&amp;$T$1,客户自备加工筐明细!$B$4:$B$1203,"&lt;="&amp;$T$2))</f>
        <v/>
      </c>
      <c r="L95" s="67" t="str">
        <f>IF(OR($B95="",基础资料!$B$10=""),"",-SUMIFS(客户自备加工筐明细!$G$4:$G$1203,客户自备加工筐明细!$E$4:$E$1203,$B95,客户自备加工筐明细!$C$4:$C$1203,基础资料!$B$10,客户自备加工筐明细!$B$4:$B$1203,"&gt;="&amp;$T$1,客户自备加工筐明细!$B$4:$B$1203,"&lt;="&amp;$T$2))</f>
        <v/>
      </c>
      <c r="M95" s="25" t="str">
        <f t="shared" si="6"/>
        <v/>
      </c>
      <c r="N95" s="25" t="str">
        <f t="shared" si="7"/>
        <v/>
      </c>
      <c r="O95" s="25" t="str">
        <f t="shared" si="8"/>
        <v/>
      </c>
      <c r="P95" s="37" t="str">
        <f t="shared" si="9"/>
        <v/>
      </c>
      <c r="Q95" s="27"/>
    </row>
    <row r="96" spans="1:17">
      <c r="A96" s="22" t="str">
        <f t="shared" si="5"/>
        <v/>
      </c>
      <c r="B96" s="37" t="str">
        <f>IFERROR(INDEX(_自动清单!$AM$4:$AM$203,ROW()-3),"")</f>
        <v/>
      </c>
      <c r="C96" s="25" t="str">
        <f>IF(OR($B96="",基础资料!$B$9=""),"",SUMIFS(对接源_01水果筐数!$D$5:$D$304,对接源_01水果筐数!$B$5:$B$304,$B96,对接源_01水果筐数!$C$5:$C$304,基础资料!$B$9))</f>
        <v/>
      </c>
      <c r="D96" s="25" t="str">
        <f>IF(OR($B96="",基础资料!$B$10=""),"",SUMIFS(对接源_01水果筐数!$D$5:$D$304,对接源_01水果筐数!$B$5:$B$304,$B96,对接源_01水果筐数!$C$5:$C$304,基础资料!$B$10))</f>
        <v/>
      </c>
      <c r="E96" s="25" t="str">
        <f>IF(OR($B96="",基础资料!$B$9=""),"",SUMIFS(客户自备加工筐明细!$F$4:$F$1203,客户自备加工筐明细!$E$4:$E$1203,$B96,客户自备加工筐明细!$C$4:$C$1203,基础资料!$B$9,客户自备加工筐明细!$B$4:$B$1203,"&gt;="&amp;$T$1,客户自备加工筐明细!$B$4:$B$1203,"&lt;="&amp;$T$2))</f>
        <v/>
      </c>
      <c r="F96" s="25" t="str">
        <f>IF(OR($B96="",基础资料!$B$10=""),"",SUMIFS(客户自备加工筐明细!$F$4:$F$1203,客户自备加工筐明细!$E$4:$E$1203,$B96,客户自备加工筐明细!$C$4:$C$1203,基础资料!$B$10,客户自备加工筐明细!$B$4:$B$1203,"&gt;="&amp;$T$1,客户自备加工筐明细!$B$4:$B$1203,"&lt;="&amp;$T$2))</f>
        <v/>
      </c>
      <c r="G96" s="67" t="str">
        <f>IF(OR($B96="",基础资料!$B$9=""),"",-SUMIFS(对接源_01水果筐数!$E$5:$E$304,对接源_01水果筐数!$B$5:$B$304,$B96,对接源_01水果筐数!$C$5:$C$304,基础资料!$B$9))</f>
        <v/>
      </c>
      <c r="H96" s="67" t="str">
        <f>IF(OR($B96="",基础资料!$B$10=""),"",-SUMIFS(对接源_01水果筐数!$E$5:$E$304,对接源_01水果筐数!$B$5:$B$304,$B96,对接源_01水果筐数!$C$5:$C$304,基础资料!$B$10))</f>
        <v/>
      </c>
      <c r="I96" s="67" t="str">
        <f>IF(OR($B96="",基础资料!$B$9=""),"",-SUMIFS(对接源_01水果筐数!$F$5:$F$304,对接源_01水果筐数!$B$5:$B$304,$B96,对接源_01水果筐数!$C$5:$C$304,基础资料!$B$9))</f>
        <v/>
      </c>
      <c r="J96" s="67" t="str">
        <f>IF(OR($B96="",基础资料!$B$10=""),"",-SUMIFS(对接源_01水果筐数!$F$5:$F$304,对接源_01水果筐数!$B$5:$B$304,$B96,对接源_01水果筐数!$C$5:$C$304,基础资料!$B$10))</f>
        <v/>
      </c>
      <c r="K96" s="67" t="str">
        <f>IF(OR($B96="",基础资料!$B$9=""),"",-SUMIFS(客户自备加工筐明细!$G$4:$G$1203,客户自备加工筐明细!$E$4:$E$1203,$B96,客户自备加工筐明细!$C$4:$C$1203,基础资料!$B$9,客户自备加工筐明细!$B$4:$B$1203,"&gt;="&amp;$T$1,客户自备加工筐明细!$B$4:$B$1203,"&lt;="&amp;$T$2))</f>
        <v/>
      </c>
      <c r="L96" s="67" t="str">
        <f>IF(OR($B96="",基础资料!$B$10=""),"",-SUMIFS(客户自备加工筐明细!$G$4:$G$1203,客户自备加工筐明细!$E$4:$E$1203,$B96,客户自备加工筐明细!$C$4:$C$1203,基础资料!$B$10,客户自备加工筐明细!$B$4:$B$1203,"&gt;="&amp;$T$1,客户自备加工筐明细!$B$4:$B$1203,"&lt;="&amp;$T$2))</f>
        <v/>
      </c>
      <c r="M96" s="25" t="str">
        <f t="shared" si="6"/>
        <v/>
      </c>
      <c r="N96" s="25" t="str">
        <f t="shared" si="7"/>
        <v/>
      </c>
      <c r="O96" s="25" t="str">
        <f t="shared" si="8"/>
        <v/>
      </c>
      <c r="P96" s="37" t="str">
        <f t="shared" si="9"/>
        <v/>
      </c>
      <c r="Q96" s="27"/>
    </row>
    <row r="97" spans="1:17">
      <c r="A97" s="22" t="str">
        <f t="shared" si="5"/>
        <v/>
      </c>
      <c r="B97" s="37" t="str">
        <f>IFERROR(INDEX(_自动清单!$AM$4:$AM$203,ROW()-3),"")</f>
        <v/>
      </c>
      <c r="C97" s="25" t="str">
        <f>IF(OR($B97="",基础资料!$B$9=""),"",SUMIFS(对接源_01水果筐数!$D$5:$D$304,对接源_01水果筐数!$B$5:$B$304,$B97,对接源_01水果筐数!$C$5:$C$304,基础资料!$B$9))</f>
        <v/>
      </c>
      <c r="D97" s="25" t="str">
        <f>IF(OR($B97="",基础资料!$B$10=""),"",SUMIFS(对接源_01水果筐数!$D$5:$D$304,对接源_01水果筐数!$B$5:$B$304,$B97,对接源_01水果筐数!$C$5:$C$304,基础资料!$B$10))</f>
        <v/>
      </c>
      <c r="E97" s="25" t="str">
        <f>IF(OR($B97="",基础资料!$B$9=""),"",SUMIFS(客户自备加工筐明细!$F$4:$F$1203,客户自备加工筐明细!$E$4:$E$1203,$B97,客户自备加工筐明细!$C$4:$C$1203,基础资料!$B$9,客户自备加工筐明细!$B$4:$B$1203,"&gt;="&amp;$T$1,客户自备加工筐明细!$B$4:$B$1203,"&lt;="&amp;$T$2))</f>
        <v/>
      </c>
      <c r="F97" s="25" t="str">
        <f>IF(OR($B97="",基础资料!$B$10=""),"",SUMIFS(客户自备加工筐明细!$F$4:$F$1203,客户自备加工筐明细!$E$4:$E$1203,$B97,客户自备加工筐明细!$C$4:$C$1203,基础资料!$B$10,客户自备加工筐明细!$B$4:$B$1203,"&gt;="&amp;$T$1,客户自备加工筐明细!$B$4:$B$1203,"&lt;="&amp;$T$2))</f>
        <v/>
      </c>
      <c r="G97" s="67" t="str">
        <f>IF(OR($B97="",基础资料!$B$9=""),"",-SUMIFS(对接源_01水果筐数!$E$5:$E$304,对接源_01水果筐数!$B$5:$B$304,$B97,对接源_01水果筐数!$C$5:$C$304,基础资料!$B$9))</f>
        <v/>
      </c>
      <c r="H97" s="67" t="str">
        <f>IF(OR($B97="",基础资料!$B$10=""),"",-SUMIFS(对接源_01水果筐数!$E$5:$E$304,对接源_01水果筐数!$B$5:$B$304,$B97,对接源_01水果筐数!$C$5:$C$304,基础资料!$B$10))</f>
        <v/>
      </c>
      <c r="I97" s="67" t="str">
        <f>IF(OR($B97="",基础资料!$B$9=""),"",-SUMIFS(对接源_01水果筐数!$F$5:$F$304,对接源_01水果筐数!$B$5:$B$304,$B97,对接源_01水果筐数!$C$5:$C$304,基础资料!$B$9))</f>
        <v/>
      </c>
      <c r="J97" s="67" t="str">
        <f>IF(OR($B97="",基础资料!$B$10=""),"",-SUMIFS(对接源_01水果筐数!$F$5:$F$304,对接源_01水果筐数!$B$5:$B$304,$B97,对接源_01水果筐数!$C$5:$C$304,基础资料!$B$10))</f>
        <v/>
      </c>
      <c r="K97" s="67" t="str">
        <f>IF(OR($B97="",基础资料!$B$9=""),"",-SUMIFS(客户自备加工筐明细!$G$4:$G$1203,客户自备加工筐明细!$E$4:$E$1203,$B97,客户自备加工筐明细!$C$4:$C$1203,基础资料!$B$9,客户自备加工筐明细!$B$4:$B$1203,"&gt;="&amp;$T$1,客户自备加工筐明细!$B$4:$B$1203,"&lt;="&amp;$T$2))</f>
        <v/>
      </c>
      <c r="L97" s="67" t="str">
        <f>IF(OR($B97="",基础资料!$B$10=""),"",-SUMIFS(客户自备加工筐明细!$G$4:$G$1203,客户自备加工筐明细!$E$4:$E$1203,$B97,客户自备加工筐明细!$C$4:$C$1203,基础资料!$B$10,客户自备加工筐明细!$B$4:$B$1203,"&gt;="&amp;$T$1,客户自备加工筐明细!$B$4:$B$1203,"&lt;="&amp;$T$2))</f>
        <v/>
      </c>
      <c r="M97" s="25" t="str">
        <f t="shared" si="6"/>
        <v/>
      </c>
      <c r="N97" s="25" t="str">
        <f t="shared" si="7"/>
        <v/>
      </c>
      <c r="O97" s="25" t="str">
        <f t="shared" si="8"/>
        <v/>
      </c>
      <c r="P97" s="37" t="str">
        <f t="shared" si="9"/>
        <v/>
      </c>
      <c r="Q97" s="27"/>
    </row>
    <row r="98" spans="1:17">
      <c r="A98" s="22" t="str">
        <f t="shared" si="5"/>
        <v/>
      </c>
      <c r="B98" s="37" t="str">
        <f>IFERROR(INDEX(_自动清单!$AM$4:$AM$203,ROW()-3),"")</f>
        <v/>
      </c>
      <c r="C98" s="25" t="str">
        <f>IF(OR($B98="",基础资料!$B$9=""),"",SUMIFS(对接源_01水果筐数!$D$5:$D$304,对接源_01水果筐数!$B$5:$B$304,$B98,对接源_01水果筐数!$C$5:$C$304,基础资料!$B$9))</f>
        <v/>
      </c>
      <c r="D98" s="25" t="str">
        <f>IF(OR($B98="",基础资料!$B$10=""),"",SUMIFS(对接源_01水果筐数!$D$5:$D$304,对接源_01水果筐数!$B$5:$B$304,$B98,对接源_01水果筐数!$C$5:$C$304,基础资料!$B$10))</f>
        <v/>
      </c>
      <c r="E98" s="25" t="str">
        <f>IF(OR($B98="",基础资料!$B$9=""),"",SUMIFS(客户自备加工筐明细!$F$4:$F$1203,客户自备加工筐明细!$E$4:$E$1203,$B98,客户自备加工筐明细!$C$4:$C$1203,基础资料!$B$9,客户自备加工筐明细!$B$4:$B$1203,"&gt;="&amp;$T$1,客户自备加工筐明细!$B$4:$B$1203,"&lt;="&amp;$T$2))</f>
        <v/>
      </c>
      <c r="F98" s="25" t="str">
        <f>IF(OR($B98="",基础资料!$B$10=""),"",SUMIFS(客户自备加工筐明细!$F$4:$F$1203,客户自备加工筐明细!$E$4:$E$1203,$B98,客户自备加工筐明细!$C$4:$C$1203,基础资料!$B$10,客户自备加工筐明细!$B$4:$B$1203,"&gt;="&amp;$T$1,客户自备加工筐明细!$B$4:$B$1203,"&lt;="&amp;$T$2))</f>
        <v/>
      </c>
      <c r="G98" s="67" t="str">
        <f>IF(OR($B98="",基础资料!$B$9=""),"",-SUMIFS(对接源_01水果筐数!$E$5:$E$304,对接源_01水果筐数!$B$5:$B$304,$B98,对接源_01水果筐数!$C$5:$C$304,基础资料!$B$9))</f>
        <v/>
      </c>
      <c r="H98" s="67" t="str">
        <f>IF(OR($B98="",基础资料!$B$10=""),"",-SUMIFS(对接源_01水果筐数!$E$5:$E$304,对接源_01水果筐数!$B$5:$B$304,$B98,对接源_01水果筐数!$C$5:$C$304,基础资料!$B$10))</f>
        <v/>
      </c>
      <c r="I98" s="67" t="str">
        <f>IF(OR($B98="",基础资料!$B$9=""),"",-SUMIFS(对接源_01水果筐数!$F$5:$F$304,对接源_01水果筐数!$B$5:$B$304,$B98,对接源_01水果筐数!$C$5:$C$304,基础资料!$B$9))</f>
        <v/>
      </c>
      <c r="J98" s="67" t="str">
        <f>IF(OR($B98="",基础资料!$B$10=""),"",-SUMIFS(对接源_01水果筐数!$F$5:$F$304,对接源_01水果筐数!$B$5:$B$304,$B98,对接源_01水果筐数!$C$5:$C$304,基础资料!$B$10))</f>
        <v/>
      </c>
      <c r="K98" s="67" t="str">
        <f>IF(OR($B98="",基础资料!$B$9=""),"",-SUMIFS(客户自备加工筐明细!$G$4:$G$1203,客户自备加工筐明细!$E$4:$E$1203,$B98,客户自备加工筐明细!$C$4:$C$1203,基础资料!$B$9,客户自备加工筐明细!$B$4:$B$1203,"&gt;="&amp;$T$1,客户自备加工筐明细!$B$4:$B$1203,"&lt;="&amp;$T$2))</f>
        <v/>
      </c>
      <c r="L98" s="67" t="str">
        <f>IF(OR($B98="",基础资料!$B$10=""),"",-SUMIFS(客户自备加工筐明细!$G$4:$G$1203,客户自备加工筐明细!$E$4:$E$1203,$B98,客户自备加工筐明细!$C$4:$C$1203,基础资料!$B$10,客户自备加工筐明细!$B$4:$B$1203,"&gt;="&amp;$T$1,客户自备加工筐明细!$B$4:$B$1203,"&lt;="&amp;$T$2))</f>
        <v/>
      </c>
      <c r="M98" s="25" t="str">
        <f t="shared" si="6"/>
        <v/>
      </c>
      <c r="N98" s="25" t="str">
        <f t="shared" si="7"/>
        <v/>
      </c>
      <c r="O98" s="25" t="str">
        <f t="shared" si="8"/>
        <v/>
      </c>
      <c r="P98" s="37" t="str">
        <f t="shared" si="9"/>
        <v/>
      </c>
      <c r="Q98" s="27"/>
    </row>
    <row r="99" spans="1:17">
      <c r="A99" s="22" t="str">
        <f t="shared" si="5"/>
        <v/>
      </c>
      <c r="B99" s="37" t="str">
        <f>IFERROR(INDEX(_自动清单!$AM$4:$AM$203,ROW()-3),"")</f>
        <v/>
      </c>
      <c r="C99" s="25" t="str">
        <f>IF(OR($B99="",基础资料!$B$9=""),"",SUMIFS(对接源_01水果筐数!$D$5:$D$304,对接源_01水果筐数!$B$5:$B$304,$B99,对接源_01水果筐数!$C$5:$C$304,基础资料!$B$9))</f>
        <v/>
      </c>
      <c r="D99" s="25" t="str">
        <f>IF(OR($B99="",基础资料!$B$10=""),"",SUMIFS(对接源_01水果筐数!$D$5:$D$304,对接源_01水果筐数!$B$5:$B$304,$B99,对接源_01水果筐数!$C$5:$C$304,基础资料!$B$10))</f>
        <v/>
      </c>
      <c r="E99" s="25" t="str">
        <f>IF(OR($B99="",基础资料!$B$9=""),"",SUMIFS(客户自备加工筐明细!$F$4:$F$1203,客户自备加工筐明细!$E$4:$E$1203,$B99,客户自备加工筐明细!$C$4:$C$1203,基础资料!$B$9,客户自备加工筐明细!$B$4:$B$1203,"&gt;="&amp;$T$1,客户自备加工筐明细!$B$4:$B$1203,"&lt;="&amp;$T$2))</f>
        <v/>
      </c>
      <c r="F99" s="25" t="str">
        <f>IF(OR($B99="",基础资料!$B$10=""),"",SUMIFS(客户自备加工筐明细!$F$4:$F$1203,客户自备加工筐明细!$E$4:$E$1203,$B99,客户自备加工筐明细!$C$4:$C$1203,基础资料!$B$10,客户自备加工筐明细!$B$4:$B$1203,"&gt;="&amp;$T$1,客户自备加工筐明细!$B$4:$B$1203,"&lt;="&amp;$T$2))</f>
        <v/>
      </c>
      <c r="G99" s="67" t="str">
        <f>IF(OR($B99="",基础资料!$B$9=""),"",-SUMIFS(对接源_01水果筐数!$E$5:$E$304,对接源_01水果筐数!$B$5:$B$304,$B99,对接源_01水果筐数!$C$5:$C$304,基础资料!$B$9))</f>
        <v/>
      </c>
      <c r="H99" s="67" t="str">
        <f>IF(OR($B99="",基础资料!$B$10=""),"",-SUMIFS(对接源_01水果筐数!$E$5:$E$304,对接源_01水果筐数!$B$5:$B$304,$B99,对接源_01水果筐数!$C$5:$C$304,基础资料!$B$10))</f>
        <v/>
      </c>
      <c r="I99" s="67" t="str">
        <f>IF(OR($B99="",基础资料!$B$9=""),"",-SUMIFS(对接源_01水果筐数!$F$5:$F$304,对接源_01水果筐数!$B$5:$B$304,$B99,对接源_01水果筐数!$C$5:$C$304,基础资料!$B$9))</f>
        <v/>
      </c>
      <c r="J99" s="67" t="str">
        <f>IF(OR($B99="",基础资料!$B$10=""),"",-SUMIFS(对接源_01水果筐数!$F$5:$F$304,对接源_01水果筐数!$B$5:$B$304,$B99,对接源_01水果筐数!$C$5:$C$304,基础资料!$B$10))</f>
        <v/>
      </c>
      <c r="K99" s="67" t="str">
        <f>IF(OR($B99="",基础资料!$B$9=""),"",-SUMIFS(客户自备加工筐明细!$G$4:$G$1203,客户自备加工筐明细!$E$4:$E$1203,$B99,客户自备加工筐明细!$C$4:$C$1203,基础资料!$B$9,客户自备加工筐明细!$B$4:$B$1203,"&gt;="&amp;$T$1,客户自备加工筐明细!$B$4:$B$1203,"&lt;="&amp;$T$2))</f>
        <v/>
      </c>
      <c r="L99" s="67" t="str">
        <f>IF(OR($B99="",基础资料!$B$10=""),"",-SUMIFS(客户自备加工筐明细!$G$4:$G$1203,客户自备加工筐明细!$E$4:$E$1203,$B99,客户自备加工筐明细!$C$4:$C$1203,基础资料!$B$10,客户自备加工筐明细!$B$4:$B$1203,"&gt;="&amp;$T$1,客户自备加工筐明细!$B$4:$B$1203,"&lt;="&amp;$T$2))</f>
        <v/>
      </c>
      <c r="M99" s="25" t="str">
        <f t="shared" si="6"/>
        <v/>
      </c>
      <c r="N99" s="25" t="str">
        <f t="shared" si="7"/>
        <v/>
      </c>
      <c r="O99" s="25" t="str">
        <f t="shared" si="8"/>
        <v/>
      </c>
      <c r="P99" s="37" t="str">
        <f t="shared" si="9"/>
        <v/>
      </c>
      <c r="Q99" s="27"/>
    </row>
    <row r="100" spans="1:17">
      <c r="A100" s="22" t="str">
        <f t="shared" si="5"/>
        <v/>
      </c>
      <c r="B100" s="37" t="str">
        <f>IFERROR(INDEX(_自动清单!$AM$4:$AM$203,ROW()-3),"")</f>
        <v/>
      </c>
      <c r="C100" s="25" t="str">
        <f>IF(OR($B100="",基础资料!$B$9=""),"",SUMIFS(对接源_01水果筐数!$D$5:$D$304,对接源_01水果筐数!$B$5:$B$304,$B100,对接源_01水果筐数!$C$5:$C$304,基础资料!$B$9))</f>
        <v/>
      </c>
      <c r="D100" s="25" t="str">
        <f>IF(OR($B100="",基础资料!$B$10=""),"",SUMIFS(对接源_01水果筐数!$D$5:$D$304,对接源_01水果筐数!$B$5:$B$304,$B100,对接源_01水果筐数!$C$5:$C$304,基础资料!$B$10))</f>
        <v/>
      </c>
      <c r="E100" s="25" t="str">
        <f>IF(OR($B100="",基础资料!$B$9=""),"",SUMIFS(客户自备加工筐明细!$F$4:$F$1203,客户自备加工筐明细!$E$4:$E$1203,$B100,客户自备加工筐明细!$C$4:$C$1203,基础资料!$B$9,客户自备加工筐明细!$B$4:$B$1203,"&gt;="&amp;$T$1,客户自备加工筐明细!$B$4:$B$1203,"&lt;="&amp;$T$2))</f>
        <v/>
      </c>
      <c r="F100" s="25" t="str">
        <f>IF(OR($B100="",基础资料!$B$10=""),"",SUMIFS(客户自备加工筐明细!$F$4:$F$1203,客户自备加工筐明细!$E$4:$E$1203,$B100,客户自备加工筐明细!$C$4:$C$1203,基础资料!$B$10,客户自备加工筐明细!$B$4:$B$1203,"&gt;="&amp;$T$1,客户自备加工筐明细!$B$4:$B$1203,"&lt;="&amp;$T$2))</f>
        <v/>
      </c>
      <c r="G100" s="67" t="str">
        <f>IF(OR($B100="",基础资料!$B$9=""),"",-SUMIFS(对接源_01水果筐数!$E$5:$E$304,对接源_01水果筐数!$B$5:$B$304,$B100,对接源_01水果筐数!$C$5:$C$304,基础资料!$B$9))</f>
        <v/>
      </c>
      <c r="H100" s="67" t="str">
        <f>IF(OR($B100="",基础资料!$B$10=""),"",-SUMIFS(对接源_01水果筐数!$E$5:$E$304,对接源_01水果筐数!$B$5:$B$304,$B100,对接源_01水果筐数!$C$5:$C$304,基础资料!$B$10))</f>
        <v/>
      </c>
      <c r="I100" s="67" t="str">
        <f>IF(OR($B100="",基础资料!$B$9=""),"",-SUMIFS(对接源_01水果筐数!$F$5:$F$304,对接源_01水果筐数!$B$5:$B$304,$B100,对接源_01水果筐数!$C$5:$C$304,基础资料!$B$9))</f>
        <v/>
      </c>
      <c r="J100" s="67" t="str">
        <f>IF(OR($B100="",基础资料!$B$10=""),"",-SUMIFS(对接源_01水果筐数!$F$5:$F$304,对接源_01水果筐数!$B$5:$B$304,$B100,对接源_01水果筐数!$C$5:$C$304,基础资料!$B$10))</f>
        <v/>
      </c>
      <c r="K100" s="67" t="str">
        <f>IF(OR($B100="",基础资料!$B$9=""),"",-SUMIFS(客户自备加工筐明细!$G$4:$G$1203,客户自备加工筐明细!$E$4:$E$1203,$B100,客户自备加工筐明细!$C$4:$C$1203,基础资料!$B$9,客户自备加工筐明细!$B$4:$B$1203,"&gt;="&amp;$T$1,客户自备加工筐明细!$B$4:$B$1203,"&lt;="&amp;$T$2))</f>
        <v/>
      </c>
      <c r="L100" s="67" t="str">
        <f>IF(OR($B100="",基础资料!$B$10=""),"",-SUMIFS(客户自备加工筐明细!$G$4:$G$1203,客户自备加工筐明细!$E$4:$E$1203,$B100,客户自备加工筐明细!$C$4:$C$1203,基础资料!$B$10,客户自备加工筐明细!$B$4:$B$1203,"&gt;="&amp;$T$1,客户自备加工筐明细!$B$4:$B$1203,"&lt;="&amp;$T$2))</f>
        <v/>
      </c>
      <c r="M100" s="25" t="str">
        <f t="shared" si="6"/>
        <v/>
      </c>
      <c r="N100" s="25" t="str">
        <f t="shared" si="7"/>
        <v/>
      </c>
      <c r="O100" s="25" t="str">
        <f t="shared" si="8"/>
        <v/>
      </c>
      <c r="P100" s="37" t="str">
        <f t="shared" si="9"/>
        <v/>
      </c>
      <c r="Q100" s="27"/>
    </row>
    <row r="101" spans="1:17">
      <c r="A101" s="22" t="str">
        <f t="shared" si="5"/>
        <v/>
      </c>
      <c r="B101" s="37" t="str">
        <f>IFERROR(INDEX(_自动清单!$AM$4:$AM$203,ROW()-3),"")</f>
        <v/>
      </c>
      <c r="C101" s="25" t="str">
        <f>IF(OR($B101="",基础资料!$B$9=""),"",SUMIFS(对接源_01水果筐数!$D$5:$D$304,对接源_01水果筐数!$B$5:$B$304,$B101,对接源_01水果筐数!$C$5:$C$304,基础资料!$B$9))</f>
        <v/>
      </c>
      <c r="D101" s="25" t="str">
        <f>IF(OR($B101="",基础资料!$B$10=""),"",SUMIFS(对接源_01水果筐数!$D$5:$D$304,对接源_01水果筐数!$B$5:$B$304,$B101,对接源_01水果筐数!$C$5:$C$304,基础资料!$B$10))</f>
        <v/>
      </c>
      <c r="E101" s="25" t="str">
        <f>IF(OR($B101="",基础资料!$B$9=""),"",SUMIFS(客户自备加工筐明细!$F$4:$F$1203,客户自备加工筐明细!$E$4:$E$1203,$B101,客户自备加工筐明细!$C$4:$C$1203,基础资料!$B$9,客户自备加工筐明细!$B$4:$B$1203,"&gt;="&amp;$T$1,客户自备加工筐明细!$B$4:$B$1203,"&lt;="&amp;$T$2))</f>
        <v/>
      </c>
      <c r="F101" s="25" t="str">
        <f>IF(OR($B101="",基础资料!$B$10=""),"",SUMIFS(客户自备加工筐明细!$F$4:$F$1203,客户自备加工筐明细!$E$4:$E$1203,$B101,客户自备加工筐明细!$C$4:$C$1203,基础资料!$B$10,客户自备加工筐明细!$B$4:$B$1203,"&gt;="&amp;$T$1,客户自备加工筐明细!$B$4:$B$1203,"&lt;="&amp;$T$2))</f>
        <v/>
      </c>
      <c r="G101" s="67" t="str">
        <f>IF(OR($B101="",基础资料!$B$9=""),"",-SUMIFS(对接源_01水果筐数!$E$5:$E$304,对接源_01水果筐数!$B$5:$B$304,$B101,对接源_01水果筐数!$C$5:$C$304,基础资料!$B$9))</f>
        <v/>
      </c>
      <c r="H101" s="67" t="str">
        <f>IF(OR($B101="",基础资料!$B$10=""),"",-SUMIFS(对接源_01水果筐数!$E$5:$E$304,对接源_01水果筐数!$B$5:$B$304,$B101,对接源_01水果筐数!$C$5:$C$304,基础资料!$B$10))</f>
        <v/>
      </c>
      <c r="I101" s="67" t="str">
        <f>IF(OR($B101="",基础资料!$B$9=""),"",-SUMIFS(对接源_01水果筐数!$F$5:$F$304,对接源_01水果筐数!$B$5:$B$304,$B101,对接源_01水果筐数!$C$5:$C$304,基础资料!$B$9))</f>
        <v/>
      </c>
      <c r="J101" s="67" t="str">
        <f>IF(OR($B101="",基础资料!$B$10=""),"",-SUMIFS(对接源_01水果筐数!$F$5:$F$304,对接源_01水果筐数!$B$5:$B$304,$B101,对接源_01水果筐数!$C$5:$C$304,基础资料!$B$10))</f>
        <v/>
      </c>
      <c r="K101" s="67" t="str">
        <f>IF(OR($B101="",基础资料!$B$9=""),"",-SUMIFS(客户自备加工筐明细!$G$4:$G$1203,客户自备加工筐明细!$E$4:$E$1203,$B101,客户自备加工筐明细!$C$4:$C$1203,基础资料!$B$9,客户自备加工筐明细!$B$4:$B$1203,"&gt;="&amp;$T$1,客户自备加工筐明细!$B$4:$B$1203,"&lt;="&amp;$T$2))</f>
        <v/>
      </c>
      <c r="L101" s="67" t="str">
        <f>IF(OR($B101="",基础资料!$B$10=""),"",-SUMIFS(客户自备加工筐明细!$G$4:$G$1203,客户自备加工筐明细!$E$4:$E$1203,$B101,客户自备加工筐明细!$C$4:$C$1203,基础资料!$B$10,客户自备加工筐明细!$B$4:$B$1203,"&gt;="&amp;$T$1,客户自备加工筐明细!$B$4:$B$1203,"&lt;="&amp;$T$2))</f>
        <v/>
      </c>
      <c r="M101" s="25" t="str">
        <f t="shared" si="6"/>
        <v/>
      </c>
      <c r="N101" s="25" t="str">
        <f t="shared" si="7"/>
        <v/>
      </c>
      <c r="O101" s="25" t="str">
        <f t="shared" si="8"/>
        <v/>
      </c>
      <c r="P101" s="37" t="str">
        <f t="shared" si="9"/>
        <v/>
      </c>
      <c r="Q101" s="27"/>
    </row>
    <row r="102" spans="1:17">
      <c r="A102" s="22" t="str">
        <f t="shared" si="5"/>
        <v/>
      </c>
      <c r="B102" s="37" t="str">
        <f>IFERROR(INDEX(_自动清单!$AM$4:$AM$203,ROW()-3),"")</f>
        <v/>
      </c>
      <c r="C102" s="25" t="str">
        <f>IF(OR($B102="",基础资料!$B$9=""),"",SUMIFS(对接源_01水果筐数!$D$5:$D$304,对接源_01水果筐数!$B$5:$B$304,$B102,对接源_01水果筐数!$C$5:$C$304,基础资料!$B$9))</f>
        <v/>
      </c>
      <c r="D102" s="25" t="str">
        <f>IF(OR($B102="",基础资料!$B$10=""),"",SUMIFS(对接源_01水果筐数!$D$5:$D$304,对接源_01水果筐数!$B$5:$B$304,$B102,对接源_01水果筐数!$C$5:$C$304,基础资料!$B$10))</f>
        <v/>
      </c>
      <c r="E102" s="25" t="str">
        <f>IF(OR($B102="",基础资料!$B$9=""),"",SUMIFS(客户自备加工筐明细!$F$4:$F$1203,客户自备加工筐明细!$E$4:$E$1203,$B102,客户自备加工筐明细!$C$4:$C$1203,基础资料!$B$9,客户自备加工筐明细!$B$4:$B$1203,"&gt;="&amp;$T$1,客户自备加工筐明细!$B$4:$B$1203,"&lt;="&amp;$T$2))</f>
        <v/>
      </c>
      <c r="F102" s="25" t="str">
        <f>IF(OR($B102="",基础资料!$B$10=""),"",SUMIFS(客户自备加工筐明细!$F$4:$F$1203,客户自备加工筐明细!$E$4:$E$1203,$B102,客户自备加工筐明细!$C$4:$C$1203,基础资料!$B$10,客户自备加工筐明细!$B$4:$B$1203,"&gt;="&amp;$T$1,客户自备加工筐明细!$B$4:$B$1203,"&lt;="&amp;$T$2))</f>
        <v/>
      </c>
      <c r="G102" s="67" t="str">
        <f>IF(OR($B102="",基础资料!$B$9=""),"",-SUMIFS(对接源_01水果筐数!$E$5:$E$304,对接源_01水果筐数!$B$5:$B$304,$B102,对接源_01水果筐数!$C$5:$C$304,基础资料!$B$9))</f>
        <v/>
      </c>
      <c r="H102" s="67" t="str">
        <f>IF(OR($B102="",基础资料!$B$10=""),"",-SUMIFS(对接源_01水果筐数!$E$5:$E$304,对接源_01水果筐数!$B$5:$B$304,$B102,对接源_01水果筐数!$C$5:$C$304,基础资料!$B$10))</f>
        <v/>
      </c>
      <c r="I102" s="67" t="str">
        <f>IF(OR($B102="",基础资料!$B$9=""),"",-SUMIFS(对接源_01水果筐数!$F$5:$F$304,对接源_01水果筐数!$B$5:$B$304,$B102,对接源_01水果筐数!$C$5:$C$304,基础资料!$B$9))</f>
        <v/>
      </c>
      <c r="J102" s="67" t="str">
        <f>IF(OR($B102="",基础资料!$B$10=""),"",-SUMIFS(对接源_01水果筐数!$F$5:$F$304,对接源_01水果筐数!$B$5:$B$304,$B102,对接源_01水果筐数!$C$5:$C$304,基础资料!$B$10))</f>
        <v/>
      </c>
      <c r="K102" s="67" t="str">
        <f>IF(OR($B102="",基础资料!$B$9=""),"",-SUMIFS(客户自备加工筐明细!$G$4:$G$1203,客户自备加工筐明细!$E$4:$E$1203,$B102,客户自备加工筐明细!$C$4:$C$1203,基础资料!$B$9,客户自备加工筐明细!$B$4:$B$1203,"&gt;="&amp;$T$1,客户自备加工筐明细!$B$4:$B$1203,"&lt;="&amp;$T$2))</f>
        <v/>
      </c>
      <c r="L102" s="67" t="str">
        <f>IF(OR($B102="",基础资料!$B$10=""),"",-SUMIFS(客户自备加工筐明细!$G$4:$G$1203,客户自备加工筐明细!$E$4:$E$1203,$B102,客户自备加工筐明细!$C$4:$C$1203,基础资料!$B$10,客户自备加工筐明细!$B$4:$B$1203,"&gt;="&amp;$T$1,客户自备加工筐明细!$B$4:$B$1203,"&lt;="&amp;$T$2))</f>
        <v/>
      </c>
      <c r="M102" s="25" t="str">
        <f t="shared" si="6"/>
        <v/>
      </c>
      <c r="N102" s="25" t="str">
        <f t="shared" si="7"/>
        <v/>
      </c>
      <c r="O102" s="25" t="str">
        <f t="shared" si="8"/>
        <v/>
      </c>
      <c r="P102" s="37" t="str">
        <f t="shared" si="9"/>
        <v/>
      </c>
      <c r="Q102" s="27"/>
    </row>
    <row r="103" spans="1:17">
      <c r="A103" s="22" t="str">
        <f t="shared" si="5"/>
        <v/>
      </c>
      <c r="B103" s="37" t="str">
        <f>IFERROR(INDEX(_自动清单!$AM$4:$AM$203,ROW()-3),"")</f>
        <v/>
      </c>
      <c r="C103" s="25" t="str">
        <f>IF(OR($B103="",基础资料!$B$9=""),"",SUMIFS(对接源_01水果筐数!$D$5:$D$304,对接源_01水果筐数!$B$5:$B$304,$B103,对接源_01水果筐数!$C$5:$C$304,基础资料!$B$9))</f>
        <v/>
      </c>
      <c r="D103" s="25" t="str">
        <f>IF(OR($B103="",基础资料!$B$10=""),"",SUMIFS(对接源_01水果筐数!$D$5:$D$304,对接源_01水果筐数!$B$5:$B$304,$B103,对接源_01水果筐数!$C$5:$C$304,基础资料!$B$10))</f>
        <v/>
      </c>
      <c r="E103" s="25" t="str">
        <f>IF(OR($B103="",基础资料!$B$9=""),"",SUMIFS(客户自备加工筐明细!$F$4:$F$1203,客户自备加工筐明细!$E$4:$E$1203,$B103,客户自备加工筐明细!$C$4:$C$1203,基础资料!$B$9,客户自备加工筐明细!$B$4:$B$1203,"&gt;="&amp;$T$1,客户自备加工筐明细!$B$4:$B$1203,"&lt;="&amp;$T$2))</f>
        <v/>
      </c>
      <c r="F103" s="25" t="str">
        <f>IF(OR($B103="",基础资料!$B$10=""),"",SUMIFS(客户自备加工筐明细!$F$4:$F$1203,客户自备加工筐明细!$E$4:$E$1203,$B103,客户自备加工筐明细!$C$4:$C$1203,基础资料!$B$10,客户自备加工筐明细!$B$4:$B$1203,"&gt;="&amp;$T$1,客户自备加工筐明细!$B$4:$B$1203,"&lt;="&amp;$T$2))</f>
        <v/>
      </c>
      <c r="G103" s="67" t="str">
        <f>IF(OR($B103="",基础资料!$B$9=""),"",-SUMIFS(对接源_01水果筐数!$E$5:$E$304,对接源_01水果筐数!$B$5:$B$304,$B103,对接源_01水果筐数!$C$5:$C$304,基础资料!$B$9))</f>
        <v/>
      </c>
      <c r="H103" s="67" t="str">
        <f>IF(OR($B103="",基础资料!$B$10=""),"",-SUMIFS(对接源_01水果筐数!$E$5:$E$304,对接源_01水果筐数!$B$5:$B$304,$B103,对接源_01水果筐数!$C$5:$C$304,基础资料!$B$10))</f>
        <v/>
      </c>
      <c r="I103" s="67" t="str">
        <f>IF(OR($B103="",基础资料!$B$9=""),"",-SUMIFS(对接源_01水果筐数!$F$5:$F$304,对接源_01水果筐数!$B$5:$B$304,$B103,对接源_01水果筐数!$C$5:$C$304,基础资料!$B$9))</f>
        <v/>
      </c>
      <c r="J103" s="67" t="str">
        <f>IF(OR($B103="",基础资料!$B$10=""),"",-SUMIFS(对接源_01水果筐数!$F$5:$F$304,对接源_01水果筐数!$B$5:$B$304,$B103,对接源_01水果筐数!$C$5:$C$304,基础资料!$B$10))</f>
        <v/>
      </c>
      <c r="K103" s="67" t="str">
        <f>IF(OR($B103="",基础资料!$B$9=""),"",-SUMIFS(客户自备加工筐明细!$G$4:$G$1203,客户自备加工筐明细!$E$4:$E$1203,$B103,客户自备加工筐明细!$C$4:$C$1203,基础资料!$B$9,客户自备加工筐明细!$B$4:$B$1203,"&gt;="&amp;$T$1,客户自备加工筐明细!$B$4:$B$1203,"&lt;="&amp;$T$2))</f>
        <v/>
      </c>
      <c r="L103" s="67" t="str">
        <f>IF(OR($B103="",基础资料!$B$10=""),"",-SUMIFS(客户自备加工筐明细!$G$4:$G$1203,客户自备加工筐明细!$E$4:$E$1203,$B103,客户自备加工筐明细!$C$4:$C$1203,基础资料!$B$10,客户自备加工筐明细!$B$4:$B$1203,"&gt;="&amp;$T$1,客户自备加工筐明细!$B$4:$B$1203,"&lt;="&amp;$T$2))</f>
        <v/>
      </c>
      <c r="M103" s="25" t="str">
        <f t="shared" si="6"/>
        <v/>
      </c>
      <c r="N103" s="25" t="str">
        <f t="shared" si="7"/>
        <v/>
      </c>
      <c r="O103" s="25" t="str">
        <f t="shared" si="8"/>
        <v/>
      </c>
      <c r="P103" s="37" t="str">
        <f t="shared" si="9"/>
        <v/>
      </c>
      <c r="Q103" s="27"/>
    </row>
    <row r="104" spans="1:17">
      <c r="A104" s="22" t="str">
        <f t="shared" si="5"/>
        <v/>
      </c>
      <c r="B104" s="37" t="str">
        <f>IFERROR(INDEX(_自动清单!$AM$4:$AM$203,ROW()-3),"")</f>
        <v/>
      </c>
      <c r="C104" s="25" t="str">
        <f>IF(OR($B104="",基础资料!$B$9=""),"",SUMIFS(对接源_01水果筐数!$D$5:$D$304,对接源_01水果筐数!$B$5:$B$304,$B104,对接源_01水果筐数!$C$5:$C$304,基础资料!$B$9))</f>
        <v/>
      </c>
      <c r="D104" s="25" t="str">
        <f>IF(OR($B104="",基础资料!$B$10=""),"",SUMIFS(对接源_01水果筐数!$D$5:$D$304,对接源_01水果筐数!$B$5:$B$304,$B104,对接源_01水果筐数!$C$5:$C$304,基础资料!$B$10))</f>
        <v/>
      </c>
      <c r="E104" s="25" t="str">
        <f>IF(OR($B104="",基础资料!$B$9=""),"",SUMIFS(客户自备加工筐明细!$F$4:$F$1203,客户自备加工筐明细!$E$4:$E$1203,$B104,客户自备加工筐明细!$C$4:$C$1203,基础资料!$B$9,客户自备加工筐明细!$B$4:$B$1203,"&gt;="&amp;$T$1,客户自备加工筐明细!$B$4:$B$1203,"&lt;="&amp;$T$2))</f>
        <v/>
      </c>
      <c r="F104" s="25" t="str">
        <f>IF(OR($B104="",基础资料!$B$10=""),"",SUMIFS(客户自备加工筐明细!$F$4:$F$1203,客户自备加工筐明细!$E$4:$E$1203,$B104,客户自备加工筐明细!$C$4:$C$1203,基础资料!$B$10,客户自备加工筐明细!$B$4:$B$1203,"&gt;="&amp;$T$1,客户自备加工筐明细!$B$4:$B$1203,"&lt;="&amp;$T$2))</f>
        <v/>
      </c>
      <c r="G104" s="67" t="str">
        <f>IF(OR($B104="",基础资料!$B$9=""),"",-SUMIFS(对接源_01水果筐数!$E$5:$E$304,对接源_01水果筐数!$B$5:$B$304,$B104,对接源_01水果筐数!$C$5:$C$304,基础资料!$B$9))</f>
        <v/>
      </c>
      <c r="H104" s="67" t="str">
        <f>IF(OR($B104="",基础资料!$B$10=""),"",-SUMIFS(对接源_01水果筐数!$E$5:$E$304,对接源_01水果筐数!$B$5:$B$304,$B104,对接源_01水果筐数!$C$5:$C$304,基础资料!$B$10))</f>
        <v/>
      </c>
      <c r="I104" s="67" t="str">
        <f>IF(OR($B104="",基础资料!$B$9=""),"",-SUMIFS(对接源_01水果筐数!$F$5:$F$304,对接源_01水果筐数!$B$5:$B$304,$B104,对接源_01水果筐数!$C$5:$C$304,基础资料!$B$9))</f>
        <v/>
      </c>
      <c r="J104" s="67" t="str">
        <f>IF(OR($B104="",基础资料!$B$10=""),"",-SUMIFS(对接源_01水果筐数!$F$5:$F$304,对接源_01水果筐数!$B$5:$B$304,$B104,对接源_01水果筐数!$C$5:$C$304,基础资料!$B$10))</f>
        <v/>
      </c>
      <c r="K104" s="67" t="str">
        <f>IF(OR($B104="",基础资料!$B$9=""),"",-SUMIFS(客户自备加工筐明细!$G$4:$G$1203,客户自备加工筐明细!$E$4:$E$1203,$B104,客户自备加工筐明细!$C$4:$C$1203,基础资料!$B$9,客户自备加工筐明细!$B$4:$B$1203,"&gt;="&amp;$T$1,客户自备加工筐明细!$B$4:$B$1203,"&lt;="&amp;$T$2))</f>
        <v/>
      </c>
      <c r="L104" s="67" t="str">
        <f>IF(OR($B104="",基础资料!$B$10=""),"",-SUMIFS(客户自备加工筐明细!$G$4:$G$1203,客户自备加工筐明细!$E$4:$E$1203,$B104,客户自备加工筐明细!$C$4:$C$1203,基础资料!$B$10,客户自备加工筐明细!$B$4:$B$1203,"&gt;="&amp;$T$1,客户自备加工筐明细!$B$4:$B$1203,"&lt;="&amp;$T$2))</f>
        <v/>
      </c>
      <c r="M104" s="25" t="str">
        <f t="shared" si="6"/>
        <v/>
      </c>
      <c r="N104" s="25" t="str">
        <f t="shared" si="7"/>
        <v/>
      </c>
      <c r="O104" s="25" t="str">
        <f t="shared" si="8"/>
        <v/>
      </c>
      <c r="P104" s="37" t="str">
        <f t="shared" si="9"/>
        <v/>
      </c>
      <c r="Q104" s="27"/>
    </row>
    <row r="105" spans="1:17">
      <c r="A105" s="22" t="str">
        <f t="shared" si="5"/>
        <v/>
      </c>
      <c r="B105" s="37" t="str">
        <f>IFERROR(INDEX(_自动清单!$AM$4:$AM$203,ROW()-3),"")</f>
        <v/>
      </c>
      <c r="C105" s="25" t="str">
        <f>IF(OR($B105="",基础资料!$B$9=""),"",SUMIFS(对接源_01水果筐数!$D$5:$D$304,对接源_01水果筐数!$B$5:$B$304,$B105,对接源_01水果筐数!$C$5:$C$304,基础资料!$B$9))</f>
        <v/>
      </c>
      <c r="D105" s="25" t="str">
        <f>IF(OR($B105="",基础资料!$B$10=""),"",SUMIFS(对接源_01水果筐数!$D$5:$D$304,对接源_01水果筐数!$B$5:$B$304,$B105,对接源_01水果筐数!$C$5:$C$304,基础资料!$B$10))</f>
        <v/>
      </c>
      <c r="E105" s="25" t="str">
        <f>IF(OR($B105="",基础资料!$B$9=""),"",SUMIFS(客户自备加工筐明细!$F$4:$F$1203,客户自备加工筐明细!$E$4:$E$1203,$B105,客户自备加工筐明细!$C$4:$C$1203,基础资料!$B$9,客户自备加工筐明细!$B$4:$B$1203,"&gt;="&amp;$T$1,客户自备加工筐明细!$B$4:$B$1203,"&lt;="&amp;$T$2))</f>
        <v/>
      </c>
      <c r="F105" s="25" t="str">
        <f>IF(OR($B105="",基础资料!$B$10=""),"",SUMIFS(客户自备加工筐明细!$F$4:$F$1203,客户自备加工筐明细!$E$4:$E$1203,$B105,客户自备加工筐明细!$C$4:$C$1203,基础资料!$B$10,客户自备加工筐明细!$B$4:$B$1203,"&gt;="&amp;$T$1,客户自备加工筐明细!$B$4:$B$1203,"&lt;="&amp;$T$2))</f>
        <v/>
      </c>
      <c r="G105" s="67" t="str">
        <f>IF(OR($B105="",基础资料!$B$9=""),"",-SUMIFS(对接源_01水果筐数!$E$5:$E$304,对接源_01水果筐数!$B$5:$B$304,$B105,对接源_01水果筐数!$C$5:$C$304,基础资料!$B$9))</f>
        <v/>
      </c>
      <c r="H105" s="67" t="str">
        <f>IF(OR($B105="",基础资料!$B$10=""),"",-SUMIFS(对接源_01水果筐数!$E$5:$E$304,对接源_01水果筐数!$B$5:$B$304,$B105,对接源_01水果筐数!$C$5:$C$304,基础资料!$B$10))</f>
        <v/>
      </c>
      <c r="I105" s="67" t="str">
        <f>IF(OR($B105="",基础资料!$B$9=""),"",-SUMIFS(对接源_01水果筐数!$F$5:$F$304,对接源_01水果筐数!$B$5:$B$304,$B105,对接源_01水果筐数!$C$5:$C$304,基础资料!$B$9))</f>
        <v/>
      </c>
      <c r="J105" s="67" t="str">
        <f>IF(OR($B105="",基础资料!$B$10=""),"",-SUMIFS(对接源_01水果筐数!$F$5:$F$304,对接源_01水果筐数!$B$5:$B$304,$B105,对接源_01水果筐数!$C$5:$C$304,基础资料!$B$10))</f>
        <v/>
      </c>
      <c r="K105" s="67" t="str">
        <f>IF(OR($B105="",基础资料!$B$9=""),"",-SUMIFS(客户自备加工筐明细!$G$4:$G$1203,客户自备加工筐明细!$E$4:$E$1203,$B105,客户自备加工筐明细!$C$4:$C$1203,基础资料!$B$9,客户自备加工筐明细!$B$4:$B$1203,"&gt;="&amp;$T$1,客户自备加工筐明细!$B$4:$B$1203,"&lt;="&amp;$T$2))</f>
        <v/>
      </c>
      <c r="L105" s="67" t="str">
        <f>IF(OR($B105="",基础资料!$B$10=""),"",-SUMIFS(客户自备加工筐明细!$G$4:$G$1203,客户自备加工筐明细!$E$4:$E$1203,$B105,客户自备加工筐明细!$C$4:$C$1203,基础资料!$B$10,客户自备加工筐明细!$B$4:$B$1203,"&gt;="&amp;$T$1,客户自备加工筐明细!$B$4:$B$1203,"&lt;="&amp;$T$2))</f>
        <v/>
      </c>
      <c r="M105" s="25" t="str">
        <f t="shared" si="6"/>
        <v/>
      </c>
      <c r="N105" s="25" t="str">
        <f t="shared" si="7"/>
        <v/>
      </c>
      <c r="O105" s="25" t="str">
        <f t="shared" si="8"/>
        <v/>
      </c>
      <c r="P105" s="37" t="str">
        <f t="shared" si="9"/>
        <v/>
      </c>
      <c r="Q105" s="27"/>
    </row>
    <row r="106" spans="1:17">
      <c r="A106" s="22" t="str">
        <f t="shared" si="5"/>
        <v/>
      </c>
      <c r="B106" s="37" t="str">
        <f>IFERROR(INDEX(_自动清单!$AM$4:$AM$203,ROW()-3),"")</f>
        <v/>
      </c>
      <c r="C106" s="25" t="str">
        <f>IF(OR($B106="",基础资料!$B$9=""),"",SUMIFS(对接源_01水果筐数!$D$5:$D$304,对接源_01水果筐数!$B$5:$B$304,$B106,对接源_01水果筐数!$C$5:$C$304,基础资料!$B$9))</f>
        <v/>
      </c>
      <c r="D106" s="25" t="str">
        <f>IF(OR($B106="",基础资料!$B$10=""),"",SUMIFS(对接源_01水果筐数!$D$5:$D$304,对接源_01水果筐数!$B$5:$B$304,$B106,对接源_01水果筐数!$C$5:$C$304,基础资料!$B$10))</f>
        <v/>
      </c>
      <c r="E106" s="25" t="str">
        <f>IF(OR($B106="",基础资料!$B$9=""),"",SUMIFS(客户自备加工筐明细!$F$4:$F$1203,客户自备加工筐明细!$E$4:$E$1203,$B106,客户自备加工筐明细!$C$4:$C$1203,基础资料!$B$9,客户自备加工筐明细!$B$4:$B$1203,"&gt;="&amp;$T$1,客户自备加工筐明细!$B$4:$B$1203,"&lt;="&amp;$T$2))</f>
        <v/>
      </c>
      <c r="F106" s="25" t="str">
        <f>IF(OR($B106="",基础资料!$B$10=""),"",SUMIFS(客户自备加工筐明细!$F$4:$F$1203,客户自备加工筐明细!$E$4:$E$1203,$B106,客户自备加工筐明细!$C$4:$C$1203,基础资料!$B$10,客户自备加工筐明细!$B$4:$B$1203,"&gt;="&amp;$T$1,客户自备加工筐明细!$B$4:$B$1203,"&lt;="&amp;$T$2))</f>
        <v/>
      </c>
      <c r="G106" s="67" t="str">
        <f>IF(OR($B106="",基础资料!$B$9=""),"",-SUMIFS(对接源_01水果筐数!$E$5:$E$304,对接源_01水果筐数!$B$5:$B$304,$B106,对接源_01水果筐数!$C$5:$C$304,基础资料!$B$9))</f>
        <v/>
      </c>
      <c r="H106" s="67" t="str">
        <f>IF(OR($B106="",基础资料!$B$10=""),"",-SUMIFS(对接源_01水果筐数!$E$5:$E$304,对接源_01水果筐数!$B$5:$B$304,$B106,对接源_01水果筐数!$C$5:$C$304,基础资料!$B$10))</f>
        <v/>
      </c>
      <c r="I106" s="67" t="str">
        <f>IF(OR($B106="",基础资料!$B$9=""),"",-SUMIFS(对接源_01水果筐数!$F$5:$F$304,对接源_01水果筐数!$B$5:$B$304,$B106,对接源_01水果筐数!$C$5:$C$304,基础资料!$B$9))</f>
        <v/>
      </c>
      <c r="J106" s="67" t="str">
        <f>IF(OR($B106="",基础资料!$B$10=""),"",-SUMIFS(对接源_01水果筐数!$F$5:$F$304,对接源_01水果筐数!$B$5:$B$304,$B106,对接源_01水果筐数!$C$5:$C$304,基础资料!$B$10))</f>
        <v/>
      </c>
      <c r="K106" s="67" t="str">
        <f>IF(OR($B106="",基础资料!$B$9=""),"",-SUMIFS(客户自备加工筐明细!$G$4:$G$1203,客户自备加工筐明细!$E$4:$E$1203,$B106,客户自备加工筐明细!$C$4:$C$1203,基础资料!$B$9,客户自备加工筐明细!$B$4:$B$1203,"&gt;="&amp;$T$1,客户自备加工筐明细!$B$4:$B$1203,"&lt;="&amp;$T$2))</f>
        <v/>
      </c>
      <c r="L106" s="67" t="str">
        <f>IF(OR($B106="",基础资料!$B$10=""),"",-SUMIFS(客户自备加工筐明细!$G$4:$G$1203,客户自备加工筐明细!$E$4:$E$1203,$B106,客户自备加工筐明细!$C$4:$C$1203,基础资料!$B$10,客户自备加工筐明细!$B$4:$B$1203,"&gt;="&amp;$T$1,客户自备加工筐明细!$B$4:$B$1203,"&lt;="&amp;$T$2))</f>
        <v/>
      </c>
      <c r="M106" s="25" t="str">
        <f t="shared" si="6"/>
        <v/>
      </c>
      <c r="N106" s="25" t="str">
        <f t="shared" si="7"/>
        <v/>
      </c>
      <c r="O106" s="25" t="str">
        <f t="shared" si="8"/>
        <v/>
      </c>
      <c r="P106" s="37" t="str">
        <f t="shared" si="9"/>
        <v/>
      </c>
      <c r="Q106" s="27"/>
    </row>
    <row r="107" spans="1:17">
      <c r="A107" s="22" t="str">
        <f t="shared" si="5"/>
        <v/>
      </c>
      <c r="B107" s="37" t="str">
        <f>IFERROR(INDEX(_自动清单!$AM$4:$AM$203,ROW()-3),"")</f>
        <v/>
      </c>
      <c r="C107" s="25" t="str">
        <f>IF(OR($B107="",基础资料!$B$9=""),"",SUMIFS(对接源_01水果筐数!$D$5:$D$304,对接源_01水果筐数!$B$5:$B$304,$B107,对接源_01水果筐数!$C$5:$C$304,基础资料!$B$9))</f>
        <v/>
      </c>
      <c r="D107" s="25" t="str">
        <f>IF(OR($B107="",基础资料!$B$10=""),"",SUMIFS(对接源_01水果筐数!$D$5:$D$304,对接源_01水果筐数!$B$5:$B$304,$B107,对接源_01水果筐数!$C$5:$C$304,基础资料!$B$10))</f>
        <v/>
      </c>
      <c r="E107" s="25" t="str">
        <f>IF(OR($B107="",基础资料!$B$9=""),"",SUMIFS(客户自备加工筐明细!$F$4:$F$1203,客户自备加工筐明细!$E$4:$E$1203,$B107,客户自备加工筐明细!$C$4:$C$1203,基础资料!$B$9,客户自备加工筐明细!$B$4:$B$1203,"&gt;="&amp;$T$1,客户自备加工筐明细!$B$4:$B$1203,"&lt;="&amp;$T$2))</f>
        <v/>
      </c>
      <c r="F107" s="25" t="str">
        <f>IF(OR($B107="",基础资料!$B$10=""),"",SUMIFS(客户自备加工筐明细!$F$4:$F$1203,客户自备加工筐明细!$E$4:$E$1203,$B107,客户自备加工筐明细!$C$4:$C$1203,基础资料!$B$10,客户自备加工筐明细!$B$4:$B$1203,"&gt;="&amp;$T$1,客户自备加工筐明细!$B$4:$B$1203,"&lt;="&amp;$T$2))</f>
        <v/>
      </c>
      <c r="G107" s="67" t="str">
        <f>IF(OR($B107="",基础资料!$B$9=""),"",-SUMIFS(对接源_01水果筐数!$E$5:$E$304,对接源_01水果筐数!$B$5:$B$304,$B107,对接源_01水果筐数!$C$5:$C$304,基础资料!$B$9))</f>
        <v/>
      </c>
      <c r="H107" s="67" t="str">
        <f>IF(OR($B107="",基础资料!$B$10=""),"",-SUMIFS(对接源_01水果筐数!$E$5:$E$304,对接源_01水果筐数!$B$5:$B$304,$B107,对接源_01水果筐数!$C$5:$C$304,基础资料!$B$10))</f>
        <v/>
      </c>
      <c r="I107" s="67" t="str">
        <f>IF(OR($B107="",基础资料!$B$9=""),"",-SUMIFS(对接源_01水果筐数!$F$5:$F$304,对接源_01水果筐数!$B$5:$B$304,$B107,对接源_01水果筐数!$C$5:$C$304,基础资料!$B$9))</f>
        <v/>
      </c>
      <c r="J107" s="67" t="str">
        <f>IF(OR($B107="",基础资料!$B$10=""),"",-SUMIFS(对接源_01水果筐数!$F$5:$F$304,对接源_01水果筐数!$B$5:$B$304,$B107,对接源_01水果筐数!$C$5:$C$304,基础资料!$B$10))</f>
        <v/>
      </c>
      <c r="K107" s="67" t="str">
        <f>IF(OR($B107="",基础资料!$B$9=""),"",-SUMIFS(客户自备加工筐明细!$G$4:$G$1203,客户自备加工筐明细!$E$4:$E$1203,$B107,客户自备加工筐明细!$C$4:$C$1203,基础资料!$B$9,客户自备加工筐明细!$B$4:$B$1203,"&gt;="&amp;$T$1,客户自备加工筐明细!$B$4:$B$1203,"&lt;="&amp;$T$2))</f>
        <v/>
      </c>
      <c r="L107" s="67" t="str">
        <f>IF(OR($B107="",基础资料!$B$10=""),"",-SUMIFS(客户自备加工筐明细!$G$4:$G$1203,客户自备加工筐明细!$E$4:$E$1203,$B107,客户自备加工筐明细!$C$4:$C$1203,基础资料!$B$10,客户自备加工筐明细!$B$4:$B$1203,"&gt;="&amp;$T$1,客户自备加工筐明细!$B$4:$B$1203,"&lt;="&amp;$T$2))</f>
        <v/>
      </c>
      <c r="M107" s="25" t="str">
        <f t="shared" si="6"/>
        <v/>
      </c>
      <c r="N107" s="25" t="str">
        <f t="shared" si="7"/>
        <v/>
      </c>
      <c r="O107" s="25" t="str">
        <f t="shared" si="8"/>
        <v/>
      </c>
      <c r="P107" s="37" t="str">
        <f t="shared" si="9"/>
        <v/>
      </c>
      <c r="Q107" s="27"/>
    </row>
    <row r="108" spans="1:17">
      <c r="A108" s="22" t="str">
        <f t="shared" si="5"/>
        <v/>
      </c>
      <c r="B108" s="37" t="str">
        <f>IFERROR(INDEX(_自动清单!$AM$4:$AM$203,ROW()-3),"")</f>
        <v/>
      </c>
      <c r="C108" s="25" t="str">
        <f>IF(OR($B108="",基础资料!$B$9=""),"",SUMIFS(对接源_01水果筐数!$D$5:$D$304,对接源_01水果筐数!$B$5:$B$304,$B108,对接源_01水果筐数!$C$5:$C$304,基础资料!$B$9))</f>
        <v/>
      </c>
      <c r="D108" s="25" t="str">
        <f>IF(OR($B108="",基础资料!$B$10=""),"",SUMIFS(对接源_01水果筐数!$D$5:$D$304,对接源_01水果筐数!$B$5:$B$304,$B108,对接源_01水果筐数!$C$5:$C$304,基础资料!$B$10))</f>
        <v/>
      </c>
      <c r="E108" s="25" t="str">
        <f>IF(OR($B108="",基础资料!$B$9=""),"",SUMIFS(客户自备加工筐明细!$F$4:$F$1203,客户自备加工筐明细!$E$4:$E$1203,$B108,客户自备加工筐明细!$C$4:$C$1203,基础资料!$B$9,客户自备加工筐明细!$B$4:$B$1203,"&gt;="&amp;$T$1,客户自备加工筐明细!$B$4:$B$1203,"&lt;="&amp;$T$2))</f>
        <v/>
      </c>
      <c r="F108" s="25" t="str">
        <f>IF(OR($B108="",基础资料!$B$10=""),"",SUMIFS(客户自备加工筐明细!$F$4:$F$1203,客户自备加工筐明细!$E$4:$E$1203,$B108,客户自备加工筐明细!$C$4:$C$1203,基础资料!$B$10,客户自备加工筐明细!$B$4:$B$1203,"&gt;="&amp;$T$1,客户自备加工筐明细!$B$4:$B$1203,"&lt;="&amp;$T$2))</f>
        <v/>
      </c>
      <c r="G108" s="67" t="str">
        <f>IF(OR($B108="",基础资料!$B$9=""),"",-SUMIFS(对接源_01水果筐数!$E$5:$E$304,对接源_01水果筐数!$B$5:$B$304,$B108,对接源_01水果筐数!$C$5:$C$304,基础资料!$B$9))</f>
        <v/>
      </c>
      <c r="H108" s="67" t="str">
        <f>IF(OR($B108="",基础资料!$B$10=""),"",-SUMIFS(对接源_01水果筐数!$E$5:$E$304,对接源_01水果筐数!$B$5:$B$304,$B108,对接源_01水果筐数!$C$5:$C$304,基础资料!$B$10))</f>
        <v/>
      </c>
      <c r="I108" s="67" t="str">
        <f>IF(OR($B108="",基础资料!$B$9=""),"",-SUMIFS(对接源_01水果筐数!$F$5:$F$304,对接源_01水果筐数!$B$5:$B$304,$B108,对接源_01水果筐数!$C$5:$C$304,基础资料!$B$9))</f>
        <v/>
      </c>
      <c r="J108" s="67" t="str">
        <f>IF(OR($B108="",基础资料!$B$10=""),"",-SUMIFS(对接源_01水果筐数!$F$5:$F$304,对接源_01水果筐数!$B$5:$B$304,$B108,对接源_01水果筐数!$C$5:$C$304,基础资料!$B$10))</f>
        <v/>
      </c>
      <c r="K108" s="67" t="str">
        <f>IF(OR($B108="",基础资料!$B$9=""),"",-SUMIFS(客户自备加工筐明细!$G$4:$G$1203,客户自备加工筐明细!$E$4:$E$1203,$B108,客户自备加工筐明细!$C$4:$C$1203,基础资料!$B$9,客户自备加工筐明细!$B$4:$B$1203,"&gt;="&amp;$T$1,客户自备加工筐明细!$B$4:$B$1203,"&lt;="&amp;$T$2))</f>
        <v/>
      </c>
      <c r="L108" s="67" t="str">
        <f>IF(OR($B108="",基础资料!$B$10=""),"",-SUMIFS(客户自备加工筐明细!$G$4:$G$1203,客户自备加工筐明细!$E$4:$E$1203,$B108,客户自备加工筐明细!$C$4:$C$1203,基础资料!$B$10,客户自备加工筐明细!$B$4:$B$1203,"&gt;="&amp;$T$1,客户自备加工筐明细!$B$4:$B$1203,"&lt;="&amp;$T$2))</f>
        <v/>
      </c>
      <c r="M108" s="25" t="str">
        <f t="shared" si="6"/>
        <v/>
      </c>
      <c r="N108" s="25" t="str">
        <f t="shared" si="7"/>
        <v/>
      </c>
      <c r="O108" s="25" t="str">
        <f t="shared" si="8"/>
        <v/>
      </c>
      <c r="P108" s="37" t="str">
        <f t="shared" si="9"/>
        <v/>
      </c>
      <c r="Q108" s="27"/>
    </row>
    <row r="109" spans="1:17">
      <c r="A109" s="22" t="str">
        <f t="shared" si="5"/>
        <v/>
      </c>
      <c r="B109" s="37" t="str">
        <f>IFERROR(INDEX(_自动清单!$AM$4:$AM$203,ROW()-3),"")</f>
        <v/>
      </c>
      <c r="C109" s="25" t="str">
        <f>IF(OR($B109="",基础资料!$B$9=""),"",SUMIFS(对接源_01水果筐数!$D$5:$D$304,对接源_01水果筐数!$B$5:$B$304,$B109,对接源_01水果筐数!$C$5:$C$304,基础资料!$B$9))</f>
        <v/>
      </c>
      <c r="D109" s="25" t="str">
        <f>IF(OR($B109="",基础资料!$B$10=""),"",SUMIFS(对接源_01水果筐数!$D$5:$D$304,对接源_01水果筐数!$B$5:$B$304,$B109,对接源_01水果筐数!$C$5:$C$304,基础资料!$B$10))</f>
        <v/>
      </c>
      <c r="E109" s="25" t="str">
        <f>IF(OR($B109="",基础资料!$B$9=""),"",SUMIFS(客户自备加工筐明细!$F$4:$F$1203,客户自备加工筐明细!$E$4:$E$1203,$B109,客户自备加工筐明细!$C$4:$C$1203,基础资料!$B$9,客户自备加工筐明细!$B$4:$B$1203,"&gt;="&amp;$T$1,客户自备加工筐明细!$B$4:$B$1203,"&lt;="&amp;$T$2))</f>
        <v/>
      </c>
      <c r="F109" s="25" t="str">
        <f>IF(OR($B109="",基础资料!$B$10=""),"",SUMIFS(客户自备加工筐明细!$F$4:$F$1203,客户自备加工筐明细!$E$4:$E$1203,$B109,客户自备加工筐明细!$C$4:$C$1203,基础资料!$B$10,客户自备加工筐明细!$B$4:$B$1203,"&gt;="&amp;$T$1,客户自备加工筐明细!$B$4:$B$1203,"&lt;="&amp;$T$2))</f>
        <v/>
      </c>
      <c r="G109" s="67" t="str">
        <f>IF(OR($B109="",基础资料!$B$9=""),"",-SUMIFS(对接源_01水果筐数!$E$5:$E$304,对接源_01水果筐数!$B$5:$B$304,$B109,对接源_01水果筐数!$C$5:$C$304,基础资料!$B$9))</f>
        <v/>
      </c>
      <c r="H109" s="67" t="str">
        <f>IF(OR($B109="",基础资料!$B$10=""),"",-SUMIFS(对接源_01水果筐数!$E$5:$E$304,对接源_01水果筐数!$B$5:$B$304,$B109,对接源_01水果筐数!$C$5:$C$304,基础资料!$B$10))</f>
        <v/>
      </c>
      <c r="I109" s="67" t="str">
        <f>IF(OR($B109="",基础资料!$B$9=""),"",-SUMIFS(对接源_01水果筐数!$F$5:$F$304,对接源_01水果筐数!$B$5:$B$304,$B109,对接源_01水果筐数!$C$5:$C$304,基础资料!$B$9))</f>
        <v/>
      </c>
      <c r="J109" s="67" t="str">
        <f>IF(OR($B109="",基础资料!$B$10=""),"",-SUMIFS(对接源_01水果筐数!$F$5:$F$304,对接源_01水果筐数!$B$5:$B$304,$B109,对接源_01水果筐数!$C$5:$C$304,基础资料!$B$10))</f>
        <v/>
      </c>
      <c r="K109" s="67" t="str">
        <f>IF(OR($B109="",基础资料!$B$9=""),"",-SUMIFS(客户自备加工筐明细!$G$4:$G$1203,客户自备加工筐明细!$E$4:$E$1203,$B109,客户自备加工筐明细!$C$4:$C$1203,基础资料!$B$9,客户自备加工筐明细!$B$4:$B$1203,"&gt;="&amp;$T$1,客户自备加工筐明细!$B$4:$B$1203,"&lt;="&amp;$T$2))</f>
        <v/>
      </c>
      <c r="L109" s="67" t="str">
        <f>IF(OR($B109="",基础资料!$B$10=""),"",-SUMIFS(客户自备加工筐明细!$G$4:$G$1203,客户自备加工筐明细!$E$4:$E$1203,$B109,客户自备加工筐明细!$C$4:$C$1203,基础资料!$B$10,客户自备加工筐明细!$B$4:$B$1203,"&gt;="&amp;$T$1,客户自备加工筐明细!$B$4:$B$1203,"&lt;="&amp;$T$2))</f>
        <v/>
      </c>
      <c r="M109" s="25" t="str">
        <f t="shared" si="6"/>
        <v/>
      </c>
      <c r="N109" s="25" t="str">
        <f t="shared" si="7"/>
        <v/>
      </c>
      <c r="O109" s="25" t="str">
        <f t="shared" si="8"/>
        <v/>
      </c>
      <c r="P109" s="37" t="str">
        <f t="shared" si="9"/>
        <v/>
      </c>
      <c r="Q109" s="27"/>
    </row>
    <row r="110" spans="1:17">
      <c r="A110" s="22" t="str">
        <f t="shared" si="5"/>
        <v/>
      </c>
      <c r="B110" s="37" t="str">
        <f>IFERROR(INDEX(_自动清单!$AM$4:$AM$203,ROW()-3),"")</f>
        <v/>
      </c>
      <c r="C110" s="25" t="str">
        <f>IF(OR($B110="",基础资料!$B$9=""),"",SUMIFS(对接源_01水果筐数!$D$5:$D$304,对接源_01水果筐数!$B$5:$B$304,$B110,对接源_01水果筐数!$C$5:$C$304,基础资料!$B$9))</f>
        <v/>
      </c>
      <c r="D110" s="25" t="str">
        <f>IF(OR($B110="",基础资料!$B$10=""),"",SUMIFS(对接源_01水果筐数!$D$5:$D$304,对接源_01水果筐数!$B$5:$B$304,$B110,对接源_01水果筐数!$C$5:$C$304,基础资料!$B$10))</f>
        <v/>
      </c>
      <c r="E110" s="25" t="str">
        <f>IF(OR($B110="",基础资料!$B$9=""),"",SUMIFS(客户自备加工筐明细!$F$4:$F$1203,客户自备加工筐明细!$E$4:$E$1203,$B110,客户自备加工筐明细!$C$4:$C$1203,基础资料!$B$9,客户自备加工筐明细!$B$4:$B$1203,"&gt;="&amp;$T$1,客户自备加工筐明细!$B$4:$B$1203,"&lt;="&amp;$T$2))</f>
        <v/>
      </c>
      <c r="F110" s="25" t="str">
        <f>IF(OR($B110="",基础资料!$B$10=""),"",SUMIFS(客户自备加工筐明细!$F$4:$F$1203,客户自备加工筐明细!$E$4:$E$1203,$B110,客户自备加工筐明细!$C$4:$C$1203,基础资料!$B$10,客户自备加工筐明细!$B$4:$B$1203,"&gt;="&amp;$T$1,客户自备加工筐明细!$B$4:$B$1203,"&lt;="&amp;$T$2))</f>
        <v/>
      </c>
      <c r="G110" s="67" t="str">
        <f>IF(OR($B110="",基础资料!$B$9=""),"",-SUMIFS(对接源_01水果筐数!$E$5:$E$304,对接源_01水果筐数!$B$5:$B$304,$B110,对接源_01水果筐数!$C$5:$C$304,基础资料!$B$9))</f>
        <v/>
      </c>
      <c r="H110" s="67" t="str">
        <f>IF(OR($B110="",基础资料!$B$10=""),"",-SUMIFS(对接源_01水果筐数!$E$5:$E$304,对接源_01水果筐数!$B$5:$B$304,$B110,对接源_01水果筐数!$C$5:$C$304,基础资料!$B$10))</f>
        <v/>
      </c>
      <c r="I110" s="67" t="str">
        <f>IF(OR($B110="",基础资料!$B$9=""),"",-SUMIFS(对接源_01水果筐数!$F$5:$F$304,对接源_01水果筐数!$B$5:$B$304,$B110,对接源_01水果筐数!$C$5:$C$304,基础资料!$B$9))</f>
        <v/>
      </c>
      <c r="J110" s="67" t="str">
        <f>IF(OR($B110="",基础资料!$B$10=""),"",-SUMIFS(对接源_01水果筐数!$F$5:$F$304,对接源_01水果筐数!$B$5:$B$304,$B110,对接源_01水果筐数!$C$5:$C$304,基础资料!$B$10))</f>
        <v/>
      </c>
      <c r="K110" s="67" t="str">
        <f>IF(OR($B110="",基础资料!$B$9=""),"",-SUMIFS(客户自备加工筐明细!$G$4:$G$1203,客户自备加工筐明细!$E$4:$E$1203,$B110,客户自备加工筐明细!$C$4:$C$1203,基础资料!$B$9,客户自备加工筐明细!$B$4:$B$1203,"&gt;="&amp;$T$1,客户自备加工筐明细!$B$4:$B$1203,"&lt;="&amp;$T$2))</f>
        <v/>
      </c>
      <c r="L110" s="67" t="str">
        <f>IF(OR($B110="",基础资料!$B$10=""),"",-SUMIFS(客户自备加工筐明细!$G$4:$G$1203,客户自备加工筐明细!$E$4:$E$1203,$B110,客户自备加工筐明细!$C$4:$C$1203,基础资料!$B$10,客户自备加工筐明细!$B$4:$B$1203,"&gt;="&amp;$T$1,客户自备加工筐明细!$B$4:$B$1203,"&lt;="&amp;$T$2))</f>
        <v/>
      </c>
      <c r="M110" s="25" t="str">
        <f t="shared" si="6"/>
        <v/>
      </c>
      <c r="N110" s="25" t="str">
        <f t="shared" si="7"/>
        <v/>
      </c>
      <c r="O110" s="25" t="str">
        <f t="shared" si="8"/>
        <v/>
      </c>
      <c r="P110" s="37" t="str">
        <f t="shared" si="9"/>
        <v/>
      </c>
      <c r="Q110" s="27"/>
    </row>
    <row r="111" spans="1:17">
      <c r="A111" s="22" t="str">
        <f t="shared" si="5"/>
        <v/>
      </c>
      <c r="B111" s="37" t="str">
        <f>IFERROR(INDEX(_自动清单!$AM$4:$AM$203,ROW()-3),"")</f>
        <v/>
      </c>
      <c r="C111" s="25" t="str">
        <f>IF(OR($B111="",基础资料!$B$9=""),"",SUMIFS(对接源_01水果筐数!$D$5:$D$304,对接源_01水果筐数!$B$5:$B$304,$B111,对接源_01水果筐数!$C$5:$C$304,基础资料!$B$9))</f>
        <v/>
      </c>
      <c r="D111" s="25" t="str">
        <f>IF(OR($B111="",基础资料!$B$10=""),"",SUMIFS(对接源_01水果筐数!$D$5:$D$304,对接源_01水果筐数!$B$5:$B$304,$B111,对接源_01水果筐数!$C$5:$C$304,基础资料!$B$10))</f>
        <v/>
      </c>
      <c r="E111" s="25" t="str">
        <f>IF(OR($B111="",基础资料!$B$9=""),"",SUMIFS(客户自备加工筐明细!$F$4:$F$1203,客户自备加工筐明细!$E$4:$E$1203,$B111,客户自备加工筐明细!$C$4:$C$1203,基础资料!$B$9,客户自备加工筐明细!$B$4:$B$1203,"&gt;="&amp;$T$1,客户自备加工筐明细!$B$4:$B$1203,"&lt;="&amp;$T$2))</f>
        <v/>
      </c>
      <c r="F111" s="25" t="str">
        <f>IF(OR($B111="",基础资料!$B$10=""),"",SUMIFS(客户自备加工筐明细!$F$4:$F$1203,客户自备加工筐明细!$E$4:$E$1203,$B111,客户自备加工筐明细!$C$4:$C$1203,基础资料!$B$10,客户自备加工筐明细!$B$4:$B$1203,"&gt;="&amp;$T$1,客户自备加工筐明细!$B$4:$B$1203,"&lt;="&amp;$T$2))</f>
        <v/>
      </c>
      <c r="G111" s="67" t="str">
        <f>IF(OR($B111="",基础资料!$B$9=""),"",-SUMIFS(对接源_01水果筐数!$E$5:$E$304,对接源_01水果筐数!$B$5:$B$304,$B111,对接源_01水果筐数!$C$5:$C$304,基础资料!$B$9))</f>
        <v/>
      </c>
      <c r="H111" s="67" t="str">
        <f>IF(OR($B111="",基础资料!$B$10=""),"",-SUMIFS(对接源_01水果筐数!$E$5:$E$304,对接源_01水果筐数!$B$5:$B$304,$B111,对接源_01水果筐数!$C$5:$C$304,基础资料!$B$10))</f>
        <v/>
      </c>
      <c r="I111" s="67" t="str">
        <f>IF(OR($B111="",基础资料!$B$9=""),"",-SUMIFS(对接源_01水果筐数!$F$5:$F$304,对接源_01水果筐数!$B$5:$B$304,$B111,对接源_01水果筐数!$C$5:$C$304,基础资料!$B$9))</f>
        <v/>
      </c>
      <c r="J111" s="67" t="str">
        <f>IF(OR($B111="",基础资料!$B$10=""),"",-SUMIFS(对接源_01水果筐数!$F$5:$F$304,对接源_01水果筐数!$B$5:$B$304,$B111,对接源_01水果筐数!$C$5:$C$304,基础资料!$B$10))</f>
        <v/>
      </c>
      <c r="K111" s="67" t="str">
        <f>IF(OR($B111="",基础资料!$B$9=""),"",-SUMIFS(客户自备加工筐明细!$G$4:$G$1203,客户自备加工筐明细!$E$4:$E$1203,$B111,客户自备加工筐明细!$C$4:$C$1203,基础资料!$B$9,客户自备加工筐明细!$B$4:$B$1203,"&gt;="&amp;$T$1,客户自备加工筐明细!$B$4:$B$1203,"&lt;="&amp;$T$2))</f>
        <v/>
      </c>
      <c r="L111" s="67" t="str">
        <f>IF(OR($B111="",基础资料!$B$10=""),"",-SUMIFS(客户自备加工筐明细!$G$4:$G$1203,客户自备加工筐明细!$E$4:$E$1203,$B111,客户自备加工筐明细!$C$4:$C$1203,基础资料!$B$10,客户自备加工筐明细!$B$4:$B$1203,"&gt;="&amp;$T$1,客户自备加工筐明细!$B$4:$B$1203,"&lt;="&amp;$T$2))</f>
        <v/>
      </c>
      <c r="M111" s="25" t="str">
        <f t="shared" si="6"/>
        <v/>
      </c>
      <c r="N111" s="25" t="str">
        <f t="shared" si="7"/>
        <v/>
      </c>
      <c r="O111" s="25" t="str">
        <f t="shared" si="8"/>
        <v/>
      </c>
      <c r="P111" s="37" t="str">
        <f t="shared" si="9"/>
        <v/>
      </c>
      <c r="Q111" s="27"/>
    </row>
    <row r="112" spans="1:17">
      <c r="A112" s="22" t="str">
        <f t="shared" si="5"/>
        <v/>
      </c>
      <c r="B112" s="37" t="str">
        <f>IFERROR(INDEX(_自动清单!$AM$4:$AM$203,ROW()-3),"")</f>
        <v/>
      </c>
      <c r="C112" s="25" t="str">
        <f>IF(OR($B112="",基础资料!$B$9=""),"",SUMIFS(对接源_01水果筐数!$D$5:$D$304,对接源_01水果筐数!$B$5:$B$304,$B112,对接源_01水果筐数!$C$5:$C$304,基础资料!$B$9))</f>
        <v/>
      </c>
      <c r="D112" s="25" t="str">
        <f>IF(OR($B112="",基础资料!$B$10=""),"",SUMIFS(对接源_01水果筐数!$D$5:$D$304,对接源_01水果筐数!$B$5:$B$304,$B112,对接源_01水果筐数!$C$5:$C$304,基础资料!$B$10))</f>
        <v/>
      </c>
      <c r="E112" s="25" t="str">
        <f>IF(OR($B112="",基础资料!$B$9=""),"",SUMIFS(客户自备加工筐明细!$F$4:$F$1203,客户自备加工筐明细!$E$4:$E$1203,$B112,客户自备加工筐明细!$C$4:$C$1203,基础资料!$B$9,客户自备加工筐明细!$B$4:$B$1203,"&gt;="&amp;$T$1,客户自备加工筐明细!$B$4:$B$1203,"&lt;="&amp;$T$2))</f>
        <v/>
      </c>
      <c r="F112" s="25" t="str">
        <f>IF(OR($B112="",基础资料!$B$10=""),"",SUMIFS(客户自备加工筐明细!$F$4:$F$1203,客户自备加工筐明细!$E$4:$E$1203,$B112,客户自备加工筐明细!$C$4:$C$1203,基础资料!$B$10,客户自备加工筐明细!$B$4:$B$1203,"&gt;="&amp;$T$1,客户自备加工筐明细!$B$4:$B$1203,"&lt;="&amp;$T$2))</f>
        <v/>
      </c>
      <c r="G112" s="67" t="str">
        <f>IF(OR($B112="",基础资料!$B$9=""),"",-SUMIFS(对接源_01水果筐数!$E$5:$E$304,对接源_01水果筐数!$B$5:$B$304,$B112,对接源_01水果筐数!$C$5:$C$304,基础资料!$B$9))</f>
        <v/>
      </c>
      <c r="H112" s="67" t="str">
        <f>IF(OR($B112="",基础资料!$B$10=""),"",-SUMIFS(对接源_01水果筐数!$E$5:$E$304,对接源_01水果筐数!$B$5:$B$304,$B112,对接源_01水果筐数!$C$5:$C$304,基础资料!$B$10))</f>
        <v/>
      </c>
      <c r="I112" s="67" t="str">
        <f>IF(OR($B112="",基础资料!$B$9=""),"",-SUMIFS(对接源_01水果筐数!$F$5:$F$304,对接源_01水果筐数!$B$5:$B$304,$B112,对接源_01水果筐数!$C$5:$C$304,基础资料!$B$9))</f>
        <v/>
      </c>
      <c r="J112" s="67" t="str">
        <f>IF(OR($B112="",基础资料!$B$10=""),"",-SUMIFS(对接源_01水果筐数!$F$5:$F$304,对接源_01水果筐数!$B$5:$B$304,$B112,对接源_01水果筐数!$C$5:$C$304,基础资料!$B$10))</f>
        <v/>
      </c>
      <c r="K112" s="67" t="str">
        <f>IF(OR($B112="",基础资料!$B$9=""),"",-SUMIFS(客户自备加工筐明细!$G$4:$G$1203,客户自备加工筐明细!$E$4:$E$1203,$B112,客户自备加工筐明细!$C$4:$C$1203,基础资料!$B$9,客户自备加工筐明细!$B$4:$B$1203,"&gt;="&amp;$T$1,客户自备加工筐明细!$B$4:$B$1203,"&lt;="&amp;$T$2))</f>
        <v/>
      </c>
      <c r="L112" s="67" t="str">
        <f>IF(OR($B112="",基础资料!$B$10=""),"",-SUMIFS(客户自备加工筐明细!$G$4:$G$1203,客户自备加工筐明细!$E$4:$E$1203,$B112,客户自备加工筐明细!$C$4:$C$1203,基础资料!$B$10,客户自备加工筐明细!$B$4:$B$1203,"&gt;="&amp;$T$1,客户自备加工筐明细!$B$4:$B$1203,"&lt;="&amp;$T$2))</f>
        <v/>
      </c>
      <c r="M112" s="25" t="str">
        <f t="shared" si="6"/>
        <v/>
      </c>
      <c r="N112" s="25" t="str">
        <f t="shared" si="7"/>
        <v/>
      </c>
      <c r="O112" s="25" t="str">
        <f t="shared" si="8"/>
        <v/>
      </c>
      <c r="P112" s="37" t="str">
        <f t="shared" si="9"/>
        <v/>
      </c>
      <c r="Q112" s="27"/>
    </row>
    <row r="113" spans="1:17">
      <c r="A113" s="22" t="str">
        <f t="shared" si="5"/>
        <v/>
      </c>
      <c r="B113" s="37" t="str">
        <f>IFERROR(INDEX(_自动清单!$AM$4:$AM$203,ROW()-3),"")</f>
        <v/>
      </c>
      <c r="C113" s="25" t="str">
        <f>IF(OR($B113="",基础资料!$B$9=""),"",SUMIFS(对接源_01水果筐数!$D$5:$D$304,对接源_01水果筐数!$B$5:$B$304,$B113,对接源_01水果筐数!$C$5:$C$304,基础资料!$B$9))</f>
        <v/>
      </c>
      <c r="D113" s="25" t="str">
        <f>IF(OR($B113="",基础资料!$B$10=""),"",SUMIFS(对接源_01水果筐数!$D$5:$D$304,对接源_01水果筐数!$B$5:$B$304,$B113,对接源_01水果筐数!$C$5:$C$304,基础资料!$B$10))</f>
        <v/>
      </c>
      <c r="E113" s="25" t="str">
        <f>IF(OR($B113="",基础资料!$B$9=""),"",SUMIFS(客户自备加工筐明细!$F$4:$F$1203,客户自备加工筐明细!$E$4:$E$1203,$B113,客户自备加工筐明细!$C$4:$C$1203,基础资料!$B$9,客户自备加工筐明细!$B$4:$B$1203,"&gt;="&amp;$T$1,客户自备加工筐明细!$B$4:$B$1203,"&lt;="&amp;$T$2))</f>
        <v/>
      </c>
      <c r="F113" s="25" t="str">
        <f>IF(OR($B113="",基础资料!$B$10=""),"",SUMIFS(客户自备加工筐明细!$F$4:$F$1203,客户自备加工筐明细!$E$4:$E$1203,$B113,客户自备加工筐明细!$C$4:$C$1203,基础资料!$B$10,客户自备加工筐明细!$B$4:$B$1203,"&gt;="&amp;$T$1,客户自备加工筐明细!$B$4:$B$1203,"&lt;="&amp;$T$2))</f>
        <v/>
      </c>
      <c r="G113" s="67" t="str">
        <f>IF(OR($B113="",基础资料!$B$9=""),"",-SUMIFS(对接源_01水果筐数!$E$5:$E$304,对接源_01水果筐数!$B$5:$B$304,$B113,对接源_01水果筐数!$C$5:$C$304,基础资料!$B$9))</f>
        <v/>
      </c>
      <c r="H113" s="67" t="str">
        <f>IF(OR($B113="",基础资料!$B$10=""),"",-SUMIFS(对接源_01水果筐数!$E$5:$E$304,对接源_01水果筐数!$B$5:$B$304,$B113,对接源_01水果筐数!$C$5:$C$304,基础资料!$B$10))</f>
        <v/>
      </c>
      <c r="I113" s="67" t="str">
        <f>IF(OR($B113="",基础资料!$B$9=""),"",-SUMIFS(对接源_01水果筐数!$F$5:$F$304,对接源_01水果筐数!$B$5:$B$304,$B113,对接源_01水果筐数!$C$5:$C$304,基础资料!$B$9))</f>
        <v/>
      </c>
      <c r="J113" s="67" t="str">
        <f>IF(OR($B113="",基础资料!$B$10=""),"",-SUMIFS(对接源_01水果筐数!$F$5:$F$304,对接源_01水果筐数!$B$5:$B$304,$B113,对接源_01水果筐数!$C$5:$C$304,基础资料!$B$10))</f>
        <v/>
      </c>
      <c r="K113" s="67" t="str">
        <f>IF(OR($B113="",基础资料!$B$9=""),"",-SUMIFS(客户自备加工筐明细!$G$4:$G$1203,客户自备加工筐明细!$E$4:$E$1203,$B113,客户自备加工筐明细!$C$4:$C$1203,基础资料!$B$9,客户自备加工筐明细!$B$4:$B$1203,"&gt;="&amp;$T$1,客户自备加工筐明细!$B$4:$B$1203,"&lt;="&amp;$T$2))</f>
        <v/>
      </c>
      <c r="L113" s="67" t="str">
        <f>IF(OR($B113="",基础资料!$B$10=""),"",-SUMIFS(客户自备加工筐明细!$G$4:$G$1203,客户自备加工筐明细!$E$4:$E$1203,$B113,客户自备加工筐明细!$C$4:$C$1203,基础资料!$B$10,客户自备加工筐明细!$B$4:$B$1203,"&gt;="&amp;$T$1,客户自备加工筐明细!$B$4:$B$1203,"&lt;="&amp;$T$2))</f>
        <v/>
      </c>
      <c r="M113" s="25" t="str">
        <f t="shared" si="6"/>
        <v/>
      </c>
      <c r="N113" s="25" t="str">
        <f t="shared" si="7"/>
        <v/>
      </c>
      <c r="O113" s="25" t="str">
        <f t="shared" si="8"/>
        <v/>
      </c>
      <c r="P113" s="37" t="str">
        <f t="shared" si="9"/>
        <v/>
      </c>
      <c r="Q113" s="27"/>
    </row>
    <row r="114" spans="1:17">
      <c r="A114" s="22" t="str">
        <f t="shared" si="5"/>
        <v/>
      </c>
      <c r="B114" s="37" t="str">
        <f>IFERROR(INDEX(_自动清单!$AM$4:$AM$203,ROW()-3),"")</f>
        <v/>
      </c>
      <c r="C114" s="25" t="str">
        <f>IF(OR($B114="",基础资料!$B$9=""),"",SUMIFS(对接源_01水果筐数!$D$5:$D$304,对接源_01水果筐数!$B$5:$B$304,$B114,对接源_01水果筐数!$C$5:$C$304,基础资料!$B$9))</f>
        <v/>
      </c>
      <c r="D114" s="25" t="str">
        <f>IF(OR($B114="",基础资料!$B$10=""),"",SUMIFS(对接源_01水果筐数!$D$5:$D$304,对接源_01水果筐数!$B$5:$B$304,$B114,对接源_01水果筐数!$C$5:$C$304,基础资料!$B$10))</f>
        <v/>
      </c>
      <c r="E114" s="25" t="str">
        <f>IF(OR($B114="",基础资料!$B$9=""),"",SUMIFS(客户自备加工筐明细!$F$4:$F$1203,客户自备加工筐明细!$E$4:$E$1203,$B114,客户自备加工筐明细!$C$4:$C$1203,基础资料!$B$9,客户自备加工筐明细!$B$4:$B$1203,"&gt;="&amp;$T$1,客户自备加工筐明细!$B$4:$B$1203,"&lt;="&amp;$T$2))</f>
        <v/>
      </c>
      <c r="F114" s="25" t="str">
        <f>IF(OR($B114="",基础资料!$B$10=""),"",SUMIFS(客户自备加工筐明细!$F$4:$F$1203,客户自备加工筐明细!$E$4:$E$1203,$B114,客户自备加工筐明细!$C$4:$C$1203,基础资料!$B$10,客户自备加工筐明细!$B$4:$B$1203,"&gt;="&amp;$T$1,客户自备加工筐明细!$B$4:$B$1203,"&lt;="&amp;$T$2))</f>
        <v/>
      </c>
      <c r="G114" s="67" t="str">
        <f>IF(OR($B114="",基础资料!$B$9=""),"",-SUMIFS(对接源_01水果筐数!$E$5:$E$304,对接源_01水果筐数!$B$5:$B$304,$B114,对接源_01水果筐数!$C$5:$C$304,基础资料!$B$9))</f>
        <v/>
      </c>
      <c r="H114" s="67" t="str">
        <f>IF(OR($B114="",基础资料!$B$10=""),"",-SUMIFS(对接源_01水果筐数!$E$5:$E$304,对接源_01水果筐数!$B$5:$B$304,$B114,对接源_01水果筐数!$C$5:$C$304,基础资料!$B$10))</f>
        <v/>
      </c>
      <c r="I114" s="67" t="str">
        <f>IF(OR($B114="",基础资料!$B$9=""),"",-SUMIFS(对接源_01水果筐数!$F$5:$F$304,对接源_01水果筐数!$B$5:$B$304,$B114,对接源_01水果筐数!$C$5:$C$304,基础资料!$B$9))</f>
        <v/>
      </c>
      <c r="J114" s="67" t="str">
        <f>IF(OR($B114="",基础资料!$B$10=""),"",-SUMIFS(对接源_01水果筐数!$F$5:$F$304,对接源_01水果筐数!$B$5:$B$304,$B114,对接源_01水果筐数!$C$5:$C$304,基础资料!$B$10))</f>
        <v/>
      </c>
      <c r="K114" s="67" t="str">
        <f>IF(OR($B114="",基础资料!$B$9=""),"",-SUMIFS(客户自备加工筐明细!$G$4:$G$1203,客户自备加工筐明细!$E$4:$E$1203,$B114,客户自备加工筐明细!$C$4:$C$1203,基础资料!$B$9,客户自备加工筐明细!$B$4:$B$1203,"&gt;="&amp;$T$1,客户自备加工筐明细!$B$4:$B$1203,"&lt;="&amp;$T$2))</f>
        <v/>
      </c>
      <c r="L114" s="67" t="str">
        <f>IF(OR($B114="",基础资料!$B$10=""),"",-SUMIFS(客户自备加工筐明细!$G$4:$G$1203,客户自备加工筐明细!$E$4:$E$1203,$B114,客户自备加工筐明细!$C$4:$C$1203,基础资料!$B$10,客户自备加工筐明细!$B$4:$B$1203,"&gt;="&amp;$T$1,客户自备加工筐明细!$B$4:$B$1203,"&lt;="&amp;$T$2))</f>
        <v/>
      </c>
      <c r="M114" s="25" t="str">
        <f t="shared" si="6"/>
        <v/>
      </c>
      <c r="N114" s="25" t="str">
        <f t="shared" si="7"/>
        <v/>
      </c>
      <c r="O114" s="25" t="str">
        <f t="shared" si="8"/>
        <v/>
      </c>
      <c r="P114" s="37" t="str">
        <f t="shared" si="9"/>
        <v/>
      </c>
      <c r="Q114" s="27"/>
    </row>
    <row r="115" spans="1:17">
      <c r="A115" s="22" t="str">
        <f t="shared" si="5"/>
        <v/>
      </c>
      <c r="B115" s="37" t="str">
        <f>IFERROR(INDEX(_自动清单!$AM$4:$AM$203,ROW()-3),"")</f>
        <v/>
      </c>
      <c r="C115" s="25" t="str">
        <f>IF(OR($B115="",基础资料!$B$9=""),"",SUMIFS(对接源_01水果筐数!$D$5:$D$304,对接源_01水果筐数!$B$5:$B$304,$B115,对接源_01水果筐数!$C$5:$C$304,基础资料!$B$9))</f>
        <v/>
      </c>
      <c r="D115" s="25" t="str">
        <f>IF(OR($B115="",基础资料!$B$10=""),"",SUMIFS(对接源_01水果筐数!$D$5:$D$304,对接源_01水果筐数!$B$5:$B$304,$B115,对接源_01水果筐数!$C$5:$C$304,基础资料!$B$10))</f>
        <v/>
      </c>
      <c r="E115" s="25" t="str">
        <f>IF(OR($B115="",基础资料!$B$9=""),"",SUMIFS(客户自备加工筐明细!$F$4:$F$1203,客户自备加工筐明细!$E$4:$E$1203,$B115,客户自备加工筐明细!$C$4:$C$1203,基础资料!$B$9,客户自备加工筐明细!$B$4:$B$1203,"&gt;="&amp;$T$1,客户自备加工筐明细!$B$4:$B$1203,"&lt;="&amp;$T$2))</f>
        <v/>
      </c>
      <c r="F115" s="25" t="str">
        <f>IF(OR($B115="",基础资料!$B$10=""),"",SUMIFS(客户自备加工筐明细!$F$4:$F$1203,客户自备加工筐明细!$E$4:$E$1203,$B115,客户自备加工筐明细!$C$4:$C$1203,基础资料!$B$10,客户自备加工筐明细!$B$4:$B$1203,"&gt;="&amp;$T$1,客户自备加工筐明细!$B$4:$B$1203,"&lt;="&amp;$T$2))</f>
        <v/>
      </c>
      <c r="G115" s="67" t="str">
        <f>IF(OR($B115="",基础资料!$B$9=""),"",-SUMIFS(对接源_01水果筐数!$E$5:$E$304,对接源_01水果筐数!$B$5:$B$304,$B115,对接源_01水果筐数!$C$5:$C$304,基础资料!$B$9))</f>
        <v/>
      </c>
      <c r="H115" s="67" t="str">
        <f>IF(OR($B115="",基础资料!$B$10=""),"",-SUMIFS(对接源_01水果筐数!$E$5:$E$304,对接源_01水果筐数!$B$5:$B$304,$B115,对接源_01水果筐数!$C$5:$C$304,基础资料!$B$10))</f>
        <v/>
      </c>
      <c r="I115" s="67" t="str">
        <f>IF(OR($B115="",基础资料!$B$9=""),"",-SUMIFS(对接源_01水果筐数!$F$5:$F$304,对接源_01水果筐数!$B$5:$B$304,$B115,对接源_01水果筐数!$C$5:$C$304,基础资料!$B$9))</f>
        <v/>
      </c>
      <c r="J115" s="67" t="str">
        <f>IF(OR($B115="",基础资料!$B$10=""),"",-SUMIFS(对接源_01水果筐数!$F$5:$F$304,对接源_01水果筐数!$B$5:$B$304,$B115,对接源_01水果筐数!$C$5:$C$304,基础资料!$B$10))</f>
        <v/>
      </c>
      <c r="K115" s="67" t="str">
        <f>IF(OR($B115="",基础资料!$B$9=""),"",-SUMIFS(客户自备加工筐明细!$G$4:$G$1203,客户自备加工筐明细!$E$4:$E$1203,$B115,客户自备加工筐明细!$C$4:$C$1203,基础资料!$B$9,客户自备加工筐明细!$B$4:$B$1203,"&gt;="&amp;$T$1,客户自备加工筐明细!$B$4:$B$1203,"&lt;="&amp;$T$2))</f>
        <v/>
      </c>
      <c r="L115" s="67" t="str">
        <f>IF(OR($B115="",基础资料!$B$10=""),"",-SUMIFS(客户自备加工筐明细!$G$4:$G$1203,客户自备加工筐明细!$E$4:$E$1203,$B115,客户自备加工筐明细!$C$4:$C$1203,基础资料!$B$10,客户自备加工筐明细!$B$4:$B$1203,"&gt;="&amp;$T$1,客户自备加工筐明细!$B$4:$B$1203,"&lt;="&amp;$T$2))</f>
        <v/>
      </c>
      <c r="M115" s="25" t="str">
        <f t="shared" si="6"/>
        <v/>
      </c>
      <c r="N115" s="25" t="str">
        <f t="shared" si="7"/>
        <v/>
      </c>
      <c r="O115" s="25" t="str">
        <f t="shared" si="8"/>
        <v/>
      </c>
      <c r="P115" s="37" t="str">
        <f t="shared" si="9"/>
        <v/>
      </c>
      <c r="Q115" s="27"/>
    </row>
    <row r="116" spans="1:17">
      <c r="A116" s="22" t="str">
        <f t="shared" si="5"/>
        <v/>
      </c>
      <c r="B116" s="37" t="str">
        <f>IFERROR(INDEX(_自动清单!$AM$4:$AM$203,ROW()-3),"")</f>
        <v/>
      </c>
      <c r="C116" s="25" t="str">
        <f>IF(OR($B116="",基础资料!$B$9=""),"",SUMIFS(对接源_01水果筐数!$D$5:$D$304,对接源_01水果筐数!$B$5:$B$304,$B116,对接源_01水果筐数!$C$5:$C$304,基础资料!$B$9))</f>
        <v/>
      </c>
      <c r="D116" s="25" t="str">
        <f>IF(OR($B116="",基础资料!$B$10=""),"",SUMIFS(对接源_01水果筐数!$D$5:$D$304,对接源_01水果筐数!$B$5:$B$304,$B116,对接源_01水果筐数!$C$5:$C$304,基础资料!$B$10))</f>
        <v/>
      </c>
      <c r="E116" s="25" t="str">
        <f>IF(OR($B116="",基础资料!$B$9=""),"",SUMIFS(客户自备加工筐明细!$F$4:$F$1203,客户自备加工筐明细!$E$4:$E$1203,$B116,客户自备加工筐明细!$C$4:$C$1203,基础资料!$B$9,客户自备加工筐明细!$B$4:$B$1203,"&gt;="&amp;$T$1,客户自备加工筐明细!$B$4:$B$1203,"&lt;="&amp;$T$2))</f>
        <v/>
      </c>
      <c r="F116" s="25" t="str">
        <f>IF(OR($B116="",基础资料!$B$10=""),"",SUMIFS(客户自备加工筐明细!$F$4:$F$1203,客户自备加工筐明细!$E$4:$E$1203,$B116,客户自备加工筐明细!$C$4:$C$1203,基础资料!$B$10,客户自备加工筐明细!$B$4:$B$1203,"&gt;="&amp;$T$1,客户自备加工筐明细!$B$4:$B$1203,"&lt;="&amp;$T$2))</f>
        <v/>
      </c>
      <c r="G116" s="67" t="str">
        <f>IF(OR($B116="",基础资料!$B$9=""),"",-SUMIFS(对接源_01水果筐数!$E$5:$E$304,对接源_01水果筐数!$B$5:$B$304,$B116,对接源_01水果筐数!$C$5:$C$304,基础资料!$B$9))</f>
        <v/>
      </c>
      <c r="H116" s="67" t="str">
        <f>IF(OR($B116="",基础资料!$B$10=""),"",-SUMIFS(对接源_01水果筐数!$E$5:$E$304,对接源_01水果筐数!$B$5:$B$304,$B116,对接源_01水果筐数!$C$5:$C$304,基础资料!$B$10))</f>
        <v/>
      </c>
      <c r="I116" s="67" t="str">
        <f>IF(OR($B116="",基础资料!$B$9=""),"",-SUMIFS(对接源_01水果筐数!$F$5:$F$304,对接源_01水果筐数!$B$5:$B$304,$B116,对接源_01水果筐数!$C$5:$C$304,基础资料!$B$9))</f>
        <v/>
      </c>
      <c r="J116" s="67" t="str">
        <f>IF(OR($B116="",基础资料!$B$10=""),"",-SUMIFS(对接源_01水果筐数!$F$5:$F$304,对接源_01水果筐数!$B$5:$B$304,$B116,对接源_01水果筐数!$C$5:$C$304,基础资料!$B$10))</f>
        <v/>
      </c>
      <c r="K116" s="67" t="str">
        <f>IF(OR($B116="",基础资料!$B$9=""),"",-SUMIFS(客户自备加工筐明细!$G$4:$G$1203,客户自备加工筐明细!$E$4:$E$1203,$B116,客户自备加工筐明细!$C$4:$C$1203,基础资料!$B$9,客户自备加工筐明细!$B$4:$B$1203,"&gt;="&amp;$T$1,客户自备加工筐明细!$B$4:$B$1203,"&lt;="&amp;$T$2))</f>
        <v/>
      </c>
      <c r="L116" s="67" t="str">
        <f>IF(OR($B116="",基础资料!$B$10=""),"",-SUMIFS(客户自备加工筐明细!$G$4:$G$1203,客户自备加工筐明细!$E$4:$E$1203,$B116,客户自备加工筐明细!$C$4:$C$1203,基础资料!$B$10,客户自备加工筐明细!$B$4:$B$1203,"&gt;="&amp;$T$1,客户自备加工筐明细!$B$4:$B$1203,"&lt;="&amp;$T$2))</f>
        <v/>
      </c>
      <c r="M116" s="25" t="str">
        <f t="shared" si="6"/>
        <v/>
      </c>
      <c r="N116" s="25" t="str">
        <f t="shared" si="7"/>
        <v/>
      </c>
      <c r="O116" s="25" t="str">
        <f t="shared" si="8"/>
        <v/>
      </c>
      <c r="P116" s="37" t="str">
        <f t="shared" si="9"/>
        <v/>
      </c>
      <c r="Q116" s="27"/>
    </row>
    <row r="117" spans="1:17">
      <c r="A117" s="22" t="str">
        <f t="shared" si="5"/>
        <v/>
      </c>
      <c r="B117" s="37" t="str">
        <f>IFERROR(INDEX(_自动清单!$AM$4:$AM$203,ROW()-3),"")</f>
        <v/>
      </c>
      <c r="C117" s="25" t="str">
        <f>IF(OR($B117="",基础资料!$B$9=""),"",SUMIFS(对接源_01水果筐数!$D$5:$D$304,对接源_01水果筐数!$B$5:$B$304,$B117,对接源_01水果筐数!$C$5:$C$304,基础资料!$B$9))</f>
        <v/>
      </c>
      <c r="D117" s="25" t="str">
        <f>IF(OR($B117="",基础资料!$B$10=""),"",SUMIFS(对接源_01水果筐数!$D$5:$D$304,对接源_01水果筐数!$B$5:$B$304,$B117,对接源_01水果筐数!$C$5:$C$304,基础资料!$B$10))</f>
        <v/>
      </c>
      <c r="E117" s="25" t="str">
        <f>IF(OR($B117="",基础资料!$B$9=""),"",SUMIFS(客户自备加工筐明细!$F$4:$F$1203,客户自备加工筐明细!$E$4:$E$1203,$B117,客户自备加工筐明细!$C$4:$C$1203,基础资料!$B$9,客户自备加工筐明细!$B$4:$B$1203,"&gt;="&amp;$T$1,客户自备加工筐明细!$B$4:$B$1203,"&lt;="&amp;$T$2))</f>
        <v/>
      </c>
      <c r="F117" s="25" t="str">
        <f>IF(OR($B117="",基础资料!$B$10=""),"",SUMIFS(客户自备加工筐明细!$F$4:$F$1203,客户自备加工筐明细!$E$4:$E$1203,$B117,客户自备加工筐明细!$C$4:$C$1203,基础资料!$B$10,客户自备加工筐明细!$B$4:$B$1203,"&gt;="&amp;$T$1,客户自备加工筐明细!$B$4:$B$1203,"&lt;="&amp;$T$2))</f>
        <v/>
      </c>
      <c r="G117" s="67" t="str">
        <f>IF(OR($B117="",基础资料!$B$9=""),"",-SUMIFS(对接源_01水果筐数!$E$5:$E$304,对接源_01水果筐数!$B$5:$B$304,$B117,对接源_01水果筐数!$C$5:$C$304,基础资料!$B$9))</f>
        <v/>
      </c>
      <c r="H117" s="67" t="str">
        <f>IF(OR($B117="",基础资料!$B$10=""),"",-SUMIFS(对接源_01水果筐数!$E$5:$E$304,对接源_01水果筐数!$B$5:$B$304,$B117,对接源_01水果筐数!$C$5:$C$304,基础资料!$B$10))</f>
        <v/>
      </c>
      <c r="I117" s="67" t="str">
        <f>IF(OR($B117="",基础资料!$B$9=""),"",-SUMIFS(对接源_01水果筐数!$F$5:$F$304,对接源_01水果筐数!$B$5:$B$304,$B117,对接源_01水果筐数!$C$5:$C$304,基础资料!$B$9))</f>
        <v/>
      </c>
      <c r="J117" s="67" t="str">
        <f>IF(OR($B117="",基础资料!$B$10=""),"",-SUMIFS(对接源_01水果筐数!$F$5:$F$304,对接源_01水果筐数!$B$5:$B$304,$B117,对接源_01水果筐数!$C$5:$C$304,基础资料!$B$10))</f>
        <v/>
      </c>
      <c r="K117" s="67" t="str">
        <f>IF(OR($B117="",基础资料!$B$9=""),"",-SUMIFS(客户自备加工筐明细!$G$4:$G$1203,客户自备加工筐明细!$E$4:$E$1203,$B117,客户自备加工筐明细!$C$4:$C$1203,基础资料!$B$9,客户自备加工筐明细!$B$4:$B$1203,"&gt;="&amp;$T$1,客户自备加工筐明细!$B$4:$B$1203,"&lt;="&amp;$T$2))</f>
        <v/>
      </c>
      <c r="L117" s="67" t="str">
        <f>IF(OR($B117="",基础资料!$B$10=""),"",-SUMIFS(客户自备加工筐明细!$G$4:$G$1203,客户自备加工筐明细!$E$4:$E$1203,$B117,客户自备加工筐明细!$C$4:$C$1203,基础资料!$B$10,客户自备加工筐明细!$B$4:$B$1203,"&gt;="&amp;$T$1,客户自备加工筐明细!$B$4:$B$1203,"&lt;="&amp;$T$2))</f>
        <v/>
      </c>
      <c r="M117" s="25" t="str">
        <f t="shared" si="6"/>
        <v/>
      </c>
      <c r="N117" s="25" t="str">
        <f t="shared" si="7"/>
        <v/>
      </c>
      <c r="O117" s="25" t="str">
        <f t="shared" si="8"/>
        <v/>
      </c>
      <c r="P117" s="37" t="str">
        <f t="shared" si="9"/>
        <v/>
      </c>
      <c r="Q117" s="27"/>
    </row>
    <row r="118" spans="1:17">
      <c r="A118" s="22" t="str">
        <f t="shared" si="5"/>
        <v/>
      </c>
      <c r="B118" s="37" t="str">
        <f>IFERROR(INDEX(_自动清单!$AM$4:$AM$203,ROW()-3),"")</f>
        <v/>
      </c>
      <c r="C118" s="25" t="str">
        <f>IF(OR($B118="",基础资料!$B$9=""),"",SUMIFS(对接源_01水果筐数!$D$5:$D$304,对接源_01水果筐数!$B$5:$B$304,$B118,对接源_01水果筐数!$C$5:$C$304,基础资料!$B$9))</f>
        <v/>
      </c>
      <c r="D118" s="25" t="str">
        <f>IF(OR($B118="",基础资料!$B$10=""),"",SUMIFS(对接源_01水果筐数!$D$5:$D$304,对接源_01水果筐数!$B$5:$B$304,$B118,对接源_01水果筐数!$C$5:$C$304,基础资料!$B$10))</f>
        <v/>
      </c>
      <c r="E118" s="25" t="str">
        <f>IF(OR($B118="",基础资料!$B$9=""),"",SUMIFS(客户自备加工筐明细!$F$4:$F$1203,客户自备加工筐明细!$E$4:$E$1203,$B118,客户自备加工筐明细!$C$4:$C$1203,基础资料!$B$9,客户自备加工筐明细!$B$4:$B$1203,"&gt;="&amp;$T$1,客户自备加工筐明细!$B$4:$B$1203,"&lt;="&amp;$T$2))</f>
        <v/>
      </c>
      <c r="F118" s="25" t="str">
        <f>IF(OR($B118="",基础资料!$B$10=""),"",SUMIFS(客户自备加工筐明细!$F$4:$F$1203,客户自备加工筐明细!$E$4:$E$1203,$B118,客户自备加工筐明细!$C$4:$C$1203,基础资料!$B$10,客户自备加工筐明细!$B$4:$B$1203,"&gt;="&amp;$T$1,客户自备加工筐明细!$B$4:$B$1203,"&lt;="&amp;$T$2))</f>
        <v/>
      </c>
      <c r="G118" s="67" t="str">
        <f>IF(OR($B118="",基础资料!$B$9=""),"",-SUMIFS(对接源_01水果筐数!$E$5:$E$304,对接源_01水果筐数!$B$5:$B$304,$B118,对接源_01水果筐数!$C$5:$C$304,基础资料!$B$9))</f>
        <v/>
      </c>
      <c r="H118" s="67" t="str">
        <f>IF(OR($B118="",基础资料!$B$10=""),"",-SUMIFS(对接源_01水果筐数!$E$5:$E$304,对接源_01水果筐数!$B$5:$B$304,$B118,对接源_01水果筐数!$C$5:$C$304,基础资料!$B$10))</f>
        <v/>
      </c>
      <c r="I118" s="67" t="str">
        <f>IF(OR($B118="",基础资料!$B$9=""),"",-SUMIFS(对接源_01水果筐数!$F$5:$F$304,对接源_01水果筐数!$B$5:$B$304,$B118,对接源_01水果筐数!$C$5:$C$304,基础资料!$B$9))</f>
        <v/>
      </c>
      <c r="J118" s="67" t="str">
        <f>IF(OR($B118="",基础资料!$B$10=""),"",-SUMIFS(对接源_01水果筐数!$F$5:$F$304,对接源_01水果筐数!$B$5:$B$304,$B118,对接源_01水果筐数!$C$5:$C$304,基础资料!$B$10))</f>
        <v/>
      </c>
      <c r="K118" s="67" t="str">
        <f>IF(OR($B118="",基础资料!$B$9=""),"",-SUMIFS(客户自备加工筐明细!$G$4:$G$1203,客户自备加工筐明细!$E$4:$E$1203,$B118,客户自备加工筐明细!$C$4:$C$1203,基础资料!$B$9,客户自备加工筐明细!$B$4:$B$1203,"&gt;="&amp;$T$1,客户自备加工筐明细!$B$4:$B$1203,"&lt;="&amp;$T$2))</f>
        <v/>
      </c>
      <c r="L118" s="67" t="str">
        <f>IF(OR($B118="",基础资料!$B$10=""),"",-SUMIFS(客户自备加工筐明细!$G$4:$G$1203,客户自备加工筐明细!$E$4:$E$1203,$B118,客户自备加工筐明细!$C$4:$C$1203,基础资料!$B$10,客户自备加工筐明细!$B$4:$B$1203,"&gt;="&amp;$T$1,客户自备加工筐明细!$B$4:$B$1203,"&lt;="&amp;$T$2))</f>
        <v/>
      </c>
      <c r="M118" s="25" t="str">
        <f t="shared" si="6"/>
        <v/>
      </c>
      <c r="N118" s="25" t="str">
        <f t="shared" si="7"/>
        <v/>
      </c>
      <c r="O118" s="25" t="str">
        <f t="shared" si="8"/>
        <v/>
      </c>
      <c r="P118" s="37" t="str">
        <f t="shared" si="9"/>
        <v/>
      </c>
      <c r="Q118" s="27"/>
    </row>
    <row r="119" spans="1:17">
      <c r="A119" s="22" t="str">
        <f t="shared" si="5"/>
        <v/>
      </c>
      <c r="B119" s="37" t="str">
        <f>IFERROR(INDEX(_自动清单!$AM$4:$AM$203,ROW()-3),"")</f>
        <v/>
      </c>
      <c r="C119" s="25" t="str">
        <f>IF(OR($B119="",基础资料!$B$9=""),"",SUMIFS(对接源_01水果筐数!$D$5:$D$304,对接源_01水果筐数!$B$5:$B$304,$B119,对接源_01水果筐数!$C$5:$C$304,基础资料!$B$9))</f>
        <v/>
      </c>
      <c r="D119" s="25" t="str">
        <f>IF(OR($B119="",基础资料!$B$10=""),"",SUMIFS(对接源_01水果筐数!$D$5:$D$304,对接源_01水果筐数!$B$5:$B$304,$B119,对接源_01水果筐数!$C$5:$C$304,基础资料!$B$10))</f>
        <v/>
      </c>
      <c r="E119" s="25" t="str">
        <f>IF(OR($B119="",基础资料!$B$9=""),"",SUMIFS(客户自备加工筐明细!$F$4:$F$1203,客户自备加工筐明细!$E$4:$E$1203,$B119,客户自备加工筐明细!$C$4:$C$1203,基础资料!$B$9,客户自备加工筐明细!$B$4:$B$1203,"&gt;="&amp;$T$1,客户自备加工筐明细!$B$4:$B$1203,"&lt;="&amp;$T$2))</f>
        <v/>
      </c>
      <c r="F119" s="25" t="str">
        <f>IF(OR($B119="",基础资料!$B$10=""),"",SUMIFS(客户自备加工筐明细!$F$4:$F$1203,客户自备加工筐明细!$E$4:$E$1203,$B119,客户自备加工筐明细!$C$4:$C$1203,基础资料!$B$10,客户自备加工筐明细!$B$4:$B$1203,"&gt;="&amp;$T$1,客户自备加工筐明细!$B$4:$B$1203,"&lt;="&amp;$T$2))</f>
        <v/>
      </c>
      <c r="G119" s="67" t="str">
        <f>IF(OR($B119="",基础资料!$B$9=""),"",-SUMIFS(对接源_01水果筐数!$E$5:$E$304,对接源_01水果筐数!$B$5:$B$304,$B119,对接源_01水果筐数!$C$5:$C$304,基础资料!$B$9))</f>
        <v/>
      </c>
      <c r="H119" s="67" t="str">
        <f>IF(OR($B119="",基础资料!$B$10=""),"",-SUMIFS(对接源_01水果筐数!$E$5:$E$304,对接源_01水果筐数!$B$5:$B$304,$B119,对接源_01水果筐数!$C$5:$C$304,基础资料!$B$10))</f>
        <v/>
      </c>
      <c r="I119" s="67" t="str">
        <f>IF(OR($B119="",基础资料!$B$9=""),"",-SUMIFS(对接源_01水果筐数!$F$5:$F$304,对接源_01水果筐数!$B$5:$B$304,$B119,对接源_01水果筐数!$C$5:$C$304,基础资料!$B$9))</f>
        <v/>
      </c>
      <c r="J119" s="67" t="str">
        <f>IF(OR($B119="",基础资料!$B$10=""),"",-SUMIFS(对接源_01水果筐数!$F$5:$F$304,对接源_01水果筐数!$B$5:$B$304,$B119,对接源_01水果筐数!$C$5:$C$304,基础资料!$B$10))</f>
        <v/>
      </c>
      <c r="K119" s="67" t="str">
        <f>IF(OR($B119="",基础资料!$B$9=""),"",-SUMIFS(客户自备加工筐明细!$G$4:$G$1203,客户自备加工筐明细!$E$4:$E$1203,$B119,客户自备加工筐明细!$C$4:$C$1203,基础资料!$B$9,客户自备加工筐明细!$B$4:$B$1203,"&gt;="&amp;$T$1,客户自备加工筐明细!$B$4:$B$1203,"&lt;="&amp;$T$2))</f>
        <v/>
      </c>
      <c r="L119" s="67" t="str">
        <f>IF(OR($B119="",基础资料!$B$10=""),"",-SUMIFS(客户自备加工筐明细!$G$4:$G$1203,客户自备加工筐明细!$E$4:$E$1203,$B119,客户自备加工筐明细!$C$4:$C$1203,基础资料!$B$10,客户自备加工筐明细!$B$4:$B$1203,"&gt;="&amp;$T$1,客户自备加工筐明细!$B$4:$B$1203,"&lt;="&amp;$T$2))</f>
        <v/>
      </c>
      <c r="M119" s="25" t="str">
        <f t="shared" si="6"/>
        <v/>
      </c>
      <c r="N119" s="25" t="str">
        <f t="shared" si="7"/>
        <v/>
      </c>
      <c r="O119" s="25" t="str">
        <f t="shared" si="8"/>
        <v/>
      </c>
      <c r="P119" s="37" t="str">
        <f t="shared" si="9"/>
        <v/>
      </c>
      <c r="Q119" s="27"/>
    </row>
    <row r="120" spans="1:17">
      <c r="A120" s="22" t="str">
        <f t="shared" si="5"/>
        <v/>
      </c>
      <c r="B120" s="37" t="str">
        <f>IFERROR(INDEX(_自动清单!$AM$4:$AM$203,ROW()-3),"")</f>
        <v/>
      </c>
      <c r="C120" s="25" t="str">
        <f>IF(OR($B120="",基础资料!$B$9=""),"",SUMIFS(对接源_01水果筐数!$D$5:$D$304,对接源_01水果筐数!$B$5:$B$304,$B120,对接源_01水果筐数!$C$5:$C$304,基础资料!$B$9))</f>
        <v/>
      </c>
      <c r="D120" s="25" t="str">
        <f>IF(OR($B120="",基础资料!$B$10=""),"",SUMIFS(对接源_01水果筐数!$D$5:$D$304,对接源_01水果筐数!$B$5:$B$304,$B120,对接源_01水果筐数!$C$5:$C$304,基础资料!$B$10))</f>
        <v/>
      </c>
      <c r="E120" s="25" t="str">
        <f>IF(OR($B120="",基础资料!$B$9=""),"",SUMIFS(客户自备加工筐明细!$F$4:$F$1203,客户自备加工筐明细!$E$4:$E$1203,$B120,客户自备加工筐明细!$C$4:$C$1203,基础资料!$B$9,客户自备加工筐明细!$B$4:$B$1203,"&gt;="&amp;$T$1,客户自备加工筐明细!$B$4:$B$1203,"&lt;="&amp;$T$2))</f>
        <v/>
      </c>
      <c r="F120" s="25" t="str">
        <f>IF(OR($B120="",基础资料!$B$10=""),"",SUMIFS(客户自备加工筐明细!$F$4:$F$1203,客户自备加工筐明细!$E$4:$E$1203,$B120,客户自备加工筐明细!$C$4:$C$1203,基础资料!$B$10,客户自备加工筐明细!$B$4:$B$1203,"&gt;="&amp;$T$1,客户自备加工筐明细!$B$4:$B$1203,"&lt;="&amp;$T$2))</f>
        <v/>
      </c>
      <c r="G120" s="67" t="str">
        <f>IF(OR($B120="",基础资料!$B$9=""),"",-SUMIFS(对接源_01水果筐数!$E$5:$E$304,对接源_01水果筐数!$B$5:$B$304,$B120,对接源_01水果筐数!$C$5:$C$304,基础资料!$B$9))</f>
        <v/>
      </c>
      <c r="H120" s="67" t="str">
        <f>IF(OR($B120="",基础资料!$B$10=""),"",-SUMIFS(对接源_01水果筐数!$E$5:$E$304,对接源_01水果筐数!$B$5:$B$304,$B120,对接源_01水果筐数!$C$5:$C$304,基础资料!$B$10))</f>
        <v/>
      </c>
      <c r="I120" s="67" t="str">
        <f>IF(OR($B120="",基础资料!$B$9=""),"",-SUMIFS(对接源_01水果筐数!$F$5:$F$304,对接源_01水果筐数!$B$5:$B$304,$B120,对接源_01水果筐数!$C$5:$C$304,基础资料!$B$9))</f>
        <v/>
      </c>
      <c r="J120" s="67" t="str">
        <f>IF(OR($B120="",基础资料!$B$10=""),"",-SUMIFS(对接源_01水果筐数!$F$5:$F$304,对接源_01水果筐数!$B$5:$B$304,$B120,对接源_01水果筐数!$C$5:$C$304,基础资料!$B$10))</f>
        <v/>
      </c>
      <c r="K120" s="67" t="str">
        <f>IF(OR($B120="",基础资料!$B$9=""),"",-SUMIFS(客户自备加工筐明细!$G$4:$G$1203,客户自备加工筐明细!$E$4:$E$1203,$B120,客户自备加工筐明细!$C$4:$C$1203,基础资料!$B$9,客户自备加工筐明细!$B$4:$B$1203,"&gt;="&amp;$T$1,客户自备加工筐明细!$B$4:$B$1203,"&lt;="&amp;$T$2))</f>
        <v/>
      </c>
      <c r="L120" s="67" t="str">
        <f>IF(OR($B120="",基础资料!$B$10=""),"",-SUMIFS(客户自备加工筐明细!$G$4:$G$1203,客户自备加工筐明细!$E$4:$E$1203,$B120,客户自备加工筐明细!$C$4:$C$1203,基础资料!$B$10,客户自备加工筐明细!$B$4:$B$1203,"&gt;="&amp;$T$1,客户自备加工筐明细!$B$4:$B$1203,"&lt;="&amp;$T$2))</f>
        <v/>
      </c>
      <c r="M120" s="25" t="str">
        <f t="shared" si="6"/>
        <v/>
      </c>
      <c r="N120" s="25" t="str">
        <f t="shared" si="7"/>
        <v/>
      </c>
      <c r="O120" s="25" t="str">
        <f t="shared" si="8"/>
        <v/>
      </c>
      <c r="P120" s="37" t="str">
        <f t="shared" si="9"/>
        <v/>
      </c>
      <c r="Q120" s="27"/>
    </row>
    <row r="121" spans="1:17">
      <c r="A121" s="22" t="str">
        <f t="shared" si="5"/>
        <v/>
      </c>
      <c r="B121" s="37" t="str">
        <f>IFERROR(INDEX(_自动清单!$AM$4:$AM$203,ROW()-3),"")</f>
        <v/>
      </c>
      <c r="C121" s="25" t="str">
        <f>IF(OR($B121="",基础资料!$B$9=""),"",SUMIFS(对接源_01水果筐数!$D$5:$D$304,对接源_01水果筐数!$B$5:$B$304,$B121,对接源_01水果筐数!$C$5:$C$304,基础资料!$B$9))</f>
        <v/>
      </c>
      <c r="D121" s="25" t="str">
        <f>IF(OR($B121="",基础资料!$B$10=""),"",SUMIFS(对接源_01水果筐数!$D$5:$D$304,对接源_01水果筐数!$B$5:$B$304,$B121,对接源_01水果筐数!$C$5:$C$304,基础资料!$B$10))</f>
        <v/>
      </c>
      <c r="E121" s="25" t="str">
        <f>IF(OR($B121="",基础资料!$B$9=""),"",SUMIFS(客户自备加工筐明细!$F$4:$F$1203,客户自备加工筐明细!$E$4:$E$1203,$B121,客户自备加工筐明细!$C$4:$C$1203,基础资料!$B$9,客户自备加工筐明细!$B$4:$B$1203,"&gt;="&amp;$T$1,客户自备加工筐明细!$B$4:$B$1203,"&lt;="&amp;$T$2))</f>
        <v/>
      </c>
      <c r="F121" s="25" t="str">
        <f>IF(OR($B121="",基础资料!$B$10=""),"",SUMIFS(客户自备加工筐明细!$F$4:$F$1203,客户自备加工筐明细!$E$4:$E$1203,$B121,客户自备加工筐明细!$C$4:$C$1203,基础资料!$B$10,客户自备加工筐明细!$B$4:$B$1203,"&gt;="&amp;$T$1,客户自备加工筐明细!$B$4:$B$1203,"&lt;="&amp;$T$2))</f>
        <v/>
      </c>
      <c r="G121" s="67" t="str">
        <f>IF(OR($B121="",基础资料!$B$9=""),"",-SUMIFS(对接源_01水果筐数!$E$5:$E$304,对接源_01水果筐数!$B$5:$B$304,$B121,对接源_01水果筐数!$C$5:$C$304,基础资料!$B$9))</f>
        <v/>
      </c>
      <c r="H121" s="67" t="str">
        <f>IF(OR($B121="",基础资料!$B$10=""),"",-SUMIFS(对接源_01水果筐数!$E$5:$E$304,对接源_01水果筐数!$B$5:$B$304,$B121,对接源_01水果筐数!$C$5:$C$304,基础资料!$B$10))</f>
        <v/>
      </c>
      <c r="I121" s="67" t="str">
        <f>IF(OR($B121="",基础资料!$B$9=""),"",-SUMIFS(对接源_01水果筐数!$F$5:$F$304,对接源_01水果筐数!$B$5:$B$304,$B121,对接源_01水果筐数!$C$5:$C$304,基础资料!$B$9))</f>
        <v/>
      </c>
      <c r="J121" s="67" t="str">
        <f>IF(OR($B121="",基础资料!$B$10=""),"",-SUMIFS(对接源_01水果筐数!$F$5:$F$304,对接源_01水果筐数!$B$5:$B$304,$B121,对接源_01水果筐数!$C$5:$C$304,基础资料!$B$10))</f>
        <v/>
      </c>
      <c r="K121" s="67" t="str">
        <f>IF(OR($B121="",基础资料!$B$9=""),"",-SUMIFS(客户自备加工筐明细!$G$4:$G$1203,客户自备加工筐明细!$E$4:$E$1203,$B121,客户自备加工筐明细!$C$4:$C$1203,基础资料!$B$9,客户自备加工筐明细!$B$4:$B$1203,"&gt;="&amp;$T$1,客户自备加工筐明细!$B$4:$B$1203,"&lt;="&amp;$T$2))</f>
        <v/>
      </c>
      <c r="L121" s="67" t="str">
        <f>IF(OR($B121="",基础资料!$B$10=""),"",-SUMIFS(客户自备加工筐明细!$G$4:$G$1203,客户自备加工筐明细!$E$4:$E$1203,$B121,客户自备加工筐明细!$C$4:$C$1203,基础资料!$B$10,客户自备加工筐明细!$B$4:$B$1203,"&gt;="&amp;$T$1,客户自备加工筐明细!$B$4:$B$1203,"&lt;="&amp;$T$2))</f>
        <v/>
      </c>
      <c r="M121" s="25" t="str">
        <f t="shared" si="6"/>
        <v/>
      </c>
      <c r="N121" s="25" t="str">
        <f t="shared" si="7"/>
        <v/>
      </c>
      <c r="O121" s="25" t="str">
        <f t="shared" si="8"/>
        <v/>
      </c>
      <c r="P121" s="37" t="str">
        <f t="shared" si="9"/>
        <v/>
      </c>
      <c r="Q121" s="27"/>
    </row>
    <row r="122" spans="1:17">
      <c r="A122" s="22" t="str">
        <f t="shared" si="5"/>
        <v/>
      </c>
      <c r="B122" s="37" t="str">
        <f>IFERROR(INDEX(_自动清单!$AM$4:$AM$203,ROW()-3),"")</f>
        <v/>
      </c>
      <c r="C122" s="25" t="str">
        <f>IF(OR($B122="",基础资料!$B$9=""),"",SUMIFS(对接源_01水果筐数!$D$5:$D$304,对接源_01水果筐数!$B$5:$B$304,$B122,对接源_01水果筐数!$C$5:$C$304,基础资料!$B$9))</f>
        <v/>
      </c>
      <c r="D122" s="25" t="str">
        <f>IF(OR($B122="",基础资料!$B$10=""),"",SUMIFS(对接源_01水果筐数!$D$5:$D$304,对接源_01水果筐数!$B$5:$B$304,$B122,对接源_01水果筐数!$C$5:$C$304,基础资料!$B$10))</f>
        <v/>
      </c>
      <c r="E122" s="25" t="str">
        <f>IF(OR($B122="",基础资料!$B$9=""),"",SUMIFS(客户自备加工筐明细!$F$4:$F$1203,客户自备加工筐明细!$E$4:$E$1203,$B122,客户自备加工筐明细!$C$4:$C$1203,基础资料!$B$9,客户自备加工筐明细!$B$4:$B$1203,"&gt;="&amp;$T$1,客户自备加工筐明细!$B$4:$B$1203,"&lt;="&amp;$T$2))</f>
        <v/>
      </c>
      <c r="F122" s="25" t="str">
        <f>IF(OR($B122="",基础资料!$B$10=""),"",SUMIFS(客户自备加工筐明细!$F$4:$F$1203,客户自备加工筐明细!$E$4:$E$1203,$B122,客户自备加工筐明细!$C$4:$C$1203,基础资料!$B$10,客户自备加工筐明细!$B$4:$B$1203,"&gt;="&amp;$T$1,客户自备加工筐明细!$B$4:$B$1203,"&lt;="&amp;$T$2))</f>
        <v/>
      </c>
      <c r="G122" s="67" t="str">
        <f>IF(OR($B122="",基础资料!$B$9=""),"",-SUMIFS(对接源_01水果筐数!$E$5:$E$304,对接源_01水果筐数!$B$5:$B$304,$B122,对接源_01水果筐数!$C$5:$C$304,基础资料!$B$9))</f>
        <v/>
      </c>
      <c r="H122" s="67" t="str">
        <f>IF(OR($B122="",基础资料!$B$10=""),"",-SUMIFS(对接源_01水果筐数!$E$5:$E$304,对接源_01水果筐数!$B$5:$B$304,$B122,对接源_01水果筐数!$C$5:$C$304,基础资料!$B$10))</f>
        <v/>
      </c>
      <c r="I122" s="67" t="str">
        <f>IF(OR($B122="",基础资料!$B$9=""),"",-SUMIFS(对接源_01水果筐数!$F$5:$F$304,对接源_01水果筐数!$B$5:$B$304,$B122,对接源_01水果筐数!$C$5:$C$304,基础资料!$B$9))</f>
        <v/>
      </c>
      <c r="J122" s="67" t="str">
        <f>IF(OR($B122="",基础资料!$B$10=""),"",-SUMIFS(对接源_01水果筐数!$F$5:$F$304,对接源_01水果筐数!$B$5:$B$304,$B122,对接源_01水果筐数!$C$5:$C$304,基础资料!$B$10))</f>
        <v/>
      </c>
      <c r="K122" s="67" t="str">
        <f>IF(OR($B122="",基础资料!$B$9=""),"",-SUMIFS(客户自备加工筐明细!$G$4:$G$1203,客户自备加工筐明细!$E$4:$E$1203,$B122,客户自备加工筐明细!$C$4:$C$1203,基础资料!$B$9,客户自备加工筐明细!$B$4:$B$1203,"&gt;="&amp;$T$1,客户自备加工筐明细!$B$4:$B$1203,"&lt;="&amp;$T$2))</f>
        <v/>
      </c>
      <c r="L122" s="67" t="str">
        <f>IF(OR($B122="",基础资料!$B$10=""),"",-SUMIFS(客户自备加工筐明细!$G$4:$G$1203,客户自备加工筐明细!$E$4:$E$1203,$B122,客户自备加工筐明细!$C$4:$C$1203,基础资料!$B$10,客户自备加工筐明细!$B$4:$B$1203,"&gt;="&amp;$T$1,客户自备加工筐明细!$B$4:$B$1203,"&lt;="&amp;$T$2))</f>
        <v/>
      </c>
      <c r="M122" s="25" t="str">
        <f t="shared" si="6"/>
        <v/>
      </c>
      <c r="N122" s="25" t="str">
        <f t="shared" si="7"/>
        <v/>
      </c>
      <c r="O122" s="25" t="str">
        <f t="shared" si="8"/>
        <v/>
      </c>
      <c r="P122" s="37" t="str">
        <f t="shared" si="9"/>
        <v/>
      </c>
      <c r="Q122" s="27"/>
    </row>
    <row r="123" spans="1:17">
      <c r="A123" s="22" t="str">
        <f t="shared" si="5"/>
        <v/>
      </c>
      <c r="B123" s="37" t="str">
        <f>IFERROR(INDEX(_自动清单!$AM$4:$AM$203,ROW()-3),"")</f>
        <v/>
      </c>
      <c r="C123" s="25" t="str">
        <f>IF(OR($B123="",基础资料!$B$9=""),"",SUMIFS(对接源_01水果筐数!$D$5:$D$304,对接源_01水果筐数!$B$5:$B$304,$B123,对接源_01水果筐数!$C$5:$C$304,基础资料!$B$9))</f>
        <v/>
      </c>
      <c r="D123" s="25" t="str">
        <f>IF(OR($B123="",基础资料!$B$10=""),"",SUMIFS(对接源_01水果筐数!$D$5:$D$304,对接源_01水果筐数!$B$5:$B$304,$B123,对接源_01水果筐数!$C$5:$C$304,基础资料!$B$10))</f>
        <v/>
      </c>
      <c r="E123" s="25" t="str">
        <f>IF(OR($B123="",基础资料!$B$9=""),"",SUMIFS(客户自备加工筐明细!$F$4:$F$1203,客户自备加工筐明细!$E$4:$E$1203,$B123,客户自备加工筐明细!$C$4:$C$1203,基础资料!$B$9,客户自备加工筐明细!$B$4:$B$1203,"&gt;="&amp;$T$1,客户自备加工筐明细!$B$4:$B$1203,"&lt;="&amp;$T$2))</f>
        <v/>
      </c>
      <c r="F123" s="25" t="str">
        <f>IF(OR($B123="",基础资料!$B$10=""),"",SUMIFS(客户自备加工筐明细!$F$4:$F$1203,客户自备加工筐明细!$E$4:$E$1203,$B123,客户自备加工筐明细!$C$4:$C$1203,基础资料!$B$10,客户自备加工筐明细!$B$4:$B$1203,"&gt;="&amp;$T$1,客户自备加工筐明细!$B$4:$B$1203,"&lt;="&amp;$T$2))</f>
        <v/>
      </c>
      <c r="G123" s="67" t="str">
        <f>IF(OR($B123="",基础资料!$B$9=""),"",-SUMIFS(对接源_01水果筐数!$E$5:$E$304,对接源_01水果筐数!$B$5:$B$304,$B123,对接源_01水果筐数!$C$5:$C$304,基础资料!$B$9))</f>
        <v/>
      </c>
      <c r="H123" s="67" t="str">
        <f>IF(OR($B123="",基础资料!$B$10=""),"",-SUMIFS(对接源_01水果筐数!$E$5:$E$304,对接源_01水果筐数!$B$5:$B$304,$B123,对接源_01水果筐数!$C$5:$C$304,基础资料!$B$10))</f>
        <v/>
      </c>
      <c r="I123" s="67" t="str">
        <f>IF(OR($B123="",基础资料!$B$9=""),"",-SUMIFS(对接源_01水果筐数!$F$5:$F$304,对接源_01水果筐数!$B$5:$B$304,$B123,对接源_01水果筐数!$C$5:$C$304,基础资料!$B$9))</f>
        <v/>
      </c>
      <c r="J123" s="67" t="str">
        <f>IF(OR($B123="",基础资料!$B$10=""),"",-SUMIFS(对接源_01水果筐数!$F$5:$F$304,对接源_01水果筐数!$B$5:$B$304,$B123,对接源_01水果筐数!$C$5:$C$304,基础资料!$B$10))</f>
        <v/>
      </c>
      <c r="K123" s="67" t="str">
        <f>IF(OR($B123="",基础资料!$B$9=""),"",-SUMIFS(客户自备加工筐明细!$G$4:$G$1203,客户自备加工筐明细!$E$4:$E$1203,$B123,客户自备加工筐明细!$C$4:$C$1203,基础资料!$B$9,客户自备加工筐明细!$B$4:$B$1203,"&gt;="&amp;$T$1,客户自备加工筐明细!$B$4:$B$1203,"&lt;="&amp;$T$2))</f>
        <v/>
      </c>
      <c r="L123" s="67" t="str">
        <f>IF(OR($B123="",基础资料!$B$10=""),"",-SUMIFS(客户自备加工筐明细!$G$4:$G$1203,客户自备加工筐明细!$E$4:$E$1203,$B123,客户自备加工筐明细!$C$4:$C$1203,基础资料!$B$10,客户自备加工筐明细!$B$4:$B$1203,"&gt;="&amp;$T$1,客户自备加工筐明细!$B$4:$B$1203,"&lt;="&amp;$T$2))</f>
        <v/>
      </c>
      <c r="M123" s="25" t="str">
        <f t="shared" si="6"/>
        <v/>
      </c>
      <c r="N123" s="25" t="str">
        <f t="shared" si="7"/>
        <v/>
      </c>
      <c r="O123" s="25" t="str">
        <f t="shared" si="8"/>
        <v/>
      </c>
      <c r="P123" s="37" t="str">
        <f t="shared" si="9"/>
        <v/>
      </c>
      <c r="Q123" s="27"/>
    </row>
    <row r="124" spans="1:17">
      <c r="A124" s="22" t="str">
        <f t="shared" si="5"/>
        <v/>
      </c>
      <c r="B124" s="37" t="str">
        <f>IFERROR(INDEX(_自动清单!$AM$4:$AM$203,ROW()-3),"")</f>
        <v/>
      </c>
      <c r="C124" s="25" t="str">
        <f>IF(OR($B124="",基础资料!$B$9=""),"",SUMIFS(对接源_01水果筐数!$D$5:$D$304,对接源_01水果筐数!$B$5:$B$304,$B124,对接源_01水果筐数!$C$5:$C$304,基础资料!$B$9))</f>
        <v/>
      </c>
      <c r="D124" s="25" t="str">
        <f>IF(OR($B124="",基础资料!$B$10=""),"",SUMIFS(对接源_01水果筐数!$D$5:$D$304,对接源_01水果筐数!$B$5:$B$304,$B124,对接源_01水果筐数!$C$5:$C$304,基础资料!$B$10))</f>
        <v/>
      </c>
      <c r="E124" s="25" t="str">
        <f>IF(OR($B124="",基础资料!$B$9=""),"",SUMIFS(客户自备加工筐明细!$F$4:$F$1203,客户自备加工筐明细!$E$4:$E$1203,$B124,客户自备加工筐明细!$C$4:$C$1203,基础资料!$B$9,客户自备加工筐明细!$B$4:$B$1203,"&gt;="&amp;$T$1,客户自备加工筐明细!$B$4:$B$1203,"&lt;="&amp;$T$2))</f>
        <v/>
      </c>
      <c r="F124" s="25" t="str">
        <f>IF(OR($B124="",基础资料!$B$10=""),"",SUMIFS(客户自备加工筐明细!$F$4:$F$1203,客户自备加工筐明细!$E$4:$E$1203,$B124,客户自备加工筐明细!$C$4:$C$1203,基础资料!$B$10,客户自备加工筐明细!$B$4:$B$1203,"&gt;="&amp;$T$1,客户自备加工筐明细!$B$4:$B$1203,"&lt;="&amp;$T$2))</f>
        <v/>
      </c>
      <c r="G124" s="67" t="str">
        <f>IF(OR($B124="",基础资料!$B$9=""),"",-SUMIFS(对接源_01水果筐数!$E$5:$E$304,对接源_01水果筐数!$B$5:$B$304,$B124,对接源_01水果筐数!$C$5:$C$304,基础资料!$B$9))</f>
        <v/>
      </c>
      <c r="H124" s="67" t="str">
        <f>IF(OR($B124="",基础资料!$B$10=""),"",-SUMIFS(对接源_01水果筐数!$E$5:$E$304,对接源_01水果筐数!$B$5:$B$304,$B124,对接源_01水果筐数!$C$5:$C$304,基础资料!$B$10))</f>
        <v/>
      </c>
      <c r="I124" s="67" t="str">
        <f>IF(OR($B124="",基础资料!$B$9=""),"",-SUMIFS(对接源_01水果筐数!$F$5:$F$304,对接源_01水果筐数!$B$5:$B$304,$B124,对接源_01水果筐数!$C$5:$C$304,基础资料!$B$9))</f>
        <v/>
      </c>
      <c r="J124" s="67" t="str">
        <f>IF(OR($B124="",基础资料!$B$10=""),"",-SUMIFS(对接源_01水果筐数!$F$5:$F$304,对接源_01水果筐数!$B$5:$B$304,$B124,对接源_01水果筐数!$C$5:$C$304,基础资料!$B$10))</f>
        <v/>
      </c>
      <c r="K124" s="67" t="str">
        <f>IF(OR($B124="",基础资料!$B$9=""),"",-SUMIFS(客户自备加工筐明细!$G$4:$G$1203,客户自备加工筐明细!$E$4:$E$1203,$B124,客户自备加工筐明细!$C$4:$C$1203,基础资料!$B$9,客户自备加工筐明细!$B$4:$B$1203,"&gt;="&amp;$T$1,客户自备加工筐明细!$B$4:$B$1203,"&lt;="&amp;$T$2))</f>
        <v/>
      </c>
      <c r="L124" s="67" t="str">
        <f>IF(OR($B124="",基础资料!$B$10=""),"",-SUMIFS(客户自备加工筐明细!$G$4:$G$1203,客户自备加工筐明细!$E$4:$E$1203,$B124,客户自备加工筐明细!$C$4:$C$1203,基础资料!$B$10,客户自备加工筐明细!$B$4:$B$1203,"&gt;="&amp;$T$1,客户自备加工筐明细!$B$4:$B$1203,"&lt;="&amp;$T$2))</f>
        <v/>
      </c>
      <c r="M124" s="25" t="str">
        <f t="shared" si="6"/>
        <v/>
      </c>
      <c r="N124" s="25" t="str">
        <f t="shared" si="7"/>
        <v/>
      </c>
      <c r="O124" s="25" t="str">
        <f t="shared" si="8"/>
        <v/>
      </c>
      <c r="P124" s="37" t="str">
        <f t="shared" si="9"/>
        <v/>
      </c>
      <c r="Q124" s="27"/>
    </row>
    <row r="125" spans="1:17">
      <c r="A125" s="22" t="str">
        <f t="shared" si="5"/>
        <v/>
      </c>
      <c r="B125" s="37" t="str">
        <f>IFERROR(INDEX(_自动清单!$AM$4:$AM$203,ROW()-3),"")</f>
        <v/>
      </c>
      <c r="C125" s="25" t="str">
        <f>IF(OR($B125="",基础资料!$B$9=""),"",SUMIFS(对接源_01水果筐数!$D$5:$D$304,对接源_01水果筐数!$B$5:$B$304,$B125,对接源_01水果筐数!$C$5:$C$304,基础资料!$B$9))</f>
        <v/>
      </c>
      <c r="D125" s="25" t="str">
        <f>IF(OR($B125="",基础资料!$B$10=""),"",SUMIFS(对接源_01水果筐数!$D$5:$D$304,对接源_01水果筐数!$B$5:$B$304,$B125,对接源_01水果筐数!$C$5:$C$304,基础资料!$B$10))</f>
        <v/>
      </c>
      <c r="E125" s="25" t="str">
        <f>IF(OR($B125="",基础资料!$B$9=""),"",SUMIFS(客户自备加工筐明细!$F$4:$F$1203,客户自备加工筐明细!$E$4:$E$1203,$B125,客户自备加工筐明细!$C$4:$C$1203,基础资料!$B$9,客户自备加工筐明细!$B$4:$B$1203,"&gt;="&amp;$T$1,客户自备加工筐明细!$B$4:$B$1203,"&lt;="&amp;$T$2))</f>
        <v/>
      </c>
      <c r="F125" s="25" t="str">
        <f>IF(OR($B125="",基础资料!$B$10=""),"",SUMIFS(客户自备加工筐明细!$F$4:$F$1203,客户自备加工筐明细!$E$4:$E$1203,$B125,客户自备加工筐明细!$C$4:$C$1203,基础资料!$B$10,客户自备加工筐明细!$B$4:$B$1203,"&gt;="&amp;$T$1,客户自备加工筐明细!$B$4:$B$1203,"&lt;="&amp;$T$2))</f>
        <v/>
      </c>
      <c r="G125" s="67" t="str">
        <f>IF(OR($B125="",基础资料!$B$9=""),"",-SUMIFS(对接源_01水果筐数!$E$5:$E$304,对接源_01水果筐数!$B$5:$B$304,$B125,对接源_01水果筐数!$C$5:$C$304,基础资料!$B$9))</f>
        <v/>
      </c>
      <c r="H125" s="67" t="str">
        <f>IF(OR($B125="",基础资料!$B$10=""),"",-SUMIFS(对接源_01水果筐数!$E$5:$E$304,对接源_01水果筐数!$B$5:$B$304,$B125,对接源_01水果筐数!$C$5:$C$304,基础资料!$B$10))</f>
        <v/>
      </c>
      <c r="I125" s="67" t="str">
        <f>IF(OR($B125="",基础资料!$B$9=""),"",-SUMIFS(对接源_01水果筐数!$F$5:$F$304,对接源_01水果筐数!$B$5:$B$304,$B125,对接源_01水果筐数!$C$5:$C$304,基础资料!$B$9))</f>
        <v/>
      </c>
      <c r="J125" s="67" t="str">
        <f>IF(OR($B125="",基础资料!$B$10=""),"",-SUMIFS(对接源_01水果筐数!$F$5:$F$304,对接源_01水果筐数!$B$5:$B$304,$B125,对接源_01水果筐数!$C$5:$C$304,基础资料!$B$10))</f>
        <v/>
      </c>
      <c r="K125" s="67" t="str">
        <f>IF(OR($B125="",基础资料!$B$9=""),"",-SUMIFS(客户自备加工筐明细!$G$4:$G$1203,客户自备加工筐明细!$E$4:$E$1203,$B125,客户自备加工筐明细!$C$4:$C$1203,基础资料!$B$9,客户自备加工筐明细!$B$4:$B$1203,"&gt;="&amp;$T$1,客户自备加工筐明细!$B$4:$B$1203,"&lt;="&amp;$T$2))</f>
        <v/>
      </c>
      <c r="L125" s="67" t="str">
        <f>IF(OR($B125="",基础资料!$B$10=""),"",-SUMIFS(客户自备加工筐明细!$G$4:$G$1203,客户自备加工筐明细!$E$4:$E$1203,$B125,客户自备加工筐明细!$C$4:$C$1203,基础资料!$B$10,客户自备加工筐明细!$B$4:$B$1203,"&gt;="&amp;$T$1,客户自备加工筐明细!$B$4:$B$1203,"&lt;="&amp;$T$2))</f>
        <v/>
      </c>
      <c r="M125" s="25" t="str">
        <f t="shared" si="6"/>
        <v/>
      </c>
      <c r="N125" s="25" t="str">
        <f t="shared" si="7"/>
        <v/>
      </c>
      <c r="O125" s="25" t="str">
        <f t="shared" si="8"/>
        <v/>
      </c>
      <c r="P125" s="37" t="str">
        <f t="shared" si="9"/>
        <v/>
      </c>
      <c r="Q125" s="27"/>
    </row>
    <row r="126" spans="1:17">
      <c r="A126" s="22" t="str">
        <f t="shared" si="5"/>
        <v/>
      </c>
      <c r="B126" s="37" t="str">
        <f>IFERROR(INDEX(_自动清单!$AM$4:$AM$203,ROW()-3),"")</f>
        <v/>
      </c>
      <c r="C126" s="25" t="str">
        <f>IF(OR($B126="",基础资料!$B$9=""),"",SUMIFS(对接源_01水果筐数!$D$5:$D$304,对接源_01水果筐数!$B$5:$B$304,$B126,对接源_01水果筐数!$C$5:$C$304,基础资料!$B$9))</f>
        <v/>
      </c>
      <c r="D126" s="25" t="str">
        <f>IF(OR($B126="",基础资料!$B$10=""),"",SUMIFS(对接源_01水果筐数!$D$5:$D$304,对接源_01水果筐数!$B$5:$B$304,$B126,对接源_01水果筐数!$C$5:$C$304,基础资料!$B$10))</f>
        <v/>
      </c>
      <c r="E126" s="25" t="str">
        <f>IF(OR($B126="",基础资料!$B$9=""),"",SUMIFS(客户自备加工筐明细!$F$4:$F$1203,客户自备加工筐明细!$E$4:$E$1203,$B126,客户自备加工筐明细!$C$4:$C$1203,基础资料!$B$9,客户自备加工筐明细!$B$4:$B$1203,"&gt;="&amp;$T$1,客户自备加工筐明细!$B$4:$B$1203,"&lt;="&amp;$T$2))</f>
        <v/>
      </c>
      <c r="F126" s="25" t="str">
        <f>IF(OR($B126="",基础资料!$B$10=""),"",SUMIFS(客户自备加工筐明细!$F$4:$F$1203,客户自备加工筐明细!$E$4:$E$1203,$B126,客户自备加工筐明细!$C$4:$C$1203,基础资料!$B$10,客户自备加工筐明细!$B$4:$B$1203,"&gt;="&amp;$T$1,客户自备加工筐明细!$B$4:$B$1203,"&lt;="&amp;$T$2))</f>
        <v/>
      </c>
      <c r="G126" s="67" t="str">
        <f>IF(OR($B126="",基础资料!$B$9=""),"",-SUMIFS(对接源_01水果筐数!$E$5:$E$304,对接源_01水果筐数!$B$5:$B$304,$B126,对接源_01水果筐数!$C$5:$C$304,基础资料!$B$9))</f>
        <v/>
      </c>
      <c r="H126" s="67" t="str">
        <f>IF(OR($B126="",基础资料!$B$10=""),"",-SUMIFS(对接源_01水果筐数!$E$5:$E$304,对接源_01水果筐数!$B$5:$B$304,$B126,对接源_01水果筐数!$C$5:$C$304,基础资料!$B$10))</f>
        <v/>
      </c>
      <c r="I126" s="67" t="str">
        <f>IF(OR($B126="",基础资料!$B$9=""),"",-SUMIFS(对接源_01水果筐数!$F$5:$F$304,对接源_01水果筐数!$B$5:$B$304,$B126,对接源_01水果筐数!$C$5:$C$304,基础资料!$B$9))</f>
        <v/>
      </c>
      <c r="J126" s="67" t="str">
        <f>IF(OR($B126="",基础资料!$B$10=""),"",-SUMIFS(对接源_01水果筐数!$F$5:$F$304,对接源_01水果筐数!$B$5:$B$304,$B126,对接源_01水果筐数!$C$5:$C$304,基础资料!$B$10))</f>
        <v/>
      </c>
      <c r="K126" s="67" t="str">
        <f>IF(OR($B126="",基础资料!$B$9=""),"",-SUMIFS(客户自备加工筐明细!$G$4:$G$1203,客户自备加工筐明细!$E$4:$E$1203,$B126,客户自备加工筐明细!$C$4:$C$1203,基础资料!$B$9,客户自备加工筐明细!$B$4:$B$1203,"&gt;="&amp;$T$1,客户自备加工筐明细!$B$4:$B$1203,"&lt;="&amp;$T$2))</f>
        <v/>
      </c>
      <c r="L126" s="67" t="str">
        <f>IF(OR($B126="",基础资料!$B$10=""),"",-SUMIFS(客户自备加工筐明细!$G$4:$G$1203,客户自备加工筐明细!$E$4:$E$1203,$B126,客户自备加工筐明细!$C$4:$C$1203,基础资料!$B$10,客户自备加工筐明细!$B$4:$B$1203,"&gt;="&amp;$T$1,客户自备加工筐明细!$B$4:$B$1203,"&lt;="&amp;$T$2))</f>
        <v/>
      </c>
      <c r="M126" s="25" t="str">
        <f t="shared" si="6"/>
        <v/>
      </c>
      <c r="N126" s="25" t="str">
        <f t="shared" si="7"/>
        <v/>
      </c>
      <c r="O126" s="25" t="str">
        <f t="shared" si="8"/>
        <v/>
      </c>
      <c r="P126" s="37" t="str">
        <f t="shared" si="9"/>
        <v/>
      </c>
      <c r="Q126" s="27"/>
    </row>
    <row r="127" spans="1:17">
      <c r="A127" s="22" t="str">
        <f t="shared" si="5"/>
        <v/>
      </c>
      <c r="B127" s="37" t="str">
        <f>IFERROR(INDEX(_自动清单!$AM$4:$AM$203,ROW()-3),"")</f>
        <v/>
      </c>
      <c r="C127" s="25" t="str">
        <f>IF(OR($B127="",基础资料!$B$9=""),"",SUMIFS(对接源_01水果筐数!$D$5:$D$304,对接源_01水果筐数!$B$5:$B$304,$B127,对接源_01水果筐数!$C$5:$C$304,基础资料!$B$9))</f>
        <v/>
      </c>
      <c r="D127" s="25" t="str">
        <f>IF(OR($B127="",基础资料!$B$10=""),"",SUMIFS(对接源_01水果筐数!$D$5:$D$304,对接源_01水果筐数!$B$5:$B$304,$B127,对接源_01水果筐数!$C$5:$C$304,基础资料!$B$10))</f>
        <v/>
      </c>
      <c r="E127" s="25" t="str">
        <f>IF(OR($B127="",基础资料!$B$9=""),"",SUMIFS(客户自备加工筐明细!$F$4:$F$1203,客户自备加工筐明细!$E$4:$E$1203,$B127,客户自备加工筐明细!$C$4:$C$1203,基础资料!$B$9,客户自备加工筐明细!$B$4:$B$1203,"&gt;="&amp;$T$1,客户自备加工筐明细!$B$4:$B$1203,"&lt;="&amp;$T$2))</f>
        <v/>
      </c>
      <c r="F127" s="25" t="str">
        <f>IF(OR($B127="",基础资料!$B$10=""),"",SUMIFS(客户自备加工筐明细!$F$4:$F$1203,客户自备加工筐明细!$E$4:$E$1203,$B127,客户自备加工筐明细!$C$4:$C$1203,基础资料!$B$10,客户自备加工筐明细!$B$4:$B$1203,"&gt;="&amp;$T$1,客户自备加工筐明细!$B$4:$B$1203,"&lt;="&amp;$T$2))</f>
        <v/>
      </c>
      <c r="G127" s="67" t="str">
        <f>IF(OR($B127="",基础资料!$B$9=""),"",-SUMIFS(对接源_01水果筐数!$E$5:$E$304,对接源_01水果筐数!$B$5:$B$304,$B127,对接源_01水果筐数!$C$5:$C$304,基础资料!$B$9))</f>
        <v/>
      </c>
      <c r="H127" s="67" t="str">
        <f>IF(OR($B127="",基础资料!$B$10=""),"",-SUMIFS(对接源_01水果筐数!$E$5:$E$304,对接源_01水果筐数!$B$5:$B$304,$B127,对接源_01水果筐数!$C$5:$C$304,基础资料!$B$10))</f>
        <v/>
      </c>
      <c r="I127" s="67" t="str">
        <f>IF(OR($B127="",基础资料!$B$9=""),"",-SUMIFS(对接源_01水果筐数!$F$5:$F$304,对接源_01水果筐数!$B$5:$B$304,$B127,对接源_01水果筐数!$C$5:$C$304,基础资料!$B$9))</f>
        <v/>
      </c>
      <c r="J127" s="67" t="str">
        <f>IF(OR($B127="",基础资料!$B$10=""),"",-SUMIFS(对接源_01水果筐数!$F$5:$F$304,对接源_01水果筐数!$B$5:$B$304,$B127,对接源_01水果筐数!$C$5:$C$304,基础资料!$B$10))</f>
        <v/>
      </c>
      <c r="K127" s="67" t="str">
        <f>IF(OR($B127="",基础资料!$B$9=""),"",-SUMIFS(客户自备加工筐明细!$G$4:$G$1203,客户自备加工筐明细!$E$4:$E$1203,$B127,客户自备加工筐明细!$C$4:$C$1203,基础资料!$B$9,客户自备加工筐明细!$B$4:$B$1203,"&gt;="&amp;$T$1,客户自备加工筐明细!$B$4:$B$1203,"&lt;="&amp;$T$2))</f>
        <v/>
      </c>
      <c r="L127" s="67" t="str">
        <f>IF(OR($B127="",基础资料!$B$10=""),"",-SUMIFS(客户自备加工筐明细!$G$4:$G$1203,客户自备加工筐明细!$E$4:$E$1203,$B127,客户自备加工筐明细!$C$4:$C$1203,基础资料!$B$10,客户自备加工筐明细!$B$4:$B$1203,"&gt;="&amp;$T$1,客户自备加工筐明细!$B$4:$B$1203,"&lt;="&amp;$T$2))</f>
        <v/>
      </c>
      <c r="M127" s="25" t="str">
        <f t="shared" si="6"/>
        <v/>
      </c>
      <c r="N127" s="25" t="str">
        <f t="shared" si="7"/>
        <v/>
      </c>
      <c r="O127" s="25" t="str">
        <f t="shared" si="8"/>
        <v/>
      </c>
      <c r="P127" s="37" t="str">
        <f t="shared" si="9"/>
        <v/>
      </c>
      <c r="Q127" s="27"/>
    </row>
    <row r="128" spans="1:17">
      <c r="A128" s="22" t="str">
        <f t="shared" si="5"/>
        <v/>
      </c>
      <c r="B128" s="37" t="str">
        <f>IFERROR(INDEX(_自动清单!$AM$4:$AM$203,ROW()-3),"")</f>
        <v/>
      </c>
      <c r="C128" s="25" t="str">
        <f>IF(OR($B128="",基础资料!$B$9=""),"",SUMIFS(对接源_01水果筐数!$D$5:$D$304,对接源_01水果筐数!$B$5:$B$304,$B128,对接源_01水果筐数!$C$5:$C$304,基础资料!$B$9))</f>
        <v/>
      </c>
      <c r="D128" s="25" t="str">
        <f>IF(OR($B128="",基础资料!$B$10=""),"",SUMIFS(对接源_01水果筐数!$D$5:$D$304,对接源_01水果筐数!$B$5:$B$304,$B128,对接源_01水果筐数!$C$5:$C$304,基础资料!$B$10))</f>
        <v/>
      </c>
      <c r="E128" s="25" t="str">
        <f>IF(OR($B128="",基础资料!$B$9=""),"",SUMIFS(客户自备加工筐明细!$F$4:$F$1203,客户自备加工筐明细!$E$4:$E$1203,$B128,客户自备加工筐明细!$C$4:$C$1203,基础资料!$B$9,客户自备加工筐明细!$B$4:$B$1203,"&gt;="&amp;$T$1,客户自备加工筐明细!$B$4:$B$1203,"&lt;="&amp;$T$2))</f>
        <v/>
      </c>
      <c r="F128" s="25" t="str">
        <f>IF(OR($B128="",基础资料!$B$10=""),"",SUMIFS(客户自备加工筐明细!$F$4:$F$1203,客户自备加工筐明细!$E$4:$E$1203,$B128,客户自备加工筐明细!$C$4:$C$1203,基础资料!$B$10,客户自备加工筐明细!$B$4:$B$1203,"&gt;="&amp;$T$1,客户自备加工筐明细!$B$4:$B$1203,"&lt;="&amp;$T$2))</f>
        <v/>
      </c>
      <c r="G128" s="67" t="str">
        <f>IF(OR($B128="",基础资料!$B$9=""),"",-SUMIFS(对接源_01水果筐数!$E$5:$E$304,对接源_01水果筐数!$B$5:$B$304,$B128,对接源_01水果筐数!$C$5:$C$304,基础资料!$B$9))</f>
        <v/>
      </c>
      <c r="H128" s="67" t="str">
        <f>IF(OR($B128="",基础资料!$B$10=""),"",-SUMIFS(对接源_01水果筐数!$E$5:$E$304,对接源_01水果筐数!$B$5:$B$304,$B128,对接源_01水果筐数!$C$5:$C$304,基础资料!$B$10))</f>
        <v/>
      </c>
      <c r="I128" s="67" t="str">
        <f>IF(OR($B128="",基础资料!$B$9=""),"",-SUMIFS(对接源_01水果筐数!$F$5:$F$304,对接源_01水果筐数!$B$5:$B$304,$B128,对接源_01水果筐数!$C$5:$C$304,基础资料!$B$9))</f>
        <v/>
      </c>
      <c r="J128" s="67" t="str">
        <f>IF(OR($B128="",基础资料!$B$10=""),"",-SUMIFS(对接源_01水果筐数!$F$5:$F$304,对接源_01水果筐数!$B$5:$B$304,$B128,对接源_01水果筐数!$C$5:$C$304,基础资料!$B$10))</f>
        <v/>
      </c>
      <c r="K128" s="67" t="str">
        <f>IF(OR($B128="",基础资料!$B$9=""),"",-SUMIFS(客户自备加工筐明细!$G$4:$G$1203,客户自备加工筐明细!$E$4:$E$1203,$B128,客户自备加工筐明细!$C$4:$C$1203,基础资料!$B$9,客户自备加工筐明细!$B$4:$B$1203,"&gt;="&amp;$T$1,客户自备加工筐明细!$B$4:$B$1203,"&lt;="&amp;$T$2))</f>
        <v/>
      </c>
      <c r="L128" s="67" t="str">
        <f>IF(OR($B128="",基础资料!$B$10=""),"",-SUMIFS(客户自备加工筐明细!$G$4:$G$1203,客户自备加工筐明细!$E$4:$E$1203,$B128,客户自备加工筐明细!$C$4:$C$1203,基础资料!$B$10,客户自备加工筐明细!$B$4:$B$1203,"&gt;="&amp;$T$1,客户自备加工筐明细!$B$4:$B$1203,"&lt;="&amp;$T$2))</f>
        <v/>
      </c>
      <c r="M128" s="25" t="str">
        <f t="shared" si="6"/>
        <v/>
      </c>
      <c r="N128" s="25" t="str">
        <f t="shared" si="7"/>
        <v/>
      </c>
      <c r="O128" s="25" t="str">
        <f t="shared" si="8"/>
        <v/>
      </c>
      <c r="P128" s="37" t="str">
        <f t="shared" si="9"/>
        <v/>
      </c>
      <c r="Q128" s="27"/>
    </row>
    <row r="129" spans="1:17">
      <c r="A129" s="22" t="str">
        <f t="shared" si="5"/>
        <v/>
      </c>
      <c r="B129" s="37" t="str">
        <f>IFERROR(INDEX(_自动清单!$AM$4:$AM$203,ROW()-3),"")</f>
        <v/>
      </c>
      <c r="C129" s="25" t="str">
        <f>IF(OR($B129="",基础资料!$B$9=""),"",SUMIFS(对接源_01水果筐数!$D$5:$D$304,对接源_01水果筐数!$B$5:$B$304,$B129,对接源_01水果筐数!$C$5:$C$304,基础资料!$B$9))</f>
        <v/>
      </c>
      <c r="D129" s="25" t="str">
        <f>IF(OR($B129="",基础资料!$B$10=""),"",SUMIFS(对接源_01水果筐数!$D$5:$D$304,对接源_01水果筐数!$B$5:$B$304,$B129,对接源_01水果筐数!$C$5:$C$304,基础资料!$B$10))</f>
        <v/>
      </c>
      <c r="E129" s="25" t="str">
        <f>IF(OR($B129="",基础资料!$B$9=""),"",SUMIFS(客户自备加工筐明细!$F$4:$F$1203,客户自备加工筐明细!$E$4:$E$1203,$B129,客户自备加工筐明细!$C$4:$C$1203,基础资料!$B$9,客户自备加工筐明细!$B$4:$B$1203,"&gt;="&amp;$T$1,客户自备加工筐明细!$B$4:$B$1203,"&lt;="&amp;$T$2))</f>
        <v/>
      </c>
      <c r="F129" s="25" t="str">
        <f>IF(OR($B129="",基础资料!$B$10=""),"",SUMIFS(客户自备加工筐明细!$F$4:$F$1203,客户自备加工筐明细!$E$4:$E$1203,$B129,客户自备加工筐明细!$C$4:$C$1203,基础资料!$B$10,客户自备加工筐明细!$B$4:$B$1203,"&gt;="&amp;$T$1,客户自备加工筐明细!$B$4:$B$1203,"&lt;="&amp;$T$2))</f>
        <v/>
      </c>
      <c r="G129" s="67" t="str">
        <f>IF(OR($B129="",基础资料!$B$9=""),"",-SUMIFS(对接源_01水果筐数!$E$5:$E$304,对接源_01水果筐数!$B$5:$B$304,$B129,对接源_01水果筐数!$C$5:$C$304,基础资料!$B$9))</f>
        <v/>
      </c>
      <c r="H129" s="67" t="str">
        <f>IF(OR($B129="",基础资料!$B$10=""),"",-SUMIFS(对接源_01水果筐数!$E$5:$E$304,对接源_01水果筐数!$B$5:$B$304,$B129,对接源_01水果筐数!$C$5:$C$304,基础资料!$B$10))</f>
        <v/>
      </c>
      <c r="I129" s="67" t="str">
        <f>IF(OR($B129="",基础资料!$B$9=""),"",-SUMIFS(对接源_01水果筐数!$F$5:$F$304,对接源_01水果筐数!$B$5:$B$304,$B129,对接源_01水果筐数!$C$5:$C$304,基础资料!$B$9))</f>
        <v/>
      </c>
      <c r="J129" s="67" t="str">
        <f>IF(OR($B129="",基础资料!$B$10=""),"",-SUMIFS(对接源_01水果筐数!$F$5:$F$304,对接源_01水果筐数!$B$5:$B$304,$B129,对接源_01水果筐数!$C$5:$C$304,基础资料!$B$10))</f>
        <v/>
      </c>
      <c r="K129" s="67" t="str">
        <f>IF(OR($B129="",基础资料!$B$9=""),"",-SUMIFS(客户自备加工筐明细!$G$4:$G$1203,客户自备加工筐明细!$E$4:$E$1203,$B129,客户自备加工筐明细!$C$4:$C$1203,基础资料!$B$9,客户自备加工筐明细!$B$4:$B$1203,"&gt;="&amp;$T$1,客户自备加工筐明细!$B$4:$B$1203,"&lt;="&amp;$T$2))</f>
        <v/>
      </c>
      <c r="L129" s="67" t="str">
        <f>IF(OR($B129="",基础资料!$B$10=""),"",-SUMIFS(客户自备加工筐明细!$G$4:$G$1203,客户自备加工筐明细!$E$4:$E$1203,$B129,客户自备加工筐明细!$C$4:$C$1203,基础资料!$B$10,客户自备加工筐明细!$B$4:$B$1203,"&gt;="&amp;$T$1,客户自备加工筐明细!$B$4:$B$1203,"&lt;="&amp;$T$2))</f>
        <v/>
      </c>
      <c r="M129" s="25" t="str">
        <f t="shared" si="6"/>
        <v/>
      </c>
      <c r="N129" s="25" t="str">
        <f t="shared" si="7"/>
        <v/>
      </c>
      <c r="O129" s="25" t="str">
        <f t="shared" si="8"/>
        <v/>
      </c>
      <c r="P129" s="37" t="str">
        <f t="shared" si="9"/>
        <v/>
      </c>
      <c r="Q129" s="27"/>
    </row>
    <row r="130" spans="1:17">
      <c r="A130" s="22" t="str">
        <f t="shared" si="5"/>
        <v/>
      </c>
      <c r="B130" s="37" t="str">
        <f>IFERROR(INDEX(_自动清单!$AM$4:$AM$203,ROW()-3),"")</f>
        <v/>
      </c>
      <c r="C130" s="25" t="str">
        <f>IF(OR($B130="",基础资料!$B$9=""),"",SUMIFS(对接源_01水果筐数!$D$5:$D$304,对接源_01水果筐数!$B$5:$B$304,$B130,对接源_01水果筐数!$C$5:$C$304,基础资料!$B$9))</f>
        <v/>
      </c>
      <c r="D130" s="25" t="str">
        <f>IF(OR($B130="",基础资料!$B$10=""),"",SUMIFS(对接源_01水果筐数!$D$5:$D$304,对接源_01水果筐数!$B$5:$B$304,$B130,对接源_01水果筐数!$C$5:$C$304,基础资料!$B$10))</f>
        <v/>
      </c>
      <c r="E130" s="25" t="str">
        <f>IF(OR($B130="",基础资料!$B$9=""),"",SUMIFS(客户自备加工筐明细!$F$4:$F$1203,客户自备加工筐明细!$E$4:$E$1203,$B130,客户自备加工筐明细!$C$4:$C$1203,基础资料!$B$9,客户自备加工筐明细!$B$4:$B$1203,"&gt;="&amp;$T$1,客户自备加工筐明细!$B$4:$B$1203,"&lt;="&amp;$T$2))</f>
        <v/>
      </c>
      <c r="F130" s="25" t="str">
        <f>IF(OR($B130="",基础资料!$B$10=""),"",SUMIFS(客户自备加工筐明细!$F$4:$F$1203,客户自备加工筐明细!$E$4:$E$1203,$B130,客户自备加工筐明细!$C$4:$C$1203,基础资料!$B$10,客户自备加工筐明细!$B$4:$B$1203,"&gt;="&amp;$T$1,客户自备加工筐明细!$B$4:$B$1203,"&lt;="&amp;$T$2))</f>
        <v/>
      </c>
      <c r="G130" s="67" t="str">
        <f>IF(OR($B130="",基础资料!$B$9=""),"",-SUMIFS(对接源_01水果筐数!$E$5:$E$304,对接源_01水果筐数!$B$5:$B$304,$B130,对接源_01水果筐数!$C$5:$C$304,基础资料!$B$9))</f>
        <v/>
      </c>
      <c r="H130" s="67" t="str">
        <f>IF(OR($B130="",基础资料!$B$10=""),"",-SUMIFS(对接源_01水果筐数!$E$5:$E$304,对接源_01水果筐数!$B$5:$B$304,$B130,对接源_01水果筐数!$C$5:$C$304,基础资料!$B$10))</f>
        <v/>
      </c>
      <c r="I130" s="67" t="str">
        <f>IF(OR($B130="",基础资料!$B$9=""),"",-SUMIFS(对接源_01水果筐数!$F$5:$F$304,对接源_01水果筐数!$B$5:$B$304,$B130,对接源_01水果筐数!$C$5:$C$304,基础资料!$B$9))</f>
        <v/>
      </c>
      <c r="J130" s="67" t="str">
        <f>IF(OR($B130="",基础资料!$B$10=""),"",-SUMIFS(对接源_01水果筐数!$F$5:$F$304,对接源_01水果筐数!$B$5:$B$304,$B130,对接源_01水果筐数!$C$5:$C$304,基础资料!$B$10))</f>
        <v/>
      </c>
      <c r="K130" s="67" t="str">
        <f>IF(OR($B130="",基础资料!$B$9=""),"",-SUMIFS(客户自备加工筐明细!$G$4:$G$1203,客户自备加工筐明细!$E$4:$E$1203,$B130,客户自备加工筐明细!$C$4:$C$1203,基础资料!$B$9,客户自备加工筐明细!$B$4:$B$1203,"&gt;="&amp;$T$1,客户自备加工筐明细!$B$4:$B$1203,"&lt;="&amp;$T$2))</f>
        <v/>
      </c>
      <c r="L130" s="67" t="str">
        <f>IF(OR($B130="",基础资料!$B$10=""),"",-SUMIFS(客户自备加工筐明细!$G$4:$G$1203,客户自备加工筐明细!$E$4:$E$1203,$B130,客户自备加工筐明细!$C$4:$C$1203,基础资料!$B$10,客户自备加工筐明细!$B$4:$B$1203,"&gt;="&amp;$T$1,客户自备加工筐明细!$B$4:$B$1203,"&lt;="&amp;$T$2))</f>
        <v/>
      </c>
      <c r="M130" s="25" t="str">
        <f t="shared" si="6"/>
        <v/>
      </c>
      <c r="N130" s="25" t="str">
        <f t="shared" si="7"/>
        <v/>
      </c>
      <c r="O130" s="25" t="str">
        <f t="shared" si="8"/>
        <v/>
      </c>
      <c r="P130" s="37" t="str">
        <f t="shared" si="9"/>
        <v/>
      </c>
      <c r="Q130" s="27"/>
    </row>
    <row r="131" spans="1:17">
      <c r="A131" s="22" t="str">
        <f t="shared" si="5"/>
        <v/>
      </c>
      <c r="B131" s="37" t="str">
        <f>IFERROR(INDEX(_自动清单!$AM$4:$AM$203,ROW()-3),"")</f>
        <v/>
      </c>
      <c r="C131" s="25" t="str">
        <f>IF(OR($B131="",基础资料!$B$9=""),"",SUMIFS(对接源_01水果筐数!$D$5:$D$304,对接源_01水果筐数!$B$5:$B$304,$B131,对接源_01水果筐数!$C$5:$C$304,基础资料!$B$9))</f>
        <v/>
      </c>
      <c r="D131" s="25" t="str">
        <f>IF(OR($B131="",基础资料!$B$10=""),"",SUMIFS(对接源_01水果筐数!$D$5:$D$304,对接源_01水果筐数!$B$5:$B$304,$B131,对接源_01水果筐数!$C$5:$C$304,基础资料!$B$10))</f>
        <v/>
      </c>
      <c r="E131" s="25" t="str">
        <f>IF(OR($B131="",基础资料!$B$9=""),"",SUMIFS(客户自备加工筐明细!$F$4:$F$1203,客户自备加工筐明细!$E$4:$E$1203,$B131,客户自备加工筐明细!$C$4:$C$1203,基础资料!$B$9,客户自备加工筐明细!$B$4:$B$1203,"&gt;="&amp;$T$1,客户自备加工筐明细!$B$4:$B$1203,"&lt;="&amp;$T$2))</f>
        <v/>
      </c>
      <c r="F131" s="25" t="str">
        <f>IF(OR($B131="",基础资料!$B$10=""),"",SUMIFS(客户自备加工筐明细!$F$4:$F$1203,客户自备加工筐明细!$E$4:$E$1203,$B131,客户自备加工筐明细!$C$4:$C$1203,基础资料!$B$10,客户自备加工筐明细!$B$4:$B$1203,"&gt;="&amp;$T$1,客户自备加工筐明细!$B$4:$B$1203,"&lt;="&amp;$T$2))</f>
        <v/>
      </c>
      <c r="G131" s="67" t="str">
        <f>IF(OR($B131="",基础资料!$B$9=""),"",-SUMIFS(对接源_01水果筐数!$E$5:$E$304,对接源_01水果筐数!$B$5:$B$304,$B131,对接源_01水果筐数!$C$5:$C$304,基础资料!$B$9))</f>
        <v/>
      </c>
      <c r="H131" s="67" t="str">
        <f>IF(OR($B131="",基础资料!$B$10=""),"",-SUMIFS(对接源_01水果筐数!$E$5:$E$304,对接源_01水果筐数!$B$5:$B$304,$B131,对接源_01水果筐数!$C$5:$C$304,基础资料!$B$10))</f>
        <v/>
      </c>
      <c r="I131" s="67" t="str">
        <f>IF(OR($B131="",基础资料!$B$9=""),"",-SUMIFS(对接源_01水果筐数!$F$5:$F$304,对接源_01水果筐数!$B$5:$B$304,$B131,对接源_01水果筐数!$C$5:$C$304,基础资料!$B$9))</f>
        <v/>
      </c>
      <c r="J131" s="67" t="str">
        <f>IF(OR($B131="",基础资料!$B$10=""),"",-SUMIFS(对接源_01水果筐数!$F$5:$F$304,对接源_01水果筐数!$B$5:$B$304,$B131,对接源_01水果筐数!$C$5:$C$304,基础资料!$B$10))</f>
        <v/>
      </c>
      <c r="K131" s="67" t="str">
        <f>IF(OR($B131="",基础资料!$B$9=""),"",-SUMIFS(客户自备加工筐明细!$G$4:$G$1203,客户自备加工筐明细!$E$4:$E$1203,$B131,客户自备加工筐明细!$C$4:$C$1203,基础资料!$B$9,客户自备加工筐明细!$B$4:$B$1203,"&gt;="&amp;$T$1,客户自备加工筐明细!$B$4:$B$1203,"&lt;="&amp;$T$2))</f>
        <v/>
      </c>
      <c r="L131" s="67" t="str">
        <f>IF(OR($B131="",基础资料!$B$10=""),"",-SUMIFS(客户自备加工筐明细!$G$4:$G$1203,客户自备加工筐明细!$E$4:$E$1203,$B131,客户自备加工筐明细!$C$4:$C$1203,基础资料!$B$10,客户自备加工筐明细!$B$4:$B$1203,"&gt;="&amp;$T$1,客户自备加工筐明细!$B$4:$B$1203,"&lt;="&amp;$T$2))</f>
        <v/>
      </c>
      <c r="M131" s="25" t="str">
        <f t="shared" si="6"/>
        <v/>
      </c>
      <c r="N131" s="25" t="str">
        <f t="shared" si="7"/>
        <v/>
      </c>
      <c r="O131" s="25" t="str">
        <f t="shared" si="8"/>
        <v/>
      </c>
      <c r="P131" s="37" t="str">
        <f t="shared" si="9"/>
        <v/>
      </c>
      <c r="Q131" s="27"/>
    </row>
    <row r="132" spans="1:17">
      <c r="A132" s="22" t="str">
        <f t="shared" ref="A132:A195" si="10">IF($B132="","",ROW()-3)</f>
        <v/>
      </c>
      <c r="B132" s="37" t="str">
        <f>IFERROR(INDEX(_自动清单!$AM$4:$AM$203,ROW()-3),"")</f>
        <v/>
      </c>
      <c r="C132" s="25" t="str">
        <f>IF(OR($B132="",基础资料!$B$9=""),"",SUMIFS(对接源_01水果筐数!$D$5:$D$304,对接源_01水果筐数!$B$5:$B$304,$B132,对接源_01水果筐数!$C$5:$C$304,基础资料!$B$9))</f>
        <v/>
      </c>
      <c r="D132" s="25" t="str">
        <f>IF(OR($B132="",基础资料!$B$10=""),"",SUMIFS(对接源_01水果筐数!$D$5:$D$304,对接源_01水果筐数!$B$5:$B$304,$B132,对接源_01水果筐数!$C$5:$C$304,基础资料!$B$10))</f>
        <v/>
      </c>
      <c r="E132" s="25" t="str">
        <f>IF(OR($B132="",基础资料!$B$9=""),"",SUMIFS(客户自备加工筐明细!$F$4:$F$1203,客户自备加工筐明细!$E$4:$E$1203,$B132,客户自备加工筐明细!$C$4:$C$1203,基础资料!$B$9,客户自备加工筐明细!$B$4:$B$1203,"&gt;="&amp;$T$1,客户自备加工筐明细!$B$4:$B$1203,"&lt;="&amp;$T$2))</f>
        <v/>
      </c>
      <c r="F132" s="25" t="str">
        <f>IF(OR($B132="",基础资料!$B$10=""),"",SUMIFS(客户自备加工筐明细!$F$4:$F$1203,客户自备加工筐明细!$E$4:$E$1203,$B132,客户自备加工筐明细!$C$4:$C$1203,基础资料!$B$10,客户自备加工筐明细!$B$4:$B$1203,"&gt;="&amp;$T$1,客户自备加工筐明细!$B$4:$B$1203,"&lt;="&amp;$T$2))</f>
        <v/>
      </c>
      <c r="G132" s="67" t="str">
        <f>IF(OR($B132="",基础资料!$B$9=""),"",-SUMIFS(对接源_01水果筐数!$E$5:$E$304,对接源_01水果筐数!$B$5:$B$304,$B132,对接源_01水果筐数!$C$5:$C$304,基础资料!$B$9))</f>
        <v/>
      </c>
      <c r="H132" s="67" t="str">
        <f>IF(OR($B132="",基础资料!$B$10=""),"",-SUMIFS(对接源_01水果筐数!$E$5:$E$304,对接源_01水果筐数!$B$5:$B$304,$B132,对接源_01水果筐数!$C$5:$C$304,基础资料!$B$10))</f>
        <v/>
      </c>
      <c r="I132" s="67" t="str">
        <f>IF(OR($B132="",基础资料!$B$9=""),"",-SUMIFS(对接源_01水果筐数!$F$5:$F$304,对接源_01水果筐数!$B$5:$B$304,$B132,对接源_01水果筐数!$C$5:$C$304,基础资料!$B$9))</f>
        <v/>
      </c>
      <c r="J132" s="67" t="str">
        <f>IF(OR($B132="",基础资料!$B$10=""),"",-SUMIFS(对接源_01水果筐数!$F$5:$F$304,对接源_01水果筐数!$B$5:$B$304,$B132,对接源_01水果筐数!$C$5:$C$304,基础资料!$B$10))</f>
        <v/>
      </c>
      <c r="K132" s="67" t="str">
        <f>IF(OR($B132="",基础资料!$B$9=""),"",-SUMIFS(客户自备加工筐明细!$G$4:$G$1203,客户自备加工筐明细!$E$4:$E$1203,$B132,客户自备加工筐明细!$C$4:$C$1203,基础资料!$B$9,客户自备加工筐明细!$B$4:$B$1203,"&gt;="&amp;$T$1,客户自备加工筐明细!$B$4:$B$1203,"&lt;="&amp;$T$2))</f>
        <v/>
      </c>
      <c r="L132" s="67" t="str">
        <f>IF(OR($B132="",基础资料!$B$10=""),"",-SUMIFS(客户自备加工筐明细!$G$4:$G$1203,客户自备加工筐明细!$E$4:$E$1203,$B132,客户自备加工筐明细!$C$4:$C$1203,基础资料!$B$10,客户自备加工筐明细!$B$4:$B$1203,"&gt;="&amp;$T$1,客户自备加工筐明细!$B$4:$B$1203,"&lt;="&amp;$T$2))</f>
        <v/>
      </c>
      <c r="M132" s="25" t="str">
        <f t="shared" ref="M132:M195" si="11">IF($B132="","",N($C132)+N($E132)+N($G132)+N($I132)+N($K132))</f>
        <v/>
      </c>
      <c r="N132" s="25" t="str">
        <f t="shared" ref="N132:N195" si="12">IF($B132="","",N($D132)+N($F132)+N($H132)+N($J132)+N($L132))</f>
        <v/>
      </c>
      <c r="O132" s="25" t="str">
        <f t="shared" ref="O132:O195" si="13">IF($B132="","",N($M132)+N($N132))</f>
        <v/>
      </c>
      <c r="P132" s="37" t="str">
        <f t="shared" ref="P132:P195" si="14">IF($B132="","",IF(N($O132)&lt;0,"⚠ 剩余为负，请检查","✔"))</f>
        <v/>
      </c>
      <c r="Q132" s="27"/>
    </row>
    <row r="133" spans="1:17">
      <c r="A133" s="22" t="str">
        <f t="shared" si="10"/>
        <v/>
      </c>
      <c r="B133" s="37" t="str">
        <f>IFERROR(INDEX(_自动清单!$AM$4:$AM$203,ROW()-3),"")</f>
        <v/>
      </c>
      <c r="C133" s="25" t="str">
        <f>IF(OR($B133="",基础资料!$B$9=""),"",SUMIFS(对接源_01水果筐数!$D$5:$D$304,对接源_01水果筐数!$B$5:$B$304,$B133,对接源_01水果筐数!$C$5:$C$304,基础资料!$B$9))</f>
        <v/>
      </c>
      <c r="D133" s="25" t="str">
        <f>IF(OR($B133="",基础资料!$B$10=""),"",SUMIFS(对接源_01水果筐数!$D$5:$D$304,对接源_01水果筐数!$B$5:$B$304,$B133,对接源_01水果筐数!$C$5:$C$304,基础资料!$B$10))</f>
        <v/>
      </c>
      <c r="E133" s="25" t="str">
        <f>IF(OR($B133="",基础资料!$B$9=""),"",SUMIFS(客户自备加工筐明细!$F$4:$F$1203,客户自备加工筐明细!$E$4:$E$1203,$B133,客户自备加工筐明细!$C$4:$C$1203,基础资料!$B$9,客户自备加工筐明细!$B$4:$B$1203,"&gt;="&amp;$T$1,客户自备加工筐明细!$B$4:$B$1203,"&lt;="&amp;$T$2))</f>
        <v/>
      </c>
      <c r="F133" s="25" t="str">
        <f>IF(OR($B133="",基础资料!$B$10=""),"",SUMIFS(客户自备加工筐明细!$F$4:$F$1203,客户自备加工筐明细!$E$4:$E$1203,$B133,客户自备加工筐明细!$C$4:$C$1203,基础资料!$B$10,客户自备加工筐明细!$B$4:$B$1203,"&gt;="&amp;$T$1,客户自备加工筐明细!$B$4:$B$1203,"&lt;="&amp;$T$2))</f>
        <v/>
      </c>
      <c r="G133" s="67" t="str">
        <f>IF(OR($B133="",基础资料!$B$9=""),"",-SUMIFS(对接源_01水果筐数!$E$5:$E$304,对接源_01水果筐数!$B$5:$B$304,$B133,对接源_01水果筐数!$C$5:$C$304,基础资料!$B$9))</f>
        <v/>
      </c>
      <c r="H133" s="67" t="str">
        <f>IF(OR($B133="",基础资料!$B$10=""),"",-SUMIFS(对接源_01水果筐数!$E$5:$E$304,对接源_01水果筐数!$B$5:$B$304,$B133,对接源_01水果筐数!$C$5:$C$304,基础资料!$B$10))</f>
        <v/>
      </c>
      <c r="I133" s="67" t="str">
        <f>IF(OR($B133="",基础资料!$B$9=""),"",-SUMIFS(对接源_01水果筐数!$F$5:$F$304,对接源_01水果筐数!$B$5:$B$304,$B133,对接源_01水果筐数!$C$5:$C$304,基础资料!$B$9))</f>
        <v/>
      </c>
      <c r="J133" s="67" t="str">
        <f>IF(OR($B133="",基础资料!$B$10=""),"",-SUMIFS(对接源_01水果筐数!$F$5:$F$304,对接源_01水果筐数!$B$5:$B$304,$B133,对接源_01水果筐数!$C$5:$C$304,基础资料!$B$10))</f>
        <v/>
      </c>
      <c r="K133" s="67" t="str">
        <f>IF(OR($B133="",基础资料!$B$9=""),"",-SUMIFS(客户自备加工筐明细!$G$4:$G$1203,客户自备加工筐明细!$E$4:$E$1203,$B133,客户自备加工筐明细!$C$4:$C$1203,基础资料!$B$9,客户自备加工筐明细!$B$4:$B$1203,"&gt;="&amp;$T$1,客户自备加工筐明细!$B$4:$B$1203,"&lt;="&amp;$T$2))</f>
        <v/>
      </c>
      <c r="L133" s="67" t="str">
        <f>IF(OR($B133="",基础资料!$B$10=""),"",-SUMIFS(客户自备加工筐明细!$G$4:$G$1203,客户自备加工筐明细!$E$4:$E$1203,$B133,客户自备加工筐明细!$C$4:$C$1203,基础资料!$B$10,客户自备加工筐明细!$B$4:$B$1203,"&gt;="&amp;$T$1,客户自备加工筐明细!$B$4:$B$1203,"&lt;="&amp;$T$2))</f>
        <v/>
      </c>
      <c r="M133" s="25" t="str">
        <f t="shared" si="11"/>
        <v/>
      </c>
      <c r="N133" s="25" t="str">
        <f t="shared" si="12"/>
        <v/>
      </c>
      <c r="O133" s="25" t="str">
        <f t="shared" si="13"/>
        <v/>
      </c>
      <c r="P133" s="37" t="str">
        <f t="shared" si="14"/>
        <v/>
      </c>
      <c r="Q133" s="27"/>
    </row>
    <row r="134" spans="1:17">
      <c r="A134" s="22" t="str">
        <f t="shared" si="10"/>
        <v/>
      </c>
      <c r="B134" s="37" t="str">
        <f>IFERROR(INDEX(_自动清单!$AM$4:$AM$203,ROW()-3),"")</f>
        <v/>
      </c>
      <c r="C134" s="25" t="str">
        <f>IF(OR($B134="",基础资料!$B$9=""),"",SUMIFS(对接源_01水果筐数!$D$5:$D$304,对接源_01水果筐数!$B$5:$B$304,$B134,对接源_01水果筐数!$C$5:$C$304,基础资料!$B$9))</f>
        <v/>
      </c>
      <c r="D134" s="25" t="str">
        <f>IF(OR($B134="",基础资料!$B$10=""),"",SUMIFS(对接源_01水果筐数!$D$5:$D$304,对接源_01水果筐数!$B$5:$B$304,$B134,对接源_01水果筐数!$C$5:$C$304,基础资料!$B$10))</f>
        <v/>
      </c>
      <c r="E134" s="25" t="str">
        <f>IF(OR($B134="",基础资料!$B$9=""),"",SUMIFS(客户自备加工筐明细!$F$4:$F$1203,客户自备加工筐明细!$E$4:$E$1203,$B134,客户自备加工筐明细!$C$4:$C$1203,基础资料!$B$9,客户自备加工筐明细!$B$4:$B$1203,"&gt;="&amp;$T$1,客户自备加工筐明细!$B$4:$B$1203,"&lt;="&amp;$T$2))</f>
        <v/>
      </c>
      <c r="F134" s="25" t="str">
        <f>IF(OR($B134="",基础资料!$B$10=""),"",SUMIFS(客户自备加工筐明细!$F$4:$F$1203,客户自备加工筐明细!$E$4:$E$1203,$B134,客户自备加工筐明细!$C$4:$C$1203,基础资料!$B$10,客户自备加工筐明细!$B$4:$B$1203,"&gt;="&amp;$T$1,客户自备加工筐明细!$B$4:$B$1203,"&lt;="&amp;$T$2))</f>
        <v/>
      </c>
      <c r="G134" s="67" t="str">
        <f>IF(OR($B134="",基础资料!$B$9=""),"",-SUMIFS(对接源_01水果筐数!$E$5:$E$304,对接源_01水果筐数!$B$5:$B$304,$B134,对接源_01水果筐数!$C$5:$C$304,基础资料!$B$9))</f>
        <v/>
      </c>
      <c r="H134" s="67" t="str">
        <f>IF(OR($B134="",基础资料!$B$10=""),"",-SUMIFS(对接源_01水果筐数!$E$5:$E$304,对接源_01水果筐数!$B$5:$B$304,$B134,对接源_01水果筐数!$C$5:$C$304,基础资料!$B$10))</f>
        <v/>
      </c>
      <c r="I134" s="67" t="str">
        <f>IF(OR($B134="",基础资料!$B$9=""),"",-SUMIFS(对接源_01水果筐数!$F$5:$F$304,对接源_01水果筐数!$B$5:$B$304,$B134,对接源_01水果筐数!$C$5:$C$304,基础资料!$B$9))</f>
        <v/>
      </c>
      <c r="J134" s="67" t="str">
        <f>IF(OR($B134="",基础资料!$B$10=""),"",-SUMIFS(对接源_01水果筐数!$F$5:$F$304,对接源_01水果筐数!$B$5:$B$304,$B134,对接源_01水果筐数!$C$5:$C$304,基础资料!$B$10))</f>
        <v/>
      </c>
      <c r="K134" s="67" t="str">
        <f>IF(OR($B134="",基础资料!$B$9=""),"",-SUMIFS(客户自备加工筐明细!$G$4:$G$1203,客户自备加工筐明细!$E$4:$E$1203,$B134,客户自备加工筐明细!$C$4:$C$1203,基础资料!$B$9,客户自备加工筐明细!$B$4:$B$1203,"&gt;="&amp;$T$1,客户自备加工筐明细!$B$4:$B$1203,"&lt;="&amp;$T$2))</f>
        <v/>
      </c>
      <c r="L134" s="67" t="str">
        <f>IF(OR($B134="",基础资料!$B$10=""),"",-SUMIFS(客户自备加工筐明细!$G$4:$G$1203,客户自备加工筐明细!$E$4:$E$1203,$B134,客户自备加工筐明细!$C$4:$C$1203,基础资料!$B$10,客户自备加工筐明细!$B$4:$B$1203,"&gt;="&amp;$T$1,客户自备加工筐明细!$B$4:$B$1203,"&lt;="&amp;$T$2))</f>
        <v/>
      </c>
      <c r="M134" s="25" t="str">
        <f t="shared" si="11"/>
        <v/>
      </c>
      <c r="N134" s="25" t="str">
        <f t="shared" si="12"/>
        <v/>
      </c>
      <c r="O134" s="25" t="str">
        <f t="shared" si="13"/>
        <v/>
      </c>
      <c r="P134" s="37" t="str">
        <f t="shared" si="14"/>
        <v/>
      </c>
      <c r="Q134" s="27"/>
    </row>
    <row r="135" spans="1:17">
      <c r="A135" s="22" t="str">
        <f t="shared" si="10"/>
        <v/>
      </c>
      <c r="B135" s="37" t="str">
        <f>IFERROR(INDEX(_自动清单!$AM$4:$AM$203,ROW()-3),"")</f>
        <v/>
      </c>
      <c r="C135" s="25" t="str">
        <f>IF(OR($B135="",基础资料!$B$9=""),"",SUMIFS(对接源_01水果筐数!$D$5:$D$304,对接源_01水果筐数!$B$5:$B$304,$B135,对接源_01水果筐数!$C$5:$C$304,基础资料!$B$9))</f>
        <v/>
      </c>
      <c r="D135" s="25" t="str">
        <f>IF(OR($B135="",基础资料!$B$10=""),"",SUMIFS(对接源_01水果筐数!$D$5:$D$304,对接源_01水果筐数!$B$5:$B$304,$B135,对接源_01水果筐数!$C$5:$C$304,基础资料!$B$10))</f>
        <v/>
      </c>
      <c r="E135" s="25" t="str">
        <f>IF(OR($B135="",基础资料!$B$9=""),"",SUMIFS(客户自备加工筐明细!$F$4:$F$1203,客户自备加工筐明细!$E$4:$E$1203,$B135,客户自备加工筐明细!$C$4:$C$1203,基础资料!$B$9,客户自备加工筐明细!$B$4:$B$1203,"&gt;="&amp;$T$1,客户自备加工筐明细!$B$4:$B$1203,"&lt;="&amp;$T$2))</f>
        <v/>
      </c>
      <c r="F135" s="25" t="str">
        <f>IF(OR($B135="",基础资料!$B$10=""),"",SUMIFS(客户自备加工筐明细!$F$4:$F$1203,客户自备加工筐明细!$E$4:$E$1203,$B135,客户自备加工筐明细!$C$4:$C$1203,基础资料!$B$10,客户自备加工筐明细!$B$4:$B$1203,"&gt;="&amp;$T$1,客户自备加工筐明细!$B$4:$B$1203,"&lt;="&amp;$T$2))</f>
        <v/>
      </c>
      <c r="G135" s="67" t="str">
        <f>IF(OR($B135="",基础资料!$B$9=""),"",-SUMIFS(对接源_01水果筐数!$E$5:$E$304,对接源_01水果筐数!$B$5:$B$304,$B135,对接源_01水果筐数!$C$5:$C$304,基础资料!$B$9))</f>
        <v/>
      </c>
      <c r="H135" s="67" t="str">
        <f>IF(OR($B135="",基础资料!$B$10=""),"",-SUMIFS(对接源_01水果筐数!$E$5:$E$304,对接源_01水果筐数!$B$5:$B$304,$B135,对接源_01水果筐数!$C$5:$C$304,基础资料!$B$10))</f>
        <v/>
      </c>
      <c r="I135" s="67" t="str">
        <f>IF(OR($B135="",基础资料!$B$9=""),"",-SUMIFS(对接源_01水果筐数!$F$5:$F$304,对接源_01水果筐数!$B$5:$B$304,$B135,对接源_01水果筐数!$C$5:$C$304,基础资料!$B$9))</f>
        <v/>
      </c>
      <c r="J135" s="67" t="str">
        <f>IF(OR($B135="",基础资料!$B$10=""),"",-SUMIFS(对接源_01水果筐数!$F$5:$F$304,对接源_01水果筐数!$B$5:$B$304,$B135,对接源_01水果筐数!$C$5:$C$304,基础资料!$B$10))</f>
        <v/>
      </c>
      <c r="K135" s="67" t="str">
        <f>IF(OR($B135="",基础资料!$B$9=""),"",-SUMIFS(客户自备加工筐明细!$G$4:$G$1203,客户自备加工筐明细!$E$4:$E$1203,$B135,客户自备加工筐明细!$C$4:$C$1203,基础资料!$B$9,客户自备加工筐明细!$B$4:$B$1203,"&gt;="&amp;$T$1,客户自备加工筐明细!$B$4:$B$1203,"&lt;="&amp;$T$2))</f>
        <v/>
      </c>
      <c r="L135" s="67" t="str">
        <f>IF(OR($B135="",基础资料!$B$10=""),"",-SUMIFS(客户自备加工筐明细!$G$4:$G$1203,客户自备加工筐明细!$E$4:$E$1203,$B135,客户自备加工筐明细!$C$4:$C$1203,基础资料!$B$10,客户自备加工筐明细!$B$4:$B$1203,"&gt;="&amp;$T$1,客户自备加工筐明细!$B$4:$B$1203,"&lt;="&amp;$T$2))</f>
        <v/>
      </c>
      <c r="M135" s="25" t="str">
        <f t="shared" si="11"/>
        <v/>
      </c>
      <c r="N135" s="25" t="str">
        <f t="shared" si="12"/>
        <v/>
      </c>
      <c r="O135" s="25" t="str">
        <f t="shared" si="13"/>
        <v/>
      </c>
      <c r="P135" s="37" t="str">
        <f t="shared" si="14"/>
        <v/>
      </c>
      <c r="Q135" s="27"/>
    </row>
    <row r="136" spans="1:17">
      <c r="A136" s="22" t="str">
        <f t="shared" si="10"/>
        <v/>
      </c>
      <c r="B136" s="37" t="str">
        <f>IFERROR(INDEX(_自动清单!$AM$4:$AM$203,ROW()-3),"")</f>
        <v/>
      </c>
      <c r="C136" s="25" t="str">
        <f>IF(OR($B136="",基础资料!$B$9=""),"",SUMIFS(对接源_01水果筐数!$D$5:$D$304,对接源_01水果筐数!$B$5:$B$304,$B136,对接源_01水果筐数!$C$5:$C$304,基础资料!$B$9))</f>
        <v/>
      </c>
      <c r="D136" s="25" t="str">
        <f>IF(OR($B136="",基础资料!$B$10=""),"",SUMIFS(对接源_01水果筐数!$D$5:$D$304,对接源_01水果筐数!$B$5:$B$304,$B136,对接源_01水果筐数!$C$5:$C$304,基础资料!$B$10))</f>
        <v/>
      </c>
      <c r="E136" s="25" t="str">
        <f>IF(OR($B136="",基础资料!$B$9=""),"",SUMIFS(客户自备加工筐明细!$F$4:$F$1203,客户自备加工筐明细!$E$4:$E$1203,$B136,客户自备加工筐明细!$C$4:$C$1203,基础资料!$B$9,客户自备加工筐明细!$B$4:$B$1203,"&gt;="&amp;$T$1,客户自备加工筐明细!$B$4:$B$1203,"&lt;="&amp;$T$2))</f>
        <v/>
      </c>
      <c r="F136" s="25" t="str">
        <f>IF(OR($B136="",基础资料!$B$10=""),"",SUMIFS(客户自备加工筐明细!$F$4:$F$1203,客户自备加工筐明细!$E$4:$E$1203,$B136,客户自备加工筐明细!$C$4:$C$1203,基础资料!$B$10,客户自备加工筐明细!$B$4:$B$1203,"&gt;="&amp;$T$1,客户自备加工筐明细!$B$4:$B$1203,"&lt;="&amp;$T$2))</f>
        <v/>
      </c>
      <c r="G136" s="67" t="str">
        <f>IF(OR($B136="",基础资料!$B$9=""),"",-SUMIFS(对接源_01水果筐数!$E$5:$E$304,对接源_01水果筐数!$B$5:$B$304,$B136,对接源_01水果筐数!$C$5:$C$304,基础资料!$B$9))</f>
        <v/>
      </c>
      <c r="H136" s="67" t="str">
        <f>IF(OR($B136="",基础资料!$B$10=""),"",-SUMIFS(对接源_01水果筐数!$E$5:$E$304,对接源_01水果筐数!$B$5:$B$304,$B136,对接源_01水果筐数!$C$5:$C$304,基础资料!$B$10))</f>
        <v/>
      </c>
      <c r="I136" s="67" t="str">
        <f>IF(OR($B136="",基础资料!$B$9=""),"",-SUMIFS(对接源_01水果筐数!$F$5:$F$304,对接源_01水果筐数!$B$5:$B$304,$B136,对接源_01水果筐数!$C$5:$C$304,基础资料!$B$9))</f>
        <v/>
      </c>
      <c r="J136" s="67" t="str">
        <f>IF(OR($B136="",基础资料!$B$10=""),"",-SUMIFS(对接源_01水果筐数!$F$5:$F$304,对接源_01水果筐数!$B$5:$B$304,$B136,对接源_01水果筐数!$C$5:$C$304,基础资料!$B$10))</f>
        <v/>
      </c>
      <c r="K136" s="67" t="str">
        <f>IF(OR($B136="",基础资料!$B$9=""),"",-SUMIFS(客户自备加工筐明细!$G$4:$G$1203,客户自备加工筐明细!$E$4:$E$1203,$B136,客户自备加工筐明细!$C$4:$C$1203,基础资料!$B$9,客户自备加工筐明细!$B$4:$B$1203,"&gt;="&amp;$T$1,客户自备加工筐明细!$B$4:$B$1203,"&lt;="&amp;$T$2))</f>
        <v/>
      </c>
      <c r="L136" s="67" t="str">
        <f>IF(OR($B136="",基础资料!$B$10=""),"",-SUMIFS(客户自备加工筐明细!$G$4:$G$1203,客户自备加工筐明细!$E$4:$E$1203,$B136,客户自备加工筐明细!$C$4:$C$1203,基础资料!$B$10,客户自备加工筐明细!$B$4:$B$1203,"&gt;="&amp;$T$1,客户自备加工筐明细!$B$4:$B$1203,"&lt;="&amp;$T$2))</f>
        <v/>
      </c>
      <c r="M136" s="25" t="str">
        <f t="shared" si="11"/>
        <v/>
      </c>
      <c r="N136" s="25" t="str">
        <f t="shared" si="12"/>
        <v/>
      </c>
      <c r="O136" s="25" t="str">
        <f t="shared" si="13"/>
        <v/>
      </c>
      <c r="P136" s="37" t="str">
        <f t="shared" si="14"/>
        <v/>
      </c>
      <c r="Q136" s="27"/>
    </row>
    <row r="137" spans="1:17">
      <c r="A137" s="22" t="str">
        <f t="shared" si="10"/>
        <v/>
      </c>
      <c r="B137" s="37" t="str">
        <f>IFERROR(INDEX(_自动清单!$AM$4:$AM$203,ROW()-3),"")</f>
        <v/>
      </c>
      <c r="C137" s="25" t="str">
        <f>IF(OR($B137="",基础资料!$B$9=""),"",SUMIFS(对接源_01水果筐数!$D$5:$D$304,对接源_01水果筐数!$B$5:$B$304,$B137,对接源_01水果筐数!$C$5:$C$304,基础资料!$B$9))</f>
        <v/>
      </c>
      <c r="D137" s="25" t="str">
        <f>IF(OR($B137="",基础资料!$B$10=""),"",SUMIFS(对接源_01水果筐数!$D$5:$D$304,对接源_01水果筐数!$B$5:$B$304,$B137,对接源_01水果筐数!$C$5:$C$304,基础资料!$B$10))</f>
        <v/>
      </c>
      <c r="E137" s="25" t="str">
        <f>IF(OR($B137="",基础资料!$B$9=""),"",SUMIFS(客户自备加工筐明细!$F$4:$F$1203,客户自备加工筐明细!$E$4:$E$1203,$B137,客户自备加工筐明细!$C$4:$C$1203,基础资料!$B$9,客户自备加工筐明细!$B$4:$B$1203,"&gt;="&amp;$T$1,客户自备加工筐明细!$B$4:$B$1203,"&lt;="&amp;$T$2))</f>
        <v/>
      </c>
      <c r="F137" s="25" t="str">
        <f>IF(OR($B137="",基础资料!$B$10=""),"",SUMIFS(客户自备加工筐明细!$F$4:$F$1203,客户自备加工筐明细!$E$4:$E$1203,$B137,客户自备加工筐明细!$C$4:$C$1203,基础资料!$B$10,客户自备加工筐明细!$B$4:$B$1203,"&gt;="&amp;$T$1,客户自备加工筐明细!$B$4:$B$1203,"&lt;="&amp;$T$2))</f>
        <v/>
      </c>
      <c r="G137" s="67" t="str">
        <f>IF(OR($B137="",基础资料!$B$9=""),"",-SUMIFS(对接源_01水果筐数!$E$5:$E$304,对接源_01水果筐数!$B$5:$B$304,$B137,对接源_01水果筐数!$C$5:$C$304,基础资料!$B$9))</f>
        <v/>
      </c>
      <c r="H137" s="67" t="str">
        <f>IF(OR($B137="",基础资料!$B$10=""),"",-SUMIFS(对接源_01水果筐数!$E$5:$E$304,对接源_01水果筐数!$B$5:$B$304,$B137,对接源_01水果筐数!$C$5:$C$304,基础资料!$B$10))</f>
        <v/>
      </c>
      <c r="I137" s="67" t="str">
        <f>IF(OR($B137="",基础资料!$B$9=""),"",-SUMIFS(对接源_01水果筐数!$F$5:$F$304,对接源_01水果筐数!$B$5:$B$304,$B137,对接源_01水果筐数!$C$5:$C$304,基础资料!$B$9))</f>
        <v/>
      </c>
      <c r="J137" s="67" t="str">
        <f>IF(OR($B137="",基础资料!$B$10=""),"",-SUMIFS(对接源_01水果筐数!$F$5:$F$304,对接源_01水果筐数!$B$5:$B$304,$B137,对接源_01水果筐数!$C$5:$C$304,基础资料!$B$10))</f>
        <v/>
      </c>
      <c r="K137" s="67" t="str">
        <f>IF(OR($B137="",基础资料!$B$9=""),"",-SUMIFS(客户自备加工筐明细!$G$4:$G$1203,客户自备加工筐明细!$E$4:$E$1203,$B137,客户自备加工筐明细!$C$4:$C$1203,基础资料!$B$9,客户自备加工筐明细!$B$4:$B$1203,"&gt;="&amp;$T$1,客户自备加工筐明细!$B$4:$B$1203,"&lt;="&amp;$T$2))</f>
        <v/>
      </c>
      <c r="L137" s="67" t="str">
        <f>IF(OR($B137="",基础资料!$B$10=""),"",-SUMIFS(客户自备加工筐明细!$G$4:$G$1203,客户自备加工筐明细!$E$4:$E$1203,$B137,客户自备加工筐明细!$C$4:$C$1203,基础资料!$B$10,客户自备加工筐明细!$B$4:$B$1203,"&gt;="&amp;$T$1,客户自备加工筐明细!$B$4:$B$1203,"&lt;="&amp;$T$2))</f>
        <v/>
      </c>
      <c r="M137" s="25" t="str">
        <f t="shared" si="11"/>
        <v/>
      </c>
      <c r="N137" s="25" t="str">
        <f t="shared" si="12"/>
        <v/>
      </c>
      <c r="O137" s="25" t="str">
        <f t="shared" si="13"/>
        <v/>
      </c>
      <c r="P137" s="37" t="str">
        <f t="shared" si="14"/>
        <v/>
      </c>
      <c r="Q137" s="27"/>
    </row>
    <row r="138" spans="1:17">
      <c r="A138" s="22" t="str">
        <f t="shared" si="10"/>
        <v/>
      </c>
      <c r="B138" s="37" t="str">
        <f>IFERROR(INDEX(_自动清单!$AM$4:$AM$203,ROW()-3),"")</f>
        <v/>
      </c>
      <c r="C138" s="25" t="str">
        <f>IF(OR($B138="",基础资料!$B$9=""),"",SUMIFS(对接源_01水果筐数!$D$5:$D$304,对接源_01水果筐数!$B$5:$B$304,$B138,对接源_01水果筐数!$C$5:$C$304,基础资料!$B$9))</f>
        <v/>
      </c>
      <c r="D138" s="25" t="str">
        <f>IF(OR($B138="",基础资料!$B$10=""),"",SUMIFS(对接源_01水果筐数!$D$5:$D$304,对接源_01水果筐数!$B$5:$B$304,$B138,对接源_01水果筐数!$C$5:$C$304,基础资料!$B$10))</f>
        <v/>
      </c>
      <c r="E138" s="25" t="str">
        <f>IF(OR($B138="",基础资料!$B$9=""),"",SUMIFS(客户自备加工筐明细!$F$4:$F$1203,客户自备加工筐明细!$E$4:$E$1203,$B138,客户自备加工筐明细!$C$4:$C$1203,基础资料!$B$9,客户自备加工筐明细!$B$4:$B$1203,"&gt;="&amp;$T$1,客户自备加工筐明细!$B$4:$B$1203,"&lt;="&amp;$T$2))</f>
        <v/>
      </c>
      <c r="F138" s="25" t="str">
        <f>IF(OR($B138="",基础资料!$B$10=""),"",SUMIFS(客户自备加工筐明细!$F$4:$F$1203,客户自备加工筐明细!$E$4:$E$1203,$B138,客户自备加工筐明细!$C$4:$C$1203,基础资料!$B$10,客户自备加工筐明细!$B$4:$B$1203,"&gt;="&amp;$T$1,客户自备加工筐明细!$B$4:$B$1203,"&lt;="&amp;$T$2))</f>
        <v/>
      </c>
      <c r="G138" s="67" t="str">
        <f>IF(OR($B138="",基础资料!$B$9=""),"",-SUMIFS(对接源_01水果筐数!$E$5:$E$304,对接源_01水果筐数!$B$5:$B$304,$B138,对接源_01水果筐数!$C$5:$C$304,基础资料!$B$9))</f>
        <v/>
      </c>
      <c r="H138" s="67" t="str">
        <f>IF(OR($B138="",基础资料!$B$10=""),"",-SUMIFS(对接源_01水果筐数!$E$5:$E$304,对接源_01水果筐数!$B$5:$B$304,$B138,对接源_01水果筐数!$C$5:$C$304,基础资料!$B$10))</f>
        <v/>
      </c>
      <c r="I138" s="67" t="str">
        <f>IF(OR($B138="",基础资料!$B$9=""),"",-SUMIFS(对接源_01水果筐数!$F$5:$F$304,对接源_01水果筐数!$B$5:$B$304,$B138,对接源_01水果筐数!$C$5:$C$304,基础资料!$B$9))</f>
        <v/>
      </c>
      <c r="J138" s="67" t="str">
        <f>IF(OR($B138="",基础资料!$B$10=""),"",-SUMIFS(对接源_01水果筐数!$F$5:$F$304,对接源_01水果筐数!$B$5:$B$304,$B138,对接源_01水果筐数!$C$5:$C$304,基础资料!$B$10))</f>
        <v/>
      </c>
      <c r="K138" s="67" t="str">
        <f>IF(OR($B138="",基础资料!$B$9=""),"",-SUMIFS(客户自备加工筐明细!$G$4:$G$1203,客户自备加工筐明细!$E$4:$E$1203,$B138,客户自备加工筐明细!$C$4:$C$1203,基础资料!$B$9,客户自备加工筐明细!$B$4:$B$1203,"&gt;="&amp;$T$1,客户自备加工筐明细!$B$4:$B$1203,"&lt;="&amp;$T$2))</f>
        <v/>
      </c>
      <c r="L138" s="67" t="str">
        <f>IF(OR($B138="",基础资料!$B$10=""),"",-SUMIFS(客户自备加工筐明细!$G$4:$G$1203,客户自备加工筐明细!$E$4:$E$1203,$B138,客户自备加工筐明细!$C$4:$C$1203,基础资料!$B$10,客户自备加工筐明细!$B$4:$B$1203,"&gt;="&amp;$T$1,客户自备加工筐明细!$B$4:$B$1203,"&lt;="&amp;$T$2))</f>
        <v/>
      </c>
      <c r="M138" s="25" t="str">
        <f t="shared" si="11"/>
        <v/>
      </c>
      <c r="N138" s="25" t="str">
        <f t="shared" si="12"/>
        <v/>
      </c>
      <c r="O138" s="25" t="str">
        <f t="shared" si="13"/>
        <v/>
      </c>
      <c r="P138" s="37" t="str">
        <f t="shared" si="14"/>
        <v/>
      </c>
      <c r="Q138" s="27"/>
    </row>
    <row r="139" spans="1:17">
      <c r="A139" s="22" t="str">
        <f t="shared" si="10"/>
        <v/>
      </c>
      <c r="B139" s="37" t="str">
        <f>IFERROR(INDEX(_自动清单!$AM$4:$AM$203,ROW()-3),"")</f>
        <v/>
      </c>
      <c r="C139" s="25" t="str">
        <f>IF(OR($B139="",基础资料!$B$9=""),"",SUMIFS(对接源_01水果筐数!$D$5:$D$304,对接源_01水果筐数!$B$5:$B$304,$B139,对接源_01水果筐数!$C$5:$C$304,基础资料!$B$9))</f>
        <v/>
      </c>
      <c r="D139" s="25" t="str">
        <f>IF(OR($B139="",基础资料!$B$10=""),"",SUMIFS(对接源_01水果筐数!$D$5:$D$304,对接源_01水果筐数!$B$5:$B$304,$B139,对接源_01水果筐数!$C$5:$C$304,基础资料!$B$10))</f>
        <v/>
      </c>
      <c r="E139" s="25" t="str">
        <f>IF(OR($B139="",基础资料!$B$9=""),"",SUMIFS(客户自备加工筐明细!$F$4:$F$1203,客户自备加工筐明细!$E$4:$E$1203,$B139,客户自备加工筐明细!$C$4:$C$1203,基础资料!$B$9,客户自备加工筐明细!$B$4:$B$1203,"&gt;="&amp;$T$1,客户自备加工筐明细!$B$4:$B$1203,"&lt;="&amp;$T$2))</f>
        <v/>
      </c>
      <c r="F139" s="25" t="str">
        <f>IF(OR($B139="",基础资料!$B$10=""),"",SUMIFS(客户自备加工筐明细!$F$4:$F$1203,客户自备加工筐明细!$E$4:$E$1203,$B139,客户自备加工筐明细!$C$4:$C$1203,基础资料!$B$10,客户自备加工筐明细!$B$4:$B$1203,"&gt;="&amp;$T$1,客户自备加工筐明细!$B$4:$B$1203,"&lt;="&amp;$T$2))</f>
        <v/>
      </c>
      <c r="G139" s="67" t="str">
        <f>IF(OR($B139="",基础资料!$B$9=""),"",-SUMIFS(对接源_01水果筐数!$E$5:$E$304,对接源_01水果筐数!$B$5:$B$304,$B139,对接源_01水果筐数!$C$5:$C$304,基础资料!$B$9))</f>
        <v/>
      </c>
      <c r="H139" s="67" t="str">
        <f>IF(OR($B139="",基础资料!$B$10=""),"",-SUMIFS(对接源_01水果筐数!$E$5:$E$304,对接源_01水果筐数!$B$5:$B$304,$B139,对接源_01水果筐数!$C$5:$C$304,基础资料!$B$10))</f>
        <v/>
      </c>
      <c r="I139" s="67" t="str">
        <f>IF(OR($B139="",基础资料!$B$9=""),"",-SUMIFS(对接源_01水果筐数!$F$5:$F$304,对接源_01水果筐数!$B$5:$B$304,$B139,对接源_01水果筐数!$C$5:$C$304,基础资料!$B$9))</f>
        <v/>
      </c>
      <c r="J139" s="67" t="str">
        <f>IF(OR($B139="",基础资料!$B$10=""),"",-SUMIFS(对接源_01水果筐数!$F$5:$F$304,对接源_01水果筐数!$B$5:$B$304,$B139,对接源_01水果筐数!$C$5:$C$304,基础资料!$B$10))</f>
        <v/>
      </c>
      <c r="K139" s="67" t="str">
        <f>IF(OR($B139="",基础资料!$B$9=""),"",-SUMIFS(客户自备加工筐明细!$G$4:$G$1203,客户自备加工筐明细!$E$4:$E$1203,$B139,客户自备加工筐明细!$C$4:$C$1203,基础资料!$B$9,客户自备加工筐明细!$B$4:$B$1203,"&gt;="&amp;$T$1,客户自备加工筐明细!$B$4:$B$1203,"&lt;="&amp;$T$2))</f>
        <v/>
      </c>
      <c r="L139" s="67" t="str">
        <f>IF(OR($B139="",基础资料!$B$10=""),"",-SUMIFS(客户自备加工筐明细!$G$4:$G$1203,客户自备加工筐明细!$E$4:$E$1203,$B139,客户自备加工筐明细!$C$4:$C$1203,基础资料!$B$10,客户自备加工筐明细!$B$4:$B$1203,"&gt;="&amp;$T$1,客户自备加工筐明细!$B$4:$B$1203,"&lt;="&amp;$T$2))</f>
        <v/>
      </c>
      <c r="M139" s="25" t="str">
        <f t="shared" si="11"/>
        <v/>
      </c>
      <c r="N139" s="25" t="str">
        <f t="shared" si="12"/>
        <v/>
      </c>
      <c r="O139" s="25" t="str">
        <f t="shared" si="13"/>
        <v/>
      </c>
      <c r="P139" s="37" t="str">
        <f t="shared" si="14"/>
        <v/>
      </c>
      <c r="Q139" s="27"/>
    </row>
    <row r="140" spans="1:17">
      <c r="A140" s="22" t="str">
        <f t="shared" si="10"/>
        <v/>
      </c>
      <c r="B140" s="37" t="str">
        <f>IFERROR(INDEX(_自动清单!$AM$4:$AM$203,ROW()-3),"")</f>
        <v/>
      </c>
      <c r="C140" s="25" t="str">
        <f>IF(OR($B140="",基础资料!$B$9=""),"",SUMIFS(对接源_01水果筐数!$D$5:$D$304,对接源_01水果筐数!$B$5:$B$304,$B140,对接源_01水果筐数!$C$5:$C$304,基础资料!$B$9))</f>
        <v/>
      </c>
      <c r="D140" s="25" t="str">
        <f>IF(OR($B140="",基础资料!$B$10=""),"",SUMIFS(对接源_01水果筐数!$D$5:$D$304,对接源_01水果筐数!$B$5:$B$304,$B140,对接源_01水果筐数!$C$5:$C$304,基础资料!$B$10))</f>
        <v/>
      </c>
      <c r="E140" s="25" t="str">
        <f>IF(OR($B140="",基础资料!$B$9=""),"",SUMIFS(客户自备加工筐明细!$F$4:$F$1203,客户自备加工筐明细!$E$4:$E$1203,$B140,客户自备加工筐明细!$C$4:$C$1203,基础资料!$B$9,客户自备加工筐明细!$B$4:$B$1203,"&gt;="&amp;$T$1,客户自备加工筐明细!$B$4:$B$1203,"&lt;="&amp;$T$2))</f>
        <v/>
      </c>
      <c r="F140" s="25" t="str">
        <f>IF(OR($B140="",基础资料!$B$10=""),"",SUMIFS(客户自备加工筐明细!$F$4:$F$1203,客户自备加工筐明细!$E$4:$E$1203,$B140,客户自备加工筐明细!$C$4:$C$1203,基础资料!$B$10,客户自备加工筐明细!$B$4:$B$1203,"&gt;="&amp;$T$1,客户自备加工筐明细!$B$4:$B$1203,"&lt;="&amp;$T$2))</f>
        <v/>
      </c>
      <c r="G140" s="67" t="str">
        <f>IF(OR($B140="",基础资料!$B$9=""),"",-SUMIFS(对接源_01水果筐数!$E$5:$E$304,对接源_01水果筐数!$B$5:$B$304,$B140,对接源_01水果筐数!$C$5:$C$304,基础资料!$B$9))</f>
        <v/>
      </c>
      <c r="H140" s="67" t="str">
        <f>IF(OR($B140="",基础资料!$B$10=""),"",-SUMIFS(对接源_01水果筐数!$E$5:$E$304,对接源_01水果筐数!$B$5:$B$304,$B140,对接源_01水果筐数!$C$5:$C$304,基础资料!$B$10))</f>
        <v/>
      </c>
      <c r="I140" s="67" t="str">
        <f>IF(OR($B140="",基础资料!$B$9=""),"",-SUMIFS(对接源_01水果筐数!$F$5:$F$304,对接源_01水果筐数!$B$5:$B$304,$B140,对接源_01水果筐数!$C$5:$C$304,基础资料!$B$9))</f>
        <v/>
      </c>
      <c r="J140" s="67" t="str">
        <f>IF(OR($B140="",基础资料!$B$10=""),"",-SUMIFS(对接源_01水果筐数!$F$5:$F$304,对接源_01水果筐数!$B$5:$B$304,$B140,对接源_01水果筐数!$C$5:$C$304,基础资料!$B$10))</f>
        <v/>
      </c>
      <c r="K140" s="67" t="str">
        <f>IF(OR($B140="",基础资料!$B$9=""),"",-SUMIFS(客户自备加工筐明细!$G$4:$G$1203,客户自备加工筐明细!$E$4:$E$1203,$B140,客户自备加工筐明细!$C$4:$C$1203,基础资料!$B$9,客户自备加工筐明细!$B$4:$B$1203,"&gt;="&amp;$T$1,客户自备加工筐明细!$B$4:$B$1203,"&lt;="&amp;$T$2))</f>
        <v/>
      </c>
      <c r="L140" s="67" t="str">
        <f>IF(OR($B140="",基础资料!$B$10=""),"",-SUMIFS(客户自备加工筐明细!$G$4:$G$1203,客户自备加工筐明细!$E$4:$E$1203,$B140,客户自备加工筐明细!$C$4:$C$1203,基础资料!$B$10,客户自备加工筐明细!$B$4:$B$1203,"&gt;="&amp;$T$1,客户自备加工筐明细!$B$4:$B$1203,"&lt;="&amp;$T$2))</f>
        <v/>
      </c>
      <c r="M140" s="25" t="str">
        <f t="shared" si="11"/>
        <v/>
      </c>
      <c r="N140" s="25" t="str">
        <f t="shared" si="12"/>
        <v/>
      </c>
      <c r="O140" s="25" t="str">
        <f t="shared" si="13"/>
        <v/>
      </c>
      <c r="P140" s="37" t="str">
        <f t="shared" si="14"/>
        <v/>
      </c>
      <c r="Q140" s="27"/>
    </row>
    <row r="141" spans="1:17">
      <c r="A141" s="22" t="str">
        <f t="shared" si="10"/>
        <v/>
      </c>
      <c r="B141" s="37" t="str">
        <f>IFERROR(INDEX(_自动清单!$AM$4:$AM$203,ROW()-3),"")</f>
        <v/>
      </c>
      <c r="C141" s="25" t="str">
        <f>IF(OR($B141="",基础资料!$B$9=""),"",SUMIFS(对接源_01水果筐数!$D$5:$D$304,对接源_01水果筐数!$B$5:$B$304,$B141,对接源_01水果筐数!$C$5:$C$304,基础资料!$B$9))</f>
        <v/>
      </c>
      <c r="D141" s="25" t="str">
        <f>IF(OR($B141="",基础资料!$B$10=""),"",SUMIFS(对接源_01水果筐数!$D$5:$D$304,对接源_01水果筐数!$B$5:$B$304,$B141,对接源_01水果筐数!$C$5:$C$304,基础资料!$B$10))</f>
        <v/>
      </c>
      <c r="E141" s="25" t="str">
        <f>IF(OR($B141="",基础资料!$B$9=""),"",SUMIFS(客户自备加工筐明细!$F$4:$F$1203,客户自备加工筐明细!$E$4:$E$1203,$B141,客户自备加工筐明细!$C$4:$C$1203,基础资料!$B$9,客户自备加工筐明细!$B$4:$B$1203,"&gt;="&amp;$T$1,客户自备加工筐明细!$B$4:$B$1203,"&lt;="&amp;$T$2))</f>
        <v/>
      </c>
      <c r="F141" s="25" t="str">
        <f>IF(OR($B141="",基础资料!$B$10=""),"",SUMIFS(客户自备加工筐明细!$F$4:$F$1203,客户自备加工筐明细!$E$4:$E$1203,$B141,客户自备加工筐明细!$C$4:$C$1203,基础资料!$B$10,客户自备加工筐明细!$B$4:$B$1203,"&gt;="&amp;$T$1,客户自备加工筐明细!$B$4:$B$1203,"&lt;="&amp;$T$2))</f>
        <v/>
      </c>
      <c r="G141" s="67" t="str">
        <f>IF(OR($B141="",基础资料!$B$9=""),"",-SUMIFS(对接源_01水果筐数!$E$5:$E$304,对接源_01水果筐数!$B$5:$B$304,$B141,对接源_01水果筐数!$C$5:$C$304,基础资料!$B$9))</f>
        <v/>
      </c>
      <c r="H141" s="67" t="str">
        <f>IF(OR($B141="",基础资料!$B$10=""),"",-SUMIFS(对接源_01水果筐数!$E$5:$E$304,对接源_01水果筐数!$B$5:$B$304,$B141,对接源_01水果筐数!$C$5:$C$304,基础资料!$B$10))</f>
        <v/>
      </c>
      <c r="I141" s="67" t="str">
        <f>IF(OR($B141="",基础资料!$B$9=""),"",-SUMIFS(对接源_01水果筐数!$F$5:$F$304,对接源_01水果筐数!$B$5:$B$304,$B141,对接源_01水果筐数!$C$5:$C$304,基础资料!$B$9))</f>
        <v/>
      </c>
      <c r="J141" s="67" t="str">
        <f>IF(OR($B141="",基础资料!$B$10=""),"",-SUMIFS(对接源_01水果筐数!$F$5:$F$304,对接源_01水果筐数!$B$5:$B$304,$B141,对接源_01水果筐数!$C$5:$C$304,基础资料!$B$10))</f>
        <v/>
      </c>
      <c r="K141" s="67" t="str">
        <f>IF(OR($B141="",基础资料!$B$9=""),"",-SUMIFS(客户自备加工筐明细!$G$4:$G$1203,客户自备加工筐明细!$E$4:$E$1203,$B141,客户自备加工筐明细!$C$4:$C$1203,基础资料!$B$9,客户自备加工筐明细!$B$4:$B$1203,"&gt;="&amp;$T$1,客户自备加工筐明细!$B$4:$B$1203,"&lt;="&amp;$T$2))</f>
        <v/>
      </c>
      <c r="L141" s="67" t="str">
        <f>IF(OR($B141="",基础资料!$B$10=""),"",-SUMIFS(客户自备加工筐明细!$G$4:$G$1203,客户自备加工筐明细!$E$4:$E$1203,$B141,客户自备加工筐明细!$C$4:$C$1203,基础资料!$B$10,客户自备加工筐明细!$B$4:$B$1203,"&gt;="&amp;$T$1,客户自备加工筐明细!$B$4:$B$1203,"&lt;="&amp;$T$2))</f>
        <v/>
      </c>
      <c r="M141" s="25" t="str">
        <f t="shared" si="11"/>
        <v/>
      </c>
      <c r="N141" s="25" t="str">
        <f t="shared" si="12"/>
        <v/>
      </c>
      <c r="O141" s="25" t="str">
        <f t="shared" si="13"/>
        <v/>
      </c>
      <c r="P141" s="37" t="str">
        <f t="shared" si="14"/>
        <v/>
      </c>
      <c r="Q141" s="27"/>
    </row>
    <row r="142" spans="1:17">
      <c r="A142" s="22" t="str">
        <f t="shared" si="10"/>
        <v/>
      </c>
      <c r="B142" s="37" t="str">
        <f>IFERROR(INDEX(_自动清单!$AM$4:$AM$203,ROW()-3),"")</f>
        <v/>
      </c>
      <c r="C142" s="25" t="str">
        <f>IF(OR($B142="",基础资料!$B$9=""),"",SUMIFS(对接源_01水果筐数!$D$5:$D$304,对接源_01水果筐数!$B$5:$B$304,$B142,对接源_01水果筐数!$C$5:$C$304,基础资料!$B$9))</f>
        <v/>
      </c>
      <c r="D142" s="25" t="str">
        <f>IF(OR($B142="",基础资料!$B$10=""),"",SUMIFS(对接源_01水果筐数!$D$5:$D$304,对接源_01水果筐数!$B$5:$B$304,$B142,对接源_01水果筐数!$C$5:$C$304,基础资料!$B$10))</f>
        <v/>
      </c>
      <c r="E142" s="25" t="str">
        <f>IF(OR($B142="",基础资料!$B$9=""),"",SUMIFS(客户自备加工筐明细!$F$4:$F$1203,客户自备加工筐明细!$E$4:$E$1203,$B142,客户自备加工筐明细!$C$4:$C$1203,基础资料!$B$9,客户自备加工筐明细!$B$4:$B$1203,"&gt;="&amp;$T$1,客户自备加工筐明细!$B$4:$B$1203,"&lt;="&amp;$T$2))</f>
        <v/>
      </c>
      <c r="F142" s="25" t="str">
        <f>IF(OR($B142="",基础资料!$B$10=""),"",SUMIFS(客户自备加工筐明细!$F$4:$F$1203,客户自备加工筐明细!$E$4:$E$1203,$B142,客户自备加工筐明细!$C$4:$C$1203,基础资料!$B$10,客户自备加工筐明细!$B$4:$B$1203,"&gt;="&amp;$T$1,客户自备加工筐明细!$B$4:$B$1203,"&lt;="&amp;$T$2))</f>
        <v/>
      </c>
      <c r="G142" s="67" t="str">
        <f>IF(OR($B142="",基础资料!$B$9=""),"",-SUMIFS(对接源_01水果筐数!$E$5:$E$304,对接源_01水果筐数!$B$5:$B$304,$B142,对接源_01水果筐数!$C$5:$C$304,基础资料!$B$9))</f>
        <v/>
      </c>
      <c r="H142" s="67" t="str">
        <f>IF(OR($B142="",基础资料!$B$10=""),"",-SUMIFS(对接源_01水果筐数!$E$5:$E$304,对接源_01水果筐数!$B$5:$B$304,$B142,对接源_01水果筐数!$C$5:$C$304,基础资料!$B$10))</f>
        <v/>
      </c>
      <c r="I142" s="67" t="str">
        <f>IF(OR($B142="",基础资料!$B$9=""),"",-SUMIFS(对接源_01水果筐数!$F$5:$F$304,对接源_01水果筐数!$B$5:$B$304,$B142,对接源_01水果筐数!$C$5:$C$304,基础资料!$B$9))</f>
        <v/>
      </c>
      <c r="J142" s="67" t="str">
        <f>IF(OR($B142="",基础资料!$B$10=""),"",-SUMIFS(对接源_01水果筐数!$F$5:$F$304,对接源_01水果筐数!$B$5:$B$304,$B142,对接源_01水果筐数!$C$5:$C$304,基础资料!$B$10))</f>
        <v/>
      </c>
      <c r="K142" s="67" t="str">
        <f>IF(OR($B142="",基础资料!$B$9=""),"",-SUMIFS(客户自备加工筐明细!$G$4:$G$1203,客户自备加工筐明细!$E$4:$E$1203,$B142,客户自备加工筐明细!$C$4:$C$1203,基础资料!$B$9,客户自备加工筐明细!$B$4:$B$1203,"&gt;="&amp;$T$1,客户自备加工筐明细!$B$4:$B$1203,"&lt;="&amp;$T$2))</f>
        <v/>
      </c>
      <c r="L142" s="67" t="str">
        <f>IF(OR($B142="",基础资料!$B$10=""),"",-SUMIFS(客户自备加工筐明细!$G$4:$G$1203,客户自备加工筐明细!$E$4:$E$1203,$B142,客户自备加工筐明细!$C$4:$C$1203,基础资料!$B$10,客户自备加工筐明细!$B$4:$B$1203,"&gt;="&amp;$T$1,客户自备加工筐明细!$B$4:$B$1203,"&lt;="&amp;$T$2))</f>
        <v/>
      </c>
      <c r="M142" s="25" t="str">
        <f t="shared" si="11"/>
        <v/>
      </c>
      <c r="N142" s="25" t="str">
        <f t="shared" si="12"/>
        <v/>
      </c>
      <c r="O142" s="25" t="str">
        <f t="shared" si="13"/>
        <v/>
      </c>
      <c r="P142" s="37" t="str">
        <f t="shared" si="14"/>
        <v/>
      </c>
      <c r="Q142" s="27"/>
    </row>
    <row r="143" spans="1:17">
      <c r="A143" s="22" t="str">
        <f t="shared" si="10"/>
        <v/>
      </c>
      <c r="B143" s="37" t="str">
        <f>IFERROR(INDEX(_自动清单!$AM$4:$AM$203,ROW()-3),"")</f>
        <v/>
      </c>
      <c r="C143" s="25" t="str">
        <f>IF(OR($B143="",基础资料!$B$9=""),"",SUMIFS(对接源_01水果筐数!$D$5:$D$304,对接源_01水果筐数!$B$5:$B$304,$B143,对接源_01水果筐数!$C$5:$C$304,基础资料!$B$9))</f>
        <v/>
      </c>
      <c r="D143" s="25" t="str">
        <f>IF(OR($B143="",基础资料!$B$10=""),"",SUMIFS(对接源_01水果筐数!$D$5:$D$304,对接源_01水果筐数!$B$5:$B$304,$B143,对接源_01水果筐数!$C$5:$C$304,基础资料!$B$10))</f>
        <v/>
      </c>
      <c r="E143" s="25" t="str">
        <f>IF(OR($B143="",基础资料!$B$9=""),"",SUMIFS(客户自备加工筐明细!$F$4:$F$1203,客户自备加工筐明细!$E$4:$E$1203,$B143,客户自备加工筐明细!$C$4:$C$1203,基础资料!$B$9,客户自备加工筐明细!$B$4:$B$1203,"&gt;="&amp;$T$1,客户自备加工筐明细!$B$4:$B$1203,"&lt;="&amp;$T$2))</f>
        <v/>
      </c>
      <c r="F143" s="25" t="str">
        <f>IF(OR($B143="",基础资料!$B$10=""),"",SUMIFS(客户自备加工筐明细!$F$4:$F$1203,客户自备加工筐明细!$E$4:$E$1203,$B143,客户自备加工筐明细!$C$4:$C$1203,基础资料!$B$10,客户自备加工筐明细!$B$4:$B$1203,"&gt;="&amp;$T$1,客户自备加工筐明细!$B$4:$B$1203,"&lt;="&amp;$T$2))</f>
        <v/>
      </c>
      <c r="G143" s="67" t="str">
        <f>IF(OR($B143="",基础资料!$B$9=""),"",-SUMIFS(对接源_01水果筐数!$E$5:$E$304,对接源_01水果筐数!$B$5:$B$304,$B143,对接源_01水果筐数!$C$5:$C$304,基础资料!$B$9))</f>
        <v/>
      </c>
      <c r="H143" s="67" t="str">
        <f>IF(OR($B143="",基础资料!$B$10=""),"",-SUMIFS(对接源_01水果筐数!$E$5:$E$304,对接源_01水果筐数!$B$5:$B$304,$B143,对接源_01水果筐数!$C$5:$C$304,基础资料!$B$10))</f>
        <v/>
      </c>
      <c r="I143" s="67" t="str">
        <f>IF(OR($B143="",基础资料!$B$9=""),"",-SUMIFS(对接源_01水果筐数!$F$5:$F$304,对接源_01水果筐数!$B$5:$B$304,$B143,对接源_01水果筐数!$C$5:$C$304,基础资料!$B$9))</f>
        <v/>
      </c>
      <c r="J143" s="67" t="str">
        <f>IF(OR($B143="",基础资料!$B$10=""),"",-SUMIFS(对接源_01水果筐数!$F$5:$F$304,对接源_01水果筐数!$B$5:$B$304,$B143,对接源_01水果筐数!$C$5:$C$304,基础资料!$B$10))</f>
        <v/>
      </c>
      <c r="K143" s="67" t="str">
        <f>IF(OR($B143="",基础资料!$B$9=""),"",-SUMIFS(客户自备加工筐明细!$G$4:$G$1203,客户自备加工筐明细!$E$4:$E$1203,$B143,客户自备加工筐明细!$C$4:$C$1203,基础资料!$B$9,客户自备加工筐明细!$B$4:$B$1203,"&gt;="&amp;$T$1,客户自备加工筐明细!$B$4:$B$1203,"&lt;="&amp;$T$2))</f>
        <v/>
      </c>
      <c r="L143" s="67" t="str">
        <f>IF(OR($B143="",基础资料!$B$10=""),"",-SUMIFS(客户自备加工筐明细!$G$4:$G$1203,客户自备加工筐明细!$E$4:$E$1203,$B143,客户自备加工筐明细!$C$4:$C$1203,基础资料!$B$10,客户自备加工筐明细!$B$4:$B$1203,"&gt;="&amp;$T$1,客户自备加工筐明细!$B$4:$B$1203,"&lt;="&amp;$T$2))</f>
        <v/>
      </c>
      <c r="M143" s="25" t="str">
        <f t="shared" si="11"/>
        <v/>
      </c>
      <c r="N143" s="25" t="str">
        <f t="shared" si="12"/>
        <v/>
      </c>
      <c r="O143" s="25" t="str">
        <f t="shared" si="13"/>
        <v/>
      </c>
      <c r="P143" s="37" t="str">
        <f t="shared" si="14"/>
        <v/>
      </c>
      <c r="Q143" s="27"/>
    </row>
    <row r="144" spans="1:17">
      <c r="A144" s="22" t="str">
        <f t="shared" si="10"/>
        <v/>
      </c>
      <c r="B144" s="37" t="str">
        <f>IFERROR(INDEX(_自动清单!$AM$4:$AM$203,ROW()-3),"")</f>
        <v/>
      </c>
      <c r="C144" s="25" t="str">
        <f>IF(OR($B144="",基础资料!$B$9=""),"",SUMIFS(对接源_01水果筐数!$D$5:$D$304,对接源_01水果筐数!$B$5:$B$304,$B144,对接源_01水果筐数!$C$5:$C$304,基础资料!$B$9))</f>
        <v/>
      </c>
      <c r="D144" s="25" t="str">
        <f>IF(OR($B144="",基础资料!$B$10=""),"",SUMIFS(对接源_01水果筐数!$D$5:$D$304,对接源_01水果筐数!$B$5:$B$304,$B144,对接源_01水果筐数!$C$5:$C$304,基础资料!$B$10))</f>
        <v/>
      </c>
      <c r="E144" s="25" t="str">
        <f>IF(OR($B144="",基础资料!$B$9=""),"",SUMIFS(客户自备加工筐明细!$F$4:$F$1203,客户自备加工筐明细!$E$4:$E$1203,$B144,客户自备加工筐明细!$C$4:$C$1203,基础资料!$B$9,客户自备加工筐明细!$B$4:$B$1203,"&gt;="&amp;$T$1,客户自备加工筐明细!$B$4:$B$1203,"&lt;="&amp;$T$2))</f>
        <v/>
      </c>
      <c r="F144" s="25" t="str">
        <f>IF(OR($B144="",基础资料!$B$10=""),"",SUMIFS(客户自备加工筐明细!$F$4:$F$1203,客户自备加工筐明细!$E$4:$E$1203,$B144,客户自备加工筐明细!$C$4:$C$1203,基础资料!$B$10,客户自备加工筐明细!$B$4:$B$1203,"&gt;="&amp;$T$1,客户自备加工筐明细!$B$4:$B$1203,"&lt;="&amp;$T$2))</f>
        <v/>
      </c>
      <c r="G144" s="67" t="str">
        <f>IF(OR($B144="",基础资料!$B$9=""),"",-SUMIFS(对接源_01水果筐数!$E$5:$E$304,对接源_01水果筐数!$B$5:$B$304,$B144,对接源_01水果筐数!$C$5:$C$304,基础资料!$B$9))</f>
        <v/>
      </c>
      <c r="H144" s="67" t="str">
        <f>IF(OR($B144="",基础资料!$B$10=""),"",-SUMIFS(对接源_01水果筐数!$E$5:$E$304,对接源_01水果筐数!$B$5:$B$304,$B144,对接源_01水果筐数!$C$5:$C$304,基础资料!$B$10))</f>
        <v/>
      </c>
      <c r="I144" s="67" t="str">
        <f>IF(OR($B144="",基础资料!$B$9=""),"",-SUMIFS(对接源_01水果筐数!$F$5:$F$304,对接源_01水果筐数!$B$5:$B$304,$B144,对接源_01水果筐数!$C$5:$C$304,基础资料!$B$9))</f>
        <v/>
      </c>
      <c r="J144" s="67" t="str">
        <f>IF(OR($B144="",基础资料!$B$10=""),"",-SUMIFS(对接源_01水果筐数!$F$5:$F$304,对接源_01水果筐数!$B$5:$B$304,$B144,对接源_01水果筐数!$C$5:$C$304,基础资料!$B$10))</f>
        <v/>
      </c>
      <c r="K144" s="67" t="str">
        <f>IF(OR($B144="",基础资料!$B$9=""),"",-SUMIFS(客户自备加工筐明细!$G$4:$G$1203,客户自备加工筐明细!$E$4:$E$1203,$B144,客户自备加工筐明细!$C$4:$C$1203,基础资料!$B$9,客户自备加工筐明细!$B$4:$B$1203,"&gt;="&amp;$T$1,客户自备加工筐明细!$B$4:$B$1203,"&lt;="&amp;$T$2))</f>
        <v/>
      </c>
      <c r="L144" s="67" t="str">
        <f>IF(OR($B144="",基础资料!$B$10=""),"",-SUMIFS(客户自备加工筐明细!$G$4:$G$1203,客户自备加工筐明细!$E$4:$E$1203,$B144,客户自备加工筐明细!$C$4:$C$1203,基础资料!$B$10,客户自备加工筐明细!$B$4:$B$1203,"&gt;="&amp;$T$1,客户自备加工筐明细!$B$4:$B$1203,"&lt;="&amp;$T$2))</f>
        <v/>
      </c>
      <c r="M144" s="25" t="str">
        <f t="shared" si="11"/>
        <v/>
      </c>
      <c r="N144" s="25" t="str">
        <f t="shared" si="12"/>
        <v/>
      </c>
      <c r="O144" s="25" t="str">
        <f t="shared" si="13"/>
        <v/>
      </c>
      <c r="P144" s="37" t="str">
        <f t="shared" si="14"/>
        <v/>
      </c>
      <c r="Q144" s="27"/>
    </row>
    <row r="145" spans="1:17">
      <c r="A145" s="22" t="str">
        <f t="shared" si="10"/>
        <v/>
      </c>
      <c r="B145" s="37" t="str">
        <f>IFERROR(INDEX(_自动清单!$AM$4:$AM$203,ROW()-3),"")</f>
        <v/>
      </c>
      <c r="C145" s="25" t="str">
        <f>IF(OR($B145="",基础资料!$B$9=""),"",SUMIFS(对接源_01水果筐数!$D$5:$D$304,对接源_01水果筐数!$B$5:$B$304,$B145,对接源_01水果筐数!$C$5:$C$304,基础资料!$B$9))</f>
        <v/>
      </c>
      <c r="D145" s="25" t="str">
        <f>IF(OR($B145="",基础资料!$B$10=""),"",SUMIFS(对接源_01水果筐数!$D$5:$D$304,对接源_01水果筐数!$B$5:$B$304,$B145,对接源_01水果筐数!$C$5:$C$304,基础资料!$B$10))</f>
        <v/>
      </c>
      <c r="E145" s="25" t="str">
        <f>IF(OR($B145="",基础资料!$B$9=""),"",SUMIFS(客户自备加工筐明细!$F$4:$F$1203,客户自备加工筐明细!$E$4:$E$1203,$B145,客户自备加工筐明细!$C$4:$C$1203,基础资料!$B$9,客户自备加工筐明细!$B$4:$B$1203,"&gt;="&amp;$T$1,客户自备加工筐明细!$B$4:$B$1203,"&lt;="&amp;$T$2))</f>
        <v/>
      </c>
      <c r="F145" s="25" t="str">
        <f>IF(OR($B145="",基础资料!$B$10=""),"",SUMIFS(客户自备加工筐明细!$F$4:$F$1203,客户自备加工筐明细!$E$4:$E$1203,$B145,客户自备加工筐明细!$C$4:$C$1203,基础资料!$B$10,客户自备加工筐明细!$B$4:$B$1203,"&gt;="&amp;$T$1,客户自备加工筐明细!$B$4:$B$1203,"&lt;="&amp;$T$2))</f>
        <v/>
      </c>
      <c r="G145" s="67" t="str">
        <f>IF(OR($B145="",基础资料!$B$9=""),"",-SUMIFS(对接源_01水果筐数!$E$5:$E$304,对接源_01水果筐数!$B$5:$B$304,$B145,对接源_01水果筐数!$C$5:$C$304,基础资料!$B$9))</f>
        <v/>
      </c>
      <c r="H145" s="67" t="str">
        <f>IF(OR($B145="",基础资料!$B$10=""),"",-SUMIFS(对接源_01水果筐数!$E$5:$E$304,对接源_01水果筐数!$B$5:$B$304,$B145,对接源_01水果筐数!$C$5:$C$304,基础资料!$B$10))</f>
        <v/>
      </c>
      <c r="I145" s="67" t="str">
        <f>IF(OR($B145="",基础资料!$B$9=""),"",-SUMIFS(对接源_01水果筐数!$F$5:$F$304,对接源_01水果筐数!$B$5:$B$304,$B145,对接源_01水果筐数!$C$5:$C$304,基础资料!$B$9))</f>
        <v/>
      </c>
      <c r="J145" s="67" t="str">
        <f>IF(OR($B145="",基础资料!$B$10=""),"",-SUMIFS(对接源_01水果筐数!$F$5:$F$304,对接源_01水果筐数!$B$5:$B$304,$B145,对接源_01水果筐数!$C$5:$C$304,基础资料!$B$10))</f>
        <v/>
      </c>
      <c r="K145" s="67" t="str">
        <f>IF(OR($B145="",基础资料!$B$9=""),"",-SUMIFS(客户自备加工筐明细!$G$4:$G$1203,客户自备加工筐明细!$E$4:$E$1203,$B145,客户自备加工筐明细!$C$4:$C$1203,基础资料!$B$9,客户自备加工筐明细!$B$4:$B$1203,"&gt;="&amp;$T$1,客户自备加工筐明细!$B$4:$B$1203,"&lt;="&amp;$T$2))</f>
        <v/>
      </c>
      <c r="L145" s="67" t="str">
        <f>IF(OR($B145="",基础资料!$B$10=""),"",-SUMIFS(客户自备加工筐明细!$G$4:$G$1203,客户自备加工筐明细!$E$4:$E$1203,$B145,客户自备加工筐明细!$C$4:$C$1203,基础资料!$B$10,客户自备加工筐明细!$B$4:$B$1203,"&gt;="&amp;$T$1,客户自备加工筐明细!$B$4:$B$1203,"&lt;="&amp;$T$2))</f>
        <v/>
      </c>
      <c r="M145" s="25" t="str">
        <f t="shared" si="11"/>
        <v/>
      </c>
      <c r="N145" s="25" t="str">
        <f t="shared" si="12"/>
        <v/>
      </c>
      <c r="O145" s="25" t="str">
        <f t="shared" si="13"/>
        <v/>
      </c>
      <c r="P145" s="37" t="str">
        <f t="shared" si="14"/>
        <v/>
      </c>
      <c r="Q145" s="27"/>
    </row>
    <row r="146" spans="1:17">
      <c r="A146" s="22" t="str">
        <f t="shared" si="10"/>
        <v/>
      </c>
      <c r="B146" s="37" t="str">
        <f>IFERROR(INDEX(_自动清单!$AM$4:$AM$203,ROW()-3),"")</f>
        <v/>
      </c>
      <c r="C146" s="25" t="str">
        <f>IF(OR($B146="",基础资料!$B$9=""),"",SUMIFS(对接源_01水果筐数!$D$5:$D$304,对接源_01水果筐数!$B$5:$B$304,$B146,对接源_01水果筐数!$C$5:$C$304,基础资料!$B$9))</f>
        <v/>
      </c>
      <c r="D146" s="25" t="str">
        <f>IF(OR($B146="",基础资料!$B$10=""),"",SUMIFS(对接源_01水果筐数!$D$5:$D$304,对接源_01水果筐数!$B$5:$B$304,$B146,对接源_01水果筐数!$C$5:$C$304,基础资料!$B$10))</f>
        <v/>
      </c>
      <c r="E146" s="25" t="str">
        <f>IF(OR($B146="",基础资料!$B$9=""),"",SUMIFS(客户自备加工筐明细!$F$4:$F$1203,客户自备加工筐明细!$E$4:$E$1203,$B146,客户自备加工筐明细!$C$4:$C$1203,基础资料!$B$9,客户自备加工筐明细!$B$4:$B$1203,"&gt;="&amp;$T$1,客户自备加工筐明细!$B$4:$B$1203,"&lt;="&amp;$T$2))</f>
        <v/>
      </c>
      <c r="F146" s="25" t="str">
        <f>IF(OR($B146="",基础资料!$B$10=""),"",SUMIFS(客户自备加工筐明细!$F$4:$F$1203,客户自备加工筐明细!$E$4:$E$1203,$B146,客户自备加工筐明细!$C$4:$C$1203,基础资料!$B$10,客户自备加工筐明细!$B$4:$B$1203,"&gt;="&amp;$T$1,客户自备加工筐明细!$B$4:$B$1203,"&lt;="&amp;$T$2))</f>
        <v/>
      </c>
      <c r="G146" s="67" t="str">
        <f>IF(OR($B146="",基础资料!$B$9=""),"",-SUMIFS(对接源_01水果筐数!$E$5:$E$304,对接源_01水果筐数!$B$5:$B$304,$B146,对接源_01水果筐数!$C$5:$C$304,基础资料!$B$9))</f>
        <v/>
      </c>
      <c r="H146" s="67" t="str">
        <f>IF(OR($B146="",基础资料!$B$10=""),"",-SUMIFS(对接源_01水果筐数!$E$5:$E$304,对接源_01水果筐数!$B$5:$B$304,$B146,对接源_01水果筐数!$C$5:$C$304,基础资料!$B$10))</f>
        <v/>
      </c>
      <c r="I146" s="67" t="str">
        <f>IF(OR($B146="",基础资料!$B$9=""),"",-SUMIFS(对接源_01水果筐数!$F$5:$F$304,对接源_01水果筐数!$B$5:$B$304,$B146,对接源_01水果筐数!$C$5:$C$304,基础资料!$B$9))</f>
        <v/>
      </c>
      <c r="J146" s="67" t="str">
        <f>IF(OR($B146="",基础资料!$B$10=""),"",-SUMIFS(对接源_01水果筐数!$F$5:$F$304,对接源_01水果筐数!$B$5:$B$304,$B146,对接源_01水果筐数!$C$5:$C$304,基础资料!$B$10))</f>
        <v/>
      </c>
      <c r="K146" s="67" t="str">
        <f>IF(OR($B146="",基础资料!$B$9=""),"",-SUMIFS(客户自备加工筐明细!$G$4:$G$1203,客户自备加工筐明细!$E$4:$E$1203,$B146,客户自备加工筐明细!$C$4:$C$1203,基础资料!$B$9,客户自备加工筐明细!$B$4:$B$1203,"&gt;="&amp;$T$1,客户自备加工筐明细!$B$4:$B$1203,"&lt;="&amp;$T$2))</f>
        <v/>
      </c>
      <c r="L146" s="67" t="str">
        <f>IF(OR($B146="",基础资料!$B$10=""),"",-SUMIFS(客户自备加工筐明细!$G$4:$G$1203,客户自备加工筐明细!$E$4:$E$1203,$B146,客户自备加工筐明细!$C$4:$C$1203,基础资料!$B$10,客户自备加工筐明细!$B$4:$B$1203,"&gt;="&amp;$T$1,客户自备加工筐明细!$B$4:$B$1203,"&lt;="&amp;$T$2))</f>
        <v/>
      </c>
      <c r="M146" s="25" t="str">
        <f t="shared" si="11"/>
        <v/>
      </c>
      <c r="N146" s="25" t="str">
        <f t="shared" si="12"/>
        <v/>
      </c>
      <c r="O146" s="25" t="str">
        <f t="shared" si="13"/>
        <v/>
      </c>
      <c r="P146" s="37" t="str">
        <f t="shared" si="14"/>
        <v/>
      </c>
      <c r="Q146" s="27"/>
    </row>
    <row r="147" spans="1:17">
      <c r="A147" s="22" t="str">
        <f t="shared" si="10"/>
        <v/>
      </c>
      <c r="B147" s="37" t="str">
        <f>IFERROR(INDEX(_自动清单!$AM$4:$AM$203,ROW()-3),"")</f>
        <v/>
      </c>
      <c r="C147" s="25" t="str">
        <f>IF(OR($B147="",基础资料!$B$9=""),"",SUMIFS(对接源_01水果筐数!$D$5:$D$304,对接源_01水果筐数!$B$5:$B$304,$B147,对接源_01水果筐数!$C$5:$C$304,基础资料!$B$9))</f>
        <v/>
      </c>
      <c r="D147" s="25" t="str">
        <f>IF(OR($B147="",基础资料!$B$10=""),"",SUMIFS(对接源_01水果筐数!$D$5:$D$304,对接源_01水果筐数!$B$5:$B$304,$B147,对接源_01水果筐数!$C$5:$C$304,基础资料!$B$10))</f>
        <v/>
      </c>
      <c r="E147" s="25" t="str">
        <f>IF(OR($B147="",基础资料!$B$9=""),"",SUMIFS(客户自备加工筐明细!$F$4:$F$1203,客户自备加工筐明细!$E$4:$E$1203,$B147,客户自备加工筐明细!$C$4:$C$1203,基础资料!$B$9,客户自备加工筐明细!$B$4:$B$1203,"&gt;="&amp;$T$1,客户自备加工筐明细!$B$4:$B$1203,"&lt;="&amp;$T$2))</f>
        <v/>
      </c>
      <c r="F147" s="25" t="str">
        <f>IF(OR($B147="",基础资料!$B$10=""),"",SUMIFS(客户自备加工筐明细!$F$4:$F$1203,客户自备加工筐明细!$E$4:$E$1203,$B147,客户自备加工筐明细!$C$4:$C$1203,基础资料!$B$10,客户自备加工筐明细!$B$4:$B$1203,"&gt;="&amp;$T$1,客户自备加工筐明细!$B$4:$B$1203,"&lt;="&amp;$T$2))</f>
        <v/>
      </c>
      <c r="G147" s="67" t="str">
        <f>IF(OR($B147="",基础资料!$B$9=""),"",-SUMIFS(对接源_01水果筐数!$E$5:$E$304,对接源_01水果筐数!$B$5:$B$304,$B147,对接源_01水果筐数!$C$5:$C$304,基础资料!$B$9))</f>
        <v/>
      </c>
      <c r="H147" s="67" t="str">
        <f>IF(OR($B147="",基础资料!$B$10=""),"",-SUMIFS(对接源_01水果筐数!$E$5:$E$304,对接源_01水果筐数!$B$5:$B$304,$B147,对接源_01水果筐数!$C$5:$C$304,基础资料!$B$10))</f>
        <v/>
      </c>
      <c r="I147" s="67" t="str">
        <f>IF(OR($B147="",基础资料!$B$9=""),"",-SUMIFS(对接源_01水果筐数!$F$5:$F$304,对接源_01水果筐数!$B$5:$B$304,$B147,对接源_01水果筐数!$C$5:$C$304,基础资料!$B$9))</f>
        <v/>
      </c>
      <c r="J147" s="67" t="str">
        <f>IF(OR($B147="",基础资料!$B$10=""),"",-SUMIFS(对接源_01水果筐数!$F$5:$F$304,对接源_01水果筐数!$B$5:$B$304,$B147,对接源_01水果筐数!$C$5:$C$304,基础资料!$B$10))</f>
        <v/>
      </c>
      <c r="K147" s="67" t="str">
        <f>IF(OR($B147="",基础资料!$B$9=""),"",-SUMIFS(客户自备加工筐明细!$G$4:$G$1203,客户自备加工筐明细!$E$4:$E$1203,$B147,客户自备加工筐明细!$C$4:$C$1203,基础资料!$B$9,客户自备加工筐明细!$B$4:$B$1203,"&gt;="&amp;$T$1,客户自备加工筐明细!$B$4:$B$1203,"&lt;="&amp;$T$2))</f>
        <v/>
      </c>
      <c r="L147" s="67" t="str">
        <f>IF(OR($B147="",基础资料!$B$10=""),"",-SUMIFS(客户自备加工筐明细!$G$4:$G$1203,客户自备加工筐明细!$E$4:$E$1203,$B147,客户自备加工筐明细!$C$4:$C$1203,基础资料!$B$10,客户自备加工筐明细!$B$4:$B$1203,"&gt;="&amp;$T$1,客户自备加工筐明细!$B$4:$B$1203,"&lt;="&amp;$T$2))</f>
        <v/>
      </c>
      <c r="M147" s="25" t="str">
        <f t="shared" si="11"/>
        <v/>
      </c>
      <c r="N147" s="25" t="str">
        <f t="shared" si="12"/>
        <v/>
      </c>
      <c r="O147" s="25" t="str">
        <f t="shared" si="13"/>
        <v/>
      </c>
      <c r="P147" s="37" t="str">
        <f t="shared" si="14"/>
        <v/>
      </c>
      <c r="Q147" s="27"/>
    </row>
    <row r="148" spans="1:17">
      <c r="A148" s="22" t="str">
        <f t="shared" si="10"/>
        <v/>
      </c>
      <c r="B148" s="37" t="str">
        <f>IFERROR(INDEX(_自动清单!$AM$4:$AM$203,ROW()-3),"")</f>
        <v/>
      </c>
      <c r="C148" s="25" t="str">
        <f>IF(OR($B148="",基础资料!$B$9=""),"",SUMIFS(对接源_01水果筐数!$D$5:$D$304,对接源_01水果筐数!$B$5:$B$304,$B148,对接源_01水果筐数!$C$5:$C$304,基础资料!$B$9))</f>
        <v/>
      </c>
      <c r="D148" s="25" t="str">
        <f>IF(OR($B148="",基础资料!$B$10=""),"",SUMIFS(对接源_01水果筐数!$D$5:$D$304,对接源_01水果筐数!$B$5:$B$304,$B148,对接源_01水果筐数!$C$5:$C$304,基础资料!$B$10))</f>
        <v/>
      </c>
      <c r="E148" s="25" t="str">
        <f>IF(OR($B148="",基础资料!$B$9=""),"",SUMIFS(客户自备加工筐明细!$F$4:$F$1203,客户自备加工筐明细!$E$4:$E$1203,$B148,客户自备加工筐明细!$C$4:$C$1203,基础资料!$B$9,客户自备加工筐明细!$B$4:$B$1203,"&gt;="&amp;$T$1,客户自备加工筐明细!$B$4:$B$1203,"&lt;="&amp;$T$2))</f>
        <v/>
      </c>
      <c r="F148" s="25" t="str">
        <f>IF(OR($B148="",基础资料!$B$10=""),"",SUMIFS(客户自备加工筐明细!$F$4:$F$1203,客户自备加工筐明细!$E$4:$E$1203,$B148,客户自备加工筐明细!$C$4:$C$1203,基础资料!$B$10,客户自备加工筐明细!$B$4:$B$1203,"&gt;="&amp;$T$1,客户自备加工筐明细!$B$4:$B$1203,"&lt;="&amp;$T$2))</f>
        <v/>
      </c>
      <c r="G148" s="67" t="str">
        <f>IF(OR($B148="",基础资料!$B$9=""),"",-SUMIFS(对接源_01水果筐数!$E$5:$E$304,对接源_01水果筐数!$B$5:$B$304,$B148,对接源_01水果筐数!$C$5:$C$304,基础资料!$B$9))</f>
        <v/>
      </c>
      <c r="H148" s="67" t="str">
        <f>IF(OR($B148="",基础资料!$B$10=""),"",-SUMIFS(对接源_01水果筐数!$E$5:$E$304,对接源_01水果筐数!$B$5:$B$304,$B148,对接源_01水果筐数!$C$5:$C$304,基础资料!$B$10))</f>
        <v/>
      </c>
      <c r="I148" s="67" t="str">
        <f>IF(OR($B148="",基础资料!$B$9=""),"",-SUMIFS(对接源_01水果筐数!$F$5:$F$304,对接源_01水果筐数!$B$5:$B$304,$B148,对接源_01水果筐数!$C$5:$C$304,基础资料!$B$9))</f>
        <v/>
      </c>
      <c r="J148" s="67" t="str">
        <f>IF(OR($B148="",基础资料!$B$10=""),"",-SUMIFS(对接源_01水果筐数!$F$5:$F$304,对接源_01水果筐数!$B$5:$B$304,$B148,对接源_01水果筐数!$C$5:$C$304,基础资料!$B$10))</f>
        <v/>
      </c>
      <c r="K148" s="67" t="str">
        <f>IF(OR($B148="",基础资料!$B$9=""),"",-SUMIFS(客户自备加工筐明细!$G$4:$G$1203,客户自备加工筐明细!$E$4:$E$1203,$B148,客户自备加工筐明细!$C$4:$C$1203,基础资料!$B$9,客户自备加工筐明细!$B$4:$B$1203,"&gt;="&amp;$T$1,客户自备加工筐明细!$B$4:$B$1203,"&lt;="&amp;$T$2))</f>
        <v/>
      </c>
      <c r="L148" s="67" t="str">
        <f>IF(OR($B148="",基础资料!$B$10=""),"",-SUMIFS(客户自备加工筐明细!$G$4:$G$1203,客户自备加工筐明细!$E$4:$E$1203,$B148,客户自备加工筐明细!$C$4:$C$1203,基础资料!$B$10,客户自备加工筐明细!$B$4:$B$1203,"&gt;="&amp;$T$1,客户自备加工筐明细!$B$4:$B$1203,"&lt;="&amp;$T$2))</f>
        <v/>
      </c>
      <c r="M148" s="25" t="str">
        <f t="shared" si="11"/>
        <v/>
      </c>
      <c r="N148" s="25" t="str">
        <f t="shared" si="12"/>
        <v/>
      </c>
      <c r="O148" s="25" t="str">
        <f t="shared" si="13"/>
        <v/>
      </c>
      <c r="P148" s="37" t="str">
        <f t="shared" si="14"/>
        <v/>
      </c>
      <c r="Q148" s="27"/>
    </row>
    <row r="149" spans="1:17">
      <c r="A149" s="22" t="str">
        <f t="shared" si="10"/>
        <v/>
      </c>
      <c r="B149" s="37" t="str">
        <f>IFERROR(INDEX(_自动清单!$AM$4:$AM$203,ROW()-3),"")</f>
        <v/>
      </c>
      <c r="C149" s="25" t="str">
        <f>IF(OR($B149="",基础资料!$B$9=""),"",SUMIFS(对接源_01水果筐数!$D$5:$D$304,对接源_01水果筐数!$B$5:$B$304,$B149,对接源_01水果筐数!$C$5:$C$304,基础资料!$B$9))</f>
        <v/>
      </c>
      <c r="D149" s="25" t="str">
        <f>IF(OR($B149="",基础资料!$B$10=""),"",SUMIFS(对接源_01水果筐数!$D$5:$D$304,对接源_01水果筐数!$B$5:$B$304,$B149,对接源_01水果筐数!$C$5:$C$304,基础资料!$B$10))</f>
        <v/>
      </c>
      <c r="E149" s="25" t="str">
        <f>IF(OR($B149="",基础资料!$B$9=""),"",SUMIFS(客户自备加工筐明细!$F$4:$F$1203,客户自备加工筐明细!$E$4:$E$1203,$B149,客户自备加工筐明细!$C$4:$C$1203,基础资料!$B$9,客户自备加工筐明细!$B$4:$B$1203,"&gt;="&amp;$T$1,客户自备加工筐明细!$B$4:$B$1203,"&lt;="&amp;$T$2))</f>
        <v/>
      </c>
      <c r="F149" s="25" t="str">
        <f>IF(OR($B149="",基础资料!$B$10=""),"",SUMIFS(客户自备加工筐明细!$F$4:$F$1203,客户自备加工筐明细!$E$4:$E$1203,$B149,客户自备加工筐明细!$C$4:$C$1203,基础资料!$B$10,客户自备加工筐明细!$B$4:$B$1203,"&gt;="&amp;$T$1,客户自备加工筐明细!$B$4:$B$1203,"&lt;="&amp;$T$2))</f>
        <v/>
      </c>
      <c r="G149" s="67" t="str">
        <f>IF(OR($B149="",基础资料!$B$9=""),"",-SUMIFS(对接源_01水果筐数!$E$5:$E$304,对接源_01水果筐数!$B$5:$B$304,$B149,对接源_01水果筐数!$C$5:$C$304,基础资料!$B$9))</f>
        <v/>
      </c>
      <c r="H149" s="67" t="str">
        <f>IF(OR($B149="",基础资料!$B$10=""),"",-SUMIFS(对接源_01水果筐数!$E$5:$E$304,对接源_01水果筐数!$B$5:$B$304,$B149,对接源_01水果筐数!$C$5:$C$304,基础资料!$B$10))</f>
        <v/>
      </c>
      <c r="I149" s="67" t="str">
        <f>IF(OR($B149="",基础资料!$B$9=""),"",-SUMIFS(对接源_01水果筐数!$F$5:$F$304,对接源_01水果筐数!$B$5:$B$304,$B149,对接源_01水果筐数!$C$5:$C$304,基础资料!$B$9))</f>
        <v/>
      </c>
      <c r="J149" s="67" t="str">
        <f>IF(OR($B149="",基础资料!$B$10=""),"",-SUMIFS(对接源_01水果筐数!$F$5:$F$304,对接源_01水果筐数!$B$5:$B$304,$B149,对接源_01水果筐数!$C$5:$C$304,基础资料!$B$10))</f>
        <v/>
      </c>
      <c r="K149" s="67" t="str">
        <f>IF(OR($B149="",基础资料!$B$9=""),"",-SUMIFS(客户自备加工筐明细!$G$4:$G$1203,客户自备加工筐明细!$E$4:$E$1203,$B149,客户自备加工筐明细!$C$4:$C$1203,基础资料!$B$9,客户自备加工筐明细!$B$4:$B$1203,"&gt;="&amp;$T$1,客户自备加工筐明细!$B$4:$B$1203,"&lt;="&amp;$T$2))</f>
        <v/>
      </c>
      <c r="L149" s="67" t="str">
        <f>IF(OR($B149="",基础资料!$B$10=""),"",-SUMIFS(客户自备加工筐明细!$G$4:$G$1203,客户自备加工筐明细!$E$4:$E$1203,$B149,客户自备加工筐明细!$C$4:$C$1203,基础资料!$B$10,客户自备加工筐明细!$B$4:$B$1203,"&gt;="&amp;$T$1,客户自备加工筐明细!$B$4:$B$1203,"&lt;="&amp;$T$2))</f>
        <v/>
      </c>
      <c r="M149" s="25" t="str">
        <f t="shared" si="11"/>
        <v/>
      </c>
      <c r="N149" s="25" t="str">
        <f t="shared" si="12"/>
        <v/>
      </c>
      <c r="O149" s="25" t="str">
        <f t="shared" si="13"/>
        <v/>
      </c>
      <c r="P149" s="37" t="str">
        <f t="shared" si="14"/>
        <v/>
      </c>
      <c r="Q149" s="27"/>
    </row>
    <row r="150" spans="1:17">
      <c r="A150" s="22" t="str">
        <f t="shared" si="10"/>
        <v/>
      </c>
      <c r="B150" s="37" t="str">
        <f>IFERROR(INDEX(_自动清单!$AM$4:$AM$203,ROW()-3),"")</f>
        <v/>
      </c>
      <c r="C150" s="25" t="str">
        <f>IF(OR($B150="",基础资料!$B$9=""),"",SUMIFS(对接源_01水果筐数!$D$5:$D$304,对接源_01水果筐数!$B$5:$B$304,$B150,对接源_01水果筐数!$C$5:$C$304,基础资料!$B$9))</f>
        <v/>
      </c>
      <c r="D150" s="25" t="str">
        <f>IF(OR($B150="",基础资料!$B$10=""),"",SUMIFS(对接源_01水果筐数!$D$5:$D$304,对接源_01水果筐数!$B$5:$B$304,$B150,对接源_01水果筐数!$C$5:$C$304,基础资料!$B$10))</f>
        <v/>
      </c>
      <c r="E150" s="25" t="str">
        <f>IF(OR($B150="",基础资料!$B$9=""),"",SUMIFS(客户自备加工筐明细!$F$4:$F$1203,客户自备加工筐明细!$E$4:$E$1203,$B150,客户自备加工筐明细!$C$4:$C$1203,基础资料!$B$9,客户自备加工筐明细!$B$4:$B$1203,"&gt;="&amp;$T$1,客户自备加工筐明细!$B$4:$B$1203,"&lt;="&amp;$T$2))</f>
        <v/>
      </c>
      <c r="F150" s="25" t="str">
        <f>IF(OR($B150="",基础资料!$B$10=""),"",SUMIFS(客户自备加工筐明细!$F$4:$F$1203,客户自备加工筐明细!$E$4:$E$1203,$B150,客户自备加工筐明细!$C$4:$C$1203,基础资料!$B$10,客户自备加工筐明细!$B$4:$B$1203,"&gt;="&amp;$T$1,客户自备加工筐明细!$B$4:$B$1203,"&lt;="&amp;$T$2))</f>
        <v/>
      </c>
      <c r="G150" s="67" t="str">
        <f>IF(OR($B150="",基础资料!$B$9=""),"",-SUMIFS(对接源_01水果筐数!$E$5:$E$304,对接源_01水果筐数!$B$5:$B$304,$B150,对接源_01水果筐数!$C$5:$C$304,基础资料!$B$9))</f>
        <v/>
      </c>
      <c r="H150" s="67" t="str">
        <f>IF(OR($B150="",基础资料!$B$10=""),"",-SUMIFS(对接源_01水果筐数!$E$5:$E$304,对接源_01水果筐数!$B$5:$B$304,$B150,对接源_01水果筐数!$C$5:$C$304,基础资料!$B$10))</f>
        <v/>
      </c>
      <c r="I150" s="67" t="str">
        <f>IF(OR($B150="",基础资料!$B$9=""),"",-SUMIFS(对接源_01水果筐数!$F$5:$F$304,对接源_01水果筐数!$B$5:$B$304,$B150,对接源_01水果筐数!$C$5:$C$304,基础资料!$B$9))</f>
        <v/>
      </c>
      <c r="J150" s="67" t="str">
        <f>IF(OR($B150="",基础资料!$B$10=""),"",-SUMIFS(对接源_01水果筐数!$F$5:$F$304,对接源_01水果筐数!$B$5:$B$304,$B150,对接源_01水果筐数!$C$5:$C$304,基础资料!$B$10))</f>
        <v/>
      </c>
      <c r="K150" s="67" t="str">
        <f>IF(OR($B150="",基础资料!$B$9=""),"",-SUMIFS(客户自备加工筐明细!$G$4:$G$1203,客户自备加工筐明细!$E$4:$E$1203,$B150,客户自备加工筐明细!$C$4:$C$1203,基础资料!$B$9,客户自备加工筐明细!$B$4:$B$1203,"&gt;="&amp;$T$1,客户自备加工筐明细!$B$4:$B$1203,"&lt;="&amp;$T$2))</f>
        <v/>
      </c>
      <c r="L150" s="67" t="str">
        <f>IF(OR($B150="",基础资料!$B$10=""),"",-SUMIFS(客户自备加工筐明细!$G$4:$G$1203,客户自备加工筐明细!$E$4:$E$1203,$B150,客户自备加工筐明细!$C$4:$C$1203,基础资料!$B$10,客户自备加工筐明细!$B$4:$B$1203,"&gt;="&amp;$T$1,客户自备加工筐明细!$B$4:$B$1203,"&lt;="&amp;$T$2))</f>
        <v/>
      </c>
      <c r="M150" s="25" t="str">
        <f t="shared" si="11"/>
        <v/>
      </c>
      <c r="N150" s="25" t="str">
        <f t="shared" si="12"/>
        <v/>
      </c>
      <c r="O150" s="25" t="str">
        <f t="shared" si="13"/>
        <v/>
      </c>
      <c r="P150" s="37" t="str">
        <f t="shared" si="14"/>
        <v/>
      </c>
      <c r="Q150" s="27"/>
    </row>
    <row r="151" spans="1:17">
      <c r="A151" s="22" t="str">
        <f t="shared" si="10"/>
        <v/>
      </c>
      <c r="B151" s="37" t="str">
        <f>IFERROR(INDEX(_自动清单!$AM$4:$AM$203,ROW()-3),"")</f>
        <v/>
      </c>
      <c r="C151" s="25" t="str">
        <f>IF(OR($B151="",基础资料!$B$9=""),"",SUMIFS(对接源_01水果筐数!$D$5:$D$304,对接源_01水果筐数!$B$5:$B$304,$B151,对接源_01水果筐数!$C$5:$C$304,基础资料!$B$9))</f>
        <v/>
      </c>
      <c r="D151" s="25" t="str">
        <f>IF(OR($B151="",基础资料!$B$10=""),"",SUMIFS(对接源_01水果筐数!$D$5:$D$304,对接源_01水果筐数!$B$5:$B$304,$B151,对接源_01水果筐数!$C$5:$C$304,基础资料!$B$10))</f>
        <v/>
      </c>
      <c r="E151" s="25" t="str">
        <f>IF(OR($B151="",基础资料!$B$9=""),"",SUMIFS(客户自备加工筐明细!$F$4:$F$1203,客户自备加工筐明细!$E$4:$E$1203,$B151,客户自备加工筐明细!$C$4:$C$1203,基础资料!$B$9,客户自备加工筐明细!$B$4:$B$1203,"&gt;="&amp;$T$1,客户自备加工筐明细!$B$4:$B$1203,"&lt;="&amp;$T$2))</f>
        <v/>
      </c>
      <c r="F151" s="25" t="str">
        <f>IF(OR($B151="",基础资料!$B$10=""),"",SUMIFS(客户自备加工筐明细!$F$4:$F$1203,客户自备加工筐明细!$E$4:$E$1203,$B151,客户自备加工筐明细!$C$4:$C$1203,基础资料!$B$10,客户自备加工筐明细!$B$4:$B$1203,"&gt;="&amp;$T$1,客户自备加工筐明细!$B$4:$B$1203,"&lt;="&amp;$T$2))</f>
        <v/>
      </c>
      <c r="G151" s="67" t="str">
        <f>IF(OR($B151="",基础资料!$B$9=""),"",-SUMIFS(对接源_01水果筐数!$E$5:$E$304,对接源_01水果筐数!$B$5:$B$304,$B151,对接源_01水果筐数!$C$5:$C$304,基础资料!$B$9))</f>
        <v/>
      </c>
      <c r="H151" s="67" t="str">
        <f>IF(OR($B151="",基础资料!$B$10=""),"",-SUMIFS(对接源_01水果筐数!$E$5:$E$304,对接源_01水果筐数!$B$5:$B$304,$B151,对接源_01水果筐数!$C$5:$C$304,基础资料!$B$10))</f>
        <v/>
      </c>
      <c r="I151" s="67" t="str">
        <f>IF(OR($B151="",基础资料!$B$9=""),"",-SUMIFS(对接源_01水果筐数!$F$5:$F$304,对接源_01水果筐数!$B$5:$B$304,$B151,对接源_01水果筐数!$C$5:$C$304,基础资料!$B$9))</f>
        <v/>
      </c>
      <c r="J151" s="67" t="str">
        <f>IF(OR($B151="",基础资料!$B$10=""),"",-SUMIFS(对接源_01水果筐数!$F$5:$F$304,对接源_01水果筐数!$B$5:$B$304,$B151,对接源_01水果筐数!$C$5:$C$304,基础资料!$B$10))</f>
        <v/>
      </c>
      <c r="K151" s="67" t="str">
        <f>IF(OR($B151="",基础资料!$B$9=""),"",-SUMIFS(客户自备加工筐明细!$G$4:$G$1203,客户自备加工筐明细!$E$4:$E$1203,$B151,客户自备加工筐明细!$C$4:$C$1203,基础资料!$B$9,客户自备加工筐明细!$B$4:$B$1203,"&gt;="&amp;$T$1,客户自备加工筐明细!$B$4:$B$1203,"&lt;="&amp;$T$2))</f>
        <v/>
      </c>
      <c r="L151" s="67" t="str">
        <f>IF(OR($B151="",基础资料!$B$10=""),"",-SUMIFS(客户自备加工筐明细!$G$4:$G$1203,客户自备加工筐明细!$E$4:$E$1203,$B151,客户自备加工筐明细!$C$4:$C$1203,基础资料!$B$10,客户自备加工筐明细!$B$4:$B$1203,"&gt;="&amp;$T$1,客户自备加工筐明细!$B$4:$B$1203,"&lt;="&amp;$T$2))</f>
        <v/>
      </c>
      <c r="M151" s="25" t="str">
        <f t="shared" si="11"/>
        <v/>
      </c>
      <c r="N151" s="25" t="str">
        <f t="shared" si="12"/>
        <v/>
      </c>
      <c r="O151" s="25" t="str">
        <f t="shared" si="13"/>
        <v/>
      </c>
      <c r="P151" s="37" t="str">
        <f t="shared" si="14"/>
        <v/>
      </c>
      <c r="Q151" s="27"/>
    </row>
    <row r="152" spans="1:17">
      <c r="A152" s="22" t="str">
        <f t="shared" si="10"/>
        <v/>
      </c>
      <c r="B152" s="37" t="str">
        <f>IFERROR(INDEX(_自动清单!$AM$4:$AM$203,ROW()-3),"")</f>
        <v/>
      </c>
      <c r="C152" s="25" t="str">
        <f>IF(OR($B152="",基础资料!$B$9=""),"",SUMIFS(对接源_01水果筐数!$D$5:$D$304,对接源_01水果筐数!$B$5:$B$304,$B152,对接源_01水果筐数!$C$5:$C$304,基础资料!$B$9))</f>
        <v/>
      </c>
      <c r="D152" s="25" t="str">
        <f>IF(OR($B152="",基础资料!$B$10=""),"",SUMIFS(对接源_01水果筐数!$D$5:$D$304,对接源_01水果筐数!$B$5:$B$304,$B152,对接源_01水果筐数!$C$5:$C$304,基础资料!$B$10))</f>
        <v/>
      </c>
      <c r="E152" s="25" t="str">
        <f>IF(OR($B152="",基础资料!$B$9=""),"",SUMIFS(客户自备加工筐明细!$F$4:$F$1203,客户自备加工筐明细!$E$4:$E$1203,$B152,客户自备加工筐明细!$C$4:$C$1203,基础资料!$B$9,客户自备加工筐明细!$B$4:$B$1203,"&gt;="&amp;$T$1,客户自备加工筐明细!$B$4:$B$1203,"&lt;="&amp;$T$2))</f>
        <v/>
      </c>
      <c r="F152" s="25" t="str">
        <f>IF(OR($B152="",基础资料!$B$10=""),"",SUMIFS(客户自备加工筐明细!$F$4:$F$1203,客户自备加工筐明细!$E$4:$E$1203,$B152,客户自备加工筐明细!$C$4:$C$1203,基础资料!$B$10,客户自备加工筐明细!$B$4:$B$1203,"&gt;="&amp;$T$1,客户自备加工筐明细!$B$4:$B$1203,"&lt;="&amp;$T$2))</f>
        <v/>
      </c>
      <c r="G152" s="67" t="str">
        <f>IF(OR($B152="",基础资料!$B$9=""),"",-SUMIFS(对接源_01水果筐数!$E$5:$E$304,对接源_01水果筐数!$B$5:$B$304,$B152,对接源_01水果筐数!$C$5:$C$304,基础资料!$B$9))</f>
        <v/>
      </c>
      <c r="H152" s="67" t="str">
        <f>IF(OR($B152="",基础资料!$B$10=""),"",-SUMIFS(对接源_01水果筐数!$E$5:$E$304,对接源_01水果筐数!$B$5:$B$304,$B152,对接源_01水果筐数!$C$5:$C$304,基础资料!$B$10))</f>
        <v/>
      </c>
      <c r="I152" s="67" t="str">
        <f>IF(OR($B152="",基础资料!$B$9=""),"",-SUMIFS(对接源_01水果筐数!$F$5:$F$304,对接源_01水果筐数!$B$5:$B$304,$B152,对接源_01水果筐数!$C$5:$C$304,基础资料!$B$9))</f>
        <v/>
      </c>
      <c r="J152" s="67" t="str">
        <f>IF(OR($B152="",基础资料!$B$10=""),"",-SUMIFS(对接源_01水果筐数!$F$5:$F$304,对接源_01水果筐数!$B$5:$B$304,$B152,对接源_01水果筐数!$C$5:$C$304,基础资料!$B$10))</f>
        <v/>
      </c>
      <c r="K152" s="67" t="str">
        <f>IF(OR($B152="",基础资料!$B$9=""),"",-SUMIFS(客户自备加工筐明细!$G$4:$G$1203,客户自备加工筐明细!$E$4:$E$1203,$B152,客户自备加工筐明细!$C$4:$C$1203,基础资料!$B$9,客户自备加工筐明细!$B$4:$B$1203,"&gt;="&amp;$T$1,客户自备加工筐明细!$B$4:$B$1203,"&lt;="&amp;$T$2))</f>
        <v/>
      </c>
      <c r="L152" s="67" t="str">
        <f>IF(OR($B152="",基础资料!$B$10=""),"",-SUMIFS(客户自备加工筐明细!$G$4:$G$1203,客户自备加工筐明细!$E$4:$E$1203,$B152,客户自备加工筐明细!$C$4:$C$1203,基础资料!$B$10,客户自备加工筐明细!$B$4:$B$1203,"&gt;="&amp;$T$1,客户自备加工筐明细!$B$4:$B$1203,"&lt;="&amp;$T$2))</f>
        <v/>
      </c>
      <c r="M152" s="25" t="str">
        <f t="shared" si="11"/>
        <v/>
      </c>
      <c r="N152" s="25" t="str">
        <f t="shared" si="12"/>
        <v/>
      </c>
      <c r="O152" s="25" t="str">
        <f t="shared" si="13"/>
        <v/>
      </c>
      <c r="P152" s="37" t="str">
        <f t="shared" si="14"/>
        <v/>
      </c>
      <c r="Q152" s="27"/>
    </row>
    <row r="153" spans="1:17">
      <c r="A153" s="22" t="str">
        <f t="shared" si="10"/>
        <v/>
      </c>
      <c r="B153" s="37" t="str">
        <f>IFERROR(INDEX(_自动清单!$AM$4:$AM$203,ROW()-3),"")</f>
        <v/>
      </c>
      <c r="C153" s="25" t="str">
        <f>IF(OR($B153="",基础资料!$B$9=""),"",SUMIFS(对接源_01水果筐数!$D$5:$D$304,对接源_01水果筐数!$B$5:$B$304,$B153,对接源_01水果筐数!$C$5:$C$304,基础资料!$B$9))</f>
        <v/>
      </c>
      <c r="D153" s="25" t="str">
        <f>IF(OR($B153="",基础资料!$B$10=""),"",SUMIFS(对接源_01水果筐数!$D$5:$D$304,对接源_01水果筐数!$B$5:$B$304,$B153,对接源_01水果筐数!$C$5:$C$304,基础资料!$B$10))</f>
        <v/>
      </c>
      <c r="E153" s="25" t="str">
        <f>IF(OR($B153="",基础资料!$B$9=""),"",SUMIFS(客户自备加工筐明细!$F$4:$F$1203,客户自备加工筐明细!$E$4:$E$1203,$B153,客户自备加工筐明细!$C$4:$C$1203,基础资料!$B$9,客户自备加工筐明细!$B$4:$B$1203,"&gt;="&amp;$T$1,客户自备加工筐明细!$B$4:$B$1203,"&lt;="&amp;$T$2))</f>
        <v/>
      </c>
      <c r="F153" s="25" t="str">
        <f>IF(OR($B153="",基础资料!$B$10=""),"",SUMIFS(客户自备加工筐明细!$F$4:$F$1203,客户自备加工筐明细!$E$4:$E$1203,$B153,客户自备加工筐明细!$C$4:$C$1203,基础资料!$B$10,客户自备加工筐明细!$B$4:$B$1203,"&gt;="&amp;$T$1,客户自备加工筐明细!$B$4:$B$1203,"&lt;="&amp;$T$2))</f>
        <v/>
      </c>
      <c r="G153" s="67" t="str">
        <f>IF(OR($B153="",基础资料!$B$9=""),"",-SUMIFS(对接源_01水果筐数!$E$5:$E$304,对接源_01水果筐数!$B$5:$B$304,$B153,对接源_01水果筐数!$C$5:$C$304,基础资料!$B$9))</f>
        <v/>
      </c>
      <c r="H153" s="67" t="str">
        <f>IF(OR($B153="",基础资料!$B$10=""),"",-SUMIFS(对接源_01水果筐数!$E$5:$E$304,对接源_01水果筐数!$B$5:$B$304,$B153,对接源_01水果筐数!$C$5:$C$304,基础资料!$B$10))</f>
        <v/>
      </c>
      <c r="I153" s="67" t="str">
        <f>IF(OR($B153="",基础资料!$B$9=""),"",-SUMIFS(对接源_01水果筐数!$F$5:$F$304,对接源_01水果筐数!$B$5:$B$304,$B153,对接源_01水果筐数!$C$5:$C$304,基础资料!$B$9))</f>
        <v/>
      </c>
      <c r="J153" s="67" t="str">
        <f>IF(OR($B153="",基础资料!$B$10=""),"",-SUMIFS(对接源_01水果筐数!$F$5:$F$304,对接源_01水果筐数!$B$5:$B$304,$B153,对接源_01水果筐数!$C$5:$C$304,基础资料!$B$10))</f>
        <v/>
      </c>
      <c r="K153" s="67" t="str">
        <f>IF(OR($B153="",基础资料!$B$9=""),"",-SUMIFS(客户自备加工筐明细!$G$4:$G$1203,客户自备加工筐明细!$E$4:$E$1203,$B153,客户自备加工筐明细!$C$4:$C$1203,基础资料!$B$9,客户自备加工筐明细!$B$4:$B$1203,"&gt;="&amp;$T$1,客户自备加工筐明细!$B$4:$B$1203,"&lt;="&amp;$T$2))</f>
        <v/>
      </c>
      <c r="L153" s="67" t="str">
        <f>IF(OR($B153="",基础资料!$B$10=""),"",-SUMIFS(客户自备加工筐明细!$G$4:$G$1203,客户自备加工筐明细!$E$4:$E$1203,$B153,客户自备加工筐明细!$C$4:$C$1203,基础资料!$B$10,客户自备加工筐明细!$B$4:$B$1203,"&gt;="&amp;$T$1,客户自备加工筐明细!$B$4:$B$1203,"&lt;="&amp;$T$2))</f>
        <v/>
      </c>
      <c r="M153" s="25" t="str">
        <f t="shared" si="11"/>
        <v/>
      </c>
      <c r="N153" s="25" t="str">
        <f t="shared" si="12"/>
        <v/>
      </c>
      <c r="O153" s="25" t="str">
        <f t="shared" si="13"/>
        <v/>
      </c>
      <c r="P153" s="37" t="str">
        <f t="shared" si="14"/>
        <v/>
      </c>
      <c r="Q153" s="27"/>
    </row>
    <row r="154" spans="1:17">
      <c r="A154" s="22" t="str">
        <f t="shared" si="10"/>
        <v/>
      </c>
      <c r="B154" s="37" t="str">
        <f>IFERROR(INDEX(_自动清单!$AM$4:$AM$203,ROW()-3),"")</f>
        <v/>
      </c>
      <c r="C154" s="25" t="str">
        <f>IF(OR($B154="",基础资料!$B$9=""),"",SUMIFS(对接源_01水果筐数!$D$5:$D$304,对接源_01水果筐数!$B$5:$B$304,$B154,对接源_01水果筐数!$C$5:$C$304,基础资料!$B$9))</f>
        <v/>
      </c>
      <c r="D154" s="25" t="str">
        <f>IF(OR($B154="",基础资料!$B$10=""),"",SUMIFS(对接源_01水果筐数!$D$5:$D$304,对接源_01水果筐数!$B$5:$B$304,$B154,对接源_01水果筐数!$C$5:$C$304,基础资料!$B$10))</f>
        <v/>
      </c>
      <c r="E154" s="25" t="str">
        <f>IF(OR($B154="",基础资料!$B$9=""),"",SUMIFS(客户自备加工筐明细!$F$4:$F$1203,客户自备加工筐明细!$E$4:$E$1203,$B154,客户自备加工筐明细!$C$4:$C$1203,基础资料!$B$9,客户自备加工筐明细!$B$4:$B$1203,"&gt;="&amp;$T$1,客户自备加工筐明细!$B$4:$B$1203,"&lt;="&amp;$T$2))</f>
        <v/>
      </c>
      <c r="F154" s="25" t="str">
        <f>IF(OR($B154="",基础资料!$B$10=""),"",SUMIFS(客户自备加工筐明细!$F$4:$F$1203,客户自备加工筐明细!$E$4:$E$1203,$B154,客户自备加工筐明细!$C$4:$C$1203,基础资料!$B$10,客户自备加工筐明细!$B$4:$B$1203,"&gt;="&amp;$T$1,客户自备加工筐明细!$B$4:$B$1203,"&lt;="&amp;$T$2))</f>
        <v/>
      </c>
      <c r="G154" s="67" t="str">
        <f>IF(OR($B154="",基础资料!$B$9=""),"",-SUMIFS(对接源_01水果筐数!$E$5:$E$304,对接源_01水果筐数!$B$5:$B$304,$B154,对接源_01水果筐数!$C$5:$C$304,基础资料!$B$9))</f>
        <v/>
      </c>
      <c r="H154" s="67" t="str">
        <f>IF(OR($B154="",基础资料!$B$10=""),"",-SUMIFS(对接源_01水果筐数!$E$5:$E$304,对接源_01水果筐数!$B$5:$B$304,$B154,对接源_01水果筐数!$C$5:$C$304,基础资料!$B$10))</f>
        <v/>
      </c>
      <c r="I154" s="67" t="str">
        <f>IF(OR($B154="",基础资料!$B$9=""),"",-SUMIFS(对接源_01水果筐数!$F$5:$F$304,对接源_01水果筐数!$B$5:$B$304,$B154,对接源_01水果筐数!$C$5:$C$304,基础资料!$B$9))</f>
        <v/>
      </c>
      <c r="J154" s="67" t="str">
        <f>IF(OR($B154="",基础资料!$B$10=""),"",-SUMIFS(对接源_01水果筐数!$F$5:$F$304,对接源_01水果筐数!$B$5:$B$304,$B154,对接源_01水果筐数!$C$5:$C$304,基础资料!$B$10))</f>
        <v/>
      </c>
      <c r="K154" s="67" t="str">
        <f>IF(OR($B154="",基础资料!$B$9=""),"",-SUMIFS(客户自备加工筐明细!$G$4:$G$1203,客户自备加工筐明细!$E$4:$E$1203,$B154,客户自备加工筐明细!$C$4:$C$1203,基础资料!$B$9,客户自备加工筐明细!$B$4:$B$1203,"&gt;="&amp;$T$1,客户自备加工筐明细!$B$4:$B$1203,"&lt;="&amp;$T$2))</f>
        <v/>
      </c>
      <c r="L154" s="67" t="str">
        <f>IF(OR($B154="",基础资料!$B$10=""),"",-SUMIFS(客户自备加工筐明细!$G$4:$G$1203,客户自备加工筐明细!$E$4:$E$1203,$B154,客户自备加工筐明细!$C$4:$C$1203,基础资料!$B$10,客户自备加工筐明细!$B$4:$B$1203,"&gt;="&amp;$T$1,客户自备加工筐明细!$B$4:$B$1203,"&lt;="&amp;$T$2))</f>
        <v/>
      </c>
      <c r="M154" s="25" t="str">
        <f t="shared" si="11"/>
        <v/>
      </c>
      <c r="N154" s="25" t="str">
        <f t="shared" si="12"/>
        <v/>
      </c>
      <c r="O154" s="25" t="str">
        <f t="shared" si="13"/>
        <v/>
      </c>
      <c r="P154" s="37" t="str">
        <f t="shared" si="14"/>
        <v/>
      </c>
      <c r="Q154" s="27"/>
    </row>
    <row r="155" spans="1:17">
      <c r="A155" s="22" t="str">
        <f t="shared" si="10"/>
        <v/>
      </c>
      <c r="B155" s="37" t="str">
        <f>IFERROR(INDEX(_自动清单!$AM$4:$AM$203,ROW()-3),"")</f>
        <v/>
      </c>
      <c r="C155" s="25" t="str">
        <f>IF(OR($B155="",基础资料!$B$9=""),"",SUMIFS(对接源_01水果筐数!$D$5:$D$304,对接源_01水果筐数!$B$5:$B$304,$B155,对接源_01水果筐数!$C$5:$C$304,基础资料!$B$9))</f>
        <v/>
      </c>
      <c r="D155" s="25" t="str">
        <f>IF(OR($B155="",基础资料!$B$10=""),"",SUMIFS(对接源_01水果筐数!$D$5:$D$304,对接源_01水果筐数!$B$5:$B$304,$B155,对接源_01水果筐数!$C$5:$C$304,基础资料!$B$10))</f>
        <v/>
      </c>
      <c r="E155" s="25" t="str">
        <f>IF(OR($B155="",基础资料!$B$9=""),"",SUMIFS(客户自备加工筐明细!$F$4:$F$1203,客户自备加工筐明细!$E$4:$E$1203,$B155,客户自备加工筐明细!$C$4:$C$1203,基础资料!$B$9,客户自备加工筐明细!$B$4:$B$1203,"&gt;="&amp;$T$1,客户自备加工筐明细!$B$4:$B$1203,"&lt;="&amp;$T$2))</f>
        <v/>
      </c>
      <c r="F155" s="25" t="str">
        <f>IF(OR($B155="",基础资料!$B$10=""),"",SUMIFS(客户自备加工筐明细!$F$4:$F$1203,客户自备加工筐明细!$E$4:$E$1203,$B155,客户自备加工筐明细!$C$4:$C$1203,基础资料!$B$10,客户自备加工筐明细!$B$4:$B$1203,"&gt;="&amp;$T$1,客户自备加工筐明细!$B$4:$B$1203,"&lt;="&amp;$T$2))</f>
        <v/>
      </c>
      <c r="G155" s="67" t="str">
        <f>IF(OR($B155="",基础资料!$B$9=""),"",-SUMIFS(对接源_01水果筐数!$E$5:$E$304,对接源_01水果筐数!$B$5:$B$304,$B155,对接源_01水果筐数!$C$5:$C$304,基础资料!$B$9))</f>
        <v/>
      </c>
      <c r="H155" s="67" t="str">
        <f>IF(OR($B155="",基础资料!$B$10=""),"",-SUMIFS(对接源_01水果筐数!$E$5:$E$304,对接源_01水果筐数!$B$5:$B$304,$B155,对接源_01水果筐数!$C$5:$C$304,基础资料!$B$10))</f>
        <v/>
      </c>
      <c r="I155" s="67" t="str">
        <f>IF(OR($B155="",基础资料!$B$9=""),"",-SUMIFS(对接源_01水果筐数!$F$5:$F$304,对接源_01水果筐数!$B$5:$B$304,$B155,对接源_01水果筐数!$C$5:$C$304,基础资料!$B$9))</f>
        <v/>
      </c>
      <c r="J155" s="67" t="str">
        <f>IF(OR($B155="",基础资料!$B$10=""),"",-SUMIFS(对接源_01水果筐数!$F$5:$F$304,对接源_01水果筐数!$B$5:$B$304,$B155,对接源_01水果筐数!$C$5:$C$304,基础资料!$B$10))</f>
        <v/>
      </c>
      <c r="K155" s="67" t="str">
        <f>IF(OR($B155="",基础资料!$B$9=""),"",-SUMIFS(客户自备加工筐明细!$G$4:$G$1203,客户自备加工筐明细!$E$4:$E$1203,$B155,客户自备加工筐明细!$C$4:$C$1203,基础资料!$B$9,客户自备加工筐明细!$B$4:$B$1203,"&gt;="&amp;$T$1,客户自备加工筐明细!$B$4:$B$1203,"&lt;="&amp;$T$2))</f>
        <v/>
      </c>
      <c r="L155" s="67" t="str">
        <f>IF(OR($B155="",基础资料!$B$10=""),"",-SUMIFS(客户自备加工筐明细!$G$4:$G$1203,客户自备加工筐明细!$E$4:$E$1203,$B155,客户自备加工筐明细!$C$4:$C$1203,基础资料!$B$10,客户自备加工筐明细!$B$4:$B$1203,"&gt;="&amp;$T$1,客户自备加工筐明细!$B$4:$B$1203,"&lt;="&amp;$T$2))</f>
        <v/>
      </c>
      <c r="M155" s="25" t="str">
        <f t="shared" si="11"/>
        <v/>
      </c>
      <c r="N155" s="25" t="str">
        <f t="shared" si="12"/>
        <v/>
      </c>
      <c r="O155" s="25" t="str">
        <f t="shared" si="13"/>
        <v/>
      </c>
      <c r="P155" s="37" t="str">
        <f t="shared" si="14"/>
        <v/>
      </c>
      <c r="Q155" s="27"/>
    </row>
    <row r="156" spans="1:17">
      <c r="A156" s="22" t="str">
        <f t="shared" si="10"/>
        <v/>
      </c>
      <c r="B156" s="37" t="str">
        <f>IFERROR(INDEX(_自动清单!$AM$4:$AM$203,ROW()-3),"")</f>
        <v/>
      </c>
      <c r="C156" s="25" t="str">
        <f>IF(OR($B156="",基础资料!$B$9=""),"",SUMIFS(对接源_01水果筐数!$D$5:$D$304,对接源_01水果筐数!$B$5:$B$304,$B156,对接源_01水果筐数!$C$5:$C$304,基础资料!$B$9))</f>
        <v/>
      </c>
      <c r="D156" s="25" t="str">
        <f>IF(OR($B156="",基础资料!$B$10=""),"",SUMIFS(对接源_01水果筐数!$D$5:$D$304,对接源_01水果筐数!$B$5:$B$304,$B156,对接源_01水果筐数!$C$5:$C$304,基础资料!$B$10))</f>
        <v/>
      </c>
      <c r="E156" s="25" t="str">
        <f>IF(OR($B156="",基础资料!$B$9=""),"",SUMIFS(客户自备加工筐明细!$F$4:$F$1203,客户自备加工筐明细!$E$4:$E$1203,$B156,客户自备加工筐明细!$C$4:$C$1203,基础资料!$B$9,客户自备加工筐明细!$B$4:$B$1203,"&gt;="&amp;$T$1,客户自备加工筐明细!$B$4:$B$1203,"&lt;="&amp;$T$2))</f>
        <v/>
      </c>
      <c r="F156" s="25" t="str">
        <f>IF(OR($B156="",基础资料!$B$10=""),"",SUMIFS(客户自备加工筐明细!$F$4:$F$1203,客户自备加工筐明细!$E$4:$E$1203,$B156,客户自备加工筐明细!$C$4:$C$1203,基础资料!$B$10,客户自备加工筐明细!$B$4:$B$1203,"&gt;="&amp;$T$1,客户自备加工筐明细!$B$4:$B$1203,"&lt;="&amp;$T$2))</f>
        <v/>
      </c>
      <c r="G156" s="67" t="str">
        <f>IF(OR($B156="",基础资料!$B$9=""),"",-SUMIFS(对接源_01水果筐数!$E$5:$E$304,对接源_01水果筐数!$B$5:$B$304,$B156,对接源_01水果筐数!$C$5:$C$304,基础资料!$B$9))</f>
        <v/>
      </c>
      <c r="H156" s="67" t="str">
        <f>IF(OR($B156="",基础资料!$B$10=""),"",-SUMIFS(对接源_01水果筐数!$E$5:$E$304,对接源_01水果筐数!$B$5:$B$304,$B156,对接源_01水果筐数!$C$5:$C$304,基础资料!$B$10))</f>
        <v/>
      </c>
      <c r="I156" s="67" t="str">
        <f>IF(OR($B156="",基础资料!$B$9=""),"",-SUMIFS(对接源_01水果筐数!$F$5:$F$304,对接源_01水果筐数!$B$5:$B$304,$B156,对接源_01水果筐数!$C$5:$C$304,基础资料!$B$9))</f>
        <v/>
      </c>
      <c r="J156" s="67" t="str">
        <f>IF(OR($B156="",基础资料!$B$10=""),"",-SUMIFS(对接源_01水果筐数!$F$5:$F$304,对接源_01水果筐数!$B$5:$B$304,$B156,对接源_01水果筐数!$C$5:$C$304,基础资料!$B$10))</f>
        <v/>
      </c>
      <c r="K156" s="67" t="str">
        <f>IF(OR($B156="",基础资料!$B$9=""),"",-SUMIFS(客户自备加工筐明细!$G$4:$G$1203,客户自备加工筐明细!$E$4:$E$1203,$B156,客户自备加工筐明细!$C$4:$C$1203,基础资料!$B$9,客户自备加工筐明细!$B$4:$B$1203,"&gt;="&amp;$T$1,客户自备加工筐明细!$B$4:$B$1203,"&lt;="&amp;$T$2))</f>
        <v/>
      </c>
      <c r="L156" s="67" t="str">
        <f>IF(OR($B156="",基础资料!$B$10=""),"",-SUMIFS(客户自备加工筐明细!$G$4:$G$1203,客户自备加工筐明细!$E$4:$E$1203,$B156,客户自备加工筐明细!$C$4:$C$1203,基础资料!$B$10,客户自备加工筐明细!$B$4:$B$1203,"&gt;="&amp;$T$1,客户自备加工筐明细!$B$4:$B$1203,"&lt;="&amp;$T$2))</f>
        <v/>
      </c>
      <c r="M156" s="25" t="str">
        <f t="shared" si="11"/>
        <v/>
      </c>
      <c r="N156" s="25" t="str">
        <f t="shared" si="12"/>
        <v/>
      </c>
      <c r="O156" s="25" t="str">
        <f t="shared" si="13"/>
        <v/>
      </c>
      <c r="P156" s="37" t="str">
        <f t="shared" si="14"/>
        <v/>
      </c>
      <c r="Q156" s="27"/>
    </row>
    <row r="157" spans="1:17">
      <c r="A157" s="22" t="str">
        <f t="shared" si="10"/>
        <v/>
      </c>
      <c r="B157" s="37" t="str">
        <f>IFERROR(INDEX(_自动清单!$AM$4:$AM$203,ROW()-3),"")</f>
        <v/>
      </c>
      <c r="C157" s="25" t="str">
        <f>IF(OR($B157="",基础资料!$B$9=""),"",SUMIFS(对接源_01水果筐数!$D$5:$D$304,对接源_01水果筐数!$B$5:$B$304,$B157,对接源_01水果筐数!$C$5:$C$304,基础资料!$B$9))</f>
        <v/>
      </c>
      <c r="D157" s="25" t="str">
        <f>IF(OR($B157="",基础资料!$B$10=""),"",SUMIFS(对接源_01水果筐数!$D$5:$D$304,对接源_01水果筐数!$B$5:$B$304,$B157,对接源_01水果筐数!$C$5:$C$304,基础资料!$B$10))</f>
        <v/>
      </c>
      <c r="E157" s="25" t="str">
        <f>IF(OR($B157="",基础资料!$B$9=""),"",SUMIFS(客户自备加工筐明细!$F$4:$F$1203,客户自备加工筐明细!$E$4:$E$1203,$B157,客户自备加工筐明细!$C$4:$C$1203,基础资料!$B$9,客户自备加工筐明细!$B$4:$B$1203,"&gt;="&amp;$T$1,客户自备加工筐明细!$B$4:$B$1203,"&lt;="&amp;$T$2))</f>
        <v/>
      </c>
      <c r="F157" s="25" t="str">
        <f>IF(OR($B157="",基础资料!$B$10=""),"",SUMIFS(客户自备加工筐明细!$F$4:$F$1203,客户自备加工筐明细!$E$4:$E$1203,$B157,客户自备加工筐明细!$C$4:$C$1203,基础资料!$B$10,客户自备加工筐明细!$B$4:$B$1203,"&gt;="&amp;$T$1,客户自备加工筐明细!$B$4:$B$1203,"&lt;="&amp;$T$2))</f>
        <v/>
      </c>
      <c r="G157" s="67" t="str">
        <f>IF(OR($B157="",基础资料!$B$9=""),"",-SUMIFS(对接源_01水果筐数!$E$5:$E$304,对接源_01水果筐数!$B$5:$B$304,$B157,对接源_01水果筐数!$C$5:$C$304,基础资料!$B$9))</f>
        <v/>
      </c>
      <c r="H157" s="67" t="str">
        <f>IF(OR($B157="",基础资料!$B$10=""),"",-SUMIFS(对接源_01水果筐数!$E$5:$E$304,对接源_01水果筐数!$B$5:$B$304,$B157,对接源_01水果筐数!$C$5:$C$304,基础资料!$B$10))</f>
        <v/>
      </c>
      <c r="I157" s="67" t="str">
        <f>IF(OR($B157="",基础资料!$B$9=""),"",-SUMIFS(对接源_01水果筐数!$F$5:$F$304,对接源_01水果筐数!$B$5:$B$304,$B157,对接源_01水果筐数!$C$5:$C$304,基础资料!$B$9))</f>
        <v/>
      </c>
      <c r="J157" s="67" t="str">
        <f>IF(OR($B157="",基础资料!$B$10=""),"",-SUMIFS(对接源_01水果筐数!$F$5:$F$304,对接源_01水果筐数!$B$5:$B$304,$B157,对接源_01水果筐数!$C$5:$C$304,基础资料!$B$10))</f>
        <v/>
      </c>
      <c r="K157" s="67" t="str">
        <f>IF(OR($B157="",基础资料!$B$9=""),"",-SUMIFS(客户自备加工筐明细!$G$4:$G$1203,客户自备加工筐明细!$E$4:$E$1203,$B157,客户自备加工筐明细!$C$4:$C$1203,基础资料!$B$9,客户自备加工筐明细!$B$4:$B$1203,"&gt;="&amp;$T$1,客户自备加工筐明细!$B$4:$B$1203,"&lt;="&amp;$T$2))</f>
        <v/>
      </c>
      <c r="L157" s="67" t="str">
        <f>IF(OR($B157="",基础资料!$B$10=""),"",-SUMIFS(客户自备加工筐明细!$G$4:$G$1203,客户自备加工筐明细!$E$4:$E$1203,$B157,客户自备加工筐明细!$C$4:$C$1203,基础资料!$B$10,客户自备加工筐明细!$B$4:$B$1203,"&gt;="&amp;$T$1,客户自备加工筐明细!$B$4:$B$1203,"&lt;="&amp;$T$2))</f>
        <v/>
      </c>
      <c r="M157" s="25" t="str">
        <f t="shared" si="11"/>
        <v/>
      </c>
      <c r="N157" s="25" t="str">
        <f t="shared" si="12"/>
        <v/>
      </c>
      <c r="O157" s="25" t="str">
        <f t="shared" si="13"/>
        <v/>
      </c>
      <c r="P157" s="37" t="str">
        <f t="shared" si="14"/>
        <v/>
      </c>
      <c r="Q157" s="27"/>
    </row>
    <row r="158" spans="1:17">
      <c r="A158" s="22" t="str">
        <f t="shared" si="10"/>
        <v/>
      </c>
      <c r="B158" s="37" t="str">
        <f>IFERROR(INDEX(_自动清单!$AM$4:$AM$203,ROW()-3),"")</f>
        <v/>
      </c>
      <c r="C158" s="25" t="str">
        <f>IF(OR($B158="",基础资料!$B$9=""),"",SUMIFS(对接源_01水果筐数!$D$5:$D$304,对接源_01水果筐数!$B$5:$B$304,$B158,对接源_01水果筐数!$C$5:$C$304,基础资料!$B$9))</f>
        <v/>
      </c>
      <c r="D158" s="25" t="str">
        <f>IF(OR($B158="",基础资料!$B$10=""),"",SUMIFS(对接源_01水果筐数!$D$5:$D$304,对接源_01水果筐数!$B$5:$B$304,$B158,对接源_01水果筐数!$C$5:$C$304,基础资料!$B$10))</f>
        <v/>
      </c>
      <c r="E158" s="25" t="str">
        <f>IF(OR($B158="",基础资料!$B$9=""),"",SUMIFS(客户自备加工筐明细!$F$4:$F$1203,客户自备加工筐明细!$E$4:$E$1203,$B158,客户自备加工筐明细!$C$4:$C$1203,基础资料!$B$9,客户自备加工筐明细!$B$4:$B$1203,"&gt;="&amp;$T$1,客户自备加工筐明细!$B$4:$B$1203,"&lt;="&amp;$T$2))</f>
        <v/>
      </c>
      <c r="F158" s="25" t="str">
        <f>IF(OR($B158="",基础资料!$B$10=""),"",SUMIFS(客户自备加工筐明细!$F$4:$F$1203,客户自备加工筐明细!$E$4:$E$1203,$B158,客户自备加工筐明细!$C$4:$C$1203,基础资料!$B$10,客户自备加工筐明细!$B$4:$B$1203,"&gt;="&amp;$T$1,客户自备加工筐明细!$B$4:$B$1203,"&lt;="&amp;$T$2))</f>
        <v/>
      </c>
      <c r="G158" s="67" t="str">
        <f>IF(OR($B158="",基础资料!$B$9=""),"",-SUMIFS(对接源_01水果筐数!$E$5:$E$304,对接源_01水果筐数!$B$5:$B$304,$B158,对接源_01水果筐数!$C$5:$C$304,基础资料!$B$9))</f>
        <v/>
      </c>
      <c r="H158" s="67" t="str">
        <f>IF(OR($B158="",基础资料!$B$10=""),"",-SUMIFS(对接源_01水果筐数!$E$5:$E$304,对接源_01水果筐数!$B$5:$B$304,$B158,对接源_01水果筐数!$C$5:$C$304,基础资料!$B$10))</f>
        <v/>
      </c>
      <c r="I158" s="67" t="str">
        <f>IF(OR($B158="",基础资料!$B$9=""),"",-SUMIFS(对接源_01水果筐数!$F$5:$F$304,对接源_01水果筐数!$B$5:$B$304,$B158,对接源_01水果筐数!$C$5:$C$304,基础资料!$B$9))</f>
        <v/>
      </c>
      <c r="J158" s="67" t="str">
        <f>IF(OR($B158="",基础资料!$B$10=""),"",-SUMIFS(对接源_01水果筐数!$F$5:$F$304,对接源_01水果筐数!$B$5:$B$304,$B158,对接源_01水果筐数!$C$5:$C$304,基础资料!$B$10))</f>
        <v/>
      </c>
      <c r="K158" s="67" t="str">
        <f>IF(OR($B158="",基础资料!$B$9=""),"",-SUMIFS(客户自备加工筐明细!$G$4:$G$1203,客户自备加工筐明细!$E$4:$E$1203,$B158,客户自备加工筐明细!$C$4:$C$1203,基础资料!$B$9,客户自备加工筐明细!$B$4:$B$1203,"&gt;="&amp;$T$1,客户自备加工筐明细!$B$4:$B$1203,"&lt;="&amp;$T$2))</f>
        <v/>
      </c>
      <c r="L158" s="67" t="str">
        <f>IF(OR($B158="",基础资料!$B$10=""),"",-SUMIFS(客户自备加工筐明细!$G$4:$G$1203,客户自备加工筐明细!$E$4:$E$1203,$B158,客户自备加工筐明细!$C$4:$C$1203,基础资料!$B$10,客户自备加工筐明细!$B$4:$B$1203,"&gt;="&amp;$T$1,客户自备加工筐明细!$B$4:$B$1203,"&lt;="&amp;$T$2))</f>
        <v/>
      </c>
      <c r="M158" s="25" t="str">
        <f t="shared" si="11"/>
        <v/>
      </c>
      <c r="N158" s="25" t="str">
        <f t="shared" si="12"/>
        <v/>
      </c>
      <c r="O158" s="25" t="str">
        <f t="shared" si="13"/>
        <v/>
      </c>
      <c r="P158" s="37" t="str">
        <f t="shared" si="14"/>
        <v/>
      </c>
      <c r="Q158" s="27"/>
    </row>
    <row r="159" spans="1:17">
      <c r="A159" s="22" t="str">
        <f t="shared" si="10"/>
        <v/>
      </c>
      <c r="B159" s="37" t="str">
        <f>IFERROR(INDEX(_自动清单!$AM$4:$AM$203,ROW()-3),"")</f>
        <v/>
      </c>
      <c r="C159" s="25" t="str">
        <f>IF(OR($B159="",基础资料!$B$9=""),"",SUMIFS(对接源_01水果筐数!$D$5:$D$304,对接源_01水果筐数!$B$5:$B$304,$B159,对接源_01水果筐数!$C$5:$C$304,基础资料!$B$9))</f>
        <v/>
      </c>
      <c r="D159" s="25" t="str">
        <f>IF(OR($B159="",基础资料!$B$10=""),"",SUMIFS(对接源_01水果筐数!$D$5:$D$304,对接源_01水果筐数!$B$5:$B$304,$B159,对接源_01水果筐数!$C$5:$C$304,基础资料!$B$10))</f>
        <v/>
      </c>
      <c r="E159" s="25" t="str">
        <f>IF(OR($B159="",基础资料!$B$9=""),"",SUMIFS(客户自备加工筐明细!$F$4:$F$1203,客户自备加工筐明细!$E$4:$E$1203,$B159,客户自备加工筐明细!$C$4:$C$1203,基础资料!$B$9,客户自备加工筐明细!$B$4:$B$1203,"&gt;="&amp;$T$1,客户自备加工筐明细!$B$4:$B$1203,"&lt;="&amp;$T$2))</f>
        <v/>
      </c>
      <c r="F159" s="25" t="str">
        <f>IF(OR($B159="",基础资料!$B$10=""),"",SUMIFS(客户自备加工筐明细!$F$4:$F$1203,客户自备加工筐明细!$E$4:$E$1203,$B159,客户自备加工筐明细!$C$4:$C$1203,基础资料!$B$10,客户自备加工筐明细!$B$4:$B$1203,"&gt;="&amp;$T$1,客户自备加工筐明细!$B$4:$B$1203,"&lt;="&amp;$T$2))</f>
        <v/>
      </c>
      <c r="G159" s="67" t="str">
        <f>IF(OR($B159="",基础资料!$B$9=""),"",-SUMIFS(对接源_01水果筐数!$E$5:$E$304,对接源_01水果筐数!$B$5:$B$304,$B159,对接源_01水果筐数!$C$5:$C$304,基础资料!$B$9))</f>
        <v/>
      </c>
      <c r="H159" s="67" t="str">
        <f>IF(OR($B159="",基础资料!$B$10=""),"",-SUMIFS(对接源_01水果筐数!$E$5:$E$304,对接源_01水果筐数!$B$5:$B$304,$B159,对接源_01水果筐数!$C$5:$C$304,基础资料!$B$10))</f>
        <v/>
      </c>
      <c r="I159" s="67" t="str">
        <f>IF(OR($B159="",基础资料!$B$9=""),"",-SUMIFS(对接源_01水果筐数!$F$5:$F$304,对接源_01水果筐数!$B$5:$B$304,$B159,对接源_01水果筐数!$C$5:$C$304,基础资料!$B$9))</f>
        <v/>
      </c>
      <c r="J159" s="67" t="str">
        <f>IF(OR($B159="",基础资料!$B$10=""),"",-SUMIFS(对接源_01水果筐数!$F$5:$F$304,对接源_01水果筐数!$B$5:$B$304,$B159,对接源_01水果筐数!$C$5:$C$304,基础资料!$B$10))</f>
        <v/>
      </c>
      <c r="K159" s="67" t="str">
        <f>IF(OR($B159="",基础资料!$B$9=""),"",-SUMIFS(客户自备加工筐明细!$G$4:$G$1203,客户自备加工筐明细!$E$4:$E$1203,$B159,客户自备加工筐明细!$C$4:$C$1203,基础资料!$B$9,客户自备加工筐明细!$B$4:$B$1203,"&gt;="&amp;$T$1,客户自备加工筐明细!$B$4:$B$1203,"&lt;="&amp;$T$2))</f>
        <v/>
      </c>
      <c r="L159" s="67" t="str">
        <f>IF(OR($B159="",基础资料!$B$10=""),"",-SUMIFS(客户自备加工筐明细!$G$4:$G$1203,客户自备加工筐明细!$E$4:$E$1203,$B159,客户自备加工筐明细!$C$4:$C$1203,基础资料!$B$10,客户自备加工筐明细!$B$4:$B$1203,"&gt;="&amp;$T$1,客户自备加工筐明细!$B$4:$B$1203,"&lt;="&amp;$T$2))</f>
        <v/>
      </c>
      <c r="M159" s="25" t="str">
        <f t="shared" si="11"/>
        <v/>
      </c>
      <c r="N159" s="25" t="str">
        <f t="shared" si="12"/>
        <v/>
      </c>
      <c r="O159" s="25" t="str">
        <f t="shared" si="13"/>
        <v/>
      </c>
      <c r="P159" s="37" t="str">
        <f t="shared" si="14"/>
        <v/>
      </c>
      <c r="Q159" s="27"/>
    </row>
    <row r="160" spans="1:17">
      <c r="A160" s="22" t="str">
        <f t="shared" si="10"/>
        <v/>
      </c>
      <c r="B160" s="37" t="str">
        <f>IFERROR(INDEX(_自动清单!$AM$4:$AM$203,ROW()-3),"")</f>
        <v/>
      </c>
      <c r="C160" s="25" t="str">
        <f>IF(OR($B160="",基础资料!$B$9=""),"",SUMIFS(对接源_01水果筐数!$D$5:$D$304,对接源_01水果筐数!$B$5:$B$304,$B160,对接源_01水果筐数!$C$5:$C$304,基础资料!$B$9))</f>
        <v/>
      </c>
      <c r="D160" s="25" t="str">
        <f>IF(OR($B160="",基础资料!$B$10=""),"",SUMIFS(对接源_01水果筐数!$D$5:$D$304,对接源_01水果筐数!$B$5:$B$304,$B160,对接源_01水果筐数!$C$5:$C$304,基础资料!$B$10))</f>
        <v/>
      </c>
      <c r="E160" s="25" t="str">
        <f>IF(OR($B160="",基础资料!$B$9=""),"",SUMIFS(客户自备加工筐明细!$F$4:$F$1203,客户自备加工筐明细!$E$4:$E$1203,$B160,客户自备加工筐明细!$C$4:$C$1203,基础资料!$B$9,客户自备加工筐明细!$B$4:$B$1203,"&gt;="&amp;$T$1,客户自备加工筐明细!$B$4:$B$1203,"&lt;="&amp;$T$2))</f>
        <v/>
      </c>
      <c r="F160" s="25" t="str">
        <f>IF(OR($B160="",基础资料!$B$10=""),"",SUMIFS(客户自备加工筐明细!$F$4:$F$1203,客户自备加工筐明细!$E$4:$E$1203,$B160,客户自备加工筐明细!$C$4:$C$1203,基础资料!$B$10,客户自备加工筐明细!$B$4:$B$1203,"&gt;="&amp;$T$1,客户自备加工筐明细!$B$4:$B$1203,"&lt;="&amp;$T$2))</f>
        <v/>
      </c>
      <c r="G160" s="67" t="str">
        <f>IF(OR($B160="",基础资料!$B$9=""),"",-SUMIFS(对接源_01水果筐数!$E$5:$E$304,对接源_01水果筐数!$B$5:$B$304,$B160,对接源_01水果筐数!$C$5:$C$304,基础资料!$B$9))</f>
        <v/>
      </c>
      <c r="H160" s="67" t="str">
        <f>IF(OR($B160="",基础资料!$B$10=""),"",-SUMIFS(对接源_01水果筐数!$E$5:$E$304,对接源_01水果筐数!$B$5:$B$304,$B160,对接源_01水果筐数!$C$5:$C$304,基础资料!$B$10))</f>
        <v/>
      </c>
      <c r="I160" s="67" t="str">
        <f>IF(OR($B160="",基础资料!$B$9=""),"",-SUMIFS(对接源_01水果筐数!$F$5:$F$304,对接源_01水果筐数!$B$5:$B$304,$B160,对接源_01水果筐数!$C$5:$C$304,基础资料!$B$9))</f>
        <v/>
      </c>
      <c r="J160" s="67" t="str">
        <f>IF(OR($B160="",基础资料!$B$10=""),"",-SUMIFS(对接源_01水果筐数!$F$5:$F$304,对接源_01水果筐数!$B$5:$B$304,$B160,对接源_01水果筐数!$C$5:$C$304,基础资料!$B$10))</f>
        <v/>
      </c>
      <c r="K160" s="67" t="str">
        <f>IF(OR($B160="",基础资料!$B$9=""),"",-SUMIFS(客户自备加工筐明细!$G$4:$G$1203,客户自备加工筐明细!$E$4:$E$1203,$B160,客户自备加工筐明细!$C$4:$C$1203,基础资料!$B$9,客户自备加工筐明细!$B$4:$B$1203,"&gt;="&amp;$T$1,客户自备加工筐明细!$B$4:$B$1203,"&lt;="&amp;$T$2))</f>
        <v/>
      </c>
      <c r="L160" s="67" t="str">
        <f>IF(OR($B160="",基础资料!$B$10=""),"",-SUMIFS(客户自备加工筐明细!$G$4:$G$1203,客户自备加工筐明细!$E$4:$E$1203,$B160,客户自备加工筐明细!$C$4:$C$1203,基础资料!$B$10,客户自备加工筐明细!$B$4:$B$1203,"&gt;="&amp;$T$1,客户自备加工筐明细!$B$4:$B$1203,"&lt;="&amp;$T$2))</f>
        <v/>
      </c>
      <c r="M160" s="25" t="str">
        <f t="shared" si="11"/>
        <v/>
      </c>
      <c r="N160" s="25" t="str">
        <f t="shared" si="12"/>
        <v/>
      </c>
      <c r="O160" s="25" t="str">
        <f t="shared" si="13"/>
        <v/>
      </c>
      <c r="P160" s="37" t="str">
        <f t="shared" si="14"/>
        <v/>
      </c>
      <c r="Q160" s="27"/>
    </row>
    <row r="161" spans="1:17">
      <c r="A161" s="22" t="str">
        <f t="shared" si="10"/>
        <v/>
      </c>
      <c r="B161" s="37" t="str">
        <f>IFERROR(INDEX(_自动清单!$AM$4:$AM$203,ROW()-3),"")</f>
        <v/>
      </c>
      <c r="C161" s="25" t="str">
        <f>IF(OR($B161="",基础资料!$B$9=""),"",SUMIFS(对接源_01水果筐数!$D$5:$D$304,对接源_01水果筐数!$B$5:$B$304,$B161,对接源_01水果筐数!$C$5:$C$304,基础资料!$B$9))</f>
        <v/>
      </c>
      <c r="D161" s="25" t="str">
        <f>IF(OR($B161="",基础资料!$B$10=""),"",SUMIFS(对接源_01水果筐数!$D$5:$D$304,对接源_01水果筐数!$B$5:$B$304,$B161,对接源_01水果筐数!$C$5:$C$304,基础资料!$B$10))</f>
        <v/>
      </c>
      <c r="E161" s="25" t="str">
        <f>IF(OR($B161="",基础资料!$B$9=""),"",SUMIFS(客户自备加工筐明细!$F$4:$F$1203,客户自备加工筐明细!$E$4:$E$1203,$B161,客户自备加工筐明细!$C$4:$C$1203,基础资料!$B$9,客户自备加工筐明细!$B$4:$B$1203,"&gt;="&amp;$T$1,客户自备加工筐明细!$B$4:$B$1203,"&lt;="&amp;$T$2))</f>
        <v/>
      </c>
      <c r="F161" s="25" t="str">
        <f>IF(OR($B161="",基础资料!$B$10=""),"",SUMIFS(客户自备加工筐明细!$F$4:$F$1203,客户自备加工筐明细!$E$4:$E$1203,$B161,客户自备加工筐明细!$C$4:$C$1203,基础资料!$B$10,客户自备加工筐明细!$B$4:$B$1203,"&gt;="&amp;$T$1,客户自备加工筐明细!$B$4:$B$1203,"&lt;="&amp;$T$2))</f>
        <v/>
      </c>
      <c r="G161" s="67" t="str">
        <f>IF(OR($B161="",基础资料!$B$9=""),"",-SUMIFS(对接源_01水果筐数!$E$5:$E$304,对接源_01水果筐数!$B$5:$B$304,$B161,对接源_01水果筐数!$C$5:$C$304,基础资料!$B$9))</f>
        <v/>
      </c>
      <c r="H161" s="67" t="str">
        <f>IF(OR($B161="",基础资料!$B$10=""),"",-SUMIFS(对接源_01水果筐数!$E$5:$E$304,对接源_01水果筐数!$B$5:$B$304,$B161,对接源_01水果筐数!$C$5:$C$304,基础资料!$B$10))</f>
        <v/>
      </c>
      <c r="I161" s="67" t="str">
        <f>IF(OR($B161="",基础资料!$B$9=""),"",-SUMIFS(对接源_01水果筐数!$F$5:$F$304,对接源_01水果筐数!$B$5:$B$304,$B161,对接源_01水果筐数!$C$5:$C$304,基础资料!$B$9))</f>
        <v/>
      </c>
      <c r="J161" s="67" t="str">
        <f>IF(OR($B161="",基础资料!$B$10=""),"",-SUMIFS(对接源_01水果筐数!$F$5:$F$304,对接源_01水果筐数!$B$5:$B$304,$B161,对接源_01水果筐数!$C$5:$C$304,基础资料!$B$10))</f>
        <v/>
      </c>
      <c r="K161" s="67" t="str">
        <f>IF(OR($B161="",基础资料!$B$9=""),"",-SUMIFS(客户自备加工筐明细!$G$4:$G$1203,客户自备加工筐明细!$E$4:$E$1203,$B161,客户自备加工筐明细!$C$4:$C$1203,基础资料!$B$9,客户自备加工筐明细!$B$4:$B$1203,"&gt;="&amp;$T$1,客户自备加工筐明细!$B$4:$B$1203,"&lt;="&amp;$T$2))</f>
        <v/>
      </c>
      <c r="L161" s="67" t="str">
        <f>IF(OR($B161="",基础资料!$B$10=""),"",-SUMIFS(客户自备加工筐明细!$G$4:$G$1203,客户自备加工筐明细!$E$4:$E$1203,$B161,客户自备加工筐明细!$C$4:$C$1203,基础资料!$B$10,客户自备加工筐明细!$B$4:$B$1203,"&gt;="&amp;$T$1,客户自备加工筐明细!$B$4:$B$1203,"&lt;="&amp;$T$2))</f>
        <v/>
      </c>
      <c r="M161" s="25" t="str">
        <f t="shared" si="11"/>
        <v/>
      </c>
      <c r="N161" s="25" t="str">
        <f t="shared" si="12"/>
        <v/>
      </c>
      <c r="O161" s="25" t="str">
        <f t="shared" si="13"/>
        <v/>
      </c>
      <c r="P161" s="37" t="str">
        <f t="shared" si="14"/>
        <v/>
      </c>
      <c r="Q161" s="27"/>
    </row>
    <row r="162" spans="1:17">
      <c r="A162" s="22" t="str">
        <f t="shared" si="10"/>
        <v/>
      </c>
      <c r="B162" s="37" t="str">
        <f>IFERROR(INDEX(_自动清单!$AM$4:$AM$203,ROW()-3),"")</f>
        <v/>
      </c>
      <c r="C162" s="25" t="str">
        <f>IF(OR($B162="",基础资料!$B$9=""),"",SUMIFS(对接源_01水果筐数!$D$5:$D$304,对接源_01水果筐数!$B$5:$B$304,$B162,对接源_01水果筐数!$C$5:$C$304,基础资料!$B$9))</f>
        <v/>
      </c>
      <c r="D162" s="25" t="str">
        <f>IF(OR($B162="",基础资料!$B$10=""),"",SUMIFS(对接源_01水果筐数!$D$5:$D$304,对接源_01水果筐数!$B$5:$B$304,$B162,对接源_01水果筐数!$C$5:$C$304,基础资料!$B$10))</f>
        <v/>
      </c>
      <c r="E162" s="25" t="str">
        <f>IF(OR($B162="",基础资料!$B$9=""),"",SUMIFS(客户自备加工筐明细!$F$4:$F$1203,客户自备加工筐明细!$E$4:$E$1203,$B162,客户自备加工筐明细!$C$4:$C$1203,基础资料!$B$9,客户自备加工筐明细!$B$4:$B$1203,"&gt;="&amp;$T$1,客户自备加工筐明细!$B$4:$B$1203,"&lt;="&amp;$T$2))</f>
        <v/>
      </c>
      <c r="F162" s="25" t="str">
        <f>IF(OR($B162="",基础资料!$B$10=""),"",SUMIFS(客户自备加工筐明细!$F$4:$F$1203,客户自备加工筐明细!$E$4:$E$1203,$B162,客户自备加工筐明细!$C$4:$C$1203,基础资料!$B$10,客户自备加工筐明细!$B$4:$B$1203,"&gt;="&amp;$T$1,客户自备加工筐明细!$B$4:$B$1203,"&lt;="&amp;$T$2))</f>
        <v/>
      </c>
      <c r="G162" s="67" t="str">
        <f>IF(OR($B162="",基础资料!$B$9=""),"",-SUMIFS(对接源_01水果筐数!$E$5:$E$304,对接源_01水果筐数!$B$5:$B$304,$B162,对接源_01水果筐数!$C$5:$C$304,基础资料!$B$9))</f>
        <v/>
      </c>
      <c r="H162" s="67" t="str">
        <f>IF(OR($B162="",基础资料!$B$10=""),"",-SUMIFS(对接源_01水果筐数!$E$5:$E$304,对接源_01水果筐数!$B$5:$B$304,$B162,对接源_01水果筐数!$C$5:$C$304,基础资料!$B$10))</f>
        <v/>
      </c>
      <c r="I162" s="67" t="str">
        <f>IF(OR($B162="",基础资料!$B$9=""),"",-SUMIFS(对接源_01水果筐数!$F$5:$F$304,对接源_01水果筐数!$B$5:$B$304,$B162,对接源_01水果筐数!$C$5:$C$304,基础资料!$B$9))</f>
        <v/>
      </c>
      <c r="J162" s="67" t="str">
        <f>IF(OR($B162="",基础资料!$B$10=""),"",-SUMIFS(对接源_01水果筐数!$F$5:$F$304,对接源_01水果筐数!$B$5:$B$304,$B162,对接源_01水果筐数!$C$5:$C$304,基础资料!$B$10))</f>
        <v/>
      </c>
      <c r="K162" s="67" t="str">
        <f>IF(OR($B162="",基础资料!$B$9=""),"",-SUMIFS(客户自备加工筐明细!$G$4:$G$1203,客户自备加工筐明细!$E$4:$E$1203,$B162,客户自备加工筐明细!$C$4:$C$1203,基础资料!$B$9,客户自备加工筐明细!$B$4:$B$1203,"&gt;="&amp;$T$1,客户自备加工筐明细!$B$4:$B$1203,"&lt;="&amp;$T$2))</f>
        <v/>
      </c>
      <c r="L162" s="67" t="str">
        <f>IF(OR($B162="",基础资料!$B$10=""),"",-SUMIFS(客户自备加工筐明细!$G$4:$G$1203,客户自备加工筐明细!$E$4:$E$1203,$B162,客户自备加工筐明细!$C$4:$C$1203,基础资料!$B$10,客户自备加工筐明细!$B$4:$B$1203,"&gt;="&amp;$T$1,客户自备加工筐明细!$B$4:$B$1203,"&lt;="&amp;$T$2))</f>
        <v/>
      </c>
      <c r="M162" s="25" t="str">
        <f t="shared" si="11"/>
        <v/>
      </c>
      <c r="N162" s="25" t="str">
        <f t="shared" si="12"/>
        <v/>
      </c>
      <c r="O162" s="25" t="str">
        <f t="shared" si="13"/>
        <v/>
      </c>
      <c r="P162" s="37" t="str">
        <f t="shared" si="14"/>
        <v/>
      </c>
      <c r="Q162" s="27"/>
    </row>
    <row r="163" spans="1:17">
      <c r="A163" s="22" t="str">
        <f t="shared" si="10"/>
        <v/>
      </c>
      <c r="B163" s="37" t="str">
        <f>IFERROR(INDEX(_自动清单!$AM$4:$AM$203,ROW()-3),"")</f>
        <v/>
      </c>
      <c r="C163" s="25" t="str">
        <f>IF(OR($B163="",基础资料!$B$9=""),"",SUMIFS(对接源_01水果筐数!$D$5:$D$304,对接源_01水果筐数!$B$5:$B$304,$B163,对接源_01水果筐数!$C$5:$C$304,基础资料!$B$9))</f>
        <v/>
      </c>
      <c r="D163" s="25" t="str">
        <f>IF(OR($B163="",基础资料!$B$10=""),"",SUMIFS(对接源_01水果筐数!$D$5:$D$304,对接源_01水果筐数!$B$5:$B$304,$B163,对接源_01水果筐数!$C$5:$C$304,基础资料!$B$10))</f>
        <v/>
      </c>
      <c r="E163" s="25" t="str">
        <f>IF(OR($B163="",基础资料!$B$9=""),"",SUMIFS(客户自备加工筐明细!$F$4:$F$1203,客户自备加工筐明细!$E$4:$E$1203,$B163,客户自备加工筐明细!$C$4:$C$1203,基础资料!$B$9,客户自备加工筐明细!$B$4:$B$1203,"&gt;="&amp;$T$1,客户自备加工筐明细!$B$4:$B$1203,"&lt;="&amp;$T$2))</f>
        <v/>
      </c>
      <c r="F163" s="25" t="str">
        <f>IF(OR($B163="",基础资料!$B$10=""),"",SUMIFS(客户自备加工筐明细!$F$4:$F$1203,客户自备加工筐明细!$E$4:$E$1203,$B163,客户自备加工筐明细!$C$4:$C$1203,基础资料!$B$10,客户自备加工筐明细!$B$4:$B$1203,"&gt;="&amp;$T$1,客户自备加工筐明细!$B$4:$B$1203,"&lt;="&amp;$T$2))</f>
        <v/>
      </c>
      <c r="G163" s="67" t="str">
        <f>IF(OR($B163="",基础资料!$B$9=""),"",-SUMIFS(对接源_01水果筐数!$E$5:$E$304,对接源_01水果筐数!$B$5:$B$304,$B163,对接源_01水果筐数!$C$5:$C$304,基础资料!$B$9))</f>
        <v/>
      </c>
      <c r="H163" s="67" t="str">
        <f>IF(OR($B163="",基础资料!$B$10=""),"",-SUMIFS(对接源_01水果筐数!$E$5:$E$304,对接源_01水果筐数!$B$5:$B$304,$B163,对接源_01水果筐数!$C$5:$C$304,基础资料!$B$10))</f>
        <v/>
      </c>
      <c r="I163" s="67" t="str">
        <f>IF(OR($B163="",基础资料!$B$9=""),"",-SUMIFS(对接源_01水果筐数!$F$5:$F$304,对接源_01水果筐数!$B$5:$B$304,$B163,对接源_01水果筐数!$C$5:$C$304,基础资料!$B$9))</f>
        <v/>
      </c>
      <c r="J163" s="67" t="str">
        <f>IF(OR($B163="",基础资料!$B$10=""),"",-SUMIFS(对接源_01水果筐数!$F$5:$F$304,对接源_01水果筐数!$B$5:$B$304,$B163,对接源_01水果筐数!$C$5:$C$304,基础资料!$B$10))</f>
        <v/>
      </c>
      <c r="K163" s="67" t="str">
        <f>IF(OR($B163="",基础资料!$B$9=""),"",-SUMIFS(客户自备加工筐明细!$G$4:$G$1203,客户自备加工筐明细!$E$4:$E$1203,$B163,客户自备加工筐明细!$C$4:$C$1203,基础资料!$B$9,客户自备加工筐明细!$B$4:$B$1203,"&gt;="&amp;$T$1,客户自备加工筐明细!$B$4:$B$1203,"&lt;="&amp;$T$2))</f>
        <v/>
      </c>
      <c r="L163" s="67" t="str">
        <f>IF(OR($B163="",基础资料!$B$10=""),"",-SUMIFS(客户自备加工筐明细!$G$4:$G$1203,客户自备加工筐明细!$E$4:$E$1203,$B163,客户自备加工筐明细!$C$4:$C$1203,基础资料!$B$10,客户自备加工筐明细!$B$4:$B$1203,"&gt;="&amp;$T$1,客户自备加工筐明细!$B$4:$B$1203,"&lt;="&amp;$T$2))</f>
        <v/>
      </c>
      <c r="M163" s="25" t="str">
        <f t="shared" si="11"/>
        <v/>
      </c>
      <c r="N163" s="25" t="str">
        <f t="shared" si="12"/>
        <v/>
      </c>
      <c r="O163" s="25" t="str">
        <f t="shared" si="13"/>
        <v/>
      </c>
      <c r="P163" s="37" t="str">
        <f t="shared" si="14"/>
        <v/>
      </c>
      <c r="Q163" s="27"/>
    </row>
    <row r="164" spans="1:17">
      <c r="A164" s="22" t="str">
        <f t="shared" si="10"/>
        <v/>
      </c>
      <c r="B164" s="37" t="str">
        <f>IFERROR(INDEX(_自动清单!$AM$4:$AM$203,ROW()-3),"")</f>
        <v/>
      </c>
      <c r="C164" s="25" t="str">
        <f>IF(OR($B164="",基础资料!$B$9=""),"",SUMIFS(对接源_01水果筐数!$D$5:$D$304,对接源_01水果筐数!$B$5:$B$304,$B164,对接源_01水果筐数!$C$5:$C$304,基础资料!$B$9))</f>
        <v/>
      </c>
      <c r="D164" s="25" t="str">
        <f>IF(OR($B164="",基础资料!$B$10=""),"",SUMIFS(对接源_01水果筐数!$D$5:$D$304,对接源_01水果筐数!$B$5:$B$304,$B164,对接源_01水果筐数!$C$5:$C$304,基础资料!$B$10))</f>
        <v/>
      </c>
      <c r="E164" s="25" t="str">
        <f>IF(OR($B164="",基础资料!$B$9=""),"",SUMIFS(客户自备加工筐明细!$F$4:$F$1203,客户自备加工筐明细!$E$4:$E$1203,$B164,客户自备加工筐明细!$C$4:$C$1203,基础资料!$B$9,客户自备加工筐明细!$B$4:$B$1203,"&gt;="&amp;$T$1,客户自备加工筐明细!$B$4:$B$1203,"&lt;="&amp;$T$2))</f>
        <v/>
      </c>
      <c r="F164" s="25" t="str">
        <f>IF(OR($B164="",基础资料!$B$10=""),"",SUMIFS(客户自备加工筐明细!$F$4:$F$1203,客户自备加工筐明细!$E$4:$E$1203,$B164,客户自备加工筐明细!$C$4:$C$1203,基础资料!$B$10,客户自备加工筐明细!$B$4:$B$1203,"&gt;="&amp;$T$1,客户自备加工筐明细!$B$4:$B$1203,"&lt;="&amp;$T$2))</f>
        <v/>
      </c>
      <c r="G164" s="67" t="str">
        <f>IF(OR($B164="",基础资料!$B$9=""),"",-SUMIFS(对接源_01水果筐数!$E$5:$E$304,对接源_01水果筐数!$B$5:$B$304,$B164,对接源_01水果筐数!$C$5:$C$304,基础资料!$B$9))</f>
        <v/>
      </c>
      <c r="H164" s="67" t="str">
        <f>IF(OR($B164="",基础资料!$B$10=""),"",-SUMIFS(对接源_01水果筐数!$E$5:$E$304,对接源_01水果筐数!$B$5:$B$304,$B164,对接源_01水果筐数!$C$5:$C$304,基础资料!$B$10))</f>
        <v/>
      </c>
      <c r="I164" s="67" t="str">
        <f>IF(OR($B164="",基础资料!$B$9=""),"",-SUMIFS(对接源_01水果筐数!$F$5:$F$304,对接源_01水果筐数!$B$5:$B$304,$B164,对接源_01水果筐数!$C$5:$C$304,基础资料!$B$9))</f>
        <v/>
      </c>
      <c r="J164" s="67" t="str">
        <f>IF(OR($B164="",基础资料!$B$10=""),"",-SUMIFS(对接源_01水果筐数!$F$5:$F$304,对接源_01水果筐数!$B$5:$B$304,$B164,对接源_01水果筐数!$C$5:$C$304,基础资料!$B$10))</f>
        <v/>
      </c>
      <c r="K164" s="67" t="str">
        <f>IF(OR($B164="",基础资料!$B$9=""),"",-SUMIFS(客户自备加工筐明细!$G$4:$G$1203,客户自备加工筐明细!$E$4:$E$1203,$B164,客户自备加工筐明细!$C$4:$C$1203,基础资料!$B$9,客户自备加工筐明细!$B$4:$B$1203,"&gt;="&amp;$T$1,客户自备加工筐明细!$B$4:$B$1203,"&lt;="&amp;$T$2))</f>
        <v/>
      </c>
      <c r="L164" s="67" t="str">
        <f>IF(OR($B164="",基础资料!$B$10=""),"",-SUMIFS(客户自备加工筐明细!$G$4:$G$1203,客户自备加工筐明细!$E$4:$E$1203,$B164,客户自备加工筐明细!$C$4:$C$1203,基础资料!$B$10,客户自备加工筐明细!$B$4:$B$1203,"&gt;="&amp;$T$1,客户自备加工筐明细!$B$4:$B$1203,"&lt;="&amp;$T$2))</f>
        <v/>
      </c>
      <c r="M164" s="25" t="str">
        <f t="shared" si="11"/>
        <v/>
      </c>
      <c r="N164" s="25" t="str">
        <f t="shared" si="12"/>
        <v/>
      </c>
      <c r="O164" s="25" t="str">
        <f t="shared" si="13"/>
        <v/>
      </c>
      <c r="P164" s="37" t="str">
        <f t="shared" si="14"/>
        <v/>
      </c>
      <c r="Q164" s="27"/>
    </row>
    <row r="165" spans="1:17">
      <c r="A165" s="22" t="str">
        <f t="shared" si="10"/>
        <v/>
      </c>
      <c r="B165" s="37" t="str">
        <f>IFERROR(INDEX(_自动清单!$AM$4:$AM$203,ROW()-3),"")</f>
        <v/>
      </c>
      <c r="C165" s="25" t="str">
        <f>IF(OR($B165="",基础资料!$B$9=""),"",SUMIFS(对接源_01水果筐数!$D$5:$D$304,对接源_01水果筐数!$B$5:$B$304,$B165,对接源_01水果筐数!$C$5:$C$304,基础资料!$B$9))</f>
        <v/>
      </c>
      <c r="D165" s="25" t="str">
        <f>IF(OR($B165="",基础资料!$B$10=""),"",SUMIFS(对接源_01水果筐数!$D$5:$D$304,对接源_01水果筐数!$B$5:$B$304,$B165,对接源_01水果筐数!$C$5:$C$304,基础资料!$B$10))</f>
        <v/>
      </c>
      <c r="E165" s="25" t="str">
        <f>IF(OR($B165="",基础资料!$B$9=""),"",SUMIFS(客户自备加工筐明细!$F$4:$F$1203,客户自备加工筐明细!$E$4:$E$1203,$B165,客户自备加工筐明细!$C$4:$C$1203,基础资料!$B$9,客户自备加工筐明细!$B$4:$B$1203,"&gt;="&amp;$T$1,客户自备加工筐明细!$B$4:$B$1203,"&lt;="&amp;$T$2))</f>
        <v/>
      </c>
      <c r="F165" s="25" t="str">
        <f>IF(OR($B165="",基础资料!$B$10=""),"",SUMIFS(客户自备加工筐明细!$F$4:$F$1203,客户自备加工筐明细!$E$4:$E$1203,$B165,客户自备加工筐明细!$C$4:$C$1203,基础资料!$B$10,客户自备加工筐明细!$B$4:$B$1203,"&gt;="&amp;$T$1,客户自备加工筐明细!$B$4:$B$1203,"&lt;="&amp;$T$2))</f>
        <v/>
      </c>
      <c r="G165" s="67" t="str">
        <f>IF(OR($B165="",基础资料!$B$9=""),"",-SUMIFS(对接源_01水果筐数!$E$5:$E$304,对接源_01水果筐数!$B$5:$B$304,$B165,对接源_01水果筐数!$C$5:$C$304,基础资料!$B$9))</f>
        <v/>
      </c>
      <c r="H165" s="67" t="str">
        <f>IF(OR($B165="",基础资料!$B$10=""),"",-SUMIFS(对接源_01水果筐数!$E$5:$E$304,对接源_01水果筐数!$B$5:$B$304,$B165,对接源_01水果筐数!$C$5:$C$304,基础资料!$B$10))</f>
        <v/>
      </c>
      <c r="I165" s="67" t="str">
        <f>IF(OR($B165="",基础资料!$B$9=""),"",-SUMIFS(对接源_01水果筐数!$F$5:$F$304,对接源_01水果筐数!$B$5:$B$304,$B165,对接源_01水果筐数!$C$5:$C$304,基础资料!$B$9))</f>
        <v/>
      </c>
      <c r="J165" s="67" t="str">
        <f>IF(OR($B165="",基础资料!$B$10=""),"",-SUMIFS(对接源_01水果筐数!$F$5:$F$304,对接源_01水果筐数!$B$5:$B$304,$B165,对接源_01水果筐数!$C$5:$C$304,基础资料!$B$10))</f>
        <v/>
      </c>
      <c r="K165" s="67" t="str">
        <f>IF(OR($B165="",基础资料!$B$9=""),"",-SUMIFS(客户自备加工筐明细!$G$4:$G$1203,客户自备加工筐明细!$E$4:$E$1203,$B165,客户自备加工筐明细!$C$4:$C$1203,基础资料!$B$9,客户自备加工筐明细!$B$4:$B$1203,"&gt;="&amp;$T$1,客户自备加工筐明细!$B$4:$B$1203,"&lt;="&amp;$T$2))</f>
        <v/>
      </c>
      <c r="L165" s="67" t="str">
        <f>IF(OR($B165="",基础资料!$B$10=""),"",-SUMIFS(客户自备加工筐明细!$G$4:$G$1203,客户自备加工筐明细!$E$4:$E$1203,$B165,客户自备加工筐明细!$C$4:$C$1203,基础资料!$B$10,客户自备加工筐明细!$B$4:$B$1203,"&gt;="&amp;$T$1,客户自备加工筐明细!$B$4:$B$1203,"&lt;="&amp;$T$2))</f>
        <v/>
      </c>
      <c r="M165" s="25" t="str">
        <f t="shared" si="11"/>
        <v/>
      </c>
      <c r="N165" s="25" t="str">
        <f t="shared" si="12"/>
        <v/>
      </c>
      <c r="O165" s="25" t="str">
        <f t="shared" si="13"/>
        <v/>
      </c>
      <c r="P165" s="37" t="str">
        <f t="shared" si="14"/>
        <v/>
      </c>
      <c r="Q165" s="27"/>
    </row>
    <row r="166" spans="1:17">
      <c r="A166" s="22" t="str">
        <f t="shared" si="10"/>
        <v/>
      </c>
      <c r="B166" s="37" t="str">
        <f>IFERROR(INDEX(_自动清单!$AM$4:$AM$203,ROW()-3),"")</f>
        <v/>
      </c>
      <c r="C166" s="25" t="str">
        <f>IF(OR($B166="",基础资料!$B$9=""),"",SUMIFS(对接源_01水果筐数!$D$5:$D$304,对接源_01水果筐数!$B$5:$B$304,$B166,对接源_01水果筐数!$C$5:$C$304,基础资料!$B$9))</f>
        <v/>
      </c>
      <c r="D166" s="25" t="str">
        <f>IF(OR($B166="",基础资料!$B$10=""),"",SUMIFS(对接源_01水果筐数!$D$5:$D$304,对接源_01水果筐数!$B$5:$B$304,$B166,对接源_01水果筐数!$C$5:$C$304,基础资料!$B$10))</f>
        <v/>
      </c>
      <c r="E166" s="25" t="str">
        <f>IF(OR($B166="",基础资料!$B$9=""),"",SUMIFS(客户自备加工筐明细!$F$4:$F$1203,客户自备加工筐明细!$E$4:$E$1203,$B166,客户自备加工筐明细!$C$4:$C$1203,基础资料!$B$9,客户自备加工筐明细!$B$4:$B$1203,"&gt;="&amp;$T$1,客户自备加工筐明细!$B$4:$B$1203,"&lt;="&amp;$T$2))</f>
        <v/>
      </c>
      <c r="F166" s="25" t="str">
        <f>IF(OR($B166="",基础资料!$B$10=""),"",SUMIFS(客户自备加工筐明细!$F$4:$F$1203,客户自备加工筐明细!$E$4:$E$1203,$B166,客户自备加工筐明细!$C$4:$C$1203,基础资料!$B$10,客户自备加工筐明细!$B$4:$B$1203,"&gt;="&amp;$T$1,客户自备加工筐明细!$B$4:$B$1203,"&lt;="&amp;$T$2))</f>
        <v/>
      </c>
      <c r="G166" s="67" t="str">
        <f>IF(OR($B166="",基础资料!$B$9=""),"",-SUMIFS(对接源_01水果筐数!$E$5:$E$304,对接源_01水果筐数!$B$5:$B$304,$B166,对接源_01水果筐数!$C$5:$C$304,基础资料!$B$9))</f>
        <v/>
      </c>
      <c r="H166" s="67" t="str">
        <f>IF(OR($B166="",基础资料!$B$10=""),"",-SUMIFS(对接源_01水果筐数!$E$5:$E$304,对接源_01水果筐数!$B$5:$B$304,$B166,对接源_01水果筐数!$C$5:$C$304,基础资料!$B$10))</f>
        <v/>
      </c>
      <c r="I166" s="67" t="str">
        <f>IF(OR($B166="",基础资料!$B$9=""),"",-SUMIFS(对接源_01水果筐数!$F$5:$F$304,对接源_01水果筐数!$B$5:$B$304,$B166,对接源_01水果筐数!$C$5:$C$304,基础资料!$B$9))</f>
        <v/>
      </c>
      <c r="J166" s="67" t="str">
        <f>IF(OR($B166="",基础资料!$B$10=""),"",-SUMIFS(对接源_01水果筐数!$F$5:$F$304,对接源_01水果筐数!$B$5:$B$304,$B166,对接源_01水果筐数!$C$5:$C$304,基础资料!$B$10))</f>
        <v/>
      </c>
      <c r="K166" s="67" t="str">
        <f>IF(OR($B166="",基础资料!$B$9=""),"",-SUMIFS(客户自备加工筐明细!$G$4:$G$1203,客户自备加工筐明细!$E$4:$E$1203,$B166,客户自备加工筐明细!$C$4:$C$1203,基础资料!$B$9,客户自备加工筐明细!$B$4:$B$1203,"&gt;="&amp;$T$1,客户自备加工筐明细!$B$4:$B$1203,"&lt;="&amp;$T$2))</f>
        <v/>
      </c>
      <c r="L166" s="67" t="str">
        <f>IF(OR($B166="",基础资料!$B$10=""),"",-SUMIFS(客户自备加工筐明细!$G$4:$G$1203,客户自备加工筐明细!$E$4:$E$1203,$B166,客户自备加工筐明细!$C$4:$C$1203,基础资料!$B$10,客户自备加工筐明细!$B$4:$B$1203,"&gt;="&amp;$T$1,客户自备加工筐明细!$B$4:$B$1203,"&lt;="&amp;$T$2))</f>
        <v/>
      </c>
      <c r="M166" s="25" t="str">
        <f t="shared" si="11"/>
        <v/>
      </c>
      <c r="N166" s="25" t="str">
        <f t="shared" si="12"/>
        <v/>
      </c>
      <c r="O166" s="25" t="str">
        <f t="shared" si="13"/>
        <v/>
      </c>
      <c r="P166" s="37" t="str">
        <f t="shared" si="14"/>
        <v/>
      </c>
      <c r="Q166" s="27"/>
    </row>
    <row r="167" spans="1:17">
      <c r="A167" s="22" t="str">
        <f t="shared" si="10"/>
        <v/>
      </c>
      <c r="B167" s="37" t="str">
        <f>IFERROR(INDEX(_自动清单!$AM$4:$AM$203,ROW()-3),"")</f>
        <v/>
      </c>
      <c r="C167" s="25" t="str">
        <f>IF(OR($B167="",基础资料!$B$9=""),"",SUMIFS(对接源_01水果筐数!$D$5:$D$304,对接源_01水果筐数!$B$5:$B$304,$B167,对接源_01水果筐数!$C$5:$C$304,基础资料!$B$9))</f>
        <v/>
      </c>
      <c r="D167" s="25" t="str">
        <f>IF(OR($B167="",基础资料!$B$10=""),"",SUMIFS(对接源_01水果筐数!$D$5:$D$304,对接源_01水果筐数!$B$5:$B$304,$B167,对接源_01水果筐数!$C$5:$C$304,基础资料!$B$10))</f>
        <v/>
      </c>
      <c r="E167" s="25" t="str">
        <f>IF(OR($B167="",基础资料!$B$9=""),"",SUMIFS(客户自备加工筐明细!$F$4:$F$1203,客户自备加工筐明细!$E$4:$E$1203,$B167,客户自备加工筐明细!$C$4:$C$1203,基础资料!$B$9,客户自备加工筐明细!$B$4:$B$1203,"&gt;="&amp;$T$1,客户自备加工筐明细!$B$4:$B$1203,"&lt;="&amp;$T$2))</f>
        <v/>
      </c>
      <c r="F167" s="25" t="str">
        <f>IF(OR($B167="",基础资料!$B$10=""),"",SUMIFS(客户自备加工筐明细!$F$4:$F$1203,客户自备加工筐明细!$E$4:$E$1203,$B167,客户自备加工筐明细!$C$4:$C$1203,基础资料!$B$10,客户自备加工筐明细!$B$4:$B$1203,"&gt;="&amp;$T$1,客户自备加工筐明细!$B$4:$B$1203,"&lt;="&amp;$T$2))</f>
        <v/>
      </c>
      <c r="G167" s="67" t="str">
        <f>IF(OR($B167="",基础资料!$B$9=""),"",-SUMIFS(对接源_01水果筐数!$E$5:$E$304,对接源_01水果筐数!$B$5:$B$304,$B167,对接源_01水果筐数!$C$5:$C$304,基础资料!$B$9))</f>
        <v/>
      </c>
      <c r="H167" s="67" t="str">
        <f>IF(OR($B167="",基础资料!$B$10=""),"",-SUMIFS(对接源_01水果筐数!$E$5:$E$304,对接源_01水果筐数!$B$5:$B$304,$B167,对接源_01水果筐数!$C$5:$C$304,基础资料!$B$10))</f>
        <v/>
      </c>
      <c r="I167" s="67" t="str">
        <f>IF(OR($B167="",基础资料!$B$9=""),"",-SUMIFS(对接源_01水果筐数!$F$5:$F$304,对接源_01水果筐数!$B$5:$B$304,$B167,对接源_01水果筐数!$C$5:$C$304,基础资料!$B$9))</f>
        <v/>
      </c>
      <c r="J167" s="67" t="str">
        <f>IF(OR($B167="",基础资料!$B$10=""),"",-SUMIFS(对接源_01水果筐数!$F$5:$F$304,对接源_01水果筐数!$B$5:$B$304,$B167,对接源_01水果筐数!$C$5:$C$304,基础资料!$B$10))</f>
        <v/>
      </c>
      <c r="K167" s="67" t="str">
        <f>IF(OR($B167="",基础资料!$B$9=""),"",-SUMIFS(客户自备加工筐明细!$G$4:$G$1203,客户自备加工筐明细!$E$4:$E$1203,$B167,客户自备加工筐明细!$C$4:$C$1203,基础资料!$B$9,客户自备加工筐明细!$B$4:$B$1203,"&gt;="&amp;$T$1,客户自备加工筐明细!$B$4:$B$1203,"&lt;="&amp;$T$2))</f>
        <v/>
      </c>
      <c r="L167" s="67" t="str">
        <f>IF(OR($B167="",基础资料!$B$10=""),"",-SUMIFS(客户自备加工筐明细!$G$4:$G$1203,客户自备加工筐明细!$E$4:$E$1203,$B167,客户自备加工筐明细!$C$4:$C$1203,基础资料!$B$10,客户自备加工筐明细!$B$4:$B$1203,"&gt;="&amp;$T$1,客户自备加工筐明细!$B$4:$B$1203,"&lt;="&amp;$T$2))</f>
        <v/>
      </c>
      <c r="M167" s="25" t="str">
        <f t="shared" si="11"/>
        <v/>
      </c>
      <c r="N167" s="25" t="str">
        <f t="shared" si="12"/>
        <v/>
      </c>
      <c r="O167" s="25" t="str">
        <f t="shared" si="13"/>
        <v/>
      </c>
      <c r="P167" s="37" t="str">
        <f t="shared" si="14"/>
        <v/>
      </c>
      <c r="Q167" s="27"/>
    </row>
    <row r="168" spans="1:17">
      <c r="A168" s="22" t="str">
        <f t="shared" si="10"/>
        <v/>
      </c>
      <c r="B168" s="37" t="str">
        <f>IFERROR(INDEX(_自动清单!$AM$4:$AM$203,ROW()-3),"")</f>
        <v/>
      </c>
      <c r="C168" s="25" t="str">
        <f>IF(OR($B168="",基础资料!$B$9=""),"",SUMIFS(对接源_01水果筐数!$D$5:$D$304,对接源_01水果筐数!$B$5:$B$304,$B168,对接源_01水果筐数!$C$5:$C$304,基础资料!$B$9))</f>
        <v/>
      </c>
      <c r="D168" s="25" t="str">
        <f>IF(OR($B168="",基础资料!$B$10=""),"",SUMIFS(对接源_01水果筐数!$D$5:$D$304,对接源_01水果筐数!$B$5:$B$304,$B168,对接源_01水果筐数!$C$5:$C$304,基础资料!$B$10))</f>
        <v/>
      </c>
      <c r="E168" s="25" t="str">
        <f>IF(OR($B168="",基础资料!$B$9=""),"",SUMIFS(客户自备加工筐明细!$F$4:$F$1203,客户自备加工筐明细!$E$4:$E$1203,$B168,客户自备加工筐明细!$C$4:$C$1203,基础资料!$B$9,客户自备加工筐明细!$B$4:$B$1203,"&gt;="&amp;$T$1,客户自备加工筐明细!$B$4:$B$1203,"&lt;="&amp;$T$2))</f>
        <v/>
      </c>
      <c r="F168" s="25" t="str">
        <f>IF(OR($B168="",基础资料!$B$10=""),"",SUMIFS(客户自备加工筐明细!$F$4:$F$1203,客户自备加工筐明细!$E$4:$E$1203,$B168,客户自备加工筐明细!$C$4:$C$1203,基础资料!$B$10,客户自备加工筐明细!$B$4:$B$1203,"&gt;="&amp;$T$1,客户自备加工筐明细!$B$4:$B$1203,"&lt;="&amp;$T$2))</f>
        <v/>
      </c>
      <c r="G168" s="67" t="str">
        <f>IF(OR($B168="",基础资料!$B$9=""),"",-SUMIFS(对接源_01水果筐数!$E$5:$E$304,对接源_01水果筐数!$B$5:$B$304,$B168,对接源_01水果筐数!$C$5:$C$304,基础资料!$B$9))</f>
        <v/>
      </c>
      <c r="H168" s="67" t="str">
        <f>IF(OR($B168="",基础资料!$B$10=""),"",-SUMIFS(对接源_01水果筐数!$E$5:$E$304,对接源_01水果筐数!$B$5:$B$304,$B168,对接源_01水果筐数!$C$5:$C$304,基础资料!$B$10))</f>
        <v/>
      </c>
      <c r="I168" s="67" t="str">
        <f>IF(OR($B168="",基础资料!$B$9=""),"",-SUMIFS(对接源_01水果筐数!$F$5:$F$304,对接源_01水果筐数!$B$5:$B$304,$B168,对接源_01水果筐数!$C$5:$C$304,基础资料!$B$9))</f>
        <v/>
      </c>
      <c r="J168" s="67" t="str">
        <f>IF(OR($B168="",基础资料!$B$10=""),"",-SUMIFS(对接源_01水果筐数!$F$5:$F$304,对接源_01水果筐数!$B$5:$B$304,$B168,对接源_01水果筐数!$C$5:$C$304,基础资料!$B$10))</f>
        <v/>
      </c>
      <c r="K168" s="67" t="str">
        <f>IF(OR($B168="",基础资料!$B$9=""),"",-SUMIFS(客户自备加工筐明细!$G$4:$G$1203,客户自备加工筐明细!$E$4:$E$1203,$B168,客户自备加工筐明细!$C$4:$C$1203,基础资料!$B$9,客户自备加工筐明细!$B$4:$B$1203,"&gt;="&amp;$T$1,客户自备加工筐明细!$B$4:$B$1203,"&lt;="&amp;$T$2))</f>
        <v/>
      </c>
      <c r="L168" s="67" t="str">
        <f>IF(OR($B168="",基础资料!$B$10=""),"",-SUMIFS(客户自备加工筐明细!$G$4:$G$1203,客户自备加工筐明细!$E$4:$E$1203,$B168,客户自备加工筐明细!$C$4:$C$1203,基础资料!$B$10,客户自备加工筐明细!$B$4:$B$1203,"&gt;="&amp;$T$1,客户自备加工筐明细!$B$4:$B$1203,"&lt;="&amp;$T$2))</f>
        <v/>
      </c>
      <c r="M168" s="25" t="str">
        <f t="shared" si="11"/>
        <v/>
      </c>
      <c r="N168" s="25" t="str">
        <f t="shared" si="12"/>
        <v/>
      </c>
      <c r="O168" s="25" t="str">
        <f t="shared" si="13"/>
        <v/>
      </c>
      <c r="P168" s="37" t="str">
        <f t="shared" si="14"/>
        <v/>
      </c>
      <c r="Q168" s="27"/>
    </row>
    <row r="169" spans="1:17">
      <c r="A169" s="22" t="str">
        <f t="shared" si="10"/>
        <v/>
      </c>
      <c r="B169" s="37" t="str">
        <f>IFERROR(INDEX(_自动清单!$AM$4:$AM$203,ROW()-3),"")</f>
        <v/>
      </c>
      <c r="C169" s="25" t="str">
        <f>IF(OR($B169="",基础资料!$B$9=""),"",SUMIFS(对接源_01水果筐数!$D$5:$D$304,对接源_01水果筐数!$B$5:$B$304,$B169,对接源_01水果筐数!$C$5:$C$304,基础资料!$B$9))</f>
        <v/>
      </c>
      <c r="D169" s="25" t="str">
        <f>IF(OR($B169="",基础资料!$B$10=""),"",SUMIFS(对接源_01水果筐数!$D$5:$D$304,对接源_01水果筐数!$B$5:$B$304,$B169,对接源_01水果筐数!$C$5:$C$304,基础资料!$B$10))</f>
        <v/>
      </c>
      <c r="E169" s="25" t="str">
        <f>IF(OR($B169="",基础资料!$B$9=""),"",SUMIFS(客户自备加工筐明细!$F$4:$F$1203,客户自备加工筐明细!$E$4:$E$1203,$B169,客户自备加工筐明细!$C$4:$C$1203,基础资料!$B$9,客户自备加工筐明细!$B$4:$B$1203,"&gt;="&amp;$T$1,客户自备加工筐明细!$B$4:$B$1203,"&lt;="&amp;$T$2))</f>
        <v/>
      </c>
      <c r="F169" s="25" t="str">
        <f>IF(OR($B169="",基础资料!$B$10=""),"",SUMIFS(客户自备加工筐明细!$F$4:$F$1203,客户自备加工筐明细!$E$4:$E$1203,$B169,客户自备加工筐明细!$C$4:$C$1203,基础资料!$B$10,客户自备加工筐明细!$B$4:$B$1203,"&gt;="&amp;$T$1,客户自备加工筐明细!$B$4:$B$1203,"&lt;="&amp;$T$2))</f>
        <v/>
      </c>
      <c r="G169" s="67" t="str">
        <f>IF(OR($B169="",基础资料!$B$9=""),"",-SUMIFS(对接源_01水果筐数!$E$5:$E$304,对接源_01水果筐数!$B$5:$B$304,$B169,对接源_01水果筐数!$C$5:$C$304,基础资料!$B$9))</f>
        <v/>
      </c>
      <c r="H169" s="67" t="str">
        <f>IF(OR($B169="",基础资料!$B$10=""),"",-SUMIFS(对接源_01水果筐数!$E$5:$E$304,对接源_01水果筐数!$B$5:$B$304,$B169,对接源_01水果筐数!$C$5:$C$304,基础资料!$B$10))</f>
        <v/>
      </c>
      <c r="I169" s="67" t="str">
        <f>IF(OR($B169="",基础资料!$B$9=""),"",-SUMIFS(对接源_01水果筐数!$F$5:$F$304,对接源_01水果筐数!$B$5:$B$304,$B169,对接源_01水果筐数!$C$5:$C$304,基础资料!$B$9))</f>
        <v/>
      </c>
      <c r="J169" s="67" t="str">
        <f>IF(OR($B169="",基础资料!$B$10=""),"",-SUMIFS(对接源_01水果筐数!$F$5:$F$304,对接源_01水果筐数!$B$5:$B$304,$B169,对接源_01水果筐数!$C$5:$C$304,基础资料!$B$10))</f>
        <v/>
      </c>
      <c r="K169" s="67" t="str">
        <f>IF(OR($B169="",基础资料!$B$9=""),"",-SUMIFS(客户自备加工筐明细!$G$4:$G$1203,客户自备加工筐明细!$E$4:$E$1203,$B169,客户自备加工筐明细!$C$4:$C$1203,基础资料!$B$9,客户自备加工筐明细!$B$4:$B$1203,"&gt;="&amp;$T$1,客户自备加工筐明细!$B$4:$B$1203,"&lt;="&amp;$T$2))</f>
        <v/>
      </c>
      <c r="L169" s="67" t="str">
        <f>IF(OR($B169="",基础资料!$B$10=""),"",-SUMIFS(客户自备加工筐明细!$G$4:$G$1203,客户自备加工筐明细!$E$4:$E$1203,$B169,客户自备加工筐明细!$C$4:$C$1203,基础资料!$B$10,客户自备加工筐明细!$B$4:$B$1203,"&gt;="&amp;$T$1,客户自备加工筐明细!$B$4:$B$1203,"&lt;="&amp;$T$2))</f>
        <v/>
      </c>
      <c r="M169" s="25" t="str">
        <f t="shared" si="11"/>
        <v/>
      </c>
      <c r="N169" s="25" t="str">
        <f t="shared" si="12"/>
        <v/>
      </c>
      <c r="O169" s="25" t="str">
        <f t="shared" si="13"/>
        <v/>
      </c>
      <c r="P169" s="37" t="str">
        <f t="shared" si="14"/>
        <v/>
      </c>
      <c r="Q169" s="27"/>
    </row>
    <row r="170" spans="1:17">
      <c r="A170" s="22" t="str">
        <f t="shared" si="10"/>
        <v/>
      </c>
      <c r="B170" s="37" t="str">
        <f>IFERROR(INDEX(_自动清单!$AM$4:$AM$203,ROW()-3),"")</f>
        <v/>
      </c>
      <c r="C170" s="25" t="str">
        <f>IF(OR($B170="",基础资料!$B$9=""),"",SUMIFS(对接源_01水果筐数!$D$5:$D$304,对接源_01水果筐数!$B$5:$B$304,$B170,对接源_01水果筐数!$C$5:$C$304,基础资料!$B$9))</f>
        <v/>
      </c>
      <c r="D170" s="25" t="str">
        <f>IF(OR($B170="",基础资料!$B$10=""),"",SUMIFS(对接源_01水果筐数!$D$5:$D$304,对接源_01水果筐数!$B$5:$B$304,$B170,对接源_01水果筐数!$C$5:$C$304,基础资料!$B$10))</f>
        <v/>
      </c>
      <c r="E170" s="25" t="str">
        <f>IF(OR($B170="",基础资料!$B$9=""),"",SUMIFS(客户自备加工筐明细!$F$4:$F$1203,客户自备加工筐明细!$E$4:$E$1203,$B170,客户自备加工筐明细!$C$4:$C$1203,基础资料!$B$9,客户自备加工筐明细!$B$4:$B$1203,"&gt;="&amp;$T$1,客户自备加工筐明细!$B$4:$B$1203,"&lt;="&amp;$T$2))</f>
        <v/>
      </c>
      <c r="F170" s="25" t="str">
        <f>IF(OR($B170="",基础资料!$B$10=""),"",SUMIFS(客户自备加工筐明细!$F$4:$F$1203,客户自备加工筐明细!$E$4:$E$1203,$B170,客户自备加工筐明细!$C$4:$C$1203,基础资料!$B$10,客户自备加工筐明细!$B$4:$B$1203,"&gt;="&amp;$T$1,客户自备加工筐明细!$B$4:$B$1203,"&lt;="&amp;$T$2))</f>
        <v/>
      </c>
      <c r="G170" s="67" t="str">
        <f>IF(OR($B170="",基础资料!$B$9=""),"",-SUMIFS(对接源_01水果筐数!$E$5:$E$304,对接源_01水果筐数!$B$5:$B$304,$B170,对接源_01水果筐数!$C$5:$C$304,基础资料!$B$9))</f>
        <v/>
      </c>
      <c r="H170" s="67" t="str">
        <f>IF(OR($B170="",基础资料!$B$10=""),"",-SUMIFS(对接源_01水果筐数!$E$5:$E$304,对接源_01水果筐数!$B$5:$B$304,$B170,对接源_01水果筐数!$C$5:$C$304,基础资料!$B$10))</f>
        <v/>
      </c>
      <c r="I170" s="67" t="str">
        <f>IF(OR($B170="",基础资料!$B$9=""),"",-SUMIFS(对接源_01水果筐数!$F$5:$F$304,对接源_01水果筐数!$B$5:$B$304,$B170,对接源_01水果筐数!$C$5:$C$304,基础资料!$B$9))</f>
        <v/>
      </c>
      <c r="J170" s="67" t="str">
        <f>IF(OR($B170="",基础资料!$B$10=""),"",-SUMIFS(对接源_01水果筐数!$F$5:$F$304,对接源_01水果筐数!$B$5:$B$304,$B170,对接源_01水果筐数!$C$5:$C$304,基础资料!$B$10))</f>
        <v/>
      </c>
      <c r="K170" s="67" t="str">
        <f>IF(OR($B170="",基础资料!$B$9=""),"",-SUMIFS(客户自备加工筐明细!$G$4:$G$1203,客户自备加工筐明细!$E$4:$E$1203,$B170,客户自备加工筐明细!$C$4:$C$1203,基础资料!$B$9,客户自备加工筐明细!$B$4:$B$1203,"&gt;="&amp;$T$1,客户自备加工筐明细!$B$4:$B$1203,"&lt;="&amp;$T$2))</f>
        <v/>
      </c>
      <c r="L170" s="67" t="str">
        <f>IF(OR($B170="",基础资料!$B$10=""),"",-SUMIFS(客户自备加工筐明细!$G$4:$G$1203,客户自备加工筐明细!$E$4:$E$1203,$B170,客户自备加工筐明细!$C$4:$C$1203,基础资料!$B$10,客户自备加工筐明细!$B$4:$B$1203,"&gt;="&amp;$T$1,客户自备加工筐明细!$B$4:$B$1203,"&lt;="&amp;$T$2))</f>
        <v/>
      </c>
      <c r="M170" s="25" t="str">
        <f t="shared" si="11"/>
        <v/>
      </c>
      <c r="N170" s="25" t="str">
        <f t="shared" si="12"/>
        <v/>
      </c>
      <c r="O170" s="25" t="str">
        <f t="shared" si="13"/>
        <v/>
      </c>
      <c r="P170" s="37" t="str">
        <f t="shared" si="14"/>
        <v/>
      </c>
      <c r="Q170" s="27"/>
    </row>
    <row r="171" spans="1:17">
      <c r="A171" s="22" t="str">
        <f t="shared" si="10"/>
        <v/>
      </c>
      <c r="B171" s="37" t="str">
        <f>IFERROR(INDEX(_自动清单!$AM$4:$AM$203,ROW()-3),"")</f>
        <v/>
      </c>
      <c r="C171" s="25" t="str">
        <f>IF(OR($B171="",基础资料!$B$9=""),"",SUMIFS(对接源_01水果筐数!$D$5:$D$304,对接源_01水果筐数!$B$5:$B$304,$B171,对接源_01水果筐数!$C$5:$C$304,基础资料!$B$9))</f>
        <v/>
      </c>
      <c r="D171" s="25" t="str">
        <f>IF(OR($B171="",基础资料!$B$10=""),"",SUMIFS(对接源_01水果筐数!$D$5:$D$304,对接源_01水果筐数!$B$5:$B$304,$B171,对接源_01水果筐数!$C$5:$C$304,基础资料!$B$10))</f>
        <v/>
      </c>
      <c r="E171" s="25" t="str">
        <f>IF(OR($B171="",基础资料!$B$9=""),"",SUMIFS(客户自备加工筐明细!$F$4:$F$1203,客户自备加工筐明细!$E$4:$E$1203,$B171,客户自备加工筐明细!$C$4:$C$1203,基础资料!$B$9,客户自备加工筐明细!$B$4:$B$1203,"&gt;="&amp;$T$1,客户自备加工筐明细!$B$4:$B$1203,"&lt;="&amp;$T$2))</f>
        <v/>
      </c>
      <c r="F171" s="25" t="str">
        <f>IF(OR($B171="",基础资料!$B$10=""),"",SUMIFS(客户自备加工筐明细!$F$4:$F$1203,客户自备加工筐明细!$E$4:$E$1203,$B171,客户自备加工筐明细!$C$4:$C$1203,基础资料!$B$10,客户自备加工筐明细!$B$4:$B$1203,"&gt;="&amp;$T$1,客户自备加工筐明细!$B$4:$B$1203,"&lt;="&amp;$T$2))</f>
        <v/>
      </c>
      <c r="G171" s="67" t="str">
        <f>IF(OR($B171="",基础资料!$B$9=""),"",-SUMIFS(对接源_01水果筐数!$E$5:$E$304,对接源_01水果筐数!$B$5:$B$304,$B171,对接源_01水果筐数!$C$5:$C$304,基础资料!$B$9))</f>
        <v/>
      </c>
      <c r="H171" s="67" t="str">
        <f>IF(OR($B171="",基础资料!$B$10=""),"",-SUMIFS(对接源_01水果筐数!$E$5:$E$304,对接源_01水果筐数!$B$5:$B$304,$B171,对接源_01水果筐数!$C$5:$C$304,基础资料!$B$10))</f>
        <v/>
      </c>
      <c r="I171" s="67" t="str">
        <f>IF(OR($B171="",基础资料!$B$9=""),"",-SUMIFS(对接源_01水果筐数!$F$5:$F$304,对接源_01水果筐数!$B$5:$B$304,$B171,对接源_01水果筐数!$C$5:$C$304,基础资料!$B$9))</f>
        <v/>
      </c>
      <c r="J171" s="67" t="str">
        <f>IF(OR($B171="",基础资料!$B$10=""),"",-SUMIFS(对接源_01水果筐数!$F$5:$F$304,对接源_01水果筐数!$B$5:$B$304,$B171,对接源_01水果筐数!$C$5:$C$304,基础资料!$B$10))</f>
        <v/>
      </c>
      <c r="K171" s="67" t="str">
        <f>IF(OR($B171="",基础资料!$B$9=""),"",-SUMIFS(客户自备加工筐明细!$G$4:$G$1203,客户自备加工筐明细!$E$4:$E$1203,$B171,客户自备加工筐明细!$C$4:$C$1203,基础资料!$B$9,客户自备加工筐明细!$B$4:$B$1203,"&gt;="&amp;$T$1,客户自备加工筐明细!$B$4:$B$1203,"&lt;="&amp;$T$2))</f>
        <v/>
      </c>
      <c r="L171" s="67" t="str">
        <f>IF(OR($B171="",基础资料!$B$10=""),"",-SUMIFS(客户自备加工筐明细!$G$4:$G$1203,客户自备加工筐明细!$E$4:$E$1203,$B171,客户自备加工筐明细!$C$4:$C$1203,基础资料!$B$10,客户自备加工筐明细!$B$4:$B$1203,"&gt;="&amp;$T$1,客户自备加工筐明细!$B$4:$B$1203,"&lt;="&amp;$T$2))</f>
        <v/>
      </c>
      <c r="M171" s="25" t="str">
        <f t="shared" si="11"/>
        <v/>
      </c>
      <c r="N171" s="25" t="str">
        <f t="shared" si="12"/>
        <v/>
      </c>
      <c r="O171" s="25" t="str">
        <f t="shared" si="13"/>
        <v/>
      </c>
      <c r="P171" s="37" t="str">
        <f t="shared" si="14"/>
        <v/>
      </c>
      <c r="Q171" s="27"/>
    </row>
    <row r="172" spans="1:17">
      <c r="A172" s="22" t="str">
        <f t="shared" si="10"/>
        <v/>
      </c>
      <c r="B172" s="37" t="str">
        <f>IFERROR(INDEX(_自动清单!$AM$4:$AM$203,ROW()-3),"")</f>
        <v/>
      </c>
      <c r="C172" s="25" t="str">
        <f>IF(OR($B172="",基础资料!$B$9=""),"",SUMIFS(对接源_01水果筐数!$D$5:$D$304,对接源_01水果筐数!$B$5:$B$304,$B172,对接源_01水果筐数!$C$5:$C$304,基础资料!$B$9))</f>
        <v/>
      </c>
      <c r="D172" s="25" t="str">
        <f>IF(OR($B172="",基础资料!$B$10=""),"",SUMIFS(对接源_01水果筐数!$D$5:$D$304,对接源_01水果筐数!$B$5:$B$304,$B172,对接源_01水果筐数!$C$5:$C$304,基础资料!$B$10))</f>
        <v/>
      </c>
      <c r="E172" s="25" t="str">
        <f>IF(OR($B172="",基础资料!$B$9=""),"",SUMIFS(客户自备加工筐明细!$F$4:$F$1203,客户自备加工筐明细!$E$4:$E$1203,$B172,客户自备加工筐明细!$C$4:$C$1203,基础资料!$B$9,客户自备加工筐明细!$B$4:$B$1203,"&gt;="&amp;$T$1,客户自备加工筐明细!$B$4:$B$1203,"&lt;="&amp;$T$2))</f>
        <v/>
      </c>
      <c r="F172" s="25" t="str">
        <f>IF(OR($B172="",基础资料!$B$10=""),"",SUMIFS(客户自备加工筐明细!$F$4:$F$1203,客户自备加工筐明细!$E$4:$E$1203,$B172,客户自备加工筐明细!$C$4:$C$1203,基础资料!$B$10,客户自备加工筐明细!$B$4:$B$1203,"&gt;="&amp;$T$1,客户自备加工筐明细!$B$4:$B$1203,"&lt;="&amp;$T$2))</f>
        <v/>
      </c>
      <c r="G172" s="67" t="str">
        <f>IF(OR($B172="",基础资料!$B$9=""),"",-SUMIFS(对接源_01水果筐数!$E$5:$E$304,对接源_01水果筐数!$B$5:$B$304,$B172,对接源_01水果筐数!$C$5:$C$304,基础资料!$B$9))</f>
        <v/>
      </c>
      <c r="H172" s="67" t="str">
        <f>IF(OR($B172="",基础资料!$B$10=""),"",-SUMIFS(对接源_01水果筐数!$E$5:$E$304,对接源_01水果筐数!$B$5:$B$304,$B172,对接源_01水果筐数!$C$5:$C$304,基础资料!$B$10))</f>
        <v/>
      </c>
      <c r="I172" s="67" t="str">
        <f>IF(OR($B172="",基础资料!$B$9=""),"",-SUMIFS(对接源_01水果筐数!$F$5:$F$304,对接源_01水果筐数!$B$5:$B$304,$B172,对接源_01水果筐数!$C$5:$C$304,基础资料!$B$9))</f>
        <v/>
      </c>
      <c r="J172" s="67" t="str">
        <f>IF(OR($B172="",基础资料!$B$10=""),"",-SUMIFS(对接源_01水果筐数!$F$5:$F$304,对接源_01水果筐数!$B$5:$B$304,$B172,对接源_01水果筐数!$C$5:$C$304,基础资料!$B$10))</f>
        <v/>
      </c>
      <c r="K172" s="67" t="str">
        <f>IF(OR($B172="",基础资料!$B$9=""),"",-SUMIFS(客户自备加工筐明细!$G$4:$G$1203,客户自备加工筐明细!$E$4:$E$1203,$B172,客户自备加工筐明细!$C$4:$C$1203,基础资料!$B$9,客户自备加工筐明细!$B$4:$B$1203,"&gt;="&amp;$T$1,客户自备加工筐明细!$B$4:$B$1203,"&lt;="&amp;$T$2))</f>
        <v/>
      </c>
      <c r="L172" s="67" t="str">
        <f>IF(OR($B172="",基础资料!$B$10=""),"",-SUMIFS(客户自备加工筐明细!$G$4:$G$1203,客户自备加工筐明细!$E$4:$E$1203,$B172,客户自备加工筐明细!$C$4:$C$1203,基础资料!$B$10,客户自备加工筐明细!$B$4:$B$1203,"&gt;="&amp;$T$1,客户自备加工筐明细!$B$4:$B$1203,"&lt;="&amp;$T$2))</f>
        <v/>
      </c>
      <c r="M172" s="25" t="str">
        <f t="shared" si="11"/>
        <v/>
      </c>
      <c r="N172" s="25" t="str">
        <f t="shared" si="12"/>
        <v/>
      </c>
      <c r="O172" s="25" t="str">
        <f t="shared" si="13"/>
        <v/>
      </c>
      <c r="P172" s="37" t="str">
        <f t="shared" si="14"/>
        <v/>
      </c>
      <c r="Q172" s="27"/>
    </row>
    <row r="173" spans="1:17">
      <c r="A173" s="22" t="str">
        <f t="shared" si="10"/>
        <v/>
      </c>
      <c r="B173" s="37" t="str">
        <f>IFERROR(INDEX(_自动清单!$AM$4:$AM$203,ROW()-3),"")</f>
        <v/>
      </c>
      <c r="C173" s="25" t="str">
        <f>IF(OR($B173="",基础资料!$B$9=""),"",SUMIFS(对接源_01水果筐数!$D$5:$D$304,对接源_01水果筐数!$B$5:$B$304,$B173,对接源_01水果筐数!$C$5:$C$304,基础资料!$B$9))</f>
        <v/>
      </c>
      <c r="D173" s="25" t="str">
        <f>IF(OR($B173="",基础资料!$B$10=""),"",SUMIFS(对接源_01水果筐数!$D$5:$D$304,对接源_01水果筐数!$B$5:$B$304,$B173,对接源_01水果筐数!$C$5:$C$304,基础资料!$B$10))</f>
        <v/>
      </c>
      <c r="E173" s="25" t="str">
        <f>IF(OR($B173="",基础资料!$B$9=""),"",SUMIFS(客户自备加工筐明细!$F$4:$F$1203,客户自备加工筐明细!$E$4:$E$1203,$B173,客户自备加工筐明细!$C$4:$C$1203,基础资料!$B$9,客户自备加工筐明细!$B$4:$B$1203,"&gt;="&amp;$T$1,客户自备加工筐明细!$B$4:$B$1203,"&lt;="&amp;$T$2))</f>
        <v/>
      </c>
      <c r="F173" s="25" t="str">
        <f>IF(OR($B173="",基础资料!$B$10=""),"",SUMIFS(客户自备加工筐明细!$F$4:$F$1203,客户自备加工筐明细!$E$4:$E$1203,$B173,客户自备加工筐明细!$C$4:$C$1203,基础资料!$B$10,客户自备加工筐明细!$B$4:$B$1203,"&gt;="&amp;$T$1,客户自备加工筐明细!$B$4:$B$1203,"&lt;="&amp;$T$2))</f>
        <v/>
      </c>
      <c r="G173" s="67" t="str">
        <f>IF(OR($B173="",基础资料!$B$9=""),"",-SUMIFS(对接源_01水果筐数!$E$5:$E$304,对接源_01水果筐数!$B$5:$B$304,$B173,对接源_01水果筐数!$C$5:$C$304,基础资料!$B$9))</f>
        <v/>
      </c>
      <c r="H173" s="67" t="str">
        <f>IF(OR($B173="",基础资料!$B$10=""),"",-SUMIFS(对接源_01水果筐数!$E$5:$E$304,对接源_01水果筐数!$B$5:$B$304,$B173,对接源_01水果筐数!$C$5:$C$304,基础资料!$B$10))</f>
        <v/>
      </c>
      <c r="I173" s="67" t="str">
        <f>IF(OR($B173="",基础资料!$B$9=""),"",-SUMIFS(对接源_01水果筐数!$F$5:$F$304,对接源_01水果筐数!$B$5:$B$304,$B173,对接源_01水果筐数!$C$5:$C$304,基础资料!$B$9))</f>
        <v/>
      </c>
      <c r="J173" s="67" t="str">
        <f>IF(OR($B173="",基础资料!$B$10=""),"",-SUMIFS(对接源_01水果筐数!$F$5:$F$304,对接源_01水果筐数!$B$5:$B$304,$B173,对接源_01水果筐数!$C$5:$C$304,基础资料!$B$10))</f>
        <v/>
      </c>
      <c r="K173" s="67" t="str">
        <f>IF(OR($B173="",基础资料!$B$9=""),"",-SUMIFS(客户自备加工筐明细!$G$4:$G$1203,客户自备加工筐明细!$E$4:$E$1203,$B173,客户自备加工筐明细!$C$4:$C$1203,基础资料!$B$9,客户自备加工筐明细!$B$4:$B$1203,"&gt;="&amp;$T$1,客户自备加工筐明细!$B$4:$B$1203,"&lt;="&amp;$T$2))</f>
        <v/>
      </c>
      <c r="L173" s="67" t="str">
        <f>IF(OR($B173="",基础资料!$B$10=""),"",-SUMIFS(客户自备加工筐明细!$G$4:$G$1203,客户自备加工筐明细!$E$4:$E$1203,$B173,客户自备加工筐明细!$C$4:$C$1203,基础资料!$B$10,客户自备加工筐明细!$B$4:$B$1203,"&gt;="&amp;$T$1,客户自备加工筐明细!$B$4:$B$1203,"&lt;="&amp;$T$2))</f>
        <v/>
      </c>
      <c r="M173" s="25" t="str">
        <f t="shared" si="11"/>
        <v/>
      </c>
      <c r="N173" s="25" t="str">
        <f t="shared" si="12"/>
        <v/>
      </c>
      <c r="O173" s="25" t="str">
        <f t="shared" si="13"/>
        <v/>
      </c>
      <c r="P173" s="37" t="str">
        <f t="shared" si="14"/>
        <v/>
      </c>
      <c r="Q173" s="27"/>
    </row>
    <row r="174" spans="1:17">
      <c r="A174" s="22" t="str">
        <f t="shared" si="10"/>
        <v/>
      </c>
      <c r="B174" s="37" t="str">
        <f>IFERROR(INDEX(_自动清单!$AM$4:$AM$203,ROW()-3),"")</f>
        <v/>
      </c>
      <c r="C174" s="25" t="str">
        <f>IF(OR($B174="",基础资料!$B$9=""),"",SUMIFS(对接源_01水果筐数!$D$5:$D$304,对接源_01水果筐数!$B$5:$B$304,$B174,对接源_01水果筐数!$C$5:$C$304,基础资料!$B$9))</f>
        <v/>
      </c>
      <c r="D174" s="25" t="str">
        <f>IF(OR($B174="",基础资料!$B$10=""),"",SUMIFS(对接源_01水果筐数!$D$5:$D$304,对接源_01水果筐数!$B$5:$B$304,$B174,对接源_01水果筐数!$C$5:$C$304,基础资料!$B$10))</f>
        <v/>
      </c>
      <c r="E174" s="25" t="str">
        <f>IF(OR($B174="",基础资料!$B$9=""),"",SUMIFS(客户自备加工筐明细!$F$4:$F$1203,客户自备加工筐明细!$E$4:$E$1203,$B174,客户自备加工筐明细!$C$4:$C$1203,基础资料!$B$9,客户自备加工筐明细!$B$4:$B$1203,"&gt;="&amp;$T$1,客户自备加工筐明细!$B$4:$B$1203,"&lt;="&amp;$T$2))</f>
        <v/>
      </c>
      <c r="F174" s="25" t="str">
        <f>IF(OR($B174="",基础资料!$B$10=""),"",SUMIFS(客户自备加工筐明细!$F$4:$F$1203,客户自备加工筐明细!$E$4:$E$1203,$B174,客户自备加工筐明细!$C$4:$C$1203,基础资料!$B$10,客户自备加工筐明细!$B$4:$B$1203,"&gt;="&amp;$T$1,客户自备加工筐明细!$B$4:$B$1203,"&lt;="&amp;$T$2))</f>
        <v/>
      </c>
      <c r="G174" s="67" t="str">
        <f>IF(OR($B174="",基础资料!$B$9=""),"",-SUMIFS(对接源_01水果筐数!$E$5:$E$304,对接源_01水果筐数!$B$5:$B$304,$B174,对接源_01水果筐数!$C$5:$C$304,基础资料!$B$9))</f>
        <v/>
      </c>
      <c r="H174" s="67" t="str">
        <f>IF(OR($B174="",基础资料!$B$10=""),"",-SUMIFS(对接源_01水果筐数!$E$5:$E$304,对接源_01水果筐数!$B$5:$B$304,$B174,对接源_01水果筐数!$C$5:$C$304,基础资料!$B$10))</f>
        <v/>
      </c>
      <c r="I174" s="67" t="str">
        <f>IF(OR($B174="",基础资料!$B$9=""),"",-SUMIFS(对接源_01水果筐数!$F$5:$F$304,对接源_01水果筐数!$B$5:$B$304,$B174,对接源_01水果筐数!$C$5:$C$304,基础资料!$B$9))</f>
        <v/>
      </c>
      <c r="J174" s="67" t="str">
        <f>IF(OR($B174="",基础资料!$B$10=""),"",-SUMIFS(对接源_01水果筐数!$F$5:$F$304,对接源_01水果筐数!$B$5:$B$304,$B174,对接源_01水果筐数!$C$5:$C$304,基础资料!$B$10))</f>
        <v/>
      </c>
      <c r="K174" s="67" t="str">
        <f>IF(OR($B174="",基础资料!$B$9=""),"",-SUMIFS(客户自备加工筐明细!$G$4:$G$1203,客户自备加工筐明细!$E$4:$E$1203,$B174,客户自备加工筐明细!$C$4:$C$1203,基础资料!$B$9,客户自备加工筐明细!$B$4:$B$1203,"&gt;="&amp;$T$1,客户自备加工筐明细!$B$4:$B$1203,"&lt;="&amp;$T$2))</f>
        <v/>
      </c>
      <c r="L174" s="67" t="str">
        <f>IF(OR($B174="",基础资料!$B$10=""),"",-SUMIFS(客户自备加工筐明细!$G$4:$G$1203,客户自备加工筐明细!$E$4:$E$1203,$B174,客户自备加工筐明细!$C$4:$C$1203,基础资料!$B$10,客户自备加工筐明细!$B$4:$B$1203,"&gt;="&amp;$T$1,客户自备加工筐明细!$B$4:$B$1203,"&lt;="&amp;$T$2))</f>
        <v/>
      </c>
      <c r="M174" s="25" t="str">
        <f t="shared" si="11"/>
        <v/>
      </c>
      <c r="N174" s="25" t="str">
        <f t="shared" si="12"/>
        <v/>
      </c>
      <c r="O174" s="25" t="str">
        <f t="shared" si="13"/>
        <v/>
      </c>
      <c r="P174" s="37" t="str">
        <f t="shared" si="14"/>
        <v/>
      </c>
      <c r="Q174" s="27"/>
    </row>
    <row r="175" spans="1:17">
      <c r="A175" s="22" t="str">
        <f t="shared" si="10"/>
        <v/>
      </c>
      <c r="B175" s="37" t="str">
        <f>IFERROR(INDEX(_自动清单!$AM$4:$AM$203,ROW()-3),"")</f>
        <v/>
      </c>
      <c r="C175" s="25" t="str">
        <f>IF(OR($B175="",基础资料!$B$9=""),"",SUMIFS(对接源_01水果筐数!$D$5:$D$304,对接源_01水果筐数!$B$5:$B$304,$B175,对接源_01水果筐数!$C$5:$C$304,基础资料!$B$9))</f>
        <v/>
      </c>
      <c r="D175" s="25" t="str">
        <f>IF(OR($B175="",基础资料!$B$10=""),"",SUMIFS(对接源_01水果筐数!$D$5:$D$304,对接源_01水果筐数!$B$5:$B$304,$B175,对接源_01水果筐数!$C$5:$C$304,基础资料!$B$10))</f>
        <v/>
      </c>
      <c r="E175" s="25" t="str">
        <f>IF(OR($B175="",基础资料!$B$9=""),"",SUMIFS(客户自备加工筐明细!$F$4:$F$1203,客户自备加工筐明细!$E$4:$E$1203,$B175,客户自备加工筐明细!$C$4:$C$1203,基础资料!$B$9,客户自备加工筐明细!$B$4:$B$1203,"&gt;="&amp;$T$1,客户自备加工筐明细!$B$4:$B$1203,"&lt;="&amp;$T$2))</f>
        <v/>
      </c>
      <c r="F175" s="25" t="str">
        <f>IF(OR($B175="",基础资料!$B$10=""),"",SUMIFS(客户自备加工筐明细!$F$4:$F$1203,客户自备加工筐明细!$E$4:$E$1203,$B175,客户自备加工筐明细!$C$4:$C$1203,基础资料!$B$10,客户自备加工筐明细!$B$4:$B$1203,"&gt;="&amp;$T$1,客户自备加工筐明细!$B$4:$B$1203,"&lt;="&amp;$T$2))</f>
        <v/>
      </c>
      <c r="G175" s="67" t="str">
        <f>IF(OR($B175="",基础资料!$B$9=""),"",-SUMIFS(对接源_01水果筐数!$E$5:$E$304,对接源_01水果筐数!$B$5:$B$304,$B175,对接源_01水果筐数!$C$5:$C$304,基础资料!$B$9))</f>
        <v/>
      </c>
      <c r="H175" s="67" t="str">
        <f>IF(OR($B175="",基础资料!$B$10=""),"",-SUMIFS(对接源_01水果筐数!$E$5:$E$304,对接源_01水果筐数!$B$5:$B$304,$B175,对接源_01水果筐数!$C$5:$C$304,基础资料!$B$10))</f>
        <v/>
      </c>
      <c r="I175" s="67" t="str">
        <f>IF(OR($B175="",基础资料!$B$9=""),"",-SUMIFS(对接源_01水果筐数!$F$5:$F$304,对接源_01水果筐数!$B$5:$B$304,$B175,对接源_01水果筐数!$C$5:$C$304,基础资料!$B$9))</f>
        <v/>
      </c>
      <c r="J175" s="67" t="str">
        <f>IF(OR($B175="",基础资料!$B$10=""),"",-SUMIFS(对接源_01水果筐数!$F$5:$F$304,对接源_01水果筐数!$B$5:$B$304,$B175,对接源_01水果筐数!$C$5:$C$304,基础资料!$B$10))</f>
        <v/>
      </c>
      <c r="K175" s="67" t="str">
        <f>IF(OR($B175="",基础资料!$B$9=""),"",-SUMIFS(客户自备加工筐明细!$G$4:$G$1203,客户自备加工筐明细!$E$4:$E$1203,$B175,客户自备加工筐明细!$C$4:$C$1203,基础资料!$B$9,客户自备加工筐明细!$B$4:$B$1203,"&gt;="&amp;$T$1,客户自备加工筐明细!$B$4:$B$1203,"&lt;="&amp;$T$2))</f>
        <v/>
      </c>
      <c r="L175" s="67" t="str">
        <f>IF(OR($B175="",基础资料!$B$10=""),"",-SUMIFS(客户自备加工筐明细!$G$4:$G$1203,客户自备加工筐明细!$E$4:$E$1203,$B175,客户自备加工筐明细!$C$4:$C$1203,基础资料!$B$10,客户自备加工筐明细!$B$4:$B$1203,"&gt;="&amp;$T$1,客户自备加工筐明细!$B$4:$B$1203,"&lt;="&amp;$T$2))</f>
        <v/>
      </c>
      <c r="M175" s="25" t="str">
        <f t="shared" si="11"/>
        <v/>
      </c>
      <c r="N175" s="25" t="str">
        <f t="shared" si="12"/>
        <v/>
      </c>
      <c r="O175" s="25" t="str">
        <f t="shared" si="13"/>
        <v/>
      </c>
      <c r="P175" s="37" t="str">
        <f t="shared" si="14"/>
        <v/>
      </c>
      <c r="Q175" s="27"/>
    </row>
    <row r="176" spans="1:17">
      <c r="A176" s="22" t="str">
        <f t="shared" si="10"/>
        <v/>
      </c>
      <c r="B176" s="37" t="str">
        <f>IFERROR(INDEX(_自动清单!$AM$4:$AM$203,ROW()-3),"")</f>
        <v/>
      </c>
      <c r="C176" s="25" t="str">
        <f>IF(OR($B176="",基础资料!$B$9=""),"",SUMIFS(对接源_01水果筐数!$D$5:$D$304,对接源_01水果筐数!$B$5:$B$304,$B176,对接源_01水果筐数!$C$5:$C$304,基础资料!$B$9))</f>
        <v/>
      </c>
      <c r="D176" s="25" t="str">
        <f>IF(OR($B176="",基础资料!$B$10=""),"",SUMIFS(对接源_01水果筐数!$D$5:$D$304,对接源_01水果筐数!$B$5:$B$304,$B176,对接源_01水果筐数!$C$5:$C$304,基础资料!$B$10))</f>
        <v/>
      </c>
      <c r="E176" s="25" t="str">
        <f>IF(OR($B176="",基础资料!$B$9=""),"",SUMIFS(客户自备加工筐明细!$F$4:$F$1203,客户自备加工筐明细!$E$4:$E$1203,$B176,客户自备加工筐明细!$C$4:$C$1203,基础资料!$B$9,客户自备加工筐明细!$B$4:$B$1203,"&gt;="&amp;$T$1,客户自备加工筐明细!$B$4:$B$1203,"&lt;="&amp;$T$2))</f>
        <v/>
      </c>
      <c r="F176" s="25" t="str">
        <f>IF(OR($B176="",基础资料!$B$10=""),"",SUMIFS(客户自备加工筐明细!$F$4:$F$1203,客户自备加工筐明细!$E$4:$E$1203,$B176,客户自备加工筐明细!$C$4:$C$1203,基础资料!$B$10,客户自备加工筐明细!$B$4:$B$1203,"&gt;="&amp;$T$1,客户自备加工筐明细!$B$4:$B$1203,"&lt;="&amp;$T$2))</f>
        <v/>
      </c>
      <c r="G176" s="67" t="str">
        <f>IF(OR($B176="",基础资料!$B$9=""),"",-SUMIFS(对接源_01水果筐数!$E$5:$E$304,对接源_01水果筐数!$B$5:$B$304,$B176,对接源_01水果筐数!$C$5:$C$304,基础资料!$B$9))</f>
        <v/>
      </c>
      <c r="H176" s="67" t="str">
        <f>IF(OR($B176="",基础资料!$B$10=""),"",-SUMIFS(对接源_01水果筐数!$E$5:$E$304,对接源_01水果筐数!$B$5:$B$304,$B176,对接源_01水果筐数!$C$5:$C$304,基础资料!$B$10))</f>
        <v/>
      </c>
      <c r="I176" s="67" t="str">
        <f>IF(OR($B176="",基础资料!$B$9=""),"",-SUMIFS(对接源_01水果筐数!$F$5:$F$304,对接源_01水果筐数!$B$5:$B$304,$B176,对接源_01水果筐数!$C$5:$C$304,基础资料!$B$9))</f>
        <v/>
      </c>
      <c r="J176" s="67" t="str">
        <f>IF(OR($B176="",基础资料!$B$10=""),"",-SUMIFS(对接源_01水果筐数!$F$5:$F$304,对接源_01水果筐数!$B$5:$B$304,$B176,对接源_01水果筐数!$C$5:$C$304,基础资料!$B$10))</f>
        <v/>
      </c>
      <c r="K176" s="67" t="str">
        <f>IF(OR($B176="",基础资料!$B$9=""),"",-SUMIFS(客户自备加工筐明细!$G$4:$G$1203,客户自备加工筐明细!$E$4:$E$1203,$B176,客户自备加工筐明细!$C$4:$C$1203,基础资料!$B$9,客户自备加工筐明细!$B$4:$B$1203,"&gt;="&amp;$T$1,客户自备加工筐明细!$B$4:$B$1203,"&lt;="&amp;$T$2))</f>
        <v/>
      </c>
      <c r="L176" s="67" t="str">
        <f>IF(OR($B176="",基础资料!$B$10=""),"",-SUMIFS(客户自备加工筐明细!$G$4:$G$1203,客户自备加工筐明细!$E$4:$E$1203,$B176,客户自备加工筐明细!$C$4:$C$1203,基础资料!$B$10,客户自备加工筐明细!$B$4:$B$1203,"&gt;="&amp;$T$1,客户自备加工筐明细!$B$4:$B$1203,"&lt;="&amp;$T$2))</f>
        <v/>
      </c>
      <c r="M176" s="25" t="str">
        <f t="shared" si="11"/>
        <v/>
      </c>
      <c r="N176" s="25" t="str">
        <f t="shared" si="12"/>
        <v/>
      </c>
      <c r="O176" s="25" t="str">
        <f t="shared" si="13"/>
        <v/>
      </c>
      <c r="P176" s="37" t="str">
        <f t="shared" si="14"/>
        <v/>
      </c>
      <c r="Q176" s="27"/>
    </row>
    <row r="177" spans="1:17">
      <c r="A177" s="22" t="str">
        <f t="shared" si="10"/>
        <v/>
      </c>
      <c r="B177" s="37" t="str">
        <f>IFERROR(INDEX(_自动清单!$AM$4:$AM$203,ROW()-3),"")</f>
        <v/>
      </c>
      <c r="C177" s="25" t="str">
        <f>IF(OR($B177="",基础资料!$B$9=""),"",SUMIFS(对接源_01水果筐数!$D$5:$D$304,对接源_01水果筐数!$B$5:$B$304,$B177,对接源_01水果筐数!$C$5:$C$304,基础资料!$B$9))</f>
        <v/>
      </c>
      <c r="D177" s="25" t="str">
        <f>IF(OR($B177="",基础资料!$B$10=""),"",SUMIFS(对接源_01水果筐数!$D$5:$D$304,对接源_01水果筐数!$B$5:$B$304,$B177,对接源_01水果筐数!$C$5:$C$304,基础资料!$B$10))</f>
        <v/>
      </c>
      <c r="E177" s="25" t="str">
        <f>IF(OR($B177="",基础资料!$B$9=""),"",SUMIFS(客户自备加工筐明细!$F$4:$F$1203,客户自备加工筐明细!$E$4:$E$1203,$B177,客户自备加工筐明细!$C$4:$C$1203,基础资料!$B$9,客户自备加工筐明细!$B$4:$B$1203,"&gt;="&amp;$T$1,客户自备加工筐明细!$B$4:$B$1203,"&lt;="&amp;$T$2))</f>
        <v/>
      </c>
      <c r="F177" s="25" t="str">
        <f>IF(OR($B177="",基础资料!$B$10=""),"",SUMIFS(客户自备加工筐明细!$F$4:$F$1203,客户自备加工筐明细!$E$4:$E$1203,$B177,客户自备加工筐明细!$C$4:$C$1203,基础资料!$B$10,客户自备加工筐明细!$B$4:$B$1203,"&gt;="&amp;$T$1,客户自备加工筐明细!$B$4:$B$1203,"&lt;="&amp;$T$2))</f>
        <v/>
      </c>
      <c r="G177" s="67" t="str">
        <f>IF(OR($B177="",基础资料!$B$9=""),"",-SUMIFS(对接源_01水果筐数!$E$5:$E$304,对接源_01水果筐数!$B$5:$B$304,$B177,对接源_01水果筐数!$C$5:$C$304,基础资料!$B$9))</f>
        <v/>
      </c>
      <c r="H177" s="67" t="str">
        <f>IF(OR($B177="",基础资料!$B$10=""),"",-SUMIFS(对接源_01水果筐数!$E$5:$E$304,对接源_01水果筐数!$B$5:$B$304,$B177,对接源_01水果筐数!$C$5:$C$304,基础资料!$B$10))</f>
        <v/>
      </c>
      <c r="I177" s="67" t="str">
        <f>IF(OR($B177="",基础资料!$B$9=""),"",-SUMIFS(对接源_01水果筐数!$F$5:$F$304,对接源_01水果筐数!$B$5:$B$304,$B177,对接源_01水果筐数!$C$5:$C$304,基础资料!$B$9))</f>
        <v/>
      </c>
      <c r="J177" s="67" t="str">
        <f>IF(OR($B177="",基础资料!$B$10=""),"",-SUMIFS(对接源_01水果筐数!$F$5:$F$304,对接源_01水果筐数!$B$5:$B$304,$B177,对接源_01水果筐数!$C$5:$C$304,基础资料!$B$10))</f>
        <v/>
      </c>
      <c r="K177" s="67" t="str">
        <f>IF(OR($B177="",基础资料!$B$9=""),"",-SUMIFS(客户自备加工筐明细!$G$4:$G$1203,客户自备加工筐明细!$E$4:$E$1203,$B177,客户自备加工筐明细!$C$4:$C$1203,基础资料!$B$9,客户自备加工筐明细!$B$4:$B$1203,"&gt;="&amp;$T$1,客户自备加工筐明细!$B$4:$B$1203,"&lt;="&amp;$T$2))</f>
        <v/>
      </c>
      <c r="L177" s="67" t="str">
        <f>IF(OR($B177="",基础资料!$B$10=""),"",-SUMIFS(客户自备加工筐明细!$G$4:$G$1203,客户自备加工筐明细!$E$4:$E$1203,$B177,客户自备加工筐明细!$C$4:$C$1203,基础资料!$B$10,客户自备加工筐明细!$B$4:$B$1203,"&gt;="&amp;$T$1,客户自备加工筐明细!$B$4:$B$1203,"&lt;="&amp;$T$2))</f>
        <v/>
      </c>
      <c r="M177" s="25" t="str">
        <f t="shared" si="11"/>
        <v/>
      </c>
      <c r="N177" s="25" t="str">
        <f t="shared" si="12"/>
        <v/>
      </c>
      <c r="O177" s="25" t="str">
        <f t="shared" si="13"/>
        <v/>
      </c>
      <c r="P177" s="37" t="str">
        <f t="shared" si="14"/>
        <v/>
      </c>
      <c r="Q177" s="27"/>
    </row>
    <row r="178" spans="1:17">
      <c r="A178" s="22" t="str">
        <f t="shared" si="10"/>
        <v/>
      </c>
      <c r="B178" s="37" t="str">
        <f>IFERROR(INDEX(_自动清单!$AM$4:$AM$203,ROW()-3),"")</f>
        <v/>
      </c>
      <c r="C178" s="25" t="str">
        <f>IF(OR($B178="",基础资料!$B$9=""),"",SUMIFS(对接源_01水果筐数!$D$5:$D$304,对接源_01水果筐数!$B$5:$B$304,$B178,对接源_01水果筐数!$C$5:$C$304,基础资料!$B$9))</f>
        <v/>
      </c>
      <c r="D178" s="25" t="str">
        <f>IF(OR($B178="",基础资料!$B$10=""),"",SUMIFS(对接源_01水果筐数!$D$5:$D$304,对接源_01水果筐数!$B$5:$B$304,$B178,对接源_01水果筐数!$C$5:$C$304,基础资料!$B$10))</f>
        <v/>
      </c>
      <c r="E178" s="25" t="str">
        <f>IF(OR($B178="",基础资料!$B$9=""),"",SUMIFS(客户自备加工筐明细!$F$4:$F$1203,客户自备加工筐明细!$E$4:$E$1203,$B178,客户自备加工筐明细!$C$4:$C$1203,基础资料!$B$9,客户自备加工筐明细!$B$4:$B$1203,"&gt;="&amp;$T$1,客户自备加工筐明细!$B$4:$B$1203,"&lt;="&amp;$T$2))</f>
        <v/>
      </c>
      <c r="F178" s="25" t="str">
        <f>IF(OR($B178="",基础资料!$B$10=""),"",SUMIFS(客户自备加工筐明细!$F$4:$F$1203,客户自备加工筐明细!$E$4:$E$1203,$B178,客户自备加工筐明细!$C$4:$C$1203,基础资料!$B$10,客户自备加工筐明细!$B$4:$B$1203,"&gt;="&amp;$T$1,客户自备加工筐明细!$B$4:$B$1203,"&lt;="&amp;$T$2))</f>
        <v/>
      </c>
      <c r="G178" s="67" t="str">
        <f>IF(OR($B178="",基础资料!$B$9=""),"",-SUMIFS(对接源_01水果筐数!$E$5:$E$304,对接源_01水果筐数!$B$5:$B$304,$B178,对接源_01水果筐数!$C$5:$C$304,基础资料!$B$9))</f>
        <v/>
      </c>
      <c r="H178" s="67" t="str">
        <f>IF(OR($B178="",基础资料!$B$10=""),"",-SUMIFS(对接源_01水果筐数!$E$5:$E$304,对接源_01水果筐数!$B$5:$B$304,$B178,对接源_01水果筐数!$C$5:$C$304,基础资料!$B$10))</f>
        <v/>
      </c>
      <c r="I178" s="67" t="str">
        <f>IF(OR($B178="",基础资料!$B$9=""),"",-SUMIFS(对接源_01水果筐数!$F$5:$F$304,对接源_01水果筐数!$B$5:$B$304,$B178,对接源_01水果筐数!$C$5:$C$304,基础资料!$B$9))</f>
        <v/>
      </c>
      <c r="J178" s="67" t="str">
        <f>IF(OR($B178="",基础资料!$B$10=""),"",-SUMIFS(对接源_01水果筐数!$F$5:$F$304,对接源_01水果筐数!$B$5:$B$304,$B178,对接源_01水果筐数!$C$5:$C$304,基础资料!$B$10))</f>
        <v/>
      </c>
      <c r="K178" s="67" t="str">
        <f>IF(OR($B178="",基础资料!$B$9=""),"",-SUMIFS(客户自备加工筐明细!$G$4:$G$1203,客户自备加工筐明细!$E$4:$E$1203,$B178,客户自备加工筐明细!$C$4:$C$1203,基础资料!$B$9,客户自备加工筐明细!$B$4:$B$1203,"&gt;="&amp;$T$1,客户自备加工筐明细!$B$4:$B$1203,"&lt;="&amp;$T$2))</f>
        <v/>
      </c>
      <c r="L178" s="67" t="str">
        <f>IF(OR($B178="",基础资料!$B$10=""),"",-SUMIFS(客户自备加工筐明细!$G$4:$G$1203,客户自备加工筐明细!$E$4:$E$1203,$B178,客户自备加工筐明细!$C$4:$C$1203,基础资料!$B$10,客户自备加工筐明细!$B$4:$B$1203,"&gt;="&amp;$T$1,客户自备加工筐明细!$B$4:$B$1203,"&lt;="&amp;$T$2))</f>
        <v/>
      </c>
      <c r="M178" s="25" t="str">
        <f t="shared" si="11"/>
        <v/>
      </c>
      <c r="N178" s="25" t="str">
        <f t="shared" si="12"/>
        <v/>
      </c>
      <c r="O178" s="25" t="str">
        <f t="shared" si="13"/>
        <v/>
      </c>
      <c r="P178" s="37" t="str">
        <f t="shared" si="14"/>
        <v/>
      </c>
      <c r="Q178" s="27"/>
    </row>
    <row r="179" spans="1:17">
      <c r="A179" s="22" t="str">
        <f t="shared" si="10"/>
        <v/>
      </c>
      <c r="B179" s="37" t="str">
        <f>IFERROR(INDEX(_自动清单!$AM$4:$AM$203,ROW()-3),"")</f>
        <v/>
      </c>
      <c r="C179" s="25" t="str">
        <f>IF(OR($B179="",基础资料!$B$9=""),"",SUMIFS(对接源_01水果筐数!$D$5:$D$304,对接源_01水果筐数!$B$5:$B$304,$B179,对接源_01水果筐数!$C$5:$C$304,基础资料!$B$9))</f>
        <v/>
      </c>
      <c r="D179" s="25" t="str">
        <f>IF(OR($B179="",基础资料!$B$10=""),"",SUMIFS(对接源_01水果筐数!$D$5:$D$304,对接源_01水果筐数!$B$5:$B$304,$B179,对接源_01水果筐数!$C$5:$C$304,基础资料!$B$10))</f>
        <v/>
      </c>
      <c r="E179" s="25" t="str">
        <f>IF(OR($B179="",基础资料!$B$9=""),"",SUMIFS(客户自备加工筐明细!$F$4:$F$1203,客户自备加工筐明细!$E$4:$E$1203,$B179,客户自备加工筐明细!$C$4:$C$1203,基础资料!$B$9,客户自备加工筐明细!$B$4:$B$1203,"&gt;="&amp;$T$1,客户自备加工筐明细!$B$4:$B$1203,"&lt;="&amp;$T$2))</f>
        <v/>
      </c>
      <c r="F179" s="25" t="str">
        <f>IF(OR($B179="",基础资料!$B$10=""),"",SUMIFS(客户自备加工筐明细!$F$4:$F$1203,客户自备加工筐明细!$E$4:$E$1203,$B179,客户自备加工筐明细!$C$4:$C$1203,基础资料!$B$10,客户自备加工筐明细!$B$4:$B$1203,"&gt;="&amp;$T$1,客户自备加工筐明细!$B$4:$B$1203,"&lt;="&amp;$T$2))</f>
        <v/>
      </c>
      <c r="G179" s="67" t="str">
        <f>IF(OR($B179="",基础资料!$B$9=""),"",-SUMIFS(对接源_01水果筐数!$E$5:$E$304,对接源_01水果筐数!$B$5:$B$304,$B179,对接源_01水果筐数!$C$5:$C$304,基础资料!$B$9))</f>
        <v/>
      </c>
      <c r="H179" s="67" t="str">
        <f>IF(OR($B179="",基础资料!$B$10=""),"",-SUMIFS(对接源_01水果筐数!$E$5:$E$304,对接源_01水果筐数!$B$5:$B$304,$B179,对接源_01水果筐数!$C$5:$C$304,基础资料!$B$10))</f>
        <v/>
      </c>
      <c r="I179" s="67" t="str">
        <f>IF(OR($B179="",基础资料!$B$9=""),"",-SUMIFS(对接源_01水果筐数!$F$5:$F$304,对接源_01水果筐数!$B$5:$B$304,$B179,对接源_01水果筐数!$C$5:$C$304,基础资料!$B$9))</f>
        <v/>
      </c>
      <c r="J179" s="67" t="str">
        <f>IF(OR($B179="",基础资料!$B$10=""),"",-SUMIFS(对接源_01水果筐数!$F$5:$F$304,对接源_01水果筐数!$B$5:$B$304,$B179,对接源_01水果筐数!$C$5:$C$304,基础资料!$B$10))</f>
        <v/>
      </c>
      <c r="K179" s="67" t="str">
        <f>IF(OR($B179="",基础资料!$B$9=""),"",-SUMIFS(客户自备加工筐明细!$G$4:$G$1203,客户自备加工筐明细!$E$4:$E$1203,$B179,客户自备加工筐明细!$C$4:$C$1203,基础资料!$B$9,客户自备加工筐明细!$B$4:$B$1203,"&gt;="&amp;$T$1,客户自备加工筐明细!$B$4:$B$1203,"&lt;="&amp;$T$2))</f>
        <v/>
      </c>
      <c r="L179" s="67" t="str">
        <f>IF(OR($B179="",基础资料!$B$10=""),"",-SUMIFS(客户自备加工筐明细!$G$4:$G$1203,客户自备加工筐明细!$E$4:$E$1203,$B179,客户自备加工筐明细!$C$4:$C$1203,基础资料!$B$10,客户自备加工筐明细!$B$4:$B$1203,"&gt;="&amp;$T$1,客户自备加工筐明细!$B$4:$B$1203,"&lt;="&amp;$T$2))</f>
        <v/>
      </c>
      <c r="M179" s="25" t="str">
        <f t="shared" si="11"/>
        <v/>
      </c>
      <c r="N179" s="25" t="str">
        <f t="shared" si="12"/>
        <v/>
      </c>
      <c r="O179" s="25" t="str">
        <f t="shared" si="13"/>
        <v/>
      </c>
      <c r="P179" s="37" t="str">
        <f t="shared" si="14"/>
        <v/>
      </c>
      <c r="Q179" s="27"/>
    </row>
    <row r="180" spans="1:17">
      <c r="A180" s="22" t="str">
        <f t="shared" si="10"/>
        <v/>
      </c>
      <c r="B180" s="37" t="str">
        <f>IFERROR(INDEX(_自动清单!$AM$4:$AM$203,ROW()-3),"")</f>
        <v/>
      </c>
      <c r="C180" s="25" t="str">
        <f>IF(OR($B180="",基础资料!$B$9=""),"",SUMIFS(对接源_01水果筐数!$D$5:$D$304,对接源_01水果筐数!$B$5:$B$304,$B180,对接源_01水果筐数!$C$5:$C$304,基础资料!$B$9))</f>
        <v/>
      </c>
      <c r="D180" s="25" t="str">
        <f>IF(OR($B180="",基础资料!$B$10=""),"",SUMIFS(对接源_01水果筐数!$D$5:$D$304,对接源_01水果筐数!$B$5:$B$304,$B180,对接源_01水果筐数!$C$5:$C$304,基础资料!$B$10))</f>
        <v/>
      </c>
      <c r="E180" s="25" t="str">
        <f>IF(OR($B180="",基础资料!$B$9=""),"",SUMIFS(客户自备加工筐明细!$F$4:$F$1203,客户自备加工筐明细!$E$4:$E$1203,$B180,客户自备加工筐明细!$C$4:$C$1203,基础资料!$B$9,客户自备加工筐明细!$B$4:$B$1203,"&gt;="&amp;$T$1,客户自备加工筐明细!$B$4:$B$1203,"&lt;="&amp;$T$2))</f>
        <v/>
      </c>
      <c r="F180" s="25" t="str">
        <f>IF(OR($B180="",基础资料!$B$10=""),"",SUMIFS(客户自备加工筐明细!$F$4:$F$1203,客户自备加工筐明细!$E$4:$E$1203,$B180,客户自备加工筐明细!$C$4:$C$1203,基础资料!$B$10,客户自备加工筐明细!$B$4:$B$1203,"&gt;="&amp;$T$1,客户自备加工筐明细!$B$4:$B$1203,"&lt;="&amp;$T$2))</f>
        <v/>
      </c>
      <c r="G180" s="67" t="str">
        <f>IF(OR($B180="",基础资料!$B$9=""),"",-SUMIFS(对接源_01水果筐数!$E$5:$E$304,对接源_01水果筐数!$B$5:$B$304,$B180,对接源_01水果筐数!$C$5:$C$304,基础资料!$B$9))</f>
        <v/>
      </c>
      <c r="H180" s="67" t="str">
        <f>IF(OR($B180="",基础资料!$B$10=""),"",-SUMIFS(对接源_01水果筐数!$E$5:$E$304,对接源_01水果筐数!$B$5:$B$304,$B180,对接源_01水果筐数!$C$5:$C$304,基础资料!$B$10))</f>
        <v/>
      </c>
      <c r="I180" s="67" t="str">
        <f>IF(OR($B180="",基础资料!$B$9=""),"",-SUMIFS(对接源_01水果筐数!$F$5:$F$304,对接源_01水果筐数!$B$5:$B$304,$B180,对接源_01水果筐数!$C$5:$C$304,基础资料!$B$9))</f>
        <v/>
      </c>
      <c r="J180" s="67" t="str">
        <f>IF(OR($B180="",基础资料!$B$10=""),"",-SUMIFS(对接源_01水果筐数!$F$5:$F$304,对接源_01水果筐数!$B$5:$B$304,$B180,对接源_01水果筐数!$C$5:$C$304,基础资料!$B$10))</f>
        <v/>
      </c>
      <c r="K180" s="67" t="str">
        <f>IF(OR($B180="",基础资料!$B$9=""),"",-SUMIFS(客户自备加工筐明细!$G$4:$G$1203,客户自备加工筐明细!$E$4:$E$1203,$B180,客户自备加工筐明细!$C$4:$C$1203,基础资料!$B$9,客户自备加工筐明细!$B$4:$B$1203,"&gt;="&amp;$T$1,客户自备加工筐明细!$B$4:$B$1203,"&lt;="&amp;$T$2))</f>
        <v/>
      </c>
      <c r="L180" s="67" t="str">
        <f>IF(OR($B180="",基础资料!$B$10=""),"",-SUMIFS(客户自备加工筐明细!$G$4:$G$1203,客户自备加工筐明细!$E$4:$E$1203,$B180,客户自备加工筐明细!$C$4:$C$1203,基础资料!$B$10,客户自备加工筐明细!$B$4:$B$1203,"&gt;="&amp;$T$1,客户自备加工筐明细!$B$4:$B$1203,"&lt;="&amp;$T$2))</f>
        <v/>
      </c>
      <c r="M180" s="25" t="str">
        <f t="shared" si="11"/>
        <v/>
      </c>
      <c r="N180" s="25" t="str">
        <f t="shared" si="12"/>
        <v/>
      </c>
      <c r="O180" s="25" t="str">
        <f t="shared" si="13"/>
        <v/>
      </c>
      <c r="P180" s="37" t="str">
        <f t="shared" si="14"/>
        <v/>
      </c>
      <c r="Q180" s="27"/>
    </row>
    <row r="181" spans="1:17">
      <c r="A181" s="22" t="str">
        <f t="shared" si="10"/>
        <v/>
      </c>
      <c r="B181" s="37" t="str">
        <f>IFERROR(INDEX(_自动清单!$AM$4:$AM$203,ROW()-3),"")</f>
        <v/>
      </c>
      <c r="C181" s="25" t="str">
        <f>IF(OR($B181="",基础资料!$B$9=""),"",SUMIFS(对接源_01水果筐数!$D$5:$D$304,对接源_01水果筐数!$B$5:$B$304,$B181,对接源_01水果筐数!$C$5:$C$304,基础资料!$B$9))</f>
        <v/>
      </c>
      <c r="D181" s="25" t="str">
        <f>IF(OR($B181="",基础资料!$B$10=""),"",SUMIFS(对接源_01水果筐数!$D$5:$D$304,对接源_01水果筐数!$B$5:$B$304,$B181,对接源_01水果筐数!$C$5:$C$304,基础资料!$B$10))</f>
        <v/>
      </c>
      <c r="E181" s="25" t="str">
        <f>IF(OR($B181="",基础资料!$B$9=""),"",SUMIFS(客户自备加工筐明细!$F$4:$F$1203,客户自备加工筐明细!$E$4:$E$1203,$B181,客户自备加工筐明细!$C$4:$C$1203,基础资料!$B$9,客户自备加工筐明细!$B$4:$B$1203,"&gt;="&amp;$T$1,客户自备加工筐明细!$B$4:$B$1203,"&lt;="&amp;$T$2))</f>
        <v/>
      </c>
      <c r="F181" s="25" t="str">
        <f>IF(OR($B181="",基础资料!$B$10=""),"",SUMIFS(客户自备加工筐明细!$F$4:$F$1203,客户自备加工筐明细!$E$4:$E$1203,$B181,客户自备加工筐明细!$C$4:$C$1203,基础资料!$B$10,客户自备加工筐明细!$B$4:$B$1203,"&gt;="&amp;$T$1,客户自备加工筐明细!$B$4:$B$1203,"&lt;="&amp;$T$2))</f>
        <v/>
      </c>
      <c r="G181" s="67" t="str">
        <f>IF(OR($B181="",基础资料!$B$9=""),"",-SUMIFS(对接源_01水果筐数!$E$5:$E$304,对接源_01水果筐数!$B$5:$B$304,$B181,对接源_01水果筐数!$C$5:$C$304,基础资料!$B$9))</f>
        <v/>
      </c>
      <c r="H181" s="67" t="str">
        <f>IF(OR($B181="",基础资料!$B$10=""),"",-SUMIFS(对接源_01水果筐数!$E$5:$E$304,对接源_01水果筐数!$B$5:$B$304,$B181,对接源_01水果筐数!$C$5:$C$304,基础资料!$B$10))</f>
        <v/>
      </c>
      <c r="I181" s="67" t="str">
        <f>IF(OR($B181="",基础资料!$B$9=""),"",-SUMIFS(对接源_01水果筐数!$F$5:$F$304,对接源_01水果筐数!$B$5:$B$304,$B181,对接源_01水果筐数!$C$5:$C$304,基础资料!$B$9))</f>
        <v/>
      </c>
      <c r="J181" s="67" t="str">
        <f>IF(OR($B181="",基础资料!$B$10=""),"",-SUMIFS(对接源_01水果筐数!$F$5:$F$304,对接源_01水果筐数!$B$5:$B$304,$B181,对接源_01水果筐数!$C$5:$C$304,基础资料!$B$10))</f>
        <v/>
      </c>
      <c r="K181" s="67" t="str">
        <f>IF(OR($B181="",基础资料!$B$9=""),"",-SUMIFS(客户自备加工筐明细!$G$4:$G$1203,客户自备加工筐明细!$E$4:$E$1203,$B181,客户自备加工筐明细!$C$4:$C$1203,基础资料!$B$9,客户自备加工筐明细!$B$4:$B$1203,"&gt;="&amp;$T$1,客户自备加工筐明细!$B$4:$B$1203,"&lt;="&amp;$T$2))</f>
        <v/>
      </c>
      <c r="L181" s="67" t="str">
        <f>IF(OR($B181="",基础资料!$B$10=""),"",-SUMIFS(客户自备加工筐明细!$G$4:$G$1203,客户自备加工筐明细!$E$4:$E$1203,$B181,客户自备加工筐明细!$C$4:$C$1203,基础资料!$B$10,客户自备加工筐明细!$B$4:$B$1203,"&gt;="&amp;$T$1,客户自备加工筐明细!$B$4:$B$1203,"&lt;="&amp;$T$2))</f>
        <v/>
      </c>
      <c r="M181" s="25" t="str">
        <f t="shared" si="11"/>
        <v/>
      </c>
      <c r="N181" s="25" t="str">
        <f t="shared" si="12"/>
        <v/>
      </c>
      <c r="O181" s="25" t="str">
        <f t="shared" si="13"/>
        <v/>
      </c>
      <c r="P181" s="37" t="str">
        <f t="shared" si="14"/>
        <v/>
      </c>
      <c r="Q181" s="27"/>
    </row>
    <row r="182" spans="1:17">
      <c r="A182" s="22" t="str">
        <f t="shared" si="10"/>
        <v/>
      </c>
      <c r="B182" s="37" t="str">
        <f>IFERROR(INDEX(_自动清单!$AM$4:$AM$203,ROW()-3),"")</f>
        <v/>
      </c>
      <c r="C182" s="25" t="str">
        <f>IF(OR($B182="",基础资料!$B$9=""),"",SUMIFS(对接源_01水果筐数!$D$5:$D$304,对接源_01水果筐数!$B$5:$B$304,$B182,对接源_01水果筐数!$C$5:$C$304,基础资料!$B$9))</f>
        <v/>
      </c>
      <c r="D182" s="25" t="str">
        <f>IF(OR($B182="",基础资料!$B$10=""),"",SUMIFS(对接源_01水果筐数!$D$5:$D$304,对接源_01水果筐数!$B$5:$B$304,$B182,对接源_01水果筐数!$C$5:$C$304,基础资料!$B$10))</f>
        <v/>
      </c>
      <c r="E182" s="25" t="str">
        <f>IF(OR($B182="",基础资料!$B$9=""),"",SUMIFS(客户自备加工筐明细!$F$4:$F$1203,客户自备加工筐明细!$E$4:$E$1203,$B182,客户自备加工筐明细!$C$4:$C$1203,基础资料!$B$9,客户自备加工筐明细!$B$4:$B$1203,"&gt;="&amp;$T$1,客户自备加工筐明细!$B$4:$B$1203,"&lt;="&amp;$T$2))</f>
        <v/>
      </c>
      <c r="F182" s="25" t="str">
        <f>IF(OR($B182="",基础资料!$B$10=""),"",SUMIFS(客户自备加工筐明细!$F$4:$F$1203,客户自备加工筐明细!$E$4:$E$1203,$B182,客户自备加工筐明细!$C$4:$C$1203,基础资料!$B$10,客户自备加工筐明细!$B$4:$B$1203,"&gt;="&amp;$T$1,客户自备加工筐明细!$B$4:$B$1203,"&lt;="&amp;$T$2))</f>
        <v/>
      </c>
      <c r="G182" s="67" t="str">
        <f>IF(OR($B182="",基础资料!$B$9=""),"",-SUMIFS(对接源_01水果筐数!$E$5:$E$304,对接源_01水果筐数!$B$5:$B$304,$B182,对接源_01水果筐数!$C$5:$C$304,基础资料!$B$9))</f>
        <v/>
      </c>
      <c r="H182" s="67" t="str">
        <f>IF(OR($B182="",基础资料!$B$10=""),"",-SUMIFS(对接源_01水果筐数!$E$5:$E$304,对接源_01水果筐数!$B$5:$B$304,$B182,对接源_01水果筐数!$C$5:$C$304,基础资料!$B$10))</f>
        <v/>
      </c>
      <c r="I182" s="67" t="str">
        <f>IF(OR($B182="",基础资料!$B$9=""),"",-SUMIFS(对接源_01水果筐数!$F$5:$F$304,对接源_01水果筐数!$B$5:$B$304,$B182,对接源_01水果筐数!$C$5:$C$304,基础资料!$B$9))</f>
        <v/>
      </c>
      <c r="J182" s="67" t="str">
        <f>IF(OR($B182="",基础资料!$B$10=""),"",-SUMIFS(对接源_01水果筐数!$F$5:$F$304,对接源_01水果筐数!$B$5:$B$304,$B182,对接源_01水果筐数!$C$5:$C$304,基础资料!$B$10))</f>
        <v/>
      </c>
      <c r="K182" s="67" t="str">
        <f>IF(OR($B182="",基础资料!$B$9=""),"",-SUMIFS(客户自备加工筐明细!$G$4:$G$1203,客户自备加工筐明细!$E$4:$E$1203,$B182,客户自备加工筐明细!$C$4:$C$1203,基础资料!$B$9,客户自备加工筐明细!$B$4:$B$1203,"&gt;="&amp;$T$1,客户自备加工筐明细!$B$4:$B$1203,"&lt;="&amp;$T$2))</f>
        <v/>
      </c>
      <c r="L182" s="67" t="str">
        <f>IF(OR($B182="",基础资料!$B$10=""),"",-SUMIFS(客户自备加工筐明细!$G$4:$G$1203,客户自备加工筐明细!$E$4:$E$1203,$B182,客户自备加工筐明细!$C$4:$C$1203,基础资料!$B$10,客户自备加工筐明细!$B$4:$B$1203,"&gt;="&amp;$T$1,客户自备加工筐明细!$B$4:$B$1203,"&lt;="&amp;$T$2))</f>
        <v/>
      </c>
      <c r="M182" s="25" t="str">
        <f t="shared" si="11"/>
        <v/>
      </c>
      <c r="N182" s="25" t="str">
        <f t="shared" si="12"/>
        <v/>
      </c>
      <c r="O182" s="25" t="str">
        <f t="shared" si="13"/>
        <v/>
      </c>
      <c r="P182" s="37" t="str">
        <f t="shared" si="14"/>
        <v/>
      </c>
      <c r="Q182" s="27"/>
    </row>
    <row r="183" spans="1:17">
      <c r="A183" s="22" t="str">
        <f t="shared" si="10"/>
        <v/>
      </c>
      <c r="B183" s="37" t="str">
        <f>IFERROR(INDEX(_自动清单!$AM$4:$AM$203,ROW()-3),"")</f>
        <v/>
      </c>
      <c r="C183" s="25" t="str">
        <f>IF(OR($B183="",基础资料!$B$9=""),"",SUMIFS(对接源_01水果筐数!$D$5:$D$304,对接源_01水果筐数!$B$5:$B$304,$B183,对接源_01水果筐数!$C$5:$C$304,基础资料!$B$9))</f>
        <v/>
      </c>
      <c r="D183" s="25" t="str">
        <f>IF(OR($B183="",基础资料!$B$10=""),"",SUMIFS(对接源_01水果筐数!$D$5:$D$304,对接源_01水果筐数!$B$5:$B$304,$B183,对接源_01水果筐数!$C$5:$C$304,基础资料!$B$10))</f>
        <v/>
      </c>
      <c r="E183" s="25" t="str">
        <f>IF(OR($B183="",基础资料!$B$9=""),"",SUMIFS(客户自备加工筐明细!$F$4:$F$1203,客户自备加工筐明细!$E$4:$E$1203,$B183,客户自备加工筐明细!$C$4:$C$1203,基础资料!$B$9,客户自备加工筐明细!$B$4:$B$1203,"&gt;="&amp;$T$1,客户自备加工筐明细!$B$4:$B$1203,"&lt;="&amp;$T$2))</f>
        <v/>
      </c>
      <c r="F183" s="25" t="str">
        <f>IF(OR($B183="",基础资料!$B$10=""),"",SUMIFS(客户自备加工筐明细!$F$4:$F$1203,客户自备加工筐明细!$E$4:$E$1203,$B183,客户自备加工筐明细!$C$4:$C$1203,基础资料!$B$10,客户自备加工筐明细!$B$4:$B$1203,"&gt;="&amp;$T$1,客户自备加工筐明细!$B$4:$B$1203,"&lt;="&amp;$T$2))</f>
        <v/>
      </c>
      <c r="G183" s="67" t="str">
        <f>IF(OR($B183="",基础资料!$B$9=""),"",-SUMIFS(对接源_01水果筐数!$E$5:$E$304,对接源_01水果筐数!$B$5:$B$304,$B183,对接源_01水果筐数!$C$5:$C$304,基础资料!$B$9))</f>
        <v/>
      </c>
      <c r="H183" s="67" t="str">
        <f>IF(OR($B183="",基础资料!$B$10=""),"",-SUMIFS(对接源_01水果筐数!$E$5:$E$304,对接源_01水果筐数!$B$5:$B$304,$B183,对接源_01水果筐数!$C$5:$C$304,基础资料!$B$10))</f>
        <v/>
      </c>
      <c r="I183" s="67" t="str">
        <f>IF(OR($B183="",基础资料!$B$9=""),"",-SUMIFS(对接源_01水果筐数!$F$5:$F$304,对接源_01水果筐数!$B$5:$B$304,$B183,对接源_01水果筐数!$C$5:$C$304,基础资料!$B$9))</f>
        <v/>
      </c>
      <c r="J183" s="67" t="str">
        <f>IF(OR($B183="",基础资料!$B$10=""),"",-SUMIFS(对接源_01水果筐数!$F$5:$F$304,对接源_01水果筐数!$B$5:$B$304,$B183,对接源_01水果筐数!$C$5:$C$304,基础资料!$B$10))</f>
        <v/>
      </c>
      <c r="K183" s="67" t="str">
        <f>IF(OR($B183="",基础资料!$B$9=""),"",-SUMIFS(客户自备加工筐明细!$G$4:$G$1203,客户自备加工筐明细!$E$4:$E$1203,$B183,客户自备加工筐明细!$C$4:$C$1203,基础资料!$B$9,客户自备加工筐明细!$B$4:$B$1203,"&gt;="&amp;$T$1,客户自备加工筐明细!$B$4:$B$1203,"&lt;="&amp;$T$2))</f>
        <v/>
      </c>
      <c r="L183" s="67" t="str">
        <f>IF(OR($B183="",基础资料!$B$10=""),"",-SUMIFS(客户自备加工筐明细!$G$4:$G$1203,客户自备加工筐明细!$E$4:$E$1203,$B183,客户自备加工筐明细!$C$4:$C$1203,基础资料!$B$10,客户自备加工筐明细!$B$4:$B$1203,"&gt;="&amp;$T$1,客户自备加工筐明细!$B$4:$B$1203,"&lt;="&amp;$T$2))</f>
        <v/>
      </c>
      <c r="M183" s="25" t="str">
        <f t="shared" si="11"/>
        <v/>
      </c>
      <c r="N183" s="25" t="str">
        <f t="shared" si="12"/>
        <v/>
      </c>
      <c r="O183" s="25" t="str">
        <f t="shared" si="13"/>
        <v/>
      </c>
      <c r="P183" s="37" t="str">
        <f t="shared" si="14"/>
        <v/>
      </c>
      <c r="Q183" s="27"/>
    </row>
    <row r="184" spans="1:17">
      <c r="A184" s="22" t="str">
        <f t="shared" si="10"/>
        <v/>
      </c>
      <c r="B184" s="37" t="str">
        <f>IFERROR(INDEX(_自动清单!$AM$4:$AM$203,ROW()-3),"")</f>
        <v/>
      </c>
      <c r="C184" s="25" t="str">
        <f>IF(OR($B184="",基础资料!$B$9=""),"",SUMIFS(对接源_01水果筐数!$D$5:$D$304,对接源_01水果筐数!$B$5:$B$304,$B184,对接源_01水果筐数!$C$5:$C$304,基础资料!$B$9))</f>
        <v/>
      </c>
      <c r="D184" s="25" t="str">
        <f>IF(OR($B184="",基础资料!$B$10=""),"",SUMIFS(对接源_01水果筐数!$D$5:$D$304,对接源_01水果筐数!$B$5:$B$304,$B184,对接源_01水果筐数!$C$5:$C$304,基础资料!$B$10))</f>
        <v/>
      </c>
      <c r="E184" s="25" t="str">
        <f>IF(OR($B184="",基础资料!$B$9=""),"",SUMIFS(客户自备加工筐明细!$F$4:$F$1203,客户自备加工筐明细!$E$4:$E$1203,$B184,客户自备加工筐明细!$C$4:$C$1203,基础资料!$B$9,客户自备加工筐明细!$B$4:$B$1203,"&gt;="&amp;$T$1,客户自备加工筐明细!$B$4:$B$1203,"&lt;="&amp;$T$2))</f>
        <v/>
      </c>
      <c r="F184" s="25" t="str">
        <f>IF(OR($B184="",基础资料!$B$10=""),"",SUMIFS(客户自备加工筐明细!$F$4:$F$1203,客户自备加工筐明细!$E$4:$E$1203,$B184,客户自备加工筐明细!$C$4:$C$1203,基础资料!$B$10,客户自备加工筐明细!$B$4:$B$1203,"&gt;="&amp;$T$1,客户自备加工筐明细!$B$4:$B$1203,"&lt;="&amp;$T$2))</f>
        <v/>
      </c>
      <c r="G184" s="67" t="str">
        <f>IF(OR($B184="",基础资料!$B$9=""),"",-SUMIFS(对接源_01水果筐数!$E$5:$E$304,对接源_01水果筐数!$B$5:$B$304,$B184,对接源_01水果筐数!$C$5:$C$304,基础资料!$B$9))</f>
        <v/>
      </c>
      <c r="H184" s="67" t="str">
        <f>IF(OR($B184="",基础资料!$B$10=""),"",-SUMIFS(对接源_01水果筐数!$E$5:$E$304,对接源_01水果筐数!$B$5:$B$304,$B184,对接源_01水果筐数!$C$5:$C$304,基础资料!$B$10))</f>
        <v/>
      </c>
      <c r="I184" s="67" t="str">
        <f>IF(OR($B184="",基础资料!$B$9=""),"",-SUMIFS(对接源_01水果筐数!$F$5:$F$304,对接源_01水果筐数!$B$5:$B$304,$B184,对接源_01水果筐数!$C$5:$C$304,基础资料!$B$9))</f>
        <v/>
      </c>
      <c r="J184" s="67" t="str">
        <f>IF(OR($B184="",基础资料!$B$10=""),"",-SUMIFS(对接源_01水果筐数!$F$5:$F$304,对接源_01水果筐数!$B$5:$B$304,$B184,对接源_01水果筐数!$C$5:$C$304,基础资料!$B$10))</f>
        <v/>
      </c>
      <c r="K184" s="67" t="str">
        <f>IF(OR($B184="",基础资料!$B$9=""),"",-SUMIFS(客户自备加工筐明细!$G$4:$G$1203,客户自备加工筐明细!$E$4:$E$1203,$B184,客户自备加工筐明细!$C$4:$C$1203,基础资料!$B$9,客户自备加工筐明细!$B$4:$B$1203,"&gt;="&amp;$T$1,客户自备加工筐明细!$B$4:$B$1203,"&lt;="&amp;$T$2))</f>
        <v/>
      </c>
      <c r="L184" s="67" t="str">
        <f>IF(OR($B184="",基础资料!$B$10=""),"",-SUMIFS(客户自备加工筐明细!$G$4:$G$1203,客户自备加工筐明细!$E$4:$E$1203,$B184,客户自备加工筐明细!$C$4:$C$1203,基础资料!$B$10,客户自备加工筐明细!$B$4:$B$1203,"&gt;="&amp;$T$1,客户自备加工筐明细!$B$4:$B$1203,"&lt;="&amp;$T$2))</f>
        <v/>
      </c>
      <c r="M184" s="25" t="str">
        <f t="shared" si="11"/>
        <v/>
      </c>
      <c r="N184" s="25" t="str">
        <f t="shared" si="12"/>
        <v/>
      </c>
      <c r="O184" s="25" t="str">
        <f t="shared" si="13"/>
        <v/>
      </c>
      <c r="P184" s="37" t="str">
        <f t="shared" si="14"/>
        <v/>
      </c>
      <c r="Q184" s="27"/>
    </row>
    <row r="185" spans="1:17">
      <c r="A185" s="22" t="str">
        <f t="shared" si="10"/>
        <v/>
      </c>
      <c r="B185" s="37" t="str">
        <f>IFERROR(INDEX(_自动清单!$AM$4:$AM$203,ROW()-3),"")</f>
        <v/>
      </c>
      <c r="C185" s="25" t="str">
        <f>IF(OR($B185="",基础资料!$B$9=""),"",SUMIFS(对接源_01水果筐数!$D$5:$D$304,对接源_01水果筐数!$B$5:$B$304,$B185,对接源_01水果筐数!$C$5:$C$304,基础资料!$B$9))</f>
        <v/>
      </c>
      <c r="D185" s="25" t="str">
        <f>IF(OR($B185="",基础资料!$B$10=""),"",SUMIFS(对接源_01水果筐数!$D$5:$D$304,对接源_01水果筐数!$B$5:$B$304,$B185,对接源_01水果筐数!$C$5:$C$304,基础资料!$B$10))</f>
        <v/>
      </c>
      <c r="E185" s="25" t="str">
        <f>IF(OR($B185="",基础资料!$B$9=""),"",SUMIFS(客户自备加工筐明细!$F$4:$F$1203,客户自备加工筐明细!$E$4:$E$1203,$B185,客户自备加工筐明细!$C$4:$C$1203,基础资料!$B$9,客户自备加工筐明细!$B$4:$B$1203,"&gt;="&amp;$T$1,客户自备加工筐明细!$B$4:$B$1203,"&lt;="&amp;$T$2))</f>
        <v/>
      </c>
      <c r="F185" s="25" t="str">
        <f>IF(OR($B185="",基础资料!$B$10=""),"",SUMIFS(客户自备加工筐明细!$F$4:$F$1203,客户自备加工筐明细!$E$4:$E$1203,$B185,客户自备加工筐明细!$C$4:$C$1203,基础资料!$B$10,客户自备加工筐明细!$B$4:$B$1203,"&gt;="&amp;$T$1,客户自备加工筐明细!$B$4:$B$1203,"&lt;="&amp;$T$2))</f>
        <v/>
      </c>
      <c r="G185" s="67" t="str">
        <f>IF(OR($B185="",基础资料!$B$9=""),"",-SUMIFS(对接源_01水果筐数!$E$5:$E$304,对接源_01水果筐数!$B$5:$B$304,$B185,对接源_01水果筐数!$C$5:$C$304,基础资料!$B$9))</f>
        <v/>
      </c>
      <c r="H185" s="67" t="str">
        <f>IF(OR($B185="",基础资料!$B$10=""),"",-SUMIFS(对接源_01水果筐数!$E$5:$E$304,对接源_01水果筐数!$B$5:$B$304,$B185,对接源_01水果筐数!$C$5:$C$304,基础资料!$B$10))</f>
        <v/>
      </c>
      <c r="I185" s="67" t="str">
        <f>IF(OR($B185="",基础资料!$B$9=""),"",-SUMIFS(对接源_01水果筐数!$F$5:$F$304,对接源_01水果筐数!$B$5:$B$304,$B185,对接源_01水果筐数!$C$5:$C$304,基础资料!$B$9))</f>
        <v/>
      </c>
      <c r="J185" s="67" t="str">
        <f>IF(OR($B185="",基础资料!$B$10=""),"",-SUMIFS(对接源_01水果筐数!$F$5:$F$304,对接源_01水果筐数!$B$5:$B$304,$B185,对接源_01水果筐数!$C$5:$C$304,基础资料!$B$10))</f>
        <v/>
      </c>
      <c r="K185" s="67" t="str">
        <f>IF(OR($B185="",基础资料!$B$9=""),"",-SUMIFS(客户自备加工筐明细!$G$4:$G$1203,客户自备加工筐明细!$E$4:$E$1203,$B185,客户自备加工筐明细!$C$4:$C$1203,基础资料!$B$9,客户自备加工筐明细!$B$4:$B$1203,"&gt;="&amp;$T$1,客户自备加工筐明细!$B$4:$B$1203,"&lt;="&amp;$T$2))</f>
        <v/>
      </c>
      <c r="L185" s="67" t="str">
        <f>IF(OR($B185="",基础资料!$B$10=""),"",-SUMIFS(客户自备加工筐明细!$G$4:$G$1203,客户自备加工筐明细!$E$4:$E$1203,$B185,客户自备加工筐明细!$C$4:$C$1203,基础资料!$B$10,客户自备加工筐明细!$B$4:$B$1203,"&gt;="&amp;$T$1,客户自备加工筐明细!$B$4:$B$1203,"&lt;="&amp;$T$2))</f>
        <v/>
      </c>
      <c r="M185" s="25" t="str">
        <f t="shared" si="11"/>
        <v/>
      </c>
      <c r="N185" s="25" t="str">
        <f t="shared" si="12"/>
        <v/>
      </c>
      <c r="O185" s="25" t="str">
        <f t="shared" si="13"/>
        <v/>
      </c>
      <c r="P185" s="37" t="str">
        <f t="shared" si="14"/>
        <v/>
      </c>
      <c r="Q185" s="27"/>
    </row>
    <row r="186" spans="1:17">
      <c r="A186" s="22" t="str">
        <f t="shared" si="10"/>
        <v/>
      </c>
      <c r="B186" s="37" t="str">
        <f>IFERROR(INDEX(_自动清单!$AM$4:$AM$203,ROW()-3),"")</f>
        <v/>
      </c>
      <c r="C186" s="25" t="str">
        <f>IF(OR($B186="",基础资料!$B$9=""),"",SUMIFS(对接源_01水果筐数!$D$5:$D$304,对接源_01水果筐数!$B$5:$B$304,$B186,对接源_01水果筐数!$C$5:$C$304,基础资料!$B$9))</f>
        <v/>
      </c>
      <c r="D186" s="25" t="str">
        <f>IF(OR($B186="",基础资料!$B$10=""),"",SUMIFS(对接源_01水果筐数!$D$5:$D$304,对接源_01水果筐数!$B$5:$B$304,$B186,对接源_01水果筐数!$C$5:$C$304,基础资料!$B$10))</f>
        <v/>
      </c>
      <c r="E186" s="25" t="str">
        <f>IF(OR($B186="",基础资料!$B$9=""),"",SUMIFS(客户自备加工筐明细!$F$4:$F$1203,客户自备加工筐明细!$E$4:$E$1203,$B186,客户自备加工筐明细!$C$4:$C$1203,基础资料!$B$9,客户自备加工筐明细!$B$4:$B$1203,"&gt;="&amp;$T$1,客户自备加工筐明细!$B$4:$B$1203,"&lt;="&amp;$T$2))</f>
        <v/>
      </c>
      <c r="F186" s="25" t="str">
        <f>IF(OR($B186="",基础资料!$B$10=""),"",SUMIFS(客户自备加工筐明细!$F$4:$F$1203,客户自备加工筐明细!$E$4:$E$1203,$B186,客户自备加工筐明细!$C$4:$C$1203,基础资料!$B$10,客户自备加工筐明细!$B$4:$B$1203,"&gt;="&amp;$T$1,客户自备加工筐明细!$B$4:$B$1203,"&lt;="&amp;$T$2))</f>
        <v/>
      </c>
      <c r="G186" s="67" t="str">
        <f>IF(OR($B186="",基础资料!$B$9=""),"",-SUMIFS(对接源_01水果筐数!$E$5:$E$304,对接源_01水果筐数!$B$5:$B$304,$B186,对接源_01水果筐数!$C$5:$C$304,基础资料!$B$9))</f>
        <v/>
      </c>
      <c r="H186" s="67" t="str">
        <f>IF(OR($B186="",基础资料!$B$10=""),"",-SUMIFS(对接源_01水果筐数!$E$5:$E$304,对接源_01水果筐数!$B$5:$B$304,$B186,对接源_01水果筐数!$C$5:$C$304,基础资料!$B$10))</f>
        <v/>
      </c>
      <c r="I186" s="67" t="str">
        <f>IF(OR($B186="",基础资料!$B$9=""),"",-SUMIFS(对接源_01水果筐数!$F$5:$F$304,对接源_01水果筐数!$B$5:$B$304,$B186,对接源_01水果筐数!$C$5:$C$304,基础资料!$B$9))</f>
        <v/>
      </c>
      <c r="J186" s="67" t="str">
        <f>IF(OR($B186="",基础资料!$B$10=""),"",-SUMIFS(对接源_01水果筐数!$F$5:$F$304,对接源_01水果筐数!$B$5:$B$304,$B186,对接源_01水果筐数!$C$5:$C$304,基础资料!$B$10))</f>
        <v/>
      </c>
      <c r="K186" s="67" t="str">
        <f>IF(OR($B186="",基础资料!$B$9=""),"",-SUMIFS(客户自备加工筐明细!$G$4:$G$1203,客户自备加工筐明细!$E$4:$E$1203,$B186,客户自备加工筐明细!$C$4:$C$1203,基础资料!$B$9,客户自备加工筐明细!$B$4:$B$1203,"&gt;="&amp;$T$1,客户自备加工筐明细!$B$4:$B$1203,"&lt;="&amp;$T$2))</f>
        <v/>
      </c>
      <c r="L186" s="67" t="str">
        <f>IF(OR($B186="",基础资料!$B$10=""),"",-SUMIFS(客户自备加工筐明细!$G$4:$G$1203,客户自备加工筐明细!$E$4:$E$1203,$B186,客户自备加工筐明细!$C$4:$C$1203,基础资料!$B$10,客户自备加工筐明细!$B$4:$B$1203,"&gt;="&amp;$T$1,客户自备加工筐明细!$B$4:$B$1203,"&lt;="&amp;$T$2))</f>
        <v/>
      </c>
      <c r="M186" s="25" t="str">
        <f t="shared" si="11"/>
        <v/>
      </c>
      <c r="N186" s="25" t="str">
        <f t="shared" si="12"/>
        <v/>
      </c>
      <c r="O186" s="25" t="str">
        <f t="shared" si="13"/>
        <v/>
      </c>
      <c r="P186" s="37" t="str">
        <f t="shared" si="14"/>
        <v/>
      </c>
      <c r="Q186" s="27"/>
    </row>
    <row r="187" spans="1:17">
      <c r="A187" s="22" t="str">
        <f t="shared" si="10"/>
        <v/>
      </c>
      <c r="B187" s="37" t="str">
        <f>IFERROR(INDEX(_自动清单!$AM$4:$AM$203,ROW()-3),"")</f>
        <v/>
      </c>
      <c r="C187" s="25" t="str">
        <f>IF(OR($B187="",基础资料!$B$9=""),"",SUMIFS(对接源_01水果筐数!$D$5:$D$304,对接源_01水果筐数!$B$5:$B$304,$B187,对接源_01水果筐数!$C$5:$C$304,基础资料!$B$9))</f>
        <v/>
      </c>
      <c r="D187" s="25" t="str">
        <f>IF(OR($B187="",基础资料!$B$10=""),"",SUMIFS(对接源_01水果筐数!$D$5:$D$304,对接源_01水果筐数!$B$5:$B$304,$B187,对接源_01水果筐数!$C$5:$C$304,基础资料!$B$10))</f>
        <v/>
      </c>
      <c r="E187" s="25" t="str">
        <f>IF(OR($B187="",基础资料!$B$9=""),"",SUMIFS(客户自备加工筐明细!$F$4:$F$1203,客户自备加工筐明细!$E$4:$E$1203,$B187,客户自备加工筐明细!$C$4:$C$1203,基础资料!$B$9,客户自备加工筐明细!$B$4:$B$1203,"&gt;="&amp;$T$1,客户自备加工筐明细!$B$4:$B$1203,"&lt;="&amp;$T$2))</f>
        <v/>
      </c>
      <c r="F187" s="25" t="str">
        <f>IF(OR($B187="",基础资料!$B$10=""),"",SUMIFS(客户自备加工筐明细!$F$4:$F$1203,客户自备加工筐明细!$E$4:$E$1203,$B187,客户自备加工筐明细!$C$4:$C$1203,基础资料!$B$10,客户自备加工筐明细!$B$4:$B$1203,"&gt;="&amp;$T$1,客户自备加工筐明细!$B$4:$B$1203,"&lt;="&amp;$T$2))</f>
        <v/>
      </c>
      <c r="G187" s="67" t="str">
        <f>IF(OR($B187="",基础资料!$B$9=""),"",-SUMIFS(对接源_01水果筐数!$E$5:$E$304,对接源_01水果筐数!$B$5:$B$304,$B187,对接源_01水果筐数!$C$5:$C$304,基础资料!$B$9))</f>
        <v/>
      </c>
      <c r="H187" s="67" t="str">
        <f>IF(OR($B187="",基础资料!$B$10=""),"",-SUMIFS(对接源_01水果筐数!$E$5:$E$304,对接源_01水果筐数!$B$5:$B$304,$B187,对接源_01水果筐数!$C$5:$C$304,基础资料!$B$10))</f>
        <v/>
      </c>
      <c r="I187" s="67" t="str">
        <f>IF(OR($B187="",基础资料!$B$9=""),"",-SUMIFS(对接源_01水果筐数!$F$5:$F$304,对接源_01水果筐数!$B$5:$B$304,$B187,对接源_01水果筐数!$C$5:$C$304,基础资料!$B$9))</f>
        <v/>
      </c>
      <c r="J187" s="67" t="str">
        <f>IF(OR($B187="",基础资料!$B$10=""),"",-SUMIFS(对接源_01水果筐数!$F$5:$F$304,对接源_01水果筐数!$B$5:$B$304,$B187,对接源_01水果筐数!$C$5:$C$304,基础资料!$B$10))</f>
        <v/>
      </c>
      <c r="K187" s="67" t="str">
        <f>IF(OR($B187="",基础资料!$B$9=""),"",-SUMIFS(客户自备加工筐明细!$G$4:$G$1203,客户自备加工筐明细!$E$4:$E$1203,$B187,客户自备加工筐明细!$C$4:$C$1203,基础资料!$B$9,客户自备加工筐明细!$B$4:$B$1203,"&gt;="&amp;$T$1,客户自备加工筐明细!$B$4:$B$1203,"&lt;="&amp;$T$2))</f>
        <v/>
      </c>
      <c r="L187" s="67" t="str">
        <f>IF(OR($B187="",基础资料!$B$10=""),"",-SUMIFS(客户自备加工筐明细!$G$4:$G$1203,客户自备加工筐明细!$E$4:$E$1203,$B187,客户自备加工筐明细!$C$4:$C$1203,基础资料!$B$10,客户自备加工筐明细!$B$4:$B$1203,"&gt;="&amp;$T$1,客户自备加工筐明细!$B$4:$B$1203,"&lt;="&amp;$T$2))</f>
        <v/>
      </c>
      <c r="M187" s="25" t="str">
        <f t="shared" si="11"/>
        <v/>
      </c>
      <c r="N187" s="25" t="str">
        <f t="shared" si="12"/>
        <v/>
      </c>
      <c r="O187" s="25" t="str">
        <f t="shared" si="13"/>
        <v/>
      </c>
      <c r="P187" s="37" t="str">
        <f t="shared" si="14"/>
        <v/>
      </c>
      <c r="Q187" s="27"/>
    </row>
    <row r="188" spans="1:17">
      <c r="A188" s="22" t="str">
        <f t="shared" si="10"/>
        <v/>
      </c>
      <c r="B188" s="37" t="str">
        <f>IFERROR(INDEX(_自动清单!$AM$4:$AM$203,ROW()-3),"")</f>
        <v/>
      </c>
      <c r="C188" s="25" t="str">
        <f>IF(OR($B188="",基础资料!$B$9=""),"",SUMIFS(对接源_01水果筐数!$D$5:$D$304,对接源_01水果筐数!$B$5:$B$304,$B188,对接源_01水果筐数!$C$5:$C$304,基础资料!$B$9))</f>
        <v/>
      </c>
      <c r="D188" s="25" t="str">
        <f>IF(OR($B188="",基础资料!$B$10=""),"",SUMIFS(对接源_01水果筐数!$D$5:$D$304,对接源_01水果筐数!$B$5:$B$304,$B188,对接源_01水果筐数!$C$5:$C$304,基础资料!$B$10))</f>
        <v/>
      </c>
      <c r="E188" s="25" t="str">
        <f>IF(OR($B188="",基础资料!$B$9=""),"",SUMIFS(客户自备加工筐明细!$F$4:$F$1203,客户自备加工筐明细!$E$4:$E$1203,$B188,客户自备加工筐明细!$C$4:$C$1203,基础资料!$B$9,客户自备加工筐明细!$B$4:$B$1203,"&gt;="&amp;$T$1,客户自备加工筐明细!$B$4:$B$1203,"&lt;="&amp;$T$2))</f>
        <v/>
      </c>
      <c r="F188" s="25" t="str">
        <f>IF(OR($B188="",基础资料!$B$10=""),"",SUMIFS(客户自备加工筐明细!$F$4:$F$1203,客户自备加工筐明细!$E$4:$E$1203,$B188,客户自备加工筐明细!$C$4:$C$1203,基础资料!$B$10,客户自备加工筐明细!$B$4:$B$1203,"&gt;="&amp;$T$1,客户自备加工筐明细!$B$4:$B$1203,"&lt;="&amp;$T$2))</f>
        <v/>
      </c>
      <c r="G188" s="67" t="str">
        <f>IF(OR($B188="",基础资料!$B$9=""),"",-SUMIFS(对接源_01水果筐数!$E$5:$E$304,对接源_01水果筐数!$B$5:$B$304,$B188,对接源_01水果筐数!$C$5:$C$304,基础资料!$B$9))</f>
        <v/>
      </c>
      <c r="H188" s="67" t="str">
        <f>IF(OR($B188="",基础资料!$B$10=""),"",-SUMIFS(对接源_01水果筐数!$E$5:$E$304,对接源_01水果筐数!$B$5:$B$304,$B188,对接源_01水果筐数!$C$5:$C$304,基础资料!$B$10))</f>
        <v/>
      </c>
      <c r="I188" s="67" t="str">
        <f>IF(OR($B188="",基础资料!$B$9=""),"",-SUMIFS(对接源_01水果筐数!$F$5:$F$304,对接源_01水果筐数!$B$5:$B$304,$B188,对接源_01水果筐数!$C$5:$C$304,基础资料!$B$9))</f>
        <v/>
      </c>
      <c r="J188" s="67" t="str">
        <f>IF(OR($B188="",基础资料!$B$10=""),"",-SUMIFS(对接源_01水果筐数!$F$5:$F$304,对接源_01水果筐数!$B$5:$B$304,$B188,对接源_01水果筐数!$C$5:$C$304,基础资料!$B$10))</f>
        <v/>
      </c>
      <c r="K188" s="67" t="str">
        <f>IF(OR($B188="",基础资料!$B$9=""),"",-SUMIFS(客户自备加工筐明细!$G$4:$G$1203,客户自备加工筐明细!$E$4:$E$1203,$B188,客户自备加工筐明细!$C$4:$C$1203,基础资料!$B$9,客户自备加工筐明细!$B$4:$B$1203,"&gt;="&amp;$T$1,客户自备加工筐明细!$B$4:$B$1203,"&lt;="&amp;$T$2))</f>
        <v/>
      </c>
      <c r="L188" s="67" t="str">
        <f>IF(OR($B188="",基础资料!$B$10=""),"",-SUMIFS(客户自备加工筐明细!$G$4:$G$1203,客户自备加工筐明细!$E$4:$E$1203,$B188,客户自备加工筐明细!$C$4:$C$1203,基础资料!$B$10,客户自备加工筐明细!$B$4:$B$1203,"&gt;="&amp;$T$1,客户自备加工筐明细!$B$4:$B$1203,"&lt;="&amp;$T$2))</f>
        <v/>
      </c>
      <c r="M188" s="25" t="str">
        <f t="shared" si="11"/>
        <v/>
      </c>
      <c r="N188" s="25" t="str">
        <f t="shared" si="12"/>
        <v/>
      </c>
      <c r="O188" s="25" t="str">
        <f t="shared" si="13"/>
        <v/>
      </c>
      <c r="P188" s="37" t="str">
        <f t="shared" si="14"/>
        <v/>
      </c>
      <c r="Q188" s="27"/>
    </row>
    <row r="189" spans="1:17">
      <c r="A189" s="22" t="str">
        <f t="shared" si="10"/>
        <v/>
      </c>
      <c r="B189" s="37" t="str">
        <f>IFERROR(INDEX(_自动清单!$AM$4:$AM$203,ROW()-3),"")</f>
        <v/>
      </c>
      <c r="C189" s="25" t="str">
        <f>IF(OR($B189="",基础资料!$B$9=""),"",SUMIFS(对接源_01水果筐数!$D$5:$D$304,对接源_01水果筐数!$B$5:$B$304,$B189,对接源_01水果筐数!$C$5:$C$304,基础资料!$B$9))</f>
        <v/>
      </c>
      <c r="D189" s="25" t="str">
        <f>IF(OR($B189="",基础资料!$B$10=""),"",SUMIFS(对接源_01水果筐数!$D$5:$D$304,对接源_01水果筐数!$B$5:$B$304,$B189,对接源_01水果筐数!$C$5:$C$304,基础资料!$B$10))</f>
        <v/>
      </c>
      <c r="E189" s="25" t="str">
        <f>IF(OR($B189="",基础资料!$B$9=""),"",SUMIFS(客户自备加工筐明细!$F$4:$F$1203,客户自备加工筐明细!$E$4:$E$1203,$B189,客户自备加工筐明细!$C$4:$C$1203,基础资料!$B$9,客户自备加工筐明细!$B$4:$B$1203,"&gt;="&amp;$T$1,客户自备加工筐明细!$B$4:$B$1203,"&lt;="&amp;$T$2))</f>
        <v/>
      </c>
      <c r="F189" s="25" t="str">
        <f>IF(OR($B189="",基础资料!$B$10=""),"",SUMIFS(客户自备加工筐明细!$F$4:$F$1203,客户自备加工筐明细!$E$4:$E$1203,$B189,客户自备加工筐明细!$C$4:$C$1203,基础资料!$B$10,客户自备加工筐明细!$B$4:$B$1203,"&gt;="&amp;$T$1,客户自备加工筐明细!$B$4:$B$1203,"&lt;="&amp;$T$2))</f>
        <v/>
      </c>
      <c r="G189" s="67" t="str">
        <f>IF(OR($B189="",基础资料!$B$9=""),"",-SUMIFS(对接源_01水果筐数!$E$5:$E$304,对接源_01水果筐数!$B$5:$B$304,$B189,对接源_01水果筐数!$C$5:$C$304,基础资料!$B$9))</f>
        <v/>
      </c>
      <c r="H189" s="67" t="str">
        <f>IF(OR($B189="",基础资料!$B$10=""),"",-SUMIFS(对接源_01水果筐数!$E$5:$E$304,对接源_01水果筐数!$B$5:$B$304,$B189,对接源_01水果筐数!$C$5:$C$304,基础资料!$B$10))</f>
        <v/>
      </c>
      <c r="I189" s="67" t="str">
        <f>IF(OR($B189="",基础资料!$B$9=""),"",-SUMIFS(对接源_01水果筐数!$F$5:$F$304,对接源_01水果筐数!$B$5:$B$304,$B189,对接源_01水果筐数!$C$5:$C$304,基础资料!$B$9))</f>
        <v/>
      </c>
      <c r="J189" s="67" t="str">
        <f>IF(OR($B189="",基础资料!$B$10=""),"",-SUMIFS(对接源_01水果筐数!$F$5:$F$304,对接源_01水果筐数!$B$5:$B$304,$B189,对接源_01水果筐数!$C$5:$C$304,基础资料!$B$10))</f>
        <v/>
      </c>
      <c r="K189" s="67" t="str">
        <f>IF(OR($B189="",基础资料!$B$9=""),"",-SUMIFS(客户自备加工筐明细!$G$4:$G$1203,客户自备加工筐明细!$E$4:$E$1203,$B189,客户自备加工筐明细!$C$4:$C$1203,基础资料!$B$9,客户自备加工筐明细!$B$4:$B$1203,"&gt;="&amp;$T$1,客户自备加工筐明细!$B$4:$B$1203,"&lt;="&amp;$T$2))</f>
        <v/>
      </c>
      <c r="L189" s="67" t="str">
        <f>IF(OR($B189="",基础资料!$B$10=""),"",-SUMIFS(客户自备加工筐明细!$G$4:$G$1203,客户自备加工筐明细!$E$4:$E$1203,$B189,客户自备加工筐明细!$C$4:$C$1203,基础资料!$B$10,客户自备加工筐明细!$B$4:$B$1203,"&gt;="&amp;$T$1,客户自备加工筐明细!$B$4:$B$1203,"&lt;="&amp;$T$2))</f>
        <v/>
      </c>
      <c r="M189" s="25" t="str">
        <f t="shared" si="11"/>
        <v/>
      </c>
      <c r="N189" s="25" t="str">
        <f t="shared" si="12"/>
        <v/>
      </c>
      <c r="O189" s="25" t="str">
        <f t="shared" si="13"/>
        <v/>
      </c>
      <c r="P189" s="37" t="str">
        <f t="shared" si="14"/>
        <v/>
      </c>
      <c r="Q189" s="27"/>
    </row>
    <row r="190" spans="1:17">
      <c r="A190" s="22" t="str">
        <f t="shared" si="10"/>
        <v/>
      </c>
      <c r="B190" s="37" t="str">
        <f>IFERROR(INDEX(_自动清单!$AM$4:$AM$203,ROW()-3),"")</f>
        <v/>
      </c>
      <c r="C190" s="25" t="str">
        <f>IF(OR($B190="",基础资料!$B$9=""),"",SUMIFS(对接源_01水果筐数!$D$5:$D$304,对接源_01水果筐数!$B$5:$B$304,$B190,对接源_01水果筐数!$C$5:$C$304,基础资料!$B$9))</f>
        <v/>
      </c>
      <c r="D190" s="25" t="str">
        <f>IF(OR($B190="",基础资料!$B$10=""),"",SUMIFS(对接源_01水果筐数!$D$5:$D$304,对接源_01水果筐数!$B$5:$B$304,$B190,对接源_01水果筐数!$C$5:$C$304,基础资料!$B$10))</f>
        <v/>
      </c>
      <c r="E190" s="25" t="str">
        <f>IF(OR($B190="",基础资料!$B$9=""),"",SUMIFS(客户自备加工筐明细!$F$4:$F$1203,客户自备加工筐明细!$E$4:$E$1203,$B190,客户自备加工筐明细!$C$4:$C$1203,基础资料!$B$9,客户自备加工筐明细!$B$4:$B$1203,"&gt;="&amp;$T$1,客户自备加工筐明细!$B$4:$B$1203,"&lt;="&amp;$T$2))</f>
        <v/>
      </c>
      <c r="F190" s="25" t="str">
        <f>IF(OR($B190="",基础资料!$B$10=""),"",SUMIFS(客户自备加工筐明细!$F$4:$F$1203,客户自备加工筐明细!$E$4:$E$1203,$B190,客户自备加工筐明细!$C$4:$C$1203,基础资料!$B$10,客户自备加工筐明细!$B$4:$B$1203,"&gt;="&amp;$T$1,客户自备加工筐明细!$B$4:$B$1203,"&lt;="&amp;$T$2))</f>
        <v/>
      </c>
      <c r="G190" s="67" t="str">
        <f>IF(OR($B190="",基础资料!$B$9=""),"",-SUMIFS(对接源_01水果筐数!$E$5:$E$304,对接源_01水果筐数!$B$5:$B$304,$B190,对接源_01水果筐数!$C$5:$C$304,基础资料!$B$9))</f>
        <v/>
      </c>
      <c r="H190" s="67" t="str">
        <f>IF(OR($B190="",基础资料!$B$10=""),"",-SUMIFS(对接源_01水果筐数!$E$5:$E$304,对接源_01水果筐数!$B$5:$B$304,$B190,对接源_01水果筐数!$C$5:$C$304,基础资料!$B$10))</f>
        <v/>
      </c>
      <c r="I190" s="67" t="str">
        <f>IF(OR($B190="",基础资料!$B$9=""),"",-SUMIFS(对接源_01水果筐数!$F$5:$F$304,对接源_01水果筐数!$B$5:$B$304,$B190,对接源_01水果筐数!$C$5:$C$304,基础资料!$B$9))</f>
        <v/>
      </c>
      <c r="J190" s="67" t="str">
        <f>IF(OR($B190="",基础资料!$B$10=""),"",-SUMIFS(对接源_01水果筐数!$F$5:$F$304,对接源_01水果筐数!$B$5:$B$304,$B190,对接源_01水果筐数!$C$5:$C$304,基础资料!$B$10))</f>
        <v/>
      </c>
      <c r="K190" s="67" t="str">
        <f>IF(OR($B190="",基础资料!$B$9=""),"",-SUMIFS(客户自备加工筐明细!$G$4:$G$1203,客户自备加工筐明细!$E$4:$E$1203,$B190,客户自备加工筐明细!$C$4:$C$1203,基础资料!$B$9,客户自备加工筐明细!$B$4:$B$1203,"&gt;="&amp;$T$1,客户自备加工筐明细!$B$4:$B$1203,"&lt;="&amp;$T$2))</f>
        <v/>
      </c>
      <c r="L190" s="67" t="str">
        <f>IF(OR($B190="",基础资料!$B$10=""),"",-SUMIFS(客户自备加工筐明细!$G$4:$G$1203,客户自备加工筐明细!$E$4:$E$1203,$B190,客户自备加工筐明细!$C$4:$C$1203,基础资料!$B$10,客户自备加工筐明细!$B$4:$B$1203,"&gt;="&amp;$T$1,客户自备加工筐明细!$B$4:$B$1203,"&lt;="&amp;$T$2))</f>
        <v/>
      </c>
      <c r="M190" s="25" t="str">
        <f t="shared" si="11"/>
        <v/>
      </c>
      <c r="N190" s="25" t="str">
        <f t="shared" si="12"/>
        <v/>
      </c>
      <c r="O190" s="25" t="str">
        <f t="shared" si="13"/>
        <v/>
      </c>
      <c r="P190" s="37" t="str">
        <f t="shared" si="14"/>
        <v/>
      </c>
      <c r="Q190" s="27"/>
    </row>
    <row r="191" spans="1:17">
      <c r="A191" s="22" t="str">
        <f t="shared" si="10"/>
        <v/>
      </c>
      <c r="B191" s="37" t="str">
        <f>IFERROR(INDEX(_自动清单!$AM$4:$AM$203,ROW()-3),"")</f>
        <v/>
      </c>
      <c r="C191" s="25" t="str">
        <f>IF(OR($B191="",基础资料!$B$9=""),"",SUMIFS(对接源_01水果筐数!$D$5:$D$304,对接源_01水果筐数!$B$5:$B$304,$B191,对接源_01水果筐数!$C$5:$C$304,基础资料!$B$9))</f>
        <v/>
      </c>
      <c r="D191" s="25" t="str">
        <f>IF(OR($B191="",基础资料!$B$10=""),"",SUMIFS(对接源_01水果筐数!$D$5:$D$304,对接源_01水果筐数!$B$5:$B$304,$B191,对接源_01水果筐数!$C$5:$C$304,基础资料!$B$10))</f>
        <v/>
      </c>
      <c r="E191" s="25" t="str">
        <f>IF(OR($B191="",基础资料!$B$9=""),"",SUMIFS(客户自备加工筐明细!$F$4:$F$1203,客户自备加工筐明细!$E$4:$E$1203,$B191,客户自备加工筐明细!$C$4:$C$1203,基础资料!$B$9,客户自备加工筐明细!$B$4:$B$1203,"&gt;="&amp;$T$1,客户自备加工筐明细!$B$4:$B$1203,"&lt;="&amp;$T$2))</f>
        <v/>
      </c>
      <c r="F191" s="25" t="str">
        <f>IF(OR($B191="",基础资料!$B$10=""),"",SUMIFS(客户自备加工筐明细!$F$4:$F$1203,客户自备加工筐明细!$E$4:$E$1203,$B191,客户自备加工筐明细!$C$4:$C$1203,基础资料!$B$10,客户自备加工筐明细!$B$4:$B$1203,"&gt;="&amp;$T$1,客户自备加工筐明细!$B$4:$B$1203,"&lt;="&amp;$T$2))</f>
        <v/>
      </c>
      <c r="G191" s="67" t="str">
        <f>IF(OR($B191="",基础资料!$B$9=""),"",-SUMIFS(对接源_01水果筐数!$E$5:$E$304,对接源_01水果筐数!$B$5:$B$304,$B191,对接源_01水果筐数!$C$5:$C$304,基础资料!$B$9))</f>
        <v/>
      </c>
      <c r="H191" s="67" t="str">
        <f>IF(OR($B191="",基础资料!$B$10=""),"",-SUMIFS(对接源_01水果筐数!$E$5:$E$304,对接源_01水果筐数!$B$5:$B$304,$B191,对接源_01水果筐数!$C$5:$C$304,基础资料!$B$10))</f>
        <v/>
      </c>
      <c r="I191" s="67" t="str">
        <f>IF(OR($B191="",基础资料!$B$9=""),"",-SUMIFS(对接源_01水果筐数!$F$5:$F$304,对接源_01水果筐数!$B$5:$B$304,$B191,对接源_01水果筐数!$C$5:$C$304,基础资料!$B$9))</f>
        <v/>
      </c>
      <c r="J191" s="67" t="str">
        <f>IF(OR($B191="",基础资料!$B$10=""),"",-SUMIFS(对接源_01水果筐数!$F$5:$F$304,对接源_01水果筐数!$B$5:$B$304,$B191,对接源_01水果筐数!$C$5:$C$304,基础资料!$B$10))</f>
        <v/>
      </c>
      <c r="K191" s="67" t="str">
        <f>IF(OR($B191="",基础资料!$B$9=""),"",-SUMIFS(客户自备加工筐明细!$G$4:$G$1203,客户自备加工筐明细!$E$4:$E$1203,$B191,客户自备加工筐明细!$C$4:$C$1203,基础资料!$B$9,客户自备加工筐明细!$B$4:$B$1203,"&gt;="&amp;$T$1,客户自备加工筐明细!$B$4:$B$1203,"&lt;="&amp;$T$2))</f>
        <v/>
      </c>
      <c r="L191" s="67" t="str">
        <f>IF(OR($B191="",基础资料!$B$10=""),"",-SUMIFS(客户自备加工筐明细!$G$4:$G$1203,客户自备加工筐明细!$E$4:$E$1203,$B191,客户自备加工筐明细!$C$4:$C$1203,基础资料!$B$10,客户自备加工筐明细!$B$4:$B$1203,"&gt;="&amp;$T$1,客户自备加工筐明细!$B$4:$B$1203,"&lt;="&amp;$T$2))</f>
        <v/>
      </c>
      <c r="M191" s="25" t="str">
        <f t="shared" si="11"/>
        <v/>
      </c>
      <c r="N191" s="25" t="str">
        <f t="shared" si="12"/>
        <v/>
      </c>
      <c r="O191" s="25" t="str">
        <f t="shared" si="13"/>
        <v/>
      </c>
      <c r="P191" s="37" t="str">
        <f t="shared" si="14"/>
        <v/>
      </c>
      <c r="Q191" s="27"/>
    </row>
    <row r="192" spans="1:17">
      <c r="A192" s="22" t="str">
        <f t="shared" si="10"/>
        <v/>
      </c>
      <c r="B192" s="37" t="str">
        <f>IFERROR(INDEX(_自动清单!$AM$4:$AM$203,ROW()-3),"")</f>
        <v/>
      </c>
      <c r="C192" s="25" t="str">
        <f>IF(OR($B192="",基础资料!$B$9=""),"",SUMIFS(对接源_01水果筐数!$D$5:$D$304,对接源_01水果筐数!$B$5:$B$304,$B192,对接源_01水果筐数!$C$5:$C$304,基础资料!$B$9))</f>
        <v/>
      </c>
      <c r="D192" s="25" t="str">
        <f>IF(OR($B192="",基础资料!$B$10=""),"",SUMIFS(对接源_01水果筐数!$D$5:$D$304,对接源_01水果筐数!$B$5:$B$304,$B192,对接源_01水果筐数!$C$5:$C$304,基础资料!$B$10))</f>
        <v/>
      </c>
      <c r="E192" s="25" t="str">
        <f>IF(OR($B192="",基础资料!$B$9=""),"",SUMIFS(客户自备加工筐明细!$F$4:$F$1203,客户自备加工筐明细!$E$4:$E$1203,$B192,客户自备加工筐明细!$C$4:$C$1203,基础资料!$B$9,客户自备加工筐明细!$B$4:$B$1203,"&gt;="&amp;$T$1,客户自备加工筐明细!$B$4:$B$1203,"&lt;="&amp;$T$2))</f>
        <v/>
      </c>
      <c r="F192" s="25" t="str">
        <f>IF(OR($B192="",基础资料!$B$10=""),"",SUMIFS(客户自备加工筐明细!$F$4:$F$1203,客户自备加工筐明细!$E$4:$E$1203,$B192,客户自备加工筐明细!$C$4:$C$1203,基础资料!$B$10,客户自备加工筐明细!$B$4:$B$1203,"&gt;="&amp;$T$1,客户自备加工筐明细!$B$4:$B$1203,"&lt;="&amp;$T$2))</f>
        <v/>
      </c>
      <c r="G192" s="67" t="str">
        <f>IF(OR($B192="",基础资料!$B$9=""),"",-SUMIFS(对接源_01水果筐数!$E$5:$E$304,对接源_01水果筐数!$B$5:$B$304,$B192,对接源_01水果筐数!$C$5:$C$304,基础资料!$B$9))</f>
        <v/>
      </c>
      <c r="H192" s="67" t="str">
        <f>IF(OR($B192="",基础资料!$B$10=""),"",-SUMIFS(对接源_01水果筐数!$E$5:$E$304,对接源_01水果筐数!$B$5:$B$304,$B192,对接源_01水果筐数!$C$5:$C$304,基础资料!$B$10))</f>
        <v/>
      </c>
      <c r="I192" s="67" t="str">
        <f>IF(OR($B192="",基础资料!$B$9=""),"",-SUMIFS(对接源_01水果筐数!$F$5:$F$304,对接源_01水果筐数!$B$5:$B$304,$B192,对接源_01水果筐数!$C$5:$C$304,基础资料!$B$9))</f>
        <v/>
      </c>
      <c r="J192" s="67" t="str">
        <f>IF(OR($B192="",基础资料!$B$10=""),"",-SUMIFS(对接源_01水果筐数!$F$5:$F$304,对接源_01水果筐数!$B$5:$B$304,$B192,对接源_01水果筐数!$C$5:$C$304,基础资料!$B$10))</f>
        <v/>
      </c>
      <c r="K192" s="67" t="str">
        <f>IF(OR($B192="",基础资料!$B$9=""),"",-SUMIFS(客户自备加工筐明细!$G$4:$G$1203,客户自备加工筐明细!$E$4:$E$1203,$B192,客户自备加工筐明细!$C$4:$C$1203,基础资料!$B$9,客户自备加工筐明细!$B$4:$B$1203,"&gt;="&amp;$T$1,客户自备加工筐明细!$B$4:$B$1203,"&lt;="&amp;$T$2))</f>
        <v/>
      </c>
      <c r="L192" s="67" t="str">
        <f>IF(OR($B192="",基础资料!$B$10=""),"",-SUMIFS(客户自备加工筐明细!$G$4:$G$1203,客户自备加工筐明细!$E$4:$E$1203,$B192,客户自备加工筐明细!$C$4:$C$1203,基础资料!$B$10,客户自备加工筐明细!$B$4:$B$1203,"&gt;="&amp;$T$1,客户自备加工筐明细!$B$4:$B$1203,"&lt;="&amp;$T$2))</f>
        <v/>
      </c>
      <c r="M192" s="25" t="str">
        <f t="shared" si="11"/>
        <v/>
      </c>
      <c r="N192" s="25" t="str">
        <f t="shared" si="12"/>
        <v/>
      </c>
      <c r="O192" s="25" t="str">
        <f t="shared" si="13"/>
        <v/>
      </c>
      <c r="P192" s="37" t="str">
        <f t="shared" si="14"/>
        <v/>
      </c>
      <c r="Q192" s="27"/>
    </row>
    <row r="193" spans="1:17">
      <c r="A193" s="22" t="str">
        <f t="shared" si="10"/>
        <v/>
      </c>
      <c r="B193" s="37" t="str">
        <f>IFERROR(INDEX(_自动清单!$AM$4:$AM$203,ROW()-3),"")</f>
        <v/>
      </c>
      <c r="C193" s="25" t="str">
        <f>IF(OR($B193="",基础资料!$B$9=""),"",SUMIFS(对接源_01水果筐数!$D$5:$D$304,对接源_01水果筐数!$B$5:$B$304,$B193,对接源_01水果筐数!$C$5:$C$304,基础资料!$B$9))</f>
        <v/>
      </c>
      <c r="D193" s="25" t="str">
        <f>IF(OR($B193="",基础资料!$B$10=""),"",SUMIFS(对接源_01水果筐数!$D$5:$D$304,对接源_01水果筐数!$B$5:$B$304,$B193,对接源_01水果筐数!$C$5:$C$304,基础资料!$B$10))</f>
        <v/>
      </c>
      <c r="E193" s="25" t="str">
        <f>IF(OR($B193="",基础资料!$B$9=""),"",SUMIFS(客户自备加工筐明细!$F$4:$F$1203,客户自备加工筐明细!$E$4:$E$1203,$B193,客户自备加工筐明细!$C$4:$C$1203,基础资料!$B$9,客户自备加工筐明细!$B$4:$B$1203,"&gt;="&amp;$T$1,客户自备加工筐明细!$B$4:$B$1203,"&lt;="&amp;$T$2))</f>
        <v/>
      </c>
      <c r="F193" s="25" t="str">
        <f>IF(OR($B193="",基础资料!$B$10=""),"",SUMIFS(客户自备加工筐明细!$F$4:$F$1203,客户自备加工筐明细!$E$4:$E$1203,$B193,客户自备加工筐明细!$C$4:$C$1203,基础资料!$B$10,客户自备加工筐明细!$B$4:$B$1203,"&gt;="&amp;$T$1,客户自备加工筐明细!$B$4:$B$1203,"&lt;="&amp;$T$2))</f>
        <v/>
      </c>
      <c r="G193" s="67" t="str">
        <f>IF(OR($B193="",基础资料!$B$9=""),"",-SUMIFS(对接源_01水果筐数!$E$5:$E$304,对接源_01水果筐数!$B$5:$B$304,$B193,对接源_01水果筐数!$C$5:$C$304,基础资料!$B$9))</f>
        <v/>
      </c>
      <c r="H193" s="67" t="str">
        <f>IF(OR($B193="",基础资料!$B$10=""),"",-SUMIFS(对接源_01水果筐数!$E$5:$E$304,对接源_01水果筐数!$B$5:$B$304,$B193,对接源_01水果筐数!$C$5:$C$304,基础资料!$B$10))</f>
        <v/>
      </c>
      <c r="I193" s="67" t="str">
        <f>IF(OR($B193="",基础资料!$B$9=""),"",-SUMIFS(对接源_01水果筐数!$F$5:$F$304,对接源_01水果筐数!$B$5:$B$304,$B193,对接源_01水果筐数!$C$5:$C$304,基础资料!$B$9))</f>
        <v/>
      </c>
      <c r="J193" s="67" t="str">
        <f>IF(OR($B193="",基础资料!$B$10=""),"",-SUMIFS(对接源_01水果筐数!$F$5:$F$304,对接源_01水果筐数!$B$5:$B$304,$B193,对接源_01水果筐数!$C$5:$C$304,基础资料!$B$10))</f>
        <v/>
      </c>
      <c r="K193" s="67" t="str">
        <f>IF(OR($B193="",基础资料!$B$9=""),"",-SUMIFS(客户自备加工筐明细!$G$4:$G$1203,客户自备加工筐明细!$E$4:$E$1203,$B193,客户自备加工筐明细!$C$4:$C$1203,基础资料!$B$9,客户自备加工筐明细!$B$4:$B$1203,"&gt;="&amp;$T$1,客户自备加工筐明细!$B$4:$B$1203,"&lt;="&amp;$T$2))</f>
        <v/>
      </c>
      <c r="L193" s="67" t="str">
        <f>IF(OR($B193="",基础资料!$B$10=""),"",-SUMIFS(客户自备加工筐明细!$G$4:$G$1203,客户自备加工筐明细!$E$4:$E$1203,$B193,客户自备加工筐明细!$C$4:$C$1203,基础资料!$B$10,客户自备加工筐明细!$B$4:$B$1203,"&gt;="&amp;$T$1,客户自备加工筐明细!$B$4:$B$1203,"&lt;="&amp;$T$2))</f>
        <v/>
      </c>
      <c r="M193" s="25" t="str">
        <f t="shared" si="11"/>
        <v/>
      </c>
      <c r="N193" s="25" t="str">
        <f t="shared" si="12"/>
        <v/>
      </c>
      <c r="O193" s="25" t="str">
        <f t="shared" si="13"/>
        <v/>
      </c>
      <c r="P193" s="37" t="str">
        <f t="shared" si="14"/>
        <v/>
      </c>
      <c r="Q193" s="27"/>
    </row>
    <row r="194" spans="1:17">
      <c r="A194" s="22" t="str">
        <f t="shared" si="10"/>
        <v/>
      </c>
      <c r="B194" s="37" t="str">
        <f>IFERROR(INDEX(_自动清单!$AM$4:$AM$203,ROW()-3),"")</f>
        <v/>
      </c>
      <c r="C194" s="25" t="str">
        <f>IF(OR($B194="",基础资料!$B$9=""),"",SUMIFS(对接源_01水果筐数!$D$5:$D$304,对接源_01水果筐数!$B$5:$B$304,$B194,对接源_01水果筐数!$C$5:$C$304,基础资料!$B$9))</f>
        <v/>
      </c>
      <c r="D194" s="25" t="str">
        <f>IF(OR($B194="",基础资料!$B$10=""),"",SUMIFS(对接源_01水果筐数!$D$5:$D$304,对接源_01水果筐数!$B$5:$B$304,$B194,对接源_01水果筐数!$C$5:$C$304,基础资料!$B$10))</f>
        <v/>
      </c>
      <c r="E194" s="25" t="str">
        <f>IF(OR($B194="",基础资料!$B$9=""),"",SUMIFS(客户自备加工筐明细!$F$4:$F$1203,客户自备加工筐明细!$E$4:$E$1203,$B194,客户自备加工筐明细!$C$4:$C$1203,基础资料!$B$9,客户自备加工筐明细!$B$4:$B$1203,"&gt;="&amp;$T$1,客户自备加工筐明细!$B$4:$B$1203,"&lt;="&amp;$T$2))</f>
        <v/>
      </c>
      <c r="F194" s="25" t="str">
        <f>IF(OR($B194="",基础资料!$B$10=""),"",SUMIFS(客户自备加工筐明细!$F$4:$F$1203,客户自备加工筐明细!$E$4:$E$1203,$B194,客户自备加工筐明细!$C$4:$C$1203,基础资料!$B$10,客户自备加工筐明细!$B$4:$B$1203,"&gt;="&amp;$T$1,客户自备加工筐明细!$B$4:$B$1203,"&lt;="&amp;$T$2))</f>
        <v/>
      </c>
      <c r="G194" s="67" t="str">
        <f>IF(OR($B194="",基础资料!$B$9=""),"",-SUMIFS(对接源_01水果筐数!$E$5:$E$304,对接源_01水果筐数!$B$5:$B$304,$B194,对接源_01水果筐数!$C$5:$C$304,基础资料!$B$9))</f>
        <v/>
      </c>
      <c r="H194" s="67" t="str">
        <f>IF(OR($B194="",基础资料!$B$10=""),"",-SUMIFS(对接源_01水果筐数!$E$5:$E$304,对接源_01水果筐数!$B$5:$B$304,$B194,对接源_01水果筐数!$C$5:$C$304,基础资料!$B$10))</f>
        <v/>
      </c>
      <c r="I194" s="67" t="str">
        <f>IF(OR($B194="",基础资料!$B$9=""),"",-SUMIFS(对接源_01水果筐数!$F$5:$F$304,对接源_01水果筐数!$B$5:$B$304,$B194,对接源_01水果筐数!$C$5:$C$304,基础资料!$B$9))</f>
        <v/>
      </c>
      <c r="J194" s="67" t="str">
        <f>IF(OR($B194="",基础资料!$B$10=""),"",-SUMIFS(对接源_01水果筐数!$F$5:$F$304,对接源_01水果筐数!$B$5:$B$304,$B194,对接源_01水果筐数!$C$5:$C$304,基础资料!$B$10))</f>
        <v/>
      </c>
      <c r="K194" s="67" t="str">
        <f>IF(OR($B194="",基础资料!$B$9=""),"",-SUMIFS(客户自备加工筐明细!$G$4:$G$1203,客户自备加工筐明细!$E$4:$E$1203,$B194,客户自备加工筐明细!$C$4:$C$1203,基础资料!$B$9,客户自备加工筐明细!$B$4:$B$1203,"&gt;="&amp;$T$1,客户自备加工筐明细!$B$4:$B$1203,"&lt;="&amp;$T$2))</f>
        <v/>
      </c>
      <c r="L194" s="67" t="str">
        <f>IF(OR($B194="",基础资料!$B$10=""),"",-SUMIFS(客户自备加工筐明细!$G$4:$G$1203,客户自备加工筐明细!$E$4:$E$1203,$B194,客户自备加工筐明细!$C$4:$C$1203,基础资料!$B$10,客户自备加工筐明细!$B$4:$B$1203,"&gt;="&amp;$T$1,客户自备加工筐明细!$B$4:$B$1203,"&lt;="&amp;$T$2))</f>
        <v/>
      </c>
      <c r="M194" s="25" t="str">
        <f t="shared" si="11"/>
        <v/>
      </c>
      <c r="N194" s="25" t="str">
        <f t="shared" si="12"/>
        <v/>
      </c>
      <c r="O194" s="25" t="str">
        <f t="shared" si="13"/>
        <v/>
      </c>
      <c r="P194" s="37" t="str">
        <f t="shared" si="14"/>
        <v/>
      </c>
      <c r="Q194" s="27"/>
    </row>
    <row r="195" spans="1:17">
      <c r="A195" s="22" t="str">
        <f t="shared" si="10"/>
        <v/>
      </c>
      <c r="B195" s="37" t="str">
        <f>IFERROR(INDEX(_自动清单!$AM$4:$AM$203,ROW()-3),"")</f>
        <v/>
      </c>
      <c r="C195" s="25" t="str">
        <f>IF(OR($B195="",基础资料!$B$9=""),"",SUMIFS(对接源_01水果筐数!$D$5:$D$304,对接源_01水果筐数!$B$5:$B$304,$B195,对接源_01水果筐数!$C$5:$C$304,基础资料!$B$9))</f>
        <v/>
      </c>
      <c r="D195" s="25" t="str">
        <f>IF(OR($B195="",基础资料!$B$10=""),"",SUMIFS(对接源_01水果筐数!$D$5:$D$304,对接源_01水果筐数!$B$5:$B$304,$B195,对接源_01水果筐数!$C$5:$C$304,基础资料!$B$10))</f>
        <v/>
      </c>
      <c r="E195" s="25" t="str">
        <f>IF(OR($B195="",基础资料!$B$9=""),"",SUMIFS(客户自备加工筐明细!$F$4:$F$1203,客户自备加工筐明细!$E$4:$E$1203,$B195,客户自备加工筐明细!$C$4:$C$1203,基础资料!$B$9,客户自备加工筐明细!$B$4:$B$1203,"&gt;="&amp;$T$1,客户自备加工筐明细!$B$4:$B$1203,"&lt;="&amp;$T$2))</f>
        <v/>
      </c>
      <c r="F195" s="25" t="str">
        <f>IF(OR($B195="",基础资料!$B$10=""),"",SUMIFS(客户自备加工筐明细!$F$4:$F$1203,客户自备加工筐明细!$E$4:$E$1203,$B195,客户自备加工筐明细!$C$4:$C$1203,基础资料!$B$10,客户自备加工筐明细!$B$4:$B$1203,"&gt;="&amp;$T$1,客户自备加工筐明细!$B$4:$B$1203,"&lt;="&amp;$T$2))</f>
        <v/>
      </c>
      <c r="G195" s="67" t="str">
        <f>IF(OR($B195="",基础资料!$B$9=""),"",-SUMIFS(对接源_01水果筐数!$E$5:$E$304,对接源_01水果筐数!$B$5:$B$304,$B195,对接源_01水果筐数!$C$5:$C$304,基础资料!$B$9))</f>
        <v/>
      </c>
      <c r="H195" s="67" t="str">
        <f>IF(OR($B195="",基础资料!$B$10=""),"",-SUMIFS(对接源_01水果筐数!$E$5:$E$304,对接源_01水果筐数!$B$5:$B$304,$B195,对接源_01水果筐数!$C$5:$C$304,基础资料!$B$10))</f>
        <v/>
      </c>
      <c r="I195" s="67" t="str">
        <f>IF(OR($B195="",基础资料!$B$9=""),"",-SUMIFS(对接源_01水果筐数!$F$5:$F$304,对接源_01水果筐数!$B$5:$B$304,$B195,对接源_01水果筐数!$C$5:$C$304,基础资料!$B$9))</f>
        <v/>
      </c>
      <c r="J195" s="67" t="str">
        <f>IF(OR($B195="",基础资料!$B$10=""),"",-SUMIFS(对接源_01水果筐数!$F$5:$F$304,对接源_01水果筐数!$B$5:$B$304,$B195,对接源_01水果筐数!$C$5:$C$304,基础资料!$B$10))</f>
        <v/>
      </c>
      <c r="K195" s="67" t="str">
        <f>IF(OR($B195="",基础资料!$B$9=""),"",-SUMIFS(客户自备加工筐明细!$G$4:$G$1203,客户自备加工筐明细!$E$4:$E$1203,$B195,客户自备加工筐明细!$C$4:$C$1203,基础资料!$B$9,客户自备加工筐明细!$B$4:$B$1203,"&gt;="&amp;$T$1,客户自备加工筐明细!$B$4:$B$1203,"&lt;="&amp;$T$2))</f>
        <v/>
      </c>
      <c r="L195" s="67" t="str">
        <f>IF(OR($B195="",基础资料!$B$10=""),"",-SUMIFS(客户自备加工筐明细!$G$4:$G$1203,客户自备加工筐明细!$E$4:$E$1203,$B195,客户自备加工筐明细!$C$4:$C$1203,基础资料!$B$10,客户自备加工筐明细!$B$4:$B$1203,"&gt;="&amp;$T$1,客户自备加工筐明细!$B$4:$B$1203,"&lt;="&amp;$T$2))</f>
        <v/>
      </c>
      <c r="M195" s="25" t="str">
        <f t="shared" si="11"/>
        <v/>
      </c>
      <c r="N195" s="25" t="str">
        <f t="shared" si="12"/>
        <v/>
      </c>
      <c r="O195" s="25" t="str">
        <f t="shared" si="13"/>
        <v/>
      </c>
      <c r="P195" s="37" t="str">
        <f t="shared" si="14"/>
        <v/>
      </c>
      <c r="Q195" s="27"/>
    </row>
    <row r="196" spans="1:17">
      <c r="A196" s="22" t="str">
        <f t="shared" ref="A196:A203" si="15">IF($B196="","",ROW()-3)</f>
        <v/>
      </c>
      <c r="B196" s="37" t="str">
        <f>IFERROR(INDEX(_自动清单!$AM$4:$AM$203,ROW()-3),"")</f>
        <v/>
      </c>
      <c r="C196" s="25" t="str">
        <f>IF(OR($B196="",基础资料!$B$9=""),"",SUMIFS(对接源_01水果筐数!$D$5:$D$304,对接源_01水果筐数!$B$5:$B$304,$B196,对接源_01水果筐数!$C$5:$C$304,基础资料!$B$9))</f>
        <v/>
      </c>
      <c r="D196" s="25" t="str">
        <f>IF(OR($B196="",基础资料!$B$10=""),"",SUMIFS(对接源_01水果筐数!$D$5:$D$304,对接源_01水果筐数!$B$5:$B$304,$B196,对接源_01水果筐数!$C$5:$C$304,基础资料!$B$10))</f>
        <v/>
      </c>
      <c r="E196" s="25" t="str">
        <f>IF(OR($B196="",基础资料!$B$9=""),"",SUMIFS(客户自备加工筐明细!$F$4:$F$1203,客户自备加工筐明细!$E$4:$E$1203,$B196,客户自备加工筐明细!$C$4:$C$1203,基础资料!$B$9,客户自备加工筐明细!$B$4:$B$1203,"&gt;="&amp;$T$1,客户自备加工筐明细!$B$4:$B$1203,"&lt;="&amp;$T$2))</f>
        <v/>
      </c>
      <c r="F196" s="25" t="str">
        <f>IF(OR($B196="",基础资料!$B$10=""),"",SUMIFS(客户自备加工筐明细!$F$4:$F$1203,客户自备加工筐明细!$E$4:$E$1203,$B196,客户自备加工筐明细!$C$4:$C$1203,基础资料!$B$10,客户自备加工筐明细!$B$4:$B$1203,"&gt;="&amp;$T$1,客户自备加工筐明细!$B$4:$B$1203,"&lt;="&amp;$T$2))</f>
        <v/>
      </c>
      <c r="G196" s="67" t="str">
        <f>IF(OR($B196="",基础资料!$B$9=""),"",-SUMIFS(对接源_01水果筐数!$E$5:$E$304,对接源_01水果筐数!$B$5:$B$304,$B196,对接源_01水果筐数!$C$5:$C$304,基础资料!$B$9))</f>
        <v/>
      </c>
      <c r="H196" s="67" t="str">
        <f>IF(OR($B196="",基础资料!$B$10=""),"",-SUMIFS(对接源_01水果筐数!$E$5:$E$304,对接源_01水果筐数!$B$5:$B$304,$B196,对接源_01水果筐数!$C$5:$C$304,基础资料!$B$10))</f>
        <v/>
      </c>
      <c r="I196" s="67" t="str">
        <f>IF(OR($B196="",基础资料!$B$9=""),"",-SUMIFS(对接源_01水果筐数!$F$5:$F$304,对接源_01水果筐数!$B$5:$B$304,$B196,对接源_01水果筐数!$C$5:$C$304,基础资料!$B$9))</f>
        <v/>
      </c>
      <c r="J196" s="67" t="str">
        <f>IF(OR($B196="",基础资料!$B$10=""),"",-SUMIFS(对接源_01水果筐数!$F$5:$F$304,对接源_01水果筐数!$B$5:$B$304,$B196,对接源_01水果筐数!$C$5:$C$304,基础资料!$B$10))</f>
        <v/>
      </c>
      <c r="K196" s="67" t="str">
        <f>IF(OR($B196="",基础资料!$B$9=""),"",-SUMIFS(客户自备加工筐明细!$G$4:$G$1203,客户自备加工筐明细!$E$4:$E$1203,$B196,客户自备加工筐明细!$C$4:$C$1203,基础资料!$B$9,客户自备加工筐明细!$B$4:$B$1203,"&gt;="&amp;$T$1,客户自备加工筐明细!$B$4:$B$1203,"&lt;="&amp;$T$2))</f>
        <v/>
      </c>
      <c r="L196" s="67" t="str">
        <f>IF(OR($B196="",基础资料!$B$10=""),"",-SUMIFS(客户自备加工筐明细!$G$4:$G$1203,客户自备加工筐明细!$E$4:$E$1203,$B196,客户自备加工筐明细!$C$4:$C$1203,基础资料!$B$10,客户自备加工筐明细!$B$4:$B$1203,"&gt;="&amp;$T$1,客户自备加工筐明细!$B$4:$B$1203,"&lt;="&amp;$T$2))</f>
        <v/>
      </c>
      <c r="M196" s="25" t="str">
        <f t="shared" ref="M196:M203" si="16">IF($B196="","",N($C196)+N($E196)+N($G196)+N($I196)+N($K196))</f>
        <v/>
      </c>
      <c r="N196" s="25" t="str">
        <f t="shared" ref="N196:N203" si="17">IF($B196="","",N($D196)+N($F196)+N($H196)+N($J196)+N($L196))</f>
        <v/>
      </c>
      <c r="O196" s="25" t="str">
        <f t="shared" ref="O196:O203" si="18">IF($B196="","",N($M196)+N($N196))</f>
        <v/>
      </c>
      <c r="P196" s="37" t="str">
        <f t="shared" ref="P196:P203" si="19">IF($B196="","",IF(N($O196)&lt;0,"⚠ 剩余为负，请检查","✔"))</f>
        <v/>
      </c>
      <c r="Q196" s="27"/>
    </row>
    <row r="197" spans="1:17">
      <c r="A197" s="22" t="str">
        <f t="shared" si="15"/>
        <v/>
      </c>
      <c r="B197" s="37" t="str">
        <f>IFERROR(INDEX(_自动清单!$AM$4:$AM$203,ROW()-3),"")</f>
        <v/>
      </c>
      <c r="C197" s="25" t="str">
        <f>IF(OR($B197="",基础资料!$B$9=""),"",SUMIFS(对接源_01水果筐数!$D$5:$D$304,对接源_01水果筐数!$B$5:$B$304,$B197,对接源_01水果筐数!$C$5:$C$304,基础资料!$B$9))</f>
        <v/>
      </c>
      <c r="D197" s="25" t="str">
        <f>IF(OR($B197="",基础资料!$B$10=""),"",SUMIFS(对接源_01水果筐数!$D$5:$D$304,对接源_01水果筐数!$B$5:$B$304,$B197,对接源_01水果筐数!$C$5:$C$304,基础资料!$B$10))</f>
        <v/>
      </c>
      <c r="E197" s="25" t="str">
        <f>IF(OR($B197="",基础资料!$B$9=""),"",SUMIFS(客户自备加工筐明细!$F$4:$F$1203,客户自备加工筐明细!$E$4:$E$1203,$B197,客户自备加工筐明细!$C$4:$C$1203,基础资料!$B$9,客户自备加工筐明细!$B$4:$B$1203,"&gt;="&amp;$T$1,客户自备加工筐明细!$B$4:$B$1203,"&lt;="&amp;$T$2))</f>
        <v/>
      </c>
      <c r="F197" s="25" t="str">
        <f>IF(OR($B197="",基础资料!$B$10=""),"",SUMIFS(客户自备加工筐明细!$F$4:$F$1203,客户自备加工筐明细!$E$4:$E$1203,$B197,客户自备加工筐明细!$C$4:$C$1203,基础资料!$B$10,客户自备加工筐明细!$B$4:$B$1203,"&gt;="&amp;$T$1,客户自备加工筐明细!$B$4:$B$1203,"&lt;="&amp;$T$2))</f>
        <v/>
      </c>
      <c r="G197" s="67" t="str">
        <f>IF(OR($B197="",基础资料!$B$9=""),"",-SUMIFS(对接源_01水果筐数!$E$5:$E$304,对接源_01水果筐数!$B$5:$B$304,$B197,对接源_01水果筐数!$C$5:$C$304,基础资料!$B$9))</f>
        <v/>
      </c>
      <c r="H197" s="67" t="str">
        <f>IF(OR($B197="",基础资料!$B$10=""),"",-SUMIFS(对接源_01水果筐数!$E$5:$E$304,对接源_01水果筐数!$B$5:$B$304,$B197,对接源_01水果筐数!$C$5:$C$304,基础资料!$B$10))</f>
        <v/>
      </c>
      <c r="I197" s="67" t="str">
        <f>IF(OR($B197="",基础资料!$B$9=""),"",-SUMIFS(对接源_01水果筐数!$F$5:$F$304,对接源_01水果筐数!$B$5:$B$304,$B197,对接源_01水果筐数!$C$5:$C$304,基础资料!$B$9))</f>
        <v/>
      </c>
      <c r="J197" s="67" t="str">
        <f>IF(OR($B197="",基础资料!$B$10=""),"",-SUMIFS(对接源_01水果筐数!$F$5:$F$304,对接源_01水果筐数!$B$5:$B$304,$B197,对接源_01水果筐数!$C$5:$C$304,基础资料!$B$10))</f>
        <v/>
      </c>
      <c r="K197" s="67" t="str">
        <f>IF(OR($B197="",基础资料!$B$9=""),"",-SUMIFS(客户自备加工筐明细!$G$4:$G$1203,客户自备加工筐明细!$E$4:$E$1203,$B197,客户自备加工筐明细!$C$4:$C$1203,基础资料!$B$9,客户自备加工筐明细!$B$4:$B$1203,"&gt;="&amp;$T$1,客户自备加工筐明细!$B$4:$B$1203,"&lt;="&amp;$T$2))</f>
        <v/>
      </c>
      <c r="L197" s="67" t="str">
        <f>IF(OR($B197="",基础资料!$B$10=""),"",-SUMIFS(客户自备加工筐明细!$G$4:$G$1203,客户自备加工筐明细!$E$4:$E$1203,$B197,客户自备加工筐明细!$C$4:$C$1203,基础资料!$B$10,客户自备加工筐明细!$B$4:$B$1203,"&gt;="&amp;$T$1,客户自备加工筐明细!$B$4:$B$1203,"&lt;="&amp;$T$2))</f>
        <v/>
      </c>
      <c r="M197" s="25" t="str">
        <f t="shared" si="16"/>
        <v/>
      </c>
      <c r="N197" s="25" t="str">
        <f t="shared" si="17"/>
        <v/>
      </c>
      <c r="O197" s="25" t="str">
        <f t="shared" si="18"/>
        <v/>
      </c>
      <c r="P197" s="37" t="str">
        <f t="shared" si="19"/>
        <v/>
      </c>
      <c r="Q197" s="27"/>
    </row>
    <row r="198" spans="1:17">
      <c r="A198" s="22" t="str">
        <f t="shared" si="15"/>
        <v/>
      </c>
      <c r="B198" s="37" t="str">
        <f>IFERROR(INDEX(_自动清单!$AM$4:$AM$203,ROW()-3),"")</f>
        <v/>
      </c>
      <c r="C198" s="25" t="str">
        <f>IF(OR($B198="",基础资料!$B$9=""),"",SUMIFS(对接源_01水果筐数!$D$5:$D$304,对接源_01水果筐数!$B$5:$B$304,$B198,对接源_01水果筐数!$C$5:$C$304,基础资料!$B$9))</f>
        <v/>
      </c>
      <c r="D198" s="25" t="str">
        <f>IF(OR($B198="",基础资料!$B$10=""),"",SUMIFS(对接源_01水果筐数!$D$5:$D$304,对接源_01水果筐数!$B$5:$B$304,$B198,对接源_01水果筐数!$C$5:$C$304,基础资料!$B$10))</f>
        <v/>
      </c>
      <c r="E198" s="25" t="str">
        <f>IF(OR($B198="",基础资料!$B$9=""),"",SUMIFS(客户自备加工筐明细!$F$4:$F$1203,客户自备加工筐明细!$E$4:$E$1203,$B198,客户自备加工筐明细!$C$4:$C$1203,基础资料!$B$9,客户自备加工筐明细!$B$4:$B$1203,"&gt;="&amp;$T$1,客户自备加工筐明细!$B$4:$B$1203,"&lt;="&amp;$T$2))</f>
        <v/>
      </c>
      <c r="F198" s="25" t="str">
        <f>IF(OR($B198="",基础资料!$B$10=""),"",SUMIFS(客户自备加工筐明细!$F$4:$F$1203,客户自备加工筐明细!$E$4:$E$1203,$B198,客户自备加工筐明细!$C$4:$C$1203,基础资料!$B$10,客户自备加工筐明细!$B$4:$B$1203,"&gt;="&amp;$T$1,客户自备加工筐明细!$B$4:$B$1203,"&lt;="&amp;$T$2))</f>
        <v/>
      </c>
      <c r="G198" s="67" t="str">
        <f>IF(OR($B198="",基础资料!$B$9=""),"",-SUMIFS(对接源_01水果筐数!$E$5:$E$304,对接源_01水果筐数!$B$5:$B$304,$B198,对接源_01水果筐数!$C$5:$C$304,基础资料!$B$9))</f>
        <v/>
      </c>
      <c r="H198" s="67" t="str">
        <f>IF(OR($B198="",基础资料!$B$10=""),"",-SUMIFS(对接源_01水果筐数!$E$5:$E$304,对接源_01水果筐数!$B$5:$B$304,$B198,对接源_01水果筐数!$C$5:$C$304,基础资料!$B$10))</f>
        <v/>
      </c>
      <c r="I198" s="67" t="str">
        <f>IF(OR($B198="",基础资料!$B$9=""),"",-SUMIFS(对接源_01水果筐数!$F$5:$F$304,对接源_01水果筐数!$B$5:$B$304,$B198,对接源_01水果筐数!$C$5:$C$304,基础资料!$B$9))</f>
        <v/>
      </c>
      <c r="J198" s="67" t="str">
        <f>IF(OR($B198="",基础资料!$B$10=""),"",-SUMIFS(对接源_01水果筐数!$F$5:$F$304,对接源_01水果筐数!$B$5:$B$304,$B198,对接源_01水果筐数!$C$5:$C$304,基础资料!$B$10))</f>
        <v/>
      </c>
      <c r="K198" s="67" t="str">
        <f>IF(OR($B198="",基础资料!$B$9=""),"",-SUMIFS(客户自备加工筐明细!$G$4:$G$1203,客户自备加工筐明细!$E$4:$E$1203,$B198,客户自备加工筐明细!$C$4:$C$1203,基础资料!$B$9,客户自备加工筐明细!$B$4:$B$1203,"&gt;="&amp;$T$1,客户自备加工筐明细!$B$4:$B$1203,"&lt;="&amp;$T$2))</f>
        <v/>
      </c>
      <c r="L198" s="67" t="str">
        <f>IF(OR($B198="",基础资料!$B$10=""),"",-SUMIFS(客户自备加工筐明细!$G$4:$G$1203,客户自备加工筐明细!$E$4:$E$1203,$B198,客户自备加工筐明细!$C$4:$C$1203,基础资料!$B$10,客户自备加工筐明细!$B$4:$B$1203,"&gt;="&amp;$T$1,客户自备加工筐明细!$B$4:$B$1203,"&lt;="&amp;$T$2))</f>
        <v/>
      </c>
      <c r="M198" s="25" t="str">
        <f t="shared" si="16"/>
        <v/>
      </c>
      <c r="N198" s="25" t="str">
        <f t="shared" si="17"/>
        <v/>
      </c>
      <c r="O198" s="25" t="str">
        <f t="shared" si="18"/>
        <v/>
      </c>
      <c r="P198" s="37" t="str">
        <f t="shared" si="19"/>
        <v/>
      </c>
      <c r="Q198" s="27"/>
    </row>
    <row r="199" spans="1:17">
      <c r="A199" s="22" t="str">
        <f t="shared" si="15"/>
        <v/>
      </c>
      <c r="B199" s="37" t="str">
        <f>IFERROR(INDEX(_自动清单!$AM$4:$AM$203,ROW()-3),"")</f>
        <v/>
      </c>
      <c r="C199" s="25" t="str">
        <f>IF(OR($B199="",基础资料!$B$9=""),"",SUMIFS(对接源_01水果筐数!$D$5:$D$304,对接源_01水果筐数!$B$5:$B$304,$B199,对接源_01水果筐数!$C$5:$C$304,基础资料!$B$9))</f>
        <v/>
      </c>
      <c r="D199" s="25" t="str">
        <f>IF(OR($B199="",基础资料!$B$10=""),"",SUMIFS(对接源_01水果筐数!$D$5:$D$304,对接源_01水果筐数!$B$5:$B$304,$B199,对接源_01水果筐数!$C$5:$C$304,基础资料!$B$10))</f>
        <v/>
      </c>
      <c r="E199" s="25" t="str">
        <f>IF(OR($B199="",基础资料!$B$9=""),"",SUMIFS(客户自备加工筐明细!$F$4:$F$1203,客户自备加工筐明细!$E$4:$E$1203,$B199,客户自备加工筐明细!$C$4:$C$1203,基础资料!$B$9,客户自备加工筐明细!$B$4:$B$1203,"&gt;="&amp;$T$1,客户自备加工筐明细!$B$4:$B$1203,"&lt;="&amp;$T$2))</f>
        <v/>
      </c>
      <c r="F199" s="25" t="str">
        <f>IF(OR($B199="",基础资料!$B$10=""),"",SUMIFS(客户自备加工筐明细!$F$4:$F$1203,客户自备加工筐明细!$E$4:$E$1203,$B199,客户自备加工筐明细!$C$4:$C$1203,基础资料!$B$10,客户自备加工筐明细!$B$4:$B$1203,"&gt;="&amp;$T$1,客户自备加工筐明细!$B$4:$B$1203,"&lt;="&amp;$T$2))</f>
        <v/>
      </c>
      <c r="G199" s="67" t="str">
        <f>IF(OR($B199="",基础资料!$B$9=""),"",-SUMIFS(对接源_01水果筐数!$E$5:$E$304,对接源_01水果筐数!$B$5:$B$304,$B199,对接源_01水果筐数!$C$5:$C$304,基础资料!$B$9))</f>
        <v/>
      </c>
      <c r="H199" s="67" t="str">
        <f>IF(OR($B199="",基础资料!$B$10=""),"",-SUMIFS(对接源_01水果筐数!$E$5:$E$304,对接源_01水果筐数!$B$5:$B$304,$B199,对接源_01水果筐数!$C$5:$C$304,基础资料!$B$10))</f>
        <v/>
      </c>
      <c r="I199" s="67" t="str">
        <f>IF(OR($B199="",基础资料!$B$9=""),"",-SUMIFS(对接源_01水果筐数!$F$5:$F$304,对接源_01水果筐数!$B$5:$B$304,$B199,对接源_01水果筐数!$C$5:$C$304,基础资料!$B$9))</f>
        <v/>
      </c>
      <c r="J199" s="67" t="str">
        <f>IF(OR($B199="",基础资料!$B$10=""),"",-SUMIFS(对接源_01水果筐数!$F$5:$F$304,对接源_01水果筐数!$B$5:$B$304,$B199,对接源_01水果筐数!$C$5:$C$304,基础资料!$B$10))</f>
        <v/>
      </c>
      <c r="K199" s="67" t="str">
        <f>IF(OR($B199="",基础资料!$B$9=""),"",-SUMIFS(客户自备加工筐明细!$G$4:$G$1203,客户自备加工筐明细!$E$4:$E$1203,$B199,客户自备加工筐明细!$C$4:$C$1203,基础资料!$B$9,客户自备加工筐明细!$B$4:$B$1203,"&gt;="&amp;$T$1,客户自备加工筐明细!$B$4:$B$1203,"&lt;="&amp;$T$2))</f>
        <v/>
      </c>
      <c r="L199" s="67" t="str">
        <f>IF(OR($B199="",基础资料!$B$10=""),"",-SUMIFS(客户自备加工筐明细!$G$4:$G$1203,客户自备加工筐明细!$E$4:$E$1203,$B199,客户自备加工筐明细!$C$4:$C$1203,基础资料!$B$10,客户自备加工筐明细!$B$4:$B$1203,"&gt;="&amp;$T$1,客户自备加工筐明细!$B$4:$B$1203,"&lt;="&amp;$T$2))</f>
        <v/>
      </c>
      <c r="M199" s="25" t="str">
        <f t="shared" si="16"/>
        <v/>
      </c>
      <c r="N199" s="25" t="str">
        <f t="shared" si="17"/>
        <v/>
      </c>
      <c r="O199" s="25" t="str">
        <f t="shared" si="18"/>
        <v/>
      </c>
      <c r="P199" s="37" t="str">
        <f t="shared" si="19"/>
        <v/>
      </c>
      <c r="Q199" s="27"/>
    </row>
    <row r="200" spans="1:17">
      <c r="A200" s="22" t="str">
        <f t="shared" si="15"/>
        <v/>
      </c>
      <c r="B200" s="37" t="str">
        <f>IFERROR(INDEX(_自动清单!$AM$4:$AM$203,ROW()-3),"")</f>
        <v/>
      </c>
      <c r="C200" s="25" t="str">
        <f>IF(OR($B200="",基础资料!$B$9=""),"",SUMIFS(对接源_01水果筐数!$D$5:$D$304,对接源_01水果筐数!$B$5:$B$304,$B200,对接源_01水果筐数!$C$5:$C$304,基础资料!$B$9))</f>
        <v/>
      </c>
      <c r="D200" s="25" t="str">
        <f>IF(OR($B200="",基础资料!$B$10=""),"",SUMIFS(对接源_01水果筐数!$D$5:$D$304,对接源_01水果筐数!$B$5:$B$304,$B200,对接源_01水果筐数!$C$5:$C$304,基础资料!$B$10))</f>
        <v/>
      </c>
      <c r="E200" s="25" t="str">
        <f>IF(OR($B200="",基础资料!$B$9=""),"",SUMIFS(客户自备加工筐明细!$F$4:$F$1203,客户自备加工筐明细!$E$4:$E$1203,$B200,客户自备加工筐明细!$C$4:$C$1203,基础资料!$B$9,客户自备加工筐明细!$B$4:$B$1203,"&gt;="&amp;$T$1,客户自备加工筐明细!$B$4:$B$1203,"&lt;="&amp;$T$2))</f>
        <v/>
      </c>
      <c r="F200" s="25" t="str">
        <f>IF(OR($B200="",基础资料!$B$10=""),"",SUMIFS(客户自备加工筐明细!$F$4:$F$1203,客户自备加工筐明细!$E$4:$E$1203,$B200,客户自备加工筐明细!$C$4:$C$1203,基础资料!$B$10,客户自备加工筐明细!$B$4:$B$1203,"&gt;="&amp;$T$1,客户自备加工筐明细!$B$4:$B$1203,"&lt;="&amp;$T$2))</f>
        <v/>
      </c>
      <c r="G200" s="67" t="str">
        <f>IF(OR($B200="",基础资料!$B$9=""),"",-SUMIFS(对接源_01水果筐数!$E$5:$E$304,对接源_01水果筐数!$B$5:$B$304,$B200,对接源_01水果筐数!$C$5:$C$304,基础资料!$B$9))</f>
        <v/>
      </c>
      <c r="H200" s="67" t="str">
        <f>IF(OR($B200="",基础资料!$B$10=""),"",-SUMIFS(对接源_01水果筐数!$E$5:$E$304,对接源_01水果筐数!$B$5:$B$304,$B200,对接源_01水果筐数!$C$5:$C$304,基础资料!$B$10))</f>
        <v/>
      </c>
      <c r="I200" s="67" t="str">
        <f>IF(OR($B200="",基础资料!$B$9=""),"",-SUMIFS(对接源_01水果筐数!$F$5:$F$304,对接源_01水果筐数!$B$5:$B$304,$B200,对接源_01水果筐数!$C$5:$C$304,基础资料!$B$9))</f>
        <v/>
      </c>
      <c r="J200" s="67" t="str">
        <f>IF(OR($B200="",基础资料!$B$10=""),"",-SUMIFS(对接源_01水果筐数!$F$5:$F$304,对接源_01水果筐数!$B$5:$B$304,$B200,对接源_01水果筐数!$C$5:$C$304,基础资料!$B$10))</f>
        <v/>
      </c>
      <c r="K200" s="67" t="str">
        <f>IF(OR($B200="",基础资料!$B$9=""),"",-SUMIFS(客户自备加工筐明细!$G$4:$G$1203,客户自备加工筐明细!$E$4:$E$1203,$B200,客户自备加工筐明细!$C$4:$C$1203,基础资料!$B$9,客户自备加工筐明细!$B$4:$B$1203,"&gt;="&amp;$T$1,客户自备加工筐明细!$B$4:$B$1203,"&lt;="&amp;$T$2))</f>
        <v/>
      </c>
      <c r="L200" s="67" t="str">
        <f>IF(OR($B200="",基础资料!$B$10=""),"",-SUMIFS(客户自备加工筐明细!$G$4:$G$1203,客户自备加工筐明细!$E$4:$E$1203,$B200,客户自备加工筐明细!$C$4:$C$1203,基础资料!$B$10,客户自备加工筐明细!$B$4:$B$1203,"&gt;="&amp;$T$1,客户自备加工筐明细!$B$4:$B$1203,"&lt;="&amp;$T$2))</f>
        <v/>
      </c>
      <c r="M200" s="25" t="str">
        <f t="shared" si="16"/>
        <v/>
      </c>
      <c r="N200" s="25" t="str">
        <f t="shared" si="17"/>
        <v/>
      </c>
      <c r="O200" s="25" t="str">
        <f t="shared" si="18"/>
        <v/>
      </c>
      <c r="P200" s="37" t="str">
        <f t="shared" si="19"/>
        <v/>
      </c>
      <c r="Q200" s="27"/>
    </row>
    <row r="201" spans="1:17">
      <c r="A201" s="22" t="str">
        <f t="shared" si="15"/>
        <v/>
      </c>
      <c r="B201" s="37" t="str">
        <f>IFERROR(INDEX(_自动清单!$AM$4:$AM$203,ROW()-3),"")</f>
        <v/>
      </c>
      <c r="C201" s="25" t="str">
        <f>IF(OR($B201="",基础资料!$B$9=""),"",SUMIFS(对接源_01水果筐数!$D$5:$D$304,对接源_01水果筐数!$B$5:$B$304,$B201,对接源_01水果筐数!$C$5:$C$304,基础资料!$B$9))</f>
        <v/>
      </c>
      <c r="D201" s="25" t="str">
        <f>IF(OR($B201="",基础资料!$B$10=""),"",SUMIFS(对接源_01水果筐数!$D$5:$D$304,对接源_01水果筐数!$B$5:$B$304,$B201,对接源_01水果筐数!$C$5:$C$304,基础资料!$B$10))</f>
        <v/>
      </c>
      <c r="E201" s="25" t="str">
        <f>IF(OR($B201="",基础资料!$B$9=""),"",SUMIFS(客户自备加工筐明细!$F$4:$F$1203,客户自备加工筐明细!$E$4:$E$1203,$B201,客户自备加工筐明细!$C$4:$C$1203,基础资料!$B$9,客户自备加工筐明细!$B$4:$B$1203,"&gt;="&amp;$T$1,客户自备加工筐明细!$B$4:$B$1203,"&lt;="&amp;$T$2))</f>
        <v/>
      </c>
      <c r="F201" s="25" t="str">
        <f>IF(OR($B201="",基础资料!$B$10=""),"",SUMIFS(客户自备加工筐明细!$F$4:$F$1203,客户自备加工筐明细!$E$4:$E$1203,$B201,客户自备加工筐明细!$C$4:$C$1203,基础资料!$B$10,客户自备加工筐明细!$B$4:$B$1203,"&gt;="&amp;$T$1,客户自备加工筐明细!$B$4:$B$1203,"&lt;="&amp;$T$2))</f>
        <v/>
      </c>
      <c r="G201" s="67" t="str">
        <f>IF(OR($B201="",基础资料!$B$9=""),"",-SUMIFS(对接源_01水果筐数!$E$5:$E$304,对接源_01水果筐数!$B$5:$B$304,$B201,对接源_01水果筐数!$C$5:$C$304,基础资料!$B$9))</f>
        <v/>
      </c>
      <c r="H201" s="67" t="str">
        <f>IF(OR($B201="",基础资料!$B$10=""),"",-SUMIFS(对接源_01水果筐数!$E$5:$E$304,对接源_01水果筐数!$B$5:$B$304,$B201,对接源_01水果筐数!$C$5:$C$304,基础资料!$B$10))</f>
        <v/>
      </c>
      <c r="I201" s="67" t="str">
        <f>IF(OR($B201="",基础资料!$B$9=""),"",-SUMIFS(对接源_01水果筐数!$F$5:$F$304,对接源_01水果筐数!$B$5:$B$304,$B201,对接源_01水果筐数!$C$5:$C$304,基础资料!$B$9))</f>
        <v/>
      </c>
      <c r="J201" s="67" t="str">
        <f>IF(OR($B201="",基础资料!$B$10=""),"",-SUMIFS(对接源_01水果筐数!$F$5:$F$304,对接源_01水果筐数!$B$5:$B$304,$B201,对接源_01水果筐数!$C$5:$C$304,基础资料!$B$10))</f>
        <v/>
      </c>
      <c r="K201" s="67" t="str">
        <f>IF(OR($B201="",基础资料!$B$9=""),"",-SUMIFS(客户自备加工筐明细!$G$4:$G$1203,客户自备加工筐明细!$E$4:$E$1203,$B201,客户自备加工筐明细!$C$4:$C$1203,基础资料!$B$9,客户自备加工筐明细!$B$4:$B$1203,"&gt;="&amp;$T$1,客户自备加工筐明细!$B$4:$B$1203,"&lt;="&amp;$T$2))</f>
        <v/>
      </c>
      <c r="L201" s="67" t="str">
        <f>IF(OR($B201="",基础资料!$B$10=""),"",-SUMIFS(客户自备加工筐明细!$G$4:$G$1203,客户自备加工筐明细!$E$4:$E$1203,$B201,客户自备加工筐明细!$C$4:$C$1203,基础资料!$B$10,客户自备加工筐明细!$B$4:$B$1203,"&gt;="&amp;$T$1,客户自备加工筐明细!$B$4:$B$1203,"&lt;="&amp;$T$2))</f>
        <v/>
      </c>
      <c r="M201" s="25" t="str">
        <f t="shared" si="16"/>
        <v/>
      </c>
      <c r="N201" s="25" t="str">
        <f t="shared" si="17"/>
        <v/>
      </c>
      <c r="O201" s="25" t="str">
        <f t="shared" si="18"/>
        <v/>
      </c>
      <c r="P201" s="37" t="str">
        <f t="shared" si="19"/>
        <v/>
      </c>
      <c r="Q201" s="27"/>
    </row>
    <row r="202" spans="1:17">
      <c r="A202" s="22" t="str">
        <f t="shared" si="15"/>
        <v/>
      </c>
      <c r="B202" s="37" t="str">
        <f>IFERROR(INDEX(_自动清单!$AM$4:$AM$203,ROW()-3),"")</f>
        <v/>
      </c>
      <c r="C202" s="25" t="str">
        <f>IF(OR($B202="",基础资料!$B$9=""),"",SUMIFS(对接源_01水果筐数!$D$5:$D$304,对接源_01水果筐数!$B$5:$B$304,$B202,对接源_01水果筐数!$C$5:$C$304,基础资料!$B$9))</f>
        <v/>
      </c>
      <c r="D202" s="25" t="str">
        <f>IF(OR($B202="",基础资料!$B$10=""),"",SUMIFS(对接源_01水果筐数!$D$5:$D$304,对接源_01水果筐数!$B$5:$B$304,$B202,对接源_01水果筐数!$C$5:$C$304,基础资料!$B$10))</f>
        <v/>
      </c>
      <c r="E202" s="25" t="str">
        <f>IF(OR($B202="",基础资料!$B$9=""),"",SUMIFS(客户自备加工筐明细!$F$4:$F$1203,客户自备加工筐明细!$E$4:$E$1203,$B202,客户自备加工筐明细!$C$4:$C$1203,基础资料!$B$9,客户自备加工筐明细!$B$4:$B$1203,"&gt;="&amp;$T$1,客户自备加工筐明细!$B$4:$B$1203,"&lt;="&amp;$T$2))</f>
        <v/>
      </c>
      <c r="F202" s="25" t="str">
        <f>IF(OR($B202="",基础资料!$B$10=""),"",SUMIFS(客户自备加工筐明细!$F$4:$F$1203,客户自备加工筐明细!$E$4:$E$1203,$B202,客户自备加工筐明细!$C$4:$C$1203,基础资料!$B$10,客户自备加工筐明细!$B$4:$B$1203,"&gt;="&amp;$T$1,客户自备加工筐明细!$B$4:$B$1203,"&lt;="&amp;$T$2))</f>
        <v/>
      </c>
      <c r="G202" s="67" t="str">
        <f>IF(OR($B202="",基础资料!$B$9=""),"",-SUMIFS(对接源_01水果筐数!$E$5:$E$304,对接源_01水果筐数!$B$5:$B$304,$B202,对接源_01水果筐数!$C$5:$C$304,基础资料!$B$9))</f>
        <v/>
      </c>
      <c r="H202" s="67" t="str">
        <f>IF(OR($B202="",基础资料!$B$10=""),"",-SUMIFS(对接源_01水果筐数!$E$5:$E$304,对接源_01水果筐数!$B$5:$B$304,$B202,对接源_01水果筐数!$C$5:$C$304,基础资料!$B$10))</f>
        <v/>
      </c>
      <c r="I202" s="67" t="str">
        <f>IF(OR($B202="",基础资料!$B$9=""),"",-SUMIFS(对接源_01水果筐数!$F$5:$F$304,对接源_01水果筐数!$B$5:$B$304,$B202,对接源_01水果筐数!$C$5:$C$304,基础资料!$B$9))</f>
        <v/>
      </c>
      <c r="J202" s="67" t="str">
        <f>IF(OR($B202="",基础资料!$B$10=""),"",-SUMIFS(对接源_01水果筐数!$F$5:$F$304,对接源_01水果筐数!$B$5:$B$304,$B202,对接源_01水果筐数!$C$5:$C$304,基础资料!$B$10))</f>
        <v/>
      </c>
      <c r="K202" s="67" t="str">
        <f>IF(OR($B202="",基础资料!$B$9=""),"",-SUMIFS(客户自备加工筐明细!$G$4:$G$1203,客户自备加工筐明细!$E$4:$E$1203,$B202,客户自备加工筐明细!$C$4:$C$1203,基础资料!$B$9,客户自备加工筐明细!$B$4:$B$1203,"&gt;="&amp;$T$1,客户自备加工筐明细!$B$4:$B$1203,"&lt;="&amp;$T$2))</f>
        <v/>
      </c>
      <c r="L202" s="67" t="str">
        <f>IF(OR($B202="",基础资料!$B$10=""),"",-SUMIFS(客户自备加工筐明细!$G$4:$G$1203,客户自备加工筐明细!$E$4:$E$1203,$B202,客户自备加工筐明细!$C$4:$C$1203,基础资料!$B$10,客户自备加工筐明细!$B$4:$B$1203,"&gt;="&amp;$T$1,客户自备加工筐明细!$B$4:$B$1203,"&lt;="&amp;$T$2))</f>
        <v/>
      </c>
      <c r="M202" s="25" t="str">
        <f t="shared" si="16"/>
        <v/>
      </c>
      <c r="N202" s="25" t="str">
        <f t="shared" si="17"/>
        <v/>
      </c>
      <c r="O202" s="25" t="str">
        <f t="shared" si="18"/>
        <v/>
      </c>
      <c r="P202" s="37" t="str">
        <f t="shared" si="19"/>
        <v/>
      </c>
      <c r="Q202" s="27"/>
    </row>
    <row r="203" spans="1:17">
      <c r="A203" s="22" t="str">
        <f t="shared" si="15"/>
        <v/>
      </c>
      <c r="B203" s="37" t="str">
        <f>IFERROR(INDEX(_自动清单!$AM$4:$AM$203,ROW()-3),"")</f>
        <v/>
      </c>
      <c r="C203" s="25" t="str">
        <f>IF(OR($B203="",基础资料!$B$9=""),"",SUMIFS(对接源_01水果筐数!$D$5:$D$304,对接源_01水果筐数!$B$5:$B$304,$B203,对接源_01水果筐数!$C$5:$C$304,基础资料!$B$9))</f>
        <v/>
      </c>
      <c r="D203" s="25" t="str">
        <f>IF(OR($B203="",基础资料!$B$10=""),"",SUMIFS(对接源_01水果筐数!$D$5:$D$304,对接源_01水果筐数!$B$5:$B$304,$B203,对接源_01水果筐数!$C$5:$C$304,基础资料!$B$10))</f>
        <v/>
      </c>
      <c r="E203" s="25" t="str">
        <f>IF(OR($B203="",基础资料!$B$9=""),"",SUMIFS(客户自备加工筐明细!$F$4:$F$1203,客户自备加工筐明细!$E$4:$E$1203,$B203,客户自备加工筐明细!$C$4:$C$1203,基础资料!$B$9,客户自备加工筐明细!$B$4:$B$1203,"&gt;="&amp;$T$1,客户自备加工筐明细!$B$4:$B$1203,"&lt;="&amp;$T$2))</f>
        <v/>
      </c>
      <c r="F203" s="25" t="str">
        <f>IF(OR($B203="",基础资料!$B$10=""),"",SUMIFS(客户自备加工筐明细!$F$4:$F$1203,客户自备加工筐明细!$E$4:$E$1203,$B203,客户自备加工筐明细!$C$4:$C$1203,基础资料!$B$10,客户自备加工筐明细!$B$4:$B$1203,"&gt;="&amp;$T$1,客户自备加工筐明细!$B$4:$B$1203,"&lt;="&amp;$T$2))</f>
        <v/>
      </c>
      <c r="G203" s="67" t="str">
        <f>IF(OR($B203="",基础资料!$B$9=""),"",-SUMIFS(对接源_01水果筐数!$E$5:$E$304,对接源_01水果筐数!$B$5:$B$304,$B203,对接源_01水果筐数!$C$5:$C$304,基础资料!$B$9))</f>
        <v/>
      </c>
      <c r="H203" s="67" t="str">
        <f>IF(OR($B203="",基础资料!$B$10=""),"",-SUMIFS(对接源_01水果筐数!$E$5:$E$304,对接源_01水果筐数!$B$5:$B$304,$B203,对接源_01水果筐数!$C$5:$C$304,基础资料!$B$10))</f>
        <v/>
      </c>
      <c r="I203" s="67" t="str">
        <f>IF(OR($B203="",基础资料!$B$9=""),"",-SUMIFS(对接源_01水果筐数!$F$5:$F$304,对接源_01水果筐数!$B$5:$B$304,$B203,对接源_01水果筐数!$C$5:$C$304,基础资料!$B$9))</f>
        <v/>
      </c>
      <c r="J203" s="67" t="str">
        <f>IF(OR($B203="",基础资料!$B$10=""),"",-SUMIFS(对接源_01水果筐数!$F$5:$F$304,对接源_01水果筐数!$B$5:$B$304,$B203,对接源_01水果筐数!$C$5:$C$304,基础资料!$B$10))</f>
        <v/>
      </c>
      <c r="K203" s="67" t="str">
        <f>IF(OR($B203="",基础资料!$B$9=""),"",-SUMIFS(客户自备加工筐明细!$G$4:$G$1203,客户自备加工筐明细!$E$4:$E$1203,$B203,客户自备加工筐明细!$C$4:$C$1203,基础资料!$B$9,客户自备加工筐明细!$B$4:$B$1203,"&gt;="&amp;$T$1,客户自备加工筐明细!$B$4:$B$1203,"&lt;="&amp;$T$2))</f>
        <v/>
      </c>
      <c r="L203" s="67" t="str">
        <f>IF(OR($B203="",基础资料!$B$10=""),"",-SUMIFS(客户自备加工筐明细!$G$4:$G$1203,客户自备加工筐明细!$E$4:$E$1203,$B203,客户自备加工筐明细!$C$4:$C$1203,基础资料!$B$10,客户自备加工筐明细!$B$4:$B$1203,"&gt;="&amp;$T$1,客户自备加工筐明细!$B$4:$B$1203,"&lt;="&amp;$T$2))</f>
        <v/>
      </c>
      <c r="M203" s="25" t="str">
        <f t="shared" si="16"/>
        <v/>
      </c>
      <c r="N203" s="25" t="str">
        <f t="shared" si="17"/>
        <v/>
      </c>
      <c r="O203" s="25" t="str">
        <f t="shared" si="18"/>
        <v/>
      </c>
      <c r="P203" s="37" t="str">
        <f t="shared" si="19"/>
        <v/>
      </c>
      <c r="Q203" s="27"/>
    </row>
    <row r="204" spans="1:17">
      <c r="A204" s="68"/>
      <c r="B204" s="69" t="s">
        <v>473</v>
      </c>
      <c r="C204" s="70">
        <f t="shared" ref="C204:O204" si="20">ROUND(SUM(C$4:C$203),0)</f>
        <v>12934</v>
      </c>
      <c r="D204" s="70">
        <f t="shared" si="20"/>
        <v>354</v>
      </c>
      <c r="E204" s="70">
        <f t="shared" si="20"/>
        <v>1000</v>
      </c>
      <c r="F204" s="70">
        <f t="shared" si="20"/>
        <v>0</v>
      </c>
      <c r="G204" s="70">
        <f t="shared" si="20"/>
        <v>-10654</v>
      </c>
      <c r="H204" s="70">
        <f t="shared" si="20"/>
        <v>0</v>
      </c>
      <c r="I204" s="70">
        <f t="shared" si="20"/>
        <v>-1260</v>
      </c>
      <c r="J204" s="70">
        <f t="shared" si="20"/>
        <v>0</v>
      </c>
      <c r="K204" s="70">
        <f t="shared" si="20"/>
        <v>-12</v>
      </c>
      <c r="L204" s="70">
        <f t="shared" si="20"/>
        <v>0</v>
      </c>
      <c r="M204" s="70">
        <f t="shared" si="20"/>
        <v>2008</v>
      </c>
      <c r="N204" s="70">
        <f t="shared" si="20"/>
        <v>354</v>
      </c>
      <c r="O204" s="70">
        <f t="shared" si="20"/>
        <v>2362</v>
      </c>
      <c r="P204" s="68"/>
      <c r="Q204" s="68"/>
    </row>
  </sheetData>
  <mergeCells count="2">
    <mergeCell ref="A1:Q1"/>
    <mergeCell ref="A2:M2"/>
  </mergeCells>
  <conditionalFormatting sqref="A2">
    <cfRule type="expression" dxfId="0" priority="1">
      <formula>(N(_自动清单!$AI$1)&gt;200)+(N(_自动清单!$AC$1)&gt;2)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Z20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T23" sqref="T23"/>
    </sheetView>
  </sheetViews>
  <sheetFormatPr defaultColWidth="9" defaultRowHeight="15"/>
  <cols>
    <col min="1" max="1" width="5" customWidth="1"/>
    <col min="2" max="2" width="15" customWidth="1"/>
    <col min="3" max="15" width="11" customWidth="1"/>
    <col min="16" max="20" width="13" customWidth="1"/>
    <col min="21" max="21" width="10" customWidth="1"/>
    <col min="22" max="22" width="14" customWidth="1"/>
  </cols>
  <sheetData>
    <row r="1" ht="30" customHeight="1" spans="1:26">
      <c r="A1" s="7" t="s">
        <v>505</v>
      </c>
      <c r="Z1" s="11">
        <f>IF($T2="",DATE(1900,1,1),$T2)</f>
        <v>1</v>
      </c>
    </row>
    <row r="2" ht="20" customHeight="1" spans="1:26">
      <c r="A2" s="12" t="s">
        <v>465</v>
      </c>
      <c r="S2" s="13" t="s">
        <v>466</v>
      </c>
      <c r="T2" s="19"/>
      <c r="U2" s="13" t="s">
        <v>467</v>
      </c>
      <c r="V2" s="19"/>
      <c r="Z2" s="11">
        <f>IF($V2="",DATE(2999,12,31),$V2)</f>
        <v>401768</v>
      </c>
    </row>
    <row r="3" ht="30" customHeight="1" spans="1:26">
      <c r="A3" s="21" t="s">
        <v>3</v>
      </c>
      <c r="B3" s="21" t="s">
        <v>457</v>
      </c>
      <c r="C3" s="21" t="str">
        <f>IF(_自动清单!$AS$4="","（备用）","出库-"&amp;_自动清单!$AS$4)</f>
        <v>出库-公司杂周转筐</v>
      </c>
      <c r="D3" s="21" t="str">
        <f>IF(_自动清单!$AS$5="","（备用）","出库-"&amp;_自动清单!$AS$5)</f>
        <v>（备用）</v>
      </c>
      <c r="E3" s="21" t="str">
        <f>IF(_自动清单!$AS$6="","（备用）","出库-"&amp;_自动清单!$AS$6)</f>
        <v>（备用）</v>
      </c>
      <c r="F3" s="21" t="str">
        <f>IF(_自动清单!$AS$7="","（备用）","出库-"&amp;_自动清单!$AS$7)</f>
        <v>（备用）</v>
      </c>
      <c r="G3" s="21" t="s">
        <v>506</v>
      </c>
      <c r="H3" s="21" t="s">
        <v>507</v>
      </c>
      <c r="I3" s="21" t="str">
        <f>IF(_自动清单!$AS$4="","（备用）","退回-"&amp;_自动清单!$AS$4)</f>
        <v>退回-公司杂周转筐</v>
      </c>
      <c r="J3" s="21" t="str">
        <f>IF(_自动清单!$AS$5="","（备用）","退回-"&amp;_自动清单!$AS$5)</f>
        <v>（备用）</v>
      </c>
      <c r="K3" s="21" t="str">
        <f>IF(_自动清单!$AS$6="","（备用）","退回-"&amp;_自动清单!$AS$6)</f>
        <v>（备用）</v>
      </c>
      <c r="L3" s="21" t="str">
        <f>IF(_自动清单!$AS$7="","（备用）","退回-"&amp;_自动清单!$AS$7)</f>
        <v>（备用）</v>
      </c>
      <c r="M3" s="21" t="s">
        <v>508</v>
      </c>
      <c r="N3" s="21" t="s">
        <v>509</v>
      </c>
      <c r="O3" s="21" t="s">
        <v>510</v>
      </c>
      <c r="P3" s="21" t="s">
        <v>462</v>
      </c>
      <c r="Q3" s="21" t="s">
        <v>511</v>
      </c>
      <c r="R3" s="21" t="s">
        <v>512</v>
      </c>
      <c r="S3" s="21" t="s">
        <v>303</v>
      </c>
      <c r="T3" s="21" t="s">
        <v>513</v>
      </c>
      <c r="U3" s="21" t="s">
        <v>514</v>
      </c>
      <c r="V3" s="21" t="s">
        <v>306</v>
      </c>
    </row>
    <row r="4" spans="1:26">
      <c r="A4" s="24">
        <f t="shared" ref="A4:A67" si="0">IF($B4="","",ROW()-3)</f>
        <v>1</v>
      </c>
      <c r="B4" s="37" t="str">
        <f>IFERROR(INDEX(_自动清单!$AY$4:$AY$203,ROW()-3),"")</f>
        <v>王照雪</v>
      </c>
      <c r="C4" s="39">
        <f>IF(OR($B4="",_自动清单!$AS$4=""),"",SUMIFS(次果筐明细!$G$4:$G$603,次果筐明细!$C$4:$C$603,$B4,次果筐明细!$D$4:$D$603,_自动清单!$AS$4,次果筐明细!$F$4:$F$603,"*出库*",次果筐明细!$B$4:$B$603,"&gt;="&amp;$Z$1,次果筐明细!$B$4:$B$603,"&lt;="&amp;$Z$2))</f>
        <v>0</v>
      </c>
      <c r="D4" s="39" t="str">
        <f>IF(OR($B4="",_自动清单!$AS$5=""),"",SUMIFS(次果筐明细!$G$4:$G$603,次果筐明细!$C$4:$C$603,$B4,次果筐明细!$D$4:$D$603,_自动清单!$AS$5,次果筐明细!$F$4:$F$603,"*出库*",次果筐明细!$B$4:$B$603,"&gt;="&amp;$Z$1,次果筐明细!$B$4:$B$603,"&lt;="&amp;$Z$2))</f>
        <v/>
      </c>
      <c r="E4" s="39" t="str">
        <f>IF(OR($B4="",_自动清单!$AS$6=""),"",SUMIFS(次果筐明细!$G$4:$G$603,次果筐明细!$C$4:$C$603,$B4,次果筐明细!$D$4:$D$603,_自动清单!$AS$6,次果筐明细!$F$4:$F$603,"*出库*",次果筐明细!$B$4:$B$603,"&gt;="&amp;$Z$1,次果筐明细!$B$4:$B$603,"&lt;="&amp;$Z$2))</f>
        <v/>
      </c>
      <c r="F4" s="39" t="str">
        <f>IF(OR($B4="",_自动清单!$AS$7=""),"",SUMIFS(次果筐明细!$G$4:$G$603,次果筐明细!$C$4:$C$603,$B4,次果筐明细!$D$4:$D$603,_自动清单!$AS$7,次果筐明细!$F$4:$F$603,"*出库*",次果筐明细!$B$4:$B$603,"&gt;="&amp;$Z$1,次果筐明细!$B$4:$B$603,"&lt;="&amp;$Z$2))</f>
        <v/>
      </c>
      <c r="G4" s="39">
        <f>IF($B4="","",SUMIFS(次果筐明细!$G$4:$G$603,次果筐明细!$C$4:$C$603,$B4,次果筐明细!$F$4:$F$603,"*出库*",次果筐明细!$B$4:$B$603,"&gt;="&amp;$Z$1,次果筐明细!$B$4:$B$603,"&lt;="&amp;$Z$2)-SUM($C4:$F4))</f>
        <v>0</v>
      </c>
      <c r="H4" s="39">
        <f t="shared" ref="H4:H67" si="1">IF($B4="","",SUM($C4:$G4))</f>
        <v>0</v>
      </c>
      <c r="I4" s="39">
        <f>IF(OR($B4="",_自动清单!$AS$4=""),"",SUMIFS(次果筐明细!$G$4:$G$603,次果筐明细!$C$4:$C$603,$B4,次果筐明细!$D$4:$D$603,_自动清单!$AS$4,次果筐明细!$F$4:$F$603,"*入库*",次果筐明细!$B$4:$B$603,"&gt;="&amp;$Z$1,次果筐明细!$B$4:$B$603,"&lt;="&amp;$Z$2))</f>
        <v>0</v>
      </c>
      <c r="J4" s="39" t="str">
        <f>IF(OR($B4="",_自动清单!$AS$5=""),"",SUMIFS(次果筐明细!$G$4:$G$603,次果筐明细!$C$4:$C$603,$B4,次果筐明细!$D$4:$D$603,_自动清单!$AS$5,次果筐明细!$F$4:$F$603,"*入库*",次果筐明细!$B$4:$B$603,"&gt;="&amp;$Z$1,次果筐明细!$B$4:$B$603,"&lt;="&amp;$Z$2))</f>
        <v/>
      </c>
      <c r="K4" s="39" t="str">
        <f>IF(OR($B4="",_自动清单!$AS$6=""),"",SUMIFS(次果筐明细!$G$4:$G$603,次果筐明细!$C$4:$C$603,$B4,次果筐明细!$D$4:$D$603,_自动清单!$AS$6,次果筐明细!$F$4:$F$603,"*入库*",次果筐明细!$B$4:$B$603,"&gt;="&amp;$Z$1,次果筐明细!$B$4:$B$603,"&lt;="&amp;$Z$2))</f>
        <v/>
      </c>
      <c r="L4" s="39" t="str">
        <f>IF(OR($B4="",_自动清单!$AS$7=""),"",SUMIFS(次果筐明细!$G$4:$G$603,次果筐明细!$C$4:$C$603,$B4,次果筐明细!$D$4:$D$603,_自动清单!$AS$7,次果筐明细!$F$4:$F$603,"*入库*",次果筐明细!$B$4:$B$603,"&gt;="&amp;$Z$1,次果筐明细!$B$4:$B$603,"&lt;="&amp;$Z$2))</f>
        <v/>
      </c>
      <c r="M4" s="62">
        <f>IF($B4="","",SUMIFS(次果筐明细!$G$4:$G$603,次果筐明细!$C$4:$C$603,$B4,次果筐明细!$F$4:$F$603,"*入库*",次果筐明细!$B$4:$B$603,"&gt;="&amp;$Z$1,次果筐明细!$B$4:$B$603,"&lt;="&amp;$Z$2)-SUM($I4:$L4))</f>
        <v>0</v>
      </c>
      <c r="N4" s="62">
        <f t="shared" ref="N4:N67" si="2">IF($B4="","",SUM($I4:$M4))</f>
        <v>0</v>
      </c>
      <c r="O4" s="39">
        <f t="shared" ref="O4:O67" si="3">IF($B4="","",N($H4)-N($N4))</f>
        <v>0</v>
      </c>
      <c r="P4" s="30">
        <f>IF($B4="","",ROUND(SUMIFS(次果筐明细!$L$4:$L$603,次果筐明细!$C$4:$C$603,$B4,次果筐明细!$B$4:$B$603,"&gt;="&amp;$Z$1,次果筐明细!$B$4:$B$603,"&lt;="&amp;$Z$2),2))</f>
        <v>0</v>
      </c>
      <c r="Q4" s="30">
        <f>IF($B4="","",ROUND(SUMIFS(次果筐明细!$L$4:$L$603,次果筐明细!$C$4:$C$603,$B4,次果筐明细!$M$4:$M$603,"已收讫",次果筐明细!$B$4:$B$603,"&gt;="&amp;$Z$1,次果筐明细!$B$4:$B$603,"&lt;="&amp;$Z$2),2))</f>
        <v>0</v>
      </c>
      <c r="R4" s="30">
        <f t="shared" ref="R4:R67" si="4">IF($B4="","",ROUND(N($P4)-N($Q4),2))</f>
        <v>0</v>
      </c>
      <c r="S4" s="30">
        <f>IF($B4="","",ROUND(SUMIFS(次果筐明细!$J$4:$J$603,次果筐明细!$C$4:$C$603,$B4,次果筐明细!$B$4:$B$603,"&gt;="&amp;$Z$1,次果筐明细!$B$4:$B$603,"&lt;="&amp;$Z$2),2))</f>
        <v>0</v>
      </c>
      <c r="T4" s="63">
        <f>IF($B4="","",ROUND(SUMIFS(次果筐明细!$K$4:$K$603,次果筐明细!$C$4:$C$603,$B4,次果筐明细!$B$4:$B$603,"&gt;="&amp;$Z$1,次果筐明细!$B$4:$B$603,"&lt;="&amp;$Z$2),2))</f>
        <v>0</v>
      </c>
      <c r="U4" s="30">
        <f t="shared" ref="U4:U67" si="5">IF($B4="","",ROUND(N($S4)-N($T4),2))</f>
        <v>0</v>
      </c>
      <c r="V4" s="42"/>
    </row>
    <row r="5" spans="1:26">
      <c r="A5" s="24" t="str">
        <f t="shared" si="0"/>
        <v/>
      </c>
      <c r="B5" s="37" t="str">
        <f>IFERROR(INDEX(_自动清单!$AY$4:$AY$203,ROW()-3),"")</f>
        <v/>
      </c>
      <c r="C5" s="39" t="str">
        <f>IF(OR($B5="",_自动清单!$AS$4=""),"",SUMIFS(次果筐明细!$G$4:$G$603,次果筐明细!$C$4:$C$603,$B5,次果筐明细!$D$4:$D$603,_自动清单!$AS$4,次果筐明细!$F$4:$F$603,"*出库*",次果筐明细!$B$4:$B$603,"&gt;="&amp;$Z$1,次果筐明细!$B$4:$B$603,"&lt;="&amp;$Z$2))</f>
        <v/>
      </c>
      <c r="D5" s="39" t="str">
        <f>IF(OR($B5="",_自动清单!$AS$5=""),"",SUMIFS(次果筐明细!$G$4:$G$603,次果筐明细!$C$4:$C$603,$B5,次果筐明细!$D$4:$D$603,_自动清单!$AS$5,次果筐明细!$F$4:$F$603,"*出库*",次果筐明细!$B$4:$B$603,"&gt;="&amp;$Z$1,次果筐明细!$B$4:$B$603,"&lt;="&amp;$Z$2))</f>
        <v/>
      </c>
      <c r="E5" s="39" t="str">
        <f>IF(OR($B5="",_自动清单!$AS$6=""),"",SUMIFS(次果筐明细!$G$4:$G$603,次果筐明细!$C$4:$C$603,$B5,次果筐明细!$D$4:$D$603,_自动清单!$AS$6,次果筐明细!$F$4:$F$603,"*出库*",次果筐明细!$B$4:$B$603,"&gt;="&amp;$Z$1,次果筐明细!$B$4:$B$603,"&lt;="&amp;$Z$2))</f>
        <v/>
      </c>
      <c r="F5" s="39" t="str">
        <f>IF(OR($B5="",_自动清单!$AS$7=""),"",SUMIFS(次果筐明细!$G$4:$G$603,次果筐明细!$C$4:$C$603,$B5,次果筐明细!$D$4:$D$603,_自动清单!$AS$7,次果筐明细!$F$4:$F$603,"*出库*",次果筐明细!$B$4:$B$603,"&gt;="&amp;$Z$1,次果筐明细!$B$4:$B$603,"&lt;="&amp;$Z$2))</f>
        <v/>
      </c>
      <c r="G5" s="39" t="str">
        <f>IF($B5="","",SUMIFS(次果筐明细!$G$4:$G$603,次果筐明细!$C$4:$C$603,$B5,次果筐明细!$F$4:$F$603,"*出库*",次果筐明细!$B$4:$B$603,"&gt;="&amp;$Z$1,次果筐明细!$B$4:$B$603,"&lt;="&amp;$Z$2)-SUM($C5:$F5))</f>
        <v/>
      </c>
      <c r="H5" s="39" t="str">
        <f t="shared" si="1"/>
        <v/>
      </c>
      <c r="I5" s="39" t="str">
        <f>IF(OR($B5="",_自动清单!$AS$4=""),"",SUMIFS(次果筐明细!$G$4:$G$603,次果筐明细!$C$4:$C$603,$B5,次果筐明细!$D$4:$D$603,_自动清单!$AS$4,次果筐明细!$F$4:$F$603,"*入库*",次果筐明细!$B$4:$B$603,"&gt;="&amp;$Z$1,次果筐明细!$B$4:$B$603,"&lt;="&amp;$Z$2))</f>
        <v/>
      </c>
      <c r="J5" s="39" t="str">
        <f>IF(OR($B5="",_自动清单!$AS$5=""),"",SUMIFS(次果筐明细!$G$4:$G$603,次果筐明细!$C$4:$C$603,$B5,次果筐明细!$D$4:$D$603,_自动清单!$AS$5,次果筐明细!$F$4:$F$603,"*入库*",次果筐明细!$B$4:$B$603,"&gt;="&amp;$Z$1,次果筐明细!$B$4:$B$603,"&lt;="&amp;$Z$2))</f>
        <v/>
      </c>
      <c r="K5" s="39" t="str">
        <f>IF(OR($B5="",_自动清单!$AS$6=""),"",SUMIFS(次果筐明细!$G$4:$G$603,次果筐明细!$C$4:$C$603,$B5,次果筐明细!$D$4:$D$603,_自动清单!$AS$6,次果筐明细!$F$4:$F$603,"*入库*",次果筐明细!$B$4:$B$603,"&gt;="&amp;$Z$1,次果筐明细!$B$4:$B$603,"&lt;="&amp;$Z$2))</f>
        <v/>
      </c>
      <c r="L5" s="39" t="str">
        <f>IF(OR($B5="",_自动清单!$AS$7=""),"",SUMIFS(次果筐明细!$G$4:$G$603,次果筐明细!$C$4:$C$603,$B5,次果筐明细!$D$4:$D$603,_自动清单!$AS$7,次果筐明细!$F$4:$F$603,"*入库*",次果筐明细!$B$4:$B$603,"&gt;="&amp;$Z$1,次果筐明细!$B$4:$B$603,"&lt;="&amp;$Z$2))</f>
        <v/>
      </c>
      <c r="M5" s="62" t="str">
        <f>IF($B5="","",SUMIFS(次果筐明细!$G$4:$G$603,次果筐明细!$C$4:$C$603,$B5,次果筐明细!$F$4:$F$603,"*入库*",次果筐明细!$B$4:$B$603,"&gt;="&amp;$Z$1,次果筐明细!$B$4:$B$603,"&lt;="&amp;$Z$2)-SUM($I5:$L5))</f>
        <v/>
      </c>
      <c r="N5" s="62" t="str">
        <f t="shared" si="2"/>
        <v/>
      </c>
      <c r="O5" s="39" t="str">
        <f t="shared" si="3"/>
        <v/>
      </c>
      <c r="P5" s="30" t="str">
        <f>IF($B5="","",ROUND(SUMIFS(次果筐明细!$L$4:$L$603,次果筐明细!$C$4:$C$603,$B5,次果筐明细!$B$4:$B$603,"&gt;="&amp;$Z$1,次果筐明细!$B$4:$B$603,"&lt;="&amp;$Z$2),2))</f>
        <v/>
      </c>
      <c r="Q5" s="30" t="str">
        <f>IF($B5="","",ROUND(SUMIFS(次果筐明细!$L$4:$L$603,次果筐明细!$C$4:$C$603,$B5,次果筐明细!$M$4:$M$603,"已收讫",次果筐明细!$B$4:$B$603,"&gt;="&amp;$Z$1,次果筐明细!$B$4:$B$603,"&lt;="&amp;$Z$2),2))</f>
        <v/>
      </c>
      <c r="R5" s="30" t="str">
        <f t="shared" si="4"/>
        <v/>
      </c>
      <c r="S5" s="30" t="str">
        <f>IF($B5="","",ROUND(SUMIFS(次果筐明细!$J$4:$J$603,次果筐明细!$C$4:$C$603,$B5,次果筐明细!$B$4:$B$603,"&gt;="&amp;$Z$1,次果筐明细!$B$4:$B$603,"&lt;="&amp;$Z$2),2))</f>
        <v/>
      </c>
      <c r="T5" s="63" t="str">
        <f>IF($B5="","",ROUND(SUMIFS(次果筐明细!$K$4:$K$603,次果筐明细!$C$4:$C$603,$B5,次果筐明细!$B$4:$B$603,"&gt;="&amp;$Z$1,次果筐明细!$B$4:$B$603,"&lt;="&amp;$Z$2),2))</f>
        <v/>
      </c>
      <c r="U5" s="30" t="str">
        <f t="shared" si="5"/>
        <v/>
      </c>
      <c r="V5" s="42"/>
    </row>
    <row r="6" spans="1:26">
      <c r="A6" s="24" t="str">
        <f t="shared" si="0"/>
        <v/>
      </c>
      <c r="B6" s="37" t="str">
        <f>IFERROR(INDEX(_自动清单!$AY$4:$AY$203,ROW()-3),"")</f>
        <v/>
      </c>
      <c r="C6" s="39" t="str">
        <f>IF(OR($B6="",_自动清单!$AS$4=""),"",SUMIFS(次果筐明细!$G$4:$G$603,次果筐明细!$C$4:$C$603,$B6,次果筐明细!$D$4:$D$603,_自动清单!$AS$4,次果筐明细!$F$4:$F$603,"*出库*",次果筐明细!$B$4:$B$603,"&gt;="&amp;$Z$1,次果筐明细!$B$4:$B$603,"&lt;="&amp;$Z$2))</f>
        <v/>
      </c>
      <c r="D6" s="39" t="str">
        <f>IF(OR($B6="",_自动清单!$AS$5=""),"",SUMIFS(次果筐明细!$G$4:$G$603,次果筐明细!$C$4:$C$603,$B6,次果筐明细!$D$4:$D$603,_自动清单!$AS$5,次果筐明细!$F$4:$F$603,"*出库*",次果筐明细!$B$4:$B$603,"&gt;="&amp;$Z$1,次果筐明细!$B$4:$B$603,"&lt;="&amp;$Z$2))</f>
        <v/>
      </c>
      <c r="E6" s="39" t="str">
        <f>IF(OR($B6="",_自动清单!$AS$6=""),"",SUMIFS(次果筐明细!$G$4:$G$603,次果筐明细!$C$4:$C$603,$B6,次果筐明细!$D$4:$D$603,_自动清单!$AS$6,次果筐明细!$F$4:$F$603,"*出库*",次果筐明细!$B$4:$B$603,"&gt;="&amp;$Z$1,次果筐明细!$B$4:$B$603,"&lt;="&amp;$Z$2))</f>
        <v/>
      </c>
      <c r="F6" s="39" t="str">
        <f>IF(OR($B6="",_自动清单!$AS$7=""),"",SUMIFS(次果筐明细!$G$4:$G$603,次果筐明细!$C$4:$C$603,$B6,次果筐明细!$D$4:$D$603,_自动清单!$AS$7,次果筐明细!$F$4:$F$603,"*出库*",次果筐明细!$B$4:$B$603,"&gt;="&amp;$Z$1,次果筐明细!$B$4:$B$603,"&lt;="&amp;$Z$2))</f>
        <v/>
      </c>
      <c r="G6" s="39" t="str">
        <f>IF($B6="","",SUMIFS(次果筐明细!$G$4:$G$603,次果筐明细!$C$4:$C$603,$B6,次果筐明细!$F$4:$F$603,"*出库*",次果筐明细!$B$4:$B$603,"&gt;="&amp;$Z$1,次果筐明细!$B$4:$B$603,"&lt;="&amp;$Z$2)-SUM($C6:$F6))</f>
        <v/>
      </c>
      <c r="H6" s="39" t="str">
        <f t="shared" si="1"/>
        <v/>
      </c>
      <c r="I6" s="39" t="str">
        <f>IF(OR($B6="",_自动清单!$AS$4=""),"",SUMIFS(次果筐明细!$G$4:$G$603,次果筐明细!$C$4:$C$603,$B6,次果筐明细!$D$4:$D$603,_自动清单!$AS$4,次果筐明细!$F$4:$F$603,"*入库*",次果筐明细!$B$4:$B$603,"&gt;="&amp;$Z$1,次果筐明细!$B$4:$B$603,"&lt;="&amp;$Z$2))</f>
        <v/>
      </c>
      <c r="J6" s="39" t="str">
        <f>IF(OR($B6="",_自动清单!$AS$5=""),"",SUMIFS(次果筐明细!$G$4:$G$603,次果筐明细!$C$4:$C$603,$B6,次果筐明细!$D$4:$D$603,_自动清单!$AS$5,次果筐明细!$F$4:$F$603,"*入库*",次果筐明细!$B$4:$B$603,"&gt;="&amp;$Z$1,次果筐明细!$B$4:$B$603,"&lt;="&amp;$Z$2))</f>
        <v/>
      </c>
      <c r="K6" s="39" t="str">
        <f>IF(OR($B6="",_自动清单!$AS$6=""),"",SUMIFS(次果筐明细!$G$4:$G$603,次果筐明细!$C$4:$C$603,$B6,次果筐明细!$D$4:$D$603,_自动清单!$AS$6,次果筐明细!$F$4:$F$603,"*入库*",次果筐明细!$B$4:$B$603,"&gt;="&amp;$Z$1,次果筐明细!$B$4:$B$603,"&lt;="&amp;$Z$2))</f>
        <v/>
      </c>
      <c r="L6" s="39" t="str">
        <f>IF(OR($B6="",_自动清单!$AS$7=""),"",SUMIFS(次果筐明细!$G$4:$G$603,次果筐明细!$C$4:$C$603,$B6,次果筐明细!$D$4:$D$603,_自动清单!$AS$7,次果筐明细!$F$4:$F$603,"*入库*",次果筐明细!$B$4:$B$603,"&gt;="&amp;$Z$1,次果筐明细!$B$4:$B$603,"&lt;="&amp;$Z$2))</f>
        <v/>
      </c>
      <c r="M6" s="62" t="str">
        <f>IF($B6="","",SUMIFS(次果筐明细!$G$4:$G$603,次果筐明细!$C$4:$C$603,$B6,次果筐明细!$F$4:$F$603,"*入库*",次果筐明细!$B$4:$B$603,"&gt;="&amp;$Z$1,次果筐明细!$B$4:$B$603,"&lt;="&amp;$Z$2)-SUM($I6:$L6))</f>
        <v/>
      </c>
      <c r="N6" s="62" t="str">
        <f t="shared" si="2"/>
        <v/>
      </c>
      <c r="O6" s="39" t="str">
        <f t="shared" si="3"/>
        <v/>
      </c>
      <c r="P6" s="30" t="str">
        <f>IF($B6="","",ROUND(SUMIFS(次果筐明细!$L$4:$L$603,次果筐明细!$C$4:$C$603,$B6,次果筐明细!$B$4:$B$603,"&gt;="&amp;$Z$1,次果筐明细!$B$4:$B$603,"&lt;="&amp;$Z$2),2))</f>
        <v/>
      </c>
      <c r="Q6" s="30" t="str">
        <f>IF($B6="","",ROUND(SUMIFS(次果筐明细!$L$4:$L$603,次果筐明细!$C$4:$C$603,$B6,次果筐明细!$M$4:$M$603,"已收讫",次果筐明细!$B$4:$B$603,"&gt;="&amp;$Z$1,次果筐明细!$B$4:$B$603,"&lt;="&amp;$Z$2),2))</f>
        <v/>
      </c>
      <c r="R6" s="30" t="str">
        <f t="shared" si="4"/>
        <v/>
      </c>
      <c r="S6" s="30" t="str">
        <f>IF($B6="","",ROUND(SUMIFS(次果筐明细!$J$4:$J$603,次果筐明细!$C$4:$C$603,$B6,次果筐明细!$B$4:$B$603,"&gt;="&amp;$Z$1,次果筐明细!$B$4:$B$603,"&lt;="&amp;$Z$2),2))</f>
        <v/>
      </c>
      <c r="T6" s="63" t="str">
        <f>IF($B6="","",ROUND(SUMIFS(次果筐明细!$K$4:$K$603,次果筐明细!$C$4:$C$603,$B6,次果筐明细!$B$4:$B$603,"&gt;="&amp;$Z$1,次果筐明细!$B$4:$B$603,"&lt;="&amp;$Z$2),2))</f>
        <v/>
      </c>
      <c r="U6" s="30" t="str">
        <f t="shared" si="5"/>
        <v/>
      </c>
      <c r="V6" s="42"/>
    </row>
    <row r="7" spans="1:26">
      <c r="A7" s="24" t="str">
        <f t="shared" si="0"/>
        <v/>
      </c>
      <c r="B7" s="37" t="str">
        <f>IFERROR(INDEX(_自动清单!$AY$4:$AY$203,ROW()-3),"")</f>
        <v/>
      </c>
      <c r="C7" s="39" t="str">
        <f>IF(OR($B7="",_自动清单!$AS$4=""),"",SUMIFS(次果筐明细!$G$4:$G$603,次果筐明细!$C$4:$C$603,$B7,次果筐明细!$D$4:$D$603,_自动清单!$AS$4,次果筐明细!$F$4:$F$603,"*出库*",次果筐明细!$B$4:$B$603,"&gt;="&amp;$Z$1,次果筐明细!$B$4:$B$603,"&lt;="&amp;$Z$2))</f>
        <v/>
      </c>
      <c r="D7" s="39" t="str">
        <f>IF(OR($B7="",_自动清单!$AS$5=""),"",SUMIFS(次果筐明细!$G$4:$G$603,次果筐明细!$C$4:$C$603,$B7,次果筐明细!$D$4:$D$603,_自动清单!$AS$5,次果筐明细!$F$4:$F$603,"*出库*",次果筐明细!$B$4:$B$603,"&gt;="&amp;$Z$1,次果筐明细!$B$4:$B$603,"&lt;="&amp;$Z$2))</f>
        <v/>
      </c>
      <c r="E7" s="39" t="str">
        <f>IF(OR($B7="",_自动清单!$AS$6=""),"",SUMIFS(次果筐明细!$G$4:$G$603,次果筐明细!$C$4:$C$603,$B7,次果筐明细!$D$4:$D$603,_自动清单!$AS$6,次果筐明细!$F$4:$F$603,"*出库*",次果筐明细!$B$4:$B$603,"&gt;="&amp;$Z$1,次果筐明细!$B$4:$B$603,"&lt;="&amp;$Z$2))</f>
        <v/>
      </c>
      <c r="F7" s="39" t="str">
        <f>IF(OR($B7="",_自动清单!$AS$7=""),"",SUMIFS(次果筐明细!$G$4:$G$603,次果筐明细!$C$4:$C$603,$B7,次果筐明细!$D$4:$D$603,_自动清单!$AS$7,次果筐明细!$F$4:$F$603,"*出库*",次果筐明细!$B$4:$B$603,"&gt;="&amp;$Z$1,次果筐明细!$B$4:$B$603,"&lt;="&amp;$Z$2))</f>
        <v/>
      </c>
      <c r="G7" s="39" t="str">
        <f>IF($B7="","",SUMIFS(次果筐明细!$G$4:$G$603,次果筐明细!$C$4:$C$603,$B7,次果筐明细!$F$4:$F$603,"*出库*",次果筐明细!$B$4:$B$603,"&gt;="&amp;$Z$1,次果筐明细!$B$4:$B$603,"&lt;="&amp;$Z$2)-SUM($C7:$F7))</f>
        <v/>
      </c>
      <c r="H7" s="39" t="str">
        <f t="shared" si="1"/>
        <v/>
      </c>
      <c r="I7" s="39" t="str">
        <f>IF(OR($B7="",_自动清单!$AS$4=""),"",SUMIFS(次果筐明细!$G$4:$G$603,次果筐明细!$C$4:$C$603,$B7,次果筐明细!$D$4:$D$603,_自动清单!$AS$4,次果筐明细!$F$4:$F$603,"*入库*",次果筐明细!$B$4:$B$603,"&gt;="&amp;$Z$1,次果筐明细!$B$4:$B$603,"&lt;="&amp;$Z$2))</f>
        <v/>
      </c>
      <c r="J7" s="39" t="str">
        <f>IF(OR($B7="",_自动清单!$AS$5=""),"",SUMIFS(次果筐明细!$G$4:$G$603,次果筐明细!$C$4:$C$603,$B7,次果筐明细!$D$4:$D$603,_自动清单!$AS$5,次果筐明细!$F$4:$F$603,"*入库*",次果筐明细!$B$4:$B$603,"&gt;="&amp;$Z$1,次果筐明细!$B$4:$B$603,"&lt;="&amp;$Z$2))</f>
        <v/>
      </c>
      <c r="K7" s="39" t="str">
        <f>IF(OR($B7="",_自动清单!$AS$6=""),"",SUMIFS(次果筐明细!$G$4:$G$603,次果筐明细!$C$4:$C$603,$B7,次果筐明细!$D$4:$D$603,_自动清单!$AS$6,次果筐明细!$F$4:$F$603,"*入库*",次果筐明细!$B$4:$B$603,"&gt;="&amp;$Z$1,次果筐明细!$B$4:$B$603,"&lt;="&amp;$Z$2))</f>
        <v/>
      </c>
      <c r="L7" s="39" t="str">
        <f>IF(OR($B7="",_自动清单!$AS$7=""),"",SUMIFS(次果筐明细!$G$4:$G$603,次果筐明细!$C$4:$C$603,$B7,次果筐明细!$D$4:$D$603,_自动清单!$AS$7,次果筐明细!$F$4:$F$603,"*入库*",次果筐明细!$B$4:$B$603,"&gt;="&amp;$Z$1,次果筐明细!$B$4:$B$603,"&lt;="&amp;$Z$2))</f>
        <v/>
      </c>
      <c r="M7" s="62" t="str">
        <f>IF($B7="","",SUMIFS(次果筐明细!$G$4:$G$603,次果筐明细!$C$4:$C$603,$B7,次果筐明细!$F$4:$F$603,"*入库*",次果筐明细!$B$4:$B$603,"&gt;="&amp;$Z$1,次果筐明细!$B$4:$B$603,"&lt;="&amp;$Z$2)-SUM($I7:$L7))</f>
        <v/>
      </c>
      <c r="N7" s="62" t="str">
        <f t="shared" si="2"/>
        <v/>
      </c>
      <c r="O7" s="39" t="str">
        <f t="shared" si="3"/>
        <v/>
      </c>
      <c r="P7" s="30" t="str">
        <f>IF($B7="","",ROUND(SUMIFS(次果筐明细!$L$4:$L$603,次果筐明细!$C$4:$C$603,$B7,次果筐明细!$B$4:$B$603,"&gt;="&amp;$Z$1,次果筐明细!$B$4:$B$603,"&lt;="&amp;$Z$2),2))</f>
        <v/>
      </c>
      <c r="Q7" s="30" t="str">
        <f>IF($B7="","",ROUND(SUMIFS(次果筐明细!$L$4:$L$603,次果筐明细!$C$4:$C$603,$B7,次果筐明细!$M$4:$M$603,"已收讫",次果筐明细!$B$4:$B$603,"&gt;="&amp;$Z$1,次果筐明细!$B$4:$B$603,"&lt;="&amp;$Z$2),2))</f>
        <v/>
      </c>
      <c r="R7" s="30" t="str">
        <f t="shared" si="4"/>
        <v/>
      </c>
      <c r="S7" s="30" t="str">
        <f>IF($B7="","",ROUND(SUMIFS(次果筐明细!$J$4:$J$603,次果筐明细!$C$4:$C$603,$B7,次果筐明细!$B$4:$B$603,"&gt;="&amp;$Z$1,次果筐明细!$B$4:$B$603,"&lt;="&amp;$Z$2),2))</f>
        <v/>
      </c>
      <c r="T7" s="63" t="str">
        <f>IF($B7="","",ROUND(SUMIFS(次果筐明细!$K$4:$K$603,次果筐明细!$C$4:$C$603,$B7,次果筐明细!$B$4:$B$603,"&gt;="&amp;$Z$1,次果筐明细!$B$4:$B$603,"&lt;="&amp;$Z$2),2))</f>
        <v/>
      </c>
      <c r="U7" s="30" t="str">
        <f t="shared" si="5"/>
        <v/>
      </c>
      <c r="V7" s="42"/>
    </row>
    <row r="8" spans="1:26">
      <c r="A8" s="24" t="str">
        <f t="shared" si="0"/>
        <v/>
      </c>
      <c r="B8" s="37" t="str">
        <f>IFERROR(INDEX(_自动清单!$AY$4:$AY$203,ROW()-3),"")</f>
        <v/>
      </c>
      <c r="C8" s="39" t="str">
        <f>IF(OR($B8="",_自动清单!$AS$4=""),"",SUMIFS(次果筐明细!$G$4:$G$603,次果筐明细!$C$4:$C$603,$B8,次果筐明细!$D$4:$D$603,_自动清单!$AS$4,次果筐明细!$F$4:$F$603,"*出库*",次果筐明细!$B$4:$B$603,"&gt;="&amp;$Z$1,次果筐明细!$B$4:$B$603,"&lt;="&amp;$Z$2))</f>
        <v/>
      </c>
      <c r="D8" s="39" t="str">
        <f>IF(OR($B8="",_自动清单!$AS$5=""),"",SUMIFS(次果筐明细!$G$4:$G$603,次果筐明细!$C$4:$C$603,$B8,次果筐明细!$D$4:$D$603,_自动清单!$AS$5,次果筐明细!$F$4:$F$603,"*出库*",次果筐明细!$B$4:$B$603,"&gt;="&amp;$Z$1,次果筐明细!$B$4:$B$603,"&lt;="&amp;$Z$2))</f>
        <v/>
      </c>
      <c r="E8" s="39" t="str">
        <f>IF(OR($B8="",_自动清单!$AS$6=""),"",SUMIFS(次果筐明细!$G$4:$G$603,次果筐明细!$C$4:$C$603,$B8,次果筐明细!$D$4:$D$603,_自动清单!$AS$6,次果筐明细!$F$4:$F$603,"*出库*",次果筐明细!$B$4:$B$603,"&gt;="&amp;$Z$1,次果筐明细!$B$4:$B$603,"&lt;="&amp;$Z$2))</f>
        <v/>
      </c>
      <c r="F8" s="39" t="str">
        <f>IF(OR($B8="",_自动清单!$AS$7=""),"",SUMIFS(次果筐明细!$G$4:$G$603,次果筐明细!$C$4:$C$603,$B8,次果筐明细!$D$4:$D$603,_自动清单!$AS$7,次果筐明细!$F$4:$F$603,"*出库*",次果筐明细!$B$4:$B$603,"&gt;="&amp;$Z$1,次果筐明细!$B$4:$B$603,"&lt;="&amp;$Z$2))</f>
        <v/>
      </c>
      <c r="G8" s="39" t="str">
        <f>IF($B8="","",SUMIFS(次果筐明细!$G$4:$G$603,次果筐明细!$C$4:$C$603,$B8,次果筐明细!$F$4:$F$603,"*出库*",次果筐明细!$B$4:$B$603,"&gt;="&amp;$Z$1,次果筐明细!$B$4:$B$603,"&lt;="&amp;$Z$2)-SUM($C8:$F8))</f>
        <v/>
      </c>
      <c r="H8" s="39" t="str">
        <f t="shared" si="1"/>
        <v/>
      </c>
      <c r="I8" s="39" t="str">
        <f>IF(OR($B8="",_自动清单!$AS$4=""),"",SUMIFS(次果筐明细!$G$4:$G$603,次果筐明细!$C$4:$C$603,$B8,次果筐明细!$D$4:$D$603,_自动清单!$AS$4,次果筐明细!$F$4:$F$603,"*入库*",次果筐明细!$B$4:$B$603,"&gt;="&amp;$Z$1,次果筐明细!$B$4:$B$603,"&lt;="&amp;$Z$2))</f>
        <v/>
      </c>
      <c r="J8" s="39" t="str">
        <f>IF(OR($B8="",_自动清单!$AS$5=""),"",SUMIFS(次果筐明细!$G$4:$G$603,次果筐明细!$C$4:$C$603,$B8,次果筐明细!$D$4:$D$603,_自动清单!$AS$5,次果筐明细!$F$4:$F$603,"*入库*",次果筐明细!$B$4:$B$603,"&gt;="&amp;$Z$1,次果筐明细!$B$4:$B$603,"&lt;="&amp;$Z$2))</f>
        <v/>
      </c>
      <c r="K8" s="39" t="str">
        <f>IF(OR($B8="",_自动清单!$AS$6=""),"",SUMIFS(次果筐明细!$G$4:$G$603,次果筐明细!$C$4:$C$603,$B8,次果筐明细!$D$4:$D$603,_自动清单!$AS$6,次果筐明细!$F$4:$F$603,"*入库*",次果筐明细!$B$4:$B$603,"&gt;="&amp;$Z$1,次果筐明细!$B$4:$B$603,"&lt;="&amp;$Z$2))</f>
        <v/>
      </c>
      <c r="L8" s="39" t="str">
        <f>IF(OR($B8="",_自动清单!$AS$7=""),"",SUMIFS(次果筐明细!$G$4:$G$603,次果筐明细!$C$4:$C$603,$B8,次果筐明细!$D$4:$D$603,_自动清单!$AS$7,次果筐明细!$F$4:$F$603,"*入库*",次果筐明细!$B$4:$B$603,"&gt;="&amp;$Z$1,次果筐明细!$B$4:$B$603,"&lt;="&amp;$Z$2))</f>
        <v/>
      </c>
      <c r="M8" s="62" t="str">
        <f>IF($B8="","",SUMIFS(次果筐明细!$G$4:$G$603,次果筐明细!$C$4:$C$603,$B8,次果筐明细!$F$4:$F$603,"*入库*",次果筐明细!$B$4:$B$603,"&gt;="&amp;$Z$1,次果筐明细!$B$4:$B$603,"&lt;="&amp;$Z$2)-SUM($I8:$L8))</f>
        <v/>
      </c>
      <c r="N8" s="62" t="str">
        <f t="shared" si="2"/>
        <v/>
      </c>
      <c r="O8" s="39" t="str">
        <f t="shared" si="3"/>
        <v/>
      </c>
      <c r="P8" s="30" t="str">
        <f>IF($B8="","",ROUND(SUMIFS(次果筐明细!$L$4:$L$603,次果筐明细!$C$4:$C$603,$B8,次果筐明细!$B$4:$B$603,"&gt;="&amp;$Z$1,次果筐明细!$B$4:$B$603,"&lt;="&amp;$Z$2),2))</f>
        <v/>
      </c>
      <c r="Q8" s="30" t="str">
        <f>IF($B8="","",ROUND(SUMIFS(次果筐明细!$L$4:$L$603,次果筐明细!$C$4:$C$603,$B8,次果筐明细!$M$4:$M$603,"已收讫",次果筐明细!$B$4:$B$603,"&gt;="&amp;$Z$1,次果筐明细!$B$4:$B$603,"&lt;="&amp;$Z$2),2))</f>
        <v/>
      </c>
      <c r="R8" s="30" t="str">
        <f t="shared" si="4"/>
        <v/>
      </c>
      <c r="S8" s="30" t="str">
        <f>IF($B8="","",ROUND(SUMIFS(次果筐明细!$J$4:$J$603,次果筐明细!$C$4:$C$603,$B8,次果筐明细!$B$4:$B$603,"&gt;="&amp;$Z$1,次果筐明细!$B$4:$B$603,"&lt;="&amp;$Z$2),2))</f>
        <v/>
      </c>
      <c r="T8" s="63" t="str">
        <f>IF($B8="","",ROUND(SUMIFS(次果筐明细!$K$4:$K$603,次果筐明细!$C$4:$C$603,$B8,次果筐明细!$B$4:$B$603,"&gt;="&amp;$Z$1,次果筐明细!$B$4:$B$603,"&lt;="&amp;$Z$2),2))</f>
        <v/>
      </c>
      <c r="U8" s="30" t="str">
        <f t="shared" si="5"/>
        <v/>
      </c>
      <c r="V8" s="42"/>
    </row>
    <row r="9" spans="1:26">
      <c r="A9" s="24" t="str">
        <f t="shared" si="0"/>
        <v/>
      </c>
      <c r="B9" s="37" t="str">
        <f>IFERROR(INDEX(_自动清单!$AY$4:$AY$203,ROW()-3),"")</f>
        <v/>
      </c>
      <c r="C9" s="39" t="str">
        <f>IF(OR($B9="",_自动清单!$AS$4=""),"",SUMIFS(次果筐明细!$G$4:$G$603,次果筐明细!$C$4:$C$603,$B9,次果筐明细!$D$4:$D$603,_自动清单!$AS$4,次果筐明细!$F$4:$F$603,"*出库*",次果筐明细!$B$4:$B$603,"&gt;="&amp;$Z$1,次果筐明细!$B$4:$B$603,"&lt;="&amp;$Z$2))</f>
        <v/>
      </c>
      <c r="D9" s="39" t="str">
        <f>IF(OR($B9="",_自动清单!$AS$5=""),"",SUMIFS(次果筐明细!$G$4:$G$603,次果筐明细!$C$4:$C$603,$B9,次果筐明细!$D$4:$D$603,_自动清单!$AS$5,次果筐明细!$F$4:$F$603,"*出库*",次果筐明细!$B$4:$B$603,"&gt;="&amp;$Z$1,次果筐明细!$B$4:$B$603,"&lt;="&amp;$Z$2))</f>
        <v/>
      </c>
      <c r="E9" s="39" t="str">
        <f>IF(OR($B9="",_自动清单!$AS$6=""),"",SUMIFS(次果筐明细!$G$4:$G$603,次果筐明细!$C$4:$C$603,$B9,次果筐明细!$D$4:$D$603,_自动清单!$AS$6,次果筐明细!$F$4:$F$603,"*出库*",次果筐明细!$B$4:$B$603,"&gt;="&amp;$Z$1,次果筐明细!$B$4:$B$603,"&lt;="&amp;$Z$2))</f>
        <v/>
      </c>
      <c r="F9" s="39" t="str">
        <f>IF(OR($B9="",_自动清单!$AS$7=""),"",SUMIFS(次果筐明细!$G$4:$G$603,次果筐明细!$C$4:$C$603,$B9,次果筐明细!$D$4:$D$603,_自动清单!$AS$7,次果筐明细!$F$4:$F$603,"*出库*",次果筐明细!$B$4:$B$603,"&gt;="&amp;$Z$1,次果筐明细!$B$4:$B$603,"&lt;="&amp;$Z$2))</f>
        <v/>
      </c>
      <c r="G9" s="39" t="str">
        <f>IF($B9="","",SUMIFS(次果筐明细!$G$4:$G$603,次果筐明细!$C$4:$C$603,$B9,次果筐明细!$F$4:$F$603,"*出库*",次果筐明细!$B$4:$B$603,"&gt;="&amp;$Z$1,次果筐明细!$B$4:$B$603,"&lt;="&amp;$Z$2)-SUM($C9:$F9))</f>
        <v/>
      </c>
      <c r="H9" s="39" t="str">
        <f t="shared" si="1"/>
        <v/>
      </c>
      <c r="I9" s="39" t="str">
        <f>IF(OR($B9="",_自动清单!$AS$4=""),"",SUMIFS(次果筐明细!$G$4:$G$603,次果筐明细!$C$4:$C$603,$B9,次果筐明细!$D$4:$D$603,_自动清单!$AS$4,次果筐明细!$F$4:$F$603,"*入库*",次果筐明细!$B$4:$B$603,"&gt;="&amp;$Z$1,次果筐明细!$B$4:$B$603,"&lt;="&amp;$Z$2))</f>
        <v/>
      </c>
      <c r="J9" s="39" t="str">
        <f>IF(OR($B9="",_自动清单!$AS$5=""),"",SUMIFS(次果筐明细!$G$4:$G$603,次果筐明细!$C$4:$C$603,$B9,次果筐明细!$D$4:$D$603,_自动清单!$AS$5,次果筐明细!$F$4:$F$603,"*入库*",次果筐明细!$B$4:$B$603,"&gt;="&amp;$Z$1,次果筐明细!$B$4:$B$603,"&lt;="&amp;$Z$2))</f>
        <v/>
      </c>
      <c r="K9" s="39" t="str">
        <f>IF(OR($B9="",_自动清单!$AS$6=""),"",SUMIFS(次果筐明细!$G$4:$G$603,次果筐明细!$C$4:$C$603,$B9,次果筐明细!$D$4:$D$603,_自动清单!$AS$6,次果筐明细!$F$4:$F$603,"*入库*",次果筐明细!$B$4:$B$603,"&gt;="&amp;$Z$1,次果筐明细!$B$4:$B$603,"&lt;="&amp;$Z$2))</f>
        <v/>
      </c>
      <c r="L9" s="39" t="str">
        <f>IF(OR($B9="",_自动清单!$AS$7=""),"",SUMIFS(次果筐明细!$G$4:$G$603,次果筐明细!$C$4:$C$603,$B9,次果筐明细!$D$4:$D$603,_自动清单!$AS$7,次果筐明细!$F$4:$F$603,"*入库*",次果筐明细!$B$4:$B$603,"&gt;="&amp;$Z$1,次果筐明细!$B$4:$B$603,"&lt;="&amp;$Z$2))</f>
        <v/>
      </c>
      <c r="M9" s="62" t="str">
        <f>IF($B9="","",SUMIFS(次果筐明细!$G$4:$G$603,次果筐明细!$C$4:$C$603,$B9,次果筐明细!$F$4:$F$603,"*入库*",次果筐明细!$B$4:$B$603,"&gt;="&amp;$Z$1,次果筐明细!$B$4:$B$603,"&lt;="&amp;$Z$2)-SUM($I9:$L9))</f>
        <v/>
      </c>
      <c r="N9" s="62" t="str">
        <f t="shared" si="2"/>
        <v/>
      </c>
      <c r="O9" s="39" t="str">
        <f t="shared" si="3"/>
        <v/>
      </c>
      <c r="P9" s="30" t="str">
        <f>IF($B9="","",ROUND(SUMIFS(次果筐明细!$L$4:$L$603,次果筐明细!$C$4:$C$603,$B9,次果筐明细!$B$4:$B$603,"&gt;="&amp;$Z$1,次果筐明细!$B$4:$B$603,"&lt;="&amp;$Z$2),2))</f>
        <v/>
      </c>
      <c r="Q9" s="30" t="str">
        <f>IF($B9="","",ROUND(SUMIFS(次果筐明细!$L$4:$L$603,次果筐明细!$C$4:$C$603,$B9,次果筐明细!$M$4:$M$603,"已收讫",次果筐明细!$B$4:$B$603,"&gt;="&amp;$Z$1,次果筐明细!$B$4:$B$603,"&lt;="&amp;$Z$2),2))</f>
        <v/>
      </c>
      <c r="R9" s="30" t="str">
        <f t="shared" si="4"/>
        <v/>
      </c>
      <c r="S9" s="30" t="str">
        <f>IF($B9="","",ROUND(SUMIFS(次果筐明细!$J$4:$J$603,次果筐明细!$C$4:$C$603,$B9,次果筐明细!$B$4:$B$603,"&gt;="&amp;$Z$1,次果筐明细!$B$4:$B$603,"&lt;="&amp;$Z$2),2))</f>
        <v/>
      </c>
      <c r="T9" s="63" t="str">
        <f>IF($B9="","",ROUND(SUMIFS(次果筐明细!$K$4:$K$603,次果筐明细!$C$4:$C$603,$B9,次果筐明细!$B$4:$B$603,"&gt;="&amp;$Z$1,次果筐明细!$B$4:$B$603,"&lt;="&amp;$Z$2),2))</f>
        <v/>
      </c>
      <c r="U9" s="30" t="str">
        <f t="shared" si="5"/>
        <v/>
      </c>
      <c r="V9" s="42"/>
    </row>
    <row r="10" spans="1:26">
      <c r="A10" s="24" t="str">
        <f t="shared" si="0"/>
        <v/>
      </c>
      <c r="B10" s="37" t="str">
        <f>IFERROR(INDEX(_自动清单!$AY$4:$AY$203,ROW()-3),"")</f>
        <v/>
      </c>
      <c r="C10" s="39" t="str">
        <f>IF(OR($B10="",_自动清单!$AS$4=""),"",SUMIFS(次果筐明细!$G$4:$G$603,次果筐明细!$C$4:$C$603,$B10,次果筐明细!$D$4:$D$603,_自动清单!$AS$4,次果筐明细!$F$4:$F$603,"*出库*",次果筐明细!$B$4:$B$603,"&gt;="&amp;$Z$1,次果筐明细!$B$4:$B$603,"&lt;="&amp;$Z$2))</f>
        <v/>
      </c>
      <c r="D10" s="39" t="str">
        <f>IF(OR($B10="",_自动清单!$AS$5=""),"",SUMIFS(次果筐明细!$G$4:$G$603,次果筐明细!$C$4:$C$603,$B10,次果筐明细!$D$4:$D$603,_自动清单!$AS$5,次果筐明细!$F$4:$F$603,"*出库*",次果筐明细!$B$4:$B$603,"&gt;="&amp;$Z$1,次果筐明细!$B$4:$B$603,"&lt;="&amp;$Z$2))</f>
        <v/>
      </c>
      <c r="E10" s="39" t="str">
        <f>IF(OR($B10="",_自动清单!$AS$6=""),"",SUMIFS(次果筐明细!$G$4:$G$603,次果筐明细!$C$4:$C$603,$B10,次果筐明细!$D$4:$D$603,_自动清单!$AS$6,次果筐明细!$F$4:$F$603,"*出库*",次果筐明细!$B$4:$B$603,"&gt;="&amp;$Z$1,次果筐明细!$B$4:$B$603,"&lt;="&amp;$Z$2))</f>
        <v/>
      </c>
      <c r="F10" s="39" t="str">
        <f>IF(OR($B10="",_自动清单!$AS$7=""),"",SUMIFS(次果筐明细!$G$4:$G$603,次果筐明细!$C$4:$C$603,$B10,次果筐明细!$D$4:$D$603,_自动清单!$AS$7,次果筐明细!$F$4:$F$603,"*出库*",次果筐明细!$B$4:$B$603,"&gt;="&amp;$Z$1,次果筐明细!$B$4:$B$603,"&lt;="&amp;$Z$2))</f>
        <v/>
      </c>
      <c r="G10" s="39" t="str">
        <f>IF($B10="","",SUMIFS(次果筐明细!$G$4:$G$603,次果筐明细!$C$4:$C$603,$B10,次果筐明细!$F$4:$F$603,"*出库*",次果筐明细!$B$4:$B$603,"&gt;="&amp;$Z$1,次果筐明细!$B$4:$B$603,"&lt;="&amp;$Z$2)-SUM($C10:$F10))</f>
        <v/>
      </c>
      <c r="H10" s="39" t="str">
        <f t="shared" si="1"/>
        <v/>
      </c>
      <c r="I10" s="39" t="str">
        <f>IF(OR($B10="",_自动清单!$AS$4=""),"",SUMIFS(次果筐明细!$G$4:$G$603,次果筐明细!$C$4:$C$603,$B10,次果筐明细!$D$4:$D$603,_自动清单!$AS$4,次果筐明细!$F$4:$F$603,"*入库*",次果筐明细!$B$4:$B$603,"&gt;="&amp;$Z$1,次果筐明细!$B$4:$B$603,"&lt;="&amp;$Z$2))</f>
        <v/>
      </c>
      <c r="J10" s="39" t="str">
        <f>IF(OR($B10="",_自动清单!$AS$5=""),"",SUMIFS(次果筐明细!$G$4:$G$603,次果筐明细!$C$4:$C$603,$B10,次果筐明细!$D$4:$D$603,_自动清单!$AS$5,次果筐明细!$F$4:$F$603,"*入库*",次果筐明细!$B$4:$B$603,"&gt;="&amp;$Z$1,次果筐明细!$B$4:$B$603,"&lt;="&amp;$Z$2))</f>
        <v/>
      </c>
      <c r="K10" s="39" t="str">
        <f>IF(OR($B10="",_自动清单!$AS$6=""),"",SUMIFS(次果筐明细!$G$4:$G$603,次果筐明细!$C$4:$C$603,$B10,次果筐明细!$D$4:$D$603,_自动清单!$AS$6,次果筐明细!$F$4:$F$603,"*入库*",次果筐明细!$B$4:$B$603,"&gt;="&amp;$Z$1,次果筐明细!$B$4:$B$603,"&lt;="&amp;$Z$2))</f>
        <v/>
      </c>
      <c r="L10" s="39" t="str">
        <f>IF(OR($B10="",_自动清单!$AS$7=""),"",SUMIFS(次果筐明细!$G$4:$G$603,次果筐明细!$C$4:$C$603,$B10,次果筐明细!$D$4:$D$603,_自动清单!$AS$7,次果筐明细!$F$4:$F$603,"*入库*",次果筐明细!$B$4:$B$603,"&gt;="&amp;$Z$1,次果筐明细!$B$4:$B$603,"&lt;="&amp;$Z$2))</f>
        <v/>
      </c>
      <c r="M10" s="62" t="str">
        <f>IF($B10="","",SUMIFS(次果筐明细!$G$4:$G$603,次果筐明细!$C$4:$C$603,$B10,次果筐明细!$F$4:$F$603,"*入库*",次果筐明细!$B$4:$B$603,"&gt;="&amp;$Z$1,次果筐明细!$B$4:$B$603,"&lt;="&amp;$Z$2)-SUM($I10:$L10))</f>
        <v/>
      </c>
      <c r="N10" s="62" t="str">
        <f t="shared" si="2"/>
        <v/>
      </c>
      <c r="O10" s="39" t="str">
        <f t="shared" si="3"/>
        <v/>
      </c>
      <c r="P10" s="30" t="str">
        <f>IF($B10="","",ROUND(SUMIFS(次果筐明细!$L$4:$L$603,次果筐明细!$C$4:$C$603,$B10,次果筐明细!$B$4:$B$603,"&gt;="&amp;$Z$1,次果筐明细!$B$4:$B$603,"&lt;="&amp;$Z$2),2))</f>
        <v/>
      </c>
      <c r="Q10" s="30" t="str">
        <f>IF($B10="","",ROUND(SUMIFS(次果筐明细!$L$4:$L$603,次果筐明细!$C$4:$C$603,$B10,次果筐明细!$M$4:$M$603,"已收讫",次果筐明细!$B$4:$B$603,"&gt;="&amp;$Z$1,次果筐明细!$B$4:$B$603,"&lt;="&amp;$Z$2),2))</f>
        <v/>
      </c>
      <c r="R10" s="30" t="str">
        <f t="shared" si="4"/>
        <v/>
      </c>
      <c r="S10" s="30" t="str">
        <f>IF($B10="","",ROUND(SUMIFS(次果筐明细!$J$4:$J$603,次果筐明细!$C$4:$C$603,$B10,次果筐明细!$B$4:$B$603,"&gt;="&amp;$Z$1,次果筐明细!$B$4:$B$603,"&lt;="&amp;$Z$2),2))</f>
        <v/>
      </c>
      <c r="T10" s="63" t="str">
        <f>IF($B10="","",ROUND(SUMIFS(次果筐明细!$K$4:$K$603,次果筐明细!$C$4:$C$603,$B10,次果筐明细!$B$4:$B$603,"&gt;="&amp;$Z$1,次果筐明细!$B$4:$B$603,"&lt;="&amp;$Z$2),2))</f>
        <v/>
      </c>
      <c r="U10" s="30" t="str">
        <f t="shared" si="5"/>
        <v/>
      </c>
      <c r="V10" s="42"/>
    </row>
    <row r="11" spans="1:26">
      <c r="A11" s="24" t="str">
        <f t="shared" si="0"/>
        <v/>
      </c>
      <c r="B11" s="37" t="str">
        <f>IFERROR(INDEX(_自动清单!$AY$4:$AY$203,ROW()-3),"")</f>
        <v/>
      </c>
      <c r="C11" s="39" t="str">
        <f>IF(OR($B11="",_自动清单!$AS$4=""),"",SUMIFS(次果筐明细!$G$4:$G$603,次果筐明细!$C$4:$C$603,$B11,次果筐明细!$D$4:$D$603,_自动清单!$AS$4,次果筐明细!$F$4:$F$603,"*出库*",次果筐明细!$B$4:$B$603,"&gt;="&amp;$Z$1,次果筐明细!$B$4:$B$603,"&lt;="&amp;$Z$2))</f>
        <v/>
      </c>
      <c r="D11" s="39" t="str">
        <f>IF(OR($B11="",_自动清单!$AS$5=""),"",SUMIFS(次果筐明细!$G$4:$G$603,次果筐明细!$C$4:$C$603,$B11,次果筐明细!$D$4:$D$603,_自动清单!$AS$5,次果筐明细!$F$4:$F$603,"*出库*",次果筐明细!$B$4:$B$603,"&gt;="&amp;$Z$1,次果筐明细!$B$4:$B$603,"&lt;="&amp;$Z$2))</f>
        <v/>
      </c>
      <c r="E11" s="39" t="str">
        <f>IF(OR($B11="",_自动清单!$AS$6=""),"",SUMIFS(次果筐明细!$G$4:$G$603,次果筐明细!$C$4:$C$603,$B11,次果筐明细!$D$4:$D$603,_自动清单!$AS$6,次果筐明细!$F$4:$F$603,"*出库*",次果筐明细!$B$4:$B$603,"&gt;="&amp;$Z$1,次果筐明细!$B$4:$B$603,"&lt;="&amp;$Z$2))</f>
        <v/>
      </c>
      <c r="F11" s="39" t="str">
        <f>IF(OR($B11="",_自动清单!$AS$7=""),"",SUMIFS(次果筐明细!$G$4:$G$603,次果筐明细!$C$4:$C$603,$B11,次果筐明细!$D$4:$D$603,_自动清单!$AS$7,次果筐明细!$F$4:$F$603,"*出库*",次果筐明细!$B$4:$B$603,"&gt;="&amp;$Z$1,次果筐明细!$B$4:$B$603,"&lt;="&amp;$Z$2))</f>
        <v/>
      </c>
      <c r="G11" s="39" t="str">
        <f>IF($B11="","",SUMIFS(次果筐明细!$G$4:$G$603,次果筐明细!$C$4:$C$603,$B11,次果筐明细!$F$4:$F$603,"*出库*",次果筐明细!$B$4:$B$603,"&gt;="&amp;$Z$1,次果筐明细!$B$4:$B$603,"&lt;="&amp;$Z$2)-SUM($C11:$F11))</f>
        <v/>
      </c>
      <c r="H11" s="39" t="str">
        <f t="shared" si="1"/>
        <v/>
      </c>
      <c r="I11" s="39" t="str">
        <f>IF(OR($B11="",_自动清单!$AS$4=""),"",SUMIFS(次果筐明细!$G$4:$G$603,次果筐明细!$C$4:$C$603,$B11,次果筐明细!$D$4:$D$603,_自动清单!$AS$4,次果筐明细!$F$4:$F$603,"*入库*",次果筐明细!$B$4:$B$603,"&gt;="&amp;$Z$1,次果筐明细!$B$4:$B$603,"&lt;="&amp;$Z$2))</f>
        <v/>
      </c>
      <c r="J11" s="39" t="str">
        <f>IF(OR($B11="",_自动清单!$AS$5=""),"",SUMIFS(次果筐明细!$G$4:$G$603,次果筐明细!$C$4:$C$603,$B11,次果筐明细!$D$4:$D$603,_自动清单!$AS$5,次果筐明细!$F$4:$F$603,"*入库*",次果筐明细!$B$4:$B$603,"&gt;="&amp;$Z$1,次果筐明细!$B$4:$B$603,"&lt;="&amp;$Z$2))</f>
        <v/>
      </c>
      <c r="K11" s="39" t="str">
        <f>IF(OR($B11="",_自动清单!$AS$6=""),"",SUMIFS(次果筐明细!$G$4:$G$603,次果筐明细!$C$4:$C$603,$B11,次果筐明细!$D$4:$D$603,_自动清单!$AS$6,次果筐明细!$F$4:$F$603,"*入库*",次果筐明细!$B$4:$B$603,"&gt;="&amp;$Z$1,次果筐明细!$B$4:$B$603,"&lt;="&amp;$Z$2))</f>
        <v/>
      </c>
      <c r="L11" s="39" t="str">
        <f>IF(OR($B11="",_自动清单!$AS$7=""),"",SUMIFS(次果筐明细!$G$4:$G$603,次果筐明细!$C$4:$C$603,$B11,次果筐明细!$D$4:$D$603,_自动清单!$AS$7,次果筐明细!$F$4:$F$603,"*入库*",次果筐明细!$B$4:$B$603,"&gt;="&amp;$Z$1,次果筐明细!$B$4:$B$603,"&lt;="&amp;$Z$2))</f>
        <v/>
      </c>
      <c r="M11" s="62" t="str">
        <f>IF($B11="","",SUMIFS(次果筐明细!$G$4:$G$603,次果筐明细!$C$4:$C$603,$B11,次果筐明细!$F$4:$F$603,"*入库*",次果筐明细!$B$4:$B$603,"&gt;="&amp;$Z$1,次果筐明细!$B$4:$B$603,"&lt;="&amp;$Z$2)-SUM($I11:$L11))</f>
        <v/>
      </c>
      <c r="N11" s="62" t="str">
        <f t="shared" si="2"/>
        <v/>
      </c>
      <c r="O11" s="39" t="str">
        <f t="shared" si="3"/>
        <v/>
      </c>
      <c r="P11" s="30" t="str">
        <f>IF($B11="","",ROUND(SUMIFS(次果筐明细!$L$4:$L$603,次果筐明细!$C$4:$C$603,$B11,次果筐明细!$B$4:$B$603,"&gt;="&amp;$Z$1,次果筐明细!$B$4:$B$603,"&lt;="&amp;$Z$2),2))</f>
        <v/>
      </c>
      <c r="Q11" s="30" t="str">
        <f>IF($B11="","",ROUND(SUMIFS(次果筐明细!$L$4:$L$603,次果筐明细!$C$4:$C$603,$B11,次果筐明细!$M$4:$M$603,"已收讫",次果筐明细!$B$4:$B$603,"&gt;="&amp;$Z$1,次果筐明细!$B$4:$B$603,"&lt;="&amp;$Z$2),2))</f>
        <v/>
      </c>
      <c r="R11" s="30" t="str">
        <f t="shared" si="4"/>
        <v/>
      </c>
      <c r="S11" s="30" t="str">
        <f>IF($B11="","",ROUND(SUMIFS(次果筐明细!$J$4:$J$603,次果筐明细!$C$4:$C$603,$B11,次果筐明细!$B$4:$B$603,"&gt;="&amp;$Z$1,次果筐明细!$B$4:$B$603,"&lt;="&amp;$Z$2),2))</f>
        <v/>
      </c>
      <c r="T11" s="63" t="str">
        <f>IF($B11="","",ROUND(SUMIFS(次果筐明细!$K$4:$K$603,次果筐明细!$C$4:$C$603,$B11,次果筐明细!$B$4:$B$603,"&gt;="&amp;$Z$1,次果筐明细!$B$4:$B$603,"&lt;="&amp;$Z$2),2))</f>
        <v/>
      </c>
      <c r="U11" s="30" t="str">
        <f t="shared" si="5"/>
        <v/>
      </c>
      <c r="V11" s="42"/>
    </row>
    <row r="12" spans="1:26">
      <c r="A12" s="24" t="str">
        <f t="shared" si="0"/>
        <v/>
      </c>
      <c r="B12" s="37" t="str">
        <f>IFERROR(INDEX(_自动清单!$AY$4:$AY$203,ROW()-3),"")</f>
        <v/>
      </c>
      <c r="C12" s="39" t="str">
        <f>IF(OR($B12="",_自动清单!$AS$4=""),"",SUMIFS(次果筐明细!$G$4:$G$603,次果筐明细!$C$4:$C$603,$B12,次果筐明细!$D$4:$D$603,_自动清单!$AS$4,次果筐明细!$F$4:$F$603,"*出库*",次果筐明细!$B$4:$B$603,"&gt;="&amp;$Z$1,次果筐明细!$B$4:$B$603,"&lt;="&amp;$Z$2))</f>
        <v/>
      </c>
      <c r="D12" s="39" t="str">
        <f>IF(OR($B12="",_自动清单!$AS$5=""),"",SUMIFS(次果筐明细!$G$4:$G$603,次果筐明细!$C$4:$C$603,$B12,次果筐明细!$D$4:$D$603,_自动清单!$AS$5,次果筐明细!$F$4:$F$603,"*出库*",次果筐明细!$B$4:$B$603,"&gt;="&amp;$Z$1,次果筐明细!$B$4:$B$603,"&lt;="&amp;$Z$2))</f>
        <v/>
      </c>
      <c r="E12" s="39" t="str">
        <f>IF(OR($B12="",_自动清单!$AS$6=""),"",SUMIFS(次果筐明细!$G$4:$G$603,次果筐明细!$C$4:$C$603,$B12,次果筐明细!$D$4:$D$603,_自动清单!$AS$6,次果筐明细!$F$4:$F$603,"*出库*",次果筐明细!$B$4:$B$603,"&gt;="&amp;$Z$1,次果筐明细!$B$4:$B$603,"&lt;="&amp;$Z$2))</f>
        <v/>
      </c>
      <c r="F12" s="39" t="str">
        <f>IF(OR($B12="",_自动清单!$AS$7=""),"",SUMIFS(次果筐明细!$G$4:$G$603,次果筐明细!$C$4:$C$603,$B12,次果筐明细!$D$4:$D$603,_自动清单!$AS$7,次果筐明细!$F$4:$F$603,"*出库*",次果筐明细!$B$4:$B$603,"&gt;="&amp;$Z$1,次果筐明细!$B$4:$B$603,"&lt;="&amp;$Z$2))</f>
        <v/>
      </c>
      <c r="G12" s="39" t="str">
        <f>IF($B12="","",SUMIFS(次果筐明细!$G$4:$G$603,次果筐明细!$C$4:$C$603,$B12,次果筐明细!$F$4:$F$603,"*出库*",次果筐明细!$B$4:$B$603,"&gt;="&amp;$Z$1,次果筐明细!$B$4:$B$603,"&lt;="&amp;$Z$2)-SUM($C12:$F12))</f>
        <v/>
      </c>
      <c r="H12" s="39" t="str">
        <f t="shared" si="1"/>
        <v/>
      </c>
      <c r="I12" s="39" t="str">
        <f>IF(OR($B12="",_自动清单!$AS$4=""),"",SUMIFS(次果筐明细!$G$4:$G$603,次果筐明细!$C$4:$C$603,$B12,次果筐明细!$D$4:$D$603,_自动清单!$AS$4,次果筐明细!$F$4:$F$603,"*入库*",次果筐明细!$B$4:$B$603,"&gt;="&amp;$Z$1,次果筐明细!$B$4:$B$603,"&lt;="&amp;$Z$2))</f>
        <v/>
      </c>
      <c r="J12" s="39" t="str">
        <f>IF(OR($B12="",_自动清单!$AS$5=""),"",SUMIFS(次果筐明细!$G$4:$G$603,次果筐明细!$C$4:$C$603,$B12,次果筐明细!$D$4:$D$603,_自动清单!$AS$5,次果筐明细!$F$4:$F$603,"*入库*",次果筐明细!$B$4:$B$603,"&gt;="&amp;$Z$1,次果筐明细!$B$4:$B$603,"&lt;="&amp;$Z$2))</f>
        <v/>
      </c>
      <c r="K12" s="39" t="str">
        <f>IF(OR($B12="",_自动清单!$AS$6=""),"",SUMIFS(次果筐明细!$G$4:$G$603,次果筐明细!$C$4:$C$603,$B12,次果筐明细!$D$4:$D$603,_自动清单!$AS$6,次果筐明细!$F$4:$F$603,"*入库*",次果筐明细!$B$4:$B$603,"&gt;="&amp;$Z$1,次果筐明细!$B$4:$B$603,"&lt;="&amp;$Z$2))</f>
        <v/>
      </c>
      <c r="L12" s="39" t="str">
        <f>IF(OR($B12="",_自动清单!$AS$7=""),"",SUMIFS(次果筐明细!$G$4:$G$603,次果筐明细!$C$4:$C$603,$B12,次果筐明细!$D$4:$D$603,_自动清单!$AS$7,次果筐明细!$F$4:$F$603,"*入库*",次果筐明细!$B$4:$B$603,"&gt;="&amp;$Z$1,次果筐明细!$B$4:$B$603,"&lt;="&amp;$Z$2))</f>
        <v/>
      </c>
      <c r="M12" s="62" t="str">
        <f>IF($B12="","",SUMIFS(次果筐明细!$G$4:$G$603,次果筐明细!$C$4:$C$603,$B12,次果筐明细!$F$4:$F$603,"*入库*",次果筐明细!$B$4:$B$603,"&gt;="&amp;$Z$1,次果筐明细!$B$4:$B$603,"&lt;="&amp;$Z$2)-SUM($I12:$L12))</f>
        <v/>
      </c>
      <c r="N12" s="62" t="str">
        <f t="shared" si="2"/>
        <v/>
      </c>
      <c r="O12" s="39" t="str">
        <f t="shared" si="3"/>
        <v/>
      </c>
      <c r="P12" s="30" t="str">
        <f>IF($B12="","",ROUND(SUMIFS(次果筐明细!$L$4:$L$603,次果筐明细!$C$4:$C$603,$B12,次果筐明细!$B$4:$B$603,"&gt;="&amp;$Z$1,次果筐明细!$B$4:$B$603,"&lt;="&amp;$Z$2),2))</f>
        <v/>
      </c>
      <c r="Q12" s="30" t="str">
        <f>IF($B12="","",ROUND(SUMIFS(次果筐明细!$L$4:$L$603,次果筐明细!$C$4:$C$603,$B12,次果筐明细!$M$4:$M$603,"已收讫",次果筐明细!$B$4:$B$603,"&gt;="&amp;$Z$1,次果筐明细!$B$4:$B$603,"&lt;="&amp;$Z$2),2))</f>
        <v/>
      </c>
      <c r="R12" s="30" t="str">
        <f t="shared" si="4"/>
        <v/>
      </c>
      <c r="S12" s="30" t="str">
        <f>IF($B12="","",ROUND(SUMIFS(次果筐明细!$J$4:$J$603,次果筐明细!$C$4:$C$603,$B12,次果筐明细!$B$4:$B$603,"&gt;="&amp;$Z$1,次果筐明细!$B$4:$B$603,"&lt;="&amp;$Z$2),2))</f>
        <v/>
      </c>
      <c r="T12" s="63" t="str">
        <f>IF($B12="","",ROUND(SUMIFS(次果筐明细!$K$4:$K$603,次果筐明细!$C$4:$C$603,$B12,次果筐明细!$B$4:$B$603,"&gt;="&amp;$Z$1,次果筐明细!$B$4:$B$603,"&lt;="&amp;$Z$2),2))</f>
        <v/>
      </c>
      <c r="U12" s="30" t="str">
        <f t="shared" si="5"/>
        <v/>
      </c>
      <c r="V12" s="42"/>
    </row>
    <row r="13" spans="1:26">
      <c r="A13" s="24" t="str">
        <f t="shared" si="0"/>
        <v/>
      </c>
      <c r="B13" s="37" t="str">
        <f>IFERROR(INDEX(_自动清单!$AY$4:$AY$203,ROW()-3),"")</f>
        <v/>
      </c>
      <c r="C13" s="39" t="str">
        <f>IF(OR($B13="",_自动清单!$AS$4=""),"",SUMIFS(次果筐明细!$G$4:$G$603,次果筐明细!$C$4:$C$603,$B13,次果筐明细!$D$4:$D$603,_自动清单!$AS$4,次果筐明细!$F$4:$F$603,"*出库*",次果筐明细!$B$4:$B$603,"&gt;="&amp;$Z$1,次果筐明细!$B$4:$B$603,"&lt;="&amp;$Z$2))</f>
        <v/>
      </c>
      <c r="D13" s="39" t="str">
        <f>IF(OR($B13="",_自动清单!$AS$5=""),"",SUMIFS(次果筐明细!$G$4:$G$603,次果筐明细!$C$4:$C$603,$B13,次果筐明细!$D$4:$D$603,_自动清单!$AS$5,次果筐明细!$F$4:$F$603,"*出库*",次果筐明细!$B$4:$B$603,"&gt;="&amp;$Z$1,次果筐明细!$B$4:$B$603,"&lt;="&amp;$Z$2))</f>
        <v/>
      </c>
      <c r="E13" s="39" t="str">
        <f>IF(OR($B13="",_自动清单!$AS$6=""),"",SUMIFS(次果筐明细!$G$4:$G$603,次果筐明细!$C$4:$C$603,$B13,次果筐明细!$D$4:$D$603,_自动清单!$AS$6,次果筐明细!$F$4:$F$603,"*出库*",次果筐明细!$B$4:$B$603,"&gt;="&amp;$Z$1,次果筐明细!$B$4:$B$603,"&lt;="&amp;$Z$2))</f>
        <v/>
      </c>
      <c r="F13" s="39" t="str">
        <f>IF(OR($B13="",_自动清单!$AS$7=""),"",SUMIFS(次果筐明细!$G$4:$G$603,次果筐明细!$C$4:$C$603,$B13,次果筐明细!$D$4:$D$603,_自动清单!$AS$7,次果筐明细!$F$4:$F$603,"*出库*",次果筐明细!$B$4:$B$603,"&gt;="&amp;$Z$1,次果筐明细!$B$4:$B$603,"&lt;="&amp;$Z$2))</f>
        <v/>
      </c>
      <c r="G13" s="39" t="str">
        <f>IF($B13="","",SUMIFS(次果筐明细!$G$4:$G$603,次果筐明细!$C$4:$C$603,$B13,次果筐明细!$F$4:$F$603,"*出库*",次果筐明细!$B$4:$B$603,"&gt;="&amp;$Z$1,次果筐明细!$B$4:$B$603,"&lt;="&amp;$Z$2)-SUM($C13:$F13))</f>
        <v/>
      </c>
      <c r="H13" s="39" t="str">
        <f t="shared" si="1"/>
        <v/>
      </c>
      <c r="I13" s="39" t="str">
        <f>IF(OR($B13="",_自动清单!$AS$4=""),"",SUMIFS(次果筐明细!$G$4:$G$603,次果筐明细!$C$4:$C$603,$B13,次果筐明细!$D$4:$D$603,_自动清单!$AS$4,次果筐明细!$F$4:$F$603,"*入库*",次果筐明细!$B$4:$B$603,"&gt;="&amp;$Z$1,次果筐明细!$B$4:$B$603,"&lt;="&amp;$Z$2))</f>
        <v/>
      </c>
      <c r="J13" s="39" t="str">
        <f>IF(OR($B13="",_自动清单!$AS$5=""),"",SUMIFS(次果筐明细!$G$4:$G$603,次果筐明细!$C$4:$C$603,$B13,次果筐明细!$D$4:$D$603,_自动清单!$AS$5,次果筐明细!$F$4:$F$603,"*入库*",次果筐明细!$B$4:$B$603,"&gt;="&amp;$Z$1,次果筐明细!$B$4:$B$603,"&lt;="&amp;$Z$2))</f>
        <v/>
      </c>
      <c r="K13" s="39" t="str">
        <f>IF(OR($B13="",_自动清单!$AS$6=""),"",SUMIFS(次果筐明细!$G$4:$G$603,次果筐明细!$C$4:$C$603,$B13,次果筐明细!$D$4:$D$603,_自动清单!$AS$6,次果筐明细!$F$4:$F$603,"*入库*",次果筐明细!$B$4:$B$603,"&gt;="&amp;$Z$1,次果筐明细!$B$4:$B$603,"&lt;="&amp;$Z$2))</f>
        <v/>
      </c>
      <c r="L13" s="39" t="str">
        <f>IF(OR($B13="",_自动清单!$AS$7=""),"",SUMIFS(次果筐明细!$G$4:$G$603,次果筐明细!$C$4:$C$603,$B13,次果筐明细!$D$4:$D$603,_自动清单!$AS$7,次果筐明细!$F$4:$F$603,"*入库*",次果筐明细!$B$4:$B$603,"&gt;="&amp;$Z$1,次果筐明细!$B$4:$B$603,"&lt;="&amp;$Z$2))</f>
        <v/>
      </c>
      <c r="M13" s="62" t="str">
        <f>IF($B13="","",SUMIFS(次果筐明细!$G$4:$G$603,次果筐明细!$C$4:$C$603,$B13,次果筐明细!$F$4:$F$603,"*入库*",次果筐明细!$B$4:$B$603,"&gt;="&amp;$Z$1,次果筐明细!$B$4:$B$603,"&lt;="&amp;$Z$2)-SUM($I13:$L13))</f>
        <v/>
      </c>
      <c r="N13" s="62" t="str">
        <f t="shared" si="2"/>
        <v/>
      </c>
      <c r="O13" s="39" t="str">
        <f t="shared" si="3"/>
        <v/>
      </c>
      <c r="P13" s="30" t="str">
        <f>IF($B13="","",ROUND(SUMIFS(次果筐明细!$L$4:$L$603,次果筐明细!$C$4:$C$603,$B13,次果筐明细!$B$4:$B$603,"&gt;="&amp;$Z$1,次果筐明细!$B$4:$B$603,"&lt;="&amp;$Z$2),2))</f>
        <v/>
      </c>
      <c r="Q13" s="30" t="str">
        <f>IF($B13="","",ROUND(SUMIFS(次果筐明细!$L$4:$L$603,次果筐明细!$C$4:$C$603,$B13,次果筐明细!$M$4:$M$603,"已收讫",次果筐明细!$B$4:$B$603,"&gt;="&amp;$Z$1,次果筐明细!$B$4:$B$603,"&lt;="&amp;$Z$2),2))</f>
        <v/>
      </c>
      <c r="R13" s="30" t="str">
        <f t="shared" si="4"/>
        <v/>
      </c>
      <c r="S13" s="30" t="str">
        <f>IF($B13="","",ROUND(SUMIFS(次果筐明细!$J$4:$J$603,次果筐明细!$C$4:$C$603,$B13,次果筐明细!$B$4:$B$603,"&gt;="&amp;$Z$1,次果筐明细!$B$4:$B$603,"&lt;="&amp;$Z$2),2))</f>
        <v/>
      </c>
      <c r="T13" s="63" t="str">
        <f>IF($B13="","",ROUND(SUMIFS(次果筐明细!$K$4:$K$603,次果筐明细!$C$4:$C$603,$B13,次果筐明细!$B$4:$B$603,"&gt;="&amp;$Z$1,次果筐明细!$B$4:$B$603,"&lt;="&amp;$Z$2),2))</f>
        <v/>
      </c>
      <c r="U13" s="30" t="str">
        <f t="shared" si="5"/>
        <v/>
      </c>
      <c r="V13" s="42"/>
    </row>
    <row r="14" spans="1:26">
      <c r="A14" s="24" t="str">
        <f t="shared" si="0"/>
        <v/>
      </c>
      <c r="B14" s="37" t="str">
        <f>IFERROR(INDEX(_自动清单!$AY$4:$AY$203,ROW()-3),"")</f>
        <v/>
      </c>
      <c r="C14" s="39" t="str">
        <f>IF(OR($B14="",_自动清单!$AS$4=""),"",SUMIFS(次果筐明细!$G$4:$G$603,次果筐明细!$C$4:$C$603,$B14,次果筐明细!$D$4:$D$603,_自动清单!$AS$4,次果筐明细!$F$4:$F$603,"*出库*",次果筐明细!$B$4:$B$603,"&gt;="&amp;$Z$1,次果筐明细!$B$4:$B$603,"&lt;="&amp;$Z$2))</f>
        <v/>
      </c>
      <c r="D14" s="39" t="str">
        <f>IF(OR($B14="",_自动清单!$AS$5=""),"",SUMIFS(次果筐明细!$G$4:$G$603,次果筐明细!$C$4:$C$603,$B14,次果筐明细!$D$4:$D$603,_自动清单!$AS$5,次果筐明细!$F$4:$F$603,"*出库*",次果筐明细!$B$4:$B$603,"&gt;="&amp;$Z$1,次果筐明细!$B$4:$B$603,"&lt;="&amp;$Z$2))</f>
        <v/>
      </c>
      <c r="E14" s="39" t="str">
        <f>IF(OR($B14="",_自动清单!$AS$6=""),"",SUMIFS(次果筐明细!$G$4:$G$603,次果筐明细!$C$4:$C$603,$B14,次果筐明细!$D$4:$D$603,_自动清单!$AS$6,次果筐明细!$F$4:$F$603,"*出库*",次果筐明细!$B$4:$B$603,"&gt;="&amp;$Z$1,次果筐明细!$B$4:$B$603,"&lt;="&amp;$Z$2))</f>
        <v/>
      </c>
      <c r="F14" s="39" t="str">
        <f>IF(OR($B14="",_自动清单!$AS$7=""),"",SUMIFS(次果筐明细!$G$4:$G$603,次果筐明细!$C$4:$C$603,$B14,次果筐明细!$D$4:$D$603,_自动清单!$AS$7,次果筐明细!$F$4:$F$603,"*出库*",次果筐明细!$B$4:$B$603,"&gt;="&amp;$Z$1,次果筐明细!$B$4:$B$603,"&lt;="&amp;$Z$2))</f>
        <v/>
      </c>
      <c r="G14" s="39" t="str">
        <f>IF($B14="","",SUMIFS(次果筐明细!$G$4:$G$603,次果筐明细!$C$4:$C$603,$B14,次果筐明细!$F$4:$F$603,"*出库*",次果筐明细!$B$4:$B$603,"&gt;="&amp;$Z$1,次果筐明细!$B$4:$B$603,"&lt;="&amp;$Z$2)-SUM($C14:$F14))</f>
        <v/>
      </c>
      <c r="H14" s="39" t="str">
        <f t="shared" si="1"/>
        <v/>
      </c>
      <c r="I14" s="39" t="str">
        <f>IF(OR($B14="",_自动清单!$AS$4=""),"",SUMIFS(次果筐明细!$G$4:$G$603,次果筐明细!$C$4:$C$603,$B14,次果筐明细!$D$4:$D$603,_自动清单!$AS$4,次果筐明细!$F$4:$F$603,"*入库*",次果筐明细!$B$4:$B$603,"&gt;="&amp;$Z$1,次果筐明细!$B$4:$B$603,"&lt;="&amp;$Z$2))</f>
        <v/>
      </c>
      <c r="J14" s="39" t="str">
        <f>IF(OR($B14="",_自动清单!$AS$5=""),"",SUMIFS(次果筐明细!$G$4:$G$603,次果筐明细!$C$4:$C$603,$B14,次果筐明细!$D$4:$D$603,_自动清单!$AS$5,次果筐明细!$F$4:$F$603,"*入库*",次果筐明细!$B$4:$B$603,"&gt;="&amp;$Z$1,次果筐明细!$B$4:$B$603,"&lt;="&amp;$Z$2))</f>
        <v/>
      </c>
      <c r="K14" s="39" t="str">
        <f>IF(OR($B14="",_自动清单!$AS$6=""),"",SUMIFS(次果筐明细!$G$4:$G$603,次果筐明细!$C$4:$C$603,$B14,次果筐明细!$D$4:$D$603,_自动清单!$AS$6,次果筐明细!$F$4:$F$603,"*入库*",次果筐明细!$B$4:$B$603,"&gt;="&amp;$Z$1,次果筐明细!$B$4:$B$603,"&lt;="&amp;$Z$2))</f>
        <v/>
      </c>
      <c r="L14" s="39" t="str">
        <f>IF(OR($B14="",_自动清单!$AS$7=""),"",SUMIFS(次果筐明细!$G$4:$G$603,次果筐明细!$C$4:$C$603,$B14,次果筐明细!$D$4:$D$603,_自动清单!$AS$7,次果筐明细!$F$4:$F$603,"*入库*",次果筐明细!$B$4:$B$603,"&gt;="&amp;$Z$1,次果筐明细!$B$4:$B$603,"&lt;="&amp;$Z$2))</f>
        <v/>
      </c>
      <c r="M14" s="62" t="str">
        <f>IF($B14="","",SUMIFS(次果筐明细!$G$4:$G$603,次果筐明细!$C$4:$C$603,$B14,次果筐明细!$F$4:$F$603,"*入库*",次果筐明细!$B$4:$B$603,"&gt;="&amp;$Z$1,次果筐明细!$B$4:$B$603,"&lt;="&amp;$Z$2)-SUM($I14:$L14))</f>
        <v/>
      </c>
      <c r="N14" s="62" t="str">
        <f t="shared" si="2"/>
        <v/>
      </c>
      <c r="O14" s="39" t="str">
        <f t="shared" si="3"/>
        <v/>
      </c>
      <c r="P14" s="30" t="str">
        <f>IF($B14="","",ROUND(SUMIFS(次果筐明细!$L$4:$L$603,次果筐明细!$C$4:$C$603,$B14,次果筐明细!$B$4:$B$603,"&gt;="&amp;$Z$1,次果筐明细!$B$4:$B$603,"&lt;="&amp;$Z$2),2))</f>
        <v/>
      </c>
      <c r="Q14" s="30" t="str">
        <f>IF($B14="","",ROUND(SUMIFS(次果筐明细!$L$4:$L$603,次果筐明细!$C$4:$C$603,$B14,次果筐明细!$M$4:$M$603,"已收讫",次果筐明细!$B$4:$B$603,"&gt;="&amp;$Z$1,次果筐明细!$B$4:$B$603,"&lt;="&amp;$Z$2),2))</f>
        <v/>
      </c>
      <c r="R14" s="30" t="str">
        <f t="shared" si="4"/>
        <v/>
      </c>
      <c r="S14" s="30" t="str">
        <f>IF($B14="","",ROUND(SUMIFS(次果筐明细!$J$4:$J$603,次果筐明细!$C$4:$C$603,$B14,次果筐明细!$B$4:$B$603,"&gt;="&amp;$Z$1,次果筐明细!$B$4:$B$603,"&lt;="&amp;$Z$2),2))</f>
        <v/>
      </c>
      <c r="T14" s="63" t="str">
        <f>IF($B14="","",ROUND(SUMIFS(次果筐明细!$K$4:$K$603,次果筐明细!$C$4:$C$603,$B14,次果筐明细!$B$4:$B$603,"&gt;="&amp;$Z$1,次果筐明细!$B$4:$B$603,"&lt;="&amp;$Z$2),2))</f>
        <v/>
      </c>
      <c r="U14" s="30" t="str">
        <f t="shared" si="5"/>
        <v/>
      </c>
      <c r="V14" s="42"/>
    </row>
    <row r="15" spans="1:26">
      <c r="A15" s="24" t="str">
        <f t="shared" si="0"/>
        <v/>
      </c>
      <c r="B15" s="37" t="str">
        <f>IFERROR(INDEX(_自动清单!$AY$4:$AY$203,ROW()-3),"")</f>
        <v/>
      </c>
      <c r="C15" s="39" t="str">
        <f>IF(OR($B15="",_自动清单!$AS$4=""),"",SUMIFS(次果筐明细!$G$4:$G$603,次果筐明细!$C$4:$C$603,$B15,次果筐明细!$D$4:$D$603,_自动清单!$AS$4,次果筐明细!$F$4:$F$603,"*出库*",次果筐明细!$B$4:$B$603,"&gt;="&amp;$Z$1,次果筐明细!$B$4:$B$603,"&lt;="&amp;$Z$2))</f>
        <v/>
      </c>
      <c r="D15" s="39" t="str">
        <f>IF(OR($B15="",_自动清单!$AS$5=""),"",SUMIFS(次果筐明细!$G$4:$G$603,次果筐明细!$C$4:$C$603,$B15,次果筐明细!$D$4:$D$603,_自动清单!$AS$5,次果筐明细!$F$4:$F$603,"*出库*",次果筐明细!$B$4:$B$603,"&gt;="&amp;$Z$1,次果筐明细!$B$4:$B$603,"&lt;="&amp;$Z$2))</f>
        <v/>
      </c>
      <c r="E15" s="39" t="str">
        <f>IF(OR($B15="",_自动清单!$AS$6=""),"",SUMIFS(次果筐明细!$G$4:$G$603,次果筐明细!$C$4:$C$603,$B15,次果筐明细!$D$4:$D$603,_自动清单!$AS$6,次果筐明细!$F$4:$F$603,"*出库*",次果筐明细!$B$4:$B$603,"&gt;="&amp;$Z$1,次果筐明细!$B$4:$B$603,"&lt;="&amp;$Z$2))</f>
        <v/>
      </c>
      <c r="F15" s="39" t="str">
        <f>IF(OR($B15="",_自动清单!$AS$7=""),"",SUMIFS(次果筐明细!$G$4:$G$603,次果筐明细!$C$4:$C$603,$B15,次果筐明细!$D$4:$D$603,_自动清单!$AS$7,次果筐明细!$F$4:$F$603,"*出库*",次果筐明细!$B$4:$B$603,"&gt;="&amp;$Z$1,次果筐明细!$B$4:$B$603,"&lt;="&amp;$Z$2))</f>
        <v/>
      </c>
      <c r="G15" s="39" t="str">
        <f>IF($B15="","",SUMIFS(次果筐明细!$G$4:$G$603,次果筐明细!$C$4:$C$603,$B15,次果筐明细!$F$4:$F$603,"*出库*",次果筐明细!$B$4:$B$603,"&gt;="&amp;$Z$1,次果筐明细!$B$4:$B$603,"&lt;="&amp;$Z$2)-SUM($C15:$F15))</f>
        <v/>
      </c>
      <c r="H15" s="39" t="str">
        <f t="shared" si="1"/>
        <v/>
      </c>
      <c r="I15" s="39" t="str">
        <f>IF(OR($B15="",_自动清单!$AS$4=""),"",SUMIFS(次果筐明细!$G$4:$G$603,次果筐明细!$C$4:$C$603,$B15,次果筐明细!$D$4:$D$603,_自动清单!$AS$4,次果筐明细!$F$4:$F$603,"*入库*",次果筐明细!$B$4:$B$603,"&gt;="&amp;$Z$1,次果筐明细!$B$4:$B$603,"&lt;="&amp;$Z$2))</f>
        <v/>
      </c>
      <c r="J15" s="39" t="str">
        <f>IF(OR($B15="",_自动清单!$AS$5=""),"",SUMIFS(次果筐明细!$G$4:$G$603,次果筐明细!$C$4:$C$603,$B15,次果筐明细!$D$4:$D$603,_自动清单!$AS$5,次果筐明细!$F$4:$F$603,"*入库*",次果筐明细!$B$4:$B$603,"&gt;="&amp;$Z$1,次果筐明细!$B$4:$B$603,"&lt;="&amp;$Z$2))</f>
        <v/>
      </c>
      <c r="K15" s="39" t="str">
        <f>IF(OR($B15="",_自动清单!$AS$6=""),"",SUMIFS(次果筐明细!$G$4:$G$603,次果筐明细!$C$4:$C$603,$B15,次果筐明细!$D$4:$D$603,_自动清单!$AS$6,次果筐明细!$F$4:$F$603,"*入库*",次果筐明细!$B$4:$B$603,"&gt;="&amp;$Z$1,次果筐明细!$B$4:$B$603,"&lt;="&amp;$Z$2))</f>
        <v/>
      </c>
      <c r="L15" s="39" t="str">
        <f>IF(OR($B15="",_自动清单!$AS$7=""),"",SUMIFS(次果筐明细!$G$4:$G$603,次果筐明细!$C$4:$C$603,$B15,次果筐明细!$D$4:$D$603,_自动清单!$AS$7,次果筐明细!$F$4:$F$603,"*入库*",次果筐明细!$B$4:$B$603,"&gt;="&amp;$Z$1,次果筐明细!$B$4:$B$603,"&lt;="&amp;$Z$2))</f>
        <v/>
      </c>
      <c r="M15" s="62" t="str">
        <f>IF($B15="","",SUMIFS(次果筐明细!$G$4:$G$603,次果筐明细!$C$4:$C$603,$B15,次果筐明细!$F$4:$F$603,"*入库*",次果筐明细!$B$4:$B$603,"&gt;="&amp;$Z$1,次果筐明细!$B$4:$B$603,"&lt;="&amp;$Z$2)-SUM($I15:$L15))</f>
        <v/>
      </c>
      <c r="N15" s="62" t="str">
        <f t="shared" si="2"/>
        <v/>
      </c>
      <c r="O15" s="39" t="str">
        <f t="shared" si="3"/>
        <v/>
      </c>
      <c r="P15" s="30" t="str">
        <f>IF($B15="","",ROUND(SUMIFS(次果筐明细!$L$4:$L$603,次果筐明细!$C$4:$C$603,$B15,次果筐明细!$B$4:$B$603,"&gt;="&amp;$Z$1,次果筐明细!$B$4:$B$603,"&lt;="&amp;$Z$2),2))</f>
        <v/>
      </c>
      <c r="Q15" s="30" t="str">
        <f>IF($B15="","",ROUND(SUMIFS(次果筐明细!$L$4:$L$603,次果筐明细!$C$4:$C$603,$B15,次果筐明细!$M$4:$M$603,"已收讫",次果筐明细!$B$4:$B$603,"&gt;="&amp;$Z$1,次果筐明细!$B$4:$B$603,"&lt;="&amp;$Z$2),2))</f>
        <v/>
      </c>
      <c r="R15" s="30" t="str">
        <f t="shared" si="4"/>
        <v/>
      </c>
      <c r="S15" s="30" t="str">
        <f>IF($B15="","",ROUND(SUMIFS(次果筐明细!$J$4:$J$603,次果筐明细!$C$4:$C$603,$B15,次果筐明细!$B$4:$B$603,"&gt;="&amp;$Z$1,次果筐明细!$B$4:$B$603,"&lt;="&amp;$Z$2),2))</f>
        <v/>
      </c>
      <c r="T15" s="63" t="str">
        <f>IF($B15="","",ROUND(SUMIFS(次果筐明细!$K$4:$K$603,次果筐明细!$C$4:$C$603,$B15,次果筐明细!$B$4:$B$603,"&gt;="&amp;$Z$1,次果筐明细!$B$4:$B$603,"&lt;="&amp;$Z$2),2))</f>
        <v/>
      </c>
      <c r="U15" s="30" t="str">
        <f t="shared" si="5"/>
        <v/>
      </c>
      <c r="V15" s="42"/>
    </row>
    <row r="16" spans="1:26">
      <c r="A16" s="24" t="str">
        <f t="shared" si="0"/>
        <v/>
      </c>
      <c r="B16" s="37" t="str">
        <f>IFERROR(INDEX(_自动清单!$AY$4:$AY$203,ROW()-3),"")</f>
        <v/>
      </c>
      <c r="C16" s="39" t="str">
        <f>IF(OR($B16="",_自动清单!$AS$4=""),"",SUMIFS(次果筐明细!$G$4:$G$603,次果筐明细!$C$4:$C$603,$B16,次果筐明细!$D$4:$D$603,_自动清单!$AS$4,次果筐明细!$F$4:$F$603,"*出库*",次果筐明细!$B$4:$B$603,"&gt;="&amp;$Z$1,次果筐明细!$B$4:$B$603,"&lt;="&amp;$Z$2))</f>
        <v/>
      </c>
      <c r="D16" s="39" t="str">
        <f>IF(OR($B16="",_自动清单!$AS$5=""),"",SUMIFS(次果筐明细!$G$4:$G$603,次果筐明细!$C$4:$C$603,$B16,次果筐明细!$D$4:$D$603,_自动清单!$AS$5,次果筐明细!$F$4:$F$603,"*出库*",次果筐明细!$B$4:$B$603,"&gt;="&amp;$Z$1,次果筐明细!$B$4:$B$603,"&lt;="&amp;$Z$2))</f>
        <v/>
      </c>
      <c r="E16" s="39" t="str">
        <f>IF(OR($B16="",_自动清单!$AS$6=""),"",SUMIFS(次果筐明细!$G$4:$G$603,次果筐明细!$C$4:$C$603,$B16,次果筐明细!$D$4:$D$603,_自动清单!$AS$6,次果筐明细!$F$4:$F$603,"*出库*",次果筐明细!$B$4:$B$603,"&gt;="&amp;$Z$1,次果筐明细!$B$4:$B$603,"&lt;="&amp;$Z$2))</f>
        <v/>
      </c>
      <c r="F16" s="39" t="str">
        <f>IF(OR($B16="",_自动清单!$AS$7=""),"",SUMIFS(次果筐明细!$G$4:$G$603,次果筐明细!$C$4:$C$603,$B16,次果筐明细!$D$4:$D$603,_自动清单!$AS$7,次果筐明细!$F$4:$F$603,"*出库*",次果筐明细!$B$4:$B$603,"&gt;="&amp;$Z$1,次果筐明细!$B$4:$B$603,"&lt;="&amp;$Z$2))</f>
        <v/>
      </c>
      <c r="G16" s="39" t="str">
        <f>IF($B16="","",SUMIFS(次果筐明细!$G$4:$G$603,次果筐明细!$C$4:$C$603,$B16,次果筐明细!$F$4:$F$603,"*出库*",次果筐明细!$B$4:$B$603,"&gt;="&amp;$Z$1,次果筐明细!$B$4:$B$603,"&lt;="&amp;$Z$2)-SUM($C16:$F16))</f>
        <v/>
      </c>
      <c r="H16" s="39" t="str">
        <f t="shared" si="1"/>
        <v/>
      </c>
      <c r="I16" s="39" t="str">
        <f>IF(OR($B16="",_自动清单!$AS$4=""),"",SUMIFS(次果筐明细!$G$4:$G$603,次果筐明细!$C$4:$C$603,$B16,次果筐明细!$D$4:$D$603,_自动清单!$AS$4,次果筐明细!$F$4:$F$603,"*入库*",次果筐明细!$B$4:$B$603,"&gt;="&amp;$Z$1,次果筐明细!$B$4:$B$603,"&lt;="&amp;$Z$2))</f>
        <v/>
      </c>
      <c r="J16" s="39" t="str">
        <f>IF(OR($B16="",_自动清单!$AS$5=""),"",SUMIFS(次果筐明细!$G$4:$G$603,次果筐明细!$C$4:$C$603,$B16,次果筐明细!$D$4:$D$603,_自动清单!$AS$5,次果筐明细!$F$4:$F$603,"*入库*",次果筐明细!$B$4:$B$603,"&gt;="&amp;$Z$1,次果筐明细!$B$4:$B$603,"&lt;="&amp;$Z$2))</f>
        <v/>
      </c>
      <c r="K16" s="39" t="str">
        <f>IF(OR($B16="",_自动清单!$AS$6=""),"",SUMIFS(次果筐明细!$G$4:$G$603,次果筐明细!$C$4:$C$603,$B16,次果筐明细!$D$4:$D$603,_自动清单!$AS$6,次果筐明细!$F$4:$F$603,"*入库*",次果筐明细!$B$4:$B$603,"&gt;="&amp;$Z$1,次果筐明细!$B$4:$B$603,"&lt;="&amp;$Z$2))</f>
        <v/>
      </c>
      <c r="L16" s="39" t="str">
        <f>IF(OR($B16="",_自动清单!$AS$7=""),"",SUMIFS(次果筐明细!$G$4:$G$603,次果筐明细!$C$4:$C$603,$B16,次果筐明细!$D$4:$D$603,_自动清单!$AS$7,次果筐明细!$F$4:$F$603,"*入库*",次果筐明细!$B$4:$B$603,"&gt;="&amp;$Z$1,次果筐明细!$B$4:$B$603,"&lt;="&amp;$Z$2))</f>
        <v/>
      </c>
      <c r="M16" s="62" t="str">
        <f>IF($B16="","",SUMIFS(次果筐明细!$G$4:$G$603,次果筐明细!$C$4:$C$603,$B16,次果筐明细!$F$4:$F$603,"*入库*",次果筐明细!$B$4:$B$603,"&gt;="&amp;$Z$1,次果筐明细!$B$4:$B$603,"&lt;="&amp;$Z$2)-SUM($I16:$L16))</f>
        <v/>
      </c>
      <c r="N16" s="62" t="str">
        <f t="shared" si="2"/>
        <v/>
      </c>
      <c r="O16" s="39" t="str">
        <f t="shared" si="3"/>
        <v/>
      </c>
      <c r="P16" s="30" t="str">
        <f>IF($B16="","",ROUND(SUMIFS(次果筐明细!$L$4:$L$603,次果筐明细!$C$4:$C$603,$B16,次果筐明细!$B$4:$B$603,"&gt;="&amp;$Z$1,次果筐明细!$B$4:$B$603,"&lt;="&amp;$Z$2),2))</f>
        <v/>
      </c>
      <c r="Q16" s="30" t="str">
        <f>IF($B16="","",ROUND(SUMIFS(次果筐明细!$L$4:$L$603,次果筐明细!$C$4:$C$603,$B16,次果筐明细!$M$4:$M$603,"已收讫",次果筐明细!$B$4:$B$603,"&gt;="&amp;$Z$1,次果筐明细!$B$4:$B$603,"&lt;="&amp;$Z$2),2))</f>
        <v/>
      </c>
      <c r="R16" s="30" t="str">
        <f t="shared" si="4"/>
        <v/>
      </c>
      <c r="S16" s="30" t="str">
        <f>IF($B16="","",ROUND(SUMIFS(次果筐明细!$J$4:$J$603,次果筐明细!$C$4:$C$603,$B16,次果筐明细!$B$4:$B$603,"&gt;="&amp;$Z$1,次果筐明细!$B$4:$B$603,"&lt;="&amp;$Z$2),2))</f>
        <v/>
      </c>
      <c r="T16" s="63" t="str">
        <f>IF($B16="","",ROUND(SUMIFS(次果筐明细!$K$4:$K$603,次果筐明细!$C$4:$C$603,$B16,次果筐明细!$B$4:$B$603,"&gt;="&amp;$Z$1,次果筐明细!$B$4:$B$603,"&lt;="&amp;$Z$2),2))</f>
        <v/>
      </c>
      <c r="U16" s="30" t="str">
        <f t="shared" si="5"/>
        <v/>
      </c>
      <c r="V16" s="42"/>
    </row>
    <row r="17" spans="1:22">
      <c r="A17" s="24" t="str">
        <f t="shared" si="0"/>
        <v/>
      </c>
      <c r="B17" s="37" t="str">
        <f>IFERROR(INDEX(_自动清单!$AY$4:$AY$203,ROW()-3),"")</f>
        <v/>
      </c>
      <c r="C17" s="39" t="str">
        <f>IF(OR($B17="",_自动清单!$AS$4=""),"",SUMIFS(次果筐明细!$G$4:$G$603,次果筐明细!$C$4:$C$603,$B17,次果筐明细!$D$4:$D$603,_自动清单!$AS$4,次果筐明细!$F$4:$F$603,"*出库*",次果筐明细!$B$4:$B$603,"&gt;="&amp;$Z$1,次果筐明细!$B$4:$B$603,"&lt;="&amp;$Z$2))</f>
        <v/>
      </c>
      <c r="D17" s="39" t="str">
        <f>IF(OR($B17="",_自动清单!$AS$5=""),"",SUMIFS(次果筐明细!$G$4:$G$603,次果筐明细!$C$4:$C$603,$B17,次果筐明细!$D$4:$D$603,_自动清单!$AS$5,次果筐明细!$F$4:$F$603,"*出库*",次果筐明细!$B$4:$B$603,"&gt;="&amp;$Z$1,次果筐明细!$B$4:$B$603,"&lt;="&amp;$Z$2))</f>
        <v/>
      </c>
      <c r="E17" s="39" t="str">
        <f>IF(OR($B17="",_自动清单!$AS$6=""),"",SUMIFS(次果筐明细!$G$4:$G$603,次果筐明细!$C$4:$C$603,$B17,次果筐明细!$D$4:$D$603,_自动清单!$AS$6,次果筐明细!$F$4:$F$603,"*出库*",次果筐明细!$B$4:$B$603,"&gt;="&amp;$Z$1,次果筐明细!$B$4:$B$603,"&lt;="&amp;$Z$2))</f>
        <v/>
      </c>
      <c r="F17" s="39" t="str">
        <f>IF(OR($B17="",_自动清单!$AS$7=""),"",SUMIFS(次果筐明细!$G$4:$G$603,次果筐明细!$C$4:$C$603,$B17,次果筐明细!$D$4:$D$603,_自动清单!$AS$7,次果筐明细!$F$4:$F$603,"*出库*",次果筐明细!$B$4:$B$603,"&gt;="&amp;$Z$1,次果筐明细!$B$4:$B$603,"&lt;="&amp;$Z$2))</f>
        <v/>
      </c>
      <c r="G17" s="39" t="str">
        <f>IF($B17="","",SUMIFS(次果筐明细!$G$4:$G$603,次果筐明细!$C$4:$C$603,$B17,次果筐明细!$F$4:$F$603,"*出库*",次果筐明细!$B$4:$B$603,"&gt;="&amp;$Z$1,次果筐明细!$B$4:$B$603,"&lt;="&amp;$Z$2)-SUM($C17:$F17))</f>
        <v/>
      </c>
      <c r="H17" s="39" t="str">
        <f t="shared" si="1"/>
        <v/>
      </c>
      <c r="I17" s="39" t="str">
        <f>IF(OR($B17="",_自动清单!$AS$4=""),"",SUMIFS(次果筐明细!$G$4:$G$603,次果筐明细!$C$4:$C$603,$B17,次果筐明细!$D$4:$D$603,_自动清单!$AS$4,次果筐明细!$F$4:$F$603,"*入库*",次果筐明细!$B$4:$B$603,"&gt;="&amp;$Z$1,次果筐明细!$B$4:$B$603,"&lt;="&amp;$Z$2))</f>
        <v/>
      </c>
      <c r="J17" s="39" t="str">
        <f>IF(OR($B17="",_自动清单!$AS$5=""),"",SUMIFS(次果筐明细!$G$4:$G$603,次果筐明细!$C$4:$C$603,$B17,次果筐明细!$D$4:$D$603,_自动清单!$AS$5,次果筐明细!$F$4:$F$603,"*入库*",次果筐明细!$B$4:$B$603,"&gt;="&amp;$Z$1,次果筐明细!$B$4:$B$603,"&lt;="&amp;$Z$2))</f>
        <v/>
      </c>
      <c r="K17" s="39" t="str">
        <f>IF(OR($B17="",_自动清单!$AS$6=""),"",SUMIFS(次果筐明细!$G$4:$G$603,次果筐明细!$C$4:$C$603,$B17,次果筐明细!$D$4:$D$603,_自动清单!$AS$6,次果筐明细!$F$4:$F$603,"*入库*",次果筐明细!$B$4:$B$603,"&gt;="&amp;$Z$1,次果筐明细!$B$4:$B$603,"&lt;="&amp;$Z$2))</f>
        <v/>
      </c>
      <c r="L17" s="39" t="str">
        <f>IF(OR($B17="",_自动清单!$AS$7=""),"",SUMIFS(次果筐明细!$G$4:$G$603,次果筐明细!$C$4:$C$603,$B17,次果筐明细!$D$4:$D$603,_自动清单!$AS$7,次果筐明细!$F$4:$F$603,"*入库*",次果筐明细!$B$4:$B$603,"&gt;="&amp;$Z$1,次果筐明细!$B$4:$B$603,"&lt;="&amp;$Z$2))</f>
        <v/>
      </c>
      <c r="M17" s="62" t="str">
        <f>IF($B17="","",SUMIFS(次果筐明细!$G$4:$G$603,次果筐明细!$C$4:$C$603,$B17,次果筐明细!$F$4:$F$603,"*入库*",次果筐明细!$B$4:$B$603,"&gt;="&amp;$Z$1,次果筐明细!$B$4:$B$603,"&lt;="&amp;$Z$2)-SUM($I17:$L17))</f>
        <v/>
      </c>
      <c r="N17" s="62" t="str">
        <f t="shared" si="2"/>
        <v/>
      </c>
      <c r="O17" s="39" t="str">
        <f t="shared" si="3"/>
        <v/>
      </c>
      <c r="P17" s="30" t="str">
        <f>IF($B17="","",ROUND(SUMIFS(次果筐明细!$L$4:$L$603,次果筐明细!$C$4:$C$603,$B17,次果筐明细!$B$4:$B$603,"&gt;="&amp;$Z$1,次果筐明细!$B$4:$B$603,"&lt;="&amp;$Z$2),2))</f>
        <v/>
      </c>
      <c r="Q17" s="30" t="str">
        <f>IF($B17="","",ROUND(SUMIFS(次果筐明细!$L$4:$L$603,次果筐明细!$C$4:$C$603,$B17,次果筐明细!$M$4:$M$603,"已收讫",次果筐明细!$B$4:$B$603,"&gt;="&amp;$Z$1,次果筐明细!$B$4:$B$603,"&lt;="&amp;$Z$2),2))</f>
        <v/>
      </c>
      <c r="R17" s="30" t="str">
        <f t="shared" si="4"/>
        <v/>
      </c>
      <c r="S17" s="30" t="str">
        <f>IF($B17="","",ROUND(SUMIFS(次果筐明细!$J$4:$J$603,次果筐明细!$C$4:$C$603,$B17,次果筐明细!$B$4:$B$603,"&gt;="&amp;$Z$1,次果筐明细!$B$4:$B$603,"&lt;="&amp;$Z$2),2))</f>
        <v/>
      </c>
      <c r="T17" s="63" t="str">
        <f>IF($B17="","",ROUND(SUMIFS(次果筐明细!$K$4:$K$603,次果筐明细!$C$4:$C$603,$B17,次果筐明细!$B$4:$B$603,"&gt;="&amp;$Z$1,次果筐明细!$B$4:$B$603,"&lt;="&amp;$Z$2),2))</f>
        <v/>
      </c>
      <c r="U17" s="30" t="str">
        <f t="shared" si="5"/>
        <v/>
      </c>
      <c r="V17" s="42"/>
    </row>
    <row r="18" spans="1:22">
      <c r="A18" s="24" t="str">
        <f t="shared" si="0"/>
        <v/>
      </c>
      <c r="B18" s="37" t="str">
        <f>IFERROR(INDEX(_自动清单!$AY$4:$AY$203,ROW()-3),"")</f>
        <v/>
      </c>
      <c r="C18" s="39" t="str">
        <f>IF(OR($B18="",_自动清单!$AS$4=""),"",SUMIFS(次果筐明细!$G$4:$G$603,次果筐明细!$C$4:$C$603,$B18,次果筐明细!$D$4:$D$603,_自动清单!$AS$4,次果筐明细!$F$4:$F$603,"*出库*",次果筐明细!$B$4:$B$603,"&gt;="&amp;$Z$1,次果筐明细!$B$4:$B$603,"&lt;="&amp;$Z$2))</f>
        <v/>
      </c>
      <c r="D18" s="39" t="str">
        <f>IF(OR($B18="",_自动清单!$AS$5=""),"",SUMIFS(次果筐明细!$G$4:$G$603,次果筐明细!$C$4:$C$603,$B18,次果筐明细!$D$4:$D$603,_自动清单!$AS$5,次果筐明细!$F$4:$F$603,"*出库*",次果筐明细!$B$4:$B$603,"&gt;="&amp;$Z$1,次果筐明细!$B$4:$B$603,"&lt;="&amp;$Z$2))</f>
        <v/>
      </c>
      <c r="E18" s="39" t="str">
        <f>IF(OR($B18="",_自动清单!$AS$6=""),"",SUMIFS(次果筐明细!$G$4:$G$603,次果筐明细!$C$4:$C$603,$B18,次果筐明细!$D$4:$D$603,_自动清单!$AS$6,次果筐明细!$F$4:$F$603,"*出库*",次果筐明细!$B$4:$B$603,"&gt;="&amp;$Z$1,次果筐明细!$B$4:$B$603,"&lt;="&amp;$Z$2))</f>
        <v/>
      </c>
      <c r="F18" s="39" t="str">
        <f>IF(OR($B18="",_自动清单!$AS$7=""),"",SUMIFS(次果筐明细!$G$4:$G$603,次果筐明细!$C$4:$C$603,$B18,次果筐明细!$D$4:$D$603,_自动清单!$AS$7,次果筐明细!$F$4:$F$603,"*出库*",次果筐明细!$B$4:$B$603,"&gt;="&amp;$Z$1,次果筐明细!$B$4:$B$603,"&lt;="&amp;$Z$2))</f>
        <v/>
      </c>
      <c r="G18" s="39" t="str">
        <f>IF($B18="","",SUMIFS(次果筐明细!$G$4:$G$603,次果筐明细!$C$4:$C$603,$B18,次果筐明细!$F$4:$F$603,"*出库*",次果筐明细!$B$4:$B$603,"&gt;="&amp;$Z$1,次果筐明细!$B$4:$B$603,"&lt;="&amp;$Z$2)-SUM($C18:$F18))</f>
        <v/>
      </c>
      <c r="H18" s="39" t="str">
        <f t="shared" si="1"/>
        <v/>
      </c>
      <c r="I18" s="39" t="str">
        <f>IF(OR($B18="",_自动清单!$AS$4=""),"",SUMIFS(次果筐明细!$G$4:$G$603,次果筐明细!$C$4:$C$603,$B18,次果筐明细!$D$4:$D$603,_自动清单!$AS$4,次果筐明细!$F$4:$F$603,"*入库*",次果筐明细!$B$4:$B$603,"&gt;="&amp;$Z$1,次果筐明细!$B$4:$B$603,"&lt;="&amp;$Z$2))</f>
        <v/>
      </c>
      <c r="J18" s="39" t="str">
        <f>IF(OR($B18="",_自动清单!$AS$5=""),"",SUMIFS(次果筐明细!$G$4:$G$603,次果筐明细!$C$4:$C$603,$B18,次果筐明细!$D$4:$D$603,_自动清单!$AS$5,次果筐明细!$F$4:$F$603,"*入库*",次果筐明细!$B$4:$B$603,"&gt;="&amp;$Z$1,次果筐明细!$B$4:$B$603,"&lt;="&amp;$Z$2))</f>
        <v/>
      </c>
      <c r="K18" s="39" t="str">
        <f>IF(OR($B18="",_自动清单!$AS$6=""),"",SUMIFS(次果筐明细!$G$4:$G$603,次果筐明细!$C$4:$C$603,$B18,次果筐明细!$D$4:$D$603,_自动清单!$AS$6,次果筐明细!$F$4:$F$603,"*入库*",次果筐明细!$B$4:$B$603,"&gt;="&amp;$Z$1,次果筐明细!$B$4:$B$603,"&lt;="&amp;$Z$2))</f>
        <v/>
      </c>
      <c r="L18" s="39" t="str">
        <f>IF(OR($B18="",_自动清单!$AS$7=""),"",SUMIFS(次果筐明细!$G$4:$G$603,次果筐明细!$C$4:$C$603,$B18,次果筐明细!$D$4:$D$603,_自动清单!$AS$7,次果筐明细!$F$4:$F$603,"*入库*",次果筐明细!$B$4:$B$603,"&gt;="&amp;$Z$1,次果筐明细!$B$4:$B$603,"&lt;="&amp;$Z$2))</f>
        <v/>
      </c>
      <c r="M18" s="62" t="str">
        <f>IF($B18="","",SUMIFS(次果筐明细!$G$4:$G$603,次果筐明细!$C$4:$C$603,$B18,次果筐明细!$F$4:$F$603,"*入库*",次果筐明细!$B$4:$B$603,"&gt;="&amp;$Z$1,次果筐明细!$B$4:$B$603,"&lt;="&amp;$Z$2)-SUM($I18:$L18))</f>
        <v/>
      </c>
      <c r="N18" s="62" t="str">
        <f t="shared" si="2"/>
        <v/>
      </c>
      <c r="O18" s="39" t="str">
        <f t="shared" si="3"/>
        <v/>
      </c>
      <c r="P18" s="30" t="str">
        <f>IF($B18="","",ROUND(SUMIFS(次果筐明细!$L$4:$L$603,次果筐明细!$C$4:$C$603,$B18,次果筐明细!$B$4:$B$603,"&gt;="&amp;$Z$1,次果筐明细!$B$4:$B$603,"&lt;="&amp;$Z$2),2))</f>
        <v/>
      </c>
      <c r="Q18" s="30" t="str">
        <f>IF($B18="","",ROUND(SUMIFS(次果筐明细!$L$4:$L$603,次果筐明细!$C$4:$C$603,$B18,次果筐明细!$M$4:$M$603,"已收讫",次果筐明细!$B$4:$B$603,"&gt;="&amp;$Z$1,次果筐明细!$B$4:$B$603,"&lt;="&amp;$Z$2),2))</f>
        <v/>
      </c>
      <c r="R18" s="30" t="str">
        <f t="shared" si="4"/>
        <v/>
      </c>
      <c r="S18" s="30" t="str">
        <f>IF($B18="","",ROUND(SUMIFS(次果筐明细!$J$4:$J$603,次果筐明细!$C$4:$C$603,$B18,次果筐明细!$B$4:$B$603,"&gt;="&amp;$Z$1,次果筐明细!$B$4:$B$603,"&lt;="&amp;$Z$2),2))</f>
        <v/>
      </c>
      <c r="T18" s="63" t="str">
        <f>IF($B18="","",ROUND(SUMIFS(次果筐明细!$K$4:$K$603,次果筐明细!$C$4:$C$603,$B18,次果筐明细!$B$4:$B$603,"&gt;="&amp;$Z$1,次果筐明细!$B$4:$B$603,"&lt;="&amp;$Z$2),2))</f>
        <v/>
      </c>
      <c r="U18" s="30" t="str">
        <f t="shared" si="5"/>
        <v/>
      </c>
      <c r="V18" s="42"/>
    </row>
    <row r="19" spans="1:22">
      <c r="A19" s="24" t="str">
        <f t="shared" si="0"/>
        <v/>
      </c>
      <c r="B19" s="37" t="str">
        <f>IFERROR(INDEX(_自动清单!$AY$4:$AY$203,ROW()-3),"")</f>
        <v/>
      </c>
      <c r="C19" s="39" t="str">
        <f>IF(OR($B19="",_自动清单!$AS$4=""),"",SUMIFS(次果筐明细!$G$4:$G$603,次果筐明细!$C$4:$C$603,$B19,次果筐明细!$D$4:$D$603,_自动清单!$AS$4,次果筐明细!$F$4:$F$603,"*出库*",次果筐明细!$B$4:$B$603,"&gt;="&amp;$Z$1,次果筐明细!$B$4:$B$603,"&lt;="&amp;$Z$2))</f>
        <v/>
      </c>
      <c r="D19" s="39" t="str">
        <f>IF(OR($B19="",_自动清单!$AS$5=""),"",SUMIFS(次果筐明细!$G$4:$G$603,次果筐明细!$C$4:$C$603,$B19,次果筐明细!$D$4:$D$603,_自动清单!$AS$5,次果筐明细!$F$4:$F$603,"*出库*",次果筐明细!$B$4:$B$603,"&gt;="&amp;$Z$1,次果筐明细!$B$4:$B$603,"&lt;="&amp;$Z$2))</f>
        <v/>
      </c>
      <c r="E19" s="39" t="str">
        <f>IF(OR($B19="",_自动清单!$AS$6=""),"",SUMIFS(次果筐明细!$G$4:$G$603,次果筐明细!$C$4:$C$603,$B19,次果筐明细!$D$4:$D$603,_自动清单!$AS$6,次果筐明细!$F$4:$F$603,"*出库*",次果筐明细!$B$4:$B$603,"&gt;="&amp;$Z$1,次果筐明细!$B$4:$B$603,"&lt;="&amp;$Z$2))</f>
        <v/>
      </c>
      <c r="F19" s="39" t="str">
        <f>IF(OR($B19="",_自动清单!$AS$7=""),"",SUMIFS(次果筐明细!$G$4:$G$603,次果筐明细!$C$4:$C$603,$B19,次果筐明细!$D$4:$D$603,_自动清单!$AS$7,次果筐明细!$F$4:$F$603,"*出库*",次果筐明细!$B$4:$B$603,"&gt;="&amp;$Z$1,次果筐明细!$B$4:$B$603,"&lt;="&amp;$Z$2))</f>
        <v/>
      </c>
      <c r="G19" s="39" t="str">
        <f>IF($B19="","",SUMIFS(次果筐明细!$G$4:$G$603,次果筐明细!$C$4:$C$603,$B19,次果筐明细!$F$4:$F$603,"*出库*",次果筐明细!$B$4:$B$603,"&gt;="&amp;$Z$1,次果筐明细!$B$4:$B$603,"&lt;="&amp;$Z$2)-SUM($C19:$F19))</f>
        <v/>
      </c>
      <c r="H19" s="39" t="str">
        <f t="shared" si="1"/>
        <v/>
      </c>
      <c r="I19" s="39" t="str">
        <f>IF(OR($B19="",_自动清单!$AS$4=""),"",SUMIFS(次果筐明细!$G$4:$G$603,次果筐明细!$C$4:$C$603,$B19,次果筐明细!$D$4:$D$603,_自动清单!$AS$4,次果筐明细!$F$4:$F$603,"*入库*",次果筐明细!$B$4:$B$603,"&gt;="&amp;$Z$1,次果筐明细!$B$4:$B$603,"&lt;="&amp;$Z$2))</f>
        <v/>
      </c>
      <c r="J19" s="39" t="str">
        <f>IF(OR($B19="",_自动清单!$AS$5=""),"",SUMIFS(次果筐明细!$G$4:$G$603,次果筐明细!$C$4:$C$603,$B19,次果筐明细!$D$4:$D$603,_自动清单!$AS$5,次果筐明细!$F$4:$F$603,"*入库*",次果筐明细!$B$4:$B$603,"&gt;="&amp;$Z$1,次果筐明细!$B$4:$B$603,"&lt;="&amp;$Z$2))</f>
        <v/>
      </c>
      <c r="K19" s="39" t="str">
        <f>IF(OR($B19="",_自动清单!$AS$6=""),"",SUMIFS(次果筐明细!$G$4:$G$603,次果筐明细!$C$4:$C$603,$B19,次果筐明细!$D$4:$D$603,_自动清单!$AS$6,次果筐明细!$F$4:$F$603,"*入库*",次果筐明细!$B$4:$B$603,"&gt;="&amp;$Z$1,次果筐明细!$B$4:$B$603,"&lt;="&amp;$Z$2))</f>
        <v/>
      </c>
      <c r="L19" s="39" t="str">
        <f>IF(OR($B19="",_自动清单!$AS$7=""),"",SUMIFS(次果筐明细!$G$4:$G$603,次果筐明细!$C$4:$C$603,$B19,次果筐明细!$D$4:$D$603,_自动清单!$AS$7,次果筐明细!$F$4:$F$603,"*入库*",次果筐明细!$B$4:$B$603,"&gt;="&amp;$Z$1,次果筐明细!$B$4:$B$603,"&lt;="&amp;$Z$2))</f>
        <v/>
      </c>
      <c r="M19" s="62" t="str">
        <f>IF($B19="","",SUMIFS(次果筐明细!$G$4:$G$603,次果筐明细!$C$4:$C$603,$B19,次果筐明细!$F$4:$F$603,"*入库*",次果筐明细!$B$4:$B$603,"&gt;="&amp;$Z$1,次果筐明细!$B$4:$B$603,"&lt;="&amp;$Z$2)-SUM($I19:$L19))</f>
        <v/>
      </c>
      <c r="N19" s="62" t="str">
        <f t="shared" si="2"/>
        <v/>
      </c>
      <c r="O19" s="39" t="str">
        <f t="shared" si="3"/>
        <v/>
      </c>
      <c r="P19" s="30" t="str">
        <f>IF($B19="","",ROUND(SUMIFS(次果筐明细!$L$4:$L$603,次果筐明细!$C$4:$C$603,$B19,次果筐明细!$B$4:$B$603,"&gt;="&amp;$Z$1,次果筐明细!$B$4:$B$603,"&lt;="&amp;$Z$2),2))</f>
        <v/>
      </c>
      <c r="Q19" s="30" t="str">
        <f>IF($B19="","",ROUND(SUMIFS(次果筐明细!$L$4:$L$603,次果筐明细!$C$4:$C$603,$B19,次果筐明细!$M$4:$M$603,"已收讫",次果筐明细!$B$4:$B$603,"&gt;="&amp;$Z$1,次果筐明细!$B$4:$B$603,"&lt;="&amp;$Z$2),2))</f>
        <v/>
      </c>
      <c r="R19" s="30" t="str">
        <f t="shared" si="4"/>
        <v/>
      </c>
      <c r="S19" s="30" t="str">
        <f>IF($B19="","",ROUND(SUMIFS(次果筐明细!$J$4:$J$603,次果筐明细!$C$4:$C$603,$B19,次果筐明细!$B$4:$B$603,"&gt;="&amp;$Z$1,次果筐明细!$B$4:$B$603,"&lt;="&amp;$Z$2),2))</f>
        <v/>
      </c>
      <c r="T19" s="63" t="str">
        <f>IF($B19="","",ROUND(SUMIFS(次果筐明细!$K$4:$K$603,次果筐明细!$C$4:$C$603,$B19,次果筐明细!$B$4:$B$603,"&gt;="&amp;$Z$1,次果筐明细!$B$4:$B$603,"&lt;="&amp;$Z$2),2))</f>
        <v/>
      </c>
      <c r="U19" s="30" t="str">
        <f t="shared" si="5"/>
        <v/>
      </c>
      <c r="V19" s="42"/>
    </row>
    <row r="20" spans="1:22">
      <c r="A20" s="24" t="str">
        <f t="shared" si="0"/>
        <v/>
      </c>
      <c r="B20" s="37" t="str">
        <f>IFERROR(INDEX(_自动清单!$AY$4:$AY$203,ROW()-3),"")</f>
        <v/>
      </c>
      <c r="C20" s="39" t="str">
        <f>IF(OR($B20="",_自动清单!$AS$4=""),"",SUMIFS(次果筐明细!$G$4:$G$603,次果筐明细!$C$4:$C$603,$B20,次果筐明细!$D$4:$D$603,_自动清单!$AS$4,次果筐明细!$F$4:$F$603,"*出库*",次果筐明细!$B$4:$B$603,"&gt;="&amp;$Z$1,次果筐明细!$B$4:$B$603,"&lt;="&amp;$Z$2))</f>
        <v/>
      </c>
      <c r="D20" s="39" t="str">
        <f>IF(OR($B20="",_自动清单!$AS$5=""),"",SUMIFS(次果筐明细!$G$4:$G$603,次果筐明细!$C$4:$C$603,$B20,次果筐明细!$D$4:$D$603,_自动清单!$AS$5,次果筐明细!$F$4:$F$603,"*出库*",次果筐明细!$B$4:$B$603,"&gt;="&amp;$Z$1,次果筐明细!$B$4:$B$603,"&lt;="&amp;$Z$2))</f>
        <v/>
      </c>
      <c r="E20" s="39" t="str">
        <f>IF(OR($B20="",_自动清单!$AS$6=""),"",SUMIFS(次果筐明细!$G$4:$G$603,次果筐明细!$C$4:$C$603,$B20,次果筐明细!$D$4:$D$603,_自动清单!$AS$6,次果筐明细!$F$4:$F$603,"*出库*",次果筐明细!$B$4:$B$603,"&gt;="&amp;$Z$1,次果筐明细!$B$4:$B$603,"&lt;="&amp;$Z$2))</f>
        <v/>
      </c>
      <c r="F20" s="39" t="str">
        <f>IF(OR($B20="",_自动清单!$AS$7=""),"",SUMIFS(次果筐明细!$G$4:$G$603,次果筐明细!$C$4:$C$603,$B20,次果筐明细!$D$4:$D$603,_自动清单!$AS$7,次果筐明细!$F$4:$F$603,"*出库*",次果筐明细!$B$4:$B$603,"&gt;="&amp;$Z$1,次果筐明细!$B$4:$B$603,"&lt;="&amp;$Z$2))</f>
        <v/>
      </c>
      <c r="G20" s="39" t="str">
        <f>IF($B20="","",SUMIFS(次果筐明细!$G$4:$G$603,次果筐明细!$C$4:$C$603,$B20,次果筐明细!$F$4:$F$603,"*出库*",次果筐明细!$B$4:$B$603,"&gt;="&amp;$Z$1,次果筐明细!$B$4:$B$603,"&lt;="&amp;$Z$2)-SUM($C20:$F20))</f>
        <v/>
      </c>
      <c r="H20" s="39" t="str">
        <f t="shared" si="1"/>
        <v/>
      </c>
      <c r="I20" s="39" t="str">
        <f>IF(OR($B20="",_自动清单!$AS$4=""),"",SUMIFS(次果筐明细!$G$4:$G$603,次果筐明细!$C$4:$C$603,$B20,次果筐明细!$D$4:$D$603,_自动清单!$AS$4,次果筐明细!$F$4:$F$603,"*入库*",次果筐明细!$B$4:$B$603,"&gt;="&amp;$Z$1,次果筐明细!$B$4:$B$603,"&lt;="&amp;$Z$2))</f>
        <v/>
      </c>
      <c r="J20" s="39" t="str">
        <f>IF(OR($B20="",_自动清单!$AS$5=""),"",SUMIFS(次果筐明细!$G$4:$G$603,次果筐明细!$C$4:$C$603,$B20,次果筐明细!$D$4:$D$603,_自动清单!$AS$5,次果筐明细!$F$4:$F$603,"*入库*",次果筐明细!$B$4:$B$603,"&gt;="&amp;$Z$1,次果筐明细!$B$4:$B$603,"&lt;="&amp;$Z$2))</f>
        <v/>
      </c>
      <c r="K20" s="39" t="str">
        <f>IF(OR($B20="",_自动清单!$AS$6=""),"",SUMIFS(次果筐明细!$G$4:$G$603,次果筐明细!$C$4:$C$603,$B20,次果筐明细!$D$4:$D$603,_自动清单!$AS$6,次果筐明细!$F$4:$F$603,"*入库*",次果筐明细!$B$4:$B$603,"&gt;="&amp;$Z$1,次果筐明细!$B$4:$B$603,"&lt;="&amp;$Z$2))</f>
        <v/>
      </c>
      <c r="L20" s="39" t="str">
        <f>IF(OR($B20="",_自动清单!$AS$7=""),"",SUMIFS(次果筐明细!$G$4:$G$603,次果筐明细!$C$4:$C$603,$B20,次果筐明细!$D$4:$D$603,_自动清单!$AS$7,次果筐明细!$F$4:$F$603,"*入库*",次果筐明细!$B$4:$B$603,"&gt;="&amp;$Z$1,次果筐明细!$B$4:$B$603,"&lt;="&amp;$Z$2))</f>
        <v/>
      </c>
      <c r="M20" s="62" t="str">
        <f>IF($B20="","",SUMIFS(次果筐明细!$G$4:$G$603,次果筐明细!$C$4:$C$603,$B20,次果筐明细!$F$4:$F$603,"*入库*",次果筐明细!$B$4:$B$603,"&gt;="&amp;$Z$1,次果筐明细!$B$4:$B$603,"&lt;="&amp;$Z$2)-SUM($I20:$L20))</f>
        <v/>
      </c>
      <c r="N20" s="62" t="str">
        <f t="shared" si="2"/>
        <v/>
      </c>
      <c r="O20" s="39" t="str">
        <f t="shared" si="3"/>
        <v/>
      </c>
      <c r="P20" s="30" t="str">
        <f>IF($B20="","",ROUND(SUMIFS(次果筐明细!$L$4:$L$603,次果筐明细!$C$4:$C$603,$B20,次果筐明细!$B$4:$B$603,"&gt;="&amp;$Z$1,次果筐明细!$B$4:$B$603,"&lt;="&amp;$Z$2),2))</f>
        <v/>
      </c>
      <c r="Q20" s="30" t="str">
        <f>IF($B20="","",ROUND(SUMIFS(次果筐明细!$L$4:$L$603,次果筐明细!$C$4:$C$603,$B20,次果筐明细!$M$4:$M$603,"已收讫",次果筐明细!$B$4:$B$603,"&gt;="&amp;$Z$1,次果筐明细!$B$4:$B$603,"&lt;="&amp;$Z$2),2))</f>
        <v/>
      </c>
      <c r="R20" s="30" t="str">
        <f t="shared" si="4"/>
        <v/>
      </c>
      <c r="S20" s="30" t="str">
        <f>IF($B20="","",ROUND(SUMIFS(次果筐明细!$J$4:$J$603,次果筐明细!$C$4:$C$603,$B20,次果筐明细!$B$4:$B$603,"&gt;="&amp;$Z$1,次果筐明细!$B$4:$B$603,"&lt;="&amp;$Z$2),2))</f>
        <v/>
      </c>
      <c r="T20" s="63" t="str">
        <f>IF($B20="","",ROUND(SUMIFS(次果筐明细!$K$4:$K$603,次果筐明细!$C$4:$C$603,$B20,次果筐明细!$B$4:$B$603,"&gt;="&amp;$Z$1,次果筐明细!$B$4:$B$603,"&lt;="&amp;$Z$2),2))</f>
        <v/>
      </c>
      <c r="U20" s="30" t="str">
        <f t="shared" si="5"/>
        <v/>
      </c>
      <c r="V20" s="42"/>
    </row>
    <row r="21" spans="1:22">
      <c r="A21" s="24" t="str">
        <f t="shared" si="0"/>
        <v/>
      </c>
      <c r="B21" s="37" t="str">
        <f>IFERROR(INDEX(_自动清单!$AY$4:$AY$203,ROW()-3),"")</f>
        <v/>
      </c>
      <c r="C21" s="39" t="str">
        <f>IF(OR($B21="",_自动清单!$AS$4=""),"",SUMIFS(次果筐明细!$G$4:$G$603,次果筐明细!$C$4:$C$603,$B21,次果筐明细!$D$4:$D$603,_自动清单!$AS$4,次果筐明细!$F$4:$F$603,"*出库*",次果筐明细!$B$4:$B$603,"&gt;="&amp;$Z$1,次果筐明细!$B$4:$B$603,"&lt;="&amp;$Z$2))</f>
        <v/>
      </c>
      <c r="D21" s="39" t="str">
        <f>IF(OR($B21="",_自动清单!$AS$5=""),"",SUMIFS(次果筐明细!$G$4:$G$603,次果筐明细!$C$4:$C$603,$B21,次果筐明细!$D$4:$D$603,_自动清单!$AS$5,次果筐明细!$F$4:$F$603,"*出库*",次果筐明细!$B$4:$B$603,"&gt;="&amp;$Z$1,次果筐明细!$B$4:$B$603,"&lt;="&amp;$Z$2))</f>
        <v/>
      </c>
      <c r="E21" s="39" t="str">
        <f>IF(OR($B21="",_自动清单!$AS$6=""),"",SUMIFS(次果筐明细!$G$4:$G$603,次果筐明细!$C$4:$C$603,$B21,次果筐明细!$D$4:$D$603,_自动清单!$AS$6,次果筐明细!$F$4:$F$603,"*出库*",次果筐明细!$B$4:$B$603,"&gt;="&amp;$Z$1,次果筐明细!$B$4:$B$603,"&lt;="&amp;$Z$2))</f>
        <v/>
      </c>
      <c r="F21" s="39" t="str">
        <f>IF(OR($B21="",_自动清单!$AS$7=""),"",SUMIFS(次果筐明细!$G$4:$G$603,次果筐明细!$C$4:$C$603,$B21,次果筐明细!$D$4:$D$603,_自动清单!$AS$7,次果筐明细!$F$4:$F$603,"*出库*",次果筐明细!$B$4:$B$603,"&gt;="&amp;$Z$1,次果筐明细!$B$4:$B$603,"&lt;="&amp;$Z$2))</f>
        <v/>
      </c>
      <c r="G21" s="39" t="str">
        <f>IF($B21="","",SUMIFS(次果筐明细!$G$4:$G$603,次果筐明细!$C$4:$C$603,$B21,次果筐明细!$F$4:$F$603,"*出库*",次果筐明细!$B$4:$B$603,"&gt;="&amp;$Z$1,次果筐明细!$B$4:$B$603,"&lt;="&amp;$Z$2)-SUM($C21:$F21))</f>
        <v/>
      </c>
      <c r="H21" s="39" t="str">
        <f t="shared" si="1"/>
        <v/>
      </c>
      <c r="I21" s="39" t="str">
        <f>IF(OR($B21="",_自动清单!$AS$4=""),"",SUMIFS(次果筐明细!$G$4:$G$603,次果筐明细!$C$4:$C$603,$B21,次果筐明细!$D$4:$D$603,_自动清单!$AS$4,次果筐明细!$F$4:$F$603,"*入库*",次果筐明细!$B$4:$B$603,"&gt;="&amp;$Z$1,次果筐明细!$B$4:$B$603,"&lt;="&amp;$Z$2))</f>
        <v/>
      </c>
      <c r="J21" s="39" t="str">
        <f>IF(OR($B21="",_自动清单!$AS$5=""),"",SUMIFS(次果筐明细!$G$4:$G$603,次果筐明细!$C$4:$C$603,$B21,次果筐明细!$D$4:$D$603,_自动清单!$AS$5,次果筐明细!$F$4:$F$603,"*入库*",次果筐明细!$B$4:$B$603,"&gt;="&amp;$Z$1,次果筐明细!$B$4:$B$603,"&lt;="&amp;$Z$2))</f>
        <v/>
      </c>
      <c r="K21" s="39" t="str">
        <f>IF(OR($B21="",_自动清单!$AS$6=""),"",SUMIFS(次果筐明细!$G$4:$G$603,次果筐明细!$C$4:$C$603,$B21,次果筐明细!$D$4:$D$603,_自动清单!$AS$6,次果筐明细!$F$4:$F$603,"*入库*",次果筐明细!$B$4:$B$603,"&gt;="&amp;$Z$1,次果筐明细!$B$4:$B$603,"&lt;="&amp;$Z$2))</f>
        <v/>
      </c>
      <c r="L21" s="39" t="str">
        <f>IF(OR($B21="",_自动清单!$AS$7=""),"",SUMIFS(次果筐明细!$G$4:$G$603,次果筐明细!$C$4:$C$603,$B21,次果筐明细!$D$4:$D$603,_自动清单!$AS$7,次果筐明细!$F$4:$F$603,"*入库*",次果筐明细!$B$4:$B$603,"&gt;="&amp;$Z$1,次果筐明细!$B$4:$B$603,"&lt;="&amp;$Z$2))</f>
        <v/>
      </c>
      <c r="M21" s="62" t="str">
        <f>IF($B21="","",SUMIFS(次果筐明细!$G$4:$G$603,次果筐明细!$C$4:$C$603,$B21,次果筐明细!$F$4:$F$603,"*入库*",次果筐明细!$B$4:$B$603,"&gt;="&amp;$Z$1,次果筐明细!$B$4:$B$603,"&lt;="&amp;$Z$2)-SUM($I21:$L21))</f>
        <v/>
      </c>
      <c r="N21" s="62" t="str">
        <f t="shared" si="2"/>
        <v/>
      </c>
      <c r="O21" s="39" t="str">
        <f t="shared" si="3"/>
        <v/>
      </c>
      <c r="P21" s="30" t="str">
        <f>IF($B21="","",ROUND(SUMIFS(次果筐明细!$L$4:$L$603,次果筐明细!$C$4:$C$603,$B21,次果筐明细!$B$4:$B$603,"&gt;="&amp;$Z$1,次果筐明细!$B$4:$B$603,"&lt;="&amp;$Z$2),2))</f>
        <v/>
      </c>
      <c r="Q21" s="30" t="str">
        <f>IF($B21="","",ROUND(SUMIFS(次果筐明细!$L$4:$L$603,次果筐明细!$C$4:$C$603,$B21,次果筐明细!$M$4:$M$603,"已收讫",次果筐明细!$B$4:$B$603,"&gt;="&amp;$Z$1,次果筐明细!$B$4:$B$603,"&lt;="&amp;$Z$2),2))</f>
        <v/>
      </c>
      <c r="R21" s="30" t="str">
        <f t="shared" si="4"/>
        <v/>
      </c>
      <c r="S21" s="30" t="str">
        <f>IF($B21="","",ROUND(SUMIFS(次果筐明细!$J$4:$J$603,次果筐明细!$C$4:$C$603,$B21,次果筐明细!$B$4:$B$603,"&gt;="&amp;$Z$1,次果筐明细!$B$4:$B$603,"&lt;="&amp;$Z$2),2))</f>
        <v/>
      </c>
      <c r="T21" s="63" t="str">
        <f>IF($B21="","",ROUND(SUMIFS(次果筐明细!$K$4:$K$603,次果筐明细!$C$4:$C$603,$B21,次果筐明细!$B$4:$B$603,"&gt;="&amp;$Z$1,次果筐明细!$B$4:$B$603,"&lt;="&amp;$Z$2),2))</f>
        <v/>
      </c>
      <c r="U21" s="30" t="str">
        <f t="shared" si="5"/>
        <v/>
      </c>
      <c r="V21" s="42"/>
    </row>
    <row r="22" spans="1:22">
      <c r="A22" s="24" t="str">
        <f t="shared" si="0"/>
        <v/>
      </c>
      <c r="B22" s="37" t="str">
        <f>IFERROR(INDEX(_自动清单!$AY$4:$AY$203,ROW()-3),"")</f>
        <v/>
      </c>
      <c r="C22" s="39" t="str">
        <f>IF(OR($B22="",_自动清单!$AS$4=""),"",SUMIFS(次果筐明细!$G$4:$G$603,次果筐明细!$C$4:$C$603,$B22,次果筐明细!$D$4:$D$603,_自动清单!$AS$4,次果筐明细!$F$4:$F$603,"*出库*",次果筐明细!$B$4:$B$603,"&gt;="&amp;$Z$1,次果筐明细!$B$4:$B$603,"&lt;="&amp;$Z$2))</f>
        <v/>
      </c>
      <c r="D22" s="39" t="str">
        <f>IF(OR($B22="",_自动清单!$AS$5=""),"",SUMIFS(次果筐明细!$G$4:$G$603,次果筐明细!$C$4:$C$603,$B22,次果筐明细!$D$4:$D$603,_自动清单!$AS$5,次果筐明细!$F$4:$F$603,"*出库*",次果筐明细!$B$4:$B$603,"&gt;="&amp;$Z$1,次果筐明细!$B$4:$B$603,"&lt;="&amp;$Z$2))</f>
        <v/>
      </c>
      <c r="E22" s="39" t="str">
        <f>IF(OR($B22="",_自动清单!$AS$6=""),"",SUMIFS(次果筐明细!$G$4:$G$603,次果筐明细!$C$4:$C$603,$B22,次果筐明细!$D$4:$D$603,_自动清单!$AS$6,次果筐明细!$F$4:$F$603,"*出库*",次果筐明细!$B$4:$B$603,"&gt;="&amp;$Z$1,次果筐明细!$B$4:$B$603,"&lt;="&amp;$Z$2))</f>
        <v/>
      </c>
      <c r="F22" s="39" t="str">
        <f>IF(OR($B22="",_自动清单!$AS$7=""),"",SUMIFS(次果筐明细!$G$4:$G$603,次果筐明细!$C$4:$C$603,$B22,次果筐明细!$D$4:$D$603,_自动清单!$AS$7,次果筐明细!$F$4:$F$603,"*出库*",次果筐明细!$B$4:$B$603,"&gt;="&amp;$Z$1,次果筐明细!$B$4:$B$603,"&lt;="&amp;$Z$2))</f>
        <v/>
      </c>
      <c r="G22" s="39" t="str">
        <f>IF($B22="","",SUMIFS(次果筐明细!$G$4:$G$603,次果筐明细!$C$4:$C$603,$B22,次果筐明细!$F$4:$F$603,"*出库*",次果筐明细!$B$4:$B$603,"&gt;="&amp;$Z$1,次果筐明细!$B$4:$B$603,"&lt;="&amp;$Z$2)-SUM($C22:$F22))</f>
        <v/>
      </c>
      <c r="H22" s="39" t="str">
        <f t="shared" si="1"/>
        <v/>
      </c>
      <c r="I22" s="39" t="str">
        <f>IF(OR($B22="",_自动清单!$AS$4=""),"",SUMIFS(次果筐明细!$G$4:$G$603,次果筐明细!$C$4:$C$603,$B22,次果筐明细!$D$4:$D$603,_自动清单!$AS$4,次果筐明细!$F$4:$F$603,"*入库*",次果筐明细!$B$4:$B$603,"&gt;="&amp;$Z$1,次果筐明细!$B$4:$B$603,"&lt;="&amp;$Z$2))</f>
        <v/>
      </c>
      <c r="J22" s="39" t="str">
        <f>IF(OR($B22="",_自动清单!$AS$5=""),"",SUMIFS(次果筐明细!$G$4:$G$603,次果筐明细!$C$4:$C$603,$B22,次果筐明细!$D$4:$D$603,_自动清单!$AS$5,次果筐明细!$F$4:$F$603,"*入库*",次果筐明细!$B$4:$B$603,"&gt;="&amp;$Z$1,次果筐明细!$B$4:$B$603,"&lt;="&amp;$Z$2))</f>
        <v/>
      </c>
      <c r="K22" s="39" t="str">
        <f>IF(OR($B22="",_自动清单!$AS$6=""),"",SUMIFS(次果筐明细!$G$4:$G$603,次果筐明细!$C$4:$C$603,$B22,次果筐明细!$D$4:$D$603,_自动清单!$AS$6,次果筐明细!$F$4:$F$603,"*入库*",次果筐明细!$B$4:$B$603,"&gt;="&amp;$Z$1,次果筐明细!$B$4:$B$603,"&lt;="&amp;$Z$2))</f>
        <v/>
      </c>
      <c r="L22" s="39" t="str">
        <f>IF(OR($B22="",_自动清单!$AS$7=""),"",SUMIFS(次果筐明细!$G$4:$G$603,次果筐明细!$C$4:$C$603,$B22,次果筐明细!$D$4:$D$603,_自动清单!$AS$7,次果筐明细!$F$4:$F$603,"*入库*",次果筐明细!$B$4:$B$603,"&gt;="&amp;$Z$1,次果筐明细!$B$4:$B$603,"&lt;="&amp;$Z$2))</f>
        <v/>
      </c>
      <c r="M22" s="62" t="str">
        <f>IF($B22="","",SUMIFS(次果筐明细!$G$4:$G$603,次果筐明细!$C$4:$C$603,$B22,次果筐明细!$F$4:$F$603,"*入库*",次果筐明细!$B$4:$B$603,"&gt;="&amp;$Z$1,次果筐明细!$B$4:$B$603,"&lt;="&amp;$Z$2)-SUM($I22:$L22))</f>
        <v/>
      </c>
      <c r="N22" s="62" t="str">
        <f t="shared" si="2"/>
        <v/>
      </c>
      <c r="O22" s="39" t="str">
        <f t="shared" si="3"/>
        <v/>
      </c>
      <c r="P22" s="30" t="str">
        <f>IF($B22="","",ROUND(SUMIFS(次果筐明细!$L$4:$L$603,次果筐明细!$C$4:$C$603,$B22,次果筐明细!$B$4:$B$603,"&gt;="&amp;$Z$1,次果筐明细!$B$4:$B$603,"&lt;="&amp;$Z$2),2))</f>
        <v/>
      </c>
      <c r="Q22" s="30" t="str">
        <f>IF($B22="","",ROUND(SUMIFS(次果筐明细!$L$4:$L$603,次果筐明细!$C$4:$C$603,$B22,次果筐明细!$M$4:$M$603,"已收讫",次果筐明细!$B$4:$B$603,"&gt;="&amp;$Z$1,次果筐明细!$B$4:$B$603,"&lt;="&amp;$Z$2),2))</f>
        <v/>
      </c>
      <c r="R22" s="30" t="str">
        <f t="shared" si="4"/>
        <v/>
      </c>
      <c r="S22" s="30" t="str">
        <f>IF($B22="","",ROUND(SUMIFS(次果筐明细!$J$4:$J$603,次果筐明细!$C$4:$C$603,$B22,次果筐明细!$B$4:$B$603,"&gt;="&amp;$Z$1,次果筐明细!$B$4:$B$603,"&lt;="&amp;$Z$2),2))</f>
        <v/>
      </c>
      <c r="T22" s="63" t="str">
        <f>IF($B22="","",ROUND(SUMIFS(次果筐明细!$K$4:$K$603,次果筐明细!$C$4:$C$603,$B22,次果筐明细!$B$4:$B$603,"&gt;="&amp;$Z$1,次果筐明细!$B$4:$B$603,"&lt;="&amp;$Z$2),2))</f>
        <v/>
      </c>
      <c r="U22" s="30" t="str">
        <f t="shared" si="5"/>
        <v/>
      </c>
      <c r="V22" s="42"/>
    </row>
    <row r="23" spans="1:22">
      <c r="A23" s="24" t="str">
        <f t="shared" si="0"/>
        <v/>
      </c>
      <c r="B23" s="37" t="str">
        <f>IFERROR(INDEX(_自动清单!$AY$4:$AY$203,ROW()-3),"")</f>
        <v/>
      </c>
      <c r="C23" s="39" t="str">
        <f>IF(OR($B23="",_自动清单!$AS$4=""),"",SUMIFS(次果筐明细!$G$4:$G$603,次果筐明细!$C$4:$C$603,$B23,次果筐明细!$D$4:$D$603,_自动清单!$AS$4,次果筐明细!$F$4:$F$603,"*出库*",次果筐明细!$B$4:$B$603,"&gt;="&amp;$Z$1,次果筐明细!$B$4:$B$603,"&lt;="&amp;$Z$2))</f>
        <v/>
      </c>
      <c r="D23" s="39" t="str">
        <f>IF(OR($B23="",_自动清单!$AS$5=""),"",SUMIFS(次果筐明细!$G$4:$G$603,次果筐明细!$C$4:$C$603,$B23,次果筐明细!$D$4:$D$603,_自动清单!$AS$5,次果筐明细!$F$4:$F$603,"*出库*",次果筐明细!$B$4:$B$603,"&gt;="&amp;$Z$1,次果筐明细!$B$4:$B$603,"&lt;="&amp;$Z$2))</f>
        <v/>
      </c>
      <c r="E23" s="39" t="str">
        <f>IF(OR($B23="",_自动清单!$AS$6=""),"",SUMIFS(次果筐明细!$G$4:$G$603,次果筐明细!$C$4:$C$603,$B23,次果筐明细!$D$4:$D$603,_自动清单!$AS$6,次果筐明细!$F$4:$F$603,"*出库*",次果筐明细!$B$4:$B$603,"&gt;="&amp;$Z$1,次果筐明细!$B$4:$B$603,"&lt;="&amp;$Z$2))</f>
        <v/>
      </c>
      <c r="F23" s="39" t="str">
        <f>IF(OR($B23="",_自动清单!$AS$7=""),"",SUMIFS(次果筐明细!$G$4:$G$603,次果筐明细!$C$4:$C$603,$B23,次果筐明细!$D$4:$D$603,_自动清单!$AS$7,次果筐明细!$F$4:$F$603,"*出库*",次果筐明细!$B$4:$B$603,"&gt;="&amp;$Z$1,次果筐明细!$B$4:$B$603,"&lt;="&amp;$Z$2))</f>
        <v/>
      </c>
      <c r="G23" s="39" t="str">
        <f>IF($B23="","",SUMIFS(次果筐明细!$G$4:$G$603,次果筐明细!$C$4:$C$603,$B23,次果筐明细!$F$4:$F$603,"*出库*",次果筐明细!$B$4:$B$603,"&gt;="&amp;$Z$1,次果筐明细!$B$4:$B$603,"&lt;="&amp;$Z$2)-SUM($C23:$F23))</f>
        <v/>
      </c>
      <c r="H23" s="39" t="str">
        <f t="shared" si="1"/>
        <v/>
      </c>
      <c r="I23" s="39" t="str">
        <f>IF(OR($B23="",_自动清单!$AS$4=""),"",SUMIFS(次果筐明细!$G$4:$G$603,次果筐明细!$C$4:$C$603,$B23,次果筐明细!$D$4:$D$603,_自动清单!$AS$4,次果筐明细!$F$4:$F$603,"*入库*",次果筐明细!$B$4:$B$603,"&gt;="&amp;$Z$1,次果筐明细!$B$4:$B$603,"&lt;="&amp;$Z$2))</f>
        <v/>
      </c>
      <c r="J23" s="39" t="str">
        <f>IF(OR($B23="",_自动清单!$AS$5=""),"",SUMIFS(次果筐明细!$G$4:$G$603,次果筐明细!$C$4:$C$603,$B23,次果筐明细!$D$4:$D$603,_自动清单!$AS$5,次果筐明细!$F$4:$F$603,"*入库*",次果筐明细!$B$4:$B$603,"&gt;="&amp;$Z$1,次果筐明细!$B$4:$B$603,"&lt;="&amp;$Z$2))</f>
        <v/>
      </c>
      <c r="K23" s="39" t="str">
        <f>IF(OR($B23="",_自动清单!$AS$6=""),"",SUMIFS(次果筐明细!$G$4:$G$603,次果筐明细!$C$4:$C$603,$B23,次果筐明细!$D$4:$D$603,_自动清单!$AS$6,次果筐明细!$F$4:$F$603,"*入库*",次果筐明细!$B$4:$B$603,"&gt;="&amp;$Z$1,次果筐明细!$B$4:$B$603,"&lt;="&amp;$Z$2))</f>
        <v/>
      </c>
      <c r="L23" s="39" t="str">
        <f>IF(OR($B23="",_自动清单!$AS$7=""),"",SUMIFS(次果筐明细!$G$4:$G$603,次果筐明细!$C$4:$C$603,$B23,次果筐明细!$D$4:$D$603,_自动清单!$AS$7,次果筐明细!$F$4:$F$603,"*入库*",次果筐明细!$B$4:$B$603,"&gt;="&amp;$Z$1,次果筐明细!$B$4:$B$603,"&lt;="&amp;$Z$2))</f>
        <v/>
      </c>
      <c r="M23" s="62" t="str">
        <f>IF($B23="","",SUMIFS(次果筐明细!$G$4:$G$603,次果筐明细!$C$4:$C$603,$B23,次果筐明细!$F$4:$F$603,"*入库*",次果筐明细!$B$4:$B$603,"&gt;="&amp;$Z$1,次果筐明细!$B$4:$B$603,"&lt;="&amp;$Z$2)-SUM($I23:$L23))</f>
        <v/>
      </c>
      <c r="N23" s="62" t="str">
        <f t="shared" si="2"/>
        <v/>
      </c>
      <c r="O23" s="39" t="str">
        <f t="shared" si="3"/>
        <v/>
      </c>
      <c r="P23" s="30" t="str">
        <f>IF($B23="","",ROUND(SUMIFS(次果筐明细!$L$4:$L$603,次果筐明细!$C$4:$C$603,$B23,次果筐明细!$B$4:$B$603,"&gt;="&amp;$Z$1,次果筐明细!$B$4:$B$603,"&lt;="&amp;$Z$2),2))</f>
        <v/>
      </c>
      <c r="Q23" s="30" t="str">
        <f>IF($B23="","",ROUND(SUMIFS(次果筐明细!$L$4:$L$603,次果筐明细!$C$4:$C$603,$B23,次果筐明细!$M$4:$M$603,"已收讫",次果筐明细!$B$4:$B$603,"&gt;="&amp;$Z$1,次果筐明细!$B$4:$B$603,"&lt;="&amp;$Z$2),2))</f>
        <v/>
      </c>
      <c r="R23" s="30" t="str">
        <f t="shared" si="4"/>
        <v/>
      </c>
      <c r="S23" s="30" t="str">
        <f>IF($B23="","",ROUND(SUMIFS(次果筐明细!$J$4:$J$603,次果筐明细!$C$4:$C$603,$B23,次果筐明细!$B$4:$B$603,"&gt;="&amp;$Z$1,次果筐明细!$B$4:$B$603,"&lt;="&amp;$Z$2),2))</f>
        <v/>
      </c>
      <c r="T23" s="63" t="str">
        <f>IF($B23="","",ROUND(SUMIFS(次果筐明细!$K$4:$K$603,次果筐明细!$C$4:$C$603,$B23,次果筐明细!$B$4:$B$603,"&gt;="&amp;$Z$1,次果筐明细!$B$4:$B$603,"&lt;="&amp;$Z$2),2))</f>
        <v/>
      </c>
      <c r="U23" s="30" t="str">
        <f t="shared" si="5"/>
        <v/>
      </c>
      <c r="V23" s="42"/>
    </row>
    <row r="24" spans="1:22">
      <c r="A24" s="24" t="str">
        <f t="shared" si="0"/>
        <v/>
      </c>
      <c r="B24" s="37" t="str">
        <f>IFERROR(INDEX(_自动清单!$AY$4:$AY$203,ROW()-3),"")</f>
        <v/>
      </c>
      <c r="C24" s="39" t="str">
        <f>IF(OR($B24="",_自动清单!$AS$4=""),"",SUMIFS(次果筐明细!$G$4:$G$603,次果筐明细!$C$4:$C$603,$B24,次果筐明细!$D$4:$D$603,_自动清单!$AS$4,次果筐明细!$F$4:$F$603,"*出库*",次果筐明细!$B$4:$B$603,"&gt;="&amp;$Z$1,次果筐明细!$B$4:$B$603,"&lt;="&amp;$Z$2))</f>
        <v/>
      </c>
      <c r="D24" s="39" t="str">
        <f>IF(OR($B24="",_自动清单!$AS$5=""),"",SUMIFS(次果筐明细!$G$4:$G$603,次果筐明细!$C$4:$C$603,$B24,次果筐明细!$D$4:$D$603,_自动清单!$AS$5,次果筐明细!$F$4:$F$603,"*出库*",次果筐明细!$B$4:$B$603,"&gt;="&amp;$Z$1,次果筐明细!$B$4:$B$603,"&lt;="&amp;$Z$2))</f>
        <v/>
      </c>
      <c r="E24" s="39" t="str">
        <f>IF(OR($B24="",_自动清单!$AS$6=""),"",SUMIFS(次果筐明细!$G$4:$G$603,次果筐明细!$C$4:$C$603,$B24,次果筐明细!$D$4:$D$603,_自动清单!$AS$6,次果筐明细!$F$4:$F$603,"*出库*",次果筐明细!$B$4:$B$603,"&gt;="&amp;$Z$1,次果筐明细!$B$4:$B$603,"&lt;="&amp;$Z$2))</f>
        <v/>
      </c>
      <c r="F24" s="39" t="str">
        <f>IF(OR($B24="",_自动清单!$AS$7=""),"",SUMIFS(次果筐明细!$G$4:$G$603,次果筐明细!$C$4:$C$603,$B24,次果筐明细!$D$4:$D$603,_自动清单!$AS$7,次果筐明细!$F$4:$F$603,"*出库*",次果筐明细!$B$4:$B$603,"&gt;="&amp;$Z$1,次果筐明细!$B$4:$B$603,"&lt;="&amp;$Z$2))</f>
        <v/>
      </c>
      <c r="G24" s="39" t="str">
        <f>IF($B24="","",SUMIFS(次果筐明细!$G$4:$G$603,次果筐明细!$C$4:$C$603,$B24,次果筐明细!$F$4:$F$603,"*出库*",次果筐明细!$B$4:$B$603,"&gt;="&amp;$Z$1,次果筐明细!$B$4:$B$603,"&lt;="&amp;$Z$2)-SUM($C24:$F24))</f>
        <v/>
      </c>
      <c r="H24" s="39" t="str">
        <f t="shared" si="1"/>
        <v/>
      </c>
      <c r="I24" s="39" t="str">
        <f>IF(OR($B24="",_自动清单!$AS$4=""),"",SUMIFS(次果筐明细!$G$4:$G$603,次果筐明细!$C$4:$C$603,$B24,次果筐明细!$D$4:$D$603,_自动清单!$AS$4,次果筐明细!$F$4:$F$603,"*入库*",次果筐明细!$B$4:$B$603,"&gt;="&amp;$Z$1,次果筐明细!$B$4:$B$603,"&lt;="&amp;$Z$2))</f>
        <v/>
      </c>
      <c r="J24" s="39" t="str">
        <f>IF(OR($B24="",_自动清单!$AS$5=""),"",SUMIFS(次果筐明细!$G$4:$G$603,次果筐明细!$C$4:$C$603,$B24,次果筐明细!$D$4:$D$603,_自动清单!$AS$5,次果筐明细!$F$4:$F$603,"*入库*",次果筐明细!$B$4:$B$603,"&gt;="&amp;$Z$1,次果筐明细!$B$4:$B$603,"&lt;="&amp;$Z$2))</f>
        <v/>
      </c>
      <c r="K24" s="39" t="str">
        <f>IF(OR($B24="",_自动清单!$AS$6=""),"",SUMIFS(次果筐明细!$G$4:$G$603,次果筐明细!$C$4:$C$603,$B24,次果筐明细!$D$4:$D$603,_自动清单!$AS$6,次果筐明细!$F$4:$F$603,"*入库*",次果筐明细!$B$4:$B$603,"&gt;="&amp;$Z$1,次果筐明细!$B$4:$B$603,"&lt;="&amp;$Z$2))</f>
        <v/>
      </c>
      <c r="L24" s="39" t="str">
        <f>IF(OR($B24="",_自动清单!$AS$7=""),"",SUMIFS(次果筐明细!$G$4:$G$603,次果筐明细!$C$4:$C$603,$B24,次果筐明细!$D$4:$D$603,_自动清单!$AS$7,次果筐明细!$F$4:$F$603,"*入库*",次果筐明细!$B$4:$B$603,"&gt;="&amp;$Z$1,次果筐明细!$B$4:$B$603,"&lt;="&amp;$Z$2))</f>
        <v/>
      </c>
      <c r="M24" s="62" t="str">
        <f>IF($B24="","",SUMIFS(次果筐明细!$G$4:$G$603,次果筐明细!$C$4:$C$603,$B24,次果筐明细!$F$4:$F$603,"*入库*",次果筐明细!$B$4:$B$603,"&gt;="&amp;$Z$1,次果筐明细!$B$4:$B$603,"&lt;="&amp;$Z$2)-SUM($I24:$L24))</f>
        <v/>
      </c>
      <c r="N24" s="62" t="str">
        <f t="shared" si="2"/>
        <v/>
      </c>
      <c r="O24" s="39" t="str">
        <f t="shared" si="3"/>
        <v/>
      </c>
      <c r="P24" s="30" t="str">
        <f>IF($B24="","",ROUND(SUMIFS(次果筐明细!$L$4:$L$603,次果筐明细!$C$4:$C$603,$B24,次果筐明细!$B$4:$B$603,"&gt;="&amp;$Z$1,次果筐明细!$B$4:$B$603,"&lt;="&amp;$Z$2),2))</f>
        <v/>
      </c>
      <c r="Q24" s="30" t="str">
        <f>IF($B24="","",ROUND(SUMIFS(次果筐明细!$L$4:$L$603,次果筐明细!$C$4:$C$603,$B24,次果筐明细!$M$4:$M$603,"已收讫",次果筐明细!$B$4:$B$603,"&gt;="&amp;$Z$1,次果筐明细!$B$4:$B$603,"&lt;="&amp;$Z$2),2))</f>
        <v/>
      </c>
      <c r="R24" s="30" t="str">
        <f t="shared" si="4"/>
        <v/>
      </c>
      <c r="S24" s="30" t="str">
        <f>IF($B24="","",ROUND(SUMIFS(次果筐明细!$J$4:$J$603,次果筐明细!$C$4:$C$603,$B24,次果筐明细!$B$4:$B$603,"&gt;="&amp;$Z$1,次果筐明细!$B$4:$B$603,"&lt;="&amp;$Z$2),2))</f>
        <v/>
      </c>
      <c r="T24" s="63" t="str">
        <f>IF($B24="","",ROUND(SUMIFS(次果筐明细!$K$4:$K$603,次果筐明细!$C$4:$C$603,$B24,次果筐明细!$B$4:$B$603,"&gt;="&amp;$Z$1,次果筐明细!$B$4:$B$603,"&lt;="&amp;$Z$2),2))</f>
        <v/>
      </c>
      <c r="U24" s="30" t="str">
        <f t="shared" si="5"/>
        <v/>
      </c>
      <c r="V24" s="42"/>
    </row>
    <row r="25" spans="1:22">
      <c r="A25" s="24" t="str">
        <f t="shared" si="0"/>
        <v/>
      </c>
      <c r="B25" s="37" t="str">
        <f>IFERROR(INDEX(_自动清单!$AY$4:$AY$203,ROW()-3),"")</f>
        <v/>
      </c>
      <c r="C25" s="39" t="str">
        <f>IF(OR($B25="",_自动清单!$AS$4=""),"",SUMIFS(次果筐明细!$G$4:$G$603,次果筐明细!$C$4:$C$603,$B25,次果筐明细!$D$4:$D$603,_自动清单!$AS$4,次果筐明细!$F$4:$F$603,"*出库*",次果筐明细!$B$4:$B$603,"&gt;="&amp;$Z$1,次果筐明细!$B$4:$B$603,"&lt;="&amp;$Z$2))</f>
        <v/>
      </c>
      <c r="D25" s="39" t="str">
        <f>IF(OR($B25="",_自动清单!$AS$5=""),"",SUMIFS(次果筐明细!$G$4:$G$603,次果筐明细!$C$4:$C$603,$B25,次果筐明细!$D$4:$D$603,_自动清单!$AS$5,次果筐明细!$F$4:$F$603,"*出库*",次果筐明细!$B$4:$B$603,"&gt;="&amp;$Z$1,次果筐明细!$B$4:$B$603,"&lt;="&amp;$Z$2))</f>
        <v/>
      </c>
      <c r="E25" s="39" t="str">
        <f>IF(OR($B25="",_自动清单!$AS$6=""),"",SUMIFS(次果筐明细!$G$4:$G$603,次果筐明细!$C$4:$C$603,$B25,次果筐明细!$D$4:$D$603,_自动清单!$AS$6,次果筐明细!$F$4:$F$603,"*出库*",次果筐明细!$B$4:$B$603,"&gt;="&amp;$Z$1,次果筐明细!$B$4:$B$603,"&lt;="&amp;$Z$2))</f>
        <v/>
      </c>
      <c r="F25" s="39" t="str">
        <f>IF(OR($B25="",_自动清单!$AS$7=""),"",SUMIFS(次果筐明细!$G$4:$G$603,次果筐明细!$C$4:$C$603,$B25,次果筐明细!$D$4:$D$603,_自动清单!$AS$7,次果筐明细!$F$4:$F$603,"*出库*",次果筐明细!$B$4:$B$603,"&gt;="&amp;$Z$1,次果筐明细!$B$4:$B$603,"&lt;="&amp;$Z$2))</f>
        <v/>
      </c>
      <c r="G25" s="39" t="str">
        <f>IF($B25="","",SUMIFS(次果筐明细!$G$4:$G$603,次果筐明细!$C$4:$C$603,$B25,次果筐明细!$F$4:$F$603,"*出库*",次果筐明细!$B$4:$B$603,"&gt;="&amp;$Z$1,次果筐明细!$B$4:$B$603,"&lt;="&amp;$Z$2)-SUM($C25:$F25))</f>
        <v/>
      </c>
      <c r="H25" s="39" t="str">
        <f t="shared" si="1"/>
        <v/>
      </c>
      <c r="I25" s="39" t="str">
        <f>IF(OR($B25="",_自动清单!$AS$4=""),"",SUMIFS(次果筐明细!$G$4:$G$603,次果筐明细!$C$4:$C$603,$B25,次果筐明细!$D$4:$D$603,_自动清单!$AS$4,次果筐明细!$F$4:$F$603,"*入库*",次果筐明细!$B$4:$B$603,"&gt;="&amp;$Z$1,次果筐明细!$B$4:$B$603,"&lt;="&amp;$Z$2))</f>
        <v/>
      </c>
      <c r="J25" s="39" t="str">
        <f>IF(OR($B25="",_自动清单!$AS$5=""),"",SUMIFS(次果筐明细!$G$4:$G$603,次果筐明细!$C$4:$C$603,$B25,次果筐明细!$D$4:$D$603,_自动清单!$AS$5,次果筐明细!$F$4:$F$603,"*入库*",次果筐明细!$B$4:$B$603,"&gt;="&amp;$Z$1,次果筐明细!$B$4:$B$603,"&lt;="&amp;$Z$2))</f>
        <v/>
      </c>
      <c r="K25" s="39" t="str">
        <f>IF(OR($B25="",_自动清单!$AS$6=""),"",SUMIFS(次果筐明细!$G$4:$G$603,次果筐明细!$C$4:$C$603,$B25,次果筐明细!$D$4:$D$603,_自动清单!$AS$6,次果筐明细!$F$4:$F$603,"*入库*",次果筐明细!$B$4:$B$603,"&gt;="&amp;$Z$1,次果筐明细!$B$4:$B$603,"&lt;="&amp;$Z$2))</f>
        <v/>
      </c>
      <c r="L25" s="39" t="str">
        <f>IF(OR($B25="",_自动清单!$AS$7=""),"",SUMIFS(次果筐明细!$G$4:$G$603,次果筐明细!$C$4:$C$603,$B25,次果筐明细!$D$4:$D$603,_自动清单!$AS$7,次果筐明细!$F$4:$F$603,"*入库*",次果筐明细!$B$4:$B$603,"&gt;="&amp;$Z$1,次果筐明细!$B$4:$B$603,"&lt;="&amp;$Z$2))</f>
        <v/>
      </c>
      <c r="M25" s="62" t="str">
        <f>IF($B25="","",SUMIFS(次果筐明细!$G$4:$G$603,次果筐明细!$C$4:$C$603,$B25,次果筐明细!$F$4:$F$603,"*入库*",次果筐明细!$B$4:$B$603,"&gt;="&amp;$Z$1,次果筐明细!$B$4:$B$603,"&lt;="&amp;$Z$2)-SUM($I25:$L25))</f>
        <v/>
      </c>
      <c r="N25" s="62" t="str">
        <f t="shared" si="2"/>
        <v/>
      </c>
      <c r="O25" s="39" t="str">
        <f t="shared" si="3"/>
        <v/>
      </c>
      <c r="P25" s="30" t="str">
        <f>IF($B25="","",ROUND(SUMIFS(次果筐明细!$L$4:$L$603,次果筐明细!$C$4:$C$603,$B25,次果筐明细!$B$4:$B$603,"&gt;="&amp;$Z$1,次果筐明细!$B$4:$B$603,"&lt;="&amp;$Z$2),2))</f>
        <v/>
      </c>
      <c r="Q25" s="30" t="str">
        <f>IF($B25="","",ROUND(SUMIFS(次果筐明细!$L$4:$L$603,次果筐明细!$C$4:$C$603,$B25,次果筐明细!$M$4:$M$603,"已收讫",次果筐明细!$B$4:$B$603,"&gt;="&amp;$Z$1,次果筐明细!$B$4:$B$603,"&lt;="&amp;$Z$2),2))</f>
        <v/>
      </c>
      <c r="R25" s="30" t="str">
        <f t="shared" si="4"/>
        <v/>
      </c>
      <c r="S25" s="30" t="str">
        <f>IF($B25="","",ROUND(SUMIFS(次果筐明细!$J$4:$J$603,次果筐明细!$C$4:$C$603,$B25,次果筐明细!$B$4:$B$603,"&gt;="&amp;$Z$1,次果筐明细!$B$4:$B$603,"&lt;="&amp;$Z$2),2))</f>
        <v/>
      </c>
      <c r="T25" s="63" t="str">
        <f>IF($B25="","",ROUND(SUMIFS(次果筐明细!$K$4:$K$603,次果筐明细!$C$4:$C$603,$B25,次果筐明细!$B$4:$B$603,"&gt;="&amp;$Z$1,次果筐明细!$B$4:$B$603,"&lt;="&amp;$Z$2),2))</f>
        <v/>
      </c>
      <c r="U25" s="30" t="str">
        <f t="shared" si="5"/>
        <v/>
      </c>
      <c r="V25" s="42"/>
    </row>
    <row r="26" spans="1:22">
      <c r="A26" s="24" t="str">
        <f t="shared" si="0"/>
        <v/>
      </c>
      <c r="B26" s="37" t="str">
        <f>IFERROR(INDEX(_自动清单!$AY$4:$AY$203,ROW()-3),"")</f>
        <v/>
      </c>
      <c r="C26" s="39" t="str">
        <f>IF(OR($B26="",_自动清单!$AS$4=""),"",SUMIFS(次果筐明细!$G$4:$G$603,次果筐明细!$C$4:$C$603,$B26,次果筐明细!$D$4:$D$603,_自动清单!$AS$4,次果筐明细!$F$4:$F$603,"*出库*",次果筐明细!$B$4:$B$603,"&gt;="&amp;$Z$1,次果筐明细!$B$4:$B$603,"&lt;="&amp;$Z$2))</f>
        <v/>
      </c>
      <c r="D26" s="39" t="str">
        <f>IF(OR($B26="",_自动清单!$AS$5=""),"",SUMIFS(次果筐明细!$G$4:$G$603,次果筐明细!$C$4:$C$603,$B26,次果筐明细!$D$4:$D$603,_自动清单!$AS$5,次果筐明细!$F$4:$F$603,"*出库*",次果筐明细!$B$4:$B$603,"&gt;="&amp;$Z$1,次果筐明细!$B$4:$B$603,"&lt;="&amp;$Z$2))</f>
        <v/>
      </c>
      <c r="E26" s="39" t="str">
        <f>IF(OR($B26="",_自动清单!$AS$6=""),"",SUMIFS(次果筐明细!$G$4:$G$603,次果筐明细!$C$4:$C$603,$B26,次果筐明细!$D$4:$D$603,_自动清单!$AS$6,次果筐明细!$F$4:$F$603,"*出库*",次果筐明细!$B$4:$B$603,"&gt;="&amp;$Z$1,次果筐明细!$B$4:$B$603,"&lt;="&amp;$Z$2))</f>
        <v/>
      </c>
      <c r="F26" s="39" t="str">
        <f>IF(OR($B26="",_自动清单!$AS$7=""),"",SUMIFS(次果筐明细!$G$4:$G$603,次果筐明细!$C$4:$C$603,$B26,次果筐明细!$D$4:$D$603,_自动清单!$AS$7,次果筐明细!$F$4:$F$603,"*出库*",次果筐明细!$B$4:$B$603,"&gt;="&amp;$Z$1,次果筐明细!$B$4:$B$603,"&lt;="&amp;$Z$2))</f>
        <v/>
      </c>
      <c r="G26" s="39" t="str">
        <f>IF($B26="","",SUMIFS(次果筐明细!$G$4:$G$603,次果筐明细!$C$4:$C$603,$B26,次果筐明细!$F$4:$F$603,"*出库*",次果筐明细!$B$4:$B$603,"&gt;="&amp;$Z$1,次果筐明细!$B$4:$B$603,"&lt;="&amp;$Z$2)-SUM($C26:$F26))</f>
        <v/>
      </c>
      <c r="H26" s="39" t="str">
        <f t="shared" si="1"/>
        <v/>
      </c>
      <c r="I26" s="39" t="str">
        <f>IF(OR($B26="",_自动清单!$AS$4=""),"",SUMIFS(次果筐明细!$G$4:$G$603,次果筐明细!$C$4:$C$603,$B26,次果筐明细!$D$4:$D$603,_自动清单!$AS$4,次果筐明细!$F$4:$F$603,"*入库*",次果筐明细!$B$4:$B$603,"&gt;="&amp;$Z$1,次果筐明细!$B$4:$B$603,"&lt;="&amp;$Z$2))</f>
        <v/>
      </c>
      <c r="J26" s="39" t="str">
        <f>IF(OR($B26="",_自动清单!$AS$5=""),"",SUMIFS(次果筐明细!$G$4:$G$603,次果筐明细!$C$4:$C$603,$B26,次果筐明细!$D$4:$D$603,_自动清单!$AS$5,次果筐明细!$F$4:$F$603,"*入库*",次果筐明细!$B$4:$B$603,"&gt;="&amp;$Z$1,次果筐明细!$B$4:$B$603,"&lt;="&amp;$Z$2))</f>
        <v/>
      </c>
      <c r="K26" s="39" t="str">
        <f>IF(OR($B26="",_自动清单!$AS$6=""),"",SUMIFS(次果筐明细!$G$4:$G$603,次果筐明细!$C$4:$C$603,$B26,次果筐明细!$D$4:$D$603,_自动清单!$AS$6,次果筐明细!$F$4:$F$603,"*入库*",次果筐明细!$B$4:$B$603,"&gt;="&amp;$Z$1,次果筐明细!$B$4:$B$603,"&lt;="&amp;$Z$2))</f>
        <v/>
      </c>
      <c r="L26" s="39" t="str">
        <f>IF(OR($B26="",_自动清单!$AS$7=""),"",SUMIFS(次果筐明细!$G$4:$G$603,次果筐明细!$C$4:$C$603,$B26,次果筐明细!$D$4:$D$603,_自动清单!$AS$7,次果筐明细!$F$4:$F$603,"*入库*",次果筐明细!$B$4:$B$603,"&gt;="&amp;$Z$1,次果筐明细!$B$4:$B$603,"&lt;="&amp;$Z$2))</f>
        <v/>
      </c>
      <c r="M26" s="62" t="str">
        <f>IF($B26="","",SUMIFS(次果筐明细!$G$4:$G$603,次果筐明细!$C$4:$C$603,$B26,次果筐明细!$F$4:$F$603,"*入库*",次果筐明细!$B$4:$B$603,"&gt;="&amp;$Z$1,次果筐明细!$B$4:$B$603,"&lt;="&amp;$Z$2)-SUM($I26:$L26))</f>
        <v/>
      </c>
      <c r="N26" s="62" t="str">
        <f t="shared" si="2"/>
        <v/>
      </c>
      <c r="O26" s="39" t="str">
        <f t="shared" si="3"/>
        <v/>
      </c>
      <c r="P26" s="30" t="str">
        <f>IF($B26="","",ROUND(SUMIFS(次果筐明细!$L$4:$L$603,次果筐明细!$C$4:$C$603,$B26,次果筐明细!$B$4:$B$603,"&gt;="&amp;$Z$1,次果筐明细!$B$4:$B$603,"&lt;="&amp;$Z$2),2))</f>
        <v/>
      </c>
      <c r="Q26" s="30" t="str">
        <f>IF($B26="","",ROUND(SUMIFS(次果筐明细!$L$4:$L$603,次果筐明细!$C$4:$C$603,$B26,次果筐明细!$M$4:$M$603,"已收讫",次果筐明细!$B$4:$B$603,"&gt;="&amp;$Z$1,次果筐明细!$B$4:$B$603,"&lt;="&amp;$Z$2),2))</f>
        <v/>
      </c>
      <c r="R26" s="30" t="str">
        <f t="shared" si="4"/>
        <v/>
      </c>
      <c r="S26" s="30" t="str">
        <f>IF($B26="","",ROUND(SUMIFS(次果筐明细!$J$4:$J$603,次果筐明细!$C$4:$C$603,$B26,次果筐明细!$B$4:$B$603,"&gt;="&amp;$Z$1,次果筐明细!$B$4:$B$603,"&lt;="&amp;$Z$2),2))</f>
        <v/>
      </c>
      <c r="T26" s="63" t="str">
        <f>IF($B26="","",ROUND(SUMIFS(次果筐明细!$K$4:$K$603,次果筐明细!$C$4:$C$603,$B26,次果筐明细!$B$4:$B$603,"&gt;="&amp;$Z$1,次果筐明细!$B$4:$B$603,"&lt;="&amp;$Z$2),2))</f>
        <v/>
      </c>
      <c r="U26" s="30" t="str">
        <f t="shared" si="5"/>
        <v/>
      </c>
      <c r="V26" s="42"/>
    </row>
    <row r="27" spans="1:22">
      <c r="A27" s="24" t="str">
        <f t="shared" si="0"/>
        <v/>
      </c>
      <c r="B27" s="37" t="str">
        <f>IFERROR(INDEX(_自动清单!$AY$4:$AY$203,ROW()-3),"")</f>
        <v/>
      </c>
      <c r="C27" s="39" t="str">
        <f>IF(OR($B27="",_自动清单!$AS$4=""),"",SUMIFS(次果筐明细!$G$4:$G$603,次果筐明细!$C$4:$C$603,$B27,次果筐明细!$D$4:$D$603,_自动清单!$AS$4,次果筐明细!$F$4:$F$603,"*出库*",次果筐明细!$B$4:$B$603,"&gt;="&amp;$Z$1,次果筐明细!$B$4:$B$603,"&lt;="&amp;$Z$2))</f>
        <v/>
      </c>
      <c r="D27" s="39" t="str">
        <f>IF(OR($B27="",_自动清单!$AS$5=""),"",SUMIFS(次果筐明细!$G$4:$G$603,次果筐明细!$C$4:$C$603,$B27,次果筐明细!$D$4:$D$603,_自动清单!$AS$5,次果筐明细!$F$4:$F$603,"*出库*",次果筐明细!$B$4:$B$603,"&gt;="&amp;$Z$1,次果筐明细!$B$4:$B$603,"&lt;="&amp;$Z$2))</f>
        <v/>
      </c>
      <c r="E27" s="39" t="str">
        <f>IF(OR($B27="",_自动清单!$AS$6=""),"",SUMIFS(次果筐明细!$G$4:$G$603,次果筐明细!$C$4:$C$603,$B27,次果筐明细!$D$4:$D$603,_自动清单!$AS$6,次果筐明细!$F$4:$F$603,"*出库*",次果筐明细!$B$4:$B$603,"&gt;="&amp;$Z$1,次果筐明细!$B$4:$B$603,"&lt;="&amp;$Z$2))</f>
        <v/>
      </c>
      <c r="F27" s="39" t="str">
        <f>IF(OR($B27="",_自动清单!$AS$7=""),"",SUMIFS(次果筐明细!$G$4:$G$603,次果筐明细!$C$4:$C$603,$B27,次果筐明细!$D$4:$D$603,_自动清单!$AS$7,次果筐明细!$F$4:$F$603,"*出库*",次果筐明细!$B$4:$B$603,"&gt;="&amp;$Z$1,次果筐明细!$B$4:$B$603,"&lt;="&amp;$Z$2))</f>
        <v/>
      </c>
      <c r="G27" s="39" t="str">
        <f>IF($B27="","",SUMIFS(次果筐明细!$G$4:$G$603,次果筐明细!$C$4:$C$603,$B27,次果筐明细!$F$4:$F$603,"*出库*",次果筐明细!$B$4:$B$603,"&gt;="&amp;$Z$1,次果筐明细!$B$4:$B$603,"&lt;="&amp;$Z$2)-SUM($C27:$F27))</f>
        <v/>
      </c>
      <c r="H27" s="39" t="str">
        <f t="shared" si="1"/>
        <v/>
      </c>
      <c r="I27" s="39" t="str">
        <f>IF(OR($B27="",_自动清单!$AS$4=""),"",SUMIFS(次果筐明细!$G$4:$G$603,次果筐明细!$C$4:$C$603,$B27,次果筐明细!$D$4:$D$603,_自动清单!$AS$4,次果筐明细!$F$4:$F$603,"*入库*",次果筐明细!$B$4:$B$603,"&gt;="&amp;$Z$1,次果筐明细!$B$4:$B$603,"&lt;="&amp;$Z$2))</f>
        <v/>
      </c>
      <c r="J27" s="39" t="str">
        <f>IF(OR($B27="",_自动清单!$AS$5=""),"",SUMIFS(次果筐明细!$G$4:$G$603,次果筐明细!$C$4:$C$603,$B27,次果筐明细!$D$4:$D$603,_自动清单!$AS$5,次果筐明细!$F$4:$F$603,"*入库*",次果筐明细!$B$4:$B$603,"&gt;="&amp;$Z$1,次果筐明细!$B$4:$B$603,"&lt;="&amp;$Z$2))</f>
        <v/>
      </c>
      <c r="K27" s="39" t="str">
        <f>IF(OR($B27="",_自动清单!$AS$6=""),"",SUMIFS(次果筐明细!$G$4:$G$603,次果筐明细!$C$4:$C$603,$B27,次果筐明细!$D$4:$D$603,_自动清单!$AS$6,次果筐明细!$F$4:$F$603,"*入库*",次果筐明细!$B$4:$B$603,"&gt;="&amp;$Z$1,次果筐明细!$B$4:$B$603,"&lt;="&amp;$Z$2))</f>
        <v/>
      </c>
      <c r="L27" s="39" t="str">
        <f>IF(OR($B27="",_自动清单!$AS$7=""),"",SUMIFS(次果筐明细!$G$4:$G$603,次果筐明细!$C$4:$C$603,$B27,次果筐明细!$D$4:$D$603,_自动清单!$AS$7,次果筐明细!$F$4:$F$603,"*入库*",次果筐明细!$B$4:$B$603,"&gt;="&amp;$Z$1,次果筐明细!$B$4:$B$603,"&lt;="&amp;$Z$2))</f>
        <v/>
      </c>
      <c r="M27" s="62" t="str">
        <f>IF($B27="","",SUMIFS(次果筐明细!$G$4:$G$603,次果筐明细!$C$4:$C$603,$B27,次果筐明细!$F$4:$F$603,"*入库*",次果筐明细!$B$4:$B$603,"&gt;="&amp;$Z$1,次果筐明细!$B$4:$B$603,"&lt;="&amp;$Z$2)-SUM($I27:$L27))</f>
        <v/>
      </c>
      <c r="N27" s="62" t="str">
        <f t="shared" si="2"/>
        <v/>
      </c>
      <c r="O27" s="39" t="str">
        <f t="shared" si="3"/>
        <v/>
      </c>
      <c r="P27" s="30" t="str">
        <f>IF($B27="","",ROUND(SUMIFS(次果筐明细!$L$4:$L$603,次果筐明细!$C$4:$C$603,$B27,次果筐明细!$B$4:$B$603,"&gt;="&amp;$Z$1,次果筐明细!$B$4:$B$603,"&lt;="&amp;$Z$2),2))</f>
        <v/>
      </c>
      <c r="Q27" s="30" t="str">
        <f>IF($B27="","",ROUND(SUMIFS(次果筐明细!$L$4:$L$603,次果筐明细!$C$4:$C$603,$B27,次果筐明细!$M$4:$M$603,"已收讫",次果筐明细!$B$4:$B$603,"&gt;="&amp;$Z$1,次果筐明细!$B$4:$B$603,"&lt;="&amp;$Z$2),2))</f>
        <v/>
      </c>
      <c r="R27" s="30" t="str">
        <f t="shared" si="4"/>
        <v/>
      </c>
      <c r="S27" s="30" t="str">
        <f>IF($B27="","",ROUND(SUMIFS(次果筐明细!$J$4:$J$603,次果筐明细!$C$4:$C$603,$B27,次果筐明细!$B$4:$B$603,"&gt;="&amp;$Z$1,次果筐明细!$B$4:$B$603,"&lt;="&amp;$Z$2),2))</f>
        <v/>
      </c>
      <c r="T27" s="63" t="str">
        <f>IF($B27="","",ROUND(SUMIFS(次果筐明细!$K$4:$K$603,次果筐明细!$C$4:$C$603,$B27,次果筐明细!$B$4:$B$603,"&gt;="&amp;$Z$1,次果筐明细!$B$4:$B$603,"&lt;="&amp;$Z$2),2))</f>
        <v/>
      </c>
      <c r="U27" s="30" t="str">
        <f t="shared" si="5"/>
        <v/>
      </c>
      <c r="V27" s="42"/>
    </row>
    <row r="28" spans="1:22">
      <c r="A28" s="24" t="str">
        <f t="shared" si="0"/>
        <v/>
      </c>
      <c r="B28" s="37" t="str">
        <f>IFERROR(INDEX(_自动清单!$AY$4:$AY$203,ROW()-3),"")</f>
        <v/>
      </c>
      <c r="C28" s="39" t="str">
        <f>IF(OR($B28="",_自动清单!$AS$4=""),"",SUMIFS(次果筐明细!$G$4:$G$603,次果筐明细!$C$4:$C$603,$B28,次果筐明细!$D$4:$D$603,_自动清单!$AS$4,次果筐明细!$F$4:$F$603,"*出库*",次果筐明细!$B$4:$B$603,"&gt;="&amp;$Z$1,次果筐明细!$B$4:$B$603,"&lt;="&amp;$Z$2))</f>
        <v/>
      </c>
      <c r="D28" s="39" t="str">
        <f>IF(OR($B28="",_自动清单!$AS$5=""),"",SUMIFS(次果筐明细!$G$4:$G$603,次果筐明细!$C$4:$C$603,$B28,次果筐明细!$D$4:$D$603,_自动清单!$AS$5,次果筐明细!$F$4:$F$603,"*出库*",次果筐明细!$B$4:$B$603,"&gt;="&amp;$Z$1,次果筐明细!$B$4:$B$603,"&lt;="&amp;$Z$2))</f>
        <v/>
      </c>
      <c r="E28" s="39" t="str">
        <f>IF(OR($B28="",_自动清单!$AS$6=""),"",SUMIFS(次果筐明细!$G$4:$G$603,次果筐明细!$C$4:$C$603,$B28,次果筐明细!$D$4:$D$603,_自动清单!$AS$6,次果筐明细!$F$4:$F$603,"*出库*",次果筐明细!$B$4:$B$603,"&gt;="&amp;$Z$1,次果筐明细!$B$4:$B$603,"&lt;="&amp;$Z$2))</f>
        <v/>
      </c>
      <c r="F28" s="39" t="str">
        <f>IF(OR($B28="",_自动清单!$AS$7=""),"",SUMIFS(次果筐明细!$G$4:$G$603,次果筐明细!$C$4:$C$603,$B28,次果筐明细!$D$4:$D$603,_自动清单!$AS$7,次果筐明细!$F$4:$F$603,"*出库*",次果筐明细!$B$4:$B$603,"&gt;="&amp;$Z$1,次果筐明细!$B$4:$B$603,"&lt;="&amp;$Z$2))</f>
        <v/>
      </c>
      <c r="G28" s="39" t="str">
        <f>IF($B28="","",SUMIFS(次果筐明细!$G$4:$G$603,次果筐明细!$C$4:$C$603,$B28,次果筐明细!$F$4:$F$603,"*出库*",次果筐明细!$B$4:$B$603,"&gt;="&amp;$Z$1,次果筐明细!$B$4:$B$603,"&lt;="&amp;$Z$2)-SUM($C28:$F28))</f>
        <v/>
      </c>
      <c r="H28" s="39" t="str">
        <f t="shared" si="1"/>
        <v/>
      </c>
      <c r="I28" s="39" t="str">
        <f>IF(OR($B28="",_自动清单!$AS$4=""),"",SUMIFS(次果筐明细!$G$4:$G$603,次果筐明细!$C$4:$C$603,$B28,次果筐明细!$D$4:$D$603,_自动清单!$AS$4,次果筐明细!$F$4:$F$603,"*入库*",次果筐明细!$B$4:$B$603,"&gt;="&amp;$Z$1,次果筐明细!$B$4:$B$603,"&lt;="&amp;$Z$2))</f>
        <v/>
      </c>
      <c r="J28" s="39" t="str">
        <f>IF(OR($B28="",_自动清单!$AS$5=""),"",SUMIFS(次果筐明细!$G$4:$G$603,次果筐明细!$C$4:$C$603,$B28,次果筐明细!$D$4:$D$603,_自动清单!$AS$5,次果筐明细!$F$4:$F$603,"*入库*",次果筐明细!$B$4:$B$603,"&gt;="&amp;$Z$1,次果筐明细!$B$4:$B$603,"&lt;="&amp;$Z$2))</f>
        <v/>
      </c>
      <c r="K28" s="39" t="str">
        <f>IF(OR($B28="",_自动清单!$AS$6=""),"",SUMIFS(次果筐明细!$G$4:$G$603,次果筐明细!$C$4:$C$603,$B28,次果筐明细!$D$4:$D$603,_自动清单!$AS$6,次果筐明细!$F$4:$F$603,"*入库*",次果筐明细!$B$4:$B$603,"&gt;="&amp;$Z$1,次果筐明细!$B$4:$B$603,"&lt;="&amp;$Z$2))</f>
        <v/>
      </c>
      <c r="L28" s="39" t="str">
        <f>IF(OR($B28="",_自动清单!$AS$7=""),"",SUMIFS(次果筐明细!$G$4:$G$603,次果筐明细!$C$4:$C$603,$B28,次果筐明细!$D$4:$D$603,_自动清单!$AS$7,次果筐明细!$F$4:$F$603,"*入库*",次果筐明细!$B$4:$B$603,"&gt;="&amp;$Z$1,次果筐明细!$B$4:$B$603,"&lt;="&amp;$Z$2))</f>
        <v/>
      </c>
      <c r="M28" s="62" t="str">
        <f>IF($B28="","",SUMIFS(次果筐明细!$G$4:$G$603,次果筐明细!$C$4:$C$603,$B28,次果筐明细!$F$4:$F$603,"*入库*",次果筐明细!$B$4:$B$603,"&gt;="&amp;$Z$1,次果筐明细!$B$4:$B$603,"&lt;="&amp;$Z$2)-SUM($I28:$L28))</f>
        <v/>
      </c>
      <c r="N28" s="62" t="str">
        <f t="shared" si="2"/>
        <v/>
      </c>
      <c r="O28" s="39" t="str">
        <f t="shared" si="3"/>
        <v/>
      </c>
      <c r="P28" s="30" t="str">
        <f>IF($B28="","",ROUND(SUMIFS(次果筐明细!$L$4:$L$603,次果筐明细!$C$4:$C$603,$B28,次果筐明细!$B$4:$B$603,"&gt;="&amp;$Z$1,次果筐明细!$B$4:$B$603,"&lt;="&amp;$Z$2),2))</f>
        <v/>
      </c>
      <c r="Q28" s="30" t="str">
        <f>IF($B28="","",ROUND(SUMIFS(次果筐明细!$L$4:$L$603,次果筐明细!$C$4:$C$603,$B28,次果筐明细!$M$4:$M$603,"已收讫",次果筐明细!$B$4:$B$603,"&gt;="&amp;$Z$1,次果筐明细!$B$4:$B$603,"&lt;="&amp;$Z$2),2))</f>
        <v/>
      </c>
      <c r="R28" s="30" t="str">
        <f t="shared" si="4"/>
        <v/>
      </c>
      <c r="S28" s="30" t="str">
        <f>IF($B28="","",ROUND(SUMIFS(次果筐明细!$J$4:$J$603,次果筐明细!$C$4:$C$603,$B28,次果筐明细!$B$4:$B$603,"&gt;="&amp;$Z$1,次果筐明细!$B$4:$B$603,"&lt;="&amp;$Z$2),2))</f>
        <v/>
      </c>
      <c r="T28" s="63" t="str">
        <f>IF($B28="","",ROUND(SUMIFS(次果筐明细!$K$4:$K$603,次果筐明细!$C$4:$C$603,$B28,次果筐明细!$B$4:$B$603,"&gt;="&amp;$Z$1,次果筐明细!$B$4:$B$603,"&lt;="&amp;$Z$2),2))</f>
        <v/>
      </c>
      <c r="U28" s="30" t="str">
        <f t="shared" si="5"/>
        <v/>
      </c>
      <c r="V28" s="42"/>
    </row>
    <row r="29" spans="1:22">
      <c r="A29" s="24" t="str">
        <f t="shared" si="0"/>
        <v/>
      </c>
      <c r="B29" s="37" t="str">
        <f>IFERROR(INDEX(_自动清单!$AY$4:$AY$203,ROW()-3),"")</f>
        <v/>
      </c>
      <c r="C29" s="39" t="str">
        <f>IF(OR($B29="",_自动清单!$AS$4=""),"",SUMIFS(次果筐明细!$G$4:$G$603,次果筐明细!$C$4:$C$603,$B29,次果筐明细!$D$4:$D$603,_自动清单!$AS$4,次果筐明细!$F$4:$F$603,"*出库*",次果筐明细!$B$4:$B$603,"&gt;="&amp;$Z$1,次果筐明细!$B$4:$B$603,"&lt;="&amp;$Z$2))</f>
        <v/>
      </c>
      <c r="D29" s="39" t="str">
        <f>IF(OR($B29="",_自动清单!$AS$5=""),"",SUMIFS(次果筐明细!$G$4:$G$603,次果筐明细!$C$4:$C$603,$B29,次果筐明细!$D$4:$D$603,_自动清单!$AS$5,次果筐明细!$F$4:$F$603,"*出库*",次果筐明细!$B$4:$B$603,"&gt;="&amp;$Z$1,次果筐明细!$B$4:$B$603,"&lt;="&amp;$Z$2))</f>
        <v/>
      </c>
      <c r="E29" s="39" t="str">
        <f>IF(OR($B29="",_自动清单!$AS$6=""),"",SUMIFS(次果筐明细!$G$4:$G$603,次果筐明细!$C$4:$C$603,$B29,次果筐明细!$D$4:$D$603,_自动清单!$AS$6,次果筐明细!$F$4:$F$603,"*出库*",次果筐明细!$B$4:$B$603,"&gt;="&amp;$Z$1,次果筐明细!$B$4:$B$603,"&lt;="&amp;$Z$2))</f>
        <v/>
      </c>
      <c r="F29" s="39" t="str">
        <f>IF(OR($B29="",_自动清单!$AS$7=""),"",SUMIFS(次果筐明细!$G$4:$G$603,次果筐明细!$C$4:$C$603,$B29,次果筐明细!$D$4:$D$603,_自动清单!$AS$7,次果筐明细!$F$4:$F$603,"*出库*",次果筐明细!$B$4:$B$603,"&gt;="&amp;$Z$1,次果筐明细!$B$4:$B$603,"&lt;="&amp;$Z$2))</f>
        <v/>
      </c>
      <c r="G29" s="39" t="str">
        <f>IF($B29="","",SUMIFS(次果筐明细!$G$4:$G$603,次果筐明细!$C$4:$C$603,$B29,次果筐明细!$F$4:$F$603,"*出库*",次果筐明细!$B$4:$B$603,"&gt;="&amp;$Z$1,次果筐明细!$B$4:$B$603,"&lt;="&amp;$Z$2)-SUM($C29:$F29))</f>
        <v/>
      </c>
      <c r="H29" s="39" t="str">
        <f t="shared" si="1"/>
        <v/>
      </c>
      <c r="I29" s="39" t="str">
        <f>IF(OR($B29="",_自动清单!$AS$4=""),"",SUMIFS(次果筐明细!$G$4:$G$603,次果筐明细!$C$4:$C$603,$B29,次果筐明细!$D$4:$D$603,_自动清单!$AS$4,次果筐明细!$F$4:$F$603,"*入库*",次果筐明细!$B$4:$B$603,"&gt;="&amp;$Z$1,次果筐明细!$B$4:$B$603,"&lt;="&amp;$Z$2))</f>
        <v/>
      </c>
      <c r="J29" s="39" t="str">
        <f>IF(OR($B29="",_自动清单!$AS$5=""),"",SUMIFS(次果筐明细!$G$4:$G$603,次果筐明细!$C$4:$C$603,$B29,次果筐明细!$D$4:$D$603,_自动清单!$AS$5,次果筐明细!$F$4:$F$603,"*入库*",次果筐明细!$B$4:$B$603,"&gt;="&amp;$Z$1,次果筐明细!$B$4:$B$603,"&lt;="&amp;$Z$2))</f>
        <v/>
      </c>
      <c r="K29" s="39" t="str">
        <f>IF(OR($B29="",_自动清单!$AS$6=""),"",SUMIFS(次果筐明细!$G$4:$G$603,次果筐明细!$C$4:$C$603,$B29,次果筐明细!$D$4:$D$603,_自动清单!$AS$6,次果筐明细!$F$4:$F$603,"*入库*",次果筐明细!$B$4:$B$603,"&gt;="&amp;$Z$1,次果筐明细!$B$4:$B$603,"&lt;="&amp;$Z$2))</f>
        <v/>
      </c>
      <c r="L29" s="39" t="str">
        <f>IF(OR($B29="",_自动清单!$AS$7=""),"",SUMIFS(次果筐明细!$G$4:$G$603,次果筐明细!$C$4:$C$603,$B29,次果筐明细!$D$4:$D$603,_自动清单!$AS$7,次果筐明细!$F$4:$F$603,"*入库*",次果筐明细!$B$4:$B$603,"&gt;="&amp;$Z$1,次果筐明细!$B$4:$B$603,"&lt;="&amp;$Z$2))</f>
        <v/>
      </c>
      <c r="M29" s="62" t="str">
        <f>IF($B29="","",SUMIFS(次果筐明细!$G$4:$G$603,次果筐明细!$C$4:$C$603,$B29,次果筐明细!$F$4:$F$603,"*入库*",次果筐明细!$B$4:$B$603,"&gt;="&amp;$Z$1,次果筐明细!$B$4:$B$603,"&lt;="&amp;$Z$2)-SUM($I29:$L29))</f>
        <v/>
      </c>
      <c r="N29" s="62" t="str">
        <f t="shared" si="2"/>
        <v/>
      </c>
      <c r="O29" s="39" t="str">
        <f t="shared" si="3"/>
        <v/>
      </c>
      <c r="P29" s="30" t="str">
        <f>IF($B29="","",ROUND(SUMIFS(次果筐明细!$L$4:$L$603,次果筐明细!$C$4:$C$603,$B29,次果筐明细!$B$4:$B$603,"&gt;="&amp;$Z$1,次果筐明细!$B$4:$B$603,"&lt;="&amp;$Z$2),2))</f>
        <v/>
      </c>
      <c r="Q29" s="30" t="str">
        <f>IF($B29="","",ROUND(SUMIFS(次果筐明细!$L$4:$L$603,次果筐明细!$C$4:$C$603,$B29,次果筐明细!$M$4:$M$603,"已收讫",次果筐明细!$B$4:$B$603,"&gt;="&amp;$Z$1,次果筐明细!$B$4:$B$603,"&lt;="&amp;$Z$2),2))</f>
        <v/>
      </c>
      <c r="R29" s="30" t="str">
        <f t="shared" si="4"/>
        <v/>
      </c>
      <c r="S29" s="30" t="str">
        <f>IF($B29="","",ROUND(SUMIFS(次果筐明细!$J$4:$J$603,次果筐明细!$C$4:$C$603,$B29,次果筐明细!$B$4:$B$603,"&gt;="&amp;$Z$1,次果筐明细!$B$4:$B$603,"&lt;="&amp;$Z$2),2))</f>
        <v/>
      </c>
      <c r="T29" s="63" t="str">
        <f>IF($B29="","",ROUND(SUMIFS(次果筐明细!$K$4:$K$603,次果筐明细!$C$4:$C$603,$B29,次果筐明细!$B$4:$B$603,"&gt;="&amp;$Z$1,次果筐明细!$B$4:$B$603,"&lt;="&amp;$Z$2),2))</f>
        <v/>
      </c>
      <c r="U29" s="30" t="str">
        <f t="shared" si="5"/>
        <v/>
      </c>
      <c r="V29" s="42"/>
    </row>
    <row r="30" spans="1:22">
      <c r="A30" s="24" t="str">
        <f t="shared" si="0"/>
        <v/>
      </c>
      <c r="B30" s="37" t="str">
        <f>IFERROR(INDEX(_自动清单!$AY$4:$AY$203,ROW()-3),"")</f>
        <v/>
      </c>
      <c r="C30" s="39" t="str">
        <f>IF(OR($B30="",_自动清单!$AS$4=""),"",SUMIFS(次果筐明细!$G$4:$G$603,次果筐明细!$C$4:$C$603,$B30,次果筐明细!$D$4:$D$603,_自动清单!$AS$4,次果筐明细!$F$4:$F$603,"*出库*",次果筐明细!$B$4:$B$603,"&gt;="&amp;$Z$1,次果筐明细!$B$4:$B$603,"&lt;="&amp;$Z$2))</f>
        <v/>
      </c>
      <c r="D30" s="39" t="str">
        <f>IF(OR($B30="",_自动清单!$AS$5=""),"",SUMIFS(次果筐明细!$G$4:$G$603,次果筐明细!$C$4:$C$603,$B30,次果筐明细!$D$4:$D$603,_自动清单!$AS$5,次果筐明细!$F$4:$F$603,"*出库*",次果筐明细!$B$4:$B$603,"&gt;="&amp;$Z$1,次果筐明细!$B$4:$B$603,"&lt;="&amp;$Z$2))</f>
        <v/>
      </c>
      <c r="E30" s="39" t="str">
        <f>IF(OR($B30="",_自动清单!$AS$6=""),"",SUMIFS(次果筐明细!$G$4:$G$603,次果筐明细!$C$4:$C$603,$B30,次果筐明细!$D$4:$D$603,_自动清单!$AS$6,次果筐明细!$F$4:$F$603,"*出库*",次果筐明细!$B$4:$B$603,"&gt;="&amp;$Z$1,次果筐明细!$B$4:$B$603,"&lt;="&amp;$Z$2))</f>
        <v/>
      </c>
      <c r="F30" s="39" t="str">
        <f>IF(OR($B30="",_自动清单!$AS$7=""),"",SUMIFS(次果筐明细!$G$4:$G$603,次果筐明细!$C$4:$C$603,$B30,次果筐明细!$D$4:$D$603,_自动清单!$AS$7,次果筐明细!$F$4:$F$603,"*出库*",次果筐明细!$B$4:$B$603,"&gt;="&amp;$Z$1,次果筐明细!$B$4:$B$603,"&lt;="&amp;$Z$2))</f>
        <v/>
      </c>
      <c r="G30" s="39" t="str">
        <f>IF($B30="","",SUMIFS(次果筐明细!$G$4:$G$603,次果筐明细!$C$4:$C$603,$B30,次果筐明细!$F$4:$F$603,"*出库*",次果筐明细!$B$4:$B$603,"&gt;="&amp;$Z$1,次果筐明细!$B$4:$B$603,"&lt;="&amp;$Z$2)-SUM($C30:$F30))</f>
        <v/>
      </c>
      <c r="H30" s="39" t="str">
        <f t="shared" si="1"/>
        <v/>
      </c>
      <c r="I30" s="39" t="str">
        <f>IF(OR($B30="",_自动清单!$AS$4=""),"",SUMIFS(次果筐明细!$G$4:$G$603,次果筐明细!$C$4:$C$603,$B30,次果筐明细!$D$4:$D$603,_自动清单!$AS$4,次果筐明细!$F$4:$F$603,"*入库*",次果筐明细!$B$4:$B$603,"&gt;="&amp;$Z$1,次果筐明细!$B$4:$B$603,"&lt;="&amp;$Z$2))</f>
        <v/>
      </c>
      <c r="J30" s="39" t="str">
        <f>IF(OR($B30="",_自动清单!$AS$5=""),"",SUMIFS(次果筐明细!$G$4:$G$603,次果筐明细!$C$4:$C$603,$B30,次果筐明细!$D$4:$D$603,_自动清单!$AS$5,次果筐明细!$F$4:$F$603,"*入库*",次果筐明细!$B$4:$B$603,"&gt;="&amp;$Z$1,次果筐明细!$B$4:$B$603,"&lt;="&amp;$Z$2))</f>
        <v/>
      </c>
      <c r="K30" s="39" t="str">
        <f>IF(OR($B30="",_自动清单!$AS$6=""),"",SUMIFS(次果筐明细!$G$4:$G$603,次果筐明细!$C$4:$C$603,$B30,次果筐明细!$D$4:$D$603,_自动清单!$AS$6,次果筐明细!$F$4:$F$603,"*入库*",次果筐明细!$B$4:$B$603,"&gt;="&amp;$Z$1,次果筐明细!$B$4:$B$603,"&lt;="&amp;$Z$2))</f>
        <v/>
      </c>
      <c r="L30" s="39" t="str">
        <f>IF(OR($B30="",_自动清单!$AS$7=""),"",SUMIFS(次果筐明细!$G$4:$G$603,次果筐明细!$C$4:$C$603,$B30,次果筐明细!$D$4:$D$603,_自动清单!$AS$7,次果筐明细!$F$4:$F$603,"*入库*",次果筐明细!$B$4:$B$603,"&gt;="&amp;$Z$1,次果筐明细!$B$4:$B$603,"&lt;="&amp;$Z$2))</f>
        <v/>
      </c>
      <c r="M30" s="62" t="str">
        <f>IF($B30="","",SUMIFS(次果筐明细!$G$4:$G$603,次果筐明细!$C$4:$C$603,$B30,次果筐明细!$F$4:$F$603,"*入库*",次果筐明细!$B$4:$B$603,"&gt;="&amp;$Z$1,次果筐明细!$B$4:$B$603,"&lt;="&amp;$Z$2)-SUM($I30:$L30))</f>
        <v/>
      </c>
      <c r="N30" s="62" t="str">
        <f t="shared" si="2"/>
        <v/>
      </c>
      <c r="O30" s="39" t="str">
        <f t="shared" si="3"/>
        <v/>
      </c>
      <c r="P30" s="30" t="str">
        <f>IF($B30="","",ROUND(SUMIFS(次果筐明细!$L$4:$L$603,次果筐明细!$C$4:$C$603,$B30,次果筐明细!$B$4:$B$603,"&gt;="&amp;$Z$1,次果筐明细!$B$4:$B$603,"&lt;="&amp;$Z$2),2))</f>
        <v/>
      </c>
      <c r="Q30" s="30" t="str">
        <f>IF($B30="","",ROUND(SUMIFS(次果筐明细!$L$4:$L$603,次果筐明细!$C$4:$C$603,$B30,次果筐明细!$M$4:$M$603,"已收讫",次果筐明细!$B$4:$B$603,"&gt;="&amp;$Z$1,次果筐明细!$B$4:$B$603,"&lt;="&amp;$Z$2),2))</f>
        <v/>
      </c>
      <c r="R30" s="30" t="str">
        <f t="shared" si="4"/>
        <v/>
      </c>
      <c r="S30" s="30" t="str">
        <f>IF($B30="","",ROUND(SUMIFS(次果筐明细!$J$4:$J$603,次果筐明细!$C$4:$C$603,$B30,次果筐明细!$B$4:$B$603,"&gt;="&amp;$Z$1,次果筐明细!$B$4:$B$603,"&lt;="&amp;$Z$2),2))</f>
        <v/>
      </c>
      <c r="T30" s="63" t="str">
        <f>IF($B30="","",ROUND(SUMIFS(次果筐明细!$K$4:$K$603,次果筐明细!$C$4:$C$603,$B30,次果筐明细!$B$4:$B$603,"&gt;="&amp;$Z$1,次果筐明细!$B$4:$B$603,"&lt;="&amp;$Z$2),2))</f>
        <v/>
      </c>
      <c r="U30" s="30" t="str">
        <f t="shared" si="5"/>
        <v/>
      </c>
      <c r="V30" s="42"/>
    </row>
    <row r="31" spans="1:22">
      <c r="A31" s="24" t="str">
        <f t="shared" si="0"/>
        <v/>
      </c>
      <c r="B31" s="37" t="str">
        <f>IFERROR(INDEX(_自动清单!$AY$4:$AY$203,ROW()-3),"")</f>
        <v/>
      </c>
      <c r="C31" s="39" t="str">
        <f>IF(OR($B31="",_自动清单!$AS$4=""),"",SUMIFS(次果筐明细!$G$4:$G$603,次果筐明细!$C$4:$C$603,$B31,次果筐明细!$D$4:$D$603,_自动清单!$AS$4,次果筐明细!$F$4:$F$603,"*出库*",次果筐明细!$B$4:$B$603,"&gt;="&amp;$Z$1,次果筐明细!$B$4:$B$603,"&lt;="&amp;$Z$2))</f>
        <v/>
      </c>
      <c r="D31" s="39" t="str">
        <f>IF(OR($B31="",_自动清单!$AS$5=""),"",SUMIFS(次果筐明细!$G$4:$G$603,次果筐明细!$C$4:$C$603,$B31,次果筐明细!$D$4:$D$603,_自动清单!$AS$5,次果筐明细!$F$4:$F$603,"*出库*",次果筐明细!$B$4:$B$603,"&gt;="&amp;$Z$1,次果筐明细!$B$4:$B$603,"&lt;="&amp;$Z$2))</f>
        <v/>
      </c>
      <c r="E31" s="39" t="str">
        <f>IF(OR($B31="",_自动清单!$AS$6=""),"",SUMIFS(次果筐明细!$G$4:$G$603,次果筐明细!$C$4:$C$603,$B31,次果筐明细!$D$4:$D$603,_自动清单!$AS$6,次果筐明细!$F$4:$F$603,"*出库*",次果筐明细!$B$4:$B$603,"&gt;="&amp;$Z$1,次果筐明细!$B$4:$B$603,"&lt;="&amp;$Z$2))</f>
        <v/>
      </c>
      <c r="F31" s="39" t="str">
        <f>IF(OR($B31="",_自动清单!$AS$7=""),"",SUMIFS(次果筐明细!$G$4:$G$603,次果筐明细!$C$4:$C$603,$B31,次果筐明细!$D$4:$D$603,_自动清单!$AS$7,次果筐明细!$F$4:$F$603,"*出库*",次果筐明细!$B$4:$B$603,"&gt;="&amp;$Z$1,次果筐明细!$B$4:$B$603,"&lt;="&amp;$Z$2))</f>
        <v/>
      </c>
      <c r="G31" s="39" t="str">
        <f>IF($B31="","",SUMIFS(次果筐明细!$G$4:$G$603,次果筐明细!$C$4:$C$603,$B31,次果筐明细!$F$4:$F$603,"*出库*",次果筐明细!$B$4:$B$603,"&gt;="&amp;$Z$1,次果筐明细!$B$4:$B$603,"&lt;="&amp;$Z$2)-SUM($C31:$F31))</f>
        <v/>
      </c>
      <c r="H31" s="39" t="str">
        <f t="shared" si="1"/>
        <v/>
      </c>
      <c r="I31" s="39" t="str">
        <f>IF(OR($B31="",_自动清单!$AS$4=""),"",SUMIFS(次果筐明细!$G$4:$G$603,次果筐明细!$C$4:$C$603,$B31,次果筐明细!$D$4:$D$603,_自动清单!$AS$4,次果筐明细!$F$4:$F$603,"*入库*",次果筐明细!$B$4:$B$603,"&gt;="&amp;$Z$1,次果筐明细!$B$4:$B$603,"&lt;="&amp;$Z$2))</f>
        <v/>
      </c>
      <c r="J31" s="39" t="str">
        <f>IF(OR($B31="",_自动清单!$AS$5=""),"",SUMIFS(次果筐明细!$G$4:$G$603,次果筐明细!$C$4:$C$603,$B31,次果筐明细!$D$4:$D$603,_自动清单!$AS$5,次果筐明细!$F$4:$F$603,"*入库*",次果筐明细!$B$4:$B$603,"&gt;="&amp;$Z$1,次果筐明细!$B$4:$B$603,"&lt;="&amp;$Z$2))</f>
        <v/>
      </c>
      <c r="K31" s="39" t="str">
        <f>IF(OR($B31="",_自动清单!$AS$6=""),"",SUMIFS(次果筐明细!$G$4:$G$603,次果筐明细!$C$4:$C$603,$B31,次果筐明细!$D$4:$D$603,_自动清单!$AS$6,次果筐明细!$F$4:$F$603,"*入库*",次果筐明细!$B$4:$B$603,"&gt;="&amp;$Z$1,次果筐明细!$B$4:$B$603,"&lt;="&amp;$Z$2))</f>
        <v/>
      </c>
      <c r="L31" s="39" t="str">
        <f>IF(OR($B31="",_自动清单!$AS$7=""),"",SUMIFS(次果筐明细!$G$4:$G$603,次果筐明细!$C$4:$C$603,$B31,次果筐明细!$D$4:$D$603,_自动清单!$AS$7,次果筐明细!$F$4:$F$603,"*入库*",次果筐明细!$B$4:$B$603,"&gt;="&amp;$Z$1,次果筐明细!$B$4:$B$603,"&lt;="&amp;$Z$2))</f>
        <v/>
      </c>
      <c r="M31" s="62" t="str">
        <f>IF($B31="","",SUMIFS(次果筐明细!$G$4:$G$603,次果筐明细!$C$4:$C$603,$B31,次果筐明细!$F$4:$F$603,"*入库*",次果筐明细!$B$4:$B$603,"&gt;="&amp;$Z$1,次果筐明细!$B$4:$B$603,"&lt;="&amp;$Z$2)-SUM($I31:$L31))</f>
        <v/>
      </c>
      <c r="N31" s="62" t="str">
        <f t="shared" si="2"/>
        <v/>
      </c>
      <c r="O31" s="39" t="str">
        <f t="shared" si="3"/>
        <v/>
      </c>
      <c r="P31" s="30" t="str">
        <f>IF($B31="","",ROUND(SUMIFS(次果筐明细!$L$4:$L$603,次果筐明细!$C$4:$C$603,$B31,次果筐明细!$B$4:$B$603,"&gt;="&amp;$Z$1,次果筐明细!$B$4:$B$603,"&lt;="&amp;$Z$2),2))</f>
        <v/>
      </c>
      <c r="Q31" s="30" t="str">
        <f>IF($B31="","",ROUND(SUMIFS(次果筐明细!$L$4:$L$603,次果筐明细!$C$4:$C$603,$B31,次果筐明细!$M$4:$M$603,"已收讫",次果筐明细!$B$4:$B$603,"&gt;="&amp;$Z$1,次果筐明细!$B$4:$B$603,"&lt;="&amp;$Z$2),2))</f>
        <v/>
      </c>
      <c r="R31" s="30" t="str">
        <f t="shared" si="4"/>
        <v/>
      </c>
      <c r="S31" s="30" t="str">
        <f>IF($B31="","",ROUND(SUMIFS(次果筐明细!$J$4:$J$603,次果筐明细!$C$4:$C$603,$B31,次果筐明细!$B$4:$B$603,"&gt;="&amp;$Z$1,次果筐明细!$B$4:$B$603,"&lt;="&amp;$Z$2),2))</f>
        <v/>
      </c>
      <c r="T31" s="63" t="str">
        <f>IF($B31="","",ROUND(SUMIFS(次果筐明细!$K$4:$K$603,次果筐明细!$C$4:$C$603,$B31,次果筐明细!$B$4:$B$603,"&gt;="&amp;$Z$1,次果筐明细!$B$4:$B$603,"&lt;="&amp;$Z$2),2))</f>
        <v/>
      </c>
      <c r="U31" s="30" t="str">
        <f t="shared" si="5"/>
        <v/>
      </c>
      <c r="V31" s="42"/>
    </row>
    <row r="32" spans="1:22">
      <c r="A32" s="24" t="str">
        <f t="shared" si="0"/>
        <v/>
      </c>
      <c r="B32" s="37" t="str">
        <f>IFERROR(INDEX(_自动清单!$AY$4:$AY$203,ROW()-3),"")</f>
        <v/>
      </c>
      <c r="C32" s="39" t="str">
        <f>IF(OR($B32="",_自动清单!$AS$4=""),"",SUMIFS(次果筐明细!$G$4:$G$603,次果筐明细!$C$4:$C$603,$B32,次果筐明细!$D$4:$D$603,_自动清单!$AS$4,次果筐明细!$F$4:$F$603,"*出库*",次果筐明细!$B$4:$B$603,"&gt;="&amp;$Z$1,次果筐明细!$B$4:$B$603,"&lt;="&amp;$Z$2))</f>
        <v/>
      </c>
      <c r="D32" s="39" t="str">
        <f>IF(OR($B32="",_自动清单!$AS$5=""),"",SUMIFS(次果筐明细!$G$4:$G$603,次果筐明细!$C$4:$C$603,$B32,次果筐明细!$D$4:$D$603,_自动清单!$AS$5,次果筐明细!$F$4:$F$603,"*出库*",次果筐明细!$B$4:$B$603,"&gt;="&amp;$Z$1,次果筐明细!$B$4:$B$603,"&lt;="&amp;$Z$2))</f>
        <v/>
      </c>
      <c r="E32" s="39" t="str">
        <f>IF(OR($B32="",_自动清单!$AS$6=""),"",SUMIFS(次果筐明细!$G$4:$G$603,次果筐明细!$C$4:$C$603,$B32,次果筐明细!$D$4:$D$603,_自动清单!$AS$6,次果筐明细!$F$4:$F$603,"*出库*",次果筐明细!$B$4:$B$603,"&gt;="&amp;$Z$1,次果筐明细!$B$4:$B$603,"&lt;="&amp;$Z$2))</f>
        <v/>
      </c>
      <c r="F32" s="39" t="str">
        <f>IF(OR($B32="",_自动清单!$AS$7=""),"",SUMIFS(次果筐明细!$G$4:$G$603,次果筐明细!$C$4:$C$603,$B32,次果筐明细!$D$4:$D$603,_自动清单!$AS$7,次果筐明细!$F$4:$F$603,"*出库*",次果筐明细!$B$4:$B$603,"&gt;="&amp;$Z$1,次果筐明细!$B$4:$B$603,"&lt;="&amp;$Z$2))</f>
        <v/>
      </c>
      <c r="G32" s="39" t="str">
        <f>IF($B32="","",SUMIFS(次果筐明细!$G$4:$G$603,次果筐明细!$C$4:$C$603,$B32,次果筐明细!$F$4:$F$603,"*出库*",次果筐明细!$B$4:$B$603,"&gt;="&amp;$Z$1,次果筐明细!$B$4:$B$603,"&lt;="&amp;$Z$2)-SUM($C32:$F32))</f>
        <v/>
      </c>
      <c r="H32" s="39" t="str">
        <f t="shared" si="1"/>
        <v/>
      </c>
      <c r="I32" s="39" t="str">
        <f>IF(OR($B32="",_自动清单!$AS$4=""),"",SUMIFS(次果筐明细!$G$4:$G$603,次果筐明细!$C$4:$C$603,$B32,次果筐明细!$D$4:$D$603,_自动清单!$AS$4,次果筐明细!$F$4:$F$603,"*入库*",次果筐明细!$B$4:$B$603,"&gt;="&amp;$Z$1,次果筐明细!$B$4:$B$603,"&lt;="&amp;$Z$2))</f>
        <v/>
      </c>
      <c r="J32" s="39" t="str">
        <f>IF(OR($B32="",_自动清单!$AS$5=""),"",SUMIFS(次果筐明细!$G$4:$G$603,次果筐明细!$C$4:$C$603,$B32,次果筐明细!$D$4:$D$603,_自动清单!$AS$5,次果筐明细!$F$4:$F$603,"*入库*",次果筐明细!$B$4:$B$603,"&gt;="&amp;$Z$1,次果筐明细!$B$4:$B$603,"&lt;="&amp;$Z$2))</f>
        <v/>
      </c>
      <c r="K32" s="39" t="str">
        <f>IF(OR($B32="",_自动清单!$AS$6=""),"",SUMIFS(次果筐明细!$G$4:$G$603,次果筐明细!$C$4:$C$603,$B32,次果筐明细!$D$4:$D$603,_自动清单!$AS$6,次果筐明细!$F$4:$F$603,"*入库*",次果筐明细!$B$4:$B$603,"&gt;="&amp;$Z$1,次果筐明细!$B$4:$B$603,"&lt;="&amp;$Z$2))</f>
        <v/>
      </c>
      <c r="L32" s="39" t="str">
        <f>IF(OR($B32="",_自动清单!$AS$7=""),"",SUMIFS(次果筐明细!$G$4:$G$603,次果筐明细!$C$4:$C$603,$B32,次果筐明细!$D$4:$D$603,_自动清单!$AS$7,次果筐明细!$F$4:$F$603,"*入库*",次果筐明细!$B$4:$B$603,"&gt;="&amp;$Z$1,次果筐明细!$B$4:$B$603,"&lt;="&amp;$Z$2))</f>
        <v/>
      </c>
      <c r="M32" s="62" t="str">
        <f>IF($B32="","",SUMIFS(次果筐明细!$G$4:$G$603,次果筐明细!$C$4:$C$603,$B32,次果筐明细!$F$4:$F$603,"*入库*",次果筐明细!$B$4:$B$603,"&gt;="&amp;$Z$1,次果筐明细!$B$4:$B$603,"&lt;="&amp;$Z$2)-SUM($I32:$L32))</f>
        <v/>
      </c>
      <c r="N32" s="62" t="str">
        <f t="shared" si="2"/>
        <v/>
      </c>
      <c r="O32" s="39" t="str">
        <f t="shared" si="3"/>
        <v/>
      </c>
      <c r="P32" s="30" t="str">
        <f>IF($B32="","",ROUND(SUMIFS(次果筐明细!$L$4:$L$603,次果筐明细!$C$4:$C$603,$B32,次果筐明细!$B$4:$B$603,"&gt;="&amp;$Z$1,次果筐明细!$B$4:$B$603,"&lt;="&amp;$Z$2),2))</f>
        <v/>
      </c>
      <c r="Q32" s="30" t="str">
        <f>IF($B32="","",ROUND(SUMIFS(次果筐明细!$L$4:$L$603,次果筐明细!$C$4:$C$603,$B32,次果筐明细!$M$4:$M$603,"已收讫",次果筐明细!$B$4:$B$603,"&gt;="&amp;$Z$1,次果筐明细!$B$4:$B$603,"&lt;="&amp;$Z$2),2))</f>
        <v/>
      </c>
      <c r="R32" s="30" t="str">
        <f t="shared" si="4"/>
        <v/>
      </c>
      <c r="S32" s="30" t="str">
        <f>IF($B32="","",ROUND(SUMIFS(次果筐明细!$J$4:$J$603,次果筐明细!$C$4:$C$603,$B32,次果筐明细!$B$4:$B$603,"&gt;="&amp;$Z$1,次果筐明细!$B$4:$B$603,"&lt;="&amp;$Z$2),2))</f>
        <v/>
      </c>
      <c r="T32" s="63" t="str">
        <f>IF($B32="","",ROUND(SUMIFS(次果筐明细!$K$4:$K$603,次果筐明细!$C$4:$C$603,$B32,次果筐明细!$B$4:$B$603,"&gt;="&amp;$Z$1,次果筐明细!$B$4:$B$603,"&lt;="&amp;$Z$2),2))</f>
        <v/>
      </c>
      <c r="U32" s="30" t="str">
        <f t="shared" si="5"/>
        <v/>
      </c>
      <c r="V32" s="42"/>
    </row>
    <row r="33" spans="1:22">
      <c r="A33" s="24" t="str">
        <f t="shared" si="0"/>
        <v/>
      </c>
      <c r="B33" s="37" t="str">
        <f>IFERROR(INDEX(_自动清单!$AY$4:$AY$203,ROW()-3),"")</f>
        <v/>
      </c>
      <c r="C33" s="39" t="str">
        <f>IF(OR($B33="",_自动清单!$AS$4=""),"",SUMIFS(次果筐明细!$G$4:$G$603,次果筐明细!$C$4:$C$603,$B33,次果筐明细!$D$4:$D$603,_自动清单!$AS$4,次果筐明细!$F$4:$F$603,"*出库*",次果筐明细!$B$4:$B$603,"&gt;="&amp;$Z$1,次果筐明细!$B$4:$B$603,"&lt;="&amp;$Z$2))</f>
        <v/>
      </c>
      <c r="D33" s="39" t="str">
        <f>IF(OR($B33="",_自动清单!$AS$5=""),"",SUMIFS(次果筐明细!$G$4:$G$603,次果筐明细!$C$4:$C$603,$B33,次果筐明细!$D$4:$D$603,_自动清单!$AS$5,次果筐明细!$F$4:$F$603,"*出库*",次果筐明细!$B$4:$B$603,"&gt;="&amp;$Z$1,次果筐明细!$B$4:$B$603,"&lt;="&amp;$Z$2))</f>
        <v/>
      </c>
      <c r="E33" s="39" t="str">
        <f>IF(OR($B33="",_自动清单!$AS$6=""),"",SUMIFS(次果筐明细!$G$4:$G$603,次果筐明细!$C$4:$C$603,$B33,次果筐明细!$D$4:$D$603,_自动清单!$AS$6,次果筐明细!$F$4:$F$603,"*出库*",次果筐明细!$B$4:$B$603,"&gt;="&amp;$Z$1,次果筐明细!$B$4:$B$603,"&lt;="&amp;$Z$2))</f>
        <v/>
      </c>
      <c r="F33" s="39" t="str">
        <f>IF(OR($B33="",_自动清单!$AS$7=""),"",SUMIFS(次果筐明细!$G$4:$G$603,次果筐明细!$C$4:$C$603,$B33,次果筐明细!$D$4:$D$603,_自动清单!$AS$7,次果筐明细!$F$4:$F$603,"*出库*",次果筐明细!$B$4:$B$603,"&gt;="&amp;$Z$1,次果筐明细!$B$4:$B$603,"&lt;="&amp;$Z$2))</f>
        <v/>
      </c>
      <c r="G33" s="39" t="str">
        <f>IF($B33="","",SUMIFS(次果筐明细!$G$4:$G$603,次果筐明细!$C$4:$C$603,$B33,次果筐明细!$F$4:$F$603,"*出库*",次果筐明细!$B$4:$B$603,"&gt;="&amp;$Z$1,次果筐明细!$B$4:$B$603,"&lt;="&amp;$Z$2)-SUM($C33:$F33))</f>
        <v/>
      </c>
      <c r="H33" s="39" t="str">
        <f t="shared" si="1"/>
        <v/>
      </c>
      <c r="I33" s="39" t="str">
        <f>IF(OR($B33="",_自动清单!$AS$4=""),"",SUMIFS(次果筐明细!$G$4:$G$603,次果筐明细!$C$4:$C$603,$B33,次果筐明细!$D$4:$D$603,_自动清单!$AS$4,次果筐明细!$F$4:$F$603,"*入库*",次果筐明细!$B$4:$B$603,"&gt;="&amp;$Z$1,次果筐明细!$B$4:$B$603,"&lt;="&amp;$Z$2))</f>
        <v/>
      </c>
      <c r="J33" s="39" t="str">
        <f>IF(OR($B33="",_自动清单!$AS$5=""),"",SUMIFS(次果筐明细!$G$4:$G$603,次果筐明细!$C$4:$C$603,$B33,次果筐明细!$D$4:$D$603,_自动清单!$AS$5,次果筐明细!$F$4:$F$603,"*入库*",次果筐明细!$B$4:$B$603,"&gt;="&amp;$Z$1,次果筐明细!$B$4:$B$603,"&lt;="&amp;$Z$2))</f>
        <v/>
      </c>
      <c r="K33" s="39" t="str">
        <f>IF(OR($B33="",_自动清单!$AS$6=""),"",SUMIFS(次果筐明细!$G$4:$G$603,次果筐明细!$C$4:$C$603,$B33,次果筐明细!$D$4:$D$603,_自动清单!$AS$6,次果筐明细!$F$4:$F$603,"*入库*",次果筐明细!$B$4:$B$603,"&gt;="&amp;$Z$1,次果筐明细!$B$4:$B$603,"&lt;="&amp;$Z$2))</f>
        <v/>
      </c>
      <c r="L33" s="39" t="str">
        <f>IF(OR($B33="",_自动清单!$AS$7=""),"",SUMIFS(次果筐明细!$G$4:$G$603,次果筐明细!$C$4:$C$603,$B33,次果筐明细!$D$4:$D$603,_自动清单!$AS$7,次果筐明细!$F$4:$F$603,"*入库*",次果筐明细!$B$4:$B$603,"&gt;="&amp;$Z$1,次果筐明细!$B$4:$B$603,"&lt;="&amp;$Z$2))</f>
        <v/>
      </c>
      <c r="M33" s="62" t="str">
        <f>IF($B33="","",SUMIFS(次果筐明细!$G$4:$G$603,次果筐明细!$C$4:$C$603,$B33,次果筐明细!$F$4:$F$603,"*入库*",次果筐明细!$B$4:$B$603,"&gt;="&amp;$Z$1,次果筐明细!$B$4:$B$603,"&lt;="&amp;$Z$2)-SUM($I33:$L33))</f>
        <v/>
      </c>
      <c r="N33" s="62" t="str">
        <f t="shared" si="2"/>
        <v/>
      </c>
      <c r="O33" s="39" t="str">
        <f t="shared" si="3"/>
        <v/>
      </c>
      <c r="P33" s="30" t="str">
        <f>IF($B33="","",ROUND(SUMIFS(次果筐明细!$L$4:$L$603,次果筐明细!$C$4:$C$603,$B33,次果筐明细!$B$4:$B$603,"&gt;="&amp;$Z$1,次果筐明细!$B$4:$B$603,"&lt;="&amp;$Z$2),2))</f>
        <v/>
      </c>
      <c r="Q33" s="30" t="str">
        <f>IF($B33="","",ROUND(SUMIFS(次果筐明细!$L$4:$L$603,次果筐明细!$C$4:$C$603,$B33,次果筐明细!$M$4:$M$603,"已收讫",次果筐明细!$B$4:$B$603,"&gt;="&amp;$Z$1,次果筐明细!$B$4:$B$603,"&lt;="&amp;$Z$2),2))</f>
        <v/>
      </c>
      <c r="R33" s="30" t="str">
        <f t="shared" si="4"/>
        <v/>
      </c>
      <c r="S33" s="30" t="str">
        <f>IF($B33="","",ROUND(SUMIFS(次果筐明细!$J$4:$J$603,次果筐明细!$C$4:$C$603,$B33,次果筐明细!$B$4:$B$603,"&gt;="&amp;$Z$1,次果筐明细!$B$4:$B$603,"&lt;="&amp;$Z$2),2))</f>
        <v/>
      </c>
      <c r="T33" s="63" t="str">
        <f>IF($B33="","",ROUND(SUMIFS(次果筐明细!$K$4:$K$603,次果筐明细!$C$4:$C$603,$B33,次果筐明细!$B$4:$B$603,"&gt;="&amp;$Z$1,次果筐明细!$B$4:$B$603,"&lt;="&amp;$Z$2),2))</f>
        <v/>
      </c>
      <c r="U33" s="30" t="str">
        <f t="shared" si="5"/>
        <v/>
      </c>
      <c r="V33" s="42"/>
    </row>
    <row r="34" spans="1:22">
      <c r="A34" s="24" t="str">
        <f t="shared" si="0"/>
        <v/>
      </c>
      <c r="B34" s="37" t="str">
        <f>IFERROR(INDEX(_自动清单!$AY$4:$AY$203,ROW()-3),"")</f>
        <v/>
      </c>
      <c r="C34" s="39" t="str">
        <f>IF(OR($B34="",_自动清单!$AS$4=""),"",SUMIFS(次果筐明细!$G$4:$G$603,次果筐明细!$C$4:$C$603,$B34,次果筐明细!$D$4:$D$603,_自动清单!$AS$4,次果筐明细!$F$4:$F$603,"*出库*",次果筐明细!$B$4:$B$603,"&gt;="&amp;$Z$1,次果筐明细!$B$4:$B$603,"&lt;="&amp;$Z$2))</f>
        <v/>
      </c>
      <c r="D34" s="39" t="str">
        <f>IF(OR($B34="",_自动清单!$AS$5=""),"",SUMIFS(次果筐明细!$G$4:$G$603,次果筐明细!$C$4:$C$603,$B34,次果筐明细!$D$4:$D$603,_自动清单!$AS$5,次果筐明细!$F$4:$F$603,"*出库*",次果筐明细!$B$4:$B$603,"&gt;="&amp;$Z$1,次果筐明细!$B$4:$B$603,"&lt;="&amp;$Z$2))</f>
        <v/>
      </c>
      <c r="E34" s="39" t="str">
        <f>IF(OR($B34="",_自动清单!$AS$6=""),"",SUMIFS(次果筐明细!$G$4:$G$603,次果筐明细!$C$4:$C$603,$B34,次果筐明细!$D$4:$D$603,_自动清单!$AS$6,次果筐明细!$F$4:$F$603,"*出库*",次果筐明细!$B$4:$B$603,"&gt;="&amp;$Z$1,次果筐明细!$B$4:$B$603,"&lt;="&amp;$Z$2))</f>
        <v/>
      </c>
      <c r="F34" s="39" t="str">
        <f>IF(OR($B34="",_自动清单!$AS$7=""),"",SUMIFS(次果筐明细!$G$4:$G$603,次果筐明细!$C$4:$C$603,$B34,次果筐明细!$D$4:$D$603,_自动清单!$AS$7,次果筐明细!$F$4:$F$603,"*出库*",次果筐明细!$B$4:$B$603,"&gt;="&amp;$Z$1,次果筐明细!$B$4:$B$603,"&lt;="&amp;$Z$2))</f>
        <v/>
      </c>
      <c r="G34" s="39" t="str">
        <f>IF($B34="","",SUMIFS(次果筐明细!$G$4:$G$603,次果筐明细!$C$4:$C$603,$B34,次果筐明细!$F$4:$F$603,"*出库*",次果筐明细!$B$4:$B$603,"&gt;="&amp;$Z$1,次果筐明细!$B$4:$B$603,"&lt;="&amp;$Z$2)-SUM($C34:$F34))</f>
        <v/>
      </c>
      <c r="H34" s="39" t="str">
        <f t="shared" si="1"/>
        <v/>
      </c>
      <c r="I34" s="39" t="str">
        <f>IF(OR($B34="",_自动清单!$AS$4=""),"",SUMIFS(次果筐明细!$G$4:$G$603,次果筐明细!$C$4:$C$603,$B34,次果筐明细!$D$4:$D$603,_自动清单!$AS$4,次果筐明细!$F$4:$F$603,"*入库*",次果筐明细!$B$4:$B$603,"&gt;="&amp;$Z$1,次果筐明细!$B$4:$B$603,"&lt;="&amp;$Z$2))</f>
        <v/>
      </c>
      <c r="J34" s="39" t="str">
        <f>IF(OR($B34="",_自动清单!$AS$5=""),"",SUMIFS(次果筐明细!$G$4:$G$603,次果筐明细!$C$4:$C$603,$B34,次果筐明细!$D$4:$D$603,_自动清单!$AS$5,次果筐明细!$F$4:$F$603,"*入库*",次果筐明细!$B$4:$B$603,"&gt;="&amp;$Z$1,次果筐明细!$B$4:$B$603,"&lt;="&amp;$Z$2))</f>
        <v/>
      </c>
      <c r="K34" s="39" t="str">
        <f>IF(OR($B34="",_自动清单!$AS$6=""),"",SUMIFS(次果筐明细!$G$4:$G$603,次果筐明细!$C$4:$C$603,$B34,次果筐明细!$D$4:$D$603,_自动清单!$AS$6,次果筐明细!$F$4:$F$603,"*入库*",次果筐明细!$B$4:$B$603,"&gt;="&amp;$Z$1,次果筐明细!$B$4:$B$603,"&lt;="&amp;$Z$2))</f>
        <v/>
      </c>
      <c r="L34" s="39" t="str">
        <f>IF(OR($B34="",_自动清单!$AS$7=""),"",SUMIFS(次果筐明细!$G$4:$G$603,次果筐明细!$C$4:$C$603,$B34,次果筐明细!$D$4:$D$603,_自动清单!$AS$7,次果筐明细!$F$4:$F$603,"*入库*",次果筐明细!$B$4:$B$603,"&gt;="&amp;$Z$1,次果筐明细!$B$4:$B$603,"&lt;="&amp;$Z$2))</f>
        <v/>
      </c>
      <c r="M34" s="62" t="str">
        <f>IF($B34="","",SUMIFS(次果筐明细!$G$4:$G$603,次果筐明细!$C$4:$C$603,$B34,次果筐明细!$F$4:$F$603,"*入库*",次果筐明细!$B$4:$B$603,"&gt;="&amp;$Z$1,次果筐明细!$B$4:$B$603,"&lt;="&amp;$Z$2)-SUM($I34:$L34))</f>
        <v/>
      </c>
      <c r="N34" s="62" t="str">
        <f t="shared" si="2"/>
        <v/>
      </c>
      <c r="O34" s="39" t="str">
        <f t="shared" si="3"/>
        <v/>
      </c>
      <c r="P34" s="30" t="str">
        <f>IF($B34="","",ROUND(SUMIFS(次果筐明细!$L$4:$L$603,次果筐明细!$C$4:$C$603,$B34,次果筐明细!$B$4:$B$603,"&gt;="&amp;$Z$1,次果筐明细!$B$4:$B$603,"&lt;="&amp;$Z$2),2))</f>
        <v/>
      </c>
      <c r="Q34" s="30" t="str">
        <f>IF($B34="","",ROUND(SUMIFS(次果筐明细!$L$4:$L$603,次果筐明细!$C$4:$C$603,$B34,次果筐明细!$M$4:$M$603,"已收讫",次果筐明细!$B$4:$B$603,"&gt;="&amp;$Z$1,次果筐明细!$B$4:$B$603,"&lt;="&amp;$Z$2),2))</f>
        <v/>
      </c>
      <c r="R34" s="30" t="str">
        <f t="shared" si="4"/>
        <v/>
      </c>
      <c r="S34" s="30" t="str">
        <f>IF($B34="","",ROUND(SUMIFS(次果筐明细!$J$4:$J$603,次果筐明细!$C$4:$C$603,$B34,次果筐明细!$B$4:$B$603,"&gt;="&amp;$Z$1,次果筐明细!$B$4:$B$603,"&lt;="&amp;$Z$2),2))</f>
        <v/>
      </c>
      <c r="T34" s="63" t="str">
        <f>IF($B34="","",ROUND(SUMIFS(次果筐明细!$K$4:$K$603,次果筐明细!$C$4:$C$603,$B34,次果筐明细!$B$4:$B$603,"&gt;="&amp;$Z$1,次果筐明细!$B$4:$B$603,"&lt;="&amp;$Z$2),2))</f>
        <v/>
      </c>
      <c r="U34" s="30" t="str">
        <f t="shared" si="5"/>
        <v/>
      </c>
      <c r="V34" s="42"/>
    </row>
    <row r="35" spans="1:22">
      <c r="A35" s="24" t="str">
        <f t="shared" si="0"/>
        <v/>
      </c>
      <c r="B35" s="37" t="str">
        <f>IFERROR(INDEX(_自动清单!$AY$4:$AY$203,ROW()-3),"")</f>
        <v/>
      </c>
      <c r="C35" s="39" t="str">
        <f>IF(OR($B35="",_自动清单!$AS$4=""),"",SUMIFS(次果筐明细!$G$4:$G$603,次果筐明细!$C$4:$C$603,$B35,次果筐明细!$D$4:$D$603,_自动清单!$AS$4,次果筐明细!$F$4:$F$603,"*出库*",次果筐明细!$B$4:$B$603,"&gt;="&amp;$Z$1,次果筐明细!$B$4:$B$603,"&lt;="&amp;$Z$2))</f>
        <v/>
      </c>
      <c r="D35" s="39" t="str">
        <f>IF(OR($B35="",_自动清单!$AS$5=""),"",SUMIFS(次果筐明细!$G$4:$G$603,次果筐明细!$C$4:$C$603,$B35,次果筐明细!$D$4:$D$603,_自动清单!$AS$5,次果筐明细!$F$4:$F$603,"*出库*",次果筐明细!$B$4:$B$603,"&gt;="&amp;$Z$1,次果筐明细!$B$4:$B$603,"&lt;="&amp;$Z$2))</f>
        <v/>
      </c>
      <c r="E35" s="39" t="str">
        <f>IF(OR($B35="",_自动清单!$AS$6=""),"",SUMIFS(次果筐明细!$G$4:$G$603,次果筐明细!$C$4:$C$603,$B35,次果筐明细!$D$4:$D$603,_自动清单!$AS$6,次果筐明细!$F$4:$F$603,"*出库*",次果筐明细!$B$4:$B$603,"&gt;="&amp;$Z$1,次果筐明细!$B$4:$B$603,"&lt;="&amp;$Z$2))</f>
        <v/>
      </c>
      <c r="F35" s="39" t="str">
        <f>IF(OR($B35="",_自动清单!$AS$7=""),"",SUMIFS(次果筐明细!$G$4:$G$603,次果筐明细!$C$4:$C$603,$B35,次果筐明细!$D$4:$D$603,_自动清单!$AS$7,次果筐明细!$F$4:$F$603,"*出库*",次果筐明细!$B$4:$B$603,"&gt;="&amp;$Z$1,次果筐明细!$B$4:$B$603,"&lt;="&amp;$Z$2))</f>
        <v/>
      </c>
      <c r="G35" s="39" t="str">
        <f>IF($B35="","",SUMIFS(次果筐明细!$G$4:$G$603,次果筐明细!$C$4:$C$603,$B35,次果筐明细!$F$4:$F$603,"*出库*",次果筐明细!$B$4:$B$603,"&gt;="&amp;$Z$1,次果筐明细!$B$4:$B$603,"&lt;="&amp;$Z$2)-SUM($C35:$F35))</f>
        <v/>
      </c>
      <c r="H35" s="39" t="str">
        <f t="shared" si="1"/>
        <v/>
      </c>
      <c r="I35" s="39" t="str">
        <f>IF(OR($B35="",_自动清单!$AS$4=""),"",SUMIFS(次果筐明细!$G$4:$G$603,次果筐明细!$C$4:$C$603,$B35,次果筐明细!$D$4:$D$603,_自动清单!$AS$4,次果筐明细!$F$4:$F$603,"*入库*",次果筐明细!$B$4:$B$603,"&gt;="&amp;$Z$1,次果筐明细!$B$4:$B$603,"&lt;="&amp;$Z$2))</f>
        <v/>
      </c>
      <c r="J35" s="39" t="str">
        <f>IF(OR($B35="",_自动清单!$AS$5=""),"",SUMIFS(次果筐明细!$G$4:$G$603,次果筐明细!$C$4:$C$603,$B35,次果筐明细!$D$4:$D$603,_自动清单!$AS$5,次果筐明细!$F$4:$F$603,"*入库*",次果筐明细!$B$4:$B$603,"&gt;="&amp;$Z$1,次果筐明细!$B$4:$B$603,"&lt;="&amp;$Z$2))</f>
        <v/>
      </c>
      <c r="K35" s="39" t="str">
        <f>IF(OR($B35="",_自动清单!$AS$6=""),"",SUMIFS(次果筐明细!$G$4:$G$603,次果筐明细!$C$4:$C$603,$B35,次果筐明细!$D$4:$D$603,_自动清单!$AS$6,次果筐明细!$F$4:$F$603,"*入库*",次果筐明细!$B$4:$B$603,"&gt;="&amp;$Z$1,次果筐明细!$B$4:$B$603,"&lt;="&amp;$Z$2))</f>
        <v/>
      </c>
      <c r="L35" s="39" t="str">
        <f>IF(OR($B35="",_自动清单!$AS$7=""),"",SUMIFS(次果筐明细!$G$4:$G$603,次果筐明细!$C$4:$C$603,$B35,次果筐明细!$D$4:$D$603,_自动清单!$AS$7,次果筐明细!$F$4:$F$603,"*入库*",次果筐明细!$B$4:$B$603,"&gt;="&amp;$Z$1,次果筐明细!$B$4:$B$603,"&lt;="&amp;$Z$2))</f>
        <v/>
      </c>
      <c r="M35" s="62" t="str">
        <f>IF($B35="","",SUMIFS(次果筐明细!$G$4:$G$603,次果筐明细!$C$4:$C$603,$B35,次果筐明细!$F$4:$F$603,"*入库*",次果筐明细!$B$4:$B$603,"&gt;="&amp;$Z$1,次果筐明细!$B$4:$B$603,"&lt;="&amp;$Z$2)-SUM($I35:$L35))</f>
        <v/>
      </c>
      <c r="N35" s="62" t="str">
        <f t="shared" si="2"/>
        <v/>
      </c>
      <c r="O35" s="39" t="str">
        <f t="shared" si="3"/>
        <v/>
      </c>
      <c r="P35" s="30" t="str">
        <f>IF($B35="","",ROUND(SUMIFS(次果筐明细!$L$4:$L$603,次果筐明细!$C$4:$C$603,$B35,次果筐明细!$B$4:$B$603,"&gt;="&amp;$Z$1,次果筐明细!$B$4:$B$603,"&lt;="&amp;$Z$2),2))</f>
        <v/>
      </c>
      <c r="Q35" s="30" t="str">
        <f>IF($B35="","",ROUND(SUMIFS(次果筐明细!$L$4:$L$603,次果筐明细!$C$4:$C$603,$B35,次果筐明细!$M$4:$M$603,"已收讫",次果筐明细!$B$4:$B$603,"&gt;="&amp;$Z$1,次果筐明细!$B$4:$B$603,"&lt;="&amp;$Z$2),2))</f>
        <v/>
      </c>
      <c r="R35" s="30" t="str">
        <f t="shared" si="4"/>
        <v/>
      </c>
      <c r="S35" s="30" t="str">
        <f>IF($B35="","",ROUND(SUMIFS(次果筐明细!$J$4:$J$603,次果筐明细!$C$4:$C$603,$B35,次果筐明细!$B$4:$B$603,"&gt;="&amp;$Z$1,次果筐明细!$B$4:$B$603,"&lt;="&amp;$Z$2),2))</f>
        <v/>
      </c>
      <c r="T35" s="63" t="str">
        <f>IF($B35="","",ROUND(SUMIFS(次果筐明细!$K$4:$K$603,次果筐明细!$C$4:$C$603,$B35,次果筐明细!$B$4:$B$603,"&gt;="&amp;$Z$1,次果筐明细!$B$4:$B$603,"&lt;="&amp;$Z$2),2))</f>
        <v/>
      </c>
      <c r="U35" s="30" t="str">
        <f t="shared" si="5"/>
        <v/>
      </c>
      <c r="V35" s="42"/>
    </row>
    <row r="36" spans="1:22">
      <c r="A36" s="24" t="str">
        <f t="shared" si="0"/>
        <v/>
      </c>
      <c r="B36" s="37" t="str">
        <f>IFERROR(INDEX(_自动清单!$AY$4:$AY$203,ROW()-3),"")</f>
        <v/>
      </c>
      <c r="C36" s="39" t="str">
        <f>IF(OR($B36="",_自动清单!$AS$4=""),"",SUMIFS(次果筐明细!$G$4:$G$603,次果筐明细!$C$4:$C$603,$B36,次果筐明细!$D$4:$D$603,_自动清单!$AS$4,次果筐明细!$F$4:$F$603,"*出库*",次果筐明细!$B$4:$B$603,"&gt;="&amp;$Z$1,次果筐明细!$B$4:$B$603,"&lt;="&amp;$Z$2))</f>
        <v/>
      </c>
      <c r="D36" s="39" t="str">
        <f>IF(OR($B36="",_自动清单!$AS$5=""),"",SUMIFS(次果筐明细!$G$4:$G$603,次果筐明细!$C$4:$C$603,$B36,次果筐明细!$D$4:$D$603,_自动清单!$AS$5,次果筐明细!$F$4:$F$603,"*出库*",次果筐明细!$B$4:$B$603,"&gt;="&amp;$Z$1,次果筐明细!$B$4:$B$603,"&lt;="&amp;$Z$2))</f>
        <v/>
      </c>
      <c r="E36" s="39" t="str">
        <f>IF(OR($B36="",_自动清单!$AS$6=""),"",SUMIFS(次果筐明细!$G$4:$G$603,次果筐明细!$C$4:$C$603,$B36,次果筐明细!$D$4:$D$603,_自动清单!$AS$6,次果筐明细!$F$4:$F$603,"*出库*",次果筐明细!$B$4:$B$603,"&gt;="&amp;$Z$1,次果筐明细!$B$4:$B$603,"&lt;="&amp;$Z$2))</f>
        <v/>
      </c>
      <c r="F36" s="39" t="str">
        <f>IF(OR($B36="",_自动清单!$AS$7=""),"",SUMIFS(次果筐明细!$G$4:$G$603,次果筐明细!$C$4:$C$603,$B36,次果筐明细!$D$4:$D$603,_自动清单!$AS$7,次果筐明细!$F$4:$F$603,"*出库*",次果筐明细!$B$4:$B$603,"&gt;="&amp;$Z$1,次果筐明细!$B$4:$B$603,"&lt;="&amp;$Z$2))</f>
        <v/>
      </c>
      <c r="G36" s="39" t="str">
        <f>IF($B36="","",SUMIFS(次果筐明细!$G$4:$G$603,次果筐明细!$C$4:$C$603,$B36,次果筐明细!$F$4:$F$603,"*出库*",次果筐明细!$B$4:$B$603,"&gt;="&amp;$Z$1,次果筐明细!$B$4:$B$603,"&lt;="&amp;$Z$2)-SUM($C36:$F36))</f>
        <v/>
      </c>
      <c r="H36" s="39" t="str">
        <f t="shared" si="1"/>
        <v/>
      </c>
      <c r="I36" s="39" t="str">
        <f>IF(OR($B36="",_自动清单!$AS$4=""),"",SUMIFS(次果筐明细!$G$4:$G$603,次果筐明细!$C$4:$C$603,$B36,次果筐明细!$D$4:$D$603,_自动清单!$AS$4,次果筐明细!$F$4:$F$603,"*入库*",次果筐明细!$B$4:$B$603,"&gt;="&amp;$Z$1,次果筐明细!$B$4:$B$603,"&lt;="&amp;$Z$2))</f>
        <v/>
      </c>
      <c r="J36" s="39" t="str">
        <f>IF(OR($B36="",_自动清单!$AS$5=""),"",SUMIFS(次果筐明细!$G$4:$G$603,次果筐明细!$C$4:$C$603,$B36,次果筐明细!$D$4:$D$603,_自动清单!$AS$5,次果筐明细!$F$4:$F$603,"*入库*",次果筐明细!$B$4:$B$603,"&gt;="&amp;$Z$1,次果筐明细!$B$4:$B$603,"&lt;="&amp;$Z$2))</f>
        <v/>
      </c>
      <c r="K36" s="39" t="str">
        <f>IF(OR($B36="",_自动清单!$AS$6=""),"",SUMIFS(次果筐明细!$G$4:$G$603,次果筐明细!$C$4:$C$603,$B36,次果筐明细!$D$4:$D$603,_自动清单!$AS$6,次果筐明细!$F$4:$F$603,"*入库*",次果筐明细!$B$4:$B$603,"&gt;="&amp;$Z$1,次果筐明细!$B$4:$B$603,"&lt;="&amp;$Z$2))</f>
        <v/>
      </c>
      <c r="L36" s="39" t="str">
        <f>IF(OR($B36="",_自动清单!$AS$7=""),"",SUMIFS(次果筐明细!$G$4:$G$603,次果筐明细!$C$4:$C$603,$B36,次果筐明细!$D$4:$D$603,_自动清单!$AS$7,次果筐明细!$F$4:$F$603,"*入库*",次果筐明细!$B$4:$B$603,"&gt;="&amp;$Z$1,次果筐明细!$B$4:$B$603,"&lt;="&amp;$Z$2))</f>
        <v/>
      </c>
      <c r="M36" s="62" t="str">
        <f>IF($B36="","",SUMIFS(次果筐明细!$G$4:$G$603,次果筐明细!$C$4:$C$603,$B36,次果筐明细!$F$4:$F$603,"*入库*",次果筐明细!$B$4:$B$603,"&gt;="&amp;$Z$1,次果筐明细!$B$4:$B$603,"&lt;="&amp;$Z$2)-SUM($I36:$L36))</f>
        <v/>
      </c>
      <c r="N36" s="62" t="str">
        <f t="shared" si="2"/>
        <v/>
      </c>
      <c r="O36" s="39" t="str">
        <f t="shared" si="3"/>
        <v/>
      </c>
      <c r="P36" s="30" t="str">
        <f>IF($B36="","",ROUND(SUMIFS(次果筐明细!$L$4:$L$603,次果筐明细!$C$4:$C$603,$B36,次果筐明细!$B$4:$B$603,"&gt;="&amp;$Z$1,次果筐明细!$B$4:$B$603,"&lt;="&amp;$Z$2),2))</f>
        <v/>
      </c>
      <c r="Q36" s="30" t="str">
        <f>IF($B36="","",ROUND(SUMIFS(次果筐明细!$L$4:$L$603,次果筐明细!$C$4:$C$603,$B36,次果筐明细!$M$4:$M$603,"已收讫",次果筐明细!$B$4:$B$603,"&gt;="&amp;$Z$1,次果筐明细!$B$4:$B$603,"&lt;="&amp;$Z$2),2))</f>
        <v/>
      </c>
      <c r="R36" s="30" t="str">
        <f t="shared" si="4"/>
        <v/>
      </c>
      <c r="S36" s="30" t="str">
        <f>IF($B36="","",ROUND(SUMIFS(次果筐明细!$J$4:$J$603,次果筐明细!$C$4:$C$603,$B36,次果筐明细!$B$4:$B$603,"&gt;="&amp;$Z$1,次果筐明细!$B$4:$B$603,"&lt;="&amp;$Z$2),2))</f>
        <v/>
      </c>
      <c r="T36" s="63" t="str">
        <f>IF($B36="","",ROUND(SUMIFS(次果筐明细!$K$4:$K$603,次果筐明细!$C$4:$C$603,$B36,次果筐明细!$B$4:$B$603,"&gt;="&amp;$Z$1,次果筐明细!$B$4:$B$603,"&lt;="&amp;$Z$2),2))</f>
        <v/>
      </c>
      <c r="U36" s="30" t="str">
        <f t="shared" si="5"/>
        <v/>
      </c>
      <c r="V36" s="42"/>
    </row>
    <row r="37" spans="1:22">
      <c r="A37" s="24" t="str">
        <f t="shared" si="0"/>
        <v/>
      </c>
      <c r="B37" s="37" t="str">
        <f>IFERROR(INDEX(_自动清单!$AY$4:$AY$203,ROW()-3),"")</f>
        <v/>
      </c>
      <c r="C37" s="39" t="str">
        <f>IF(OR($B37="",_自动清单!$AS$4=""),"",SUMIFS(次果筐明细!$G$4:$G$603,次果筐明细!$C$4:$C$603,$B37,次果筐明细!$D$4:$D$603,_自动清单!$AS$4,次果筐明细!$F$4:$F$603,"*出库*",次果筐明细!$B$4:$B$603,"&gt;="&amp;$Z$1,次果筐明细!$B$4:$B$603,"&lt;="&amp;$Z$2))</f>
        <v/>
      </c>
      <c r="D37" s="39" t="str">
        <f>IF(OR($B37="",_自动清单!$AS$5=""),"",SUMIFS(次果筐明细!$G$4:$G$603,次果筐明细!$C$4:$C$603,$B37,次果筐明细!$D$4:$D$603,_自动清单!$AS$5,次果筐明细!$F$4:$F$603,"*出库*",次果筐明细!$B$4:$B$603,"&gt;="&amp;$Z$1,次果筐明细!$B$4:$B$603,"&lt;="&amp;$Z$2))</f>
        <v/>
      </c>
      <c r="E37" s="39" t="str">
        <f>IF(OR($B37="",_自动清单!$AS$6=""),"",SUMIFS(次果筐明细!$G$4:$G$603,次果筐明细!$C$4:$C$603,$B37,次果筐明细!$D$4:$D$603,_自动清单!$AS$6,次果筐明细!$F$4:$F$603,"*出库*",次果筐明细!$B$4:$B$603,"&gt;="&amp;$Z$1,次果筐明细!$B$4:$B$603,"&lt;="&amp;$Z$2))</f>
        <v/>
      </c>
      <c r="F37" s="39" t="str">
        <f>IF(OR($B37="",_自动清单!$AS$7=""),"",SUMIFS(次果筐明细!$G$4:$G$603,次果筐明细!$C$4:$C$603,$B37,次果筐明细!$D$4:$D$603,_自动清单!$AS$7,次果筐明细!$F$4:$F$603,"*出库*",次果筐明细!$B$4:$B$603,"&gt;="&amp;$Z$1,次果筐明细!$B$4:$B$603,"&lt;="&amp;$Z$2))</f>
        <v/>
      </c>
      <c r="G37" s="39" t="str">
        <f>IF($B37="","",SUMIFS(次果筐明细!$G$4:$G$603,次果筐明细!$C$4:$C$603,$B37,次果筐明细!$F$4:$F$603,"*出库*",次果筐明细!$B$4:$B$603,"&gt;="&amp;$Z$1,次果筐明细!$B$4:$B$603,"&lt;="&amp;$Z$2)-SUM($C37:$F37))</f>
        <v/>
      </c>
      <c r="H37" s="39" t="str">
        <f t="shared" si="1"/>
        <v/>
      </c>
      <c r="I37" s="39" t="str">
        <f>IF(OR($B37="",_自动清单!$AS$4=""),"",SUMIFS(次果筐明细!$G$4:$G$603,次果筐明细!$C$4:$C$603,$B37,次果筐明细!$D$4:$D$603,_自动清单!$AS$4,次果筐明细!$F$4:$F$603,"*入库*",次果筐明细!$B$4:$B$603,"&gt;="&amp;$Z$1,次果筐明细!$B$4:$B$603,"&lt;="&amp;$Z$2))</f>
        <v/>
      </c>
      <c r="J37" s="39" t="str">
        <f>IF(OR($B37="",_自动清单!$AS$5=""),"",SUMIFS(次果筐明细!$G$4:$G$603,次果筐明细!$C$4:$C$603,$B37,次果筐明细!$D$4:$D$603,_自动清单!$AS$5,次果筐明细!$F$4:$F$603,"*入库*",次果筐明细!$B$4:$B$603,"&gt;="&amp;$Z$1,次果筐明细!$B$4:$B$603,"&lt;="&amp;$Z$2))</f>
        <v/>
      </c>
      <c r="K37" s="39" t="str">
        <f>IF(OR($B37="",_自动清单!$AS$6=""),"",SUMIFS(次果筐明细!$G$4:$G$603,次果筐明细!$C$4:$C$603,$B37,次果筐明细!$D$4:$D$603,_自动清单!$AS$6,次果筐明细!$F$4:$F$603,"*入库*",次果筐明细!$B$4:$B$603,"&gt;="&amp;$Z$1,次果筐明细!$B$4:$B$603,"&lt;="&amp;$Z$2))</f>
        <v/>
      </c>
      <c r="L37" s="39" t="str">
        <f>IF(OR($B37="",_自动清单!$AS$7=""),"",SUMIFS(次果筐明细!$G$4:$G$603,次果筐明细!$C$4:$C$603,$B37,次果筐明细!$D$4:$D$603,_自动清单!$AS$7,次果筐明细!$F$4:$F$603,"*入库*",次果筐明细!$B$4:$B$603,"&gt;="&amp;$Z$1,次果筐明细!$B$4:$B$603,"&lt;="&amp;$Z$2))</f>
        <v/>
      </c>
      <c r="M37" s="62" t="str">
        <f>IF($B37="","",SUMIFS(次果筐明细!$G$4:$G$603,次果筐明细!$C$4:$C$603,$B37,次果筐明细!$F$4:$F$603,"*入库*",次果筐明细!$B$4:$B$603,"&gt;="&amp;$Z$1,次果筐明细!$B$4:$B$603,"&lt;="&amp;$Z$2)-SUM($I37:$L37))</f>
        <v/>
      </c>
      <c r="N37" s="62" t="str">
        <f t="shared" si="2"/>
        <v/>
      </c>
      <c r="O37" s="39" t="str">
        <f t="shared" si="3"/>
        <v/>
      </c>
      <c r="P37" s="30" t="str">
        <f>IF($B37="","",ROUND(SUMIFS(次果筐明细!$L$4:$L$603,次果筐明细!$C$4:$C$603,$B37,次果筐明细!$B$4:$B$603,"&gt;="&amp;$Z$1,次果筐明细!$B$4:$B$603,"&lt;="&amp;$Z$2),2))</f>
        <v/>
      </c>
      <c r="Q37" s="30" t="str">
        <f>IF($B37="","",ROUND(SUMIFS(次果筐明细!$L$4:$L$603,次果筐明细!$C$4:$C$603,$B37,次果筐明细!$M$4:$M$603,"已收讫",次果筐明细!$B$4:$B$603,"&gt;="&amp;$Z$1,次果筐明细!$B$4:$B$603,"&lt;="&amp;$Z$2),2))</f>
        <v/>
      </c>
      <c r="R37" s="30" t="str">
        <f t="shared" si="4"/>
        <v/>
      </c>
      <c r="S37" s="30" t="str">
        <f>IF($B37="","",ROUND(SUMIFS(次果筐明细!$J$4:$J$603,次果筐明细!$C$4:$C$603,$B37,次果筐明细!$B$4:$B$603,"&gt;="&amp;$Z$1,次果筐明细!$B$4:$B$603,"&lt;="&amp;$Z$2),2))</f>
        <v/>
      </c>
      <c r="T37" s="63" t="str">
        <f>IF($B37="","",ROUND(SUMIFS(次果筐明细!$K$4:$K$603,次果筐明细!$C$4:$C$603,$B37,次果筐明细!$B$4:$B$603,"&gt;="&amp;$Z$1,次果筐明细!$B$4:$B$603,"&lt;="&amp;$Z$2),2))</f>
        <v/>
      </c>
      <c r="U37" s="30" t="str">
        <f t="shared" si="5"/>
        <v/>
      </c>
      <c r="V37" s="42"/>
    </row>
    <row r="38" spans="1:22">
      <c r="A38" s="24" t="str">
        <f t="shared" si="0"/>
        <v/>
      </c>
      <c r="B38" s="37" t="str">
        <f>IFERROR(INDEX(_自动清单!$AY$4:$AY$203,ROW()-3),"")</f>
        <v/>
      </c>
      <c r="C38" s="39" t="str">
        <f>IF(OR($B38="",_自动清单!$AS$4=""),"",SUMIFS(次果筐明细!$G$4:$G$603,次果筐明细!$C$4:$C$603,$B38,次果筐明细!$D$4:$D$603,_自动清单!$AS$4,次果筐明细!$F$4:$F$603,"*出库*",次果筐明细!$B$4:$B$603,"&gt;="&amp;$Z$1,次果筐明细!$B$4:$B$603,"&lt;="&amp;$Z$2))</f>
        <v/>
      </c>
      <c r="D38" s="39" t="str">
        <f>IF(OR($B38="",_自动清单!$AS$5=""),"",SUMIFS(次果筐明细!$G$4:$G$603,次果筐明细!$C$4:$C$603,$B38,次果筐明细!$D$4:$D$603,_自动清单!$AS$5,次果筐明细!$F$4:$F$603,"*出库*",次果筐明细!$B$4:$B$603,"&gt;="&amp;$Z$1,次果筐明细!$B$4:$B$603,"&lt;="&amp;$Z$2))</f>
        <v/>
      </c>
      <c r="E38" s="39" t="str">
        <f>IF(OR($B38="",_自动清单!$AS$6=""),"",SUMIFS(次果筐明细!$G$4:$G$603,次果筐明细!$C$4:$C$603,$B38,次果筐明细!$D$4:$D$603,_自动清单!$AS$6,次果筐明细!$F$4:$F$603,"*出库*",次果筐明细!$B$4:$B$603,"&gt;="&amp;$Z$1,次果筐明细!$B$4:$B$603,"&lt;="&amp;$Z$2))</f>
        <v/>
      </c>
      <c r="F38" s="39" t="str">
        <f>IF(OR($B38="",_自动清单!$AS$7=""),"",SUMIFS(次果筐明细!$G$4:$G$603,次果筐明细!$C$4:$C$603,$B38,次果筐明细!$D$4:$D$603,_自动清单!$AS$7,次果筐明细!$F$4:$F$603,"*出库*",次果筐明细!$B$4:$B$603,"&gt;="&amp;$Z$1,次果筐明细!$B$4:$B$603,"&lt;="&amp;$Z$2))</f>
        <v/>
      </c>
      <c r="G38" s="39" t="str">
        <f>IF($B38="","",SUMIFS(次果筐明细!$G$4:$G$603,次果筐明细!$C$4:$C$603,$B38,次果筐明细!$F$4:$F$603,"*出库*",次果筐明细!$B$4:$B$603,"&gt;="&amp;$Z$1,次果筐明细!$B$4:$B$603,"&lt;="&amp;$Z$2)-SUM($C38:$F38))</f>
        <v/>
      </c>
      <c r="H38" s="39" t="str">
        <f t="shared" si="1"/>
        <v/>
      </c>
      <c r="I38" s="39" t="str">
        <f>IF(OR($B38="",_自动清单!$AS$4=""),"",SUMIFS(次果筐明细!$G$4:$G$603,次果筐明细!$C$4:$C$603,$B38,次果筐明细!$D$4:$D$603,_自动清单!$AS$4,次果筐明细!$F$4:$F$603,"*入库*",次果筐明细!$B$4:$B$603,"&gt;="&amp;$Z$1,次果筐明细!$B$4:$B$603,"&lt;="&amp;$Z$2))</f>
        <v/>
      </c>
      <c r="J38" s="39" t="str">
        <f>IF(OR($B38="",_自动清单!$AS$5=""),"",SUMIFS(次果筐明细!$G$4:$G$603,次果筐明细!$C$4:$C$603,$B38,次果筐明细!$D$4:$D$603,_自动清单!$AS$5,次果筐明细!$F$4:$F$603,"*入库*",次果筐明细!$B$4:$B$603,"&gt;="&amp;$Z$1,次果筐明细!$B$4:$B$603,"&lt;="&amp;$Z$2))</f>
        <v/>
      </c>
      <c r="K38" s="39" t="str">
        <f>IF(OR($B38="",_自动清单!$AS$6=""),"",SUMIFS(次果筐明细!$G$4:$G$603,次果筐明细!$C$4:$C$603,$B38,次果筐明细!$D$4:$D$603,_自动清单!$AS$6,次果筐明细!$F$4:$F$603,"*入库*",次果筐明细!$B$4:$B$603,"&gt;="&amp;$Z$1,次果筐明细!$B$4:$B$603,"&lt;="&amp;$Z$2))</f>
        <v/>
      </c>
      <c r="L38" s="39" t="str">
        <f>IF(OR($B38="",_自动清单!$AS$7=""),"",SUMIFS(次果筐明细!$G$4:$G$603,次果筐明细!$C$4:$C$603,$B38,次果筐明细!$D$4:$D$603,_自动清单!$AS$7,次果筐明细!$F$4:$F$603,"*入库*",次果筐明细!$B$4:$B$603,"&gt;="&amp;$Z$1,次果筐明细!$B$4:$B$603,"&lt;="&amp;$Z$2))</f>
        <v/>
      </c>
      <c r="M38" s="62" t="str">
        <f>IF($B38="","",SUMIFS(次果筐明细!$G$4:$G$603,次果筐明细!$C$4:$C$603,$B38,次果筐明细!$F$4:$F$603,"*入库*",次果筐明细!$B$4:$B$603,"&gt;="&amp;$Z$1,次果筐明细!$B$4:$B$603,"&lt;="&amp;$Z$2)-SUM($I38:$L38))</f>
        <v/>
      </c>
      <c r="N38" s="62" t="str">
        <f t="shared" si="2"/>
        <v/>
      </c>
      <c r="O38" s="39" t="str">
        <f t="shared" si="3"/>
        <v/>
      </c>
      <c r="P38" s="30" t="str">
        <f>IF($B38="","",ROUND(SUMIFS(次果筐明细!$L$4:$L$603,次果筐明细!$C$4:$C$603,$B38,次果筐明细!$B$4:$B$603,"&gt;="&amp;$Z$1,次果筐明细!$B$4:$B$603,"&lt;="&amp;$Z$2),2))</f>
        <v/>
      </c>
      <c r="Q38" s="30" t="str">
        <f>IF($B38="","",ROUND(SUMIFS(次果筐明细!$L$4:$L$603,次果筐明细!$C$4:$C$603,$B38,次果筐明细!$M$4:$M$603,"已收讫",次果筐明细!$B$4:$B$603,"&gt;="&amp;$Z$1,次果筐明细!$B$4:$B$603,"&lt;="&amp;$Z$2),2))</f>
        <v/>
      </c>
      <c r="R38" s="30" t="str">
        <f t="shared" si="4"/>
        <v/>
      </c>
      <c r="S38" s="30" t="str">
        <f>IF($B38="","",ROUND(SUMIFS(次果筐明细!$J$4:$J$603,次果筐明细!$C$4:$C$603,$B38,次果筐明细!$B$4:$B$603,"&gt;="&amp;$Z$1,次果筐明细!$B$4:$B$603,"&lt;="&amp;$Z$2),2))</f>
        <v/>
      </c>
      <c r="T38" s="63" t="str">
        <f>IF($B38="","",ROUND(SUMIFS(次果筐明细!$K$4:$K$603,次果筐明细!$C$4:$C$603,$B38,次果筐明细!$B$4:$B$603,"&gt;="&amp;$Z$1,次果筐明细!$B$4:$B$603,"&lt;="&amp;$Z$2),2))</f>
        <v/>
      </c>
      <c r="U38" s="30" t="str">
        <f t="shared" si="5"/>
        <v/>
      </c>
      <c r="V38" s="42"/>
    </row>
    <row r="39" spans="1:22">
      <c r="A39" s="24" t="str">
        <f t="shared" si="0"/>
        <v/>
      </c>
      <c r="B39" s="37" t="str">
        <f>IFERROR(INDEX(_自动清单!$AY$4:$AY$203,ROW()-3),"")</f>
        <v/>
      </c>
      <c r="C39" s="39" t="str">
        <f>IF(OR($B39="",_自动清单!$AS$4=""),"",SUMIFS(次果筐明细!$G$4:$G$603,次果筐明细!$C$4:$C$603,$B39,次果筐明细!$D$4:$D$603,_自动清单!$AS$4,次果筐明细!$F$4:$F$603,"*出库*",次果筐明细!$B$4:$B$603,"&gt;="&amp;$Z$1,次果筐明细!$B$4:$B$603,"&lt;="&amp;$Z$2))</f>
        <v/>
      </c>
      <c r="D39" s="39" t="str">
        <f>IF(OR($B39="",_自动清单!$AS$5=""),"",SUMIFS(次果筐明细!$G$4:$G$603,次果筐明细!$C$4:$C$603,$B39,次果筐明细!$D$4:$D$603,_自动清单!$AS$5,次果筐明细!$F$4:$F$603,"*出库*",次果筐明细!$B$4:$B$603,"&gt;="&amp;$Z$1,次果筐明细!$B$4:$B$603,"&lt;="&amp;$Z$2))</f>
        <v/>
      </c>
      <c r="E39" s="39" t="str">
        <f>IF(OR($B39="",_自动清单!$AS$6=""),"",SUMIFS(次果筐明细!$G$4:$G$603,次果筐明细!$C$4:$C$603,$B39,次果筐明细!$D$4:$D$603,_自动清单!$AS$6,次果筐明细!$F$4:$F$603,"*出库*",次果筐明细!$B$4:$B$603,"&gt;="&amp;$Z$1,次果筐明细!$B$4:$B$603,"&lt;="&amp;$Z$2))</f>
        <v/>
      </c>
      <c r="F39" s="39" t="str">
        <f>IF(OR($B39="",_自动清单!$AS$7=""),"",SUMIFS(次果筐明细!$G$4:$G$603,次果筐明细!$C$4:$C$603,$B39,次果筐明细!$D$4:$D$603,_自动清单!$AS$7,次果筐明细!$F$4:$F$603,"*出库*",次果筐明细!$B$4:$B$603,"&gt;="&amp;$Z$1,次果筐明细!$B$4:$B$603,"&lt;="&amp;$Z$2))</f>
        <v/>
      </c>
      <c r="G39" s="39" t="str">
        <f>IF($B39="","",SUMIFS(次果筐明细!$G$4:$G$603,次果筐明细!$C$4:$C$603,$B39,次果筐明细!$F$4:$F$603,"*出库*",次果筐明细!$B$4:$B$603,"&gt;="&amp;$Z$1,次果筐明细!$B$4:$B$603,"&lt;="&amp;$Z$2)-SUM($C39:$F39))</f>
        <v/>
      </c>
      <c r="H39" s="39" t="str">
        <f t="shared" si="1"/>
        <v/>
      </c>
      <c r="I39" s="39" t="str">
        <f>IF(OR($B39="",_自动清单!$AS$4=""),"",SUMIFS(次果筐明细!$G$4:$G$603,次果筐明细!$C$4:$C$603,$B39,次果筐明细!$D$4:$D$603,_自动清单!$AS$4,次果筐明细!$F$4:$F$603,"*入库*",次果筐明细!$B$4:$B$603,"&gt;="&amp;$Z$1,次果筐明细!$B$4:$B$603,"&lt;="&amp;$Z$2))</f>
        <v/>
      </c>
      <c r="J39" s="39" t="str">
        <f>IF(OR($B39="",_自动清单!$AS$5=""),"",SUMIFS(次果筐明细!$G$4:$G$603,次果筐明细!$C$4:$C$603,$B39,次果筐明细!$D$4:$D$603,_自动清单!$AS$5,次果筐明细!$F$4:$F$603,"*入库*",次果筐明细!$B$4:$B$603,"&gt;="&amp;$Z$1,次果筐明细!$B$4:$B$603,"&lt;="&amp;$Z$2))</f>
        <v/>
      </c>
      <c r="K39" s="39" t="str">
        <f>IF(OR($B39="",_自动清单!$AS$6=""),"",SUMIFS(次果筐明细!$G$4:$G$603,次果筐明细!$C$4:$C$603,$B39,次果筐明细!$D$4:$D$603,_自动清单!$AS$6,次果筐明细!$F$4:$F$603,"*入库*",次果筐明细!$B$4:$B$603,"&gt;="&amp;$Z$1,次果筐明细!$B$4:$B$603,"&lt;="&amp;$Z$2))</f>
        <v/>
      </c>
      <c r="L39" s="39" t="str">
        <f>IF(OR($B39="",_自动清单!$AS$7=""),"",SUMIFS(次果筐明细!$G$4:$G$603,次果筐明细!$C$4:$C$603,$B39,次果筐明细!$D$4:$D$603,_自动清单!$AS$7,次果筐明细!$F$4:$F$603,"*入库*",次果筐明细!$B$4:$B$603,"&gt;="&amp;$Z$1,次果筐明细!$B$4:$B$603,"&lt;="&amp;$Z$2))</f>
        <v/>
      </c>
      <c r="M39" s="62" t="str">
        <f>IF($B39="","",SUMIFS(次果筐明细!$G$4:$G$603,次果筐明细!$C$4:$C$603,$B39,次果筐明细!$F$4:$F$603,"*入库*",次果筐明细!$B$4:$B$603,"&gt;="&amp;$Z$1,次果筐明细!$B$4:$B$603,"&lt;="&amp;$Z$2)-SUM($I39:$L39))</f>
        <v/>
      </c>
      <c r="N39" s="62" t="str">
        <f t="shared" si="2"/>
        <v/>
      </c>
      <c r="O39" s="39" t="str">
        <f t="shared" si="3"/>
        <v/>
      </c>
      <c r="P39" s="30" t="str">
        <f>IF($B39="","",ROUND(SUMIFS(次果筐明细!$L$4:$L$603,次果筐明细!$C$4:$C$603,$B39,次果筐明细!$B$4:$B$603,"&gt;="&amp;$Z$1,次果筐明细!$B$4:$B$603,"&lt;="&amp;$Z$2),2))</f>
        <v/>
      </c>
      <c r="Q39" s="30" t="str">
        <f>IF($B39="","",ROUND(SUMIFS(次果筐明细!$L$4:$L$603,次果筐明细!$C$4:$C$603,$B39,次果筐明细!$M$4:$M$603,"已收讫",次果筐明细!$B$4:$B$603,"&gt;="&amp;$Z$1,次果筐明细!$B$4:$B$603,"&lt;="&amp;$Z$2),2))</f>
        <v/>
      </c>
      <c r="R39" s="30" t="str">
        <f t="shared" si="4"/>
        <v/>
      </c>
      <c r="S39" s="30" t="str">
        <f>IF($B39="","",ROUND(SUMIFS(次果筐明细!$J$4:$J$603,次果筐明细!$C$4:$C$603,$B39,次果筐明细!$B$4:$B$603,"&gt;="&amp;$Z$1,次果筐明细!$B$4:$B$603,"&lt;="&amp;$Z$2),2))</f>
        <v/>
      </c>
      <c r="T39" s="63" t="str">
        <f>IF($B39="","",ROUND(SUMIFS(次果筐明细!$K$4:$K$603,次果筐明细!$C$4:$C$603,$B39,次果筐明细!$B$4:$B$603,"&gt;="&amp;$Z$1,次果筐明细!$B$4:$B$603,"&lt;="&amp;$Z$2),2))</f>
        <v/>
      </c>
      <c r="U39" s="30" t="str">
        <f t="shared" si="5"/>
        <v/>
      </c>
      <c r="V39" s="42"/>
    </row>
    <row r="40" spans="1:22">
      <c r="A40" s="24" t="str">
        <f t="shared" si="0"/>
        <v/>
      </c>
      <c r="B40" s="37" t="str">
        <f>IFERROR(INDEX(_自动清单!$AY$4:$AY$203,ROW()-3),"")</f>
        <v/>
      </c>
      <c r="C40" s="39" t="str">
        <f>IF(OR($B40="",_自动清单!$AS$4=""),"",SUMIFS(次果筐明细!$G$4:$G$603,次果筐明细!$C$4:$C$603,$B40,次果筐明细!$D$4:$D$603,_自动清单!$AS$4,次果筐明细!$F$4:$F$603,"*出库*",次果筐明细!$B$4:$B$603,"&gt;="&amp;$Z$1,次果筐明细!$B$4:$B$603,"&lt;="&amp;$Z$2))</f>
        <v/>
      </c>
      <c r="D40" s="39" t="str">
        <f>IF(OR($B40="",_自动清单!$AS$5=""),"",SUMIFS(次果筐明细!$G$4:$G$603,次果筐明细!$C$4:$C$603,$B40,次果筐明细!$D$4:$D$603,_自动清单!$AS$5,次果筐明细!$F$4:$F$603,"*出库*",次果筐明细!$B$4:$B$603,"&gt;="&amp;$Z$1,次果筐明细!$B$4:$B$603,"&lt;="&amp;$Z$2))</f>
        <v/>
      </c>
      <c r="E40" s="39" t="str">
        <f>IF(OR($B40="",_自动清单!$AS$6=""),"",SUMIFS(次果筐明细!$G$4:$G$603,次果筐明细!$C$4:$C$603,$B40,次果筐明细!$D$4:$D$603,_自动清单!$AS$6,次果筐明细!$F$4:$F$603,"*出库*",次果筐明细!$B$4:$B$603,"&gt;="&amp;$Z$1,次果筐明细!$B$4:$B$603,"&lt;="&amp;$Z$2))</f>
        <v/>
      </c>
      <c r="F40" s="39" t="str">
        <f>IF(OR($B40="",_自动清单!$AS$7=""),"",SUMIFS(次果筐明细!$G$4:$G$603,次果筐明细!$C$4:$C$603,$B40,次果筐明细!$D$4:$D$603,_自动清单!$AS$7,次果筐明细!$F$4:$F$603,"*出库*",次果筐明细!$B$4:$B$603,"&gt;="&amp;$Z$1,次果筐明细!$B$4:$B$603,"&lt;="&amp;$Z$2))</f>
        <v/>
      </c>
      <c r="G40" s="39" t="str">
        <f>IF($B40="","",SUMIFS(次果筐明细!$G$4:$G$603,次果筐明细!$C$4:$C$603,$B40,次果筐明细!$F$4:$F$603,"*出库*",次果筐明细!$B$4:$B$603,"&gt;="&amp;$Z$1,次果筐明细!$B$4:$B$603,"&lt;="&amp;$Z$2)-SUM($C40:$F40))</f>
        <v/>
      </c>
      <c r="H40" s="39" t="str">
        <f t="shared" si="1"/>
        <v/>
      </c>
      <c r="I40" s="39" t="str">
        <f>IF(OR($B40="",_自动清单!$AS$4=""),"",SUMIFS(次果筐明细!$G$4:$G$603,次果筐明细!$C$4:$C$603,$B40,次果筐明细!$D$4:$D$603,_自动清单!$AS$4,次果筐明细!$F$4:$F$603,"*入库*",次果筐明细!$B$4:$B$603,"&gt;="&amp;$Z$1,次果筐明细!$B$4:$B$603,"&lt;="&amp;$Z$2))</f>
        <v/>
      </c>
      <c r="J40" s="39" t="str">
        <f>IF(OR($B40="",_自动清单!$AS$5=""),"",SUMIFS(次果筐明细!$G$4:$G$603,次果筐明细!$C$4:$C$603,$B40,次果筐明细!$D$4:$D$603,_自动清单!$AS$5,次果筐明细!$F$4:$F$603,"*入库*",次果筐明细!$B$4:$B$603,"&gt;="&amp;$Z$1,次果筐明细!$B$4:$B$603,"&lt;="&amp;$Z$2))</f>
        <v/>
      </c>
      <c r="K40" s="39" t="str">
        <f>IF(OR($B40="",_自动清单!$AS$6=""),"",SUMIFS(次果筐明细!$G$4:$G$603,次果筐明细!$C$4:$C$603,$B40,次果筐明细!$D$4:$D$603,_自动清单!$AS$6,次果筐明细!$F$4:$F$603,"*入库*",次果筐明细!$B$4:$B$603,"&gt;="&amp;$Z$1,次果筐明细!$B$4:$B$603,"&lt;="&amp;$Z$2))</f>
        <v/>
      </c>
      <c r="L40" s="39" t="str">
        <f>IF(OR($B40="",_自动清单!$AS$7=""),"",SUMIFS(次果筐明细!$G$4:$G$603,次果筐明细!$C$4:$C$603,$B40,次果筐明细!$D$4:$D$603,_自动清单!$AS$7,次果筐明细!$F$4:$F$603,"*入库*",次果筐明细!$B$4:$B$603,"&gt;="&amp;$Z$1,次果筐明细!$B$4:$B$603,"&lt;="&amp;$Z$2))</f>
        <v/>
      </c>
      <c r="M40" s="62" t="str">
        <f>IF($B40="","",SUMIFS(次果筐明细!$G$4:$G$603,次果筐明细!$C$4:$C$603,$B40,次果筐明细!$F$4:$F$603,"*入库*",次果筐明细!$B$4:$B$603,"&gt;="&amp;$Z$1,次果筐明细!$B$4:$B$603,"&lt;="&amp;$Z$2)-SUM($I40:$L40))</f>
        <v/>
      </c>
      <c r="N40" s="62" t="str">
        <f t="shared" si="2"/>
        <v/>
      </c>
      <c r="O40" s="39" t="str">
        <f t="shared" si="3"/>
        <v/>
      </c>
      <c r="P40" s="30" t="str">
        <f>IF($B40="","",ROUND(SUMIFS(次果筐明细!$L$4:$L$603,次果筐明细!$C$4:$C$603,$B40,次果筐明细!$B$4:$B$603,"&gt;="&amp;$Z$1,次果筐明细!$B$4:$B$603,"&lt;="&amp;$Z$2),2))</f>
        <v/>
      </c>
      <c r="Q40" s="30" t="str">
        <f>IF($B40="","",ROUND(SUMIFS(次果筐明细!$L$4:$L$603,次果筐明细!$C$4:$C$603,$B40,次果筐明细!$M$4:$M$603,"已收讫",次果筐明细!$B$4:$B$603,"&gt;="&amp;$Z$1,次果筐明细!$B$4:$B$603,"&lt;="&amp;$Z$2),2))</f>
        <v/>
      </c>
      <c r="R40" s="30" t="str">
        <f t="shared" si="4"/>
        <v/>
      </c>
      <c r="S40" s="30" t="str">
        <f>IF($B40="","",ROUND(SUMIFS(次果筐明细!$J$4:$J$603,次果筐明细!$C$4:$C$603,$B40,次果筐明细!$B$4:$B$603,"&gt;="&amp;$Z$1,次果筐明细!$B$4:$B$603,"&lt;="&amp;$Z$2),2))</f>
        <v/>
      </c>
      <c r="T40" s="63" t="str">
        <f>IF($B40="","",ROUND(SUMIFS(次果筐明细!$K$4:$K$603,次果筐明细!$C$4:$C$603,$B40,次果筐明细!$B$4:$B$603,"&gt;="&amp;$Z$1,次果筐明细!$B$4:$B$603,"&lt;="&amp;$Z$2),2))</f>
        <v/>
      </c>
      <c r="U40" s="30" t="str">
        <f t="shared" si="5"/>
        <v/>
      </c>
      <c r="V40" s="42"/>
    </row>
    <row r="41" spans="1:22">
      <c r="A41" s="24" t="str">
        <f t="shared" si="0"/>
        <v/>
      </c>
      <c r="B41" s="37" t="str">
        <f>IFERROR(INDEX(_自动清单!$AY$4:$AY$203,ROW()-3),"")</f>
        <v/>
      </c>
      <c r="C41" s="39" t="str">
        <f>IF(OR($B41="",_自动清单!$AS$4=""),"",SUMIFS(次果筐明细!$G$4:$G$603,次果筐明细!$C$4:$C$603,$B41,次果筐明细!$D$4:$D$603,_自动清单!$AS$4,次果筐明细!$F$4:$F$603,"*出库*",次果筐明细!$B$4:$B$603,"&gt;="&amp;$Z$1,次果筐明细!$B$4:$B$603,"&lt;="&amp;$Z$2))</f>
        <v/>
      </c>
      <c r="D41" s="39" t="str">
        <f>IF(OR($B41="",_自动清单!$AS$5=""),"",SUMIFS(次果筐明细!$G$4:$G$603,次果筐明细!$C$4:$C$603,$B41,次果筐明细!$D$4:$D$603,_自动清单!$AS$5,次果筐明细!$F$4:$F$603,"*出库*",次果筐明细!$B$4:$B$603,"&gt;="&amp;$Z$1,次果筐明细!$B$4:$B$603,"&lt;="&amp;$Z$2))</f>
        <v/>
      </c>
      <c r="E41" s="39" t="str">
        <f>IF(OR($B41="",_自动清单!$AS$6=""),"",SUMIFS(次果筐明细!$G$4:$G$603,次果筐明细!$C$4:$C$603,$B41,次果筐明细!$D$4:$D$603,_自动清单!$AS$6,次果筐明细!$F$4:$F$603,"*出库*",次果筐明细!$B$4:$B$603,"&gt;="&amp;$Z$1,次果筐明细!$B$4:$B$603,"&lt;="&amp;$Z$2))</f>
        <v/>
      </c>
      <c r="F41" s="39" t="str">
        <f>IF(OR($B41="",_自动清单!$AS$7=""),"",SUMIFS(次果筐明细!$G$4:$G$603,次果筐明细!$C$4:$C$603,$B41,次果筐明细!$D$4:$D$603,_自动清单!$AS$7,次果筐明细!$F$4:$F$603,"*出库*",次果筐明细!$B$4:$B$603,"&gt;="&amp;$Z$1,次果筐明细!$B$4:$B$603,"&lt;="&amp;$Z$2))</f>
        <v/>
      </c>
      <c r="G41" s="39" t="str">
        <f>IF($B41="","",SUMIFS(次果筐明细!$G$4:$G$603,次果筐明细!$C$4:$C$603,$B41,次果筐明细!$F$4:$F$603,"*出库*",次果筐明细!$B$4:$B$603,"&gt;="&amp;$Z$1,次果筐明细!$B$4:$B$603,"&lt;="&amp;$Z$2)-SUM($C41:$F41))</f>
        <v/>
      </c>
      <c r="H41" s="39" t="str">
        <f t="shared" si="1"/>
        <v/>
      </c>
      <c r="I41" s="39" t="str">
        <f>IF(OR($B41="",_自动清单!$AS$4=""),"",SUMIFS(次果筐明细!$G$4:$G$603,次果筐明细!$C$4:$C$603,$B41,次果筐明细!$D$4:$D$603,_自动清单!$AS$4,次果筐明细!$F$4:$F$603,"*入库*",次果筐明细!$B$4:$B$603,"&gt;="&amp;$Z$1,次果筐明细!$B$4:$B$603,"&lt;="&amp;$Z$2))</f>
        <v/>
      </c>
      <c r="J41" s="39" t="str">
        <f>IF(OR($B41="",_自动清单!$AS$5=""),"",SUMIFS(次果筐明细!$G$4:$G$603,次果筐明细!$C$4:$C$603,$B41,次果筐明细!$D$4:$D$603,_自动清单!$AS$5,次果筐明细!$F$4:$F$603,"*入库*",次果筐明细!$B$4:$B$603,"&gt;="&amp;$Z$1,次果筐明细!$B$4:$B$603,"&lt;="&amp;$Z$2))</f>
        <v/>
      </c>
      <c r="K41" s="39" t="str">
        <f>IF(OR($B41="",_自动清单!$AS$6=""),"",SUMIFS(次果筐明细!$G$4:$G$603,次果筐明细!$C$4:$C$603,$B41,次果筐明细!$D$4:$D$603,_自动清单!$AS$6,次果筐明细!$F$4:$F$603,"*入库*",次果筐明细!$B$4:$B$603,"&gt;="&amp;$Z$1,次果筐明细!$B$4:$B$603,"&lt;="&amp;$Z$2))</f>
        <v/>
      </c>
      <c r="L41" s="39" t="str">
        <f>IF(OR($B41="",_自动清单!$AS$7=""),"",SUMIFS(次果筐明细!$G$4:$G$603,次果筐明细!$C$4:$C$603,$B41,次果筐明细!$D$4:$D$603,_自动清单!$AS$7,次果筐明细!$F$4:$F$603,"*入库*",次果筐明细!$B$4:$B$603,"&gt;="&amp;$Z$1,次果筐明细!$B$4:$B$603,"&lt;="&amp;$Z$2))</f>
        <v/>
      </c>
      <c r="M41" s="62" t="str">
        <f>IF($B41="","",SUMIFS(次果筐明细!$G$4:$G$603,次果筐明细!$C$4:$C$603,$B41,次果筐明细!$F$4:$F$603,"*入库*",次果筐明细!$B$4:$B$603,"&gt;="&amp;$Z$1,次果筐明细!$B$4:$B$603,"&lt;="&amp;$Z$2)-SUM($I41:$L41))</f>
        <v/>
      </c>
      <c r="N41" s="62" t="str">
        <f t="shared" si="2"/>
        <v/>
      </c>
      <c r="O41" s="39" t="str">
        <f t="shared" si="3"/>
        <v/>
      </c>
      <c r="P41" s="30" t="str">
        <f>IF($B41="","",ROUND(SUMIFS(次果筐明细!$L$4:$L$603,次果筐明细!$C$4:$C$603,$B41,次果筐明细!$B$4:$B$603,"&gt;="&amp;$Z$1,次果筐明细!$B$4:$B$603,"&lt;="&amp;$Z$2),2))</f>
        <v/>
      </c>
      <c r="Q41" s="30" t="str">
        <f>IF($B41="","",ROUND(SUMIFS(次果筐明细!$L$4:$L$603,次果筐明细!$C$4:$C$603,$B41,次果筐明细!$M$4:$M$603,"已收讫",次果筐明细!$B$4:$B$603,"&gt;="&amp;$Z$1,次果筐明细!$B$4:$B$603,"&lt;="&amp;$Z$2),2))</f>
        <v/>
      </c>
      <c r="R41" s="30" t="str">
        <f t="shared" si="4"/>
        <v/>
      </c>
      <c r="S41" s="30" t="str">
        <f>IF($B41="","",ROUND(SUMIFS(次果筐明细!$J$4:$J$603,次果筐明细!$C$4:$C$603,$B41,次果筐明细!$B$4:$B$603,"&gt;="&amp;$Z$1,次果筐明细!$B$4:$B$603,"&lt;="&amp;$Z$2),2))</f>
        <v/>
      </c>
      <c r="T41" s="63" t="str">
        <f>IF($B41="","",ROUND(SUMIFS(次果筐明细!$K$4:$K$603,次果筐明细!$C$4:$C$603,$B41,次果筐明细!$B$4:$B$603,"&gt;="&amp;$Z$1,次果筐明细!$B$4:$B$603,"&lt;="&amp;$Z$2),2))</f>
        <v/>
      </c>
      <c r="U41" s="30" t="str">
        <f t="shared" si="5"/>
        <v/>
      </c>
      <c r="V41" s="42"/>
    </row>
    <row r="42" spans="1:22">
      <c r="A42" s="24" t="str">
        <f t="shared" si="0"/>
        <v/>
      </c>
      <c r="B42" s="37" t="str">
        <f>IFERROR(INDEX(_自动清单!$AY$4:$AY$203,ROW()-3),"")</f>
        <v/>
      </c>
      <c r="C42" s="39" t="str">
        <f>IF(OR($B42="",_自动清单!$AS$4=""),"",SUMIFS(次果筐明细!$G$4:$G$603,次果筐明细!$C$4:$C$603,$B42,次果筐明细!$D$4:$D$603,_自动清单!$AS$4,次果筐明细!$F$4:$F$603,"*出库*",次果筐明细!$B$4:$B$603,"&gt;="&amp;$Z$1,次果筐明细!$B$4:$B$603,"&lt;="&amp;$Z$2))</f>
        <v/>
      </c>
      <c r="D42" s="39" t="str">
        <f>IF(OR($B42="",_自动清单!$AS$5=""),"",SUMIFS(次果筐明细!$G$4:$G$603,次果筐明细!$C$4:$C$603,$B42,次果筐明细!$D$4:$D$603,_自动清单!$AS$5,次果筐明细!$F$4:$F$603,"*出库*",次果筐明细!$B$4:$B$603,"&gt;="&amp;$Z$1,次果筐明细!$B$4:$B$603,"&lt;="&amp;$Z$2))</f>
        <v/>
      </c>
      <c r="E42" s="39" t="str">
        <f>IF(OR($B42="",_自动清单!$AS$6=""),"",SUMIFS(次果筐明细!$G$4:$G$603,次果筐明细!$C$4:$C$603,$B42,次果筐明细!$D$4:$D$603,_自动清单!$AS$6,次果筐明细!$F$4:$F$603,"*出库*",次果筐明细!$B$4:$B$603,"&gt;="&amp;$Z$1,次果筐明细!$B$4:$B$603,"&lt;="&amp;$Z$2))</f>
        <v/>
      </c>
      <c r="F42" s="39" t="str">
        <f>IF(OR($B42="",_自动清单!$AS$7=""),"",SUMIFS(次果筐明细!$G$4:$G$603,次果筐明细!$C$4:$C$603,$B42,次果筐明细!$D$4:$D$603,_自动清单!$AS$7,次果筐明细!$F$4:$F$603,"*出库*",次果筐明细!$B$4:$B$603,"&gt;="&amp;$Z$1,次果筐明细!$B$4:$B$603,"&lt;="&amp;$Z$2))</f>
        <v/>
      </c>
      <c r="G42" s="39" t="str">
        <f>IF($B42="","",SUMIFS(次果筐明细!$G$4:$G$603,次果筐明细!$C$4:$C$603,$B42,次果筐明细!$F$4:$F$603,"*出库*",次果筐明细!$B$4:$B$603,"&gt;="&amp;$Z$1,次果筐明细!$B$4:$B$603,"&lt;="&amp;$Z$2)-SUM($C42:$F42))</f>
        <v/>
      </c>
      <c r="H42" s="39" t="str">
        <f t="shared" si="1"/>
        <v/>
      </c>
      <c r="I42" s="39" t="str">
        <f>IF(OR($B42="",_自动清单!$AS$4=""),"",SUMIFS(次果筐明细!$G$4:$G$603,次果筐明细!$C$4:$C$603,$B42,次果筐明细!$D$4:$D$603,_自动清单!$AS$4,次果筐明细!$F$4:$F$603,"*入库*",次果筐明细!$B$4:$B$603,"&gt;="&amp;$Z$1,次果筐明细!$B$4:$B$603,"&lt;="&amp;$Z$2))</f>
        <v/>
      </c>
      <c r="J42" s="39" t="str">
        <f>IF(OR($B42="",_自动清单!$AS$5=""),"",SUMIFS(次果筐明细!$G$4:$G$603,次果筐明细!$C$4:$C$603,$B42,次果筐明细!$D$4:$D$603,_自动清单!$AS$5,次果筐明细!$F$4:$F$603,"*入库*",次果筐明细!$B$4:$B$603,"&gt;="&amp;$Z$1,次果筐明细!$B$4:$B$603,"&lt;="&amp;$Z$2))</f>
        <v/>
      </c>
      <c r="K42" s="39" t="str">
        <f>IF(OR($B42="",_自动清单!$AS$6=""),"",SUMIFS(次果筐明细!$G$4:$G$603,次果筐明细!$C$4:$C$603,$B42,次果筐明细!$D$4:$D$603,_自动清单!$AS$6,次果筐明细!$F$4:$F$603,"*入库*",次果筐明细!$B$4:$B$603,"&gt;="&amp;$Z$1,次果筐明细!$B$4:$B$603,"&lt;="&amp;$Z$2))</f>
        <v/>
      </c>
      <c r="L42" s="39" t="str">
        <f>IF(OR($B42="",_自动清单!$AS$7=""),"",SUMIFS(次果筐明细!$G$4:$G$603,次果筐明细!$C$4:$C$603,$B42,次果筐明细!$D$4:$D$603,_自动清单!$AS$7,次果筐明细!$F$4:$F$603,"*入库*",次果筐明细!$B$4:$B$603,"&gt;="&amp;$Z$1,次果筐明细!$B$4:$B$603,"&lt;="&amp;$Z$2))</f>
        <v/>
      </c>
      <c r="M42" s="62" t="str">
        <f>IF($B42="","",SUMIFS(次果筐明细!$G$4:$G$603,次果筐明细!$C$4:$C$603,$B42,次果筐明细!$F$4:$F$603,"*入库*",次果筐明细!$B$4:$B$603,"&gt;="&amp;$Z$1,次果筐明细!$B$4:$B$603,"&lt;="&amp;$Z$2)-SUM($I42:$L42))</f>
        <v/>
      </c>
      <c r="N42" s="62" t="str">
        <f t="shared" si="2"/>
        <v/>
      </c>
      <c r="O42" s="39" t="str">
        <f t="shared" si="3"/>
        <v/>
      </c>
      <c r="P42" s="30" t="str">
        <f>IF($B42="","",ROUND(SUMIFS(次果筐明细!$L$4:$L$603,次果筐明细!$C$4:$C$603,$B42,次果筐明细!$B$4:$B$603,"&gt;="&amp;$Z$1,次果筐明细!$B$4:$B$603,"&lt;="&amp;$Z$2),2))</f>
        <v/>
      </c>
      <c r="Q42" s="30" t="str">
        <f>IF($B42="","",ROUND(SUMIFS(次果筐明细!$L$4:$L$603,次果筐明细!$C$4:$C$603,$B42,次果筐明细!$M$4:$M$603,"已收讫",次果筐明细!$B$4:$B$603,"&gt;="&amp;$Z$1,次果筐明细!$B$4:$B$603,"&lt;="&amp;$Z$2),2))</f>
        <v/>
      </c>
      <c r="R42" s="30" t="str">
        <f t="shared" si="4"/>
        <v/>
      </c>
      <c r="S42" s="30" t="str">
        <f>IF($B42="","",ROUND(SUMIFS(次果筐明细!$J$4:$J$603,次果筐明细!$C$4:$C$603,$B42,次果筐明细!$B$4:$B$603,"&gt;="&amp;$Z$1,次果筐明细!$B$4:$B$603,"&lt;="&amp;$Z$2),2))</f>
        <v/>
      </c>
      <c r="T42" s="63" t="str">
        <f>IF($B42="","",ROUND(SUMIFS(次果筐明细!$K$4:$K$603,次果筐明细!$C$4:$C$603,$B42,次果筐明细!$B$4:$B$603,"&gt;="&amp;$Z$1,次果筐明细!$B$4:$B$603,"&lt;="&amp;$Z$2),2))</f>
        <v/>
      </c>
      <c r="U42" s="30" t="str">
        <f t="shared" si="5"/>
        <v/>
      </c>
      <c r="V42" s="42"/>
    </row>
    <row r="43" spans="1:22">
      <c r="A43" s="24" t="str">
        <f t="shared" si="0"/>
        <v/>
      </c>
      <c r="B43" s="37" t="str">
        <f>IFERROR(INDEX(_自动清单!$AY$4:$AY$203,ROW()-3),"")</f>
        <v/>
      </c>
      <c r="C43" s="39" t="str">
        <f>IF(OR($B43="",_自动清单!$AS$4=""),"",SUMIFS(次果筐明细!$G$4:$G$603,次果筐明细!$C$4:$C$603,$B43,次果筐明细!$D$4:$D$603,_自动清单!$AS$4,次果筐明细!$F$4:$F$603,"*出库*",次果筐明细!$B$4:$B$603,"&gt;="&amp;$Z$1,次果筐明细!$B$4:$B$603,"&lt;="&amp;$Z$2))</f>
        <v/>
      </c>
      <c r="D43" s="39" t="str">
        <f>IF(OR($B43="",_自动清单!$AS$5=""),"",SUMIFS(次果筐明细!$G$4:$G$603,次果筐明细!$C$4:$C$603,$B43,次果筐明细!$D$4:$D$603,_自动清单!$AS$5,次果筐明细!$F$4:$F$603,"*出库*",次果筐明细!$B$4:$B$603,"&gt;="&amp;$Z$1,次果筐明细!$B$4:$B$603,"&lt;="&amp;$Z$2))</f>
        <v/>
      </c>
      <c r="E43" s="39" t="str">
        <f>IF(OR($B43="",_自动清单!$AS$6=""),"",SUMIFS(次果筐明细!$G$4:$G$603,次果筐明细!$C$4:$C$603,$B43,次果筐明细!$D$4:$D$603,_自动清单!$AS$6,次果筐明细!$F$4:$F$603,"*出库*",次果筐明细!$B$4:$B$603,"&gt;="&amp;$Z$1,次果筐明细!$B$4:$B$603,"&lt;="&amp;$Z$2))</f>
        <v/>
      </c>
      <c r="F43" s="39" t="str">
        <f>IF(OR($B43="",_自动清单!$AS$7=""),"",SUMIFS(次果筐明细!$G$4:$G$603,次果筐明细!$C$4:$C$603,$B43,次果筐明细!$D$4:$D$603,_自动清单!$AS$7,次果筐明细!$F$4:$F$603,"*出库*",次果筐明细!$B$4:$B$603,"&gt;="&amp;$Z$1,次果筐明细!$B$4:$B$603,"&lt;="&amp;$Z$2))</f>
        <v/>
      </c>
      <c r="G43" s="39" t="str">
        <f>IF($B43="","",SUMIFS(次果筐明细!$G$4:$G$603,次果筐明细!$C$4:$C$603,$B43,次果筐明细!$F$4:$F$603,"*出库*",次果筐明细!$B$4:$B$603,"&gt;="&amp;$Z$1,次果筐明细!$B$4:$B$603,"&lt;="&amp;$Z$2)-SUM($C43:$F43))</f>
        <v/>
      </c>
      <c r="H43" s="39" t="str">
        <f t="shared" si="1"/>
        <v/>
      </c>
      <c r="I43" s="39" t="str">
        <f>IF(OR($B43="",_自动清单!$AS$4=""),"",SUMIFS(次果筐明细!$G$4:$G$603,次果筐明细!$C$4:$C$603,$B43,次果筐明细!$D$4:$D$603,_自动清单!$AS$4,次果筐明细!$F$4:$F$603,"*入库*",次果筐明细!$B$4:$B$603,"&gt;="&amp;$Z$1,次果筐明细!$B$4:$B$603,"&lt;="&amp;$Z$2))</f>
        <v/>
      </c>
      <c r="J43" s="39" t="str">
        <f>IF(OR($B43="",_自动清单!$AS$5=""),"",SUMIFS(次果筐明细!$G$4:$G$603,次果筐明细!$C$4:$C$603,$B43,次果筐明细!$D$4:$D$603,_自动清单!$AS$5,次果筐明细!$F$4:$F$603,"*入库*",次果筐明细!$B$4:$B$603,"&gt;="&amp;$Z$1,次果筐明细!$B$4:$B$603,"&lt;="&amp;$Z$2))</f>
        <v/>
      </c>
      <c r="K43" s="39" t="str">
        <f>IF(OR($B43="",_自动清单!$AS$6=""),"",SUMIFS(次果筐明细!$G$4:$G$603,次果筐明细!$C$4:$C$603,$B43,次果筐明细!$D$4:$D$603,_自动清单!$AS$6,次果筐明细!$F$4:$F$603,"*入库*",次果筐明细!$B$4:$B$603,"&gt;="&amp;$Z$1,次果筐明细!$B$4:$B$603,"&lt;="&amp;$Z$2))</f>
        <v/>
      </c>
      <c r="L43" s="39" t="str">
        <f>IF(OR($B43="",_自动清单!$AS$7=""),"",SUMIFS(次果筐明细!$G$4:$G$603,次果筐明细!$C$4:$C$603,$B43,次果筐明细!$D$4:$D$603,_自动清单!$AS$7,次果筐明细!$F$4:$F$603,"*入库*",次果筐明细!$B$4:$B$603,"&gt;="&amp;$Z$1,次果筐明细!$B$4:$B$603,"&lt;="&amp;$Z$2))</f>
        <v/>
      </c>
      <c r="M43" s="62" t="str">
        <f>IF($B43="","",SUMIFS(次果筐明细!$G$4:$G$603,次果筐明细!$C$4:$C$603,$B43,次果筐明细!$F$4:$F$603,"*入库*",次果筐明细!$B$4:$B$603,"&gt;="&amp;$Z$1,次果筐明细!$B$4:$B$603,"&lt;="&amp;$Z$2)-SUM($I43:$L43))</f>
        <v/>
      </c>
      <c r="N43" s="62" t="str">
        <f t="shared" si="2"/>
        <v/>
      </c>
      <c r="O43" s="39" t="str">
        <f t="shared" si="3"/>
        <v/>
      </c>
      <c r="P43" s="30" t="str">
        <f>IF($B43="","",ROUND(SUMIFS(次果筐明细!$L$4:$L$603,次果筐明细!$C$4:$C$603,$B43,次果筐明细!$B$4:$B$603,"&gt;="&amp;$Z$1,次果筐明细!$B$4:$B$603,"&lt;="&amp;$Z$2),2))</f>
        <v/>
      </c>
      <c r="Q43" s="30" t="str">
        <f>IF($B43="","",ROUND(SUMIFS(次果筐明细!$L$4:$L$603,次果筐明细!$C$4:$C$603,$B43,次果筐明细!$M$4:$M$603,"已收讫",次果筐明细!$B$4:$B$603,"&gt;="&amp;$Z$1,次果筐明细!$B$4:$B$603,"&lt;="&amp;$Z$2),2))</f>
        <v/>
      </c>
      <c r="R43" s="30" t="str">
        <f t="shared" si="4"/>
        <v/>
      </c>
      <c r="S43" s="30" t="str">
        <f>IF($B43="","",ROUND(SUMIFS(次果筐明细!$J$4:$J$603,次果筐明细!$C$4:$C$603,$B43,次果筐明细!$B$4:$B$603,"&gt;="&amp;$Z$1,次果筐明细!$B$4:$B$603,"&lt;="&amp;$Z$2),2))</f>
        <v/>
      </c>
      <c r="T43" s="63" t="str">
        <f>IF($B43="","",ROUND(SUMIFS(次果筐明细!$K$4:$K$603,次果筐明细!$C$4:$C$603,$B43,次果筐明细!$B$4:$B$603,"&gt;="&amp;$Z$1,次果筐明细!$B$4:$B$603,"&lt;="&amp;$Z$2),2))</f>
        <v/>
      </c>
      <c r="U43" s="30" t="str">
        <f t="shared" si="5"/>
        <v/>
      </c>
      <c r="V43" s="42"/>
    </row>
    <row r="44" spans="1:22">
      <c r="A44" s="24" t="str">
        <f t="shared" si="0"/>
        <v/>
      </c>
      <c r="B44" s="37" t="str">
        <f>IFERROR(INDEX(_自动清单!$AY$4:$AY$203,ROW()-3),"")</f>
        <v/>
      </c>
      <c r="C44" s="39" t="str">
        <f>IF(OR($B44="",_自动清单!$AS$4=""),"",SUMIFS(次果筐明细!$G$4:$G$603,次果筐明细!$C$4:$C$603,$B44,次果筐明细!$D$4:$D$603,_自动清单!$AS$4,次果筐明细!$F$4:$F$603,"*出库*",次果筐明细!$B$4:$B$603,"&gt;="&amp;$Z$1,次果筐明细!$B$4:$B$603,"&lt;="&amp;$Z$2))</f>
        <v/>
      </c>
      <c r="D44" s="39" t="str">
        <f>IF(OR($B44="",_自动清单!$AS$5=""),"",SUMIFS(次果筐明细!$G$4:$G$603,次果筐明细!$C$4:$C$603,$B44,次果筐明细!$D$4:$D$603,_自动清单!$AS$5,次果筐明细!$F$4:$F$603,"*出库*",次果筐明细!$B$4:$B$603,"&gt;="&amp;$Z$1,次果筐明细!$B$4:$B$603,"&lt;="&amp;$Z$2))</f>
        <v/>
      </c>
      <c r="E44" s="39" t="str">
        <f>IF(OR($B44="",_自动清单!$AS$6=""),"",SUMIFS(次果筐明细!$G$4:$G$603,次果筐明细!$C$4:$C$603,$B44,次果筐明细!$D$4:$D$603,_自动清单!$AS$6,次果筐明细!$F$4:$F$603,"*出库*",次果筐明细!$B$4:$B$603,"&gt;="&amp;$Z$1,次果筐明细!$B$4:$B$603,"&lt;="&amp;$Z$2))</f>
        <v/>
      </c>
      <c r="F44" s="39" t="str">
        <f>IF(OR($B44="",_自动清单!$AS$7=""),"",SUMIFS(次果筐明细!$G$4:$G$603,次果筐明细!$C$4:$C$603,$B44,次果筐明细!$D$4:$D$603,_自动清单!$AS$7,次果筐明细!$F$4:$F$603,"*出库*",次果筐明细!$B$4:$B$603,"&gt;="&amp;$Z$1,次果筐明细!$B$4:$B$603,"&lt;="&amp;$Z$2))</f>
        <v/>
      </c>
      <c r="G44" s="39" t="str">
        <f>IF($B44="","",SUMIFS(次果筐明细!$G$4:$G$603,次果筐明细!$C$4:$C$603,$B44,次果筐明细!$F$4:$F$603,"*出库*",次果筐明细!$B$4:$B$603,"&gt;="&amp;$Z$1,次果筐明细!$B$4:$B$603,"&lt;="&amp;$Z$2)-SUM($C44:$F44))</f>
        <v/>
      </c>
      <c r="H44" s="39" t="str">
        <f t="shared" si="1"/>
        <v/>
      </c>
      <c r="I44" s="39" t="str">
        <f>IF(OR($B44="",_自动清单!$AS$4=""),"",SUMIFS(次果筐明细!$G$4:$G$603,次果筐明细!$C$4:$C$603,$B44,次果筐明细!$D$4:$D$603,_自动清单!$AS$4,次果筐明细!$F$4:$F$603,"*入库*",次果筐明细!$B$4:$B$603,"&gt;="&amp;$Z$1,次果筐明细!$B$4:$B$603,"&lt;="&amp;$Z$2))</f>
        <v/>
      </c>
      <c r="J44" s="39" t="str">
        <f>IF(OR($B44="",_自动清单!$AS$5=""),"",SUMIFS(次果筐明细!$G$4:$G$603,次果筐明细!$C$4:$C$603,$B44,次果筐明细!$D$4:$D$603,_自动清单!$AS$5,次果筐明细!$F$4:$F$603,"*入库*",次果筐明细!$B$4:$B$603,"&gt;="&amp;$Z$1,次果筐明细!$B$4:$B$603,"&lt;="&amp;$Z$2))</f>
        <v/>
      </c>
      <c r="K44" s="39" t="str">
        <f>IF(OR($B44="",_自动清单!$AS$6=""),"",SUMIFS(次果筐明细!$G$4:$G$603,次果筐明细!$C$4:$C$603,$B44,次果筐明细!$D$4:$D$603,_自动清单!$AS$6,次果筐明细!$F$4:$F$603,"*入库*",次果筐明细!$B$4:$B$603,"&gt;="&amp;$Z$1,次果筐明细!$B$4:$B$603,"&lt;="&amp;$Z$2))</f>
        <v/>
      </c>
      <c r="L44" s="39" t="str">
        <f>IF(OR($B44="",_自动清单!$AS$7=""),"",SUMIFS(次果筐明细!$G$4:$G$603,次果筐明细!$C$4:$C$603,$B44,次果筐明细!$D$4:$D$603,_自动清单!$AS$7,次果筐明细!$F$4:$F$603,"*入库*",次果筐明细!$B$4:$B$603,"&gt;="&amp;$Z$1,次果筐明细!$B$4:$B$603,"&lt;="&amp;$Z$2))</f>
        <v/>
      </c>
      <c r="M44" s="62" t="str">
        <f>IF($B44="","",SUMIFS(次果筐明细!$G$4:$G$603,次果筐明细!$C$4:$C$603,$B44,次果筐明细!$F$4:$F$603,"*入库*",次果筐明细!$B$4:$B$603,"&gt;="&amp;$Z$1,次果筐明细!$B$4:$B$603,"&lt;="&amp;$Z$2)-SUM($I44:$L44))</f>
        <v/>
      </c>
      <c r="N44" s="62" t="str">
        <f t="shared" si="2"/>
        <v/>
      </c>
      <c r="O44" s="39" t="str">
        <f t="shared" si="3"/>
        <v/>
      </c>
      <c r="P44" s="30" t="str">
        <f>IF($B44="","",ROUND(SUMIFS(次果筐明细!$L$4:$L$603,次果筐明细!$C$4:$C$603,$B44,次果筐明细!$B$4:$B$603,"&gt;="&amp;$Z$1,次果筐明细!$B$4:$B$603,"&lt;="&amp;$Z$2),2))</f>
        <v/>
      </c>
      <c r="Q44" s="30" t="str">
        <f>IF($B44="","",ROUND(SUMIFS(次果筐明细!$L$4:$L$603,次果筐明细!$C$4:$C$603,$B44,次果筐明细!$M$4:$M$603,"已收讫",次果筐明细!$B$4:$B$603,"&gt;="&amp;$Z$1,次果筐明细!$B$4:$B$603,"&lt;="&amp;$Z$2),2))</f>
        <v/>
      </c>
      <c r="R44" s="30" t="str">
        <f t="shared" si="4"/>
        <v/>
      </c>
      <c r="S44" s="30" t="str">
        <f>IF($B44="","",ROUND(SUMIFS(次果筐明细!$J$4:$J$603,次果筐明细!$C$4:$C$603,$B44,次果筐明细!$B$4:$B$603,"&gt;="&amp;$Z$1,次果筐明细!$B$4:$B$603,"&lt;="&amp;$Z$2),2))</f>
        <v/>
      </c>
      <c r="T44" s="63" t="str">
        <f>IF($B44="","",ROUND(SUMIFS(次果筐明细!$K$4:$K$603,次果筐明细!$C$4:$C$603,$B44,次果筐明细!$B$4:$B$603,"&gt;="&amp;$Z$1,次果筐明细!$B$4:$B$603,"&lt;="&amp;$Z$2),2))</f>
        <v/>
      </c>
      <c r="U44" s="30" t="str">
        <f t="shared" si="5"/>
        <v/>
      </c>
      <c r="V44" s="42"/>
    </row>
    <row r="45" spans="1:22">
      <c r="A45" s="24" t="str">
        <f t="shared" si="0"/>
        <v/>
      </c>
      <c r="B45" s="37" t="str">
        <f>IFERROR(INDEX(_自动清单!$AY$4:$AY$203,ROW()-3),"")</f>
        <v/>
      </c>
      <c r="C45" s="39" t="str">
        <f>IF(OR($B45="",_自动清单!$AS$4=""),"",SUMIFS(次果筐明细!$G$4:$G$603,次果筐明细!$C$4:$C$603,$B45,次果筐明细!$D$4:$D$603,_自动清单!$AS$4,次果筐明细!$F$4:$F$603,"*出库*",次果筐明细!$B$4:$B$603,"&gt;="&amp;$Z$1,次果筐明细!$B$4:$B$603,"&lt;="&amp;$Z$2))</f>
        <v/>
      </c>
      <c r="D45" s="39" t="str">
        <f>IF(OR($B45="",_自动清单!$AS$5=""),"",SUMIFS(次果筐明细!$G$4:$G$603,次果筐明细!$C$4:$C$603,$B45,次果筐明细!$D$4:$D$603,_自动清单!$AS$5,次果筐明细!$F$4:$F$603,"*出库*",次果筐明细!$B$4:$B$603,"&gt;="&amp;$Z$1,次果筐明细!$B$4:$B$603,"&lt;="&amp;$Z$2))</f>
        <v/>
      </c>
      <c r="E45" s="39" t="str">
        <f>IF(OR($B45="",_自动清单!$AS$6=""),"",SUMIFS(次果筐明细!$G$4:$G$603,次果筐明细!$C$4:$C$603,$B45,次果筐明细!$D$4:$D$603,_自动清单!$AS$6,次果筐明细!$F$4:$F$603,"*出库*",次果筐明细!$B$4:$B$603,"&gt;="&amp;$Z$1,次果筐明细!$B$4:$B$603,"&lt;="&amp;$Z$2))</f>
        <v/>
      </c>
      <c r="F45" s="39" t="str">
        <f>IF(OR($B45="",_自动清单!$AS$7=""),"",SUMIFS(次果筐明细!$G$4:$G$603,次果筐明细!$C$4:$C$603,$B45,次果筐明细!$D$4:$D$603,_自动清单!$AS$7,次果筐明细!$F$4:$F$603,"*出库*",次果筐明细!$B$4:$B$603,"&gt;="&amp;$Z$1,次果筐明细!$B$4:$B$603,"&lt;="&amp;$Z$2))</f>
        <v/>
      </c>
      <c r="G45" s="39" t="str">
        <f>IF($B45="","",SUMIFS(次果筐明细!$G$4:$G$603,次果筐明细!$C$4:$C$603,$B45,次果筐明细!$F$4:$F$603,"*出库*",次果筐明细!$B$4:$B$603,"&gt;="&amp;$Z$1,次果筐明细!$B$4:$B$603,"&lt;="&amp;$Z$2)-SUM($C45:$F45))</f>
        <v/>
      </c>
      <c r="H45" s="39" t="str">
        <f t="shared" si="1"/>
        <v/>
      </c>
      <c r="I45" s="39" t="str">
        <f>IF(OR($B45="",_自动清单!$AS$4=""),"",SUMIFS(次果筐明细!$G$4:$G$603,次果筐明细!$C$4:$C$603,$B45,次果筐明细!$D$4:$D$603,_自动清单!$AS$4,次果筐明细!$F$4:$F$603,"*入库*",次果筐明细!$B$4:$B$603,"&gt;="&amp;$Z$1,次果筐明细!$B$4:$B$603,"&lt;="&amp;$Z$2))</f>
        <v/>
      </c>
      <c r="J45" s="39" t="str">
        <f>IF(OR($B45="",_自动清单!$AS$5=""),"",SUMIFS(次果筐明细!$G$4:$G$603,次果筐明细!$C$4:$C$603,$B45,次果筐明细!$D$4:$D$603,_自动清单!$AS$5,次果筐明细!$F$4:$F$603,"*入库*",次果筐明细!$B$4:$B$603,"&gt;="&amp;$Z$1,次果筐明细!$B$4:$B$603,"&lt;="&amp;$Z$2))</f>
        <v/>
      </c>
      <c r="K45" s="39" t="str">
        <f>IF(OR($B45="",_自动清单!$AS$6=""),"",SUMIFS(次果筐明细!$G$4:$G$603,次果筐明细!$C$4:$C$603,$B45,次果筐明细!$D$4:$D$603,_自动清单!$AS$6,次果筐明细!$F$4:$F$603,"*入库*",次果筐明细!$B$4:$B$603,"&gt;="&amp;$Z$1,次果筐明细!$B$4:$B$603,"&lt;="&amp;$Z$2))</f>
        <v/>
      </c>
      <c r="L45" s="39" t="str">
        <f>IF(OR($B45="",_自动清单!$AS$7=""),"",SUMIFS(次果筐明细!$G$4:$G$603,次果筐明细!$C$4:$C$603,$B45,次果筐明细!$D$4:$D$603,_自动清单!$AS$7,次果筐明细!$F$4:$F$603,"*入库*",次果筐明细!$B$4:$B$603,"&gt;="&amp;$Z$1,次果筐明细!$B$4:$B$603,"&lt;="&amp;$Z$2))</f>
        <v/>
      </c>
      <c r="M45" s="62" t="str">
        <f>IF($B45="","",SUMIFS(次果筐明细!$G$4:$G$603,次果筐明细!$C$4:$C$603,$B45,次果筐明细!$F$4:$F$603,"*入库*",次果筐明细!$B$4:$B$603,"&gt;="&amp;$Z$1,次果筐明细!$B$4:$B$603,"&lt;="&amp;$Z$2)-SUM($I45:$L45))</f>
        <v/>
      </c>
      <c r="N45" s="62" t="str">
        <f t="shared" si="2"/>
        <v/>
      </c>
      <c r="O45" s="39" t="str">
        <f t="shared" si="3"/>
        <v/>
      </c>
      <c r="P45" s="30" t="str">
        <f>IF($B45="","",ROUND(SUMIFS(次果筐明细!$L$4:$L$603,次果筐明细!$C$4:$C$603,$B45,次果筐明细!$B$4:$B$603,"&gt;="&amp;$Z$1,次果筐明细!$B$4:$B$603,"&lt;="&amp;$Z$2),2))</f>
        <v/>
      </c>
      <c r="Q45" s="30" t="str">
        <f>IF($B45="","",ROUND(SUMIFS(次果筐明细!$L$4:$L$603,次果筐明细!$C$4:$C$603,$B45,次果筐明细!$M$4:$M$603,"已收讫",次果筐明细!$B$4:$B$603,"&gt;="&amp;$Z$1,次果筐明细!$B$4:$B$603,"&lt;="&amp;$Z$2),2))</f>
        <v/>
      </c>
      <c r="R45" s="30" t="str">
        <f t="shared" si="4"/>
        <v/>
      </c>
      <c r="S45" s="30" t="str">
        <f>IF($B45="","",ROUND(SUMIFS(次果筐明细!$J$4:$J$603,次果筐明细!$C$4:$C$603,$B45,次果筐明细!$B$4:$B$603,"&gt;="&amp;$Z$1,次果筐明细!$B$4:$B$603,"&lt;="&amp;$Z$2),2))</f>
        <v/>
      </c>
      <c r="T45" s="63" t="str">
        <f>IF($B45="","",ROUND(SUMIFS(次果筐明细!$K$4:$K$603,次果筐明细!$C$4:$C$603,$B45,次果筐明细!$B$4:$B$603,"&gt;="&amp;$Z$1,次果筐明细!$B$4:$B$603,"&lt;="&amp;$Z$2),2))</f>
        <v/>
      </c>
      <c r="U45" s="30" t="str">
        <f t="shared" si="5"/>
        <v/>
      </c>
      <c r="V45" s="42"/>
    </row>
    <row r="46" spans="1:22">
      <c r="A46" s="24" t="str">
        <f t="shared" si="0"/>
        <v/>
      </c>
      <c r="B46" s="37" t="str">
        <f>IFERROR(INDEX(_自动清单!$AY$4:$AY$203,ROW()-3),"")</f>
        <v/>
      </c>
      <c r="C46" s="39" t="str">
        <f>IF(OR($B46="",_自动清单!$AS$4=""),"",SUMIFS(次果筐明细!$G$4:$G$603,次果筐明细!$C$4:$C$603,$B46,次果筐明细!$D$4:$D$603,_自动清单!$AS$4,次果筐明细!$F$4:$F$603,"*出库*",次果筐明细!$B$4:$B$603,"&gt;="&amp;$Z$1,次果筐明细!$B$4:$B$603,"&lt;="&amp;$Z$2))</f>
        <v/>
      </c>
      <c r="D46" s="39" t="str">
        <f>IF(OR($B46="",_自动清单!$AS$5=""),"",SUMIFS(次果筐明细!$G$4:$G$603,次果筐明细!$C$4:$C$603,$B46,次果筐明细!$D$4:$D$603,_自动清单!$AS$5,次果筐明细!$F$4:$F$603,"*出库*",次果筐明细!$B$4:$B$603,"&gt;="&amp;$Z$1,次果筐明细!$B$4:$B$603,"&lt;="&amp;$Z$2))</f>
        <v/>
      </c>
      <c r="E46" s="39" t="str">
        <f>IF(OR($B46="",_自动清单!$AS$6=""),"",SUMIFS(次果筐明细!$G$4:$G$603,次果筐明细!$C$4:$C$603,$B46,次果筐明细!$D$4:$D$603,_自动清单!$AS$6,次果筐明细!$F$4:$F$603,"*出库*",次果筐明细!$B$4:$B$603,"&gt;="&amp;$Z$1,次果筐明细!$B$4:$B$603,"&lt;="&amp;$Z$2))</f>
        <v/>
      </c>
      <c r="F46" s="39" t="str">
        <f>IF(OR($B46="",_自动清单!$AS$7=""),"",SUMIFS(次果筐明细!$G$4:$G$603,次果筐明细!$C$4:$C$603,$B46,次果筐明细!$D$4:$D$603,_自动清单!$AS$7,次果筐明细!$F$4:$F$603,"*出库*",次果筐明细!$B$4:$B$603,"&gt;="&amp;$Z$1,次果筐明细!$B$4:$B$603,"&lt;="&amp;$Z$2))</f>
        <v/>
      </c>
      <c r="G46" s="39" t="str">
        <f>IF($B46="","",SUMIFS(次果筐明细!$G$4:$G$603,次果筐明细!$C$4:$C$603,$B46,次果筐明细!$F$4:$F$603,"*出库*",次果筐明细!$B$4:$B$603,"&gt;="&amp;$Z$1,次果筐明细!$B$4:$B$603,"&lt;="&amp;$Z$2)-SUM($C46:$F46))</f>
        <v/>
      </c>
      <c r="H46" s="39" t="str">
        <f t="shared" si="1"/>
        <v/>
      </c>
      <c r="I46" s="39" t="str">
        <f>IF(OR($B46="",_自动清单!$AS$4=""),"",SUMIFS(次果筐明细!$G$4:$G$603,次果筐明细!$C$4:$C$603,$B46,次果筐明细!$D$4:$D$603,_自动清单!$AS$4,次果筐明细!$F$4:$F$603,"*入库*",次果筐明细!$B$4:$B$603,"&gt;="&amp;$Z$1,次果筐明细!$B$4:$B$603,"&lt;="&amp;$Z$2))</f>
        <v/>
      </c>
      <c r="J46" s="39" t="str">
        <f>IF(OR($B46="",_自动清单!$AS$5=""),"",SUMIFS(次果筐明细!$G$4:$G$603,次果筐明细!$C$4:$C$603,$B46,次果筐明细!$D$4:$D$603,_自动清单!$AS$5,次果筐明细!$F$4:$F$603,"*入库*",次果筐明细!$B$4:$B$603,"&gt;="&amp;$Z$1,次果筐明细!$B$4:$B$603,"&lt;="&amp;$Z$2))</f>
        <v/>
      </c>
      <c r="K46" s="39" t="str">
        <f>IF(OR($B46="",_自动清单!$AS$6=""),"",SUMIFS(次果筐明细!$G$4:$G$603,次果筐明细!$C$4:$C$603,$B46,次果筐明细!$D$4:$D$603,_自动清单!$AS$6,次果筐明细!$F$4:$F$603,"*入库*",次果筐明细!$B$4:$B$603,"&gt;="&amp;$Z$1,次果筐明细!$B$4:$B$603,"&lt;="&amp;$Z$2))</f>
        <v/>
      </c>
      <c r="L46" s="39" t="str">
        <f>IF(OR($B46="",_自动清单!$AS$7=""),"",SUMIFS(次果筐明细!$G$4:$G$603,次果筐明细!$C$4:$C$603,$B46,次果筐明细!$D$4:$D$603,_自动清单!$AS$7,次果筐明细!$F$4:$F$603,"*入库*",次果筐明细!$B$4:$B$603,"&gt;="&amp;$Z$1,次果筐明细!$B$4:$B$603,"&lt;="&amp;$Z$2))</f>
        <v/>
      </c>
      <c r="M46" s="62" t="str">
        <f>IF($B46="","",SUMIFS(次果筐明细!$G$4:$G$603,次果筐明细!$C$4:$C$603,$B46,次果筐明细!$F$4:$F$603,"*入库*",次果筐明细!$B$4:$B$603,"&gt;="&amp;$Z$1,次果筐明细!$B$4:$B$603,"&lt;="&amp;$Z$2)-SUM($I46:$L46))</f>
        <v/>
      </c>
      <c r="N46" s="62" t="str">
        <f t="shared" si="2"/>
        <v/>
      </c>
      <c r="O46" s="39" t="str">
        <f t="shared" si="3"/>
        <v/>
      </c>
      <c r="P46" s="30" t="str">
        <f>IF($B46="","",ROUND(SUMIFS(次果筐明细!$L$4:$L$603,次果筐明细!$C$4:$C$603,$B46,次果筐明细!$B$4:$B$603,"&gt;="&amp;$Z$1,次果筐明细!$B$4:$B$603,"&lt;="&amp;$Z$2),2))</f>
        <v/>
      </c>
      <c r="Q46" s="30" t="str">
        <f>IF($B46="","",ROUND(SUMIFS(次果筐明细!$L$4:$L$603,次果筐明细!$C$4:$C$603,$B46,次果筐明细!$M$4:$M$603,"已收讫",次果筐明细!$B$4:$B$603,"&gt;="&amp;$Z$1,次果筐明细!$B$4:$B$603,"&lt;="&amp;$Z$2),2))</f>
        <v/>
      </c>
      <c r="R46" s="30" t="str">
        <f t="shared" si="4"/>
        <v/>
      </c>
      <c r="S46" s="30" t="str">
        <f>IF($B46="","",ROUND(SUMIFS(次果筐明细!$J$4:$J$603,次果筐明细!$C$4:$C$603,$B46,次果筐明细!$B$4:$B$603,"&gt;="&amp;$Z$1,次果筐明细!$B$4:$B$603,"&lt;="&amp;$Z$2),2))</f>
        <v/>
      </c>
      <c r="T46" s="63" t="str">
        <f>IF($B46="","",ROUND(SUMIFS(次果筐明细!$K$4:$K$603,次果筐明细!$C$4:$C$603,$B46,次果筐明细!$B$4:$B$603,"&gt;="&amp;$Z$1,次果筐明细!$B$4:$B$603,"&lt;="&amp;$Z$2),2))</f>
        <v/>
      </c>
      <c r="U46" s="30" t="str">
        <f t="shared" si="5"/>
        <v/>
      </c>
      <c r="V46" s="42"/>
    </row>
    <row r="47" spans="1:22">
      <c r="A47" s="24" t="str">
        <f t="shared" si="0"/>
        <v/>
      </c>
      <c r="B47" s="37" t="str">
        <f>IFERROR(INDEX(_自动清单!$AY$4:$AY$203,ROW()-3),"")</f>
        <v/>
      </c>
      <c r="C47" s="39" t="str">
        <f>IF(OR($B47="",_自动清单!$AS$4=""),"",SUMIFS(次果筐明细!$G$4:$G$603,次果筐明细!$C$4:$C$603,$B47,次果筐明细!$D$4:$D$603,_自动清单!$AS$4,次果筐明细!$F$4:$F$603,"*出库*",次果筐明细!$B$4:$B$603,"&gt;="&amp;$Z$1,次果筐明细!$B$4:$B$603,"&lt;="&amp;$Z$2))</f>
        <v/>
      </c>
      <c r="D47" s="39" t="str">
        <f>IF(OR($B47="",_自动清单!$AS$5=""),"",SUMIFS(次果筐明细!$G$4:$G$603,次果筐明细!$C$4:$C$603,$B47,次果筐明细!$D$4:$D$603,_自动清单!$AS$5,次果筐明细!$F$4:$F$603,"*出库*",次果筐明细!$B$4:$B$603,"&gt;="&amp;$Z$1,次果筐明细!$B$4:$B$603,"&lt;="&amp;$Z$2))</f>
        <v/>
      </c>
      <c r="E47" s="39" t="str">
        <f>IF(OR($B47="",_自动清单!$AS$6=""),"",SUMIFS(次果筐明细!$G$4:$G$603,次果筐明细!$C$4:$C$603,$B47,次果筐明细!$D$4:$D$603,_自动清单!$AS$6,次果筐明细!$F$4:$F$603,"*出库*",次果筐明细!$B$4:$B$603,"&gt;="&amp;$Z$1,次果筐明细!$B$4:$B$603,"&lt;="&amp;$Z$2))</f>
        <v/>
      </c>
      <c r="F47" s="39" t="str">
        <f>IF(OR($B47="",_自动清单!$AS$7=""),"",SUMIFS(次果筐明细!$G$4:$G$603,次果筐明细!$C$4:$C$603,$B47,次果筐明细!$D$4:$D$603,_自动清单!$AS$7,次果筐明细!$F$4:$F$603,"*出库*",次果筐明细!$B$4:$B$603,"&gt;="&amp;$Z$1,次果筐明细!$B$4:$B$603,"&lt;="&amp;$Z$2))</f>
        <v/>
      </c>
      <c r="G47" s="39" t="str">
        <f>IF($B47="","",SUMIFS(次果筐明细!$G$4:$G$603,次果筐明细!$C$4:$C$603,$B47,次果筐明细!$F$4:$F$603,"*出库*",次果筐明细!$B$4:$B$603,"&gt;="&amp;$Z$1,次果筐明细!$B$4:$B$603,"&lt;="&amp;$Z$2)-SUM($C47:$F47))</f>
        <v/>
      </c>
      <c r="H47" s="39" t="str">
        <f t="shared" si="1"/>
        <v/>
      </c>
      <c r="I47" s="39" t="str">
        <f>IF(OR($B47="",_自动清单!$AS$4=""),"",SUMIFS(次果筐明细!$G$4:$G$603,次果筐明细!$C$4:$C$603,$B47,次果筐明细!$D$4:$D$603,_自动清单!$AS$4,次果筐明细!$F$4:$F$603,"*入库*",次果筐明细!$B$4:$B$603,"&gt;="&amp;$Z$1,次果筐明细!$B$4:$B$603,"&lt;="&amp;$Z$2))</f>
        <v/>
      </c>
      <c r="J47" s="39" t="str">
        <f>IF(OR($B47="",_自动清单!$AS$5=""),"",SUMIFS(次果筐明细!$G$4:$G$603,次果筐明细!$C$4:$C$603,$B47,次果筐明细!$D$4:$D$603,_自动清单!$AS$5,次果筐明细!$F$4:$F$603,"*入库*",次果筐明细!$B$4:$B$603,"&gt;="&amp;$Z$1,次果筐明细!$B$4:$B$603,"&lt;="&amp;$Z$2))</f>
        <v/>
      </c>
      <c r="K47" s="39" t="str">
        <f>IF(OR($B47="",_自动清单!$AS$6=""),"",SUMIFS(次果筐明细!$G$4:$G$603,次果筐明细!$C$4:$C$603,$B47,次果筐明细!$D$4:$D$603,_自动清单!$AS$6,次果筐明细!$F$4:$F$603,"*入库*",次果筐明细!$B$4:$B$603,"&gt;="&amp;$Z$1,次果筐明细!$B$4:$B$603,"&lt;="&amp;$Z$2))</f>
        <v/>
      </c>
      <c r="L47" s="39" t="str">
        <f>IF(OR($B47="",_自动清单!$AS$7=""),"",SUMIFS(次果筐明细!$G$4:$G$603,次果筐明细!$C$4:$C$603,$B47,次果筐明细!$D$4:$D$603,_自动清单!$AS$7,次果筐明细!$F$4:$F$603,"*入库*",次果筐明细!$B$4:$B$603,"&gt;="&amp;$Z$1,次果筐明细!$B$4:$B$603,"&lt;="&amp;$Z$2))</f>
        <v/>
      </c>
      <c r="M47" s="62" t="str">
        <f>IF($B47="","",SUMIFS(次果筐明细!$G$4:$G$603,次果筐明细!$C$4:$C$603,$B47,次果筐明细!$F$4:$F$603,"*入库*",次果筐明细!$B$4:$B$603,"&gt;="&amp;$Z$1,次果筐明细!$B$4:$B$603,"&lt;="&amp;$Z$2)-SUM($I47:$L47))</f>
        <v/>
      </c>
      <c r="N47" s="62" t="str">
        <f t="shared" si="2"/>
        <v/>
      </c>
      <c r="O47" s="39" t="str">
        <f t="shared" si="3"/>
        <v/>
      </c>
      <c r="P47" s="30" t="str">
        <f>IF($B47="","",ROUND(SUMIFS(次果筐明细!$L$4:$L$603,次果筐明细!$C$4:$C$603,$B47,次果筐明细!$B$4:$B$603,"&gt;="&amp;$Z$1,次果筐明细!$B$4:$B$603,"&lt;="&amp;$Z$2),2))</f>
        <v/>
      </c>
      <c r="Q47" s="30" t="str">
        <f>IF($B47="","",ROUND(SUMIFS(次果筐明细!$L$4:$L$603,次果筐明细!$C$4:$C$603,$B47,次果筐明细!$M$4:$M$603,"已收讫",次果筐明细!$B$4:$B$603,"&gt;="&amp;$Z$1,次果筐明细!$B$4:$B$603,"&lt;="&amp;$Z$2),2))</f>
        <v/>
      </c>
      <c r="R47" s="30" t="str">
        <f t="shared" si="4"/>
        <v/>
      </c>
      <c r="S47" s="30" t="str">
        <f>IF($B47="","",ROUND(SUMIFS(次果筐明细!$J$4:$J$603,次果筐明细!$C$4:$C$603,$B47,次果筐明细!$B$4:$B$603,"&gt;="&amp;$Z$1,次果筐明细!$B$4:$B$603,"&lt;="&amp;$Z$2),2))</f>
        <v/>
      </c>
      <c r="T47" s="63" t="str">
        <f>IF($B47="","",ROUND(SUMIFS(次果筐明细!$K$4:$K$603,次果筐明细!$C$4:$C$603,$B47,次果筐明细!$B$4:$B$603,"&gt;="&amp;$Z$1,次果筐明细!$B$4:$B$603,"&lt;="&amp;$Z$2),2))</f>
        <v/>
      </c>
      <c r="U47" s="30" t="str">
        <f t="shared" si="5"/>
        <v/>
      </c>
      <c r="V47" s="42"/>
    </row>
    <row r="48" spans="1:22">
      <c r="A48" s="24" t="str">
        <f t="shared" si="0"/>
        <v/>
      </c>
      <c r="B48" s="37" t="str">
        <f>IFERROR(INDEX(_自动清单!$AY$4:$AY$203,ROW()-3),"")</f>
        <v/>
      </c>
      <c r="C48" s="39" t="str">
        <f>IF(OR($B48="",_自动清单!$AS$4=""),"",SUMIFS(次果筐明细!$G$4:$G$603,次果筐明细!$C$4:$C$603,$B48,次果筐明细!$D$4:$D$603,_自动清单!$AS$4,次果筐明细!$F$4:$F$603,"*出库*",次果筐明细!$B$4:$B$603,"&gt;="&amp;$Z$1,次果筐明细!$B$4:$B$603,"&lt;="&amp;$Z$2))</f>
        <v/>
      </c>
      <c r="D48" s="39" t="str">
        <f>IF(OR($B48="",_自动清单!$AS$5=""),"",SUMIFS(次果筐明细!$G$4:$G$603,次果筐明细!$C$4:$C$603,$B48,次果筐明细!$D$4:$D$603,_自动清单!$AS$5,次果筐明细!$F$4:$F$603,"*出库*",次果筐明细!$B$4:$B$603,"&gt;="&amp;$Z$1,次果筐明细!$B$4:$B$603,"&lt;="&amp;$Z$2))</f>
        <v/>
      </c>
      <c r="E48" s="39" t="str">
        <f>IF(OR($B48="",_自动清单!$AS$6=""),"",SUMIFS(次果筐明细!$G$4:$G$603,次果筐明细!$C$4:$C$603,$B48,次果筐明细!$D$4:$D$603,_自动清单!$AS$6,次果筐明细!$F$4:$F$603,"*出库*",次果筐明细!$B$4:$B$603,"&gt;="&amp;$Z$1,次果筐明细!$B$4:$B$603,"&lt;="&amp;$Z$2))</f>
        <v/>
      </c>
      <c r="F48" s="39" t="str">
        <f>IF(OR($B48="",_自动清单!$AS$7=""),"",SUMIFS(次果筐明细!$G$4:$G$603,次果筐明细!$C$4:$C$603,$B48,次果筐明细!$D$4:$D$603,_自动清单!$AS$7,次果筐明细!$F$4:$F$603,"*出库*",次果筐明细!$B$4:$B$603,"&gt;="&amp;$Z$1,次果筐明细!$B$4:$B$603,"&lt;="&amp;$Z$2))</f>
        <v/>
      </c>
      <c r="G48" s="39" t="str">
        <f>IF($B48="","",SUMIFS(次果筐明细!$G$4:$G$603,次果筐明细!$C$4:$C$603,$B48,次果筐明细!$F$4:$F$603,"*出库*",次果筐明细!$B$4:$B$603,"&gt;="&amp;$Z$1,次果筐明细!$B$4:$B$603,"&lt;="&amp;$Z$2)-SUM($C48:$F48))</f>
        <v/>
      </c>
      <c r="H48" s="39" t="str">
        <f t="shared" si="1"/>
        <v/>
      </c>
      <c r="I48" s="39" t="str">
        <f>IF(OR($B48="",_自动清单!$AS$4=""),"",SUMIFS(次果筐明细!$G$4:$G$603,次果筐明细!$C$4:$C$603,$B48,次果筐明细!$D$4:$D$603,_自动清单!$AS$4,次果筐明细!$F$4:$F$603,"*入库*",次果筐明细!$B$4:$B$603,"&gt;="&amp;$Z$1,次果筐明细!$B$4:$B$603,"&lt;="&amp;$Z$2))</f>
        <v/>
      </c>
      <c r="J48" s="39" t="str">
        <f>IF(OR($B48="",_自动清单!$AS$5=""),"",SUMIFS(次果筐明细!$G$4:$G$603,次果筐明细!$C$4:$C$603,$B48,次果筐明细!$D$4:$D$603,_自动清单!$AS$5,次果筐明细!$F$4:$F$603,"*入库*",次果筐明细!$B$4:$B$603,"&gt;="&amp;$Z$1,次果筐明细!$B$4:$B$603,"&lt;="&amp;$Z$2))</f>
        <v/>
      </c>
      <c r="K48" s="39" t="str">
        <f>IF(OR($B48="",_自动清单!$AS$6=""),"",SUMIFS(次果筐明细!$G$4:$G$603,次果筐明细!$C$4:$C$603,$B48,次果筐明细!$D$4:$D$603,_自动清单!$AS$6,次果筐明细!$F$4:$F$603,"*入库*",次果筐明细!$B$4:$B$603,"&gt;="&amp;$Z$1,次果筐明细!$B$4:$B$603,"&lt;="&amp;$Z$2))</f>
        <v/>
      </c>
      <c r="L48" s="39" t="str">
        <f>IF(OR($B48="",_自动清单!$AS$7=""),"",SUMIFS(次果筐明细!$G$4:$G$603,次果筐明细!$C$4:$C$603,$B48,次果筐明细!$D$4:$D$603,_自动清单!$AS$7,次果筐明细!$F$4:$F$603,"*入库*",次果筐明细!$B$4:$B$603,"&gt;="&amp;$Z$1,次果筐明细!$B$4:$B$603,"&lt;="&amp;$Z$2))</f>
        <v/>
      </c>
      <c r="M48" s="62" t="str">
        <f>IF($B48="","",SUMIFS(次果筐明细!$G$4:$G$603,次果筐明细!$C$4:$C$603,$B48,次果筐明细!$F$4:$F$603,"*入库*",次果筐明细!$B$4:$B$603,"&gt;="&amp;$Z$1,次果筐明细!$B$4:$B$603,"&lt;="&amp;$Z$2)-SUM($I48:$L48))</f>
        <v/>
      </c>
      <c r="N48" s="62" t="str">
        <f t="shared" si="2"/>
        <v/>
      </c>
      <c r="O48" s="39" t="str">
        <f t="shared" si="3"/>
        <v/>
      </c>
      <c r="P48" s="30" t="str">
        <f>IF($B48="","",ROUND(SUMIFS(次果筐明细!$L$4:$L$603,次果筐明细!$C$4:$C$603,$B48,次果筐明细!$B$4:$B$603,"&gt;="&amp;$Z$1,次果筐明细!$B$4:$B$603,"&lt;="&amp;$Z$2),2))</f>
        <v/>
      </c>
      <c r="Q48" s="30" t="str">
        <f>IF($B48="","",ROUND(SUMIFS(次果筐明细!$L$4:$L$603,次果筐明细!$C$4:$C$603,$B48,次果筐明细!$M$4:$M$603,"已收讫",次果筐明细!$B$4:$B$603,"&gt;="&amp;$Z$1,次果筐明细!$B$4:$B$603,"&lt;="&amp;$Z$2),2))</f>
        <v/>
      </c>
      <c r="R48" s="30" t="str">
        <f t="shared" si="4"/>
        <v/>
      </c>
      <c r="S48" s="30" t="str">
        <f>IF($B48="","",ROUND(SUMIFS(次果筐明细!$J$4:$J$603,次果筐明细!$C$4:$C$603,$B48,次果筐明细!$B$4:$B$603,"&gt;="&amp;$Z$1,次果筐明细!$B$4:$B$603,"&lt;="&amp;$Z$2),2))</f>
        <v/>
      </c>
      <c r="T48" s="63" t="str">
        <f>IF($B48="","",ROUND(SUMIFS(次果筐明细!$K$4:$K$603,次果筐明细!$C$4:$C$603,$B48,次果筐明细!$B$4:$B$603,"&gt;="&amp;$Z$1,次果筐明细!$B$4:$B$603,"&lt;="&amp;$Z$2),2))</f>
        <v/>
      </c>
      <c r="U48" s="30" t="str">
        <f t="shared" si="5"/>
        <v/>
      </c>
      <c r="V48" s="42"/>
    </row>
    <row r="49" spans="1:22">
      <c r="A49" s="24" t="str">
        <f t="shared" si="0"/>
        <v/>
      </c>
      <c r="B49" s="37" t="str">
        <f>IFERROR(INDEX(_自动清单!$AY$4:$AY$203,ROW()-3),"")</f>
        <v/>
      </c>
      <c r="C49" s="39" t="str">
        <f>IF(OR($B49="",_自动清单!$AS$4=""),"",SUMIFS(次果筐明细!$G$4:$G$603,次果筐明细!$C$4:$C$603,$B49,次果筐明细!$D$4:$D$603,_自动清单!$AS$4,次果筐明细!$F$4:$F$603,"*出库*",次果筐明细!$B$4:$B$603,"&gt;="&amp;$Z$1,次果筐明细!$B$4:$B$603,"&lt;="&amp;$Z$2))</f>
        <v/>
      </c>
      <c r="D49" s="39" t="str">
        <f>IF(OR($B49="",_自动清单!$AS$5=""),"",SUMIFS(次果筐明细!$G$4:$G$603,次果筐明细!$C$4:$C$603,$B49,次果筐明细!$D$4:$D$603,_自动清单!$AS$5,次果筐明细!$F$4:$F$603,"*出库*",次果筐明细!$B$4:$B$603,"&gt;="&amp;$Z$1,次果筐明细!$B$4:$B$603,"&lt;="&amp;$Z$2))</f>
        <v/>
      </c>
      <c r="E49" s="39" t="str">
        <f>IF(OR($B49="",_自动清单!$AS$6=""),"",SUMIFS(次果筐明细!$G$4:$G$603,次果筐明细!$C$4:$C$603,$B49,次果筐明细!$D$4:$D$603,_自动清单!$AS$6,次果筐明细!$F$4:$F$603,"*出库*",次果筐明细!$B$4:$B$603,"&gt;="&amp;$Z$1,次果筐明细!$B$4:$B$603,"&lt;="&amp;$Z$2))</f>
        <v/>
      </c>
      <c r="F49" s="39" t="str">
        <f>IF(OR($B49="",_自动清单!$AS$7=""),"",SUMIFS(次果筐明细!$G$4:$G$603,次果筐明细!$C$4:$C$603,$B49,次果筐明细!$D$4:$D$603,_自动清单!$AS$7,次果筐明细!$F$4:$F$603,"*出库*",次果筐明细!$B$4:$B$603,"&gt;="&amp;$Z$1,次果筐明细!$B$4:$B$603,"&lt;="&amp;$Z$2))</f>
        <v/>
      </c>
      <c r="G49" s="39" t="str">
        <f>IF($B49="","",SUMIFS(次果筐明细!$G$4:$G$603,次果筐明细!$C$4:$C$603,$B49,次果筐明细!$F$4:$F$603,"*出库*",次果筐明细!$B$4:$B$603,"&gt;="&amp;$Z$1,次果筐明细!$B$4:$B$603,"&lt;="&amp;$Z$2)-SUM($C49:$F49))</f>
        <v/>
      </c>
      <c r="H49" s="39" t="str">
        <f t="shared" si="1"/>
        <v/>
      </c>
      <c r="I49" s="39" t="str">
        <f>IF(OR($B49="",_自动清单!$AS$4=""),"",SUMIFS(次果筐明细!$G$4:$G$603,次果筐明细!$C$4:$C$603,$B49,次果筐明细!$D$4:$D$603,_自动清单!$AS$4,次果筐明细!$F$4:$F$603,"*入库*",次果筐明细!$B$4:$B$603,"&gt;="&amp;$Z$1,次果筐明细!$B$4:$B$603,"&lt;="&amp;$Z$2))</f>
        <v/>
      </c>
      <c r="J49" s="39" t="str">
        <f>IF(OR($B49="",_自动清单!$AS$5=""),"",SUMIFS(次果筐明细!$G$4:$G$603,次果筐明细!$C$4:$C$603,$B49,次果筐明细!$D$4:$D$603,_自动清单!$AS$5,次果筐明细!$F$4:$F$603,"*入库*",次果筐明细!$B$4:$B$603,"&gt;="&amp;$Z$1,次果筐明细!$B$4:$B$603,"&lt;="&amp;$Z$2))</f>
        <v/>
      </c>
      <c r="K49" s="39" t="str">
        <f>IF(OR($B49="",_自动清单!$AS$6=""),"",SUMIFS(次果筐明细!$G$4:$G$603,次果筐明细!$C$4:$C$603,$B49,次果筐明细!$D$4:$D$603,_自动清单!$AS$6,次果筐明细!$F$4:$F$603,"*入库*",次果筐明细!$B$4:$B$603,"&gt;="&amp;$Z$1,次果筐明细!$B$4:$B$603,"&lt;="&amp;$Z$2))</f>
        <v/>
      </c>
      <c r="L49" s="39" t="str">
        <f>IF(OR($B49="",_自动清单!$AS$7=""),"",SUMIFS(次果筐明细!$G$4:$G$603,次果筐明细!$C$4:$C$603,$B49,次果筐明细!$D$4:$D$603,_自动清单!$AS$7,次果筐明细!$F$4:$F$603,"*入库*",次果筐明细!$B$4:$B$603,"&gt;="&amp;$Z$1,次果筐明细!$B$4:$B$603,"&lt;="&amp;$Z$2))</f>
        <v/>
      </c>
      <c r="M49" s="62" t="str">
        <f>IF($B49="","",SUMIFS(次果筐明细!$G$4:$G$603,次果筐明细!$C$4:$C$603,$B49,次果筐明细!$F$4:$F$603,"*入库*",次果筐明细!$B$4:$B$603,"&gt;="&amp;$Z$1,次果筐明细!$B$4:$B$603,"&lt;="&amp;$Z$2)-SUM($I49:$L49))</f>
        <v/>
      </c>
      <c r="N49" s="62" t="str">
        <f t="shared" si="2"/>
        <v/>
      </c>
      <c r="O49" s="39" t="str">
        <f t="shared" si="3"/>
        <v/>
      </c>
      <c r="P49" s="30" t="str">
        <f>IF($B49="","",ROUND(SUMIFS(次果筐明细!$L$4:$L$603,次果筐明细!$C$4:$C$603,$B49,次果筐明细!$B$4:$B$603,"&gt;="&amp;$Z$1,次果筐明细!$B$4:$B$603,"&lt;="&amp;$Z$2),2))</f>
        <v/>
      </c>
      <c r="Q49" s="30" t="str">
        <f>IF($B49="","",ROUND(SUMIFS(次果筐明细!$L$4:$L$603,次果筐明细!$C$4:$C$603,$B49,次果筐明细!$M$4:$M$603,"已收讫",次果筐明细!$B$4:$B$603,"&gt;="&amp;$Z$1,次果筐明细!$B$4:$B$603,"&lt;="&amp;$Z$2),2))</f>
        <v/>
      </c>
      <c r="R49" s="30" t="str">
        <f t="shared" si="4"/>
        <v/>
      </c>
      <c r="S49" s="30" t="str">
        <f>IF($B49="","",ROUND(SUMIFS(次果筐明细!$J$4:$J$603,次果筐明细!$C$4:$C$603,$B49,次果筐明细!$B$4:$B$603,"&gt;="&amp;$Z$1,次果筐明细!$B$4:$B$603,"&lt;="&amp;$Z$2),2))</f>
        <v/>
      </c>
      <c r="T49" s="63" t="str">
        <f>IF($B49="","",ROUND(SUMIFS(次果筐明细!$K$4:$K$603,次果筐明细!$C$4:$C$603,$B49,次果筐明细!$B$4:$B$603,"&gt;="&amp;$Z$1,次果筐明细!$B$4:$B$603,"&lt;="&amp;$Z$2),2))</f>
        <v/>
      </c>
      <c r="U49" s="30" t="str">
        <f t="shared" si="5"/>
        <v/>
      </c>
      <c r="V49" s="42"/>
    </row>
    <row r="50" spans="1:22">
      <c r="A50" s="24" t="str">
        <f t="shared" si="0"/>
        <v/>
      </c>
      <c r="B50" s="37" t="str">
        <f>IFERROR(INDEX(_自动清单!$AY$4:$AY$203,ROW()-3),"")</f>
        <v/>
      </c>
      <c r="C50" s="39" t="str">
        <f>IF(OR($B50="",_自动清单!$AS$4=""),"",SUMIFS(次果筐明细!$G$4:$G$603,次果筐明细!$C$4:$C$603,$B50,次果筐明细!$D$4:$D$603,_自动清单!$AS$4,次果筐明细!$F$4:$F$603,"*出库*",次果筐明细!$B$4:$B$603,"&gt;="&amp;$Z$1,次果筐明细!$B$4:$B$603,"&lt;="&amp;$Z$2))</f>
        <v/>
      </c>
      <c r="D50" s="39" t="str">
        <f>IF(OR($B50="",_自动清单!$AS$5=""),"",SUMIFS(次果筐明细!$G$4:$G$603,次果筐明细!$C$4:$C$603,$B50,次果筐明细!$D$4:$D$603,_自动清单!$AS$5,次果筐明细!$F$4:$F$603,"*出库*",次果筐明细!$B$4:$B$603,"&gt;="&amp;$Z$1,次果筐明细!$B$4:$B$603,"&lt;="&amp;$Z$2))</f>
        <v/>
      </c>
      <c r="E50" s="39" t="str">
        <f>IF(OR($B50="",_自动清单!$AS$6=""),"",SUMIFS(次果筐明细!$G$4:$G$603,次果筐明细!$C$4:$C$603,$B50,次果筐明细!$D$4:$D$603,_自动清单!$AS$6,次果筐明细!$F$4:$F$603,"*出库*",次果筐明细!$B$4:$B$603,"&gt;="&amp;$Z$1,次果筐明细!$B$4:$B$603,"&lt;="&amp;$Z$2))</f>
        <v/>
      </c>
      <c r="F50" s="39" t="str">
        <f>IF(OR($B50="",_自动清单!$AS$7=""),"",SUMIFS(次果筐明细!$G$4:$G$603,次果筐明细!$C$4:$C$603,$B50,次果筐明细!$D$4:$D$603,_自动清单!$AS$7,次果筐明细!$F$4:$F$603,"*出库*",次果筐明细!$B$4:$B$603,"&gt;="&amp;$Z$1,次果筐明细!$B$4:$B$603,"&lt;="&amp;$Z$2))</f>
        <v/>
      </c>
      <c r="G50" s="39" t="str">
        <f>IF($B50="","",SUMIFS(次果筐明细!$G$4:$G$603,次果筐明细!$C$4:$C$603,$B50,次果筐明细!$F$4:$F$603,"*出库*",次果筐明细!$B$4:$B$603,"&gt;="&amp;$Z$1,次果筐明细!$B$4:$B$603,"&lt;="&amp;$Z$2)-SUM($C50:$F50))</f>
        <v/>
      </c>
      <c r="H50" s="39" t="str">
        <f t="shared" si="1"/>
        <v/>
      </c>
      <c r="I50" s="39" t="str">
        <f>IF(OR($B50="",_自动清单!$AS$4=""),"",SUMIFS(次果筐明细!$G$4:$G$603,次果筐明细!$C$4:$C$603,$B50,次果筐明细!$D$4:$D$603,_自动清单!$AS$4,次果筐明细!$F$4:$F$603,"*入库*",次果筐明细!$B$4:$B$603,"&gt;="&amp;$Z$1,次果筐明细!$B$4:$B$603,"&lt;="&amp;$Z$2))</f>
        <v/>
      </c>
      <c r="J50" s="39" t="str">
        <f>IF(OR($B50="",_自动清单!$AS$5=""),"",SUMIFS(次果筐明细!$G$4:$G$603,次果筐明细!$C$4:$C$603,$B50,次果筐明细!$D$4:$D$603,_自动清单!$AS$5,次果筐明细!$F$4:$F$603,"*入库*",次果筐明细!$B$4:$B$603,"&gt;="&amp;$Z$1,次果筐明细!$B$4:$B$603,"&lt;="&amp;$Z$2))</f>
        <v/>
      </c>
      <c r="K50" s="39" t="str">
        <f>IF(OR($B50="",_自动清单!$AS$6=""),"",SUMIFS(次果筐明细!$G$4:$G$603,次果筐明细!$C$4:$C$603,$B50,次果筐明细!$D$4:$D$603,_自动清单!$AS$6,次果筐明细!$F$4:$F$603,"*入库*",次果筐明细!$B$4:$B$603,"&gt;="&amp;$Z$1,次果筐明细!$B$4:$B$603,"&lt;="&amp;$Z$2))</f>
        <v/>
      </c>
      <c r="L50" s="39" t="str">
        <f>IF(OR($B50="",_自动清单!$AS$7=""),"",SUMIFS(次果筐明细!$G$4:$G$603,次果筐明细!$C$4:$C$603,$B50,次果筐明细!$D$4:$D$603,_自动清单!$AS$7,次果筐明细!$F$4:$F$603,"*入库*",次果筐明细!$B$4:$B$603,"&gt;="&amp;$Z$1,次果筐明细!$B$4:$B$603,"&lt;="&amp;$Z$2))</f>
        <v/>
      </c>
      <c r="M50" s="62" t="str">
        <f>IF($B50="","",SUMIFS(次果筐明细!$G$4:$G$603,次果筐明细!$C$4:$C$603,$B50,次果筐明细!$F$4:$F$603,"*入库*",次果筐明细!$B$4:$B$603,"&gt;="&amp;$Z$1,次果筐明细!$B$4:$B$603,"&lt;="&amp;$Z$2)-SUM($I50:$L50))</f>
        <v/>
      </c>
      <c r="N50" s="62" t="str">
        <f t="shared" si="2"/>
        <v/>
      </c>
      <c r="O50" s="39" t="str">
        <f t="shared" si="3"/>
        <v/>
      </c>
      <c r="P50" s="30" t="str">
        <f>IF($B50="","",ROUND(SUMIFS(次果筐明细!$L$4:$L$603,次果筐明细!$C$4:$C$603,$B50,次果筐明细!$B$4:$B$603,"&gt;="&amp;$Z$1,次果筐明细!$B$4:$B$603,"&lt;="&amp;$Z$2),2))</f>
        <v/>
      </c>
      <c r="Q50" s="30" t="str">
        <f>IF($B50="","",ROUND(SUMIFS(次果筐明细!$L$4:$L$603,次果筐明细!$C$4:$C$603,$B50,次果筐明细!$M$4:$M$603,"已收讫",次果筐明细!$B$4:$B$603,"&gt;="&amp;$Z$1,次果筐明细!$B$4:$B$603,"&lt;="&amp;$Z$2),2))</f>
        <v/>
      </c>
      <c r="R50" s="30" t="str">
        <f t="shared" si="4"/>
        <v/>
      </c>
      <c r="S50" s="30" t="str">
        <f>IF($B50="","",ROUND(SUMIFS(次果筐明细!$J$4:$J$603,次果筐明细!$C$4:$C$603,$B50,次果筐明细!$B$4:$B$603,"&gt;="&amp;$Z$1,次果筐明细!$B$4:$B$603,"&lt;="&amp;$Z$2),2))</f>
        <v/>
      </c>
      <c r="T50" s="63" t="str">
        <f>IF($B50="","",ROUND(SUMIFS(次果筐明细!$K$4:$K$603,次果筐明细!$C$4:$C$603,$B50,次果筐明细!$B$4:$B$603,"&gt;="&amp;$Z$1,次果筐明细!$B$4:$B$603,"&lt;="&amp;$Z$2),2))</f>
        <v/>
      </c>
      <c r="U50" s="30" t="str">
        <f t="shared" si="5"/>
        <v/>
      </c>
      <c r="V50" s="42"/>
    </row>
    <row r="51" spans="1:22">
      <c r="A51" s="24" t="str">
        <f t="shared" si="0"/>
        <v/>
      </c>
      <c r="B51" s="37" t="str">
        <f>IFERROR(INDEX(_自动清单!$AY$4:$AY$203,ROW()-3),"")</f>
        <v/>
      </c>
      <c r="C51" s="39" t="str">
        <f>IF(OR($B51="",_自动清单!$AS$4=""),"",SUMIFS(次果筐明细!$G$4:$G$603,次果筐明细!$C$4:$C$603,$B51,次果筐明细!$D$4:$D$603,_自动清单!$AS$4,次果筐明细!$F$4:$F$603,"*出库*",次果筐明细!$B$4:$B$603,"&gt;="&amp;$Z$1,次果筐明细!$B$4:$B$603,"&lt;="&amp;$Z$2))</f>
        <v/>
      </c>
      <c r="D51" s="39" t="str">
        <f>IF(OR($B51="",_自动清单!$AS$5=""),"",SUMIFS(次果筐明细!$G$4:$G$603,次果筐明细!$C$4:$C$603,$B51,次果筐明细!$D$4:$D$603,_自动清单!$AS$5,次果筐明细!$F$4:$F$603,"*出库*",次果筐明细!$B$4:$B$603,"&gt;="&amp;$Z$1,次果筐明细!$B$4:$B$603,"&lt;="&amp;$Z$2))</f>
        <v/>
      </c>
      <c r="E51" s="39" t="str">
        <f>IF(OR($B51="",_自动清单!$AS$6=""),"",SUMIFS(次果筐明细!$G$4:$G$603,次果筐明细!$C$4:$C$603,$B51,次果筐明细!$D$4:$D$603,_自动清单!$AS$6,次果筐明细!$F$4:$F$603,"*出库*",次果筐明细!$B$4:$B$603,"&gt;="&amp;$Z$1,次果筐明细!$B$4:$B$603,"&lt;="&amp;$Z$2))</f>
        <v/>
      </c>
      <c r="F51" s="39" t="str">
        <f>IF(OR($B51="",_自动清单!$AS$7=""),"",SUMIFS(次果筐明细!$G$4:$G$603,次果筐明细!$C$4:$C$603,$B51,次果筐明细!$D$4:$D$603,_自动清单!$AS$7,次果筐明细!$F$4:$F$603,"*出库*",次果筐明细!$B$4:$B$603,"&gt;="&amp;$Z$1,次果筐明细!$B$4:$B$603,"&lt;="&amp;$Z$2))</f>
        <v/>
      </c>
      <c r="G51" s="39" t="str">
        <f>IF($B51="","",SUMIFS(次果筐明细!$G$4:$G$603,次果筐明细!$C$4:$C$603,$B51,次果筐明细!$F$4:$F$603,"*出库*",次果筐明细!$B$4:$B$603,"&gt;="&amp;$Z$1,次果筐明细!$B$4:$B$603,"&lt;="&amp;$Z$2)-SUM($C51:$F51))</f>
        <v/>
      </c>
      <c r="H51" s="39" t="str">
        <f t="shared" si="1"/>
        <v/>
      </c>
      <c r="I51" s="39" t="str">
        <f>IF(OR($B51="",_自动清单!$AS$4=""),"",SUMIFS(次果筐明细!$G$4:$G$603,次果筐明细!$C$4:$C$603,$B51,次果筐明细!$D$4:$D$603,_自动清单!$AS$4,次果筐明细!$F$4:$F$603,"*入库*",次果筐明细!$B$4:$B$603,"&gt;="&amp;$Z$1,次果筐明细!$B$4:$B$603,"&lt;="&amp;$Z$2))</f>
        <v/>
      </c>
      <c r="J51" s="39" t="str">
        <f>IF(OR($B51="",_自动清单!$AS$5=""),"",SUMIFS(次果筐明细!$G$4:$G$603,次果筐明细!$C$4:$C$603,$B51,次果筐明细!$D$4:$D$603,_自动清单!$AS$5,次果筐明细!$F$4:$F$603,"*入库*",次果筐明细!$B$4:$B$603,"&gt;="&amp;$Z$1,次果筐明细!$B$4:$B$603,"&lt;="&amp;$Z$2))</f>
        <v/>
      </c>
      <c r="K51" s="39" t="str">
        <f>IF(OR($B51="",_自动清单!$AS$6=""),"",SUMIFS(次果筐明细!$G$4:$G$603,次果筐明细!$C$4:$C$603,$B51,次果筐明细!$D$4:$D$603,_自动清单!$AS$6,次果筐明细!$F$4:$F$603,"*入库*",次果筐明细!$B$4:$B$603,"&gt;="&amp;$Z$1,次果筐明细!$B$4:$B$603,"&lt;="&amp;$Z$2))</f>
        <v/>
      </c>
      <c r="L51" s="39" t="str">
        <f>IF(OR($B51="",_自动清单!$AS$7=""),"",SUMIFS(次果筐明细!$G$4:$G$603,次果筐明细!$C$4:$C$603,$B51,次果筐明细!$D$4:$D$603,_自动清单!$AS$7,次果筐明细!$F$4:$F$603,"*入库*",次果筐明细!$B$4:$B$603,"&gt;="&amp;$Z$1,次果筐明细!$B$4:$B$603,"&lt;="&amp;$Z$2))</f>
        <v/>
      </c>
      <c r="M51" s="62" t="str">
        <f>IF($B51="","",SUMIFS(次果筐明细!$G$4:$G$603,次果筐明细!$C$4:$C$603,$B51,次果筐明细!$F$4:$F$603,"*入库*",次果筐明细!$B$4:$B$603,"&gt;="&amp;$Z$1,次果筐明细!$B$4:$B$603,"&lt;="&amp;$Z$2)-SUM($I51:$L51))</f>
        <v/>
      </c>
      <c r="N51" s="62" t="str">
        <f t="shared" si="2"/>
        <v/>
      </c>
      <c r="O51" s="39" t="str">
        <f t="shared" si="3"/>
        <v/>
      </c>
      <c r="P51" s="30" t="str">
        <f>IF($B51="","",ROUND(SUMIFS(次果筐明细!$L$4:$L$603,次果筐明细!$C$4:$C$603,$B51,次果筐明细!$B$4:$B$603,"&gt;="&amp;$Z$1,次果筐明细!$B$4:$B$603,"&lt;="&amp;$Z$2),2))</f>
        <v/>
      </c>
      <c r="Q51" s="30" t="str">
        <f>IF($B51="","",ROUND(SUMIFS(次果筐明细!$L$4:$L$603,次果筐明细!$C$4:$C$603,$B51,次果筐明细!$M$4:$M$603,"已收讫",次果筐明细!$B$4:$B$603,"&gt;="&amp;$Z$1,次果筐明细!$B$4:$B$603,"&lt;="&amp;$Z$2),2))</f>
        <v/>
      </c>
      <c r="R51" s="30" t="str">
        <f t="shared" si="4"/>
        <v/>
      </c>
      <c r="S51" s="30" t="str">
        <f>IF($B51="","",ROUND(SUMIFS(次果筐明细!$J$4:$J$603,次果筐明细!$C$4:$C$603,$B51,次果筐明细!$B$4:$B$603,"&gt;="&amp;$Z$1,次果筐明细!$B$4:$B$603,"&lt;="&amp;$Z$2),2))</f>
        <v/>
      </c>
      <c r="T51" s="63" t="str">
        <f>IF($B51="","",ROUND(SUMIFS(次果筐明细!$K$4:$K$603,次果筐明细!$C$4:$C$603,$B51,次果筐明细!$B$4:$B$603,"&gt;="&amp;$Z$1,次果筐明细!$B$4:$B$603,"&lt;="&amp;$Z$2),2))</f>
        <v/>
      </c>
      <c r="U51" s="30" t="str">
        <f t="shared" si="5"/>
        <v/>
      </c>
      <c r="V51" s="42"/>
    </row>
    <row r="52" spans="1:22">
      <c r="A52" s="24" t="str">
        <f t="shared" si="0"/>
        <v/>
      </c>
      <c r="B52" s="37" t="str">
        <f>IFERROR(INDEX(_自动清单!$AY$4:$AY$203,ROW()-3),"")</f>
        <v/>
      </c>
      <c r="C52" s="39" t="str">
        <f>IF(OR($B52="",_自动清单!$AS$4=""),"",SUMIFS(次果筐明细!$G$4:$G$603,次果筐明细!$C$4:$C$603,$B52,次果筐明细!$D$4:$D$603,_自动清单!$AS$4,次果筐明细!$F$4:$F$603,"*出库*",次果筐明细!$B$4:$B$603,"&gt;="&amp;$Z$1,次果筐明细!$B$4:$B$603,"&lt;="&amp;$Z$2))</f>
        <v/>
      </c>
      <c r="D52" s="39" t="str">
        <f>IF(OR($B52="",_自动清单!$AS$5=""),"",SUMIFS(次果筐明细!$G$4:$G$603,次果筐明细!$C$4:$C$603,$B52,次果筐明细!$D$4:$D$603,_自动清单!$AS$5,次果筐明细!$F$4:$F$603,"*出库*",次果筐明细!$B$4:$B$603,"&gt;="&amp;$Z$1,次果筐明细!$B$4:$B$603,"&lt;="&amp;$Z$2))</f>
        <v/>
      </c>
      <c r="E52" s="39" t="str">
        <f>IF(OR($B52="",_自动清单!$AS$6=""),"",SUMIFS(次果筐明细!$G$4:$G$603,次果筐明细!$C$4:$C$603,$B52,次果筐明细!$D$4:$D$603,_自动清单!$AS$6,次果筐明细!$F$4:$F$603,"*出库*",次果筐明细!$B$4:$B$603,"&gt;="&amp;$Z$1,次果筐明细!$B$4:$B$603,"&lt;="&amp;$Z$2))</f>
        <v/>
      </c>
      <c r="F52" s="39" t="str">
        <f>IF(OR($B52="",_自动清单!$AS$7=""),"",SUMIFS(次果筐明细!$G$4:$G$603,次果筐明细!$C$4:$C$603,$B52,次果筐明细!$D$4:$D$603,_自动清单!$AS$7,次果筐明细!$F$4:$F$603,"*出库*",次果筐明细!$B$4:$B$603,"&gt;="&amp;$Z$1,次果筐明细!$B$4:$B$603,"&lt;="&amp;$Z$2))</f>
        <v/>
      </c>
      <c r="G52" s="39" t="str">
        <f>IF($B52="","",SUMIFS(次果筐明细!$G$4:$G$603,次果筐明细!$C$4:$C$603,$B52,次果筐明细!$F$4:$F$603,"*出库*",次果筐明细!$B$4:$B$603,"&gt;="&amp;$Z$1,次果筐明细!$B$4:$B$603,"&lt;="&amp;$Z$2)-SUM($C52:$F52))</f>
        <v/>
      </c>
      <c r="H52" s="39" t="str">
        <f t="shared" si="1"/>
        <v/>
      </c>
      <c r="I52" s="39" t="str">
        <f>IF(OR($B52="",_自动清单!$AS$4=""),"",SUMIFS(次果筐明细!$G$4:$G$603,次果筐明细!$C$4:$C$603,$B52,次果筐明细!$D$4:$D$603,_自动清单!$AS$4,次果筐明细!$F$4:$F$603,"*入库*",次果筐明细!$B$4:$B$603,"&gt;="&amp;$Z$1,次果筐明细!$B$4:$B$603,"&lt;="&amp;$Z$2))</f>
        <v/>
      </c>
      <c r="J52" s="39" t="str">
        <f>IF(OR($B52="",_自动清单!$AS$5=""),"",SUMIFS(次果筐明细!$G$4:$G$603,次果筐明细!$C$4:$C$603,$B52,次果筐明细!$D$4:$D$603,_自动清单!$AS$5,次果筐明细!$F$4:$F$603,"*入库*",次果筐明细!$B$4:$B$603,"&gt;="&amp;$Z$1,次果筐明细!$B$4:$B$603,"&lt;="&amp;$Z$2))</f>
        <v/>
      </c>
      <c r="K52" s="39" t="str">
        <f>IF(OR($B52="",_自动清单!$AS$6=""),"",SUMIFS(次果筐明细!$G$4:$G$603,次果筐明细!$C$4:$C$603,$B52,次果筐明细!$D$4:$D$603,_自动清单!$AS$6,次果筐明细!$F$4:$F$603,"*入库*",次果筐明细!$B$4:$B$603,"&gt;="&amp;$Z$1,次果筐明细!$B$4:$B$603,"&lt;="&amp;$Z$2))</f>
        <v/>
      </c>
      <c r="L52" s="39" t="str">
        <f>IF(OR($B52="",_自动清单!$AS$7=""),"",SUMIFS(次果筐明细!$G$4:$G$603,次果筐明细!$C$4:$C$603,$B52,次果筐明细!$D$4:$D$603,_自动清单!$AS$7,次果筐明细!$F$4:$F$603,"*入库*",次果筐明细!$B$4:$B$603,"&gt;="&amp;$Z$1,次果筐明细!$B$4:$B$603,"&lt;="&amp;$Z$2))</f>
        <v/>
      </c>
      <c r="M52" s="62" t="str">
        <f>IF($B52="","",SUMIFS(次果筐明细!$G$4:$G$603,次果筐明细!$C$4:$C$603,$B52,次果筐明细!$F$4:$F$603,"*入库*",次果筐明细!$B$4:$B$603,"&gt;="&amp;$Z$1,次果筐明细!$B$4:$B$603,"&lt;="&amp;$Z$2)-SUM($I52:$L52))</f>
        <v/>
      </c>
      <c r="N52" s="62" t="str">
        <f t="shared" si="2"/>
        <v/>
      </c>
      <c r="O52" s="39" t="str">
        <f t="shared" si="3"/>
        <v/>
      </c>
      <c r="P52" s="30" t="str">
        <f>IF($B52="","",ROUND(SUMIFS(次果筐明细!$L$4:$L$603,次果筐明细!$C$4:$C$603,$B52,次果筐明细!$B$4:$B$603,"&gt;="&amp;$Z$1,次果筐明细!$B$4:$B$603,"&lt;="&amp;$Z$2),2))</f>
        <v/>
      </c>
      <c r="Q52" s="30" t="str">
        <f>IF($B52="","",ROUND(SUMIFS(次果筐明细!$L$4:$L$603,次果筐明细!$C$4:$C$603,$B52,次果筐明细!$M$4:$M$603,"已收讫",次果筐明细!$B$4:$B$603,"&gt;="&amp;$Z$1,次果筐明细!$B$4:$B$603,"&lt;="&amp;$Z$2),2))</f>
        <v/>
      </c>
      <c r="R52" s="30" t="str">
        <f t="shared" si="4"/>
        <v/>
      </c>
      <c r="S52" s="30" t="str">
        <f>IF($B52="","",ROUND(SUMIFS(次果筐明细!$J$4:$J$603,次果筐明细!$C$4:$C$603,$B52,次果筐明细!$B$4:$B$603,"&gt;="&amp;$Z$1,次果筐明细!$B$4:$B$603,"&lt;="&amp;$Z$2),2))</f>
        <v/>
      </c>
      <c r="T52" s="63" t="str">
        <f>IF($B52="","",ROUND(SUMIFS(次果筐明细!$K$4:$K$603,次果筐明细!$C$4:$C$603,$B52,次果筐明细!$B$4:$B$603,"&gt;="&amp;$Z$1,次果筐明细!$B$4:$B$603,"&lt;="&amp;$Z$2),2))</f>
        <v/>
      </c>
      <c r="U52" s="30" t="str">
        <f t="shared" si="5"/>
        <v/>
      </c>
      <c r="V52" s="42"/>
    </row>
    <row r="53" spans="1:22">
      <c r="A53" s="24" t="str">
        <f t="shared" si="0"/>
        <v/>
      </c>
      <c r="B53" s="37" t="str">
        <f>IFERROR(INDEX(_自动清单!$AY$4:$AY$203,ROW()-3),"")</f>
        <v/>
      </c>
      <c r="C53" s="39" t="str">
        <f>IF(OR($B53="",_自动清单!$AS$4=""),"",SUMIFS(次果筐明细!$G$4:$G$603,次果筐明细!$C$4:$C$603,$B53,次果筐明细!$D$4:$D$603,_自动清单!$AS$4,次果筐明细!$F$4:$F$603,"*出库*",次果筐明细!$B$4:$B$603,"&gt;="&amp;$Z$1,次果筐明细!$B$4:$B$603,"&lt;="&amp;$Z$2))</f>
        <v/>
      </c>
      <c r="D53" s="39" t="str">
        <f>IF(OR($B53="",_自动清单!$AS$5=""),"",SUMIFS(次果筐明细!$G$4:$G$603,次果筐明细!$C$4:$C$603,$B53,次果筐明细!$D$4:$D$603,_自动清单!$AS$5,次果筐明细!$F$4:$F$603,"*出库*",次果筐明细!$B$4:$B$603,"&gt;="&amp;$Z$1,次果筐明细!$B$4:$B$603,"&lt;="&amp;$Z$2))</f>
        <v/>
      </c>
      <c r="E53" s="39" t="str">
        <f>IF(OR($B53="",_自动清单!$AS$6=""),"",SUMIFS(次果筐明细!$G$4:$G$603,次果筐明细!$C$4:$C$603,$B53,次果筐明细!$D$4:$D$603,_自动清单!$AS$6,次果筐明细!$F$4:$F$603,"*出库*",次果筐明细!$B$4:$B$603,"&gt;="&amp;$Z$1,次果筐明细!$B$4:$B$603,"&lt;="&amp;$Z$2))</f>
        <v/>
      </c>
      <c r="F53" s="39" t="str">
        <f>IF(OR($B53="",_自动清单!$AS$7=""),"",SUMIFS(次果筐明细!$G$4:$G$603,次果筐明细!$C$4:$C$603,$B53,次果筐明细!$D$4:$D$603,_自动清单!$AS$7,次果筐明细!$F$4:$F$603,"*出库*",次果筐明细!$B$4:$B$603,"&gt;="&amp;$Z$1,次果筐明细!$B$4:$B$603,"&lt;="&amp;$Z$2))</f>
        <v/>
      </c>
      <c r="G53" s="39" t="str">
        <f>IF($B53="","",SUMIFS(次果筐明细!$G$4:$G$603,次果筐明细!$C$4:$C$603,$B53,次果筐明细!$F$4:$F$603,"*出库*",次果筐明细!$B$4:$B$603,"&gt;="&amp;$Z$1,次果筐明细!$B$4:$B$603,"&lt;="&amp;$Z$2)-SUM($C53:$F53))</f>
        <v/>
      </c>
      <c r="H53" s="39" t="str">
        <f t="shared" si="1"/>
        <v/>
      </c>
      <c r="I53" s="39" t="str">
        <f>IF(OR($B53="",_自动清单!$AS$4=""),"",SUMIFS(次果筐明细!$G$4:$G$603,次果筐明细!$C$4:$C$603,$B53,次果筐明细!$D$4:$D$603,_自动清单!$AS$4,次果筐明细!$F$4:$F$603,"*入库*",次果筐明细!$B$4:$B$603,"&gt;="&amp;$Z$1,次果筐明细!$B$4:$B$603,"&lt;="&amp;$Z$2))</f>
        <v/>
      </c>
      <c r="J53" s="39" t="str">
        <f>IF(OR($B53="",_自动清单!$AS$5=""),"",SUMIFS(次果筐明细!$G$4:$G$603,次果筐明细!$C$4:$C$603,$B53,次果筐明细!$D$4:$D$603,_自动清单!$AS$5,次果筐明细!$F$4:$F$603,"*入库*",次果筐明细!$B$4:$B$603,"&gt;="&amp;$Z$1,次果筐明细!$B$4:$B$603,"&lt;="&amp;$Z$2))</f>
        <v/>
      </c>
      <c r="K53" s="39" t="str">
        <f>IF(OR($B53="",_自动清单!$AS$6=""),"",SUMIFS(次果筐明细!$G$4:$G$603,次果筐明细!$C$4:$C$603,$B53,次果筐明细!$D$4:$D$603,_自动清单!$AS$6,次果筐明细!$F$4:$F$603,"*入库*",次果筐明细!$B$4:$B$603,"&gt;="&amp;$Z$1,次果筐明细!$B$4:$B$603,"&lt;="&amp;$Z$2))</f>
        <v/>
      </c>
      <c r="L53" s="39" t="str">
        <f>IF(OR($B53="",_自动清单!$AS$7=""),"",SUMIFS(次果筐明细!$G$4:$G$603,次果筐明细!$C$4:$C$603,$B53,次果筐明细!$D$4:$D$603,_自动清单!$AS$7,次果筐明细!$F$4:$F$603,"*入库*",次果筐明细!$B$4:$B$603,"&gt;="&amp;$Z$1,次果筐明细!$B$4:$B$603,"&lt;="&amp;$Z$2))</f>
        <v/>
      </c>
      <c r="M53" s="62" t="str">
        <f>IF($B53="","",SUMIFS(次果筐明细!$G$4:$G$603,次果筐明细!$C$4:$C$603,$B53,次果筐明细!$F$4:$F$603,"*入库*",次果筐明细!$B$4:$B$603,"&gt;="&amp;$Z$1,次果筐明细!$B$4:$B$603,"&lt;="&amp;$Z$2)-SUM($I53:$L53))</f>
        <v/>
      </c>
      <c r="N53" s="62" t="str">
        <f t="shared" si="2"/>
        <v/>
      </c>
      <c r="O53" s="39" t="str">
        <f t="shared" si="3"/>
        <v/>
      </c>
      <c r="P53" s="30" t="str">
        <f>IF($B53="","",ROUND(SUMIFS(次果筐明细!$L$4:$L$603,次果筐明细!$C$4:$C$603,$B53,次果筐明细!$B$4:$B$603,"&gt;="&amp;$Z$1,次果筐明细!$B$4:$B$603,"&lt;="&amp;$Z$2),2))</f>
        <v/>
      </c>
      <c r="Q53" s="30" t="str">
        <f>IF($B53="","",ROUND(SUMIFS(次果筐明细!$L$4:$L$603,次果筐明细!$C$4:$C$603,$B53,次果筐明细!$M$4:$M$603,"已收讫",次果筐明细!$B$4:$B$603,"&gt;="&amp;$Z$1,次果筐明细!$B$4:$B$603,"&lt;="&amp;$Z$2),2))</f>
        <v/>
      </c>
      <c r="R53" s="30" t="str">
        <f t="shared" si="4"/>
        <v/>
      </c>
      <c r="S53" s="30" t="str">
        <f>IF($B53="","",ROUND(SUMIFS(次果筐明细!$J$4:$J$603,次果筐明细!$C$4:$C$603,$B53,次果筐明细!$B$4:$B$603,"&gt;="&amp;$Z$1,次果筐明细!$B$4:$B$603,"&lt;="&amp;$Z$2),2))</f>
        <v/>
      </c>
      <c r="T53" s="63" t="str">
        <f>IF($B53="","",ROUND(SUMIFS(次果筐明细!$K$4:$K$603,次果筐明细!$C$4:$C$603,$B53,次果筐明细!$B$4:$B$603,"&gt;="&amp;$Z$1,次果筐明细!$B$4:$B$603,"&lt;="&amp;$Z$2),2))</f>
        <v/>
      </c>
      <c r="U53" s="30" t="str">
        <f t="shared" si="5"/>
        <v/>
      </c>
      <c r="V53" s="42"/>
    </row>
    <row r="54" spans="1:22">
      <c r="A54" s="24" t="str">
        <f t="shared" si="0"/>
        <v/>
      </c>
      <c r="B54" s="37" t="str">
        <f>IFERROR(INDEX(_自动清单!$AY$4:$AY$203,ROW()-3),"")</f>
        <v/>
      </c>
      <c r="C54" s="39" t="str">
        <f>IF(OR($B54="",_自动清单!$AS$4=""),"",SUMIFS(次果筐明细!$G$4:$G$603,次果筐明细!$C$4:$C$603,$B54,次果筐明细!$D$4:$D$603,_自动清单!$AS$4,次果筐明细!$F$4:$F$603,"*出库*",次果筐明细!$B$4:$B$603,"&gt;="&amp;$Z$1,次果筐明细!$B$4:$B$603,"&lt;="&amp;$Z$2))</f>
        <v/>
      </c>
      <c r="D54" s="39" t="str">
        <f>IF(OR($B54="",_自动清单!$AS$5=""),"",SUMIFS(次果筐明细!$G$4:$G$603,次果筐明细!$C$4:$C$603,$B54,次果筐明细!$D$4:$D$603,_自动清单!$AS$5,次果筐明细!$F$4:$F$603,"*出库*",次果筐明细!$B$4:$B$603,"&gt;="&amp;$Z$1,次果筐明细!$B$4:$B$603,"&lt;="&amp;$Z$2))</f>
        <v/>
      </c>
      <c r="E54" s="39" t="str">
        <f>IF(OR($B54="",_自动清单!$AS$6=""),"",SUMIFS(次果筐明细!$G$4:$G$603,次果筐明细!$C$4:$C$603,$B54,次果筐明细!$D$4:$D$603,_自动清单!$AS$6,次果筐明细!$F$4:$F$603,"*出库*",次果筐明细!$B$4:$B$603,"&gt;="&amp;$Z$1,次果筐明细!$B$4:$B$603,"&lt;="&amp;$Z$2))</f>
        <v/>
      </c>
      <c r="F54" s="39" t="str">
        <f>IF(OR($B54="",_自动清单!$AS$7=""),"",SUMIFS(次果筐明细!$G$4:$G$603,次果筐明细!$C$4:$C$603,$B54,次果筐明细!$D$4:$D$603,_自动清单!$AS$7,次果筐明细!$F$4:$F$603,"*出库*",次果筐明细!$B$4:$B$603,"&gt;="&amp;$Z$1,次果筐明细!$B$4:$B$603,"&lt;="&amp;$Z$2))</f>
        <v/>
      </c>
      <c r="G54" s="39" t="str">
        <f>IF($B54="","",SUMIFS(次果筐明细!$G$4:$G$603,次果筐明细!$C$4:$C$603,$B54,次果筐明细!$F$4:$F$603,"*出库*",次果筐明细!$B$4:$B$603,"&gt;="&amp;$Z$1,次果筐明细!$B$4:$B$603,"&lt;="&amp;$Z$2)-SUM($C54:$F54))</f>
        <v/>
      </c>
      <c r="H54" s="39" t="str">
        <f t="shared" si="1"/>
        <v/>
      </c>
      <c r="I54" s="39" t="str">
        <f>IF(OR($B54="",_自动清单!$AS$4=""),"",SUMIFS(次果筐明细!$G$4:$G$603,次果筐明细!$C$4:$C$603,$B54,次果筐明细!$D$4:$D$603,_自动清单!$AS$4,次果筐明细!$F$4:$F$603,"*入库*",次果筐明细!$B$4:$B$603,"&gt;="&amp;$Z$1,次果筐明细!$B$4:$B$603,"&lt;="&amp;$Z$2))</f>
        <v/>
      </c>
      <c r="J54" s="39" t="str">
        <f>IF(OR($B54="",_自动清单!$AS$5=""),"",SUMIFS(次果筐明细!$G$4:$G$603,次果筐明细!$C$4:$C$603,$B54,次果筐明细!$D$4:$D$603,_自动清单!$AS$5,次果筐明细!$F$4:$F$603,"*入库*",次果筐明细!$B$4:$B$603,"&gt;="&amp;$Z$1,次果筐明细!$B$4:$B$603,"&lt;="&amp;$Z$2))</f>
        <v/>
      </c>
      <c r="K54" s="39" t="str">
        <f>IF(OR($B54="",_自动清单!$AS$6=""),"",SUMIFS(次果筐明细!$G$4:$G$603,次果筐明细!$C$4:$C$603,$B54,次果筐明细!$D$4:$D$603,_自动清单!$AS$6,次果筐明细!$F$4:$F$603,"*入库*",次果筐明细!$B$4:$B$603,"&gt;="&amp;$Z$1,次果筐明细!$B$4:$B$603,"&lt;="&amp;$Z$2))</f>
        <v/>
      </c>
      <c r="L54" s="39" t="str">
        <f>IF(OR($B54="",_自动清单!$AS$7=""),"",SUMIFS(次果筐明细!$G$4:$G$603,次果筐明细!$C$4:$C$603,$B54,次果筐明细!$D$4:$D$603,_自动清单!$AS$7,次果筐明细!$F$4:$F$603,"*入库*",次果筐明细!$B$4:$B$603,"&gt;="&amp;$Z$1,次果筐明细!$B$4:$B$603,"&lt;="&amp;$Z$2))</f>
        <v/>
      </c>
      <c r="M54" s="62" t="str">
        <f>IF($B54="","",SUMIFS(次果筐明细!$G$4:$G$603,次果筐明细!$C$4:$C$603,$B54,次果筐明细!$F$4:$F$603,"*入库*",次果筐明细!$B$4:$B$603,"&gt;="&amp;$Z$1,次果筐明细!$B$4:$B$603,"&lt;="&amp;$Z$2)-SUM($I54:$L54))</f>
        <v/>
      </c>
      <c r="N54" s="62" t="str">
        <f t="shared" si="2"/>
        <v/>
      </c>
      <c r="O54" s="39" t="str">
        <f t="shared" si="3"/>
        <v/>
      </c>
      <c r="P54" s="30" t="str">
        <f>IF($B54="","",ROUND(SUMIFS(次果筐明细!$L$4:$L$603,次果筐明细!$C$4:$C$603,$B54,次果筐明细!$B$4:$B$603,"&gt;="&amp;$Z$1,次果筐明细!$B$4:$B$603,"&lt;="&amp;$Z$2),2))</f>
        <v/>
      </c>
      <c r="Q54" s="30" t="str">
        <f>IF($B54="","",ROUND(SUMIFS(次果筐明细!$L$4:$L$603,次果筐明细!$C$4:$C$603,$B54,次果筐明细!$M$4:$M$603,"已收讫",次果筐明细!$B$4:$B$603,"&gt;="&amp;$Z$1,次果筐明细!$B$4:$B$603,"&lt;="&amp;$Z$2),2))</f>
        <v/>
      </c>
      <c r="R54" s="30" t="str">
        <f t="shared" si="4"/>
        <v/>
      </c>
      <c r="S54" s="30" t="str">
        <f>IF($B54="","",ROUND(SUMIFS(次果筐明细!$J$4:$J$603,次果筐明细!$C$4:$C$603,$B54,次果筐明细!$B$4:$B$603,"&gt;="&amp;$Z$1,次果筐明细!$B$4:$B$603,"&lt;="&amp;$Z$2),2))</f>
        <v/>
      </c>
      <c r="T54" s="63" t="str">
        <f>IF($B54="","",ROUND(SUMIFS(次果筐明细!$K$4:$K$603,次果筐明细!$C$4:$C$603,$B54,次果筐明细!$B$4:$B$603,"&gt;="&amp;$Z$1,次果筐明细!$B$4:$B$603,"&lt;="&amp;$Z$2),2))</f>
        <v/>
      </c>
      <c r="U54" s="30" t="str">
        <f t="shared" si="5"/>
        <v/>
      </c>
      <c r="V54" s="42"/>
    </row>
    <row r="55" spans="1:22">
      <c r="A55" s="24" t="str">
        <f t="shared" si="0"/>
        <v/>
      </c>
      <c r="B55" s="37" t="str">
        <f>IFERROR(INDEX(_自动清单!$AY$4:$AY$203,ROW()-3),"")</f>
        <v/>
      </c>
      <c r="C55" s="39" t="str">
        <f>IF(OR($B55="",_自动清单!$AS$4=""),"",SUMIFS(次果筐明细!$G$4:$G$603,次果筐明细!$C$4:$C$603,$B55,次果筐明细!$D$4:$D$603,_自动清单!$AS$4,次果筐明细!$F$4:$F$603,"*出库*",次果筐明细!$B$4:$B$603,"&gt;="&amp;$Z$1,次果筐明细!$B$4:$B$603,"&lt;="&amp;$Z$2))</f>
        <v/>
      </c>
      <c r="D55" s="39" t="str">
        <f>IF(OR($B55="",_自动清单!$AS$5=""),"",SUMIFS(次果筐明细!$G$4:$G$603,次果筐明细!$C$4:$C$603,$B55,次果筐明细!$D$4:$D$603,_自动清单!$AS$5,次果筐明细!$F$4:$F$603,"*出库*",次果筐明细!$B$4:$B$603,"&gt;="&amp;$Z$1,次果筐明细!$B$4:$B$603,"&lt;="&amp;$Z$2))</f>
        <v/>
      </c>
      <c r="E55" s="39" t="str">
        <f>IF(OR($B55="",_自动清单!$AS$6=""),"",SUMIFS(次果筐明细!$G$4:$G$603,次果筐明细!$C$4:$C$603,$B55,次果筐明细!$D$4:$D$603,_自动清单!$AS$6,次果筐明细!$F$4:$F$603,"*出库*",次果筐明细!$B$4:$B$603,"&gt;="&amp;$Z$1,次果筐明细!$B$4:$B$603,"&lt;="&amp;$Z$2))</f>
        <v/>
      </c>
      <c r="F55" s="39" t="str">
        <f>IF(OR($B55="",_自动清单!$AS$7=""),"",SUMIFS(次果筐明细!$G$4:$G$603,次果筐明细!$C$4:$C$603,$B55,次果筐明细!$D$4:$D$603,_自动清单!$AS$7,次果筐明细!$F$4:$F$603,"*出库*",次果筐明细!$B$4:$B$603,"&gt;="&amp;$Z$1,次果筐明细!$B$4:$B$603,"&lt;="&amp;$Z$2))</f>
        <v/>
      </c>
      <c r="G55" s="39" t="str">
        <f>IF($B55="","",SUMIFS(次果筐明细!$G$4:$G$603,次果筐明细!$C$4:$C$603,$B55,次果筐明细!$F$4:$F$603,"*出库*",次果筐明细!$B$4:$B$603,"&gt;="&amp;$Z$1,次果筐明细!$B$4:$B$603,"&lt;="&amp;$Z$2)-SUM($C55:$F55))</f>
        <v/>
      </c>
      <c r="H55" s="39" t="str">
        <f t="shared" si="1"/>
        <v/>
      </c>
      <c r="I55" s="39" t="str">
        <f>IF(OR($B55="",_自动清单!$AS$4=""),"",SUMIFS(次果筐明细!$G$4:$G$603,次果筐明细!$C$4:$C$603,$B55,次果筐明细!$D$4:$D$603,_自动清单!$AS$4,次果筐明细!$F$4:$F$603,"*入库*",次果筐明细!$B$4:$B$603,"&gt;="&amp;$Z$1,次果筐明细!$B$4:$B$603,"&lt;="&amp;$Z$2))</f>
        <v/>
      </c>
      <c r="J55" s="39" t="str">
        <f>IF(OR($B55="",_自动清单!$AS$5=""),"",SUMIFS(次果筐明细!$G$4:$G$603,次果筐明细!$C$4:$C$603,$B55,次果筐明细!$D$4:$D$603,_自动清单!$AS$5,次果筐明细!$F$4:$F$603,"*入库*",次果筐明细!$B$4:$B$603,"&gt;="&amp;$Z$1,次果筐明细!$B$4:$B$603,"&lt;="&amp;$Z$2))</f>
        <v/>
      </c>
      <c r="K55" s="39" t="str">
        <f>IF(OR($B55="",_自动清单!$AS$6=""),"",SUMIFS(次果筐明细!$G$4:$G$603,次果筐明细!$C$4:$C$603,$B55,次果筐明细!$D$4:$D$603,_自动清单!$AS$6,次果筐明细!$F$4:$F$603,"*入库*",次果筐明细!$B$4:$B$603,"&gt;="&amp;$Z$1,次果筐明细!$B$4:$B$603,"&lt;="&amp;$Z$2))</f>
        <v/>
      </c>
      <c r="L55" s="39" t="str">
        <f>IF(OR($B55="",_自动清单!$AS$7=""),"",SUMIFS(次果筐明细!$G$4:$G$603,次果筐明细!$C$4:$C$603,$B55,次果筐明细!$D$4:$D$603,_自动清单!$AS$7,次果筐明细!$F$4:$F$603,"*入库*",次果筐明细!$B$4:$B$603,"&gt;="&amp;$Z$1,次果筐明细!$B$4:$B$603,"&lt;="&amp;$Z$2))</f>
        <v/>
      </c>
      <c r="M55" s="62" t="str">
        <f>IF($B55="","",SUMIFS(次果筐明细!$G$4:$G$603,次果筐明细!$C$4:$C$603,$B55,次果筐明细!$F$4:$F$603,"*入库*",次果筐明细!$B$4:$B$603,"&gt;="&amp;$Z$1,次果筐明细!$B$4:$B$603,"&lt;="&amp;$Z$2)-SUM($I55:$L55))</f>
        <v/>
      </c>
      <c r="N55" s="62" t="str">
        <f t="shared" si="2"/>
        <v/>
      </c>
      <c r="O55" s="39" t="str">
        <f t="shared" si="3"/>
        <v/>
      </c>
      <c r="P55" s="30" t="str">
        <f>IF($B55="","",ROUND(SUMIFS(次果筐明细!$L$4:$L$603,次果筐明细!$C$4:$C$603,$B55,次果筐明细!$B$4:$B$603,"&gt;="&amp;$Z$1,次果筐明细!$B$4:$B$603,"&lt;="&amp;$Z$2),2))</f>
        <v/>
      </c>
      <c r="Q55" s="30" t="str">
        <f>IF($B55="","",ROUND(SUMIFS(次果筐明细!$L$4:$L$603,次果筐明细!$C$4:$C$603,$B55,次果筐明细!$M$4:$M$603,"已收讫",次果筐明细!$B$4:$B$603,"&gt;="&amp;$Z$1,次果筐明细!$B$4:$B$603,"&lt;="&amp;$Z$2),2))</f>
        <v/>
      </c>
      <c r="R55" s="30" t="str">
        <f t="shared" si="4"/>
        <v/>
      </c>
      <c r="S55" s="30" t="str">
        <f>IF($B55="","",ROUND(SUMIFS(次果筐明细!$J$4:$J$603,次果筐明细!$C$4:$C$603,$B55,次果筐明细!$B$4:$B$603,"&gt;="&amp;$Z$1,次果筐明细!$B$4:$B$603,"&lt;="&amp;$Z$2),2))</f>
        <v/>
      </c>
      <c r="T55" s="63" t="str">
        <f>IF($B55="","",ROUND(SUMIFS(次果筐明细!$K$4:$K$603,次果筐明细!$C$4:$C$603,$B55,次果筐明细!$B$4:$B$603,"&gt;="&amp;$Z$1,次果筐明细!$B$4:$B$603,"&lt;="&amp;$Z$2),2))</f>
        <v/>
      </c>
      <c r="U55" s="30" t="str">
        <f t="shared" si="5"/>
        <v/>
      </c>
      <c r="V55" s="42"/>
    </row>
    <row r="56" spans="1:22">
      <c r="A56" s="24" t="str">
        <f t="shared" si="0"/>
        <v/>
      </c>
      <c r="B56" s="37" t="str">
        <f>IFERROR(INDEX(_自动清单!$AY$4:$AY$203,ROW()-3),"")</f>
        <v/>
      </c>
      <c r="C56" s="39" t="str">
        <f>IF(OR($B56="",_自动清单!$AS$4=""),"",SUMIFS(次果筐明细!$G$4:$G$603,次果筐明细!$C$4:$C$603,$B56,次果筐明细!$D$4:$D$603,_自动清单!$AS$4,次果筐明细!$F$4:$F$603,"*出库*",次果筐明细!$B$4:$B$603,"&gt;="&amp;$Z$1,次果筐明细!$B$4:$B$603,"&lt;="&amp;$Z$2))</f>
        <v/>
      </c>
      <c r="D56" s="39" t="str">
        <f>IF(OR($B56="",_自动清单!$AS$5=""),"",SUMIFS(次果筐明细!$G$4:$G$603,次果筐明细!$C$4:$C$603,$B56,次果筐明细!$D$4:$D$603,_自动清单!$AS$5,次果筐明细!$F$4:$F$603,"*出库*",次果筐明细!$B$4:$B$603,"&gt;="&amp;$Z$1,次果筐明细!$B$4:$B$603,"&lt;="&amp;$Z$2))</f>
        <v/>
      </c>
      <c r="E56" s="39" t="str">
        <f>IF(OR($B56="",_自动清单!$AS$6=""),"",SUMIFS(次果筐明细!$G$4:$G$603,次果筐明细!$C$4:$C$603,$B56,次果筐明细!$D$4:$D$603,_自动清单!$AS$6,次果筐明细!$F$4:$F$603,"*出库*",次果筐明细!$B$4:$B$603,"&gt;="&amp;$Z$1,次果筐明细!$B$4:$B$603,"&lt;="&amp;$Z$2))</f>
        <v/>
      </c>
      <c r="F56" s="39" t="str">
        <f>IF(OR($B56="",_自动清单!$AS$7=""),"",SUMIFS(次果筐明细!$G$4:$G$603,次果筐明细!$C$4:$C$603,$B56,次果筐明细!$D$4:$D$603,_自动清单!$AS$7,次果筐明细!$F$4:$F$603,"*出库*",次果筐明细!$B$4:$B$603,"&gt;="&amp;$Z$1,次果筐明细!$B$4:$B$603,"&lt;="&amp;$Z$2))</f>
        <v/>
      </c>
      <c r="G56" s="39" t="str">
        <f>IF($B56="","",SUMIFS(次果筐明细!$G$4:$G$603,次果筐明细!$C$4:$C$603,$B56,次果筐明细!$F$4:$F$603,"*出库*",次果筐明细!$B$4:$B$603,"&gt;="&amp;$Z$1,次果筐明细!$B$4:$B$603,"&lt;="&amp;$Z$2)-SUM($C56:$F56))</f>
        <v/>
      </c>
      <c r="H56" s="39" t="str">
        <f t="shared" si="1"/>
        <v/>
      </c>
      <c r="I56" s="39" t="str">
        <f>IF(OR($B56="",_自动清单!$AS$4=""),"",SUMIFS(次果筐明细!$G$4:$G$603,次果筐明细!$C$4:$C$603,$B56,次果筐明细!$D$4:$D$603,_自动清单!$AS$4,次果筐明细!$F$4:$F$603,"*入库*",次果筐明细!$B$4:$B$603,"&gt;="&amp;$Z$1,次果筐明细!$B$4:$B$603,"&lt;="&amp;$Z$2))</f>
        <v/>
      </c>
      <c r="J56" s="39" t="str">
        <f>IF(OR($B56="",_自动清单!$AS$5=""),"",SUMIFS(次果筐明细!$G$4:$G$603,次果筐明细!$C$4:$C$603,$B56,次果筐明细!$D$4:$D$603,_自动清单!$AS$5,次果筐明细!$F$4:$F$603,"*入库*",次果筐明细!$B$4:$B$603,"&gt;="&amp;$Z$1,次果筐明细!$B$4:$B$603,"&lt;="&amp;$Z$2))</f>
        <v/>
      </c>
      <c r="K56" s="39" t="str">
        <f>IF(OR($B56="",_自动清单!$AS$6=""),"",SUMIFS(次果筐明细!$G$4:$G$603,次果筐明细!$C$4:$C$603,$B56,次果筐明细!$D$4:$D$603,_自动清单!$AS$6,次果筐明细!$F$4:$F$603,"*入库*",次果筐明细!$B$4:$B$603,"&gt;="&amp;$Z$1,次果筐明细!$B$4:$B$603,"&lt;="&amp;$Z$2))</f>
        <v/>
      </c>
      <c r="L56" s="39" t="str">
        <f>IF(OR($B56="",_自动清单!$AS$7=""),"",SUMIFS(次果筐明细!$G$4:$G$603,次果筐明细!$C$4:$C$603,$B56,次果筐明细!$D$4:$D$603,_自动清单!$AS$7,次果筐明细!$F$4:$F$603,"*入库*",次果筐明细!$B$4:$B$603,"&gt;="&amp;$Z$1,次果筐明细!$B$4:$B$603,"&lt;="&amp;$Z$2))</f>
        <v/>
      </c>
      <c r="M56" s="62" t="str">
        <f>IF($B56="","",SUMIFS(次果筐明细!$G$4:$G$603,次果筐明细!$C$4:$C$603,$B56,次果筐明细!$F$4:$F$603,"*入库*",次果筐明细!$B$4:$B$603,"&gt;="&amp;$Z$1,次果筐明细!$B$4:$B$603,"&lt;="&amp;$Z$2)-SUM($I56:$L56))</f>
        <v/>
      </c>
      <c r="N56" s="62" t="str">
        <f t="shared" si="2"/>
        <v/>
      </c>
      <c r="O56" s="39" t="str">
        <f t="shared" si="3"/>
        <v/>
      </c>
      <c r="P56" s="30" t="str">
        <f>IF($B56="","",ROUND(SUMIFS(次果筐明细!$L$4:$L$603,次果筐明细!$C$4:$C$603,$B56,次果筐明细!$B$4:$B$603,"&gt;="&amp;$Z$1,次果筐明细!$B$4:$B$603,"&lt;="&amp;$Z$2),2))</f>
        <v/>
      </c>
      <c r="Q56" s="30" t="str">
        <f>IF($B56="","",ROUND(SUMIFS(次果筐明细!$L$4:$L$603,次果筐明细!$C$4:$C$603,$B56,次果筐明细!$M$4:$M$603,"已收讫",次果筐明细!$B$4:$B$603,"&gt;="&amp;$Z$1,次果筐明细!$B$4:$B$603,"&lt;="&amp;$Z$2),2))</f>
        <v/>
      </c>
      <c r="R56" s="30" t="str">
        <f t="shared" si="4"/>
        <v/>
      </c>
      <c r="S56" s="30" t="str">
        <f>IF($B56="","",ROUND(SUMIFS(次果筐明细!$J$4:$J$603,次果筐明细!$C$4:$C$603,$B56,次果筐明细!$B$4:$B$603,"&gt;="&amp;$Z$1,次果筐明细!$B$4:$B$603,"&lt;="&amp;$Z$2),2))</f>
        <v/>
      </c>
      <c r="T56" s="63" t="str">
        <f>IF($B56="","",ROUND(SUMIFS(次果筐明细!$K$4:$K$603,次果筐明细!$C$4:$C$603,$B56,次果筐明细!$B$4:$B$603,"&gt;="&amp;$Z$1,次果筐明细!$B$4:$B$603,"&lt;="&amp;$Z$2),2))</f>
        <v/>
      </c>
      <c r="U56" s="30" t="str">
        <f t="shared" si="5"/>
        <v/>
      </c>
      <c r="V56" s="42"/>
    </row>
    <row r="57" spans="1:22">
      <c r="A57" s="24" t="str">
        <f t="shared" si="0"/>
        <v/>
      </c>
      <c r="B57" s="37" t="str">
        <f>IFERROR(INDEX(_自动清单!$AY$4:$AY$203,ROW()-3),"")</f>
        <v/>
      </c>
      <c r="C57" s="39" t="str">
        <f>IF(OR($B57="",_自动清单!$AS$4=""),"",SUMIFS(次果筐明细!$G$4:$G$603,次果筐明细!$C$4:$C$603,$B57,次果筐明细!$D$4:$D$603,_自动清单!$AS$4,次果筐明细!$F$4:$F$603,"*出库*",次果筐明细!$B$4:$B$603,"&gt;="&amp;$Z$1,次果筐明细!$B$4:$B$603,"&lt;="&amp;$Z$2))</f>
        <v/>
      </c>
      <c r="D57" s="39" t="str">
        <f>IF(OR($B57="",_自动清单!$AS$5=""),"",SUMIFS(次果筐明细!$G$4:$G$603,次果筐明细!$C$4:$C$603,$B57,次果筐明细!$D$4:$D$603,_自动清单!$AS$5,次果筐明细!$F$4:$F$603,"*出库*",次果筐明细!$B$4:$B$603,"&gt;="&amp;$Z$1,次果筐明细!$B$4:$B$603,"&lt;="&amp;$Z$2))</f>
        <v/>
      </c>
      <c r="E57" s="39" t="str">
        <f>IF(OR($B57="",_自动清单!$AS$6=""),"",SUMIFS(次果筐明细!$G$4:$G$603,次果筐明细!$C$4:$C$603,$B57,次果筐明细!$D$4:$D$603,_自动清单!$AS$6,次果筐明细!$F$4:$F$603,"*出库*",次果筐明细!$B$4:$B$603,"&gt;="&amp;$Z$1,次果筐明细!$B$4:$B$603,"&lt;="&amp;$Z$2))</f>
        <v/>
      </c>
      <c r="F57" s="39" t="str">
        <f>IF(OR($B57="",_自动清单!$AS$7=""),"",SUMIFS(次果筐明细!$G$4:$G$603,次果筐明细!$C$4:$C$603,$B57,次果筐明细!$D$4:$D$603,_自动清单!$AS$7,次果筐明细!$F$4:$F$603,"*出库*",次果筐明细!$B$4:$B$603,"&gt;="&amp;$Z$1,次果筐明细!$B$4:$B$603,"&lt;="&amp;$Z$2))</f>
        <v/>
      </c>
      <c r="G57" s="39" t="str">
        <f>IF($B57="","",SUMIFS(次果筐明细!$G$4:$G$603,次果筐明细!$C$4:$C$603,$B57,次果筐明细!$F$4:$F$603,"*出库*",次果筐明细!$B$4:$B$603,"&gt;="&amp;$Z$1,次果筐明细!$B$4:$B$603,"&lt;="&amp;$Z$2)-SUM($C57:$F57))</f>
        <v/>
      </c>
      <c r="H57" s="39" t="str">
        <f t="shared" si="1"/>
        <v/>
      </c>
      <c r="I57" s="39" t="str">
        <f>IF(OR($B57="",_自动清单!$AS$4=""),"",SUMIFS(次果筐明细!$G$4:$G$603,次果筐明细!$C$4:$C$603,$B57,次果筐明细!$D$4:$D$603,_自动清单!$AS$4,次果筐明细!$F$4:$F$603,"*入库*",次果筐明细!$B$4:$B$603,"&gt;="&amp;$Z$1,次果筐明细!$B$4:$B$603,"&lt;="&amp;$Z$2))</f>
        <v/>
      </c>
      <c r="J57" s="39" t="str">
        <f>IF(OR($B57="",_自动清单!$AS$5=""),"",SUMIFS(次果筐明细!$G$4:$G$603,次果筐明细!$C$4:$C$603,$B57,次果筐明细!$D$4:$D$603,_自动清单!$AS$5,次果筐明细!$F$4:$F$603,"*入库*",次果筐明细!$B$4:$B$603,"&gt;="&amp;$Z$1,次果筐明细!$B$4:$B$603,"&lt;="&amp;$Z$2))</f>
        <v/>
      </c>
      <c r="K57" s="39" t="str">
        <f>IF(OR($B57="",_自动清单!$AS$6=""),"",SUMIFS(次果筐明细!$G$4:$G$603,次果筐明细!$C$4:$C$603,$B57,次果筐明细!$D$4:$D$603,_自动清单!$AS$6,次果筐明细!$F$4:$F$603,"*入库*",次果筐明细!$B$4:$B$603,"&gt;="&amp;$Z$1,次果筐明细!$B$4:$B$603,"&lt;="&amp;$Z$2))</f>
        <v/>
      </c>
      <c r="L57" s="39" t="str">
        <f>IF(OR($B57="",_自动清单!$AS$7=""),"",SUMIFS(次果筐明细!$G$4:$G$603,次果筐明细!$C$4:$C$603,$B57,次果筐明细!$D$4:$D$603,_自动清单!$AS$7,次果筐明细!$F$4:$F$603,"*入库*",次果筐明细!$B$4:$B$603,"&gt;="&amp;$Z$1,次果筐明细!$B$4:$B$603,"&lt;="&amp;$Z$2))</f>
        <v/>
      </c>
      <c r="M57" s="62" t="str">
        <f>IF($B57="","",SUMIFS(次果筐明细!$G$4:$G$603,次果筐明细!$C$4:$C$603,$B57,次果筐明细!$F$4:$F$603,"*入库*",次果筐明细!$B$4:$B$603,"&gt;="&amp;$Z$1,次果筐明细!$B$4:$B$603,"&lt;="&amp;$Z$2)-SUM($I57:$L57))</f>
        <v/>
      </c>
      <c r="N57" s="62" t="str">
        <f t="shared" si="2"/>
        <v/>
      </c>
      <c r="O57" s="39" t="str">
        <f t="shared" si="3"/>
        <v/>
      </c>
      <c r="P57" s="30" t="str">
        <f>IF($B57="","",ROUND(SUMIFS(次果筐明细!$L$4:$L$603,次果筐明细!$C$4:$C$603,$B57,次果筐明细!$B$4:$B$603,"&gt;="&amp;$Z$1,次果筐明细!$B$4:$B$603,"&lt;="&amp;$Z$2),2))</f>
        <v/>
      </c>
      <c r="Q57" s="30" t="str">
        <f>IF($B57="","",ROUND(SUMIFS(次果筐明细!$L$4:$L$603,次果筐明细!$C$4:$C$603,$B57,次果筐明细!$M$4:$M$603,"已收讫",次果筐明细!$B$4:$B$603,"&gt;="&amp;$Z$1,次果筐明细!$B$4:$B$603,"&lt;="&amp;$Z$2),2))</f>
        <v/>
      </c>
      <c r="R57" s="30" t="str">
        <f t="shared" si="4"/>
        <v/>
      </c>
      <c r="S57" s="30" t="str">
        <f>IF($B57="","",ROUND(SUMIFS(次果筐明细!$J$4:$J$603,次果筐明细!$C$4:$C$603,$B57,次果筐明细!$B$4:$B$603,"&gt;="&amp;$Z$1,次果筐明细!$B$4:$B$603,"&lt;="&amp;$Z$2),2))</f>
        <v/>
      </c>
      <c r="T57" s="63" t="str">
        <f>IF($B57="","",ROUND(SUMIFS(次果筐明细!$K$4:$K$603,次果筐明细!$C$4:$C$603,$B57,次果筐明细!$B$4:$B$603,"&gt;="&amp;$Z$1,次果筐明细!$B$4:$B$603,"&lt;="&amp;$Z$2),2))</f>
        <v/>
      </c>
      <c r="U57" s="30" t="str">
        <f t="shared" si="5"/>
        <v/>
      </c>
      <c r="V57" s="42"/>
    </row>
    <row r="58" spans="1:22">
      <c r="A58" s="24" t="str">
        <f t="shared" si="0"/>
        <v/>
      </c>
      <c r="B58" s="37" t="str">
        <f>IFERROR(INDEX(_自动清单!$AY$4:$AY$203,ROW()-3),"")</f>
        <v/>
      </c>
      <c r="C58" s="39" t="str">
        <f>IF(OR($B58="",_自动清单!$AS$4=""),"",SUMIFS(次果筐明细!$G$4:$G$603,次果筐明细!$C$4:$C$603,$B58,次果筐明细!$D$4:$D$603,_自动清单!$AS$4,次果筐明细!$F$4:$F$603,"*出库*",次果筐明细!$B$4:$B$603,"&gt;="&amp;$Z$1,次果筐明细!$B$4:$B$603,"&lt;="&amp;$Z$2))</f>
        <v/>
      </c>
      <c r="D58" s="39" t="str">
        <f>IF(OR($B58="",_自动清单!$AS$5=""),"",SUMIFS(次果筐明细!$G$4:$G$603,次果筐明细!$C$4:$C$603,$B58,次果筐明细!$D$4:$D$603,_自动清单!$AS$5,次果筐明细!$F$4:$F$603,"*出库*",次果筐明细!$B$4:$B$603,"&gt;="&amp;$Z$1,次果筐明细!$B$4:$B$603,"&lt;="&amp;$Z$2))</f>
        <v/>
      </c>
      <c r="E58" s="39" t="str">
        <f>IF(OR($B58="",_自动清单!$AS$6=""),"",SUMIFS(次果筐明细!$G$4:$G$603,次果筐明细!$C$4:$C$603,$B58,次果筐明细!$D$4:$D$603,_自动清单!$AS$6,次果筐明细!$F$4:$F$603,"*出库*",次果筐明细!$B$4:$B$603,"&gt;="&amp;$Z$1,次果筐明细!$B$4:$B$603,"&lt;="&amp;$Z$2))</f>
        <v/>
      </c>
      <c r="F58" s="39" t="str">
        <f>IF(OR($B58="",_自动清单!$AS$7=""),"",SUMIFS(次果筐明细!$G$4:$G$603,次果筐明细!$C$4:$C$603,$B58,次果筐明细!$D$4:$D$603,_自动清单!$AS$7,次果筐明细!$F$4:$F$603,"*出库*",次果筐明细!$B$4:$B$603,"&gt;="&amp;$Z$1,次果筐明细!$B$4:$B$603,"&lt;="&amp;$Z$2))</f>
        <v/>
      </c>
      <c r="G58" s="39" t="str">
        <f>IF($B58="","",SUMIFS(次果筐明细!$G$4:$G$603,次果筐明细!$C$4:$C$603,$B58,次果筐明细!$F$4:$F$603,"*出库*",次果筐明细!$B$4:$B$603,"&gt;="&amp;$Z$1,次果筐明细!$B$4:$B$603,"&lt;="&amp;$Z$2)-SUM($C58:$F58))</f>
        <v/>
      </c>
      <c r="H58" s="39" t="str">
        <f t="shared" si="1"/>
        <v/>
      </c>
      <c r="I58" s="39" t="str">
        <f>IF(OR($B58="",_自动清单!$AS$4=""),"",SUMIFS(次果筐明细!$G$4:$G$603,次果筐明细!$C$4:$C$603,$B58,次果筐明细!$D$4:$D$603,_自动清单!$AS$4,次果筐明细!$F$4:$F$603,"*入库*",次果筐明细!$B$4:$B$603,"&gt;="&amp;$Z$1,次果筐明细!$B$4:$B$603,"&lt;="&amp;$Z$2))</f>
        <v/>
      </c>
      <c r="J58" s="39" t="str">
        <f>IF(OR($B58="",_自动清单!$AS$5=""),"",SUMIFS(次果筐明细!$G$4:$G$603,次果筐明细!$C$4:$C$603,$B58,次果筐明细!$D$4:$D$603,_自动清单!$AS$5,次果筐明细!$F$4:$F$603,"*入库*",次果筐明细!$B$4:$B$603,"&gt;="&amp;$Z$1,次果筐明细!$B$4:$B$603,"&lt;="&amp;$Z$2))</f>
        <v/>
      </c>
      <c r="K58" s="39" t="str">
        <f>IF(OR($B58="",_自动清单!$AS$6=""),"",SUMIFS(次果筐明细!$G$4:$G$603,次果筐明细!$C$4:$C$603,$B58,次果筐明细!$D$4:$D$603,_自动清单!$AS$6,次果筐明细!$F$4:$F$603,"*入库*",次果筐明细!$B$4:$B$603,"&gt;="&amp;$Z$1,次果筐明细!$B$4:$B$603,"&lt;="&amp;$Z$2))</f>
        <v/>
      </c>
      <c r="L58" s="39" t="str">
        <f>IF(OR($B58="",_自动清单!$AS$7=""),"",SUMIFS(次果筐明细!$G$4:$G$603,次果筐明细!$C$4:$C$603,$B58,次果筐明细!$D$4:$D$603,_自动清单!$AS$7,次果筐明细!$F$4:$F$603,"*入库*",次果筐明细!$B$4:$B$603,"&gt;="&amp;$Z$1,次果筐明细!$B$4:$B$603,"&lt;="&amp;$Z$2))</f>
        <v/>
      </c>
      <c r="M58" s="62" t="str">
        <f>IF($B58="","",SUMIFS(次果筐明细!$G$4:$G$603,次果筐明细!$C$4:$C$603,$B58,次果筐明细!$F$4:$F$603,"*入库*",次果筐明细!$B$4:$B$603,"&gt;="&amp;$Z$1,次果筐明细!$B$4:$B$603,"&lt;="&amp;$Z$2)-SUM($I58:$L58))</f>
        <v/>
      </c>
      <c r="N58" s="62" t="str">
        <f t="shared" si="2"/>
        <v/>
      </c>
      <c r="O58" s="39" t="str">
        <f t="shared" si="3"/>
        <v/>
      </c>
      <c r="P58" s="30" t="str">
        <f>IF($B58="","",ROUND(SUMIFS(次果筐明细!$L$4:$L$603,次果筐明细!$C$4:$C$603,$B58,次果筐明细!$B$4:$B$603,"&gt;="&amp;$Z$1,次果筐明细!$B$4:$B$603,"&lt;="&amp;$Z$2),2))</f>
        <v/>
      </c>
      <c r="Q58" s="30" t="str">
        <f>IF($B58="","",ROUND(SUMIFS(次果筐明细!$L$4:$L$603,次果筐明细!$C$4:$C$603,$B58,次果筐明细!$M$4:$M$603,"已收讫",次果筐明细!$B$4:$B$603,"&gt;="&amp;$Z$1,次果筐明细!$B$4:$B$603,"&lt;="&amp;$Z$2),2))</f>
        <v/>
      </c>
      <c r="R58" s="30" t="str">
        <f t="shared" si="4"/>
        <v/>
      </c>
      <c r="S58" s="30" t="str">
        <f>IF($B58="","",ROUND(SUMIFS(次果筐明细!$J$4:$J$603,次果筐明细!$C$4:$C$603,$B58,次果筐明细!$B$4:$B$603,"&gt;="&amp;$Z$1,次果筐明细!$B$4:$B$603,"&lt;="&amp;$Z$2),2))</f>
        <v/>
      </c>
      <c r="T58" s="63" t="str">
        <f>IF($B58="","",ROUND(SUMIFS(次果筐明细!$K$4:$K$603,次果筐明细!$C$4:$C$603,$B58,次果筐明细!$B$4:$B$603,"&gt;="&amp;$Z$1,次果筐明细!$B$4:$B$603,"&lt;="&amp;$Z$2),2))</f>
        <v/>
      </c>
      <c r="U58" s="30" t="str">
        <f t="shared" si="5"/>
        <v/>
      </c>
      <c r="V58" s="42"/>
    </row>
    <row r="59" spans="1:22">
      <c r="A59" s="24" t="str">
        <f t="shared" si="0"/>
        <v/>
      </c>
      <c r="B59" s="37" t="str">
        <f>IFERROR(INDEX(_自动清单!$AY$4:$AY$203,ROW()-3),"")</f>
        <v/>
      </c>
      <c r="C59" s="39" t="str">
        <f>IF(OR($B59="",_自动清单!$AS$4=""),"",SUMIFS(次果筐明细!$G$4:$G$603,次果筐明细!$C$4:$C$603,$B59,次果筐明细!$D$4:$D$603,_自动清单!$AS$4,次果筐明细!$F$4:$F$603,"*出库*",次果筐明细!$B$4:$B$603,"&gt;="&amp;$Z$1,次果筐明细!$B$4:$B$603,"&lt;="&amp;$Z$2))</f>
        <v/>
      </c>
      <c r="D59" s="39" t="str">
        <f>IF(OR($B59="",_自动清单!$AS$5=""),"",SUMIFS(次果筐明细!$G$4:$G$603,次果筐明细!$C$4:$C$603,$B59,次果筐明细!$D$4:$D$603,_自动清单!$AS$5,次果筐明细!$F$4:$F$603,"*出库*",次果筐明细!$B$4:$B$603,"&gt;="&amp;$Z$1,次果筐明细!$B$4:$B$603,"&lt;="&amp;$Z$2))</f>
        <v/>
      </c>
      <c r="E59" s="39" t="str">
        <f>IF(OR($B59="",_自动清单!$AS$6=""),"",SUMIFS(次果筐明细!$G$4:$G$603,次果筐明细!$C$4:$C$603,$B59,次果筐明细!$D$4:$D$603,_自动清单!$AS$6,次果筐明细!$F$4:$F$603,"*出库*",次果筐明细!$B$4:$B$603,"&gt;="&amp;$Z$1,次果筐明细!$B$4:$B$603,"&lt;="&amp;$Z$2))</f>
        <v/>
      </c>
      <c r="F59" s="39" t="str">
        <f>IF(OR($B59="",_自动清单!$AS$7=""),"",SUMIFS(次果筐明细!$G$4:$G$603,次果筐明细!$C$4:$C$603,$B59,次果筐明细!$D$4:$D$603,_自动清单!$AS$7,次果筐明细!$F$4:$F$603,"*出库*",次果筐明细!$B$4:$B$603,"&gt;="&amp;$Z$1,次果筐明细!$B$4:$B$603,"&lt;="&amp;$Z$2))</f>
        <v/>
      </c>
      <c r="G59" s="39" t="str">
        <f>IF($B59="","",SUMIFS(次果筐明细!$G$4:$G$603,次果筐明细!$C$4:$C$603,$B59,次果筐明细!$F$4:$F$603,"*出库*",次果筐明细!$B$4:$B$603,"&gt;="&amp;$Z$1,次果筐明细!$B$4:$B$603,"&lt;="&amp;$Z$2)-SUM($C59:$F59))</f>
        <v/>
      </c>
      <c r="H59" s="39" t="str">
        <f t="shared" si="1"/>
        <v/>
      </c>
      <c r="I59" s="39" t="str">
        <f>IF(OR($B59="",_自动清单!$AS$4=""),"",SUMIFS(次果筐明细!$G$4:$G$603,次果筐明细!$C$4:$C$603,$B59,次果筐明细!$D$4:$D$603,_自动清单!$AS$4,次果筐明细!$F$4:$F$603,"*入库*",次果筐明细!$B$4:$B$603,"&gt;="&amp;$Z$1,次果筐明细!$B$4:$B$603,"&lt;="&amp;$Z$2))</f>
        <v/>
      </c>
      <c r="J59" s="39" t="str">
        <f>IF(OR($B59="",_自动清单!$AS$5=""),"",SUMIFS(次果筐明细!$G$4:$G$603,次果筐明细!$C$4:$C$603,$B59,次果筐明细!$D$4:$D$603,_自动清单!$AS$5,次果筐明细!$F$4:$F$603,"*入库*",次果筐明细!$B$4:$B$603,"&gt;="&amp;$Z$1,次果筐明细!$B$4:$B$603,"&lt;="&amp;$Z$2))</f>
        <v/>
      </c>
      <c r="K59" s="39" t="str">
        <f>IF(OR($B59="",_自动清单!$AS$6=""),"",SUMIFS(次果筐明细!$G$4:$G$603,次果筐明细!$C$4:$C$603,$B59,次果筐明细!$D$4:$D$603,_自动清单!$AS$6,次果筐明细!$F$4:$F$603,"*入库*",次果筐明细!$B$4:$B$603,"&gt;="&amp;$Z$1,次果筐明细!$B$4:$B$603,"&lt;="&amp;$Z$2))</f>
        <v/>
      </c>
      <c r="L59" s="39" t="str">
        <f>IF(OR($B59="",_自动清单!$AS$7=""),"",SUMIFS(次果筐明细!$G$4:$G$603,次果筐明细!$C$4:$C$603,$B59,次果筐明细!$D$4:$D$603,_自动清单!$AS$7,次果筐明细!$F$4:$F$603,"*入库*",次果筐明细!$B$4:$B$603,"&gt;="&amp;$Z$1,次果筐明细!$B$4:$B$603,"&lt;="&amp;$Z$2))</f>
        <v/>
      </c>
      <c r="M59" s="62" t="str">
        <f>IF($B59="","",SUMIFS(次果筐明细!$G$4:$G$603,次果筐明细!$C$4:$C$603,$B59,次果筐明细!$F$4:$F$603,"*入库*",次果筐明细!$B$4:$B$603,"&gt;="&amp;$Z$1,次果筐明细!$B$4:$B$603,"&lt;="&amp;$Z$2)-SUM($I59:$L59))</f>
        <v/>
      </c>
      <c r="N59" s="62" t="str">
        <f t="shared" si="2"/>
        <v/>
      </c>
      <c r="O59" s="39" t="str">
        <f t="shared" si="3"/>
        <v/>
      </c>
      <c r="P59" s="30" t="str">
        <f>IF($B59="","",ROUND(SUMIFS(次果筐明细!$L$4:$L$603,次果筐明细!$C$4:$C$603,$B59,次果筐明细!$B$4:$B$603,"&gt;="&amp;$Z$1,次果筐明细!$B$4:$B$603,"&lt;="&amp;$Z$2),2))</f>
        <v/>
      </c>
      <c r="Q59" s="30" t="str">
        <f>IF($B59="","",ROUND(SUMIFS(次果筐明细!$L$4:$L$603,次果筐明细!$C$4:$C$603,$B59,次果筐明细!$M$4:$M$603,"已收讫",次果筐明细!$B$4:$B$603,"&gt;="&amp;$Z$1,次果筐明细!$B$4:$B$603,"&lt;="&amp;$Z$2),2))</f>
        <v/>
      </c>
      <c r="R59" s="30" t="str">
        <f t="shared" si="4"/>
        <v/>
      </c>
      <c r="S59" s="30" t="str">
        <f>IF($B59="","",ROUND(SUMIFS(次果筐明细!$J$4:$J$603,次果筐明细!$C$4:$C$603,$B59,次果筐明细!$B$4:$B$603,"&gt;="&amp;$Z$1,次果筐明细!$B$4:$B$603,"&lt;="&amp;$Z$2),2))</f>
        <v/>
      </c>
      <c r="T59" s="63" t="str">
        <f>IF($B59="","",ROUND(SUMIFS(次果筐明细!$K$4:$K$603,次果筐明细!$C$4:$C$603,$B59,次果筐明细!$B$4:$B$603,"&gt;="&amp;$Z$1,次果筐明细!$B$4:$B$603,"&lt;="&amp;$Z$2),2))</f>
        <v/>
      </c>
      <c r="U59" s="30" t="str">
        <f t="shared" si="5"/>
        <v/>
      </c>
      <c r="V59" s="42"/>
    </row>
    <row r="60" spans="1:22">
      <c r="A60" s="24" t="str">
        <f t="shared" si="0"/>
        <v/>
      </c>
      <c r="B60" s="37" t="str">
        <f>IFERROR(INDEX(_自动清单!$AY$4:$AY$203,ROW()-3),"")</f>
        <v/>
      </c>
      <c r="C60" s="39" t="str">
        <f>IF(OR($B60="",_自动清单!$AS$4=""),"",SUMIFS(次果筐明细!$G$4:$G$603,次果筐明细!$C$4:$C$603,$B60,次果筐明细!$D$4:$D$603,_自动清单!$AS$4,次果筐明细!$F$4:$F$603,"*出库*",次果筐明细!$B$4:$B$603,"&gt;="&amp;$Z$1,次果筐明细!$B$4:$B$603,"&lt;="&amp;$Z$2))</f>
        <v/>
      </c>
      <c r="D60" s="39" t="str">
        <f>IF(OR($B60="",_自动清单!$AS$5=""),"",SUMIFS(次果筐明细!$G$4:$G$603,次果筐明细!$C$4:$C$603,$B60,次果筐明细!$D$4:$D$603,_自动清单!$AS$5,次果筐明细!$F$4:$F$603,"*出库*",次果筐明细!$B$4:$B$603,"&gt;="&amp;$Z$1,次果筐明细!$B$4:$B$603,"&lt;="&amp;$Z$2))</f>
        <v/>
      </c>
      <c r="E60" s="39" t="str">
        <f>IF(OR($B60="",_自动清单!$AS$6=""),"",SUMIFS(次果筐明细!$G$4:$G$603,次果筐明细!$C$4:$C$603,$B60,次果筐明细!$D$4:$D$603,_自动清单!$AS$6,次果筐明细!$F$4:$F$603,"*出库*",次果筐明细!$B$4:$B$603,"&gt;="&amp;$Z$1,次果筐明细!$B$4:$B$603,"&lt;="&amp;$Z$2))</f>
        <v/>
      </c>
      <c r="F60" s="39" t="str">
        <f>IF(OR($B60="",_自动清单!$AS$7=""),"",SUMIFS(次果筐明细!$G$4:$G$603,次果筐明细!$C$4:$C$603,$B60,次果筐明细!$D$4:$D$603,_自动清单!$AS$7,次果筐明细!$F$4:$F$603,"*出库*",次果筐明细!$B$4:$B$603,"&gt;="&amp;$Z$1,次果筐明细!$B$4:$B$603,"&lt;="&amp;$Z$2))</f>
        <v/>
      </c>
      <c r="G60" s="39" t="str">
        <f>IF($B60="","",SUMIFS(次果筐明细!$G$4:$G$603,次果筐明细!$C$4:$C$603,$B60,次果筐明细!$F$4:$F$603,"*出库*",次果筐明细!$B$4:$B$603,"&gt;="&amp;$Z$1,次果筐明细!$B$4:$B$603,"&lt;="&amp;$Z$2)-SUM($C60:$F60))</f>
        <v/>
      </c>
      <c r="H60" s="39" t="str">
        <f t="shared" si="1"/>
        <v/>
      </c>
      <c r="I60" s="39" t="str">
        <f>IF(OR($B60="",_自动清单!$AS$4=""),"",SUMIFS(次果筐明细!$G$4:$G$603,次果筐明细!$C$4:$C$603,$B60,次果筐明细!$D$4:$D$603,_自动清单!$AS$4,次果筐明细!$F$4:$F$603,"*入库*",次果筐明细!$B$4:$B$603,"&gt;="&amp;$Z$1,次果筐明细!$B$4:$B$603,"&lt;="&amp;$Z$2))</f>
        <v/>
      </c>
      <c r="J60" s="39" t="str">
        <f>IF(OR($B60="",_自动清单!$AS$5=""),"",SUMIFS(次果筐明细!$G$4:$G$603,次果筐明细!$C$4:$C$603,$B60,次果筐明细!$D$4:$D$603,_自动清单!$AS$5,次果筐明细!$F$4:$F$603,"*入库*",次果筐明细!$B$4:$B$603,"&gt;="&amp;$Z$1,次果筐明细!$B$4:$B$603,"&lt;="&amp;$Z$2))</f>
        <v/>
      </c>
      <c r="K60" s="39" t="str">
        <f>IF(OR($B60="",_自动清单!$AS$6=""),"",SUMIFS(次果筐明细!$G$4:$G$603,次果筐明细!$C$4:$C$603,$B60,次果筐明细!$D$4:$D$603,_自动清单!$AS$6,次果筐明细!$F$4:$F$603,"*入库*",次果筐明细!$B$4:$B$603,"&gt;="&amp;$Z$1,次果筐明细!$B$4:$B$603,"&lt;="&amp;$Z$2))</f>
        <v/>
      </c>
      <c r="L60" s="39" t="str">
        <f>IF(OR($B60="",_自动清单!$AS$7=""),"",SUMIFS(次果筐明细!$G$4:$G$603,次果筐明细!$C$4:$C$603,$B60,次果筐明细!$D$4:$D$603,_自动清单!$AS$7,次果筐明细!$F$4:$F$603,"*入库*",次果筐明细!$B$4:$B$603,"&gt;="&amp;$Z$1,次果筐明细!$B$4:$B$603,"&lt;="&amp;$Z$2))</f>
        <v/>
      </c>
      <c r="M60" s="62" t="str">
        <f>IF($B60="","",SUMIFS(次果筐明细!$G$4:$G$603,次果筐明细!$C$4:$C$603,$B60,次果筐明细!$F$4:$F$603,"*入库*",次果筐明细!$B$4:$B$603,"&gt;="&amp;$Z$1,次果筐明细!$B$4:$B$603,"&lt;="&amp;$Z$2)-SUM($I60:$L60))</f>
        <v/>
      </c>
      <c r="N60" s="62" t="str">
        <f t="shared" si="2"/>
        <v/>
      </c>
      <c r="O60" s="39" t="str">
        <f t="shared" si="3"/>
        <v/>
      </c>
      <c r="P60" s="30" t="str">
        <f>IF($B60="","",ROUND(SUMIFS(次果筐明细!$L$4:$L$603,次果筐明细!$C$4:$C$603,$B60,次果筐明细!$B$4:$B$603,"&gt;="&amp;$Z$1,次果筐明细!$B$4:$B$603,"&lt;="&amp;$Z$2),2))</f>
        <v/>
      </c>
      <c r="Q60" s="30" t="str">
        <f>IF($B60="","",ROUND(SUMIFS(次果筐明细!$L$4:$L$603,次果筐明细!$C$4:$C$603,$B60,次果筐明细!$M$4:$M$603,"已收讫",次果筐明细!$B$4:$B$603,"&gt;="&amp;$Z$1,次果筐明细!$B$4:$B$603,"&lt;="&amp;$Z$2),2))</f>
        <v/>
      </c>
      <c r="R60" s="30" t="str">
        <f t="shared" si="4"/>
        <v/>
      </c>
      <c r="S60" s="30" t="str">
        <f>IF($B60="","",ROUND(SUMIFS(次果筐明细!$J$4:$J$603,次果筐明细!$C$4:$C$603,$B60,次果筐明细!$B$4:$B$603,"&gt;="&amp;$Z$1,次果筐明细!$B$4:$B$603,"&lt;="&amp;$Z$2),2))</f>
        <v/>
      </c>
      <c r="T60" s="63" t="str">
        <f>IF($B60="","",ROUND(SUMIFS(次果筐明细!$K$4:$K$603,次果筐明细!$C$4:$C$603,$B60,次果筐明细!$B$4:$B$603,"&gt;="&amp;$Z$1,次果筐明细!$B$4:$B$603,"&lt;="&amp;$Z$2),2))</f>
        <v/>
      </c>
      <c r="U60" s="30" t="str">
        <f t="shared" si="5"/>
        <v/>
      </c>
      <c r="V60" s="42"/>
    </row>
    <row r="61" spans="1:22">
      <c r="A61" s="24" t="str">
        <f t="shared" si="0"/>
        <v/>
      </c>
      <c r="B61" s="37" t="str">
        <f>IFERROR(INDEX(_自动清单!$AY$4:$AY$203,ROW()-3),"")</f>
        <v/>
      </c>
      <c r="C61" s="39" t="str">
        <f>IF(OR($B61="",_自动清单!$AS$4=""),"",SUMIFS(次果筐明细!$G$4:$G$603,次果筐明细!$C$4:$C$603,$B61,次果筐明细!$D$4:$D$603,_自动清单!$AS$4,次果筐明细!$F$4:$F$603,"*出库*",次果筐明细!$B$4:$B$603,"&gt;="&amp;$Z$1,次果筐明细!$B$4:$B$603,"&lt;="&amp;$Z$2))</f>
        <v/>
      </c>
      <c r="D61" s="39" t="str">
        <f>IF(OR($B61="",_自动清单!$AS$5=""),"",SUMIFS(次果筐明细!$G$4:$G$603,次果筐明细!$C$4:$C$603,$B61,次果筐明细!$D$4:$D$603,_自动清单!$AS$5,次果筐明细!$F$4:$F$603,"*出库*",次果筐明细!$B$4:$B$603,"&gt;="&amp;$Z$1,次果筐明细!$B$4:$B$603,"&lt;="&amp;$Z$2))</f>
        <v/>
      </c>
      <c r="E61" s="39" t="str">
        <f>IF(OR($B61="",_自动清单!$AS$6=""),"",SUMIFS(次果筐明细!$G$4:$G$603,次果筐明细!$C$4:$C$603,$B61,次果筐明细!$D$4:$D$603,_自动清单!$AS$6,次果筐明细!$F$4:$F$603,"*出库*",次果筐明细!$B$4:$B$603,"&gt;="&amp;$Z$1,次果筐明细!$B$4:$B$603,"&lt;="&amp;$Z$2))</f>
        <v/>
      </c>
      <c r="F61" s="39" t="str">
        <f>IF(OR($B61="",_自动清单!$AS$7=""),"",SUMIFS(次果筐明细!$G$4:$G$603,次果筐明细!$C$4:$C$603,$B61,次果筐明细!$D$4:$D$603,_自动清单!$AS$7,次果筐明细!$F$4:$F$603,"*出库*",次果筐明细!$B$4:$B$603,"&gt;="&amp;$Z$1,次果筐明细!$B$4:$B$603,"&lt;="&amp;$Z$2))</f>
        <v/>
      </c>
      <c r="G61" s="39" t="str">
        <f>IF($B61="","",SUMIFS(次果筐明细!$G$4:$G$603,次果筐明细!$C$4:$C$603,$B61,次果筐明细!$F$4:$F$603,"*出库*",次果筐明细!$B$4:$B$603,"&gt;="&amp;$Z$1,次果筐明细!$B$4:$B$603,"&lt;="&amp;$Z$2)-SUM($C61:$F61))</f>
        <v/>
      </c>
      <c r="H61" s="39" t="str">
        <f t="shared" si="1"/>
        <v/>
      </c>
      <c r="I61" s="39" t="str">
        <f>IF(OR($B61="",_自动清单!$AS$4=""),"",SUMIFS(次果筐明细!$G$4:$G$603,次果筐明细!$C$4:$C$603,$B61,次果筐明细!$D$4:$D$603,_自动清单!$AS$4,次果筐明细!$F$4:$F$603,"*入库*",次果筐明细!$B$4:$B$603,"&gt;="&amp;$Z$1,次果筐明细!$B$4:$B$603,"&lt;="&amp;$Z$2))</f>
        <v/>
      </c>
      <c r="J61" s="39" t="str">
        <f>IF(OR($B61="",_自动清单!$AS$5=""),"",SUMIFS(次果筐明细!$G$4:$G$603,次果筐明细!$C$4:$C$603,$B61,次果筐明细!$D$4:$D$603,_自动清单!$AS$5,次果筐明细!$F$4:$F$603,"*入库*",次果筐明细!$B$4:$B$603,"&gt;="&amp;$Z$1,次果筐明细!$B$4:$B$603,"&lt;="&amp;$Z$2))</f>
        <v/>
      </c>
      <c r="K61" s="39" t="str">
        <f>IF(OR($B61="",_自动清单!$AS$6=""),"",SUMIFS(次果筐明细!$G$4:$G$603,次果筐明细!$C$4:$C$603,$B61,次果筐明细!$D$4:$D$603,_自动清单!$AS$6,次果筐明细!$F$4:$F$603,"*入库*",次果筐明细!$B$4:$B$603,"&gt;="&amp;$Z$1,次果筐明细!$B$4:$B$603,"&lt;="&amp;$Z$2))</f>
        <v/>
      </c>
      <c r="L61" s="39" t="str">
        <f>IF(OR($B61="",_自动清单!$AS$7=""),"",SUMIFS(次果筐明细!$G$4:$G$603,次果筐明细!$C$4:$C$603,$B61,次果筐明细!$D$4:$D$603,_自动清单!$AS$7,次果筐明细!$F$4:$F$603,"*入库*",次果筐明细!$B$4:$B$603,"&gt;="&amp;$Z$1,次果筐明细!$B$4:$B$603,"&lt;="&amp;$Z$2))</f>
        <v/>
      </c>
      <c r="M61" s="62" t="str">
        <f>IF($B61="","",SUMIFS(次果筐明细!$G$4:$G$603,次果筐明细!$C$4:$C$603,$B61,次果筐明细!$F$4:$F$603,"*入库*",次果筐明细!$B$4:$B$603,"&gt;="&amp;$Z$1,次果筐明细!$B$4:$B$603,"&lt;="&amp;$Z$2)-SUM($I61:$L61))</f>
        <v/>
      </c>
      <c r="N61" s="62" t="str">
        <f t="shared" si="2"/>
        <v/>
      </c>
      <c r="O61" s="39" t="str">
        <f t="shared" si="3"/>
        <v/>
      </c>
      <c r="P61" s="30" t="str">
        <f>IF($B61="","",ROUND(SUMIFS(次果筐明细!$L$4:$L$603,次果筐明细!$C$4:$C$603,$B61,次果筐明细!$B$4:$B$603,"&gt;="&amp;$Z$1,次果筐明细!$B$4:$B$603,"&lt;="&amp;$Z$2),2))</f>
        <v/>
      </c>
      <c r="Q61" s="30" t="str">
        <f>IF($B61="","",ROUND(SUMIFS(次果筐明细!$L$4:$L$603,次果筐明细!$C$4:$C$603,$B61,次果筐明细!$M$4:$M$603,"已收讫",次果筐明细!$B$4:$B$603,"&gt;="&amp;$Z$1,次果筐明细!$B$4:$B$603,"&lt;="&amp;$Z$2),2))</f>
        <v/>
      </c>
      <c r="R61" s="30" t="str">
        <f t="shared" si="4"/>
        <v/>
      </c>
      <c r="S61" s="30" t="str">
        <f>IF($B61="","",ROUND(SUMIFS(次果筐明细!$J$4:$J$603,次果筐明细!$C$4:$C$603,$B61,次果筐明细!$B$4:$B$603,"&gt;="&amp;$Z$1,次果筐明细!$B$4:$B$603,"&lt;="&amp;$Z$2),2))</f>
        <v/>
      </c>
      <c r="T61" s="63" t="str">
        <f>IF($B61="","",ROUND(SUMIFS(次果筐明细!$K$4:$K$603,次果筐明细!$C$4:$C$603,$B61,次果筐明细!$B$4:$B$603,"&gt;="&amp;$Z$1,次果筐明细!$B$4:$B$603,"&lt;="&amp;$Z$2),2))</f>
        <v/>
      </c>
      <c r="U61" s="30" t="str">
        <f t="shared" si="5"/>
        <v/>
      </c>
      <c r="V61" s="42"/>
    </row>
    <row r="62" spans="1:22">
      <c r="A62" s="24" t="str">
        <f t="shared" si="0"/>
        <v/>
      </c>
      <c r="B62" s="37" t="str">
        <f>IFERROR(INDEX(_自动清单!$AY$4:$AY$203,ROW()-3),"")</f>
        <v/>
      </c>
      <c r="C62" s="39" t="str">
        <f>IF(OR($B62="",_自动清单!$AS$4=""),"",SUMIFS(次果筐明细!$G$4:$G$603,次果筐明细!$C$4:$C$603,$B62,次果筐明细!$D$4:$D$603,_自动清单!$AS$4,次果筐明细!$F$4:$F$603,"*出库*",次果筐明细!$B$4:$B$603,"&gt;="&amp;$Z$1,次果筐明细!$B$4:$B$603,"&lt;="&amp;$Z$2))</f>
        <v/>
      </c>
      <c r="D62" s="39" t="str">
        <f>IF(OR($B62="",_自动清单!$AS$5=""),"",SUMIFS(次果筐明细!$G$4:$G$603,次果筐明细!$C$4:$C$603,$B62,次果筐明细!$D$4:$D$603,_自动清单!$AS$5,次果筐明细!$F$4:$F$603,"*出库*",次果筐明细!$B$4:$B$603,"&gt;="&amp;$Z$1,次果筐明细!$B$4:$B$603,"&lt;="&amp;$Z$2))</f>
        <v/>
      </c>
      <c r="E62" s="39" t="str">
        <f>IF(OR($B62="",_自动清单!$AS$6=""),"",SUMIFS(次果筐明细!$G$4:$G$603,次果筐明细!$C$4:$C$603,$B62,次果筐明细!$D$4:$D$603,_自动清单!$AS$6,次果筐明细!$F$4:$F$603,"*出库*",次果筐明细!$B$4:$B$603,"&gt;="&amp;$Z$1,次果筐明细!$B$4:$B$603,"&lt;="&amp;$Z$2))</f>
        <v/>
      </c>
      <c r="F62" s="39" t="str">
        <f>IF(OR($B62="",_自动清单!$AS$7=""),"",SUMIFS(次果筐明细!$G$4:$G$603,次果筐明细!$C$4:$C$603,$B62,次果筐明细!$D$4:$D$603,_自动清单!$AS$7,次果筐明细!$F$4:$F$603,"*出库*",次果筐明细!$B$4:$B$603,"&gt;="&amp;$Z$1,次果筐明细!$B$4:$B$603,"&lt;="&amp;$Z$2))</f>
        <v/>
      </c>
      <c r="G62" s="39" t="str">
        <f>IF($B62="","",SUMIFS(次果筐明细!$G$4:$G$603,次果筐明细!$C$4:$C$603,$B62,次果筐明细!$F$4:$F$603,"*出库*",次果筐明细!$B$4:$B$603,"&gt;="&amp;$Z$1,次果筐明细!$B$4:$B$603,"&lt;="&amp;$Z$2)-SUM($C62:$F62))</f>
        <v/>
      </c>
      <c r="H62" s="39" t="str">
        <f t="shared" si="1"/>
        <v/>
      </c>
      <c r="I62" s="39" t="str">
        <f>IF(OR($B62="",_自动清单!$AS$4=""),"",SUMIFS(次果筐明细!$G$4:$G$603,次果筐明细!$C$4:$C$603,$B62,次果筐明细!$D$4:$D$603,_自动清单!$AS$4,次果筐明细!$F$4:$F$603,"*入库*",次果筐明细!$B$4:$B$603,"&gt;="&amp;$Z$1,次果筐明细!$B$4:$B$603,"&lt;="&amp;$Z$2))</f>
        <v/>
      </c>
      <c r="J62" s="39" t="str">
        <f>IF(OR($B62="",_自动清单!$AS$5=""),"",SUMIFS(次果筐明细!$G$4:$G$603,次果筐明细!$C$4:$C$603,$B62,次果筐明细!$D$4:$D$603,_自动清单!$AS$5,次果筐明细!$F$4:$F$603,"*入库*",次果筐明细!$B$4:$B$603,"&gt;="&amp;$Z$1,次果筐明细!$B$4:$B$603,"&lt;="&amp;$Z$2))</f>
        <v/>
      </c>
      <c r="K62" s="39" t="str">
        <f>IF(OR($B62="",_自动清单!$AS$6=""),"",SUMIFS(次果筐明细!$G$4:$G$603,次果筐明细!$C$4:$C$603,$B62,次果筐明细!$D$4:$D$603,_自动清单!$AS$6,次果筐明细!$F$4:$F$603,"*入库*",次果筐明细!$B$4:$B$603,"&gt;="&amp;$Z$1,次果筐明细!$B$4:$B$603,"&lt;="&amp;$Z$2))</f>
        <v/>
      </c>
      <c r="L62" s="39" t="str">
        <f>IF(OR($B62="",_自动清单!$AS$7=""),"",SUMIFS(次果筐明细!$G$4:$G$603,次果筐明细!$C$4:$C$603,$B62,次果筐明细!$D$4:$D$603,_自动清单!$AS$7,次果筐明细!$F$4:$F$603,"*入库*",次果筐明细!$B$4:$B$603,"&gt;="&amp;$Z$1,次果筐明细!$B$4:$B$603,"&lt;="&amp;$Z$2))</f>
        <v/>
      </c>
      <c r="M62" s="62" t="str">
        <f>IF($B62="","",SUMIFS(次果筐明细!$G$4:$G$603,次果筐明细!$C$4:$C$603,$B62,次果筐明细!$F$4:$F$603,"*入库*",次果筐明细!$B$4:$B$603,"&gt;="&amp;$Z$1,次果筐明细!$B$4:$B$603,"&lt;="&amp;$Z$2)-SUM($I62:$L62))</f>
        <v/>
      </c>
      <c r="N62" s="62" t="str">
        <f t="shared" si="2"/>
        <v/>
      </c>
      <c r="O62" s="39" t="str">
        <f t="shared" si="3"/>
        <v/>
      </c>
      <c r="P62" s="30" t="str">
        <f>IF($B62="","",ROUND(SUMIFS(次果筐明细!$L$4:$L$603,次果筐明细!$C$4:$C$603,$B62,次果筐明细!$B$4:$B$603,"&gt;="&amp;$Z$1,次果筐明细!$B$4:$B$603,"&lt;="&amp;$Z$2),2))</f>
        <v/>
      </c>
      <c r="Q62" s="30" t="str">
        <f>IF($B62="","",ROUND(SUMIFS(次果筐明细!$L$4:$L$603,次果筐明细!$C$4:$C$603,$B62,次果筐明细!$M$4:$M$603,"已收讫",次果筐明细!$B$4:$B$603,"&gt;="&amp;$Z$1,次果筐明细!$B$4:$B$603,"&lt;="&amp;$Z$2),2))</f>
        <v/>
      </c>
      <c r="R62" s="30" t="str">
        <f t="shared" si="4"/>
        <v/>
      </c>
      <c r="S62" s="30" t="str">
        <f>IF($B62="","",ROUND(SUMIFS(次果筐明细!$J$4:$J$603,次果筐明细!$C$4:$C$603,$B62,次果筐明细!$B$4:$B$603,"&gt;="&amp;$Z$1,次果筐明细!$B$4:$B$603,"&lt;="&amp;$Z$2),2))</f>
        <v/>
      </c>
      <c r="T62" s="63" t="str">
        <f>IF($B62="","",ROUND(SUMIFS(次果筐明细!$K$4:$K$603,次果筐明细!$C$4:$C$603,$B62,次果筐明细!$B$4:$B$603,"&gt;="&amp;$Z$1,次果筐明细!$B$4:$B$603,"&lt;="&amp;$Z$2),2))</f>
        <v/>
      </c>
      <c r="U62" s="30" t="str">
        <f t="shared" si="5"/>
        <v/>
      </c>
      <c r="V62" s="42"/>
    </row>
    <row r="63" spans="1:22">
      <c r="A63" s="24" t="str">
        <f t="shared" si="0"/>
        <v/>
      </c>
      <c r="B63" s="37" t="str">
        <f>IFERROR(INDEX(_自动清单!$AY$4:$AY$203,ROW()-3),"")</f>
        <v/>
      </c>
      <c r="C63" s="39" t="str">
        <f>IF(OR($B63="",_自动清单!$AS$4=""),"",SUMIFS(次果筐明细!$G$4:$G$603,次果筐明细!$C$4:$C$603,$B63,次果筐明细!$D$4:$D$603,_自动清单!$AS$4,次果筐明细!$F$4:$F$603,"*出库*",次果筐明细!$B$4:$B$603,"&gt;="&amp;$Z$1,次果筐明细!$B$4:$B$603,"&lt;="&amp;$Z$2))</f>
        <v/>
      </c>
      <c r="D63" s="39" t="str">
        <f>IF(OR($B63="",_自动清单!$AS$5=""),"",SUMIFS(次果筐明细!$G$4:$G$603,次果筐明细!$C$4:$C$603,$B63,次果筐明细!$D$4:$D$603,_自动清单!$AS$5,次果筐明细!$F$4:$F$603,"*出库*",次果筐明细!$B$4:$B$603,"&gt;="&amp;$Z$1,次果筐明细!$B$4:$B$603,"&lt;="&amp;$Z$2))</f>
        <v/>
      </c>
      <c r="E63" s="39" t="str">
        <f>IF(OR($B63="",_自动清单!$AS$6=""),"",SUMIFS(次果筐明细!$G$4:$G$603,次果筐明细!$C$4:$C$603,$B63,次果筐明细!$D$4:$D$603,_自动清单!$AS$6,次果筐明细!$F$4:$F$603,"*出库*",次果筐明细!$B$4:$B$603,"&gt;="&amp;$Z$1,次果筐明细!$B$4:$B$603,"&lt;="&amp;$Z$2))</f>
        <v/>
      </c>
      <c r="F63" s="39" t="str">
        <f>IF(OR($B63="",_自动清单!$AS$7=""),"",SUMIFS(次果筐明细!$G$4:$G$603,次果筐明细!$C$4:$C$603,$B63,次果筐明细!$D$4:$D$603,_自动清单!$AS$7,次果筐明细!$F$4:$F$603,"*出库*",次果筐明细!$B$4:$B$603,"&gt;="&amp;$Z$1,次果筐明细!$B$4:$B$603,"&lt;="&amp;$Z$2))</f>
        <v/>
      </c>
      <c r="G63" s="39" t="str">
        <f>IF($B63="","",SUMIFS(次果筐明细!$G$4:$G$603,次果筐明细!$C$4:$C$603,$B63,次果筐明细!$F$4:$F$603,"*出库*",次果筐明细!$B$4:$B$603,"&gt;="&amp;$Z$1,次果筐明细!$B$4:$B$603,"&lt;="&amp;$Z$2)-SUM($C63:$F63))</f>
        <v/>
      </c>
      <c r="H63" s="39" t="str">
        <f t="shared" si="1"/>
        <v/>
      </c>
      <c r="I63" s="39" t="str">
        <f>IF(OR($B63="",_自动清单!$AS$4=""),"",SUMIFS(次果筐明细!$G$4:$G$603,次果筐明细!$C$4:$C$603,$B63,次果筐明细!$D$4:$D$603,_自动清单!$AS$4,次果筐明细!$F$4:$F$603,"*入库*",次果筐明细!$B$4:$B$603,"&gt;="&amp;$Z$1,次果筐明细!$B$4:$B$603,"&lt;="&amp;$Z$2))</f>
        <v/>
      </c>
      <c r="J63" s="39" t="str">
        <f>IF(OR($B63="",_自动清单!$AS$5=""),"",SUMIFS(次果筐明细!$G$4:$G$603,次果筐明细!$C$4:$C$603,$B63,次果筐明细!$D$4:$D$603,_自动清单!$AS$5,次果筐明细!$F$4:$F$603,"*入库*",次果筐明细!$B$4:$B$603,"&gt;="&amp;$Z$1,次果筐明细!$B$4:$B$603,"&lt;="&amp;$Z$2))</f>
        <v/>
      </c>
      <c r="K63" s="39" t="str">
        <f>IF(OR($B63="",_自动清单!$AS$6=""),"",SUMIFS(次果筐明细!$G$4:$G$603,次果筐明细!$C$4:$C$603,$B63,次果筐明细!$D$4:$D$603,_自动清单!$AS$6,次果筐明细!$F$4:$F$603,"*入库*",次果筐明细!$B$4:$B$603,"&gt;="&amp;$Z$1,次果筐明细!$B$4:$B$603,"&lt;="&amp;$Z$2))</f>
        <v/>
      </c>
      <c r="L63" s="39" t="str">
        <f>IF(OR($B63="",_自动清单!$AS$7=""),"",SUMIFS(次果筐明细!$G$4:$G$603,次果筐明细!$C$4:$C$603,$B63,次果筐明细!$D$4:$D$603,_自动清单!$AS$7,次果筐明细!$F$4:$F$603,"*入库*",次果筐明细!$B$4:$B$603,"&gt;="&amp;$Z$1,次果筐明细!$B$4:$B$603,"&lt;="&amp;$Z$2))</f>
        <v/>
      </c>
      <c r="M63" s="62" t="str">
        <f>IF($B63="","",SUMIFS(次果筐明细!$G$4:$G$603,次果筐明细!$C$4:$C$603,$B63,次果筐明细!$F$4:$F$603,"*入库*",次果筐明细!$B$4:$B$603,"&gt;="&amp;$Z$1,次果筐明细!$B$4:$B$603,"&lt;="&amp;$Z$2)-SUM($I63:$L63))</f>
        <v/>
      </c>
      <c r="N63" s="62" t="str">
        <f t="shared" si="2"/>
        <v/>
      </c>
      <c r="O63" s="39" t="str">
        <f t="shared" si="3"/>
        <v/>
      </c>
      <c r="P63" s="30" t="str">
        <f>IF($B63="","",ROUND(SUMIFS(次果筐明细!$L$4:$L$603,次果筐明细!$C$4:$C$603,$B63,次果筐明细!$B$4:$B$603,"&gt;="&amp;$Z$1,次果筐明细!$B$4:$B$603,"&lt;="&amp;$Z$2),2))</f>
        <v/>
      </c>
      <c r="Q63" s="30" t="str">
        <f>IF($B63="","",ROUND(SUMIFS(次果筐明细!$L$4:$L$603,次果筐明细!$C$4:$C$603,$B63,次果筐明细!$M$4:$M$603,"已收讫",次果筐明细!$B$4:$B$603,"&gt;="&amp;$Z$1,次果筐明细!$B$4:$B$603,"&lt;="&amp;$Z$2),2))</f>
        <v/>
      </c>
      <c r="R63" s="30" t="str">
        <f t="shared" si="4"/>
        <v/>
      </c>
      <c r="S63" s="30" t="str">
        <f>IF($B63="","",ROUND(SUMIFS(次果筐明细!$J$4:$J$603,次果筐明细!$C$4:$C$603,$B63,次果筐明细!$B$4:$B$603,"&gt;="&amp;$Z$1,次果筐明细!$B$4:$B$603,"&lt;="&amp;$Z$2),2))</f>
        <v/>
      </c>
      <c r="T63" s="63" t="str">
        <f>IF($B63="","",ROUND(SUMIFS(次果筐明细!$K$4:$K$603,次果筐明细!$C$4:$C$603,$B63,次果筐明细!$B$4:$B$603,"&gt;="&amp;$Z$1,次果筐明细!$B$4:$B$603,"&lt;="&amp;$Z$2),2))</f>
        <v/>
      </c>
      <c r="U63" s="30" t="str">
        <f t="shared" si="5"/>
        <v/>
      </c>
      <c r="V63" s="42"/>
    </row>
    <row r="64" spans="1:22">
      <c r="A64" s="24" t="str">
        <f t="shared" si="0"/>
        <v/>
      </c>
      <c r="B64" s="37" t="str">
        <f>IFERROR(INDEX(_自动清单!$AY$4:$AY$203,ROW()-3),"")</f>
        <v/>
      </c>
      <c r="C64" s="39" t="str">
        <f>IF(OR($B64="",_自动清单!$AS$4=""),"",SUMIFS(次果筐明细!$G$4:$G$603,次果筐明细!$C$4:$C$603,$B64,次果筐明细!$D$4:$D$603,_自动清单!$AS$4,次果筐明细!$F$4:$F$603,"*出库*",次果筐明细!$B$4:$B$603,"&gt;="&amp;$Z$1,次果筐明细!$B$4:$B$603,"&lt;="&amp;$Z$2))</f>
        <v/>
      </c>
      <c r="D64" s="39" t="str">
        <f>IF(OR($B64="",_自动清单!$AS$5=""),"",SUMIFS(次果筐明细!$G$4:$G$603,次果筐明细!$C$4:$C$603,$B64,次果筐明细!$D$4:$D$603,_自动清单!$AS$5,次果筐明细!$F$4:$F$603,"*出库*",次果筐明细!$B$4:$B$603,"&gt;="&amp;$Z$1,次果筐明细!$B$4:$B$603,"&lt;="&amp;$Z$2))</f>
        <v/>
      </c>
      <c r="E64" s="39" t="str">
        <f>IF(OR($B64="",_自动清单!$AS$6=""),"",SUMIFS(次果筐明细!$G$4:$G$603,次果筐明细!$C$4:$C$603,$B64,次果筐明细!$D$4:$D$603,_自动清单!$AS$6,次果筐明细!$F$4:$F$603,"*出库*",次果筐明细!$B$4:$B$603,"&gt;="&amp;$Z$1,次果筐明细!$B$4:$B$603,"&lt;="&amp;$Z$2))</f>
        <v/>
      </c>
      <c r="F64" s="39" t="str">
        <f>IF(OR($B64="",_自动清单!$AS$7=""),"",SUMIFS(次果筐明细!$G$4:$G$603,次果筐明细!$C$4:$C$603,$B64,次果筐明细!$D$4:$D$603,_自动清单!$AS$7,次果筐明细!$F$4:$F$603,"*出库*",次果筐明细!$B$4:$B$603,"&gt;="&amp;$Z$1,次果筐明细!$B$4:$B$603,"&lt;="&amp;$Z$2))</f>
        <v/>
      </c>
      <c r="G64" s="39" t="str">
        <f>IF($B64="","",SUMIFS(次果筐明细!$G$4:$G$603,次果筐明细!$C$4:$C$603,$B64,次果筐明细!$F$4:$F$603,"*出库*",次果筐明细!$B$4:$B$603,"&gt;="&amp;$Z$1,次果筐明细!$B$4:$B$603,"&lt;="&amp;$Z$2)-SUM($C64:$F64))</f>
        <v/>
      </c>
      <c r="H64" s="39" t="str">
        <f t="shared" si="1"/>
        <v/>
      </c>
      <c r="I64" s="39" t="str">
        <f>IF(OR($B64="",_自动清单!$AS$4=""),"",SUMIFS(次果筐明细!$G$4:$G$603,次果筐明细!$C$4:$C$603,$B64,次果筐明细!$D$4:$D$603,_自动清单!$AS$4,次果筐明细!$F$4:$F$603,"*入库*",次果筐明细!$B$4:$B$603,"&gt;="&amp;$Z$1,次果筐明细!$B$4:$B$603,"&lt;="&amp;$Z$2))</f>
        <v/>
      </c>
      <c r="J64" s="39" t="str">
        <f>IF(OR($B64="",_自动清单!$AS$5=""),"",SUMIFS(次果筐明细!$G$4:$G$603,次果筐明细!$C$4:$C$603,$B64,次果筐明细!$D$4:$D$603,_自动清单!$AS$5,次果筐明细!$F$4:$F$603,"*入库*",次果筐明细!$B$4:$B$603,"&gt;="&amp;$Z$1,次果筐明细!$B$4:$B$603,"&lt;="&amp;$Z$2))</f>
        <v/>
      </c>
      <c r="K64" s="39" t="str">
        <f>IF(OR($B64="",_自动清单!$AS$6=""),"",SUMIFS(次果筐明细!$G$4:$G$603,次果筐明细!$C$4:$C$603,$B64,次果筐明细!$D$4:$D$603,_自动清单!$AS$6,次果筐明细!$F$4:$F$603,"*入库*",次果筐明细!$B$4:$B$603,"&gt;="&amp;$Z$1,次果筐明细!$B$4:$B$603,"&lt;="&amp;$Z$2))</f>
        <v/>
      </c>
      <c r="L64" s="39" t="str">
        <f>IF(OR($B64="",_自动清单!$AS$7=""),"",SUMIFS(次果筐明细!$G$4:$G$603,次果筐明细!$C$4:$C$603,$B64,次果筐明细!$D$4:$D$603,_自动清单!$AS$7,次果筐明细!$F$4:$F$603,"*入库*",次果筐明细!$B$4:$B$603,"&gt;="&amp;$Z$1,次果筐明细!$B$4:$B$603,"&lt;="&amp;$Z$2))</f>
        <v/>
      </c>
      <c r="M64" s="62" t="str">
        <f>IF($B64="","",SUMIFS(次果筐明细!$G$4:$G$603,次果筐明细!$C$4:$C$603,$B64,次果筐明细!$F$4:$F$603,"*入库*",次果筐明细!$B$4:$B$603,"&gt;="&amp;$Z$1,次果筐明细!$B$4:$B$603,"&lt;="&amp;$Z$2)-SUM($I64:$L64))</f>
        <v/>
      </c>
      <c r="N64" s="62" t="str">
        <f t="shared" si="2"/>
        <v/>
      </c>
      <c r="O64" s="39" t="str">
        <f t="shared" si="3"/>
        <v/>
      </c>
      <c r="P64" s="30" t="str">
        <f>IF($B64="","",ROUND(SUMIFS(次果筐明细!$L$4:$L$603,次果筐明细!$C$4:$C$603,$B64,次果筐明细!$B$4:$B$603,"&gt;="&amp;$Z$1,次果筐明细!$B$4:$B$603,"&lt;="&amp;$Z$2),2))</f>
        <v/>
      </c>
      <c r="Q64" s="30" t="str">
        <f>IF($B64="","",ROUND(SUMIFS(次果筐明细!$L$4:$L$603,次果筐明细!$C$4:$C$603,$B64,次果筐明细!$M$4:$M$603,"已收讫",次果筐明细!$B$4:$B$603,"&gt;="&amp;$Z$1,次果筐明细!$B$4:$B$603,"&lt;="&amp;$Z$2),2))</f>
        <v/>
      </c>
      <c r="R64" s="30" t="str">
        <f t="shared" si="4"/>
        <v/>
      </c>
      <c r="S64" s="30" t="str">
        <f>IF($B64="","",ROUND(SUMIFS(次果筐明细!$J$4:$J$603,次果筐明细!$C$4:$C$603,$B64,次果筐明细!$B$4:$B$603,"&gt;="&amp;$Z$1,次果筐明细!$B$4:$B$603,"&lt;="&amp;$Z$2),2))</f>
        <v/>
      </c>
      <c r="T64" s="63" t="str">
        <f>IF($B64="","",ROUND(SUMIFS(次果筐明细!$K$4:$K$603,次果筐明细!$C$4:$C$603,$B64,次果筐明细!$B$4:$B$603,"&gt;="&amp;$Z$1,次果筐明细!$B$4:$B$603,"&lt;="&amp;$Z$2),2))</f>
        <v/>
      </c>
      <c r="U64" s="30" t="str">
        <f t="shared" si="5"/>
        <v/>
      </c>
      <c r="V64" s="42"/>
    </row>
    <row r="65" spans="1:22">
      <c r="A65" s="24" t="str">
        <f t="shared" si="0"/>
        <v/>
      </c>
      <c r="B65" s="37" t="str">
        <f>IFERROR(INDEX(_自动清单!$AY$4:$AY$203,ROW()-3),"")</f>
        <v/>
      </c>
      <c r="C65" s="39" t="str">
        <f>IF(OR($B65="",_自动清单!$AS$4=""),"",SUMIFS(次果筐明细!$G$4:$G$603,次果筐明细!$C$4:$C$603,$B65,次果筐明细!$D$4:$D$603,_自动清单!$AS$4,次果筐明细!$F$4:$F$603,"*出库*",次果筐明细!$B$4:$B$603,"&gt;="&amp;$Z$1,次果筐明细!$B$4:$B$603,"&lt;="&amp;$Z$2))</f>
        <v/>
      </c>
      <c r="D65" s="39" t="str">
        <f>IF(OR($B65="",_自动清单!$AS$5=""),"",SUMIFS(次果筐明细!$G$4:$G$603,次果筐明细!$C$4:$C$603,$B65,次果筐明细!$D$4:$D$603,_自动清单!$AS$5,次果筐明细!$F$4:$F$603,"*出库*",次果筐明细!$B$4:$B$603,"&gt;="&amp;$Z$1,次果筐明细!$B$4:$B$603,"&lt;="&amp;$Z$2))</f>
        <v/>
      </c>
      <c r="E65" s="39" t="str">
        <f>IF(OR($B65="",_自动清单!$AS$6=""),"",SUMIFS(次果筐明细!$G$4:$G$603,次果筐明细!$C$4:$C$603,$B65,次果筐明细!$D$4:$D$603,_自动清单!$AS$6,次果筐明细!$F$4:$F$603,"*出库*",次果筐明细!$B$4:$B$603,"&gt;="&amp;$Z$1,次果筐明细!$B$4:$B$603,"&lt;="&amp;$Z$2))</f>
        <v/>
      </c>
      <c r="F65" s="39" t="str">
        <f>IF(OR($B65="",_自动清单!$AS$7=""),"",SUMIFS(次果筐明细!$G$4:$G$603,次果筐明细!$C$4:$C$603,$B65,次果筐明细!$D$4:$D$603,_自动清单!$AS$7,次果筐明细!$F$4:$F$603,"*出库*",次果筐明细!$B$4:$B$603,"&gt;="&amp;$Z$1,次果筐明细!$B$4:$B$603,"&lt;="&amp;$Z$2))</f>
        <v/>
      </c>
      <c r="G65" s="39" t="str">
        <f>IF($B65="","",SUMIFS(次果筐明细!$G$4:$G$603,次果筐明细!$C$4:$C$603,$B65,次果筐明细!$F$4:$F$603,"*出库*",次果筐明细!$B$4:$B$603,"&gt;="&amp;$Z$1,次果筐明细!$B$4:$B$603,"&lt;="&amp;$Z$2)-SUM($C65:$F65))</f>
        <v/>
      </c>
      <c r="H65" s="39" t="str">
        <f t="shared" si="1"/>
        <v/>
      </c>
      <c r="I65" s="39" t="str">
        <f>IF(OR($B65="",_自动清单!$AS$4=""),"",SUMIFS(次果筐明细!$G$4:$G$603,次果筐明细!$C$4:$C$603,$B65,次果筐明细!$D$4:$D$603,_自动清单!$AS$4,次果筐明细!$F$4:$F$603,"*入库*",次果筐明细!$B$4:$B$603,"&gt;="&amp;$Z$1,次果筐明细!$B$4:$B$603,"&lt;="&amp;$Z$2))</f>
        <v/>
      </c>
      <c r="J65" s="39" t="str">
        <f>IF(OR($B65="",_自动清单!$AS$5=""),"",SUMIFS(次果筐明细!$G$4:$G$603,次果筐明细!$C$4:$C$603,$B65,次果筐明细!$D$4:$D$603,_自动清单!$AS$5,次果筐明细!$F$4:$F$603,"*入库*",次果筐明细!$B$4:$B$603,"&gt;="&amp;$Z$1,次果筐明细!$B$4:$B$603,"&lt;="&amp;$Z$2))</f>
        <v/>
      </c>
      <c r="K65" s="39" t="str">
        <f>IF(OR($B65="",_自动清单!$AS$6=""),"",SUMIFS(次果筐明细!$G$4:$G$603,次果筐明细!$C$4:$C$603,$B65,次果筐明细!$D$4:$D$603,_自动清单!$AS$6,次果筐明细!$F$4:$F$603,"*入库*",次果筐明细!$B$4:$B$603,"&gt;="&amp;$Z$1,次果筐明细!$B$4:$B$603,"&lt;="&amp;$Z$2))</f>
        <v/>
      </c>
      <c r="L65" s="39" t="str">
        <f>IF(OR($B65="",_自动清单!$AS$7=""),"",SUMIFS(次果筐明细!$G$4:$G$603,次果筐明细!$C$4:$C$603,$B65,次果筐明细!$D$4:$D$603,_自动清单!$AS$7,次果筐明细!$F$4:$F$603,"*入库*",次果筐明细!$B$4:$B$603,"&gt;="&amp;$Z$1,次果筐明细!$B$4:$B$603,"&lt;="&amp;$Z$2))</f>
        <v/>
      </c>
      <c r="M65" s="62" t="str">
        <f>IF($B65="","",SUMIFS(次果筐明细!$G$4:$G$603,次果筐明细!$C$4:$C$603,$B65,次果筐明细!$F$4:$F$603,"*入库*",次果筐明细!$B$4:$B$603,"&gt;="&amp;$Z$1,次果筐明细!$B$4:$B$603,"&lt;="&amp;$Z$2)-SUM($I65:$L65))</f>
        <v/>
      </c>
      <c r="N65" s="62" t="str">
        <f t="shared" si="2"/>
        <v/>
      </c>
      <c r="O65" s="39" t="str">
        <f t="shared" si="3"/>
        <v/>
      </c>
      <c r="P65" s="30" t="str">
        <f>IF($B65="","",ROUND(SUMIFS(次果筐明细!$L$4:$L$603,次果筐明细!$C$4:$C$603,$B65,次果筐明细!$B$4:$B$603,"&gt;="&amp;$Z$1,次果筐明细!$B$4:$B$603,"&lt;="&amp;$Z$2),2))</f>
        <v/>
      </c>
      <c r="Q65" s="30" t="str">
        <f>IF($B65="","",ROUND(SUMIFS(次果筐明细!$L$4:$L$603,次果筐明细!$C$4:$C$603,$B65,次果筐明细!$M$4:$M$603,"已收讫",次果筐明细!$B$4:$B$603,"&gt;="&amp;$Z$1,次果筐明细!$B$4:$B$603,"&lt;="&amp;$Z$2),2))</f>
        <v/>
      </c>
      <c r="R65" s="30" t="str">
        <f t="shared" si="4"/>
        <v/>
      </c>
      <c r="S65" s="30" t="str">
        <f>IF($B65="","",ROUND(SUMIFS(次果筐明细!$J$4:$J$603,次果筐明细!$C$4:$C$603,$B65,次果筐明细!$B$4:$B$603,"&gt;="&amp;$Z$1,次果筐明细!$B$4:$B$603,"&lt;="&amp;$Z$2),2))</f>
        <v/>
      </c>
      <c r="T65" s="63" t="str">
        <f>IF($B65="","",ROUND(SUMIFS(次果筐明细!$K$4:$K$603,次果筐明细!$C$4:$C$603,$B65,次果筐明细!$B$4:$B$603,"&gt;="&amp;$Z$1,次果筐明细!$B$4:$B$603,"&lt;="&amp;$Z$2),2))</f>
        <v/>
      </c>
      <c r="U65" s="30" t="str">
        <f t="shared" si="5"/>
        <v/>
      </c>
      <c r="V65" s="42"/>
    </row>
    <row r="66" spans="1:22">
      <c r="A66" s="24" t="str">
        <f t="shared" si="0"/>
        <v/>
      </c>
      <c r="B66" s="37" t="str">
        <f>IFERROR(INDEX(_自动清单!$AY$4:$AY$203,ROW()-3),"")</f>
        <v/>
      </c>
      <c r="C66" s="39" t="str">
        <f>IF(OR($B66="",_自动清单!$AS$4=""),"",SUMIFS(次果筐明细!$G$4:$G$603,次果筐明细!$C$4:$C$603,$B66,次果筐明细!$D$4:$D$603,_自动清单!$AS$4,次果筐明细!$F$4:$F$603,"*出库*",次果筐明细!$B$4:$B$603,"&gt;="&amp;$Z$1,次果筐明细!$B$4:$B$603,"&lt;="&amp;$Z$2))</f>
        <v/>
      </c>
      <c r="D66" s="39" t="str">
        <f>IF(OR($B66="",_自动清单!$AS$5=""),"",SUMIFS(次果筐明细!$G$4:$G$603,次果筐明细!$C$4:$C$603,$B66,次果筐明细!$D$4:$D$603,_自动清单!$AS$5,次果筐明细!$F$4:$F$603,"*出库*",次果筐明细!$B$4:$B$603,"&gt;="&amp;$Z$1,次果筐明细!$B$4:$B$603,"&lt;="&amp;$Z$2))</f>
        <v/>
      </c>
      <c r="E66" s="39" t="str">
        <f>IF(OR($B66="",_自动清单!$AS$6=""),"",SUMIFS(次果筐明细!$G$4:$G$603,次果筐明细!$C$4:$C$603,$B66,次果筐明细!$D$4:$D$603,_自动清单!$AS$6,次果筐明细!$F$4:$F$603,"*出库*",次果筐明细!$B$4:$B$603,"&gt;="&amp;$Z$1,次果筐明细!$B$4:$B$603,"&lt;="&amp;$Z$2))</f>
        <v/>
      </c>
      <c r="F66" s="39" t="str">
        <f>IF(OR($B66="",_自动清单!$AS$7=""),"",SUMIFS(次果筐明细!$G$4:$G$603,次果筐明细!$C$4:$C$603,$B66,次果筐明细!$D$4:$D$603,_自动清单!$AS$7,次果筐明细!$F$4:$F$603,"*出库*",次果筐明细!$B$4:$B$603,"&gt;="&amp;$Z$1,次果筐明细!$B$4:$B$603,"&lt;="&amp;$Z$2))</f>
        <v/>
      </c>
      <c r="G66" s="39" t="str">
        <f>IF($B66="","",SUMIFS(次果筐明细!$G$4:$G$603,次果筐明细!$C$4:$C$603,$B66,次果筐明细!$F$4:$F$603,"*出库*",次果筐明细!$B$4:$B$603,"&gt;="&amp;$Z$1,次果筐明细!$B$4:$B$603,"&lt;="&amp;$Z$2)-SUM($C66:$F66))</f>
        <v/>
      </c>
      <c r="H66" s="39" t="str">
        <f t="shared" si="1"/>
        <v/>
      </c>
      <c r="I66" s="39" t="str">
        <f>IF(OR($B66="",_自动清单!$AS$4=""),"",SUMIFS(次果筐明细!$G$4:$G$603,次果筐明细!$C$4:$C$603,$B66,次果筐明细!$D$4:$D$603,_自动清单!$AS$4,次果筐明细!$F$4:$F$603,"*入库*",次果筐明细!$B$4:$B$603,"&gt;="&amp;$Z$1,次果筐明细!$B$4:$B$603,"&lt;="&amp;$Z$2))</f>
        <v/>
      </c>
      <c r="J66" s="39" t="str">
        <f>IF(OR($B66="",_自动清单!$AS$5=""),"",SUMIFS(次果筐明细!$G$4:$G$603,次果筐明细!$C$4:$C$603,$B66,次果筐明细!$D$4:$D$603,_自动清单!$AS$5,次果筐明细!$F$4:$F$603,"*入库*",次果筐明细!$B$4:$B$603,"&gt;="&amp;$Z$1,次果筐明细!$B$4:$B$603,"&lt;="&amp;$Z$2))</f>
        <v/>
      </c>
      <c r="K66" s="39" t="str">
        <f>IF(OR($B66="",_自动清单!$AS$6=""),"",SUMIFS(次果筐明细!$G$4:$G$603,次果筐明细!$C$4:$C$603,$B66,次果筐明细!$D$4:$D$603,_自动清单!$AS$6,次果筐明细!$F$4:$F$603,"*入库*",次果筐明细!$B$4:$B$603,"&gt;="&amp;$Z$1,次果筐明细!$B$4:$B$603,"&lt;="&amp;$Z$2))</f>
        <v/>
      </c>
      <c r="L66" s="39" t="str">
        <f>IF(OR($B66="",_自动清单!$AS$7=""),"",SUMIFS(次果筐明细!$G$4:$G$603,次果筐明细!$C$4:$C$603,$B66,次果筐明细!$D$4:$D$603,_自动清单!$AS$7,次果筐明细!$F$4:$F$603,"*入库*",次果筐明细!$B$4:$B$603,"&gt;="&amp;$Z$1,次果筐明细!$B$4:$B$603,"&lt;="&amp;$Z$2))</f>
        <v/>
      </c>
      <c r="M66" s="62" t="str">
        <f>IF($B66="","",SUMIFS(次果筐明细!$G$4:$G$603,次果筐明细!$C$4:$C$603,$B66,次果筐明细!$F$4:$F$603,"*入库*",次果筐明细!$B$4:$B$603,"&gt;="&amp;$Z$1,次果筐明细!$B$4:$B$603,"&lt;="&amp;$Z$2)-SUM($I66:$L66))</f>
        <v/>
      </c>
      <c r="N66" s="62" t="str">
        <f t="shared" si="2"/>
        <v/>
      </c>
      <c r="O66" s="39" t="str">
        <f t="shared" si="3"/>
        <v/>
      </c>
      <c r="P66" s="30" t="str">
        <f>IF($B66="","",ROUND(SUMIFS(次果筐明细!$L$4:$L$603,次果筐明细!$C$4:$C$603,$B66,次果筐明细!$B$4:$B$603,"&gt;="&amp;$Z$1,次果筐明细!$B$4:$B$603,"&lt;="&amp;$Z$2),2))</f>
        <v/>
      </c>
      <c r="Q66" s="30" t="str">
        <f>IF($B66="","",ROUND(SUMIFS(次果筐明细!$L$4:$L$603,次果筐明细!$C$4:$C$603,$B66,次果筐明细!$M$4:$M$603,"已收讫",次果筐明细!$B$4:$B$603,"&gt;="&amp;$Z$1,次果筐明细!$B$4:$B$603,"&lt;="&amp;$Z$2),2))</f>
        <v/>
      </c>
      <c r="R66" s="30" t="str">
        <f t="shared" si="4"/>
        <v/>
      </c>
      <c r="S66" s="30" t="str">
        <f>IF($B66="","",ROUND(SUMIFS(次果筐明细!$J$4:$J$603,次果筐明细!$C$4:$C$603,$B66,次果筐明细!$B$4:$B$603,"&gt;="&amp;$Z$1,次果筐明细!$B$4:$B$603,"&lt;="&amp;$Z$2),2))</f>
        <v/>
      </c>
      <c r="T66" s="63" t="str">
        <f>IF($B66="","",ROUND(SUMIFS(次果筐明细!$K$4:$K$603,次果筐明细!$C$4:$C$603,$B66,次果筐明细!$B$4:$B$603,"&gt;="&amp;$Z$1,次果筐明细!$B$4:$B$603,"&lt;="&amp;$Z$2),2))</f>
        <v/>
      </c>
      <c r="U66" s="30" t="str">
        <f t="shared" si="5"/>
        <v/>
      </c>
      <c r="V66" s="42"/>
    </row>
    <row r="67" spans="1:22">
      <c r="A67" s="24" t="str">
        <f t="shared" si="0"/>
        <v/>
      </c>
      <c r="B67" s="37" t="str">
        <f>IFERROR(INDEX(_自动清单!$AY$4:$AY$203,ROW()-3),"")</f>
        <v/>
      </c>
      <c r="C67" s="39" t="str">
        <f>IF(OR($B67="",_自动清单!$AS$4=""),"",SUMIFS(次果筐明细!$G$4:$G$603,次果筐明细!$C$4:$C$603,$B67,次果筐明细!$D$4:$D$603,_自动清单!$AS$4,次果筐明细!$F$4:$F$603,"*出库*",次果筐明细!$B$4:$B$603,"&gt;="&amp;$Z$1,次果筐明细!$B$4:$B$603,"&lt;="&amp;$Z$2))</f>
        <v/>
      </c>
      <c r="D67" s="39" t="str">
        <f>IF(OR($B67="",_自动清单!$AS$5=""),"",SUMIFS(次果筐明细!$G$4:$G$603,次果筐明细!$C$4:$C$603,$B67,次果筐明细!$D$4:$D$603,_自动清单!$AS$5,次果筐明细!$F$4:$F$603,"*出库*",次果筐明细!$B$4:$B$603,"&gt;="&amp;$Z$1,次果筐明细!$B$4:$B$603,"&lt;="&amp;$Z$2))</f>
        <v/>
      </c>
      <c r="E67" s="39" t="str">
        <f>IF(OR($B67="",_自动清单!$AS$6=""),"",SUMIFS(次果筐明细!$G$4:$G$603,次果筐明细!$C$4:$C$603,$B67,次果筐明细!$D$4:$D$603,_自动清单!$AS$6,次果筐明细!$F$4:$F$603,"*出库*",次果筐明细!$B$4:$B$603,"&gt;="&amp;$Z$1,次果筐明细!$B$4:$B$603,"&lt;="&amp;$Z$2))</f>
        <v/>
      </c>
      <c r="F67" s="39" t="str">
        <f>IF(OR($B67="",_自动清单!$AS$7=""),"",SUMIFS(次果筐明细!$G$4:$G$603,次果筐明细!$C$4:$C$603,$B67,次果筐明细!$D$4:$D$603,_自动清单!$AS$7,次果筐明细!$F$4:$F$603,"*出库*",次果筐明细!$B$4:$B$603,"&gt;="&amp;$Z$1,次果筐明细!$B$4:$B$603,"&lt;="&amp;$Z$2))</f>
        <v/>
      </c>
      <c r="G67" s="39" t="str">
        <f>IF($B67="","",SUMIFS(次果筐明细!$G$4:$G$603,次果筐明细!$C$4:$C$603,$B67,次果筐明细!$F$4:$F$603,"*出库*",次果筐明细!$B$4:$B$603,"&gt;="&amp;$Z$1,次果筐明细!$B$4:$B$603,"&lt;="&amp;$Z$2)-SUM($C67:$F67))</f>
        <v/>
      </c>
      <c r="H67" s="39" t="str">
        <f t="shared" si="1"/>
        <v/>
      </c>
      <c r="I67" s="39" t="str">
        <f>IF(OR($B67="",_自动清单!$AS$4=""),"",SUMIFS(次果筐明细!$G$4:$G$603,次果筐明细!$C$4:$C$603,$B67,次果筐明细!$D$4:$D$603,_自动清单!$AS$4,次果筐明细!$F$4:$F$603,"*入库*",次果筐明细!$B$4:$B$603,"&gt;="&amp;$Z$1,次果筐明细!$B$4:$B$603,"&lt;="&amp;$Z$2))</f>
        <v/>
      </c>
      <c r="J67" s="39" t="str">
        <f>IF(OR($B67="",_自动清单!$AS$5=""),"",SUMIFS(次果筐明细!$G$4:$G$603,次果筐明细!$C$4:$C$603,$B67,次果筐明细!$D$4:$D$603,_自动清单!$AS$5,次果筐明细!$F$4:$F$603,"*入库*",次果筐明细!$B$4:$B$603,"&gt;="&amp;$Z$1,次果筐明细!$B$4:$B$603,"&lt;="&amp;$Z$2))</f>
        <v/>
      </c>
      <c r="K67" s="39" t="str">
        <f>IF(OR($B67="",_自动清单!$AS$6=""),"",SUMIFS(次果筐明细!$G$4:$G$603,次果筐明细!$C$4:$C$603,$B67,次果筐明细!$D$4:$D$603,_自动清单!$AS$6,次果筐明细!$F$4:$F$603,"*入库*",次果筐明细!$B$4:$B$603,"&gt;="&amp;$Z$1,次果筐明细!$B$4:$B$603,"&lt;="&amp;$Z$2))</f>
        <v/>
      </c>
      <c r="L67" s="39" t="str">
        <f>IF(OR($B67="",_自动清单!$AS$7=""),"",SUMIFS(次果筐明细!$G$4:$G$603,次果筐明细!$C$4:$C$603,$B67,次果筐明细!$D$4:$D$603,_自动清单!$AS$7,次果筐明细!$F$4:$F$603,"*入库*",次果筐明细!$B$4:$B$603,"&gt;="&amp;$Z$1,次果筐明细!$B$4:$B$603,"&lt;="&amp;$Z$2))</f>
        <v/>
      </c>
      <c r="M67" s="62" t="str">
        <f>IF($B67="","",SUMIFS(次果筐明细!$G$4:$G$603,次果筐明细!$C$4:$C$603,$B67,次果筐明细!$F$4:$F$603,"*入库*",次果筐明细!$B$4:$B$603,"&gt;="&amp;$Z$1,次果筐明细!$B$4:$B$603,"&lt;="&amp;$Z$2)-SUM($I67:$L67))</f>
        <v/>
      </c>
      <c r="N67" s="62" t="str">
        <f t="shared" si="2"/>
        <v/>
      </c>
      <c r="O67" s="39" t="str">
        <f t="shared" si="3"/>
        <v/>
      </c>
      <c r="P67" s="30" t="str">
        <f>IF($B67="","",ROUND(SUMIFS(次果筐明细!$L$4:$L$603,次果筐明细!$C$4:$C$603,$B67,次果筐明细!$B$4:$B$603,"&gt;="&amp;$Z$1,次果筐明细!$B$4:$B$603,"&lt;="&amp;$Z$2),2))</f>
        <v/>
      </c>
      <c r="Q67" s="30" t="str">
        <f>IF($B67="","",ROUND(SUMIFS(次果筐明细!$L$4:$L$603,次果筐明细!$C$4:$C$603,$B67,次果筐明细!$M$4:$M$603,"已收讫",次果筐明细!$B$4:$B$603,"&gt;="&amp;$Z$1,次果筐明细!$B$4:$B$603,"&lt;="&amp;$Z$2),2))</f>
        <v/>
      </c>
      <c r="R67" s="30" t="str">
        <f t="shared" si="4"/>
        <v/>
      </c>
      <c r="S67" s="30" t="str">
        <f>IF($B67="","",ROUND(SUMIFS(次果筐明细!$J$4:$J$603,次果筐明细!$C$4:$C$603,$B67,次果筐明细!$B$4:$B$603,"&gt;="&amp;$Z$1,次果筐明细!$B$4:$B$603,"&lt;="&amp;$Z$2),2))</f>
        <v/>
      </c>
      <c r="T67" s="63" t="str">
        <f>IF($B67="","",ROUND(SUMIFS(次果筐明细!$K$4:$K$603,次果筐明细!$C$4:$C$603,$B67,次果筐明细!$B$4:$B$603,"&gt;="&amp;$Z$1,次果筐明细!$B$4:$B$603,"&lt;="&amp;$Z$2),2))</f>
        <v/>
      </c>
      <c r="U67" s="30" t="str">
        <f t="shared" si="5"/>
        <v/>
      </c>
      <c r="V67" s="42"/>
    </row>
    <row r="68" spans="1:22">
      <c r="A68" s="24" t="str">
        <f t="shared" ref="A68:A131" si="6">IF($B68="","",ROW()-3)</f>
        <v/>
      </c>
      <c r="B68" s="37" t="str">
        <f>IFERROR(INDEX(_自动清单!$AY$4:$AY$203,ROW()-3),"")</f>
        <v/>
      </c>
      <c r="C68" s="39" t="str">
        <f>IF(OR($B68="",_自动清单!$AS$4=""),"",SUMIFS(次果筐明细!$G$4:$G$603,次果筐明细!$C$4:$C$603,$B68,次果筐明细!$D$4:$D$603,_自动清单!$AS$4,次果筐明细!$F$4:$F$603,"*出库*",次果筐明细!$B$4:$B$603,"&gt;="&amp;$Z$1,次果筐明细!$B$4:$B$603,"&lt;="&amp;$Z$2))</f>
        <v/>
      </c>
      <c r="D68" s="39" t="str">
        <f>IF(OR($B68="",_自动清单!$AS$5=""),"",SUMIFS(次果筐明细!$G$4:$G$603,次果筐明细!$C$4:$C$603,$B68,次果筐明细!$D$4:$D$603,_自动清单!$AS$5,次果筐明细!$F$4:$F$603,"*出库*",次果筐明细!$B$4:$B$603,"&gt;="&amp;$Z$1,次果筐明细!$B$4:$B$603,"&lt;="&amp;$Z$2))</f>
        <v/>
      </c>
      <c r="E68" s="39" t="str">
        <f>IF(OR($B68="",_自动清单!$AS$6=""),"",SUMIFS(次果筐明细!$G$4:$G$603,次果筐明细!$C$4:$C$603,$B68,次果筐明细!$D$4:$D$603,_自动清单!$AS$6,次果筐明细!$F$4:$F$603,"*出库*",次果筐明细!$B$4:$B$603,"&gt;="&amp;$Z$1,次果筐明细!$B$4:$B$603,"&lt;="&amp;$Z$2))</f>
        <v/>
      </c>
      <c r="F68" s="39" t="str">
        <f>IF(OR($B68="",_自动清单!$AS$7=""),"",SUMIFS(次果筐明细!$G$4:$G$603,次果筐明细!$C$4:$C$603,$B68,次果筐明细!$D$4:$D$603,_自动清单!$AS$7,次果筐明细!$F$4:$F$603,"*出库*",次果筐明细!$B$4:$B$603,"&gt;="&amp;$Z$1,次果筐明细!$B$4:$B$603,"&lt;="&amp;$Z$2))</f>
        <v/>
      </c>
      <c r="G68" s="39" t="str">
        <f>IF($B68="","",SUMIFS(次果筐明细!$G$4:$G$603,次果筐明细!$C$4:$C$603,$B68,次果筐明细!$F$4:$F$603,"*出库*",次果筐明细!$B$4:$B$603,"&gt;="&amp;$Z$1,次果筐明细!$B$4:$B$603,"&lt;="&amp;$Z$2)-SUM($C68:$F68))</f>
        <v/>
      </c>
      <c r="H68" s="39" t="str">
        <f t="shared" ref="H68:H131" si="7">IF($B68="","",SUM($C68:$G68))</f>
        <v/>
      </c>
      <c r="I68" s="39" t="str">
        <f>IF(OR($B68="",_自动清单!$AS$4=""),"",SUMIFS(次果筐明细!$G$4:$G$603,次果筐明细!$C$4:$C$603,$B68,次果筐明细!$D$4:$D$603,_自动清单!$AS$4,次果筐明细!$F$4:$F$603,"*入库*",次果筐明细!$B$4:$B$603,"&gt;="&amp;$Z$1,次果筐明细!$B$4:$B$603,"&lt;="&amp;$Z$2))</f>
        <v/>
      </c>
      <c r="J68" s="39" t="str">
        <f>IF(OR($B68="",_自动清单!$AS$5=""),"",SUMIFS(次果筐明细!$G$4:$G$603,次果筐明细!$C$4:$C$603,$B68,次果筐明细!$D$4:$D$603,_自动清单!$AS$5,次果筐明细!$F$4:$F$603,"*入库*",次果筐明细!$B$4:$B$603,"&gt;="&amp;$Z$1,次果筐明细!$B$4:$B$603,"&lt;="&amp;$Z$2))</f>
        <v/>
      </c>
      <c r="K68" s="39" t="str">
        <f>IF(OR($B68="",_自动清单!$AS$6=""),"",SUMIFS(次果筐明细!$G$4:$G$603,次果筐明细!$C$4:$C$603,$B68,次果筐明细!$D$4:$D$603,_自动清单!$AS$6,次果筐明细!$F$4:$F$603,"*入库*",次果筐明细!$B$4:$B$603,"&gt;="&amp;$Z$1,次果筐明细!$B$4:$B$603,"&lt;="&amp;$Z$2))</f>
        <v/>
      </c>
      <c r="L68" s="39" t="str">
        <f>IF(OR($B68="",_自动清单!$AS$7=""),"",SUMIFS(次果筐明细!$G$4:$G$603,次果筐明细!$C$4:$C$603,$B68,次果筐明细!$D$4:$D$603,_自动清单!$AS$7,次果筐明细!$F$4:$F$603,"*入库*",次果筐明细!$B$4:$B$603,"&gt;="&amp;$Z$1,次果筐明细!$B$4:$B$603,"&lt;="&amp;$Z$2))</f>
        <v/>
      </c>
      <c r="M68" s="62" t="str">
        <f>IF($B68="","",SUMIFS(次果筐明细!$G$4:$G$603,次果筐明细!$C$4:$C$603,$B68,次果筐明细!$F$4:$F$603,"*入库*",次果筐明细!$B$4:$B$603,"&gt;="&amp;$Z$1,次果筐明细!$B$4:$B$603,"&lt;="&amp;$Z$2)-SUM($I68:$L68))</f>
        <v/>
      </c>
      <c r="N68" s="62" t="str">
        <f t="shared" ref="N68:N131" si="8">IF($B68="","",SUM($I68:$M68))</f>
        <v/>
      </c>
      <c r="O68" s="39" t="str">
        <f t="shared" ref="O68:O131" si="9">IF($B68="","",N($H68)-N($N68))</f>
        <v/>
      </c>
      <c r="P68" s="30" t="str">
        <f>IF($B68="","",ROUND(SUMIFS(次果筐明细!$L$4:$L$603,次果筐明细!$C$4:$C$603,$B68,次果筐明细!$B$4:$B$603,"&gt;="&amp;$Z$1,次果筐明细!$B$4:$B$603,"&lt;="&amp;$Z$2),2))</f>
        <v/>
      </c>
      <c r="Q68" s="30" t="str">
        <f>IF($B68="","",ROUND(SUMIFS(次果筐明细!$L$4:$L$603,次果筐明细!$C$4:$C$603,$B68,次果筐明细!$M$4:$M$603,"已收讫",次果筐明细!$B$4:$B$603,"&gt;="&amp;$Z$1,次果筐明细!$B$4:$B$603,"&lt;="&amp;$Z$2),2))</f>
        <v/>
      </c>
      <c r="R68" s="30" t="str">
        <f t="shared" ref="R68:R131" si="10">IF($B68="","",ROUND(N($P68)-N($Q68),2))</f>
        <v/>
      </c>
      <c r="S68" s="30" t="str">
        <f>IF($B68="","",ROUND(SUMIFS(次果筐明细!$J$4:$J$603,次果筐明细!$C$4:$C$603,$B68,次果筐明细!$B$4:$B$603,"&gt;="&amp;$Z$1,次果筐明细!$B$4:$B$603,"&lt;="&amp;$Z$2),2))</f>
        <v/>
      </c>
      <c r="T68" s="63" t="str">
        <f>IF($B68="","",ROUND(SUMIFS(次果筐明细!$K$4:$K$603,次果筐明细!$C$4:$C$603,$B68,次果筐明细!$B$4:$B$603,"&gt;="&amp;$Z$1,次果筐明细!$B$4:$B$603,"&lt;="&amp;$Z$2),2))</f>
        <v/>
      </c>
      <c r="U68" s="30" t="str">
        <f t="shared" ref="U68:U131" si="11">IF($B68="","",ROUND(N($S68)-N($T68),2))</f>
        <v/>
      </c>
      <c r="V68" s="42"/>
    </row>
    <row r="69" spans="1:22">
      <c r="A69" s="24" t="str">
        <f t="shared" si="6"/>
        <v/>
      </c>
      <c r="B69" s="37" t="str">
        <f>IFERROR(INDEX(_自动清单!$AY$4:$AY$203,ROW()-3),"")</f>
        <v/>
      </c>
      <c r="C69" s="39" t="str">
        <f>IF(OR($B69="",_自动清单!$AS$4=""),"",SUMIFS(次果筐明细!$G$4:$G$603,次果筐明细!$C$4:$C$603,$B69,次果筐明细!$D$4:$D$603,_自动清单!$AS$4,次果筐明细!$F$4:$F$603,"*出库*",次果筐明细!$B$4:$B$603,"&gt;="&amp;$Z$1,次果筐明细!$B$4:$B$603,"&lt;="&amp;$Z$2))</f>
        <v/>
      </c>
      <c r="D69" s="39" t="str">
        <f>IF(OR($B69="",_自动清单!$AS$5=""),"",SUMIFS(次果筐明细!$G$4:$G$603,次果筐明细!$C$4:$C$603,$B69,次果筐明细!$D$4:$D$603,_自动清单!$AS$5,次果筐明细!$F$4:$F$603,"*出库*",次果筐明细!$B$4:$B$603,"&gt;="&amp;$Z$1,次果筐明细!$B$4:$B$603,"&lt;="&amp;$Z$2))</f>
        <v/>
      </c>
      <c r="E69" s="39" t="str">
        <f>IF(OR($B69="",_自动清单!$AS$6=""),"",SUMIFS(次果筐明细!$G$4:$G$603,次果筐明细!$C$4:$C$603,$B69,次果筐明细!$D$4:$D$603,_自动清单!$AS$6,次果筐明细!$F$4:$F$603,"*出库*",次果筐明细!$B$4:$B$603,"&gt;="&amp;$Z$1,次果筐明细!$B$4:$B$603,"&lt;="&amp;$Z$2))</f>
        <v/>
      </c>
      <c r="F69" s="39" t="str">
        <f>IF(OR($B69="",_自动清单!$AS$7=""),"",SUMIFS(次果筐明细!$G$4:$G$603,次果筐明细!$C$4:$C$603,$B69,次果筐明细!$D$4:$D$603,_自动清单!$AS$7,次果筐明细!$F$4:$F$603,"*出库*",次果筐明细!$B$4:$B$603,"&gt;="&amp;$Z$1,次果筐明细!$B$4:$B$603,"&lt;="&amp;$Z$2))</f>
        <v/>
      </c>
      <c r="G69" s="39" t="str">
        <f>IF($B69="","",SUMIFS(次果筐明细!$G$4:$G$603,次果筐明细!$C$4:$C$603,$B69,次果筐明细!$F$4:$F$603,"*出库*",次果筐明细!$B$4:$B$603,"&gt;="&amp;$Z$1,次果筐明细!$B$4:$B$603,"&lt;="&amp;$Z$2)-SUM($C69:$F69))</f>
        <v/>
      </c>
      <c r="H69" s="39" t="str">
        <f t="shared" si="7"/>
        <v/>
      </c>
      <c r="I69" s="39" t="str">
        <f>IF(OR($B69="",_自动清单!$AS$4=""),"",SUMIFS(次果筐明细!$G$4:$G$603,次果筐明细!$C$4:$C$603,$B69,次果筐明细!$D$4:$D$603,_自动清单!$AS$4,次果筐明细!$F$4:$F$603,"*入库*",次果筐明细!$B$4:$B$603,"&gt;="&amp;$Z$1,次果筐明细!$B$4:$B$603,"&lt;="&amp;$Z$2))</f>
        <v/>
      </c>
      <c r="J69" s="39" t="str">
        <f>IF(OR($B69="",_自动清单!$AS$5=""),"",SUMIFS(次果筐明细!$G$4:$G$603,次果筐明细!$C$4:$C$603,$B69,次果筐明细!$D$4:$D$603,_自动清单!$AS$5,次果筐明细!$F$4:$F$603,"*入库*",次果筐明细!$B$4:$B$603,"&gt;="&amp;$Z$1,次果筐明细!$B$4:$B$603,"&lt;="&amp;$Z$2))</f>
        <v/>
      </c>
      <c r="K69" s="39" t="str">
        <f>IF(OR($B69="",_自动清单!$AS$6=""),"",SUMIFS(次果筐明细!$G$4:$G$603,次果筐明细!$C$4:$C$603,$B69,次果筐明细!$D$4:$D$603,_自动清单!$AS$6,次果筐明细!$F$4:$F$603,"*入库*",次果筐明细!$B$4:$B$603,"&gt;="&amp;$Z$1,次果筐明细!$B$4:$B$603,"&lt;="&amp;$Z$2))</f>
        <v/>
      </c>
      <c r="L69" s="39" t="str">
        <f>IF(OR($B69="",_自动清单!$AS$7=""),"",SUMIFS(次果筐明细!$G$4:$G$603,次果筐明细!$C$4:$C$603,$B69,次果筐明细!$D$4:$D$603,_自动清单!$AS$7,次果筐明细!$F$4:$F$603,"*入库*",次果筐明细!$B$4:$B$603,"&gt;="&amp;$Z$1,次果筐明细!$B$4:$B$603,"&lt;="&amp;$Z$2))</f>
        <v/>
      </c>
      <c r="M69" s="62" t="str">
        <f>IF($B69="","",SUMIFS(次果筐明细!$G$4:$G$603,次果筐明细!$C$4:$C$603,$B69,次果筐明细!$F$4:$F$603,"*入库*",次果筐明细!$B$4:$B$603,"&gt;="&amp;$Z$1,次果筐明细!$B$4:$B$603,"&lt;="&amp;$Z$2)-SUM($I69:$L69))</f>
        <v/>
      </c>
      <c r="N69" s="62" t="str">
        <f t="shared" si="8"/>
        <v/>
      </c>
      <c r="O69" s="39" t="str">
        <f t="shared" si="9"/>
        <v/>
      </c>
      <c r="P69" s="30" t="str">
        <f>IF($B69="","",ROUND(SUMIFS(次果筐明细!$L$4:$L$603,次果筐明细!$C$4:$C$603,$B69,次果筐明细!$B$4:$B$603,"&gt;="&amp;$Z$1,次果筐明细!$B$4:$B$603,"&lt;="&amp;$Z$2),2))</f>
        <v/>
      </c>
      <c r="Q69" s="30" t="str">
        <f>IF($B69="","",ROUND(SUMIFS(次果筐明细!$L$4:$L$603,次果筐明细!$C$4:$C$603,$B69,次果筐明细!$M$4:$M$603,"已收讫",次果筐明细!$B$4:$B$603,"&gt;="&amp;$Z$1,次果筐明细!$B$4:$B$603,"&lt;="&amp;$Z$2),2))</f>
        <v/>
      </c>
      <c r="R69" s="30" t="str">
        <f t="shared" si="10"/>
        <v/>
      </c>
      <c r="S69" s="30" t="str">
        <f>IF($B69="","",ROUND(SUMIFS(次果筐明细!$J$4:$J$603,次果筐明细!$C$4:$C$603,$B69,次果筐明细!$B$4:$B$603,"&gt;="&amp;$Z$1,次果筐明细!$B$4:$B$603,"&lt;="&amp;$Z$2),2))</f>
        <v/>
      </c>
      <c r="T69" s="63" t="str">
        <f>IF($B69="","",ROUND(SUMIFS(次果筐明细!$K$4:$K$603,次果筐明细!$C$4:$C$603,$B69,次果筐明细!$B$4:$B$603,"&gt;="&amp;$Z$1,次果筐明细!$B$4:$B$603,"&lt;="&amp;$Z$2),2))</f>
        <v/>
      </c>
      <c r="U69" s="30" t="str">
        <f t="shared" si="11"/>
        <v/>
      </c>
      <c r="V69" s="42"/>
    </row>
    <row r="70" spans="1:22">
      <c r="A70" s="24" t="str">
        <f t="shared" si="6"/>
        <v/>
      </c>
      <c r="B70" s="37" t="str">
        <f>IFERROR(INDEX(_自动清单!$AY$4:$AY$203,ROW()-3),"")</f>
        <v/>
      </c>
      <c r="C70" s="39" t="str">
        <f>IF(OR($B70="",_自动清单!$AS$4=""),"",SUMIFS(次果筐明细!$G$4:$G$603,次果筐明细!$C$4:$C$603,$B70,次果筐明细!$D$4:$D$603,_自动清单!$AS$4,次果筐明细!$F$4:$F$603,"*出库*",次果筐明细!$B$4:$B$603,"&gt;="&amp;$Z$1,次果筐明细!$B$4:$B$603,"&lt;="&amp;$Z$2))</f>
        <v/>
      </c>
      <c r="D70" s="39" t="str">
        <f>IF(OR($B70="",_自动清单!$AS$5=""),"",SUMIFS(次果筐明细!$G$4:$G$603,次果筐明细!$C$4:$C$603,$B70,次果筐明细!$D$4:$D$603,_自动清单!$AS$5,次果筐明细!$F$4:$F$603,"*出库*",次果筐明细!$B$4:$B$603,"&gt;="&amp;$Z$1,次果筐明细!$B$4:$B$603,"&lt;="&amp;$Z$2))</f>
        <v/>
      </c>
      <c r="E70" s="39" t="str">
        <f>IF(OR($B70="",_自动清单!$AS$6=""),"",SUMIFS(次果筐明细!$G$4:$G$603,次果筐明细!$C$4:$C$603,$B70,次果筐明细!$D$4:$D$603,_自动清单!$AS$6,次果筐明细!$F$4:$F$603,"*出库*",次果筐明细!$B$4:$B$603,"&gt;="&amp;$Z$1,次果筐明细!$B$4:$B$603,"&lt;="&amp;$Z$2))</f>
        <v/>
      </c>
      <c r="F70" s="39" t="str">
        <f>IF(OR($B70="",_自动清单!$AS$7=""),"",SUMIFS(次果筐明细!$G$4:$G$603,次果筐明细!$C$4:$C$603,$B70,次果筐明细!$D$4:$D$603,_自动清单!$AS$7,次果筐明细!$F$4:$F$603,"*出库*",次果筐明细!$B$4:$B$603,"&gt;="&amp;$Z$1,次果筐明细!$B$4:$B$603,"&lt;="&amp;$Z$2))</f>
        <v/>
      </c>
      <c r="G70" s="39" t="str">
        <f>IF($B70="","",SUMIFS(次果筐明细!$G$4:$G$603,次果筐明细!$C$4:$C$603,$B70,次果筐明细!$F$4:$F$603,"*出库*",次果筐明细!$B$4:$B$603,"&gt;="&amp;$Z$1,次果筐明细!$B$4:$B$603,"&lt;="&amp;$Z$2)-SUM($C70:$F70))</f>
        <v/>
      </c>
      <c r="H70" s="39" t="str">
        <f t="shared" si="7"/>
        <v/>
      </c>
      <c r="I70" s="39" t="str">
        <f>IF(OR($B70="",_自动清单!$AS$4=""),"",SUMIFS(次果筐明细!$G$4:$G$603,次果筐明细!$C$4:$C$603,$B70,次果筐明细!$D$4:$D$603,_自动清单!$AS$4,次果筐明细!$F$4:$F$603,"*入库*",次果筐明细!$B$4:$B$603,"&gt;="&amp;$Z$1,次果筐明细!$B$4:$B$603,"&lt;="&amp;$Z$2))</f>
        <v/>
      </c>
      <c r="J70" s="39" t="str">
        <f>IF(OR($B70="",_自动清单!$AS$5=""),"",SUMIFS(次果筐明细!$G$4:$G$603,次果筐明细!$C$4:$C$603,$B70,次果筐明细!$D$4:$D$603,_自动清单!$AS$5,次果筐明细!$F$4:$F$603,"*入库*",次果筐明细!$B$4:$B$603,"&gt;="&amp;$Z$1,次果筐明细!$B$4:$B$603,"&lt;="&amp;$Z$2))</f>
        <v/>
      </c>
      <c r="K70" s="39" t="str">
        <f>IF(OR($B70="",_自动清单!$AS$6=""),"",SUMIFS(次果筐明细!$G$4:$G$603,次果筐明细!$C$4:$C$603,$B70,次果筐明细!$D$4:$D$603,_自动清单!$AS$6,次果筐明细!$F$4:$F$603,"*入库*",次果筐明细!$B$4:$B$603,"&gt;="&amp;$Z$1,次果筐明细!$B$4:$B$603,"&lt;="&amp;$Z$2))</f>
        <v/>
      </c>
      <c r="L70" s="39" t="str">
        <f>IF(OR($B70="",_自动清单!$AS$7=""),"",SUMIFS(次果筐明细!$G$4:$G$603,次果筐明细!$C$4:$C$603,$B70,次果筐明细!$D$4:$D$603,_自动清单!$AS$7,次果筐明细!$F$4:$F$603,"*入库*",次果筐明细!$B$4:$B$603,"&gt;="&amp;$Z$1,次果筐明细!$B$4:$B$603,"&lt;="&amp;$Z$2))</f>
        <v/>
      </c>
      <c r="M70" s="62" t="str">
        <f>IF($B70="","",SUMIFS(次果筐明细!$G$4:$G$603,次果筐明细!$C$4:$C$603,$B70,次果筐明细!$F$4:$F$603,"*入库*",次果筐明细!$B$4:$B$603,"&gt;="&amp;$Z$1,次果筐明细!$B$4:$B$603,"&lt;="&amp;$Z$2)-SUM($I70:$L70))</f>
        <v/>
      </c>
      <c r="N70" s="62" t="str">
        <f t="shared" si="8"/>
        <v/>
      </c>
      <c r="O70" s="39" t="str">
        <f t="shared" si="9"/>
        <v/>
      </c>
      <c r="P70" s="30" t="str">
        <f>IF($B70="","",ROUND(SUMIFS(次果筐明细!$L$4:$L$603,次果筐明细!$C$4:$C$603,$B70,次果筐明细!$B$4:$B$603,"&gt;="&amp;$Z$1,次果筐明细!$B$4:$B$603,"&lt;="&amp;$Z$2),2))</f>
        <v/>
      </c>
      <c r="Q70" s="30" t="str">
        <f>IF($B70="","",ROUND(SUMIFS(次果筐明细!$L$4:$L$603,次果筐明细!$C$4:$C$603,$B70,次果筐明细!$M$4:$M$603,"已收讫",次果筐明细!$B$4:$B$603,"&gt;="&amp;$Z$1,次果筐明细!$B$4:$B$603,"&lt;="&amp;$Z$2),2))</f>
        <v/>
      </c>
      <c r="R70" s="30" t="str">
        <f t="shared" si="10"/>
        <v/>
      </c>
      <c r="S70" s="30" t="str">
        <f>IF($B70="","",ROUND(SUMIFS(次果筐明细!$J$4:$J$603,次果筐明细!$C$4:$C$603,$B70,次果筐明细!$B$4:$B$603,"&gt;="&amp;$Z$1,次果筐明细!$B$4:$B$603,"&lt;="&amp;$Z$2),2))</f>
        <v/>
      </c>
      <c r="T70" s="63" t="str">
        <f>IF($B70="","",ROUND(SUMIFS(次果筐明细!$K$4:$K$603,次果筐明细!$C$4:$C$603,$B70,次果筐明细!$B$4:$B$603,"&gt;="&amp;$Z$1,次果筐明细!$B$4:$B$603,"&lt;="&amp;$Z$2),2))</f>
        <v/>
      </c>
      <c r="U70" s="30" t="str">
        <f t="shared" si="11"/>
        <v/>
      </c>
      <c r="V70" s="42"/>
    </row>
    <row r="71" spans="1:22">
      <c r="A71" s="24" t="str">
        <f t="shared" si="6"/>
        <v/>
      </c>
      <c r="B71" s="37" t="str">
        <f>IFERROR(INDEX(_自动清单!$AY$4:$AY$203,ROW()-3),"")</f>
        <v/>
      </c>
      <c r="C71" s="39" t="str">
        <f>IF(OR($B71="",_自动清单!$AS$4=""),"",SUMIFS(次果筐明细!$G$4:$G$603,次果筐明细!$C$4:$C$603,$B71,次果筐明细!$D$4:$D$603,_自动清单!$AS$4,次果筐明细!$F$4:$F$603,"*出库*",次果筐明细!$B$4:$B$603,"&gt;="&amp;$Z$1,次果筐明细!$B$4:$B$603,"&lt;="&amp;$Z$2))</f>
        <v/>
      </c>
      <c r="D71" s="39" t="str">
        <f>IF(OR($B71="",_自动清单!$AS$5=""),"",SUMIFS(次果筐明细!$G$4:$G$603,次果筐明细!$C$4:$C$603,$B71,次果筐明细!$D$4:$D$603,_自动清单!$AS$5,次果筐明细!$F$4:$F$603,"*出库*",次果筐明细!$B$4:$B$603,"&gt;="&amp;$Z$1,次果筐明细!$B$4:$B$603,"&lt;="&amp;$Z$2))</f>
        <v/>
      </c>
      <c r="E71" s="39" t="str">
        <f>IF(OR($B71="",_自动清单!$AS$6=""),"",SUMIFS(次果筐明细!$G$4:$G$603,次果筐明细!$C$4:$C$603,$B71,次果筐明细!$D$4:$D$603,_自动清单!$AS$6,次果筐明细!$F$4:$F$603,"*出库*",次果筐明细!$B$4:$B$603,"&gt;="&amp;$Z$1,次果筐明细!$B$4:$B$603,"&lt;="&amp;$Z$2))</f>
        <v/>
      </c>
      <c r="F71" s="39" t="str">
        <f>IF(OR($B71="",_自动清单!$AS$7=""),"",SUMIFS(次果筐明细!$G$4:$G$603,次果筐明细!$C$4:$C$603,$B71,次果筐明细!$D$4:$D$603,_自动清单!$AS$7,次果筐明细!$F$4:$F$603,"*出库*",次果筐明细!$B$4:$B$603,"&gt;="&amp;$Z$1,次果筐明细!$B$4:$B$603,"&lt;="&amp;$Z$2))</f>
        <v/>
      </c>
      <c r="G71" s="39" t="str">
        <f>IF($B71="","",SUMIFS(次果筐明细!$G$4:$G$603,次果筐明细!$C$4:$C$603,$B71,次果筐明细!$F$4:$F$603,"*出库*",次果筐明细!$B$4:$B$603,"&gt;="&amp;$Z$1,次果筐明细!$B$4:$B$603,"&lt;="&amp;$Z$2)-SUM($C71:$F71))</f>
        <v/>
      </c>
      <c r="H71" s="39" t="str">
        <f t="shared" si="7"/>
        <v/>
      </c>
      <c r="I71" s="39" t="str">
        <f>IF(OR($B71="",_自动清单!$AS$4=""),"",SUMIFS(次果筐明细!$G$4:$G$603,次果筐明细!$C$4:$C$603,$B71,次果筐明细!$D$4:$D$603,_自动清单!$AS$4,次果筐明细!$F$4:$F$603,"*入库*",次果筐明细!$B$4:$B$603,"&gt;="&amp;$Z$1,次果筐明细!$B$4:$B$603,"&lt;="&amp;$Z$2))</f>
        <v/>
      </c>
      <c r="J71" s="39" t="str">
        <f>IF(OR($B71="",_自动清单!$AS$5=""),"",SUMIFS(次果筐明细!$G$4:$G$603,次果筐明细!$C$4:$C$603,$B71,次果筐明细!$D$4:$D$603,_自动清单!$AS$5,次果筐明细!$F$4:$F$603,"*入库*",次果筐明细!$B$4:$B$603,"&gt;="&amp;$Z$1,次果筐明细!$B$4:$B$603,"&lt;="&amp;$Z$2))</f>
        <v/>
      </c>
      <c r="K71" s="39" t="str">
        <f>IF(OR($B71="",_自动清单!$AS$6=""),"",SUMIFS(次果筐明细!$G$4:$G$603,次果筐明细!$C$4:$C$603,$B71,次果筐明细!$D$4:$D$603,_自动清单!$AS$6,次果筐明细!$F$4:$F$603,"*入库*",次果筐明细!$B$4:$B$603,"&gt;="&amp;$Z$1,次果筐明细!$B$4:$B$603,"&lt;="&amp;$Z$2))</f>
        <v/>
      </c>
      <c r="L71" s="39" t="str">
        <f>IF(OR($B71="",_自动清单!$AS$7=""),"",SUMIFS(次果筐明细!$G$4:$G$603,次果筐明细!$C$4:$C$603,$B71,次果筐明细!$D$4:$D$603,_自动清单!$AS$7,次果筐明细!$F$4:$F$603,"*入库*",次果筐明细!$B$4:$B$603,"&gt;="&amp;$Z$1,次果筐明细!$B$4:$B$603,"&lt;="&amp;$Z$2))</f>
        <v/>
      </c>
      <c r="M71" s="62" t="str">
        <f>IF($B71="","",SUMIFS(次果筐明细!$G$4:$G$603,次果筐明细!$C$4:$C$603,$B71,次果筐明细!$F$4:$F$603,"*入库*",次果筐明细!$B$4:$B$603,"&gt;="&amp;$Z$1,次果筐明细!$B$4:$B$603,"&lt;="&amp;$Z$2)-SUM($I71:$L71))</f>
        <v/>
      </c>
      <c r="N71" s="62" t="str">
        <f t="shared" si="8"/>
        <v/>
      </c>
      <c r="O71" s="39" t="str">
        <f t="shared" si="9"/>
        <v/>
      </c>
      <c r="P71" s="30" t="str">
        <f>IF($B71="","",ROUND(SUMIFS(次果筐明细!$L$4:$L$603,次果筐明细!$C$4:$C$603,$B71,次果筐明细!$B$4:$B$603,"&gt;="&amp;$Z$1,次果筐明细!$B$4:$B$603,"&lt;="&amp;$Z$2),2))</f>
        <v/>
      </c>
      <c r="Q71" s="30" t="str">
        <f>IF($B71="","",ROUND(SUMIFS(次果筐明细!$L$4:$L$603,次果筐明细!$C$4:$C$603,$B71,次果筐明细!$M$4:$M$603,"已收讫",次果筐明细!$B$4:$B$603,"&gt;="&amp;$Z$1,次果筐明细!$B$4:$B$603,"&lt;="&amp;$Z$2),2))</f>
        <v/>
      </c>
      <c r="R71" s="30" t="str">
        <f t="shared" si="10"/>
        <v/>
      </c>
      <c r="S71" s="30" t="str">
        <f>IF($B71="","",ROUND(SUMIFS(次果筐明细!$J$4:$J$603,次果筐明细!$C$4:$C$603,$B71,次果筐明细!$B$4:$B$603,"&gt;="&amp;$Z$1,次果筐明细!$B$4:$B$603,"&lt;="&amp;$Z$2),2))</f>
        <v/>
      </c>
      <c r="T71" s="63" t="str">
        <f>IF($B71="","",ROUND(SUMIFS(次果筐明细!$K$4:$K$603,次果筐明细!$C$4:$C$603,$B71,次果筐明细!$B$4:$B$603,"&gt;="&amp;$Z$1,次果筐明细!$B$4:$B$603,"&lt;="&amp;$Z$2),2))</f>
        <v/>
      </c>
      <c r="U71" s="30" t="str">
        <f t="shared" si="11"/>
        <v/>
      </c>
      <c r="V71" s="42"/>
    </row>
    <row r="72" spans="1:22">
      <c r="A72" s="24" t="str">
        <f t="shared" si="6"/>
        <v/>
      </c>
      <c r="B72" s="37" t="str">
        <f>IFERROR(INDEX(_自动清单!$AY$4:$AY$203,ROW()-3),"")</f>
        <v/>
      </c>
      <c r="C72" s="39" t="str">
        <f>IF(OR($B72="",_自动清单!$AS$4=""),"",SUMIFS(次果筐明细!$G$4:$G$603,次果筐明细!$C$4:$C$603,$B72,次果筐明细!$D$4:$D$603,_自动清单!$AS$4,次果筐明细!$F$4:$F$603,"*出库*",次果筐明细!$B$4:$B$603,"&gt;="&amp;$Z$1,次果筐明细!$B$4:$B$603,"&lt;="&amp;$Z$2))</f>
        <v/>
      </c>
      <c r="D72" s="39" t="str">
        <f>IF(OR($B72="",_自动清单!$AS$5=""),"",SUMIFS(次果筐明细!$G$4:$G$603,次果筐明细!$C$4:$C$603,$B72,次果筐明细!$D$4:$D$603,_自动清单!$AS$5,次果筐明细!$F$4:$F$603,"*出库*",次果筐明细!$B$4:$B$603,"&gt;="&amp;$Z$1,次果筐明细!$B$4:$B$603,"&lt;="&amp;$Z$2))</f>
        <v/>
      </c>
      <c r="E72" s="39" t="str">
        <f>IF(OR($B72="",_自动清单!$AS$6=""),"",SUMIFS(次果筐明细!$G$4:$G$603,次果筐明细!$C$4:$C$603,$B72,次果筐明细!$D$4:$D$603,_自动清单!$AS$6,次果筐明细!$F$4:$F$603,"*出库*",次果筐明细!$B$4:$B$603,"&gt;="&amp;$Z$1,次果筐明细!$B$4:$B$603,"&lt;="&amp;$Z$2))</f>
        <v/>
      </c>
      <c r="F72" s="39" t="str">
        <f>IF(OR($B72="",_自动清单!$AS$7=""),"",SUMIFS(次果筐明细!$G$4:$G$603,次果筐明细!$C$4:$C$603,$B72,次果筐明细!$D$4:$D$603,_自动清单!$AS$7,次果筐明细!$F$4:$F$603,"*出库*",次果筐明细!$B$4:$B$603,"&gt;="&amp;$Z$1,次果筐明细!$B$4:$B$603,"&lt;="&amp;$Z$2))</f>
        <v/>
      </c>
      <c r="G72" s="39" t="str">
        <f>IF($B72="","",SUMIFS(次果筐明细!$G$4:$G$603,次果筐明细!$C$4:$C$603,$B72,次果筐明细!$F$4:$F$603,"*出库*",次果筐明细!$B$4:$B$603,"&gt;="&amp;$Z$1,次果筐明细!$B$4:$B$603,"&lt;="&amp;$Z$2)-SUM($C72:$F72))</f>
        <v/>
      </c>
      <c r="H72" s="39" t="str">
        <f t="shared" si="7"/>
        <v/>
      </c>
      <c r="I72" s="39" t="str">
        <f>IF(OR($B72="",_自动清单!$AS$4=""),"",SUMIFS(次果筐明细!$G$4:$G$603,次果筐明细!$C$4:$C$603,$B72,次果筐明细!$D$4:$D$603,_自动清单!$AS$4,次果筐明细!$F$4:$F$603,"*入库*",次果筐明细!$B$4:$B$603,"&gt;="&amp;$Z$1,次果筐明细!$B$4:$B$603,"&lt;="&amp;$Z$2))</f>
        <v/>
      </c>
      <c r="J72" s="39" t="str">
        <f>IF(OR($B72="",_自动清单!$AS$5=""),"",SUMIFS(次果筐明细!$G$4:$G$603,次果筐明细!$C$4:$C$603,$B72,次果筐明细!$D$4:$D$603,_自动清单!$AS$5,次果筐明细!$F$4:$F$603,"*入库*",次果筐明细!$B$4:$B$603,"&gt;="&amp;$Z$1,次果筐明细!$B$4:$B$603,"&lt;="&amp;$Z$2))</f>
        <v/>
      </c>
      <c r="K72" s="39" t="str">
        <f>IF(OR($B72="",_自动清单!$AS$6=""),"",SUMIFS(次果筐明细!$G$4:$G$603,次果筐明细!$C$4:$C$603,$B72,次果筐明细!$D$4:$D$603,_自动清单!$AS$6,次果筐明细!$F$4:$F$603,"*入库*",次果筐明细!$B$4:$B$603,"&gt;="&amp;$Z$1,次果筐明细!$B$4:$B$603,"&lt;="&amp;$Z$2))</f>
        <v/>
      </c>
      <c r="L72" s="39" t="str">
        <f>IF(OR($B72="",_自动清单!$AS$7=""),"",SUMIFS(次果筐明细!$G$4:$G$603,次果筐明细!$C$4:$C$603,$B72,次果筐明细!$D$4:$D$603,_自动清单!$AS$7,次果筐明细!$F$4:$F$603,"*入库*",次果筐明细!$B$4:$B$603,"&gt;="&amp;$Z$1,次果筐明细!$B$4:$B$603,"&lt;="&amp;$Z$2))</f>
        <v/>
      </c>
      <c r="M72" s="62" t="str">
        <f>IF($B72="","",SUMIFS(次果筐明细!$G$4:$G$603,次果筐明细!$C$4:$C$603,$B72,次果筐明细!$F$4:$F$603,"*入库*",次果筐明细!$B$4:$B$603,"&gt;="&amp;$Z$1,次果筐明细!$B$4:$B$603,"&lt;="&amp;$Z$2)-SUM($I72:$L72))</f>
        <v/>
      </c>
      <c r="N72" s="62" t="str">
        <f t="shared" si="8"/>
        <v/>
      </c>
      <c r="O72" s="39" t="str">
        <f t="shared" si="9"/>
        <v/>
      </c>
      <c r="P72" s="30" t="str">
        <f>IF($B72="","",ROUND(SUMIFS(次果筐明细!$L$4:$L$603,次果筐明细!$C$4:$C$603,$B72,次果筐明细!$B$4:$B$603,"&gt;="&amp;$Z$1,次果筐明细!$B$4:$B$603,"&lt;="&amp;$Z$2),2))</f>
        <v/>
      </c>
      <c r="Q72" s="30" t="str">
        <f>IF($B72="","",ROUND(SUMIFS(次果筐明细!$L$4:$L$603,次果筐明细!$C$4:$C$603,$B72,次果筐明细!$M$4:$M$603,"已收讫",次果筐明细!$B$4:$B$603,"&gt;="&amp;$Z$1,次果筐明细!$B$4:$B$603,"&lt;="&amp;$Z$2),2))</f>
        <v/>
      </c>
      <c r="R72" s="30" t="str">
        <f t="shared" si="10"/>
        <v/>
      </c>
      <c r="S72" s="30" t="str">
        <f>IF($B72="","",ROUND(SUMIFS(次果筐明细!$J$4:$J$603,次果筐明细!$C$4:$C$603,$B72,次果筐明细!$B$4:$B$603,"&gt;="&amp;$Z$1,次果筐明细!$B$4:$B$603,"&lt;="&amp;$Z$2),2))</f>
        <v/>
      </c>
      <c r="T72" s="63" t="str">
        <f>IF($B72="","",ROUND(SUMIFS(次果筐明细!$K$4:$K$603,次果筐明细!$C$4:$C$603,$B72,次果筐明细!$B$4:$B$603,"&gt;="&amp;$Z$1,次果筐明细!$B$4:$B$603,"&lt;="&amp;$Z$2),2))</f>
        <v/>
      </c>
      <c r="U72" s="30" t="str">
        <f t="shared" si="11"/>
        <v/>
      </c>
      <c r="V72" s="42"/>
    </row>
    <row r="73" spans="1:22">
      <c r="A73" s="24" t="str">
        <f t="shared" si="6"/>
        <v/>
      </c>
      <c r="B73" s="37" t="str">
        <f>IFERROR(INDEX(_自动清单!$AY$4:$AY$203,ROW()-3),"")</f>
        <v/>
      </c>
      <c r="C73" s="39" t="str">
        <f>IF(OR($B73="",_自动清单!$AS$4=""),"",SUMIFS(次果筐明细!$G$4:$G$603,次果筐明细!$C$4:$C$603,$B73,次果筐明细!$D$4:$D$603,_自动清单!$AS$4,次果筐明细!$F$4:$F$603,"*出库*",次果筐明细!$B$4:$B$603,"&gt;="&amp;$Z$1,次果筐明细!$B$4:$B$603,"&lt;="&amp;$Z$2))</f>
        <v/>
      </c>
      <c r="D73" s="39" t="str">
        <f>IF(OR($B73="",_自动清单!$AS$5=""),"",SUMIFS(次果筐明细!$G$4:$G$603,次果筐明细!$C$4:$C$603,$B73,次果筐明细!$D$4:$D$603,_自动清单!$AS$5,次果筐明细!$F$4:$F$603,"*出库*",次果筐明细!$B$4:$B$603,"&gt;="&amp;$Z$1,次果筐明细!$B$4:$B$603,"&lt;="&amp;$Z$2))</f>
        <v/>
      </c>
      <c r="E73" s="39" t="str">
        <f>IF(OR($B73="",_自动清单!$AS$6=""),"",SUMIFS(次果筐明细!$G$4:$G$603,次果筐明细!$C$4:$C$603,$B73,次果筐明细!$D$4:$D$603,_自动清单!$AS$6,次果筐明细!$F$4:$F$603,"*出库*",次果筐明细!$B$4:$B$603,"&gt;="&amp;$Z$1,次果筐明细!$B$4:$B$603,"&lt;="&amp;$Z$2))</f>
        <v/>
      </c>
      <c r="F73" s="39" t="str">
        <f>IF(OR($B73="",_自动清单!$AS$7=""),"",SUMIFS(次果筐明细!$G$4:$G$603,次果筐明细!$C$4:$C$603,$B73,次果筐明细!$D$4:$D$603,_自动清单!$AS$7,次果筐明细!$F$4:$F$603,"*出库*",次果筐明细!$B$4:$B$603,"&gt;="&amp;$Z$1,次果筐明细!$B$4:$B$603,"&lt;="&amp;$Z$2))</f>
        <v/>
      </c>
      <c r="G73" s="39" t="str">
        <f>IF($B73="","",SUMIFS(次果筐明细!$G$4:$G$603,次果筐明细!$C$4:$C$603,$B73,次果筐明细!$F$4:$F$603,"*出库*",次果筐明细!$B$4:$B$603,"&gt;="&amp;$Z$1,次果筐明细!$B$4:$B$603,"&lt;="&amp;$Z$2)-SUM($C73:$F73))</f>
        <v/>
      </c>
      <c r="H73" s="39" t="str">
        <f t="shared" si="7"/>
        <v/>
      </c>
      <c r="I73" s="39" t="str">
        <f>IF(OR($B73="",_自动清单!$AS$4=""),"",SUMIFS(次果筐明细!$G$4:$G$603,次果筐明细!$C$4:$C$603,$B73,次果筐明细!$D$4:$D$603,_自动清单!$AS$4,次果筐明细!$F$4:$F$603,"*入库*",次果筐明细!$B$4:$B$603,"&gt;="&amp;$Z$1,次果筐明细!$B$4:$B$603,"&lt;="&amp;$Z$2))</f>
        <v/>
      </c>
      <c r="J73" s="39" t="str">
        <f>IF(OR($B73="",_自动清单!$AS$5=""),"",SUMIFS(次果筐明细!$G$4:$G$603,次果筐明细!$C$4:$C$603,$B73,次果筐明细!$D$4:$D$603,_自动清单!$AS$5,次果筐明细!$F$4:$F$603,"*入库*",次果筐明细!$B$4:$B$603,"&gt;="&amp;$Z$1,次果筐明细!$B$4:$B$603,"&lt;="&amp;$Z$2))</f>
        <v/>
      </c>
      <c r="K73" s="39" t="str">
        <f>IF(OR($B73="",_自动清单!$AS$6=""),"",SUMIFS(次果筐明细!$G$4:$G$603,次果筐明细!$C$4:$C$603,$B73,次果筐明细!$D$4:$D$603,_自动清单!$AS$6,次果筐明细!$F$4:$F$603,"*入库*",次果筐明细!$B$4:$B$603,"&gt;="&amp;$Z$1,次果筐明细!$B$4:$B$603,"&lt;="&amp;$Z$2))</f>
        <v/>
      </c>
      <c r="L73" s="39" t="str">
        <f>IF(OR($B73="",_自动清单!$AS$7=""),"",SUMIFS(次果筐明细!$G$4:$G$603,次果筐明细!$C$4:$C$603,$B73,次果筐明细!$D$4:$D$603,_自动清单!$AS$7,次果筐明细!$F$4:$F$603,"*入库*",次果筐明细!$B$4:$B$603,"&gt;="&amp;$Z$1,次果筐明细!$B$4:$B$603,"&lt;="&amp;$Z$2))</f>
        <v/>
      </c>
      <c r="M73" s="62" t="str">
        <f>IF($B73="","",SUMIFS(次果筐明细!$G$4:$G$603,次果筐明细!$C$4:$C$603,$B73,次果筐明细!$F$4:$F$603,"*入库*",次果筐明细!$B$4:$B$603,"&gt;="&amp;$Z$1,次果筐明细!$B$4:$B$603,"&lt;="&amp;$Z$2)-SUM($I73:$L73))</f>
        <v/>
      </c>
      <c r="N73" s="62" t="str">
        <f t="shared" si="8"/>
        <v/>
      </c>
      <c r="O73" s="39" t="str">
        <f t="shared" si="9"/>
        <v/>
      </c>
      <c r="P73" s="30" t="str">
        <f>IF($B73="","",ROUND(SUMIFS(次果筐明细!$L$4:$L$603,次果筐明细!$C$4:$C$603,$B73,次果筐明细!$B$4:$B$603,"&gt;="&amp;$Z$1,次果筐明细!$B$4:$B$603,"&lt;="&amp;$Z$2),2))</f>
        <v/>
      </c>
      <c r="Q73" s="30" t="str">
        <f>IF($B73="","",ROUND(SUMIFS(次果筐明细!$L$4:$L$603,次果筐明细!$C$4:$C$603,$B73,次果筐明细!$M$4:$M$603,"已收讫",次果筐明细!$B$4:$B$603,"&gt;="&amp;$Z$1,次果筐明细!$B$4:$B$603,"&lt;="&amp;$Z$2),2))</f>
        <v/>
      </c>
      <c r="R73" s="30" t="str">
        <f t="shared" si="10"/>
        <v/>
      </c>
      <c r="S73" s="30" t="str">
        <f>IF($B73="","",ROUND(SUMIFS(次果筐明细!$J$4:$J$603,次果筐明细!$C$4:$C$603,$B73,次果筐明细!$B$4:$B$603,"&gt;="&amp;$Z$1,次果筐明细!$B$4:$B$603,"&lt;="&amp;$Z$2),2))</f>
        <v/>
      </c>
      <c r="T73" s="63" t="str">
        <f>IF($B73="","",ROUND(SUMIFS(次果筐明细!$K$4:$K$603,次果筐明细!$C$4:$C$603,$B73,次果筐明细!$B$4:$B$603,"&gt;="&amp;$Z$1,次果筐明细!$B$4:$B$603,"&lt;="&amp;$Z$2),2))</f>
        <v/>
      </c>
      <c r="U73" s="30" t="str">
        <f t="shared" si="11"/>
        <v/>
      </c>
      <c r="V73" s="42"/>
    </row>
    <row r="74" spans="1:22">
      <c r="A74" s="24" t="str">
        <f t="shared" si="6"/>
        <v/>
      </c>
      <c r="B74" s="37" t="str">
        <f>IFERROR(INDEX(_自动清单!$AY$4:$AY$203,ROW()-3),"")</f>
        <v/>
      </c>
      <c r="C74" s="39" t="str">
        <f>IF(OR($B74="",_自动清单!$AS$4=""),"",SUMIFS(次果筐明细!$G$4:$G$603,次果筐明细!$C$4:$C$603,$B74,次果筐明细!$D$4:$D$603,_自动清单!$AS$4,次果筐明细!$F$4:$F$603,"*出库*",次果筐明细!$B$4:$B$603,"&gt;="&amp;$Z$1,次果筐明细!$B$4:$B$603,"&lt;="&amp;$Z$2))</f>
        <v/>
      </c>
      <c r="D74" s="39" t="str">
        <f>IF(OR($B74="",_自动清单!$AS$5=""),"",SUMIFS(次果筐明细!$G$4:$G$603,次果筐明细!$C$4:$C$603,$B74,次果筐明细!$D$4:$D$603,_自动清单!$AS$5,次果筐明细!$F$4:$F$603,"*出库*",次果筐明细!$B$4:$B$603,"&gt;="&amp;$Z$1,次果筐明细!$B$4:$B$603,"&lt;="&amp;$Z$2))</f>
        <v/>
      </c>
      <c r="E74" s="39" t="str">
        <f>IF(OR($B74="",_自动清单!$AS$6=""),"",SUMIFS(次果筐明细!$G$4:$G$603,次果筐明细!$C$4:$C$603,$B74,次果筐明细!$D$4:$D$603,_自动清单!$AS$6,次果筐明细!$F$4:$F$603,"*出库*",次果筐明细!$B$4:$B$603,"&gt;="&amp;$Z$1,次果筐明细!$B$4:$B$603,"&lt;="&amp;$Z$2))</f>
        <v/>
      </c>
      <c r="F74" s="39" t="str">
        <f>IF(OR($B74="",_自动清单!$AS$7=""),"",SUMIFS(次果筐明细!$G$4:$G$603,次果筐明细!$C$4:$C$603,$B74,次果筐明细!$D$4:$D$603,_自动清单!$AS$7,次果筐明细!$F$4:$F$603,"*出库*",次果筐明细!$B$4:$B$603,"&gt;="&amp;$Z$1,次果筐明细!$B$4:$B$603,"&lt;="&amp;$Z$2))</f>
        <v/>
      </c>
      <c r="G74" s="39" t="str">
        <f>IF($B74="","",SUMIFS(次果筐明细!$G$4:$G$603,次果筐明细!$C$4:$C$603,$B74,次果筐明细!$F$4:$F$603,"*出库*",次果筐明细!$B$4:$B$603,"&gt;="&amp;$Z$1,次果筐明细!$B$4:$B$603,"&lt;="&amp;$Z$2)-SUM($C74:$F74))</f>
        <v/>
      </c>
      <c r="H74" s="39" t="str">
        <f t="shared" si="7"/>
        <v/>
      </c>
      <c r="I74" s="39" t="str">
        <f>IF(OR($B74="",_自动清单!$AS$4=""),"",SUMIFS(次果筐明细!$G$4:$G$603,次果筐明细!$C$4:$C$603,$B74,次果筐明细!$D$4:$D$603,_自动清单!$AS$4,次果筐明细!$F$4:$F$603,"*入库*",次果筐明细!$B$4:$B$603,"&gt;="&amp;$Z$1,次果筐明细!$B$4:$B$603,"&lt;="&amp;$Z$2))</f>
        <v/>
      </c>
      <c r="J74" s="39" t="str">
        <f>IF(OR($B74="",_自动清单!$AS$5=""),"",SUMIFS(次果筐明细!$G$4:$G$603,次果筐明细!$C$4:$C$603,$B74,次果筐明细!$D$4:$D$603,_自动清单!$AS$5,次果筐明细!$F$4:$F$603,"*入库*",次果筐明细!$B$4:$B$603,"&gt;="&amp;$Z$1,次果筐明细!$B$4:$B$603,"&lt;="&amp;$Z$2))</f>
        <v/>
      </c>
      <c r="K74" s="39" t="str">
        <f>IF(OR($B74="",_自动清单!$AS$6=""),"",SUMIFS(次果筐明细!$G$4:$G$603,次果筐明细!$C$4:$C$603,$B74,次果筐明细!$D$4:$D$603,_自动清单!$AS$6,次果筐明细!$F$4:$F$603,"*入库*",次果筐明细!$B$4:$B$603,"&gt;="&amp;$Z$1,次果筐明细!$B$4:$B$603,"&lt;="&amp;$Z$2))</f>
        <v/>
      </c>
      <c r="L74" s="39" t="str">
        <f>IF(OR($B74="",_自动清单!$AS$7=""),"",SUMIFS(次果筐明细!$G$4:$G$603,次果筐明细!$C$4:$C$603,$B74,次果筐明细!$D$4:$D$603,_自动清单!$AS$7,次果筐明细!$F$4:$F$603,"*入库*",次果筐明细!$B$4:$B$603,"&gt;="&amp;$Z$1,次果筐明细!$B$4:$B$603,"&lt;="&amp;$Z$2))</f>
        <v/>
      </c>
      <c r="M74" s="62" t="str">
        <f>IF($B74="","",SUMIFS(次果筐明细!$G$4:$G$603,次果筐明细!$C$4:$C$603,$B74,次果筐明细!$F$4:$F$603,"*入库*",次果筐明细!$B$4:$B$603,"&gt;="&amp;$Z$1,次果筐明细!$B$4:$B$603,"&lt;="&amp;$Z$2)-SUM($I74:$L74))</f>
        <v/>
      </c>
      <c r="N74" s="62" t="str">
        <f t="shared" si="8"/>
        <v/>
      </c>
      <c r="O74" s="39" t="str">
        <f t="shared" si="9"/>
        <v/>
      </c>
      <c r="P74" s="30" t="str">
        <f>IF($B74="","",ROUND(SUMIFS(次果筐明细!$L$4:$L$603,次果筐明细!$C$4:$C$603,$B74,次果筐明细!$B$4:$B$603,"&gt;="&amp;$Z$1,次果筐明细!$B$4:$B$603,"&lt;="&amp;$Z$2),2))</f>
        <v/>
      </c>
      <c r="Q74" s="30" t="str">
        <f>IF($B74="","",ROUND(SUMIFS(次果筐明细!$L$4:$L$603,次果筐明细!$C$4:$C$603,$B74,次果筐明细!$M$4:$M$603,"已收讫",次果筐明细!$B$4:$B$603,"&gt;="&amp;$Z$1,次果筐明细!$B$4:$B$603,"&lt;="&amp;$Z$2),2))</f>
        <v/>
      </c>
      <c r="R74" s="30" t="str">
        <f t="shared" si="10"/>
        <v/>
      </c>
      <c r="S74" s="30" t="str">
        <f>IF($B74="","",ROUND(SUMIFS(次果筐明细!$J$4:$J$603,次果筐明细!$C$4:$C$603,$B74,次果筐明细!$B$4:$B$603,"&gt;="&amp;$Z$1,次果筐明细!$B$4:$B$603,"&lt;="&amp;$Z$2),2))</f>
        <v/>
      </c>
      <c r="T74" s="63" t="str">
        <f>IF($B74="","",ROUND(SUMIFS(次果筐明细!$K$4:$K$603,次果筐明细!$C$4:$C$603,$B74,次果筐明细!$B$4:$B$603,"&gt;="&amp;$Z$1,次果筐明细!$B$4:$B$603,"&lt;="&amp;$Z$2),2))</f>
        <v/>
      </c>
      <c r="U74" s="30" t="str">
        <f t="shared" si="11"/>
        <v/>
      </c>
      <c r="V74" s="42"/>
    </row>
    <row r="75" spans="1:22">
      <c r="A75" s="24" t="str">
        <f t="shared" si="6"/>
        <v/>
      </c>
      <c r="B75" s="37" t="str">
        <f>IFERROR(INDEX(_自动清单!$AY$4:$AY$203,ROW()-3),"")</f>
        <v/>
      </c>
      <c r="C75" s="39" t="str">
        <f>IF(OR($B75="",_自动清单!$AS$4=""),"",SUMIFS(次果筐明细!$G$4:$G$603,次果筐明细!$C$4:$C$603,$B75,次果筐明细!$D$4:$D$603,_自动清单!$AS$4,次果筐明细!$F$4:$F$603,"*出库*",次果筐明细!$B$4:$B$603,"&gt;="&amp;$Z$1,次果筐明细!$B$4:$B$603,"&lt;="&amp;$Z$2))</f>
        <v/>
      </c>
      <c r="D75" s="39" t="str">
        <f>IF(OR($B75="",_自动清单!$AS$5=""),"",SUMIFS(次果筐明细!$G$4:$G$603,次果筐明细!$C$4:$C$603,$B75,次果筐明细!$D$4:$D$603,_自动清单!$AS$5,次果筐明细!$F$4:$F$603,"*出库*",次果筐明细!$B$4:$B$603,"&gt;="&amp;$Z$1,次果筐明细!$B$4:$B$603,"&lt;="&amp;$Z$2))</f>
        <v/>
      </c>
      <c r="E75" s="39" t="str">
        <f>IF(OR($B75="",_自动清单!$AS$6=""),"",SUMIFS(次果筐明细!$G$4:$G$603,次果筐明细!$C$4:$C$603,$B75,次果筐明细!$D$4:$D$603,_自动清单!$AS$6,次果筐明细!$F$4:$F$603,"*出库*",次果筐明细!$B$4:$B$603,"&gt;="&amp;$Z$1,次果筐明细!$B$4:$B$603,"&lt;="&amp;$Z$2))</f>
        <v/>
      </c>
      <c r="F75" s="39" t="str">
        <f>IF(OR($B75="",_自动清单!$AS$7=""),"",SUMIFS(次果筐明细!$G$4:$G$603,次果筐明细!$C$4:$C$603,$B75,次果筐明细!$D$4:$D$603,_自动清单!$AS$7,次果筐明细!$F$4:$F$603,"*出库*",次果筐明细!$B$4:$B$603,"&gt;="&amp;$Z$1,次果筐明细!$B$4:$B$603,"&lt;="&amp;$Z$2))</f>
        <v/>
      </c>
      <c r="G75" s="39" t="str">
        <f>IF($B75="","",SUMIFS(次果筐明细!$G$4:$G$603,次果筐明细!$C$4:$C$603,$B75,次果筐明细!$F$4:$F$603,"*出库*",次果筐明细!$B$4:$B$603,"&gt;="&amp;$Z$1,次果筐明细!$B$4:$B$603,"&lt;="&amp;$Z$2)-SUM($C75:$F75))</f>
        <v/>
      </c>
      <c r="H75" s="39" t="str">
        <f t="shared" si="7"/>
        <v/>
      </c>
      <c r="I75" s="39" t="str">
        <f>IF(OR($B75="",_自动清单!$AS$4=""),"",SUMIFS(次果筐明细!$G$4:$G$603,次果筐明细!$C$4:$C$603,$B75,次果筐明细!$D$4:$D$603,_自动清单!$AS$4,次果筐明细!$F$4:$F$603,"*入库*",次果筐明细!$B$4:$B$603,"&gt;="&amp;$Z$1,次果筐明细!$B$4:$B$603,"&lt;="&amp;$Z$2))</f>
        <v/>
      </c>
      <c r="J75" s="39" t="str">
        <f>IF(OR($B75="",_自动清单!$AS$5=""),"",SUMIFS(次果筐明细!$G$4:$G$603,次果筐明细!$C$4:$C$603,$B75,次果筐明细!$D$4:$D$603,_自动清单!$AS$5,次果筐明细!$F$4:$F$603,"*入库*",次果筐明细!$B$4:$B$603,"&gt;="&amp;$Z$1,次果筐明细!$B$4:$B$603,"&lt;="&amp;$Z$2))</f>
        <v/>
      </c>
      <c r="K75" s="39" t="str">
        <f>IF(OR($B75="",_自动清单!$AS$6=""),"",SUMIFS(次果筐明细!$G$4:$G$603,次果筐明细!$C$4:$C$603,$B75,次果筐明细!$D$4:$D$603,_自动清单!$AS$6,次果筐明细!$F$4:$F$603,"*入库*",次果筐明细!$B$4:$B$603,"&gt;="&amp;$Z$1,次果筐明细!$B$4:$B$603,"&lt;="&amp;$Z$2))</f>
        <v/>
      </c>
      <c r="L75" s="39" t="str">
        <f>IF(OR($B75="",_自动清单!$AS$7=""),"",SUMIFS(次果筐明细!$G$4:$G$603,次果筐明细!$C$4:$C$603,$B75,次果筐明细!$D$4:$D$603,_自动清单!$AS$7,次果筐明细!$F$4:$F$603,"*入库*",次果筐明细!$B$4:$B$603,"&gt;="&amp;$Z$1,次果筐明细!$B$4:$B$603,"&lt;="&amp;$Z$2))</f>
        <v/>
      </c>
      <c r="M75" s="62" t="str">
        <f>IF($B75="","",SUMIFS(次果筐明细!$G$4:$G$603,次果筐明细!$C$4:$C$603,$B75,次果筐明细!$F$4:$F$603,"*入库*",次果筐明细!$B$4:$B$603,"&gt;="&amp;$Z$1,次果筐明细!$B$4:$B$603,"&lt;="&amp;$Z$2)-SUM($I75:$L75))</f>
        <v/>
      </c>
      <c r="N75" s="62" t="str">
        <f t="shared" si="8"/>
        <v/>
      </c>
      <c r="O75" s="39" t="str">
        <f t="shared" si="9"/>
        <v/>
      </c>
      <c r="P75" s="30" t="str">
        <f>IF($B75="","",ROUND(SUMIFS(次果筐明细!$L$4:$L$603,次果筐明细!$C$4:$C$603,$B75,次果筐明细!$B$4:$B$603,"&gt;="&amp;$Z$1,次果筐明细!$B$4:$B$603,"&lt;="&amp;$Z$2),2))</f>
        <v/>
      </c>
      <c r="Q75" s="30" t="str">
        <f>IF($B75="","",ROUND(SUMIFS(次果筐明细!$L$4:$L$603,次果筐明细!$C$4:$C$603,$B75,次果筐明细!$M$4:$M$603,"已收讫",次果筐明细!$B$4:$B$603,"&gt;="&amp;$Z$1,次果筐明细!$B$4:$B$603,"&lt;="&amp;$Z$2),2))</f>
        <v/>
      </c>
      <c r="R75" s="30" t="str">
        <f t="shared" si="10"/>
        <v/>
      </c>
      <c r="S75" s="30" t="str">
        <f>IF($B75="","",ROUND(SUMIFS(次果筐明细!$J$4:$J$603,次果筐明细!$C$4:$C$603,$B75,次果筐明细!$B$4:$B$603,"&gt;="&amp;$Z$1,次果筐明细!$B$4:$B$603,"&lt;="&amp;$Z$2),2))</f>
        <v/>
      </c>
      <c r="T75" s="63" t="str">
        <f>IF($B75="","",ROUND(SUMIFS(次果筐明细!$K$4:$K$603,次果筐明细!$C$4:$C$603,$B75,次果筐明细!$B$4:$B$603,"&gt;="&amp;$Z$1,次果筐明细!$B$4:$B$603,"&lt;="&amp;$Z$2),2))</f>
        <v/>
      </c>
      <c r="U75" s="30" t="str">
        <f t="shared" si="11"/>
        <v/>
      </c>
      <c r="V75" s="42"/>
    </row>
    <row r="76" spans="1:22">
      <c r="A76" s="24" t="str">
        <f t="shared" si="6"/>
        <v/>
      </c>
      <c r="B76" s="37" t="str">
        <f>IFERROR(INDEX(_自动清单!$AY$4:$AY$203,ROW()-3),"")</f>
        <v/>
      </c>
      <c r="C76" s="39" t="str">
        <f>IF(OR($B76="",_自动清单!$AS$4=""),"",SUMIFS(次果筐明细!$G$4:$G$603,次果筐明细!$C$4:$C$603,$B76,次果筐明细!$D$4:$D$603,_自动清单!$AS$4,次果筐明细!$F$4:$F$603,"*出库*",次果筐明细!$B$4:$B$603,"&gt;="&amp;$Z$1,次果筐明细!$B$4:$B$603,"&lt;="&amp;$Z$2))</f>
        <v/>
      </c>
      <c r="D76" s="39" t="str">
        <f>IF(OR($B76="",_自动清单!$AS$5=""),"",SUMIFS(次果筐明细!$G$4:$G$603,次果筐明细!$C$4:$C$603,$B76,次果筐明细!$D$4:$D$603,_自动清单!$AS$5,次果筐明细!$F$4:$F$603,"*出库*",次果筐明细!$B$4:$B$603,"&gt;="&amp;$Z$1,次果筐明细!$B$4:$B$603,"&lt;="&amp;$Z$2))</f>
        <v/>
      </c>
      <c r="E76" s="39" t="str">
        <f>IF(OR($B76="",_自动清单!$AS$6=""),"",SUMIFS(次果筐明细!$G$4:$G$603,次果筐明细!$C$4:$C$603,$B76,次果筐明细!$D$4:$D$603,_自动清单!$AS$6,次果筐明细!$F$4:$F$603,"*出库*",次果筐明细!$B$4:$B$603,"&gt;="&amp;$Z$1,次果筐明细!$B$4:$B$603,"&lt;="&amp;$Z$2))</f>
        <v/>
      </c>
      <c r="F76" s="39" t="str">
        <f>IF(OR($B76="",_自动清单!$AS$7=""),"",SUMIFS(次果筐明细!$G$4:$G$603,次果筐明细!$C$4:$C$603,$B76,次果筐明细!$D$4:$D$603,_自动清单!$AS$7,次果筐明细!$F$4:$F$603,"*出库*",次果筐明细!$B$4:$B$603,"&gt;="&amp;$Z$1,次果筐明细!$B$4:$B$603,"&lt;="&amp;$Z$2))</f>
        <v/>
      </c>
      <c r="G76" s="39" t="str">
        <f>IF($B76="","",SUMIFS(次果筐明细!$G$4:$G$603,次果筐明细!$C$4:$C$603,$B76,次果筐明细!$F$4:$F$603,"*出库*",次果筐明细!$B$4:$B$603,"&gt;="&amp;$Z$1,次果筐明细!$B$4:$B$603,"&lt;="&amp;$Z$2)-SUM($C76:$F76))</f>
        <v/>
      </c>
      <c r="H76" s="39" t="str">
        <f t="shared" si="7"/>
        <v/>
      </c>
      <c r="I76" s="39" t="str">
        <f>IF(OR($B76="",_自动清单!$AS$4=""),"",SUMIFS(次果筐明细!$G$4:$G$603,次果筐明细!$C$4:$C$603,$B76,次果筐明细!$D$4:$D$603,_自动清单!$AS$4,次果筐明细!$F$4:$F$603,"*入库*",次果筐明细!$B$4:$B$603,"&gt;="&amp;$Z$1,次果筐明细!$B$4:$B$603,"&lt;="&amp;$Z$2))</f>
        <v/>
      </c>
      <c r="J76" s="39" t="str">
        <f>IF(OR($B76="",_自动清单!$AS$5=""),"",SUMIFS(次果筐明细!$G$4:$G$603,次果筐明细!$C$4:$C$603,$B76,次果筐明细!$D$4:$D$603,_自动清单!$AS$5,次果筐明细!$F$4:$F$603,"*入库*",次果筐明细!$B$4:$B$603,"&gt;="&amp;$Z$1,次果筐明细!$B$4:$B$603,"&lt;="&amp;$Z$2))</f>
        <v/>
      </c>
      <c r="K76" s="39" t="str">
        <f>IF(OR($B76="",_自动清单!$AS$6=""),"",SUMIFS(次果筐明细!$G$4:$G$603,次果筐明细!$C$4:$C$603,$B76,次果筐明细!$D$4:$D$603,_自动清单!$AS$6,次果筐明细!$F$4:$F$603,"*入库*",次果筐明细!$B$4:$B$603,"&gt;="&amp;$Z$1,次果筐明细!$B$4:$B$603,"&lt;="&amp;$Z$2))</f>
        <v/>
      </c>
      <c r="L76" s="39" t="str">
        <f>IF(OR($B76="",_自动清单!$AS$7=""),"",SUMIFS(次果筐明细!$G$4:$G$603,次果筐明细!$C$4:$C$603,$B76,次果筐明细!$D$4:$D$603,_自动清单!$AS$7,次果筐明细!$F$4:$F$603,"*入库*",次果筐明细!$B$4:$B$603,"&gt;="&amp;$Z$1,次果筐明细!$B$4:$B$603,"&lt;="&amp;$Z$2))</f>
        <v/>
      </c>
      <c r="M76" s="62" t="str">
        <f>IF($B76="","",SUMIFS(次果筐明细!$G$4:$G$603,次果筐明细!$C$4:$C$603,$B76,次果筐明细!$F$4:$F$603,"*入库*",次果筐明细!$B$4:$B$603,"&gt;="&amp;$Z$1,次果筐明细!$B$4:$B$603,"&lt;="&amp;$Z$2)-SUM($I76:$L76))</f>
        <v/>
      </c>
      <c r="N76" s="62" t="str">
        <f t="shared" si="8"/>
        <v/>
      </c>
      <c r="O76" s="39" t="str">
        <f t="shared" si="9"/>
        <v/>
      </c>
      <c r="P76" s="30" t="str">
        <f>IF($B76="","",ROUND(SUMIFS(次果筐明细!$L$4:$L$603,次果筐明细!$C$4:$C$603,$B76,次果筐明细!$B$4:$B$603,"&gt;="&amp;$Z$1,次果筐明细!$B$4:$B$603,"&lt;="&amp;$Z$2),2))</f>
        <v/>
      </c>
      <c r="Q76" s="30" t="str">
        <f>IF($B76="","",ROUND(SUMIFS(次果筐明细!$L$4:$L$603,次果筐明细!$C$4:$C$603,$B76,次果筐明细!$M$4:$M$603,"已收讫",次果筐明细!$B$4:$B$603,"&gt;="&amp;$Z$1,次果筐明细!$B$4:$B$603,"&lt;="&amp;$Z$2),2))</f>
        <v/>
      </c>
      <c r="R76" s="30" t="str">
        <f t="shared" si="10"/>
        <v/>
      </c>
      <c r="S76" s="30" t="str">
        <f>IF($B76="","",ROUND(SUMIFS(次果筐明细!$J$4:$J$603,次果筐明细!$C$4:$C$603,$B76,次果筐明细!$B$4:$B$603,"&gt;="&amp;$Z$1,次果筐明细!$B$4:$B$603,"&lt;="&amp;$Z$2),2))</f>
        <v/>
      </c>
      <c r="T76" s="63" t="str">
        <f>IF($B76="","",ROUND(SUMIFS(次果筐明细!$K$4:$K$603,次果筐明细!$C$4:$C$603,$B76,次果筐明细!$B$4:$B$603,"&gt;="&amp;$Z$1,次果筐明细!$B$4:$B$603,"&lt;="&amp;$Z$2),2))</f>
        <v/>
      </c>
      <c r="U76" s="30" t="str">
        <f t="shared" si="11"/>
        <v/>
      </c>
      <c r="V76" s="42"/>
    </row>
    <row r="77" spans="1:22">
      <c r="A77" s="24" t="str">
        <f t="shared" si="6"/>
        <v/>
      </c>
      <c r="B77" s="37" t="str">
        <f>IFERROR(INDEX(_自动清单!$AY$4:$AY$203,ROW()-3),"")</f>
        <v/>
      </c>
      <c r="C77" s="39" t="str">
        <f>IF(OR($B77="",_自动清单!$AS$4=""),"",SUMIFS(次果筐明细!$G$4:$G$603,次果筐明细!$C$4:$C$603,$B77,次果筐明细!$D$4:$D$603,_自动清单!$AS$4,次果筐明细!$F$4:$F$603,"*出库*",次果筐明细!$B$4:$B$603,"&gt;="&amp;$Z$1,次果筐明细!$B$4:$B$603,"&lt;="&amp;$Z$2))</f>
        <v/>
      </c>
      <c r="D77" s="39" t="str">
        <f>IF(OR($B77="",_自动清单!$AS$5=""),"",SUMIFS(次果筐明细!$G$4:$G$603,次果筐明细!$C$4:$C$603,$B77,次果筐明细!$D$4:$D$603,_自动清单!$AS$5,次果筐明细!$F$4:$F$603,"*出库*",次果筐明细!$B$4:$B$603,"&gt;="&amp;$Z$1,次果筐明细!$B$4:$B$603,"&lt;="&amp;$Z$2))</f>
        <v/>
      </c>
      <c r="E77" s="39" t="str">
        <f>IF(OR($B77="",_自动清单!$AS$6=""),"",SUMIFS(次果筐明细!$G$4:$G$603,次果筐明细!$C$4:$C$603,$B77,次果筐明细!$D$4:$D$603,_自动清单!$AS$6,次果筐明细!$F$4:$F$603,"*出库*",次果筐明细!$B$4:$B$603,"&gt;="&amp;$Z$1,次果筐明细!$B$4:$B$603,"&lt;="&amp;$Z$2))</f>
        <v/>
      </c>
      <c r="F77" s="39" t="str">
        <f>IF(OR($B77="",_自动清单!$AS$7=""),"",SUMIFS(次果筐明细!$G$4:$G$603,次果筐明细!$C$4:$C$603,$B77,次果筐明细!$D$4:$D$603,_自动清单!$AS$7,次果筐明细!$F$4:$F$603,"*出库*",次果筐明细!$B$4:$B$603,"&gt;="&amp;$Z$1,次果筐明细!$B$4:$B$603,"&lt;="&amp;$Z$2))</f>
        <v/>
      </c>
      <c r="G77" s="39" t="str">
        <f>IF($B77="","",SUMIFS(次果筐明细!$G$4:$G$603,次果筐明细!$C$4:$C$603,$B77,次果筐明细!$F$4:$F$603,"*出库*",次果筐明细!$B$4:$B$603,"&gt;="&amp;$Z$1,次果筐明细!$B$4:$B$603,"&lt;="&amp;$Z$2)-SUM($C77:$F77))</f>
        <v/>
      </c>
      <c r="H77" s="39" t="str">
        <f t="shared" si="7"/>
        <v/>
      </c>
      <c r="I77" s="39" t="str">
        <f>IF(OR($B77="",_自动清单!$AS$4=""),"",SUMIFS(次果筐明细!$G$4:$G$603,次果筐明细!$C$4:$C$603,$B77,次果筐明细!$D$4:$D$603,_自动清单!$AS$4,次果筐明细!$F$4:$F$603,"*入库*",次果筐明细!$B$4:$B$603,"&gt;="&amp;$Z$1,次果筐明细!$B$4:$B$603,"&lt;="&amp;$Z$2))</f>
        <v/>
      </c>
      <c r="J77" s="39" t="str">
        <f>IF(OR($B77="",_自动清单!$AS$5=""),"",SUMIFS(次果筐明细!$G$4:$G$603,次果筐明细!$C$4:$C$603,$B77,次果筐明细!$D$4:$D$603,_自动清单!$AS$5,次果筐明细!$F$4:$F$603,"*入库*",次果筐明细!$B$4:$B$603,"&gt;="&amp;$Z$1,次果筐明细!$B$4:$B$603,"&lt;="&amp;$Z$2))</f>
        <v/>
      </c>
      <c r="K77" s="39" t="str">
        <f>IF(OR($B77="",_自动清单!$AS$6=""),"",SUMIFS(次果筐明细!$G$4:$G$603,次果筐明细!$C$4:$C$603,$B77,次果筐明细!$D$4:$D$603,_自动清单!$AS$6,次果筐明细!$F$4:$F$603,"*入库*",次果筐明细!$B$4:$B$603,"&gt;="&amp;$Z$1,次果筐明细!$B$4:$B$603,"&lt;="&amp;$Z$2))</f>
        <v/>
      </c>
      <c r="L77" s="39" t="str">
        <f>IF(OR($B77="",_自动清单!$AS$7=""),"",SUMIFS(次果筐明细!$G$4:$G$603,次果筐明细!$C$4:$C$603,$B77,次果筐明细!$D$4:$D$603,_自动清单!$AS$7,次果筐明细!$F$4:$F$603,"*入库*",次果筐明细!$B$4:$B$603,"&gt;="&amp;$Z$1,次果筐明细!$B$4:$B$603,"&lt;="&amp;$Z$2))</f>
        <v/>
      </c>
      <c r="M77" s="62" t="str">
        <f>IF($B77="","",SUMIFS(次果筐明细!$G$4:$G$603,次果筐明细!$C$4:$C$603,$B77,次果筐明细!$F$4:$F$603,"*入库*",次果筐明细!$B$4:$B$603,"&gt;="&amp;$Z$1,次果筐明细!$B$4:$B$603,"&lt;="&amp;$Z$2)-SUM($I77:$L77))</f>
        <v/>
      </c>
      <c r="N77" s="62" t="str">
        <f t="shared" si="8"/>
        <v/>
      </c>
      <c r="O77" s="39" t="str">
        <f t="shared" si="9"/>
        <v/>
      </c>
      <c r="P77" s="30" t="str">
        <f>IF($B77="","",ROUND(SUMIFS(次果筐明细!$L$4:$L$603,次果筐明细!$C$4:$C$603,$B77,次果筐明细!$B$4:$B$603,"&gt;="&amp;$Z$1,次果筐明细!$B$4:$B$603,"&lt;="&amp;$Z$2),2))</f>
        <v/>
      </c>
      <c r="Q77" s="30" t="str">
        <f>IF($B77="","",ROUND(SUMIFS(次果筐明细!$L$4:$L$603,次果筐明细!$C$4:$C$603,$B77,次果筐明细!$M$4:$M$603,"已收讫",次果筐明细!$B$4:$B$603,"&gt;="&amp;$Z$1,次果筐明细!$B$4:$B$603,"&lt;="&amp;$Z$2),2))</f>
        <v/>
      </c>
      <c r="R77" s="30" t="str">
        <f t="shared" si="10"/>
        <v/>
      </c>
      <c r="S77" s="30" t="str">
        <f>IF($B77="","",ROUND(SUMIFS(次果筐明细!$J$4:$J$603,次果筐明细!$C$4:$C$603,$B77,次果筐明细!$B$4:$B$603,"&gt;="&amp;$Z$1,次果筐明细!$B$4:$B$603,"&lt;="&amp;$Z$2),2))</f>
        <v/>
      </c>
      <c r="T77" s="63" t="str">
        <f>IF($B77="","",ROUND(SUMIFS(次果筐明细!$K$4:$K$603,次果筐明细!$C$4:$C$603,$B77,次果筐明细!$B$4:$B$603,"&gt;="&amp;$Z$1,次果筐明细!$B$4:$B$603,"&lt;="&amp;$Z$2),2))</f>
        <v/>
      </c>
      <c r="U77" s="30" t="str">
        <f t="shared" si="11"/>
        <v/>
      </c>
      <c r="V77" s="42"/>
    </row>
    <row r="78" spans="1:22">
      <c r="A78" s="24" t="str">
        <f t="shared" si="6"/>
        <v/>
      </c>
      <c r="B78" s="37" t="str">
        <f>IFERROR(INDEX(_自动清单!$AY$4:$AY$203,ROW()-3),"")</f>
        <v/>
      </c>
      <c r="C78" s="39" t="str">
        <f>IF(OR($B78="",_自动清单!$AS$4=""),"",SUMIFS(次果筐明细!$G$4:$G$603,次果筐明细!$C$4:$C$603,$B78,次果筐明细!$D$4:$D$603,_自动清单!$AS$4,次果筐明细!$F$4:$F$603,"*出库*",次果筐明细!$B$4:$B$603,"&gt;="&amp;$Z$1,次果筐明细!$B$4:$B$603,"&lt;="&amp;$Z$2))</f>
        <v/>
      </c>
      <c r="D78" s="39" t="str">
        <f>IF(OR($B78="",_自动清单!$AS$5=""),"",SUMIFS(次果筐明细!$G$4:$G$603,次果筐明细!$C$4:$C$603,$B78,次果筐明细!$D$4:$D$603,_自动清单!$AS$5,次果筐明细!$F$4:$F$603,"*出库*",次果筐明细!$B$4:$B$603,"&gt;="&amp;$Z$1,次果筐明细!$B$4:$B$603,"&lt;="&amp;$Z$2))</f>
        <v/>
      </c>
      <c r="E78" s="39" t="str">
        <f>IF(OR($B78="",_自动清单!$AS$6=""),"",SUMIFS(次果筐明细!$G$4:$G$603,次果筐明细!$C$4:$C$603,$B78,次果筐明细!$D$4:$D$603,_自动清单!$AS$6,次果筐明细!$F$4:$F$603,"*出库*",次果筐明细!$B$4:$B$603,"&gt;="&amp;$Z$1,次果筐明细!$B$4:$B$603,"&lt;="&amp;$Z$2))</f>
        <v/>
      </c>
      <c r="F78" s="39" t="str">
        <f>IF(OR($B78="",_自动清单!$AS$7=""),"",SUMIFS(次果筐明细!$G$4:$G$603,次果筐明细!$C$4:$C$603,$B78,次果筐明细!$D$4:$D$603,_自动清单!$AS$7,次果筐明细!$F$4:$F$603,"*出库*",次果筐明细!$B$4:$B$603,"&gt;="&amp;$Z$1,次果筐明细!$B$4:$B$603,"&lt;="&amp;$Z$2))</f>
        <v/>
      </c>
      <c r="G78" s="39" t="str">
        <f>IF($B78="","",SUMIFS(次果筐明细!$G$4:$G$603,次果筐明细!$C$4:$C$603,$B78,次果筐明细!$F$4:$F$603,"*出库*",次果筐明细!$B$4:$B$603,"&gt;="&amp;$Z$1,次果筐明细!$B$4:$B$603,"&lt;="&amp;$Z$2)-SUM($C78:$F78))</f>
        <v/>
      </c>
      <c r="H78" s="39" t="str">
        <f t="shared" si="7"/>
        <v/>
      </c>
      <c r="I78" s="39" t="str">
        <f>IF(OR($B78="",_自动清单!$AS$4=""),"",SUMIFS(次果筐明细!$G$4:$G$603,次果筐明细!$C$4:$C$603,$B78,次果筐明细!$D$4:$D$603,_自动清单!$AS$4,次果筐明细!$F$4:$F$603,"*入库*",次果筐明细!$B$4:$B$603,"&gt;="&amp;$Z$1,次果筐明细!$B$4:$B$603,"&lt;="&amp;$Z$2))</f>
        <v/>
      </c>
      <c r="J78" s="39" t="str">
        <f>IF(OR($B78="",_自动清单!$AS$5=""),"",SUMIFS(次果筐明细!$G$4:$G$603,次果筐明细!$C$4:$C$603,$B78,次果筐明细!$D$4:$D$603,_自动清单!$AS$5,次果筐明细!$F$4:$F$603,"*入库*",次果筐明细!$B$4:$B$603,"&gt;="&amp;$Z$1,次果筐明细!$B$4:$B$603,"&lt;="&amp;$Z$2))</f>
        <v/>
      </c>
      <c r="K78" s="39" t="str">
        <f>IF(OR($B78="",_自动清单!$AS$6=""),"",SUMIFS(次果筐明细!$G$4:$G$603,次果筐明细!$C$4:$C$603,$B78,次果筐明细!$D$4:$D$603,_自动清单!$AS$6,次果筐明细!$F$4:$F$603,"*入库*",次果筐明细!$B$4:$B$603,"&gt;="&amp;$Z$1,次果筐明细!$B$4:$B$603,"&lt;="&amp;$Z$2))</f>
        <v/>
      </c>
      <c r="L78" s="39" t="str">
        <f>IF(OR($B78="",_自动清单!$AS$7=""),"",SUMIFS(次果筐明细!$G$4:$G$603,次果筐明细!$C$4:$C$603,$B78,次果筐明细!$D$4:$D$603,_自动清单!$AS$7,次果筐明细!$F$4:$F$603,"*入库*",次果筐明细!$B$4:$B$603,"&gt;="&amp;$Z$1,次果筐明细!$B$4:$B$603,"&lt;="&amp;$Z$2))</f>
        <v/>
      </c>
      <c r="M78" s="62" t="str">
        <f>IF($B78="","",SUMIFS(次果筐明细!$G$4:$G$603,次果筐明细!$C$4:$C$603,$B78,次果筐明细!$F$4:$F$603,"*入库*",次果筐明细!$B$4:$B$603,"&gt;="&amp;$Z$1,次果筐明细!$B$4:$B$603,"&lt;="&amp;$Z$2)-SUM($I78:$L78))</f>
        <v/>
      </c>
      <c r="N78" s="62" t="str">
        <f t="shared" si="8"/>
        <v/>
      </c>
      <c r="O78" s="39" t="str">
        <f t="shared" si="9"/>
        <v/>
      </c>
      <c r="P78" s="30" t="str">
        <f>IF($B78="","",ROUND(SUMIFS(次果筐明细!$L$4:$L$603,次果筐明细!$C$4:$C$603,$B78,次果筐明细!$B$4:$B$603,"&gt;="&amp;$Z$1,次果筐明细!$B$4:$B$603,"&lt;="&amp;$Z$2),2))</f>
        <v/>
      </c>
      <c r="Q78" s="30" t="str">
        <f>IF($B78="","",ROUND(SUMIFS(次果筐明细!$L$4:$L$603,次果筐明细!$C$4:$C$603,$B78,次果筐明细!$M$4:$M$603,"已收讫",次果筐明细!$B$4:$B$603,"&gt;="&amp;$Z$1,次果筐明细!$B$4:$B$603,"&lt;="&amp;$Z$2),2))</f>
        <v/>
      </c>
      <c r="R78" s="30" t="str">
        <f t="shared" si="10"/>
        <v/>
      </c>
      <c r="S78" s="30" t="str">
        <f>IF($B78="","",ROUND(SUMIFS(次果筐明细!$J$4:$J$603,次果筐明细!$C$4:$C$603,$B78,次果筐明细!$B$4:$B$603,"&gt;="&amp;$Z$1,次果筐明细!$B$4:$B$603,"&lt;="&amp;$Z$2),2))</f>
        <v/>
      </c>
      <c r="T78" s="63" t="str">
        <f>IF($B78="","",ROUND(SUMIFS(次果筐明细!$K$4:$K$603,次果筐明细!$C$4:$C$603,$B78,次果筐明细!$B$4:$B$603,"&gt;="&amp;$Z$1,次果筐明细!$B$4:$B$603,"&lt;="&amp;$Z$2),2))</f>
        <v/>
      </c>
      <c r="U78" s="30" t="str">
        <f t="shared" si="11"/>
        <v/>
      </c>
      <c r="V78" s="42"/>
    </row>
    <row r="79" spans="1:22">
      <c r="A79" s="24" t="str">
        <f t="shared" si="6"/>
        <v/>
      </c>
      <c r="B79" s="37" t="str">
        <f>IFERROR(INDEX(_自动清单!$AY$4:$AY$203,ROW()-3),"")</f>
        <v/>
      </c>
      <c r="C79" s="39" t="str">
        <f>IF(OR($B79="",_自动清单!$AS$4=""),"",SUMIFS(次果筐明细!$G$4:$G$603,次果筐明细!$C$4:$C$603,$B79,次果筐明细!$D$4:$D$603,_自动清单!$AS$4,次果筐明细!$F$4:$F$603,"*出库*",次果筐明细!$B$4:$B$603,"&gt;="&amp;$Z$1,次果筐明细!$B$4:$B$603,"&lt;="&amp;$Z$2))</f>
        <v/>
      </c>
      <c r="D79" s="39" t="str">
        <f>IF(OR($B79="",_自动清单!$AS$5=""),"",SUMIFS(次果筐明细!$G$4:$G$603,次果筐明细!$C$4:$C$603,$B79,次果筐明细!$D$4:$D$603,_自动清单!$AS$5,次果筐明细!$F$4:$F$603,"*出库*",次果筐明细!$B$4:$B$603,"&gt;="&amp;$Z$1,次果筐明细!$B$4:$B$603,"&lt;="&amp;$Z$2))</f>
        <v/>
      </c>
      <c r="E79" s="39" t="str">
        <f>IF(OR($B79="",_自动清单!$AS$6=""),"",SUMIFS(次果筐明细!$G$4:$G$603,次果筐明细!$C$4:$C$603,$B79,次果筐明细!$D$4:$D$603,_自动清单!$AS$6,次果筐明细!$F$4:$F$603,"*出库*",次果筐明细!$B$4:$B$603,"&gt;="&amp;$Z$1,次果筐明细!$B$4:$B$603,"&lt;="&amp;$Z$2))</f>
        <v/>
      </c>
      <c r="F79" s="39" t="str">
        <f>IF(OR($B79="",_自动清单!$AS$7=""),"",SUMIFS(次果筐明细!$G$4:$G$603,次果筐明细!$C$4:$C$603,$B79,次果筐明细!$D$4:$D$603,_自动清单!$AS$7,次果筐明细!$F$4:$F$603,"*出库*",次果筐明细!$B$4:$B$603,"&gt;="&amp;$Z$1,次果筐明细!$B$4:$B$603,"&lt;="&amp;$Z$2))</f>
        <v/>
      </c>
      <c r="G79" s="39" t="str">
        <f>IF($B79="","",SUMIFS(次果筐明细!$G$4:$G$603,次果筐明细!$C$4:$C$603,$B79,次果筐明细!$F$4:$F$603,"*出库*",次果筐明细!$B$4:$B$603,"&gt;="&amp;$Z$1,次果筐明细!$B$4:$B$603,"&lt;="&amp;$Z$2)-SUM($C79:$F79))</f>
        <v/>
      </c>
      <c r="H79" s="39" t="str">
        <f t="shared" si="7"/>
        <v/>
      </c>
      <c r="I79" s="39" t="str">
        <f>IF(OR($B79="",_自动清单!$AS$4=""),"",SUMIFS(次果筐明细!$G$4:$G$603,次果筐明细!$C$4:$C$603,$B79,次果筐明细!$D$4:$D$603,_自动清单!$AS$4,次果筐明细!$F$4:$F$603,"*入库*",次果筐明细!$B$4:$B$603,"&gt;="&amp;$Z$1,次果筐明细!$B$4:$B$603,"&lt;="&amp;$Z$2))</f>
        <v/>
      </c>
      <c r="J79" s="39" t="str">
        <f>IF(OR($B79="",_自动清单!$AS$5=""),"",SUMIFS(次果筐明细!$G$4:$G$603,次果筐明细!$C$4:$C$603,$B79,次果筐明细!$D$4:$D$603,_自动清单!$AS$5,次果筐明细!$F$4:$F$603,"*入库*",次果筐明细!$B$4:$B$603,"&gt;="&amp;$Z$1,次果筐明细!$B$4:$B$603,"&lt;="&amp;$Z$2))</f>
        <v/>
      </c>
      <c r="K79" s="39" t="str">
        <f>IF(OR($B79="",_自动清单!$AS$6=""),"",SUMIFS(次果筐明细!$G$4:$G$603,次果筐明细!$C$4:$C$603,$B79,次果筐明细!$D$4:$D$603,_自动清单!$AS$6,次果筐明细!$F$4:$F$603,"*入库*",次果筐明细!$B$4:$B$603,"&gt;="&amp;$Z$1,次果筐明细!$B$4:$B$603,"&lt;="&amp;$Z$2))</f>
        <v/>
      </c>
      <c r="L79" s="39" t="str">
        <f>IF(OR($B79="",_自动清单!$AS$7=""),"",SUMIFS(次果筐明细!$G$4:$G$603,次果筐明细!$C$4:$C$603,$B79,次果筐明细!$D$4:$D$603,_自动清单!$AS$7,次果筐明细!$F$4:$F$603,"*入库*",次果筐明细!$B$4:$B$603,"&gt;="&amp;$Z$1,次果筐明细!$B$4:$B$603,"&lt;="&amp;$Z$2))</f>
        <v/>
      </c>
      <c r="M79" s="62" t="str">
        <f>IF($B79="","",SUMIFS(次果筐明细!$G$4:$G$603,次果筐明细!$C$4:$C$603,$B79,次果筐明细!$F$4:$F$603,"*入库*",次果筐明细!$B$4:$B$603,"&gt;="&amp;$Z$1,次果筐明细!$B$4:$B$603,"&lt;="&amp;$Z$2)-SUM($I79:$L79))</f>
        <v/>
      </c>
      <c r="N79" s="62" t="str">
        <f t="shared" si="8"/>
        <v/>
      </c>
      <c r="O79" s="39" t="str">
        <f t="shared" si="9"/>
        <v/>
      </c>
      <c r="P79" s="30" t="str">
        <f>IF($B79="","",ROUND(SUMIFS(次果筐明细!$L$4:$L$603,次果筐明细!$C$4:$C$603,$B79,次果筐明细!$B$4:$B$603,"&gt;="&amp;$Z$1,次果筐明细!$B$4:$B$603,"&lt;="&amp;$Z$2),2))</f>
        <v/>
      </c>
      <c r="Q79" s="30" t="str">
        <f>IF($B79="","",ROUND(SUMIFS(次果筐明细!$L$4:$L$603,次果筐明细!$C$4:$C$603,$B79,次果筐明细!$M$4:$M$603,"已收讫",次果筐明细!$B$4:$B$603,"&gt;="&amp;$Z$1,次果筐明细!$B$4:$B$603,"&lt;="&amp;$Z$2),2))</f>
        <v/>
      </c>
      <c r="R79" s="30" t="str">
        <f t="shared" si="10"/>
        <v/>
      </c>
      <c r="S79" s="30" t="str">
        <f>IF($B79="","",ROUND(SUMIFS(次果筐明细!$J$4:$J$603,次果筐明细!$C$4:$C$603,$B79,次果筐明细!$B$4:$B$603,"&gt;="&amp;$Z$1,次果筐明细!$B$4:$B$603,"&lt;="&amp;$Z$2),2))</f>
        <v/>
      </c>
      <c r="T79" s="63" t="str">
        <f>IF($B79="","",ROUND(SUMIFS(次果筐明细!$K$4:$K$603,次果筐明细!$C$4:$C$603,$B79,次果筐明细!$B$4:$B$603,"&gt;="&amp;$Z$1,次果筐明细!$B$4:$B$603,"&lt;="&amp;$Z$2),2))</f>
        <v/>
      </c>
      <c r="U79" s="30" t="str">
        <f t="shared" si="11"/>
        <v/>
      </c>
      <c r="V79" s="42"/>
    </row>
    <row r="80" spans="1:22">
      <c r="A80" s="24" t="str">
        <f t="shared" si="6"/>
        <v/>
      </c>
      <c r="B80" s="37" t="str">
        <f>IFERROR(INDEX(_自动清单!$AY$4:$AY$203,ROW()-3),"")</f>
        <v/>
      </c>
      <c r="C80" s="39" t="str">
        <f>IF(OR($B80="",_自动清单!$AS$4=""),"",SUMIFS(次果筐明细!$G$4:$G$603,次果筐明细!$C$4:$C$603,$B80,次果筐明细!$D$4:$D$603,_自动清单!$AS$4,次果筐明细!$F$4:$F$603,"*出库*",次果筐明细!$B$4:$B$603,"&gt;="&amp;$Z$1,次果筐明细!$B$4:$B$603,"&lt;="&amp;$Z$2))</f>
        <v/>
      </c>
      <c r="D80" s="39" t="str">
        <f>IF(OR($B80="",_自动清单!$AS$5=""),"",SUMIFS(次果筐明细!$G$4:$G$603,次果筐明细!$C$4:$C$603,$B80,次果筐明细!$D$4:$D$603,_自动清单!$AS$5,次果筐明细!$F$4:$F$603,"*出库*",次果筐明细!$B$4:$B$603,"&gt;="&amp;$Z$1,次果筐明细!$B$4:$B$603,"&lt;="&amp;$Z$2))</f>
        <v/>
      </c>
      <c r="E80" s="39" t="str">
        <f>IF(OR($B80="",_自动清单!$AS$6=""),"",SUMIFS(次果筐明细!$G$4:$G$603,次果筐明细!$C$4:$C$603,$B80,次果筐明细!$D$4:$D$603,_自动清单!$AS$6,次果筐明细!$F$4:$F$603,"*出库*",次果筐明细!$B$4:$B$603,"&gt;="&amp;$Z$1,次果筐明细!$B$4:$B$603,"&lt;="&amp;$Z$2))</f>
        <v/>
      </c>
      <c r="F80" s="39" t="str">
        <f>IF(OR($B80="",_自动清单!$AS$7=""),"",SUMIFS(次果筐明细!$G$4:$G$603,次果筐明细!$C$4:$C$603,$B80,次果筐明细!$D$4:$D$603,_自动清单!$AS$7,次果筐明细!$F$4:$F$603,"*出库*",次果筐明细!$B$4:$B$603,"&gt;="&amp;$Z$1,次果筐明细!$B$4:$B$603,"&lt;="&amp;$Z$2))</f>
        <v/>
      </c>
      <c r="G80" s="39" t="str">
        <f>IF($B80="","",SUMIFS(次果筐明细!$G$4:$G$603,次果筐明细!$C$4:$C$603,$B80,次果筐明细!$F$4:$F$603,"*出库*",次果筐明细!$B$4:$B$603,"&gt;="&amp;$Z$1,次果筐明细!$B$4:$B$603,"&lt;="&amp;$Z$2)-SUM($C80:$F80))</f>
        <v/>
      </c>
      <c r="H80" s="39" t="str">
        <f t="shared" si="7"/>
        <v/>
      </c>
      <c r="I80" s="39" t="str">
        <f>IF(OR($B80="",_自动清单!$AS$4=""),"",SUMIFS(次果筐明细!$G$4:$G$603,次果筐明细!$C$4:$C$603,$B80,次果筐明细!$D$4:$D$603,_自动清单!$AS$4,次果筐明细!$F$4:$F$603,"*入库*",次果筐明细!$B$4:$B$603,"&gt;="&amp;$Z$1,次果筐明细!$B$4:$B$603,"&lt;="&amp;$Z$2))</f>
        <v/>
      </c>
      <c r="J80" s="39" t="str">
        <f>IF(OR($B80="",_自动清单!$AS$5=""),"",SUMIFS(次果筐明细!$G$4:$G$603,次果筐明细!$C$4:$C$603,$B80,次果筐明细!$D$4:$D$603,_自动清单!$AS$5,次果筐明细!$F$4:$F$603,"*入库*",次果筐明细!$B$4:$B$603,"&gt;="&amp;$Z$1,次果筐明细!$B$4:$B$603,"&lt;="&amp;$Z$2))</f>
        <v/>
      </c>
      <c r="K80" s="39" t="str">
        <f>IF(OR($B80="",_自动清单!$AS$6=""),"",SUMIFS(次果筐明细!$G$4:$G$603,次果筐明细!$C$4:$C$603,$B80,次果筐明细!$D$4:$D$603,_自动清单!$AS$6,次果筐明细!$F$4:$F$603,"*入库*",次果筐明细!$B$4:$B$603,"&gt;="&amp;$Z$1,次果筐明细!$B$4:$B$603,"&lt;="&amp;$Z$2))</f>
        <v/>
      </c>
      <c r="L80" s="39" t="str">
        <f>IF(OR($B80="",_自动清单!$AS$7=""),"",SUMIFS(次果筐明细!$G$4:$G$603,次果筐明细!$C$4:$C$603,$B80,次果筐明细!$D$4:$D$603,_自动清单!$AS$7,次果筐明细!$F$4:$F$603,"*入库*",次果筐明细!$B$4:$B$603,"&gt;="&amp;$Z$1,次果筐明细!$B$4:$B$603,"&lt;="&amp;$Z$2))</f>
        <v/>
      </c>
      <c r="M80" s="62" t="str">
        <f>IF($B80="","",SUMIFS(次果筐明细!$G$4:$G$603,次果筐明细!$C$4:$C$603,$B80,次果筐明细!$F$4:$F$603,"*入库*",次果筐明细!$B$4:$B$603,"&gt;="&amp;$Z$1,次果筐明细!$B$4:$B$603,"&lt;="&amp;$Z$2)-SUM($I80:$L80))</f>
        <v/>
      </c>
      <c r="N80" s="62" t="str">
        <f t="shared" si="8"/>
        <v/>
      </c>
      <c r="O80" s="39" t="str">
        <f t="shared" si="9"/>
        <v/>
      </c>
      <c r="P80" s="30" t="str">
        <f>IF($B80="","",ROUND(SUMIFS(次果筐明细!$L$4:$L$603,次果筐明细!$C$4:$C$603,$B80,次果筐明细!$B$4:$B$603,"&gt;="&amp;$Z$1,次果筐明细!$B$4:$B$603,"&lt;="&amp;$Z$2),2))</f>
        <v/>
      </c>
      <c r="Q80" s="30" t="str">
        <f>IF($B80="","",ROUND(SUMIFS(次果筐明细!$L$4:$L$603,次果筐明细!$C$4:$C$603,$B80,次果筐明细!$M$4:$M$603,"已收讫",次果筐明细!$B$4:$B$603,"&gt;="&amp;$Z$1,次果筐明细!$B$4:$B$603,"&lt;="&amp;$Z$2),2))</f>
        <v/>
      </c>
      <c r="R80" s="30" t="str">
        <f t="shared" si="10"/>
        <v/>
      </c>
      <c r="S80" s="30" t="str">
        <f>IF($B80="","",ROUND(SUMIFS(次果筐明细!$J$4:$J$603,次果筐明细!$C$4:$C$603,$B80,次果筐明细!$B$4:$B$603,"&gt;="&amp;$Z$1,次果筐明细!$B$4:$B$603,"&lt;="&amp;$Z$2),2))</f>
        <v/>
      </c>
      <c r="T80" s="63" t="str">
        <f>IF($B80="","",ROUND(SUMIFS(次果筐明细!$K$4:$K$603,次果筐明细!$C$4:$C$603,$B80,次果筐明细!$B$4:$B$603,"&gt;="&amp;$Z$1,次果筐明细!$B$4:$B$603,"&lt;="&amp;$Z$2),2))</f>
        <v/>
      </c>
      <c r="U80" s="30" t="str">
        <f t="shared" si="11"/>
        <v/>
      </c>
      <c r="V80" s="42"/>
    </row>
    <row r="81" spans="1:22">
      <c r="A81" s="24" t="str">
        <f t="shared" si="6"/>
        <v/>
      </c>
      <c r="B81" s="37" t="str">
        <f>IFERROR(INDEX(_自动清单!$AY$4:$AY$203,ROW()-3),"")</f>
        <v/>
      </c>
      <c r="C81" s="39" t="str">
        <f>IF(OR($B81="",_自动清单!$AS$4=""),"",SUMIFS(次果筐明细!$G$4:$G$603,次果筐明细!$C$4:$C$603,$B81,次果筐明细!$D$4:$D$603,_自动清单!$AS$4,次果筐明细!$F$4:$F$603,"*出库*",次果筐明细!$B$4:$B$603,"&gt;="&amp;$Z$1,次果筐明细!$B$4:$B$603,"&lt;="&amp;$Z$2))</f>
        <v/>
      </c>
      <c r="D81" s="39" t="str">
        <f>IF(OR($B81="",_自动清单!$AS$5=""),"",SUMIFS(次果筐明细!$G$4:$G$603,次果筐明细!$C$4:$C$603,$B81,次果筐明细!$D$4:$D$603,_自动清单!$AS$5,次果筐明细!$F$4:$F$603,"*出库*",次果筐明细!$B$4:$B$603,"&gt;="&amp;$Z$1,次果筐明细!$B$4:$B$603,"&lt;="&amp;$Z$2))</f>
        <v/>
      </c>
      <c r="E81" s="39" t="str">
        <f>IF(OR($B81="",_自动清单!$AS$6=""),"",SUMIFS(次果筐明细!$G$4:$G$603,次果筐明细!$C$4:$C$603,$B81,次果筐明细!$D$4:$D$603,_自动清单!$AS$6,次果筐明细!$F$4:$F$603,"*出库*",次果筐明细!$B$4:$B$603,"&gt;="&amp;$Z$1,次果筐明细!$B$4:$B$603,"&lt;="&amp;$Z$2))</f>
        <v/>
      </c>
      <c r="F81" s="39" t="str">
        <f>IF(OR($B81="",_自动清单!$AS$7=""),"",SUMIFS(次果筐明细!$G$4:$G$603,次果筐明细!$C$4:$C$603,$B81,次果筐明细!$D$4:$D$603,_自动清单!$AS$7,次果筐明细!$F$4:$F$603,"*出库*",次果筐明细!$B$4:$B$603,"&gt;="&amp;$Z$1,次果筐明细!$B$4:$B$603,"&lt;="&amp;$Z$2))</f>
        <v/>
      </c>
      <c r="G81" s="39" t="str">
        <f>IF($B81="","",SUMIFS(次果筐明细!$G$4:$G$603,次果筐明细!$C$4:$C$603,$B81,次果筐明细!$F$4:$F$603,"*出库*",次果筐明细!$B$4:$B$603,"&gt;="&amp;$Z$1,次果筐明细!$B$4:$B$603,"&lt;="&amp;$Z$2)-SUM($C81:$F81))</f>
        <v/>
      </c>
      <c r="H81" s="39" t="str">
        <f t="shared" si="7"/>
        <v/>
      </c>
      <c r="I81" s="39" t="str">
        <f>IF(OR($B81="",_自动清单!$AS$4=""),"",SUMIFS(次果筐明细!$G$4:$G$603,次果筐明细!$C$4:$C$603,$B81,次果筐明细!$D$4:$D$603,_自动清单!$AS$4,次果筐明细!$F$4:$F$603,"*入库*",次果筐明细!$B$4:$B$603,"&gt;="&amp;$Z$1,次果筐明细!$B$4:$B$603,"&lt;="&amp;$Z$2))</f>
        <v/>
      </c>
      <c r="J81" s="39" t="str">
        <f>IF(OR($B81="",_自动清单!$AS$5=""),"",SUMIFS(次果筐明细!$G$4:$G$603,次果筐明细!$C$4:$C$603,$B81,次果筐明细!$D$4:$D$603,_自动清单!$AS$5,次果筐明细!$F$4:$F$603,"*入库*",次果筐明细!$B$4:$B$603,"&gt;="&amp;$Z$1,次果筐明细!$B$4:$B$603,"&lt;="&amp;$Z$2))</f>
        <v/>
      </c>
      <c r="K81" s="39" t="str">
        <f>IF(OR($B81="",_自动清单!$AS$6=""),"",SUMIFS(次果筐明细!$G$4:$G$603,次果筐明细!$C$4:$C$603,$B81,次果筐明细!$D$4:$D$603,_自动清单!$AS$6,次果筐明细!$F$4:$F$603,"*入库*",次果筐明细!$B$4:$B$603,"&gt;="&amp;$Z$1,次果筐明细!$B$4:$B$603,"&lt;="&amp;$Z$2))</f>
        <v/>
      </c>
      <c r="L81" s="39" t="str">
        <f>IF(OR($B81="",_自动清单!$AS$7=""),"",SUMIFS(次果筐明细!$G$4:$G$603,次果筐明细!$C$4:$C$603,$B81,次果筐明细!$D$4:$D$603,_自动清单!$AS$7,次果筐明细!$F$4:$F$603,"*入库*",次果筐明细!$B$4:$B$603,"&gt;="&amp;$Z$1,次果筐明细!$B$4:$B$603,"&lt;="&amp;$Z$2))</f>
        <v/>
      </c>
      <c r="M81" s="62" t="str">
        <f>IF($B81="","",SUMIFS(次果筐明细!$G$4:$G$603,次果筐明细!$C$4:$C$603,$B81,次果筐明细!$F$4:$F$603,"*入库*",次果筐明细!$B$4:$B$603,"&gt;="&amp;$Z$1,次果筐明细!$B$4:$B$603,"&lt;="&amp;$Z$2)-SUM($I81:$L81))</f>
        <v/>
      </c>
      <c r="N81" s="62" t="str">
        <f t="shared" si="8"/>
        <v/>
      </c>
      <c r="O81" s="39" t="str">
        <f t="shared" si="9"/>
        <v/>
      </c>
      <c r="P81" s="30" t="str">
        <f>IF($B81="","",ROUND(SUMIFS(次果筐明细!$L$4:$L$603,次果筐明细!$C$4:$C$603,$B81,次果筐明细!$B$4:$B$603,"&gt;="&amp;$Z$1,次果筐明细!$B$4:$B$603,"&lt;="&amp;$Z$2),2))</f>
        <v/>
      </c>
      <c r="Q81" s="30" t="str">
        <f>IF($B81="","",ROUND(SUMIFS(次果筐明细!$L$4:$L$603,次果筐明细!$C$4:$C$603,$B81,次果筐明细!$M$4:$M$603,"已收讫",次果筐明细!$B$4:$B$603,"&gt;="&amp;$Z$1,次果筐明细!$B$4:$B$603,"&lt;="&amp;$Z$2),2))</f>
        <v/>
      </c>
      <c r="R81" s="30" t="str">
        <f t="shared" si="10"/>
        <v/>
      </c>
      <c r="S81" s="30" t="str">
        <f>IF($B81="","",ROUND(SUMIFS(次果筐明细!$J$4:$J$603,次果筐明细!$C$4:$C$603,$B81,次果筐明细!$B$4:$B$603,"&gt;="&amp;$Z$1,次果筐明细!$B$4:$B$603,"&lt;="&amp;$Z$2),2))</f>
        <v/>
      </c>
      <c r="T81" s="63" t="str">
        <f>IF($B81="","",ROUND(SUMIFS(次果筐明细!$K$4:$K$603,次果筐明细!$C$4:$C$603,$B81,次果筐明细!$B$4:$B$603,"&gt;="&amp;$Z$1,次果筐明细!$B$4:$B$603,"&lt;="&amp;$Z$2),2))</f>
        <v/>
      </c>
      <c r="U81" s="30" t="str">
        <f t="shared" si="11"/>
        <v/>
      </c>
      <c r="V81" s="42"/>
    </row>
    <row r="82" spans="1:22">
      <c r="A82" s="24" t="str">
        <f t="shared" si="6"/>
        <v/>
      </c>
      <c r="B82" s="37" t="str">
        <f>IFERROR(INDEX(_自动清单!$AY$4:$AY$203,ROW()-3),"")</f>
        <v/>
      </c>
      <c r="C82" s="39" t="str">
        <f>IF(OR($B82="",_自动清单!$AS$4=""),"",SUMIFS(次果筐明细!$G$4:$G$603,次果筐明细!$C$4:$C$603,$B82,次果筐明细!$D$4:$D$603,_自动清单!$AS$4,次果筐明细!$F$4:$F$603,"*出库*",次果筐明细!$B$4:$B$603,"&gt;="&amp;$Z$1,次果筐明细!$B$4:$B$603,"&lt;="&amp;$Z$2))</f>
        <v/>
      </c>
      <c r="D82" s="39" t="str">
        <f>IF(OR($B82="",_自动清单!$AS$5=""),"",SUMIFS(次果筐明细!$G$4:$G$603,次果筐明细!$C$4:$C$603,$B82,次果筐明细!$D$4:$D$603,_自动清单!$AS$5,次果筐明细!$F$4:$F$603,"*出库*",次果筐明细!$B$4:$B$603,"&gt;="&amp;$Z$1,次果筐明细!$B$4:$B$603,"&lt;="&amp;$Z$2))</f>
        <v/>
      </c>
      <c r="E82" s="39" t="str">
        <f>IF(OR($B82="",_自动清单!$AS$6=""),"",SUMIFS(次果筐明细!$G$4:$G$603,次果筐明细!$C$4:$C$603,$B82,次果筐明细!$D$4:$D$603,_自动清单!$AS$6,次果筐明细!$F$4:$F$603,"*出库*",次果筐明细!$B$4:$B$603,"&gt;="&amp;$Z$1,次果筐明细!$B$4:$B$603,"&lt;="&amp;$Z$2))</f>
        <v/>
      </c>
      <c r="F82" s="39" t="str">
        <f>IF(OR($B82="",_自动清单!$AS$7=""),"",SUMIFS(次果筐明细!$G$4:$G$603,次果筐明细!$C$4:$C$603,$B82,次果筐明细!$D$4:$D$603,_自动清单!$AS$7,次果筐明细!$F$4:$F$603,"*出库*",次果筐明细!$B$4:$B$603,"&gt;="&amp;$Z$1,次果筐明细!$B$4:$B$603,"&lt;="&amp;$Z$2))</f>
        <v/>
      </c>
      <c r="G82" s="39" t="str">
        <f>IF($B82="","",SUMIFS(次果筐明细!$G$4:$G$603,次果筐明细!$C$4:$C$603,$B82,次果筐明细!$F$4:$F$603,"*出库*",次果筐明细!$B$4:$B$603,"&gt;="&amp;$Z$1,次果筐明细!$B$4:$B$603,"&lt;="&amp;$Z$2)-SUM($C82:$F82))</f>
        <v/>
      </c>
      <c r="H82" s="39" t="str">
        <f t="shared" si="7"/>
        <v/>
      </c>
      <c r="I82" s="39" t="str">
        <f>IF(OR($B82="",_自动清单!$AS$4=""),"",SUMIFS(次果筐明细!$G$4:$G$603,次果筐明细!$C$4:$C$603,$B82,次果筐明细!$D$4:$D$603,_自动清单!$AS$4,次果筐明细!$F$4:$F$603,"*入库*",次果筐明细!$B$4:$B$603,"&gt;="&amp;$Z$1,次果筐明细!$B$4:$B$603,"&lt;="&amp;$Z$2))</f>
        <v/>
      </c>
      <c r="J82" s="39" t="str">
        <f>IF(OR($B82="",_自动清单!$AS$5=""),"",SUMIFS(次果筐明细!$G$4:$G$603,次果筐明细!$C$4:$C$603,$B82,次果筐明细!$D$4:$D$603,_自动清单!$AS$5,次果筐明细!$F$4:$F$603,"*入库*",次果筐明细!$B$4:$B$603,"&gt;="&amp;$Z$1,次果筐明细!$B$4:$B$603,"&lt;="&amp;$Z$2))</f>
        <v/>
      </c>
      <c r="K82" s="39" t="str">
        <f>IF(OR($B82="",_自动清单!$AS$6=""),"",SUMIFS(次果筐明细!$G$4:$G$603,次果筐明细!$C$4:$C$603,$B82,次果筐明细!$D$4:$D$603,_自动清单!$AS$6,次果筐明细!$F$4:$F$603,"*入库*",次果筐明细!$B$4:$B$603,"&gt;="&amp;$Z$1,次果筐明细!$B$4:$B$603,"&lt;="&amp;$Z$2))</f>
        <v/>
      </c>
      <c r="L82" s="39" t="str">
        <f>IF(OR($B82="",_自动清单!$AS$7=""),"",SUMIFS(次果筐明细!$G$4:$G$603,次果筐明细!$C$4:$C$603,$B82,次果筐明细!$D$4:$D$603,_自动清单!$AS$7,次果筐明细!$F$4:$F$603,"*入库*",次果筐明细!$B$4:$B$603,"&gt;="&amp;$Z$1,次果筐明细!$B$4:$B$603,"&lt;="&amp;$Z$2))</f>
        <v/>
      </c>
      <c r="M82" s="62" t="str">
        <f>IF($B82="","",SUMIFS(次果筐明细!$G$4:$G$603,次果筐明细!$C$4:$C$603,$B82,次果筐明细!$F$4:$F$603,"*入库*",次果筐明细!$B$4:$B$603,"&gt;="&amp;$Z$1,次果筐明细!$B$4:$B$603,"&lt;="&amp;$Z$2)-SUM($I82:$L82))</f>
        <v/>
      </c>
      <c r="N82" s="62" t="str">
        <f t="shared" si="8"/>
        <v/>
      </c>
      <c r="O82" s="39" t="str">
        <f t="shared" si="9"/>
        <v/>
      </c>
      <c r="P82" s="30" t="str">
        <f>IF($B82="","",ROUND(SUMIFS(次果筐明细!$L$4:$L$603,次果筐明细!$C$4:$C$603,$B82,次果筐明细!$B$4:$B$603,"&gt;="&amp;$Z$1,次果筐明细!$B$4:$B$603,"&lt;="&amp;$Z$2),2))</f>
        <v/>
      </c>
      <c r="Q82" s="30" t="str">
        <f>IF($B82="","",ROUND(SUMIFS(次果筐明细!$L$4:$L$603,次果筐明细!$C$4:$C$603,$B82,次果筐明细!$M$4:$M$603,"已收讫",次果筐明细!$B$4:$B$603,"&gt;="&amp;$Z$1,次果筐明细!$B$4:$B$603,"&lt;="&amp;$Z$2),2))</f>
        <v/>
      </c>
      <c r="R82" s="30" t="str">
        <f t="shared" si="10"/>
        <v/>
      </c>
      <c r="S82" s="30" t="str">
        <f>IF($B82="","",ROUND(SUMIFS(次果筐明细!$J$4:$J$603,次果筐明细!$C$4:$C$603,$B82,次果筐明细!$B$4:$B$603,"&gt;="&amp;$Z$1,次果筐明细!$B$4:$B$603,"&lt;="&amp;$Z$2),2))</f>
        <v/>
      </c>
      <c r="T82" s="63" t="str">
        <f>IF($B82="","",ROUND(SUMIFS(次果筐明细!$K$4:$K$603,次果筐明细!$C$4:$C$603,$B82,次果筐明细!$B$4:$B$603,"&gt;="&amp;$Z$1,次果筐明细!$B$4:$B$603,"&lt;="&amp;$Z$2),2))</f>
        <v/>
      </c>
      <c r="U82" s="30" t="str">
        <f t="shared" si="11"/>
        <v/>
      </c>
      <c r="V82" s="42"/>
    </row>
    <row r="83" spans="1:22">
      <c r="A83" s="24" t="str">
        <f t="shared" si="6"/>
        <v/>
      </c>
      <c r="B83" s="37" t="str">
        <f>IFERROR(INDEX(_自动清单!$AY$4:$AY$203,ROW()-3),"")</f>
        <v/>
      </c>
      <c r="C83" s="39" t="str">
        <f>IF(OR($B83="",_自动清单!$AS$4=""),"",SUMIFS(次果筐明细!$G$4:$G$603,次果筐明细!$C$4:$C$603,$B83,次果筐明细!$D$4:$D$603,_自动清单!$AS$4,次果筐明细!$F$4:$F$603,"*出库*",次果筐明细!$B$4:$B$603,"&gt;="&amp;$Z$1,次果筐明细!$B$4:$B$603,"&lt;="&amp;$Z$2))</f>
        <v/>
      </c>
      <c r="D83" s="39" t="str">
        <f>IF(OR($B83="",_自动清单!$AS$5=""),"",SUMIFS(次果筐明细!$G$4:$G$603,次果筐明细!$C$4:$C$603,$B83,次果筐明细!$D$4:$D$603,_自动清单!$AS$5,次果筐明细!$F$4:$F$603,"*出库*",次果筐明细!$B$4:$B$603,"&gt;="&amp;$Z$1,次果筐明细!$B$4:$B$603,"&lt;="&amp;$Z$2))</f>
        <v/>
      </c>
      <c r="E83" s="39" t="str">
        <f>IF(OR($B83="",_自动清单!$AS$6=""),"",SUMIFS(次果筐明细!$G$4:$G$603,次果筐明细!$C$4:$C$603,$B83,次果筐明细!$D$4:$D$603,_自动清单!$AS$6,次果筐明细!$F$4:$F$603,"*出库*",次果筐明细!$B$4:$B$603,"&gt;="&amp;$Z$1,次果筐明细!$B$4:$B$603,"&lt;="&amp;$Z$2))</f>
        <v/>
      </c>
      <c r="F83" s="39" t="str">
        <f>IF(OR($B83="",_自动清单!$AS$7=""),"",SUMIFS(次果筐明细!$G$4:$G$603,次果筐明细!$C$4:$C$603,$B83,次果筐明细!$D$4:$D$603,_自动清单!$AS$7,次果筐明细!$F$4:$F$603,"*出库*",次果筐明细!$B$4:$B$603,"&gt;="&amp;$Z$1,次果筐明细!$B$4:$B$603,"&lt;="&amp;$Z$2))</f>
        <v/>
      </c>
      <c r="G83" s="39" t="str">
        <f>IF($B83="","",SUMIFS(次果筐明细!$G$4:$G$603,次果筐明细!$C$4:$C$603,$B83,次果筐明细!$F$4:$F$603,"*出库*",次果筐明细!$B$4:$B$603,"&gt;="&amp;$Z$1,次果筐明细!$B$4:$B$603,"&lt;="&amp;$Z$2)-SUM($C83:$F83))</f>
        <v/>
      </c>
      <c r="H83" s="39" t="str">
        <f t="shared" si="7"/>
        <v/>
      </c>
      <c r="I83" s="39" t="str">
        <f>IF(OR($B83="",_自动清单!$AS$4=""),"",SUMIFS(次果筐明细!$G$4:$G$603,次果筐明细!$C$4:$C$603,$B83,次果筐明细!$D$4:$D$603,_自动清单!$AS$4,次果筐明细!$F$4:$F$603,"*入库*",次果筐明细!$B$4:$B$603,"&gt;="&amp;$Z$1,次果筐明细!$B$4:$B$603,"&lt;="&amp;$Z$2))</f>
        <v/>
      </c>
      <c r="J83" s="39" t="str">
        <f>IF(OR($B83="",_自动清单!$AS$5=""),"",SUMIFS(次果筐明细!$G$4:$G$603,次果筐明细!$C$4:$C$603,$B83,次果筐明细!$D$4:$D$603,_自动清单!$AS$5,次果筐明细!$F$4:$F$603,"*入库*",次果筐明细!$B$4:$B$603,"&gt;="&amp;$Z$1,次果筐明细!$B$4:$B$603,"&lt;="&amp;$Z$2))</f>
        <v/>
      </c>
      <c r="K83" s="39" t="str">
        <f>IF(OR($B83="",_自动清单!$AS$6=""),"",SUMIFS(次果筐明细!$G$4:$G$603,次果筐明细!$C$4:$C$603,$B83,次果筐明细!$D$4:$D$603,_自动清单!$AS$6,次果筐明细!$F$4:$F$603,"*入库*",次果筐明细!$B$4:$B$603,"&gt;="&amp;$Z$1,次果筐明细!$B$4:$B$603,"&lt;="&amp;$Z$2))</f>
        <v/>
      </c>
      <c r="L83" s="39" t="str">
        <f>IF(OR($B83="",_自动清单!$AS$7=""),"",SUMIFS(次果筐明细!$G$4:$G$603,次果筐明细!$C$4:$C$603,$B83,次果筐明细!$D$4:$D$603,_自动清单!$AS$7,次果筐明细!$F$4:$F$603,"*入库*",次果筐明细!$B$4:$B$603,"&gt;="&amp;$Z$1,次果筐明细!$B$4:$B$603,"&lt;="&amp;$Z$2))</f>
        <v/>
      </c>
      <c r="M83" s="62" t="str">
        <f>IF($B83="","",SUMIFS(次果筐明细!$G$4:$G$603,次果筐明细!$C$4:$C$603,$B83,次果筐明细!$F$4:$F$603,"*入库*",次果筐明细!$B$4:$B$603,"&gt;="&amp;$Z$1,次果筐明细!$B$4:$B$603,"&lt;="&amp;$Z$2)-SUM($I83:$L83))</f>
        <v/>
      </c>
      <c r="N83" s="62" t="str">
        <f t="shared" si="8"/>
        <v/>
      </c>
      <c r="O83" s="39" t="str">
        <f t="shared" si="9"/>
        <v/>
      </c>
      <c r="P83" s="30" t="str">
        <f>IF($B83="","",ROUND(SUMIFS(次果筐明细!$L$4:$L$603,次果筐明细!$C$4:$C$603,$B83,次果筐明细!$B$4:$B$603,"&gt;="&amp;$Z$1,次果筐明细!$B$4:$B$603,"&lt;="&amp;$Z$2),2))</f>
        <v/>
      </c>
      <c r="Q83" s="30" t="str">
        <f>IF($B83="","",ROUND(SUMIFS(次果筐明细!$L$4:$L$603,次果筐明细!$C$4:$C$603,$B83,次果筐明细!$M$4:$M$603,"已收讫",次果筐明细!$B$4:$B$603,"&gt;="&amp;$Z$1,次果筐明细!$B$4:$B$603,"&lt;="&amp;$Z$2),2))</f>
        <v/>
      </c>
      <c r="R83" s="30" t="str">
        <f t="shared" si="10"/>
        <v/>
      </c>
      <c r="S83" s="30" t="str">
        <f>IF($B83="","",ROUND(SUMIFS(次果筐明细!$J$4:$J$603,次果筐明细!$C$4:$C$603,$B83,次果筐明细!$B$4:$B$603,"&gt;="&amp;$Z$1,次果筐明细!$B$4:$B$603,"&lt;="&amp;$Z$2),2))</f>
        <v/>
      </c>
      <c r="T83" s="63" t="str">
        <f>IF($B83="","",ROUND(SUMIFS(次果筐明细!$K$4:$K$603,次果筐明细!$C$4:$C$603,$B83,次果筐明细!$B$4:$B$603,"&gt;="&amp;$Z$1,次果筐明细!$B$4:$B$603,"&lt;="&amp;$Z$2),2))</f>
        <v/>
      </c>
      <c r="U83" s="30" t="str">
        <f t="shared" si="11"/>
        <v/>
      </c>
      <c r="V83" s="42"/>
    </row>
    <row r="84" spans="1:22">
      <c r="A84" s="24" t="str">
        <f t="shared" si="6"/>
        <v/>
      </c>
      <c r="B84" s="37" t="str">
        <f>IFERROR(INDEX(_自动清单!$AY$4:$AY$203,ROW()-3),"")</f>
        <v/>
      </c>
      <c r="C84" s="39" t="str">
        <f>IF(OR($B84="",_自动清单!$AS$4=""),"",SUMIFS(次果筐明细!$G$4:$G$603,次果筐明细!$C$4:$C$603,$B84,次果筐明细!$D$4:$D$603,_自动清单!$AS$4,次果筐明细!$F$4:$F$603,"*出库*",次果筐明细!$B$4:$B$603,"&gt;="&amp;$Z$1,次果筐明细!$B$4:$B$603,"&lt;="&amp;$Z$2))</f>
        <v/>
      </c>
      <c r="D84" s="39" t="str">
        <f>IF(OR($B84="",_自动清单!$AS$5=""),"",SUMIFS(次果筐明细!$G$4:$G$603,次果筐明细!$C$4:$C$603,$B84,次果筐明细!$D$4:$D$603,_自动清单!$AS$5,次果筐明细!$F$4:$F$603,"*出库*",次果筐明细!$B$4:$B$603,"&gt;="&amp;$Z$1,次果筐明细!$B$4:$B$603,"&lt;="&amp;$Z$2))</f>
        <v/>
      </c>
      <c r="E84" s="39" t="str">
        <f>IF(OR($B84="",_自动清单!$AS$6=""),"",SUMIFS(次果筐明细!$G$4:$G$603,次果筐明细!$C$4:$C$603,$B84,次果筐明细!$D$4:$D$603,_自动清单!$AS$6,次果筐明细!$F$4:$F$603,"*出库*",次果筐明细!$B$4:$B$603,"&gt;="&amp;$Z$1,次果筐明细!$B$4:$B$603,"&lt;="&amp;$Z$2))</f>
        <v/>
      </c>
      <c r="F84" s="39" t="str">
        <f>IF(OR($B84="",_自动清单!$AS$7=""),"",SUMIFS(次果筐明细!$G$4:$G$603,次果筐明细!$C$4:$C$603,$B84,次果筐明细!$D$4:$D$603,_自动清单!$AS$7,次果筐明细!$F$4:$F$603,"*出库*",次果筐明细!$B$4:$B$603,"&gt;="&amp;$Z$1,次果筐明细!$B$4:$B$603,"&lt;="&amp;$Z$2))</f>
        <v/>
      </c>
      <c r="G84" s="39" t="str">
        <f>IF($B84="","",SUMIFS(次果筐明细!$G$4:$G$603,次果筐明细!$C$4:$C$603,$B84,次果筐明细!$F$4:$F$603,"*出库*",次果筐明细!$B$4:$B$603,"&gt;="&amp;$Z$1,次果筐明细!$B$4:$B$603,"&lt;="&amp;$Z$2)-SUM($C84:$F84))</f>
        <v/>
      </c>
      <c r="H84" s="39" t="str">
        <f t="shared" si="7"/>
        <v/>
      </c>
      <c r="I84" s="39" t="str">
        <f>IF(OR($B84="",_自动清单!$AS$4=""),"",SUMIFS(次果筐明细!$G$4:$G$603,次果筐明细!$C$4:$C$603,$B84,次果筐明细!$D$4:$D$603,_自动清单!$AS$4,次果筐明细!$F$4:$F$603,"*入库*",次果筐明细!$B$4:$B$603,"&gt;="&amp;$Z$1,次果筐明细!$B$4:$B$603,"&lt;="&amp;$Z$2))</f>
        <v/>
      </c>
      <c r="J84" s="39" t="str">
        <f>IF(OR($B84="",_自动清单!$AS$5=""),"",SUMIFS(次果筐明细!$G$4:$G$603,次果筐明细!$C$4:$C$603,$B84,次果筐明细!$D$4:$D$603,_自动清单!$AS$5,次果筐明细!$F$4:$F$603,"*入库*",次果筐明细!$B$4:$B$603,"&gt;="&amp;$Z$1,次果筐明细!$B$4:$B$603,"&lt;="&amp;$Z$2))</f>
        <v/>
      </c>
      <c r="K84" s="39" t="str">
        <f>IF(OR($B84="",_自动清单!$AS$6=""),"",SUMIFS(次果筐明细!$G$4:$G$603,次果筐明细!$C$4:$C$603,$B84,次果筐明细!$D$4:$D$603,_自动清单!$AS$6,次果筐明细!$F$4:$F$603,"*入库*",次果筐明细!$B$4:$B$603,"&gt;="&amp;$Z$1,次果筐明细!$B$4:$B$603,"&lt;="&amp;$Z$2))</f>
        <v/>
      </c>
      <c r="L84" s="39" t="str">
        <f>IF(OR($B84="",_自动清单!$AS$7=""),"",SUMIFS(次果筐明细!$G$4:$G$603,次果筐明细!$C$4:$C$603,$B84,次果筐明细!$D$4:$D$603,_自动清单!$AS$7,次果筐明细!$F$4:$F$603,"*入库*",次果筐明细!$B$4:$B$603,"&gt;="&amp;$Z$1,次果筐明细!$B$4:$B$603,"&lt;="&amp;$Z$2))</f>
        <v/>
      </c>
      <c r="M84" s="62" t="str">
        <f>IF($B84="","",SUMIFS(次果筐明细!$G$4:$G$603,次果筐明细!$C$4:$C$603,$B84,次果筐明细!$F$4:$F$603,"*入库*",次果筐明细!$B$4:$B$603,"&gt;="&amp;$Z$1,次果筐明细!$B$4:$B$603,"&lt;="&amp;$Z$2)-SUM($I84:$L84))</f>
        <v/>
      </c>
      <c r="N84" s="62" t="str">
        <f t="shared" si="8"/>
        <v/>
      </c>
      <c r="O84" s="39" t="str">
        <f t="shared" si="9"/>
        <v/>
      </c>
      <c r="P84" s="30" t="str">
        <f>IF($B84="","",ROUND(SUMIFS(次果筐明细!$L$4:$L$603,次果筐明细!$C$4:$C$603,$B84,次果筐明细!$B$4:$B$603,"&gt;="&amp;$Z$1,次果筐明细!$B$4:$B$603,"&lt;="&amp;$Z$2),2))</f>
        <v/>
      </c>
      <c r="Q84" s="30" t="str">
        <f>IF($B84="","",ROUND(SUMIFS(次果筐明细!$L$4:$L$603,次果筐明细!$C$4:$C$603,$B84,次果筐明细!$M$4:$M$603,"已收讫",次果筐明细!$B$4:$B$603,"&gt;="&amp;$Z$1,次果筐明细!$B$4:$B$603,"&lt;="&amp;$Z$2),2))</f>
        <v/>
      </c>
      <c r="R84" s="30" t="str">
        <f t="shared" si="10"/>
        <v/>
      </c>
      <c r="S84" s="30" t="str">
        <f>IF($B84="","",ROUND(SUMIFS(次果筐明细!$J$4:$J$603,次果筐明细!$C$4:$C$603,$B84,次果筐明细!$B$4:$B$603,"&gt;="&amp;$Z$1,次果筐明细!$B$4:$B$603,"&lt;="&amp;$Z$2),2))</f>
        <v/>
      </c>
      <c r="T84" s="63" t="str">
        <f>IF($B84="","",ROUND(SUMIFS(次果筐明细!$K$4:$K$603,次果筐明细!$C$4:$C$603,$B84,次果筐明细!$B$4:$B$603,"&gt;="&amp;$Z$1,次果筐明细!$B$4:$B$603,"&lt;="&amp;$Z$2),2))</f>
        <v/>
      </c>
      <c r="U84" s="30" t="str">
        <f t="shared" si="11"/>
        <v/>
      </c>
      <c r="V84" s="42"/>
    </row>
    <row r="85" spans="1:22">
      <c r="A85" s="24" t="str">
        <f t="shared" si="6"/>
        <v/>
      </c>
      <c r="B85" s="37" t="str">
        <f>IFERROR(INDEX(_自动清单!$AY$4:$AY$203,ROW()-3),"")</f>
        <v/>
      </c>
      <c r="C85" s="39" t="str">
        <f>IF(OR($B85="",_自动清单!$AS$4=""),"",SUMIFS(次果筐明细!$G$4:$G$603,次果筐明细!$C$4:$C$603,$B85,次果筐明细!$D$4:$D$603,_自动清单!$AS$4,次果筐明细!$F$4:$F$603,"*出库*",次果筐明细!$B$4:$B$603,"&gt;="&amp;$Z$1,次果筐明细!$B$4:$B$603,"&lt;="&amp;$Z$2))</f>
        <v/>
      </c>
      <c r="D85" s="39" t="str">
        <f>IF(OR($B85="",_自动清单!$AS$5=""),"",SUMIFS(次果筐明细!$G$4:$G$603,次果筐明细!$C$4:$C$603,$B85,次果筐明细!$D$4:$D$603,_自动清单!$AS$5,次果筐明细!$F$4:$F$603,"*出库*",次果筐明细!$B$4:$B$603,"&gt;="&amp;$Z$1,次果筐明细!$B$4:$B$603,"&lt;="&amp;$Z$2))</f>
        <v/>
      </c>
      <c r="E85" s="39" t="str">
        <f>IF(OR($B85="",_自动清单!$AS$6=""),"",SUMIFS(次果筐明细!$G$4:$G$603,次果筐明细!$C$4:$C$603,$B85,次果筐明细!$D$4:$D$603,_自动清单!$AS$6,次果筐明细!$F$4:$F$603,"*出库*",次果筐明细!$B$4:$B$603,"&gt;="&amp;$Z$1,次果筐明细!$B$4:$B$603,"&lt;="&amp;$Z$2))</f>
        <v/>
      </c>
      <c r="F85" s="39" t="str">
        <f>IF(OR($B85="",_自动清单!$AS$7=""),"",SUMIFS(次果筐明细!$G$4:$G$603,次果筐明细!$C$4:$C$603,$B85,次果筐明细!$D$4:$D$603,_自动清单!$AS$7,次果筐明细!$F$4:$F$603,"*出库*",次果筐明细!$B$4:$B$603,"&gt;="&amp;$Z$1,次果筐明细!$B$4:$B$603,"&lt;="&amp;$Z$2))</f>
        <v/>
      </c>
      <c r="G85" s="39" t="str">
        <f>IF($B85="","",SUMIFS(次果筐明细!$G$4:$G$603,次果筐明细!$C$4:$C$603,$B85,次果筐明细!$F$4:$F$603,"*出库*",次果筐明细!$B$4:$B$603,"&gt;="&amp;$Z$1,次果筐明细!$B$4:$B$603,"&lt;="&amp;$Z$2)-SUM($C85:$F85))</f>
        <v/>
      </c>
      <c r="H85" s="39" t="str">
        <f t="shared" si="7"/>
        <v/>
      </c>
      <c r="I85" s="39" t="str">
        <f>IF(OR($B85="",_自动清单!$AS$4=""),"",SUMIFS(次果筐明细!$G$4:$G$603,次果筐明细!$C$4:$C$603,$B85,次果筐明细!$D$4:$D$603,_自动清单!$AS$4,次果筐明细!$F$4:$F$603,"*入库*",次果筐明细!$B$4:$B$603,"&gt;="&amp;$Z$1,次果筐明细!$B$4:$B$603,"&lt;="&amp;$Z$2))</f>
        <v/>
      </c>
      <c r="J85" s="39" t="str">
        <f>IF(OR($B85="",_自动清单!$AS$5=""),"",SUMIFS(次果筐明细!$G$4:$G$603,次果筐明细!$C$4:$C$603,$B85,次果筐明细!$D$4:$D$603,_自动清单!$AS$5,次果筐明细!$F$4:$F$603,"*入库*",次果筐明细!$B$4:$B$603,"&gt;="&amp;$Z$1,次果筐明细!$B$4:$B$603,"&lt;="&amp;$Z$2))</f>
        <v/>
      </c>
      <c r="K85" s="39" t="str">
        <f>IF(OR($B85="",_自动清单!$AS$6=""),"",SUMIFS(次果筐明细!$G$4:$G$603,次果筐明细!$C$4:$C$603,$B85,次果筐明细!$D$4:$D$603,_自动清单!$AS$6,次果筐明细!$F$4:$F$603,"*入库*",次果筐明细!$B$4:$B$603,"&gt;="&amp;$Z$1,次果筐明细!$B$4:$B$603,"&lt;="&amp;$Z$2))</f>
        <v/>
      </c>
      <c r="L85" s="39" t="str">
        <f>IF(OR($B85="",_自动清单!$AS$7=""),"",SUMIFS(次果筐明细!$G$4:$G$603,次果筐明细!$C$4:$C$603,$B85,次果筐明细!$D$4:$D$603,_自动清单!$AS$7,次果筐明细!$F$4:$F$603,"*入库*",次果筐明细!$B$4:$B$603,"&gt;="&amp;$Z$1,次果筐明细!$B$4:$B$603,"&lt;="&amp;$Z$2))</f>
        <v/>
      </c>
      <c r="M85" s="62" t="str">
        <f>IF($B85="","",SUMIFS(次果筐明细!$G$4:$G$603,次果筐明细!$C$4:$C$603,$B85,次果筐明细!$F$4:$F$603,"*入库*",次果筐明细!$B$4:$B$603,"&gt;="&amp;$Z$1,次果筐明细!$B$4:$B$603,"&lt;="&amp;$Z$2)-SUM($I85:$L85))</f>
        <v/>
      </c>
      <c r="N85" s="62" t="str">
        <f t="shared" si="8"/>
        <v/>
      </c>
      <c r="O85" s="39" t="str">
        <f t="shared" si="9"/>
        <v/>
      </c>
      <c r="P85" s="30" t="str">
        <f>IF($B85="","",ROUND(SUMIFS(次果筐明细!$L$4:$L$603,次果筐明细!$C$4:$C$603,$B85,次果筐明细!$B$4:$B$603,"&gt;="&amp;$Z$1,次果筐明细!$B$4:$B$603,"&lt;="&amp;$Z$2),2))</f>
        <v/>
      </c>
      <c r="Q85" s="30" t="str">
        <f>IF($B85="","",ROUND(SUMIFS(次果筐明细!$L$4:$L$603,次果筐明细!$C$4:$C$603,$B85,次果筐明细!$M$4:$M$603,"已收讫",次果筐明细!$B$4:$B$603,"&gt;="&amp;$Z$1,次果筐明细!$B$4:$B$603,"&lt;="&amp;$Z$2),2))</f>
        <v/>
      </c>
      <c r="R85" s="30" t="str">
        <f t="shared" si="10"/>
        <v/>
      </c>
      <c r="S85" s="30" t="str">
        <f>IF($B85="","",ROUND(SUMIFS(次果筐明细!$J$4:$J$603,次果筐明细!$C$4:$C$603,$B85,次果筐明细!$B$4:$B$603,"&gt;="&amp;$Z$1,次果筐明细!$B$4:$B$603,"&lt;="&amp;$Z$2),2))</f>
        <v/>
      </c>
      <c r="T85" s="63" t="str">
        <f>IF($B85="","",ROUND(SUMIFS(次果筐明细!$K$4:$K$603,次果筐明细!$C$4:$C$603,$B85,次果筐明细!$B$4:$B$603,"&gt;="&amp;$Z$1,次果筐明细!$B$4:$B$603,"&lt;="&amp;$Z$2),2))</f>
        <v/>
      </c>
      <c r="U85" s="30" t="str">
        <f t="shared" si="11"/>
        <v/>
      </c>
      <c r="V85" s="42"/>
    </row>
    <row r="86" spans="1:22">
      <c r="A86" s="24" t="str">
        <f t="shared" si="6"/>
        <v/>
      </c>
      <c r="B86" s="37" t="str">
        <f>IFERROR(INDEX(_自动清单!$AY$4:$AY$203,ROW()-3),"")</f>
        <v/>
      </c>
      <c r="C86" s="39" t="str">
        <f>IF(OR($B86="",_自动清单!$AS$4=""),"",SUMIFS(次果筐明细!$G$4:$G$603,次果筐明细!$C$4:$C$603,$B86,次果筐明细!$D$4:$D$603,_自动清单!$AS$4,次果筐明细!$F$4:$F$603,"*出库*",次果筐明细!$B$4:$B$603,"&gt;="&amp;$Z$1,次果筐明细!$B$4:$B$603,"&lt;="&amp;$Z$2))</f>
        <v/>
      </c>
      <c r="D86" s="39" t="str">
        <f>IF(OR($B86="",_自动清单!$AS$5=""),"",SUMIFS(次果筐明细!$G$4:$G$603,次果筐明细!$C$4:$C$603,$B86,次果筐明细!$D$4:$D$603,_自动清单!$AS$5,次果筐明细!$F$4:$F$603,"*出库*",次果筐明细!$B$4:$B$603,"&gt;="&amp;$Z$1,次果筐明细!$B$4:$B$603,"&lt;="&amp;$Z$2))</f>
        <v/>
      </c>
      <c r="E86" s="39" t="str">
        <f>IF(OR($B86="",_自动清单!$AS$6=""),"",SUMIFS(次果筐明细!$G$4:$G$603,次果筐明细!$C$4:$C$603,$B86,次果筐明细!$D$4:$D$603,_自动清单!$AS$6,次果筐明细!$F$4:$F$603,"*出库*",次果筐明细!$B$4:$B$603,"&gt;="&amp;$Z$1,次果筐明细!$B$4:$B$603,"&lt;="&amp;$Z$2))</f>
        <v/>
      </c>
      <c r="F86" s="39" t="str">
        <f>IF(OR($B86="",_自动清单!$AS$7=""),"",SUMIFS(次果筐明细!$G$4:$G$603,次果筐明细!$C$4:$C$603,$B86,次果筐明细!$D$4:$D$603,_自动清单!$AS$7,次果筐明细!$F$4:$F$603,"*出库*",次果筐明细!$B$4:$B$603,"&gt;="&amp;$Z$1,次果筐明细!$B$4:$B$603,"&lt;="&amp;$Z$2))</f>
        <v/>
      </c>
      <c r="G86" s="39" t="str">
        <f>IF($B86="","",SUMIFS(次果筐明细!$G$4:$G$603,次果筐明细!$C$4:$C$603,$B86,次果筐明细!$F$4:$F$603,"*出库*",次果筐明细!$B$4:$B$603,"&gt;="&amp;$Z$1,次果筐明细!$B$4:$B$603,"&lt;="&amp;$Z$2)-SUM($C86:$F86))</f>
        <v/>
      </c>
      <c r="H86" s="39" t="str">
        <f t="shared" si="7"/>
        <v/>
      </c>
      <c r="I86" s="39" t="str">
        <f>IF(OR($B86="",_自动清单!$AS$4=""),"",SUMIFS(次果筐明细!$G$4:$G$603,次果筐明细!$C$4:$C$603,$B86,次果筐明细!$D$4:$D$603,_自动清单!$AS$4,次果筐明细!$F$4:$F$603,"*入库*",次果筐明细!$B$4:$B$603,"&gt;="&amp;$Z$1,次果筐明细!$B$4:$B$603,"&lt;="&amp;$Z$2))</f>
        <v/>
      </c>
      <c r="J86" s="39" t="str">
        <f>IF(OR($B86="",_自动清单!$AS$5=""),"",SUMIFS(次果筐明细!$G$4:$G$603,次果筐明细!$C$4:$C$603,$B86,次果筐明细!$D$4:$D$603,_自动清单!$AS$5,次果筐明细!$F$4:$F$603,"*入库*",次果筐明细!$B$4:$B$603,"&gt;="&amp;$Z$1,次果筐明细!$B$4:$B$603,"&lt;="&amp;$Z$2))</f>
        <v/>
      </c>
      <c r="K86" s="39" t="str">
        <f>IF(OR($B86="",_自动清单!$AS$6=""),"",SUMIFS(次果筐明细!$G$4:$G$603,次果筐明细!$C$4:$C$603,$B86,次果筐明细!$D$4:$D$603,_自动清单!$AS$6,次果筐明细!$F$4:$F$603,"*入库*",次果筐明细!$B$4:$B$603,"&gt;="&amp;$Z$1,次果筐明细!$B$4:$B$603,"&lt;="&amp;$Z$2))</f>
        <v/>
      </c>
      <c r="L86" s="39" t="str">
        <f>IF(OR($B86="",_自动清单!$AS$7=""),"",SUMIFS(次果筐明细!$G$4:$G$603,次果筐明细!$C$4:$C$603,$B86,次果筐明细!$D$4:$D$603,_自动清单!$AS$7,次果筐明细!$F$4:$F$603,"*入库*",次果筐明细!$B$4:$B$603,"&gt;="&amp;$Z$1,次果筐明细!$B$4:$B$603,"&lt;="&amp;$Z$2))</f>
        <v/>
      </c>
      <c r="M86" s="62" t="str">
        <f>IF($B86="","",SUMIFS(次果筐明细!$G$4:$G$603,次果筐明细!$C$4:$C$603,$B86,次果筐明细!$F$4:$F$603,"*入库*",次果筐明细!$B$4:$B$603,"&gt;="&amp;$Z$1,次果筐明细!$B$4:$B$603,"&lt;="&amp;$Z$2)-SUM($I86:$L86))</f>
        <v/>
      </c>
      <c r="N86" s="62" t="str">
        <f t="shared" si="8"/>
        <v/>
      </c>
      <c r="O86" s="39" t="str">
        <f t="shared" si="9"/>
        <v/>
      </c>
      <c r="P86" s="30" t="str">
        <f>IF($B86="","",ROUND(SUMIFS(次果筐明细!$L$4:$L$603,次果筐明细!$C$4:$C$603,$B86,次果筐明细!$B$4:$B$603,"&gt;="&amp;$Z$1,次果筐明细!$B$4:$B$603,"&lt;="&amp;$Z$2),2))</f>
        <v/>
      </c>
      <c r="Q86" s="30" t="str">
        <f>IF($B86="","",ROUND(SUMIFS(次果筐明细!$L$4:$L$603,次果筐明细!$C$4:$C$603,$B86,次果筐明细!$M$4:$M$603,"已收讫",次果筐明细!$B$4:$B$603,"&gt;="&amp;$Z$1,次果筐明细!$B$4:$B$603,"&lt;="&amp;$Z$2),2))</f>
        <v/>
      </c>
      <c r="R86" s="30" t="str">
        <f t="shared" si="10"/>
        <v/>
      </c>
      <c r="S86" s="30" t="str">
        <f>IF($B86="","",ROUND(SUMIFS(次果筐明细!$J$4:$J$603,次果筐明细!$C$4:$C$603,$B86,次果筐明细!$B$4:$B$603,"&gt;="&amp;$Z$1,次果筐明细!$B$4:$B$603,"&lt;="&amp;$Z$2),2))</f>
        <v/>
      </c>
      <c r="T86" s="63" t="str">
        <f>IF($B86="","",ROUND(SUMIFS(次果筐明细!$K$4:$K$603,次果筐明细!$C$4:$C$603,$B86,次果筐明细!$B$4:$B$603,"&gt;="&amp;$Z$1,次果筐明细!$B$4:$B$603,"&lt;="&amp;$Z$2),2))</f>
        <v/>
      </c>
      <c r="U86" s="30" t="str">
        <f t="shared" si="11"/>
        <v/>
      </c>
      <c r="V86" s="42"/>
    </row>
    <row r="87" spans="1:22">
      <c r="A87" s="24" t="str">
        <f t="shared" si="6"/>
        <v/>
      </c>
      <c r="B87" s="37" t="str">
        <f>IFERROR(INDEX(_自动清单!$AY$4:$AY$203,ROW()-3),"")</f>
        <v/>
      </c>
      <c r="C87" s="39" t="str">
        <f>IF(OR($B87="",_自动清单!$AS$4=""),"",SUMIFS(次果筐明细!$G$4:$G$603,次果筐明细!$C$4:$C$603,$B87,次果筐明细!$D$4:$D$603,_自动清单!$AS$4,次果筐明细!$F$4:$F$603,"*出库*",次果筐明细!$B$4:$B$603,"&gt;="&amp;$Z$1,次果筐明细!$B$4:$B$603,"&lt;="&amp;$Z$2))</f>
        <v/>
      </c>
      <c r="D87" s="39" t="str">
        <f>IF(OR($B87="",_自动清单!$AS$5=""),"",SUMIFS(次果筐明细!$G$4:$G$603,次果筐明细!$C$4:$C$603,$B87,次果筐明细!$D$4:$D$603,_自动清单!$AS$5,次果筐明细!$F$4:$F$603,"*出库*",次果筐明细!$B$4:$B$603,"&gt;="&amp;$Z$1,次果筐明细!$B$4:$B$603,"&lt;="&amp;$Z$2))</f>
        <v/>
      </c>
      <c r="E87" s="39" t="str">
        <f>IF(OR($B87="",_自动清单!$AS$6=""),"",SUMIFS(次果筐明细!$G$4:$G$603,次果筐明细!$C$4:$C$603,$B87,次果筐明细!$D$4:$D$603,_自动清单!$AS$6,次果筐明细!$F$4:$F$603,"*出库*",次果筐明细!$B$4:$B$603,"&gt;="&amp;$Z$1,次果筐明细!$B$4:$B$603,"&lt;="&amp;$Z$2))</f>
        <v/>
      </c>
      <c r="F87" s="39" t="str">
        <f>IF(OR($B87="",_自动清单!$AS$7=""),"",SUMIFS(次果筐明细!$G$4:$G$603,次果筐明细!$C$4:$C$603,$B87,次果筐明细!$D$4:$D$603,_自动清单!$AS$7,次果筐明细!$F$4:$F$603,"*出库*",次果筐明细!$B$4:$B$603,"&gt;="&amp;$Z$1,次果筐明细!$B$4:$B$603,"&lt;="&amp;$Z$2))</f>
        <v/>
      </c>
      <c r="G87" s="39" t="str">
        <f>IF($B87="","",SUMIFS(次果筐明细!$G$4:$G$603,次果筐明细!$C$4:$C$603,$B87,次果筐明细!$F$4:$F$603,"*出库*",次果筐明细!$B$4:$B$603,"&gt;="&amp;$Z$1,次果筐明细!$B$4:$B$603,"&lt;="&amp;$Z$2)-SUM($C87:$F87))</f>
        <v/>
      </c>
      <c r="H87" s="39" t="str">
        <f t="shared" si="7"/>
        <v/>
      </c>
      <c r="I87" s="39" t="str">
        <f>IF(OR($B87="",_自动清单!$AS$4=""),"",SUMIFS(次果筐明细!$G$4:$G$603,次果筐明细!$C$4:$C$603,$B87,次果筐明细!$D$4:$D$603,_自动清单!$AS$4,次果筐明细!$F$4:$F$603,"*入库*",次果筐明细!$B$4:$B$603,"&gt;="&amp;$Z$1,次果筐明细!$B$4:$B$603,"&lt;="&amp;$Z$2))</f>
        <v/>
      </c>
      <c r="J87" s="39" t="str">
        <f>IF(OR($B87="",_自动清单!$AS$5=""),"",SUMIFS(次果筐明细!$G$4:$G$603,次果筐明细!$C$4:$C$603,$B87,次果筐明细!$D$4:$D$603,_自动清单!$AS$5,次果筐明细!$F$4:$F$603,"*入库*",次果筐明细!$B$4:$B$603,"&gt;="&amp;$Z$1,次果筐明细!$B$4:$B$603,"&lt;="&amp;$Z$2))</f>
        <v/>
      </c>
      <c r="K87" s="39" t="str">
        <f>IF(OR($B87="",_自动清单!$AS$6=""),"",SUMIFS(次果筐明细!$G$4:$G$603,次果筐明细!$C$4:$C$603,$B87,次果筐明细!$D$4:$D$603,_自动清单!$AS$6,次果筐明细!$F$4:$F$603,"*入库*",次果筐明细!$B$4:$B$603,"&gt;="&amp;$Z$1,次果筐明细!$B$4:$B$603,"&lt;="&amp;$Z$2))</f>
        <v/>
      </c>
      <c r="L87" s="39" t="str">
        <f>IF(OR($B87="",_自动清单!$AS$7=""),"",SUMIFS(次果筐明细!$G$4:$G$603,次果筐明细!$C$4:$C$603,$B87,次果筐明细!$D$4:$D$603,_自动清单!$AS$7,次果筐明细!$F$4:$F$603,"*入库*",次果筐明细!$B$4:$B$603,"&gt;="&amp;$Z$1,次果筐明细!$B$4:$B$603,"&lt;="&amp;$Z$2))</f>
        <v/>
      </c>
      <c r="M87" s="62" t="str">
        <f>IF($B87="","",SUMIFS(次果筐明细!$G$4:$G$603,次果筐明细!$C$4:$C$603,$B87,次果筐明细!$F$4:$F$603,"*入库*",次果筐明细!$B$4:$B$603,"&gt;="&amp;$Z$1,次果筐明细!$B$4:$B$603,"&lt;="&amp;$Z$2)-SUM($I87:$L87))</f>
        <v/>
      </c>
      <c r="N87" s="62" t="str">
        <f t="shared" si="8"/>
        <v/>
      </c>
      <c r="O87" s="39" t="str">
        <f t="shared" si="9"/>
        <v/>
      </c>
      <c r="P87" s="30" t="str">
        <f>IF($B87="","",ROUND(SUMIFS(次果筐明细!$L$4:$L$603,次果筐明细!$C$4:$C$603,$B87,次果筐明细!$B$4:$B$603,"&gt;="&amp;$Z$1,次果筐明细!$B$4:$B$603,"&lt;="&amp;$Z$2),2))</f>
        <v/>
      </c>
      <c r="Q87" s="30" t="str">
        <f>IF($B87="","",ROUND(SUMIFS(次果筐明细!$L$4:$L$603,次果筐明细!$C$4:$C$603,$B87,次果筐明细!$M$4:$M$603,"已收讫",次果筐明细!$B$4:$B$603,"&gt;="&amp;$Z$1,次果筐明细!$B$4:$B$603,"&lt;="&amp;$Z$2),2))</f>
        <v/>
      </c>
      <c r="R87" s="30" t="str">
        <f t="shared" si="10"/>
        <v/>
      </c>
      <c r="S87" s="30" t="str">
        <f>IF($B87="","",ROUND(SUMIFS(次果筐明细!$J$4:$J$603,次果筐明细!$C$4:$C$603,$B87,次果筐明细!$B$4:$B$603,"&gt;="&amp;$Z$1,次果筐明细!$B$4:$B$603,"&lt;="&amp;$Z$2),2))</f>
        <v/>
      </c>
      <c r="T87" s="63" t="str">
        <f>IF($B87="","",ROUND(SUMIFS(次果筐明细!$K$4:$K$603,次果筐明细!$C$4:$C$603,$B87,次果筐明细!$B$4:$B$603,"&gt;="&amp;$Z$1,次果筐明细!$B$4:$B$603,"&lt;="&amp;$Z$2),2))</f>
        <v/>
      </c>
      <c r="U87" s="30" t="str">
        <f t="shared" si="11"/>
        <v/>
      </c>
      <c r="V87" s="42"/>
    </row>
    <row r="88" spans="1:22">
      <c r="A88" s="24" t="str">
        <f t="shared" si="6"/>
        <v/>
      </c>
      <c r="B88" s="37" t="str">
        <f>IFERROR(INDEX(_自动清单!$AY$4:$AY$203,ROW()-3),"")</f>
        <v/>
      </c>
      <c r="C88" s="39" t="str">
        <f>IF(OR($B88="",_自动清单!$AS$4=""),"",SUMIFS(次果筐明细!$G$4:$G$603,次果筐明细!$C$4:$C$603,$B88,次果筐明细!$D$4:$D$603,_自动清单!$AS$4,次果筐明细!$F$4:$F$603,"*出库*",次果筐明细!$B$4:$B$603,"&gt;="&amp;$Z$1,次果筐明细!$B$4:$B$603,"&lt;="&amp;$Z$2))</f>
        <v/>
      </c>
      <c r="D88" s="39" t="str">
        <f>IF(OR($B88="",_自动清单!$AS$5=""),"",SUMIFS(次果筐明细!$G$4:$G$603,次果筐明细!$C$4:$C$603,$B88,次果筐明细!$D$4:$D$603,_自动清单!$AS$5,次果筐明细!$F$4:$F$603,"*出库*",次果筐明细!$B$4:$B$603,"&gt;="&amp;$Z$1,次果筐明细!$B$4:$B$603,"&lt;="&amp;$Z$2))</f>
        <v/>
      </c>
      <c r="E88" s="39" t="str">
        <f>IF(OR($B88="",_自动清单!$AS$6=""),"",SUMIFS(次果筐明细!$G$4:$G$603,次果筐明细!$C$4:$C$603,$B88,次果筐明细!$D$4:$D$603,_自动清单!$AS$6,次果筐明细!$F$4:$F$603,"*出库*",次果筐明细!$B$4:$B$603,"&gt;="&amp;$Z$1,次果筐明细!$B$4:$B$603,"&lt;="&amp;$Z$2))</f>
        <v/>
      </c>
      <c r="F88" s="39" t="str">
        <f>IF(OR($B88="",_自动清单!$AS$7=""),"",SUMIFS(次果筐明细!$G$4:$G$603,次果筐明细!$C$4:$C$603,$B88,次果筐明细!$D$4:$D$603,_自动清单!$AS$7,次果筐明细!$F$4:$F$603,"*出库*",次果筐明细!$B$4:$B$603,"&gt;="&amp;$Z$1,次果筐明细!$B$4:$B$603,"&lt;="&amp;$Z$2))</f>
        <v/>
      </c>
      <c r="G88" s="39" t="str">
        <f>IF($B88="","",SUMIFS(次果筐明细!$G$4:$G$603,次果筐明细!$C$4:$C$603,$B88,次果筐明细!$F$4:$F$603,"*出库*",次果筐明细!$B$4:$B$603,"&gt;="&amp;$Z$1,次果筐明细!$B$4:$B$603,"&lt;="&amp;$Z$2)-SUM($C88:$F88))</f>
        <v/>
      </c>
      <c r="H88" s="39" t="str">
        <f t="shared" si="7"/>
        <v/>
      </c>
      <c r="I88" s="39" t="str">
        <f>IF(OR($B88="",_自动清单!$AS$4=""),"",SUMIFS(次果筐明细!$G$4:$G$603,次果筐明细!$C$4:$C$603,$B88,次果筐明细!$D$4:$D$603,_自动清单!$AS$4,次果筐明细!$F$4:$F$603,"*入库*",次果筐明细!$B$4:$B$603,"&gt;="&amp;$Z$1,次果筐明细!$B$4:$B$603,"&lt;="&amp;$Z$2))</f>
        <v/>
      </c>
      <c r="J88" s="39" t="str">
        <f>IF(OR($B88="",_自动清单!$AS$5=""),"",SUMIFS(次果筐明细!$G$4:$G$603,次果筐明细!$C$4:$C$603,$B88,次果筐明细!$D$4:$D$603,_自动清单!$AS$5,次果筐明细!$F$4:$F$603,"*入库*",次果筐明细!$B$4:$B$603,"&gt;="&amp;$Z$1,次果筐明细!$B$4:$B$603,"&lt;="&amp;$Z$2))</f>
        <v/>
      </c>
      <c r="K88" s="39" t="str">
        <f>IF(OR($B88="",_自动清单!$AS$6=""),"",SUMIFS(次果筐明细!$G$4:$G$603,次果筐明细!$C$4:$C$603,$B88,次果筐明细!$D$4:$D$603,_自动清单!$AS$6,次果筐明细!$F$4:$F$603,"*入库*",次果筐明细!$B$4:$B$603,"&gt;="&amp;$Z$1,次果筐明细!$B$4:$B$603,"&lt;="&amp;$Z$2))</f>
        <v/>
      </c>
      <c r="L88" s="39" t="str">
        <f>IF(OR($B88="",_自动清单!$AS$7=""),"",SUMIFS(次果筐明细!$G$4:$G$603,次果筐明细!$C$4:$C$603,$B88,次果筐明细!$D$4:$D$603,_自动清单!$AS$7,次果筐明细!$F$4:$F$603,"*入库*",次果筐明细!$B$4:$B$603,"&gt;="&amp;$Z$1,次果筐明细!$B$4:$B$603,"&lt;="&amp;$Z$2))</f>
        <v/>
      </c>
      <c r="M88" s="62" t="str">
        <f>IF($B88="","",SUMIFS(次果筐明细!$G$4:$G$603,次果筐明细!$C$4:$C$603,$B88,次果筐明细!$F$4:$F$603,"*入库*",次果筐明细!$B$4:$B$603,"&gt;="&amp;$Z$1,次果筐明细!$B$4:$B$603,"&lt;="&amp;$Z$2)-SUM($I88:$L88))</f>
        <v/>
      </c>
      <c r="N88" s="62" t="str">
        <f t="shared" si="8"/>
        <v/>
      </c>
      <c r="O88" s="39" t="str">
        <f t="shared" si="9"/>
        <v/>
      </c>
      <c r="P88" s="30" t="str">
        <f>IF($B88="","",ROUND(SUMIFS(次果筐明细!$L$4:$L$603,次果筐明细!$C$4:$C$603,$B88,次果筐明细!$B$4:$B$603,"&gt;="&amp;$Z$1,次果筐明细!$B$4:$B$603,"&lt;="&amp;$Z$2),2))</f>
        <v/>
      </c>
      <c r="Q88" s="30" t="str">
        <f>IF($B88="","",ROUND(SUMIFS(次果筐明细!$L$4:$L$603,次果筐明细!$C$4:$C$603,$B88,次果筐明细!$M$4:$M$603,"已收讫",次果筐明细!$B$4:$B$603,"&gt;="&amp;$Z$1,次果筐明细!$B$4:$B$603,"&lt;="&amp;$Z$2),2))</f>
        <v/>
      </c>
      <c r="R88" s="30" t="str">
        <f t="shared" si="10"/>
        <v/>
      </c>
      <c r="S88" s="30" t="str">
        <f>IF($B88="","",ROUND(SUMIFS(次果筐明细!$J$4:$J$603,次果筐明细!$C$4:$C$603,$B88,次果筐明细!$B$4:$B$603,"&gt;="&amp;$Z$1,次果筐明细!$B$4:$B$603,"&lt;="&amp;$Z$2),2))</f>
        <v/>
      </c>
      <c r="T88" s="63" t="str">
        <f>IF($B88="","",ROUND(SUMIFS(次果筐明细!$K$4:$K$603,次果筐明细!$C$4:$C$603,$B88,次果筐明细!$B$4:$B$603,"&gt;="&amp;$Z$1,次果筐明细!$B$4:$B$603,"&lt;="&amp;$Z$2),2))</f>
        <v/>
      </c>
      <c r="U88" s="30" t="str">
        <f t="shared" si="11"/>
        <v/>
      </c>
      <c r="V88" s="42"/>
    </row>
    <row r="89" spans="1:22">
      <c r="A89" s="24" t="str">
        <f t="shared" si="6"/>
        <v/>
      </c>
      <c r="B89" s="37" t="str">
        <f>IFERROR(INDEX(_自动清单!$AY$4:$AY$203,ROW()-3),"")</f>
        <v/>
      </c>
      <c r="C89" s="39" t="str">
        <f>IF(OR($B89="",_自动清单!$AS$4=""),"",SUMIFS(次果筐明细!$G$4:$G$603,次果筐明细!$C$4:$C$603,$B89,次果筐明细!$D$4:$D$603,_自动清单!$AS$4,次果筐明细!$F$4:$F$603,"*出库*",次果筐明细!$B$4:$B$603,"&gt;="&amp;$Z$1,次果筐明细!$B$4:$B$603,"&lt;="&amp;$Z$2))</f>
        <v/>
      </c>
      <c r="D89" s="39" t="str">
        <f>IF(OR($B89="",_自动清单!$AS$5=""),"",SUMIFS(次果筐明细!$G$4:$G$603,次果筐明细!$C$4:$C$603,$B89,次果筐明细!$D$4:$D$603,_自动清单!$AS$5,次果筐明细!$F$4:$F$603,"*出库*",次果筐明细!$B$4:$B$603,"&gt;="&amp;$Z$1,次果筐明细!$B$4:$B$603,"&lt;="&amp;$Z$2))</f>
        <v/>
      </c>
      <c r="E89" s="39" t="str">
        <f>IF(OR($B89="",_自动清单!$AS$6=""),"",SUMIFS(次果筐明细!$G$4:$G$603,次果筐明细!$C$4:$C$603,$B89,次果筐明细!$D$4:$D$603,_自动清单!$AS$6,次果筐明细!$F$4:$F$603,"*出库*",次果筐明细!$B$4:$B$603,"&gt;="&amp;$Z$1,次果筐明细!$B$4:$B$603,"&lt;="&amp;$Z$2))</f>
        <v/>
      </c>
      <c r="F89" s="39" t="str">
        <f>IF(OR($B89="",_自动清单!$AS$7=""),"",SUMIFS(次果筐明细!$G$4:$G$603,次果筐明细!$C$4:$C$603,$B89,次果筐明细!$D$4:$D$603,_自动清单!$AS$7,次果筐明细!$F$4:$F$603,"*出库*",次果筐明细!$B$4:$B$603,"&gt;="&amp;$Z$1,次果筐明细!$B$4:$B$603,"&lt;="&amp;$Z$2))</f>
        <v/>
      </c>
      <c r="G89" s="39" t="str">
        <f>IF($B89="","",SUMIFS(次果筐明细!$G$4:$G$603,次果筐明细!$C$4:$C$603,$B89,次果筐明细!$F$4:$F$603,"*出库*",次果筐明细!$B$4:$B$603,"&gt;="&amp;$Z$1,次果筐明细!$B$4:$B$603,"&lt;="&amp;$Z$2)-SUM($C89:$F89))</f>
        <v/>
      </c>
      <c r="H89" s="39" t="str">
        <f t="shared" si="7"/>
        <v/>
      </c>
      <c r="I89" s="39" t="str">
        <f>IF(OR($B89="",_自动清单!$AS$4=""),"",SUMIFS(次果筐明细!$G$4:$G$603,次果筐明细!$C$4:$C$603,$B89,次果筐明细!$D$4:$D$603,_自动清单!$AS$4,次果筐明细!$F$4:$F$603,"*入库*",次果筐明细!$B$4:$B$603,"&gt;="&amp;$Z$1,次果筐明细!$B$4:$B$603,"&lt;="&amp;$Z$2))</f>
        <v/>
      </c>
      <c r="J89" s="39" t="str">
        <f>IF(OR($B89="",_自动清单!$AS$5=""),"",SUMIFS(次果筐明细!$G$4:$G$603,次果筐明细!$C$4:$C$603,$B89,次果筐明细!$D$4:$D$603,_自动清单!$AS$5,次果筐明细!$F$4:$F$603,"*入库*",次果筐明细!$B$4:$B$603,"&gt;="&amp;$Z$1,次果筐明细!$B$4:$B$603,"&lt;="&amp;$Z$2))</f>
        <v/>
      </c>
      <c r="K89" s="39" t="str">
        <f>IF(OR($B89="",_自动清单!$AS$6=""),"",SUMIFS(次果筐明细!$G$4:$G$603,次果筐明细!$C$4:$C$603,$B89,次果筐明细!$D$4:$D$603,_自动清单!$AS$6,次果筐明细!$F$4:$F$603,"*入库*",次果筐明细!$B$4:$B$603,"&gt;="&amp;$Z$1,次果筐明细!$B$4:$B$603,"&lt;="&amp;$Z$2))</f>
        <v/>
      </c>
      <c r="L89" s="39" t="str">
        <f>IF(OR($B89="",_自动清单!$AS$7=""),"",SUMIFS(次果筐明细!$G$4:$G$603,次果筐明细!$C$4:$C$603,$B89,次果筐明细!$D$4:$D$603,_自动清单!$AS$7,次果筐明细!$F$4:$F$603,"*入库*",次果筐明细!$B$4:$B$603,"&gt;="&amp;$Z$1,次果筐明细!$B$4:$B$603,"&lt;="&amp;$Z$2))</f>
        <v/>
      </c>
      <c r="M89" s="62" t="str">
        <f>IF($B89="","",SUMIFS(次果筐明细!$G$4:$G$603,次果筐明细!$C$4:$C$603,$B89,次果筐明细!$F$4:$F$603,"*入库*",次果筐明细!$B$4:$B$603,"&gt;="&amp;$Z$1,次果筐明细!$B$4:$B$603,"&lt;="&amp;$Z$2)-SUM($I89:$L89))</f>
        <v/>
      </c>
      <c r="N89" s="62" t="str">
        <f t="shared" si="8"/>
        <v/>
      </c>
      <c r="O89" s="39" t="str">
        <f t="shared" si="9"/>
        <v/>
      </c>
      <c r="P89" s="30" t="str">
        <f>IF($B89="","",ROUND(SUMIFS(次果筐明细!$L$4:$L$603,次果筐明细!$C$4:$C$603,$B89,次果筐明细!$B$4:$B$603,"&gt;="&amp;$Z$1,次果筐明细!$B$4:$B$603,"&lt;="&amp;$Z$2),2))</f>
        <v/>
      </c>
      <c r="Q89" s="30" t="str">
        <f>IF($B89="","",ROUND(SUMIFS(次果筐明细!$L$4:$L$603,次果筐明细!$C$4:$C$603,$B89,次果筐明细!$M$4:$M$603,"已收讫",次果筐明细!$B$4:$B$603,"&gt;="&amp;$Z$1,次果筐明细!$B$4:$B$603,"&lt;="&amp;$Z$2),2))</f>
        <v/>
      </c>
      <c r="R89" s="30" t="str">
        <f t="shared" si="10"/>
        <v/>
      </c>
      <c r="S89" s="30" t="str">
        <f>IF($B89="","",ROUND(SUMIFS(次果筐明细!$J$4:$J$603,次果筐明细!$C$4:$C$603,$B89,次果筐明细!$B$4:$B$603,"&gt;="&amp;$Z$1,次果筐明细!$B$4:$B$603,"&lt;="&amp;$Z$2),2))</f>
        <v/>
      </c>
      <c r="T89" s="63" t="str">
        <f>IF($B89="","",ROUND(SUMIFS(次果筐明细!$K$4:$K$603,次果筐明细!$C$4:$C$603,$B89,次果筐明细!$B$4:$B$603,"&gt;="&amp;$Z$1,次果筐明细!$B$4:$B$603,"&lt;="&amp;$Z$2),2))</f>
        <v/>
      </c>
      <c r="U89" s="30" t="str">
        <f t="shared" si="11"/>
        <v/>
      </c>
      <c r="V89" s="42"/>
    </row>
    <row r="90" spans="1:22">
      <c r="A90" s="24" t="str">
        <f t="shared" si="6"/>
        <v/>
      </c>
      <c r="B90" s="37" t="str">
        <f>IFERROR(INDEX(_自动清单!$AY$4:$AY$203,ROW()-3),"")</f>
        <v/>
      </c>
      <c r="C90" s="39" t="str">
        <f>IF(OR($B90="",_自动清单!$AS$4=""),"",SUMIFS(次果筐明细!$G$4:$G$603,次果筐明细!$C$4:$C$603,$B90,次果筐明细!$D$4:$D$603,_自动清单!$AS$4,次果筐明细!$F$4:$F$603,"*出库*",次果筐明细!$B$4:$B$603,"&gt;="&amp;$Z$1,次果筐明细!$B$4:$B$603,"&lt;="&amp;$Z$2))</f>
        <v/>
      </c>
      <c r="D90" s="39" t="str">
        <f>IF(OR($B90="",_自动清单!$AS$5=""),"",SUMIFS(次果筐明细!$G$4:$G$603,次果筐明细!$C$4:$C$603,$B90,次果筐明细!$D$4:$D$603,_自动清单!$AS$5,次果筐明细!$F$4:$F$603,"*出库*",次果筐明细!$B$4:$B$603,"&gt;="&amp;$Z$1,次果筐明细!$B$4:$B$603,"&lt;="&amp;$Z$2))</f>
        <v/>
      </c>
      <c r="E90" s="39" t="str">
        <f>IF(OR($B90="",_自动清单!$AS$6=""),"",SUMIFS(次果筐明细!$G$4:$G$603,次果筐明细!$C$4:$C$603,$B90,次果筐明细!$D$4:$D$603,_自动清单!$AS$6,次果筐明细!$F$4:$F$603,"*出库*",次果筐明细!$B$4:$B$603,"&gt;="&amp;$Z$1,次果筐明细!$B$4:$B$603,"&lt;="&amp;$Z$2))</f>
        <v/>
      </c>
      <c r="F90" s="39" t="str">
        <f>IF(OR($B90="",_自动清单!$AS$7=""),"",SUMIFS(次果筐明细!$G$4:$G$603,次果筐明细!$C$4:$C$603,$B90,次果筐明细!$D$4:$D$603,_自动清单!$AS$7,次果筐明细!$F$4:$F$603,"*出库*",次果筐明细!$B$4:$B$603,"&gt;="&amp;$Z$1,次果筐明细!$B$4:$B$603,"&lt;="&amp;$Z$2))</f>
        <v/>
      </c>
      <c r="G90" s="39" t="str">
        <f>IF($B90="","",SUMIFS(次果筐明细!$G$4:$G$603,次果筐明细!$C$4:$C$603,$B90,次果筐明细!$F$4:$F$603,"*出库*",次果筐明细!$B$4:$B$603,"&gt;="&amp;$Z$1,次果筐明细!$B$4:$B$603,"&lt;="&amp;$Z$2)-SUM($C90:$F90))</f>
        <v/>
      </c>
      <c r="H90" s="39" t="str">
        <f t="shared" si="7"/>
        <v/>
      </c>
      <c r="I90" s="39" t="str">
        <f>IF(OR($B90="",_自动清单!$AS$4=""),"",SUMIFS(次果筐明细!$G$4:$G$603,次果筐明细!$C$4:$C$603,$B90,次果筐明细!$D$4:$D$603,_自动清单!$AS$4,次果筐明细!$F$4:$F$603,"*入库*",次果筐明细!$B$4:$B$603,"&gt;="&amp;$Z$1,次果筐明细!$B$4:$B$603,"&lt;="&amp;$Z$2))</f>
        <v/>
      </c>
      <c r="J90" s="39" t="str">
        <f>IF(OR($B90="",_自动清单!$AS$5=""),"",SUMIFS(次果筐明细!$G$4:$G$603,次果筐明细!$C$4:$C$603,$B90,次果筐明细!$D$4:$D$603,_自动清单!$AS$5,次果筐明细!$F$4:$F$603,"*入库*",次果筐明细!$B$4:$B$603,"&gt;="&amp;$Z$1,次果筐明细!$B$4:$B$603,"&lt;="&amp;$Z$2))</f>
        <v/>
      </c>
      <c r="K90" s="39" t="str">
        <f>IF(OR($B90="",_自动清单!$AS$6=""),"",SUMIFS(次果筐明细!$G$4:$G$603,次果筐明细!$C$4:$C$603,$B90,次果筐明细!$D$4:$D$603,_自动清单!$AS$6,次果筐明细!$F$4:$F$603,"*入库*",次果筐明细!$B$4:$B$603,"&gt;="&amp;$Z$1,次果筐明细!$B$4:$B$603,"&lt;="&amp;$Z$2))</f>
        <v/>
      </c>
      <c r="L90" s="39" t="str">
        <f>IF(OR($B90="",_自动清单!$AS$7=""),"",SUMIFS(次果筐明细!$G$4:$G$603,次果筐明细!$C$4:$C$603,$B90,次果筐明细!$D$4:$D$603,_自动清单!$AS$7,次果筐明细!$F$4:$F$603,"*入库*",次果筐明细!$B$4:$B$603,"&gt;="&amp;$Z$1,次果筐明细!$B$4:$B$603,"&lt;="&amp;$Z$2))</f>
        <v/>
      </c>
      <c r="M90" s="62" t="str">
        <f>IF($B90="","",SUMIFS(次果筐明细!$G$4:$G$603,次果筐明细!$C$4:$C$603,$B90,次果筐明细!$F$4:$F$603,"*入库*",次果筐明细!$B$4:$B$603,"&gt;="&amp;$Z$1,次果筐明细!$B$4:$B$603,"&lt;="&amp;$Z$2)-SUM($I90:$L90))</f>
        <v/>
      </c>
      <c r="N90" s="62" t="str">
        <f t="shared" si="8"/>
        <v/>
      </c>
      <c r="O90" s="39" t="str">
        <f t="shared" si="9"/>
        <v/>
      </c>
      <c r="P90" s="30" t="str">
        <f>IF($B90="","",ROUND(SUMIFS(次果筐明细!$L$4:$L$603,次果筐明细!$C$4:$C$603,$B90,次果筐明细!$B$4:$B$603,"&gt;="&amp;$Z$1,次果筐明细!$B$4:$B$603,"&lt;="&amp;$Z$2),2))</f>
        <v/>
      </c>
      <c r="Q90" s="30" t="str">
        <f>IF($B90="","",ROUND(SUMIFS(次果筐明细!$L$4:$L$603,次果筐明细!$C$4:$C$603,$B90,次果筐明细!$M$4:$M$603,"已收讫",次果筐明细!$B$4:$B$603,"&gt;="&amp;$Z$1,次果筐明细!$B$4:$B$603,"&lt;="&amp;$Z$2),2))</f>
        <v/>
      </c>
      <c r="R90" s="30" t="str">
        <f t="shared" si="10"/>
        <v/>
      </c>
      <c r="S90" s="30" t="str">
        <f>IF($B90="","",ROUND(SUMIFS(次果筐明细!$J$4:$J$603,次果筐明细!$C$4:$C$603,$B90,次果筐明细!$B$4:$B$603,"&gt;="&amp;$Z$1,次果筐明细!$B$4:$B$603,"&lt;="&amp;$Z$2),2))</f>
        <v/>
      </c>
      <c r="T90" s="63" t="str">
        <f>IF($B90="","",ROUND(SUMIFS(次果筐明细!$K$4:$K$603,次果筐明细!$C$4:$C$603,$B90,次果筐明细!$B$4:$B$603,"&gt;="&amp;$Z$1,次果筐明细!$B$4:$B$603,"&lt;="&amp;$Z$2),2))</f>
        <v/>
      </c>
      <c r="U90" s="30" t="str">
        <f t="shared" si="11"/>
        <v/>
      </c>
      <c r="V90" s="42"/>
    </row>
    <row r="91" spans="1:22">
      <c r="A91" s="24" t="str">
        <f t="shared" si="6"/>
        <v/>
      </c>
      <c r="B91" s="37" t="str">
        <f>IFERROR(INDEX(_自动清单!$AY$4:$AY$203,ROW()-3),"")</f>
        <v/>
      </c>
      <c r="C91" s="39" t="str">
        <f>IF(OR($B91="",_自动清单!$AS$4=""),"",SUMIFS(次果筐明细!$G$4:$G$603,次果筐明细!$C$4:$C$603,$B91,次果筐明细!$D$4:$D$603,_自动清单!$AS$4,次果筐明细!$F$4:$F$603,"*出库*",次果筐明细!$B$4:$B$603,"&gt;="&amp;$Z$1,次果筐明细!$B$4:$B$603,"&lt;="&amp;$Z$2))</f>
        <v/>
      </c>
      <c r="D91" s="39" t="str">
        <f>IF(OR($B91="",_自动清单!$AS$5=""),"",SUMIFS(次果筐明细!$G$4:$G$603,次果筐明细!$C$4:$C$603,$B91,次果筐明细!$D$4:$D$603,_自动清单!$AS$5,次果筐明细!$F$4:$F$603,"*出库*",次果筐明细!$B$4:$B$603,"&gt;="&amp;$Z$1,次果筐明细!$B$4:$B$603,"&lt;="&amp;$Z$2))</f>
        <v/>
      </c>
      <c r="E91" s="39" t="str">
        <f>IF(OR($B91="",_自动清单!$AS$6=""),"",SUMIFS(次果筐明细!$G$4:$G$603,次果筐明细!$C$4:$C$603,$B91,次果筐明细!$D$4:$D$603,_自动清单!$AS$6,次果筐明细!$F$4:$F$603,"*出库*",次果筐明细!$B$4:$B$603,"&gt;="&amp;$Z$1,次果筐明细!$B$4:$B$603,"&lt;="&amp;$Z$2))</f>
        <v/>
      </c>
      <c r="F91" s="39" t="str">
        <f>IF(OR($B91="",_自动清单!$AS$7=""),"",SUMIFS(次果筐明细!$G$4:$G$603,次果筐明细!$C$4:$C$603,$B91,次果筐明细!$D$4:$D$603,_自动清单!$AS$7,次果筐明细!$F$4:$F$603,"*出库*",次果筐明细!$B$4:$B$603,"&gt;="&amp;$Z$1,次果筐明细!$B$4:$B$603,"&lt;="&amp;$Z$2))</f>
        <v/>
      </c>
      <c r="G91" s="39" t="str">
        <f>IF($B91="","",SUMIFS(次果筐明细!$G$4:$G$603,次果筐明细!$C$4:$C$603,$B91,次果筐明细!$F$4:$F$603,"*出库*",次果筐明细!$B$4:$B$603,"&gt;="&amp;$Z$1,次果筐明细!$B$4:$B$603,"&lt;="&amp;$Z$2)-SUM($C91:$F91))</f>
        <v/>
      </c>
      <c r="H91" s="39" t="str">
        <f t="shared" si="7"/>
        <v/>
      </c>
      <c r="I91" s="39" t="str">
        <f>IF(OR($B91="",_自动清单!$AS$4=""),"",SUMIFS(次果筐明细!$G$4:$G$603,次果筐明细!$C$4:$C$603,$B91,次果筐明细!$D$4:$D$603,_自动清单!$AS$4,次果筐明细!$F$4:$F$603,"*入库*",次果筐明细!$B$4:$B$603,"&gt;="&amp;$Z$1,次果筐明细!$B$4:$B$603,"&lt;="&amp;$Z$2))</f>
        <v/>
      </c>
      <c r="J91" s="39" t="str">
        <f>IF(OR($B91="",_自动清单!$AS$5=""),"",SUMIFS(次果筐明细!$G$4:$G$603,次果筐明细!$C$4:$C$603,$B91,次果筐明细!$D$4:$D$603,_自动清单!$AS$5,次果筐明细!$F$4:$F$603,"*入库*",次果筐明细!$B$4:$B$603,"&gt;="&amp;$Z$1,次果筐明细!$B$4:$B$603,"&lt;="&amp;$Z$2))</f>
        <v/>
      </c>
      <c r="K91" s="39" t="str">
        <f>IF(OR($B91="",_自动清单!$AS$6=""),"",SUMIFS(次果筐明细!$G$4:$G$603,次果筐明细!$C$4:$C$603,$B91,次果筐明细!$D$4:$D$603,_自动清单!$AS$6,次果筐明细!$F$4:$F$603,"*入库*",次果筐明细!$B$4:$B$603,"&gt;="&amp;$Z$1,次果筐明细!$B$4:$B$603,"&lt;="&amp;$Z$2))</f>
        <v/>
      </c>
      <c r="L91" s="39" t="str">
        <f>IF(OR($B91="",_自动清单!$AS$7=""),"",SUMIFS(次果筐明细!$G$4:$G$603,次果筐明细!$C$4:$C$603,$B91,次果筐明细!$D$4:$D$603,_自动清单!$AS$7,次果筐明细!$F$4:$F$603,"*入库*",次果筐明细!$B$4:$B$603,"&gt;="&amp;$Z$1,次果筐明细!$B$4:$B$603,"&lt;="&amp;$Z$2))</f>
        <v/>
      </c>
      <c r="M91" s="62" t="str">
        <f>IF($B91="","",SUMIFS(次果筐明细!$G$4:$G$603,次果筐明细!$C$4:$C$603,$B91,次果筐明细!$F$4:$F$603,"*入库*",次果筐明细!$B$4:$B$603,"&gt;="&amp;$Z$1,次果筐明细!$B$4:$B$603,"&lt;="&amp;$Z$2)-SUM($I91:$L91))</f>
        <v/>
      </c>
      <c r="N91" s="62" t="str">
        <f t="shared" si="8"/>
        <v/>
      </c>
      <c r="O91" s="39" t="str">
        <f t="shared" si="9"/>
        <v/>
      </c>
      <c r="P91" s="30" t="str">
        <f>IF($B91="","",ROUND(SUMIFS(次果筐明细!$L$4:$L$603,次果筐明细!$C$4:$C$603,$B91,次果筐明细!$B$4:$B$603,"&gt;="&amp;$Z$1,次果筐明细!$B$4:$B$603,"&lt;="&amp;$Z$2),2))</f>
        <v/>
      </c>
      <c r="Q91" s="30" t="str">
        <f>IF($B91="","",ROUND(SUMIFS(次果筐明细!$L$4:$L$603,次果筐明细!$C$4:$C$603,$B91,次果筐明细!$M$4:$M$603,"已收讫",次果筐明细!$B$4:$B$603,"&gt;="&amp;$Z$1,次果筐明细!$B$4:$B$603,"&lt;="&amp;$Z$2),2))</f>
        <v/>
      </c>
      <c r="R91" s="30" t="str">
        <f t="shared" si="10"/>
        <v/>
      </c>
      <c r="S91" s="30" t="str">
        <f>IF($B91="","",ROUND(SUMIFS(次果筐明细!$J$4:$J$603,次果筐明细!$C$4:$C$603,$B91,次果筐明细!$B$4:$B$603,"&gt;="&amp;$Z$1,次果筐明细!$B$4:$B$603,"&lt;="&amp;$Z$2),2))</f>
        <v/>
      </c>
      <c r="T91" s="63" t="str">
        <f>IF($B91="","",ROUND(SUMIFS(次果筐明细!$K$4:$K$603,次果筐明细!$C$4:$C$603,$B91,次果筐明细!$B$4:$B$603,"&gt;="&amp;$Z$1,次果筐明细!$B$4:$B$603,"&lt;="&amp;$Z$2),2))</f>
        <v/>
      </c>
      <c r="U91" s="30" t="str">
        <f t="shared" si="11"/>
        <v/>
      </c>
      <c r="V91" s="42"/>
    </row>
    <row r="92" spans="1:22">
      <c r="A92" s="24" t="str">
        <f t="shared" si="6"/>
        <v/>
      </c>
      <c r="B92" s="37" t="str">
        <f>IFERROR(INDEX(_自动清单!$AY$4:$AY$203,ROW()-3),"")</f>
        <v/>
      </c>
      <c r="C92" s="39" t="str">
        <f>IF(OR($B92="",_自动清单!$AS$4=""),"",SUMIFS(次果筐明细!$G$4:$G$603,次果筐明细!$C$4:$C$603,$B92,次果筐明细!$D$4:$D$603,_自动清单!$AS$4,次果筐明细!$F$4:$F$603,"*出库*",次果筐明细!$B$4:$B$603,"&gt;="&amp;$Z$1,次果筐明细!$B$4:$B$603,"&lt;="&amp;$Z$2))</f>
        <v/>
      </c>
      <c r="D92" s="39" t="str">
        <f>IF(OR($B92="",_自动清单!$AS$5=""),"",SUMIFS(次果筐明细!$G$4:$G$603,次果筐明细!$C$4:$C$603,$B92,次果筐明细!$D$4:$D$603,_自动清单!$AS$5,次果筐明细!$F$4:$F$603,"*出库*",次果筐明细!$B$4:$B$603,"&gt;="&amp;$Z$1,次果筐明细!$B$4:$B$603,"&lt;="&amp;$Z$2))</f>
        <v/>
      </c>
      <c r="E92" s="39" t="str">
        <f>IF(OR($B92="",_自动清单!$AS$6=""),"",SUMIFS(次果筐明细!$G$4:$G$603,次果筐明细!$C$4:$C$603,$B92,次果筐明细!$D$4:$D$603,_自动清单!$AS$6,次果筐明细!$F$4:$F$603,"*出库*",次果筐明细!$B$4:$B$603,"&gt;="&amp;$Z$1,次果筐明细!$B$4:$B$603,"&lt;="&amp;$Z$2))</f>
        <v/>
      </c>
      <c r="F92" s="39" t="str">
        <f>IF(OR($B92="",_自动清单!$AS$7=""),"",SUMIFS(次果筐明细!$G$4:$G$603,次果筐明细!$C$4:$C$603,$B92,次果筐明细!$D$4:$D$603,_自动清单!$AS$7,次果筐明细!$F$4:$F$603,"*出库*",次果筐明细!$B$4:$B$603,"&gt;="&amp;$Z$1,次果筐明细!$B$4:$B$603,"&lt;="&amp;$Z$2))</f>
        <v/>
      </c>
      <c r="G92" s="39" t="str">
        <f>IF($B92="","",SUMIFS(次果筐明细!$G$4:$G$603,次果筐明细!$C$4:$C$603,$B92,次果筐明细!$F$4:$F$603,"*出库*",次果筐明细!$B$4:$B$603,"&gt;="&amp;$Z$1,次果筐明细!$B$4:$B$603,"&lt;="&amp;$Z$2)-SUM($C92:$F92))</f>
        <v/>
      </c>
      <c r="H92" s="39" t="str">
        <f t="shared" si="7"/>
        <v/>
      </c>
      <c r="I92" s="39" t="str">
        <f>IF(OR($B92="",_自动清单!$AS$4=""),"",SUMIFS(次果筐明细!$G$4:$G$603,次果筐明细!$C$4:$C$603,$B92,次果筐明细!$D$4:$D$603,_自动清单!$AS$4,次果筐明细!$F$4:$F$603,"*入库*",次果筐明细!$B$4:$B$603,"&gt;="&amp;$Z$1,次果筐明细!$B$4:$B$603,"&lt;="&amp;$Z$2))</f>
        <v/>
      </c>
      <c r="J92" s="39" t="str">
        <f>IF(OR($B92="",_自动清单!$AS$5=""),"",SUMIFS(次果筐明细!$G$4:$G$603,次果筐明细!$C$4:$C$603,$B92,次果筐明细!$D$4:$D$603,_自动清单!$AS$5,次果筐明细!$F$4:$F$603,"*入库*",次果筐明细!$B$4:$B$603,"&gt;="&amp;$Z$1,次果筐明细!$B$4:$B$603,"&lt;="&amp;$Z$2))</f>
        <v/>
      </c>
      <c r="K92" s="39" t="str">
        <f>IF(OR($B92="",_自动清单!$AS$6=""),"",SUMIFS(次果筐明细!$G$4:$G$603,次果筐明细!$C$4:$C$603,$B92,次果筐明细!$D$4:$D$603,_自动清单!$AS$6,次果筐明细!$F$4:$F$603,"*入库*",次果筐明细!$B$4:$B$603,"&gt;="&amp;$Z$1,次果筐明细!$B$4:$B$603,"&lt;="&amp;$Z$2))</f>
        <v/>
      </c>
      <c r="L92" s="39" t="str">
        <f>IF(OR($B92="",_自动清单!$AS$7=""),"",SUMIFS(次果筐明细!$G$4:$G$603,次果筐明细!$C$4:$C$603,$B92,次果筐明细!$D$4:$D$603,_自动清单!$AS$7,次果筐明细!$F$4:$F$603,"*入库*",次果筐明细!$B$4:$B$603,"&gt;="&amp;$Z$1,次果筐明细!$B$4:$B$603,"&lt;="&amp;$Z$2))</f>
        <v/>
      </c>
      <c r="M92" s="62" t="str">
        <f>IF($B92="","",SUMIFS(次果筐明细!$G$4:$G$603,次果筐明细!$C$4:$C$603,$B92,次果筐明细!$F$4:$F$603,"*入库*",次果筐明细!$B$4:$B$603,"&gt;="&amp;$Z$1,次果筐明细!$B$4:$B$603,"&lt;="&amp;$Z$2)-SUM($I92:$L92))</f>
        <v/>
      </c>
      <c r="N92" s="62" t="str">
        <f t="shared" si="8"/>
        <v/>
      </c>
      <c r="O92" s="39" t="str">
        <f t="shared" si="9"/>
        <v/>
      </c>
      <c r="P92" s="30" t="str">
        <f>IF($B92="","",ROUND(SUMIFS(次果筐明细!$L$4:$L$603,次果筐明细!$C$4:$C$603,$B92,次果筐明细!$B$4:$B$603,"&gt;="&amp;$Z$1,次果筐明细!$B$4:$B$603,"&lt;="&amp;$Z$2),2))</f>
        <v/>
      </c>
      <c r="Q92" s="30" t="str">
        <f>IF($B92="","",ROUND(SUMIFS(次果筐明细!$L$4:$L$603,次果筐明细!$C$4:$C$603,$B92,次果筐明细!$M$4:$M$603,"已收讫",次果筐明细!$B$4:$B$603,"&gt;="&amp;$Z$1,次果筐明细!$B$4:$B$603,"&lt;="&amp;$Z$2),2))</f>
        <v/>
      </c>
      <c r="R92" s="30" t="str">
        <f t="shared" si="10"/>
        <v/>
      </c>
      <c r="S92" s="30" t="str">
        <f>IF($B92="","",ROUND(SUMIFS(次果筐明细!$J$4:$J$603,次果筐明细!$C$4:$C$603,$B92,次果筐明细!$B$4:$B$603,"&gt;="&amp;$Z$1,次果筐明细!$B$4:$B$603,"&lt;="&amp;$Z$2),2))</f>
        <v/>
      </c>
      <c r="T92" s="63" t="str">
        <f>IF($B92="","",ROUND(SUMIFS(次果筐明细!$K$4:$K$603,次果筐明细!$C$4:$C$603,$B92,次果筐明细!$B$4:$B$603,"&gt;="&amp;$Z$1,次果筐明细!$B$4:$B$603,"&lt;="&amp;$Z$2),2))</f>
        <v/>
      </c>
      <c r="U92" s="30" t="str">
        <f t="shared" si="11"/>
        <v/>
      </c>
      <c r="V92" s="42"/>
    </row>
    <row r="93" spans="1:22">
      <c r="A93" s="24" t="str">
        <f t="shared" si="6"/>
        <v/>
      </c>
      <c r="B93" s="37" t="str">
        <f>IFERROR(INDEX(_自动清单!$AY$4:$AY$203,ROW()-3),"")</f>
        <v/>
      </c>
      <c r="C93" s="39" t="str">
        <f>IF(OR($B93="",_自动清单!$AS$4=""),"",SUMIFS(次果筐明细!$G$4:$G$603,次果筐明细!$C$4:$C$603,$B93,次果筐明细!$D$4:$D$603,_自动清单!$AS$4,次果筐明细!$F$4:$F$603,"*出库*",次果筐明细!$B$4:$B$603,"&gt;="&amp;$Z$1,次果筐明细!$B$4:$B$603,"&lt;="&amp;$Z$2))</f>
        <v/>
      </c>
      <c r="D93" s="39" t="str">
        <f>IF(OR($B93="",_自动清单!$AS$5=""),"",SUMIFS(次果筐明细!$G$4:$G$603,次果筐明细!$C$4:$C$603,$B93,次果筐明细!$D$4:$D$603,_自动清单!$AS$5,次果筐明细!$F$4:$F$603,"*出库*",次果筐明细!$B$4:$B$603,"&gt;="&amp;$Z$1,次果筐明细!$B$4:$B$603,"&lt;="&amp;$Z$2))</f>
        <v/>
      </c>
      <c r="E93" s="39" t="str">
        <f>IF(OR($B93="",_自动清单!$AS$6=""),"",SUMIFS(次果筐明细!$G$4:$G$603,次果筐明细!$C$4:$C$603,$B93,次果筐明细!$D$4:$D$603,_自动清单!$AS$6,次果筐明细!$F$4:$F$603,"*出库*",次果筐明细!$B$4:$B$603,"&gt;="&amp;$Z$1,次果筐明细!$B$4:$B$603,"&lt;="&amp;$Z$2))</f>
        <v/>
      </c>
      <c r="F93" s="39" t="str">
        <f>IF(OR($B93="",_自动清单!$AS$7=""),"",SUMIFS(次果筐明细!$G$4:$G$603,次果筐明细!$C$4:$C$603,$B93,次果筐明细!$D$4:$D$603,_自动清单!$AS$7,次果筐明细!$F$4:$F$603,"*出库*",次果筐明细!$B$4:$B$603,"&gt;="&amp;$Z$1,次果筐明细!$B$4:$B$603,"&lt;="&amp;$Z$2))</f>
        <v/>
      </c>
      <c r="G93" s="39" t="str">
        <f>IF($B93="","",SUMIFS(次果筐明细!$G$4:$G$603,次果筐明细!$C$4:$C$603,$B93,次果筐明细!$F$4:$F$603,"*出库*",次果筐明细!$B$4:$B$603,"&gt;="&amp;$Z$1,次果筐明细!$B$4:$B$603,"&lt;="&amp;$Z$2)-SUM($C93:$F93))</f>
        <v/>
      </c>
      <c r="H93" s="39" t="str">
        <f t="shared" si="7"/>
        <v/>
      </c>
      <c r="I93" s="39" t="str">
        <f>IF(OR($B93="",_自动清单!$AS$4=""),"",SUMIFS(次果筐明细!$G$4:$G$603,次果筐明细!$C$4:$C$603,$B93,次果筐明细!$D$4:$D$603,_自动清单!$AS$4,次果筐明细!$F$4:$F$603,"*入库*",次果筐明细!$B$4:$B$603,"&gt;="&amp;$Z$1,次果筐明细!$B$4:$B$603,"&lt;="&amp;$Z$2))</f>
        <v/>
      </c>
      <c r="J93" s="39" t="str">
        <f>IF(OR($B93="",_自动清单!$AS$5=""),"",SUMIFS(次果筐明细!$G$4:$G$603,次果筐明细!$C$4:$C$603,$B93,次果筐明细!$D$4:$D$603,_自动清单!$AS$5,次果筐明细!$F$4:$F$603,"*入库*",次果筐明细!$B$4:$B$603,"&gt;="&amp;$Z$1,次果筐明细!$B$4:$B$603,"&lt;="&amp;$Z$2))</f>
        <v/>
      </c>
      <c r="K93" s="39" t="str">
        <f>IF(OR($B93="",_自动清单!$AS$6=""),"",SUMIFS(次果筐明细!$G$4:$G$603,次果筐明细!$C$4:$C$603,$B93,次果筐明细!$D$4:$D$603,_自动清单!$AS$6,次果筐明细!$F$4:$F$603,"*入库*",次果筐明细!$B$4:$B$603,"&gt;="&amp;$Z$1,次果筐明细!$B$4:$B$603,"&lt;="&amp;$Z$2))</f>
        <v/>
      </c>
      <c r="L93" s="39" t="str">
        <f>IF(OR($B93="",_自动清单!$AS$7=""),"",SUMIFS(次果筐明细!$G$4:$G$603,次果筐明细!$C$4:$C$603,$B93,次果筐明细!$D$4:$D$603,_自动清单!$AS$7,次果筐明细!$F$4:$F$603,"*入库*",次果筐明细!$B$4:$B$603,"&gt;="&amp;$Z$1,次果筐明细!$B$4:$B$603,"&lt;="&amp;$Z$2))</f>
        <v/>
      </c>
      <c r="M93" s="62" t="str">
        <f>IF($B93="","",SUMIFS(次果筐明细!$G$4:$G$603,次果筐明细!$C$4:$C$603,$B93,次果筐明细!$F$4:$F$603,"*入库*",次果筐明细!$B$4:$B$603,"&gt;="&amp;$Z$1,次果筐明细!$B$4:$B$603,"&lt;="&amp;$Z$2)-SUM($I93:$L93))</f>
        <v/>
      </c>
      <c r="N93" s="62" t="str">
        <f t="shared" si="8"/>
        <v/>
      </c>
      <c r="O93" s="39" t="str">
        <f t="shared" si="9"/>
        <v/>
      </c>
      <c r="P93" s="30" t="str">
        <f>IF($B93="","",ROUND(SUMIFS(次果筐明细!$L$4:$L$603,次果筐明细!$C$4:$C$603,$B93,次果筐明细!$B$4:$B$603,"&gt;="&amp;$Z$1,次果筐明细!$B$4:$B$603,"&lt;="&amp;$Z$2),2))</f>
        <v/>
      </c>
      <c r="Q93" s="30" t="str">
        <f>IF($B93="","",ROUND(SUMIFS(次果筐明细!$L$4:$L$603,次果筐明细!$C$4:$C$603,$B93,次果筐明细!$M$4:$M$603,"已收讫",次果筐明细!$B$4:$B$603,"&gt;="&amp;$Z$1,次果筐明细!$B$4:$B$603,"&lt;="&amp;$Z$2),2))</f>
        <v/>
      </c>
      <c r="R93" s="30" t="str">
        <f t="shared" si="10"/>
        <v/>
      </c>
      <c r="S93" s="30" t="str">
        <f>IF($B93="","",ROUND(SUMIFS(次果筐明细!$J$4:$J$603,次果筐明细!$C$4:$C$603,$B93,次果筐明细!$B$4:$B$603,"&gt;="&amp;$Z$1,次果筐明细!$B$4:$B$603,"&lt;="&amp;$Z$2),2))</f>
        <v/>
      </c>
      <c r="T93" s="63" t="str">
        <f>IF($B93="","",ROUND(SUMIFS(次果筐明细!$K$4:$K$603,次果筐明细!$C$4:$C$603,$B93,次果筐明细!$B$4:$B$603,"&gt;="&amp;$Z$1,次果筐明细!$B$4:$B$603,"&lt;="&amp;$Z$2),2))</f>
        <v/>
      </c>
      <c r="U93" s="30" t="str">
        <f t="shared" si="11"/>
        <v/>
      </c>
      <c r="V93" s="42"/>
    </row>
    <row r="94" spans="1:22">
      <c r="A94" s="24" t="str">
        <f t="shared" si="6"/>
        <v/>
      </c>
      <c r="B94" s="37" t="str">
        <f>IFERROR(INDEX(_自动清单!$AY$4:$AY$203,ROW()-3),"")</f>
        <v/>
      </c>
      <c r="C94" s="39" t="str">
        <f>IF(OR($B94="",_自动清单!$AS$4=""),"",SUMIFS(次果筐明细!$G$4:$G$603,次果筐明细!$C$4:$C$603,$B94,次果筐明细!$D$4:$D$603,_自动清单!$AS$4,次果筐明细!$F$4:$F$603,"*出库*",次果筐明细!$B$4:$B$603,"&gt;="&amp;$Z$1,次果筐明细!$B$4:$B$603,"&lt;="&amp;$Z$2))</f>
        <v/>
      </c>
      <c r="D94" s="39" t="str">
        <f>IF(OR($B94="",_自动清单!$AS$5=""),"",SUMIFS(次果筐明细!$G$4:$G$603,次果筐明细!$C$4:$C$603,$B94,次果筐明细!$D$4:$D$603,_自动清单!$AS$5,次果筐明细!$F$4:$F$603,"*出库*",次果筐明细!$B$4:$B$603,"&gt;="&amp;$Z$1,次果筐明细!$B$4:$B$603,"&lt;="&amp;$Z$2))</f>
        <v/>
      </c>
      <c r="E94" s="39" t="str">
        <f>IF(OR($B94="",_自动清单!$AS$6=""),"",SUMIFS(次果筐明细!$G$4:$G$603,次果筐明细!$C$4:$C$603,$B94,次果筐明细!$D$4:$D$603,_自动清单!$AS$6,次果筐明细!$F$4:$F$603,"*出库*",次果筐明细!$B$4:$B$603,"&gt;="&amp;$Z$1,次果筐明细!$B$4:$B$603,"&lt;="&amp;$Z$2))</f>
        <v/>
      </c>
      <c r="F94" s="39" t="str">
        <f>IF(OR($B94="",_自动清单!$AS$7=""),"",SUMIFS(次果筐明细!$G$4:$G$603,次果筐明细!$C$4:$C$603,$B94,次果筐明细!$D$4:$D$603,_自动清单!$AS$7,次果筐明细!$F$4:$F$603,"*出库*",次果筐明细!$B$4:$B$603,"&gt;="&amp;$Z$1,次果筐明细!$B$4:$B$603,"&lt;="&amp;$Z$2))</f>
        <v/>
      </c>
      <c r="G94" s="39" t="str">
        <f>IF($B94="","",SUMIFS(次果筐明细!$G$4:$G$603,次果筐明细!$C$4:$C$603,$B94,次果筐明细!$F$4:$F$603,"*出库*",次果筐明细!$B$4:$B$603,"&gt;="&amp;$Z$1,次果筐明细!$B$4:$B$603,"&lt;="&amp;$Z$2)-SUM($C94:$F94))</f>
        <v/>
      </c>
      <c r="H94" s="39" t="str">
        <f t="shared" si="7"/>
        <v/>
      </c>
      <c r="I94" s="39" t="str">
        <f>IF(OR($B94="",_自动清单!$AS$4=""),"",SUMIFS(次果筐明细!$G$4:$G$603,次果筐明细!$C$4:$C$603,$B94,次果筐明细!$D$4:$D$603,_自动清单!$AS$4,次果筐明细!$F$4:$F$603,"*入库*",次果筐明细!$B$4:$B$603,"&gt;="&amp;$Z$1,次果筐明细!$B$4:$B$603,"&lt;="&amp;$Z$2))</f>
        <v/>
      </c>
      <c r="J94" s="39" t="str">
        <f>IF(OR($B94="",_自动清单!$AS$5=""),"",SUMIFS(次果筐明细!$G$4:$G$603,次果筐明细!$C$4:$C$603,$B94,次果筐明细!$D$4:$D$603,_自动清单!$AS$5,次果筐明细!$F$4:$F$603,"*入库*",次果筐明细!$B$4:$B$603,"&gt;="&amp;$Z$1,次果筐明细!$B$4:$B$603,"&lt;="&amp;$Z$2))</f>
        <v/>
      </c>
      <c r="K94" s="39" t="str">
        <f>IF(OR($B94="",_自动清单!$AS$6=""),"",SUMIFS(次果筐明细!$G$4:$G$603,次果筐明细!$C$4:$C$603,$B94,次果筐明细!$D$4:$D$603,_自动清单!$AS$6,次果筐明细!$F$4:$F$603,"*入库*",次果筐明细!$B$4:$B$603,"&gt;="&amp;$Z$1,次果筐明细!$B$4:$B$603,"&lt;="&amp;$Z$2))</f>
        <v/>
      </c>
      <c r="L94" s="39" t="str">
        <f>IF(OR($B94="",_自动清单!$AS$7=""),"",SUMIFS(次果筐明细!$G$4:$G$603,次果筐明细!$C$4:$C$603,$B94,次果筐明细!$D$4:$D$603,_自动清单!$AS$7,次果筐明细!$F$4:$F$603,"*入库*",次果筐明细!$B$4:$B$603,"&gt;="&amp;$Z$1,次果筐明细!$B$4:$B$603,"&lt;="&amp;$Z$2))</f>
        <v/>
      </c>
      <c r="M94" s="62" t="str">
        <f>IF($B94="","",SUMIFS(次果筐明细!$G$4:$G$603,次果筐明细!$C$4:$C$603,$B94,次果筐明细!$F$4:$F$603,"*入库*",次果筐明细!$B$4:$B$603,"&gt;="&amp;$Z$1,次果筐明细!$B$4:$B$603,"&lt;="&amp;$Z$2)-SUM($I94:$L94))</f>
        <v/>
      </c>
      <c r="N94" s="62" t="str">
        <f t="shared" si="8"/>
        <v/>
      </c>
      <c r="O94" s="39" t="str">
        <f t="shared" si="9"/>
        <v/>
      </c>
      <c r="P94" s="30" t="str">
        <f>IF($B94="","",ROUND(SUMIFS(次果筐明细!$L$4:$L$603,次果筐明细!$C$4:$C$603,$B94,次果筐明细!$B$4:$B$603,"&gt;="&amp;$Z$1,次果筐明细!$B$4:$B$603,"&lt;="&amp;$Z$2),2))</f>
        <v/>
      </c>
      <c r="Q94" s="30" t="str">
        <f>IF($B94="","",ROUND(SUMIFS(次果筐明细!$L$4:$L$603,次果筐明细!$C$4:$C$603,$B94,次果筐明细!$M$4:$M$603,"已收讫",次果筐明细!$B$4:$B$603,"&gt;="&amp;$Z$1,次果筐明细!$B$4:$B$603,"&lt;="&amp;$Z$2),2))</f>
        <v/>
      </c>
      <c r="R94" s="30" t="str">
        <f t="shared" si="10"/>
        <v/>
      </c>
      <c r="S94" s="30" t="str">
        <f>IF($B94="","",ROUND(SUMIFS(次果筐明细!$J$4:$J$603,次果筐明细!$C$4:$C$603,$B94,次果筐明细!$B$4:$B$603,"&gt;="&amp;$Z$1,次果筐明细!$B$4:$B$603,"&lt;="&amp;$Z$2),2))</f>
        <v/>
      </c>
      <c r="T94" s="63" t="str">
        <f>IF($B94="","",ROUND(SUMIFS(次果筐明细!$K$4:$K$603,次果筐明细!$C$4:$C$603,$B94,次果筐明细!$B$4:$B$603,"&gt;="&amp;$Z$1,次果筐明细!$B$4:$B$603,"&lt;="&amp;$Z$2),2))</f>
        <v/>
      </c>
      <c r="U94" s="30" t="str">
        <f t="shared" si="11"/>
        <v/>
      </c>
      <c r="V94" s="42"/>
    </row>
    <row r="95" spans="1:22">
      <c r="A95" s="24" t="str">
        <f t="shared" si="6"/>
        <v/>
      </c>
      <c r="B95" s="37" t="str">
        <f>IFERROR(INDEX(_自动清单!$AY$4:$AY$203,ROW()-3),"")</f>
        <v/>
      </c>
      <c r="C95" s="39" t="str">
        <f>IF(OR($B95="",_自动清单!$AS$4=""),"",SUMIFS(次果筐明细!$G$4:$G$603,次果筐明细!$C$4:$C$603,$B95,次果筐明细!$D$4:$D$603,_自动清单!$AS$4,次果筐明细!$F$4:$F$603,"*出库*",次果筐明细!$B$4:$B$603,"&gt;="&amp;$Z$1,次果筐明细!$B$4:$B$603,"&lt;="&amp;$Z$2))</f>
        <v/>
      </c>
      <c r="D95" s="39" t="str">
        <f>IF(OR($B95="",_自动清单!$AS$5=""),"",SUMIFS(次果筐明细!$G$4:$G$603,次果筐明细!$C$4:$C$603,$B95,次果筐明细!$D$4:$D$603,_自动清单!$AS$5,次果筐明细!$F$4:$F$603,"*出库*",次果筐明细!$B$4:$B$603,"&gt;="&amp;$Z$1,次果筐明细!$B$4:$B$603,"&lt;="&amp;$Z$2))</f>
        <v/>
      </c>
      <c r="E95" s="39" t="str">
        <f>IF(OR($B95="",_自动清单!$AS$6=""),"",SUMIFS(次果筐明细!$G$4:$G$603,次果筐明细!$C$4:$C$603,$B95,次果筐明细!$D$4:$D$603,_自动清单!$AS$6,次果筐明细!$F$4:$F$603,"*出库*",次果筐明细!$B$4:$B$603,"&gt;="&amp;$Z$1,次果筐明细!$B$4:$B$603,"&lt;="&amp;$Z$2))</f>
        <v/>
      </c>
      <c r="F95" s="39" t="str">
        <f>IF(OR($B95="",_自动清单!$AS$7=""),"",SUMIFS(次果筐明细!$G$4:$G$603,次果筐明细!$C$4:$C$603,$B95,次果筐明细!$D$4:$D$603,_自动清单!$AS$7,次果筐明细!$F$4:$F$603,"*出库*",次果筐明细!$B$4:$B$603,"&gt;="&amp;$Z$1,次果筐明细!$B$4:$B$603,"&lt;="&amp;$Z$2))</f>
        <v/>
      </c>
      <c r="G95" s="39" t="str">
        <f>IF($B95="","",SUMIFS(次果筐明细!$G$4:$G$603,次果筐明细!$C$4:$C$603,$B95,次果筐明细!$F$4:$F$603,"*出库*",次果筐明细!$B$4:$B$603,"&gt;="&amp;$Z$1,次果筐明细!$B$4:$B$603,"&lt;="&amp;$Z$2)-SUM($C95:$F95))</f>
        <v/>
      </c>
      <c r="H95" s="39" t="str">
        <f t="shared" si="7"/>
        <v/>
      </c>
      <c r="I95" s="39" t="str">
        <f>IF(OR($B95="",_自动清单!$AS$4=""),"",SUMIFS(次果筐明细!$G$4:$G$603,次果筐明细!$C$4:$C$603,$B95,次果筐明细!$D$4:$D$603,_自动清单!$AS$4,次果筐明细!$F$4:$F$603,"*入库*",次果筐明细!$B$4:$B$603,"&gt;="&amp;$Z$1,次果筐明细!$B$4:$B$603,"&lt;="&amp;$Z$2))</f>
        <v/>
      </c>
      <c r="J95" s="39" t="str">
        <f>IF(OR($B95="",_自动清单!$AS$5=""),"",SUMIFS(次果筐明细!$G$4:$G$603,次果筐明细!$C$4:$C$603,$B95,次果筐明细!$D$4:$D$603,_自动清单!$AS$5,次果筐明细!$F$4:$F$603,"*入库*",次果筐明细!$B$4:$B$603,"&gt;="&amp;$Z$1,次果筐明细!$B$4:$B$603,"&lt;="&amp;$Z$2))</f>
        <v/>
      </c>
      <c r="K95" s="39" t="str">
        <f>IF(OR($B95="",_自动清单!$AS$6=""),"",SUMIFS(次果筐明细!$G$4:$G$603,次果筐明细!$C$4:$C$603,$B95,次果筐明细!$D$4:$D$603,_自动清单!$AS$6,次果筐明细!$F$4:$F$603,"*入库*",次果筐明细!$B$4:$B$603,"&gt;="&amp;$Z$1,次果筐明细!$B$4:$B$603,"&lt;="&amp;$Z$2))</f>
        <v/>
      </c>
      <c r="L95" s="39" t="str">
        <f>IF(OR($B95="",_自动清单!$AS$7=""),"",SUMIFS(次果筐明细!$G$4:$G$603,次果筐明细!$C$4:$C$603,$B95,次果筐明细!$D$4:$D$603,_自动清单!$AS$7,次果筐明细!$F$4:$F$603,"*入库*",次果筐明细!$B$4:$B$603,"&gt;="&amp;$Z$1,次果筐明细!$B$4:$B$603,"&lt;="&amp;$Z$2))</f>
        <v/>
      </c>
      <c r="M95" s="62" t="str">
        <f>IF($B95="","",SUMIFS(次果筐明细!$G$4:$G$603,次果筐明细!$C$4:$C$603,$B95,次果筐明细!$F$4:$F$603,"*入库*",次果筐明细!$B$4:$B$603,"&gt;="&amp;$Z$1,次果筐明细!$B$4:$B$603,"&lt;="&amp;$Z$2)-SUM($I95:$L95))</f>
        <v/>
      </c>
      <c r="N95" s="62" t="str">
        <f t="shared" si="8"/>
        <v/>
      </c>
      <c r="O95" s="39" t="str">
        <f t="shared" si="9"/>
        <v/>
      </c>
      <c r="P95" s="30" t="str">
        <f>IF($B95="","",ROUND(SUMIFS(次果筐明细!$L$4:$L$603,次果筐明细!$C$4:$C$603,$B95,次果筐明细!$B$4:$B$603,"&gt;="&amp;$Z$1,次果筐明细!$B$4:$B$603,"&lt;="&amp;$Z$2),2))</f>
        <v/>
      </c>
      <c r="Q95" s="30" t="str">
        <f>IF($B95="","",ROUND(SUMIFS(次果筐明细!$L$4:$L$603,次果筐明细!$C$4:$C$603,$B95,次果筐明细!$M$4:$M$603,"已收讫",次果筐明细!$B$4:$B$603,"&gt;="&amp;$Z$1,次果筐明细!$B$4:$B$603,"&lt;="&amp;$Z$2),2))</f>
        <v/>
      </c>
      <c r="R95" s="30" t="str">
        <f t="shared" si="10"/>
        <v/>
      </c>
      <c r="S95" s="30" t="str">
        <f>IF($B95="","",ROUND(SUMIFS(次果筐明细!$J$4:$J$603,次果筐明细!$C$4:$C$603,$B95,次果筐明细!$B$4:$B$603,"&gt;="&amp;$Z$1,次果筐明细!$B$4:$B$603,"&lt;="&amp;$Z$2),2))</f>
        <v/>
      </c>
      <c r="T95" s="63" t="str">
        <f>IF($B95="","",ROUND(SUMIFS(次果筐明细!$K$4:$K$603,次果筐明细!$C$4:$C$603,$B95,次果筐明细!$B$4:$B$603,"&gt;="&amp;$Z$1,次果筐明细!$B$4:$B$603,"&lt;="&amp;$Z$2),2))</f>
        <v/>
      </c>
      <c r="U95" s="30" t="str">
        <f t="shared" si="11"/>
        <v/>
      </c>
      <c r="V95" s="42"/>
    </row>
    <row r="96" spans="1:22">
      <c r="A96" s="24" t="str">
        <f t="shared" si="6"/>
        <v/>
      </c>
      <c r="B96" s="37" t="str">
        <f>IFERROR(INDEX(_自动清单!$AY$4:$AY$203,ROW()-3),"")</f>
        <v/>
      </c>
      <c r="C96" s="39" t="str">
        <f>IF(OR($B96="",_自动清单!$AS$4=""),"",SUMIFS(次果筐明细!$G$4:$G$603,次果筐明细!$C$4:$C$603,$B96,次果筐明细!$D$4:$D$603,_自动清单!$AS$4,次果筐明细!$F$4:$F$603,"*出库*",次果筐明细!$B$4:$B$603,"&gt;="&amp;$Z$1,次果筐明细!$B$4:$B$603,"&lt;="&amp;$Z$2))</f>
        <v/>
      </c>
      <c r="D96" s="39" t="str">
        <f>IF(OR($B96="",_自动清单!$AS$5=""),"",SUMIFS(次果筐明细!$G$4:$G$603,次果筐明细!$C$4:$C$603,$B96,次果筐明细!$D$4:$D$603,_自动清单!$AS$5,次果筐明细!$F$4:$F$603,"*出库*",次果筐明细!$B$4:$B$603,"&gt;="&amp;$Z$1,次果筐明细!$B$4:$B$603,"&lt;="&amp;$Z$2))</f>
        <v/>
      </c>
      <c r="E96" s="39" t="str">
        <f>IF(OR($B96="",_自动清单!$AS$6=""),"",SUMIFS(次果筐明细!$G$4:$G$603,次果筐明细!$C$4:$C$603,$B96,次果筐明细!$D$4:$D$603,_自动清单!$AS$6,次果筐明细!$F$4:$F$603,"*出库*",次果筐明细!$B$4:$B$603,"&gt;="&amp;$Z$1,次果筐明细!$B$4:$B$603,"&lt;="&amp;$Z$2))</f>
        <v/>
      </c>
      <c r="F96" s="39" t="str">
        <f>IF(OR($B96="",_自动清单!$AS$7=""),"",SUMIFS(次果筐明细!$G$4:$G$603,次果筐明细!$C$4:$C$603,$B96,次果筐明细!$D$4:$D$603,_自动清单!$AS$7,次果筐明细!$F$4:$F$603,"*出库*",次果筐明细!$B$4:$B$603,"&gt;="&amp;$Z$1,次果筐明细!$B$4:$B$603,"&lt;="&amp;$Z$2))</f>
        <v/>
      </c>
      <c r="G96" s="39" t="str">
        <f>IF($B96="","",SUMIFS(次果筐明细!$G$4:$G$603,次果筐明细!$C$4:$C$603,$B96,次果筐明细!$F$4:$F$603,"*出库*",次果筐明细!$B$4:$B$603,"&gt;="&amp;$Z$1,次果筐明细!$B$4:$B$603,"&lt;="&amp;$Z$2)-SUM($C96:$F96))</f>
        <v/>
      </c>
      <c r="H96" s="39" t="str">
        <f t="shared" si="7"/>
        <v/>
      </c>
      <c r="I96" s="39" t="str">
        <f>IF(OR($B96="",_自动清单!$AS$4=""),"",SUMIFS(次果筐明细!$G$4:$G$603,次果筐明细!$C$4:$C$603,$B96,次果筐明细!$D$4:$D$603,_自动清单!$AS$4,次果筐明细!$F$4:$F$603,"*入库*",次果筐明细!$B$4:$B$603,"&gt;="&amp;$Z$1,次果筐明细!$B$4:$B$603,"&lt;="&amp;$Z$2))</f>
        <v/>
      </c>
      <c r="J96" s="39" t="str">
        <f>IF(OR($B96="",_自动清单!$AS$5=""),"",SUMIFS(次果筐明细!$G$4:$G$603,次果筐明细!$C$4:$C$603,$B96,次果筐明细!$D$4:$D$603,_自动清单!$AS$5,次果筐明细!$F$4:$F$603,"*入库*",次果筐明细!$B$4:$B$603,"&gt;="&amp;$Z$1,次果筐明细!$B$4:$B$603,"&lt;="&amp;$Z$2))</f>
        <v/>
      </c>
      <c r="K96" s="39" t="str">
        <f>IF(OR($B96="",_自动清单!$AS$6=""),"",SUMIFS(次果筐明细!$G$4:$G$603,次果筐明细!$C$4:$C$603,$B96,次果筐明细!$D$4:$D$603,_自动清单!$AS$6,次果筐明细!$F$4:$F$603,"*入库*",次果筐明细!$B$4:$B$603,"&gt;="&amp;$Z$1,次果筐明细!$B$4:$B$603,"&lt;="&amp;$Z$2))</f>
        <v/>
      </c>
      <c r="L96" s="39" t="str">
        <f>IF(OR($B96="",_自动清单!$AS$7=""),"",SUMIFS(次果筐明细!$G$4:$G$603,次果筐明细!$C$4:$C$603,$B96,次果筐明细!$D$4:$D$603,_自动清单!$AS$7,次果筐明细!$F$4:$F$603,"*入库*",次果筐明细!$B$4:$B$603,"&gt;="&amp;$Z$1,次果筐明细!$B$4:$B$603,"&lt;="&amp;$Z$2))</f>
        <v/>
      </c>
      <c r="M96" s="62" t="str">
        <f>IF($B96="","",SUMIFS(次果筐明细!$G$4:$G$603,次果筐明细!$C$4:$C$603,$B96,次果筐明细!$F$4:$F$603,"*入库*",次果筐明细!$B$4:$B$603,"&gt;="&amp;$Z$1,次果筐明细!$B$4:$B$603,"&lt;="&amp;$Z$2)-SUM($I96:$L96))</f>
        <v/>
      </c>
      <c r="N96" s="62" t="str">
        <f t="shared" si="8"/>
        <v/>
      </c>
      <c r="O96" s="39" t="str">
        <f t="shared" si="9"/>
        <v/>
      </c>
      <c r="P96" s="30" t="str">
        <f>IF($B96="","",ROUND(SUMIFS(次果筐明细!$L$4:$L$603,次果筐明细!$C$4:$C$603,$B96,次果筐明细!$B$4:$B$603,"&gt;="&amp;$Z$1,次果筐明细!$B$4:$B$603,"&lt;="&amp;$Z$2),2))</f>
        <v/>
      </c>
      <c r="Q96" s="30" t="str">
        <f>IF($B96="","",ROUND(SUMIFS(次果筐明细!$L$4:$L$603,次果筐明细!$C$4:$C$603,$B96,次果筐明细!$M$4:$M$603,"已收讫",次果筐明细!$B$4:$B$603,"&gt;="&amp;$Z$1,次果筐明细!$B$4:$B$603,"&lt;="&amp;$Z$2),2))</f>
        <v/>
      </c>
      <c r="R96" s="30" t="str">
        <f t="shared" si="10"/>
        <v/>
      </c>
      <c r="S96" s="30" t="str">
        <f>IF($B96="","",ROUND(SUMIFS(次果筐明细!$J$4:$J$603,次果筐明细!$C$4:$C$603,$B96,次果筐明细!$B$4:$B$603,"&gt;="&amp;$Z$1,次果筐明细!$B$4:$B$603,"&lt;="&amp;$Z$2),2))</f>
        <v/>
      </c>
      <c r="T96" s="63" t="str">
        <f>IF($B96="","",ROUND(SUMIFS(次果筐明细!$K$4:$K$603,次果筐明细!$C$4:$C$603,$B96,次果筐明细!$B$4:$B$603,"&gt;="&amp;$Z$1,次果筐明细!$B$4:$B$603,"&lt;="&amp;$Z$2),2))</f>
        <v/>
      </c>
      <c r="U96" s="30" t="str">
        <f t="shared" si="11"/>
        <v/>
      </c>
      <c r="V96" s="42"/>
    </row>
    <row r="97" spans="1:22">
      <c r="A97" s="24" t="str">
        <f t="shared" si="6"/>
        <v/>
      </c>
      <c r="B97" s="37" t="str">
        <f>IFERROR(INDEX(_自动清单!$AY$4:$AY$203,ROW()-3),"")</f>
        <v/>
      </c>
      <c r="C97" s="39" t="str">
        <f>IF(OR($B97="",_自动清单!$AS$4=""),"",SUMIFS(次果筐明细!$G$4:$G$603,次果筐明细!$C$4:$C$603,$B97,次果筐明细!$D$4:$D$603,_自动清单!$AS$4,次果筐明细!$F$4:$F$603,"*出库*",次果筐明细!$B$4:$B$603,"&gt;="&amp;$Z$1,次果筐明细!$B$4:$B$603,"&lt;="&amp;$Z$2))</f>
        <v/>
      </c>
      <c r="D97" s="39" t="str">
        <f>IF(OR($B97="",_自动清单!$AS$5=""),"",SUMIFS(次果筐明细!$G$4:$G$603,次果筐明细!$C$4:$C$603,$B97,次果筐明细!$D$4:$D$603,_自动清单!$AS$5,次果筐明细!$F$4:$F$603,"*出库*",次果筐明细!$B$4:$B$603,"&gt;="&amp;$Z$1,次果筐明细!$B$4:$B$603,"&lt;="&amp;$Z$2))</f>
        <v/>
      </c>
      <c r="E97" s="39" t="str">
        <f>IF(OR($B97="",_自动清单!$AS$6=""),"",SUMIFS(次果筐明细!$G$4:$G$603,次果筐明细!$C$4:$C$603,$B97,次果筐明细!$D$4:$D$603,_自动清单!$AS$6,次果筐明细!$F$4:$F$603,"*出库*",次果筐明细!$B$4:$B$603,"&gt;="&amp;$Z$1,次果筐明细!$B$4:$B$603,"&lt;="&amp;$Z$2))</f>
        <v/>
      </c>
      <c r="F97" s="39" t="str">
        <f>IF(OR($B97="",_自动清单!$AS$7=""),"",SUMIFS(次果筐明细!$G$4:$G$603,次果筐明细!$C$4:$C$603,$B97,次果筐明细!$D$4:$D$603,_自动清单!$AS$7,次果筐明细!$F$4:$F$603,"*出库*",次果筐明细!$B$4:$B$603,"&gt;="&amp;$Z$1,次果筐明细!$B$4:$B$603,"&lt;="&amp;$Z$2))</f>
        <v/>
      </c>
      <c r="G97" s="39" t="str">
        <f>IF($B97="","",SUMIFS(次果筐明细!$G$4:$G$603,次果筐明细!$C$4:$C$603,$B97,次果筐明细!$F$4:$F$603,"*出库*",次果筐明细!$B$4:$B$603,"&gt;="&amp;$Z$1,次果筐明细!$B$4:$B$603,"&lt;="&amp;$Z$2)-SUM($C97:$F97))</f>
        <v/>
      </c>
      <c r="H97" s="39" t="str">
        <f t="shared" si="7"/>
        <v/>
      </c>
      <c r="I97" s="39" t="str">
        <f>IF(OR($B97="",_自动清单!$AS$4=""),"",SUMIFS(次果筐明细!$G$4:$G$603,次果筐明细!$C$4:$C$603,$B97,次果筐明细!$D$4:$D$603,_自动清单!$AS$4,次果筐明细!$F$4:$F$603,"*入库*",次果筐明细!$B$4:$B$603,"&gt;="&amp;$Z$1,次果筐明细!$B$4:$B$603,"&lt;="&amp;$Z$2))</f>
        <v/>
      </c>
      <c r="J97" s="39" t="str">
        <f>IF(OR($B97="",_自动清单!$AS$5=""),"",SUMIFS(次果筐明细!$G$4:$G$603,次果筐明细!$C$4:$C$603,$B97,次果筐明细!$D$4:$D$603,_自动清单!$AS$5,次果筐明细!$F$4:$F$603,"*入库*",次果筐明细!$B$4:$B$603,"&gt;="&amp;$Z$1,次果筐明细!$B$4:$B$603,"&lt;="&amp;$Z$2))</f>
        <v/>
      </c>
      <c r="K97" s="39" t="str">
        <f>IF(OR($B97="",_自动清单!$AS$6=""),"",SUMIFS(次果筐明细!$G$4:$G$603,次果筐明细!$C$4:$C$603,$B97,次果筐明细!$D$4:$D$603,_自动清单!$AS$6,次果筐明细!$F$4:$F$603,"*入库*",次果筐明细!$B$4:$B$603,"&gt;="&amp;$Z$1,次果筐明细!$B$4:$B$603,"&lt;="&amp;$Z$2))</f>
        <v/>
      </c>
      <c r="L97" s="39" t="str">
        <f>IF(OR($B97="",_自动清单!$AS$7=""),"",SUMIFS(次果筐明细!$G$4:$G$603,次果筐明细!$C$4:$C$603,$B97,次果筐明细!$D$4:$D$603,_自动清单!$AS$7,次果筐明细!$F$4:$F$603,"*入库*",次果筐明细!$B$4:$B$603,"&gt;="&amp;$Z$1,次果筐明细!$B$4:$B$603,"&lt;="&amp;$Z$2))</f>
        <v/>
      </c>
      <c r="M97" s="62" t="str">
        <f>IF($B97="","",SUMIFS(次果筐明细!$G$4:$G$603,次果筐明细!$C$4:$C$603,$B97,次果筐明细!$F$4:$F$603,"*入库*",次果筐明细!$B$4:$B$603,"&gt;="&amp;$Z$1,次果筐明细!$B$4:$B$603,"&lt;="&amp;$Z$2)-SUM($I97:$L97))</f>
        <v/>
      </c>
      <c r="N97" s="62" t="str">
        <f t="shared" si="8"/>
        <v/>
      </c>
      <c r="O97" s="39" t="str">
        <f t="shared" si="9"/>
        <v/>
      </c>
      <c r="P97" s="30" t="str">
        <f>IF($B97="","",ROUND(SUMIFS(次果筐明细!$L$4:$L$603,次果筐明细!$C$4:$C$603,$B97,次果筐明细!$B$4:$B$603,"&gt;="&amp;$Z$1,次果筐明细!$B$4:$B$603,"&lt;="&amp;$Z$2),2))</f>
        <v/>
      </c>
      <c r="Q97" s="30" t="str">
        <f>IF($B97="","",ROUND(SUMIFS(次果筐明细!$L$4:$L$603,次果筐明细!$C$4:$C$603,$B97,次果筐明细!$M$4:$M$603,"已收讫",次果筐明细!$B$4:$B$603,"&gt;="&amp;$Z$1,次果筐明细!$B$4:$B$603,"&lt;="&amp;$Z$2),2))</f>
        <v/>
      </c>
      <c r="R97" s="30" t="str">
        <f t="shared" si="10"/>
        <v/>
      </c>
      <c r="S97" s="30" t="str">
        <f>IF($B97="","",ROUND(SUMIFS(次果筐明细!$J$4:$J$603,次果筐明细!$C$4:$C$603,$B97,次果筐明细!$B$4:$B$603,"&gt;="&amp;$Z$1,次果筐明细!$B$4:$B$603,"&lt;="&amp;$Z$2),2))</f>
        <v/>
      </c>
      <c r="T97" s="63" t="str">
        <f>IF($B97="","",ROUND(SUMIFS(次果筐明细!$K$4:$K$603,次果筐明细!$C$4:$C$603,$B97,次果筐明细!$B$4:$B$603,"&gt;="&amp;$Z$1,次果筐明细!$B$4:$B$603,"&lt;="&amp;$Z$2),2))</f>
        <v/>
      </c>
      <c r="U97" s="30" t="str">
        <f t="shared" si="11"/>
        <v/>
      </c>
      <c r="V97" s="42"/>
    </row>
    <row r="98" spans="1:22">
      <c r="A98" s="24" t="str">
        <f t="shared" si="6"/>
        <v/>
      </c>
      <c r="B98" s="37" t="str">
        <f>IFERROR(INDEX(_自动清单!$AY$4:$AY$203,ROW()-3),"")</f>
        <v/>
      </c>
      <c r="C98" s="39" t="str">
        <f>IF(OR($B98="",_自动清单!$AS$4=""),"",SUMIFS(次果筐明细!$G$4:$G$603,次果筐明细!$C$4:$C$603,$B98,次果筐明细!$D$4:$D$603,_自动清单!$AS$4,次果筐明细!$F$4:$F$603,"*出库*",次果筐明细!$B$4:$B$603,"&gt;="&amp;$Z$1,次果筐明细!$B$4:$B$603,"&lt;="&amp;$Z$2))</f>
        <v/>
      </c>
      <c r="D98" s="39" t="str">
        <f>IF(OR($B98="",_自动清单!$AS$5=""),"",SUMIFS(次果筐明细!$G$4:$G$603,次果筐明细!$C$4:$C$603,$B98,次果筐明细!$D$4:$D$603,_自动清单!$AS$5,次果筐明细!$F$4:$F$603,"*出库*",次果筐明细!$B$4:$B$603,"&gt;="&amp;$Z$1,次果筐明细!$B$4:$B$603,"&lt;="&amp;$Z$2))</f>
        <v/>
      </c>
      <c r="E98" s="39" t="str">
        <f>IF(OR($B98="",_自动清单!$AS$6=""),"",SUMIFS(次果筐明细!$G$4:$G$603,次果筐明细!$C$4:$C$603,$B98,次果筐明细!$D$4:$D$603,_自动清单!$AS$6,次果筐明细!$F$4:$F$603,"*出库*",次果筐明细!$B$4:$B$603,"&gt;="&amp;$Z$1,次果筐明细!$B$4:$B$603,"&lt;="&amp;$Z$2))</f>
        <v/>
      </c>
      <c r="F98" s="39" t="str">
        <f>IF(OR($B98="",_自动清单!$AS$7=""),"",SUMIFS(次果筐明细!$G$4:$G$603,次果筐明细!$C$4:$C$603,$B98,次果筐明细!$D$4:$D$603,_自动清单!$AS$7,次果筐明细!$F$4:$F$603,"*出库*",次果筐明细!$B$4:$B$603,"&gt;="&amp;$Z$1,次果筐明细!$B$4:$B$603,"&lt;="&amp;$Z$2))</f>
        <v/>
      </c>
      <c r="G98" s="39" t="str">
        <f>IF($B98="","",SUMIFS(次果筐明细!$G$4:$G$603,次果筐明细!$C$4:$C$603,$B98,次果筐明细!$F$4:$F$603,"*出库*",次果筐明细!$B$4:$B$603,"&gt;="&amp;$Z$1,次果筐明细!$B$4:$B$603,"&lt;="&amp;$Z$2)-SUM($C98:$F98))</f>
        <v/>
      </c>
      <c r="H98" s="39" t="str">
        <f t="shared" si="7"/>
        <v/>
      </c>
      <c r="I98" s="39" t="str">
        <f>IF(OR($B98="",_自动清单!$AS$4=""),"",SUMIFS(次果筐明细!$G$4:$G$603,次果筐明细!$C$4:$C$603,$B98,次果筐明细!$D$4:$D$603,_自动清单!$AS$4,次果筐明细!$F$4:$F$603,"*入库*",次果筐明细!$B$4:$B$603,"&gt;="&amp;$Z$1,次果筐明细!$B$4:$B$603,"&lt;="&amp;$Z$2))</f>
        <v/>
      </c>
      <c r="J98" s="39" t="str">
        <f>IF(OR($B98="",_自动清单!$AS$5=""),"",SUMIFS(次果筐明细!$G$4:$G$603,次果筐明细!$C$4:$C$603,$B98,次果筐明细!$D$4:$D$603,_自动清单!$AS$5,次果筐明细!$F$4:$F$603,"*入库*",次果筐明细!$B$4:$B$603,"&gt;="&amp;$Z$1,次果筐明细!$B$4:$B$603,"&lt;="&amp;$Z$2))</f>
        <v/>
      </c>
      <c r="K98" s="39" t="str">
        <f>IF(OR($B98="",_自动清单!$AS$6=""),"",SUMIFS(次果筐明细!$G$4:$G$603,次果筐明细!$C$4:$C$603,$B98,次果筐明细!$D$4:$D$603,_自动清单!$AS$6,次果筐明细!$F$4:$F$603,"*入库*",次果筐明细!$B$4:$B$603,"&gt;="&amp;$Z$1,次果筐明细!$B$4:$B$603,"&lt;="&amp;$Z$2))</f>
        <v/>
      </c>
      <c r="L98" s="39" t="str">
        <f>IF(OR($B98="",_自动清单!$AS$7=""),"",SUMIFS(次果筐明细!$G$4:$G$603,次果筐明细!$C$4:$C$603,$B98,次果筐明细!$D$4:$D$603,_自动清单!$AS$7,次果筐明细!$F$4:$F$603,"*入库*",次果筐明细!$B$4:$B$603,"&gt;="&amp;$Z$1,次果筐明细!$B$4:$B$603,"&lt;="&amp;$Z$2))</f>
        <v/>
      </c>
      <c r="M98" s="62" t="str">
        <f>IF($B98="","",SUMIFS(次果筐明细!$G$4:$G$603,次果筐明细!$C$4:$C$603,$B98,次果筐明细!$F$4:$F$603,"*入库*",次果筐明细!$B$4:$B$603,"&gt;="&amp;$Z$1,次果筐明细!$B$4:$B$603,"&lt;="&amp;$Z$2)-SUM($I98:$L98))</f>
        <v/>
      </c>
      <c r="N98" s="62" t="str">
        <f t="shared" si="8"/>
        <v/>
      </c>
      <c r="O98" s="39" t="str">
        <f t="shared" si="9"/>
        <v/>
      </c>
      <c r="P98" s="30" t="str">
        <f>IF($B98="","",ROUND(SUMIFS(次果筐明细!$L$4:$L$603,次果筐明细!$C$4:$C$603,$B98,次果筐明细!$B$4:$B$603,"&gt;="&amp;$Z$1,次果筐明细!$B$4:$B$603,"&lt;="&amp;$Z$2),2))</f>
        <v/>
      </c>
      <c r="Q98" s="30" t="str">
        <f>IF($B98="","",ROUND(SUMIFS(次果筐明细!$L$4:$L$603,次果筐明细!$C$4:$C$603,$B98,次果筐明细!$M$4:$M$603,"已收讫",次果筐明细!$B$4:$B$603,"&gt;="&amp;$Z$1,次果筐明细!$B$4:$B$603,"&lt;="&amp;$Z$2),2))</f>
        <v/>
      </c>
      <c r="R98" s="30" t="str">
        <f t="shared" si="10"/>
        <v/>
      </c>
      <c r="S98" s="30" t="str">
        <f>IF($B98="","",ROUND(SUMIFS(次果筐明细!$J$4:$J$603,次果筐明细!$C$4:$C$603,$B98,次果筐明细!$B$4:$B$603,"&gt;="&amp;$Z$1,次果筐明细!$B$4:$B$603,"&lt;="&amp;$Z$2),2))</f>
        <v/>
      </c>
      <c r="T98" s="63" t="str">
        <f>IF($B98="","",ROUND(SUMIFS(次果筐明细!$K$4:$K$603,次果筐明细!$C$4:$C$603,$B98,次果筐明细!$B$4:$B$603,"&gt;="&amp;$Z$1,次果筐明细!$B$4:$B$603,"&lt;="&amp;$Z$2),2))</f>
        <v/>
      </c>
      <c r="U98" s="30" t="str">
        <f t="shared" si="11"/>
        <v/>
      </c>
      <c r="V98" s="42"/>
    </row>
    <row r="99" spans="1:22">
      <c r="A99" s="24" t="str">
        <f t="shared" si="6"/>
        <v/>
      </c>
      <c r="B99" s="37" t="str">
        <f>IFERROR(INDEX(_自动清单!$AY$4:$AY$203,ROW()-3),"")</f>
        <v/>
      </c>
      <c r="C99" s="39" t="str">
        <f>IF(OR($B99="",_自动清单!$AS$4=""),"",SUMIFS(次果筐明细!$G$4:$G$603,次果筐明细!$C$4:$C$603,$B99,次果筐明细!$D$4:$D$603,_自动清单!$AS$4,次果筐明细!$F$4:$F$603,"*出库*",次果筐明细!$B$4:$B$603,"&gt;="&amp;$Z$1,次果筐明细!$B$4:$B$603,"&lt;="&amp;$Z$2))</f>
        <v/>
      </c>
      <c r="D99" s="39" t="str">
        <f>IF(OR($B99="",_自动清单!$AS$5=""),"",SUMIFS(次果筐明细!$G$4:$G$603,次果筐明细!$C$4:$C$603,$B99,次果筐明细!$D$4:$D$603,_自动清单!$AS$5,次果筐明细!$F$4:$F$603,"*出库*",次果筐明细!$B$4:$B$603,"&gt;="&amp;$Z$1,次果筐明细!$B$4:$B$603,"&lt;="&amp;$Z$2))</f>
        <v/>
      </c>
      <c r="E99" s="39" t="str">
        <f>IF(OR($B99="",_自动清单!$AS$6=""),"",SUMIFS(次果筐明细!$G$4:$G$603,次果筐明细!$C$4:$C$603,$B99,次果筐明细!$D$4:$D$603,_自动清单!$AS$6,次果筐明细!$F$4:$F$603,"*出库*",次果筐明细!$B$4:$B$603,"&gt;="&amp;$Z$1,次果筐明细!$B$4:$B$603,"&lt;="&amp;$Z$2))</f>
        <v/>
      </c>
      <c r="F99" s="39" t="str">
        <f>IF(OR($B99="",_自动清单!$AS$7=""),"",SUMIFS(次果筐明细!$G$4:$G$603,次果筐明细!$C$4:$C$603,$B99,次果筐明细!$D$4:$D$603,_自动清单!$AS$7,次果筐明细!$F$4:$F$603,"*出库*",次果筐明细!$B$4:$B$603,"&gt;="&amp;$Z$1,次果筐明细!$B$4:$B$603,"&lt;="&amp;$Z$2))</f>
        <v/>
      </c>
      <c r="G99" s="39" t="str">
        <f>IF($B99="","",SUMIFS(次果筐明细!$G$4:$G$603,次果筐明细!$C$4:$C$603,$B99,次果筐明细!$F$4:$F$603,"*出库*",次果筐明细!$B$4:$B$603,"&gt;="&amp;$Z$1,次果筐明细!$B$4:$B$603,"&lt;="&amp;$Z$2)-SUM($C99:$F99))</f>
        <v/>
      </c>
      <c r="H99" s="39" t="str">
        <f t="shared" si="7"/>
        <v/>
      </c>
      <c r="I99" s="39" t="str">
        <f>IF(OR($B99="",_自动清单!$AS$4=""),"",SUMIFS(次果筐明细!$G$4:$G$603,次果筐明细!$C$4:$C$603,$B99,次果筐明细!$D$4:$D$603,_自动清单!$AS$4,次果筐明细!$F$4:$F$603,"*入库*",次果筐明细!$B$4:$B$603,"&gt;="&amp;$Z$1,次果筐明细!$B$4:$B$603,"&lt;="&amp;$Z$2))</f>
        <v/>
      </c>
      <c r="J99" s="39" t="str">
        <f>IF(OR($B99="",_自动清单!$AS$5=""),"",SUMIFS(次果筐明细!$G$4:$G$603,次果筐明细!$C$4:$C$603,$B99,次果筐明细!$D$4:$D$603,_自动清单!$AS$5,次果筐明细!$F$4:$F$603,"*入库*",次果筐明细!$B$4:$B$603,"&gt;="&amp;$Z$1,次果筐明细!$B$4:$B$603,"&lt;="&amp;$Z$2))</f>
        <v/>
      </c>
      <c r="K99" s="39" t="str">
        <f>IF(OR($B99="",_自动清单!$AS$6=""),"",SUMIFS(次果筐明细!$G$4:$G$603,次果筐明细!$C$4:$C$603,$B99,次果筐明细!$D$4:$D$603,_自动清单!$AS$6,次果筐明细!$F$4:$F$603,"*入库*",次果筐明细!$B$4:$B$603,"&gt;="&amp;$Z$1,次果筐明细!$B$4:$B$603,"&lt;="&amp;$Z$2))</f>
        <v/>
      </c>
      <c r="L99" s="39" t="str">
        <f>IF(OR($B99="",_自动清单!$AS$7=""),"",SUMIFS(次果筐明细!$G$4:$G$603,次果筐明细!$C$4:$C$603,$B99,次果筐明细!$D$4:$D$603,_自动清单!$AS$7,次果筐明细!$F$4:$F$603,"*入库*",次果筐明细!$B$4:$B$603,"&gt;="&amp;$Z$1,次果筐明细!$B$4:$B$603,"&lt;="&amp;$Z$2))</f>
        <v/>
      </c>
      <c r="M99" s="62" t="str">
        <f>IF($B99="","",SUMIFS(次果筐明细!$G$4:$G$603,次果筐明细!$C$4:$C$603,$B99,次果筐明细!$F$4:$F$603,"*入库*",次果筐明细!$B$4:$B$603,"&gt;="&amp;$Z$1,次果筐明细!$B$4:$B$603,"&lt;="&amp;$Z$2)-SUM($I99:$L99))</f>
        <v/>
      </c>
      <c r="N99" s="62" t="str">
        <f t="shared" si="8"/>
        <v/>
      </c>
      <c r="O99" s="39" t="str">
        <f t="shared" si="9"/>
        <v/>
      </c>
      <c r="P99" s="30" t="str">
        <f>IF($B99="","",ROUND(SUMIFS(次果筐明细!$L$4:$L$603,次果筐明细!$C$4:$C$603,$B99,次果筐明细!$B$4:$B$603,"&gt;="&amp;$Z$1,次果筐明细!$B$4:$B$603,"&lt;="&amp;$Z$2),2))</f>
        <v/>
      </c>
      <c r="Q99" s="30" t="str">
        <f>IF($B99="","",ROUND(SUMIFS(次果筐明细!$L$4:$L$603,次果筐明细!$C$4:$C$603,$B99,次果筐明细!$M$4:$M$603,"已收讫",次果筐明细!$B$4:$B$603,"&gt;="&amp;$Z$1,次果筐明细!$B$4:$B$603,"&lt;="&amp;$Z$2),2))</f>
        <v/>
      </c>
      <c r="R99" s="30" t="str">
        <f t="shared" si="10"/>
        <v/>
      </c>
      <c r="S99" s="30" t="str">
        <f>IF($B99="","",ROUND(SUMIFS(次果筐明细!$J$4:$J$603,次果筐明细!$C$4:$C$603,$B99,次果筐明细!$B$4:$B$603,"&gt;="&amp;$Z$1,次果筐明细!$B$4:$B$603,"&lt;="&amp;$Z$2),2))</f>
        <v/>
      </c>
      <c r="T99" s="63" t="str">
        <f>IF($B99="","",ROUND(SUMIFS(次果筐明细!$K$4:$K$603,次果筐明细!$C$4:$C$603,$B99,次果筐明细!$B$4:$B$603,"&gt;="&amp;$Z$1,次果筐明细!$B$4:$B$603,"&lt;="&amp;$Z$2),2))</f>
        <v/>
      </c>
      <c r="U99" s="30" t="str">
        <f t="shared" si="11"/>
        <v/>
      </c>
      <c r="V99" s="42"/>
    </row>
    <row r="100" spans="1:22">
      <c r="A100" s="24" t="str">
        <f t="shared" si="6"/>
        <v/>
      </c>
      <c r="B100" s="37" t="str">
        <f>IFERROR(INDEX(_自动清单!$AY$4:$AY$203,ROW()-3),"")</f>
        <v/>
      </c>
      <c r="C100" s="39" t="str">
        <f>IF(OR($B100="",_自动清单!$AS$4=""),"",SUMIFS(次果筐明细!$G$4:$G$603,次果筐明细!$C$4:$C$603,$B100,次果筐明细!$D$4:$D$603,_自动清单!$AS$4,次果筐明细!$F$4:$F$603,"*出库*",次果筐明细!$B$4:$B$603,"&gt;="&amp;$Z$1,次果筐明细!$B$4:$B$603,"&lt;="&amp;$Z$2))</f>
        <v/>
      </c>
      <c r="D100" s="39" t="str">
        <f>IF(OR($B100="",_自动清单!$AS$5=""),"",SUMIFS(次果筐明细!$G$4:$G$603,次果筐明细!$C$4:$C$603,$B100,次果筐明细!$D$4:$D$603,_自动清单!$AS$5,次果筐明细!$F$4:$F$603,"*出库*",次果筐明细!$B$4:$B$603,"&gt;="&amp;$Z$1,次果筐明细!$B$4:$B$603,"&lt;="&amp;$Z$2))</f>
        <v/>
      </c>
      <c r="E100" s="39" t="str">
        <f>IF(OR($B100="",_自动清单!$AS$6=""),"",SUMIFS(次果筐明细!$G$4:$G$603,次果筐明细!$C$4:$C$603,$B100,次果筐明细!$D$4:$D$603,_自动清单!$AS$6,次果筐明细!$F$4:$F$603,"*出库*",次果筐明细!$B$4:$B$603,"&gt;="&amp;$Z$1,次果筐明细!$B$4:$B$603,"&lt;="&amp;$Z$2))</f>
        <v/>
      </c>
      <c r="F100" s="39" t="str">
        <f>IF(OR($B100="",_自动清单!$AS$7=""),"",SUMIFS(次果筐明细!$G$4:$G$603,次果筐明细!$C$4:$C$603,$B100,次果筐明细!$D$4:$D$603,_自动清单!$AS$7,次果筐明细!$F$4:$F$603,"*出库*",次果筐明细!$B$4:$B$603,"&gt;="&amp;$Z$1,次果筐明细!$B$4:$B$603,"&lt;="&amp;$Z$2))</f>
        <v/>
      </c>
      <c r="G100" s="39" t="str">
        <f>IF($B100="","",SUMIFS(次果筐明细!$G$4:$G$603,次果筐明细!$C$4:$C$603,$B100,次果筐明细!$F$4:$F$603,"*出库*",次果筐明细!$B$4:$B$603,"&gt;="&amp;$Z$1,次果筐明细!$B$4:$B$603,"&lt;="&amp;$Z$2)-SUM($C100:$F100))</f>
        <v/>
      </c>
      <c r="H100" s="39" t="str">
        <f t="shared" si="7"/>
        <v/>
      </c>
      <c r="I100" s="39" t="str">
        <f>IF(OR($B100="",_自动清单!$AS$4=""),"",SUMIFS(次果筐明细!$G$4:$G$603,次果筐明细!$C$4:$C$603,$B100,次果筐明细!$D$4:$D$603,_自动清单!$AS$4,次果筐明细!$F$4:$F$603,"*入库*",次果筐明细!$B$4:$B$603,"&gt;="&amp;$Z$1,次果筐明细!$B$4:$B$603,"&lt;="&amp;$Z$2))</f>
        <v/>
      </c>
      <c r="J100" s="39" t="str">
        <f>IF(OR($B100="",_自动清单!$AS$5=""),"",SUMIFS(次果筐明细!$G$4:$G$603,次果筐明细!$C$4:$C$603,$B100,次果筐明细!$D$4:$D$603,_自动清单!$AS$5,次果筐明细!$F$4:$F$603,"*入库*",次果筐明细!$B$4:$B$603,"&gt;="&amp;$Z$1,次果筐明细!$B$4:$B$603,"&lt;="&amp;$Z$2))</f>
        <v/>
      </c>
      <c r="K100" s="39" t="str">
        <f>IF(OR($B100="",_自动清单!$AS$6=""),"",SUMIFS(次果筐明细!$G$4:$G$603,次果筐明细!$C$4:$C$603,$B100,次果筐明细!$D$4:$D$603,_自动清单!$AS$6,次果筐明细!$F$4:$F$603,"*入库*",次果筐明细!$B$4:$B$603,"&gt;="&amp;$Z$1,次果筐明细!$B$4:$B$603,"&lt;="&amp;$Z$2))</f>
        <v/>
      </c>
      <c r="L100" s="39" t="str">
        <f>IF(OR($B100="",_自动清单!$AS$7=""),"",SUMIFS(次果筐明细!$G$4:$G$603,次果筐明细!$C$4:$C$603,$B100,次果筐明细!$D$4:$D$603,_自动清单!$AS$7,次果筐明细!$F$4:$F$603,"*入库*",次果筐明细!$B$4:$B$603,"&gt;="&amp;$Z$1,次果筐明细!$B$4:$B$603,"&lt;="&amp;$Z$2))</f>
        <v/>
      </c>
      <c r="M100" s="62" t="str">
        <f>IF($B100="","",SUMIFS(次果筐明细!$G$4:$G$603,次果筐明细!$C$4:$C$603,$B100,次果筐明细!$F$4:$F$603,"*入库*",次果筐明细!$B$4:$B$603,"&gt;="&amp;$Z$1,次果筐明细!$B$4:$B$603,"&lt;="&amp;$Z$2)-SUM($I100:$L100))</f>
        <v/>
      </c>
      <c r="N100" s="62" t="str">
        <f t="shared" si="8"/>
        <v/>
      </c>
      <c r="O100" s="39" t="str">
        <f t="shared" si="9"/>
        <v/>
      </c>
      <c r="P100" s="30" t="str">
        <f>IF($B100="","",ROUND(SUMIFS(次果筐明细!$L$4:$L$603,次果筐明细!$C$4:$C$603,$B100,次果筐明细!$B$4:$B$603,"&gt;="&amp;$Z$1,次果筐明细!$B$4:$B$603,"&lt;="&amp;$Z$2),2))</f>
        <v/>
      </c>
      <c r="Q100" s="30" t="str">
        <f>IF($B100="","",ROUND(SUMIFS(次果筐明细!$L$4:$L$603,次果筐明细!$C$4:$C$603,$B100,次果筐明细!$M$4:$M$603,"已收讫",次果筐明细!$B$4:$B$603,"&gt;="&amp;$Z$1,次果筐明细!$B$4:$B$603,"&lt;="&amp;$Z$2),2))</f>
        <v/>
      </c>
      <c r="R100" s="30" t="str">
        <f t="shared" si="10"/>
        <v/>
      </c>
      <c r="S100" s="30" t="str">
        <f>IF($B100="","",ROUND(SUMIFS(次果筐明细!$J$4:$J$603,次果筐明细!$C$4:$C$603,$B100,次果筐明细!$B$4:$B$603,"&gt;="&amp;$Z$1,次果筐明细!$B$4:$B$603,"&lt;="&amp;$Z$2),2))</f>
        <v/>
      </c>
      <c r="T100" s="63" t="str">
        <f>IF($B100="","",ROUND(SUMIFS(次果筐明细!$K$4:$K$603,次果筐明细!$C$4:$C$603,$B100,次果筐明细!$B$4:$B$603,"&gt;="&amp;$Z$1,次果筐明细!$B$4:$B$603,"&lt;="&amp;$Z$2),2))</f>
        <v/>
      </c>
      <c r="U100" s="30" t="str">
        <f t="shared" si="11"/>
        <v/>
      </c>
      <c r="V100" s="42"/>
    </row>
    <row r="101" spans="1:22">
      <c r="A101" s="24" t="str">
        <f t="shared" si="6"/>
        <v/>
      </c>
      <c r="B101" s="37" t="str">
        <f>IFERROR(INDEX(_自动清单!$AY$4:$AY$203,ROW()-3),"")</f>
        <v/>
      </c>
      <c r="C101" s="39" t="str">
        <f>IF(OR($B101="",_自动清单!$AS$4=""),"",SUMIFS(次果筐明细!$G$4:$G$603,次果筐明细!$C$4:$C$603,$B101,次果筐明细!$D$4:$D$603,_自动清单!$AS$4,次果筐明细!$F$4:$F$603,"*出库*",次果筐明细!$B$4:$B$603,"&gt;="&amp;$Z$1,次果筐明细!$B$4:$B$603,"&lt;="&amp;$Z$2))</f>
        <v/>
      </c>
      <c r="D101" s="39" t="str">
        <f>IF(OR($B101="",_自动清单!$AS$5=""),"",SUMIFS(次果筐明细!$G$4:$G$603,次果筐明细!$C$4:$C$603,$B101,次果筐明细!$D$4:$D$603,_自动清单!$AS$5,次果筐明细!$F$4:$F$603,"*出库*",次果筐明细!$B$4:$B$603,"&gt;="&amp;$Z$1,次果筐明细!$B$4:$B$603,"&lt;="&amp;$Z$2))</f>
        <v/>
      </c>
      <c r="E101" s="39" t="str">
        <f>IF(OR($B101="",_自动清单!$AS$6=""),"",SUMIFS(次果筐明细!$G$4:$G$603,次果筐明细!$C$4:$C$603,$B101,次果筐明细!$D$4:$D$603,_自动清单!$AS$6,次果筐明细!$F$4:$F$603,"*出库*",次果筐明细!$B$4:$B$603,"&gt;="&amp;$Z$1,次果筐明细!$B$4:$B$603,"&lt;="&amp;$Z$2))</f>
        <v/>
      </c>
      <c r="F101" s="39" t="str">
        <f>IF(OR($B101="",_自动清单!$AS$7=""),"",SUMIFS(次果筐明细!$G$4:$G$603,次果筐明细!$C$4:$C$603,$B101,次果筐明细!$D$4:$D$603,_自动清单!$AS$7,次果筐明细!$F$4:$F$603,"*出库*",次果筐明细!$B$4:$B$603,"&gt;="&amp;$Z$1,次果筐明细!$B$4:$B$603,"&lt;="&amp;$Z$2))</f>
        <v/>
      </c>
      <c r="G101" s="39" t="str">
        <f>IF($B101="","",SUMIFS(次果筐明细!$G$4:$G$603,次果筐明细!$C$4:$C$603,$B101,次果筐明细!$F$4:$F$603,"*出库*",次果筐明细!$B$4:$B$603,"&gt;="&amp;$Z$1,次果筐明细!$B$4:$B$603,"&lt;="&amp;$Z$2)-SUM($C101:$F101))</f>
        <v/>
      </c>
      <c r="H101" s="39" t="str">
        <f t="shared" si="7"/>
        <v/>
      </c>
      <c r="I101" s="39" t="str">
        <f>IF(OR($B101="",_自动清单!$AS$4=""),"",SUMIFS(次果筐明细!$G$4:$G$603,次果筐明细!$C$4:$C$603,$B101,次果筐明细!$D$4:$D$603,_自动清单!$AS$4,次果筐明细!$F$4:$F$603,"*入库*",次果筐明细!$B$4:$B$603,"&gt;="&amp;$Z$1,次果筐明细!$B$4:$B$603,"&lt;="&amp;$Z$2))</f>
        <v/>
      </c>
      <c r="J101" s="39" t="str">
        <f>IF(OR($B101="",_自动清单!$AS$5=""),"",SUMIFS(次果筐明细!$G$4:$G$603,次果筐明细!$C$4:$C$603,$B101,次果筐明细!$D$4:$D$603,_自动清单!$AS$5,次果筐明细!$F$4:$F$603,"*入库*",次果筐明细!$B$4:$B$603,"&gt;="&amp;$Z$1,次果筐明细!$B$4:$B$603,"&lt;="&amp;$Z$2))</f>
        <v/>
      </c>
      <c r="K101" s="39" t="str">
        <f>IF(OR($B101="",_自动清单!$AS$6=""),"",SUMIFS(次果筐明细!$G$4:$G$603,次果筐明细!$C$4:$C$603,$B101,次果筐明细!$D$4:$D$603,_自动清单!$AS$6,次果筐明细!$F$4:$F$603,"*入库*",次果筐明细!$B$4:$B$603,"&gt;="&amp;$Z$1,次果筐明细!$B$4:$B$603,"&lt;="&amp;$Z$2))</f>
        <v/>
      </c>
      <c r="L101" s="39" t="str">
        <f>IF(OR($B101="",_自动清单!$AS$7=""),"",SUMIFS(次果筐明细!$G$4:$G$603,次果筐明细!$C$4:$C$603,$B101,次果筐明细!$D$4:$D$603,_自动清单!$AS$7,次果筐明细!$F$4:$F$603,"*入库*",次果筐明细!$B$4:$B$603,"&gt;="&amp;$Z$1,次果筐明细!$B$4:$B$603,"&lt;="&amp;$Z$2))</f>
        <v/>
      </c>
      <c r="M101" s="62" t="str">
        <f>IF($B101="","",SUMIFS(次果筐明细!$G$4:$G$603,次果筐明细!$C$4:$C$603,$B101,次果筐明细!$F$4:$F$603,"*入库*",次果筐明细!$B$4:$B$603,"&gt;="&amp;$Z$1,次果筐明细!$B$4:$B$603,"&lt;="&amp;$Z$2)-SUM($I101:$L101))</f>
        <v/>
      </c>
      <c r="N101" s="62" t="str">
        <f t="shared" si="8"/>
        <v/>
      </c>
      <c r="O101" s="39" t="str">
        <f t="shared" si="9"/>
        <v/>
      </c>
      <c r="P101" s="30" t="str">
        <f>IF($B101="","",ROUND(SUMIFS(次果筐明细!$L$4:$L$603,次果筐明细!$C$4:$C$603,$B101,次果筐明细!$B$4:$B$603,"&gt;="&amp;$Z$1,次果筐明细!$B$4:$B$603,"&lt;="&amp;$Z$2),2))</f>
        <v/>
      </c>
      <c r="Q101" s="30" t="str">
        <f>IF($B101="","",ROUND(SUMIFS(次果筐明细!$L$4:$L$603,次果筐明细!$C$4:$C$603,$B101,次果筐明细!$M$4:$M$603,"已收讫",次果筐明细!$B$4:$B$603,"&gt;="&amp;$Z$1,次果筐明细!$B$4:$B$603,"&lt;="&amp;$Z$2),2))</f>
        <v/>
      </c>
      <c r="R101" s="30" t="str">
        <f t="shared" si="10"/>
        <v/>
      </c>
      <c r="S101" s="30" t="str">
        <f>IF($B101="","",ROUND(SUMIFS(次果筐明细!$J$4:$J$603,次果筐明细!$C$4:$C$603,$B101,次果筐明细!$B$4:$B$603,"&gt;="&amp;$Z$1,次果筐明细!$B$4:$B$603,"&lt;="&amp;$Z$2),2))</f>
        <v/>
      </c>
      <c r="T101" s="63" t="str">
        <f>IF($B101="","",ROUND(SUMIFS(次果筐明细!$K$4:$K$603,次果筐明细!$C$4:$C$603,$B101,次果筐明细!$B$4:$B$603,"&gt;="&amp;$Z$1,次果筐明细!$B$4:$B$603,"&lt;="&amp;$Z$2),2))</f>
        <v/>
      </c>
      <c r="U101" s="30" t="str">
        <f t="shared" si="11"/>
        <v/>
      </c>
      <c r="V101" s="42"/>
    </row>
    <row r="102" spans="1:22">
      <c r="A102" s="24" t="str">
        <f t="shared" si="6"/>
        <v/>
      </c>
      <c r="B102" s="37" t="str">
        <f>IFERROR(INDEX(_自动清单!$AY$4:$AY$203,ROW()-3),"")</f>
        <v/>
      </c>
      <c r="C102" s="39" t="str">
        <f>IF(OR($B102="",_自动清单!$AS$4=""),"",SUMIFS(次果筐明细!$G$4:$G$603,次果筐明细!$C$4:$C$603,$B102,次果筐明细!$D$4:$D$603,_自动清单!$AS$4,次果筐明细!$F$4:$F$603,"*出库*",次果筐明细!$B$4:$B$603,"&gt;="&amp;$Z$1,次果筐明细!$B$4:$B$603,"&lt;="&amp;$Z$2))</f>
        <v/>
      </c>
      <c r="D102" s="39" t="str">
        <f>IF(OR($B102="",_自动清单!$AS$5=""),"",SUMIFS(次果筐明细!$G$4:$G$603,次果筐明细!$C$4:$C$603,$B102,次果筐明细!$D$4:$D$603,_自动清单!$AS$5,次果筐明细!$F$4:$F$603,"*出库*",次果筐明细!$B$4:$B$603,"&gt;="&amp;$Z$1,次果筐明细!$B$4:$B$603,"&lt;="&amp;$Z$2))</f>
        <v/>
      </c>
      <c r="E102" s="39" t="str">
        <f>IF(OR($B102="",_自动清单!$AS$6=""),"",SUMIFS(次果筐明细!$G$4:$G$603,次果筐明细!$C$4:$C$603,$B102,次果筐明细!$D$4:$D$603,_自动清单!$AS$6,次果筐明细!$F$4:$F$603,"*出库*",次果筐明细!$B$4:$B$603,"&gt;="&amp;$Z$1,次果筐明细!$B$4:$B$603,"&lt;="&amp;$Z$2))</f>
        <v/>
      </c>
      <c r="F102" s="39" t="str">
        <f>IF(OR($B102="",_自动清单!$AS$7=""),"",SUMIFS(次果筐明细!$G$4:$G$603,次果筐明细!$C$4:$C$603,$B102,次果筐明细!$D$4:$D$603,_自动清单!$AS$7,次果筐明细!$F$4:$F$603,"*出库*",次果筐明细!$B$4:$B$603,"&gt;="&amp;$Z$1,次果筐明细!$B$4:$B$603,"&lt;="&amp;$Z$2))</f>
        <v/>
      </c>
      <c r="G102" s="39" t="str">
        <f>IF($B102="","",SUMIFS(次果筐明细!$G$4:$G$603,次果筐明细!$C$4:$C$603,$B102,次果筐明细!$F$4:$F$603,"*出库*",次果筐明细!$B$4:$B$603,"&gt;="&amp;$Z$1,次果筐明细!$B$4:$B$603,"&lt;="&amp;$Z$2)-SUM($C102:$F102))</f>
        <v/>
      </c>
      <c r="H102" s="39" t="str">
        <f t="shared" si="7"/>
        <v/>
      </c>
      <c r="I102" s="39" t="str">
        <f>IF(OR($B102="",_自动清单!$AS$4=""),"",SUMIFS(次果筐明细!$G$4:$G$603,次果筐明细!$C$4:$C$603,$B102,次果筐明细!$D$4:$D$603,_自动清单!$AS$4,次果筐明细!$F$4:$F$603,"*入库*",次果筐明细!$B$4:$B$603,"&gt;="&amp;$Z$1,次果筐明细!$B$4:$B$603,"&lt;="&amp;$Z$2))</f>
        <v/>
      </c>
      <c r="J102" s="39" t="str">
        <f>IF(OR($B102="",_自动清单!$AS$5=""),"",SUMIFS(次果筐明细!$G$4:$G$603,次果筐明细!$C$4:$C$603,$B102,次果筐明细!$D$4:$D$603,_自动清单!$AS$5,次果筐明细!$F$4:$F$603,"*入库*",次果筐明细!$B$4:$B$603,"&gt;="&amp;$Z$1,次果筐明细!$B$4:$B$603,"&lt;="&amp;$Z$2))</f>
        <v/>
      </c>
      <c r="K102" s="39" t="str">
        <f>IF(OR($B102="",_自动清单!$AS$6=""),"",SUMIFS(次果筐明细!$G$4:$G$603,次果筐明细!$C$4:$C$603,$B102,次果筐明细!$D$4:$D$603,_自动清单!$AS$6,次果筐明细!$F$4:$F$603,"*入库*",次果筐明细!$B$4:$B$603,"&gt;="&amp;$Z$1,次果筐明细!$B$4:$B$603,"&lt;="&amp;$Z$2))</f>
        <v/>
      </c>
      <c r="L102" s="39" t="str">
        <f>IF(OR($B102="",_自动清单!$AS$7=""),"",SUMIFS(次果筐明细!$G$4:$G$603,次果筐明细!$C$4:$C$603,$B102,次果筐明细!$D$4:$D$603,_自动清单!$AS$7,次果筐明细!$F$4:$F$603,"*入库*",次果筐明细!$B$4:$B$603,"&gt;="&amp;$Z$1,次果筐明细!$B$4:$B$603,"&lt;="&amp;$Z$2))</f>
        <v/>
      </c>
      <c r="M102" s="62" t="str">
        <f>IF($B102="","",SUMIFS(次果筐明细!$G$4:$G$603,次果筐明细!$C$4:$C$603,$B102,次果筐明细!$F$4:$F$603,"*入库*",次果筐明细!$B$4:$B$603,"&gt;="&amp;$Z$1,次果筐明细!$B$4:$B$603,"&lt;="&amp;$Z$2)-SUM($I102:$L102))</f>
        <v/>
      </c>
      <c r="N102" s="62" t="str">
        <f t="shared" si="8"/>
        <v/>
      </c>
      <c r="O102" s="39" t="str">
        <f t="shared" si="9"/>
        <v/>
      </c>
      <c r="P102" s="30" t="str">
        <f>IF($B102="","",ROUND(SUMIFS(次果筐明细!$L$4:$L$603,次果筐明细!$C$4:$C$603,$B102,次果筐明细!$B$4:$B$603,"&gt;="&amp;$Z$1,次果筐明细!$B$4:$B$603,"&lt;="&amp;$Z$2),2))</f>
        <v/>
      </c>
      <c r="Q102" s="30" t="str">
        <f>IF($B102="","",ROUND(SUMIFS(次果筐明细!$L$4:$L$603,次果筐明细!$C$4:$C$603,$B102,次果筐明细!$M$4:$M$603,"已收讫",次果筐明细!$B$4:$B$603,"&gt;="&amp;$Z$1,次果筐明细!$B$4:$B$603,"&lt;="&amp;$Z$2),2))</f>
        <v/>
      </c>
      <c r="R102" s="30" t="str">
        <f t="shared" si="10"/>
        <v/>
      </c>
      <c r="S102" s="30" t="str">
        <f>IF($B102="","",ROUND(SUMIFS(次果筐明细!$J$4:$J$603,次果筐明细!$C$4:$C$603,$B102,次果筐明细!$B$4:$B$603,"&gt;="&amp;$Z$1,次果筐明细!$B$4:$B$603,"&lt;="&amp;$Z$2),2))</f>
        <v/>
      </c>
      <c r="T102" s="63" t="str">
        <f>IF($B102="","",ROUND(SUMIFS(次果筐明细!$K$4:$K$603,次果筐明细!$C$4:$C$603,$B102,次果筐明细!$B$4:$B$603,"&gt;="&amp;$Z$1,次果筐明细!$B$4:$B$603,"&lt;="&amp;$Z$2),2))</f>
        <v/>
      </c>
      <c r="U102" s="30" t="str">
        <f t="shared" si="11"/>
        <v/>
      </c>
      <c r="V102" s="42"/>
    </row>
    <row r="103" spans="1:22">
      <c r="A103" s="24" t="str">
        <f t="shared" si="6"/>
        <v/>
      </c>
      <c r="B103" s="37" t="str">
        <f>IFERROR(INDEX(_自动清单!$AY$4:$AY$203,ROW()-3),"")</f>
        <v/>
      </c>
      <c r="C103" s="39" t="str">
        <f>IF(OR($B103="",_自动清单!$AS$4=""),"",SUMIFS(次果筐明细!$G$4:$G$603,次果筐明细!$C$4:$C$603,$B103,次果筐明细!$D$4:$D$603,_自动清单!$AS$4,次果筐明细!$F$4:$F$603,"*出库*",次果筐明细!$B$4:$B$603,"&gt;="&amp;$Z$1,次果筐明细!$B$4:$B$603,"&lt;="&amp;$Z$2))</f>
        <v/>
      </c>
      <c r="D103" s="39" t="str">
        <f>IF(OR($B103="",_自动清单!$AS$5=""),"",SUMIFS(次果筐明细!$G$4:$G$603,次果筐明细!$C$4:$C$603,$B103,次果筐明细!$D$4:$D$603,_自动清单!$AS$5,次果筐明细!$F$4:$F$603,"*出库*",次果筐明细!$B$4:$B$603,"&gt;="&amp;$Z$1,次果筐明细!$B$4:$B$603,"&lt;="&amp;$Z$2))</f>
        <v/>
      </c>
      <c r="E103" s="39" t="str">
        <f>IF(OR($B103="",_自动清单!$AS$6=""),"",SUMIFS(次果筐明细!$G$4:$G$603,次果筐明细!$C$4:$C$603,$B103,次果筐明细!$D$4:$D$603,_自动清单!$AS$6,次果筐明细!$F$4:$F$603,"*出库*",次果筐明细!$B$4:$B$603,"&gt;="&amp;$Z$1,次果筐明细!$B$4:$B$603,"&lt;="&amp;$Z$2))</f>
        <v/>
      </c>
      <c r="F103" s="39" t="str">
        <f>IF(OR($B103="",_自动清单!$AS$7=""),"",SUMIFS(次果筐明细!$G$4:$G$603,次果筐明细!$C$4:$C$603,$B103,次果筐明细!$D$4:$D$603,_自动清单!$AS$7,次果筐明细!$F$4:$F$603,"*出库*",次果筐明细!$B$4:$B$603,"&gt;="&amp;$Z$1,次果筐明细!$B$4:$B$603,"&lt;="&amp;$Z$2))</f>
        <v/>
      </c>
      <c r="G103" s="39" t="str">
        <f>IF($B103="","",SUMIFS(次果筐明细!$G$4:$G$603,次果筐明细!$C$4:$C$603,$B103,次果筐明细!$F$4:$F$603,"*出库*",次果筐明细!$B$4:$B$603,"&gt;="&amp;$Z$1,次果筐明细!$B$4:$B$603,"&lt;="&amp;$Z$2)-SUM($C103:$F103))</f>
        <v/>
      </c>
      <c r="H103" s="39" t="str">
        <f t="shared" si="7"/>
        <v/>
      </c>
      <c r="I103" s="39" t="str">
        <f>IF(OR($B103="",_自动清单!$AS$4=""),"",SUMIFS(次果筐明细!$G$4:$G$603,次果筐明细!$C$4:$C$603,$B103,次果筐明细!$D$4:$D$603,_自动清单!$AS$4,次果筐明细!$F$4:$F$603,"*入库*",次果筐明细!$B$4:$B$603,"&gt;="&amp;$Z$1,次果筐明细!$B$4:$B$603,"&lt;="&amp;$Z$2))</f>
        <v/>
      </c>
      <c r="J103" s="39" t="str">
        <f>IF(OR($B103="",_自动清单!$AS$5=""),"",SUMIFS(次果筐明细!$G$4:$G$603,次果筐明细!$C$4:$C$603,$B103,次果筐明细!$D$4:$D$603,_自动清单!$AS$5,次果筐明细!$F$4:$F$603,"*入库*",次果筐明细!$B$4:$B$603,"&gt;="&amp;$Z$1,次果筐明细!$B$4:$B$603,"&lt;="&amp;$Z$2))</f>
        <v/>
      </c>
      <c r="K103" s="39" t="str">
        <f>IF(OR($B103="",_自动清单!$AS$6=""),"",SUMIFS(次果筐明细!$G$4:$G$603,次果筐明细!$C$4:$C$603,$B103,次果筐明细!$D$4:$D$603,_自动清单!$AS$6,次果筐明细!$F$4:$F$603,"*入库*",次果筐明细!$B$4:$B$603,"&gt;="&amp;$Z$1,次果筐明细!$B$4:$B$603,"&lt;="&amp;$Z$2))</f>
        <v/>
      </c>
      <c r="L103" s="39" t="str">
        <f>IF(OR($B103="",_自动清单!$AS$7=""),"",SUMIFS(次果筐明细!$G$4:$G$603,次果筐明细!$C$4:$C$603,$B103,次果筐明细!$D$4:$D$603,_自动清单!$AS$7,次果筐明细!$F$4:$F$603,"*入库*",次果筐明细!$B$4:$B$603,"&gt;="&amp;$Z$1,次果筐明细!$B$4:$B$603,"&lt;="&amp;$Z$2))</f>
        <v/>
      </c>
      <c r="M103" s="62" t="str">
        <f>IF($B103="","",SUMIFS(次果筐明细!$G$4:$G$603,次果筐明细!$C$4:$C$603,$B103,次果筐明细!$F$4:$F$603,"*入库*",次果筐明细!$B$4:$B$603,"&gt;="&amp;$Z$1,次果筐明细!$B$4:$B$603,"&lt;="&amp;$Z$2)-SUM($I103:$L103))</f>
        <v/>
      </c>
      <c r="N103" s="62" t="str">
        <f t="shared" si="8"/>
        <v/>
      </c>
      <c r="O103" s="39" t="str">
        <f t="shared" si="9"/>
        <v/>
      </c>
      <c r="P103" s="30" t="str">
        <f>IF($B103="","",ROUND(SUMIFS(次果筐明细!$L$4:$L$603,次果筐明细!$C$4:$C$603,$B103,次果筐明细!$B$4:$B$603,"&gt;="&amp;$Z$1,次果筐明细!$B$4:$B$603,"&lt;="&amp;$Z$2),2))</f>
        <v/>
      </c>
      <c r="Q103" s="30" t="str">
        <f>IF($B103="","",ROUND(SUMIFS(次果筐明细!$L$4:$L$603,次果筐明细!$C$4:$C$603,$B103,次果筐明细!$M$4:$M$603,"已收讫",次果筐明细!$B$4:$B$603,"&gt;="&amp;$Z$1,次果筐明细!$B$4:$B$603,"&lt;="&amp;$Z$2),2))</f>
        <v/>
      </c>
      <c r="R103" s="30" t="str">
        <f t="shared" si="10"/>
        <v/>
      </c>
      <c r="S103" s="30" t="str">
        <f>IF($B103="","",ROUND(SUMIFS(次果筐明细!$J$4:$J$603,次果筐明细!$C$4:$C$603,$B103,次果筐明细!$B$4:$B$603,"&gt;="&amp;$Z$1,次果筐明细!$B$4:$B$603,"&lt;="&amp;$Z$2),2))</f>
        <v/>
      </c>
      <c r="T103" s="63" t="str">
        <f>IF($B103="","",ROUND(SUMIFS(次果筐明细!$K$4:$K$603,次果筐明细!$C$4:$C$603,$B103,次果筐明细!$B$4:$B$603,"&gt;="&amp;$Z$1,次果筐明细!$B$4:$B$603,"&lt;="&amp;$Z$2),2))</f>
        <v/>
      </c>
      <c r="U103" s="30" t="str">
        <f t="shared" si="11"/>
        <v/>
      </c>
      <c r="V103" s="42"/>
    </row>
    <row r="104" spans="1:22">
      <c r="A104" s="24" t="str">
        <f t="shared" si="6"/>
        <v/>
      </c>
      <c r="B104" s="37" t="str">
        <f>IFERROR(INDEX(_自动清单!$AY$4:$AY$203,ROW()-3),"")</f>
        <v/>
      </c>
      <c r="C104" s="39" t="str">
        <f>IF(OR($B104="",_自动清单!$AS$4=""),"",SUMIFS(次果筐明细!$G$4:$G$603,次果筐明细!$C$4:$C$603,$B104,次果筐明细!$D$4:$D$603,_自动清单!$AS$4,次果筐明细!$F$4:$F$603,"*出库*",次果筐明细!$B$4:$B$603,"&gt;="&amp;$Z$1,次果筐明细!$B$4:$B$603,"&lt;="&amp;$Z$2))</f>
        <v/>
      </c>
      <c r="D104" s="39" t="str">
        <f>IF(OR($B104="",_自动清单!$AS$5=""),"",SUMIFS(次果筐明细!$G$4:$G$603,次果筐明细!$C$4:$C$603,$B104,次果筐明细!$D$4:$D$603,_自动清单!$AS$5,次果筐明细!$F$4:$F$603,"*出库*",次果筐明细!$B$4:$B$603,"&gt;="&amp;$Z$1,次果筐明细!$B$4:$B$603,"&lt;="&amp;$Z$2))</f>
        <v/>
      </c>
      <c r="E104" s="39" t="str">
        <f>IF(OR($B104="",_自动清单!$AS$6=""),"",SUMIFS(次果筐明细!$G$4:$G$603,次果筐明细!$C$4:$C$603,$B104,次果筐明细!$D$4:$D$603,_自动清单!$AS$6,次果筐明细!$F$4:$F$603,"*出库*",次果筐明细!$B$4:$B$603,"&gt;="&amp;$Z$1,次果筐明细!$B$4:$B$603,"&lt;="&amp;$Z$2))</f>
        <v/>
      </c>
      <c r="F104" s="39" t="str">
        <f>IF(OR($B104="",_自动清单!$AS$7=""),"",SUMIFS(次果筐明细!$G$4:$G$603,次果筐明细!$C$4:$C$603,$B104,次果筐明细!$D$4:$D$603,_自动清单!$AS$7,次果筐明细!$F$4:$F$603,"*出库*",次果筐明细!$B$4:$B$603,"&gt;="&amp;$Z$1,次果筐明细!$B$4:$B$603,"&lt;="&amp;$Z$2))</f>
        <v/>
      </c>
      <c r="G104" s="39" t="str">
        <f>IF($B104="","",SUMIFS(次果筐明细!$G$4:$G$603,次果筐明细!$C$4:$C$603,$B104,次果筐明细!$F$4:$F$603,"*出库*",次果筐明细!$B$4:$B$603,"&gt;="&amp;$Z$1,次果筐明细!$B$4:$B$603,"&lt;="&amp;$Z$2)-SUM($C104:$F104))</f>
        <v/>
      </c>
      <c r="H104" s="39" t="str">
        <f t="shared" si="7"/>
        <v/>
      </c>
      <c r="I104" s="39" t="str">
        <f>IF(OR($B104="",_自动清单!$AS$4=""),"",SUMIFS(次果筐明细!$G$4:$G$603,次果筐明细!$C$4:$C$603,$B104,次果筐明细!$D$4:$D$603,_自动清单!$AS$4,次果筐明细!$F$4:$F$603,"*入库*",次果筐明细!$B$4:$B$603,"&gt;="&amp;$Z$1,次果筐明细!$B$4:$B$603,"&lt;="&amp;$Z$2))</f>
        <v/>
      </c>
      <c r="J104" s="39" t="str">
        <f>IF(OR($B104="",_自动清单!$AS$5=""),"",SUMIFS(次果筐明细!$G$4:$G$603,次果筐明细!$C$4:$C$603,$B104,次果筐明细!$D$4:$D$603,_自动清单!$AS$5,次果筐明细!$F$4:$F$603,"*入库*",次果筐明细!$B$4:$B$603,"&gt;="&amp;$Z$1,次果筐明细!$B$4:$B$603,"&lt;="&amp;$Z$2))</f>
        <v/>
      </c>
      <c r="K104" s="39" t="str">
        <f>IF(OR($B104="",_自动清单!$AS$6=""),"",SUMIFS(次果筐明细!$G$4:$G$603,次果筐明细!$C$4:$C$603,$B104,次果筐明细!$D$4:$D$603,_自动清单!$AS$6,次果筐明细!$F$4:$F$603,"*入库*",次果筐明细!$B$4:$B$603,"&gt;="&amp;$Z$1,次果筐明细!$B$4:$B$603,"&lt;="&amp;$Z$2))</f>
        <v/>
      </c>
      <c r="L104" s="39" t="str">
        <f>IF(OR($B104="",_自动清单!$AS$7=""),"",SUMIFS(次果筐明细!$G$4:$G$603,次果筐明细!$C$4:$C$603,$B104,次果筐明细!$D$4:$D$603,_自动清单!$AS$7,次果筐明细!$F$4:$F$603,"*入库*",次果筐明细!$B$4:$B$603,"&gt;="&amp;$Z$1,次果筐明细!$B$4:$B$603,"&lt;="&amp;$Z$2))</f>
        <v/>
      </c>
      <c r="M104" s="62" t="str">
        <f>IF($B104="","",SUMIFS(次果筐明细!$G$4:$G$603,次果筐明细!$C$4:$C$603,$B104,次果筐明细!$F$4:$F$603,"*入库*",次果筐明细!$B$4:$B$603,"&gt;="&amp;$Z$1,次果筐明细!$B$4:$B$603,"&lt;="&amp;$Z$2)-SUM($I104:$L104))</f>
        <v/>
      </c>
      <c r="N104" s="62" t="str">
        <f t="shared" si="8"/>
        <v/>
      </c>
      <c r="O104" s="39" t="str">
        <f t="shared" si="9"/>
        <v/>
      </c>
      <c r="P104" s="30" t="str">
        <f>IF($B104="","",ROUND(SUMIFS(次果筐明细!$L$4:$L$603,次果筐明细!$C$4:$C$603,$B104,次果筐明细!$B$4:$B$603,"&gt;="&amp;$Z$1,次果筐明细!$B$4:$B$603,"&lt;="&amp;$Z$2),2))</f>
        <v/>
      </c>
      <c r="Q104" s="30" t="str">
        <f>IF($B104="","",ROUND(SUMIFS(次果筐明细!$L$4:$L$603,次果筐明细!$C$4:$C$603,$B104,次果筐明细!$M$4:$M$603,"已收讫",次果筐明细!$B$4:$B$603,"&gt;="&amp;$Z$1,次果筐明细!$B$4:$B$603,"&lt;="&amp;$Z$2),2))</f>
        <v/>
      </c>
      <c r="R104" s="30" t="str">
        <f t="shared" si="10"/>
        <v/>
      </c>
      <c r="S104" s="30" t="str">
        <f>IF($B104="","",ROUND(SUMIFS(次果筐明细!$J$4:$J$603,次果筐明细!$C$4:$C$603,$B104,次果筐明细!$B$4:$B$603,"&gt;="&amp;$Z$1,次果筐明细!$B$4:$B$603,"&lt;="&amp;$Z$2),2))</f>
        <v/>
      </c>
      <c r="T104" s="63" t="str">
        <f>IF($B104="","",ROUND(SUMIFS(次果筐明细!$K$4:$K$603,次果筐明细!$C$4:$C$603,$B104,次果筐明细!$B$4:$B$603,"&gt;="&amp;$Z$1,次果筐明细!$B$4:$B$603,"&lt;="&amp;$Z$2),2))</f>
        <v/>
      </c>
      <c r="U104" s="30" t="str">
        <f t="shared" si="11"/>
        <v/>
      </c>
      <c r="V104" s="42"/>
    </row>
    <row r="105" spans="1:22">
      <c r="A105" s="24" t="str">
        <f t="shared" si="6"/>
        <v/>
      </c>
      <c r="B105" s="37" t="str">
        <f>IFERROR(INDEX(_自动清单!$AY$4:$AY$203,ROW()-3),"")</f>
        <v/>
      </c>
      <c r="C105" s="39" t="str">
        <f>IF(OR($B105="",_自动清单!$AS$4=""),"",SUMIFS(次果筐明细!$G$4:$G$603,次果筐明细!$C$4:$C$603,$B105,次果筐明细!$D$4:$D$603,_自动清单!$AS$4,次果筐明细!$F$4:$F$603,"*出库*",次果筐明细!$B$4:$B$603,"&gt;="&amp;$Z$1,次果筐明细!$B$4:$B$603,"&lt;="&amp;$Z$2))</f>
        <v/>
      </c>
      <c r="D105" s="39" t="str">
        <f>IF(OR($B105="",_自动清单!$AS$5=""),"",SUMIFS(次果筐明细!$G$4:$G$603,次果筐明细!$C$4:$C$603,$B105,次果筐明细!$D$4:$D$603,_自动清单!$AS$5,次果筐明细!$F$4:$F$603,"*出库*",次果筐明细!$B$4:$B$603,"&gt;="&amp;$Z$1,次果筐明细!$B$4:$B$603,"&lt;="&amp;$Z$2))</f>
        <v/>
      </c>
      <c r="E105" s="39" t="str">
        <f>IF(OR($B105="",_自动清单!$AS$6=""),"",SUMIFS(次果筐明细!$G$4:$G$603,次果筐明细!$C$4:$C$603,$B105,次果筐明细!$D$4:$D$603,_自动清单!$AS$6,次果筐明细!$F$4:$F$603,"*出库*",次果筐明细!$B$4:$B$603,"&gt;="&amp;$Z$1,次果筐明细!$B$4:$B$603,"&lt;="&amp;$Z$2))</f>
        <v/>
      </c>
      <c r="F105" s="39" t="str">
        <f>IF(OR($B105="",_自动清单!$AS$7=""),"",SUMIFS(次果筐明细!$G$4:$G$603,次果筐明细!$C$4:$C$603,$B105,次果筐明细!$D$4:$D$603,_自动清单!$AS$7,次果筐明细!$F$4:$F$603,"*出库*",次果筐明细!$B$4:$B$603,"&gt;="&amp;$Z$1,次果筐明细!$B$4:$B$603,"&lt;="&amp;$Z$2))</f>
        <v/>
      </c>
      <c r="G105" s="39" t="str">
        <f>IF($B105="","",SUMIFS(次果筐明细!$G$4:$G$603,次果筐明细!$C$4:$C$603,$B105,次果筐明细!$F$4:$F$603,"*出库*",次果筐明细!$B$4:$B$603,"&gt;="&amp;$Z$1,次果筐明细!$B$4:$B$603,"&lt;="&amp;$Z$2)-SUM($C105:$F105))</f>
        <v/>
      </c>
      <c r="H105" s="39" t="str">
        <f t="shared" si="7"/>
        <v/>
      </c>
      <c r="I105" s="39" t="str">
        <f>IF(OR($B105="",_自动清单!$AS$4=""),"",SUMIFS(次果筐明细!$G$4:$G$603,次果筐明细!$C$4:$C$603,$B105,次果筐明细!$D$4:$D$603,_自动清单!$AS$4,次果筐明细!$F$4:$F$603,"*入库*",次果筐明细!$B$4:$B$603,"&gt;="&amp;$Z$1,次果筐明细!$B$4:$B$603,"&lt;="&amp;$Z$2))</f>
        <v/>
      </c>
      <c r="J105" s="39" t="str">
        <f>IF(OR($B105="",_自动清单!$AS$5=""),"",SUMIFS(次果筐明细!$G$4:$G$603,次果筐明细!$C$4:$C$603,$B105,次果筐明细!$D$4:$D$603,_自动清单!$AS$5,次果筐明细!$F$4:$F$603,"*入库*",次果筐明细!$B$4:$B$603,"&gt;="&amp;$Z$1,次果筐明细!$B$4:$B$603,"&lt;="&amp;$Z$2))</f>
        <v/>
      </c>
      <c r="K105" s="39" t="str">
        <f>IF(OR($B105="",_自动清单!$AS$6=""),"",SUMIFS(次果筐明细!$G$4:$G$603,次果筐明细!$C$4:$C$603,$B105,次果筐明细!$D$4:$D$603,_自动清单!$AS$6,次果筐明细!$F$4:$F$603,"*入库*",次果筐明细!$B$4:$B$603,"&gt;="&amp;$Z$1,次果筐明细!$B$4:$B$603,"&lt;="&amp;$Z$2))</f>
        <v/>
      </c>
      <c r="L105" s="39" t="str">
        <f>IF(OR($B105="",_自动清单!$AS$7=""),"",SUMIFS(次果筐明细!$G$4:$G$603,次果筐明细!$C$4:$C$603,$B105,次果筐明细!$D$4:$D$603,_自动清单!$AS$7,次果筐明细!$F$4:$F$603,"*入库*",次果筐明细!$B$4:$B$603,"&gt;="&amp;$Z$1,次果筐明细!$B$4:$B$603,"&lt;="&amp;$Z$2))</f>
        <v/>
      </c>
      <c r="M105" s="62" t="str">
        <f>IF($B105="","",SUMIFS(次果筐明细!$G$4:$G$603,次果筐明细!$C$4:$C$603,$B105,次果筐明细!$F$4:$F$603,"*入库*",次果筐明细!$B$4:$B$603,"&gt;="&amp;$Z$1,次果筐明细!$B$4:$B$603,"&lt;="&amp;$Z$2)-SUM($I105:$L105))</f>
        <v/>
      </c>
      <c r="N105" s="62" t="str">
        <f t="shared" si="8"/>
        <v/>
      </c>
      <c r="O105" s="39" t="str">
        <f t="shared" si="9"/>
        <v/>
      </c>
      <c r="P105" s="30" t="str">
        <f>IF($B105="","",ROUND(SUMIFS(次果筐明细!$L$4:$L$603,次果筐明细!$C$4:$C$603,$B105,次果筐明细!$B$4:$B$603,"&gt;="&amp;$Z$1,次果筐明细!$B$4:$B$603,"&lt;="&amp;$Z$2),2))</f>
        <v/>
      </c>
      <c r="Q105" s="30" t="str">
        <f>IF($B105="","",ROUND(SUMIFS(次果筐明细!$L$4:$L$603,次果筐明细!$C$4:$C$603,$B105,次果筐明细!$M$4:$M$603,"已收讫",次果筐明细!$B$4:$B$603,"&gt;="&amp;$Z$1,次果筐明细!$B$4:$B$603,"&lt;="&amp;$Z$2),2))</f>
        <v/>
      </c>
      <c r="R105" s="30" t="str">
        <f t="shared" si="10"/>
        <v/>
      </c>
      <c r="S105" s="30" t="str">
        <f>IF($B105="","",ROUND(SUMIFS(次果筐明细!$J$4:$J$603,次果筐明细!$C$4:$C$603,$B105,次果筐明细!$B$4:$B$603,"&gt;="&amp;$Z$1,次果筐明细!$B$4:$B$603,"&lt;="&amp;$Z$2),2))</f>
        <v/>
      </c>
      <c r="T105" s="63" t="str">
        <f>IF($B105="","",ROUND(SUMIFS(次果筐明细!$K$4:$K$603,次果筐明细!$C$4:$C$603,$B105,次果筐明细!$B$4:$B$603,"&gt;="&amp;$Z$1,次果筐明细!$B$4:$B$603,"&lt;="&amp;$Z$2),2))</f>
        <v/>
      </c>
      <c r="U105" s="30" t="str">
        <f t="shared" si="11"/>
        <v/>
      </c>
      <c r="V105" s="42"/>
    </row>
    <row r="106" spans="1:22">
      <c r="A106" s="24" t="str">
        <f t="shared" si="6"/>
        <v/>
      </c>
      <c r="B106" s="37" t="str">
        <f>IFERROR(INDEX(_自动清单!$AY$4:$AY$203,ROW()-3),"")</f>
        <v/>
      </c>
      <c r="C106" s="39" t="str">
        <f>IF(OR($B106="",_自动清单!$AS$4=""),"",SUMIFS(次果筐明细!$G$4:$G$603,次果筐明细!$C$4:$C$603,$B106,次果筐明细!$D$4:$D$603,_自动清单!$AS$4,次果筐明细!$F$4:$F$603,"*出库*",次果筐明细!$B$4:$B$603,"&gt;="&amp;$Z$1,次果筐明细!$B$4:$B$603,"&lt;="&amp;$Z$2))</f>
        <v/>
      </c>
      <c r="D106" s="39" t="str">
        <f>IF(OR($B106="",_自动清单!$AS$5=""),"",SUMIFS(次果筐明细!$G$4:$G$603,次果筐明细!$C$4:$C$603,$B106,次果筐明细!$D$4:$D$603,_自动清单!$AS$5,次果筐明细!$F$4:$F$603,"*出库*",次果筐明细!$B$4:$B$603,"&gt;="&amp;$Z$1,次果筐明细!$B$4:$B$603,"&lt;="&amp;$Z$2))</f>
        <v/>
      </c>
      <c r="E106" s="39" t="str">
        <f>IF(OR($B106="",_自动清单!$AS$6=""),"",SUMIFS(次果筐明细!$G$4:$G$603,次果筐明细!$C$4:$C$603,$B106,次果筐明细!$D$4:$D$603,_自动清单!$AS$6,次果筐明细!$F$4:$F$603,"*出库*",次果筐明细!$B$4:$B$603,"&gt;="&amp;$Z$1,次果筐明细!$B$4:$B$603,"&lt;="&amp;$Z$2))</f>
        <v/>
      </c>
      <c r="F106" s="39" t="str">
        <f>IF(OR($B106="",_自动清单!$AS$7=""),"",SUMIFS(次果筐明细!$G$4:$G$603,次果筐明细!$C$4:$C$603,$B106,次果筐明细!$D$4:$D$603,_自动清单!$AS$7,次果筐明细!$F$4:$F$603,"*出库*",次果筐明细!$B$4:$B$603,"&gt;="&amp;$Z$1,次果筐明细!$B$4:$B$603,"&lt;="&amp;$Z$2))</f>
        <v/>
      </c>
      <c r="G106" s="39" t="str">
        <f>IF($B106="","",SUMIFS(次果筐明细!$G$4:$G$603,次果筐明细!$C$4:$C$603,$B106,次果筐明细!$F$4:$F$603,"*出库*",次果筐明细!$B$4:$B$603,"&gt;="&amp;$Z$1,次果筐明细!$B$4:$B$603,"&lt;="&amp;$Z$2)-SUM($C106:$F106))</f>
        <v/>
      </c>
      <c r="H106" s="39" t="str">
        <f t="shared" si="7"/>
        <v/>
      </c>
      <c r="I106" s="39" t="str">
        <f>IF(OR($B106="",_自动清单!$AS$4=""),"",SUMIFS(次果筐明细!$G$4:$G$603,次果筐明细!$C$4:$C$603,$B106,次果筐明细!$D$4:$D$603,_自动清单!$AS$4,次果筐明细!$F$4:$F$603,"*入库*",次果筐明细!$B$4:$B$603,"&gt;="&amp;$Z$1,次果筐明细!$B$4:$B$603,"&lt;="&amp;$Z$2))</f>
        <v/>
      </c>
      <c r="J106" s="39" t="str">
        <f>IF(OR($B106="",_自动清单!$AS$5=""),"",SUMIFS(次果筐明细!$G$4:$G$603,次果筐明细!$C$4:$C$603,$B106,次果筐明细!$D$4:$D$603,_自动清单!$AS$5,次果筐明细!$F$4:$F$603,"*入库*",次果筐明细!$B$4:$B$603,"&gt;="&amp;$Z$1,次果筐明细!$B$4:$B$603,"&lt;="&amp;$Z$2))</f>
        <v/>
      </c>
      <c r="K106" s="39" t="str">
        <f>IF(OR($B106="",_自动清单!$AS$6=""),"",SUMIFS(次果筐明细!$G$4:$G$603,次果筐明细!$C$4:$C$603,$B106,次果筐明细!$D$4:$D$603,_自动清单!$AS$6,次果筐明细!$F$4:$F$603,"*入库*",次果筐明细!$B$4:$B$603,"&gt;="&amp;$Z$1,次果筐明细!$B$4:$B$603,"&lt;="&amp;$Z$2))</f>
        <v/>
      </c>
      <c r="L106" s="39" t="str">
        <f>IF(OR($B106="",_自动清单!$AS$7=""),"",SUMIFS(次果筐明细!$G$4:$G$603,次果筐明细!$C$4:$C$603,$B106,次果筐明细!$D$4:$D$603,_自动清单!$AS$7,次果筐明细!$F$4:$F$603,"*入库*",次果筐明细!$B$4:$B$603,"&gt;="&amp;$Z$1,次果筐明细!$B$4:$B$603,"&lt;="&amp;$Z$2))</f>
        <v/>
      </c>
      <c r="M106" s="62" t="str">
        <f>IF($B106="","",SUMIFS(次果筐明细!$G$4:$G$603,次果筐明细!$C$4:$C$603,$B106,次果筐明细!$F$4:$F$603,"*入库*",次果筐明细!$B$4:$B$603,"&gt;="&amp;$Z$1,次果筐明细!$B$4:$B$603,"&lt;="&amp;$Z$2)-SUM($I106:$L106))</f>
        <v/>
      </c>
      <c r="N106" s="62" t="str">
        <f t="shared" si="8"/>
        <v/>
      </c>
      <c r="O106" s="39" t="str">
        <f t="shared" si="9"/>
        <v/>
      </c>
      <c r="P106" s="30" t="str">
        <f>IF($B106="","",ROUND(SUMIFS(次果筐明细!$L$4:$L$603,次果筐明细!$C$4:$C$603,$B106,次果筐明细!$B$4:$B$603,"&gt;="&amp;$Z$1,次果筐明细!$B$4:$B$603,"&lt;="&amp;$Z$2),2))</f>
        <v/>
      </c>
      <c r="Q106" s="30" t="str">
        <f>IF($B106="","",ROUND(SUMIFS(次果筐明细!$L$4:$L$603,次果筐明细!$C$4:$C$603,$B106,次果筐明细!$M$4:$M$603,"已收讫",次果筐明细!$B$4:$B$603,"&gt;="&amp;$Z$1,次果筐明细!$B$4:$B$603,"&lt;="&amp;$Z$2),2))</f>
        <v/>
      </c>
      <c r="R106" s="30" t="str">
        <f t="shared" si="10"/>
        <v/>
      </c>
      <c r="S106" s="30" t="str">
        <f>IF($B106="","",ROUND(SUMIFS(次果筐明细!$J$4:$J$603,次果筐明细!$C$4:$C$603,$B106,次果筐明细!$B$4:$B$603,"&gt;="&amp;$Z$1,次果筐明细!$B$4:$B$603,"&lt;="&amp;$Z$2),2))</f>
        <v/>
      </c>
      <c r="T106" s="63" t="str">
        <f>IF($B106="","",ROUND(SUMIFS(次果筐明细!$K$4:$K$603,次果筐明细!$C$4:$C$603,$B106,次果筐明细!$B$4:$B$603,"&gt;="&amp;$Z$1,次果筐明细!$B$4:$B$603,"&lt;="&amp;$Z$2),2))</f>
        <v/>
      </c>
      <c r="U106" s="30" t="str">
        <f t="shared" si="11"/>
        <v/>
      </c>
      <c r="V106" s="42"/>
    </row>
    <row r="107" spans="1:22">
      <c r="A107" s="24" t="str">
        <f t="shared" si="6"/>
        <v/>
      </c>
      <c r="B107" s="37" t="str">
        <f>IFERROR(INDEX(_自动清单!$AY$4:$AY$203,ROW()-3),"")</f>
        <v/>
      </c>
      <c r="C107" s="39" t="str">
        <f>IF(OR($B107="",_自动清单!$AS$4=""),"",SUMIFS(次果筐明细!$G$4:$G$603,次果筐明细!$C$4:$C$603,$B107,次果筐明细!$D$4:$D$603,_自动清单!$AS$4,次果筐明细!$F$4:$F$603,"*出库*",次果筐明细!$B$4:$B$603,"&gt;="&amp;$Z$1,次果筐明细!$B$4:$B$603,"&lt;="&amp;$Z$2))</f>
        <v/>
      </c>
      <c r="D107" s="39" t="str">
        <f>IF(OR($B107="",_自动清单!$AS$5=""),"",SUMIFS(次果筐明细!$G$4:$G$603,次果筐明细!$C$4:$C$603,$B107,次果筐明细!$D$4:$D$603,_自动清单!$AS$5,次果筐明细!$F$4:$F$603,"*出库*",次果筐明细!$B$4:$B$603,"&gt;="&amp;$Z$1,次果筐明细!$B$4:$B$603,"&lt;="&amp;$Z$2))</f>
        <v/>
      </c>
      <c r="E107" s="39" t="str">
        <f>IF(OR($B107="",_自动清单!$AS$6=""),"",SUMIFS(次果筐明细!$G$4:$G$603,次果筐明细!$C$4:$C$603,$B107,次果筐明细!$D$4:$D$603,_自动清单!$AS$6,次果筐明细!$F$4:$F$603,"*出库*",次果筐明细!$B$4:$B$603,"&gt;="&amp;$Z$1,次果筐明细!$B$4:$B$603,"&lt;="&amp;$Z$2))</f>
        <v/>
      </c>
      <c r="F107" s="39" t="str">
        <f>IF(OR($B107="",_自动清单!$AS$7=""),"",SUMIFS(次果筐明细!$G$4:$G$603,次果筐明细!$C$4:$C$603,$B107,次果筐明细!$D$4:$D$603,_自动清单!$AS$7,次果筐明细!$F$4:$F$603,"*出库*",次果筐明细!$B$4:$B$603,"&gt;="&amp;$Z$1,次果筐明细!$B$4:$B$603,"&lt;="&amp;$Z$2))</f>
        <v/>
      </c>
      <c r="G107" s="39" t="str">
        <f>IF($B107="","",SUMIFS(次果筐明细!$G$4:$G$603,次果筐明细!$C$4:$C$603,$B107,次果筐明细!$F$4:$F$603,"*出库*",次果筐明细!$B$4:$B$603,"&gt;="&amp;$Z$1,次果筐明细!$B$4:$B$603,"&lt;="&amp;$Z$2)-SUM($C107:$F107))</f>
        <v/>
      </c>
      <c r="H107" s="39" t="str">
        <f t="shared" si="7"/>
        <v/>
      </c>
      <c r="I107" s="39" t="str">
        <f>IF(OR($B107="",_自动清单!$AS$4=""),"",SUMIFS(次果筐明细!$G$4:$G$603,次果筐明细!$C$4:$C$603,$B107,次果筐明细!$D$4:$D$603,_自动清单!$AS$4,次果筐明细!$F$4:$F$603,"*入库*",次果筐明细!$B$4:$B$603,"&gt;="&amp;$Z$1,次果筐明细!$B$4:$B$603,"&lt;="&amp;$Z$2))</f>
        <v/>
      </c>
      <c r="J107" s="39" t="str">
        <f>IF(OR($B107="",_自动清单!$AS$5=""),"",SUMIFS(次果筐明细!$G$4:$G$603,次果筐明细!$C$4:$C$603,$B107,次果筐明细!$D$4:$D$603,_自动清单!$AS$5,次果筐明细!$F$4:$F$603,"*入库*",次果筐明细!$B$4:$B$603,"&gt;="&amp;$Z$1,次果筐明细!$B$4:$B$603,"&lt;="&amp;$Z$2))</f>
        <v/>
      </c>
      <c r="K107" s="39" t="str">
        <f>IF(OR($B107="",_自动清单!$AS$6=""),"",SUMIFS(次果筐明细!$G$4:$G$603,次果筐明细!$C$4:$C$603,$B107,次果筐明细!$D$4:$D$603,_自动清单!$AS$6,次果筐明细!$F$4:$F$603,"*入库*",次果筐明细!$B$4:$B$603,"&gt;="&amp;$Z$1,次果筐明细!$B$4:$B$603,"&lt;="&amp;$Z$2))</f>
        <v/>
      </c>
      <c r="L107" s="39" t="str">
        <f>IF(OR($B107="",_自动清单!$AS$7=""),"",SUMIFS(次果筐明细!$G$4:$G$603,次果筐明细!$C$4:$C$603,$B107,次果筐明细!$D$4:$D$603,_自动清单!$AS$7,次果筐明细!$F$4:$F$603,"*入库*",次果筐明细!$B$4:$B$603,"&gt;="&amp;$Z$1,次果筐明细!$B$4:$B$603,"&lt;="&amp;$Z$2))</f>
        <v/>
      </c>
      <c r="M107" s="62" t="str">
        <f>IF($B107="","",SUMIFS(次果筐明细!$G$4:$G$603,次果筐明细!$C$4:$C$603,$B107,次果筐明细!$F$4:$F$603,"*入库*",次果筐明细!$B$4:$B$603,"&gt;="&amp;$Z$1,次果筐明细!$B$4:$B$603,"&lt;="&amp;$Z$2)-SUM($I107:$L107))</f>
        <v/>
      </c>
      <c r="N107" s="62" t="str">
        <f t="shared" si="8"/>
        <v/>
      </c>
      <c r="O107" s="39" t="str">
        <f t="shared" si="9"/>
        <v/>
      </c>
      <c r="P107" s="30" t="str">
        <f>IF($B107="","",ROUND(SUMIFS(次果筐明细!$L$4:$L$603,次果筐明细!$C$4:$C$603,$B107,次果筐明细!$B$4:$B$603,"&gt;="&amp;$Z$1,次果筐明细!$B$4:$B$603,"&lt;="&amp;$Z$2),2))</f>
        <v/>
      </c>
      <c r="Q107" s="30" t="str">
        <f>IF($B107="","",ROUND(SUMIFS(次果筐明细!$L$4:$L$603,次果筐明细!$C$4:$C$603,$B107,次果筐明细!$M$4:$M$603,"已收讫",次果筐明细!$B$4:$B$603,"&gt;="&amp;$Z$1,次果筐明细!$B$4:$B$603,"&lt;="&amp;$Z$2),2))</f>
        <v/>
      </c>
      <c r="R107" s="30" t="str">
        <f t="shared" si="10"/>
        <v/>
      </c>
      <c r="S107" s="30" t="str">
        <f>IF($B107="","",ROUND(SUMIFS(次果筐明细!$J$4:$J$603,次果筐明细!$C$4:$C$603,$B107,次果筐明细!$B$4:$B$603,"&gt;="&amp;$Z$1,次果筐明细!$B$4:$B$603,"&lt;="&amp;$Z$2),2))</f>
        <v/>
      </c>
      <c r="T107" s="63" t="str">
        <f>IF($B107="","",ROUND(SUMIFS(次果筐明细!$K$4:$K$603,次果筐明细!$C$4:$C$603,$B107,次果筐明细!$B$4:$B$603,"&gt;="&amp;$Z$1,次果筐明细!$B$4:$B$603,"&lt;="&amp;$Z$2),2))</f>
        <v/>
      </c>
      <c r="U107" s="30" t="str">
        <f t="shared" si="11"/>
        <v/>
      </c>
      <c r="V107" s="42"/>
    </row>
    <row r="108" spans="1:22">
      <c r="A108" s="24" t="str">
        <f t="shared" si="6"/>
        <v/>
      </c>
      <c r="B108" s="37" t="str">
        <f>IFERROR(INDEX(_自动清单!$AY$4:$AY$203,ROW()-3),"")</f>
        <v/>
      </c>
      <c r="C108" s="39" t="str">
        <f>IF(OR($B108="",_自动清单!$AS$4=""),"",SUMIFS(次果筐明细!$G$4:$G$603,次果筐明细!$C$4:$C$603,$B108,次果筐明细!$D$4:$D$603,_自动清单!$AS$4,次果筐明细!$F$4:$F$603,"*出库*",次果筐明细!$B$4:$B$603,"&gt;="&amp;$Z$1,次果筐明细!$B$4:$B$603,"&lt;="&amp;$Z$2))</f>
        <v/>
      </c>
      <c r="D108" s="39" t="str">
        <f>IF(OR($B108="",_自动清单!$AS$5=""),"",SUMIFS(次果筐明细!$G$4:$G$603,次果筐明细!$C$4:$C$603,$B108,次果筐明细!$D$4:$D$603,_自动清单!$AS$5,次果筐明细!$F$4:$F$603,"*出库*",次果筐明细!$B$4:$B$603,"&gt;="&amp;$Z$1,次果筐明细!$B$4:$B$603,"&lt;="&amp;$Z$2))</f>
        <v/>
      </c>
      <c r="E108" s="39" t="str">
        <f>IF(OR($B108="",_自动清单!$AS$6=""),"",SUMIFS(次果筐明细!$G$4:$G$603,次果筐明细!$C$4:$C$603,$B108,次果筐明细!$D$4:$D$603,_自动清单!$AS$6,次果筐明细!$F$4:$F$603,"*出库*",次果筐明细!$B$4:$B$603,"&gt;="&amp;$Z$1,次果筐明细!$B$4:$B$603,"&lt;="&amp;$Z$2))</f>
        <v/>
      </c>
      <c r="F108" s="39" t="str">
        <f>IF(OR($B108="",_自动清单!$AS$7=""),"",SUMIFS(次果筐明细!$G$4:$G$603,次果筐明细!$C$4:$C$603,$B108,次果筐明细!$D$4:$D$603,_自动清单!$AS$7,次果筐明细!$F$4:$F$603,"*出库*",次果筐明细!$B$4:$B$603,"&gt;="&amp;$Z$1,次果筐明细!$B$4:$B$603,"&lt;="&amp;$Z$2))</f>
        <v/>
      </c>
      <c r="G108" s="39" t="str">
        <f>IF($B108="","",SUMIFS(次果筐明细!$G$4:$G$603,次果筐明细!$C$4:$C$603,$B108,次果筐明细!$F$4:$F$603,"*出库*",次果筐明细!$B$4:$B$603,"&gt;="&amp;$Z$1,次果筐明细!$B$4:$B$603,"&lt;="&amp;$Z$2)-SUM($C108:$F108))</f>
        <v/>
      </c>
      <c r="H108" s="39" t="str">
        <f t="shared" si="7"/>
        <v/>
      </c>
      <c r="I108" s="39" t="str">
        <f>IF(OR($B108="",_自动清单!$AS$4=""),"",SUMIFS(次果筐明细!$G$4:$G$603,次果筐明细!$C$4:$C$603,$B108,次果筐明细!$D$4:$D$603,_自动清单!$AS$4,次果筐明细!$F$4:$F$603,"*入库*",次果筐明细!$B$4:$B$603,"&gt;="&amp;$Z$1,次果筐明细!$B$4:$B$603,"&lt;="&amp;$Z$2))</f>
        <v/>
      </c>
      <c r="J108" s="39" t="str">
        <f>IF(OR($B108="",_自动清单!$AS$5=""),"",SUMIFS(次果筐明细!$G$4:$G$603,次果筐明细!$C$4:$C$603,$B108,次果筐明细!$D$4:$D$603,_自动清单!$AS$5,次果筐明细!$F$4:$F$603,"*入库*",次果筐明细!$B$4:$B$603,"&gt;="&amp;$Z$1,次果筐明细!$B$4:$B$603,"&lt;="&amp;$Z$2))</f>
        <v/>
      </c>
      <c r="K108" s="39" t="str">
        <f>IF(OR($B108="",_自动清单!$AS$6=""),"",SUMIFS(次果筐明细!$G$4:$G$603,次果筐明细!$C$4:$C$603,$B108,次果筐明细!$D$4:$D$603,_自动清单!$AS$6,次果筐明细!$F$4:$F$603,"*入库*",次果筐明细!$B$4:$B$603,"&gt;="&amp;$Z$1,次果筐明细!$B$4:$B$603,"&lt;="&amp;$Z$2))</f>
        <v/>
      </c>
      <c r="L108" s="39" t="str">
        <f>IF(OR($B108="",_自动清单!$AS$7=""),"",SUMIFS(次果筐明细!$G$4:$G$603,次果筐明细!$C$4:$C$603,$B108,次果筐明细!$D$4:$D$603,_自动清单!$AS$7,次果筐明细!$F$4:$F$603,"*入库*",次果筐明细!$B$4:$B$603,"&gt;="&amp;$Z$1,次果筐明细!$B$4:$B$603,"&lt;="&amp;$Z$2))</f>
        <v/>
      </c>
      <c r="M108" s="62" t="str">
        <f>IF($B108="","",SUMIFS(次果筐明细!$G$4:$G$603,次果筐明细!$C$4:$C$603,$B108,次果筐明细!$F$4:$F$603,"*入库*",次果筐明细!$B$4:$B$603,"&gt;="&amp;$Z$1,次果筐明细!$B$4:$B$603,"&lt;="&amp;$Z$2)-SUM($I108:$L108))</f>
        <v/>
      </c>
      <c r="N108" s="62" t="str">
        <f t="shared" si="8"/>
        <v/>
      </c>
      <c r="O108" s="39" t="str">
        <f t="shared" si="9"/>
        <v/>
      </c>
      <c r="P108" s="30" t="str">
        <f>IF($B108="","",ROUND(SUMIFS(次果筐明细!$L$4:$L$603,次果筐明细!$C$4:$C$603,$B108,次果筐明细!$B$4:$B$603,"&gt;="&amp;$Z$1,次果筐明细!$B$4:$B$603,"&lt;="&amp;$Z$2),2))</f>
        <v/>
      </c>
      <c r="Q108" s="30" t="str">
        <f>IF($B108="","",ROUND(SUMIFS(次果筐明细!$L$4:$L$603,次果筐明细!$C$4:$C$603,$B108,次果筐明细!$M$4:$M$603,"已收讫",次果筐明细!$B$4:$B$603,"&gt;="&amp;$Z$1,次果筐明细!$B$4:$B$603,"&lt;="&amp;$Z$2),2))</f>
        <v/>
      </c>
      <c r="R108" s="30" t="str">
        <f t="shared" si="10"/>
        <v/>
      </c>
      <c r="S108" s="30" t="str">
        <f>IF($B108="","",ROUND(SUMIFS(次果筐明细!$J$4:$J$603,次果筐明细!$C$4:$C$603,$B108,次果筐明细!$B$4:$B$603,"&gt;="&amp;$Z$1,次果筐明细!$B$4:$B$603,"&lt;="&amp;$Z$2),2))</f>
        <v/>
      </c>
      <c r="T108" s="63" t="str">
        <f>IF($B108="","",ROUND(SUMIFS(次果筐明细!$K$4:$K$603,次果筐明细!$C$4:$C$603,$B108,次果筐明细!$B$4:$B$603,"&gt;="&amp;$Z$1,次果筐明细!$B$4:$B$603,"&lt;="&amp;$Z$2),2))</f>
        <v/>
      </c>
      <c r="U108" s="30" t="str">
        <f t="shared" si="11"/>
        <v/>
      </c>
      <c r="V108" s="42"/>
    </row>
    <row r="109" spans="1:22">
      <c r="A109" s="24" t="str">
        <f t="shared" si="6"/>
        <v/>
      </c>
      <c r="B109" s="37" t="str">
        <f>IFERROR(INDEX(_自动清单!$AY$4:$AY$203,ROW()-3),"")</f>
        <v/>
      </c>
      <c r="C109" s="39" t="str">
        <f>IF(OR($B109="",_自动清单!$AS$4=""),"",SUMIFS(次果筐明细!$G$4:$G$603,次果筐明细!$C$4:$C$603,$B109,次果筐明细!$D$4:$D$603,_自动清单!$AS$4,次果筐明细!$F$4:$F$603,"*出库*",次果筐明细!$B$4:$B$603,"&gt;="&amp;$Z$1,次果筐明细!$B$4:$B$603,"&lt;="&amp;$Z$2))</f>
        <v/>
      </c>
      <c r="D109" s="39" t="str">
        <f>IF(OR($B109="",_自动清单!$AS$5=""),"",SUMIFS(次果筐明细!$G$4:$G$603,次果筐明细!$C$4:$C$603,$B109,次果筐明细!$D$4:$D$603,_自动清单!$AS$5,次果筐明细!$F$4:$F$603,"*出库*",次果筐明细!$B$4:$B$603,"&gt;="&amp;$Z$1,次果筐明细!$B$4:$B$603,"&lt;="&amp;$Z$2))</f>
        <v/>
      </c>
      <c r="E109" s="39" t="str">
        <f>IF(OR($B109="",_自动清单!$AS$6=""),"",SUMIFS(次果筐明细!$G$4:$G$603,次果筐明细!$C$4:$C$603,$B109,次果筐明细!$D$4:$D$603,_自动清单!$AS$6,次果筐明细!$F$4:$F$603,"*出库*",次果筐明细!$B$4:$B$603,"&gt;="&amp;$Z$1,次果筐明细!$B$4:$B$603,"&lt;="&amp;$Z$2))</f>
        <v/>
      </c>
      <c r="F109" s="39" t="str">
        <f>IF(OR($B109="",_自动清单!$AS$7=""),"",SUMIFS(次果筐明细!$G$4:$G$603,次果筐明细!$C$4:$C$603,$B109,次果筐明细!$D$4:$D$603,_自动清单!$AS$7,次果筐明细!$F$4:$F$603,"*出库*",次果筐明细!$B$4:$B$603,"&gt;="&amp;$Z$1,次果筐明细!$B$4:$B$603,"&lt;="&amp;$Z$2))</f>
        <v/>
      </c>
      <c r="G109" s="39" t="str">
        <f>IF($B109="","",SUMIFS(次果筐明细!$G$4:$G$603,次果筐明细!$C$4:$C$603,$B109,次果筐明细!$F$4:$F$603,"*出库*",次果筐明细!$B$4:$B$603,"&gt;="&amp;$Z$1,次果筐明细!$B$4:$B$603,"&lt;="&amp;$Z$2)-SUM($C109:$F109))</f>
        <v/>
      </c>
      <c r="H109" s="39" t="str">
        <f t="shared" si="7"/>
        <v/>
      </c>
      <c r="I109" s="39" t="str">
        <f>IF(OR($B109="",_自动清单!$AS$4=""),"",SUMIFS(次果筐明细!$G$4:$G$603,次果筐明细!$C$4:$C$603,$B109,次果筐明细!$D$4:$D$603,_自动清单!$AS$4,次果筐明细!$F$4:$F$603,"*入库*",次果筐明细!$B$4:$B$603,"&gt;="&amp;$Z$1,次果筐明细!$B$4:$B$603,"&lt;="&amp;$Z$2))</f>
        <v/>
      </c>
      <c r="J109" s="39" t="str">
        <f>IF(OR($B109="",_自动清单!$AS$5=""),"",SUMIFS(次果筐明细!$G$4:$G$603,次果筐明细!$C$4:$C$603,$B109,次果筐明细!$D$4:$D$603,_自动清单!$AS$5,次果筐明细!$F$4:$F$603,"*入库*",次果筐明细!$B$4:$B$603,"&gt;="&amp;$Z$1,次果筐明细!$B$4:$B$603,"&lt;="&amp;$Z$2))</f>
        <v/>
      </c>
      <c r="K109" s="39" t="str">
        <f>IF(OR($B109="",_自动清单!$AS$6=""),"",SUMIFS(次果筐明细!$G$4:$G$603,次果筐明细!$C$4:$C$603,$B109,次果筐明细!$D$4:$D$603,_自动清单!$AS$6,次果筐明细!$F$4:$F$603,"*入库*",次果筐明细!$B$4:$B$603,"&gt;="&amp;$Z$1,次果筐明细!$B$4:$B$603,"&lt;="&amp;$Z$2))</f>
        <v/>
      </c>
      <c r="L109" s="39" t="str">
        <f>IF(OR($B109="",_自动清单!$AS$7=""),"",SUMIFS(次果筐明细!$G$4:$G$603,次果筐明细!$C$4:$C$603,$B109,次果筐明细!$D$4:$D$603,_自动清单!$AS$7,次果筐明细!$F$4:$F$603,"*入库*",次果筐明细!$B$4:$B$603,"&gt;="&amp;$Z$1,次果筐明细!$B$4:$B$603,"&lt;="&amp;$Z$2))</f>
        <v/>
      </c>
      <c r="M109" s="62" t="str">
        <f>IF($B109="","",SUMIFS(次果筐明细!$G$4:$G$603,次果筐明细!$C$4:$C$603,$B109,次果筐明细!$F$4:$F$603,"*入库*",次果筐明细!$B$4:$B$603,"&gt;="&amp;$Z$1,次果筐明细!$B$4:$B$603,"&lt;="&amp;$Z$2)-SUM($I109:$L109))</f>
        <v/>
      </c>
      <c r="N109" s="62" t="str">
        <f t="shared" si="8"/>
        <v/>
      </c>
      <c r="O109" s="39" t="str">
        <f t="shared" si="9"/>
        <v/>
      </c>
      <c r="P109" s="30" t="str">
        <f>IF($B109="","",ROUND(SUMIFS(次果筐明细!$L$4:$L$603,次果筐明细!$C$4:$C$603,$B109,次果筐明细!$B$4:$B$603,"&gt;="&amp;$Z$1,次果筐明细!$B$4:$B$603,"&lt;="&amp;$Z$2),2))</f>
        <v/>
      </c>
      <c r="Q109" s="30" t="str">
        <f>IF($B109="","",ROUND(SUMIFS(次果筐明细!$L$4:$L$603,次果筐明细!$C$4:$C$603,$B109,次果筐明细!$M$4:$M$603,"已收讫",次果筐明细!$B$4:$B$603,"&gt;="&amp;$Z$1,次果筐明细!$B$4:$B$603,"&lt;="&amp;$Z$2),2))</f>
        <v/>
      </c>
      <c r="R109" s="30" t="str">
        <f t="shared" si="10"/>
        <v/>
      </c>
      <c r="S109" s="30" t="str">
        <f>IF($B109="","",ROUND(SUMIFS(次果筐明细!$J$4:$J$603,次果筐明细!$C$4:$C$603,$B109,次果筐明细!$B$4:$B$603,"&gt;="&amp;$Z$1,次果筐明细!$B$4:$B$603,"&lt;="&amp;$Z$2),2))</f>
        <v/>
      </c>
      <c r="T109" s="63" t="str">
        <f>IF($B109="","",ROUND(SUMIFS(次果筐明细!$K$4:$K$603,次果筐明细!$C$4:$C$603,$B109,次果筐明细!$B$4:$B$603,"&gt;="&amp;$Z$1,次果筐明细!$B$4:$B$603,"&lt;="&amp;$Z$2),2))</f>
        <v/>
      </c>
      <c r="U109" s="30" t="str">
        <f t="shared" si="11"/>
        <v/>
      </c>
      <c r="V109" s="42"/>
    </row>
    <row r="110" spans="1:22">
      <c r="A110" s="24" t="str">
        <f t="shared" si="6"/>
        <v/>
      </c>
      <c r="B110" s="37" t="str">
        <f>IFERROR(INDEX(_自动清单!$AY$4:$AY$203,ROW()-3),"")</f>
        <v/>
      </c>
      <c r="C110" s="39" t="str">
        <f>IF(OR($B110="",_自动清单!$AS$4=""),"",SUMIFS(次果筐明细!$G$4:$G$603,次果筐明细!$C$4:$C$603,$B110,次果筐明细!$D$4:$D$603,_自动清单!$AS$4,次果筐明细!$F$4:$F$603,"*出库*",次果筐明细!$B$4:$B$603,"&gt;="&amp;$Z$1,次果筐明细!$B$4:$B$603,"&lt;="&amp;$Z$2))</f>
        <v/>
      </c>
      <c r="D110" s="39" t="str">
        <f>IF(OR($B110="",_自动清单!$AS$5=""),"",SUMIFS(次果筐明细!$G$4:$G$603,次果筐明细!$C$4:$C$603,$B110,次果筐明细!$D$4:$D$603,_自动清单!$AS$5,次果筐明细!$F$4:$F$603,"*出库*",次果筐明细!$B$4:$B$603,"&gt;="&amp;$Z$1,次果筐明细!$B$4:$B$603,"&lt;="&amp;$Z$2))</f>
        <v/>
      </c>
      <c r="E110" s="39" t="str">
        <f>IF(OR($B110="",_自动清单!$AS$6=""),"",SUMIFS(次果筐明细!$G$4:$G$603,次果筐明细!$C$4:$C$603,$B110,次果筐明细!$D$4:$D$603,_自动清单!$AS$6,次果筐明细!$F$4:$F$603,"*出库*",次果筐明细!$B$4:$B$603,"&gt;="&amp;$Z$1,次果筐明细!$B$4:$B$603,"&lt;="&amp;$Z$2))</f>
        <v/>
      </c>
      <c r="F110" s="39" t="str">
        <f>IF(OR($B110="",_自动清单!$AS$7=""),"",SUMIFS(次果筐明细!$G$4:$G$603,次果筐明细!$C$4:$C$603,$B110,次果筐明细!$D$4:$D$603,_自动清单!$AS$7,次果筐明细!$F$4:$F$603,"*出库*",次果筐明细!$B$4:$B$603,"&gt;="&amp;$Z$1,次果筐明细!$B$4:$B$603,"&lt;="&amp;$Z$2))</f>
        <v/>
      </c>
      <c r="G110" s="39" t="str">
        <f>IF($B110="","",SUMIFS(次果筐明细!$G$4:$G$603,次果筐明细!$C$4:$C$603,$B110,次果筐明细!$F$4:$F$603,"*出库*",次果筐明细!$B$4:$B$603,"&gt;="&amp;$Z$1,次果筐明细!$B$4:$B$603,"&lt;="&amp;$Z$2)-SUM($C110:$F110))</f>
        <v/>
      </c>
      <c r="H110" s="39" t="str">
        <f t="shared" si="7"/>
        <v/>
      </c>
      <c r="I110" s="39" t="str">
        <f>IF(OR($B110="",_自动清单!$AS$4=""),"",SUMIFS(次果筐明细!$G$4:$G$603,次果筐明细!$C$4:$C$603,$B110,次果筐明细!$D$4:$D$603,_自动清单!$AS$4,次果筐明细!$F$4:$F$603,"*入库*",次果筐明细!$B$4:$B$603,"&gt;="&amp;$Z$1,次果筐明细!$B$4:$B$603,"&lt;="&amp;$Z$2))</f>
        <v/>
      </c>
      <c r="J110" s="39" t="str">
        <f>IF(OR($B110="",_自动清单!$AS$5=""),"",SUMIFS(次果筐明细!$G$4:$G$603,次果筐明细!$C$4:$C$603,$B110,次果筐明细!$D$4:$D$603,_自动清单!$AS$5,次果筐明细!$F$4:$F$603,"*入库*",次果筐明细!$B$4:$B$603,"&gt;="&amp;$Z$1,次果筐明细!$B$4:$B$603,"&lt;="&amp;$Z$2))</f>
        <v/>
      </c>
      <c r="K110" s="39" t="str">
        <f>IF(OR($B110="",_自动清单!$AS$6=""),"",SUMIFS(次果筐明细!$G$4:$G$603,次果筐明细!$C$4:$C$603,$B110,次果筐明细!$D$4:$D$603,_自动清单!$AS$6,次果筐明细!$F$4:$F$603,"*入库*",次果筐明细!$B$4:$B$603,"&gt;="&amp;$Z$1,次果筐明细!$B$4:$B$603,"&lt;="&amp;$Z$2))</f>
        <v/>
      </c>
      <c r="L110" s="39" t="str">
        <f>IF(OR($B110="",_自动清单!$AS$7=""),"",SUMIFS(次果筐明细!$G$4:$G$603,次果筐明细!$C$4:$C$603,$B110,次果筐明细!$D$4:$D$603,_自动清单!$AS$7,次果筐明细!$F$4:$F$603,"*入库*",次果筐明细!$B$4:$B$603,"&gt;="&amp;$Z$1,次果筐明细!$B$4:$B$603,"&lt;="&amp;$Z$2))</f>
        <v/>
      </c>
      <c r="M110" s="62" t="str">
        <f>IF($B110="","",SUMIFS(次果筐明细!$G$4:$G$603,次果筐明细!$C$4:$C$603,$B110,次果筐明细!$F$4:$F$603,"*入库*",次果筐明细!$B$4:$B$603,"&gt;="&amp;$Z$1,次果筐明细!$B$4:$B$603,"&lt;="&amp;$Z$2)-SUM($I110:$L110))</f>
        <v/>
      </c>
      <c r="N110" s="62" t="str">
        <f t="shared" si="8"/>
        <v/>
      </c>
      <c r="O110" s="39" t="str">
        <f t="shared" si="9"/>
        <v/>
      </c>
      <c r="P110" s="30" t="str">
        <f>IF($B110="","",ROUND(SUMIFS(次果筐明细!$L$4:$L$603,次果筐明细!$C$4:$C$603,$B110,次果筐明细!$B$4:$B$603,"&gt;="&amp;$Z$1,次果筐明细!$B$4:$B$603,"&lt;="&amp;$Z$2),2))</f>
        <v/>
      </c>
      <c r="Q110" s="30" t="str">
        <f>IF($B110="","",ROUND(SUMIFS(次果筐明细!$L$4:$L$603,次果筐明细!$C$4:$C$603,$B110,次果筐明细!$M$4:$M$603,"已收讫",次果筐明细!$B$4:$B$603,"&gt;="&amp;$Z$1,次果筐明细!$B$4:$B$603,"&lt;="&amp;$Z$2),2))</f>
        <v/>
      </c>
      <c r="R110" s="30" t="str">
        <f t="shared" si="10"/>
        <v/>
      </c>
      <c r="S110" s="30" t="str">
        <f>IF($B110="","",ROUND(SUMIFS(次果筐明细!$J$4:$J$603,次果筐明细!$C$4:$C$603,$B110,次果筐明细!$B$4:$B$603,"&gt;="&amp;$Z$1,次果筐明细!$B$4:$B$603,"&lt;="&amp;$Z$2),2))</f>
        <v/>
      </c>
      <c r="T110" s="63" t="str">
        <f>IF($B110="","",ROUND(SUMIFS(次果筐明细!$K$4:$K$603,次果筐明细!$C$4:$C$603,$B110,次果筐明细!$B$4:$B$603,"&gt;="&amp;$Z$1,次果筐明细!$B$4:$B$603,"&lt;="&amp;$Z$2),2))</f>
        <v/>
      </c>
      <c r="U110" s="30" t="str">
        <f t="shared" si="11"/>
        <v/>
      </c>
      <c r="V110" s="42"/>
    </row>
    <row r="111" spans="1:22">
      <c r="A111" s="24" t="str">
        <f t="shared" si="6"/>
        <v/>
      </c>
      <c r="B111" s="37" t="str">
        <f>IFERROR(INDEX(_自动清单!$AY$4:$AY$203,ROW()-3),"")</f>
        <v/>
      </c>
      <c r="C111" s="39" t="str">
        <f>IF(OR($B111="",_自动清单!$AS$4=""),"",SUMIFS(次果筐明细!$G$4:$G$603,次果筐明细!$C$4:$C$603,$B111,次果筐明细!$D$4:$D$603,_自动清单!$AS$4,次果筐明细!$F$4:$F$603,"*出库*",次果筐明细!$B$4:$B$603,"&gt;="&amp;$Z$1,次果筐明细!$B$4:$B$603,"&lt;="&amp;$Z$2))</f>
        <v/>
      </c>
      <c r="D111" s="39" t="str">
        <f>IF(OR($B111="",_自动清单!$AS$5=""),"",SUMIFS(次果筐明细!$G$4:$G$603,次果筐明细!$C$4:$C$603,$B111,次果筐明细!$D$4:$D$603,_自动清单!$AS$5,次果筐明细!$F$4:$F$603,"*出库*",次果筐明细!$B$4:$B$603,"&gt;="&amp;$Z$1,次果筐明细!$B$4:$B$603,"&lt;="&amp;$Z$2))</f>
        <v/>
      </c>
      <c r="E111" s="39" t="str">
        <f>IF(OR($B111="",_自动清单!$AS$6=""),"",SUMIFS(次果筐明细!$G$4:$G$603,次果筐明细!$C$4:$C$603,$B111,次果筐明细!$D$4:$D$603,_自动清单!$AS$6,次果筐明细!$F$4:$F$603,"*出库*",次果筐明细!$B$4:$B$603,"&gt;="&amp;$Z$1,次果筐明细!$B$4:$B$603,"&lt;="&amp;$Z$2))</f>
        <v/>
      </c>
      <c r="F111" s="39" t="str">
        <f>IF(OR($B111="",_自动清单!$AS$7=""),"",SUMIFS(次果筐明细!$G$4:$G$603,次果筐明细!$C$4:$C$603,$B111,次果筐明细!$D$4:$D$603,_自动清单!$AS$7,次果筐明细!$F$4:$F$603,"*出库*",次果筐明细!$B$4:$B$603,"&gt;="&amp;$Z$1,次果筐明细!$B$4:$B$603,"&lt;="&amp;$Z$2))</f>
        <v/>
      </c>
      <c r="G111" s="39" t="str">
        <f>IF($B111="","",SUMIFS(次果筐明细!$G$4:$G$603,次果筐明细!$C$4:$C$603,$B111,次果筐明细!$F$4:$F$603,"*出库*",次果筐明细!$B$4:$B$603,"&gt;="&amp;$Z$1,次果筐明细!$B$4:$B$603,"&lt;="&amp;$Z$2)-SUM($C111:$F111))</f>
        <v/>
      </c>
      <c r="H111" s="39" t="str">
        <f t="shared" si="7"/>
        <v/>
      </c>
      <c r="I111" s="39" t="str">
        <f>IF(OR($B111="",_自动清单!$AS$4=""),"",SUMIFS(次果筐明细!$G$4:$G$603,次果筐明细!$C$4:$C$603,$B111,次果筐明细!$D$4:$D$603,_自动清单!$AS$4,次果筐明细!$F$4:$F$603,"*入库*",次果筐明细!$B$4:$B$603,"&gt;="&amp;$Z$1,次果筐明细!$B$4:$B$603,"&lt;="&amp;$Z$2))</f>
        <v/>
      </c>
      <c r="J111" s="39" t="str">
        <f>IF(OR($B111="",_自动清单!$AS$5=""),"",SUMIFS(次果筐明细!$G$4:$G$603,次果筐明细!$C$4:$C$603,$B111,次果筐明细!$D$4:$D$603,_自动清单!$AS$5,次果筐明细!$F$4:$F$603,"*入库*",次果筐明细!$B$4:$B$603,"&gt;="&amp;$Z$1,次果筐明细!$B$4:$B$603,"&lt;="&amp;$Z$2))</f>
        <v/>
      </c>
      <c r="K111" s="39" t="str">
        <f>IF(OR($B111="",_自动清单!$AS$6=""),"",SUMIFS(次果筐明细!$G$4:$G$603,次果筐明细!$C$4:$C$603,$B111,次果筐明细!$D$4:$D$603,_自动清单!$AS$6,次果筐明细!$F$4:$F$603,"*入库*",次果筐明细!$B$4:$B$603,"&gt;="&amp;$Z$1,次果筐明细!$B$4:$B$603,"&lt;="&amp;$Z$2))</f>
        <v/>
      </c>
      <c r="L111" s="39" t="str">
        <f>IF(OR($B111="",_自动清单!$AS$7=""),"",SUMIFS(次果筐明细!$G$4:$G$603,次果筐明细!$C$4:$C$603,$B111,次果筐明细!$D$4:$D$603,_自动清单!$AS$7,次果筐明细!$F$4:$F$603,"*入库*",次果筐明细!$B$4:$B$603,"&gt;="&amp;$Z$1,次果筐明细!$B$4:$B$603,"&lt;="&amp;$Z$2))</f>
        <v/>
      </c>
      <c r="M111" s="62" t="str">
        <f>IF($B111="","",SUMIFS(次果筐明细!$G$4:$G$603,次果筐明细!$C$4:$C$603,$B111,次果筐明细!$F$4:$F$603,"*入库*",次果筐明细!$B$4:$B$603,"&gt;="&amp;$Z$1,次果筐明细!$B$4:$B$603,"&lt;="&amp;$Z$2)-SUM($I111:$L111))</f>
        <v/>
      </c>
      <c r="N111" s="62" t="str">
        <f t="shared" si="8"/>
        <v/>
      </c>
      <c r="O111" s="39" t="str">
        <f t="shared" si="9"/>
        <v/>
      </c>
      <c r="P111" s="30" t="str">
        <f>IF($B111="","",ROUND(SUMIFS(次果筐明细!$L$4:$L$603,次果筐明细!$C$4:$C$603,$B111,次果筐明细!$B$4:$B$603,"&gt;="&amp;$Z$1,次果筐明细!$B$4:$B$603,"&lt;="&amp;$Z$2),2))</f>
        <v/>
      </c>
      <c r="Q111" s="30" t="str">
        <f>IF($B111="","",ROUND(SUMIFS(次果筐明细!$L$4:$L$603,次果筐明细!$C$4:$C$603,$B111,次果筐明细!$M$4:$M$603,"已收讫",次果筐明细!$B$4:$B$603,"&gt;="&amp;$Z$1,次果筐明细!$B$4:$B$603,"&lt;="&amp;$Z$2),2))</f>
        <v/>
      </c>
      <c r="R111" s="30" t="str">
        <f t="shared" si="10"/>
        <v/>
      </c>
      <c r="S111" s="30" t="str">
        <f>IF($B111="","",ROUND(SUMIFS(次果筐明细!$J$4:$J$603,次果筐明细!$C$4:$C$603,$B111,次果筐明细!$B$4:$B$603,"&gt;="&amp;$Z$1,次果筐明细!$B$4:$B$603,"&lt;="&amp;$Z$2),2))</f>
        <v/>
      </c>
      <c r="T111" s="63" t="str">
        <f>IF($B111="","",ROUND(SUMIFS(次果筐明细!$K$4:$K$603,次果筐明细!$C$4:$C$603,$B111,次果筐明细!$B$4:$B$603,"&gt;="&amp;$Z$1,次果筐明细!$B$4:$B$603,"&lt;="&amp;$Z$2),2))</f>
        <v/>
      </c>
      <c r="U111" s="30" t="str">
        <f t="shared" si="11"/>
        <v/>
      </c>
      <c r="V111" s="42"/>
    </row>
    <row r="112" spans="1:22">
      <c r="A112" s="24" t="str">
        <f t="shared" si="6"/>
        <v/>
      </c>
      <c r="B112" s="37" t="str">
        <f>IFERROR(INDEX(_自动清单!$AY$4:$AY$203,ROW()-3),"")</f>
        <v/>
      </c>
      <c r="C112" s="39" t="str">
        <f>IF(OR($B112="",_自动清单!$AS$4=""),"",SUMIFS(次果筐明细!$G$4:$G$603,次果筐明细!$C$4:$C$603,$B112,次果筐明细!$D$4:$D$603,_自动清单!$AS$4,次果筐明细!$F$4:$F$603,"*出库*",次果筐明细!$B$4:$B$603,"&gt;="&amp;$Z$1,次果筐明细!$B$4:$B$603,"&lt;="&amp;$Z$2))</f>
        <v/>
      </c>
      <c r="D112" s="39" t="str">
        <f>IF(OR($B112="",_自动清单!$AS$5=""),"",SUMIFS(次果筐明细!$G$4:$G$603,次果筐明细!$C$4:$C$603,$B112,次果筐明细!$D$4:$D$603,_自动清单!$AS$5,次果筐明细!$F$4:$F$603,"*出库*",次果筐明细!$B$4:$B$603,"&gt;="&amp;$Z$1,次果筐明细!$B$4:$B$603,"&lt;="&amp;$Z$2))</f>
        <v/>
      </c>
      <c r="E112" s="39" t="str">
        <f>IF(OR($B112="",_自动清单!$AS$6=""),"",SUMIFS(次果筐明细!$G$4:$G$603,次果筐明细!$C$4:$C$603,$B112,次果筐明细!$D$4:$D$603,_自动清单!$AS$6,次果筐明细!$F$4:$F$603,"*出库*",次果筐明细!$B$4:$B$603,"&gt;="&amp;$Z$1,次果筐明细!$B$4:$B$603,"&lt;="&amp;$Z$2))</f>
        <v/>
      </c>
      <c r="F112" s="39" t="str">
        <f>IF(OR($B112="",_自动清单!$AS$7=""),"",SUMIFS(次果筐明细!$G$4:$G$603,次果筐明细!$C$4:$C$603,$B112,次果筐明细!$D$4:$D$603,_自动清单!$AS$7,次果筐明细!$F$4:$F$603,"*出库*",次果筐明细!$B$4:$B$603,"&gt;="&amp;$Z$1,次果筐明细!$B$4:$B$603,"&lt;="&amp;$Z$2))</f>
        <v/>
      </c>
      <c r="G112" s="39" t="str">
        <f>IF($B112="","",SUMIFS(次果筐明细!$G$4:$G$603,次果筐明细!$C$4:$C$603,$B112,次果筐明细!$F$4:$F$603,"*出库*",次果筐明细!$B$4:$B$603,"&gt;="&amp;$Z$1,次果筐明细!$B$4:$B$603,"&lt;="&amp;$Z$2)-SUM($C112:$F112))</f>
        <v/>
      </c>
      <c r="H112" s="39" t="str">
        <f t="shared" si="7"/>
        <v/>
      </c>
      <c r="I112" s="39" t="str">
        <f>IF(OR($B112="",_自动清单!$AS$4=""),"",SUMIFS(次果筐明细!$G$4:$G$603,次果筐明细!$C$4:$C$603,$B112,次果筐明细!$D$4:$D$603,_自动清单!$AS$4,次果筐明细!$F$4:$F$603,"*入库*",次果筐明细!$B$4:$B$603,"&gt;="&amp;$Z$1,次果筐明细!$B$4:$B$603,"&lt;="&amp;$Z$2))</f>
        <v/>
      </c>
      <c r="J112" s="39" t="str">
        <f>IF(OR($B112="",_自动清单!$AS$5=""),"",SUMIFS(次果筐明细!$G$4:$G$603,次果筐明细!$C$4:$C$603,$B112,次果筐明细!$D$4:$D$603,_自动清单!$AS$5,次果筐明细!$F$4:$F$603,"*入库*",次果筐明细!$B$4:$B$603,"&gt;="&amp;$Z$1,次果筐明细!$B$4:$B$603,"&lt;="&amp;$Z$2))</f>
        <v/>
      </c>
      <c r="K112" s="39" t="str">
        <f>IF(OR($B112="",_自动清单!$AS$6=""),"",SUMIFS(次果筐明细!$G$4:$G$603,次果筐明细!$C$4:$C$603,$B112,次果筐明细!$D$4:$D$603,_自动清单!$AS$6,次果筐明细!$F$4:$F$603,"*入库*",次果筐明细!$B$4:$B$603,"&gt;="&amp;$Z$1,次果筐明细!$B$4:$B$603,"&lt;="&amp;$Z$2))</f>
        <v/>
      </c>
      <c r="L112" s="39" t="str">
        <f>IF(OR($B112="",_自动清单!$AS$7=""),"",SUMIFS(次果筐明细!$G$4:$G$603,次果筐明细!$C$4:$C$603,$B112,次果筐明细!$D$4:$D$603,_自动清单!$AS$7,次果筐明细!$F$4:$F$603,"*入库*",次果筐明细!$B$4:$B$603,"&gt;="&amp;$Z$1,次果筐明细!$B$4:$B$603,"&lt;="&amp;$Z$2))</f>
        <v/>
      </c>
      <c r="M112" s="62" t="str">
        <f>IF($B112="","",SUMIFS(次果筐明细!$G$4:$G$603,次果筐明细!$C$4:$C$603,$B112,次果筐明细!$F$4:$F$603,"*入库*",次果筐明细!$B$4:$B$603,"&gt;="&amp;$Z$1,次果筐明细!$B$4:$B$603,"&lt;="&amp;$Z$2)-SUM($I112:$L112))</f>
        <v/>
      </c>
      <c r="N112" s="62" t="str">
        <f t="shared" si="8"/>
        <v/>
      </c>
      <c r="O112" s="39" t="str">
        <f t="shared" si="9"/>
        <v/>
      </c>
      <c r="P112" s="30" t="str">
        <f>IF($B112="","",ROUND(SUMIFS(次果筐明细!$L$4:$L$603,次果筐明细!$C$4:$C$603,$B112,次果筐明细!$B$4:$B$603,"&gt;="&amp;$Z$1,次果筐明细!$B$4:$B$603,"&lt;="&amp;$Z$2),2))</f>
        <v/>
      </c>
      <c r="Q112" s="30" t="str">
        <f>IF($B112="","",ROUND(SUMIFS(次果筐明细!$L$4:$L$603,次果筐明细!$C$4:$C$603,$B112,次果筐明细!$M$4:$M$603,"已收讫",次果筐明细!$B$4:$B$603,"&gt;="&amp;$Z$1,次果筐明细!$B$4:$B$603,"&lt;="&amp;$Z$2),2))</f>
        <v/>
      </c>
      <c r="R112" s="30" t="str">
        <f t="shared" si="10"/>
        <v/>
      </c>
      <c r="S112" s="30" t="str">
        <f>IF($B112="","",ROUND(SUMIFS(次果筐明细!$J$4:$J$603,次果筐明细!$C$4:$C$603,$B112,次果筐明细!$B$4:$B$603,"&gt;="&amp;$Z$1,次果筐明细!$B$4:$B$603,"&lt;="&amp;$Z$2),2))</f>
        <v/>
      </c>
      <c r="T112" s="63" t="str">
        <f>IF($B112="","",ROUND(SUMIFS(次果筐明细!$K$4:$K$603,次果筐明细!$C$4:$C$603,$B112,次果筐明细!$B$4:$B$603,"&gt;="&amp;$Z$1,次果筐明细!$B$4:$B$603,"&lt;="&amp;$Z$2),2))</f>
        <v/>
      </c>
      <c r="U112" s="30" t="str">
        <f t="shared" si="11"/>
        <v/>
      </c>
      <c r="V112" s="42"/>
    </row>
    <row r="113" spans="1:22">
      <c r="A113" s="24" t="str">
        <f t="shared" si="6"/>
        <v/>
      </c>
      <c r="B113" s="37" t="str">
        <f>IFERROR(INDEX(_自动清单!$AY$4:$AY$203,ROW()-3),"")</f>
        <v/>
      </c>
      <c r="C113" s="39" t="str">
        <f>IF(OR($B113="",_自动清单!$AS$4=""),"",SUMIFS(次果筐明细!$G$4:$G$603,次果筐明细!$C$4:$C$603,$B113,次果筐明细!$D$4:$D$603,_自动清单!$AS$4,次果筐明细!$F$4:$F$603,"*出库*",次果筐明细!$B$4:$B$603,"&gt;="&amp;$Z$1,次果筐明细!$B$4:$B$603,"&lt;="&amp;$Z$2))</f>
        <v/>
      </c>
      <c r="D113" s="39" t="str">
        <f>IF(OR($B113="",_自动清单!$AS$5=""),"",SUMIFS(次果筐明细!$G$4:$G$603,次果筐明细!$C$4:$C$603,$B113,次果筐明细!$D$4:$D$603,_自动清单!$AS$5,次果筐明细!$F$4:$F$603,"*出库*",次果筐明细!$B$4:$B$603,"&gt;="&amp;$Z$1,次果筐明细!$B$4:$B$603,"&lt;="&amp;$Z$2))</f>
        <v/>
      </c>
      <c r="E113" s="39" t="str">
        <f>IF(OR($B113="",_自动清单!$AS$6=""),"",SUMIFS(次果筐明细!$G$4:$G$603,次果筐明细!$C$4:$C$603,$B113,次果筐明细!$D$4:$D$603,_自动清单!$AS$6,次果筐明细!$F$4:$F$603,"*出库*",次果筐明细!$B$4:$B$603,"&gt;="&amp;$Z$1,次果筐明细!$B$4:$B$603,"&lt;="&amp;$Z$2))</f>
        <v/>
      </c>
      <c r="F113" s="39" t="str">
        <f>IF(OR($B113="",_自动清单!$AS$7=""),"",SUMIFS(次果筐明细!$G$4:$G$603,次果筐明细!$C$4:$C$603,$B113,次果筐明细!$D$4:$D$603,_自动清单!$AS$7,次果筐明细!$F$4:$F$603,"*出库*",次果筐明细!$B$4:$B$603,"&gt;="&amp;$Z$1,次果筐明细!$B$4:$B$603,"&lt;="&amp;$Z$2))</f>
        <v/>
      </c>
      <c r="G113" s="39" t="str">
        <f>IF($B113="","",SUMIFS(次果筐明细!$G$4:$G$603,次果筐明细!$C$4:$C$603,$B113,次果筐明细!$F$4:$F$603,"*出库*",次果筐明细!$B$4:$B$603,"&gt;="&amp;$Z$1,次果筐明细!$B$4:$B$603,"&lt;="&amp;$Z$2)-SUM($C113:$F113))</f>
        <v/>
      </c>
      <c r="H113" s="39" t="str">
        <f t="shared" si="7"/>
        <v/>
      </c>
      <c r="I113" s="39" t="str">
        <f>IF(OR($B113="",_自动清单!$AS$4=""),"",SUMIFS(次果筐明细!$G$4:$G$603,次果筐明细!$C$4:$C$603,$B113,次果筐明细!$D$4:$D$603,_自动清单!$AS$4,次果筐明细!$F$4:$F$603,"*入库*",次果筐明细!$B$4:$B$603,"&gt;="&amp;$Z$1,次果筐明细!$B$4:$B$603,"&lt;="&amp;$Z$2))</f>
        <v/>
      </c>
      <c r="J113" s="39" t="str">
        <f>IF(OR($B113="",_自动清单!$AS$5=""),"",SUMIFS(次果筐明细!$G$4:$G$603,次果筐明细!$C$4:$C$603,$B113,次果筐明细!$D$4:$D$603,_自动清单!$AS$5,次果筐明细!$F$4:$F$603,"*入库*",次果筐明细!$B$4:$B$603,"&gt;="&amp;$Z$1,次果筐明细!$B$4:$B$603,"&lt;="&amp;$Z$2))</f>
        <v/>
      </c>
      <c r="K113" s="39" t="str">
        <f>IF(OR($B113="",_自动清单!$AS$6=""),"",SUMIFS(次果筐明细!$G$4:$G$603,次果筐明细!$C$4:$C$603,$B113,次果筐明细!$D$4:$D$603,_自动清单!$AS$6,次果筐明细!$F$4:$F$603,"*入库*",次果筐明细!$B$4:$B$603,"&gt;="&amp;$Z$1,次果筐明细!$B$4:$B$603,"&lt;="&amp;$Z$2))</f>
        <v/>
      </c>
      <c r="L113" s="39" t="str">
        <f>IF(OR($B113="",_自动清单!$AS$7=""),"",SUMIFS(次果筐明细!$G$4:$G$603,次果筐明细!$C$4:$C$603,$B113,次果筐明细!$D$4:$D$603,_自动清单!$AS$7,次果筐明细!$F$4:$F$603,"*入库*",次果筐明细!$B$4:$B$603,"&gt;="&amp;$Z$1,次果筐明细!$B$4:$B$603,"&lt;="&amp;$Z$2))</f>
        <v/>
      </c>
      <c r="M113" s="62" t="str">
        <f>IF($B113="","",SUMIFS(次果筐明细!$G$4:$G$603,次果筐明细!$C$4:$C$603,$B113,次果筐明细!$F$4:$F$603,"*入库*",次果筐明细!$B$4:$B$603,"&gt;="&amp;$Z$1,次果筐明细!$B$4:$B$603,"&lt;="&amp;$Z$2)-SUM($I113:$L113))</f>
        <v/>
      </c>
      <c r="N113" s="62" t="str">
        <f t="shared" si="8"/>
        <v/>
      </c>
      <c r="O113" s="39" t="str">
        <f t="shared" si="9"/>
        <v/>
      </c>
      <c r="P113" s="30" t="str">
        <f>IF($B113="","",ROUND(SUMIFS(次果筐明细!$L$4:$L$603,次果筐明细!$C$4:$C$603,$B113,次果筐明细!$B$4:$B$603,"&gt;="&amp;$Z$1,次果筐明细!$B$4:$B$603,"&lt;="&amp;$Z$2),2))</f>
        <v/>
      </c>
      <c r="Q113" s="30" t="str">
        <f>IF($B113="","",ROUND(SUMIFS(次果筐明细!$L$4:$L$603,次果筐明细!$C$4:$C$603,$B113,次果筐明细!$M$4:$M$603,"已收讫",次果筐明细!$B$4:$B$603,"&gt;="&amp;$Z$1,次果筐明细!$B$4:$B$603,"&lt;="&amp;$Z$2),2))</f>
        <v/>
      </c>
      <c r="R113" s="30" t="str">
        <f t="shared" si="10"/>
        <v/>
      </c>
      <c r="S113" s="30" t="str">
        <f>IF($B113="","",ROUND(SUMIFS(次果筐明细!$J$4:$J$603,次果筐明细!$C$4:$C$603,$B113,次果筐明细!$B$4:$B$603,"&gt;="&amp;$Z$1,次果筐明细!$B$4:$B$603,"&lt;="&amp;$Z$2),2))</f>
        <v/>
      </c>
      <c r="T113" s="63" t="str">
        <f>IF($B113="","",ROUND(SUMIFS(次果筐明细!$K$4:$K$603,次果筐明细!$C$4:$C$603,$B113,次果筐明细!$B$4:$B$603,"&gt;="&amp;$Z$1,次果筐明细!$B$4:$B$603,"&lt;="&amp;$Z$2),2))</f>
        <v/>
      </c>
      <c r="U113" s="30" t="str">
        <f t="shared" si="11"/>
        <v/>
      </c>
      <c r="V113" s="42"/>
    </row>
    <row r="114" spans="1:22">
      <c r="A114" s="24" t="str">
        <f t="shared" si="6"/>
        <v/>
      </c>
      <c r="B114" s="37" t="str">
        <f>IFERROR(INDEX(_自动清单!$AY$4:$AY$203,ROW()-3),"")</f>
        <v/>
      </c>
      <c r="C114" s="39" t="str">
        <f>IF(OR($B114="",_自动清单!$AS$4=""),"",SUMIFS(次果筐明细!$G$4:$G$603,次果筐明细!$C$4:$C$603,$B114,次果筐明细!$D$4:$D$603,_自动清单!$AS$4,次果筐明细!$F$4:$F$603,"*出库*",次果筐明细!$B$4:$B$603,"&gt;="&amp;$Z$1,次果筐明细!$B$4:$B$603,"&lt;="&amp;$Z$2))</f>
        <v/>
      </c>
      <c r="D114" s="39" t="str">
        <f>IF(OR($B114="",_自动清单!$AS$5=""),"",SUMIFS(次果筐明细!$G$4:$G$603,次果筐明细!$C$4:$C$603,$B114,次果筐明细!$D$4:$D$603,_自动清单!$AS$5,次果筐明细!$F$4:$F$603,"*出库*",次果筐明细!$B$4:$B$603,"&gt;="&amp;$Z$1,次果筐明细!$B$4:$B$603,"&lt;="&amp;$Z$2))</f>
        <v/>
      </c>
      <c r="E114" s="39" t="str">
        <f>IF(OR($B114="",_自动清单!$AS$6=""),"",SUMIFS(次果筐明细!$G$4:$G$603,次果筐明细!$C$4:$C$603,$B114,次果筐明细!$D$4:$D$603,_自动清单!$AS$6,次果筐明细!$F$4:$F$603,"*出库*",次果筐明细!$B$4:$B$603,"&gt;="&amp;$Z$1,次果筐明细!$B$4:$B$603,"&lt;="&amp;$Z$2))</f>
        <v/>
      </c>
      <c r="F114" s="39" t="str">
        <f>IF(OR($B114="",_自动清单!$AS$7=""),"",SUMIFS(次果筐明细!$G$4:$G$603,次果筐明细!$C$4:$C$603,$B114,次果筐明细!$D$4:$D$603,_自动清单!$AS$7,次果筐明细!$F$4:$F$603,"*出库*",次果筐明细!$B$4:$B$603,"&gt;="&amp;$Z$1,次果筐明细!$B$4:$B$603,"&lt;="&amp;$Z$2))</f>
        <v/>
      </c>
      <c r="G114" s="39" t="str">
        <f>IF($B114="","",SUMIFS(次果筐明细!$G$4:$G$603,次果筐明细!$C$4:$C$603,$B114,次果筐明细!$F$4:$F$603,"*出库*",次果筐明细!$B$4:$B$603,"&gt;="&amp;$Z$1,次果筐明细!$B$4:$B$603,"&lt;="&amp;$Z$2)-SUM($C114:$F114))</f>
        <v/>
      </c>
      <c r="H114" s="39" t="str">
        <f t="shared" si="7"/>
        <v/>
      </c>
      <c r="I114" s="39" t="str">
        <f>IF(OR($B114="",_自动清单!$AS$4=""),"",SUMIFS(次果筐明细!$G$4:$G$603,次果筐明细!$C$4:$C$603,$B114,次果筐明细!$D$4:$D$603,_自动清单!$AS$4,次果筐明细!$F$4:$F$603,"*入库*",次果筐明细!$B$4:$B$603,"&gt;="&amp;$Z$1,次果筐明细!$B$4:$B$603,"&lt;="&amp;$Z$2))</f>
        <v/>
      </c>
      <c r="J114" s="39" t="str">
        <f>IF(OR($B114="",_自动清单!$AS$5=""),"",SUMIFS(次果筐明细!$G$4:$G$603,次果筐明细!$C$4:$C$603,$B114,次果筐明细!$D$4:$D$603,_自动清单!$AS$5,次果筐明细!$F$4:$F$603,"*入库*",次果筐明细!$B$4:$B$603,"&gt;="&amp;$Z$1,次果筐明细!$B$4:$B$603,"&lt;="&amp;$Z$2))</f>
        <v/>
      </c>
      <c r="K114" s="39" t="str">
        <f>IF(OR($B114="",_自动清单!$AS$6=""),"",SUMIFS(次果筐明细!$G$4:$G$603,次果筐明细!$C$4:$C$603,$B114,次果筐明细!$D$4:$D$603,_自动清单!$AS$6,次果筐明细!$F$4:$F$603,"*入库*",次果筐明细!$B$4:$B$603,"&gt;="&amp;$Z$1,次果筐明细!$B$4:$B$603,"&lt;="&amp;$Z$2))</f>
        <v/>
      </c>
      <c r="L114" s="39" t="str">
        <f>IF(OR($B114="",_自动清单!$AS$7=""),"",SUMIFS(次果筐明细!$G$4:$G$603,次果筐明细!$C$4:$C$603,$B114,次果筐明细!$D$4:$D$603,_自动清单!$AS$7,次果筐明细!$F$4:$F$603,"*入库*",次果筐明细!$B$4:$B$603,"&gt;="&amp;$Z$1,次果筐明细!$B$4:$B$603,"&lt;="&amp;$Z$2))</f>
        <v/>
      </c>
      <c r="M114" s="62" t="str">
        <f>IF($B114="","",SUMIFS(次果筐明细!$G$4:$G$603,次果筐明细!$C$4:$C$603,$B114,次果筐明细!$F$4:$F$603,"*入库*",次果筐明细!$B$4:$B$603,"&gt;="&amp;$Z$1,次果筐明细!$B$4:$B$603,"&lt;="&amp;$Z$2)-SUM($I114:$L114))</f>
        <v/>
      </c>
      <c r="N114" s="62" t="str">
        <f t="shared" si="8"/>
        <v/>
      </c>
      <c r="O114" s="39" t="str">
        <f t="shared" si="9"/>
        <v/>
      </c>
      <c r="P114" s="30" t="str">
        <f>IF($B114="","",ROUND(SUMIFS(次果筐明细!$L$4:$L$603,次果筐明细!$C$4:$C$603,$B114,次果筐明细!$B$4:$B$603,"&gt;="&amp;$Z$1,次果筐明细!$B$4:$B$603,"&lt;="&amp;$Z$2),2))</f>
        <v/>
      </c>
      <c r="Q114" s="30" t="str">
        <f>IF($B114="","",ROUND(SUMIFS(次果筐明细!$L$4:$L$603,次果筐明细!$C$4:$C$603,$B114,次果筐明细!$M$4:$M$603,"已收讫",次果筐明细!$B$4:$B$603,"&gt;="&amp;$Z$1,次果筐明细!$B$4:$B$603,"&lt;="&amp;$Z$2),2))</f>
        <v/>
      </c>
      <c r="R114" s="30" t="str">
        <f t="shared" si="10"/>
        <v/>
      </c>
      <c r="S114" s="30" t="str">
        <f>IF($B114="","",ROUND(SUMIFS(次果筐明细!$J$4:$J$603,次果筐明细!$C$4:$C$603,$B114,次果筐明细!$B$4:$B$603,"&gt;="&amp;$Z$1,次果筐明细!$B$4:$B$603,"&lt;="&amp;$Z$2),2))</f>
        <v/>
      </c>
      <c r="T114" s="63" t="str">
        <f>IF($B114="","",ROUND(SUMIFS(次果筐明细!$K$4:$K$603,次果筐明细!$C$4:$C$603,$B114,次果筐明细!$B$4:$B$603,"&gt;="&amp;$Z$1,次果筐明细!$B$4:$B$603,"&lt;="&amp;$Z$2),2))</f>
        <v/>
      </c>
      <c r="U114" s="30" t="str">
        <f t="shared" si="11"/>
        <v/>
      </c>
      <c r="V114" s="42"/>
    </row>
    <row r="115" spans="1:22">
      <c r="A115" s="24" t="str">
        <f t="shared" si="6"/>
        <v/>
      </c>
      <c r="B115" s="37" t="str">
        <f>IFERROR(INDEX(_自动清单!$AY$4:$AY$203,ROW()-3),"")</f>
        <v/>
      </c>
      <c r="C115" s="39" t="str">
        <f>IF(OR($B115="",_自动清单!$AS$4=""),"",SUMIFS(次果筐明细!$G$4:$G$603,次果筐明细!$C$4:$C$603,$B115,次果筐明细!$D$4:$D$603,_自动清单!$AS$4,次果筐明细!$F$4:$F$603,"*出库*",次果筐明细!$B$4:$B$603,"&gt;="&amp;$Z$1,次果筐明细!$B$4:$B$603,"&lt;="&amp;$Z$2))</f>
        <v/>
      </c>
      <c r="D115" s="39" t="str">
        <f>IF(OR($B115="",_自动清单!$AS$5=""),"",SUMIFS(次果筐明细!$G$4:$G$603,次果筐明细!$C$4:$C$603,$B115,次果筐明细!$D$4:$D$603,_自动清单!$AS$5,次果筐明细!$F$4:$F$603,"*出库*",次果筐明细!$B$4:$B$603,"&gt;="&amp;$Z$1,次果筐明细!$B$4:$B$603,"&lt;="&amp;$Z$2))</f>
        <v/>
      </c>
      <c r="E115" s="39" t="str">
        <f>IF(OR($B115="",_自动清单!$AS$6=""),"",SUMIFS(次果筐明细!$G$4:$G$603,次果筐明细!$C$4:$C$603,$B115,次果筐明细!$D$4:$D$603,_自动清单!$AS$6,次果筐明细!$F$4:$F$603,"*出库*",次果筐明细!$B$4:$B$603,"&gt;="&amp;$Z$1,次果筐明细!$B$4:$B$603,"&lt;="&amp;$Z$2))</f>
        <v/>
      </c>
      <c r="F115" s="39" t="str">
        <f>IF(OR($B115="",_自动清单!$AS$7=""),"",SUMIFS(次果筐明细!$G$4:$G$603,次果筐明细!$C$4:$C$603,$B115,次果筐明细!$D$4:$D$603,_自动清单!$AS$7,次果筐明细!$F$4:$F$603,"*出库*",次果筐明细!$B$4:$B$603,"&gt;="&amp;$Z$1,次果筐明细!$B$4:$B$603,"&lt;="&amp;$Z$2))</f>
        <v/>
      </c>
      <c r="G115" s="39" t="str">
        <f>IF($B115="","",SUMIFS(次果筐明细!$G$4:$G$603,次果筐明细!$C$4:$C$603,$B115,次果筐明细!$F$4:$F$603,"*出库*",次果筐明细!$B$4:$B$603,"&gt;="&amp;$Z$1,次果筐明细!$B$4:$B$603,"&lt;="&amp;$Z$2)-SUM($C115:$F115))</f>
        <v/>
      </c>
      <c r="H115" s="39" t="str">
        <f t="shared" si="7"/>
        <v/>
      </c>
      <c r="I115" s="39" t="str">
        <f>IF(OR($B115="",_自动清单!$AS$4=""),"",SUMIFS(次果筐明细!$G$4:$G$603,次果筐明细!$C$4:$C$603,$B115,次果筐明细!$D$4:$D$603,_自动清单!$AS$4,次果筐明细!$F$4:$F$603,"*入库*",次果筐明细!$B$4:$B$603,"&gt;="&amp;$Z$1,次果筐明细!$B$4:$B$603,"&lt;="&amp;$Z$2))</f>
        <v/>
      </c>
      <c r="J115" s="39" t="str">
        <f>IF(OR($B115="",_自动清单!$AS$5=""),"",SUMIFS(次果筐明细!$G$4:$G$603,次果筐明细!$C$4:$C$603,$B115,次果筐明细!$D$4:$D$603,_自动清单!$AS$5,次果筐明细!$F$4:$F$603,"*入库*",次果筐明细!$B$4:$B$603,"&gt;="&amp;$Z$1,次果筐明细!$B$4:$B$603,"&lt;="&amp;$Z$2))</f>
        <v/>
      </c>
      <c r="K115" s="39" t="str">
        <f>IF(OR($B115="",_自动清单!$AS$6=""),"",SUMIFS(次果筐明细!$G$4:$G$603,次果筐明细!$C$4:$C$603,$B115,次果筐明细!$D$4:$D$603,_自动清单!$AS$6,次果筐明细!$F$4:$F$603,"*入库*",次果筐明细!$B$4:$B$603,"&gt;="&amp;$Z$1,次果筐明细!$B$4:$B$603,"&lt;="&amp;$Z$2))</f>
        <v/>
      </c>
      <c r="L115" s="39" t="str">
        <f>IF(OR($B115="",_自动清单!$AS$7=""),"",SUMIFS(次果筐明细!$G$4:$G$603,次果筐明细!$C$4:$C$603,$B115,次果筐明细!$D$4:$D$603,_自动清单!$AS$7,次果筐明细!$F$4:$F$603,"*入库*",次果筐明细!$B$4:$B$603,"&gt;="&amp;$Z$1,次果筐明细!$B$4:$B$603,"&lt;="&amp;$Z$2))</f>
        <v/>
      </c>
      <c r="M115" s="62" t="str">
        <f>IF($B115="","",SUMIFS(次果筐明细!$G$4:$G$603,次果筐明细!$C$4:$C$603,$B115,次果筐明细!$F$4:$F$603,"*入库*",次果筐明细!$B$4:$B$603,"&gt;="&amp;$Z$1,次果筐明细!$B$4:$B$603,"&lt;="&amp;$Z$2)-SUM($I115:$L115))</f>
        <v/>
      </c>
      <c r="N115" s="62" t="str">
        <f t="shared" si="8"/>
        <v/>
      </c>
      <c r="O115" s="39" t="str">
        <f t="shared" si="9"/>
        <v/>
      </c>
      <c r="P115" s="30" t="str">
        <f>IF($B115="","",ROUND(SUMIFS(次果筐明细!$L$4:$L$603,次果筐明细!$C$4:$C$603,$B115,次果筐明细!$B$4:$B$603,"&gt;="&amp;$Z$1,次果筐明细!$B$4:$B$603,"&lt;="&amp;$Z$2),2))</f>
        <v/>
      </c>
      <c r="Q115" s="30" t="str">
        <f>IF($B115="","",ROUND(SUMIFS(次果筐明细!$L$4:$L$603,次果筐明细!$C$4:$C$603,$B115,次果筐明细!$M$4:$M$603,"已收讫",次果筐明细!$B$4:$B$603,"&gt;="&amp;$Z$1,次果筐明细!$B$4:$B$603,"&lt;="&amp;$Z$2),2))</f>
        <v/>
      </c>
      <c r="R115" s="30" t="str">
        <f t="shared" si="10"/>
        <v/>
      </c>
      <c r="S115" s="30" t="str">
        <f>IF($B115="","",ROUND(SUMIFS(次果筐明细!$J$4:$J$603,次果筐明细!$C$4:$C$603,$B115,次果筐明细!$B$4:$B$603,"&gt;="&amp;$Z$1,次果筐明细!$B$4:$B$603,"&lt;="&amp;$Z$2),2))</f>
        <v/>
      </c>
      <c r="T115" s="63" t="str">
        <f>IF($B115="","",ROUND(SUMIFS(次果筐明细!$K$4:$K$603,次果筐明细!$C$4:$C$603,$B115,次果筐明细!$B$4:$B$603,"&gt;="&amp;$Z$1,次果筐明细!$B$4:$B$603,"&lt;="&amp;$Z$2),2))</f>
        <v/>
      </c>
      <c r="U115" s="30" t="str">
        <f t="shared" si="11"/>
        <v/>
      </c>
      <c r="V115" s="42"/>
    </row>
    <row r="116" spans="1:22">
      <c r="A116" s="24" t="str">
        <f t="shared" si="6"/>
        <v/>
      </c>
      <c r="B116" s="37" t="str">
        <f>IFERROR(INDEX(_自动清单!$AY$4:$AY$203,ROW()-3),"")</f>
        <v/>
      </c>
      <c r="C116" s="39" t="str">
        <f>IF(OR($B116="",_自动清单!$AS$4=""),"",SUMIFS(次果筐明细!$G$4:$G$603,次果筐明细!$C$4:$C$603,$B116,次果筐明细!$D$4:$D$603,_自动清单!$AS$4,次果筐明细!$F$4:$F$603,"*出库*",次果筐明细!$B$4:$B$603,"&gt;="&amp;$Z$1,次果筐明细!$B$4:$B$603,"&lt;="&amp;$Z$2))</f>
        <v/>
      </c>
      <c r="D116" s="39" t="str">
        <f>IF(OR($B116="",_自动清单!$AS$5=""),"",SUMIFS(次果筐明细!$G$4:$G$603,次果筐明细!$C$4:$C$603,$B116,次果筐明细!$D$4:$D$603,_自动清单!$AS$5,次果筐明细!$F$4:$F$603,"*出库*",次果筐明细!$B$4:$B$603,"&gt;="&amp;$Z$1,次果筐明细!$B$4:$B$603,"&lt;="&amp;$Z$2))</f>
        <v/>
      </c>
      <c r="E116" s="39" t="str">
        <f>IF(OR($B116="",_自动清单!$AS$6=""),"",SUMIFS(次果筐明细!$G$4:$G$603,次果筐明细!$C$4:$C$603,$B116,次果筐明细!$D$4:$D$603,_自动清单!$AS$6,次果筐明细!$F$4:$F$603,"*出库*",次果筐明细!$B$4:$B$603,"&gt;="&amp;$Z$1,次果筐明细!$B$4:$B$603,"&lt;="&amp;$Z$2))</f>
        <v/>
      </c>
      <c r="F116" s="39" t="str">
        <f>IF(OR($B116="",_自动清单!$AS$7=""),"",SUMIFS(次果筐明细!$G$4:$G$603,次果筐明细!$C$4:$C$603,$B116,次果筐明细!$D$4:$D$603,_自动清单!$AS$7,次果筐明细!$F$4:$F$603,"*出库*",次果筐明细!$B$4:$B$603,"&gt;="&amp;$Z$1,次果筐明细!$B$4:$B$603,"&lt;="&amp;$Z$2))</f>
        <v/>
      </c>
      <c r="G116" s="39" t="str">
        <f>IF($B116="","",SUMIFS(次果筐明细!$G$4:$G$603,次果筐明细!$C$4:$C$603,$B116,次果筐明细!$F$4:$F$603,"*出库*",次果筐明细!$B$4:$B$603,"&gt;="&amp;$Z$1,次果筐明细!$B$4:$B$603,"&lt;="&amp;$Z$2)-SUM($C116:$F116))</f>
        <v/>
      </c>
      <c r="H116" s="39" t="str">
        <f t="shared" si="7"/>
        <v/>
      </c>
      <c r="I116" s="39" t="str">
        <f>IF(OR($B116="",_自动清单!$AS$4=""),"",SUMIFS(次果筐明细!$G$4:$G$603,次果筐明细!$C$4:$C$603,$B116,次果筐明细!$D$4:$D$603,_自动清单!$AS$4,次果筐明细!$F$4:$F$603,"*入库*",次果筐明细!$B$4:$B$603,"&gt;="&amp;$Z$1,次果筐明细!$B$4:$B$603,"&lt;="&amp;$Z$2))</f>
        <v/>
      </c>
      <c r="J116" s="39" t="str">
        <f>IF(OR($B116="",_自动清单!$AS$5=""),"",SUMIFS(次果筐明细!$G$4:$G$603,次果筐明细!$C$4:$C$603,$B116,次果筐明细!$D$4:$D$603,_自动清单!$AS$5,次果筐明细!$F$4:$F$603,"*入库*",次果筐明细!$B$4:$B$603,"&gt;="&amp;$Z$1,次果筐明细!$B$4:$B$603,"&lt;="&amp;$Z$2))</f>
        <v/>
      </c>
      <c r="K116" s="39" t="str">
        <f>IF(OR($B116="",_自动清单!$AS$6=""),"",SUMIFS(次果筐明细!$G$4:$G$603,次果筐明细!$C$4:$C$603,$B116,次果筐明细!$D$4:$D$603,_自动清单!$AS$6,次果筐明细!$F$4:$F$603,"*入库*",次果筐明细!$B$4:$B$603,"&gt;="&amp;$Z$1,次果筐明细!$B$4:$B$603,"&lt;="&amp;$Z$2))</f>
        <v/>
      </c>
      <c r="L116" s="39" t="str">
        <f>IF(OR($B116="",_自动清单!$AS$7=""),"",SUMIFS(次果筐明细!$G$4:$G$603,次果筐明细!$C$4:$C$603,$B116,次果筐明细!$D$4:$D$603,_自动清单!$AS$7,次果筐明细!$F$4:$F$603,"*入库*",次果筐明细!$B$4:$B$603,"&gt;="&amp;$Z$1,次果筐明细!$B$4:$B$603,"&lt;="&amp;$Z$2))</f>
        <v/>
      </c>
      <c r="M116" s="62" t="str">
        <f>IF($B116="","",SUMIFS(次果筐明细!$G$4:$G$603,次果筐明细!$C$4:$C$603,$B116,次果筐明细!$F$4:$F$603,"*入库*",次果筐明细!$B$4:$B$603,"&gt;="&amp;$Z$1,次果筐明细!$B$4:$B$603,"&lt;="&amp;$Z$2)-SUM($I116:$L116))</f>
        <v/>
      </c>
      <c r="N116" s="62" t="str">
        <f t="shared" si="8"/>
        <v/>
      </c>
      <c r="O116" s="39" t="str">
        <f t="shared" si="9"/>
        <v/>
      </c>
      <c r="P116" s="30" t="str">
        <f>IF($B116="","",ROUND(SUMIFS(次果筐明细!$L$4:$L$603,次果筐明细!$C$4:$C$603,$B116,次果筐明细!$B$4:$B$603,"&gt;="&amp;$Z$1,次果筐明细!$B$4:$B$603,"&lt;="&amp;$Z$2),2))</f>
        <v/>
      </c>
      <c r="Q116" s="30" t="str">
        <f>IF($B116="","",ROUND(SUMIFS(次果筐明细!$L$4:$L$603,次果筐明细!$C$4:$C$603,$B116,次果筐明细!$M$4:$M$603,"已收讫",次果筐明细!$B$4:$B$603,"&gt;="&amp;$Z$1,次果筐明细!$B$4:$B$603,"&lt;="&amp;$Z$2),2))</f>
        <v/>
      </c>
      <c r="R116" s="30" t="str">
        <f t="shared" si="10"/>
        <v/>
      </c>
      <c r="S116" s="30" t="str">
        <f>IF($B116="","",ROUND(SUMIFS(次果筐明细!$J$4:$J$603,次果筐明细!$C$4:$C$603,$B116,次果筐明细!$B$4:$B$603,"&gt;="&amp;$Z$1,次果筐明细!$B$4:$B$603,"&lt;="&amp;$Z$2),2))</f>
        <v/>
      </c>
      <c r="T116" s="63" t="str">
        <f>IF($B116="","",ROUND(SUMIFS(次果筐明细!$K$4:$K$603,次果筐明细!$C$4:$C$603,$B116,次果筐明细!$B$4:$B$603,"&gt;="&amp;$Z$1,次果筐明细!$B$4:$B$603,"&lt;="&amp;$Z$2),2))</f>
        <v/>
      </c>
      <c r="U116" s="30" t="str">
        <f t="shared" si="11"/>
        <v/>
      </c>
      <c r="V116" s="42"/>
    </row>
    <row r="117" spans="1:22">
      <c r="A117" s="24" t="str">
        <f t="shared" si="6"/>
        <v/>
      </c>
      <c r="B117" s="37" t="str">
        <f>IFERROR(INDEX(_自动清单!$AY$4:$AY$203,ROW()-3),"")</f>
        <v/>
      </c>
      <c r="C117" s="39" t="str">
        <f>IF(OR($B117="",_自动清单!$AS$4=""),"",SUMIFS(次果筐明细!$G$4:$G$603,次果筐明细!$C$4:$C$603,$B117,次果筐明细!$D$4:$D$603,_自动清单!$AS$4,次果筐明细!$F$4:$F$603,"*出库*",次果筐明细!$B$4:$B$603,"&gt;="&amp;$Z$1,次果筐明细!$B$4:$B$603,"&lt;="&amp;$Z$2))</f>
        <v/>
      </c>
      <c r="D117" s="39" t="str">
        <f>IF(OR($B117="",_自动清单!$AS$5=""),"",SUMIFS(次果筐明细!$G$4:$G$603,次果筐明细!$C$4:$C$603,$B117,次果筐明细!$D$4:$D$603,_自动清单!$AS$5,次果筐明细!$F$4:$F$603,"*出库*",次果筐明细!$B$4:$B$603,"&gt;="&amp;$Z$1,次果筐明细!$B$4:$B$603,"&lt;="&amp;$Z$2))</f>
        <v/>
      </c>
      <c r="E117" s="39" t="str">
        <f>IF(OR($B117="",_自动清单!$AS$6=""),"",SUMIFS(次果筐明细!$G$4:$G$603,次果筐明细!$C$4:$C$603,$B117,次果筐明细!$D$4:$D$603,_自动清单!$AS$6,次果筐明细!$F$4:$F$603,"*出库*",次果筐明细!$B$4:$B$603,"&gt;="&amp;$Z$1,次果筐明细!$B$4:$B$603,"&lt;="&amp;$Z$2))</f>
        <v/>
      </c>
      <c r="F117" s="39" t="str">
        <f>IF(OR($B117="",_自动清单!$AS$7=""),"",SUMIFS(次果筐明细!$G$4:$G$603,次果筐明细!$C$4:$C$603,$B117,次果筐明细!$D$4:$D$603,_自动清单!$AS$7,次果筐明细!$F$4:$F$603,"*出库*",次果筐明细!$B$4:$B$603,"&gt;="&amp;$Z$1,次果筐明细!$B$4:$B$603,"&lt;="&amp;$Z$2))</f>
        <v/>
      </c>
      <c r="G117" s="39" t="str">
        <f>IF($B117="","",SUMIFS(次果筐明细!$G$4:$G$603,次果筐明细!$C$4:$C$603,$B117,次果筐明细!$F$4:$F$603,"*出库*",次果筐明细!$B$4:$B$603,"&gt;="&amp;$Z$1,次果筐明细!$B$4:$B$603,"&lt;="&amp;$Z$2)-SUM($C117:$F117))</f>
        <v/>
      </c>
      <c r="H117" s="39" t="str">
        <f t="shared" si="7"/>
        <v/>
      </c>
      <c r="I117" s="39" t="str">
        <f>IF(OR($B117="",_自动清单!$AS$4=""),"",SUMIFS(次果筐明细!$G$4:$G$603,次果筐明细!$C$4:$C$603,$B117,次果筐明细!$D$4:$D$603,_自动清单!$AS$4,次果筐明细!$F$4:$F$603,"*入库*",次果筐明细!$B$4:$B$603,"&gt;="&amp;$Z$1,次果筐明细!$B$4:$B$603,"&lt;="&amp;$Z$2))</f>
        <v/>
      </c>
      <c r="J117" s="39" t="str">
        <f>IF(OR($B117="",_自动清单!$AS$5=""),"",SUMIFS(次果筐明细!$G$4:$G$603,次果筐明细!$C$4:$C$603,$B117,次果筐明细!$D$4:$D$603,_自动清单!$AS$5,次果筐明细!$F$4:$F$603,"*入库*",次果筐明细!$B$4:$B$603,"&gt;="&amp;$Z$1,次果筐明细!$B$4:$B$603,"&lt;="&amp;$Z$2))</f>
        <v/>
      </c>
      <c r="K117" s="39" t="str">
        <f>IF(OR($B117="",_自动清单!$AS$6=""),"",SUMIFS(次果筐明细!$G$4:$G$603,次果筐明细!$C$4:$C$603,$B117,次果筐明细!$D$4:$D$603,_自动清单!$AS$6,次果筐明细!$F$4:$F$603,"*入库*",次果筐明细!$B$4:$B$603,"&gt;="&amp;$Z$1,次果筐明细!$B$4:$B$603,"&lt;="&amp;$Z$2))</f>
        <v/>
      </c>
      <c r="L117" s="39" t="str">
        <f>IF(OR($B117="",_自动清单!$AS$7=""),"",SUMIFS(次果筐明细!$G$4:$G$603,次果筐明细!$C$4:$C$603,$B117,次果筐明细!$D$4:$D$603,_自动清单!$AS$7,次果筐明细!$F$4:$F$603,"*入库*",次果筐明细!$B$4:$B$603,"&gt;="&amp;$Z$1,次果筐明细!$B$4:$B$603,"&lt;="&amp;$Z$2))</f>
        <v/>
      </c>
      <c r="M117" s="62" t="str">
        <f>IF($B117="","",SUMIFS(次果筐明细!$G$4:$G$603,次果筐明细!$C$4:$C$603,$B117,次果筐明细!$F$4:$F$603,"*入库*",次果筐明细!$B$4:$B$603,"&gt;="&amp;$Z$1,次果筐明细!$B$4:$B$603,"&lt;="&amp;$Z$2)-SUM($I117:$L117))</f>
        <v/>
      </c>
      <c r="N117" s="62" t="str">
        <f t="shared" si="8"/>
        <v/>
      </c>
      <c r="O117" s="39" t="str">
        <f t="shared" si="9"/>
        <v/>
      </c>
      <c r="P117" s="30" t="str">
        <f>IF($B117="","",ROUND(SUMIFS(次果筐明细!$L$4:$L$603,次果筐明细!$C$4:$C$603,$B117,次果筐明细!$B$4:$B$603,"&gt;="&amp;$Z$1,次果筐明细!$B$4:$B$603,"&lt;="&amp;$Z$2),2))</f>
        <v/>
      </c>
      <c r="Q117" s="30" t="str">
        <f>IF($B117="","",ROUND(SUMIFS(次果筐明细!$L$4:$L$603,次果筐明细!$C$4:$C$603,$B117,次果筐明细!$M$4:$M$603,"已收讫",次果筐明细!$B$4:$B$603,"&gt;="&amp;$Z$1,次果筐明细!$B$4:$B$603,"&lt;="&amp;$Z$2),2))</f>
        <v/>
      </c>
      <c r="R117" s="30" t="str">
        <f t="shared" si="10"/>
        <v/>
      </c>
      <c r="S117" s="30" t="str">
        <f>IF($B117="","",ROUND(SUMIFS(次果筐明细!$J$4:$J$603,次果筐明细!$C$4:$C$603,$B117,次果筐明细!$B$4:$B$603,"&gt;="&amp;$Z$1,次果筐明细!$B$4:$B$603,"&lt;="&amp;$Z$2),2))</f>
        <v/>
      </c>
      <c r="T117" s="63" t="str">
        <f>IF($B117="","",ROUND(SUMIFS(次果筐明细!$K$4:$K$603,次果筐明细!$C$4:$C$603,$B117,次果筐明细!$B$4:$B$603,"&gt;="&amp;$Z$1,次果筐明细!$B$4:$B$603,"&lt;="&amp;$Z$2),2))</f>
        <v/>
      </c>
      <c r="U117" s="30" t="str">
        <f t="shared" si="11"/>
        <v/>
      </c>
      <c r="V117" s="42"/>
    </row>
    <row r="118" spans="1:22">
      <c r="A118" s="24" t="str">
        <f t="shared" si="6"/>
        <v/>
      </c>
      <c r="B118" s="37" t="str">
        <f>IFERROR(INDEX(_自动清单!$AY$4:$AY$203,ROW()-3),"")</f>
        <v/>
      </c>
      <c r="C118" s="39" t="str">
        <f>IF(OR($B118="",_自动清单!$AS$4=""),"",SUMIFS(次果筐明细!$G$4:$G$603,次果筐明细!$C$4:$C$603,$B118,次果筐明细!$D$4:$D$603,_自动清单!$AS$4,次果筐明细!$F$4:$F$603,"*出库*",次果筐明细!$B$4:$B$603,"&gt;="&amp;$Z$1,次果筐明细!$B$4:$B$603,"&lt;="&amp;$Z$2))</f>
        <v/>
      </c>
      <c r="D118" s="39" t="str">
        <f>IF(OR($B118="",_自动清单!$AS$5=""),"",SUMIFS(次果筐明细!$G$4:$G$603,次果筐明细!$C$4:$C$603,$B118,次果筐明细!$D$4:$D$603,_自动清单!$AS$5,次果筐明细!$F$4:$F$603,"*出库*",次果筐明细!$B$4:$B$603,"&gt;="&amp;$Z$1,次果筐明细!$B$4:$B$603,"&lt;="&amp;$Z$2))</f>
        <v/>
      </c>
      <c r="E118" s="39" t="str">
        <f>IF(OR($B118="",_自动清单!$AS$6=""),"",SUMIFS(次果筐明细!$G$4:$G$603,次果筐明细!$C$4:$C$603,$B118,次果筐明细!$D$4:$D$603,_自动清单!$AS$6,次果筐明细!$F$4:$F$603,"*出库*",次果筐明细!$B$4:$B$603,"&gt;="&amp;$Z$1,次果筐明细!$B$4:$B$603,"&lt;="&amp;$Z$2))</f>
        <v/>
      </c>
      <c r="F118" s="39" t="str">
        <f>IF(OR($B118="",_自动清单!$AS$7=""),"",SUMIFS(次果筐明细!$G$4:$G$603,次果筐明细!$C$4:$C$603,$B118,次果筐明细!$D$4:$D$603,_自动清单!$AS$7,次果筐明细!$F$4:$F$603,"*出库*",次果筐明细!$B$4:$B$603,"&gt;="&amp;$Z$1,次果筐明细!$B$4:$B$603,"&lt;="&amp;$Z$2))</f>
        <v/>
      </c>
      <c r="G118" s="39" t="str">
        <f>IF($B118="","",SUMIFS(次果筐明细!$G$4:$G$603,次果筐明细!$C$4:$C$603,$B118,次果筐明细!$F$4:$F$603,"*出库*",次果筐明细!$B$4:$B$603,"&gt;="&amp;$Z$1,次果筐明细!$B$4:$B$603,"&lt;="&amp;$Z$2)-SUM($C118:$F118))</f>
        <v/>
      </c>
      <c r="H118" s="39" t="str">
        <f t="shared" si="7"/>
        <v/>
      </c>
      <c r="I118" s="39" t="str">
        <f>IF(OR($B118="",_自动清单!$AS$4=""),"",SUMIFS(次果筐明细!$G$4:$G$603,次果筐明细!$C$4:$C$603,$B118,次果筐明细!$D$4:$D$603,_自动清单!$AS$4,次果筐明细!$F$4:$F$603,"*入库*",次果筐明细!$B$4:$B$603,"&gt;="&amp;$Z$1,次果筐明细!$B$4:$B$603,"&lt;="&amp;$Z$2))</f>
        <v/>
      </c>
      <c r="J118" s="39" t="str">
        <f>IF(OR($B118="",_自动清单!$AS$5=""),"",SUMIFS(次果筐明细!$G$4:$G$603,次果筐明细!$C$4:$C$603,$B118,次果筐明细!$D$4:$D$603,_自动清单!$AS$5,次果筐明细!$F$4:$F$603,"*入库*",次果筐明细!$B$4:$B$603,"&gt;="&amp;$Z$1,次果筐明细!$B$4:$B$603,"&lt;="&amp;$Z$2))</f>
        <v/>
      </c>
      <c r="K118" s="39" t="str">
        <f>IF(OR($B118="",_自动清单!$AS$6=""),"",SUMIFS(次果筐明细!$G$4:$G$603,次果筐明细!$C$4:$C$603,$B118,次果筐明细!$D$4:$D$603,_自动清单!$AS$6,次果筐明细!$F$4:$F$603,"*入库*",次果筐明细!$B$4:$B$603,"&gt;="&amp;$Z$1,次果筐明细!$B$4:$B$603,"&lt;="&amp;$Z$2))</f>
        <v/>
      </c>
      <c r="L118" s="39" t="str">
        <f>IF(OR($B118="",_自动清单!$AS$7=""),"",SUMIFS(次果筐明细!$G$4:$G$603,次果筐明细!$C$4:$C$603,$B118,次果筐明细!$D$4:$D$603,_自动清单!$AS$7,次果筐明细!$F$4:$F$603,"*入库*",次果筐明细!$B$4:$B$603,"&gt;="&amp;$Z$1,次果筐明细!$B$4:$B$603,"&lt;="&amp;$Z$2))</f>
        <v/>
      </c>
      <c r="M118" s="62" t="str">
        <f>IF($B118="","",SUMIFS(次果筐明细!$G$4:$G$603,次果筐明细!$C$4:$C$603,$B118,次果筐明细!$F$4:$F$603,"*入库*",次果筐明细!$B$4:$B$603,"&gt;="&amp;$Z$1,次果筐明细!$B$4:$B$603,"&lt;="&amp;$Z$2)-SUM($I118:$L118))</f>
        <v/>
      </c>
      <c r="N118" s="62" t="str">
        <f t="shared" si="8"/>
        <v/>
      </c>
      <c r="O118" s="39" t="str">
        <f t="shared" si="9"/>
        <v/>
      </c>
      <c r="P118" s="30" t="str">
        <f>IF($B118="","",ROUND(SUMIFS(次果筐明细!$L$4:$L$603,次果筐明细!$C$4:$C$603,$B118,次果筐明细!$B$4:$B$603,"&gt;="&amp;$Z$1,次果筐明细!$B$4:$B$603,"&lt;="&amp;$Z$2),2))</f>
        <v/>
      </c>
      <c r="Q118" s="30" t="str">
        <f>IF($B118="","",ROUND(SUMIFS(次果筐明细!$L$4:$L$603,次果筐明细!$C$4:$C$603,$B118,次果筐明细!$M$4:$M$603,"已收讫",次果筐明细!$B$4:$B$603,"&gt;="&amp;$Z$1,次果筐明细!$B$4:$B$603,"&lt;="&amp;$Z$2),2))</f>
        <v/>
      </c>
      <c r="R118" s="30" t="str">
        <f t="shared" si="10"/>
        <v/>
      </c>
      <c r="S118" s="30" t="str">
        <f>IF($B118="","",ROUND(SUMIFS(次果筐明细!$J$4:$J$603,次果筐明细!$C$4:$C$603,$B118,次果筐明细!$B$4:$B$603,"&gt;="&amp;$Z$1,次果筐明细!$B$4:$B$603,"&lt;="&amp;$Z$2),2))</f>
        <v/>
      </c>
      <c r="T118" s="63" t="str">
        <f>IF($B118="","",ROUND(SUMIFS(次果筐明细!$K$4:$K$603,次果筐明细!$C$4:$C$603,$B118,次果筐明细!$B$4:$B$603,"&gt;="&amp;$Z$1,次果筐明细!$B$4:$B$603,"&lt;="&amp;$Z$2),2))</f>
        <v/>
      </c>
      <c r="U118" s="30" t="str">
        <f t="shared" si="11"/>
        <v/>
      </c>
      <c r="V118" s="42"/>
    </row>
    <row r="119" spans="1:22">
      <c r="A119" s="24" t="str">
        <f t="shared" si="6"/>
        <v/>
      </c>
      <c r="B119" s="37" t="str">
        <f>IFERROR(INDEX(_自动清单!$AY$4:$AY$203,ROW()-3),"")</f>
        <v/>
      </c>
      <c r="C119" s="39" t="str">
        <f>IF(OR($B119="",_自动清单!$AS$4=""),"",SUMIFS(次果筐明细!$G$4:$G$603,次果筐明细!$C$4:$C$603,$B119,次果筐明细!$D$4:$D$603,_自动清单!$AS$4,次果筐明细!$F$4:$F$603,"*出库*",次果筐明细!$B$4:$B$603,"&gt;="&amp;$Z$1,次果筐明细!$B$4:$B$603,"&lt;="&amp;$Z$2))</f>
        <v/>
      </c>
      <c r="D119" s="39" t="str">
        <f>IF(OR($B119="",_自动清单!$AS$5=""),"",SUMIFS(次果筐明细!$G$4:$G$603,次果筐明细!$C$4:$C$603,$B119,次果筐明细!$D$4:$D$603,_自动清单!$AS$5,次果筐明细!$F$4:$F$603,"*出库*",次果筐明细!$B$4:$B$603,"&gt;="&amp;$Z$1,次果筐明细!$B$4:$B$603,"&lt;="&amp;$Z$2))</f>
        <v/>
      </c>
      <c r="E119" s="39" t="str">
        <f>IF(OR($B119="",_自动清单!$AS$6=""),"",SUMIFS(次果筐明细!$G$4:$G$603,次果筐明细!$C$4:$C$603,$B119,次果筐明细!$D$4:$D$603,_自动清单!$AS$6,次果筐明细!$F$4:$F$603,"*出库*",次果筐明细!$B$4:$B$603,"&gt;="&amp;$Z$1,次果筐明细!$B$4:$B$603,"&lt;="&amp;$Z$2))</f>
        <v/>
      </c>
      <c r="F119" s="39" t="str">
        <f>IF(OR($B119="",_自动清单!$AS$7=""),"",SUMIFS(次果筐明细!$G$4:$G$603,次果筐明细!$C$4:$C$603,$B119,次果筐明细!$D$4:$D$603,_自动清单!$AS$7,次果筐明细!$F$4:$F$603,"*出库*",次果筐明细!$B$4:$B$603,"&gt;="&amp;$Z$1,次果筐明细!$B$4:$B$603,"&lt;="&amp;$Z$2))</f>
        <v/>
      </c>
      <c r="G119" s="39" t="str">
        <f>IF($B119="","",SUMIFS(次果筐明细!$G$4:$G$603,次果筐明细!$C$4:$C$603,$B119,次果筐明细!$F$4:$F$603,"*出库*",次果筐明细!$B$4:$B$603,"&gt;="&amp;$Z$1,次果筐明细!$B$4:$B$603,"&lt;="&amp;$Z$2)-SUM($C119:$F119))</f>
        <v/>
      </c>
      <c r="H119" s="39" t="str">
        <f t="shared" si="7"/>
        <v/>
      </c>
      <c r="I119" s="39" t="str">
        <f>IF(OR($B119="",_自动清单!$AS$4=""),"",SUMIFS(次果筐明细!$G$4:$G$603,次果筐明细!$C$4:$C$603,$B119,次果筐明细!$D$4:$D$603,_自动清单!$AS$4,次果筐明细!$F$4:$F$603,"*入库*",次果筐明细!$B$4:$B$603,"&gt;="&amp;$Z$1,次果筐明细!$B$4:$B$603,"&lt;="&amp;$Z$2))</f>
        <v/>
      </c>
      <c r="J119" s="39" t="str">
        <f>IF(OR($B119="",_自动清单!$AS$5=""),"",SUMIFS(次果筐明细!$G$4:$G$603,次果筐明细!$C$4:$C$603,$B119,次果筐明细!$D$4:$D$603,_自动清单!$AS$5,次果筐明细!$F$4:$F$603,"*入库*",次果筐明细!$B$4:$B$603,"&gt;="&amp;$Z$1,次果筐明细!$B$4:$B$603,"&lt;="&amp;$Z$2))</f>
        <v/>
      </c>
      <c r="K119" s="39" t="str">
        <f>IF(OR($B119="",_自动清单!$AS$6=""),"",SUMIFS(次果筐明细!$G$4:$G$603,次果筐明细!$C$4:$C$603,$B119,次果筐明细!$D$4:$D$603,_自动清单!$AS$6,次果筐明细!$F$4:$F$603,"*入库*",次果筐明细!$B$4:$B$603,"&gt;="&amp;$Z$1,次果筐明细!$B$4:$B$603,"&lt;="&amp;$Z$2))</f>
        <v/>
      </c>
      <c r="L119" s="39" t="str">
        <f>IF(OR($B119="",_自动清单!$AS$7=""),"",SUMIFS(次果筐明细!$G$4:$G$603,次果筐明细!$C$4:$C$603,$B119,次果筐明细!$D$4:$D$603,_自动清单!$AS$7,次果筐明细!$F$4:$F$603,"*入库*",次果筐明细!$B$4:$B$603,"&gt;="&amp;$Z$1,次果筐明细!$B$4:$B$603,"&lt;="&amp;$Z$2))</f>
        <v/>
      </c>
      <c r="M119" s="62" t="str">
        <f>IF($B119="","",SUMIFS(次果筐明细!$G$4:$G$603,次果筐明细!$C$4:$C$603,$B119,次果筐明细!$F$4:$F$603,"*入库*",次果筐明细!$B$4:$B$603,"&gt;="&amp;$Z$1,次果筐明细!$B$4:$B$603,"&lt;="&amp;$Z$2)-SUM($I119:$L119))</f>
        <v/>
      </c>
      <c r="N119" s="62" t="str">
        <f t="shared" si="8"/>
        <v/>
      </c>
      <c r="O119" s="39" t="str">
        <f t="shared" si="9"/>
        <v/>
      </c>
      <c r="P119" s="30" t="str">
        <f>IF($B119="","",ROUND(SUMIFS(次果筐明细!$L$4:$L$603,次果筐明细!$C$4:$C$603,$B119,次果筐明细!$B$4:$B$603,"&gt;="&amp;$Z$1,次果筐明细!$B$4:$B$603,"&lt;="&amp;$Z$2),2))</f>
        <v/>
      </c>
      <c r="Q119" s="30" t="str">
        <f>IF($B119="","",ROUND(SUMIFS(次果筐明细!$L$4:$L$603,次果筐明细!$C$4:$C$603,$B119,次果筐明细!$M$4:$M$603,"已收讫",次果筐明细!$B$4:$B$603,"&gt;="&amp;$Z$1,次果筐明细!$B$4:$B$603,"&lt;="&amp;$Z$2),2))</f>
        <v/>
      </c>
      <c r="R119" s="30" t="str">
        <f t="shared" si="10"/>
        <v/>
      </c>
      <c r="S119" s="30" t="str">
        <f>IF($B119="","",ROUND(SUMIFS(次果筐明细!$J$4:$J$603,次果筐明细!$C$4:$C$603,$B119,次果筐明细!$B$4:$B$603,"&gt;="&amp;$Z$1,次果筐明细!$B$4:$B$603,"&lt;="&amp;$Z$2),2))</f>
        <v/>
      </c>
      <c r="T119" s="63" t="str">
        <f>IF($B119="","",ROUND(SUMIFS(次果筐明细!$K$4:$K$603,次果筐明细!$C$4:$C$603,$B119,次果筐明细!$B$4:$B$603,"&gt;="&amp;$Z$1,次果筐明细!$B$4:$B$603,"&lt;="&amp;$Z$2),2))</f>
        <v/>
      </c>
      <c r="U119" s="30" t="str">
        <f t="shared" si="11"/>
        <v/>
      </c>
      <c r="V119" s="42"/>
    </row>
    <row r="120" spans="1:22">
      <c r="A120" s="24" t="str">
        <f t="shared" si="6"/>
        <v/>
      </c>
      <c r="B120" s="37" t="str">
        <f>IFERROR(INDEX(_自动清单!$AY$4:$AY$203,ROW()-3),"")</f>
        <v/>
      </c>
      <c r="C120" s="39" t="str">
        <f>IF(OR($B120="",_自动清单!$AS$4=""),"",SUMIFS(次果筐明细!$G$4:$G$603,次果筐明细!$C$4:$C$603,$B120,次果筐明细!$D$4:$D$603,_自动清单!$AS$4,次果筐明细!$F$4:$F$603,"*出库*",次果筐明细!$B$4:$B$603,"&gt;="&amp;$Z$1,次果筐明细!$B$4:$B$603,"&lt;="&amp;$Z$2))</f>
        <v/>
      </c>
      <c r="D120" s="39" t="str">
        <f>IF(OR($B120="",_自动清单!$AS$5=""),"",SUMIFS(次果筐明细!$G$4:$G$603,次果筐明细!$C$4:$C$603,$B120,次果筐明细!$D$4:$D$603,_自动清单!$AS$5,次果筐明细!$F$4:$F$603,"*出库*",次果筐明细!$B$4:$B$603,"&gt;="&amp;$Z$1,次果筐明细!$B$4:$B$603,"&lt;="&amp;$Z$2))</f>
        <v/>
      </c>
      <c r="E120" s="39" t="str">
        <f>IF(OR($B120="",_自动清单!$AS$6=""),"",SUMIFS(次果筐明细!$G$4:$G$603,次果筐明细!$C$4:$C$603,$B120,次果筐明细!$D$4:$D$603,_自动清单!$AS$6,次果筐明细!$F$4:$F$603,"*出库*",次果筐明细!$B$4:$B$603,"&gt;="&amp;$Z$1,次果筐明细!$B$4:$B$603,"&lt;="&amp;$Z$2))</f>
        <v/>
      </c>
      <c r="F120" s="39" t="str">
        <f>IF(OR($B120="",_自动清单!$AS$7=""),"",SUMIFS(次果筐明细!$G$4:$G$603,次果筐明细!$C$4:$C$603,$B120,次果筐明细!$D$4:$D$603,_自动清单!$AS$7,次果筐明细!$F$4:$F$603,"*出库*",次果筐明细!$B$4:$B$603,"&gt;="&amp;$Z$1,次果筐明细!$B$4:$B$603,"&lt;="&amp;$Z$2))</f>
        <v/>
      </c>
      <c r="G120" s="39" t="str">
        <f>IF($B120="","",SUMIFS(次果筐明细!$G$4:$G$603,次果筐明细!$C$4:$C$603,$B120,次果筐明细!$F$4:$F$603,"*出库*",次果筐明细!$B$4:$B$603,"&gt;="&amp;$Z$1,次果筐明细!$B$4:$B$603,"&lt;="&amp;$Z$2)-SUM($C120:$F120))</f>
        <v/>
      </c>
      <c r="H120" s="39" t="str">
        <f t="shared" si="7"/>
        <v/>
      </c>
      <c r="I120" s="39" t="str">
        <f>IF(OR($B120="",_自动清单!$AS$4=""),"",SUMIFS(次果筐明细!$G$4:$G$603,次果筐明细!$C$4:$C$603,$B120,次果筐明细!$D$4:$D$603,_自动清单!$AS$4,次果筐明细!$F$4:$F$603,"*入库*",次果筐明细!$B$4:$B$603,"&gt;="&amp;$Z$1,次果筐明细!$B$4:$B$603,"&lt;="&amp;$Z$2))</f>
        <v/>
      </c>
      <c r="J120" s="39" t="str">
        <f>IF(OR($B120="",_自动清单!$AS$5=""),"",SUMIFS(次果筐明细!$G$4:$G$603,次果筐明细!$C$4:$C$603,$B120,次果筐明细!$D$4:$D$603,_自动清单!$AS$5,次果筐明细!$F$4:$F$603,"*入库*",次果筐明细!$B$4:$B$603,"&gt;="&amp;$Z$1,次果筐明细!$B$4:$B$603,"&lt;="&amp;$Z$2))</f>
        <v/>
      </c>
      <c r="K120" s="39" t="str">
        <f>IF(OR($B120="",_自动清单!$AS$6=""),"",SUMIFS(次果筐明细!$G$4:$G$603,次果筐明细!$C$4:$C$603,$B120,次果筐明细!$D$4:$D$603,_自动清单!$AS$6,次果筐明细!$F$4:$F$603,"*入库*",次果筐明细!$B$4:$B$603,"&gt;="&amp;$Z$1,次果筐明细!$B$4:$B$603,"&lt;="&amp;$Z$2))</f>
        <v/>
      </c>
      <c r="L120" s="39" t="str">
        <f>IF(OR($B120="",_自动清单!$AS$7=""),"",SUMIFS(次果筐明细!$G$4:$G$603,次果筐明细!$C$4:$C$603,$B120,次果筐明细!$D$4:$D$603,_自动清单!$AS$7,次果筐明细!$F$4:$F$603,"*入库*",次果筐明细!$B$4:$B$603,"&gt;="&amp;$Z$1,次果筐明细!$B$4:$B$603,"&lt;="&amp;$Z$2))</f>
        <v/>
      </c>
      <c r="M120" s="62" t="str">
        <f>IF($B120="","",SUMIFS(次果筐明细!$G$4:$G$603,次果筐明细!$C$4:$C$603,$B120,次果筐明细!$F$4:$F$603,"*入库*",次果筐明细!$B$4:$B$603,"&gt;="&amp;$Z$1,次果筐明细!$B$4:$B$603,"&lt;="&amp;$Z$2)-SUM($I120:$L120))</f>
        <v/>
      </c>
      <c r="N120" s="62" t="str">
        <f t="shared" si="8"/>
        <v/>
      </c>
      <c r="O120" s="39" t="str">
        <f t="shared" si="9"/>
        <v/>
      </c>
      <c r="P120" s="30" t="str">
        <f>IF($B120="","",ROUND(SUMIFS(次果筐明细!$L$4:$L$603,次果筐明细!$C$4:$C$603,$B120,次果筐明细!$B$4:$B$603,"&gt;="&amp;$Z$1,次果筐明细!$B$4:$B$603,"&lt;="&amp;$Z$2),2))</f>
        <v/>
      </c>
      <c r="Q120" s="30" t="str">
        <f>IF($B120="","",ROUND(SUMIFS(次果筐明细!$L$4:$L$603,次果筐明细!$C$4:$C$603,$B120,次果筐明细!$M$4:$M$603,"已收讫",次果筐明细!$B$4:$B$603,"&gt;="&amp;$Z$1,次果筐明细!$B$4:$B$603,"&lt;="&amp;$Z$2),2))</f>
        <v/>
      </c>
      <c r="R120" s="30" t="str">
        <f t="shared" si="10"/>
        <v/>
      </c>
      <c r="S120" s="30" t="str">
        <f>IF($B120="","",ROUND(SUMIFS(次果筐明细!$J$4:$J$603,次果筐明细!$C$4:$C$603,$B120,次果筐明细!$B$4:$B$603,"&gt;="&amp;$Z$1,次果筐明细!$B$4:$B$603,"&lt;="&amp;$Z$2),2))</f>
        <v/>
      </c>
      <c r="T120" s="63" t="str">
        <f>IF($B120="","",ROUND(SUMIFS(次果筐明细!$K$4:$K$603,次果筐明细!$C$4:$C$603,$B120,次果筐明细!$B$4:$B$603,"&gt;="&amp;$Z$1,次果筐明细!$B$4:$B$603,"&lt;="&amp;$Z$2),2))</f>
        <v/>
      </c>
      <c r="U120" s="30" t="str">
        <f t="shared" si="11"/>
        <v/>
      </c>
      <c r="V120" s="42"/>
    </row>
    <row r="121" spans="1:22">
      <c r="A121" s="24" t="str">
        <f t="shared" si="6"/>
        <v/>
      </c>
      <c r="B121" s="37" t="str">
        <f>IFERROR(INDEX(_自动清单!$AY$4:$AY$203,ROW()-3),"")</f>
        <v/>
      </c>
      <c r="C121" s="39" t="str">
        <f>IF(OR($B121="",_自动清单!$AS$4=""),"",SUMIFS(次果筐明细!$G$4:$G$603,次果筐明细!$C$4:$C$603,$B121,次果筐明细!$D$4:$D$603,_自动清单!$AS$4,次果筐明细!$F$4:$F$603,"*出库*",次果筐明细!$B$4:$B$603,"&gt;="&amp;$Z$1,次果筐明细!$B$4:$B$603,"&lt;="&amp;$Z$2))</f>
        <v/>
      </c>
      <c r="D121" s="39" t="str">
        <f>IF(OR($B121="",_自动清单!$AS$5=""),"",SUMIFS(次果筐明细!$G$4:$G$603,次果筐明细!$C$4:$C$603,$B121,次果筐明细!$D$4:$D$603,_自动清单!$AS$5,次果筐明细!$F$4:$F$603,"*出库*",次果筐明细!$B$4:$B$603,"&gt;="&amp;$Z$1,次果筐明细!$B$4:$B$603,"&lt;="&amp;$Z$2))</f>
        <v/>
      </c>
      <c r="E121" s="39" t="str">
        <f>IF(OR($B121="",_自动清单!$AS$6=""),"",SUMIFS(次果筐明细!$G$4:$G$603,次果筐明细!$C$4:$C$603,$B121,次果筐明细!$D$4:$D$603,_自动清单!$AS$6,次果筐明细!$F$4:$F$603,"*出库*",次果筐明细!$B$4:$B$603,"&gt;="&amp;$Z$1,次果筐明细!$B$4:$B$603,"&lt;="&amp;$Z$2))</f>
        <v/>
      </c>
      <c r="F121" s="39" t="str">
        <f>IF(OR($B121="",_自动清单!$AS$7=""),"",SUMIFS(次果筐明细!$G$4:$G$603,次果筐明细!$C$4:$C$603,$B121,次果筐明细!$D$4:$D$603,_自动清单!$AS$7,次果筐明细!$F$4:$F$603,"*出库*",次果筐明细!$B$4:$B$603,"&gt;="&amp;$Z$1,次果筐明细!$B$4:$B$603,"&lt;="&amp;$Z$2))</f>
        <v/>
      </c>
      <c r="G121" s="39" t="str">
        <f>IF($B121="","",SUMIFS(次果筐明细!$G$4:$G$603,次果筐明细!$C$4:$C$603,$B121,次果筐明细!$F$4:$F$603,"*出库*",次果筐明细!$B$4:$B$603,"&gt;="&amp;$Z$1,次果筐明细!$B$4:$B$603,"&lt;="&amp;$Z$2)-SUM($C121:$F121))</f>
        <v/>
      </c>
      <c r="H121" s="39" t="str">
        <f t="shared" si="7"/>
        <v/>
      </c>
      <c r="I121" s="39" t="str">
        <f>IF(OR($B121="",_自动清单!$AS$4=""),"",SUMIFS(次果筐明细!$G$4:$G$603,次果筐明细!$C$4:$C$603,$B121,次果筐明细!$D$4:$D$603,_自动清单!$AS$4,次果筐明细!$F$4:$F$603,"*入库*",次果筐明细!$B$4:$B$603,"&gt;="&amp;$Z$1,次果筐明细!$B$4:$B$603,"&lt;="&amp;$Z$2))</f>
        <v/>
      </c>
      <c r="J121" s="39" t="str">
        <f>IF(OR($B121="",_自动清单!$AS$5=""),"",SUMIFS(次果筐明细!$G$4:$G$603,次果筐明细!$C$4:$C$603,$B121,次果筐明细!$D$4:$D$603,_自动清单!$AS$5,次果筐明细!$F$4:$F$603,"*入库*",次果筐明细!$B$4:$B$603,"&gt;="&amp;$Z$1,次果筐明细!$B$4:$B$603,"&lt;="&amp;$Z$2))</f>
        <v/>
      </c>
      <c r="K121" s="39" t="str">
        <f>IF(OR($B121="",_自动清单!$AS$6=""),"",SUMIFS(次果筐明细!$G$4:$G$603,次果筐明细!$C$4:$C$603,$B121,次果筐明细!$D$4:$D$603,_自动清单!$AS$6,次果筐明细!$F$4:$F$603,"*入库*",次果筐明细!$B$4:$B$603,"&gt;="&amp;$Z$1,次果筐明细!$B$4:$B$603,"&lt;="&amp;$Z$2))</f>
        <v/>
      </c>
      <c r="L121" s="39" t="str">
        <f>IF(OR($B121="",_自动清单!$AS$7=""),"",SUMIFS(次果筐明细!$G$4:$G$603,次果筐明细!$C$4:$C$603,$B121,次果筐明细!$D$4:$D$603,_自动清单!$AS$7,次果筐明细!$F$4:$F$603,"*入库*",次果筐明细!$B$4:$B$603,"&gt;="&amp;$Z$1,次果筐明细!$B$4:$B$603,"&lt;="&amp;$Z$2))</f>
        <v/>
      </c>
      <c r="M121" s="62" t="str">
        <f>IF($B121="","",SUMIFS(次果筐明细!$G$4:$G$603,次果筐明细!$C$4:$C$603,$B121,次果筐明细!$F$4:$F$603,"*入库*",次果筐明细!$B$4:$B$603,"&gt;="&amp;$Z$1,次果筐明细!$B$4:$B$603,"&lt;="&amp;$Z$2)-SUM($I121:$L121))</f>
        <v/>
      </c>
      <c r="N121" s="62" t="str">
        <f t="shared" si="8"/>
        <v/>
      </c>
      <c r="O121" s="39" t="str">
        <f t="shared" si="9"/>
        <v/>
      </c>
      <c r="P121" s="30" t="str">
        <f>IF($B121="","",ROUND(SUMIFS(次果筐明细!$L$4:$L$603,次果筐明细!$C$4:$C$603,$B121,次果筐明细!$B$4:$B$603,"&gt;="&amp;$Z$1,次果筐明细!$B$4:$B$603,"&lt;="&amp;$Z$2),2))</f>
        <v/>
      </c>
      <c r="Q121" s="30" t="str">
        <f>IF($B121="","",ROUND(SUMIFS(次果筐明细!$L$4:$L$603,次果筐明细!$C$4:$C$603,$B121,次果筐明细!$M$4:$M$603,"已收讫",次果筐明细!$B$4:$B$603,"&gt;="&amp;$Z$1,次果筐明细!$B$4:$B$603,"&lt;="&amp;$Z$2),2))</f>
        <v/>
      </c>
      <c r="R121" s="30" t="str">
        <f t="shared" si="10"/>
        <v/>
      </c>
      <c r="S121" s="30" t="str">
        <f>IF($B121="","",ROUND(SUMIFS(次果筐明细!$J$4:$J$603,次果筐明细!$C$4:$C$603,$B121,次果筐明细!$B$4:$B$603,"&gt;="&amp;$Z$1,次果筐明细!$B$4:$B$603,"&lt;="&amp;$Z$2),2))</f>
        <v/>
      </c>
      <c r="T121" s="63" t="str">
        <f>IF($B121="","",ROUND(SUMIFS(次果筐明细!$K$4:$K$603,次果筐明细!$C$4:$C$603,$B121,次果筐明细!$B$4:$B$603,"&gt;="&amp;$Z$1,次果筐明细!$B$4:$B$603,"&lt;="&amp;$Z$2),2))</f>
        <v/>
      </c>
      <c r="U121" s="30" t="str">
        <f t="shared" si="11"/>
        <v/>
      </c>
      <c r="V121" s="42"/>
    </row>
    <row r="122" spans="1:22">
      <c r="A122" s="24" t="str">
        <f t="shared" si="6"/>
        <v/>
      </c>
      <c r="B122" s="37" t="str">
        <f>IFERROR(INDEX(_自动清单!$AY$4:$AY$203,ROW()-3),"")</f>
        <v/>
      </c>
      <c r="C122" s="39" t="str">
        <f>IF(OR($B122="",_自动清单!$AS$4=""),"",SUMIFS(次果筐明细!$G$4:$G$603,次果筐明细!$C$4:$C$603,$B122,次果筐明细!$D$4:$D$603,_自动清单!$AS$4,次果筐明细!$F$4:$F$603,"*出库*",次果筐明细!$B$4:$B$603,"&gt;="&amp;$Z$1,次果筐明细!$B$4:$B$603,"&lt;="&amp;$Z$2))</f>
        <v/>
      </c>
      <c r="D122" s="39" t="str">
        <f>IF(OR($B122="",_自动清单!$AS$5=""),"",SUMIFS(次果筐明细!$G$4:$G$603,次果筐明细!$C$4:$C$603,$B122,次果筐明细!$D$4:$D$603,_自动清单!$AS$5,次果筐明细!$F$4:$F$603,"*出库*",次果筐明细!$B$4:$B$603,"&gt;="&amp;$Z$1,次果筐明细!$B$4:$B$603,"&lt;="&amp;$Z$2))</f>
        <v/>
      </c>
      <c r="E122" s="39" t="str">
        <f>IF(OR($B122="",_自动清单!$AS$6=""),"",SUMIFS(次果筐明细!$G$4:$G$603,次果筐明细!$C$4:$C$603,$B122,次果筐明细!$D$4:$D$603,_自动清单!$AS$6,次果筐明细!$F$4:$F$603,"*出库*",次果筐明细!$B$4:$B$603,"&gt;="&amp;$Z$1,次果筐明细!$B$4:$B$603,"&lt;="&amp;$Z$2))</f>
        <v/>
      </c>
      <c r="F122" s="39" t="str">
        <f>IF(OR($B122="",_自动清单!$AS$7=""),"",SUMIFS(次果筐明细!$G$4:$G$603,次果筐明细!$C$4:$C$603,$B122,次果筐明细!$D$4:$D$603,_自动清单!$AS$7,次果筐明细!$F$4:$F$603,"*出库*",次果筐明细!$B$4:$B$603,"&gt;="&amp;$Z$1,次果筐明细!$B$4:$B$603,"&lt;="&amp;$Z$2))</f>
        <v/>
      </c>
      <c r="G122" s="39" t="str">
        <f>IF($B122="","",SUMIFS(次果筐明细!$G$4:$G$603,次果筐明细!$C$4:$C$603,$B122,次果筐明细!$F$4:$F$603,"*出库*",次果筐明细!$B$4:$B$603,"&gt;="&amp;$Z$1,次果筐明细!$B$4:$B$603,"&lt;="&amp;$Z$2)-SUM($C122:$F122))</f>
        <v/>
      </c>
      <c r="H122" s="39" t="str">
        <f t="shared" si="7"/>
        <v/>
      </c>
      <c r="I122" s="39" t="str">
        <f>IF(OR($B122="",_自动清单!$AS$4=""),"",SUMIFS(次果筐明细!$G$4:$G$603,次果筐明细!$C$4:$C$603,$B122,次果筐明细!$D$4:$D$603,_自动清单!$AS$4,次果筐明细!$F$4:$F$603,"*入库*",次果筐明细!$B$4:$B$603,"&gt;="&amp;$Z$1,次果筐明细!$B$4:$B$603,"&lt;="&amp;$Z$2))</f>
        <v/>
      </c>
      <c r="J122" s="39" t="str">
        <f>IF(OR($B122="",_自动清单!$AS$5=""),"",SUMIFS(次果筐明细!$G$4:$G$603,次果筐明细!$C$4:$C$603,$B122,次果筐明细!$D$4:$D$603,_自动清单!$AS$5,次果筐明细!$F$4:$F$603,"*入库*",次果筐明细!$B$4:$B$603,"&gt;="&amp;$Z$1,次果筐明细!$B$4:$B$603,"&lt;="&amp;$Z$2))</f>
        <v/>
      </c>
      <c r="K122" s="39" t="str">
        <f>IF(OR($B122="",_自动清单!$AS$6=""),"",SUMIFS(次果筐明细!$G$4:$G$603,次果筐明细!$C$4:$C$603,$B122,次果筐明细!$D$4:$D$603,_自动清单!$AS$6,次果筐明细!$F$4:$F$603,"*入库*",次果筐明细!$B$4:$B$603,"&gt;="&amp;$Z$1,次果筐明细!$B$4:$B$603,"&lt;="&amp;$Z$2))</f>
        <v/>
      </c>
      <c r="L122" s="39" t="str">
        <f>IF(OR($B122="",_自动清单!$AS$7=""),"",SUMIFS(次果筐明细!$G$4:$G$603,次果筐明细!$C$4:$C$603,$B122,次果筐明细!$D$4:$D$603,_自动清单!$AS$7,次果筐明细!$F$4:$F$603,"*入库*",次果筐明细!$B$4:$B$603,"&gt;="&amp;$Z$1,次果筐明细!$B$4:$B$603,"&lt;="&amp;$Z$2))</f>
        <v/>
      </c>
      <c r="M122" s="62" t="str">
        <f>IF($B122="","",SUMIFS(次果筐明细!$G$4:$G$603,次果筐明细!$C$4:$C$603,$B122,次果筐明细!$F$4:$F$603,"*入库*",次果筐明细!$B$4:$B$603,"&gt;="&amp;$Z$1,次果筐明细!$B$4:$B$603,"&lt;="&amp;$Z$2)-SUM($I122:$L122))</f>
        <v/>
      </c>
      <c r="N122" s="62" t="str">
        <f t="shared" si="8"/>
        <v/>
      </c>
      <c r="O122" s="39" t="str">
        <f t="shared" si="9"/>
        <v/>
      </c>
      <c r="P122" s="30" t="str">
        <f>IF($B122="","",ROUND(SUMIFS(次果筐明细!$L$4:$L$603,次果筐明细!$C$4:$C$603,$B122,次果筐明细!$B$4:$B$603,"&gt;="&amp;$Z$1,次果筐明细!$B$4:$B$603,"&lt;="&amp;$Z$2),2))</f>
        <v/>
      </c>
      <c r="Q122" s="30" t="str">
        <f>IF($B122="","",ROUND(SUMIFS(次果筐明细!$L$4:$L$603,次果筐明细!$C$4:$C$603,$B122,次果筐明细!$M$4:$M$603,"已收讫",次果筐明细!$B$4:$B$603,"&gt;="&amp;$Z$1,次果筐明细!$B$4:$B$603,"&lt;="&amp;$Z$2),2))</f>
        <v/>
      </c>
      <c r="R122" s="30" t="str">
        <f t="shared" si="10"/>
        <v/>
      </c>
      <c r="S122" s="30" t="str">
        <f>IF($B122="","",ROUND(SUMIFS(次果筐明细!$J$4:$J$603,次果筐明细!$C$4:$C$603,$B122,次果筐明细!$B$4:$B$603,"&gt;="&amp;$Z$1,次果筐明细!$B$4:$B$603,"&lt;="&amp;$Z$2),2))</f>
        <v/>
      </c>
      <c r="T122" s="63" t="str">
        <f>IF($B122="","",ROUND(SUMIFS(次果筐明细!$K$4:$K$603,次果筐明细!$C$4:$C$603,$B122,次果筐明细!$B$4:$B$603,"&gt;="&amp;$Z$1,次果筐明细!$B$4:$B$603,"&lt;="&amp;$Z$2),2))</f>
        <v/>
      </c>
      <c r="U122" s="30" t="str">
        <f t="shared" si="11"/>
        <v/>
      </c>
      <c r="V122" s="42"/>
    </row>
    <row r="123" spans="1:22">
      <c r="A123" s="24" t="str">
        <f t="shared" si="6"/>
        <v/>
      </c>
      <c r="B123" s="37" t="str">
        <f>IFERROR(INDEX(_自动清单!$AY$4:$AY$203,ROW()-3),"")</f>
        <v/>
      </c>
      <c r="C123" s="39" t="str">
        <f>IF(OR($B123="",_自动清单!$AS$4=""),"",SUMIFS(次果筐明细!$G$4:$G$603,次果筐明细!$C$4:$C$603,$B123,次果筐明细!$D$4:$D$603,_自动清单!$AS$4,次果筐明细!$F$4:$F$603,"*出库*",次果筐明细!$B$4:$B$603,"&gt;="&amp;$Z$1,次果筐明细!$B$4:$B$603,"&lt;="&amp;$Z$2))</f>
        <v/>
      </c>
      <c r="D123" s="39" t="str">
        <f>IF(OR($B123="",_自动清单!$AS$5=""),"",SUMIFS(次果筐明细!$G$4:$G$603,次果筐明细!$C$4:$C$603,$B123,次果筐明细!$D$4:$D$603,_自动清单!$AS$5,次果筐明细!$F$4:$F$603,"*出库*",次果筐明细!$B$4:$B$603,"&gt;="&amp;$Z$1,次果筐明细!$B$4:$B$603,"&lt;="&amp;$Z$2))</f>
        <v/>
      </c>
      <c r="E123" s="39" t="str">
        <f>IF(OR($B123="",_自动清单!$AS$6=""),"",SUMIFS(次果筐明细!$G$4:$G$603,次果筐明细!$C$4:$C$603,$B123,次果筐明细!$D$4:$D$603,_自动清单!$AS$6,次果筐明细!$F$4:$F$603,"*出库*",次果筐明细!$B$4:$B$603,"&gt;="&amp;$Z$1,次果筐明细!$B$4:$B$603,"&lt;="&amp;$Z$2))</f>
        <v/>
      </c>
      <c r="F123" s="39" t="str">
        <f>IF(OR($B123="",_自动清单!$AS$7=""),"",SUMIFS(次果筐明细!$G$4:$G$603,次果筐明细!$C$4:$C$603,$B123,次果筐明细!$D$4:$D$603,_自动清单!$AS$7,次果筐明细!$F$4:$F$603,"*出库*",次果筐明细!$B$4:$B$603,"&gt;="&amp;$Z$1,次果筐明细!$B$4:$B$603,"&lt;="&amp;$Z$2))</f>
        <v/>
      </c>
      <c r="G123" s="39" t="str">
        <f>IF($B123="","",SUMIFS(次果筐明细!$G$4:$G$603,次果筐明细!$C$4:$C$603,$B123,次果筐明细!$F$4:$F$603,"*出库*",次果筐明细!$B$4:$B$603,"&gt;="&amp;$Z$1,次果筐明细!$B$4:$B$603,"&lt;="&amp;$Z$2)-SUM($C123:$F123))</f>
        <v/>
      </c>
      <c r="H123" s="39" t="str">
        <f t="shared" si="7"/>
        <v/>
      </c>
      <c r="I123" s="39" t="str">
        <f>IF(OR($B123="",_自动清单!$AS$4=""),"",SUMIFS(次果筐明细!$G$4:$G$603,次果筐明细!$C$4:$C$603,$B123,次果筐明细!$D$4:$D$603,_自动清单!$AS$4,次果筐明细!$F$4:$F$603,"*入库*",次果筐明细!$B$4:$B$603,"&gt;="&amp;$Z$1,次果筐明细!$B$4:$B$603,"&lt;="&amp;$Z$2))</f>
        <v/>
      </c>
      <c r="J123" s="39" t="str">
        <f>IF(OR($B123="",_自动清单!$AS$5=""),"",SUMIFS(次果筐明细!$G$4:$G$603,次果筐明细!$C$4:$C$603,$B123,次果筐明细!$D$4:$D$603,_自动清单!$AS$5,次果筐明细!$F$4:$F$603,"*入库*",次果筐明细!$B$4:$B$603,"&gt;="&amp;$Z$1,次果筐明细!$B$4:$B$603,"&lt;="&amp;$Z$2))</f>
        <v/>
      </c>
      <c r="K123" s="39" t="str">
        <f>IF(OR($B123="",_自动清单!$AS$6=""),"",SUMIFS(次果筐明细!$G$4:$G$603,次果筐明细!$C$4:$C$603,$B123,次果筐明细!$D$4:$D$603,_自动清单!$AS$6,次果筐明细!$F$4:$F$603,"*入库*",次果筐明细!$B$4:$B$603,"&gt;="&amp;$Z$1,次果筐明细!$B$4:$B$603,"&lt;="&amp;$Z$2))</f>
        <v/>
      </c>
      <c r="L123" s="39" t="str">
        <f>IF(OR($B123="",_自动清单!$AS$7=""),"",SUMIFS(次果筐明细!$G$4:$G$603,次果筐明细!$C$4:$C$603,$B123,次果筐明细!$D$4:$D$603,_自动清单!$AS$7,次果筐明细!$F$4:$F$603,"*入库*",次果筐明细!$B$4:$B$603,"&gt;="&amp;$Z$1,次果筐明细!$B$4:$B$603,"&lt;="&amp;$Z$2))</f>
        <v/>
      </c>
      <c r="M123" s="62" t="str">
        <f>IF($B123="","",SUMIFS(次果筐明细!$G$4:$G$603,次果筐明细!$C$4:$C$603,$B123,次果筐明细!$F$4:$F$603,"*入库*",次果筐明细!$B$4:$B$603,"&gt;="&amp;$Z$1,次果筐明细!$B$4:$B$603,"&lt;="&amp;$Z$2)-SUM($I123:$L123))</f>
        <v/>
      </c>
      <c r="N123" s="62" t="str">
        <f t="shared" si="8"/>
        <v/>
      </c>
      <c r="O123" s="39" t="str">
        <f t="shared" si="9"/>
        <v/>
      </c>
      <c r="P123" s="30" t="str">
        <f>IF($B123="","",ROUND(SUMIFS(次果筐明细!$L$4:$L$603,次果筐明细!$C$4:$C$603,$B123,次果筐明细!$B$4:$B$603,"&gt;="&amp;$Z$1,次果筐明细!$B$4:$B$603,"&lt;="&amp;$Z$2),2))</f>
        <v/>
      </c>
      <c r="Q123" s="30" t="str">
        <f>IF($B123="","",ROUND(SUMIFS(次果筐明细!$L$4:$L$603,次果筐明细!$C$4:$C$603,$B123,次果筐明细!$M$4:$M$603,"已收讫",次果筐明细!$B$4:$B$603,"&gt;="&amp;$Z$1,次果筐明细!$B$4:$B$603,"&lt;="&amp;$Z$2),2))</f>
        <v/>
      </c>
      <c r="R123" s="30" t="str">
        <f t="shared" si="10"/>
        <v/>
      </c>
      <c r="S123" s="30" t="str">
        <f>IF($B123="","",ROUND(SUMIFS(次果筐明细!$J$4:$J$603,次果筐明细!$C$4:$C$603,$B123,次果筐明细!$B$4:$B$603,"&gt;="&amp;$Z$1,次果筐明细!$B$4:$B$603,"&lt;="&amp;$Z$2),2))</f>
        <v/>
      </c>
      <c r="T123" s="63" t="str">
        <f>IF($B123="","",ROUND(SUMIFS(次果筐明细!$K$4:$K$603,次果筐明细!$C$4:$C$603,$B123,次果筐明细!$B$4:$B$603,"&gt;="&amp;$Z$1,次果筐明细!$B$4:$B$603,"&lt;="&amp;$Z$2),2))</f>
        <v/>
      </c>
      <c r="U123" s="30" t="str">
        <f t="shared" si="11"/>
        <v/>
      </c>
      <c r="V123" s="42"/>
    </row>
    <row r="124" spans="1:22">
      <c r="A124" s="24" t="str">
        <f t="shared" si="6"/>
        <v/>
      </c>
      <c r="B124" s="37" t="str">
        <f>IFERROR(INDEX(_自动清单!$AY$4:$AY$203,ROW()-3),"")</f>
        <v/>
      </c>
      <c r="C124" s="39" t="str">
        <f>IF(OR($B124="",_自动清单!$AS$4=""),"",SUMIFS(次果筐明细!$G$4:$G$603,次果筐明细!$C$4:$C$603,$B124,次果筐明细!$D$4:$D$603,_自动清单!$AS$4,次果筐明细!$F$4:$F$603,"*出库*",次果筐明细!$B$4:$B$603,"&gt;="&amp;$Z$1,次果筐明细!$B$4:$B$603,"&lt;="&amp;$Z$2))</f>
        <v/>
      </c>
      <c r="D124" s="39" t="str">
        <f>IF(OR($B124="",_自动清单!$AS$5=""),"",SUMIFS(次果筐明细!$G$4:$G$603,次果筐明细!$C$4:$C$603,$B124,次果筐明细!$D$4:$D$603,_自动清单!$AS$5,次果筐明细!$F$4:$F$603,"*出库*",次果筐明细!$B$4:$B$603,"&gt;="&amp;$Z$1,次果筐明细!$B$4:$B$603,"&lt;="&amp;$Z$2))</f>
        <v/>
      </c>
      <c r="E124" s="39" t="str">
        <f>IF(OR($B124="",_自动清单!$AS$6=""),"",SUMIFS(次果筐明细!$G$4:$G$603,次果筐明细!$C$4:$C$603,$B124,次果筐明细!$D$4:$D$603,_自动清单!$AS$6,次果筐明细!$F$4:$F$603,"*出库*",次果筐明细!$B$4:$B$603,"&gt;="&amp;$Z$1,次果筐明细!$B$4:$B$603,"&lt;="&amp;$Z$2))</f>
        <v/>
      </c>
      <c r="F124" s="39" t="str">
        <f>IF(OR($B124="",_自动清单!$AS$7=""),"",SUMIFS(次果筐明细!$G$4:$G$603,次果筐明细!$C$4:$C$603,$B124,次果筐明细!$D$4:$D$603,_自动清单!$AS$7,次果筐明细!$F$4:$F$603,"*出库*",次果筐明细!$B$4:$B$603,"&gt;="&amp;$Z$1,次果筐明细!$B$4:$B$603,"&lt;="&amp;$Z$2))</f>
        <v/>
      </c>
      <c r="G124" s="39" t="str">
        <f>IF($B124="","",SUMIFS(次果筐明细!$G$4:$G$603,次果筐明细!$C$4:$C$603,$B124,次果筐明细!$F$4:$F$603,"*出库*",次果筐明细!$B$4:$B$603,"&gt;="&amp;$Z$1,次果筐明细!$B$4:$B$603,"&lt;="&amp;$Z$2)-SUM($C124:$F124))</f>
        <v/>
      </c>
      <c r="H124" s="39" t="str">
        <f t="shared" si="7"/>
        <v/>
      </c>
      <c r="I124" s="39" t="str">
        <f>IF(OR($B124="",_自动清单!$AS$4=""),"",SUMIFS(次果筐明细!$G$4:$G$603,次果筐明细!$C$4:$C$603,$B124,次果筐明细!$D$4:$D$603,_自动清单!$AS$4,次果筐明细!$F$4:$F$603,"*入库*",次果筐明细!$B$4:$B$603,"&gt;="&amp;$Z$1,次果筐明细!$B$4:$B$603,"&lt;="&amp;$Z$2))</f>
        <v/>
      </c>
      <c r="J124" s="39" t="str">
        <f>IF(OR($B124="",_自动清单!$AS$5=""),"",SUMIFS(次果筐明细!$G$4:$G$603,次果筐明细!$C$4:$C$603,$B124,次果筐明细!$D$4:$D$603,_自动清单!$AS$5,次果筐明细!$F$4:$F$603,"*入库*",次果筐明细!$B$4:$B$603,"&gt;="&amp;$Z$1,次果筐明细!$B$4:$B$603,"&lt;="&amp;$Z$2))</f>
        <v/>
      </c>
      <c r="K124" s="39" t="str">
        <f>IF(OR($B124="",_自动清单!$AS$6=""),"",SUMIFS(次果筐明细!$G$4:$G$603,次果筐明细!$C$4:$C$603,$B124,次果筐明细!$D$4:$D$603,_自动清单!$AS$6,次果筐明细!$F$4:$F$603,"*入库*",次果筐明细!$B$4:$B$603,"&gt;="&amp;$Z$1,次果筐明细!$B$4:$B$603,"&lt;="&amp;$Z$2))</f>
        <v/>
      </c>
      <c r="L124" s="39" t="str">
        <f>IF(OR($B124="",_自动清单!$AS$7=""),"",SUMIFS(次果筐明细!$G$4:$G$603,次果筐明细!$C$4:$C$603,$B124,次果筐明细!$D$4:$D$603,_自动清单!$AS$7,次果筐明细!$F$4:$F$603,"*入库*",次果筐明细!$B$4:$B$603,"&gt;="&amp;$Z$1,次果筐明细!$B$4:$B$603,"&lt;="&amp;$Z$2))</f>
        <v/>
      </c>
      <c r="M124" s="62" t="str">
        <f>IF($B124="","",SUMIFS(次果筐明细!$G$4:$G$603,次果筐明细!$C$4:$C$603,$B124,次果筐明细!$F$4:$F$603,"*入库*",次果筐明细!$B$4:$B$603,"&gt;="&amp;$Z$1,次果筐明细!$B$4:$B$603,"&lt;="&amp;$Z$2)-SUM($I124:$L124))</f>
        <v/>
      </c>
      <c r="N124" s="62" t="str">
        <f t="shared" si="8"/>
        <v/>
      </c>
      <c r="O124" s="39" t="str">
        <f t="shared" si="9"/>
        <v/>
      </c>
      <c r="P124" s="30" t="str">
        <f>IF($B124="","",ROUND(SUMIFS(次果筐明细!$L$4:$L$603,次果筐明细!$C$4:$C$603,$B124,次果筐明细!$B$4:$B$603,"&gt;="&amp;$Z$1,次果筐明细!$B$4:$B$603,"&lt;="&amp;$Z$2),2))</f>
        <v/>
      </c>
      <c r="Q124" s="30" t="str">
        <f>IF($B124="","",ROUND(SUMIFS(次果筐明细!$L$4:$L$603,次果筐明细!$C$4:$C$603,$B124,次果筐明细!$M$4:$M$603,"已收讫",次果筐明细!$B$4:$B$603,"&gt;="&amp;$Z$1,次果筐明细!$B$4:$B$603,"&lt;="&amp;$Z$2),2))</f>
        <v/>
      </c>
      <c r="R124" s="30" t="str">
        <f t="shared" si="10"/>
        <v/>
      </c>
      <c r="S124" s="30" t="str">
        <f>IF($B124="","",ROUND(SUMIFS(次果筐明细!$J$4:$J$603,次果筐明细!$C$4:$C$603,$B124,次果筐明细!$B$4:$B$603,"&gt;="&amp;$Z$1,次果筐明细!$B$4:$B$603,"&lt;="&amp;$Z$2),2))</f>
        <v/>
      </c>
      <c r="T124" s="63" t="str">
        <f>IF($B124="","",ROUND(SUMIFS(次果筐明细!$K$4:$K$603,次果筐明细!$C$4:$C$603,$B124,次果筐明细!$B$4:$B$603,"&gt;="&amp;$Z$1,次果筐明细!$B$4:$B$603,"&lt;="&amp;$Z$2),2))</f>
        <v/>
      </c>
      <c r="U124" s="30" t="str">
        <f t="shared" si="11"/>
        <v/>
      </c>
      <c r="V124" s="42"/>
    </row>
    <row r="125" spans="1:22">
      <c r="A125" s="24" t="str">
        <f t="shared" si="6"/>
        <v/>
      </c>
      <c r="B125" s="37" t="str">
        <f>IFERROR(INDEX(_自动清单!$AY$4:$AY$203,ROW()-3),"")</f>
        <v/>
      </c>
      <c r="C125" s="39" t="str">
        <f>IF(OR($B125="",_自动清单!$AS$4=""),"",SUMIFS(次果筐明细!$G$4:$G$603,次果筐明细!$C$4:$C$603,$B125,次果筐明细!$D$4:$D$603,_自动清单!$AS$4,次果筐明细!$F$4:$F$603,"*出库*",次果筐明细!$B$4:$B$603,"&gt;="&amp;$Z$1,次果筐明细!$B$4:$B$603,"&lt;="&amp;$Z$2))</f>
        <v/>
      </c>
      <c r="D125" s="39" t="str">
        <f>IF(OR($B125="",_自动清单!$AS$5=""),"",SUMIFS(次果筐明细!$G$4:$G$603,次果筐明细!$C$4:$C$603,$B125,次果筐明细!$D$4:$D$603,_自动清单!$AS$5,次果筐明细!$F$4:$F$603,"*出库*",次果筐明细!$B$4:$B$603,"&gt;="&amp;$Z$1,次果筐明细!$B$4:$B$603,"&lt;="&amp;$Z$2))</f>
        <v/>
      </c>
      <c r="E125" s="39" t="str">
        <f>IF(OR($B125="",_自动清单!$AS$6=""),"",SUMIFS(次果筐明细!$G$4:$G$603,次果筐明细!$C$4:$C$603,$B125,次果筐明细!$D$4:$D$603,_自动清单!$AS$6,次果筐明细!$F$4:$F$603,"*出库*",次果筐明细!$B$4:$B$603,"&gt;="&amp;$Z$1,次果筐明细!$B$4:$B$603,"&lt;="&amp;$Z$2))</f>
        <v/>
      </c>
      <c r="F125" s="39" t="str">
        <f>IF(OR($B125="",_自动清单!$AS$7=""),"",SUMIFS(次果筐明细!$G$4:$G$603,次果筐明细!$C$4:$C$603,$B125,次果筐明细!$D$4:$D$603,_自动清单!$AS$7,次果筐明细!$F$4:$F$603,"*出库*",次果筐明细!$B$4:$B$603,"&gt;="&amp;$Z$1,次果筐明细!$B$4:$B$603,"&lt;="&amp;$Z$2))</f>
        <v/>
      </c>
      <c r="G125" s="39" t="str">
        <f>IF($B125="","",SUMIFS(次果筐明细!$G$4:$G$603,次果筐明细!$C$4:$C$603,$B125,次果筐明细!$F$4:$F$603,"*出库*",次果筐明细!$B$4:$B$603,"&gt;="&amp;$Z$1,次果筐明细!$B$4:$B$603,"&lt;="&amp;$Z$2)-SUM($C125:$F125))</f>
        <v/>
      </c>
      <c r="H125" s="39" t="str">
        <f t="shared" si="7"/>
        <v/>
      </c>
      <c r="I125" s="39" t="str">
        <f>IF(OR($B125="",_自动清单!$AS$4=""),"",SUMIFS(次果筐明细!$G$4:$G$603,次果筐明细!$C$4:$C$603,$B125,次果筐明细!$D$4:$D$603,_自动清单!$AS$4,次果筐明细!$F$4:$F$603,"*入库*",次果筐明细!$B$4:$B$603,"&gt;="&amp;$Z$1,次果筐明细!$B$4:$B$603,"&lt;="&amp;$Z$2))</f>
        <v/>
      </c>
      <c r="J125" s="39" t="str">
        <f>IF(OR($B125="",_自动清单!$AS$5=""),"",SUMIFS(次果筐明细!$G$4:$G$603,次果筐明细!$C$4:$C$603,$B125,次果筐明细!$D$4:$D$603,_自动清单!$AS$5,次果筐明细!$F$4:$F$603,"*入库*",次果筐明细!$B$4:$B$603,"&gt;="&amp;$Z$1,次果筐明细!$B$4:$B$603,"&lt;="&amp;$Z$2))</f>
        <v/>
      </c>
      <c r="K125" s="39" t="str">
        <f>IF(OR($B125="",_自动清单!$AS$6=""),"",SUMIFS(次果筐明细!$G$4:$G$603,次果筐明细!$C$4:$C$603,$B125,次果筐明细!$D$4:$D$603,_自动清单!$AS$6,次果筐明细!$F$4:$F$603,"*入库*",次果筐明细!$B$4:$B$603,"&gt;="&amp;$Z$1,次果筐明细!$B$4:$B$603,"&lt;="&amp;$Z$2))</f>
        <v/>
      </c>
      <c r="L125" s="39" t="str">
        <f>IF(OR($B125="",_自动清单!$AS$7=""),"",SUMIFS(次果筐明细!$G$4:$G$603,次果筐明细!$C$4:$C$603,$B125,次果筐明细!$D$4:$D$603,_自动清单!$AS$7,次果筐明细!$F$4:$F$603,"*入库*",次果筐明细!$B$4:$B$603,"&gt;="&amp;$Z$1,次果筐明细!$B$4:$B$603,"&lt;="&amp;$Z$2))</f>
        <v/>
      </c>
      <c r="M125" s="62" t="str">
        <f>IF($B125="","",SUMIFS(次果筐明细!$G$4:$G$603,次果筐明细!$C$4:$C$603,$B125,次果筐明细!$F$4:$F$603,"*入库*",次果筐明细!$B$4:$B$603,"&gt;="&amp;$Z$1,次果筐明细!$B$4:$B$603,"&lt;="&amp;$Z$2)-SUM($I125:$L125))</f>
        <v/>
      </c>
      <c r="N125" s="62" t="str">
        <f t="shared" si="8"/>
        <v/>
      </c>
      <c r="O125" s="39" t="str">
        <f t="shared" si="9"/>
        <v/>
      </c>
      <c r="P125" s="30" t="str">
        <f>IF($B125="","",ROUND(SUMIFS(次果筐明细!$L$4:$L$603,次果筐明细!$C$4:$C$603,$B125,次果筐明细!$B$4:$B$603,"&gt;="&amp;$Z$1,次果筐明细!$B$4:$B$603,"&lt;="&amp;$Z$2),2))</f>
        <v/>
      </c>
      <c r="Q125" s="30" t="str">
        <f>IF($B125="","",ROUND(SUMIFS(次果筐明细!$L$4:$L$603,次果筐明细!$C$4:$C$603,$B125,次果筐明细!$M$4:$M$603,"已收讫",次果筐明细!$B$4:$B$603,"&gt;="&amp;$Z$1,次果筐明细!$B$4:$B$603,"&lt;="&amp;$Z$2),2))</f>
        <v/>
      </c>
      <c r="R125" s="30" t="str">
        <f t="shared" si="10"/>
        <v/>
      </c>
      <c r="S125" s="30" t="str">
        <f>IF($B125="","",ROUND(SUMIFS(次果筐明细!$J$4:$J$603,次果筐明细!$C$4:$C$603,$B125,次果筐明细!$B$4:$B$603,"&gt;="&amp;$Z$1,次果筐明细!$B$4:$B$603,"&lt;="&amp;$Z$2),2))</f>
        <v/>
      </c>
      <c r="T125" s="63" t="str">
        <f>IF($B125="","",ROUND(SUMIFS(次果筐明细!$K$4:$K$603,次果筐明细!$C$4:$C$603,$B125,次果筐明细!$B$4:$B$603,"&gt;="&amp;$Z$1,次果筐明细!$B$4:$B$603,"&lt;="&amp;$Z$2),2))</f>
        <v/>
      </c>
      <c r="U125" s="30" t="str">
        <f t="shared" si="11"/>
        <v/>
      </c>
      <c r="V125" s="42"/>
    </row>
    <row r="126" spans="1:22">
      <c r="A126" s="24" t="str">
        <f t="shared" si="6"/>
        <v/>
      </c>
      <c r="B126" s="37" t="str">
        <f>IFERROR(INDEX(_自动清单!$AY$4:$AY$203,ROW()-3),"")</f>
        <v/>
      </c>
      <c r="C126" s="39" t="str">
        <f>IF(OR($B126="",_自动清单!$AS$4=""),"",SUMIFS(次果筐明细!$G$4:$G$603,次果筐明细!$C$4:$C$603,$B126,次果筐明细!$D$4:$D$603,_自动清单!$AS$4,次果筐明细!$F$4:$F$603,"*出库*",次果筐明细!$B$4:$B$603,"&gt;="&amp;$Z$1,次果筐明细!$B$4:$B$603,"&lt;="&amp;$Z$2))</f>
        <v/>
      </c>
      <c r="D126" s="39" t="str">
        <f>IF(OR($B126="",_自动清单!$AS$5=""),"",SUMIFS(次果筐明细!$G$4:$G$603,次果筐明细!$C$4:$C$603,$B126,次果筐明细!$D$4:$D$603,_自动清单!$AS$5,次果筐明细!$F$4:$F$603,"*出库*",次果筐明细!$B$4:$B$603,"&gt;="&amp;$Z$1,次果筐明细!$B$4:$B$603,"&lt;="&amp;$Z$2))</f>
        <v/>
      </c>
      <c r="E126" s="39" t="str">
        <f>IF(OR($B126="",_自动清单!$AS$6=""),"",SUMIFS(次果筐明细!$G$4:$G$603,次果筐明细!$C$4:$C$603,$B126,次果筐明细!$D$4:$D$603,_自动清单!$AS$6,次果筐明细!$F$4:$F$603,"*出库*",次果筐明细!$B$4:$B$603,"&gt;="&amp;$Z$1,次果筐明细!$B$4:$B$603,"&lt;="&amp;$Z$2))</f>
        <v/>
      </c>
      <c r="F126" s="39" t="str">
        <f>IF(OR($B126="",_自动清单!$AS$7=""),"",SUMIFS(次果筐明细!$G$4:$G$603,次果筐明细!$C$4:$C$603,$B126,次果筐明细!$D$4:$D$603,_自动清单!$AS$7,次果筐明细!$F$4:$F$603,"*出库*",次果筐明细!$B$4:$B$603,"&gt;="&amp;$Z$1,次果筐明细!$B$4:$B$603,"&lt;="&amp;$Z$2))</f>
        <v/>
      </c>
      <c r="G126" s="39" t="str">
        <f>IF($B126="","",SUMIFS(次果筐明细!$G$4:$G$603,次果筐明细!$C$4:$C$603,$B126,次果筐明细!$F$4:$F$603,"*出库*",次果筐明细!$B$4:$B$603,"&gt;="&amp;$Z$1,次果筐明细!$B$4:$B$603,"&lt;="&amp;$Z$2)-SUM($C126:$F126))</f>
        <v/>
      </c>
      <c r="H126" s="39" t="str">
        <f t="shared" si="7"/>
        <v/>
      </c>
      <c r="I126" s="39" t="str">
        <f>IF(OR($B126="",_自动清单!$AS$4=""),"",SUMIFS(次果筐明细!$G$4:$G$603,次果筐明细!$C$4:$C$603,$B126,次果筐明细!$D$4:$D$603,_自动清单!$AS$4,次果筐明细!$F$4:$F$603,"*入库*",次果筐明细!$B$4:$B$603,"&gt;="&amp;$Z$1,次果筐明细!$B$4:$B$603,"&lt;="&amp;$Z$2))</f>
        <v/>
      </c>
      <c r="J126" s="39" t="str">
        <f>IF(OR($B126="",_自动清单!$AS$5=""),"",SUMIFS(次果筐明细!$G$4:$G$603,次果筐明细!$C$4:$C$603,$B126,次果筐明细!$D$4:$D$603,_自动清单!$AS$5,次果筐明细!$F$4:$F$603,"*入库*",次果筐明细!$B$4:$B$603,"&gt;="&amp;$Z$1,次果筐明细!$B$4:$B$603,"&lt;="&amp;$Z$2))</f>
        <v/>
      </c>
      <c r="K126" s="39" t="str">
        <f>IF(OR($B126="",_自动清单!$AS$6=""),"",SUMIFS(次果筐明细!$G$4:$G$603,次果筐明细!$C$4:$C$603,$B126,次果筐明细!$D$4:$D$603,_自动清单!$AS$6,次果筐明细!$F$4:$F$603,"*入库*",次果筐明细!$B$4:$B$603,"&gt;="&amp;$Z$1,次果筐明细!$B$4:$B$603,"&lt;="&amp;$Z$2))</f>
        <v/>
      </c>
      <c r="L126" s="39" t="str">
        <f>IF(OR($B126="",_自动清单!$AS$7=""),"",SUMIFS(次果筐明细!$G$4:$G$603,次果筐明细!$C$4:$C$603,$B126,次果筐明细!$D$4:$D$603,_自动清单!$AS$7,次果筐明细!$F$4:$F$603,"*入库*",次果筐明细!$B$4:$B$603,"&gt;="&amp;$Z$1,次果筐明细!$B$4:$B$603,"&lt;="&amp;$Z$2))</f>
        <v/>
      </c>
      <c r="M126" s="62" t="str">
        <f>IF($B126="","",SUMIFS(次果筐明细!$G$4:$G$603,次果筐明细!$C$4:$C$603,$B126,次果筐明细!$F$4:$F$603,"*入库*",次果筐明细!$B$4:$B$603,"&gt;="&amp;$Z$1,次果筐明细!$B$4:$B$603,"&lt;="&amp;$Z$2)-SUM($I126:$L126))</f>
        <v/>
      </c>
      <c r="N126" s="62" t="str">
        <f t="shared" si="8"/>
        <v/>
      </c>
      <c r="O126" s="39" t="str">
        <f t="shared" si="9"/>
        <v/>
      </c>
      <c r="P126" s="30" t="str">
        <f>IF($B126="","",ROUND(SUMIFS(次果筐明细!$L$4:$L$603,次果筐明细!$C$4:$C$603,$B126,次果筐明细!$B$4:$B$603,"&gt;="&amp;$Z$1,次果筐明细!$B$4:$B$603,"&lt;="&amp;$Z$2),2))</f>
        <v/>
      </c>
      <c r="Q126" s="30" t="str">
        <f>IF($B126="","",ROUND(SUMIFS(次果筐明细!$L$4:$L$603,次果筐明细!$C$4:$C$603,$B126,次果筐明细!$M$4:$M$603,"已收讫",次果筐明细!$B$4:$B$603,"&gt;="&amp;$Z$1,次果筐明细!$B$4:$B$603,"&lt;="&amp;$Z$2),2))</f>
        <v/>
      </c>
      <c r="R126" s="30" t="str">
        <f t="shared" si="10"/>
        <v/>
      </c>
      <c r="S126" s="30" t="str">
        <f>IF($B126="","",ROUND(SUMIFS(次果筐明细!$J$4:$J$603,次果筐明细!$C$4:$C$603,$B126,次果筐明细!$B$4:$B$603,"&gt;="&amp;$Z$1,次果筐明细!$B$4:$B$603,"&lt;="&amp;$Z$2),2))</f>
        <v/>
      </c>
      <c r="T126" s="63" t="str">
        <f>IF($B126="","",ROUND(SUMIFS(次果筐明细!$K$4:$K$603,次果筐明细!$C$4:$C$603,$B126,次果筐明细!$B$4:$B$603,"&gt;="&amp;$Z$1,次果筐明细!$B$4:$B$603,"&lt;="&amp;$Z$2),2))</f>
        <v/>
      </c>
      <c r="U126" s="30" t="str">
        <f t="shared" si="11"/>
        <v/>
      </c>
      <c r="V126" s="42"/>
    </row>
    <row r="127" spans="1:22">
      <c r="A127" s="24" t="str">
        <f t="shared" si="6"/>
        <v/>
      </c>
      <c r="B127" s="37" t="str">
        <f>IFERROR(INDEX(_自动清单!$AY$4:$AY$203,ROW()-3),"")</f>
        <v/>
      </c>
      <c r="C127" s="39" t="str">
        <f>IF(OR($B127="",_自动清单!$AS$4=""),"",SUMIFS(次果筐明细!$G$4:$G$603,次果筐明细!$C$4:$C$603,$B127,次果筐明细!$D$4:$D$603,_自动清单!$AS$4,次果筐明细!$F$4:$F$603,"*出库*",次果筐明细!$B$4:$B$603,"&gt;="&amp;$Z$1,次果筐明细!$B$4:$B$603,"&lt;="&amp;$Z$2))</f>
        <v/>
      </c>
      <c r="D127" s="39" t="str">
        <f>IF(OR($B127="",_自动清单!$AS$5=""),"",SUMIFS(次果筐明细!$G$4:$G$603,次果筐明细!$C$4:$C$603,$B127,次果筐明细!$D$4:$D$603,_自动清单!$AS$5,次果筐明细!$F$4:$F$603,"*出库*",次果筐明细!$B$4:$B$603,"&gt;="&amp;$Z$1,次果筐明细!$B$4:$B$603,"&lt;="&amp;$Z$2))</f>
        <v/>
      </c>
      <c r="E127" s="39" t="str">
        <f>IF(OR($B127="",_自动清单!$AS$6=""),"",SUMIFS(次果筐明细!$G$4:$G$603,次果筐明细!$C$4:$C$603,$B127,次果筐明细!$D$4:$D$603,_自动清单!$AS$6,次果筐明细!$F$4:$F$603,"*出库*",次果筐明细!$B$4:$B$603,"&gt;="&amp;$Z$1,次果筐明细!$B$4:$B$603,"&lt;="&amp;$Z$2))</f>
        <v/>
      </c>
      <c r="F127" s="39" t="str">
        <f>IF(OR($B127="",_自动清单!$AS$7=""),"",SUMIFS(次果筐明细!$G$4:$G$603,次果筐明细!$C$4:$C$603,$B127,次果筐明细!$D$4:$D$603,_自动清单!$AS$7,次果筐明细!$F$4:$F$603,"*出库*",次果筐明细!$B$4:$B$603,"&gt;="&amp;$Z$1,次果筐明细!$B$4:$B$603,"&lt;="&amp;$Z$2))</f>
        <v/>
      </c>
      <c r="G127" s="39" t="str">
        <f>IF($B127="","",SUMIFS(次果筐明细!$G$4:$G$603,次果筐明细!$C$4:$C$603,$B127,次果筐明细!$F$4:$F$603,"*出库*",次果筐明细!$B$4:$B$603,"&gt;="&amp;$Z$1,次果筐明细!$B$4:$B$603,"&lt;="&amp;$Z$2)-SUM($C127:$F127))</f>
        <v/>
      </c>
      <c r="H127" s="39" t="str">
        <f t="shared" si="7"/>
        <v/>
      </c>
      <c r="I127" s="39" t="str">
        <f>IF(OR($B127="",_自动清单!$AS$4=""),"",SUMIFS(次果筐明细!$G$4:$G$603,次果筐明细!$C$4:$C$603,$B127,次果筐明细!$D$4:$D$603,_自动清单!$AS$4,次果筐明细!$F$4:$F$603,"*入库*",次果筐明细!$B$4:$B$603,"&gt;="&amp;$Z$1,次果筐明细!$B$4:$B$603,"&lt;="&amp;$Z$2))</f>
        <v/>
      </c>
      <c r="J127" s="39" t="str">
        <f>IF(OR($B127="",_自动清单!$AS$5=""),"",SUMIFS(次果筐明细!$G$4:$G$603,次果筐明细!$C$4:$C$603,$B127,次果筐明细!$D$4:$D$603,_自动清单!$AS$5,次果筐明细!$F$4:$F$603,"*入库*",次果筐明细!$B$4:$B$603,"&gt;="&amp;$Z$1,次果筐明细!$B$4:$B$603,"&lt;="&amp;$Z$2))</f>
        <v/>
      </c>
      <c r="K127" s="39" t="str">
        <f>IF(OR($B127="",_自动清单!$AS$6=""),"",SUMIFS(次果筐明细!$G$4:$G$603,次果筐明细!$C$4:$C$603,$B127,次果筐明细!$D$4:$D$603,_自动清单!$AS$6,次果筐明细!$F$4:$F$603,"*入库*",次果筐明细!$B$4:$B$603,"&gt;="&amp;$Z$1,次果筐明细!$B$4:$B$603,"&lt;="&amp;$Z$2))</f>
        <v/>
      </c>
      <c r="L127" s="39" t="str">
        <f>IF(OR($B127="",_自动清单!$AS$7=""),"",SUMIFS(次果筐明细!$G$4:$G$603,次果筐明细!$C$4:$C$603,$B127,次果筐明细!$D$4:$D$603,_自动清单!$AS$7,次果筐明细!$F$4:$F$603,"*入库*",次果筐明细!$B$4:$B$603,"&gt;="&amp;$Z$1,次果筐明细!$B$4:$B$603,"&lt;="&amp;$Z$2))</f>
        <v/>
      </c>
      <c r="M127" s="62" t="str">
        <f>IF($B127="","",SUMIFS(次果筐明细!$G$4:$G$603,次果筐明细!$C$4:$C$603,$B127,次果筐明细!$F$4:$F$603,"*入库*",次果筐明细!$B$4:$B$603,"&gt;="&amp;$Z$1,次果筐明细!$B$4:$B$603,"&lt;="&amp;$Z$2)-SUM($I127:$L127))</f>
        <v/>
      </c>
      <c r="N127" s="62" t="str">
        <f t="shared" si="8"/>
        <v/>
      </c>
      <c r="O127" s="39" t="str">
        <f t="shared" si="9"/>
        <v/>
      </c>
      <c r="P127" s="30" t="str">
        <f>IF($B127="","",ROUND(SUMIFS(次果筐明细!$L$4:$L$603,次果筐明细!$C$4:$C$603,$B127,次果筐明细!$B$4:$B$603,"&gt;="&amp;$Z$1,次果筐明细!$B$4:$B$603,"&lt;="&amp;$Z$2),2))</f>
        <v/>
      </c>
      <c r="Q127" s="30" t="str">
        <f>IF($B127="","",ROUND(SUMIFS(次果筐明细!$L$4:$L$603,次果筐明细!$C$4:$C$603,$B127,次果筐明细!$M$4:$M$603,"已收讫",次果筐明细!$B$4:$B$603,"&gt;="&amp;$Z$1,次果筐明细!$B$4:$B$603,"&lt;="&amp;$Z$2),2))</f>
        <v/>
      </c>
      <c r="R127" s="30" t="str">
        <f t="shared" si="10"/>
        <v/>
      </c>
      <c r="S127" s="30" t="str">
        <f>IF($B127="","",ROUND(SUMIFS(次果筐明细!$J$4:$J$603,次果筐明细!$C$4:$C$603,$B127,次果筐明细!$B$4:$B$603,"&gt;="&amp;$Z$1,次果筐明细!$B$4:$B$603,"&lt;="&amp;$Z$2),2))</f>
        <v/>
      </c>
      <c r="T127" s="63" t="str">
        <f>IF($B127="","",ROUND(SUMIFS(次果筐明细!$K$4:$K$603,次果筐明细!$C$4:$C$603,$B127,次果筐明细!$B$4:$B$603,"&gt;="&amp;$Z$1,次果筐明细!$B$4:$B$603,"&lt;="&amp;$Z$2),2))</f>
        <v/>
      </c>
      <c r="U127" s="30" t="str">
        <f t="shared" si="11"/>
        <v/>
      </c>
      <c r="V127" s="42"/>
    </row>
    <row r="128" spans="1:22">
      <c r="A128" s="24" t="str">
        <f t="shared" si="6"/>
        <v/>
      </c>
      <c r="B128" s="37" t="str">
        <f>IFERROR(INDEX(_自动清单!$AY$4:$AY$203,ROW()-3),"")</f>
        <v/>
      </c>
      <c r="C128" s="39" t="str">
        <f>IF(OR($B128="",_自动清单!$AS$4=""),"",SUMIFS(次果筐明细!$G$4:$G$603,次果筐明细!$C$4:$C$603,$B128,次果筐明细!$D$4:$D$603,_自动清单!$AS$4,次果筐明细!$F$4:$F$603,"*出库*",次果筐明细!$B$4:$B$603,"&gt;="&amp;$Z$1,次果筐明细!$B$4:$B$603,"&lt;="&amp;$Z$2))</f>
        <v/>
      </c>
      <c r="D128" s="39" t="str">
        <f>IF(OR($B128="",_自动清单!$AS$5=""),"",SUMIFS(次果筐明细!$G$4:$G$603,次果筐明细!$C$4:$C$603,$B128,次果筐明细!$D$4:$D$603,_自动清单!$AS$5,次果筐明细!$F$4:$F$603,"*出库*",次果筐明细!$B$4:$B$603,"&gt;="&amp;$Z$1,次果筐明细!$B$4:$B$603,"&lt;="&amp;$Z$2))</f>
        <v/>
      </c>
      <c r="E128" s="39" t="str">
        <f>IF(OR($B128="",_自动清单!$AS$6=""),"",SUMIFS(次果筐明细!$G$4:$G$603,次果筐明细!$C$4:$C$603,$B128,次果筐明细!$D$4:$D$603,_自动清单!$AS$6,次果筐明细!$F$4:$F$603,"*出库*",次果筐明细!$B$4:$B$603,"&gt;="&amp;$Z$1,次果筐明细!$B$4:$B$603,"&lt;="&amp;$Z$2))</f>
        <v/>
      </c>
      <c r="F128" s="39" t="str">
        <f>IF(OR($B128="",_自动清单!$AS$7=""),"",SUMIFS(次果筐明细!$G$4:$G$603,次果筐明细!$C$4:$C$603,$B128,次果筐明细!$D$4:$D$603,_自动清单!$AS$7,次果筐明细!$F$4:$F$603,"*出库*",次果筐明细!$B$4:$B$603,"&gt;="&amp;$Z$1,次果筐明细!$B$4:$B$603,"&lt;="&amp;$Z$2))</f>
        <v/>
      </c>
      <c r="G128" s="39" t="str">
        <f>IF($B128="","",SUMIFS(次果筐明细!$G$4:$G$603,次果筐明细!$C$4:$C$603,$B128,次果筐明细!$F$4:$F$603,"*出库*",次果筐明细!$B$4:$B$603,"&gt;="&amp;$Z$1,次果筐明细!$B$4:$B$603,"&lt;="&amp;$Z$2)-SUM($C128:$F128))</f>
        <v/>
      </c>
      <c r="H128" s="39" t="str">
        <f t="shared" si="7"/>
        <v/>
      </c>
      <c r="I128" s="39" t="str">
        <f>IF(OR($B128="",_自动清单!$AS$4=""),"",SUMIFS(次果筐明细!$G$4:$G$603,次果筐明细!$C$4:$C$603,$B128,次果筐明细!$D$4:$D$603,_自动清单!$AS$4,次果筐明细!$F$4:$F$603,"*入库*",次果筐明细!$B$4:$B$603,"&gt;="&amp;$Z$1,次果筐明细!$B$4:$B$603,"&lt;="&amp;$Z$2))</f>
        <v/>
      </c>
      <c r="J128" s="39" t="str">
        <f>IF(OR($B128="",_自动清单!$AS$5=""),"",SUMIFS(次果筐明细!$G$4:$G$603,次果筐明细!$C$4:$C$603,$B128,次果筐明细!$D$4:$D$603,_自动清单!$AS$5,次果筐明细!$F$4:$F$603,"*入库*",次果筐明细!$B$4:$B$603,"&gt;="&amp;$Z$1,次果筐明细!$B$4:$B$603,"&lt;="&amp;$Z$2))</f>
        <v/>
      </c>
      <c r="K128" s="39" t="str">
        <f>IF(OR($B128="",_自动清单!$AS$6=""),"",SUMIFS(次果筐明细!$G$4:$G$603,次果筐明细!$C$4:$C$603,$B128,次果筐明细!$D$4:$D$603,_自动清单!$AS$6,次果筐明细!$F$4:$F$603,"*入库*",次果筐明细!$B$4:$B$603,"&gt;="&amp;$Z$1,次果筐明细!$B$4:$B$603,"&lt;="&amp;$Z$2))</f>
        <v/>
      </c>
      <c r="L128" s="39" t="str">
        <f>IF(OR($B128="",_自动清单!$AS$7=""),"",SUMIFS(次果筐明细!$G$4:$G$603,次果筐明细!$C$4:$C$603,$B128,次果筐明细!$D$4:$D$603,_自动清单!$AS$7,次果筐明细!$F$4:$F$603,"*入库*",次果筐明细!$B$4:$B$603,"&gt;="&amp;$Z$1,次果筐明细!$B$4:$B$603,"&lt;="&amp;$Z$2))</f>
        <v/>
      </c>
      <c r="M128" s="62" t="str">
        <f>IF($B128="","",SUMIFS(次果筐明细!$G$4:$G$603,次果筐明细!$C$4:$C$603,$B128,次果筐明细!$F$4:$F$603,"*入库*",次果筐明细!$B$4:$B$603,"&gt;="&amp;$Z$1,次果筐明细!$B$4:$B$603,"&lt;="&amp;$Z$2)-SUM($I128:$L128))</f>
        <v/>
      </c>
      <c r="N128" s="62" t="str">
        <f t="shared" si="8"/>
        <v/>
      </c>
      <c r="O128" s="39" t="str">
        <f t="shared" si="9"/>
        <v/>
      </c>
      <c r="P128" s="30" t="str">
        <f>IF($B128="","",ROUND(SUMIFS(次果筐明细!$L$4:$L$603,次果筐明细!$C$4:$C$603,$B128,次果筐明细!$B$4:$B$603,"&gt;="&amp;$Z$1,次果筐明细!$B$4:$B$603,"&lt;="&amp;$Z$2),2))</f>
        <v/>
      </c>
      <c r="Q128" s="30" t="str">
        <f>IF($B128="","",ROUND(SUMIFS(次果筐明细!$L$4:$L$603,次果筐明细!$C$4:$C$603,$B128,次果筐明细!$M$4:$M$603,"已收讫",次果筐明细!$B$4:$B$603,"&gt;="&amp;$Z$1,次果筐明细!$B$4:$B$603,"&lt;="&amp;$Z$2),2))</f>
        <v/>
      </c>
      <c r="R128" s="30" t="str">
        <f t="shared" si="10"/>
        <v/>
      </c>
      <c r="S128" s="30" t="str">
        <f>IF($B128="","",ROUND(SUMIFS(次果筐明细!$J$4:$J$603,次果筐明细!$C$4:$C$603,$B128,次果筐明细!$B$4:$B$603,"&gt;="&amp;$Z$1,次果筐明细!$B$4:$B$603,"&lt;="&amp;$Z$2),2))</f>
        <v/>
      </c>
      <c r="T128" s="63" t="str">
        <f>IF($B128="","",ROUND(SUMIFS(次果筐明细!$K$4:$K$603,次果筐明细!$C$4:$C$603,$B128,次果筐明细!$B$4:$B$603,"&gt;="&amp;$Z$1,次果筐明细!$B$4:$B$603,"&lt;="&amp;$Z$2),2))</f>
        <v/>
      </c>
      <c r="U128" s="30" t="str">
        <f t="shared" si="11"/>
        <v/>
      </c>
      <c r="V128" s="42"/>
    </row>
    <row r="129" spans="1:22">
      <c r="A129" s="24" t="str">
        <f t="shared" si="6"/>
        <v/>
      </c>
      <c r="B129" s="37" t="str">
        <f>IFERROR(INDEX(_自动清单!$AY$4:$AY$203,ROW()-3),"")</f>
        <v/>
      </c>
      <c r="C129" s="39" t="str">
        <f>IF(OR($B129="",_自动清单!$AS$4=""),"",SUMIFS(次果筐明细!$G$4:$G$603,次果筐明细!$C$4:$C$603,$B129,次果筐明细!$D$4:$D$603,_自动清单!$AS$4,次果筐明细!$F$4:$F$603,"*出库*",次果筐明细!$B$4:$B$603,"&gt;="&amp;$Z$1,次果筐明细!$B$4:$B$603,"&lt;="&amp;$Z$2))</f>
        <v/>
      </c>
      <c r="D129" s="39" t="str">
        <f>IF(OR($B129="",_自动清单!$AS$5=""),"",SUMIFS(次果筐明细!$G$4:$G$603,次果筐明细!$C$4:$C$603,$B129,次果筐明细!$D$4:$D$603,_自动清单!$AS$5,次果筐明细!$F$4:$F$603,"*出库*",次果筐明细!$B$4:$B$603,"&gt;="&amp;$Z$1,次果筐明细!$B$4:$B$603,"&lt;="&amp;$Z$2))</f>
        <v/>
      </c>
      <c r="E129" s="39" t="str">
        <f>IF(OR($B129="",_自动清单!$AS$6=""),"",SUMIFS(次果筐明细!$G$4:$G$603,次果筐明细!$C$4:$C$603,$B129,次果筐明细!$D$4:$D$603,_自动清单!$AS$6,次果筐明细!$F$4:$F$603,"*出库*",次果筐明细!$B$4:$B$603,"&gt;="&amp;$Z$1,次果筐明细!$B$4:$B$603,"&lt;="&amp;$Z$2))</f>
        <v/>
      </c>
      <c r="F129" s="39" t="str">
        <f>IF(OR($B129="",_自动清单!$AS$7=""),"",SUMIFS(次果筐明细!$G$4:$G$603,次果筐明细!$C$4:$C$603,$B129,次果筐明细!$D$4:$D$603,_自动清单!$AS$7,次果筐明细!$F$4:$F$603,"*出库*",次果筐明细!$B$4:$B$603,"&gt;="&amp;$Z$1,次果筐明细!$B$4:$B$603,"&lt;="&amp;$Z$2))</f>
        <v/>
      </c>
      <c r="G129" s="39" t="str">
        <f>IF($B129="","",SUMIFS(次果筐明细!$G$4:$G$603,次果筐明细!$C$4:$C$603,$B129,次果筐明细!$F$4:$F$603,"*出库*",次果筐明细!$B$4:$B$603,"&gt;="&amp;$Z$1,次果筐明细!$B$4:$B$603,"&lt;="&amp;$Z$2)-SUM($C129:$F129))</f>
        <v/>
      </c>
      <c r="H129" s="39" t="str">
        <f t="shared" si="7"/>
        <v/>
      </c>
      <c r="I129" s="39" t="str">
        <f>IF(OR($B129="",_自动清单!$AS$4=""),"",SUMIFS(次果筐明细!$G$4:$G$603,次果筐明细!$C$4:$C$603,$B129,次果筐明细!$D$4:$D$603,_自动清单!$AS$4,次果筐明细!$F$4:$F$603,"*入库*",次果筐明细!$B$4:$B$603,"&gt;="&amp;$Z$1,次果筐明细!$B$4:$B$603,"&lt;="&amp;$Z$2))</f>
        <v/>
      </c>
      <c r="J129" s="39" t="str">
        <f>IF(OR($B129="",_自动清单!$AS$5=""),"",SUMIFS(次果筐明细!$G$4:$G$603,次果筐明细!$C$4:$C$603,$B129,次果筐明细!$D$4:$D$603,_自动清单!$AS$5,次果筐明细!$F$4:$F$603,"*入库*",次果筐明细!$B$4:$B$603,"&gt;="&amp;$Z$1,次果筐明细!$B$4:$B$603,"&lt;="&amp;$Z$2))</f>
        <v/>
      </c>
      <c r="K129" s="39" t="str">
        <f>IF(OR($B129="",_自动清单!$AS$6=""),"",SUMIFS(次果筐明细!$G$4:$G$603,次果筐明细!$C$4:$C$603,$B129,次果筐明细!$D$4:$D$603,_自动清单!$AS$6,次果筐明细!$F$4:$F$603,"*入库*",次果筐明细!$B$4:$B$603,"&gt;="&amp;$Z$1,次果筐明细!$B$4:$B$603,"&lt;="&amp;$Z$2))</f>
        <v/>
      </c>
      <c r="L129" s="39" t="str">
        <f>IF(OR($B129="",_自动清单!$AS$7=""),"",SUMIFS(次果筐明细!$G$4:$G$603,次果筐明细!$C$4:$C$603,$B129,次果筐明细!$D$4:$D$603,_自动清单!$AS$7,次果筐明细!$F$4:$F$603,"*入库*",次果筐明细!$B$4:$B$603,"&gt;="&amp;$Z$1,次果筐明细!$B$4:$B$603,"&lt;="&amp;$Z$2))</f>
        <v/>
      </c>
      <c r="M129" s="62" t="str">
        <f>IF($B129="","",SUMIFS(次果筐明细!$G$4:$G$603,次果筐明细!$C$4:$C$603,$B129,次果筐明细!$F$4:$F$603,"*入库*",次果筐明细!$B$4:$B$603,"&gt;="&amp;$Z$1,次果筐明细!$B$4:$B$603,"&lt;="&amp;$Z$2)-SUM($I129:$L129))</f>
        <v/>
      </c>
      <c r="N129" s="62" t="str">
        <f t="shared" si="8"/>
        <v/>
      </c>
      <c r="O129" s="39" t="str">
        <f t="shared" si="9"/>
        <v/>
      </c>
      <c r="P129" s="30" t="str">
        <f>IF($B129="","",ROUND(SUMIFS(次果筐明细!$L$4:$L$603,次果筐明细!$C$4:$C$603,$B129,次果筐明细!$B$4:$B$603,"&gt;="&amp;$Z$1,次果筐明细!$B$4:$B$603,"&lt;="&amp;$Z$2),2))</f>
        <v/>
      </c>
      <c r="Q129" s="30" t="str">
        <f>IF($B129="","",ROUND(SUMIFS(次果筐明细!$L$4:$L$603,次果筐明细!$C$4:$C$603,$B129,次果筐明细!$M$4:$M$603,"已收讫",次果筐明细!$B$4:$B$603,"&gt;="&amp;$Z$1,次果筐明细!$B$4:$B$603,"&lt;="&amp;$Z$2),2))</f>
        <v/>
      </c>
      <c r="R129" s="30" t="str">
        <f t="shared" si="10"/>
        <v/>
      </c>
      <c r="S129" s="30" t="str">
        <f>IF($B129="","",ROUND(SUMIFS(次果筐明细!$J$4:$J$603,次果筐明细!$C$4:$C$603,$B129,次果筐明细!$B$4:$B$603,"&gt;="&amp;$Z$1,次果筐明细!$B$4:$B$603,"&lt;="&amp;$Z$2),2))</f>
        <v/>
      </c>
      <c r="T129" s="63" t="str">
        <f>IF($B129="","",ROUND(SUMIFS(次果筐明细!$K$4:$K$603,次果筐明细!$C$4:$C$603,$B129,次果筐明细!$B$4:$B$603,"&gt;="&amp;$Z$1,次果筐明细!$B$4:$B$603,"&lt;="&amp;$Z$2),2))</f>
        <v/>
      </c>
      <c r="U129" s="30" t="str">
        <f t="shared" si="11"/>
        <v/>
      </c>
      <c r="V129" s="42"/>
    </row>
    <row r="130" spans="1:22">
      <c r="A130" s="24" t="str">
        <f t="shared" si="6"/>
        <v/>
      </c>
      <c r="B130" s="37" t="str">
        <f>IFERROR(INDEX(_自动清单!$AY$4:$AY$203,ROW()-3),"")</f>
        <v/>
      </c>
      <c r="C130" s="39" t="str">
        <f>IF(OR($B130="",_自动清单!$AS$4=""),"",SUMIFS(次果筐明细!$G$4:$G$603,次果筐明细!$C$4:$C$603,$B130,次果筐明细!$D$4:$D$603,_自动清单!$AS$4,次果筐明细!$F$4:$F$603,"*出库*",次果筐明细!$B$4:$B$603,"&gt;="&amp;$Z$1,次果筐明细!$B$4:$B$603,"&lt;="&amp;$Z$2))</f>
        <v/>
      </c>
      <c r="D130" s="39" t="str">
        <f>IF(OR($B130="",_自动清单!$AS$5=""),"",SUMIFS(次果筐明细!$G$4:$G$603,次果筐明细!$C$4:$C$603,$B130,次果筐明细!$D$4:$D$603,_自动清单!$AS$5,次果筐明细!$F$4:$F$603,"*出库*",次果筐明细!$B$4:$B$603,"&gt;="&amp;$Z$1,次果筐明细!$B$4:$B$603,"&lt;="&amp;$Z$2))</f>
        <v/>
      </c>
      <c r="E130" s="39" t="str">
        <f>IF(OR($B130="",_自动清单!$AS$6=""),"",SUMIFS(次果筐明细!$G$4:$G$603,次果筐明细!$C$4:$C$603,$B130,次果筐明细!$D$4:$D$603,_自动清单!$AS$6,次果筐明细!$F$4:$F$603,"*出库*",次果筐明细!$B$4:$B$603,"&gt;="&amp;$Z$1,次果筐明细!$B$4:$B$603,"&lt;="&amp;$Z$2))</f>
        <v/>
      </c>
      <c r="F130" s="39" t="str">
        <f>IF(OR($B130="",_自动清单!$AS$7=""),"",SUMIFS(次果筐明细!$G$4:$G$603,次果筐明细!$C$4:$C$603,$B130,次果筐明细!$D$4:$D$603,_自动清单!$AS$7,次果筐明细!$F$4:$F$603,"*出库*",次果筐明细!$B$4:$B$603,"&gt;="&amp;$Z$1,次果筐明细!$B$4:$B$603,"&lt;="&amp;$Z$2))</f>
        <v/>
      </c>
      <c r="G130" s="39" t="str">
        <f>IF($B130="","",SUMIFS(次果筐明细!$G$4:$G$603,次果筐明细!$C$4:$C$603,$B130,次果筐明细!$F$4:$F$603,"*出库*",次果筐明细!$B$4:$B$603,"&gt;="&amp;$Z$1,次果筐明细!$B$4:$B$603,"&lt;="&amp;$Z$2)-SUM($C130:$F130))</f>
        <v/>
      </c>
      <c r="H130" s="39" t="str">
        <f t="shared" si="7"/>
        <v/>
      </c>
      <c r="I130" s="39" t="str">
        <f>IF(OR($B130="",_自动清单!$AS$4=""),"",SUMIFS(次果筐明细!$G$4:$G$603,次果筐明细!$C$4:$C$603,$B130,次果筐明细!$D$4:$D$603,_自动清单!$AS$4,次果筐明细!$F$4:$F$603,"*入库*",次果筐明细!$B$4:$B$603,"&gt;="&amp;$Z$1,次果筐明细!$B$4:$B$603,"&lt;="&amp;$Z$2))</f>
        <v/>
      </c>
      <c r="J130" s="39" t="str">
        <f>IF(OR($B130="",_自动清单!$AS$5=""),"",SUMIFS(次果筐明细!$G$4:$G$603,次果筐明细!$C$4:$C$603,$B130,次果筐明细!$D$4:$D$603,_自动清单!$AS$5,次果筐明细!$F$4:$F$603,"*入库*",次果筐明细!$B$4:$B$603,"&gt;="&amp;$Z$1,次果筐明细!$B$4:$B$603,"&lt;="&amp;$Z$2))</f>
        <v/>
      </c>
      <c r="K130" s="39" t="str">
        <f>IF(OR($B130="",_自动清单!$AS$6=""),"",SUMIFS(次果筐明细!$G$4:$G$603,次果筐明细!$C$4:$C$603,$B130,次果筐明细!$D$4:$D$603,_自动清单!$AS$6,次果筐明细!$F$4:$F$603,"*入库*",次果筐明细!$B$4:$B$603,"&gt;="&amp;$Z$1,次果筐明细!$B$4:$B$603,"&lt;="&amp;$Z$2))</f>
        <v/>
      </c>
      <c r="L130" s="39" t="str">
        <f>IF(OR($B130="",_自动清单!$AS$7=""),"",SUMIFS(次果筐明细!$G$4:$G$603,次果筐明细!$C$4:$C$603,$B130,次果筐明细!$D$4:$D$603,_自动清单!$AS$7,次果筐明细!$F$4:$F$603,"*入库*",次果筐明细!$B$4:$B$603,"&gt;="&amp;$Z$1,次果筐明细!$B$4:$B$603,"&lt;="&amp;$Z$2))</f>
        <v/>
      </c>
      <c r="M130" s="62" t="str">
        <f>IF($B130="","",SUMIFS(次果筐明细!$G$4:$G$603,次果筐明细!$C$4:$C$603,$B130,次果筐明细!$F$4:$F$603,"*入库*",次果筐明细!$B$4:$B$603,"&gt;="&amp;$Z$1,次果筐明细!$B$4:$B$603,"&lt;="&amp;$Z$2)-SUM($I130:$L130))</f>
        <v/>
      </c>
      <c r="N130" s="62" t="str">
        <f t="shared" si="8"/>
        <v/>
      </c>
      <c r="O130" s="39" t="str">
        <f t="shared" si="9"/>
        <v/>
      </c>
      <c r="P130" s="30" t="str">
        <f>IF($B130="","",ROUND(SUMIFS(次果筐明细!$L$4:$L$603,次果筐明细!$C$4:$C$603,$B130,次果筐明细!$B$4:$B$603,"&gt;="&amp;$Z$1,次果筐明细!$B$4:$B$603,"&lt;="&amp;$Z$2),2))</f>
        <v/>
      </c>
      <c r="Q130" s="30" t="str">
        <f>IF($B130="","",ROUND(SUMIFS(次果筐明细!$L$4:$L$603,次果筐明细!$C$4:$C$603,$B130,次果筐明细!$M$4:$M$603,"已收讫",次果筐明细!$B$4:$B$603,"&gt;="&amp;$Z$1,次果筐明细!$B$4:$B$603,"&lt;="&amp;$Z$2),2))</f>
        <v/>
      </c>
      <c r="R130" s="30" t="str">
        <f t="shared" si="10"/>
        <v/>
      </c>
      <c r="S130" s="30" t="str">
        <f>IF($B130="","",ROUND(SUMIFS(次果筐明细!$J$4:$J$603,次果筐明细!$C$4:$C$603,$B130,次果筐明细!$B$4:$B$603,"&gt;="&amp;$Z$1,次果筐明细!$B$4:$B$603,"&lt;="&amp;$Z$2),2))</f>
        <v/>
      </c>
      <c r="T130" s="63" t="str">
        <f>IF($B130="","",ROUND(SUMIFS(次果筐明细!$K$4:$K$603,次果筐明细!$C$4:$C$603,$B130,次果筐明细!$B$4:$B$603,"&gt;="&amp;$Z$1,次果筐明细!$B$4:$B$603,"&lt;="&amp;$Z$2),2))</f>
        <v/>
      </c>
      <c r="U130" s="30" t="str">
        <f t="shared" si="11"/>
        <v/>
      </c>
      <c r="V130" s="42"/>
    </row>
    <row r="131" spans="1:22">
      <c r="A131" s="24" t="str">
        <f t="shared" si="6"/>
        <v/>
      </c>
      <c r="B131" s="37" t="str">
        <f>IFERROR(INDEX(_自动清单!$AY$4:$AY$203,ROW()-3),"")</f>
        <v/>
      </c>
      <c r="C131" s="39" t="str">
        <f>IF(OR($B131="",_自动清单!$AS$4=""),"",SUMIFS(次果筐明细!$G$4:$G$603,次果筐明细!$C$4:$C$603,$B131,次果筐明细!$D$4:$D$603,_自动清单!$AS$4,次果筐明细!$F$4:$F$603,"*出库*",次果筐明细!$B$4:$B$603,"&gt;="&amp;$Z$1,次果筐明细!$B$4:$B$603,"&lt;="&amp;$Z$2))</f>
        <v/>
      </c>
      <c r="D131" s="39" t="str">
        <f>IF(OR($B131="",_自动清单!$AS$5=""),"",SUMIFS(次果筐明细!$G$4:$G$603,次果筐明细!$C$4:$C$603,$B131,次果筐明细!$D$4:$D$603,_自动清单!$AS$5,次果筐明细!$F$4:$F$603,"*出库*",次果筐明细!$B$4:$B$603,"&gt;="&amp;$Z$1,次果筐明细!$B$4:$B$603,"&lt;="&amp;$Z$2))</f>
        <v/>
      </c>
      <c r="E131" s="39" t="str">
        <f>IF(OR($B131="",_自动清单!$AS$6=""),"",SUMIFS(次果筐明细!$G$4:$G$603,次果筐明细!$C$4:$C$603,$B131,次果筐明细!$D$4:$D$603,_自动清单!$AS$6,次果筐明细!$F$4:$F$603,"*出库*",次果筐明细!$B$4:$B$603,"&gt;="&amp;$Z$1,次果筐明细!$B$4:$B$603,"&lt;="&amp;$Z$2))</f>
        <v/>
      </c>
      <c r="F131" s="39" t="str">
        <f>IF(OR($B131="",_自动清单!$AS$7=""),"",SUMIFS(次果筐明细!$G$4:$G$603,次果筐明细!$C$4:$C$603,$B131,次果筐明细!$D$4:$D$603,_自动清单!$AS$7,次果筐明细!$F$4:$F$603,"*出库*",次果筐明细!$B$4:$B$603,"&gt;="&amp;$Z$1,次果筐明细!$B$4:$B$603,"&lt;="&amp;$Z$2))</f>
        <v/>
      </c>
      <c r="G131" s="39" t="str">
        <f>IF($B131="","",SUMIFS(次果筐明细!$G$4:$G$603,次果筐明细!$C$4:$C$603,$B131,次果筐明细!$F$4:$F$603,"*出库*",次果筐明细!$B$4:$B$603,"&gt;="&amp;$Z$1,次果筐明细!$B$4:$B$603,"&lt;="&amp;$Z$2)-SUM($C131:$F131))</f>
        <v/>
      </c>
      <c r="H131" s="39" t="str">
        <f t="shared" si="7"/>
        <v/>
      </c>
      <c r="I131" s="39" t="str">
        <f>IF(OR($B131="",_自动清单!$AS$4=""),"",SUMIFS(次果筐明细!$G$4:$G$603,次果筐明细!$C$4:$C$603,$B131,次果筐明细!$D$4:$D$603,_自动清单!$AS$4,次果筐明细!$F$4:$F$603,"*入库*",次果筐明细!$B$4:$B$603,"&gt;="&amp;$Z$1,次果筐明细!$B$4:$B$603,"&lt;="&amp;$Z$2))</f>
        <v/>
      </c>
      <c r="J131" s="39" t="str">
        <f>IF(OR($B131="",_自动清单!$AS$5=""),"",SUMIFS(次果筐明细!$G$4:$G$603,次果筐明细!$C$4:$C$603,$B131,次果筐明细!$D$4:$D$603,_自动清单!$AS$5,次果筐明细!$F$4:$F$603,"*入库*",次果筐明细!$B$4:$B$603,"&gt;="&amp;$Z$1,次果筐明细!$B$4:$B$603,"&lt;="&amp;$Z$2))</f>
        <v/>
      </c>
      <c r="K131" s="39" t="str">
        <f>IF(OR($B131="",_自动清单!$AS$6=""),"",SUMIFS(次果筐明细!$G$4:$G$603,次果筐明细!$C$4:$C$603,$B131,次果筐明细!$D$4:$D$603,_自动清单!$AS$6,次果筐明细!$F$4:$F$603,"*入库*",次果筐明细!$B$4:$B$603,"&gt;="&amp;$Z$1,次果筐明细!$B$4:$B$603,"&lt;="&amp;$Z$2))</f>
        <v/>
      </c>
      <c r="L131" s="39" t="str">
        <f>IF(OR($B131="",_自动清单!$AS$7=""),"",SUMIFS(次果筐明细!$G$4:$G$603,次果筐明细!$C$4:$C$603,$B131,次果筐明细!$D$4:$D$603,_自动清单!$AS$7,次果筐明细!$F$4:$F$603,"*入库*",次果筐明细!$B$4:$B$603,"&gt;="&amp;$Z$1,次果筐明细!$B$4:$B$603,"&lt;="&amp;$Z$2))</f>
        <v/>
      </c>
      <c r="M131" s="62" t="str">
        <f>IF($B131="","",SUMIFS(次果筐明细!$G$4:$G$603,次果筐明细!$C$4:$C$603,$B131,次果筐明细!$F$4:$F$603,"*入库*",次果筐明细!$B$4:$B$603,"&gt;="&amp;$Z$1,次果筐明细!$B$4:$B$603,"&lt;="&amp;$Z$2)-SUM($I131:$L131))</f>
        <v/>
      </c>
      <c r="N131" s="62" t="str">
        <f t="shared" si="8"/>
        <v/>
      </c>
      <c r="O131" s="39" t="str">
        <f t="shared" si="9"/>
        <v/>
      </c>
      <c r="P131" s="30" t="str">
        <f>IF($B131="","",ROUND(SUMIFS(次果筐明细!$L$4:$L$603,次果筐明细!$C$4:$C$603,$B131,次果筐明细!$B$4:$B$603,"&gt;="&amp;$Z$1,次果筐明细!$B$4:$B$603,"&lt;="&amp;$Z$2),2))</f>
        <v/>
      </c>
      <c r="Q131" s="30" t="str">
        <f>IF($B131="","",ROUND(SUMIFS(次果筐明细!$L$4:$L$603,次果筐明细!$C$4:$C$603,$B131,次果筐明细!$M$4:$M$603,"已收讫",次果筐明细!$B$4:$B$603,"&gt;="&amp;$Z$1,次果筐明细!$B$4:$B$603,"&lt;="&amp;$Z$2),2))</f>
        <v/>
      </c>
      <c r="R131" s="30" t="str">
        <f t="shared" si="10"/>
        <v/>
      </c>
      <c r="S131" s="30" t="str">
        <f>IF($B131="","",ROUND(SUMIFS(次果筐明细!$J$4:$J$603,次果筐明细!$C$4:$C$603,$B131,次果筐明细!$B$4:$B$603,"&gt;="&amp;$Z$1,次果筐明细!$B$4:$B$603,"&lt;="&amp;$Z$2),2))</f>
        <v/>
      </c>
      <c r="T131" s="63" t="str">
        <f>IF($B131="","",ROUND(SUMIFS(次果筐明细!$K$4:$K$603,次果筐明细!$C$4:$C$603,$B131,次果筐明细!$B$4:$B$603,"&gt;="&amp;$Z$1,次果筐明细!$B$4:$B$603,"&lt;="&amp;$Z$2),2))</f>
        <v/>
      </c>
      <c r="U131" s="30" t="str">
        <f t="shared" si="11"/>
        <v/>
      </c>
      <c r="V131" s="42"/>
    </row>
    <row r="132" spans="1:22">
      <c r="A132" s="24" t="str">
        <f t="shared" ref="A132:A195" si="12">IF($B132="","",ROW()-3)</f>
        <v/>
      </c>
      <c r="B132" s="37" t="str">
        <f>IFERROR(INDEX(_自动清单!$AY$4:$AY$203,ROW()-3),"")</f>
        <v/>
      </c>
      <c r="C132" s="39" t="str">
        <f>IF(OR($B132="",_自动清单!$AS$4=""),"",SUMIFS(次果筐明细!$G$4:$G$603,次果筐明细!$C$4:$C$603,$B132,次果筐明细!$D$4:$D$603,_自动清单!$AS$4,次果筐明细!$F$4:$F$603,"*出库*",次果筐明细!$B$4:$B$603,"&gt;="&amp;$Z$1,次果筐明细!$B$4:$B$603,"&lt;="&amp;$Z$2))</f>
        <v/>
      </c>
      <c r="D132" s="39" t="str">
        <f>IF(OR($B132="",_自动清单!$AS$5=""),"",SUMIFS(次果筐明细!$G$4:$G$603,次果筐明细!$C$4:$C$603,$B132,次果筐明细!$D$4:$D$603,_自动清单!$AS$5,次果筐明细!$F$4:$F$603,"*出库*",次果筐明细!$B$4:$B$603,"&gt;="&amp;$Z$1,次果筐明细!$B$4:$B$603,"&lt;="&amp;$Z$2))</f>
        <v/>
      </c>
      <c r="E132" s="39" t="str">
        <f>IF(OR($B132="",_自动清单!$AS$6=""),"",SUMIFS(次果筐明细!$G$4:$G$603,次果筐明细!$C$4:$C$603,$B132,次果筐明细!$D$4:$D$603,_自动清单!$AS$6,次果筐明细!$F$4:$F$603,"*出库*",次果筐明细!$B$4:$B$603,"&gt;="&amp;$Z$1,次果筐明细!$B$4:$B$603,"&lt;="&amp;$Z$2))</f>
        <v/>
      </c>
      <c r="F132" s="39" t="str">
        <f>IF(OR($B132="",_自动清单!$AS$7=""),"",SUMIFS(次果筐明细!$G$4:$G$603,次果筐明细!$C$4:$C$603,$B132,次果筐明细!$D$4:$D$603,_自动清单!$AS$7,次果筐明细!$F$4:$F$603,"*出库*",次果筐明细!$B$4:$B$603,"&gt;="&amp;$Z$1,次果筐明细!$B$4:$B$603,"&lt;="&amp;$Z$2))</f>
        <v/>
      </c>
      <c r="G132" s="39" t="str">
        <f>IF($B132="","",SUMIFS(次果筐明细!$G$4:$G$603,次果筐明细!$C$4:$C$603,$B132,次果筐明细!$F$4:$F$603,"*出库*",次果筐明细!$B$4:$B$603,"&gt;="&amp;$Z$1,次果筐明细!$B$4:$B$603,"&lt;="&amp;$Z$2)-SUM($C132:$F132))</f>
        <v/>
      </c>
      <c r="H132" s="39" t="str">
        <f t="shared" ref="H132:H195" si="13">IF($B132="","",SUM($C132:$G132))</f>
        <v/>
      </c>
      <c r="I132" s="39" t="str">
        <f>IF(OR($B132="",_自动清单!$AS$4=""),"",SUMIFS(次果筐明细!$G$4:$G$603,次果筐明细!$C$4:$C$603,$B132,次果筐明细!$D$4:$D$603,_自动清单!$AS$4,次果筐明细!$F$4:$F$603,"*入库*",次果筐明细!$B$4:$B$603,"&gt;="&amp;$Z$1,次果筐明细!$B$4:$B$603,"&lt;="&amp;$Z$2))</f>
        <v/>
      </c>
      <c r="J132" s="39" t="str">
        <f>IF(OR($B132="",_自动清单!$AS$5=""),"",SUMIFS(次果筐明细!$G$4:$G$603,次果筐明细!$C$4:$C$603,$B132,次果筐明细!$D$4:$D$603,_自动清单!$AS$5,次果筐明细!$F$4:$F$603,"*入库*",次果筐明细!$B$4:$B$603,"&gt;="&amp;$Z$1,次果筐明细!$B$4:$B$603,"&lt;="&amp;$Z$2))</f>
        <v/>
      </c>
      <c r="K132" s="39" t="str">
        <f>IF(OR($B132="",_自动清单!$AS$6=""),"",SUMIFS(次果筐明细!$G$4:$G$603,次果筐明细!$C$4:$C$603,$B132,次果筐明细!$D$4:$D$603,_自动清单!$AS$6,次果筐明细!$F$4:$F$603,"*入库*",次果筐明细!$B$4:$B$603,"&gt;="&amp;$Z$1,次果筐明细!$B$4:$B$603,"&lt;="&amp;$Z$2))</f>
        <v/>
      </c>
      <c r="L132" s="39" t="str">
        <f>IF(OR($B132="",_自动清单!$AS$7=""),"",SUMIFS(次果筐明细!$G$4:$G$603,次果筐明细!$C$4:$C$603,$B132,次果筐明细!$D$4:$D$603,_自动清单!$AS$7,次果筐明细!$F$4:$F$603,"*入库*",次果筐明细!$B$4:$B$603,"&gt;="&amp;$Z$1,次果筐明细!$B$4:$B$603,"&lt;="&amp;$Z$2))</f>
        <v/>
      </c>
      <c r="M132" s="62" t="str">
        <f>IF($B132="","",SUMIFS(次果筐明细!$G$4:$G$603,次果筐明细!$C$4:$C$603,$B132,次果筐明细!$F$4:$F$603,"*入库*",次果筐明细!$B$4:$B$603,"&gt;="&amp;$Z$1,次果筐明细!$B$4:$B$603,"&lt;="&amp;$Z$2)-SUM($I132:$L132))</f>
        <v/>
      </c>
      <c r="N132" s="62" t="str">
        <f t="shared" ref="N132:N195" si="14">IF($B132="","",SUM($I132:$M132))</f>
        <v/>
      </c>
      <c r="O132" s="39" t="str">
        <f t="shared" ref="O132:O195" si="15">IF($B132="","",N($H132)-N($N132))</f>
        <v/>
      </c>
      <c r="P132" s="30" t="str">
        <f>IF($B132="","",ROUND(SUMIFS(次果筐明细!$L$4:$L$603,次果筐明细!$C$4:$C$603,$B132,次果筐明细!$B$4:$B$603,"&gt;="&amp;$Z$1,次果筐明细!$B$4:$B$603,"&lt;="&amp;$Z$2),2))</f>
        <v/>
      </c>
      <c r="Q132" s="30" t="str">
        <f>IF($B132="","",ROUND(SUMIFS(次果筐明细!$L$4:$L$603,次果筐明细!$C$4:$C$603,$B132,次果筐明细!$M$4:$M$603,"已收讫",次果筐明细!$B$4:$B$603,"&gt;="&amp;$Z$1,次果筐明细!$B$4:$B$603,"&lt;="&amp;$Z$2),2))</f>
        <v/>
      </c>
      <c r="R132" s="30" t="str">
        <f t="shared" ref="R132:R195" si="16">IF($B132="","",ROUND(N($P132)-N($Q132),2))</f>
        <v/>
      </c>
      <c r="S132" s="30" t="str">
        <f>IF($B132="","",ROUND(SUMIFS(次果筐明细!$J$4:$J$603,次果筐明细!$C$4:$C$603,$B132,次果筐明细!$B$4:$B$603,"&gt;="&amp;$Z$1,次果筐明细!$B$4:$B$603,"&lt;="&amp;$Z$2),2))</f>
        <v/>
      </c>
      <c r="T132" s="63" t="str">
        <f>IF($B132="","",ROUND(SUMIFS(次果筐明细!$K$4:$K$603,次果筐明细!$C$4:$C$603,$B132,次果筐明细!$B$4:$B$603,"&gt;="&amp;$Z$1,次果筐明细!$B$4:$B$603,"&lt;="&amp;$Z$2),2))</f>
        <v/>
      </c>
      <c r="U132" s="30" t="str">
        <f t="shared" ref="U132:U195" si="17">IF($B132="","",ROUND(N($S132)-N($T132),2))</f>
        <v/>
      </c>
      <c r="V132" s="42"/>
    </row>
    <row r="133" spans="1:22">
      <c r="A133" s="24" t="str">
        <f t="shared" si="12"/>
        <v/>
      </c>
      <c r="B133" s="37" t="str">
        <f>IFERROR(INDEX(_自动清单!$AY$4:$AY$203,ROW()-3),"")</f>
        <v/>
      </c>
      <c r="C133" s="39" t="str">
        <f>IF(OR($B133="",_自动清单!$AS$4=""),"",SUMIFS(次果筐明细!$G$4:$G$603,次果筐明细!$C$4:$C$603,$B133,次果筐明细!$D$4:$D$603,_自动清单!$AS$4,次果筐明细!$F$4:$F$603,"*出库*",次果筐明细!$B$4:$B$603,"&gt;="&amp;$Z$1,次果筐明细!$B$4:$B$603,"&lt;="&amp;$Z$2))</f>
        <v/>
      </c>
      <c r="D133" s="39" t="str">
        <f>IF(OR($B133="",_自动清单!$AS$5=""),"",SUMIFS(次果筐明细!$G$4:$G$603,次果筐明细!$C$4:$C$603,$B133,次果筐明细!$D$4:$D$603,_自动清单!$AS$5,次果筐明细!$F$4:$F$603,"*出库*",次果筐明细!$B$4:$B$603,"&gt;="&amp;$Z$1,次果筐明细!$B$4:$B$603,"&lt;="&amp;$Z$2))</f>
        <v/>
      </c>
      <c r="E133" s="39" t="str">
        <f>IF(OR($B133="",_自动清单!$AS$6=""),"",SUMIFS(次果筐明细!$G$4:$G$603,次果筐明细!$C$4:$C$603,$B133,次果筐明细!$D$4:$D$603,_自动清单!$AS$6,次果筐明细!$F$4:$F$603,"*出库*",次果筐明细!$B$4:$B$603,"&gt;="&amp;$Z$1,次果筐明细!$B$4:$B$603,"&lt;="&amp;$Z$2))</f>
        <v/>
      </c>
      <c r="F133" s="39" t="str">
        <f>IF(OR($B133="",_自动清单!$AS$7=""),"",SUMIFS(次果筐明细!$G$4:$G$603,次果筐明细!$C$4:$C$603,$B133,次果筐明细!$D$4:$D$603,_自动清单!$AS$7,次果筐明细!$F$4:$F$603,"*出库*",次果筐明细!$B$4:$B$603,"&gt;="&amp;$Z$1,次果筐明细!$B$4:$B$603,"&lt;="&amp;$Z$2))</f>
        <v/>
      </c>
      <c r="G133" s="39" t="str">
        <f>IF($B133="","",SUMIFS(次果筐明细!$G$4:$G$603,次果筐明细!$C$4:$C$603,$B133,次果筐明细!$F$4:$F$603,"*出库*",次果筐明细!$B$4:$B$603,"&gt;="&amp;$Z$1,次果筐明细!$B$4:$B$603,"&lt;="&amp;$Z$2)-SUM($C133:$F133))</f>
        <v/>
      </c>
      <c r="H133" s="39" t="str">
        <f t="shared" si="13"/>
        <v/>
      </c>
      <c r="I133" s="39" t="str">
        <f>IF(OR($B133="",_自动清单!$AS$4=""),"",SUMIFS(次果筐明细!$G$4:$G$603,次果筐明细!$C$4:$C$603,$B133,次果筐明细!$D$4:$D$603,_自动清单!$AS$4,次果筐明细!$F$4:$F$603,"*入库*",次果筐明细!$B$4:$B$603,"&gt;="&amp;$Z$1,次果筐明细!$B$4:$B$603,"&lt;="&amp;$Z$2))</f>
        <v/>
      </c>
      <c r="J133" s="39" t="str">
        <f>IF(OR($B133="",_自动清单!$AS$5=""),"",SUMIFS(次果筐明细!$G$4:$G$603,次果筐明细!$C$4:$C$603,$B133,次果筐明细!$D$4:$D$603,_自动清单!$AS$5,次果筐明细!$F$4:$F$603,"*入库*",次果筐明细!$B$4:$B$603,"&gt;="&amp;$Z$1,次果筐明细!$B$4:$B$603,"&lt;="&amp;$Z$2))</f>
        <v/>
      </c>
      <c r="K133" s="39" t="str">
        <f>IF(OR($B133="",_自动清单!$AS$6=""),"",SUMIFS(次果筐明细!$G$4:$G$603,次果筐明细!$C$4:$C$603,$B133,次果筐明细!$D$4:$D$603,_自动清单!$AS$6,次果筐明细!$F$4:$F$603,"*入库*",次果筐明细!$B$4:$B$603,"&gt;="&amp;$Z$1,次果筐明细!$B$4:$B$603,"&lt;="&amp;$Z$2))</f>
        <v/>
      </c>
      <c r="L133" s="39" t="str">
        <f>IF(OR($B133="",_自动清单!$AS$7=""),"",SUMIFS(次果筐明细!$G$4:$G$603,次果筐明细!$C$4:$C$603,$B133,次果筐明细!$D$4:$D$603,_自动清单!$AS$7,次果筐明细!$F$4:$F$603,"*入库*",次果筐明细!$B$4:$B$603,"&gt;="&amp;$Z$1,次果筐明细!$B$4:$B$603,"&lt;="&amp;$Z$2))</f>
        <v/>
      </c>
      <c r="M133" s="62" t="str">
        <f>IF($B133="","",SUMIFS(次果筐明细!$G$4:$G$603,次果筐明细!$C$4:$C$603,$B133,次果筐明细!$F$4:$F$603,"*入库*",次果筐明细!$B$4:$B$603,"&gt;="&amp;$Z$1,次果筐明细!$B$4:$B$603,"&lt;="&amp;$Z$2)-SUM($I133:$L133))</f>
        <v/>
      </c>
      <c r="N133" s="62" t="str">
        <f t="shared" si="14"/>
        <v/>
      </c>
      <c r="O133" s="39" t="str">
        <f t="shared" si="15"/>
        <v/>
      </c>
      <c r="P133" s="30" t="str">
        <f>IF($B133="","",ROUND(SUMIFS(次果筐明细!$L$4:$L$603,次果筐明细!$C$4:$C$603,$B133,次果筐明细!$B$4:$B$603,"&gt;="&amp;$Z$1,次果筐明细!$B$4:$B$603,"&lt;="&amp;$Z$2),2))</f>
        <v/>
      </c>
      <c r="Q133" s="30" t="str">
        <f>IF($B133="","",ROUND(SUMIFS(次果筐明细!$L$4:$L$603,次果筐明细!$C$4:$C$603,$B133,次果筐明细!$M$4:$M$603,"已收讫",次果筐明细!$B$4:$B$603,"&gt;="&amp;$Z$1,次果筐明细!$B$4:$B$603,"&lt;="&amp;$Z$2),2))</f>
        <v/>
      </c>
      <c r="R133" s="30" t="str">
        <f t="shared" si="16"/>
        <v/>
      </c>
      <c r="S133" s="30" t="str">
        <f>IF($B133="","",ROUND(SUMIFS(次果筐明细!$J$4:$J$603,次果筐明细!$C$4:$C$603,$B133,次果筐明细!$B$4:$B$603,"&gt;="&amp;$Z$1,次果筐明细!$B$4:$B$603,"&lt;="&amp;$Z$2),2))</f>
        <v/>
      </c>
      <c r="T133" s="63" t="str">
        <f>IF($B133="","",ROUND(SUMIFS(次果筐明细!$K$4:$K$603,次果筐明细!$C$4:$C$603,$B133,次果筐明细!$B$4:$B$603,"&gt;="&amp;$Z$1,次果筐明细!$B$4:$B$603,"&lt;="&amp;$Z$2),2))</f>
        <v/>
      </c>
      <c r="U133" s="30" t="str">
        <f t="shared" si="17"/>
        <v/>
      </c>
      <c r="V133" s="42"/>
    </row>
    <row r="134" spans="1:22">
      <c r="A134" s="24" t="str">
        <f t="shared" si="12"/>
        <v/>
      </c>
      <c r="B134" s="37" t="str">
        <f>IFERROR(INDEX(_自动清单!$AY$4:$AY$203,ROW()-3),"")</f>
        <v/>
      </c>
      <c r="C134" s="39" t="str">
        <f>IF(OR($B134="",_自动清单!$AS$4=""),"",SUMIFS(次果筐明细!$G$4:$G$603,次果筐明细!$C$4:$C$603,$B134,次果筐明细!$D$4:$D$603,_自动清单!$AS$4,次果筐明细!$F$4:$F$603,"*出库*",次果筐明细!$B$4:$B$603,"&gt;="&amp;$Z$1,次果筐明细!$B$4:$B$603,"&lt;="&amp;$Z$2))</f>
        <v/>
      </c>
      <c r="D134" s="39" t="str">
        <f>IF(OR($B134="",_自动清单!$AS$5=""),"",SUMIFS(次果筐明细!$G$4:$G$603,次果筐明细!$C$4:$C$603,$B134,次果筐明细!$D$4:$D$603,_自动清单!$AS$5,次果筐明细!$F$4:$F$603,"*出库*",次果筐明细!$B$4:$B$603,"&gt;="&amp;$Z$1,次果筐明细!$B$4:$B$603,"&lt;="&amp;$Z$2))</f>
        <v/>
      </c>
      <c r="E134" s="39" t="str">
        <f>IF(OR($B134="",_自动清单!$AS$6=""),"",SUMIFS(次果筐明细!$G$4:$G$603,次果筐明细!$C$4:$C$603,$B134,次果筐明细!$D$4:$D$603,_自动清单!$AS$6,次果筐明细!$F$4:$F$603,"*出库*",次果筐明细!$B$4:$B$603,"&gt;="&amp;$Z$1,次果筐明细!$B$4:$B$603,"&lt;="&amp;$Z$2))</f>
        <v/>
      </c>
      <c r="F134" s="39" t="str">
        <f>IF(OR($B134="",_自动清单!$AS$7=""),"",SUMIFS(次果筐明细!$G$4:$G$603,次果筐明细!$C$4:$C$603,$B134,次果筐明细!$D$4:$D$603,_自动清单!$AS$7,次果筐明细!$F$4:$F$603,"*出库*",次果筐明细!$B$4:$B$603,"&gt;="&amp;$Z$1,次果筐明细!$B$4:$B$603,"&lt;="&amp;$Z$2))</f>
        <v/>
      </c>
      <c r="G134" s="39" t="str">
        <f>IF($B134="","",SUMIFS(次果筐明细!$G$4:$G$603,次果筐明细!$C$4:$C$603,$B134,次果筐明细!$F$4:$F$603,"*出库*",次果筐明细!$B$4:$B$603,"&gt;="&amp;$Z$1,次果筐明细!$B$4:$B$603,"&lt;="&amp;$Z$2)-SUM($C134:$F134))</f>
        <v/>
      </c>
      <c r="H134" s="39" t="str">
        <f t="shared" si="13"/>
        <v/>
      </c>
      <c r="I134" s="39" t="str">
        <f>IF(OR($B134="",_自动清单!$AS$4=""),"",SUMIFS(次果筐明细!$G$4:$G$603,次果筐明细!$C$4:$C$603,$B134,次果筐明细!$D$4:$D$603,_自动清单!$AS$4,次果筐明细!$F$4:$F$603,"*入库*",次果筐明细!$B$4:$B$603,"&gt;="&amp;$Z$1,次果筐明细!$B$4:$B$603,"&lt;="&amp;$Z$2))</f>
        <v/>
      </c>
      <c r="J134" s="39" t="str">
        <f>IF(OR($B134="",_自动清单!$AS$5=""),"",SUMIFS(次果筐明细!$G$4:$G$603,次果筐明细!$C$4:$C$603,$B134,次果筐明细!$D$4:$D$603,_自动清单!$AS$5,次果筐明细!$F$4:$F$603,"*入库*",次果筐明细!$B$4:$B$603,"&gt;="&amp;$Z$1,次果筐明细!$B$4:$B$603,"&lt;="&amp;$Z$2))</f>
        <v/>
      </c>
      <c r="K134" s="39" t="str">
        <f>IF(OR($B134="",_自动清单!$AS$6=""),"",SUMIFS(次果筐明细!$G$4:$G$603,次果筐明细!$C$4:$C$603,$B134,次果筐明细!$D$4:$D$603,_自动清单!$AS$6,次果筐明细!$F$4:$F$603,"*入库*",次果筐明细!$B$4:$B$603,"&gt;="&amp;$Z$1,次果筐明细!$B$4:$B$603,"&lt;="&amp;$Z$2))</f>
        <v/>
      </c>
      <c r="L134" s="39" t="str">
        <f>IF(OR($B134="",_自动清单!$AS$7=""),"",SUMIFS(次果筐明细!$G$4:$G$603,次果筐明细!$C$4:$C$603,$B134,次果筐明细!$D$4:$D$603,_自动清单!$AS$7,次果筐明细!$F$4:$F$603,"*入库*",次果筐明细!$B$4:$B$603,"&gt;="&amp;$Z$1,次果筐明细!$B$4:$B$603,"&lt;="&amp;$Z$2))</f>
        <v/>
      </c>
      <c r="M134" s="62" t="str">
        <f>IF($B134="","",SUMIFS(次果筐明细!$G$4:$G$603,次果筐明细!$C$4:$C$603,$B134,次果筐明细!$F$4:$F$603,"*入库*",次果筐明细!$B$4:$B$603,"&gt;="&amp;$Z$1,次果筐明细!$B$4:$B$603,"&lt;="&amp;$Z$2)-SUM($I134:$L134))</f>
        <v/>
      </c>
      <c r="N134" s="62" t="str">
        <f t="shared" si="14"/>
        <v/>
      </c>
      <c r="O134" s="39" t="str">
        <f t="shared" si="15"/>
        <v/>
      </c>
      <c r="P134" s="30" t="str">
        <f>IF($B134="","",ROUND(SUMIFS(次果筐明细!$L$4:$L$603,次果筐明细!$C$4:$C$603,$B134,次果筐明细!$B$4:$B$603,"&gt;="&amp;$Z$1,次果筐明细!$B$4:$B$603,"&lt;="&amp;$Z$2),2))</f>
        <v/>
      </c>
      <c r="Q134" s="30" t="str">
        <f>IF($B134="","",ROUND(SUMIFS(次果筐明细!$L$4:$L$603,次果筐明细!$C$4:$C$603,$B134,次果筐明细!$M$4:$M$603,"已收讫",次果筐明细!$B$4:$B$603,"&gt;="&amp;$Z$1,次果筐明细!$B$4:$B$603,"&lt;="&amp;$Z$2),2))</f>
        <v/>
      </c>
      <c r="R134" s="30" t="str">
        <f t="shared" si="16"/>
        <v/>
      </c>
      <c r="S134" s="30" t="str">
        <f>IF($B134="","",ROUND(SUMIFS(次果筐明细!$J$4:$J$603,次果筐明细!$C$4:$C$603,$B134,次果筐明细!$B$4:$B$603,"&gt;="&amp;$Z$1,次果筐明细!$B$4:$B$603,"&lt;="&amp;$Z$2),2))</f>
        <v/>
      </c>
      <c r="T134" s="63" t="str">
        <f>IF($B134="","",ROUND(SUMIFS(次果筐明细!$K$4:$K$603,次果筐明细!$C$4:$C$603,$B134,次果筐明细!$B$4:$B$603,"&gt;="&amp;$Z$1,次果筐明细!$B$4:$B$603,"&lt;="&amp;$Z$2),2))</f>
        <v/>
      </c>
      <c r="U134" s="30" t="str">
        <f t="shared" si="17"/>
        <v/>
      </c>
      <c r="V134" s="42"/>
    </row>
    <row r="135" spans="1:22">
      <c r="A135" s="24" t="str">
        <f t="shared" si="12"/>
        <v/>
      </c>
      <c r="B135" s="37" t="str">
        <f>IFERROR(INDEX(_自动清单!$AY$4:$AY$203,ROW()-3),"")</f>
        <v/>
      </c>
      <c r="C135" s="39" t="str">
        <f>IF(OR($B135="",_自动清单!$AS$4=""),"",SUMIFS(次果筐明细!$G$4:$G$603,次果筐明细!$C$4:$C$603,$B135,次果筐明细!$D$4:$D$603,_自动清单!$AS$4,次果筐明细!$F$4:$F$603,"*出库*",次果筐明细!$B$4:$B$603,"&gt;="&amp;$Z$1,次果筐明细!$B$4:$B$603,"&lt;="&amp;$Z$2))</f>
        <v/>
      </c>
      <c r="D135" s="39" t="str">
        <f>IF(OR($B135="",_自动清单!$AS$5=""),"",SUMIFS(次果筐明细!$G$4:$G$603,次果筐明细!$C$4:$C$603,$B135,次果筐明细!$D$4:$D$603,_自动清单!$AS$5,次果筐明细!$F$4:$F$603,"*出库*",次果筐明细!$B$4:$B$603,"&gt;="&amp;$Z$1,次果筐明细!$B$4:$B$603,"&lt;="&amp;$Z$2))</f>
        <v/>
      </c>
      <c r="E135" s="39" t="str">
        <f>IF(OR($B135="",_自动清单!$AS$6=""),"",SUMIFS(次果筐明细!$G$4:$G$603,次果筐明细!$C$4:$C$603,$B135,次果筐明细!$D$4:$D$603,_自动清单!$AS$6,次果筐明细!$F$4:$F$603,"*出库*",次果筐明细!$B$4:$B$603,"&gt;="&amp;$Z$1,次果筐明细!$B$4:$B$603,"&lt;="&amp;$Z$2))</f>
        <v/>
      </c>
      <c r="F135" s="39" t="str">
        <f>IF(OR($B135="",_自动清单!$AS$7=""),"",SUMIFS(次果筐明细!$G$4:$G$603,次果筐明细!$C$4:$C$603,$B135,次果筐明细!$D$4:$D$603,_自动清单!$AS$7,次果筐明细!$F$4:$F$603,"*出库*",次果筐明细!$B$4:$B$603,"&gt;="&amp;$Z$1,次果筐明细!$B$4:$B$603,"&lt;="&amp;$Z$2))</f>
        <v/>
      </c>
      <c r="G135" s="39" t="str">
        <f>IF($B135="","",SUMIFS(次果筐明细!$G$4:$G$603,次果筐明细!$C$4:$C$603,$B135,次果筐明细!$F$4:$F$603,"*出库*",次果筐明细!$B$4:$B$603,"&gt;="&amp;$Z$1,次果筐明细!$B$4:$B$603,"&lt;="&amp;$Z$2)-SUM($C135:$F135))</f>
        <v/>
      </c>
      <c r="H135" s="39" t="str">
        <f t="shared" si="13"/>
        <v/>
      </c>
      <c r="I135" s="39" t="str">
        <f>IF(OR($B135="",_自动清单!$AS$4=""),"",SUMIFS(次果筐明细!$G$4:$G$603,次果筐明细!$C$4:$C$603,$B135,次果筐明细!$D$4:$D$603,_自动清单!$AS$4,次果筐明细!$F$4:$F$603,"*入库*",次果筐明细!$B$4:$B$603,"&gt;="&amp;$Z$1,次果筐明细!$B$4:$B$603,"&lt;="&amp;$Z$2))</f>
        <v/>
      </c>
      <c r="J135" s="39" t="str">
        <f>IF(OR($B135="",_自动清单!$AS$5=""),"",SUMIFS(次果筐明细!$G$4:$G$603,次果筐明细!$C$4:$C$603,$B135,次果筐明细!$D$4:$D$603,_自动清单!$AS$5,次果筐明细!$F$4:$F$603,"*入库*",次果筐明细!$B$4:$B$603,"&gt;="&amp;$Z$1,次果筐明细!$B$4:$B$603,"&lt;="&amp;$Z$2))</f>
        <v/>
      </c>
      <c r="K135" s="39" t="str">
        <f>IF(OR($B135="",_自动清单!$AS$6=""),"",SUMIFS(次果筐明细!$G$4:$G$603,次果筐明细!$C$4:$C$603,$B135,次果筐明细!$D$4:$D$603,_自动清单!$AS$6,次果筐明细!$F$4:$F$603,"*入库*",次果筐明细!$B$4:$B$603,"&gt;="&amp;$Z$1,次果筐明细!$B$4:$B$603,"&lt;="&amp;$Z$2))</f>
        <v/>
      </c>
      <c r="L135" s="39" t="str">
        <f>IF(OR($B135="",_自动清单!$AS$7=""),"",SUMIFS(次果筐明细!$G$4:$G$603,次果筐明细!$C$4:$C$603,$B135,次果筐明细!$D$4:$D$603,_自动清单!$AS$7,次果筐明细!$F$4:$F$603,"*入库*",次果筐明细!$B$4:$B$603,"&gt;="&amp;$Z$1,次果筐明细!$B$4:$B$603,"&lt;="&amp;$Z$2))</f>
        <v/>
      </c>
      <c r="M135" s="62" t="str">
        <f>IF($B135="","",SUMIFS(次果筐明细!$G$4:$G$603,次果筐明细!$C$4:$C$603,$B135,次果筐明细!$F$4:$F$603,"*入库*",次果筐明细!$B$4:$B$603,"&gt;="&amp;$Z$1,次果筐明细!$B$4:$B$603,"&lt;="&amp;$Z$2)-SUM($I135:$L135))</f>
        <v/>
      </c>
      <c r="N135" s="62" t="str">
        <f t="shared" si="14"/>
        <v/>
      </c>
      <c r="O135" s="39" t="str">
        <f t="shared" si="15"/>
        <v/>
      </c>
      <c r="P135" s="30" t="str">
        <f>IF($B135="","",ROUND(SUMIFS(次果筐明细!$L$4:$L$603,次果筐明细!$C$4:$C$603,$B135,次果筐明细!$B$4:$B$603,"&gt;="&amp;$Z$1,次果筐明细!$B$4:$B$603,"&lt;="&amp;$Z$2),2))</f>
        <v/>
      </c>
      <c r="Q135" s="30" t="str">
        <f>IF($B135="","",ROUND(SUMIFS(次果筐明细!$L$4:$L$603,次果筐明细!$C$4:$C$603,$B135,次果筐明细!$M$4:$M$603,"已收讫",次果筐明细!$B$4:$B$603,"&gt;="&amp;$Z$1,次果筐明细!$B$4:$B$603,"&lt;="&amp;$Z$2),2))</f>
        <v/>
      </c>
      <c r="R135" s="30" t="str">
        <f t="shared" si="16"/>
        <v/>
      </c>
      <c r="S135" s="30" t="str">
        <f>IF($B135="","",ROUND(SUMIFS(次果筐明细!$J$4:$J$603,次果筐明细!$C$4:$C$603,$B135,次果筐明细!$B$4:$B$603,"&gt;="&amp;$Z$1,次果筐明细!$B$4:$B$603,"&lt;="&amp;$Z$2),2))</f>
        <v/>
      </c>
      <c r="T135" s="63" t="str">
        <f>IF($B135="","",ROUND(SUMIFS(次果筐明细!$K$4:$K$603,次果筐明细!$C$4:$C$603,$B135,次果筐明细!$B$4:$B$603,"&gt;="&amp;$Z$1,次果筐明细!$B$4:$B$603,"&lt;="&amp;$Z$2),2))</f>
        <v/>
      </c>
      <c r="U135" s="30" t="str">
        <f t="shared" si="17"/>
        <v/>
      </c>
      <c r="V135" s="42"/>
    </row>
    <row r="136" spans="1:22">
      <c r="A136" s="24" t="str">
        <f t="shared" si="12"/>
        <v/>
      </c>
      <c r="B136" s="37" t="str">
        <f>IFERROR(INDEX(_自动清单!$AY$4:$AY$203,ROW()-3),"")</f>
        <v/>
      </c>
      <c r="C136" s="39" t="str">
        <f>IF(OR($B136="",_自动清单!$AS$4=""),"",SUMIFS(次果筐明细!$G$4:$G$603,次果筐明细!$C$4:$C$603,$B136,次果筐明细!$D$4:$D$603,_自动清单!$AS$4,次果筐明细!$F$4:$F$603,"*出库*",次果筐明细!$B$4:$B$603,"&gt;="&amp;$Z$1,次果筐明细!$B$4:$B$603,"&lt;="&amp;$Z$2))</f>
        <v/>
      </c>
      <c r="D136" s="39" t="str">
        <f>IF(OR($B136="",_自动清单!$AS$5=""),"",SUMIFS(次果筐明细!$G$4:$G$603,次果筐明细!$C$4:$C$603,$B136,次果筐明细!$D$4:$D$603,_自动清单!$AS$5,次果筐明细!$F$4:$F$603,"*出库*",次果筐明细!$B$4:$B$603,"&gt;="&amp;$Z$1,次果筐明细!$B$4:$B$603,"&lt;="&amp;$Z$2))</f>
        <v/>
      </c>
      <c r="E136" s="39" t="str">
        <f>IF(OR($B136="",_自动清单!$AS$6=""),"",SUMIFS(次果筐明细!$G$4:$G$603,次果筐明细!$C$4:$C$603,$B136,次果筐明细!$D$4:$D$603,_自动清单!$AS$6,次果筐明细!$F$4:$F$603,"*出库*",次果筐明细!$B$4:$B$603,"&gt;="&amp;$Z$1,次果筐明细!$B$4:$B$603,"&lt;="&amp;$Z$2))</f>
        <v/>
      </c>
      <c r="F136" s="39" t="str">
        <f>IF(OR($B136="",_自动清单!$AS$7=""),"",SUMIFS(次果筐明细!$G$4:$G$603,次果筐明细!$C$4:$C$603,$B136,次果筐明细!$D$4:$D$603,_自动清单!$AS$7,次果筐明细!$F$4:$F$603,"*出库*",次果筐明细!$B$4:$B$603,"&gt;="&amp;$Z$1,次果筐明细!$B$4:$B$603,"&lt;="&amp;$Z$2))</f>
        <v/>
      </c>
      <c r="G136" s="39" t="str">
        <f>IF($B136="","",SUMIFS(次果筐明细!$G$4:$G$603,次果筐明细!$C$4:$C$603,$B136,次果筐明细!$F$4:$F$603,"*出库*",次果筐明细!$B$4:$B$603,"&gt;="&amp;$Z$1,次果筐明细!$B$4:$B$603,"&lt;="&amp;$Z$2)-SUM($C136:$F136))</f>
        <v/>
      </c>
      <c r="H136" s="39" t="str">
        <f t="shared" si="13"/>
        <v/>
      </c>
      <c r="I136" s="39" t="str">
        <f>IF(OR($B136="",_自动清单!$AS$4=""),"",SUMIFS(次果筐明细!$G$4:$G$603,次果筐明细!$C$4:$C$603,$B136,次果筐明细!$D$4:$D$603,_自动清单!$AS$4,次果筐明细!$F$4:$F$603,"*入库*",次果筐明细!$B$4:$B$603,"&gt;="&amp;$Z$1,次果筐明细!$B$4:$B$603,"&lt;="&amp;$Z$2))</f>
        <v/>
      </c>
      <c r="J136" s="39" t="str">
        <f>IF(OR($B136="",_自动清单!$AS$5=""),"",SUMIFS(次果筐明细!$G$4:$G$603,次果筐明细!$C$4:$C$603,$B136,次果筐明细!$D$4:$D$603,_自动清单!$AS$5,次果筐明细!$F$4:$F$603,"*入库*",次果筐明细!$B$4:$B$603,"&gt;="&amp;$Z$1,次果筐明细!$B$4:$B$603,"&lt;="&amp;$Z$2))</f>
        <v/>
      </c>
      <c r="K136" s="39" t="str">
        <f>IF(OR($B136="",_自动清单!$AS$6=""),"",SUMIFS(次果筐明细!$G$4:$G$603,次果筐明细!$C$4:$C$603,$B136,次果筐明细!$D$4:$D$603,_自动清单!$AS$6,次果筐明细!$F$4:$F$603,"*入库*",次果筐明细!$B$4:$B$603,"&gt;="&amp;$Z$1,次果筐明细!$B$4:$B$603,"&lt;="&amp;$Z$2))</f>
        <v/>
      </c>
      <c r="L136" s="39" t="str">
        <f>IF(OR($B136="",_自动清单!$AS$7=""),"",SUMIFS(次果筐明细!$G$4:$G$603,次果筐明细!$C$4:$C$603,$B136,次果筐明细!$D$4:$D$603,_自动清单!$AS$7,次果筐明细!$F$4:$F$603,"*入库*",次果筐明细!$B$4:$B$603,"&gt;="&amp;$Z$1,次果筐明细!$B$4:$B$603,"&lt;="&amp;$Z$2))</f>
        <v/>
      </c>
      <c r="M136" s="62" t="str">
        <f>IF($B136="","",SUMIFS(次果筐明细!$G$4:$G$603,次果筐明细!$C$4:$C$603,$B136,次果筐明细!$F$4:$F$603,"*入库*",次果筐明细!$B$4:$B$603,"&gt;="&amp;$Z$1,次果筐明细!$B$4:$B$603,"&lt;="&amp;$Z$2)-SUM($I136:$L136))</f>
        <v/>
      </c>
      <c r="N136" s="62" t="str">
        <f t="shared" si="14"/>
        <v/>
      </c>
      <c r="O136" s="39" t="str">
        <f t="shared" si="15"/>
        <v/>
      </c>
      <c r="P136" s="30" t="str">
        <f>IF($B136="","",ROUND(SUMIFS(次果筐明细!$L$4:$L$603,次果筐明细!$C$4:$C$603,$B136,次果筐明细!$B$4:$B$603,"&gt;="&amp;$Z$1,次果筐明细!$B$4:$B$603,"&lt;="&amp;$Z$2),2))</f>
        <v/>
      </c>
      <c r="Q136" s="30" t="str">
        <f>IF($B136="","",ROUND(SUMIFS(次果筐明细!$L$4:$L$603,次果筐明细!$C$4:$C$603,$B136,次果筐明细!$M$4:$M$603,"已收讫",次果筐明细!$B$4:$B$603,"&gt;="&amp;$Z$1,次果筐明细!$B$4:$B$603,"&lt;="&amp;$Z$2),2))</f>
        <v/>
      </c>
      <c r="R136" s="30" t="str">
        <f t="shared" si="16"/>
        <v/>
      </c>
      <c r="S136" s="30" t="str">
        <f>IF($B136="","",ROUND(SUMIFS(次果筐明细!$J$4:$J$603,次果筐明细!$C$4:$C$603,$B136,次果筐明细!$B$4:$B$603,"&gt;="&amp;$Z$1,次果筐明细!$B$4:$B$603,"&lt;="&amp;$Z$2),2))</f>
        <v/>
      </c>
      <c r="T136" s="63" t="str">
        <f>IF($B136="","",ROUND(SUMIFS(次果筐明细!$K$4:$K$603,次果筐明细!$C$4:$C$603,$B136,次果筐明细!$B$4:$B$603,"&gt;="&amp;$Z$1,次果筐明细!$B$4:$B$603,"&lt;="&amp;$Z$2),2))</f>
        <v/>
      </c>
      <c r="U136" s="30" t="str">
        <f t="shared" si="17"/>
        <v/>
      </c>
      <c r="V136" s="42"/>
    </row>
    <row r="137" spans="1:22">
      <c r="A137" s="24" t="str">
        <f t="shared" si="12"/>
        <v/>
      </c>
      <c r="B137" s="37" t="str">
        <f>IFERROR(INDEX(_自动清单!$AY$4:$AY$203,ROW()-3),"")</f>
        <v/>
      </c>
      <c r="C137" s="39" t="str">
        <f>IF(OR($B137="",_自动清单!$AS$4=""),"",SUMIFS(次果筐明细!$G$4:$G$603,次果筐明细!$C$4:$C$603,$B137,次果筐明细!$D$4:$D$603,_自动清单!$AS$4,次果筐明细!$F$4:$F$603,"*出库*",次果筐明细!$B$4:$B$603,"&gt;="&amp;$Z$1,次果筐明细!$B$4:$B$603,"&lt;="&amp;$Z$2))</f>
        <v/>
      </c>
      <c r="D137" s="39" t="str">
        <f>IF(OR($B137="",_自动清单!$AS$5=""),"",SUMIFS(次果筐明细!$G$4:$G$603,次果筐明细!$C$4:$C$603,$B137,次果筐明细!$D$4:$D$603,_自动清单!$AS$5,次果筐明细!$F$4:$F$603,"*出库*",次果筐明细!$B$4:$B$603,"&gt;="&amp;$Z$1,次果筐明细!$B$4:$B$603,"&lt;="&amp;$Z$2))</f>
        <v/>
      </c>
      <c r="E137" s="39" t="str">
        <f>IF(OR($B137="",_自动清单!$AS$6=""),"",SUMIFS(次果筐明细!$G$4:$G$603,次果筐明细!$C$4:$C$603,$B137,次果筐明细!$D$4:$D$603,_自动清单!$AS$6,次果筐明细!$F$4:$F$603,"*出库*",次果筐明细!$B$4:$B$603,"&gt;="&amp;$Z$1,次果筐明细!$B$4:$B$603,"&lt;="&amp;$Z$2))</f>
        <v/>
      </c>
      <c r="F137" s="39" t="str">
        <f>IF(OR($B137="",_自动清单!$AS$7=""),"",SUMIFS(次果筐明细!$G$4:$G$603,次果筐明细!$C$4:$C$603,$B137,次果筐明细!$D$4:$D$603,_自动清单!$AS$7,次果筐明细!$F$4:$F$603,"*出库*",次果筐明细!$B$4:$B$603,"&gt;="&amp;$Z$1,次果筐明细!$B$4:$B$603,"&lt;="&amp;$Z$2))</f>
        <v/>
      </c>
      <c r="G137" s="39" t="str">
        <f>IF($B137="","",SUMIFS(次果筐明细!$G$4:$G$603,次果筐明细!$C$4:$C$603,$B137,次果筐明细!$F$4:$F$603,"*出库*",次果筐明细!$B$4:$B$603,"&gt;="&amp;$Z$1,次果筐明细!$B$4:$B$603,"&lt;="&amp;$Z$2)-SUM($C137:$F137))</f>
        <v/>
      </c>
      <c r="H137" s="39" t="str">
        <f t="shared" si="13"/>
        <v/>
      </c>
      <c r="I137" s="39" t="str">
        <f>IF(OR($B137="",_自动清单!$AS$4=""),"",SUMIFS(次果筐明细!$G$4:$G$603,次果筐明细!$C$4:$C$603,$B137,次果筐明细!$D$4:$D$603,_自动清单!$AS$4,次果筐明细!$F$4:$F$603,"*入库*",次果筐明细!$B$4:$B$603,"&gt;="&amp;$Z$1,次果筐明细!$B$4:$B$603,"&lt;="&amp;$Z$2))</f>
        <v/>
      </c>
      <c r="J137" s="39" t="str">
        <f>IF(OR($B137="",_自动清单!$AS$5=""),"",SUMIFS(次果筐明细!$G$4:$G$603,次果筐明细!$C$4:$C$603,$B137,次果筐明细!$D$4:$D$603,_自动清单!$AS$5,次果筐明细!$F$4:$F$603,"*入库*",次果筐明细!$B$4:$B$603,"&gt;="&amp;$Z$1,次果筐明细!$B$4:$B$603,"&lt;="&amp;$Z$2))</f>
        <v/>
      </c>
      <c r="K137" s="39" t="str">
        <f>IF(OR($B137="",_自动清单!$AS$6=""),"",SUMIFS(次果筐明细!$G$4:$G$603,次果筐明细!$C$4:$C$603,$B137,次果筐明细!$D$4:$D$603,_自动清单!$AS$6,次果筐明细!$F$4:$F$603,"*入库*",次果筐明细!$B$4:$B$603,"&gt;="&amp;$Z$1,次果筐明细!$B$4:$B$603,"&lt;="&amp;$Z$2))</f>
        <v/>
      </c>
      <c r="L137" s="39" t="str">
        <f>IF(OR($B137="",_自动清单!$AS$7=""),"",SUMIFS(次果筐明细!$G$4:$G$603,次果筐明细!$C$4:$C$603,$B137,次果筐明细!$D$4:$D$603,_自动清单!$AS$7,次果筐明细!$F$4:$F$603,"*入库*",次果筐明细!$B$4:$B$603,"&gt;="&amp;$Z$1,次果筐明细!$B$4:$B$603,"&lt;="&amp;$Z$2))</f>
        <v/>
      </c>
      <c r="M137" s="62" t="str">
        <f>IF($B137="","",SUMIFS(次果筐明细!$G$4:$G$603,次果筐明细!$C$4:$C$603,$B137,次果筐明细!$F$4:$F$603,"*入库*",次果筐明细!$B$4:$B$603,"&gt;="&amp;$Z$1,次果筐明细!$B$4:$B$603,"&lt;="&amp;$Z$2)-SUM($I137:$L137))</f>
        <v/>
      </c>
      <c r="N137" s="62" t="str">
        <f t="shared" si="14"/>
        <v/>
      </c>
      <c r="O137" s="39" t="str">
        <f t="shared" si="15"/>
        <v/>
      </c>
      <c r="P137" s="30" t="str">
        <f>IF($B137="","",ROUND(SUMIFS(次果筐明细!$L$4:$L$603,次果筐明细!$C$4:$C$603,$B137,次果筐明细!$B$4:$B$603,"&gt;="&amp;$Z$1,次果筐明细!$B$4:$B$603,"&lt;="&amp;$Z$2),2))</f>
        <v/>
      </c>
      <c r="Q137" s="30" t="str">
        <f>IF($B137="","",ROUND(SUMIFS(次果筐明细!$L$4:$L$603,次果筐明细!$C$4:$C$603,$B137,次果筐明细!$M$4:$M$603,"已收讫",次果筐明细!$B$4:$B$603,"&gt;="&amp;$Z$1,次果筐明细!$B$4:$B$603,"&lt;="&amp;$Z$2),2))</f>
        <v/>
      </c>
      <c r="R137" s="30" t="str">
        <f t="shared" si="16"/>
        <v/>
      </c>
      <c r="S137" s="30" t="str">
        <f>IF($B137="","",ROUND(SUMIFS(次果筐明细!$J$4:$J$603,次果筐明细!$C$4:$C$603,$B137,次果筐明细!$B$4:$B$603,"&gt;="&amp;$Z$1,次果筐明细!$B$4:$B$603,"&lt;="&amp;$Z$2),2))</f>
        <v/>
      </c>
      <c r="T137" s="63" t="str">
        <f>IF($B137="","",ROUND(SUMIFS(次果筐明细!$K$4:$K$603,次果筐明细!$C$4:$C$603,$B137,次果筐明细!$B$4:$B$603,"&gt;="&amp;$Z$1,次果筐明细!$B$4:$B$603,"&lt;="&amp;$Z$2),2))</f>
        <v/>
      </c>
      <c r="U137" s="30" t="str">
        <f t="shared" si="17"/>
        <v/>
      </c>
      <c r="V137" s="42"/>
    </row>
    <row r="138" spans="1:22">
      <c r="A138" s="24" t="str">
        <f t="shared" si="12"/>
        <v/>
      </c>
      <c r="B138" s="37" t="str">
        <f>IFERROR(INDEX(_自动清单!$AY$4:$AY$203,ROW()-3),"")</f>
        <v/>
      </c>
      <c r="C138" s="39" t="str">
        <f>IF(OR($B138="",_自动清单!$AS$4=""),"",SUMIFS(次果筐明细!$G$4:$G$603,次果筐明细!$C$4:$C$603,$B138,次果筐明细!$D$4:$D$603,_自动清单!$AS$4,次果筐明细!$F$4:$F$603,"*出库*",次果筐明细!$B$4:$B$603,"&gt;="&amp;$Z$1,次果筐明细!$B$4:$B$603,"&lt;="&amp;$Z$2))</f>
        <v/>
      </c>
      <c r="D138" s="39" t="str">
        <f>IF(OR($B138="",_自动清单!$AS$5=""),"",SUMIFS(次果筐明细!$G$4:$G$603,次果筐明细!$C$4:$C$603,$B138,次果筐明细!$D$4:$D$603,_自动清单!$AS$5,次果筐明细!$F$4:$F$603,"*出库*",次果筐明细!$B$4:$B$603,"&gt;="&amp;$Z$1,次果筐明细!$B$4:$B$603,"&lt;="&amp;$Z$2))</f>
        <v/>
      </c>
      <c r="E138" s="39" t="str">
        <f>IF(OR($B138="",_自动清单!$AS$6=""),"",SUMIFS(次果筐明细!$G$4:$G$603,次果筐明细!$C$4:$C$603,$B138,次果筐明细!$D$4:$D$603,_自动清单!$AS$6,次果筐明细!$F$4:$F$603,"*出库*",次果筐明细!$B$4:$B$603,"&gt;="&amp;$Z$1,次果筐明细!$B$4:$B$603,"&lt;="&amp;$Z$2))</f>
        <v/>
      </c>
      <c r="F138" s="39" t="str">
        <f>IF(OR($B138="",_自动清单!$AS$7=""),"",SUMIFS(次果筐明细!$G$4:$G$603,次果筐明细!$C$4:$C$603,$B138,次果筐明细!$D$4:$D$603,_自动清单!$AS$7,次果筐明细!$F$4:$F$603,"*出库*",次果筐明细!$B$4:$B$603,"&gt;="&amp;$Z$1,次果筐明细!$B$4:$B$603,"&lt;="&amp;$Z$2))</f>
        <v/>
      </c>
      <c r="G138" s="39" t="str">
        <f>IF($B138="","",SUMIFS(次果筐明细!$G$4:$G$603,次果筐明细!$C$4:$C$603,$B138,次果筐明细!$F$4:$F$603,"*出库*",次果筐明细!$B$4:$B$603,"&gt;="&amp;$Z$1,次果筐明细!$B$4:$B$603,"&lt;="&amp;$Z$2)-SUM($C138:$F138))</f>
        <v/>
      </c>
      <c r="H138" s="39" t="str">
        <f t="shared" si="13"/>
        <v/>
      </c>
      <c r="I138" s="39" t="str">
        <f>IF(OR($B138="",_自动清单!$AS$4=""),"",SUMIFS(次果筐明细!$G$4:$G$603,次果筐明细!$C$4:$C$603,$B138,次果筐明细!$D$4:$D$603,_自动清单!$AS$4,次果筐明细!$F$4:$F$603,"*入库*",次果筐明细!$B$4:$B$603,"&gt;="&amp;$Z$1,次果筐明细!$B$4:$B$603,"&lt;="&amp;$Z$2))</f>
        <v/>
      </c>
      <c r="J138" s="39" t="str">
        <f>IF(OR($B138="",_自动清单!$AS$5=""),"",SUMIFS(次果筐明细!$G$4:$G$603,次果筐明细!$C$4:$C$603,$B138,次果筐明细!$D$4:$D$603,_自动清单!$AS$5,次果筐明细!$F$4:$F$603,"*入库*",次果筐明细!$B$4:$B$603,"&gt;="&amp;$Z$1,次果筐明细!$B$4:$B$603,"&lt;="&amp;$Z$2))</f>
        <v/>
      </c>
      <c r="K138" s="39" t="str">
        <f>IF(OR($B138="",_自动清单!$AS$6=""),"",SUMIFS(次果筐明细!$G$4:$G$603,次果筐明细!$C$4:$C$603,$B138,次果筐明细!$D$4:$D$603,_自动清单!$AS$6,次果筐明细!$F$4:$F$603,"*入库*",次果筐明细!$B$4:$B$603,"&gt;="&amp;$Z$1,次果筐明细!$B$4:$B$603,"&lt;="&amp;$Z$2))</f>
        <v/>
      </c>
      <c r="L138" s="39" t="str">
        <f>IF(OR($B138="",_自动清单!$AS$7=""),"",SUMIFS(次果筐明细!$G$4:$G$603,次果筐明细!$C$4:$C$603,$B138,次果筐明细!$D$4:$D$603,_自动清单!$AS$7,次果筐明细!$F$4:$F$603,"*入库*",次果筐明细!$B$4:$B$603,"&gt;="&amp;$Z$1,次果筐明细!$B$4:$B$603,"&lt;="&amp;$Z$2))</f>
        <v/>
      </c>
      <c r="M138" s="62" t="str">
        <f>IF($B138="","",SUMIFS(次果筐明细!$G$4:$G$603,次果筐明细!$C$4:$C$603,$B138,次果筐明细!$F$4:$F$603,"*入库*",次果筐明细!$B$4:$B$603,"&gt;="&amp;$Z$1,次果筐明细!$B$4:$B$603,"&lt;="&amp;$Z$2)-SUM($I138:$L138))</f>
        <v/>
      </c>
      <c r="N138" s="62" t="str">
        <f t="shared" si="14"/>
        <v/>
      </c>
      <c r="O138" s="39" t="str">
        <f t="shared" si="15"/>
        <v/>
      </c>
      <c r="P138" s="30" t="str">
        <f>IF($B138="","",ROUND(SUMIFS(次果筐明细!$L$4:$L$603,次果筐明细!$C$4:$C$603,$B138,次果筐明细!$B$4:$B$603,"&gt;="&amp;$Z$1,次果筐明细!$B$4:$B$603,"&lt;="&amp;$Z$2),2))</f>
        <v/>
      </c>
      <c r="Q138" s="30" t="str">
        <f>IF($B138="","",ROUND(SUMIFS(次果筐明细!$L$4:$L$603,次果筐明细!$C$4:$C$603,$B138,次果筐明细!$M$4:$M$603,"已收讫",次果筐明细!$B$4:$B$603,"&gt;="&amp;$Z$1,次果筐明细!$B$4:$B$603,"&lt;="&amp;$Z$2),2))</f>
        <v/>
      </c>
      <c r="R138" s="30" t="str">
        <f t="shared" si="16"/>
        <v/>
      </c>
      <c r="S138" s="30" t="str">
        <f>IF($B138="","",ROUND(SUMIFS(次果筐明细!$J$4:$J$603,次果筐明细!$C$4:$C$603,$B138,次果筐明细!$B$4:$B$603,"&gt;="&amp;$Z$1,次果筐明细!$B$4:$B$603,"&lt;="&amp;$Z$2),2))</f>
        <v/>
      </c>
      <c r="T138" s="63" t="str">
        <f>IF($B138="","",ROUND(SUMIFS(次果筐明细!$K$4:$K$603,次果筐明细!$C$4:$C$603,$B138,次果筐明细!$B$4:$B$603,"&gt;="&amp;$Z$1,次果筐明细!$B$4:$B$603,"&lt;="&amp;$Z$2),2))</f>
        <v/>
      </c>
      <c r="U138" s="30" t="str">
        <f t="shared" si="17"/>
        <v/>
      </c>
      <c r="V138" s="42"/>
    </row>
    <row r="139" spans="1:22">
      <c r="A139" s="24" t="str">
        <f t="shared" si="12"/>
        <v/>
      </c>
      <c r="B139" s="37" t="str">
        <f>IFERROR(INDEX(_自动清单!$AY$4:$AY$203,ROW()-3),"")</f>
        <v/>
      </c>
      <c r="C139" s="39" t="str">
        <f>IF(OR($B139="",_自动清单!$AS$4=""),"",SUMIFS(次果筐明细!$G$4:$G$603,次果筐明细!$C$4:$C$603,$B139,次果筐明细!$D$4:$D$603,_自动清单!$AS$4,次果筐明细!$F$4:$F$603,"*出库*",次果筐明细!$B$4:$B$603,"&gt;="&amp;$Z$1,次果筐明细!$B$4:$B$603,"&lt;="&amp;$Z$2))</f>
        <v/>
      </c>
      <c r="D139" s="39" t="str">
        <f>IF(OR($B139="",_自动清单!$AS$5=""),"",SUMIFS(次果筐明细!$G$4:$G$603,次果筐明细!$C$4:$C$603,$B139,次果筐明细!$D$4:$D$603,_自动清单!$AS$5,次果筐明细!$F$4:$F$603,"*出库*",次果筐明细!$B$4:$B$603,"&gt;="&amp;$Z$1,次果筐明细!$B$4:$B$603,"&lt;="&amp;$Z$2))</f>
        <v/>
      </c>
      <c r="E139" s="39" t="str">
        <f>IF(OR($B139="",_自动清单!$AS$6=""),"",SUMIFS(次果筐明细!$G$4:$G$603,次果筐明细!$C$4:$C$603,$B139,次果筐明细!$D$4:$D$603,_自动清单!$AS$6,次果筐明细!$F$4:$F$603,"*出库*",次果筐明细!$B$4:$B$603,"&gt;="&amp;$Z$1,次果筐明细!$B$4:$B$603,"&lt;="&amp;$Z$2))</f>
        <v/>
      </c>
      <c r="F139" s="39" t="str">
        <f>IF(OR($B139="",_自动清单!$AS$7=""),"",SUMIFS(次果筐明细!$G$4:$G$603,次果筐明细!$C$4:$C$603,$B139,次果筐明细!$D$4:$D$603,_自动清单!$AS$7,次果筐明细!$F$4:$F$603,"*出库*",次果筐明细!$B$4:$B$603,"&gt;="&amp;$Z$1,次果筐明细!$B$4:$B$603,"&lt;="&amp;$Z$2))</f>
        <v/>
      </c>
      <c r="G139" s="39" t="str">
        <f>IF($B139="","",SUMIFS(次果筐明细!$G$4:$G$603,次果筐明细!$C$4:$C$603,$B139,次果筐明细!$F$4:$F$603,"*出库*",次果筐明细!$B$4:$B$603,"&gt;="&amp;$Z$1,次果筐明细!$B$4:$B$603,"&lt;="&amp;$Z$2)-SUM($C139:$F139))</f>
        <v/>
      </c>
      <c r="H139" s="39" t="str">
        <f t="shared" si="13"/>
        <v/>
      </c>
      <c r="I139" s="39" t="str">
        <f>IF(OR($B139="",_自动清单!$AS$4=""),"",SUMIFS(次果筐明细!$G$4:$G$603,次果筐明细!$C$4:$C$603,$B139,次果筐明细!$D$4:$D$603,_自动清单!$AS$4,次果筐明细!$F$4:$F$603,"*入库*",次果筐明细!$B$4:$B$603,"&gt;="&amp;$Z$1,次果筐明细!$B$4:$B$603,"&lt;="&amp;$Z$2))</f>
        <v/>
      </c>
      <c r="J139" s="39" t="str">
        <f>IF(OR($B139="",_自动清单!$AS$5=""),"",SUMIFS(次果筐明细!$G$4:$G$603,次果筐明细!$C$4:$C$603,$B139,次果筐明细!$D$4:$D$603,_自动清单!$AS$5,次果筐明细!$F$4:$F$603,"*入库*",次果筐明细!$B$4:$B$603,"&gt;="&amp;$Z$1,次果筐明细!$B$4:$B$603,"&lt;="&amp;$Z$2))</f>
        <v/>
      </c>
      <c r="K139" s="39" t="str">
        <f>IF(OR($B139="",_自动清单!$AS$6=""),"",SUMIFS(次果筐明细!$G$4:$G$603,次果筐明细!$C$4:$C$603,$B139,次果筐明细!$D$4:$D$603,_自动清单!$AS$6,次果筐明细!$F$4:$F$603,"*入库*",次果筐明细!$B$4:$B$603,"&gt;="&amp;$Z$1,次果筐明细!$B$4:$B$603,"&lt;="&amp;$Z$2))</f>
        <v/>
      </c>
      <c r="L139" s="39" t="str">
        <f>IF(OR($B139="",_自动清单!$AS$7=""),"",SUMIFS(次果筐明细!$G$4:$G$603,次果筐明细!$C$4:$C$603,$B139,次果筐明细!$D$4:$D$603,_自动清单!$AS$7,次果筐明细!$F$4:$F$603,"*入库*",次果筐明细!$B$4:$B$603,"&gt;="&amp;$Z$1,次果筐明细!$B$4:$B$603,"&lt;="&amp;$Z$2))</f>
        <v/>
      </c>
      <c r="M139" s="62" t="str">
        <f>IF($B139="","",SUMIFS(次果筐明细!$G$4:$G$603,次果筐明细!$C$4:$C$603,$B139,次果筐明细!$F$4:$F$603,"*入库*",次果筐明细!$B$4:$B$603,"&gt;="&amp;$Z$1,次果筐明细!$B$4:$B$603,"&lt;="&amp;$Z$2)-SUM($I139:$L139))</f>
        <v/>
      </c>
      <c r="N139" s="62" t="str">
        <f t="shared" si="14"/>
        <v/>
      </c>
      <c r="O139" s="39" t="str">
        <f t="shared" si="15"/>
        <v/>
      </c>
      <c r="P139" s="30" t="str">
        <f>IF($B139="","",ROUND(SUMIFS(次果筐明细!$L$4:$L$603,次果筐明细!$C$4:$C$603,$B139,次果筐明细!$B$4:$B$603,"&gt;="&amp;$Z$1,次果筐明细!$B$4:$B$603,"&lt;="&amp;$Z$2),2))</f>
        <v/>
      </c>
      <c r="Q139" s="30" t="str">
        <f>IF($B139="","",ROUND(SUMIFS(次果筐明细!$L$4:$L$603,次果筐明细!$C$4:$C$603,$B139,次果筐明细!$M$4:$M$603,"已收讫",次果筐明细!$B$4:$B$603,"&gt;="&amp;$Z$1,次果筐明细!$B$4:$B$603,"&lt;="&amp;$Z$2),2))</f>
        <v/>
      </c>
      <c r="R139" s="30" t="str">
        <f t="shared" si="16"/>
        <v/>
      </c>
      <c r="S139" s="30" t="str">
        <f>IF($B139="","",ROUND(SUMIFS(次果筐明细!$J$4:$J$603,次果筐明细!$C$4:$C$603,$B139,次果筐明细!$B$4:$B$603,"&gt;="&amp;$Z$1,次果筐明细!$B$4:$B$603,"&lt;="&amp;$Z$2),2))</f>
        <v/>
      </c>
      <c r="T139" s="63" t="str">
        <f>IF($B139="","",ROUND(SUMIFS(次果筐明细!$K$4:$K$603,次果筐明细!$C$4:$C$603,$B139,次果筐明细!$B$4:$B$603,"&gt;="&amp;$Z$1,次果筐明细!$B$4:$B$603,"&lt;="&amp;$Z$2),2))</f>
        <v/>
      </c>
      <c r="U139" s="30" t="str">
        <f t="shared" si="17"/>
        <v/>
      </c>
      <c r="V139" s="42"/>
    </row>
    <row r="140" spans="1:22">
      <c r="A140" s="24" t="str">
        <f t="shared" si="12"/>
        <v/>
      </c>
      <c r="B140" s="37" t="str">
        <f>IFERROR(INDEX(_自动清单!$AY$4:$AY$203,ROW()-3),"")</f>
        <v/>
      </c>
      <c r="C140" s="39" t="str">
        <f>IF(OR($B140="",_自动清单!$AS$4=""),"",SUMIFS(次果筐明细!$G$4:$G$603,次果筐明细!$C$4:$C$603,$B140,次果筐明细!$D$4:$D$603,_自动清单!$AS$4,次果筐明细!$F$4:$F$603,"*出库*",次果筐明细!$B$4:$B$603,"&gt;="&amp;$Z$1,次果筐明细!$B$4:$B$603,"&lt;="&amp;$Z$2))</f>
        <v/>
      </c>
      <c r="D140" s="39" t="str">
        <f>IF(OR($B140="",_自动清单!$AS$5=""),"",SUMIFS(次果筐明细!$G$4:$G$603,次果筐明细!$C$4:$C$603,$B140,次果筐明细!$D$4:$D$603,_自动清单!$AS$5,次果筐明细!$F$4:$F$603,"*出库*",次果筐明细!$B$4:$B$603,"&gt;="&amp;$Z$1,次果筐明细!$B$4:$B$603,"&lt;="&amp;$Z$2))</f>
        <v/>
      </c>
      <c r="E140" s="39" t="str">
        <f>IF(OR($B140="",_自动清单!$AS$6=""),"",SUMIFS(次果筐明细!$G$4:$G$603,次果筐明细!$C$4:$C$603,$B140,次果筐明细!$D$4:$D$603,_自动清单!$AS$6,次果筐明细!$F$4:$F$603,"*出库*",次果筐明细!$B$4:$B$603,"&gt;="&amp;$Z$1,次果筐明细!$B$4:$B$603,"&lt;="&amp;$Z$2))</f>
        <v/>
      </c>
      <c r="F140" s="39" t="str">
        <f>IF(OR($B140="",_自动清单!$AS$7=""),"",SUMIFS(次果筐明细!$G$4:$G$603,次果筐明细!$C$4:$C$603,$B140,次果筐明细!$D$4:$D$603,_自动清单!$AS$7,次果筐明细!$F$4:$F$603,"*出库*",次果筐明细!$B$4:$B$603,"&gt;="&amp;$Z$1,次果筐明细!$B$4:$B$603,"&lt;="&amp;$Z$2))</f>
        <v/>
      </c>
      <c r="G140" s="39" t="str">
        <f>IF($B140="","",SUMIFS(次果筐明细!$G$4:$G$603,次果筐明细!$C$4:$C$603,$B140,次果筐明细!$F$4:$F$603,"*出库*",次果筐明细!$B$4:$B$603,"&gt;="&amp;$Z$1,次果筐明细!$B$4:$B$603,"&lt;="&amp;$Z$2)-SUM($C140:$F140))</f>
        <v/>
      </c>
      <c r="H140" s="39" t="str">
        <f t="shared" si="13"/>
        <v/>
      </c>
      <c r="I140" s="39" t="str">
        <f>IF(OR($B140="",_自动清单!$AS$4=""),"",SUMIFS(次果筐明细!$G$4:$G$603,次果筐明细!$C$4:$C$603,$B140,次果筐明细!$D$4:$D$603,_自动清单!$AS$4,次果筐明细!$F$4:$F$603,"*入库*",次果筐明细!$B$4:$B$603,"&gt;="&amp;$Z$1,次果筐明细!$B$4:$B$603,"&lt;="&amp;$Z$2))</f>
        <v/>
      </c>
      <c r="J140" s="39" t="str">
        <f>IF(OR($B140="",_自动清单!$AS$5=""),"",SUMIFS(次果筐明细!$G$4:$G$603,次果筐明细!$C$4:$C$603,$B140,次果筐明细!$D$4:$D$603,_自动清单!$AS$5,次果筐明细!$F$4:$F$603,"*入库*",次果筐明细!$B$4:$B$603,"&gt;="&amp;$Z$1,次果筐明细!$B$4:$B$603,"&lt;="&amp;$Z$2))</f>
        <v/>
      </c>
      <c r="K140" s="39" t="str">
        <f>IF(OR($B140="",_自动清单!$AS$6=""),"",SUMIFS(次果筐明细!$G$4:$G$603,次果筐明细!$C$4:$C$603,$B140,次果筐明细!$D$4:$D$603,_自动清单!$AS$6,次果筐明细!$F$4:$F$603,"*入库*",次果筐明细!$B$4:$B$603,"&gt;="&amp;$Z$1,次果筐明细!$B$4:$B$603,"&lt;="&amp;$Z$2))</f>
        <v/>
      </c>
      <c r="L140" s="39" t="str">
        <f>IF(OR($B140="",_自动清单!$AS$7=""),"",SUMIFS(次果筐明细!$G$4:$G$603,次果筐明细!$C$4:$C$603,$B140,次果筐明细!$D$4:$D$603,_自动清单!$AS$7,次果筐明细!$F$4:$F$603,"*入库*",次果筐明细!$B$4:$B$603,"&gt;="&amp;$Z$1,次果筐明细!$B$4:$B$603,"&lt;="&amp;$Z$2))</f>
        <v/>
      </c>
      <c r="M140" s="62" t="str">
        <f>IF($B140="","",SUMIFS(次果筐明细!$G$4:$G$603,次果筐明细!$C$4:$C$603,$B140,次果筐明细!$F$4:$F$603,"*入库*",次果筐明细!$B$4:$B$603,"&gt;="&amp;$Z$1,次果筐明细!$B$4:$B$603,"&lt;="&amp;$Z$2)-SUM($I140:$L140))</f>
        <v/>
      </c>
      <c r="N140" s="62" t="str">
        <f t="shared" si="14"/>
        <v/>
      </c>
      <c r="O140" s="39" t="str">
        <f t="shared" si="15"/>
        <v/>
      </c>
      <c r="P140" s="30" t="str">
        <f>IF($B140="","",ROUND(SUMIFS(次果筐明细!$L$4:$L$603,次果筐明细!$C$4:$C$603,$B140,次果筐明细!$B$4:$B$603,"&gt;="&amp;$Z$1,次果筐明细!$B$4:$B$603,"&lt;="&amp;$Z$2),2))</f>
        <v/>
      </c>
      <c r="Q140" s="30" t="str">
        <f>IF($B140="","",ROUND(SUMIFS(次果筐明细!$L$4:$L$603,次果筐明细!$C$4:$C$603,$B140,次果筐明细!$M$4:$M$603,"已收讫",次果筐明细!$B$4:$B$603,"&gt;="&amp;$Z$1,次果筐明细!$B$4:$B$603,"&lt;="&amp;$Z$2),2))</f>
        <v/>
      </c>
      <c r="R140" s="30" t="str">
        <f t="shared" si="16"/>
        <v/>
      </c>
      <c r="S140" s="30" t="str">
        <f>IF($B140="","",ROUND(SUMIFS(次果筐明细!$J$4:$J$603,次果筐明细!$C$4:$C$603,$B140,次果筐明细!$B$4:$B$603,"&gt;="&amp;$Z$1,次果筐明细!$B$4:$B$603,"&lt;="&amp;$Z$2),2))</f>
        <v/>
      </c>
      <c r="T140" s="63" t="str">
        <f>IF($B140="","",ROUND(SUMIFS(次果筐明细!$K$4:$K$603,次果筐明细!$C$4:$C$603,$B140,次果筐明细!$B$4:$B$603,"&gt;="&amp;$Z$1,次果筐明细!$B$4:$B$603,"&lt;="&amp;$Z$2),2))</f>
        <v/>
      </c>
      <c r="U140" s="30" t="str">
        <f t="shared" si="17"/>
        <v/>
      </c>
      <c r="V140" s="42"/>
    </row>
    <row r="141" spans="1:22">
      <c r="A141" s="24" t="str">
        <f t="shared" si="12"/>
        <v/>
      </c>
      <c r="B141" s="37" t="str">
        <f>IFERROR(INDEX(_自动清单!$AY$4:$AY$203,ROW()-3),"")</f>
        <v/>
      </c>
      <c r="C141" s="39" t="str">
        <f>IF(OR($B141="",_自动清单!$AS$4=""),"",SUMIFS(次果筐明细!$G$4:$G$603,次果筐明细!$C$4:$C$603,$B141,次果筐明细!$D$4:$D$603,_自动清单!$AS$4,次果筐明细!$F$4:$F$603,"*出库*",次果筐明细!$B$4:$B$603,"&gt;="&amp;$Z$1,次果筐明细!$B$4:$B$603,"&lt;="&amp;$Z$2))</f>
        <v/>
      </c>
      <c r="D141" s="39" t="str">
        <f>IF(OR($B141="",_自动清单!$AS$5=""),"",SUMIFS(次果筐明细!$G$4:$G$603,次果筐明细!$C$4:$C$603,$B141,次果筐明细!$D$4:$D$603,_自动清单!$AS$5,次果筐明细!$F$4:$F$603,"*出库*",次果筐明细!$B$4:$B$603,"&gt;="&amp;$Z$1,次果筐明细!$B$4:$B$603,"&lt;="&amp;$Z$2))</f>
        <v/>
      </c>
      <c r="E141" s="39" t="str">
        <f>IF(OR($B141="",_自动清单!$AS$6=""),"",SUMIFS(次果筐明细!$G$4:$G$603,次果筐明细!$C$4:$C$603,$B141,次果筐明细!$D$4:$D$603,_自动清单!$AS$6,次果筐明细!$F$4:$F$603,"*出库*",次果筐明细!$B$4:$B$603,"&gt;="&amp;$Z$1,次果筐明细!$B$4:$B$603,"&lt;="&amp;$Z$2))</f>
        <v/>
      </c>
      <c r="F141" s="39" t="str">
        <f>IF(OR($B141="",_自动清单!$AS$7=""),"",SUMIFS(次果筐明细!$G$4:$G$603,次果筐明细!$C$4:$C$603,$B141,次果筐明细!$D$4:$D$603,_自动清单!$AS$7,次果筐明细!$F$4:$F$603,"*出库*",次果筐明细!$B$4:$B$603,"&gt;="&amp;$Z$1,次果筐明细!$B$4:$B$603,"&lt;="&amp;$Z$2))</f>
        <v/>
      </c>
      <c r="G141" s="39" t="str">
        <f>IF($B141="","",SUMIFS(次果筐明细!$G$4:$G$603,次果筐明细!$C$4:$C$603,$B141,次果筐明细!$F$4:$F$603,"*出库*",次果筐明细!$B$4:$B$603,"&gt;="&amp;$Z$1,次果筐明细!$B$4:$B$603,"&lt;="&amp;$Z$2)-SUM($C141:$F141))</f>
        <v/>
      </c>
      <c r="H141" s="39" t="str">
        <f t="shared" si="13"/>
        <v/>
      </c>
      <c r="I141" s="39" t="str">
        <f>IF(OR($B141="",_自动清单!$AS$4=""),"",SUMIFS(次果筐明细!$G$4:$G$603,次果筐明细!$C$4:$C$603,$B141,次果筐明细!$D$4:$D$603,_自动清单!$AS$4,次果筐明细!$F$4:$F$603,"*入库*",次果筐明细!$B$4:$B$603,"&gt;="&amp;$Z$1,次果筐明细!$B$4:$B$603,"&lt;="&amp;$Z$2))</f>
        <v/>
      </c>
      <c r="J141" s="39" t="str">
        <f>IF(OR($B141="",_自动清单!$AS$5=""),"",SUMIFS(次果筐明细!$G$4:$G$603,次果筐明细!$C$4:$C$603,$B141,次果筐明细!$D$4:$D$603,_自动清单!$AS$5,次果筐明细!$F$4:$F$603,"*入库*",次果筐明细!$B$4:$B$603,"&gt;="&amp;$Z$1,次果筐明细!$B$4:$B$603,"&lt;="&amp;$Z$2))</f>
        <v/>
      </c>
      <c r="K141" s="39" t="str">
        <f>IF(OR($B141="",_自动清单!$AS$6=""),"",SUMIFS(次果筐明细!$G$4:$G$603,次果筐明细!$C$4:$C$603,$B141,次果筐明细!$D$4:$D$603,_自动清单!$AS$6,次果筐明细!$F$4:$F$603,"*入库*",次果筐明细!$B$4:$B$603,"&gt;="&amp;$Z$1,次果筐明细!$B$4:$B$603,"&lt;="&amp;$Z$2))</f>
        <v/>
      </c>
      <c r="L141" s="39" t="str">
        <f>IF(OR($B141="",_自动清单!$AS$7=""),"",SUMIFS(次果筐明细!$G$4:$G$603,次果筐明细!$C$4:$C$603,$B141,次果筐明细!$D$4:$D$603,_自动清单!$AS$7,次果筐明细!$F$4:$F$603,"*入库*",次果筐明细!$B$4:$B$603,"&gt;="&amp;$Z$1,次果筐明细!$B$4:$B$603,"&lt;="&amp;$Z$2))</f>
        <v/>
      </c>
      <c r="M141" s="62" t="str">
        <f>IF($B141="","",SUMIFS(次果筐明细!$G$4:$G$603,次果筐明细!$C$4:$C$603,$B141,次果筐明细!$F$4:$F$603,"*入库*",次果筐明细!$B$4:$B$603,"&gt;="&amp;$Z$1,次果筐明细!$B$4:$B$603,"&lt;="&amp;$Z$2)-SUM($I141:$L141))</f>
        <v/>
      </c>
      <c r="N141" s="62" t="str">
        <f t="shared" si="14"/>
        <v/>
      </c>
      <c r="O141" s="39" t="str">
        <f t="shared" si="15"/>
        <v/>
      </c>
      <c r="P141" s="30" t="str">
        <f>IF($B141="","",ROUND(SUMIFS(次果筐明细!$L$4:$L$603,次果筐明细!$C$4:$C$603,$B141,次果筐明细!$B$4:$B$603,"&gt;="&amp;$Z$1,次果筐明细!$B$4:$B$603,"&lt;="&amp;$Z$2),2))</f>
        <v/>
      </c>
      <c r="Q141" s="30" t="str">
        <f>IF($B141="","",ROUND(SUMIFS(次果筐明细!$L$4:$L$603,次果筐明细!$C$4:$C$603,$B141,次果筐明细!$M$4:$M$603,"已收讫",次果筐明细!$B$4:$B$603,"&gt;="&amp;$Z$1,次果筐明细!$B$4:$B$603,"&lt;="&amp;$Z$2),2))</f>
        <v/>
      </c>
      <c r="R141" s="30" t="str">
        <f t="shared" si="16"/>
        <v/>
      </c>
      <c r="S141" s="30" t="str">
        <f>IF($B141="","",ROUND(SUMIFS(次果筐明细!$J$4:$J$603,次果筐明细!$C$4:$C$603,$B141,次果筐明细!$B$4:$B$603,"&gt;="&amp;$Z$1,次果筐明细!$B$4:$B$603,"&lt;="&amp;$Z$2),2))</f>
        <v/>
      </c>
      <c r="T141" s="63" t="str">
        <f>IF($B141="","",ROUND(SUMIFS(次果筐明细!$K$4:$K$603,次果筐明细!$C$4:$C$603,$B141,次果筐明细!$B$4:$B$603,"&gt;="&amp;$Z$1,次果筐明细!$B$4:$B$603,"&lt;="&amp;$Z$2),2))</f>
        <v/>
      </c>
      <c r="U141" s="30" t="str">
        <f t="shared" si="17"/>
        <v/>
      </c>
      <c r="V141" s="42"/>
    </row>
    <row r="142" spans="1:22">
      <c r="A142" s="24" t="str">
        <f t="shared" si="12"/>
        <v/>
      </c>
      <c r="B142" s="37" t="str">
        <f>IFERROR(INDEX(_自动清单!$AY$4:$AY$203,ROW()-3),"")</f>
        <v/>
      </c>
      <c r="C142" s="39" t="str">
        <f>IF(OR($B142="",_自动清单!$AS$4=""),"",SUMIFS(次果筐明细!$G$4:$G$603,次果筐明细!$C$4:$C$603,$B142,次果筐明细!$D$4:$D$603,_自动清单!$AS$4,次果筐明细!$F$4:$F$603,"*出库*",次果筐明细!$B$4:$B$603,"&gt;="&amp;$Z$1,次果筐明细!$B$4:$B$603,"&lt;="&amp;$Z$2))</f>
        <v/>
      </c>
      <c r="D142" s="39" t="str">
        <f>IF(OR($B142="",_自动清单!$AS$5=""),"",SUMIFS(次果筐明细!$G$4:$G$603,次果筐明细!$C$4:$C$603,$B142,次果筐明细!$D$4:$D$603,_自动清单!$AS$5,次果筐明细!$F$4:$F$603,"*出库*",次果筐明细!$B$4:$B$603,"&gt;="&amp;$Z$1,次果筐明细!$B$4:$B$603,"&lt;="&amp;$Z$2))</f>
        <v/>
      </c>
      <c r="E142" s="39" t="str">
        <f>IF(OR($B142="",_自动清单!$AS$6=""),"",SUMIFS(次果筐明细!$G$4:$G$603,次果筐明细!$C$4:$C$603,$B142,次果筐明细!$D$4:$D$603,_自动清单!$AS$6,次果筐明细!$F$4:$F$603,"*出库*",次果筐明细!$B$4:$B$603,"&gt;="&amp;$Z$1,次果筐明细!$B$4:$B$603,"&lt;="&amp;$Z$2))</f>
        <v/>
      </c>
      <c r="F142" s="39" t="str">
        <f>IF(OR($B142="",_自动清单!$AS$7=""),"",SUMIFS(次果筐明细!$G$4:$G$603,次果筐明细!$C$4:$C$603,$B142,次果筐明细!$D$4:$D$603,_自动清单!$AS$7,次果筐明细!$F$4:$F$603,"*出库*",次果筐明细!$B$4:$B$603,"&gt;="&amp;$Z$1,次果筐明细!$B$4:$B$603,"&lt;="&amp;$Z$2))</f>
        <v/>
      </c>
      <c r="G142" s="39" t="str">
        <f>IF($B142="","",SUMIFS(次果筐明细!$G$4:$G$603,次果筐明细!$C$4:$C$603,$B142,次果筐明细!$F$4:$F$603,"*出库*",次果筐明细!$B$4:$B$603,"&gt;="&amp;$Z$1,次果筐明细!$B$4:$B$603,"&lt;="&amp;$Z$2)-SUM($C142:$F142))</f>
        <v/>
      </c>
      <c r="H142" s="39" t="str">
        <f t="shared" si="13"/>
        <v/>
      </c>
      <c r="I142" s="39" t="str">
        <f>IF(OR($B142="",_自动清单!$AS$4=""),"",SUMIFS(次果筐明细!$G$4:$G$603,次果筐明细!$C$4:$C$603,$B142,次果筐明细!$D$4:$D$603,_自动清单!$AS$4,次果筐明细!$F$4:$F$603,"*入库*",次果筐明细!$B$4:$B$603,"&gt;="&amp;$Z$1,次果筐明细!$B$4:$B$603,"&lt;="&amp;$Z$2))</f>
        <v/>
      </c>
      <c r="J142" s="39" t="str">
        <f>IF(OR($B142="",_自动清单!$AS$5=""),"",SUMIFS(次果筐明细!$G$4:$G$603,次果筐明细!$C$4:$C$603,$B142,次果筐明细!$D$4:$D$603,_自动清单!$AS$5,次果筐明细!$F$4:$F$603,"*入库*",次果筐明细!$B$4:$B$603,"&gt;="&amp;$Z$1,次果筐明细!$B$4:$B$603,"&lt;="&amp;$Z$2))</f>
        <v/>
      </c>
      <c r="K142" s="39" t="str">
        <f>IF(OR($B142="",_自动清单!$AS$6=""),"",SUMIFS(次果筐明细!$G$4:$G$603,次果筐明细!$C$4:$C$603,$B142,次果筐明细!$D$4:$D$603,_自动清单!$AS$6,次果筐明细!$F$4:$F$603,"*入库*",次果筐明细!$B$4:$B$603,"&gt;="&amp;$Z$1,次果筐明细!$B$4:$B$603,"&lt;="&amp;$Z$2))</f>
        <v/>
      </c>
      <c r="L142" s="39" t="str">
        <f>IF(OR($B142="",_自动清单!$AS$7=""),"",SUMIFS(次果筐明细!$G$4:$G$603,次果筐明细!$C$4:$C$603,$B142,次果筐明细!$D$4:$D$603,_自动清单!$AS$7,次果筐明细!$F$4:$F$603,"*入库*",次果筐明细!$B$4:$B$603,"&gt;="&amp;$Z$1,次果筐明细!$B$4:$B$603,"&lt;="&amp;$Z$2))</f>
        <v/>
      </c>
      <c r="M142" s="62" t="str">
        <f>IF($B142="","",SUMIFS(次果筐明细!$G$4:$G$603,次果筐明细!$C$4:$C$603,$B142,次果筐明细!$F$4:$F$603,"*入库*",次果筐明细!$B$4:$B$603,"&gt;="&amp;$Z$1,次果筐明细!$B$4:$B$603,"&lt;="&amp;$Z$2)-SUM($I142:$L142))</f>
        <v/>
      </c>
      <c r="N142" s="62" t="str">
        <f t="shared" si="14"/>
        <v/>
      </c>
      <c r="O142" s="39" t="str">
        <f t="shared" si="15"/>
        <v/>
      </c>
      <c r="P142" s="30" t="str">
        <f>IF($B142="","",ROUND(SUMIFS(次果筐明细!$L$4:$L$603,次果筐明细!$C$4:$C$603,$B142,次果筐明细!$B$4:$B$603,"&gt;="&amp;$Z$1,次果筐明细!$B$4:$B$603,"&lt;="&amp;$Z$2),2))</f>
        <v/>
      </c>
      <c r="Q142" s="30" t="str">
        <f>IF($B142="","",ROUND(SUMIFS(次果筐明细!$L$4:$L$603,次果筐明细!$C$4:$C$603,$B142,次果筐明细!$M$4:$M$603,"已收讫",次果筐明细!$B$4:$B$603,"&gt;="&amp;$Z$1,次果筐明细!$B$4:$B$603,"&lt;="&amp;$Z$2),2))</f>
        <v/>
      </c>
      <c r="R142" s="30" t="str">
        <f t="shared" si="16"/>
        <v/>
      </c>
      <c r="S142" s="30" t="str">
        <f>IF($B142="","",ROUND(SUMIFS(次果筐明细!$J$4:$J$603,次果筐明细!$C$4:$C$603,$B142,次果筐明细!$B$4:$B$603,"&gt;="&amp;$Z$1,次果筐明细!$B$4:$B$603,"&lt;="&amp;$Z$2),2))</f>
        <v/>
      </c>
      <c r="T142" s="63" t="str">
        <f>IF($B142="","",ROUND(SUMIFS(次果筐明细!$K$4:$K$603,次果筐明细!$C$4:$C$603,$B142,次果筐明细!$B$4:$B$603,"&gt;="&amp;$Z$1,次果筐明细!$B$4:$B$603,"&lt;="&amp;$Z$2),2))</f>
        <v/>
      </c>
      <c r="U142" s="30" t="str">
        <f t="shared" si="17"/>
        <v/>
      </c>
      <c r="V142" s="42"/>
    </row>
    <row r="143" spans="1:22">
      <c r="A143" s="24" t="str">
        <f t="shared" si="12"/>
        <v/>
      </c>
      <c r="B143" s="37" t="str">
        <f>IFERROR(INDEX(_自动清单!$AY$4:$AY$203,ROW()-3),"")</f>
        <v/>
      </c>
      <c r="C143" s="39" t="str">
        <f>IF(OR($B143="",_自动清单!$AS$4=""),"",SUMIFS(次果筐明细!$G$4:$G$603,次果筐明细!$C$4:$C$603,$B143,次果筐明细!$D$4:$D$603,_自动清单!$AS$4,次果筐明细!$F$4:$F$603,"*出库*",次果筐明细!$B$4:$B$603,"&gt;="&amp;$Z$1,次果筐明细!$B$4:$B$603,"&lt;="&amp;$Z$2))</f>
        <v/>
      </c>
      <c r="D143" s="39" t="str">
        <f>IF(OR($B143="",_自动清单!$AS$5=""),"",SUMIFS(次果筐明细!$G$4:$G$603,次果筐明细!$C$4:$C$603,$B143,次果筐明细!$D$4:$D$603,_自动清单!$AS$5,次果筐明细!$F$4:$F$603,"*出库*",次果筐明细!$B$4:$B$603,"&gt;="&amp;$Z$1,次果筐明细!$B$4:$B$603,"&lt;="&amp;$Z$2))</f>
        <v/>
      </c>
      <c r="E143" s="39" t="str">
        <f>IF(OR($B143="",_自动清单!$AS$6=""),"",SUMIFS(次果筐明细!$G$4:$G$603,次果筐明细!$C$4:$C$603,$B143,次果筐明细!$D$4:$D$603,_自动清单!$AS$6,次果筐明细!$F$4:$F$603,"*出库*",次果筐明细!$B$4:$B$603,"&gt;="&amp;$Z$1,次果筐明细!$B$4:$B$603,"&lt;="&amp;$Z$2))</f>
        <v/>
      </c>
      <c r="F143" s="39" t="str">
        <f>IF(OR($B143="",_自动清单!$AS$7=""),"",SUMIFS(次果筐明细!$G$4:$G$603,次果筐明细!$C$4:$C$603,$B143,次果筐明细!$D$4:$D$603,_自动清单!$AS$7,次果筐明细!$F$4:$F$603,"*出库*",次果筐明细!$B$4:$B$603,"&gt;="&amp;$Z$1,次果筐明细!$B$4:$B$603,"&lt;="&amp;$Z$2))</f>
        <v/>
      </c>
      <c r="G143" s="39" t="str">
        <f>IF($B143="","",SUMIFS(次果筐明细!$G$4:$G$603,次果筐明细!$C$4:$C$603,$B143,次果筐明细!$F$4:$F$603,"*出库*",次果筐明细!$B$4:$B$603,"&gt;="&amp;$Z$1,次果筐明细!$B$4:$B$603,"&lt;="&amp;$Z$2)-SUM($C143:$F143))</f>
        <v/>
      </c>
      <c r="H143" s="39" t="str">
        <f t="shared" si="13"/>
        <v/>
      </c>
      <c r="I143" s="39" t="str">
        <f>IF(OR($B143="",_自动清单!$AS$4=""),"",SUMIFS(次果筐明细!$G$4:$G$603,次果筐明细!$C$4:$C$603,$B143,次果筐明细!$D$4:$D$603,_自动清单!$AS$4,次果筐明细!$F$4:$F$603,"*入库*",次果筐明细!$B$4:$B$603,"&gt;="&amp;$Z$1,次果筐明细!$B$4:$B$603,"&lt;="&amp;$Z$2))</f>
        <v/>
      </c>
      <c r="J143" s="39" t="str">
        <f>IF(OR($B143="",_自动清单!$AS$5=""),"",SUMIFS(次果筐明细!$G$4:$G$603,次果筐明细!$C$4:$C$603,$B143,次果筐明细!$D$4:$D$603,_自动清单!$AS$5,次果筐明细!$F$4:$F$603,"*入库*",次果筐明细!$B$4:$B$603,"&gt;="&amp;$Z$1,次果筐明细!$B$4:$B$603,"&lt;="&amp;$Z$2))</f>
        <v/>
      </c>
      <c r="K143" s="39" t="str">
        <f>IF(OR($B143="",_自动清单!$AS$6=""),"",SUMIFS(次果筐明细!$G$4:$G$603,次果筐明细!$C$4:$C$603,$B143,次果筐明细!$D$4:$D$603,_自动清单!$AS$6,次果筐明细!$F$4:$F$603,"*入库*",次果筐明细!$B$4:$B$603,"&gt;="&amp;$Z$1,次果筐明细!$B$4:$B$603,"&lt;="&amp;$Z$2))</f>
        <v/>
      </c>
      <c r="L143" s="39" t="str">
        <f>IF(OR($B143="",_自动清单!$AS$7=""),"",SUMIFS(次果筐明细!$G$4:$G$603,次果筐明细!$C$4:$C$603,$B143,次果筐明细!$D$4:$D$603,_自动清单!$AS$7,次果筐明细!$F$4:$F$603,"*入库*",次果筐明细!$B$4:$B$603,"&gt;="&amp;$Z$1,次果筐明细!$B$4:$B$603,"&lt;="&amp;$Z$2))</f>
        <v/>
      </c>
      <c r="M143" s="62" t="str">
        <f>IF($B143="","",SUMIFS(次果筐明细!$G$4:$G$603,次果筐明细!$C$4:$C$603,$B143,次果筐明细!$F$4:$F$603,"*入库*",次果筐明细!$B$4:$B$603,"&gt;="&amp;$Z$1,次果筐明细!$B$4:$B$603,"&lt;="&amp;$Z$2)-SUM($I143:$L143))</f>
        <v/>
      </c>
      <c r="N143" s="62" t="str">
        <f t="shared" si="14"/>
        <v/>
      </c>
      <c r="O143" s="39" t="str">
        <f t="shared" si="15"/>
        <v/>
      </c>
      <c r="P143" s="30" t="str">
        <f>IF($B143="","",ROUND(SUMIFS(次果筐明细!$L$4:$L$603,次果筐明细!$C$4:$C$603,$B143,次果筐明细!$B$4:$B$603,"&gt;="&amp;$Z$1,次果筐明细!$B$4:$B$603,"&lt;="&amp;$Z$2),2))</f>
        <v/>
      </c>
      <c r="Q143" s="30" t="str">
        <f>IF($B143="","",ROUND(SUMIFS(次果筐明细!$L$4:$L$603,次果筐明细!$C$4:$C$603,$B143,次果筐明细!$M$4:$M$603,"已收讫",次果筐明细!$B$4:$B$603,"&gt;="&amp;$Z$1,次果筐明细!$B$4:$B$603,"&lt;="&amp;$Z$2),2))</f>
        <v/>
      </c>
      <c r="R143" s="30" t="str">
        <f t="shared" si="16"/>
        <v/>
      </c>
      <c r="S143" s="30" t="str">
        <f>IF($B143="","",ROUND(SUMIFS(次果筐明细!$J$4:$J$603,次果筐明细!$C$4:$C$603,$B143,次果筐明细!$B$4:$B$603,"&gt;="&amp;$Z$1,次果筐明细!$B$4:$B$603,"&lt;="&amp;$Z$2),2))</f>
        <v/>
      </c>
      <c r="T143" s="63" t="str">
        <f>IF($B143="","",ROUND(SUMIFS(次果筐明细!$K$4:$K$603,次果筐明细!$C$4:$C$603,$B143,次果筐明细!$B$4:$B$603,"&gt;="&amp;$Z$1,次果筐明细!$B$4:$B$603,"&lt;="&amp;$Z$2),2))</f>
        <v/>
      </c>
      <c r="U143" s="30" t="str">
        <f t="shared" si="17"/>
        <v/>
      </c>
      <c r="V143" s="42"/>
    </row>
    <row r="144" spans="1:22">
      <c r="A144" s="24" t="str">
        <f t="shared" si="12"/>
        <v/>
      </c>
      <c r="B144" s="37" t="str">
        <f>IFERROR(INDEX(_自动清单!$AY$4:$AY$203,ROW()-3),"")</f>
        <v/>
      </c>
      <c r="C144" s="39" t="str">
        <f>IF(OR($B144="",_自动清单!$AS$4=""),"",SUMIFS(次果筐明细!$G$4:$G$603,次果筐明细!$C$4:$C$603,$B144,次果筐明细!$D$4:$D$603,_自动清单!$AS$4,次果筐明细!$F$4:$F$603,"*出库*",次果筐明细!$B$4:$B$603,"&gt;="&amp;$Z$1,次果筐明细!$B$4:$B$603,"&lt;="&amp;$Z$2))</f>
        <v/>
      </c>
      <c r="D144" s="39" t="str">
        <f>IF(OR($B144="",_自动清单!$AS$5=""),"",SUMIFS(次果筐明细!$G$4:$G$603,次果筐明细!$C$4:$C$603,$B144,次果筐明细!$D$4:$D$603,_自动清单!$AS$5,次果筐明细!$F$4:$F$603,"*出库*",次果筐明细!$B$4:$B$603,"&gt;="&amp;$Z$1,次果筐明细!$B$4:$B$603,"&lt;="&amp;$Z$2))</f>
        <v/>
      </c>
      <c r="E144" s="39" t="str">
        <f>IF(OR($B144="",_自动清单!$AS$6=""),"",SUMIFS(次果筐明细!$G$4:$G$603,次果筐明细!$C$4:$C$603,$B144,次果筐明细!$D$4:$D$603,_自动清单!$AS$6,次果筐明细!$F$4:$F$603,"*出库*",次果筐明细!$B$4:$B$603,"&gt;="&amp;$Z$1,次果筐明细!$B$4:$B$603,"&lt;="&amp;$Z$2))</f>
        <v/>
      </c>
      <c r="F144" s="39" t="str">
        <f>IF(OR($B144="",_自动清单!$AS$7=""),"",SUMIFS(次果筐明细!$G$4:$G$603,次果筐明细!$C$4:$C$603,$B144,次果筐明细!$D$4:$D$603,_自动清单!$AS$7,次果筐明细!$F$4:$F$603,"*出库*",次果筐明细!$B$4:$B$603,"&gt;="&amp;$Z$1,次果筐明细!$B$4:$B$603,"&lt;="&amp;$Z$2))</f>
        <v/>
      </c>
      <c r="G144" s="39" t="str">
        <f>IF($B144="","",SUMIFS(次果筐明细!$G$4:$G$603,次果筐明细!$C$4:$C$603,$B144,次果筐明细!$F$4:$F$603,"*出库*",次果筐明细!$B$4:$B$603,"&gt;="&amp;$Z$1,次果筐明细!$B$4:$B$603,"&lt;="&amp;$Z$2)-SUM($C144:$F144))</f>
        <v/>
      </c>
      <c r="H144" s="39" t="str">
        <f t="shared" si="13"/>
        <v/>
      </c>
      <c r="I144" s="39" t="str">
        <f>IF(OR($B144="",_自动清单!$AS$4=""),"",SUMIFS(次果筐明细!$G$4:$G$603,次果筐明细!$C$4:$C$603,$B144,次果筐明细!$D$4:$D$603,_自动清单!$AS$4,次果筐明细!$F$4:$F$603,"*入库*",次果筐明细!$B$4:$B$603,"&gt;="&amp;$Z$1,次果筐明细!$B$4:$B$603,"&lt;="&amp;$Z$2))</f>
        <v/>
      </c>
      <c r="J144" s="39" t="str">
        <f>IF(OR($B144="",_自动清单!$AS$5=""),"",SUMIFS(次果筐明细!$G$4:$G$603,次果筐明细!$C$4:$C$603,$B144,次果筐明细!$D$4:$D$603,_自动清单!$AS$5,次果筐明细!$F$4:$F$603,"*入库*",次果筐明细!$B$4:$B$603,"&gt;="&amp;$Z$1,次果筐明细!$B$4:$B$603,"&lt;="&amp;$Z$2))</f>
        <v/>
      </c>
      <c r="K144" s="39" t="str">
        <f>IF(OR($B144="",_自动清单!$AS$6=""),"",SUMIFS(次果筐明细!$G$4:$G$603,次果筐明细!$C$4:$C$603,$B144,次果筐明细!$D$4:$D$603,_自动清单!$AS$6,次果筐明细!$F$4:$F$603,"*入库*",次果筐明细!$B$4:$B$603,"&gt;="&amp;$Z$1,次果筐明细!$B$4:$B$603,"&lt;="&amp;$Z$2))</f>
        <v/>
      </c>
      <c r="L144" s="39" t="str">
        <f>IF(OR($B144="",_自动清单!$AS$7=""),"",SUMIFS(次果筐明细!$G$4:$G$603,次果筐明细!$C$4:$C$603,$B144,次果筐明细!$D$4:$D$603,_自动清单!$AS$7,次果筐明细!$F$4:$F$603,"*入库*",次果筐明细!$B$4:$B$603,"&gt;="&amp;$Z$1,次果筐明细!$B$4:$B$603,"&lt;="&amp;$Z$2))</f>
        <v/>
      </c>
      <c r="M144" s="62" t="str">
        <f>IF($B144="","",SUMIFS(次果筐明细!$G$4:$G$603,次果筐明细!$C$4:$C$603,$B144,次果筐明细!$F$4:$F$603,"*入库*",次果筐明细!$B$4:$B$603,"&gt;="&amp;$Z$1,次果筐明细!$B$4:$B$603,"&lt;="&amp;$Z$2)-SUM($I144:$L144))</f>
        <v/>
      </c>
      <c r="N144" s="62" t="str">
        <f t="shared" si="14"/>
        <v/>
      </c>
      <c r="O144" s="39" t="str">
        <f t="shared" si="15"/>
        <v/>
      </c>
      <c r="P144" s="30" t="str">
        <f>IF($B144="","",ROUND(SUMIFS(次果筐明细!$L$4:$L$603,次果筐明细!$C$4:$C$603,$B144,次果筐明细!$B$4:$B$603,"&gt;="&amp;$Z$1,次果筐明细!$B$4:$B$603,"&lt;="&amp;$Z$2),2))</f>
        <v/>
      </c>
      <c r="Q144" s="30" t="str">
        <f>IF($B144="","",ROUND(SUMIFS(次果筐明细!$L$4:$L$603,次果筐明细!$C$4:$C$603,$B144,次果筐明细!$M$4:$M$603,"已收讫",次果筐明细!$B$4:$B$603,"&gt;="&amp;$Z$1,次果筐明细!$B$4:$B$603,"&lt;="&amp;$Z$2),2))</f>
        <v/>
      </c>
      <c r="R144" s="30" t="str">
        <f t="shared" si="16"/>
        <v/>
      </c>
      <c r="S144" s="30" t="str">
        <f>IF($B144="","",ROUND(SUMIFS(次果筐明细!$J$4:$J$603,次果筐明细!$C$4:$C$603,$B144,次果筐明细!$B$4:$B$603,"&gt;="&amp;$Z$1,次果筐明细!$B$4:$B$603,"&lt;="&amp;$Z$2),2))</f>
        <v/>
      </c>
      <c r="T144" s="63" t="str">
        <f>IF($B144="","",ROUND(SUMIFS(次果筐明细!$K$4:$K$603,次果筐明细!$C$4:$C$603,$B144,次果筐明细!$B$4:$B$603,"&gt;="&amp;$Z$1,次果筐明细!$B$4:$B$603,"&lt;="&amp;$Z$2),2))</f>
        <v/>
      </c>
      <c r="U144" s="30" t="str">
        <f t="shared" si="17"/>
        <v/>
      </c>
      <c r="V144" s="42"/>
    </row>
    <row r="145" spans="1:22">
      <c r="A145" s="24" t="str">
        <f t="shared" si="12"/>
        <v/>
      </c>
      <c r="B145" s="37" t="str">
        <f>IFERROR(INDEX(_自动清单!$AY$4:$AY$203,ROW()-3),"")</f>
        <v/>
      </c>
      <c r="C145" s="39" t="str">
        <f>IF(OR($B145="",_自动清单!$AS$4=""),"",SUMIFS(次果筐明细!$G$4:$G$603,次果筐明细!$C$4:$C$603,$B145,次果筐明细!$D$4:$D$603,_自动清单!$AS$4,次果筐明细!$F$4:$F$603,"*出库*",次果筐明细!$B$4:$B$603,"&gt;="&amp;$Z$1,次果筐明细!$B$4:$B$603,"&lt;="&amp;$Z$2))</f>
        <v/>
      </c>
      <c r="D145" s="39" t="str">
        <f>IF(OR($B145="",_自动清单!$AS$5=""),"",SUMIFS(次果筐明细!$G$4:$G$603,次果筐明细!$C$4:$C$603,$B145,次果筐明细!$D$4:$D$603,_自动清单!$AS$5,次果筐明细!$F$4:$F$603,"*出库*",次果筐明细!$B$4:$B$603,"&gt;="&amp;$Z$1,次果筐明细!$B$4:$B$603,"&lt;="&amp;$Z$2))</f>
        <v/>
      </c>
      <c r="E145" s="39" t="str">
        <f>IF(OR($B145="",_自动清单!$AS$6=""),"",SUMIFS(次果筐明细!$G$4:$G$603,次果筐明细!$C$4:$C$603,$B145,次果筐明细!$D$4:$D$603,_自动清单!$AS$6,次果筐明细!$F$4:$F$603,"*出库*",次果筐明细!$B$4:$B$603,"&gt;="&amp;$Z$1,次果筐明细!$B$4:$B$603,"&lt;="&amp;$Z$2))</f>
        <v/>
      </c>
      <c r="F145" s="39" t="str">
        <f>IF(OR($B145="",_自动清单!$AS$7=""),"",SUMIFS(次果筐明细!$G$4:$G$603,次果筐明细!$C$4:$C$603,$B145,次果筐明细!$D$4:$D$603,_自动清单!$AS$7,次果筐明细!$F$4:$F$603,"*出库*",次果筐明细!$B$4:$B$603,"&gt;="&amp;$Z$1,次果筐明细!$B$4:$B$603,"&lt;="&amp;$Z$2))</f>
        <v/>
      </c>
      <c r="G145" s="39" t="str">
        <f>IF($B145="","",SUMIFS(次果筐明细!$G$4:$G$603,次果筐明细!$C$4:$C$603,$B145,次果筐明细!$F$4:$F$603,"*出库*",次果筐明细!$B$4:$B$603,"&gt;="&amp;$Z$1,次果筐明细!$B$4:$B$603,"&lt;="&amp;$Z$2)-SUM($C145:$F145))</f>
        <v/>
      </c>
      <c r="H145" s="39" t="str">
        <f t="shared" si="13"/>
        <v/>
      </c>
      <c r="I145" s="39" t="str">
        <f>IF(OR($B145="",_自动清单!$AS$4=""),"",SUMIFS(次果筐明细!$G$4:$G$603,次果筐明细!$C$4:$C$603,$B145,次果筐明细!$D$4:$D$603,_自动清单!$AS$4,次果筐明细!$F$4:$F$603,"*入库*",次果筐明细!$B$4:$B$603,"&gt;="&amp;$Z$1,次果筐明细!$B$4:$B$603,"&lt;="&amp;$Z$2))</f>
        <v/>
      </c>
      <c r="J145" s="39" t="str">
        <f>IF(OR($B145="",_自动清单!$AS$5=""),"",SUMIFS(次果筐明细!$G$4:$G$603,次果筐明细!$C$4:$C$603,$B145,次果筐明细!$D$4:$D$603,_自动清单!$AS$5,次果筐明细!$F$4:$F$603,"*入库*",次果筐明细!$B$4:$B$603,"&gt;="&amp;$Z$1,次果筐明细!$B$4:$B$603,"&lt;="&amp;$Z$2))</f>
        <v/>
      </c>
      <c r="K145" s="39" t="str">
        <f>IF(OR($B145="",_自动清单!$AS$6=""),"",SUMIFS(次果筐明细!$G$4:$G$603,次果筐明细!$C$4:$C$603,$B145,次果筐明细!$D$4:$D$603,_自动清单!$AS$6,次果筐明细!$F$4:$F$603,"*入库*",次果筐明细!$B$4:$B$603,"&gt;="&amp;$Z$1,次果筐明细!$B$4:$B$603,"&lt;="&amp;$Z$2))</f>
        <v/>
      </c>
      <c r="L145" s="39" t="str">
        <f>IF(OR($B145="",_自动清单!$AS$7=""),"",SUMIFS(次果筐明细!$G$4:$G$603,次果筐明细!$C$4:$C$603,$B145,次果筐明细!$D$4:$D$603,_自动清单!$AS$7,次果筐明细!$F$4:$F$603,"*入库*",次果筐明细!$B$4:$B$603,"&gt;="&amp;$Z$1,次果筐明细!$B$4:$B$603,"&lt;="&amp;$Z$2))</f>
        <v/>
      </c>
      <c r="M145" s="62" t="str">
        <f>IF($B145="","",SUMIFS(次果筐明细!$G$4:$G$603,次果筐明细!$C$4:$C$603,$B145,次果筐明细!$F$4:$F$603,"*入库*",次果筐明细!$B$4:$B$603,"&gt;="&amp;$Z$1,次果筐明细!$B$4:$B$603,"&lt;="&amp;$Z$2)-SUM($I145:$L145))</f>
        <v/>
      </c>
      <c r="N145" s="62" t="str">
        <f t="shared" si="14"/>
        <v/>
      </c>
      <c r="O145" s="39" t="str">
        <f t="shared" si="15"/>
        <v/>
      </c>
      <c r="P145" s="30" t="str">
        <f>IF($B145="","",ROUND(SUMIFS(次果筐明细!$L$4:$L$603,次果筐明细!$C$4:$C$603,$B145,次果筐明细!$B$4:$B$603,"&gt;="&amp;$Z$1,次果筐明细!$B$4:$B$603,"&lt;="&amp;$Z$2),2))</f>
        <v/>
      </c>
      <c r="Q145" s="30" t="str">
        <f>IF($B145="","",ROUND(SUMIFS(次果筐明细!$L$4:$L$603,次果筐明细!$C$4:$C$603,$B145,次果筐明细!$M$4:$M$603,"已收讫",次果筐明细!$B$4:$B$603,"&gt;="&amp;$Z$1,次果筐明细!$B$4:$B$603,"&lt;="&amp;$Z$2),2))</f>
        <v/>
      </c>
      <c r="R145" s="30" t="str">
        <f t="shared" si="16"/>
        <v/>
      </c>
      <c r="S145" s="30" t="str">
        <f>IF($B145="","",ROUND(SUMIFS(次果筐明细!$J$4:$J$603,次果筐明细!$C$4:$C$603,$B145,次果筐明细!$B$4:$B$603,"&gt;="&amp;$Z$1,次果筐明细!$B$4:$B$603,"&lt;="&amp;$Z$2),2))</f>
        <v/>
      </c>
      <c r="T145" s="63" t="str">
        <f>IF($B145="","",ROUND(SUMIFS(次果筐明细!$K$4:$K$603,次果筐明细!$C$4:$C$603,$B145,次果筐明细!$B$4:$B$603,"&gt;="&amp;$Z$1,次果筐明细!$B$4:$B$603,"&lt;="&amp;$Z$2),2))</f>
        <v/>
      </c>
      <c r="U145" s="30" t="str">
        <f t="shared" si="17"/>
        <v/>
      </c>
      <c r="V145" s="42"/>
    </row>
    <row r="146" spans="1:22">
      <c r="A146" s="24" t="str">
        <f t="shared" si="12"/>
        <v/>
      </c>
      <c r="B146" s="37" t="str">
        <f>IFERROR(INDEX(_自动清单!$AY$4:$AY$203,ROW()-3),"")</f>
        <v/>
      </c>
      <c r="C146" s="39" t="str">
        <f>IF(OR($B146="",_自动清单!$AS$4=""),"",SUMIFS(次果筐明细!$G$4:$G$603,次果筐明细!$C$4:$C$603,$B146,次果筐明细!$D$4:$D$603,_自动清单!$AS$4,次果筐明细!$F$4:$F$603,"*出库*",次果筐明细!$B$4:$B$603,"&gt;="&amp;$Z$1,次果筐明细!$B$4:$B$603,"&lt;="&amp;$Z$2))</f>
        <v/>
      </c>
      <c r="D146" s="39" t="str">
        <f>IF(OR($B146="",_自动清单!$AS$5=""),"",SUMIFS(次果筐明细!$G$4:$G$603,次果筐明细!$C$4:$C$603,$B146,次果筐明细!$D$4:$D$603,_自动清单!$AS$5,次果筐明细!$F$4:$F$603,"*出库*",次果筐明细!$B$4:$B$603,"&gt;="&amp;$Z$1,次果筐明细!$B$4:$B$603,"&lt;="&amp;$Z$2))</f>
        <v/>
      </c>
      <c r="E146" s="39" t="str">
        <f>IF(OR($B146="",_自动清单!$AS$6=""),"",SUMIFS(次果筐明细!$G$4:$G$603,次果筐明细!$C$4:$C$603,$B146,次果筐明细!$D$4:$D$603,_自动清单!$AS$6,次果筐明细!$F$4:$F$603,"*出库*",次果筐明细!$B$4:$B$603,"&gt;="&amp;$Z$1,次果筐明细!$B$4:$B$603,"&lt;="&amp;$Z$2))</f>
        <v/>
      </c>
      <c r="F146" s="39" t="str">
        <f>IF(OR($B146="",_自动清单!$AS$7=""),"",SUMIFS(次果筐明细!$G$4:$G$603,次果筐明细!$C$4:$C$603,$B146,次果筐明细!$D$4:$D$603,_自动清单!$AS$7,次果筐明细!$F$4:$F$603,"*出库*",次果筐明细!$B$4:$B$603,"&gt;="&amp;$Z$1,次果筐明细!$B$4:$B$603,"&lt;="&amp;$Z$2))</f>
        <v/>
      </c>
      <c r="G146" s="39" t="str">
        <f>IF($B146="","",SUMIFS(次果筐明细!$G$4:$G$603,次果筐明细!$C$4:$C$603,$B146,次果筐明细!$F$4:$F$603,"*出库*",次果筐明细!$B$4:$B$603,"&gt;="&amp;$Z$1,次果筐明细!$B$4:$B$603,"&lt;="&amp;$Z$2)-SUM($C146:$F146))</f>
        <v/>
      </c>
      <c r="H146" s="39" t="str">
        <f t="shared" si="13"/>
        <v/>
      </c>
      <c r="I146" s="39" t="str">
        <f>IF(OR($B146="",_自动清单!$AS$4=""),"",SUMIFS(次果筐明细!$G$4:$G$603,次果筐明细!$C$4:$C$603,$B146,次果筐明细!$D$4:$D$603,_自动清单!$AS$4,次果筐明细!$F$4:$F$603,"*入库*",次果筐明细!$B$4:$B$603,"&gt;="&amp;$Z$1,次果筐明细!$B$4:$B$603,"&lt;="&amp;$Z$2))</f>
        <v/>
      </c>
      <c r="J146" s="39" t="str">
        <f>IF(OR($B146="",_自动清单!$AS$5=""),"",SUMIFS(次果筐明细!$G$4:$G$603,次果筐明细!$C$4:$C$603,$B146,次果筐明细!$D$4:$D$603,_自动清单!$AS$5,次果筐明细!$F$4:$F$603,"*入库*",次果筐明细!$B$4:$B$603,"&gt;="&amp;$Z$1,次果筐明细!$B$4:$B$603,"&lt;="&amp;$Z$2))</f>
        <v/>
      </c>
      <c r="K146" s="39" t="str">
        <f>IF(OR($B146="",_自动清单!$AS$6=""),"",SUMIFS(次果筐明细!$G$4:$G$603,次果筐明细!$C$4:$C$603,$B146,次果筐明细!$D$4:$D$603,_自动清单!$AS$6,次果筐明细!$F$4:$F$603,"*入库*",次果筐明细!$B$4:$B$603,"&gt;="&amp;$Z$1,次果筐明细!$B$4:$B$603,"&lt;="&amp;$Z$2))</f>
        <v/>
      </c>
      <c r="L146" s="39" t="str">
        <f>IF(OR($B146="",_自动清单!$AS$7=""),"",SUMIFS(次果筐明细!$G$4:$G$603,次果筐明细!$C$4:$C$603,$B146,次果筐明细!$D$4:$D$603,_自动清单!$AS$7,次果筐明细!$F$4:$F$603,"*入库*",次果筐明细!$B$4:$B$603,"&gt;="&amp;$Z$1,次果筐明细!$B$4:$B$603,"&lt;="&amp;$Z$2))</f>
        <v/>
      </c>
      <c r="M146" s="62" t="str">
        <f>IF($B146="","",SUMIFS(次果筐明细!$G$4:$G$603,次果筐明细!$C$4:$C$603,$B146,次果筐明细!$F$4:$F$603,"*入库*",次果筐明细!$B$4:$B$603,"&gt;="&amp;$Z$1,次果筐明细!$B$4:$B$603,"&lt;="&amp;$Z$2)-SUM($I146:$L146))</f>
        <v/>
      </c>
      <c r="N146" s="62" t="str">
        <f t="shared" si="14"/>
        <v/>
      </c>
      <c r="O146" s="39" t="str">
        <f t="shared" si="15"/>
        <v/>
      </c>
      <c r="P146" s="30" t="str">
        <f>IF($B146="","",ROUND(SUMIFS(次果筐明细!$L$4:$L$603,次果筐明细!$C$4:$C$603,$B146,次果筐明细!$B$4:$B$603,"&gt;="&amp;$Z$1,次果筐明细!$B$4:$B$603,"&lt;="&amp;$Z$2),2))</f>
        <v/>
      </c>
      <c r="Q146" s="30" t="str">
        <f>IF($B146="","",ROUND(SUMIFS(次果筐明细!$L$4:$L$603,次果筐明细!$C$4:$C$603,$B146,次果筐明细!$M$4:$M$603,"已收讫",次果筐明细!$B$4:$B$603,"&gt;="&amp;$Z$1,次果筐明细!$B$4:$B$603,"&lt;="&amp;$Z$2),2))</f>
        <v/>
      </c>
      <c r="R146" s="30" t="str">
        <f t="shared" si="16"/>
        <v/>
      </c>
      <c r="S146" s="30" t="str">
        <f>IF($B146="","",ROUND(SUMIFS(次果筐明细!$J$4:$J$603,次果筐明细!$C$4:$C$603,$B146,次果筐明细!$B$4:$B$603,"&gt;="&amp;$Z$1,次果筐明细!$B$4:$B$603,"&lt;="&amp;$Z$2),2))</f>
        <v/>
      </c>
      <c r="T146" s="63" t="str">
        <f>IF($B146="","",ROUND(SUMIFS(次果筐明细!$K$4:$K$603,次果筐明细!$C$4:$C$603,$B146,次果筐明细!$B$4:$B$603,"&gt;="&amp;$Z$1,次果筐明细!$B$4:$B$603,"&lt;="&amp;$Z$2),2))</f>
        <v/>
      </c>
      <c r="U146" s="30" t="str">
        <f t="shared" si="17"/>
        <v/>
      </c>
      <c r="V146" s="42"/>
    </row>
    <row r="147" spans="1:22">
      <c r="A147" s="24" t="str">
        <f t="shared" si="12"/>
        <v/>
      </c>
      <c r="B147" s="37" t="str">
        <f>IFERROR(INDEX(_自动清单!$AY$4:$AY$203,ROW()-3),"")</f>
        <v/>
      </c>
      <c r="C147" s="39" t="str">
        <f>IF(OR($B147="",_自动清单!$AS$4=""),"",SUMIFS(次果筐明细!$G$4:$G$603,次果筐明细!$C$4:$C$603,$B147,次果筐明细!$D$4:$D$603,_自动清单!$AS$4,次果筐明细!$F$4:$F$603,"*出库*",次果筐明细!$B$4:$B$603,"&gt;="&amp;$Z$1,次果筐明细!$B$4:$B$603,"&lt;="&amp;$Z$2))</f>
        <v/>
      </c>
      <c r="D147" s="39" t="str">
        <f>IF(OR($B147="",_自动清单!$AS$5=""),"",SUMIFS(次果筐明细!$G$4:$G$603,次果筐明细!$C$4:$C$603,$B147,次果筐明细!$D$4:$D$603,_自动清单!$AS$5,次果筐明细!$F$4:$F$603,"*出库*",次果筐明细!$B$4:$B$603,"&gt;="&amp;$Z$1,次果筐明细!$B$4:$B$603,"&lt;="&amp;$Z$2))</f>
        <v/>
      </c>
      <c r="E147" s="39" t="str">
        <f>IF(OR($B147="",_自动清单!$AS$6=""),"",SUMIFS(次果筐明细!$G$4:$G$603,次果筐明细!$C$4:$C$603,$B147,次果筐明细!$D$4:$D$603,_自动清单!$AS$6,次果筐明细!$F$4:$F$603,"*出库*",次果筐明细!$B$4:$B$603,"&gt;="&amp;$Z$1,次果筐明细!$B$4:$B$603,"&lt;="&amp;$Z$2))</f>
        <v/>
      </c>
      <c r="F147" s="39" t="str">
        <f>IF(OR($B147="",_自动清单!$AS$7=""),"",SUMIFS(次果筐明细!$G$4:$G$603,次果筐明细!$C$4:$C$603,$B147,次果筐明细!$D$4:$D$603,_自动清单!$AS$7,次果筐明细!$F$4:$F$603,"*出库*",次果筐明细!$B$4:$B$603,"&gt;="&amp;$Z$1,次果筐明细!$B$4:$B$603,"&lt;="&amp;$Z$2))</f>
        <v/>
      </c>
      <c r="G147" s="39" t="str">
        <f>IF($B147="","",SUMIFS(次果筐明细!$G$4:$G$603,次果筐明细!$C$4:$C$603,$B147,次果筐明细!$F$4:$F$603,"*出库*",次果筐明细!$B$4:$B$603,"&gt;="&amp;$Z$1,次果筐明细!$B$4:$B$603,"&lt;="&amp;$Z$2)-SUM($C147:$F147))</f>
        <v/>
      </c>
      <c r="H147" s="39" t="str">
        <f t="shared" si="13"/>
        <v/>
      </c>
      <c r="I147" s="39" t="str">
        <f>IF(OR($B147="",_自动清单!$AS$4=""),"",SUMIFS(次果筐明细!$G$4:$G$603,次果筐明细!$C$4:$C$603,$B147,次果筐明细!$D$4:$D$603,_自动清单!$AS$4,次果筐明细!$F$4:$F$603,"*入库*",次果筐明细!$B$4:$B$603,"&gt;="&amp;$Z$1,次果筐明细!$B$4:$B$603,"&lt;="&amp;$Z$2))</f>
        <v/>
      </c>
      <c r="J147" s="39" t="str">
        <f>IF(OR($B147="",_自动清单!$AS$5=""),"",SUMIFS(次果筐明细!$G$4:$G$603,次果筐明细!$C$4:$C$603,$B147,次果筐明细!$D$4:$D$603,_自动清单!$AS$5,次果筐明细!$F$4:$F$603,"*入库*",次果筐明细!$B$4:$B$603,"&gt;="&amp;$Z$1,次果筐明细!$B$4:$B$603,"&lt;="&amp;$Z$2))</f>
        <v/>
      </c>
      <c r="K147" s="39" t="str">
        <f>IF(OR($B147="",_自动清单!$AS$6=""),"",SUMIFS(次果筐明细!$G$4:$G$603,次果筐明细!$C$4:$C$603,$B147,次果筐明细!$D$4:$D$603,_自动清单!$AS$6,次果筐明细!$F$4:$F$603,"*入库*",次果筐明细!$B$4:$B$603,"&gt;="&amp;$Z$1,次果筐明细!$B$4:$B$603,"&lt;="&amp;$Z$2))</f>
        <v/>
      </c>
      <c r="L147" s="39" t="str">
        <f>IF(OR($B147="",_自动清单!$AS$7=""),"",SUMIFS(次果筐明细!$G$4:$G$603,次果筐明细!$C$4:$C$603,$B147,次果筐明细!$D$4:$D$603,_自动清单!$AS$7,次果筐明细!$F$4:$F$603,"*入库*",次果筐明细!$B$4:$B$603,"&gt;="&amp;$Z$1,次果筐明细!$B$4:$B$603,"&lt;="&amp;$Z$2))</f>
        <v/>
      </c>
      <c r="M147" s="62" t="str">
        <f>IF($B147="","",SUMIFS(次果筐明细!$G$4:$G$603,次果筐明细!$C$4:$C$603,$B147,次果筐明细!$F$4:$F$603,"*入库*",次果筐明细!$B$4:$B$603,"&gt;="&amp;$Z$1,次果筐明细!$B$4:$B$603,"&lt;="&amp;$Z$2)-SUM($I147:$L147))</f>
        <v/>
      </c>
      <c r="N147" s="62" t="str">
        <f t="shared" si="14"/>
        <v/>
      </c>
      <c r="O147" s="39" t="str">
        <f t="shared" si="15"/>
        <v/>
      </c>
      <c r="P147" s="30" t="str">
        <f>IF($B147="","",ROUND(SUMIFS(次果筐明细!$L$4:$L$603,次果筐明细!$C$4:$C$603,$B147,次果筐明细!$B$4:$B$603,"&gt;="&amp;$Z$1,次果筐明细!$B$4:$B$603,"&lt;="&amp;$Z$2),2))</f>
        <v/>
      </c>
      <c r="Q147" s="30" t="str">
        <f>IF($B147="","",ROUND(SUMIFS(次果筐明细!$L$4:$L$603,次果筐明细!$C$4:$C$603,$B147,次果筐明细!$M$4:$M$603,"已收讫",次果筐明细!$B$4:$B$603,"&gt;="&amp;$Z$1,次果筐明细!$B$4:$B$603,"&lt;="&amp;$Z$2),2))</f>
        <v/>
      </c>
      <c r="R147" s="30" t="str">
        <f t="shared" si="16"/>
        <v/>
      </c>
      <c r="S147" s="30" t="str">
        <f>IF($B147="","",ROUND(SUMIFS(次果筐明细!$J$4:$J$603,次果筐明细!$C$4:$C$603,$B147,次果筐明细!$B$4:$B$603,"&gt;="&amp;$Z$1,次果筐明细!$B$4:$B$603,"&lt;="&amp;$Z$2),2))</f>
        <v/>
      </c>
      <c r="T147" s="63" t="str">
        <f>IF($B147="","",ROUND(SUMIFS(次果筐明细!$K$4:$K$603,次果筐明细!$C$4:$C$603,$B147,次果筐明细!$B$4:$B$603,"&gt;="&amp;$Z$1,次果筐明细!$B$4:$B$603,"&lt;="&amp;$Z$2),2))</f>
        <v/>
      </c>
      <c r="U147" s="30" t="str">
        <f t="shared" si="17"/>
        <v/>
      </c>
      <c r="V147" s="42"/>
    </row>
    <row r="148" spans="1:22">
      <c r="A148" s="24" t="str">
        <f t="shared" si="12"/>
        <v/>
      </c>
      <c r="B148" s="37" t="str">
        <f>IFERROR(INDEX(_自动清单!$AY$4:$AY$203,ROW()-3),"")</f>
        <v/>
      </c>
      <c r="C148" s="39" t="str">
        <f>IF(OR($B148="",_自动清单!$AS$4=""),"",SUMIFS(次果筐明细!$G$4:$G$603,次果筐明细!$C$4:$C$603,$B148,次果筐明细!$D$4:$D$603,_自动清单!$AS$4,次果筐明细!$F$4:$F$603,"*出库*",次果筐明细!$B$4:$B$603,"&gt;="&amp;$Z$1,次果筐明细!$B$4:$B$603,"&lt;="&amp;$Z$2))</f>
        <v/>
      </c>
      <c r="D148" s="39" t="str">
        <f>IF(OR($B148="",_自动清单!$AS$5=""),"",SUMIFS(次果筐明细!$G$4:$G$603,次果筐明细!$C$4:$C$603,$B148,次果筐明细!$D$4:$D$603,_自动清单!$AS$5,次果筐明细!$F$4:$F$603,"*出库*",次果筐明细!$B$4:$B$603,"&gt;="&amp;$Z$1,次果筐明细!$B$4:$B$603,"&lt;="&amp;$Z$2))</f>
        <v/>
      </c>
      <c r="E148" s="39" t="str">
        <f>IF(OR($B148="",_自动清单!$AS$6=""),"",SUMIFS(次果筐明细!$G$4:$G$603,次果筐明细!$C$4:$C$603,$B148,次果筐明细!$D$4:$D$603,_自动清单!$AS$6,次果筐明细!$F$4:$F$603,"*出库*",次果筐明细!$B$4:$B$603,"&gt;="&amp;$Z$1,次果筐明细!$B$4:$B$603,"&lt;="&amp;$Z$2))</f>
        <v/>
      </c>
      <c r="F148" s="39" t="str">
        <f>IF(OR($B148="",_自动清单!$AS$7=""),"",SUMIFS(次果筐明细!$G$4:$G$603,次果筐明细!$C$4:$C$603,$B148,次果筐明细!$D$4:$D$603,_自动清单!$AS$7,次果筐明细!$F$4:$F$603,"*出库*",次果筐明细!$B$4:$B$603,"&gt;="&amp;$Z$1,次果筐明细!$B$4:$B$603,"&lt;="&amp;$Z$2))</f>
        <v/>
      </c>
      <c r="G148" s="39" t="str">
        <f>IF($B148="","",SUMIFS(次果筐明细!$G$4:$G$603,次果筐明细!$C$4:$C$603,$B148,次果筐明细!$F$4:$F$603,"*出库*",次果筐明细!$B$4:$B$603,"&gt;="&amp;$Z$1,次果筐明细!$B$4:$B$603,"&lt;="&amp;$Z$2)-SUM($C148:$F148))</f>
        <v/>
      </c>
      <c r="H148" s="39" t="str">
        <f t="shared" si="13"/>
        <v/>
      </c>
      <c r="I148" s="39" t="str">
        <f>IF(OR($B148="",_自动清单!$AS$4=""),"",SUMIFS(次果筐明细!$G$4:$G$603,次果筐明细!$C$4:$C$603,$B148,次果筐明细!$D$4:$D$603,_自动清单!$AS$4,次果筐明细!$F$4:$F$603,"*入库*",次果筐明细!$B$4:$B$603,"&gt;="&amp;$Z$1,次果筐明细!$B$4:$B$603,"&lt;="&amp;$Z$2))</f>
        <v/>
      </c>
      <c r="J148" s="39" t="str">
        <f>IF(OR($B148="",_自动清单!$AS$5=""),"",SUMIFS(次果筐明细!$G$4:$G$603,次果筐明细!$C$4:$C$603,$B148,次果筐明细!$D$4:$D$603,_自动清单!$AS$5,次果筐明细!$F$4:$F$603,"*入库*",次果筐明细!$B$4:$B$603,"&gt;="&amp;$Z$1,次果筐明细!$B$4:$B$603,"&lt;="&amp;$Z$2))</f>
        <v/>
      </c>
      <c r="K148" s="39" t="str">
        <f>IF(OR($B148="",_自动清单!$AS$6=""),"",SUMIFS(次果筐明细!$G$4:$G$603,次果筐明细!$C$4:$C$603,$B148,次果筐明细!$D$4:$D$603,_自动清单!$AS$6,次果筐明细!$F$4:$F$603,"*入库*",次果筐明细!$B$4:$B$603,"&gt;="&amp;$Z$1,次果筐明细!$B$4:$B$603,"&lt;="&amp;$Z$2))</f>
        <v/>
      </c>
      <c r="L148" s="39" t="str">
        <f>IF(OR($B148="",_自动清单!$AS$7=""),"",SUMIFS(次果筐明细!$G$4:$G$603,次果筐明细!$C$4:$C$603,$B148,次果筐明细!$D$4:$D$603,_自动清单!$AS$7,次果筐明细!$F$4:$F$603,"*入库*",次果筐明细!$B$4:$B$603,"&gt;="&amp;$Z$1,次果筐明细!$B$4:$B$603,"&lt;="&amp;$Z$2))</f>
        <v/>
      </c>
      <c r="M148" s="62" t="str">
        <f>IF($B148="","",SUMIFS(次果筐明细!$G$4:$G$603,次果筐明细!$C$4:$C$603,$B148,次果筐明细!$F$4:$F$603,"*入库*",次果筐明细!$B$4:$B$603,"&gt;="&amp;$Z$1,次果筐明细!$B$4:$B$603,"&lt;="&amp;$Z$2)-SUM($I148:$L148))</f>
        <v/>
      </c>
      <c r="N148" s="62" t="str">
        <f t="shared" si="14"/>
        <v/>
      </c>
      <c r="O148" s="39" t="str">
        <f t="shared" si="15"/>
        <v/>
      </c>
      <c r="P148" s="30" t="str">
        <f>IF($B148="","",ROUND(SUMIFS(次果筐明细!$L$4:$L$603,次果筐明细!$C$4:$C$603,$B148,次果筐明细!$B$4:$B$603,"&gt;="&amp;$Z$1,次果筐明细!$B$4:$B$603,"&lt;="&amp;$Z$2),2))</f>
        <v/>
      </c>
      <c r="Q148" s="30" t="str">
        <f>IF($B148="","",ROUND(SUMIFS(次果筐明细!$L$4:$L$603,次果筐明细!$C$4:$C$603,$B148,次果筐明细!$M$4:$M$603,"已收讫",次果筐明细!$B$4:$B$603,"&gt;="&amp;$Z$1,次果筐明细!$B$4:$B$603,"&lt;="&amp;$Z$2),2))</f>
        <v/>
      </c>
      <c r="R148" s="30" t="str">
        <f t="shared" si="16"/>
        <v/>
      </c>
      <c r="S148" s="30" t="str">
        <f>IF($B148="","",ROUND(SUMIFS(次果筐明细!$J$4:$J$603,次果筐明细!$C$4:$C$603,$B148,次果筐明细!$B$4:$B$603,"&gt;="&amp;$Z$1,次果筐明细!$B$4:$B$603,"&lt;="&amp;$Z$2),2))</f>
        <v/>
      </c>
      <c r="T148" s="63" t="str">
        <f>IF($B148="","",ROUND(SUMIFS(次果筐明细!$K$4:$K$603,次果筐明细!$C$4:$C$603,$B148,次果筐明细!$B$4:$B$603,"&gt;="&amp;$Z$1,次果筐明细!$B$4:$B$603,"&lt;="&amp;$Z$2),2))</f>
        <v/>
      </c>
      <c r="U148" s="30" t="str">
        <f t="shared" si="17"/>
        <v/>
      </c>
      <c r="V148" s="42"/>
    </row>
    <row r="149" spans="1:22">
      <c r="A149" s="24" t="str">
        <f t="shared" si="12"/>
        <v/>
      </c>
      <c r="B149" s="37" t="str">
        <f>IFERROR(INDEX(_自动清单!$AY$4:$AY$203,ROW()-3),"")</f>
        <v/>
      </c>
      <c r="C149" s="39" t="str">
        <f>IF(OR($B149="",_自动清单!$AS$4=""),"",SUMIFS(次果筐明细!$G$4:$G$603,次果筐明细!$C$4:$C$603,$B149,次果筐明细!$D$4:$D$603,_自动清单!$AS$4,次果筐明细!$F$4:$F$603,"*出库*",次果筐明细!$B$4:$B$603,"&gt;="&amp;$Z$1,次果筐明细!$B$4:$B$603,"&lt;="&amp;$Z$2))</f>
        <v/>
      </c>
      <c r="D149" s="39" t="str">
        <f>IF(OR($B149="",_自动清单!$AS$5=""),"",SUMIFS(次果筐明细!$G$4:$G$603,次果筐明细!$C$4:$C$603,$B149,次果筐明细!$D$4:$D$603,_自动清单!$AS$5,次果筐明细!$F$4:$F$603,"*出库*",次果筐明细!$B$4:$B$603,"&gt;="&amp;$Z$1,次果筐明细!$B$4:$B$603,"&lt;="&amp;$Z$2))</f>
        <v/>
      </c>
      <c r="E149" s="39" t="str">
        <f>IF(OR($B149="",_自动清单!$AS$6=""),"",SUMIFS(次果筐明细!$G$4:$G$603,次果筐明细!$C$4:$C$603,$B149,次果筐明细!$D$4:$D$603,_自动清单!$AS$6,次果筐明细!$F$4:$F$603,"*出库*",次果筐明细!$B$4:$B$603,"&gt;="&amp;$Z$1,次果筐明细!$B$4:$B$603,"&lt;="&amp;$Z$2))</f>
        <v/>
      </c>
      <c r="F149" s="39" t="str">
        <f>IF(OR($B149="",_自动清单!$AS$7=""),"",SUMIFS(次果筐明细!$G$4:$G$603,次果筐明细!$C$4:$C$603,$B149,次果筐明细!$D$4:$D$603,_自动清单!$AS$7,次果筐明细!$F$4:$F$603,"*出库*",次果筐明细!$B$4:$B$603,"&gt;="&amp;$Z$1,次果筐明细!$B$4:$B$603,"&lt;="&amp;$Z$2))</f>
        <v/>
      </c>
      <c r="G149" s="39" t="str">
        <f>IF($B149="","",SUMIFS(次果筐明细!$G$4:$G$603,次果筐明细!$C$4:$C$603,$B149,次果筐明细!$F$4:$F$603,"*出库*",次果筐明细!$B$4:$B$603,"&gt;="&amp;$Z$1,次果筐明细!$B$4:$B$603,"&lt;="&amp;$Z$2)-SUM($C149:$F149))</f>
        <v/>
      </c>
      <c r="H149" s="39" t="str">
        <f t="shared" si="13"/>
        <v/>
      </c>
      <c r="I149" s="39" t="str">
        <f>IF(OR($B149="",_自动清单!$AS$4=""),"",SUMIFS(次果筐明细!$G$4:$G$603,次果筐明细!$C$4:$C$603,$B149,次果筐明细!$D$4:$D$603,_自动清单!$AS$4,次果筐明细!$F$4:$F$603,"*入库*",次果筐明细!$B$4:$B$603,"&gt;="&amp;$Z$1,次果筐明细!$B$4:$B$603,"&lt;="&amp;$Z$2))</f>
        <v/>
      </c>
      <c r="J149" s="39" t="str">
        <f>IF(OR($B149="",_自动清单!$AS$5=""),"",SUMIFS(次果筐明细!$G$4:$G$603,次果筐明细!$C$4:$C$603,$B149,次果筐明细!$D$4:$D$603,_自动清单!$AS$5,次果筐明细!$F$4:$F$603,"*入库*",次果筐明细!$B$4:$B$603,"&gt;="&amp;$Z$1,次果筐明细!$B$4:$B$603,"&lt;="&amp;$Z$2))</f>
        <v/>
      </c>
      <c r="K149" s="39" t="str">
        <f>IF(OR($B149="",_自动清单!$AS$6=""),"",SUMIFS(次果筐明细!$G$4:$G$603,次果筐明细!$C$4:$C$603,$B149,次果筐明细!$D$4:$D$603,_自动清单!$AS$6,次果筐明细!$F$4:$F$603,"*入库*",次果筐明细!$B$4:$B$603,"&gt;="&amp;$Z$1,次果筐明细!$B$4:$B$603,"&lt;="&amp;$Z$2))</f>
        <v/>
      </c>
      <c r="L149" s="39" t="str">
        <f>IF(OR($B149="",_自动清单!$AS$7=""),"",SUMIFS(次果筐明细!$G$4:$G$603,次果筐明细!$C$4:$C$603,$B149,次果筐明细!$D$4:$D$603,_自动清单!$AS$7,次果筐明细!$F$4:$F$603,"*入库*",次果筐明细!$B$4:$B$603,"&gt;="&amp;$Z$1,次果筐明细!$B$4:$B$603,"&lt;="&amp;$Z$2))</f>
        <v/>
      </c>
      <c r="M149" s="62" t="str">
        <f>IF($B149="","",SUMIFS(次果筐明细!$G$4:$G$603,次果筐明细!$C$4:$C$603,$B149,次果筐明细!$F$4:$F$603,"*入库*",次果筐明细!$B$4:$B$603,"&gt;="&amp;$Z$1,次果筐明细!$B$4:$B$603,"&lt;="&amp;$Z$2)-SUM($I149:$L149))</f>
        <v/>
      </c>
      <c r="N149" s="62" t="str">
        <f t="shared" si="14"/>
        <v/>
      </c>
      <c r="O149" s="39" t="str">
        <f t="shared" si="15"/>
        <v/>
      </c>
      <c r="P149" s="30" t="str">
        <f>IF($B149="","",ROUND(SUMIFS(次果筐明细!$L$4:$L$603,次果筐明细!$C$4:$C$603,$B149,次果筐明细!$B$4:$B$603,"&gt;="&amp;$Z$1,次果筐明细!$B$4:$B$603,"&lt;="&amp;$Z$2),2))</f>
        <v/>
      </c>
      <c r="Q149" s="30" t="str">
        <f>IF($B149="","",ROUND(SUMIFS(次果筐明细!$L$4:$L$603,次果筐明细!$C$4:$C$603,$B149,次果筐明细!$M$4:$M$603,"已收讫",次果筐明细!$B$4:$B$603,"&gt;="&amp;$Z$1,次果筐明细!$B$4:$B$603,"&lt;="&amp;$Z$2),2))</f>
        <v/>
      </c>
      <c r="R149" s="30" t="str">
        <f t="shared" si="16"/>
        <v/>
      </c>
      <c r="S149" s="30" t="str">
        <f>IF($B149="","",ROUND(SUMIFS(次果筐明细!$J$4:$J$603,次果筐明细!$C$4:$C$603,$B149,次果筐明细!$B$4:$B$603,"&gt;="&amp;$Z$1,次果筐明细!$B$4:$B$603,"&lt;="&amp;$Z$2),2))</f>
        <v/>
      </c>
      <c r="T149" s="63" t="str">
        <f>IF($B149="","",ROUND(SUMIFS(次果筐明细!$K$4:$K$603,次果筐明细!$C$4:$C$603,$B149,次果筐明细!$B$4:$B$603,"&gt;="&amp;$Z$1,次果筐明细!$B$4:$B$603,"&lt;="&amp;$Z$2),2))</f>
        <v/>
      </c>
      <c r="U149" s="30" t="str">
        <f t="shared" si="17"/>
        <v/>
      </c>
      <c r="V149" s="42"/>
    </row>
    <row r="150" spans="1:22">
      <c r="A150" s="24" t="str">
        <f t="shared" si="12"/>
        <v/>
      </c>
      <c r="B150" s="37" t="str">
        <f>IFERROR(INDEX(_自动清单!$AY$4:$AY$203,ROW()-3),"")</f>
        <v/>
      </c>
      <c r="C150" s="39" t="str">
        <f>IF(OR($B150="",_自动清单!$AS$4=""),"",SUMIFS(次果筐明细!$G$4:$G$603,次果筐明细!$C$4:$C$603,$B150,次果筐明细!$D$4:$D$603,_自动清单!$AS$4,次果筐明细!$F$4:$F$603,"*出库*",次果筐明细!$B$4:$B$603,"&gt;="&amp;$Z$1,次果筐明细!$B$4:$B$603,"&lt;="&amp;$Z$2))</f>
        <v/>
      </c>
      <c r="D150" s="39" t="str">
        <f>IF(OR($B150="",_自动清单!$AS$5=""),"",SUMIFS(次果筐明细!$G$4:$G$603,次果筐明细!$C$4:$C$603,$B150,次果筐明细!$D$4:$D$603,_自动清单!$AS$5,次果筐明细!$F$4:$F$603,"*出库*",次果筐明细!$B$4:$B$603,"&gt;="&amp;$Z$1,次果筐明细!$B$4:$B$603,"&lt;="&amp;$Z$2))</f>
        <v/>
      </c>
      <c r="E150" s="39" t="str">
        <f>IF(OR($B150="",_自动清单!$AS$6=""),"",SUMIFS(次果筐明细!$G$4:$G$603,次果筐明细!$C$4:$C$603,$B150,次果筐明细!$D$4:$D$603,_自动清单!$AS$6,次果筐明细!$F$4:$F$603,"*出库*",次果筐明细!$B$4:$B$603,"&gt;="&amp;$Z$1,次果筐明细!$B$4:$B$603,"&lt;="&amp;$Z$2))</f>
        <v/>
      </c>
      <c r="F150" s="39" t="str">
        <f>IF(OR($B150="",_自动清单!$AS$7=""),"",SUMIFS(次果筐明细!$G$4:$G$603,次果筐明细!$C$4:$C$603,$B150,次果筐明细!$D$4:$D$603,_自动清单!$AS$7,次果筐明细!$F$4:$F$603,"*出库*",次果筐明细!$B$4:$B$603,"&gt;="&amp;$Z$1,次果筐明细!$B$4:$B$603,"&lt;="&amp;$Z$2))</f>
        <v/>
      </c>
      <c r="G150" s="39" t="str">
        <f>IF($B150="","",SUMIFS(次果筐明细!$G$4:$G$603,次果筐明细!$C$4:$C$603,$B150,次果筐明细!$F$4:$F$603,"*出库*",次果筐明细!$B$4:$B$603,"&gt;="&amp;$Z$1,次果筐明细!$B$4:$B$603,"&lt;="&amp;$Z$2)-SUM($C150:$F150))</f>
        <v/>
      </c>
      <c r="H150" s="39" t="str">
        <f t="shared" si="13"/>
        <v/>
      </c>
      <c r="I150" s="39" t="str">
        <f>IF(OR($B150="",_自动清单!$AS$4=""),"",SUMIFS(次果筐明细!$G$4:$G$603,次果筐明细!$C$4:$C$603,$B150,次果筐明细!$D$4:$D$603,_自动清单!$AS$4,次果筐明细!$F$4:$F$603,"*入库*",次果筐明细!$B$4:$B$603,"&gt;="&amp;$Z$1,次果筐明细!$B$4:$B$603,"&lt;="&amp;$Z$2))</f>
        <v/>
      </c>
      <c r="J150" s="39" t="str">
        <f>IF(OR($B150="",_自动清单!$AS$5=""),"",SUMIFS(次果筐明细!$G$4:$G$603,次果筐明细!$C$4:$C$603,$B150,次果筐明细!$D$4:$D$603,_自动清单!$AS$5,次果筐明细!$F$4:$F$603,"*入库*",次果筐明细!$B$4:$B$603,"&gt;="&amp;$Z$1,次果筐明细!$B$4:$B$603,"&lt;="&amp;$Z$2))</f>
        <v/>
      </c>
      <c r="K150" s="39" t="str">
        <f>IF(OR($B150="",_自动清单!$AS$6=""),"",SUMIFS(次果筐明细!$G$4:$G$603,次果筐明细!$C$4:$C$603,$B150,次果筐明细!$D$4:$D$603,_自动清单!$AS$6,次果筐明细!$F$4:$F$603,"*入库*",次果筐明细!$B$4:$B$603,"&gt;="&amp;$Z$1,次果筐明细!$B$4:$B$603,"&lt;="&amp;$Z$2))</f>
        <v/>
      </c>
      <c r="L150" s="39" t="str">
        <f>IF(OR($B150="",_自动清单!$AS$7=""),"",SUMIFS(次果筐明细!$G$4:$G$603,次果筐明细!$C$4:$C$603,$B150,次果筐明细!$D$4:$D$603,_自动清单!$AS$7,次果筐明细!$F$4:$F$603,"*入库*",次果筐明细!$B$4:$B$603,"&gt;="&amp;$Z$1,次果筐明细!$B$4:$B$603,"&lt;="&amp;$Z$2))</f>
        <v/>
      </c>
      <c r="M150" s="62" t="str">
        <f>IF($B150="","",SUMIFS(次果筐明细!$G$4:$G$603,次果筐明细!$C$4:$C$603,$B150,次果筐明细!$F$4:$F$603,"*入库*",次果筐明细!$B$4:$B$603,"&gt;="&amp;$Z$1,次果筐明细!$B$4:$B$603,"&lt;="&amp;$Z$2)-SUM($I150:$L150))</f>
        <v/>
      </c>
      <c r="N150" s="62" t="str">
        <f t="shared" si="14"/>
        <v/>
      </c>
      <c r="O150" s="39" t="str">
        <f t="shared" si="15"/>
        <v/>
      </c>
      <c r="P150" s="30" t="str">
        <f>IF($B150="","",ROUND(SUMIFS(次果筐明细!$L$4:$L$603,次果筐明细!$C$4:$C$603,$B150,次果筐明细!$B$4:$B$603,"&gt;="&amp;$Z$1,次果筐明细!$B$4:$B$603,"&lt;="&amp;$Z$2),2))</f>
        <v/>
      </c>
      <c r="Q150" s="30" t="str">
        <f>IF($B150="","",ROUND(SUMIFS(次果筐明细!$L$4:$L$603,次果筐明细!$C$4:$C$603,$B150,次果筐明细!$M$4:$M$603,"已收讫",次果筐明细!$B$4:$B$603,"&gt;="&amp;$Z$1,次果筐明细!$B$4:$B$603,"&lt;="&amp;$Z$2),2))</f>
        <v/>
      </c>
      <c r="R150" s="30" t="str">
        <f t="shared" si="16"/>
        <v/>
      </c>
      <c r="S150" s="30" t="str">
        <f>IF($B150="","",ROUND(SUMIFS(次果筐明细!$J$4:$J$603,次果筐明细!$C$4:$C$603,$B150,次果筐明细!$B$4:$B$603,"&gt;="&amp;$Z$1,次果筐明细!$B$4:$B$603,"&lt;="&amp;$Z$2),2))</f>
        <v/>
      </c>
      <c r="T150" s="63" t="str">
        <f>IF($B150="","",ROUND(SUMIFS(次果筐明细!$K$4:$K$603,次果筐明细!$C$4:$C$603,$B150,次果筐明细!$B$4:$B$603,"&gt;="&amp;$Z$1,次果筐明细!$B$4:$B$603,"&lt;="&amp;$Z$2),2))</f>
        <v/>
      </c>
      <c r="U150" s="30" t="str">
        <f t="shared" si="17"/>
        <v/>
      </c>
      <c r="V150" s="42"/>
    </row>
    <row r="151" spans="1:22">
      <c r="A151" s="24" t="str">
        <f t="shared" si="12"/>
        <v/>
      </c>
      <c r="B151" s="37" t="str">
        <f>IFERROR(INDEX(_自动清单!$AY$4:$AY$203,ROW()-3),"")</f>
        <v/>
      </c>
      <c r="C151" s="39" t="str">
        <f>IF(OR($B151="",_自动清单!$AS$4=""),"",SUMIFS(次果筐明细!$G$4:$G$603,次果筐明细!$C$4:$C$603,$B151,次果筐明细!$D$4:$D$603,_自动清单!$AS$4,次果筐明细!$F$4:$F$603,"*出库*",次果筐明细!$B$4:$B$603,"&gt;="&amp;$Z$1,次果筐明细!$B$4:$B$603,"&lt;="&amp;$Z$2))</f>
        <v/>
      </c>
      <c r="D151" s="39" t="str">
        <f>IF(OR($B151="",_自动清单!$AS$5=""),"",SUMIFS(次果筐明细!$G$4:$G$603,次果筐明细!$C$4:$C$603,$B151,次果筐明细!$D$4:$D$603,_自动清单!$AS$5,次果筐明细!$F$4:$F$603,"*出库*",次果筐明细!$B$4:$B$603,"&gt;="&amp;$Z$1,次果筐明细!$B$4:$B$603,"&lt;="&amp;$Z$2))</f>
        <v/>
      </c>
      <c r="E151" s="39" t="str">
        <f>IF(OR($B151="",_自动清单!$AS$6=""),"",SUMIFS(次果筐明细!$G$4:$G$603,次果筐明细!$C$4:$C$603,$B151,次果筐明细!$D$4:$D$603,_自动清单!$AS$6,次果筐明细!$F$4:$F$603,"*出库*",次果筐明细!$B$4:$B$603,"&gt;="&amp;$Z$1,次果筐明细!$B$4:$B$603,"&lt;="&amp;$Z$2))</f>
        <v/>
      </c>
      <c r="F151" s="39" t="str">
        <f>IF(OR($B151="",_自动清单!$AS$7=""),"",SUMIFS(次果筐明细!$G$4:$G$603,次果筐明细!$C$4:$C$603,$B151,次果筐明细!$D$4:$D$603,_自动清单!$AS$7,次果筐明细!$F$4:$F$603,"*出库*",次果筐明细!$B$4:$B$603,"&gt;="&amp;$Z$1,次果筐明细!$B$4:$B$603,"&lt;="&amp;$Z$2))</f>
        <v/>
      </c>
      <c r="G151" s="39" t="str">
        <f>IF($B151="","",SUMIFS(次果筐明细!$G$4:$G$603,次果筐明细!$C$4:$C$603,$B151,次果筐明细!$F$4:$F$603,"*出库*",次果筐明细!$B$4:$B$603,"&gt;="&amp;$Z$1,次果筐明细!$B$4:$B$603,"&lt;="&amp;$Z$2)-SUM($C151:$F151))</f>
        <v/>
      </c>
      <c r="H151" s="39" t="str">
        <f t="shared" si="13"/>
        <v/>
      </c>
      <c r="I151" s="39" t="str">
        <f>IF(OR($B151="",_自动清单!$AS$4=""),"",SUMIFS(次果筐明细!$G$4:$G$603,次果筐明细!$C$4:$C$603,$B151,次果筐明细!$D$4:$D$603,_自动清单!$AS$4,次果筐明细!$F$4:$F$603,"*入库*",次果筐明细!$B$4:$B$603,"&gt;="&amp;$Z$1,次果筐明细!$B$4:$B$603,"&lt;="&amp;$Z$2))</f>
        <v/>
      </c>
      <c r="J151" s="39" t="str">
        <f>IF(OR($B151="",_自动清单!$AS$5=""),"",SUMIFS(次果筐明细!$G$4:$G$603,次果筐明细!$C$4:$C$603,$B151,次果筐明细!$D$4:$D$603,_自动清单!$AS$5,次果筐明细!$F$4:$F$603,"*入库*",次果筐明细!$B$4:$B$603,"&gt;="&amp;$Z$1,次果筐明细!$B$4:$B$603,"&lt;="&amp;$Z$2))</f>
        <v/>
      </c>
      <c r="K151" s="39" t="str">
        <f>IF(OR($B151="",_自动清单!$AS$6=""),"",SUMIFS(次果筐明细!$G$4:$G$603,次果筐明细!$C$4:$C$603,$B151,次果筐明细!$D$4:$D$603,_自动清单!$AS$6,次果筐明细!$F$4:$F$603,"*入库*",次果筐明细!$B$4:$B$603,"&gt;="&amp;$Z$1,次果筐明细!$B$4:$B$603,"&lt;="&amp;$Z$2))</f>
        <v/>
      </c>
      <c r="L151" s="39" t="str">
        <f>IF(OR($B151="",_自动清单!$AS$7=""),"",SUMIFS(次果筐明细!$G$4:$G$603,次果筐明细!$C$4:$C$603,$B151,次果筐明细!$D$4:$D$603,_自动清单!$AS$7,次果筐明细!$F$4:$F$603,"*入库*",次果筐明细!$B$4:$B$603,"&gt;="&amp;$Z$1,次果筐明细!$B$4:$B$603,"&lt;="&amp;$Z$2))</f>
        <v/>
      </c>
      <c r="M151" s="62" t="str">
        <f>IF($B151="","",SUMIFS(次果筐明细!$G$4:$G$603,次果筐明细!$C$4:$C$603,$B151,次果筐明细!$F$4:$F$603,"*入库*",次果筐明细!$B$4:$B$603,"&gt;="&amp;$Z$1,次果筐明细!$B$4:$B$603,"&lt;="&amp;$Z$2)-SUM($I151:$L151))</f>
        <v/>
      </c>
      <c r="N151" s="62" t="str">
        <f t="shared" si="14"/>
        <v/>
      </c>
      <c r="O151" s="39" t="str">
        <f t="shared" si="15"/>
        <v/>
      </c>
      <c r="P151" s="30" t="str">
        <f>IF($B151="","",ROUND(SUMIFS(次果筐明细!$L$4:$L$603,次果筐明细!$C$4:$C$603,$B151,次果筐明细!$B$4:$B$603,"&gt;="&amp;$Z$1,次果筐明细!$B$4:$B$603,"&lt;="&amp;$Z$2),2))</f>
        <v/>
      </c>
      <c r="Q151" s="30" t="str">
        <f>IF($B151="","",ROUND(SUMIFS(次果筐明细!$L$4:$L$603,次果筐明细!$C$4:$C$603,$B151,次果筐明细!$M$4:$M$603,"已收讫",次果筐明细!$B$4:$B$603,"&gt;="&amp;$Z$1,次果筐明细!$B$4:$B$603,"&lt;="&amp;$Z$2),2))</f>
        <v/>
      </c>
      <c r="R151" s="30" t="str">
        <f t="shared" si="16"/>
        <v/>
      </c>
      <c r="S151" s="30" t="str">
        <f>IF($B151="","",ROUND(SUMIFS(次果筐明细!$J$4:$J$603,次果筐明细!$C$4:$C$603,$B151,次果筐明细!$B$4:$B$603,"&gt;="&amp;$Z$1,次果筐明细!$B$4:$B$603,"&lt;="&amp;$Z$2),2))</f>
        <v/>
      </c>
      <c r="T151" s="63" t="str">
        <f>IF($B151="","",ROUND(SUMIFS(次果筐明细!$K$4:$K$603,次果筐明细!$C$4:$C$603,$B151,次果筐明细!$B$4:$B$603,"&gt;="&amp;$Z$1,次果筐明细!$B$4:$B$603,"&lt;="&amp;$Z$2),2))</f>
        <v/>
      </c>
      <c r="U151" s="30" t="str">
        <f t="shared" si="17"/>
        <v/>
      </c>
      <c r="V151" s="42"/>
    </row>
    <row r="152" spans="1:22">
      <c r="A152" s="24" t="str">
        <f t="shared" si="12"/>
        <v/>
      </c>
      <c r="B152" s="37" t="str">
        <f>IFERROR(INDEX(_自动清单!$AY$4:$AY$203,ROW()-3),"")</f>
        <v/>
      </c>
      <c r="C152" s="39" t="str">
        <f>IF(OR($B152="",_自动清单!$AS$4=""),"",SUMIFS(次果筐明细!$G$4:$G$603,次果筐明细!$C$4:$C$603,$B152,次果筐明细!$D$4:$D$603,_自动清单!$AS$4,次果筐明细!$F$4:$F$603,"*出库*",次果筐明细!$B$4:$B$603,"&gt;="&amp;$Z$1,次果筐明细!$B$4:$B$603,"&lt;="&amp;$Z$2))</f>
        <v/>
      </c>
      <c r="D152" s="39" t="str">
        <f>IF(OR($B152="",_自动清单!$AS$5=""),"",SUMIFS(次果筐明细!$G$4:$G$603,次果筐明细!$C$4:$C$603,$B152,次果筐明细!$D$4:$D$603,_自动清单!$AS$5,次果筐明细!$F$4:$F$603,"*出库*",次果筐明细!$B$4:$B$603,"&gt;="&amp;$Z$1,次果筐明细!$B$4:$B$603,"&lt;="&amp;$Z$2))</f>
        <v/>
      </c>
      <c r="E152" s="39" t="str">
        <f>IF(OR($B152="",_自动清单!$AS$6=""),"",SUMIFS(次果筐明细!$G$4:$G$603,次果筐明细!$C$4:$C$603,$B152,次果筐明细!$D$4:$D$603,_自动清单!$AS$6,次果筐明细!$F$4:$F$603,"*出库*",次果筐明细!$B$4:$B$603,"&gt;="&amp;$Z$1,次果筐明细!$B$4:$B$603,"&lt;="&amp;$Z$2))</f>
        <v/>
      </c>
      <c r="F152" s="39" t="str">
        <f>IF(OR($B152="",_自动清单!$AS$7=""),"",SUMIFS(次果筐明细!$G$4:$G$603,次果筐明细!$C$4:$C$603,$B152,次果筐明细!$D$4:$D$603,_自动清单!$AS$7,次果筐明细!$F$4:$F$603,"*出库*",次果筐明细!$B$4:$B$603,"&gt;="&amp;$Z$1,次果筐明细!$B$4:$B$603,"&lt;="&amp;$Z$2))</f>
        <v/>
      </c>
      <c r="G152" s="39" t="str">
        <f>IF($B152="","",SUMIFS(次果筐明细!$G$4:$G$603,次果筐明细!$C$4:$C$603,$B152,次果筐明细!$F$4:$F$603,"*出库*",次果筐明细!$B$4:$B$603,"&gt;="&amp;$Z$1,次果筐明细!$B$4:$B$603,"&lt;="&amp;$Z$2)-SUM($C152:$F152))</f>
        <v/>
      </c>
      <c r="H152" s="39" t="str">
        <f t="shared" si="13"/>
        <v/>
      </c>
      <c r="I152" s="39" t="str">
        <f>IF(OR($B152="",_自动清单!$AS$4=""),"",SUMIFS(次果筐明细!$G$4:$G$603,次果筐明细!$C$4:$C$603,$B152,次果筐明细!$D$4:$D$603,_自动清单!$AS$4,次果筐明细!$F$4:$F$603,"*入库*",次果筐明细!$B$4:$B$603,"&gt;="&amp;$Z$1,次果筐明细!$B$4:$B$603,"&lt;="&amp;$Z$2))</f>
        <v/>
      </c>
      <c r="J152" s="39" t="str">
        <f>IF(OR($B152="",_自动清单!$AS$5=""),"",SUMIFS(次果筐明细!$G$4:$G$603,次果筐明细!$C$4:$C$603,$B152,次果筐明细!$D$4:$D$603,_自动清单!$AS$5,次果筐明细!$F$4:$F$603,"*入库*",次果筐明细!$B$4:$B$603,"&gt;="&amp;$Z$1,次果筐明细!$B$4:$B$603,"&lt;="&amp;$Z$2))</f>
        <v/>
      </c>
      <c r="K152" s="39" t="str">
        <f>IF(OR($B152="",_自动清单!$AS$6=""),"",SUMIFS(次果筐明细!$G$4:$G$603,次果筐明细!$C$4:$C$603,$B152,次果筐明细!$D$4:$D$603,_自动清单!$AS$6,次果筐明细!$F$4:$F$603,"*入库*",次果筐明细!$B$4:$B$603,"&gt;="&amp;$Z$1,次果筐明细!$B$4:$B$603,"&lt;="&amp;$Z$2))</f>
        <v/>
      </c>
      <c r="L152" s="39" t="str">
        <f>IF(OR($B152="",_自动清单!$AS$7=""),"",SUMIFS(次果筐明细!$G$4:$G$603,次果筐明细!$C$4:$C$603,$B152,次果筐明细!$D$4:$D$603,_自动清单!$AS$7,次果筐明细!$F$4:$F$603,"*入库*",次果筐明细!$B$4:$B$603,"&gt;="&amp;$Z$1,次果筐明细!$B$4:$B$603,"&lt;="&amp;$Z$2))</f>
        <v/>
      </c>
      <c r="M152" s="62" t="str">
        <f>IF($B152="","",SUMIFS(次果筐明细!$G$4:$G$603,次果筐明细!$C$4:$C$603,$B152,次果筐明细!$F$4:$F$603,"*入库*",次果筐明细!$B$4:$B$603,"&gt;="&amp;$Z$1,次果筐明细!$B$4:$B$603,"&lt;="&amp;$Z$2)-SUM($I152:$L152))</f>
        <v/>
      </c>
      <c r="N152" s="62" t="str">
        <f t="shared" si="14"/>
        <v/>
      </c>
      <c r="O152" s="39" t="str">
        <f t="shared" si="15"/>
        <v/>
      </c>
      <c r="P152" s="30" t="str">
        <f>IF($B152="","",ROUND(SUMIFS(次果筐明细!$L$4:$L$603,次果筐明细!$C$4:$C$603,$B152,次果筐明细!$B$4:$B$603,"&gt;="&amp;$Z$1,次果筐明细!$B$4:$B$603,"&lt;="&amp;$Z$2),2))</f>
        <v/>
      </c>
      <c r="Q152" s="30" t="str">
        <f>IF($B152="","",ROUND(SUMIFS(次果筐明细!$L$4:$L$603,次果筐明细!$C$4:$C$603,$B152,次果筐明细!$M$4:$M$603,"已收讫",次果筐明细!$B$4:$B$603,"&gt;="&amp;$Z$1,次果筐明细!$B$4:$B$603,"&lt;="&amp;$Z$2),2))</f>
        <v/>
      </c>
      <c r="R152" s="30" t="str">
        <f t="shared" si="16"/>
        <v/>
      </c>
      <c r="S152" s="30" t="str">
        <f>IF($B152="","",ROUND(SUMIFS(次果筐明细!$J$4:$J$603,次果筐明细!$C$4:$C$603,$B152,次果筐明细!$B$4:$B$603,"&gt;="&amp;$Z$1,次果筐明细!$B$4:$B$603,"&lt;="&amp;$Z$2),2))</f>
        <v/>
      </c>
      <c r="T152" s="63" t="str">
        <f>IF($B152="","",ROUND(SUMIFS(次果筐明细!$K$4:$K$603,次果筐明细!$C$4:$C$603,$B152,次果筐明细!$B$4:$B$603,"&gt;="&amp;$Z$1,次果筐明细!$B$4:$B$603,"&lt;="&amp;$Z$2),2))</f>
        <v/>
      </c>
      <c r="U152" s="30" t="str">
        <f t="shared" si="17"/>
        <v/>
      </c>
      <c r="V152" s="42"/>
    </row>
    <row r="153" spans="1:22">
      <c r="A153" s="24" t="str">
        <f t="shared" si="12"/>
        <v/>
      </c>
      <c r="B153" s="37" t="str">
        <f>IFERROR(INDEX(_自动清单!$AY$4:$AY$203,ROW()-3),"")</f>
        <v/>
      </c>
      <c r="C153" s="39" t="str">
        <f>IF(OR($B153="",_自动清单!$AS$4=""),"",SUMIFS(次果筐明细!$G$4:$G$603,次果筐明细!$C$4:$C$603,$B153,次果筐明细!$D$4:$D$603,_自动清单!$AS$4,次果筐明细!$F$4:$F$603,"*出库*",次果筐明细!$B$4:$B$603,"&gt;="&amp;$Z$1,次果筐明细!$B$4:$B$603,"&lt;="&amp;$Z$2))</f>
        <v/>
      </c>
      <c r="D153" s="39" t="str">
        <f>IF(OR($B153="",_自动清单!$AS$5=""),"",SUMIFS(次果筐明细!$G$4:$G$603,次果筐明细!$C$4:$C$603,$B153,次果筐明细!$D$4:$D$603,_自动清单!$AS$5,次果筐明细!$F$4:$F$603,"*出库*",次果筐明细!$B$4:$B$603,"&gt;="&amp;$Z$1,次果筐明细!$B$4:$B$603,"&lt;="&amp;$Z$2))</f>
        <v/>
      </c>
      <c r="E153" s="39" t="str">
        <f>IF(OR($B153="",_自动清单!$AS$6=""),"",SUMIFS(次果筐明细!$G$4:$G$603,次果筐明细!$C$4:$C$603,$B153,次果筐明细!$D$4:$D$603,_自动清单!$AS$6,次果筐明细!$F$4:$F$603,"*出库*",次果筐明细!$B$4:$B$603,"&gt;="&amp;$Z$1,次果筐明细!$B$4:$B$603,"&lt;="&amp;$Z$2))</f>
        <v/>
      </c>
      <c r="F153" s="39" t="str">
        <f>IF(OR($B153="",_自动清单!$AS$7=""),"",SUMIFS(次果筐明细!$G$4:$G$603,次果筐明细!$C$4:$C$603,$B153,次果筐明细!$D$4:$D$603,_自动清单!$AS$7,次果筐明细!$F$4:$F$603,"*出库*",次果筐明细!$B$4:$B$603,"&gt;="&amp;$Z$1,次果筐明细!$B$4:$B$603,"&lt;="&amp;$Z$2))</f>
        <v/>
      </c>
      <c r="G153" s="39" t="str">
        <f>IF($B153="","",SUMIFS(次果筐明细!$G$4:$G$603,次果筐明细!$C$4:$C$603,$B153,次果筐明细!$F$4:$F$603,"*出库*",次果筐明细!$B$4:$B$603,"&gt;="&amp;$Z$1,次果筐明细!$B$4:$B$603,"&lt;="&amp;$Z$2)-SUM($C153:$F153))</f>
        <v/>
      </c>
      <c r="H153" s="39" t="str">
        <f t="shared" si="13"/>
        <v/>
      </c>
      <c r="I153" s="39" t="str">
        <f>IF(OR($B153="",_自动清单!$AS$4=""),"",SUMIFS(次果筐明细!$G$4:$G$603,次果筐明细!$C$4:$C$603,$B153,次果筐明细!$D$4:$D$603,_自动清单!$AS$4,次果筐明细!$F$4:$F$603,"*入库*",次果筐明细!$B$4:$B$603,"&gt;="&amp;$Z$1,次果筐明细!$B$4:$B$603,"&lt;="&amp;$Z$2))</f>
        <v/>
      </c>
      <c r="J153" s="39" t="str">
        <f>IF(OR($B153="",_自动清单!$AS$5=""),"",SUMIFS(次果筐明细!$G$4:$G$603,次果筐明细!$C$4:$C$603,$B153,次果筐明细!$D$4:$D$603,_自动清单!$AS$5,次果筐明细!$F$4:$F$603,"*入库*",次果筐明细!$B$4:$B$603,"&gt;="&amp;$Z$1,次果筐明细!$B$4:$B$603,"&lt;="&amp;$Z$2))</f>
        <v/>
      </c>
      <c r="K153" s="39" t="str">
        <f>IF(OR($B153="",_自动清单!$AS$6=""),"",SUMIFS(次果筐明细!$G$4:$G$603,次果筐明细!$C$4:$C$603,$B153,次果筐明细!$D$4:$D$603,_自动清单!$AS$6,次果筐明细!$F$4:$F$603,"*入库*",次果筐明细!$B$4:$B$603,"&gt;="&amp;$Z$1,次果筐明细!$B$4:$B$603,"&lt;="&amp;$Z$2))</f>
        <v/>
      </c>
      <c r="L153" s="39" t="str">
        <f>IF(OR($B153="",_自动清单!$AS$7=""),"",SUMIFS(次果筐明细!$G$4:$G$603,次果筐明细!$C$4:$C$603,$B153,次果筐明细!$D$4:$D$603,_自动清单!$AS$7,次果筐明细!$F$4:$F$603,"*入库*",次果筐明细!$B$4:$B$603,"&gt;="&amp;$Z$1,次果筐明细!$B$4:$B$603,"&lt;="&amp;$Z$2))</f>
        <v/>
      </c>
      <c r="M153" s="62" t="str">
        <f>IF($B153="","",SUMIFS(次果筐明细!$G$4:$G$603,次果筐明细!$C$4:$C$603,$B153,次果筐明细!$F$4:$F$603,"*入库*",次果筐明细!$B$4:$B$603,"&gt;="&amp;$Z$1,次果筐明细!$B$4:$B$603,"&lt;="&amp;$Z$2)-SUM($I153:$L153))</f>
        <v/>
      </c>
      <c r="N153" s="62" t="str">
        <f t="shared" si="14"/>
        <v/>
      </c>
      <c r="O153" s="39" t="str">
        <f t="shared" si="15"/>
        <v/>
      </c>
      <c r="P153" s="30" t="str">
        <f>IF($B153="","",ROUND(SUMIFS(次果筐明细!$L$4:$L$603,次果筐明细!$C$4:$C$603,$B153,次果筐明细!$B$4:$B$603,"&gt;="&amp;$Z$1,次果筐明细!$B$4:$B$603,"&lt;="&amp;$Z$2),2))</f>
        <v/>
      </c>
      <c r="Q153" s="30" t="str">
        <f>IF($B153="","",ROUND(SUMIFS(次果筐明细!$L$4:$L$603,次果筐明细!$C$4:$C$603,$B153,次果筐明细!$M$4:$M$603,"已收讫",次果筐明细!$B$4:$B$603,"&gt;="&amp;$Z$1,次果筐明细!$B$4:$B$603,"&lt;="&amp;$Z$2),2))</f>
        <v/>
      </c>
      <c r="R153" s="30" t="str">
        <f t="shared" si="16"/>
        <v/>
      </c>
      <c r="S153" s="30" t="str">
        <f>IF($B153="","",ROUND(SUMIFS(次果筐明细!$J$4:$J$603,次果筐明细!$C$4:$C$603,$B153,次果筐明细!$B$4:$B$603,"&gt;="&amp;$Z$1,次果筐明细!$B$4:$B$603,"&lt;="&amp;$Z$2),2))</f>
        <v/>
      </c>
      <c r="T153" s="63" t="str">
        <f>IF($B153="","",ROUND(SUMIFS(次果筐明细!$K$4:$K$603,次果筐明细!$C$4:$C$603,$B153,次果筐明细!$B$4:$B$603,"&gt;="&amp;$Z$1,次果筐明细!$B$4:$B$603,"&lt;="&amp;$Z$2),2))</f>
        <v/>
      </c>
      <c r="U153" s="30" t="str">
        <f t="shared" si="17"/>
        <v/>
      </c>
      <c r="V153" s="42"/>
    </row>
    <row r="154" spans="1:22">
      <c r="A154" s="24" t="str">
        <f t="shared" si="12"/>
        <v/>
      </c>
      <c r="B154" s="37" t="str">
        <f>IFERROR(INDEX(_自动清单!$AY$4:$AY$203,ROW()-3),"")</f>
        <v/>
      </c>
      <c r="C154" s="39" t="str">
        <f>IF(OR($B154="",_自动清单!$AS$4=""),"",SUMIFS(次果筐明细!$G$4:$G$603,次果筐明细!$C$4:$C$603,$B154,次果筐明细!$D$4:$D$603,_自动清单!$AS$4,次果筐明细!$F$4:$F$603,"*出库*",次果筐明细!$B$4:$B$603,"&gt;="&amp;$Z$1,次果筐明细!$B$4:$B$603,"&lt;="&amp;$Z$2))</f>
        <v/>
      </c>
      <c r="D154" s="39" t="str">
        <f>IF(OR($B154="",_自动清单!$AS$5=""),"",SUMIFS(次果筐明细!$G$4:$G$603,次果筐明细!$C$4:$C$603,$B154,次果筐明细!$D$4:$D$603,_自动清单!$AS$5,次果筐明细!$F$4:$F$603,"*出库*",次果筐明细!$B$4:$B$603,"&gt;="&amp;$Z$1,次果筐明细!$B$4:$B$603,"&lt;="&amp;$Z$2))</f>
        <v/>
      </c>
      <c r="E154" s="39" t="str">
        <f>IF(OR($B154="",_自动清单!$AS$6=""),"",SUMIFS(次果筐明细!$G$4:$G$603,次果筐明细!$C$4:$C$603,$B154,次果筐明细!$D$4:$D$603,_自动清单!$AS$6,次果筐明细!$F$4:$F$603,"*出库*",次果筐明细!$B$4:$B$603,"&gt;="&amp;$Z$1,次果筐明细!$B$4:$B$603,"&lt;="&amp;$Z$2))</f>
        <v/>
      </c>
      <c r="F154" s="39" t="str">
        <f>IF(OR($B154="",_自动清单!$AS$7=""),"",SUMIFS(次果筐明细!$G$4:$G$603,次果筐明细!$C$4:$C$603,$B154,次果筐明细!$D$4:$D$603,_自动清单!$AS$7,次果筐明细!$F$4:$F$603,"*出库*",次果筐明细!$B$4:$B$603,"&gt;="&amp;$Z$1,次果筐明细!$B$4:$B$603,"&lt;="&amp;$Z$2))</f>
        <v/>
      </c>
      <c r="G154" s="39" t="str">
        <f>IF($B154="","",SUMIFS(次果筐明细!$G$4:$G$603,次果筐明细!$C$4:$C$603,$B154,次果筐明细!$F$4:$F$603,"*出库*",次果筐明细!$B$4:$B$603,"&gt;="&amp;$Z$1,次果筐明细!$B$4:$B$603,"&lt;="&amp;$Z$2)-SUM($C154:$F154))</f>
        <v/>
      </c>
      <c r="H154" s="39" t="str">
        <f t="shared" si="13"/>
        <v/>
      </c>
      <c r="I154" s="39" t="str">
        <f>IF(OR($B154="",_自动清单!$AS$4=""),"",SUMIFS(次果筐明细!$G$4:$G$603,次果筐明细!$C$4:$C$603,$B154,次果筐明细!$D$4:$D$603,_自动清单!$AS$4,次果筐明细!$F$4:$F$603,"*入库*",次果筐明细!$B$4:$B$603,"&gt;="&amp;$Z$1,次果筐明细!$B$4:$B$603,"&lt;="&amp;$Z$2))</f>
        <v/>
      </c>
      <c r="J154" s="39" t="str">
        <f>IF(OR($B154="",_自动清单!$AS$5=""),"",SUMIFS(次果筐明细!$G$4:$G$603,次果筐明细!$C$4:$C$603,$B154,次果筐明细!$D$4:$D$603,_自动清单!$AS$5,次果筐明细!$F$4:$F$603,"*入库*",次果筐明细!$B$4:$B$603,"&gt;="&amp;$Z$1,次果筐明细!$B$4:$B$603,"&lt;="&amp;$Z$2))</f>
        <v/>
      </c>
      <c r="K154" s="39" t="str">
        <f>IF(OR($B154="",_自动清单!$AS$6=""),"",SUMIFS(次果筐明细!$G$4:$G$603,次果筐明细!$C$4:$C$603,$B154,次果筐明细!$D$4:$D$603,_自动清单!$AS$6,次果筐明细!$F$4:$F$603,"*入库*",次果筐明细!$B$4:$B$603,"&gt;="&amp;$Z$1,次果筐明细!$B$4:$B$603,"&lt;="&amp;$Z$2))</f>
        <v/>
      </c>
      <c r="L154" s="39" t="str">
        <f>IF(OR($B154="",_自动清单!$AS$7=""),"",SUMIFS(次果筐明细!$G$4:$G$603,次果筐明细!$C$4:$C$603,$B154,次果筐明细!$D$4:$D$603,_自动清单!$AS$7,次果筐明细!$F$4:$F$603,"*入库*",次果筐明细!$B$4:$B$603,"&gt;="&amp;$Z$1,次果筐明细!$B$4:$B$603,"&lt;="&amp;$Z$2))</f>
        <v/>
      </c>
      <c r="M154" s="62" t="str">
        <f>IF($B154="","",SUMIFS(次果筐明细!$G$4:$G$603,次果筐明细!$C$4:$C$603,$B154,次果筐明细!$F$4:$F$603,"*入库*",次果筐明细!$B$4:$B$603,"&gt;="&amp;$Z$1,次果筐明细!$B$4:$B$603,"&lt;="&amp;$Z$2)-SUM($I154:$L154))</f>
        <v/>
      </c>
      <c r="N154" s="62" t="str">
        <f t="shared" si="14"/>
        <v/>
      </c>
      <c r="O154" s="39" t="str">
        <f t="shared" si="15"/>
        <v/>
      </c>
      <c r="P154" s="30" t="str">
        <f>IF($B154="","",ROUND(SUMIFS(次果筐明细!$L$4:$L$603,次果筐明细!$C$4:$C$603,$B154,次果筐明细!$B$4:$B$603,"&gt;="&amp;$Z$1,次果筐明细!$B$4:$B$603,"&lt;="&amp;$Z$2),2))</f>
        <v/>
      </c>
      <c r="Q154" s="30" t="str">
        <f>IF($B154="","",ROUND(SUMIFS(次果筐明细!$L$4:$L$603,次果筐明细!$C$4:$C$603,$B154,次果筐明细!$M$4:$M$603,"已收讫",次果筐明细!$B$4:$B$603,"&gt;="&amp;$Z$1,次果筐明细!$B$4:$B$603,"&lt;="&amp;$Z$2),2))</f>
        <v/>
      </c>
      <c r="R154" s="30" t="str">
        <f t="shared" si="16"/>
        <v/>
      </c>
      <c r="S154" s="30" t="str">
        <f>IF($B154="","",ROUND(SUMIFS(次果筐明细!$J$4:$J$603,次果筐明细!$C$4:$C$603,$B154,次果筐明细!$B$4:$B$603,"&gt;="&amp;$Z$1,次果筐明细!$B$4:$B$603,"&lt;="&amp;$Z$2),2))</f>
        <v/>
      </c>
      <c r="T154" s="63" t="str">
        <f>IF($B154="","",ROUND(SUMIFS(次果筐明细!$K$4:$K$603,次果筐明细!$C$4:$C$603,$B154,次果筐明细!$B$4:$B$603,"&gt;="&amp;$Z$1,次果筐明细!$B$4:$B$603,"&lt;="&amp;$Z$2),2))</f>
        <v/>
      </c>
      <c r="U154" s="30" t="str">
        <f t="shared" si="17"/>
        <v/>
      </c>
      <c r="V154" s="42"/>
    </row>
    <row r="155" spans="1:22">
      <c r="A155" s="24" t="str">
        <f t="shared" si="12"/>
        <v/>
      </c>
      <c r="B155" s="37" t="str">
        <f>IFERROR(INDEX(_自动清单!$AY$4:$AY$203,ROW()-3),"")</f>
        <v/>
      </c>
      <c r="C155" s="39" t="str">
        <f>IF(OR($B155="",_自动清单!$AS$4=""),"",SUMIFS(次果筐明细!$G$4:$G$603,次果筐明细!$C$4:$C$603,$B155,次果筐明细!$D$4:$D$603,_自动清单!$AS$4,次果筐明细!$F$4:$F$603,"*出库*",次果筐明细!$B$4:$B$603,"&gt;="&amp;$Z$1,次果筐明细!$B$4:$B$603,"&lt;="&amp;$Z$2))</f>
        <v/>
      </c>
      <c r="D155" s="39" t="str">
        <f>IF(OR($B155="",_自动清单!$AS$5=""),"",SUMIFS(次果筐明细!$G$4:$G$603,次果筐明细!$C$4:$C$603,$B155,次果筐明细!$D$4:$D$603,_自动清单!$AS$5,次果筐明细!$F$4:$F$603,"*出库*",次果筐明细!$B$4:$B$603,"&gt;="&amp;$Z$1,次果筐明细!$B$4:$B$603,"&lt;="&amp;$Z$2))</f>
        <v/>
      </c>
      <c r="E155" s="39" t="str">
        <f>IF(OR($B155="",_自动清单!$AS$6=""),"",SUMIFS(次果筐明细!$G$4:$G$603,次果筐明细!$C$4:$C$603,$B155,次果筐明细!$D$4:$D$603,_自动清单!$AS$6,次果筐明细!$F$4:$F$603,"*出库*",次果筐明细!$B$4:$B$603,"&gt;="&amp;$Z$1,次果筐明细!$B$4:$B$603,"&lt;="&amp;$Z$2))</f>
        <v/>
      </c>
      <c r="F155" s="39" t="str">
        <f>IF(OR($B155="",_自动清单!$AS$7=""),"",SUMIFS(次果筐明细!$G$4:$G$603,次果筐明细!$C$4:$C$603,$B155,次果筐明细!$D$4:$D$603,_自动清单!$AS$7,次果筐明细!$F$4:$F$603,"*出库*",次果筐明细!$B$4:$B$603,"&gt;="&amp;$Z$1,次果筐明细!$B$4:$B$603,"&lt;="&amp;$Z$2))</f>
        <v/>
      </c>
      <c r="G155" s="39" t="str">
        <f>IF($B155="","",SUMIFS(次果筐明细!$G$4:$G$603,次果筐明细!$C$4:$C$603,$B155,次果筐明细!$F$4:$F$603,"*出库*",次果筐明细!$B$4:$B$603,"&gt;="&amp;$Z$1,次果筐明细!$B$4:$B$603,"&lt;="&amp;$Z$2)-SUM($C155:$F155))</f>
        <v/>
      </c>
      <c r="H155" s="39" t="str">
        <f t="shared" si="13"/>
        <v/>
      </c>
      <c r="I155" s="39" t="str">
        <f>IF(OR($B155="",_自动清单!$AS$4=""),"",SUMIFS(次果筐明细!$G$4:$G$603,次果筐明细!$C$4:$C$603,$B155,次果筐明细!$D$4:$D$603,_自动清单!$AS$4,次果筐明细!$F$4:$F$603,"*入库*",次果筐明细!$B$4:$B$603,"&gt;="&amp;$Z$1,次果筐明细!$B$4:$B$603,"&lt;="&amp;$Z$2))</f>
        <v/>
      </c>
      <c r="J155" s="39" t="str">
        <f>IF(OR($B155="",_自动清单!$AS$5=""),"",SUMIFS(次果筐明细!$G$4:$G$603,次果筐明细!$C$4:$C$603,$B155,次果筐明细!$D$4:$D$603,_自动清单!$AS$5,次果筐明细!$F$4:$F$603,"*入库*",次果筐明细!$B$4:$B$603,"&gt;="&amp;$Z$1,次果筐明细!$B$4:$B$603,"&lt;="&amp;$Z$2))</f>
        <v/>
      </c>
      <c r="K155" s="39" t="str">
        <f>IF(OR($B155="",_自动清单!$AS$6=""),"",SUMIFS(次果筐明细!$G$4:$G$603,次果筐明细!$C$4:$C$603,$B155,次果筐明细!$D$4:$D$603,_自动清单!$AS$6,次果筐明细!$F$4:$F$603,"*入库*",次果筐明细!$B$4:$B$603,"&gt;="&amp;$Z$1,次果筐明细!$B$4:$B$603,"&lt;="&amp;$Z$2))</f>
        <v/>
      </c>
      <c r="L155" s="39" t="str">
        <f>IF(OR($B155="",_自动清单!$AS$7=""),"",SUMIFS(次果筐明细!$G$4:$G$603,次果筐明细!$C$4:$C$603,$B155,次果筐明细!$D$4:$D$603,_自动清单!$AS$7,次果筐明细!$F$4:$F$603,"*入库*",次果筐明细!$B$4:$B$603,"&gt;="&amp;$Z$1,次果筐明细!$B$4:$B$603,"&lt;="&amp;$Z$2))</f>
        <v/>
      </c>
      <c r="M155" s="62" t="str">
        <f>IF($B155="","",SUMIFS(次果筐明细!$G$4:$G$603,次果筐明细!$C$4:$C$603,$B155,次果筐明细!$F$4:$F$603,"*入库*",次果筐明细!$B$4:$B$603,"&gt;="&amp;$Z$1,次果筐明细!$B$4:$B$603,"&lt;="&amp;$Z$2)-SUM($I155:$L155))</f>
        <v/>
      </c>
      <c r="N155" s="62" t="str">
        <f t="shared" si="14"/>
        <v/>
      </c>
      <c r="O155" s="39" t="str">
        <f t="shared" si="15"/>
        <v/>
      </c>
      <c r="P155" s="30" t="str">
        <f>IF($B155="","",ROUND(SUMIFS(次果筐明细!$L$4:$L$603,次果筐明细!$C$4:$C$603,$B155,次果筐明细!$B$4:$B$603,"&gt;="&amp;$Z$1,次果筐明细!$B$4:$B$603,"&lt;="&amp;$Z$2),2))</f>
        <v/>
      </c>
      <c r="Q155" s="30" t="str">
        <f>IF($B155="","",ROUND(SUMIFS(次果筐明细!$L$4:$L$603,次果筐明细!$C$4:$C$603,$B155,次果筐明细!$M$4:$M$603,"已收讫",次果筐明细!$B$4:$B$603,"&gt;="&amp;$Z$1,次果筐明细!$B$4:$B$603,"&lt;="&amp;$Z$2),2))</f>
        <v/>
      </c>
      <c r="R155" s="30" t="str">
        <f t="shared" si="16"/>
        <v/>
      </c>
      <c r="S155" s="30" t="str">
        <f>IF($B155="","",ROUND(SUMIFS(次果筐明细!$J$4:$J$603,次果筐明细!$C$4:$C$603,$B155,次果筐明细!$B$4:$B$603,"&gt;="&amp;$Z$1,次果筐明细!$B$4:$B$603,"&lt;="&amp;$Z$2),2))</f>
        <v/>
      </c>
      <c r="T155" s="63" t="str">
        <f>IF($B155="","",ROUND(SUMIFS(次果筐明细!$K$4:$K$603,次果筐明细!$C$4:$C$603,$B155,次果筐明细!$B$4:$B$603,"&gt;="&amp;$Z$1,次果筐明细!$B$4:$B$603,"&lt;="&amp;$Z$2),2))</f>
        <v/>
      </c>
      <c r="U155" s="30" t="str">
        <f t="shared" si="17"/>
        <v/>
      </c>
      <c r="V155" s="42"/>
    </row>
    <row r="156" spans="1:22">
      <c r="A156" s="24" t="str">
        <f t="shared" si="12"/>
        <v/>
      </c>
      <c r="B156" s="37" t="str">
        <f>IFERROR(INDEX(_自动清单!$AY$4:$AY$203,ROW()-3),"")</f>
        <v/>
      </c>
      <c r="C156" s="39" t="str">
        <f>IF(OR($B156="",_自动清单!$AS$4=""),"",SUMIFS(次果筐明细!$G$4:$G$603,次果筐明细!$C$4:$C$603,$B156,次果筐明细!$D$4:$D$603,_自动清单!$AS$4,次果筐明细!$F$4:$F$603,"*出库*",次果筐明细!$B$4:$B$603,"&gt;="&amp;$Z$1,次果筐明细!$B$4:$B$603,"&lt;="&amp;$Z$2))</f>
        <v/>
      </c>
      <c r="D156" s="39" t="str">
        <f>IF(OR($B156="",_自动清单!$AS$5=""),"",SUMIFS(次果筐明细!$G$4:$G$603,次果筐明细!$C$4:$C$603,$B156,次果筐明细!$D$4:$D$603,_自动清单!$AS$5,次果筐明细!$F$4:$F$603,"*出库*",次果筐明细!$B$4:$B$603,"&gt;="&amp;$Z$1,次果筐明细!$B$4:$B$603,"&lt;="&amp;$Z$2))</f>
        <v/>
      </c>
      <c r="E156" s="39" t="str">
        <f>IF(OR($B156="",_自动清单!$AS$6=""),"",SUMIFS(次果筐明细!$G$4:$G$603,次果筐明细!$C$4:$C$603,$B156,次果筐明细!$D$4:$D$603,_自动清单!$AS$6,次果筐明细!$F$4:$F$603,"*出库*",次果筐明细!$B$4:$B$603,"&gt;="&amp;$Z$1,次果筐明细!$B$4:$B$603,"&lt;="&amp;$Z$2))</f>
        <v/>
      </c>
      <c r="F156" s="39" t="str">
        <f>IF(OR($B156="",_自动清单!$AS$7=""),"",SUMIFS(次果筐明细!$G$4:$G$603,次果筐明细!$C$4:$C$603,$B156,次果筐明细!$D$4:$D$603,_自动清单!$AS$7,次果筐明细!$F$4:$F$603,"*出库*",次果筐明细!$B$4:$B$603,"&gt;="&amp;$Z$1,次果筐明细!$B$4:$B$603,"&lt;="&amp;$Z$2))</f>
        <v/>
      </c>
      <c r="G156" s="39" t="str">
        <f>IF($B156="","",SUMIFS(次果筐明细!$G$4:$G$603,次果筐明细!$C$4:$C$603,$B156,次果筐明细!$F$4:$F$603,"*出库*",次果筐明细!$B$4:$B$603,"&gt;="&amp;$Z$1,次果筐明细!$B$4:$B$603,"&lt;="&amp;$Z$2)-SUM($C156:$F156))</f>
        <v/>
      </c>
      <c r="H156" s="39" t="str">
        <f t="shared" si="13"/>
        <v/>
      </c>
      <c r="I156" s="39" t="str">
        <f>IF(OR($B156="",_自动清单!$AS$4=""),"",SUMIFS(次果筐明细!$G$4:$G$603,次果筐明细!$C$4:$C$603,$B156,次果筐明细!$D$4:$D$603,_自动清单!$AS$4,次果筐明细!$F$4:$F$603,"*入库*",次果筐明细!$B$4:$B$603,"&gt;="&amp;$Z$1,次果筐明细!$B$4:$B$603,"&lt;="&amp;$Z$2))</f>
        <v/>
      </c>
      <c r="J156" s="39" t="str">
        <f>IF(OR($B156="",_自动清单!$AS$5=""),"",SUMIFS(次果筐明细!$G$4:$G$603,次果筐明细!$C$4:$C$603,$B156,次果筐明细!$D$4:$D$603,_自动清单!$AS$5,次果筐明细!$F$4:$F$603,"*入库*",次果筐明细!$B$4:$B$603,"&gt;="&amp;$Z$1,次果筐明细!$B$4:$B$603,"&lt;="&amp;$Z$2))</f>
        <v/>
      </c>
      <c r="K156" s="39" t="str">
        <f>IF(OR($B156="",_自动清单!$AS$6=""),"",SUMIFS(次果筐明细!$G$4:$G$603,次果筐明细!$C$4:$C$603,$B156,次果筐明细!$D$4:$D$603,_自动清单!$AS$6,次果筐明细!$F$4:$F$603,"*入库*",次果筐明细!$B$4:$B$603,"&gt;="&amp;$Z$1,次果筐明细!$B$4:$B$603,"&lt;="&amp;$Z$2))</f>
        <v/>
      </c>
      <c r="L156" s="39" t="str">
        <f>IF(OR($B156="",_自动清单!$AS$7=""),"",SUMIFS(次果筐明细!$G$4:$G$603,次果筐明细!$C$4:$C$603,$B156,次果筐明细!$D$4:$D$603,_自动清单!$AS$7,次果筐明细!$F$4:$F$603,"*入库*",次果筐明细!$B$4:$B$603,"&gt;="&amp;$Z$1,次果筐明细!$B$4:$B$603,"&lt;="&amp;$Z$2))</f>
        <v/>
      </c>
      <c r="M156" s="62" t="str">
        <f>IF($B156="","",SUMIFS(次果筐明细!$G$4:$G$603,次果筐明细!$C$4:$C$603,$B156,次果筐明细!$F$4:$F$603,"*入库*",次果筐明细!$B$4:$B$603,"&gt;="&amp;$Z$1,次果筐明细!$B$4:$B$603,"&lt;="&amp;$Z$2)-SUM($I156:$L156))</f>
        <v/>
      </c>
      <c r="N156" s="62" t="str">
        <f t="shared" si="14"/>
        <v/>
      </c>
      <c r="O156" s="39" t="str">
        <f t="shared" si="15"/>
        <v/>
      </c>
      <c r="P156" s="30" t="str">
        <f>IF($B156="","",ROUND(SUMIFS(次果筐明细!$L$4:$L$603,次果筐明细!$C$4:$C$603,$B156,次果筐明细!$B$4:$B$603,"&gt;="&amp;$Z$1,次果筐明细!$B$4:$B$603,"&lt;="&amp;$Z$2),2))</f>
        <v/>
      </c>
      <c r="Q156" s="30" t="str">
        <f>IF($B156="","",ROUND(SUMIFS(次果筐明细!$L$4:$L$603,次果筐明细!$C$4:$C$603,$B156,次果筐明细!$M$4:$M$603,"已收讫",次果筐明细!$B$4:$B$603,"&gt;="&amp;$Z$1,次果筐明细!$B$4:$B$603,"&lt;="&amp;$Z$2),2))</f>
        <v/>
      </c>
      <c r="R156" s="30" t="str">
        <f t="shared" si="16"/>
        <v/>
      </c>
      <c r="S156" s="30" t="str">
        <f>IF($B156="","",ROUND(SUMIFS(次果筐明细!$J$4:$J$603,次果筐明细!$C$4:$C$603,$B156,次果筐明细!$B$4:$B$603,"&gt;="&amp;$Z$1,次果筐明细!$B$4:$B$603,"&lt;="&amp;$Z$2),2))</f>
        <v/>
      </c>
      <c r="T156" s="63" t="str">
        <f>IF($B156="","",ROUND(SUMIFS(次果筐明细!$K$4:$K$603,次果筐明细!$C$4:$C$603,$B156,次果筐明细!$B$4:$B$603,"&gt;="&amp;$Z$1,次果筐明细!$B$4:$B$603,"&lt;="&amp;$Z$2),2))</f>
        <v/>
      </c>
      <c r="U156" s="30" t="str">
        <f t="shared" si="17"/>
        <v/>
      </c>
      <c r="V156" s="42"/>
    </row>
    <row r="157" spans="1:22">
      <c r="A157" s="24" t="str">
        <f t="shared" si="12"/>
        <v/>
      </c>
      <c r="B157" s="37" t="str">
        <f>IFERROR(INDEX(_自动清单!$AY$4:$AY$203,ROW()-3),"")</f>
        <v/>
      </c>
      <c r="C157" s="39" t="str">
        <f>IF(OR($B157="",_自动清单!$AS$4=""),"",SUMIFS(次果筐明细!$G$4:$G$603,次果筐明细!$C$4:$C$603,$B157,次果筐明细!$D$4:$D$603,_自动清单!$AS$4,次果筐明细!$F$4:$F$603,"*出库*",次果筐明细!$B$4:$B$603,"&gt;="&amp;$Z$1,次果筐明细!$B$4:$B$603,"&lt;="&amp;$Z$2))</f>
        <v/>
      </c>
      <c r="D157" s="39" t="str">
        <f>IF(OR($B157="",_自动清单!$AS$5=""),"",SUMIFS(次果筐明细!$G$4:$G$603,次果筐明细!$C$4:$C$603,$B157,次果筐明细!$D$4:$D$603,_自动清单!$AS$5,次果筐明细!$F$4:$F$603,"*出库*",次果筐明细!$B$4:$B$603,"&gt;="&amp;$Z$1,次果筐明细!$B$4:$B$603,"&lt;="&amp;$Z$2))</f>
        <v/>
      </c>
      <c r="E157" s="39" t="str">
        <f>IF(OR($B157="",_自动清单!$AS$6=""),"",SUMIFS(次果筐明细!$G$4:$G$603,次果筐明细!$C$4:$C$603,$B157,次果筐明细!$D$4:$D$603,_自动清单!$AS$6,次果筐明细!$F$4:$F$603,"*出库*",次果筐明细!$B$4:$B$603,"&gt;="&amp;$Z$1,次果筐明细!$B$4:$B$603,"&lt;="&amp;$Z$2))</f>
        <v/>
      </c>
      <c r="F157" s="39" t="str">
        <f>IF(OR($B157="",_自动清单!$AS$7=""),"",SUMIFS(次果筐明细!$G$4:$G$603,次果筐明细!$C$4:$C$603,$B157,次果筐明细!$D$4:$D$603,_自动清单!$AS$7,次果筐明细!$F$4:$F$603,"*出库*",次果筐明细!$B$4:$B$603,"&gt;="&amp;$Z$1,次果筐明细!$B$4:$B$603,"&lt;="&amp;$Z$2))</f>
        <v/>
      </c>
      <c r="G157" s="39" t="str">
        <f>IF($B157="","",SUMIFS(次果筐明细!$G$4:$G$603,次果筐明细!$C$4:$C$603,$B157,次果筐明细!$F$4:$F$603,"*出库*",次果筐明细!$B$4:$B$603,"&gt;="&amp;$Z$1,次果筐明细!$B$4:$B$603,"&lt;="&amp;$Z$2)-SUM($C157:$F157))</f>
        <v/>
      </c>
      <c r="H157" s="39" t="str">
        <f t="shared" si="13"/>
        <v/>
      </c>
      <c r="I157" s="39" t="str">
        <f>IF(OR($B157="",_自动清单!$AS$4=""),"",SUMIFS(次果筐明细!$G$4:$G$603,次果筐明细!$C$4:$C$603,$B157,次果筐明细!$D$4:$D$603,_自动清单!$AS$4,次果筐明细!$F$4:$F$603,"*入库*",次果筐明细!$B$4:$B$603,"&gt;="&amp;$Z$1,次果筐明细!$B$4:$B$603,"&lt;="&amp;$Z$2))</f>
        <v/>
      </c>
      <c r="J157" s="39" t="str">
        <f>IF(OR($B157="",_自动清单!$AS$5=""),"",SUMIFS(次果筐明细!$G$4:$G$603,次果筐明细!$C$4:$C$603,$B157,次果筐明细!$D$4:$D$603,_自动清单!$AS$5,次果筐明细!$F$4:$F$603,"*入库*",次果筐明细!$B$4:$B$603,"&gt;="&amp;$Z$1,次果筐明细!$B$4:$B$603,"&lt;="&amp;$Z$2))</f>
        <v/>
      </c>
      <c r="K157" s="39" t="str">
        <f>IF(OR($B157="",_自动清单!$AS$6=""),"",SUMIFS(次果筐明细!$G$4:$G$603,次果筐明细!$C$4:$C$603,$B157,次果筐明细!$D$4:$D$603,_自动清单!$AS$6,次果筐明细!$F$4:$F$603,"*入库*",次果筐明细!$B$4:$B$603,"&gt;="&amp;$Z$1,次果筐明细!$B$4:$B$603,"&lt;="&amp;$Z$2))</f>
        <v/>
      </c>
      <c r="L157" s="39" t="str">
        <f>IF(OR($B157="",_自动清单!$AS$7=""),"",SUMIFS(次果筐明细!$G$4:$G$603,次果筐明细!$C$4:$C$603,$B157,次果筐明细!$D$4:$D$603,_自动清单!$AS$7,次果筐明细!$F$4:$F$603,"*入库*",次果筐明细!$B$4:$B$603,"&gt;="&amp;$Z$1,次果筐明细!$B$4:$B$603,"&lt;="&amp;$Z$2))</f>
        <v/>
      </c>
      <c r="M157" s="62" t="str">
        <f>IF($B157="","",SUMIFS(次果筐明细!$G$4:$G$603,次果筐明细!$C$4:$C$603,$B157,次果筐明细!$F$4:$F$603,"*入库*",次果筐明细!$B$4:$B$603,"&gt;="&amp;$Z$1,次果筐明细!$B$4:$B$603,"&lt;="&amp;$Z$2)-SUM($I157:$L157))</f>
        <v/>
      </c>
      <c r="N157" s="62" t="str">
        <f t="shared" si="14"/>
        <v/>
      </c>
      <c r="O157" s="39" t="str">
        <f t="shared" si="15"/>
        <v/>
      </c>
      <c r="P157" s="30" t="str">
        <f>IF($B157="","",ROUND(SUMIFS(次果筐明细!$L$4:$L$603,次果筐明细!$C$4:$C$603,$B157,次果筐明细!$B$4:$B$603,"&gt;="&amp;$Z$1,次果筐明细!$B$4:$B$603,"&lt;="&amp;$Z$2),2))</f>
        <v/>
      </c>
      <c r="Q157" s="30" t="str">
        <f>IF($B157="","",ROUND(SUMIFS(次果筐明细!$L$4:$L$603,次果筐明细!$C$4:$C$603,$B157,次果筐明细!$M$4:$M$603,"已收讫",次果筐明细!$B$4:$B$603,"&gt;="&amp;$Z$1,次果筐明细!$B$4:$B$603,"&lt;="&amp;$Z$2),2))</f>
        <v/>
      </c>
      <c r="R157" s="30" t="str">
        <f t="shared" si="16"/>
        <v/>
      </c>
      <c r="S157" s="30" t="str">
        <f>IF($B157="","",ROUND(SUMIFS(次果筐明细!$J$4:$J$603,次果筐明细!$C$4:$C$603,$B157,次果筐明细!$B$4:$B$603,"&gt;="&amp;$Z$1,次果筐明细!$B$4:$B$603,"&lt;="&amp;$Z$2),2))</f>
        <v/>
      </c>
      <c r="T157" s="63" t="str">
        <f>IF($B157="","",ROUND(SUMIFS(次果筐明细!$K$4:$K$603,次果筐明细!$C$4:$C$603,$B157,次果筐明细!$B$4:$B$603,"&gt;="&amp;$Z$1,次果筐明细!$B$4:$B$603,"&lt;="&amp;$Z$2),2))</f>
        <v/>
      </c>
      <c r="U157" s="30" t="str">
        <f t="shared" si="17"/>
        <v/>
      </c>
      <c r="V157" s="42"/>
    </row>
    <row r="158" spans="1:22">
      <c r="A158" s="24" t="str">
        <f t="shared" si="12"/>
        <v/>
      </c>
      <c r="B158" s="37" t="str">
        <f>IFERROR(INDEX(_自动清单!$AY$4:$AY$203,ROW()-3),"")</f>
        <v/>
      </c>
      <c r="C158" s="39" t="str">
        <f>IF(OR($B158="",_自动清单!$AS$4=""),"",SUMIFS(次果筐明细!$G$4:$G$603,次果筐明细!$C$4:$C$603,$B158,次果筐明细!$D$4:$D$603,_自动清单!$AS$4,次果筐明细!$F$4:$F$603,"*出库*",次果筐明细!$B$4:$B$603,"&gt;="&amp;$Z$1,次果筐明细!$B$4:$B$603,"&lt;="&amp;$Z$2))</f>
        <v/>
      </c>
      <c r="D158" s="39" t="str">
        <f>IF(OR($B158="",_自动清单!$AS$5=""),"",SUMIFS(次果筐明细!$G$4:$G$603,次果筐明细!$C$4:$C$603,$B158,次果筐明细!$D$4:$D$603,_自动清单!$AS$5,次果筐明细!$F$4:$F$603,"*出库*",次果筐明细!$B$4:$B$603,"&gt;="&amp;$Z$1,次果筐明细!$B$4:$B$603,"&lt;="&amp;$Z$2))</f>
        <v/>
      </c>
      <c r="E158" s="39" t="str">
        <f>IF(OR($B158="",_自动清单!$AS$6=""),"",SUMIFS(次果筐明细!$G$4:$G$603,次果筐明细!$C$4:$C$603,$B158,次果筐明细!$D$4:$D$603,_自动清单!$AS$6,次果筐明细!$F$4:$F$603,"*出库*",次果筐明细!$B$4:$B$603,"&gt;="&amp;$Z$1,次果筐明细!$B$4:$B$603,"&lt;="&amp;$Z$2))</f>
        <v/>
      </c>
      <c r="F158" s="39" t="str">
        <f>IF(OR($B158="",_自动清单!$AS$7=""),"",SUMIFS(次果筐明细!$G$4:$G$603,次果筐明细!$C$4:$C$603,$B158,次果筐明细!$D$4:$D$603,_自动清单!$AS$7,次果筐明细!$F$4:$F$603,"*出库*",次果筐明细!$B$4:$B$603,"&gt;="&amp;$Z$1,次果筐明细!$B$4:$B$603,"&lt;="&amp;$Z$2))</f>
        <v/>
      </c>
      <c r="G158" s="39" t="str">
        <f>IF($B158="","",SUMIFS(次果筐明细!$G$4:$G$603,次果筐明细!$C$4:$C$603,$B158,次果筐明细!$F$4:$F$603,"*出库*",次果筐明细!$B$4:$B$603,"&gt;="&amp;$Z$1,次果筐明细!$B$4:$B$603,"&lt;="&amp;$Z$2)-SUM($C158:$F158))</f>
        <v/>
      </c>
      <c r="H158" s="39" t="str">
        <f t="shared" si="13"/>
        <v/>
      </c>
      <c r="I158" s="39" t="str">
        <f>IF(OR($B158="",_自动清单!$AS$4=""),"",SUMIFS(次果筐明细!$G$4:$G$603,次果筐明细!$C$4:$C$603,$B158,次果筐明细!$D$4:$D$603,_自动清单!$AS$4,次果筐明细!$F$4:$F$603,"*入库*",次果筐明细!$B$4:$B$603,"&gt;="&amp;$Z$1,次果筐明细!$B$4:$B$603,"&lt;="&amp;$Z$2))</f>
        <v/>
      </c>
      <c r="J158" s="39" t="str">
        <f>IF(OR($B158="",_自动清单!$AS$5=""),"",SUMIFS(次果筐明细!$G$4:$G$603,次果筐明细!$C$4:$C$603,$B158,次果筐明细!$D$4:$D$603,_自动清单!$AS$5,次果筐明细!$F$4:$F$603,"*入库*",次果筐明细!$B$4:$B$603,"&gt;="&amp;$Z$1,次果筐明细!$B$4:$B$603,"&lt;="&amp;$Z$2))</f>
        <v/>
      </c>
      <c r="K158" s="39" t="str">
        <f>IF(OR($B158="",_自动清单!$AS$6=""),"",SUMIFS(次果筐明细!$G$4:$G$603,次果筐明细!$C$4:$C$603,$B158,次果筐明细!$D$4:$D$603,_自动清单!$AS$6,次果筐明细!$F$4:$F$603,"*入库*",次果筐明细!$B$4:$B$603,"&gt;="&amp;$Z$1,次果筐明细!$B$4:$B$603,"&lt;="&amp;$Z$2))</f>
        <v/>
      </c>
      <c r="L158" s="39" t="str">
        <f>IF(OR($B158="",_自动清单!$AS$7=""),"",SUMIFS(次果筐明细!$G$4:$G$603,次果筐明细!$C$4:$C$603,$B158,次果筐明细!$D$4:$D$603,_自动清单!$AS$7,次果筐明细!$F$4:$F$603,"*入库*",次果筐明细!$B$4:$B$603,"&gt;="&amp;$Z$1,次果筐明细!$B$4:$B$603,"&lt;="&amp;$Z$2))</f>
        <v/>
      </c>
      <c r="M158" s="62" t="str">
        <f>IF($B158="","",SUMIFS(次果筐明细!$G$4:$G$603,次果筐明细!$C$4:$C$603,$B158,次果筐明细!$F$4:$F$603,"*入库*",次果筐明细!$B$4:$B$603,"&gt;="&amp;$Z$1,次果筐明细!$B$4:$B$603,"&lt;="&amp;$Z$2)-SUM($I158:$L158))</f>
        <v/>
      </c>
      <c r="N158" s="62" t="str">
        <f t="shared" si="14"/>
        <v/>
      </c>
      <c r="O158" s="39" t="str">
        <f t="shared" si="15"/>
        <v/>
      </c>
      <c r="P158" s="30" t="str">
        <f>IF($B158="","",ROUND(SUMIFS(次果筐明细!$L$4:$L$603,次果筐明细!$C$4:$C$603,$B158,次果筐明细!$B$4:$B$603,"&gt;="&amp;$Z$1,次果筐明细!$B$4:$B$603,"&lt;="&amp;$Z$2),2))</f>
        <v/>
      </c>
      <c r="Q158" s="30" t="str">
        <f>IF($B158="","",ROUND(SUMIFS(次果筐明细!$L$4:$L$603,次果筐明细!$C$4:$C$603,$B158,次果筐明细!$M$4:$M$603,"已收讫",次果筐明细!$B$4:$B$603,"&gt;="&amp;$Z$1,次果筐明细!$B$4:$B$603,"&lt;="&amp;$Z$2),2))</f>
        <v/>
      </c>
      <c r="R158" s="30" t="str">
        <f t="shared" si="16"/>
        <v/>
      </c>
      <c r="S158" s="30" t="str">
        <f>IF($B158="","",ROUND(SUMIFS(次果筐明细!$J$4:$J$603,次果筐明细!$C$4:$C$603,$B158,次果筐明细!$B$4:$B$603,"&gt;="&amp;$Z$1,次果筐明细!$B$4:$B$603,"&lt;="&amp;$Z$2),2))</f>
        <v/>
      </c>
      <c r="T158" s="63" t="str">
        <f>IF($B158="","",ROUND(SUMIFS(次果筐明细!$K$4:$K$603,次果筐明细!$C$4:$C$603,$B158,次果筐明细!$B$4:$B$603,"&gt;="&amp;$Z$1,次果筐明细!$B$4:$B$603,"&lt;="&amp;$Z$2),2))</f>
        <v/>
      </c>
      <c r="U158" s="30" t="str">
        <f t="shared" si="17"/>
        <v/>
      </c>
      <c r="V158" s="42"/>
    </row>
    <row r="159" spans="1:22">
      <c r="A159" s="24" t="str">
        <f t="shared" si="12"/>
        <v/>
      </c>
      <c r="B159" s="37" t="str">
        <f>IFERROR(INDEX(_自动清单!$AY$4:$AY$203,ROW()-3),"")</f>
        <v/>
      </c>
      <c r="C159" s="39" t="str">
        <f>IF(OR($B159="",_自动清单!$AS$4=""),"",SUMIFS(次果筐明细!$G$4:$G$603,次果筐明细!$C$4:$C$603,$B159,次果筐明细!$D$4:$D$603,_自动清单!$AS$4,次果筐明细!$F$4:$F$603,"*出库*",次果筐明细!$B$4:$B$603,"&gt;="&amp;$Z$1,次果筐明细!$B$4:$B$603,"&lt;="&amp;$Z$2))</f>
        <v/>
      </c>
      <c r="D159" s="39" t="str">
        <f>IF(OR($B159="",_自动清单!$AS$5=""),"",SUMIFS(次果筐明细!$G$4:$G$603,次果筐明细!$C$4:$C$603,$B159,次果筐明细!$D$4:$D$603,_自动清单!$AS$5,次果筐明细!$F$4:$F$603,"*出库*",次果筐明细!$B$4:$B$603,"&gt;="&amp;$Z$1,次果筐明细!$B$4:$B$603,"&lt;="&amp;$Z$2))</f>
        <v/>
      </c>
      <c r="E159" s="39" t="str">
        <f>IF(OR($B159="",_自动清单!$AS$6=""),"",SUMIFS(次果筐明细!$G$4:$G$603,次果筐明细!$C$4:$C$603,$B159,次果筐明细!$D$4:$D$603,_自动清单!$AS$6,次果筐明细!$F$4:$F$603,"*出库*",次果筐明细!$B$4:$B$603,"&gt;="&amp;$Z$1,次果筐明细!$B$4:$B$603,"&lt;="&amp;$Z$2))</f>
        <v/>
      </c>
      <c r="F159" s="39" t="str">
        <f>IF(OR($B159="",_自动清单!$AS$7=""),"",SUMIFS(次果筐明细!$G$4:$G$603,次果筐明细!$C$4:$C$603,$B159,次果筐明细!$D$4:$D$603,_自动清单!$AS$7,次果筐明细!$F$4:$F$603,"*出库*",次果筐明细!$B$4:$B$603,"&gt;="&amp;$Z$1,次果筐明细!$B$4:$B$603,"&lt;="&amp;$Z$2))</f>
        <v/>
      </c>
      <c r="G159" s="39" t="str">
        <f>IF($B159="","",SUMIFS(次果筐明细!$G$4:$G$603,次果筐明细!$C$4:$C$603,$B159,次果筐明细!$F$4:$F$603,"*出库*",次果筐明细!$B$4:$B$603,"&gt;="&amp;$Z$1,次果筐明细!$B$4:$B$603,"&lt;="&amp;$Z$2)-SUM($C159:$F159))</f>
        <v/>
      </c>
      <c r="H159" s="39" t="str">
        <f t="shared" si="13"/>
        <v/>
      </c>
      <c r="I159" s="39" t="str">
        <f>IF(OR($B159="",_自动清单!$AS$4=""),"",SUMIFS(次果筐明细!$G$4:$G$603,次果筐明细!$C$4:$C$603,$B159,次果筐明细!$D$4:$D$603,_自动清单!$AS$4,次果筐明细!$F$4:$F$603,"*入库*",次果筐明细!$B$4:$B$603,"&gt;="&amp;$Z$1,次果筐明细!$B$4:$B$603,"&lt;="&amp;$Z$2))</f>
        <v/>
      </c>
      <c r="J159" s="39" t="str">
        <f>IF(OR($B159="",_自动清单!$AS$5=""),"",SUMIFS(次果筐明细!$G$4:$G$603,次果筐明细!$C$4:$C$603,$B159,次果筐明细!$D$4:$D$603,_自动清单!$AS$5,次果筐明细!$F$4:$F$603,"*入库*",次果筐明细!$B$4:$B$603,"&gt;="&amp;$Z$1,次果筐明细!$B$4:$B$603,"&lt;="&amp;$Z$2))</f>
        <v/>
      </c>
      <c r="K159" s="39" t="str">
        <f>IF(OR($B159="",_自动清单!$AS$6=""),"",SUMIFS(次果筐明细!$G$4:$G$603,次果筐明细!$C$4:$C$603,$B159,次果筐明细!$D$4:$D$603,_自动清单!$AS$6,次果筐明细!$F$4:$F$603,"*入库*",次果筐明细!$B$4:$B$603,"&gt;="&amp;$Z$1,次果筐明细!$B$4:$B$603,"&lt;="&amp;$Z$2))</f>
        <v/>
      </c>
      <c r="L159" s="39" t="str">
        <f>IF(OR($B159="",_自动清单!$AS$7=""),"",SUMIFS(次果筐明细!$G$4:$G$603,次果筐明细!$C$4:$C$603,$B159,次果筐明细!$D$4:$D$603,_自动清单!$AS$7,次果筐明细!$F$4:$F$603,"*入库*",次果筐明细!$B$4:$B$603,"&gt;="&amp;$Z$1,次果筐明细!$B$4:$B$603,"&lt;="&amp;$Z$2))</f>
        <v/>
      </c>
      <c r="M159" s="62" t="str">
        <f>IF($B159="","",SUMIFS(次果筐明细!$G$4:$G$603,次果筐明细!$C$4:$C$603,$B159,次果筐明细!$F$4:$F$603,"*入库*",次果筐明细!$B$4:$B$603,"&gt;="&amp;$Z$1,次果筐明细!$B$4:$B$603,"&lt;="&amp;$Z$2)-SUM($I159:$L159))</f>
        <v/>
      </c>
      <c r="N159" s="62" t="str">
        <f t="shared" si="14"/>
        <v/>
      </c>
      <c r="O159" s="39" t="str">
        <f t="shared" si="15"/>
        <v/>
      </c>
      <c r="P159" s="30" t="str">
        <f>IF($B159="","",ROUND(SUMIFS(次果筐明细!$L$4:$L$603,次果筐明细!$C$4:$C$603,$B159,次果筐明细!$B$4:$B$603,"&gt;="&amp;$Z$1,次果筐明细!$B$4:$B$603,"&lt;="&amp;$Z$2),2))</f>
        <v/>
      </c>
      <c r="Q159" s="30" t="str">
        <f>IF($B159="","",ROUND(SUMIFS(次果筐明细!$L$4:$L$603,次果筐明细!$C$4:$C$603,$B159,次果筐明细!$M$4:$M$603,"已收讫",次果筐明细!$B$4:$B$603,"&gt;="&amp;$Z$1,次果筐明细!$B$4:$B$603,"&lt;="&amp;$Z$2),2))</f>
        <v/>
      </c>
      <c r="R159" s="30" t="str">
        <f t="shared" si="16"/>
        <v/>
      </c>
      <c r="S159" s="30" t="str">
        <f>IF($B159="","",ROUND(SUMIFS(次果筐明细!$J$4:$J$603,次果筐明细!$C$4:$C$603,$B159,次果筐明细!$B$4:$B$603,"&gt;="&amp;$Z$1,次果筐明细!$B$4:$B$603,"&lt;="&amp;$Z$2),2))</f>
        <v/>
      </c>
      <c r="T159" s="63" t="str">
        <f>IF($B159="","",ROUND(SUMIFS(次果筐明细!$K$4:$K$603,次果筐明细!$C$4:$C$603,$B159,次果筐明细!$B$4:$B$603,"&gt;="&amp;$Z$1,次果筐明细!$B$4:$B$603,"&lt;="&amp;$Z$2),2))</f>
        <v/>
      </c>
      <c r="U159" s="30" t="str">
        <f t="shared" si="17"/>
        <v/>
      </c>
      <c r="V159" s="42"/>
    </row>
    <row r="160" spans="1:22">
      <c r="A160" s="24" t="str">
        <f t="shared" si="12"/>
        <v/>
      </c>
      <c r="B160" s="37" t="str">
        <f>IFERROR(INDEX(_自动清单!$AY$4:$AY$203,ROW()-3),"")</f>
        <v/>
      </c>
      <c r="C160" s="39" t="str">
        <f>IF(OR($B160="",_自动清单!$AS$4=""),"",SUMIFS(次果筐明细!$G$4:$G$603,次果筐明细!$C$4:$C$603,$B160,次果筐明细!$D$4:$D$603,_自动清单!$AS$4,次果筐明细!$F$4:$F$603,"*出库*",次果筐明细!$B$4:$B$603,"&gt;="&amp;$Z$1,次果筐明细!$B$4:$B$603,"&lt;="&amp;$Z$2))</f>
        <v/>
      </c>
      <c r="D160" s="39" t="str">
        <f>IF(OR($B160="",_自动清单!$AS$5=""),"",SUMIFS(次果筐明细!$G$4:$G$603,次果筐明细!$C$4:$C$603,$B160,次果筐明细!$D$4:$D$603,_自动清单!$AS$5,次果筐明细!$F$4:$F$603,"*出库*",次果筐明细!$B$4:$B$603,"&gt;="&amp;$Z$1,次果筐明细!$B$4:$B$603,"&lt;="&amp;$Z$2))</f>
        <v/>
      </c>
      <c r="E160" s="39" t="str">
        <f>IF(OR($B160="",_自动清单!$AS$6=""),"",SUMIFS(次果筐明细!$G$4:$G$603,次果筐明细!$C$4:$C$603,$B160,次果筐明细!$D$4:$D$603,_自动清单!$AS$6,次果筐明细!$F$4:$F$603,"*出库*",次果筐明细!$B$4:$B$603,"&gt;="&amp;$Z$1,次果筐明细!$B$4:$B$603,"&lt;="&amp;$Z$2))</f>
        <v/>
      </c>
      <c r="F160" s="39" t="str">
        <f>IF(OR($B160="",_自动清单!$AS$7=""),"",SUMIFS(次果筐明细!$G$4:$G$603,次果筐明细!$C$4:$C$603,$B160,次果筐明细!$D$4:$D$603,_自动清单!$AS$7,次果筐明细!$F$4:$F$603,"*出库*",次果筐明细!$B$4:$B$603,"&gt;="&amp;$Z$1,次果筐明细!$B$4:$B$603,"&lt;="&amp;$Z$2))</f>
        <v/>
      </c>
      <c r="G160" s="39" t="str">
        <f>IF($B160="","",SUMIFS(次果筐明细!$G$4:$G$603,次果筐明细!$C$4:$C$603,$B160,次果筐明细!$F$4:$F$603,"*出库*",次果筐明细!$B$4:$B$603,"&gt;="&amp;$Z$1,次果筐明细!$B$4:$B$603,"&lt;="&amp;$Z$2)-SUM($C160:$F160))</f>
        <v/>
      </c>
      <c r="H160" s="39" t="str">
        <f t="shared" si="13"/>
        <v/>
      </c>
      <c r="I160" s="39" t="str">
        <f>IF(OR($B160="",_自动清单!$AS$4=""),"",SUMIFS(次果筐明细!$G$4:$G$603,次果筐明细!$C$4:$C$603,$B160,次果筐明细!$D$4:$D$603,_自动清单!$AS$4,次果筐明细!$F$4:$F$603,"*入库*",次果筐明细!$B$4:$B$603,"&gt;="&amp;$Z$1,次果筐明细!$B$4:$B$603,"&lt;="&amp;$Z$2))</f>
        <v/>
      </c>
      <c r="J160" s="39" t="str">
        <f>IF(OR($B160="",_自动清单!$AS$5=""),"",SUMIFS(次果筐明细!$G$4:$G$603,次果筐明细!$C$4:$C$603,$B160,次果筐明细!$D$4:$D$603,_自动清单!$AS$5,次果筐明细!$F$4:$F$603,"*入库*",次果筐明细!$B$4:$B$603,"&gt;="&amp;$Z$1,次果筐明细!$B$4:$B$603,"&lt;="&amp;$Z$2))</f>
        <v/>
      </c>
      <c r="K160" s="39" t="str">
        <f>IF(OR($B160="",_自动清单!$AS$6=""),"",SUMIFS(次果筐明细!$G$4:$G$603,次果筐明细!$C$4:$C$603,$B160,次果筐明细!$D$4:$D$603,_自动清单!$AS$6,次果筐明细!$F$4:$F$603,"*入库*",次果筐明细!$B$4:$B$603,"&gt;="&amp;$Z$1,次果筐明细!$B$4:$B$603,"&lt;="&amp;$Z$2))</f>
        <v/>
      </c>
      <c r="L160" s="39" t="str">
        <f>IF(OR($B160="",_自动清单!$AS$7=""),"",SUMIFS(次果筐明细!$G$4:$G$603,次果筐明细!$C$4:$C$603,$B160,次果筐明细!$D$4:$D$603,_自动清单!$AS$7,次果筐明细!$F$4:$F$603,"*入库*",次果筐明细!$B$4:$B$603,"&gt;="&amp;$Z$1,次果筐明细!$B$4:$B$603,"&lt;="&amp;$Z$2))</f>
        <v/>
      </c>
      <c r="M160" s="62" t="str">
        <f>IF($B160="","",SUMIFS(次果筐明细!$G$4:$G$603,次果筐明细!$C$4:$C$603,$B160,次果筐明细!$F$4:$F$603,"*入库*",次果筐明细!$B$4:$B$603,"&gt;="&amp;$Z$1,次果筐明细!$B$4:$B$603,"&lt;="&amp;$Z$2)-SUM($I160:$L160))</f>
        <v/>
      </c>
      <c r="N160" s="62" t="str">
        <f t="shared" si="14"/>
        <v/>
      </c>
      <c r="O160" s="39" t="str">
        <f t="shared" si="15"/>
        <v/>
      </c>
      <c r="P160" s="30" t="str">
        <f>IF($B160="","",ROUND(SUMIFS(次果筐明细!$L$4:$L$603,次果筐明细!$C$4:$C$603,$B160,次果筐明细!$B$4:$B$603,"&gt;="&amp;$Z$1,次果筐明细!$B$4:$B$603,"&lt;="&amp;$Z$2),2))</f>
        <v/>
      </c>
      <c r="Q160" s="30" t="str">
        <f>IF($B160="","",ROUND(SUMIFS(次果筐明细!$L$4:$L$603,次果筐明细!$C$4:$C$603,$B160,次果筐明细!$M$4:$M$603,"已收讫",次果筐明细!$B$4:$B$603,"&gt;="&amp;$Z$1,次果筐明细!$B$4:$B$603,"&lt;="&amp;$Z$2),2))</f>
        <v/>
      </c>
      <c r="R160" s="30" t="str">
        <f t="shared" si="16"/>
        <v/>
      </c>
      <c r="S160" s="30" t="str">
        <f>IF($B160="","",ROUND(SUMIFS(次果筐明细!$J$4:$J$603,次果筐明细!$C$4:$C$603,$B160,次果筐明细!$B$4:$B$603,"&gt;="&amp;$Z$1,次果筐明细!$B$4:$B$603,"&lt;="&amp;$Z$2),2))</f>
        <v/>
      </c>
      <c r="T160" s="63" t="str">
        <f>IF($B160="","",ROUND(SUMIFS(次果筐明细!$K$4:$K$603,次果筐明细!$C$4:$C$603,$B160,次果筐明细!$B$4:$B$603,"&gt;="&amp;$Z$1,次果筐明细!$B$4:$B$603,"&lt;="&amp;$Z$2),2))</f>
        <v/>
      </c>
      <c r="U160" s="30" t="str">
        <f t="shared" si="17"/>
        <v/>
      </c>
      <c r="V160" s="42"/>
    </row>
    <row r="161" spans="1:22">
      <c r="A161" s="24" t="str">
        <f t="shared" si="12"/>
        <v/>
      </c>
      <c r="B161" s="37" t="str">
        <f>IFERROR(INDEX(_自动清单!$AY$4:$AY$203,ROW()-3),"")</f>
        <v/>
      </c>
      <c r="C161" s="39" t="str">
        <f>IF(OR($B161="",_自动清单!$AS$4=""),"",SUMIFS(次果筐明细!$G$4:$G$603,次果筐明细!$C$4:$C$603,$B161,次果筐明细!$D$4:$D$603,_自动清单!$AS$4,次果筐明细!$F$4:$F$603,"*出库*",次果筐明细!$B$4:$B$603,"&gt;="&amp;$Z$1,次果筐明细!$B$4:$B$603,"&lt;="&amp;$Z$2))</f>
        <v/>
      </c>
      <c r="D161" s="39" t="str">
        <f>IF(OR($B161="",_自动清单!$AS$5=""),"",SUMIFS(次果筐明细!$G$4:$G$603,次果筐明细!$C$4:$C$603,$B161,次果筐明细!$D$4:$D$603,_自动清单!$AS$5,次果筐明细!$F$4:$F$603,"*出库*",次果筐明细!$B$4:$B$603,"&gt;="&amp;$Z$1,次果筐明细!$B$4:$B$603,"&lt;="&amp;$Z$2))</f>
        <v/>
      </c>
      <c r="E161" s="39" t="str">
        <f>IF(OR($B161="",_自动清单!$AS$6=""),"",SUMIFS(次果筐明细!$G$4:$G$603,次果筐明细!$C$4:$C$603,$B161,次果筐明细!$D$4:$D$603,_自动清单!$AS$6,次果筐明细!$F$4:$F$603,"*出库*",次果筐明细!$B$4:$B$603,"&gt;="&amp;$Z$1,次果筐明细!$B$4:$B$603,"&lt;="&amp;$Z$2))</f>
        <v/>
      </c>
      <c r="F161" s="39" t="str">
        <f>IF(OR($B161="",_自动清单!$AS$7=""),"",SUMIFS(次果筐明细!$G$4:$G$603,次果筐明细!$C$4:$C$603,$B161,次果筐明细!$D$4:$D$603,_自动清单!$AS$7,次果筐明细!$F$4:$F$603,"*出库*",次果筐明细!$B$4:$B$603,"&gt;="&amp;$Z$1,次果筐明细!$B$4:$B$603,"&lt;="&amp;$Z$2))</f>
        <v/>
      </c>
      <c r="G161" s="39" t="str">
        <f>IF($B161="","",SUMIFS(次果筐明细!$G$4:$G$603,次果筐明细!$C$4:$C$603,$B161,次果筐明细!$F$4:$F$603,"*出库*",次果筐明细!$B$4:$B$603,"&gt;="&amp;$Z$1,次果筐明细!$B$4:$B$603,"&lt;="&amp;$Z$2)-SUM($C161:$F161))</f>
        <v/>
      </c>
      <c r="H161" s="39" t="str">
        <f t="shared" si="13"/>
        <v/>
      </c>
      <c r="I161" s="39" t="str">
        <f>IF(OR($B161="",_自动清单!$AS$4=""),"",SUMIFS(次果筐明细!$G$4:$G$603,次果筐明细!$C$4:$C$603,$B161,次果筐明细!$D$4:$D$603,_自动清单!$AS$4,次果筐明细!$F$4:$F$603,"*入库*",次果筐明细!$B$4:$B$603,"&gt;="&amp;$Z$1,次果筐明细!$B$4:$B$603,"&lt;="&amp;$Z$2))</f>
        <v/>
      </c>
      <c r="J161" s="39" t="str">
        <f>IF(OR($B161="",_自动清单!$AS$5=""),"",SUMIFS(次果筐明细!$G$4:$G$603,次果筐明细!$C$4:$C$603,$B161,次果筐明细!$D$4:$D$603,_自动清单!$AS$5,次果筐明细!$F$4:$F$603,"*入库*",次果筐明细!$B$4:$B$603,"&gt;="&amp;$Z$1,次果筐明细!$B$4:$B$603,"&lt;="&amp;$Z$2))</f>
        <v/>
      </c>
      <c r="K161" s="39" t="str">
        <f>IF(OR($B161="",_自动清单!$AS$6=""),"",SUMIFS(次果筐明细!$G$4:$G$603,次果筐明细!$C$4:$C$603,$B161,次果筐明细!$D$4:$D$603,_自动清单!$AS$6,次果筐明细!$F$4:$F$603,"*入库*",次果筐明细!$B$4:$B$603,"&gt;="&amp;$Z$1,次果筐明细!$B$4:$B$603,"&lt;="&amp;$Z$2))</f>
        <v/>
      </c>
      <c r="L161" s="39" t="str">
        <f>IF(OR($B161="",_自动清单!$AS$7=""),"",SUMIFS(次果筐明细!$G$4:$G$603,次果筐明细!$C$4:$C$603,$B161,次果筐明细!$D$4:$D$603,_自动清单!$AS$7,次果筐明细!$F$4:$F$603,"*入库*",次果筐明细!$B$4:$B$603,"&gt;="&amp;$Z$1,次果筐明细!$B$4:$B$603,"&lt;="&amp;$Z$2))</f>
        <v/>
      </c>
      <c r="M161" s="62" t="str">
        <f>IF($B161="","",SUMIFS(次果筐明细!$G$4:$G$603,次果筐明细!$C$4:$C$603,$B161,次果筐明细!$F$4:$F$603,"*入库*",次果筐明细!$B$4:$B$603,"&gt;="&amp;$Z$1,次果筐明细!$B$4:$B$603,"&lt;="&amp;$Z$2)-SUM($I161:$L161))</f>
        <v/>
      </c>
      <c r="N161" s="62" t="str">
        <f t="shared" si="14"/>
        <v/>
      </c>
      <c r="O161" s="39" t="str">
        <f t="shared" si="15"/>
        <v/>
      </c>
      <c r="P161" s="30" t="str">
        <f>IF($B161="","",ROUND(SUMIFS(次果筐明细!$L$4:$L$603,次果筐明细!$C$4:$C$603,$B161,次果筐明细!$B$4:$B$603,"&gt;="&amp;$Z$1,次果筐明细!$B$4:$B$603,"&lt;="&amp;$Z$2),2))</f>
        <v/>
      </c>
      <c r="Q161" s="30" t="str">
        <f>IF($B161="","",ROUND(SUMIFS(次果筐明细!$L$4:$L$603,次果筐明细!$C$4:$C$603,$B161,次果筐明细!$M$4:$M$603,"已收讫",次果筐明细!$B$4:$B$603,"&gt;="&amp;$Z$1,次果筐明细!$B$4:$B$603,"&lt;="&amp;$Z$2),2))</f>
        <v/>
      </c>
      <c r="R161" s="30" t="str">
        <f t="shared" si="16"/>
        <v/>
      </c>
      <c r="S161" s="30" t="str">
        <f>IF($B161="","",ROUND(SUMIFS(次果筐明细!$J$4:$J$603,次果筐明细!$C$4:$C$603,$B161,次果筐明细!$B$4:$B$603,"&gt;="&amp;$Z$1,次果筐明细!$B$4:$B$603,"&lt;="&amp;$Z$2),2))</f>
        <v/>
      </c>
      <c r="T161" s="63" t="str">
        <f>IF($B161="","",ROUND(SUMIFS(次果筐明细!$K$4:$K$603,次果筐明细!$C$4:$C$603,$B161,次果筐明细!$B$4:$B$603,"&gt;="&amp;$Z$1,次果筐明细!$B$4:$B$603,"&lt;="&amp;$Z$2),2))</f>
        <v/>
      </c>
      <c r="U161" s="30" t="str">
        <f t="shared" si="17"/>
        <v/>
      </c>
      <c r="V161" s="42"/>
    </row>
    <row r="162" spans="1:22">
      <c r="A162" s="24" t="str">
        <f t="shared" si="12"/>
        <v/>
      </c>
      <c r="B162" s="37" t="str">
        <f>IFERROR(INDEX(_自动清单!$AY$4:$AY$203,ROW()-3),"")</f>
        <v/>
      </c>
      <c r="C162" s="39" t="str">
        <f>IF(OR($B162="",_自动清单!$AS$4=""),"",SUMIFS(次果筐明细!$G$4:$G$603,次果筐明细!$C$4:$C$603,$B162,次果筐明细!$D$4:$D$603,_自动清单!$AS$4,次果筐明细!$F$4:$F$603,"*出库*",次果筐明细!$B$4:$B$603,"&gt;="&amp;$Z$1,次果筐明细!$B$4:$B$603,"&lt;="&amp;$Z$2))</f>
        <v/>
      </c>
      <c r="D162" s="39" t="str">
        <f>IF(OR($B162="",_自动清单!$AS$5=""),"",SUMIFS(次果筐明细!$G$4:$G$603,次果筐明细!$C$4:$C$603,$B162,次果筐明细!$D$4:$D$603,_自动清单!$AS$5,次果筐明细!$F$4:$F$603,"*出库*",次果筐明细!$B$4:$B$603,"&gt;="&amp;$Z$1,次果筐明细!$B$4:$B$603,"&lt;="&amp;$Z$2))</f>
        <v/>
      </c>
      <c r="E162" s="39" t="str">
        <f>IF(OR($B162="",_自动清单!$AS$6=""),"",SUMIFS(次果筐明细!$G$4:$G$603,次果筐明细!$C$4:$C$603,$B162,次果筐明细!$D$4:$D$603,_自动清单!$AS$6,次果筐明细!$F$4:$F$603,"*出库*",次果筐明细!$B$4:$B$603,"&gt;="&amp;$Z$1,次果筐明细!$B$4:$B$603,"&lt;="&amp;$Z$2))</f>
        <v/>
      </c>
      <c r="F162" s="39" t="str">
        <f>IF(OR($B162="",_自动清单!$AS$7=""),"",SUMIFS(次果筐明细!$G$4:$G$603,次果筐明细!$C$4:$C$603,$B162,次果筐明细!$D$4:$D$603,_自动清单!$AS$7,次果筐明细!$F$4:$F$603,"*出库*",次果筐明细!$B$4:$B$603,"&gt;="&amp;$Z$1,次果筐明细!$B$4:$B$603,"&lt;="&amp;$Z$2))</f>
        <v/>
      </c>
      <c r="G162" s="39" t="str">
        <f>IF($B162="","",SUMIFS(次果筐明细!$G$4:$G$603,次果筐明细!$C$4:$C$603,$B162,次果筐明细!$F$4:$F$603,"*出库*",次果筐明细!$B$4:$B$603,"&gt;="&amp;$Z$1,次果筐明细!$B$4:$B$603,"&lt;="&amp;$Z$2)-SUM($C162:$F162))</f>
        <v/>
      </c>
      <c r="H162" s="39" t="str">
        <f t="shared" si="13"/>
        <v/>
      </c>
      <c r="I162" s="39" t="str">
        <f>IF(OR($B162="",_自动清单!$AS$4=""),"",SUMIFS(次果筐明细!$G$4:$G$603,次果筐明细!$C$4:$C$603,$B162,次果筐明细!$D$4:$D$603,_自动清单!$AS$4,次果筐明细!$F$4:$F$603,"*入库*",次果筐明细!$B$4:$B$603,"&gt;="&amp;$Z$1,次果筐明细!$B$4:$B$603,"&lt;="&amp;$Z$2))</f>
        <v/>
      </c>
      <c r="J162" s="39" t="str">
        <f>IF(OR($B162="",_自动清单!$AS$5=""),"",SUMIFS(次果筐明细!$G$4:$G$603,次果筐明细!$C$4:$C$603,$B162,次果筐明细!$D$4:$D$603,_自动清单!$AS$5,次果筐明细!$F$4:$F$603,"*入库*",次果筐明细!$B$4:$B$603,"&gt;="&amp;$Z$1,次果筐明细!$B$4:$B$603,"&lt;="&amp;$Z$2))</f>
        <v/>
      </c>
      <c r="K162" s="39" t="str">
        <f>IF(OR($B162="",_自动清单!$AS$6=""),"",SUMIFS(次果筐明细!$G$4:$G$603,次果筐明细!$C$4:$C$603,$B162,次果筐明细!$D$4:$D$603,_自动清单!$AS$6,次果筐明细!$F$4:$F$603,"*入库*",次果筐明细!$B$4:$B$603,"&gt;="&amp;$Z$1,次果筐明细!$B$4:$B$603,"&lt;="&amp;$Z$2))</f>
        <v/>
      </c>
      <c r="L162" s="39" t="str">
        <f>IF(OR($B162="",_自动清单!$AS$7=""),"",SUMIFS(次果筐明细!$G$4:$G$603,次果筐明细!$C$4:$C$603,$B162,次果筐明细!$D$4:$D$603,_自动清单!$AS$7,次果筐明细!$F$4:$F$603,"*入库*",次果筐明细!$B$4:$B$603,"&gt;="&amp;$Z$1,次果筐明细!$B$4:$B$603,"&lt;="&amp;$Z$2))</f>
        <v/>
      </c>
      <c r="M162" s="62" t="str">
        <f>IF($B162="","",SUMIFS(次果筐明细!$G$4:$G$603,次果筐明细!$C$4:$C$603,$B162,次果筐明细!$F$4:$F$603,"*入库*",次果筐明细!$B$4:$B$603,"&gt;="&amp;$Z$1,次果筐明细!$B$4:$B$603,"&lt;="&amp;$Z$2)-SUM($I162:$L162))</f>
        <v/>
      </c>
      <c r="N162" s="62" t="str">
        <f t="shared" si="14"/>
        <v/>
      </c>
      <c r="O162" s="39" t="str">
        <f t="shared" si="15"/>
        <v/>
      </c>
      <c r="P162" s="30" t="str">
        <f>IF($B162="","",ROUND(SUMIFS(次果筐明细!$L$4:$L$603,次果筐明细!$C$4:$C$603,$B162,次果筐明细!$B$4:$B$603,"&gt;="&amp;$Z$1,次果筐明细!$B$4:$B$603,"&lt;="&amp;$Z$2),2))</f>
        <v/>
      </c>
      <c r="Q162" s="30" t="str">
        <f>IF($B162="","",ROUND(SUMIFS(次果筐明细!$L$4:$L$603,次果筐明细!$C$4:$C$603,$B162,次果筐明细!$M$4:$M$603,"已收讫",次果筐明细!$B$4:$B$603,"&gt;="&amp;$Z$1,次果筐明细!$B$4:$B$603,"&lt;="&amp;$Z$2),2))</f>
        <v/>
      </c>
      <c r="R162" s="30" t="str">
        <f t="shared" si="16"/>
        <v/>
      </c>
      <c r="S162" s="30" t="str">
        <f>IF($B162="","",ROUND(SUMIFS(次果筐明细!$J$4:$J$603,次果筐明细!$C$4:$C$603,$B162,次果筐明细!$B$4:$B$603,"&gt;="&amp;$Z$1,次果筐明细!$B$4:$B$603,"&lt;="&amp;$Z$2),2))</f>
        <v/>
      </c>
      <c r="T162" s="63" t="str">
        <f>IF($B162="","",ROUND(SUMIFS(次果筐明细!$K$4:$K$603,次果筐明细!$C$4:$C$603,$B162,次果筐明细!$B$4:$B$603,"&gt;="&amp;$Z$1,次果筐明细!$B$4:$B$603,"&lt;="&amp;$Z$2),2))</f>
        <v/>
      </c>
      <c r="U162" s="30" t="str">
        <f t="shared" si="17"/>
        <v/>
      </c>
      <c r="V162" s="42"/>
    </row>
    <row r="163" spans="1:22">
      <c r="A163" s="24" t="str">
        <f t="shared" si="12"/>
        <v/>
      </c>
      <c r="B163" s="37" t="str">
        <f>IFERROR(INDEX(_自动清单!$AY$4:$AY$203,ROW()-3),"")</f>
        <v/>
      </c>
      <c r="C163" s="39" t="str">
        <f>IF(OR($B163="",_自动清单!$AS$4=""),"",SUMIFS(次果筐明细!$G$4:$G$603,次果筐明细!$C$4:$C$603,$B163,次果筐明细!$D$4:$D$603,_自动清单!$AS$4,次果筐明细!$F$4:$F$603,"*出库*",次果筐明细!$B$4:$B$603,"&gt;="&amp;$Z$1,次果筐明细!$B$4:$B$603,"&lt;="&amp;$Z$2))</f>
        <v/>
      </c>
      <c r="D163" s="39" t="str">
        <f>IF(OR($B163="",_自动清单!$AS$5=""),"",SUMIFS(次果筐明细!$G$4:$G$603,次果筐明细!$C$4:$C$603,$B163,次果筐明细!$D$4:$D$603,_自动清单!$AS$5,次果筐明细!$F$4:$F$603,"*出库*",次果筐明细!$B$4:$B$603,"&gt;="&amp;$Z$1,次果筐明细!$B$4:$B$603,"&lt;="&amp;$Z$2))</f>
        <v/>
      </c>
      <c r="E163" s="39" t="str">
        <f>IF(OR($B163="",_自动清单!$AS$6=""),"",SUMIFS(次果筐明细!$G$4:$G$603,次果筐明细!$C$4:$C$603,$B163,次果筐明细!$D$4:$D$603,_自动清单!$AS$6,次果筐明细!$F$4:$F$603,"*出库*",次果筐明细!$B$4:$B$603,"&gt;="&amp;$Z$1,次果筐明细!$B$4:$B$603,"&lt;="&amp;$Z$2))</f>
        <v/>
      </c>
      <c r="F163" s="39" t="str">
        <f>IF(OR($B163="",_自动清单!$AS$7=""),"",SUMIFS(次果筐明细!$G$4:$G$603,次果筐明细!$C$4:$C$603,$B163,次果筐明细!$D$4:$D$603,_自动清单!$AS$7,次果筐明细!$F$4:$F$603,"*出库*",次果筐明细!$B$4:$B$603,"&gt;="&amp;$Z$1,次果筐明细!$B$4:$B$603,"&lt;="&amp;$Z$2))</f>
        <v/>
      </c>
      <c r="G163" s="39" t="str">
        <f>IF($B163="","",SUMIFS(次果筐明细!$G$4:$G$603,次果筐明细!$C$4:$C$603,$B163,次果筐明细!$F$4:$F$603,"*出库*",次果筐明细!$B$4:$B$603,"&gt;="&amp;$Z$1,次果筐明细!$B$4:$B$603,"&lt;="&amp;$Z$2)-SUM($C163:$F163))</f>
        <v/>
      </c>
      <c r="H163" s="39" t="str">
        <f t="shared" si="13"/>
        <v/>
      </c>
      <c r="I163" s="39" t="str">
        <f>IF(OR($B163="",_自动清单!$AS$4=""),"",SUMIFS(次果筐明细!$G$4:$G$603,次果筐明细!$C$4:$C$603,$B163,次果筐明细!$D$4:$D$603,_自动清单!$AS$4,次果筐明细!$F$4:$F$603,"*入库*",次果筐明细!$B$4:$B$603,"&gt;="&amp;$Z$1,次果筐明细!$B$4:$B$603,"&lt;="&amp;$Z$2))</f>
        <v/>
      </c>
      <c r="J163" s="39" t="str">
        <f>IF(OR($B163="",_自动清单!$AS$5=""),"",SUMIFS(次果筐明细!$G$4:$G$603,次果筐明细!$C$4:$C$603,$B163,次果筐明细!$D$4:$D$603,_自动清单!$AS$5,次果筐明细!$F$4:$F$603,"*入库*",次果筐明细!$B$4:$B$603,"&gt;="&amp;$Z$1,次果筐明细!$B$4:$B$603,"&lt;="&amp;$Z$2))</f>
        <v/>
      </c>
      <c r="K163" s="39" t="str">
        <f>IF(OR($B163="",_自动清单!$AS$6=""),"",SUMIFS(次果筐明细!$G$4:$G$603,次果筐明细!$C$4:$C$603,$B163,次果筐明细!$D$4:$D$603,_自动清单!$AS$6,次果筐明细!$F$4:$F$603,"*入库*",次果筐明细!$B$4:$B$603,"&gt;="&amp;$Z$1,次果筐明细!$B$4:$B$603,"&lt;="&amp;$Z$2))</f>
        <v/>
      </c>
      <c r="L163" s="39" t="str">
        <f>IF(OR($B163="",_自动清单!$AS$7=""),"",SUMIFS(次果筐明细!$G$4:$G$603,次果筐明细!$C$4:$C$603,$B163,次果筐明细!$D$4:$D$603,_自动清单!$AS$7,次果筐明细!$F$4:$F$603,"*入库*",次果筐明细!$B$4:$B$603,"&gt;="&amp;$Z$1,次果筐明细!$B$4:$B$603,"&lt;="&amp;$Z$2))</f>
        <v/>
      </c>
      <c r="M163" s="62" t="str">
        <f>IF($B163="","",SUMIFS(次果筐明细!$G$4:$G$603,次果筐明细!$C$4:$C$603,$B163,次果筐明细!$F$4:$F$603,"*入库*",次果筐明细!$B$4:$B$603,"&gt;="&amp;$Z$1,次果筐明细!$B$4:$B$603,"&lt;="&amp;$Z$2)-SUM($I163:$L163))</f>
        <v/>
      </c>
      <c r="N163" s="62" t="str">
        <f t="shared" si="14"/>
        <v/>
      </c>
      <c r="O163" s="39" t="str">
        <f t="shared" si="15"/>
        <v/>
      </c>
      <c r="P163" s="30" t="str">
        <f>IF($B163="","",ROUND(SUMIFS(次果筐明细!$L$4:$L$603,次果筐明细!$C$4:$C$603,$B163,次果筐明细!$B$4:$B$603,"&gt;="&amp;$Z$1,次果筐明细!$B$4:$B$603,"&lt;="&amp;$Z$2),2))</f>
        <v/>
      </c>
      <c r="Q163" s="30" t="str">
        <f>IF($B163="","",ROUND(SUMIFS(次果筐明细!$L$4:$L$603,次果筐明细!$C$4:$C$603,$B163,次果筐明细!$M$4:$M$603,"已收讫",次果筐明细!$B$4:$B$603,"&gt;="&amp;$Z$1,次果筐明细!$B$4:$B$603,"&lt;="&amp;$Z$2),2))</f>
        <v/>
      </c>
      <c r="R163" s="30" t="str">
        <f t="shared" si="16"/>
        <v/>
      </c>
      <c r="S163" s="30" t="str">
        <f>IF($B163="","",ROUND(SUMIFS(次果筐明细!$J$4:$J$603,次果筐明细!$C$4:$C$603,$B163,次果筐明细!$B$4:$B$603,"&gt;="&amp;$Z$1,次果筐明细!$B$4:$B$603,"&lt;="&amp;$Z$2),2))</f>
        <v/>
      </c>
      <c r="T163" s="63" t="str">
        <f>IF($B163="","",ROUND(SUMIFS(次果筐明细!$K$4:$K$603,次果筐明细!$C$4:$C$603,$B163,次果筐明细!$B$4:$B$603,"&gt;="&amp;$Z$1,次果筐明细!$B$4:$B$603,"&lt;="&amp;$Z$2),2))</f>
        <v/>
      </c>
      <c r="U163" s="30" t="str">
        <f t="shared" si="17"/>
        <v/>
      </c>
      <c r="V163" s="42"/>
    </row>
    <row r="164" spans="1:22">
      <c r="A164" s="24" t="str">
        <f t="shared" si="12"/>
        <v/>
      </c>
      <c r="B164" s="37" t="str">
        <f>IFERROR(INDEX(_自动清单!$AY$4:$AY$203,ROW()-3),"")</f>
        <v/>
      </c>
      <c r="C164" s="39" t="str">
        <f>IF(OR($B164="",_自动清单!$AS$4=""),"",SUMIFS(次果筐明细!$G$4:$G$603,次果筐明细!$C$4:$C$603,$B164,次果筐明细!$D$4:$D$603,_自动清单!$AS$4,次果筐明细!$F$4:$F$603,"*出库*",次果筐明细!$B$4:$B$603,"&gt;="&amp;$Z$1,次果筐明细!$B$4:$B$603,"&lt;="&amp;$Z$2))</f>
        <v/>
      </c>
      <c r="D164" s="39" t="str">
        <f>IF(OR($B164="",_自动清单!$AS$5=""),"",SUMIFS(次果筐明细!$G$4:$G$603,次果筐明细!$C$4:$C$603,$B164,次果筐明细!$D$4:$D$603,_自动清单!$AS$5,次果筐明细!$F$4:$F$603,"*出库*",次果筐明细!$B$4:$B$603,"&gt;="&amp;$Z$1,次果筐明细!$B$4:$B$603,"&lt;="&amp;$Z$2))</f>
        <v/>
      </c>
      <c r="E164" s="39" t="str">
        <f>IF(OR($B164="",_自动清单!$AS$6=""),"",SUMIFS(次果筐明细!$G$4:$G$603,次果筐明细!$C$4:$C$603,$B164,次果筐明细!$D$4:$D$603,_自动清单!$AS$6,次果筐明细!$F$4:$F$603,"*出库*",次果筐明细!$B$4:$B$603,"&gt;="&amp;$Z$1,次果筐明细!$B$4:$B$603,"&lt;="&amp;$Z$2))</f>
        <v/>
      </c>
      <c r="F164" s="39" t="str">
        <f>IF(OR($B164="",_自动清单!$AS$7=""),"",SUMIFS(次果筐明细!$G$4:$G$603,次果筐明细!$C$4:$C$603,$B164,次果筐明细!$D$4:$D$603,_自动清单!$AS$7,次果筐明细!$F$4:$F$603,"*出库*",次果筐明细!$B$4:$B$603,"&gt;="&amp;$Z$1,次果筐明细!$B$4:$B$603,"&lt;="&amp;$Z$2))</f>
        <v/>
      </c>
      <c r="G164" s="39" t="str">
        <f>IF($B164="","",SUMIFS(次果筐明细!$G$4:$G$603,次果筐明细!$C$4:$C$603,$B164,次果筐明细!$F$4:$F$603,"*出库*",次果筐明细!$B$4:$B$603,"&gt;="&amp;$Z$1,次果筐明细!$B$4:$B$603,"&lt;="&amp;$Z$2)-SUM($C164:$F164))</f>
        <v/>
      </c>
      <c r="H164" s="39" t="str">
        <f t="shared" si="13"/>
        <v/>
      </c>
      <c r="I164" s="39" t="str">
        <f>IF(OR($B164="",_自动清单!$AS$4=""),"",SUMIFS(次果筐明细!$G$4:$G$603,次果筐明细!$C$4:$C$603,$B164,次果筐明细!$D$4:$D$603,_自动清单!$AS$4,次果筐明细!$F$4:$F$603,"*入库*",次果筐明细!$B$4:$B$603,"&gt;="&amp;$Z$1,次果筐明细!$B$4:$B$603,"&lt;="&amp;$Z$2))</f>
        <v/>
      </c>
      <c r="J164" s="39" t="str">
        <f>IF(OR($B164="",_自动清单!$AS$5=""),"",SUMIFS(次果筐明细!$G$4:$G$603,次果筐明细!$C$4:$C$603,$B164,次果筐明细!$D$4:$D$603,_自动清单!$AS$5,次果筐明细!$F$4:$F$603,"*入库*",次果筐明细!$B$4:$B$603,"&gt;="&amp;$Z$1,次果筐明细!$B$4:$B$603,"&lt;="&amp;$Z$2))</f>
        <v/>
      </c>
      <c r="K164" s="39" t="str">
        <f>IF(OR($B164="",_自动清单!$AS$6=""),"",SUMIFS(次果筐明细!$G$4:$G$603,次果筐明细!$C$4:$C$603,$B164,次果筐明细!$D$4:$D$603,_自动清单!$AS$6,次果筐明细!$F$4:$F$603,"*入库*",次果筐明细!$B$4:$B$603,"&gt;="&amp;$Z$1,次果筐明细!$B$4:$B$603,"&lt;="&amp;$Z$2))</f>
        <v/>
      </c>
      <c r="L164" s="39" t="str">
        <f>IF(OR($B164="",_自动清单!$AS$7=""),"",SUMIFS(次果筐明细!$G$4:$G$603,次果筐明细!$C$4:$C$603,$B164,次果筐明细!$D$4:$D$603,_自动清单!$AS$7,次果筐明细!$F$4:$F$603,"*入库*",次果筐明细!$B$4:$B$603,"&gt;="&amp;$Z$1,次果筐明细!$B$4:$B$603,"&lt;="&amp;$Z$2))</f>
        <v/>
      </c>
      <c r="M164" s="62" t="str">
        <f>IF($B164="","",SUMIFS(次果筐明细!$G$4:$G$603,次果筐明细!$C$4:$C$603,$B164,次果筐明细!$F$4:$F$603,"*入库*",次果筐明细!$B$4:$B$603,"&gt;="&amp;$Z$1,次果筐明细!$B$4:$B$603,"&lt;="&amp;$Z$2)-SUM($I164:$L164))</f>
        <v/>
      </c>
      <c r="N164" s="62" t="str">
        <f t="shared" si="14"/>
        <v/>
      </c>
      <c r="O164" s="39" t="str">
        <f t="shared" si="15"/>
        <v/>
      </c>
      <c r="P164" s="30" t="str">
        <f>IF($B164="","",ROUND(SUMIFS(次果筐明细!$L$4:$L$603,次果筐明细!$C$4:$C$603,$B164,次果筐明细!$B$4:$B$603,"&gt;="&amp;$Z$1,次果筐明细!$B$4:$B$603,"&lt;="&amp;$Z$2),2))</f>
        <v/>
      </c>
      <c r="Q164" s="30" t="str">
        <f>IF($B164="","",ROUND(SUMIFS(次果筐明细!$L$4:$L$603,次果筐明细!$C$4:$C$603,$B164,次果筐明细!$M$4:$M$603,"已收讫",次果筐明细!$B$4:$B$603,"&gt;="&amp;$Z$1,次果筐明细!$B$4:$B$603,"&lt;="&amp;$Z$2),2))</f>
        <v/>
      </c>
      <c r="R164" s="30" t="str">
        <f t="shared" si="16"/>
        <v/>
      </c>
      <c r="S164" s="30" t="str">
        <f>IF($B164="","",ROUND(SUMIFS(次果筐明细!$J$4:$J$603,次果筐明细!$C$4:$C$603,$B164,次果筐明细!$B$4:$B$603,"&gt;="&amp;$Z$1,次果筐明细!$B$4:$B$603,"&lt;="&amp;$Z$2),2))</f>
        <v/>
      </c>
      <c r="T164" s="63" t="str">
        <f>IF($B164="","",ROUND(SUMIFS(次果筐明细!$K$4:$K$603,次果筐明细!$C$4:$C$603,$B164,次果筐明细!$B$4:$B$603,"&gt;="&amp;$Z$1,次果筐明细!$B$4:$B$603,"&lt;="&amp;$Z$2),2))</f>
        <v/>
      </c>
      <c r="U164" s="30" t="str">
        <f t="shared" si="17"/>
        <v/>
      </c>
      <c r="V164" s="42"/>
    </row>
    <row r="165" spans="1:22">
      <c r="A165" s="24" t="str">
        <f t="shared" si="12"/>
        <v/>
      </c>
      <c r="B165" s="37" t="str">
        <f>IFERROR(INDEX(_自动清单!$AY$4:$AY$203,ROW()-3),"")</f>
        <v/>
      </c>
      <c r="C165" s="39" t="str">
        <f>IF(OR($B165="",_自动清单!$AS$4=""),"",SUMIFS(次果筐明细!$G$4:$G$603,次果筐明细!$C$4:$C$603,$B165,次果筐明细!$D$4:$D$603,_自动清单!$AS$4,次果筐明细!$F$4:$F$603,"*出库*",次果筐明细!$B$4:$B$603,"&gt;="&amp;$Z$1,次果筐明细!$B$4:$B$603,"&lt;="&amp;$Z$2))</f>
        <v/>
      </c>
      <c r="D165" s="39" t="str">
        <f>IF(OR($B165="",_自动清单!$AS$5=""),"",SUMIFS(次果筐明细!$G$4:$G$603,次果筐明细!$C$4:$C$603,$B165,次果筐明细!$D$4:$D$603,_自动清单!$AS$5,次果筐明细!$F$4:$F$603,"*出库*",次果筐明细!$B$4:$B$603,"&gt;="&amp;$Z$1,次果筐明细!$B$4:$B$603,"&lt;="&amp;$Z$2))</f>
        <v/>
      </c>
      <c r="E165" s="39" t="str">
        <f>IF(OR($B165="",_自动清单!$AS$6=""),"",SUMIFS(次果筐明细!$G$4:$G$603,次果筐明细!$C$4:$C$603,$B165,次果筐明细!$D$4:$D$603,_自动清单!$AS$6,次果筐明细!$F$4:$F$603,"*出库*",次果筐明细!$B$4:$B$603,"&gt;="&amp;$Z$1,次果筐明细!$B$4:$B$603,"&lt;="&amp;$Z$2))</f>
        <v/>
      </c>
      <c r="F165" s="39" t="str">
        <f>IF(OR($B165="",_自动清单!$AS$7=""),"",SUMIFS(次果筐明细!$G$4:$G$603,次果筐明细!$C$4:$C$603,$B165,次果筐明细!$D$4:$D$603,_自动清单!$AS$7,次果筐明细!$F$4:$F$603,"*出库*",次果筐明细!$B$4:$B$603,"&gt;="&amp;$Z$1,次果筐明细!$B$4:$B$603,"&lt;="&amp;$Z$2))</f>
        <v/>
      </c>
      <c r="G165" s="39" t="str">
        <f>IF($B165="","",SUMIFS(次果筐明细!$G$4:$G$603,次果筐明细!$C$4:$C$603,$B165,次果筐明细!$F$4:$F$603,"*出库*",次果筐明细!$B$4:$B$603,"&gt;="&amp;$Z$1,次果筐明细!$B$4:$B$603,"&lt;="&amp;$Z$2)-SUM($C165:$F165))</f>
        <v/>
      </c>
      <c r="H165" s="39" t="str">
        <f t="shared" si="13"/>
        <v/>
      </c>
      <c r="I165" s="39" t="str">
        <f>IF(OR($B165="",_自动清单!$AS$4=""),"",SUMIFS(次果筐明细!$G$4:$G$603,次果筐明细!$C$4:$C$603,$B165,次果筐明细!$D$4:$D$603,_自动清单!$AS$4,次果筐明细!$F$4:$F$603,"*入库*",次果筐明细!$B$4:$B$603,"&gt;="&amp;$Z$1,次果筐明细!$B$4:$B$603,"&lt;="&amp;$Z$2))</f>
        <v/>
      </c>
      <c r="J165" s="39" t="str">
        <f>IF(OR($B165="",_自动清单!$AS$5=""),"",SUMIFS(次果筐明细!$G$4:$G$603,次果筐明细!$C$4:$C$603,$B165,次果筐明细!$D$4:$D$603,_自动清单!$AS$5,次果筐明细!$F$4:$F$603,"*入库*",次果筐明细!$B$4:$B$603,"&gt;="&amp;$Z$1,次果筐明细!$B$4:$B$603,"&lt;="&amp;$Z$2))</f>
        <v/>
      </c>
      <c r="K165" s="39" t="str">
        <f>IF(OR($B165="",_自动清单!$AS$6=""),"",SUMIFS(次果筐明细!$G$4:$G$603,次果筐明细!$C$4:$C$603,$B165,次果筐明细!$D$4:$D$603,_自动清单!$AS$6,次果筐明细!$F$4:$F$603,"*入库*",次果筐明细!$B$4:$B$603,"&gt;="&amp;$Z$1,次果筐明细!$B$4:$B$603,"&lt;="&amp;$Z$2))</f>
        <v/>
      </c>
      <c r="L165" s="39" t="str">
        <f>IF(OR($B165="",_自动清单!$AS$7=""),"",SUMIFS(次果筐明细!$G$4:$G$603,次果筐明细!$C$4:$C$603,$B165,次果筐明细!$D$4:$D$603,_自动清单!$AS$7,次果筐明细!$F$4:$F$603,"*入库*",次果筐明细!$B$4:$B$603,"&gt;="&amp;$Z$1,次果筐明细!$B$4:$B$603,"&lt;="&amp;$Z$2))</f>
        <v/>
      </c>
      <c r="M165" s="62" t="str">
        <f>IF($B165="","",SUMIFS(次果筐明细!$G$4:$G$603,次果筐明细!$C$4:$C$603,$B165,次果筐明细!$F$4:$F$603,"*入库*",次果筐明细!$B$4:$B$603,"&gt;="&amp;$Z$1,次果筐明细!$B$4:$B$603,"&lt;="&amp;$Z$2)-SUM($I165:$L165))</f>
        <v/>
      </c>
      <c r="N165" s="62" t="str">
        <f t="shared" si="14"/>
        <v/>
      </c>
      <c r="O165" s="39" t="str">
        <f t="shared" si="15"/>
        <v/>
      </c>
      <c r="P165" s="30" t="str">
        <f>IF($B165="","",ROUND(SUMIFS(次果筐明细!$L$4:$L$603,次果筐明细!$C$4:$C$603,$B165,次果筐明细!$B$4:$B$603,"&gt;="&amp;$Z$1,次果筐明细!$B$4:$B$603,"&lt;="&amp;$Z$2),2))</f>
        <v/>
      </c>
      <c r="Q165" s="30" t="str">
        <f>IF($B165="","",ROUND(SUMIFS(次果筐明细!$L$4:$L$603,次果筐明细!$C$4:$C$603,$B165,次果筐明细!$M$4:$M$603,"已收讫",次果筐明细!$B$4:$B$603,"&gt;="&amp;$Z$1,次果筐明细!$B$4:$B$603,"&lt;="&amp;$Z$2),2))</f>
        <v/>
      </c>
      <c r="R165" s="30" t="str">
        <f t="shared" si="16"/>
        <v/>
      </c>
      <c r="S165" s="30" t="str">
        <f>IF($B165="","",ROUND(SUMIFS(次果筐明细!$J$4:$J$603,次果筐明细!$C$4:$C$603,$B165,次果筐明细!$B$4:$B$603,"&gt;="&amp;$Z$1,次果筐明细!$B$4:$B$603,"&lt;="&amp;$Z$2),2))</f>
        <v/>
      </c>
      <c r="T165" s="63" t="str">
        <f>IF($B165="","",ROUND(SUMIFS(次果筐明细!$K$4:$K$603,次果筐明细!$C$4:$C$603,$B165,次果筐明细!$B$4:$B$603,"&gt;="&amp;$Z$1,次果筐明细!$B$4:$B$603,"&lt;="&amp;$Z$2),2))</f>
        <v/>
      </c>
      <c r="U165" s="30" t="str">
        <f t="shared" si="17"/>
        <v/>
      </c>
      <c r="V165" s="42"/>
    </row>
    <row r="166" spans="1:22">
      <c r="A166" s="24" t="str">
        <f t="shared" si="12"/>
        <v/>
      </c>
      <c r="B166" s="37" t="str">
        <f>IFERROR(INDEX(_自动清单!$AY$4:$AY$203,ROW()-3),"")</f>
        <v/>
      </c>
      <c r="C166" s="39" t="str">
        <f>IF(OR($B166="",_自动清单!$AS$4=""),"",SUMIFS(次果筐明细!$G$4:$G$603,次果筐明细!$C$4:$C$603,$B166,次果筐明细!$D$4:$D$603,_自动清单!$AS$4,次果筐明细!$F$4:$F$603,"*出库*",次果筐明细!$B$4:$B$603,"&gt;="&amp;$Z$1,次果筐明细!$B$4:$B$603,"&lt;="&amp;$Z$2))</f>
        <v/>
      </c>
      <c r="D166" s="39" t="str">
        <f>IF(OR($B166="",_自动清单!$AS$5=""),"",SUMIFS(次果筐明细!$G$4:$G$603,次果筐明细!$C$4:$C$603,$B166,次果筐明细!$D$4:$D$603,_自动清单!$AS$5,次果筐明细!$F$4:$F$603,"*出库*",次果筐明细!$B$4:$B$603,"&gt;="&amp;$Z$1,次果筐明细!$B$4:$B$603,"&lt;="&amp;$Z$2))</f>
        <v/>
      </c>
      <c r="E166" s="39" t="str">
        <f>IF(OR($B166="",_自动清单!$AS$6=""),"",SUMIFS(次果筐明细!$G$4:$G$603,次果筐明细!$C$4:$C$603,$B166,次果筐明细!$D$4:$D$603,_自动清单!$AS$6,次果筐明细!$F$4:$F$603,"*出库*",次果筐明细!$B$4:$B$603,"&gt;="&amp;$Z$1,次果筐明细!$B$4:$B$603,"&lt;="&amp;$Z$2))</f>
        <v/>
      </c>
      <c r="F166" s="39" t="str">
        <f>IF(OR($B166="",_自动清单!$AS$7=""),"",SUMIFS(次果筐明细!$G$4:$G$603,次果筐明细!$C$4:$C$603,$B166,次果筐明细!$D$4:$D$603,_自动清单!$AS$7,次果筐明细!$F$4:$F$603,"*出库*",次果筐明细!$B$4:$B$603,"&gt;="&amp;$Z$1,次果筐明细!$B$4:$B$603,"&lt;="&amp;$Z$2))</f>
        <v/>
      </c>
      <c r="G166" s="39" t="str">
        <f>IF($B166="","",SUMIFS(次果筐明细!$G$4:$G$603,次果筐明细!$C$4:$C$603,$B166,次果筐明细!$F$4:$F$603,"*出库*",次果筐明细!$B$4:$B$603,"&gt;="&amp;$Z$1,次果筐明细!$B$4:$B$603,"&lt;="&amp;$Z$2)-SUM($C166:$F166))</f>
        <v/>
      </c>
      <c r="H166" s="39" t="str">
        <f t="shared" si="13"/>
        <v/>
      </c>
      <c r="I166" s="39" t="str">
        <f>IF(OR($B166="",_自动清单!$AS$4=""),"",SUMIFS(次果筐明细!$G$4:$G$603,次果筐明细!$C$4:$C$603,$B166,次果筐明细!$D$4:$D$603,_自动清单!$AS$4,次果筐明细!$F$4:$F$603,"*入库*",次果筐明细!$B$4:$B$603,"&gt;="&amp;$Z$1,次果筐明细!$B$4:$B$603,"&lt;="&amp;$Z$2))</f>
        <v/>
      </c>
      <c r="J166" s="39" t="str">
        <f>IF(OR($B166="",_自动清单!$AS$5=""),"",SUMIFS(次果筐明细!$G$4:$G$603,次果筐明细!$C$4:$C$603,$B166,次果筐明细!$D$4:$D$603,_自动清单!$AS$5,次果筐明细!$F$4:$F$603,"*入库*",次果筐明细!$B$4:$B$603,"&gt;="&amp;$Z$1,次果筐明细!$B$4:$B$603,"&lt;="&amp;$Z$2))</f>
        <v/>
      </c>
      <c r="K166" s="39" t="str">
        <f>IF(OR($B166="",_自动清单!$AS$6=""),"",SUMIFS(次果筐明细!$G$4:$G$603,次果筐明细!$C$4:$C$603,$B166,次果筐明细!$D$4:$D$603,_自动清单!$AS$6,次果筐明细!$F$4:$F$603,"*入库*",次果筐明细!$B$4:$B$603,"&gt;="&amp;$Z$1,次果筐明细!$B$4:$B$603,"&lt;="&amp;$Z$2))</f>
        <v/>
      </c>
      <c r="L166" s="39" t="str">
        <f>IF(OR($B166="",_自动清单!$AS$7=""),"",SUMIFS(次果筐明细!$G$4:$G$603,次果筐明细!$C$4:$C$603,$B166,次果筐明细!$D$4:$D$603,_自动清单!$AS$7,次果筐明细!$F$4:$F$603,"*入库*",次果筐明细!$B$4:$B$603,"&gt;="&amp;$Z$1,次果筐明细!$B$4:$B$603,"&lt;="&amp;$Z$2))</f>
        <v/>
      </c>
      <c r="M166" s="62" t="str">
        <f>IF($B166="","",SUMIFS(次果筐明细!$G$4:$G$603,次果筐明细!$C$4:$C$603,$B166,次果筐明细!$F$4:$F$603,"*入库*",次果筐明细!$B$4:$B$603,"&gt;="&amp;$Z$1,次果筐明细!$B$4:$B$603,"&lt;="&amp;$Z$2)-SUM($I166:$L166))</f>
        <v/>
      </c>
      <c r="N166" s="62" t="str">
        <f t="shared" si="14"/>
        <v/>
      </c>
      <c r="O166" s="39" t="str">
        <f t="shared" si="15"/>
        <v/>
      </c>
      <c r="P166" s="30" t="str">
        <f>IF($B166="","",ROUND(SUMIFS(次果筐明细!$L$4:$L$603,次果筐明细!$C$4:$C$603,$B166,次果筐明细!$B$4:$B$603,"&gt;="&amp;$Z$1,次果筐明细!$B$4:$B$603,"&lt;="&amp;$Z$2),2))</f>
        <v/>
      </c>
      <c r="Q166" s="30" t="str">
        <f>IF($B166="","",ROUND(SUMIFS(次果筐明细!$L$4:$L$603,次果筐明细!$C$4:$C$603,$B166,次果筐明细!$M$4:$M$603,"已收讫",次果筐明细!$B$4:$B$603,"&gt;="&amp;$Z$1,次果筐明细!$B$4:$B$603,"&lt;="&amp;$Z$2),2))</f>
        <v/>
      </c>
      <c r="R166" s="30" t="str">
        <f t="shared" si="16"/>
        <v/>
      </c>
      <c r="S166" s="30" t="str">
        <f>IF($B166="","",ROUND(SUMIFS(次果筐明细!$J$4:$J$603,次果筐明细!$C$4:$C$603,$B166,次果筐明细!$B$4:$B$603,"&gt;="&amp;$Z$1,次果筐明细!$B$4:$B$603,"&lt;="&amp;$Z$2),2))</f>
        <v/>
      </c>
      <c r="T166" s="63" t="str">
        <f>IF($B166="","",ROUND(SUMIFS(次果筐明细!$K$4:$K$603,次果筐明细!$C$4:$C$603,$B166,次果筐明细!$B$4:$B$603,"&gt;="&amp;$Z$1,次果筐明细!$B$4:$B$603,"&lt;="&amp;$Z$2),2))</f>
        <v/>
      </c>
      <c r="U166" s="30" t="str">
        <f t="shared" si="17"/>
        <v/>
      </c>
      <c r="V166" s="42"/>
    </row>
    <row r="167" spans="1:22">
      <c r="A167" s="24" t="str">
        <f t="shared" si="12"/>
        <v/>
      </c>
      <c r="B167" s="37" t="str">
        <f>IFERROR(INDEX(_自动清单!$AY$4:$AY$203,ROW()-3),"")</f>
        <v/>
      </c>
      <c r="C167" s="39" t="str">
        <f>IF(OR($B167="",_自动清单!$AS$4=""),"",SUMIFS(次果筐明细!$G$4:$G$603,次果筐明细!$C$4:$C$603,$B167,次果筐明细!$D$4:$D$603,_自动清单!$AS$4,次果筐明细!$F$4:$F$603,"*出库*",次果筐明细!$B$4:$B$603,"&gt;="&amp;$Z$1,次果筐明细!$B$4:$B$603,"&lt;="&amp;$Z$2))</f>
        <v/>
      </c>
      <c r="D167" s="39" t="str">
        <f>IF(OR($B167="",_自动清单!$AS$5=""),"",SUMIFS(次果筐明细!$G$4:$G$603,次果筐明细!$C$4:$C$603,$B167,次果筐明细!$D$4:$D$603,_自动清单!$AS$5,次果筐明细!$F$4:$F$603,"*出库*",次果筐明细!$B$4:$B$603,"&gt;="&amp;$Z$1,次果筐明细!$B$4:$B$603,"&lt;="&amp;$Z$2))</f>
        <v/>
      </c>
      <c r="E167" s="39" t="str">
        <f>IF(OR($B167="",_自动清单!$AS$6=""),"",SUMIFS(次果筐明细!$G$4:$G$603,次果筐明细!$C$4:$C$603,$B167,次果筐明细!$D$4:$D$603,_自动清单!$AS$6,次果筐明细!$F$4:$F$603,"*出库*",次果筐明细!$B$4:$B$603,"&gt;="&amp;$Z$1,次果筐明细!$B$4:$B$603,"&lt;="&amp;$Z$2))</f>
        <v/>
      </c>
      <c r="F167" s="39" t="str">
        <f>IF(OR($B167="",_自动清单!$AS$7=""),"",SUMIFS(次果筐明细!$G$4:$G$603,次果筐明细!$C$4:$C$603,$B167,次果筐明细!$D$4:$D$603,_自动清单!$AS$7,次果筐明细!$F$4:$F$603,"*出库*",次果筐明细!$B$4:$B$603,"&gt;="&amp;$Z$1,次果筐明细!$B$4:$B$603,"&lt;="&amp;$Z$2))</f>
        <v/>
      </c>
      <c r="G167" s="39" t="str">
        <f>IF($B167="","",SUMIFS(次果筐明细!$G$4:$G$603,次果筐明细!$C$4:$C$603,$B167,次果筐明细!$F$4:$F$603,"*出库*",次果筐明细!$B$4:$B$603,"&gt;="&amp;$Z$1,次果筐明细!$B$4:$B$603,"&lt;="&amp;$Z$2)-SUM($C167:$F167))</f>
        <v/>
      </c>
      <c r="H167" s="39" t="str">
        <f t="shared" si="13"/>
        <v/>
      </c>
      <c r="I167" s="39" t="str">
        <f>IF(OR($B167="",_自动清单!$AS$4=""),"",SUMIFS(次果筐明细!$G$4:$G$603,次果筐明细!$C$4:$C$603,$B167,次果筐明细!$D$4:$D$603,_自动清单!$AS$4,次果筐明细!$F$4:$F$603,"*入库*",次果筐明细!$B$4:$B$603,"&gt;="&amp;$Z$1,次果筐明细!$B$4:$B$603,"&lt;="&amp;$Z$2))</f>
        <v/>
      </c>
      <c r="J167" s="39" t="str">
        <f>IF(OR($B167="",_自动清单!$AS$5=""),"",SUMIFS(次果筐明细!$G$4:$G$603,次果筐明细!$C$4:$C$603,$B167,次果筐明细!$D$4:$D$603,_自动清单!$AS$5,次果筐明细!$F$4:$F$603,"*入库*",次果筐明细!$B$4:$B$603,"&gt;="&amp;$Z$1,次果筐明细!$B$4:$B$603,"&lt;="&amp;$Z$2))</f>
        <v/>
      </c>
      <c r="K167" s="39" t="str">
        <f>IF(OR($B167="",_自动清单!$AS$6=""),"",SUMIFS(次果筐明细!$G$4:$G$603,次果筐明细!$C$4:$C$603,$B167,次果筐明细!$D$4:$D$603,_自动清单!$AS$6,次果筐明细!$F$4:$F$603,"*入库*",次果筐明细!$B$4:$B$603,"&gt;="&amp;$Z$1,次果筐明细!$B$4:$B$603,"&lt;="&amp;$Z$2))</f>
        <v/>
      </c>
      <c r="L167" s="39" t="str">
        <f>IF(OR($B167="",_自动清单!$AS$7=""),"",SUMIFS(次果筐明细!$G$4:$G$603,次果筐明细!$C$4:$C$603,$B167,次果筐明细!$D$4:$D$603,_自动清单!$AS$7,次果筐明细!$F$4:$F$603,"*入库*",次果筐明细!$B$4:$B$603,"&gt;="&amp;$Z$1,次果筐明细!$B$4:$B$603,"&lt;="&amp;$Z$2))</f>
        <v/>
      </c>
      <c r="M167" s="62" t="str">
        <f>IF($B167="","",SUMIFS(次果筐明细!$G$4:$G$603,次果筐明细!$C$4:$C$603,$B167,次果筐明细!$F$4:$F$603,"*入库*",次果筐明细!$B$4:$B$603,"&gt;="&amp;$Z$1,次果筐明细!$B$4:$B$603,"&lt;="&amp;$Z$2)-SUM($I167:$L167))</f>
        <v/>
      </c>
      <c r="N167" s="62" t="str">
        <f t="shared" si="14"/>
        <v/>
      </c>
      <c r="O167" s="39" t="str">
        <f t="shared" si="15"/>
        <v/>
      </c>
      <c r="P167" s="30" t="str">
        <f>IF($B167="","",ROUND(SUMIFS(次果筐明细!$L$4:$L$603,次果筐明细!$C$4:$C$603,$B167,次果筐明细!$B$4:$B$603,"&gt;="&amp;$Z$1,次果筐明细!$B$4:$B$603,"&lt;="&amp;$Z$2),2))</f>
        <v/>
      </c>
      <c r="Q167" s="30" t="str">
        <f>IF($B167="","",ROUND(SUMIFS(次果筐明细!$L$4:$L$603,次果筐明细!$C$4:$C$603,$B167,次果筐明细!$M$4:$M$603,"已收讫",次果筐明细!$B$4:$B$603,"&gt;="&amp;$Z$1,次果筐明细!$B$4:$B$603,"&lt;="&amp;$Z$2),2))</f>
        <v/>
      </c>
      <c r="R167" s="30" t="str">
        <f t="shared" si="16"/>
        <v/>
      </c>
      <c r="S167" s="30" t="str">
        <f>IF($B167="","",ROUND(SUMIFS(次果筐明细!$J$4:$J$603,次果筐明细!$C$4:$C$603,$B167,次果筐明细!$B$4:$B$603,"&gt;="&amp;$Z$1,次果筐明细!$B$4:$B$603,"&lt;="&amp;$Z$2),2))</f>
        <v/>
      </c>
      <c r="T167" s="63" t="str">
        <f>IF($B167="","",ROUND(SUMIFS(次果筐明细!$K$4:$K$603,次果筐明细!$C$4:$C$603,$B167,次果筐明细!$B$4:$B$603,"&gt;="&amp;$Z$1,次果筐明细!$B$4:$B$603,"&lt;="&amp;$Z$2),2))</f>
        <v/>
      </c>
      <c r="U167" s="30" t="str">
        <f t="shared" si="17"/>
        <v/>
      </c>
      <c r="V167" s="42"/>
    </row>
    <row r="168" spans="1:22">
      <c r="A168" s="24" t="str">
        <f t="shared" si="12"/>
        <v/>
      </c>
      <c r="B168" s="37" t="str">
        <f>IFERROR(INDEX(_自动清单!$AY$4:$AY$203,ROW()-3),"")</f>
        <v/>
      </c>
      <c r="C168" s="39" t="str">
        <f>IF(OR($B168="",_自动清单!$AS$4=""),"",SUMIFS(次果筐明细!$G$4:$G$603,次果筐明细!$C$4:$C$603,$B168,次果筐明细!$D$4:$D$603,_自动清单!$AS$4,次果筐明细!$F$4:$F$603,"*出库*",次果筐明细!$B$4:$B$603,"&gt;="&amp;$Z$1,次果筐明细!$B$4:$B$603,"&lt;="&amp;$Z$2))</f>
        <v/>
      </c>
      <c r="D168" s="39" t="str">
        <f>IF(OR($B168="",_自动清单!$AS$5=""),"",SUMIFS(次果筐明细!$G$4:$G$603,次果筐明细!$C$4:$C$603,$B168,次果筐明细!$D$4:$D$603,_自动清单!$AS$5,次果筐明细!$F$4:$F$603,"*出库*",次果筐明细!$B$4:$B$603,"&gt;="&amp;$Z$1,次果筐明细!$B$4:$B$603,"&lt;="&amp;$Z$2))</f>
        <v/>
      </c>
      <c r="E168" s="39" t="str">
        <f>IF(OR($B168="",_自动清单!$AS$6=""),"",SUMIFS(次果筐明细!$G$4:$G$603,次果筐明细!$C$4:$C$603,$B168,次果筐明细!$D$4:$D$603,_自动清单!$AS$6,次果筐明细!$F$4:$F$603,"*出库*",次果筐明细!$B$4:$B$603,"&gt;="&amp;$Z$1,次果筐明细!$B$4:$B$603,"&lt;="&amp;$Z$2))</f>
        <v/>
      </c>
      <c r="F168" s="39" t="str">
        <f>IF(OR($B168="",_自动清单!$AS$7=""),"",SUMIFS(次果筐明细!$G$4:$G$603,次果筐明细!$C$4:$C$603,$B168,次果筐明细!$D$4:$D$603,_自动清单!$AS$7,次果筐明细!$F$4:$F$603,"*出库*",次果筐明细!$B$4:$B$603,"&gt;="&amp;$Z$1,次果筐明细!$B$4:$B$603,"&lt;="&amp;$Z$2))</f>
        <v/>
      </c>
      <c r="G168" s="39" t="str">
        <f>IF($B168="","",SUMIFS(次果筐明细!$G$4:$G$603,次果筐明细!$C$4:$C$603,$B168,次果筐明细!$F$4:$F$603,"*出库*",次果筐明细!$B$4:$B$603,"&gt;="&amp;$Z$1,次果筐明细!$B$4:$B$603,"&lt;="&amp;$Z$2)-SUM($C168:$F168))</f>
        <v/>
      </c>
      <c r="H168" s="39" t="str">
        <f t="shared" si="13"/>
        <v/>
      </c>
      <c r="I168" s="39" t="str">
        <f>IF(OR($B168="",_自动清单!$AS$4=""),"",SUMIFS(次果筐明细!$G$4:$G$603,次果筐明细!$C$4:$C$603,$B168,次果筐明细!$D$4:$D$603,_自动清单!$AS$4,次果筐明细!$F$4:$F$603,"*入库*",次果筐明细!$B$4:$B$603,"&gt;="&amp;$Z$1,次果筐明细!$B$4:$B$603,"&lt;="&amp;$Z$2))</f>
        <v/>
      </c>
      <c r="J168" s="39" t="str">
        <f>IF(OR($B168="",_自动清单!$AS$5=""),"",SUMIFS(次果筐明细!$G$4:$G$603,次果筐明细!$C$4:$C$603,$B168,次果筐明细!$D$4:$D$603,_自动清单!$AS$5,次果筐明细!$F$4:$F$603,"*入库*",次果筐明细!$B$4:$B$603,"&gt;="&amp;$Z$1,次果筐明细!$B$4:$B$603,"&lt;="&amp;$Z$2))</f>
        <v/>
      </c>
      <c r="K168" s="39" t="str">
        <f>IF(OR($B168="",_自动清单!$AS$6=""),"",SUMIFS(次果筐明细!$G$4:$G$603,次果筐明细!$C$4:$C$603,$B168,次果筐明细!$D$4:$D$603,_自动清单!$AS$6,次果筐明细!$F$4:$F$603,"*入库*",次果筐明细!$B$4:$B$603,"&gt;="&amp;$Z$1,次果筐明细!$B$4:$B$603,"&lt;="&amp;$Z$2))</f>
        <v/>
      </c>
      <c r="L168" s="39" t="str">
        <f>IF(OR($B168="",_自动清单!$AS$7=""),"",SUMIFS(次果筐明细!$G$4:$G$603,次果筐明细!$C$4:$C$603,$B168,次果筐明细!$D$4:$D$603,_自动清单!$AS$7,次果筐明细!$F$4:$F$603,"*入库*",次果筐明细!$B$4:$B$603,"&gt;="&amp;$Z$1,次果筐明细!$B$4:$B$603,"&lt;="&amp;$Z$2))</f>
        <v/>
      </c>
      <c r="M168" s="62" t="str">
        <f>IF($B168="","",SUMIFS(次果筐明细!$G$4:$G$603,次果筐明细!$C$4:$C$603,$B168,次果筐明细!$F$4:$F$603,"*入库*",次果筐明细!$B$4:$B$603,"&gt;="&amp;$Z$1,次果筐明细!$B$4:$B$603,"&lt;="&amp;$Z$2)-SUM($I168:$L168))</f>
        <v/>
      </c>
      <c r="N168" s="62" t="str">
        <f t="shared" si="14"/>
        <v/>
      </c>
      <c r="O168" s="39" t="str">
        <f t="shared" si="15"/>
        <v/>
      </c>
      <c r="P168" s="30" t="str">
        <f>IF($B168="","",ROUND(SUMIFS(次果筐明细!$L$4:$L$603,次果筐明细!$C$4:$C$603,$B168,次果筐明细!$B$4:$B$603,"&gt;="&amp;$Z$1,次果筐明细!$B$4:$B$603,"&lt;="&amp;$Z$2),2))</f>
        <v/>
      </c>
      <c r="Q168" s="30" t="str">
        <f>IF($B168="","",ROUND(SUMIFS(次果筐明细!$L$4:$L$603,次果筐明细!$C$4:$C$603,$B168,次果筐明细!$M$4:$M$603,"已收讫",次果筐明细!$B$4:$B$603,"&gt;="&amp;$Z$1,次果筐明细!$B$4:$B$603,"&lt;="&amp;$Z$2),2))</f>
        <v/>
      </c>
      <c r="R168" s="30" t="str">
        <f t="shared" si="16"/>
        <v/>
      </c>
      <c r="S168" s="30" t="str">
        <f>IF($B168="","",ROUND(SUMIFS(次果筐明细!$J$4:$J$603,次果筐明细!$C$4:$C$603,$B168,次果筐明细!$B$4:$B$603,"&gt;="&amp;$Z$1,次果筐明细!$B$4:$B$603,"&lt;="&amp;$Z$2),2))</f>
        <v/>
      </c>
      <c r="T168" s="63" t="str">
        <f>IF($B168="","",ROUND(SUMIFS(次果筐明细!$K$4:$K$603,次果筐明细!$C$4:$C$603,$B168,次果筐明细!$B$4:$B$603,"&gt;="&amp;$Z$1,次果筐明细!$B$4:$B$603,"&lt;="&amp;$Z$2),2))</f>
        <v/>
      </c>
      <c r="U168" s="30" t="str">
        <f t="shared" si="17"/>
        <v/>
      </c>
      <c r="V168" s="42"/>
    </row>
    <row r="169" spans="1:22">
      <c r="A169" s="24" t="str">
        <f t="shared" si="12"/>
        <v/>
      </c>
      <c r="B169" s="37" t="str">
        <f>IFERROR(INDEX(_自动清单!$AY$4:$AY$203,ROW()-3),"")</f>
        <v/>
      </c>
      <c r="C169" s="39" t="str">
        <f>IF(OR($B169="",_自动清单!$AS$4=""),"",SUMIFS(次果筐明细!$G$4:$G$603,次果筐明细!$C$4:$C$603,$B169,次果筐明细!$D$4:$D$603,_自动清单!$AS$4,次果筐明细!$F$4:$F$603,"*出库*",次果筐明细!$B$4:$B$603,"&gt;="&amp;$Z$1,次果筐明细!$B$4:$B$603,"&lt;="&amp;$Z$2))</f>
        <v/>
      </c>
      <c r="D169" s="39" t="str">
        <f>IF(OR($B169="",_自动清单!$AS$5=""),"",SUMIFS(次果筐明细!$G$4:$G$603,次果筐明细!$C$4:$C$603,$B169,次果筐明细!$D$4:$D$603,_自动清单!$AS$5,次果筐明细!$F$4:$F$603,"*出库*",次果筐明细!$B$4:$B$603,"&gt;="&amp;$Z$1,次果筐明细!$B$4:$B$603,"&lt;="&amp;$Z$2))</f>
        <v/>
      </c>
      <c r="E169" s="39" t="str">
        <f>IF(OR($B169="",_自动清单!$AS$6=""),"",SUMIFS(次果筐明细!$G$4:$G$603,次果筐明细!$C$4:$C$603,$B169,次果筐明细!$D$4:$D$603,_自动清单!$AS$6,次果筐明细!$F$4:$F$603,"*出库*",次果筐明细!$B$4:$B$603,"&gt;="&amp;$Z$1,次果筐明细!$B$4:$B$603,"&lt;="&amp;$Z$2))</f>
        <v/>
      </c>
      <c r="F169" s="39" t="str">
        <f>IF(OR($B169="",_自动清单!$AS$7=""),"",SUMIFS(次果筐明细!$G$4:$G$603,次果筐明细!$C$4:$C$603,$B169,次果筐明细!$D$4:$D$603,_自动清单!$AS$7,次果筐明细!$F$4:$F$603,"*出库*",次果筐明细!$B$4:$B$603,"&gt;="&amp;$Z$1,次果筐明细!$B$4:$B$603,"&lt;="&amp;$Z$2))</f>
        <v/>
      </c>
      <c r="G169" s="39" t="str">
        <f>IF($B169="","",SUMIFS(次果筐明细!$G$4:$G$603,次果筐明细!$C$4:$C$603,$B169,次果筐明细!$F$4:$F$603,"*出库*",次果筐明细!$B$4:$B$603,"&gt;="&amp;$Z$1,次果筐明细!$B$4:$B$603,"&lt;="&amp;$Z$2)-SUM($C169:$F169))</f>
        <v/>
      </c>
      <c r="H169" s="39" t="str">
        <f t="shared" si="13"/>
        <v/>
      </c>
      <c r="I169" s="39" t="str">
        <f>IF(OR($B169="",_自动清单!$AS$4=""),"",SUMIFS(次果筐明细!$G$4:$G$603,次果筐明细!$C$4:$C$603,$B169,次果筐明细!$D$4:$D$603,_自动清单!$AS$4,次果筐明细!$F$4:$F$603,"*入库*",次果筐明细!$B$4:$B$603,"&gt;="&amp;$Z$1,次果筐明细!$B$4:$B$603,"&lt;="&amp;$Z$2))</f>
        <v/>
      </c>
      <c r="J169" s="39" t="str">
        <f>IF(OR($B169="",_自动清单!$AS$5=""),"",SUMIFS(次果筐明细!$G$4:$G$603,次果筐明细!$C$4:$C$603,$B169,次果筐明细!$D$4:$D$603,_自动清单!$AS$5,次果筐明细!$F$4:$F$603,"*入库*",次果筐明细!$B$4:$B$603,"&gt;="&amp;$Z$1,次果筐明细!$B$4:$B$603,"&lt;="&amp;$Z$2))</f>
        <v/>
      </c>
      <c r="K169" s="39" t="str">
        <f>IF(OR($B169="",_自动清单!$AS$6=""),"",SUMIFS(次果筐明细!$G$4:$G$603,次果筐明细!$C$4:$C$603,$B169,次果筐明细!$D$4:$D$603,_自动清单!$AS$6,次果筐明细!$F$4:$F$603,"*入库*",次果筐明细!$B$4:$B$603,"&gt;="&amp;$Z$1,次果筐明细!$B$4:$B$603,"&lt;="&amp;$Z$2))</f>
        <v/>
      </c>
      <c r="L169" s="39" t="str">
        <f>IF(OR($B169="",_自动清单!$AS$7=""),"",SUMIFS(次果筐明细!$G$4:$G$603,次果筐明细!$C$4:$C$603,$B169,次果筐明细!$D$4:$D$603,_自动清单!$AS$7,次果筐明细!$F$4:$F$603,"*入库*",次果筐明细!$B$4:$B$603,"&gt;="&amp;$Z$1,次果筐明细!$B$4:$B$603,"&lt;="&amp;$Z$2))</f>
        <v/>
      </c>
      <c r="M169" s="62" t="str">
        <f>IF($B169="","",SUMIFS(次果筐明细!$G$4:$G$603,次果筐明细!$C$4:$C$603,$B169,次果筐明细!$F$4:$F$603,"*入库*",次果筐明细!$B$4:$B$603,"&gt;="&amp;$Z$1,次果筐明细!$B$4:$B$603,"&lt;="&amp;$Z$2)-SUM($I169:$L169))</f>
        <v/>
      </c>
      <c r="N169" s="62" t="str">
        <f t="shared" si="14"/>
        <v/>
      </c>
      <c r="O169" s="39" t="str">
        <f t="shared" si="15"/>
        <v/>
      </c>
      <c r="P169" s="30" t="str">
        <f>IF($B169="","",ROUND(SUMIFS(次果筐明细!$L$4:$L$603,次果筐明细!$C$4:$C$603,$B169,次果筐明细!$B$4:$B$603,"&gt;="&amp;$Z$1,次果筐明细!$B$4:$B$603,"&lt;="&amp;$Z$2),2))</f>
        <v/>
      </c>
      <c r="Q169" s="30" t="str">
        <f>IF($B169="","",ROUND(SUMIFS(次果筐明细!$L$4:$L$603,次果筐明细!$C$4:$C$603,$B169,次果筐明细!$M$4:$M$603,"已收讫",次果筐明细!$B$4:$B$603,"&gt;="&amp;$Z$1,次果筐明细!$B$4:$B$603,"&lt;="&amp;$Z$2),2))</f>
        <v/>
      </c>
      <c r="R169" s="30" t="str">
        <f t="shared" si="16"/>
        <v/>
      </c>
      <c r="S169" s="30" t="str">
        <f>IF($B169="","",ROUND(SUMIFS(次果筐明细!$J$4:$J$603,次果筐明细!$C$4:$C$603,$B169,次果筐明细!$B$4:$B$603,"&gt;="&amp;$Z$1,次果筐明细!$B$4:$B$603,"&lt;="&amp;$Z$2),2))</f>
        <v/>
      </c>
      <c r="T169" s="63" t="str">
        <f>IF($B169="","",ROUND(SUMIFS(次果筐明细!$K$4:$K$603,次果筐明细!$C$4:$C$603,$B169,次果筐明细!$B$4:$B$603,"&gt;="&amp;$Z$1,次果筐明细!$B$4:$B$603,"&lt;="&amp;$Z$2),2))</f>
        <v/>
      </c>
      <c r="U169" s="30" t="str">
        <f t="shared" si="17"/>
        <v/>
      </c>
      <c r="V169" s="42"/>
    </row>
    <row r="170" spans="1:22">
      <c r="A170" s="24" t="str">
        <f t="shared" si="12"/>
        <v/>
      </c>
      <c r="B170" s="37" t="str">
        <f>IFERROR(INDEX(_自动清单!$AY$4:$AY$203,ROW()-3),"")</f>
        <v/>
      </c>
      <c r="C170" s="39" t="str">
        <f>IF(OR($B170="",_自动清单!$AS$4=""),"",SUMIFS(次果筐明细!$G$4:$G$603,次果筐明细!$C$4:$C$603,$B170,次果筐明细!$D$4:$D$603,_自动清单!$AS$4,次果筐明细!$F$4:$F$603,"*出库*",次果筐明细!$B$4:$B$603,"&gt;="&amp;$Z$1,次果筐明细!$B$4:$B$603,"&lt;="&amp;$Z$2))</f>
        <v/>
      </c>
      <c r="D170" s="39" t="str">
        <f>IF(OR($B170="",_自动清单!$AS$5=""),"",SUMIFS(次果筐明细!$G$4:$G$603,次果筐明细!$C$4:$C$603,$B170,次果筐明细!$D$4:$D$603,_自动清单!$AS$5,次果筐明细!$F$4:$F$603,"*出库*",次果筐明细!$B$4:$B$603,"&gt;="&amp;$Z$1,次果筐明细!$B$4:$B$603,"&lt;="&amp;$Z$2))</f>
        <v/>
      </c>
      <c r="E170" s="39" t="str">
        <f>IF(OR($B170="",_自动清单!$AS$6=""),"",SUMIFS(次果筐明细!$G$4:$G$603,次果筐明细!$C$4:$C$603,$B170,次果筐明细!$D$4:$D$603,_自动清单!$AS$6,次果筐明细!$F$4:$F$603,"*出库*",次果筐明细!$B$4:$B$603,"&gt;="&amp;$Z$1,次果筐明细!$B$4:$B$603,"&lt;="&amp;$Z$2))</f>
        <v/>
      </c>
      <c r="F170" s="39" t="str">
        <f>IF(OR($B170="",_自动清单!$AS$7=""),"",SUMIFS(次果筐明细!$G$4:$G$603,次果筐明细!$C$4:$C$603,$B170,次果筐明细!$D$4:$D$603,_自动清单!$AS$7,次果筐明细!$F$4:$F$603,"*出库*",次果筐明细!$B$4:$B$603,"&gt;="&amp;$Z$1,次果筐明细!$B$4:$B$603,"&lt;="&amp;$Z$2))</f>
        <v/>
      </c>
      <c r="G170" s="39" t="str">
        <f>IF($B170="","",SUMIFS(次果筐明细!$G$4:$G$603,次果筐明细!$C$4:$C$603,$B170,次果筐明细!$F$4:$F$603,"*出库*",次果筐明细!$B$4:$B$603,"&gt;="&amp;$Z$1,次果筐明细!$B$4:$B$603,"&lt;="&amp;$Z$2)-SUM($C170:$F170))</f>
        <v/>
      </c>
      <c r="H170" s="39" t="str">
        <f t="shared" si="13"/>
        <v/>
      </c>
      <c r="I170" s="39" t="str">
        <f>IF(OR($B170="",_自动清单!$AS$4=""),"",SUMIFS(次果筐明细!$G$4:$G$603,次果筐明细!$C$4:$C$603,$B170,次果筐明细!$D$4:$D$603,_自动清单!$AS$4,次果筐明细!$F$4:$F$603,"*入库*",次果筐明细!$B$4:$B$603,"&gt;="&amp;$Z$1,次果筐明细!$B$4:$B$603,"&lt;="&amp;$Z$2))</f>
        <v/>
      </c>
      <c r="J170" s="39" t="str">
        <f>IF(OR($B170="",_自动清单!$AS$5=""),"",SUMIFS(次果筐明细!$G$4:$G$603,次果筐明细!$C$4:$C$603,$B170,次果筐明细!$D$4:$D$603,_自动清单!$AS$5,次果筐明细!$F$4:$F$603,"*入库*",次果筐明细!$B$4:$B$603,"&gt;="&amp;$Z$1,次果筐明细!$B$4:$B$603,"&lt;="&amp;$Z$2))</f>
        <v/>
      </c>
      <c r="K170" s="39" t="str">
        <f>IF(OR($B170="",_自动清单!$AS$6=""),"",SUMIFS(次果筐明细!$G$4:$G$603,次果筐明细!$C$4:$C$603,$B170,次果筐明细!$D$4:$D$603,_自动清单!$AS$6,次果筐明细!$F$4:$F$603,"*入库*",次果筐明细!$B$4:$B$603,"&gt;="&amp;$Z$1,次果筐明细!$B$4:$B$603,"&lt;="&amp;$Z$2))</f>
        <v/>
      </c>
      <c r="L170" s="39" t="str">
        <f>IF(OR($B170="",_自动清单!$AS$7=""),"",SUMIFS(次果筐明细!$G$4:$G$603,次果筐明细!$C$4:$C$603,$B170,次果筐明细!$D$4:$D$603,_自动清单!$AS$7,次果筐明细!$F$4:$F$603,"*入库*",次果筐明细!$B$4:$B$603,"&gt;="&amp;$Z$1,次果筐明细!$B$4:$B$603,"&lt;="&amp;$Z$2))</f>
        <v/>
      </c>
      <c r="M170" s="62" t="str">
        <f>IF($B170="","",SUMIFS(次果筐明细!$G$4:$G$603,次果筐明细!$C$4:$C$603,$B170,次果筐明细!$F$4:$F$603,"*入库*",次果筐明细!$B$4:$B$603,"&gt;="&amp;$Z$1,次果筐明细!$B$4:$B$603,"&lt;="&amp;$Z$2)-SUM($I170:$L170))</f>
        <v/>
      </c>
      <c r="N170" s="62" t="str">
        <f t="shared" si="14"/>
        <v/>
      </c>
      <c r="O170" s="39" t="str">
        <f t="shared" si="15"/>
        <v/>
      </c>
      <c r="P170" s="30" t="str">
        <f>IF($B170="","",ROUND(SUMIFS(次果筐明细!$L$4:$L$603,次果筐明细!$C$4:$C$603,$B170,次果筐明细!$B$4:$B$603,"&gt;="&amp;$Z$1,次果筐明细!$B$4:$B$603,"&lt;="&amp;$Z$2),2))</f>
        <v/>
      </c>
      <c r="Q170" s="30" t="str">
        <f>IF($B170="","",ROUND(SUMIFS(次果筐明细!$L$4:$L$603,次果筐明细!$C$4:$C$603,$B170,次果筐明细!$M$4:$M$603,"已收讫",次果筐明细!$B$4:$B$603,"&gt;="&amp;$Z$1,次果筐明细!$B$4:$B$603,"&lt;="&amp;$Z$2),2))</f>
        <v/>
      </c>
      <c r="R170" s="30" t="str">
        <f t="shared" si="16"/>
        <v/>
      </c>
      <c r="S170" s="30" t="str">
        <f>IF($B170="","",ROUND(SUMIFS(次果筐明细!$J$4:$J$603,次果筐明细!$C$4:$C$603,$B170,次果筐明细!$B$4:$B$603,"&gt;="&amp;$Z$1,次果筐明细!$B$4:$B$603,"&lt;="&amp;$Z$2),2))</f>
        <v/>
      </c>
      <c r="T170" s="63" t="str">
        <f>IF($B170="","",ROUND(SUMIFS(次果筐明细!$K$4:$K$603,次果筐明细!$C$4:$C$603,$B170,次果筐明细!$B$4:$B$603,"&gt;="&amp;$Z$1,次果筐明细!$B$4:$B$603,"&lt;="&amp;$Z$2),2))</f>
        <v/>
      </c>
      <c r="U170" s="30" t="str">
        <f t="shared" si="17"/>
        <v/>
      </c>
      <c r="V170" s="42"/>
    </row>
    <row r="171" spans="1:22">
      <c r="A171" s="24" t="str">
        <f t="shared" si="12"/>
        <v/>
      </c>
      <c r="B171" s="37" t="str">
        <f>IFERROR(INDEX(_自动清单!$AY$4:$AY$203,ROW()-3),"")</f>
        <v/>
      </c>
      <c r="C171" s="39" t="str">
        <f>IF(OR($B171="",_自动清单!$AS$4=""),"",SUMIFS(次果筐明细!$G$4:$G$603,次果筐明细!$C$4:$C$603,$B171,次果筐明细!$D$4:$D$603,_自动清单!$AS$4,次果筐明细!$F$4:$F$603,"*出库*",次果筐明细!$B$4:$B$603,"&gt;="&amp;$Z$1,次果筐明细!$B$4:$B$603,"&lt;="&amp;$Z$2))</f>
        <v/>
      </c>
      <c r="D171" s="39" t="str">
        <f>IF(OR($B171="",_自动清单!$AS$5=""),"",SUMIFS(次果筐明细!$G$4:$G$603,次果筐明细!$C$4:$C$603,$B171,次果筐明细!$D$4:$D$603,_自动清单!$AS$5,次果筐明细!$F$4:$F$603,"*出库*",次果筐明细!$B$4:$B$603,"&gt;="&amp;$Z$1,次果筐明细!$B$4:$B$603,"&lt;="&amp;$Z$2))</f>
        <v/>
      </c>
      <c r="E171" s="39" t="str">
        <f>IF(OR($B171="",_自动清单!$AS$6=""),"",SUMIFS(次果筐明细!$G$4:$G$603,次果筐明细!$C$4:$C$603,$B171,次果筐明细!$D$4:$D$603,_自动清单!$AS$6,次果筐明细!$F$4:$F$603,"*出库*",次果筐明细!$B$4:$B$603,"&gt;="&amp;$Z$1,次果筐明细!$B$4:$B$603,"&lt;="&amp;$Z$2))</f>
        <v/>
      </c>
      <c r="F171" s="39" t="str">
        <f>IF(OR($B171="",_自动清单!$AS$7=""),"",SUMIFS(次果筐明细!$G$4:$G$603,次果筐明细!$C$4:$C$603,$B171,次果筐明细!$D$4:$D$603,_自动清单!$AS$7,次果筐明细!$F$4:$F$603,"*出库*",次果筐明细!$B$4:$B$603,"&gt;="&amp;$Z$1,次果筐明细!$B$4:$B$603,"&lt;="&amp;$Z$2))</f>
        <v/>
      </c>
      <c r="G171" s="39" t="str">
        <f>IF($B171="","",SUMIFS(次果筐明细!$G$4:$G$603,次果筐明细!$C$4:$C$603,$B171,次果筐明细!$F$4:$F$603,"*出库*",次果筐明细!$B$4:$B$603,"&gt;="&amp;$Z$1,次果筐明细!$B$4:$B$603,"&lt;="&amp;$Z$2)-SUM($C171:$F171))</f>
        <v/>
      </c>
      <c r="H171" s="39" t="str">
        <f t="shared" si="13"/>
        <v/>
      </c>
      <c r="I171" s="39" t="str">
        <f>IF(OR($B171="",_自动清单!$AS$4=""),"",SUMIFS(次果筐明细!$G$4:$G$603,次果筐明细!$C$4:$C$603,$B171,次果筐明细!$D$4:$D$603,_自动清单!$AS$4,次果筐明细!$F$4:$F$603,"*入库*",次果筐明细!$B$4:$B$603,"&gt;="&amp;$Z$1,次果筐明细!$B$4:$B$603,"&lt;="&amp;$Z$2))</f>
        <v/>
      </c>
      <c r="J171" s="39" t="str">
        <f>IF(OR($B171="",_自动清单!$AS$5=""),"",SUMIFS(次果筐明细!$G$4:$G$603,次果筐明细!$C$4:$C$603,$B171,次果筐明细!$D$4:$D$603,_自动清单!$AS$5,次果筐明细!$F$4:$F$603,"*入库*",次果筐明细!$B$4:$B$603,"&gt;="&amp;$Z$1,次果筐明细!$B$4:$B$603,"&lt;="&amp;$Z$2))</f>
        <v/>
      </c>
      <c r="K171" s="39" t="str">
        <f>IF(OR($B171="",_自动清单!$AS$6=""),"",SUMIFS(次果筐明细!$G$4:$G$603,次果筐明细!$C$4:$C$603,$B171,次果筐明细!$D$4:$D$603,_自动清单!$AS$6,次果筐明细!$F$4:$F$603,"*入库*",次果筐明细!$B$4:$B$603,"&gt;="&amp;$Z$1,次果筐明细!$B$4:$B$603,"&lt;="&amp;$Z$2))</f>
        <v/>
      </c>
      <c r="L171" s="39" t="str">
        <f>IF(OR($B171="",_自动清单!$AS$7=""),"",SUMIFS(次果筐明细!$G$4:$G$603,次果筐明细!$C$4:$C$603,$B171,次果筐明细!$D$4:$D$603,_自动清单!$AS$7,次果筐明细!$F$4:$F$603,"*入库*",次果筐明细!$B$4:$B$603,"&gt;="&amp;$Z$1,次果筐明细!$B$4:$B$603,"&lt;="&amp;$Z$2))</f>
        <v/>
      </c>
      <c r="M171" s="62" t="str">
        <f>IF($B171="","",SUMIFS(次果筐明细!$G$4:$G$603,次果筐明细!$C$4:$C$603,$B171,次果筐明细!$F$4:$F$603,"*入库*",次果筐明细!$B$4:$B$603,"&gt;="&amp;$Z$1,次果筐明细!$B$4:$B$603,"&lt;="&amp;$Z$2)-SUM($I171:$L171))</f>
        <v/>
      </c>
      <c r="N171" s="62" t="str">
        <f t="shared" si="14"/>
        <v/>
      </c>
      <c r="O171" s="39" t="str">
        <f t="shared" si="15"/>
        <v/>
      </c>
      <c r="P171" s="30" t="str">
        <f>IF($B171="","",ROUND(SUMIFS(次果筐明细!$L$4:$L$603,次果筐明细!$C$4:$C$603,$B171,次果筐明细!$B$4:$B$603,"&gt;="&amp;$Z$1,次果筐明细!$B$4:$B$603,"&lt;="&amp;$Z$2),2))</f>
        <v/>
      </c>
      <c r="Q171" s="30" t="str">
        <f>IF($B171="","",ROUND(SUMIFS(次果筐明细!$L$4:$L$603,次果筐明细!$C$4:$C$603,$B171,次果筐明细!$M$4:$M$603,"已收讫",次果筐明细!$B$4:$B$603,"&gt;="&amp;$Z$1,次果筐明细!$B$4:$B$603,"&lt;="&amp;$Z$2),2))</f>
        <v/>
      </c>
      <c r="R171" s="30" t="str">
        <f t="shared" si="16"/>
        <v/>
      </c>
      <c r="S171" s="30" t="str">
        <f>IF($B171="","",ROUND(SUMIFS(次果筐明细!$J$4:$J$603,次果筐明细!$C$4:$C$603,$B171,次果筐明细!$B$4:$B$603,"&gt;="&amp;$Z$1,次果筐明细!$B$4:$B$603,"&lt;="&amp;$Z$2),2))</f>
        <v/>
      </c>
      <c r="T171" s="63" t="str">
        <f>IF($B171="","",ROUND(SUMIFS(次果筐明细!$K$4:$K$603,次果筐明细!$C$4:$C$603,$B171,次果筐明细!$B$4:$B$603,"&gt;="&amp;$Z$1,次果筐明细!$B$4:$B$603,"&lt;="&amp;$Z$2),2))</f>
        <v/>
      </c>
      <c r="U171" s="30" t="str">
        <f t="shared" si="17"/>
        <v/>
      </c>
      <c r="V171" s="42"/>
    </row>
    <row r="172" spans="1:22">
      <c r="A172" s="24" t="str">
        <f t="shared" si="12"/>
        <v/>
      </c>
      <c r="B172" s="37" t="str">
        <f>IFERROR(INDEX(_自动清单!$AY$4:$AY$203,ROW()-3),"")</f>
        <v/>
      </c>
      <c r="C172" s="39" t="str">
        <f>IF(OR($B172="",_自动清单!$AS$4=""),"",SUMIFS(次果筐明细!$G$4:$G$603,次果筐明细!$C$4:$C$603,$B172,次果筐明细!$D$4:$D$603,_自动清单!$AS$4,次果筐明细!$F$4:$F$603,"*出库*",次果筐明细!$B$4:$B$603,"&gt;="&amp;$Z$1,次果筐明细!$B$4:$B$603,"&lt;="&amp;$Z$2))</f>
        <v/>
      </c>
      <c r="D172" s="39" t="str">
        <f>IF(OR($B172="",_自动清单!$AS$5=""),"",SUMIFS(次果筐明细!$G$4:$G$603,次果筐明细!$C$4:$C$603,$B172,次果筐明细!$D$4:$D$603,_自动清单!$AS$5,次果筐明细!$F$4:$F$603,"*出库*",次果筐明细!$B$4:$B$603,"&gt;="&amp;$Z$1,次果筐明细!$B$4:$B$603,"&lt;="&amp;$Z$2))</f>
        <v/>
      </c>
      <c r="E172" s="39" t="str">
        <f>IF(OR($B172="",_自动清单!$AS$6=""),"",SUMIFS(次果筐明细!$G$4:$G$603,次果筐明细!$C$4:$C$603,$B172,次果筐明细!$D$4:$D$603,_自动清单!$AS$6,次果筐明细!$F$4:$F$603,"*出库*",次果筐明细!$B$4:$B$603,"&gt;="&amp;$Z$1,次果筐明细!$B$4:$B$603,"&lt;="&amp;$Z$2))</f>
        <v/>
      </c>
      <c r="F172" s="39" t="str">
        <f>IF(OR($B172="",_自动清单!$AS$7=""),"",SUMIFS(次果筐明细!$G$4:$G$603,次果筐明细!$C$4:$C$603,$B172,次果筐明细!$D$4:$D$603,_自动清单!$AS$7,次果筐明细!$F$4:$F$603,"*出库*",次果筐明细!$B$4:$B$603,"&gt;="&amp;$Z$1,次果筐明细!$B$4:$B$603,"&lt;="&amp;$Z$2))</f>
        <v/>
      </c>
      <c r="G172" s="39" t="str">
        <f>IF($B172="","",SUMIFS(次果筐明细!$G$4:$G$603,次果筐明细!$C$4:$C$603,$B172,次果筐明细!$F$4:$F$603,"*出库*",次果筐明细!$B$4:$B$603,"&gt;="&amp;$Z$1,次果筐明细!$B$4:$B$603,"&lt;="&amp;$Z$2)-SUM($C172:$F172))</f>
        <v/>
      </c>
      <c r="H172" s="39" t="str">
        <f t="shared" si="13"/>
        <v/>
      </c>
      <c r="I172" s="39" t="str">
        <f>IF(OR($B172="",_自动清单!$AS$4=""),"",SUMIFS(次果筐明细!$G$4:$G$603,次果筐明细!$C$4:$C$603,$B172,次果筐明细!$D$4:$D$603,_自动清单!$AS$4,次果筐明细!$F$4:$F$603,"*入库*",次果筐明细!$B$4:$B$603,"&gt;="&amp;$Z$1,次果筐明细!$B$4:$B$603,"&lt;="&amp;$Z$2))</f>
        <v/>
      </c>
      <c r="J172" s="39" t="str">
        <f>IF(OR($B172="",_自动清单!$AS$5=""),"",SUMIFS(次果筐明细!$G$4:$G$603,次果筐明细!$C$4:$C$603,$B172,次果筐明细!$D$4:$D$603,_自动清单!$AS$5,次果筐明细!$F$4:$F$603,"*入库*",次果筐明细!$B$4:$B$603,"&gt;="&amp;$Z$1,次果筐明细!$B$4:$B$603,"&lt;="&amp;$Z$2))</f>
        <v/>
      </c>
      <c r="K172" s="39" t="str">
        <f>IF(OR($B172="",_自动清单!$AS$6=""),"",SUMIFS(次果筐明细!$G$4:$G$603,次果筐明细!$C$4:$C$603,$B172,次果筐明细!$D$4:$D$603,_自动清单!$AS$6,次果筐明细!$F$4:$F$603,"*入库*",次果筐明细!$B$4:$B$603,"&gt;="&amp;$Z$1,次果筐明细!$B$4:$B$603,"&lt;="&amp;$Z$2))</f>
        <v/>
      </c>
      <c r="L172" s="39" t="str">
        <f>IF(OR($B172="",_自动清单!$AS$7=""),"",SUMIFS(次果筐明细!$G$4:$G$603,次果筐明细!$C$4:$C$603,$B172,次果筐明细!$D$4:$D$603,_自动清单!$AS$7,次果筐明细!$F$4:$F$603,"*入库*",次果筐明细!$B$4:$B$603,"&gt;="&amp;$Z$1,次果筐明细!$B$4:$B$603,"&lt;="&amp;$Z$2))</f>
        <v/>
      </c>
      <c r="M172" s="62" t="str">
        <f>IF($B172="","",SUMIFS(次果筐明细!$G$4:$G$603,次果筐明细!$C$4:$C$603,$B172,次果筐明细!$F$4:$F$603,"*入库*",次果筐明细!$B$4:$B$603,"&gt;="&amp;$Z$1,次果筐明细!$B$4:$B$603,"&lt;="&amp;$Z$2)-SUM($I172:$L172))</f>
        <v/>
      </c>
      <c r="N172" s="62" t="str">
        <f t="shared" si="14"/>
        <v/>
      </c>
      <c r="O172" s="39" t="str">
        <f t="shared" si="15"/>
        <v/>
      </c>
      <c r="P172" s="30" t="str">
        <f>IF($B172="","",ROUND(SUMIFS(次果筐明细!$L$4:$L$603,次果筐明细!$C$4:$C$603,$B172,次果筐明细!$B$4:$B$603,"&gt;="&amp;$Z$1,次果筐明细!$B$4:$B$603,"&lt;="&amp;$Z$2),2))</f>
        <v/>
      </c>
      <c r="Q172" s="30" t="str">
        <f>IF($B172="","",ROUND(SUMIFS(次果筐明细!$L$4:$L$603,次果筐明细!$C$4:$C$603,$B172,次果筐明细!$M$4:$M$603,"已收讫",次果筐明细!$B$4:$B$603,"&gt;="&amp;$Z$1,次果筐明细!$B$4:$B$603,"&lt;="&amp;$Z$2),2))</f>
        <v/>
      </c>
      <c r="R172" s="30" t="str">
        <f t="shared" si="16"/>
        <v/>
      </c>
      <c r="S172" s="30" t="str">
        <f>IF($B172="","",ROUND(SUMIFS(次果筐明细!$J$4:$J$603,次果筐明细!$C$4:$C$603,$B172,次果筐明细!$B$4:$B$603,"&gt;="&amp;$Z$1,次果筐明细!$B$4:$B$603,"&lt;="&amp;$Z$2),2))</f>
        <v/>
      </c>
      <c r="T172" s="63" t="str">
        <f>IF($B172="","",ROUND(SUMIFS(次果筐明细!$K$4:$K$603,次果筐明细!$C$4:$C$603,$B172,次果筐明细!$B$4:$B$603,"&gt;="&amp;$Z$1,次果筐明细!$B$4:$B$603,"&lt;="&amp;$Z$2),2))</f>
        <v/>
      </c>
      <c r="U172" s="30" t="str">
        <f t="shared" si="17"/>
        <v/>
      </c>
      <c r="V172" s="42"/>
    </row>
    <row r="173" spans="1:22">
      <c r="A173" s="24" t="str">
        <f t="shared" si="12"/>
        <v/>
      </c>
      <c r="B173" s="37" t="str">
        <f>IFERROR(INDEX(_自动清单!$AY$4:$AY$203,ROW()-3),"")</f>
        <v/>
      </c>
      <c r="C173" s="39" t="str">
        <f>IF(OR($B173="",_自动清单!$AS$4=""),"",SUMIFS(次果筐明细!$G$4:$G$603,次果筐明细!$C$4:$C$603,$B173,次果筐明细!$D$4:$D$603,_自动清单!$AS$4,次果筐明细!$F$4:$F$603,"*出库*",次果筐明细!$B$4:$B$603,"&gt;="&amp;$Z$1,次果筐明细!$B$4:$B$603,"&lt;="&amp;$Z$2))</f>
        <v/>
      </c>
      <c r="D173" s="39" t="str">
        <f>IF(OR($B173="",_自动清单!$AS$5=""),"",SUMIFS(次果筐明细!$G$4:$G$603,次果筐明细!$C$4:$C$603,$B173,次果筐明细!$D$4:$D$603,_自动清单!$AS$5,次果筐明细!$F$4:$F$603,"*出库*",次果筐明细!$B$4:$B$603,"&gt;="&amp;$Z$1,次果筐明细!$B$4:$B$603,"&lt;="&amp;$Z$2))</f>
        <v/>
      </c>
      <c r="E173" s="39" t="str">
        <f>IF(OR($B173="",_自动清单!$AS$6=""),"",SUMIFS(次果筐明细!$G$4:$G$603,次果筐明细!$C$4:$C$603,$B173,次果筐明细!$D$4:$D$603,_自动清单!$AS$6,次果筐明细!$F$4:$F$603,"*出库*",次果筐明细!$B$4:$B$603,"&gt;="&amp;$Z$1,次果筐明细!$B$4:$B$603,"&lt;="&amp;$Z$2))</f>
        <v/>
      </c>
      <c r="F173" s="39" t="str">
        <f>IF(OR($B173="",_自动清单!$AS$7=""),"",SUMIFS(次果筐明细!$G$4:$G$603,次果筐明细!$C$4:$C$603,$B173,次果筐明细!$D$4:$D$603,_自动清单!$AS$7,次果筐明细!$F$4:$F$603,"*出库*",次果筐明细!$B$4:$B$603,"&gt;="&amp;$Z$1,次果筐明细!$B$4:$B$603,"&lt;="&amp;$Z$2))</f>
        <v/>
      </c>
      <c r="G173" s="39" t="str">
        <f>IF($B173="","",SUMIFS(次果筐明细!$G$4:$G$603,次果筐明细!$C$4:$C$603,$B173,次果筐明细!$F$4:$F$603,"*出库*",次果筐明细!$B$4:$B$603,"&gt;="&amp;$Z$1,次果筐明细!$B$4:$B$603,"&lt;="&amp;$Z$2)-SUM($C173:$F173))</f>
        <v/>
      </c>
      <c r="H173" s="39" t="str">
        <f t="shared" si="13"/>
        <v/>
      </c>
      <c r="I173" s="39" t="str">
        <f>IF(OR($B173="",_自动清单!$AS$4=""),"",SUMIFS(次果筐明细!$G$4:$G$603,次果筐明细!$C$4:$C$603,$B173,次果筐明细!$D$4:$D$603,_自动清单!$AS$4,次果筐明细!$F$4:$F$603,"*入库*",次果筐明细!$B$4:$B$603,"&gt;="&amp;$Z$1,次果筐明细!$B$4:$B$603,"&lt;="&amp;$Z$2))</f>
        <v/>
      </c>
      <c r="J173" s="39" t="str">
        <f>IF(OR($B173="",_自动清单!$AS$5=""),"",SUMIFS(次果筐明细!$G$4:$G$603,次果筐明细!$C$4:$C$603,$B173,次果筐明细!$D$4:$D$603,_自动清单!$AS$5,次果筐明细!$F$4:$F$603,"*入库*",次果筐明细!$B$4:$B$603,"&gt;="&amp;$Z$1,次果筐明细!$B$4:$B$603,"&lt;="&amp;$Z$2))</f>
        <v/>
      </c>
      <c r="K173" s="39" t="str">
        <f>IF(OR($B173="",_自动清单!$AS$6=""),"",SUMIFS(次果筐明细!$G$4:$G$603,次果筐明细!$C$4:$C$603,$B173,次果筐明细!$D$4:$D$603,_自动清单!$AS$6,次果筐明细!$F$4:$F$603,"*入库*",次果筐明细!$B$4:$B$603,"&gt;="&amp;$Z$1,次果筐明细!$B$4:$B$603,"&lt;="&amp;$Z$2))</f>
        <v/>
      </c>
      <c r="L173" s="39" t="str">
        <f>IF(OR($B173="",_自动清单!$AS$7=""),"",SUMIFS(次果筐明细!$G$4:$G$603,次果筐明细!$C$4:$C$603,$B173,次果筐明细!$D$4:$D$603,_自动清单!$AS$7,次果筐明细!$F$4:$F$603,"*入库*",次果筐明细!$B$4:$B$603,"&gt;="&amp;$Z$1,次果筐明细!$B$4:$B$603,"&lt;="&amp;$Z$2))</f>
        <v/>
      </c>
      <c r="M173" s="62" t="str">
        <f>IF($B173="","",SUMIFS(次果筐明细!$G$4:$G$603,次果筐明细!$C$4:$C$603,$B173,次果筐明细!$F$4:$F$603,"*入库*",次果筐明细!$B$4:$B$603,"&gt;="&amp;$Z$1,次果筐明细!$B$4:$B$603,"&lt;="&amp;$Z$2)-SUM($I173:$L173))</f>
        <v/>
      </c>
      <c r="N173" s="62" t="str">
        <f t="shared" si="14"/>
        <v/>
      </c>
      <c r="O173" s="39" t="str">
        <f t="shared" si="15"/>
        <v/>
      </c>
      <c r="P173" s="30" t="str">
        <f>IF($B173="","",ROUND(SUMIFS(次果筐明细!$L$4:$L$603,次果筐明细!$C$4:$C$603,$B173,次果筐明细!$B$4:$B$603,"&gt;="&amp;$Z$1,次果筐明细!$B$4:$B$603,"&lt;="&amp;$Z$2),2))</f>
        <v/>
      </c>
      <c r="Q173" s="30" t="str">
        <f>IF($B173="","",ROUND(SUMIFS(次果筐明细!$L$4:$L$603,次果筐明细!$C$4:$C$603,$B173,次果筐明细!$M$4:$M$603,"已收讫",次果筐明细!$B$4:$B$603,"&gt;="&amp;$Z$1,次果筐明细!$B$4:$B$603,"&lt;="&amp;$Z$2),2))</f>
        <v/>
      </c>
      <c r="R173" s="30" t="str">
        <f t="shared" si="16"/>
        <v/>
      </c>
      <c r="S173" s="30" t="str">
        <f>IF($B173="","",ROUND(SUMIFS(次果筐明细!$J$4:$J$603,次果筐明细!$C$4:$C$603,$B173,次果筐明细!$B$4:$B$603,"&gt;="&amp;$Z$1,次果筐明细!$B$4:$B$603,"&lt;="&amp;$Z$2),2))</f>
        <v/>
      </c>
      <c r="T173" s="63" t="str">
        <f>IF($B173="","",ROUND(SUMIFS(次果筐明细!$K$4:$K$603,次果筐明细!$C$4:$C$603,$B173,次果筐明细!$B$4:$B$603,"&gt;="&amp;$Z$1,次果筐明细!$B$4:$B$603,"&lt;="&amp;$Z$2),2))</f>
        <v/>
      </c>
      <c r="U173" s="30" t="str">
        <f t="shared" si="17"/>
        <v/>
      </c>
      <c r="V173" s="42"/>
    </row>
    <row r="174" spans="1:22">
      <c r="A174" s="24" t="str">
        <f t="shared" si="12"/>
        <v/>
      </c>
      <c r="B174" s="37" t="str">
        <f>IFERROR(INDEX(_自动清单!$AY$4:$AY$203,ROW()-3),"")</f>
        <v/>
      </c>
      <c r="C174" s="39" t="str">
        <f>IF(OR($B174="",_自动清单!$AS$4=""),"",SUMIFS(次果筐明细!$G$4:$G$603,次果筐明细!$C$4:$C$603,$B174,次果筐明细!$D$4:$D$603,_自动清单!$AS$4,次果筐明细!$F$4:$F$603,"*出库*",次果筐明细!$B$4:$B$603,"&gt;="&amp;$Z$1,次果筐明细!$B$4:$B$603,"&lt;="&amp;$Z$2))</f>
        <v/>
      </c>
      <c r="D174" s="39" t="str">
        <f>IF(OR($B174="",_自动清单!$AS$5=""),"",SUMIFS(次果筐明细!$G$4:$G$603,次果筐明细!$C$4:$C$603,$B174,次果筐明细!$D$4:$D$603,_自动清单!$AS$5,次果筐明细!$F$4:$F$603,"*出库*",次果筐明细!$B$4:$B$603,"&gt;="&amp;$Z$1,次果筐明细!$B$4:$B$603,"&lt;="&amp;$Z$2))</f>
        <v/>
      </c>
      <c r="E174" s="39" t="str">
        <f>IF(OR($B174="",_自动清单!$AS$6=""),"",SUMIFS(次果筐明细!$G$4:$G$603,次果筐明细!$C$4:$C$603,$B174,次果筐明细!$D$4:$D$603,_自动清单!$AS$6,次果筐明细!$F$4:$F$603,"*出库*",次果筐明细!$B$4:$B$603,"&gt;="&amp;$Z$1,次果筐明细!$B$4:$B$603,"&lt;="&amp;$Z$2))</f>
        <v/>
      </c>
      <c r="F174" s="39" t="str">
        <f>IF(OR($B174="",_自动清单!$AS$7=""),"",SUMIFS(次果筐明细!$G$4:$G$603,次果筐明细!$C$4:$C$603,$B174,次果筐明细!$D$4:$D$603,_自动清单!$AS$7,次果筐明细!$F$4:$F$603,"*出库*",次果筐明细!$B$4:$B$603,"&gt;="&amp;$Z$1,次果筐明细!$B$4:$B$603,"&lt;="&amp;$Z$2))</f>
        <v/>
      </c>
      <c r="G174" s="39" t="str">
        <f>IF($B174="","",SUMIFS(次果筐明细!$G$4:$G$603,次果筐明细!$C$4:$C$603,$B174,次果筐明细!$F$4:$F$603,"*出库*",次果筐明细!$B$4:$B$603,"&gt;="&amp;$Z$1,次果筐明细!$B$4:$B$603,"&lt;="&amp;$Z$2)-SUM($C174:$F174))</f>
        <v/>
      </c>
      <c r="H174" s="39" t="str">
        <f t="shared" si="13"/>
        <v/>
      </c>
      <c r="I174" s="39" t="str">
        <f>IF(OR($B174="",_自动清单!$AS$4=""),"",SUMIFS(次果筐明细!$G$4:$G$603,次果筐明细!$C$4:$C$603,$B174,次果筐明细!$D$4:$D$603,_自动清单!$AS$4,次果筐明细!$F$4:$F$603,"*入库*",次果筐明细!$B$4:$B$603,"&gt;="&amp;$Z$1,次果筐明细!$B$4:$B$603,"&lt;="&amp;$Z$2))</f>
        <v/>
      </c>
      <c r="J174" s="39" t="str">
        <f>IF(OR($B174="",_自动清单!$AS$5=""),"",SUMIFS(次果筐明细!$G$4:$G$603,次果筐明细!$C$4:$C$603,$B174,次果筐明细!$D$4:$D$603,_自动清单!$AS$5,次果筐明细!$F$4:$F$603,"*入库*",次果筐明细!$B$4:$B$603,"&gt;="&amp;$Z$1,次果筐明细!$B$4:$B$603,"&lt;="&amp;$Z$2))</f>
        <v/>
      </c>
      <c r="K174" s="39" t="str">
        <f>IF(OR($B174="",_自动清单!$AS$6=""),"",SUMIFS(次果筐明细!$G$4:$G$603,次果筐明细!$C$4:$C$603,$B174,次果筐明细!$D$4:$D$603,_自动清单!$AS$6,次果筐明细!$F$4:$F$603,"*入库*",次果筐明细!$B$4:$B$603,"&gt;="&amp;$Z$1,次果筐明细!$B$4:$B$603,"&lt;="&amp;$Z$2))</f>
        <v/>
      </c>
      <c r="L174" s="39" t="str">
        <f>IF(OR($B174="",_自动清单!$AS$7=""),"",SUMIFS(次果筐明细!$G$4:$G$603,次果筐明细!$C$4:$C$603,$B174,次果筐明细!$D$4:$D$603,_自动清单!$AS$7,次果筐明细!$F$4:$F$603,"*入库*",次果筐明细!$B$4:$B$603,"&gt;="&amp;$Z$1,次果筐明细!$B$4:$B$603,"&lt;="&amp;$Z$2))</f>
        <v/>
      </c>
      <c r="M174" s="62" t="str">
        <f>IF($B174="","",SUMIFS(次果筐明细!$G$4:$G$603,次果筐明细!$C$4:$C$603,$B174,次果筐明细!$F$4:$F$603,"*入库*",次果筐明细!$B$4:$B$603,"&gt;="&amp;$Z$1,次果筐明细!$B$4:$B$603,"&lt;="&amp;$Z$2)-SUM($I174:$L174))</f>
        <v/>
      </c>
      <c r="N174" s="62" t="str">
        <f t="shared" si="14"/>
        <v/>
      </c>
      <c r="O174" s="39" t="str">
        <f t="shared" si="15"/>
        <v/>
      </c>
      <c r="P174" s="30" t="str">
        <f>IF($B174="","",ROUND(SUMIFS(次果筐明细!$L$4:$L$603,次果筐明细!$C$4:$C$603,$B174,次果筐明细!$B$4:$B$603,"&gt;="&amp;$Z$1,次果筐明细!$B$4:$B$603,"&lt;="&amp;$Z$2),2))</f>
        <v/>
      </c>
      <c r="Q174" s="30" t="str">
        <f>IF($B174="","",ROUND(SUMIFS(次果筐明细!$L$4:$L$603,次果筐明细!$C$4:$C$603,$B174,次果筐明细!$M$4:$M$603,"已收讫",次果筐明细!$B$4:$B$603,"&gt;="&amp;$Z$1,次果筐明细!$B$4:$B$603,"&lt;="&amp;$Z$2),2))</f>
        <v/>
      </c>
      <c r="R174" s="30" t="str">
        <f t="shared" si="16"/>
        <v/>
      </c>
      <c r="S174" s="30" t="str">
        <f>IF($B174="","",ROUND(SUMIFS(次果筐明细!$J$4:$J$603,次果筐明细!$C$4:$C$603,$B174,次果筐明细!$B$4:$B$603,"&gt;="&amp;$Z$1,次果筐明细!$B$4:$B$603,"&lt;="&amp;$Z$2),2))</f>
        <v/>
      </c>
      <c r="T174" s="63" t="str">
        <f>IF($B174="","",ROUND(SUMIFS(次果筐明细!$K$4:$K$603,次果筐明细!$C$4:$C$603,$B174,次果筐明细!$B$4:$B$603,"&gt;="&amp;$Z$1,次果筐明细!$B$4:$B$603,"&lt;="&amp;$Z$2),2))</f>
        <v/>
      </c>
      <c r="U174" s="30" t="str">
        <f t="shared" si="17"/>
        <v/>
      </c>
      <c r="V174" s="42"/>
    </row>
    <row r="175" spans="1:22">
      <c r="A175" s="24" t="str">
        <f t="shared" si="12"/>
        <v/>
      </c>
      <c r="B175" s="37" t="str">
        <f>IFERROR(INDEX(_自动清单!$AY$4:$AY$203,ROW()-3),"")</f>
        <v/>
      </c>
      <c r="C175" s="39" t="str">
        <f>IF(OR($B175="",_自动清单!$AS$4=""),"",SUMIFS(次果筐明细!$G$4:$G$603,次果筐明细!$C$4:$C$603,$B175,次果筐明细!$D$4:$D$603,_自动清单!$AS$4,次果筐明细!$F$4:$F$603,"*出库*",次果筐明细!$B$4:$B$603,"&gt;="&amp;$Z$1,次果筐明细!$B$4:$B$603,"&lt;="&amp;$Z$2))</f>
        <v/>
      </c>
      <c r="D175" s="39" t="str">
        <f>IF(OR($B175="",_自动清单!$AS$5=""),"",SUMIFS(次果筐明细!$G$4:$G$603,次果筐明细!$C$4:$C$603,$B175,次果筐明细!$D$4:$D$603,_自动清单!$AS$5,次果筐明细!$F$4:$F$603,"*出库*",次果筐明细!$B$4:$B$603,"&gt;="&amp;$Z$1,次果筐明细!$B$4:$B$603,"&lt;="&amp;$Z$2))</f>
        <v/>
      </c>
      <c r="E175" s="39" t="str">
        <f>IF(OR($B175="",_自动清单!$AS$6=""),"",SUMIFS(次果筐明细!$G$4:$G$603,次果筐明细!$C$4:$C$603,$B175,次果筐明细!$D$4:$D$603,_自动清单!$AS$6,次果筐明细!$F$4:$F$603,"*出库*",次果筐明细!$B$4:$B$603,"&gt;="&amp;$Z$1,次果筐明细!$B$4:$B$603,"&lt;="&amp;$Z$2))</f>
        <v/>
      </c>
      <c r="F175" s="39" t="str">
        <f>IF(OR($B175="",_自动清单!$AS$7=""),"",SUMIFS(次果筐明细!$G$4:$G$603,次果筐明细!$C$4:$C$603,$B175,次果筐明细!$D$4:$D$603,_自动清单!$AS$7,次果筐明细!$F$4:$F$603,"*出库*",次果筐明细!$B$4:$B$603,"&gt;="&amp;$Z$1,次果筐明细!$B$4:$B$603,"&lt;="&amp;$Z$2))</f>
        <v/>
      </c>
      <c r="G175" s="39" t="str">
        <f>IF($B175="","",SUMIFS(次果筐明细!$G$4:$G$603,次果筐明细!$C$4:$C$603,$B175,次果筐明细!$F$4:$F$603,"*出库*",次果筐明细!$B$4:$B$603,"&gt;="&amp;$Z$1,次果筐明细!$B$4:$B$603,"&lt;="&amp;$Z$2)-SUM($C175:$F175))</f>
        <v/>
      </c>
      <c r="H175" s="39" t="str">
        <f t="shared" si="13"/>
        <v/>
      </c>
      <c r="I175" s="39" t="str">
        <f>IF(OR($B175="",_自动清单!$AS$4=""),"",SUMIFS(次果筐明细!$G$4:$G$603,次果筐明细!$C$4:$C$603,$B175,次果筐明细!$D$4:$D$603,_自动清单!$AS$4,次果筐明细!$F$4:$F$603,"*入库*",次果筐明细!$B$4:$B$603,"&gt;="&amp;$Z$1,次果筐明细!$B$4:$B$603,"&lt;="&amp;$Z$2))</f>
        <v/>
      </c>
      <c r="J175" s="39" t="str">
        <f>IF(OR($B175="",_自动清单!$AS$5=""),"",SUMIFS(次果筐明细!$G$4:$G$603,次果筐明细!$C$4:$C$603,$B175,次果筐明细!$D$4:$D$603,_自动清单!$AS$5,次果筐明细!$F$4:$F$603,"*入库*",次果筐明细!$B$4:$B$603,"&gt;="&amp;$Z$1,次果筐明细!$B$4:$B$603,"&lt;="&amp;$Z$2))</f>
        <v/>
      </c>
      <c r="K175" s="39" t="str">
        <f>IF(OR($B175="",_自动清单!$AS$6=""),"",SUMIFS(次果筐明细!$G$4:$G$603,次果筐明细!$C$4:$C$603,$B175,次果筐明细!$D$4:$D$603,_自动清单!$AS$6,次果筐明细!$F$4:$F$603,"*入库*",次果筐明细!$B$4:$B$603,"&gt;="&amp;$Z$1,次果筐明细!$B$4:$B$603,"&lt;="&amp;$Z$2))</f>
        <v/>
      </c>
      <c r="L175" s="39" t="str">
        <f>IF(OR($B175="",_自动清单!$AS$7=""),"",SUMIFS(次果筐明细!$G$4:$G$603,次果筐明细!$C$4:$C$603,$B175,次果筐明细!$D$4:$D$603,_自动清单!$AS$7,次果筐明细!$F$4:$F$603,"*入库*",次果筐明细!$B$4:$B$603,"&gt;="&amp;$Z$1,次果筐明细!$B$4:$B$603,"&lt;="&amp;$Z$2))</f>
        <v/>
      </c>
      <c r="M175" s="62" t="str">
        <f>IF($B175="","",SUMIFS(次果筐明细!$G$4:$G$603,次果筐明细!$C$4:$C$603,$B175,次果筐明细!$F$4:$F$603,"*入库*",次果筐明细!$B$4:$B$603,"&gt;="&amp;$Z$1,次果筐明细!$B$4:$B$603,"&lt;="&amp;$Z$2)-SUM($I175:$L175))</f>
        <v/>
      </c>
      <c r="N175" s="62" t="str">
        <f t="shared" si="14"/>
        <v/>
      </c>
      <c r="O175" s="39" t="str">
        <f t="shared" si="15"/>
        <v/>
      </c>
      <c r="P175" s="30" t="str">
        <f>IF($B175="","",ROUND(SUMIFS(次果筐明细!$L$4:$L$603,次果筐明细!$C$4:$C$603,$B175,次果筐明细!$B$4:$B$603,"&gt;="&amp;$Z$1,次果筐明细!$B$4:$B$603,"&lt;="&amp;$Z$2),2))</f>
        <v/>
      </c>
      <c r="Q175" s="30" t="str">
        <f>IF($B175="","",ROUND(SUMIFS(次果筐明细!$L$4:$L$603,次果筐明细!$C$4:$C$603,$B175,次果筐明细!$M$4:$M$603,"已收讫",次果筐明细!$B$4:$B$603,"&gt;="&amp;$Z$1,次果筐明细!$B$4:$B$603,"&lt;="&amp;$Z$2),2))</f>
        <v/>
      </c>
      <c r="R175" s="30" t="str">
        <f t="shared" si="16"/>
        <v/>
      </c>
      <c r="S175" s="30" t="str">
        <f>IF($B175="","",ROUND(SUMIFS(次果筐明细!$J$4:$J$603,次果筐明细!$C$4:$C$603,$B175,次果筐明细!$B$4:$B$603,"&gt;="&amp;$Z$1,次果筐明细!$B$4:$B$603,"&lt;="&amp;$Z$2),2))</f>
        <v/>
      </c>
      <c r="T175" s="63" t="str">
        <f>IF($B175="","",ROUND(SUMIFS(次果筐明细!$K$4:$K$603,次果筐明细!$C$4:$C$603,$B175,次果筐明细!$B$4:$B$603,"&gt;="&amp;$Z$1,次果筐明细!$B$4:$B$603,"&lt;="&amp;$Z$2),2))</f>
        <v/>
      </c>
      <c r="U175" s="30" t="str">
        <f t="shared" si="17"/>
        <v/>
      </c>
      <c r="V175" s="42"/>
    </row>
    <row r="176" spans="1:22">
      <c r="A176" s="24" t="str">
        <f t="shared" si="12"/>
        <v/>
      </c>
      <c r="B176" s="37" t="str">
        <f>IFERROR(INDEX(_自动清单!$AY$4:$AY$203,ROW()-3),"")</f>
        <v/>
      </c>
      <c r="C176" s="39" t="str">
        <f>IF(OR($B176="",_自动清单!$AS$4=""),"",SUMIFS(次果筐明细!$G$4:$G$603,次果筐明细!$C$4:$C$603,$B176,次果筐明细!$D$4:$D$603,_自动清单!$AS$4,次果筐明细!$F$4:$F$603,"*出库*",次果筐明细!$B$4:$B$603,"&gt;="&amp;$Z$1,次果筐明细!$B$4:$B$603,"&lt;="&amp;$Z$2))</f>
        <v/>
      </c>
      <c r="D176" s="39" t="str">
        <f>IF(OR($B176="",_自动清单!$AS$5=""),"",SUMIFS(次果筐明细!$G$4:$G$603,次果筐明细!$C$4:$C$603,$B176,次果筐明细!$D$4:$D$603,_自动清单!$AS$5,次果筐明细!$F$4:$F$603,"*出库*",次果筐明细!$B$4:$B$603,"&gt;="&amp;$Z$1,次果筐明细!$B$4:$B$603,"&lt;="&amp;$Z$2))</f>
        <v/>
      </c>
      <c r="E176" s="39" t="str">
        <f>IF(OR($B176="",_自动清单!$AS$6=""),"",SUMIFS(次果筐明细!$G$4:$G$603,次果筐明细!$C$4:$C$603,$B176,次果筐明细!$D$4:$D$603,_自动清单!$AS$6,次果筐明细!$F$4:$F$603,"*出库*",次果筐明细!$B$4:$B$603,"&gt;="&amp;$Z$1,次果筐明细!$B$4:$B$603,"&lt;="&amp;$Z$2))</f>
        <v/>
      </c>
      <c r="F176" s="39" t="str">
        <f>IF(OR($B176="",_自动清单!$AS$7=""),"",SUMIFS(次果筐明细!$G$4:$G$603,次果筐明细!$C$4:$C$603,$B176,次果筐明细!$D$4:$D$603,_自动清单!$AS$7,次果筐明细!$F$4:$F$603,"*出库*",次果筐明细!$B$4:$B$603,"&gt;="&amp;$Z$1,次果筐明细!$B$4:$B$603,"&lt;="&amp;$Z$2))</f>
        <v/>
      </c>
      <c r="G176" s="39" t="str">
        <f>IF($B176="","",SUMIFS(次果筐明细!$G$4:$G$603,次果筐明细!$C$4:$C$603,$B176,次果筐明细!$F$4:$F$603,"*出库*",次果筐明细!$B$4:$B$603,"&gt;="&amp;$Z$1,次果筐明细!$B$4:$B$603,"&lt;="&amp;$Z$2)-SUM($C176:$F176))</f>
        <v/>
      </c>
      <c r="H176" s="39" t="str">
        <f t="shared" si="13"/>
        <v/>
      </c>
      <c r="I176" s="39" t="str">
        <f>IF(OR($B176="",_自动清单!$AS$4=""),"",SUMIFS(次果筐明细!$G$4:$G$603,次果筐明细!$C$4:$C$603,$B176,次果筐明细!$D$4:$D$603,_自动清单!$AS$4,次果筐明细!$F$4:$F$603,"*入库*",次果筐明细!$B$4:$B$603,"&gt;="&amp;$Z$1,次果筐明细!$B$4:$B$603,"&lt;="&amp;$Z$2))</f>
        <v/>
      </c>
      <c r="J176" s="39" t="str">
        <f>IF(OR($B176="",_自动清单!$AS$5=""),"",SUMIFS(次果筐明细!$G$4:$G$603,次果筐明细!$C$4:$C$603,$B176,次果筐明细!$D$4:$D$603,_自动清单!$AS$5,次果筐明细!$F$4:$F$603,"*入库*",次果筐明细!$B$4:$B$603,"&gt;="&amp;$Z$1,次果筐明细!$B$4:$B$603,"&lt;="&amp;$Z$2))</f>
        <v/>
      </c>
      <c r="K176" s="39" t="str">
        <f>IF(OR($B176="",_自动清单!$AS$6=""),"",SUMIFS(次果筐明细!$G$4:$G$603,次果筐明细!$C$4:$C$603,$B176,次果筐明细!$D$4:$D$603,_自动清单!$AS$6,次果筐明细!$F$4:$F$603,"*入库*",次果筐明细!$B$4:$B$603,"&gt;="&amp;$Z$1,次果筐明细!$B$4:$B$603,"&lt;="&amp;$Z$2))</f>
        <v/>
      </c>
      <c r="L176" s="39" t="str">
        <f>IF(OR($B176="",_自动清单!$AS$7=""),"",SUMIFS(次果筐明细!$G$4:$G$603,次果筐明细!$C$4:$C$603,$B176,次果筐明细!$D$4:$D$603,_自动清单!$AS$7,次果筐明细!$F$4:$F$603,"*入库*",次果筐明细!$B$4:$B$603,"&gt;="&amp;$Z$1,次果筐明细!$B$4:$B$603,"&lt;="&amp;$Z$2))</f>
        <v/>
      </c>
      <c r="M176" s="62" t="str">
        <f>IF($B176="","",SUMIFS(次果筐明细!$G$4:$G$603,次果筐明细!$C$4:$C$603,$B176,次果筐明细!$F$4:$F$603,"*入库*",次果筐明细!$B$4:$B$603,"&gt;="&amp;$Z$1,次果筐明细!$B$4:$B$603,"&lt;="&amp;$Z$2)-SUM($I176:$L176))</f>
        <v/>
      </c>
      <c r="N176" s="62" t="str">
        <f t="shared" si="14"/>
        <v/>
      </c>
      <c r="O176" s="39" t="str">
        <f t="shared" si="15"/>
        <v/>
      </c>
      <c r="P176" s="30" t="str">
        <f>IF($B176="","",ROUND(SUMIFS(次果筐明细!$L$4:$L$603,次果筐明细!$C$4:$C$603,$B176,次果筐明细!$B$4:$B$603,"&gt;="&amp;$Z$1,次果筐明细!$B$4:$B$603,"&lt;="&amp;$Z$2),2))</f>
        <v/>
      </c>
      <c r="Q176" s="30" t="str">
        <f>IF($B176="","",ROUND(SUMIFS(次果筐明细!$L$4:$L$603,次果筐明细!$C$4:$C$603,$B176,次果筐明细!$M$4:$M$603,"已收讫",次果筐明细!$B$4:$B$603,"&gt;="&amp;$Z$1,次果筐明细!$B$4:$B$603,"&lt;="&amp;$Z$2),2))</f>
        <v/>
      </c>
      <c r="R176" s="30" t="str">
        <f t="shared" si="16"/>
        <v/>
      </c>
      <c r="S176" s="30" t="str">
        <f>IF($B176="","",ROUND(SUMIFS(次果筐明细!$J$4:$J$603,次果筐明细!$C$4:$C$603,$B176,次果筐明细!$B$4:$B$603,"&gt;="&amp;$Z$1,次果筐明细!$B$4:$B$603,"&lt;="&amp;$Z$2),2))</f>
        <v/>
      </c>
      <c r="T176" s="63" t="str">
        <f>IF($B176="","",ROUND(SUMIFS(次果筐明细!$K$4:$K$603,次果筐明细!$C$4:$C$603,$B176,次果筐明细!$B$4:$B$603,"&gt;="&amp;$Z$1,次果筐明细!$B$4:$B$603,"&lt;="&amp;$Z$2),2))</f>
        <v/>
      </c>
      <c r="U176" s="30" t="str">
        <f t="shared" si="17"/>
        <v/>
      </c>
      <c r="V176" s="42"/>
    </row>
    <row r="177" spans="1:22">
      <c r="A177" s="24" t="str">
        <f t="shared" si="12"/>
        <v/>
      </c>
      <c r="B177" s="37" t="str">
        <f>IFERROR(INDEX(_自动清单!$AY$4:$AY$203,ROW()-3),"")</f>
        <v/>
      </c>
      <c r="C177" s="39" t="str">
        <f>IF(OR($B177="",_自动清单!$AS$4=""),"",SUMIFS(次果筐明细!$G$4:$G$603,次果筐明细!$C$4:$C$603,$B177,次果筐明细!$D$4:$D$603,_自动清单!$AS$4,次果筐明细!$F$4:$F$603,"*出库*",次果筐明细!$B$4:$B$603,"&gt;="&amp;$Z$1,次果筐明细!$B$4:$B$603,"&lt;="&amp;$Z$2))</f>
        <v/>
      </c>
      <c r="D177" s="39" t="str">
        <f>IF(OR($B177="",_自动清单!$AS$5=""),"",SUMIFS(次果筐明细!$G$4:$G$603,次果筐明细!$C$4:$C$603,$B177,次果筐明细!$D$4:$D$603,_自动清单!$AS$5,次果筐明细!$F$4:$F$603,"*出库*",次果筐明细!$B$4:$B$603,"&gt;="&amp;$Z$1,次果筐明细!$B$4:$B$603,"&lt;="&amp;$Z$2))</f>
        <v/>
      </c>
      <c r="E177" s="39" t="str">
        <f>IF(OR($B177="",_自动清单!$AS$6=""),"",SUMIFS(次果筐明细!$G$4:$G$603,次果筐明细!$C$4:$C$603,$B177,次果筐明细!$D$4:$D$603,_自动清单!$AS$6,次果筐明细!$F$4:$F$603,"*出库*",次果筐明细!$B$4:$B$603,"&gt;="&amp;$Z$1,次果筐明细!$B$4:$B$603,"&lt;="&amp;$Z$2))</f>
        <v/>
      </c>
      <c r="F177" s="39" t="str">
        <f>IF(OR($B177="",_自动清单!$AS$7=""),"",SUMIFS(次果筐明细!$G$4:$G$603,次果筐明细!$C$4:$C$603,$B177,次果筐明细!$D$4:$D$603,_自动清单!$AS$7,次果筐明细!$F$4:$F$603,"*出库*",次果筐明细!$B$4:$B$603,"&gt;="&amp;$Z$1,次果筐明细!$B$4:$B$603,"&lt;="&amp;$Z$2))</f>
        <v/>
      </c>
      <c r="G177" s="39" t="str">
        <f>IF($B177="","",SUMIFS(次果筐明细!$G$4:$G$603,次果筐明细!$C$4:$C$603,$B177,次果筐明细!$F$4:$F$603,"*出库*",次果筐明细!$B$4:$B$603,"&gt;="&amp;$Z$1,次果筐明细!$B$4:$B$603,"&lt;="&amp;$Z$2)-SUM($C177:$F177))</f>
        <v/>
      </c>
      <c r="H177" s="39" t="str">
        <f t="shared" si="13"/>
        <v/>
      </c>
      <c r="I177" s="39" t="str">
        <f>IF(OR($B177="",_自动清单!$AS$4=""),"",SUMIFS(次果筐明细!$G$4:$G$603,次果筐明细!$C$4:$C$603,$B177,次果筐明细!$D$4:$D$603,_自动清单!$AS$4,次果筐明细!$F$4:$F$603,"*入库*",次果筐明细!$B$4:$B$603,"&gt;="&amp;$Z$1,次果筐明细!$B$4:$B$603,"&lt;="&amp;$Z$2))</f>
        <v/>
      </c>
      <c r="J177" s="39" t="str">
        <f>IF(OR($B177="",_自动清单!$AS$5=""),"",SUMIFS(次果筐明细!$G$4:$G$603,次果筐明细!$C$4:$C$603,$B177,次果筐明细!$D$4:$D$603,_自动清单!$AS$5,次果筐明细!$F$4:$F$603,"*入库*",次果筐明细!$B$4:$B$603,"&gt;="&amp;$Z$1,次果筐明细!$B$4:$B$603,"&lt;="&amp;$Z$2))</f>
        <v/>
      </c>
      <c r="K177" s="39" t="str">
        <f>IF(OR($B177="",_自动清单!$AS$6=""),"",SUMIFS(次果筐明细!$G$4:$G$603,次果筐明细!$C$4:$C$603,$B177,次果筐明细!$D$4:$D$603,_自动清单!$AS$6,次果筐明细!$F$4:$F$603,"*入库*",次果筐明细!$B$4:$B$603,"&gt;="&amp;$Z$1,次果筐明细!$B$4:$B$603,"&lt;="&amp;$Z$2))</f>
        <v/>
      </c>
      <c r="L177" s="39" t="str">
        <f>IF(OR($B177="",_自动清单!$AS$7=""),"",SUMIFS(次果筐明细!$G$4:$G$603,次果筐明细!$C$4:$C$603,$B177,次果筐明细!$D$4:$D$603,_自动清单!$AS$7,次果筐明细!$F$4:$F$603,"*入库*",次果筐明细!$B$4:$B$603,"&gt;="&amp;$Z$1,次果筐明细!$B$4:$B$603,"&lt;="&amp;$Z$2))</f>
        <v/>
      </c>
      <c r="M177" s="62" t="str">
        <f>IF($B177="","",SUMIFS(次果筐明细!$G$4:$G$603,次果筐明细!$C$4:$C$603,$B177,次果筐明细!$F$4:$F$603,"*入库*",次果筐明细!$B$4:$B$603,"&gt;="&amp;$Z$1,次果筐明细!$B$4:$B$603,"&lt;="&amp;$Z$2)-SUM($I177:$L177))</f>
        <v/>
      </c>
      <c r="N177" s="62" t="str">
        <f t="shared" si="14"/>
        <v/>
      </c>
      <c r="O177" s="39" t="str">
        <f t="shared" si="15"/>
        <v/>
      </c>
      <c r="P177" s="30" t="str">
        <f>IF($B177="","",ROUND(SUMIFS(次果筐明细!$L$4:$L$603,次果筐明细!$C$4:$C$603,$B177,次果筐明细!$B$4:$B$603,"&gt;="&amp;$Z$1,次果筐明细!$B$4:$B$603,"&lt;="&amp;$Z$2),2))</f>
        <v/>
      </c>
      <c r="Q177" s="30" t="str">
        <f>IF($B177="","",ROUND(SUMIFS(次果筐明细!$L$4:$L$603,次果筐明细!$C$4:$C$603,$B177,次果筐明细!$M$4:$M$603,"已收讫",次果筐明细!$B$4:$B$603,"&gt;="&amp;$Z$1,次果筐明细!$B$4:$B$603,"&lt;="&amp;$Z$2),2))</f>
        <v/>
      </c>
      <c r="R177" s="30" t="str">
        <f t="shared" si="16"/>
        <v/>
      </c>
      <c r="S177" s="30" t="str">
        <f>IF($B177="","",ROUND(SUMIFS(次果筐明细!$J$4:$J$603,次果筐明细!$C$4:$C$603,$B177,次果筐明细!$B$4:$B$603,"&gt;="&amp;$Z$1,次果筐明细!$B$4:$B$603,"&lt;="&amp;$Z$2),2))</f>
        <v/>
      </c>
      <c r="T177" s="63" t="str">
        <f>IF($B177="","",ROUND(SUMIFS(次果筐明细!$K$4:$K$603,次果筐明细!$C$4:$C$603,$B177,次果筐明细!$B$4:$B$603,"&gt;="&amp;$Z$1,次果筐明细!$B$4:$B$603,"&lt;="&amp;$Z$2),2))</f>
        <v/>
      </c>
      <c r="U177" s="30" t="str">
        <f t="shared" si="17"/>
        <v/>
      </c>
      <c r="V177" s="42"/>
    </row>
    <row r="178" spans="1:22">
      <c r="A178" s="24" t="str">
        <f t="shared" si="12"/>
        <v/>
      </c>
      <c r="B178" s="37" t="str">
        <f>IFERROR(INDEX(_自动清单!$AY$4:$AY$203,ROW()-3),"")</f>
        <v/>
      </c>
      <c r="C178" s="39" t="str">
        <f>IF(OR($B178="",_自动清单!$AS$4=""),"",SUMIFS(次果筐明细!$G$4:$G$603,次果筐明细!$C$4:$C$603,$B178,次果筐明细!$D$4:$D$603,_自动清单!$AS$4,次果筐明细!$F$4:$F$603,"*出库*",次果筐明细!$B$4:$B$603,"&gt;="&amp;$Z$1,次果筐明细!$B$4:$B$603,"&lt;="&amp;$Z$2))</f>
        <v/>
      </c>
      <c r="D178" s="39" t="str">
        <f>IF(OR($B178="",_自动清单!$AS$5=""),"",SUMIFS(次果筐明细!$G$4:$G$603,次果筐明细!$C$4:$C$603,$B178,次果筐明细!$D$4:$D$603,_自动清单!$AS$5,次果筐明细!$F$4:$F$603,"*出库*",次果筐明细!$B$4:$B$603,"&gt;="&amp;$Z$1,次果筐明细!$B$4:$B$603,"&lt;="&amp;$Z$2))</f>
        <v/>
      </c>
      <c r="E178" s="39" t="str">
        <f>IF(OR($B178="",_自动清单!$AS$6=""),"",SUMIFS(次果筐明细!$G$4:$G$603,次果筐明细!$C$4:$C$603,$B178,次果筐明细!$D$4:$D$603,_自动清单!$AS$6,次果筐明细!$F$4:$F$603,"*出库*",次果筐明细!$B$4:$B$603,"&gt;="&amp;$Z$1,次果筐明细!$B$4:$B$603,"&lt;="&amp;$Z$2))</f>
        <v/>
      </c>
      <c r="F178" s="39" t="str">
        <f>IF(OR($B178="",_自动清单!$AS$7=""),"",SUMIFS(次果筐明细!$G$4:$G$603,次果筐明细!$C$4:$C$603,$B178,次果筐明细!$D$4:$D$603,_自动清单!$AS$7,次果筐明细!$F$4:$F$603,"*出库*",次果筐明细!$B$4:$B$603,"&gt;="&amp;$Z$1,次果筐明细!$B$4:$B$603,"&lt;="&amp;$Z$2))</f>
        <v/>
      </c>
      <c r="G178" s="39" t="str">
        <f>IF($B178="","",SUMIFS(次果筐明细!$G$4:$G$603,次果筐明细!$C$4:$C$603,$B178,次果筐明细!$F$4:$F$603,"*出库*",次果筐明细!$B$4:$B$603,"&gt;="&amp;$Z$1,次果筐明细!$B$4:$B$603,"&lt;="&amp;$Z$2)-SUM($C178:$F178))</f>
        <v/>
      </c>
      <c r="H178" s="39" t="str">
        <f t="shared" si="13"/>
        <v/>
      </c>
      <c r="I178" s="39" t="str">
        <f>IF(OR($B178="",_自动清单!$AS$4=""),"",SUMIFS(次果筐明细!$G$4:$G$603,次果筐明细!$C$4:$C$603,$B178,次果筐明细!$D$4:$D$603,_自动清单!$AS$4,次果筐明细!$F$4:$F$603,"*入库*",次果筐明细!$B$4:$B$603,"&gt;="&amp;$Z$1,次果筐明细!$B$4:$B$603,"&lt;="&amp;$Z$2))</f>
        <v/>
      </c>
      <c r="J178" s="39" t="str">
        <f>IF(OR($B178="",_自动清单!$AS$5=""),"",SUMIFS(次果筐明细!$G$4:$G$603,次果筐明细!$C$4:$C$603,$B178,次果筐明细!$D$4:$D$603,_自动清单!$AS$5,次果筐明细!$F$4:$F$603,"*入库*",次果筐明细!$B$4:$B$603,"&gt;="&amp;$Z$1,次果筐明细!$B$4:$B$603,"&lt;="&amp;$Z$2))</f>
        <v/>
      </c>
      <c r="K178" s="39" t="str">
        <f>IF(OR($B178="",_自动清单!$AS$6=""),"",SUMIFS(次果筐明细!$G$4:$G$603,次果筐明细!$C$4:$C$603,$B178,次果筐明细!$D$4:$D$603,_自动清单!$AS$6,次果筐明细!$F$4:$F$603,"*入库*",次果筐明细!$B$4:$B$603,"&gt;="&amp;$Z$1,次果筐明细!$B$4:$B$603,"&lt;="&amp;$Z$2))</f>
        <v/>
      </c>
      <c r="L178" s="39" t="str">
        <f>IF(OR($B178="",_自动清单!$AS$7=""),"",SUMIFS(次果筐明细!$G$4:$G$603,次果筐明细!$C$4:$C$603,$B178,次果筐明细!$D$4:$D$603,_自动清单!$AS$7,次果筐明细!$F$4:$F$603,"*入库*",次果筐明细!$B$4:$B$603,"&gt;="&amp;$Z$1,次果筐明细!$B$4:$B$603,"&lt;="&amp;$Z$2))</f>
        <v/>
      </c>
      <c r="M178" s="62" t="str">
        <f>IF($B178="","",SUMIFS(次果筐明细!$G$4:$G$603,次果筐明细!$C$4:$C$603,$B178,次果筐明细!$F$4:$F$603,"*入库*",次果筐明细!$B$4:$B$603,"&gt;="&amp;$Z$1,次果筐明细!$B$4:$B$603,"&lt;="&amp;$Z$2)-SUM($I178:$L178))</f>
        <v/>
      </c>
      <c r="N178" s="62" t="str">
        <f t="shared" si="14"/>
        <v/>
      </c>
      <c r="O178" s="39" t="str">
        <f t="shared" si="15"/>
        <v/>
      </c>
      <c r="P178" s="30" t="str">
        <f>IF($B178="","",ROUND(SUMIFS(次果筐明细!$L$4:$L$603,次果筐明细!$C$4:$C$603,$B178,次果筐明细!$B$4:$B$603,"&gt;="&amp;$Z$1,次果筐明细!$B$4:$B$603,"&lt;="&amp;$Z$2),2))</f>
        <v/>
      </c>
      <c r="Q178" s="30" t="str">
        <f>IF($B178="","",ROUND(SUMIFS(次果筐明细!$L$4:$L$603,次果筐明细!$C$4:$C$603,$B178,次果筐明细!$M$4:$M$603,"已收讫",次果筐明细!$B$4:$B$603,"&gt;="&amp;$Z$1,次果筐明细!$B$4:$B$603,"&lt;="&amp;$Z$2),2))</f>
        <v/>
      </c>
      <c r="R178" s="30" t="str">
        <f t="shared" si="16"/>
        <v/>
      </c>
      <c r="S178" s="30" t="str">
        <f>IF($B178="","",ROUND(SUMIFS(次果筐明细!$J$4:$J$603,次果筐明细!$C$4:$C$603,$B178,次果筐明细!$B$4:$B$603,"&gt;="&amp;$Z$1,次果筐明细!$B$4:$B$603,"&lt;="&amp;$Z$2),2))</f>
        <v/>
      </c>
      <c r="T178" s="63" t="str">
        <f>IF($B178="","",ROUND(SUMIFS(次果筐明细!$K$4:$K$603,次果筐明细!$C$4:$C$603,$B178,次果筐明细!$B$4:$B$603,"&gt;="&amp;$Z$1,次果筐明细!$B$4:$B$603,"&lt;="&amp;$Z$2),2))</f>
        <v/>
      </c>
      <c r="U178" s="30" t="str">
        <f t="shared" si="17"/>
        <v/>
      </c>
      <c r="V178" s="42"/>
    </row>
    <row r="179" spans="1:22">
      <c r="A179" s="24" t="str">
        <f t="shared" si="12"/>
        <v/>
      </c>
      <c r="B179" s="37" t="str">
        <f>IFERROR(INDEX(_自动清单!$AY$4:$AY$203,ROW()-3),"")</f>
        <v/>
      </c>
      <c r="C179" s="39" t="str">
        <f>IF(OR($B179="",_自动清单!$AS$4=""),"",SUMIFS(次果筐明细!$G$4:$G$603,次果筐明细!$C$4:$C$603,$B179,次果筐明细!$D$4:$D$603,_自动清单!$AS$4,次果筐明细!$F$4:$F$603,"*出库*",次果筐明细!$B$4:$B$603,"&gt;="&amp;$Z$1,次果筐明细!$B$4:$B$603,"&lt;="&amp;$Z$2))</f>
        <v/>
      </c>
      <c r="D179" s="39" t="str">
        <f>IF(OR($B179="",_自动清单!$AS$5=""),"",SUMIFS(次果筐明细!$G$4:$G$603,次果筐明细!$C$4:$C$603,$B179,次果筐明细!$D$4:$D$603,_自动清单!$AS$5,次果筐明细!$F$4:$F$603,"*出库*",次果筐明细!$B$4:$B$603,"&gt;="&amp;$Z$1,次果筐明细!$B$4:$B$603,"&lt;="&amp;$Z$2))</f>
        <v/>
      </c>
      <c r="E179" s="39" t="str">
        <f>IF(OR($B179="",_自动清单!$AS$6=""),"",SUMIFS(次果筐明细!$G$4:$G$603,次果筐明细!$C$4:$C$603,$B179,次果筐明细!$D$4:$D$603,_自动清单!$AS$6,次果筐明细!$F$4:$F$603,"*出库*",次果筐明细!$B$4:$B$603,"&gt;="&amp;$Z$1,次果筐明细!$B$4:$B$603,"&lt;="&amp;$Z$2))</f>
        <v/>
      </c>
      <c r="F179" s="39" t="str">
        <f>IF(OR($B179="",_自动清单!$AS$7=""),"",SUMIFS(次果筐明细!$G$4:$G$603,次果筐明细!$C$4:$C$603,$B179,次果筐明细!$D$4:$D$603,_自动清单!$AS$7,次果筐明细!$F$4:$F$603,"*出库*",次果筐明细!$B$4:$B$603,"&gt;="&amp;$Z$1,次果筐明细!$B$4:$B$603,"&lt;="&amp;$Z$2))</f>
        <v/>
      </c>
      <c r="G179" s="39" t="str">
        <f>IF($B179="","",SUMIFS(次果筐明细!$G$4:$G$603,次果筐明细!$C$4:$C$603,$B179,次果筐明细!$F$4:$F$603,"*出库*",次果筐明细!$B$4:$B$603,"&gt;="&amp;$Z$1,次果筐明细!$B$4:$B$603,"&lt;="&amp;$Z$2)-SUM($C179:$F179))</f>
        <v/>
      </c>
      <c r="H179" s="39" t="str">
        <f t="shared" si="13"/>
        <v/>
      </c>
      <c r="I179" s="39" t="str">
        <f>IF(OR($B179="",_自动清单!$AS$4=""),"",SUMIFS(次果筐明细!$G$4:$G$603,次果筐明细!$C$4:$C$603,$B179,次果筐明细!$D$4:$D$603,_自动清单!$AS$4,次果筐明细!$F$4:$F$603,"*入库*",次果筐明细!$B$4:$B$603,"&gt;="&amp;$Z$1,次果筐明细!$B$4:$B$603,"&lt;="&amp;$Z$2))</f>
        <v/>
      </c>
      <c r="J179" s="39" t="str">
        <f>IF(OR($B179="",_自动清单!$AS$5=""),"",SUMIFS(次果筐明细!$G$4:$G$603,次果筐明细!$C$4:$C$603,$B179,次果筐明细!$D$4:$D$603,_自动清单!$AS$5,次果筐明细!$F$4:$F$603,"*入库*",次果筐明细!$B$4:$B$603,"&gt;="&amp;$Z$1,次果筐明细!$B$4:$B$603,"&lt;="&amp;$Z$2))</f>
        <v/>
      </c>
      <c r="K179" s="39" t="str">
        <f>IF(OR($B179="",_自动清单!$AS$6=""),"",SUMIFS(次果筐明细!$G$4:$G$603,次果筐明细!$C$4:$C$603,$B179,次果筐明细!$D$4:$D$603,_自动清单!$AS$6,次果筐明细!$F$4:$F$603,"*入库*",次果筐明细!$B$4:$B$603,"&gt;="&amp;$Z$1,次果筐明细!$B$4:$B$603,"&lt;="&amp;$Z$2))</f>
        <v/>
      </c>
      <c r="L179" s="39" t="str">
        <f>IF(OR($B179="",_自动清单!$AS$7=""),"",SUMIFS(次果筐明细!$G$4:$G$603,次果筐明细!$C$4:$C$603,$B179,次果筐明细!$D$4:$D$603,_自动清单!$AS$7,次果筐明细!$F$4:$F$603,"*入库*",次果筐明细!$B$4:$B$603,"&gt;="&amp;$Z$1,次果筐明细!$B$4:$B$603,"&lt;="&amp;$Z$2))</f>
        <v/>
      </c>
      <c r="M179" s="62" t="str">
        <f>IF($B179="","",SUMIFS(次果筐明细!$G$4:$G$603,次果筐明细!$C$4:$C$603,$B179,次果筐明细!$F$4:$F$603,"*入库*",次果筐明细!$B$4:$B$603,"&gt;="&amp;$Z$1,次果筐明细!$B$4:$B$603,"&lt;="&amp;$Z$2)-SUM($I179:$L179))</f>
        <v/>
      </c>
      <c r="N179" s="62" t="str">
        <f t="shared" si="14"/>
        <v/>
      </c>
      <c r="O179" s="39" t="str">
        <f t="shared" si="15"/>
        <v/>
      </c>
      <c r="P179" s="30" t="str">
        <f>IF($B179="","",ROUND(SUMIFS(次果筐明细!$L$4:$L$603,次果筐明细!$C$4:$C$603,$B179,次果筐明细!$B$4:$B$603,"&gt;="&amp;$Z$1,次果筐明细!$B$4:$B$603,"&lt;="&amp;$Z$2),2))</f>
        <v/>
      </c>
      <c r="Q179" s="30" t="str">
        <f>IF($B179="","",ROUND(SUMIFS(次果筐明细!$L$4:$L$603,次果筐明细!$C$4:$C$603,$B179,次果筐明细!$M$4:$M$603,"已收讫",次果筐明细!$B$4:$B$603,"&gt;="&amp;$Z$1,次果筐明细!$B$4:$B$603,"&lt;="&amp;$Z$2),2))</f>
        <v/>
      </c>
      <c r="R179" s="30" t="str">
        <f t="shared" si="16"/>
        <v/>
      </c>
      <c r="S179" s="30" t="str">
        <f>IF($B179="","",ROUND(SUMIFS(次果筐明细!$J$4:$J$603,次果筐明细!$C$4:$C$603,$B179,次果筐明细!$B$4:$B$603,"&gt;="&amp;$Z$1,次果筐明细!$B$4:$B$603,"&lt;="&amp;$Z$2),2))</f>
        <v/>
      </c>
      <c r="T179" s="63" t="str">
        <f>IF($B179="","",ROUND(SUMIFS(次果筐明细!$K$4:$K$603,次果筐明细!$C$4:$C$603,$B179,次果筐明细!$B$4:$B$603,"&gt;="&amp;$Z$1,次果筐明细!$B$4:$B$603,"&lt;="&amp;$Z$2),2))</f>
        <v/>
      </c>
      <c r="U179" s="30" t="str">
        <f t="shared" si="17"/>
        <v/>
      </c>
      <c r="V179" s="42"/>
    </row>
    <row r="180" spans="1:22">
      <c r="A180" s="24" t="str">
        <f t="shared" si="12"/>
        <v/>
      </c>
      <c r="B180" s="37" t="str">
        <f>IFERROR(INDEX(_自动清单!$AY$4:$AY$203,ROW()-3),"")</f>
        <v/>
      </c>
      <c r="C180" s="39" t="str">
        <f>IF(OR($B180="",_自动清单!$AS$4=""),"",SUMIFS(次果筐明细!$G$4:$G$603,次果筐明细!$C$4:$C$603,$B180,次果筐明细!$D$4:$D$603,_自动清单!$AS$4,次果筐明细!$F$4:$F$603,"*出库*",次果筐明细!$B$4:$B$603,"&gt;="&amp;$Z$1,次果筐明细!$B$4:$B$603,"&lt;="&amp;$Z$2))</f>
        <v/>
      </c>
      <c r="D180" s="39" t="str">
        <f>IF(OR($B180="",_自动清单!$AS$5=""),"",SUMIFS(次果筐明细!$G$4:$G$603,次果筐明细!$C$4:$C$603,$B180,次果筐明细!$D$4:$D$603,_自动清单!$AS$5,次果筐明细!$F$4:$F$603,"*出库*",次果筐明细!$B$4:$B$603,"&gt;="&amp;$Z$1,次果筐明细!$B$4:$B$603,"&lt;="&amp;$Z$2))</f>
        <v/>
      </c>
      <c r="E180" s="39" t="str">
        <f>IF(OR($B180="",_自动清单!$AS$6=""),"",SUMIFS(次果筐明细!$G$4:$G$603,次果筐明细!$C$4:$C$603,$B180,次果筐明细!$D$4:$D$603,_自动清单!$AS$6,次果筐明细!$F$4:$F$603,"*出库*",次果筐明细!$B$4:$B$603,"&gt;="&amp;$Z$1,次果筐明细!$B$4:$B$603,"&lt;="&amp;$Z$2))</f>
        <v/>
      </c>
      <c r="F180" s="39" t="str">
        <f>IF(OR($B180="",_自动清单!$AS$7=""),"",SUMIFS(次果筐明细!$G$4:$G$603,次果筐明细!$C$4:$C$603,$B180,次果筐明细!$D$4:$D$603,_自动清单!$AS$7,次果筐明细!$F$4:$F$603,"*出库*",次果筐明细!$B$4:$B$603,"&gt;="&amp;$Z$1,次果筐明细!$B$4:$B$603,"&lt;="&amp;$Z$2))</f>
        <v/>
      </c>
      <c r="G180" s="39" t="str">
        <f>IF($B180="","",SUMIFS(次果筐明细!$G$4:$G$603,次果筐明细!$C$4:$C$603,$B180,次果筐明细!$F$4:$F$603,"*出库*",次果筐明细!$B$4:$B$603,"&gt;="&amp;$Z$1,次果筐明细!$B$4:$B$603,"&lt;="&amp;$Z$2)-SUM($C180:$F180))</f>
        <v/>
      </c>
      <c r="H180" s="39" t="str">
        <f t="shared" si="13"/>
        <v/>
      </c>
      <c r="I180" s="39" t="str">
        <f>IF(OR($B180="",_自动清单!$AS$4=""),"",SUMIFS(次果筐明细!$G$4:$G$603,次果筐明细!$C$4:$C$603,$B180,次果筐明细!$D$4:$D$603,_自动清单!$AS$4,次果筐明细!$F$4:$F$603,"*入库*",次果筐明细!$B$4:$B$603,"&gt;="&amp;$Z$1,次果筐明细!$B$4:$B$603,"&lt;="&amp;$Z$2))</f>
        <v/>
      </c>
      <c r="J180" s="39" t="str">
        <f>IF(OR($B180="",_自动清单!$AS$5=""),"",SUMIFS(次果筐明细!$G$4:$G$603,次果筐明细!$C$4:$C$603,$B180,次果筐明细!$D$4:$D$603,_自动清单!$AS$5,次果筐明细!$F$4:$F$603,"*入库*",次果筐明细!$B$4:$B$603,"&gt;="&amp;$Z$1,次果筐明细!$B$4:$B$603,"&lt;="&amp;$Z$2))</f>
        <v/>
      </c>
      <c r="K180" s="39" t="str">
        <f>IF(OR($B180="",_自动清单!$AS$6=""),"",SUMIFS(次果筐明细!$G$4:$G$603,次果筐明细!$C$4:$C$603,$B180,次果筐明细!$D$4:$D$603,_自动清单!$AS$6,次果筐明细!$F$4:$F$603,"*入库*",次果筐明细!$B$4:$B$603,"&gt;="&amp;$Z$1,次果筐明细!$B$4:$B$603,"&lt;="&amp;$Z$2))</f>
        <v/>
      </c>
      <c r="L180" s="39" t="str">
        <f>IF(OR($B180="",_自动清单!$AS$7=""),"",SUMIFS(次果筐明细!$G$4:$G$603,次果筐明细!$C$4:$C$603,$B180,次果筐明细!$D$4:$D$603,_自动清单!$AS$7,次果筐明细!$F$4:$F$603,"*入库*",次果筐明细!$B$4:$B$603,"&gt;="&amp;$Z$1,次果筐明细!$B$4:$B$603,"&lt;="&amp;$Z$2))</f>
        <v/>
      </c>
      <c r="M180" s="62" t="str">
        <f>IF($B180="","",SUMIFS(次果筐明细!$G$4:$G$603,次果筐明细!$C$4:$C$603,$B180,次果筐明细!$F$4:$F$603,"*入库*",次果筐明细!$B$4:$B$603,"&gt;="&amp;$Z$1,次果筐明细!$B$4:$B$603,"&lt;="&amp;$Z$2)-SUM($I180:$L180))</f>
        <v/>
      </c>
      <c r="N180" s="62" t="str">
        <f t="shared" si="14"/>
        <v/>
      </c>
      <c r="O180" s="39" t="str">
        <f t="shared" si="15"/>
        <v/>
      </c>
      <c r="P180" s="30" t="str">
        <f>IF($B180="","",ROUND(SUMIFS(次果筐明细!$L$4:$L$603,次果筐明细!$C$4:$C$603,$B180,次果筐明细!$B$4:$B$603,"&gt;="&amp;$Z$1,次果筐明细!$B$4:$B$603,"&lt;="&amp;$Z$2),2))</f>
        <v/>
      </c>
      <c r="Q180" s="30" t="str">
        <f>IF($B180="","",ROUND(SUMIFS(次果筐明细!$L$4:$L$603,次果筐明细!$C$4:$C$603,$B180,次果筐明细!$M$4:$M$603,"已收讫",次果筐明细!$B$4:$B$603,"&gt;="&amp;$Z$1,次果筐明细!$B$4:$B$603,"&lt;="&amp;$Z$2),2))</f>
        <v/>
      </c>
      <c r="R180" s="30" t="str">
        <f t="shared" si="16"/>
        <v/>
      </c>
      <c r="S180" s="30" t="str">
        <f>IF($B180="","",ROUND(SUMIFS(次果筐明细!$J$4:$J$603,次果筐明细!$C$4:$C$603,$B180,次果筐明细!$B$4:$B$603,"&gt;="&amp;$Z$1,次果筐明细!$B$4:$B$603,"&lt;="&amp;$Z$2),2))</f>
        <v/>
      </c>
      <c r="T180" s="63" t="str">
        <f>IF($B180="","",ROUND(SUMIFS(次果筐明细!$K$4:$K$603,次果筐明细!$C$4:$C$603,$B180,次果筐明细!$B$4:$B$603,"&gt;="&amp;$Z$1,次果筐明细!$B$4:$B$603,"&lt;="&amp;$Z$2),2))</f>
        <v/>
      </c>
      <c r="U180" s="30" t="str">
        <f t="shared" si="17"/>
        <v/>
      </c>
      <c r="V180" s="42"/>
    </row>
    <row r="181" spans="1:22">
      <c r="A181" s="24" t="str">
        <f t="shared" si="12"/>
        <v/>
      </c>
      <c r="B181" s="37" t="str">
        <f>IFERROR(INDEX(_自动清单!$AY$4:$AY$203,ROW()-3),"")</f>
        <v/>
      </c>
      <c r="C181" s="39" t="str">
        <f>IF(OR($B181="",_自动清单!$AS$4=""),"",SUMIFS(次果筐明细!$G$4:$G$603,次果筐明细!$C$4:$C$603,$B181,次果筐明细!$D$4:$D$603,_自动清单!$AS$4,次果筐明细!$F$4:$F$603,"*出库*",次果筐明细!$B$4:$B$603,"&gt;="&amp;$Z$1,次果筐明细!$B$4:$B$603,"&lt;="&amp;$Z$2))</f>
        <v/>
      </c>
      <c r="D181" s="39" t="str">
        <f>IF(OR($B181="",_自动清单!$AS$5=""),"",SUMIFS(次果筐明细!$G$4:$G$603,次果筐明细!$C$4:$C$603,$B181,次果筐明细!$D$4:$D$603,_自动清单!$AS$5,次果筐明细!$F$4:$F$603,"*出库*",次果筐明细!$B$4:$B$603,"&gt;="&amp;$Z$1,次果筐明细!$B$4:$B$603,"&lt;="&amp;$Z$2))</f>
        <v/>
      </c>
      <c r="E181" s="39" t="str">
        <f>IF(OR($B181="",_自动清单!$AS$6=""),"",SUMIFS(次果筐明细!$G$4:$G$603,次果筐明细!$C$4:$C$603,$B181,次果筐明细!$D$4:$D$603,_自动清单!$AS$6,次果筐明细!$F$4:$F$603,"*出库*",次果筐明细!$B$4:$B$603,"&gt;="&amp;$Z$1,次果筐明细!$B$4:$B$603,"&lt;="&amp;$Z$2))</f>
        <v/>
      </c>
      <c r="F181" s="39" t="str">
        <f>IF(OR($B181="",_自动清单!$AS$7=""),"",SUMIFS(次果筐明细!$G$4:$G$603,次果筐明细!$C$4:$C$603,$B181,次果筐明细!$D$4:$D$603,_自动清单!$AS$7,次果筐明细!$F$4:$F$603,"*出库*",次果筐明细!$B$4:$B$603,"&gt;="&amp;$Z$1,次果筐明细!$B$4:$B$603,"&lt;="&amp;$Z$2))</f>
        <v/>
      </c>
      <c r="G181" s="39" t="str">
        <f>IF($B181="","",SUMIFS(次果筐明细!$G$4:$G$603,次果筐明细!$C$4:$C$603,$B181,次果筐明细!$F$4:$F$603,"*出库*",次果筐明细!$B$4:$B$603,"&gt;="&amp;$Z$1,次果筐明细!$B$4:$B$603,"&lt;="&amp;$Z$2)-SUM($C181:$F181))</f>
        <v/>
      </c>
      <c r="H181" s="39" t="str">
        <f t="shared" si="13"/>
        <v/>
      </c>
      <c r="I181" s="39" t="str">
        <f>IF(OR($B181="",_自动清单!$AS$4=""),"",SUMIFS(次果筐明细!$G$4:$G$603,次果筐明细!$C$4:$C$603,$B181,次果筐明细!$D$4:$D$603,_自动清单!$AS$4,次果筐明细!$F$4:$F$603,"*入库*",次果筐明细!$B$4:$B$603,"&gt;="&amp;$Z$1,次果筐明细!$B$4:$B$603,"&lt;="&amp;$Z$2))</f>
        <v/>
      </c>
      <c r="J181" s="39" t="str">
        <f>IF(OR($B181="",_自动清单!$AS$5=""),"",SUMIFS(次果筐明细!$G$4:$G$603,次果筐明细!$C$4:$C$603,$B181,次果筐明细!$D$4:$D$603,_自动清单!$AS$5,次果筐明细!$F$4:$F$603,"*入库*",次果筐明细!$B$4:$B$603,"&gt;="&amp;$Z$1,次果筐明细!$B$4:$B$603,"&lt;="&amp;$Z$2))</f>
        <v/>
      </c>
      <c r="K181" s="39" t="str">
        <f>IF(OR($B181="",_自动清单!$AS$6=""),"",SUMIFS(次果筐明细!$G$4:$G$603,次果筐明细!$C$4:$C$603,$B181,次果筐明细!$D$4:$D$603,_自动清单!$AS$6,次果筐明细!$F$4:$F$603,"*入库*",次果筐明细!$B$4:$B$603,"&gt;="&amp;$Z$1,次果筐明细!$B$4:$B$603,"&lt;="&amp;$Z$2))</f>
        <v/>
      </c>
      <c r="L181" s="39" t="str">
        <f>IF(OR($B181="",_自动清单!$AS$7=""),"",SUMIFS(次果筐明细!$G$4:$G$603,次果筐明细!$C$4:$C$603,$B181,次果筐明细!$D$4:$D$603,_自动清单!$AS$7,次果筐明细!$F$4:$F$603,"*入库*",次果筐明细!$B$4:$B$603,"&gt;="&amp;$Z$1,次果筐明细!$B$4:$B$603,"&lt;="&amp;$Z$2))</f>
        <v/>
      </c>
      <c r="M181" s="62" t="str">
        <f>IF($B181="","",SUMIFS(次果筐明细!$G$4:$G$603,次果筐明细!$C$4:$C$603,$B181,次果筐明细!$F$4:$F$603,"*入库*",次果筐明细!$B$4:$B$603,"&gt;="&amp;$Z$1,次果筐明细!$B$4:$B$603,"&lt;="&amp;$Z$2)-SUM($I181:$L181))</f>
        <v/>
      </c>
      <c r="N181" s="62" t="str">
        <f t="shared" si="14"/>
        <v/>
      </c>
      <c r="O181" s="39" t="str">
        <f t="shared" si="15"/>
        <v/>
      </c>
      <c r="P181" s="30" t="str">
        <f>IF($B181="","",ROUND(SUMIFS(次果筐明细!$L$4:$L$603,次果筐明细!$C$4:$C$603,$B181,次果筐明细!$B$4:$B$603,"&gt;="&amp;$Z$1,次果筐明细!$B$4:$B$603,"&lt;="&amp;$Z$2),2))</f>
        <v/>
      </c>
      <c r="Q181" s="30" t="str">
        <f>IF($B181="","",ROUND(SUMIFS(次果筐明细!$L$4:$L$603,次果筐明细!$C$4:$C$603,$B181,次果筐明细!$M$4:$M$603,"已收讫",次果筐明细!$B$4:$B$603,"&gt;="&amp;$Z$1,次果筐明细!$B$4:$B$603,"&lt;="&amp;$Z$2),2))</f>
        <v/>
      </c>
      <c r="R181" s="30" t="str">
        <f t="shared" si="16"/>
        <v/>
      </c>
      <c r="S181" s="30" t="str">
        <f>IF($B181="","",ROUND(SUMIFS(次果筐明细!$J$4:$J$603,次果筐明细!$C$4:$C$603,$B181,次果筐明细!$B$4:$B$603,"&gt;="&amp;$Z$1,次果筐明细!$B$4:$B$603,"&lt;="&amp;$Z$2),2))</f>
        <v/>
      </c>
      <c r="T181" s="63" t="str">
        <f>IF($B181="","",ROUND(SUMIFS(次果筐明细!$K$4:$K$603,次果筐明细!$C$4:$C$603,$B181,次果筐明细!$B$4:$B$603,"&gt;="&amp;$Z$1,次果筐明细!$B$4:$B$603,"&lt;="&amp;$Z$2),2))</f>
        <v/>
      </c>
      <c r="U181" s="30" t="str">
        <f t="shared" si="17"/>
        <v/>
      </c>
      <c r="V181" s="42"/>
    </row>
    <row r="182" spans="1:22">
      <c r="A182" s="24" t="str">
        <f t="shared" si="12"/>
        <v/>
      </c>
      <c r="B182" s="37" t="str">
        <f>IFERROR(INDEX(_自动清单!$AY$4:$AY$203,ROW()-3),"")</f>
        <v/>
      </c>
      <c r="C182" s="39" t="str">
        <f>IF(OR($B182="",_自动清单!$AS$4=""),"",SUMIFS(次果筐明细!$G$4:$G$603,次果筐明细!$C$4:$C$603,$B182,次果筐明细!$D$4:$D$603,_自动清单!$AS$4,次果筐明细!$F$4:$F$603,"*出库*",次果筐明细!$B$4:$B$603,"&gt;="&amp;$Z$1,次果筐明细!$B$4:$B$603,"&lt;="&amp;$Z$2))</f>
        <v/>
      </c>
      <c r="D182" s="39" t="str">
        <f>IF(OR($B182="",_自动清单!$AS$5=""),"",SUMIFS(次果筐明细!$G$4:$G$603,次果筐明细!$C$4:$C$603,$B182,次果筐明细!$D$4:$D$603,_自动清单!$AS$5,次果筐明细!$F$4:$F$603,"*出库*",次果筐明细!$B$4:$B$603,"&gt;="&amp;$Z$1,次果筐明细!$B$4:$B$603,"&lt;="&amp;$Z$2))</f>
        <v/>
      </c>
      <c r="E182" s="39" t="str">
        <f>IF(OR($B182="",_自动清单!$AS$6=""),"",SUMIFS(次果筐明细!$G$4:$G$603,次果筐明细!$C$4:$C$603,$B182,次果筐明细!$D$4:$D$603,_自动清单!$AS$6,次果筐明细!$F$4:$F$603,"*出库*",次果筐明细!$B$4:$B$603,"&gt;="&amp;$Z$1,次果筐明细!$B$4:$B$603,"&lt;="&amp;$Z$2))</f>
        <v/>
      </c>
      <c r="F182" s="39" t="str">
        <f>IF(OR($B182="",_自动清单!$AS$7=""),"",SUMIFS(次果筐明细!$G$4:$G$603,次果筐明细!$C$4:$C$603,$B182,次果筐明细!$D$4:$D$603,_自动清单!$AS$7,次果筐明细!$F$4:$F$603,"*出库*",次果筐明细!$B$4:$B$603,"&gt;="&amp;$Z$1,次果筐明细!$B$4:$B$603,"&lt;="&amp;$Z$2))</f>
        <v/>
      </c>
      <c r="G182" s="39" t="str">
        <f>IF($B182="","",SUMIFS(次果筐明细!$G$4:$G$603,次果筐明细!$C$4:$C$603,$B182,次果筐明细!$F$4:$F$603,"*出库*",次果筐明细!$B$4:$B$603,"&gt;="&amp;$Z$1,次果筐明细!$B$4:$B$603,"&lt;="&amp;$Z$2)-SUM($C182:$F182))</f>
        <v/>
      </c>
      <c r="H182" s="39" t="str">
        <f t="shared" si="13"/>
        <v/>
      </c>
      <c r="I182" s="39" t="str">
        <f>IF(OR($B182="",_自动清单!$AS$4=""),"",SUMIFS(次果筐明细!$G$4:$G$603,次果筐明细!$C$4:$C$603,$B182,次果筐明细!$D$4:$D$603,_自动清单!$AS$4,次果筐明细!$F$4:$F$603,"*入库*",次果筐明细!$B$4:$B$603,"&gt;="&amp;$Z$1,次果筐明细!$B$4:$B$603,"&lt;="&amp;$Z$2))</f>
        <v/>
      </c>
      <c r="J182" s="39" t="str">
        <f>IF(OR($B182="",_自动清单!$AS$5=""),"",SUMIFS(次果筐明细!$G$4:$G$603,次果筐明细!$C$4:$C$603,$B182,次果筐明细!$D$4:$D$603,_自动清单!$AS$5,次果筐明细!$F$4:$F$603,"*入库*",次果筐明细!$B$4:$B$603,"&gt;="&amp;$Z$1,次果筐明细!$B$4:$B$603,"&lt;="&amp;$Z$2))</f>
        <v/>
      </c>
      <c r="K182" s="39" t="str">
        <f>IF(OR($B182="",_自动清单!$AS$6=""),"",SUMIFS(次果筐明细!$G$4:$G$603,次果筐明细!$C$4:$C$603,$B182,次果筐明细!$D$4:$D$603,_自动清单!$AS$6,次果筐明细!$F$4:$F$603,"*入库*",次果筐明细!$B$4:$B$603,"&gt;="&amp;$Z$1,次果筐明细!$B$4:$B$603,"&lt;="&amp;$Z$2))</f>
        <v/>
      </c>
      <c r="L182" s="39" t="str">
        <f>IF(OR($B182="",_自动清单!$AS$7=""),"",SUMIFS(次果筐明细!$G$4:$G$603,次果筐明细!$C$4:$C$603,$B182,次果筐明细!$D$4:$D$603,_自动清单!$AS$7,次果筐明细!$F$4:$F$603,"*入库*",次果筐明细!$B$4:$B$603,"&gt;="&amp;$Z$1,次果筐明细!$B$4:$B$603,"&lt;="&amp;$Z$2))</f>
        <v/>
      </c>
      <c r="M182" s="62" t="str">
        <f>IF($B182="","",SUMIFS(次果筐明细!$G$4:$G$603,次果筐明细!$C$4:$C$603,$B182,次果筐明细!$F$4:$F$603,"*入库*",次果筐明细!$B$4:$B$603,"&gt;="&amp;$Z$1,次果筐明细!$B$4:$B$603,"&lt;="&amp;$Z$2)-SUM($I182:$L182))</f>
        <v/>
      </c>
      <c r="N182" s="62" t="str">
        <f t="shared" si="14"/>
        <v/>
      </c>
      <c r="O182" s="39" t="str">
        <f t="shared" si="15"/>
        <v/>
      </c>
      <c r="P182" s="30" t="str">
        <f>IF($B182="","",ROUND(SUMIFS(次果筐明细!$L$4:$L$603,次果筐明细!$C$4:$C$603,$B182,次果筐明细!$B$4:$B$603,"&gt;="&amp;$Z$1,次果筐明细!$B$4:$B$603,"&lt;="&amp;$Z$2),2))</f>
        <v/>
      </c>
      <c r="Q182" s="30" t="str">
        <f>IF($B182="","",ROUND(SUMIFS(次果筐明细!$L$4:$L$603,次果筐明细!$C$4:$C$603,$B182,次果筐明细!$M$4:$M$603,"已收讫",次果筐明细!$B$4:$B$603,"&gt;="&amp;$Z$1,次果筐明细!$B$4:$B$603,"&lt;="&amp;$Z$2),2))</f>
        <v/>
      </c>
      <c r="R182" s="30" t="str">
        <f t="shared" si="16"/>
        <v/>
      </c>
      <c r="S182" s="30" t="str">
        <f>IF($B182="","",ROUND(SUMIFS(次果筐明细!$J$4:$J$603,次果筐明细!$C$4:$C$603,$B182,次果筐明细!$B$4:$B$603,"&gt;="&amp;$Z$1,次果筐明细!$B$4:$B$603,"&lt;="&amp;$Z$2),2))</f>
        <v/>
      </c>
      <c r="T182" s="63" t="str">
        <f>IF($B182="","",ROUND(SUMIFS(次果筐明细!$K$4:$K$603,次果筐明细!$C$4:$C$603,$B182,次果筐明细!$B$4:$B$603,"&gt;="&amp;$Z$1,次果筐明细!$B$4:$B$603,"&lt;="&amp;$Z$2),2))</f>
        <v/>
      </c>
      <c r="U182" s="30" t="str">
        <f t="shared" si="17"/>
        <v/>
      </c>
      <c r="V182" s="42"/>
    </row>
    <row r="183" spans="1:22">
      <c r="A183" s="24" t="str">
        <f t="shared" si="12"/>
        <v/>
      </c>
      <c r="B183" s="37" t="str">
        <f>IFERROR(INDEX(_自动清单!$AY$4:$AY$203,ROW()-3),"")</f>
        <v/>
      </c>
      <c r="C183" s="39" t="str">
        <f>IF(OR($B183="",_自动清单!$AS$4=""),"",SUMIFS(次果筐明细!$G$4:$G$603,次果筐明细!$C$4:$C$603,$B183,次果筐明细!$D$4:$D$603,_自动清单!$AS$4,次果筐明细!$F$4:$F$603,"*出库*",次果筐明细!$B$4:$B$603,"&gt;="&amp;$Z$1,次果筐明细!$B$4:$B$603,"&lt;="&amp;$Z$2))</f>
        <v/>
      </c>
      <c r="D183" s="39" t="str">
        <f>IF(OR($B183="",_自动清单!$AS$5=""),"",SUMIFS(次果筐明细!$G$4:$G$603,次果筐明细!$C$4:$C$603,$B183,次果筐明细!$D$4:$D$603,_自动清单!$AS$5,次果筐明细!$F$4:$F$603,"*出库*",次果筐明细!$B$4:$B$603,"&gt;="&amp;$Z$1,次果筐明细!$B$4:$B$603,"&lt;="&amp;$Z$2))</f>
        <v/>
      </c>
      <c r="E183" s="39" t="str">
        <f>IF(OR($B183="",_自动清单!$AS$6=""),"",SUMIFS(次果筐明细!$G$4:$G$603,次果筐明细!$C$4:$C$603,$B183,次果筐明细!$D$4:$D$603,_自动清单!$AS$6,次果筐明细!$F$4:$F$603,"*出库*",次果筐明细!$B$4:$B$603,"&gt;="&amp;$Z$1,次果筐明细!$B$4:$B$603,"&lt;="&amp;$Z$2))</f>
        <v/>
      </c>
      <c r="F183" s="39" t="str">
        <f>IF(OR($B183="",_自动清单!$AS$7=""),"",SUMIFS(次果筐明细!$G$4:$G$603,次果筐明细!$C$4:$C$603,$B183,次果筐明细!$D$4:$D$603,_自动清单!$AS$7,次果筐明细!$F$4:$F$603,"*出库*",次果筐明细!$B$4:$B$603,"&gt;="&amp;$Z$1,次果筐明细!$B$4:$B$603,"&lt;="&amp;$Z$2))</f>
        <v/>
      </c>
      <c r="G183" s="39" t="str">
        <f>IF($B183="","",SUMIFS(次果筐明细!$G$4:$G$603,次果筐明细!$C$4:$C$603,$B183,次果筐明细!$F$4:$F$603,"*出库*",次果筐明细!$B$4:$B$603,"&gt;="&amp;$Z$1,次果筐明细!$B$4:$B$603,"&lt;="&amp;$Z$2)-SUM($C183:$F183))</f>
        <v/>
      </c>
      <c r="H183" s="39" t="str">
        <f t="shared" si="13"/>
        <v/>
      </c>
      <c r="I183" s="39" t="str">
        <f>IF(OR($B183="",_自动清单!$AS$4=""),"",SUMIFS(次果筐明细!$G$4:$G$603,次果筐明细!$C$4:$C$603,$B183,次果筐明细!$D$4:$D$603,_自动清单!$AS$4,次果筐明细!$F$4:$F$603,"*入库*",次果筐明细!$B$4:$B$603,"&gt;="&amp;$Z$1,次果筐明细!$B$4:$B$603,"&lt;="&amp;$Z$2))</f>
        <v/>
      </c>
      <c r="J183" s="39" t="str">
        <f>IF(OR($B183="",_自动清单!$AS$5=""),"",SUMIFS(次果筐明细!$G$4:$G$603,次果筐明细!$C$4:$C$603,$B183,次果筐明细!$D$4:$D$603,_自动清单!$AS$5,次果筐明细!$F$4:$F$603,"*入库*",次果筐明细!$B$4:$B$603,"&gt;="&amp;$Z$1,次果筐明细!$B$4:$B$603,"&lt;="&amp;$Z$2))</f>
        <v/>
      </c>
      <c r="K183" s="39" t="str">
        <f>IF(OR($B183="",_自动清单!$AS$6=""),"",SUMIFS(次果筐明细!$G$4:$G$603,次果筐明细!$C$4:$C$603,$B183,次果筐明细!$D$4:$D$603,_自动清单!$AS$6,次果筐明细!$F$4:$F$603,"*入库*",次果筐明细!$B$4:$B$603,"&gt;="&amp;$Z$1,次果筐明细!$B$4:$B$603,"&lt;="&amp;$Z$2))</f>
        <v/>
      </c>
      <c r="L183" s="39" t="str">
        <f>IF(OR($B183="",_自动清单!$AS$7=""),"",SUMIFS(次果筐明细!$G$4:$G$603,次果筐明细!$C$4:$C$603,$B183,次果筐明细!$D$4:$D$603,_自动清单!$AS$7,次果筐明细!$F$4:$F$603,"*入库*",次果筐明细!$B$4:$B$603,"&gt;="&amp;$Z$1,次果筐明细!$B$4:$B$603,"&lt;="&amp;$Z$2))</f>
        <v/>
      </c>
      <c r="M183" s="62" t="str">
        <f>IF($B183="","",SUMIFS(次果筐明细!$G$4:$G$603,次果筐明细!$C$4:$C$603,$B183,次果筐明细!$F$4:$F$603,"*入库*",次果筐明细!$B$4:$B$603,"&gt;="&amp;$Z$1,次果筐明细!$B$4:$B$603,"&lt;="&amp;$Z$2)-SUM($I183:$L183))</f>
        <v/>
      </c>
      <c r="N183" s="62" t="str">
        <f t="shared" si="14"/>
        <v/>
      </c>
      <c r="O183" s="39" t="str">
        <f t="shared" si="15"/>
        <v/>
      </c>
      <c r="P183" s="30" t="str">
        <f>IF($B183="","",ROUND(SUMIFS(次果筐明细!$L$4:$L$603,次果筐明细!$C$4:$C$603,$B183,次果筐明细!$B$4:$B$603,"&gt;="&amp;$Z$1,次果筐明细!$B$4:$B$603,"&lt;="&amp;$Z$2),2))</f>
        <v/>
      </c>
      <c r="Q183" s="30" t="str">
        <f>IF($B183="","",ROUND(SUMIFS(次果筐明细!$L$4:$L$603,次果筐明细!$C$4:$C$603,$B183,次果筐明细!$M$4:$M$603,"已收讫",次果筐明细!$B$4:$B$603,"&gt;="&amp;$Z$1,次果筐明细!$B$4:$B$603,"&lt;="&amp;$Z$2),2))</f>
        <v/>
      </c>
      <c r="R183" s="30" t="str">
        <f t="shared" si="16"/>
        <v/>
      </c>
      <c r="S183" s="30" t="str">
        <f>IF($B183="","",ROUND(SUMIFS(次果筐明细!$J$4:$J$603,次果筐明细!$C$4:$C$603,$B183,次果筐明细!$B$4:$B$603,"&gt;="&amp;$Z$1,次果筐明细!$B$4:$B$603,"&lt;="&amp;$Z$2),2))</f>
        <v/>
      </c>
      <c r="T183" s="63" t="str">
        <f>IF($B183="","",ROUND(SUMIFS(次果筐明细!$K$4:$K$603,次果筐明细!$C$4:$C$603,$B183,次果筐明细!$B$4:$B$603,"&gt;="&amp;$Z$1,次果筐明细!$B$4:$B$603,"&lt;="&amp;$Z$2),2))</f>
        <v/>
      </c>
      <c r="U183" s="30" t="str">
        <f t="shared" si="17"/>
        <v/>
      </c>
      <c r="V183" s="42"/>
    </row>
    <row r="184" spans="1:22">
      <c r="A184" s="24" t="str">
        <f t="shared" si="12"/>
        <v/>
      </c>
      <c r="B184" s="37" t="str">
        <f>IFERROR(INDEX(_自动清单!$AY$4:$AY$203,ROW()-3),"")</f>
        <v/>
      </c>
      <c r="C184" s="39" t="str">
        <f>IF(OR($B184="",_自动清单!$AS$4=""),"",SUMIFS(次果筐明细!$G$4:$G$603,次果筐明细!$C$4:$C$603,$B184,次果筐明细!$D$4:$D$603,_自动清单!$AS$4,次果筐明细!$F$4:$F$603,"*出库*",次果筐明细!$B$4:$B$603,"&gt;="&amp;$Z$1,次果筐明细!$B$4:$B$603,"&lt;="&amp;$Z$2))</f>
        <v/>
      </c>
      <c r="D184" s="39" t="str">
        <f>IF(OR($B184="",_自动清单!$AS$5=""),"",SUMIFS(次果筐明细!$G$4:$G$603,次果筐明细!$C$4:$C$603,$B184,次果筐明细!$D$4:$D$603,_自动清单!$AS$5,次果筐明细!$F$4:$F$603,"*出库*",次果筐明细!$B$4:$B$603,"&gt;="&amp;$Z$1,次果筐明细!$B$4:$B$603,"&lt;="&amp;$Z$2))</f>
        <v/>
      </c>
      <c r="E184" s="39" t="str">
        <f>IF(OR($B184="",_自动清单!$AS$6=""),"",SUMIFS(次果筐明细!$G$4:$G$603,次果筐明细!$C$4:$C$603,$B184,次果筐明细!$D$4:$D$603,_自动清单!$AS$6,次果筐明细!$F$4:$F$603,"*出库*",次果筐明细!$B$4:$B$603,"&gt;="&amp;$Z$1,次果筐明细!$B$4:$B$603,"&lt;="&amp;$Z$2))</f>
        <v/>
      </c>
      <c r="F184" s="39" t="str">
        <f>IF(OR($B184="",_自动清单!$AS$7=""),"",SUMIFS(次果筐明细!$G$4:$G$603,次果筐明细!$C$4:$C$603,$B184,次果筐明细!$D$4:$D$603,_自动清单!$AS$7,次果筐明细!$F$4:$F$603,"*出库*",次果筐明细!$B$4:$B$603,"&gt;="&amp;$Z$1,次果筐明细!$B$4:$B$603,"&lt;="&amp;$Z$2))</f>
        <v/>
      </c>
      <c r="G184" s="39" t="str">
        <f>IF($B184="","",SUMIFS(次果筐明细!$G$4:$G$603,次果筐明细!$C$4:$C$603,$B184,次果筐明细!$F$4:$F$603,"*出库*",次果筐明细!$B$4:$B$603,"&gt;="&amp;$Z$1,次果筐明细!$B$4:$B$603,"&lt;="&amp;$Z$2)-SUM($C184:$F184))</f>
        <v/>
      </c>
      <c r="H184" s="39" t="str">
        <f t="shared" si="13"/>
        <v/>
      </c>
      <c r="I184" s="39" t="str">
        <f>IF(OR($B184="",_自动清单!$AS$4=""),"",SUMIFS(次果筐明细!$G$4:$G$603,次果筐明细!$C$4:$C$603,$B184,次果筐明细!$D$4:$D$603,_自动清单!$AS$4,次果筐明细!$F$4:$F$603,"*入库*",次果筐明细!$B$4:$B$603,"&gt;="&amp;$Z$1,次果筐明细!$B$4:$B$603,"&lt;="&amp;$Z$2))</f>
        <v/>
      </c>
      <c r="J184" s="39" t="str">
        <f>IF(OR($B184="",_自动清单!$AS$5=""),"",SUMIFS(次果筐明细!$G$4:$G$603,次果筐明细!$C$4:$C$603,$B184,次果筐明细!$D$4:$D$603,_自动清单!$AS$5,次果筐明细!$F$4:$F$603,"*入库*",次果筐明细!$B$4:$B$603,"&gt;="&amp;$Z$1,次果筐明细!$B$4:$B$603,"&lt;="&amp;$Z$2))</f>
        <v/>
      </c>
      <c r="K184" s="39" t="str">
        <f>IF(OR($B184="",_自动清单!$AS$6=""),"",SUMIFS(次果筐明细!$G$4:$G$603,次果筐明细!$C$4:$C$603,$B184,次果筐明细!$D$4:$D$603,_自动清单!$AS$6,次果筐明细!$F$4:$F$603,"*入库*",次果筐明细!$B$4:$B$603,"&gt;="&amp;$Z$1,次果筐明细!$B$4:$B$603,"&lt;="&amp;$Z$2))</f>
        <v/>
      </c>
      <c r="L184" s="39" t="str">
        <f>IF(OR($B184="",_自动清单!$AS$7=""),"",SUMIFS(次果筐明细!$G$4:$G$603,次果筐明细!$C$4:$C$603,$B184,次果筐明细!$D$4:$D$603,_自动清单!$AS$7,次果筐明细!$F$4:$F$603,"*入库*",次果筐明细!$B$4:$B$603,"&gt;="&amp;$Z$1,次果筐明细!$B$4:$B$603,"&lt;="&amp;$Z$2))</f>
        <v/>
      </c>
      <c r="M184" s="62" t="str">
        <f>IF($B184="","",SUMIFS(次果筐明细!$G$4:$G$603,次果筐明细!$C$4:$C$603,$B184,次果筐明细!$F$4:$F$603,"*入库*",次果筐明细!$B$4:$B$603,"&gt;="&amp;$Z$1,次果筐明细!$B$4:$B$603,"&lt;="&amp;$Z$2)-SUM($I184:$L184))</f>
        <v/>
      </c>
      <c r="N184" s="62" t="str">
        <f t="shared" si="14"/>
        <v/>
      </c>
      <c r="O184" s="39" t="str">
        <f t="shared" si="15"/>
        <v/>
      </c>
      <c r="P184" s="30" t="str">
        <f>IF($B184="","",ROUND(SUMIFS(次果筐明细!$L$4:$L$603,次果筐明细!$C$4:$C$603,$B184,次果筐明细!$B$4:$B$603,"&gt;="&amp;$Z$1,次果筐明细!$B$4:$B$603,"&lt;="&amp;$Z$2),2))</f>
        <v/>
      </c>
      <c r="Q184" s="30" t="str">
        <f>IF($B184="","",ROUND(SUMIFS(次果筐明细!$L$4:$L$603,次果筐明细!$C$4:$C$603,$B184,次果筐明细!$M$4:$M$603,"已收讫",次果筐明细!$B$4:$B$603,"&gt;="&amp;$Z$1,次果筐明细!$B$4:$B$603,"&lt;="&amp;$Z$2),2))</f>
        <v/>
      </c>
      <c r="R184" s="30" t="str">
        <f t="shared" si="16"/>
        <v/>
      </c>
      <c r="S184" s="30" t="str">
        <f>IF($B184="","",ROUND(SUMIFS(次果筐明细!$J$4:$J$603,次果筐明细!$C$4:$C$603,$B184,次果筐明细!$B$4:$B$603,"&gt;="&amp;$Z$1,次果筐明细!$B$4:$B$603,"&lt;="&amp;$Z$2),2))</f>
        <v/>
      </c>
      <c r="T184" s="63" t="str">
        <f>IF($B184="","",ROUND(SUMIFS(次果筐明细!$K$4:$K$603,次果筐明细!$C$4:$C$603,$B184,次果筐明细!$B$4:$B$603,"&gt;="&amp;$Z$1,次果筐明细!$B$4:$B$603,"&lt;="&amp;$Z$2),2))</f>
        <v/>
      </c>
      <c r="U184" s="30" t="str">
        <f t="shared" si="17"/>
        <v/>
      </c>
      <c r="V184" s="42"/>
    </row>
    <row r="185" spans="1:22">
      <c r="A185" s="24" t="str">
        <f t="shared" si="12"/>
        <v/>
      </c>
      <c r="B185" s="37" t="str">
        <f>IFERROR(INDEX(_自动清单!$AY$4:$AY$203,ROW()-3),"")</f>
        <v/>
      </c>
      <c r="C185" s="39" t="str">
        <f>IF(OR($B185="",_自动清单!$AS$4=""),"",SUMIFS(次果筐明细!$G$4:$G$603,次果筐明细!$C$4:$C$603,$B185,次果筐明细!$D$4:$D$603,_自动清单!$AS$4,次果筐明细!$F$4:$F$603,"*出库*",次果筐明细!$B$4:$B$603,"&gt;="&amp;$Z$1,次果筐明细!$B$4:$B$603,"&lt;="&amp;$Z$2))</f>
        <v/>
      </c>
      <c r="D185" s="39" t="str">
        <f>IF(OR($B185="",_自动清单!$AS$5=""),"",SUMIFS(次果筐明细!$G$4:$G$603,次果筐明细!$C$4:$C$603,$B185,次果筐明细!$D$4:$D$603,_自动清单!$AS$5,次果筐明细!$F$4:$F$603,"*出库*",次果筐明细!$B$4:$B$603,"&gt;="&amp;$Z$1,次果筐明细!$B$4:$B$603,"&lt;="&amp;$Z$2))</f>
        <v/>
      </c>
      <c r="E185" s="39" t="str">
        <f>IF(OR($B185="",_自动清单!$AS$6=""),"",SUMIFS(次果筐明细!$G$4:$G$603,次果筐明细!$C$4:$C$603,$B185,次果筐明细!$D$4:$D$603,_自动清单!$AS$6,次果筐明细!$F$4:$F$603,"*出库*",次果筐明细!$B$4:$B$603,"&gt;="&amp;$Z$1,次果筐明细!$B$4:$B$603,"&lt;="&amp;$Z$2))</f>
        <v/>
      </c>
      <c r="F185" s="39" t="str">
        <f>IF(OR($B185="",_自动清单!$AS$7=""),"",SUMIFS(次果筐明细!$G$4:$G$603,次果筐明细!$C$4:$C$603,$B185,次果筐明细!$D$4:$D$603,_自动清单!$AS$7,次果筐明细!$F$4:$F$603,"*出库*",次果筐明细!$B$4:$B$603,"&gt;="&amp;$Z$1,次果筐明细!$B$4:$B$603,"&lt;="&amp;$Z$2))</f>
        <v/>
      </c>
      <c r="G185" s="39" t="str">
        <f>IF($B185="","",SUMIFS(次果筐明细!$G$4:$G$603,次果筐明细!$C$4:$C$603,$B185,次果筐明细!$F$4:$F$603,"*出库*",次果筐明细!$B$4:$B$603,"&gt;="&amp;$Z$1,次果筐明细!$B$4:$B$603,"&lt;="&amp;$Z$2)-SUM($C185:$F185))</f>
        <v/>
      </c>
      <c r="H185" s="39" t="str">
        <f t="shared" si="13"/>
        <v/>
      </c>
      <c r="I185" s="39" t="str">
        <f>IF(OR($B185="",_自动清单!$AS$4=""),"",SUMIFS(次果筐明细!$G$4:$G$603,次果筐明细!$C$4:$C$603,$B185,次果筐明细!$D$4:$D$603,_自动清单!$AS$4,次果筐明细!$F$4:$F$603,"*入库*",次果筐明细!$B$4:$B$603,"&gt;="&amp;$Z$1,次果筐明细!$B$4:$B$603,"&lt;="&amp;$Z$2))</f>
        <v/>
      </c>
      <c r="J185" s="39" t="str">
        <f>IF(OR($B185="",_自动清单!$AS$5=""),"",SUMIFS(次果筐明细!$G$4:$G$603,次果筐明细!$C$4:$C$603,$B185,次果筐明细!$D$4:$D$603,_自动清单!$AS$5,次果筐明细!$F$4:$F$603,"*入库*",次果筐明细!$B$4:$B$603,"&gt;="&amp;$Z$1,次果筐明细!$B$4:$B$603,"&lt;="&amp;$Z$2))</f>
        <v/>
      </c>
      <c r="K185" s="39" t="str">
        <f>IF(OR($B185="",_自动清单!$AS$6=""),"",SUMIFS(次果筐明细!$G$4:$G$603,次果筐明细!$C$4:$C$603,$B185,次果筐明细!$D$4:$D$603,_自动清单!$AS$6,次果筐明细!$F$4:$F$603,"*入库*",次果筐明细!$B$4:$B$603,"&gt;="&amp;$Z$1,次果筐明细!$B$4:$B$603,"&lt;="&amp;$Z$2))</f>
        <v/>
      </c>
      <c r="L185" s="39" t="str">
        <f>IF(OR($B185="",_自动清单!$AS$7=""),"",SUMIFS(次果筐明细!$G$4:$G$603,次果筐明细!$C$4:$C$603,$B185,次果筐明细!$D$4:$D$603,_自动清单!$AS$7,次果筐明细!$F$4:$F$603,"*入库*",次果筐明细!$B$4:$B$603,"&gt;="&amp;$Z$1,次果筐明细!$B$4:$B$603,"&lt;="&amp;$Z$2))</f>
        <v/>
      </c>
      <c r="M185" s="62" t="str">
        <f>IF($B185="","",SUMIFS(次果筐明细!$G$4:$G$603,次果筐明细!$C$4:$C$603,$B185,次果筐明细!$F$4:$F$603,"*入库*",次果筐明细!$B$4:$B$603,"&gt;="&amp;$Z$1,次果筐明细!$B$4:$B$603,"&lt;="&amp;$Z$2)-SUM($I185:$L185))</f>
        <v/>
      </c>
      <c r="N185" s="62" t="str">
        <f t="shared" si="14"/>
        <v/>
      </c>
      <c r="O185" s="39" t="str">
        <f t="shared" si="15"/>
        <v/>
      </c>
      <c r="P185" s="30" t="str">
        <f>IF($B185="","",ROUND(SUMIFS(次果筐明细!$L$4:$L$603,次果筐明细!$C$4:$C$603,$B185,次果筐明细!$B$4:$B$603,"&gt;="&amp;$Z$1,次果筐明细!$B$4:$B$603,"&lt;="&amp;$Z$2),2))</f>
        <v/>
      </c>
      <c r="Q185" s="30" t="str">
        <f>IF($B185="","",ROUND(SUMIFS(次果筐明细!$L$4:$L$603,次果筐明细!$C$4:$C$603,$B185,次果筐明细!$M$4:$M$603,"已收讫",次果筐明细!$B$4:$B$603,"&gt;="&amp;$Z$1,次果筐明细!$B$4:$B$603,"&lt;="&amp;$Z$2),2))</f>
        <v/>
      </c>
      <c r="R185" s="30" t="str">
        <f t="shared" si="16"/>
        <v/>
      </c>
      <c r="S185" s="30" t="str">
        <f>IF($B185="","",ROUND(SUMIFS(次果筐明细!$J$4:$J$603,次果筐明细!$C$4:$C$603,$B185,次果筐明细!$B$4:$B$603,"&gt;="&amp;$Z$1,次果筐明细!$B$4:$B$603,"&lt;="&amp;$Z$2),2))</f>
        <v/>
      </c>
      <c r="T185" s="63" t="str">
        <f>IF($B185="","",ROUND(SUMIFS(次果筐明细!$K$4:$K$603,次果筐明细!$C$4:$C$603,$B185,次果筐明细!$B$4:$B$603,"&gt;="&amp;$Z$1,次果筐明细!$B$4:$B$603,"&lt;="&amp;$Z$2),2))</f>
        <v/>
      </c>
      <c r="U185" s="30" t="str">
        <f t="shared" si="17"/>
        <v/>
      </c>
      <c r="V185" s="42"/>
    </row>
    <row r="186" spans="1:22">
      <c r="A186" s="24" t="str">
        <f t="shared" si="12"/>
        <v/>
      </c>
      <c r="B186" s="37" t="str">
        <f>IFERROR(INDEX(_自动清单!$AY$4:$AY$203,ROW()-3),"")</f>
        <v/>
      </c>
      <c r="C186" s="39" t="str">
        <f>IF(OR($B186="",_自动清单!$AS$4=""),"",SUMIFS(次果筐明细!$G$4:$G$603,次果筐明细!$C$4:$C$603,$B186,次果筐明细!$D$4:$D$603,_自动清单!$AS$4,次果筐明细!$F$4:$F$603,"*出库*",次果筐明细!$B$4:$B$603,"&gt;="&amp;$Z$1,次果筐明细!$B$4:$B$603,"&lt;="&amp;$Z$2))</f>
        <v/>
      </c>
      <c r="D186" s="39" t="str">
        <f>IF(OR($B186="",_自动清单!$AS$5=""),"",SUMIFS(次果筐明细!$G$4:$G$603,次果筐明细!$C$4:$C$603,$B186,次果筐明细!$D$4:$D$603,_自动清单!$AS$5,次果筐明细!$F$4:$F$603,"*出库*",次果筐明细!$B$4:$B$603,"&gt;="&amp;$Z$1,次果筐明细!$B$4:$B$603,"&lt;="&amp;$Z$2))</f>
        <v/>
      </c>
      <c r="E186" s="39" t="str">
        <f>IF(OR($B186="",_自动清单!$AS$6=""),"",SUMIFS(次果筐明细!$G$4:$G$603,次果筐明细!$C$4:$C$603,$B186,次果筐明细!$D$4:$D$603,_自动清单!$AS$6,次果筐明细!$F$4:$F$603,"*出库*",次果筐明细!$B$4:$B$603,"&gt;="&amp;$Z$1,次果筐明细!$B$4:$B$603,"&lt;="&amp;$Z$2))</f>
        <v/>
      </c>
      <c r="F186" s="39" t="str">
        <f>IF(OR($B186="",_自动清单!$AS$7=""),"",SUMIFS(次果筐明细!$G$4:$G$603,次果筐明细!$C$4:$C$603,$B186,次果筐明细!$D$4:$D$603,_自动清单!$AS$7,次果筐明细!$F$4:$F$603,"*出库*",次果筐明细!$B$4:$B$603,"&gt;="&amp;$Z$1,次果筐明细!$B$4:$B$603,"&lt;="&amp;$Z$2))</f>
        <v/>
      </c>
      <c r="G186" s="39" t="str">
        <f>IF($B186="","",SUMIFS(次果筐明细!$G$4:$G$603,次果筐明细!$C$4:$C$603,$B186,次果筐明细!$F$4:$F$603,"*出库*",次果筐明细!$B$4:$B$603,"&gt;="&amp;$Z$1,次果筐明细!$B$4:$B$603,"&lt;="&amp;$Z$2)-SUM($C186:$F186))</f>
        <v/>
      </c>
      <c r="H186" s="39" t="str">
        <f t="shared" si="13"/>
        <v/>
      </c>
      <c r="I186" s="39" t="str">
        <f>IF(OR($B186="",_自动清单!$AS$4=""),"",SUMIFS(次果筐明细!$G$4:$G$603,次果筐明细!$C$4:$C$603,$B186,次果筐明细!$D$4:$D$603,_自动清单!$AS$4,次果筐明细!$F$4:$F$603,"*入库*",次果筐明细!$B$4:$B$603,"&gt;="&amp;$Z$1,次果筐明细!$B$4:$B$603,"&lt;="&amp;$Z$2))</f>
        <v/>
      </c>
      <c r="J186" s="39" t="str">
        <f>IF(OR($B186="",_自动清单!$AS$5=""),"",SUMIFS(次果筐明细!$G$4:$G$603,次果筐明细!$C$4:$C$603,$B186,次果筐明细!$D$4:$D$603,_自动清单!$AS$5,次果筐明细!$F$4:$F$603,"*入库*",次果筐明细!$B$4:$B$603,"&gt;="&amp;$Z$1,次果筐明细!$B$4:$B$603,"&lt;="&amp;$Z$2))</f>
        <v/>
      </c>
      <c r="K186" s="39" t="str">
        <f>IF(OR($B186="",_自动清单!$AS$6=""),"",SUMIFS(次果筐明细!$G$4:$G$603,次果筐明细!$C$4:$C$603,$B186,次果筐明细!$D$4:$D$603,_自动清单!$AS$6,次果筐明细!$F$4:$F$603,"*入库*",次果筐明细!$B$4:$B$603,"&gt;="&amp;$Z$1,次果筐明细!$B$4:$B$603,"&lt;="&amp;$Z$2))</f>
        <v/>
      </c>
      <c r="L186" s="39" t="str">
        <f>IF(OR($B186="",_自动清单!$AS$7=""),"",SUMIFS(次果筐明细!$G$4:$G$603,次果筐明细!$C$4:$C$603,$B186,次果筐明细!$D$4:$D$603,_自动清单!$AS$7,次果筐明细!$F$4:$F$603,"*入库*",次果筐明细!$B$4:$B$603,"&gt;="&amp;$Z$1,次果筐明细!$B$4:$B$603,"&lt;="&amp;$Z$2))</f>
        <v/>
      </c>
      <c r="M186" s="62" t="str">
        <f>IF($B186="","",SUMIFS(次果筐明细!$G$4:$G$603,次果筐明细!$C$4:$C$603,$B186,次果筐明细!$F$4:$F$603,"*入库*",次果筐明细!$B$4:$B$603,"&gt;="&amp;$Z$1,次果筐明细!$B$4:$B$603,"&lt;="&amp;$Z$2)-SUM($I186:$L186))</f>
        <v/>
      </c>
      <c r="N186" s="62" t="str">
        <f t="shared" si="14"/>
        <v/>
      </c>
      <c r="O186" s="39" t="str">
        <f t="shared" si="15"/>
        <v/>
      </c>
      <c r="P186" s="30" t="str">
        <f>IF($B186="","",ROUND(SUMIFS(次果筐明细!$L$4:$L$603,次果筐明细!$C$4:$C$603,$B186,次果筐明细!$B$4:$B$603,"&gt;="&amp;$Z$1,次果筐明细!$B$4:$B$603,"&lt;="&amp;$Z$2),2))</f>
        <v/>
      </c>
      <c r="Q186" s="30" t="str">
        <f>IF($B186="","",ROUND(SUMIFS(次果筐明细!$L$4:$L$603,次果筐明细!$C$4:$C$603,$B186,次果筐明细!$M$4:$M$603,"已收讫",次果筐明细!$B$4:$B$603,"&gt;="&amp;$Z$1,次果筐明细!$B$4:$B$603,"&lt;="&amp;$Z$2),2))</f>
        <v/>
      </c>
      <c r="R186" s="30" t="str">
        <f t="shared" si="16"/>
        <v/>
      </c>
      <c r="S186" s="30" t="str">
        <f>IF($B186="","",ROUND(SUMIFS(次果筐明细!$J$4:$J$603,次果筐明细!$C$4:$C$603,$B186,次果筐明细!$B$4:$B$603,"&gt;="&amp;$Z$1,次果筐明细!$B$4:$B$603,"&lt;="&amp;$Z$2),2))</f>
        <v/>
      </c>
      <c r="T186" s="63" t="str">
        <f>IF($B186="","",ROUND(SUMIFS(次果筐明细!$K$4:$K$603,次果筐明细!$C$4:$C$603,$B186,次果筐明细!$B$4:$B$603,"&gt;="&amp;$Z$1,次果筐明细!$B$4:$B$603,"&lt;="&amp;$Z$2),2))</f>
        <v/>
      </c>
      <c r="U186" s="30" t="str">
        <f t="shared" si="17"/>
        <v/>
      </c>
      <c r="V186" s="42"/>
    </row>
    <row r="187" spans="1:22">
      <c r="A187" s="24" t="str">
        <f t="shared" si="12"/>
        <v/>
      </c>
      <c r="B187" s="37" t="str">
        <f>IFERROR(INDEX(_自动清单!$AY$4:$AY$203,ROW()-3),"")</f>
        <v/>
      </c>
      <c r="C187" s="39" t="str">
        <f>IF(OR($B187="",_自动清单!$AS$4=""),"",SUMIFS(次果筐明细!$G$4:$G$603,次果筐明细!$C$4:$C$603,$B187,次果筐明细!$D$4:$D$603,_自动清单!$AS$4,次果筐明细!$F$4:$F$603,"*出库*",次果筐明细!$B$4:$B$603,"&gt;="&amp;$Z$1,次果筐明细!$B$4:$B$603,"&lt;="&amp;$Z$2))</f>
        <v/>
      </c>
      <c r="D187" s="39" t="str">
        <f>IF(OR($B187="",_自动清单!$AS$5=""),"",SUMIFS(次果筐明细!$G$4:$G$603,次果筐明细!$C$4:$C$603,$B187,次果筐明细!$D$4:$D$603,_自动清单!$AS$5,次果筐明细!$F$4:$F$603,"*出库*",次果筐明细!$B$4:$B$603,"&gt;="&amp;$Z$1,次果筐明细!$B$4:$B$603,"&lt;="&amp;$Z$2))</f>
        <v/>
      </c>
      <c r="E187" s="39" t="str">
        <f>IF(OR($B187="",_自动清单!$AS$6=""),"",SUMIFS(次果筐明细!$G$4:$G$603,次果筐明细!$C$4:$C$603,$B187,次果筐明细!$D$4:$D$603,_自动清单!$AS$6,次果筐明细!$F$4:$F$603,"*出库*",次果筐明细!$B$4:$B$603,"&gt;="&amp;$Z$1,次果筐明细!$B$4:$B$603,"&lt;="&amp;$Z$2))</f>
        <v/>
      </c>
      <c r="F187" s="39" t="str">
        <f>IF(OR($B187="",_自动清单!$AS$7=""),"",SUMIFS(次果筐明细!$G$4:$G$603,次果筐明细!$C$4:$C$603,$B187,次果筐明细!$D$4:$D$603,_自动清单!$AS$7,次果筐明细!$F$4:$F$603,"*出库*",次果筐明细!$B$4:$B$603,"&gt;="&amp;$Z$1,次果筐明细!$B$4:$B$603,"&lt;="&amp;$Z$2))</f>
        <v/>
      </c>
      <c r="G187" s="39" t="str">
        <f>IF($B187="","",SUMIFS(次果筐明细!$G$4:$G$603,次果筐明细!$C$4:$C$603,$B187,次果筐明细!$F$4:$F$603,"*出库*",次果筐明细!$B$4:$B$603,"&gt;="&amp;$Z$1,次果筐明细!$B$4:$B$603,"&lt;="&amp;$Z$2)-SUM($C187:$F187))</f>
        <v/>
      </c>
      <c r="H187" s="39" t="str">
        <f t="shared" si="13"/>
        <v/>
      </c>
      <c r="I187" s="39" t="str">
        <f>IF(OR($B187="",_自动清单!$AS$4=""),"",SUMIFS(次果筐明细!$G$4:$G$603,次果筐明细!$C$4:$C$603,$B187,次果筐明细!$D$4:$D$603,_自动清单!$AS$4,次果筐明细!$F$4:$F$603,"*入库*",次果筐明细!$B$4:$B$603,"&gt;="&amp;$Z$1,次果筐明细!$B$4:$B$603,"&lt;="&amp;$Z$2))</f>
        <v/>
      </c>
      <c r="J187" s="39" t="str">
        <f>IF(OR($B187="",_自动清单!$AS$5=""),"",SUMIFS(次果筐明细!$G$4:$G$603,次果筐明细!$C$4:$C$603,$B187,次果筐明细!$D$4:$D$603,_自动清单!$AS$5,次果筐明细!$F$4:$F$603,"*入库*",次果筐明细!$B$4:$B$603,"&gt;="&amp;$Z$1,次果筐明细!$B$4:$B$603,"&lt;="&amp;$Z$2))</f>
        <v/>
      </c>
      <c r="K187" s="39" t="str">
        <f>IF(OR($B187="",_自动清单!$AS$6=""),"",SUMIFS(次果筐明细!$G$4:$G$603,次果筐明细!$C$4:$C$603,$B187,次果筐明细!$D$4:$D$603,_自动清单!$AS$6,次果筐明细!$F$4:$F$603,"*入库*",次果筐明细!$B$4:$B$603,"&gt;="&amp;$Z$1,次果筐明细!$B$4:$B$603,"&lt;="&amp;$Z$2))</f>
        <v/>
      </c>
      <c r="L187" s="39" t="str">
        <f>IF(OR($B187="",_自动清单!$AS$7=""),"",SUMIFS(次果筐明细!$G$4:$G$603,次果筐明细!$C$4:$C$603,$B187,次果筐明细!$D$4:$D$603,_自动清单!$AS$7,次果筐明细!$F$4:$F$603,"*入库*",次果筐明细!$B$4:$B$603,"&gt;="&amp;$Z$1,次果筐明细!$B$4:$B$603,"&lt;="&amp;$Z$2))</f>
        <v/>
      </c>
      <c r="M187" s="62" t="str">
        <f>IF($B187="","",SUMIFS(次果筐明细!$G$4:$G$603,次果筐明细!$C$4:$C$603,$B187,次果筐明细!$F$4:$F$603,"*入库*",次果筐明细!$B$4:$B$603,"&gt;="&amp;$Z$1,次果筐明细!$B$4:$B$603,"&lt;="&amp;$Z$2)-SUM($I187:$L187))</f>
        <v/>
      </c>
      <c r="N187" s="62" t="str">
        <f t="shared" si="14"/>
        <v/>
      </c>
      <c r="O187" s="39" t="str">
        <f t="shared" si="15"/>
        <v/>
      </c>
      <c r="P187" s="30" t="str">
        <f>IF($B187="","",ROUND(SUMIFS(次果筐明细!$L$4:$L$603,次果筐明细!$C$4:$C$603,$B187,次果筐明细!$B$4:$B$603,"&gt;="&amp;$Z$1,次果筐明细!$B$4:$B$603,"&lt;="&amp;$Z$2),2))</f>
        <v/>
      </c>
      <c r="Q187" s="30" t="str">
        <f>IF($B187="","",ROUND(SUMIFS(次果筐明细!$L$4:$L$603,次果筐明细!$C$4:$C$603,$B187,次果筐明细!$M$4:$M$603,"已收讫",次果筐明细!$B$4:$B$603,"&gt;="&amp;$Z$1,次果筐明细!$B$4:$B$603,"&lt;="&amp;$Z$2),2))</f>
        <v/>
      </c>
      <c r="R187" s="30" t="str">
        <f t="shared" si="16"/>
        <v/>
      </c>
      <c r="S187" s="30" t="str">
        <f>IF($B187="","",ROUND(SUMIFS(次果筐明细!$J$4:$J$603,次果筐明细!$C$4:$C$603,$B187,次果筐明细!$B$4:$B$603,"&gt;="&amp;$Z$1,次果筐明细!$B$4:$B$603,"&lt;="&amp;$Z$2),2))</f>
        <v/>
      </c>
      <c r="T187" s="63" t="str">
        <f>IF($B187="","",ROUND(SUMIFS(次果筐明细!$K$4:$K$603,次果筐明细!$C$4:$C$603,$B187,次果筐明细!$B$4:$B$603,"&gt;="&amp;$Z$1,次果筐明细!$B$4:$B$603,"&lt;="&amp;$Z$2),2))</f>
        <v/>
      </c>
      <c r="U187" s="30" t="str">
        <f t="shared" si="17"/>
        <v/>
      </c>
      <c r="V187" s="42"/>
    </row>
    <row r="188" spans="1:22">
      <c r="A188" s="24" t="str">
        <f t="shared" si="12"/>
        <v/>
      </c>
      <c r="B188" s="37" t="str">
        <f>IFERROR(INDEX(_自动清单!$AY$4:$AY$203,ROW()-3),"")</f>
        <v/>
      </c>
      <c r="C188" s="39" t="str">
        <f>IF(OR($B188="",_自动清单!$AS$4=""),"",SUMIFS(次果筐明细!$G$4:$G$603,次果筐明细!$C$4:$C$603,$B188,次果筐明细!$D$4:$D$603,_自动清单!$AS$4,次果筐明细!$F$4:$F$603,"*出库*",次果筐明细!$B$4:$B$603,"&gt;="&amp;$Z$1,次果筐明细!$B$4:$B$603,"&lt;="&amp;$Z$2))</f>
        <v/>
      </c>
      <c r="D188" s="39" t="str">
        <f>IF(OR($B188="",_自动清单!$AS$5=""),"",SUMIFS(次果筐明细!$G$4:$G$603,次果筐明细!$C$4:$C$603,$B188,次果筐明细!$D$4:$D$603,_自动清单!$AS$5,次果筐明细!$F$4:$F$603,"*出库*",次果筐明细!$B$4:$B$603,"&gt;="&amp;$Z$1,次果筐明细!$B$4:$B$603,"&lt;="&amp;$Z$2))</f>
        <v/>
      </c>
      <c r="E188" s="39" t="str">
        <f>IF(OR($B188="",_自动清单!$AS$6=""),"",SUMIFS(次果筐明细!$G$4:$G$603,次果筐明细!$C$4:$C$603,$B188,次果筐明细!$D$4:$D$603,_自动清单!$AS$6,次果筐明细!$F$4:$F$603,"*出库*",次果筐明细!$B$4:$B$603,"&gt;="&amp;$Z$1,次果筐明细!$B$4:$B$603,"&lt;="&amp;$Z$2))</f>
        <v/>
      </c>
      <c r="F188" s="39" t="str">
        <f>IF(OR($B188="",_自动清单!$AS$7=""),"",SUMIFS(次果筐明细!$G$4:$G$603,次果筐明细!$C$4:$C$603,$B188,次果筐明细!$D$4:$D$603,_自动清单!$AS$7,次果筐明细!$F$4:$F$603,"*出库*",次果筐明细!$B$4:$B$603,"&gt;="&amp;$Z$1,次果筐明细!$B$4:$B$603,"&lt;="&amp;$Z$2))</f>
        <v/>
      </c>
      <c r="G188" s="39" t="str">
        <f>IF($B188="","",SUMIFS(次果筐明细!$G$4:$G$603,次果筐明细!$C$4:$C$603,$B188,次果筐明细!$F$4:$F$603,"*出库*",次果筐明细!$B$4:$B$603,"&gt;="&amp;$Z$1,次果筐明细!$B$4:$B$603,"&lt;="&amp;$Z$2)-SUM($C188:$F188))</f>
        <v/>
      </c>
      <c r="H188" s="39" t="str">
        <f t="shared" si="13"/>
        <v/>
      </c>
      <c r="I188" s="39" t="str">
        <f>IF(OR($B188="",_自动清单!$AS$4=""),"",SUMIFS(次果筐明细!$G$4:$G$603,次果筐明细!$C$4:$C$603,$B188,次果筐明细!$D$4:$D$603,_自动清单!$AS$4,次果筐明细!$F$4:$F$603,"*入库*",次果筐明细!$B$4:$B$603,"&gt;="&amp;$Z$1,次果筐明细!$B$4:$B$603,"&lt;="&amp;$Z$2))</f>
        <v/>
      </c>
      <c r="J188" s="39" t="str">
        <f>IF(OR($B188="",_自动清单!$AS$5=""),"",SUMIFS(次果筐明细!$G$4:$G$603,次果筐明细!$C$4:$C$603,$B188,次果筐明细!$D$4:$D$603,_自动清单!$AS$5,次果筐明细!$F$4:$F$603,"*入库*",次果筐明细!$B$4:$B$603,"&gt;="&amp;$Z$1,次果筐明细!$B$4:$B$603,"&lt;="&amp;$Z$2))</f>
        <v/>
      </c>
      <c r="K188" s="39" t="str">
        <f>IF(OR($B188="",_自动清单!$AS$6=""),"",SUMIFS(次果筐明细!$G$4:$G$603,次果筐明细!$C$4:$C$603,$B188,次果筐明细!$D$4:$D$603,_自动清单!$AS$6,次果筐明细!$F$4:$F$603,"*入库*",次果筐明细!$B$4:$B$603,"&gt;="&amp;$Z$1,次果筐明细!$B$4:$B$603,"&lt;="&amp;$Z$2))</f>
        <v/>
      </c>
      <c r="L188" s="39" t="str">
        <f>IF(OR($B188="",_自动清单!$AS$7=""),"",SUMIFS(次果筐明细!$G$4:$G$603,次果筐明细!$C$4:$C$603,$B188,次果筐明细!$D$4:$D$603,_自动清单!$AS$7,次果筐明细!$F$4:$F$603,"*入库*",次果筐明细!$B$4:$B$603,"&gt;="&amp;$Z$1,次果筐明细!$B$4:$B$603,"&lt;="&amp;$Z$2))</f>
        <v/>
      </c>
      <c r="M188" s="62" t="str">
        <f>IF($B188="","",SUMIFS(次果筐明细!$G$4:$G$603,次果筐明细!$C$4:$C$603,$B188,次果筐明细!$F$4:$F$603,"*入库*",次果筐明细!$B$4:$B$603,"&gt;="&amp;$Z$1,次果筐明细!$B$4:$B$603,"&lt;="&amp;$Z$2)-SUM($I188:$L188))</f>
        <v/>
      </c>
      <c r="N188" s="62" t="str">
        <f t="shared" si="14"/>
        <v/>
      </c>
      <c r="O188" s="39" t="str">
        <f t="shared" si="15"/>
        <v/>
      </c>
      <c r="P188" s="30" t="str">
        <f>IF($B188="","",ROUND(SUMIFS(次果筐明细!$L$4:$L$603,次果筐明细!$C$4:$C$603,$B188,次果筐明细!$B$4:$B$603,"&gt;="&amp;$Z$1,次果筐明细!$B$4:$B$603,"&lt;="&amp;$Z$2),2))</f>
        <v/>
      </c>
      <c r="Q188" s="30" t="str">
        <f>IF($B188="","",ROUND(SUMIFS(次果筐明细!$L$4:$L$603,次果筐明细!$C$4:$C$603,$B188,次果筐明细!$M$4:$M$603,"已收讫",次果筐明细!$B$4:$B$603,"&gt;="&amp;$Z$1,次果筐明细!$B$4:$B$603,"&lt;="&amp;$Z$2),2))</f>
        <v/>
      </c>
      <c r="R188" s="30" t="str">
        <f t="shared" si="16"/>
        <v/>
      </c>
      <c r="S188" s="30" t="str">
        <f>IF($B188="","",ROUND(SUMIFS(次果筐明细!$J$4:$J$603,次果筐明细!$C$4:$C$603,$B188,次果筐明细!$B$4:$B$603,"&gt;="&amp;$Z$1,次果筐明细!$B$4:$B$603,"&lt;="&amp;$Z$2),2))</f>
        <v/>
      </c>
      <c r="T188" s="63" t="str">
        <f>IF($B188="","",ROUND(SUMIFS(次果筐明细!$K$4:$K$603,次果筐明细!$C$4:$C$603,$B188,次果筐明细!$B$4:$B$603,"&gt;="&amp;$Z$1,次果筐明细!$B$4:$B$603,"&lt;="&amp;$Z$2),2))</f>
        <v/>
      </c>
      <c r="U188" s="30" t="str">
        <f t="shared" si="17"/>
        <v/>
      </c>
      <c r="V188" s="42"/>
    </row>
    <row r="189" spans="1:22">
      <c r="A189" s="24" t="str">
        <f t="shared" si="12"/>
        <v/>
      </c>
      <c r="B189" s="37" t="str">
        <f>IFERROR(INDEX(_自动清单!$AY$4:$AY$203,ROW()-3),"")</f>
        <v/>
      </c>
      <c r="C189" s="39" t="str">
        <f>IF(OR($B189="",_自动清单!$AS$4=""),"",SUMIFS(次果筐明细!$G$4:$G$603,次果筐明细!$C$4:$C$603,$B189,次果筐明细!$D$4:$D$603,_自动清单!$AS$4,次果筐明细!$F$4:$F$603,"*出库*",次果筐明细!$B$4:$B$603,"&gt;="&amp;$Z$1,次果筐明细!$B$4:$B$603,"&lt;="&amp;$Z$2))</f>
        <v/>
      </c>
      <c r="D189" s="39" t="str">
        <f>IF(OR($B189="",_自动清单!$AS$5=""),"",SUMIFS(次果筐明细!$G$4:$G$603,次果筐明细!$C$4:$C$603,$B189,次果筐明细!$D$4:$D$603,_自动清单!$AS$5,次果筐明细!$F$4:$F$603,"*出库*",次果筐明细!$B$4:$B$603,"&gt;="&amp;$Z$1,次果筐明细!$B$4:$B$603,"&lt;="&amp;$Z$2))</f>
        <v/>
      </c>
      <c r="E189" s="39" t="str">
        <f>IF(OR($B189="",_自动清单!$AS$6=""),"",SUMIFS(次果筐明细!$G$4:$G$603,次果筐明细!$C$4:$C$603,$B189,次果筐明细!$D$4:$D$603,_自动清单!$AS$6,次果筐明细!$F$4:$F$603,"*出库*",次果筐明细!$B$4:$B$603,"&gt;="&amp;$Z$1,次果筐明细!$B$4:$B$603,"&lt;="&amp;$Z$2))</f>
        <v/>
      </c>
      <c r="F189" s="39" t="str">
        <f>IF(OR($B189="",_自动清单!$AS$7=""),"",SUMIFS(次果筐明细!$G$4:$G$603,次果筐明细!$C$4:$C$603,$B189,次果筐明细!$D$4:$D$603,_自动清单!$AS$7,次果筐明细!$F$4:$F$603,"*出库*",次果筐明细!$B$4:$B$603,"&gt;="&amp;$Z$1,次果筐明细!$B$4:$B$603,"&lt;="&amp;$Z$2))</f>
        <v/>
      </c>
      <c r="G189" s="39" t="str">
        <f>IF($B189="","",SUMIFS(次果筐明细!$G$4:$G$603,次果筐明细!$C$4:$C$603,$B189,次果筐明细!$F$4:$F$603,"*出库*",次果筐明细!$B$4:$B$603,"&gt;="&amp;$Z$1,次果筐明细!$B$4:$B$603,"&lt;="&amp;$Z$2)-SUM($C189:$F189))</f>
        <v/>
      </c>
      <c r="H189" s="39" t="str">
        <f t="shared" si="13"/>
        <v/>
      </c>
      <c r="I189" s="39" t="str">
        <f>IF(OR($B189="",_自动清单!$AS$4=""),"",SUMIFS(次果筐明细!$G$4:$G$603,次果筐明细!$C$4:$C$603,$B189,次果筐明细!$D$4:$D$603,_自动清单!$AS$4,次果筐明细!$F$4:$F$603,"*入库*",次果筐明细!$B$4:$B$603,"&gt;="&amp;$Z$1,次果筐明细!$B$4:$B$603,"&lt;="&amp;$Z$2))</f>
        <v/>
      </c>
      <c r="J189" s="39" t="str">
        <f>IF(OR($B189="",_自动清单!$AS$5=""),"",SUMIFS(次果筐明细!$G$4:$G$603,次果筐明细!$C$4:$C$603,$B189,次果筐明细!$D$4:$D$603,_自动清单!$AS$5,次果筐明细!$F$4:$F$603,"*入库*",次果筐明细!$B$4:$B$603,"&gt;="&amp;$Z$1,次果筐明细!$B$4:$B$603,"&lt;="&amp;$Z$2))</f>
        <v/>
      </c>
      <c r="K189" s="39" t="str">
        <f>IF(OR($B189="",_自动清单!$AS$6=""),"",SUMIFS(次果筐明细!$G$4:$G$603,次果筐明细!$C$4:$C$603,$B189,次果筐明细!$D$4:$D$603,_自动清单!$AS$6,次果筐明细!$F$4:$F$603,"*入库*",次果筐明细!$B$4:$B$603,"&gt;="&amp;$Z$1,次果筐明细!$B$4:$B$603,"&lt;="&amp;$Z$2))</f>
        <v/>
      </c>
      <c r="L189" s="39" t="str">
        <f>IF(OR($B189="",_自动清单!$AS$7=""),"",SUMIFS(次果筐明细!$G$4:$G$603,次果筐明细!$C$4:$C$603,$B189,次果筐明细!$D$4:$D$603,_自动清单!$AS$7,次果筐明细!$F$4:$F$603,"*入库*",次果筐明细!$B$4:$B$603,"&gt;="&amp;$Z$1,次果筐明细!$B$4:$B$603,"&lt;="&amp;$Z$2))</f>
        <v/>
      </c>
      <c r="M189" s="62" t="str">
        <f>IF($B189="","",SUMIFS(次果筐明细!$G$4:$G$603,次果筐明细!$C$4:$C$603,$B189,次果筐明细!$F$4:$F$603,"*入库*",次果筐明细!$B$4:$B$603,"&gt;="&amp;$Z$1,次果筐明细!$B$4:$B$603,"&lt;="&amp;$Z$2)-SUM($I189:$L189))</f>
        <v/>
      </c>
      <c r="N189" s="62" t="str">
        <f t="shared" si="14"/>
        <v/>
      </c>
      <c r="O189" s="39" t="str">
        <f t="shared" si="15"/>
        <v/>
      </c>
      <c r="P189" s="30" t="str">
        <f>IF($B189="","",ROUND(SUMIFS(次果筐明细!$L$4:$L$603,次果筐明细!$C$4:$C$603,$B189,次果筐明细!$B$4:$B$603,"&gt;="&amp;$Z$1,次果筐明细!$B$4:$B$603,"&lt;="&amp;$Z$2),2))</f>
        <v/>
      </c>
      <c r="Q189" s="30" t="str">
        <f>IF($B189="","",ROUND(SUMIFS(次果筐明细!$L$4:$L$603,次果筐明细!$C$4:$C$603,$B189,次果筐明细!$M$4:$M$603,"已收讫",次果筐明细!$B$4:$B$603,"&gt;="&amp;$Z$1,次果筐明细!$B$4:$B$603,"&lt;="&amp;$Z$2),2))</f>
        <v/>
      </c>
      <c r="R189" s="30" t="str">
        <f t="shared" si="16"/>
        <v/>
      </c>
      <c r="S189" s="30" t="str">
        <f>IF($B189="","",ROUND(SUMIFS(次果筐明细!$J$4:$J$603,次果筐明细!$C$4:$C$603,$B189,次果筐明细!$B$4:$B$603,"&gt;="&amp;$Z$1,次果筐明细!$B$4:$B$603,"&lt;="&amp;$Z$2),2))</f>
        <v/>
      </c>
      <c r="T189" s="63" t="str">
        <f>IF($B189="","",ROUND(SUMIFS(次果筐明细!$K$4:$K$603,次果筐明细!$C$4:$C$603,$B189,次果筐明细!$B$4:$B$603,"&gt;="&amp;$Z$1,次果筐明细!$B$4:$B$603,"&lt;="&amp;$Z$2),2))</f>
        <v/>
      </c>
      <c r="U189" s="30" t="str">
        <f t="shared" si="17"/>
        <v/>
      </c>
      <c r="V189" s="42"/>
    </row>
    <row r="190" spans="1:22">
      <c r="A190" s="24" t="str">
        <f t="shared" si="12"/>
        <v/>
      </c>
      <c r="B190" s="37" t="str">
        <f>IFERROR(INDEX(_自动清单!$AY$4:$AY$203,ROW()-3),"")</f>
        <v/>
      </c>
      <c r="C190" s="39" t="str">
        <f>IF(OR($B190="",_自动清单!$AS$4=""),"",SUMIFS(次果筐明细!$G$4:$G$603,次果筐明细!$C$4:$C$603,$B190,次果筐明细!$D$4:$D$603,_自动清单!$AS$4,次果筐明细!$F$4:$F$603,"*出库*",次果筐明细!$B$4:$B$603,"&gt;="&amp;$Z$1,次果筐明细!$B$4:$B$603,"&lt;="&amp;$Z$2))</f>
        <v/>
      </c>
      <c r="D190" s="39" t="str">
        <f>IF(OR($B190="",_自动清单!$AS$5=""),"",SUMIFS(次果筐明细!$G$4:$G$603,次果筐明细!$C$4:$C$603,$B190,次果筐明细!$D$4:$D$603,_自动清单!$AS$5,次果筐明细!$F$4:$F$603,"*出库*",次果筐明细!$B$4:$B$603,"&gt;="&amp;$Z$1,次果筐明细!$B$4:$B$603,"&lt;="&amp;$Z$2))</f>
        <v/>
      </c>
      <c r="E190" s="39" t="str">
        <f>IF(OR($B190="",_自动清单!$AS$6=""),"",SUMIFS(次果筐明细!$G$4:$G$603,次果筐明细!$C$4:$C$603,$B190,次果筐明细!$D$4:$D$603,_自动清单!$AS$6,次果筐明细!$F$4:$F$603,"*出库*",次果筐明细!$B$4:$B$603,"&gt;="&amp;$Z$1,次果筐明细!$B$4:$B$603,"&lt;="&amp;$Z$2))</f>
        <v/>
      </c>
      <c r="F190" s="39" t="str">
        <f>IF(OR($B190="",_自动清单!$AS$7=""),"",SUMIFS(次果筐明细!$G$4:$G$603,次果筐明细!$C$4:$C$603,$B190,次果筐明细!$D$4:$D$603,_自动清单!$AS$7,次果筐明细!$F$4:$F$603,"*出库*",次果筐明细!$B$4:$B$603,"&gt;="&amp;$Z$1,次果筐明细!$B$4:$B$603,"&lt;="&amp;$Z$2))</f>
        <v/>
      </c>
      <c r="G190" s="39" t="str">
        <f>IF($B190="","",SUMIFS(次果筐明细!$G$4:$G$603,次果筐明细!$C$4:$C$603,$B190,次果筐明细!$F$4:$F$603,"*出库*",次果筐明细!$B$4:$B$603,"&gt;="&amp;$Z$1,次果筐明细!$B$4:$B$603,"&lt;="&amp;$Z$2)-SUM($C190:$F190))</f>
        <v/>
      </c>
      <c r="H190" s="39" t="str">
        <f t="shared" si="13"/>
        <v/>
      </c>
      <c r="I190" s="39" t="str">
        <f>IF(OR($B190="",_自动清单!$AS$4=""),"",SUMIFS(次果筐明细!$G$4:$G$603,次果筐明细!$C$4:$C$603,$B190,次果筐明细!$D$4:$D$603,_自动清单!$AS$4,次果筐明细!$F$4:$F$603,"*入库*",次果筐明细!$B$4:$B$603,"&gt;="&amp;$Z$1,次果筐明细!$B$4:$B$603,"&lt;="&amp;$Z$2))</f>
        <v/>
      </c>
      <c r="J190" s="39" t="str">
        <f>IF(OR($B190="",_自动清单!$AS$5=""),"",SUMIFS(次果筐明细!$G$4:$G$603,次果筐明细!$C$4:$C$603,$B190,次果筐明细!$D$4:$D$603,_自动清单!$AS$5,次果筐明细!$F$4:$F$603,"*入库*",次果筐明细!$B$4:$B$603,"&gt;="&amp;$Z$1,次果筐明细!$B$4:$B$603,"&lt;="&amp;$Z$2))</f>
        <v/>
      </c>
      <c r="K190" s="39" t="str">
        <f>IF(OR($B190="",_自动清单!$AS$6=""),"",SUMIFS(次果筐明细!$G$4:$G$603,次果筐明细!$C$4:$C$603,$B190,次果筐明细!$D$4:$D$603,_自动清单!$AS$6,次果筐明细!$F$4:$F$603,"*入库*",次果筐明细!$B$4:$B$603,"&gt;="&amp;$Z$1,次果筐明细!$B$4:$B$603,"&lt;="&amp;$Z$2))</f>
        <v/>
      </c>
      <c r="L190" s="39" t="str">
        <f>IF(OR($B190="",_自动清单!$AS$7=""),"",SUMIFS(次果筐明细!$G$4:$G$603,次果筐明细!$C$4:$C$603,$B190,次果筐明细!$D$4:$D$603,_自动清单!$AS$7,次果筐明细!$F$4:$F$603,"*入库*",次果筐明细!$B$4:$B$603,"&gt;="&amp;$Z$1,次果筐明细!$B$4:$B$603,"&lt;="&amp;$Z$2))</f>
        <v/>
      </c>
      <c r="M190" s="62" t="str">
        <f>IF($B190="","",SUMIFS(次果筐明细!$G$4:$G$603,次果筐明细!$C$4:$C$603,$B190,次果筐明细!$F$4:$F$603,"*入库*",次果筐明细!$B$4:$B$603,"&gt;="&amp;$Z$1,次果筐明细!$B$4:$B$603,"&lt;="&amp;$Z$2)-SUM($I190:$L190))</f>
        <v/>
      </c>
      <c r="N190" s="62" t="str">
        <f t="shared" si="14"/>
        <v/>
      </c>
      <c r="O190" s="39" t="str">
        <f t="shared" si="15"/>
        <v/>
      </c>
      <c r="P190" s="30" t="str">
        <f>IF($B190="","",ROUND(SUMIFS(次果筐明细!$L$4:$L$603,次果筐明细!$C$4:$C$603,$B190,次果筐明细!$B$4:$B$603,"&gt;="&amp;$Z$1,次果筐明细!$B$4:$B$603,"&lt;="&amp;$Z$2),2))</f>
        <v/>
      </c>
      <c r="Q190" s="30" t="str">
        <f>IF($B190="","",ROUND(SUMIFS(次果筐明细!$L$4:$L$603,次果筐明细!$C$4:$C$603,$B190,次果筐明细!$M$4:$M$603,"已收讫",次果筐明细!$B$4:$B$603,"&gt;="&amp;$Z$1,次果筐明细!$B$4:$B$603,"&lt;="&amp;$Z$2),2))</f>
        <v/>
      </c>
      <c r="R190" s="30" t="str">
        <f t="shared" si="16"/>
        <v/>
      </c>
      <c r="S190" s="30" t="str">
        <f>IF($B190="","",ROUND(SUMIFS(次果筐明细!$J$4:$J$603,次果筐明细!$C$4:$C$603,$B190,次果筐明细!$B$4:$B$603,"&gt;="&amp;$Z$1,次果筐明细!$B$4:$B$603,"&lt;="&amp;$Z$2),2))</f>
        <v/>
      </c>
      <c r="T190" s="63" t="str">
        <f>IF($B190="","",ROUND(SUMIFS(次果筐明细!$K$4:$K$603,次果筐明细!$C$4:$C$603,$B190,次果筐明细!$B$4:$B$603,"&gt;="&amp;$Z$1,次果筐明细!$B$4:$B$603,"&lt;="&amp;$Z$2),2))</f>
        <v/>
      </c>
      <c r="U190" s="30" t="str">
        <f t="shared" si="17"/>
        <v/>
      </c>
      <c r="V190" s="42"/>
    </row>
    <row r="191" spans="1:22">
      <c r="A191" s="24" t="str">
        <f t="shared" si="12"/>
        <v/>
      </c>
      <c r="B191" s="37" t="str">
        <f>IFERROR(INDEX(_自动清单!$AY$4:$AY$203,ROW()-3),"")</f>
        <v/>
      </c>
      <c r="C191" s="39" t="str">
        <f>IF(OR($B191="",_自动清单!$AS$4=""),"",SUMIFS(次果筐明细!$G$4:$G$603,次果筐明细!$C$4:$C$603,$B191,次果筐明细!$D$4:$D$603,_自动清单!$AS$4,次果筐明细!$F$4:$F$603,"*出库*",次果筐明细!$B$4:$B$603,"&gt;="&amp;$Z$1,次果筐明细!$B$4:$B$603,"&lt;="&amp;$Z$2))</f>
        <v/>
      </c>
      <c r="D191" s="39" t="str">
        <f>IF(OR($B191="",_自动清单!$AS$5=""),"",SUMIFS(次果筐明细!$G$4:$G$603,次果筐明细!$C$4:$C$603,$B191,次果筐明细!$D$4:$D$603,_自动清单!$AS$5,次果筐明细!$F$4:$F$603,"*出库*",次果筐明细!$B$4:$B$603,"&gt;="&amp;$Z$1,次果筐明细!$B$4:$B$603,"&lt;="&amp;$Z$2))</f>
        <v/>
      </c>
      <c r="E191" s="39" t="str">
        <f>IF(OR($B191="",_自动清单!$AS$6=""),"",SUMIFS(次果筐明细!$G$4:$G$603,次果筐明细!$C$4:$C$603,$B191,次果筐明细!$D$4:$D$603,_自动清单!$AS$6,次果筐明细!$F$4:$F$603,"*出库*",次果筐明细!$B$4:$B$603,"&gt;="&amp;$Z$1,次果筐明细!$B$4:$B$603,"&lt;="&amp;$Z$2))</f>
        <v/>
      </c>
      <c r="F191" s="39" t="str">
        <f>IF(OR($B191="",_自动清单!$AS$7=""),"",SUMIFS(次果筐明细!$G$4:$G$603,次果筐明细!$C$4:$C$603,$B191,次果筐明细!$D$4:$D$603,_自动清单!$AS$7,次果筐明细!$F$4:$F$603,"*出库*",次果筐明细!$B$4:$B$603,"&gt;="&amp;$Z$1,次果筐明细!$B$4:$B$603,"&lt;="&amp;$Z$2))</f>
        <v/>
      </c>
      <c r="G191" s="39" t="str">
        <f>IF($B191="","",SUMIFS(次果筐明细!$G$4:$G$603,次果筐明细!$C$4:$C$603,$B191,次果筐明细!$F$4:$F$603,"*出库*",次果筐明细!$B$4:$B$603,"&gt;="&amp;$Z$1,次果筐明细!$B$4:$B$603,"&lt;="&amp;$Z$2)-SUM($C191:$F191))</f>
        <v/>
      </c>
      <c r="H191" s="39" t="str">
        <f t="shared" si="13"/>
        <v/>
      </c>
      <c r="I191" s="39" t="str">
        <f>IF(OR($B191="",_自动清单!$AS$4=""),"",SUMIFS(次果筐明细!$G$4:$G$603,次果筐明细!$C$4:$C$603,$B191,次果筐明细!$D$4:$D$603,_自动清单!$AS$4,次果筐明细!$F$4:$F$603,"*入库*",次果筐明细!$B$4:$B$603,"&gt;="&amp;$Z$1,次果筐明细!$B$4:$B$603,"&lt;="&amp;$Z$2))</f>
        <v/>
      </c>
      <c r="J191" s="39" t="str">
        <f>IF(OR($B191="",_自动清单!$AS$5=""),"",SUMIFS(次果筐明细!$G$4:$G$603,次果筐明细!$C$4:$C$603,$B191,次果筐明细!$D$4:$D$603,_自动清单!$AS$5,次果筐明细!$F$4:$F$603,"*入库*",次果筐明细!$B$4:$B$603,"&gt;="&amp;$Z$1,次果筐明细!$B$4:$B$603,"&lt;="&amp;$Z$2))</f>
        <v/>
      </c>
      <c r="K191" s="39" t="str">
        <f>IF(OR($B191="",_自动清单!$AS$6=""),"",SUMIFS(次果筐明细!$G$4:$G$603,次果筐明细!$C$4:$C$603,$B191,次果筐明细!$D$4:$D$603,_自动清单!$AS$6,次果筐明细!$F$4:$F$603,"*入库*",次果筐明细!$B$4:$B$603,"&gt;="&amp;$Z$1,次果筐明细!$B$4:$B$603,"&lt;="&amp;$Z$2))</f>
        <v/>
      </c>
      <c r="L191" s="39" t="str">
        <f>IF(OR($B191="",_自动清单!$AS$7=""),"",SUMIFS(次果筐明细!$G$4:$G$603,次果筐明细!$C$4:$C$603,$B191,次果筐明细!$D$4:$D$603,_自动清单!$AS$7,次果筐明细!$F$4:$F$603,"*入库*",次果筐明细!$B$4:$B$603,"&gt;="&amp;$Z$1,次果筐明细!$B$4:$B$603,"&lt;="&amp;$Z$2))</f>
        <v/>
      </c>
      <c r="M191" s="62" t="str">
        <f>IF($B191="","",SUMIFS(次果筐明细!$G$4:$G$603,次果筐明细!$C$4:$C$603,$B191,次果筐明细!$F$4:$F$603,"*入库*",次果筐明细!$B$4:$B$603,"&gt;="&amp;$Z$1,次果筐明细!$B$4:$B$603,"&lt;="&amp;$Z$2)-SUM($I191:$L191))</f>
        <v/>
      </c>
      <c r="N191" s="62" t="str">
        <f t="shared" si="14"/>
        <v/>
      </c>
      <c r="O191" s="39" t="str">
        <f t="shared" si="15"/>
        <v/>
      </c>
      <c r="P191" s="30" t="str">
        <f>IF($B191="","",ROUND(SUMIFS(次果筐明细!$L$4:$L$603,次果筐明细!$C$4:$C$603,$B191,次果筐明细!$B$4:$B$603,"&gt;="&amp;$Z$1,次果筐明细!$B$4:$B$603,"&lt;="&amp;$Z$2),2))</f>
        <v/>
      </c>
      <c r="Q191" s="30" t="str">
        <f>IF($B191="","",ROUND(SUMIFS(次果筐明细!$L$4:$L$603,次果筐明细!$C$4:$C$603,$B191,次果筐明细!$M$4:$M$603,"已收讫",次果筐明细!$B$4:$B$603,"&gt;="&amp;$Z$1,次果筐明细!$B$4:$B$603,"&lt;="&amp;$Z$2),2))</f>
        <v/>
      </c>
      <c r="R191" s="30" t="str">
        <f t="shared" si="16"/>
        <v/>
      </c>
      <c r="S191" s="30" t="str">
        <f>IF($B191="","",ROUND(SUMIFS(次果筐明细!$J$4:$J$603,次果筐明细!$C$4:$C$603,$B191,次果筐明细!$B$4:$B$603,"&gt;="&amp;$Z$1,次果筐明细!$B$4:$B$603,"&lt;="&amp;$Z$2),2))</f>
        <v/>
      </c>
      <c r="T191" s="63" t="str">
        <f>IF($B191="","",ROUND(SUMIFS(次果筐明细!$K$4:$K$603,次果筐明细!$C$4:$C$603,$B191,次果筐明细!$B$4:$B$603,"&gt;="&amp;$Z$1,次果筐明细!$B$4:$B$603,"&lt;="&amp;$Z$2),2))</f>
        <v/>
      </c>
      <c r="U191" s="30" t="str">
        <f t="shared" si="17"/>
        <v/>
      </c>
      <c r="V191" s="42"/>
    </row>
    <row r="192" spans="1:22">
      <c r="A192" s="24" t="str">
        <f t="shared" si="12"/>
        <v/>
      </c>
      <c r="B192" s="37" t="str">
        <f>IFERROR(INDEX(_自动清单!$AY$4:$AY$203,ROW()-3),"")</f>
        <v/>
      </c>
      <c r="C192" s="39" t="str">
        <f>IF(OR($B192="",_自动清单!$AS$4=""),"",SUMIFS(次果筐明细!$G$4:$G$603,次果筐明细!$C$4:$C$603,$B192,次果筐明细!$D$4:$D$603,_自动清单!$AS$4,次果筐明细!$F$4:$F$603,"*出库*",次果筐明细!$B$4:$B$603,"&gt;="&amp;$Z$1,次果筐明细!$B$4:$B$603,"&lt;="&amp;$Z$2))</f>
        <v/>
      </c>
      <c r="D192" s="39" t="str">
        <f>IF(OR($B192="",_自动清单!$AS$5=""),"",SUMIFS(次果筐明细!$G$4:$G$603,次果筐明细!$C$4:$C$603,$B192,次果筐明细!$D$4:$D$603,_自动清单!$AS$5,次果筐明细!$F$4:$F$603,"*出库*",次果筐明细!$B$4:$B$603,"&gt;="&amp;$Z$1,次果筐明细!$B$4:$B$603,"&lt;="&amp;$Z$2))</f>
        <v/>
      </c>
      <c r="E192" s="39" t="str">
        <f>IF(OR($B192="",_自动清单!$AS$6=""),"",SUMIFS(次果筐明细!$G$4:$G$603,次果筐明细!$C$4:$C$603,$B192,次果筐明细!$D$4:$D$603,_自动清单!$AS$6,次果筐明细!$F$4:$F$603,"*出库*",次果筐明细!$B$4:$B$603,"&gt;="&amp;$Z$1,次果筐明细!$B$4:$B$603,"&lt;="&amp;$Z$2))</f>
        <v/>
      </c>
      <c r="F192" s="39" t="str">
        <f>IF(OR($B192="",_自动清单!$AS$7=""),"",SUMIFS(次果筐明细!$G$4:$G$603,次果筐明细!$C$4:$C$603,$B192,次果筐明细!$D$4:$D$603,_自动清单!$AS$7,次果筐明细!$F$4:$F$603,"*出库*",次果筐明细!$B$4:$B$603,"&gt;="&amp;$Z$1,次果筐明细!$B$4:$B$603,"&lt;="&amp;$Z$2))</f>
        <v/>
      </c>
      <c r="G192" s="39" t="str">
        <f>IF($B192="","",SUMIFS(次果筐明细!$G$4:$G$603,次果筐明细!$C$4:$C$603,$B192,次果筐明细!$F$4:$F$603,"*出库*",次果筐明细!$B$4:$B$603,"&gt;="&amp;$Z$1,次果筐明细!$B$4:$B$603,"&lt;="&amp;$Z$2)-SUM($C192:$F192))</f>
        <v/>
      </c>
      <c r="H192" s="39" t="str">
        <f t="shared" si="13"/>
        <v/>
      </c>
      <c r="I192" s="39" t="str">
        <f>IF(OR($B192="",_自动清单!$AS$4=""),"",SUMIFS(次果筐明细!$G$4:$G$603,次果筐明细!$C$4:$C$603,$B192,次果筐明细!$D$4:$D$603,_自动清单!$AS$4,次果筐明细!$F$4:$F$603,"*入库*",次果筐明细!$B$4:$B$603,"&gt;="&amp;$Z$1,次果筐明细!$B$4:$B$603,"&lt;="&amp;$Z$2))</f>
        <v/>
      </c>
      <c r="J192" s="39" t="str">
        <f>IF(OR($B192="",_自动清单!$AS$5=""),"",SUMIFS(次果筐明细!$G$4:$G$603,次果筐明细!$C$4:$C$603,$B192,次果筐明细!$D$4:$D$603,_自动清单!$AS$5,次果筐明细!$F$4:$F$603,"*入库*",次果筐明细!$B$4:$B$603,"&gt;="&amp;$Z$1,次果筐明细!$B$4:$B$603,"&lt;="&amp;$Z$2))</f>
        <v/>
      </c>
      <c r="K192" s="39" t="str">
        <f>IF(OR($B192="",_自动清单!$AS$6=""),"",SUMIFS(次果筐明细!$G$4:$G$603,次果筐明细!$C$4:$C$603,$B192,次果筐明细!$D$4:$D$603,_自动清单!$AS$6,次果筐明细!$F$4:$F$603,"*入库*",次果筐明细!$B$4:$B$603,"&gt;="&amp;$Z$1,次果筐明细!$B$4:$B$603,"&lt;="&amp;$Z$2))</f>
        <v/>
      </c>
      <c r="L192" s="39" t="str">
        <f>IF(OR($B192="",_自动清单!$AS$7=""),"",SUMIFS(次果筐明细!$G$4:$G$603,次果筐明细!$C$4:$C$603,$B192,次果筐明细!$D$4:$D$603,_自动清单!$AS$7,次果筐明细!$F$4:$F$603,"*入库*",次果筐明细!$B$4:$B$603,"&gt;="&amp;$Z$1,次果筐明细!$B$4:$B$603,"&lt;="&amp;$Z$2))</f>
        <v/>
      </c>
      <c r="M192" s="62" t="str">
        <f>IF($B192="","",SUMIFS(次果筐明细!$G$4:$G$603,次果筐明细!$C$4:$C$603,$B192,次果筐明细!$F$4:$F$603,"*入库*",次果筐明细!$B$4:$B$603,"&gt;="&amp;$Z$1,次果筐明细!$B$4:$B$603,"&lt;="&amp;$Z$2)-SUM($I192:$L192))</f>
        <v/>
      </c>
      <c r="N192" s="62" t="str">
        <f t="shared" si="14"/>
        <v/>
      </c>
      <c r="O192" s="39" t="str">
        <f t="shared" si="15"/>
        <v/>
      </c>
      <c r="P192" s="30" t="str">
        <f>IF($B192="","",ROUND(SUMIFS(次果筐明细!$L$4:$L$603,次果筐明细!$C$4:$C$603,$B192,次果筐明细!$B$4:$B$603,"&gt;="&amp;$Z$1,次果筐明细!$B$4:$B$603,"&lt;="&amp;$Z$2),2))</f>
        <v/>
      </c>
      <c r="Q192" s="30" t="str">
        <f>IF($B192="","",ROUND(SUMIFS(次果筐明细!$L$4:$L$603,次果筐明细!$C$4:$C$603,$B192,次果筐明细!$M$4:$M$603,"已收讫",次果筐明细!$B$4:$B$603,"&gt;="&amp;$Z$1,次果筐明细!$B$4:$B$603,"&lt;="&amp;$Z$2),2))</f>
        <v/>
      </c>
      <c r="R192" s="30" t="str">
        <f t="shared" si="16"/>
        <v/>
      </c>
      <c r="S192" s="30" t="str">
        <f>IF($B192="","",ROUND(SUMIFS(次果筐明细!$J$4:$J$603,次果筐明细!$C$4:$C$603,$B192,次果筐明细!$B$4:$B$603,"&gt;="&amp;$Z$1,次果筐明细!$B$4:$B$603,"&lt;="&amp;$Z$2),2))</f>
        <v/>
      </c>
      <c r="T192" s="63" t="str">
        <f>IF($B192="","",ROUND(SUMIFS(次果筐明细!$K$4:$K$603,次果筐明细!$C$4:$C$603,$B192,次果筐明细!$B$4:$B$603,"&gt;="&amp;$Z$1,次果筐明细!$B$4:$B$603,"&lt;="&amp;$Z$2),2))</f>
        <v/>
      </c>
      <c r="U192" s="30" t="str">
        <f t="shared" si="17"/>
        <v/>
      </c>
      <c r="V192" s="42"/>
    </row>
    <row r="193" spans="1:22">
      <c r="A193" s="24" t="str">
        <f t="shared" si="12"/>
        <v/>
      </c>
      <c r="B193" s="37" t="str">
        <f>IFERROR(INDEX(_自动清单!$AY$4:$AY$203,ROW()-3),"")</f>
        <v/>
      </c>
      <c r="C193" s="39" t="str">
        <f>IF(OR($B193="",_自动清单!$AS$4=""),"",SUMIFS(次果筐明细!$G$4:$G$603,次果筐明细!$C$4:$C$603,$B193,次果筐明细!$D$4:$D$603,_自动清单!$AS$4,次果筐明细!$F$4:$F$603,"*出库*",次果筐明细!$B$4:$B$603,"&gt;="&amp;$Z$1,次果筐明细!$B$4:$B$603,"&lt;="&amp;$Z$2))</f>
        <v/>
      </c>
      <c r="D193" s="39" t="str">
        <f>IF(OR($B193="",_自动清单!$AS$5=""),"",SUMIFS(次果筐明细!$G$4:$G$603,次果筐明细!$C$4:$C$603,$B193,次果筐明细!$D$4:$D$603,_自动清单!$AS$5,次果筐明细!$F$4:$F$603,"*出库*",次果筐明细!$B$4:$B$603,"&gt;="&amp;$Z$1,次果筐明细!$B$4:$B$603,"&lt;="&amp;$Z$2))</f>
        <v/>
      </c>
      <c r="E193" s="39" t="str">
        <f>IF(OR($B193="",_自动清单!$AS$6=""),"",SUMIFS(次果筐明细!$G$4:$G$603,次果筐明细!$C$4:$C$603,$B193,次果筐明细!$D$4:$D$603,_自动清单!$AS$6,次果筐明细!$F$4:$F$603,"*出库*",次果筐明细!$B$4:$B$603,"&gt;="&amp;$Z$1,次果筐明细!$B$4:$B$603,"&lt;="&amp;$Z$2))</f>
        <v/>
      </c>
      <c r="F193" s="39" t="str">
        <f>IF(OR($B193="",_自动清单!$AS$7=""),"",SUMIFS(次果筐明细!$G$4:$G$603,次果筐明细!$C$4:$C$603,$B193,次果筐明细!$D$4:$D$603,_自动清单!$AS$7,次果筐明细!$F$4:$F$603,"*出库*",次果筐明细!$B$4:$B$603,"&gt;="&amp;$Z$1,次果筐明细!$B$4:$B$603,"&lt;="&amp;$Z$2))</f>
        <v/>
      </c>
      <c r="G193" s="39" t="str">
        <f>IF($B193="","",SUMIFS(次果筐明细!$G$4:$G$603,次果筐明细!$C$4:$C$603,$B193,次果筐明细!$F$4:$F$603,"*出库*",次果筐明细!$B$4:$B$603,"&gt;="&amp;$Z$1,次果筐明细!$B$4:$B$603,"&lt;="&amp;$Z$2)-SUM($C193:$F193))</f>
        <v/>
      </c>
      <c r="H193" s="39" t="str">
        <f t="shared" si="13"/>
        <v/>
      </c>
      <c r="I193" s="39" t="str">
        <f>IF(OR($B193="",_自动清单!$AS$4=""),"",SUMIFS(次果筐明细!$G$4:$G$603,次果筐明细!$C$4:$C$603,$B193,次果筐明细!$D$4:$D$603,_自动清单!$AS$4,次果筐明细!$F$4:$F$603,"*入库*",次果筐明细!$B$4:$B$603,"&gt;="&amp;$Z$1,次果筐明细!$B$4:$B$603,"&lt;="&amp;$Z$2))</f>
        <v/>
      </c>
      <c r="J193" s="39" t="str">
        <f>IF(OR($B193="",_自动清单!$AS$5=""),"",SUMIFS(次果筐明细!$G$4:$G$603,次果筐明细!$C$4:$C$603,$B193,次果筐明细!$D$4:$D$603,_自动清单!$AS$5,次果筐明细!$F$4:$F$603,"*入库*",次果筐明细!$B$4:$B$603,"&gt;="&amp;$Z$1,次果筐明细!$B$4:$B$603,"&lt;="&amp;$Z$2))</f>
        <v/>
      </c>
      <c r="K193" s="39" t="str">
        <f>IF(OR($B193="",_自动清单!$AS$6=""),"",SUMIFS(次果筐明细!$G$4:$G$603,次果筐明细!$C$4:$C$603,$B193,次果筐明细!$D$4:$D$603,_自动清单!$AS$6,次果筐明细!$F$4:$F$603,"*入库*",次果筐明细!$B$4:$B$603,"&gt;="&amp;$Z$1,次果筐明细!$B$4:$B$603,"&lt;="&amp;$Z$2))</f>
        <v/>
      </c>
      <c r="L193" s="39" t="str">
        <f>IF(OR($B193="",_自动清单!$AS$7=""),"",SUMIFS(次果筐明细!$G$4:$G$603,次果筐明细!$C$4:$C$603,$B193,次果筐明细!$D$4:$D$603,_自动清单!$AS$7,次果筐明细!$F$4:$F$603,"*入库*",次果筐明细!$B$4:$B$603,"&gt;="&amp;$Z$1,次果筐明细!$B$4:$B$603,"&lt;="&amp;$Z$2))</f>
        <v/>
      </c>
      <c r="M193" s="62" t="str">
        <f>IF($B193="","",SUMIFS(次果筐明细!$G$4:$G$603,次果筐明细!$C$4:$C$603,$B193,次果筐明细!$F$4:$F$603,"*入库*",次果筐明细!$B$4:$B$603,"&gt;="&amp;$Z$1,次果筐明细!$B$4:$B$603,"&lt;="&amp;$Z$2)-SUM($I193:$L193))</f>
        <v/>
      </c>
      <c r="N193" s="62" t="str">
        <f t="shared" si="14"/>
        <v/>
      </c>
      <c r="O193" s="39" t="str">
        <f t="shared" si="15"/>
        <v/>
      </c>
      <c r="P193" s="30" t="str">
        <f>IF($B193="","",ROUND(SUMIFS(次果筐明细!$L$4:$L$603,次果筐明细!$C$4:$C$603,$B193,次果筐明细!$B$4:$B$603,"&gt;="&amp;$Z$1,次果筐明细!$B$4:$B$603,"&lt;="&amp;$Z$2),2))</f>
        <v/>
      </c>
      <c r="Q193" s="30" t="str">
        <f>IF($B193="","",ROUND(SUMIFS(次果筐明细!$L$4:$L$603,次果筐明细!$C$4:$C$603,$B193,次果筐明细!$M$4:$M$603,"已收讫",次果筐明细!$B$4:$B$603,"&gt;="&amp;$Z$1,次果筐明细!$B$4:$B$603,"&lt;="&amp;$Z$2),2))</f>
        <v/>
      </c>
      <c r="R193" s="30" t="str">
        <f t="shared" si="16"/>
        <v/>
      </c>
      <c r="S193" s="30" t="str">
        <f>IF($B193="","",ROUND(SUMIFS(次果筐明细!$J$4:$J$603,次果筐明细!$C$4:$C$603,$B193,次果筐明细!$B$4:$B$603,"&gt;="&amp;$Z$1,次果筐明细!$B$4:$B$603,"&lt;="&amp;$Z$2),2))</f>
        <v/>
      </c>
      <c r="T193" s="63" t="str">
        <f>IF($B193="","",ROUND(SUMIFS(次果筐明细!$K$4:$K$603,次果筐明细!$C$4:$C$603,$B193,次果筐明细!$B$4:$B$603,"&gt;="&amp;$Z$1,次果筐明细!$B$4:$B$603,"&lt;="&amp;$Z$2),2))</f>
        <v/>
      </c>
      <c r="U193" s="30" t="str">
        <f t="shared" si="17"/>
        <v/>
      </c>
      <c r="V193" s="42"/>
    </row>
    <row r="194" spans="1:22">
      <c r="A194" s="24" t="str">
        <f t="shared" si="12"/>
        <v/>
      </c>
      <c r="B194" s="37" t="str">
        <f>IFERROR(INDEX(_自动清单!$AY$4:$AY$203,ROW()-3),"")</f>
        <v/>
      </c>
      <c r="C194" s="39" t="str">
        <f>IF(OR($B194="",_自动清单!$AS$4=""),"",SUMIFS(次果筐明细!$G$4:$G$603,次果筐明细!$C$4:$C$603,$B194,次果筐明细!$D$4:$D$603,_自动清单!$AS$4,次果筐明细!$F$4:$F$603,"*出库*",次果筐明细!$B$4:$B$603,"&gt;="&amp;$Z$1,次果筐明细!$B$4:$B$603,"&lt;="&amp;$Z$2))</f>
        <v/>
      </c>
      <c r="D194" s="39" t="str">
        <f>IF(OR($B194="",_自动清单!$AS$5=""),"",SUMIFS(次果筐明细!$G$4:$G$603,次果筐明细!$C$4:$C$603,$B194,次果筐明细!$D$4:$D$603,_自动清单!$AS$5,次果筐明细!$F$4:$F$603,"*出库*",次果筐明细!$B$4:$B$603,"&gt;="&amp;$Z$1,次果筐明细!$B$4:$B$603,"&lt;="&amp;$Z$2))</f>
        <v/>
      </c>
      <c r="E194" s="39" t="str">
        <f>IF(OR($B194="",_自动清单!$AS$6=""),"",SUMIFS(次果筐明细!$G$4:$G$603,次果筐明细!$C$4:$C$603,$B194,次果筐明细!$D$4:$D$603,_自动清单!$AS$6,次果筐明细!$F$4:$F$603,"*出库*",次果筐明细!$B$4:$B$603,"&gt;="&amp;$Z$1,次果筐明细!$B$4:$B$603,"&lt;="&amp;$Z$2))</f>
        <v/>
      </c>
      <c r="F194" s="39" t="str">
        <f>IF(OR($B194="",_自动清单!$AS$7=""),"",SUMIFS(次果筐明细!$G$4:$G$603,次果筐明细!$C$4:$C$603,$B194,次果筐明细!$D$4:$D$603,_自动清单!$AS$7,次果筐明细!$F$4:$F$603,"*出库*",次果筐明细!$B$4:$B$603,"&gt;="&amp;$Z$1,次果筐明细!$B$4:$B$603,"&lt;="&amp;$Z$2))</f>
        <v/>
      </c>
      <c r="G194" s="39" t="str">
        <f>IF($B194="","",SUMIFS(次果筐明细!$G$4:$G$603,次果筐明细!$C$4:$C$603,$B194,次果筐明细!$F$4:$F$603,"*出库*",次果筐明细!$B$4:$B$603,"&gt;="&amp;$Z$1,次果筐明细!$B$4:$B$603,"&lt;="&amp;$Z$2)-SUM($C194:$F194))</f>
        <v/>
      </c>
      <c r="H194" s="39" t="str">
        <f t="shared" si="13"/>
        <v/>
      </c>
      <c r="I194" s="39" t="str">
        <f>IF(OR($B194="",_自动清单!$AS$4=""),"",SUMIFS(次果筐明细!$G$4:$G$603,次果筐明细!$C$4:$C$603,$B194,次果筐明细!$D$4:$D$603,_自动清单!$AS$4,次果筐明细!$F$4:$F$603,"*入库*",次果筐明细!$B$4:$B$603,"&gt;="&amp;$Z$1,次果筐明细!$B$4:$B$603,"&lt;="&amp;$Z$2))</f>
        <v/>
      </c>
      <c r="J194" s="39" t="str">
        <f>IF(OR($B194="",_自动清单!$AS$5=""),"",SUMIFS(次果筐明细!$G$4:$G$603,次果筐明细!$C$4:$C$603,$B194,次果筐明细!$D$4:$D$603,_自动清单!$AS$5,次果筐明细!$F$4:$F$603,"*入库*",次果筐明细!$B$4:$B$603,"&gt;="&amp;$Z$1,次果筐明细!$B$4:$B$603,"&lt;="&amp;$Z$2))</f>
        <v/>
      </c>
      <c r="K194" s="39" t="str">
        <f>IF(OR($B194="",_自动清单!$AS$6=""),"",SUMIFS(次果筐明细!$G$4:$G$603,次果筐明细!$C$4:$C$603,$B194,次果筐明细!$D$4:$D$603,_自动清单!$AS$6,次果筐明细!$F$4:$F$603,"*入库*",次果筐明细!$B$4:$B$603,"&gt;="&amp;$Z$1,次果筐明细!$B$4:$B$603,"&lt;="&amp;$Z$2))</f>
        <v/>
      </c>
      <c r="L194" s="39" t="str">
        <f>IF(OR($B194="",_自动清单!$AS$7=""),"",SUMIFS(次果筐明细!$G$4:$G$603,次果筐明细!$C$4:$C$603,$B194,次果筐明细!$D$4:$D$603,_自动清单!$AS$7,次果筐明细!$F$4:$F$603,"*入库*",次果筐明细!$B$4:$B$603,"&gt;="&amp;$Z$1,次果筐明细!$B$4:$B$603,"&lt;="&amp;$Z$2))</f>
        <v/>
      </c>
      <c r="M194" s="62" t="str">
        <f>IF($B194="","",SUMIFS(次果筐明细!$G$4:$G$603,次果筐明细!$C$4:$C$603,$B194,次果筐明细!$F$4:$F$603,"*入库*",次果筐明细!$B$4:$B$603,"&gt;="&amp;$Z$1,次果筐明细!$B$4:$B$603,"&lt;="&amp;$Z$2)-SUM($I194:$L194))</f>
        <v/>
      </c>
      <c r="N194" s="62" t="str">
        <f t="shared" si="14"/>
        <v/>
      </c>
      <c r="O194" s="39" t="str">
        <f t="shared" si="15"/>
        <v/>
      </c>
      <c r="P194" s="30" t="str">
        <f>IF($B194="","",ROUND(SUMIFS(次果筐明细!$L$4:$L$603,次果筐明细!$C$4:$C$603,$B194,次果筐明细!$B$4:$B$603,"&gt;="&amp;$Z$1,次果筐明细!$B$4:$B$603,"&lt;="&amp;$Z$2),2))</f>
        <v/>
      </c>
      <c r="Q194" s="30" t="str">
        <f>IF($B194="","",ROUND(SUMIFS(次果筐明细!$L$4:$L$603,次果筐明细!$C$4:$C$603,$B194,次果筐明细!$M$4:$M$603,"已收讫",次果筐明细!$B$4:$B$603,"&gt;="&amp;$Z$1,次果筐明细!$B$4:$B$603,"&lt;="&amp;$Z$2),2))</f>
        <v/>
      </c>
      <c r="R194" s="30" t="str">
        <f t="shared" si="16"/>
        <v/>
      </c>
      <c r="S194" s="30" t="str">
        <f>IF($B194="","",ROUND(SUMIFS(次果筐明细!$J$4:$J$603,次果筐明细!$C$4:$C$603,$B194,次果筐明细!$B$4:$B$603,"&gt;="&amp;$Z$1,次果筐明细!$B$4:$B$603,"&lt;="&amp;$Z$2),2))</f>
        <v/>
      </c>
      <c r="T194" s="63" t="str">
        <f>IF($B194="","",ROUND(SUMIFS(次果筐明细!$K$4:$K$603,次果筐明细!$C$4:$C$603,$B194,次果筐明细!$B$4:$B$603,"&gt;="&amp;$Z$1,次果筐明细!$B$4:$B$603,"&lt;="&amp;$Z$2),2))</f>
        <v/>
      </c>
      <c r="U194" s="30" t="str">
        <f t="shared" si="17"/>
        <v/>
      </c>
      <c r="V194" s="42"/>
    </row>
    <row r="195" spans="1:22">
      <c r="A195" s="24" t="str">
        <f t="shared" si="12"/>
        <v/>
      </c>
      <c r="B195" s="37" t="str">
        <f>IFERROR(INDEX(_自动清单!$AY$4:$AY$203,ROW()-3),"")</f>
        <v/>
      </c>
      <c r="C195" s="39" t="str">
        <f>IF(OR($B195="",_自动清单!$AS$4=""),"",SUMIFS(次果筐明细!$G$4:$G$603,次果筐明细!$C$4:$C$603,$B195,次果筐明细!$D$4:$D$603,_自动清单!$AS$4,次果筐明细!$F$4:$F$603,"*出库*",次果筐明细!$B$4:$B$603,"&gt;="&amp;$Z$1,次果筐明细!$B$4:$B$603,"&lt;="&amp;$Z$2))</f>
        <v/>
      </c>
      <c r="D195" s="39" t="str">
        <f>IF(OR($B195="",_自动清单!$AS$5=""),"",SUMIFS(次果筐明细!$G$4:$G$603,次果筐明细!$C$4:$C$603,$B195,次果筐明细!$D$4:$D$603,_自动清单!$AS$5,次果筐明细!$F$4:$F$603,"*出库*",次果筐明细!$B$4:$B$603,"&gt;="&amp;$Z$1,次果筐明细!$B$4:$B$603,"&lt;="&amp;$Z$2))</f>
        <v/>
      </c>
      <c r="E195" s="39" t="str">
        <f>IF(OR($B195="",_自动清单!$AS$6=""),"",SUMIFS(次果筐明细!$G$4:$G$603,次果筐明细!$C$4:$C$603,$B195,次果筐明细!$D$4:$D$603,_自动清单!$AS$6,次果筐明细!$F$4:$F$603,"*出库*",次果筐明细!$B$4:$B$603,"&gt;="&amp;$Z$1,次果筐明细!$B$4:$B$603,"&lt;="&amp;$Z$2))</f>
        <v/>
      </c>
      <c r="F195" s="39" t="str">
        <f>IF(OR($B195="",_自动清单!$AS$7=""),"",SUMIFS(次果筐明细!$G$4:$G$603,次果筐明细!$C$4:$C$603,$B195,次果筐明细!$D$4:$D$603,_自动清单!$AS$7,次果筐明细!$F$4:$F$603,"*出库*",次果筐明细!$B$4:$B$603,"&gt;="&amp;$Z$1,次果筐明细!$B$4:$B$603,"&lt;="&amp;$Z$2))</f>
        <v/>
      </c>
      <c r="G195" s="39" t="str">
        <f>IF($B195="","",SUMIFS(次果筐明细!$G$4:$G$603,次果筐明细!$C$4:$C$603,$B195,次果筐明细!$F$4:$F$603,"*出库*",次果筐明细!$B$4:$B$603,"&gt;="&amp;$Z$1,次果筐明细!$B$4:$B$603,"&lt;="&amp;$Z$2)-SUM($C195:$F195))</f>
        <v/>
      </c>
      <c r="H195" s="39" t="str">
        <f t="shared" si="13"/>
        <v/>
      </c>
      <c r="I195" s="39" t="str">
        <f>IF(OR($B195="",_自动清单!$AS$4=""),"",SUMIFS(次果筐明细!$G$4:$G$603,次果筐明细!$C$4:$C$603,$B195,次果筐明细!$D$4:$D$603,_自动清单!$AS$4,次果筐明细!$F$4:$F$603,"*入库*",次果筐明细!$B$4:$B$603,"&gt;="&amp;$Z$1,次果筐明细!$B$4:$B$603,"&lt;="&amp;$Z$2))</f>
        <v/>
      </c>
      <c r="J195" s="39" t="str">
        <f>IF(OR($B195="",_自动清单!$AS$5=""),"",SUMIFS(次果筐明细!$G$4:$G$603,次果筐明细!$C$4:$C$603,$B195,次果筐明细!$D$4:$D$603,_自动清单!$AS$5,次果筐明细!$F$4:$F$603,"*入库*",次果筐明细!$B$4:$B$603,"&gt;="&amp;$Z$1,次果筐明细!$B$4:$B$603,"&lt;="&amp;$Z$2))</f>
        <v/>
      </c>
      <c r="K195" s="39" t="str">
        <f>IF(OR($B195="",_自动清单!$AS$6=""),"",SUMIFS(次果筐明细!$G$4:$G$603,次果筐明细!$C$4:$C$603,$B195,次果筐明细!$D$4:$D$603,_自动清单!$AS$6,次果筐明细!$F$4:$F$603,"*入库*",次果筐明细!$B$4:$B$603,"&gt;="&amp;$Z$1,次果筐明细!$B$4:$B$603,"&lt;="&amp;$Z$2))</f>
        <v/>
      </c>
      <c r="L195" s="39" t="str">
        <f>IF(OR($B195="",_自动清单!$AS$7=""),"",SUMIFS(次果筐明细!$G$4:$G$603,次果筐明细!$C$4:$C$603,$B195,次果筐明细!$D$4:$D$603,_自动清单!$AS$7,次果筐明细!$F$4:$F$603,"*入库*",次果筐明细!$B$4:$B$603,"&gt;="&amp;$Z$1,次果筐明细!$B$4:$B$603,"&lt;="&amp;$Z$2))</f>
        <v/>
      </c>
      <c r="M195" s="62" t="str">
        <f>IF($B195="","",SUMIFS(次果筐明细!$G$4:$G$603,次果筐明细!$C$4:$C$603,$B195,次果筐明细!$F$4:$F$603,"*入库*",次果筐明细!$B$4:$B$603,"&gt;="&amp;$Z$1,次果筐明细!$B$4:$B$603,"&lt;="&amp;$Z$2)-SUM($I195:$L195))</f>
        <v/>
      </c>
      <c r="N195" s="62" t="str">
        <f t="shared" si="14"/>
        <v/>
      </c>
      <c r="O195" s="39" t="str">
        <f t="shared" si="15"/>
        <v/>
      </c>
      <c r="P195" s="30" t="str">
        <f>IF($B195="","",ROUND(SUMIFS(次果筐明细!$L$4:$L$603,次果筐明细!$C$4:$C$603,$B195,次果筐明细!$B$4:$B$603,"&gt;="&amp;$Z$1,次果筐明细!$B$4:$B$603,"&lt;="&amp;$Z$2),2))</f>
        <v/>
      </c>
      <c r="Q195" s="30" t="str">
        <f>IF($B195="","",ROUND(SUMIFS(次果筐明细!$L$4:$L$603,次果筐明细!$C$4:$C$603,$B195,次果筐明细!$M$4:$M$603,"已收讫",次果筐明细!$B$4:$B$603,"&gt;="&amp;$Z$1,次果筐明细!$B$4:$B$603,"&lt;="&amp;$Z$2),2))</f>
        <v/>
      </c>
      <c r="R195" s="30" t="str">
        <f t="shared" si="16"/>
        <v/>
      </c>
      <c r="S195" s="30" t="str">
        <f>IF($B195="","",ROUND(SUMIFS(次果筐明细!$J$4:$J$603,次果筐明细!$C$4:$C$603,$B195,次果筐明细!$B$4:$B$603,"&gt;="&amp;$Z$1,次果筐明细!$B$4:$B$603,"&lt;="&amp;$Z$2),2))</f>
        <v/>
      </c>
      <c r="T195" s="63" t="str">
        <f>IF($B195="","",ROUND(SUMIFS(次果筐明细!$K$4:$K$603,次果筐明细!$C$4:$C$603,$B195,次果筐明细!$B$4:$B$603,"&gt;="&amp;$Z$1,次果筐明细!$B$4:$B$603,"&lt;="&amp;$Z$2),2))</f>
        <v/>
      </c>
      <c r="U195" s="30" t="str">
        <f t="shared" si="17"/>
        <v/>
      </c>
      <c r="V195" s="42"/>
    </row>
    <row r="196" spans="1:22">
      <c r="A196" s="24" t="str">
        <f t="shared" ref="A196:A203" si="18">IF($B196="","",ROW()-3)</f>
        <v/>
      </c>
      <c r="B196" s="37" t="str">
        <f>IFERROR(INDEX(_自动清单!$AY$4:$AY$203,ROW()-3),"")</f>
        <v/>
      </c>
      <c r="C196" s="39" t="str">
        <f>IF(OR($B196="",_自动清单!$AS$4=""),"",SUMIFS(次果筐明细!$G$4:$G$603,次果筐明细!$C$4:$C$603,$B196,次果筐明细!$D$4:$D$603,_自动清单!$AS$4,次果筐明细!$F$4:$F$603,"*出库*",次果筐明细!$B$4:$B$603,"&gt;="&amp;$Z$1,次果筐明细!$B$4:$B$603,"&lt;="&amp;$Z$2))</f>
        <v/>
      </c>
      <c r="D196" s="39" t="str">
        <f>IF(OR($B196="",_自动清单!$AS$5=""),"",SUMIFS(次果筐明细!$G$4:$G$603,次果筐明细!$C$4:$C$603,$B196,次果筐明细!$D$4:$D$603,_自动清单!$AS$5,次果筐明细!$F$4:$F$603,"*出库*",次果筐明细!$B$4:$B$603,"&gt;="&amp;$Z$1,次果筐明细!$B$4:$B$603,"&lt;="&amp;$Z$2))</f>
        <v/>
      </c>
      <c r="E196" s="39" t="str">
        <f>IF(OR($B196="",_自动清单!$AS$6=""),"",SUMIFS(次果筐明细!$G$4:$G$603,次果筐明细!$C$4:$C$603,$B196,次果筐明细!$D$4:$D$603,_自动清单!$AS$6,次果筐明细!$F$4:$F$603,"*出库*",次果筐明细!$B$4:$B$603,"&gt;="&amp;$Z$1,次果筐明细!$B$4:$B$603,"&lt;="&amp;$Z$2))</f>
        <v/>
      </c>
      <c r="F196" s="39" t="str">
        <f>IF(OR($B196="",_自动清单!$AS$7=""),"",SUMIFS(次果筐明细!$G$4:$G$603,次果筐明细!$C$4:$C$603,$B196,次果筐明细!$D$4:$D$603,_自动清单!$AS$7,次果筐明细!$F$4:$F$603,"*出库*",次果筐明细!$B$4:$B$603,"&gt;="&amp;$Z$1,次果筐明细!$B$4:$B$603,"&lt;="&amp;$Z$2))</f>
        <v/>
      </c>
      <c r="G196" s="39" t="str">
        <f>IF($B196="","",SUMIFS(次果筐明细!$G$4:$G$603,次果筐明细!$C$4:$C$603,$B196,次果筐明细!$F$4:$F$603,"*出库*",次果筐明细!$B$4:$B$603,"&gt;="&amp;$Z$1,次果筐明细!$B$4:$B$603,"&lt;="&amp;$Z$2)-SUM($C196:$F196))</f>
        <v/>
      </c>
      <c r="H196" s="39" t="str">
        <f t="shared" ref="H196:H203" si="19">IF($B196="","",SUM($C196:$G196))</f>
        <v/>
      </c>
      <c r="I196" s="39" t="str">
        <f>IF(OR($B196="",_自动清单!$AS$4=""),"",SUMIFS(次果筐明细!$G$4:$G$603,次果筐明细!$C$4:$C$603,$B196,次果筐明细!$D$4:$D$603,_自动清单!$AS$4,次果筐明细!$F$4:$F$603,"*入库*",次果筐明细!$B$4:$B$603,"&gt;="&amp;$Z$1,次果筐明细!$B$4:$B$603,"&lt;="&amp;$Z$2))</f>
        <v/>
      </c>
      <c r="J196" s="39" t="str">
        <f>IF(OR($B196="",_自动清单!$AS$5=""),"",SUMIFS(次果筐明细!$G$4:$G$603,次果筐明细!$C$4:$C$603,$B196,次果筐明细!$D$4:$D$603,_自动清单!$AS$5,次果筐明细!$F$4:$F$603,"*入库*",次果筐明细!$B$4:$B$603,"&gt;="&amp;$Z$1,次果筐明细!$B$4:$B$603,"&lt;="&amp;$Z$2))</f>
        <v/>
      </c>
      <c r="K196" s="39" t="str">
        <f>IF(OR($B196="",_自动清单!$AS$6=""),"",SUMIFS(次果筐明细!$G$4:$G$603,次果筐明细!$C$4:$C$603,$B196,次果筐明细!$D$4:$D$603,_自动清单!$AS$6,次果筐明细!$F$4:$F$603,"*入库*",次果筐明细!$B$4:$B$603,"&gt;="&amp;$Z$1,次果筐明细!$B$4:$B$603,"&lt;="&amp;$Z$2))</f>
        <v/>
      </c>
      <c r="L196" s="39" t="str">
        <f>IF(OR($B196="",_自动清单!$AS$7=""),"",SUMIFS(次果筐明细!$G$4:$G$603,次果筐明细!$C$4:$C$603,$B196,次果筐明细!$D$4:$D$603,_自动清单!$AS$7,次果筐明细!$F$4:$F$603,"*入库*",次果筐明细!$B$4:$B$603,"&gt;="&amp;$Z$1,次果筐明细!$B$4:$B$603,"&lt;="&amp;$Z$2))</f>
        <v/>
      </c>
      <c r="M196" s="62" t="str">
        <f>IF($B196="","",SUMIFS(次果筐明细!$G$4:$G$603,次果筐明细!$C$4:$C$603,$B196,次果筐明细!$F$4:$F$603,"*入库*",次果筐明细!$B$4:$B$603,"&gt;="&amp;$Z$1,次果筐明细!$B$4:$B$603,"&lt;="&amp;$Z$2)-SUM($I196:$L196))</f>
        <v/>
      </c>
      <c r="N196" s="62" t="str">
        <f t="shared" ref="N196:N203" si="20">IF($B196="","",SUM($I196:$M196))</f>
        <v/>
      </c>
      <c r="O196" s="39" t="str">
        <f t="shared" ref="O196:O203" si="21">IF($B196="","",N($H196)-N($N196))</f>
        <v/>
      </c>
      <c r="P196" s="30" t="str">
        <f>IF($B196="","",ROUND(SUMIFS(次果筐明细!$L$4:$L$603,次果筐明细!$C$4:$C$603,$B196,次果筐明细!$B$4:$B$603,"&gt;="&amp;$Z$1,次果筐明细!$B$4:$B$603,"&lt;="&amp;$Z$2),2))</f>
        <v/>
      </c>
      <c r="Q196" s="30" t="str">
        <f>IF($B196="","",ROUND(SUMIFS(次果筐明细!$L$4:$L$603,次果筐明细!$C$4:$C$603,$B196,次果筐明细!$M$4:$M$603,"已收讫",次果筐明细!$B$4:$B$603,"&gt;="&amp;$Z$1,次果筐明细!$B$4:$B$603,"&lt;="&amp;$Z$2),2))</f>
        <v/>
      </c>
      <c r="R196" s="30" t="str">
        <f t="shared" ref="R196:R203" si="22">IF($B196="","",ROUND(N($P196)-N($Q196),2))</f>
        <v/>
      </c>
      <c r="S196" s="30" t="str">
        <f>IF($B196="","",ROUND(SUMIFS(次果筐明细!$J$4:$J$603,次果筐明细!$C$4:$C$603,$B196,次果筐明细!$B$4:$B$603,"&gt;="&amp;$Z$1,次果筐明细!$B$4:$B$603,"&lt;="&amp;$Z$2),2))</f>
        <v/>
      </c>
      <c r="T196" s="63" t="str">
        <f>IF($B196="","",ROUND(SUMIFS(次果筐明细!$K$4:$K$603,次果筐明细!$C$4:$C$603,$B196,次果筐明细!$B$4:$B$603,"&gt;="&amp;$Z$1,次果筐明细!$B$4:$B$603,"&lt;="&amp;$Z$2),2))</f>
        <v/>
      </c>
      <c r="U196" s="30" t="str">
        <f t="shared" ref="U196:U203" si="23">IF($B196="","",ROUND(N($S196)-N($T196),2))</f>
        <v/>
      </c>
      <c r="V196" s="42"/>
    </row>
    <row r="197" spans="1:22">
      <c r="A197" s="24" t="str">
        <f t="shared" si="18"/>
        <v/>
      </c>
      <c r="B197" s="37" t="str">
        <f>IFERROR(INDEX(_自动清单!$AY$4:$AY$203,ROW()-3),"")</f>
        <v/>
      </c>
      <c r="C197" s="39" t="str">
        <f>IF(OR($B197="",_自动清单!$AS$4=""),"",SUMIFS(次果筐明细!$G$4:$G$603,次果筐明细!$C$4:$C$603,$B197,次果筐明细!$D$4:$D$603,_自动清单!$AS$4,次果筐明细!$F$4:$F$603,"*出库*",次果筐明细!$B$4:$B$603,"&gt;="&amp;$Z$1,次果筐明细!$B$4:$B$603,"&lt;="&amp;$Z$2))</f>
        <v/>
      </c>
      <c r="D197" s="39" t="str">
        <f>IF(OR($B197="",_自动清单!$AS$5=""),"",SUMIFS(次果筐明细!$G$4:$G$603,次果筐明细!$C$4:$C$603,$B197,次果筐明细!$D$4:$D$603,_自动清单!$AS$5,次果筐明细!$F$4:$F$603,"*出库*",次果筐明细!$B$4:$B$603,"&gt;="&amp;$Z$1,次果筐明细!$B$4:$B$603,"&lt;="&amp;$Z$2))</f>
        <v/>
      </c>
      <c r="E197" s="39" t="str">
        <f>IF(OR($B197="",_自动清单!$AS$6=""),"",SUMIFS(次果筐明细!$G$4:$G$603,次果筐明细!$C$4:$C$603,$B197,次果筐明细!$D$4:$D$603,_自动清单!$AS$6,次果筐明细!$F$4:$F$603,"*出库*",次果筐明细!$B$4:$B$603,"&gt;="&amp;$Z$1,次果筐明细!$B$4:$B$603,"&lt;="&amp;$Z$2))</f>
        <v/>
      </c>
      <c r="F197" s="39" t="str">
        <f>IF(OR($B197="",_自动清单!$AS$7=""),"",SUMIFS(次果筐明细!$G$4:$G$603,次果筐明细!$C$4:$C$603,$B197,次果筐明细!$D$4:$D$603,_自动清单!$AS$7,次果筐明细!$F$4:$F$603,"*出库*",次果筐明细!$B$4:$B$603,"&gt;="&amp;$Z$1,次果筐明细!$B$4:$B$603,"&lt;="&amp;$Z$2))</f>
        <v/>
      </c>
      <c r="G197" s="39" t="str">
        <f>IF($B197="","",SUMIFS(次果筐明细!$G$4:$G$603,次果筐明细!$C$4:$C$603,$B197,次果筐明细!$F$4:$F$603,"*出库*",次果筐明细!$B$4:$B$603,"&gt;="&amp;$Z$1,次果筐明细!$B$4:$B$603,"&lt;="&amp;$Z$2)-SUM($C197:$F197))</f>
        <v/>
      </c>
      <c r="H197" s="39" t="str">
        <f t="shared" si="19"/>
        <v/>
      </c>
      <c r="I197" s="39" t="str">
        <f>IF(OR($B197="",_自动清单!$AS$4=""),"",SUMIFS(次果筐明细!$G$4:$G$603,次果筐明细!$C$4:$C$603,$B197,次果筐明细!$D$4:$D$603,_自动清单!$AS$4,次果筐明细!$F$4:$F$603,"*入库*",次果筐明细!$B$4:$B$603,"&gt;="&amp;$Z$1,次果筐明细!$B$4:$B$603,"&lt;="&amp;$Z$2))</f>
        <v/>
      </c>
      <c r="J197" s="39" t="str">
        <f>IF(OR($B197="",_自动清单!$AS$5=""),"",SUMIFS(次果筐明细!$G$4:$G$603,次果筐明细!$C$4:$C$603,$B197,次果筐明细!$D$4:$D$603,_自动清单!$AS$5,次果筐明细!$F$4:$F$603,"*入库*",次果筐明细!$B$4:$B$603,"&gt;="&amp;$Z$1,次果筐明细!$B$4:$B$603,"&lt;="&amp;$Z$2))</f>
        <v/>
      </c>
      <c r="K197" s="39" t="str">
        <f>IF(OR($B197="",_自动清单!$AS$6=""),"",SUMIFS(次果筐明细!$G$4:$G$603,次果筐明细!$C$4:$C$603,$B197,次果筐明细!$D$4:$D$603,_自动清单!$AS$6,次果筐明细!$F$4:$F$603,"*入库*",次果筐明细!$B$4:$B$603,"&gt;="&amp;$Z$1,次果筐明细!$B$4:$B$603,"&lt;="&amp;$Z$2))</f>
        <v/>
      </c>
      <c r="L197" s="39" t="str">
        <f>IF(OR($B197="",_自动清单!$AS$7=""),"",SUMIFS(次果筐明细!$G$4:$G$603,次果筐明细!$C$4:$C$603,$B197,次果筐明细!$D$4:$D$603,_自动清单!$AS$7,次果筐明细!$F$4:$F$603,"*入库*",次果筐明细!$B$4:$B$603,"&gt;="&amp;$Z$1,次果筐明细!$B$4:$B$603,"&lt;="&amp;$Z$2))</f>
        <v/>
      </c>
      <c r="M197" s="62" t="str">
        <f>IF($B197="","",SUMIFS(次果筐明细!$G$4:$G$603,次果筐明细!$C$4:$C$603,$B197,次果筐明细!$F$4:$F$603,"*入库*",次果筐明细!$B$4:$B$603,"&gt;="&amp;$Z$1,次果筐明细!$B$4:$B$603,"&lt;="&amp;$Z$2)-SUM($I197:$L197))</f>
        <v/>
      </c>
      <c r="N197" s="62" t="str">
        <f t="shared" si="20"/>
        <v/>
      </c>
      <c r="O197" s="39" t="str">
        <f t="shared" si="21"/>
        <v/>
      </c>
      <c r="P197" s="30" t="str">
        <f>IF($B197="","",ROUND(SUMIFS(次果筐明细!$L$4:$L$603,次果筐明细!$C$4:$C$603,$B197,次果筐明细!$B$4:$B$603,"&gt;="&amp;$Z$1,次果筐明细!$B$4:$B$603,"&lt;="&amp;$Z$2),2))</f>
        <v/>
      </c>
      <c r="Q197" s="30" t="str">
        <f>IF($B197="","",ROUND(SUMIFS(次果筐明细!$L$4:$L$603,次果筐明细!$C$4:$C$603,$B197,次果筐明细!$M$4:$M$603,"已收讫",次果筐明细!$B$4:$B$603,"&gt;="&amp;$Z$1,次果筐明细!$B$4:$B$603,"&lt;="&amp;$Z$2),2))</f>
        <v/>
      </c>
      <c r="R197" s="30" t="str">
        <f t="shared" si="22"/>
        <v/>
      </c>
      <c r="S197" s="30" t="str">
        <f>IF($B197="","",ROUND(SUMIFS(次果筐明细!$J$4:$J$603,次果筐明细!$C$4:$C$603,$B197,次果筐明细!$B$4:$B$603,"&gt;="&amp;$Z$1,次果筐明细!$B$4:$B$603,"&lt;="&amp;$Z$2),2))</f>
        <v/>
      </c>
      <c r="T197" s="63" t="str">
        <f>IF($B197="","",ROUND(SUMIFS(次果筐明细!$K$4:$K$603,次果筐明细!$C$4:$C$603,$B197,次果筐明细!$B$4:$B$603,"&gt;="&amp;$Z$1,次果筐明细!$B$4:$B$603,"&lt;="&amp;$Z$2),2))</f>
        <v/>
      </c>
      <c r="U197" s="30" t="str">
        <f t="shared" si="23"/>
        <v/>
      </c>
      <c r="V197" s="42"/>
    </row>
    <row r="198" spans="1:22">
      <c r="A198" s="24" t="str">
        <f t="shared" si="18"/>
        <v/>
      </c>
      <c r="B198" s="37" t="str">
        <f>IFERROR(INDEX(_自动清单!$AY$4:$AY$203,ROW()-3),"")</f>
        <v/>
      </c>
      <c r="C198" s="39" t="str">
        <f>IF(OR($B198="",_自动清单!$AS$4=""),"",SUMIFS(次果筐明细!$G$4:$G$603,次果筐明细!$C$4:$C$603,$B198,次果筐明细!$D$4:$D$603,_自动清单!$AS$4,次果筐明细!$F$4:$F$603,"*出库*",次果筐明细!$B$4:$B$603,"&gt;="&amp;$Z$1,次果筐明细!$B$4:$B$603,"&lt;="&amp;$Z$2))</f>
        <v/>
      </c>
      <c r="D198" s="39" t="str">
        <f>IF(OR($B198="",_自动清单!$AS$5=""),"",SUMIFS(次果筐明细!$G$4:$G$603,次果筐明细!$C$4:$C$603,$B198,次果筐明细!$D$4:$D$603,_自动清单!$AS$5,次果筐明细!$F$4:$F$603,"*出库*",次果筐明细!$B$4:$B$603,"&gt;="&amp;$Z$1,次果筐明细!$B$4:$B$603,"&lt;="&amp;$Z$2))</f>
        <v/>
      </c>
      <c r="E198" s="39" t="str">
        <f>IF(OR($B198="",_自动清单!$AS$6=""),"",SUMIFS(次果筐明细!$G$4:$G$603,次果筐明细!$C$4:$C$603,$B198,次果筐明细!$D$4:$D$603,_自动清单!$AS$6,次果筐明细!$F$4:$F$603,"*出库*",次果筐明细!$B$4:$B$603,"&gt;="&amp;$Z$1,次果筐明细!$B$4:$B$603,"&lt;="&amp;$Z$2))</f>
        <v/>
      </c>
      <c r="F198" s="39" t="str">
        <f>IF(OR($B198="",_自动清单!$AS$7=""),"",SUMIFS(次果筐明细!$G$4:$G$603,次果筐明细!$C$4:$C$603,$B198,次果筐明细!$D$4:$D$603,_自动清单!$AS$7,次果筐明细!$F$4:$F$603,"*出库*",次果筐明细!$B$4:$B$603,"&gt;="&amp;$Z$1,次果筐明细!$B$4:$B$603,"&lt;="&amp;$Z$2))</f>
        <v/>
      </c>
      <c r="G198" s="39" t="str">
        <f>IF($B198="","",SUMIFS(次果筐明细!$G$4:$G$603,次果筐明细!$C$4:$C$603,$B198,次果筐明细!$F$4:$F$603,"*出库*",次果筐明细!$B$4:$B$603,"&gt;="&amp;$Z$1,次果筐明细!$B$4:$B$603,"&lt;="&amp;$Z$2)-SUM($C198:$F198))</f>
        <v/>
      </c>
      <c r="H198" s="39" t="str">
        <f t="shared" si="19"/>
        <v/>
      </c>
      <c r="I198" s="39" t="str">
        <f>IF(OR($B198="",_自动清单!$AS$4=""),"",SUMIFS(次果筐明细!$G$4:$G$603,次果筐明细!$C$4:$C$603,$B198,次果筐明细!$D$4:$D$603,_自动清单!$AS$4,次果筐明细!$F$4:$F$603,"*入库*",次果筐明细!$B$4:$B$603,"&gt;="&amp;$Z$1,次果筐明细!$B$4:$B$603,"&lt;="&amp;$Z$2))</f>
        <v/>
      </c>
      <c r="J198" s="39" t="str">
        <f>IF(OR($B198="",_自动清单!$AS$5=""),"",SUMIFS(次果筐明细!$G$4:$G$603,次果筐明细!$C$4:$C$603,$B198,次果筐明细!$D$4:$D$603,_自动清单!$AS$5,次果筐明细!$F$4:$F$603,"*入库*",次果筐明细!$B$4:$B$603,"&gt;="&amp;$Z$1,次果筐明细!$B$4:$B$603,"&lt;="&amp;$Z$2))</f>
        <v/>
      </c>
      <c r="K198" s="39" t="str">
        <f>IF(OR($B198="",_自动清单!$AS$6=""),"",SUMIFS(次果筐明细!$G$4:$G$603,次果筐明细!$C$4:$C$603,$B198,次果筐明细!$D$4:$D$603,_自动清单!$AS$6,次果筐明细!$F$4:$F$603,"*入库*",次果筐明细!$B$4:$B$603,"&gt;="&amp;$Z$1,次果筐明细!$B$4:$B$603,"&lt;="&amp;$Z$2))</f>
        <v/>
      </c>
      <c r="L198" s="39" t="str">
        <f>IF(OR($B198="",_自动清单!$AS$7=""),"",SUMIFS(次果筐明细!$G$4:$G$603,次果筐明细!$C$4:$C$603,$B198,次果筐明细!$D$4:$D$603,_自动清单!$AS$7,次果筐明细!$F$4:$F$603,"*入库*",次果筐明细!$B$4:$B$603,"&gt;="&amp;$Z$1,次果筐明细!$B$4:$B$603,"&lt;="&amp;$Z$2))</f>
        <v/>
      </c>
      <c r="M198" s="62" t="str">
        <f>IF($B198="","",SUMIFS(次果筐明细!$G$4:$G$603,次果筐明细!$C$4:$C$603,$B198,次果筐明细!$F$4:$F$603,"*入库*",次果筐明细!$B$4:$B$603,"&gt;="&amp;$Z$1,次果筐明细!$B$4:$B$603,"&lt;="&amp;$Z$2)-SUM($I198:$L198))</f>
        <v/>
      </c>
      <c r="N198" s="62" t="str">
        <f t="shared" si="20"/>
        <v/>
      </c>
      <c r="O198" s="39" t="str">
        <f t="shared" si="21"/>
        <v/>
      </c>
      <c r="P198" s="30" t="str">
        <f>IF($B198="","",ROUND(SUMIFS(次果筐明细!$L$4:$L$603,次果筐明细!$C$4:$C$603,$B198,次果筐明细!$B$4:$B$603,"&gt;="&amp;$Z$1,次果筐明细!$B$4:$B$603,"&lt;="&amp;$Z$2),2))</f>
        <v/>
      </c>
      <c r="Q198" s="30" t="str">
        <f>IF($B198="","",ROUND(SUMIFS(次果筐明细!$L$4:$L$603,次果筐明细!$C$4:$C$603,$B198,次果筐明细!$M$4:$M$603,"已收讫",次果筐明细!$B$4:$B$603,"&gt;="&amp;$Z$1,次果筐明细!$B$4:$B$603,"&lt;="&amp;$Z$2),2))</f>
        <v/>
      </c>
      <c r="R198" s="30" t="str">
        <f t="shared" si="22"/>
        <v/>
      </c>
      <c r="S198" s="30" t="str">
        <f>IF($B198="","",ROUND(SUMIFS(次果筐明细!$J$4:$J$603,次果筐明细!$C$4:$C$603,$B198,次果筐明细!$B$4:$B$603,"&gt;="&amp;$Z$1,次果筐明细!$B$4:$B$603,"&lt;="&amp;$Z$2),2))</f>
        <v/>
      </c>
      <c r="T198" s="63" t="str">
        <f>IF($B198="","",ROUND(SUMIFS(次果筐明细!$K$4:$K$603,次果筐明细!$C$4:$C$603,$B198,次果筐明细!$B$4:$B$603,"&gt;="&amp;$Z$1,次果筐明细!$B$4:$B$603,"&lt;="&amp;$Z$2),2))</f>
        <v/>
      </c>
      <c r="U198" s="30" t="str">
        <f t="shared" si="23"/>
        <v/>
      </c>
      <c r="V198" s="42"/>
    </row>
    <row r="199" spans="1:22">
      <c r="A199" s="24" t="str">
        <f t="shared" si="18"/>
        <v/>
      </c>
      <c r="B199" s="37" t="str">
        <f>IFERROR(INDEX(_自动清单!$AY$4:$AY$203,ROW()-3),"")</f>
        <v/>
      </c>
      <c r="C199" s="39" t="str">
        <f>IF(OR($B199="",_自动清单!$AS$4=""),"",SUMIFS(次果筐明细!$G$4:$G$603,次果筐明细!$C$4:$C$603,$B199,次果筐明细!$D$4:$D$603,_自动清单!$AS$4,次果筐明细!$F$4:$F$603,"*出库*",次果筐明细!$B$4:$B$603,"&gt;="&amp;$Z$1,次果筐明细!$B$4:$B$603,"&lt;="&amp;$Z$2))</f>
        <v/>
      </c>
      <c r="D199" s="39" t="str">
        <f>IF(OR($B199="",_自动清单!$AS$5=""),"",SUMIFS(次果筐明细!$G$4:$G$603,次果筐明细!$C$4:$C$603,$B199,次果筐明细!$D$4:$D$603,_自动清单!$AS$5,次果筐明细!$F$4:$F$603,"*出库*",次果筐明细!$B$4:$B$603,"&gt;="&amp;$Z$1,次果筐明细!$B$4:$B$603,"&lt;="&amp;$Z$2))</f>
        <v/>
      </c>
      <c r="E199" s="39" t="str">
        <f>IF(OR($B199="",_自动清单!$AS$6=""),"",SUMIFS(次果筐明细!$G$4:$G$603,次果筐明细!$C$4:$C$603,$B199,次果筐明细!$D$4:$D$603,_自动清单!$AS$6,次果筐明细!$F$4:$F$603,"*出库*",次果筐明细!$B$4:$B$603,"&gt;="&amp;$Z$1,次果筐明细!$B$4:$B$603,"&lt;="&amp;$Z$2))</f>
        <v/>
      </c>
      <c r="F199" s="39" t="str">
        <f>IF(OR($B199="",_自动清单!$AS$7=""),"",SUMIFS(次果筐明细!$G$4:$G$603,次果筐明细!$C$4:$C$603,$B199,次果筐明细!$D$4:$D$603,_自动清单!$AS$7,次果筐明细!$F$4:$F$603,"*出库*",次果筐明细!$B$4:$B$603,"&gt;="&amp;$Z$1,次果筐明细!$B$4:$B$603,"&lt;="&amp;$Z$2))</f>
        <v/>
      </c>
      <c r="G199" s="39" t="str">
        <f>IF($B199="","",SUMIFS(次果筐明细!$G$4:$G$603,次果筐明细!$C$4:$C$603,$B199,次果筐明细!$F$4:$F$603,"*出库*",次果筐明细!$B$4:$B$603,"&gt;="&amp;$Z$1,次果筐明细!$B$4:$B$603,"&lt;="&amp;$Z$2)-SUM($C199:$F199))</f>
        <v/>
      </c>
      <c r="H199" s="39" t="str">
        <f t="shared" si="19"/>
        <v/>
      </c>
      <c r="I199" s="39" t="str">
        <f>IF(OR($B199="",_自动清单!$AS$4=""),"",SUMIFS(次果筐明细!$G$4:$G$603,次果筐明细!$C$4:$C$603,$B199,次果筐明细!$D$4:$D$603,_自动清单!$AS$4,次果筐明细!$F$4:$F$603,"*入库*",次果筐明细!$B$4:$B$603,"&gt;="&amp;$Z$1,次果筐明细!$B$4:$B$603,"&lt;="&amp;$Z$2))</f>
        <v/>
      </c>
      <c r="J199" s="39" t="str">
        <f>IF(OR($B199="",_自动清单!$AS$5=""),"",SUMIFS(次果筐明细!$G$4:$G$603,次果筐明细!$C$4:$C$603,$B199,次果筐明细!$D$4:$D$603,_自动清单!$AS$5,次果筐明细!$F$4:$F$603,"*入库*",次果筐明细!$B$4:$B$603,"&gt;="&amp;$Z$1,次果筐明细!$B$4:$B$603,"&lt;="&amp;$Z$2))</f>
        <v/>
      </c>
      <c r="K199" s="39" t="str">
        <f>IF(OR($B199="",_自动清单!$AS$6=""),"",SUMIFS(次果筐明细!$G$4:$G$603,次果筐明细!$C$4:$C$603,$B199,次果筐明细!$D$4:$D$603,_自动清单!$AS$6,次果筐明细!$F$4:$F$603,"*入库*",次果筐明细!$B$4:$B$603,"&gt;="&amp;$Z$1,次果筐明细!$B$4:$B$603,"&lt;="&amp;$Z$2))</f>
        <v/>
      </c>
      <c r="L199" s="39" t="str">
        <f>IF(OR($B199="",_自动清单!$AS$7=""),"",SUMIFS(次果筐明细!$G$4:$G$603,次果筐明细!$C$4:$C$603,$B199,次果筐明细!$D$4:$D$603,_自动清单!$AS$7,次果筐明细!$F$4:$F$603,"*入库*",次果筐明细!$B$4:$B$603,"&gt;="&amp;$Z$1,次果筐明细!$B$4:$B$603,"&lt;="&amp;$Z$2))</f>
        <v/>
      </c>
      <c r="M199" s="62" t="str">
        <f>IF($B199="","",SUMIFS(次果筐明细!$G$4:$G$603,次果筐明细!$C$4:$C$603,$B199,次果筐明细!$F$4:$F$603,"*入库*",次果筐明细!$B$4:$B$603,"&gt;="&amp;$Z$1,次果筐明细!$B$4:$B$603,"&lt;="&amp;$Z$2)-SUM($I199:$L199))</f>
        <v/>
      </c>
      <c r="N199" s="62" t="str">
        <f t="shared" si="20"/>
        <v/>
      </c>
      <c r="O199" s="39" t="str">
        <f t="shared" si="21"/>
        <v/>
      </c>
      <c r="P199" s="30" t="str">
        <f>IF($B199="","",ROUND(SUMIFS(次果筐明细!$L$4:$L$603,次果筐明细!$C$4:$C$603,$B199,次果筐明细!$B$4:$B$603,"&gt;="&amp;$Z$1,次果筐明细!$B$4:$B$603,"&lt;="&amp;$Z$2),2))</f>
        <v/>
      </c>
      <c r="Q199" s="30" t="str">
        <f>IF($B199="","",ROUND(SUMIFS(次果筐明细!$L$4:$L$603,次果筐明细!$C$4:$C$603,$B199,次果筐明细!$M$4:$M$603,"已收讫",次果筐明细!$B$4:$B$603,"&gt;="&amp;$Z$1,次果筐明细!$B$4:$B$603,"&lt;="&amp;$Z$2),2))</f>
        <v/>
      </c>
      <c r="R199" s="30" t="str">
        <f t="shared" si="22"/>
        <v/>
      </c>
      <c r="S199" s="30" t="str">
        <f>IF($B199="","",ROUND(SUMIFS(次果筐明细!$J$4:$J$603,次果筐明细!$C$4:$C$603,$B199,次果筐明细!$B$4:$B$603,"&gt;="&amp;$Z$1,次果筐明细!$B$4:$B$603,"&lt;="&amp;$Z$2),2))</f>
        <v/>
      </c>
      <c r="T199" s="63" t="str">
        <f>IF($B199="","",ROUND(SUMIFS(次果筐明细!$K$4:$K$603,次果筐明细!$C$4:$C$603,$B199,次果筐明细!$B$4:$B$603,"&gt;="&amp;$Z$1,次果筐明细!$B$4:$B$603,"&lt;="&amp;$Z$2),2))</f>
        <v/>
      </c>
      <c r="U199" s="30" t="str">
        <f t="shared" si="23"/>
        <v/>
      </c>
      <c r="V199" s="42"/>
    </row>
    <row r="200" spans="1:22">
      <c r="A200" s="24" t="str">
        <f t="shared" si="18"/>
        <v/>
      </c>
      <c r="B200" s="37" t="str">
        <f>IFERROR(INDEX(_自动清单!$AY$4:$AY$203,ROW()-3),"")</f>
        <v/>
      </c>
      <c r="C200" s="39" t="str">
        <f>IF(OR($B200="",_自动清单!$AS$4=""),"",SUMIFS(次果筐明细!$G$4:$G$603,次果筐明细!$C$4:$C$603,$B200,次果筐明细!$D$4:$D$603,_自动清单!$AS$4,次果筐明细!$F$4:$F$603,"*出库*",次果筐明细!$B$4:$B$603,"&gt;="&amp;$Z$1,次果筐明细!$B$4:$B$603,"&lt;="&amp;$Z$2))</f>
        <v/>
      </c>
      <c r="D200" s="39" t="str">
        <f>IF(OR($B200="",_自动清单!$AS$5=""),"",SUMIFS(次果筐明细!$G$4:$G$603,次果筐明细!$C$4:$C$603,$B200,次果筐明细!$D$4:$D$603,_自动清单!$AS$5,次果筐明细!$F$4:$F$603,"*出库*",次果筐明细!$B$4:$B$603,"&gt;="&amp;$Z$1,次果筐明细!$B$4:$B$603,"&lt;="&amp;$Z$2))</f>
        <v/>
      </c>
      <c r="E200" s="39" t="str">
        <f>IF(OR($B200="",_自动清单!$AS$6=""),"",SUMIFS(次果筐明细!$G$4:$G$603,次果筐明细!$C$4:$C$603,$B200,次果筐明细!$D$4:$D$603,_自动清单!$AS$6,次果筐明细!$F$4:$F$603,"*出库*",次果筐明细!$B$4:$B$603,"&gt;="&amp;$Z$1,次果筐明细!$B$4:$B$603,"&lt;="&amp;$Z$2))</f>
        <v/>
      </c>
      <c r="F200" s="39" t="str">
        <f>IF(OR($B200="",_自动清单!$AS$7=""),"",SUMIFS(次果筐明细!$G$4:$G$603,次果筐明细!$C$4:$C$603,$B200,次果筐明细!$D$4:$D$603,_自动清单!$AS$7,次果筐明细!$F$4:$F$603,"*出库*",次果筐明细!$B$4:$B$603,"&gt;="&amp;$Z$1,次果筐明细!$B$4:$B$603,"&lt;="&amp;$Z$2))</f>
        <v/>
      </c>
      <c r="G200" s="39" t="str">
        <f>IF($B200="","",SUMIFS(次果筐明细!$G$4:$G$603,次果筐明细!$C$4:$C$603,$B200,次果筐明细!$F$4:$F$603,"*出库*",次果筐明细!$B$4:$B$603,"&gt;="&amp;$Z$1,次果筐明细!$B$4:$B$603,"&lt;="&amp;$Z$2)-SUM($C200:$F200))</f>
        <v/>
      </c>
      <c r="H200" s="39" t="str">
        <f t="shared" si="19"/>
        <v/>
      </c>
      <c r="I200" s="39" t="str">
        <f>IF(OR($B200="",_自动清单!$AS$4=""),"",SUMIFS(次果筐明细!$G$4:$G$603,次果筐明细!$C$4:$C$603,$B200,次果筐明细!$D$4:$D$603,_自动清单!$AS$4,次果筐明细!$F$4:$F$603,"*入库*",次果筐明细!$B$4:$B$603,"&gt;="&amp;$Z$1,次果筐明细!$B$4:$B$603,"&lt;="&amp;$Z$2))</f>
        <v/>
      </c>
      <c r="J200" s="39" t="str">
        <f>IF(OR($B200="",_自动清单!$AS$5=""),"",SUMIFS(次果筐明细!$G$4:$G$603,次果筐明细!$C$4:$C$603,$B200,次果筐明细!$D$4:$D$603,_自动清单!$AS$5,次果筐明细!$F$4:$F$603,"*入库*",次果筐明细!$B$4:$B$603,"&gt;="&amp;$Z$1,次果筐明细!$B$4:$B$603,"&lt;="&amp;$Z$2))</f>
        <v/>
      </c>
      <c r="K200" s="39" t="str">
        <f>IF(OR($B200="",_自动清单!$AS$6=""),"",SUMIFS(次果筐明细!$G$4:$G$603,次果筐明细!$C$4:$C$603,$B200,次果筐明细!$D$4:$D$603,_自动清单!$AS$6,次果筐明细!$F$4:$F$603,"*入库*",次果筐明细!$B$4:$B$603,"&gt;="&amp;$Z$1,次果筐明细!$B$4:$B$603,"&lt;="&amp;$Z$2))</f>
        <v/>
      </c>
      <c r="L200" s="39" t="str">
        <f>IF(OR($B200="",_自动清单!$AS$7=""),"",SUMIFS(次果筐明细!$G$4:$G$603,次果筐明细!$C$4:$C$603,$B200,次果筐明细!$D$4:$D$603,_自动清单!$AS$7,次果筐明细!$F$4:$F$603,"*入库*",次果筐明细!$B$4:$B$603,"&gt;="&amp;$Z$1,次果筐明细!$B$4:$B$603,"&lt;="&amp;$Z$2))</f>
        <v/>
      </c>
      <c r="M200" s="62" t="str">
        <f>IF($B200="","",SUMIFS(次果筐明细!$G$4:$G$603,次果筐明细!$C$4:$C$603,$B200,次果筐明细!$F$4:$F$603,"*入库*",次果筐明细!$B$4:$B$603,"&gt;="&amp;$Z$1,次果筐明细!$B$4:$B$603,"&lt;="&amp;$Z$2)-SUM($I200:$L200))</f>
        <v/>
      </c>
      <c r="N200" s="62" t="str">
        <f t="shared" si="20"/>
        <v/>
      </c>
      <c r="O200" s="39" t="str">
        <f t="shared" si="21"/>
        <v/>
      </c>
      <c r="P200" s="30" t="str">
        <f>IF($B200="","",ROUND(SUMIFS(次果筐明细!$L$4:$L$603,次果筐明细!$C$4:$C$603,$B200,次果筐明细!$B$4:$B$603,"&gt;="&amp;$Z$1,次果筐明细!$B$4:$B$603,"&lt;="&amp;$Z$2),2))</f>
        <v/>
      </c>
      <c r="Q200" s="30" t="str">
        <f>IF($B200="","",ROUND(SUMIFS(次果筐明细!$L$4:$L$603,次果筐明细!$C$4:$C$603,$B200,次果筐明细!$M$4:$M$603,"已收讫",次果筐明细!$B$4:$B$603,"&gt;="&amp;$Z$1,次果筐明细!$B$4:$B$603,"&lt;="&amp;$Z$2),2))</f>
        <v/>
      </c>
      <c r="R200" s="30" t="str">
        <f t="shared" si="22"/>
        <v/>
      </c>
      <c r="S200" s="30" t="str">
        <f>IF($B200="","",ROUND(SUMIFS(次果筐明细!$J$4:$J$603,次果筐明细!$C$4:$C$603,$B200,次果筐明细!$B$4:$B$603,"&gt;="&amp;$Z$1,次果筐明细!$B$4:$B$603,"&lt;="&amp;$Z$2),2))</f>
        <v/>
      </c>
      <c r="T200" s="63" t="str">
        <f>IF($B200="","",ROUND(SUMIFS(次果筐明细!$K$4:$K$603,次果筐明细!$C$4:$C$603,$B200,次果筐明细!$B$4:$B$603,"&gt;="&amp;$Z$1,次果筐明细!$B$4:$B$603,"&lt;="&amp;$Z$2),2))</f>
        <v/>
      </c>
      <c r="U200" s="30" t="str">
        <f t="shared" si="23"/>
        <v/>
      </c>
      <c r="V200" s="42"/>
    </row>
    <row r="201" spans="1:22">
      <c r="A201" s="24" t="str">
        <f t="shared" si="18"/>
        <v/>
      </c>
      <c r="B201" s="37" t="str">
        <f>IFERROR(INDEX(_自动清单!$AY$4:$AY$203,ROW()-3),"")</f>
        <v/>
      </c>
      <c r="C201" s="39" t="str">
        <f>IF(OR($B201="",_自动清单!$AS$4=""),"",SUMIFS(次果筐明细!$G$4:$G$603,次果筐明细!$C$4:$C$603,$B201,次果筐明细!$D$4:$D$603,_自动清单!$AS$4,次果筐明细!$F$4:$F$603,"*出库*",次果筐明细!$B$4:$B$603,"&gt;="&amp;$Z$1,次果筐明细!$B$4:$B$603,"&lt;="&amp;$Z$2))</f>
        <v/>
      </c>
      <c r="D201" s="39" t="str">
        <f>IF(OR($B201="",_自动清单!$AS$5=""),"",SUMIFS(次果筐明细!$G$4:$G$603,次果筐明细!$C$4:$C$603,$B201,次果筐明细!$D$4:$D$603,_自动清单!$AS$5,次果筐明细!$F$4:$F$603,"*出库*",次果筐明细!$B$4:$B$603,"&gt;="&amp;$Z$1,次果筐明细!$B$4:$B$603,"&lt;="&amp;$Z$2))</f>
        <v/>
      </c>
      <c r="E201" s="39" t="str">
        <f>IF(OR($B201="",_自动清单!$AS$6=""),"",SUMIFS(次果筐明细!$G$4:$G$603,次果筐明细!$C$4:$C$603,$B201,次果筐明细!$D$4:$D$603,_自动清单!$AS$6,次果筐明细!$F$4:$F$603,"*出库*",次果筐明细!$B$4:$B$603,"&gt;="&amp;$Z$1,次果筐明细!$B$4:$B$603,"&lt;="&amp;$Z$2))</f>
        <v/>
      </c>
      <c r="F201" s="39" t="str">
        <f>IF(OR($B201="",_自动清单!$AS$7=""),"",SUMIFS(次果筐明细!$G$4:$G$603,次果筐明细!$C$4:$C$603,$B201,次果筐明细!$D$4:$D$603,_自动清单!$AS$7,次果筐明细!$F$4:$F$603,"*出库*",次果筐明细!$B$4:$B$603,"&gt;="&amp;$Z$1,次果筐明细!$B$4:$B$603,"&lt;="&amp;$Z$2))</f>
        <v/>
      </c>
      <c r="G201" s="39" t="str">
        <f>IF($B201="","",SUMIFS(次果筐明细!$G$4:$G$603,次果筐明细!$C$4:$C$603,$B201,次果筐明细!$F$4:$F$603,"*出库*",次果筐明细!$B$4:$B$603,"&gt;="&amp;$Z$1,次果筐明细!$B$4:$B$603,"&lt;="&amp;$Z$2)-SUM($C201:$F201))</f>
        <v/>
      </c>
      <c r="H201" s="39" t="str">
        <f t="shared" si="19"/>
        <v/>
      </c>
      <c r="I201" s="39" t="str">
        <f>IF(OR($B201="",_自动清单!$AS$4=""),"",SUMIFS(次果筐明细!$G$4:$G$603,次果筐明细!$C$4:$C$603,$B201,次果筐明细!$D$4:$D$603,_自动清单!$AS$4,次果筐明细!$F$4:$F$603,"*入库*",次果筐明细!$B$4:$B$603,"&gt;="&amp;$Z$1,次果筐明细!$B$4:$B$603,"&lt;="&amp;$Z$2))</f>
        <v/>
      </c>
      <c r="J201" s="39" t="str">
        <f>IF(OR($B201="",_自动清单!$AS$5=""),"",SUMIFS(次果筐明细!$G$4:$G$603,次果筐明细!$C$4:$C$603,$B201,次果筐明细!$D$4:$D$603,_自动清单!$AS$5,次果筐明细!$F$4:$F$603,"*入库*",次果筐明细!$B$4:$B$603,"&gt;="&amp;$Z$1,次果筐明细!$B$4:$B$603,"&lt;="&amp;$Z$2))</f>
        <v/>
      </c>
      <c r="K201" s="39" t="str">
        <f>IF(OR($B201="",_自动清单!$AS$6=""),"",SUMIFS(次果筐明细!$G$4:$G$603,次果筐明细!$C$4:$C$603,$B201,次果筐明细!$D$4:$D$603,_自动清单!$AS$6,次果筐明细!$F$4:$F$603,"*入库*",次果筐明细!$B$4:$B$603,"&gt;="&amp;$Z$1,次果筐明细!$B$4:$B$603,"&lt;="&amp;$Z$2))</f>
        <v/>
      </c>
      <c r="L201" s="39" t="str">
        <f>IF(OR($B201="",_自动清单!$AS$7=""),"",SUMIFS(次果筐明细!$G$4:$G$603,次果筐明细!$C$4:$C$603,$B201,次果筐明细!$D$4:$D$603,_自动清单!$AS$7,次果筐明细!$F$4:$F$603,"*入库*",次果筐明细!$B$4:$B$603,"&gt;="&amp;$Z$1,次果筐明细!$B$4:$B$603,"&lt;="&amp;$Z$2))</f>
        <v/>
      </c>
      <c r="M201" s="62" t="str">
        <f>IF($B201="","",SUMIFS(次果筐明细!$G$4:$G$603,次果筐明细!$C$4:$C$603,$B201,次果筐明细!$F$4:$F$603,"*入库*",次果筐明细!$B$4:$B$603,"&gt;="&amp;$Z$1,次果筐明细!$B$4:$B$603,"&lt;="&amp;$Z$2)-SUM($I201:$L201))</f>
        <v/>
      </c>
      <c r="N201" s="62" t="str">
        <f t="shared" si="20"/>
        <v/>
      </c>
      <c r="O201" s="39" t="str">
        <f t="shared" si="21"/>
        <v/>
      </c>
      <c r="P201" s="30" t="str">
        <f>IF($B201="","",ROUND(SUMIFS(次果筐明细!$L$4:$L$603,次果筐明细!$C$4:$C$603,$B201,次果筐明细!$B$4:$B$603,"&gt;="&amp;$Z$1,次果筐明细!$B$4:$B$603,"&lt;="&amp;$Z$2),2))</f>
        <v/>
      </c>
      <c r="Q201" s="30" t="str">
        <f>IF($B201="","",ROUND(SUMIFS(次果筐明细!$L$4:$L$603,次果筐明细!$C$4:$C$603,$B201,次果筐明细!$M$4:$M$603,"已收讫",次果筐明细!$B$4:$B$603,"&gt;="&amp;$Z$1,次果筐明细!$B$4:$B$603,"&lt;="&amp;$Z$2),2))</f>
        <v/>
      </c>
      <c r="R201" s="30" t="str">
        <f t="shared" si="22"/>
        <v/>
      </c>
      <c r="S201" s="30" t="str">
        <f>IF($B201="","",ROUND(SUMIFS(次果筐明细!$J$4:$J$603,次果筐明细!$C$4:$C$603,$B201,次果筐明细!$B$4:$B$603,"&gt;="&amp;$Z$1,次果筐明细!$B$4:$B$603,"&lt;="&amp;$Z$2),2))</f>
        <v/>
      </c>
      <c r="T201" s="63" t="str">
        <f>IF($B201="","",ROUND(SUMIFS(次果筐明细!$K$4:$K$603,次果筐明细!$C$4:$C$603,$B201,次果筐明细!$B$4:$B$603,"&gt;="&amp;$Z$1,次果筐明细!$B$4:$B$603,"&lt;="&amp;$Z$2),2))</f>
        <v/>
      </c>
      <c r="U201" s="30" t="str">
        <f t="shared" si="23"/>
        <v/>
      </c>
      <c r="V201" s="42"/>
    </row>
    <row r="202" spans="1:22">
      <c r="A202" s="24" t="str">
        <f t="shared" si="18"/>
        <v/>
      </c>
      <c r="B202" s="37" t="str">
        <f>IFERROR(INDEX(_自动清单!$AY$4:$AY$203,ROW()-3),"")</f>
        <v/>
      </c>
      <c r="C202" s="39" t="str">
        <f>IF(OR($B202="",_自动清单!$AS$4=""),"",SUMIFS(次果筐明细!$G$4:$G$603,次果筐明细!$C$4:$C$603,$B202,次果筐明细!$D$4:$D$603,_自动清单!$AS$4,次果筐明细!$F$4:$F$603,"*出库*",次果筐明细!$B$4:$B$603,"&gt;="&amp;$Z$1,次果筐明细!$B$4:$B$603,"&lt;="&amp;$Z$2))</f>
        <v/>
      </c>
      <c r="D202" s="39" t="str">
        <f>IF(OR($B202="",_自动清单!$AS$5=""),"",SUMIFS(次果筐明细!$G$4:$G$603,次果筐明细!$C$4:$C$603,$B202,次果筐明细!$D$4:$D$603,_自动清单!$AS$5,次果筐明细!$F$4:$F$603,"*出库*",次果筐明细!$B$4:$B$603,"&gt;="&amp;$Z$1,次果筐明细!$B$4:$B$603,"&lt;="&amp;$Z$2))</f>
        <v/>
      </c>
      <c r="E202" s="39" t="str">
        <f>IF(OR($B202="",_自动清单!$AS$6=""),"",SUMIFS(次果筐明细!$G$4:$G$603,次果筐明细!$C$4:$C$603,$B202,次果筐明细!$D$4:$D$603,_自动清单!$AS$6,次果筐明细!$F$4:$F$603,"*出库*",次果筐明细!$B$4:$B$603,"&gt;="&amp;$Z$1,次果筐明细!$B$4:$B$603,"&lt;="&amp;$Z$2))</f>
        <v/>
      </c>
      <c r="F202" s="39" t="str">
        <f>IF(OR($B202="",_自动清单!$AS$7=""),"",SUMIFS(次果筐明细!$G$4:$G$603,次果筐明细!$C$4:$C$603,$B202,次果筐明细!$D$4:$D$603,_自动清单!$AS$7,次果筐明细!$F$4:$F$603,"*出库*",次果筐明细!$B$4:$B$603,"&gt;="&amp;$Z$1,次果筐明细!$B$4:$B$603,"&lt;="&amp;$Z$2))</f>
        <v/>
      </c>
      <c r="G202" s="39" t="str">
        <f>IF($B202="","",SUMIFS(次果筐明细!$G$4:$G$603,次果筐明细!$C$4:$C$603,$B202,次果筐明细!$F$4:$F$603,"*出库*",次果筐明细!$B$4:$B$603,"&gt;="&amp;$Z$1,次果筐明细!$B$4:$B$603,"&lt;="&amp;$Z$2)-SUM($C202:$F202))</f>
        <v/>
      </c>
      <c r="H202" s="39" t="str">
        <f t="shared" si="19"/>
        <v/>
      </c>
      <c r="I202" s="39" t="str">
        <f>IF(OR($B202="",_自动清单!$AS$4=""),"",SUMIFS(次果筐明细!$G$4:$G$603,次果筐明细!$C$4:$C$603,$B202,次果筐明细!$D$4:$D$603,_自动清单!$AS$4,次果筐明细!$F$4:$F$603,"*入库*",次果筐明细!$B$4:$B$603,"&gt;="&amp;$Z$1,次果筐明细!$B$4:$B$603,"&lt;="&amp;$Z$2))</f>
        <v/>
      </c>
      <c r="J202" s="39" t="str">
        <f>IF(OR($B202="",_自动清单!$AS$5=""),"",SUMIFS(次果筐明细!$G$4:$G$603,次果筐明细!$C$4:$C$603,$B202,次果筐明细!$D$4:$D$603,_自动清单!$AS$5,次果筐明细!$F$4:$F$603,"*入库*",次果筐明细!$B$4:$B$603,"&gt;="&amp;$Z$1,次果筐明细!$B$4:$B$603,"&lt;="&amp;$Z$2))</f>
        <v/>
      </c>
      <c r="K202" s="39" t="str">
        <f>IF(OR($B202="",_自动清单!$AS$6=""),"",SUMIFS(次果筐明细!$G$4:$G$603,次果筐明细!$C$4:$C$603,$B202,次果筐明细!$D$4:$D$603,_自动清单!$AS$6,次果筐明细!$F$4:$F$603,"*入库*",次果筐明细!$B$4:$B$603,"&gt;="&amp;$Z$1,次果筐明细!$B$4:$B$603,"&lt;="&amp;$Z$2))</f>
        <v/>
      </c>
      <c r="L202" s="39" t="str">
        <f>IF(OR($B202="",_自动清单!$AS$7=""),"",SUMIFS(次果筐明细!$G$4:$G$603,次果筐明细!$C$4:$C$603,$B202,次果筐明细!$D$4:$D$603,_自动清单!$AS$7,次果筐明细!$F$4:$F$603,"*入库*",次果筐明细!$B$4:$B$603,"&gt;="&amp;$Z$1,次果筐明细!$B$4:$B$603,"&lt;="&amp;$Z$2))</f>
        <v/>
      </c>
      <c r="M202" s="62" t="str">
        <f>IF($B202="","",SUMIFS(次果筐明细!$G$4:$G$603,次果筐明细!$C$4:$C$603,$B202,次果筐明细!$F$4:$F$603,"*入库*",次果筐明细!$B$4:$B$603,"&gt;="&amp;$Z$1,次果筐明细!$B$4:$B$603,"&lt;="&amp;$Z$2)-SUM($I202:$L202))</f>
        <v/>
      </c>
      <c r="N202" s="62" t="str">
        <f t="shared" si="20"/>
        <v/>
      </c>
      <c r="O202" s="39" t="str">
        <f t="shared" si="21"/>
        <v/>
      </c>
      <c r="P202" s="30" t="str">
        <f>IF($B202="","",ROUND(SUMIFS(次果筐明细!$L$4:$L$603,次果筐明细!$C$4:$C$603,$B202,次果筐明细!$B$4:$B$603,"&gt;="&amp;$Z$1,次果筐明细!$B$4:$B$603,"&lt;="&amp;$Z$2),2))</f>
        <v/>
      </c>
      <c r="Q202" s="30" t="str">
        <f>IF($B202="","",ROUND(SUMIFS(次果筐明细!$L$4:$L$603,次果筐明细!$C$4:$C$603,$B202,次果筐明细!$M$4:$M$603,"已收讫",次果筐明细!$B$4:$B$603,"&gt;="&amp;$Z$1,次果筐明细!$B$4:$B$603,"&lt;="&amp;$Z$2),2))</f>
        <v/>
      </c>
      <c r="R202" s="30" t="str">
        <f t="shared" si="22"/>
        <v/>
      </c>
      <c r="S202" s="30" t="str">
        <f>IF($B202="","",ROUND(SUMIFS(次果筐明细!$J$4:$J$603,次果筐明细!$C$4:$C$603,$B202,次果筐明细!$B$4:$B$603,"&gt;="&amp;$Z$1,次果筐明细!$B$4:$B$603,"&lt;="&amp;$Z$2),2))</f>
        <v/>
      </c>
      <c r="T202" s="63" t="str">
        <f>IF($B202="","",ROUND(SUMIFS(次果筐明细!$K$4:$K$603,次果筐明细!$C$4:$C$603,$B202,次果筐明细!$B$4:$B$603,"&gt;="&amp;$Z$1,次果筐明细!$B$4:$B$603,"&lt;="&amp;$Z$2),2))</f>
        <v/>
      </c>
      <c r="U202" s="30" t="str">
        <f t="shared" si="23"/>
        <v/>
      </c>
      <c r="V202" s="42"/>
    </row>
    <row r="203" spans="1:22">
      <c r="A203" s="24" t="str">
        <f t="shared" si="18"/>
        <v/>
      </c>
      <c r="B203" s="37" t="str">
        <f>IFERROR(INDEX(_自动清单!$AY$4:$AY$203,ROW()-3),"")</f>
        <v/>
      </c>
      <c r="C203" s="39" t="str">
        <f>IF(OR($B203="",_自动清单!$AS$4=""),"",SUMIFS(次果筐明细!$G$4:$G$603,次果筐明细!$C$4:$C$603,$B203,次果筐明细!$D$4:$D$603,_自动清单!$AS$4,次果筐明细!$F$4:$F$603,"*出库*",次果筐明细!$B$4:$B$603,"&gt;="&amp;$Z$1,次果筐明细!$B$4:$B$603,"&lt;="&amp;$Z$2))</f>
        <v/>
      </c>
      <c r="D203" s="39" t="str">
        <f>IF(OR($B203="",_自动清单!$AS$5=""),"",SUMIFS(次果筐明细!$G$4:$G$603,次果筐明细!$C$4:$C$603,$B203,次果筐明细!$D$4:$D$603,_自动清单!$AS$5,次果筐明细!$F$4:$F$603,"*出库*",次果筐明细!$B$4:$B$603,"&gt;="&amp;$Z$1,次果筐明细!$B$4:$B$603,"&lt;="&amp;$Z$2))</f>
        <v/>
      </c>
      <c r="E203" s="39" t="str">
        <f>IF(OR($B203="",_自动清单!$AS$6=""),"",SUMIFS(次果筐明细!$G$4:$G$603,次果筐明细!$C$4:$C$603,$B203,次果筐明细!$D$4:$D$603,_自动清单!$AS$6,次果筐明细!$F$4:$F$603,"*出库*",次果筐明细!$B$4:$B$603,"&gt;="&amp;$Z$1,次果筐明细!$B$4:$B$603,"&lt;="&amp;$Z$2))</f>
        <v/>
      </c>
      <c r="F203" s="39" t="str">
        <f>IF(OR($B203="",_自动清单!$AS$7=""),"",SUMIFS(次果筐明细!$G$4:$G$603,次果筐明细!$C$4:$C$603,$B203,次果筐明细!$D$4:$D$603,_自动清单!$AS$7,次果筐明细!$F$4:$F$603,"*出库*",次果筐明细!$B$4:$B$603,"&gt;="&amp;$Z$1,次果筐明细!$B$4:$B$603,"&lt;="&amp;$Z$2))</f>
        <v/>
      </c>
      <c r="G203" s="39" t="str">
        <f>IF($B203="","",SUMIFS(次果筐明细!$G$4:$G$603,次果筐明细!$C$4:$C$603,$B203,次果筐明细!$F$4:$F$603,"*出库*",次果筐明细!$B$4:$B$603,"&gt;="&amp;$Z$1,次果筐明细!$B$4:$B$603,"&lt;="&amp;$Z$2)-SUM($C203:$F203))</f>
        <v/>
      </c>
      <c r="H203" s="39" t="str">
        <f t="shared" si="19"/>
        <v/>
      </c>
      <c r="I203" s="39" t="str">
        <f>IF(OR($B203="",_自动清单!$AS$4=""),"",SUMIFS(次果筐明细!$G$4:$G$603,次果筐明细!$C$4:$C$603,$B203,次果筐明细!$D$4:$D$603,_自动清单!$AS$4,次果筐明细!$F$4:$F$603,"*入库*",次果筐明细!$B$4:$B$603,"&gt;="&amp;$Z$1,次果筐明细!$B$4:$B$603,"&lt;="&amp;$Z$2))</f>
        <v/>
      </c>
      <c r="J203" s="39" t="str">
        <f>IF(OR($B203="",_自动清单!$AS$5=""),"",SUMIFS(次果筐明细!$G$4:$G$603,次果筐明细!$C$4:$C$603,$B203,次果筐明细!$D$4:$D$603,_自动清单!$AS$5,次果筐明细!$F$4:$F$603,"*入库*",次果筐明细!$B$4:$B$603,"&gt;="&amp;$Z$1,次果筐明细!$B$4:$B$603,"&lt;="&amp;$Z$2))</f>
        <v/>
      </c>
      <c r="K203" s="39" t="str">
        <f>IF(OR($B203="",_自动清单!$AS$6=""),"",SUMIFS(次果筐明细!$G$4:$G$603,次果筐明细!$C$4:$C$603,$B203,次果筐明细!$D$4:$D$603,_自动清单!$AS$6,次果筐明细!$F$4:$F$603,"*入库*",次果筐明细!$B$4:$B$603,"&gt;="&amp;$Z$1,次果筐明细!$B$4:$B$603,"&lt;="&amp;$Z$2))</f>
        <v/>
      </c>
      <c r="L203" s="39" t="str">
        <f>IF(OR($B203="",_自动清单!$AS$7=""),"",SUMIFS(次果筐明细!$G$4:$G$603,次果筐明细!$C$4:$C$603,$B203,次果筐明细!$D$4:$D$603,_自动清单!$AS$7,次果筐明细!$F$4:$F$603,"*入库*",次果筐明细!$B$4:$B$603,"&gt;="&amp;$Z$1,次果筐明细!$B$4:$B$603,"&lt;="&amp;$Z$2))</f>
        <v/>
      </c>
      <c r="M203" s="62" t="str">
        <f>IF($B203="","",SUMIFS(次果筐明细!$G$4:$G$603,次果筐明细!$C$4:$C$603,$B203,次果筐明细!$F$4:$F$603,"*入库*",次果筐明细!$B$4:$B$603,"&gt;="&amp;$Z$1,次果筐明细!$B$4:$B$603,"&lt;="&amp;$Z$2)-SUM($I203:$L203))</f>
        <v/>
      </c>
      <c r="N203" s="62" t="str">
        <f t="shared" si="20"/>
        <v/>
      </c>
      <c r="O203" s="39" t="str">
        <f t="shared" si="21"/>
        <v/>
      </c>
      <c r="P203" s="30" t="str">
        <f>IF($B203="","",ROUND(SUMIFS(次果筐明细!$L$4:$L$603,次果筐明细!$C$4:$C$603,$B203,次果筐明细!$B$4:$B$603,"&gt;="&amp;$Z$1,次果筐明细!$B$4:$B$603,"&lt;="&amp;$Z$2),2))</f>
        <v/>
      </c>
      <c r="Q203" s="30" t="str">
        <f>IF($B203="","",ROUND(SUMIFS(次果筐明细!$L$4:$L$603,次果筐明细!$C$4:$C$603,$B203,次果筐明细!$M$4:$M$603,"已收讫",次果筐明细!$B$4:$B$603,"&gt;="&amp;$Z$1,次果筐明细!$B$4:$B$603,"&lt;="&amp;$Z$2),2))</f>
        <v/>
      </c>
      <c r="R203" s="30" t="str">
        <f t="shared" si="22"/>
        <v/>
      </c>
      <c r="S203" s="30" t="str">
        <f>IF($B203="","",ROUND(SUMIFS(次果筐明细!$J$4:$J$603,次果筐明细!$C$4:$C$603,$B203,次果筐明细!$B$4:$B$603,"&gt;="&amp;$Z$1,次果筐明细!$B$4:$B$603,"&lt;="&amp;$Z$2),2))</f>
        <v/>
      </c>
      <c r="T203" s="63" t="str">
        <f>IF($B203="","",ROUND(SUMIFS(次果筐明细!$K$4:$K$603,次果筐明细!$C$4:$C$603,$B203,次果筐明细!$B$4:$B$603,"&gt;="&amp;$Z$1,次果筐明细!$B$4:$B$603,"&lt;="&amp;$Z$2),2))</f>
        <v/>
      </c>
      <c r="U203" s="30" t="str">
        <f t="shared" si="23"/>
        <v/>
      </c>
      <c r="V203" s="42"/>
    </row>
    <row r="204" spans="1:22">
      <c r="A204" s="51"/>
      <c r="B204" s="51" t="s">
        <v>473</v>
      </c>
      <c r="C204" s="52">
        <f t="shared" ref="C204:U204" si="24">ROUND(SUM(C4:C203),2)</f>
        <v>0</v>
      </c>
      <c r="D204" s="52">
        <f t="shared" si="24"/>
        <v>0</v>
      </c>
      <c r="E204" s="52">
        <f t="shared" si="24"/>
        <v>0</v>
      </c>
      <c r="F204" s="52">
        <f t="shared" si="24"/>
        <v>0</v>
      </c>
      <c r="G204" s="52">
        <f t="shared" si="24"/>
        <v>0</v>
      </c>
      <c r="H204" s="52">
        <f t="shared" si="24"/>
        <v>0</v>
      </c>
      <c r="I204" s="52">
        <f t="shared" si="24"/>
        <v>0</v>
      </c>
      <c r="J204" s="52">
        <f t="shared" si="24"/>
        <v>0</v>
      </c>
      <c r="K204" s="52">
        <f t="shared" si="24"/>
        <v>0</v>
      </c>
      <c r="L204" s="52">
        <f t="shared" si="24"/>
        <v>0</v>
      </c>
      <c r="M204" s="64">
        <f t="shared" si="24"/>
        <v>0</v>
      </c>
      <c r="N204" s="64">
        <f t="shared" si="24"/>
        <v>0</v>
      </c>
      <c r="O204" s="52">
        <f t="shared" si="24"/>
        <v>0</v>
      </c>
      <c r="P204" s="65">
        <f t="shared" si="24"/>
        <v>0</v>
      </c>
      <c r="Q204" s="65">
        <f t="shared" si="24"/>
        <v>0</v>
      </c>
      <c r="R204" s="65">
        <f t="shared" si="24"/>
        <v>0</v>
      </c>
      <c r="S204" s="65">
        <f t="shared" si="24"/>
        <v>0</v>
      </c>
      <c r="T204" s="66">
        <f t="shared" si="24"/>
        <v>0</v>
      </c>
      <c r="U204" s="65">
        <f t="shared" si="24"/>
        <v>0</v>
      </c>
      <c r="V204" s="51"/>
    </row>
  </sheetData>
  <mergeCells count="2">
    <mergeCell ref="A1:V1"/>
    <mergeCell ref="A2:R2"/>
  </mergeCells>
  <conditionalFormatting sqref="A2">
    <cfRule type="expression" dxfId="0" priority="1">
      <formula>(N(_自动清单!$AU$1)&gt;200)+(N(_自动清单!$AO$1)&gt;4)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</sheetPr>
  <dimension ref="A1:O20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P12" sqref="P12"/>
    </sheetView>
  </sheetViews>
  <sheetFormatPr defaultColWidth="9" defaultRowHeight="15"/>
  <cols>
    <col min="1" max="1" width="5" style="53" customWidth="1"/>
    <col min="2" max="2" width="16" style="53" customWidth="1"/>
    <col min="3" max="6" width="15" style="53" customWidth="1"/>
    <col min="7" max="8" width="14" style="53" customWidth="1"/>
    <col min="9" max="9" width="15" style="53" customWidth="1"/>
    <col min="10" max="10" width="12" style="53" customWidth="1"/>
    <col min="11" max="11" width="16" style="53" customWidth="1"/>
    <col min="12" max="14" width="9" style="53"/>
    <col min="15" max="15" width="10.1428571428571" style="53"/>
    <col min="16" max="16384" width="9" style="53"/>
  </cols>
  <sheetData>
    <row r="1" ht="30" customHeight="1" spans="1:15">
      <c r="A1" s="7" t="s">
        <v>515</v>
      </c>
      <c r="O1" s="54">
        <f>IF($I2="",DATE(1900,1,1),$I2)</f>
        <v>1</v>
      </c>
    </row>
    <row r="2" ht="20" customHeight="1" spans="1:15">
      <c r="A2" s="55" t="s">
        <v>465</v>
      </c>
      <c r="H2" s="13" t="s">
        <v>466</v>
      </c>
      <c r="I2" s="19"/>
      <c r="J2" s="13" t="s">
        <v>467</v>
      </c>
      <c r="K2" s="19"/>
      <c r="O2" s="54">
        <f>IF($K2="",DATE(2999,12,31),$K2)</f>
        <v>401768</v>
      </c>
    </row>
    <row r="3" ht="30" customHeight="1" spans="1:15">
      <c r="A3" s="21" t="s">
        <v>3</v>
      </c>
      <c r="B3" s="21" t="s">
        <v>457</v>
      </c>
      <c r="C3" s="21" t="s">
        <v>516</v>
      </c>
      <c r="D3" s="21" t="s">
        <v>517</v>
      </c>
      <c r="E3" s="21" t="s">
        <v>518</v>
      </c>
      <c r="F3" s="21" t="s">
        <v>519</v>
      </c>
      <c r="G3" s="21" t="s">
        <v>520</v>
      </c>
      <c r="H3" s="21" t="s">
        <v>521</v>
      </c>
      <c r="I3" s="21" t="s">
        <v>522</v>
      </c>
      <c r="J3" s="21" t="s">
        <v>523</v>
      </c>
      <c r="K3" s="21" t="s">
        <v>306</v>
      </c>
    </row>
    <row r="4" spans="1:15">
      <c r="A4" s="24">
        <f t="shared" ref="A4:A67" si="0">IF($B4="","",ROW()-3)</f>
        <v>1</v>
      </c>
      <c r="B4" s="24" t="str">
        <f>IFERROR(INDEX(_自动清单!$BW$4:$BW$253,ROW()-3),"")</f>
        <v>果然鲜</v>
      </c>
      <c r="C4" s="26">
        <f>IF($B4="","",ROUND(SUMIFS(周转筐出入库明细!$S$4:$S$2004,周转筐出入库明细!$C$4:$C$2004,$B4,周转筐出入库明细!$B$4:$B$2004,"&gt;="&amp;$O$1,周转筐出入库明细!$B$4:$B$2004,"&lt;="&amp;$O$2),2))</f>
        <v>0</v>
      </c>
      <c r="D4" s="60">
        <f>IF($B4="","",ROUND(SUMIFS(周转筐出入库明细!$T$4:$T$2004,周转筐出入库明细!$C$4:$C$2004,$B4,周转筐出入库明细!$B$4:$B$2004,"&gt;="&amp;$O$1,周转筐出入库明细!$B$4:$B$2004,"&lt;="&amp;$O$2),2))</f>
        <v>0</v>
      </c>
      <c r="E4" s="26">
        <f>IF($B4="","",ROUND(SUMIFS(次果筐明细!$J$4:$J$603,次果筐明细!$C$4:$C$603,$B4,次果筐明细!$B$4:$B$603,"&gt;="&amp;$O$1,次果筐明细!$B$4:$B$603,"&lt;="&amp;$O$2),2))</f>
        <v>0</v>
      </c>
      <c r="F4" s="60">
        <f>IF($B4="","",ROUND(SUMIFS(次果筐明细!$K$4:$K$603,次果筐明细!$C$4:$C$603,$B4,次果筐明细!$B$4:$B$603,"&gt;="&amp;$O$1,次果筐明细!$B$4:$B$603,"&lt;="&amp;$O$2),2))</f>
        <v>0</v>
      </c>
      <c r="G4" s="26">
        <f t="shared" ref="G4:G67" si="1">IF($B4="","",ROUND(N($C4)+N($E4),2))</f>
        <v>0</v>
      </c>
      <c r="H4" s="60">
        <f t="shared" ref="H4:H67" si="2">IF($B4="","",ROUND(N($D4)+N($F4),2))</f>
        <v>0</v>
      </c>
      <c r="I4" s="26">
        <f t="shared" ref="I4:I67" si="3">IF($B4="","",ROUND(N($G4)-N($H4),2))</f>
        <v>0</v>
      </c>
      <c r="J4" s="24" t="str">
        <f t="shared" ref="J4:J67" si="4">IF($B4="","",IF(ROUND(N($G4),2)=0,"无押金",IF(ROUND(N($I4),2)=0,"已结清","未结清")))</f>
        <v>无押金</v>
      </c>
      <c r="K4" s="41"/>
    </row>
    <row r="5" spans="1:15">
      <c r="A5" s="24">
        <f t="shared" si="0"/>
        <v>2</v>
      </c>
      <c r="B5" s="24" t="str">
        <f>IFERROR(INDEX(_自动清单!$BW$4:$BW$253,ROW()-3),"")</f>
        <v>新顺发泡网</v>
      </c>
      <c r="C5" s="26">
        <f>IF($B5="","",ROUND(SUMIFS(周转筐出入库明细!$S$4:$S$2004,周转筐出入库明细!$C$4:$C$2004,$B5,周转筐出入库明细!$B$4:$B$2004,"&gt;="&amp;$O$1,周转筐出入库明细!$B$4:$B$2004,"&lt;="&amp;$O$2),2))</f>
        <v>0</v>
      </c>
      <c r="D5" s="60">
        <f>IF($B5="","",ROUND(SUMIFS(周转筐出入库明细!$T$4:$T$2004,周转筐出入库明细!$C$4:$C$2004,$B5,周转筐出入库明细!$B$4:$B$2004,"&gt;="&amp;$O$1,周转筐出入库明细!$B$4:$B$2004,"&lt;="&amp;$O$2),2))</f>
        <v>0</v>
      </c>
      <c r="E5" s="26">
        <f>IF($B5="","",ROUND(SUMIFS(次果筐明细!$J$4:$J$603,次果筐明细!$C$4:$C$603,$B5,次果筐明细!$B$4:$B$603,"&gt;="&amp;$O$1,次果筐明细!$B$4:$B$603,"&lt;="&amp;$O$2),2))</f>
        <v>0</v>
      </c>
      <c r="F5" s="60">
        <f>IF($B5="","",ROUND(SUMIFS(次果筐明细!$K$4:$K$603,次果筐明细!$C$4:$C$603,$B5,次果筐明细!$B$4:$B$603,"&gt;="&amp;$O$1,次果筐明细!$B$4:$B$603,"&lt;="&amp;$O$2),2))</f>
        <v>0</v>
      </c>
      <c r="G5" s="26">
        <f t="shared" si="1"/>
        <v>0</v>
      </c>
      <c r="H5" s="60">
        <f t="shared" si="2"/>
        <v>0</v>
      </c>
      <c r="I5" s="26">
        <f t="shared" si="3"/>
        <v>0</v>
      </c>
      <c r="J5" s="24" t="str">
        <f t="shared" si="4"/>
        <v>无押金</v>
      </c>
      <c r="K5" s="41"/>
    </row>
    <row r="6" spans="1:15">
      <c r="A6" s="24">
        <f t="shared" si="0"/>
        <v>3</v>
      </c>
      <c r="B6" s="24" t="str">
        <f>IFERROR(INDEX(_自动清单!$BW$4:$BW$253,ROW()-3),"")</f>
        <v>吐尔洪</v>
      </c>
      <c r="C6" s="26">
        <f>IF($B6="","",ROUND(SUMIFS(周转筐出入库明细!$S$4:$S$2004,周转筐出入库明细!$C$4:$C$2004,$B6,周转筐出入库明细!$B$4:$B$2004,"&gt;="&amp;$O$1,周转筐出入库明细!$B$4:$B$2004,"&lt;="&amp;$O$2),2))</f>
        <v>0</v>
      </c>
      <c r="D6" s="60">
        <f>IF($B6="","",ROUND(SUMIFS(周转筐出入库明细!$T$4:$T$2004,周转筐出入库明细!$C$4:$C$2004,$B6,周转筐出入库明细!$B$4:$B$2004,"&gt;="&amp;$O$1,周转筐出入库明细!$B$4:$B$2004,"&lt;="&amp;$O$2),2))</f>
        <v>0</v>
      </c>
      <c r="E6" s="26">
        <f>IF($B6="","",ROUND(SUMIFS(次果筐明细!$J$4:$J$603,次果筐明细!$C$4:$C$603,$B6,次果筐明细!$B$4:$B$603,"&gt;="&amp;$O$1,次果筐明细!$B$4:$B$603,"&lt;="&amp;$O$2),2))</f>
        <v>0</v>
      </c>
      <c r="F6" s="60">
        <f>IF($B6="","",ROUND(SUMIFS(次果筐明细!$K$4:$K$603,次果筐明细!$C$4:$C$603,$B6,次果筐明细!$B$4:$B$603,"&gt;="&amp;$O$1,次果筐明细!$B$4:$B$603,"&lt;="&amp;$O$2),2))</f>
        <v>0</v>
      </c>
      <c r="G6" s="26">
        <f t="shared" si="1"/>
        <v>0</v>
      </c>
      <c r="H6" s="60">
        <f t="shared" si="2"/>
        <v>0</v>
      </c>
      <c r="I6" s="26">
        <f t="shared" si="3"/>
        <v>0</v>
      </c>
      <c r="J6" s="24" t="str">
        <f t="shared" si="4"/>
        <v>无押金</v>
      </c>
      <c r="K6" s="41"/>
    </row>
    <row r="7" spans="1:15">
      <c r="A7" s="24">
        <f t="shared" si="0"/>
        <v>4</v>
      </c>
      <c r="B7" s="24" t="str">
        <f>IFERROR(INDEX(_自动清单!$BW$4:$BW$253,ROW()-3),"")</f>
        <v>热合曼</v>
      </c>
      <c r="C7" s="26">
        <f>IF($B7="","",ROUND(SUMIFS(周转筐出入库明细!$S$4:$S$2004,周转筐出入库明细!$C$4:$C$2004,$B7,周转筐出入库明细!$B$4:$B$2004,"&gt;="&amp;$O$1,周转筐出入库明细!$B$4:$B$2004,"&lt;="&amp;$O$2),2))</f>
        <v>0</v>
      </c>
      <c r="D7" s="60">
        <f>IF($B7="","",ROUND(SUMIFS(周转筐出入库明细!$T$4:$T$2004,周转筐出入库明细!$C$4:$C$2004,$B7,周转筐出入库明细!$B$4:$B$2004,"&gt;="&amp;$O$1,周转筐出入库明细!$B$4:$B$2004,"&lt;="&amp;$O$2),2))</f>
        <v>0</v>
      </c>
      <c r="E7" s="26">
        <f>IF($B7="","",ROUND(SUMIFS(次果筐明细!$J$4:$J$603,次果筐明细!$C$4:$C$603,$B7,次果筐明细!$B$4:$B$603,"&gt;="&amp;$O$1,次果筐明细!$B$4:$B$603,"&lt;="&amp;$O$2),2))</f>
        <v>0</v>
      </c>
      <c r="F7" s="60">
        <f>IF($B7="","",ROUND(SUMIFS(次果筐明细!$K$4:$K$603,次果筐明细!$C$4:$C$603,$B7,次果筐明细!$B$4:$B$603,"&gt;="&amp;$O$1,次果筐明细!$B$4:$B$603,"&lt;="&amp;$O$2),2))</f>
        <v>0</v>
      </c>
      <c r="G7" s="26">
        <f t="shared" si="1"/>
        <v>0</v>
      </c>
      <c r="H7" s="60">
        <f t="shared" si="2"/>
        <v>0</v>
      </c>
      <c r="I7" s="26">
        <f t="shared" si="3"/>
        <v>0</v>
      </c>
      <c r="J7" s="24" t="str">
        <f t="shared" si="4"/>
        <v>无押金</v>
      </c>
      <c r="K7" s="41"/>
    </row>
    <row r="8" spans="1:15">
      <c r="A8" s="24">
        <f t="shared" si="0"/>
        <v>5</v>
      </c>
      <c r="B8" s="24" t="str">
        <f>IFERROR(INDEX(_自动清单!$BW$4:$BW$253,ROW()-3),"")</f>
        <v>麦麦提</v>
      </c>
      <c r="C8" s="26">
        <f>IF($B8="","",ROUND(SUMIFS(周转筐出入库明细!$S$4:$S$2004,周转筐出入库明细!$C$4:$C$2004,$B8,周转筐出入库明细!$B$4:$B$2004,"&gt;="&amp;$O$1,周转筐出入库明细!$B$4:$B$2004,"&lt;="&amp;$O$2),2))</f>
        <v>0</v>
      </c>
      <c r="D8" s="60">
        <f>IF($B8="","",ROUND(SUMIFS(周转筐出入库明细!$T$4:$T$2004,周转筐出入库明细!$C$4:$C$2004,$B8,周转筐出入库明细!$B$4:$B$2004,"&gt;="&amp;$O$1,周转筐出入库明细!$B$4:$B$2004,"&lt;="&amp;$O$2),2))</f>
        <v>0</v>
      </c>
      <c r="E8" s="26">
        <f>IF($B8="","",ROUND(SUMIFS(次果筐明细!$J$4:$J$603,次果筐明细!$C$4:$C$603,$B8,次果筐明细!$B$4:$B$603,"&gt;="&amp;$O$1,次果筐明细!$B$4:$B$603,"&lt;="&amp;$O$2),2))</f>
        <v>0</v>
      </c>
      <c r="F8" s="60">
        <f>IF($B8="","",ROUND(SUMIFS(次果筐明细!$K$4:$K$603,次果筐明细!$C$4:$C$603,$B8,次果筐明细!$B$4:$B$603,"&gt;="&amp;$O$1,次果筐明细!$B$4:$B$603,"&lt;="&amp;$O$2),2))</f>
        <v>0</v>
      </c>
      <c r="G8" s="26">
        <f t="shared" si="1"/>
        <v>0</v>
      </c>
      <c r="H8" s="60">
        <f t="shared" si="2"/>
        <v>0</v>
      </c>
      <c r="I8" s="26">
        <f t="shared" si="3"/>
        <v>0</v>
      </c>
      <c r="J8" s="24" t="str">
        <f t="shared" si="4"/>
        <v>无押金</v>
      </c>
      <c r="K8" s="41"/>
    </row>
    <row r="9" spans="1:15">
      <c r="A9" s="24">
        <f t="shared" si="0"/>
        <v>6</v>
      </c>
      <c r="B9" s="24" t="str">
        <f>IFERROR(INDEX(_自动清单!$BW$4:$BW$253,ROW()-3),"")</f>
        <v>荆建君</v>
      </c>
      <c r="C9" s="26">
        <f>IF($B9="","",ROUND(SUMIFS(周转筐出入库明细!$S$4:$S$2004,周转筐出入库明细!$C$4:$C$2004,$B9,周转筐出入库明细!$B$4:$B$2004,"&gt;="&amp;$O$1,周转筐出入库明细!$B$4:$B$2004,"&lt;="&amp;$O$2),2))</f>
        <v>0</v>
      </c>
      <c r="D9" s="60">
        <f>IF($B9="","",ROUND(SUMIFS(周转筐出入库明细!$T$4:$T$2004,周转筐出入库明细!$C$4:$C$2004,$B9,周转筐出入库明细!$B$4:$B$2004,"&gt;="&amp;$O$1,周转筐出入库明细!$B$4:$B$2004,"&lt;="&amp;$O$2),2))</f>
        <v>0</v>
      </c>
      <c r="E9" s="26">
        <f>IF($B9="","",ROUND(SUMIFS(次果筐明细!$J$4:$J$603,次果筐明细!$C$4:$C$603,$B9,次果筐明细!$B$4:$B$603,"&gt;="&amp;$O$1,次果筐明细!$B$4:$B$603,"&lt;="&amp;$O$2),2))</f>
        <v>0</v>
      </c>
      <c r="F9" s="60">
        <f>IF($B9="","",ROUND(SUMIFS(次果筐明细!$K$4:$K$603,次果筐明细!$C$4:$C$603,$B9,次果筐明细!$B$4:$B$603,"&gt;="&amp;$O$1,次果筐明细!$B$4:$B$603,"&lt;="&amp;$O$2),2))</f>
        <v>0</v>
      </c>
      <c r="G9" s="26">
        <f t="shared" si="1"/>
        <v>0</v>
      </c>
      <c r="H9" s="60">
        <f t="shared" si="2"/>
        <v>0</v>
      </c>
      <c r="I9" s="26">
        <f t="shared" si="3"/>
        <v>0</v>
      </c>
      <c r="J9" s="24" t="str">
        <f t="shared" si="4"/>
        <v>无押金</v>
      </c>
      <c r="K9" s="41"/>
    </row>
    <row r="10" spans="1:15">
      <c r="A10" s="24">
        <f t="shared" si="0"/>
        <v>7</v>
      </c>
      <c r="B10" s="24" t="str">
        <f>IFERROR(INDEX(_自动清单!$BW$4:$BW$253,ROW()-3),"")</f>
        <v>努尔敦</v>
      </c>
      <c r="C10" s="26">
        <f>IF($B10="","",ROUND(SUMIFS(周转筐出入库明细!$S$4:$S$2004,周转筐出入库明细!$C$4:$C$2004,$B10,周转筐出入库明细!$B$4:$B$2004,"&gt;="&amp;$O$1,周转筐出入库明细!$B$4:$B$2004,"&lt;="&amp;$O$2),2))</f>
        <v>0</v>
      </c>
      <c r="D10" s="60">
        <f>IF($B10="","",ROUND(SUMIFS(周转筐出入库明细!$T$4:$T$2004,周转筐出入库明细!$C$4:$C$2004,$B10,周转筐出入库明细!$B$4:$B$2004,"&gt;="&amp;$O$1,周转筐出入库明细!$B$4:$B$2004,"&lt;="&amp;$O$2),2))</f>
        <v>0</v>
      </c>
      <c r="E10" s="26">
        <f>IF($B10="","",ROUND(SUMIFS(次果筐明细!$J$4:$J$603,次果筐明细!$C$4:$C$603,$B10,次果筐明细!$B$4:$B$603,"&gt;="&amp;$O$1,次果筐明细!$B$4:$B$603,"&lt;="&amp;$O$2),2))</f>
        <v>0</v>
      </c>
      <c r="F10" s="60">
        <f>IF($B10="","",ROUND(SUMIFS(次果筐明细!$K$4:$K$603,次果筐明细!$C$4:$C$603,$B10,次果筐明细!$B$4:$B$603,"&gt;="&amp;$O$1,次果筐明细!$B$4:$B$603,"&lt;="&amp;$O$2),2))</f>
        <v>0</v>
      </c>
      <c r="G10" s="26">
        <f t="shared" si="1"/>
        <v>0</v>
      </c>
      <c r="H10" s="60">
        <f t="shared" si="2"/>
        <v>0</v>
      </c>
      <c r="I10" s="26">
        <f t="shared" si="3"/>
        <v>0</v>
      </c>
      <c r="J10" s="24" t="str">
        <f t="shared" si="4"/>
        <v>无押金</v>
      </c>
      <c r="K10" s="41"/>
    </row>
    <row r="11" spans="1:15">
      <c r="A11" s="24">
        <f t="shared" si="0"/>
        <v>8</v>
      </c>
      <c r="B11" s="24" t="str">
        <f>IFERROR(INDEX(_自动清单!$BW$4:$BW$253,ROW()-3),"")</f>
        <v>贾建国</v>
      </c>
      <c r="C11" s="26">
        <f>IF($B11="","",ROUND(SUMIFS(周转筐出入库明细!$S$4:$S$2004,周转筐出入库明细!$C$4:$C$2004,$B11,周转筐出入库明细!$B$4:$B$2004,"&gt;="&amp;$O$1,周转筐出入库明细!$B$4:$B$2004,"&lt;="&amp;$O$2),2))</f>
        <v>0</v>
      </c>
      <c r="D11" s="60">
        <f>IF($B11="","",ROUND(SUMIFS(周转筐出入库明细!$T$4:$T$2004,周转筐出入库明细!$C$4:$C$2004,$B11,周转筐出入库明细!$B$4:$B$2004,"&gt;="&amp;$O$1,周转筐出入库明细!$B$4:$B$2004,"&lt;="&amp;$O$2),2))</f>
        <v>0</v>
      </c>
      <c r="E11" s="26">
        <f>IF($B11="","",ROUND(SUMIFS(次果筐明细!$J$4:$J$603,次果筐明细!$C$4:$C$603,$B11,次果筐明细!$B$4:$B$603,"&gt;="&amp;$O$1,次果筐明细!$B$4:$B$603,"&lt;="&amp;$O$2),2))</f>
        <v>0</v>
      </c>
      <c r="F11" s="60">
        <f>IF($B11="","",ROUND(SUMIFS(次果筐明细!$K$4:$K$603,次果筐明细!$C$4:$C$603,$B11,次果筐明细!$B$4:$B$603,"&gt;="&amp;$O$1,次果筐明细!$B$4:$B$603,"&lt;="&amp;$O$2),2))</f>
        <v>0</v>
      </c>
      <c r="G11" s="26">
        <f t="shared" si="1"/>
        <v>0</v>
      </c>
      <c r="H11" s="60">
        <f t="shared" si="2"/>
        <v>0</v>
      </c>
      <c r="I11" s="26">
        <f t="shared" si="3"/>
        <v>0</v>
      </c>
      <c r="J11" s="24" t="str">
        <f t="shared" si="4"/>
        <v>无押金</v>
      </c>
      <c r="K11" s="41"/>
    </row>
    <row r="12" spans="1:15">
      <c r="A12" s="24">
        <f t="shared" si="0"/>
        <v>9</v>
      </c>
      <c r="B12" s="24" t="str">
        <f>IFERROR(INDEX(_自动清单!$BW$4:$BW$253,ROW()-3),"")</f>
        <v>吐尔逊</v>
      </c>
      <c r="C12" s="26">
        <f>IF($B12="","",ROUND(SUMIFS(周转筐出入库明细!$S$4:$S$2004,周转筐出入库明细!$C$4:$C$2004,$B12,周转筐出入库明细!$B$4:$B$2004,"&gt;="&amp;$O$1,周转筐出入库明细!$B$4:$B$2004,"&lt;="&amp;$O$2),2))</f>
        <v>0</v>
      </c>
      <c r="D12" s="60">
        <f>IF($B12="","",ROUND(SUMIFS(周转筐出入库明细!$T$4:$T$2004,周转筐出入库明细!$C$4:$C$2004,$B12,周转筐出入库明细!$B$4:$B$2004,"&gt;="&amp;$O$1,周转筐出入库明细!$B$4:$B$2004,"&lt;="&amp;$O$2),2))</f>
        <v>0</v>
      </c>
      <c r="E12" s="26">
        <f>IF($B12="","",ROUND(SUMIFS(次果筐明细!$J$4:$J$603,次果筐明细!$C$4:$C$603,$B12,次果筐明细!$B$4:$B$603,"&gt;="&amp;$O$1,次果筐明细!$B$4:$B$603,"&lt;="&amp;$O$2),2))</f>
        <v>0</v>
      </c>
      <c r="F12" s="60">
        <f>IF($B12="","",ROUND(SUMIFS(次果筐明细!$K$4:$K$603,次果筐明细!$C$4:$C$603,$B12,次果筐明细!$B$4:$B$603,"&gt;="&amp;$O$1,次果筐明细!$B$4:$B$603,"&lt;="&amp;$O$2),2))</f>
        <v>0</v>
      </c>
      <c r="G12" s="26">
        <f t="shared" si="1"/>
        <v>0</v>
      </c>
      <c r="H12" s="60">
        <f t="shared" si="2"/>
        <v>0</v>
      </c>
      <c r="I12" s="26">
        <f t="shared" si="3"/>
        <v>0</v>
      </c>
      <c r="J12" s="24" t="str">
        <f t="shared" si="4"/>
        <v>无押金</v>
      </c>
      <c r="K12" s="41"/>
    </row>
    <row r="13" spans="1:15">
      <c r="A13" s="24">
        <f t="shared" si="0"/>
        <v>10</v>
      </c>
      <c r="B13" s="24" t="str">
        <f>IFERROR(INDEX(_自动清单!$BW$4:$BW$253,ROW()-3),"")</f>
        <v>王照雪</v>
      </c>
      <c r="C13" s="26">
        <f>IF($B13="","",ROUND(SUMIFS(周转筐出入库明细!$S$4:$S$2004,周转筐出入库明细!$C$4:$C$2004,$B13,周转筐出入库明细!$B$4:$B$2004,"&gt;="&amp;$O$1,周转筐出入库明细!$B$4:$B$2004,"&lt;="&amp;$O$2),2))</f>
        <v>0</v>
      </c>
      <c r="D13" s="60">
        <f>IF($B13="","",ROUND(SUMIFS(周转筐出入库明细!$T$4:$T$2004,周转筐出入库明细!$C$4:$C$2004,$B13,周转筐出入库明细!$B$4:$B$2004,"&gt;="&amp;$O$1,周转筐出入库明细!$B$4:$B$2004,"&lt;="&amp;$O$2),2))</f>
        <v>0</v>
      </c>
      <c r="E13" s="26">
        <f>IF($B13="","",ROUND(SUMIFS(次果筐明细!$J$4:$J$603,次果筐明细!$C$4:$C$603,$B13,次果筐明细!$B$4:$B$603,"&gt;="&amp;$O$1,次果筐明细!$B$4:$B$603,"&lt;="&amp;$O$2),2))</f>
        <v>0</v>
      </c>
      <c r="F13" s="60">
        <f>IF($B13="","",ROUND(SUMIFS(次果筐明细!$K$4:$K$603,次果筐明细!$C$4:$C$603,$B13,次果筐明细!$B$4:$B$603,"&gt;="&amp;$O$1,次果筐明细!$B$4:$B$603,"&lt;="&amp;$O$2),2))</f>
        <v>0</v>
      </c>
      <c r="G13" s="26">
        <f t="shared" si="1"/>
        <v>0</v>
      </c>
      <c r="H13" s="60">
        <f t="shared" si="2"/>
        <v>0</v>
      </c>
      <c r="I13" s="26">
        <f t="shared" si="3"/>
        <v>0</v>
      </c>
      <c r="J13" s="24" t="str">
        <f t="shared" si="4"/>
        <v>无押金</v>
      </c>
      <c r="K13" s="41"/>
    </row>
    <row r="14" spans="1:15">
      <c r="A14" s="24">
        <f t="shared" si="0"/>
        <v>11</v>
      </c>
      <c r="B14" s="24" t="str">
        <f>IFERROR(INDEX(_自动清单!$BW$4:$BW$253,ROW()-3),"")</f>
        <v>王浩</v>
      </c>
      <c r="C14" s="26">
        <f>IF($B14="","",ROUND(SUMIFS(周转筐出入库明细!$S$4:$S$2004,周转筐出入库明细!$C$4:$C$2004,$B14,周转筐出入库明细!$B$4:$B$2004,"&gt;="&amp;$O$1,周转筐出入库明细!$B$4:$B$2004,"&lt;="&amp;$O$2),2))</f>
        <v>0</v>
      </c>
      <c r="D14" s="60">
        <f>IF($B14="","",ROUND(SUMIFS(周转筐出入库明细!$T$4:$T$2004,周转筐出入库明细!$C$4:$C$2004,$B14,周转筐出入库明细!$B$4:$B$2004,"&gt;="&amp;$O$1,周转筐出入库明细!$B$4:$B$2004,"&lt;="&amp;$O$2),2))</f>
        <v>0</v>
      </c>
      <c r="E14" s="26">
        <f>IF($B14="","",ROUND(SUMIFS(次果筐明细!$J$4:$J$603,次果筐明细!$C$4:$C$603,$B14,次果筐明细!$B$4:$B$603,"&gt;="&amp;$O$1,次果筐明细!$B$4:$B$603,"&lt;="&amp;$O$2),2))</f>
        <v>0</v>
      </c>
      <c r="F14" s="60">
        <f>IF($B14="","",ROUND(SUMIFS(次果筐明细!$K$4:$K$603,次果筐明细!$C$4:$C$603,$B14,次果筐明细!$B$4:$B$603,"&gt;="&amp;$O$1,次果筐明细!$B$4:$B$603,"&lt;="&amp;$O$2),2))</f>
        <v>0</v>
      </c>
      <c r="G14" s="26">
        <f t="shared" si="1"/>
        <v>0</v>
      </c>
      <c r="H14" s="60">
        <f t="shared" si="2"/>
        <v>0</v>
      </c>
      <c r="I14" s="26">
        <f t="shared" si="3"/>
        <v>0</v>
      </c>
      <c r="J14" s="24" t="str">
        <f t="shared" si="4"/>
        <v>无押金</v>
      </c>
      <c r="K14" s="41"/>
    </row>
    <row r="15" spans="1:15">
      <c r="A15" s="24">
        <f t="shared" si="0"/>
        <v>12</v>
      </c>
      <c r="B15" s="24" t="str">
        <f>IFERROR(INDEX(_自动清单!$BW$4:$BW$253,ROW()-3),"")</f>
        <v>马锦祥</v>
      </c>
      <c r="C15" s="26">
        <f>IF($B15="","",ROUND(SUMIFS(周转筐出入库明细!$S$4:$S$2004,周转筐出入库明细!$C$4:$C$2004,$B15,周转筐出入库明细!$B$4:$B$2004,"&gt;="&amp;$O$1,周转筐出入库明细!$B$4:$B$2004,"&lt;="&amp;$O$2),2))</f>
        <v>0</v>
      </c>
      <c r="D15" s="60">
        <f>IF($B15="","",ROUND(SUMIFS(周转筐出入库明细!$T$4:$T$2004,周转筐出入库明细!$C$4:$C$2004,$B15,周转筐出入库明细!$B$4:$B$2004,"&gt;="&amp;$O$1,周转筐出入库明细!$B$4:$B$2004,"&lt;="&amp;$O$2),2))</f>
        <v>0</v>
      </c>
      <c r="E15" s="26">
        <f>IF($B15="","",ROUND(SUMIFS(次果筐明细!$J$4:$J$603,次果筐明细!$C$4:$C$603,$B15,次果筐明细!$B$4:$B$603,"&gt;="&amp;$O$1,次果筐明细!$B$4:$B$603,"&lt;="&amp;$O$2),2))</f>
        <v>0</v>
      </c>
      <c r="F15" s="60">
        <f>IF($B15="","",ROUND(SUMIFS(次果筐明细!$K$4:$K$603,次果筐明细!$C$4:$C$603,$B15,次果筐明细!$B$4:$B$603,"&gt;="&amp;$O$1,次果筐明细!$B$4:$B$603,"&lt;="&amp;$O$2),2))</f>
        <v>0</v>
      </c>
      <c r="G15" s="26">
        <f t="shared" si="1"/>
        <v>0</v>
      </c>
      <c r="H15" s="60">
        <f t="shared" si="2"/>
        <v>0</v>
      </c>
      <c r="I15" s="26">
        <f t="shared" si="3"/>
        <v>0</v>
      </c>
      <c r="J15" s="24" t="str">
        <f t="shared" si="4"/>
        <v>无押金</v>
      </c>
      <c r="K15" s="41"/>
    </row>
    <row r="16" spans="1:15">
      <c r="A16" s="24">
        <f t="shared" si="0"/>
        <v>13</v>
      </c>
      <c r="B16" s="24" t="str">
        <f>IFERROR(INDEX(_自动清单!$BW$4:$BW$253,ROW()-3),"")</f>
        <v>全修塑业</v>
      </c>
      <c r="C16" s="26">
        <f>IF($B16="","",ROUND(SUMIFS(周转筐出入库明细!$S$4:$S$2004,周转筐出入库明细!$C$4:$C$2004,$B16,周转筐出入库明细!$B$4:$B$2004,"&gt;="&amp;$O$1,周转筐出入库明细!$B$4:$B$2004,"&lt;="&amp;$O$2),2))</f>
        <v>0</v>
      </c>
      <c r="D16" s="60">
        <f>IF($B16="","",ROUND(SUMIFS(周转筐出入库明细!$T$4:$T$2004,周转筐出入库明细!$C$4:$C$2004,$B16,周转筐出入库明细!$B$4:$B$2004,"&gt;="&amp;$O$1,周转筐出入库明细!$B$4:$B$2004,"&lt;="&amp;$O$2),2))</f>
        <v>0</v>
      </c>
      <c r="E16" s="26">
        <f>IF($B16="","",ROUND(SUMIFS(次果筐明细!$J$4:$J$603,次果筐明细!$C$4:$C$603,$B16,次果筐明细!$B$4:$B$603,"&gt;="&amp;$O$1,次果筐明细!$B$4:$B$603,"&lt;="&amp;$O$2),2))</f>
        <v>0</v>
      </c>
      <c r="F16" s="60">
        <f>IF($B16="","",ROUND(SUMIFS(次果筐明细!$K$4:$K$603,次果筐明细!$C$4:$C$603,$B16,次果筐明细!$B$4:$B$603,"&gt;="&amp;$O$1,次果筐明细!$B$4:$B$603,"&lt;="&amp;$O$2),2))</f>
        <v>0</v>
      </c>
      <c r="G16" s="26">
        <f t="shared" si="1"/>
        <v>0</v>
      </c>
      <c r="H16" s="60">
        <f t="shared" si="2"/>
        <v>0</v>
      </c>
      <c r="I16" s="26">
        <f t="shared" si="3"/>
        <v>0</v>
      </c>
      <c r="J16" s="24" t="str">
        <f t="shared" si="4"/>
        <v>无押金</v>
      </c>
      <c r="K16" s="41"/>
    </row>
    <row r="17" spans="1:11">
      <c r="A17" s="24">
        <f t="shared" si="0"/>
        <v>14</v>
      </c>
      <c r="B17" s="24" t="str">
        <f>IFERROR(INDEX(_自动清单!$BW$4:$BW$253,ROW()-3),"")</f>
        <v>王灵云</v>
      </c>
      <c r="C17" s="26">
        <f>IF($B17="","",ROUND(SUMIFS(周转筐出入库明细!$S$4:$S$2004,周转筐出入库明细!$C$4:$C$2004,$B17,周转筐出入库明细!$B$4:$B$2004,"&gt;="&amp;$O$1,周转筐出入库明细!$B$4:$B$2004,"&lt;="&amp;$O$2),2))</f>
        <v>3000</v>
      </c>
      <c r="D17" s="60">
        <f>IF($B17="","",ROUND(SUMIFS(周转筐出入库明细!$T$4:$T$2004,周转筐出入库明细!$C$4:$C$2004,$B17,周转筐出入库明细!$B$4:$B$2004,"&gt;="&amp;$O$1,周转筐出入库明细!$B$4:$B$2004,"&lt;="&amp;$O$2),2))</f>
        <v>3000</v>
      </c>
      <c r="E17" s="26">
        <f>IF($B17="","",ROUND(SUMIFS(次果筐明细!$J$4:$J$603,次果筐明细!$C$4:$C$603,$B17,次果筐明细!$B$4:$B$603,"&gt;="&amp;$O$1,次果筐明细!$B$4:$B$603,"&lt;="&amp;$O$2),2))</f>
        <v>0</v>
      </c>
      <c r="F17" s="60">
        <f>IF($B17="","",ROUND(SUMIFS(次果筐明细!$K$4:$K$603,次果筐明细!$C$4:$C$603,$B17,次果筐明细!$B$4:$B$603,"&gt;="&amp;$O$1,次果筐明细!$B$4:$B$603,"&lt;="&amp;$O$2),2))</f>
        <v>0</v>
      </c>
      <c r="G17" s="26">
        <f t="shared" si="1"/>
        <v>3000</v>
      </c>
      <c r="H17" s="60">
        <f t="shared" si="2"/>
        <v>3000</v>
      </c>
      <c r="I17" s="26">
        <f t="shared" si="3"/>
        <v>0</v>
      </c>
      <c r="J17" s="24" t="str">
        <f t="shared" si="4"/>
        <v>已结清</v>
      </c>
      <c r="K17" s="41"/>
    </row>
    <row r="18" spans="1:11">
      <c r="A18" s="24">
        <f t="shared" si="0"/>
        <v>15</v>
      </c>
      <c r="B18" s="24" t="str">
        <f>IFERROR(INDEX(_自动清单!$BW$4:$BW$253,ROW()-3),"")</f>
        <v>聂新平</v>
      </c>
      <c r="C18" s="26">
        <f>IF($B18="","",ROUND(SUMIFS(周转筐出入库明细!$S$4:$S$2004,周转筐出入库明细!$C$4:$C$2004,$B18,周转筐出入库明细!$B$4:$B$2004,"&gt;="&amp;$O$1,周转筐出入库明细!$B$4:$B$2004,"&lt;="&amp;$O$2),2))</f>
        <v>0</v>
      </c>
      <c r="D18" s="60">
        <f>IF($B18="","",ROUND(SUMIFS(周转筐出入库明细!$T$4:$T$2004,周转筐出入库明细!$C$4:$C$2004,$B18,周转筐出入库明细!$B$4:$B$2004,"&gt;="&amp;$O$1,周转筐出入库明细!$B$4:$B$2004,"&lt;="&amp;$O$2),2))</f>
        <v>0</v>
      </c>
      <c r="E18" s="26">
        <f>IF($B18="","",ROUND(SUMIFS(次果筐明细!$J$4:$J$603,次果筐明细!$C$4:$C$603,$B18,次果筐明细!$B$4:$B$603,"&gt;="&amp;$O$1,次果筐明细!$B$4:$B$603,"&lt;="&amp;$O$2),2))</f>
        <v>0</v>
      </c>
      <c r="F18" s="60">
        <f>IF($B18="","",ROUND(SUMIFS(次果筐明细!$K$4:$K$603,次果筐明细!$C$4:$C$603,$B18,次果筐明细!$B$4:$B$603,"&gt;="&amp;$O$1,次果筐明细!$B$4:$B$603,"&lt;="&amp;$O$2),2))</f>
        <v>0</v>
      </c>
      <c r="G18" s="26">
        <f t="shared" si="1"/>
        <v>0</v>
      </c>
      <c r="H18" s="60">
        <f t="shared" si="2"/>
        <v>0</v>
      </c>
      <c r="I18" s="26">
        <f t="shared" si="3"/>
        <v>0</v>
      </c>
      <c r="J18" s="24" t="str">
        <f t="shared" si="4"/>
        <v>无押金</v>
      </c>
      <c r="K18" s="41"/>
    </row>
    <row r="19" spans="1:11">
      <c r="A19" s="24">
        <f t="shared" si="0"/>
        <v>16</v>
      </c>
      <c r="B19" s="24" t="str">
        <f>IFERROR(INDEX(_自动清单!$BW$4:$BW$253,ROW()-3),"")</f>
        <v>伍元虎</v>
      </c>
      <c r="C19" s="26">
        <f>IF($B19="","",ROUND(SUMIFS(周转筐出入库明细!$S$4:$S$2004,周转筐出入库明细!$C$4:$C$2004,$B19,周转筐出入库明细!$B$4:$B$2004,"&gt;="&amp;$O$1,周转筐出入库明细!$B$4:$B$2004,"&lt;="&amp;$O$2),2))</f>
        <v>0</v>
      </c>
      <c r="D19" s="60">
        <f>IF($B19="","",ROUND(SUMIFS(周转筐出入库明细!$T$4:$T$2004,周转筐出入库明细!$C$4:$C$2004,$B19,周转筐出入库明细!$B$4:$B$2004,"&gt;="&amp;$O$1,周转筐出入库明细!$B$4:$B$2004,"&lt;="&amp;$O$2),2))</f>
        <v>0</v>
      </c>
      <c r="E19" s="26">
        <f>IF($B19="","",ROUND(SUMIFS(次果筐明细!$J$4:$J$603,次果筐明细!$C$4:$C$603,$B19,次果筐明细!$B$4:$B$603,"&gt;="&amp;$O$1,次果筐明细!$B$4:$B$603,"&lt;="&amp;$O$2),2))</f>
        <v>0</v>
      </c>
      <c r="F19" s="60">
        <f>IF($B19="","",ROUND(SUMIFS(次果筐明细!$K$4:$K$603,次果筐明细!$C$4:$C$603,$B19,次果筐明细!$B$4:$B$603,"&gt;="&amp;$O$1,次果筐明细!$B$4:$B$603,"&lt;="&amp;$O$2),2))</f>
        <v>0</v>
      </c>
      <c r="G19" s="26">
        <f t="shared" si="1"/>
        <v>0</v>
      </c>
      <c r="H19" s="60">
        <f t="shared" si="2"/>
        <v>0</v>
      </c>
      <c r="I19" s="26">
        <f t="shared" si="3"/>
        <v>0</v>
      </c>
      <c r="J19" s="24" t="str">
        <f t="shared" si="4"/>
        <v>无押金</v>
      </c>
      <c r="K19" s="41"/>
    </row>
    <row r="20" spans="1:11">
      <c r="A20" s="24">
        <f t="shared" si="0"/>
        <v>17</v>
      </c>
      <c r="B20" s="24" t="str">
        <f>IFERROR(INDEX(_自动清单!$BW$4:$BW$253,ROW()-3),"")</f>
        <v>杨艳玲</v>
      </c>
      <c r="C20" s="26">
        <f>IF($B20="","",ROUND(SUMIFS(周转筐出入库明细!$S$4:$S$2004,周转筐出入库明细!$C$4:$C$2004,$B20,周转筐出入库明细!$B$4:$B$2004,"&gt;="&amp;$O$1,周转筐出入库明细!$B$4:$B$2004,"&lt;="&amp;$O$2),2))</f>
        <v>0</v>
      </c>
      <c r="D20" s="60">
        <f>IF($B20="","",ROUND(SUMIFS(周转筐出入库明细!$T$4:$T$2004,周转筐出入库明细!$C$4:$C$2004,$B20,周转筐出入库明细!$B$4:$B$2004,"&gt;="&amp;$O$1,周转筐出入库明细!$B$4:$B$2004,"&lt;="&amp;$O$2),2))</f>
        <v>0</v>
      </c>
      <c r="E20" s="26">
        <f>IF($B20="","",ROUND(SUMIFS(次果筐明细!$J$4:$J$603,次果筐明细!$C$4:$C$603,$B20,次果筐明细!$B$4:$B$603,"&gt;="&amp;$O$1,次果筐明细!$B$4:$B$603,"&lt;="&amp;$O$2),2))</f>
        <v>0</v>
      </c>
      <c r="F20" s="60">
        <f>IF($B20="","",ROUND(SUMIFS(次果筐明细!$K$4:$K$603,次果筐明细!$C$4:$C$603,$B20,次果筐明细!$B$4:$B$603,"&gt;="&amp;$O$1,次果筐明细!$B$4:$B$603,"&lt;="&amp;$O$2),2))</f>
        <v>0</v>
      </c>
      <c r="G20" s="26">
        <f t="shared" si="1"/>
        <v>0</v>
      </c>
      <c r="H20" s="60">
        <f t="shared" si="2"/>
        <v>0</v>
      </c>
      <c r="I20" s="26">
        <f t="shared" si="3"/>
        <v>0</v>
      </c>
      <c r="J20" s="24" t="str">
        <f t="shared" si="4"/>
        <v>无押金</v>
      </c>
      <c r="K20" s="41"/>
    </row>
    <row r="21" spans="1:11">
      <c r="A21" s="24">
        <f t="shared" si="0"/>
        <v>18</v>
      </c>
      <c r="B21" s="24" t="str">
        <f>IFERROR(INDEX(_自动清单!$BW$4:$BW$253,ROW()-3),"")</f>
        <v>电商/主播</v>
      </c>
      <c r="C21" s="26">
        <f>IF($B21="","",ROUND(SUMIFS(周转筐出入库明细!$S$4:$S$2004,周转筐出入库明细!$C$4:$C$2004,$B21,周转筐出入库明细!$B$4:$B$2004,"&gt;="&amp;$O$1,周转筐出入库明细!$B$4:$B$2004,"&lt;="&amp;$O$2),2))</f>
        <v>0</v>
      </c>
      <c r="D21" s="60">
        <f>IF($B21="","",ROUND(SUMIFS(周转筐出入库明细!$T$4:$T$2004,周转筐出入库明细!$C$4:$C$2004,$B21,周转筐出入库明细!$B$4:$B$2004,"&gt;="&amp;$O$1,周转筐出入库明细!$B$4:$B$2004,"&lt;="&amp;$O$2),2))</f>
        <v>0</v>
      </c>
      <c r="E21" s="26">
        <f>IF($B21="","",ROUND(SUMIFS(次果筐明细!$J$4:$J$603,次果筐明细!$C$4:$C$603,$B21,次果筐明细!$B$4:$B$603,"&gt;="&amp;$O$1,次果筐明细!$B$4:$B$603,"&lt;="&amp;$O$2),2))</f>
        <v>0</v>
      </c>
      <c r="F21" s="60">
        <f>IF($B21="","",ROUND(SUMIFS(次果筐明细!$K$4:$K$603,次果筐明细!$C$4:$C$603,$B21,次果筐明细!$B$4:$B$603,"&gt;="&amp;$O$1,次果筐明细!$B$4:$B$603,"&lt;="&amp;$O$2),2))</f>
        <v>0</v>
      </c>
      <c r="G21" s="26">
        <f t="shared" si="1"/>
        <v>0</v>
      </c>
      <c r="H21" s="60">
        <f t="shared" si="2"/>
        <v>0</v>
      </c>
      <c r="I21" s="26">
        <f t="shared" si="3"/>
        <v>0</v>
      </c>
      <c r="J21" s="24" t="str">
        <f t="shared" si="4"/>
        <v>无押金</v>
      </c>
      <c r="K21" s="41"/>
    </row>
    <row r="22" spans="1:11">
      <c r="A22" s="24" t="str">
        <f t="shared" si="0"/>
        <v/>
      </c>
      <c r="B22" s="24" t="str">
        <f>IFERROR(INDEX(_自动清单!$BW$4:$BW$253,ROW()-3),"")</f>
        <v/>
      </c>
      <c r="C22" s="26" t="str">
        <f>IF($B22="","",ROUND(SUMIFS(周转筐出入库明细!$S$4:$S$2004,周转筐出入库明细!$C$4:$C$2004,$B22,周转筐出入库明细!$B$4:$B$2004,"&gt;="&amp;$O$1,周转筐出入库明细!$B$4:$B$2004,"&lt;="&amp;$O$2),2))</f>
        <v/>
      </c>
      <c r="D22" s="60" t="str">
        <f>IF($B22="","",ROUND(SUMIFS(周转筐出入库明细!$T$4:$T$2004,周转筐出入库明细!$C$4:$C$2004,$B22,周转筐出入库明细!$B$4:$B$2004,"&gt;="&amp;$O$1,周转筐出入库明细!$B$4:$B$2004,"&lt;="&amp;$O$2),2))</f>
        <v/>
      </c>
      <c r="E22" s="26" t="str">
        <f>IF($B22="","",ROUND(SUMIFS(次果筐明细!$J$4:$J$603,次果筐明细!$C$4:$C$603,$B22,次果筐明细!$B$4:$B$603,"&gt;="&amp;$O$1,次果筐明细!$B$4:$B$603,"&lt;="&amp;$O$2),2))</f>
        <v/>
      </c>
      <c r="F22" s="60" t="str">
        <f>IF($B22="","",ROUND(SUMIFS(次果筐明细!$K$4:$K$603,次果筐明细!$C$4:$C$603,$B22,次果筐明细!$B$4:$B$603,"&gt;="&amp;$O$1,次果筐明细!$B$4:$B$603,"&lt;="&amp;$O$2),2))</f>
        <v/>
      </c>
      <c r="G22" s="26" t="str">
        <f t="shared" si="1"/>
        <v/>
      </c>
      <c r="H22" s="60" t="str">
        <f t="shared" si="2"/>
        <v/>
      </c>
      <c r="I22" s="26" t="str">
        <f t="shared" si="3"/>
        <v/>
      </c>
      <c r="J22" s="24" t="str">
        <f t="shared" si="4"/>
        <v/>
      </c>
      <c r="K22" s="41"/>
    </row>
    <row r="23" spans="1:11">
      <c r="A23" s="24" t="str">
        <f t="shared" si="0"/>
        <v/>
      </c>
      <c r="B23" s="24" t="str">
        <f>IFERROR(INDEX(_自动清单!$BW$4:$BW$253,ROW()-3),"")</f>
        <v/>
      </c>
      <c r="C23" s="26" t="str">
        <f>IF($B23="","",ROUND(SUMIFS(周转筐出入库明细!$S$4:$S$2004,周转筐出入库明细!$C$4:$C$2004,$B23,周转筐出入库明细!$B$4:$B$2004,"&gt;="&amp;$O$1,周转筐出入库明细!$B$4:$B$2004,"&lt;="&amp;$O$2),2))</f>
        <v/>
      </c>
      <c r="D23" s="60" t="str">
        <f>IF($B23="","",ROUND(SUMIFS(周转筐出入库明细!$T$4:$T$2004,周转筐出入库明细!$C$4:$C$2004,$B23,周转筐出入库明细!$B$4:$B$2004,"&gt;="&amp;$O$1,周转筐出入库明细!$B$4:$B$2004,"&lt;="&amp;$O$2),2))</f>
        <v/>
      </c>
      <c r="E23" s="26" t="str">
        <f>IF($B23="","",ROUND(SUMIFS(次果筐明细!$J$4:$J$603,次果筐明细!$C$4:$C$603,$B23,次果筐明细!$B$4:$B$603,"&gt;="&amp;$O$1,次果筐明细!$B$4:$B$603,"&lt;="&amp;$O$2),2))</f>
        <v/>
      </c>
      <c r="F23" s="60" t="str">
        <f>IF($B23="","",ROUND(SUMIFS(次果筐明细!$K$4:$K$603,次果筐明细!$C$4:$C$603,$B23,次果筐明细!$B$4:$B$603,"&gt;="&amp;$O$1,次果筐明细!$B$4:$B$603,"&lt;="&amp;$O$2),2))</f>
        <v/>
      </c>
      <c r="G23" s="26" t="str">
        <f t="shared" si="1"/>
        <v/>
      </c>
      <c r="H23" s="60" t="str">
        <f t="shared" si="2"/>
        <v/>
      </c>
      <c r="I23" s="26" t="str">
        <f t="shared" si="3"/>
        <v/>
      </c>
      <c r="J23" s="24" t="str">
        <f t="shared" si="4"/>
        <v/>
      </c>
      <c r="K23" s="41"/>
    </row>
    <row r="24" spans="1:11">
      <c r="A24" s="24" t="str">
        <f t="shared" si="0"/>
        <v/>
      </c>
      <c r="B24" s="24" t="str">
        <f>IFERROR(INDEX(_自动清单!$BW$4:$BW$253,ROW()-3),"")</f>
        <v/>
      </c>
      <c r="C24" s="26" t="str">
        <f>IF($B24="","",ROUND(SUMIFS(周转筐出入库明细!$S$4:$S$2004,周转筐出入库明细!$C$4:$C$2004,$B24,周转筐出入库明细!$B$4:$B$2004,"&gt;="&amp;$O$1,周转筐出入库明细!$B$4:$B$2004,"&lt;="&amp;$O$2),2))</f>
        <v/>
      </c>
      <c r="D24" s="60" t="str">
        <f>IF($B24="","",ROUND(SUMIFS(周转筐出入库明细!$T$4:$T$2004,周转筐出入库明细!$C$4:$C$2004,$B24,周转筐出入库明细!$B$4:$B$2004,"&gt;="&amp;$O$1,周转筐出入库明细!$B$4:$B$2004,"&lt;="&amp;$O$2),2))</f>
        <v/>
      </c>
      <c r="E24" s="26" t="str">
        <f>IF($B24="","",ROUND(SUMIFS(次果筐明细!$J$4:$J$603,次果筐明细!$C$4:$C$603,$B24,次果筐明细!$B$4:$B$603,"&gt;="&amp;$O$1,次果筐明细!$B$4:$B$603,"&lt;="&amp;$O$2),2))</f>
        <v/>
      </c>
      <c r="F24" s="60" t="str">
        <f>IF($B24="","",ROUND(SUMIFS(次果筐明细!$K$4:$K$603,次果筐明细!$C$4:$C$603,$B24,次果筐明细!$B$4:$B$603,"&gt;="&amp;$O$1,次果筐明细!$B$4:$B$603,"&lt;="&amp;$O$2),2))</f>
        <v/>
      </c>
      <c r="G24" s="26" t="str">
        <f t="shared" si="1"/>
        <v/>
      </c>
      <c r="H24" s="60" t="str">
        <f t="shared" si="2"/>
        <v/>
      </c>
      <c r="I24" s="26" t="str">
        <f t="shared" si="3"/>
        <v/>
      </c>
      <c r="J24" s="24" t="str">
        <f t="shared" si="4"/>
        <v/>
      </c>
      <c r="K24" s="41"/>
    </row>
    <row r="25" spans="1:11">
      <c r="A25" s="24" t="str">
        <f t="shared" si="0"/>
        <v/>
      </c>
      <c r="B25" s="24" t="str">
        <f>IFERROR(INDEX(_自动清单!$BW$4:$BW$253,ROW()-3),"")</f>
        <v/>
      </c>
      <c r="C25" s="26" t="str">
        <f>IF($B25="","",ROUND(SUMIFS(周转筐出入库明细!$S$4:$S$2004,周转筐出入库明细!$C$4:$C$2004,$B25,周转筐出入库明细!$B$4:$B$2004,"&gt;="&amp;$O$1,周转筐出入库明细!$B$4:$B$2004,"&lt;="&amp;$O$2),2))</f>
        <v/>
      </c>
      <c r="D25" s="60" t="str">
        <f>IF($B25="","",ROUND(SUMIFS(周转筐出入库明细!$T$4:$T$2004,周转筐出入库明细!$C$4:$C$2004,$B25,周转筐出入库明细!$B$4:$B$2004,"&gt;="&amp;$O$1,周转筐出入库明细!$B$4:$B$2004,"&lt;="&amp;$O$2),2))</f>
        <v/>
      </c>
      <c r="E25" s="26" t="str">
        <f>IF($B25="","",ROUND(SUMIFS(次果筐明细!$J$4:$J$603,次果筐明细!$C$4:$C$603,$B25,次果筐明细!$B$4:$B$603,"&gt;="&amp;$O$1,次果筐明细!$B$4:$B$603,"&lt;="&amp;$O$2),2))</f>
        <v/>
      </c>
      <c r="F25" s="60" t="str">
        <f>IF($B25="","",ROUND(SUMIFS(次果筐明细!$K$4:$K$603,次果筐明细!$C$4:$C$603,$B25,次果筐明细!$B$4:$B$603,"&gt;="&amp;$O$1,次果筐明细!$B$4:$B$603,"&lt;="&amp;$O$2),2))</f>
        <v/>
      </c>
      <c r="G25" s="26" t="str">
        <f t="shared" si="1"/>
        <v/>
      </c>
      <c r="H25" s="60" t="str">
        <f t="shared" si="2"/>
        <v/>
      </c>
      <c r="I25" s="26" t="str">
        <f t="shared" si="3"/>
        <v/>
      </c>
      <c r="J25" s="24" t="str">
        <f t="shared" si="4"/>
        <v/>
      </c>
      <c r="K25" s="41"/>
    </row>
    <row r="26" spans="1:11">
      <c r="A26" s="24" t="str">
        <f t="shared" si="0"/>
        <v/>
      </c>
      <c r="B26" s="24" t="str">
        <f>IFERROR(INDEX(_自动清单!$BW$4:$BW$253,ROW()-3),"")</f>
        <v/>
      </c>
      <c r="C26" s="26" t="str">
        <f>IF($B26="","",ROUND(SUMIFS(周转筐出入库明细!$S$4:$S$2004,周转筐出入库明细!$C$4:$C$2004,$B26,周转筐出入库明细!$B$4:$B$2004,"&gt;="&amp;$O$1,周转筐出入库明细!$B$4:$B$2004,"&lt;="&amp;$O$2),2))</f>
        <v/>
      </c>
      <c r="D26" s="60" t="str">
        <f>IF($B26="","",ROUND(SUMIFS(周转筐出入库明细!$T$4:$T$2004,周转筐出入库明细!$C$4:$C$2004,$B26,周转筐出入库明细!$B$4:$B$2004,"&gt;="&amp;$O$1,周转筐出入库明细!$B$4:$B$2004,"&lt;="&amp;$O$2),2))</f>
        <v/>
      </c>
      <c r="E26" s="26" t="str">
        <f>IF($B26="","",ROUND(SUMIFS(次果筐明细!$J$4:$J$603,次果筐明细!$C$4:$C$603,$B26,次果筐明细!$B$4:$B$603,"&gt;="&amp;$O$1,次果筐明细!$B$4:$B$603,"&lt;="&amp;$O$2),2))</f>
        <v/>
      </c>
      <c r="F26" s="60" t="str">
        <f>IF($B26="","",ROUND(SUMIFS(次果筐明细!$K$4:$K$603,次果筐明细!$C$4:$C$603,$B26,次果筐明细!$B$4:$B$603,"&gt;="&amp;$O$1,次果筐明细!$B$4:$B$603,"&lt;="&amp;$O$2),2))</f>
        <v/>
      </c>
      <c r="G26" s="26" t="str">
        <f t="shared" si="1"/>
        <v/>
      </c>
      <c r="H26" s="60" t="str">
        <f t="shared" si="2"/>
        <v/>
      </c>
      <c r="I26" s="26" t="str">
        <f t="shared" si="3"/>
        <v/>
      </c>
      <c r="J26" s="24" t="str">
        <f t="shared" si="4"/>
        <v/>
      </c>
      <c r="K26" s="41"/>
    </row>
    <row r="27" spans="1:11">
      <c r="A27" s="24" t="str">
        <f t="shared" si="0"/>
        <v/>
      </c>
      <c r="B27" s="24" t="str">
        <f>IFERROR(INDEX(_自动清单!$BW$4:$BW$253,ROW()-3),"")</f>
        <v/>
      </c>
      <c r="C27" s="26" t="str">
        <f>IF($B27="","",ROUND(SUMIFS(周转筐出入库明细!$S$4:$S$2004,周转筐出入库明细!$C$4:$C$2004,$B27,周转筐出入库明细!$B$4:$B$2004,"&gt;="&amp;$O$1,周转筐出入库明细!$B$4:$B$2004,"&lt;="&amp;$O$2),2))</f>
        <v/>
      </c>
      <c r="D27" s="60" t="str">
        <f>IF($B27="","",ROUND(SUMIFS(周转筐出入库明细!$T$4:$T$2004,周转筐出入库明细!$C$4:$C$2004,$B27,周转筐出入库明细!$B$4:$B$2004,"&gt;="&amp;$O$1,周转筐出入库明细!$B$4:$B$2004,"&lt;="&amp;$O$2),2))</f>
        <v/>
      </c>
      <c r="E27" s="26" t="str">
        <f>IF($B27="","",ROUND(SUMIFS(次果筐明细!$J$4:$J$603,次果筐明细!$C$4:$C$603,$B27,次果筐明细!$B$4:$B$603,"&gt;="&amp;$O$1,次果筐明细!$B$4:$B$603,"&lt;="&amp;$O$2),2))</f>
        <v/>
      </c>
      <c r="F27" s="60" t="str">
        <f>IF($B27="","",ROUND(SUMIFS(次果筐明细!$K$4:$K$603,次果筐明细!$C$4:$C$603,$B27,次果筐明细!$B$4:$B$603,"&gt;="&amp;$O$1,次果筐明细!$B$4:$B$603,"&lt;="&amp;$O$2),2))</f>
        <v/>
      </c>
      <c r="G27" s="26" t="str">
        <f t="shared" si="1"/>
        <v/>
      </c>
      <c r="H27" s="60" t="str">
        <f t="shared" si="2"/>
        <v/>
      </c>
      <c r="I27" s="26" t="str">
        <f t="shared" si="3"/>
        <v/>
      </c>
      <c r="J27" s="24" t="str">
        <f t="shared" si="4"/>
        <v/>
      </c>
      <c r="K27" s="41"/>
    </row>
    <row r="28" spans="1:11">
      <c r="A28" s="24" t="str">
        <f t="shared" si="0"/>
        <v/>
      </c>
      <c r="B28" s="24" t="str">
        <f>IFERROR(INDEX(_自动清单!$BW$4:$BW$253,ROW()-3),"")</f>
        <v/>
      </c>
      <c r="C28" s="26" t="str">
        <f>IF($B28="","",ROUND(SUMIFS(周转筐出入库明细!$S$4:$S$2004,周转筐出入库明细!$C$4:$C$2004,$B28,周转筐出入库明细!$B$4:$B$2004,"&gt;="&amp;$O$1,周转筐出入库明细!$B$4:$B$2004,"&lt;="&amp;$O$2),2))</f>
        <v/>
      </c>
      <c r="D28" s="60" t="str">
        <f>IF($B28="","",ROUND(SUMIFS(周转筐出入库明细!$T$4:$T$2004,周转筐出入库明细!$C$4:$C$2004,$B28,周转筐出入库明细!$B$4:$B$2004,"&gt;="&amp;$O$1,周转筐出入库明细!$B$4:$B$2004,"&lt;="&amp;$O$2),2))</f>
        <v/>
      </c>
      <c r="E28" s="26" t="str">
        <f>IF($B28="","",ROUND(SUMIFS(次果筐明细!$J$4:$J$603,次果筐明细!$C$4:$C$603,$B28,次果筐明细!$B$4:$B$603,"&gt;="&amp;$O$1,次果筐明细!$B$4:$B$603,"&lt;="&amp;$O$2),2))</f>
        <v/>
      </c>
      <c r="F28" s="60" t="str">
        <f>IF($B28="","",ROUND(SUMIFS(次果筐明细!$K$4:$K$603,次果筐明细!$C$4:$C$603,$B28,次果筐明细!$B$4:$B$603,"&gt;="&amp;$O$1,次果筐明细!$B$4:$B$603,"&lt;="&amp;$O$2),2))</f>
        <v/>
      </c>
      <c r="G28" s="26" t="str">
        <f t="shared" si="1"/>
        <v/>
      </c>
      <c r="H28" s="60" t="str">
        <f t="shared" si="2"/>
        <v/>
      </c>
      <c r="I28" s="26" t="str">
        <f t="shared" si="3"/>
        <v/>
      </c>
      <c r="J28" s="24" t="str">
        <f t="shared" si="4"/>
        <v/>
      </c>
      <c r="K28" s="41"/>
    </row>
    <row r="29" spans="1:11">
      <c r="A29" s="24" t="str">
        <f t="shared" si="0"/>
        <v/>
      </c>
      <c r="B29" s="24" t="str">
        <f>IFERROR(INDEX(_自动清单!$BW$4:$BW$253,ROW()-3),"")</f>
        <v/>
      </c>
      <c r="C29" s="26" t="str">
        <f>IF($B29="","",ROUND(SUMIFS(周转筐出入库明细!$S$4:$S$2004,周转筐出入库明细!$C$4:$C$2004,$B29,周转筐出入库明细!$B$4:$B$2004,"&gt;="&amp;$O$1,周转筐出入库明细!$B$4:$B$2004,"&lt;="&amp;$O$2),2))</f>
        <v/>
      </c>
      <c r="D29" s="60" t="str">
        <f>IF($B29="","",ROUND(SUMIFS(周转筐出入库明细!$T$4:$T$2004,周转筐出入库明细!$C$4:$C$2004,$B29,周转筐出入库明细!$B$4:$B$2004,"&gt;="&amp;$O$1,周转筐出入库明细!$B$4:$B$2004,"&lt;="&amp;$O$2),2))</f>
        <v/>
      </c>
      <c r="E29" s="26" t="str">
        <f>IF($B29="","",ROUND(SUMIFS(次果筐明细!$J$4:$J$603,次果筐明细!$C$4:$C$603,$B29,次果筐明细!$B$4:$B$603,"&gt;="&amp;$O$1,次果筐明细!$B$4:$B$603,"&lt;="&amp;$O$2),2))</f>
        <v/>
      </c>
      <c r="F29" s="60" t="str">
        <f>IF($B29="","",ROUND(SUMIFS(次果筐明细!$K$4:$K$603,次果筐明细!$C$4:$C$603,$B29,次果筐明细!$B$4:$B$603,"&gt;="&amp;$O$1,次果筐明细!$B$4:$B$603,"&lt;="&amp;$O$2),2))</f>
        <v/>
      </c>
      <c r="G29" s="26" t="str">
        <f t="shared" si="1"/>
        <v/>
      </c>
      <c r="H29" s="60" t="str">
        <f t="shared" si="2"/>
        <v/>
      </c>
      <c r="I29" s="26" t="str">
        <f t="shared" si="3"/>
        <v/>
      </c>
      <c r="J29" s="24" t="str">
        <f t="shared" si="4"/>
        <v/>
      </c>
      <c r="K29" s="41"/>
    </row>
    <row r="30" spans="1:11">
      <c r="A30" s="24" t="str">
        <f t="shared" si="0"/>
        <v/>
      </c>
      <c r="B30" s="24" t="str">
        <f>IFERROR(INDEX(_自动清单!$BW$4:$BW$253,ROW()-3),"")</f>
        <v/>
      </c>
      <c r="C30" s="26" t="str">
        <f>IF($B30="","",ROUND(SUMIFS(周转筐出入库明细!$S$4:$S$2004,周转筐出入库明细!$C$4:$C$2004,$B30,周转筐出入库明细!$B$4:$B$2004,"&gt;="&amp;$O$1,周转筐出入库明细!$B$4:$B$2004,"&lt;="&amp;$O$2),2))</f>
        <v/>
      </c>
      <c r="D30" s="60" t="str">
        <f>IF($B30="","",ROUND(SUMIFS(周转筐出入库明细!$T$4:$T$2004,周转筐出入库明细!$C$4:$C$2004,$B30,周转筐出入库明细!$B$4:$B$2004,"&gt;="&amp;$O$1,周转筐出入库明细!$B$4:$B$2004,"&lt;="&amp;$O$2),2))</f>
        <v/>
      </c>
      <c r="E30" s="26" t="str">
        <f>IF($B30="","",ROUND(SUMIFS(次果筐明细!$J$4:$J$603,次果筐明细!$C$4:$C$603,$B30,次果筐明细!$B$4:$B$603,"&gt;="&amp;$O$1,次果筐明细!$B$4:$B$603,"&lt;="&amp;$O$2),2))</f>
        <v/>
      </c>
      <c r="F30" s="60" t="str">
        <f>IF($B30="","",ROUND(SUMIFS(次果筐明细!$K$4:$K$603,次果筐明细!$C$4:$C$603,$B30,次果筐明细!$B$4:$B$603,"&gt;="&amp;$O$1,次果筐明细!$B$4:$B$603,"&lt;="&amp;$O$2),2))</f>
        <v/>
      </c>
      <c r="G30" s="26" t="str">
        <f t="shared" si="1"/>
        <v/>
      </c>
      <c r="H30" s="60" t="str">
        <f t="shared" si="2"/>
        <v/>
      </c>
      <c r="I30" s="26" t="str">
        <f t="shared" si="3"/>
        <v/>
      </c>
      <c r="J30" s="24" t="str">
        <f t="shared" si="4"/>
        <v/>
      </c>
      <c r="K30" s="41"/>
    </row>
    <row r="31" spans="1:11">
      <c r="A31" s="24" t="str">
        <f t="shared" si="0"/>
        <v/>
      </c>
      <c r="B31" s="24" t="str">
        <f>IFERROR(INDEX(_自动清单!$BW$4:$BW$253,ROW()-3),"")</f>
        <v/>
      </c>
      <c r="C31" s="26" t="str">
        <f>IF($B31="","",ROUND(SUMIFS(周转筐出入库明细!$S$4:$S$2004,周转筐出入库明细!$C$4:$C$2004,$B31,周转筐出入库明细!$B$4:$B$2004,"&gt;="&amp;$O$1,周转筐出入库明细!$B$4:$B$2004,"&lt;="&amp;$O$2),2))</f>
        <v/>
      </c>
      <c r="D31" s="60" t="str">
        <f>IF($B31="","",ROUND(SUMIFS(周转筐出入库明细!$T$4:$T$2004,周转筐出入库明细!$C$4:$C$2004,$B31,周转筐出入库明细!$B$4:$B$2004,"&gt;="&amp;$O$1,周转筐出入库明细!$B$4:$B$2004,"&lt;="&amp;$O$2),2))</f>
        <v/>
      </c>
      <c r="E31" s="26" t="str">
        <f>IF($B31="","",ROUND(SUMIFS(次果筐明细!$J$4:$J$603,次果筐明细!$C$4:$C$603,$B31,次果筐明细!$B$4:$B$603,"&gt;="&amp;$O$1,次果筐明细!$B$4:$B$603,"&lt;="&amp;$O$2),2))</f>
        <v/>
      </c>
      <c r="F31" s="60" t="str">
        <f>IF($B31="","",ROUND(SUMIFS(次果筐明细!$K$4:$K$603,次果筐明细!$C$4:$C$603,$B31,次果筐明细!$B$4:$B$603,"&gt;="&amp;$O$1,次果筐明细!$B$4:$B$603,"&lt;="&amp;$O$2),2))</f>
        <v/>
      </c>
      <c r="G31" s="26" t="str">
        <f t="shared" si="1"/>
        <v/>
      </c>
      <c r="H31" s="60" t="str">
        <f t="shared" si="2"/>
        <v/>
      </c>
      <c r="I31" s="26" t="str">
        <f t="shared" si="3"/>
        <v/>
      </c>
      <c r="J31" s="24" t="str">
        <f t="shared" si="4"/>
        <v/>
      </c>
      <c r="K31" s="41"/>
    </row>
    <row r="32" spans="1:11">
      <c r="A32" s="24" t="str">
        <f t="shared" si="0"/>
        <v/>
      </c>
      <c r="B32" s="24" t="str">
        <f>IFERROR(INDEX(_自动清单!$BW$4:$BW$253,ROW()-3),"")</f>
        <v/>
      </c>
      <c r="C32" s="26" t="str">
        <f>IF($B32="","",ROUND(SUMIFS(周转筐出入库明细!$S$4:$S$2004,周转筐出入库明细!$C$4:$C$2004,$B32,周转筐出入库明细!$B$4:$B$2004,"&gt;="&amp;$O$1,周转筐出入库明细!$B$4:$B$2004,"&lt;="&amp;$O$2),2))</f>
        <v/>
      </c>
      <c r="D32" s="60" t="str">
        <f>IF($B32="","",ROUND(SUMIFS(周转筐出入库明细!$T$4:$T$2004,周转筐出入库明细!$C$4:$C$2004,$B32,周转筐出入库明细!$B$4:$B$2004,"&gt;="&amp;$O$1,周转筐出入库明细!$B$4:$B$2004,"&lt;="&amp;$O$2),2))</f>
        <v/>
      </c>
      <c r="E32" s="26" t="str">
        <f>IF($B32="","",ROUND(SUMIFS(次果筐明细!$J$4:$J$603,次果筐明细!$C$4:$C$603,$B32,次果筐明细!$B$4:$B$603,"&gt;="&amp;$O$1,次果筐明细!$B$4:$B$603,"&lt;="&amp;$O$2),2))</f>
        <v/>
      </c>
      <c r="F32" s="60" t="str">
        <f>IF($B32="","",ROUND(SUMIFS(次果筐明细!$K$4:$K$603,次果筐明细!$C$4:$C$603,$B32,次果筐明细!$B$4:$B$603,"&gt;="&amp;$O$1,次果筐明细!$B$4:$B$603,"&lt;="&amp;$O$2),2))</f>
        <v/>
      </c>
      <c r="G32" s="26" t="str">
        <f t="shared" si="1"/>
        <v/>
      </c>
      <c r="H32" s="60" t="str">
        <f t="shared" si="2"/>
        <v/>
      </c>
      <c r="I32" s="26" t="str">
        <f t="shared" si="3"/>
        <v/>
      </c>
      <c r="J32" s="24" t="str">
        <f t="shared" si="4"/>
        <v/>
      </c>
      <c r="K32" s="41"/>
    </row>
    <row r="33" spans="1:11">
      <c r="A33" s="24" t="str">
        <f t="shared" si="0"/>
        <v/>
      </c>
      <c r="B33" s="24" t="str">
        <f>IFERROR(INDEX(_自动清单!$BW$4:$BW$253,ROW()-3),"")</f>
        <v/>
      </c>
      <c r="C33" s="26" t="str">
        <f>IF($B33="","",ROUND(SUMIFS(周转筐出入库明细!$S$4:$S$2004,周转筐出入库明细!$C$4:$C$2004,$B33,周转筐出入库明细!$B$4:$B$2004,"&gt;="&amp;$O$1,周转筐出入库明细!$B$4:$B$2004,"&lt;="&amp;$O$2),2))</f>
        <v/>
      </c>
      <c r="D33" s="60" t="str">
        <f>IF($B33="","",ROUND(SUMIFS(周转筐出入库明细!$T$4:$T$2004,周转筐出入库明细!$C$4:$C$2004,$B33,周转筐出入库明细!$B$4:$B$2004,"&gt;="&amp;$O$1,周转筐出入库明细!$B$4:$B$2004,"&lt;="&amp;$O$2),2))</f>
        <v/>
      </c>
      <c r="E33" s="26" t="str">
        <f>IF($B33="","",ROUND(SUMIFS(次果筐明细!$J$4:$J$603,次果筐明细!$C$4:$C$603,$B33,次果筐明细!$B$4:$B$603,"&gt;="&amp;$O$1,次果筐明细!$B$4:$B$603,"&lt;="&amp;$O$2),2))</f>
        <v/>
      </c>
      <c r="F33" s="60" t="str">
        <f>IF($B33="","",ROUND(SUMIFS(次果筐明细!$K$4:$K$603,次果筐明细!$C$4:$C$603,$B33,次果筐明细!$B$4:$B$603,"&gt;="&amp;$O$1,次果筐明细!$B$4:$B$603,"&lt;="&amp;$O$2),2))</f>
        <v/>
      </c>
      <c r="G33" s="26" t="str">
        <f t="shared" si="1"/>
        <v/>
      </c>
      <c r="H33" s="60" t="str">
        <f t="shared" si="2"/>
        <v/>
      </c>
      <c r="I33" s="26" t="str">
        <f t="shared" si="3"/>
        <v/>
      </c>
      <c r="J33" s="24" t="str">
        <f t="shared" si="4"/>
        <v/>
      </c>
      <c r="K33" s="41"/>
    </row>
    <row r="34" spans="1:11">
      <c r="A34" s="24" t="str">
        <f t="shared" si="0"/>
        <v/>
      </c>
      <c r="B34" s="24" t="str">
        <f>IFERROR(INDEX(_自动清单!$BW$4:$BW$253,ROW()-3),"")</f>
        <v/>
      </c>
      <c r="C34" s="26" t="str">
        <f>IF($B34="","",ROUND(SUMIFS(周转筐出入库明细!$S$4:$S$2004,周转筐出入库明细!$C$4:$C$2004,$B34,周转筐出入库明细!$B$4:$B$2004,"&gt;="&amp;$O$1,周转筐出入库明细!$B$4:$B$2004,"&lt;="&amp;$O$2),2))</f>
        <v/>
      </c>
      <c r="D34" s="60" t="str">
        <f>IF($B34="","",ROUND(SUMIFS(周转筐出入库明细!$T$4:$T$2004,周转筐出入库明细!$C$4:$C$2004,$B34,周转筐出入库明细!$B$4:$B$2004,"&gt;="&amp;$O$1,周转筐出入库明细!$B$4:$B$2004,"&lt;="&amp;$O$2),2))</f>
        <v/>
      </c>
      <c r="E34" s="26" t="str">
        <f>IF($B34="","",ROUND(SUMIFS(次果筐明细!$J$4:$J$603,次果筐明细!$C$4:$C$603,$B34,次果筐明细!$B$4:$B$603,"&gt;="&amp;$O$1,次果筐明细!$B$4:$B$603,"&lt;="&amp;$O$2),2))</f>
        <v/>
      </c>
      <c r="F34" s="60" t="str">
        <f>IF($B34="","",ROUND(SUMIFS(次果筐明细!$K$4:$K$603,次果筐明细!$C$4:$C$603,$B34,次果筐明细!$B$4:$B$603,"&gt;="&amp;$O$1,次果筐明细!$B$4:$B$603,"&lt;="&amp;$O$2),2))</f>
        <v/>
      </c>
      <c r="G34" s="26" t="str">
        <f t="shared" si="1"/>
        <v/>
      </c>
      <c r="H34" s="60" t="str">
        <f t="shared" si="2"/>
        <v/>
      </c>
      <c r="I34" s="26" t="str">
        <f t="shared" si="3"/>
        <v/>
      </c>
      <c r="J34" s="24" t="str">
        <f t="shared" si="4"/>
        <v/>
      </c>
      <c r="K34" s="41"/>
    </row>
    <row r="35" spans="1:11">
      <c r="A35" s="24" t="str">
        <f t="shared" si="0"/>
        <v/>
      </c>
      <c r="B35" s="24" t="str">
        <f>IFERROR(INDEX(_自动清单!$BW$4:$BW$253,ROW()-3),"")</f>
        <v/>
      </c>
      <c r="C35" s="26" t="str">
        <f>IF($B35="","",ROUND(SUMIFS(周转筐出入库明细!$S$4:$S$2004,周转筐出入库明细!$C$4:$C$2004,$B35,周转筐出入库明细!$B$4:$B$2004,"&gt;="&amp;$O$1,周转筐出入库明细!$B$4:$B$2004,"&lt;="&amp;$O$2),2))</f>
        <v/>
      </c>
      <c r="D35" s="60" t="str">
        <f>IF($B35="","",ROUND(SUMIFS(周转筐出入库明细!$T$4:$T$2004,周转筐出入库明细!$C$4:$C$2004,$B35,周转筐出入库明细!$B$4:$B$2004,"&gt;="&amp;$O$1,周转筐出入库明细!$B$4:$B$2004,"&lt;="&amp;$O$2),2))</f>
        <v/>
      </c>
      <c r="E35" s="26" t="str">
        <f>IF($B35="","",ROUND(SUMIFS(次果筐明细!$J$4:$J$603,次果筐明细!$C$4:$C$603,$B35,次果筐明细!$B$4:$B$603,"&gt;="&amp;$O$1,次果筐明细!$B$4:$B$603,"&lt;="&amp;$O$2),2))</f>
        <v/>
      </c>
      <c r="F35" s="60" t="str">
        <f>IF($B35="","",ROUND(SUMIFS(次果筐明细!$K$4:$K$603,次果筐明细!$C$4:$C$603,$B35,次果筐明细!$B$4:$B$603,"&gt;="&amp;$O$1,次果筐明细!$B$4:$B$603,"&lt;="&amp;$O$2),2))</f>
        <v/>
      </c>
      <c r="G35" s="26" t="str">
        <f t="shared" si="1"/>
        <v/>
      </c>
      <c r="H35" s="60" t="str">
        <f t="shared" si="2"/>
        <v/>
      </c>
      <c r="I35" s="26" t="str">
        <f t="shared" si="3"/>
        <v/>
      </c>
      <c r="J35" s="24" t="str">
        <f t="shared" si="4"/>
        <v/>
      </c>
      <c r="K35" s="41"/>
    </row>
    <row r="36" spans="1:11">
      <c r="A36" s="24" t="str">
        <f t="shared" si="0"/>
        <v/>
      </c>
      <c r="B36" s="24" t="str">
        <f>IFERROR(INDEX(_自动清单!$BW$4:$BW$253,ROW()-3),"")</f>
        <v/>
      </c>
      <c r="C36" s="26" t="str">
        <f>IF($B36="","",ROUND(SUMIFS(周转筐出入库明细!$S$4:$S$2004,周转筐出入库明细!$C$4:$C$2004,$B36,周转筐出入库明细!$B$4:$B$2004,"&gt;="&amp;$O$1,周转筐出入库明细!$B$4:$B$2004,"&lt;="&amp;$O$2),2))</f>
        <v/>
      </c>
      <c r="D36" s="60" t="str">
        <f>IF($B36="","",ROUND(SUMIFS(周转筐出入库明细!$T$4:$T$2004,周转筐出入库明细!$C$4:$C$2004,$B36,周转筐出入库明细!$B$4:$B$2004,"&gt;="&amp;$O$1,周转筐出入库明细!$B$4:$B$2004,"&lt;="&amp;$O$2),2))</f>
        <v/>
      </c>
      <c r="E36" s="26" t="str">
        <f>IF($B36="","",ROUND(SUMIFS(次果筐明细!$J$4:$J$603,次果筐明细!$C$4:$C$603,$B36,次果筐明细!$B$4:$B$603,"&gt;="&amp;$O$1,次果筐明细!$B$4:$B$603,"&lt;="&amp;$O$2),2))</f>
        <v/>
      </c>
      <c r="F36" s="60" t="str">
        <f>IF($B36="","",ROUND(SUMIFS(次果筐明细!$K$4:$K$603,次果筐明细!$C$4:$C$603,$B36,次果筐明细!$B$4:$B$603,"&gt;="&amp;$O$1,次果筐明细!$B$4:$B$603,"&lt;="&amp;$O$2),2))</f>
        <v/>
      </c>
      <c r="G36" s="26" t="str">
        <f t="shared" si="1"/>
        <v/>
      </c>
      <c r="H36" s="60" t="str">
        <f t="shared" si="2"/>
        <v/>
      </c>
      <c r="I36" s="26" t="str">
        <f t="shared" si="3"/>
        <v/>
      </c>
      <c r="J36" s="24" t="str">
        <f t="shared" si="4"/>
        <v/>
      </c>
      <c r="K36" s="41"/>
    </row>
    <row r="37" spans="1:11">
      <c r="A37" s="24" t="str">
        <f t="shared" si="0"/>
        <v/>
      </c>
      <c r="B37" s="24" t="str">
        <f>IFERROR(INDEX(_自动清单!$BW$4:$BW$253,ROW()-3),"")</f>
        <v/>
      </c>
      <c r="C37" s="26" t="str">
        <f>IF($B37="","",ROUND(SUMIFS(周转筐出入库明细!$S$4:$S$2004,周转筐出入库明细!$C$4:$C$2004,$B37,周转筐出入库明细!$B$4:$B$2004,"&gt;="&amp;$O$1,周转筐出入库明细!$B$4:$B$2004,"&lt;="&amp;$O$2),2))</f>
        <v/>
      </c>
      <c r="D37" s="60" t="str">
        <f>IF($B37="","",ROUND(SUMIFS(周转筐出入库明细!$T$4:$T$2004,周转筐出入库明细!$C$4:$C$2004,$B37,周转筐出入库明细!$B$4:$B$2004,"&gt;="&amp;$O$1,周转筐出入库明细!$B$4:$B$2004,"&lt;="&amp;$O$2),2))</f>
        <v/>
      </c>
      <c r="E37" s="26" t="str">
        <f>IF($B37="","",ROUND(SUMIFS(次果筐明细!$J$4:$J$603,次果筐明细!$C$4:$C$603,$B37,次果筐明细!$B$4:$B$603,"&gt;="&amp;$O$1,次果筐明细!$B$4:$B$603,"&lt;="&amp;$O$2),2))</f>
        <v/>
      </c>
      <c r="F37" s="60" t="str">
        <f>IF($B37="","",ROUND(SUMIFS(次果筐明细!$K$4:$K$603,次果筐明细!$C$4:$C$603,$B37,次果筐明细!$B$4:$B$603,"&gt;="&amp;$O$1,次果筐明细!$B$4:$B$603,"&lt;="&amp;$O$2),2))</f>
        <v/>
      </c>
      <c r="G37" s="26" t="str">
        <f t="shared" si="1"/>
        <v/>
      </c>
      <c r="H37" s="60" t="str">
        <f t="shared" si="2"/>
        <v/>
      </c>
      <c r="I37" s="26" t="str">
        <f t="shared" si="3"/>
        <v/>
      </c>
      <c r="J37" s="24" t="str">
        <f t="shared" si="4"/>
        <v/>
      </c>
      <c r="K37" s="41"/>
    </row>
    <row r="38" spans="1:11">
      <c r="A38" s="24" t="str">
        <f t="shared" si="0"/>
        <v/>
      </c>
      <c r="B38" s="24" t="str">
        <f>IFERROR(INDEX(_自动清单!$BW$4:$BW$253,ROW()-3),"")</f>
        <v/>
      </c>
      <c r="C38" s="26" t="str">
        <f>IF($B38="","",ROUND(SUMIFS(周转筐出入库明细!$S$4:$S$2004,周转筐出入库明细!$C$4:$C$2004,$B38,周转筐出入库明细!$B$4:$B$2004,"&gt;="&amp;$O$1,周转筐出入库明细!$B$4:$B$2004,"&lt;="&amp;$O$2),2))</f>
        <v/>
      </c>
      <c r="D38" s="60" t="str">
        <f>IF($B38="","",ROUND(SUMIFS(周转筐出入库明细!$T$4:$T$2004,周转筐出入库明细!$C$4:$C$2004,$B38,周转筐出入库明细!$B$4:$B$2004,"&gt;="&amp;$O$1,周转筐出入库明细!$B$4:$B$2004,"&lt;="&amp;$O$2),2))</f>
        <v/>
      </c>
      <c r="E38" s="26" t="str">
        <f>IF($B38="","",ROUND(SUMIFS(次果筐明细!$J$4:$J$603,次果筐明细!$C$4:$C$603,$B38,次果筐明细!$B$4:$B$603,"&gt;="&amp;$O$1,次果筐明细!$B$4:$B$603,"&lt;="&amp;$O$2),2))</f>
        <v/>
      </c>
      <c r="F38" s="60" t="str">
        <f>IF($B38="","",ROUND(SUMIFS(次果筐明细!$K$4:$K$603,次果筐明细!$C$4:$C$603,$B38,次果筐明细!$B$4:$B$603,"&gt;="&amp;$O$1,次果筐明细!$B$4:$B$603,"&lt;="&amp;$O$2),2))</f>
        <v/>
      </c>
      <c r="G38" s="26" t="str">
        <f t="shared" si="1"/>
        <v/>
      </c>
      <c r="H38" s="60" t="str">
        <f t="shared" si="2"/>
        <v/>
      </c>
      <c r="I38" s="26" t="str">
        <f t="shared" si="3"/>
        <v/>
      </c>
      <c r="J38" s="24" t="str">
        <f t="shared" si="4"/>
        <v/>
      </c>
      <c r="K38" s="41"/>
    </row>
    <row r="39" spans="1:11">
      <c r="A39" s="24" t="str">
        <f t="shared" si="0"/>
        <v/>
      </c>
      <c r="B39" s="24" t="str">
        <f>IFERROR(INDEX(_自动清单!$BW$4:$BW$253,ROW()-3),"")</f>
        <v/>
      </c>
      <c r="C39" s="26" t="str">
        <f>IF($B39="","",ROUND(SUMIFS(周转筐出入库明细!$S$4:$S$2004,周转筐出入库明细!$C$4:$C$2004,$B39,周转筐出入库明细!$B$4:$B$2004,"&gt;="&amp;$O$1,周转筐出入库明细!$B$4:$B$2004,"&lt;="&amp;$O$2),2))</f>
        <v/>
      </c>
      <c r="D39" s="60" t="str">
        <f>IF($B39="","",ROUND(SUMIFS(周转筐出入库明细!$T$4:$T$2004,周转筐出入库明细!$C$4:$C$2004,$B39,周转筐出入库明细!$B$4:$B$2004,"&gt;="&amp;$O$1,周转筐出入库明细!$B$4:$B$2004,"&lt;="&amp;$O$2),2))</f>
        <v/>
      </c>
      <c r="E39" s="26" t="str">
        <f>IF($B39="","",ROUND(SUMIFS(次果筐明细!$J$4:$J$603,次果筐明细!$C$4:$C$603,$B39,次果筐明细!$B$4:$B$603,"&gt;="&amp;$O$1,次果筐明细!$B$4:$B$603,"&lt;="&amp;$O$2),2))</f>
        <v/>
      </c>
      <c r="F39" s="60" t="str">
        <f>IF($B39="","",ROUND(SUMIFS(次果筐明细!$K$4:$K$603,次果筐明细!$C$4:$C$603,$B39,次果筐明细!$B$4:$B$603,"&gt;="&amp;$O$1,次果筐明细!$B$4:$B$603,"&lt;="&amp;$O$2),2))</f>
        <v/>
      </c>
      <c r="G39" s="26" t="str">
        <f t="shared" si="1"/>
        <v/>
      </c>
      <c r="H39" s="60" t="str">
        <f t="shared" si="2"/>
        <v/>
      </c>
      <c r="I39" s="26" t="str">
        <f t="shared" si="3"/>
        <v/>
      </c>
      <c r="J39" s="24" t="str">
        <f t="shared" si="4"/>
        <v/>
      </c>
      <c r="K39" s="41"/>
    </row>
    <row r="40" spans="1:11">
      <c r="A40" s="24" t="str">
        <f t="shared" si="0"/>
        <v/>
      </c>
      <c r="B40" s="24" t="str">
        <f>IFERROR(INDEX(_自动清单!$BW$4:$BW$253,ROW()-3),"")</f>
        <v/>
      </c>
      <c r="C40" s="26" t="str">
        <f>IF($B40="","",ROUND(SUMIFS(周转筐出入库明细!$S$4:$S$2004,周转筐出入库明细!$C$4:$C$2004,$B40,周转筐出入库明细!$B$4:$B$2004,"&gt;="&amp;$O$1,周转筐出入库明细!$B$4:$B$2004,"&lt;="&amp;$O$2),2))</f>
        <v/>
      </c>
      <c r="D40" s="60" t="str">
        <f>IF($B40="","",ROUND(SUMIFS(周转筐出入库明细!$T$4:$T$2004,周转筐出入库明细!$C$4:$C$2004,$B40,周转筐出入库明细!$B$4:$B$2004,"&gt;="&amp;$O$1,周转筐出入库明细!$B$4:$B$2004,"&lt;="&amp;$O$2),2))</f>
        <v/>
      </c>
      <c r="E40" s="26" t="str">
        <f>IF($B40="","",ROUND(SUMIFS(次果筐明细!$J$4:$J$603,次果筐明细!$C$4:$C$603,$B40,次果筐明细!$B$4:$B$603,"&gt;="&amp;$O$1,次果筐明细!$B$4:$B$603,"&lt;="&amp;$O$2),2))</f>
        <v/>
      </c>
      <c r="F40" s="60" t="str">
        <f>IF($B40="","",ROUND(SUMIFS(次果筐明细!$K$4:$K$603,次果筐明细!$C$4:$C$603,$B40,次果筐明细!$B$4:$B$603,"&gt;="&amp;$O$1,次果筐明细!$B$4:$B$603,"&lt;="&amp;$O$2),2))</f>
        <v/>
      </c>
      <c r="G40" s="26" t="str">
        <f t="shared" si="1"/>
        <v/>
      </c>
      <c r="H40" s="60" t="str">
        <f t="shared" si="2"/>
        <v/>
      </c>
      <c r="I40" s="26" t="str">
        <f t="shared" si="3"/>
        <v/>
      </c>
      <c r="J40" s="24" t="str">
        <f t="shared" si="4"/>
        <v/>
      </c>
      <c r="K40" s="41"/>
    </row>
    <row r="41" spans="1:11">
      <c r="A41" s="24" t="str">
        <f t="shared" si="0"/>
        <v/>
      </c>
      <c r="B41" s="24" t="str">
        <f>IFERROR(INDEX(_自动清单!$BW$4:$BW$253,ROW()-3),"")</f>
        <v/>
      </c>
      <c r="C41" s="26" t="str">
        <f>IF($B41="","",ROUND(SUMIFS(周转筐出入库明细!$S$4:$S$2004,周转筐出入库明细!$C$4:$C$2004,$B41,周转筐出入库明细!$B$4:$B$2004,"&gt;="&amp;$O$1,周转筐出入库明细!$B$4:$B$2004,"&lt;="&amp;$O$2),2))</f>
        <v/>
      </c>
      <c r="D41" s="60" t="str">
        <f>IF($B41="","",ROUND(SUMIFS(周转筐出入库明细!$T$4:$T$2004,周转筐出入库明细!$C$4:$C$2004,$B41,周转筐出入库明细!$B$4:$B$2004,"&gt;="&amp;$O$1,周转筐出入库明细!$B$4:$B$2004,"&lt;="&amp;$O$2),2))</f>
        <v/>
      </c>
      <c r="E41" s="26" t="str">
        <f>IF($B41="","",ROUND(SUMIFS(次果筐明细!$J$4:$J$603,次果筐明细!$C$4:$C$603,$B41,次果筐明细!$B$4:$B$603,"&gt;="&amp;$O$1,次果筐明细!$B$4:$B$603,"&lt;="&amp;$O$2),2))</f>
        <v/>
      </c>
      <c r="F41" s="60" t="str">
        <f>IF($B41="","",ROUND(SUMIFS(次果筐明细!$K$4:$K$603,次果筐明细!$C$4:$C$603,$B41,次果筐明细!$B$4:$B$603,"&gt;="&amp;$O$1,次果筐明细!$B$4:$B$603,"&lt;="&amp;$O$2),2))</f>
        <v/>
      </c>
      <c r="G41" s="26" t="str">
        <f t="shared" si="1"/>
        <v/>
      </c>
      <c r="H41" s="60" t="str">
        <f t="shared" si="2"/>
        <v/>
      </c>
      <c r="I41" s="26" t="str">
        <f t="shared" si="3"/>
        <v/>
      </c>
      <c r="J41" s="24" t="str">
        <f t="shared" si="4"/>
        <v/>
      </c>
      <c r="K41" s="41"/>
    </row>
    <row r="42" spans="1:11">
      <c r="A42" s="24" t="str">
        <f t="shared" si="0"/>
        <v/>
      </c>
      <c r="B42" s="24" t="str">
        <f>IFERROR(INDEX(_自动清单!$BW$4:$BW$253,ROW()-3),"")</f>
        <v/>
      </c>
      <c r="C42" s="26" t="str">
        <f>IF($B42="","",ROUND(SUMIFS(周转筐出入库明细!$S$4:$S$2004,周转筐出入库明细!$C$4:$C$2004,$B42,周转筐出入库明细!$B$4:$B$2004,"&gt;="&amp;$O$1,周转筐出入库明细!$B$4:$B$2004,"&lt;="&amp;$O$2),2))</f>
        <v/>
      </c>
      <c r="D42" s="60" t="str">
        <f>IF($B42="","",ROUND(SUMIFS(周转筐出入库明细!$T$4:$T$2004,周转筐出入库明细!$C$4:$C$2004,$B42,周转筐出入库明细!$B$4:$B$2004,"&gt;="&amp;$O$1,周转筐出入库明细!$B$4:$B$2004,"&lt;="&amp;$O$2),2))</f>
        <v/>
      </c>
      <c r="E42" s="26" t="str">
        <f>IF($B42="","",ROUND(SUMIFS(次果筐明细!$J$4:$J$603,次果筐明细!$C$4:$C$603,$B42,次果筐明细!$B$4:$B$603,"&gt;="&amp;$O$1,次果筐明细!$B$4:$B$603,"&lt;="&amp;$O$2),2))</f>
        <v/>
      </c>
      <c r="F42" s="60" t="str">
        <f>IF($B42="","",ROUND(SUMIFS(次果筐明细!$K$4:$K$603,次果筐明细!$C$4:$C$603,$B42,次果筐明细!$B$4:$B$603,"&gt;="&amp;$O$1,次果筐明细!$B$4:$B$603,"&lt;="&amp;$O$2),2))</f>
        <v/>
      </c>
      <c r="G42" s="26" t="str">
        <f t="shared" si="1"/>
        <v/>
      </c>
      <c r="H42" s="60" t="str">
        <f t="shared" si="2"/>
        <v/>
      </c>
      <c r="I42" s="26" t="str">
        <f t="shared" si="3"/>
        <v/>
      </c>
      <c r="J42" s="24" t="str">
        <f t="shared" si="4"/>
        <v/>
      </c>
      <c r="K42" s="41"/>
    </row>
    <row r="43" spans="1:11">
      <c r="A43" s="24" t="str">
        <f t="shared" si="0"/>
        <v/>
      </c>
      <c r="B43" s="24" t="str">
        <f>IFERROR(INDEX(_自动清单!$BW$4:$BW$253,ROW()-3),"")</f>
        <v/>
      </c>
      <c r="C43" s="26" t="str">
        <f>IF($B43="","",ROUND(SUMIFS(周转筐出入库明细!$S$4:$S$2004,周转筐出入库明细!$C$4:$C$2004,$B43,周转筐出入库明细!$B$4:$B$2004,"&gt;="&amp;$O$1,周转筐出入库明细!$B$4:$B$2004,"&lt;="&amp;$O$2),2))</f>
        <v/>
      </c>
      <c r="D43" s="60" t="str">
        <f>IF($B43="","",ROUND(SUMIFS(周转筐出入库明细!$T$4:$T$2004,周转筐出入库明细!$C$4:$C$2004,$B43,周转筐出入库明细!$B$4:$B$2004,"&gt;="&amp;$O$1,周转筐出入库明细!$B$4:$B$2004,"&lt;="&amp;$O$2),2))</f>
        <v/>
      </c>
      <c r="E43" s="26" t="str">
        <f>IF($B43="","",ROUND(SUMIFS(次果筐明细!$J$4:$J$603,次果筐明细!$C$4:$C$603,$B43,次果筐明细!$B$4:$B$603,"&gt;="&amp;$O$1,次果筐明细!$B$4:$B$603,"&lt;="&amp;$O$2),2))</f>
        <v/>
      </c>
      <c r="F43" s="60" t="str">
        <f>IF($B43="","",ROUND(SUMIFS(次果筐明细!$K$4:$K$603,次果筐明细!$C$4:$C$603,$B43,次果筐明细!$B$4:$B$603,"&gt;="&amp;$O$1,次果筐明细!$B$4:$B$603,"&lt;="&amp;$O$2),2))</f>
        <v/>
      </c>
      <c r="G43" s="26" t="str">
        <f t="shared" si="1"/>
        <v/>
      </c>
      <c r="H43" s="60" t="str">
        <f t="shared" si="2"/>
        <v/>
      </c>
      <c r="I43" s="26" t="str">
        <f t="shared" si="3"/>
        <v/>
      </c>
      <c r="J43" s="24" t="str">
        <f t="shared" si="4"/>
        <v/>
      </c>
      <c r="K43" s="41"/>
    </row>
    <row r="44" spans="1:11">
      <c r="A44" s="24" t="str">
        <f t="shared" si="0"/>
        <v/>
      </c>
      <c r="B44" s="24" t="str">
        <f>IFERROR(INDEX(_自动清单!$BW$4:$BW$253,ROW()-3),"")</f>
        <v/>
      </c>
      <c r="C44" s="26" t="str">
        <f>IF($B44="","",ROUND(SUMIFS(周转筐出入库明细!$S$4:$S$2004,周转筐出入库明细!$C$4:$C$2004,$B44,周转筐出入库明细!$B$4:$B$2004,"&gt;="&amp;$O$1,周转筐出入库明细!$B$4:$B$2004,"&lt;="&amp;$O$2),2))</f>
        <v/>
      </c>
      <c r="D44" s="60" t="str">
        <f>IF($B44="","",ROUND(SUMIFS(周转筐出入库明细!$T$4:$T$2004,周转筐出入库明细!$C$4:$C$2004,$B44,周转筐出入库明细!$B$4:$B$2004,"&gt;="&amp;$O$1,周转筐出入库明细!$B$4:$B$2004,"&lt;="&amp;$O$2),2))</f>
        <v/>
      </c>
      <c r="E44" s="26" t="str">
        <f>IF($B44="","",ROUND(SUMIFS(次果筐明细!$J$4:$J$603,次果筐明细!$C$4:$C$603,$B44,次果筐明细!$B$4:$B$603,"&gt;="&amp;$O$1,次果筐明细!$B$4:$B$603,"&lt;="&amp;$O$2),2))</f>
        <v/>
      </c>
      <c r="F44" s="60" t="str">
        <f>IF($B44="","",ROUND(SUMIFS(次果筐明细!$K$4:$K$603,次果筐明细!$C$4:$C$603,$B44,次果筐明细!$B$4:$B$603,"&gt;="&amp;$O$1,次果筐明细!$B$4:$B$603,"&lt;="&amp;$O$2),2))</f>
        <v/>
      </c>
      <c r="G44" s="26" t="str">
        <f t="shared" si="1"/>
        <v/>
      </c>
      <c r="H44" s="60" t="str">
        <f t="shared" si="2"/>
        <v/>
      </c>
      <c r="I44" s="26" t="str">
        <f t="shared" si="3"/>
        <v/>
      </c>
      <c r="J44" s="24" t="str">
        <f t="shared" si="4"/>
        <v/>
      </c>
      <c r="K44" s="41"/>
    </row>
    <row r="45" spans="1:11">
      <c r="A45" s="24" t="str">
        <f t="shared" si="0"/>
        <v/>
      </c>
      <c r="B45" s="24" t="str">
        <f>IFERROR(INDEX(_自动清单!$BW$4:$BW$253,ROW()-3),"")</f>
        <v/>
      </c>
      <c r="C45" s="26" t="str">
        <f>IF($B45="","",ROUND(SUMIFS(周转筐出入库明细!$S$4:$S$2004,周转筐出入库明细!$C$4:$C$2004,$B45,周转筐出入库明细!$B$4:$B$2004,"&gt;="&amp;$O$1,周转筐出入库明细!$B$4:$B$2004,"&lt;="&amp;$O$2),2))</f>
        <v/>
      </c>
      <c r="D45" s="60" t="str">
        <f>IF($B45="","",ROUND(SUMIFS(周转筐出入库明细!$T$4:$T$2004,周转筐出入库明细!$C$4:$C$2004,$B45,周转筐出入库明细!$B$4:$B$2004,"&gt;="&amp;$O$1,周转筐出入库明细!$B$4:$B$2004,"&lt;="&amp;$O$2),2))</f>
        <v/>
      </c>
      <c r="E45" s="26" t="str">
        <f>IF($B45="","",ROUND(SUMIFS(次果筐明细!$J$4:$J$603,次果筐明细!$C$4:$C$603,$B45,次果筐明细!$B$4:$B$603,"&gt;="&amp;$O$1,次果筐明细!$B$4:$B$603,"&lt;="&amp;$O$2),2))</f>
        <v/>
      </c>
      <c r="F45" s="60" t="str">
        <f>IF($B45="","",ROUND(SUMIFS(次果筐明细!$K$4:$K$603,次果筐明细!$C$4:$C$603,$B45,次果筐明细!$B$4:$B$603,"&gt;="&amp;$O$1,次果筐明细!$B$4:$B$603,"&lt;="&amp;$O$2),2))</f>
        <v/>
      </c>
      <c r="G45" s="26" t="str">
        <f t="shared" si="1"/>
        <v/>
      </c>
      <c r="H45" s="60" t="str">
        <f t="shared" si="2"/>
        <v/>
      </c>
      <c r="I45" s="26" t="str">
        <f t="shared" si="3"/>
        <v/>
      </c>
      <c r="J45" s="24" t="str">
        <f t="shared" si="4"/>
        <v/>
      </c>
      <c r="K45" s="41"/>
    </row>
    <row r="46" spans="1:11">
      <c r="A46" s="24" t="str">
        <f t="shared" si="0"/>
        <v/>
      </c>
      <c r="B46" s="24" t="str">
        <f>IFERROR(INDEX(_自动清单!$BW$4:$BW$253,ROW()-3),"")</f>
        <v/>
      </c>
      <c r="C46" s="26" t="str">
        <f>IF($B46="","",ROUND(SUMIFS(周转筐出入库明细!$S$4:$S$2004,周转筐出入库明细!$C$4:$C$2004,$B46,周转筐出入库明细!$B$4:$B$2004,"&gt;="&amp;$O$1,周转筐出入库明细!$B$4:$B$2004,"&lt;="&amp;$O$2),2))</f>
        <v/>
      </c>
      <c r="D46" s="60" t="str">
        <f>IF($B46="","",ROUND(SUMIFS(周转筐出入库明细!$T$4:$T$2004,周转筐出入库明细!$C$4:$C$2004,$B46,周转筐出入库明细!$B$4:$B$2004,"&gt;="&amp;$O$1,周转筐出入库明细!$B$4:$B$2004,"&lt;="&amp;$O$2),2))</f>
        <v/>
      </c>
      <c r="E46" s="26" t="str">
        <f>IF($B46="","",ROUND(SUMIFS(次果筐明细!$J$4:$J$603,次果筐明细!$C$4:$C$603,$B46,次果筐明细!$B$4:$B$603,"&gt;="&amp;$O$1,次果筐明细!$B$4:$B$603,"&lt;="&amp;$O$2),2))</f>
        <v/>
      </c>
      <c r="F46" s="60" t="str">
        <f>IF($B46="","",ROUND(SUMIFS(次果筐明细!$K$4:$K$603,次果筐明细!$C$4:$C$603,$B46,次果筐明细!$B$4:$B$603,"&gt;="&amp;$O$1,次果筐明细!$B$4:$B$603,"&lt;="&amp;$O$2),2))</f>
        <v/>
      </c>
      <c r="G46" s="26" t="str">
        <f t="shared" si="1"/>
        <v/>
      </c>
      <c r="H46" s="60" t="str">
        <f t="shared" si="2"/>
        <v/>
      </c>
      <c r="I46" s="26" t="str">
        <f t="shared" si="3"/>
        <v/>
      </c>
      <c r="J46" s="24" t="str">
        <f t="shared" si="4"/>
        <v/>
      </c>
      <c r="K46" s="41"/>
    </row>
    <row r="47" spans="1:11">
      <c r="A47" s="24" t="str">
        <f t="shared" si="0"/>
        <v/>
      </c>
      <c r="B47" s="24" t="str">
        <f>IFERROR(INDEX(_自动清单!$BW$4:$BW$253,ROW()-3),"")</f>
        <v/>
      </c>
      <c r="C47" s="26" t="str">
        <f>IF($B47="","",ROUND(SUMIFS(周转筐出入库明细!$S$4:$S$2004,周转筐出入库明细!$C$4:$C$2004,$B47,周转筐出入库明细!$B$4:$B$2004,"&gt;="&amp;$O$1,周转筐出入库明细!$B$4:$B$2004,"&lt;="&amp;$O$2),2))</f>
        <v/>
      </c>
      <c r="D47" s="60" t="str">
        <f>IF($B47="","",ROUND(SUMIFS(周转筐出入库明细!$T$4:$T$2004,周转筐出入库明细!$C$4:$C$2004,$B47,周转筐出入库明细!$B$4:$B$2004,"&gt;="&amp;$O$1,周转筐出入库明细!$B$4:$B$2004,"&lt;="&amp;$O$2),2))</f>
        <v/>
      </c>
      <c r="E47" s="26" t="str">
        <f>IF($B47="","",ROUND(SUMIFS(次果筐明细!$J$4:$J$603,次果筐明细!$C$4:$C$603,$B47,次果筐明细!$B$4:$B$603,"&gt;="&amp;$O$1,次果筐明细!$B$4:$B$603,"&lt;="&amp;$O$2),2))</f>
        <v/>
      </c>
      <c r="F47" s="60" t="str">
        <f>IF($B47="","",ROUND(SUMIFS(次果筐明细!$K$4:$K$603,次果筐明细!$C$4:$C$603,$B47,次果筐明细!$B$4:$B$603,"&gt;="&amp;$O$1,次果筐明细!$B$4:$B$603,"&lt;="&amp;$O$2),2))</f>
        <v/>
      </c>
      <c r="G47" s="26" t="str">
        <f t="shared" si="1"/>
        <v/>
      </c>
      <c r="H47" s="60" t="str">
        <f t="shared" si="2"/>
        <v/>
      </c>
      <c r="I47" s="26" t="str">
        <f t="shared" si="3"/>
        <v/>
      </c>
      <c r="J47" s="24" t="str">
        <f t="shared" si="4"/>
        <v/>
      </c>
      <c r="K47" s="41"/>
    </row>
    <row r="48" spans="1:11">
      <c r="A48" s="24" t="str">
        <f t="shared" si="0"/>
        <v/>
      </c>
      <c r="B48" s="24" t="str">
        <f>IFERROR(INDEX(_自动清单!$BW$4:$BW$253,ROW()-3),"")</f>
        <v/>
      </c>
      <c r="C48" s="26" t="str">
        <f>IF($B48="","",ROUND(SUMIFS(周转筐出入库明细!$S$4:$S$2004,周转筐出入库明细!$C$4:$C$2004,$B48,周转筐出入库明细!$B$4:$B$2004,"&gt;="&amp;$O$1,周转筐出入库明细!$B$4:$B$2004,"&lt;="&amp;$O$2),2))</f>
        <v/>
      </c>
      <c r="D48" s="60" t="str">
        <f>IF($B48="","",ROUND(SUMIFS(周转筐出入库明细!$T$4:$T$2004,周转筐出入库明细!$C$4:$C$2004,$B48,周转筐出入库明细!$B$4:$B$2004,"&gt;="&amp;$O$1,周转筐出入库明细!$B$4:$B$2004,"&lt;="&amp;$O$2),2))</f>
        <v/>
      </c>
      <c r="E48" s="26" t="str">
        <f>IF($B48="","",ROUND(SUMIFS(次果筐明细!$J$4:$J$603,次果筐明细!$C$4:$C$603,$B48,次果筐明细!$B$4:$B$603,"&gt;="&amp;$O$1,次果筐明细!$B$4:$B$603,"&lt;="&amp;$O$2),2))</f>
        <v/>
      </c>
      <c r="F48" s="60" t="str">
        <f>IF($B48="","",ROUND(SUMIFS(次果筐明细!$K$4:$K$603,次果筐明细!$C$4:$C$603,$B48,次果筐明细!$B$4:$B$603,"&gt;="&amp;$O$1,次果筐明细!$B$4:$B$603,"&lt;="&amp;$O$2),2))</f>
        <v/>
      </c>
      <c r="G48" s="26" t="str">
        <f t="shared" si="1"/>
        <v/>
      </c>
      <c r="H48" s="60" t="str">
        <f t="shared" si="2"/>
        <v/>
      </c>
      <c r="I48" s="26" t="str">
        <f t="shared" si="3"/>
        <v/>
      </c>
      <c r="J48" s="24" t="str">
        <f t="shared" si="4"/>
        <v/>
      </c>
      <c r="K48" s="41"/>
    </row>
    <row r="49" spans="1:11">
      <c r="A49" s="24" t="str">
        <f t="shared" si="0"/>
        <v/>
      </c>
      <c r="B49" s="24" t="str">
        <f>IFERROR(INDEX(_自动清单!$BW$4:$BW$253,ROW()-3),"")</f>
        <v/>
      </c>
      <c r="C49" s="26" t="str">
        <f>IF($B49="","",ROUND(SUMIFS(周转筐出入库明细!$S$4:$S$2004,周转筐出入库明细!$C$4:$C$2004,$B49,周转筐出入库明细!$B$4:$B$2004,"&gt;="&amp;$O$1,周转筐出入库明细!$B$4:$B$2004,"&lt;="&amp;$O$2),2))</f>
        <v/>
      </c>
      <c r="D49" s="60" t="str">
        <f>IF($B49="","",ROUND(SUMIFS(周转筐出入库明细!$T$4:$T$2004,周转筐出入库明细!$C$4:$C$2004,$B49,周转筐出入库明细!$B$4:$B$2004,"&gt;="&amp;$O$1,周转筐出入库明细!$B$4:$B$2004,"&lt;="&amp;$O$2),2))</f>
        <v/>
      </c>
      <c r="E49" s="26" t="str">
        <f>IF($B49="","",ROUND(SUMIFS(次果筐明细!$J$4:$J$603,次果筐明细!$C$4:$C$603,$B49,次果筐明细!$B$4:$B$603,"&gt;="&amp;$O$1,次果筐明细!$B$4:$B$603,"&lt;="&amp;$O$2),2))</f>
        <v/>
      </c>
      <c r="F49" s="60" t="str">
        <f>IF($B49="","",ROUND(SUMIFS(次果筐明细!$K$4:$K$603,次果筐明细!$C$4:$C$603,$B49,次果筐明细!$B$4:$B$603,"&gt;="&amp;$O$1,次果筐明细!$B$4:$B$603,"&lt;="&amp;$O$2),2))</f>
        <v/>
      </c>
      <c r="G49" s="26" t="str">
        <f t="shared" si="1"/>
        <v/>
      </c>
      <c r="H49" s="60" t="str">
        <f t="shared" si="2"/>
        <v/>
      </c>
      <c r="I49" s="26" t="str">
        <f t="shared" si="3"/>
        <v/>
      </c>
      <c r="J49" s="24" t="str">
        <f t="shared" si="4"/>
        <v/>
      </c>
      <c r="K49" s="41"/>
    </row>
    <row r="50" spans="1:11">
      <c r="A50" s="24" t="str">
        <f t="shared" si="0"/>
        <v/>
      </c>
      <c r="B50" s="24" t="str">
        <f>IFERROR(INDEX(_自动清单!$BW$4:$BW$253,ROW()-3),"")</f>
        <v/>
      </c>
      <c r="C50" s="26" t="str">
        <f>IF($B50="","",ROUND(SUMIFS(周转筐出入库明细!$S$4:$S$2004,周转筐出入库明细!$C$4:$C$2004,$B50,周转筐出入库明细!$B$4:$B$2004,"&gt;="&amp;$O$1,周转筐出入库明细!$B$4:$B$2004,"&lt;="&amp;$O$2),2))</f>
        <v/>
      </c>
      <c r="D50" s="60" t="str">
        <f>IF($B50="","",ROUND(SUMIFS(周转筐出入库明细!$T$4:$T$2004,周转筐出入库明细!$C$4:$C$2004,$B50,周转筐出入库明细!$B$4:$B$2004,"&gt;="&amp;$O$1,周转筐出入库明细!$B$4:$B$2004,"&lt;="&amp;$O$2),2))</f>
        <v/>
      </c>
      <c r="E50" s="26" t="str">
        <f>IF($B50="","",ROUND(SUMIFS(次果筐明细!$J$4:$J$603,次果筐明细!$C$4:$C$603,$B50,次果筐明细!$B$4:$B$603,"&gt;="&amp;$O$1,次果筐明细!$B$4:$B$603,"&lt;="&amp;$O$2),2))</f>
        <v/>
      </c>
      <c r="F50" s="60" t="str">
        <f>IF($B50="","",ROUND(SUMIFS(次果筐明细!$K$4:$K$603,次果筐明细!$C$4:$C$603,$B50,次果筐明细!$B$4:$B$603,"&gt;="&amp;$O$1,次果筐明细!$B$4:$B$603,"&lt;="&amp;$O$2),2))</f>
        <v/>
      </c>
      <c r="G50" s="26" t="str">
        <f t="shared" si="1"/>
        <v/>
      </c>
      <c r="H50" s="60" t="str">
        <f t="shared" si="2"/>
        <v/>
      </c>
      <c r="I50" s="26" t="str">
        <f t="shared" si="3"/>
        <v/>
      </c>
      <c r="J50" s="24" t="str">
        <f t="shared" si="4"/>
        <v/>
      </c>
      <c r="K50" s="41"/>
    </row>
    <row r="51" spans="1:11">
      <c r="A51" s="24" t="str">
        <f t="shared" si="0"/>
        <v/>
      </c>
      <c r="B51" s="24" t="str">
        <f>IFERROR(INDEX(_自动清单!$BW$4:$BW$253,ROW()-3),"")</f>
        <v/>
      </c>
      <c r="C51" s="26" t="str">
        <f>IF($B51="","",ROUND(SUMIFS(周转筐出入库明细!$S$4:$S$2004,周转筐出入库明细!$C$4:$C$2004,$B51,周转筐出入库明细!$B$4:$B$2004,"&gt;="&amp;$O$1,周转筐出入库明细!$B$4:$B$2004,"&lt;="&amp;$O$2),2))</f>
        <v/>
      </c>
      <c r="D51" s="60" t="str">
        <f>IF($B51="","",ROUND(SUMIFS(周转筐出入库明细!$T$4:$T$2004,周转筐出入库明细!$C$4:$C$2004,$B51,周转筐出入库明细!$B$4:$B$2004,"&gt;="&amp;$O$1,周转筐出入库明细!$B$4:$B$2004,"&lt;="&amp;$O$2),2))</f>
        <v/>
      </c>
      <c r="E51" s="26" t="str">
        <f>IF($B51="","",ROUND(SUMIFS(次果筐明细!$J$4:$J$603,次果筐明细!$C$4:$C$603,$B51,次果筐明细!$B$4:$B$603,"&gt;="&amp;$O$1,次果筐明细!$B$4:$B$603,"&lt;="&amp;$O$2),2))</f>
        <v/>
      </c>
      <c r="F51" s="60" t="str">
        <f>IF($B51="","",ROUND(SUMIFS(次果筐明细!$K$4:$K$603,次果筐明细!$C$4:$C$603,$B51,次果筐明细!$B$4:$B$603,"&gt;="&amp;$O$1,次果筐明细!$B$4:$B$603,"&lt;="&amp;$O$2),2))</f>
        <v/>
      </c>
      <c r="G51" s="26" t="str">
        <f t="shared" si="1"/>
        <v/>
      </c>
      <c r="H51" s="60" t="str">
        <f t="shared" si="2"/>
        <v/>
      </c>
      <c r="I51" s="26" t="str">
        <f t="shared" si="3"/>
        <v/>
      </c>
      <c r="J51" s="24" t="str">
        <f t="shared" si="4"/>
        <v/>
      </c>
      <c r="K51" s="41"/>
    </row>
    <row r="52" spans="1:11">
      <c r="A52" s="24" t="str">
        <f t="shared" si="0"/>
        <v/>
      </c>
      <c r="B52" s="24" t="str">
        <f>IFERROR(INDEX(_自动清单!$BW$4:$BW$253,ROW()-3),"")</f>
        <v/>
      </c>
      <c r="C52" s="26" t="str">
        <f>IF($B52="","",ROUND(SUMIFS(周转筐出入库明细!$S$4:$S$2004,周转筐出入库明细!$C$4:$C$2004,$B52,周转筐出入库明细!$B$4:$B$2004,"&gt;="&amp;$O$1,周转筐出入库明细!$B$4:$B$2004,"&lt;="&amp;$O$2),2))</f>
        <v/>
      </c>
      <c r="D52" s="60" t="str">
        <f>IF($B52="","",ROUND(SUMIFS(周转筐出入库明细!$T$4:$T$2004,周转筐出入库明细!$C$4:$C$2004,$B52,周转筐出入库明细!$B$4:$B$2004,"&gt;="&amp;$O$1,周转筐出入库明细!$B$4:$B$2004,"&lt;="&amp;$O$2),2))</f>
        <v/>
      </c>
      <c r="E52" s="26" t="str">
        <f>IF($B52="","",ROUND(SUMIFS(次果筐明细!$J$4:$J$603,次果筐明细!$C$4:$C$603,$B52,次果筐明细!$B$4:$B$603,"&gt;="&amp;$O$1,次果筐明细!$B$4:$B$603,"&lt;="&amp;$O$2),2))</f>
        <v/>
      </c>
      <c r="F52" s="60" t="str">
        <f>IF($B52="","",ROUND(SUMIFS(次果筐明细!$K$4:$K$603,次果筐明细!$C$4:$C$603,$B52,次果筐明细!$B$4:$B$603,"&gt;="&amp;$O$1,次果筐明细!$B$4:$B$603,"&lt;="&amp;$O$2),2))</f>
        <v/>
      </c>
      <c r="G52" s="26" t="str">
        <f t="shared" si="1"/>
        <v/>
      </c>
      <c r="H52" s="60" t="str">
        <f t="shared" si="2"/>
        <v/>
      </c>
      <c r="I52" s="26" t="str">
        <f t="shared" si="3"/>
        <v/>
      </c>
      <c r="J52" s="24" t="str">
        <f t="shared" si="4"/>
        <v/>
      </c>
      <c r="K52" s="41"/>
    </row>
    <row r="53" spans="1:11">
      <c r="A53" s="24" t="str">
        <f t="shared" si="0"/>
        <v/>
      </c>
      <c r="B53" s="24" t="str">
        <f>IFERROR(INDEX(_自动清单!$BW$4:$BW$253,ROW()-3),"")</f>
        <v/>
      </c>
      <c r="C53" s="26" t="str">
        <f>IF($B53="","",ROUND(SUMIFS(周转筐出入库明细!$S$4:$S$2004,周转筐出入库明细!$C$4:$C$2004,$B53,周转筐出入库明细!$B$4:$B$2004,"&gt;="&amp;$O$1,周转筐出入库明细!$B$4:$B$2004,"&lt;="&amp;$O$2),2))</f>
        <v/>
      </c>
      <c r="D53" s="60" t="str">
        <f>IF($B53="","",ROUND(SUMIFS(周转筐出入库明细!$T$4:$T$2004,周转筐出入库明细!$C$4:$C$2004,$B53,周转筐出入库明细!$B$4:$B$2004,"&gt;="&amp;$O$1,周转筐出入库明细!$B$4:$B$2004,"&lt;="&amp;$O$2),2))</f>
        <v/>
      </c>
      <c r="E53" s="26" t="str">
        <f>IF($B53="","",ROUND(SUMIFS(次果筐明细!$J$4:$J$603,次果筐明细!$C$4:$C$603,$B53,次果筐明细!$B$4:$B$603,"&gt;="&amp;$O$1,次果筐明细!$B$4:$B$603,"&lt;="&amp;$O$2),2))</f>
        <v/>
      </c>
      <c r="F53" s="60" t="str">
        <f>IF($B53="","",ROUND(SUMIFS(次果筐明细!$K$4:$K$603,次果筐明细!$C$4:$C$603,$B53,次果筐明细!$B$4:$B$603,"&gt;="&amp;$O$1,次果筐明细!$B$4:$B$603,"&lt;="&amp;$O$2),2))</f>
        <v/>
      </c>
      <c r="G53" s="26" t="str">
        <f t="shared" si="1"/>
        <v/>
      </c>
      <c r="H53" s="60" t="str">
        <f t="shared" si="2"/>
        <v/>
      </c>
      <c r="I53" s="26" t="str">
        <f t="shared" si="3"/>
        <v/>
      </c>
      <c r="J53" s="24" t="str">
        <f t="shared" si="4"/>
        <v/>
      </c>
      <c r="K53" s="41"/>
    </row>
    <row r="54" spans="1:11">
      <c r="A54" s="24" t="str">
        <f t="shared" si="0"/>
        <v/>
      </c>
      <c r="B54" s="24" t="str">
        <f>IFERROR(INDEX(_自动清单!$BW$4:$BW$253,ROW()-3),"")</f>
        <v/>
      </c>
      <c r="C54" s="26" t="str">
        <f>IF($B54="","",ROUND(SUMIFS(周转筐出入库明细!$S$4:$S$2004,周转筐出入库明细!$C$4:$C$2004,$B54,周转筐出入库明细!$B$4:$B$2004,"&gt;="&amp;$O$1,周转筐出入库明细!$B$4:$B$2004,"&lt;="&amp;$O$2),2))</f>
        <v/>
      </c>
      <c r="D54" s="60" t="str">
        <f>IF($B54="","",ROUND(SUMIFS(周转筐出入库明细!$T$4:$T$2004,周转筐出入库明细!$C$4:$C$2004,$B54,周转筐出入库明细!$B$4:$B$2004,"&gt;="&amp;$O$1,周转筐出入库明细!$B$4:$B$2004,"&lt;="&amp;$O$2),2))</f>
        <v/>
      </c>
      <c r="E54" s="26" t="str">
        <f>IF($B54="","",ROUND(SUMIFS(次果筐明细!$J$4:$J$603,次果筐明细!$C$4:$C$603,$B54,次果筐明细!$B$4:$B$603,"&gt;="&amp;$O$1,次果筐明细!$B$4:$B$603,"&lt;="&amp;$O$2),2))</f>
        <v/>
      </c>
      <c r="F54" s="60" t="str">
        <f>IF($B54="","",ROUND(SUMIFS(次果筐明细!$K$4:$K$603,次果筐明细!$C$4:$C$603,$B54,次果筐明细!$B$4:$B$603,"&gt;="&amp;$O$1,次果筐明细!$B$4:$B$603,"&lt;="&amp;$O$2),2))</f>
        <v/>
      </c>
      <c r="G54" s="26" t="str">
        <f t="shared" si="1"/>
        <v/>
      </c>
      <c r="H54" s="60" t="str">
        <f t="shared" si="2"/>
        <v/>
      </c>
      <c r="I54" s="26" t="str">
        <f t="shared" si="3"/>
        <v/>
      </c>
      <c r="J54" s="24" t="str">
        <f t="shared" si="4"/>
        <v/>
      </c>
      <c r="K54" s="41"/>
    </row>
    <row r="55" spans="1:11">
      <c r="A55" s="24" t="str">
        <f t="shared" si="0"/>
        <v/>
      </c>
      <c r="B55" s="24" t="str">
        <f>IFERROR(INDEX(_自动清单!$BW$4:$BW$253,ROW()-3),"")</f>
        <v/>
      </c>
      <c r="C55" s="26" t="str">
        <f>IF($B55="","",ROUND(SUMIFS(周转筐出入库明细!$S$4:$S$2004,周转筐出入库明细!$C$4:$C$2004,$B55,周转筐出入库明细!$B$4:$B$2004,"&gt;="&amp;$O$1,周转筐出入库明细!$B$4:$B$2004,"&lt;="&amp;$O$2),2))</f>
        <v/>
      </c>
      <c r="D55" s="60" t="str">
        <f>IF($B55="","",ROUND(SUMIFS(周转筐出入库明细!$T$4:$T$2004,周转筐出入库明细!$C$4:$C$2004,$B55,周转筐出入库明细!$B$4:$B$2004,"&gt;="&amp;$O$1,周转筐出入库明细!$B$4:$B$2004,"&lt;="&amp;$O$2),2))</f>
        <v/>
      </c>
      <c r="E55" s="26" t="str">
        <f>IF($B55="","",ROUND(SUMIFS(次果筐明细!$J$4:$J$603,次果筐明细!$C$4:$C$603,$B55,次果筐明细!$B$4:$B$603,"&gt;="&amp;$O$1,次果筐明细!$B$4:$B$603,"&lt;="&amp;$O$2),2))</f>
        <v/>
      </c>
      <c r="F55" s="60" t="str">
        <f>IF($B55="","",ROUND(SUMIFS(次果筐明细!$K$4:$K$603,次果筐明细!$C$4:$C$603,$B55,次果筐明细!$B$4:$B$603,"&gt;="&amp;$O$1,次果筐明细!$B$4:$B$603,"&lt;="&amp;$O$2),2))</f>
        <v/>
      </c>
      <c r="G55" s="26" t="str">
        <f t="shared" si="1"/>
        <v/>
      </c>
      <c r="H55" s="60" t="str">
        <f t="shared" si="2"/>
        <v/>
      </c>
      <c r="I55" s="26" t="str">
        <f t="shared" si="3"/>
        <v/>
      </c>
      <c r="J55" s="24" t="str">
        <f t="shared" si="4"/>
        <v/>
      </c>
      <c r="K55" s="41"/>
    </row>
    <row r="56" spans="1:11">
      <c r="A56" s="24" t="str">
        <f t="shared" si="0"/>
        <v/>
      </c>
      <c r="B56" s="24" t="str">
        <f>IFERROR(INDEX(_自动清单!$BW$4:$BW$253,ROW()-3),"")</f>
        <v/>
      </c>
      <c r="C56" s="26" t="str">
        <f>IF($B56="","",ROUND(SUMIFS(周转筐出入库明细!$S$4:$S$2004,周转筐出入库明细!$C$4:$C$2004,$B56,周转筐出入库明细!$B$4:$B$2004,"&gt;="&amp;$O$1,周转筐出入库明细!$B$4:$B$2004,"&lt;="&amp;$O$2),2))</f>
        <v/>
      </c>
      <c r="D56" s="60" t="str">
        <f>IF($B56="","",ROUND(SUMIFS(周转筐出入库明细!$T$4:$T$2004,周转筐出入库明细!$C$4:$C$2004,$B56,周转筐出入库明细!$B$4:$B$2004,"&gt;="&amp;$O$1,周转筐出入库明细!$B$4:$B$2004,"&lt;="&amp;$O$2),2))</f>
        <v/>
      </c>
      <c r="E56" s="26" t="str">
        <f>IF($B56="","",ROUND(SUMIFS(次果筐明细!$J$4:$J$603,次果筐明细!$C$4:$C$603,$B56,次果筐明细!$B$4:$B$603,"&gt;="&amp;$O$1,次果筐明细!$B$4:$B$603,"&lt;="&amp;$O$2),2))</f>
        <v/>
      </c>
      <c r="F56" s="60" t="str">
        <f>IF($B56="","",ROUND(SUMIFS(次果筐明细!$K$4:$K$603,次果筐明细!$C$4:$C$603,$B56,次果筐明细!$B$4:$B$603,"&gt;="&amp;$O$1,次果筐明细!$B$4:$B$603,"&lt;="&amp;$O$2),2))</f>
        <v/>
      </c>
      <c r="G56" s="26" t="str">
        <f t="shared" si="1"/>
        <v/>
      </c>
      <c r="H56" s="60" t="str">
        <f t="shared" si="2"/>
        <v/>
      </c>
      <c r="I56" s="26" t="str">
        <f t="shared" si="3"/>
        <v/>
      </c>
      <c r="J56" s="24" t="str">
        <f t="shared" si="4"/>
        <v/>
      </c>
      <c r="K56" s="41"/>
    </row>
    <row r="57" spans="1:11">
      <c r="A57" s="24" t="str">
        <f t="shared" si="0"/>
        <v/>
      </c>
      <c r="B57" s="24" t="str">
        <f>IFERROR(INDEX(_自动清单!$BW$4:$BW$253,ROW()-3),"")</f>
        <v/>
      </c>
      <c r="C57" s="26" t="str">
        <f>IF($B57="","",ROUND(SUMIFS(周转筐出入库明细!$S$4:$S$2004,周转筐出入库明细!$C$4:$C$2004,$B57,周转筐出入库明细!$B$4:$B$2004,"&gt;="&amp;$O$1,周转筐出入库明细!$B$4:$B$2004,"&lt;="&amp;$O$2),2))</f>
        <v/>
      </c>
      <c r="D57" s="60" t="str">
        <f>IF($B57="","",ROUND(SUMIFS(周转筐出入库明细!$T$4:$T$2004,周转筐出入库明细!$C$4:$C$2004,$B57,周转筐出入库明细!$B$4:$B$2004,"&gt;="&amp;$O$1,周转筐出入库明细!$B$4:$B$2004,"&lt;="&amp;$O$2),2))</f>
        <v/>
      </c>
      <c r="E57" s="26" t="str">
        <f>IF($B57="","",ROUND(SUMIFS(次果筐明细!$J$4:$J$603,次果筐明细!$C$4:$C$603,$B57,次果筐明细!$B$4:$B$603,"&gt;="&amp;$O$1,次果筐明细!$B$4:$B$603,"&lt;="&amp;$O$2),2))</f>
        <v/>
      </c>
      <c r="F57" s="60" t="str">
        <f>IF($B57="","",ROUND(SUMIFS(次果筐明细!$K$4:$K$603,次果筐明细!$C$4:$C$603,$B57,次果筐明细!$B$4:$B$603,"&gt;="&amp;$O$1,次果筐明细!$B$4:$B$603,"&lt;="&amp;$O$2),2))</f>
        <v/>
      </c>
      <c r="G57" s="26" t="str">
        <f t="shared" si="1"/>
        <v/>
      </c>
      <c r="H57" s="60" t="str">
        <f t="shared" si="2"/>
        <v/>
      </c>
      <c r="I57" s="26" t="str">
        <f t="shared" si="3"/>
        <v/>
      </c>
      <c r="J57" s="24" t="str">
        <f t="shared" si="4"/>
        <v/>
      </c>
      <c r="K57" s="41"/>
    </row>
    <row r="58" spans="1:11">
      <c r="A58" s="24" t="str">
        <f t="shared" si="0"/>
        <v/>
      </c>
      <c r="B58" s="24" t="str">
        <f>IFERROR(INDEX(_自动清单!$BW$4:$BW$253,ROW()-3),"")</f>
        <v/>
      </c>
      <c r="C58" s="26" t="str">
        <f>IF($B58="","",ROUND(SUMIFS(周转筐出入库明细!$S$4:$S$2004,周转筐出入库明细!$C$4:$C$2004,$B58,周转筐出入库明细!$B$4:$B$2004,"&gt;="&amp;$O$1,周转筐出入库明细!$B$4:$B$2004,"&lt;="&amp;$O$2),2))</f>
        <v/>
      </c>
      <c r="D58" s="60" t="str">
        <f>IF($B58="","",ROUND(SUMIFS(周转筐出入库明细!$T$4:$T$2004,周转筐出入库明细!$C$4:$C$2004,$B58,周转筐出入库明细!$B$4:$B$2004,"&gt;="&amp;$O$1,周转筐出入库明细!$B$4:$B$2004,"&lt;="&amp;$O$2),2))</f>
        <v/>
      </c>
      <c r="E58" s="26" t="str">
        <f>IF($B58="","",ROUND(SUMIFS(次果筐明细!$J$4:$J$603,次果筐明细!$C$4:$C$603,$B58,次果筐明细!$B$4:$B$603,"&gt;="&amp;$O$1,次果筐明细!$B$4:$B$603,"&lt;="&amp;$O$2),2))</f>
        <v/>
      </c>
      <c r="F58" s="60" t="str">
        <f>IF($B58="","",ROUND(SUMIFS(次果筐明细!$K$4:$K$603,次果筐明细!$C$4:$C$603,$B58,次果筐明细!$B$4:$B$603,"&gt;="&amp;$O$1,次果筐明细!$B$4:$B$603,"&lt;="&amp;$O$2),2))</f>
        <v/>
      </c>
      <c r="G58" s="26" t="str">
        <f t="shared" si="1"/>
        <v/>
      </c>
      <c r="H58" s="60" t="str">
        <f t="shared" si="2"/>
        <v/>
      </c>
      <c r="I58" s="26" t="str">
        <f t="shared" si="3"/>
        <v/>
      </c>
      <c r="J58" s="24" t="str">
        <f t="shared" si="4"/>
        <v/>
      </c>
      <c r="K58" s="41"/>
    </row>
    <row r="59" spans="1:11">
      <c r="A59" s="24" t="str">
        <f t="shared" si="0"/>
        <v/>
      </c>
      <c r="B59" s="24" t="str">
        <f>IFERROR(INDEX(_自动清单!$BW$4:$BW$253,ROW()-3),"")</f>
        <v/>
      </c>
      <c r="C59" s="26" t="str">
        <f>IF($B59="","",ROUND(SUMIFS(周转筐出入库明细!$S$4:$S$2004,周转筐出入库明细!$C$4:$C$2004,$B59,周转筐出入库明细!$B$4:$B$2004,"&gt;="&amp;$O$1,周转筐出入库明细!$B$4:$B$2004,"&lt;="&amp;$O$2),2))</f>
        <v/>
      </c>
      <c r="D59" s="60" t="str">
        <f>IF($B59="","",ROUND(SUMIFS(周转筐出入库明细!$T$4:$T$2004,周转筐出入库明细!$C$4:$C$2004,$B59,周转筐出入库明细!$B$4:$B$2004,"&gt;="&amp;$O$1,周转筐出入库明细!$B$4:$B$2004,"&lt;="&amp;$O$2),2))</f>
        <v/>
      </c>
      <c r="E59" s="26" t="str">
        <f>IF($B59="","",ROUND(SUMIFS(次果筐明细!$J$4:$J$603,次果筐明细!$C$4:$C$603,$B59,次果筐明细!$B$4:$B$603,"&gt;="&amp;$O$1,次果筐明细!$B$4:$B$603,"&lt;="&amp;$O$2),2))</f>
        <v/>
      </c>
      <c r="F59" s="60" t="str">
        <f>IF($B59="","",ROUND(SUMIFS(次果筐明细!$K$4:$K$603,次果筐明细!$C$4:$C$603,$B59,次果筐明细!$B$4:$B$603,"&gt;="&amp;$O$1,次果筐明细!$B$4:$B$603,"&lt;="&amp;$O$2),2))</f>
        <v/>
      </c>
      <c r="G59" s="26" t="str">
        <f t="shared" si="1"/>
        <v/>
      </c>
      <c r="H59" s="60" t="str">
        <f t="shared" si="2"/>
        <v/>
      </c>
      <c r="I59" s="26" t="str">
        <f t="shared" si="3"/>
        <v/>
      </c>
      <c r="J59" s="24" t="str">
        <f t="shared" si="4"/>
        <v/>
      </c>
      <c r="K59" s="41"/>
    </row>
    <row r="60" spans="1:11">
      <c r="A60" s="24" t="str">
        <f t="shared" si="0"/>
        <v/>
      </c>
      <c r="B60" s="24" t="str">
        <f>IFERROR(INDEX(_自动清单!$BW$4:$BW$253,ROW()-3),"")</f>
        <v/>
      </c>
      <c r="C60" s="26" t="str">
        <f>IF($B60="","",ROUND(SUMIFS(周转筐出入库明细!$S$4:$S$2004,周转筐出入库明细!$C$4:$C$2004,$B60,周转筐出入库明细!$B$4:$B$2004,"&gt;="&amp;$O$1,周转筐出入库明细!$B$4:$B$2004,"&lt;="&amp;$O$2),2))</f>
        <v/>
      </c>
      <c r="D60" s="60" t="str">
        <f>IF($B60="","",ROUND(SUMIFS(周转筐出入库明细!$T$4:$T$2004,周转筐出入库明细!$C$4:$C$2004,$B60,周转筐出入库明细!$B$4:$B$2004,"&gt;="&amp;$O$1,周转筐出入库明细!$B$4:$B$2004,"&lt;="&amp;$O$2),2))</f>
        <v/>
      </c>
      <c r="E60" s="26" t="str">
        <f>IF($B60="","",ROUND(SUMIFS(次果筐明细!$J$4:$J$603,次果筐明细!$C$4:$C$603,$B60,次果筐明细!$B$4:$B$603,"&gt;="&amp;$O$1,次果筐明细!$B$4:$B$603,"&lt;="&amp;$O$2),2))</f>
        <v/>
      </c>
      <c r="F60" s="60" t="str">
        <f>IF($B60="","",ROUND(SUMIFS(次果筐明细!$K$4:$K$603,次果筐明细!$C$4:$C$603,$B60,次果筐明细!$B$4:$B$603,"&gt;="&amp;$O$1,次果筐明细!$B$4:$B$603,"&lt;="&amp;$O$2),2))</f>
        <v/>
      </c>
      <c r="G60" s="26" t="str">
        <f t="shared" si="1"/>
        <v/>
      </c>
      <c r="H60" s="60" t="str">
        <f t="shared" si="2"/>
        <v/>
      </c>
      <c r="I60" s="26" t="str">
        <f t="shared" si="3"/>
        <v/>
      </c>
      <c r="J60" s="24" t="str">
        <f t="shared" si="4"/>
        <v/>
      </c>
      <c r="K60" s="41"/>
    </row>
    <row r="61" spans="1:11">
      <c r="A61" s="24" t="str">
        <f t="shared" si="0"/>
        <v/>
      </c>
      <c r="B61" s="24" t="str">
        <f>IFERROR(INDEX(_自动清单!$BW$4:$BW$253,ROW()-3),"")</f>
        <v/>
      </c>
      <c r="C61" s="26" t="str">
        <f>IF($B61="","",ROUND(SUMIFS(周转筐出入库明细!$S$4:$S$2004,周转筐出入库明细!$C$4:$C$2004,$B61,周转筐出入库明细!$B$4:$B$2004,"&gt;="&amp;$O$1,周转筐出入库明细!$B$4:$B$2004,"&lt;="&amp;$O$2),2))</f>
        <v/>
      </c>
      <c r="D61" s="60" t="str">
        <f>IF($B61="","",ROUND(SUMIFS(周转筐出入库明细!$T$4:$T$2004,周转筐出入库明细!$C$4:$C$2004,$B61,周转筐出入库明细!$B$4:$B$2004,"&gt;="&amp;$O$1,周转筐出入库明细!$B$4:$B$2004,"&lt;="&amp;$O$2),2))</f>
        <v/>
      </c>
      <c r="E61" s="26" t="str">
        <f>IF($B61="","",ROUND(SUMIFS(次果筐明细!$J$4:$J$603,次果筐明细!$C$4:$C$603,$B61,次果筐明细!$B$4:$B$603,"&gt;="&amp;$O$1,次果筐明细!$B$4:$B$603,"&lt;="&amp;$O$2),2))</f>
        <v/>
      </c>
      <c r="F61" s="60" t="str">
        <f>IF($B61="","",ROUND(SUMIFS(次果筐明细!$K$4:$K$603,次果筐明细!$C$4:$C$603,$B61,次果筐明细!$B$4:$B$603,"&gt;="&amp;$O$1,次果筐明细!$B$4:$B$603,"&lt;="&amp;$O$2),2))</f>
        <v/>
      </c>
      <c r="G61" s="26" t="str">
        <f t="shared" si="1"/>
        <v/>
      </c>
      <c r="H61" s="60" t="str">
        <f t="shared" si="2"/>
        <v/>
      </c>
      <c r="I61" s="26" t="str">
        <f t="shared" si="3"/>
        <v/>
      </c>
      <c r="J61" s="24" t="str">
        <f t="shared" si="4"/>
        <v/>
      </c>
      <c r="K61" s="41"/>
    </row>
    <row r="62" spans="1:11">
      <c r="A62" s="24" t="str">
        <f t="shared" si="0"/>
        <v/>
      </c>
      <c r="B62" s="24" t="str">
        <f>IFERROR(INDEX(_自动清单!$BW$4:$BW$253,ROW()-3),"")</f>
        <v/>
      </c>
      <c r="C62" s="26" t="str">
        <f>IF($B62="","",ROUND(SUMIFS(周转筐出入库明细!$S$4:$S$2004,周转筐出入库明细!$C$4:$C$2004,$B62,周转筐出入库明细!$B$4:$B$2004,"&gt;="&amp;$O$1,周转筐出入库明细!$B$4:$B$2004,"&lt;="&amp;$O$2),2))</f>
        <v/>
      </c>
      <c r="D62" s="60" t="str">
        <f>IF($B62="","",ROUND(SUMIFS(周转筐出入库明细!$T$4:$T$2004,周转筐出入库明细!$C$4:$C$2004,$B62,周转筐出入库明细!$B$4:$B$2004,"&gt;="&amp;$O$1,周转筐出入库明细!$B$4:$B$2004,"&lt;="&amp;$O$2),2))</f>
        <v/>
      </c>
      <c r="E62" s="26" t="str">
        <f>IF($B62="","",ROUND(SUMIFS(次果筐明细!$J$4:$J$603,次果筐明细!$C$4:$C$603,$B62,次果筐明细!$B$4:$B$603,"&gt;="&amp;$O$1,次果筐明细!$B$4:$B$603,"&lt;="&amp;$O$2),2))</f>
        <v/>
      </c>
      <c r="F62" s="60" t="str">
        <f>IF($B62="","",ROUND(SUMIFS(次果筐明细!$K$4:$K$603,次果筐明细!$C$4:$C$603,$B62,次果筐明细!$B$4:$B$603,"&gt;="&amp;$O$1,次果筐明细!$B$4:$B$603,"&lt;="&amp;$O$2),2))</f>
        <v/>
      </c>
      <c r="G62" s="26" t="str">
        <f t="shared" si="1"/>
        <v/>
      </c>
      <c r="H62" s="60" t="str">
        <f t="shared" si="2"/>
        <v/>
      </c>
      <c r="I62" s="26" t="str">
        <f t="shared" si="3"/>
        <v/>
      </c>
      <c r="J62" s="24" t="str">
        <f t="shared" si="4"/>
        <v/>
      </c>
      <c r="K62" s="41"/>
    </row>
    <row r="63" spans="1:11">
      <c r="A63" s="24" t="str">
        <f t="shared" si="0"/>
        <v/>
      </c>
      <c r="B63" s="24" t="str">
        <f>IFERROR(INDEX(_自动清单!$BW$4:$BW$253,ROW()-3),"")</f>
        <v/>
      </c>
      <c r="C63" s="26" t="str">
        <f>IF($B63="","",ROUND(SUMIFS(周转筐出入库明细!$S$4:$S$2004,周转筐出入库明细!$C$4:$C$2004,$B63,周转筐出入库明细!$B$4:$B$2004,"&gt;="&amp;$O$1,周转筐出入库明细!$B$4:$B$2004,"&lt;="&amp;$O$2),2))</f>
        <v/>
      </c>
      <c r="D63" s="60" t="str">
        <f>IF($B63="","",ROUND(SUMIFS(周转筐出入库明细!$T$4:$T$2004,周转筐出入库明细!$C$4:$C$2004,$B63,周转筐出入库明细!$B$4:$B$2004,"&gt;="&amp;$O$1,周转筐出入库明细!$B$4:$B$2004,"&lt;="&amp;$O$2),2))</f>
        <v/>
      </c>
      <c r="E63" s="26" t="str">
        <f>IF($B63="","",ROUND(SUMIFS(次果筐明细!$J$4:$J$603,次果筐明细!$C$4:$C$603,$B63,次果筐明细!$B$4:$B$603,"&gt;="&amp;$O$1,次果筐明细!$B$4:$B$603,"&lt;="&amp;$O$2),2))</f>
        <v/>
      </c>
      <c r="F63" s="60" t="str">
        <f>IF($B63="","",ROUND(SUMIFS(次果筐明细!$K$4:$K$603,次果筐明细!$C$4:$C$603,$B63,次果筐明细!$B$4:$B$603,"&gt;="&amp;$O$1,次果筐明细!$B$4:$B$603,"&lt;="&amp;$O$2),2))</f>
        <v/>
      </c>
      <c r="G63" s="26" t="str">
        <f t="shared" si="1"/>
        <v/>
      </c>
      <c r="H63" s="60" t="str">
        <f t="shared" si="2"/>
        <v/>
      </c>
      <c r="I63" s="26" t="str">
        <f t="shared" si="3"/>
        <v/>
      </c>
      <c r="J63" s="24" t="str">
        <f t="shared" si="4"/>
        <v/>
      </c>
      <c r="K63" s="41"/>
    </row>
    <row r="64" spans="1:11">
      <c r="A64" s="24" t="str">
        <f t="shared" si="0"/>
        <v/>
      </c>
      <c r="B64" s="24" t="str">
        <f>IFERROR(INDEX(_自动清单!$BW$4:$BW$253,ROW()-3),"")</f>
        <v/>
      </c>
      <c r="C64" s="26" t="str">
        <f>IF($B64="","",ROUND(SUMIFS(周转筐出入库明细!$S$4:$S$2004,周转筐出入库明细!$C$4:$C$2004,$B64,周转筐出入库明细!$B$4:$B$2004,"&gt;="&amp;$O$1,周转筐出入库明细!$B$4:$B$2004,"&lt;="&amp;$O$2),2))</f>
        <v/>
      </c>
      <c r="D64" s="60" t="str">
        <f>IF($B64="","",ROUND(SUMIFS(周转筐出入库明细!$T$4:$T$2004,周转筐出入库明细!$C$4:$C$2004,$B64,周转筐出入库明细!$B$4:$B$2004,"&gt;="&amp;$O$1,周转筐出入库明细!$B$4:$B$2004,"&lt;="&amp;$O$2),2))</f>
        <v/>
      </c>
      <c r="E64" s="26" t="str">
        <f>IF($B64="","",ROUND(SUMIFS(次果筐明细!$J$4:$J$603,次果筐明细!$C$4:$C$603,$B64,次果筐明细!$B$4:$B$603,"&gt;="&amp;$O$1,次果筐明细!$B$4:$B$603,"&lt;="&amp;$O$2),2))</f>
        <v/>
      </c>
      <c r="F64" s="60" t="str">
        <f>IF($B64="","",ROUND(SUMIFS(次果筐明细!$K$4:$K$603,次果筐明细!$C$4:$C$603,$B64,次果筐明细!$B$4:$B$603,"&gt;="&amp;$O$1,次果筐明细!$B$4:$B$603,"&lt;="&amp;$O$2),2))</f>
        <v/>
      </c>
      <c r="G64" s="26" t="str">
        <f t="shared" si="1"/>
        <v/>
      </c>
      <c r="H64" s="60" t="str">
        <f t="shared" si="2"/>
        <v/>
      </c>
      <c r="I64" s="26" t="str">
        <f t="shared" si="3"/>
        <v/>
      </c>
      <c r="J64" s="24" t="str">
        <f t="shared" si="4"/>
        <v/>
      </c>
      <c r="K64" s="41"/>
    </row>
    <row r="65" spans="1:11">
      <c r="A65" s="24" t="str">
        <f t="shared" si="0"/>
        <v/>
      </c>
      <c r="B65" s="24" t="str">
        <f>IFERROR(INDEX(_自动清单!$BW$4:$BW$253,ROW()-3),"")</f>
        <v/>
      </c>
      <c r="C65" s="26" t="str">
        <f>IF($B65="","",ROUND(SUMIFS(周转筐出入库明细!$S$4:$S$2004,周转筐出入库明细!$C$4:$C$2004,$B65,周转筐出入库明细!$B$4:$B$2004,"&gt;="&amp;$O$1,周转筐出入库明细!$B$4:$B$2004,"&lt;="&amp;$O$2),2))</f>
        <v/>
      </c>
      <c r="D65" s="60" t="str">
        <f>IF($B65="","",ROUND(SUMIFS(周转筐出入库明细!$T$4:$T$2004,周转筐出入库明细!$C$4:$C$2004,$B65,周转筐出入库明细!$B$4:$B$2004,"&gt;="&amp;$O$1,周转筐出入库明细!$B$4:$B$2004,"&lt;="&amp;$O$2),2))</f>
        <v/>
      </c>
      <c r="E65" s="26" t="str">
        <f>IF($B65="","",ROUND(SUMIFS(次果筐明细!$J$4:$J$603,次果筐明细!$C$4:$C$603,$B65,次果筐明细!$B$4:$B$603,"&gt;="&amp;$O$1,次果筐明细!$B$4:$B$603,"&lt;="&amp;$O$2),2))</f>
        <v/>
      </c>
      <c r="F65" s="60" t="str">
        <f>IF($B65="","",ROUND(SUMIFS(次果筐明细!$K$4:$K$603,次果筐明细!$C$4:$C$603,$B65,次果筐明细!$B$4:$B$603,"&gt;="&amp;$O$1,次果筐明细!$B$4:$B$603,"&lt;="&amp;$O$2),2))</f>
        <v/>
      </c>
      <c r="G65" s="26" t="str">
        <f t="shared" si="1"/>
        <v/>
      </c>
      <c r="H65" s="60" t="str">
        <f t="shared" si="2"/>
        <v/>
      </c>
      <c r="I65" s="26" t="str">
        <f t="shared" si="3"/>
        <v/>
      </c>
      <c r="J65" s="24" t="str">
        <f t="shared" si="4"/>
        <v/>
      </c>
      <c r="K65" s="41"/>
    </row>
    <row r="66" spans="1:11">
      <c r="A66" s="24" t="str">
        <f t="shared" si="0"/>
        <v/>
      </c>
      <c r="B66" s="24" t="str">
        <f>IFERROR(INDEX(_自动清单!$BW$4:$BW$253,ROW()-3),"")</f>
        <v/>
      </c>
      <c r="C66" s="26" t="str">
        <f>IF($B66="","",ROUND(SUMIFS(周转筐出入库明细!$S$4:$S$2004,周转筐出入库明细!$C$4:$C$2004,$B66,周转筐出入库明细!$B$4:$B$2004,"&gt;="&amp;$O$1,周转筐出入库明细!$B$4:$B$2004,"&lt;="&amp;$O$2),2))</f>
        <v/>
      </c>
      <c r="D66" s="60" t="str">
        <f>IF($B66="","",ROUND(SUMIFS(周转筐出入库明细!$T$4:$T$2004,周转筐出入库明细!$C$4:$C$2004,$B66,周转筐出入库明细!$B$4:$B$2004,"&gt;="&amp;$O$1,周转筐出入库明细!$B$4:$B$2004,"&lt;="&amp;$O$2),2))</f>
        <v/>
      </c>
      <c r="E66" s="26" t="str">
        <f>IF($B66="","",ROUND(SUMIFS(次果筐明细!$J$4:$J$603,次果筐明细!$C$4:$C$603,$B66,次果筐明细!$B$4:$B$603,"&gt;="&amp;$O$1,次果筐明细!$B$4:$B$603,"&lt;="&amp;$O$2),2))</f>
        <v/>
      </c>
      <c r="F66" s="60" t="str">
        <f>IF($B66="","",ROUND(SUMIFS(次果筐明细!$K$4:$K$603,次果筐明细!$C$4:$C$603,$B66,次果筐明细!$B$4:$B$603,"&gt;="&amp;$O$1,次果筐明细!$B$4:$B$603,"&lt;="&amp;$O$2),2))</f>
        <v/>
      </c>
      <c r="G66" s="26" t="str">
        <f t="shared" si="1"/>
        <v/>
      </c>
      <c r="H66" s="60" t="str">
        <f t="shared" si="2"/>
        <v/>
      </c>
      <c r="I66" s="26" t="str">
        <f t="shared" si="3"/>
        <v/>
      </c>
      <c r="J66" s="24" t="str">
        <f t="shared" si="4"/>
        <v/>
      </c>
      <c r="K66" s="41"/>
    </row>
    <row r="67" spans="1:11">
      <c r="A67" s="24" t="str">
        <f t="shared" si="0"/>
        <v/>
      </c>
      <c r="B67" s="24" t="str">
        <f>IFERROR(INDEX(_自动清单!$BW$4:$BW$253,ROW()-3),"")</f>
        <v/>
      </c>
      <c r="C67" s="26" t="str">
        <f>IF($B67="","",ROUND(SUMIFS(周转筐出入库明细!$S$4:$S$2004,周转筐出入库明细!$C$4:$C$2004,$B67,周转筐出入库明细!$B$4:$B$2004,"&gt;="&amp;$O$1,周转筐出入库明细!$B$4:$B$2004,"&lt;="&amp;$O$2),2))</f>
        <v/>
      </c>
      <c r="D67" s="60" t="str">
        <f>IF($B67="","",ROUND(SUMIFS(周转筐出入库明细!$T$4:$T$2004,周转筐出入库明细!$C$4:$C$2004,$B67,周转筐出入库明细!$B$4:$B$2004,"&gt;="&amp;$O$1,周转筐出入库明细!$B$4:$B$2004,"&lt;="&amp;$O$2),2))</f>
        <v/>
      </c>
      <c r="E67" s="26" t="str">
        <f>IF($B67="","",ROUND(SUMIFS(次果筐明细!$J$4:$J$603,次果筐明细!$C$4:$C$603,$B67,次果筐明细!$B$4:$B$603,"&gt;="&amp;$O$1,次果筐明细!$B$4:$B$603,"&lt;="&amp;$O$2),2))</f>
        <v/>
      </c>
      <c r="F67" s="60" t="str">
        <f>IF($B67="","",ROUND(SUMIFS(次果筐明细!$K$4:$K$603,次果筐明细!$C$4:$C$603,$B67,次果筐明细!$B$4:$B$603,"&gt;="&amp;$O$1,次果筐明细!$B$4:$B$603,"&lt;="&amp;$O$2),2))</f>
        <v/>
      </c>
      <c r="G67" s="26" t="str">
        <f t="shared" si="1"/>
        <v/>
      </c>
      <c r="H67" s="60" t="str">
        <f t="shared" si="2"/>
        <v/>
      </c>
      <c r="I67" s="26" t="str">
        <f t="shared" si="3"/>
        <v/>
      </c>
      <c r="J67" s="24" t="str">
        <f t="shared" si="4"/>
        <v/>
      </c>
      <c r="K67" s="41"/>
    </row>
    <row r="68" spans="1:11">
      <c r="A68" s="24" t="str">
        <f t="shared" ref="A68:A131" si="5">IF($B68="","",ROW()-3)</f>
        <v/>
      </c>
      <c r="B68" s="24" t="str">
        <f>IFERROR(INDEX(_自动清单!$BW$4:$BW$253,ROW()-3),"")</f>
        <v/>
      </c>
      <c r="C68" s="26" t="str">
        <f>IF($B68="","",ROUND(SUMIFS(周转筐出入库明细!$S$4:$S$2004,周转筐出入库明细!$C$4:$C$2004,$B68,周转筐出入库明细!$B$4:$B$2004,"&gt;="&amp;$O$1,周转筐出入库明细!$B$4:$B$2004,"&lt;="&amp;$O$2),2))</f>
        <v/>
      </c>
      <c r="D68" s="60" t="str">
        <f>IF($B68="","",ROUND(SUMIFS(周转筐出入库明细!$T$4:$T$2004,周转筐出入库明细!$C$4:$C$2004,$B68,周转筐出入库明细!$B$4:$B$2004,"&gt;="&amp;$O$1,周转筐出入库明细!$B$4:$B$2004,"&lt;="&amp;$O$2),2))</f>
        <v/>
      </c>
      <c r="E68" s="26" t="str">
        <f>IF($B68="","",ROUND(SUMIFS(次果筐明细!$J$4:$J$603,次果筐明细!$C$4:$C$603,$B68,次果筐明细!$B$4:$B$603,"&gt;="&amp;$O$1,次果筐明细!$B$4:$B$603,"&lt;="&amp;$O$2),2))</f>
        <v/>
      </c>
      <c r="F68" s="60" t="str">
        <f>IF($B68="","",ROUND(SUMIFS(次果筐明细!$K$4:$K$603,次果筐明细!$C$4:$C$603,$B68,次果筐明细!$B$4:$B$603,"&gt;="&amp;$O$1,次果筐明细!$B$4:$B$603,"&lt;="&amp;$O$2),2))</f>
        <v/>
      </c>
      <c r="G68" s="26" t="str">
        <f t="shared" ref="G68:G131" si="6">IF($B68="","",ROUND(N($C68)+N($E68),2))</f>
        <v/>
      </c>
      <c r="H68" s="60" t="str">
        <f t="shared" ref="H68:H131" si="7">IF($B68="","",ROUND(N($D68)+N($F68),2))</f>
        <v/>
      </c>
      <c r="I68" s="26" t="str">
        <f t="shared" ref="I68:I131" si="8">IF($B68="","",ROUND(N($G68)-N($H68),2))</f>
        <v/>
      </c>
      <c r="J68" s="24" t="str">
        <f t="shared" ref="J68:J131" si="9">IF($B68="","",IF(ROUND(N($G68),2)=0,"无押金",IF(ROUND(N($I68),2)=0,"已结清","未结清")))</f>
        <v/>
      </c>
      <c r="K68" s="41"/>
    </row>
    <row r="69" spans="1:11">
      <c r="A69" s="24" t="str">
        <f t="shared" si="5"/>
        <v/>
      </c>
      <c r="B69" s="24" t="str">
        <f>IFERROR(INDEX(_自动清单!$BW$4:$BW$253,ROW()-3),"")</f>
        <v/>
      </c>
      <c r="C69" s="26" t="str">
        <f>IF($B69="","",ROUND(SUMIFS(周转筐出入库明细!$S$4:$S$2004,周转筐出入库明细!$C$4:$C$2004,$B69,周转筐出入库明细!$B$4:$B$2004,"&gt;="&amp;$O$1,周转筐出入库明细!$B$4:$B$2004,"&lt;="&amp;$O$2),2))</f>
        <v/>
      </c>
      <c r="D69" s="60" t="str">
        <f>IF($B69="","",ROUND(SUMIFS(周转筐出入库明细!$T$4:$T$2004,周转筐出入库明细!$C$4:$C$2004,$B69,周转筐出入库明细!$B$4:$B$2004,"&gt;="&amp;$O$1,周转筐出入库明细!$B$4:$B$2004,"&lt;="&amp;$O$2),2))</f>
        <v/>
      </c>
      <c r="E69" s="26" t="str">
        <f>IF($B69="","",ROUND(SUMIFS(次果筐明细!$J$4:$J$603,次果筐明细!$C$4:$C$603,$B69,次果筐明细!$B$4:$B$603,"&gt;="&amp;$O$1,次果筐明细!$B$4:$B$603,"&lt;="&amp;$O$2),2))</f>
        <v/>
      </c>
      <c r="F69" s="60" t="str">
        <f>IF($B69="","",ROUND(SUMIFS(次果筐明细!$K$4:$K$603,次果筐明细!$C$4:$C$603,$B69,次果筐明细!$B$4:$B$603,"&gt;="&amp;$O$1,次果筐明细!$B$4:$B$603,"&lt;="&amp;$O$2),2))</f>
        <v/>
      </c>
      <c r="G69" s="26" t="str">
        <f t="shared" si="6"/>
        <v/>
      </c>
      <c r="H69" s="60" t="str">
        <f t="shared" si="7"/>
        <v/>
      </c>
      <c r="I69" s="26" t="str">
        <f t="shared" si="8"/>
        <v/>
      </c>
      <c r="J69" s="24" t="str">
        <f t="shared" si="9"/>
        <v/>
      </c>
      <c r="K69" s="41"/>
    </row>
    <row r="70" spans="1:11">
      <c r="A70" s="24" t="str">
        <f t="shared" si="5"/>
        <v/>
      </c>
      <c r="B70" s="24" t="str">
        <f>IFERROR(INDEX(_自动清单!$BW$4:$BW$253,ROW()-3),"")</f>
        <v/>
      </c>
      <c r="C70" s="26" t="str">
        <f>IF($B70="","",ROUND(SUMIFS(周转筐出入库明细!$S$4:$S$2004,周转筐出入库明细!$C$4:$C$2004,$B70,周转筐出入库明细!$B$4:$B$2004,"&gt;="&amp;$O$1,周转筐出入库明细!$B$4:$B$2004,"&lt;="&amp;$O$2),2))</f>
        <v/>
      </c>
      <c r="D70" s="60" t="str">
        <f>IF($B70="","",ROUND(SUMIFS(周转筐出入库明细!$T$4:$T$2004,周转筐出入库明细!$C$4:$C$2004,$B70,周转筐出入库明细!$B$4:$B$2004,"&gt;="&amp;$O$1,周转筐出入库明细!$B$4:$B$2004,"&lt;="&amp;$O$2),2))</f>
        <v/>
      </c>
      <c r="E70" s="26" t="str">
        <f>IF($B70="","",ROUND(SUMIFS(次果筐明细!$J$4:$J$603,次果筐明细!$C$4:$C$603,$B70,次果筐明细!$B$4:$B$603,"&gt;="&amp;$O$1,次果筐明细!$B$4:$B$603,"&lt;="&amp;$O$2),2))</f>
        <v/>
      </c>
      <c r="F70" s="60" t="str">
        <f>IF($B70="","",ROUND(SUMIFS(次果筐明细!$K$4:$K$603,次果筐明细!$C$4:$C$603,$B70,次果筐明细!$B$4:$B$603,"&gt;="&amp;$O$1,次果筐明细!$B$4:$B$603,"&lt;="&amp;$O$2),2))</f>
        <v/>
      </c>
      <c r="G70" s="26" t="str">
        <f t="shared" si="6"/>
        <v/>
      </c>
      <c r="H70" s="60" t="str">
        <f t="shared" si="7"/>
        <v/>
      </c>
      <c r="I70" s="26" t="str">
        <f t="shared" si="8"/>
        <v/>
      </c>
      <c r="J70" s="24" t="str">
        <f t="shared" si="9"/>
        <v/>
      </c>
      <c r="K70" s="41"/>
    </row>
    <row r="71" spans="1:11">
      <c r="A71" s="24" t="str">
        <f t="shared" si="5"/>
        <v/>
      </c>
      <c r="B71" s="24" t="str">
        <f>IFERROR(INDEX(_自动清单!$BW$4:$BW$253,ROW()-3),"")</f>
        <v/>
      </c>
      <c r="C71" s="26" t="str">
        <f>IF($B71="","",ROUND(SUMIFS(周转筐出入库明细!$S$4:$S$2004,周转筐出入库明细!$C$4:$C$2004,$B71,周转筐出入库明细!$B$4:$B$2004,"&gt;="&amp;$O$1,周转筐出入库明细!$B$4:$B$2004,"&lt;="&amp;$O$2),2))</f>
        <v/>
      </c>
      <c r="D71" s="60" t="str">
        <f>IF($B71="","",ROUND(SUMIFS(周转筐出入库明细!$T$4:$T$2004,周转筐出入库明细!$C$4:$C$2004,$B71,周转筐出入库明细!$B$4:$B$2004,"&gt;="&amp;$O$1,周转筐出入库明细!$B$4:$B$2004,"&lt;="&amp;$O$2),2))</f>
        <v/>
      </c>
      <c r="E71" s="26" t="str">
        <f>IF($B71="","",ROUND(SUMIFS(次果筐明细!$J$4:$J$603,次果筐明细!$C$4:$C$603,$B71,次果筐明细!$B$4:$B$603,"&gt;="&amp;$O$1,次果筐明细!$B$4:$B$603,"&lt;="&amp;$O$2),2))</f>
        <v/>
      </c>
      <c r="F71" s="60" t="str">
        <f>IF($B71="","",ROUND(SUMIFS(次果筐明细!$K$4:$K$603,次果筐明细!$C$4:$C$603,$B71,次果筐明细!$B$4:$B$603,"&gt;="&amp;$O$1,次果筐明细!$B$4:$B$603,"&lt;="&amp;$O$2),2))</f>
        <v/>
      </c>
      <c r="G71" s="26" t="str">
        <f t="shared" si="6"/>
        <v/>
      </c>
      <c r="H71" s="60" t="str">
        <f t="shared" si="7"/>
        <v/>
      </c>
      <c r="I71" s="26" t="str">
        <f t="shared" si="8"/>
        <v/>
      </c>
      <c r="J71" s="24" t="str">
        <f t="shared" si="9"/>
        <v/>
      </c>
      <c r="K71" s="41"/>
    </row>
    <row r="72" spans="1:11">
      <c r="A72" s="24" t="str">
        <f t="shared" si="5"/>
        <v/>
      </c>
      <c r="B72" s="24" t="str">
        <f>IFERROR(INDEX(_自动清单!$BW$4:$BW$253,ROW()-3),"")</f>
        <v/>
      </c>
      <c r="C72" s="26" t="str">
        <f>IF($B72="","",ROUND(SUMIFS(周转筐出入库明细!$S$4:$S$2004,周转筐出入库明细!$C$4:$C$2004,$B72,周转筐出入库明细!$B$4:$B$2004,"&gt;="&amp;$O$1,周转筐出入库明细!$B$4:$B$2004,"&lt;="&amp;$O$2),2))</f>
        <v/>
      </c>
      <c r="D72" s="60" t="str">
        <f>IF($B72="","",ROUND(SUMIFS(周转筐出入库明细!$T$4:$T$2004,周转筐出入库明细!$C$4:$C$2004,$B72,周转筐出入库明细!$B$4:$B$2004,"&gt;="&amp;$O$1,周转筐出入库明细!$B$4:$B$2004,"&lt;="&amp;$O$2),2))</f>
        <v/>
      </c>
      <c r="E72" s="26" t="str">
        <f>IF($B72="","",ROUND(SUMIFS(次果筐明细!$J$4:$J$603,次果筐明细!$C$4:$C$603,$B72,次果筐明细!$B$4:$B$603,"&gt;="&amp;$O$1,次果筐明细!$B$4:$B$603,"&lt;="&amp;$O$2),2))</f>
        <v/>
      </c>
      <c r="F72" s="60" t="str">
        <f>IF($B72="","",ROUND(SUMIFS(次果筐明细!$K$4:$K$603,次果筐明细!$C$4:$C$603,$B72,次果筐明细!$B$4:$B$603,"&gt;="&amp;$O$1,次果筐明细!$B$4:$B$603,"&lt;="&amp;$O$2),2))</f>
        <v/>
      </c>
      <c r="G72" s="26" t="str">
        <f t="shared" si="6"/>
        <v/>
      </c>
      <c r="H72" s="60" t="str">
        <f t="shared" si="7"/>
        <v/>
      </c>
      <c r="I72" s="26" t="str">
        <f t="shared" si="8"/>
        <v/>
      </c>
      <c r="J72" s="24" t="str">
        <f t="shared" si="9"/>
        <v/>
      </c>
      <c r="K72" s="41"/>
    </row>
    <row r="73" spans="1:11">
      <c r="A73" s="24" t="str">
        <f t="shared" si="5"/>
        <v/>
      </c>
      <c r="B73" s="24" t="str">
        <f>IFERROR(INDEX(_自动清单!$BW$4:$BW$253,ROW()-3),"")</f>
        <v/>
      </c>
      <c r="C73" s="26" t="str">
        <f>IF($B73="","",ROUND(SUMIFS(周转筐出入库明细!$S$4:$S$2004,周转筐出入库明细!$C$4:$C$2004,$B73,周转筐出入库明细!$B$4:$B$2004,"&gt;="&amp;$O$1,周转筐出入库明细!$B$4:$B$2004,"&lt;="&amp;$O$2),2))</f>
        <v/>
      </c>
      <c r="D73" s="60" t="str">
        <f>IF($B73="","",ROUND(SUMIFS(周转筐出入库明细!$T$4:$T$2004,周转筐出入库明细!$C$4:$C$2004,$B73,周转筐出入库明细!$B$4:$B$2004,"&gt;="&amp;$O$1,周转筐出入库明细!$B$4:$B$2004,"&lt;="&amp;$O$2),2))</f>
        <v/>
      </c>
      <c r="E73" s="26" t="str">
        <f>IF($B73="","",ROUND(SUMIFS(次果筐明细!$J$4:$J$603,次果筐明细!$C$4:$C$603,$B73,次果筐明细!$B$4:$B$603,"&gt;="&amp;$O$1,次果筐明细!$B$4:$B$603,"&lt;="&amp;$O$2),2))</f>
        <v/>
      </c>
      <c r="F73" s="60" t="str">
        <f>IF($B73="","",ROUND(SUMIFS(次果筐明细!$K$4:$K$603,次果筐明细!$C$4:$C$603,$B73,次果筐明细!$B$4:$B$603,"&gt;="&amp;$O$1,次果筐明细!$B$4:$B$603,"&lt;="&amp;$O$2),2))</f>
        <v/>
      </c>
      <c r="G73" s="26" t="str">
        <f t="shared" si="6"/>
        <v/>
      </c>
      <c r="H73" s="60" t="str">
        <f t="shared" si="7"/>
        <v/>
      </c>
      <c r="I73" s="26" t="str">
        <f t="shared" si="8"/>
        <v/>
      </c>
      <c r="J73" s="24" t="str">
        <f t="shared" si="9"/>
        <v/>
      </c>
      <c r="K73" s="41"/>
    </row>
    <row r="74" spans="1:11">
      <c r="A74" s="24" t="str">
        <f t="shared" si="5"/>
        <v/>
      </c>
      <c r="B74" s="24" t="str">
        <f>IFERROR(INDEX(_自动清单!$BW$4:$BW$253,ROW()-3),"")</f>
        <v/>
      </c>
      <c r="C74" s="26" t="str">
        <f>IF($B74="","",ROUND(SUMIFS(周转筐出入库明细!$S$4:$S$2004,周转筐出入库明细!$C$4:$C$2004,$B74,周转筐出入库明细!$B$4:$B$2004,"&gt;="&amp;$O$1,周转筐出入库明细!$B$4:$B$2004,"&lt;="&amp;$O$2),2))</f>
        <v/>
      </c>
      <c r="D74" s="60" t="str">
        <f>IF($B74="","",ROUND(SUMIFS(周转筐出入库明细!$T$4:$T$2004,周转筐出入库明细!$C$4:$C$2004,$B74,周转筐出入库明细!$B$4:$B$2004,"&gt;="&amp;$O$1,周转筐出入库明细!$B$4:$B$2004,"&lt;="&amp;$O$2),2))</f>
        <v/>
      </c>
      <c r="E74" s="26" t="str">
        <f>IF($B74="","",ROUND(SUMIFS(次果筐明细!$J$4:$J$603,次果筐明细!$C$4:$C$603,$B74,次果筐明细!$B$4:$B$603,"&gt;="&amp;$O$1,次果筐明细!$B$4:$B$603,"&lt;="&amp;$O$2),2))</f>
        <v/>
      </c>
      <c r="F74" s="60" t="str">
        <f>IF($B74="","",ROUND(SUMIFS(次果筐明细!$K$4:$K$603,次果筐明细!$C$4:$C$603,$B74,次果筐明细!$B$4:$B$603,"&gt;="&amp;$O$1,次果筐明细!$B$4:$B$603,"&lt;="&amp;$O$2),2))</f>
        <v/>
      </c>
      <c r="G74" s="26" t="str">
        <f t="shared" si="6"/>
        <v/>
      </c>
      <c r="H74" s="60" t="str">
        <f t="shared" si="7"/>
        <v/>
      </c>
      <c r="I74" s="26" t="str">
        <f t="shared" si="8"/>
        <v/>
      </c>
      <c r="J74" s="24" t="str">
        <f t="shared" si="9"/>
        <v/>
      </c>
      <c r="K74" s="41"/>
    </row>
    <row r="75" spans="1:11">
      <c r="A75" s="24" t="str">
        <f t="shared" si="5"/>
        <v/>
      </c>
      <c r="B75" s="24" t="str">
        <f>IFERROR(INDEX(_自动清单!$BW$4:$BW$253,ROW()-3),"")</f>
        <v/>
      </c>
      <c r="C75" s="26" t="str">
        <f>IF($B75="","",ROUND(SUMIFS(周转筐出入库明细!$S$4:$S$2004,周转筐出入库明细!$C$4:$C$2004,$B75,周转筐出入库明细!$B$4:$B$2004,"&gt;="&amp;$O$1,周转筐出入库明细!$B$4:$B$2004,"&lt;="&amp;$O$2),2))</f>
        <v/>
      </c>
      <c r="D75" s="60" t="str">
        <f>IF($B75="","",ROUND(SUMIFS(周转筐出入库明细!$T$4:$T$2004,周转筐出入库明细!$C$4:$C$2004,$B75,周转筐出入库明细!$B$4:$B$2004,"&gt;="&amp;$O$1,周转筐出入库明细!$B$4:$B$2004,"&lt;="&amp;$O$2),2))</f>
        <v/>
      </c>
      <c r="E75" s="26" t="str">
        <f>IF($B75="","",ROUND(SUMIFS(次果筐明细!$J$4:$J$603,次果筐明细!$C$4:$C$603,$B75,次果筐明细!$B$4:$B$603,"&gt;="&amp;$O$1,次果筐明细!$B$4:$B$603,"&lt;="&amp;$O$2),2))</f>
        <v/>
      </c>
      <c r="F75" s="60" t="str">
        <f>IF($B75="","",ROUND(SUMIFS(次果筐明细!$K$4:$K$603,次果筐明细!$C$4:$C$603,$B75,次果筐明细!$B$4:$B$603,"&gt;="&amp;$O$1,次果筐明细!$B$4:$B$603,"&lt;="&amp;$O$2),2))</f>
        <v/>
      </c>
      <c r="G75" s="26" t="str">
        <f t="shared" si="6"/>
        <v/>
      </c>
      <c r="H75" s="60" t="str">
        <f t="shared" si="7"/>
        <v/>
      </c>
      <c r="I75" s="26" t="str">
        <f t="shared" si="8"/>
        <v/>
      </c>
      <c r="J75" s="24" t="str">
        <f t="shared" si="9"/>
        <v/>
      </c>
      <c r="K75" s="41"/>
    </row>
    <row r="76" spans="1:11">
      <c r="A76" s="24" t="str">
        <f t="shared" si="5"/>
        <v/>
      </c>
      <c r="B76" s="24" t="str">
        <f>IFERROR(INDEX(_自动清单!$BW$4:$BW$253,ROW()-3),"")</f>
        <v/>
      </c>
      <c r="C76" s="26" t="str">
        <f>IF($B76="","",ROUND(SUMIFS(周转筐出入库明细!$S$4:$S$2004,周转筐出入库明细!$C$4:$C$2004,$B76,周转筐出入库明细!$B$4:$B$2004,"&gt;="&amp;$O$1,周转筐出入库明细!$B$4:$B$2004,"&lt;="&amp;$O$2),2))</f>
        <v/>
      </c>
      <c r="D76" s="60" t="str">
        <f>IF($B76="","",ROUND(SUMIFS(周转筐出入库明细!$T$4:$T$2004,周转筐出入库明细!$C$4:$C$2004,$B76,周转筐出入库明细!$B$4:$B$2004,"&gt;="&amp;$O$1,周转筐出入库明细!$B$4:$B$2004,"&lt;="&amp;$O$2),2))</f>
        <v/>
      </c>
      <c r="E76" s="26" t="str">
        <f>IF($B76="","",ROUND(SUMIFS(次果筐明细!$J$4:$J$603,次果筐明细!$C$4:$C$603,$B76,次果筐明细!$B$4:$B$603,"&gt;="&amp;$O$1,次果筐明细!$B$4:$B$603,"&lt;="&amp;$O$2),2))</f>
        <v/>
      </c>
      <c r="F76" s="60" t="str">
        <f>IF($B76="","",ROUND(SUMIFS(次果筐明细!$K$4:$K$603,次果筐明细!$C$4:$C$603,$B76,次果筐明细!$B$4:$B$603,"&gt;="&amp;$O$1,次果筐明细!$B$4:$B$603,"&lt;="&amp;$O$2),2))</f>
        <v/>
      </c>
      <c r="G76" s="26" t="str">
        <f t="shared" si="6"/>
        <v/>
      </c>
      <c r="H76" s="60" t="str">
        <f t="shared" si="7"/>
        <v/>
      </c>
      <c r="I76" s="26" t="str">
        <f t="shared" si="8"/>
        <v/>
      </c>
      <c r="J76" s="24" t="str">
        <f t="shared" si="9"/>
        <v/>
      </c>
      <c r="K76" s="41"/>
    </row>
    <row r="77" spans="1:11">
      <c r="A77" s="24" t="str">
        <f t="shared" si="5"/>
        <v/>
      </c>
      <c r="B77" s="24" t="str">
        <f>IFERROR(INDEX(_自动清单!$BW$4:$BW$253,ROW()-3),"")</f>
        <v/>
      </c>
      <c r="C77" s="26" t="str">
        <f>IF($B77="","",ROUND(SUMIFS(周转筐出入库明细!$S$4:$S$2004,周转筐出入库明细!$C$4:$C$2004,$B77,周转筐出入库明细!$B$4:$B$2004,"&gt;="&amp;$O$1,周转筐出入库明细!$B$4:$B$2004,"&lt;="&amp;$O$2),2))</f>
        <v/>
      </c>
      <c r="D77" s="60" t="str">
        <f>IF($B77="","",ROUND(SUMIFS(周转筐出入库明细!$T$4:$T$2004,周转筐出入库明细!$C$4:$C$2004,$B77,周转筐出入库明细!$B$4:$B$2004,"&gt;="&amp;$O$1,周转筐出入库明细!$B$4:$B$2004,"&lt;="&amp;$O$2),2))</f>
        <v/>
      </c>
      <c r="E77" s="26" t="str">
        <f>IF($B77="","",ROUND(SUMIFS(次果筐明细!$J$4:$J$603,次果筐明细!$C$4:$C$603,$B77,次果筐明细!$B$4:$B$603,"&gt;="&amp;$O$1,次果筐明细!$B$4:$B$603,"&lt;="&amp;$O$2),2))</f>
        <v/>
      </c>
      <c r="F77" s="60" t="str">
        <f>IF($B77="","",ROUND(SUMIFS(次果筐明细!$K$4:$K$603,次果筐明细!$C$4:$C$603,$B77,次果筐明细!$B$4:$B$603,"&gt;="&amp;$O$1,次果筐明细!$B$4:$B$603,"&lt;="&amp;$O$2),2))</f>
        <v/>
      </c>
      <c r="G77" s="26" t="str">
        <f t="shared" si="6"/>
        <v/>
      </c>
      <c r="H77" s="60" t="str">
        <f t="shared" si="7"/>
        <v/>
      </c>
      <c r="I77" s="26" t="str">
        <f t="shared" si="8"/>
        <v/>
      </c>
      <c r="J77" s="24" t="str">
        <f t="shared" si="9"/>
        <v/>
      </c>
      <c r="K77" s="41"/>
    </row>
    <row r="78" spans="1:11">
      <c r="A78" s="24" t="str">
        <f t="shared" si="5"/>
        <v/>
      </c>
      <c r="B78" s="24" t="str">
        <f>IFERROR(INDEX(_自动清单!$BW$4:$BW$253,ROW()-3),"")</f>
        <v/>
      </c>
      <c r="C78" s="26" t="str">
        <f>IF($B78="","",ROUND(SUMIFS(周转筐出入库明细!$S$4:$S$2004,周转筐出入库明细!$C$4:$C$2004,$B78,周转筐出入库明细!$B$4:$B$2004,"&gt;="&amp;$O$1,周转筐出入库明细!$B$4:$B$2004,"&lt;="&amp;$O$2),2))</f>
        <v/>
      </c>
      <c r="D78" s="60" t="str">
        <f>IF($B78="","",ROUND(SUMIFS(周转筐出入库明细!$T$4:$T$2004,周转筐出入库明细!$C$4:$C$2004,$B78,周转筐出入库明细!$B$4:$B$2004,"&gt;="&amp;$O$1,周转筐出入库明细!$B$4:$B$2004,"&lt;="&amp;$O$2),2))</f>
        <v/>
      </c>
      <c r="E78" s="26" t="str">
        <f>IF($B78="","",ROUND(SUMIFS(次果筐明细!$J$4:$J$603,次果筐明细!$C$4:$C$603,$B78,次果筐明细!$B$4:$B$603,"&gt;="&amp;$O$1,次果筐明细!$B$4:$B$603,"&lt;="&amp;$O$2),2))</f>
        <v/>
      </c>
      <c r="F78" s="60" t="str">
        <f>IF($B78="","",ROUND(SUMIFS(次果筐明细!$K$4:$K$603,次果筐明细!$C$4:$C$603,$B78,次果筐明细!$B$4:$B$603,"&gt;="&amp;$O$1,次果筐明细!$B$4:$B$603,"&lt;="&amp;$O$2),2))</f>
        <v/>
      </c>
      <c r="G78" s="26" t="str">
        <f t="shared" si="6"/>
        <v/>
      </c>
      <c r="H78" s="60" t="str">
        <f t="shared" si="7"/>
        <v/>
      </c>
      <c r="I78" s="26" t="str">
        <f t="shared" si="8"/>
        <v/>
      </c>
      <c r="J78" s="24" t="str">
        <f t="shared" si="9"/>
        <v/>
      </c>
      <c r="K78" s="41"/>
    </row>
    <row r="79" spans="1:11">
      <c r="A79" s="24" t="str">
        <f t="shared" si="5"/>
        <v/>
      </c>
      <c r="B79" s="24" t="str">
        <f>IFERROR(INDEX(_自动清单!$BW$4:$BW$253,ROW()-3),"")</f>
        <v/>
      </c>
      <c r="C79" s="26" t="str">
        <f>IF($B79="","",ROUND(SUMIFS(周转筐出入库明细!$S$4:$S$2004,周转筐出入库明细!$C$4:$C$2004,$B79,周转筐出入库明细!$B$4:$B$2004,"&gt;="&amp;$O$1,周转筐出入库明细!$B$4:$B$2004,"&lt;="&amp;$O$2),2))</f>
        <v/>
      </c>
      <c r="D79" s="60" t="str">
        <f>IF($B79="","",ROUND(SUMIFS(周转筐出入库明细!$T$4:$T$2004,周转筐出入库明细!$C$4:$C$2004,$B79,周转筐出入库明细!$B$4:$B$2004,"&gt;="&amp;$O$1,周转筐出入库明细!$B$4:$B$2004,"&lt;="&amp;$O$2),2))</f>
        <v/>
      </c>
      <c r="E79" s="26" t="str">
        <f>IF($B79="","",ROUND(SUMIFS(次果筐明细!$J$4:$J$603,次果筐明细!$C$4:$C$603,$B79,次果筐明细!$B$4:$B$603,"&gt;="&amp;$O$1,次果筐明细!$B$4:$B$603,"&lt;="&amp;$O$2),2))</f>
        <v/>
      </c>
      <c r="F79" s="60" t="str">
        <f>IF($B79="","",ROUND(SUMIFS(次果筐明细!$K$4:$K$603,次果筐明细!$C$4:$C$603,$B79,次果筐明细!$B$4:$B$603,"&gt;="&amp;$O$1,次果筐明细!$B$4:$B$603,"&lt;="&amp;$O$2),2))</f>
        <v/>
      </c>
      <c r="G79" s="26" t="str">
        <f t="shared" si="6"/>
        <v/>
      </c>
      <c r="H79" s="60" t="str">
        <f t="shared" si="7"/>
        <v/>
      </c>
      <c r="I79" s="26" t="str">
        <f t="shared" si="8"/>
        <v/>
      </c>
      <c r="J79" s="24" t="str">
        <f t="shared" si="9"/>
        <v/>
      </c>
      <c r="K79" s="41"/>
    </row>
    <row r="80" spans="1:11">
      <c r="A80" s="24" t="str">
        <f t="shared" si="5"/>
        <v/>
      </c>
      <c r="B80" s="24" t="str">
        <f>IFERROR(INDEX(_自动清单!$BW$4:$BW$253,ROW()-3),"")</f>
        <v/>
      </c>
      <c r="C80" s="26" t="str">
        <f>IF($B80="","",ROUND(SUMIFS(周转筐出入库明细!$S$4:$S$2004,周转筐出入库明细!$C$4:$C$2004,$B80,周转筐出入库明细!$B$4:$B$2004,"&gt;="&amp;$O$1,周转筐出入库明细!$B$4:$B$2004,"&lt;="&amp;$O$2),2))</f>
        <v/>
      </c>
      <c r="D80" s="60" t="str">
        <f>IF($B80="","",ROUND(SUMIFS(周转筐出入库明细!$T$4:$T$2004,周转筐出入库明细!$C$4:$C$2004,$B80,周转筐出入库明细!$B$4:$B$2004,"&gt;="&amp;$O$1,周转筐出入库明细!$B$4:$B$2004,"&lt;="&amp;$O$2),2))</f>
        <v/>
      </c>
      <c r="E80" s="26" t="str">
        <f>IF($B80="","",ROUND(SUMIFS(次果筐明细!$J$4:$J$603,次果筐明细!$C$4:$C$603,$B80,次果筐明细!$B$4:$B$603,"&gt;="&amp;$O$1,次果筐明细!$B$4:$B$603,"&lt;="&amp;$O$2),2))</f>
        <v/>
      </c>
      <c r="F80" s="60" t="str">
        <f>IF($B80="","",ROUND(SUMIFS(次果筐明细!$K$4:$K$603,次果筐明细!$C$4:$C$603,$B80,次果筐明细!$B$4:$B$603,"&gt;="&amp;$O$1,次果筐明细!$B$4:$B$603,"&lt;="&amp;$O$2),2))</f>
        <v/>
      </c>
      <c r="G80" s="26" t="str">
        <f t="shared" si="6"/>
        <v/>
      </c>
      <c r="H80" s="60" t="str">
        <f t="shared" si="7"/>
        <v/>
      </c>
      <c r="I80" s="26" t="str">
        <f t="shared" si="8"/>
        <v/>
      </c>
      <c r="J80" s="24" t="str">
        <f t="shared" si="9"/>
        <v/>
      </c>
      <c r="K80" s="41"/>
    </row>
    <row r="81" spans="1:11">
      <c r="A81" s="24" t="str">
        <f t="shared" si="5"/>
        <v/>
      </c>
      <c r="B81" s="24" t="str">
        <f>IFERROR(INDEX(_自动清单!$BW$4:$BW$253,ROW()-3),"")</f>
        <v/>
      </c>
      <c r="C81" s="26" t="str">
        <f>IF($B81="","",ROUND(SUMIFS(周转筐出入库明细!$S$4:$S$2004,周转筐出入库明细!$C$4:$C$2004,$B81,周转筐出入库明细!$B$4:$B$2004,"&gt;="&amp;$O$1,周转筐出入库明细!$B$4:$B$2004,"&lt;="&amp;$O$2),2))</f>
        <v/>
      </c>
      <c r="D81" s="60" t="str">
        <f>IF($B81="","",ROUND(SUMIFS(周转筐出入库明细!$T$4:$T$2004,周转筐出入库明细!$C$4:$C$2004,$B81,周转筐出入库明细!$B$4:$B$2004,"&gt;="&amp;$O$1,周转筐出入库明细!$B$4:$B$2004,"&lt;="&amp;$O$2),2))</f>
        <v/>
      </c>
      <c r="E81" s="26" t="str">
        <f>IF($B81="","",ROUND(SUMIFS(次果筐明细!$J$4:$J$603,次果筐明细!$C$4:$C$603,$B81,次果筐明细!$B$4:$B$603,"&gt;="&amp;$O$1,次果筐明细!$B$4:$B$603,"&lt;="&amp;$O$2),2))</f>
        <v/>
      </c>
      <c r="F81" s="60" t="str">
        <f>IF($B81="","",ROUND(SUMIFS(次果筐明细!$K$4:$K$603,次果筐明细!$C$4:$C$603,$B81,次果筐明细!$B$4:$B$603,"&gt;="&amp;$O$1,次果筐明细!$B$4:$B$603,"&lt;="&amp;$O$2),2))</f>
        <v/>
      </c>
      <c r="G81" s="26" t="str">
        <f t="shared" si="6"/>
        <v/>
      </c>
      <c r="H81" s="60" t="str">
        <f t="shared" si="7"/>
        <v/>
      </c>
      <c r="I81" s="26" t="str">
        <f t="shared" si="8"/>
        <v/>
      </c>
      <c r="J81" s="24" t="str">
        <f t="shared" si="9"/>
        <v/>
      </c>
      <c r="K81" s="41"/>
    </row>
    <row r="82" spans="1:11">
      <c r="A82" s="24" t="str">
        <f t="shared" si="5"/>
        <v/>
      </c>
      <c r="B82" s="24" t="str">
        <f>IFERROR(INDEX(_自动清单!$BW$4:$BW$253,ROW()-3),"")</f>
        <v/>
      </c>
      <c r="C82" s="26" t="str">
        <f>IF($B82="","",ROUND(SUMIFS(周转筐出入库明细!$S$4:$S$2004,周转筐出入库明细!$C$4:$C$2004,$B82,周转筐出入库明细!$B$4:$B$2004,"&gt;="&amp;$O$1,周转筐出入库明细!$B$4:$B$2004,"&lt;="&amp;$O$2),2))</f>
        <v/>
      </c>
      <c r="D82" s="60" t="str">
        <f>IF($B82="","",ROUND(SUMIFS(周转筐出入库明细!$T$4:$T$2004,周转筐出入库明细!$C$4:$C$2004,$B82,周转筐出入库明细!$B$4:$B$2004,"&gt;="&amp;$O$1,周转筐出入库明细!$B$4:$B$2004,"&lt;="&amp;$O$2),2))</f>
        <v/>
      </c>
      <c r="E82" s="26" t="str">
        <f>IF($B82="","",ROUND(SUMIFS(次果筐明细!$J$4:$J$603,次果筐明细!$C$4:$C$603,$B82,次果筐明细!$B$4:$B$603,"&gt;="&amp;$O$1,次果筐明细!$B$4:$B$603,"&lt;="&amp;$O$2),2))</f>
        <v/>
      </c>
      <c r="F82" s="60" t="str">
        <f>IF($B82="","",ROUND(SUMIFS(次果筐明细!$K$4:$K$603,次果筐明细!$C$4:$C$603,$B82,次果筐明细!$B$4:$B$603,"&gt;="&amp;$O$1,次果筐明细!$B$4:$B$603,"&lt;="&amp;$O$2),2))</f>
        <v/>
      </c>
      <c r="G82" s="26" t="str">
        <f t="shared" si="6"/>
        <v/>
      </c>
      <c r="H82" s="60" t="str">
        <f t="shared" si="7"/>
        <v/>
      </c>
      <c r="I82" s="26" t="str">
        <f t="shared" si="8"/>
        <v/>
      </c>
      <c r="J82" s="24" t="str">
        <f t="shared" si="9"/>
        <v/>
      </c>
      <c r="K82" s="41"/>
    </row>
    <row r="83" spans="1:11">
      <c r="A83" s="24" t="str">
        <f t="shared" si="5"/>
        <v/>
      </c>
      <c r="B83" s="24" t="str">
        <f>IFERROR(INDEX(_自动清单!$BW$4:$BW$253,ROW()-3),"")</f>
        <v/>
      </c>
      <c r="C83" s="26" t="str">
        <f>IF($B83="","",ROUND(SUMIFS(周转筐出入库明细!$S$4:$S$2004,周转筐出入库明细!$C$4:$C$2004,$B83,周转筐出入库明细!$B$4:$B$2004,"&gt;="&amp;$O$1,周转筐出入库明细!$B$4:$B$2004,"&lt;="&amp;$O$2),2))</f>
        <v/>
      </c>
      <c r="D83" s="60" t="str">
        <f>IF($B83="","",ROUND(SUMIFS(周转筐出入库明细!$T$4:$T$2004,周转筐出入库明细!$C$4:$C$2004,$B83,周转筐出入库明细!$B$4:$B$2004,"&gt;="&amp;$O$1,周转筐出入库明细!$B$4:$B$2004,"&lt;="&amp;$O$2),2))</f>
        <v/>
      </c>
      <c r="E83" s="26" t="str">
        <f>IF($B83="","",ROUND(SUMIFS(次果筐明细!$J$4:$J$603,次果筐明细!$C$4:$C$603,$B83,次果筐明细!$B$4:$B$603,"&gt;="&amp;$O$1,次果筐明细!$B$4:$B$603,"&lt;="&amp;$O$2),2))</f>
        <v/>
      </c>
      <c r="F83" s="60" t="str">
        <f>IF($B83="","",ROUND(SUMIFS(次果筐明细!$K$4:$K$603,次果筐明细!$C$4:$C$603,$B83,次果筐明细!$B$4:$B$603,"&gt;="&amp;$O$1,次果筐明细!$B$4:$B$603,"&lt;="&amp;$O$2),2))</f>
        <v/>
      </c>
      <c r="G83" s="26" t="str">
        <f t="shared" si="6"/>
        <v/>
      </c>
      <c r="H83" s="60" t="str">
        <f t="shared" si="7"/>
        <v/>
      </c>
      <c r="I83" s="26" t="str">
        <f t="shared" si="8"/>
        <v/>
      </c>
      <c r="J83" s="24" t="str">
        <f t="shared" si="9"/>
        <v/>
      </c>
      <c r="K83" s="41"/>
    </row>
    <row r="84" spans="1:11">
      <c r="A84" s="24" t="str">
        <f t="shared" si="5"/>
        <v/>
      </c>
      <c r="B84" s="24" t="str">
        <f>IFERROR(INDEX(_自动清单!$BW$4:$BW$253,ROW()-3),"")</f>
        <v/>
      </c>
      <c r="C84" s="26" t="str">
        <f>IF($B84="","",ROUND(SUMIFS(周转筐出入库明细!$S$4:$S$2004,周转筐出入库明细!$C$4:$C$2004,$B84,周转筐出入库明细!$B$4:$B$2004,"&gt;="&amp;$O$1,周转筐出入库明细!$B$4:$B$2004,"&lt;="&amp;$O$2),2))</f>
        <v/>
      </c>
      <c r="D84" s="60" t="str">
        <f>IF($B84="","",ROUND(SUMIFS(周转筐出入库明细!$T$4:$T$2004,周转筐出入库明细!$C$4:$C$2004,$B84,周转筐出入库明细!$B$4:$B$2004,"&gt;="&amp;$O$1,周转筐出入库明细!$B$4:$B$2004,"&lt;="&amp;$O$2),2))</f>
        <v/>
      </c>
      <c r="E84" s="26" t="str">
        <f>IF($B84="","",ROUND(SUMIFS(次果筐明细!$J$4:$J$603,次果筐明细!$C$4:$C$603,$B84,次果筐明细!$B$4:$B$603,"&gt;="&amp;$O$1,次果筐明细!$B$4:$B$603,"&lt;="&amp;$O$2),2))</f>
        <v/>
      </c>
      <c r="F84" s="60" t="str">
        <f>IF($B84="","",ROUND(SUMIFS(次果筐明细!$K$4:$K$603,次果筐明细!$C$4:$C$603,$B84,次果筐明细!$B$4:$B$603,"&gt;="&amp;$O$1,次果筐明细!$B$4:$B$603,"&lt;="&amp;$O$2),2))</f>
        <v/>
      </c>
      <c r="G84" s="26" t="str">
        <f t="shared" si="6"/>
        <v/>
      </c>
      <c r="H84" s="60" t="str">
        <f t="shared" si="7"/>
        <v/>
      </c>
      <c r="I84" s="26" t="str">
        <f t="shared" si="8"/>
        <v/>
      </c>
      <c r="J84" s="24" t="str">
        <f t="shared" si="9"/>
        <v/>
      </c>
      <c r="K84" s="41"/>
    </row>
    <row r="85" spans="1:11">
      <c r="A85" s="24" t="str">
        <f t="shared" si="5"/>
        <v/>
      </c>
      <c r="B85" s="24" t="str">
        <f>IFERROR(INDEX(_自动清单!$BW$4:$BW$253,ROW()-3),"")</f>
        <v/>
      </c>
      <c r="C85" s="26" t="str">
        <f>IF($B85="","",ROUND(SUMIFS(周转筐出入库明细!$S$4:$S$2004,周转筐出入库明细!$C$4:$C$2004,$B85,周转筐出入库明细!$B$4:$B$2004,"&gt;="&amp;$O$1,周转筐出入库明细!$B$4:$B$2004,"&lt;="&amp;$O$2),2))</f>
        <v/>
      </c>
      <c r="D85" s="60" t="str">
        <f>IF($B85="","",ROUND(SUMIFS(周转筐出入库明细!$T$4:$T$2004,周转筐出入库明细!$C$4:$C$2004,$B85,周转筐出入库明细!$B$4:$B$2004,"&gt;="&amp;$O$1,周转筐出入库明细!$B$4:$B$2004,"&lt;="&amp;$O$2),2))</f>
        <v/>
      </c>
      <c r="E85" s="26" t="str">
        <f>IF($B85="","",ROUND(SUMIFS(次果筐明细!$J$4:$J$603,次果筐明细!$C$4:$C$603,$B85,次果筐明细!$B$4:$B$603,"&gt;="&amp;$O$1,次果筐明细!$B$4:$B$603,"&lt;="&amp;$O$2),2))</f>
        <v/>
      </c>
      <c r="F85" s="60" t="str">
        <f>IF($B85="","",ROUND(SUMIFS(次果筐明细!$K$4:$K$603,次果筐明细!$C$4:$C$603,$B85,次果筐明细!$B$4:$B$603,"&gt;="&amp;$O$1,次果筐明细!$B$4:$B$603,"&lt;="&amp;$O$2),2))</f>
        <v/>
      </c>
      <c r="G85" s="26" t="str">
        <f t="shared" si="6"/>
        <v/>
      </c>
      <c r="H85" s="60" t="str">
        <f t="shared" si="7"/>
        <v/>
      </c>
      <c r="I85" s="26" t="str">
        <f t="shared" si="8"/>
        <v/>
      </c>
      <c r="J85" s="24" t="str">
        <f t="shared" si="9"/>
        <v/>
      </c>
      <c r="K85" s="41"/>
    </row>
    <row r="86" spans="1:11">
      <c r="A86" s="24" t="str">
        <f t="shared" si="5"/>
        <v/>
      </c>
      <c r="B86" s="24" t="str">
        <f>IFERROR(INDEX(_自动清单!$BW$4:$BW$253,ROW()-3),"")</f>
        <v/>
      </c>
      <c r="C86" s="26" t="str">
        <f>IF($B86="","",ROUND(SUMIFS(周转筐出入库明细!$S$4:$S$2004,周转筐出入库明细!$C$4:$C$2004,$B86,周转筐出入库明细!$B$4:$B$2004,"&gt;="&amp;$O$1,周转筐出入库明细!$B$4:$B$2004,"&lt;="&amp;$O$2),2))</f>
        <v/>
      </c>
      <c r="D86" s="60" t="str">
        <f>IF($B86="","",ROUND(SUMIFS(周转筐出入库明细!$T$4:$T$2004,周转筐出入库明细!$C$4:$C$2004,$B86,周转筐出入库明细!$B$4:$B$2004,"&gt;="&amp;$O$1,周转筐出入库明细!$B$4:$B$2004,"&lt;="&amp;$O$2),2))</f>
        <v/>
      </c>
      <c r="E86" s="26" t="str">
        <f>IF($B86="","",ROUND(SUMIFS(次果筐明细!$J$4:$J$603,次果筐明细!$C$4:$C$603,$B86,次果筐明细!$B$4:$B$603,"&gt;="&amp;$O$1,次果筐明细!$B$4:$B$603,"&lt;="&amp;$O$2),2))</f>
        <v/>
      </c>
      <c r="F86" s="60" t="str">
        <f>IF($B86="","",ROUND(SUMIFS(次果筐明细!$K$4:$K$603,次果筐明细!$C$4:$C$603,$B86,次果筐明细!$B$4:$B$603,"&gt;="&amp;$O$1,次果筐明细!$B$4:$B$603,"&lt;="&amp;$O$2),2))</f>
        <v/>
      </c>
      <c r="G86" s="26" t="str">
        <f t="shared" si="6"/>
        <v/>
      </c>
      <c r="H86" s="60" t="str">
        <f t="shared" si="7"/>
        <v/>
      </c>
      <c r="I86" s="26" t="str">
        <f t="shared" si="8"/>
        <v/>
      </c>
      <c r="J86" s="24" t="str">
        <f t="shared" si="9"/>
        <v/>
      </c>
      <c r="K86" s="41"/>
    </row>
    <row r="87" spans="1:11">
      <c r="A87" s="24" t="str">
        <f t="shared" si="5"/>
        <v/>
      </c>
      <c r="B87" s="24" t="str">
        <f>IFERROR(INDEX(_自动清单!$BW$4:$BW$253,ROW()-3),"")</f>
        <v/>
      </c>
      <c r="C87" s="26" t="str">
        <f>IF($B87="","",ROUND(SUMIFS(周转筐出入库明细!$S$4:$S$2004,周转筐出入库明细!$C$4:$C$2004,$B87,周转筐出入库明细!$B$4:$B$2004,"&gt;="&amp;$O$1,周转筐出入库明细!$B$4:$B$2004,"&lt;="&amp;$O$2),2))</f>
        <v/>
      </c>
      <c r="D87" s="60" t="str">
        <f>IF($B87="","",ROUND(SUMIFS(周转筐出入库明细!$T$4:$T$2004,周转筐出入库明细!$C$4:$C$2004,$B87,周转筐出入库明细!$B$4:$B$2004,"&gt;="&amp;$O$1,周转筐出入库明细!$B$4:$B$2004,"&lt;="&amp;$O$2),2))</f>
        <v/>
      </c>
      <c r="E87" s="26" t="str">
        <f>IF($B87="","",ROUND(SUMIFS(次果筐明细!$J$4:$J$603,次果筐明细!$C$4:$C$603,$B87,次果筐明细!$B$4:$B$603,"&gt;="&amp;$O$1,次果筐明细!$B$4:$B$603,"&lt;="&amp;$O$2),2))</f>
        <v/>
      </c>
      <c r="F87" s="60" t="str">
        <f>IF($B87="","",ROUND(SUMIFS(次果筐明细!$K$4:$K$603,次果筐明细!$C$4:$C$603,$B87,次果筐明细!$B$4:$B$603,"&gt;="&amp;$O$1,次果筐明细!$B$4:$B$603,"&lt;="&amp;$O$2),2))</f>
        <v/>
      </c>
      <c r="G87" s="26" t="str">
        <f t="shared" si="6"/>
        <v/>
      </c>
      <c r="H87" s="60" t="str">
        <f t="shared" si="7"/>
        <v/>
      </c>
      <c r="I87" s="26" t="str">
        <f t="shared" si="8"/>
        <v/>
      </c>
      <c r="J87" s="24" t="str">
        <f t="shared" si="9"/>
        <v/>
      </c>
      <c r="K87" s="41"/>
    </row>
    <row r="88" spans="1:11">
      <c r="A88" s="24" t="str">
        <f t="shared" si="5"/>
        <v/>
      </c>
      <c r="B88" s="24" t="str">
        <f>IFERROR(INDEX(_自动清单!$BW$4:$BW$253,ROW()-3),"")</f>
        <v/>
      </c>
      <c r="C88" s="26" t="str">
        <f>IF($B88="","",ROUND(SUMIFS(周转筐出入库明细!$S$4:$S$2004,周转筐出入库明细!$C$4:$C$2004,$B88,周转筐出入库明细!$B$4:$B$2004,"&gt;="&amp;$O$1,周转筐出入库明细!$B$4:$B$2004,"&lt;="&amp;$O$2),2))</f>
        <v/>
      </c>
      <c r="D88" s="60" t="str">
        <f>IF($B88="","",ROUND(SUMIFS(周转筐出入库明细!$T$4:$T$2004,周转筐出入库明细!$C$4:$C$2004,$B88,周转筐出入库明细!$B$4:$B$2004,"&gt;="&amp;$O$1,周转筐出入库明细!$B$4:$B$2004,"&lt;="&amp;$O$2),2))</f>
        <v/>
      </c>
      <c r="E88" s="26" t="str">
        <f>IF($B88="","",ROUND(SUMIFS(次果筐明细!$J$4:$J$603,次果筐明细!$C$4:$C$603,$B88,次果筐明细!$B$4:$B$603,"&gt;="&amp;$O$1,次果筐明细!$B$4:$B$603,"&lt;="&amp;$O$2),2))</f>
        <v/>
      </c>
      <c r="F88" s="60" t="str">
        <f>IF($B88="","",ROUND(SUMIFS(次果筐明细!$K$4:$K$603,次果筐明细!$C$4:$C$603,$B88,次果筐明细!$B$4:$B$603,"&gt;="&amp;$O$1,次果筐明细!$B$4:$B$603,"&lt;="&amp;$O$2),2))</f>
        <v/>
      </c>
      <c r="G88" s="26" t="str">
        <f t="shared" si="6"/>
        <v/>
      </c>
      <c r="H88" s="60" t="str">
        <f t="shared" si="7"/>
        <v/>
      </c>
      <c r="I88" s="26" t="str">
        <f t="shared" si="8"/>
        <v/>
      </c>
      <c r="J88" s="24" t="str">
        <f t="shared" si="9"/>
        <v/>
      </c>
      <c r="K88" s="41"/>
    </row>
    <row r="89" spans="1:11">
      <c r="A89" s="24" t="str">
        <f t="shared" si="5"/>
        <v/>
      </c>
      <c r="B89" s="24" t="str">
        <f>IFERROR(INDEX(_自动清单!$BW$4:$BW$253,ROW()-3),"")</f>
        <v/>
      </c>
      <c r="C89" s="26" t="str">
        <f>IF($B89="","",ROUND(SUMIFS(周转筐出入库明细!$S$4:$S$2004,周转筐出入库明细!$C$4:$C$2004,$B89,周转筐出入库明细!$B$4:$B$2004,"&gt;="&amp;$O$1,周转筐出入库明细!$B$4:$B$2004,"&lt;="&amp;$O$2),2))</f>
        <v/>
      </c>
      <c r="D89" s="60" t="str">
        <f>IF($B89="","",ROUND(SUMIFS(周转筐出入库明细!$T$4:$T$2004,周转筐出入库明细!$C$4:$C$2004,$B89,周转筐出入库明细!$B$4:$B$2004,"&gt;="&amp;$O$1,周转筐出入库明细!$B$4:$B$2004,"&lt;="&amp;$O$2),2))</f>
        <v/>
      </c>
      <c r="E89" s="26" t="str">
        <f>IF($B89="","",ROUND(SUMIFS(次果筐明细!$J$4:$J$603,次果筐明细!$C$4:$C$603,$B89,次果筐明细!$B$4:$B$603,"&gt;="&amp;$O$1,次果筐明细!$B$4:$B$603,"&lt;="&amp;$O$2),2))</f>
        <v/>
      </c>
      <c r="F89" s="60" t="str">
        <f>IF($B89="","",ROUND(SUMIFS(次果筐明细!$K$4:$K$603,次果筐明细!$C$4:$C$603,$B89,次果筐明细!$B$4:$B$603,"&gt;="&amp;$O$1,次果筐明细!$B$4:$B$603,"&lt;="&amp;$O$2),2))</f>
        <v/>
      </c>
      <c r="G89" s="26" t="str">
        <f t="shared" si="6"/>
        <v/>
      </c>
      <c r="H89" s="60" t="str">
        <f t="shared" si="7"/>
        <v/>
      </c>
      <c r="I89" s="26" t="str">
        <f t="shared" si="8"/>
        <v/>
      </c>
      <c r="J89" s="24" t="str">
        <f t="shared" si="9"/>
        <v/>
      </c>
      <c r="K89" s="41"/>
    </row>
    <row r="90" spans="1:11">
      <c r="A90" s="24" t="str">
        <f t="shared" si="5"/>
        <v/>
      </c>
      <c r="B90" s="24" t="str">
        <f>IFERROR(INDEX(_自动清单!$BW$4:$BW$253,ROW()-3),"")</f>
        <v/>
      </c>
      <c r="C90" s="26" t="str">
        <f>IF($B90="","",ROUND(SUMIFS(周转筐出入库明细!$S$4:$S$2004,周转筐出入库明细!$C$4:$C$2004,$B90,周转筐出入库明细!$B$4:$B$2004,"&gt;="&amp;$O$1,周转筐出入库明细!$B$4:$B$2004,"&lt;="&amp;$O$2),2))</f>
        <v/>
      </c>
      <c r="D90" s="60" t="str">
        <f>IF($B90="","",ROUND(SUMIFS(周转筐出入库明细!$T$4:$T$2004,周转筐出入库明细!$C$4:$C$2004,$B90,周转筐出入库明细!$B$4:$B$2004,"&gt;="&amp;$O$1,周转筐出入库明细!$B$4:$B$2004,"&lt;="&amp;$O$2),2))</f>
        <v/>
      </c>
      <c r="E90" s="26" t="str">
        <f>IF($B90="","",ROUND(SUMIFS(次果筐明细!$J$4:$J$603,次果筐明细!$C$4:$C$603,$B90,次果筐明细!$B$4:$B$603,"&gt;="&amp;$O$1,次果筐明细!$B$4:$B$603,"&lt;="&amp;$O$2),2))</f>
        <v/>
      </c>
      <c r="F90" s="60" t="str">
        <f>IF($B90="","",ROUND(SUMIFS(次果筐明细!$K$4:$K$603,次果筐明细!$C$4:$C$603,$B90,次果筐明细!$B$4:$B$603,"&gt;="&amp;$O$1,次果筐明细!$B$4:$B$603,"&lt;="&amp;$O$2),2))</f>
        <v/>
      </c>
      <c r="G90" s="26" t="str">
        <f t="shared" si="6"/>
        <v/>
      </c>
      <c r="H90" s="60" t="str">
        <f t="shared" si="7"/>
        <v/>
      </c>
      <c r="I90" s="26" t="str">
        <f t="shared" si="8"/>
        <v/>
      </c>
      <c r="J90" s="24" t="str">
        <f t="shared" si="9"/>
        <v/>
      </c>
      <c r="K90" s="41"/>
    </row>
    <row r="91" spans="1:11">
      <c r="A91" s="24" t="str">
        <f t="shared" si="5"/>
        <v/>
      </c>
      <c r="B91" s="24" t="str">
        <f>IFERROR(INDEX(_自动清单!$BW$4:$BW$253,ROW()-3),"")</f>
        <v/>
      </c>
      <c r="C91" s="26" t="str">
        <f>IF($B91="","",ROUND(SUMIFS(周转筐出入库明细!$S$4:$S$2004,周转筐出入库明细!$C$4:$C$2004,$B91,周转筐出入库明细!$B$4:$B$2004,"&gt;="&amp;$O$1,周转筐出入库明细!$B$4:$B$2004,"&lt;="&amp;$O$2),2))</f>
        <v/>
      </c>
      <c r="D91" s="60" t="str">
        <f>IF($B91="","",ROUND(SUMIFS(周转筐出入库明细!$T$4:$T$2004,周转筐出入库明细!$C$4:$C$2004,$B91,周转筐出入库明细!$B$4:$B$2004,"&gt;="&amp;$O$1,周转筐出入库明细!$B$4:$B$2004,"&lt;="&amp;$O$2),2))</f>
        <v/>
      </c>
      <c r="E91" s="26" t="str">
        <f>IF($B91="","",ROUND(SUMIFS(次果筐明细!$J$4:$J$603,次果筐明细!$C$4:$C$603,$B91,次果筐明细!$B$4:$B$603,"&gt;="&amp;$O$1,次果筐明细!$B$4:$B$603,"&lt;="&amp;$O$2),2))</f>
        <v/>
      </c>
      <c r="F91" s="60" t="str">
        <f>IF($B91="","",ROUND(SUMIFS(次果筐明细!$K$4:$K$603,次果筐明细!$C$4:$C$603,$B91,次果筐明细!$B$4:$B$603,"&gt;="&amp;$O$1,次果筐明细!$B$4:$B$603,"&lt;="&amp;$O$2),2))</f>
        <v/>
      </c>
      <c r="G91" s="26" t="str">
        <f t="shared" si="6"/>
        <v/>
      </c>
      <c r="H91" s="60" t="str">
        <f t="shared" si="7"/>
        <v/>
      </c>
      <c r="I91" s="26" t="str">
        <f t="shared" si="8"/>
        <v/>
      </c>
      <c r="J91" s="24" t="str">
        <f t="shared" si="9"/>
        <v/>
      </c>
      <c r="K91" s="41"/>
    </row>
    <row r="92" spans="1:11">
      <c r="A92" s="24" t="str">
        <f t="shared" si="5"/>
        <v/>
      </c>
      <c r="B92" s="24" t="str">
        <f>IFERROR(INDEX(_自动清单!$BW$4:$BW$253,ROW()-3),"")</f>
        <v/>
      </c>
      <c r="C92" s="26" t="str">
        <f>IF($B92="","",ROUND(SUMIFS(周转筐出入库明细!$S$4:$S$2004,周转筐出入库明细!$C$4:$C$2004,$B92,周转筐出入库明细!$B$4:$B$2004,"&gt;="&amp;$O$1,周转筐出入库明细!$B$4:$B$2004,"&lt;="&amp;$O$2),2))</f>
        <v/>
      </c>
      <c r="D92" s="60" t="str">
        <f>IF($B92="","",ROUND(SUMIFS(周转筐出入库明细!$T$4:$T$2004,周转筐出入库明细!$C$4:$C$2004,$B92,周转筐出入库明细!$B$4:$B$2004,"&gt;="&amp;$O$1,周转筐出入库明细!$B$4:$B$2004,"&lt;="&amp;$O$2),2))</f>
        <v/>
      </c>
      <c r="E92" s="26" t="str">
        <f>IF($B92="","",ROUND(SUMIFS(次果筐明细!$J$4:$J$603,次果筐明细!$C$4:$C$603,$B92,次果筐明细!$B$4:$B$603,"&gt;="&amp;$O$1,次果筐明细!$B$4:$B$603,"&lt;="&amp;$O$2),2))</f>
        <v/>
      </c>
      <c r="F92" s="60" t="str">
        <f>IF($B92="","",ROUND(SUMIFS(次果筐明细!$K$4:$K$603,次果筐明细!$C$4:$C$603,$B92,次果筐明细!$B$4:$B$603,"&gt;="&amp;$O$1,次果筐明细!$B$4:$B$603,"&lt;="&amp;$O$2),2))</f>
        <v/>
      </c>
      <c r="G92" s="26" t="str">
        <f t="shared" si="6"/>
        <v/>
      </c>
      <c r="H92" s="60" t="str">
        <f t="shared" si="7"/>
        <v/>
      </c>
      <c r="I92" s="26" t="str">
        <f t="shared" si="8"/>
        <v/>
      </c>
      <c r="J92" s="24" t="str">
        <f t="shared" si="9"/>
        <v/>
      </c>
      <c r="K92" s="41"/>
    </row>
    <row r="93" spans="1:11">
      <c r="A93" s="24" t="str">
        <f t="shared" si="5"/>
        <v/>
      </c>
      <c r="B93" s="24" t="str">
        <f>IFERROR(INDEX(_自动清单!$BW$4:$BW$253,ROW()-3),"")</f>
        <v/>
      </c>
      <c r="C93" s="26" t="str">
        <f>IF($B93="","",ROUND(SUMIFS(周转筐出入库明细!$S$4:$S$2004,周转筐出入库明细!$C$4:$C$2004,$B93,周转筐出入库明细!$B$4:$B$2004,"&gt;="&amp;$O$1,周转筐出入库明细!$B$4:$B$2004,"&lt;="&amp;$O$2),2))</f>
        <v/>
      </c>
      <c r="D93" s="60" t="str">
        <f>IF($B93="","",ROUND(SUMIFS(周转筐出入库明细!$T$4:$T$2004,周转筐出入库明细!$C$4:$C$2004,$B93,周转筐出入库明细!$B$4:$B$2004,"&gt;="&amp;$O$1,周转筐出入库明细!$B$4:$B$2004,"&lt;="&amp;$O$2),2))</f>
        <v/>
      </c>
      <c r="E93" s="26" t="str">
        <f>IF($B93="","",ROUND(SUMIFS(次果筐明细!$J$4:$J$603,次果筐明细!$C$4:$C$603,$B93,次果筐明细!$B$4:$B$603,"&gt;="&amp;$O$1,次果筐明细!$B$4:$B$603,"&lt;="&amp;$O$2),2))</f>
        <v/>
      </c>
      <c r="F93" s="60" t="str">
        <f>IF($B93="","",ROUND(SUMIFS(次果筐明细!$K$4:$K$603,次果筐明细!$C$4:$C$603,$B93,次果筐明细!$B$4:$B$603,"&gt;="&amp;$O$1,次果筐明细!$B$4:$B$603,"&lt;="&amp;$O$2),2))</f>
        <v/>
      </c>
      <c r="G93" s="26" t="str">
        <f t="shared" si="6"/>
        <v/>
      </c>
      <c r="H93" s="60" t="str">
        <f t="shared" si="7"/>
        <v/>
      </c>
      <c r="I93" s="26" t="str">
        <f t="shared" si="8"/>
        <v/>
      </c>
      <c r="J93" s="24" t="str">
        <f t="shared" si="9"/>
        <v/>
      </c>
      <c r="K93" s="41"/>
    </row>
    <row r="94" spans="1:11">
      <c r="A94" s="24" t="str">
        <f t="shared" si="5"/>
        <v/>
      </c>
      <c r="B94" s="24" t="str">
        <f>IFERROR(INDEX(_自动清单!$BW$4:$BW$253,ROW()-3),"")</f>
        <v/>
      </c>
      <c r="C94" s="26" t="str">
        <f>IF($B94="","",ROUND(SUMIFS(周转筐出入库明细!$S$4:$S$2004,周转筐出入库明细!$C$4:$C$2004,$B94,周转筐出入库明细!$B$4:$B$2004,"&gt;="&amp;$O$1,周转筐出入库明细!$B$4:$B$2004,"&lt;="&amp;$O$2),2))</f>
        <v/>
      </c>
      <c r="D94" s="60" t="str">
        <f>IF($B94="","",ROUND(SUMIFS(周转筐出入库明细!$T$4:$T$2004,周转筐出入库明细!$C$4:$C$2004,$B94,周转筐出入库明细!$B$4:$B$2004,"&gt;="&amp;$O$1,周转筐出入库明细!$B$4:$B$2004,"&lt;="&amp;$O$2),2))</f>
        <v/>
      </c>
      <c r="E94" s="26" t="str">
        <f>IF($B94="","",ROUND(SUMIFS(次果筐明细!$J$4:$J$603,次果筐明细!$C$4:$C$603,$B94,次果筐明细!$B$4:$B$603,"&gt;="&amp;$O$1,次果筐明细!$B$4:$B$603,"&lt;="&amp;$O$2),2))</f>
        <v/>
      </c>
      <c r="F94" s="60" t="str">
        <f>IF($B94="","",ROUND(SUMIFS(次果筐明细!$K$4:$K$603,次果筐明细!$C$4:$C$603,$B94,次果筐明细!$B$4:$B$603,"&gt;="&amp;$O$1,次果筐明细!$B$4:$B$603,"&lt;="&amp;$O$2),2))</f>
        <v/>
      </c>
      <c r="G94" s="26" t="str">
        <f t="shared" si="6"/>
        <v/>
      </c>
      <c r="H94" s="60" t="str">
        <f t="shared" si="7"/>
        <v/>
      </c>
      <c r="I94" s="26" t="str">
        <f t="shared" si="8"/>
        <v/>
      </c>
      <c r="J94" s="24" t="str">
        <f t="shared" si="9"/>
        <v/>
      </c>
      <c r="K94" s="41"/>
    </row>
    <row r="95" spans="1:11">
      <c r="A95" s="24" t="str">
        <f t="shared" si="5"/>
        <v/>
      </c>
      <c r="B95" s="24" t="str">
        <f>IFERROR(INDEX(_自动清单!$BW$4:$BW$253,ROW()-3),"")</f>
        <v/>
      </c>
      <c r="C95" s="26" t="str">
        <f>IF($B95="","",ROUND(SUMIFS(周转筐出入库明细!$S$4:$S$2004,周转筐出入库明细!$C$4:$C$2004,$B95,周转筐出入库明细!$B$4:$B$2004,"&gt;="&amp;$O$1,周转筐出入库明细!$B$4:$B$2004,"&lt;="&amp;$O$2),2))</f>
        <v/>
      </c>
      <c r="D95" s="60" t="str">
        <f>IF($B95="","",ROUND(SUMIFS(周转筐出入库明细!$T$4:$T$2004,周转筐出入库明细!$C$4:$C$2004,$B95,周转筐出入库明细!$B$4:$B$2004,"&gt;="&amp;$O$1,周转筐出入库明细!$B$4:$B$2004,"&lt;="&amp;$O$2),2))</f>
        <v/>
      </c>
      <c r="E95" s="26" t="str">
        <f>IF($B95="","",ROUND(SUMIFS(次果筐明细!$J$4:$J$603,次果筐明细!$C$4:$C$603,$B95,次果筐明细!$B$4:$B$603,"&gt;="&amp;$O$1,次果筐明细!$B$4:$B$603,"&lt;="&amp;$O$2),2))</f>
        <v/>
      </c>
      <c r="F95" s="60" t="str">
        <f>IF($B95="","",ROUND(SUMIFS(次果筐明细!$K$4:$K$603,次果筐明细!$C$4:$C$603,$B95,次果筐明细!$B$4:$B$603,"&gt;="&amp;$O$1,次果筐明细!$B$4:$B$603,"&lt;="&amp;$O$2),2))</f>
        <v/>
      </c>
      <c r="G95" s="26" t="str">
        <f t="shared" si="6"/>
        <v/>
      </c>
      <c r="H95" s="60" t="str">
        <f t="shared" si="7"/>
        <v/>
      </c>
      <c r="I95" s="26" t="str">
        <f t="shared" si="8"/>
        <v/>
      </c>
      <c r="J95" s="24" t="str">
        <f t="shared" si="9"/>
        <v/>
      </c>
      <c r="K95" s="41"/>
    </row>
    <row r="96" spans="1:11">
      <c r="A96" s="24" t="str">
        <f t="shared" si="5"/>
        <v/>
      </c>
      <c r="B96" s="24" t="str">
        <f>IFERROR(INDEX(_自动清单!$BW$4:$BW$253,ROW()-3),"")</f>
        <v/>
      </c>
      <c r="C96" s="26" t="str">
        <f>IF($B96="","",ROUND(SUMIFS(周转筐出入库明细!$S$4:$S$2004,周转筐出入库明细!$C$4:$C$2004,$B96,周转筐出入库明细!$B$4:$B$2004,"&gt;="&amp;$O$1,周转筐出入库明细!$B$4:$B$2004,"&lt;="&amp;$O$2),2))</f>
        <v/>
      </c>
      <c r="D96" s="60" t="str">
        <f>IF($B96="","",ROUND(SUMIFS(周转筐出入库明细!$T$4:$T$2004,周转筐出入库明细!$C$4:$C$2004,$B96,周转筐出入库明细!$B$4:$B$2004,"&gt;="&amp;$O$1,周转筐出入库明细!$B$4:$B$2004,"&lt;="&amp;$O$2),2))</f>
        <v/>
      </c>
      <c r="E96" s="26" t="str">
        <f>IF($B96="","",ROUND(SUMIFS(次果筐明细!$J$4:$J$603,次果筐明细!$C$4:$C$603,$B96,次果筐明细!$B$4:$B$603,"&gt;="&amp;$O$1,次果筐明细!$B$4:$B$603,"&lt;="&amp;$O$2),2))</f>
        <v/>
      </c>
      <c r="F96" s="60" t="str">
        <f>IF($B96="","",ROUND(SUMIFS(次果筐明细!$K$4:$K$603,次果筐明细!$C$4:$C$603,$B96,次果筐明细!$B$4:$B$603,"&gt;="&amp;$O$1,次果筐明细!$B$4:$B$603,"&lt;="&amp;$O$2),2))</f>
        <v/>
      </c>
      <c r="G96" s="26" t="str">
        <f t="shared" si="6"/>
        <v/>
      </c>
      <c r="H96" s="60" t="str">
        <f t="shared" si="7"/>
        <v/>
      </c>
      <c r="I96" s="26" t="str">
        <f t="shared" si="8"/>
        <v/>
      </c>
      <c r="J96" s="24" t="str">
        <f t="shared" si="9"/>
        <v/>
      </c>
      <c r="K96" s="41"/>
    </row>
    <row r="97" spans="1:11">
      <c r="A97" s="24" t="str">
        <f t="shared" si="5"/>
        <v/>
      </c>
      <c r="B97" s="24" t="str">
        <f>IFERROR(INDEX(_自动清单!$BW$4:$BW$253,ROW()-3),"")</f>
        <v/>
      </c>
      <c r="C97" s="26" t="str">
        <f>IF($B97="","",ROUND(SUMIFS(周转筐出入库明细!$S$4:$S$2004,周转筐出入库明细!$C$4:$C$2004,$B97,周转筐出入库明细!$B$4:$B$2004,"&gt;="&amp;$O$1,周转筐出入库明细!$B$4:$B$2004,"&lt;="&amp;$O$2),2))</f>
        <v/>
      </c>
      <c r="D97" s="60" t="str">
        <f>IF($B97="","",ROUND(SUMIFS(周转筐出入库明细!$T$4:$T$2004,周转筐出入库明细!$C$4:$C$2004,$B97,周转筐出入库明细!$B$4:$B$2004,"&gt;="&amp;$O$1,周转筐出入库明细!$B$4:$B$2004,"&lt;="&amp;$O$2),2))</f>
        <v/>
      </c>
      <c r="E97" s="26" t="str">
        <f>IF($B97="","",ROUND(SUMIFS(次果筐明细!$J$4:$J$603,次果筐明细!$C$4:$C$603,$B97,次果筐明细!$B$4:$B$603,"&gt;="&amp;$O$1,次果筐明细!$B$4:$B$603,"&lt;="&amp;$O$2),2))</f>
        <v/>
      </c>
      <c r="F97" s="60" t="str">
        <f>IF($B97="","",ROUND(SUMIFS(次果筐明细!$K$4:$K$603,次果筐明细!$C$4:$C$603,$B97,次果筐明细!$B$4:$B$603,"&gt;="&amp;$O$1,次果筐明细!$B$4:$B$603,"&lt;="&amp;$O$2),2))</f>
        <v/>
      </c>
      <c r="G97" s="26" t="str">
        <f t="shared" si="6"/>
        <v/>
      </c>
      <c r="H97" s="60" t="str">
        <f t="shared" si="7"/>
        <v/>
      </c>
      <c r="I97" s="26" t="str">
        <f t="shared" si="8"/>
        <v/>
      </c>
      <c r="J97" s="24" t="str">
        <f t="shared" si="9"/>
        <v/>
      </c>
      <c r="K97" s="41"/>
    </row>
    <row r="98" spans="1:11">
      <c r="A98" s="24" t="str">
        <f t="shared" si="5"/>
        <v/>
      </c>
      <c r="B98" s="24" t="str">
        <f>IFERROR(INDEX(_自动清单!$BW$4:$BW$253,ROW()-3),"")</f>
        <v/>
      </c>
      <c r="C98" s="26" t="str">
        <f>IF($B98="","",ROUND(SUMIFS(周转筐出入库明细!$S$4:$S$2004,周转筐出入库明细!$C$4:$C$2004,$B98,周转筐出入库明细!$B$4:$B$2004,"&gt;="&amp;$O$1,周转筐出入库明细!$B$4:$B$2004,"&lt;="&amp;$O$2),2))</f>
        <v/>
      </c>
      <c r="D98" s="60" t="str">
        <f>IF($B98="","",ROUND(SUMIFS(周转筐出入库明细!$T$4:$T$2004,周转筐出入库明细!$C$4:$C$2004,$B98,周转筐出入库明细!$B$4:$B$2004,"&gt;="&amp;$O$1,周转筐出入库明细!$B$4:$B$2004,"&lt;="&amp;$O$2),2))</f>
        <v/>
      </c>
      <c r="E98" s="26" t="str">
        <f>IF($B98="","",ROUND(SUMIFS(次果筐明细!$J$4:$J$603,次果筐明细!$C$4:$C$603,$B98,次果筐明细!$B$4:$B$603,"&gt;="&amp;$O$1,次果筐明细!$B$4:$B$603,"&lt;="&amp;$O$2),2))</f>
        <v/>
      </c>
      <c r="F98" s="60" t="str">
        <f>IF($B98="","",ROUND(SUMIFS(次果筐明细!$K$4:$K$603,次果筐明细!$C$4:$C$603,$B98,次果筐明细!$B$4:$B$603,"&gt;="&amp;$O$1,次果筐明细!$B$4:$B$603,"&lt;="&amp;$O$2),2))</f>
        <v/>
      </c>
      <c r="G98" s="26" t="str">
        <f t="shared" si="6"/>
        <v/>
      </c>
      <c r="H98" s="60" t="str">
        <f t="shared" si="7"/>
        <v/>
      </c>
      <c r="I98" s="26" t="str">
        <f t="shared" si="8"/>
        <v/>
      </c>
      <c r="J98" s="24" t="str">
        <f t="shared" si="9"/>
        <v/>
      </c>
      <c r="K98" s="41"/>
    </row>
    <row r="99" spans="1:11">
      <c r="A99" s="24" t="str">
        <f t="shared" si="5"/>
        <v/>
      </c>
      <c r="B99" s="24" t="str">
        <f>IFERROR(INDEX(_自动清单!$BW$4:$BW$253,ROW()-3),"")</f>
        <v/>
      </c>
      <c r="C99" s="26" t="str">
        <f>IF($B99="","",ROUND(SUMIFS(周转筐出入库明细!$S$4:$S$2004,周转筐出入库明细!$C$4:$C$2004,$B99,周转筐出入库明细!$B$4:$B$2004,"&gt;="&amp;$O$1,周转筐出入库明细!$B$4:$B$2004,"&lt;="&amp;$O$2),2))</f>
        <v/>
      </c>
      <c r="D99" s="60" t="str">
        <f>IF($B99="","",ROUND(SUMIFS(周转筐出入库明细!$T$4:$T$2004,周转筐出入库明细!$C$4:$C$2004,$B99,周转筐出入库明细!$B$4:$B$2004,"&gt;="&amp;$O$1,周转筐出入库明细!$B$4:$B$2004,"&lt;="&amp;$O$2),2))</f>
        <v/>
      </c>
      <c r="E99" s="26" t="str">
        <f>IF($B99="","",ROUND(SUMIFS(次果筐明细!$J$4:$J$603,次果筐明细!$C$4:$C$603,$B99,次果筐明细!$B$4:$B$603,"&gt;="&amp;$O$1,次果筐明细!$B$4:$B$603,"&lt;="&amp;$O$2),2))</f>
        <v/>
      </c>
      <c r="F99" s="60" t="str">
        <f>IF($B99="","",ROUND(SUMIFS(次果筐明细!$K$4:$K$603,次果筐明细!$C$4:$C$603,$B99,次果筐明细!$B$4:$B$603,"&gt;="&amp;$O$1,次果筐明细!$B$4:$B$603,"&lt;="&amp;$O$2),2))</f>
        <v/>
      </c>
      <c r="G99" s="26" t="str">
        <f t="shared" si="6"/>
        <v/>
      </c>
      <c r="H99" s="60" t="str">
        <f t="shared" si="7"/>
        <v/>
      </c>
      <c r="I99" s="26" t="str">
        <f t="shared" si="8"/>
        <v/>
      </c>
      <c r="J99" s="24" t="str">
        <f t="shared" si="9"/>
        <v/>
      </c>
      <c r="K99" s="41"/>
    </row>
    <row r="100" spans="1:11">
      <c r="A100" s="24" t="str">
        <f t="shared" si="5"/>
        <v/>
      </c>
      <c r="B100" s="24" t="str">
        <f>IFERROR(INDEX(_自动清单!$BW$4:$BW$253,ROW()-3),"")</f>
        <v/>
      </c>
      <c r="C100" s="26" t="str">
        <f>IF($B100="","",ROUND(SUMIFS(周转筐出入库明细!$S$4:$S$2004,周转筐出入库明细!$C$4:$C$2004,$B100,周转筐出入库明细!$B$4:$B$2004,"&gt;="&amp;$O$1,周转筐出入库明细!$B$4:$B$2004,"&lt;="&amp;$O$2),2))</f>
        <v/>
      </c>
      <c r="D100" s="60" t="str">
        <f>IF($B100="","",ROUND(SUMIFS(周转筐出入库明细!$T$4:$T$2004,周转筐出入库明细!$C$4:$C$2004,$B100,周转筐出入库明细!$B$4:$B$2004,"&gt;="&amp;$O$1,周转筐出入库明细!$B$4:$B$2004,"&lt;="&amp;$O$2),2))</f>
        <v/>
      </c>
      <c r="E100" s="26" t="str">
        <f>IF($B100="","",ROUND(SUMIFS(次果筐明细!$J$4:$J$603,次果筐明细!$C$4:$C$603,$B100,次果筐明细!$B$4:$B$603,"&gt;="&amp;$O$1,次果筐明细!$B$4:$B$603,"&lt;="&amp;$O$2),2))</f>
        <v/>
      </c>
      <c r="F100" s="60" t="str">
        <f>IF($B100="","",ROUND(SUMIFS(次果筐明细!$K$4:$K$603,次果筐明细!$C$4:$C$603,$B100,次果筐明细!$B$4:$B$603,"&gt;="&amp;$O$1,次果筐明细!$B$4:$B$603,"&lt;="&amp;$O$2),2))</f>
        <v/>
      </c>
      <c r="G100" s="26" t="str">
        <f t="shared" si="6"/>
        <v/>
      </c>
      <c r="H100" s="60" t="str">
        <f t="shared" si="7"/>
        <v/>
      </c>
      <c r="I100" s="26" t="str">
        <f t="shared" si="8"/>
        <v/>
      </c>
      <c r="J100" s="24" t="str">
        <f t="shared" si="9"/>
        <v/>
      </c>
      <c r="K100" s="41"/>
    </row>
    <row r="101" spans="1:11">
      <c r="A101" s="24" t="str">
        <f t="shared" si="5"/>
        <v/>
      </c>
      <c r="B101" s="24" t="str">
        <f>IFERROR(INDEX(_自动清单!$BW$4:$BW$253,ROW()-3),"")</f>
        <v/>
      </c>
      <c r="C101" s="26" t="str">
        <f>IF($B101="","",ROUND(SUMIFS(周转筐出入库明细!$S$4:$S$2004,周转筐出入库明细!$C$4:$C$2004,$B101,周转筐出入库明细!$B$4:$B$2004,"&gt;="&amp;$O$1,周转筐出入库明细!$B$4:$B$2004,"&lt;="&amp;$O$2),2))</f>
        <v/>
      </c>
      <c r="D101" s="60" t="str">
        <f>IF($B101="","",ROUND(SUMIFS(周转筐出入库明细!$T$4:$T$2004,周转筐出入库明细!$C$4:$C$2004,$B101,周转筐出入库明细!$B$4:$B$2004,"&gt;="&amp;$O$1,周转筐出入库明细!$B$4:$B$2004,"&lt;="&amp;$O$2),2))</f>
        <v/>
      </c>
      <c r="E101" s="26" t="str">
        <f>IF($B101="","",ROUND(SUMIFS(次果筐明细!$J$4:$J$603,次果筐明细!$C$4:$C$603,$B101,次果筐明细!$B$4:$B$603,"&gt;="&amp;$O$1,次果筐明细!$B$4:$B$603,"&lt;="&amp;$O$2),2))</f>
        <v/>
      </c>
      <c r="F101" s="60" t="str">
        <f>IF($B101="","",ROUND(SUMIFS(次果筐明细!$K$4:$K$603,次果筐明细!$C$4:$C$603,$B101,次果筐明细!$B$4:$B$603,"&gt;="&amp;$O$1,次果筐明细!$B$4:$B$603,"&lt;="&amp;$O$2),2))</f>
        <v/>
      </c>
      <c r="G101" s="26" t="str">
        <f t="shared" si="6"/>
        <v/>
      </c>
      <c r="H101" s="60" t="str">
        <f t="shared" si="7"/>
        <v/>
      </c>
      <c r="I101" s="26" t="str">
        <f t="shared" si="8"/>
        <v/>
      </c>
      <c r="J101" s="24" t="str">
        <f t="shared" si="9"/>
        <v/>
      </c>
      <c r="K101" s="41"/>
    </row>
    <row r="102" spans="1:11">
      <c r="A102" s="24" t="str">
        <f t="shared" si="5"/>
        <v/>
      </c>
      <c r="B102" s="24" t="str">
        <f>IFERROR(INDEX(_自动清单!$BW$4:$BW$253,ROW()-3),"")</f>
        <v/>
      </c>
      <c r="C102" s="26" t="str">
        <f>IF($B102="","",ROUND(SUMIFS(周转筐出入库明细!$S$4:$S$2004,周转筐出入库明细!$C$4:$C$2004,$B102,周转筐出入库明细!$B$4:$B$2004,"&gt;="&amp;$O$1,周转筐出入库明细!$B$4:$B$2004,"&lt;="&amp;$O$2),2))</f>
        <v/>
      </c>
      <c r="D102" s="60" t="str">
        <f>IF($B102="","",ROUND(SUMIFS(周转筐出入库明细!$T$4:$T$2004,周转筐出入库明细!$C$4:$C$2004,$B102,周转筐出入库明细!$B$4:$B$2004,"&gt;="&amp;$O$1,周转筐出入库明细!$B$4:$B$2004,"&lt;="&amp;$O$2),2))</f>
        <v/>
      </c>
      <c r="E102" s="26" t="str">
        <f>IF($B102="","",ROUND(SUMIFS(次果筐明细!$J$4:$J$603,次果筐明细!$C$4:$C$603,$B102,次果筐明细!$B$4:$B$603,"&gt;="&amp;$O$1,次果筐明细!$B$4:$B$603,"&lt;="&amp;$O$2),2))</f>
        <v/>
      </c>
      <c r="F102" s="60" t="str">
        <f>IF($B102="","",ROUND(SUMIFS(次果筐明细!$K$4:$K$603,次果筐明细!$C$4:$C$603,$B102,次果筐明细!$B$4:$B$603,"&gt;="&amp;$O$1,次果筐明细!$B$4:$B$603,"&lt;="&amp;$O$2),2))</f>
        <v/>
      </c>
      <c r="G102" s="26" t="str">
        <f t="shared" si="6"/>
        <v/>
      </c>
      <c r="H102" s="60" t="str">
        <f t="shared" si="7"/>
        <v/>
      </c>
      <c r="I102" s="26" t="str">
        <f t="shared" si="8"/>
        <v/>
      </c>
      <c r="J102" s="24" t="str">
        <f t="shared" si="9"/>
        <v/>
      </c>
      <c r="K102" s="41"/>
    </row>
    <row r="103" spans="1:11">
      <c r="A103" s="24" t="str">
        <f t="shared" si="5"/>
        <v/>
      </c>
      <c r="B103" s="24" t="str">
        <f>IFERROR(INDEX(_自动清单!$BW$4:$BW$253,ROW()-3),"")</f>
        <v/>
      </c>
      <c r="C103" s="26" t="str">
        <f>IF($B103="","",ROUND(SUMIFS(周转筐出入库明细!$S$4:$S$2004,周转筐出入库明细!$C$4:$C$2004,$B103,周转筐出入库明细!$B$4:$B$2004,"&gt;="&amp;$O$1,周转筐出入库明细!$B$4:$B$2004,"&lt;="&amp;$O$2),2))</f>
        <v/>
      </c>
      <c r="D103" s="60" t="str">
        <f>IF($B103="","",ROUND(SUMIFS(周转筐出入库明细!$T$4:$T$2004,周转筐出入库明细!$C$4:$C$2004,$B103,周转筐出入库明细!$B$4:$B$2004,"&gt;="&amp;$O$1,周转筐出入库明细!$B$4:$B$2004,"&lt;="&amp;$O$2),2))</f>
        <v/>
      </c>
      <c r="E103" s="26" t="str">
        <f>IF($B103="","",ROUND(SUMIFS(次果筐明细!$J$4:$J$603,次果筐明细!$C$4:$C$603,$B103,次果筐明细!$B$4:$B$603,"&gt;="&amp;$O$1,次果筐明细!$B$4:$B$603,"&lt;="&amp;$O$2),2))</f>
        <v/>
      </c>
      <c r="F103" s="60" t="str">
        <f>IF($B103="","",ROUND(SUMIFS(次果筐明细!$K$4:$K$603,次果筐明细!$C$4:$C$603,$B103,次果筐明细!$B$4:$B$603,"&gt;="&amp;$O$1,次果筐明细!$B$4:$B$603,"&lt;="&amp;$O$2),2))</f>
        <v/>
      </c>
      <c r="G103" s="26" t="str">
        <f t="shared" si="6"/>
        <v/>
      </c>
      <c r="H103" s="60" t="str">
        <f t="shared" si="7"/>
        <v/>
      </c>
      <c r="I103" s="26" t="str">
        <f t="shared" si="8"/>
        <v/>
      </c>
      <c r="J103" s="24" t="str">
        <f t="shared" si="9"/>
        <v/>
      </c>
      <c r="K103" s="41"/>
    </row>
    <row r="104" spans="1:11">
      <c r="A104" s="24" t="str">
        <f t="shared" si="5"/>
        <v/>
      </c>
      <c r="B104" s="24" t="str">
        <f>IFERROR(INDEX(_自动清单!$BW$4:$BW$253,ROW()-3),"")</f>
        <v/>
      </c>
      <c r="C104" s="26" t="str">
        <f>IF($B104="","",ROUND(SUMIFS(周转筐出入库明细!$S$4:$S$2004,周转筐出入库明细!$C$4:$C$2004,$B104,周转筐出入库明细!$B$4:$B$2004,"&gt;="&amp;$O$1,周转筐出入库明细!$B$4:$B$2004,"&lt;="&amp;$O$2),2))</f>
        <v/>
      </c>
      <c r="D104" s="60" t="str">
        <f>IF($B104="","",ROUND(SUMIFS(周转筐出入库明细!$T$4:$T$2004,周转筐出入库明细!$C$4:$C$2004,$B104,周转筐出入库明细!$B$4:$B$2004,"&gt;="&amp;$O$1,周转筐出入库明细!$B$4:$B$2004,"&lt;="&amp;$O$2),2))</f>
        <v/>
      </c>
      <c r="E104" s="26" t="str">
        <f>IF($B104="","",ROUND(SUMIFS(次果筐明细!$J$4:$J$603,次果筐明细!$C$4:$C$603,$B104,次果筐明细!$B$4:$B$603,"&gt;="&amp;$O$1,次果筐明细!$B$4:$B$603,"&lt;="&amp;$O$2),2))</f>
        <v/>
      </c>
      <c r="F104" s="60" t="str">
        <f>IF($B104="","",ROUND(SUMIFS(次果筐明细!$K$4:$K$603,次果筐明细!$C$4:$C$603,$B104,次果筐明细!$B$4:$B$603,"&gt;="&amp;$O$1,次果筐明细!$B$4:$B$603,"&lt;="&amp;$O$2),2))</f>
        <v/>
      </c>
      <c r="G104" s="26" t="str">
        <f t="shared" si="6"/>
        <v/>
      </c>
      <c r="H104" s="60" t="str">
        <f t="shared" si="7"/>
        <v/>
      </c>
      <c r="I104" s="26" t="str">
        <f t="shared" si="8"/>
        <v/>
      </c>
      <c r="J104" s="24" t="str">
        <f t="shared" si="9"/>
        <v/>
      </c>
      <c r="K104" s="41"/>
    </row>
    <row r="105" spans="1:11">
      <c r="A105" s="24" t="str">
        <f t="shared" si="5"/>
        <v/>
      </c>
      <c r="B105" s="24" t="str">
        <f>IFERROR(INDEX(_自动清单!$BW$4:$BW$253,ROW()-3),"")</f>
        <v/>
      </c>
      <c r="C105" s="26" t="str">
        <f>IF($B105="","",ROUND(SUMIFS(周转筐出入库明细!$S$4:$S$2004,周转筐出入库明细!$C$4:$C$2004,$B105,周转筐出入库明细!$B$4:$B$2004,"&gt;="&amp;$O$1,周转筐出入库明细!$B$4:$B$2004,"&lt;="&amp;$O$2),2))</f>
        <v/>
      </c>
      <c r="D105" s="60" t="str">
        <f>IF($B105="","",ROUND(SUMIFS(周转筐出入库明细!$T$4:$T$2004,周转筐出入库明细!$C$4:$C$2004,$B105,周转筐出入库明细!$B$4:$B$2004,"&gt;="&amp;$O$1,周转筐出入库明细!$B$4:$B$2004,"&lt;="&amp;$O$2),2))</f>
        <v/>
      </c>
      <c r="E105" s="26" t="str">
        <f>IF($B105="","",ROUND(SUMIFS(次果筐明细!$J$4:$J$603,次果筐明细!$C$4:$C$603,$B105,次果筐明细!$B$4:$B$603,"&gt;="&amp;$O$1,次果筐明细!$B$4:$B$603,"&lt;="&amp;$O$2),2))</f>
        <v/>
      </c>
      <c r="F105" s="60" t="str">
        <f>IF($B105="","",ROUND(SUMIFS(次果筐明细!$K$4:$K$603,次果筐明细!$C$4:$C$603,$B105,次果筐明细!$B$4:$B$603,"&gt;="&amp;$O$1,次果筐明细!$B$4:$B$603,"&lt;="&amp;$O$2),2))</f>
        <v/>
      </c>
      <c r="G105" s="26" t="str">
        <f t="shared" si="6"/>
        <v/>
      </c>
      <c r="H105" s="60" t="str">
        <f t="shared" si="7"/>
        <v/>
      </c>
      <c r="I105" s="26" t="str">
        <f t="shared" si="8"/>
        <v/>
      </c>
      <c r="J105" s="24" t="str">
        <f t="shared" si="9"/>
        <v/>
      </c>
      <c r="K105" s="41"/>
    </row>
    <row r="106" spans="1:11">
      <c r="A106" s="24" t="str">
        <f t="shared" si="5"/>
        <v/>
      </c>
      <c r="B106" s="24" t="str">
        <f>IFERROR(INDEX(_自动清单!$BW$4:$BW$253,ROW()-3),"")</f>
        <v/>
      </c>
      <c r="C106" s="26" t="str">
        <f>IF($B106="","",ROUND(SUMIFS(周转筐出入库明细!$S$4:$S$2004,周转筐出入库明细!$C$4:$C$2004,$B106,周转筐出入库明细!$B$4:$B$2004,"&gt;="&amp;$O$1,周转筐出入库明细!$B$4:$B$2004,"&lt;="&amp;$O$2),2))</f>
        <v/>
      </c>
      <c r="D106" s="60" t="str">
        <f>IF($B106="","",ROUND(SUMIFS(周转筐出入库明细!$T$4:$T$2004,周转筐出入库明细!$C$4:$C$2004,$B106,周转筐出入库明细!$B$4:$B$2004,"&gt;="&amp;$O$1,周转筐出入库明细!$B$4:$B$2004,"&lt;="&amp;$O$2),2))</f>
        <v/>
      </c>
      <c r="E106" s="26" t="str">
        <f>IF($B106="","",ROUND(SUMIFS(次果筐明细!$J$4:$J$603,次果筐明细!$C$4:$C$603,$B106,次果筐明细!$B$4:$B$603,"&gt;="&amp;$O$1,次果筐明细!$B$4:$B$603,"&lt;="&amp;$O$2),2))</f>
        <v/>
      </c>
      <c r="F106" s="60" t="str">
        <f>IF($B106="","",ROUND(SUMIFS(次果筐明细!$K$4:$K$603,次果筐明细!$C$4:$C$603,$B106,次果筐明细!$B$4:$B$603,"&gt;="&amp;$O$1,次果筐明细!$B$4:$B$603,"&lt;="&amp;$O$2),2))</f>
        <v/>
      </c>
      <c r="G106" s="26" t="str">
        <f t="shared" si="6"/>
        <v/>
      </c>
      <c r="H106" s="60" t="str">
        <f t="shared" si="7"/>
        <v/>
      </c>
      <c r="I106" s="26" t="str">
        <f t="shared" si="8"/>
        <v/>
      </c>
      <c r="J106" s="24" t="str">
        <f t="shared" si="9"/>
        <v/>
      </c>
      <c r="K106" s="41"/>
    </row>
    <row r="107" spans="1:11">
      <c r="A107" s="24" t="str">
        <f t="shared" si="5"/>
        <v/>
      </c>
      <c r="B107" s="24" t="str">
        <f>IFERROR(INDEX(_自动清单!$BW$4:$BW$253,ROW()-3),"")</f>
        <v/>
      </c>
      <c r="C107" s="26" t="str">
        <f>IF($B107="","",ROUND(SUMIFS(周转筐出入库明细!$S$4:$S$2004,周转筐出入库明细!$C$4:$C$2004,$B107,周转筐出入库明细!$B$4:$B$2004,"&gt;="&amp;$O$1,周转筐出入库明细!$B$4:$B$2004,"&lt;="&amp;$O$2),2))</f>
        <v/>
      </c>
      <c r="D107" s="60" t="str">
        <f>IF($B107="","",ROUND(SUMIFS(周转筐出入库明细!$T$4:$T$2004,周转筐出入库明细!$C$4:$C$2004,$B107,周转筐出入库明细!$B$4:$B$2004,"&gt;="&amp;$O$1,周转筐出入库明细!$B$4:$B$2004,"&lt;="&amp;$O$2),2))</f>
        <v/>
      </c>
      <c r="E107" s="26" t="str">
        <f>IF($B107="","",ROUND(SUMIFS(次果筐明细!$J$4:$J$603,次果筐明细!$C$4:$C$603,$B107,次果筐明细!$B$4:$B$603,"&gt;="&amp;$O$1,次果筐明细!$B$4:$B$603,"&lt;="&amp;$O$2),2))</f>
        <v/>
      </c>
      <c r="F107" s="60" t="str">
        <f>IF($B107="","",ROUND(SUMIFS(次果筐明细!$K$4:$K$603,次果筐明细!$C$4:$C$603,$B107,次果筐明细!$B$4:$B$603,"&gt;="&amp;$O$1,次果筐明细!$B$4:$B$603,"&lt;="&amp;$O$2),2))</f>
        <v/>
      </c>
      <c r="G107" s="26" t="str">
        <f t="shared" si="6"/>
        <v/>
      </c>
      <c r="H107" s="60" t="str">
        <f t="shared" si="7"/>
        <v/>
      </c>
      <c r="I107" s="26" t="str">
        <f t="shared" si="8"/>
        <v/>
      </c>
      <c r="J107" s="24" t="str">
        <f t="shared" si="9"/>
        <v/>
      </c>
      <c r="K107" s="41"/>
    </row>
    <row r="108" spans="1:11">
      <c r="A108" s="24" t="str">
        <f t="shared" si="5"/>
        <v/>
      </c>
      <c r="B108" s="24" t="str">
        <f>IFERROR(INDEX(_自动清单!$BW$4:$BW$253,ROW()-3),"")</f>
        <v/>
      </c>
      <c r="C108" s="26" t="str">
        <f>IF($B108="","",ROUND(SUMIFS(周转筐出入库明细!$S$4:$S$2004,周转筐出入库明细!$C$4:$C$2004,$B108,周转筐出入库明细!$B$4:$B$2004,"&gt;="&amp;$O$1,周转筐出入库明细!$B$4:$B$2004,"&lt;="&amp;$O$2),2))</f>
        <v/>
      </c>
      <c r="D108" s="60" t="str">
        <f>IF($B108="","",ROUND(SUMIFS(周转筐出入库明细!$T$4:$T$2004,周转筐出入库明细!$C$4:$C$2004,$B108,周转筐出入库明细!$B$4:$B$2004,"&gt;="&amp;$O$1,周转筐出入库明细!$B$4:$B$2004,"&lt;="&amp;$O$2),2))</f>
        <v/>
      </c>
      <c r="E108" s="26" t="str">
        <f>IF($B108="","",ROUND(SUMIFS(次果筐明细!$J$4:$J$603,次果筐明细!$C$4:$C$603,$B108,次果筐明细!$B$4:$B$603,"&gt;="&amp;$O$1,次果筐明细!$B$4:$B$603,"&lt;="&amp;$O$2),2))</f>
        <v/>
      </c>
      <c r="F108" s="60" t="str">
        <f>IF($B108="","",ROUND(SUMIFS(次果筐明细!$K$4:$K$603,次果筐明细!$C$4:$C$603,$B108,次果筐明细!$B$4:$B$603,"&gt;="&amp;$O$1,次果筐明细!$B$4:$B$603,"&lt;="&amp;$O$2),2))</f>
        <v/>
      </c>
      <c r="G108" s="26" t="str">
        <f t="shared" si="6"/>
        <v/>
      </c>
      <c r="H108" s="60" t="str">
        <f t="shared" si="7"/>
        <v/>
      </c>
      <c r="I108" s="26" t="str">
        <f t="shared" si="8"/>
        <v/>
      </c>
      <c r="J108" s="24" t="str">
        <f t="shared" si="9"/>
        <v/>
      </c>
      <c r="K108" s="41"/>
    </row>
    <row r="109" spans="1:11">
      <c r="A109" s="24" t="str">
        <f t="shared" si="5"/>
        <v/>
      </c>
      <c r="B109" s="24" t="str">
        <f>IFERROR(INDEX(_自动清单!$BW$4:$BW$253,ROW()-3),"")</f>
        <v/>
      </c>
      <c r="C109" s="26" t="str">
        <f>IF($B109="","",ROUND(SUMIFS(周转筐出入库明细!$S$4:$S$2004,周转筐出入库明细!$C$4:$C$2004,$B109,周转筐出入库明细!$B$4:$B$2004,"&gt;="&amp;$O$1,周转筐出入库明细!$B$4:$B$2004,"&lt;="&amp;$O$2),2))</f>
        <v/>
      </c>
      <c r="D109" s="60" t="str">
        <f>IF($B109="","",ROUND(SUMIFS(周转筐出入库明细!$T$4:$T$2004,周转筐出入库明细!$C$4:$C$2004,$B109,周转筐出入库明细!$B$4:$B$2004,"&gt;="&amp;$O$1,周转筐出入库明细!$B$4:$B$2004,"&lt;="&amp;$O$2),2))</f>
        <v/>
      </c>
      <c r="E109" s="26" t="str">
        <f>IF($B109="","",ROUND(SUMIFS(次果筐明细!$J$4:$J$603,次果筐明细!$C$4:$C$603,$B109,次果筐明细!$B$4:$B$603,"&gt;="&amp;$O$1,次果筐明细!$B$4:$B$603,"&lt;="&amp;$O$2),2))</f>
        <v/>
      </c>
      <c r="F109" s="60" t="str">
        <f>IF($B109="","",ROUND(SUMIFS(次果筐明细!$K$4:$K$603,次果筐明细!$C$4:$C$603,$B109,次果筐明细!$B$4:$B$603,"&gt;="&amp;$O$1,次果筐明细!$B$4:$B$603,"&lt;="&amp;$O$2),2))</f>
        <v/>
      </c>
      <c r="G109" s="26" t="str">
        <f t="shared" si="6"/>
        <v/>
      </c>
      <c r="H109" s="60" t="str">
        <f t="shared" si="7"/>
        <v/>
      </c>
      <c r="I109" s="26" t="str">
        <f t="shared" si="8"/>
        <v/>
      </c>
      <c r="J109" s="24" t="str">
        <f t="shared" si="9"/>
        <v/>
      </c>
      <c r="K109" s="41"/>
    </row>
    <row r="110" spans="1:11">
      <c r="A110" s="24" t="str">
        <f t="shared" si="5"/>
        <v/>
      </c>
      <c r="B110" s="24" t="str">
        <f>IFERROR(INDEX(_自动清单!$BW$4:$BW$253,ROW()-3),"")</f>
        <v/>
      </c>
      <c r="C110" s="26" t="str">
        <f>IF($B110="","",ROUND(SUMIFS(周转筐出入库明细!$S$4:$S$2004,周转筐出入库明细!$C$4:$C$2004,$B110,周转筐出入库明细!$B$4:$B$2004,"&gt;="&amp;$O$1,周转筐出入库明细!$B$4:$B$2004,"&lt;="&amp;$O$2),2))</f>
        <v/>
      </c>
      <c r="D110" s="60" t="str">
        <f>IF($B110="","",ROUND(SUMIFS(周转筐出入库明细!$T$4:$T$2004,周转筐出入库明细!$C$4:$C$2004,$B110,周转筐出入库明细!$B$4:$B$2004,"&gt;="&amp;$O$1,周转筐出入库明细!$B$4:$B$2004,"&lt;="&amp;$O$2),2))</f>
        <v/>
      </c>
      <c r="E110" s="26" t="str">
        <f>IF($B110="","",ROUND(SUMIFS(次果筐明细!$J$4:$J$603,次果筐明细!$C$4:$C$603,$B110,次果筐明细!$B$4:$B$603,"&gt;="&amp;$O$1,次果筐明细!$B$4:$B$603,"&lt;="&amp;$O$2),2))</f>
        <v/>
      </c>
      <c r="F110" s="60" t="str">
        <f>IF($B110="","",ROUND(SUMIFS(次果筐明细!$K$4:$K$603,次果筐明细!$C$4:$C$603,$B110,次果筐明细!$B$4:$B$603,"&gt;="&amp;$O$1,次果筐明细!$B$4:$B$603,"&lt;="&amp;$O$2),2))</f>
        <v/>
      </c>
      <c r="G110" s="26" t="str">
        <f t="shared" si="6"/>
        <v/>
      </c>
      <c r="H110" s="60" t="str">
        <f t="shared" si="7"/>
        <v/>
      </c>
      <c r="I110" s="26" t="str">
        <f t="shared" si="8"/>
        <v/>
      </c>
      <c r="J110" s="24" t="str">
        <f t="shared" si="9"/>
        <v/>
      </c>
      <c r="K110" s="41"/>
    </row>
    <row r="111" spans="1:11">
      <c r="A111" s="24" t="str">
        <f t="shared" si="5"/>
        <v/>
      </c>
      <c r="B111" s="24" t="str">
        <f>IFERROR(INDEX(_自动清单!$BW$4:$BW$253,ROW()-3),"")</f>
        <v/>
      </c>
      <c r="C111" s="26" t="str">
        <f>IF($B111="","",ROUND(SUMIFS(周转筐出入库明细!$S$4:$S$2004,周转筐出入库明细!$C$4:$C$2004,$B111,周转筐出入库明细!$B$4:$B$2004,"&gt;="&amp;$O$1,周转筐出入库明细!$B$4:$B$2004,"&lt;="&amp;$O$2),2))</f>
        <v/>
      </c>
      <c r="D111" s="60" t="str">
        <f>IF($B111="","",ROUND(SUMIFS(周转筐出入库明细!$T$4:$T$2004,周转筐出入库明细!$C$4:$C$2004,$B111,周转筐出入库明细!$B$4:$B$2004,"&gt;="&amp;$O$1,周转筐出入库明细!$B$4:$B$2004,"&lt;="&amp;$O$2),2))</f>
        <v/>
      </c>
      <c r="E111" s="26" t="str">
        <f>IF($B111="","",ROUND(SUMIFS(次果筐明细!$J$4:$J$603,次果筐明细!$C$4:$C$603,$B111,次果筐明细!$B$4:$B$603,"&gt;="&amp;$O$1,次果筐明细!$B$4:$B$603,"&lt;="&amp;$O$2),2))</f>
        <v/>
      </c>
      <c r="F111" s="60" t="str">
        <f>IF($B111="","",ROUND(SUMIFS(次果筐明细!$K$4:$K$603,次果筐明细!$C$4:$C$603,$B111,次果筐明细!$B$4:$B$603,"&gt;="&amp;$O$1,次果筐明细!$B$4:$B$603,"&lt;="&amp;$O$2),2))</f>
        <v/>
      </c>
      <c r="G111" s="26" t="str">
        <f t="shared" si="6"/>
        <v/>
      </c>
      <c r="H111" s="60" t="str">
        <f t="shared" si="7"/>
        <v/>
      </c>
      <c r="I111" s="26" t="str">
        <f t="shared" si="8"/>
        <v/>
      </c>
      <c r="J111" s="24" t="str">
        <f t="shared" si="9"/>
        <v/>
      </c>
      <c r="K111" s="41"/>
    </row>
    <row r="112" spans="1:11">
      <c r="A112" s="24" t="str">
        <f t="shared" si="5"/>
        <v/>
      </c>
      <c r="B112" s="24" t="str">
        <f>IFERROR(INDEX(_自动清单!$BW$4:$BW$253,ROW()-3),"")</f>
        <v/>
      </c>
      <c r="C112" s="26" t="str">
        <f>IF($B112="","",ROUND(SUMIFS(周转筐出入库明细!$S$4:$S$2004,周转筐出入库明细!$C$4:$C$2004,$B112,周转筐出入库明细!$B$4:$B$2004,"&gt;="&amp;$O$1,周转筐出入库明细!$B$4:$B$2004,"&lt;="&amp;$O$2),2))</f>
        <v/>
      </c>
      <c r="D112" s="60" t="str">
        <f>IF($B112="","",ROUND(SUMIFS(周转筐出入库明细!$T$4:$T$2004,周转筐出入库明细!$C$4:$C$2004,$B112,周转筐出入库明细!$B$4:$B$2004,"&gt;="&amp;$O$1,周转筐出入库明细!$B$4:$B$2004,"&lt;="&amp;$O$2),2))</f>
        <v/>
      </c>
      <c r="E112" s="26" t="str">
        <f>IF($B112="","",ROUND(SUMIFS(次果筐明细!$J$4:$J$603,次果筐明细!$C$4:$C$603,$B112,次果筐明细!$B$4:$B$603,"&gt;="&amp;$O$1,次果筐明细!$B$4:$B$603,"&lt;="&amp;$O$2),2))</f>
        <v/>
      </c>
      <c r="F112" s="60" t="str">
        <f>IF($B112="","",ROUND(SUMIFS(次果筐明细!$K$4:$K$603,次果筐明细!$C$4:$C$603,$B112,次果筐明细!$B$4:$B$603,"&gt;="&amp;$O$1,次果筐明细!$B$4:$B$603,"&lt;="&amp;$O$2),2))</f>
        <v/>
      </c>
      <c r="G112" s="26" t="str">
        <f t="shared" si="6"/>
        <v/>
      </c>
      <c r="H112" s="60" t="str">
        <f t="shared" si="7"/>
        <v/>
      </c>
      <c r="I112" s="26" t="str">
        <f t="shared" si="8"/>
        <v/>
      </c>
      <c r="J112" s="24" t="str">
        <f t="shared" si="9"/>
        <v/>
      </c>
      <c r="K112" s="41"/>
    </row>
    <row r="113" spans="1:11">
      <c r="A113" s="24" t="str">
        <f t="shared" si="5"/>
        <v/>
      </c>
      <c r="B113" s="24" t="str">
        <f>IFERROR(INDEX(_自动清单!$BW$4:$BW$253,ROW()-3),"")</f>
        <v/>
      </c>
      <c r="C113" s="26" t="str">
        <f>IF($B113="","",ROUND(SUMIFS(周转筐出入库明细!$S$4:$S$2004,周转筐出入库明细!$C$4:$C$2004,$B113,周转筐出入库明细!$B$4:$B$2004,"&gt;="&amp;$O$1,周转筐出入库明细!$B$4:$B$2004,"&lt;="&amp;$O$2),2))</f>
        <v/>
      </c>
      <c r="D113" s="60" t="str">
        <f>IF($B113="","",ROUND(SUMIFS(周转筐出入库明细!$T$4:$T$2004,周转筐出入库明细!$C$4:$C$2004,$B113,周转筐出入库明细!$B$4:$B$2004,"&gt;="&amp;$O$1,周转筐出入库明细!$B$4:$B$2004,"&lt;="&amp;$O$2),2))</f>
        <v/>
      </c>
      <c r="E113" s="26" t="str">
        <f>IF($B113="","",ROUND(SUMIFS(次果筐明细!$J$4:$J$603,次果筐明细!$C$4:$C$603,$B113,次果筐明细!$B$4:$B$603,"&gt;="&amp;$O$1,次果筐明细!$B$4:$B$603,"&lt;="&amp;$O$2),2))</f>
        <v/>
      </c>
      <c r="F113" s="60" t="str">
        <f>IF($B113="","",ROUND(SUMIFS(次果筐明细!$K$4:$K$603,次果筐明细!$C$4:$C$603,$B113,次果筐明细!$B$4:$B$603,"&gt;="&amp;$O$1,次果筐明细!$B$4:$B$603,"&lt;="&amp;$O$2),2))</f>
        <v/>
      </c>
      <c r="G113" s="26" t="str">
        <f t="shared" si="6"/>
        <v/>
      </c>
      <c r="H113" s="60" t="str">
        <f t="shared" si="7"/>
        <v/>
      </c>
      <c r="I113" s="26" t="str">
        <f t="shared" si="8"/>
        <v/>
      </c>
      <c r="J113" s="24" t="str">
        <f t="shared" si="9"/>
        <v/>
      </c>
      <c r="K113" s="41"/>
    </row>
    <row r="114" spans="1:11">
      <c r="A114" s="24" t="str">
        <f t="shared" si="5"/>
        <v/>
      </c>
      <c r="B114" s="24" t="str">
        <f>IFERROR(INDEX(_自动清单!$BW$4:$BW$253,ROW()-3),"")</f>
        <v/>
      </c>
      <c r="C114" s="26" t="str">
        <f>IF($B114="","",ROUND(SUMIFS(周转筐出入库明细!$S$4:$S$2004,周转筐出入库明细!$C$4:$C$2004,$B114,周转筐出入库明细!$B$4:$B$2004,"&gt;="&amp;$O$1,周转筐出入库明细!$B$4:$B$2004,"&lt;="&amp;$O$2),2))</f>
        <v/>
      </c>
      <c r="D114" s="60" t="str">
        <f>IF($B114="","",ROUND(SUMIFS(周转筐出入库明细!$T$4:$T$2004,周转筐出入库明细!$C$4:$C$2004,$B114,周转筐出入库明细!$B$4:$B$2004,"&gt;="&amp;$O$1,周转筐出入库明细!$B$4:$B$2004,"&lt;="&amp;$O$2),2))</f>
        <v/>
      </c>
      <c r="E114" s="26" t="str">
        <f>IF($B114="","",ROUND(SUMIFS(次果筐明细!$J$4:$J$603,次果筐明细!$C$4:$C$603,$B114,次果筐明细!$B$4:$B$603,"&gt;="&amp;$O$1,次果筐明细!$B$4:$B$603,"&lt;="&amp;$O$2),2))</f>
        <v/>
      </c>
      <c r="F114" s="60" t="str">
        <f>IF($B114="","",ROUND(SUMIFS(次果筐明细!$K$4:$K$603,次果筐明细!$C$4:$C$603,$B114,次果筐明细!$B$4:$B$603,"&gt;="&amp;$O$1,次果筐明细!$B$4:$B$603,"&lt;="&amp;$O$2),2))</f>
        <v/>
      </c>
      <c r="G114" s="26" t="str">
        <f t="shared" si="6"/>
        <v/>
      </c>
      <c r="H114" s="60" t="str">
        <f t="shared" si="7"/>
        <v/>
      </c>
      <c r="I114" s="26" t="str">
        <f t="shared" si="8"/>
        <v/>
      </c>
      <c r="J114" s="24" t="str">
        <f t="shared" si="9"/>
        <v/>
      </c>
      <c r="K114" s="41"/>
    </row>
    <row r="115" spans="1:11">
      <c r="A115" s="24" t="str">
        <f t="shared" si="5"/>
        <v/>
      </c>
      <c r="B115" s="24" t="str">
        <f>IFERROR(INDEX(_自动清单!$BW$4:$BW$253,ROW()-3),"")</f>
        <v/>
      </c>
      <c r="C115" s="26" t="str">
        <f>IF($B115="","",ROUND(SUMIFS(周转筐出入库明细!$S$4:$S$2004,周转筐出入库明细!$C$4:$C$2004,$B115,周转筐出入库明细!$B$4:$B$2004,"&gt;="&amp;$O$1,周转筐出入库明细!$B$4:$B$2004,"&lt;="&amp;$O$2),2))</f>
        <v/>
      </c>
      <c r="D115" s="60" t="str">
        <f>IF($B115="","",ROUND(SUMIFS(周转筐出入库明细!$T$4:$T$2004,周转筐出入库明细!$C$4:$C$2004,$B115,周转筐出入库明细!$B$4:$B$2004,"&gt;="&amp;$O$1,周转筐出入库明细!$B$4:$B$2004,"&lt;="&amp;$O$2),2))</f>
        <v/>
      </c>
      <c r="E115" s="26" t="str">
        <f>IF($B115="","",ROUND(SUMIFS(次果筐明细!$J$4:$J$603,次果筐明细!$C$4:$C$603,$B115,次果筐明细!$B$4:$B$603,"&gt;="&amp;$O$1,次果筐明细!$B$4:$B$603,"&lt;="&amp;$O$2),2))</f>
        <v/>
      </c>
      <c r="F115" s="60" t="str">
        <f>IF($B115="","",ROUND(SUMIFS(次果筐明细!$K$4:$K$603,次果筐明细!$C$4:$C$603,$B115,次果筐明细!$B$4:$B$603,"&gt;="&amp;$O$1,次果筐明细!$B$4:$B$603,"&lt;="&amp;$O$2),2))</f>
        <v/>
      </c>
      <c r="G115" s="26" t="str">
        <f t="shared" si="6"/>
        <v/>
      </c>
      <c r="H115" s="60" t="str">
        <f t="shared" si="7"/>
        <v/>
      </c>
      <c r="I115" s="26" t="str">
        <f t="shared" si="8"/>
        <v/>
      </c>
      <c r="J115" s="24" t="str">
        <f t="shared" si="9"/>
        <v/>
      </c>
      <c r="K115" s="41"/>
    </row>
    <row r="116" spans="1:11">
      <c r="A116" s="24" t="str">
        <f t="shared" si="5"/>
        <v/>
      </c>
      <c r="B116" s="24" t="str">
        <f>IFERROR(INDEX(_自动清单!$BW$4:$BW$253,ROW()-3),"")</f>
        <v/>
      </c>
      <c r="C116" s="26" t="str">
        <f>IF($B116="","",ROUND(SUMIFS(周转筐出入库明细!$S$4:$S$2004,周转筐出入库明细!$C$4:$C$2004,$B116,周转筐出入库明细!$B$4:$B$2004,"&gt;="&amp;$O$1,周转筐出入库明细!$B$4:$B$2004,"&lt;="&amp;$O$2),2))</f>
        <v/>
      </c>
      <c r="D116" s="60" t="str">
        <f>IF($B116="","",ROUND(SUMIFS(周转筐出入库明细!$T$4:$T$2004,周转筐出入库明细!$C$4:$C$2004,$B116,周转筐出入库明细!$B$4:$B$2004,"&gt;="&amp;$O$1,周转筐出入库明细!$B$4:$B$2004,"&lt;="&amp;$O$2),2))</f>
        <v/>
      </c>
      <c r="E116" s="26" t="str">
        <f>IF($B116="","",ROUND(SUMIFS(次果筐明细!$J$4:$J$603,次果筐明细!$C$4:$C$603,$B116,次果筐明细!$B$4:$B$603,"&gt;="&amp;$O$1,次果筐明细!$B$4:$B$603,"&lt;="&amp;$O$2),2))</f>
        <v/>
      </c>
      <c r="F116" s="60" t="str">
        <f>IF($B116="","",ROUND(SUMIFS(次果筐明细!$K$4:$K$603,次果筐明细!$C$4:$C$603,$B116,次果筐明细!$B$4:$B$603,"&gt;="&amp;$O$1,次果筐明细!$B$4:$B$603,"&lt;="&amp;$O$2),2))</f>
        <v/>
      </c>
      <c r="G116" s="26" t="str">
        <f t="shared" si="6"/>
        <v/>
      </c>
      <c r="H116" s="60" t="str">
        <f t="shared" si="7"/>
        <v/>
      </c>
      <c r="I116" s="26" t="str">
        <f t="shared" si="8"/>
        <v/>
      </c>
      <c r="J116" s="24" t="str">
        <f t="shared" si="9"/>
        <v/>
      </c>
      <c r="K116" s="41"/>
    </row>
    <row r="117" spans="1:11">
      <c r="A117" s="24" t="str">
        <f t="shared" si="5"/>
        <v/>
      </c>
      <c r="B117" s="24" t="str">
        <f>IFERROR(INDEX(_自动清单!$BW$4:$BW$253,ROW()-3),"")</f>
        <v/>
      </c>
      <c r="C117" s="26" t="str">
        <f>IF($B117="","",ROUND(SUMIFS(周转筐出入库明细!$S$4:$S$2004,周转筐出入库明细!$C$4:$C$2004,$B117,周转筐出入库明细!$B$4:$B$2004,"&gt;="&amp;$O$1,周转筐出入库明细!$B$4:$B$2004,"&lt;="&amp;$O$2),2))</f>
        <v/>
      </c>
      <c r="D117" s="60" t="str">
        <f>IF($B117="","",ROUND(SUMIFS(周转筐出入库明细!$T$4:$T$2004,周转筐出入库明细!$C$4:$C$2004,$B117,周转筐出入库明细!$B$4:$B$2004,"&gt;="&amp;$O$1,周转筐出入库明细!$B$4:$B$2004,"&lt;="&amp;$O$2),2))</f>
        <v/>
      </c>
      <c r="E117" s="26" t="str">
        <f>IF($B117="","",ROUND(SUMIFS(次果筐明细!$J$4:$J$603,次果筐明细!$C$4:$C$603,$B117,次果筐明细!$B$4:$B$603,"&gt;="&amp;$O$1,次果筐明细!$B$4:$B$603,"&lt;="&amp;$O$2),2))</f>
        <v/>
      </c>
      <c r="F117" s="60" t="str">
        <f>IF($B117="","",ROUND(SUMIFS(次果筐明细!$K$4:$K$603,次果筐明细!$C$4:$C$603,$B117,次果筐明细!$B$4:$B$603,"&gt;="&amp;$O$1,次果筐明细!$B$4:$B$603,"&lt;="&amp;$O$2),2))</f>
        <v/>
      </c>
      <c r="G117" s="26" t="str">
        <f t="shared" si="6"/>
        <v/>
      </c>
      <c r="H117" s="60" t="str">
        <f t="shared" si="7"/>
        <v/>
      </c>
      <c r="I117" s="26" t="str">
        <f t="shared" si="8"/>
        <v/>
      </c>
      <c r="J117" s="24" t="str">
        <f t="shared" si="9"/>
        <v/>
      </c>
      <c r="K117" s="41"/>
    </row>
    <row r="118" spans="1:11">
      <c r="A118" s="24" t="str">
        <f t="shared" si="5"/>
        <v/>
      </c>
      <c r="B118" s="24" t="str">
        <f>IFERROR(INDEX(_自动清单!$BW$4:$BW$253,ROW()-3),"")</f>
        <v/>
      </c>
      <c r="C118" s="26" t="str">
        <f>IF($B118="","",ROUND(SUMIFS(周转筐出入库明细!$S$4:$S$2004,周转筐出入库明细!$C$4:$C$2004,$B118,周转筐出入库明细!$B$4:$B$2004,"&gt;="&amp;$O$1,周转筐出入库明细!$B$4:$B$2004,"&lt;="&amp;$O$2),2))</f>
        <v/>
      </c>
      <c r="D118" s="60" t="str">
        <f>IF($B118="","",ROUND(SUMIFS(周转筐出入库明细!$T$4:$T$2004,周转筐出入库明细!$C$4:$C$2004,$B118,周转筐出入库明细!$B$4:$B$2004,"&gt;="&amp;$O$1,周转筐出入库明细!$B$4:$B$2004,"&lt;="&amp;$O$2),2))</f>
        <v/>
      </c>
      <c r="E118" s="26" t="str">
        <f>IF($B118="","",ROUND(SUMIFS(次果筐明细!$J$4:$J$603,次果筐明细!$C$4:$C$603,$B118,次果筐明细!$B$4:$B$603,"&gt;="&amp;$O$1,次果筐明细!$B$4:$B$603,"&lt;="&amp;$O$2),2))</f>
        <v/>
      </c>
      <c r="F118" s="60" t="str">
        <f>IF($B118="","",ROUND(SUMIFS(次果筐明细!$K$4:$K$603,次果筐明细!$C$4:$C$603,$B118,次果筐明细!$B$4:$B$603,"&gt;="&amp;$O$1,次果筐明细!$B$4:$B$603,"&lt;="&amp;$O$2),2))</f>
        <v/>
      </c>
      <c r="G118" s="26" t="str">
        <f t="shared" si="6"/>
        <v/>
      </c>
      <c r="H118" s="60" t="str">
        <f t="shared" si="7"/>
        <v/>
      </c>
      <c r="I118" s="26" t="str">
        <f t="shared" si="8"/>
        <v/>
      </c>
      <c r="J118" s="24" t="str">
        <f t="shared" si="9"/>
        <v/>
      </c>
      <c r="K118" s="41"/>
    </row>
    <row r="119" spans="1:11">
      <c r="A119" s="24" t="str">
        <f t="shared" si="5"/>
        <v/>
      </c>
      <c r="B119" s="24" t="str">
        <f>IFERROR(INDEX(_自动清单!$BW$4:$BW$253,ROW()-3),"")</f>
        <v/>
      </c>
      <c r="C119" s="26" t="str">
        <f>IF($B119="","",ROUND(SUMIFS(周转筐出入库明细!$S$4:$S$2004,周转筐出入库明细!$C$4:$C$2004,$B119,周转筐出入库明细!$B$4:$B$2004,"&gt;="&amp;$O$1,周转筐出入库明细!$B$4:$B$2004,"&lt;="&amp;$O$2),2))</f>
        <v/>
      </c>
      <c r="D119" s="60" t="str">
        <f>IF($B119="","",ROUND(SUMIFS(周转筐出入库明细!$T$4:$T$2004,周转筐出入库明细!$C$4:$C$2004,$B119,周转筐出入库明细!$B$4:$B$2004,"&gt;="&amp;$O$1,周转筐出入库明细!$B$4:$B$2004,"&lt;="&amp;$O$2),2))</f>
        <v/>
      </c>
      <c r="E119" s="26" t="str">
        <f>IF($B119="","",ROUND(SUMIFS(次果筐明细!$J$4:$J$603,次果筐明细!$C$4:$C$603,$B119,次果筐明细!$B$4:$B$603,"&gt;="&amp;$O$1,次果筐明细!$B$4:$B$603,"&lt;="&amp;$O$2),2))</f>
        <v/>
      </c>
      <c r="F119" s="60" t="str">
        <f>IF($B119="","",ROUND(SUMIFS(次果筐明细!$K$4:$K$603,次果筐明细!$C$4:$C$603,$B119,次果筐明细!$B$4:$B$603,"&gt;="&amp;$O$1,次果筐明细!$B$4:$B$603,"&lt;="&amp;$O$2),2))</f>
        <v/>
      </c>
      <c r="G119" s="26" t="str">
        <f t="shared" si="6"/>
        <v/>
      </c>
      <c r="H119" s="60" t="str">
        <f t="shared" si="7"/>
        <v/>
      </c>
      <c r="I119" s="26" t="str">
        <f t="shared" si="8"/>
        <v/>
      </c>
      <c r="J119" s="24" t="str">
        <f t="shared" si="9"/>
        <v/>
      </c>
      <c r="K119" s="41"/>
    </row>
    <row r="120" spans="1:11">
      <c r="A120" s="24" t="str">
        <f t="shared" si="5"/>
        <v/>
      </c>
      <c r="B120" s="24" t="str">
        <f>IFERROR(INDEX(_自动清单!$BW$4:$BW$253,ROW()-3),"")</f>
        <v/>
      </c>
      <c r="C120" s="26" t="str">
        <f>IF($B120="","",ROUND(SUMIFS(周转筐出入库明细!$S$4:$S$2004,周转筐出入库明细!$C$4:$C$2004,$B120,周转筐出入库明细!$B$4:$B$2004,"&gt;="&amp;$O$1,周转筐出入库明细!$B$4:$B$2004,"&lt;="&amp;$O$2),2))</f>
        <v/>
      </c>
      <c r="D120" s="60" t="str">
        <f>IF($B120="","",ROUND(SUMIFS(周转筐出入库明细!$T$4:$T$2004,周转筐出入库明细!$C$4:$C$2004,$B120,周转筐出入库明细!$B$4:$B$2004,"&gt;="&amp;$O$1,周转筐出入库明细!$B$4:$B$2004,"&lt;="&amp;$O$2),2))</f>
        <v/>
      </c>
      <c r="E120" s="26" t="str">
        <f>IF($B120="","",ROUND(SUMIFS(次果筐明细!$J$4:$J$603,次果筐明细!$C$4:$C$603,$B120,次果筐明细!$B$4:$B$603,"&gt;="&amp;$O$1,次果筐明细!$B$4:$B$603,"&lt;="&amp;$O$2),2))</f>
        <v/>
      </c>
      <c r="F120" s="60" t="str">
        <f>IF($B120="","",ROUND(SUMIFS(次果筐明细!$K$4:$K$603,次果筐明细!$C$4:$C$603,$B120,次果筐明细!$B$4:$B$603,"&gt;="&amp;$O$1,次果筐明细!$B$4:$B$603,"&lt;="&amp;$O$2),2))</f>
        <v/>
      </c>
      <c r="G120" s="26" t="str">
        <f t="shared" si="6"/>
        <v/>
      </c>
      <c r="H120" s="60" t="str">
        <f t="shared" si="7"/>
        <v/>
      </c>
      <c r="I120" s="26" t="str">
        <f t="shared" si="8"/>
        <v/>
      </c>
      <c r="J120" s="24" t="str">
        <f t="shared" si="9"/>
        <v/>
      </c>
      <c r="K120" s="41"/>
    </row>
    <row r="121" spans="1:11">
      <c r="A121" s="24" t="str">
        <f t="shared" si="5"/>
        <v/>
      </c>
      <c r="B121" s="24" t="str">
        <f>IFERROR(INDEX(_自动清单!$BW$4:$BW$253,ROW()-3),"")</f>
        <v/>
      </c>
      <c r="C121" s="26" t="str">
        <f>IF($B121="","",ROUND(SUMIFS(周转筐出入库明细!$S$4:$S$2004,周转筐出入库明细!$C$4:$C$2004,$B121,周转筐出入库明细!$B$4:$B$2004,"&gt;="&amp;$O$1,周转筐出入库明细!$B$4:$B$2004,"&lt;="&amp;$O$2),2))</f>
        <v/>
      </c>
      <c r="D121" s="60" t="str">
        <f>IF($B121="","",ROUND(SUMIFS(周转筐出入库明细!$T$4:$T$2004,周转筐出入库明细!$C$4:$C$2004,$B121,周转筐出入库明细!$B$4:$B$2004,"&gt;="&amp;$O$1,周转筐出入库明细!$B$4:$B$2004,"&lt;="&amp;$O$2),2))</f>
        <v/>
      </c>
      <c r="E121" s="26" t="str">
        <f>IF($B121="","",ROUND(SUMIFS(次果筐明细!$J$4:$J$603,次果筐明细!$C$4:$C$603,$B121,次果筐明细!$B$4:$B$603,"&gt;="&amp;$O$1,次果筐明细!$B$4:$B$603,"&lt;="&amp;$O$2),2))</f>
        <v/>
      </c>
      <c r="F121" s="60" t="str">
        <f>IF($B121="","",ROUND(SUMIFS(次果筐明细!$K$4:$K$603,次果筐明细!$C$4:$C$603,$B121,次果筐明细!$B$4:$B$603,"&gt;="&amp;$O$1,次果筐明细!$B$4:$B$603,"&lt;="&amp;$O$2),2))</f>
        <v/>
      </c>
      <c r="G121" s="26" t="str">
        <f t="shared" si="6"/>
        <v/>
      </c>
      <c r="H121" s="60" t="str">
        <f t="shared" si="7"/>
        <v/>
      </c>
      <c r="I121" s="26" t="str">
        <f t="shared" si="8"/>
        <v/>
      </c>
      <c r="J121" s="24" t="str">
        <f t="shared" si="9"/>
        <v/>
      </c>
      <c r="K121" s="41"/>
    </row>
    <row r="122" spans="1:11">
      <c r="A122" s="24" t="str">
        <f t="shared" si="5"/>
        <v/>
      </c>
      <c r="B122" s="24" t="str">
        <f>IFERROR(INDEX(_自动清单!$BW$4:$BW$253,ROW()-3),"")</f>
        <v/>
      </c>
      <c r="C122" s="26" t="str">
        <f>IF($B122="","",ROUND(SUMIFS(周转筐出入库明细!$S$4:$S$2004,周转筐出入库明细!$C$4:$C$2004,$B122,周转筐出入库明细!$B$4:$B$2004,"&gt;="&amp;$O$1,周转筐出入库明细!$B$4:$B$2004,"&lt;="&amp;$O$2),2))</f>
        <v/>
      </c>
      <c r="D122" s="60" t="str">
        <f>IF($B122="","",ROUND(SUMIFS(周转筐出入库明细!$T$4:$T$2004,周转筐出入库明细!$C$4:$C$2004,$B122,周转筐出入库明细!$B$4:$B$2004,"&gt;="&amp;$O$1,周转筐出入库明细!$B$4:$B$2004,"&lt;="&amp;$O$2),2))</f>
        <v/>
      </c>
      <c r="E122" s="26" t="str">
        <f>IF($B122="","",ROUND(SUMIFS(次果筐明细!$J$4:$J$603,次果筐明细!$C$4:$C$603,$B122,次果筐明细!$B$4:$B$603,"&gt;="&amp;$O$1,次果筐明细!$B$4:$B$603,"&lt;="&amp;$O$2),2))</f>
        <v/>
      </c>
      <c r="F122" s="60" t="str">
        <f>IF($B122="","",ROUND(SUMIFS(次果筐明细!$K$4:$K$603,次果筐明细!$C$4:$C$603,$B122,次果筐明细!$B$4:$B$603,"&gt;="&amp;$O$1,次果筐明细!$B$4:$B$603,"&lt;="&amp;$O$2),2))</f>
        <v/>
      </c>
      <c r="G122" s="26" t="str">
        <f t="shared" si="6"/>
        <v/>
      </c>
      <c r="H122" s="60" t="str">
        <f t="shared" si="7"/>
        <v/>
      </c>
      <c r="I122" s="26" t="str">
        <f t="shared" si="8"/>
        <v/>
      </c>
      <c r="J122" s="24" t="str">
        <f t="shared" si="9"/>
        <v/>
      </c>
      <c r="K122" s="41"/>
    </row>
    <row r="123" spans="1:11">
      <c r="A123" s="24" t="str">
        <f t="shared" si="5"/>
        <v/>
      </c>
      <c r="B123" s="24" t="str">
        <f>IFERROR(INDEX(_自动清单!$BW$4:$BW$253,ROW()-3),"")</f>
        <v/>
      </c>
      <c r="C123" s="26" t="str">
        <f>IF($B123="","",ROUND(SUMIFS(周转筐出入库明细!$S$4:$S$2004,周转筐出入库明细!$C$4:$C$2004,$B123,周转筐出入库明细!$B$4:$B$2004,"&gt;="&amp;$O$1,周转筐出入库明细!$B$4:$B$2004,"&lt;="&amp;$O$2),2))</f>
        <v/>
      </c>
      <c r="D123" s="60" t="str">
        <f>IF($B123="","",ROUND(SUMIFS(周转筐出入库明细!$T$4:$T$2004,周转筐出入库明细!$C$4:$C$2004,$B123,周转筐出入库明细!$B$4:$B$2004,"&gt;="&amp;$O$1,周转筐出入库明细!$B$4:$B$2004,"&lt;="&amp;$O$2),2))</f>
        <v/>
      </c>
      <c r="E123" s="26" t="str">
        <f>IF($B123="","",ROUND(SUMIFS(次果筐明细!$J$4:$J$603,次果筐明细!$C$4:$C$603,$B123,次果筐明细!$B$4:$B$603,"&gt;="&amp;$O$1,次果筐明细!$B$4:$B$603,"&lt;="&amp;$O$2),2))</f>
        <v/>
      </c>
      <c r="F123" s="60" t="str">
        <f>IF($B123="","",ROUND(SUMIFS(次果筐明细!$K$4:$K$603,次果筐明细!$C$4:$C$603,$B123,次果筐明细!$B$4:$B$603,"&gt;="&amp;$O$1,次果筐明细!$B$4:$B$603,"&lt;="&amp;$O$2),2))</f>
        <v/>
      </c>
      <c r="G123" s="26" t="str">
        <f t="shared" si="6"/>
        <v/>
      </c>
      <c r="H123" s="60" t="str">
        <f t="shared" si="7"/>
        <v/>
      </c>
      <c r="I123" s="26" t="str">
        <f t="shared" si="8"/>
        <v/>
      </c>
      <c r="J123" s="24" t="str">
        <f t="shared" si="9"/>
        <v/>
      </c>
      <c r="K123" s="41"/>
    </row>
    <row r="124" spans="1:11">
      <c r="A124" s="24" t="str">
        <f t="shared" si="5"/>
        <v/>
      </c>
      <c r="B124" s="24" t="str">
        <f>IFERROR(INDEX(_自动清单!$BW$4:$BW$253,ROW()-3),"")</f>
        <v/>
      </c>
      <c r="C124" s="26" t="str">
        <f>IF($B124="","",ROUND(SUMIFS(周转筐出入库明细!$S$4:$S$2004,周转筐出入库明细!$C$4:$C$2004,$B124,周转筐出入库明细!$B$4:$B$2004,"&gt;="&amp;$O$1,周转筐出入库明细!$B$4:$B$2004,"&lt;="&amp;$O$2),2))</f>
        <v/>
      </c>
      <c r="D124" s="60" t="str">
        <f>IF($B124="","",ROUND(SUMIFS(周转筐出入库明细!$T$4:$T$2004,周转筐出入库明细!$C$4:$C$2004,$B124,周转筐出入库明细!$B$4:$B$2004,"&gt;="&amp;$O$1,周转筐出入库明细!$B$4:$B$2004,"&lt;="&amp;$O$2),2))</f>
        <v/>
      </c>
      <c r="E124" s="26" t="str">
        <f>IF($B124="","",ROUND(SUMIFS(次果筐明细!$J$4:$J$603,次果筐明细!$C$4:$C$603,$B124,次果筐明细!$B$4:$B$603,"&gt;="&amp;$O$1,次果筐明细!$B$4:$B$603,"&lt;="&amp;$O$2),2))</f>
        <v/>
      </c>
      <c r="F124" s="60" t="str">
        <f>IF($B124="","",ROUND(SUMIFS(次果筐明细!$K$4:$K$603,次果筐明细!$C$4:$C$603,$B124,次果筐明细!$B$4:$B$603,"&gt;="&amp;$O$1,次果筐明细!$B$4:$B$603,"&lt;="&amp;$O$2),2))</f>
        <v/>
      </c>
      <c r="G124" s="26" t="str">
        <f t="shared" si="6"/>
        <v/>
      </c>
      <c r="H124" s="60" t="str">
        <f t="shared" si="7"/>
        <v/>
      </c>
      <c r="I124" s="26" t="str">
        <f t="shared" si="8"/>
        <v/>
      </c>
      <c r="J124" s="24" t="str">
        <f t="shared" si="9"/>
        <v/>
      </c>
      <c r="K124" s="41"/>
    </row>
    <row r="125" spans="1:11">
      <c r="A125" s="24" t="str">
        <f t="shared" si="5"/>
        <v/>
      </c>
      <c r="B125" s="24" t="str">
        <f>IFERROR(INDEX(_自动清单!$BW$4:$BW$253,ROW()-3),"")</f>
        <v/>
      </c>
      <c r="C125" s="26" t="str">
        <f>IF($B125="","",ROUND(SUMIFS(周转筐出入库明细!$S$4:$S$2004,周转筐出入库明细!$C$4:$C$2004,$B125,周转筐出入库明细!$B$4:$B$2004,"&gt;="&amp;$O$1,周转筐出入库明细!$B$4:$B$2004,"&lt;="&amp;$O$2),2))</f>
        <v/>
      </c>
      <c r="D125" s="60" t="str">
        <f>IF($B125="","",ROUND(SUMIFS(周转筐出入库明细!$T$4:$T$2004,周转筐出入库明细!$C$4:$C$2004,$B125,周转筐出入库明细!$B$4:$B$2004,"&gt;="&amp;$O$1,周转筐出入库明细!$B$4:$B$2004,"&lt;="&amp;$O$2),2))</f>
        <v/>
      </c>
      <c r="E125" s="26" t="str">
        <f>IF($B125="","",ROUND(SUMIFS(次果筐明细!$J$4:$J$603,次果筐明细!$C$4:$C$603,$B125,次果筐明细!$B$4:$B$603,"&gt;="&amp;$O$1,次果筐明细!$B$4:$B$603,"&lt;="&amp;$O$2),2))</f>
        <v/>
      </c>
      <c r="F125" s="60" t="str">
        <f>IF($B125="","",ROUND(SUMIFS(次果筐明细!$K$4:$K$603,次果筐明细!$C$4:$C$603,$B125,次果筐明细!$B$4:$B$603,"&gt;="&amp;$O$1,次果筐明细!$B$4:$B$603,"&lt;="&amp;$O$2),2))</f>
        <v/>
      </c>
      <c r="G125" s="26" t="str">
        <f t="shared" si="6"/>
        <v/>
      </c>
      <c r="H125" s="60" t="str">
        <f t="shared" si="7"/>
        <v/>
      </c>
      <c r="I125" s="26" t="str">
        <f t="shared" si="8"/>
        <v/>
      </c>
      <c r="J125" s="24" t="str">
        <f t="shared" si="9"/>
        <v/>
      </c>
      <c r="K125" s="41"/>
    </row>
    <row r="126" spans="1:11">
      <c r="A126" s="24" t="str">
        <f t="shared" si="5"/>
        <v/>
      </c>
      <c r="B126" s="24" t="str">
        <f>IFERROR(INDEX(_自动清单!$BW$4:$BW$253,ROW()-3),"")</f>
        <v/>
      </c>
      <c r="C126" s="26" t="str">
        <f>IF($B126="","",ROUND(SUMIFS(周转筐出入库明细!$S$4:$S$2004,周转筐出入库明细!$C$4:$C$2004,$B126,周转筐出入库明细!$B$4:$B$2004,"&gt;="&amp;$O$1,周转筐出入库明细!$B$4:$B$2004,"&lt;="&amp;$O$2),2))</f>
        <v/>
      </c>
      <c r="D126" s="60" t="str">
        <f>IF($B126="","",ROUND(SUMIFS(周转筐出入库明细!$T$4:$T$2004,周转筐出入库明细!$C$4:$C$2004,$B126,周转筐出入库明细!$B$4:$B$2004,"&gt;="&amp;$O$1,周转筐出入库明细!$B$4:$B$2004,"&lt;="&amp;$O$2),2))</f>
        <v/>
      </c>
      <c r="E126" s="26" t="str">
        <f>IF($B126="","",ROUND(SUMIFS(次果筐明细!$J$4:$J$603,次果筐明细!$C$4:$C$603,$B126,次果筐明细!$B$4:$B$603,"&gt;="&amp;$O$1,次果筐明细!$B$4:$B$603,"&lt;="&amp;$O$2),2))</f>
        <v/>
      </c>
      <c r="F126" s="60" t="str">
        <f>IF($B126="","",ROUND(SUMIFS(次果筐明细!$K$4:$K$603,次果筐明细!$C$4:$C$603,$B126,次果筐明细!$B$4:$B$603,"&gt;="&amp;$O$1,次果筐明细!$B$4:$B$603,"&lt;="&amp;$O$2),2))</f>
        <v/>
      </c>
      <c r="G126" s="26" t="str">
        <f t="shared" si="6"/>
        <v/>
      </c>
      <c r="H126" s="60" t="str">
        <f t="shared" si="7"/>
        <v/>
      </c>
      <c r="I126" s="26" t="str">
        <f t="shared" si="8"/>
        <v/>
      </c>
      <c r="J126" s="24" t="str">
        <f t="shared" si="9"/>
        <v/>
      </c>
      <c r="K126" s="41"/>
    </row>
    <row r="127" spans="1:11">
      <c r="A127" s="24" t="str">
        <f t="shared" si="5"/>
        <v/>
      </c>
      <c r="B127" s="24" t="str">
        <f>IFERROR(INDEX(_自动清单!$BW$4:$BW$253,ROW()-3),"")</f>
        <v/>
      </c>
      <c r="C127" s="26" t="str">
        <f>IF($B127="","",ROUND(SUMIFS(周转筐出入库明细!$S$4:$S$2004,周转筐出入库明细!$C$4:$C$2004,$B127,周转筐出入库明细!$B$4:$B$2004,"&gt;="&amp;$O$1,周转筐出入库明细!$B$4:$B$2004,"&lt;="&amp;$O$2),2))</f>
        <v/>
      </c>
      <c r="D127" s="60" t="str">
        <f>IF($B127="","",ROUND(SUMIFS(周转筐出入库明细!$T$4:$T$2004,周转筐出入库明细!$C$4:$C$2004,$B127,周转筐出入库明细!$B$4:$B$2004,"&gt;="&amp;$O$1,周转筐出入库明细!$B$4:$B$2004,"&lt;="&amp;$O$2),2))</f>
        <v/>
      </c>
      <c r="E127" s="26" t="str">
        <f>IF($B127="","",ROUND(SUMIFS(次果筐明细!$J$4:$J$603,次果筐明细!$C$4:$C$603,$B127,次果筐明细!$B$4:$B$603,"&gt;="&amp;$O$1,次果筐明细!$B$4:$B$603,"&lt;="&amp;$O$2),2))</f>
        <v/>
      </c>
      <c r="F127" s="60" t="str">
        <f>IF($B127="","",ROUND(SUMIFS(次果筐明细!$K$4:$K$603,次果筐明细!$C$4:$C$603,$B127,次果筐明细!$B$4:$B$603,"&gt;="&amp;$O$1,次果筐明细!$B$4:$B$603,"&lt;="&amp;$O$2),2))</f>
        <v/>
      </c>
      <c r="G127" s="26" t="str">
        <f t="shared" si="6"/>
        <v/>
      </c>
      <c r="H127" s="60" t="str">
        <f t="shared" si="7"/>
        <v/>
      </c>
      <c r="I127" s="26" t="str">
        <f t="shared" si="8"/>
        <v/>
      </c>
      <c r="J127" s="24" t="str">
        <f t="shared" si="9"/>
        <v/>
      </c>
      <c r="K127" s="41"/>
    </row>
    <row r="128" spans="1:11">
      <c r="A128" s="24" t="str">
        <f t="shared" si="5"/>
        <v/>
      </c>
      <c r="B128" s="24" t="str">
        <f>IFERROR(INDEX(_自动清单!$BW$4:$BW$253,ROW()-3),"")</f>
        <v/>
      </c>
      <c r="C128" s="26" t="str">
        <f>IF($B128="","",ROUND(SUMIFS(周转筐出入库明细!$S$4:$S$2004,周转筐出入库明细!$C$4:$C$2004,$B128,周转筐出入库明细!$B$4:$B$2004,"&gt;="&amp;$O$1,周转筐出入库明细!$B$4:$B$2004,"&lt;="&amp;$O$2),2))</f>
        <v/>
      </c>
      <c r="D128" s="60" t="str">
        <f>IF($B128="","",ROUND(SUMIFS(周转筐出入库明细!$T$4:$T$2004,周转筐出入库明细!$C$4:$C$2004,$B128,周转筐出入库明细!$B$4:$B$2004,"&gt;="&amp;$O$1,周转筐出入库明细!$B$4:$B$2004,"&lt;="&amp;$O$2),2))</f>
        <v/>
      </c>
      <c r="E128" s="26" t="str">
        <f>IF($B128="","",ROUND(SUMIFS(次果筐明细!$J$4:$J$603,次果筐明细!$C$4:$C$603,$B128,次果筐明细!$B$4:$B$603,"&gt;="&amp;$O$1,次果筐明细!$B$4:$B$603,"&lt;="&amp;$O$2),2))</f>
        <v/>
      </c>
      <c r="F128" s="60" t="str">
        <f>IF($B128="","",ROUND(SUMIFS(次果筐明细!$K$4:$K$603,次果筐明细!$C$4:$C$603,$B128,次果筐明细!$B$4:$B$603,"&gt;="&amp;$O$1,次果筐明细!$B$4:$B$603,"&lt;="&amp;$O$2),2))</f>
        <v/>
      </c>
      <c r="G128" s="26" t="str">
        <f t="shared" si="6"/>
        <v/>
      </c>
      <c r="H128" s="60" t="str">
        <f t="shared" si="7"/>
        <v/>
      </c>
      <c r="I128" s="26" t="str">
        <f t="shared" si="8"/>
        <v/>
      </c>
      <c r="J128" s="24" t="str">
        <f t="shared" si="9"/>
        <v/>
      </c>
      <c r="K128" s="41"/>
    </row>
    <row r="129" spans="1:11">
      <c r="A129" s="24" t="str">
        <f t="shared" si="5"/>
        <v/>
      </c>
      <c r="B129" s="24" t="str">
        <f>IFERROR(INDEX(_自动清单!$BW$4:$BW$253,ROW()-3),"")</f>
        <v/>
      </c>
      <c r="C129" s="26" t="str">
        <f>IF($B129="","",ROUND(SUMIFS(周转筐出入库明细!$S$4:$S$2004,周转筐出入库明细!$C$4:$C$2004,$B129,周转筐出入库明细!$B$4:$B$2004,"&gt;="&amp;$O$1,周转筐出入库明细!$B$4:$B$2004,"&lt;="&amp;$O$2),2))</f>
        <v/>
      </c>
      <c r="D129" s="60" t="str">
        <f>IF($B129="","",ROUND(SUMIFS(周转筐出入库明细!$T$4:$T$2004,周转筐出入库明细!$C$4:$C$2004,$B129,周转筐出入库明细!$B$4:$B$2004,"&gt;="&amp;$O$1,周转筐出入库明细!$B$4:$B$2004,"&lt;="&amp;$O$2),2))</f>
        <v/>
      </c>
      <c r="E129" s="26" t="str">
        <f>IF($B129="","",ROUND(SUMIFS(次果筐明细!$J$4:$J$603,次果筐明细!$C$4:$C$603,$B129,次果筐明细!$B$4:$B$603,"&gt;="&amp;$O$1,次果筐明细!$B$4:$B$603,"&lt;="&amp;$O$2),2))</f>
        <v/>
      </c>
      <c r="F129" s="60" t="str">
        <f>IF($B129="","",ROUND(SUMIFS(次果筐明细!$K$4:$K$603,次果筐明细!$C$4:$C$603,$B129,次果筐明细!$B$4:$B$603,"&gt;="&amp;$O$1,次果筐明细!$B$4:$B$603,"&lt;="&amp;$O$2),2))</f>
        <v/>
      </c>
      <c r="G129" s="26" t="str">
        <f t="shared" si="6"/>
        <v/>
      </c>
      <c r="H129" s="60" t="str">
        <f t="shared" si="7"/>
        <v/>
      </c>
      <c r="I129" s="26" t="str">
        <f t="shared" si="8"/>
        <v/>
      </c>
      <c r="J129" s="24" t="str">
        <f t="shared" si="9"/>
        <v/>
      </c>
      <c r="K129" s="41"/>
    </row>
    <row r="130" spans="1:11">
      <c r="A130" s="24" t="str">
        <f t="shared" si="5"/>
        <v/>
      </c>
      <c r="B130" s="24" t="str">
        <f>IFERROR(INDEX(_自动清单!$BW$4:$BW$253,ROW()-3),"")</f>
        <v/>
      </c>
      <c r="C130" s="26" t="str">
        <f>IF($B130="","",ROUND(SUMIFS(周转筐出入库明细!$S$4:$S$2004,周转筐出入库明细!$C$4:$C$2004,$B130,周转筐出入库明细!$B$4:$B$2004,"&gt;="&amp;$O$1,周转筐出入库明细!$B$4:$B$2004,"&lt;="&amp;$O$2),2))</f>
        <v/>
      </c>
      <c r="D130" s="60" t="str">
        <f>IF($B130="","",ROUND(SUMIFS(周转筐出入库明细!$T$4:$T$2004,周转筐出入库明细!$C$4:$C$2004,$B130,周转筐出入库明细!$B$4:$B$2004,"&gt;="&amp;$O$1,周转筐出入库明细!$B$4:$B$2004,"&lt;="&amp;$O$2),2))</f>
        <v/>
      </c>
      <c r="E130" s="26" t="str">
        <f>IF($B130="","",ROUND(SUMIFS(次果筐明细!$J$4:$J$603,次果筐明细!$C$4:$C$603,$B130,次果筐明细!$B$4:$B$603,"&gt;="&amp;$O$1,次果筐明细!$B$4:$B$603,"&lt;="&amp;$O$2),2))</f>
        <v/>
      </c>
      <c r="F130" s="60" t="str">
        <f>IF($B130="","",ROUND(SUMIFS(次果筐明细!$K$4:$K$603,次果筐明细!$C$4:$C$603,$B130,次果筐明细!$B$4:$B$603,"&gt;="&amp;$O$1,次果筐明细!$B$4:$B$603,"&lt;="&amp;$O$2),2))</f>
        <v/>
      </c>
      <c r="G130" s="26" t="str">
        <f t="shared" si="6"/>
        <v/>
      </c>
      <c r="H130" s="60" t="str">
        <f t="shared" si="7"/>
        <v/>
      </c>
      <c r="I130" s="26" t="str">
        <f t="shared" si="8"/>
        <v/>
      </c>
      <c r="J130" s="24" t="str">
        <f t="shared" si="9"/>
        <v/>
      </c>
      <c r="K130" s="41"/>
    </row>
    <row r="131" spans="1:11">
      <c r="A131" s="24" t="str">
        <f t="shared" si="5"/>
        <v/>
      </c>
      <c r="B131" s="24" t="str">
        <f>IFERROR(INDEX(_自动清单!$BW$4:$BW$253,ROW()-3),"")</f>
        <v/>
      </c>
      <c r="C131" s="26" t="str">
        <f>IF($B131="","",ROUND(SUMIFS(周转筐出入库明细!$S$4:$S$2004,周转筐出入库明细!$C$4:$C$2004,$B131,周转筐出入库明细!$B$4:$B$2004,"&gt;="&amp;$O$1,周转筐出入库明细!$B$4:$B$2004,"&lt;="&amp;$O$2),2))</f>
        <v/>
      </c>
      <c r="D131" s="60" t="str">
        <f>IF($B131="","",ROUND(SUMIFS(周转筐出入库明细!$T$4:$T$2004,周转筐出入库明细!$C$4:$C$2004,$B131,周转筐出入库明细!$B$4:$B$2004,"&gt;="&amp;$O$1,周转筐出入库明细!$B$4:$B$2004,"&lt;="&amp;$O$2),2))</f>
        <v/>
      </c>
      <c r="E131" s="26" t="str">
        <f>IF($B131="","",ROUND(SUMIFS(次果筐明细!$J$4:$J$603,次果筐明细!$C$4:$C$603,$B131,次果筐明细!$B$4:$B$603,"&gt;="&amp;$O$1,次果筐明细!$B$4:$B$603,"&lt;="&amp;$O$2),2))</f>
        <v/>
      </c>
      <c r="F131" s="60" t="str">
        <f>IF($B131="","",ROUND(SUMIFS(次果筐明细!$K$4:$K$603,次果筐明细!$C$4:$C$603,$B131,次果筐明细!$B$4:$B$603,"&gt;="&amp;$O$1,次果筐明细!$B$4:$B$603,"&lt;="&amp;$O$2),2))</f>
        <v/>
      </c>
      <c r="G131" s="26" t="str">
        <f t="shared" si="6"/>
        <v/>
      </c>
      <c r="H131" s="60" t="str">
        <f t="shared" si="7"/>
        <v/>
      </c>
      <c r="I131" s="26" t="str">
        <f t="shared" si="8"/>
        <v/>
      </c>
      <c r="J131" s="24" t="str">
        <f t="shared" si="9"/>
        <v/>
      </c>
      <c r="K131" s="41"/>
    </row>
    <row r="132" spans="1:11">
      <c r="A132" s="24" t="str">
        <f t="shared" ref="A132:A195" si="10">IF($B132="","",ROW()-3)</f>
        <v/>
      </c>
      <c r="B132" s="24" t="str">
        <f>IFERROR(INDEX(_自动清单!$BW$4:$BW$253,ROW()-3),"")</f>
        <v/>
      </c>
      <c r="C132" s="26" t="str">
        <f>IF($B132="","",ROUND(SUMIFS(周转筐出入库明细!$S$4:$S$2004,周转筐出入库明细!$C$4:$C$2004,$B132,周转筐出入库明细!$B$4:$B$2004,"&gt;="&amp;$O$1,周转筐出入库明细!$B$4:$B$2004,"&lt;="&amp;$O$2),2))</f>
        <v/>
      </c>
      <c r="D132" s="60" t="str">
        <f>IF($B132="","",ROUND(SUMIFS(周转筐出入库明细!$T$4:$T$2004,周转筐出入库明细!$C$4:$C$2004,$B132,周转筐出入库明细!$B$4:$B$2004,"&gt;="&amp;$O$1,周转筐出入库明细!$B$4:$B$2004,"&lt;="&amp;$O$2),2))</f>
        <v/>
      </c>
      <c r="E132" s="26" t="str">
        <f>IF($B132="","",ROUND(SUMIFS(次果筐明细!$J$4:$J$603,次果筐明细!$C$4:$C$603,$B132,次果筐明细!$B$4:$B$603,"&gt;="&amp;$O$1,次果筐明细!$B$4:$B$603,"&lt;="&amp;$O$2),2))</f>
        <v/>
      </c>
      <c r="F132" s="60" t="str">
        <f>IF($B132="","",ROUND(SUMIFS(次果筐明细!$K$4:$K$603,次果筐明细!$C$4:$C$603,$B132,次果筐明细!$B$4:$B$603,"&gt;="&amp;$O$1,次果筐明细!$B$4:$B$603,"&lt;="&amp;$O$2),2))</f>
        <v/>
      </c>
      <c r="G132" s="26" t="str">
        <f t="shared" ref="G132:G195" si="11">IF($B132="","",ROUND(N($C132)+N($E132),2))</f>
        <v/>
      </c>
      <c r="H132" s="60" t="str">
        <f t="shared" ref="H132:H195" si="12">IF($B132="","",ROUND(N($D132)+N($F132),2))</f>
        <v/>
      </c>
      <c r="I132" s="26" t="str">
        <f t="shared" ref="I132:I195" si="13">IF($B132="","",ROUND(N($G132)-N($H132),2))</f>
        <v/>
      </c>
      <c r="J132" s="24" t="str">
        <f t="shared" ref="J132:J195" si="14">IF($B132="","",IF(ROUND(N($G132),2)=0,"无押金",IF(ROUND(N($I132),2)=0,"已结清","未结清")))</f>
        <v/>
      </c>
      <c r="K132" s="41"/>
    </row>
    <row r="133" spans="1:11">
      <c r="A133" s="24" t="str">
        <f t="shared" si="10"/>
        <v/>
      </c>
      <c r="B133" s="24" t="str">
        <f>IFERROR(INDEX(_自动清单!$BW$4:$BW$253,ROW()-3),"")</f>
        <v/>
      </c>
      <c r="C133" s="26" t="str">
        <f>IF($B133="","",ROUND(SUMIFS(周转筐出入库明细!$S$4:$S$2004,周转筐出入库明细!$C$4:$C$2004,$B133,周转筐出入库明细!$B$4:$B$2004,"&gt;="&amp;$O$1,周转筐出入库明细!$B$4:$B$2004,"&lt;="&amp;$O$2),2))</f>
        <v/>
      </c>
      <c r="D133" s="60" t="str">
        <f>IF($B133="","",ROUND(SUMIFS(周转筐出入库明细!$T$4:$T$2004,周转筐出入库明细!$C$4:$C$2004,$B133,周转筐出入库明细!$B$4:$B$2004,"&gt;="&amp;$O$1,周转筐出入库明细!$B$4:$B$2004,"&lt;="&amp;$O$2),2))</f>
        <v/>
      </c>
      <c r="E133" s="26" t="str">
        <f>IF($B133="","",ROUND(SUMIFS(次果筐明细!$J$4:$J$603,次果筐明细!$C$4:$C$603,$B133,次果筐明细!$B$4:$B$603,"&gt;="&amp;$O$1,次果筐明细!$B$4:$B$603,"&lt;="&amp;$O$2),2))</f>
        <v/>
      </c>
      <c r="F133" s="60" t="str">
        <f>IF($B133="","",ROUND(SUMIFS(次果筐明细!$K$4:$K$603,次果筐明细!$C$4:$C$603,$B133,次果筐明细!$B$4:$B$603,"&gt;="&amp;$O$1,次果筐明细!$B$4:$B$603,"&lt;="&amp;$O$2),2))</f>
        <v/>
      </c>
      <c r="G133" s="26" t="str">
        <f t="shared" si="11"/>
        <v/>
      </c>
      <c r="H133" s="60" t="str">
        <f t="shared" si="12"/>
        <v/>
      </c>
      <c r="I133" s="26" t="str">
        <f t="shared" si="13"/>
        <v/>
      </c>
      <c r="J133" s="24" t="str">
        <f t="shared" si="14"/>
        <v/>
      </c>
      <c r="K133" s="41"/>
    </row>
    <row r="134" spans="1:11">
      <c r="A134" s="24" t="str">
        <f t="shared" si="10"/>
        <v/>
      </c>
      <c r="B134" s="24" t="str">
        <f>IFERROR(INDEX(_自动清单!$BW$4:$BW$253,ROW()-3),"")</f>
        <v/>
      </c>
      <c r="C134" s="26" t="str">
        <f>IF($B134="","",ROUND(SUMIFS(周转筐出入库明细!$S$4:$S$2004,周转筐出入库明细!$C$4:$C$2004,$B134,周转筐出入库明细!$B$4:$B$2004,"&gt;="&amp;$O$1,周转筐出入库明细!$B$4:$B$2004,"&lt;="&amp;$O$2),2))</f>
        <v/>
      </c>
      <c r="D134" s="60" t="str">
        <f>IF($B134="","",ROUND(SUMIFS(周转筐出入库明细!$T$4:$T$2004,周转筐出入库明细!$C$4:$C$2004,$B134,周转筐出入库明细!$B$4:$B$2004,"&gt;="&amp;$O$1,周转筐出入库明细!$B$4:$B$2004,"&lt;="&amp;$O$2),2))</f>
        <v/>
      </c>
      <c r="E134" s="26" t="str">
        <f>IF($B134="","",ROUND(SUMIFS(次果筐明细!$J$4:$J$603,次果筐明细!$C$4:$C$603,$B134,次果筐明细!$B$4:$B$603,"&gt;="&amp;$O$1,次果筐明细!$B$4:$B$603,"&lt;="&amp;$O$2),2))</f>
        <v/>
      </c>
      <c r="F134" s="60" t="str">
        <f>IF($B134="","",ROUND(SUMIFS(次果筐明细!$K$4:$K$603,次果筐明细!$C$4:$C$603,$B134,次果筐明细!$B$4:$B$603,"&gt;="&amp;$O$1,次果筐明细!$B$4:$B$603,"&lt;="&amp;$O$2),2))</f>
        <v/>
      </c>
      <c r="G134" s="26" t="str">
        <f t="shared" si="11"/>
        <v/>
      </c>
      <c r="H134" s="60" t="str">
        <f t="shared" si="12"/>
        <v/>
      </c>
      <c r="I134" s="26" t="str">
        <f t="shared" si="13"/>
        <v/>
      </c>
      <c r="J134" s="24" t="str">
        <f t="shared" si="14"/>
        <v/>
      </c>
      <c r="K134" s="41"/>
    </row>
    <row r="135" spans="1:11">
      <c r="A135" s="24" t="str">
        <f t="shared" si="10"/>
        <v/>
      </c>
      <c r="B135" s="24" t="str">
        <f>IFERROR(INDEX(_自动清单!$BW$4:$BW$253,ROW()-3),"")</f>
        <v/>
      </c>
      <c r="C135" s="26" t="str">
        <f>IF($B135="","",ROUND(SUMIFS(周转筐出入库明细!$S$4:$S$2004,周转筐出入库明细!$C$4:$C$2004,$B135,周转筐出入库明细!$B$4:$B$2004,"&gt;="&amp;$O$1,周转筐出入库明细!$B$4:$B$2004,"&lt;="&amp;$O$2),2))</f>
        <v/>
      </c>
      <c r="D135" s="60" t="str">
        <f>IF($B135="","",ROUND(SUMIFS(周转筐出入库明细!$T$4:$T$2004,周转筐出入库明细!$C$4:$C$2004,$B135,周转筐出入库明细!$B$4:$B$2004,"&gt;="&amp;$O$1,周转筐出入库明细!$B$4:$B$2004,"&lt;="&amp;$O$2),2))</f>
        <v/>
      </c>
      <c r="E135" s="26" t="str">
        <f>IF($B135="","",ROUND(SUMIFS(次果筐明细!$J$4:$J$603,次果筐明细!$C$4:$C$603,$B135,次果筐明细!$B$4:$B$603,"&gt;="&amp;$O$1,次果筐明细!$B$4:$B$603,"&lt;="&amp;$O$2),2))</f>
        <v/>
      </c>
      <c r="F135" s="60" t="str">
        <f>IF($B135="","",ROUND(SUMIFS(次果筐明细!$K$4:$K$603,次果筐明细!$C$4:$C$603,$B135,次果筐明细!$B$4:$B$603,"&gt;="&amp;$O$1,次果筐明细!$B$4:$B$603,"&lt;="&amp;$O$2),2))</f>
        <v/>
      </c>
      <c r="G135" s="26" t="str">
        <f t="shared" si="11"/>
        <v/>
      </c>
      <c r="H135" s="60" t="str">
        <f t="shared" si="12"/>
        <v/>
      </c>
      <c r="I135" s="26" t="str">
        <f t="shared" si="13"/>
        <v/>
      </c>
      <c r="J135" s="24" t="str">
        <f t="shared" si="14"/>
        <v/>
      </c>
      <c r="K135" s="41"/>
    </row>
    <row r="136" spans="1:11">
      <c r="A136" s="24" t="str">
        <f t="shared" si="10"/>
        <v/>
      </c>
      <c r="B136" s="24" t="str">
        <f>IFERROR(INDEX(_自动清单!$BW$4:$BW$253,ROW()-3),"")</f>
        <v/>
      </c>
      <c r="C136" s="26" t="str">
        <f>IF($B136="","",ROUND(SUMIFS(周转筐出入库明细!$S$4:$S$2004,周转筐出入库明细!$C$4:$C$2004,$B136,周转筐出入库明细!$B$4:$B$2004,"&gt;="&amp;$O$1,周转筐出入库明细!$B$4:$B$2004,"&lt;="&amp;$O$2),2))</f>
        <v/>
      </c>
      <c r="D136" s="60" t="str">
        <f>IF($B136="","",ROUND(SUMIFS(周转筐出入库明细!$T$4:$T$2004,周转筐出入库明细!$C$4:$C$2004,$B136,周转筐出入库明细!$B$4:$B$2004,"&gt;="&amp;$O$1,周转筐出入库明细!$B$4:$B$2004,"&lt;="&amp;$O$2),2))</f>
        <v/>
      </c>
      <c r="E136" s="26" t="str">
        <f>IF($B136="","",ROUND(SUMIFS(次果筐明细!$J$4:$J$603,次果筐明细!$C$4:$C$603,$B136,次果筐明细!$B$4:$B$603,"&gt;="&amp;$O$1,次果筐明细!$B$4:$B$603,"&lt;="&amp;$O$2),2))</f>
        <v/>
      </c>
      <c r="F136" s="60" t="str">
        <f>IF($B136="","",ROUND(SUMIFS(次果筐明细!$K$4:$K$603,次果筐明细!$C$4:$C$603,$B136,次果筐明细!$B$4:$B$603,"&gt;="&amp;$O$1,次果筐明细!$B$4:$B$603,"&lt;="&amp;$O$2),2))</f>
        <v/>
      </c>
      <c r="G136" s="26" t="str">
        <f t="shared" si="11"/>
        <v/>
      </c>
      <c r="H136" s="60" t="str">
        <f t="shared" si="12"/>
        <v/>
      </c>
      <c r="I136" s="26" t="str">
        <f t="shared" si="13"/>
        <v/>
      </c>
      <c r="J136" s="24" t="str">
        <f t="shared" si="14"/>
        <v/>
      </c>
      <c r="K136" s="41"/>
    </row>
    <row r="137" spans="1:11">
      <c r="A137" s="24" t="str">
        <f t="shared" si="10"/>
        <v/>
      </c>
      <c r="B137" s="24" t="str">
        <f>IFERROR(INDEX(_自动清单!$BW$4:$BW$253,ROW()-3),"")</f>
        <v/>
      </c>
      <c r="C137" s="26" t="str">
        <f>IF($B137="","",ROUND(SUMIFS(周转筐出入库明细!$S$4:$S$2004,周转筐出入库明细!$C$4:$C$2004,$B137,周转筐出入库明细!$B$4:$B$2004,"&gt;="&amp;$O$1,周转筐出入库明细!$B$4:$B$2004,"&lt;="&amp;$O$2),2))</f>
        <v/>
      </c>
      <c r="D137" s="60" t="str">
        <f>IF($B137="","",ROUND(SUMIFS(周转筐出入库明细!$T$4:$T$2004,周转筐出入库明细!$C$4:$C$2004,$B137,周转筐出入库明细!$B$4:$B$2004,"&gt;="&amp;$O$1,周转筐出入库明细!$B$4:$B$2004,"&lt;="&amp;$O$2),2))</f>
        <v/>
      </c>
      <c r="E137" s="26" t="str">
        <f>IF($B137="","",ROUND(SUMIFS(次果筐明细!$J$4:$J$603,次果筐明细!$C$4:$C$603,$B137,次果筐明细!$B$4:$B$603,"&gt;="&amp;$O$1,次果筐明细!$B$4:$B$603,"&lt;="&amp;$O$2),2))</f>
        <v/>
      </c>
      <c r="F137" s="60" t="str">
        <f>IF($B137="","",ROUND(SUMIFS(次果筐明细!$K$4:$K$603,次果筐明细!$C$4:$C$603,$B137,次果筐明细!$B$4:$B$603,"&gt;="&amp;$O$1,次果筐明细!$B$4:$B$603,"&lt;="&amp;$O$2),2))</f>
        <v/>
      </c>
      <c r="G137" s="26" t="str">
        <f t="shared" si="11"/>
        <v/>
      </c>
      <c r="H137" s="60" t="str">
        <f t="shared" si="12"/>
        <v/>
      </c>
      <c r="I137" s="26" t="str">
        <f t="shared" si="13"/>
        <v/>
      </c>
      <c r="J137" s="24" t="str">
        <f t="shared" si="14"/>
        <v/>
      </c>
      <c r="K137" s="41"/>
    </row>
    <row r="138" spans="1:11">
      <c r="A138" s="24" t="str">
        <f t="shared" si="10"/>
        <v/>
      </c>
      <c r="B138" s="24" t="str">
        <f>IFERROR(INDEX(_自动清单!$BW$4:$BW$253,ROW()-3),"")</f>
        <v/>
      </c>
      <c r="C138" s="26" t="str">
        <f>IF($B138="","",ROUND(SUMIFS(周转筐出入库明细!$S$4:$S$2004,周转筐出入库明细!$C$4:$C$2004,$B138,周转筐出入库明细!$B$4:$B$2004,"&gt;="&amp;$O$1,周转筐出入库明细!$B$4:$B$2004,"&lt;="&amp;$O$2),2))</f>
        <v/>
      </c>
      <c r="D138" s="60" t="str">
        <f>IF($B138="","",ROUND(SUMIFS(周转筐出入库明细!$T$4:$T$2004,周转筐出入库明细!$C$4:$C$2004,$B138,周转筐出入库明细!$B$4:$B$2004,"&gt;="&amp;$O$1,周转筐出入库明细!$B$4:$B$2004,"&lt;="&amp;$O$2),2))</f>
        <v/>
      </c>
      <c r="E138" s="26" t="str">
        <f>IF($B138="","",ROUND(SUMIFS(次果筐明细!$J$4:$J$603,次果筐明细!$C$4:$C$603,$B138,次果筐明细!$B$4:$B$603,"&gt;="&amp;$O$1,次果筐明细!$B$4:$B$603,"&lt;="&amp;$O$2),2))</f>
        <v/>
      </c>
      <c r="F138" s="60" t="str">
        <f>IF($B138="","",ROUND(SUMIFS(次果筐明细!$K$4:$K$603,次果筐明细!$C$4:$C$603,$B138,次果筐明细!$B$4:$B$603,"&gt;="&amp;$O$1,次果筐明细!$B$4:$B$603,"&lt;="&amp;$O$2),2))</f>
        <v/>
      </c>
      <c r="G138" s="26" t="str">
        <f t="shared" si="11"/>
        <v/>
      </c>
      <c r="H138" s="60" t="str">
        <f t="shared" si="12"/>
        <v/>
      </c>
      <c r="I138" s="26" t="str">
        <f t="shared" si="13"/>
        <v/>
      </c>
      <c r="J138" s="24" t="str">
        <f t="shared" si="14"/>
        <v/>
      </c>
      <c r="K138" s="41"/>
    </row>
    <row r="139" spans="1:11">
      <c r="A139" s="24" t="str">
        <f t="shared" si="10"/>
        <v/>
      </c>
      <c r="B139" s="24" t="str">
        <f>IFERROR(INDEX(_自动清单!$BW$4:$BW$253,ROW()-3),"")</f>
        <v/>
      </c>
      <c r="C139" s="26" t="str">
        <f>IF($B139="","",ROUND(SUMIFS(周转筐出入库明细!$S$4:$S$2004,周转筐出入库明细!$C$4:$C$2004,$B139,周转筐出入库明细!$B$4:$B$2004,"&gt;="&amp;$O$1,周转筐出入库明细!$B$4:$B$2004,"&lt;="&amp;$O$2),2))</f>
        <v/>
      </c>
      <c r="D139" s="60" t="str">
        <f>IF($B139="","",ROUND(SUMIFS(周转筐出入库明细!$T$4:$T$2004,周转筐出入库明细!$C$4:$C$2004,$B139,周转筐出入库明细!$B$4:$B$2004,"&gt;="&amp;$O$1,周转筐出入库明细!$B$4:$B$2004,"&lt;="&amp;$O$2),2))</f>
        <v/>
      </c>
      <c r="E139" s="26" t="str">
        <f>IF($B139="","",ROUND(SUMIFS(次果筐明细!$J$4:$J$603,次果筐明细!$C$4:$C$603,$B139,次果筐明细!$B$4:$B$603,"&gt;="&amp;$O$1,次果筐明细!$B$4:$B$603,"&lt;="&amp;$O$2),2))</f>
        <v/>
      </c>
      <c r="F139" s="60" t="str">
        <f>IF($B139="","",ROUND(SUMIFS(次果筐明细!$K$4:$K$603,次果筐明细!$C$4:$C$603,$B139,次果筐明细!$B$4:$B$603,"&gt;="&amp;$O$1,次果筐明细!$B$4:$B$603,"&lt;="&amp;$O$2),2))</f>
        <v/>
      </c>
      <c r="G139" s="26" t="str">
        <f t="shared" si="11"/>
        <v/>
      </c>
      <c r="H139" s="60" t="str">
        <f t="shared" si="12"/>
        <v/>
      </c>
      <c r="I139" s="26" t="str">
        <f t="shared" si="13"/>
        <v/>
      </c>
      <c r="J139" s="24" t="str">
        <f t="shared" si="14"/>
        <v/>
      </c>
      <c r="K139" s="41"/>
    </row>
    <row r="140" spans="1:11">
      <c r="A140" s="24" t="str">
        <f t="shared" si="10"/>
        <v/>
      </c>
      <c r="B140" s="24" t="str">
        <f>IFERROR(INDEX(_自动清单!$BW$4:$BW$253,ROW()-3),"")</f>
        <v/>
      </c>
      <c r="C140" s="26" t="str">
        <f>IF($B140="","",ROUND(SUMIFS(周转筐出入库明细!$S$4:$S$2004,周转筐出入库明细!$C$4:$C$2004,$B140,周转筐出入库明细!$B$4:$B$2004,"&gt;="&amp;$O$1,周转筐出入库明细!$B$4:$B$2004,"&lt;="&amp;$O$2),2))</f>
        <v/>
      </c>
      <c r="D140" s="60" t="str">
        <f>IF($B140="","",ROUND(SUMIFS(周转筐出入库明细!$T$4:$T$2004,周转筐出入库明细!$C$4:$C$2004,$B140,周转筐出入库明细!$B$4:$B$2004,"&gt;="&amp;$O$1,周转筐出入库明细!$B$4:$B$2004,"&lt;="&amp;$O$2),2))</f>
        <v/>
      </c>
      <c r="E140" s="26" t="str">
        <f>IF($B140="","",ROUND(SUMIFS(次果筐明细!$J$4:$J$603,次果筐明细!$C$4:$C$603,$B140,次果筐明细!$B$4:$B$603,"&gt;="&amp;$O$1,次果筐明细!$B$4:$B$603,"&lt;="&amp;$O$2),2))</f>
        <v/>
      </c>
      <c r="F140" s="60" t="str">
        <f>IF($B140="","",ROUND(SUMIFS(次果筐明细!$K$4:$K$603,次果筐明细!$C$4:$C$603,$B140,次果筐明细!$B$4:$B$603,"&gt;="&amp;$O$1,次果筐明细!$B$4:$B$603,"&lt;="&amp;$O$2),2))</f>
        <v/>
      </c>
      <c r="G140" s="26" t="str">
        <f t="shared" si="11"/>
        <v/>
      </c>
      <c r="H140" s="60" t="str">
        <f t="shared" si="12"/>
        <v/>
      </c>
      <c r="I140" s="26" t="str">
        <f t="shared" si="13"/>
        <v/>
      </c>
      <c r="J140" s="24" t="str">
        <f t="shared" si="14"/>
        <v/>
      </c>
      <c r="K140" s="41"/>
    </row>
    <row r="141" spans="1:11">
      <c r="A141" s="24" t="str">
        <f t="shared" si="10"/>
        <v/>
      </c>
      <c r="B141" s="24" t="str">
        <f>IFERROR(INDEX(_自动清单!$BW$4:$BW$253,ROW()-3),"")</f>
        <v/>
      </c>
      <c r="C141" s="26" t="str">
        <f>IF($B141="","",ROUND(SUMIFS(周转筐出入库明细!$S$4:$S$2004,周转筐出入库明细!$C$4:$C$2004,$B141,周转筐出入库明细!$B$4:$B$2004,"&gt;="&amp;$O$1,周转筐出入库明细!$B$4:$B$2004,"&lt;="&amp;$O$2),2))</f>
        <v/>
      </c>
      <c r="D141" s="60" t="str">
        <f>IF($B141="","",ROUND(SUMIFS(周转筐出入库明细!$T$4:$T$2004,周转筐出入库明细!$C$4:$C$2004,$B141,周转筐出入库明细!$B$4:$B$2004,"&gt;="&amp;$O$1,周转筐出入库明细!$B$4:$B$2004,"&lt;="&amp;$O$2),2))</f>
        <v/>
      </c>
      <c r="E141" s="26" t="str">
        <f>IF($B141="","",ROUND(SUMIFS(次果筐明细!$J$4:$J$603,次果筐明细!$C$4:$C$603,$B141,次果筐明细!$B$4:$B$603,"&gt;="&amp;$O$1,次果筐明细!$B$4:$B$603,"&lt;="&amp;$O$2),2))</f>
        <v/>
      </c>
      <c r="F141" s="60" t="str">
        <f>IF($B141="","",ROUND(SUMIFS(次果筐明细!$K$4:$K$603,次果筐明细!$C$4:$C$603,$B141,次果筐明细!$B$4:$B$603,"&gt;="&amp;$O$1,次果筐明细!$B$4:$B$603,"&lt;="&amp;$O$2),2))</f>
        <v/>
      </c>
      <c r="G141" s="26" t="str">
        <f t="shared" si="11"/>
        <v/>
      </c>
      <c r="H141" s="60" t="str">
        <f t="shared" si="12"/>
        <v/>
      </c>
      <c r="I141" s="26" t="str">
        <f t="shared" si="13"/>
        <v/>
      </c>
      <c r="J141" s="24" t="str">
        <f t="shared" si="14"/>
        <v/>
      </c>
      <c r="K141" s="41"/>
    </row>
    <row r="142" spans="1:11">
      <c r="A142" s="24" t="str">
        <f t="shared" si="10"/>
        <v/>
      </c>
      <c r="B142" s="24" t="str">
        <f>IFERROR(INDEX(_自动清单!$BW$4:$BW$253,ROW()-3),"")</f>
        <v/>
      </c>
      <c r="C142" s="26" t="str">
        <f>IF($B142="","",ROUND(SUMIFS(周转筐出入库明细!$S$4:$S$2004,周转筐出入库明细!$C$4:$C$2004,$B142,周转筐出入库明细!$B$4:$B$2004,"&gt;="&amp;$O$1,周转筐出入库明细!$B$4:$B$2004,"&lt;="&amp;$O$2),2))</f>
        <v/>
      </c>
      <c r="D142" s="60" t="str">
        <f>IF($B142="","",ROUND(SUMIFS(周转筐出入库明细!$T$4:$T$2004,周转筐出入库明细!$C$4:$C$2004,$B142,周转筐出入库明细!$B$4:$B$2004,"&gt;="&amp;$O$1,周转筐出入库明细!$B$4:$B$2004,"&lt;="&amp;$O$2),2))</f>
        <v/>
      </c>
      <c r="E142" s="26" t="str">
        <f>IF($B142="","",ROUND(SUMIFS(次果筐明细!$J$4:$J$603,次果筐明细!$C$4:$C$603,$B142,次果筐明细!$B$4:$B$603,"&gt;="&amp;$O$1,次果筐明细!$B$4:$B$603,"&lt;="&amp;$O$2),2))</f>
        <v/>
      </c>
      <c r="F142" s="60" t="str">
        <f>IF($B142="","",ROUND(SUMIFS(次果筐明细!$K$4:$K$603,次果筐明细!$C$4:$C$603,$B142,次果筐明细!$B$4:$B$603,"&gt;="&amp;$O$1,次果筐明细!$B$4:$B$603,"&lt;="&amp;$O$2),2))</f>
        <v/>
      </c>
      <c r="G142" s="26" t="str">
        <f t="shared" si="11"/>
        <v/>
      </c>
      <c r="H142" s="60" t="str">
        <f t="shared" si="12"/>
        <v/>
      </c>
      <c r="I142" s="26" t="str">
        <f t="shared" si="13"/>
        <v/>
      </c>
      <c r="J142" s="24" t="str">
        <f t="shared" si="14"/>
        <v/>
      </c>
      <c r="K142" s="41"/>
    </row>
    <row r="143" spans="1:11">
      <c r="A143" s="24" t="str">
        <f t="shared" si="10"/>
        <v/>
      </c>
      <c r="B143" s="24" t="str">
        <f>IFERROR(INDEX(_自动清单!$BW$4:$BW$253,ROW()-3),"")</f>
        <v/>
      </c>
      <c r="C143" s="26" t="str">
        <f>IF($B143="","",ROUND(SUMIFS(周转筐出入库明细!$S$4:$S$2004,周转筐出入库明细!$C$4:$C$2004,$B143,周转筐出入库明细!$B$4:$B$2004,"&gt;="&amp;$O$1,周转筐出入库明细!$B$4:$B$2004,"&lt;="&amp;$O$2),2))</f>
        <v/>
      </c>
      <c r="D143" s="60" t="str">
        <f>IF($B143="","",ROUND(SUMIFS(周转筐出入库明细!$T$4:$T$2004,周转筐出入库明细!$C$4:$C$2004,$B143,周转筐出入库明细!$B$4:$B$2004,"&gt;="&amp;$O$1,周转筐出入库明细!$B$4:$B$2004,"&lt;="&amp;$O$2),2))</f>
        <v/>
      </c>
      <c r="E143" s="26" t="str">
        <f>IF($B143="","",ROUND(SUMIFS(次果筐明细!$J$4:$J$603,次果筐明细!$C$4:$C$603,$B143,次果筐明细!$B$4:$B$603,"&gt;="&amp;$O$1,次果筐明细!$B$4:$B$603,"&lt;="&amp;$O$2),2))</f>
        <v/>
      </c>
      <c r="F143" s="60" t="str">
        <f>IF($B143="","",ROUND(SUMIFS(次果筐明细!$K$4:$K$603,次果筐明细!$C$4:$C$603,$B143,次果筐明细!$B$4:$B$603,"&gt;="&amp;$O$1,次果筐明细!$B$4:$B$603,"&lt;="&amp;$O$2),2))</f>
        <v/>
      </c>
      <c r="G143" s="26" t="str">
        <f t="shared" si="11"/>
        <v/>
      </c>
      <c r="H143" s="60" t="str">
        <f t="shared" si="12"/>
        <v/>
      </c>
      <c r="I143" s="26" t="str">
        <f t="shared" si="13"/>
        <v/>
      </c>
      <c r="J143" s="24" t="str">
        <f t="shared" si="14"/>
        <v/>
      </c>
      <c r="K143" s="41"/>
    </row>
    <row r="144" spans="1:11">
      <c r="A144" s="24" t="str">
        <f t="shared" si="10"/>
        <v/>
      </c>
      <c r="B144" s="24" t="str">
        <f>IFERROR(INDEX(_自动清单!$BW$4:$BW$253,ROW()-3),"")</f>
        <v/>
      </c>
      <c r="C144" s="26" t="str">
        <f>IF($B144="","",ROUND(SUMIFS(周转筐出入库明细!$S$4:$S$2004,周转筐出入库明细!$C$4:$C$2004,$B144,周转筐出入库明细!$B$4:$B$2004,"&gt;="&amp;$O$1,周转筐出入库明细!$B$4:$B$2004,"&lt;="&amp;$O$2),2))</f>
        <v/>
      </c>
      <c r="D144" s="60" t="str">
        <f>IF($B144="","",ROUND(SUMIFS(周转筐出入库明细!$T$4:$T$2004,周转筐出入库明细!$C$4:$C$2004,$B144,周转筐出入库明细!$B$4:$B$2004,"&gt;="&amp;$O$1,周转筐出入库明细!$B$4:$B$2004,"&lt;="&amp;$O$2),2))</f>
        <v/>
      </c>
      <c r="E144" s="26" t="str">
        <f>IF($B144="","",ROUND(SUMIFS(次果筐明细!$J$4:$J$603,次果筐明细!$C$4:$C$603,$B144,次果筐明细!$B$4:$B$603,"&gt;="&amp;$O$1,次果筐明细!$B$4:$B$603,"&lt;="&amp;$O$2),2))</f>
        <v/>
      </c>
      <c r="F144" s="60" t="str">
        <f>IF($B144="","",ROUND(SUMIFS(次果筐明细!$K$4:$K$603,次果筐明细!$C$4:$C$603,$B144,次果筐明细!$B$4:$B$603,"&gt;="&amp;$O$1,次果筐明细!$B$4:$B$603,"&lt;="&amp;$O$2),2))</f>
        <v/>
      </c>
      <c r="G144" s="26" t="str">
        <f t="shared" si="11"/>
        <v/>
      </c>
      <c r="H144" s="60" t="str">
        <f t="shared" si="12"/>
        <v/>
      </c>
      <c r="I144" s="26" t="str">
        <f t="shared" si="13"/>
        <v/>
      </c>
      <c r="J144" s="24" t="str">
        <f t="shared" si="14"/>
        <v/>
      </c>
      <c r="K144" s="41"/>
    </row>
    <row r="145" spans="1:11">
      <c r="A145" s="24" t="str">
        <f t="shared" si="10"/>
        <v/>
      </c>
      <c r="B145" s="24" t="str">
        <f>IFERROR(INDEX(_自动清单!$BW$4:$BW$253,ROW()-3),"")</f>
        <v/>
      </c>
      <c r="C145" s="26" t="str">
        <f>IF($B145="","",ROUND(SUMIFS(周转筐出入库明细!$S$4:$S$2004,周转筐出入库明细!$C$4:$C$2004,$B145,周转筐出入库明细!$B$4:$B$2004,"&gt;="&amp;$O$1,周转筐出入库明细!$B$4:$B$2004,"&lt;="&amp;$O$2),2))</f>
        <v/>
      </c>
      <c r="D145" s="60" t="str">
        <f>IF($B145="","",ROUND(SUMIFS(周转筐出入库明细!$T$4:$T$2004,周转筐出入库明细!$C$4:$C$2004,$B145,周转筐出入库明细!$B$4:$B$2004,"&gt;="&amp;$O$1,周转筐出入库明细!$B$4:$B$2004,"&lt;="&amp;$O$2),2))</f>
        <v/>
      </c>
      <c r="E145" s="26" t="str">
        <f>IF($B145="","",ROUND(SUMIFS(次果筐明细!$J$4:$J$603,次果筐明细!$C$4:$C$603,$B145,次果筐明细!$B$4:$B$603,"&gt;="&amp;$O$1,次果筐明细!$B$4:$B$603,"&lt;="&amp;$O$2),2))</f>
        <v/>
      </c>
      <c r="F145" s="60" t="str">
        <f>IF($B145="","",ROUND(SUMIFS(次果筐明细!$K$4:$K$603,次果筐明细!$C$4:$C$603,$B145,次果筐明细!$B$4:$B$603,"&gt;="&amp;$O$1,次果筐明细!$B$4:$B$603,"&lt;="&amp;$O$2),2))</f>
        <v/>
      </c>
      <c r="G145" s="26" t="str">
        <f t="shared" si="11"/>
        <v/>
      </c>
      <c r="H145" s="60" t="str">
        <f t="shared" si="12"/>
        <v/>
      </c>
      <c r="I145" s="26" t="str">
        <f t="shared" si="13"/>
        <v/>
      </c>
      <c r="J145" s="24" t="str">
        <f t="shared" si="14"/>
        <v/>
      </c>
      <c r="K145" s="41"/>
    </row>
    <row r="146" spans="1:11">
      <c r="A146" s="24" t="str">
        <f t="shared" si="10"/>
        <v/>
      </c>
      <c r="B146" s="24" t="str">
        <f>IFERROR(INDEX(_自动清单!$BW$4:$BW$253,ROW()-3),"")</f>
        <v/>
      </c>
      <c r="C146" s="26" t="str">
        <f>IF($B146="","",ROUND(SUMIFS(周转筐出入库明细!$S$4:$S$2004,周转筐出入库明细!$C$4:$C$2004,$B146,周转筐出入库明细!$B$4:$B$2004,"&gt;="&amp;$O$1,周转筐出入库明细!$B$4:$B$2004,"&lt;="&amp;$O$2),2))</f>
        <v/>
      </c>
      <c r="D146" s="60" t="str">
        <f>IF($B146="","",ROUND(SUMIFS(周转筐出入库明细!$T$4:$T$2004,周转筐出入库明细!$C$4:$C$2004,$B146,周转筐出入库明细!$B$4:$B$2004,"&gt;="&amp;$O$1,周转筐出入库明细!$B$4:$B$2004,"&lt;="&amp;$O$2),2))</f>
        <v/>
      </c>
      <c r="E146" s="26" t="str">
        <f>IF($B146="","",ROUND(SUMIFS(次果筐明细!$J$4:$J$603,次果筐明细!$C$4:$C$603,$B146,次果筐明细!$B$4:$B$603,"&gt;="&amp;$O$1,次果筐明细!$B$4:$B$603,"&lt;="&amp;$O$2),2))</f>
        <v/>
      </c>
      <c r="F146" s="60" t="str">
        <f>IF($B146="","",ROUND(SUMIFS(次果筐明细!$K$4:$K$603,次果筐明细!$C$4:$C$603,$B146,次果筐明细!$B$4:$B$603,"&gt;="&amp;$O$1,次果筐明细!$B$4:$B$603,"&lt;="&amp;$O$2),2))</f>
        <v/>
      </c>
      <c r="G146" s="26" t="str">
        <f t="shared" si="11"/>
        <v/>
      </c>
      <c r="H146" s="60" t="str">
        <f t="shared" si="12"/>
        <v/>
      </c>
      <c r="I146" s="26" t="str">
        <f t="shared" si="13"/>
        <v/>
      </c>
      <c r="J146" s="24" t="str">
        <f t="shared" si="14"/>
        <v/>
      </c>
      <c r="K146" s="41"/>
    </row>
    <row r="147" spans="1:11">
      <c r="A147" s="24" t="str">
        <f t="shared" si="10"/>
        <v/>
      </c>
      <c r="B147" s="24" t="str">
        <f>IFERROR(INDEX(_自动清单!$BW$4:$BW$253,ROW()-3),"")</f>
        <v/>
      </c>
      <c r="C147" s="26" t="str">
        <f>IF($B147="","",ROUND(SUMIFS(周转筐出入库明细!$S$4:$S$2004,周转筐出入库明细!$C$4:$C$2004,$B147,周转筐出入库明细!$B$4:$B$2004,"&gt;="&amp;$O$1,周转筐出入库明细!$B$4:$B$2004,"&lt;="&amp;$O$2),2))</f>
        <v/>
      </c>
      <c r="D147" s="60" t="str">
        <f>IF($B147="","",ROUND(SUMIFS(周转筐出入库明细!$T$4:$T$2004,周转筐出入库明细!$C$4:$C$2004,$B147,周转筐出入库明细!$B$4:$B$2004,"&gt;="&amp;$O$1,周转筐出入库明细!$B$4:$B$2004,"&lt;="&amp;$O$2),2))</f>
        <v/>
      </c>
      <c r="E147" s="26" t="str">
        <f>IF($B147="","",ROUND(SUMIFS(次果筐明细!$J$4:$J$603,次果筐明细!$C$4:$C$603,$B147,次果筐明细!$B$4:$B$603,"&gt;="&amp;$O$1,次果筐明细!$B$4:$B$603,"&lt;="&amp;$O$2),2))</f>
        <v/>
      </c>
      <c r="F147" s="60" t="str">
        <f>IF($B147="","",ROUND(SUMIFS(次果筐明细!$K$4:$K$603,次果筐明细!$C$4:$C$603,$B147,次果筐明细!$B$4:$B$603,"&gt;="&amp;$O$1,次果筐明细!$B$4:$B$603,"&lt;="&amp;$O$2),2))</f>
        <v/>
      </c>
      <c r="G147" s="26" t="str">
        <f t="shared" si="11"/>
        <v/>
      </c>
      <c r="H147" s="60" t="str">
        <f t="shared" si="12"/>
        <v/>
      </c>
      <c r="I147" s="26" t="str">
        <f t="shared" si="13"/>
        <v/>
      </c>
      <c r="J147" s="24" t="str">
        <f t="shared" si="14"/>
        <v/>
      </c>
      <c r="K147" s="41"/>
    </row>
    <row r="148" spans="1:11">
      <c r="A148" s="24" t="str">
        <f t="shared" si="10"/>
        <v/>
      </c>
      <c r="B148" s="24" t="str">
        <f>IFERROR(INDEX(_自动清单!$BW$4:$BW$253,ROW()-3),"")</f>
        <v/>
      </c>
      <c r="C148" s="26" t="str">
        <f>IF($B148="","",ROUND(SUMIFS(周转筐出入库明细!$S$4:$S$2004,周转筐出入库明细!$C$4:$C$2004,$B148,周转筐出入库明细!$B$4:$B$2004,"&gt;="&amp;$O$1,周转筐出入库明细!$B$4:$B$2004,"&lt;="&amp;$O$2),2))</f>
        <v/>
      </c>
      <c r="D148" s="60" t="str">
        <f>IF($B148="","",ROUND(SUMIFS(周转筐出入库明细!$T$4:$T$2004,周转筐出入库明细!$C$4:$C$2004,$B148,周转筐出入库明细!$B$4:$B$2004,"&gt;="&amp;$O$1,周转筐出入库明细!$B$4:$B$2004,"&lt;="&amp;$O$2),2))</f>
        <v/>
      </c>
      <c r="E148" s="26" t="str">
        <f>IF($B148="","",ROUND(SUMIFS(次果筐明细!$J$4:$J$603,次果筐明细!$C$4:$C$603,$B148,次果筐明细!$B$4:$B$603,"&gt;="&amp;$O$1,次果筐明细!$B$4:$B$603,"&lt;="&amp;$O$2),2))</f>
        <v/>
      </c>
      <c r="F148" s="60" t="str">
        <f>IF($B148="","",ROUND(SUMIFS(次果筐明细!$K$4:$K$603,次果筐明细!$C$4:$C$603,$B148,次果筐明细!$B$4:$B$603,"&gt;="&amp;$O$1,次果筐明细!$B$4:$B$603,"&lt;="&amp;$O$2),2))</f>
        <v/>
      </c>
      <c r="G148" s="26" t="str">
        <f t="shared" si="11"/>
        <v/>
      </c>
      <c r="H148" s="60" t="str">
        <f t="shared" si="12"/>
        <v/>
      </c>
      <c r="I148" s="26" t="str">
        <f t="shared" si="13"/>
        <v/>
      </c>
      <c r="J148" s="24" t="str">
        <f t="shared" si="14"/>
        <v/>
      </c>
      <c r="K148" s="41"/>
    </row>
    <row r="149" spans="1:11">
      <c r="A149" s="24" t="str">
        <f t="shared" si="10"/>
        <v/>
      </c>
      <c r="B149" s="24" t="str">
        <f>IFERROR(INDEX(_自动清单!$BW$4:$BW$253,ROW()-3),"")</f>
        <v/>
      </c>
      <c r="C149" s="26" t="str">
        <f>IF($B149="","",ROUND(SUMIFS(周转筐出入库明细!$S$4:$S$2004,周转筐出入库明细!$C$4:$C$2004,$B149,周转筐出入库明细!$B$4:$B$2004,"&gt;="&amp;$O$1,周转筐出入库明细!$B$4:$B$2004,"&lt;="&amp;$O$2),2))</f>
        <v/>
      </c>
      <c r="D149" s="60" t="str">
        <f>IF($B149="","",ROUND(SUMIFS(周转筐出入库明细!$T$4:$T$2004,周转筐出入库明细!$C$4:$C$2004,$B149,周转筐出入库明细!$B$4:$B$2004,"&gt;="&amp;$O$1,周转筐出入库明细!$B$4:$B$2004,"&lt;="&amp;$O$2),2))</f>
        <v/>
      </c>
      <c r="E149" s="26" t="str">
        <f>IF($B149="","",ROUND(SUMIFS(次果筐明细!$J$4:$J$603,次果筐明细!$C$4:$C$603,$B149,次果筐明细!$B$4:$B$603,"&gt;="&amp;$O$1,次果筐明细!$B$4:$B$603,"&lt;="&amp;$O$2),2))</f>
        <v/>
      </c>
      <c r="F149" s="60" t="str">
        <f>IF($B149="","",ROUND(SUMIFS(次果筐明细!$K$4:$K$603,次果筐明细!$C$4:$C$603,$B149,次果筐明细!$B$4:$B$603,"&gt;="&amp;$O$1,次果筐明细!$B$4:$B$603,"&lt;="&amp;$O$2),2))</f>
        <v/>
      </c>
      <c r="G149" s="26" t="str">
        <f t="shared" si="11"/>
        <v/>
      </c>
      <c r="H149" s="60" t="str">
        <f t="shared" si="12"/>
        <v/>
      </c>
      <c r="I149" s="26" t="str">
        <f t="shared" si="13"/>
        <v/>
      </c>
      <c r="J149" s="24" t="str">
        <f t="shared" si="14"/>
        <v/>
      </c>
      <c r="K149" s="41"/>
    </row>
    <row r="150" spans="1:11">
      <c r="A150" s="24" t="str">
        <f t="shared" si="10"/>
        <v/>
      </c>
      <c r="B150" s="24" t="str">
        <f>IFERROR(INDEX(_自动清单!$BW$4:$BW$253,ROW()-3),"")</f>
        <v/>
      </c>
      <c r="C150" s="26" t="str">
        <f>IF($B150="","",ROUND(SUMIFS(周转筐出入库明细!$S$4:$S$2004,周转筐出入库明细!$C$4:$C$2004,$B150,周转筐出入库明细!$B$4:$B$2004,"&gt;="&amp;$O$1,周转筐出入库明细!$B$4:$B$2004,"&lt;="&amp;$O$2),2))</f>
        <v/>
      </c>
      <c r="D150" s="60" t="str">
        <f>IF($B150="","",ROUND(SUMIFS(周转筐出入库明细!$T$4:$T$2004,周转筐出入库明细!$C$4:$C$2004,$B150,周转筐出入库明细!$B$4:$B$2004,"&gt;="&amp;$O$1,周转筐出入库明细!$B$4:$B$2004,"&lt;="&amp;$O$2),2))</f>
        <v/>
      </c>
      <c r="E150" s="26" t="str">
        <f>IF($B150="","",ROUND(SUMIFS(次果筐明细!$J$4:$J$603,次果筐明细!$C$4:$C$603,$B150,次果筐明细!$B$4:$B$603,"&gt;="&amp;$O$1,次果筐明细!$B$4:$B$603,"&lt;="&amp;$O$2),2))</f>
        <v/>
      </c>
      <c r="F150" s="60" t="str">
        <f>IF($B150="","",ROUND(SUMIFS(次果筐明细!$K$4:$K$603,次果筐明细!$C$4:$C$603,$B150,次果筐明细!$B$4:$B$603,"&gt;="&amp;$O$1,次果筐明细!$B$4:$B$603,"&lt;="&amp;$O$2),2))</f>
        <v/>
      </c>
      <c r="G150" s="26" t="str">
        <f t="shared" si="11"/>
        <v/>
      </c>
      <c r="H150" s="60" t="str">
        <f t="shared" si="12"/>
        <v/>
      </c>
      <c r="I150" s="26" t="str">
        <f t="shared" si="13"/>
        <v/>
      </c>
      <c r="J150" s="24" t="str">
        <f t="shared" si="14"/>
        <v/>
      </c>
      <c r="K150" s="41"/>
    </row>
    <row r="151" spans="1:11">
      <c r="A151" s="24" t="str">
        <f t="shared" si="10"/>
        <v/>
      </c>
      <c r="B151" s="24" t="str">
        <f>IFERROR(INDEX(_自动清单!$BW$4:$BW$253,ROW()-3),"")</f>
        <v/>
      </c>
      <c r="C151" s="26" t="str">
        <f>IF($B151="","",ROUND(SUMIFS(周转筐出入库明细!$S$4:$S$2004,周转筐出入库明细!$C$4:$C$2004,$B151,周转筐出入库明细!$B$4:$B$2004,"&gt;="&amp;$O$1,周转筐出入库明细!$B$4:$B$2004,"&lt;="&amp;$O$2),2))</f>
        <v/>
      </c>
      <c r="D151" s="60" t="str">
        <f>IF($B151="","",ROUND(SUMIFS(周转筐出入库明细!$T$4:$T$2004,周转筐出入库明细!$C$4:$C$2004,$B151,周转筐出入库明细!$B$4:$B$2004,"&gt;="&amp;$O$1,周转筐出入库明细!$B$4:$B$2004,"&lt;="&amp;$O$2),2))</f>
        <v/>
      </c>
      <c r="E151" s="26" t="str">
        <f>IF($B151="","",ROUND(SUMIFS(次果筐明细!$J$4:$J$603,次果筐明细!$C$4:$C$603,$B151,次果筐明细!$B$4:$B$603,"&gt;="&amp;$O$1,次果筐明细!$B$4:$B$603,"&lt;="&amp;$O$2),2))</f>
        <v/>
      </c>
      <c r="F151" s="60" t="str">
        <f>IF($B151="","",ROUND(SUMIFS(次果筐明细!$K$4:$K$603,次果筐明细!$C$4:$C$603,$B151,次果筐明细!$B$4:$B$603,"&gt;="&amp;$O$1,次果筐明细!$B$4:$B$603,"&lt;="&amp;$O$2),2))</f>
        <v/>
      </c>
      <c r="G151" s="26" t="str">
        <f t="shared" si="11"/>
        <v/>
      </c>
      <c r="H151" s="60" t="str">
        <f t="shared" si="12"/>
        <v/>
      </c>
      <c r="I151" s="26" t="str">
        <f t="shared" si="13"/>
        <v/>
      </c>
      <c r="J151" s="24" t="str">
        <f t="shared" si="14"/>
        <v/>
      </c>
      <c r="K151" s="41"/>
    </row>
    <row r="152" spans="1:11">
      <c r="A152" s="24" t="str">
        <f t="shared" si="10"/>
        <v/>
      </c>
      <c r="B152" s="24" t="str">
        <f>IFERROR(INDEX(_自动清单!$BW$4:$BW$253,ROW()-3),"")</f>
        <v/>
      </c>
      <c r="C152" s="26" t="str">
        <f>IF($B152="","",ROUND(SUMIFS(周转筐出入库明细!$S$4:$S$2004,周转筐出入库明细!$C$4:$C$2004,$B152,周转筐出入库明细!$B$4:$B$2004,"&gt;="&amp;$O$1,周转筐出入库明细!$B$4:$B$2004,"&lt;="&amp;$O$2),2))</f>
        <v/>
      </c>
      <c r="D152" s="60" t="str">
        <f>IF($B152="","",ROUND(SUMIFS(周转筐出入库明细!$T$4:$T$2004,周转筐出入库明细!$C$4:$C$2004,$B152,周转筐出入库明细!$B$4:$B$2004,"&gt;="&amp;$O$1,周转筐出入库明细!$B$4:$B$2004,"&lt;="&amp;$O$2),2))</f>
        <v/>
      </c>
      <c r="E152" s="26" t="str">
        <f>IF($B152="","",ROUND(SUMIFS(次果筐明细!$J$4:$J$603,次果筐明细!$C$4:$C$603,$B152,次果筐明细!$B$4:$B$603,"&gt;="&amp;$O$1,次果筐明细!$B$4:$B$603,"&lt;="&amp;$O$2),2))</f>
        <v/>
      </c>
      <c r="F152" s="60" t="str">
        <f>IF($B152="","",ROUND(SUMIFS(次果筐明细!$K$4:$K$603,次果筐明细!$C$4:$C$603,$B152,次果筐明细!$B$4:$B$603,"&gt;="&amp;$O$1,次果筐明细!$B$4:$B$603,"&lt;="&amp;$O$2),2))</f>
        <v/>
      </c>
      <c r="G152" s="26" t="str">
        <f t="shared" si="11"/>
        <v/>
      </c>
      <c r="H152" s="60" t="str">
        <f t="shared" si="12"/>
        <v/>
      </c>
      <c r="I152" s="26" t="str">
        <f t="shared" si="13"/>
        <v/>
      </c>
      <c r="J152" s="24" t="str">
        <f t="shared" si="14"/>
        <v/>
      </c>
      <c r="K152" s="41"/>
    </row>
    <row r="153" spans="1:11">
      <c r="A153" s="24" t="str">
        <f t="shared" si="10"/>
        <v/>
      </c>
      <c r="B153" s="24" t="str">
        <f>IFERROR(INDEX(_自动清单!$BW$4:$BW$253,ROW()-3),"")</f>
        <v/>
      </c>
      <c r="C153" s="26" t="str">
        <f>IF($B153="","",ROUND(SUMIFS(周转筐出入库明细!$S$4:$S$2004,周转筐出入库明细!$C$4:$C$2004,$B153,周转筐出入库明细!$B$4:$B$2004,"&gt;="&amp;$O$1,周转筐出入库明细!$B$4:$B$2004,"&lt;="&amp;$O$2),2))</f>
        <v/>
      </c>
      <c r="D153" s="60" t="str">
        <f>IF($B153="","",ROUND(SUMIFS(周转筐出入库明细!$T$4:$T$2004,周转筐出入库明细!$C$4:$C$2004,$B153,周转筐出入库明细!$B$4:$B$2004,"&gt;="&amp;$O$1,周转筐出入库明细!$B$4:$B$2004,"&lt;="&amp;$O$2),2))</f>
        <v/>
      </c>
      <c r="E153" s="26" t="str">
        <f>IF($B153="","",ROUND(SUMIFS(次果筐明细!$J$4:$J$603,次果筐明细!$C$4:$C$603,$B153,次果筐明细!$B$4:$B$603,"&gt;="&amp;$O$1,次果筐明细!$B$4:$B$603,"&lt;="&amp;$O$2),2))</f>
        <v/>
      </c>
      <c r="F153" s="60" t="str">
        <f>IF($B153="","",ROUND(SUMIFS(次果筐明细!$K$4:$K$603,次果筐明细!$C$4:$C$603,$B153,次果筐明细!$B$4:$B$603,"&gt;="&amp;$O$1,次果筐明细!$B$4:$B$603,"&lt;="&amp;$O$2),2))</f>
        <v/>
      </c>
      <c r="G153" s="26" t="str">
        <f t="shared" si="11"/>
        <v/>
      </c>
      <c r="H153" s="60" t="str">
        <f t="shared" si="12"/>
        <v/>
      </c>
      <c r="I153" s="26" t="str">
        <f t="shared" si="13"/>
        <v/>
      </c>
      <c r="J153" s="24" t="str">
        <f t="shared" si="14"/>
        <v/>
      </c>
      <c r="K153" s="41"/>
    </row>
    <row r="154" spans="1:11">
      <c r="A154" s="24" t="str">
        <f t="shared" si="10"/>
        <v/>
      </c>
      <c r="B154" s="24" t="str">
        <f>IFERROR(INDEX(_自动清单!$BW$4:$BW$253,ROW()-3),"")</f>
        <v/>
      </c>
      <c r="C154" s="26" t="str">
        <f>IF($B154="","",ROUND(SUMIFS(周转筐出入库明细!$S$4:$S$2004,周转筐出入库明细!$C$4:$C$2004,$B154,周转筐出入库明细!$B$4:$B$2004,"&gt;="&amp;$O$1,周转筐出入库明细!$B$4:$B$2004,"&lt;="&amp;$O$2),2))</f>
        <v/>
      </c>
      <c r="D154" s="60" t="str">
        <f>IF($B154="","",ROUND(SUMIFS(周转筐出入库明细!$T$4:$T$2004,周转筐出入库明细!$C$4:$C$2004,$B154,周转筐出入库明细!$B$4:$B$2004,"&gt;="&amp;$O$1,周转筐出入库明细!$B$4:$B$2004,"&lt;="&amp;$O$2),2))</f>
        <v/>
      </c>
      <c r="E154" s="26" t="str">
        <f>IF($B154="","",ROUND(SUMIFS(次果筐明细!$J$4:$J$603,次果筐明细!$C$4:$C$603,$B154,次果筐明细!$B$4:$B$603,"&gt;="&amp;$O$1,次果筐明细!$B$4:$B$603,"&lt;="&amp;$O$2),2))</f>
        <v/>
      </c>
      <c r="F154" s="60" t="str">
        <f>IF($B154="","",ROUND(SUMIFS(次果筐明细!$K$4:$K$603,次果筐明细!$C$4:$C$603,$B154,次果筐明细!$B$4:$B$603,"&gt;="&amp;$O$1,次果筐明细!$B$4:$B$603,"&lt;="&amp;$O$2),2))</f>
        <v/>
      </c>
      <c r="G154" s="26" t="str">
        <f t="shared" si="11"/>
        <v/>
      </c>
      <c r="H154" s="60" t="str">
        <f t="shared" si="12"/>
        <v/>
      </c>
      <c r="I154" s="26" t="str">
        <f t="shared" si="13"/>
        <v/>
      </c>
      <c r="J154" s="24" t="str">
        <f t="shared" si="14"/>
        <v/>
      </c>
      <c r="K154" s="41"/>
    </row>
    <row r="155" spans="1:11">
      <c r="A155" s="24" t="str">
        <f t="shared" si="10"/>
        <v/>
      </c>
      <c r="B155" s="24" t="str">
        <f>IFERROR(INDEX(_自动清单!$BW$4:$BW$253,ROW()-3),"")</f>
        <v/>
      </c>
      <c r="C155" s="26" t="str">
        <f>IF($B155="","",ROUND(SUMIFS(周转筐出入库明细!$S$4:$S$2004,周转筐出入库明细!$C$4:$C$2004,$B155,周转筐出入库明细!$B$4:$B$2004,"&gt;="&amp;$O$1,周转筐出入库明细!$B$4:$B$2004,"&lt;="&amp;$O$2),2))</f>
        <v/>
      </c>
      <c r="D155" s="60" t="str">
        <f>IF($B155="","",ROUND(SUMIFS(周转筐出入库明细!$T$4:$T$2004,周转筐出入库明细!$C$4:$C$2004,$B155,周转筐出入库明细!$B$4:$B$2004,"&gt;="&amp;$O$1,周转筐出入库明细!$B$4:$B$2004,"&lt;="&amp;$O$2),2))</f>
        <v/>
      </c>
      <c r="E155" s="26" t="str">
        <f>IF($B155="","",ROUND(SUMIFS(次果筐明细!$J$4:$J$603,次果筐明细!$C$4:$C$603,$B155,次果筐明细!$B$4:$B$603,"&gt;="&amp;$O$1,次果筐明细!$B$4:$B$603,"&lt;="&amp;$O$2),2))</f>
        <v/>
      </c>
      <c r="F155" s="60" t="str">
        <f>IF($B155="","",ROUND(SUMIFS(次果筐明细!$K$4:$K$603,次果筐明细!$C$4:$C$603,$B155,次果筐明细!$B$4:$B$603,"&gt;="&amp;$O$1,次果筐明细!$B$4:$B$603,"&lt;="&amp;$O$2),2))</f>
        <v/>
      </c>
      <c r="G155" s="26" t="str">
        <f t="shared" si="11"/>
        <v/>
      </c>
      <c r="H155" s="60" t="str">
        <f t="shared" si="12"/>
        <v/>
      </c>
      <c r="I155" s="26" t="str">
        <f t="shared" si="13"/>
        <v/>
      </c>
      <c r="J155" s="24" t="str">
        <f t="shared" si="14"/>
        <v/>
      </c>
      <c r="K155" s="41"/>
    </row>
    <row r="156" spans="1:11">
      <c r="A156" s="24" t="str">
        <f t="shared" si="10"/>
        <v/>
      </c>
      <c r="B156" s="24" t="str">
        <f>IFERROR(INDEX(_自动清单!$BW$4:$BW$253,ROW()-3),"")</f>
        <v/>
      </c>
      <c r="C156" s="26" t="str">
        <f>IF($B156="","",ROUND(SUMIFS(周转筐出入库明细!$S$4:$S$2004,周转筐出入库明细!$C$4:$C$2004,$B156,周转筐出入库明细!$B$4:$B$2004,"&gt;="&amp;$O$1,周转筐出入库明细!$B$4:$B$2004,"&lt;="&amp;$O$2),2))</f>
        <v/>
      </c>
      <c r="D156" s="60" t="str">
        <f>IF($B156="","",ROUND(SUMIFS(周转筐出入库明细!$T$4:$T$2004,周转筐出入库明细!$C$4:$C$2004,$B156,周转筐出入库明细!$B$4:$B$2004,"&gt;="&amp;$O$1,周转筐出入库明细!$B$4:$B$2004,"&lt;="&amp;$O$2),2))</f>
        <v/>
      </c>
      <c r="E156" s="26" t="str">
        <f>IF($B156="","",ROUND(SUMIFS(次果筐明细!$J$4:$J$603,次果筐明细!$C$4:$C$603,$B156,次果筐明细!$B$4:$B$603,"&gt;="&amp;$O$1,次果筐明细!$B$4:$B$603,"&lt;="&amp;$O$2),2))</f>
        <v/>
      </c>
      <c r="F156" s="60" t="str">
        <f>IF($B156="","",ROUND(SUMIFS(次果筐明细!$K$4:$K$603,次果筐明细!$C$4:$C$603,$B156,次果筐明细!$B$4:$B$603,"&gt;="&amp;$O$1,次果筐明细!$B$4:$B$603,"&lt;="&amp;$O$2),2))</f>
        <v/>
      </c>
      <c r="G156" s="26" t="str">
        <f t="shared" si="11"/>
        <v/>
      </c>
      <c r="H156" s="60" t="str">
        <f t="shared" si="12"/>
        <v/>
      </c>
      <c r="I156" s="26" t="str">
        <f t="shared" si="13"/>
        <v/>
      </c>
      <c r="J156" s="24" t="str">
        <f t="shared" si="14"/>
        <v/>
      </c>
      <c r="K156" s="41"/>
    </row>
    <row r="157" spans="1:11">
      <c r="A157" s="24" t="str">
        <f t="shared" si="10"/>
        <v/>
      </c>
      <c r="B157" s="24" t="str">
        <f>IFERROR(INDEX(_自动清单!$BW$4:$BW$253,ROW()-3),"")</f>
        <v/>
      </c>
      <c r="C157" s="26" t="str">
        <f>IF($B157="","",ROUND(SUMIFS(周转筐出入库明细!$S$4:$S$2004,周转筐出入库明细!$C$4:$C$2004,$B157,周转筐出入库明细!$B$4:$B$2004,"&gt;="&amp;$O$1,周转筐出入库明细!$B$4:$B$2004,"&lt;="&amp;$O$2),2))</f>
        <v/>
      </c>
      <c r="D157" s="60" t="str">
        <f>IF($B157="","",ROUND(SUMIFS(周转筐出入库明细!$T$4:$T$2004,周转筐出入库明细!$C$4:$C$2004,$B157,周转筐出入库明细!$B$4:$B$2004,"&gt;="&amp;$O$1,周转筐出入库明细!$B$4:$B$2004,"&lt;="&amp;$O$2),2))</f>
        <v/>
      </c>
      <c r="E157" s="26" t="str">
        <f>IF($B157="","",ROUND(SUMIFS(次果筐明细!$J$4:$J$603,次果筐明细!$C$4:$C$603,$B157,次果筐明细!$B$4:$B$603,"&gt;="&amp;$O$1,次果筐明细!$B$4:$B$603,"&lt;="&amp;$O$2),2))</f>
        <v/>
      </c>
      <c r="F157" s="60" t="str">
        <f>IF($B157="","",ROUND(SUMIFS(次果筐明细!$K$4:$K$603,次果筐明细!$C$4:$C$603,$B157,次果筐明细!$B$4:$B$603,"&gt;="&amp;$O$1,次果筐明细!$B$4:$B$603,"&lt;="&amp;$O$2),2))</f>
        <v/>
      </c>
      <c r="G157" s="26" t="str">
        <f t="shared" si="11"/>
        <v/>
      </c>
      <c r="H157" s="60" t="str">
        <f t="shared" si="12"/>
        <v/>
      </c>
      <c r="I157" s="26" t="str">
        <f t="shared" si="13"/>
        <v/>
      </c>
      <c r="J157" s="24" t="str">
        <f t="shared" si="14"/>
        <v/>
      </c>
      <c r="K157" s="41"/>
    </row>
    <row r="158" spans="1:11">
      <c r="A158" s="24" t="str">
        <f t="shared" si="10"/>
        <v/>
      </c>
      <c r="B158" s="24" t="str">
        <f>IFERROR(INDEX(_自动清单!$BW$4:$BW$253,ROW()-3),"")</f>
        <v/>
      </c>
      <c r="C158" s="26" t="str">
        <f>IF($B158="","",ROUND(SUMIFS(周转筐出入库明细!$S$4:$S$2004,周转筐出入库明细!$C$4:$C$2004,$B158,周转筐出入库明细!$B$4:$B$2004,"&gt;="&amp;$O$1,周转筐出入库明细!$B$4:$B$2004,"&lt;="&amp;$O$2),2))</f>
        <v/>
      </c>
      <c r="D158" s="60" t="str">
        <f>IF($B158="","",ROUND(SUMIFS(周转筐出入库明细!$T$4:$T$2004,周转筐出入库明细!$C$4:$C$2004,$B158,周转筐出入库明细!$B$4:$B$2004,"&gt;="&amp;$O$1,周转筐出入库明细!$B$4:$B$2004,"&lt;="&amp;$O$2),2))</f>
        <v/>
      </c>
      <c r="E158" s="26" t="str">
        <f>IF($B158="","",ROUND(SUMIFS(次果筐明细!$J$4:$J$603,次果筐明细!$C$4:$C$603,$B158,次果筐明细!$B$4:$B$603,"&gt;="&amp;$O$1,次果筐明细!$B$4:$B$603,"&lt;="&amp;$O$2),2))</f>
        <v/>
      </c>
      <c r="F158" s="60" t="str">
        <f>IF($B158="","",ROUND(SUMIFS(次果筐明细!$K$4:$K$603,次果筐明细!$C$4:$C$603,$B158,次果筐明细!$B$4:$B$603,"&gt;="&amp;$O$1,次果筐明细!$B$4:$B$603,"&lt;="&amp;$O$2),2))</f>
        <v/>
      </c>
      <c r="G158" s="26" t="str">
        <f t="shared" si="11"/>
        <v/>
      </c>
      <c r="H158" s="60" t="str">
        <f t="shared" si="12"/>
        <v/>
      </c>
      <c r="I158" s="26" t="str">
        <f t="shared" si="13"/>
        <v/>
      </c>
      <c r="J158" s="24" t="str">
        <f t="shared" si="14"/>
        <v/>
      </c>
      <c r="K158" s="41"/>
    </row>
    <row r="159" spans="1:11">
      <c r="A159" s="24" t="str">
        <f t="shared" si="10"/>
        <v/>
      </c>
      <c r="B159" s="24" t="str">
        <f>IFERROR(INDEX(_自动清单!$BW$4:$BW$253,ROW()-3),"")</f>
        <v/>
      </c>
      <c r="C159" s="26" t="str">
        <f>IF($B159="","",ROUND(SUMIFS(周转筐出入库明细!$S$4:$S$2004,周转筐出入库明细!$C$4:$C$2004,$B159,周转筐出入库明细!$B$4:$B$2004,"&gt;="&amp;$O$1,周转筐出入库明细!$B$4:$B$2004,"&lt;="&amp;$O$2),2))</f>
        <v/>
      </c>
      <c r="D159" s="60" t="str">
        <f>IF($B159="","",ROUND(SUMIFS(周转筐出入库明细!$T$4:$T$2004,周转筐出入库明细!$C$4:$C$2004,$B159,周转筐出入库明细!$B$4:$B$2004,"&gt;="&amp;$O$1,周转筐出入库明细!$B$4:$B$2004,"&lt;="&amp;$O$2),2))</f>
        <v/>
      </c>
      <c r="E159" s="26" t="str">
        <f>IF($B159="","",ROUND(SUMIFS(次果筐明细!$J$4:$J$603,次果筐明细!$C$4:$C$603,$B159,次果筐明细!$B$4:$B$603,"&gt;="&amp;$O$1,次果筐明细!$B$4:$B$603,"&lt;="&amp;$O$2),2))</f>
        <v/>
      </c>
      <c r="F159" s="60" t="str">
        <f>IF($B159="","",ROUND(SUMIFS(次果筐明细!$K$4:$K$603,次果筐明细!$C$4:$C$603,$B159,次果筐明细!$B$4:$B$603,"&gt;="&amp;$O$1,次果筐明细!$B$4:$B$603,"&lt;="&amp;$O$2),2))</f>
        <v/>
      </c>
      <c r="G159" s="26" t="str">
        <f t="shared" si="11"/>
        <v/>
      </c>
      <c r="H159" s="60" t="str">
        <f t="shared" si="12"/>
        <v/>
      </c>
      <c r="I159" s="26" t="str">
        <f t="shared" si="13"/>
        <v/>
      </c>
      <c r="J159" s="24" t="str">
        <f t="shared" si="14"/>
        <v/>
      </c>
      <c r="K159" s="41"/>
    </row>
    <row r="160" spans="1:11">
      <c r="A160" s="24" t="str">
        <f t="shared" si="10"/>
        <v/>
      </c>
      <c r="B160" s="24" t="str">
        <f>IFERROR(INDEX(_自动清单!$BW$4:$BW$253,ROW()-3),"")</f>
        <v/>
      </c>
      <c r="C160" s="26" t="str">
        <f>IF($B160="","",ROUND(SUMIFS(周转筐出入库明细!$S$4:$S$2004,周转筐出入库明细!$C$4:$C$2004,$B160,周转筐出入库明细!$B$4:$B$2004,"&gt;="&amp;$O$1,周转筐出入库明细!$B$4:$B$2004,"&lt;="&amp;$O$2),2))</f>
        <v/>
      </c>
      <c r="D160" s="60" t="str">
        <f>IF($B160="","",ROUND(SUMIFS(周转筐出入库明细!$T$4:$T$2004,周转筐出入库明细!$C$4:$C$2004,$B160,周转筐出入库明细!$B$4:$B$2004,"&gt;="&amp;$O$1,周转筐出入库明细!$B$4:$B$2004,"&lt;="&amp;$O$2),2))</f>
        <v/>
      </c>
      <c r="E160" s="26" t="str">
        <f>IF($B160="","",ROUND(SUMIFS(次果筐明细!$J$4:$J$603,次果筐明细!$C$4:$C$603,$B160,次果筐明细!$B$4:$B$603,"&gt;="&amp;$O$1,次果筐明细!$B$4:$B$603,"&lt;="&amp;$O$2),2))</f>
        <v/>
      </c>
      <c r="F160" s="60" t="str">
        <f>IF($B160="","",ROUND(SUMIFS(次果筐明细!$K$4:$K$603,次果筐明细!$C$4:$C$603,$B160,次果筐明细!$B$4:$B$603,"&gt;="&amp;$O$1,次果筐明细!$B$4:$B$603,"&lt;="&amp;$O$2),2))</f>
        <v/>
      </c>
      <c r="G160" s="26" t="str">
        <f t="shared" si="11"/>
        <v/>
      </c>
      <c r="H160" s="60" t="str">
        <f t="shared" si="12"/>
        <v/>
      </c>
      <c r="I160" s="26" t="str">
        <f t="shared" si="13"/>
        <v/>
      </c>
      <c r="J160" s="24" t="str">
        <f t="shared" si="14"/>
        <v/>
      </c>
      <c r="K160" s="41"/>
    </row>
    <row r="161" spans="1:11">
      <c r="A161" s="24" t="str">
        <f t="shared" si="10"/>
        <v/>
      </c>
      <c r="B161" s="24" t="str">
        <f>IFERROR(INDEX(_自动清单!$BW$4:$BW$253,ROW()-3),"")</f>
        <v/>
      </c>
      <c r="C161" s="26" t="str">
        <f>IF($B161="","",ROUND(SUMIFS(周转筐出入库明细!$S$4:$S$2004,周转筐出入库明细!$C$4:$C$2004,$B161,周转筐出入库明细!$B$4:$B$2004,"&gt;="&amp;$O$1,周转筐出入库明细!$B$4:$B$2004,"&lt;="&amp;$O$2),2))</f>
        <v/>
      </c>
      <c r="D161" s="60" t="str">
        <f>IF($B161="","",ROUND(SUMIFS(周转筐出入库明细!$T$4:$T$2004,周转筐出入库明细!$C$4:$C$2004,$B161,周转筐出入库明细!$B$4:$B$2004,"&gt;="&amp;$O$1,周转筐出入库明细!$B$4:$B$2004,"&lt;="&amp;$O$2),2))</f>
        <v/>
      </c>
      <c r="E161" s="26" t="str">
        <f>IF($B161="","",ROUND(SUMIFS(次果筐明细!$J$4:$J$603,次果筐明细!$C$4:$C$603,$B161,次果筐明细!$B$4:$B$603,"&gt;="&amp;$O$1,次果筐明细!$B$4:$B$603,"&lt;="&amp;$O$2),2))</f>
        <v/>
      </c>
      <c r="F161" s="60" t="str">
        <f>IF($B161="","",ROUND(SUMIFS(次果筐明细!$K$4:$K$603,次果筐明细!$C$4:$C$603,$B161,次果筐明细!$B$4:$B$603,"&gt;="&amp;$O$1,次果筐明细!$B$4:$B$603,"&lt;="&amp;$O$2),2))</f>
        <v/>
      </c>
      <c r="G161" s="26" t="str">
        <f t="shared" si="11"/>
        <v/>
      </c>
      <c r="H161" s="60" t="str">
        <f t="shared" si="12"/>
        <v/>
      </c>
      <c r="I161" s="26" t="str">
        <f t="shared" si="13"/>
        <v/>
      </c>
      <c r="J161" s="24" t="str">
        <f t="shared" si="14"/>
        <v/>
      </c>
      <c r="K161" s="41"/>
    </row>
    <row r="162" spans="1:11">
      <c r="A162" s="24" t="str">
        <f t="shared" si="10"/>
        <v/>
      </c>
      <c r="B162" s="24" t="str">
        <f>IFERROR(INDEX(_自动清单!$BW$4:$BW$253,ROW()-3),"")</f>
        <v/>
      </c>
      <c r="C162" s="26" t="str">
        <f>IF($B162="","",ROUND(SUMIFS(周转筐出入库明细!$S$4:$S$2004,周转筐出入库明细!$C$4:$C$2004,$B162,周转筐出入库明细!$B$4:$B$2004,"&gt;="&amp;$O$1,周转筐出入库明细!$B$4:$B$2004,"&lt;="&amp;$O$2),2))</f>
        <v/>
      </c>
      <c r="D162" s="60" t="str">
        <f>IF($B162="","",ROUND(SUMIFS(周转筐出入库明细!$T$4:$T$2004,周转筐出入库明细!$C$4:$C$2004,$B162,周转筐出入库明细!$B$4:$B$2004,"&gt;="&amp;$O$1,周转筐出入库明细!$B$4:$B$2004,"&lt;="&amp;$O$2),2))</f>
        <v/>
      </c>
      <c r="E162" s="26" t="str">
        <f>IF($B162="","",ROUND(SUMIFS(次果筐明细!$J$4:$J$603,次果筐明细!$C$4:$C$603,$B162,次果筐明细!$B$4:$B$603,"&gt;="&amp;$O$1,次果筐明细!$B$4:$B$603,"&lt;="&amp;$O$2),2))</f>
        <v/>
      </c>
      <c r="F162" s="60" t="str">
        <f>IF($B162="","",ROUND(SUMIFS(次果筐明细!$K$4:$K$603,次果筐明细!$C$4:$C$603,$B162,次果筐明细!$B$4:$B$603,"&gt;="&amp;$O$1,次果筐明细!$B$4:$B$603,"&lt;="&amp;$O$2),2))</f>
        <v/>
      </c>
      <c r="G162" s="26" t="str">
        <f t="shared" si="11"/>
        <v/>
      </c>
      <c r="H162" s="60" t="str">
        <f t="shared" si="12"/>
        <v/>
      </c>
      <c r="I162" s="26" t="str">
        <f t="shared" si="13"/>
        <v/>
      </c>
      <c r="J162" s="24" t="str">
        <f t="shared" si="14"/>
        <v/>
      </c>
      <c r="K162" s="41"/>
    </row>
    <row r="163" spans="1:11">
      <c r="A163" s="24" t="str">
        <f t="shared" si="10"/>
        <v/>
      </c>
      <c r="B163" s="24" t="str">
        <f>IFERROR(INDEX(_自动清单!$BW$4:$BW$253,ROW()-3),"")</f>
        <v/>
      </c>
      <c r="C163" s="26" t="str">
        <f>IF($B163="","",ROUND(SUMIFS(周转筐出入库明细!$S$4:$S$2004,周转筐出入库明细!$C$4:$C$2004,$B163,周转筐出入库明细!$B$4:$B$2004,"&gt;="&amp;$O$1,周转筐出入库明细!$B$4:$B$2004,"&lt;="&amp;$O$2),2))</f>
        <v/>
      </c>
      <c r="D163" s="60" t="str">
        <f>IF($B163="","",ROUND(SUMIFS(周转筐出入库明细!$T$4:$T$2004,周转筐出入库明细!$C$4:$C$2004,$B163,周转筐出入库明细!$B$4:$B$2004,"&gt;="&amp;$O$1,周转筐出入库明细!$B$4:$B$2004,"&lt;="&amp;$O$2),2))</f>
        <v/>
      </c>
      <c r="E163" s="26" t="str">
        <f>IF($B163="","",ROUND(SUMIFS(次果筐明细!$J$4:$J$603,次果筐明细!$C$4:$C$603,$B163,次果筐明细!$B$4:$B$603,"&gt;="&amp;$O$1,次果筐明细!$B$4:$B$603,"&lt;="&amp;$O$2),2))</f>
        <v/>
      </c>
      <c r="F163" s="60" t="str">
        <f>IF($B163="","",ROUND(SUMIFS(次果筐明细!$K$4:$K$603,次果筐明细!$C$4:$C$603,$B163,次果筐明细!$B$4:$B$603,"&gt;="&amp;$O$1,次果筐明细!$B$4:$B$603,"&lt;="&amp;$O$2),2))</f>
        <v/>
      </c>
      <c r="G163" s="26" t="str">
        <f t="shared" si="11"/>
        <v/>
      </c>
      <c r="H163" s="60" t="str">
        <f t="shared" si="12"/>
        <v/>
      </c>
      <c r="I163" s="26" t="str">
        <f t="shared" si="13"/>
        <v/>
      </c>
      <c r="J163" s="24" t="str">
        <f t="shared" si="14"/>
        <v/>
      </c>
      <c r="K163" s="41"/>
    </row>
    <row r="164" spans="1:11">
      <c r="A164" s="24" t="str">
        <f t="shared" si="10"/>
        <v/>
      </c>
      <c r="B164" s="24" t="str">
        <f>IFERROR(INDEX(_自动清单!$BW$4:$BW$253,ROW()-3),"")</f>
        <v/>
      </c>
      <c r="C164" s="26" t="str">
        <f>IF($B164="","",ROUND(SUMIFS(周转筐出入库明细!$S$4:$S$2004,周转筐出入库明细!$C$4:$C$2004,$B164,周转筐出入库明细!$B$4:$B$2004,"&gt;="&amp;$O$1,周转筐出入库明细!$B$4:$B$2004,"&lt;="&amp;$O$2),2))</f>
        <v/>
      </c>
      <c r="D164" s="60" t="str">
        <f>IF($B164="","",ROUND(SUMIFS(周转筐出入库明细!$T$4:$T$2004,周转筐出入库明细!$C$4:$C$2004,$B164,周转筐出入库明细!$B$4:$B$2004,"&gt;="&amp;$O$1,周转筐出入库明细!$B$4:$B$2004,"&lt;="&amp;$O$2),2))</f>
        <v/>
      </c>
      <c r="E164" s="26" t="str">
        <f>IF($B164="","",ROUND(SUMIFS(次果筐明细!$J$4:$J$603,次果筐明细!$C$4:$C$603,$B164,次果筐明细!$B$4:$B$603,"&gt;="&amp;$O$1,次果筐明细!$B$4:$B$603,"&lt;="&amp;$O$2),2))</f>
        <v/>
      </c>
      <c r="F164" s="60" t="str">
        <f>IF($B164="","",ROUND(SUMIFS(次果筐明细!$K$4:$K$603,次果筐明细!$C$4:$C$603,$B164,次果筐明细!$B$4:$B$603,"&gt;="&amp;$O$1,次果筐明细!$B$4:$B$603,"&lt;="&amp;$O$2),2))</f>
        <v/>
      </c>
      <c r="G164" s="26" t="str">
        <f t="shared" si="11"/>
        <v/>
      </c>
      <c r="H164" s="60" t="str">
        <f t="shared" si="12"/>
        <v/>
      </c>
      <c r="I164" s="26" t="str">
        <f t="shared" si="13"/>
        <v/>
      </c>
      <c r="J164" s="24" t="str">
        <f t="shared" si="14"/>
        <v/>
      </c>
      <c r="K164" s="41"/>
    </row>
    <row r="165" spans="1:11">
      <c r="A165" s="24" t="str">
        <f t="shared" si="10"/>
        <v/>
      </c>
      <c r="B165" s="24" t="str">
        <f>IFERROR(INDEX(_自动清单!$BW$4:$BW$253,ROW()-3),"")</f>
        <v/>
      </c>
      <c r="C165" s="26" t="str">
        <f>IF($B165="","",ROUND(SUMIFS(周转筐出入库明细!$S$4:$S$2004,周转筐出入库明细!$C$4:$C$2004,$B165,周转筐出入库明细!$B$4:$B$2004,"&gt;="&amp;$O$1,周转筐出入库明细!$B$4:$B$2004,"&lt;="&amp;$O$2),2))</f>
        <v/>
      </c>
      <c r="D165" s="60" t="str">
        <f>IF($B165="","",ROUND(SUMIFS(周转筐出入库明细!$T$4:$T$2004,周转筐出入库明细!$C$4:$C$2004,$B165,周转筐出入库明细!$B$4:$B$2004,"&gt;="&amp;$O$1,周转筐出入库明细!$B$4:$B$2004,"&lt;="&amp;$O$2),2))</f>
        <v/>
      </c>
      <c r="E165" s="26" t="str">
        <f>IF($B165="","",ROUND(SUMIFS(次果筐明细!$J$4:$J$603,次果筐明细!$C$4:$C$603,$B165,次果筐明细!$B$4:$B$603,"&gt;="&amp;$O$1,次果筐明细!$B$4:$B$603,"&lt;="&amp;$O$2),2))</f>
        <v/>
      </c>
      <c r="F165" s="60" t="str">
        <f>IF($B165="","",ROUND(SUMIFS(次果筐明细!$K$4:$K$603,次果筐明细!$C$4:$C$603,$B165,次果筐明细!$B$4:$B$603,"&gt;="&amp;$O$1,次果筐明细!$B$4:$B$603,"&lt;="&amp;$O$2),2))</f>
        <v/>
      </c>
      <c r="G165" s="26" t="str">
        <f t="shared" si="11"/>
        <v/>
      </c>
      <c r="H165" s="60" t="str">
        <f t="shared" si="12"/>
        <v/>
      </c>
      <c r="I165" s="26" t="str">
        <f t="shared" si="13"/>
        <v/>
      </c>
      <c r="J165" s="24" t="str">
        <f t="shared" si="14"/>
        <v/>
      </c>
      <c r="K165" s="41"/>
    </row>
    <row r="166" spans="1:11">
      <c r="A166" s="24" t="str">
        <f t="shared" si="10"/>
        <v/>
      </c>
      <c r="B166" s="24" t="str">
        <f>IFERROR(INDEX(_自动清单!$BW$4:$BW$253,ROW()-3),"")</f>
        <v/>
      </c>
      <c r="C166" s="26" t="str">
        <f>IF($B166="","",ROUND(SUMIFS(周转筐出入库明细!$S$4:$S$2004,周转筐出入库明细!$C$4:$C$2004,$B166,周转筐出入库明细!$B$4:$B$2004,"&gt;="&amp;$O$1,周转筐出入库明细!$B$4:$B$2004,"&lt;="&amp;$O$2),2))</f>
        <v/>
      </c>
      <c r="D166" s="60" t="str">
        <f>IF($B166="","",ROUND(SUMIFS(周转筐出入库明细!$T$4:$T$2004,周转筐出入库明细!$C$4:$C$2004,$B166,周转筐出入库明细!$B$4:$B$2004,"&gt;="&amp;$O$1,周转筐出入库明细!$B$4:$B$2004,"&lt;="&amp;$O$2),2))</f>
        <v/>
      </c>
      <c r="E166" s="26" t="str">
        <f>IF($B166="","",ROUND(SUMIFS(次果筐明细!$J$4:$J$603,次果筐明细!$C$4:$C$603,$B166,次果筐明细!$B$4:$B$603,"&gt;="&amp;$O$1,次果筐明细!$B$4:$B$603,"&lt;="&amp;$O$2),2))</f>
        <v/>
      </c>
      <c r="F166" s="60" t="str">
        <f>IF($B166="","",ROUND(SUMIFS(次果筐明细!$K$4:$K$603,次果筐明细!$C$4:$C$603,$B166,次果筐明细!$B$4:$B$603,"&gt;="&amp;$O$1,次果筐明细!$B$4:$B$603,"&lt;="&amp;$O$2),2))</f>
        <v/>
      </c>
      <c r="G166" s="26" t="str">
        <f t="shared" si="11"/>
        <v/>
      </c>
      <c r="H166" s="60" t="str">
        <f t="shared" si="12"/>
        <v/>
      </c>
      <c r="I166" s="26" t="str">
        <f t="shared" si="13"/>
        <v/>
      </c>
      <c r="J166" s="24" t="str">
        <f t="shared" si="14"/>
        <v/>
      </c>
      <c r="K166" s="41"/>
    </row>
    <row r="167" spans="1:11">
      <c r="A167" s="24" t="str">
        <f t="shared" si="10"/>
        <v/>
      </c>
      <c r="B167" s="24" t="str">
        <f>IFERROR(INDEX(_自动清单!$BW$4:$BW$253,ROW()-3),"")</f>
        <v/>
      </c>
      <c r="C167" s="26" t="str">
        <f>IF($B167="","",ROUND(SUMIFS(周转筐出入库明细!$S$4:$S$2004,周转筐出入库明细!$C$4:$C$2004,$B167,周转筐出入库明细!$B$4:$B$2004,"&gt;="&amp;$O$1,周转筐出入库明细!$B$4:$B$2004,"&lt;="&amp;$O$2),2))</f>
        <v/>
      </c>
      <c r="D167" s="60" t="str">
        <f>IF($B167="","",ROUND(SUMIFS(周转筐出入库明细!$T$4:$T$2004,周转筐出入库明细!$C$4:$C$2004,$B167,周转筐出入库明细!$B$4:$B$2004,"&gt;="&amp;$O$1,周转筐出入库明细!$B$4:$B$2004,"&lt;="&amp;$O$2),2))</f>
        <v/>
      </c>
      <c r="E167" s="26" t="str">
        <f>IF($B167="","",ROUND(SUMIFS(次果筐明细!$J$4:$J$603,次果筐明细!$C$4:$C$603,$B167,次果筐明细!$B$4:$B$603,"&gt;="&amp;$O$1,次果筐明细!$B$4:$B$603,"&lt;="&amp;$O$2),2))</f>
        <v/>
      </c>
      <c r="F167" s="60" t="str">
        <f>IF($B167="","",ROUND(SUMIFS(次果筐明细!$K$4:$K$603,次果筐明细!$C$4:$C$603,$B167,次果筐明细!$B$4:$B$603,"&gt;="&amp;$O$1,次果筐明细!$B$4:$B$603,"&lt;="&amp;$O$2),2))</f>
        <v/>
      </c>
      <c r="G167" s="26" t="str">
        <f t="shared" si="11"/>
        <v/>
      </c>
      <c r="H167" s="60" t="str">
        <f t="shared" si="12"/>
        <v/>
      </c>
      <c r="I167" s="26" t="str">
        <f t="shared" si="13"/>
        <v/>
      </c>
      <c r="J167" s="24" t="str">
        <f t="shared" si="14"/>
        <v/>
      </c>
      <c r="K167" s="41"/>
    </row>
    <row r="168" spans="1:11">
      <c r="A168" s="24" t="str">
        <f t="shared" si="10"/>
        <v/>
      </c>
      <c r="B168" s="24" t="str">
        <f>IFERROR(INDEX(_自动清单!$BW$4:$BW$253,ROW()-3),"")</f>
        <v/>
      </c>
      <c r="C168" s="26" t="str">
        <f>IF($B168="","",ROUND(SUMIFS(周转筐出入库明细!$S$4:$S$2004,周转筐出入库明细!$C$4:$C$2004,$B168,周转筐出入库明细!$B$4:$B$2004,"&gt;="&amp;$O$1,周转筐出入库明细!$B$4:$B$2004,"&lt;="&amp;$O$2),2))</f>
        <v/>
      </c>
      <c r="D168" s="60" t="str">
        <f>IF($B168="","",ROUND(SUMIFS(周转筐出入库明细!$T$4:$T$2004,周转筐出入库明细!$C$4:$C$2004,$B168,周转筐出入库明细!$B$4:$B$2004,"&gt;="&amp;$O$1,周转筐出入库明细!$B$4:$B$2004,"&lt;="&amp;$O$2),2))</f>
        <v/>
      </c>
      <c r="E168" s="26" t="str">
        <f>IF($B168="","",ROUND(SUMIFS(次果筐明细!$J$4:$J$603,次果筐明细!$C$4:$C$603,$B168,次果筐明细!$B$4:$B$603,"&gt;="&amp;$O$1,次果筐明细!$B$4:$B$603,"&lt;="&amp;$O$2),2))</f>
        <v/>
      </c>
      <c r="F168" s="60" t="str">
        <f>IF($B168="","",ROUND(SUMIFS(次果筐明细!$K$4:$K$603,次果筐明细!$C$4:$C$603,$B168,次果筐明细!$B$4:$B$603,"&gt;="&amp;$O$1,次果筐明细!$B$4:$B$603,"&lt;="&amp;$O$2),2))</f>
        <v/>
      </c>
      <c r="G168" s="26" t="str">
        <f t="shared" si="11"/>
        <v/>
      </c>
      <c r="H168" s="60" t="str">
        <f t="shared" si="12"/>
        <v/>
      </c>
      <c r="I168" s="26" t="str">
        <f t="shared" si="13"/>
        <v/>
      </c>
      <c r="J168" s="24" t="str">
        <f t="shared" si="14"/>
        <v/>
      </c>
      <c r="K168" s="41"/>
    </row>
    <row r="169" spans="1:11">
      <c r="A169" s="24" t="str">
        <f t="shared" si="10"/>
        <v/>
      </c>
      <c r="B169" s="24" t="str">
        <f>IFERROR(INDEX(_自动清单!$BW$4:$BW$253,ROW()-3),"")</f>
        <v/>
      </c>
      <c r="C169" s="26" t="str">
        <f>IF($B169="","",ROUND(SUMIFS(周转筐出入库明细!$S$4:$S$2004,周转筐出入库明细!$C$4:$C$2004,$B169,周转筐出入库明细!$B$4:$B$2004,"&gt;="&amp;$O$1,周转筐出入库明细!$B$4:$B$2004,"&lt;="&amp;$O$2),2))</f>
        <v/>
      </c>
      <c r="D169" s="60" t="str">
        <f>IF($B169="","",ROUND(SUMIFS(周转筐出入库明细!$T$4:$T$2004,周转筐出入库明细!$C$4:$C$2004,$B169,周转筐出入库明细!$B$4:$B$2004,"&gt;="&amp;$O$1,周转筐出入库明细!$B$4:$B$2004,"&lt;="&amp;$O$2),2))</f>
        <v/>
      </c>
      <c r="E169" s="26" t="str">
        <f>IF($B169="","",ROUND(SUMIFS(次果筐明细!$J$4:$J$603,次果筐明细!$C$4:$C$603,$B169,次果筐明细!$B$4:$B$603,"&gt;="&amp;$O$1,次果筐明细!$B$4:$B$603,"&lt;="&amp;$O$2),2))</f>
        <v/>
      </c>
      <c r="F169" s="60" t="str">
        <f>IF($B169="","",ROUND(SUMIFS(次果筐明细!$K$4:$K$603,次果筐明细!$C$4:$C$603,$B169,次果筐明细!$B$4:$B$603,"&gt;="&amp;$O$1,次果筐明细!$B$4:$B$603,"&lt;="&amp;$O$2),2))</f>
        <v/>
      </c>
      <c r="G169" s="26" t="str">
        <f t="shared" si="11"/>
        <v/>
      </c>
      <c r="H169" s="60" t="str">
        <f t="shared" si="12"/>
        <v/>
      </c>
      <c r="I169" s="26" t="str">
        <f t="shared" si="13"/>
        <v/>
      </c>
      <c r="J169" s="24" t="str">
        <f t="shared" si="14"/>
        <v/>
      </c>
      <c r="K169" s="41"/>
    </row>
    <row r="170" spans="1:11">
      <c r="A170" s="24" t="str">
        <f t="shared" si="10"/>
        <v/>
      </c>
      <c r="B170" s="24" t="str">
        <f>IFERROR(INDEX(_自动清单!$BW$4:$BW$253,ROW()-3),"")</f>
        <v/>
      </c>
      <c r="C170" s="26" t="str">
        <f>IF($B170="","",ROUND(SUMIFS(周转筐出入库明细!$S$4:$S$2004,周转筐出入库明细!$C$4:$C$2004,$B170,周转筐出入库明细!$B$4:$B$2004,"&gt;="&amp;$O$1,周转筐出入库明细!$B$4:$B$2004,"&lt;="&amp;$O$2),2))</f>
        <v/>
      </c>
      <c r="D170" s="60" t="str">
        <f>IF($B170="","",ROUND(SUMIFS(周转筐出入库明细!$T$4:$T$2004,周转筐出入库明细!$C$4:$C$2004,$B170,周转筐出入库明细!$B$4:$B$2004,"&gt;="&amp;$O$1,周转筐出入库明细!$B$4:$B$2004,"&lt;="&amp;$O$2),2))</f>
        <v/>
      </c>
      <c r="E170" s="26" t="str">
        <f>IF($B170="","",ROUND(SUMIFS(次果筐明细!$J$4:$J$603,次果筐明细!$C$4:$C$603,$B170,次果筐明细!$B$4:$B$603,"&gt;="&amp;$O$1,次果筐明细!$B$4:$B$603,"&lt;="&amp;$O$2),2))</f>
        <v/>
      </c>
      <c r="F170" s="60" t="str">
        <f>IF($B170="","",ROUND(SUMIFS(次果筐明细!$K$4:$K$603,次果筐明细!$C$4:$C$603,$B170,次果筐明细!$B$4:$B$603,"&gt;="&amp;$O$1,次果筐明细!$B$4:$B$603,"&lt;="&amp;$O$2),2))</f>
        <v/>
      </c>
      <c r="G170" s="26" t="str">
        <f t="shared" si="11"/>
        <v/>
      </c>
      <c r="H170" s="60" t="str">
        <f t="shared" si="12"/>
        <v/>
      </c>
      <c r="I170" s="26" t="str">
        <f t="shared" si="13"/>
        <v/>
      </c>
      <c r="J170" s="24" t="str">
        <f t="shared" si="14"/>
        <v/>
      </c>
      <c r="K170" s="41"/>
    </row>
    <row r="171" spans="1:11">
      <c r="A171" s="24" t="str">
        <f t="shared" si="10"/>
        <v/>
      </c>
      <c r="B171" s="24" t="str">
        <f>IFERROR(INDEX(_自动清单!$BW$4:$BW$253,ROW()-3),"")</f>
        <v/>
      </c>
      <c r="C171" s="26" t="str">
        <f>IF($B171="","",ROUND(SUMIFS(周转筐出入库明细!$S$4:$S$2004,周转筐出入库明细!$C$4:$C$2004,$B171,周转筐出入库明细!$B$4:$B$2004,"&gt;="&amp;$O$1,周转筐出入库明细!$B$4:$B$2004,"&lt;="&amp;$O$2),2))</f>
        <v/>
      </c>
      <c r="D171" s="60" t="str">
        <f>IF($B171="","",ROUND(SUMIFS(周转筐出入库明细!$T$4:$T$2004,周转筐出入库明细!$C$4:$C$2004,$B171,周转筐出入库明细!$B$4:$B$2004,"&gt;="&amp;$O$1,周转筐出入库明细!$B$4:$B$2004,"&lt;="&amp;$O$2),2))</f>
        <v/>
      </c>
      <c r="E171" s="26" t="str">
        <f>IF($B171="","",ROUND(SUMIFS(次果筐明细!$J$4:$J$603,次果筐明细!$C$4:$C$603,$B171,次果筐明细!$B$4:$B$603,"&gt;="&amp;$O$1,次果筐明细!$B$4:$B$603,"&lt;="&amp;$O$2),2))</f>
        <v/>
      </c>
      <c r="F171" s="60" t="str">
        <f>IF($B171="","",ROUND(SUMIFS(次果筐明细!$K$4:$K$603,次果筐明细!$C$4:$C$603,$B171,次果筐明细!$B$4:$B$603,"&gt;="&amp;$O$1,次果筐明细!$B$4:$B$603,"&lt;="&amp;$O$2),2))</f>
        <v/>
      </c>
      <c r="G171" s="26" t="str">
        <f t="shared" si="11"/>
        <v/>
      </c>
      <c r="H171" s="60" t="str">
        <f t="shared" si="12"/>
        <v/>
      </c>
      <c r="I171" s="26" t="str">
        <f t="shared" si="13"/>
        <v/>
      </c>
      <c r="J171" s="24" t="str">
        <f t="shared" si="14"/>
        <v/>
      </c>
      <c r="K171" s="41"/>
    </row>
    <row r="172" spans="1:11">
      <c r="A172" s="24" t="str">
        <f t="shared" si="10"/>
        <v/>
      </c>
      <c r="B172" s="24" t="str">
        <f>IFERROR(INDEX(_自动清单!$BW$4:$BW$253,ROW()-3),"")</f>
        <v/>
      </c>
      <c r="C172" s="26" t="str">
        <f>IF($B172="","",ROUND(SUMIFS(周转筐出入库明细!$S$4:$S$2004,周转筐出入库明细!$C$4:$C$2004,$B172,周转筐出入库明细!$B$4:$B$2004,"&gt;="&amp;$O$1,周转筐出入库明细!$B$4:$B$2004,"&lt;="&amp;$O$2),2))</f>
        <v/>
      </c>
      <c r="D172" s="60" t="str">
        <f>IF($B172="","",ROUND(SUMIFS(周转筐出入库明细!$T$4:$T$2004,周转筐出入库明细!$C$4:$C$2004,$B172,周转筐出入库明细!$B$4:$B$2004,"&gt;="&amp;$O$1,周转筐出入库明细!$B$4:$B$2004,"&lt;="&amp;$O$2),2))</f>
        <v/>
      </c>
      <c r="E172" s="26" t="str">
        <f>IF($B172="","",ROUND(SUMIFS(次果筐明细!$J$4:$J$603,次果筐明细!$C$4:$C$603,$B172,次果筐明细!$B$4:$B$603,"&gt;="&amp;$O$1,次果筐明细!$B$4:$B$603,"&lt;="&amp;$O$2),2))</f>
        <v/>
      </c>
      <c r="F172" s="60" t="str">
        <f>IF($B172="","",ROUND(SUMIFS(次果筐明细!$K$4:$K$603,次果筐明细!$C$4:$C$603,$B172,次果筐明细!$B$4:$B$603,"&gt;="&amp;$O$1,次果筐明细!$B$4:$B$603,"&lt;="&amp;$O$2),2))</f>
        <v/>
      </c>
      <c r="G172" s="26" t="str">
        <f t="shared" si="11"/>
        <v/>
      </c>
      <c r="H172" s="60" t="str">
        <f t="shared" si="12"/>
        <v/>
      </c>
      <c r="I172" s="26" t="str">
        <f t="shared" si="13"/>
        <v/>
      </c>
      <c r="J172" s="24" t="str">
        <f t="shared" si="14"/>
        <v/>
      </c>
      <c r="K172" s="41"/>
    </row>
    <row r="173" spans="1:11">
      <c r="A173" s="24" t="str">
        <f t="shared" si="10"/>
        <v/>
      </c>
      <c r="B173" s="24" t="str">
        <f>IFERROR(INDEX(_自动清单!$BW$4:$BW$253,ROW()-3),"")</f>
        <v/>
      </c>
      <c r="C173" s="26" t="str">
        <f>IF($B173="","",ROUND(SUMIFS(周转筐出入库明细!$S$4:$S$2004,周转筐出入库明细!$C$4:$C$2004,$B173,周转筐出入库明细!$B$4:$B$2004,"&gt;="&amp;$O$1,周转筐出入库明细!$B$4:$B$2004,"&lt;="&amp;$O$2),2))</f>
        <v/>
      </c>
      <c r="D173" s="60" t="str">
        <f>IF($B173="","",ROUND(SUMIFS(周转筐出入库明细!$T$4:$T$2004,周转筐出入库明细!$C$4:$C$2004,$B173,周转筐出入库明细!$B$4:$B$2004,"&gt;="&amp;$O$1,周转筐出入库明细!$B$4:$B$2004,"&lt;="&amp;$O$2),2))</f>
        <v/>
      </c>
      <c r="E173" s="26" t="str">
        <f>IF($B173="","",ROUND(SUMIFS(次果筐明细!$J$4:$J$603,次果筐明细!$C$4:$C$603,$B173,次果筐明细!$B$4:$B$603,"&gt;="&amp;$O$1,次果筐明细!$B$4:$B$603,"&lt;="&amp;$O$2),2))</f>
        <v/>
      </c>
      <c r="F173" s="60" t="str">
        <f>IF($B173="","",ROUND(SUMIFS(次果筐明细!$K$4:$K$603,次果筐明细!$C$4:$C$603,$B173,次果筐明细!$B$4:$B$603,"&gt;="&amp;$O$1,次果筐明细!$B$4:$B$603,"&lt;="&amp;$O$2),2))</f>
        <v/>
      </c>
      <c r="G173" s="26" t="str">
        <f t="shared" si="11"/>
        <v/>
      </c>
      <c r="H173" s="60" t="str">
        <f t="shared" si="12"/>
        <v/>
      </c>
      <c r="I173" s="26" t="str">
        <f t="shared" si="13"/>
        <v/>
      </c>
      <c r="J173" s="24" t="str">
        <f t="shared" si="14"/>
        <v/>
      </c>
      <c r="K173" s="41"/>
    </row>
    <row r="174" spans="1:11">
      <c r="A174" s="24" t="str">
        <f t="shared" si="10"/>
        <v/>
      </c>
      <c r="B174" s="24" t="str">
        <f>IFERROR(INDEX(_自动清单!$BW$4:$BW$253,ROW()-3),"")</f>
        <v/>
      </c>
      <c r="C174" s="26" t="str">
        <f>IF($B174="","",ROUND(SUMIFS(周转筐出入库明细!$S$4:$S$2004,周转筐出入库明细!$C$4:$C$2004,$B174,周转筐出入库明细!$B$4:$B$2004,"&gt;="&amp;$O$1,周转筐出入库明细!$B$4:$B$2004,"&lt;="&amp;$O$2),2))</f>
        <v/>
      </c>
      <c r="D174" s="60" t="str">
        <f>IF($B174="","",ROUND(SUMIFS(周转筐出入库明细!$T$4:$T$2004,周转筐出入库明细!$C$4:$C$2004,$B174,周转筐出入库明细!$B$4:$B$2004,"&gt;="&amp;$O$1,周转筐出入库明细!$B$4:$B$2004,"&lt;="&amp;$O$2),2))</f>
        <v/>
      </c>
      <c r="E174" s="26" t="str">
        <f>IF($B174="","",ROUND(SUMIFS(次果筐明细!$J$4:$J$603,次果筐明细!$C$4:$C$603,$B174,次果筐明细!$B$4:$B$603,"&gt;="&amp;$O$1,次果筐明细!$B$4:$B$603,"&lt;="&amp;$O$2),2))</f>
        <v/>
      </c>
      <c r="F174" s="60" t="str">
        <f>IF($B174="","",ROUND(SUMIFS(次果筐明细!$K$4:$K$603,次果筐明细!$C$4:$C$603,$B174,次果筐明细!$B$4:$B$603,"&gt;="&amp;$O$1,次果筐明细!$B$4:$B$603,"&lt;="&amp;$O$2),2))</f>
        <v/>
      </c>
      <c r="G174" s="26" t="str">
        <f t="shared" si="11"/>
        <v/>
      </c>
      <c r="H174" s="60" t="str">
        <f t="shared" si="12"/>
        <v/>
      </c>
      <c r="I174" s="26" t="str">
        <f t="shared" si="13"/>
        <v/>
      </c>
      <c r="J174" s="24" t="str">
        <f t="shared" si="14"/>
        <v/>
      </c>
      <c r="K174" s="41"/>
    </row>
    <row r="175" spans="1:11">
      <c r="A175" s="24" t="str">
        <f t="shared" si="10"/>
        <v/>
      </c>
      <c r="B175" s="24" t="str">
        <f>IFERROR(INDEX(_自动清单!$BW$4:$BW$253,ROW()-3),"")</f>
        <v/>
      </c>
      <c r="C175" s="26" t="str">
        <f>IF($B175="","",ROUND(SUMIFS(周转筐出入库明细!$S$4:$S$2004,周转筐出入库明细!$C$4:$C$2004,$B175,周转筐出入库明细!$B$4:$B$2004,"&gt;="&amp;$O$1,周转筐出入库明细!$B$4:$B$2004,"&lt;="&amp;$O$2),2))</f>
        <v/>
      </c>
      <c r="D175" s="60" t="str">
        <f>IF($B175="","",ROUND(SUMIFS(周转筐出入库明细!$T$4:$T$2004,周转筐出入库明细!$C$4:$C$2004,$B175,周转筐出入库明细!$B$4:$B$2004,"&gt;="&amp;$O$1,周转筐出入库明细!$B$4:$B$2004,"&lt;="&amp;$O$2),2))</f>
        <v/>
      </c>
      <c r="E175" s="26" t="str">
        <f>IF($B175="","",ROUND(SUMIFS(次果筐明细!$J$4:$J$603,次果筐明细!$C$4:$C$603,$B175,次果筐明细!$B$4:$B$603,"&gt;="&amp;$O$1,次果筐明细!$B$4:$B$603,"&lt;="&amp;$O$2),2))</f>
        <v/>
      </c>
      <c r="F175" s="60" t="str">
        <f>IF($B175="","",ROUND(SUMIFS(次果筐明细!$K$4:$K$603,次果筐明细!$C$4:$C$603,$B175,次果筐明细!$B$4:$B$603,"&gt;="&amp;$O$1,次果筐明细!$B$4:$B$603,"&lt;="&amp;$O$2),2))</f>
        <v/>
      </c>
      <c r="G175" s="26" t="str">
        <f t="shared" si="11"/>
        <v/>
      </c>
      <c r="H175" s="60" t="str">
        <f t="shared" si="12"/>
        <v/>
      </c>
      <c r="I175" s="26" t="str">
        <f t="shared" si="13"/>
        <v/>
      </c>
      <c r="J175" s="24" t="str">
        <f t="shared" si="14"/>
        <v/>
      </c>
      <c r="K175" s="41"/>
    </row>
    <row r="176" spans="1:11">
      <c r="A176" s="24" t="str">
        <f t="shared" si="10"/>
        <v/>
      </c>
      <c r="B176" s="24" t="str">
        <f>IFERROR(INDEX(_自动清单!$BW$4:$BW$253,ROW()-3),"")</f>
        <v/>
      </c>
      <c r="C176" s="26" t="str">
        <f>IF($B176="","",ROUND(SUMIFS(周转筐出入库明细!$S$4:$S$2004,周转筐出入库明细!$C$4:$C$2004,$B176,周转筐出入库明细!$B$4:$B$2004,"&gt;="&amp;$O$1,周转筐出入库明细!$B$4:$B$2004,"&lt;="&amp;$O$2),2))</f>
        <v/>
      </c>
      <c r="D176" s="60" t="str">
        <f>IF($B176="","",ROUND(SUMIFS(周转筐出入库明细!$T$4:$T$2004,周转筐出入库明细!$C$4:$C$2004,$B176,周转筐出入库明细!$B$4:$B$2004,"&gt;="&amp;$O$1,周转筐出入库明细!$B$4:$B$2004,"&lt;="&amp;$O$2),2))</f>
        <v/>
      </c>
      <c r="E176" s="26" t="str">
        <f>IF($B176="","",ROUND(SUMIFS(次果筐明细!$J$4:$J$603,次果筐明细!$C$4:$C$603,$B176,次果筐明细!$B$4:$B$603,"&gt;="&amp;$O$1,次果筐明细!$B$4:$B$603,"&lt;="&amp;$O$2),2))</f>
        <v/>
      </c>
      <c r="F176" s="60" t="str">
        <f>IF($B176="","",ROUND(SUMIFS(次果筐明细!$K$4:$K$603,次果筐明细!$C$4:$C$603,$B176,次果筐明细!$B$4:$B$603,"&gt;="&amp;$O$1,次果筐明细!$B$4:$B$603,"&lt;="&amp;$O$2),2))</f>
        <v/>
      </c>
      <c r="G176" s="26" t="str">
        <f t="shared" si="11"/>
        <v/>
      </c>
      <c r="H176" s="60" t="str">
        <f t="shared" si="12"/>
        <v/>
      </c>
      <c r="I176" s="26" t="str">
        <f t="shared" si="13"/>
        <v/>
      </c>
      <c r="J176" s="24" t="str">
        <f t="shared" si="14"/>
        <v/>
      </c>
      <c r="K176" s="41"/>
    </row>
    <row r="177" spans="1:11">
      <c r="A177" s="24" t="str">
        <f t="shared" si="10"/>
        <v/>
      </c>
      <c r="B177" s="24" t="str">
        <f>IFERROR(INDEX(_自动清单!$BW$4:$BW$253,ROW()-3),"")</f>
        <v/>
      </c>
      <c r="C177" s="26" t="str">
        <f>IF($B177="","",ROUND(SUMIFS(周转筐出入库明细!$S$4:$S$2004,周转筐出入库明细!$C$4:$C$2004,$B177,周转筐出入库明细!$B$4:$B$2004,"&gt;="&amp;$O$1,周转筐出入库明细!$B$4:$B$2004,"&lt;="&amp;$O$2),2))</f>
        <v/>
      </c>
      <c r="D177" s="60" t="str">
        <f>IF($B177="","",ROUND(SUMIFS(周转筐出入库明细!$T$4:$T$2004,周转筐出入库明细!$C$4:$C$2004,$B177,周转筐出入库明细!$B$4:$B$2004,"&gt;="&amp;$O$1,周转筐出入库明细!$B$4:$B$2004,"&lt;="&amp;$O$2),2))</f>
        <v/>
      </c>
      <c r="E177" s="26" t="str">
        <f>IF($B177="","",ROUND(SUMIFS(次果筐明细!$J$4:$J$603,次果筐明细!$C$4:$C$603,$B177,次果筐明细!$B$4:$B$603,"&gt;="&amp;$O$1,次果筐明细!$B$4:$B$603,"&lt;="&amp;$O$2),2))</f>
        <v/>
      </c>
      <c r="F177" s="60" t="str">
        <f>IF($B177="","",ROUND(SUMIFS(次果筐明细!$K$4:$K$603,次果筐明细!$C$4:$C$603,$B177,次果筐明细!$B$4:$B$603,"&gt;="&amp;$O$1,次果筐明细!$B$4:$B$603,"&lt;="&amp;$O$2),2))</f>
        <v/>
      </c>
      <c r="G177" s="26" t="str">
        <f t="shared" si="11"/>
        <v/>
      </c>
      <c r="H177" s="60" t="str">
        <f t="shared" si="12"/>
        <v/>
      </c>
      <c r="I177" s="26" t="str">
        <f t="shared" si="13"/>
        <v/>
      </c>
      <c r="J177" s="24" t="str">
        <f t="shared" si="14"/>
        <v/>
      </c>
      <c r="K177" s="41"/>
    </row>
    <row r="178" spans="1:11">
      <c r="A178" s="24" t="str">
        <f t="shared" si="10"/>
        <v/>
      </c>
      <c r="B178" s="24" t="str">
        <f>IFERROR(INDEX(_自动清单!$BW$4:$BW$253,ROW()-3),"")</f>
        <v/>
      </c>
      <c r="C178" s="26" t="str">
        <f>IF($B178="","",ROUND(SUMIFS(周转筐出入库明细!$S$4:$S$2004,周转筐出入库明细!$C$4:$C$2004,$B178,周转筐出入库明细!$B$4:$B$2004,"&gt;="&amp;$O$1,周转筐出入库明细!$B$4:$B$2004,"&lt;="&amp;$O$2),2))</f>
        <v/>
      </c>
      <c r="D178" s="60" t="str">
        <f>IF($B178="","",ROUND(SUMIFS(周转筐出入库明细!$T$4:$T$2004,周转筐出入库明细!$C$4:$C$2004,$B178,周转筐出入库明细!$B$4:$B$2004,"&gt;="&amp;$O$1,周转筐出入库明细!$B$4:$B$2004,"&lt;="&amp;$O$2),2))</f>
        <v/>
      </c>
      <c r="E178" s="26" t="str">
        <f>IF($B178="","",ROUND(SUMIFS(次果筐明细!$J$4:$J$603,次果筐明细!$C$4:$C$603,$B178,次果筐明细!$B$4:$B$603,"&gt;="&amp;$O$1,次果筐明细!$B$4:$B$603,"&lt;="&amp;$O$2),2))</f>
        <v/>
      </c>
      <c r="F178" s="60" t="str">
        <f>IF($B178="","",ROUND(SUMIFS(次果筐明细!$K$4:$K$603,次果筐明细!$C$4:$C$603,$B178,次果筐明细!$B$4:$B$603,"&gt;="&amp;$O$1,次果筐明细!$B$4:$B$603,"&lt;="&amp;$O$2),2))</f>
        <v/>
      </c>
      <c r="G178" s="26" t="str">
        <f t="shared" si="11"/>
        <v/>
      </c>
      <c r="H178" s="60" t="str">
        <f t="shared" si="12"/>
        <v/>
      </c>
      <c r="I178" s="26" t="str">
        <f t="shared" si="13"/>
        <v/>
      </c>
      <c r="J178" s="24" t="str">
        <f t="shared" si="14"/>
        <v/>
      </c>
      <c r="K178" s="41"/>
    </row>
    <row r="179" spans="1:11">
      <c r="A179" s="24" t="str">
        <f t="shared" si="10"/>
        <v/>
      </c>
      <c r="B179" s="24" t="str">
        <f>IFERROR(INDEX(_自动清单!$BW$4:$BW$253,ROW()-3),"")</f>
        <v/>
      </c>
      <c r="C179" s="26" t="str">
        <f>IF($B179="","",ROUND(SUMIFS(周转筐出入库明细!$S$4:$S$2004,周转筐出入库明细!$C$4:$C$2004,$B179,周转筐出入库明细!$B$4:$B$2004,"&gt;="&amp;$O$1,周转筐出入库明细!$B$4:$B$2004,"&lt;="&amp;$O$2),2))</f>
        <v/>
      </c>
      <c r="D179" s="60" t="str">
        <f>IF($B179="","",ROUND(SUMIFS(周转筐出入库明细!$T$4:$T$2004,周转筐出入库明细!$C$4:$C$2004,$B179,周转筐出入库明细!$B$4:$B$2004,"&gt;="&amp;$O$1,周转筐出入库明细!$B$4:$B$2004,"&lt;="&amp;$O$2),2))</f>
        <v/>
      </c>
      <c r="E179" s="26" t="str">
        <f>IF($B179="","",ROUND(SUMIFS(次果筐明细!$J$4:$J$603,次果筐明细!$C$4:$C$603,$B179,次果筐明细!$B$4:$B$603,"&gt;="&amp;$O$1,次果筐明细!$B$4:$B$603,"&lt;="&amp;$O$2),2))</f>
        <v/>
      </c>
      <c r="F179" s="60" t="str">
        <f>IF($B179="","",ROUND(SUMIFS(次果筐明细!$K$4:$K$603,次果筐明细!$C$4:$C$603,$B179,次果筐明细!$B$4:$B$603,"&gt;="&amp;$O$1,次果筐明细!$B$4:$B$603,"&lt;="&amp;$O$2),2))</f>
        <v/>
      </c>
      <c r="G179" s="26" t="str">
        <f t="shared" si="11"/>
        <v/>
      </c>
      <c r="H179" s="60" t="str">
        <f t="shared" si="12"/>
        <v/>
      </c>
      <c r="I179" s="26" t="str">
        <f t="shared" si="13"/>
        <v/>
      </c>
      <c r="J179" s="24" t="str">
        <f t="shared" si="14"/>
        <v/>
      </c>
      <c r="K179" s="41"/>
    </row>
    <row r="180" spans="1:11">
      <c r="A180" s="24" t="str">
        <f t="shared" si="10"/>
        <v/>
      </c>
      <c r="B180" s="24" t="str">
        <f>IFERROR(INDEX(_自动清单!$BW$4:$BW$253,ROW()-3),"")</f>
        <v/>
      </c>
      <c r="C180" s="26" t="str">
        <f>IF($B180="","",ROUND(SUMIFS(周转筐出入库明细!$S$4:$S$2004,周转筐出入库明细!$C$4:$C$2004,$B180,周转筐出入库明细!$B$4:$B$2004,"&gt;="&amp;$O$1,周转筐出入库明细!$B$4:$B$2004,"&lt;="&amp;$O$2),2))</f>
        <v/>
      </c>
      <c r="D180" s="60" t="str">
        <f>IF($B180="","",ROUND(SUMIFS(周转筐出入库明细!$T$4:$T$2004,周转筐出入库明细!$C$4:$C$2004,$B180,周转筐出入库明细!$B$4:$B$2004,"&gt;="&amp;$O$1,周转筐出入库明细!$B$4:$B$2004,"&lt;="&amp;$O$2),2))</f>
        <v/>
      </c>
      <c r="E180" s="26" t="str">
        <f>IF($B180="","",ROUND(SUMIFS(次果筐明细!$J$4:$J$603,次果筐明细!$C$4:$C$603,$B180,次果筐明细!$B$4:$B$603,"&gt;="&amp;$O$1,次果筐明细!$B$4:$B$603,"&lt;="&amp;$O$2),2))</f>
        <v/>
      </c>
      <c r="F180" s="60" t="str">
        <f>IF($B180="","",ROUND(SUMIFS(次果筐明细!$K$4:$K$603,次果筐明细!$C$4:$C$603,$B180,次果筐明细!$B$4:$B$603,"&gt;="&amp;$O$1,次果筐明细!$B$4:$B$603,"&lt;="&amp;$O$2),2))</f>
        <v/>
      </c>
      <c r="G180" s="26" t="str">
        <f t="shared" si="11"/>
        <v/>
      </c>
      <c r="H180" s="60" t="str">
        <f t="shared" si="12"/>
        <v/>
      </c>
      <c r="I180" s="26" t="str">
        <f t="shared" si="13"/>
        <v/>
      </c>
      <c r="J180" s="24" t="str">
        <f t="shared" si="14"/>
        <v/>
      </c>
      <c r="K180" s="41"/>
    </row>
    <row r="181" spans="1:11">
      <c r="A181" s="24" t="str">
        <f t="shared" si="10"/>
        <v/>
      </c>
      <c r="B181" s="24" t="str">
        <f>IFERROR(INDEX(_自动清单!$BW$4:$BW$253,ROW()-3),"")</f>
        <v/>
      </c>
      <c r="C181" s="26" t="str">
        <f>IF($B181="","",ROUND(SUMIFS(周转筐出入库明细!$S$4:$S$2004,周转筐出入库明细!$C$4:$C$2004,$B181,周转筐出入库明细!$B$4:$B$2004,"&gt;="&amp;$O$1,周转筐出入库明细!$B$4:$B$2004,"&lt;="&amp;$O$2),2))</f>
        <v/>
      </c>
      <c r="D181" s="60" t="str">
        <f>IF($B181="","",ROUND(SUMIFS(周转筐出入库明细!$T$4:$T$2004,周转筐出入库明细!$C$4:$C$2004,$B181,周转筐出入库明细!$B$4:$B$2004,"&gt;="&amp;$O$1,周转筐出入库明细!$B$4:$B$2004,"&lt;="&amp;$O$2),2))</f>
        <v/>
      </c>
      <c r="E181" s="26" t="str">
        <f>IF($B181="","",ROUND(SUMIFS(次果筐明细!$J$4:$J$603,次果筐明细!$C$4:$C$603,$B181,次果筐明细!$B$4:$B$603,"&gt;="&amp;$O$1,次果筐明细!$B$4:$B$603,"&lt;="&amp;$O$2),2))</f>
        <v/>
      </c>
      <c r="F181" s="60" t="str">
        <f>IF($B181="","",ROUND(SUMIFS(次果筐明细!$K$4:$K$603,次果筐明细!$C$4:$C$603,$B181,次果筐明细!$B$4:$B$603,"&gt;="&amp;$O$1,次果筐明细!$B$4:$B$603,"&lt;="&amp;$O$2),2))</f>
        <v/>
      </c>
      <c r="G181" s="26" t="str">
        <f t="shared" si="11"/>
        <v/>
      </c>
      <c r="H181" s="60" t="str">
        <f t="shared" si="12"/>
        <v/>
      </c>
      <c r="I181" s="26" t="str">
        <f t="shared" si="13"/>
        <v/>
      </c>
      <c r="J181" s="24" t="str">
        <f t="shared" si="14"/>
        <v/>
      </c>
      <c r="K181" s="41"/>
    </row>
    <row r="182" spans="1:11">
      <c r="A182" s="24" t="str">
        <f t="shared" si="10"/>
        <v/>
      </c>
      <c r="B182" s="24" t="str">
        <f>IFERROR(INDEX(_自动清单!$BW$4:$BW$253,ROW()-3),"")</f>
        <v/>
      </c>
      <c r="C182" s="26" t="str">
        <f>IF($B182="","",ROUND(SUMIFS(周转筐出入库明细!$S$4:$S$2004,周转筐出入库明细!$C$4:$C$2004,$B182,周转筐出入库明细!$B$4:$B$2004,"&gt;="&amp;$O$1,周转筐出入库明细!$B$4:$B$2004,"&lt;="&amp;$O$2),2))</f>
        <v/>
      </c>
      <c r="D182" s="60" t="str">
        <f>IF($B182="","",ROUND(SUMIFS(周转筐出入库明细!$T$4:$T$2004,周转筐出入库明细!$C$4:$C$2004,$B182,周转筐出入库明细!$B$4:$B$2004,"&gt;="&amp;$O$1,周转筐出入库明细!$B$4:$B$2004,"&lt;="&amp;$O$2),2))</f>
        <v/>
      </c>
      <c r="E182" s="26" t="str">
        <f>IF($B182="","",ROUND(SUMIFS(次果筐明细!$J$4:$J$603,次果筐明细!$C$4:$C$603,$B182,次果筐明细!$B$4:$B$603,"&gt;="&amp;$O$1,次果筐明细!$B$4:$B$603,"&lt;="&amp;$O$2),2))</f>
        <v/>
      </c>
      <c r="F182" s="60" t="str">
        <f>IF($B182="","",ROUND(SUMIFS(次果筐明细!$K$4:$K$603,次果筐明细!$C$4:$C$603,$B182,次果筐明细!$B$4:$B$603,"&gt;="&amp;$O$1,次果筐明细!$B$4:$B$603,"&lt;="&amp;$O$2),2))</f>
        <v/>
      </c>
      <c r="G182" s="26" t="str">
        <f t="shared" si="11"/>
        <v/>
      </c>
      <c r="H182" s="60" t="str">
        <f t="shared" si="12"/>
        <v/>
      </c>
      <c r="I182" s="26" t="str">
        <f t="shared" si="13"/>
        <v/>
      </c>
      <c r="J182" s="24" t="str">
        <f t="shared" si="14"/>
        <v/>
      </c>
      <c r="K182" s="41"/>
    </row>
    <row r="183" spans="1:11">
      <c r="A183" s="24" t="str">
        <f t="shared" si="10"/>
        <v/>
      </c>
      <c r="B183" s="24" t="str">
        <f>IFERROR(INDEX(_自动清单!$BW$4:$BW$253,ROW()-3),"")</f>
        <v/>
      </c>
      <c r="C183" s="26" t="str">
        <f>IF($B183="","",ROUND(SUMIFS(周转筐出入库明细!$S$4:$S$2004,周转筐出入库明细!$C$4:$C$2004,$B183,周转筐出入库明细!$B$4:$B$2004,"&gt;="&amp;$O$1,周转筐出入库明细!$B$4:$B$2004,"&lt;="&amp;$O$2),2))</f>
        <v/>
      </c>
      <c r="D183" s="60" t="str">
        <f>IF($B183="","",ROUND(SUMIFS(周转筐出入库明细!$T$4:$T$2004,周转筐出入库明细!$C$4:$C$2004,$B183,周转筐出入库明细!$B$4:$B$2004,"&gt;="&amp;$O$1,周转筐出入库明细!$B$4:$B$2004,"&lt;="&amp;$O$2),2))</f>
        <v/>
      </c>
      <c r="E183" s="26" t="str">
        <f>IF($B183="","",ROUND(SUMIFS(次果筐明细!$J$4:$J$603,次果筐明细!$C$4:$C$603,$B183,次果筐明细!$B$4:$B$603,"&gt;="&amp;$O$1,次果筐明细!$B$4:$B$603,"&lt;="&amp;$O$2),2))</f>
        <v/>
      </c>
      <c r="F183" s="60" t="str">
        <f>IF($B183="","",ROUND(SUMIFS(次果筐明细!$K$4:$K$603,次果筐明细!$C$4:$C$603,$B183,次果筐明细!$B$4:$B$603,"&gt;="&amp;$O$1,次果筐明细!$B$4:$B$603,"&lt;="&amp;$O$2),2))</f>
        <v/>
      </c>
      <c r="G183" s="26" t="str">
        <f t="shared" si="11"/>
        <v/>
      </c>
      <c r="H183" s="60" t="str">
        <f t="shared" si="12"/>
        <v/>
      </c>
      <c r="I183" s="26" t="str">
        <f t="shared" si="13"/>
        <v/>
      </c>
      <c r="J183" s="24" t="str">
        <f t="shared" si="14"/>
        <v/>
      </c>
      <c r="K183" s="41"/>
    </row>
    <row r="184" spans="1:11">
      <c r="A184" s="24" t="str">
        <f t="shared" si="10"/>
        <v/>
      </c>
      <c r="B184" s="24" t="str">
        <f>IFERROR(INDEX(_自动清单!$BW$4:$BW$253,ROW()-3),"")</f>
        <v/>
      </c>
      <c r="C184" s="26" t="str">
        <f>IF($B184="","",ROUND(SUMIFS(周转筐出入库明细!$S$4:$S$2004,周转筐出入库明细!$C$4:$C$2004,$B184,周转筐出入库明细!$B$4:$B$2004,"&gt;="&amp;$O$1,周转筐出入库明细!$B$4:$B$2004,"&lt;="&amp;$O$2),2))</f>
        <v/>
      </c>
      <c r="D184" s="60" t="str">
        <f>IF($B184="","",ROUND(SUMIFS(周转筐出入库明细!$T$4:$T$2004,周转筐出入库明细!$C$4:$C$2004,$B184,周转筐出入库明细!$B$4:$B$2004,"&gt;="&amp;$O$1,周转筐出入库明细!$B$4:$B$2004,"&lt;="&amp;$O$2),2))</f>
        <v/>
      </c>
      <c r="E184" s="26" t="str">
        <f>IF($B184="","",ROUND(SUMIFS(次果筐明细!$J$4:$J$603,次果筐明细!$C$4:$C$603,$B184,次果筐明细!$B$4:$B$603,"&gt;="&amp;$O$1,次果筐明细!$B$4:$B$603,"&lt;="&amp;$O$2),2))</f>
        <v/>
      </c>
      <c r="F184" s="60" t="str">
        <f>IF($B184="","",ROUND(SUMIFS(次果筐明细!$K$4:$K$603,次果筐明细!$C$4:$C$603,$B184,次果筐明细!$B$4:$B$603,"&gt;="&amp;$O$1,次果筐明细!$B$4:$B$603,"&lt;="&amp;$O$2),2))</f>
        <v/>
      </c>
      <c r="G184" s="26" t="str">
        <f t="shared" si="11"/>
        <v/>
      </c>
      <c r="H184" s="60" t="str">
        <f t="shared" si="12"/>
        <v/>
      </c>
      <c r="I184" s="26" t="str">
        <f t="shared" si="13"/>
        <v/>
      </c>
      <c r="J184" s="24" t="str">
        <f t="shared" si="14"/>
        <v/>
      </c>
      <c r="K184" s="41"/>
    </row>
    <row r="185" spans="1:11">
      <c r="A185" s="24" t="str">
        <f t="shared" si="10"/>
        <v/>
      </c>
      <c r="B185" s="24" t="str">
        <f>IFERROR(INDEX(_自动清单!$BW$4:$BW$253,ROW()-3),"")</f>
        <v/>
      </c>
      <c r="C185" s="26" t="str">
        <f>IF($B185="","",ROUND(SUMIFS(周转筐出入库明细!$S$4:$S$2004,周转筐出入库明细!$C$4:$C$2004,$B185,周转筐出入库明细!$B$4:$B$2004,"&gt;="&amp;$O$1,周转筐出入库明细!$B$4:$B$2004,"&lt;="&amp;$O$2),2))</f>
        <v/>
      </c>
      <c r="D185" s="60" t="str">
        <f>IF($B185="","",ROUND(SUMIFS(周转筐出入库明细!$T$4:$T$2004,周转筐出入库明细!$C$4:$C$2004,$B185,周转筐出入库明细!$B$4:$B$2004,"&gt;="&amp;$O$1,周转筐出入库明细!$B$4:$B$2004,"&lt;="&amp;$O$2),2))</f>
        <v/>
      </c>
      <c r="E185" s="26" t="str">
        <f>IF($B185="","",ROUND(SUMIFS(次果筐明细!$J$4:$J$603,次果筐明细!$C$4:$C$603,$B185,次果筐明细!$B$4:$B$603,"&gt;="&amp;$O$1,次果筐明细!$B$4:$B$603,"&lt;="&amp;$O$2),2))</f>
        <v/>
      </c>
      <c r="F185" s="60" t="str">
        <f>IF($B185="","",ROUND(SUMIFS(次果筐明细!$K$4:$K$603,次果筐明细!$C$4:$C$603,$B185,次果筐明细!$B$4:$B$603,"&gt;="&amp;$O$1,次果筐明细!$B$4:$B$603,"&lt;="&amp;$O$2),2))</f>
        <v/>
      </c>
      <c r="G185" s="26" t="str">
        <f t="shared" si="11"/>
        <v/>
      </c>
      <c r="H185" s="60" t="str">
        <f t="shared" si="12"/>
        <v/>
      </c>
      <c r="I185" s="26" t="str">
        <f t="shared" si="13"/>
        <v/>
      </c>
      <c r="J185" s="24" t="str">
        <f t="shared" si="14"/>
        <v/>
      </c>
      <c r="K185" s="41"/>
    </row>
    <row r="186" spans="1:11">
      <c r="A186" s="24" t="str">
        <f t="shared" si="10"/>
        <v/>
      </c>
      <c r="B186" s="24" t="str">
        <f>IFERROR(INDEX(_自动清单!$BW$4:$BW$253,ROW()-3),"")</f>
        <v/>
      </c>
      <c r="C186" s="26" t="str">
        <f>IF($B186="","",ROUND(SUMIFS(周转筐出入库明细!$S$4:$S$2004,周转筐出入库明细!$C$4:$C$2004,$B186,周转筐出入库明细!$B$4:$B$2004,"&gt;="&amp;$O$1,周转筐出入库明细!$B$4:$B$2004,"&lt;="&amp;$O$2),2))</f>
        <v/>
      </c>
      <c r="D186" s="60" t="str">
        <f>IF($B186="","",ROUND(SUMIFS(周转筐出入库明细!$T$4:$T$2004,周转筐出入库明细!$C$4:$C$2004,$B186,周转筐出入库明细!$B$4:$B$2004,"&gt;="&amp;$O$1,周转筐出入库明细!$B$4:$B$2004,"&lt;="&amp;$O$2),2))</f>
        <v/>
      </c>
      <c r="E186" s="26" t="str">
        <f>IF($B186="","",ROUND(SUMIFS(次果筐明细!$J$4:$J$603,次果筐明细!$C$4:$C$603,$B186,次果筐明细!$B$4:$B$603,"&gt;="&amp;$O$1,次果筐明细!$B$4:$B$603,"&lt;="&amp;$O$2),2))</f>
        <v/>
      </c>
      <c r="F186" s="60" t="str">
        <f>IF($B186="","",ROUND(SUMIFS(次果筐明细!$K$4:$K$603,次果筐明细!$C$4:$C$603,$B186,次果筐明细!$B$4:$B$603,"&gt;="&amp;$O$1,次果筐明细!$B$4:$B$603,"&lt;="&amp;$O$2),2))</f>
        <v/>
      </c>
      <c r="G186" s="26" t="str">
        <f t="shared" si="11"/>
        <v/>
      </c>
      <c r="H186" s="60" t="str">
        <f t="shared" si="12"/>
        <v/>
      </c>
      <c r="I186" s="26" t="str">
        <f t="shared" si="13"/>
        <v/>
      </c>
      <c r="J186" s="24" t="str">
        <f t="shared" si="14"/>
        <v/>
      </c>
      <c r="K186" s="41"/>
    </row>
    <row r="187" spans="1:11">
      <c r="A187" s="24" t="str">
        <f t="shared" si="10"/>
        <v/>
      </c>
      <c r="B187" s="24" t="str">
        <f>IFERROR(INDEX(_自动清单!$BW$4:$BW$253,ROW()-3),"")</f>
        <v/>
      </c>
      <c r="C187" s="26" t="str">
        <f>IF($B187="","",ROUND(SUMIFS(周转筐出入库明细!$S$4:$S$2004,周转筐出入库明细!$C$4:$C$2004,$B187,周转筐出入库明细!$B$4:$B$2004,"&gt;="&amp;$O$1,周转筐出入库明细!$B$4:$B$2004,"&lt;="&amp;$O$2),2))</f>
        <v/>
      </c>
      <c r="D187" s="60" t="str">
        <f>IF($B187="","",ROUND(SUMIFS(周转筐出入库明细!$T$4:$T$2004,周转筐出入库明细!$C$4:$C$2004,$B187,周转筐出入库明细!$B$4:$B$2004,"&gt;="&amp;$O$1,周转筐出入库明细!$B$4:$B$2004,"&lt;="&amp;$O$2),2))</f>
        <v/>
      </c>
      <c r="E187" s="26" t="str">
        <f>IF($B187="","",ROUND(SUMIFS(次果筐明细!$J$4:$J$603,次果筐明细!$C$4:$C$603,$B187,次果筐明细!$B$4:$B$603,"&gt;="&amp;$O$1,次果筐明细!$B$4:$B$603,"&lt;="&amp;$O$2),2))</f>
        <v/>
      </c>
      <c r="F187" s="60" t="str">
        <f>IF($B187="","",ROUND(SUMIFS(次果筐明细!$K$4:$K$603,次果筐明细!$C$4:$C$603,$B187,次果筐明细!$B$4:$B$603,"&gt;="&amp;$O$1,次果筐明细!$B$4:$B$603,"&lt;="&amp;$O$2),2))</f>
        <v/>
      </c>
      <c r="G187" s="26" t="str">
        <f t="shared" si="11"/>
        <v/>
      </c>
      <c r="H187" s="60" t="str">
        <f t="shared" si="12"/>
        <v/>
      </c>
      <c r="I187" s="26" t="str">
        <f t="shared" si="13"/>
        <v/>
      </c>
      <c r="J187" s="24" t="str">
        <f t="shared" si="14"/>
        <v/>
      </c>
      <c r="K187" s="41"/>
    </row>
    <row r="188" spans="1:11">
      <c r="A188" s="24" t="str">
        <f t="shared" si="10"/>
        <v/>
      </c>
      <c r="B188" s="24" t="str">
        <f>IFERROR(INDEX(_自动清单!$BW$4:$BW$253,ROW()-3),"")</f>
        <v/>
      </c>
      <c r="C188" s="26" t="str">
        <f>IF($B188="","",ROUND(SUMIFS(周转筐出入库明细!$S$4:$S$2004,周转筐出入库明细!$C$4:$C$2004,$B188,周转筐出入库明细!$B$4:$B$2004,"&gt;="&amp;$O$1,周转筐出入库明细!$B$4:$B$2004,"&lt;="&amp;$O$2),2))</f>
        <v/>
      </c>
      <c r="D188" s="60" t="str">
        <f>IF($B188="","",ROUND(SUMIFS(周转筐出入库明细!$T$4:$T$2004,周转筐出入库明细!$C$4:$C$2004,$B188,周转筐出入库明细!$B$4:$B$2004,"&gt;="&amp;$O$1,周转筐出入库明细!$B$4:$B$2004,"&lt;="&amp;$O$2),2))</f>
        <v/>
      </c>
      <c r="E188" s="26" t="str">
        <f>IF($B188="","",ROUND(SUMIFS(次果筐明细!$J$4:$J$603,次果筐明细!$C$4:$C$603,$B188,次果筐明细!$B$4:$B$603,"&gt;="&amp;$O$1,次果筐明细!$B$4:$B$603,"&lt;="&amp;$O$2),2))</f>
        <v/>
      </c>
      <c r="F188" s="60" t="str">
        <f>IF($B188="","",ROUND(SUMIFS(次果筐明细!$K$4:$K$603,次果筐明细!$C$4:$C$603,$B188,次果筐明细!$B$4:$B$603,"&gt;="&amp;$O$1,次果筐明细!$B$4:$B$603,"&lt;="&amp;$O$2),2))</f>
        <v/>
      </c>
      <c r="G188" s="26" t="str">
        <f t="shared" si="11"/>
        <v/>
      </c>
      <c r="H188" s="60" t="str">
        <f t="shared" si="12"/>
        <v/>
      </c>
      <c r="I188" s="26" t="str">
        <f t="shared" si="13"/>
        <v/>
      </c>
      <c r="J188" s="24" t="str">
        <f t="shared" si="14"/>
        <v/>
      </c>
      <c r="K188" s="41"/>
    </row>
    <row r="189" spans="1:11">
      <c r="A189" s="24" t="str">
        <f t="shared" si="10"/>
        <v/>
      </c>
      <c r="B189" s="24" t="str">
        <f>IFERROR(INDEX(_自动清单!$BW$4:$BW$253,ROW()-3),"")</f>
        <v/>
      </c>
      <c r="C189" s="26" t="str">
        <f>IF($B189="","",ROUND(SUMIFS(周转筐出入库明细!$S$4:$S$2004,周转筐出入库明细!$C$4:$C$2004,$B189,周转筐出入库明细!$B$4:$B$2004,"&gt;="&amp;$O$1,周转筐出入库明细!$B$4:$B$2004,"&lt;="&amp;$O$2),2))</f>
        <v/>
      </c>
      <c r="D189" s="60" t="str">
        <f>IF($B189="","",ROUND(SUMIFS(周转筐出入库明细!$T$4:$T$2004,周转筐出入库明细!$C$4:$C$2004,$B189,周转筐出入库明细!$B$4:$B$2004,"&gt;="&amp;$O$1,周转筐出入库明细!$B$4:$B$2004,"&lt;="&amp;$O$2),2))</f>
        <v/>
      </c>
      <c r="E189" s="26" t="str">
        <f>IF($B189="","",ROUND(SUMIFS(次果筐明细!$J$4:$J$603,次果筐明细!$C$4:$C$603,$B189,次果筐明细!$B$4:$B$603,"&gt;="&amp;$O$1,次果筐明细!$B$4:$B$603,"&lt;="&amp;$O$2),2))</f>
        <v/>
      </c>
      <c r="F189" s="60" t="str">
        <f>IF($B189="","",ROUND(SUMIFS(次果筐明细!$K$4:$K$603,次果筐明细!$C$4:$C$603,$B189,次果筐明细!$B$4:$B$603,"&gt;="&amp;$O$1,次果筐明细!$B$4:$B$603,"&lt;="&amp;$O$2),2))</f>
        <v/>
      </c>
      <c r="G189" s="26" t="str">
        <f t="shared" si="11"/>
        <v/>
      </c>
      <c r="H189" s="60" t="str">
        <f t="shared" si="12"/>
        <v/>
      </c>
      <c r="I189" s="26" t="str">
        <f t="shared" si="13"/>
        <v/>
      </c>
      <c r="J189" s="24" t="str">
        <f t="shared" si="14"/>
        <v/>
      </c>
      <c r="K189" s="41"/>
    </row>
    <row r="190" spans="1:11">
      <c r="A190" s="24" t="str">
        <f t="shared" si="10"/>
        <v/>
      </c>
      <c r="B190" s="24" t="str">
        <f>IFERROR(INDEX(_自动清单!$BW$4:$BW$253,ROW()-3),"")</f>
        <v/>
      </c>
      <c r="C190" s="26" t="str">
        <f>IF($B190="","",ROUND(SUMIFS(周转筐出入库明细!$S$4:$S$2004,周转筐出入库明细!$C$4:$C$2004,$B190,周转筐出入库明细!$B$4:$B$2004,"&gt;="&amp;$O$1,周转筐出入库明细!$B$4:$B$2004,"&lt;="&amp;$O$2),2))</f>
        <v/>
      </c>
      <c r="D190" s="60" t="str">
        <f>IF($B190="","",ROUND(SUMIFS(周转筐出入库明细!$T$4:$T$2004,周转筐出入库明细!$C$4:$C$2004,$B190,周转筐出入库明细!$B$4:$B$2004,"&gt;="&amp;$O$1,周转筐出入库明细!$B$4:$B$2004,"&lt;="&amp;$O$2),2))</f>
        <v/>
      </c>
      <c r="E190" s="26" t="str">
        <f>IF($B190="","",ROUND(SUMIFS(次果筐明细!$J$4:$J$603,次果筐明细!$C$4:$C$603,$B190,次果筐明细!$B$4:$B$603,"&gt;="&amp;$O$1,次果筐明细!$B$4:$B$603,"&lt;="&amp;$O$2),2))</f>
        <v/>
      </c>
      <c r="F190" s="60" t="str">
        <f>IF($B190="","",ROUND(SUMIFS(次果筐明细!$K$4:$K$603,次果筐明细!$C$4:$C$603,$B190,次果筐明细!$B$4:$B$603,"&gt;="&amp;$O$1,次果筐明细!$B$4:$B$603,"&lt;="&amp;$O$2),2))</f>
        <v/>
      </c>
      <c r="G190" s="26" t="str">
        <f t="shared" si="11"/>
        <v/>
      </c>
      <c r="H190" s="60" t="str">
        <f t="shared" si="12"/>
        <v/>
      </c>
      <c r="I190" s="26" t="str">
        <f t="shared" si="13"/>
        <v/>
      </c>
      <c r="J190" s="24" t="str">
        <f t="shared" si="14"/>
        <v/>
      </c>
      <c r="K190" s="41"/>
    </row>
    <row r="191" spans="1:11">
      <c r="A191" s="24" t="str">
        <f t="shared" si="10"/>
        <v/>
      </c>
      <c r="B191" s="24" t="str">
        <f>IFERROR(INDEX(_自动清单!$BW$4:$BW$253,ROW()-3),"")</f>
        <v/>
      </c>
      <c r="C191" s="26" t="str">
        <f>IF($B191="","",ROUND(SUMIFS(周转筐出入库明细!$S$4:$S$2004,周转筐出入库明细!$C$4:$C$2004,$B191,周转筐出入库明细!$B$4:$B$2004,"&gt;="&amp;$O$1,周转筐出入库明细!$B$4:$B$2004,"&lt;="&amp;$O$2),2))</f>
        <v/>
      </c>
      <c r="D191" s="60" t="str">
        <f>IF($B191="","",ROUND(SUMIFS(周转筐出入库明细!$T$4:$T$2004,周转筐出入库明细!$C$4:$C$2004,$B191,周转筐出入库明细!$B$4:$B$2004,"&gt;="&amp;$O$1,周转筐出入库明细!$B$4:$B$2004,"&lt;="&amp;$O$2),2))</f>
        <v/>
      </c>
      <c r="E191" s="26" t="str">
        <f>IF($B191="","",ROUND(SUMIFS(次果筐明细!$J$4:$J$603,次果筐明细!$C$4:$C$603,$B191,次果筐明细!$B$4:$B$603,"&gt;="&amp;$O$1,次果筐明细!$B$4:$B$603,"&lt;="&amp;$O$2),2))</f>
        <v/>
      </c>
      <c r="F191" s="60" t="str">
        <f>IF($B191="","",ROUND(SUMIFS(次果筐明细!$K$4:$K$603,次果筐明细!$C$4:$C$603,$B191,次果筐明细!$B$4:$B$603,"&gt;="&amp;$O$1,次果筐明细!$B$4:$B$603,"&lt;="&amp;$O$2),2))</f>
        <v/>
      </c>
      <c r="G191" s="26" t="str">
        <f t="shared" si="11"/>
        <v/>
      </c>
      <c r="H191" s="60" t="str">
        <f t="shared" si="12"/>
        <v/>
      </c>
      <c r="I191" s="26" t="str">
        <f t="shared" si="13"/>
        <v/>
      </c>
      <c r="J191" s="24" t="str">
        <f t="shared" si="14"/>
        <v/>
      </c>
      <c r="K191" s="41"/>
    </row>
    <row r="192" spans="1:11">
      <c r="A192" s="24" t="str">
        <f t="shared" si="10"/>
        <v/>
      </c>
      <c r="B192" s="24" t="str">
        <f>IFERROR(INDEX(_自动清单!$BW$4:$BW$253,ROW()-3),"")</f>
        <v/>
      </c>
      <c r="C192" s="26" t="str">
        <f>IF($B192="","",ROUND(SUMIFS(周转筐出入库明细!$S$4:$S$2004,周转筐出入库明细!$C$4:$C$2004,$B192,周转筐出入库明细!$B$4:$B$2004,"&gt;="&amp;$O$1,周转筐出入库明细!$B$4:$B$2004,"&lt;="&amp;$O$2),2))</f>
        <v/>
      </c>
      <c r="D192" s="60" t="str">
        <f>IF($B192="","",ROUND(SUMIFS(周转筐出入库明细!$T$4:$T$2004,周转筐出入库明细!$C$4:$C$2004,$B192,周转筐出入库明细!$B$4:$B$2004,"&gt;="&amp;$O$1,周转筐出入库明细!$B$4:$B$2004,"&lt;="&amp;$O$2),2))</f>
        <v/>
      </c>
      <c r="E192" s="26" t="str">
        <f>IF($B192="","",ROUND(SUMIFS(次果筐明细!$J$4:$J$603,次果筐明细!$C$4:$C$603,$B192,次果筐明细!$B$4:$B$603,"&gt;="&amp;$O$1,次果筐明细!$B$4:$B$603,"&lt;="&amp;$O$2),2))</f>
        <v/>
      </c>
      <c r="F192" s="60" t="str">
        <f>IF($B192="","",ROUND(SUMIFS(次果筐明细!$K$4:$K$603,次果筐明细!$C$4:$C$603,$B192,次果筐明细!$B$4:$B$603,"&gt;="&amp;$O$1,次果筐明细!$B$4:$B$603,"&lt;="&amp;$O$2),2))</f>
        <v/>
      </c>
      <c r="G192" s="26" t="str">
        <f t="shared" si="11"/>
        <v/>
      </c>
      <c r="H192" s="60" t="str">
        <f t="shared" si="12"/>
        <v/>
      </c>
      <c r="I192" s="26" t="str">
        <f t="shared" si="13"/>
        <v/>
      </c>
      <c r="J192" s="24" t="str">
        <f t="shared" si="14"/>
        <v/>
      </c>
      <c r="K192" s="41"/>
    </row>
    <row r="193" spans="1:11">
      <c r="A193" s="24" t="str">
        <f t="shared" si="10"/>
        <v/>
      </c>
      <c r="B193" s="24" t="str">
        <f>IFERROR(INDEX(_自动清单!$BW$4:$BW$253,ROW()-3),"")</f>
        <v/>
      </c>
      <c r="C193" s="26" t="str">
        <f>IF($B193="","",ROUND(SUMIFS(周转筐出入库明细!$S$4:$S$2004,周转筐出入库明细!$C$4:$C$2004,$B193,周转筐出入库明细!$B$4:$B$2004,"&gt;="&amp;$O$1,周转筐出入库明细!$B$4:$B$2004,"&lt;="&amp;$O$2),2))</f>
        <v/>
      </c>
      <c r="D193" s="60" t="str">
        <f>IF($B193="","",ROUND(SUMIFS(周转筐出入库明细!$T$4:$T$2004,周转筐出入库明细!$C$4:$C$2004,$B193,周转筐出入库明细!$B$4:$B$2004,"&gt;="&amp;$O$1,周转筐出入库明细!$B$4:$B$2004,"&lt;="&amp;$O$2),2))</f>
        <v/>
      </c>
      <c r="E193" s="26" t="str">
        <f>IF($B193="","",ROUND(SUMIFS(次果筐明细!$J$4:$J$603,次果筐明细!$C$4:$C$603,$B193,次果筐明细!$B$4:$B$603,"&gt;="&amp;$O$1,次果筐明细!$B$4:$B$603,"&lt;="&amp;$O$2),2))</f>
        <v/>
      </c>
      <c r="F193" s="60" t="str">
        <f>IF($B193="","",ROUND(SUMIFS(次果筐明细!$K$4:$K$603,次果筐明细!$C$4:$C$603,$B193,次果筐明细!$B$4:$B$603,"&gt;="&amp;$O$1,次果筐明细!$B$4:$B$603,"&lt;="&amp;$O$2),2))</f>
        <v/>
      </c>
      <c r="G193" s="26" t="str">
        <f t="shared" si="11"/>
        <v/>
      </c>
      <c r="H193" s="60" t="str">
        <f t="shared" si="12"/>
        <v/>
      </c>
      <c r="I193" s="26" t="str">
        <f t="shared" si="13"/>
        <v/>
      </c>
      <c r="J193" s="24" t="str">
        <f t="shared" si="14"/>
        <v/>
      </c>
      <c r="K193" s="41"/>
    </row>
    <row r="194" spans="1:11">
      <c r="A194" s="24" t="str">
        <f t="shared" si="10"/>
        <v/>
      </c>
      <c r="B194" s="24" t="str">
        <f>IFERROR(INDEX(_自动清单!$BW$4:$BW$253,ROW()-3),"")</f>
        <v/>
      </c>
      <c r="C194" s="26" t="str">
        <f>IF($B194="","",ROUND(SUMIFS(周转筐出入库明细!$S$4:$S$2004,周转筐出入库明细!$C$4:$C$2004,$B194,周转筐出入库明细!$B$4:$B$2004,"&gt;="&amp;$O$1,周转筐出入库明细!$B$4:$B$2004,"&lt;="&amp;$O$2),2))</f>
        <v/>
      </c>
      <c r="D194" s="60" t="str">
        <f>IF($B194="","",ROUND(SUMIFS(周转筐出入库明细!$T$4:$T$2004,周转筐出入库明细!$C$4:$C$2004,$B194,周转筐出入库明细!$B$4:$B$2004,"&gt;="&amp;$O$1,周转筐出入库明细!$B$4:$B$2004,"&lt;="&amp;$O$2),2))</f>
        <v/>
      </c>
      <c r="E194" s="26" t="str">
        <f>IF($B194="","",ROUND(SUMIFS(次果筐明细!$J$4:$J$603,次果筐明细!$C$4:$C$603,$B194,次果筐明细!$B$4:$B$603,"&gt;="&amp;$O$1,次果筐明细!$B$4:$B$603,"&lt;="&amp;$O$2),2))</f>
        <v/>
      </c>
      <c r="F194" s="60" t="str">
        <f>IF($B194="","",ROUND(SUMIFS(次果筐明细!$K$4:$K$603,次果筐明细!$C$4:$C$603,$B194,次果筐明细!$B$4:$B$603,"&gt;="&amp;$O$1,次果筐明细!$B$4:$B$603,"&lt;="&amp;$O$2),2))</f>
        <v/>
      </c>
      <c r="G194" s="26" t="str">
        <f t="shared" si="11"/>
        <v/>
      </c>
      <c r="H194" s="60" t="str">
        <f t="shared" si="12"/>
        <v/>
      </c>
      <c r="I194" s="26" t="str">
        <f t="shared" si="13"/>
        <v/>
      </c>
      <c r="J194" s="24" t="str">
        <f t="shared" si="14"/>
        <v/>
      </c>
      <c r="K194" s="41"/>
    </row>
    <row r="195" spans="1:11">
      <c r="A195" s="24" t="str">
        <f t="shared" si="10"/>
        <v/>
      </c>
      <c r="B195" s="24" t="str">
        <f>IFERROR(INDEX(_自动清单!$BW$4:$BW$253,ROW()-3),"")</f>
        <v/>
      </c>
      <c r="C195" s="26" t="str">
        <f>IF($B195="","",ROUND(SUMIFS(周转筐出入库明细!$S$4:$S$2004,周转筐出入库明细!$C$4:$C$2004,$B195,周转筐出入库明细!$B$4:$B$2004,"&gt;="&amp;$O$1,周转筐出入库明细!$B$4:$B$2004,"&lt;="&amp;$O$2),2))</f>
        <v/>
      </c>
      <c r="D195" s="60" t="str">
        <f>IF($B195="","",ROUND(SUMIFS(周转筐出入库明细!$T$4:$T$2004,周转筐出入库明细!$C$4:$C$2004,$B195,周转筐出入库明细!$B$4:$B$2004,"&gt;="&amp;$O$1,周转筐出入库明细!$B$4:$B$2004,"&lt;="&amp;$O$2),2))</f>
        <v/>
      </c>
      <c r="E195" s="26" t="str">
        <f>IF($B195="","",ROUND(SUMIFS(次果筐明细!$J$4:$J$603,次果筐明细!$C$4:$C$603,$B195,次果筐明细!$B$4:$B$603,"&gt;="&amp;$O$1,次果筐明细!$B$4:$B$603,"&lt;="&amp;$O$2),2))</f>
        <v/>
      </c>
      <c r="F195" s="60" t="str">
        <f>IF($B195="","",ROUND(SUMIFS(次果筐明细!$K$4:$K$603,次果筐明细!$C$4:$C$603,$B195,次果筐明细!$B$4:$B$603,"&gt;="&amp;$O$1,次果筐明细!$B$4:$B$603,"&lt;="&amp;$O$2),2))</f>
        <v/>
      </c>
      <c r="G195" s="26" t="str">
        <f t="shared" si="11"/>
        <v/>
      </c>
      <c r="H195" s="60" t="str">
        <f t="shared" si="12"/>
        <v/>
      </c>
      <c r="I195" s="26" t="str">
        <f t="shared" si="13"/>
        <v/>
      </c>
      <c r="J195" s="24" t="str">
        <f t="shared" si="14"/>
        <v/>
      </c>
      <c r="K195" s="41"/>
    </row>
    <row r="196" spans="1:11">
      <c r="A196" s="24" t="str">
        <f t="shared" ref="A196:A203" si="15">IF($B196="","",ROW()-3)</f>
        <v/>
      </c>
      <c r="B196" s="24" t="str">
        <f>IFERROR(INDEX(_自动清单!$BW$4:$BW$253,ROW()-3),"")</f>
        <v/>
      </c>
      <c r="C196" s="26" t="str">
        <f>IF($B196="","",ROUND(SUMIFS(周转筐出入库明细!$S$4:$S$2004,周转筐出入库明细!$C$4:$C$2004,$B196,周转筐出入库明细!$B$4:$B$2004,"&gt;="&amp;$O$1,周转筐出入库明细!$B$4:$B$2004,"&lt;="&amp;$O$2),2))</f>
        <v/>
      </c>
      <c r="D196" s="60" t="str">
        <f>IF($B196="","",ROUND(SUMIFS(周转筐出入库明细!$T$4:$T$2004,周转筐出入库明细!$C$4:$C$2004,$B196,周转筐出入库明细!$B$4:$B$2004,"&gt;="&amp;$O$1,周转筐出入库明细!$B$4:$B$2004,"&lt;="&amp;$O$2),2))</f>
        <v/>
      </c>
      <c r="E196" s="26" t="str">
        <f>IF($B196="","",ROUND(SUMIFS(次果筐明细!$J$4:$J$603,次果筐明细!$C$4:$C$603,$B196,次果筐明细!$B$4:$B$603,"&gt;="&amp;$O$1,次果筐明细!$B$4:$B$603,"&lt;="&amp;$O$2),2))</f>
        <v/>
      </c>
      <c r="F196" s="60" t="str">
        <f>IF($B196="","",ROUND(SUMIFS(次果筐明细!$K$4:$K$603,次果筐明细!$C$4:$C$603,$B196,次果筐明细!$B$4:$B$603,"&gt;="&amp;$O$1,次果筐明细!$B$4:$B$603,"&lt;="&amp;$O$2),2))</f>
        <v/>
      </c>
      <c r="G196" s="26" t="str">
        <f t="shared" ref="G196:G203" si="16">IF($B196="","",ROUND(N($C196)+N($E196),2))</f>
        <v/>
      </c>
      <c r="H196" s="60" t="str">
        <f t="shared" ref="H196:H203" si="17">IF($B196="","",ROUND(N($D196)+N($F196),2))</f>
        <v/>
      </c>
      <c r="I196" s="26" t="str">
        <f t="shared" ref="I196:I203" si="18">IF($B196="","",ROUND(N($G196)-N($H196),2))</f>
        <v/>
      </c>
      <c r="J196" s="24" t="str">
        <f t="shared" ref="J196:J203" si="19">IF($B196="","",IF(ROUND(N($G196),2)=0,"无押金",IF(ROUND(N($I196),2)=0,"已结清","未结清")))</f>
        <v/>
      </c>
      <c r="K196" s="41"/>
    </row>
    <row r="197" spans="1:11">
      <c r="A197" s="24" t="str">
        <f t="shared" si="15"/>
        <v/>
      </c>
      <c r="B197" s="24" t="str">
        <f>IFERROR(INDEX(_自动清单!$BW$4:$BW$253,ROW()-3),"")</f>
        <v/>
      </c>
      <c r="C197" s="26" t="str">
        <f>IF($B197="","",ROUND(SUMIFS(周转筐出入库明细!$S$4:$S$2004,周转筐出入库明细!$C$4:$C$2004,$B197,周转筐出入库明细!$B$4:$B$2004,"&gt;="&amp;$O$1,周转筐出入库明细!$B$4:$B$2004,"&lt;="&amp;$O$2),2))</f>
        <v/>
      </c>
      <c r="D197" s="60" t="str">
        <f>IF($B197="","",ROUND(SUMIFS(周转筐出入库明细!$T$4:$T$2004,周转筐出入库明细!$C$4:$C$2004,$B197,周转筐出入库明细!$B$4:$B$2004,"&gt;="&amp;$O$1,周转筐出入库明细!$B$4:$B$2004,"&lt;="&amp;$O$2),2))</f>
        <v/>
      </c>
      <c r="E197" s="26" t="str">
        <f>IF($B197="","",ROUND(SUMIFS(次果筐明细!$J$4:$J$603,次果筐明细!$C$4:$C$603,$B197,次果筐明细!$B$4:$B$603,"&gt;="&amp;$O$1,次果筐明细!$B$4:$B$603,"&lt;="&amp;$O$2),2))</f>
        <v/>
      </c>
      <c r="F197" s="60" t="str">
        <f>IF($B197="","",ROUND(SUMIFS(次果筐明细!$K$4:$K$603,次果筐明细!$C$4:$C$603,$B197,次果筐明细!$B$4:$B$603,"&gt;="&amp;$O$1,次果筐明细!$B$4:$B$603,"&lt;="&amp;$O$2),2))</f>
        <v/>
      </c>
      <c r="G197" s="26" t="str">
        <f t="shared" si="16"/>
        <v/>
      </c>
      <c r="H197" s="60" t="str">
        <f t="shared" si="17"/>
        <v/>
      </c>
      <c r="I197" s="26" t="str">
        <f t="shared" si="18"/>
        <v/>
      </c>
      <c r="J197" s="24" t="str">
        <f t="shared" si="19"/>
        <v/>
      </c>
      <c r="K197" s="41"/>
    </row>
    <row r="198" spans="1:11">
      <c r="A198" s="24" t="str">
        <f t="shared" si="15"/>
        <v/>
      </c>
      <c r="B198" s="24" t="str">
        <f>IFERROR(INDEX(_自动清单!$BW$4:$BW$253,ROW()-3),"")</f>
        <v/>
      </c>
      <c r="C198" s="26" t="str">
        <f>IF($B198="","",ROUND(SUMIFS(周转筐出入库明细!$S$4:$S$2004,周转筐出入库明细!$C$4:$C$2004,$B198,周转筐出入库明细!$B$4:$B$2004,"&gt;="&amp;$O$1,周转筐出入库明细!$B$4:$B$2004,"&lt;="&amp;$O$2),2))</f>
        <v/>
      </c>
      <c r="D198" s="60" t="str">
        <f>IF($B198="","",ROUND(SUMIFS(周转筐出入库明细!$T$4:$T$2004,周转筐出入库明细!$C$4:$C$2004,$B198,周转筐出入库明细!$B$4:$B$2004,"&gt;="&amp;$O$1,周转筐出入库明细!$B$4:$B$2004,"&lt;="&amp;$O$2),2))</f>
        <v/>
      </c>
      <c r="E198" s="26" t="str">
        <f>IF($B198="","",ROUND(SUMIFS(次果筐明细!$J$4:$J$603,次果筐明细!$C$4:$C$603,$B198,次果筐明细!$B$4:$B$603,"&gt;="&amp;$O$1,次果筐明细!$B$4:$B$603,"&lt;="&amp;$O$2),2))</f>
        <v/>
      </c>
      <c r="F198" s="60" t="str">
        <f>IF($B198="","",ROUND(SUMIFS(次果筐明细!$K$4:$K$603,次果筐明细!$C$4:$C$603,$B198,次果筐明细!$B$4:$B$603,"&gt;="&amp;$O$1,次果筐明细!$B$4:$B$603,"&lt;="&amp;$O$2),2))</f>
        <v/>
      </c>
      <c r="G198" s="26" t="str">
        <f t="shared" si="16"/>
        <v/>
      </c>
      <c r="H198" s="60" t="str">
        <f t="shared" si="17"/>
        <v/>
      </c>
      <c r="I198" s="26" t="str">
        <f t="shared" si="18"/>
        <v/>
      </c>
      <c r="J198" s="24" t="str">
        <f t="shared" si="19"/>
        <v/>
      </c>
      <c r="K198" s="41"/>
    </row>
    <row r="199" spans="1:11">
      <c r="A199" s="24" t="str">
        <f t="shared" si="15"/>
        <v/>
      </c>
      <c r="B199" s="24" t="str">
        <f>IFERROR(INDEX(_自动清单!$BW$4:$BW$253,ROW()-3),"")</f>
        <v/>
      </c>
      <c r="C199" s="26" t="str">
        <f>IF($B199="","",ROUND(SUMIFS(周转筐出入库明细!$S$4:$S$2004,周转筐出入库明细!$C$4:$C$2004,$B199,周转筐出入库明细!$B$4:$B$2004,"&gt;="&amp;$O$1,周转筐出入库明细!$B$4:$B$2004,"&lt;="&amp;$O$2),2))</f>
        <v/>
      </c>
      <c r="D199" s="60" t="str">
        <f>IF($B199="","",ROUND(SUMIFS(周转筐出入库明细!$T$4:$T$2004,周转筐出入库明细!$C$4:$C$2004,$B199,周转筐出入库明细!$B$4:$B$2004,"&gt;="&amp;$O$1,周转筐出入库明细!$B$4:$B$2004,"&lt;="&amp;$O$2),2))</f>
        <v/>
      </c>
      <c r="E199" s="26" t="str">
        <f>IF($B199="","",ROUND(SUMIFS(次果筐明细!$J$4:$J$603,次果筐明细!$C$4:$C$603,$B199,次果筐明细!$B$4:$B$603,"&gt;="&amp;$O$1,次果筐明细!$B$4:$B$603,"&lt;="&amp;$O$2),2))</f>
        <v/>
      </c>
      <c r="F199" s="60" t="str">
        <f>IF($B199="","",ROUND(SUMIFS(次果筐明细!$K$4:$K$603,次果筐明细!$C$4:$C$603,$B199,次果筐明细!$B$4:$B$603,"&gt;="&amp;$O$1,次果筐明细!$B$4:$B$603,"&lt;="&amp;$O$2),2))</f>
        <v/>
      </c>
      <c r="G199" s="26" t="str">
        <f t="shared" si="16"/>
        <v/>
      </c>
      <c r="H199" s="60" t="str">
        <f t="shared" si="17"/>
        <v/>
      </c>
      <c r="I199" s="26" t="str">
        <f t="shared" si="18"/>
        <v/>
      </c>
      <c r="J199" s="24" t="str">
        <f t="shared" si="19"/>
        <v/>
      </c>
      <c r="K199" s="41"/>
    </row>
    <row r="200" spans="1:11">
      <c r="A200" s="24" t="str">
        <f t="shared" si="15"/>
        <v/>
      </c>
      <c r="B200" s="24" t="str">
        <f>IFERROR(INDEX(_自动清单!$BW$4:$BW$253,ROW()-3),"")</f>
        <v/>
      </c>
      <c r="C200" s="26" t="str">
        <f>IF($B200="","",ROUND(SUMIFS(周转筐出入库明细!$S$4:$S$2004,周转筐出入库明细!$C$4:$C$2004,$B200,周转筐出入库明细!$B$4:$B$2004,"&gt;="&amp;$O$1,周转筐出入库明细!$B$4:$B$2004,"&lt;="&amp;$O$2),2))</f>
        <v/>
      </c>
      <c r="D200" s="60" t="str">
        <f>IF($B200="","",ROUND(SUMIFS(周转筐出入库明细!$T$4:$T$2004,周转筐出入库明细!$C$4:$C$2004,$B200,周转筐出入库明细!$B$4:$B$2004,"&gt;="&amp;$O$1,周转筐出入库明细!$B$4:$B$2004,"&lt;="&amp;$O$2),2))</f>
        <v/>
      </c>
      <c r="E200" s="26" t="str">
        <f>IF($B200="","",ROUND(SUMIFS(次果筐明细!$J$4:$J$603,次果筐明细!$C$4:$C$603,$B200,次果筐明细!$B$4:$B$603,"&gt;="&amp;$O$1,次果筐明细!$B$4:$B$603,"&lt;="&amp;$O$2),2))</f>
        <v/>
      </c>
      <c r="F200" s="60" t="str">
        <f>IF($B200="","",ROUND(SUMIFS(次果筐明细!$K$4:$K$603,次果筐明细!$C$4:$C$603,$B200,次果筐明细!$B$4:$B$603,"&gt;="&amp;$O$1,次果筐明细!$B$4:$B$603,"&lt;="&amp;$O$2),2))</f>
        <v/>
      </c>
      <c r="G200" s="26" t="str">
        <f t="shared" si="16"/>
        <v/>
      </c>
      <c r="H200" s="60" t="str">
        <f t="shared" si="17"/>
        <v/>
      </c>
      <c r="I200" s="26" t="str">
        <f t="shared" si="18"/>
        <v/>
      </c>
      <c r="J200" s="24" t="str">
        <f t="shared" si="19"/>
        <v/>
      </c>
      <c r="K200" s="41"/>
    </row>
    <row r="201" spans="1:11">
      <c r="A201" s="24" t="str">
        <f t="shared" si="15"/>
        <v/>
      </c>
      <c r="B201" s="24" t="str">
        <f>IFERROR(INDEX(_自动清单!$BW$4:$BW$253,ROW()-3),"")</f>
        <v/>
      </c>
      <c r="C201" s="26" t="str">
        <f>IF($B201="","",ROUND(SUMIFS(周转筐出入库明细!$S$4:$S$2004,周转筐出入库明细!$C$4:$C$2004,$B201,周转筐出入库明细!$B$4:$B$2004,"&gt;="&amp;$O$1,周转筐出入库明细!$B$4:$B$2004,"&lt;="&amp;$O$2),2))</f>
        <v/>
      </c>
      <c r="D201" s="60" t="str">
        <f>IF($B201="","",ROUND(SUMIFS(周转筐出入库明细!$T$4:$T$2004,周转筐出入库明细!$C$4:$C$2004,$B201,周转筐出入库明细!$B$4:$B$2004,"&gt;="&amp;$O$1,周转筐出入库明细!$B$4:$B$2004,"&lt;="&amp;$O$2),2))</f>
        <v/>
      </c>
      <c r="E201" s="26" t="str">
        <f>IF($B201="","",ROUND(SUMIFS(次果筐明细!$J$4:$J$603,次果筐明细!$C$4:$C$603,$B201,次果筐明细!$B$4:$B$603,"&gt;="&amp;$O$1,次果筐明细!$B$4:$B$603,"&lt;="&amp;$O$2),2))</f>
        <v/>
      </c>
      <c r="F201" s="60" t="str">
        <f>IF($B201="","",ROUND(SUMIFS(次果筐明细!$K$4:$K$603,次果筐明细!$C$4:$C$603,$B201,次果筐明细!$B$4:$B$603,"&gt;="&amp;$O$1,次果筐明细!$B$4:$B$603,"&lt;="&amp;$O$2),2))</f>
        <v/>
      </c>
      <c r="G201" s="26" t="str">
        <f t="shared" si="16"/>
        <v/>
      </c>
      <c r="H201" s="60" t="str">
        <f t="shared" si="17"/>
        <v/>
      </c>
      <c r="I201" s="26" t="str">
        <f t="shared" si="18"/>
        <v/>
      </c>
      <c r="J201" s="24" t="str">
        <f t="shared" si="19"/>
        <v/>
      </c>
      <c r="K201" s="41"/>
    </row>
    <row r="202" spans="1:11">
      <c r="A202" s="24" t="str">
        <f t="shared" si="15"/>
        <v/>
      </c>
      <c r="B202" s="24" t="str">
        <f>IFERROR(INDEX(_自动清单!$BW$4:$BW$253,ROW()-3),"")</f>
        <v/>
      </c>
      <c r="C202" s="26" t="str">
        <f>IF($B202="","",ROUND(SUMIFS(周转筐出入库明细!$S$4:$S$2004,周转筐出入库明细!$C$4:$C$2004,$B202,周转筐出入库明细!$B$4:$B$2004,"&gt;="&amp;$O$1,周转筐出入库明细!$B$4:$B$2004,"&lt;="&amp;$O$2),2))</f>
        <v/>
      </c>
      <c r="D202" s="60" t="str">
        <f>IF($B202="","",ROUND(SUMIFS(周转筐出入库明细!$T$4:$T$2004,周转筐出入库明细!$C$4:$C$2004,$B202,周转筐出入库明细!$B$4:$B$2004,"&gt;="&amp;$O$1,周转筐出入库明细!$B$4:$B$2004,"&lt;="&amp;$O$2),2))</f>
        <v/>
      </c>
      <c r="E202" s="26" t="str">
        <f>IF($B202="","",ROUND(SUMIFS(次果筐明细!$J$4:$J$603,次果筐明细!$C$4:$C$603,$B202,次果筐明细!$B$4:$B$603,"&gt;="&amp;$O$1,次果筐明细!$B$4:$B$603,"&lt;="&amp;$O$2),2))</f>
        <v/>
      </c>
      <c r="F202" s="60" t="str">
        <f>IF($B202="","",ROUND(SUMIFS(次果筐明细!$K$4:$K$603,次果筐明细!$C$4:$C$603,$B202,次果筐明细!$B$4:$B$603,"&gt;="&amp;$O$1,次果筐明细!$B$4:$B$603,"&lt;="&amp;$O$2),2))</f>
        <v/>
      </c>
      <c r="G202" s="26" t="str">
        <f t="shared" si="16"/>
        <v/>
      </c>
      <c r="H202" s="60" t="str">
        <f t="shared" si="17"/>
        <v/>
      </c>
      <c r="I202" s="26" t="str">
        <f t="shared" si="18"/>
        <v/>
      </c>
      <c r="J202" s="24" t="str">
        <f t="shared" si="19"/>
        <v/>
      </c>
      <c r="K202" s="41"/>
    </row>
    <row r="203" spans="1:11">
      <c r="A203" s="24" t="str">
        <f t="shared" si="15"/>
        <v/>
      </c>
      <c r="B203" s="24" t="str">
        <f>IFERROR(INDEX(_自动清单!$BW$4:$BW$253,ROW()-3),"")</f>
        <v/>
      </c>
      <c r="C203" s="26" t="str">
        <f>IF($B203="","",ROUND(SUMIFS(周转筐出入库明细!$S$4:$S$2004,周转筐出入库明细!$C$4:$C$2004,$B203,周转筐出入库明细!$B$4:$B$2004,"&gt;="&amp;$O$1,周转筐出入库明细!$B$4:$B$2004,"&lt;="&amp;$O$2),2))</f>
        <v/>
      </c>
      <c r="D203" s="60" t="str">
        <f>IF($B203="","",ROUND(SUMIFS(周转筐出入库明细!$T$4:$T$2004,周转筐出入库明细!$C$4:$C$2004,$B203,周转筐出入库明细!$B$4:$B$2004,"&gt;="&amp;$O$1,周转筐出入库明细!$B$4:$B$2004,"&lt;="&amp;$O$2),2))</f>
        <v/>
      </c>
      <c r="E203" s="26" t="str">
        <f>IF($B203="","",ROUND(SUMIFS(次果筐明细!$J$4:$J$603,次果筐明细!$C$4:$C$603,$B203,次果筐明细!$B$4:$B$603,"&gt;="&amp;$O$1,次果筐明细!$B$4:$B$603,"&lt;="&amp;$O$2),2))</f>
        <v/>
      </c>
      <c r="F203" s="60" t="str">
        <f>IF($B203="","",ROUND(SUMIFS(次果筐明细!$K$4:$K$603,次果筐明细!$C$4:$C$603,$B203,次果筐明细!$B$4:$B$603,"&gt;="&amp;$O$1,次果筐明细!$B$4:$B$603,"&lt;="&amp;$O$2),2))</f>
        <v/>
      </c>
      <c r="G203" s="26" t="str">
        <f t="shared" si="16"/>
        <v/>
      </c>
      <c r="H203" s="60" t="str">
        <f t="shared" si="17"/>
        <v/>
      </c>
      <c r="I203" s="26" t="str">
        <f t="shared" si="18"/>
        <v/>
      </c>
      <c r="J203" s="24" t="str">
        <f t="shared" si="19"/>
        <v/>
      </c>
      <c r="K203" s="41"/>
    </row>
    <row r="204" spans="1:11">
      <c r="A204" s="51"/>
      <c r="B204" s="51" t="s">
        <v>473</v>
      </c>
      <c r="C204" s="59">
        <f t="shared" ref="C204:I204" si="20">ROUND(SUM(C4:C203),2)</f>
        <v>3000</v>
      </c>
      <c r="D204" s="61">
        <f t="shared" si="20"/>
        <v>3000</v>
      </c>
      <c r="E204" s="59">
        <f t="shared" si="20"/>
        <v>0</v>
      </c>
      <c r="F204" s="61">
        <f t="shared" si="20"/>
        <v>0</v>
      </c>
      <c r="G204" s="59">
        <f t="shared" si="20"/>
        <v>3000</v>
      </c>
      <c r="H204" s="61">
        <f t="shared" si="20"/>
        <v>3000</v>
      </c>
      <c r="I204" s="59">
        <f t="shared" si="20"/>
        <v>0</v>
      </c>
      <c r="J204" s="51"/>
      <c r="K204" s="51"/>
    </row>
  </sheetData>
  <mergeCells count="2">
    <mergeCell ref="A1:K1"/>
    <mergeCell ref="A2:G2"/>
  </mergeCells>
  <conditionalFormatting sqref="A2">
    <cfRule type="expression" dxfId="0" priority="1">
      <formula>(N(_自动清单!$BS$1)&gt;200)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AF204"/>
  <sheetViews>
    <sheetView showGridLines="0" workbookViewId="0">
      <pane xSplit="2" ySplit="3" topLeftCell="J4" activePane="bottomRight" state="frozen"/>
      <selection/>
      <selection pane="topRight"/>
      <selection pane="bottomLeft"/>
      <selection pane="bottomRight" activeCell="AB12" sqref="AB12"/>
    </sheetView>
  </sheetViews>
  <sheetFormatPr defaultColWidth="9" defaultRowHeight="15"/>
  <cols>
    <col min="1" max="1" width="5" style="53" customWidth="1"/>
    <col min="2" max="2" width="15" style="53" customWidth="1"/>
    <col min="3" max="20" width="10" style="53" customWidth="1"/>
    <col min="21" max="21" width="11" style="53" customWidth="1"/>
    <col min="22" max="22" width="12" style="53" customWidth="1"/>
    <col min="23" max="23" width="13" style="53" customWidth="1"/>
    <col min="24" max="24" width="12" style="53" customWidth="1"/>
    <col min="25" max="27" width="13" style="53" customWidth="1"/>
    <col min="28" max="28" width="14" style="53" customWidth="1"/>
    <col min="29" max="31" width="9" style="53"/>
    <col min="32" max="32" width="10.1428571428571" style="53"/>
    <col min="33" max="16384" width="9" style="53"/>
  </cols>
  <sheetData>
    <row r="1" ht="30" customHeight="1" spans="1:32">
      <c r="A1" s="7" t="s">
        <v>524</v>
      </c>
      <c r="AF1" s="54">
        <f>IF($Z2="",DATE(1900,1,1),$Z2)</f>
        <v>1</v>
      </c>
    </row>
    <row r="2" ht="20" customHeight="1" spans="1:32">
      <c r="A2" s="55" t="s">
        <v>465</v>
      </c>
      <c r="Y2" s="13" t="s">
        <v>466</v>
      </c>
      <c r="Z2" s="19"/>
      <c r="AA2" s="13" t="s">
        <v>467</v>
      </c>
      <c r="AB2" s="19"/>
      <c r="AF2" s="54">
        <f>IF($AB2="",DATE(2999,12,31),$AB2)</f>
        <v>401768</v>
      </c>
    </row>
    <row r="3" ht="30" customHeight="1" spans="1:32">
      <c r="A3" s="21" t="s">
        <v>3</v>
      </c>
      <c r="B3" s="21" t="s">
        <v>525</v>
      </c>
      <c r="C3" s="21" t="str">
        <f>IF(_自动清单!$G$4="","（备用）",_自动清单!$G$4)</f>
        <v>气泡垫</v>
      </c>
      <c r="D3" s="21" t="str">
        <f>IF(_自动清单!$G$5="","（备用）",_自动清单!$G$5)</f>
        <v>无纺布</v>
      </c>
      <c r="E3" s="21" t="str">
        <f>IF(_自动清单!$G$6="","（备用）",_自动清单!$G$6)</f>
        <v>纸垫板</v>
      </c>
      <c r="F3" s="21" t="str">
        <f>IF(_自动清单!$G$7="","（备用）",_自动清单!$G$7)</f>
        <v>香梨纸</v>
      </c>
      <c r="G3" s="21" t="str">
        <f>IF(_自动清单!$G$8="","（备用）",_自动清单!$G$8)</f>
        <v>冷煤/氟利昂</v>
      </c>
      <c r="H3" s="21" t="str">
        <f>IF(_自动清单!$G$9="","（备用）",_自动清单!$G$9)</f>
        <v>胶带</v>
      </c>
      <c r="I3" s="21" t="str">
        <f>IF(_自动清单!$G$10="","（备用）",_自动清单!$G$10)</f>
        <v>香梨网</v>
      </c>
      <c r="J3" s="21" t="str">
        <f>IF(_自动清单!$G$11="","（备用）",_自动清单!$G$11)</f>
        <v>（备用）</v>
      </c>
      <c r="K3" s="21" t="str">
        <f>IF(_自动清单!$G$12="","（备用）",_自动清单!$G$12)</f>
        <v>（备用）</v>
      </c>
      <c r="L3" s="21" t="str">
        <f>IF(_自动清单!$G$13="","（备用）",_自动清单!$G$13)</f>
        <v>（备用）</v>
      </c>
      <c r="M3" s="21" t="str">
        <f>IF(_自动清单!$G$14="","（备用）",_自动清单!$G$14)</f>
        <v>（备用）</v>
      </c>
      <c r="N3" s="21" t="str">
        <f>IF(_自动清单!$G$15="","（备用）",_自动清单!$G$15)</f>
        <v>（备用）</v>
      </c>
      <c r="O3" s="21" t="str">
        <f>IF(_自动清单!$G$16="","（备用）",_自动清单!$G$16)</f>
        <v>（备用）</v>
      </c>
      <c r="P3" s="21" t="str">
        <f>IF(_自动清单!$G$17="","（备用）",_自动清单!$G$17)</f>
        <v>（备用）</v>
      </c>
      <c r="Q3" s="21" t="str">
        <f>IF(_自动清单!$G$18="","（备用）",_自动清单!$G$18)</f>
        <v>（备用）</v>
      </c>
      <c r="R3" s="21" t="str">
        <f>IF(_自动清单!$G$19="","（备用）",_自动清单!$G$19)</f>
        <v>（备用）</v>
      </c>
      <c r="S3" s="21" t="str">
        <f>IF(_自动清单!$G$20="","（备用）",_自动清单!$G$20)</f>
        <v>（备用）</v>
      </c>
      <c r="T3" s="21" t="str">
        <f>IF(_自动清单!$G$21="","（备用）",_自动清单!$G$21)</f>
        <v>（备用）</v>
      </c>
      <c r="U3" s="21" t="s">
        <v>526</v>
      </c>
      <c r="V3" s="21" t="s">
        <v>527</v>
      </c>
      <c r="W3" s="21" t="s">
        <v>528</v>
      </c>
      <c r="X3" s="21" t="s">
        <v>529</v>
      </c>
      <c r="Y3" s="21" t="s">
        <v>530</v>
      </c>
      <c r="Z3" s="21" t="s">
        <v>500</v>
      </c>
      <c r="AA3" s="21" t="s">
        <v>501</v>
      </c>
      <c r="AB3" s="21" t="s">
        <v>306</v>
      </c>
    </row>
    <row r="4" spans="1:32">
      <c r="A4" s="24">
        <f t="shared" ref="A4:A67" si="0">IF($B4="","",ROW()-3)</f>
        <v>1</v>
      </c>
      <c r="B4" s="24" t="str">
        <f>IFERROR(INDEX(_自动清单!$O$4:$O$203,ROW()-3),"")</f>
        <v>果然鲜</v>
      </c>
      <c r="C4" s="25">
        <f>IF(OR($B4="",_自动清单!$G$4=""),"",SUMIFS(包装物料出入库明细!$J$4:$J$2003,包装物料出入库明细!$D$4:$D$2003,$B4,包装物料出入库明细!$E$4:$E$2003,_自动清单!$G$4,包装物料出入库明细!$B$4:$B$2003,"&gt;="&amp;$AF$1,包装物料出入库明细!$B$4:$B$2003,"&lt;="&amp;$AF$2))</f>
        <v>0</v>
      </c>
      <c r="D4" s="25">
        <f>IF(OR($B4="",_自动清单!$G$5=""),"",SUMIFS(包装物料出入库明细!$J$4:$J$2003,包装物料出入库明细!$D$4:$D$2003,$B4,包装物料出入库明细!$E$4:$E$2003,_自动清单!$G$5,包装物料出入库明细!$B$4:$B$2003,"&gt;="&amp;$AF$1,包装物料出入库明细!$B$4:$B$2003,"&lt;="&amp;$AF$2))</f>
        <v>0</v>
      </c>
      <c r="E4" s="25">
        <f>IF(OR($B4="",_自动清单!$G$6=""),"",SUMIFS(包装物料出入库明细!$J$4:$J$2003,包装物料出入库明细!$D$4:$D$2003,$B4,包装物料出入库明细!$E$4:$E$2003,_自动清单!$G$6,包装物料出入库明细!$B$4:$B$2003,"&gt;="&amp;$AF$1,包装物料出入库明细!$B$4:$B$2003,"&lt;="&amp;$AF$2))</f>
        <v>0</v>
      </c>
      <c r="F4" s="25">
        <f>IF(OR($B4="",_自动清单!$G$7=""),"",SUMIFS(包装物料出入库明细!$J$4:$J$2003,包装物料出入库明细!$D$4:$D$2003,$B4,包装物料出入库明细!$E$4:$E$2003,_自动清单!$G$7,包装物料出入库明细!$B$4:$B$2003,"&gt;="&amp;$AF$1,包装物料出入库明细!$B$4:$B$2003,"&lt;="&amp;$AF$2))</f>
        <v>0</v>
      </c>
      <c r="G4" s="25">
        <f>IF(OR($B4="",_自动清单!$G$8=""),"",SUMIFS(包装物料出入库明细!$J$4:$J$2003,包装物料出入库明细!$D$4:$D$2003,$B4,包装物料出入库明细!$E$4:$E$2003,_自动清单!$G$8,包装物料出入库明细!$B$4:$B$2003,"&gt;="&amp;$AF$1,包装物料出入库明细!$B$4:$B$2003,"&lt;="&amp;$AF$2))</f>
        <v>0</v>
      </c>
      <c r="H4" s="25">
        <f>IF(OR($B4="",_自动清单!$G$9=""),"",SUMIFS(包装物料出入库明细!$J$4:$J$2003,包装物料出入库明细!$D$4:$D$2003,$B4,包装物料出入库明细!$E$4:$E$2003,_自动清单!$G$9,包装物料出入库明细!$B$4:$B$2003,"&gt;="&amp;$AF$1,包装物料出入库明细!$B$4:$B$2003,"&lt;="&amp;$AF$2))</f>
        <v>0</v>
      </c>
      <c r="I4" s="25">
        <f>IF(OR($B4="",_自动清单!$G$10=""),"",SUMIFS(包装物料出入库明细!$J$4:$J$2003,包装物料出入库明细!$D$4:$D$2003,$B4,包装物料出入库明细!$E$4:$E$2003,_自动清单!$G$10,包装物料出入库明细!$B$4:$B$2003,"&gt;="&amp;$AF$1,包装物料出入库明细!$B$4:$B$2003,"&lt;="&amp;$AF$2))</f>
        <v>0</v>
      </c>
      <c r="J4" s="25" t="str">
        <f>IF(OR($B4="",_自动清单!$G$11=""),"",SUMIFS(包装物料出入库明细!$J$4:$J$2003,包装物料出入库明细!$D$4:$D$2003,$B4,包装物料出入库明细!$E$4:$E$2003,_自动清单!$G$11,包装物料出入库明细!$B$4:$B$2003,"&gt;="&amp;$AF$1,包装物料出入库明细!$B$4:$B$2003,"&lt;="&amp;$AF$2))</f>
        <v/>
      </c>
      <c r="K4" s="25" t="str">
        <f>IF(OR($B4="",_自动清单!$G$12=""),"",SUMIFS(包装物料出入库明细!$J$4:$J$2003,包装物料出入库明细!$D$4:$D$2003,$B4,包装物料出入库明细!$E$4:$E$2003,_自动清单!$G$12,包装物料出入库明细!$B$4:$B$2003,"&gt;="&amp;$AF$1,包装物料出入库明细!$B$4:$B$2003,"&lt;="&amp;$AF$2))</f>
        <v/>
      </c>
      <c r="L4" s="25" t="str">
        <f>IF(OR($B4="",_自动清单!$G$13=""),"",SUMIFS(包装物料出入库明细!$J$4:$J$2003,包装物料出入库明细!$D$4:$D$2003,$B4,包装物料出入库明细!$E$4:$E$2003,_自动清单!$G$13,包装物料出入库明细!$B$4:$B$2003,"&gt;="&amp;$AF$1,包装物料出入库明细!$B$4:$B$2003,"&lt;="&amp;$AF$2))</f>
        <v/>
      </c>
      <c r="M4" s="25" t="str">
        <f>IF(OR($B4="",_自动清单!$G$14=""),"",SUMIFS(包装物料出入库明细!$J$4:$J$2003,包装物料出入库明细!$D$4:$D$2003,$B4,包装物料出入库明细!$E$4:$E$2003,_自动清单!$G$14,包装物料出入库明细!$B$4:$B$2003,"&gt;="&amp;$AF$1,包装物料出入库明细!$B$4:$B$2003,"&lt;="&amp;$AF$2))</f>
        <v/>
      </c>
      <c r="N4" s="25" t="str">
        <f>IF(OR($B4="",_自动清单!$G$15=""),"",SUMIFS(包装物料出入库明细!$J$4:$J$2003,包装物料出入库明细!$D$4:$D$2003,$B4,包装物料出入库明细!$E$4:$E$2003,_自动清单!$G$15,包装物料出入库明细!$B$4:$B$2003,"&gt;="&amp;$AF$1,包装物料出入库明细!$B$4:$B$2003,"&lt;="&amp;$AF$2))</f>
        <v/>
      </c>
      <c r="O4" s="25" t="str">
        <f>IF(OR($B4="",_自动清单!$G$16=""),"",SUMIFS(包装物料出入库明细!$J$4:$J$2003,包装物料出入库明细!$D$4:$D$2003,$B4,包装物料出入库明细!$E$4:$E$2003,_自动清单!$G$16,包装物料出入库明细!$B$4:$B$2003,"&gt;="&amp;$AF$1,包装物料出入库明细!$B$4:$B$2003,"&lt;="&amp;$AF$2))</f>
        <v/>
      </c>
      <c r="P4" s="25" t="str">
        <f>IF(OR($B4="",_自动清单!$G$17=""),"",SUMIFS(包装物料出入库明细!$J$4:$J$2003,包装物料出入库明细!$D$4:$D$2003,$B4,包装物料出入库明细!$E$4:$E$2003,_自动清单!$G$17,包装物料出入库明细!$B$4:$B$2003,"&gt;="&amp;$AF$1,包装物料出入库明细!$B$4:$B$2003,"&lt;="&amp;$AF$2))</f>
        <v/>
      </c>
      <c r="Q4" s="25" t="str">
        <f>IF(OR($B4="",_自动清单!$G$18=""),"",SUMIFS(包装物料出入库明细!$J$4:$J$2003,包装物料出入库明细!$D$4:$D$2003,$B4,包装物料出入库明细!$E$4:$E$2003,_自动清单!$G$18,包装物料出入库明细!$B$4:$B$2003,"&gt;="&amp;$AF$1,包装物料出入库明细!$B$4:$B$2003,"&lt;="&amp;$AF$2))</f>
        <v/>
      </c>
      <c r="R4" s="25" t="str">
        <f>IF(OR($B4="",_自动清单!$G$19=""),"",SUMIFS(包装物料出入库明细!$J$4:$J$2003,包装物料出入库明细!$D$4:$D$2003,$B4,包装物料出入库明细!$E$4:$E$2003,_自动清单!$G$19,包装物料出入库明细!$B$4:$B$2003,"&gt;="&amp;$AF$1,包装物料出入库明细!$B$4:$B$2003,"&lt;="&amp;$AF$2))</f>
        <v/>
      </c>
      <c r="S4" s="25" t="str">
        <f>IF(OR($B4="",_自动清单!$G$20=""),"",SUMIFS(包装物料出入库明细!$J$4:$J$2003,包装物料出入库明细!$D$4:$D$2003,$B4,包装物料出入库明细!$E$4:$E$2003,_自动清单!$G$20,包装物料出入库明细!$B$4:$B$2003,"&gt;="&amp;$AF$1,包装物料出入库明细!$B$4:$B$2003,"&lt;="&amp;$AF$2))</f>
        <v/>
      </c>
      <c r="T4" s="25" t="str">
        <f>IF(OR($B4="",_自动清单!$G$21=""),"",SUMIFS(包装物料出入库明细!$J$4:$J$2003,包装物料出入库明细!$D$4:$D$2003,$B4,包装物料出入库明细!$E$4:$E$2003,_自动清单!$G$21,包装物料出入库明细!$B$4:$B$2003,"&gt;="&amp;$AF$1,包装物料出入库明细!$B$4:$B$2003,"&lt;="&amp;$AF$2))</f>
        <v/>
      </c>
      <c r="U4" s="25">
        <f>IF($B4="","",SUMIFS(包装物料出入库明细!$J$4:$J$2003,包装物料出入库明细!$D$4:$D$2003,$B4,包装物料出入库明细!$B$4:$B$2003,"&gt;="&amp;$AF$1,包装物料出入库明细!$B$4:$B$2003,"&lt;="&amp;$AF$2)-SUM($C4:$T4))</f>
        <v>0</v>
      </c>
      <c r="V4" s="25">
        <f t="shared" ref="V4:V67" si="1">IF($B4="","",SUM($C4:$U4))</f>
        <v>0</v>
      </c>
      <c r="W4" s="56">
        <f>IF($B4="","",SUMIFS(包装物料出入库明细!$K$4:$K$2003,包装物料出入库明细!$D$4:$D$2003,$B4,包装物料出入库明细!$B$4:$B$2003,"&gt;="&amp;$AF$1,包装物料出入库明细!$B$4:$B$2003,"&lt;="&amp;$AF$2))</f>
        <v>0</v>
      </c>
      <c r="X4" s="25">
        <f t="shared" ref="X4:X67" si="2">IF($B4="","",N($V4)-N($W4))</f>
        <v>0</v>
      </c>
      <c r="Y4" s="26">
        <f>IF($B4="","",ROUND(SUMIFS(包装物料出入库明细!$N$4:$N$2003,包装物料出入库明细!$D$4:$D$2003,$B4,包装物料出入库明细!$H$4:$H$2003,"销售出库",包装物料出入库明细!$B$4:$B$2003,"&gt;="&amp;$AF$1,包装物料出入库明细!$B$4:$B$2003,"&lt;="&amp;$AF$2),2))</f>
        <v>0</v>
      </c>
      <c r="Z4" s="26">
        <f>IF($B4="","",ROUND(SUMIFS(包装物料出入库明细!$N$4:$N$2003,包装物料出入库明细!$D$4:$D$2003,$B4,包装物料出入库明细!$H$4:$H$2003,"销售出库",包装物料出入库明细!$P$4:$P$2003,"已收讫",包装物料出入库明细!$B$4:$B$2003,"&gt;="&amp;$AF$1,包装物料出入库明细!$B$4:$B$2003,"&lt;="&amp;$AF$2),2))</f>
        <v>0</v>
      </c>
      <c r="AA4" s="26">
        <f t="shared" ref="AA4:AA67" si="3">IF($B4="","",ROUND(N($Y4)-N($Z4),2))</f>
        <v>0</v>
      </c>
      <c r="AB4" s="41"/>
    </row>
    <row r="5" spans="1:32">
      <c r="A5" s="24">
        <f t="shared" si="0"/>
        <v>2</v>
      </c>
      <c r="B5" s="24" t="str">
        <f>IFERROR(INDEX(_自动清单!$O$4:$O$203,ROW()-3),"")</f>
        <v>新顺发泡网</v>
      </c>
      <c r="C5" s="25">
        <f>IF(OR($B5="",_自动清单!$G$4=""),"",SUMIFS(包装物料出入库明细!$J$4:$J$2003,包装物料出入库明细!$D$4:$D$2003,$B5,包装物料出入库明细!$E$4:$E$2003,_自动清单!$G$4,包装物料出入库明细!$B$4:$B$2003,"&gt;="&amp;$AF$1,包装物料出入库明细!$B$4:$B$2003,"&lt;="&amp;$AF$2))</f>
        <v>0</v>
      </c>
      <c r="D5" s="25">
        <f>IF(OR($B5="",_自动清单!$G$5=""),"",SUMIFS(包装物料出入库明细!$J$4:$J$2003,包装物料出入库明细!$D$4:$D$2003,$B5,包装物料出入库明细!$E$4:$E$2003,_自动清单!$G$5,包装物料出入库明细!$B$4:$B$2003,"&gt;="&amp;$AF$1,包装物料出入库明细!$B$4:$B$2003,"&lt;="&amp;$AF$2))</f>
        <v>0</v>
      </c>
      <c r="E5" s="25">
        <f>IF(OR($B5="",_自动清单!$G$6=""),"",SUMIFS(包装物料出入库明细!$J$4:$J$2003,包装物料出入库明细!$D$4:$D$2003,$B5,包装物料出入库明细!$E$4:$E$2003,_自动清单!$G$6,包装物料出入库明细!$B$4:$B$2003,"&gt;="&amp;$AF$1,包装物料出入库明细!$B$4:$B$2003,"&lt;="&amp;$AF$2))</f>
        <v>0</v>
      </c>
      <c r="F5" s="25">
        <f>IF(OR($B5="",_自动清单!$G$7=""),"",SUMIFS(包装物料出入库明细!$J$4:$J$2003,包装物料出入库明细!$D$4:$D$2003,$B5,包装物料出入库明细!$E$4:$E$2003,_自动清单!$G$7,包装物料出入库明细!$B$4:$B$2003,"&gt;="&amp;$AF$1,包装物料出入库明细!$B$4:$B$2003,"&lt;="&amp;$AF$2))</f>
        <v>0</v>
      </c>
      <c r="G5" s="25">
        <f>IF(OR($B5="",_自动清单!$G$8=""),"",SUMIFS(包装物料出入库明细!$J$4:$J$2003,包装物料出入库明细!$D$4:$D$2003,$B5,包装物料出入库明细!$E$4:$E$2003,_自动清单!$G$8,包装物料出入库明细!$B$4:$B$2003,"&gt;="&amp;$AF$1,包装物料出入库明细!$B$4:$B$2003,"&lt;="&amp;$AF$2))</f>
        <v>0</v>
      </c>
      <c r="H5" s="25">
        <f>IF(OR($B5="",_自动清单!$G$9=""),"",SUMIFS(包装物料出入库明细!$J$4:$J$2003,包装物料出入库明细!$D$4:$D$2003,$B5,包装物料出入库明细!$E$4:$E$2003,_自动清单!$G$9,包装物料出入库明细!$B$4:$B$2003,"&gt;="&amp;$AF$1,包装物料出入库明细!$B$4:$B$2003,"&lt;="&amp;$AF$2))</f>
        <v>0</v>
      </c>
      <c r="I5" s="25">
        <f>IF(OR($B5="",_自动清单!$G$10=""),"",SUMIFS(包装物料出入库明细!$J$4:$J$2003,包装物料出入库明细!$D$4:$D$2003,$B5,包装物料出入库明细!$E$4:$E$2003,_自动清单!$G$10,包装物料出入库明细!$B$4:$B$2003,"&gt;="&amp;$AF$1,包装物料出入库明细!$B$4:$B$2003,"&lt;="&amp;$AF$2))</f>
        <v>0</v>
      </c>
      <c r="J5" s="25" t="str">
        <f>IF(OR($B5="",_自动清单!$G$11=""),"",SUMIFS(包装物料出入库明细!$J$4:$J$2003,包装物料出入库明细!$D$4:$D$2003,$B5,包装物料出入库明细!$E$4:$E$2003,_自动清单!$G$11,包装物料出入库明细!$B$4:$B$2003,"&gt;="&amp;$AF$1,包装物料出入库明细!$B$4:$B$2003,"&lt;="&amp;$AF$2))</f>
        <v/>
      </c>
      <c r="K5" s="25" t="str">
        <f>IF(OR($B5="",_自动清单!$G$12=""),"",SUMIFS(包装物料出入库明细!$J$4:$J$2003,包装物料出入库明细!$D$4:$D$2003,$B5,包装物料出入库明细!$E$4:$E$2003,_自动清单!$G$12,包装物料出入库明细!$B$4:$B$2003,"&gt;="&amp;$AF$1,包装物料出入库明细!$B$4:$B$2003,"&lt;="&amp;$AF$2))</f>
        <v/>
      </c>
      <c r="L5" s="25" t="str">
        <f>IF(OR($B5="",_自动清单!$G$13=""),"",SUMIFS(包装物料出入库明细!$J$4:$J$2003,包装物料出入库明细!$D$4:$D$2003,$B5,包装物料出入库明细!$E$4:$E$2003,_自动清单!$G$13,包装物料出入库明细!$B$4:$B$2003,"&gt;="&amp;$AF$1,包装物料出入库明细!$B$4:$B$2003,"&lt;="&amp;$AF$2))</f>
        <v/>
      </c>
      <c r="M5" s="25" t="str">
        <f>IF(OR($B5="",_自动清单!$G$14=""),"",SUMIFS(包装物料出入库明细!$J$4:$J$2003,包装物料出入库明细!$D$4:$D$2003,$B5,包装物料出入库明细!$E$4:$E$2003,_自动清单!$G$14,包装物料出入库明细!$B$4:$B$2003,"&gt;="&amp;$AF$1,包装物料出入库明细!$B$4:$B$2003,"&lt;="&amp;$AF$2))</f>
        <v/>
      </c>
      <c r="N5" s="25" t="str">
        <f>IF(OR($B5="",_自动清单!$G$15=""),"",SUMIFS(包装物料出入库明细!$J$4:$J$2003,包装物料出入库明细!$D$4:$D$2003,$B5,包装物料出入库明细!$E$4:$E$2003,_自动清单!$G$15,包装物料出入库明细!$B$4:$B$2003,"&gt;="&amp;$AF$1,包装物料出入库明细!$B$4:$B$2003,"&lt;="&amp;$AF$2))</f>
        <v/>
      </c>
      <c r="O5" s="25" t="str">
        <f>IF(OR($B5="",_自动清单!$G$16=""),"",SUMIFS(包装物料出入库明细!$J$4:$J$2003,包装物料出入库明细!$D$4:$D$2003,$B5,包装物料出入库明细!$E$4:$E$2003,_自动清单!$G$16,包装物料出入库明细!$B$4:$B$2003,"&gt;="&amp;$AF$1,包装物料出入库明细!$B$4:$B$2003,"&lt;="&amp;$AF$2))</f>
        <v/>
      </c>
      <c r="P5" s="25" t="str">
        <f>IF(OR($B5="",_自动清单!$G$17=""),"",SUMIFS(包装物料出入库明细!$J$4:$J$2003,包装物料出入库明细!$D$4:$D$2003,$B5,包装物料出入库明细!$E$4:$E$2003,_自动清单!$G$17,包装物料出入库明细!$B$4:$B$2003,"&gt;="&amp;$AF$1,包装物料出入库明细!$B$4:$B$2003,"&lt;="&amp;$AF$2))</f>
        <v/>
      </c>
      <c r="Q5" s="25" t="str">
        <f>IF(OR($B5="",_自动清单!$G$18=""),"",SUMIFS(包装物料出入库明细!$J$4:$J$2003,包装物料出入库明细!$D$4:$D$2003,$B5,包装物料出入库明细!$E$4:$E$2003,_自动清单!$G$18,包装物料出入库明细!$B$4:$B$2003,"&gt;="&amp;$AF$1,包装物料出入库明细!$B$4:$B$2003,"&lt;="&amp;$AF$2))</f>
        <v/>
      </c>
      <c r="R5" s="25" t="str">
        <f>IF(OR($B5="",_自动清单!$G$19=""),"",SUMIFS(包装物料出入库明细!$J$4:$J$2003,包装物料出入库明细!$D$4:$D$2003,$B5,包装物料出入库明细!$E$4:$E$2003,_自动清单!$G$19,包装物料出入库明细!$B$4:$B$2003,"&gt;="&amp;$AF$1,包装物料出入库明细!$B$4:$B$2003,"&lt;="&amp;$AF$2))</f>
        <v/>
      </c>
      <c r="S5" s="25" t="str">
        <f>IF(OR($B5="",_自动清单!$G$20=""),"",SUMIFS(包装物料出入库明细!$J$4:$J$2003,包装物料出入库明细!$D$4:$D$2003,$B5,包装物料出入库明细!$E$4:$E$2003,_自动清单!$G$20,包装物料出入库明细!$B$4:$B$2003,"&gt;="&amp;$AF$1,包装物料出入库明细!$B$4:$B$2003,"&lt;="&amp;$AF$2))</f>
        <v/>
      </c>
      <c r="T5" s="25" t="str">
        <f>IF(OR($B5="",_自动清单!$G$21=""),"",SUMIFS(包装物料出入库明细!$J$4:$J$2003,包装物料出入库明细!$D$4:$D$2003,$B5,包装物料出入库明细!$E$4:$E$2003,_自动清单!$G$21,包装物料出入库明细!$B$4:$B$2003,"&gt;="&amp;$AF$1,包装物料出入库明细!$B$4:$B$2003,"&lt;="&amp;$AF$2))</f>
        <v/>
      </c>
      <c r="U5" s="25">
        <f>IF($B5="","",SUMIFS(包装物料出入库明细!$J$4:$J$2003,包装物料出入库明细!$D$4:$D$2003,$B5,包装物料出入库明细!$B$4:$B$2003,"&gt;="&amp;$AF$1,包装物料出入库明细!$B$4:$B$2003,"&lt;="&amp;$AF$2)-SUM($C5:$T5))</f>
        <v>0</v>
      </c>
      <c r="V5" s="25">
        <f t="shared" si="1"/>
        <v>0</v>
      </c>
      <c r="W5" s="56">
        <f>IF($B5="","",SUMIFS(包装物料出入库明细!$K$4:$K$2003,包装物料出入库明细!$D$4:$D$2003,$B5,包装物料出入库明细!$B$4:$B$2003,"&gt;="&amp;$AF$1,包装物料出入库明细!$B$4:$B$2003,"&lt;="&amp;$AF$2))</f>
        <v>0</v>
      </c>
      <c r="X5" s="25">
        <f t="shared" si="2"/>
        <v>0</v>
      </c>
      <c r="Y5" s="26">
        <f>IF($B5="","",ROUND(SUMIFS(包装物料出入库明细!$N$4:$N$2003,包装物料出入库明细!$D$4:$D$2003,$B5,包装物料出入库明细!$H$4:$H$2003,"销售出库",包装物料出入库明细!$B$4:$B$2003,"&gt;="&amp;$AF$1,包装物料出入库明细!$B$4:$B$2003,"&lt;="&amp;$AF$2),2))</f>
        <v>0</v>
      </c>
      <c r="Z5" s="26">
        <f>IF($B5="","",ROUND(SUMIFS(包装物料出入库明细!$N$4:$N$2003,包装物料出入库明细!$D$4:$D$2003,$B5,包装物料出入库明细!$H$4:$H$2003,"销售出库",包装物料出入库明细!$P$4:$P$2003,"已收讫",包装物料出入库明细!$B$4:$B$2003,"&gt;="&amp;$AF$1,包装物料出入库明细!$B$4:$B$2003,"&lt;="&amp;$AF$2),2))</f>
        <v>0</v>
      </c>
      <c r="AA5" s="26">
        <f t="shared" si="3"/>
        <v>0</v>
      </c>
      <c r="AB5" s="41"/>
    </row>
    <row r="6" spans="1:32">
      <c r="A6" s="24">
        <f t="shared" si="0"/>
        <v>3</v>
      </c>
      <c r="B6" s="24" t="str">
        <f>IFERROR(INDEX(_自动清单!$O$4:$O$203,ROW()-3),"")</f>
        <v>吐尔洪</v>
      </c>
      <c r="C6" s="25">
        <f>IF(OR($B6="",_自动清单!$G$4=""),"",SUMIFS(包装物料出入库明细!$J$4:$J$2003,包装物料出入库明细!$D$4:$D$2003,$B6,包装物料出入库明细!$E$4:$E$2003,_自动清单!$G$4,包装物料出入库明细!$B$4:$B$2003,"&gt;="&amp;$AF$1,包装物料出入库明细!$B$4:$B$2003,"&lt;="&amp;$AF$2))</f>
        <v>0</v>
      </c>
      <c r="D6" s="25">
        <f>IF(OR($B6="",_自动清单!$G$5=""),"",SUMIFS(包装物料出入库明细!$J$4:$J$2003,包装物料出入库明细!$D$4:$D$2003,$B6,包装物料出入库明细!$E$4:$E$2003,_自动清单!$G$5,包装物料出入库明细!$B$4:$B$2003,"&gt;="&amp;$AF$1,包装物料出入库明细!$B$4:$B$2003,"&lt;="&amp;$AF$2))</f>
        <v>0</v>
      </c>
      <c r="E6" s="25">
        <f>IF(OR($B6="",_自动清单!$G$6=""),"",SUMIFS(包装物料出入库明细!$J$4:$J$2003,包装物料出入库明细!$D$4:$D$2003,$B6,包装物料出入库明细!$E$4:$E$2003,_自动清单!$G$6,包装物料出入库明细!$B$4:$B$2003,"&gt;="&amp;$AF$1,包装物料出入库明细!$B$4:$B$2003,"&lt;="&amp;$AF$2))</f>
        <v>0</v>
      </c>
      <c r="F6" s="25">
        <f>IF(OR($B6="",_自动清单!$G$7=""),"",SUMIFS(包装物料出入库明细!$J$4:$J$2003,包装物料出入库明细!$D$4:$D$2003,$B6,包装物料出入库明细!$E$4:$E$2003,_自动清单!$G$7,包装物料出入库明细!$B$4:$B$2003,"&gt;="&amp;$AF$1,包装物料出入库明细!$B$4:$B$2003,"&lt;="&amp;$AF$2))</f>
        <v>0</v>
      </c>
      <c r="G6" s="25">
        <f>IF(OR($B6="",_自动清单!$G$8=""),"",SUMIFS(包装物料出入库明细!$J$4:$J$2003,包装物料出入库明细!$D$4:$D$2003,$B6,包装物料出入库明细!$E$4:$E$2003,_自动清单!$G$8,包装物料出入库明细!$B$4:$B$2003,"&gt;="&amp;$AF$1,包装物料出入库明细!$B$4:$B$2003,"&lt;="&amp;$AF$2))</f>
        <v>0</v>
      </c>
      <c r="H6" s="25">
        <f>IF(OR($B6="",_自动清单!$G$9=""),"",SUMIFS(包装物料出入库明细!$J$4:$J$2003,包装物料出入库明细!$D$4:$D$2003,$B6,包装物料出入库明细!$E$4:$E$2003,_自动清单!$G$9,包装物料出入库明细!$B$4:$B$2003,"&gt;="&amp;$AF$1,包装物料出入库明细!$B$4:$B$2003,"&lt;="&amp;$AF$2))</f>
        <v>0</v>
      </c>
      <c r="I6" s="25">
        <f>IF(OR($B6="",_自动清单!$G$10=""),"",SUMIFS(包装物料出入库明细!$J$4:$J$2003,包装物料出入库明细!$D$4:$D$2003,$B6,包装物料出入库明细!$E$4:$E$2003,_自动清单!$G$10,包装物料出入库明细!$B$4:$B$2003,"&gt;="&amp;$AF$1,包装物料出入库明细!$B$4:$B$2003,"&lt;="&amp;$AF$2))</f>
        <v>75</v>
      </c>
      <c r="J6" s="25" t="str">
        <f>IF(OR($B6="",_自动清单!$G$11=""),"",SUMIFS(包装物料出入库明细!$J$4:$J$2003,包装物料出入库明细!$D$4:$D$2003,$B6,包装物料出入库明细!$E$4:$E$2003,_自动清单!$G$11,包装物料出入库明细!$B$4:$B$2003,"&gt;="&amp;$AF$1,包装物料出入库明细!$B$4:$B$2003,"&lt;="&amp;$AF$2))</f>
        <v/>
      </c>
      <c r="K6" s="25" t="str">
        <f>IF(OR($B6="",_自动清单!$G$12=""),"",SUMIFS(包装物料出入库明细!$J$4:$J$2003,包装物料出入库明细!$D$4:$D$2003,$B6,包装物料出入库明细!$E$4:$E$2003,_自动清单!$G$12,包装物料出入库明细!$B$4:$B$2003,"&gt;="&amp;$AF$1,包装物料出入库明细!$B$4:$B$2003,"&lt;="&amp;$AF$2))</f>
        <v/>
      </c>
      <c r="L6" s="25" t="str">
        <f>IF(OR($B6="",_自动清单!$G$13=""),"",SUMIFS(包装物料出入库明细!$J$4:$J$2003,包装物料出入库明细!$D$4:$D$2003,$B6,包装物料出入库明细!$E$4:$E$2003,_自动清单!$G$13,包装物料出入库明细!$B$4:$B$2003,"&gt;="&amp;$AF$1,包装物料出入库明细!$B$4:$B$2003,"&lt;="&amp;$AF$2))</f>
        <v/>
      </c>
      <c r="M6" s="25" t="str">
        <f>IF(OR($B6="",_自动清单!$G$14=""),"",SUMIFS(包装物料出入库明细!$J$4:$J$2003,包装物料出入库明细!$D$4:$D$2003,$B6,包装物料出入库明细!$E$4:$E$2003,_自动清单!$G$14,包装物料出入库明细!$B$4:$B$2003,"&gt;="&amp;$AF$1,包装物料出入库明细!$B$4:$B$2003,"&lt;="&amp;$AF$2))</f>
        <v/>
      </c>
      <c r="N6" s="25" t="str">
        <f>IF(OR($B6="",_自动清单!$G$15=""),"",SUMIFS(包装物料出入库明细!$J$4:$J$2003,包装物料出入库明细!$D$4:$D$2003,$B6,包装物料出入库明细!$E$4:$E$2003,_自动清单!$G$15,包装物料出入库明细!$B$4:$B$2003,"&gt;="&amp;$AF$1,包装物料出入库明细!$B$4:$B$2003,"&lt;="&amp;$AF$2))</f>
        <v/>
      </c>
      <c r="O6" s="25" t="str">
        <f>IF(OR($B6="",_自动清单!$G$16=""),"",SUMIFS(包装物料出入库明细!$J$4:$J$2003,包装物料出入库明细!$D$4:$D$2003,$B6,包装物料出入库明细!$E$4:$E$2003,_自动清单!$G$16,包装物料出入库明细!$B$4:$B$2003,"&gt;="&amp;$AF$1,包装物料出入库明细!$B$4:$B$2003,"&lt;="&amp;$AF$2))</f>
        <v/>
      </c>
      <c r="P6" s="25" t="str">
        <f>IF(OR($B6="",_自动清单!$G$17=""),"",SUMIFS(包装物料出入库明细!$J$4:$J$2003,包装物料出入库明细!$D$4:$D$2003,$B6,包装物料出入库明细!$E$4:$E$2003,_自动清单!$G$17,包装物料出入库明细!$B$4:$B$2003,"&gt;="&amp;$AF$1,包装物料出入库明细!$B$4:$B$2003,"&lt;="&amp;$AF$2))</f>
        <v/>
      </c>
      <c r="Q6" s="25" t="str">
        <f>IF(OR($B6="",_自动清单!$G$18=""),"",SUMIFS(包装物料出入库明细!$J$4:$J$2003,包装物料出入库明细!$D$4:$D$2003,$B6,包装物料出入库明细!$E$4:$E$2003,_自动清单!$G$18,包装物料出入库明细!$B$4:$B$2003,"&gt;="&amp;$AF$1,包装物料出入库明细!$B$4:$B$2003,"&lt;="&amp;$AF$2))</f>
        <v/>
      </c>
      <c r="R6" s="25" t="str">
        <f>IF(OR($B6="",_自动清单!$G$19=""),"",SUMIFS(包装物料出入库明细!$J$4:$J$2003,包装物料出入库明细!$D$4:$D$2003,$B6,包装物料出入库明细!$E$4:$E$2003,_自动清单!$G$19,包装物料出入库明细!$B$4:$B$2003,"&gt;="&amp;$AF$1,包装物料出入库明细!$B$4:$B$2003,"&lt;="&amp;$AF$2))</f>
        <v/>
      </c>
      <c r="S6" s="25" t="str">
        <f>IF(OR($B6="",_自动清单!$G$20=""),"",SUMIFS(包装物料出入库明细!$J$4:$J$2003,包装物料出入库明细!$D$4:$D$2003,$B6,包装物料出入库明细!$E$4:$E$2003,_自动清单!$G$20,包装物料出入库明细!$B$4:$B$2003,"&gt;="&amp;$AF$1,包装物料出入库明细!$B$4:$B$2003,"&lt;="&amp;$AF$2))</f>
        <v/>
      </c>
      <c r="T6" s="25" t="str">
        <f>IF(OR($B6="",_自动清单!$G$21=""),"",SUMIFS(包装物料出入库明细!$J$4:$J$2003,包装物料出入库明细!$D$4:$D$2003,$B6,包装物料出入库明细!$E$4:$E$2003,_自动清单!$G$21,包装物料出入库明细!$B$4:$B$2003,"&gt;="&amp;$AF$1,包装物料出入库明细!$B$4:$B$2003,"&lt;="&amp;$AF$2))</f>
        <v/>
      </c>
      <c r="U6" s="25">
        <f>IF($B6="","",SUMIFS(包装物料出入库明细!$J$4:$J$2003,包装物料出入库明细!$D$4:$D$2003,$B6,包装物料出入库明细!$B$4:$B$2003,"&gt;="&amp;$AF$1,包装物料出入库明细!$B$4:$B$2003,"&lt;="&amp;$AF$2)-SUM($C6:$T6))</f>
        <v>0</v>
      </c>
      <c r="V6" s="25">
        <f t="shared" si="1"/>
        <v>75</v>
      </c>
      <c r="W6" s="56">
        <f>IF($B6="","",SUMIFS(包装物料出入库明细!$K$4:$K$2003,包装物料出入库明细!$D$4:$D$2003,$B6,包装物料出入库明细!$B$4:$B$2003,"&gt;="&amp;$AF$1,包装物料出入库明细!$B$4:$B$2003,"&lt;="&amp;$AF$2))</f>
        <v>0</v>
      </c>
      <c r="X6" s="25">
        <f t="shared" si="2"/>
        <v>75</v>
      </c>
      <c r="Y6" s="26">
        <f>IF($B6="","",ROUND(SUMIFS(包装物料出入库明细!$N$4:$N$2003,包装物料出入库明细!$D$4:$D$2003,$B6,包装物料出入库明细!$H$4:$H$2003,"销售出库",包装物料出入库明细!$B$4:$B$2003,"&gt;="&amp;$AF$1,包装物料出入库明细!$B$4:$B$2003,"&lt;="&amp;$AF$2),2))</f>
        <v>0</v>
      </c>
      <c r="Z6" s="26">
        <f>IF($B6="","",ROUND(SUMIFS(包装物料出入库明细!$N$4:$N$2003,包装物料出入库明细!$D$4:$D$2003,$B6,包装物料出入库明细!$H$4:$H$2003,"销售出库",包装物料出入库明细!$P$4:$P$2003,"已收讫",包装物料出入库明细!$B$4:$B$2003,"&gt;="&amp;$AF$1,包装物料出入库明细!$B$4:$B$2003,"&lt;="&amp;$AF$2),2))</f>
        <v>0</v>
      </c>
      <c r="AA6" s="26">
        <f t="shared" si="3"/>
        <v>0</v>
      </c>
      <c r="AB6" s="41"/>
    </row>
    <row r="7" spans="1:32">
      <c r="A7" s="24">
        <f t="shared" si="0"/>
        <v>4</v>
      </c>
      <c r="B7" s="24" t="str">
        <f>IFERROR(INDEX(_自动清单!$O$4:$O$203,ROW()-3),"")</f>
        <v>热合曼</v>
      </c>
      <c r="C7" s="25">
        <f>IF(OR($B7="",_自动清单!$G$4=""),"",SUMIFS(包装物料出入库明细!$J$4:$J$2003,包装物料出入库明细!$D$4:$D$2003,$B7,包装物料出入库明细!$E$4:$E$2003,_自动清单!$G$4,包装物料出入库明细!$B$4:$B$2003,"&gt;="&amp;$AF$1,包装物料出入库明细!$B$4:$B$2003,"&lt;="&amp;$AF$2))</f>
        <v>0</v>
      </c>
      <c r="D7" s="25">
        <f>IF(OR($B7="",_自动清单!$G$5=""),"",SUMIFS(包装物料出入库明细!$J$4:$J$2003,包装物料出入库明细!$D$4:$D$2003,$B7,包装物料出入库明细!$E$4:$E$2003,_自动清单!$G$5,包装物料出入库明细!$B$4:$B$2003,"&gt;="&amp;$AF$1,包装物料出入库明细!$B$4:$B$2003,"&lt;="&amp;$AF$2))</f>
        <v>0</v>
      </c>
      <c r="E7" s="25">
        <f>IF(OR($B7="",_自动清单!$G$6=""),"",SUMIFS(包装物料出入库明细!$J$4:$J$2003,包装物料出入库明细!$D$4:$D$2003,$B7,包装物料出入库明细!$E$4:$E$2003,_自动清单!$G$6,包装物料出入库明细!$B$4:$B$2003,"&gt;="&amp;$AF$1,包装物料出入库明细!$B$4:$B$2003,"&lt;="&amp;$AF$2))</f>
        <v>0</v>
      </c>
      <c r="F7" s="25">
        <f>IF(OR($B7="",_自动清单!$G$7=""),"",SUMIFS(包装物料出入库明细!$J$4:$J$2003,包装物料出入库明细!$D$4:$D$2003,$B7,包装物料出入库明细!$E$4:$E$2003,_自动清单!$G$7,包装物料出入库明细!$B$4:$B$2003,"&gt;="&amp;$AF$1,包装物料出入库明细!$B$4:$B$2003,"&lt;="&amp;$AF$2))</f>
        <v>12</v>
      </c>
      <c r="G7" s="25">
        <f>IF(OR($B7="",_自动清单!$G$8=""),"",SUMIFS(包装物料出入库明细!$J$4:$J$2003,包装物料出入库明细!$D$4:$D$2003,$B7,包装物料出入库明细!$E$4:$E$2003,_自动清单!$G$8,包装物料出入库明细!$B$4:$B$2003,"&gt;="&amp;$AF$1,包装物料出入库明细!$B$4:$B$2003,"&lt;="&amp;$AF$2))</f>
        <v>0</v>
      </c>
      <c r="H7" s="25">
        <f>IF(OR($B7="",_自动清单!$G$9=""),"",SUMIFS(包装物料出入库明细!$J$4:$J$2003,包装物料出入库明细!$D$4:$D$2003,$B7,包装物料出入库明细!$E$4:$E$2003,_自动清单!$G$9,包装物料出入库明细!$B$4:$B$2003,"&gt;="&amp;$AF$1,包装物料出入库明细!$B$4:$B$2003,"&lt;="&amp;$AF$2))</f>
        <v>0</v>
      </c>
      <c r="I7" s="25">
        <f>IF(OR($B7="",_自动清单!$G$10=""),"",SUMIFS(包装物料出入库明细!$J$4:$J$2003,包装物料出入库明细!$D$4:$D$2003,$B7,包装物料出入库明细!$E$4:$E$2003,_自动清单!$G$10,包装物料出入库明细!$B$4:$B$2003,"&gt;="&amp;$AF$1,包装物料出入库明细!$B$4:$B$2003,"&lt;="&amp;$AF$2))</f>
        <v>140</v>
      </c>
      <c r="J7" s="25" t="str">
        <f>IF(OR($B7="",_自动清单!$G$11=""),"",SUMIFS(包装物料出入库明细!$J$4:$J$2003,包装物料出入库明细!$D$4:$D$2003,$B7,包装物料出入库明细!$E$4:$E$2003,_自动清单!$G$11,包装物料出入库明细!$B$4:$B$2003,"&gt;="&amp;$AF$1,包装物料出入库明细!$B$4:$B$2003,"&lt;="&amp;$AF$2))</f>
        <v/>
      </c>
      <c r="K7" s="25" t="str">
        <f>IF(OR($B7="",_自动清单!$G$12=""),"",SUMIFS(包装物料出入库明细!$J$4:$J$2003,包装物料出入库明细!$D$4:$D$2003,$B7,包装物料出入库明细!$E$4:$E$2003,_自动清单!$G$12,包装物料出入库明细!$B$4:$B$2003,"&gt;="&amp;$AF$1,包装物料出入库明细!$B$4:$B$2003,"&lt;="&amp;$AF$2))</f>
        <v/>
      </c>
      <c r="L7" s="25" t="str">
        <f>IF(OR($B7="",_自动清单!$G$13=""),"",SUMIFS(包装物料出入库明细!$J$4:$J$2003,包装物料出入库明细!$D$4:$D$2003,$B7,包装物料出入库明细!$E$4:$E$2003,_自动清单!$G$13,包装物料出入库明细!$B$4:$B$2003,"&gt;="&amp;$AF$1,包装物料出入库明细!$B$4:$B$2003,"&lt;="&amp;$AF$2))</f>
        <v/>
      </c>
      <c r="M7" s="25" t="str">
        <f>IF(OR($B7="",_自动清单!$G$14=""),"",SUMIFS(包装物料出入库明细!$J$4:$J$2003,包装物料出入库明细!$D$4:$D$2003,$B7,包装物料出入库明细!$E$4:$E$2003,_自动清单!$G$14,包装物料出入库明细!$B$4:$B$2003,"&gt;="&amp;$AF$1,包装物料出入库明细!$B$4:$B$2003,"&lt;="&amp;$AF$2))</f>
        <v/>
      </c>
      <c r="N7" s="25" t="str">
        <f>IF(OR($B7="",_自动清单!$G$15=""),"",SUMIFS(包装物料出入库明细!$J$4:$J$2003,包装物料出入库明细!$D$4:$D$2003,$B7,包装物料出入库明细!$E$4:$E$2003,_自动清单!$G$15,包装物料出入库明细!$B$4:$B$2003,"&gt;="&amp;$AF$1,包装物料出入库明细!$B$4:$B$2003,"&lt;="&amp;$AF$2))</f>
        <v/>
      </c>
      <c r="O7" s="25" t="str">
        <f>IF(OR($B7="",_自动清单!$G$16=""),"",SUMIFS(包装物料出入库明细!$J$4:$J$2003,包装物料出入库明细!$D$4:$D$2003,$B7,包装物料出入库明细!$E$4:$E$2003,_自动清单!$G$16,包装物料出入库明细!$B$4:$B$2003,"&gt;="&amp;$AF$1,包装物料出入库明细!$B$4:$B$2003,"&lt;="&amp;$AF$2))</f>
        <v/>
      </c>
      <c r="P7" s="25" t="str">
        <f>IF(OR($B7="",_自动清单!$G$17=""),"",SUMIFS(包装物料出入库明细!$J$4:$J$2003,包装物料出入库明细!$D$4:$D$2003,$B7,包装物料出入库明细!$E$4:$E$2003,_自动清单!$G$17,包装物料出入库明细!$B$4:$B$2003,"&gt;="&amp;$AF$1,包装物料出入库明细!$B$4:$B$2003,"&lt;="&amp;$AF$2))</f>
        <v/>
      </c>
      <c r="Q7" s="25" t="str">
        <f>IF(OR($B7="",_自动清单!$G$18=""),"",SUMIFS(包装物料出入库明细!$J$4:$J$2003,包装物料出入库明细!$D$4:$D$2003,$B7,包装物料出入库明细!$E$4:$E$2003,_自动清单!$G$18,包装物料出入库明细!$B$4:$B$2003,"&gt;="&amp;$AF$1,包装物料出入库明细!$B$4:$B$2003,"&lt;="&amp;$AF$2))</f>
        <v/>
      </c>
      <c r="R7" s="25" t="str">
        <f>IF(OR($B7="",_自动清单!$G$19=""),"",SUMIFS(包装物料出入库明细!$J$4:$J$2003,包装物料出入库明细!$D$4:$D$2003,$B7,包装物料出入库明细!$E$4:$E$2003,_自动清单!$G$19,包装物料出入库明细!$B$4:$B$2003,"&gt;="&amp;$AF$1,包装物料出入库明细!$B$4:$B$2003,"&lt;="&amp;$AF$2))</f>
        <v/>
      </c>
      <c r="S7" s="25" t="str">
        <f>IF(OR($B7="",_自动清单!$G$20=""),"",SUMIFS(包装物料出入库明细!$J$4:$J$2003,包装物料出入库明细!$D$4:$D$2003,$B7,包装物料出入库明细!$E$4:$E$2003,_自动清单!$G$20,包装物料出入库明细!$B$4:$B$2003,"&gt;="&amp;$AF$1,包装物料出入库明细!$B$4:$B$2003,"&lt;="&amp;$AF$2))</f>
        <v/>
      </c>
      <c r="T7" s="25" t="str">
        <f>IF(OR($B7="",_自动清单!$G$21=""),"",SUMIFS(包装物料出入库明细!$J$4:$J$2003,包装物料出入库明细!$D$4:$D$2003,$B7,包装物料出入库明细!$E$4:$E$2003,_自动清单!$G$21,包装物料出入库明细!$B$4:$B$2003,"&gt;="&amp;$AF$1,包装物料出入库明细!$B$4:$B$2003,"&lt;="&amp;$AF$2))</f>
        <v/>
      </c>
      <c r="U7" s="25">
        <f>IF($B7="","",SUMIFS(包装物料出入库明细!$J$4:$J$2003,包装物料出入库明细!$D$4:$D$2003,$B7,包装物料出入库明细!$B$4:$B$2003,"&gt;="&amp;$AF$1,包装物料出入库明细!$B$4:$B$2003,"&lt;="&amp;$AF$2)-SUM($C7:$T7))</f>
        <v>0</v>
      </c>
      <c r="V7" s="25">
        <f t="shared" si="1"/>
        <v>152</v>
      </c>
      <c r="W7" s="56">
        <f>IF($B7="","",SUMIFS(包装物料出入库明细!$K$4:$K$2003,包装物料出入库明细!$D$4:$D$2003,$B7,包装物料出入库明细!$B$4:$B$2003,"&gt;="&amp;$AF$1,包装物料出入库明细!$B$4:$B$2003,"&lt;="&amp;$AF$2))</f>
        <v>0</v>
      </c>
      <c r="X7" s="25">
        <f t="shared" si="2"/>
        <v>152</v>
      </c>
      <c r="Y7" s="26">
        <f>IF($B7="","",ROUND(SUMIFS(包装物料出入库明细!$N$4:$N$2003,包装物料出入库明细!$D$4:$D$2003,$B7,包装物料出入库明细!$H$4:$H$2003,"销售出库",包装物料出入库明细!$B$4:$B$2003,"&gt;="&amp;$AF$1,包装物料出入库明细!$B$4:$B$2003,"&lt;="&amp;$AF$2),2))</f>
        <v>0</v>
      </c>
      <c r="Z7" s="26">
        <f>IF($B7="","",ROUND(SUMIFS(包装物料出入库明细!$N$4:$N$2003,包装物料出入库明细!$D$4:$D$2003,$B7,包装物料出入库明细!$H$4:$H$2003,"销售出库",包装物料出入库明细!$P$4:$P$2003,"已收讫",包装物料出入库明细!$B$4:$B$2003,"&gt;="&amp;$AF$1,包装物料出入库明细!$B$4:$B$2003,"&lt;="&amp;$AF$2),2))</f>
        <v>0</v>
      </c>
      <c r="AA7" s="26">
        <f t="shared" si="3"/>
        <v>0</v>
      </c>
      <c r="AB7" s="41"/>
    </row>
    <row r="8" spans="1:32">
      <c r="A8" s="24">
        <f t="shared" si="0"/>
        <v>5</v>
      </c>
      <c r="B8" s="24" t="str">
        <f>IFERROR(INDEX(_自动清单!$O$4:$O$203,ROW()-3),"")</f>
        <v>麦麦提</v>
      </c>
      <c r="C8" s="25">
        <f>IF(OR($B8="",_自动清单!$G$4=""),"",SUMIFS(包装物料出入库明细!$J$4:$J$2003,包装物料出入库明细!$D$4:$D$2003,$B8,包装物料出入库明细!$E$4:$E$2003,_自动清单!$G$4,包装物料出入库明细!$B$4:$B$2003,"&gt;="&amp;$AF$1,包装物料出入库明细!$B$4:$B$2003,"&lt;="&amp;$AF$2))</f>
        <v>0</v>
      </c>
      <c r="D8" s="25">
        <f>IF(OR($B8="",_自动清单!$G$5=""),"",SUMIFS(包装物料出入库明细!$J$4:$J$2003,包装物料出入库明细!$D$4:$D$2003,$B8,包装物料出入库明细!$E$4:$E$2003,_自动清单!$G$5,包装物料出入库明细!$B$4:$B$2003,"&gt;="&amp;$AF$1,包装物料出入库明细!$B$4:$B$2003,"&lt;="&amp;$AF$2))</f>
        <v>0</v>
      </c>
      <c r="E8" s="25">
        <f>IF(OR($B8="",_自动清单!$G$6=""),"",SUMIFS(包装物料出入库明细!$J$4:$J$2003,包装物料出入库明细!$D$4:$D$2003,$B8,包装物料出入库明细!$E$4:$E$2003,_自动清单!$G$6,包装物料出入库明细!$B$4:$B$2003,"&gt;="&amp;$AF$1,包装物料出入库明细!$B$4:$B$2003,"&lt;="&amp;$AF$2))</f>
        <v>0</v>
      </c>
      <c r="F8" s="25">
        <f>IF(OR($B8="",_自动清单!$G$7=""),"",SUMIFS(包装物料出入库明细!$J$4:$J$2003,包装物料出入库明细!$D$4:$D$2003,$B8,包装物料出入库明细!$E$4:$E$2003,_自动清单!$G$7,包装物料出入库明细!$B$4:$B$2003,"&gt;="&amp;$AF$1,包装物料出入库明细!$B$4:$B$2003,"&lt;="&amp;$AF$2))</f>
        <v>2</v>
      </c>
      <c r="G8" s="25">
        <f>IF(OR($B8="",_自动清单!$G$8=""),"",SUMIFS(包装物料出入库明细!$J$4:$J$2003,包装物料出入库明细!$D$4:$D$2003,$B8,包装物料出入库明细!$E$4:$E$2003,_自动清单!$G$8,包装物料出入库明细!$B$4:$B$2003,"&gt;="&amp;$AF$1,包装物料出入库明细!$B$4:$B$2003,"&lt;="&amp;$AF$2))</f>
        <v>0</v>
      </c>
      <c r="H8" s="25">
        <f>IF(OR($B8="",_自动清单!$G$9=""),"",SUMIFS(包装物料出入库明细!$J$4:$J$2003,包装物料出入库明细!$D$4:$D$2003,$B8,包装物料出入库明细!$E$4:$E$2003,_自动清单!$G$9,包装物料出入库明细!$B$4:$B$2003,"&gt;="&amp;$AF$1,包装物料出入库明细!$B$4:$B$2003,"&lt;="&amp;$AF$2))</f>
        <v>0</v>
      </c>
      <c r="I8" s="25">
        <f>IF(OR($B8="",_自动清单!$G$10=""),"",SUMIFS(包装物料出入库明细!$J$4:$J$2003,包装物料出入库明细!$D$4:$D$2003,$B8,包装物料出入库明细!$E$4:$E$2003,_自动清单!$G$10,包装物料出入库明细!$B$4:$B$2003,"&gt;="&amp;$AF$1,包装物料出入库明细!$B$4:$B$2003,"&lt;="&amp;$AF$2))</f>
        <v>236</v>
      </c>
      <c r="J8" s="25" t="str">
        <f>IF(OR($B8="",_自动清单!$G$11=""),"",SUMIFS(包装物料出入库明细!$J$4:$J$2003,包装物料出入库明细!$D$4:$D$2003,$B8,包装物料出入库明细!$E$4:$E$2003,_自动清单!$G$11,包装物料出入库明细!$B$4:$B$2003,"&gt;="&amp;$AF$1,包装物料出入库明细!$B$4:$B$2003,"&lt;="&amp;$AF$2))</f>
        <v/>
      </c>
      <c r="K8" s="25" t="str">
        <f>IF(OR($B8="",_自动清单!$G$12=""),"",SUMIFS(包装物料出入库明细!$J$4:$J$2003,包装物料出入库明细!$D$4:$D$2003,$B8,包装物料出入库明细!$E$4:$E$2003,_自动清单!$G$12,包装物料出入库明细!$B$4:$B$2003,"&gt;="&amp;$AF$1,包装物料出入库明细!$B$4:$B$2003,"&lt;="&amp;$AF$2))</f>
        <v/>
      </c>
      <c r="L8" s="25" t="str">
        <f>IF(OR($B8="",_自动清单!$G$13=""),"",SUMIFS(包装物料出入库明细!$J$4:$J$2003,包装物料出入库明细!$D$4:$D$2003,$B8,包装物料出入库明细!$E$4:$E$2003,_自动清单!$G$13,包装物料出入库明细!$B$4:$B$2003,"&gt;="&amp;$AF$1,包装物料出入库明细!$B$4:$B$2003,"&lt;="&amp;$AF$2))</f>
        <v/>
      </c>
      <c r="M8" s="25" t="str">
        <f>IF(OR($B8="",_自动清单!$G$14=""),"",SUMIFS(包装物料出入库明细!$J$4:$J$2003,包装物料出入库明细!$D$4:$D$2003,$B8,包装物料出入库明细!$E$4:$E$2003,_自动清单!$G$14,包装物料出入库明细!$B$4:$B$2003,"&gt;="&amp;$AF$1,包装物料出入库明细!$B$4:$B$2003,"&lt;="&amp;$AF$2))</f>
        <v/>
      </c>
      <c r="N8" s="25" t="str">
        <f>IF(OR($B8="",_自动清单!$G$15=""),"",SUMIFS(包装物料出入库明细!$J$4:$J$2003,包装物料出入库明细!$D$4:$D$2003,$B8,包装物料出入库明细!$E$4:$E$2003,_自动清单!$G$15,包装物料出入库明细!$B$4:$B$2003,"&gt;="&amp;$AF$1,包装物料出入库明细!$B$4:$B$2003,"&lt;="&amp;$AF$2))</f>
        <v/>
      </c>
      <c r="O8" s="25" t="str">
        <f>IF(OR($B8="",_自动清单!$G$16=""),"",SUMIFS(包装物料出入库明细!$J$4:$J$2003,包装物料出入库明细!$D$4:$D$2003,$B8,包装物料出入库明细!$E$4:$E$2003,_自动清单!$G$16,包装物料出入库明细!$B$4:$B$2003,"&gt;="&amp;$AF$1,包装物料出入库明细!$B$4:$B$2003,"&lt;="&amp;$AF$2))</f>
        <v/>
      </c>
      <c r="P8" s="25" t="str">
        <f>IF(OR($B8="",_自动清单!$G$17=""),"",SUMIFS(包装物料出入库明细!$J$4:$J$2003,包装物料出入库明细!$D$4:$D$2003,$B8,包装物料出入库明细!$E$4:$E$2003,_自动清单!$G$17,包装物料出入库明细!$B$4:$B$2003,"&gt;="&amp;$AF$1,包装物料出入库明细!$B$4:$B$2003,"&lt;="&amp;$AF$2))</f>
        <v/>
      </c>
      <c r="Q8" s="25" t="str">
        <f>IF(OR($B8="",_自动清单!$G$18=""),"",SUMIFS(包装物料出入库明细!$J$4:$J$2003,包装物料出入库明细!$D$4:$D$2003,$B8,包装物料出入库明细!$E$4:$E$2003,_自动清单!$G$18,包装物料出入库明细!$B$4:$B$2003,"&gt;="&amp;$AF$1,包装物料出入库明细!$B$4:$B$2003,"&lt;="&amp;$AF$2))</f>
        <v/>
      </c>
      <c r="R8" s="25" t="str">
        <f>IF(OR($B8="",_自动清单!$G$19=""),"",SUMIFS(包装物料出入库明细!$J$4:$J$2003,包装物料出入库明细!$D$4:$D$2003,$B8,包装物料出入库明细!$E$4:$E$2003,_自动清单!$G$19,包装物料出入库明细!$B$4:$B$2003,"&gt;="&amp;$AF$1,包装物料出入库明细!$B$4:$B$2003,"&lt;="&amp;$AF$2))</f>
        <v/>
      </c>
      <c r="S8" s="25" t="str">
        <f>IF(OR($B8="",_自动清单!$G$20=""),"",SUMIFS(包装物料出入库明细!$J$4:$J$2003,包装物料出入库明细!$D$4:$D$2003,$B8,包装物料出入库明细!$E$4:$E$2003,_自动清单!$G$20,包装物料出入库明细!$B$4:$B$2003,"&gt;="&amp;$AF$1,包装物料出入库明细!$B$4:$B$2003,"&lt;="&amp;$AF$2))</f>
        <v/>
      </c>
      <c r="T8" s="25" t="str">
        <f>IF(OR($B8="",_自动清单!$G$21=""),"",SUMIFS(包装物料出入库明细!$J$4:$J$2003,包装物料出入库明细!$D$4:$D$2003,$B8,包装物料出入库明细!$E$4:$E$2003,_自动清单!$G$21,包装物料出入库明细!$B$4:$B$2003,"&gt;="&amp;$AF$1,包装物料出入库明细!$B$4:$B$2003,"&lt;="&amp;$AF$2))</f>
        <v/>
      </c>
      <c r="U8" s="25">
        <f>IF($B8="","",SUMIFS(包装物料出入库明细!$J$4:$J$2003,包装物料出入库明细!$D$4:$D$2003,$B8,包装物料出入库明细!$B$4:$B$2003,"&gt;="&amp;$AF$1,包装物料出入库明细!$B$4:$B$2003,"&lt;="&amp;$AF$2)-SUM($C8:$T8))</f>
        <v>0</v>
      </c>
      <c r="V8" s="25">
        <f t="shared" si="1"/>
        <v>238</v>
      </c>
      <c r="W8" s="56">
        <f>IF($B8="","",SUMIFS(包装物料出入库明细!$K$4:$K$2003,包装物料出入库明细!$D$4:$D$2003,$B8,包装物料出入库明细!$B$4:$B$2003,"&gt;="&amp;$AF$1,包装物料出入库明细!$B$4:$B$2003,"&lt;="&amp;$AF$2))</f>
        <v>0</v>
      </c>
      <c r="X8" s="25">
        <f t="shared" si="2"/>
        <v>238</v>
      </c>
      <c r="Y8" s="26">
        <f>IF($B8="","",ROUND(SUMIFS(包装物料出入库明细!$N$4:$N$2003,包装物料出入库明细!$D$4:$D$2003,$B8,包装物料出入库明细!$H$4:$H$2003,"销售出库",包装物料出入库明细!$B$4:$B$2003,"&gt;="&amp;$AF$1,包装物料出入库明细!$B$4:$B$2003,"&lt;="&amp;$AF$2),2))</f>
        <v>0</v>
      </c>
      <c r="Z8" s="26">
        <f>IF($B8="","",ROUND(SUMIFS(包装物料出入库明细!$N$4:$N$2003,包装物料出入库明细!$D$4:$D$2003,$B8,包装物料出入库明细!$H$4:$H$2003,"销售出库",包装物料出入库明细!$P$4:$P$2003,"已收讫",包装物料出入库明细!$B$4:$B$2003,"&gt;="&amp;$AF$1,包装物料出入库明细!$B$4:$B$2003,"&lt;="&amp;$AF$2),2))</f>
        <v>0</v>
      </c>
      <c r="AA8" s="26">
        <f t="shared" si="3"/>
        <v>0</v>
      </c>
      <c r="AB8" s="41"/>
    </row>
    <row r="9" spans="1:32">
      <c r="A9" s="24">
        <f t="shared" si="0"/>
        <v>6</v>
      </c>
      <c r="B9" s="24" t="str">
        <f>IFERROR(INDEX(_自动清单!$O$4:$O$203,ROW()-3),"")</f>
        <v>荆建君</v>
      </c>
      <c r="C9" s="25">
        <f>IF(OR($B9="",_自动清单!$G$4=""),"",SUMIFS(包装物料出入库明细!$J$4:$J$2003,包装物料出入库明细!$D$4:$D$2003,$B9,包装物料出入库明细!$E$4:$E$2003,_自动清单!$G$4,包装物料出入库明细!$B$4:$B$2003,"&gt;="&amp;$AF$1,包装物料出入库明细!$B$4:$B$2003,"&lt;="&amp;$AF$2))</f>
        <v>0</v>
      </c>
      <c r="D9" s="25">
        <f>IF(OR($B9="",_自动清单!$G$5=""),"",SUMIFS(包装物料出入库明细!$J$4:$J$2003,包装物料出入库明细!$D$4:$D$2003,$B9,包装物料出入库明细!$E$4:$E$2003,_自动清单!$G$5,包装物料出入库明细!$B$4:$B$2003,"&gt;="&amp;$AF$1,包装物料出入库明细!$B$4:$B$2003,"&lt;="&amp;$AF$2))</f>
        <v>0</v>
      </c>
      <c r="E9" s="25">
        <f>IF(OR($B9="",_自动清单!$G$6=""),"",SUMIFS(包装物料出入库明细!$J$4:$J$2003,包装物料出入库明细!$D$4:$D$2003,$B9,包装物料出入库明细!$E$4:$E$2003,_自动清单!$G$6,包装物料出入库明细!$B$4:$B$2003,"&gt;="&amp;$AF$1,包装物料出入库明细!$B$4:$B$2003,"&lt;="&amp;$AF$2))</f>
        <v>0</v>
      </c>
      <c r="F9" s="25">
        <f>IF(OR($B9="",_自动清单!$G$7=""),"",SUMIFS(包装物料出入库明细!$J$4:$J$2003,包装物料出入库明细!$D$4:$D$2003,$B9,包装物料出入库明细!$E$4:$E$2003,_自动清单!$G$7,包装物料出入库明细!$B$4:$B$2003,"&gt;="&amp;$AF$1,包装物料出入库明细!$B$4:$B$2003,"&lt;="&amp;$AF$2))</f>
        <v>0</v>
      </c>
      <c r="G9" s="25">
        <f>IF(OR($B9="",_自动清单!$G$8=""),"",SUMIFS(包装物料出入库明细!$J$4:$J$2003,包装物料出入库明细!$D$4:$D$2003,$B9,包装物料出入库明细!$E$4:$E$2003,_自动清单!$G$8,包装物料出入库明细!$B$4:$B$2003,"&gt;="&amp;$AF$1,包装物料出入库明细!$B$4:$B$2003,"&lt;="&amp;$AF$2))</f>
        <v>0</v>
      </c>
      <c r="H9" s="25">
        <f>IF(OR($B9="",_自动清单!$G$9=""),"",SUMIFS(包装物料出入库明细!$J$4:$J$2003,包装物料出入库明细!$D$4:$D$2003,$B9,包装物料出入库明细!$E$4:$E$2003,_自动清单!$G$9,包装物料出入库明细!$B$4:$B$2003,"&gt;="&amp;$AF$1,包装物料出入库明细!$B$4:$B$2003,"&lt;="&amp;$AF$2))</f>
        <v>0</v>
      </c>
      <c r="I9" s="25">
        <f>IF(OR($B9="",_自动清单!$G$10=""),"",SUMIFS(包装物料出入库明细!$J$4:$J$2003,包装物料出入库明细!$D$4:$D$2003,$B9,包装物料出入库明细!$E$4:$E$2003,_自动清单!$G$10,包装物料出入库明细!$B$4:$B$2003,"&gt;="&amp;$AF$1,包装物料出入库明细!$B$4:$B$2003,"&lt;="&amp;$AF$2))</f>
        <v>232</v>
      </c>
      <c r="J9" s="25" t="str">
        <f>IF(OR($B9="",_自动清单!$G$11=""),"",SUMIFS(包装物料出入库明细!$J$4:$J$2003,包装物料出入库明细!$D$4:$D$2003,$B9,包装物料出入库明细!$E$4:$E$2003,_自动清单!$G$11,包装物料出入库明细!$B$4:$B$2003,"&gt;="&amp;$AF$1,包装物料出入库明细!$B$4:$B$2003,"&lt;="&amp;$AF$2))</f>
        <v/>
      </c>
      <c r="K9" s="25" t="str">
        <f>IF(OR($B9="",_自动清单!$G$12=""),"",SUMIFS(包装物料出入库明细!$J$4:$J$2003,包装物料出入库明细!$D$4:$D$2003,$B9,包装物料出入库明细!$E$4:$E$2003,_自动清单!$G$12,包装物料出入库明细!$B$4:$B$2003,"&gt;="&amp;$AF$1,包装物料出入库明细!$B$4:$B$2003,"&lt;="&amp;$AF$2))</f>
        <v/>
      </c>
      <c r="L9" s="25" t="str">
        <f>IF(OR($B9="",_自动清单!$G$13=""),"",SUMIFS(包装物料出入库明细!$J$4:$J$2003,包装物料出入库明细!$D$4:$D$2003,$B9,包装物料出入库明细!$E$4:$E$2003,_自动清单!$G$13,包装物料出入库明细!$B$4:$B$2003,"&gt;="&amp;$AF$1,包装物料出入库明细!$B$4:$B$2003,"&lt;="&amp;$AF$2))</f>
        <v/>
      </c>
      <c r="M9" s="25" t="str">
        <f>IF(OR($B9="",_自动清单!$G$14=""),"",SUMIFS(包装物料出入库明细!$J$4:$J$2003,包装物料出入库明细!$D$4:$D$2003,$B9,包装物料出入库明细!$E$4:$E$2003,_自动清单!$G$14,包装物料出入库明细!$B$4:$B$2003,"&gt;="&amp;$AF$1,包装物料出入库明细!$B$4:$B$2003,"&lt;="&amp;$AF$2))</f>
        <v/>
      </c>
      <c r="N9" s="25" t="str">
        <f>IF(OR($B9="",_自动清单!$G$15=""),"",SUMIFS(包装物料出入库明细!$J$4:$J$2003,包装物料出入库明细!$D$4:$D$2003,$B9,包装物料出入库明细!$E$4:$E$2003,_自动清单!$G$15,包装物料出入库明细!$B$4:$B$2003,"&gt;="&amp;$AF$1,包装物料出入库明细!$B$4:$B$2003,"&lt;="&amp;$AF$2))</f>
        <v/>
      </c>
      <c r="O9" s="25" t="str">
        <f>IF(OR($B9="",_自动清单!$G$16=""),"",SUMIFS(包装物料出入库明细!$J$4:$J$2003,包装物料出入库明细!$D$4:$D$2003,$B9,包装物料出入库明细!$E$4:$E$2003,_自动清单!$G$16,包装物料出入库明细!$B$4:$B$2003,"&gt;="&amp;$AF$1,包装物料出入库明细!$B$4:$B$2003,"&lt;="&amp;$AF$2))</f>
        <v/>
      </c>
      <c r="P9" s="25" t="str">
        <f>IF(OR($B9="",_自动清单!$G$17=""),"",SUMIFS(包装物料出入库明细!$J$4:$J$2003,包装物料出入库明细!$D$4:$D$2003,$B9,包装物料出入库明细!$E$4:$E$2003,_自动清单!$G$17,包装物料出入库明细!$B$4:$B$2003,"&gt;="&amp;$AF$1,包装物料出入库明细!$B$4:$B$2003,"&lt;="&amp;$AF$2))</f>
        <v/>
      </c>
      <c r="Q9" s="25" t="str">
        <f>IF(OR($B9="",_自动清单!$G$18=""),"",SUMIFS(包装物料出入库明细!$J$4:$J$2003,包装物料出入库明细!$D$4:$D$2003,$B9,包装物料出入库明细!$E$4:$E$2003,_自动清单!$G$18,包装物料出入库明细!$B$4:$B$2003,"&gt;="&amp;$AF$1,包装物料出入库明细!$B$4:$B$2003,"&lt;="&amp;$AF$2))</f>
        <v/>
      </c>
      <c r="R9" s="25" t="str">
        <f>IF(OR($B9="",_自动清单!$G$19=""),"",SUMIFS(包装物料出入库明细!$J$4:$J$2003,包装物料出入库明细!$D$4:$D$2003,$B9,包装物料出入库明细!$E$4:$E$2003,_自动清单!$G$19,包装物料出入库明细!$B$4:$B$2003,"&gt;="&amp;$AF$1,包装物料出入库明细!$B$4:$B$2003,"&lt;="&amp;$AF$2))</f>
        <v/>
      </c>
      <c r="S9" s="25" t="str">
        <f>IF(OR($B9="",_自动清单!$G$20=""),"",SUMIFS(包装物料出入库明细!$J$4:$J$2003,包装物料出入库明细!$D$4:$D$2003,$B9,包装物料出入库明细!$E$4:$E$2003,_自动清单!$G$20,包装物料出入库明细!$B$4:$B$2003,"&gt;="&amp;$AF$1,包装物料出入库明细!$B$4:$B$2003,"&lt;="&amp;$AF$2))</f>
        <v/>
      </c>
      <c r="T9" s="25" t="str">
        <f>IF(OR($B9="",_自动清单!$G$21=""),"",SUMIFS(包装物料出入库明细!$J$4:$J$2003,包装物料出入库明细!$D$4:$D$2003,$B9,包装物料出入库明细!$E$4:$E$2003,_自动清单!$G$21,包装物料出入库明细!$B$4:$B$2003,"&gt;="&amp;$AF$1,包装物料出入库明细!$B$4:$B$2003,"&lt;="&amp;$AF$2))</f>
        <v/>
      </c>
      <c r="U9" s="25">
        <f>IF($B9="","",SUMIFS(包装物料出入库明细!$J$4:$J$2003,包装物料出入库明细!$D$4:$D$2003,$B9,包装物料出入库明细!$B$4:$B$2003,"&gt;="&amp;$AF$1,包装物料出入库明细!$B$4:$B$2003,"&lt;="&amp;$AF$2)-SUM($C9:$T9))</f>
        <v>0</v>
      </c>
      <c r="V9" s="25">
        <f t="shared" si="1"/>
        <v>232</v>
      </c>
      <c r="W9" s="56">
        <f>IF($B9="","",SUMIFS(包装物料出入库明细!$K$4:$K$2003,包装物料出入库明细!$D$4:$D$2003,$B9,包装物料出入库明细!$B$4:$B$2003,"&gt;="&amp;$AF$1,包装物料出入库明细!$B$4:$B$2003,"&lt;="&amp;$AF$2))</f>
        <v>0</v>
      </c>
      <c r="X9" s="25">
        <f t="shared" si="2"/>
        <v>232</v>
      </c>
      <c r="Y9" s="26">
        <f>IF($B9="","",ROUND(SUMIFS(包装物料出入库明细!$N$4:$N$2003,包装物料出入库明细!$D$4:$D$2003,$B9,包装物料出入库明细!$H$4:$H$2003,"销售出库",包装物料出入库明细!$B$4:$B$2003,"&gt;="&amp;$AF$1,包装物料出入库明细!$B$4:$B$2003,"&lt;="&amp;$AF$2),2))</f>
        <v>0</v>
      </c>
      <c r="Z9" s="26">
        <f>IF($B9="","",ROUND(SUMIFS(包装物料出入库明细!$N$4:$N$2003,包装物料出入库明细!$D$4:$D$2003,$B9,包装物料出入库明细!$H$4:$H$2003,"销售出库",包装物料出入库明细!$P$4:$P$2003,"已收讫",包装物料出入库明细!$B$4:$B$2003,"&gt;="&amp;$AF$1,包装物料出入库明细!$B$4:$B$2003,"&lt;="&amp;$AF$2),2))</f>
        <v>0</v>
      </c>
      <c r="AA9" s="26">
        <f t="shared" si="3"/>
        <v>0</v>
      </c>
      <c r="AB9" s="41"/>
    </row>
    <row r="10" spans="1:32">
      <c r="A10" s="24">
        <f t="shared" si="0"/>
        <v>7</v>
      </c>
      <c r="B10" s="24" t="str">
        <f>IFERROR(INDEX(_自动清单!$O$4:$O$203,ROW()-3),"")</f>
        <v>努尔敦</v>
      </c>
      <c r="C10" s="25">
        <f>IF(OR($B10="",_自动清单!$G$4=""),"",SUMIFS(包装物料出入库明细!$J$4:$J$2003,包装物料出入库明细!$D$4:$D$2003,$B10,包装物料出入库明细!$E$4:$E$2003,_自动清单!$G$4,包装物料出入库明细!$B$4:$B$2003,"&gt;="&amp;$AF$1,包装物料出入库明细!$B$4:$B$2003,"&lt;="&amp;$AF$2))</f>
        <v>0</v>
      </c>
      <c r="D10" s="25">
        <f>IF(OR($B10="",_自动清单!$G$5=""),"",SUMIFS(包装物料出入库明细!$J$4:$J$2003,包装物料出入库明细!$D$4:$D$2003,$B10,包装物料出入库明细!$E$4:$E$2003,_自动清单!$G$5,包装物料出入库明细!$B$4:$B$2003,"&gt;="&amp;$AF$1,包装物料出入库明细!$B$4:$B$2003,"&lt;="&amp;$AF$2))</f>
        <v>0</v>
      </c>
      <c r="E10" s="25">
        <f>IF(OR($B10="",_自动清单!$G$6=""),"",SUMIFS(包装物料出入库明细!$J$4:$J$2003,包装物料出入库明细!$D$4:$D$2003,$B10,包装物料出入库明细!$E$4:$E$2003,_自动清单!$G$6,包装物料出入库明细!$B$4:$B$2003,"&gt;="&amp;$AF$1,包装物料出入库明细!$B$4:$B$2003,"&lt;="&amp;$AF$2))</f>
        <v>0</v>
      </c>
      <c r="F10" s="25">
        <f>IF(OR($B10="",_自动清单!$G$7=""),"",SUMIFS(包装物料出入库明细!$J$4:$J$2003,包装物料出入库明细!$D$4:$D$2003,$B10,包装物料出入库明细!$E$4:$E$2003,_自动清单!$G$7,包装物料出入库明细!$B$4:$B$2003,"&gt;="&amp;$AF$1,包装物料出入库明细!$B$4:$B$2003,"&lt;="&amp;$AF$2))</f>
        <v>0</v>
      </c>
      <c r="G10" s="25">
        <f>IF(OR($B10="",_自动清单!$G$8=""),"",SUMIFS(包装物料出入库明细!$J$4:$J$2003,包装物料出入库明细!$D$4:$D$2003,$B10,包装物料出入库明细!$E$4:$E$2003,_自动清单!$G$8,包装物料出入库明细!$B$4:$B$2003,"&gt;="&amp;$AF$1,包装物料出入库明细!$B$4:$B$2003,"&lt;="&amp;$AF$2))</f>
        <v>0</v>
      </c>
      <c r="H10" s="25">
        <f>IF(OR($B10="",_自动清单!$G$9=""),"",SUMIFS(包装物料出入库明细!$J$4:$J$2003,包装物料出入库明细!$D$4:$D$2003,$B10,包装物料出入库明细!$E$4:$E$2003,_自动清单!$G$9,包装物料出入库明细!$B$4:$B$2003,"&gt;="&amp;$AF$1,包装物料出入库明细!$B$4:$B$2003,"&lt;="&amp;$AF$2))</f>
        <v>0</v>
      </c>
      <c r="I10" s="25">
        <f>IF(OR($B10="",_自动清单!$G$10=""),"",SUMIFS(包装物料出入库明细!$J$4:$J$2003,包装物料出入库明细!$D$4:$D$2003,$B10,包装物料出入库明细!$E$4:$E$2003,_自动清单!$G$10,包装物料出入库明细!$B$4:$B$2003,"&gt;="&amp;$AF$1,包装物料出入库明细!$B$4:$B$2003,"&lt;="&amp;$AF$2))</f>
        <v>240</v>
      </c>
      <c r="J10" s="25" t="str">
        <f>IF(OR($B10="",_自动清单!$G$11=""),"",SUMIFS(包装物料出入库明细!$J$4:$J$2003,包装物料出入库明细!$D$4:$D$2003,$B10,包装物料出入库明细!$E$4:$E$2003,_自动清单!$G$11,包装物料出入库明细!$B$4:$B$2003,"&gt;="&amp;$AF$1,包装物料出入库明细!$B$4:$B$2003,"&lt;="&amp;$AF$2))</f>
        <v/>
      </c>
      <c r="K10" s="25" t="str">
        <f>IF(OR($B10="",_自动清单!$G$12=""),"",SUMIFS(包装物料出入库明细!$J$4:$J$2003,包装物料出入库明细!$D$4:$D$2003,$B10,包装物料出入库明细!$E$4:$E$2003,_自动清单!$G$12,包装物料出入库明细!$B$4:$B$2003,"&gt;="&amp;$AF$1,包装物料出入库明细!$B$4:$B$2003,"&lt;="&amp;$AF$2))</f>
        <v/>
      </c>
      <c r="L10" s="25" t="str">
        <f>IF(OR($B10="",_自动清单!$G$13=""),"",SUMIFS(包装物料出入库明细!$J$4:$J$2003,包装物料出入库明细!$D$4:$D$2003,$B10,包装物料出入库明细!$E$4:$E$2003,_自动清单!$G$13,包装物料出入库明细!$B$4:$B$2003,"&gt;="&amp;$AF$1,包装物料出入库明细!$B$4:$B$2003,"&lt;="&amp;$AF$2))</f>
        <v/>
      </c>
      <c r="M10" s="25" t="str">
        <f>IF(OR($B10="",_自动清单!$G$14=""),"",SUMIFS(包装物料出入库明细!$J$4:$J$2003,包装物料出入库明细!$D$4:$D$2003,$B10,包装物料出入库明细!$E$4:$E$2003,_自动清单!$G$14,包装物料出入库明细!$B$4:$B$2003,"&gt;="&amp;$AF$1,包装物料出入库明细!$B$4:$B$2003,"&lt;="&amp;$AF$2))</f>
        <v/>
      </c>
      <c r="N10" s="25" t="str">
        <f>IF(OR($B10="",_自动清单!$G$15=""),"",SUMIFS(包装物料出入库明细!$J$4:$J$2003,包装物料出入库明细!$D$4:$D$2003,$B10,包装物料出入库明细!$E$4:$E$2003,_自动清单!$G$15,包装物料出入库明细!$B$4:$B$2003,"&gt;="&amp;$AF$1,包装物料出入库明细!$B$4:$B$2003,"&lt;="&amp;$AF$2))</f>
        <v/>
      </c>
      <c r="O10" s="25" t="str">
        <f>IF(OR($B10="",_自动清单!$G$16=""),"",SUMIFS(包装物料出入库明细!$J$4:$J$2003,包装物料出入库明细!$D$4:$D$2003,$B10,包装物料出入库明细!$E$4:$E$2003,_自动清单!$G$16,包装物料出入库明细!$B$4:$B$2003,"&gt;="&amp;$AF$1,包装物料出入库明细!$B$4:$B$2003,"&lt;="&amp;$AF$2))</f>
        <v/>
      </c>
      <c r="P10" s="25" t="str">
        <f>IF(OR($B10="",_自动清单!$G$17=""),"",SUMIFS(包装物料出入库明细!$J$4:$J$2003,包装物料出入库明细!$D$4:$D$2003,$B10,包装物料出入库明细!$E$4:$E$2003,_自动清单!$G$17,包装物料出入库明细!$B$4:$B$2003,"&gt;="&amp;$AF$1,包装物料出入库明细!$B$4:$B$2003,"&lt;="&amp;$AF$2))</f>
        <v/>
      </c>
      <c r="Q10" s="25" t="str">
        <f>IF(OR($B10="",_自动清单!$G$18=""),"",SUMIFS(包装物料出入库明细!$J$4:$J$2003,包装物料出入库明细!$D$4:$D$2003,$B10,包装物料出入库明细!$E$4:$E$2003,_自动清单!$G$18,包装物料出入库明细!$B$4:$B$2003,"&gt;="&amp;$AF$1,包装物料出入库明细!$B$4:$B$2003,"&lt;="&amp;$AF$2))</f>
        <v/>
      </c>
      <c r="R10" s="25" t="str">
        <f>IF(OR($B10="",_自动清单!$G$19=""),"",SUMIFS(包装物料出入库明细!$J$4:$J$2003,包装物料出入库明细!$D$4:$D$2003,$B10,包装物料出入库明细!$E$4:$E$2003,_自动清单!$G$19,包装物料出入库明细!$B$4:$B$2003,"&gt;="&amp;$AF$1,包装物料出入库明细!$B$4:$B$2003,"&lt;="&amp;$AF$2))</f>
        <v/>
      </c>
      <c r="S10" s="25" t="str">
        <f>IF(OR($B10="",_自动清单!$G$20=""),"",SUMIFS(包装物料出入库明细!$J$4:$J$2003,包装物料出入库明细!$D$4:$D$2003,$B10,包装物料出入库明细!$E$4:$E$2003,_自动清单!$G$20,包装物料出入库明细!$B$4:$B$2003,"&gt;="&amp;$AF$1,包装物料出入库明细!$B$4:$B$2003,"&lt;="&amp;$AF$2))</f>
        <v/>
      </c>
      <c r="T10" s="25" t="str">
        <f>IF(OR($B10="",_自动清单!$G$21=""),"",SUMIFS(包装物料出入库明细!$J$4:$J$2003,包装物料出入库明细!$D$4:$D$2003,$B10,包装物料出入库明细!$E$4:$E$2003,_自动清单!$G$21,包装物料出入库明细!$B$4:$B$2003,"&gt;="&amp;$AF$1,包装物料出入库明细!$B$4:$B$2003,"&lt;="&amp;$AF$2))</f>
        <v/>
      </c>
      <c r="U10" s="25">
        <f>IF($B10="","",SUMIFS(包装物料出入库明细!$J$4:$J$2003,包装物料出入库明细!$D$4:$D$2003,$B10,包装物料出入库明细!$B$4:$B$2003,"&gt;="&amp;$AF$1,包装物料出入库明细!$B$4:$B$2003,"&lt;="&amp;$AF$2)-SUM($C10:$T10))</f>
        <v>0</v>
      </c>
      <c r="V10" s="25">
        <f t="shared" si="1"/>
        <v>240</v>
      </c>
      <c r="W10" s="56">
        <f>IF($B10="","",SUMIFS(包装物料出入库明细!$K$4:$K$2003,包装物料出入库明细!$D$4:$D$2003,$B10,包装物料出入库明细!$B$4:$B$2003,"&gt;="&amp;$AF$1,包装物料出入库明细!$B$4:$B$2003,"&lt;="&amp;$AF$2))</f>
        <v>0</v>
      </c>
      <c r="X10" s="25">
        <f t="shared" si="2"/>
        <v>240</v>
      </c>
      <c r="Y10" s="26">
        <f>IF($B10="","",ROUND(SUMIFS(包装物料出入库明细!$N$4:$N$2003,包装物料出入库明细!$D$4:$D$2003,$B10,包装物料出入库明细!$H$4:$H$2003,"销售出库",包装物料出入库明细!$B$4:$B$2003,"&gt;="&amp;$AF$1,包装物料出入库明细!$B$4:$B$2003,"&lt;="&amp;$AF$2),2))</f>
        <v>0</v>
      </c>
      <c r="Z10" s="26">
        <f>IF($B10="","",ROUND(SUMIFS(包装物料出入库明细!$N$4:$N$2003,包装物料出入库明细!$D$4:$D$2003,$B10,包装物料出入库明细!$H$4:$H$2003,"销售出库",包装物料出入库明细!$P$4:$P$2003,"已收讫",包装物料出入库明细!$B$4:$B$2003,"&gt;="&amp;$AF$1,包装物料出入库明细!$B$4:$B$2003,"&lt;="&amp;$AF$2),2))</f>
        <v>0</v>
      </c>
      <c r="AA10" s="26">
        <f t="shared" si="3"/>
        <v>0</v>
      </c>
      <c r="AB10" s="41"/>
    </row>
    <row r="11" spans="1:32">
      <c r="A11" s="24">
        <f t="shared" si="0"/>
        <v>8</v>
      </c>
      <c r="B11" s="24" t="str">
        <f>IFERROR(INDEX(_自动清单!$O$4:$O$203,ROW()-3),"")</f>
        <v>贾建国</v>
      </c>
      <c r="C11" s="25">
        <f>IF(OR($B11="",_自动清单!$G$4=""),"",SUMIFS(包装物料出入库明细!$J$4:$J$2003,包装物料出入库明细!$D$4:$D$2003,$B11,包装物料出入库明细!$E$4:$E$2003,_自动清单!$G$4,包装物料出入库明细!$B$4:$B$2003,"&gt;="&amp;$AF$1,包装物料出入库明细!$B$4:$B$2003,"&lt;="&amp;$AF$2))</f>
        <v>0</v>
      </c>
      <c r="D11" s="25">
        <f>IF(OR($B11="",_自动清单!$G$5=""),"",SUMIFS(包装物料出入库明细!$J$4:$J$2003,包装物料出入库明细!$D$4:$D$2003,$B11,包装物料出入库明细!$E$4:$E$2003,_自动清单!$G$5,包装物料出入库明细!$B$4:$B$2003,"&gt;="&amp;$AF$1,包装物料出入库明细!$B$4:$B$2003,"&lt;="&amp;$AF$2))</f>
        <v>800</v>
      </c>
      <c r="E11" s="25">
        <f>IF(OR($B11="",_自动清单!$G$6=""),"",SUMIFS(包装物料出入库明细!$J$4:$J$2003,包装物料出入库明细!$D$4:$D$2003,$B11,包装物料出入库明细!$E$4:$E$2003,_自动清单!$G$6,包装物料出入库明细!$B$4:$B$2003,"&gt;="&amp;$AF$1,包装物料出入库明细!$B$4:$B$2003,"&lt;="&amp;$AF$2))</f>
        <v>0</v>
      </c>
      <c r="F11" s="25">
        <f>IF(OR($B11="",_自动清单!$G$7=""),"",SUMIFS(包装物料出入库明细!$J$4:$J$2003,包装物料出入库明细!$D$4:$D$2003,$B11,包装物料出入库明细!$E$4:$E$2003,_自动清单!$G$7,包装物料出入库明细!$B$4:$B$2003,"&gt;="&amp;$AF$1,包装物料出入库明细!$B$4:$B$2003,"&lt;="&amp;$AF$2))</f>
        <v>0</v>
      </c>
      <c r="G11" s="25">
        <f>IF(OR($B11="",_自动清单!$G$8=""),"",SUMIFS(包装物料出入库明细!$J$4:$J$2003,包装物料出入库明细!$D$4:$D$2003,$B11,包装物料出入库明细!$E$4:$E$2003,_自动清单!$G$8,包装物料出入库明细!$B$4:$B$2003,"&gt;="&amp;$AF$1,包装物料出入库明细!$B$4:$B$2003,"&lt;="&amp;$AF$2))</f>
        <v>0</v>
      </c>
      <c r="H11" s="25">
        <f>IF(OR($B11="",_自动清单!$G$9=""),"",SUMIFS(包装物料出入库明细!$J$4:$J$2003,包装物料出入库明细!$D$4:$D$2003,$B11,包装物料出入库明细!$E$4:$E$2003,_自动清单!$G$9,包装物料出入库明细!$B$4:$B$2003,"&gt;="&amp;$AF$1,包装物料出入库明细!$B$4:$B$2003,"&lt;="&amp;$AF$2))</f>
        <v>0</v>
      </c>
      <c r="I11" s="25">
        <f>IF(OR($B11="",_自动清单!$G$10=""),"",SUMIFS(包装物料出入库明细!$J$4:$J$2003,包装物料出入库明细!$D$4:$D$2003,$B11,包装物料出入库明细!$E$4:$E$2003,_自动清单!$G$10,包装物料出入库明细!$B$4:$B$2003,"&gt;="&amp;$AF$1,包装物料出入库明细!$B$4:$B$2003,"&lt;="&amp;$AF$2))</f>
        <v>32</v>
      </c>
      <c r="J11" s="25" t="str">
        <f>IF(OR($B11="",_自动清单!$G$11=""),"",SUMIFS(包装物料出入库明细!$J$4:$J$2003,包装物料出入库明细!$D$4:$D$2003,$B11,包装物料出入库明细!$E$4:$E$2003,_自动清单!$G$11,包装物料出入库明细!$B$4:$B$2003,"&gt;="&amp;$AF$1,包装物料出入库明细!$B$4:$B$2003,"&lt;="&amp;$AF$2))</f>
        <v/>
      </c>
      <c r="K11" s="25" t="str">
        <f>IF(OR($B11="",_自动清单!$G$12=""),"",SUMIFS(包装物料出入库明细!$J$4:$J$2003,包装物料出入库明细!$D$4:$D$2003,$B11,包装物料出入库明细!$E$4:$E$2003,_自动清单!$G$12,包装物料出入库明细!$B$4:$B$2003,"&gt;="&amp;$AF$1,包装物料出入库明细!$B$4:$B$2003,"&lt;="&amp;$AF$2))</f>
        <v/>
      </c>
      <c r="L11" s="25" t="str">
        <f>IF(OR($B11="",_自动清单!$G$13=""),"",SUMIFS(包装物料出入库明细!$J$4:$J$2003,包装物料出入库明细!$D$4:$D$2003,$B11,包装物料出入库明细!$E$4:$E$2003,_自动清单!$G$13,包装物料出入库明细!$B$4:$B$2003,"&gt;="&amp;$AF$1,包装物料出入库明细!$B$4:$B$2003,"&lt;="&amp;$AF$2))</f>
        <v/>
      </c>
      <c r="M11" s="25" t="str">
        <f>IF(OR($B11="",_自动清单!$G$14=""),"",SUMIFS(包装物料出入库明细!$J$4:$J$2003,包装物料出入库明细!$D$4:$D$2003,$B11,包装物料出入库明细!$E$4:$E$2003,_自动清单!$G$14,包装物料出入库明细!$B$4:$B$2003,"&gt;="&amp;$AF$1,包装物料出入库明细!$B$4:$B$2003,"&lt;="&amp;$AF$2))</f>
        <v/>
      </c>
      <c r="N11" s="25" t="str">
        <f>IF(OR($B11="",_自动清单!$G$15=""),"",SUMIFS(包装物料出入库明细!$J$4:$J$2003,包装物料出入库明细!$D$4:$D$2003,$B11,包装物料出入库明细!$E$4:$E$2003,_自动清单!$G$15,包装物料出入库明细!$B$4:$B$2003,"&gt;="&amp;$AF$1,包装物料出入库明细!$B$4:$B$2003,"&lt;="&amp;$AF$2))</f>
        <v/>
      </c>
      <c r="O11" s="25" t="str">
        <f>IF(OR($B11="",_自动清单!$G$16=""),"",SUMIFS(包装物料出入库明细!$J$4:$J$2003,包装物料出入库明细!$D$4:$D$2003,$B11,包装物料出入库明细!$E$4:$E$2003,_自动清单!$G$16,包装物料出入库明细!$B$4:$B$2003,"&gt;="&amp;$AF$1,包装物料出入库明细!$B$4:$B$2003,"&lt;="&amp;$AF$2))</f>
        <v/>
      </c>
      <c r="P11" s="25" t="str">
        <f>IF(OR($B11="",_自动清单!$G$17=""),"",SUMIFS(包装物料出入库明细!$J$4:$J$2003,包装物料出入库明细!$D$4:$D$2003,$B11,包装物料出入库明细!$E$4:$E$2003,_自动清单!$G$17,包装物料出入库明细!$B$4:$B$2003,"&gt;="&amp;$AF$1,包装物料出入库明细!$B$4:$B$2003,"&lt;="&amp;$AF$2))</f>
        <v/>
      </c>
      <c r="Q11" s="25" t="str">
        <f>IF(OR($B11="",_自动清单!$G$18=""),"",SUMIFS(包装物料出入库明细!$J$4:$J$2003,包装物料出入库明细!$D$4:$D$2003,$B11,包装物料出入库明细!$E$4:$E$2003,_自动清单!$G$18,包装物料出入库明细!$B$4:$B$2003,"&gt;="&amp;$AF$1,包装物料出入库明细!$B$4:$B$2003,"&lt;="&amp;$AF$2))</f>
        <v/>
      </c>
      <c r="R11" s="25" t="str">
        <f>IF(OR($B11="",_自动清单!$G$19=""),"",SUMIFS(包装物料出入库明细!$J$4:$J$2003,包装物料出入库明细!$D$4:$D$2003,$B11,包装物料出入库明细!$E$4:$E$2003,_自动清单!$G$19,包装物料出入库明细!$B$4:$B$2003,"&gt;="&amp;$AF$1,包装物料出入库明细!$B$4:$B$2003,"&lt;="&amp;$AF$2))</f>
        <v/>
      </c>
      <c r="S11" s="25" t="str">
        <f>IF(OR($B11="",_自动清单!$G$20=""),"",SUMIFS(包装物料出入库明细!$J$4:$J$2003,包装物料出入库明细!$D$4:$D$2003,$B11,包装物料出入库明细!$E$4:$E$2003,_自动清单!$G$20,包装物料出入库明细!$B$4:$B$2003,"&gt;="&amp;$AF$1,包装物料出入库明细!$B$4:$B$2003,"&lt;="&amp;$AF$2))</f>
        <v/>
      </c>
      <c r="T11" s="25" t="str">
        <f>IF(OR($B11="",_自动清单!$G$21=""),"",SUMIFS(包装物料出入库明细!$J$4:$J$2003,包装物料出入库明细!$D$4:$D$2003,$B11,包装物料出入库明细!$E$4:$E$2003,_自动清单!$G$21,包装物料出入库明细!$B$4:$B$2003,"&gt;="&amp;$AF$1,包装物料出入库明细!$B$4:$B$2003,"&lt;="&amp;$AF$2))</f>
        <v/>
      </c>
      <c r="U11" s="25">
        <f>IF($B11="","",SUMIFS(包装物料出入库明细!$J$4:$J$2003,包装物料出入库明细!$D$4:$D$2003,$B11,包装物料出入库明细!$B$4:$B$2003,"&gt;="&amp;$AF$1,包装物料出入库明细!$B$4:$B$2003,"&lt;="&amp;$AF$2)-SUM($C11:$T11))</f>
        <v>0</v>
      </c>
      <c r="V11" s="25">
        <f t="shared" si="1"/>
        <v>832</v>
      </c>
      <c r="W11" s="56">
        <f>IF($B11="","",SUMIFS(包装物料出入库明细!$K$4:$K$2003,包装物料出入库明细!$D$4:$D$2003,$B11,包装物料出入库明细!$B$4:$B$2003,"&gt;="&amp;$AF$1,包装物料出入库明细!$B$4:$B$2003,"&lt;="&amp;$AF$2))</f>
        <v>-800</v>
      </c>
      <c r="X11" s="25">
        <f t="shared" si="2"/>
        <v>1632</v>
      </c>
      <c r="Y11" s="26">
        <f>IF($B11="","",ROUND(SUMIFS(包装物料出入库明细!$N$4:$N$2003,包装物料出入库明细!$D$4:$D$2003,$B11,包装物料出入库明细!$H$4:$H$2003,"销售出库",包装物料出入库明细!$B$4:$B$2003,"&gt;="&amp;$AF$1,包装物料出入库明细!$B$4:$B$2003,"&lt;="&amp;$AF$2),2))</f>
        <v>0</v>
      </c>
      <c r="Z11" s="26">
        <f>IF($B11="","",ROUND(SUMIFS(包装物料出入库明细!$N$4:$N$2003,包装物料出入库明细!$D$4:$D$2003,$B11,包装物料出入库明细!$H$4:$H$2003,"销售出库",包装物料出入库明细!$P$4:$P$2003,"已收讫",包装物料出入库明细!$B$4:$B$2003,"&gt;="&amp;$AF$1,包装物料出入库明细!$B$4:$B$2003,"&lt;="&amp;$AF$2),2))</f>
        <v>0</v>
      </c>
      <c r="AA11" s="26">
        <f t="shared" si="3"/>
        <v>0</v>
      </c>
      <c r="AB11" s="41"/>
    </row>
    <row r="12" spans="1:32">
      <c r="A12" s="24">
        <f t="shared" si="0"/>
        <v>9</v>
      </c>
      <c r="B12" s="24" t="str">
        <f>IFERROR(INDEX(_自动清单!$O$4:$O$203,ROW()-3),"")</f>
        <v>吐尔逊</v>
      </c>
      <c r="C12" s="25">
        <f>IF(OR($B12="",_自动清单!$G$4=""),"",SUMIFS(包装物料出入库明细!$J$4:$J$2003,包装物料出入库明细!$D$4:$D$2003,$B12,包装物料出入库明细!$E$4:$E$2003,_自动清单!$G$4,包装物料出入库明细!$B$4:$B$2003,"&gt;="&amp;$AF$1,包装物料出入库明细!$B$4:$B$2003,"&lt;="&amp;$AF$2))</f>
        <v>0</v>
      </c>
      <c r="D12" s="25">
        <f>IF(OR($B12="",_自动清单!$G$5=""),"",SUMIFS(包装物料出入库明细!$J$4:$J$2003,包装物料出入库明细!$D$4:$D$2003,$B12,包装物料出入库明细!$E$4:$E$2003,_自动清单!$G$5,包装物料出入库明细!$B$4:$B$2003,"&gt;="&amp;$AF$1,包装物料出入库明细!$B$4:$B$2003,"&lt;="&amp;$AF$2))</f>
        <v>0</v>
      </c>
      <c r="E12" s="25">
        <f>IF(OR($B12="",_自动清单!$G$6=""),"",SUMIFS(包装物料出入库明细!$J$4:$J$2003,包装物料出入库明细!$D$4:$D$2003,$B12,包装物料出入库明细!$E$4:$E$2003,_自动清单!$G$6,包装物料出入库明细!$B$4:$B$2003,"&gt;="&amp;$AF$1,包装物料出入库明细!$B$4:$B$2003,"&lt;="&amp;$AF$2))</f>
        <v>0</v>
      </c>
      <c r="F12" s="25">
        <f>IF(OR($B12="",_自动清单!$G$7=""),"",SUMIFS(包装物料出入库明细!$J$4:$J$2003,包装物料出入库明细!$D$4:$D$2003,$B12,包装物料出入库明细!$E$4:$E$2003,_自动清单!$G$7,包装物料出入库明细!$B$4:$B$2003,"&gt;="&amp;$AF$1,包装物料出入库明细!$B$4:$B$2003,"&lt;="&amp;$AF$2))</f>
        <v>2</v>
      </c>
      <c r="G12" s="25">
        <f>IF(OR($B12="",_自动清单!$G$8=""),"",SUMIFS(包装物料出入库明细!$J$4:$J$2003,包装物料出入库明细!$D$4:$D$2003,$B12,包装物料出入库明细!$E$4:$E$2003,_自动清单!$G$8,包装物料出入库明细!$B$4:$B$2003,"&gt;="&amp;$AF$1,包装物料出入库明细!$B$4:$B$2003,"&lt;="&amp;$AF$2))</f>
        <v>0</v>
      </c>
      <c r="H12" s="25">
        <f>IF(OR($B12="",_自动清单!$G$9=""),"",SUMIFS(包装物料出入库明细!$J$4:$J$2003,包装物料出入库明细!$D$4:$D$2003,$B12,包装物料出入库明细!$E$4:$E$2003,_自动清单!$G$9,包装物料出入库明细!$B$4:$B$2003,"&gt;="&amp;$AF$1,包装物料出入库明细!$B$4:$B$2003,"&lt;="&amp;$AF$2))</f>
        <v>0</v>
      </c>
      <c r="I12" s="25">
        <f>IF(OR($B12="",_自动清单!$G$10=""),"",SUMIFS(包装物料出入库明细!$J$4:$J$2003,包装物料出入库明细!$D$4:$D$2003,$B12,包装物料出入库明细!$E$4:$E$2003,_自动清单!$G$10,包装物料出入库明细!$B$4:$B$2003,"&gt;="&amp;$AF$1,包装物料出入库明细!$B$4:$B$2003,"&lt;="&amp;$AF$2))</f>
        <v>16</v>
      </c>
      <c r="J12" s="25" t="str">
        <f>IF(OR($B12="",_自动清单!$G$11=""),"",SUMIFS(包装物料出入库明细!$J$4:$J$2003,包装物料出入库明细!$D$4:$D$2003,$B12,包装物料出入库明细!$E$4:$E$2003,_自动清单!$G$11,包装物料出入库明细!$B$4:$B$2003,"&gt;="&amp;$AF$1,包装物料出入库明细!$B$4:$B$2003,"&lt;="&amp;$AF$2))</f>
        <v/>
      </c>
      <c r="K12" s="25" t="str">
        <f>IF(OR($B12="",_自动清单!$G$12=""),"",SUMIFS(包装物料出入库明细!$J$4:$J$2003,包装物料出入库明细!$D$4:$D$2003,$B12,包装物料出入库明细!$E$4:$E$2003,_自动清单!$G$12,包装物料出入库明细!$B$4:$B$2003,"&gt;="&amp;$AF$1,包装物料出入库明细!$B$4:$B$2003,"&lt;="&amp;$AF$2))</f>
        <v/>
      </c>
      <c r="L12" s="25" t="str">
        <f>IF(OR($B12="",_自动清单!$G$13=""),"",SUMIFS(包装物料出入库明细!$J$4:$J$2003,包装物料出入库明细!$D$4:$D$2003,$B12,包装物料出入库明细!$E$4:$E$2003,_自动清单!$G$13,包装物料出入库明细!$B$4:$B$2003,"&gt;="&amp;$AF$1,包装物料出入库明细!$B$4:$B$2003,"&lt;="&amp;$AF$2))</f>
        <v/>
      </c>
      <c r="M12" s="25" t="str">
        <f>IF(OR($B12="",_自动清单!$G$14=""),"",SUMIFS(包装物料出入库明细!$J$4:$J$2003,包装物料出入库明细!$D$4:$D$2003,$B12,包装物料出入库明细!$E$4:$E$2003,_自动清单!$G$14,包装物料出入库明细!$B$4:$B$2003,"&gt;="&amp;$AF$1,包装物料出入库明细!$B$4:$B$2003,"&lt;="&amp;$AF$2))</f>
        <v/>
      </c>
      <c r="N12" s="25" t="str">
        <f>IF(OR($B12="",_自动清单!$G$15=""),"",SUMIFS(包装物料出入库明细!$J$4:$J$2003,包装物料出入库明细!$D$4:$D$2003,$B12,包装物料出入库明细!$E$4:$E$2003,_自动清单!$G$15,包装物料出入库明细!$B$4:$B$2003,"&gt;="&amp;$AF$1,包装物料出入库明细!$B$4:$B$2003,"&lt;="&amp;$AF$2))</f>
        <v/>
      </c>
      <c r="O12" s="25" t="str">
        <f>IF(OR($B12="",_自动清单!$G$16=""),"",SUMIFS(包装物料出入库明细!$J$4:$J$2003,包装物料出入库明细!$D$4:$D$2003,$B12,包装物料出入库明细!$E$4:$E$2003,_自动清单!$G$16,包装物料出入库明细!$B$4:$B$2003,"&gt;="&amp;$AF$1,包装物料出入库明细!$B$4:$B$2003,"&lt;="&amp;$AF$2))</f>
        <v/>
      </c>
      <c r="P12" s="25" t="str">
        <f>IF(OR($B12="",_自动清单!$G$17=""),"",SUMIFS(包装物料出入库明细!$J$4:$J$2003,包装物料出入库明细!$D$4:$D$2003,$B12,包装物料出入库明细!$E$4:$E$2003,_自动清单!$G$17,包装物料出入库明细!$B$4:$B$2003,"&gt;="&amp;$AF$1,包装物料出入库明细!$B$4:$B$2003,"&lt;="&amp;$AF$2))</f>
        <v/>
      </c>
      <c r="Q12" s="25" t="str">
        <f>IF(OR($B12="",_自动清单!$G$18=""),"",SUMIFS(包装物料出入库明细!$J$4:$J$2003,包装物料出入库明细!$D$4:$D$2003,$B12,包装物料出入库明细!$E$4:$E$2003,_自动清单!$G$18,包装物料出入库明细!$B$4:$B$2003,"&gt;="&amp;$AF$1,包装物料出入库明细!$B$4:$B$2003,"&lt;="&amp;$AF$2))</f>
        <v/>
      </c>
      <c r="R12" s="25" t="str">
        <f>IF(OR($B12="",_自动清单!$G$19=""),"",SUMIFS(包装物料出入库明细!$J$4:$J$2003,包装物料出入库明细!$D$4:$D$2003,$B12,包装物料出入库明细!$E$4:$E$2003,_自动清单!$G$19,包装物料出入库明细!$B$4:$B$2003,"&gt;="&amp;$AF$1,包装物料出入库明细!$B$4:$B$2003,"&lt;="&amp;$AF$2))</f>
        <v/>
      </c>
      <c r="S12" s="25" t="str">
        <f>IF(OR($B12="",_自动清单!$G$20=""),"",SUMIFS(包装物料出入库明细!$J$4:$J$2003,包装物料出入库明细!$D$4:$D$2003,$B12,包装物料出入库明细!$E$4:$E$2003,_自动清单!$G$20,包装物料出入库明细!$B$4:$B$2003,"&gt;="&amp;$AF$1,包装物料出入库明细!$B$4:$B$2003,"&lt;="&amp;$AF$2))</f>
        <v/>
      </c>
      <c r="T12" s="25" t="str">
        <f>IF(OR($B12="",_自动清单!$G$21=""),"",SUMIFS(包装物料出入库明细!$J$4:$J$2003,包装物料出入库明细!$D$4:$D$2003,$B12,包装物料出入库明细!$E$4:$E$2003,_自动清单!$G$21,包装物料出入库明细!$B$4:$B$2003,"&gt;="&amp;$AF$1,包装物料出入库明细!$B$4:$B$2003,"&lt;="&amp;$AF$2))</f>
        <v/>
      </c>
      <c r="U12" s="25">
        <f>IF($B12="","",SUMIFS(包装物料出入库明细!$J$4:$J$2003,包装物料出入库明细!$D$4:$D$2003,$B12,包装物料出入库明细!$B$4:$B$2003,"&gt;="&amp;$AF$1,包装物料出入库明细!$B$4:$B$2003,"&lt;="&amp;$AF$2)-SUM($C12:$T12))</f>
        <v>0</v>
      </c>
      <c r="V12" s="25">
        <f t="shared" si="1"/>
        <v>18</v>
      </c>
      <c r="W12" s="56">
        <f>IF($B12="","",SUMIFS(包装物料出入库明细!$K$4:$K$2003,包装物料出入库明细!$D$4:$D$2003,$B12,包装物料出入库明细!$B$4:$B$2003,"&gt;="&amp;$AF$1,包装物料出入库明细!$B$4:$B$2003,"&lt;="&amp;$AF$2))</f>
        <v>0</v>
      </c>
      <c r="X12" s="25">
        <f t="shared" si="2"/>
        <v>18</v>
      </c>
      <c r="Y12" s="26">
        <f>IF($B12="","",ROUND(SUMIFS(包装物料出入库明细!$N$4:$N$2003,包装物料出入库明细!$D$4:$D$2003,$B12,包装物料出入库明细!$H$4:$H$2003,"销售出库",包装物料出入库明细!$B$4:$B$2003,"&gt;="&amp;$AF$1,包装物料出入库明细!$B$4:$B$2003,"&lt;="&amp;$AF$2),2))</f>
        <v>0</v>
      </c>
      <c r="Z12" s="26">
        <f>IF($B12="","",ROUND(SUMIFS(包装物料出入库明细!$N$4:$N$2003,包装物料出入库明细!$D$4:$D$2003,$B12,包装物料出入库明细!$H$4:$H$2003,"销售出库",包装物料出入库明细!$P$4:$P$2003,"已收讫",包装物料出入库明细!$B$4:$B$2003,"&gt;="&amp;$AF$1,包装物料出入库明细!$B$4:$B$2003,"&lt;="&amp;$AF$2),2))</f>
        <v>0</v>
      </c>
      <c r="AA12" s="26">
        <f t="shared" si="3"/>
        <v>0</v>
      </c>
      <c r="AB12" s="41"/>
    </row>
    <row r="13" spans="1:32">
      <c r="A13" s="24" t="str">
        <f t="shared" si="0"/>
        <v/>
      </c>
      <c r="B13" s="24" t="str">
        <f>IFERROR(INDEX(_自动清单!$O$4:$O$203,ROW()-3),"")</f>
        <v/>
      </c>
      <c r="C13" s="25" t="str">
        <f>IF(OR($B13="",_自动清单!$G$4=""),"",SUMIFS(包装物料出入库明细!$J$4:$J$2003,包装物料出入库明细!$D$4:$D$2003,$B13,包装物料出入库明细!$E$4:$E$2003,_自动清单!$G$4,包装物料出入库明细!$B$4:$B$2003,"&gt;="&amp;$AF$1,包装物料出入库明细!$B$4:$B$2003,"&lt;="&amp;$AF$2))</f>
        <v/>
      </c>
      <c r="D13" s="25" t="str">
        <f>IF(OR($B13="",_自动清单!$G$5=""),"",SUMIFS(包装物料出入库明细!$J$4:$J$2003,包装物料出入库明细!$D$4:$D$2003,$B13,包装物料出入库明细!$E$4:$E$2003,_自动清单!$G$5,包装物料出入库明细!$B$4:$B$2003,"&gt;="&amp;$AF$1,包装物料出入库明细!$B$4:$B$2003,"&lt;="&amp;$AF$2))</f>
        <v/>
      </c>
      <c r="E13" s="25" t="str">
        <f>IF(OR($B13="",_自动清单!$G$6=""),"",SUMIFS(包装物料出入库明细!$J$4:$J$2003,包装物料出入库明细!$D$4:$D$2003,$B13,包装物料出入库明细!$E$4:$E$2003,_自动清单!$G$6,包装物料出入库明细!$B$4:$B$2003,"&gt;="&amp;$AF$1,包装物料出入库明细!$B$4:$B$2003,"&lt;="&amp;$AF$2))</f>
        <v/>
      </c>
      <c r="F13" s="25" t="str">
        <f>IF(OR($B13="",_自动清单!$G$7=""),"",SUMIFS(包装物料出入库明细!$J$4:$J$2003,包装物料出入库明细!$D$4:$D$2003,$B13,包装物料出入库明细!$E$4:$E$2003,_自动清单!$G$7,包装物料出入库明细!$B$4:$B$2003,"&gt;="&amp;$AF$1,包装物料出入库明细!$B$4:$B$2003,"&lt;="&amp;$AF$2))</f>
        <v/>
      </c>
      <c r="G13" s="25" t="str">
        <f>IF(OR($B13="",_自动清单!$G$8=""),"",SUMIFS(包装物料出入库明细!$J$4:$J$2003,包装物料出入库明细!$D$4:$D$2003,$B13,包装物料出入库明细!$E$4:$E$2003,_自动清单!$G$8,包装物料出入库明细!$B$4:$B$2003,"&gt;="&amp;$AF$1,包装物料出入库明细!$B$4:$B$2003,"&lt;="&amp;$AF$2))</f>
        <v/>
      </c>
      <c r="H13" s="25" t="str">
        <f>IF(OR($B13="",_自动清单!$G$9=""),"",SUMIFS(包装物料出入库明细!$J$4:$J$2003,包装物料出入库明细!$D$4:$D$2003,$B13,包装物料出入库明细!$E$4:$E$2003,_自动清单!$G$9,包装物料出入库明细!$B$4:$B$2003,"&gt;="&amp;$AF$1,包装物料出入库明细!$B$4:$B$2003,"&lt;="&amp;$AF$2))</f>
        <v/>
      </c>
      <c r="I13" s="25" t="str">
        <f>IF(OR($B13="",_自动清单!$G$10=""),"",SUMIFS(包装物料出入库明细!$J$4:$J$2003,包装物料出入库明细!$D$4:$D$2003,$B13,包装物料出入库明细!$E$4:$E$2003,_自动清单!$G$10,包装物料出入库明细!$B$4:$B$2003,"&gt;="&amp;$AF$1,包装物料出入库明细!$B$4:$B$2003,"&lt;="&amp;$AF$2))</f>
        <v/>
      </c>
      <c r="J13" s="25" t="str">
        <f>IF(OR($B13="",_自动清单!$G$11=""),"",SUMIFS(包装物料出入库明细!$J$4:$J$2003,包装物料出入库明细!$D$4:$D$2003,$B13,包装物料出入库明细!$E$4:$E$2003,_自动清单!$G$11,包装物料出入库明细!$B$4:$B$2003,"&gt;="&amp;$AF$1,包装物料出入库明细!$B$4:$B$2003,"&lt;="&amp;$AF$2))</f>
        <v/>
      </c>
      <c r="K13" s="25" t="str">
        <f>IF(OR($B13="",_自动清单!$G$12=""),"",SUMIFS(包装物料出入库明细!$J$4:$J$2003,包装物料出入库明细!$D$4:$D$2003,$B13,包装物料出入库明细!$E$4:$E$2003,_自动清单!$G$12,包装物料出入库明细!$B$4:$B$2003,"&gt;="&amp;$AF$1,包装物料出入库明细!$B$4:$B$2003,"&lt;="&amp;$AF$2))</f>
        <v/>
      </c>
      <c r="L13" s="25" t="str">
        <f>IF(OR($B13="",_自动清单!$G$13=""),"",SUMIFS(包装物料出入库明细!$J$4:$J$2003,包装物料出入库明细!$D$4:$D$2003,$B13,包装物料出入库明细!$E$4:$E$2003,_自动清单!$G$13,包装物料出入库明细!$B$4:$B$2003,"&gt;="&amp;$AF$1,包装物料出入库明细!$B$4:$B$2003,"&lt;="&amp;$AF$2))</f>
        <v/>
      </c>
      <c r="M13" s="25" t="str">
        <f>IF(OR($B13="",_自动清单!$G$14=""),"",SUMIFS(包装物料出入库明细!$J$4:$J$2003,包装物料出入库明细!$D$4:$D$2003,$B13,包装物料出入库明细!$E$4:$E$2003,_自动清单!$G$14,包装物料出入库明细!$B$4:$B$2003,"&gt;="&amp;$AF$1,包装物料出入库明细!$B$4:$B$2003,"&lt;="&amp;$AF$2))</f>
        <v/>
      </c>
      <c r="N13" s="25" t="str">
        <f>IF(OR($B13="",_自动清单!$G$15=""),"",SUMIFS(包装物料出入库明细!$J$4:$J$2003,包装物料出入库明细!$D$4:$D$2003,$B13,包装物料出入库明细!$E$4:$E$2003,_自动清单!$G$15,包装物料出入库明细!$B$4:$B$2003,"&gt;="&amp;$AF$1,包装物料出入库明细!$B$4:$B$2003,"&lt;="&amp;$AF$2))</f>
        <v/>
      </c>
      <c r="O13" s="25" t="str">
        <f>IF(OR($B13="",_自动清单!$G$16=""),"",SUMIFS(包装物料出入库明细!$J$4:$J$2003,包装物料出入库明细!$D$4:$D$2003,$B13,包装物料出入库明细!$E$4:$E$2003,_自动清单!$G$16,包装物料出入库明细!$B$4:$B$2003,"&gt;="&amp;$AF$1,包装物料出入库明细!$B$4:$B$2003,"&lt;="&amp;$AF$2))</f>
        <v/>
      </c>
      <c r="P13" s="25" t="str">
        <f>IF(OR($B13="",_自动清单!$G$17=""),"",SUMIFS(包装物料出入库明细!$J$4:$J$2003,包装物料出入库明细!$D$4:$D$2003,$B13,包装物料出入库明细!$E$4:$E$2003,_自动清单!$G$17,包装物料出入库明细!$B$4:$B$2003,"&gt;="&amp;$AF$1,包装物料出入库明细!$B$4:$B$2003,"&lt;="&amp;$AF$2))</f>
        <v/>
      </c>
      <c r="Q13" s="25" t="str">
        <f>IF(OR($B13="",_自动清单!$G$18=""),"",SUMIFS(包装物料出入库明细!$J$4:$J$2003,包装物料出入库明细!$D$4:$D$2003,$B13,包装物料出入库明细!$E$4:$E$2003,_自动清单!$G$18,包装物料出入库明细!$B$4:$B$2003,"&gt;="&amp;$AF$1,包装物料出入库明细!$B$4:$B$2003,"&lt;="&amp;$AF$2))</f>
        <v/>
      </c>
      <c r="R13" s="25" t="str">
        <f>IF(OR($B13="",_自动清单!$G$19=""),"",SUMIFS(包装物料出入库明细!$J$4:$J$2003,包装物料出入库明细!$D$4:$D$2003,$B13,包装物料出入库明细!$E$4:$E$2003,_自动清单!$G$19,包装物料出入库明细!$B$4:$B$2003,"&gt;="&amp;$AF$1,包装物料出入库明细!$B$4:$B$2003,"&lt;="&amp;$AF$2))</f>
        <v/>
      </c>
      <c r="S13" s="25" t="str">
        <f>IF(OR($B13="",_自动清单!$G$20=""),"",SUMIFS(包装物料出入库明细!$J$4:$J$2003,包装物料出入库明细!$D$4:$D$2003,$B13,包装物料出入库明细!$E$4:$E$2003,_自动清单!$G$20,包装物料出入库明细!$B$4:$B$2003,"&gt;="&amp;$AF$1,包装物料出入库明细!$B$4:$B$2003,"&lt;="&amp;$AF$2))</f>
        <v/>
      </c>
      <c r="T13" s="25" t="str">
        <f>IF(OR($B13="",_自动清单!$G$21=""),"",SUMIFS(包装物料出入库明细!$J$4:$J$2003,包装物料出入库明细!$D$4:$D$2003,$B13,包装物料出入库明细!$E$4:$E$2003,_自动清单!$G$21,包装物料出入库明细!$B$4:$B$2003,"&gt;="&amp;$AF$1,包装物料出入库明细!$B$4:$B$2003,"&lt;="&amp;$AF$2))</f>
        <v/>
      </c>
      <c r="U13" s="25" t="str">
        <f>IF($B13="","",SUMIFS(包装物料出入库明细!$J$4:$J$2003,包装物料出入库明细!$D$4:$D$2003,$B13,包装物料出入库明细!$B$4:$B$2003,"&gt;="&amp;$AF$1,包装物料出入库明细!$B$4:$B$2003,"&lt;="&amp;$AF$2)-SUM($C13:$T13))</f>
        <v/>
      </c>
      <c r="V13" s="25" t="str">
        <f t="shared" si="1"/>
        <v/>
      </c>
      <c r="W13" s="56" t="str">
        <f>IF($B13="","",SUMIFS(包装物料出入库明细!$K$4:$K$2003,包装物料出入库明细!$D$4:$D$2003,$B13,包装物料出入库明细!$B$4:$B$2003,"&gt;="&amp;$AF$1,包装物料出入库明细!$B$4:$B$2003,"&lt;="&amp;$AF$2))</f>
        <v/>
      </c>
      <c r="X13" s="25" t="str">
        <f t="shared" si="2"/>
        <v/>
      </c>
      <c r="Y13" s="26" t="str">
        <f>IF($B13="","",ROUND(SUMIFS(包装物料出入库明细!$N$4:$N$2003,包装物料出入库明细!$D$4:$D$2003,$B13,包装物料出入库明细!$H$4:$H$2003,"销售出库",包装物料出入库明细!$B$4:$B$2003,"&gt;="&amp;$AF$1,包装物料出入库明细!$B$4:$B$2003,"&lt;="&amp;$AF$2),2))</f>
        <v/>
      </c>
      <c r="Z13" s="26" t="str">
        <f>IF($B13="","",ROUND(SUMIFS(包装物料出入库明细!$N$4:$N$2003,包装物料出入库明细!$D$4:$D$2003,$B13,包装物料出入库明细!$H$4:$H$2003,"销售出库",包装物料出入库明细!$P$4:$P$2003,"已收讫",包装物料出入库明细!$B$4:$B$2003,"&gt;="&amp;$AF$1,包装物料出入库明细!$B$4:$B$2003,"&lt;="&amp;$AF$2),2))</f>
        <v/>
      </c>
      <c r="AA13" s="26" t="str">
        <f t="shared" si="3"/>
        <v/>
      </c>
      <c r="AB13" s="41"/>
    </row>
    <row r="14" spans="1:32">
      <c r="A14" s="24" t="str">
        <f t="shared" si="0"/>
        <v/>
      </c>
      <c r="B14" s="24" t="str">
        <f>IFERROR(INDEX(_自动清单!$O$4:$O$203,ROW()-3),"")</f>
        <v/>
      </c>
      <c r="C14" s="25" t="str">
        <f>IF(OR($B14="",_自动清单!$G$4=""),"",SUMIFS(包装物料出入库明细!$J$4:$J$2003,包装物料出入库明细!$D$4:$D$2003,$B14,包装物料出入库明细!$E$4:$E$2003,_自动清单!$G$4,包装物料出入库明细!$B$4:$B$2003,"&gt;="&amp;$AF$1,包装物料出入库明细!$B$4:$B$2003,"&lt;="&amp;$AF$2))</f>
        <v/>
      </c>
      <c r="D14" s="25" t="str">
        <f>IF(OR($B14="",_自动清单!$G$5=""),"",SUMIFS(包装物料出入库明细!$J$4:$J$2003,包装物料出入库明细!$D$4:$D$2003,$B14,包装物料出入库明细!$E$4:$E$2003,_自动清单!$G$5,包装物料出入库明细!$B$4:$B$2003,"&gt;="&amp;$AF$1,包装物料出入库明细!$B$4:$B$2003,"&lt;="&amp;$AF$2))</f>
        <v/>
      </c>
      <c r="E14" s="25" t="str">
        <f>IF(OR($B14="",_自动清单!$G$6=""),"",SUMIFS(包装物料出入库明细!$J$4:$J$2003,包装物料出入库明细!$D$4:$D$2003,$B14,包装物料出入库明细!$E$4:$E$2003,_自动清单!$G$6,包装物料出入库明细!$B$4:$B$2003,"&gt;="&amp;$AF$1,包装物料出入库明细!$B$4:$B$2003,"&lt;="&amp;$AF$2))</f>
        <v/>
      </c>
      <c r="F14" s="25" t="str">
        <f>IF(OR($B14="",_自动清单!$G$7=""),"",SUMIFS(包装物料出入库明细!$J$4:$J$2003,包装物料出入库明细!$D$4:$D$2003,$B14,包装物料出入库明细!$E$4:$E$2003,_自动清单!$G$7,包装物料出入库明细!$B$4:$B$2003,"&gt;="&amp;$AF$1,包装物料出入库明细!$B$4:$B$2003,"&lt;="&amp;$AF$2))</f>
        <v/>
      </c>
      <c r="G14" s="25" t="str">
        <f>IF(OR($B14="",_自动清单!$G$8=""),"",SUMIFS(包装物料出入库明细!$J$4:$J$2003,包装物料出入库明细!$D$4:$D$2003,$B14,包装物料出入库明细!$E$4:$E$2003,_自动清单!$G$8,包装物料出入库明细!$B$4:$B$2003,"&gt;="&amp;$AF$1,包装物料出入库明细!$B$4:$B$2003,"&lt;="&amp;$AF$2))</f>
        <v/>
      </c>
      <c r="H14" s="25" t="str">
        <f>IF(OR($B14="",_自动清单!$G$9=""),"",SUMIFS(包装物料出入库明细!$J$4:$J$2003,包装物料出入库明细!$D$4:$D$2003,$B14,包装物料出入库明细!$E$4:$E$2003,_自动清单!$G$9,包装物料出入库明细!$B$4:$B$2003,"&gt;="&amp;$AF$1,包装物料出入库明细!$B$4:$B$2003,"&lt;="&amp;$AF$2))</f>
        <v/>
      </c>
      <c r="I14" s="25" t="str">
        <f>IF(OR($B14="",_自动清单!$G$10=""),"",SUMIFS(包装物料出入库明细!$J$4:$J$2003,包装物料出入库明细!$D$4:$D$2003,$B14,包装物料出入库明细!$E$4:$E$2003,_自动清单!$G$10,包装物料出入库明细!$B$4:$B$2003,"&gt;="&amp;$AF$1,包装物料出入库明细!$B$4:$B$2003,"&lt;="&amp;$AF$2))</f>
        <v/>
      </c>
      <c r="J14" s="25" t="str">
        <f>IF(OR($B14="",_自动清单!$G$11=""),"",SUMIFS(包装物料出入库明细!$J$4:$J$2003,包装物料出入库明细!$D$4:$D$2003,$B14,包装物料出入库明细!$E$4:$E$2003,_自动清单!$G$11,包装物料出入库明细!$B$4:$B$2003,"&gt;="&amp;$AF$1,包装物料出入库明细!$B$4:$B$2003,"&lt;="&amp;$AF$2))</f>
        <v/>
      </c>
      <c r="K14" s="25" t="str">
        <f>IF(OR($B14="",_自动清单!$G$12=""),"",SUMIFS(包装物料出入库明细!$J$4:$J$2003,包装物料出入库明细!$D$4:$D$2003,$B14,包装物料出入库明细!$E$4:$E$2003,_自动清单!$G$12,包装物料出入库明细!$B$4:$B$2003,"&gt;="&amp;$AF$1,包装物料出入库明细!$B$4:$B$2003,"&lt;="&amp;$AF$2))</f>
        <v/>
      </c>
      <c r="L14" s="25" t="str">
        <f>IF(OR($B14="",_自动清单!$G$13=""),"",SUMIFS(包装物料出入库明细!$J$4:$J$2003,包装物料出入库明细!$D$4:$D$2003,$B14,包装物料出入库明细!$E$4:$E$2003,_自动清单!$G$13,包装物料出入库明细!$B$4:$B$2003,"&gt;="&amp;$AF$1,包装物料出入库明细!$B$4:$B$2003,"&lt;="&amp;$AF$2))</f>
        <v/>
      </c>
      <c r="M14" s="25" t="str">
        <f>IF(OR($B14="",_自动清单!$G$14=""),"",SUMIFS(包装物料出入库明细!$J$4:$J$2003,包装物料出入库明细!$D$4:$D$2003,$B14,包装物料出入库明细!$E$4:$E$2003,_自动清单!$G$14,包装物料出入库明细!$B$4:$B$2003,"&gt;="&amp;$AF$1,包装物料出入库明细!$B$4:$B$2003,"&lt;="&amp;$AF$2))</f>
        <v/>
      </c>
      <c r="N14" s="25" t="str">
        <f>IF(OR($B14="",_自动清单!$G$15=""),"",SUMIFS(包装物料出入库明细!$J$4:$J$2003,包装物料出入库明细!$D$4:$D$2003,$B14,包装物料出入库明细!$E$4:$E$2003,_自动清单!$G$15,包装物料出入库明细!$B$4:$B$2003,"&gt;="&amp;$AF$1,包装物料出入库明细!$B$4:$B$2003,"&lt;="&amp;$AF$2))</f>
        <v/>
      </c>
      <c r="O14" s="25" t="str">
        <f>IF(OR($B14="",_自动清单!$G$16=""),"",SUMIFS(包装物料出入库明细!$J$4:$J$2003,包装物料出入库明细!$D$4:$D$2003,$B14,包装物料出入库明细!$E$4:$E$2003,_自动清单!$G$16,包装物料出入库明细!$B$4:$B$2003,"&gt;="&amp;$AF$1,包装物料出入库明细!$B$4:$B$2003,"&lt;="&amp;$AF$2))</f>
        <v/>
      </c>
      <c r="P14" s="25" t="str">
        <f>IF(OR($B14="",_自动清单!$G$17=""),"",SUMIFS(包装物料出入库明细!$J$4:$J$2003,包装物料出入库明细!$D$4:$D$2003,$B14,包装物料出入库明细!$E$4:$E$2003,_自动清单!$G$17,包装物料出入库明细!$B$4:$B$2003,"&gt;="&amp;$AF$1,包装物料出入库明细!$B$4:$B$2003,"&lt;="&amp;$AF$2))</f>
        <v/>
      </c>
      <c r="Q14" s="25" t="str">
        <f>IF(OR($B14="",_自动清单!$G$18=""),"",SUMIFS(包装物料出入库明细!$J$4:$J$2003,包装物料出入库明细!$D$4:$D$2003,$B14,包装物料出入库明细!$E$4:$E$2003,_自动清单!$G$18,包装物料出入库明细!$B$4:$B$2003,"&gt;="&amp;$AF$1,包装物料出入库明细!$B$4:$B$2003,"&lt;="&amp;$AF$2))</f>
        <v/>
      </c>
      <c r="R14" s="25" t="str">
        <f>IF(OR($B14="",_自动清单!$G$19=""),"",SUMIFS(包装物料出入库明细!$J$4:$J$2003,包装物料出入库明细!$D$4:$D$2003,$B14,包装物料出入库明细!$E$4:$E$2003,_自动清单!$G$19,包装物料出入库明细!$B$4:$B$2003,"&gt;="&amp;$AF$1,包装物料出入库明细!$B$4:$B$2003,"&lt;="&amp;$AF$2))</f>
        <v/>
      </c>
      <c r="S14" s="25" t="str">
        <f>IF(OR($B14="",_自动清单!$G$20=""),"",SUMIFS(包装物料出入库明细!$J$4:$J$2003,包装物料出入库明细!$D$4:$D$2003,$B14,包装物料出入库明细!$E$4:$E$2003,_自动清单!$G$20,包装物料出入库明细!$B$4:$B$2003,"&gt;="&amp;$AF$1,包装物料出入库明细!$B$4:$B$2003,"&lt;="&amp;$AF$2))</f>
        <v/>
      </c>
      <c r="T14" s="25" t="str">
        <f>IF(OR($B14="",_自动清单!$G$21=""),"",SUMIFS(包装物料出入库明细!$J$4:$J$2003,包装物料出入库明细!$D$4:$D$2003,$B14,包装物料出入库明细!$E$4:$E$2003,_自动清单!$G$21,包装物料出入库明细!$B$4:$B$2003,"&gt;="&amp;$AF$1,包装物料出入库明细!$B$4:$B$2003,"&lt;="&amp;$AF$2))</f>
        <v/>
      </c>
      <c r="U14" s="25" t="str">
        <f>IF($B14="","",SUMIFS(包装物料出入库明细!$J$4:$J$2003,包装物料出入库明细!$D$4:$D$2003,$B14,包装物料出入库明细!$B$4:$B$2003,"&gt;="&amp;$AF$1,包装物料出入库明细!$B$4:$B$2003,"&lt;="&amp;$AF$2)-SUM($C14:$T14))</f>
        <v/>
      </c>
      <c r="V14" s="25" t="str">
        <f t="shared" si="1"/>
        <v/>
      </c>
      <c r="W14" s="56" t="str">
        <f>IF($B14="","",SUMIFS(包装物料出入库明细!$K$4:$K$2003,包装物料出入库明细!$D$4:$D$2003,$B14,包装物料出入库明细!$B$4:$B$2003,"&gt;="&amp;$AF$1,包装物料出入库明细!$B$4:$B$2003,"&lt;="&amp;$AF$2))</f>
        <v/>
      </c>
      <c r="X14" s="25" t="str">
        <f t="shared" si="2"/>
        <v/>
      </c>
      <c r="Y14" s="26" t="str">
        <f>IF($B14="","",ROUND(SUMIFS(包装物料出入库明细!$N$4:$N$2003,包装物料出入库明细!$D$4:$D$2003,$B14,包装物料出入库明细!$H$4:$H$2003,"销售出库",包装物料出入库明细!$B$4:$B$2003,"&gt;="&amp;$AF$1,包装物料出入库明细!$B$4:$B$2003,"&lt;="&amp;$AF$2),2))</f>
        <v/>
      </c>
      <c r="Z14" s="26" t="str">
        <f>IF($B14="","",ROUND(SUMIFS(包装物料出入库明细!$N$4:$N$2003,包装物料出入库明细!$D$4:$D$2003,$B14,包装物料出入库明细!$H$4:$H$2003,"销售出库",包装物料出入库明细!$P$4:$P$2003,"已收讫",包装物料出入库明细!$B$4:$B$2003,"&gt;="&amp;$AF$1,包装物料出入库明细!$B$4:$B$2003,"&lt;="&amp;$AF$2),2))</f>
        <v/>
      </c>
      <c r="AA14" s="26" t="str">
        <f t="shared" si="3"/>
        <v/>
      </c>
      <c r="AB14" s="41"/>
    </row>
    <row r="15" spans="1:32">
      <c r="A15" s="24" t="str">
        <f t="shared" si="0"/>
        <v/>
      </c>
      <c r="B15" s="24" t="str">
        <f>IFERROR(INDEX(_自动清单!$O$4:$O$203,ROW()-3),"")</f>
        <v/>
      </c>
      <c r="C15" s="25" t="str">
        <f>IF(OR($B15="",_自动清单!$G$4=""),"",SUMIFS(包装物料出入库明细!$J$4:$J$2003,包装物料出入库明细!$D$4:$D$2003,$B15,包装物料出入库明细!$E$4:$E$2003,_自动清单!$G$4,包装物料出入库明细!$B$4:$B$2003,"&gt;="&amp;$AF$1,包装物料出入库明细!$B$4:$B$2003,"&lt;="&amp;$AF$2))</f>
        <v/>
      </c>
      <c r="D15" s="25" t="str">
        <f>IF(OR($B15="",_自动清单!$G$5=""),"",SUMIFS(包装物料出入库明细!$J$4:$J$2003,包装物料出入库明细!$D$4:$D$2003,$B15,包装物料出入库明细!$E$4:$E$2003,_自动清单!$G$5,包装物料出入库明细!$B$4:$B$2003,"&gt;="&amp;$AF$1,包装物料出入库明细!$B$4:$B$2003,"&lt;="&amp;$AF$2))</f>
        <v/>
      </c>
      <c r="E15" s="25" t="str">
        <f>IF(OR($B15="",_自动清单!$G$6=""),"",SUMIFS(包装物料出入库明细!$J$4:$J$2003,包装物料出入库明细!$D$4:$D$2003,$B15,包装物料出入库明细!$E$4:$E$2003,_自动清单!$G$6,包装物料出入库明细!$B$4:$B$2003,"&gt;="&amp;$AF$1,包装物料出入库明细!$B$4:$B$2003,"&lt;="&amp;$AF$2))</f>
        <v/>
      </c>
      <c r="F15" s="25" t="str">
        <f>IF(OR($B15="",_自动清单!$G$7=""),"",SUMIFS(包装物料出入库明细!$J$4:$J$2003,包装物料出入库明细!$D$4:$D$2003,$B15,包装物料出入库明细!$E$4:$E$2003,_自动清单!$G$7,包装物料出入库明细!$B$4:$B$2003,"&gt;="&amp;$AF$1,包装物料出入库明细!$B$4:$B$2003,"&lt;="&amp;$AF$2))</f>
        <v/>
      </c>
      <c r="G15" s="25" t="str">
        <f>IF(OR($B15="",_自动清单!$G$8=""),"",SUMIFS(包装物料出入库明细!$J$4:$J$2003,包装物料出入库明细!$D$4:$D$2003,$B15,包装物料出入库明细!$E$4:$E$2003,_自动清单!$G$8,包装物料出入库明细!$B$4:$B$2003,"&gt;="&amp;$AF$1,包装物料出入库明细!$B$4:$B$2003,"&lt;="&amp;$AF$2))</f>
        <v/>
      </c>
      <c r="H15" s="25" t="str">
        <f>IF(OR($B15="",_自动清单!$G$9=""),"",SUMIFS(包装物料出入库明细!$J$4:$J$2003,包装物料出入库明细!$D$4:$D$2003,$B15,包装物料出入库明细!$E$4:$E$2003,_自动清单!$G$9,包装物料出入库明细!$B$4:$B$2003,"&gt;="&amp;$AF$1,包装物料出入库明细!$B$4:$B$2003,"&lt;="&amp;$AF$2))</f>
        <v/>
      </c>
      <c r="I15" s="25" t="str">
        <f>IF(OR($B15="",_自动清单!$G$10=""),"",SUMIFS(包装物料出入库明细!$J$4:$J$2003,包装物料出入库明细!$D$4:$D$2003,$B15,包装物料出入库明细!$E$4:$E$2003,_自动清单!$G$10,包装物料出入库明细!$B$4:$B$2003,"&gt;="&amp;$AF$1,包装物料出入库明细!$B$4:$B$2003,"&lt;="&amp;$AF$2))</f>
        <v/>
      </c>
      <c r="J15" s="25" t="str">
        <f>IF(OR($B15="",_自动清单!$G$11=""),"",SUMIFS(包装物料出入库明细!$J$4:$J$2003,包装物料出入库明细!$D$4:$D$2003,$B15,包装物料出入库明细!$E$4:$E$2003,_自动清单!$G$11,包装物料出入库明细!$B$4:$B$2003,"&gt;="&amp;$AF$1,包装物料出入库明细!$B$4:$B$2003,"&lt;="&amp;$AF$2))</f>
        <v/>
      </c>
      <c r="K15" s="25" t="str">
        <f>IF(OR($B15="",_自动清单!$G$12=""),"",SUMIFS(包装物料出入库明细!$J$4:$J$2003,包装物料出入库明细!$D$4:$D$2003,$B15,包装物料出入库明细!$E$4:$E$2003,_自动清单!$G$12,包装物料出入库明细!$B$4:$B$2003,"&gt;="&amp;$AF$1,包装物料出入库明细!$B$4:$B$2003,"&lt;="&amp;$AF$2))</f>
        <v/>
      </c>
      <c r="L15" s="25" t="str">
        <f>IF(OR($B15="",_自动清单!$G$13=""),"",SUMIFS(包装物料出入库明细!$J$4:$J$2003,包装物料出入库明细!$D$4:$D$2003,$B15,包装物料出入库明细!$E$4:$E$2003,_自动清单!$G$13,包装物料出入库明细!$B$4:$B$2003,"&gt;="&amp;$AF$1,包装物料出入库明细!$B$4:$B$2003,"&lt;="&amp;$AF$2))</f>
        <v/>
      </c>
      <c r="M15" s="25" t="str">
        <f>IF(OR($B15="",_自动清单!$G$14=""),"",SUMIFS(包装物料出入库明细!$J$4:$J$2003,包装物料出入库明细!$D$4:$D$2003,$B15,包装物料出入库明细!$E$4:$E$2003,_自动清单!$G$14,包装物料出入库明细!$B$4:$B$2003,"&gt;="&amp;$AF$1,包装物料出入库明细!$B$4:$B$2003,"&lt;="&amp;$AF$2))</f>
        <v/>
      </c>
      <c r="N15" s="25" t="str">
        <f>IF(OR($B15="",_自动清单!$G$15=""),"",SUMIFS(包装物料出入库明细!$J$4:$J$2003,包装物料出入库明细!$D$4:$D$2003,$B15,包装物料出入库明细!$E$4:$E$2003,_自动清单!$G$15,包装物料出入库明细!$B$4:$B$2003,"&gt;="&amp;$AF$1,包装物料出入库明细!$B$4:$B$2003,"&lt;="&amp;$AF$2))</f>
        <v/>
      </c>
      <c r="O15" s="25" t="str">
        <f>IF(OR($B15="",_自动清单!$G$16=""),"",SUMIFS(包装物料出入库明细!$J$4:$J$2003,包装物料出入库明细!$D$4:$D$2003,$B15,包装物料出入库明细!$E$4:$E$2003,_自动清单!$G$16,包装物料出入库明细!$B$4:$B$2003,"&gt;="&amp;$AF$1,包装物料出入库明细!$B$4:$B$2003,"&lt;="&amp;$AF$2))</f>
        <v/>
      </c>
      <c r="P15" s="25" t="str">
        <f>IF(OR($B15="",_自动清单!$G$17=""),"",SUMIFS(包装物料出入库明细!$J$4:$J$2003,包装物料出入库明细!$D$4:$D$2003,$B15,包装物料出入库明细!$E$4:$E$2003,_自动清单!$G$17,包装物料出入库明细!$B$4:$B$2003,"&gt;="&amp;$AF$1,包装物料出入库明细!$B$4:$B$2003,"&lt;="&amp;$AF$2))</f>
        <v/>
      </c>
      <c r="Q15" s="25" t="str">
        <f>IF(OR($B15="",_自动清单!$G$18=""),"",SUMIFS(包装物料出入库明细!$J$4:$J$2003,包装物料出入库明细!$D$4:$D$2003,$B15,包装物料出入库明细!$E$4:$E$2003,_自动清单!$G$18,包装物料出入库明细!$B$4:$B$2003,"&gt;="&amp;$AF$1,包装物料出入库明细!$B$4:$B$2003,"&lt;="&amp;$AF$2))</f>
        <v/>
      </c>
      <c r="R15" s="25" t="str">
        <f>IF(OR($B15="",_自动清单!$G$19=""),"",SUMIFS(包装物料出入库明细!$J$4:$J$2003,包装物料出入库明细!$D$4:$D$2003,$B15,包装物料出入库明细!$E$4:$E$2003,_自动清单!$G$19,包装物料出入库明细!$B$4:$B$2003,"&gt;="&amp;$AF$1,包装物料出入库明细!$B$4:$B$2003,"&lt;="&amp;$AF$2))</f>
        <v/>
      </c>
      <c r="S15" s="25" t="str">
        <f>IF(OR($B15="",_自动清单!$G$20=""),"",SUMIFS(包装物料出入库明细!$J$4:$J$2003,包装物料出入库明细!$D$4:$D$2003,$B15,包装物料出入库明细!$E$4:$E$2003,_自动清单!$G$20,包装物料出入库明细!$B$4:$B$2003,"&gt;="&amp;$AF$1,包装物料出入库明细!$B$4:$B$2003,"&lt;="&amp;$AF$2))</f>
        <v/>
      </c>
      <c r="T15" s="25" t="str">
        <f>IF(OR($B15="",_自动清单!$G$21=""),"",SUMIFS(包装物料出入库明细!$J$4:$J$2003,包装物料出入库明细!$D$4:$D$2003,$B15,包装物料出入库明细!$E$4:$E$2003,_自动清单!$G$21,包装物料出入库明细!$B$4:$B$2003,"&gt;="&amp;$AF$1,包装物料出入库明细!$B$4:$B$2003,"&lt;="&amp;$AF$2))</f>
        <v/>
      </c>
      <c r="U15" s="25" t="str">
        <f>IF($B15="","",SUMIFS(包装物料出入库明细!$J$4:$J$2003,包装物料出入库明细!$D$4:$D$2003,$B15,包装物料出入库明细!$B$4:$B$2003,"&gt;="&amp;$AF$1,包装物料出入库明细!$B$4:$B$2003,"&lt;="&amp;$AF$2)-SUM($C15:$T15))</f>
        <v/>
      </c>
      <c r="V15" s="25" t="str">
        <f t="shared" si="1"/>
        <v/>
      </c>
      <c r="W15" s="56" t="str">
        <f>IF($B15="","",SUMIFS(包装物料出入库明细!$K$4:$K$2003,包装物料出入库明细!$D$4:$D$2003,$B15,包装物料出入库明细!$B$4:$B$2003,"&gt;="&amp;$AF$1,包装物料出入库明细!$B$4:$B$2003,"&lt;="&amp;$AF$2))</f>
        <v/>
      </c>
      <c r="X15" s="25" t="str">
        <f t="shared" si="2"/>
        <v/>
      </c>
      <c r="Y15" s="26" t="str">
        <f>IF($B15="","",ROUND(SUMIFS(包装物料出入库明细!$N$4:$N$2003,包装物料出入库明细!$D$4:$D$2003,$B15,包装物料出入库明细!$H$4:$H$2003,"销售出库",包装物料出入库明细!$B$4:$B$2003,"&gt;="&amp;$AF$1,包装物料出入库明细!$B$4:$B$2003,"&lt;="&amp;$AF$2),2))</f>
        <v/>
      </c>
      <c r="Z15" s="26" t="str">
        <f>IF($B15="","",ROUND(SUMIFS(包装物料出入库明细!$N$4:$N$2003,包装物料出入库明细!$D$4:$D$2003,$B15,包装物料出入库明细!$H$4:$H$2003,"销售出库",包装物料出入库明细!$P$4:$P$2003,"已收讫",包装物料出入库明细!$B$4:$B$2003,"&gt;="&amp;$AF$1,包装物料出入库明细!$B$4:$B$2003,"&lt;="&amp;$AF$2),2))</f>
        <v/>
      </c>
      <c r="AA15" s="26" t="str">
        <f t="shared" si="3"/>
        <v/>
      </c>
      <c r="AB15" s="41"/>
    </row>
    <row r="16" spans="1:32">
      <c r="A16" s="24" t="str">
        <f t="shared" si="0"/>
        <v/>
      </c>
      <c r="B16" s="24" t="str">
        <f>IFERROR(INDEX(_自动清单!$O$4:$O$203,ROW()-3),"")</f>
        <v/>
      </c>
      <c r="C16" s="25" t="str">
        <f>IF(OR($B16="",_自动清单!$G$4=""),"",SUMIFS(包装物料出入库明细!$J$4:$J$2003,包装物料出入库明细!$D$4:$D$2003,$B16,包装物料出入库明细!$E$4:$E$2003,_自动清单!$G$4,包装物料出入库明细!$B$4:$B$2003,"&gt;="&amp;$AF$1,包装物料出入库明细!$B$4:$B$2003,"&lt;="&amp;$AF$2))</f>
        <v/>
      </c>
      <c r="D16" s="25" t="str">
        <f>IF(OR($B16="",_自动清单!$G$5=""),"",SUMIFS(包装物料出入库明细!$J$4:$J$2003,包装物料出入库明细!$D$4:$D$2003,$B16,包装物料出入库明细!$E$4:$E$2003,_自动清单!$G$5,包装物料出入库明细!$B$4:$B$2003,"&gt;="&amp;$AF$1,包装物料出入库明细!$B$4:$B$2003,"&lt;="&amp;$AF$2))</f>
        <v/>
      </c>
      <c r="E16" s="25" t="str">
        <f>IF(OR($B16="",_自动清单!$G$6=""),"",SUMIFS(包装物料出入库明细!$J$4:$J$2003,包装物料出入库明细!$D$4:$D$2003,$B16,包装物料出入库明细!$E$4:$E$2003,_自动清单!$G$6,包装物料出入库明细!$B$4:$B$2003,"&gt;="&amp;$AF$1,包装物料出入库明细!$B$4:$B$2003,"&lt;="&amp;$AF$2))</f>
        <v/>
      </c>
      <c r="F16" s="25" t="str">
        <f>IF(OR($B16="",_自动清单!$G$7=""),"",SUMIFS(包装物料出入库明细!$J$4:$J$2003,包装物料出入库明细!$D$4:$D$2003,$B16,包装物料出入库明细!$E$4:$E$2003,_自动清单!$G$7,包装物料出入库明细!$B$4:$B$2003,"&gt;="&amp;$AF$1,包装物料出入库明细!$B$4:$B$2003,"&lt;="&amp;$AF$2))</f>
        <v/>
      </c>
      <c r="G16" s="25" t="str">
        <f>IF(OR($B16="",_自动清单!$G$8=""),"",SUMIFS(包装物料出入库明细!$J$4:$J$2003,包装物料出入库明细!$D$4:$D$2003,$B16,包装物料出入库明细!$E$4:$E$2003,_自动清单!$G$8,包装物料出入库明细!$B$4:$B$2003,"&gt;="&amp;$AF$1,包装物料出入库明细!$B$4:$B$2003,"&lt;="&amp;$AF$2))</f>
        <v/>
      </c>
      <c r="H16" s="25" t="str">
        <f>IF(OR($B16="",_自动清单!$G$9=""),"",SUMIFS(包装物料出入库明细!$J$4:$J$2003,包装物料出入库明细!$D$4:$D$2003,$B16,包装物料出入库明细!$E$4:$E$2003,_自动清单!$G$9,包装物料出入库明细!$B$4:$B$2003,"&gt;="&amp;$AF$1,包装物料出入库明细!$B$4:$B$2003,"&lt;="&amp;$AF$2))</f>
        <v/>
      </c>
      <c r="I16" s="25" t="str">
        <f>IF(OR($B16="",_自动清单!$G$10=""),"",SUMIFS(包装物料出入库明细!$J$4:$J$2003,包装物料出入库明细!$D$4:$D$2003,$B16,包装物料出入库明细!$E$4:$E$2003,_自动清单!$G$10,包装物料出入库明细!$B$4:$B$2003,"&gt;="&amp;$AF$1,包装物料出入库明细!$B$4:$B$2003,"&lt;="&amp;$AF$2))</f>
        <v/>
      </c>
      <c r="J16" s="25" t="str">
        <f>IF(OR($B16="",_自动清单!$G$11=""),"",SUMIFS(包装物料出入库明细!$J$4:$J$2003,包装物料出入库明细!$D$4:$D$2003,$B16,包装物料出入库明细!$E$4:$E$2003,_自动清单!$G$11,包装物料出入库明细!$B$4:$B$2003,"&gt;="&amp;$AF$1,包装物料出入库明细!$B$4:$B$2003,"&lt;="&amp;$AF$2))</f>
        <v/>
      </c>
      <c r="K16" s="25" t="str">
        <f>IF(OR($B16="",_自动清单!$G$12=""),"",SUMIFS(包装物料出入库明细!$J$4:$J$2003,包装物料出入库明细!$D$4:$D$2003,$B16,包装物料出入库明细!$E$4:$E$2003,_自动清单!$G$12,包装物料出入库明细!$B$4:$B$2003,"&gt;="&amp;$AF$1,包装物料出入库明细!$B$4:$B$2003,"&lt;="&amp;$AF$2))</f>
        <v/>
      </c>
      <c r="L16" s="25" t="str">
        <f>IF(OR($B16="",_自动清单!$G$13=""),"",SUMIFS(包装物料出入库明细!$J$4:$J$2003,包装物料出入库明细!$D$4:$D$2003,$B16,包装物料出入库明细!$E$4:$E$2003,_自动清单!$G$13,包装物料出入库明细!$B$4:$B$2003,"&gt;="&amp;$AF$1,包装物料出入库明细!$B$4:$B$2003,"&lt;="&amp;$AF$2))</f>
        <v/>
      </c>
      <c r="M16" s="25" t="str">
        <f>IF(OR($B16="",_自动清单!$G$14=""),"",SUMIFS(包装物料出入库明细!$J$4:$J$2003,包装物料出入库明细!$D$4:$D$2003,$B16,包装物料出入库明细!$E$4:$E$2003,_自动清单!$G$14,包装物料出入库明细!$B$4:$B$2003,"&gt;="&amp;$AF$1,包装物料出入库明细!$B$4:$B$2003,"&lt;="&amp;$AF$2))</f>
        <v/>
      </c>
      <c r="N16" s="25" t="str">
        <f>IF(OR($B16="",_自动清单!$G$15=""),"",SUMIFS(包装物料出入库明细!$J$4:$J$2003,包装物料出入库明细!$D$4:$D$2003,$B16,包装物料出入库明细!$E$4:$E$2003,_自动清单!$G$15,包装物料出入库明细!$B$4:$B$2003,"&gt;="&amp;$AF$1,包装物料出入库明细!$B$4:$B$2003,"&lt;="&amp;$AF$2))</f>
        <v/>
      </c>
      <c r="O16" s="25" t="str">
        <f>IF(OR($B16="",_自动清单!$G$16=""),"",SUMIFS(包装物料出入库明细!$J$4:$J$2003,包装物料出入库明细!$D$4:$D$2003,$B16,包装物料出入库明细!$E$4:$E$2003,_自动清单!$G$16,包装物料出入库明细!$B$4:$B$2003,"&gt;="&amp;$AF$1,包装物料出入库明细!$B$4:$B$2003,"&lt;="&amp;$AF$2))</f>
        <v/>
      </c>
      <c r="P16" s="25" t="str">
        <f>IF(OR($B16="",_自动清单!$G$17=""),"",SUMIFS(包装物料出入库明细!$J$4:$J$2003,包装物料出入库明细!$D$4:$D$2003,$B16,包装物料出入库明细!$E$4:$E$2003,_自动清单!$G$17,包装物料出入库明细!$B$4:$B$2003,"&gt;="&amp;$AF$1,包装物料出入库明细!$B$4:$B$2003,"&lt;="&amp;$AF$2))</f>
        <v/>
      </c>
      <c r="Q16" s="25" t="str">
        <f>IF(OR($B16="",_自动清单!$G$18=""),"",SUMIFS(包装物料出入库明细!$J$4:$J$2003,包装物料出入库明细!$D$4:$D$2003,$B16,包装物料出入库明细!$E$4:$E$2003,_自动清单!$G$18,包装物料出入库明细!$B$4:$B$2003,"&gt;="&amp;$AF$1,包装物料出入库明细!$B$4:$B$2003,"&lt;="&amp;$AF$2))</f>
        <v/>
      </c>
      <c r="R16" s="25" t="str">
        <f>IF(OR($B16="",_自动清单!$G$19=""),"",SUMIFS(包装物料出入库明细!$J$4:$J$2003,包装物料出入库明细!$D$4:$D$2003,$B16,包装物料出入库明细!$E$4:$E$2003,_自动清单!$G$19,包装物料出入库明细!$B$4:$B$2003,"&gt;="&amp;$AF$1,包装物料出入库明细!$B$4:$B$2003,"&lt;="&amp;$AF$2))</f>
        <v/>
      </c>
      <c r="S16" s="25" t="str">
        <f>IF(OR($B16="",_自动清单!$G$20=""),"",SUMIFS(包装物料出入库明细!$J$4:$J$2003,包装物料出入库明细!$D$4:$D$2003,$B16,包装物料出入库明细!$E$4:$E$2003,_自动清单!$G$20,包装物料出入库明细!$B$4:$B$2003,"&gt;="&amp;$AF$1,包装物料出入库明细!$B$4:$B$2003,"&lt;="&amp;$AF$2))</f>
        <v/>
      </c>
      <c r="T16" s="25" t="str">
        <f>IF(OR($B16="",_自动清单!$G$21=""),"",SUMIFS(包装物料出入库明细!$J$4:$J$2003,包装物料出入库明细!$D$4:$D$2003,$B16,包装物料出入库明细!$E$4:$E$2003,_自动清单!$G$21,包装物料出入库明细!$B$4:$B$2003,"&gt;="&amp;$AF$1,包装物料出入库明细!$B$4:$B$2003,"&lt;="&amp;$AF$2))</f>
        <v/>
      </c>
      <c r="U16" s="25" t="str">
        <f>IF($B16="","",SUMIFS(包装物料出入库明细!$J$4:$J$2003,包装物料出入库明细!$D$4:$D$2003,$B16,包装物料出入库明细!$B$4:$B$2003,"&gt;="&amp;$AF$1,包装物料出入库明细!$B$4:$B$2003,"&lt;="&amp;$AF$2)-SUM($C16:$T16))</f>
        <v/>
      </c>
      <c r="V16" s="25" t="str">
        <f t="shared" si="1"/>
        <v/>
      </c>
      <c r="W16" s="56" t="str">
        <f>IF($B16="","",SUMIFS(包装物料出入库明细!$K$4:$K$2003,包装物料出入库明细!$D$4:$D$2003,$B16,包装物料出入库明细!$B$4:$B$2003,"&gt;="&amp;$AF$1,包装物料出入库明细!$B$4:$B$2003,"&lt;="&amp;$AF$2))</f>
        <v/>
      </c>
      <c r="X16" s="25" t="str">
        <f t="shared" si="2"/>
        <v/>
      </c>
      <c r="Y16" s="26" t="str">
        <f>IF($B16="","",ROUND(SUMIFS(包装物料出入库明细!$N$4:$N$2003,包装物料出入库明细!$D$4:$D$2003,$B16,包装物料出入库明细!$H$4:$H$2003,"销售出库",包装物料出入库明细!$B$4:$B$2003,"&gt;="&amp;$AF$1,包装物料出入库明细!$B$4:$B$2003,"&lt;="&amp;$AF$2),2))</f>
        <v/>
      </c>
      <c r="Z16" s="26" t="str">
        <f>IF($B16="","",ROUND(SUMIFS(包装物料出入库明细!$N$4:$N$2003,包装物料出入库明细!$D$4:$D$2003,$B16,包装物料出入库明细!$H$4:$H$2003,"销售出库",包装物料出入库明细!$P$4:$P$2003,"已收讫",包装物料出入库明细!$B$4:$B$2003,"&gt;="&amp;$AF$1,包装物料出入库明细!$B$4:$B$2003,"&lt;="&amp;$AF$2),2))</f>
        <v/>
      </c>
      <c r="AA16" s="26" t="str">
        <f t="shared" si="3"/>
        <v/>
      </c>
      <c r="AB16" s="41"/>
    </row>
    <row r="17" spans="1:28">
      <c r="A17" s="24" t="str">
        <f t="shared" si="0"/>
        <v/>
      </c>
      <c r="B17" s="24" t="str">
        <f>IFERROR(INDEX(_自动清单!$O$4:$O$203,ROW()-3),"")</f>
        <v/>
      </c>
      <c r="C17" s="25" t="str">
        <f>IF(OR($B17="",_自动清单!$G$4=""),"",SUMIFS(包装物料出入库明细!$J$4:$J$2003,包装物料出入库明细!$D$4:$D$2003,$B17,包装物料出入库明细!$E$4:$E$2003,_自动清单!$G$4,包装物料出入库明细!$B$4:$B$2003,"&gt;="&amp;$AF$1,包装物料出入库明细!$B$4:$B$2003,"&lt;="&amp;$AF$2))</f>
        <v/>
      </c>
      <c r="D17" s="25" t="str">
        <f>IF(OR($B17="",_自动清单!$G$5=""),"",SUMIFS(包装物料出入库明细!$J$4:$J$2003,包装物料出入库明细!$D$4:$D$2003,$B17,包装物料出入库明细!$E$4:$E$2003,_自动清单!$G$5,包装物料出入库明细!$B$4:$B$2003,"&gt;="&amp;$AF$1,包装物料出入库明细!$B$4:$B$2003,"&lt;="&amp;$AF$2))</f>
        <v/>
      </c>
      <c r="E17" s="25" t="str">
        <f>IF(OR($B17="",_自动清单!$G$6=""),"",SUMIFS(包装物料出入库明细!$J$4:$J$2003,包装物料出入库明细!$D$4:$D$2003,$B17,包装物料出入库明细!$E$4:$E$2003,_自动清单!$G$6,包装物料出入库明细!$B$4:$B$2003,"&gt;="&amp;$AF$1,包装物料出入库明细!$B$4:$B$2003,"&lt;="&amp;$AF$2))</f>
        <v/>
      </c>
      <c r="F17" s="25" t="str">
        <f>IF(OR($B17="",_自动清单!$G$7=""),"",SUMIFS(包装物料出入库明细!$J$4:$J$2003,包装物料出入库明细!$D$4:$D$2003,$B17,包装物料出入库明细!$E$4:$E$2003,_自动清单!$G$7,包装物料出入库明细!$B$4:$B$2003,"&gt;="&amp;$AF$1,包装物料出入库明细!$B$4:$B$2003,"&lt;="&amp;$AF$2))</f>
        <v/>
      </c>
      <c r="G17" s="25" t="str">
        <f>IF(OR($B17="",_自动清单!$G$8=""),"",SUMIFS(包装物料出入库明细!$J$4:$J$2003,包装物料出入库明细!$D$4:$D$2003,$B17,包装物料出入库明细!$E$4:$E$2003,_自动清单!$G$8,包装物料出入库明细!$B$4:$B$2003,"&gt;="&amp;$AF$1,包装物料出入库明细!$B$4:$B$2003,"&lt;="&amp;$AF$2))</f>
        <v/>
      </c>
      <c r="H17" s="25" t="str">
        <f>IF(OR($B17="",_自动清单!$G$9=""),"",SUMIFS(包装物料出入库明细!$J$4:$J$2003,包装物料出入库明细!$D$4:$D$2003,$B17,包装物料出入库明细!$E$4:$E$2003,_自动清单!$G$9,包装物料出入库明细!$B$4:$B$2003,"&gt;="&amp;$AF$1,包装物料出入库明细!$B$4:$B$2003,"&lt;="&amp;$AF$2))</f>
        <v/>
      </c>
      <c r="I17" s="25" t="str">
        <f>IF(OR($B17="",_自动清单!$G$10=""),"",SUMIFS(包装物料出入库明细!$J$4:$J$2003,包装物料出入库明细!$D$4:$D$2003,$B17,包装物料出入库明细!$E$4:$E$2003,_自动清单!$G$10,包装物料出入库明细!$B$4:$B$2003,"&gt;="&amp;$AF$1,包装物料出入库明细!$B$4:$B$2003,"&lt;="&amp;$AF$2))</f>
        <v/>
      </c>
      <c r="J17" s="25" t="str">
        <f>IF(OR($B17="",_自动清单!$G$11=""),"",SUMIFS(包装物料出入库明细!$J$4:$J$2003,包装物料出入库明细!$D$4:$D$2003,$B17,包装物料出入库明细!$E$4:$E$2003,_自动清单!$G$11,包装物料出入库明细!$B$4:$B$2003,"&gt;="&amp;$AF$1,包装物料出入库明细!$B$4:$B$2003,"&lt;="&amp;$AF$2))</f>
        <v/>
      </c>
      <c r="K17" s="25" t="str">
        <f>IF(OR($B17="",_自动清单!$G$12=""),"",SUMIFS(包装物料出入库明细!$J$4:$J$2003,包装物料出入库明细!$D$4:$D$2003,$B17,包装物料出入库明细!$E$4:$E$2003,_自动清单!$G$12,包装物料出入库明细!$B$4:$B$2003,"&gt;="&amp;$AF$1,包装物料出入库明细!$B$4:$B$2003,"&lt;="&amp;$AF$2))</f>
        <v/>
      </c>
      <c r="L17" s="25" t="str">
        <f>IF(OR($B17="",_自动清单!$G$13=""),"",SUMIFS(包装物料出入库明细!$J$4:$J$2003,包装物料出入库明细!$D$4:$D$2003,$B17,包装物料出入库明细!$E$4:$E$2003,_自动清单!$G$13,包装物料出入库明细!$B$4:$B$2003,"&gt;="&amp;$AF$1,包装物料出入库明细!$B$4:$B$2003,"&lt;="&amp;$AF$2))</f>
        <v/>
      </c>
      <c r="M17" s="25" t="str">
        <f>IF(OR($B17="",_自动清单!$G$14=""),"",SUMIFS(包装物料出入库明细!$J$4:$J$2003,包装物料出入库明细!$D$4:$D$2003,$B17,包装物料出入库明细!$E$4:$E$2003,_自动清单!$G$14,包装物料出入库明细!$B$4:$B$2003,"&gt;="&amp;$AF$1,包装物料出入库明细!$B$4:$B$2003,"&lt;="&amp;$AF$2))</f>
        <v/>
      </c>
      <c r="N17" s="25" t="str">
        <f>IF(OR($B17="",_自动清单!$G$15=""),"",SUMIFS(包装物料出入库明细!$J$4:$J$2003,包装物料出入库明细!$D$4:$D$2003,$B17,包装物料出入库明细!$E$4:$E$2003,_自动清单!$G$15,包装物料出入库明细!$B$4:$B$2003,"&gt;="&amp;$AF$1,包装物料出入库明细!$B$4:$B$2003,"&lt;="&amp;$AF$2))</f>
        <v/>
      </c>
      <c r="O17" s="25" t="str">
        <f>IF(OR($B17="",_自动清单!$G$16=""),"",SUMIFS(包装物料出入库明细!$J$4:$J$2003,包装物料出入库明细!$D$4:$D$2003,$B17,包装物料出入库明细!$E$4:$E$2003,_自动清单!$G$16,包装物料出入库明细!$B$4:$B$2003,"&gt;="&amp;$AF$1,包装物料出入库明细!$B$4:$B$2003,"&lt;="&amp;$AF$2))</f>
        <v/>
      </c>
      <c r="P17" s="25" t="str">
        <f>IF(OR($B17="",_自动清单!$G$17=""),"",SUMIFS(包装物料出入库明细!$J$4:$J$2003,包装物料出入库明细!$D$4:$D$2003,$B17,包装物料出入库明细!$E$4:$E$2003,_自动清单!$G$17,包装物料出入库明细!$B$4:$B$2003,"&gt;="&amp;$AF$1,包装物料出入库明细!$B$4:$B$2003,"&lt;="&amp;$AF$2))</f>
        <v/>
      </c>
      <c r="Q17" s="25" t="str">
        <f>IF(OR($B17="",_自动清单!$G$18=""),"",SUMIFS(包装物料出入库明细!$J$4:$J$2003,包装物料出入库明细!$D$4:$D$2003,$B17,包装物料出入库明细!$E$4:$E$2003,_自动清单!$G$18,包装物料出入库明细!$B$4:$B$2003,"&gt;="&amp;$AF$1,包装物料出入库明细!$B$4:$B$2003,"&lt;="&amp;$AF$2))</f>
        <v/>
      </c>
      <c r="R17" s="25" t="str">
        <f>IF(OR($B17="",_自动清单!$G$19=""),"",SUMIFS(包装物料出入库明细!$J$4:$J$2003,包装物料出入库明细!$D$4:$D$2003,$B17,包装物料出入库明细!$E$4:$E$2003,_自动清单!$G$19,包装物料出入库明细!$B$4:$B$2003,"&gt;="&amp;$AF$1,包装物料出入库明细!$B$4:$B$2003,"&lt;="&amp;$AF$2))</f>
        <v/>
      </c>
      <c r="S17" s="25" t="str">
        <f>IF(OR($B17="",_自动清单!$G$20=""),"",SUMIFS(包装物料出入库明细!$J$4:$J$2003,包装物料出入库明细!$D$4:$D$2003,$B17,包装物料出入库明细!$E$4:$E$2003,_自动清单!$G$20,包装物料出入库明细!$B$4:$B$2003,"&gt;="&amp;$AF$1,包装物料出入库明细!$B$4:$B$2003,"&lt;="&amp;$AF$2))</f>
        <v/>
      </c>
      <c r="T17" s="25" t="str">
        <f>IF(OR($B17="",_自动清单!$G$21=""),"",SUMIFS(包装物料出入库明细!$J$4:$J$2003,包装物料出入库明细!$D$4:$D$2003,$B17,包装物料出入库明细!$E$4:$E$2003,_自动清单!$G$21,包装物料出入库明细!$B$4:$B$2003,"&gt;="&amp;$AF$1,包装物料出入库明细!$B$4:$B$2003,"&lt;="&amp;$AF$2))</f>
        <v/>
      </c>
      <c r="U17" s="25" t="str">
        <f>IF($B17="","",SUMIFS(包装物料出入库明细!$J$4:$J$2003,包装物料出入库明细!$D$4:$D$2003,$B17,包装物料出入库明细!$B$4:$B$2003,"&gt;="&amp;$AF$1,包装物料出入库明细!$B$4:$B$2003,"&lt;="&amp;$AF$2)-SUM($C17:$T17))</f>
        <v/>
      </c>
      <c r="V17" s="25" t="str">
        <f t="shared" si="1"/>
        <v/>
      </c>
      <c r="W17" s="56" t="str">
        <f>IF($B17="","",SUMIFS(包装物料出入库明细!$K$4:$K$2003,包装物料出入库明细!$D$4:$D$2003,$B17,包装物料出入库明细!$B$4:$B$2003,"&gt;="&amp;$AF$1,包装物料出入库明细!$B$4:$B$2003,"&lt;="&amp;$AF$2))</f>
        <v/>
      </c>
      <c r="X17" s="25" t="str">
        <f t="shared" si="2"/>
        <v/>
      </c>
      <c r="Y17" s="26" t="str">
        <f>IF($B17="","",ROUND(SUMIFS(包装物料出入库明细!$N$4:$N$2003,包装物料出入库明细!$D$4:$D$2003,$B17,包装物料出入库明细!$H$4:$H$2003,"销售出库",包装物料出入库明细!$B$4:$B$2003,"&gt;="&amp;$AF$1,包装物料出入库明细!$B$4:$B$2003,"&lt;="&amp;$AF$2),2))</f>
        <v/>
      </c>
      <c r="Z17" s="26" t="str">
        <f>IF($B17="","",ROUND(SUMIFS(包装物料出入库明细!$N$4:$N$2003,包装物料出入库明细!$D$4:$D$2003,$B17,包装物料出入库明细!$H$4:$H$2003,"销售出库",包装物料出入库明细!$P$4:$P$2003,"已收讫",包装物料出入库明细!$B$4:$B$2003,"&gt;="&amp;$AF$1,包装物料出入库明细!$B$4:$B$2003,"&lt;="&amp;$AF$2),2))</f>
        <v/>
      </c>
      <c r="AA17" s="26" t="str">
        <f t="shared" si="3"/>
        <v/>
      </c>
      <c r="AB17" s="41"/>
    </row>
    <row r="18" spans="1:28">
      <c r="A18" s="24" t="str">
        <f t="shared" si="0"/>
        <v/>
      </c>
      <c r="B18" s="24" t="str">
        <f>IFERROR(INDEX(_自动清单!$O$4:$O$203,ROW()-3),"")</f>
        <v/>
      </c>
      <c r="C18" s="25" t="str">
        <f>IF(OR($B18="",_自动清单!$G$4=""),"",SUMIFS(包装物料出入库明细!$J$4:$J$2003,包装物料出入库明细!$D$4:$D$2003,$B18,包装物料出入库明细!$E$4:$E$2003,_自动清单!$G$4,包装物料出入库明细!$B$4:$B$2003,"&gt;="&amp;$AF$1,包装物料出入库明细!$B$4:$B$2003,"&lt;="&amp;$AF$2))</f>
        <v/>
      </c>
      <c r="D18" s="25" t="str">
        <f>IF(OR($B18="",_自动清单!$G$5=""),"",SUMIFS(包装物料出入库明细!$J$4:$J$2003,包装物料出入库明细!$D$4:$D$2003,$B18,包装物料出入库明细!$E$4:$E$2003,_自动清单!$G$5,包装物料出入库明细!$B$4:$B$2003,"&gt;="&amp;$AF$1,包装物料出入库明细!$B$4:$B$2003,"&lt;="&amp;$AF$2))</f>
        <v/>
      </c>
      <c r="E18" s="25" t="str">
        <f>IF(OR($B18="",_自动清单!$G$6=""),"",SUMIFS(包装物料出入库明细!$J$4:$J$2003,包装物料出入库明细!$D$4:$D$2003,$B18,包装物料出入库明细!$E$4:$E$2003,_自动清单!$G$6,包装物料出入库明细!$B$4:$B$2003,"&gt;="&amp;$AF$1,包装物料出入库明细!$B$4:$B$2003,"&lt;="&amp;$AF$2))</f>
        <v/>
      </c>
      <c r="F18" s="25" t="str">
        <f>IF(OR($B18="",_自动清单!$G$7=""),"",SUMIFS(包装物料出入库明细!$J$4:$J$2003,包装物料出入库明细!$D$4:$D$2003,$B18,包装物料出入库明细!$E$4:$E$2003,_自动清单!$G$7,包装物料出入库明细!$B$4:$B$2003,"&gt;="&amp;$AF$1,包装物料出入库明细!$B$4:$B$2003,"&lt;="&amp;$AF$2))</f>
        <v/>
      </c>
      <c r="G18" s="25" t="str">
        <f>IF(OR($B18="",_自动清单!$G$8=""),"",SUMIFS(包装物料出入库明细!$J$4:$J$2003,包装物料出入库明细!$D$4:$D$2003,$B18,包装物料出入库明细!$E$4:$E$2003,_自动清单!$G$8,包装物料出入库明细!$B$4:$B$2003,"&gt;="&amp;$AF$1,包装物料出入库明细!$B$4:$B$2003,"&lt;="&amp;$AF$2))</f>
        <v/>
      </c>
      <c r="H18" s="25" t="str">
        <f>IF(OR($B18="",_自动清单!$G$9=""),"",SUMIFS(包装物料出入库明细!$J$4:$J$2003,包装物料出入库明细!$D$4:$D$2003,$B18,包装物料出入库明细!$E$4:$E$2003,_自动清单!$G$9,包装物料出入库明细!$B$4:$B$2003,"&gt;="&amp;$AF$1,包装物料出入库明细!$B$4:$B$2003,"&lt;="&amp;$AF$2))</f>
        <v/>
      </c>
      <c r="I18" s="25" t="str">
        <f>IF(OR($B18="",_自动清单!$G$10=""),"",SUMIFS(包装物料出入库明细!$J$4:$J$2003,包装物料出入库明细!$D$4:$D$2003,$B18,包装物料出入库明细!$E$4:$E$2003,_自动清单!$G$10,包装物料出入库明细!$B$4:$B$2003,"&gt;="&amp;$AF$1,包装物料出入库明细!$B$4:$B$2003,"&lt;="&amp;$AF$2))</f>
        <v/>
      </c>
      <c r="J18" s="25" t="str">
        <f>IF(OR($B18="",_自动清单!$G$11=""),"",SUMIFS(包装物料出入库明细!$J$4:$J$2003,包装物料出入库明细!$D$4:$D$2003,$B18,包装物料出入库明细!$E$4:$E$2003,_自动清单!$G$11,包装物料出入库明细!$B$4:$B$2003,"&gt;="&amp;$AF$1,包装物料出入库明细!$B$4:$B$2003,"&lt;="&amp;$AF$2))</f>
        <v/>
      </c>
      <c r="K18" s="25" t="str">
        <f>IF(OR($B18="",_自动清单!$G$12=""),"",SUMIFS(包装物料出入库明细!$J$4:$J$2003,包装物料出入库明细!$D$4:$D$2003,$B18,包装物料出入库明细!$E$4:$E$2003,_自动清单!$G$12,包装物料出入库明细!$B$4:$B$2003,"&gt;="&amp;$AF$1,包装物料出入库明细!$B$4:$B$2003,"&lt;="&amp;$AF$2))</f>
        <v/>
      </c>
      <c r="L18" s="25" t="str">
        <f>IF(OR($B18="",_自动清单!$G$13=""),"",SUMIFS(包装物料出入库明细!$J$4:$J$2003,包装物料出入库明细!$D$4:$D$2003,$B18,包装物料出入库明细!$E$4:$E$2003,_自动清单!$G$13,包装物料出入库明细!$B$4:$B$2003,"&gt;="&amp;$AF$1,包装物料出入库明细!$B$4:$B$2003,"&lt;="&amp;$AF$2))</f>
        <v/>
      </c>
      <c r="M18" s="25" t="str">
        <f>IF(OR($B18="",_自动清单!$G$14=""),"",SUMIFS(包装物料出入库明细!$J$4:$J$2003,包装物料出入库明细!$D$4:$D$2003,$B18,包装物料出入库明细!$E$4:$E$2003,_自动清单!$G$14,包装物料出入库明细!$B$4:$B$2003,"&gt;="&amp;$AF$1,包装物料出入库明细!$B$4:$B$2003,"&lt;="&amp;$AF$2))</f>
        <v/>
      </c>
      <c r="N18" s="25" t="str">
        <f>IF(OR($B18="",_自动清单!$G$15=""),"",SUMIFS(包装物料出入库明细!$J$4:$J$2003,包装物料出入库明细!$D$4:$D$2003,$B18,包装物料出入库明细!$E$4:$E$2003,_自动清单!$G$15,包装物料出入库明细!$B$4:$B$2003,"&gt;="&amp;$AF$1,包装物料出入库明细!$B$4:$B$2003,"&lt;="&amp;$AF$2))</f>
        <v/>
      </c>
      <c r="O18" s="25" t="str">
        <f>IF(OR($B18="",_自动清单!$G$16=""),"",SUMIFS(包装物料出入库明细!$J$4:$J$2003,包装物料出入库明细!$D$4:$D$2003,$B18,包装物料出入库明细!$E$4:$E$2003,_自动清单!$G$16,包装物料出入库明细!$B$4:$B$2003,"&gt;="&amp;$AF$1,包装物料出入库明细!$B$4:$B$2003,"&lt;="&amp;$AF$2))</f>
        <v/>
      </c>
      <c r="P18" s="25" t="str">
        <f>IF(OR($B18="",_自动清单!$G$17=""),"",SUMIFS(包装物料出入库明细!$J$4:$J$2003,包装物料出入库明细!$D$4:$D$2003,$B18,包装物料出入库明细!$E$4:$E$2003,_自动清单!$G$17,包装物料出入库明细!$B$4:$B$2003,"&gt;="&amp;$AF$1,包装物料出入库明细!$B$4:$B$2003,"&lt;="&amp;$AF$2))</f>
        <v/>
      </c>
      <c r="Q18" s="25" t="str">
        <f>IF(OR($B18="",_自动清单!$G$18=""),"",SUMIFS(包装物料出入库明细!$J$4:$J$2003,包装物料出入库明细!$D$4:$D$2003,$B18,包装物料出入库明细!$E$4:$E$2003,_自动清单!$G$18,包装物料出入库明细!$B$4:$B$2003,"&gt;="&amp;$AF$1,包装物料出入库明细!$B$4:$B$2003,"&lt;="&amp;$AF$2))</f>
        <v/>
      </c>
      <c r="R18" s="25" t="str">
        <f>IF(OR($B18="",_自动清单!$G$19=""),"",SUMIFS(包装物料出入库明细!$J$4:$J$2003,包装物料出入库明细!$D$4:$D$2003,$B18,包装物料出入库明细!$E$4:$E$2003,_自动清单!$G$19,包装物料出入库明细!$B$4:$B$2003,"&gt;="&amp;$AF$1,包装物料出入库明细!$B$4:$B$2003,"&lt;="&amp;$AF$2))</f>
        <v/>
      </c>
      <c r="S18" s="25" t="str">
        <f>IF(OR($B18="",_自动清单!$G$20=""),"",SUMIFS(包装物料出入库明细!$J$4:$J$2003,包装物料出入库明细!$D$4:$D$2003,$B18,包装物料出入库明细!$E$4:$E$2003,_自动清单!$G$20,包装物料出入库明细!$B$4:$B$2003,"&gt;="&amp;$AF$1,包装物料出入库明细!$B$4:$B$2003,"&lt;="&amp;$AF$2))</f>
        <v/>
      </c>
      <c r="T18" s="25" t="str">
        <f>IF(OR($B18="",_自动清单!$G$21=""),"",SUMIFS(包装物料出入库明细!$J$4:$J$2003,包装物料出入库明细!$D$4:$D$2003,$B18,包装物料出入库明细!$E$4:$E$2003,_自动清单!$G$21,包装物料出入库明细!$B$4:$B$2003,"&gt;="&amp;$AF$1,包装物料出入库明细!$B$4:$B$2003,"&lt;="&amp;$AF$2))</f>
        <v/>
      </c>
      <c r="U18" s="25" t="str">
        <f>IF($B18="","",SUMIFS(包装物料出入库明细!$J$4:$J$2003,包装物料出入库明细!$D$4:$D$2003,$B18,包装物料出入库明细!$B$4:$B$2003,"&gt;="&amp;$AF$1,包装物料出入库明细!$B$4:$B$2003,"&lt;="&amp;$AF$2)-SUM($C18:$T18))</f>
        <v/>
      </c>
      <c r="V18" s="25" t="str">
        <f t="shared" si="1"/>
        <v/>
      </c>
      <c r="W18" s="56" t="str">
        <f>IF($B18="","",SUMIFS(包装物料出入库明细!$K$4:$K$2003,包装物料出入库明细!$D$4:$D$2003,$B18,包装物料出入库明细!$B$4:$B$2003,"&gt;="&amp;$AF$1,包装物料出入库明细!$B$4:$B$2003,"&lt;="&amp;$AF$2))</f>
        <v/>
      </c>
      <c r="X18" s="25" t="str">
        <f t="shared" si="2"/>
        <v/>
      </c>
      <c r="Y18" s="26" t="str">
        <f>IF($B18="","",ROUND(SUMIFS(包装物料出入库明细!$N$4:$N$2003,包装物料出入库明细!$D$4:$D$2003,$B18,包装物料出入库明细!$H$4:$H$2003,"销售出库",包装物料出入库明细!$B$4:$B$2003,"&gt;="&amp;$AF$1,包装物料出入库明细!$B$4:$B$2003,"&lt;="&amp;$AF$2),2))</f>
        <v/>
      </c>
      <c r="Z18" s="26" t="str">
        <f>IF($B18="","",ROUND(SUMIFS(包装物料出入库明细!$N$4:$N$2003,包装物料出入库明细!$D$4:$D$2003,$B18,包装物料出入库明细!$H$4:$H$2003,"销售出库",包装物料出入库明细!$P$4:$P$2003,"已收讫",包装物料出入库明细!$B$4:$B$2003,"&gt;="&amp;$AF$1,包装物料出入库明细!$B$4:$B$2003,"&lt;="&amp;$AF$2),2))</f>
        <v/>
      </c>
      <c r="AA18" s="26" t="str">
        <f t="shared" si="3"/>
        <v/>
      </c>
      <c r="AB18" s="41"/>
    </row>
    <row r="19" spans="1:28">
      <c r="A19" s="24" t="str">
        <f t="shared" si="0"/>
        <v/>
      </c>
      <c r="B19" s="24" t="str">
        <f>IFERROR(INDEX(_自动清单!$O$4:$O$203,ROW()-3),"")</f>
        <v/>
      </c>
      <c r="C19" s="25" t="str">
        <f>IF(OR($B19="",_自动清单!$G$4=""),"",SUMIFS(包装物料出入库明细!$J$4:$J$2003,包装物料出入库明细!$D$4:$D$2003,$B19,包装物料出入库明细!$E$4:$E$2003,_自动清单!$G$4,包装物料出入库明细!$B$4:$B$2003,"&gt;="&amp;$AF$1,包装物料出入库明细!$B$4:$B$2003,"&lt;="&amp;$AF$2))</f>
        <v/>
      </c>
      <c r="D19" s="25" t="str">
        <f>IF(OR($B19="",_自动清单!$G$5=""),"",SUMIFS(包装物料出入库明细!$J$4:$J$2003,包装物料出入库明细!$D$4:$D$2003,$B19,包装物料出入库明细!$E$4:$E$2003,_自动清单!$G$5,包装物料出入库明细!$B$4:$B$2003,"&gt;="&amp;$AF$1,包装物料出入库明细!$B$4:$B$2003,"&lt;="&amp;$AF$2))</f>
        <v/>
      </c>
      <c r="E19" s="25" t="str">
        <f>IF(OR($B19="",_自动清单!$G$6=""),"",SUMIFS(包装物料出入库明细!$J$4:$J$2003,包装物料出入库明细!$D$4:$D$2003,$B19,包装物料出入库明细!$E$4:$E$2003,_自动清单!$G$6,包装物料出入库明细!$B$4:$B$2003,"&gt;="&amp;$AF$1,包装物料出入库明细!$B$4:$B$2003,"&lt;="&amp;$AF$2))</f>
        <v/>
      </c>
      <c r="F19" s="25" t="str">
        <f>IF(OR($B19="",_自动清单!$G$7=""),"",SUMIFS(包装物料出入库明细!$J$4:$J$2003,包装物料出入库明细!$D$4:$D$2003,$B19,包装物料出入库明细!$E$4:$E$2003,_自动清单!$G$7,包装物料出入库明细!$B$4:$B$2003,"&gt;="&amp;$AF$1,包装物料出入库明细!$B$4:$B$2003,"&lt;="&amp;$AF$2))</f>
        <v/>
      </c>
      <c r="G19" s="25" t="str">
        <f>IF(OR($B19="",_自动清单!$G$8=""),"",SUMIFS(包装物料出入库明细!$J$4:$J$2003,包装物料出入库明细!$D$4:$D$2003,$B19,包装物料出入库明细!$E$4:$E$2003,_自动清单!$G$8,包装物料出入库明细!$B$4:$B$2003,"&gt;="&amp;$AF$1,包装物料出入库明细!$B$4:$B$2003,"&lt;="&amp;$AF$2))</f>
        <v/>
      </c>
      <c r="H19" s="25" t="str">
        <f>IF(OR($B19="",_自动清单!$G$9=""),"",SUMIFS(包装物料出入库明细!$J$4:$J$2003,包装物料出入库明细!$D$4:$D$2003,$B19,包装物料出入库明细!$E$4:$E$2003,_自动清单!$G$9,包装物料出入库明细!$B$4:$B$2003,"&gt;="&amp;$AF$1,包装物料出入库明细!$B$4:$B$2003,"&lt;="&amp;$AF$2))</f>
        <v/>
      </c>
      <c r="I19" s="25" t="str">
        <f>IF(OR($B19="",_自动清单!$G$10=""),"",SUMIFS(包装物料出入库明细!$J$4:$J$2003,包装物料出入库明细!$D$4:$D$2003,$B19,包装物料出入库明细!$E$4:$E$2003,_自动清单!$G$10,包装物料出入库明细!$B$4:$B$2003,"&gt;="&amp;$AF$1,包装物料出入库明细!$B$4:$B$2003,"&lt;="&amp;$AF$2))</f>
        <v/>
      </c>
      <c r="J19" s="25" t="str">
        <f>IF(OR($B19="",_自动清单!$G$11=""),"",SUMIFS(包装物料出入库明细!$J$4:$J$2003,包装物料出入库明细!$D$4:$D$2003,$B19,包装物料出入库明细!$E$4:$E$2003,_自动清单!$G$11,包装物料出入库明细!$B$4:$B$2003,"&gt;="&amp;$AF$1,包装物料出入库明细!$B$4:$B$2003,"&lt;="&amp;$AF$2))</f>
        <v/>
      </c>
      <c r="K19" s="25" t="str">
        <f>IF(OR($B19="",_自动清单!$G$12=""),"",SUMIFS(包装物料出入库明细!$J$4:$J$2003,包装物料出入库明细!$D$4:$D$2003,$B19,包装物料出入库明细!$E$4:$E$2003,_自动清单!$G$12,包装物料出入库明细!$B$4:$B$2003,"&gt;="&amp;$AF$1,包装物料出入库明细!$B$4:$B$2003,"&lt;="&amp;$AF$2))</f>
        <v/>
      </c>
      <c r="L19" s="25" t="str">
        <f>IF(OR($B19="",_自动清单!$G$13=""),"",SUMIFS(包装物料出入库明细!$J$4:$J$2003,包装物料出入库明细!$D$4:$D$2003,$B19,包装物料出入库明细!$E$4:$E$2003,_自动清单!$G$13,包装物料出入库明细!$B$4:$B$2003,"&gt;="&amp;$AF$1,包装物料出入库明细!$B$4:$B$2003,"&lt;="&amp;$AF$2))</f>
        <v/>
      </c>
      <c r="M19" s="25" t="str">
        <f>IF(OR($B19="",_自动清单!$G$14=""),"",SUMIFS(包装物料出入库明细!$J$4:$J$2003,包装物料出入库明细!$D$4:$D$2003,$B19,包装物料出入库明细!$E$4:$E$2003,_自动清单!$G$14,包装物料出入库明细!$B$4:$B$2003,"&gt;="&amp;$AF$1,包装物料出入库明细!$B$4:$B$2003,"&lt;="&amp;$AF$2))</f>
        <v/>
      </c>
      <c r="N19" s="25" t="str">
        <f>IF(OR($B19="",_自动清单!$G$15=""),"",SUMIFS(包装物料出入库明细!$J$4:$J$2003,包装物料出入库明细!$D$4:$D$2003,$B19,包装物料出入库明细!$E$4:$E$2003,_自动清单!$G$15,包装物料出入库明细!$B$4:$B$2003,"&gt;="&amp;$AF$1,包装物料出入库明细!$B$4:$B$2003,"&lt;="&amp;$AF$2))</f>
        <v/>
      </c>
      <c r="O19" s="25" t="str">
        <f>IF(OR($B19="",_自动清单!$G$16=""),"",SUMIFS(包装物料出入库明细!$J$4:$J$2003,包装物料出入库明细!$D$4:$D$2003,$B19,包装物料出入库明细!$E$4:$E$2003,_自动清单!$G$16,包装物料出入库明细!$B$4:$B$2003,"&gt;="&amp;$AF$1,包装物料出入库明细!$B$4:$B$2003,"&lt;="&amp;$AF$2))</f>
        <v/>
      </c>
      <c r="P19" s="25" t="str">
        <f>IF(OR($B19="",_自动清单!$G$17=""),"",SUMIFS(包装物料出入库明细!$J$4:$J$2003,包装物料出入库明细!$D$4:$D$2003,$B19,包装物料出入库明细!$E$4:$E$2003,_自动清单!$G$17,包装物料出入库明细!$B$4:$B$2003,"&gt;="&amp;$AF$1,包装物料出入库明细!$B$4:$B$2003,"&lt;="&amp;$AF$2))</f>
        <v/>
      </c>
      <c r="Q19" s="25" t="str">
        <f>IF(OR($B19="",_自动清单!$G$18=""),"",SUMIFS(包装物料出入库明细!$J$4:$J$2003,包装物料出入库明细!$D$4:$D$2003,$B19,包装物料出入库明细!$E$4:$E$2003,_自动清单!$G$18,包装物料出入库明细!$B$4:$B$2003,"&gt;="&amp;$AF$1,包装物料出入库明细!$B$4:$B$2003,"&lt;="&amp;$AF$2))</f>
        <v/>
      </c>
      <c r="R19" s="25" t="str">
        <f>IF(OR($B19="",_自动清单!$G$19=""),"",SUMIFS(包装物料出入库明细!$J$4:$J$2003,包装物料出入库明细!$D$4:$D$2003,$B19,包装物料出入库明细!$E$4:$E$2003,_自动清单!$G$19,包装物料出入库明细!$B$4:$B$2003,"&gt;="&amp;$AF$1,包装物料出入库明细!$B$4:$B$2003,"&lt;="&amp;$AF$2))</f>
        <v/>
      </c>
      <c r="S19" s="25" t="str">
        <f>IF(OR($B19="",_自动清单!$G$20=""),"",SUMIFS(包装物料出入库明细!$J$4:$J$2003,包装物料出入库明细!$D$4:$D$2003,$B19,包装物料出入库明细!$E$4:$E$2003,_自动清单!$G$20,包装物料出入库明细!$B$4:$B$2003,"&gt;="&amp;$AF$1,包装物料出入库明细!$B$4:$B$2003,"&lt;="&amp;$AF$2))</f>
        <v/>
      </c>
      <c r="T19" s="25" t="str">
        <f>IF(OR($B19="",_自动清单!$G$21=""),"",SUMIFS(包装物料出入库明细!$J$4:$J$2003,包装物料出入库明细!$D$4:$D$2003,$B19,包装物料出入库明细!$E$4:$E$2003,_自动清单!$G$21,包装物料出入库明细!$B$4:$B$2003,"&gt;="&amp;$AF$1,包装物料出入库明细!$B$4:$B$2003,"&lt;="&amp;$AF$2))</f>
        <v/>
      </c>
      <c r="U19" s="25" t="str">
        <f>IF($B19="","",SUMIFS(包装物料出入库明细!$J$4:$J$2003,包装物料出入库明细!$D$4:$D$2003,$B19,包装物料出入库明细!$B$4:$B$2003,"&gt;="&amp;$AF$1,包装物料出入库明细!$B$4:$B$2003,"&lt;="&amp;$AF$2)-SUM($C19:$T19))</f>
        <v/>
      </c>
      <c r="V19" s="25" t="str">
        <f t="shared" si="1"/>
        <v/>
      </c>
      <c r="W19" s="56" t="str">
        <f>IF($B19="","",SUMIFS(包装物料出入库明细!$K$4:$K$2003,包装物料出入库明细!$D$4:$D$2003,$B19,包装物料出入库明细!$B$4:$B$2003,"&gt;="&amp;$AF$1,包装物料出入库明细!$B$4:$B$2003,"&lt;="&amp;$AF$2))</f>
        <v/>
      </c>
      <c r="X19" s="25" t="str">
        <f t="shared" si="2"/>
        <v/>
      </c>
      <c r="Y19" s="26" t="str">
        <f>IF($B19="","",ROUND(SUMIFS(包装物料出入库明细!$N$4:$N$2003,包装物料出入库明细!$D$4:$D$2003,$B19,包装物料出入库明细!$H$4:$H$2003,"销售出库",包装物料出入库明细!$B$4:$B$2003,"&gt;="&amp;$AF$1,包装物料出入库明细!$B$4:$B$2003,"&lt;="&amp;$AF$2),2))</f>
        <v/>
      </c>
      <c r="Z19" s="26" t="str">
        <f>IF($B19="","",ROUND(SUMIFS(包装物料出入库明细!$N$4:$N$2003,包装物料出入库明细!$D$4:$D$2003,$B19,包装物料出入库明细!$H$4:$H$2003,"销售出库",包装物料出入库明细!$P$4:$P$2003,"已收讫",包装物料出入库明细!$B$4:$B$2003,"&gt;="&amp;$AF$1,包装物料出入库明细!$B$4:$B$2003,"&lt;="&amp;$AF$2),2))</f>
        <v/>
      </c>
      <c r="AA19" s="26" t="str">
        <f t="shared" si="3"/>
        <v/>
      </c>
      <c r="AB19" s="41"/>
    </row>
    <row r="20" spans="1:28">
      <c r="A20" s="24" t="str">
        <f t="shared" si="0"/>
        <v/>
      </c>
      <c r="B20" s="24" t="str">
        <f>IFERROR(INDEX(_自动清单!$O$4:$O$203,ROW()-3),"")</f>
        <v/>
      </c>
      <c r="C20" s="25" t="str">
        <f>IF(OR($B20="",_自动清单!$G$4=""),"",SUMIFS(包装物料出入库明细!$J$4:$J$2003,包装物料出入库明细!$D$4:$D$2003,$B20,包装物料出入库明细!$E$4:$E$2003,_自动清单!$G$4,包装物料出入库明细!$B$4:$B$2003,"&gt;="&amp;$AF$1,包装物料出入库明细!$B$4:$B$2003,"&lt;="&amp;$AF$2))</f>
        <v/>
      </c>
      <c r="D20" s="25" t="str">
        <f>IF(OR($B20="",_自动清单!$G$5=""),"",SUMIFS(包装物料出入库明细!$J$4:$J$2003,包装物料出入库明细!$D$4:$D$2003,$B20,包装物料出入库明细!$E$4:$E$2003,_自动清单!$G$5,包装物料出入库明细!$B$4:$B$2003,"&gt;="&amp;$AF$1,包装物料出入库明细!$B$4:$B$2003,"&lt;="&amp;$AF$2))</f>
        <v/>
      </c>
      <c r="E20" s="25" t="str">
        <f>IF(OR($B20="",_自动清单!$G$6=""),"",SUMIFS(包装物料出入库明细!$J$4:$J$2003,包装物料出入库明细!$D$4:$D$2003,$B20,包装物料出入库明细!$E$4:$E$2003,_自动清单!$G$6,包装物料出入库明细!$B$4:$B$2003,"&gt;="&amp;$AF$1,包装物料出入库明细!$B$4:$B$2003,"&lt;="&amp;$AF$2))</f>
        <v/>
      </c>
      <c r="F20" s="25" t="str">
        <f>IF(OR($B20="",_自动清单!$G$7=""),"",SUMIFS(包装物料出入库明细!$J$4:$J$2003,包装物料出入库明细!$D$4:$D$2003,$B20,包装物料出入库明细!$E$4:$E$2003,_自动清单!$G$7,包装物料出入库明细!$B$4:$B$2003,"&gt;="&amp;$AF$1,包装物料出入库明细!$B$4:$B$2003,"&lt;="&amp;$AF$2))</f>
        <v/>
      </c>
      <c r="G20" s="25" t="str">
        <f>IF(OR($B20="",_自动清单!$G$8=""),"",SUMIFS(包装物料出入库明细!$J$4:$J$2003,包装物料出入库明细!$D$4:$D$2003,$B20,包装物料出入库明细!$E$4:$E$2003,_自动清单!$G$8,包装物料出入库明细!$B$4:$B$2003,"&gt;="&amp;$AF$1,包装物料出入库明细!$B$4:$B$2003,"&lt;="&amp;$AF$2))</f>
        <v/>
      </c>
      <c r="H20" s="25" t="str">
        <f>IF(OR($B20="",_自动清单!$G$9=""),"",SUMIFS(包装物料出入库明细!$J$4:$J$2003,包装物料出入库明细!$D$4:$D$2003,$B20,包装物料出入库明细!$E$4:$E$2003,_自动清单!$G$9,包装物料出入库明细!$B$4:$B$2003,"&gt;="&amp;$AF$1,包装物料出入库明细!$B$4:$B$2003,"&lt;="&amp;$AF$2))</f>
        <v/>
      </c>
      <c r="I20" s="25" t="str">
        <f>IF(OR($B20="",_自动清单!$G$10=""),"",SUMIFS(包装物料出入库明细!$J$4:$J$2003,包装物料出入库明细!$D$4:$D$2003,$B20,包装物料出入库明细!$E$4:$E$2003,_自动清单!$G$10,包装物料出入库明细!$B$4:$B$2003,"&gt;="&amp;$AF$1,包装物料出入库明细!$B$4:$B$2003,"&lt;="&amp;$AF$2))</f>
        <v/>
      </c>
      <c r="J20" s="25" t="str">
        <f>IF(OR($B20="",_自动清单!$G$11=""),"",SUMIFS(包装物料出入库明细!$J$4:$J$2003,包装物料出入库明细!$D$4:$D$2003,$B20,包装物料出入库明细!$E$4:$E$2003,_自动清单!$G$11,包装物料出入库明细!$B$4:$B$2003,"&gt;="&amp;$AF$1,包装物料出入库明细!$B$4:$B$2003,"&lt;="&amp;$AF$2))</f>
        <v/>
      </c>
      <c r="K20" s="25" t="str">
        <f>IF(OR($B20="",_自动清单!$G$12=""),"",SUMIFS(包装物料出入库明细!$J$4:$J$2003,包装物料出入库明细!$D$4:$D$2003,$B20,包装物料出入库明细!$E$4:$E$2003,_自动清单!$G$12,包装物料出入库明细!$B$4:$B$2003,"&gt;="&amp;$AF$1,包装物料出入库明细!$B$4:$B$2003,"&lt;="&amp;$AF$2))</f>
        <v/>
      </c>
      <c r="L20" s="25" t="str">
        <f>IF(OR($B20="",_自动清单!$G$13=""),"",SUMIFS(包装物料出入库明细!$J$4:$J$2003,包装物料出入库明细!$D$4:$D$2003,$B20,包装物料出入库明细!$E$4:$E$2003,_自动清单!$G$13,包装物料出入库明细!$B$4:$B$2003,"&gt;="&amp;$AF$1,包装物料出入库明细!$B$4:$B$2003,"&lt;="&amp;$AF$2))</f>
        <v/>
      </c>
      <c r="M20" s="25" t="str">
        <f>IF(OR($B20="",_自动清单!$G$14=""),"",SUMIFS(包装物料出入库明细!$J$4:$J$2003,包装物料出入库明细!$D$4:$D$2003,$B20,包装物料出入库明细!$E$4:$E$2003,_自动清单!$G$14,包装物料出入库明细!$B$4:$B$2003,"&gt;="&amp;$AF$1,包装物料出入库明细!$B$4:$B$2003,"&lt;="&amp;$AF$2))</f>
        <v/>
      </c>
      <c r="N20" s="25" t="str">
        <f>IF(OR($B20="",_自动清单!$G$15=""),"",SUMIFS(包装物料出入库明细!$J$4:$J$2003,包装物料出入库明细!$D$4:$D$2003,$B20,包装物料出入库明细!$E$4:$E$2003,_自动清单!$G$15,包装物料出入库明细!$B$4:$B$2003,"&gt;="&amp;$AF$1,包装物料出入库明细!$B$4:$B$2003,"&lt;="&amp;$AF$2))</f>
        <v/>
      </c>
      <c r="O20" s="25" t="str">
        <f>IF(OR($B20="",_自动清单!$G$16=""),"",SUMIFS(包装物料出入库明细!$J$4:$J$2003,包装物料出入库明细!$D$4:$D$2003,$B20,包装物料出入库明细!$E$4:$E$2003,_自动清单!$G$16,包装物料出入库明细!$B$4:$B$2003,"&gt;="&amp;$AF$1,包装物料出入库明细!$B$4:$B$2003,"&lt;="&amp;$AF$2))</f>
        <v/>
      </c>
      <c r="P20" s="25" t="str">
        <f>IF(OR($B20="",_自动清单!$G$17=""),"",SUMIFS(包装物料出入库明细!$J$4:$J$2003,包装物料出入库明细!$D$4:$D$2003,$B20,包装物料出入库明细!$E$4:$E$2003,_自动清单!$G$17,包装物料出入库明细!$B$4:$B$2003,"&gt;="&amp;$AF$1,包装物料出入库明细!$B$4:$B$2003,"&lt;="&amp;$AF$2))</f>
        <v/>
      </c>
      <c r="Q20" s="25" t="str">
        <f>IF(OR($B20="",_自动清单!$G$18=""),"",SUMIFS(包装物料出入库明细!$J$4:$J$2003,包装物料出入库明细!$D$4:$D$2003,$B20,包装物料出入库明细!$E$4:$E$2003,_自动清单!$G$18,包装物料出入库明细!$B$4:$B$2003,"&gt;="&amp;$AF$1,包装物料出入库明细!$B$4:$B$2003,"&lt;="&amp;$AF$2))</f>
        <v/>
      </c>
      <c r="R20" s="25" t="str">
        <f>IF(OR($B20="",_自动清单!$G$19=""),"",SUMIFS(包装物料出入库明细!$J$4:$J$2003,包装物料出入库明细!$D$4:$D$2003,$B20,包装物料出入库明细!$E$4:$E$2003,_自动清单!$G$19,包装物料出入库明细!$B$4:$B$2003,"&gt;="&amp;$AF$1,包装物料出入库明细!$B$4:$B$2003,"&lt;="&amp;$AF$2))</f>
        <v/>
      </c>
      <c r="S20" s="25" t="str">
        <f>IF(OR($B20="",_自动清单!$G$20=""),"",SUMIFS(包装物料出入库明细!$J$4:$J$2003,包装物料出入库明细!$D$4:$D$2003,$B20,包装物料出入库明细!$E$4:$E$2003,_自动清单!$G$20,包装物料出入库明细!$B$4:$B$2003,"&gt;="&amp;$AF$1,包装物料出入库明细!$B$4:$B$2003,"&lt;="&amp;$AF$2))</f>
        <v/>
      </c>
      <c r="T20" s="25" t="str">
        <f>IF(OR($B20="",_自动清单!$G$21=""),"",SUMIFS(包装物料出入库明细!$J$4:$J$2003,包装物料出入库明细!$D$4:$D$2003,$B20,包装物料出入库明细!$E$4:$E$2003,_自动清单!$G$21,包装物料出入库明细!$B$4:$B$2003,"&gt;="&amp;$AF$1,包装物料出入库明细!$B$4:$B$2003,"&lt;="&amp;$AF$2))</f>
        <v/>
      </c>
      <c r="U20" s="25" t="str">
        <f>IF($B20="","",SUMIFS(包装物料出入库明细!$J$4:$J$2003,包装物料出入库明细!$D$4:$D$2003,$B20,包装物料出入库明细!$B$4:$B$2003,"&gt;="&amp;$AF$1,包装物料出入库明细!$B$4:$B$2003,"&lt;="&amp;$AF$2)-SUM($C20:$T20))</f>
        <v/>
      </c>
      <c r="V20" s="25" t="str">
        <f t="shared" si="1"/>
        <v/>
      </c>
      <c r="W20" s="56" t="str">
        <f>IF($B20="","",SUMIFS(包装物料出入库明细!$K$4:$K$2003,包装物料出入库明细!$D$4:$D$2003,$B20,包装物料出入库明细!$B$4:$B$2003,"&gt;="&amp;$AF$1,包装物料出入库明细!$B$4:$B$2003,"&lt;="&amp;$AF$2))</f>
        <v/>
      </c>
      <c r="X20" s="25" t="str">
        <f t="shared" si="2"/>
        <v/>
      </c>
      <c r="Y20" s="26" t="str">
        <f>IF($B20="","",ROUND(SUMIFS(包装物料出入库明细!$N$4:$N$2003,包装物料出入库明细!$D$4:$D$2003,$B20,包装物料出入库明细!$H$4:$H$2003,"销售出库",包装物料出入库明细!$B$4:$B$2003,"&gt;="&amp;$AF$1,包装物料出入库明细!$B$4:$B$2003,"&lt;="&amp;$AF$2),2))</f>
        <v/>
      </c>
      <c r="Z20" s="26" t="str">
        <f>IF($B20="","",ROUND(SUMIFS(包装物料出入库明细!$N$4:$N$2003,包装物料出入库明细!$D$4:$D$2003,$B20,包装物料出入库明细!$H$4:$H$2003,"销售出库",包装物料出入库明细!$P$4:$P$2003,"已收讫",包装物料出入库明细!$B$4:$B$2003,"&gt;="&amp;$AF$1,包装物料出入库明细!$B$4:$B$2003,"&lt;="&amp;$AF$2),2))</f>
        <v/>
      </c>
      <c r="AA20" s="26" t="str">
        <f t="shared" si="3"/>
        <v/>
      </c>
      <c r="AB20" s="41"/>
    </row>
    <row r="21" spans="1:28">
      <c r="A21" s="24" t="str">
        <f t="shared" si="0"/>
        <v/>
      </c>
      <c r="B21" s="24" t="str">
        <f>IFERROR(INDEX(_自动清单!$O$4:$O$203,ROW()-3),"")</f>
        <v/>
      </c>
      <c r="C21" s="25" t="str">
        <f>IF(OR($B21="",_自动清单!$G$4=""),"",SUMIFS(包装物料出入库明细!$J$4:$J$2003,包装物料出入库明细!$D$4:$D$2003,$B21,包装物料出入库明细!$E$4:$E$2003,_自动清单!$G$4,包装物料出入库明细!$B$4:$B$2003,"&gt;="&amp;$AF$1,包装物料出入库明细!$B$4:$B$2003,"&lt;="&amp;$AF$2))</f>
        <v/>
      </c>
      <c r="D21" s="25" t="str">
        <f>IF(OR($B21="",_自动清单!$G$5=""),"",SUMIFS(包装物料出入库明细!$J$4:$J$2003,包装物料出入库明细!$D$4:$D$2003,$B21,包装物料出入库明细!$E$4:$E$2003,_自动清单!$G$5,包装物料出入库明细!$B$4:$B$2003,"&gt;="&amp;$AF$1,包装物料出入库明细!$B$4:$B$2003,"&lt;="&amp;$AF$2))</f>
        <v/>
      </c>
      <c r="E21" s="25" t="str">
        <f>IF(OR($B21="",_自动清单!$G$6=""),"",SUMIFS(包装物料出入库明细!$J$4:$J$2003,包装物料出入库明细!$D$4:$D$2003,$B21,包装物料出入库明细!$E$4:$E$2003,_自动清单!$G$6,包装物料出入库明细!$B$4:$B$2003,"&gt;="&amp;$AF$1,包装物料出入库明细!$B$4:$B$2003,"&lt;="&amp;$AF$2))</f>
        <v/>
      </c>
      <c r="F21" s="25" t="str">
        <f>IF(OR($B21="",_自动清单!$G$7=""),"",SUMIFS(包装物料出入库明细!$J$4:$J$2003,包装物料出入库明细!$D$4:$D$2003,$B21,包装物料出入库明细!$E$4:$E$2003,_自动清单!$G$7,包装物料出入库明细!$B$4:$B$2003,"&gt;="&amp;$AF$1,包装物料出入库明细!$B$4:$B$2003,"&lt;="&amp;$AF$2))</f>
        <v/>
      </c>
      <c r="G21" s="25" t="str">
        <f>IF(OR($B21="",_自动清单!$G$8=""),"",SUMIFS(包装物料出入库明细!$J$4:$J$2003,包装物料出入库明细!$D$4:$D$2003,$B21,包装物料出入库明细!$E$4:$E$2003,_自动清单!$G$8,包装物料出入库明细!$B$4:$B$2003,"&gt;="&amp;$AF$1,包装物料出入库明细!$B$4:$B$2003,"&lt;="&amp;$AF$2))</f>
        <v/>
      </c>
      <c r="H21" s="25" t="str">
        <f>IF(OR($B21="",_自动清单!$G$9=""),"",SUMIFS(包装物料出入库明细!$J$4:$J$2003,包装物料出入库明细!$D$4:$D$2003,$B21,包装物料出入库明细!$E$4:$E$2003,_自动清单!$G$9,包装物料出入库明细!$B$4:$B$2003,"&gt;="&amp;$AF$1,包装物料出入库明细!$B$4:$B$2003,"&lt;="&amp;$AF$2))</f>
        <v/>
      </c>
      <c r="I21" s="25" t="str">
        <f>IF(OR($B21="",_自动清单!$G$10=""),"",SUMIFS(包装物料出入库明细!$J$4:$J$2003,包装物料出入库明细!$D$4:$D$2003,$B21,包装物料出入库明细!$E$4:$E$2003,_自动清单!$G$10,包装物料出入库明细!$B$4:$B$2003,"&gt;="&amp;$AF$1,包装物料出入库明细!$B$4:$B$2003,"&lt;="&amp;$AF$2))</f>
        <v/>
      </c>
      <c r="J21" s="25" t="str">
        <f>IF(OR($B21="",_自动清单!$G$11=""),"",SUMIFS(包装物料出入库明细!$J$4:$J$2003,包装物料出入库明细!$D$4:$D$2003,$B21,包装物料出入库明细!$E$4:$E$2003,_自动清单!$G$11,包装物料出入库明细!$B$4:$B$2003,"&gt;="&amp;$AF$1,包装物料出入库明细!$B$4:$B$2003,"&lt;="&amp;$AF$2))</f>
        <v/>
      </c>
      <c r="K21" s="25" t="str">
        <f>IF(OR($B21="",_自动清单!$G$12=""),"",SUMIFS(包装物料出入库明细!$J$4:$J$2003,包装物料出入库明细!$D$4:$D$2003,$B21,包装物料出入库明细!$E$4:$E$2003,_自动清单!$G$12,包装物料出入库明细!$B$4:$B$2003,"&gt;="&amp;$AF$1,包装物料出入库明细!$B$4:$B$2003,"&lt;="&amp;$AF$2))</f>
        <v/>
      </c>
      <c r="L21" s="25" t="str">
        <f>IF(OR($B21="",_自动清单!$G$13=""),"",SUMIFS(包装物料出入库明细!$J$4:$J$2003,包装物料出入库明细!$D$4:$D$2003,$B21,包装物料出入库明细!$E$4:$E$2003,_自动清单!$G$13,包装物料出入库明细!$B$4:$B$2003,"&gt;="&amp;$AF$1,包装物料出入库明细!$B$4:$B$2003,"&lt;="&amp;$AF$2))</f>
        <v/>
      </c>
      <c r="M21" s="25" t="str">
        <f>IF(OR($B21="",_自动清单!$G$14=""),"",SUMIFS(包装物料出入库明细!$J$4:$J$2003,包装物料出入库明细!$D$4:$D$2003,$B21,包装物料出入库明细!$E$4:$E$2003,_自动清单!$G$14,包装物料出入库明细!$B$4:$B$2003,"&gt;="&amp;$AF$1,包装物料出入库明细!$B$4:$B$2003,"&lt;="&amp;$AF$2))</f>
        <v/>
      </c>
      <c r="N21" s="25" t="str">
        <f>IF(OR($B21="",_自动清单!$G$15=""),"",SUMIFS(包装物料出入库明细!$J$4:$J$2003,包装物料出入库明细!$D$4:$D$2003,$B21,包装物料出入库明细!$E$4:$E$2003,_自动清单!$G$15,包装物料出入库明细!$B$4:$B$2003,"&gt;="&amp;$AF$1,包装物料出入库明细!$B$4:$B$2003,"&lt;="&amp;$AF$2))</f>
        <v/>
      </c>
      <c r="O21" s="25" t="str">
        <f>IF(OR($B21="",_自动清单!$G$16=""),"",SUMIFS(包装物料出入库明细!$J$4:$J$2003,包装物料出入库明细!$D$4:$D$2003,$B21,包装物料出入库明细!$E$4:$E$2003,_自动清单!$G$16,包装物料出入库明细!$B$4:$B$2003,"&gt;="&amp;$AF$1,包装物料出入库明细!$B$4:$B$2003,"&lt;="&amp;$AF$2))</f>
        <v/>
      </c>
      <c r="P21" s="25" t="str">
        <f>IF(OR($B21="",_自动清单!$G$17=""),"",SUMIFS(包装物料出入库明细!$J$4:$J$2003,包装物料出入库明细!$D$4:$D$2003,$B21,包装物料出入库明细!$E$4:$E$2003,_自动清单!$G$17,包装物料出入库明细!$B$4:$B$2003,"&gt;="&amp;$AF$1,包装物料出入库明细!$B$4:$B$2003,"&lt;="&amp;$AF$2))</f>
        <v/>
      </c>
      <c r="Q21" s="25" t="str">
        <f>IF(OR($B21="",_自动清单!$G$18=""),"",SUMIFS(包装物料出入库明细!$J$4:$J$2003,包装物料出入库明细!$D$4:$D$2003,$B21,包装物料出入库明细!$E$4:$E$2003,_自动清单!$G$18,包装物料出入库明细!$B$4:$B$2003,"&gt;="&amp;$AF$1,包装物料出入库明细!$B$4:$B$2003,"&lt;="&amp;$AF$2))</f>
        <v/>
      </c>
      <c r="R21" s="25" t="str">
        <f>IF(OR($B21="",_自动清单!$G$19=""),"",SUMIFS(包装物料出入库明细!$J$4:$J$2003,包装物料出入库明细!$D$4:$D$2003,$B21,包装物料出入库明细!$E$4:$E$2003,_自动清单!$G$19,包装物料出入库明细!$B$4:$B$2003,"&gt;="&amp;$AF$1,包装物料出入库明细!$B$4:$B$2003,"&lt;="&amp;$AF$2))</f>
        <v/>
      </c>
      <c r="S21" s="25" t="str">
        <f>IF(OR($B21="",_自动清单!$G$20=""),"",SUMIFS(包装物料出入库明细!$J$4:$J$2003,包装物料出入库明细!$D$4:$D$2003,$B21,包装物料出入库明细!$E$4:$E$2003,_自动清单!$G$20,包装物料出入库明细!$B$4:$B$2003,"&gt;="&amp;$AF$1,包装物料出入库明细!$B$4:$B$2003,"&lt;="&amp;$AF$2))</f>
        <v/>
      </c>
      <c r="T21" s="25" t="str">
        <f>IF(OR($B21="",_自动清单!$G$21=""),"",SUMIFS(包装物料出入库明细!$J$4:$J$2003,包装物料出入库明细!$D$4:$D$2003,$B21,包装物料出入库明细!$E$4:$E$2003,_自动清单!$G$21,包装物料出入库明细!$B$4:$B$2003,"&gt;="&amp;$AF$1,包装物料出入库明细!$B$4:$B$2003,"&lt;="&amp;$AF$2))</f>
        <v/>
      </c>
      <c r="U21" s="25" t="str">
        <f>IF($B21="","",SUMIFS(包装物料出入库明细!$J$4:$J$2003,包装物料出入库明细!$D$4:$D$2003,$B21,包装物料出入库明细!$B$4:$B$2003,"&gt;="&amp;$AF$1,包装物料出入库明细!$B$4:$B$2003,"&lt;="&amp;$AF$2)-SUM($C21:$T21))</f>
        <v/>
      </c>
      <c r="V21" s="25" t="str">
        <f t="shared" si="1"/>
        <v/>
      </c>
      <c r="W21" s="56" t="str">
        <f>IF($B21="","",SUMIFS(包装物料出入库明细!$K$4:$K$2003,包装物料出入库明细!$D$4:$D$2003,$B21,包装物料出入库明细!$B$4:$B$2003,"&gt;="&amp;$AF$1,包装物料出入库明细!$B$4:$B$2003,"&lt;="&amp;$AF$2))</f>
        <v/>
      </c>
      <c r="X21" s="25" t="str">
        <f t="shared" si="2"/>
        <v/>
      </c>
      <c r="Y21" s="26" t="str">
        <f>IF($B21="","",ROUND(SUMIFS(包装物料出入库明细!$N$4:$N$2003,包装物料出入库明细!$D$4:$D$2003,$B21,包装物料出入库明细!$H$4:$H$2003,"销售出库",包装物料出入库明细!$B$4:$B$2003,"&gt;="&amp;$AF$1,包装物料出入库明细!$B$4:$B$2003,"&lt;="&amp;$AF$2),2))</f>
        <v/>
      </c>
      <c r="Z21" s="26" t="str">
        <f>IF($B21="","",ROUND(SUMIFS(包装物料出入库明细!$N$4:$N$2003,包装物料出入库明细!$D$4:$D$2003,$B21,包装物料出入库明细!$H$4:$H$2003,"销售出库",包装物料出入库明细!$P$4:$P$2003,"已收讫",包装物料出入库明细!$B$4:$B$2003,"&gt;="&amp;$AF$1,包装物料出入库明细!$B$4:$B$2003,"&lt;="&amp;$AF$2),2))</f>
        <v/>
      </c>
      <c r="AA21" s="26" t="str">
        <f t="shared" si="3"/>
        <v/>
      </c>
      <c r="AB21" s="41"/>
    </row>
    <row r="22" spans="1:28">
      <c r="A22" s="24" t="str">
        <f t="shared" si="0"/>
        <v/>
      </c>
      <c r="B22" s="24" t="str">
        <f>IFERROR(INDEX(_自动清单!$O$4:$O$203,ROW()-3),"")</f>
        <v/>
      </c>
      <c r="C22" s="25" t="str">
        <f>IF(OR($B22="",_自动清单!$G$4=""),"",SUMIFS(包装物料出入库明细!$J$4:$J$2003,包装物料出入库明细!$D$4:$D$2003,$B22,包装物料出入库明细!$E$4:$E$2003,_自动清单!$G$4,包装物料出入库明细!$B$4:$B$2003,"&gt;="&amp;$AF$1,包装物料出入库明细!$B$4:$B$2003,"&lt;="&amp;$AF$2))</f>
        <v/>
      </c>
      <c r="D22" s="25" t="str">
        <f>IF(OR($B22="",_自动清单!$G$5=""),"",SUMIFS(包装物料出入库明细!$J$4:$J$2003,包装物料出入库明细!$D$4:$D$2003,$B22,包装物料出入库明细!$E$4:$E$2003,_自动清单!$G$5,包装物料出入库明细!$B$4:$B$2003,"&gt;="&amp;$AF$1,包装物料出入库明细!$B$4:$B$2003,"&lt;="&amp;$AF$2))</f>
        <v/>
      </c>
      <c r="E22" s="25" t="str">
        <f>IF(OR($B22="",_自动清单!$G$6=""),"",SUMIFS(包装物料出入库明细!$J$4:$J$2003,包装物料出入库明细!$D$4:$D$2003,$B22,包装物料出入库明细!$E$4:$E$2003,_自动清单!$G$6,包装物料出入库明细!$B$4:$B$2003,"&gt;="&amp;$AF$1,包装物料出入库明细!$B$4:$B$2003,"&lt;="&amp;$AF$2))</f>
        <v/>
      </c>
      <c r="F22" s="25" t="str">
        <f>IF(OR($B22="",_自动清单!$G$7=""),"",SUMIFS(包装物料出入库明细!$J$4:$J$2003,包装物料出入库明细!$D$4:$D$2003,$B22,包装物料出入库明细!$E$4:$E$2003,_自动清单!$G$7,包装物料出入库明细!$B$4:$B$2003,"&gt;="&amp;$AF$1,包装物料出入库明细!$B$4:$B$2003,"&lt;="&amp;$AF$2))</f>
        <v/>
      </c>
      <c r="G22" s="25" t="str">
        <f>IF(OR($B22="",_自动清单!$G$8=""),"",SUMIFS(包装物料出入库明细!$J$4:$J$2003,包装物料出入库明细!$D$4:$D$2003,$B22,包装物料出入库明细!$E$4:$E$2003,_自动清单!$G$8,包装物料出入库明细!$B$4:$B$2003,"&gt;="&amp;$AF$1,包装物料出入库明细!$B$4:$B$2003,"&lt;="&amp;$AF$2))</f>
        <v/>
      </c>
      <c r="H22" s="25" t="str">
        <f>IF(OR($B22="",_自动清单!$G$9=""),"",SUMIFS(包装物料出入库明细!$J$4:$J$2003,包装物料出入库明细!$D$4:$D$2003,$B22,包装物料出入库明细!$E$4:$E$2003,_自动清单!$G$9,包装物料出入库明细!$B$4:$B$2003,"&gt;="&amp;$AF$1,包装物料出入库明细!$B$4:$B$2003,"&lt;="&amp;$AF$2))</f>
        <v/>
      </c>
      <c r="I22" s="25" t="str">
        <f>IF(OR($B22="",_自动清单!$G$10=""),"",SUMIFS(包装物料出入库明细!$J$4:$J$2003,包装物料出入库明细!$D$4:$D$2003,$B22,包装物料出入库明细!$E$4:$E$2003,_自动清单!$G$10,包装物料出入库明细!$B$4:$B$2003,"&gt;="&amp;$AF$1,包装物料出入库明细!$B$4:$B$2003,"&lt;="&amp;$AF$2))</f>
        <v/>
      </c>
      <c r="J22" s="25" t="str">
        <f>IF(OR($B22="",_自动清单!$G$11=""),"",SUMIFS(包装物料出入库明细!$J$4:$J$2003,包装物料出入库明细!$D$4:$D$2003,$B22,包装物料出入库明细!$E$4:$E$2003,_自动清单!$G$11,包装物料出入库明细!$B$4:$B$2003,"&gt;="&amp;$AF$1,包装物料出入库明细!$B$4:$B$2003,"&lt;="&amp;$AF$2))</f>
        <v/>
      </c>
      <c r="K22" s="25" t="str">
        <f>IF(OR($B22="",_自动清单!$G$12=""),"",SUMIFS(包装物料出入库明细!$J$4:$J$2003,包装物料出入库明细!$D$4:$D$2003,$B22,包装物料出入库明细!$E$4:$E$2003,_自动清单!$G$12,包装物料出入库明细!$B$4:$B$2003,"&gt;="&amp;$AF$1,包装物料出入库明细!$B$4:$B$2003,"&lt;="&amp;$AF$2))</f>
        <v/>
      </c>
      <c r="L22" s="25" t="str">
        <f>IF(OR($B22="",_自动清单!$G$13=""),"",SUMIFS(包装物料出入库明细!$J$4:$J$2003,包装物料出入库明细!$D$4:$D$2003,$B22,包装物料出入库明细!$E$4:$E$2003,_自动清单!$G$13,包装物料出入库明细!$B$4:$B$2003,"&gt;="&amp;$AF$1,包装物料出入库明细!$B$4:$B$2003,"&lt;="&amp;$AF$2))</f>
        <v/>
      </c>
      <c r="M22" s="25" t="str">
        <f>IF(OR($B22="",_自动清单!$G$14=""),"",SUMIFS(包装物料出入库明细!$J$4:$J$2003,包装物料出入库明细!$D$4:$D$2003,$B22,包装物料出入库明细!$E$4:$E$2003,_自动清单!$G$14,包装物料出入库明细!$B$4:$B$2003,"&gt;="&amp;$AF$1,包装物料出入库明细!$B$4:$B$2003,"&lt;="&amp;$AF$2))</f>
        <v/>
      </c>
      <c r="N22" s="25" t="str">
        <f>IF(OR($B22="",_自动清单!$G$15=""),"",SUMIFS(包装物料出入库明细!$J$4:$J$2003,包装物料出入库明细!$D$4:$D$2003,$B22,包装物料出入库明细!$E$4:$E$2003,_自动清单!$G$15,包装物料出入库明细!$B$4:$B$2003,"&gt;="&amp;$AF$1,包装物料出入库明细!$B$4:$B$2003,"&lt;="&amp;$AF$2))</f>
        <v/>
      </c>
      <c r="O22" s="25" t="str">
        <f>IF(OR($B22="",_自动清单!$G$16=""),"",SUMIFS(包装物料出入库明细!$J$4:$J$2003,包装物料出入库明细!$D$4:$D$2003,$B22,包装物料出入库明细!$E$4:$E$2003,_自动清单!$G$16,包装物料出入库明细!$B$4:$B$2003,"&gt;="&amp;$AF$1,包装物料出入库明细!$B$4:$B$2003,"&lt;="&amp;$AF$2))</f>
        <v/>
      </c>
      <c r="P22" s="25" t="str">
        <f>IF(OR($B22="",_自动清单!$G$17=""),"",SUMIFS(包装物料出入库明细!$J$4:$J$2003,包装物料出入库明细!$D$4:$D$2003,$B22,包装物料出入库明细!$E$4:$E$2003,_自动清单!$G$17,包装物料出入库明细!$B$4:$B$2003,"&gt;="&amp;$AF$1,包装物料出入库明细!$B$4:$B$2003,"&lt;="&amp;$AF$2))</f>
        <v/>
      </c>
      <c r="Q22" s="25" t="str">
        <f>IF(OR($B22="",_自动清单!$G$18=""),"",SUMIFS(包装物料出入库明细!$J$4:$J$2003,包装物料出入库明细!$D$4:$D$2003,$B22,包装物料出入库明细!$E$4:$E$2003,_自动清单!$G$18,包装物料出入库明细!$B$4:$B$2003,"&gt;="&amp;$AF$1,包装物料出入库明细!$B$4:$B$2003,"&lt;="&amp;$AF$2))</f>
        <v/>
      </c>
      <c r="R22" s="25" t="str">
        <f>IF(OR($B22="",_自动清单!$G$19=""),"",SUMIFS(包装物料出入库明细!$J$4:$J$2003,包装物料出入库明细!$D$4:$D$2003,$B22,包装物料出入库明细!$E$4:$E$2003,_自动清单!$G$19,包装物料出入库明细!$B$4:$B$2003,"&gt;="&amp;$AF$1,包装物料出入库明细!$B$4:$B$2003,"&lt;="&amp;$AF$2))</f>
        <v/>
      </c>
      <c r="S22" s="25" t="str">
        <f>IF(OR($B22="",_自动清单!$G$20=""),"",SUMIFS(包装物料出入库明细!$J$4:$J$2003,包装物料出入库明细!$D$4:$D$2003,$B22,包装物料出入库明细!$E$4:$E$2003,_自动清单!$G$20,包装物料出入库明细!$B$4:$B$2003,"&gt;="&amp;$AF$1,包装物料出入库明细!$B$4:$B$2003,"&lt;="&amp;$AF$2))</f>
        <v/>
      </c>
      <c r="T22" s="25" t="str">
        <f>IF(OR($B22="",_自动清单!$G$21=""),"",SUMIFS(包装物料出入库明细!$J$4:$J$2003,包装物料出入库明细!$D$4:$D$2003,$B22,包装物料出入库明细!$E$4:$E$2003,_自动清单!$G$21,包装物料出入库明细!$B$4:$B$2003,"&gt;="&amp;$AF$1,包装物料出入库明细!$B$4:$B$2003,"&lt;="&amp;$AF$2))</f>
        <v/>
      </c>
      <c r="U22" s="25" t="str">
        <f>IF($B22="","",SUMIFS(包装物料出入库明细!$J$4:$J$2003,包装物料出入库明细!$D$4:$D$2003,$B22,包装物料出入库明细!$B$4:$B$2003,"&gt;="&amp;$AF$1,包装物料出入库明细!$B$4:$B$2003,"&lt;="&amp;$AF$2)-SUM($C22:$T22))</f>
        <v/>
      </c>
      <c r="V22" s="25" t="str">
        <f t="shared" si="1"/>
        <v/>
      </c>
      <c r="W22" s="56" t="str">
        <f>IF($B22="","",SUMIFS(包装物料出入库明细!$K$4:$K$2003,包装物料出入库明细!$D$4:$D$2003,$B22,包装物料出入库明细!$B$4:$B$2003,"&gt;="&amp;$AF$1,包装物料出入库明细!$B$4:$B$2003,"&lt;="&amp;$AF$2))</f>
        <v/>
      </c>
      <c r="X22" s="25" t="str">
        <f t="shared" si="2"/>
        <v/>
      </c>
      <c r="Y22" s="26" t="str">
        <f>IF($B22="","",ROUND(SUMIFS(包装物料出入库明细!$N$4:$N$2003,包装物料出入库明细!$D$4:$D$2003,$B22,包装物料出入库明细!$H$4:$H$2003,"销售出库",包装物料出入库明细!$B$4:$B$2003,"&gt;="&amp;$AF$1,包装物料出入库明细!$B$4:$B$2003,"&lt;="&amp;$AF$2),2))</f>
        <v/>
      </c>
      <c r="Z22" s="26" t="str">
        <f>IF($B22="","",ROUND(SUMIFS(包装物料出入库明细!$N$4:$N$2003,包装物料出入库明细!$D$4:$D$2003,$B22,包装物料出入库明细!$H$4:$H$2003,"销售出库",包装物料出入库明细!$P$4:$P$2003,"已收讫",包装物料出入库明细!$B$4:$B$2003,"&gt;="&amp;$AF$1,包装物料出入库明细!$B$4:$B$2003,"&lt;="&amp;$AF$2),2))</f>
        <v/>
      </c>
      <c r="AA22" s="26" t="str">
        <f t="shared" si="3"/>
        <v/>
      </c>
      <c r="AB22" s="41"/>
    </row>
    <row r="23" spans="1:28">
      <c r="A23" s="24" t="str">
        <f t="shared" si="0"/>
        <v/>
      </c>
      <c r="B23" s="24" t="str">
        <f>IFERROR(INDEX(_自动清单!$O$4:$O$203,ROW()-3),"")</f>
        <v/>
      </c>
      <c r="C23" s="25" t="str">
        <f>IF(OR($B23="",_自动清单!$G$4=""),"",SUMIFS(包装物料出入库明细!$J$4:$J$2003,包装物料出入库明细!$D$4:$D$2003,$B23,包装物料出入库明细!$E$4:$E$2003,_自动清单!$G$4,包装物料出入库明细!$B$4:$B$2003,"&gt;="&amp;$AF$1,包装物料出入库明细!$B$4:$B$2003,"&lt;="&amp;$AF$2))</f>
        <v/>
      </c>
      <c r="D23" s="25" t="str">
        <f>IF(OR($B23="",_自动清单!$G$5=""),"",SUMIFS(包装物料出入库明细!$J$4:$J$2003,包装物料出入库明细!$D$4:$D$2003,$B23,包装物料出入库明细!$E$4:$E$2003,_自动清单!$G$5,包装物料出入库明细!$B$4:$B$2003,"&gt;="&amp;$AF$1,包装物料出入库明细!$B$4:$B$2003,"&lt;="&amp;$AF$2))</f>
        <v/>
      </c>
      <c r="E23" s="25" t="str">
        <f>IF(OR($B23="",_自动清单!$G$6=""),"",SUMIFS(包装物料出入库明细!$J$4:$J$2003,包装物料出入库明细!$D$4:$D$2003,$B23,包装物料出入库明细!$E$4:$E$2003,_自动清单!$G$6,包装物料出入库明细!$B$4:$B$2003,"&gt;="&amp;$AF$1,包装物料出入库明细!$B$4:$B$2003,"&lt;="&amp;$AF$2))</f>
        <v/>
      </c>
      <c r="F23" s="25" t="str">
        <f>IF(OR($B23="",_自动清单!$G$7=""),"",SUMIFS(包装物料出入库明细!$J$4:$J$2003,包装物料出入库明细!$D$4:$D$2003,$B23,包装物料出入库明细!$E$4:$E$2003,_自动清单!$G$7,包装物料出入库明细!$B$4:$B$2003,"&gt;="&amp;$AF$1,包装物料出入库明细!$B$4:$B$2003,"&lt;="&amp;$AF$2))</f>
        <v/>
      </c>
      <c r="G23" s="25" t="str">
        <f>IF(OR($B23="",_自动清单!$G$8=""),"",SUMIFS(包装物料出入库明细!$J$4:$J$2003,包装物料出入库明细!$D$4:$D$2003,$B23,包装物料出入库明细!$E$4:$E$2003,_自动清单!$G$8,包装物料出入库明细!$B$4:$B$2003,"&gt;="&amp;$AF$1,包装物料出入库明细!$B$4:$B$2003,"&lt;="&amp;$AF$2))</f>
        <v/>
      </c>
      <c r="H23" s="25" t="str">
        <f>IF(OR($B23="",_自动清单!$G$9=""),"",SUMIFS(包装物料出入库明细!$J$4:$J$2003,包装物料出入库明细!$D$4:$D$2003,$B23,包装物料出入库明细!$E$4:$E$2003,_自动清单!$G$9,包装物料出入库明细!$B$4:$B$2003,"&gt;="&amp;$AF$1,包装物料出入库明细!$B$4:$B$2003,"&lt;="&amp;$AF$2))</f>
        <v/>
      </c>
      <c r="I23" s="25" t="str">
        <f>IF(OR($B23="",_自动清单!$G$10=""),"",SUMIFS(包装物料出入库明细!$J$4:$J$2003,包装物料出入库明细!$D$4:$D$2003,$B23,包装物料出入库明细!$E$4:$E$2003,_自动清单!$G$10,包装物料出入库明细!$B$4:$B$2003,"&gt;="&amp;$AF$1,包装物料出入库明细!$B$4:$B$2003,"&lt;="&amp;$AF$2))</f>
        <v/>
      </c>
      <c r="J23" s="25" t="str">
        <f>IF(OR($B23="",_自动清单!$G$11=""),"",SUMIFS(包装物料出入库明细!$J$4:$J$2003,包装物料出入库明细!$D$4:$D$2003,$B23,包装物料出入库明细!$E$4:$E$2003,_自动清单!$G$11,包装物料出入库明细!$B$4:$B$2003,"&gt;="&amp;$AF$1,包装物料出入库明细!$B$4:$B$2003,"&lt;="&amp;$AF$2))</f>
        <v/>
      </c>
      <c r="K23" s="25" t="str">
        <f>IF(OR($B23="",_自动清单!$G$12=""),"",SUMIFS(包装物料出入库明细!$J$4:$J$2003,包装物料出入库明细!$D$4:$D$2003,$B23,包装物料出入库明细!$E$4:$E$2003,_自动清单!$G$12,包装物料出入库明细!$B$4:$B$2003,"&gt;="&amp;$AF$1,包装物料出入库明细!$B$4:$B$2003,"&lt;="&amp;$AF$2))</f>
        <v/>
      </c>
      <c r="L23" s="25" t="str">
        <f>IF(OR($B23="",_自动清单!$G$13=""),"",SUMIFS(包装物料出入库明细!$J$4:$J$2003,包装物料出入库明细!$D$4:$D$2003,$B23,包装物料出入库明细!$E$4:$E$2003,_自动清单!$G$13,包装物料出入库明细!$B$4:$B$2003,"&gt;="&amp;$AF$1,包装物料出入库明细!$B$4:$B$2003,"&lt;="&amp;$AF$2))</f>
        <v/>
      </c>
      <c r="M23" s="25" t="str">
        <f>IF(OR($B23="",_自动清单!$G$14=""),"",SUMIFS(包装物料出入库明细!$J$4:$J$2003,包装物料出入库明细!$D$4:$D$2003,$B23,包装物料出入库明细!$E$4:$E$2003,_自动清单!$G$14,包装物料出入库明细!$B$4:$B$2003,"&gt;="&amp;$AF$1,包装物料出入库明细!$B$4:$B$2003,"&lt;="&amp;$AF$2))</f>
        <v/>
      </c>
      <c r="N23" s="25" t="str">
        <f>IF(OR($B23="",_自动清单!$G$15=""),"",SUMIFS(包装物料出入库明细!$J$4:$J$2003,包装物料出入库明细!$D$4:$D$2003,$B23,包装物料出入库明细!$E$4:$E$2003,_自动清单!$G$15,包装物料出入库明细!$B$4:$B$2003,"&gt;="&amp;$AF$1,包装物料出入库明细!$B$4:$B$2003,"&lt;="&amp;$AF$2))</f>
        <v/>
      </c>
      <c r="O23" s="25" t="str">
        <f>IF(OR($B23="",_自动清单!$G$16=""),"",SUMIFS(包装物料出入库明细!$J$4:$J$2003,包装物料出入库明细!$D$4:$D$2003,$B23,包装物料出入库明细!$E$4:$E$2003,_自动清单!$G$16,包装物料出入库明细!$B$4:$B$2003,"&gt;="&amp;$AF$1,包装物料出入库明细!$B$4:$B$2003,"&lt;="&amp;$AF$2))</f>
        <v/>
      </c>
      <c r="P23" s="25" t="str">
        <f>IF(OR($B23="",_自动清单!$G$17=""),"",SUMIFS(包装物料出入库明细!$J$4:$J$2003,包装物料出入库明细!$D$4:$D$2003,$B23,包装物料出入库明细!$E$4:$E$2003,_自动清单!$G$17,包装物料出入库明细!$B$4:$B$2003,"&gt;="&amp;$AF$1,包装物料出入库明细!$B$4:$B$2003,"&lt;="&amp;$AF$2))</f>
        <v/>
      </c>
      <c r="Q23" s="25" t="str">
        <f>IF(OR($B23="",_自动清单!$G$18=""),"",SUMIFS(包装物料出入库明细!$J$4:$J$2003,包装物料出入库明细!$D$4:$D$2003,$B23,包装物料出入库明细!$E$4:$E$2003,_自动清单!$G$18,包装物料出入库明细!$B$4:$B$2003,"&gt;="&amp;$AF$1,包装物料出入库明细!$B$4:$B$2003,"&lt;="&amp;$AF$2))</f>
        <v/>
      </c>
      <c r="R23" s="25" t="str">
        <f>IF(OR($B23="",_自动清单!$G$19=""),"",SUMIFS(包装物料出入库明细!$J$4:$J$2003,包装物料出入库明细!$D$4:$D$2003,$B23,包装物料出入库明细!$E$4:$E$2003,_自动清单!$G$19,包装物料出入库明细!$B$4:$B$2003,"&gt;="&amp;$AF$1,包装物料出入库明细!$B$4:$B$2003,"&lt;="&amp;$AF$2))</f>
        <v/>
      </c>
      <c r="S23" s="25" t="str">
        <f>IF(OR($B23="",_自动清单!$G$20=""),"",SUMIFS(包装物料出入库明细!$J$4:$J$2003,包装物料出入库明细!$D$4:$D$2003,$B23,包装物料出入库明细!$E$4:$E$2003,_自动清单!$G$20,包装物料出入库明细!$B$4:$B$2003,"&gt;="&amp;$AF$1,包装物料出入库明细!$B$4:$B$2003,"&lt;="&amp;$AF$2))</f>
        <v/>
      </c>
      <c r="T23" s="25" t="str">
        <f>IF(OR($B23="",_自动清单!$G$21=""),"",SUMIFS(包装物料出入库明细!$J$4:$J$2003,包装物料出入库明细!$D$4:$D$2003,$B23,包装物料出入库明细!$E$4:$E$2003,_自动清单!$G$21,包装物料出入库明细!$B$4:$B$2003,"&gt;="&amp;$AF$1,包装物料出入库明细!$B$4:$B$2003,"&lt;="&amp;$AF$2))</f>
        <v/>
      </c>
      <c r="U23" s="25" t="str">
        <f>IF($B23="","",SUMIFS(包装物料出入库明细!$J$4:$J$2003,包装物料出入库明细!$D$4:$D$2003,$B23,包装物料出入库明细!$B$4:$B$2003,"&gt;="&amp;$AF$1,包装物料出入库明细!$B$4:$B$2003,"&lt;="&amp;$AF$2)-SUM($C23:$T23))</f>
        <v/>
      </c>
      <c r="V23" s="25" t="str">
        <f t="shared" si="1"/>
        <v/>
      </c>
      <c r="W23" s="56" t="str">
        <f>IF($B23="","",SUMIFS(包装物料出入库明细!$K$4:$K$2003,包装物料出入库明细!$D$4:$D$2003,$B23,包装物料出入库明细!$B$4:$B$2003,"&gt;="&amp;$AF$1,包装物料出入库明细!$B$4:$B$2003,"&lt;="&amp;$AF$2))</f>
        <v/>
      </c>
      <c r="X23" s="25" t="str">
        <f t="shared" si="2"/>
        <v/>
      </c>
      <c r="Y23" s="26" t="str">
        <f>IF($B23="","",ROUND(SUMIFS(包装物料出入库明细!$N$4:$N$2003,包装物料出入库明细!$D$4:$D$2003,$B23,包装物料出入库明细!$H$4:$H$2003,"销售出库",包装物料出入库明细!$B$4:$B$2003,"&gt;="&amp;$AF$1,包装物料出入库明细!$B$4:$B$2003,"&lt;="&amp;$AF$2),2))</f>
        <v/>
      </c>
      <c r="Z23" s="26" t="str">
        <f>IF($B23="","",ROUND(SUMIFS(包装物料出入库明细!$N$4:$N$2003,包装物料出入库明细!$D$4:$D$2003,$B23,包装物料出入库明细!$H$4:$H$2003,"销售出库",包装物料出入库明细!$P$4:$P$2003,"已收讫",包装物料出入库明细!$B$4:$B$2003,"&gt;="&amp;$AF$1,包装物料出入库明细!$B$4:$B$2003,"&lt;="&amp;$AF$2),2))</f>
        <v/>
      </c>
      <c r="AA23" s="26" t="str">
        <f t="shared" si="3"/>
        <v/>
      </c>
      <c r="AB23" s="41"/>
    </row>
    <row r="24" spans="1:28">
      <c r="A24" s="24" t="str">
        <f t="shared" si="0"/>
        <v/>
      </c>
      <c r="B24" s="24" t="str">
        <f>IFERROR(INDEX(_自动清单!$O$4:$O$203,ROW()-3),"")</f>
        <v/>
      </c>
      <c r="C24" s="25" t="str">
        <f>IF(OR($B24="",_自动清单!$G$4=""),"",SUMIFS(包装物料出入库明细!$J$4:$J$2003,包装物料出入库明细!$D$4:$D$2003,$B24,包装物料出入库明细!$E$4:$E$2003,_自动清单!$G$4,包装物料出入库明细!$B$4:$B$2003,"&gt;="&amp;$AF$1,包装物料出入库明细!$B$4:$B$2003,"&lt;="&amp;$AF$2))</f>
        <v/>
      </c>
      <c r="D24" s="25" t="str">
        <f>IF(OR($B24="",_自动清单!$G$5=""),"",SUMIFS(包装物料出入库明细!$J$4:$J$2003,包装物料出入库明细!$D$4:$D$2003,$B24,包装物料出入库明细!$E$4:$E$2003,_自动清单!$G$5,包装物料出入库明细!$B$4:$B$2003,"&gt;="&amp;$AF$1,包装物料出入库明细!$B$4:$B$2003,"&lt;="&amp;$AF$2))</f>
        <v/>
      </c>
      <c r="E24" s="25" t="str">
        <f>IF(OR($B24="",_自动清单!$G$6=""),"",SUMIFS(包装物料出入库明细!$J$4:$J$2003,包装物料出入库明细!$D$4:$D$2003,$B24,包装物料出入库明细!$E$4:$E$2003,_自动清单!$G$6,包装物料出入库明细!$B$4:$B$2003,"&gt;="&amp;$AF$1,包装物料出入库明细!$B$4:$B$2003,"&lt;="&amp;$AF$2))</f>
        <v/>
      </c>
      <c r="F24" s="25" t="str">
        <f>IF(OR($B24="",_自动清单!$G$7=""),"",SUMIFS(包装物料出入库明细!$J$4:$J$2003,包装物料出入库明细!$D$4:$D$2003,$B24,包装物料出入库明细!$E$4:$E$2003,_自动清单!$G$7,包装物料出入库明细!$B$4:$B$2003,"&gt;="&amp;$AF$1,包装物料出入库明细!$B$4:$B$2003,"&lt;="&amp;$AF$2))</f>
        <v/>
      </c>
      <c r="G24" s="25" t="str">
        <f>IF(OR($B24="",_自动清单!$G$8=""),"",SUMIFS(包装物料出入库明细!$J$4:$J$2003,包装物料出入库明细!$D$4:$D$2003,$B24,包装物料出入库明细!$E$4:$E$2003,_自动清单!$G$8,包装物料出入库明细!$B$4:$B$2003,"&gt;="&amp;$AF$1,包装物料出入库明细!$B$4:$B$2003,"&lt;="&amp;$AF$2))</f>
        <v/>
      </c>
      <c r="H24" s="25" t="str">
        <f>IF(OR($B24="",_自动清单!$G$9=""),"",SUMIFS(包装物料出入库明细!$J$4:$J$2003,包装物料出入库明细!$D$4:$D$2003,$B24,包装物料出入库明细!$E$4:$E$2003,_自动清单!$G$9,包装物料出入库明细!$B$4:$B$2003,"&gt;="&amp;$AF$1,包装物料出入库明细!$B$4:$B$2003,"&lt;="&amp;$AF$2))</f>
        <v/>
      </c>
      <c r="I24" s="25" t="str">
        <f>IF(OR($B24="",_自动清单!$G$10=""),"",SUMIFS(包装物料出入库明细!$J$4:$J$2003,包装物料出入库明细!$D$4:$D$2003,$B24,包装物料出入库明细!$E$4:$E$2003,_自动清单!$G$10,包装物料出入库明细!$B$4:$B$2003,"&gt;="&amp;$AF$1,包装物料出入库明细!$B$4:$B$2003,"&lt;="&amp;$AF$2))</f>
        <v/>
      </c>
      <c r="J24" s="25" t="str">
        <f>IF(OR($B24="",_自动清单!$G$11=""),"",SUMIFS(包装物料出入库明细!$J$4:$J$2003,包装物料出入库明细!$D$4:$D$2003,$B24,包装物料出入库明细!$E$4:$E$2003,_自动清单!$G$11,包装物料出入库明细!$B$4:$B$2003,"&gt;="&amp;$AF$1,包装物料出入库明细!$B$4:$B$2003,"&lt;="&amp;$AF$2))</f>
        <v/>
      </c>
      <c r="K24" s="25" t="str">
        <f>IF(OR($B24="",_自动清单!$G$12=""),"",SUMIFS(包装物料出入库明细!$J$4:$J$2003,包装物料出入库明细!$D$4:$D$2003,$B24,包装物料出入库明细!$E$4:$E$2003,_自动清单!$G$12,包装物料出入库明细!$B$4:$B$2003,"&gt;="&amp;$AF$1,包装物料出入库明细!$B$4:$B$2003,"&lt;="&amp;$AF$2))</f>
        <v/>
      </c>
      <c r="L24" s="25" t="str">
        <f>IF(OR($B24="",_自动清单!$G$13=""),"",SUMIFS(包装物料出入库明细!$J$4:$J$2003,包装物料出入库明细!$D$4:$D$2003,$B24,包装物料出入库明细!$E$4:$E$2003,_自动清单!$G$13,包装物料出入库明细!$B$4:$B$2003,"&gt;="&amp;$AF$1,包装物料出入库明细!$B$4:$B$2003,"&lt;="&amp;$AF$2))</f>
        <v/>
      </c>
      <c r="M24" s="25" t="str">
        <f>IF(OR($B24="",_自动清单!$G$14=""),"",SUMIFS(包装物料出入库明细!$J$4:$J$2003,包装物料出入库明细!$D$4:$D$2003,$B24,包装物料出入库明细!$E$4:$E$2003,_自动清单!$G$14,包装物料出入库明细!$B$4:$B$2003,"&gt;="&amp;$AF$1,包装物料出入库明细!$B$4:$B$2003,"&lt;="&amp;$AF$2))</f>
        <v/>
      </c>
      <c r="N24" s="25" t="str">
        <f>IF(OR($B24="",_自动清单!$G$15=""),"",SUMIFS(包装物料出入库明细!$J$4:$J$2003,包装物料出入库明细!$D$4:$D$2003,$B24,包装物料出入库明细!$E$4:$E$2003,_自动清单!$G$15,包装物料出入库明细!$B$4:$B$2003,"&gt;="&amp;$AF$1,包装物料出入库明细!$B$4:$B$2003,"&lt;="&amp;$AF$2))</f>
        <v/>
      </c>
      <c r="O24" s="25" t="str">
        <f>IF(OR($B24="",_自动清单!$G$16=""),"",SUMIFS(包装物料出入库明细!$J$4:$J$2003,包装物料出入库明细!$D$4:$D$2003,$B24,包装物料出入库明细!$E$4:$E$2003,_自动清单!$G$16,包装物料出入库明细!$B$4:$B$2003,"&gt;="&amp;$AF$1,包装物料出入库明细!$B$4:$B$2003,"&lt;="&amp;$AF$2))</f>
        <v/>
      </c>
      <c r="P24" s="25" t="str">
        <f>IF(OR($B24="",_自动清单!$G$17=""),"",SUMIFS(包装物料出入库明细!$J$4:$J$2003,包装物料出入库明细!$D$4:$D$2003,$B24,包装物料出入库明细!$E$4:$E$2003,_自动清单!$G$17,包装物料出入库明细!$B$4:$B$2003,"&gt;="&amp;$AF$1,包装物料出入库明细!$B$4:$B$2003,"&lt;="&amp;$AF$2))</f>
        <v/>
      </c>
      <c r="Q24" s="25" t="str">
        <f>IF(OR($B24="",_自动清单!$G$18=""),"",SUMIFS(包装物料出入库明细!$J$4:$J$2003,包装物料出入库明细!$D$4:$D$2003,$B24,包装物料出入库明细!$E$4:$E$2003,_自动清单!$G$18,包装物料出入库明细!$B$4:$B$2003,"&gt;="&amp;$AF$1,包装物料出入库明细!$B$4:$B$2003,"&lt;="&amp;$AF$2))</f>
        <v/>
      </c>
      <c r="R24" s="25" t="str">
        <f>IF(OR($B24="",_自动清单!$G$19=""),"",SUMIFS(包装物料出入库明细!$J$4:$J$2003,包装物料出入库明细!$D$4:$D$2003,$B24,包装物料出入库明细!$E$4:$E$2003,_自动清单!$G$19,包装物料出入库明细!$B$4:$B$2003,"&gt;="&amp;$AF$1,包装物料出入库明细!$B$4:$B$2003,"&lt;="&amp;$AF$2))</f>
        <v/>
      </c>
      <c r="S24" s="25" t="str">
        <f>IF(OR($B24="",_自动清单!$G$20=""),"",SUMIFS(包装物料出入库明细!$J$4:$J$2003,包装物料出入库明细!$D$4:$D$2003,$B24,包装物料出入库明细!$E$4:$E$2003,_自动清单!$G$20,包装物料出入库明细!$B$4:$B$2003,"&gt;="&amp;$AF$1,包装物料出入库明细!$B$4:$B$2003,"&lt;="&amp;$AF$2))</f>
        <v/>
      </c>
      <c r="T24" s="25" t="str">
        <f>IF(OR($B24="",_自动清单!$G$21=""),"",SUMIFS(包装物料出入库明细!$J$4:$J$2003,包装物料出入库明细!$D$4:$D$2003,$B24,包装物料出入库明细!$E$4:$E$2003,_自动清单!$G$21,包装物料出入库明细!$B$4:$B$2003,"&gt;="&amp;$AF$1,包装物料出入库明细!$B$4:$B$2003,"&lt;="&amp;$AF$2))</f>
        <v/>
      </c>
      <c r="U24" s="25" t="str">
        <f>IF($B24="","",SUMIFS(包装物料出入库明细!$J$4:$J$2003,包装物料出入库明细!$D$4:$D$2003,$B24,包装物料出入库明细!$B$4:$B$2003,"&gt;="&amp;$AF$1,包装物料出入库明细!$B$4:$B$2003,"&lt;="&amp;$AF$2)-SUM($C24:$T24))</f>
        <v/>
      </c>
      <c r="V24" s="25" t="str">
        <f t="shared" si="1"/>
        <v/>
      </c>
      <c r="W24" s="56" t="str">
        <f>IF($B24="","",SUMIFS(包装物料出入库明细!$K$4:$K$2003,包装物料出入库明细!$D$4:$D$2003,$B24,包装物料出入库明细!$B$4:$B$2003,"&gt;="&amp;$AF$1,包装物料出入库明细!$B$4:$B$2003,"&lt;="&amp;$AF$2))</f>
        <v/>
      </c>
      <c r="X24" s="25" t="str">
        <f t="shared" si="2"/>
        <v/>
      </c>
      <c r="Y24" s="26" t="str">
        <f>IF($B24="","",ROUND(SUMIFS(包装物料出入库明细!$N$4:$N$2003,包装物料出入库明细!$D$4:$D$2003,$B24,包装物料出入库明细!$H$4:$H$2003,"销售出库",包装物料出入库明细!$B$4:$B$2003,"&gt;="&amp;$AF$1,包装物料出入库明细!$B$4:$B$2003,"&lt;="&amp;$AF$2),2))</f>
        <v/>
      </c>
      <c r="Z24" s="26" t="str">
        <f>IF($B24="","",ROUND(SUMIFS(包装物料出入库明细!$N$4:$N$2003,包装物料出入库明细!$D$4:$D$2003,$B24,包装物料出入库明细!$H$4:$H$2003,"销售出库",包装物料出入库明细!$P$4:$P$2003,"已收讫",包装物料出入库明细!$B$4:$B$2003,"&gt;="&amp;$AF$1,包装物料出入库明细!$B$4:$B$2003,"&lt;="&amp;$AF$2),2))</f>
        <v/>
      </c>
      <c r="AA24" s="26" t="str">
        <f t="shared" si="3"/>
        <v/>
      </c>
      <c r="AB24" s="41"/>
    </row>
    <row r="25" spans="1:28">
      <c r="A25" s="24" t="str">
        <f t="shared" si="0"/>
        <v/>
      </c>
      <c r="B25" s="24" t="str">
        <f>IFERROR(INDEX(_自动清单!$O$4:$O$203,ROW()-3),"")</f>
        <v/>
      </c>
      <c r="C25" s="25" t="str">
        <f>IF(OR($B25="",_自动清单!$G$4=""),"",SUMIFS(包装物料出入库明细!$J$4:$J$2003,包装物料出入库明细!$D$4:$D$2003,$B25,包装物料出入库明细!$E$4:$E$2003,_自动清单!$G$4,包装物料出入库明细!$B$4:$B$2003,"&gt;="&amp;$AF$1,包装物料出入库明细!$B$4:$B$2003,"&lt;="&amp;$AF$2))</f>
        <v/>
      </c>
      <c r="D25" s="25" t="str">
        <f>IF(OR($B25="",_自动清单!$G$5=""),"",SUMIFS(包装物料出入库明细!$J$4:$J$2003,包装物料出入库明细!$D$4:$D$2003,$B25,包装物料出入库明细!$E$4:$E$2003,_自动清单!$G$5,包装物料出入库明细!$B$4:$B$2003,"&gt;="&amp;$AF$1,包装物料出入库明细!$B$4:$B$2003,"&lt;="&amp;$AF$2))</f>
        <v/>
      </c>
      <c r="E25" s="25" t="str">
        <f>IF(OR($B25="",_自动清单!$G$6=""),"",SUMIFS(包装物料出入库明细!$J$4:$J$2003,包装物料出入库明细!$D$4:$D$2003,$B25,包装物料出入库明细!$E$4:$E$2003,_自动清单!$G$6,包装物料出入库明细!$B$4:$B$2003,"&gt;="&amp;$AF$1,包装物料出入库明细!$B$4:$B$2003,"&lt;="&amp;$AF$2))</f>
        <v/>
      </c>
      <c r="F25" s="25" t="str">
        <f>IF(OR($B25="",_自动清单!$G$7=""),"",SUMIFS(包装物料出入库明细!$J$4:$J$2003,包装物料出入库明细!$D$4:$D$2003,$B25,包装物料出入库明细!$E$4:$E$2003,_自动清单!$G$7,包装物料出入库明细!$B$4:$B$2003,"&gt;="&amp;$AF$1,包装物料出入库明细!$B$4:$B$2003,"&lt;="&amp;$AF$2))</f>
        <v/>
      </c>
      <c r="G25" s="25" t="str">
        <f>IF(OR($B25="",_自动清单!$G$8=""),"",SUMIFS(包装物料出入库明细!$J$4:$J$2003,包装物料出入库明细!$D$4:$D$2003,$B25,包装物料出入库明细!$E$4:$E$2003,_自动清单!$G$8,包装物料出入库明细!$B$4:$B$2003,"&gt;="&amp;$AF$1,包装物料出入库明细!$B$4:$B$2003,"&lt;="&amp;$AF$2))</f>
        <v/>
      </c>
      <c r="H25" s="25" t="str">
        <f>IF(OR($B25="",_自动清单!$G$9=""),"",SUMIFS(包装物料出入库明细!$J$4:$J$2003,包装物料出入库明细!$D$4:$D$2003,$B25,包装物料出入库明细!$E$4:$E$2003,_自动清单!$G$9,包装物料出入库明细!$B$4:$B$2003,"&gt;="&amp;$AF$1,包装物料出入库明细!$B$4:$B$2003,"&lt;="&amp;$AF$2))</f>
        <v/>
      </c>
      <c r="I25" s="25" t="str">
        <f>IF(OR($B25="",_自动清单!$G$10=""),"",SUMIFS(包装物料出入库明细!$J$4:$J$2003,包装物料出入库明细!$D$4:$D$2003,$B25,包装物料出入库明细!$E$4:$E$2003,_自动清单!$G$10,包装物料出入库明细!$B$4:$B$2003,"&gt;="&amp;$AF$1,包装物料出入库明细!$B$4:$B$2003,"&lt;="&amp;$AF$2))</f>
        <v/>
      </c>
      <c r="J25" s="25" t="str">
        <f>IF(OR($B25="",_自动清单!$G$11=""),"",SUMIFS(包装物料出入库明细!$J$4:$J$2003,包装物料出入库明细!$D$4:$D$2003,$B25,包装物料出入库明细!$E$4:$E$2003,_自动清单!$G$11,包装物料出入库明细!$B$4:$B$2003,"&gt;="&amp;$AF$1,包装物料出入库明细!$B$4:$B$2003,"&lt;="&amp;$AF$2))</f>
        <v/>
      </c>
      <c r="K25" s="25" t="str">
        <f>IF(OR($B25="",_自动清单!$G$12=""),"",SUMIFS(包装物料出入库明细!$J$4:$J$2003,包装物料出入库明细!$D$4:$D$2003,$B25,包装物料出入库明细!$E$4:$E$2003,_自动清单!$G$12,包装物料出入库明细!$B$4:$B$2003,"&gt;="&amp;$AF$1,包装物料出入库明细!$B$4:$B$2003,"&lt;="&amp;$AF$2))</f>
        <v/>
      </c>
      <c r="L25" s="25" t="str">
        <f>IF(OR($B25="",_自动清单!$G$13=""),"",SUMIFS(包装物料出入库明细!$J$4:$J$2003,包装物料出入库明细!$D$4:$D$2003,$B25,包装物料出入库明细!$E$4:$E$2003,_自动清单!$G$13,包装物料出入库明细!$B$4:$B$2003,"&gt;="&amp;$AF$1,包装物料出入库明细!$B$4:$B$2003,"&lt;="&amp;$AF$2))</f>
        <v/>
      </c>
      <c r="M25" s="25" t="str">
        <f>IF(OR($B25="",_自动清单!$G$14=""),"",SUMIFS(包装物料出入库明细!$J$4:$J$2003,包装物料出入库明细!$D$4:$D$2003,$B25,包装物料出入库明细!$E$4:$E$2003,_自动清单!$G$14,包装物料出入库明细!$B$4:$B$2003,"&gt;="&amp;$AF$1,包装物料出入库明细!$B$4:$B$2003,"&lt;="&amp;$AF$2))</f>
        <v/>
      </c>
      <c r="N25" s="25" t="str">
        <f>IF(OR($B25="",_自动清单!$G$15=""),"",SUMIFS(包装物料出入库明细!$J$4:$J$2003,包装物料出入库明细!$D$4:$D$2003,$B25,包装物料出入库明细!$E$4:$E$2003,_自动清单!$G$15,包装物料出入库明细!$B$4:$B$2003,"&gt;="&amp;$AF$1,包装物料出入库明细!$B$4:$B$2003,"&lt;="&amp;$AF$2))</f>
        <v/>
      </c>
      <c r="O25" s="25" t="str">
        <f>IF(OR($B25="",_自动清单!$G$16=""),"",SUMIFS(包装物料出入库明细!$J$4:$J$2003,包装物料出入库明细!$D$4:$D$2003,$B25,包装物料出入库明细!$E$4:$E$2003,_自动清单!$G$16,包装物料出入库明细!$B$4:$B$2003,"&gt;="&amp;$AF$1,包装物料出入库明细!$B$4:$B$2003,"&lt;="&amp;$AF$2))</f>
        <v/>
      </c>
      <c r="P25" s="25" t="str">
        <f>IF(OR($B25="",_自动清单!$G$17=""),"",SUMIFS(包装物料出入库明细!$J$4:$J$2003,包装物料出入库明细!$D$4:$D$2003,$B25,包装物料出入库明细!$E$4:$E$2003,_自动清单!$G$17,包装物料出入库明细!$B$4:$B$2003,"&gt;="&amp;$AF$1,包装物料出入库明细!$B$4:$B$2003,"&lt;="&amp;$AF$2))</f>
        <v/>
      </c>
      <c r="Q25" s="25" t="str">
        <f>IF(OR($B25="",_自动清单!$G$18=""),"",SUMIFS(包装物料出入库明细!$J$4:$J$2003,包装物料出入库明细!$D$4:$D$2003,$B25,包装物料出入库明细!$E$4:$E$2003,_自动清单!$G$18,包装物料出入库明细!$B$4:$B$2003,"&gt;="&amp;$AF$1,包装物料出入库明细!$B$4:$B$2003,"&lt;="&amp;$AF$2))</f>
        <v/>
      </c>
      <c r="R25" s="25" t="str">
        <f>IF(OR($B25="",_自动清单!$G$19=""),"",SUMIFS(包装物料出入库明细!$J$4:$J$2003,包装物料出入库明细!$D$4:$D$2003,$B25,包装物料出入库明细!$E$4:$E$2003,_自动清单!$G$19,包装物料出入库明细!$B$4:$B$2003,"&gt;="&amp;$AF$1,包装物料出入库明细!$B$4:$B$2003,"&lt;="&amp;$AF$2))</f>
        <v/>
      </c>
      <c r="S25" s="25" t="str">
        <f>IF(OR($B25="",_自动清单!$G$20=""),"",SUMIFS(包装物料出入库明细!$J$4:$J$2003,包装物料出入库明细!$D$4:$D$2003,$B25,包装物料出入库明细!$E$4:$E$2003,_自动清单!$G$20,包装物料出入库明细!$B$4:$B$2003,"&gt;="&amp;$AF$1,包装物料出入库明细!$B$4:$B$2003,"&lt;="&amp;$AF$2))</f>
        <v/>
      </c>
      <c r="T25" s="25" t="str">
        <f>IF(OR($B25="",_自动清单!$G$21=""),"",SUMIFS(包装物料出入库明细!$J$4:$J$2003,包装物料出入库明细!$D$4:$D$2003,$B25,包装物料出入库明细!$E$4:$E$2003,_自动清单!$G$21,包装物料出入库明细!$B$4:$B$2003,"&gt;="&amp;$AF$1,包装物料出入库明细!$B$4:$B$2003,"&lt;="&amp;$AF$2))</f>
        <v/>
      </c>
      <c r="U25" s="25" t="str">
        <f>IF($B25="","",SUMIFS(包装物料出入库明细!$J$4:$J$2003,包装物料出入库明细!$D$4:$D$2003,$B25,包装物料出入库明细!$B$4:$B$2003,"&gt;="&amp;$AF$1,包装物料出入库明细!$B$4:$B$2003,"&lt;="&amp;$AF$2)-SUM($C25:$T25))</f>
        <v/>
      </c>
      <c r="V25" s="25" t="str">
        <f t="shared" si="1"/>
        <v/>
      </c>
      <c r="W25" s="56" t="str">
        <f>IF($B25="","",SUMIFS(包装物料出入库明细!$K$4:$K$2003,包装物料出入库明细!$D$4:$D$2003,$B25,包装物料出入库明细!$B$4:$B$2003,"&gt;="&amp;$AF$1,包装物料出入库明细!$B$4:$B$2003,"&lt;="&amp;$AF$2))</f>
        <v/>
      </c>
      <c r="X25" s="25" t="str">
        <f t="shared" si="2"/>
        <v/>
      </c>
      <c r="Y25" s="26" t="str">
        <f>IF($B25="","",ROUND(SUMIFS(包装物料出入库明细!$N$4:$N$2003,包装物料出入库明细!$D$4:$D$2003,$B25,包装物料出入库明细!$H$4:$H$2003,"销售出库",包装物料出入库明细!$B$4:$B$2003,"&gt;="&amp;$AF$1,包装物料出入库明细!$B$4:$B$2003,"&lt;="&amp;$AF$2),2))</f>
        <v/>
      </c>
      <c r="Z25" s="26" t="str">
        <f>IF($B25="","",ROUND(SUMIFS(包装物料出入库明细!$N$4:$N$2003,包装物料出入库明细!$D$4:$D$2003,$B25,包装物料出入库明细!$H$4:$H$2003,"销售出库",包装物料出入库明细!$P$4:$P$2003,"已收讫",包装物料出入库明细!$B$4:$B$2003,"&gt;="&amp;$AF$1,包装物料出入库明细!$B$4:$B$2003,"&lt;="&amp;$AF$2),2))</f>
        <v/>
      </c>
      <c r="AA25" s="26" t="str">
        <f t="shared" si="3"/>
        <v/>
      </c>
      <c r="AB25" s="41"/>
    </row>
    <row r="26" spans="1:28">
      <c r="A26" s="24" t="str">
        <f t="shared" si="0"/>
        <v/>
      </c>
      <c r="B26" s="24" t="str">
        <f>IFERROR(INDEX(_自动清单!$O$4:$O$203,ROW()-3),"")</f>
        <v/>
      </c>
      <c r="C26" s="25" t="str">
        <f>IF(OR($B26="",_自动清单!$G$4=""),"",SUMIFS(包装物料出入库明细!$J$4:$J$2003,包装物料出入库明细!$D$4:$D$2003,$B26,包装物料出入库明细!$E$4:$E$2003,_自动清单!$G$4,包装物料出入库明细!$B$4:$B$2003,"&gt;="&amp;$AF$1,包装物料出入库明细!$B$4:$B$2003,"&lt;="&amp;$AF$2))</f>
        <v/>
      </c>
      <c r="D26" s="25" t="str">
        <f>IF(OR($B26="",_自动清单!$G$5=""),"",SUMIFS(包装物料出入库明细!$J$4:$J$2003,包装物料出入库明细!$D$4:$D$2003,$B26,包装物料出入库明细!$E$4:$E$2003,_自动清单!$G$5,包装物料出入库明细!$B$4:$B$2003,"&gt;="&amp;$AF$1,包装物料出入库明细!$B$4:$B$2003,"&lt;="&amp;$AF$2))</f>
        <v/>
      </c>
      <c r="E26" s="25" t="str">
        <f>IF(OR($B26="",_自动清单!$G$6=""),"",SUMIFS(包装物料出入库明细!$J$4:$J$2003,包装物料出入库明细!$D$4:$D$2003,$B26,包装物料出入库明细!$E$4:$E$2003,_自动清单!$G$6,包装物料出入库明细!$B$4:$B$2003,"&gt;="&amp;$AF$1,包装物料出入库明细!$B$4:$B$2003,"&lt;="&amp;$AF$2))</f>
        <v/>
      </c>
      <c r="F26" s="25" t="str">
        <f>IF(OR($B26="",_自动清单!$G$7=""),"",SUMIFS(包装物料出入库明细!$J$4:$J$2003,包装物料出入库明细!$D$4:$D$2003,$B26,包装物料出入库明细!$E$4:$E$2003,_自动清单!$G$7,包装物料出入库明细!$B$4:$B$2003,"&gt;="&amp;$AF$1,包装物料出入库明细!$B$4:$B$2003,"&lt;="&amp;$AF$2))</f>
        <v/>
      </c>
      <c r="G26" s="25" t="str">
        <f>IF(OR($B26="",_自动清单!$G$8=""),"",SUMIFS(包装物料出入库明细!$J$4:$J$2003,包装物料出入库明细!$D$4:$D$2003,$B26,包装物料出入库明细!$E$4:$E$2003,_自动清单!$G$8,包装物料出入库明细!$B$4:$B$2003,"&gt;="&amp;$AF$1,包装物料出入库明细!$B$4:$B$2003,"&lt;="&amp;$AF$2))</f>
        <v/>
      </c>
      <c r="H26" s="25" t="str">
        <f>IF(OR($B26="",_自动清单!$G$9=""),"",SUMIFS(包装物料出入库明细!$J$4:$J$2003,包装物料出入库明细!$D$4:$D$2003,$B26,包装物料出入库明细!$E$4:$E$2003,_自动清单!$G$9,包装物料出入库明细!$B$4:$B$2003,"&gt;="&amp;$AF$1,包装物料出入库明细!$B$4:$B$2003,"&lt;="&amp;$AF$2))</f>
        <v/>
      </c>
      <c r="I26" s="25" t="str">
        <f>IF(OR($B26="",_自动清单!$G$10=""),"",SUMIFS(包装物料出入库明细!$J$4:$J$2003,包装物料出入库明细!$D$4:$D$2003,$B26,包装物料出入库明细!$E$4:$E$2003,_自动清单!$G$10,包装物料出入库明细!$B$4:$B$2003,"&gt;="&amp;$AF$1,包装物料出入库明细!$B$4:$B$2003,"&lt;="&amp;$AF$2))</f>
        <v/>
      </c>
      <c r="J26" s="25" t="str">
        <f>IF(OR($B26="",_自动清单!$G$11=""),"",SUMIFS(包装物料出入库明细!$J$4:$J$2003,包装物料出入库明细!$D$4:$D$2003,$B26,包装物料出入库明细!$E$4:$E$2003,_自动清单!$G$11,包装物料出入库明细!$B$4:$B$2003,"&gt;="&amp;$AF$1,包装物料出入库明细!$B$4:$B$2003,"&lt;="&amp;$AF$2))</f>
        <v/>
      </c>
      <c r="K26" s="25" t="str">
        <f>IF(OR($B26="",_自动清单!$G$12=""),"",SUMIFS(包装物料出入库明细!$J$4:$J$2003,包装物料出入库明细!$D$4:$D$2003,$B26,包装物料出入库明细!$E$4:$E$2003,_自动清单!$G$12,包装物料出入库明细!$B$4:$B$2003,"&gt;="&amp;$AF$1,包装物料出入库明细!$B$4:$B$2003,"&lt;="&amp;$AF$2))</f>
        <v/>
      </c>
      <c r="L26" s="25" t="str">
        <f>IF(OR($B26="",_自动清单!$G$13=""),"",SUMIFS(包装物料出入库明细!$J$4:$J$2003,包装物料出入库明细!$D$4:$D$2003,$B26,包装物料出入库明细!$E$4:$E$2003,_自动清单!$G$13,包装物料出入库明细!$B$4:$B$2003,"&gt;="&amp;$AF$1,包装物料出入库明细!$B$4:$B$2003,"&lt;="&amp;$AF$2))</f>
        <v/>
      </c>
      <c r="M26" s="25" t="str">
        <f>IF(OR($B26="",_自动清单!$G$14=""),"",SUMIFS(包装物料出入库明细!$J$4:$J$2003,包装物料出入库明细!$D$4:$D$2003,$B26,包装物料出入库明细!$E$4:$E$2003,_自动清单!$G$14,包装物料出入库明细!$B$4:$B$2003,"&gt;="&amp;$AF$1,包装物料出入库明细!$B$4:$B$2003,"&lt;="&amp;$AF$2))</f>
        <v/>
      </c>
      <c r="N26" s="25" t="str">
        <f>IF(OR($B26="",_自动清单!$G$15=""),"",SUMIFS(包装物料出入库明细!$J$4:$J$2003,包装物料出入库明细!$D$4:$D$2003,$B26,包装物料出入库明细!$E$4:$E$2003,_自动清单!$G$15,包装物料出入库明细!$B$4:$B$2003,"&gt;="&amp;$AF$1,包装物料出入库明细!$B$4:$B$2003,"&lt;="&amp;$AF$2))</f>
        <v/>
      </c>
      <c r="O26" s="25" t="str">
        <f>IF(OR($B26="",_自动清单!$G$16=""),"",SUMIFS(包装物料出入库明细!$J$4:$J$2003,包装物料出入库明细!$D$4:$D$2003,$B26,包装物料出入库明细!$E$4:$E$2003,_自动清单!$G$16,包装物料出入库明细!$B$4:$B$2003,"&gt;="&amp;$AF$1,包装物料出入库明细!$B$4:$B$2003,"&lt;="&amp;$AF$2))</f>
        <v/>
      </c>
      <c r="P26" s="25" t="str">
        <f>IF(OR($B26="",_自动清单!$G$17=""),"",SUMIFS(包装物料出入库明细!$J$4:$J$2003,包装物料出入库明细!$D$4:$D$2003,$B26,包装物料出入库明细!$E$4:$E$2003,_自动清单!$G$17,包装物料出入库明细!$B$4:$B$2003,"&gt;="&amp;$AF$1,包装物料出入库明细!$B$4:$B$2003,"&lt;="&amp;$AF$2))</f>
        <v/>
      </c>
      <c r="Q26" s="25" t="str">
        <f>IF(OR($B26="",_自动清单!$G$18=""),"",SUMIFS(包装物料出入库明细!$J$4:$J$2003,包装物料出入库明细!$D$4:$D$2003,$B26,包装物料出入库明细!$E$4:$E$2003,_自动清单!$G$18,包装物料出入库明细!$B$4:$B$2003,"&gt;="&amp;$AF$1,包装物料出入库明细!$B$4:$B$2003,"&lt;="&amp;$AF$2))</f>
        <v/>
      </c>
      <c r="R26" s="25" t="str">
        <f>IF(OR($B26="",_自动清单!$G$19=""),"",SUMIFS(包装物料出入库明细!$J$4:$J$2003,包装物料出入库明细!$D$4:$D$2003,$B26,包装物料出入库明细!$E$4:$E$2003,_自动清单!$G$19,包装物料出入库明细!$B$4:$B$2003,"&gt;="&amp;$AF$1,包装物料出入库明细!$B$4:$B$2003,"&lt;="&amp;$AF$2))</f>
        <v/>
      </c>
      <c r="S26" s="25" t="str">
        <f>IF(OR($B26="",_自动清单!$G$20=""),"",SUMIFS(包装物料出入库明细!$J$4:$J$2003,包装物料出入库明细!$D$4:$D$2003,$B26,包装物料出入库明细!$E$4:$E$2003,_自动清单!$G$20,包装物料出入库明细!$B$4:$B$2003,"&gt;="&amp;$AF$1,包装物料出入库明细!$B$4:$B$2003,"&lt;="&amp;$AF$2))</f>
        <v/>
      </c>
      <c r="T26" s="25" t="str">
        <f>IF(OR($B26="",_自动清单!$G$21=""),"",SUMIFS(包装物料出入库明细!$J$4:$J$2003,包装物料出入库明细!$D$4:$D$2003,$B26,包装物料出入库明细!$E$4:$E$2003,_自动清单!$G$21,包装物料出入库明细!$B$4:$B$2003,"&gt;="&amp;$AF$1,包装物料出入库明细!$B$4:$B$2003,"&lt;="&amp;$AF$2))</f>
        <v/>
      </c>
      <c r="U26" s="25" t="str">
        <f>IF($B26="","",SUMIFS(包装物料出入库明细!$J$4:$J$2003,包装物料出入库明细!$D$4:$D$2003,$B26,包装物料出入库明细!$B$4:$B$2003,"&gt;="&amp;$AF$1,包装物料出入库明细!$B$4:$B$2003,"&lt;="&amp;$AF$2)-SUM($C26:$T26))</f>
        <v/>
      </c>
      <c r="V26" s="25" t="str">
        <f t="shared" si="1"/>
        <v/>
      </c>
      <c r="W26" s="56" t="str">
        <f>IF($B26="","",SUMIFS(包装物料出入库明细!$K$4:$K$2003,包装物料出入库明细!$D$4:$D$2003,$B26,包装物料出入库明细!$B$4:$B$2003,"&gt;="&amp;$AF$1,包装物料出入库明细!$B$4:$B$2003,"&lt;="&amp;$AF$2))</f>
        <v/>
      </c>
      <c r="X26" s="25" t="str">
        <f t="shared" si="2"/>
        <v/>
      </c>
      <c r="Y26" s="26" t="str">
        <f>IF($B26="","",ROUND(SUMIFS(包装物料出入库明细!$N$4:$N$2003,包装物料出入库明细!$D$4:$D$2003,$B26,包装物料出入库明细!$H$4:$H$2003,"销售出库",包装物料出入库明细!$B$4:$B$2003,"&gt;="&amp;$AF$1,包装物料出入库明细!$B$4:$B$2003,"&lt;="&amp;$AF$2),2))</f>
        <v/>
      </c>
      <c r="Z26" s="26" t="str">
        <f>IF($B26="","",ROUND(SUMIFS(包装物料出入库明细!$N$4:$N$2003,包装物料出入库明细!$D$4:$D$2003,$B26,包装物料出入库明细!$H$4:$H$2003,"销售出库",包装物料出入库明细!$P$4:$P$2003,"已收讫",包装物料出入库明细!$B$4:$B$2003,"&gt;="&amp;$AF$1,包装物料出入库明细!$B$4:$B$2003,"&lt;="&amp;$AF$2),2))</f>
        <v/>
      </c>
      <c r="AA26" s="26" t="str">
        <f t="shared" si="3"/>
        <v/>
      </c>
      <c r="AB26" s="41"/>
    </row>
    <row r="27" spans="1:28">
      <c r="A27" s="24" t="str">
        <f t="shared" si="0"/>
        <v/>
      </c>
      <c r="B27" s="24" t="str">
        <f>IFERROR(INDEX(_自动清单!$O$4:$O$203,ROW()-3),"")</f>
        <v/>
      </c>
      <c r="C27" s="25" t="str">
        <f>IF(OR($B27="",_自动清单!$G$4=""),"",SUMIFS(包装物料出入库明细!$J$4:$J$2003,包装物料出入库明细!$D$4:$D$2003,$B27,包装物料出入库明细!$E$4:$E$2003,_自动清单!$G$4,包装物料出入库明细!$B$4:$B$2003,"&gt;="&amp;$AF$1,包装物料出入库明细!$B$4:$B$2003,"&lt;="&amp;$AF$2))</f>
        <v/>
      </c>
      <c r="D27" s="25" t="str">
        <f>IF(OR($B27="",_自动清单!$G$5=""),"",SUMIFS(包装物料出入库明细!$J$4:$J$2003,包装物料出入库明细!$D$4:$D$2003,$B27,包装物料出入库明细!$E$4:$E$2003,_自动清单!$G$5,包装物料出入库明细!$B$4:$B$2003,"&gt;="&amp;$AF$1,包装物料出入库明细!$B$4:$B$2003,"&lt;="&amp;$AF$2))</f>
        <v/>
      </c>
      <c r="E27" s="25" t="str">
        <f>IF(OR($B27="",_自动清单!$G$6=""),"",SUMIFS(包装物料出入库明细!$J$4:$J$2003,包装物料出入库明细!$D$4:$D$2003,$B27,包装物料出入库明细!$E$4:$E$2003,_自动清单!$G$6,包装物料出入库明细!$B$4:$B$2003,"&gt;="&amp;$AF$1,包装物料出入库明细!$B$4:$B$2003,"&lt;="&amp;$AF$2))</f>
        <v/>
      </c>
      <c r="F27" s="25" t="str">
        <f>IF(OR($B27="",_自动清单!$G$7=""),"",SUMIFS(包装物料出入库明细!$J$4:$J$2003,包装物料出入库明细!$D$4:$D$2003,$B27,包装物料出入库明细!$E$4:$E$2003,_自动清单!$G$7,包装物料出入库明细!$B$4:$B$2003,"&gt;="&amp;$AF$1,包装物料出入库明细!$B$4:$B$2003,"&lt;="&amp;$AF$2))</f>
        <v/>
      </c>
      <c r="G27" s="25" t="str">
        <f>IF(OR($B27="",_自动清单!$G$8=""),"",SUMIFS(包装物料出入库明细!$J$4:$J$2003,包装物料出入库明细!$D$4:$D$2003,$B27,包装物料出入库明细!$E$4:$E$2003,_自动清单!$G$8,包装物料出入库明细!$B$4:$B$2003,"&gt;="&amp;$AF$1,包装物料出入库明细!$B$4:$B$2003,"&lt;="&amp;$AF$2))</f>
        <v/>
      </c>
      <c r="H27" s="25" t="str">
        <f>IF(OR($B27="",_自动清单!$G$9=""),"",SUMIFS(包装物料出入库明细!$J$4:$J$2003,包装物料出入库明细!$D$4:$D$2003,$B27,包装物料出入库明细!$E$4:$E$2003,_自动清单!$G$9,包装物料出入库明细!$B$4:$B$2003,"&gt;="&amp;$AF$1,包装物料出入库明细!$B$4:$B$2003,"&lt;="&amp;$AF$2))</f>
        <v/>
      </c>
      <c r="I27" s="25" t="str">
        <f>IF(OR($B27="",_自动清单!$G$10=""),"",SUMIFS(包装物料出入库明细!$J$4:$J$2003,包装物料出入库明细!$D$4:$D$2003,$B27,包装物料出入库明细!$E$4:$E$2003,_自动清单!$G$10,包装物料出入库明细!$B$4:$B$2003,"&gt;="&amp;$AF$1,包装物料出入库明细!$B$4:$B$2003,"&lt;="&amp;$AF$2))</f>
        <v/>
      </c>
      <c r="J27" s="25" t="str">
        <f>IF(OR($B27="",_自动清单!$G$11=""),"",SUMIFS(包装物料出入库明细!$J$4:$J$2003,包装物料出入库明细!$D$4:$D$2003,$B27,包装物料出入库明细!$E$4:$E$2003,_自动清单!$G$11,包装物料出入库明细!$B$4:$B$2003,"&gt;="&amp;$AF$1,包装物料出入库明细!$B$4:$B$2003,"&lt;="&amp;$AF$2))</f>
        <v/>
      </c>
      <c r="K27" s="25" t="str">
        <f>IF(OR($B27="",_自动清单!$G$12=""),"",SUMIFS(包装物料出入库明细!$J$4:$J$2003,包装物料出入库明细!$D$4:$D$2003,$B27,包装物料出入库明细!$E$4:$E$2003,_自动清单!$G$12,包装物料出入库明细!$B$4:$B$2003,"&gt;="&amp;$AF$1,包装物料出入库明细!$B$4:$B$2003,"&lt;="&amp;$AF$2))</f>
        <v/>
      </c>
      <c r="L27" s="25" t="str">
        <f>IF(OR($B27="",_自动清单!$G$13=""),"",SUMIFS(包装物料出入库明细!$J$4:$J$2003,包装物料出入库明细!$D$4:$D$2003,$B27,包装物料出入库明细!$E$4:$E$2003,_自动清单!$G$13,包装物料出入库明细!$B$4:$B$2003,"&gt;="&amp;$AF$1,包装物料出入库明细!$B$4:$B$2003,"&lt;="&amp;$AF$2))</f>
        <v/>
      </c>
      <c r="M27" s="25" t="str">
        <f>IF(OR($B27="",_自动清单!$G$14=""),"",SUMIFS(包装物料出入库明细!$J$4:$J$2003,包装物料出入库明细!$D$4:$D$2003,$B27,包装物料出入库明细!$E$4:$E$2003,_自动清单!$G$14,包装物料出入库明细!$B$4:$B$2003,"&gt;="&amp;$AF$1,包装物料出入库明细!$B$4:$B$2003,"&lt;="&amp;$AF$2))</f>
        <v/>
      </c>
      <c r="N27" s="25" t="str">
        <f>IF(OR($B27="",_自动清单!$G$15=""),"",SUMIFS(包装物料出入库明细!$J$4:$J$2003,包装物料出入库明细!$D$4:$D$2003,$B27,包装物料出入库明细!$E$4:$E$2003,_自动清单!$G$15,包装物料出入库明细!$B$4:$B$2003,"&gt;="&amp;$AF$1,包装物料出入库明细!$B$4:$B$2003,"&lt;="&amp;$AF$2))</f>
        <v/>
      </c>
      <c r="O27" s="25" t="str">
        <f>IF(OR($B27="",_自动清单!$G$16=""),"",SUMIFS(包装物料出入库明细!$J$4:$J$2003,包装物料出入库明细!$D$4:$D$2003,$B27,包装物料出入库明细!$E$4:$E$2003,_自动清单!$G$16,包装物料出入库明细!$B$4:$B$2003,"&gt;="&amp;$AF$1,包装物料出入库明细!$B$4:$B$2003,"&lt;="&amp;$AF$2))</f>
        <v/>
      </c>
      <c r="P27" s="25" t="str">
        <f>IF(OR($B27="",_自动清单!$G$17=""),"",SUMIFS(包装物料出入库明细!$J$4:$J$2003,包装物料出入库明细!$D$4:$D$2003,$B27,包装物料出入库明细!$E$4:$E$2003,_自动清单!$G$17,包装物料出入库明细!$B$4:$B$2003,"&gt;="&amp;$AF$1,包装物料出入库明细!$B$4:$B$2003,"&lt;="&amp;$AF$2))</f>
        <v/>
      </c>
      <c r="Q27" s="25" t="str">
        <f>IF(OR($B27="",_自动清单!$G$18=""),"",SUMIFS(包装物料出入库明细!$J$4:$J$2003,包装物料出入库明细!$D$4:$D$2003,$B27,包装物料出入库明细!$E$4:$E$2003,_自动清单!$G$18,包装物料出入库明细!$B$4:$B$2003,"&gt;="&amp;$AF$1,包装物料出入库明细!$B$4:$B$2003,"&lt;="&amp;$AF$2))</f>
        <v/>
      </c>
      <c r="R27" s="25" t="str">
        <f>IF(OR($B27="",_自动清单!$G$19=""),"",SUMIFS(包装物料出入库明细!$J$4:$J$2003,包装物料出入库明细!$D$4:$D$2003,$B27,包装物料出入库明细!$E$4:$E$2003,_自动清单!$G$19,包装物料出入库明细!$B$4:$B$2003,"&gt;="&amp;$AF$1,包装物料出入库明细!$B$4:$B$2003,"&lt;="&amp;$AF$2))</f>
        <v/>
      </c>
      <c r="S27" s="25" t="str">
        <f>IF(OR($B27="",_自动清单!$G$20=""),"",SUMIFS(包装物料出入库明细!$J$4:$J$2003,包装物料出入库明细!$D$4:$D$2003,$B27,包装物料出入库明细!$E$4:$E$2003,_自动清单!$G$20,包装物料出入库明细!$B$4:$B$2003,"&gt;="&amp;$AF$1,包装物料出入库明细!$B$4:$B$2003,"&lt;="&amp;$AF$2))</f>
        <v/>
      </c>
      <c r="T27" s="25" t="str">
        <f>IF(OR($B27="",_自动清单!$G$21=""),"",SUMIFS(包装物料出入库明细!$J$4:$J$2003,包装物料出入库明细!$D$4:$D$2003,$B27,包装物料出入库明细!$E$4:$E$2003,_自动清单!$G$21,包装物料出入库明细!$B$4:$B$2003,"&gt;="&amp;$AF$1,包装物料出入库明细!$B$4:$B$2003,"&lt;="&amp;$AF$2))</f>
        <v/>
      </c>
      <c r="U27" s="25" t="str">
        <f>IF($B27="","",SUMIFS(包装物料出入库明细!$J$4:$J$2003,包装物料出入库明细!$D$4:$D$2003,$B27,包装物料出入库明细!$B$4:$B$2003,"&gt;="&amp;$AF$1,包装物料出入库明细!$B$4:$B$2003,"&lt;="&amp;$AF$2)-SUM($C27:$T27))</f>
        <v/>
      </c>
      <c r="V27" s="25" t="str">
        <f t="shared" si="1"/>
        <v/>
      </c>
      <c r="W27" s="56" t="str">
        <f>IF($B27="","",SUMIFS(包装物料出入库明细!$K$4:$K$2003,包装物料出入库明细!$D$4:$D$2003,$B27,包装物料出入库明细!$B$4:$B$2003,"&gt;="&amp;$AF$1,包装物料出入库明细!$B$4:$B$2003,"&lt;="&amp;$AF$2))</f>
        <v/>
      </c>
      <c r="X27" s="25" t="str">
        <f t="shared" si="2"/>
        <v/>
      </c>
      <c r="Y27" s="26" t="str">
        <f>IF($B27="","",ROUND(SUMIFS(包装物料出入库明细!$N$4:$N$2003,包装物料出入库明细!$D$4:$D$2003,$B27,包装物料出入库明细!$H$4:$H$2003,"销售出库",包装物料出入库明细!$B$4:$B$2003,"&gt;="&amp;$AF$1,包装物料出入库明细!$B$4:$B$2003,"&lt;="&amp;$AF$2),2))</f>
        <v/>
      </c>
      <c r="Z27" s="26" t="str">
        <f>IF($B27="","",ROUND(SUMIFS(包装物料出入库明细!$N$4:$N$2003,包装物料出入库明细!$D$4:$D$2003,$B27,包装物料出入库明细!$H$4:$H$2003,"销售出库",包装物料出入库明细!$P$4:$P$2003,"已收讫",包装物料出入库明细!$B$4:$B$2003,"&gt;="&amp;$AF$1,包装物料出入库明细!$B$4:$B$2003,"&lt;="&amp;$AF$2),2))</f>
        <v/>
      </c>
      <c r="AA27" s="26" t="str">
        <f t="shared" si="3"/>
        <v/>
      </c>
      <c r="AB27" s="41"/>
    </row>
    <row r="28" spans="1:28">
      <c r="A28" s="24" t="str">
        <f t="shared" si="0"/>
        <v/>
      </c>
      <c r="B28" s="24" t="str">
        <f>IFERROR(INDEX(_自动清单!$O$4:$O$203,ROW()-3),"")</f>
        <v/>
      </c>
      <c r="C28" s="25" t="str">
        <f>IF(OR($B28="",_自动清单!$G$4=""),"",SUMIFS(包装物料出入库明细!$J$4:$J$2003,包装物料出入库明细!$D$4:$D$2003,$B28,包装物料出入库明细!$E$4:$E$2003,_自动清单!$G$4,包装物料出入库明细!$B$4:$B$2003,"&gt;="&amp;$AF$1,包装物料出入库明细!$B$4:$B$2003,"&lt;="&amp;$AF$2))</f>
        <v/>
      </c>
      <c r="D28" s="25" t="str">
        <f>IF(OR($B28="",_自动清单!$G$5=""),"",SUMIFS(包装物料出入库明细!$J$4:$J$2003,包装物料出入库明细!$D$4:$D$2003,$B28,包装物料出入库明细!$E$4:$E$2003,_自动清单!$G$5,包装物料出入库明细!$B$4:$B$2003,"&gt;="&amp;$AF$1,包装物料出入库明细!$B$4:$B$2003,"&lt;="&amp;$AF$2))</f>
        <v/>
      </c>
      <c r="E28" s="25" t="str">
        <f>IF(OR($B28="",_自动清单!$G$6=""),"",SUMIFS(包装物料出入库明细!$J$4:$J$2003,包装物料出入库明细!$D$4:$D$2003,$B28,包装物料出入库明细!$E$4:$E$2003,_自动清单!$G$6,包装物料出入库明细!$B$4:$B$2003,"&gt;="&amp;$AF$1,包装物料出入库明细!$B$4:$B$2003,"&lt;="&amp;$AF$2))</f>
        <v/>
      </c>
      <c r="F28" s="25" t="str">
        <f>IF(OR($B28="",_自动清单!$G$7=""),"",SUMIFS(包装物料出入库明细!$J$4:$J$2003,包装物料出入库明细!$D$4:$D$2003,$B28,包装物料出入库明细!$E$4:$E$2003,_自动清单!$G$7,包装物料出入库明细!$B$4:$B$2003,"&gt;="&amp;$AF$1,包装物料出入库明细!$B$4:$B$2003,"&lt;="&amp;$AF$2))</f>
        <v/>
      </c>
      <c r="G28" s="25" t="str">
        <f>IF(OR($B28="",_自动清单!$G$8=""),"",SUMIFS(包装物料出入库明细!$J$4:$J$2003,包装物料出入库明细!$D$4:$D$2003,$B28,包装物料出入库明细!$E$4:$E$2003,_自动清单!$G$8,包装物料出入库明细!$B$4:$B$2003,"&gt;="&amp;$AF$1,包装物料出入库明细!$B$4:$B$2003,"&lt;="&amp;$AF$2))</f>
        <v/>
      </c>
      <c r="H28" s="25" t="str">
        <f>IF(OR($B28="",_自动清单!$G$9=""),"",SUMIFS(包装物料出入库明细!$J$4:$J$2003,包装物料出入库明细!$D$4:$D$2003,$B28,包装物料出入库明细!$E$4:$E$2003,_自动清单!$G$9,包装物料出入库明细!$B$4:$B$2003,"&gt;="&amp;$AF$1,包装物料出入库明细!$B$4:$B$2003,"&lt;="&amp;$AF$2))</f>
        <v/>
      </c>
      <c r="I28" s="25" t="str">
        <f>IF(OR($B28="",_自动清单!$G$10=""),"",SUMIFS(包装物料出入库明细!$J$4:$J$2003,包装物料出入库明细!$D$4:$D$2003,$B28,包装物料出入库明细!$E$4:$E$2003,_自动清单!$G$10,包装物料出入库明细!$B$4:$B$2003,"&gt;="&amp;$AF$1,包装物料出入库明细!$B$4:$B$2003,"&lt;="&amp;$AF$2))</f>
        <v/>
      </c>
      <c r="J28" s="25" t="str">
        <f>IF(OR($B28="",_自动清单!$G$11=""),"",SUMIFS(包装物料出入库明细!$J$4:$J$2003,包装物料出入库明细!$D$4:$D$2003,$B28,包装物料出入库明细!$E$4:$E$2003,_自动清单!$G$11,包装物料出入库明细!$B$4:$B$2003,"&gt;="&amp;$AF$1,包装物料出入库明细!$B$4:$B$2003,"&lt;="&amp;$AF$2))</f>
        <v/>
      </c>
      <c r="K28" s="25" t="str">
        <f>IF(OR($B28="",_自动清单!$G$12=""),"",SUMIFS(包装物料出入库明细!$J$4:$J$2003,包装物料出入库明细!$D$4:$D$2003,$B28,包装物料出入库明细!$E$4:$E$2003,_自动清单!$G$12,包装物料出入库明细!$B$4:$B$2003,"&gt;="&amp;$AF$1,包装物料出入库明细!$B$4:$B$2003,"&lt;="&amp;$AF$2))</f>
        <v/>
      </c>
      <c r="L28" s="25" t="str">
        <f>IF(OR($B28="",_自动清单!$G$13=""),"",SUMIFS(包装物料出入库明细!$J$4:$J$2003,包装物料出入库明细!$D$4:$D$2003,$B28,包装物料出入库明细!$E$4:$E$2003,_自动清单!$G$13,包装物料出入库明细!$B$4:$B$2003,"&gt;="&amp;$AF$1,包装物料出入库明细!$B$4:$B$2003,"&lt;="&amp;$AF$2))</f>
        <v/>
      </c>
      <c r="M28" s="25" t="str">
        <f>IF(OR($B28="",_自动清单!$G$14=""),"",SUMIFS(包装物料出入库明细!$J$4:$J$2003,包装物料出入库明细!$D$4:$D$2003,$B28,包装物料出入库明细!$E$4:$E$2003,_自动清单!$G$14,包装物料出入库明细!$B$4:$B$2003,"&gt;="&amp;$AF$1,包装物料出入库明细!$B$4:$B$2003,"&lt;="&amp;$AF$2))</f>
        <v/>
      </c>
      <c r="N28" s="25" t="str">
        <f>IF(OR($B28="",_自动清单!$G$15=""),"",SUMIFS(包装物料出入库明细!$J$4:$J$2003,包装物料出入库明细!$D$4:$D$2003,$B28,包装物料出入库明细!$E$4:$E$2003,_自动清单!$G$15,包装物料出入库明细!$B$4:$B$2003,"&gt;="&amp;$AF$1,包装物料出入库明细!$B$4:$B$2003,"&lt;="&amp;$AF$2))</f>
        <v/>
      </c>
      <c r="O28" s="25" t="str">
        <f>IF(OR($B28="",_自动清单!$G$16=""),"",SUMIFS(包装物料出入库明细!$J$4:$J$2003,包装物料出入库明细!$D$4:$D$2003,$B28,包装物料出入库明细!$E$4:$E$2003,_自动清单!$G$16,包装物料出入库明细!$B$4:$B$2003,"&gt;="&amp;$AF$1,包装物料出入库明细!$B$4:$B$2003,"&lt;="&amp;$AF$2))</f>
        <v/>
      </c>
      <c r="P28" s="25" t="str">
        <f>IF(OR($B28="",_自动清单!$G$17=""),"",SUMIFS(包装物料出入库明细!$J$4:$J$2003,包装物料出入库明细!$D$4:$D$2003,$B28,包装物料出入库明细!$E$4:$E$2003,_自动清单!$G$17,包装物料出入库明细!$B$4:$B$2003,"&gt;="&amp;$AF$1,包装物料出入库明细!$B$4:$B$2003,"&lt;="&amp;$AF$2))</f>
        <v/>
      </c>
      <c r="Q28" s="25" t="str">
        <f>IF(OR($B28="",_自动清单!$G$18=""),"",SUMIFS(包装物料出入库明细!$J$4:$J$2003,包装物料出入库明细!$D$4:$D$2003,$B28,包装物料出入库明细!$E$4:$E$2003,_自动清单!$G$18,包装物料出入库明细!$B$4:$B$2003,"&gt;="&amp;$AF$1,包装物料出入库明细!$B$4:$B$2003,"&lt;="&amp;$AF$2))</f>
        <v/>
      </c>
      <c r="R28" s="25" t="str">
        <f>IF(OR($B28="",_自动清单!$G$19=""),"",SUMIFS(包装物料出入库明细!$J$4:$J$2003,包装物料出入库明细!$D$4:$D$2003,$B28,包装物料出入库明细!$E$4:$E$2003,_自动清单!$G$19,包装物料出入库明细!$B$4:$B$2003,"&gt;="&amp;$AF$1,包装物料出入库明细!$B$4:$B$2003,"&lt;="&amp;$AF$2))</f>
        <v/>
      </c>
      <c r="S28" s="25" t="str">
        <f>IF(OR($B28="",_自动清单!$G$20=""),"",SUMIFS(包装物料出入库明细!$J$4:$J$2003,包装物料出入库明细!$D$4:$D$2003,$B28,包装物料出入库明细!$E$4:$E$2003,_自动清单!$G$20,包装物料出入库明细!$B$4:$B$2003,"&gt;="&amp;$AF$1,包装物料出入库明细!$B$4:$B$2003,"&lt;="&amp;$AF$2))</f>
        <v/>
      </c>
      <c r="T28" s="25" t="str">
        <f>IF(OR($B28="",_自动清单!$G$21=""),"",SUMIFS(包装物料出入库明细!$J$4:$J$2003,包装物料出入库明细!$D$4:$D$2003,$B28,包装物料出入库明细!$E$4:$E$2003,_自动清单!$G$21,包装物料出入库明细!$B$4:$B$2003,"&gt;="&amp;$AF$1,包装物料出入库明细!$B$4:$B$2003,"&lt;="&amp;$AF$2))</f>
        <v/>
      </c>
      <c r="U28" s="25" t="str">
        <f>IF($B28="","",SUMIFS(包装物料出入库明细!$J$4:$J$2003,包装物料出入库明细!$D$4:$D$2003,$B28,包装物料出入库明细!$B$4:$B$2003,"&gt;="&amp;$AF$1,包装物料出入库明细!$B$4:$B$2003,"&lt;="&amp;$AF$2)-SUM($C28:$T28))</f>
        <v/>
      </c>
      <c r="V28" s="25" t="str">
        <f t="shared" si="1"/>
        <v/>
      </c>
      <c r="W28" s="56" t="str">
        <f>IF($B28="","",SUMIFS(包装物料出入库明细!$K$4:$K$2003,包装物料出入库明细!$D$4:$D$2003,$B28,包装物料出入库明细!$B$4:$B$2003,"&gt;="&amp;$AF$1,包装物料出入库明细!$B$4:$B$2003,"&lt;="&amp;$AF$2))</f>
        <v/>
      </c>
      <c r="X28" s="25" t="str">
        <f t="shared" si="2"/>
        <v/>
      </c>
      <c r="Y28" s="26" t="str">
        <f>IF($B28="","",ROUND(SUMIFS(包装物料出入库明细!$N$4:$N$2003,包装物料出入库明细!$D$4:$D$2003,$B28,包装物料出入库明细!$H$4:$H$2003,"销售出库",包装物料出入库明细!$B$4:$B$2003,"&gt;="&amp;$AF$1,包装物料出入库明细!$B$4:$B$2003,"&lt;="&amp;$AF$2),2))</f>
        <v/>
      </c>
      <c r="Z28" s="26" t="str">
        <f>IF($B28="","",ROUND(SUMIFS(包装物料出入库明细!$N$4:$N$2003,包装物料出入库明细!$D$4:$D$2003,$B28,包装物料出入库明细!$H$4:$H$2003,"销售出库",包装物料出入库明细!$P$4:$P$2003,"已收讫",包装物料出入库明细!$B$4:$B$2003,"&gt;="&amp;$AF$1,包装物料出入库明细!$B$4:$B$2003,"&lt;="&amp;$AF$2),2))</f>
        <v/>
      </c>
      <c r="AA28" s="26" t="str">
        <f t="shared" si="3"/>
        <v/>
      </c>
      <c r="AB28" s="41"/>
    </row>
    <row r="29" spans="1:28">
      <c r="A29" s="24" t="str">
        <f t="shared" si="0"/>
        <v/>
      </c>
      <c r="B29" s="24" t="str">
        <f>IFERROR(INDEX(_自动清单!$O$4:$O$203,ROW()-3),"")</f>
        <v/>
      </c>
      <c r="C29" s="25" t="str">
        <f>IF(OR($B29="",_自动清单!$G$4=""),"",SUMIFS(包装物料出入库明细!$J$4:$J$2003,包装物料出入库明细!$D$4:$D$2003,$B29,包装物料出入库明细!$E$4:$E$2003,_自动清单!$G$4,包装物料出入库明细!$B$4:$B$2003,"&gt;="&amp;$AF$1,包装物料出入库明细!$B$4:$B$2003,"&lt;="&amp;$AF$2))</f>
        <v/>
      </c>
      <c r="D29" s="25" t="str">
        <f>IF(OR($B29="",_自动清单!$G$5=""),"",SUMIFS(包装物料出入库明细!$J$4:$J$2003,包装物料出入库明细!$D$4:$D$2003,$B29,包装物料出入库明细!$E$4:$E$2003,_自动清单!$G$5,包装物料出入库明细!$B$4:$B$2003,"&gt;="&amp;$AF$1,包装物料出入库明细!$B$4:$B$2003,"&lt;="&amp;$AF$2))</f>
        <v/>
      </c>
      <c r="E29" s="25" t="str">
        <f>IF(OR($B29="",_自动清单!$G$6=""),"",SUMIFS(包装物料出入库明细!$J$4:$J$2003,包装物料出入库明细!$D$4:$D$2003,$B29,包装物料出入库明细!$E$4:$E$2003,_自动清单!$G$6,包装物料出入库明细!$B$4:$B$2003,"&gt;="&amp;$AF$1,包装物料出入库明细!$B$4:$B$2003,"&lt;="&amp;$AF$2))</f>
        <v/>
      </c>
      <c r="F29" s="25" t="str">
        <f>IF(OR($B29="",_自动清单!$G$7=""),"",SUMIFS(包装物料出入库明细!$J$4:$J$2003,包装物料出入库明细!$D$4:$D$2003,$B29,包装物料出入库明细!$E$4:$E$2003,_自动清单!$G$7,包装物料出入库明细!$B$4:$B$2003,"&gt;="&amp;$AF$1,包装物料出入库明细!$B$4:$B$2003,"&lt;="&amp;$AF$2))</f>
        <v/>
      </c>
      <c r="G29" s="25" t="str">
        <f>IF(OR($B29="",_自动清单!$G$8=""),"",SUMIFS(包装物料出入库明细!$J$4:$J$2003,包装物料出入库明细!$D$4:$D$2003,$B29,包装物料出入库明细!$E$4:$E$2003,_自动清单!$G$8,包装物料出入库明细!$B$4:$B$2003,"&gt;="&amp;$AF$1,包装物料出入库明细!$B$4:$B$2003,"&lt;="&amp;$AF$2))</f>
        <v/>
      </c>
      <c r="H29" s="25" t="str">
        <f>IF(OR($B29="",_自动清单!$G$9=""),"",SUMIFS(包装物料出入库明细!$J$4:$J$2003,包装物料出入库明细!$D$4:$D$2003,$B29,包装物料出入库明细!$E$4:$E$2003,_自动清单!$G$9,包装物料出入库明细!$B$4:$B$2003,"&gt;="&amp;$AF$1,包装物料出入库明细!$B$4:$B$2003,"&lt;="&amp;$AF$2))</f>
        <v/>
      </c>
      <c r="I29" s="25" t="str">
        <f>IF(OR($B29="",_自动清单!$G$10=""),"",SUMIFS(包装物料出入库明细!$J$4:$J$2003,包装物料出入库明细!$D$4:$D$2003,$B29,包装物料出入库明细!$E$4:$E$2003,_自动清单!$G$10,包装物料出入库明细!$B$4:$B$2003,"&gt;="&amp;$AF$1,包装物料出入库明细!$B$4:$B$2003,"&lt;="&amp;$AF$2))</f>
        <v/>
      </c>
      <c r="J29" s="25" t="str">
        <f>IF(OR($B29="",_自动清单!$G$11=""),"",SUMIFS(包装物料出入库明细!$J$4:$J$2003,包装物料出入库明细!$D$4:$D$2003,$B29,包装物料出入库明细!$E$4:$E$2003,_自动清单!$G$11,包装物料出入库明细!$B$4:$B$2003,"&gt;="&amp;$AF$1,包装物料出入库明细!$B$4:$B$2003,"&lt;="&amp;$AF$2))</f>
        <v/>
      </c>
      <c r="K29" s="25" t="str">
        <f>IF(OR($B29="",_自动清单!$G$12=""),"",SUMIFS(包装物料出入库明细!$J$4:$J$2003,包装物料出入库明细!$D$4:$D$2003,$B29,包装物料出入库明细!$E$4:$E$2003,_自动清单!$G$12,包装物料出入库明细!$B$4:$B$2003,"&gt;="&amp;$AF$1,包装物料出入库明细!$B$4:$B$2003,"&lt;="&amp;$AF$2))</f>
        <v/>
      </c>
      <c r="L29" s="25" t="str">
        <f>IF(OR($B29="",_自动清单!$G$13=""),"",SUMIFS(包装物料出入库明细!$J$4:$J$2003,包装物料出入库明细!$D$4:$D$2003,$B29,包装物料出入库明细!$E$4:$E$2003,_自动清单!$G$13,包装物料出入库明细!$B$4:$B$2003,"&gt;="&amp;$AF$1,包装物料出入库明细!$B$4:$B$2003,"&lt;="&amp;$AF$2))</f>
        <v/>
      </c>
      <c r="M29" s="25" t="str">
        <f>IF(OR($B29="",_自动清单!$G$14=""),"",SUMIFS(包装物料出入库明细!$J$4:$J$2003,包装物料出入库明细!$D$4:$D$2003,$B29,包装物料出入库明细!$E$4:$E$2003,_自动清单!$G$14,包装物料出入库明细!$B$4:$B$2003,"&gt;="&amp;$AF$1,包装物料出入库明细!$B$4:$B$2003,"&lt;="&amp;$AF$2))</f>
        <v/>
      </c>
      <c r="N29" s="25" t="str">
        <f>IF(OR($B29="",_自动清单!$G$15=""),"",SUMIFS(包装物料出入库明细!$J$4:$J$2003,包装物料出入库明细!$D$4:$D$2003,$B29,包装物料出入库明细!$E$4:$E$2003,_自动清单!$G$15,包装物料出入库明细!$B$4:$B$2003,"&gt;="&amp;$AF$1,包装物料出入库明细!$B$4:$B$2003,"&lt;="&amp;$AF$2))</f>
        <v/>
      </c>
      <c r="O29" s="25" t="str">
        <f>IF(OR($B29="",_自动清单!$G$16=""),"",SUMIFS(包装物料出入库明细!$J$4:$J$2003,包装物料出入库明细!$D$4:$D$2003,$B29,包装物料出入库明细!$E$4:$E$2003,_自动清单!$G$16,包装物料出入库明细!$B$4:$B$2003,"&gt;="&amp;$AF$1,包装物料出入库明细!$B$4:$B$2003,"&lt;="&amp;$AF$2))</f>
        <v/>
      </c>
      <c r="P29" s="25" t="str">
        <f>IF(OR($B29="",_自动清单!$G$17=""),"",SUMIFS(包装物料出入库明细!$J$4:$J$2003,包装物料出入库明细!$D$4:$D$2003,$B29,包装物料出入库明细!$E$4:$E$2003,_自动清单!$G$17,包装物料出入库明细!$B$4:$B$2003,"&gt;="&amp;$AF$1,包装物料出入库明细!$B$4:$B$2003,"&lt;="&amp;$AF$2))</f>
        <v/>
      </c>
      <c r="Q29" s="25" t="str">
        <f>IF(OR($B29="",_自动清单!$G$18=""),"",SUMIFS(包装物料出入库明细!$J$4:$J$2003,包装物料出入库明细!$D$4:$D$2003,$B29,包装物料出入库明细!$E$4:$E$2003,_自动清单!$G$18,包装物料出入库明细!$B$4:$B$2003,"&gt;="&amp;$AF$1,包装物料出入库明细!$B$4:$B$2003,"&lt;="&amp;$AF$2))</f>
        <v/>
      </c>
      <c r="R29" s="25" t="str">
        <f>IF(OR($B29="",_自动清单!$G$19=""),"",SUMIFS(包装物料出入库明细!$J$4:$J$2003,包装物料出入库明细!$D$4:$D$2003,$B29,包装物料出入库明细!$E$4:$E$2003,_自动清单!$G$19,包装物料出入库明细!$B$4:$B$2003,"&gt;="&amp;$AF$1,包装物料出入库明细!$B$4:$B$2003,"&lt;="&amp;$AF$2))</f>
        <v/>
      </c>
      <c r="S29" s="25" t="str">
        <f>IF(OR($B29="",_自动清单!$G$20=""),"",SUMIFS(包装物料出入库明细!$J$4:$J$2003,包装物料出入库明细!$D$4:$D$2003,$B29,包装物料出入库明细!$E$4:$E$2003,_自动清单!$G$20,包装物料出入库明细!$B$4:$B$2003,"&gt;="&amp;$AF$1,包装物料出入库明细!$B$4:$B$2003,"&lt;="&amp;$AF$2))</f>
        <v/>
      </c>
      <c r="T29" s="25" t="str">
        <f>IF(OR($B29="",_自动清单!$G$21=""),"",SUMIFS(包装物料出入库明细!$J$4:$J$2003,包装物料出入库明细!$D$4:$D$2003,$B29,包装物料出入库明细!$E$4:$E$2003,_自动清单!$G$21,包装物料出入库明细!$B$4:$B$2003,"&gt;="&amp;$AF$1,包装物料出入库明细!$B$4:$B$2003,"&lt;="&amp;$AF$2))</f>
        <v/>
      </c>
      <c r="U29" s="25" t="str">
        <f>IF($B29="","",SUMIFS(包装物料出入库明细!$J$4:$J$2003,包装物料出入库明细!$D$4:$D$2003,$B29,包装物料出入库明细!$B$4:$B$2003,"&gt;="&amp;$AF$1,包装物料出入库明细!$B$4:$B$2003,"&lt;="&amp;$AF$2)-SUM($C29:$T29))</f>
        <v/>
      </c>
      <c r="V29" s="25" t="str">
        <f t="shared" si="1"/>
        <v/>
      </c>
      <c r="W29" s="56" t="str">
        <f>IF($B29="","",SUMIFS(包装物料出入库明细!$K$4:$K$2003,包装物料出入库明细!$D$4:$D$2003,$B29,包装物料出入库明细!$B$4:$B$2003,"&gt;="&amp;$AF$1,包装物料出入库明细!$B$4:$B$2003,"&lt;="&amp;$AF$2))</f>
        <v/>
      </c>
      <c r="X29" s="25" t="str">
        <f t="shared" si="2"/>
        <v/>
      </c>
      <c r="Y29" s="26" t="str">
        <f>IF($B29="","",ROUND(SUMIFS(包装物料出入库明细!$N$4:$N$2003,包装物料出入库明细!$D$4:$D$2003,$B29,包装物料出入库明细!$H$4:$H$2003,"销售出库",包装物料出入库明细!$B$4:$B$2003,"&gt;="&amp;$AF$1,包装物料出入库明细!$B$4:$B$2003,"&lt;="&amp;$AF$2),2))</f>
        <v/>
      </c>
      <c r="Z29" s="26" t="str">
        <f>IF($B29="","",ROUND(SUMIFS(包装物料出入库明细!$N$4:$N$2003,包装物料出入库明细!$D$4:$D$2003,$B29,包装物料出入库明细!$H$4:$H$2003,"销售出库",包装物料出入库明细!$P$4:$P$2003,"已收讫",包装物料出入库明细!$B$4:$B$2003,"&gt;="&amp;$AF$1,包装物料出入库明细!$B$4:$B$2003,"&lt;="&amp;$AF$2),2))</f>
        <v/>
      </c>
      <c r="AA29" s="26" t="str">
        <f t="shared" si="3"/>
        <v/>
      </c>
      <c r="AB29" s="41"/>
    </row>
    <row r="30" spans="1:28">
      <c r="A30" s="24" t="str">
        <f t="shared" si="0"/>
        <v/>
      </c>
      <c r="B30" s="24" t="str">
        <f>IFERROR(INDEX(_自动清单!$O$4:$O$203,ROW()-3),"")</f>
        <v/>
      </c>
      <c r="C30" s="25" t="str">
        <f>IF(OR($B30="",_自动清单!$G$4=""),"",SUMIFS(包装物料出入库明细!$J$4:$J$2003,包装物料出入库明细!$D$4:$D$2003,$B30,包装物料出入库明细!$E$4:$E$2003,_自动清单!$G$4,包装物料出入库明细!$B$4:$B$2003,"&gt;="&amp;$AF$1,包装物料出入库明细!$B$4:$B$2003,"&lt;="&amp;$AF$2))</f>
        <v/>
      </c>
      <c r="D30" s="25" t="str">
        <f>IF(OR($B30="",_自动清单!$G$5=""),"",SUMIFS(包装物料出入库明细!$J$4:$J$2003,包装物料出入库明细!$D$4:$D$2003,$B30,包装物料出入库明细!$E$4:$E$2003,_自动清单!$G$5,包装物料出入库明细!$B$4:$B$2003,"&gt;="&amp;$AF$1,包装物料出入库明细!$B$4:$B$2003,"&lt;="&amp;$AF$2))</f>
        <v/>
      </c>
      <c r="E30" s="25" t="str">
        <f>IF(OR($B30="",_自动清单!$G$6=""),"",SUMIFS(包装物料出入库明细!$J$4:$J$2003,包装物料出入库明细!$D$4:$D$2003,$B30,包装物料出入库明细!$E$4:$E$2003,_自动清单!$G$6,包装物料出入库明细!$B$4:$B$2003,"&gt;="&amp;$AF$1,包装物料出入库明细!$B$4:$B$2003,"&lt;="&amp;$AF$2))</f>
        <v/>
      </c>
      <c r="F30" s="25" t="str">
        <f>IF(OR($B30="",_自动清单!$G$7=""),"",SUMIFS(包装物料出入库明细!$J$4:$J$2003,包装物料出入库明细!$D$4:$D$2003,$B30,包装物料出入库明细!$E$4:$E$2003,_自动清单!$G$7,包装物料出入库明细!$B$4:$B$2003,"&gt;="&amp;$AF$1,包装物料出入库明细!$B$4:$B$2003,"&lt;="&amp;$AF$2))</f>
        <v/>
      </c>
      <c r="G30" s="25" t="str">
        <f>IF(OR($B30="",_自动清单!$G$8=""),"",SUMIFS(包装物料出入库明细!$J$4:$J$2003,包装物料出入库明细!$D$4:$D$2003,$B30,包装物料出入库明细!$E$4:$E$2003,_自动清单!$G$8,包装物料出入库明细!$B$4:$B$2003,"&gt;="&amp;$AF$1,包装物料出入库明细!$B$4:$B$2003,"&lt;="&amp;$AF$2))</f>
        <v/>
      </c>
      <c r="H30" s="25" t="str">
        <f>IF(OR($B30="",_自动清单!$G$9=""),"",SUMIFS(包装物料出入库明细!$J$4:$J$2003,包装物料出入库明细!$D$4:$D$2003,$B30,包装物料出入库明细!$E$4:$E$2003,_自动清单!$G$9,包装物料出入库明细!$B$4:$B$2003,"&gt;="&amp;$AF$1,包装物料出入库明细!$B$4:$B$2003,"&lt;="&amp;$AF$2))</f>
        <v/>
      </c>
      <c r="I30" s="25" t="str">
        <f>IF(OR($B30="",_自动清单!$G$10=""),"",SUMIFS(包装物料出入库明细!$J$4:$J$2003,包装物料出入库明细!$D$4:$D$2003,$B30,包装物料出入库明细!$E$4:$E$2003,_自动清单!$G$10,包装物料出入库明细!$B$4:$B$2003,"&gt;="&amp;$AF$1,包装物料出入库明细!$B$4:$B$2003,"&lt;="&amp;$AF$2))</f>
        <v/>
      </c>
      <c r="J30" s="25" t="str">
        <f>IF(OR($B30="",_自动清单!$G$11=""),"",SUMIFS(包装物料出入库明细!$J$4:$J$2003,包装物料出入库明细!$D$4:$D$2003,$B30,包装物料出入库明细!$E$4:$E$2003,_自动清单!$G$11,包装物料出入库明细!$B$4:$B$2003,"&gt;="&amp;$AF$1,包装物料出入库明细!$B$4:$B$2003,"&lt;="&amp;$AF$2))</f>
        <v/>
      </c>
      <c r="K30" s="25" t="str">
        <f>IF(OR($B30="",_自动清单!$G$12=""),"",SUMIFS(包装物料出入库明细!$J$4:$J$2003,包装物料出入库明细!$D$4:$D$2003,$B30,包装物料出入库明细!$E$4:$E$2003,_自动清单!$G$12,包装物料出入库明细!$B$4:$B$2003,"&gt;="&amp;$AF$1,包装物料出入库明细!$B$4:$B$2003,"&lt;="&amp;$AF$2))</f>
        <v/>
      </c>
      <c r="L30" s="25" t="str">
        <f>IF(OR($B30="",_自动清单!$G$13=""),"",SUMIFS(包装物料出入库明细!$J$4:$J$2003,包装物料出入库明细!$D$4:$D$2003,$B30,包装物料出入库明细!$E$4:$E$2003,_自动清单!$G$13,包装物料出入库明细!$B$4:$B$2003,"&gt;="&amp;$AF$1,包装物料出入库明细!$B$4:$B$2003,"&lt;="&amp;$AF$2))</f>
        <v/>
      </c>
      <c r="M30" s="25" t="str">
        <f>IF(OR($B30="",_自动清单!$G$14=""),"",SUMIFS(包装物料出入库明细!$J$4:$J$2003,包装物料出入库明细!$D$4:$D$2003,$B30,包装物料出入库明细!$E$4:$E$2003,_自动清单!$G$14,包装物料出入库明细!$B$4:$B$2003,"&gt;="&amp;$AF$1,包装物料出入库明细!$B$4:$B$2003,"&lt;="&amp;$AF$2))</f>
        <v/>
      </c>
      <c r="N30" s="25" t="str">
        <f>IF(OR($B30="",_自动清单!$G$15=""),"",SUMIFS(包装物料出入库明细!$J$4:$J$2003,包装物料出入库明细!$D$4:$D$2003,$B30,包装物料出入库明细!$E$4:$E$2003,_自动清单!$G$15,包装物料出入库明细!$B$4:$B$2003,"&gt;="&amp;$AF$1,包装物料出入库明细!$B$4:$B$2003,"&lt;="&amp;$AF$2))</f>
        <v/>
      </c>
      <c r="O30" s="25" t="str">
        <f>IF(OR($B30="",_自动清单!$G$16=""),"",SUMIFS(包装物料出入库明细!$J$4:$J$2003,包装物料出入库明细!$D$4:$D$2003,$B30,包装物料出入库明细!$E$4:$E$2003,_自动清单!$G$16,包装物料出入库明细!$B$4:$B$2003,"&gt;="&amp;$AF$1,包装物料出入库明细!$B$4:$B$2003,"&lt;="&amp;$AF$2))</f>
        <v/>
      </c>
      <c r="P30" s="25" t="str">
        <f>IF(OR($B30="",_自动清单!$G$17=""),"",SUMIFS(包装物料出入库明细!$J$4:$J$2003,包装物料出入库明细!$D$4:$D$2003,$B30,包装物料出入库明细!$E$4:$E$2003,_自动清单!$G$17,包装物料出入库明细!$B$4:$B$2003,"&gt;="&amp;$AF$1,包装物料出入库明细!$B$4:$B$2003,"&lt;="&amp;$AF$2))</f>
        <v/>
      </c>
      <c r="Q30" s="25" t="str">
        <f>IF(OR($B30="",_自动清单!$G$18=""),"",SUMIFS(包装物料出入库明细!$J$4:$J$2003,包装物料出入库明细!$D$4:$D$2003,$B30,包装物料出入库明细!$E$4:$E$2003,_自动清单!$G$18,包装物料出入库明细!$B$4:$B$2003,"&gt;="&amp;$AF$1,包装物料出入库明细!$B$4:$B$2003,"&lt;="&amp;$AF$2))</f>
        <v/>
      </c>
      <c r="R30" s="25" t="str">
        <f>IF(OR($B30="",_自动清单!$G$19=""),"",SUMIFS(包装物料出入库明细!$J$4:$J$2003,包装物料出入库明细!$D$4:$D$2003,$B30,包装物料出入库明细!$E$4:$E$2003,_自动清单!$G$19,包装物料出入库明细!$B$4:$B$2003,"&gt;="&amp;$AF$1,包装物料出入库明细!$B$4:$B$2003,"&lt;="&amp;$AF$2))</f>
        <v/>
      </c>
      <c r="S30" s="25" t="str">
        <f>IF(OR($B30="",_自动清单!$G$20=""),"",SUMIFS(包装物料出入库明细!$J$4:$J$2003,包装物料出入库明细!$D$4:$D$2003,$B30,包装物料出入库明细!$E$4:$E$2003,_自动清单!$G$20,包装物料出入库明细!$B$4:$B$2003,"&gt;="&amp;$AF$1,包装物料出入库明细!$B$4:$B$2003,"&lt;="&amp;$AF$2))</f>
        <v/>
      </c>
      <c r="T30" s="25" t="str">
        <f>IF(OR($B30="",_自动清单!$G$21=""),"",SUMIFS(包装物料出入库明细!$J$4:$J$2003,包装物料出入库明细!$D$4:$D$2003,$B30,包装物料出入库明细!$E$4:$E$2003,_自动清单!$G$21,包装物料出入库明细!$B$4:$B$2003,"&gt;="&amp;$AF$1,包装物料出入库明细!$B$4:$B$2003,"&lt;="&amp;$AF$2))</f>
        <v/>
      </c>
      <c r="U30" s="25" t="str">
        <f>IF($B30="","",SUMIFS(包装物料出入库明细!$J$4:$J$2003,包装物料出入库明细!$D$4:$D$2003,$B30,包装物料出入库明细!$B$4:$B$2003,"&gt;="&amp;$AF$1,包装物料出入库明细!$B$4:$B$2003,"&lt;="&amp;$AF$2)-SUM($C30:$T30))</f>
        <v/>
      </c>
      <c r="V30" s="25" t="str">
        <f t="shared" si="1"/>
        <v/>
      </c>
      <c r="W30" s="56" t="str">
        <f>IF($B30="","",SUMIFS(包装物料出入库明细!$K$4:$K$2003,包装物料出入库明细!$D$4:$D$2003,$B30,包装物料出入库明细!$B$4:$B$2003,"&gt;="&amp;$AF$1,包装物料出入库明细!$B$4:$B$2003,"&lt;="&amp;$AF$2))</f>
        <v/>
      </c>
      <c r="X30" s="25" t="str">
        <f t="shared" si="2"/>
        <v/>
      </c>
      <c r="Y30" s="26" t="str">
        <f>IF($B30="","",ROUND(SUMIFS(包装物料出入库明细!$N$4:$N$2003,包装物料出入库明细!$D$4:$D$2003,$B30,包装物料出入库明细!$H$4:$H$2003,"销售出库",包装物料出入库明细!$B$4:$B$2003,"&gt;="&amp;$AF$1,包装物料出入库明细!$B$4:$B$2003,"&lt;="&amp;$AF$2),2))</f>
        <v/>
      </c>
      <c r="Z30" s="26" t="str">
        <f>IF($B30="","",ROUND(SUMIFS(包装物料出入库明细!$N$4:$N$2003,包装物料出入库明细!$D$4:$D$2003,$B30,包装物料出入库明细!$H$4:$H$2003,"销售出库",包装物料出入库明细!$P$4:$P$2003,"已收讫",包装物料出入库明细!$B$4:$B$2003,"&gt;="&amp;$AF$1,包装物料出入库明细!$B$4:$B$2003,"&lt;="&amp;$AF$2),2))</f>
        <v/>
      </c>
      <c r="AA30" s="26" t="str">
        <f t="shared" si="3"/>
        <v/>
      </c>
      <c r="AB30" s="41"/>
    </row>
    <row r="31" spans="1:28">
      <c r="A31" s="24" t="str">
        <f t="shared" si="0"/>
        <v/>
      </c>
      <c r="B31" s="24" t="str">
        <f>IFERROR(INDEX(_自动清单!$O$4:$O$203,ROW()-3),"")</f>
        <v/>
      </c>
      <c r="C31" s="25" t="str">
        <f>IF(OR($B31="",_自动清单!$G$4=""),"",SUMIFS(包装物料出入库明细!$J$4:$J$2003,包装物料出入库明细!$D$4:$D$2003,$B31,包装物料出入库明细!$E$4:$E$2003,_自动清单!$G$4,包装物料出入库明细!$B$4:$B$2003,"&gt;="&amp;$AF$1,包装物料出入库明细!$B$4:$B$2003,"&lt;="&amp;$AF$2))</f>
        <v/>
      </c>
      <c r="D31" s="25" t="str">
        <f>IF(OR($B31="",_自动清单!$G$5=""),"",SUMIFS(包装物料出入库明细!$J$4:$J$2003,包装物料出入库明细!$D$4:$D$2003,$B31,包装物料出入库明细!$E$4:$E$2003,_自动清单!$G$5,包装物料出入库明细!$B$4:$B$2003,"&gt;="&amp;$AF$1,包装物料出入库明细!$B$4:$B$2003,"&lt;="&amp;$AF$2))</f>
        <v/>
      </c>
      <c r="E31" s="25" t="str">
        <f>IF(OR($B31="",_自动清单!$G$6=""),"",SUMIFS(包装物料出入库明细!$J$4:$J$2003,包装物料出入库明细!$D$4:$D$2003,$B31,包装物料出入库明细!$E$4:$E$2003,_自动清单!$G$6,包装物料出入库明细!$B$4:$B$2003,"&gt;="&amp;$AF$1,包装物料出入库明细!$B$4:$B$2003,"&lt;="&amp;$AF$2))</f>
        <v/>
      </c>
      <c r="F31" s="25" t="str">
        <f>IF(OR($B31="",_自动清单!$G$7=""),"",SUMIFS(包装物料出入库明细!$J$4:$J$2003,包装物料出入库明细!$D$4:$D$2003,$B31,包装物料出入库明细!$E$4:$E$2003,_自动清单!$G$7,包装物料出入库明细!$B$4:$B$2003,"&gt;="&amp;$AF$1,包装物料出入库明细!$B$4:$B$2003,"&lt;="&amp;$AF$2))</f>
        <v/>
      </c>
      <c r="G31" s="25" t="str">
        <f>IF(OR($B31="",_自动清单!$G$8=""),"",SUMIFS(包装物料出入库明细!$J$4:$J$2003,包装物料出入库明细!$D$4:$D$2003,$B31,包装物料出入库明细!$E$4:$E$2003,_自动清单!$G$8,包装物料出入库明细!$B$4:$B$2003,"&gt;="&amp;$AF$1,包装物料出入库明细!$B$4:$B$2003,"&lt;="&amp;$AF$2))</f>
        <v/>
      </c>
      <c r="H31" s="25" t="str">
        <f>IF(OR($B31="",_自动清单!$G$9=""),"",SUMIFS(包装物料出入库明细!$J$4:$J$2003,包装物料出入库明细!$D$4:$D$2003,$B31,包装物料出入库明细!$E$4:$E$2003,_自动清单!$G$9,包装物料出入库明细!$B$4:$B$2003,"&gt;="&amp;$AF$1,包装物料出入库明细!$B$4:$B$2003,"&lt;="&amp;$AF$2))</f>
        <v/>
      </c>
      <c r="I31" s="25" t="str">
        <f>IF(OR($B31="",_自动清单!$G$10=""),"",SUMIFS(包装物料出入库明细!$J$4:$J$2003,包装物料出入库明细!$D$4:$D$2003,$B31,包装物料出入库明细!$E$4:$E$2003,_自动清单!$G$10,包装物料出入库明细!$B$4:$B$2003,"&gt;="&amp;$AF$1,包装物料出入库明细!$B$4:$B$2003,"&lt;="&amp;$AF$2))</f>
        <v/>
      </c>
      <c r="J31" s="25" t="str">
        <f>IF(OR($B31="",_自动清单!$G$11=""),"",SUMIFS(包装物料出入库明细!$J$4:$J$2003,包装物料出入库明细!$D$4:$D$2003,$B31,包装物料出入库明细!$E$4:$E$2003,_自动清单!$G$11,包装物料出入库明细!$B$4:$B$2003,"&gt;="&amp;$AF$1,包装物料出入库明细!$B$4:$B$2003,"&lt;="&amp;$AF$2))</f>
        <v/>
      </c>
      <c r="K31" s="25" t="str">
        <f>IF(OR($B31="",_自动清单!$G$12=""),"",SUMIFS(包装物料出入库明细!$J$4:$J$2003,包装物料出入库明细!$D$4:$D$2003,$B31,包装物料出入库明细!$E$4:$E$2003,_自动清单!$G$12,包装物料出入库明细!$B$4:$B$2003,"&gt;="&amp;$AF$1,包装物料出入库明细!$B$4:$B$2003,"&lt;="&amp;$AF$2))</f>
        <v/>
      </c>
      <c r="L31" s="25" t="str">
        <f>IF(OR($B31="",_自动清单!$G$13=""),"",SUMIFS(包装物料出入库明细!$J$4:$J$2003,包装物料出入库明细!$D$4:$D$2003,$B31,包装物料出入库明细!$E$4:$E$2003,_自动清单!$G$13,包装物料出入库明细!$B$4:$B$2003,"&gt;="&amp;$AF$1,包装物料出入库明细!$B$4:$B$2003,"&lt;="&amp;$AF$2))</f>
        <v/>
      </c>
      <c r="M31" s="25" t="str">
        <f>IF(OR($B31="",_自动清单!$G$14=""),"",SUMIFS(包装物料出入库明细!$J$4:$J$2003,包装物料出入库明细!$D$4:$D$2003,$B31,包装物料出入库明细!$E$4:$E$2003,_自动清单!$G$14,包装物料出入库明细!$B$4:$B$2003,"&gt;="&amp;$AF$1,包装物料出入库明细!$B$4:$B$2003,"&lt;="&amp;$AF$2))</f>
        <v/>
      </c>
      <c r="N31" s="25" t="str">
        <f>IF(OR($B31="",_自动清单!$G$15=""),"",SUMIFS(包装物料出入库明细!$J$4:$J$2003,包装物料出入库明细!$D$4:$D$2003,$B31,包装物料出入库明细!$E$4:$E$2003,_自动清单!$G$15,包装物料出入库明细!$B$4:$B$2003,"&gt;="&amp;$AF$1,包装物料出入库明细!$B$4:$B$2003,"&lt;="&amp;$AF$2))</f>
        <v/>
      </c>
      <c r="O31" s="25" t="str">
        <f>IF(OR($B31="",_自动清单!$G$16=""),"",SUMIFS(包装物料出入库明细!$J$4:$J$2003,包装物料出入库明细!$D$4:$D$2003,$B31,包装物料出入库明细!$E$4:$E$2003,_自动清单!$G$16,包装物料出入库明细!$B$4:$B$2003,"&gt;="&amp;$AF$1,包装物料出入库明细!$B$4:$B$2003,"&lt;="&amp;$AF$2))</f>
        <v/>
      </c>
      <c r="P31" s="25" t="str">
        <f>IF(OR($B31="",_自动清单!$G$17=""),"",SUMIFS(包装物料出入库明细!$J$4:$J$2003,包装物料出入库明细!$D$4:$D$2003,$B31,包装物料出入库明细!$E$4:$E$2003,_自动清单!$G$17,包装物料出入库明细!$B$4:$B$2003,"&gt;="&amp;$AF$1,包装物料出入库明细!$B$4:$B$2003,"&lt;="&amp;$AF$2))</f>
        <v/>
      </c>
      <c r="Q31" s="25" t="str">
        <f>IF(OR($B31="",_自动清单!$G$18=""),"",SUMIFS(包装物料出入库明细!$J$4:$J$2003,包装物料出入库明细!$D$4:$D$2003,$B31,包装物料出入库明细!$E$4:$E$2003,_自动清单!$G$18,包装物料出入库明细!$B$4:$B$2003,"&gt;="&amp;$AF$1,包装物料出入库明细!$B$4:$B$2003,"&lt;="&amp;$AF$2))</f>
        <v/>
      </c>
      <c r="R31" s="25" t="str">
        <f>IF(OR($B31="",_自动清单!$G$19=""),"",SUMIFS(包装物料出入库明细!$J$4:$J$2003,包装物料出入库明细!$D$4:$D$2003,$B31,包装物料出入库明细!$E$4:$E$2003,_自动清单!$G$19,包装物料出入库明细!$B$4:$B$2003,"&gt;="&amp;$AF$1,包装物料出入库明细!$B$4:$B$2003,"&lt;="&amp;$AF$2))</f>
        <v/>
      </c>
      <c r="S31" s="25" t="str">
        <f>IF(OR($B31="",_自动清单!$G$20=""),"",SUMIFS(包装物料出入库明细!$J$4:$J$2003,包装物料出入库明细!$D$4:$D$2003,$B31,包装物料出入库明细!$E$4:$E$2003,_自动清单!$G$20,包装物料出入库明细!$B$4:$B$2003,"&gt;="&amp;$AF$1,包装物料出入库明细!$B$4:$B$2003,"&lt;="&amp;$AF$2))</f>
        <v/>
      </c>
      <c r="T31" s="25" t="str">
        <f>IF(OR($B31="",_自动清单!$G$21=""),"",SUMIFS(包装物料出入库明细!$J$4:$J$2003,包装物料出入库明细!$D$4:$D$2003,$B31,包装物料出入库明细!$E$4:$E$2003,_自动清单!$G$21,包装物料出入库明细!$B$4:$B$2003,"&gt;="&amp;$AF$1,包装物料出入库明细!$B$4:$B$2003,"&lt;="&amp;$AF$2))</f>
        <v/>
      </c>
      <c r="U31" s="25" t="str">
        <f>IF($B31="","",SUMIFS(包装物料出入库明细!$J$4:$J$2003,包装物料出入库明细!$D$4:$D$2003,$B31,包装物料出入库明细!$B$4:$B$2003,"&gt;="&amp;$AF$1,包装物料出入库明细!$B$4:$B$2003,"&lt;="&amp;$AF$2)-SUM($C31:$T31))</f>
        <v/>
      </c>
      <c r="V31" s="25" t="str">
        <f t="shared" si="1"/>
        <v/>
      </c>
      <c r="W31" s="56" t="str">
        <f>IF($B31="","",SUMIFS(包装物料出入库明细!$K$4:$K$2003,包装物料出入库明细!$D$4:$D$2003,$B31,包装物料出入库明细!$B$4:$B$2003,"&gt;="&amp;$AF$1,包装物料出入库明细!$B$4:$B$2003,"&lt;="&amp;$AF$2))</f>
        <v/>
      </c>
      <c r="X31" s="25" t="str">
        <f t="shared" si="2"/>
        <v/>
      </c>
      <c r="Y31" s="26" t="str">
        <f>IF($B31="","",ROUND(SUMIFS(包装物料出入库明细!$N$4:$N$2003,包装物料出入库明细!$D$4:$D$2003,$B31,包装物料出入库明细!$H$4:$H$2003,"销售出库",包装物料出入库明细!$B$4:$B$2003,"&gt;="&amp;$AF$1,包装物料出入库明细!$B$4:$B$2003,"&lt;="&amp;$AF$2),2))</f>
        <v/>
      </c>
      <c r="Z31" s="26" t="str">
        <f>IF($B31="","",ROUND(SUMIFS(包装物料出入库明细!$N$4:$N$2003,包装物料出入库明细!$D$4:$D$2003,$B31,包装物料出入库明细!$H$4:$H$2003,"销售出库",包装物料出入库明细!$P$4:$P$2003,"已收讫",包装物料出入库明细!$B$4:$B$2003,"&gt;="&amp;$AF$1,包装物料出入库明细!$B$4:$B$2003,"&lt;="&amp;$AF$2),2))</f>
        <v/>
      </c>
      <c r="AA31" s="26" t="str">
        <f t="shared" si="3"/>
        <v/>
      </c>
      <c r="AB31" s="41"/>
    </row>
    <row r="32" spans="1:28">
      <c r="A32" s="24" t="str">
        <f t="shared" si="0"/>
        <v/>
      </c>
      <c r="B32" s="24" t="str">
        <f>IFERROR(INDEX(_自动清单!$O$4:$O$203,ROW()-3),"")</f>
        <v/>
      </c>
      <c r="C32" s="25" t="str">
        <f>IF(OR($B32="",_自动清单!$G$4=""),"",SUMIFS(包装物料出入库明细!$J$4:$J$2003,包装物料出入库明细!$D$4:$D$2003,$B32,包装物料出入库明细!$E$4:$E$2003,_自动清单!$G$4,包装物料出入库明细!$B$4:$B$2003,"&gt;="&amp;$AF$1,包装物料出入库明细!$B$4:$B$2003,"&lt;="&amp;$AF$2))</f>
        <v/>
      </c>
      <c r="D32" s="25" t="str">
        <f>IF(OR($B32="",_自动清单!$G$5=""),"",SUMIFS(包装物料出入库明细!$J$4:$J$2003,包装物料出入库明细!$D$4:$D$2003,$B32,包装物料出入库明细!$E$4:$E$2003,_自动清单!$G$5,包装物料出入库明细!$B$4:$B$2003,"&gt;="&amp;$AF$1,包装物料出入库明细!$B$4:$B$2003,"&lt;="&amp;$AF$2))</f>
        <v/>
      </c>
      <c r="E32" s="25" t="str">
        <f>IF(OR($B32="",_自动清单!$G$6=""),"",SUMIFS(包装物料出入库明细!$J$4:$J$2003,包装物料出入库明细!$D$4:$D$2003,$B32,包装物料出入库明细!$E$4:$E$2003,_自动清单!$G$6,包装物料出入库明细!$B$4:$B$2003,"&gt;="&amp;$AF$1,包装物料出入库明细!$B$4:$B$2003,"&lt;="&amp;$AF$2))</f>
        <v/>
      </c>
      <c r="F32" s="25" t="str">
        <f>IF(OR($B32="",_自动清单!$G$7=""),"",SUMIFS(包装物料出入库明细!$J$4:$J$2003,包装物料出入库明细!$D$4:$D$2003,$B32,包装物料出入库明细!$E$4:$E$2003,_自动清单!$G$7,包装物料出入库明细!$B$4:$B$2003,"&gt;="&amp;$AF$1,包装物料出入库明细!$B$4:$B$2003,"&lt;="&amp;$AF$2))</f>
        <v/>
      </c>
      <c r="G32" s="25" t="str">
        <f>IF(OR($B32="",_自动清单!$G$8=""),"",SUMIFS(包装物料出入库明细!$J$4:$J$2003,包装物料出入库明细!$D$4:$D$2003,$B32,包装物料出入库明细!$E$4:$E$2003,_自动清单!$G$8,包装物料出入库明细!$B$4:$B$2003,"&gt;="&amp;$AF$1,包装物料出入库明细!$B$4:$B$2003,"&lt;="&amp;$AF$2))</f>
        <v/>
      </c>
      <c r="H32" s="25" t="str">
        <f>IF(OR($B32="",_自动清单!$G$9=""),"",SUMIFS(包装物料出入库明细!$J$4:$J$2003,包装物料出入库明细!$D$4:$D$2003,$B32,包装物料出入库明细!$E$4:$E$2003,_自动清单!$G$9,包装物料出入库明细!$B$4:$B$2003,"&gt;="&amp;$AF$1,包装物料出入库明细!$B$4:$B$2003,"&lt;="&amp;$AF$2))</f>
        <v/>
      </c>
      <c r="I32" s="25" t="str">
        <f>IF(OR($B32="",_自动清单!$G$10=""),"",SUMIFS(包装物料出入库明细!$J$4:$J$2003,包装物料出入库明细!$D$4:$D$2003,$B32,包装物料出入库明细!$E$4:$E$2003,_自动清单!$G$10,包装物料出入库明细!$B$4:$B$2003,"&gt;="&amp;$AF$1,包装物料出入库明细!$B$4:$B$2003,"&lt;="&amp;$AF$2))</f>
        <v/>
      </c>
      <c r="J32" s="25" t="str">
        <f>IF(OR($B32="",_自动清单!$G$11=""),"",SUMIFS(包装物料出入库明细!$J$4:$J$2003,包装物料出入库明细!$D$4:$D$2003,$B32,包装物料出入库明细!$E$4:$E$2003,_自动清单!$G$11,包装物料出入库明细!$B$4:$B$2003,"&gt;="&amp;$AF$1,包装物料出入库明细!$B$4:$B$2003,"&lt;="&amp;$AF$2))</f>
        <v/>
      </c>
      <c r="K32" s="25" t="str">
        <f>IF(OR($B32="",_自动清单!$G$12=""),"",SUMIFS(包装物料出入库明细!$J$4:$J$2003,包装物料出入库明细!$D$4:$D$2003,$B32,包装物料出入库明细!$E$4:$E$2003,_自动清单!$G$12,包装物料出入库明细!$B$4:$B$2003,"&gt;="&amp;$AF$1,包装物料出入库明细!$B$4:$B$2003,"&lt;="&amp;$AF$2))</f>
        <v/>
      </c>
      <c r="L32" s="25" t="str">
        <f>IF(OR($B32="",_自动清单!$G$13=""),"",SUMIFS(包装物料出入库明细!$J$4:$J$2003,包装物料出入库明细!$D$4:$D$2003,$B32,包装物料出入库明细!$E$4:$E$2003,_自动清单!$G$13,包装物料出入库明细!$B$4:$B$2003,"&gt;="&amp;$AF$1,包装物料出入库明细!$B$4:$B$2003,"&lt;="&amp;$AF$2))</f>
        <v/>
      </c>
      <c r="M32" s="25" t="str">
        <f>IF(OR($B32="",_自动清单!$G$14=""),"",SUMIFS(包装物料出入库明细!$J$4:$J$2003,包装物料出入库明细!$D$4:$D$2003,$B32,包装物料出入库明细!$E$4:$E$2003,_自动清单!$G$14,包装物料出入库明细!$B$4:$B$2003,"&gt;="&amp;$AF$1,包装物料出入库明细!$B$4:$B$2003,"&lt;="&amp;$AF$2))</f>
        <v/>
      </c>
      <c r="N32" s="25" t="str">
        <f>IF(OR($B32="",_自动清单!$G$15=""),"",SUMIFS(包装物料出入库明细!$J$4:$J$2003,包装物料出入库明细!$D$4:$D$2003,$B32,包装物料出入库明细!$E$4:$E$2003,_自动清单!$G$15,包装物料出入库明细!$B$4:$B$2003,"&gt;="&amp;$AF$1,包装物料出入库明细!$B$4:$B$2003,"&lt;="&amp;$AF$2))</f>
        <v/>
      </c>
      <c r="O32" s="25" t="str">
        <f>IF(OR($B32="",_自动清单!$G$16=""),"",SUMIFS(包装物料出入库明细!$J$4:$J$2003,包装物料出入库明细!$D$4:$D$2003,$B32,包装物料出入库明细!$E$4:$E$2003,_自动清单!$G$16,包装物料出入库明细!$B$4:$B$2003,"&gt;="&amp;$AF$1,包装物料出入库明细!$B$4:$B$2003,"&lt;="&amp;$AF$2))</f>
        <v/>
      </c>
      <c r="P32" s="25" t="str">
        <f>IF(OR($B32="",_自动清单!$G$17=""),"",SUMIFS(包装物料出入库明细!$J$4:$J$2003,包装物料出入库明细!$D$4:$D$2003,$B32,包装物料出入库明细!$E$4:$E$2003,_自动清单!$G$17,包装物料出入库明细!$B$4:$B$2003,"&gt;="&amp;$AF$1,包装物料出入库明细!$B$4:$B$2003,"&lt;="&amp;$AF$2))</f>
        <v/>
      </c>
      <c r="Q32" s="25" t="str">
        <f>IF(OR($B32="",_自动清单!$G$18=""),"",SUMIFS(包装物料出入库明细!$J$4:$J$2003,包装物料出入库明细!$D$4:$D$2003,$B32,包装物料出入库明细!$E$4:$E$2003,_自动清单!$G$18,包装物料出入库明细!$B$4:$B$2003,"&gt;="&amp;$AF$1,包装物料出入库明细!$B$4:$B$2003,"&lt;="&amp;$AF$2))</f>
        <v/>
      </c>
      <c r="R32" s="25" t="str">
        <f>IF(OR($B32="",_自动清单!$G$19=""),"",SUMIFS(包装物料出入库明细!$J$4:$J$2003,包装物料出入库明细!$D$4:$D$2003,$B32,包装物料出入库明细!$E$4:$E$2003,_自动清单!$G$19,包装物料出入库明细!$B$4:$B$2003,"&gt;="&amp;$AF$1,包装物料出入库明细!$B$4:$B$2003,"&lt;="&amp;$AF$2))</f>
        <v/>
      </c>
      <c r="S32" s="25" t="str">
        <f>IF(OR($B32="",_自动清单!$G$20=""),"",SUMIFS(包装物料出入库明细!$J$4:$J$2003,包装物料出入库明细!$D$4:$D$2003,$B32,包装物料出入库明细!$E$4:$E$2003,_自动清单!$G$20,包装物料出入库明细!$B$4:$B$2003,"&gt;="&amp;$AF$1,包装物料出入库明细!$B$4:$B$2003,"&lt;="&amp;$AF$2))</f>
        <v/>
      </c>
      <c r="T32" s="25" t="str">
        <f>IF(OR($B32="",_自动清单!$G$21=""),"",SUMIFS(包装物料出入库明细!$J$4:$J$2003,包装物料出入库明细!$D$4:$D$2003,$B32,包装物料出入库明细!$E$4:$E$2003,_自动清单!$G$21,包装物料出入库明细!$B$4:$B$2003,"&gt;="&amp;$AF$1,包装物料出入库明细!$B$4:$B$2003,"&lt;="&amp;$AF$2))</f>
        <v/>
      </c>
      <c r="U32" s="25" t="str">
        <f>IF($B32="","",SUMIFS(包装物料出入库明细!$J$4:$J$2003,包装物料出入库明细!$D$4:$D$2003,$B32,包装物料出入库明细!$B$4:$B$2003,"&gt;="&amp;$AF$1,包装物料出入库明细!$B$4:$B$2003,"&lt;="&amp;$AF$2)-SUM($C32:$T32))</f>
        <v/>
      </c>
      <c r="V32" s="25" t="str">
        <f t="shared" si="1"/>
        <v/>
      </c>
      <c r="W32" s="56" t="str">
        <f>IF($B32="","",SUMIFS(包装物料出入库明细!$K$4:$K$2003,包装物料出入库明细!$D$4:$D$2003,$B32,包装物料出入库明细!$B$4:$B$2003,"&gt;="&amp;$AF$1,包装物料出入库明细!$B$4:$B$2003,"&lt;="&amp;$AF$2))</f>
        <v/>
      </c>
      <c r="X32" s="25" t="str">
        <f t="shared" si="2"/>
        <v/>
      </c>
      <c r="Y32" s="26" t="str">
        <f>IF($B32="","",ROUND(SUMIFS(包装物料出入库明细!$N$4:$N$2003,包装物料出入库明细!$D$4:$D$2003,$B32,包装物料出入库明细!$H$4:$H$2003,"销售出库",包装物料出入库明细!$B$4:$B$2003,"&gt;="&amp;$AF$1,包装物料出入库明细!$B$4:$B$2003,"&lt;="&amp;$AF$2),2))</f>
        <v/>
      </c>
      <c r="Z32" s="26" t="str">
        <f>IF($B32="","",ROUND(SUMIFS(包装物料出入库明细!$N$4:$N$2003,包装物料出入库明细!$D$4:$D$2003,$B32,包装物料出入库明细!$H$4:$H$2003,"销售出库",包装物料出入库明细!$P$4:$P$2003,"已收讫",包装物料出入库明细!$B$4:$B$2003,"&gt;="&amp;$AF$1,包装物料出入库明细!$B$4:$B$2003,"&lt;="&amp;$AF$2),2))</f>
        <v/>
      </c>
      <c r="AA32" s="26" t="str">
        <f t="shared" si="3"/>
        <v/>
      </c>
      <c r="AB32" s="41"/>
    </row>
    <row r="33" spans="1:28">
      <c r="A33" s="24" t="str">
        <f t="shared" si="0"/>
        <v/>
      </c>
      <c r="B33" s="24" t="str">
        <f>IFERROR(INDEX(_自动清单!$O$4:$O$203,ROW()-3),"")</f>
        <v/>
      </c>
      <c r="C33" s="25" t="str">
        <f>IF(OR($B33="",_自动清单!$G$4=""),"",SUMIFS(包装物料出入库明细!$J$4:$J$2003,包装物料出入库明细!$D$4:$D$2003,$B33,包装物料出入库明细!$E$4:$E$2003,_自动清单!$G$4,包装物料出入库明细!$B$4:$B$2003,"&gt;="&amp;$AF$1,包装物料出入库明细!$B$4:$B$2003,"&lt;="&amp;$AF$2))</f>
        <v/>
      </c>
      <c r="D33" s="25" t="str">
        <f>IF(OR($B33="",_自动清单!$G$5=""),"",SUMIFS(包装物料出入库明细!$J$4:$J$2003,包装物料出入库明细!$D$4:$D$2003,$B33,包装物料出入库明细!$E$4:$E$2003,_自动清单!$G$5,包装物料出入库明细!$B$4:$B$2003,"&gt;="&amp;$AF$1,包装物料出入库明细!$B$4:$B$2003,"&lt;="&amp;$AF$2))</f>
        <v/>
      </c>
      <c r="E33" s="25" t="str">
        <f>IF(OR($B33="",_自动清单!$G$6=""),"",SUMIFS(包装物料出入库明细!$J$4:$J$2003,包装物料出入库明细!$D$4:$D$2003,$B33,包装物料出入库明细!$E$4:$E$2003,_自动清单!$G$6,包装物料出入库明细!$B$4:$B$2003,"&gt;="&amp;$AF$1,包装物料出入库明细!$B$4:$B$2003,"&lt;="&amp;$AF$2))</f>
        <v/>
      </c>
      <c r="F33" s="25" t="str">
        <f>IF(OR($B33="",_自动清单!$G$7=""),"",SUMIFS(包装物料出入库明细!$J$4:$J$2003,包装物料出入库明细!$D$4:$D$2003,$B33,包装物料出入库明细!$E$4:$E$2003,_自动清单!$G$7,包装物料出入库明细!$B$4:$B$2003,"&gt;="&amp;$AF$1,包装物料出入库明细!$B$4:$B$2003,"&lt;="&amp;$AF$2))</f>
        <v/>
      </c>
      <c r="G33" s="25" t="str">
        <f>IF(OR($B33="",_自动清单!$G$8=""),"",SUMIFS(包装物料出入库明细!$J$4:$J$2003,包装物料出入库明细!$D$4:$D$2003,$B33,包装物料出入库明细!$E$4:$E$2003,_自动清单!$G$8,包装物料出入库明细!$B$4:$B$2003,"&gt;="&amp;$AF$1,包装物料出入库明细!$B$4:$B$2003,"&lt;="&amp;$AF$2))</f>
        <v/>
      </c>
      <c r="H33" s="25" t="str">
        <f>IF(OR($B33="",_自动清单!$G$9=""),"",SUMIFS(包装物料出入库明细!$J$4:$J$2003,包装物料出入库明细!$D$4:$D$2003,$B33,包装物料出入库明细!$E$4:$E$2003,_自动清单!$G$9,包装物料出入库明细!$B$4:$B$2003,"&gt;="&amp;$AF$1,包装物料出入库明细!$B$4:$B$2003,"&lt;="&amp;$AF$2))</f>
        <v/>
      </c>
      <c r="I33" s="25" t="str">
        <f>IF(OR($B33="",_自动清单!$G$10=""),"",SUMIFS(包装物料出入库明细!$J$4:$J$2003,包装物料出入库明细!$D$4:$D$2003,$B33,包装物料出入库明细!$E$4:$E$2003,_自动清单!$G$10,包装物料出入库明细!$B$4:$B$2003,"&gt;="&amp;$AF$1,包装物料出入库明细!$B$4:$B$2003,"&lt;="&amp;$AF$2))</f>
        <v/>
      </c>
      <c r="J33" s="25" t="str">
        <f>IF(OR($B33="",_自动清单!$G$11=""),"",SUMIFS(包装物料出入库明细!$J$4:$J$2003,包装物料出入库明细!$D$4:$D$2003,$B33,包装物料出入库明细!$E$4:$E$2003,_自动清单!$G$11,包装物料出入库明细!$B$4:$B$2003,"&gt;="&amp;$AF$1,包装物料出入库明细!$B$4:$B$2003,"&lt;="&amp;$AF$2))</f>
        <v/>
      </c>
      <c r="K33" s="25" t="str">
        <f>IF(OR($B33="",_自动清单!$G$12=""),"",SUMIFS(包装物料出入库明细!$J$4:$J$2003,包装物料出入库明细!$D$4:$D$2003,$B33,包装物料出入库明细!$E$4:$E$2003,_自动清单!$G$12,包装物料出入库明细!$B$4:$B$2003,"&gt;="&amp;$AF$1,包装物料出入库明细!$B$4:$B$2003,"&lt;="&amp;$AF$2))</f>
        <v/>
      </c>
      <c r="L33" s="25" t="str">
        <f>IF(OR($B33="",_自动清单!$G$13=""),"",SUMIFS(包装物料出入库明细!$J$4:$J$2003,包装物料出入库明细!$D$4:$D$2003,$B33,包装物料出入库明细!$E$4:$E$2003,_自动清单!$G$13,包装物料出入库明细!$B$4:$B$2003,"&gt;="&amp;$AF$1,包装物料出入库明细!$B$4:$B$2003,"&lt;="&amp;$AF$2))</f>
        <v/>
      </c>
      <c r="M33" s="25" t="str">
        <f>IF(OR($B33="",_自动清单!$G$14=""),"",SUMIFS(包装物料出入库明细!$J$4:$J$2003,包装物料出入库明细!$D$4:$D$2003,$B33,包装物料出入库明细!$E$4:$E$2003,_自动清单!$G$14,包装物料出入库明细!$B$4:$B$2003,"&gt;="&amp;$AF$1,包装物料出入库明细!$B$4:$B$2003,"&lt;="&amp;$AF$2))</f>
        <v/>
      </c>
      <c r="N33" s="25" t="str">
        <f>IF(OR($B33="",_自动清单!$G$15=""),"",SUMIFS(包装物料出入库明细!$J$4:$J$2003,包装物料出入库明细!$D$4:$D$2003,$B33,包装物料出入库明细!$E$4:$E$2003,_自动清单!$G$15,包装物料出入库明细!$B$4:$B$2003,"&gt;="&amp;$AF$1,包装物料出入库明细!$B$4:$B$2003,"&lt;="&amp;$AF$2))</f>
        <v/>
      </c>
      <c r="O33" s="25" t="str">
        <f>IF(OR($B33="",_自动清单!$G$16=""),"",SUMIFS(包装物料出入库明细!$J$4:$J$2003,包装物料出入库明细!$D$4:$D$2003,$B33,包装物料出入库明细!$E$4:$E$2003,_自动清单!$G$16,包装物料出入库明细!$B$4:$B$2003,"&gt;="&amp;$AF$1,包装物料出入库明细!$B$4:$B$2003,"&lt;="&amp;$AF$2))</f>
        <v/>
      </c>
      <c r="P33" s="25" t="str">
        <f>IF(OR($B33="",_自动清单!$G$17=""),"",SUMIFS(包装物料出入库明细!$J$4:$J$2003,包装物料出入库明细!$D$4:$D$2003,$B33,包装物料出入库明细!$E$4:$E$2003,_自动清单!$G$17,包装物料出入库明细!$B$4:$B$2003,"&gt;="&amp;$AF$1,包装物料出入库明细!$B$4:$B$2003,"&lt;="&amp;$AF$2))</f>
        <v/>
      </c>
      <c r="Q33" s="25" t="str">
        <f>IF(OR($B33="",_自动清单!$G$18=""),"",SUMIFS(包装物料出入库明细!$J$4:$J$2003,包装物料出入库明细!$D$4:$D$2003,$B33,包装物料出入库明细!$E$4:$E$2003,_自动清单!$G$18,包装物料出入库明细!$B$4:$B$2003,"&gt;="&amp;$AF$1,包装物料出入库明细!$B$4:$B$2003,"&lt;="&amp;$AF$2))</f>
        <v/>
      </c>
      <c r="R33" s="25" t="str">
        <f>IF(OR($B33="",_自动清单!$G$19=""),"",SUMIFS(包装物料出入库明细!$J$4:$J$2003,包装物料出入库明细!$D$4:$D$2003,$B33,包装物料出入库明细!$E$4:$E$2003,_自动清单!$G$19,包装物料出入库明细!$B$4:$B$2003,"&gt;="&amp;$AF$1,包装物料出入库明细!$B$4:$B$2003,"&lt;="&amp;$AF$2))</f>
        <v/>
      </c>
      <c r="S33" s="25" t="str">
        <f>IF(OR($B33="",_自动清单!$G$20=""),"",SUMIFS(包装物料出入库明细!$J$4:$J$2003,包装物料出入库明细!$D$4:$D$2003,$B33,包装物料出入库明细!$E$4:$E$2003,_自动清单!$G$20,包装物料出入库明细!$B$4:$B$2003,"&gt;="&amp;$AF$1,包装物料出入库明细!$B$4:$B$2003,"&lt;="&amp;$AF$2))</f>
        <v/>
      </c>
      <c r="T33" s="25" t="str">
        <f>IF(OR($B33="",_自动清单!$G$21=""),"",SUMIFS(包装物料出入库明细!$J$4:$J$2003,包装物料出入库明细!$D$4:$D$2003,$B33,包装物料出入库明细!$E$4:$E$2003,_自动清单!$G$21,包装物料出入库明细!$B$4:$B$2003,"&gt;="&amp;$AF$1,包装物料出入库明细!$B$4:$B$2003,"&lt;="&amp;$AF$2))</f>
        <v/>
      </c>
      <c r="U33" s="25" t="str">
        <f>IF($B33="","",SUMIFS(包装物料出入库明细!$J$4:$J$2003,包装物料出入库明细!$D$4:$D$2003,$B33,包装物料出入库明细!$B$4:$B$2003,"&gt;="&amp;$AF$1,包装物料出入库明细!$B$4:$B$2003,"&lt;="&amp;$AF$2)-SUM($C33:$T33))</f>
        <v/>
      </c>
      <c r="V33" s="25" t="str">
        <f t="shared" si="1"/>
        <v/>
      </c>
      <c r="W33" s="56" t="str">
        <f>IF($B33="","",SUMIFS(包装物料出入库明细!$K$4:$K$2003,包装物料出入库明细!$D$4:$D$2003,$B33,包装物料出入库明细!$B$4:$B$2003,"&gt;="&amp;$AF$1,包装物料出入库明细!$B$4:$B$2003,"&lt;="&amp;$AF$2))</f>
        <v/>
      </c>
      <c r="X33" s="25" t="str">
        <f t="shared" si="2"/>
        <v/>
      </c>
      <c r="Y33" s="26" t="str">
        <f>IF($B33="","",ROUND(SUMIFS(包装物料出入库明细!$N$4:$N$2003,包装物料出入库明细!$D$4:$D$2003,$B33,包装物料出入库明细!$H$4:$H$2003,"销售出库",包装物料出入库明细!$B$4:$B$2003,"&gt;="&amp;$AF$1,包装物料出入库明细!$B$4:$B$2003,"&lt;="&amp;$AF$2),2))</f>
        <v/>
      </c>
      <c r="Z33" s="26" t="str">
        <f>IF($B33="","",ROUND(SUMIFS(包装物料出入库明细!$N$4:$N$2003,包装物料出入库明细!$D$4:$D$2003,$B33,包装物料出入库明细!$H$4:$H$2003,"销售出库",包装物料出入库明细!$P$4:$P$2003,"已收讫",包装物料出入库明细!$B$4:$B$2003,"&gt;="&amp;$AF$1,包装物料出入库明细!$B$4:$B$2003,"&lt;="&amp;$AF$2),2))</f>
        <v/>
      </c>
      <c r="AA33" s="26" t="str">
        <f t="shared" si="3"/>
        <v/>
      </c>
      <c r="AB33" s="41"/>
    </row>
    <row r="34" spans="1:28">
      <c r="A34" s="24" t="str">
        <f t="shared" si="0"/>
        <v/>
      </c>
      <c r="B34" s="24" t="str">
        <f>IFERROR(INDEX(_自动清单!$O$4:$O$203,ROW()-3),"")</f>
        <v/>
      </c>
      <c r="C34" s="25" t="str">
        <f>IF(OR($B34="",_自动清单!$G$4=""),"",SUMIFS(包装物料出入库明细!$J$4:$J$2003,包装物料出入库明细!$D$4:$D$2003,$B34,包装物料出入库明细!$E$4:$E$2003,_自动清单!$G$4,包装物料出入库明细!$B$4:$B$2003,"&gt;="&amp;$AF$1,包装物料出入库明细!$B$4:$B$2003,"&lt;="&amp;$AF$2))</f>
        <v/>
      </c>
      <c r="D34" s="25" t="str">
        <f>IF(OR($B34="",_自动清单!$G$5=""),"",SUMIFS(包装物料出入库明细!$J$4:$J$2003,包装物料出入库明细!$D$4:$D$2003,$B34,包装物料出入库明细!$E$4:$E$2003,_自动清单!$G$5,包装物料出入库明细!$B$4:$B$2003,"&gt;="&amp;$AF$1,包装物料出入库明细!$B$4:$B$2003,"&lt;="&amp;$AF$2))</f>
        <v/>
      </c>
      <c r="E34" s="25" t="str">
        <f>IF(OR($B34="",_自动清单!$G$6=""),"",SUMIFS(包装物料出入库明细!$J$4:$J$2003,包装物料出入库明细!$D$4:$D$2003,$B34,包装物料出入库明细!$E$4:$E$2003,_自动清单!$G$6,包装物料出入库明细!$B$4:$B$2003,"&gt;="&amp;$AF$1,包装物料出入库明细!$B$4:$B$2003,"&lt;="&amp;$AF$2))</f>
        <v/>
      </c>
      <c r="F34" s="25" t="str">
        <f>IF(OR($B34="",_自动清单!$G$7=""),"",SUMIFS(包装物料出入库明细!$J$4:$J$2003,包装物料出入库明细!$D$4:$D$2003,$B34,包装物料出入库明细!$E$4:$E$2003,_自动清单!$G$7,包装物料出入库明细!$B$4:$B$2003,"&gt;="&amp;$AF$1,包装物料出入库明细!$B$4:$B$2003,"&lt;="&amp;$AF$2))</f>
        <v/>
      </c>
      <c r="G34" s="25" t="str">
        <f>IF(OR($B34="",_自动清单!$G$8=""),"",SUMIFS(包装物料出入库明细!$J$4:$J$2003,包装物料出入库明细!$D$4:$D$2003,$B34,包装物料出入库明细!$E$4:$E$2003,_自动清单!$G$8,包装物料出入库明细!$B$4:$B$2003,"&gt;="&amp;$AF$1,包装物料出入库明细!$B$4:$B$2003,"&lt;="&amp;$AF$2))</f>
        <v/>
      </c>
      <c r="H34" s="25" t="str">
        <f>IF(OR($B34="",_自动清单!$G$9=""),"",SUMIFS(包装物料出入库明细!$J$4:$J$2003,包装物料出入库明细!$D$4:$D$2003,$B34,包装物料出入库明细!$E$4:$E$2003,_自动清单!$G$9,包装物料出入库明细!$B$4:$B$2003,"&gt;="&amp;$AF$1,包装物料出入库明细!$B$4:$B$2003,"&lt;="&amp;$AF$2))</f>
        <v/>
      </c>
      <c r="I34" s="25" t="str">
        <f>IF(OR($B34="",_自动清单!$G$10=""),"",SUMIFS(包装物料出入库明细!$J$4:$J$2003,包装物料出入库明细!$D$4:$D$2003,$B34,包装物料出入库明细!$E$4:$E$2003,_自动清单!$G$10,包装物料出入库明细!$B$4:$B$2003,"&gt;="&amp;$AF$1,包装物料出入库明细!$B$4:$B$2003,"&lt;="&amp;$AF$2))</f>
        <v/>
      </c>
      <c r="J34" s="25" t="str">
        <f>IF(OR($B34="",_自动清单!$G$11=""),"",SUMIFS(包装物料出入库明细!$J$4:$J$2003,包装物料出入库明细!$D$4:$D$2003,$B34,包装物料出入库明细!$E$4:$E$2003,_自动清单!$G$11,包装物料出入库明细!$B$4:$B$2003,"&gt;="&amp;$AF$1,包装物料出入库明细!$B$4:$B$2003,"&lt;="&amp;$AF$2))</f>
        <v/>
      </c>
      <c r="K34" s="25" t="str">
        <f>IF(OR($B34="",_自动清单!$G$12=""),"",SUMIFS(包装物料出入库明细!$J$4:$J$2003,包装物料出入库明细!$D$4:$D$2003,$B34,包装物料出入库明细!$E$4:$E$2003,_自动清单!$G$12,包装物料出入库明细!$B$4:$B$2003,"&gt;="&amp;$AF$1,包装物料出入库明细!$B$4:$B$2003,"&lt;="&amp;$AF$2))</f>
        <v/>
      </c>
      <c r="L34" s="25" t="str">
        <f>IF(OR($B34="",_自动清单!$G$13=""),"",SUMIFS(包装物料出入库明细!$J$4:$J$2003,包装物料出入库明细!$D$4:$D$2003,$B34,包装物料出入库明细!$E$4:$E$2003,_自动清单!$G$13,包装物料出入库明细!$B$4:$B$2003,"&gt;="&amp;$AF$1,包装物料出入库明细!$B$4:$B$2003,"&lt;="&amp;$AF$2))</f>
        <v/>
      </c>
      <c r="M34" s="25" t="str">
        <f>IF(OR($B34="",_自动清单!$G$14=""),"",SUMIFS(包装物料出入库明细!$J$4:$J$2003,包装物料出入库明细!$D$4:$D$2003,$B34,包装物料出入库明细!$E$4:$E$2003,_自动清单!$G$14,包装物料出入库明细!$B$4:$B$2003,"&gt;="&amp;$AF$1,包装物料出入库明细!$B$4:$B$2003,"&lt;="&amp;$AF$2))</f>
        <v/>
      </c>
      <c r="N34" s="25" t="str">
        <f>IF(OR($B34="",_自动清单!$G$15=""),"",SUMIFS(包装物料出入库明细!$J$4:$J$2003,包装物料出入库明细!$D$4:$D$2003,$B34,包装物料出入库明细!$E$4:$E$2003,_自动清单!$G$15,包装物料出入库明细!$B$4:$B$2003,"&gt;="&amp;$AF$1,包装物料出入库明细!$B$4:$B$2003,"&lt;="&amp;$AF$2))</f>
        <v/>
      </c>
      <c r="O34" s="25" t="str">
        <f>IF(OR($B34="",_自动清单!$G$16=""),"",SUMIFS(包装物料出入库明细!$J$4:$J$2003,包装物料出入库明细!$D$4:$D$2003,$B34,包装物料出入库明细!$E$4:$E$2003,_自动清单!$G$16,包装物料出入库明细!$B$4:$B$2003,"&gt;="&amp;$AF$1,包装物料出入库明细!$B$4:$B$2003,"&lt;="&amp;$AF$2))</f>
        <v/>
      </c>
      <c r="P34" s="25" t="str">
        <f>IF(OR($B34="",_自动清单!$G$17=""),"",SUMIFS(包装物料出入库明细!$J$4:$J$2003,包装物料出入库明细!$D$4:$D$2003,$B34,包装物料出入库明细!$E$4:$E$2003,_自动清单!$G$17,包装物料出入库明细!$B$4:$B$2003,"&gt;="&amp;$AF$1,包装物料出入库明细!$B$4:$B$2003,"&lt;="&amp;$AF$2))</f>
        <v/>
      </c>
      <c r="Q34" s="25" t="str">
        <f>IF(OR($B34="",_自动清单!$G$18=""),"",SUMIFS(包装物料出入库明细!$J$4:$J$2003,包装物料出入库明细!$D$4:$D$2003,$B34,包装物料出入库明细!$E$4:$E$2003,_自动清单!$G$18,包装物料出入库明细!$B$4:$B$2003,"&gt;="&amp;$AF$1,包装物料出入库明细!$B$4:$B$2003,"&lt;="&amp;$AF$2))</f>
        <v/>
      </c>
      <c r="R34" s="25" t="str">
        <f>IF(OR($B34="",_自动清单!$G$19=""),"",SUMIFS(包装物料出入库明细!$J$4:$J$2003,包装物料出入库明细!$D$4:$D$2003,$B34,包装物料出入库明细!$E$4:$E$2003,_自动清单!$G$19,包装物料出入库明细!$B$4:$B$2003,"&gt;="&amp;$AF$1,包装物料出入库明细!$B$4:$B$2003,"&lt;="&amp;$AF$2))</f>
        <v/>
      </c>
      <c r="S34" s="25" t="str">
        <f>IF(OR($B34="",_自动清单!$G$20=""),"",SUMIFS(包装物料出入库明细!$J$4:$J$2003,包装物料出入库明细!$D$4:$D$2003,$B34,包装物料出入库明细!$E$4:$E$2003,_自动清单!$G$20,包装物料出入库明细!$B$4:$B$2003,"&gt;="&amp;$AF$1,包装物料出入库明细!$B$4:$B$2003,"&lt;="&amp;$AF$2))</f>
        <v/>
      </c>
      <c r="T34" s="25" t="str">
        <f>IF(OR($B34="",_自动清单!$G$21=""),"",SUMIFS(包装物料出入库明细!$J$4:$J$2003,包装物料出入库明细!$D$4:$D$2003,$B34,包装物料出入库明细!$E$4:$E$2003,_自动清单!$G$21,包装物料出入库明细!$B$4:$B$2003,"&gt;="&amp;$AF$1,包装物料出入库明细!$B$4:$B$2003,"&lt;="&amp;$AF$2))</f>
        <v/>
      </c>
      <c r="U34" s="25" t="str">
        <f>IF($B34="","",SUMIFS(包装物料出入库明细!$J$4:$J$2003,包装物料出入库明细!$D$4:$D$2003,$B34,包装物料出入库明细!$B$4:$B$2003,"&gt;="&amp;$AF$1,包装物料出入库明细!$B$4:$B$2003,"&lt;="&amp;$AF$2)-SUM($C34:$T34))</f>
        <v/>
      </c>
      <c r="V34" s="25" t="str">
        <f t="shared" si="1"/>
        <v/>
      </c>
      <c r="W34" s="56" t="str">
        <f>IF($B34="","",SUMIFS(包装物料出入库明细!$K$4:$K$2003,包装物料出入库明细!$D$4:$D$2003,$B34,包装物料出入库明细!$B$4:$B$2003,"&gt;="&amp;$AF$1,包装物料出入库明细!$B$4:$B$2003,"&lt;="&amp;$AF$2))</f>
        <v/>
      </c>
      <c r="X34" s="25" t="str">
        <f t="shared" si="2"/>
        <v/>
      </c>
      <c r="Y34" s="26" t="str">
        <f>IF($B34="","",ROUND(SUMIFS(包装物料出入库明细!$N$4:$N$2003,包装物料出入库明细!$D$4:$D$2003,$B34,包装物料出入库明细!$H$4:$H$2003,"销售出库",包装物料出入库明细!$B$4:$B$2003,"&gt;="&amp;$AF$1,包装物料出入库明细!$B$4:$B$2003,"&lt;="&amp;$AF$2),2))</f>
        <v/>
      </c>
      <c r="Z34" s="26" t="str">
        <f>IF($B34="","",ROUND(SUMIFS(包装物料出入库明细!$N$4:$N$2003,包装物料出入库明细!$D$4:$D$2003,$B34,包装物料出入库明细!$H$4:$H$2003,"销售出库",包装物料出入库明细!$P$4:$P$2003,"已收讫",包装物料出入库明细!$B$4:$B$2003,"&gt;="&amp;$AF$1,包装物料出入库明细!$B$4:$B$2003,"&lt;="&amp;$AF$2),2))</f>
        <v/>
      </c>
      <c r="AA34" s="26" t="str">
        <f t="shared" si="3"/>
        <v/>
      </c>
      <c r="AB34" s="41"/>
    </row>
    <row r="35" spans="1:28">
      <c r="A35" s="24" t="str">
        <f t="shared" si="0"/>
        <v/>
      </c>
      <c r="B35" s="24" t="str">
        <f>IFERROR(INDEX(_自动清单!$O$4:$O$203,ROW()-3),"")</f>
        <v/>
      </c>
      <c r="C35" s="25" t="str">
        <f>IF(OR($B35="",_自动清单!$G$4=""),"",SUMIFS(包装物料出入库明细!$J$4:$J$2003,包装物料出入库明细!$D$4:$D$2003,$B35,包装物料出入库明细!$E$4:$E$2003,_自动清单!$G$4,包装物料出入库明细!$B$4:$B$2003,"&gt;="&amp;$AF$1,包装物料出入库明细!$B$4:$B$2003,"&lt;="&amp;$AF$2))</f>
        <v/>
      </c>
      <c r="D35" s="25" t="str">
        <f>IF(OR($B35="",_自动清单!$G$5=""),"",SUMIFS(包装物料出入库明细!$J$4:$J$2003,包装物料出入库明细!$D$4:$D$2003,$B35,包装物料出入库明细!$E$4:$E$2003,_自动清单!$G$5,包装物料出入库明细!$B$4:$B$2003,"&gt;="&amp;$AF$1,包装物料出入库明细!$B$4:$B$2003,"&lt;="&amp;$AF$2))</f>
        <v/>
      </c>
      <c r="E35" s="25" t="str">
        <f>IF(OR($B35="",_自动清单!$G$6=""),"",SUMIFS(包装物料出入库明细!$J$4:$J$2003,包装物料出入库明细!$D$4:$D$2003,$B35,包装物料出入库明细!$E$4:$E$2003,_自动清单!$G$6,包装物料出入库明细!$B$4:$B$2003,"&gt;="&amp;$AF$1,包装物料出入库明细!$B$4:$B$2003,"&lt;="&amp;$AF$2))</f>
        <v/>
      </c>
      <c r="F35" s="25" t="str">
        <f>IF(OR($B35="",_自动清单!$G$7=""),"",SUMIFS(包装物料出入库明细!$J$4:$J$2003,包装物料出入库明细!$D$4:$D$2003,$B35,包装物料出入库明细!$E$4:$E$2003,_自动清单!$G$7,包装物料出入库明细!$B$4:$B$2003,"&gt;="&amp;$AF$1,包装物料出入库明细!$B$4:$B$2003,"&lt;="&amp;$AF$2))</f>
        <v/>
      </c>
      <c r="G35" s="25" t="str">
        <f>IF(OR($B35="",_自动清单!$G$8=""),"",SUMIFS(包装物料出入库明细!$J$4:$J$2003,包装物料出入库明细!$D$4:$D$2003,$B35,包装物料出入库明细!$E$4:$E$2003,_自动清单!$G$8,包装物料出入库明细!$B$4:$B$2003,"&gt;="&amp;$AF$1,包装物料出入库明细!$B$4:$B$2003,"&lt;="&amp;$AF$2))</f>
        <v/>
      </c>
      <c r="H35" s="25" t="str">
        <f>IF(OR($B35="",_自动清单!$G$9=""),"",SUMIFS(包装物料出入库明细!$J$4:$J$2003,包装物料出入库明细!$D$4:$D$2003,$B35,包装物料出入库明细!$E$4:$E$2003,_自动清单!$G$9,包装物料出入库明细!$B$4:$B$2003,"&gt;="&amp;$AF$1,包装物料出入库明细!$B$4:$B$2003,"&lt;="&amp;$AF$2))</f>
        <v/>
      </c>
      <c r="I35" s="25" t="str">
        <f>IF(OR($B35="",_自动清单!$G$10=""),"",SUMIFS(包装物料出入库明细!$J$4:$J$2003,包装物料出入库明细!$D$4:$D$2003,$B35,包装物料出入库明细!$E$4:$E$2003,_自动清单!$G$10,包装物料出入库明细!$B$4:$B$2003,"&gt;="&amp;$AF$1,包装物料出入库明细!$B$4:$B$2003,"&lt;="&amp;$AF$2))</f>
        <v/>
      </c>
      <c r="J35" s="25" t="str">
        <f>IF(OR($B35="",_自动清单!$G$11=""),"",SUMIFS(包装物料出入库明细!$J$4:$J$2003,包装物料出入库明细!$D$4:$D$2003,$B35,包装物料出入库明细!$E$4:$E$2003,_自动清单!$G$11,包装物料出入库明细!$B$4:$B$2003,"&gt;="&amp;$AF$1,包装物料出入库明细!$B$4:$B$2003,"&lt;="&amp;$AF$2))</f>
        <v/>
      </c>
      <c r="K35" s="25" t="str">
        <f>IF(OR($B35="",_自动清单!$G$12=""),"",SUMIFS(包装物料出入库明细!$J$4:$J$2003,包装物料出入库明细!$D$4:$D$2003,$B35,包装物料出入库明细!$E$4:$E$2003,_自动清单!$G$12,包装物料出入库明细!$B$4:$B$2003,"&gt;="&amp;$AF$1,包装物料出入库明细!$B$4:$B$2003,"&lt;="&amp;$AF$2))</f>
        <v/>
      </c>
      <c r="L35" s="25" t="str">
        <f>IF(OR($B35="",_自动清单!$G$13=""),"",SUMIFS(包装物料出入库明细!$J$4:$J$2003,包装物料出入库明细!$D$4:$D$2003,$B35,包装物料出入库明细!$E$4:$E$2003,_自动清单!$G$13,包装物料出入库明细!$B$4:$B$2003,"&gt;="&amp;$AF$1,包装物料出入库明细!$B$4:$B$2003,"&lt;="&amp;$AF$2))</f>
        <v/>
      </c>
      <c r="M35" s="25" t="str">
        <f>IF(OR($B35="",_自动清单!$G$14=""),"",SUMIFS(包装物料出入库明细!$J$4:$J$2003,包装物料出入库明细!$D$4:$D$2003,$B35,包装物料出入库明细!$E$4:$E$2003,_自动清单!$G$14,包装物料出入库明细!$B$4:$B$2003,"&gt;="&amp;$AF$1,包装物料出入库明细!$B$4:$B$2003,"&lt;="&amp;$AF$2))</f>
        <v/>
      </c>
      <c r="N35" s="25" t="str">
        <f>IF(OR($B35="",_自动清单!$G$15=""),"",SUMIFS(包装物料出入库明细!$J$4:$J$2003,包装物料出入库明细!$D$4:$D$2003,$B35,包装物料出入库明细!$E$4:$E$2003,_自动清单!$G$15,包装物料出入库明细!$B$4:$B$2003,"&gt;="&amp;$AF$1,包装物料出入库明细!$B$4:$B$2003,"&lt;="&amp;$AF$2))</f>
        <v/>
      </c>
      <c r="O35" s="25" t="str">
        <f>IF(OR($B35="",_自动清单!$G$16=""),"",SUMIFS(包装物料出入库明细!$J$4:$J$2003,包装物料出入库明细!$D$4:$D$2003,$B35,包装物料出入库明细!$E$4:$E$2003,_自动清单!$G$16,包装物料出入库明细!$B$4:$B$2003,"&gt;="&amp;$AF$1,包装物料出入库明细!$B$4:$B$2003,"&lt;="&amp;$AF$2))</f>
        <v/>
      </c>
      <c r="P35" s="25" t="str">
        <f>IF(OR($B35="",_自动清单!$G$17=""),"",SUMIFS(包装物料出入库明细!$J$4:$J$2003,包装物料出入库明细!$D$4:$D$2003,$B35,包装物料出入库明细!$E$4:$E$2003,_自动清单!$G$17,包装物料出入库明细!$B$4:$B$2003,"&gt;="&amp;$AF$1,包装物料出入库明细!$B$4:$B$2003,"&lt;="&amp;$AF$2))</f>
        <v/>
      </c>
      <c r="Q35" s="25" t="str">
        <f>IF(OR($B35="",_自动清单!$G$18=""),"",SUMIFS(包装物料出入库明细!$J$4:$J$2003,包装物料出入库明细!$D$4:$D$2003,$B35,包装物料出入库明细!$E$4:$E$2003,_自动清单!$G$18,包装物料出入库明细!$B$4:$B$2003,"&gt;="&amp;$AF$1,包装物料出入库明细!$B$4:$B$2003,"&lt;="&amp;$AF$2))</f>
        <v/>
      </c>
      <c r="R35" s="25" t="str">
        <f>IF(OR($B35="",_自动清单!$G$19=""),"",SUMIFS(包装物料出入库明细!$J$4:$J$2003,包装物料出入库明细!$D$4:$D$2003,$B35,包装物料出入库明细!$E$4:$E$2003,_自动清单!$G$19,包装物料出入库明细!$B$4:$B$2003,"&gt;="&amp;$AF$1,包装物料出入库明细!$B$4:$B$2003,"&lt;="&amp;$AF$2))</f>
        <v/>
      </c>
      <c r="S35" s="25" t="str">
        <f>IF(OR($B35="",_自动清单!$G$20=""),"",SUMIFS(包装物料出入库明细!$J$4:$J$2003,包装物料出入库明细!$D$4:$D$2003,$B35,包装物料出入库明细!$E$4:$E$2003,_自动清单!$G$20,包装物料出入库明细!$B$4:$B$2003,"&gt;="&amp;$AF$1,包装物料出入库明细!$B$4:$B$2003,"&lt;="&amp;$AF$2))</f>
        <v/>
      </c>
      <c r="T35" s="25" t="str">
        <f>IF(OR($B35="",_自动清单!$G$21=""),"",SUMIFS(包装物料出入库明细!$J$4:$J$2003,包装物料出入库明细!$D$4:$D$2003,$B35,包装物料出入库明细!$E$4:$E$2003,_自动清单!$G$21,包装物料出入库明细!$B$4:$B$2003,"&gt;="&amp;$AF$1,包装物料出入库明细!$B$4:$B$2003,"&lt;="&amp;$AF$2))</f>
        <v/>
      </c>
      <c r="U35" s="25" t="str">
        <f>IF($B35="","",SUMIFS(包装物料出入库明细!$J$4:$J$2003,包装物料出入库明细!$D$4:$D$2003,$B35,包装物料出入库明细!$B$4:$B$2003,"&gt;="&amp;$AF$1,包装物料出入库明细!$B$4:$B$2003,"&lt;="&amp;$AF$2)-SUM($C35:$T35))</f>
        <v/>
      </c>
      <c r="V35" s="25" t="str">
        <f t="shared" si="1"/>
        <v/>
      </c>
      <c r="W35" s="56" t="str">
        <f>IF($B35="","",SUMIFS(包装物料出入库明细!$K$4:$K$2003,包装物料出入库明细!$D$4:$D$2003,$B35,包装物料出入库明细!$B$4:$B$2003,"&gt;="&amp;$AF$1,包装物料出入库明细!$B$4:$B$2003,"&lt;="&amp;$AF$2))</f>
        <v/>
      </c>
      <c r="X35" s="25" t="str">
        <f t="shared" si="2"/>
        <v/>
      </c>
      <c r="Y35" s="26" t="str">
        <f>IF($B35="","",ROUND(SUMIFS(包装物料出入库明细!$N$4:$N$2003,包装物料出入库明细!$D$4:$D$2003,$B35,包装物料出入库明细!$H$4:$H$2003,"销售出库",包装物料出入库明细!$B$4:$B$2003,"&gt;="&amp;$AF$1,包装物料出入库明细!$B$4:$B$2003,"&lt;="&amp;$AF$2),2))</f>
        <v/>
      </c>
      <c r="Z35" s="26" t="str">
        <f>IF($B35="","",ROUND(SUMIFS(包装物料出入库明细!$N$4:$N$2003,包装物料出入库明细!$D$4:$D$2003,$B35,包装物料出入库明细!$H$4:$H$2003,"销售出库",包装物料出入库明细!$P$4:$P$2003,"已收讫",包装物料出入库明细!$B$4:$B$2003,"&gt;="&amp;$AF$1,包装物料出入库明细!$B$4:$B$2003,"&lt;="&amp;$AF$2),2))</f>
        <v/>
      </c>
      <c r="AA35" s="26" t="str">
        <f t="shared" si="3"/>
        <v/>
      </c>
      <c r="AB35" s="41"/>
    </row>
    <row r="36" spans="1:28">
      <c r="A36" s="24" t="str">
        <f t="shared" si="0"/>
        <v/>
      </c>
      <c r="B36" s="24" t="str">
        <f>IFERROR(INDEX(_自动清单!$O$4:$O$203,ROW()-3),"")</f>
        <v/>
      </c>
      <c r="C36" s="25" t="str">
        <f>IF(OR($B36="",_自动清单!$G$4=""),"",SUMIFS(包装物料出入库明细!$J$4:$J$2003,包装物料出入库明细!$D$4:$D$2003,$B36,包装物料出入库明细!$E$4:$E$2003,_自动清单!$G$4,包装物料出入库明细!$B$4:$B$2003,"&gt;="&amp;$AF$1,包装物料出入库明细!$B$4:$B$2003,"&lt;="&amp;$AF$2))</f>
        <v/>
      </c>
      <c r="D36" s="25" t="str">
        <f>IF(OR($B36="",_自动清单!$G$5=""),"",SUMIFS(包装物料出入库明细!$J$4:$J$2003,包装物料出入库明细!$D$4:$D$2003,$B36,包装物料出入库明细!$E$4:$E$2003,_自动清单!$G$5,包装物料出入库明细!$B$4:$B$2003,"&gt;="&amp;$AF$1,包装物料出入库明细!$B$4:$B$2003,"&lt;="&amp;$AF$2))</f>
        <v/>
      </c>
      <c r="E36" s="25" t="str">
        <f>IF(OR($B36="",_自动清单!$G$6=""),"",SUMIFS(包装物料出入库明细!$J$4:$J$2003,包装物料出入库明细!$D$4:$D$2003,$B36,包装物料出入库明细!$E$4:$E$2003,_自动清单!$G$6,包装物料出入库明细!$B$4:$B$2003,"&gt;="&amp;$AF$1,包装物料出入库明细!$B$4:$B$2003,"&lt;="&amp;$AF$2))</f>
        <v/>
      </c>
      <c r="F36" s="25" t="str">
        <f>IF(OR($B36="",_自动清单!$G$7=""),"",SUMIFS(包装物料出入库明细!$J$4:$J$2003,包装物料出入库明细!$D$4:$D$2003,$B36,包装物料出入库明细!$E$4:$E$2003,_自动清单!$G$7,包装物料出入库明细!$B$4:$B$2003,"&gt;="&amp;$AF$1,包装物料出入库明细!$B$4:$B$2003,"&lt;="&amp;$AF$2))</f>
        <v/>
      </c>
      <c r="G36" s="25" t="str">
        <f>IF(OR($B36="",_自动清单!$G$8=""),"",SUMIFS(包装物料出入库明细!$J$4:$J$2003,包装物料出入库明细!$D$4:$D$2003,$B36,包装物料出入库明细!$E$4:$E$2003,_自动清单!$G$8,包装物料出入库明细!$B$4:$B$2003,"&gt;="&amp;$AF$1,包装物料出入库明细!$B$4:$B$2003,"&lt;="&amp;$AF$2))</f>
        <v/>
      </c>
      <c r="H36" s="25" t="str">
        <f>IF(OR($B36="",_自动清单!$G$9=""),"",SUMIFS(包装物料出入库明细!$J$4:$J$2003,包装物料出入库明细!$D$4:$D$2003,$B36,包装物料出入库明细!$E$4:$E$2003,_自动清单!$G$9,包装物料出入库明细!$B$4:$B$2003,"&gt;="&amp;$AF$1,包装物料出入库明细!$B$4:$B$2003,"&lt;="&amp;$AF$2))</f>
        <v/>
      </c>
      <c r="I36" s="25" t="str">
        <f>IF(OR($B36="",_自动清单!$G$10=""),"",SUMIFS(包装物料出入库明细!$J$4:$J$2003,包装物料出入库明细!$D$4:$D$2003,$B36,包装物料出入库明细!$E$4:$E$2003,_自动清单!$G$10,包装物料出入库明细!$B$4:$B$2003,"&gt;="&amp;$AF$1,包装物料出入库明细!$B$4:$B$2003,"&lt;="&amp;$AF$2))</f>
        <v/>
      </c>
      <c r="J36" s="25" t="str">
        <f>IF(OR($B36="",_自动清单!$G$11=""),"",SUMIFS(包装物料出入库明细!$J$4:$J$2003,包装物料出入库明细!$D$4:$D$2003,$B36,包装物料出入库明细!$E$4:$E$2003,_自动清单!$G$11,包装物料出入库明细!$B$4:$B$2003,"&gt;="&amp;$AF$1,包装物料出入库明细!$B$4:$B$2003,"&lt;="&amp;$AF$2))</f>
        <v/>
      </c>
      <c r="K36" s="25" t="str">
        <f>IF(OR($B36="",_自动清单!$G$12=""),"",SUMIFS(包装物料出入库明细!$J$4:$J$2003,包装物料出入库明细!$D$4:$D$2003,$B36,包装物料出入库明细!$E$4:$E$2003,_自动清单!$G$12,包装物料出入库明细!$B$4:$B$2003,"&gt;="&amp;$AF$1,包装物料出入库明细!$B$4:$B$2003,"&lt;="&amp;$AF$2))</f>
        <v/>
      </c>
      <c r="L36" s="25" t="str">
        <f>IF(OR($B36="",_自动清单!$G$13=""),"",SUMIFS(包装物料出入库明细!$J$4:$J$2003,包装物料出入库明细!$D$4:$D$2003,$B36,包装物料出入库明细!$E$4:$E$2003,_自动清单!$G$13,包装物料出入库明细!$B$4:$B$2003,"&gt;="&amp;$AF$1,包装物料出入库明细!$B$4:$B$2003,"&lt;="&amp;$AF$2))</f>
        <v/>
      </c>
      <c r="M36" s="25" t="str">
        <f>IF(OR($B36="",_自动清单!$G$14=""),"",SUMIFS(包装物料出入库明细!$J$4:$J$2003,包装物料出入库明细!$D$4:$D$2003,$B36,包装物料出入库明细!$E$4:$E$2003,_自动清单!$G$14,包装物料出入库明细!$B$4:$B$2003,"&gt;="&amp;$AF$1,包装物料出入库明细!$B$4:$B$2003,"&lt;="&amp;$AF$2))</f>
        <v/>
      </c>
      <c r="N36" s="25" t="str">
        <f>IF(OR($B36="",_自动清单!$G$15=""),"",SUMIFS(包装物料出入库明细!$J$4:$J$2003,包装物料出入库明细!$D$4:$D$2003,$B36,包装物料出入库明细!$E$4:$E$2003,_自动清单!$G$15,包装物料出入库明细!$B$4:$B$2003,"&gt;="&amp;$AF$1,包装物料出入库明细!$B$4:$B$2003,"&lt;="&amp;$AF$2))</f>
        <v/>
      </c>
      <c r="O36" s="25" t="str">
        <f>IF(OR($B36="",_自动清单!$G$16=""),"",SUMIFS(包装物料出入库明细!$J$4:$J$2003,包装物料出入库明细!$D$4:$D$2003,$B36,包装物料出入库明细!$E$4:$E$2003,_自动清单!$G$16,包装物料出入库明细!$B$4:$B$2003,"&gt;="&amp;$AF$1,包装物料出入库明细!$B$4:$B$2003,"&lt;="&amp;$AF$2))</f>
        <v/>
      </c>
      <c r="P36" s="25" t="str">
        <f>IF(OR($B36="",_自动清单!$G$17=""),"",SUMIFS(包装物料出入库明细!$J$4:$J$2003,包装物料出入库明细!$D$4:$D$2003,$B36,包装物料出入库明细!$E$4:$E$2003,_自动清单!$G$17,包装物料出入库明细!$B$4:$B$2003,"&gt;="&amp;$AF$1,包装物料出入库明细!$B$4:$B$2003,"&lt;="&amp;$AF$2))</f>
        <v/>
      </c>
      <c r="Q36" s="25" t="str">
        <f>IF(OR($B36="",_自动清单!$G$18=""),"",SUMIFS(包装物料出入库明细!$J$4:$J$2003,包装物料出入库明细!$D$4:$D$2003,$B36,包装物料出入库明细!$E$4:$E$2003,_自动清单!$G$18,包装物料出入库明细!$B$4:$B$2003,"&gt;="&amp;$AF$1,包装物料出入库明细!$B$4:$B$2003,"&lt;="&amp;$AF$2))</f>
        <v/>
      </c>
      <c r="R36" s="25" t="str">
        <f>IF(OR($B36="",_自动清单!$G$19=""),"",SUMIFS(包装物料出入库明细!$J$4:$J$2003,包装物料出入库明细!$D$4:$D$2003,$B36,包装物料出入库明细!$E$4:$E$2003,_自动清单!$G$19,包装物料出入库明细!$B$4:$B$2003,"&gt;="&amp;$AF$1,包装物料出入库明细!$B$4:$B$2003,"&lt;="&amp;$AF$2))</f>
        <v/>
      </c>
      <c r="S36" s="25" t="str">
        <f>IF(OR($B36="",_自动清单!$G$20=""),"",SUMIFS(包装物料出入库明细!$J$4:$J$2003,包装物料出入库明细!$D$4:$D$2003,$B36,包装物料出入库明细!$E$4:$E$2003,_自动清单!$G$20,包装物料出入库明细!$B$4:$B$2003,"&gt;="&amp;$AF$1,包装物料出入库明细!$B$4:$B$2003,"&lt;="&amp;$AF$2))</f>
        <v/>
      </c>
      <c r="T36" s="25" t="str">
        <f>IF(OR($B36="",_自动清单!$G$21=""),"",SUMIFS(包装物料出入库明细!$J$4:$J$2003,包装物料出入库明细!$D$4:$D$2003,$B36,包装物料出入库明细!$E$4:$E$2003,_自动清单!$G$21,包装物料出入库明细!$B$4:$B$2003,"&gt;="&amp;$AF$1,包装物料出入库明细!$B$4:$B$2003,"&lt;="&amp;$AF$2))</f>
        <v/>
      </c>
      <c r="U36" s="25" t="str">
        <f>IF($B36="","",SUMIFS(包装物料出入库明细!$J$4:$J$2003,包装物料出入库明细!$D$4:$D$2003,$B36,包装物料出入库明细!$B$4:$B$2003,"&gt;="&amp;$AF$1,包装物料出入库明细!$B$4:$B$2003,"&lt;="&amp;$AF$2)-SUM($C36:$T36))</f>
        <v/>
      </c>
      <c r="V36" s="25" t="str">
        <f t="shared" si="1"/>
        <v/>
      </c>
      <c r="W36" s="56" t="str">
        <f>IF($B36="","",SUMIFS(包装物料出入库明细!$K$4:$K$2003,包装物料出入库明细!$D$4:$D$2003,$B36,包装物料出入库明细!$B$4:$B$2003,"&gt;="&amp;$AF$1,包装物料出入库明细!$B$4:$B$2003,"&lt;="&amp;$AF$2))</f>
        <v/>
      </c>
      <c r="X36" s="25" t="str">
        <f t="shared" si="2"/>
        <v/>
      </c>
      <c r="Y36" s="26" t="str">
        <f>IF($B36="","",ROUND(SUMIFS(包装物料出入库明细!$N$4:$N$2003,包装物料出入库明细!$D$4:$D$2003,$B36,包装物料出入库明细!$H$4:$H$2003,"销售出库",包装物料出入库明细!$B$4:$B$2003,"&gt;="&amp;$AF$1,包装物料出入库明细!$B$4:$B$2003,"&lt;="&amp;$AF$2),2))</f>
        <v/>
      </c>
      <c r="Z36" s="26" t="str">
        <f>IF($B36="","",ROUND(SUMIFS(包装物料出入库明细!$N$4:$N$2003,包装物料出入库明细!$D$4:$D$2003,$B36,包装物料出入库明细!$H$4:$H$2003,"销售出库",包装物料出入库明细!$P$4:$P$2003,"已收讫",包装物料出入库明细!$B$4:$B$2003,"&gt;="&amp;$AF$1,包装物料出入库明细!$B$4:$B$2003,"&lt;="&amp;$AF$2),2))</f>
        <v/>
      </c>
      <c r="AA36" s="26" t="str">
        <f t="shared" si="3"/>
        <v/>
      </c>
      <c r="AB36" s="41"/>
    </row>
    <row r="37" spans="1:28">
      <c r="A37" s="24" t="str">
        <f t="shared" si="0"/>
        <v/>
      </c>
      <c r="B37" s="24" t="str">
        <f>IFERROR(INDEX(_自动清单!$O$4:$O$203,ROW()-3),"")</f>
        <v/>
      </c>
      <c r="C37" s="25" t="str">
        <f>IF(OR($B37="",_自动清单!$G$4=""),"",SUMIFS(包装物料出入库明细!$J$4:$J$2003,包装物料出入库明细!$D$4:$D$2003,$B37,包装物料出入库明细!$E$4:$E$2003,_自动清单!$G$4,包装物料出入库明细!$B$4:$B$2003,"&gt;="&amp;$AF$1,包装物料出入库明细!$B$4:$B$2003,"&lt;="&amp;$AF$2))</f>
        <v/>
      </c>
      <c r="D37" s="25" t="str">
        <f>IF(OR($B37="",_自动清单!$G$5=""),"",SUMIFS(包装物料出入库明细!$J$4:$J$2003,包装物料出入库明细!$D$4:$D$2003,$B37,包装物料出入库明细!$E$4:$E$2003,_自动清单!$G$5,包装物料出入库明细!$B$4:$B$2003,"&gt;="&amp;$AF$1,包装物料出入库明细!$B$4:$B$2003,"&lt;="&amp;$AF$2))</f>
        <v/>
      </c>
      <c r="E37" s="25" t="str">
        <f>IF(OR($B37="",_自动清单!$G$6=""),"",SUMIFS(包装物料出入库明细!$J$4:$J$2003,包装物料出入库明细!$D$4:$D$2003,$B37,包装物料出入库明细!$E$4:$E$2003,_自动清单!$G$6,包装物料出入库明细!$B$4:$B$2003,"&gt;="&amp;$AF$1,包装物料出入库明细!$B$4:$B$2003,"&lt;="&amp;$AF$2))</f>
        <v/>
      </c>
      <c r="F37" s="25" t="str">
        <f>IF(OR($B37="",_自动清单!$G$7=""),"",SUMIFS(包装物料出入库明细!$J$4:$J$2003,包装物料出入库明细!$D$4:$D$2003,$B37,包装物料出入库明细!$E$4:$E$2003,_自动清单!$G$7,包装物料出入库明细!$B$4:$B$2003,"&gt;="&amp;$AF$1,包装物料出入库明细!$B$4:$B$2003,"&lt;="&amp;$AF$2))</f>
        <v/>
      </c>
      <c r="G37" s="25" t="str">
        <f>IF(OR($B37="",_自动清单!$G$8=""),"",SUMIFS(包装物料出入库明细!$J$4:$J$2003,包装物料出入库明细!$D$4:$D$2003,$B37,包装物料出入库明细!$E$4:$E$2003,_自动清单!$G$8,包装物料出入库明细!$B$4:$B$2003,"&gt;="&amp;$AF$1,包装物料出入库明细!$B$4:$B$2003,"&lt;="&amp;$AF$2))</f>
        <v/>
      </c>
      <c r="H37" s="25" t="str">
        <f>IF(OR($B37="",_自动清单!$G$9=""),"",SUMIFS(包装物料出入库明细!$J$4:$J$2003,包装物料出入库明细!$D$4:$D$2003,$B37,包装物料出入库明细!$E$4:$E$2003,_自动清单!$G$9,包装物料出入库明细!$B$4:$B$2003,"&gt;="&amp;$AF$1,包装物料出入库明细!$B$4:$B$2003,"&lt;="&amp;$AF$2))</f>
        <v/>
      </c>
      <c r="I37" s="25" t="str">
        <f>IF(OR($B37="",_自动清单!$G$10=""),"",SUMIFS(包装物料出入库明细!$J$4:$J$2003,包装物料出入库明细!$D$4:$D$2003,$B37,包装物料出入库明细!$E$4:$E$2003,_自动清单!$G$10,包装物料出入库明细!$B$4:$B$2003,"&gt;="&amp;$AF$1,包装物料出入库明细!$B$4:$B$2003,"&lt;="&amp;$AF$2))</f>
        <v/>
      </c>
      <c r="J37" s="25" t="str">
        <f>IF(OR($B37="",_自动清单!$G$11=""),"",SUMIFS(包装物料出入库明细!$J$4:$J$2003,包装物料出入库明细!$D$4:$D$2003,$B37,包装物料出入库明细!$E$4:$E$2003,_自动清单!$G$11,包装物料出入库明细!$B$4:$B$2003,"&gt;="&amp;$AF$1,包装物料出入库明细!$B$4:$B$2003,"&lt;="&amp;$AF$2))</f>
        <v/>
      </c>
      <c r="K37" s="25" t="str">
        <f>IF(OR($B37="",_自动清单!$G$12=""),"",SUMIFS(包装物料出入库明细!$J$4:$J$2003,包装物料出入库明细!$D$4:$D$2003,$B37,包装物料出入库明细!$E$4:$E$2003,_自动清单!$G$12,包装物料出入库明细!$B$4:$B$2003,"&gt;="&amp;$AF$1,包装物料出入库明细!$B$4:$B$2003,"&lt;="&amp;$AF$2))</f>
        <v/>
      </c>
      <c r="L37" s="25" t="str">
        <f>IF(OR($B37="",_自动清单!$G$13=""),"",SUMIFS(包装物料出入库明细!$J$4:$J$2003,包装物料出入库明细!$D$4:$D$2003,$B37,包装物料出入库明细!$E$4:$E$2003,_自动清单!$G$13,包装物料出入库明细!$B$4:$B$2003,"&gt;="&amp;$AF$1,包装物料出入库明细!$B$4:$B$2003,"&lt;="&amp;$AF$2))</f>
        <v/>
      </c>
      <c r="M37" s="25" t="str">
        <f>IF(OR($B37="",_自动清单!$G$14=""),"",SUMIFS(包装物料出入库明细!$J$4:$J$2003,包装物料出入库明细!$D$4:$D$2003,$B37,包装物料出入库明细!$E$4:$E$2003,_自动清单!$G$14,包装物料出入库明细!$B$4:$B$2003,"&gt;="&amp;$AF$1,包装物料出入库明细!$B$4:$B$2003,"&lt;="&amp;$AF$2))</f>
        <v/>
      </c>
      <c r="N37" s="25" t="str">
        <f>IF(OR($B37="",_自动清单!$G$15=""),"",SUMIFS(包装物料出入库明细!$J$4:$J$2003,包装物料出入库明细!$D$4:$D$2003,$B37,包装物料出入库明细!$E$4:$E$2003,_自动清单!$G$15,包装物料出入库明细!$B$4:$B$2003,"&gt;="&amp;$AF$1,包装物料出入库明细!$B$4:$B$2003,"&lt;="&amp;$AF$2))</f>
        <v/>
      </c>
      <c r="O37" s="25" t="str">
        <f>IF(OR($B37="",_自动清单!$G$16=""),"",SUMIFS(包装物料出入库明细!$J$4:$J$2003,包装物料出入库明细!$D$4:$D$2003,$B37,包装物料出入库明细!$E$4:$E$2003,_自动清单!$G$16,包装物料出入库明细!$B$4:$B$2003,"&gt;="&amp;$AF$1,包装物料出入库明细!$B$4:$B$2003,"&lt;="&amp;$AF$2))</f>
        <v/>
      </c>
      <c r="P37" s="25" t="str">
        <f>IF(OR($B37="",_自动清单!$G$17=""),"",SUMIFS(包装物料出入库明细!$J$4:$J$2003,包装物料出入库明细!$D$4:$D$2003,$B37,包装物料出入库明细!$E$4:$E$2003,_自动清单!$G$17,包装物料出入库明细!$B$4:$B$2003,"&gt;="&amp;$AF$1,包装物料出入库明细!$B$4:$B$2003,"&lt;="&amp;$AF$2))</f>
        <v/>
      </c>
      <c r="Q37" s="25" t="str">
        <f>IF(OR($B37="",_自动清单!$G$18=""),"",SUMIFS(包装物料出入库明细!$J$4:$J$2003,包装物料出入库明细!$D$4:$D$2003,$B37,包装物料出入库明细!$E$4:$E$2003,_自动清单!$G$18,包装物料出入库明细!$B$4:$B$2003,"&gt;="&amp;$AF$1,包装物料出入库明细!$B$4:$B$2003,"&lt;="&amp;$AF$2))</f>
        <v/>
      </c>
      <c r="R37" s="25" t="str">
        <f>IF(OR($B37="",_自动清单!$G$19=""),"",SUMIFS(包装物料出入库明细!$J$4:$J$2003,包装物料出入库明细!$D$4:$D$2003,$B37,包装物料出入库明细!$E$4:$E$2003,_自动清单!$G$19,包装物料出入库明细!$B$4:$B$2003,"&gt;="&amp;$AF$1,包装物料出入库明细!$B$4:$B$2003,"&lt;="&amp;$AF$2))</f>
        <v/>
      </c>
      <c r="S37" s="25" t="str">
        <f>IF(OR($B37="",_自动清单!$G$20=""),"",SUMIFS(包装物料出入库明细!$J$4:$J$2003,包装物料出入库明细!$D$4:$D$2003,$B37,包装物料出入库明细!$E$4:$E$2003,_自动清单!$G$20,包装物料出入库明细!$B$4:$B$2003,"&gt;="&amp;$AF$1,包装物料出入库明细!$B$4:$B$2003,"&lt;="&amp;$AF$2))</f>
        <v/>
      </c>
      <c r="T37" s="25" t="str">
        <f>IF(OR($B37="",_自动清单!$G$21=""),"",SUMIFS(包装物料出入库明细!$J$4:$J$2003,包装物料出入库明细!$D$4:$D$2003,$B37,包装物料出入库明细!$E$4:$E$2003,_自动清单!$G$21,包装物料出入库明细!$B$4:$B$2003,"&gt;="&amp;$AF$1,包装物料出入库明细!$B$4:$B$2003,"&lt;="&amp;$AF$2))</f>
        <v/>
      </c>
      <c r="U37" s="25" t="str">
        <f>IF($B37="","",SUMIFS(包装物料出入库明细!$J$4:$J$2003,包装物料出入库明细!$D$4:$D$2003,$B37,包装物料出入库明细!$B$4:$B$2003,"&gt;="&amp;$AF$1,包装物料出入库明细!$B$4:$B$2003,"&lt;="&amp;$AF$2)-SUM($C37:$T37))</f>
        <v/>
      </c>
      <c r="V37" s="25" t="str">
        <f t="shared" si="1"/>
        <v/>
      </c>
      <c r="W37" s="56" t="str">
        <f>IF($B37="","",SUMIFS(包装物料出入库明细!$K$4:$K$2003,包装物料出入库明细!$D$4:$D$2003,$B37,包装物料出入库明细!$B$4:$B$2003,"&gt;="&amp;$AF$1,包装物料出入库明细!$B$4:$B$2003,"&lt;="&amp;$AF$2))</f>
        <v/>
      </c>
      <c r="X37" s="25" t="str">
        <f t="shared" si="2"/>
        <v/>
      </c>
      <c r="Y37" s="26" t="str">
        <f>IF($B37="","",ROUND(SUMIFS(包装物料出入库明细!$N$4:$N$2003,包装物料出入库明细!$D$4:$D$2003,$B37,包装物料出入库明细!$H$4:$H$2003,"销售出库",包装物料出入库明细!$B$4:$B$2003,"&gt;="&amp;$AF$1,包装物料出入库明细!$B$4:$B$2003,"&lt;="&amp;$AF$2),2))</f>
        <v/>
      </c>
      <c r="Z37" s="26" t="str">
        <f>IF($B37="","",ROUND(SUMIFS(包装物料出入库明细!$N$4:$N$2003,包装物料出入库明细!$D$4:$D$2003,$B37,包装物料出入库明细!$H$4:$H$2003,"销售出库",包装物料出入库明细!$P$4:$P$2003,"已收讫",包装物料出入库明细!$B$4:$B$2003,"&gt;="&amp;$AF$1,包装物料出入库明细!$B$4:$B$2003,"&lt;="&amp;$AF$2),2))</f>
        <v/>
      </c>
      <c r="AA37" s="26" t="str">
        <f t="shared" si="3"/>
        <v/>
      </c>
      <c r="AB37" s="41"/>
    </row>
    <row r="38" spans="1:28">
      <c r="A38" s="24" t="str">
        <f t="shared" si="0"/>
        <v/>
      </c>
      <c r="B38" s="24" t="str">
        <f>IFERROR(INDEX(_自动清单!$O$4:$O$203,ROW()-3),"")</f>
        <v/>
      </c>
      <c r="C38" s="25" t="str">
        <f>IF(OR($B38="",_自动清单!$G$4=""),"",SUMIFS(包装物料出入库明细!$J$4:$J$2003,包装物料出入库明细!$D$4:$D$2003,$B38,包装物料出入库明细!$E$4:$E$2003,_自动清单!$G$4,包装物料出入库明细!$B$4:$B$2003,"&gt;="&amp;$AF$1,包装物料出入库明细!$B$4:$B$2003,"&lt;="&amp;$AF$2))</f>
        <v/>
      </c>
      <c r="D38" s="25" t="str">
        <f>IF(OR($B38="",_自动清单!$G$5=""),"",SUMIFS(包装物料出入库明细!$J$4:$J$2003,包装物料出入库明细!$D$4:$D$2003,$B38,包装物料出入库明细!$E$4:$E$2003,_自动清单!$G$5,包装物料出入库明细!$B$4:$B$2003,"&gt;="&amp;$AF$1,包装物料出入库明细!$B$4:$B$2003,"&lt;="&amp;$AF$2))</f>
        <v/>
      </c>
      <c r="E38" s="25" t="str">
        <f>IF(OR($B38="",_自动清单!$G$6=""),"",SUMIFS(包装物料出入库明细!$J$4:$J$2003,包装物料出入库明细!$D$4:$D$2003,$B38,包装物料出入库明细!$E$4:$E$2003,_自动清单!$G$6,包装物料出入库明细!$B$4:$B$2003,"&gt;="&amp;$AF$1,包装物料出入库明细!$B$4:$B$2003,"&lt;="&amp;$AF$2))</f>
        <v/>
      </c>
      <c r="F38" s="25" t="str">
        <f>IF(OR($B38="",_自动清单!$G$7=""),"",SUMIFS(包装物料出入库明细!$J$4:$J$2003,包装物料出入库明细!$D$4:$D$2003,$B38,包装物料出入库明细!$E$4:$E$2003,_自动清单!$G$7,包装物料出入库明细!$B$4:$B$2003,"&gt;="&amp;$AF$1,包装物料出入库明细!$B$4:$B$2003,"&lt;="&amp;$AF$2))</f>
        <v/>
      </c>
      <c r="G38" s="25" t="str">
        <f>IF(OR($B38="",_自动清单!$G$8=""),"",SUMIFS(包装物料出入库明细!$J$4:$J$2003,包装物料出入库明细!$D$4:$D$2003,$B38,包装物料出入库明细!$E$4:$E$2003,_自动清单!$G$8,包装物料出入库明细!$B$4:$B$2003,"&gt;="&amp;$AF$1,包装物料出入库明细!$B$4:$B$2003,"&lt;="&amp;$AF$2))</f>
        <v/>
      </c>
      <c r="H38" s="25" t="str">
        <f>IF(OR($B38="",_自动清单!$G$9=""),"",SUMIFS(包装物料出入库明细!$J$4:$J$2003,包装物料出入库明细!$D$4:$D$2003,$B38,包装物料出入库明细!$E$4:$E$2003,_自动清单!$G$9,包装物料出入库明细!$B$4:$B$2003,"&gt;="&amp;$AF$1,包装物料出入库明细!$B$4:$B$2003,"&lt;="&amp;$AF$2))</f>
        <v/>
      </c>
      <c r="I38" s="25" t="str">
        <f>IF(OR($B38="",_自动清单!$G$10=""),"",SUMIFS(包装物料出入库明细!$J$4:$J$2003,包装物料出入库明细!$D$4:$D$2003,$B38,包装物料出入库明细!$E$4:$E$2003,_自动清单!$G$10,包装物料出入库明细!$B$4:$B$2003,"&gt;="&amp;$AF$1,包装物料出入库明细!$B$4:$B$2003,"&lt;="&amp;$AF$2))</f>
        <v/>
      </c>
      <c r="J38" s="25" t="str">
        <f>IF(OR($B38="",_自动清单!$G$11=""),"",SUMIFS(包装物料出入库明细!$J$4:$J$2003,包装物料出入库明细!$D$4:$D$2003,$B38,包装物料出入库明细!$E$4:$E$2003,_自动清单!$G$11,包装物料出入库明细!$B$4:$B$2003,"&gt;="&amp;$AF$1,包装物料出入库明细!$B$4:$B$2003,"&lt;="&amp;$AF$2))</f>
        <v/>
      </c>
      <c r="K38" s="25" t="str">
        <f>IF(OR($B38="",_自动清单!$G$12=""),"",SUMIFS(包装物料出入库明细!$J$4:$J$2003,包装物料出入库明细!$D$4:$D$2003,$B38,包装物料出入库明细!$E$4:$E$2003,_自动清单!$G$12,包装物料出入库明细!$B$4:$B$2003,"&gt;="&amp;$AF$1,包装物料出入库明细!$B$4:$B$2003,"&lt;="&amp;$AF$2))</f>
        <v/>
      </c>
      <c r="L38" s="25" t="str">
        <f>IF(OR($B38="",_自动清单!$G$13=""),"",SUMIFS(包装物料出入库明细!$J$4:$J$2003,包装物料出入库明细!$D$4:$D$2003,$B38,包装物料出入库明细!$E$4:$E$2003,_自动清单!$G$13,包装物料出入库明细!$B$4:$B$2003,"&gt;="&amp;$AF$1,包装物料出入库明细!$B$4:$B$2003,"&lt;="&amp;$AF$2))</f>
        <v/>
      </c>
      <c r="M38" s="25" t="str">
        <f>IF(OR($B38="",_自动清单!$G$14=""),"",SUMIFS(包装物料出入库明细!$J$4:$J$2003,包装物料出入库明细!$D$4:$D$2003,$B38,包装物料出入库明细!$E$4:$E$2003,_自动清单!$G$14,包装物料出入库明细!$B$4:$B$2003,"&gt;="&amp;$AF$1,包装物料出入库明细!$B$4:$B$2003,"&lt;="&amp;$AF$2))</f>
        <v/>
      </c>
      <c r="N38" s="25" t="str">
        <f>IF(OR($B38="",_自动清单!$G$15=""),"",SUMIFS(包装物料出入库明细!$J$4:$J$2003,包装物料出入库明细!$D$4:$D$2003,$B38,包装物料出入库明细!$E$4:$E$2003,_自动清单!$G$15,包装物料出入库明细!$B$4:$B$2003,"&gt;="&amp;$AF$1,包装物料出入库明细!$B$4:$B$2003,"&lt;="&amp;$AF$2))</f>
        <v/>
      </c>
      <c r="O38" s="25" t="str">
        <f>IF(OR($B38="",_自动清单!$G$16=""),"",SUMIFS(包装物料出入库明细!$J$4:$J$2003,包装物料出入库明细!$D$4:$D$2003,$B38,包装物料出入库明细!$E$4:$E$2003,_自动清单!$G$16,包装物料出入库明细!$B$4:$B$2003,"&gt;="&amp;$AF$1,包装物料出入库明细!$B$4:$B$2003,"&lt;="&amp;$AF$2))</f>
        <v/>
      </c>
      <c r="P38" s="25" t="str">
        <f>IF(OR($B38="",_自动清单!$G$17=""),"",SUMIFS(包装物料出入库明细!$J$4:$J$2003,包装物料出入库明细!$D$4:$D$2003,$B38,包装物料出入库明细!$E$4:$E$2003,_自动清单!$G$17,包装物料出入库明细!$B$4:$B$2003,"&gt;="&amp;$AF$1,包装物料出入库明细!$B$4:$B$2003,"&lt;="&amp;$AF$2))</f>
        <v/>
      </c>
      <c r="Q38" s="25" t="str">
        <f>IF(OR($B38="",_自动清单!$G$18=""),"",SUMIFS(包装物料出入库明细!$J$4:$J$2003,包装物料出入库明细!$D$4:$D$2003,$B38,包装物料出入库明细!$E$4:$E$2003,_自动清单!$G$18,包装物料出入库明细!$B$4:$B$2003,"&gt;="&amp;$AF$1,包装物料出入库明细!$B$4:$B$2003,"&lt;="&amp;$AF$2))</f>
        <v/>
      </c>
      <c r="R38" s="25" t="str">
        <f>IF(OR($B38="",_自动清单!$G$19=""),"",SUMIFS(包装物料出入库明细!$J$4:$J$2003,包装物料出入库明细!$D$4:$D$2003,$B38,包装物料出入库明细!$E$4:$E$2003,_自动清单!$G$19,包装物料出入库明细!$B$4:$B$2003,"&gt;="&amp;$AF$1,包装物料出入库明细!$B$4:$B$2003,"&lt;="&amp;$AF$2))</f>
        <v/>
      </c>
      <c r="S38" s="25" t="str">
        <f>IF(OR($B38="",_自动清单!$G$20=""),"",SUMIFS(包装物料出入库明细!$J$4:$J$2003,包装物料出入库明细!$D$4:$D$2003,$B38,包装物料出入库明细!$E$4:$E$2003,_自动清单!$G$20,包装物料出入库明细!$B$4:$B$2003,"&gt;="&amp;$AF$1,包装物料出入库明细!$B$4:$B$2003,"&lt;="&amp;$AF$2))</f>
        <v/>
      </c>
      <c r="T38" s="25" t="str">
        <f>IF(OR($B38="",_自动清单!$G$21=""),"",SUMIFS(包装物料出入库明细!$J$4:$J$2003,包装物料出入库明细!$D$4:$D$2003,$B38,包装物料出入库明细!$E$4:$E$2003,_自动清单!$G$21,包装物料出入库明细!$B$4:$B$2003,"&gt;="&amp;$AF$1,包装物料出入库明细!$B$4:$B$2003,"&lt;="&amp;$AF$2))</f>
        <v/>
      </c>
      <c r="U38" s="25" t="str">
        <f>IF($B38="","",SUMIFS(包装物料出入库明细!$J$4:$J$2003,包装物料出入库明细!$D$4:$D$2003,$B38,包装物料出入库明细!$B$4:$B$2003,"&gt;="&amp;$AF$1,包装物料出入库明细!$B$4:$B$2003,"&lt;="&amp;$AF$2)-SUM($C38:$T38))</f>
        <v/>
      </c>
      <c r="V38" s="25" t="str">
        <f t="shared" si="1"/>
        <v/>
      </c>
      <c r="W38" s="56" t="str">
        <f>IF($B38="","",SUMIFS(包装物料出入库明细!$K$4:$K$2003,包装物料出入库明细!$D$4:$D$2003,$B38,包装物料出入库明细!$B$4:$B$2003,"&gt;="&amp;$AF$1,包装物料出入库明细!$B$4:$B$2003,"&lt;="&amp;$AF$2))</f>
        <v/>
      </c>
      <c r="X38" s="25" t="str">
        <f t="shared" si="2"/>
        <v/>
      </c>
      <c r="Y38" s="26" t="str">
        <f>IF($B38="","",ROUND(SUMIFS(包装物料出入库明细!$N$4:$N$2003,包装物料出入库明细!$D$4:$D$2003,$B38,包装物料出入库明细!$H$4:$H$2003,"销售出库",包装物料出入库明细!$B$4:$B$2003,"&gt;="&amp;$AF$1,包装物料出入库明细!$B$4:$B$2003,"&lt;="&amp;$AF$2),2))</f>
        <v/>
      </c>
      <c r="Z38" s="26" t="str">
        <f>IF($B38="","",ROUND(SUMIFS(包装物料出入库明细!$N$4:$N$2003,包装物料出入库明细!$D$4:$D$2003,$B38,包装物料出入库明细!$H$4:$H$2003,"销售出库",包装物料出入库明细!$P$4:$P$2003,"已收讫",包装物料出入库明细!$B$4:$B$2003,"&gt;="&amp;$AF$1,包装物料出入库明细!$B$4:$B$2003,"&lt;="&amp;$AF$2),2))</f>
        <v/>
      </c>
      <c r="AA38" s="26" t="str">
        <f t="shared" si="3"/>
        <v/>
      </c>
      <c r="AB38" s="41"/>
    </row>
    <row r="39" spans="1:28">
      <c r="A39" s="24" t="str">
        <f t="shared" si="0"/>
        <v/>
      </c>
      <c r="B39" s="24" t="str">
        <f>IFERROR(INDEX(_自动清单!$O$4:$O$203,ROW()-3),"")</f>
        <v/>
      </c>
      <c r="C39" s="25" t="str">
        <f>IF(OR($B39="",_自动清单!$G$4=""),"",SUMIFS(包装物料出入库明细!$J$4:$J$2003,包装物料出入库明细!$D$4:$D$2003,$B39,包装物料出入库明细!$E$4:$E$2003,_自动清单!$G$4,包装物料出入库明细!$B$4:$B$2003,"&gt;="&amp;$AF$1,包装物料出入库明细!$B$4:$B$2003,"&lt;="&amp;$AF$2))</f>
        <v/>
      </c>
      <c r="D39" s="25" t="str">
        <f>IF(OR($B39="",_自动清单!$G$5=""),"",SUMIFS(包装物料出入库明细!$J$4:$J$2003,包装物料出入库明细!$D$4:$D$2003,$B39,包装物料出入库明细!$E$4:$E$2003,_自动清单!$G$5,包装物料出入库明细!$B$4:$B$2003,"&gt;="&amp;$AF$1,包装物料出入库明细!$B$4:$B$2003,"&lt;="&amp;$AF$2))</f>
        <v/>
      </c>
      <c r="E39" s="25" t="str">
        <f>IF(OR($B39="",_自动清单!$G$6=""),"",SUMIFS(包装物料出入库明细!$J$4:$J$2003,包装物料出入库明细!$D$4:$D$2003,$B39,包装物料出入库明细!$E$4:$E$2003,_自动清单!$G$6,包装物料出入库明细!$B$4:$B$2003,"&gt;="&amp;$AF$1,包装物料出入库明细!$B$4:$B$2003,"&lt;="&amp;$AF$2))</f>
        <v/>
      </c>
      <c r="F39" s="25" t="str">
        <f>IF(OR($B39="",_自动清单!$G$7=""),"",SUMIFS(包装物料出入库明细!$J$4:$J$2003,包装物料出入库明细!$D$4:$D$2003,$B39,包装物料出入库明细!$E$4:$E$2003,_自动清单!$G$7,包装物料出入库明细!$B$4:$B$2003,"&gt;="&amp;$AF$1,包装物料出入库明细!$B$4:$B$2003,"&lt;="&amp;$AF$2))</f>
        <v/>
      </c>
      <c r="G39" s="25" t="str">
        <f>IF(OR($B39="",_自动清单!$G$8=""),"",SUMIFS(包装物料出入库明细!$J$4:$J$2003,包装物料出入库明细!$D$4:$D$2003,$B39,包装物料出入库明细!$E$4:$E$2003,_自动清单!$G$8,包装物料出入库明细!$B$4:$B$2003,"&gt;="&amp;$AF$1,包装物料出入库明细!$B$4:$B$2003,"&lt;="&amp;$AF$2))</f>
        <v/>
      </c>
      <c r="H39" s="25" t="str">
        <f>IF(OR($B39="",_自动清单!$G$9=""),"",SUMIFS(包装物料出入库明细!$J$4:$J$2003,包装物料出入库明细!$D$4:$D$2003,$B39,包装物料出入库明细!$E$4:$E$2003,_自动清单!$G$9,包装物料出入库明细!$B$4:$B$2003,"&gt;="&amp;$AF$1,包装物料出入库明细!$B$4:$B$2003,"&lt;="&amp;$AF$2))</f>
        <v/>
      </c>
      <c r="I39" s="25" t="str">
        <f>IF(OR($B39="",_自动清单!$G$10=""),"",SUMIFS(包装物料出入库明细!$J$4:$J$2003,包装物料出入库明细!$D$4:$D$2003,$B39,包装物料出入库明细!$E$4:$E$2003,_自动清单!$G$10,包装物料出入库明细!$B$4:$B$2003,"&gt;="&amp;$AF$1,包装物料出入库明细!$B$4:$B$2003,"&lt;="&amp;$AF$2))</f>
        <v/>
      </c>
      <c r="J39" s="25" t="str">
        <f>IF(OR($B39="",_自动清单!$G$11=""),"",SUMIFS(包装物料出入库明细!$J$4:$J$2003,包装物料出入库明细!$D$4:$D$2003,$B39,包装物料出入库明细!$E$4:$E$2003,_自动清单!$G$11,包装物料出入库明细!$B$4:$B$2003,"&gt;="&amp;$AF$1,包装物料出入库明细!$B$4:$B$2003,"&lt;="&amp;$AF$2))</f>
        <v/>
      </c>
      <c r="K39" s="25" t="str">
        <f>IF(OR($B39="",_自动清单!$G$12=""),"",SUMIFS(包装物料出入库明细!$J$4:$J$2003,包装物料出入库明细!$D$4:$D$2003,$B39,包装物料出入库明细!$E$4:$E$2003,_自动清单!$G$12,包装物料出入库明细!$B$4:$B$2003,"&gt;="&amp;$AF$1,包装物料出入库明细!$B$4:$B$2003,"&lt;="&amp;$AF$2))</f>
        <v/>
      </c>
      <c r="L39" s="25" t="str">
        <f>IF(OR($B39="",_自动清单!$G$13=""),"",SUMIFS(包装物料出入库明细!$J$4:$J$2003,包装物料出入库明细!$D$4:$D$2003,$B39,包装物料出入库明细!$E$4:$E$2003,_自动清单!$G$13,包装物料出入库明细!$B$4:$B$2003,"&gt;="&amp;$AF$1,包装物料出入库明细!$B$4:$B$2003,"&lt;="&amp;$AF$2))</f>
        <v/>
      </c>
      <c r="M39" s="25" t="str">
        <f>IF(OR($B39="",_自动清单!$G$14=""),"",SUMIFS(包装物料出入库明细!$J$4:$J$2003,包装物料出入库明细!$D$4:$D$2003,$B39,包装物料出入库明细!$E$4:$E$2003,_自动清单!$G$14,包装物料出入库明细!$B$4:$B$2003,"&gt;="&amp;$AF$1,包装物料出入库明细!$B$4:$B$2003,"&lt;="&amp;$AF$2))</f>
        <v/>
      </c>
      <c r="N39" s="25" t="str">
        <f>IF(OR($B39="",_自动清单!$G$15=""),"",SUMIFS(包装物料出入库明细!$J$4:$J$2003,包装物料出入库明细!$D$4:$D$2003,$B39,包装物料出入库明细!$E$4:$E$2003,_自动清单!$G$15,包装物料出入库明细!$B$4:$B$2003,"&gt;="&amp;$AF$1,包装物料出入库明细!$B$4:$B$2003,"&lt;="&amp;$AF$2))</f>
        <v/>
      </c>
      <c r="O39" s="25" t="str">
        <f>IF(OR($B39="",_自动清单!$G$16=""),"",SUMIFS(包装物料出入库明细!$J$4:$J$2003,包装物料出入库明细!$D$4:$D$2003,$B39,包装物料出入库明细!$E$4:$E$2003,_自动清单!$G$16,包装物料出入库明细!$B$4:$B$2003,"&gt;="&amp;$AF$1,包装物料出入库明细!$B$4:$B$2003,"&lt;="&amp;$AF$2))</f>
        <v/>
      </c>
      <c r="P39" s="25" t="str">
        <f>IF(OR($B39="",_自动清单!$G$17=""),"",SUMIFS(包装物料出入库明细!$J$4:$J$2003,包装物料出入库明细!$D$4:$D$2003,$B39,包装物料出入库明细!$E$4:$E$2003,_自动清单!$G$17,包装物料出入库明细!$B$4:$B$2003,"&gt;="&amp;$AF$1,包装物料出入库明细!$B$4:$B$2003,"&lt;="&amp;$AF$2))</f>
        <v/>
      </c>
      <c r="Q39" s="25" t="str">
        <f>IF(OR($B39="",_自动清单!$G$18=""),"",SUMIFS(包装物料出入库明细!$J$4:$J$2003,包装物料出入库明细!$D$4:$D$2003,$B39,包装物料出入库明细!$E$4:$E$2003,_自动清单!$G$18,包装物料出入库明细!$B$4:$B$2003,"&gt;="&amp;$AF$1,包装物料出入库明细!$B$4:$B$2003,"&lt;="&amp;$AF$2))</f>
        <v/>
      </c>
      <c r="R39" s="25" t="str">
        <f>IF(OR($B39="",_自动清单!$G$19=""),"",SUMIFS(包装物料出入库明细!$J$4:$J$2003,包装物料出入库明细!$D$4:$D$2003,$B39,包装物料出入库明细!$E$4:$E$2003,_自动清单!$G$19,包装物料出入库明细!$B$4:$B$2003,"&gt;="&amp;$AF$1,包装物料出入库明细!$B$4:$B$2003,"&lt;="&amp;$AF$2))</f>
        <v/>
      </c>
      <c r="S39" s="25" t="str">
        <f>IF(OR($B39="",_自动清单!$G$20=""),"",SUMIFS(包装物料出入库明细!$J$4:$J$2003,包装物料出入库明细!$D$4:$D$2003,$B39,包装物料出入库明细!$E$4:$E$2003,_自动清单!$G$20,包装物料出入库明细!$B$4:$B$2003,"&gt;="&amp;$AF$1,包装物料出入库明细!$B$4:$B$2003,"&lt;="&amp;$AF$2))</f>
        <v/>
      </c>
      <c r="T39" s="25" t="str">
        <f>IF(OR($B39="",_自动清单!$G$21=""),"",SUMIFS(包装物料出入库明细!$J$4:$J$2003,包装物料出入库明细!$D$4:$D$2003,$B39,包装物料出入库明细!$E$4:$E$2003,_自动清单!$G$21,包装物料出入库明细!$B$4:$B$2003,"&gt;="&amp;$AF$1,包装物料出入库明细!$B$4:$B$2003,"&lt;="&amp;$AF$2))</f>
        <v/>
      </c>
      <c r="U39" s="25" t="str">
        <f>IF($B39="","",SUMIFS(包装物料出入库明细!$J$4:$J$2003,包装物料出入库明细!$D$4:$D$2003,$B39,包装物料出入库明细!$B$4:$B$2003,"&gt;="&amp;$AF$1,包装物料出入库明细!$B$4:$B$2003,"&lt;="&amp;$AF$2)-SUM($C39:$T39))</f>
        <v/>
      </c>
      <c r="V39" s="25" t="str">
        <f t="shared" si="1"/>
        <v/>
      </c>
      <c r="W39" s="56" t="str">
        <f>IF($B39="","",SUMIFS(包装物料出入库明细!$K$4:$K$2003,包装物料出入库明细!$D$4:$D$2003,$B39,包装物料出入库明细!$B$4:$B$2003,"&gt;="&amp;$AF$1,包装物料出入库明细!$B$4:$B$2003,"&lt;="&amp;$AF$2))</f>
        <v/>
      </c>
      <c r="X39" s="25" t="str">
        <f t="shared" si="2"/>
        <v/>
      </c>
      <c r="Y39" s="26" t="str">
        <f>IF($B39="","",ROUND(SUMIFS(包装物料出入库明细!$N$4:$N$2003,包装物料出入库明细!$D$4:$D$2003,$B39,包装物料出入库明细!$H$4:$H$2003,"销售出库",包装物料出入库明细!$B$4:$B$2003,"&gt;="&amp;$AF$1,包装物料出入库明细!$B$4:$B$2003,"&lt;="&amp;$AF$2),2))</f>
        <v/>
      </c>
      <c r="Z39" s="26" t="str">
        <f>IF($B39="","",ROUND(SUMIFS(包装物料出入库明细!$N$4:$N$2003,包装物料出入库明细!$D$4:$D$2003,$B39,包装物料出入库明细!$H$4:$H$2003,"销售出库",包装物料出入库明细!$P$4:$P$2003,"已收讫",包装物料出入库明细!$B$4:$B$2003,"&gt;="&amp;$AF$1,包装物料出入库明细!$B$4:$B$2003,"&lt;="&amp;$AF$2),2))</f>
        <v/>
      </c>
      <c r="AA39" s="26" t="str">
        <f t="shared" si="3"/>
        <v/>
      </c>
      <c r="AB39" s="41"/>
    </row>
    <row r="40" spans="1:28">
      <c r="A40" s="24" t="str">
        <f t="shared" si="0"/>
        <v/>
      </c>
      <c r="B40" s="24" t="str">
        <f>IFERROR(INDEX(_自动清单!$O$4:$O$203,ROW()-3),"")</f>
        <v/>
      </c>
      <c r="C40" s="25" t="str">
        <f>IF(OR($B40="",_自动清单!$G$4=""),"",SUMIFS(包装物料出入库明细!$J$4:$J$2003,包装物料出入库明细!$D$4:$D$2003,$B40,包装物料出入库明细!$E$4:$E$2003,_自动清单!$G$4,包装物料出入库明细!$B$4:$B$2003,"&gt;="&amp;$AF$1,包装物料出入库明细!$B$4:$B$2003,"&lt;="&amp;$AF$2))</f>
        <v/>
      </c>
      <c r="D40" s="25" t="str">
        <f>IF(OR($B40="",_自动清单!$G$5=""),"",SUMIFS(包装物料出入库明细!$J$4:$J$2003,包装物料出入库明细!$D$4:$D$2003,$B40,包装物料出入库明细!$E$4:$E$2003,_自动清单!$G$5,包装物料出入库明细!$B$4:$B$2003,"&gt;="&amp;$AF$1,包装物料出入库明细!$B$4:$B$2003,"&lt;="&amp;$AF$2))</f>
        <v/>
      </c>
      <c r="E40" s="25" t="str">
        <f>IF(OR($B40="",_自动清单!$G$6=""),"",SUMIFS(包装物料出入库明细!$J$4:$J$2003,包装物料出入库明细!$D$4:$D$2003,$B40,包装物料出入库明细!$E$4:$E$2003,_自动清单!$G$6,包装物料出入库明细!$B$4:$B$2003,"&gt;="&amp;$AF$1,包装物料出入库明细!$B$4:$B$2003,"&lt;="&amp;$AF$2))</f>
        <v/>
      </c>
      <c r="F40" s="25" t="str">
        <f>IF(OR($B40="",_自动清单!$G$7=""),"",SUMIFS(包装物料出入库明细!$J$4:$J$2003,包装物料出入库明细!$D$4:$D$2003,$B40,包装物料出入库明细!$E$4:$E$2003,_自动清单!$G$7,包装物料出入库明细!$B$4:$B$2003,"&gt;="&amp;$AF$1,包装物料出入库明细!$B$4:$B$2003,"&lt;="&amp;$AF$2))</f>
        <v/>
      </c>
      <c r="G40" s="25" t="str">
        <f>IF(OR($B40="",_自动清单!$G$8=""),"",SUMIFS(包装物料出入库明细!$J$4:$J$2003,包装物料出入库明细!$D$4:$D$2003,$B40,包装物料出入库明细!$E$4:$E$2003,_自动清单!$G$8,包装物料出入库明细!$B$4:$B$2003,"&gt;="&amp;$AF$1,包装物料出入库明细!$B$4:$B$2003,"&lt;="&amp;$AF$2))</f>
        <v/>
      </c>
      <c r="H40" s="25" t="str">
        <f>IF(OR($B40="",_自动清单!$G$9=""),"",SUMIFS(包装物料出入库明细!$J$4:$J$2003,包装物料出入库明细!$D$4:$D$2003,$B40,包装物料出入库明细!$E$4:$E$2003,_自动清单!$G$9,包装物料出入库明细!$B$4:$B$2003,"&gt;="&amp;$AF$1,包装物料出入库明细!$B$4:$B$2003,"&lt;="&amp;$AF$2))</f>
        <v/>
      </c>
      <c r="I40" s="25" t="str">
        <f>IF(OR($B40="",_自动清单!$G$10=""),"",SUMIFS(包装物料出入库明细!$J$4:$J$2003,包装物料出入库明细!$D$4:$D$2003,$B40,包装物料出入库明细!$E$4:$E$2003,_自动清单!$G$10,包装物料出入库明细!$B$4:$B$2003,"&gt;="&amp;$AF$1,包装物料出入库明细!$B$4:$B$2003,"&lt;="&amp;$AF$2))</f>
        <v/>
      </c>
      <c r="J40" s="25" t="str">
        <f>IF(OR($B40="",_自动清单!$G$11=""),"",SUMIFS(包装物料出入库明细!$J$4:$J$2003,包装物料出入库明细!$D$4:$D$2003,$B40,包装物料出入库明细!$E$4:$E$2003,_自动清单!$G$11,包装物料出入库明细!$B$4:$B$2003,"&gt;="&amp;$AF$1,包装物料出入库明细!$B$4:$B$2003,"&lt;="&amp;$AF$2))</f>
        <v/>
      </c>
      <c r="K40" s="25" t="str">
        <f>IF(OR($B40="",_自动清单!$G$12=""),"",SUMIFS(包装物料出入库明细!$J$4:$J$2003,包装物料出入库明细!$D$4:$D$2003,$B40,包装物料出入库明细!$E$4:$E$2003,_自动清单!$G$12,包装物料出入库明细!$B$4:$B$2003,"&gt;="&amp;$AF$1,包装物料出入库明细!$B$4:$B$2003,"&lt;="&amp;$AF$2))</f>
        <v/>
      </c>
      <c r="L40" s="25" t="str">
        <f>IF(OR($B40="",_自动清单!$G$13=""),"",SUMIFS(包装物料出入库明细!$J$4:$J$2003,包装物料出入库明细!$D$4:$D$2003,$B40,包装物料出入库明细!$E$4:$E$2003,_自动清单!$G$13,包装物料出入库明细!$B$4:$B$2003,"&gt;="&amp;$AF$1,包装物料出入库明细!$B$4:$B$2003,"&lt;="&amp;$AF$2))</f>
        <v/>
      </c>
      <c r="M40" s="25" t="str">
        <f>IF(OR($B40="",_自动清单!$G$14=""),"",SUMIFS(包装物料出入库明细!$J$4:$J$2003,包装物料出入库明细!$D$4:$D$2003,$B40,包装物料出入库明细!$E$4:$E$2003,_自动清单!$G$14,包装物料出入库明细!$B$4:$B$2003,"&gt;="&amp;$AF$1,包装物料出入库明细!$B$4:$B$2003,"&lt;="&amp;$AF$2))</f>
        <v/>
      </c>
      <c r="N40" s="25" t="str">
        <f>IF(OR($B40="",_自动清单!$G$15=""),"",SUMIFS(包装物料出入库明细!$J$4:$J$2003,包装物料出入库明细!$D$4:$D$2003,$B40,包装物料出入库明细!$E$4:$E$2003,_自动清单!$G$15,包装物料出入库明细!$B$4:$B$2003,"&gt;="&amp;$AF$1,包装物料出入库明细!$B$4:$B$2003,"&lt;="&amp;$AF$2))</f>
        <v/>
      </c>
      <c r="O40" s="25" t="str">
        <f>IF(OR($B40="",_自动清单!$G$16=""),"",SUMIFS(包装物料出入库明细!$J$4:$J$2003,包装物料出入库明细!$D$4:$D$2003,$B40,包装物料出入库明细!$E$4:$E$2003,_自动清单!$G$16,包装物料出入库明细!$B$4:$B$2003,"&gt;="&amp;$AF$1,包装物料出入库明细!$B$4:$B$2003,"&lt;="&amp;$AF$2))</f>
        <v/>
      </c>
      <c r="P40" s="25" t="str">
        <f>IF(OR($B40="",_自动清单!$G$17=""),"",SUMIFS(包装物料出入库明细!$J$4:$J$2003,包装物料出入库明细!$D$4:$D$2003,$B40,包装物料出入库明细!$E$4:$E$2003,_自动清单!$G$17,包装物料出入库明细!$B$4:$B$2003,"&gt;="&amp;$AF$1,包装物料出入库明细!$B$4:$B$2003,"&lt;="&amp;$AF$2))</f>
        <v/>
      </c>
      <c r="Q40" s="25" t="str">
        <f>IF(OR($B40="",_自动清单!$G$18=""),"",SUMIFS(包装物料出入库明细!$J$4:$J$2003,包装物料出入库明细!$D$4:$D$2003,$B40,包装物料出入库明细!$E$4:$E$2003,_自动清单!$G$18,包装物料出入库明细!$B$4:$B$2003,"&gt;="&amp;$AF$1,包装物料出入库明细!$B$4:$B$2003,"&lt;="&amp;$AF$2))</f>
        <v/>
      </c>
      <c r="R40" s="25" t="str">
        <f>IF(OR($B40="",_自动清单!$G$19=""),"",SUMIFS(包装物料出入库明细!$J$4:$J$2003,包装物料出入库明细!$D$4:$D$2003,$B40,包装物料出入库明细!$E$4:$E$2003,_自动清单!$G$19,包装物料出入库明细!$B$4:$B$2003,"&gt;="&amp;$AF$1,包装物料出入库明细!$B$4:$B$2003,"&lt;="&amp;$AF$2))</f>
        <v/>
      </c>
      <c r="S40" s="25" t="str">
        <f>IF(OR($B40="",_自动清单!$G$20=""),"",SUMIFS(包装物料出入库明细!$J$4:$J$2003,包装物料出入库明细!$D$4:$D$2003,$B40,包装物料出入库明细!$E$4:$E$2003,_自动清单!$G$20,包装物料出入库明细!$B$4:$B$2003,"&gt;="&amp;$AF$1,包装物料出入库明细!$B$4:$B$2003,"&lt;="&amp;$AF$2))</f>
        <v/>
      </c>
      <c r="T40" s="25" t="str">
        <f>IF(OR($B40="",_自动清单!$G$21=""),"",SUMIFS(包装物料出入库明细!$J$4:$J$2003,包装物料出入库明细!$D$4:$D$2003,$B40,包装物料出入库明细!$E$4:$E$2003,_自动清单!$G$21,包装物料出入库明细!$B$4:$B$2003,"&gt;="&amp;$AF$1,包装物料出入库明细!$B$4:$B$2003,"&lt;="&amp;$AF$2))</f>
        <v/>
      </c>
      <c r="U40" s="25" t="str">
        <f>IF($B40="","",SUMIFS(包装物料出入库明细!$J$4:$J$2003,包装物料出入库明细!$D$4:$D$2003,$B40,包装物料出入库明细!$B$4:$B$2003,"&gt;="&amp;$AF$1,包装物料出入库明细!$B$4:$B$2003,"&lt;="&amp;$AF$2)-SUM($C40:$T40))</f>
        <v/>
      </c>
      <c r="V40" s="25" t="str">
        <f t="shared" si="1"/>
        <v/>
      </c>
      <c r="W40" s="56" t="str">
        <f>IF($B40="","",SUMIFS(包装物料出入库明细!$K$4:$K$2003,包装物料出入库明细!$D$4:$D$2003,$B40,包装物料出入库明细!$B$4:$B$2003,"&gt;="&amp;$AF$1,包装物料出入库明细!$B$4:$B$2003,"&lt;="&amp;$AF$2))</f>
        <v/>
      </c>
      <c r="X40" s="25" t="str">
        <f t="shared" si="2"/>
        <v/>
      </c>
      <c r="Y40" s="26" t="str">
        <f>IF($B40="","",ROUND(SUMIFS(包装物料出入库明细!$N$4:$N$2003,包装物料出入库明细!$D$4:$D$2003,$B40,包装物料出入库明细!$H$4:$H$2003,"销售出库",包装物料出入库明细!$B$4:$B$2003,"&gt;="&amp;$AF$1,包装物料出入库明细!$B$4:$B$2003,"&lt;="&amp;$AF$2),2))</f>
        <v/>
      </c>
      <c r="Z40" s="26" t="str">
        <f>IF($B40="","",ROUND(SUMIFS(包装物料出入库明细!$N$4:$N$2003,包装物料出入库明细!$D$4:$D$2003,$B40,包装物料出入库明细!$H$4:$H$2003,"销售出库",包装物料出入库明细!$P$4:$P$2003,"已收讫",包装物料出入库明细!$B$4:$B$2003,"&gt;="&amp;$AF$1,包装物料出入库明细!$B$4:$B$2003,"&lt;="&amp;$AF$2),2))</f>
        <v/>
      </c>
      <c r="AA40" s="26" t="str">
        <f t="shared" si="3"/>
        <v/>
      </c>
      <c r="AB40" s="41"/>
    </row>
    <row r="41" spans="1:28">
      <c r="A41" s="24" t="str">
        <f t="shared" si="0"/>
        <v/>
      </c>
      <c r="B41" s="24" t="str">
        <f>IFERROR(INDEX(_自动清单!$O$4:$O$203,ROW()-3),"")</f>
        <v/>
      </c>
      <c r="C41" s="25" t="str">
        <f>IF(OR($B41="",_自动清单!$G$4=""),"",SUMIFS(包装物料出入库明细!$J$4:$J$2003,包装物料出入库明细!$D$4:$D$2003,$B41,包装物料出入库明细!$E$4:$E$2003,_自动清单!$G$4,包装物料出入库明细!$B$4:$B$2003,"&gt;="&amp;$AF$1,包装物料出入库明细!$B$4:$B$2003,"&lt;="&amp;$AF$2))</f>
        <v/>
      </c>
      <c r="D41" s="25" t="str">
        <f>IF(OR($B41="",_自动清单!$G$5=""),"",SUMIFS(包装物料出入库明细!$J$4:$J$2003,包装物料出入库明细!$D$4:$D$2003,$B41,包装物料出入库明细!$E$4:$E$2003,_自动清单!$G$5,包装物料出入库明细!$B$4:$B$2003,"&gt;="&amp;$AF$1,包装物料出入库明细!$B$4:$B$2003,"&lt;="&amp;$AF$2))</f>
        <v/>
      </c>
      <c r="E41" s="25" t="str">
        <f>IF(OR($B41="",_自动清单!$G$6=""),"",SUMIFS(包装物料出入库明细!$J$4:$J$2003,包装物料出入库明细!$D$4:$D$2003,$B41,包装物料出入库明细!$E$4:$E$2003,_自动清单!$G$6,包装物料出入库明细!$B$4:$B$2003,"&gt;="&amp;$AF$1,包装物料出入库明细!$B$4:$B$2003,"&lt;="&amp;$AF$2))</f>
        <v/>
      </c>
      <c r="F41" s="25" t="str">
        <f>IF(OR($B41="",_自动清单!$G$7=""),"",SUMIFS(包装物料出入库明细!$J$4:$J$2003,包装物料出入库明细!$D$4:$D$2003,$B41,包装物料出入库明细!$E$4:$E$2003,_自动清单!$G$7,包装物料出入库明细!$B$4:$B$2003,"&gt;="&amp;$AF$1,包装物料出入库明细!$B$4:$B$2003,"&lt;="&amp;$AF$2))</f>
        <v/>
      </c>
      <c r="G41" s="25" t="str">
        <f>IF(OR($B41="",_自动清单!$G$8=""),"",SUMIFS(包装物料出入库明细!$J$4:$J$2003,包装物料出入库明细!$D$4:$D$2003,$B41,包装物料出入库明细!$E$4:$E$2003,_自动清单!$G$8,包装物料出入库明细!$B$4:$B$2003,"&gt;="&amp;$AF$1,包装物料出入库明细!$B$4:$B$2003,"&lt;="&amp;$AF$2))</f>
        <v/>
      </c>
      <c r="H41" s="25" t="str">
        <f>IF(OR($B41="",_自动清单!$G$9=""),"",SUMIFS(包装物料出入库明细!$J$4:$J$2003,包装物料出入库明细!$D$4:$D$2003,$B41,包装物料出入库明细!$E$4:$E$2003,_自动清单!$G$9,包装物料出入库明细!$B$4:$B$2003,"&gt;="&amp;$AF$1,包装物料出入库明细!$B$4:$B$2003,"&lt;="&amp;$AF$2))</f>
        <v/>
      </c>
      <c r="I41" s="25" t="str">
        <f>IF(OR($B41="",_自动清单!$G$10=""),"",SUMIFS(包装物料出入库明细!$J$4:$J$2003,包装物料出入库明细!$D$4:$D$2003,$B41,包装物料出入库明细!$E$4:$E$2003,_自动清单!$G$10,包装物料出入库明细!$B$4:$B$2003,"&gt;="&amp;$AF$1,包装物料出入库明细!$B$4:$B$2003,"&lt;="&amp;$AF$2))</f>
        <v/>
      </c>
      <c r="J41" s="25" t="str">
        <f>IF(OR($B41="",_自动清单!$G$11=""),"",SUMIFS(包装物料出入库明细!$J$4:$J$2003,包装物料出入库明细!$D$4:$D$2003,$B41,包装物料出入库明细!$E$4:$E$2003,_自动清单!$G$11,包装物料出入库明细!$B$4:$B$2003,"&gt;="&amp;$AF$1,包装物料出入库明细!$B$4:$B$2003,"&lt;="&amp;$AF$2))</f>
        <v/>
      </c>
      <c r="K41" s="25" t="str">
        <f>IF(OR($B41="",_自动清单!$G$12=""),"",SUMIFS(包装物料出入库明细!$J$4:$J$2003,包装物料出入库明细!$D$4:$D$2003,$B41,包装物料出入库明细!$E$4:$E$2003,_自动清单!$G$12,包装物料出入库明细!$B$4:$B$2003,"&gt;="&amp;$AF$1,包装物料出入库明细!$B$4:$B$2003,"&lt;="&amp;$AF$2))</f>
        <v/>
      </c>
      <c r="L41" s="25" t="str">
        <f>IF(OR($B41="",_自动清单!$G$13=""),"",SUMIFS(包装物料出入库明细!$J$4:$J$2003,包装物料出入库明细!$D$4:$D$2003,$B41,包装物料出入库明细!$E$4:$E$2003,_自动清单!$G$13,包装物料出入库明细!$B$4:$B$2003,"&gt;="&amp;$AF$1,包装物料出入库明细!$B$4:$B$2003,"&lt;="&amp;$AF$2))</f>
        <v/>
      </c>
      <c r="M41" s="25" t="str">
        <f>IF(OR($B41="",_自动清单!$G$14=""),"",SUMIFS(包装物料出入库明细!$J$4:$J$2003,包装物料出入库明细!$D$4:$D$2003,$B41,包装物料出入库明细!$E$4:$E$2003,_自动清单!$G$14,包装物料出入库明细!$B$4:$B$2003,"&gt;="&amp;$AF$1,包装物料出入库明细!$B$4:$B$2003,"&lt;="&amp;$AF$2))</f>
        <v/>
      </c>
      <c r="N41" s="25" t="str">
        <f>IF(OR($B41="",_自动清单!$G$15=""),"",SUMIFS(包装物料出入库明细!$J$4:$J$2003,包装物料出入库明细!$D$4:$D$2003,$B41,包装物料出入库明细!$E$4:$E$2003,_自动清单!$G$15,包装物料出入库明细!$B$4:$B$2003,"&gt;="&amp;$AF$1,包装物料出入库明细!$B$4:$B$2003,"&lt;="&amp;$AF$2))</f>
        <v/>
      </c>
      <c r="O41" s="25" t="str">
        <f>IF(OR($B41="",_自动清单!$G$16=""),"",SUMIFS(包装物料出入库明细!$J$4:$J$2003,包装物料出入库明细!$D$4:$D$2003,$B41,包装物料出入库明细!$E$4:$E$2003,_自动清单!$G$16,包装物料出入库明细!$B$4:$B$2003,"&gt;="&amp;$AF$1,包装物料出入库明细!$B$4:$B$2003,"&lt;="&amp;$AF$2))</f>
        <v/>
      </c>
      <c r="P41" s="25" t="str">
        <f>IF(OR($B41="",_自动清单!$G$17=""),"",SUMIFS(包装物料出入库明细!$J$4:$J$2003,包装物料出入库明细!$D$4:$D$2003,$B41,包装物料出入库明细!$E$4:$E$2003,_自动清单!$G$17,包装物料出入库明细!$B$4:$B$2003,"&gt;="&amp;$AF$1,包装物料出入库明细!$B$4:$B$2003,"&lt;="&amp;$AF$2))</f>
        <v/>
      </c>
      <c r="Q41" s="25" t="str">
        <f>IF(OR($B41="",_自动清单!$G$18=""),"",SUMIFS(包装物料出入库明细!$J$4:$J$2003,包装物料出入库明细!$D$4:$D$2003,$B41,包装物料出入库明细!$E$4:$E$2003,_自动清单!$G$18,包装物料出入库明细!$B$4:$B$2003,"&gt;="&amp;$AF$1,包装物料出入库明细!$B$4:$B$2003,"&lt;="&amp;$AF$2))</f>
        <v/>
      </c>
      <c r="R41" s="25" t="str">
        <f>IF(OR($B41="",_自动清单!$G$19=""),"",SUMIFS(包装物料出入库明细!$J$4:$J$2003,包装物料出入库明细!$D$4:$D$2003,$B41,包装物料出入库明细!$E$4:$E$2003,_自动清单!$G$19,包装物料出入库明细!$B$4:$B$2003,"&gt;="&amp;$AF$1,包装物料出入库明细!$B$4:$B$2003,"&lt;="&amp;$AF$2))</f>
        <v/>
      </c>
      <c r="S41" s="25" t="str">
        <f>IF(OR($B41="",_自动清单!$G$20=""),"",SUMIFS(包装物料出入库明细!$J$4:$J$2003,包装物料出入库明细!$D$4:$D$2003,$B41,包装物料出入库明细!$E$4:$E$2003,_自动清单!$G$20,包装物料出入库明细!$B$4:$B$2003,"&gt;="&amp;$AF$1,包装物料出入库明细!$B$4:$B$2003,"&lt;="&amp;$AF$2))</f>
        <v/>
      </c>
      <c r="T41" s="25" t="str">
        <f>IF(OR($B41="",_自动清单!$G$21=""),"",SUMIFS(包装物料出入库明细!$J$4:$J$2003,包装物料出入库明细!$D$4:$D$2003,$B41,包装物料出入库明细!$E$4:$E$2003,_自动清单!$G$21,包装物料出入库明细!$B$4:$B$2003,"&gt;="&amp;$AF$1,包装物料出入库明细!$B$4:$B$2003,"&lt;="&amp;$AF$2))</f>
        <v/>
      </c>
      <c r="U41" s="25" t="str">
        <f>IF($B41="","",SUMIFS(包装物料出入库明细!$J$4:$J$2003,包装物料出入库明细!$D$4:$D$2003,$B41,包装物料出入库明细!$B$4:$B$2003,"&gt;="&amp;$AF$1,包装物料出入库明细!$B$4:$B$2003,"&lt;="&amp;$AF$2)-SUM($C41:$T41))</f>
        <v/>
      </c>
      <c r="V41" s="25" t="str">
        <f t="shared" si="1"/>
        <v/>
      </c>
      <c r="W41" s="56" t="str">
        <f>IF($B41="","",SUMIFS(包装物料出入库明细!$K$4:$K$2003,包装物料出入库明细!$D$4:$D$2003,$B41,包装物料出入库明细!$B$4:$B$2003,"&gt;="&amp;$AF$1,包装物料出入库明细!$B$4:$B$2003,"&lt;="&amp;$AF$2))</f>
        <v/>
      </c>
      <c r="X41" s="25" t="str">
        <f t="shared" si="2"/>
        <v/>
      </c>
      <c r="Y41" s="26" t="str">
        <f>IF($B41="","",ROUND(SUMIFS(包装物料出入库明细!$N$4:$N$2003,包装物料出入库明细!$D$4:$D$2003,$B41,包装物料出入库明细!$H$4:$H$2003,"销售出库",包装物料出入库明细!$B$4:$B$2003,"&gt;="&amp;$AF$1,包装物料出入库明细!$B$4:$B$2003,"&lt;="&amp;$AF$2),2))</f>
        <v/>
      </c>
      <c r="Z41" s="26" t="str">
        <f>IF($B41="","",ROUND(SUMIFS(包装物料出入库明细!$N$4:$N$2003,包装物料出入库明细!$D$4:$D$2003,$B41,包装物料出入库明细!$H$4:$H$2003,"销售出库",包装物料出入库明细!$P$4:$P$2003,"已收讫",包装物料出入库明细!$B$4:$B$2003,"&gt;="&amp;$AF$1,包装物料出入库明细!$B$4:$B$2003,"&lt;="&amp;$AF$2),2))</f>
        <v/>
      </c>
      <c r="AA41" s="26" t="str">
        <f t="shared" si="3"/>
        <v/>
      </c>
      <c r="AB41" s="41"/>
    </row>
    <row r="42" spans="1:28">
      <c r="A42" s="24" t="str">
        <f t="shared" si="0"/>
        <v/>
      </c>
      <c r="B42" s="24" t="str">
        <f>IFERROR(INDEX(_自动清单!$O$4:$O$203,ROW()-3),"")</f>
        <v/>
      </c>
      <c r="C42" s="25" t="str">
        <f>IF(OR($B42="",_自动清单!$G$4=""),"",SUMIFS(包装物料出入库明细!$J$4:$J$2003,包装物料出入库明细!$D$4:$D$2003,$B42,包装物料出入库明细!$E$4:$E$2003,_自动清单!$G$4,包装物料出入库明细!$B$4:$B$2003,"&gt;="&amp;$AF$1,包装物料出入库明细!$B$4:$B$2003,"&lt;="&amp;$AF$2))</f>
        <v/>
      </c>
      <c r="D42" s="25" t="str">
        <f>IF(OR($B42="",_自动清单!$G$5=""),"",SUMIFS(包装物料出入库明细!$J$4:$J$2003,包装物料出入库明细!$D$4:$D$2003,$B42,包装物料出入库明细!$E$4:$E$2003,_自动清单!$G$5,包装物料出入库明细!$B$4:$B$2003,"&gt;="&amp;$AF$1,包装物料出入库明细!$B$4:$B$2003,"&lt;="&amp;$AF$2))</f>
        <v/>
      </c>
      <c r="E42" s="25" t="str">
        <f>IF(OR($B42="",_自动清单!$G$6=""),"",SUMIFS(包装物料出入库明细!$J$4:$J$2003,包装物料出入库明细!$D$4:$D$2003,$B42,包装物料出入库明细!$E$4:$E$2003,_自动清单!$G$6,包装物料出入库明细!$B$4:$B$2003,"&gt;="&amp;$AF$1,包装物料出入库明细!$B$4:$B$2003,"&lt;="&amp;$AF$2))</f>
        <v/>
      </c>
      <c r="F42" s="25" t="str">
        <f>IF(OR($B42="",_自动清单!$G$7=""),"",SUMIFS(包装物料出入库明细!$J$4:$J$2003,包装物料出入库明细!$D$4:$D$2003,$B42,包装物料出入库明细!$E$4:$E$2003,_自动清单!$G$7,包装物料出入库明细!$B$4:$B$2003,"&gt;="&amp;$AF$1,包装物料出入库明细!$B$4:$B$2003,"&lt;="&amp;$AF$2))</f>
        <v/>
      </c>
      <c r="G42" s="25" t="str">
        <f>IF(OR($B42="",_自动清单!$G$8=""),"",SUMIFS(包装物料出入库明细!$J$4:$J$2003,包装物料出入库明细!$D$4:$D$2003,$B42,包装物料出入库明细!$E$4:$E$2003,_自动清单!$G$8,包装物料出入库明细!$B$4:$B$2003,"&gt;="&amp;$AF$1,包装物料出入库明细!$B$4:$B$2003,"&lt;="&amp;$AF$2))</f>
        <v/>
      </c>
      <c r="H42" s="25" t="str">
        <f>IF(OR($B42="",_自动清单!$G$9=""),"",SUMIFS(包装物料出入库明细!$J$4:$J$2003,包装物料出入库明细!$D$4:$D$2003,$B42,包装物料出入库明细!$E$4:$E$2003,_自动清单!$G$9,包装物料出入库明细!$B$4:$B$2003,"&gt;="&amp;$AF$1,包装物料出入库明细!$B$4:$B$2003,"&lt;="&amp;$AF$2))</f>
        <v/>
      </c>
      <c r="I42" s="25" t="str">
        <f>IF(OR($B42="",_自动清单!$G$10=""),"",SUMIFS(包装物料出入库明细!$J$4:$J$2003,包装物料出入库明细!$D$4:$D$2003,$B42,包装物料出入库明细!$E$4:$E$2003,_自动清单!$G$10,包装物料出入库明细!$B$4:$B$2003,"&gt;="&amp;$AF$1,包装物料出入库明细!$B$4:$B$2003,"&lt;="&amp;$AF$2))</f>
        <v/>
      </c>
      <c r="J42" s="25" t="str">
        <f>IF(OR($B42="",_自动清单!$G$11=""),"",SUMIFS(包装物料出入库明细!$J$4:$J$2003,包装物料出入库明细!$D$4:$D$2003,$B42,包装物料出入库明细!$E$4:$E$2003,_自动清单!$G$11,包装物料出入库明细!$B$4:$B$2003,"&gt;="&amp;$AF$1,包装物料出入库明细!$B$4:$B$2003,"&lt;="&amp;$AF$2))</f>
        <v/>
      </c>
      <c r="K42" s="25" t="str">
        <f>IF(OR($B42="",_自动清单!$G$12=""),"",SUMIFS(包装物料出入库明细!$J$4:$J$2003,包装物料出入库明细!$D$4:$D$2003,$B42,包装物料出入库明细!$E$4:$E$2003,_自动清单!$G$12,包装物料出入库明细!$B$4:$B$2003,"&gt;="&amp;$AF$1,包装物料出入库明细!$B$4:$B$2003,"&lt;="&amp;$AF$2))</f>
        <v/>
      </c>
      <c r="L42" s="25" t="str">
        <f>IF(OR($B42="",_自动清单!$G$13=""),"",SUMIFS(包装物料出入库明细!$J$4:$J$2003,包装物料出入库明细!$D$4:$D$2003,$B42,包装物料出入库明细!$E$4:$E$2003,_自动清单!$G$13,包装物料出入库明细!$B$4:$B$2003,"&gt;="&amp;$AF$1,包装物料出入库明细!$B$4:$B$2003,"&lt;="&amp;$AF$2))</f>
        <v/>
      </c>
      <c r="M42" s="25" t="str">
        <f>IF(OR($B42="",_自动清单!$G$14=""),"",SUMIFS(包装物料出入库明细!$J$4:$J$2003,包装物料出入库明细!$D$4:$D$2003,$B42,包装物料出入库明细!$E$4:$E$2003,_自动清单!$G$14,包装物料出入库明细!$B$4:$B$2003,"&gt;="&amp;$AF$1,包装物料出入库明细!$B$4:$B$2003,"&lt;="&amp;$AF$2))</f>
        <v/>
      </c>
      <c r="N42" s="25" t="str">
        <f>IF(OR($B42="",_自动清单!$G$15=""),"",SUMIFS(包装物料出入库明细!$J$4:$J$2003,包装物料出入库明细!$D$4:$D$2003,$B42,包装物料出入库明细!$E$4:$E$2003,_自动清单!$G$15,包装物料出入库明细!$B$4:$B$2003,"&gt;="&amp;$AF$1,包装物料出入库明细!$B$4:$B$2003,"&lt;="&amp;$AF$2))</f>
        <v/>
      </c>
      <c r="O42" s="25" t="str">
        <f>IF(OR($B42="",_自动清单!$G$16=""),"",SUMIFS(包装物料出入库明细!$J$4:$J$2003,包装物料出入库明细!$D$4:$D$2003,$B42,包装物料出入库明细!$E$4:$E$2003,_自动清单!$G$16,包装物料出入库明细!$B$4:$B$2003,"&gt;="&amp;$AF$1,包装物料出入库明细!$B$4:$B$2003,"&lt;="&amp;$AF$2))</f>
        <v/>
      </c>
      <c r="P42" s="25" t="str">
        <f>IF(OR($B42="",_自动清单!$G$17=""),"",SUMIFS(包装物料出入库明细!$J$4:$J$2003,包装物料出入库明细!$D$4:$D$2003,$B42,包装物料出入库明细!$E$4:$E$2003,_自动清单!$G$17,包装物料出入库明细!$B$4:$B$2003,"&gt;="&amp;$AF$1,包装物料出入库明细!$B$4:$B$2003,"&lt;="&amp;$AF$2))</f>
        <v/>
      </c>
      <c r="Q42" s="25" t="str">
        <f>IF(OR($B42="",_自动清单!$G$18=""),"",SUMIFS(包装物料出入库明细!$J$4:$J$2003,包装物料出入库明细!$D$4:$D$2003,$B42,包装物料出入库明细!$E$4:$E$2003,_自动清单!$G$18,包装物料出入库明细!$B$4:$B$2003,"&gt;="&amp;$AF$1,包装物料出入库明细!$B$4:$B$2003,"&lt;="&amp;$AF$2))</f>
        <v/>
      </c>
      <c r="R42" s="25" t="str">
        <f>IF(OR($B42="",_自动清单!$G$19=""),"",SUMIFS(包装物料出入库明细!$J$4:$J$2003,包装物料出入库明细!$D$4:$D$2003,$B42,包装物料出入库明细!$E$4:$E$2003,_自动清单!$G$19,包装物料出入库明细!$B$4:$B$2003,"&gt;="&amp;$AF$1,包装物料出入库明细!$B$4:$B$2003,"&lt;="&amp;$AF$2))</f>
        <v/>
      </c>
      <c r="S42" s="25" t="str">
        <f>IF(OR($B42="",_自动清单!$G$20=""),"",SUMIFS(包装物料出入库明细!$J$4:$J$2003,包装物料出入库明细!$D$4:$D$2003,$B42,包装物料出入库明细!$E$4:$E$2003,_自动清单!$G$20,包装物料出入库明细!$B$4:$B$2003,"&gt;="&amp;$AF$1,包装物料出入库明细!$B$4:$B$2003,"&lt;="&amp;$AF$2))</f>
        <v/>
      </c>
      <c r="T42" s="25" t="str">
        <f>IF(OR($B42="",_自动清单!$G$21=""),"",SUMIFS(包装物料出入库明细!$J$4:$J$2003,包装物料出入库明细!$D$4:$D$2003,$B42,包装物料出入库明细!$E$4:$E$2003,_自动清单!$G$21,包装物料出入库明细!$B$4:$B$2003,"&gt;="&amp;$AF$1,包装物料出入库明细!$B$4:$B$2003,"&lt;="&amp;$AF$2))</f>
        <v/>
      </c>
      <c r="U42" s="25" t="str">
        <f>IF($B42="","",SUMIFS(包装物料出入库明细!$J$4:$J$2003,包装物料出入库明细!$D$4:$D$2003,$B42,包装物料出入库明细!$B$4:$B$2003,"&gt;="&amp;$AF$1,包装物料出入库明细!$B$4:$B$2003,"&lt;="&amp;$AF$2)-SUM($C42:$T42))</f>
        <v/>
      </c>
      <c r="V42" s="25" t="str">
        <f t="shared" si="1"/>
        <v/>
      </c>
      <c r="W42" s="56" t="str">
        <f>IF($B42="","",SUMIFS(包装物料出入库明细!$K$4:$K$2003,包装物料出入库明细!$D$4:$D$2003,$B42,包装物料出入库明细!$B$4:$B$2003,"&gt;="&amp;$AF$1,包装物料出入库明细!$B$4:$B$2003,"&lt;="&amp;$AF$2))</f>
        <v/>
      </c>
      <c r="X42" s="25" t="str">
        <f t="shared" si="2"/>
        <v/>
      </c>
      <c r="Y42" s="26" t="str">
        <f>IF($B42="","",ROUND(SUMIFS(包装物料出入库明细!$N$4:$N$2003,包装物料出入库明细!$D$4:$D$2003,$B42,包装物料出入库明细!$H$4:$H$2003,"销售出库",包装物料出入库明细!$B$4:$B$2003,"&gt;="&amp;$AF$1,包装物料出入库明细!$B$4:$B$2003,"&lt;="&amp;$AF$2),2))</f>
        <v/>
      </c>
      <c r="Z42" s="26" t="str">
        <f>IF($B42="","",ROUND(SUMIFS(包装物料出入库明细!$N$4:$N$2003,包装物料出入库明细!$D$4:$D$2003,$B42,包装物料出入库明细!$H$4:$H$2003,"销售出库",包装物料出入库明细!$P$4:$P$2003,"已收讫",包装物料出入库明细!$B$4:$B$2003,"&gt;="&amp;$AF$1,包装物料出入库明细!$B$4:$B$2003,"&lt;="&amp;$AF$2),2))</f>
        <v/>
      </c>
      <c r="AA42" s="26" t="str">
        <f t="shared" si="3"/>
        <v/>
      </c>
      <c r="AB42" s="41"/>
    </row>
    <row r="43" spans="1:28">
      <c r="A43" s="24" t="str">
        <f t="shared" si="0"/>
        <v/>
      </c>
      <c r="B43" s="24" t="str">
        <f>IFERROR(INDEX(_自动清单!$O$4:$O$203,ROW()-3),"")</f>
        <v/>
      </c>
      <c r="C43" s="25" t="str">
        <f>IF(OR($B43="",_自动清单!$G$4=""),"",SUMIFS(包装物料出入库明细!$J$4:$J$2003,包装物料出入库明细!$D$4:$D$2003,$B43,包装物料出入库明细!$E$4:$E$2003,_自动清单!$G$4,包装物料出入库明细!$B$4:$B$2003,"&gt;="&amp;$AF$1,包装物料出入库明细!$B$4:$B$2003,"&lt;="&amp;$AF$2))</f>
        <v/>
      </c>
      <c r="D43" s="25" t="str">
        <f>IF(OR($B43="",_自动清单!$G$5=""),"",SUMIFS(包装物料出入库明细!$J$4:$J$2003,包装物料出入库明细!$D$4:$D$2003,$B43,包装物料出入库明细!$E$4:$E$2003,_自动清单!$G$5,包装物料出入库明细!$B$4:$B$2003,"&gt;="&amp;$AF$1,包装物料出入库明细!$B$4:$B$2003,"&lt;="&amp;$AF$2))</f>
        <v/>
      </c>
      <c r="E43" s="25" t="str">
        <f>IF(OR($B43="",_自动清单!$G$6=""),"",SUMIFS(包装物料出入库明细!$J$4:$J$2003,包装物料出入库明细!$D$4:$D$2003,$B43,包装物料出入库明细!$E$4:$E$2003,_自动清单!$G$6,包装物料出入库明细!$B$4:$B$2003,"&gt;="&amp;$AF$1,包装物料出入库明细!$B$4:$B$2003,"&lt;="&amp;$AF$2))</f>
        <v/>
      </c>
      <c r="F43" s="25" t="str">
        <f>IF(OR($B43="",_自动清单!$G$7=""),"",SUMIFS(包装物料出入库明细!$J$4:$J$2003,包装物料出入库明细!$D$4:$D$2003,$B43,包装物料出入库明细!$E$4:$E$2003,_自动清单!$G$7,包装物料出入库明细!$B$4:$B$2003,"&gt;="&amp;$AF$1,包装物料出入库明细!$B$4:$B$2003,"&lt;="&amp;$AF$2))</f>
        <v/>
      </c>
      <c r="G43" s="25" t="str">
        <f>IF(OR($B43="",_自动清单!$G$8=""),"",SUMIFS(包装物料出入库明细!$J$4:$J$2003,包装物料出入库明细!$D$4:$D$2003,$B43,包装物料出入库明细!$E$4:$E$2003,_自动清单!$G$8,包装物料出入库明细!$B$4:$B$2003,"&gt;="&amp;$AF$1,包装物料出入库明细!$B$4:$B$2003,"&lt;="&amp;$AF$2))</f>
        <v/>
      </c>
      <c r="H43" s="25" t="str">
        <f>IF(OR($B43="",_自动清单!$G$9=""),"",SUMIFS(包装物料出入库明细!$J$4:$J$2003,包装物料出入库明细!$D$4:$D$2003,$B43,包装物料出入库明细!$E$4:$E$2003,_自动清单!$G$9,包装物料出入库明细!$B$4:$B$2003,"&gt;="&amp;$AF$1,包装物料出入库明细!$B$4:$B$2003,"&lt;="&amp;$AF$2))</f>
        <v/>
      </c>
      <c r="I43" s="25" t="str">
        <f>IF(OR($B43="",_自动清单!$G$10=""),"",SUMIFS(包装物料出入库明细!$J$4:$J$2003,包装物料出入库明细!$D$4:$D$2003,$B43,包装物料出入库明细!$E$4:$E$2003,_自动清单!$G$10,包装物料出入库明细!$B$4:$B$2003,"&gt;="&amp;$AF$1,包装物料出入库明细!$B$4:$B$2003,"&lt;="&amp;$AF$2))</f>
        <v/>
      </c>
      <c r="J43" s="25" t="str">
        <f>IF(OR($B43="",_自动清单!$G$11=""),"",SUMIFS(包装物料出入库明细!$J$4:$J$2003,包装物料出入库明细!$D$4:$D$2003,$B43,包装物料出入库明细!$E$4:$E$2003,_自动清单!$G$11,包装物料出入库明细!$B$4:$B$2003,"&gt;="&amp;$AF$1,包装物料出入库明细!$B$4:$B$2003,"&lt;="&amp;$AF$2))</f>
        <v/>
      </c>
      <c r="K43" s="25" t="str">
        <f>IF(OR($B43="",_自动清单!$G$12=""),"",SUMIFS(包装物料出入库明细!$J$4:$J$2003,包装物料出入库明细!$D$4:$D$2003,$B43,包装物料出入库明细!$E$4:$E$2003,_自动清单!$G$12,包装物料出入库明细!$B$4:$B$2003,"&gt;="&amp;$AF$1,包装物料出入库明细!$B$4:$B$2003,"&lt;="&amp;$AF$2))</f>
        <v/>
      </c>
      <c r="L43" s="25" t="str">
        <f>IF(OR($B43="",_自动清单!$G$13=""),"",SUMIFS(包装物料出入库明细!$J$4:$J$2003,包装物料出入库明细!$D$4:$D$2003,$B43,包装物料出入库明细!$E$4:$E$2003,_自动清单!$G$13,包装物料出入库明细!$B$4:$B$2003,"&gt;="&amp;$AF$1,包装物料出入库明细!$B$4:$B$2003,"&lt;="&amp;$AF$2))</f>
        <v/>
      </c>
      <c r="M43" s="25" t="str">
        <f>IF(OR($B43="",_自动清单!$G$14=""),"",SUMIFS(包装物料出入库明细!$J$4:$J$2003,包装物料出入库明细!$D$4:$D$2003,$B43,包装物料出入库明细!$E$4:$E$2003,_自动清单!$G$14,包装物料出入库明细!$B$4:$B$2003,"&gt;="&amp;$AF$1,包装物料出入库明细!$B$4:$B$2003,"&lt;="&amp;$AF$2))</f>
        <v/>
      </c>
      <c r="N43" s="25" t="str">
        <f>IF(OR($B43="",_自动清单!$G$15=""),"",SUMIFS(包装物料出入库明细!$J$4:$J$2003,包装物料出入库明细!$D$4:$D$2003,$B43,包装物料出入库明细!$E$4:$E$2003,_自动清单!$G$15,包装物料出入库明细!$B$4:$B$2003,"&gt;="&amp;$AF$1,包装物料出入库明细!$B$4:$B$2003,"&lt;="&amp;$AF$2))</f>
        <v/>
      </c>
      <c r="O43" s="25" t="str">
        <f>IF(OR($B43="",_自动清单!$G$16=""),"",SUMIFS(包装物料出入库明细!$J$4:$J$2003,包装物料出入库明细!$D$4:$D$2003,$B43,包装物料出入库明细!$E$4:$E$2003,_自动清单!$G$16,包装物料出入库明细!$B$4:$B$2003,"&gt;="&amp;$AF$1,包装物料出入库明细!$B$4:$B$2003,"&lt;="&amp;$AF$2))</f>
        <v/>
      </c>
      <c r="P43" s="25" t="str">
        <f>IF(OR($B43="",_自动清单!$G$17=""),"",SUMIFS(包装物料出入库明细!$J$4:$J$2003,包装物料出入库明细!$D$4:$D$2003,$B43,包装物料出入库明细!$E$4:$E$2003,_自动清单!$G$17,包装物料出入库明细!$B$4:$B$2003,"&gt;="&amp;$AF$1,包装物料出入库明细!$B$4:$B$2003,"&lt;="&amp;$AF$2))</f>
        <v/>
      </c>
      <c r="Q43" s="25" t="str">
        <f>IF(OR($B43="",_自动清单!$G$18=""),"",SUMIFS(包装物料出入库明细!$J$4:$J$2003,包装物料出入库明细!$D$4:$D$2003,$B43,包装物料出入库明细!$E$4:$E$2003,_自动清单!$G$18,包装物料出入库明细!$B$4:$B$2003,"&gt;="&amp;$AF$1,包装物料出入库明细!$B$4:$B$2003,"&lt;="&amp;$AF$2))</f>
        <v/>
      </c>
      <c r="R43" s="25" t="str">
        <f>IF(OR($B43="",_自动清单!$G$19=""),"",SUMIFS(包装物料出入库明细!$J$4:$J$2003,包装物料出入库明细!$D$4:$D$2003,$B43,包装物料出入库明细!$E$4:$E$2003,_自动清单!$G$19,包装物料出入库明细!$B$4:$B$2003,"&gt;="&amp;$AF$1,包装物料出入库明细!$B$4:$B$2003,"&lt;="&amp;$AF$2))</f>
        <v/>
      </c>
      <c r="S43" s="25" t="str">
        <f>IF(OR($B43="",_自动清单!$G$20=""),"",SUMIFS(包装物料出入库明细!$J$4:$J$2003,包装物料出入库明细!$D$4:$D$2003,$B43,包装物料出入库明细!$E$4:$E$2003,_自动清单!$G$20,包装物料出入库明细!$B$4:$B$2003,"&gt;="&amp;$AF$1,包装物料出入库明细!$B$4:$B$2003,"&lt;="&amp;$AF$2))</f>
        <v/>
      </c>
      <c r="T43" s="25" t="str">
        <f>IF(OR($B43="",_自动清单!$G$21=""),"",SUMIFS(包装物料出入库明细!$J$4:$J$2003,包装物料出入库明细!$D$4:$D$2003,$B43,包装物料出入库明细!$E$4:$E$2003,_自动清单!$G$21,包装物料出入库明细!$B$4:$B$2003,"&gt;="&amp;$AF$1,包装物料出入库明细!$B$4:$B$2003,"&lt;="&amp;$AF$2))</f>
        <v/>
      </c>
      <c r="U43" s="25" t="str">
        <f>IF($B43="","",SUMIFS(包装物料出入库明细!$J$4:$J$2003,包装物料出入库明细!$D$4:$D$2003,$B43,包装物料出入库明细!$B$4:$B$2003,"&gt;="&amp;$AF$1,包装物料出入库明细!$B$4:$B$2003,"&lt;="&amp;$AF$2)-SUM($C43:$T43))</f>
        <v/>
      </c>
      <c r="V43" s="25" t="str">
        <f t="shared" si="1"/>
        <v/>
      </c>
      <c r="W43" s="56" t="str">
        <f>IF($B43="","",SUMIFS(包装物料出入库明细!$K$4:$K$2003,包装物料出入库明细!$D$4:$D$2003,$B43,包装物料出入库明细!$B$4:$B$2003,"&gt;="&amp;$AF$1,包装物料出入库明细!$B$4:$B$2003,"&lt;="&amp;$AF$2))</f>
        <v/>
      </c>
      <c r="X43" s="25" t="str">
        <f t="shared" si="2"/>
        <v/>
      </c>
      <c r="Y43" s="26" t="str">
        <f>IF($B43="","",ROUND(SUMIFS(包装物料出入库明细!$N$4:$N$2003,包装物料出入库明细!$D$4:$D$2003,$B43,包装物料出入库明细!$H$4:$H$2003,"销售出库",包装物料出入库明细!$B$4:$B$2003,"&gt;="&amp;$AF$1,包装物料出入库明细!$B$4:$B$2003,"&lt;="&amp;$AF$2),2))</f>
        <v/>
      </c>
      <c r="Z43" s="26" t="str">
        <f>IF($B43="","",ROUND(SUMIFS(包装物料出入库明细!$N$4:$N$2003,包装物料出入库明细!$D$4:$D$2003,$B43,包装物料出入库明细!$H$4:$H$2003,"销售出库",包装物料出入库明细!$P$4:$P$2003,"已收讫",包装物料出入库明细!$B$4:$B$2003,"&gt;="&amp;$AF$1,包装物料出入库明细!$B$4:$B$2003,"&lt;="&amp;$AF$2),2))</f>
        <v/>
      </c>
      <c r="AA43" s="26" t="str">
        <f t="shared" si="3"/>
        <v/>
      </c>
      <c r="AB43" s="41"/>
    </row>
    <row r="44" spans="1:28">
      <c r="A44" s="24" t="str">
        <f t="shared" si="0"/>
        <v/>
      </c>
      <c r="B44" s="24" t="str">
        <f>IFERROR(INDEX(_自动清单!$O$4:$O$203,ROW()-3),"")</f>
        <v/>
      </c>
      <c r="C44" s="25" t="str">
        <f>IF(OR($B44="",_自动清单!$G$4=""),"",SUMIFS(包装物料出入库明细!$J$4:$J$2003,包装物料出入库明细!$D$4:$D$2003,$B44,包装物料出入库明细!$E$4:$E$2003,_自动清单!$G$4,包装物料出入库明细!$B$4:$B$2003,"&gt;="&amp;$AF$1,包装物料出入库明细!$B$4:$B$2003,"&lt;="&amp;$AF$2))</f>
        <v/>
      </c>
      <c r="D44" s="25" t="str">
        <f>IF(OR($B44="",_自动清单!$G$5=""),"",SUMIFS(包装物料出入库明细!$J$4:$J$2003,包装物料出入库明细!$D$4:$D$2003,$B44,包装物料出入库明细!$E$4:$E$2003,_自动清单!$G$5,包装物料出入库明细!$B$4:$B$2003,"&gt;="&amp;$AF$1,包装物料出入库明细!$B$4:$B$2003,"&lt;="&amp;$AF$2))</f>
        <v/>
      </c>
      <c r="E44" s="25" t="str">
        <f>IF(OR($B44="",_自动清单!$G$6=""),"",SUMIFS(包装物料出入库明细!$J$4:$J$2003,包装物料出入库明细!$D$4:$D$2003,$B44,包装物料出入库明细!$E$4:$E$2003,_自动清单!$G$6,包装物料出入库明细!$B$4:$B$2003,"&gt;="&amp;$AF$1,包装物料出入库明细!$B$4:$B$2003,"&lt;="&amp;$AF$2))</f>
        <v/>
      </c>
      <c r="F44" s="25" t="str">
        <f>IF(OR($B44="",_自动清单!$G$7=""),"",SUMIFS(包装物料出入库明细!$J$4:$J$2003,包装物料出入库明细!$D$4:$D$2003,$B44,包装物料出入库明细!$E$4:$E$2003,_自动清单!$G$7,包装物料出入库明细!$B$4:$B$2003,"&gt;="&amp;$AF$1,包装物料出入库明细!$B$4:$B$2003,"&lt;="&amp;$AF$2))</f>
        <v/>
      </c>
      <c r="G44" s="25" t="str">
        <f>IF(OR($B44="",_自动清单!$G$8=""),"",SUMIFS(包装物料出入库明细!$J$4:$J$2003,包装物料出入库明细!$D$4:$D$2003,$B44,包装物料出入库明细!$E$4:$E$2003,_自动清单!$G$8,包装物料出入库明细!$B$4:$B$2003,"&gt;="&amp;$AF$1,包装物料出入库明细!$B$4:$B$2003,"&lt;="&amp;$AF$2))</f>
        <v/>
      </c>
      <c r="H44" s="25" t="str">
        <f>IF(OR($B44="",_自动清单!$G$9=""),"",SUMIFS(包装物料出入库明细!$J$4:$J$2003,包装物料出入库明细!$D$4:$D$2003,$B44,包装物料出入库明细!$E$4:$E$2003,_自动清单!$G$9,包装物料出入库明细!$B$4:$B$2003,"&gt;="&amp;$AF$1,包装物料出入库明细!$B$4:$B$2003,"&lt;="&amp;$AF$2))</f>
        <v/>
      </c>
      <c r="I44" s="25" t="str">
        <f>IF(OR($B44="",_自动清单!$G$10=""),"",SUMIFS(包装物料出入库明细!$J$4:$J$2003,包装物料出入库明细!$D$4:$D$2003,$B44,包装物料出入库明细!$E$4:$E$2003,_自动清单!$G$10,包装物料出入库明细!$B$4:$B$2003,"&gt;="&amp;$AF$1,包装物料出入库明细!$B$4:$B$2003,"&lt;="&amp;$AF$2))</f>
        <v/>
      </c>
      <c r="J44" s="25" t="str">
        <f>IF(OR($B44="",_自动清单!$G$11=""),"",SUMIFS(包装物料出入库明细!$J$4:$J$2003,包装物料出入库明细!$D$4:$D$2003,$B44,包装物料出入库明细!$E$4:$E$2003,_自动清单!$G$11,包装物料出入库明细!$B$4:$B$2003,"&gt;="&amp;$AF$1,包装物料出入库明细!$B$4:$B$2003,"&lt;="&amp;$AF$2))</f>
        <v/>
      </c>
      <c r="K44" s="25" t="str">
        <f>IF(OR($B44="",_自动清单!$G$12=""),"",SUMIFS(包装物料出入库明细!$J$4:$J$2003,包装物料出入库明细!$D$4:$D$2003,$B44,包装物料出入库明细!$E$4:$E$2003,_自动清单!$G$12,包装物料出入库明细!$B$4:$B$2003,"&gt;="&amp;$AF$1,包装物料出入库明细!$B$4:$B$2003,"&lt;="&amp;$AF$2))</f>
        <v/>
      </c>
      <c r="L44" s="25" t="str">
        <f>IF(OR($B44="",_自动清单!$G$13=""),"",SUMIFS(包装物料出入库明细!$J$4:$J$2003,包装物料出入库明细!$D$4:$D$2003,$B44,包装物料出入库明细!$E$4:$E$2003,_自动清单!$G$13,包装物料出入库明细!$B$4:$B$2003,"&gt;="&amp;$AF$1,包装物料出入库明细!$B$4:$B$2003,"&lt;="&amp;$AF$2))</f>
        <v/>
      </c>
      <c r="M44" s="25" t="str">
        <f>IF(OR($B44="",_自动清单!$G$14=""),"",SUMIFS(包装物料出入库明细!$J$4:$J$2003,包装物料出入库明细!$D$4:$D$2003,$B44,包装物料出入库明细!$E$4:$E$2003,_自动清单!$G$14,包装物料出入库明细!$B$4:$B$2003,"&gt;="&amp;$AF$1,包装物料出入库明细!$B$4:$B$2003,"&lt;="&amp;$AF$2))</f>
        <v/>
      </c>
      <c r="N44" s="25" t="str">
        <f>IF(OR($B44="",_自动清单!$G$15=""),"",SUMIFS(包装物料出入库明细!$J$4:$J$2003,包装物料出入库明细!$D$4:$D$2003,$B44,包装物料出入库明细!$E$4:$E$2003,_自动清单!$G$15,包装物料出入库明细!$B$4:$B$2003,"&gt;="&amp;$AF$1,包装物料出入库明细!$B$4:$B$2003,"&lt;="&amp;$AF$2))</f>
        <v/>
      </c>
      <c r="O44" s="25" t="str">
        <f>IF(OR($B44="",_自动清单!$G$16=""),"",SUMIFS(包装物料出入库明细!$J$4:$J$2003,包装物料出入库明细!$D$4:$D$2003,$B44,包装物料出入库明细!$E$4:$E$2003,_自动清单!$G$16,包装物料出入库明细!$B$4:$B$2003,"&gt;="&amp;$AF$1,包装物料出入库明细!$B$4:$B$2003,"&lt;="&amp;$AF$2))</f>
        <v/>
      </c>
      <c r="P44" s="25" t="str">
        <f>IF(OR($B44="",_自动清单!$G$17=""),"",SUMIFS(包装物料出入库明细!$J$4:$J$2003,包装物料出入库明细!$D$4:$D$2003,$B44,包装物料出入库明细!$E$4:$E$2003,_自动清单!$G$17,包装物料出入库明细!$B$4:$B$2003,"&gt;="&amp;$AF$1,包装物料出入库明细!$B$4:$B$2003,"&lt;="&amp;$AF$2))</f>
        <v/>
      </c>
      <c r="Q44" s="25" t="str">
        <f>IF(OR($B44="",_自动清单!$G$18=""),"",SUMIFS(包装物料出入库明细!$J$4:$J$2003,包装物料出入库明细!$D$4:$D$2003,$B44,包装物料出入库明细!$E$4:$E$2003,_自动清单!$G$18,包装物料出入库明细!$B$4:$B$2003,"&gt;="&amp;$AF$1,包装物料出入库明细!$B$4:$B$2003,"&lt;="&amp;$AF$2))</f>
        <v/>
      </c>
      <c r="R44" s="25" t="str">
        <f>IF(OR($B44="",_自动清单!$G$19=""),"",SUMIFS(包装物料出入库明细!$J$4:$J$2003,包装物料出入库明细!$D$4:$D$2003,$B44,包装物料出入库明细!$E$4:$E$2003,_自动清单!$G$19,包装物料出入库明细!$B$4:$B$2003,"&gt;="&amp;$AF$1,包装物料出入库明细!$B$4:$B$2003,"&lt;="&amp;$AF$2))</f>
        <v/>
      </c>
      <c r="S44" s="25" t="str">
        <f>IF(OR($B44="",_自动清单!$G$20=""),"",SUMIFS(包装物料出入库明细!$J$4:$J$2003,包装物料出入库明细!$D$4:$D$2003,$B44,包装物料出入库明细!$E$4:$E$2003,_自动清单!$G$20,包装物料出入库明细!$B$4:$B$2003,"&gt;="&amp;$AF$1,包装物料出入库明细!$B$4:$B$2003,"&lt;="&amp;$AF$2))</f>
        <v/>
      </c>
      <c r="T44" s="25" t="str">
        <f>IF(OR($B44="",_自动清单!$G$21=""),"",SUMIFS(包装物料出入库明细!$J$4:$J$2003,包装物料出入库明细!$D$4:$D$2003,$B44,包装物料出入库明细!$E$4:$E$2003,_自动清单!$G$21,包装物料出入库明细!$B$4:$B$2003,"&gt;="&amp;$AF$1,包装物料出入库明细!$B$4:$B$2003,"&lt;="&amp;$AF$2))</f>
        <v/>
      </c>
      <c r="U44" s="25" t="str">
        <f>IF($B44="","",SUMIFS(包装物料出入库明细!$J$4:$J$2003,包装物料出入库明细!$D$4:$D$2003,$B44,包装物料出入库明细!$B$4:$B$2003,"&gt;="&amp;$AF$1,包装物料出入库明细!$B$4:$B$2003,"&lt;="&amp;$AF$2)-SUM($C44:$T44))</f>
        <v/>
      </c>
      <c r="V44" s="25" t="str">
        <f t="shared" si="1"/>
        <v/>
      </c>
      <c r="W44" s="56" t="str">
        <f>IF($B44="","",SUMIFS(包装物料出入库明细!$K$4:$K$2003,包装物料出入库明细!$D$4:$D$2003,$B44,包装物料出入库明细!$B$4:$B$2003,"&gt;="&amp;$AF$1,包装物料出入库明细!$B$4:$B$2003,"&lt;="&amp;$AF$2))</f>
        <v/>
      </c>
      <c r="X44" s="25" t="str">
        <f t="shared" si="2"/>
        <v/>
      </c>
      <c r="Y44" s="26" t="str">
        <f>IF($B44="","",ROUND(SUMIFS(包装物料出入库明细!$N$4:$N$2003,包装物料出入库明细!$D$4:$D$2003,$B44,包装物料出入库明细!$H$4:$H$2003,"销售出库",包装物料出入库明细!$B$4:$B$2003,"&gt;="&amp;$AF$1,包装物料出入库明细!$B$4:$B$2003,"&lt;="&amp;$AF$2),2))</f>
        <v/>
      </c>
      <c r="Z44" s="26" t="str">
        <f>IF($B44="","",ROUND(SUMIFS(包装物料出入库明细!$N$4:$N$2003,包装物料出入库明细!$D$4:$D$2003,$B44,包装物料出入库明细!$H$4:$H$2003,"销售出库",包装物料出入库明细!$P$4:$P$2003,"已收讫",包装物料出入库明细!$B$4:$B$2003,"&gt;="&amp;$AF$1,包装物料出入库明细!$B$4:$B$2003,"&lt;="&amp;$AF$2),2))</f>
        <v/>
      </c>
      <c r="AA44" s="26" t="str">
        <f t="shared" si="3"/>
        <v/>
      </c>
      <c r="AB44" s="41"/>
    </row>
    <row r="45" spans="1:28">
      <c r="A45" s="24" t="str">
        <f t="shared" si="0"/>
        <v/>
      </c>
      <c r="B45" s="24" t="str">
        <f>IFERROR(INDEX(_自动清单!$O$4:$O$203,ROW()-3),"")</f>
        <v/>
      </c>
      <c r="C45" s="25" t="str">
        <f>IF(OR($B45="",_自动清单!$G$4=""),"",SUMIFS(包装物料出入库明细!$J$4:$J$2003,包装物料出入库明细!$D$4:$D$2003,$B45,包装物料出入库明细!$E$4:$E$2003,_自动清单!$G$4,包装物料出入库明细!$B$4:$B$2003,"&gt;="&amp;$AF$1,包装物料出入库明细!$B$4:$B$2003,"&lt;="&amp;$AF$2))</f>
        <v/>
      </c>
      <c r="D45" s="25" t="str">
        <f>IF(OR($B45="",_自动清单!$G$5=""),"",SUMIFS(包装物料出入库明细!$J$4:$J$2003,包装物料出入库明细!$D$4:$D$2003,$B45,包装物料出入库明细!$E$4:$E$2003,_自动清单!$G$5,包装物料出入库明细!$B$4:$B$2003,"&gt;="&amp;$AF$1,包装物料出入库明细!$B$4:$B$2003,"&lt;="&amp;$AF$2))</f>
        <v/>
      </c>
      <c r="E45" s="25" t="str">
        <f>IF(OR($B45="",_自动清单!$G$6=""),"",SUMIFS(包装物料出入库明细!$J$4:$J$2003,包装物料出入库明细!$D$4:$D$2003,$B45,包装物料出入库明细!$E$4:$E$2003,_自动清单!$G$6,包装物料出入库明细!$B$4:$B$2003,"&gt;="&amp;$AF$1,包装物料出入库明细!$B$4:$B$2003,"&lt;="&amp;$AF$2))</f>
        <v/>
      </c>
      <c r="F45" s="25" t="str">
        <f>IF(OR($B45="",_自动清单!$G$7=""),"",SUMIFS(包装物料出入库明细!$J$4:$J$2003,包装物料出入库明细!$D$4:$D$2003,$B45,包装物料出入库明细!$E$4:$E$2003,_自动清单!$G$7,包装物料出入库明细!$B$4:$B$2003,"&gt;="&amp;$AF$1,包装物料出入库明细!$B$4:$B$2003,"&lt;="&amp;$AF$2))</f>
        <v/>
      </c>
      <c r="G45" s="25" t="str">
        <f>IF(OR($B45="",_自动清单!$G$8=""),"",SUMIFS(包装物料出入库明细!$J$4:$J$2003,包装物料出入库明细!$D$4:$D$2003,$B45,包装物料出入库明细!$E$4:$E$2003,_自动清单!$G$8,包装物料出入库明细!$B$4:$B$2003,"&gt;="&amp;$AF$1,包装物料出入库明细!$B$4:$B$2003,"&lt;="&amp;$AF$2))</f>
        <v/>
      </c>
      <c r="H45" s="25" t="str">
        <f>IF(OR($B45="",_自动清单!$G$9=""),"",SUMIFS(包装物料出入库明细!$J$4:$J$2003,包装物料出入库明细!$D$4:$D$2003,$B45,包装物料出入库明细!$E$4:$E$2003,_自动清单!$G$9,包装物料出入库明细!$B$4:$B$2003,"&gt;="&amp;$AF$1,包装物料出入库明细!$B$4:$B$2003,"&lt;="&amp;$AF$2))</f>
        <v/>
      </c>
      <c r="I45" s="25" t="str">
        <f>IF(OR($B45="",_自动清单!$G$10=""),"",SUMIFS(包装物料出入库明细!$J$4:$J$2003,包装物料出入库明细!$D$4:$D$2003,$B45,包装物料出入库明细!$E$4:$E$2003,_自动清单!$G$10,包装物料出入库明细!$B$4:$B$2003,"&gt;="&amp;$AF$1,包装物料出入库明细!$B$4:$B$2003,"&lt;="&amp;$AF$2))</f>
        <v/>
      </c>
      <c r="J45" s="25" t="str">
        <f>IF(OR($B45="",_自动清单!$G$11=""),"",SUMIFS(包装物料出入库明细!$J$4:$J$2003,包装物料出入库明细!$D$4:$D$2003,$B45,包装物料出入库明细!$E$4:$E$2003,_自动清单!$G$11,包装物料出入库明细!$B$4:$B$2003,"&gt;="&amp;$AF$1,包装物料出入库明细!$B$4:$B$2003,"&lt;="&amp;$AF$2))</f>
        <v/>
      </c>
      <c r="K45" s="25" t="str">
        <f>IF(OR($B45="",_自动清单!$G$12=""),"",SUMIFS(包装物料出入库明细!$J$4:$J$2003,包装物料出入库明细!$D$4:$D$2003,$B45,包装物料出入库明细!$E$4:$E$2003,_自动清单!$G$12,包装物料出入库明细!$B$4:$B$2003,"&gt;="&amp;$AF$1,包装物料出入库明细!$B$4:$B$2003,"&lt;="&amp;$AF$2))</f>
        <v/>
      </c>
      <c r="L45" s="25" t="str">
        <f>IF(OR($B45="",_自动清单!$G$13=""),"",SUMIFS(包装物料出入库明细!$J$4:$J$2003,包装物料出入库明细!$D$4:$D$2003,$B45,包装物料出入库明细!$E$4:$E$2003,_自动清单!$G$13,包装物料出入库明细!$B$4:$B$2003,"&gt;="&amp;$AF$1,包装物料出入库明细!$B$4:$B$2003,"&lt;="&amp;$AF$2))</f>
        <v/>
      </c>
      <c r="M45" s="25" t="str">
        <f>IF(OR($B45="",_自动清单!$G$14=""),"",SUMIFS(包装物料出入库明细!$J$4:$J$2003,包装物料出入库明细!$D$4:$D$2003,$B45,包装物料出入库明细!$E$4:$E$2003,_自动清单!$G$14,包装物料出入库明细!$B$4:$B$2003,"&gt;="&amp;$AF$1,包装物料出入库明细!$B$4:$B$2003,"&lt;="&amp;$AF$2))</f>
        <v/>
      </c>
      <c r="N45" s="25" t="str">
        <f>IF(OR($B45="",_自动清单!$G$15=""),"",SUMIFS(包装物料出入库明细!$J$4:$J$2003,包装物料出入库明细!$D$4:$D$2003,$B45,包装物料出入库明细!$E$4:$E$2003,_自动清单!$G$15,包装物料出入库明细!$B$4:$B$2003,"&gt;="&amp;$AF$1,包装物料出入库明细!$B$4:$B$2003,"&lt;="&amp;$AF$2))</f>
        <v/>
      </c>
      <c r="O45" s="25" t="str">
        <f>IF(OR($B45="",_自动清单!$G$16=""),"",SUMIFS(包装物料出入库明细!$J$4:$J$2003,包装物料出入库明细!$D$4:$D$2003,$B45,包装物料出入库明细!$E$4:$E$2003,_自动清单!$G$16,包装物料出入库明细!$B$4:$B$2003,"&gt;="&amp;$AF$1,包装物料出入库明细!$B$4:$B$2003,"&lt;="&amp;$AF$2))</f>
        <v/>
      </c>
      <c r="P45" s="25" t="str">
        <f>IF(OR($B45="",_自动清单!$G$17=""),"",SUMIFS(包装物料出入库明细!$J$4:$J$2003,包装物料出入库明细!$D$4:$D$2003,$B45,包装物料出入库明细!$E$4:$E$2003,_自动清单!$G$17,包装物料出入库明细!$B$4:$B$2003,"&gt;="&amp;$AF$1,包装物料出入库明细!$B$4:$B$2003,"&lt;="&amp;$AF$2))</f>
        <v/>
      </c>
      <c r="Q45" s="25" t="str">
        <f>IF(OR($B45="",_自动清单!$G$18=""),"",SUMIFS(包装物料出入库明细!$J$4:$J$2003,包装物料出入库明细!$D$4:$D$2003,$B45,包装物料出入库明细!$E$4:$E$2003,_自动清单!$G$18,包装物料出入库明细!$B$4:$B$2003,"&gt;="&amp;$AF$1,包装物料出入库明细!$B$4:$B$2003,"&lt;="&amp;$AF$2))</f>
        <v/>
      </c>
      <c r="R45" s="25" t="str">
        <f>IF(OR($B45="",_自动清单!$G$19=""),"",SUMIFS(包装物料出入库明细!$J$4:$J$2003,包装物料出入库明细!$D$4:$D$2003,$B45,包装物料出入库明细!$E$4:$E$2003,_自动清单!$G$19,包装物料出入库明细!$B$4:$B$2003,"&gt;="&amp;$AF$1,包装物料出入库明细!$B$4:$B$2003,"&lt;="&amp;$AF$2))</f>
        <v/>
      </c>
      <c r="S45" s="25" t="str">
        <f>IF(OR($B45="",_自动清单!$G$20=""),"",SUMIFS(包装物料出入库明细!$J$4:$J$2003,包装物料出入库明细!$D$4:$D$2003,$B45,包装物料出入库明细!$E$4:$E$2003,_自动清单!$G$20,包装物料出入库明细!$B$4:$B$2003,"&gt;="&amp;$AF$1,包装物料出入库明细!$B$4:$B$2003,"&lt;="&amp;$AF$2))</f>
        <v/>
      </c>
      <c r="T45" s="25" t="str">
        <f>IF(OR($B45="",_自动清单!$G$21=""),"",SUMIFS(包装物料出入库明细!$J$4:$J$2003,包装物料出入库明细!$D$4:$D$2003,$B45,包装物料出入库明细!$E$4:$E$2003,_自动清单!$G$21,包装物料出入库明细!$B$4:$B$2003,"&gt;="&amp;$AF$1,包装物料出入库明细!$B$4:$B$2003,"&lt;="&amp;$AF$2))</f>
        <v/>
      </c>
      <c r="U45" s="25" t="str">
        <f>IF($B45="","",SUMIFS(包装物料出入库明细!$J$4:$J$2003,包装物料出入库明细!$D$4:$D$2003,$B45,包装物料出入库明细!$B$4:$B$2003,"&gt;="&amp;$AF$1,包装物料出入库明细!$B$4:$B$2003,"&lt;="&amp;$AF$2)-SUM($C45:$T45))</f>
        <v/>
      </c>
      <c r="V45" s="25" t="str">
        <f t="shared" si="1"/>
        <v/>
      </c>
      <c r="W45" s="56" t="str">
        <f>IF($B45="","",SUMIFS(包装物料出入库明细!$K$4:$K$2003,包装物料出入库明细!$D$4:$D$2003,$B45,包装物料出入库明细!$B$4:$B$2003,"&gt;="&amp;$AF$1,包装物料出入库明细!$B$4:$B$2003,"&lt;="&amp;$AF$2))</f>
        <v/>
      </c>
      <c r="X45" s="25" t="str">
        <f t="shared" si="2"/>
        <v/>
      </c>
      <c r="Y45" s="26" t="str">
        <f>IF($B45="","",ROUND(SUMIFS(包装物料出入库明细!$N$4:$N$2003,包装物料出入库明细!$D$4:$D$2003,$B45,包装物料出入库明细!$H$4:$H$2003,"销售出库",包装物料出入库明细!$B$4:$B$2003,"&gt;="&amp;$AF$1,包装物料出入库明细!$B$4:$B$2003,"&lt;="&amp;$AF$2),2))</f>
        <v/>
      </c>
      <c r="Z45" s="26" t="str">
        <f>IF($B45="","",ROUND(SUMIFS(包装物料出入库明细!$N$4:$N$2003,包装物料出入库明细!$D$4:$D$2003,$B45,包装物料出入库明细!$H$4:$H$2003,"销售出库",包装物料出入库明细!$P$4:$P$2003,"已收讫",包装物料出入库明细!$B$4:$B$2003,"&gt;="&amp;$AF$1,包装物料出入库明细!$B$4:$B$2003,"&lt;="&amp;$AF$2),2))</f>
        <v/>
      </c>
      <c r="AA45" s="26" t="str">
        <f t="shared" si="3"/>
        <v/>
      </c>
      <c r="AB45" s="41"/>
    </row>
    <row r="46" spans="1:28">
      <c r="A46" s="24" t="str">
        <f t="shared" si="0"/>
        <v/>
      </c>
      <c r="B46" s="24" t="str">
        <f>IFERROR(INDEX(_自动清单!$O$4:$O$203,ROW()-3),"")</f>
        <v/>
      </c>
      <c r="C46" s="25" t="str">
        <f>IF(OR($B46="",_自动清单!$G$4=""),"",SUMIFS(包装物料出入库明细!$J$4:$J$2003,包装物料出入库明细!$D$4:$D$2003,$B46,包装物料出入库明细!$E$4:$E$2003,_自动清单!$G$4,包装物料出入库明细!$B$4:$B$2003,"&gt;="&amp;$AF$1,包装物料出入库明细!$B$4:$B$2003,"&lt;="&amp;$AF$2))</f>
        <v/>
      </c>
      <c r="D46" s="25" t="str">
        <f>IF(OR($B46="",_自动清单!$G$5=""),"",SUMIFS(包装物料出入库明细!$J$4:$J$2003,包装物料出入库明细!$D$4:$D$2003,$B46,包装物料出入库明细!$E$4:$E$2003,_自动清单!$G$5,包装物料出入库明细!$B$4:$B$2003,"&gt;="&amp;$AF$1,包装物料出入库明细!$B$4:$B$2003,"&lt;="&amp;$AF$2))</f>
        <v/>
      </c>
      <c r="E46" s="25" t="str">
        <f>IF(OR($B46="",_自动清单!$G$6=""),"",SUMIFS(包装物料出入库明细!$J$4:$J$2003,包装物料出入库明细!$D$4:$D$2003,$B46,包装物料出入库明细!$E$4:$E$2003,_自动清单!$G$6,包装物料出入库明细!$B$4:$B$2003,"&gt;="&amp;$AF$1,包装物料出入库明细!$B$4:$B$2003,"&lt;="&amp;$AF$2))</f>
        <v/>
      </c>
      <c r="F46" s="25" t="str">
        <f>IF(OR($B46="",_自动清单!$G$7=""),"",SUMIFS(包装物料出入库明细!$J$4:$J$2003,包装物料出入库明细!$D$4:$D$2003,$B46,包装物料出入库明细!$E$4:$E$2003,_自动清单!$G$7,包装物料出入库明细!$B$4:$B$2003,"&gt;="&amp;$AF$1,包装物料出入库明细!$B$4:$B$2003,"&lt;="&amp;$AF$2))</f>
        <v/>
      </c>
      <c r="G46" s="25" t="str">
        <f>IF(OR($B46="",_自动清单!$G$8=""),"",SUMIFS(包装物料出入库明细!$J$4:$J$2003,包装物料出入库明细!$D$4:$D$2003,$B46,包装物料出入库明细!$E$4:$E$2003,_自动清单!$G$8,包装物料出入库明细!$B$4:$B$2003,"&gt;="&amp;$AF$1,包装物料出入库明细!$B$4:$B$2003,"&lt;="&amp;$AF$2))</f>
        <v/>
      </c>
      <c r="H46" s="25" t="str">
        <f>IF(OR($B46="",_自动清单!$G$9=""),"",SUMIFS(包装物料出入库明细!$J$4:$J$2003,包装物料出入库明细!$D$4:$D$2003,$B46,包装物料出入库明细!$E$4:$E$2003,_自动清单!$G$9,包装物料出入库明细!$B$4:$B$2003,"&gt;="&amp;$AF$1,包装物料出入库明细!$B$4:$B$2003,"&lt;="&amp;$AF$2))</f>
        <v/>
      </c>
      <c r="I46" s="25" t="str">
        <f>IF(OR($B46="",_自动清单!$G$10=""),"",SUMIFS(包装物料出入库明细!$J$4:$J$2003,包装物料出入库明细!$D$4:$D$2003,$B46,包装物料出入库明细!$E$4:$E$2003,_自动清单!$G$10,包装物料出入库明细!$B$4:$B$2003,"&gt;="&amp;$AF$1,包装物料出入库明细!$B$4:$B$2003,"&lt;="&amp;$AF$2))</f>
        <v/>
      </c>
      <c r="J46" s="25" t="str">
        <f>IF(OR($B46="",_自动清单!$G$11=""),"",SUMIFS(包装物料出入库明细!$J$4:$J$2003,包装物料出入库明细!$D$4:$D$2003,$B46,包装物料出入库明细!$E$4:$E$2003,_自动清单!$G$11,包装物料出入库明细!$B$4:$B$2003,"&gt;="&amp;$AF$1,包装物料出入库明细!$B$4:$B$2003,"&lt;="&amp;$AF$2))</f>
        <v/>
      </c>
      <c r="K46" s="25" t="str">
        <f>IF(OR($B46="",_自动清单!$G$12=""),"",SUMIFS(包装物料出入库明细!$J$4:$J$2003,包装物料出入库明细!$D$4:$D$2003,$B46,包装物料出入库明细!$E$4:$E$2003,_自动清单!$G$12,包装物料出入库明细!$B$4:$B$2003,"&gt;="&amp;$AF$1,包装物料出入库明细!$B$4:$B$2003,"&lt;="&amp;$AF$2))</f>
        <v/>
      </c>
      <c r="L46" s="25" t="str">
        <f>IF(OR($B46="",_自动清单!$G$13=""),"",SUMIFS(包装物料出入库明细!$J$4:$J$2003,包装物料出入库明细!$D$4:$D$2003,$B46,包装物料出入库明细!$E$4:$E$2003,_自动清单!$G$13,包装物料出入库明细!$B$4:$B$2003,"&gt;="&amp;$AF$1,包装物料出入库明细!$B$4:$B$2003,"&lt;="&amp;$AF$2))</f>
        <v/>
      </c>
      <c r="M46" s="25" t="str">
        <f>IF(OR($B46="",_自动清单!$G$14=""),"",SUMIFS(包装物料出入库明细!$J$4:$J$2003,包装物料出入库明细!$D$4:$D$2003,$B46,包装物料出入库明细!$E$4:$E$2003,_自动清单!$G$14,包装物料出入库明细!$B$4:$B$2003,"&gt;="&amp;$AF$1,包装物料出入库明细!$B$4:$B$2003,"&lt;="&amp;$AF$2))</f>
        <v/>
      </c>
      <c r="N46" s="25" t="str">
        <f>IF(OR($B46="",_自动清单!$G$15=""),"",SUMIFS(包装物料出入库明细!$J$4:$J$2003,包装物料出入库明细!$D$4:$D$2003,$B46,包装物料出入库明细!$E$4:$E$2003,_自动清单!$G$15,包装物料出入库明细!$B$4:$B$2003,"&gt;="&amp;$AF$1,包装物料出入库明细!$B$4:$B$2003,"&lt;="&amp;$AF$2))</f>
        <v/>
      </c>
      <c r="O46" s="25" t="str">
        <f>IF(OR($B46="",_自动清单!$G$16=""),"",SUMIFS(包装物料出入库明细!$J$4:$J$2003,包装物料出入库明细!$D$4:$D$2003,$B46,包装物料出入库明细!$E$4:$E$2003,_自动清单!$G$16,包装物料出入库明细!$B$4:$B$2003,"&gt;="&amp;$AF$1,包装物料出入库明细!$B$4:$B$2003,"&lt;="&amp;$AF$2))</f>
        <v/>
      </c>
      <c r="P46" s="25" t="str">
        <f>IF(OR($B46="",_自动清单!$G$17=""),"",SUMIFS(包装物料出入库明细!$J$4:$J$2003,包装物料出入库明细!$D$4:$D$2003,$B46,包装物料出入库明细!$E$4:$E$2003,_自动清单!$G$17,包装物料出入库明细!$B$4:$B$2003,"&gt;="&amp;$AF$1,包装物料出入库明细!$B$4:$B$2003,"&lt;="&amp;$AF$2))</f>
        <v/>
      </c>
      <c r="Q46" s="25" t="str">
        <f>IF(OR($B46="",_自动清单!$G$18=""),"",SUMIFS(包装物料出入库明细!$J$4:$J$2003,包装物料出入库明细!$D$4:$D$2003,$B46,包装物料出入库明细!$E$4:$E$2003,_自动清单!$G$18,包装物料出入库明细!$B$4:$B$2003,"&gt;="&amp;$AF$1,包装物料出入库明细!$B$4:$B$2003,"&lt;="&amp;$AF$2))</f>
        <v/>
      </c>
      <c r="R46" s="25" t="str">
        <f>IF(OR($B46="",_自动清单!$G$19=""),"",SUMIFS(包装物料出入库明细!$J$4:$J$2003,包装物料出入库明细!$D$4:$D$2003,$B46,包装物料出入库明细!$E$4:$E$2003,_自动清单!$G$19,包装物料出入库明细!$B$4:$B$2003,"&gt;="&amp;$AF$1,包装物料出入库明细!$B$4:$B$2003,"&lt;="&amp;$AF$2))</f>
        <v/>
      </c>
      <c r="S46" s="25" t="str">
        <f>IF(OR($B46="",_自动清单!$G$20=""),"",SUMIFS(包装物料出入库明细!$J$4:$J$2003,包装物料出入库明细!$D$4:$D$2003,$B46,包装物料出入库明细!$E$4:$E$2003,_自动清单!$G$20,包装物料出入库明细!$B$4:$B$2003,"&gt;="&amp;$AF$1,包装物料出入库明细!$B$4:$B$2003,"&lt;="&amp;$AF$2))</f>
        <v/>
      </c>
      <c r="T46" s="25" t="str">
        <f>IF(OR($B46="",_自动清单!$G$21=""),"",SUMIFS(包装物料出入库明细!$J$4:$J$2003,包装物料出入库明细!$D$4:$D$2003,$B46,包装物料出入库明细!$E$4:$E$2003,_自动清单!$G$21,包装物料出入库明细!$B$4:$B$2003,"&gt;="&amp;$AF$1,包装物料出入库明细!$B$4:$B$2003,"&lt;="&amp;$AF$2))</f>
        <v/>
      </c>
      <c r="U46" s="25" t="str">
        <f>IF($B46="","",SUMIFS(包装物料出入库明细!$J$4:$J$2003,包装物料出入库明细!$D$4:$D$2003,$B46,包装物料出入库明细!$B$4:$B$2003,"&gt;="&amp;$AF$1,包装物料出入库明细!$B$4:$B$2003,"&lt;="&amp;$AF$2)-SUM($C46:$T46))</f>
        <v/>
      </c>
      <c r="V46" s="25" t="str">
        <f t="shared" si="1"/>
        <v/>
      </c>
      <c r="W46" s="56" t="str">
        <f>IF($B46="","",SUMIFS(包装物料出入库明细!$K$4:$K$2003,包装物料出入库明细!$D$4:$D$2003,$B46,包装物料出入库明细!$B$4:$B$2003,"&gt;="&amp;$AF$1,包装物料出入库明细!$B$4:$B$2003,"&lt;="&amp;$AF$2))</f>
        <v/>
      </c>
      <c r="X46" s="25" t="str">
        <f t="shared" si="2"/>
        <v/>
      </c>
      <c r="Y46" s="26" t="str">
        <f>IF($B46="","",ROUND(SUMIFS(包装物料出入库明细!$N$4:$N$2003,包装物料出入库明细!$D$4:$D$2003,$B46,包装物料出入库明细!$H$4:$H$2003,"销售出库",包装物料出入库明细!$B$4:$B$2003,"&gt;="&amp;$AF$1,包装物料出入库明细!$B$4:$B$2003,"&lt;="&amp;$AF$2),2))</f>
        <v/>
      </c>
      <c r="Z46" s="26" t="str">
        <f>IF($B46="","",ROUND(SUMIFS(包装物料出入库明细!$N$4:$N$2003,包装物料出入库明细!$D$4:$D$2003,$B46,包装物料出入库明细!$H$4:$H$2003,"销售出库",包装物料出入库明细!$P$4:$P$2003,"已收讫",包装物料出入库明细!$B$4:$B$2003,"&gt;="&amp;$AF$1,包装物料出入库明细!$B$4:$B$2003,"&lt;="&amp;$AF$2),2))</f>
        <v/>
      </c>
      <c r="AA46" s="26" t="str">
        <f t="shared" si="3"/>
        <v/>
      </c>
      <c r="AB46" s="41"/>
    </row>
    <row r="47" spans="1:28">
      <c r="A47" s="24" t="str">
        <f t="shared" si="0"/>
        <v/>
      </c>
      <c r="B47" s="24" t="str">
        <f>IFERROR(INDEX(_自动清单!$O$4:$O$203,ROW()-3),"")</f>
        <v/>
      </c>
      <c r="C47" s="25" t="str">
        <f>IF(OR($B47="",_自动清单!$G$4=""),"",SUMIFS(包装物料出入库明细!$J$4:$J$2003,包装物料出入库明细!$D$4:$D$2003,$B47,包装物料出入库明细!$E$4:$E$2003,_自动清单!$G$4,包装物料出入库明细!$B$4:$B$2003,"&gt;="&amp;$AF$1,包装物料出入库明细!$B$4:$B$2003,"&lt;="&amp;$AF$2))</f>
        <v/>
      </c>
      <c r="D47" s="25" t="str">
        <f>IF(OR($B47="",_自动清单!$G$5=""),"",SUMIFS(包装物料出入库明细!$J$4:$J$2003,包装物料出入库明细!$D$4:$D$2003,$B47,包装物料出入库明细!$E$4:$E$2003,_自动清单!$G$5,包装物料出入库明细!$B$4:$B$2003,"&gt;="&amp;$AF$1,包装物料出入库明细!$B$4:$B$2003,"&lt;="&amp;$AF$2))</f>
        <v/>
      </c>
      <c r="E47" s="25" t="str">
        <f>IF(OR($B47="",_自动清单!$G$6=""),"",SUMIFS(包装物料出入库明细!$J$4:$J$2003,包装物料出入库明细!$D$4:$D$2003,$B47,包装物料出入库明细!$E$4:$E$2003,_自动清单!$G$6,包装物料出入库明细!$B$4:$B$2003,"&gt;="&amp;$AF$1,包装物料出入库明细!$B$4:$B$2003,"&lt;="&amp;$AF$2))</f>
        <v/>
      </c>
      <c r="F47" s="25" t="str">
        <f>IF(OR($B47="",_自动清单!$G$7=""),"",SUMIFS(包装物料出入库明细!$J$4:$J$2003,包装物料出入库明细!$D$4:$D$2003,$B47,包装物料出入库明细!$E$4:$E$2003,_自动清单!$G$7,包装物料出入库明细!$B$4:$B$2003,"&gt;="&amp;$AF$1,包装物料出入库明细!$B$4:$B$2003,"&lt;="&amp;$AF$2))</f>
        <v/>
      </c>
      <c r="G47" s="25" t="str">
        <f>IF(OR($B47="",_自动清单!$G$8=""),"",SUMIFS(包装物料出入库明细!$J$4:$J$2003,包装物料出入库明细!$D$4:$D$2003,$B47,包装物料出入库明细!$E$4:$E$2003,_自动清单!$G$8,包装物料出入库明细!$B$4:$B$2003,"&gt;="&amp;$AF$1,包装物料出入库明细!$B$4:$B$2003,"&lt;="&amp;$AF$2))</f>
        <v/>
      </c>
      <c r="H47" s="25" t="str">
        <f>IF(OR($B47="",_自动清单!$G$9=""),"",SUMIFS(包装物料出入库明细!$J$4:$J$2003,包装物料出入库明细!$D$4:$D$2003,$B47,包装物料出入库明细!$E$4:$E$2003,_自动清单!$G$9,包装物料出入库明细!$B$4:$B$2003,"&gt;="&amp;$AF$1,包装物料出入库明细!$B$4:$B$2003,"&lt;="&amp;$AF$2))</f>
        <v/>
      </c>
      <c r="I47" s="25" t="str">
        <f>IF(OR($B47="",_自动清单!$G$10=""),"",SUMIFS(包装物料出入库明细!$J$4:$J$2003,包装物料出入库明细!$D$4:$D$2003,$B47,包装物料出入库明细!$E$4:$E$2003,_自动清单!$G$10,包装物料出入库明细!$B$4:$B$2003,"&gt;="&amp;$AF$1,包装物料出入库明细!$B$4:$B$2003,"&lt;="&amp;$AF$2))</f>
        <v/>
      </c>
      <c r="J47" s="25" t="str">
        <f>IF(OR($B47="",_自动清单!$G$11=""),"",SUMIFS(包装物料出入库明细!$J$4:$J$2003,包装物料出入库明细!$D$4:$D$2003,$B47,包装物料出入库明细!$E$4:$E$2003,_自动清单!$G$11,包装物料出入库明细!$B$4:$B$2003,"&gt;="&amp;$AF$1,包装物料出入库明细!$B$4:$B$2003,"&lt;="&amp;$AF$2))</f>
        <v/>
      </c>
      <c r="K47" s="25" t="str">
        <f>IF(OR($B47="",_自动清单!$G$12=""),"",SUMIFS(包装物料出入库明细!$J$4:$J$2003,包装物料出入库明细!$D$4:$D$2003,$B47,包装物料出入库明细!$E$4:$E$2003,_自动清单!$G$12,包装物料出入库明细!$B$4:$B$2003,"&gt;="&amp;$AF$1,包装物料出入库明细!$B$4:$B$2003,"&lt;="&amp;$AF$2))</f>
        <v/>
      </c>
      <c r="L47" s="25" t="str">
        <f>IF(OR($B47="",_自动清单!$G$13=""),"",SUMIFS(包装物料出入库明细!$J$4:$J$2003,包装物料出入库明细!$D$4:$D$2003,$B47,包装物料出入库明细!$E$4:$E$2003,_自动清单!$G$13,包装物料出入库明细!$B$4:$B$2003,"&gt;="&amp;$AF$1,包装物料出入库明细!$B$4:$B$2003,"&lt;="&amp;$AF$2))</f>
        <v/>
      </c>
      <c r="M47" s="25" t="str">
        <f>IF(OR($B47="",_自动清单!$G$14=""),"",SUMIFS(包装物料出入库明细!$J$4:$J$2003,包装物料出入库明细!$D$4:$D$2003,$B47,包装物料出入库明细!$E$4:$E$2003,_自动清单!$G$14,包装物料出入库明细!$B$4:$B$2003,"&gt;="&amp;$AF$1,包装物料出入库明细!$B$4:$B$2003,"&lt;="&amp;$AF$2))</f>
        <v/>
      </c>
      <c r="N47" s="25" t="str">
        <f>IF(OR($B47="",_自动清单!$G$15=""),"",SUMIFS(包装物料出入库明细!$J$4:$J$2003,包装物料出入库明细!$D$4:$D$2003,$B47,包装物料出入库明细!$E$4:$E$2003,_自动清单!$G$15,包装物料出入库明细!$B$4:$B$2003,"&gt;="&amp;$AF$1,包装物料出入库明细!$B$4:$B$2003,"&lt;="&amp;$AF$2))</f>
        <v/>
      </c>
      <c r="O47" s="25" t="str">
        <f>IF(OR($B47="",_自动清单!$G$16=""),"",SUMIFS(包装物料出入库明细!$J$4:$J$2003,包装物料出入库明细!$D$4:$D$2003,$B47,包装物料出入库明细!$E$4:$E$2003,_自动清单!$G$16,包装物料出入库明细!$B$4:$B$2003,"&gt;="&amp;$AF$1,包装物料出入库明细!$B$4:$B$2003,"&lt;="&amp;$AF$2))</f>
        <v/>
      </c>
      <c r="P47" s="25" t="str">
        <f>IF(OR($B47="",_自动清单!$G$17=""),"",SUMIFS(包装物料出入库明细!$J$4:$J$2003,包装物料出入库明细!$D$4:$D$2003,$B47,包装物料出入库明细!$E$4:$E$2003,_自动清单!$G$17,包装物料出入库明细!$B$4:$B$2003,"&gt;="&amp;$AF$1,包装物料出入库明细!$B$4:$B$2003,"&lt;="&amp;$AF$2))</f>
        <v/>
      </c>
      <c r="Q47" s="25" t="str">
        <f>IF(OR($B47="",_自动清单!$G$18=""),"",SUMIFS(包装物料出入库明细!$J$4:$J$2003,包装物料出入库明细!$D$4:$D$2003,$B47,包装物料出入库明细!$E$4:$E$2003,_自动清单!$G$18,包装物料出入库明细!$B$4:$B$2003,"&gt;="&amp;$AF$1,包装物料出入库明细!$B$4:$B$2003,"&lt;="&amp;$AF$2))</f>
        <v/>
      </c>
      <c r="R47" s="25" t="str">
        <f>IF(OR($B47="",_自动清单!$G$19=""),"",SUMIFS(包装物料出入库明细!$J$4:$J$2003,包装物料出入库明细!$D$4:$D$2003,$B47,包装物料出入库明细!$E$4:$E$2003,_自动清单!$G$19,包装物料出入库明细!$B$4:$B$2003,"&gt;="&amp;$AF$1,包装物料出入库明细!$B$4:$B$2003,"&lt;="&amp;$AF$2))</f>
        <v/>
      </c>
      <c r="S47" s="25" t="str">
        <f>IF(OR($B47="",_自动清单!$G$20=""),"",SUMIFS(包装物料出入库明细!$J$4:$J$2003,包装物料出入库明细!$D$4:$D$2003,$B47,包装物料出入库明细!$E$4:$E$2003,_自动清单!$G$20,包装物料出入库明细!$B$4:$B$2003,"&gt;="&amp;$AF$1,包装物料出入库明细!$B$4:$B$2003,"&lt;="&amp;$AF$2))</f>
        <v/>
      </c>
      <c r="T47" s="25" t="str">
        <f>IF(OR($B47="",_自动清单!$G$21=""),"",SUMIFS(包装物料出入库明细!$J$4:$J$2003,包装物料出入库明细!$D$4:$D$2003,$B47,包装物料出入库明细!$E$4:$E$2003,_自动清单!$G$21,包装物料出入库明细!$B$4:$B$2003,"&gt;="&amp;$AF$1,包装物料出入库明细!$B$4:$B$2003,"&lt;="&amp;$AF$2))</f>
        <v/>
      </c>
      <c r="U47" s="25" t="str">
        <f>IF($B47="","",SUMIFS(包装物料出入库明细!$J$4:$J$2003,包装物料出入库明细!$D$4:$D$2003,$B47,包装物料出入库明细!$B$4:$B$2003,"&gt;="&amp;$AF$1,包装物料出入库明细!$B$4:$B$2003,"&lt;="&amp;$AF$2)-SUM($C47:$T47))</f>
        <v/>
      </c>
      <c r="V47" s="25" t="str">
        <f t="shared" si="1"/>
        <v/>
      </c>
      <c r="W47" s="56" t="str">
        <f>IF($B47="","",SUMIFS(包装物料出入库明细!$K$4:$K$2003,包装物料出入库明细!$D$4:$D$2003,$B47,包装物料出入库明细!$B$4:$B$2003,"&gt;="&amp;$AF$1,包装物料出入库明细!$B$4:$B$2003,"&lt;="&amp;$AF$2))</f>
        <v/>
      </c>
      <c r="X47" s="25" t="str">
        <f t="shared" si="2"/>
        <v/>
      </c>
      <c r="Y47" s="26" t="str">
        <f>IF($B47="","",ROUND(SUMIFS(包装物料出入库明细!$N$4:$N$2003,包装物料出入库明细!$D$4:$D$2003,$B47,包装物料出入库明细!$H$4:$H$2003,"销售出库",包装物料出入库明细!$B$4:$B$2003,"&gt;="&amp;$AF$1,包装物料出入库明细!$B$4:$B$2003,"&lt;="&amp;$AF$2),2))</f>
        <v/>
      </c>
      <c r="Z47" s="26" t="str">
        <f>IF($B47="","",ROUND(SUMIFS(包装物料出入库明细!$N$4:$N$2003,包装物料出入库明细!$D$4:$D$2003,$B47,包装物料出入库明细!$H$4:$H$2003,"销售出库",包装物料出入库明细!$P$4:$P$2003,"已收讫",包装物料出入库明细!$B$4:$B$2003,"&gt;="&amp;$AF$1,包装物料出入库明细!$B$4:$B$2003,"&lt;="&amp;$AF$2),2))</f>
        <v/>
      </c>
      <c r="AA47" s="26" t="str">
        <f t="shared" si="3"/>
        <v/>
      </c>
      <c r="AB47" s="41"/>
    </row>
    <row r="48" spans="1:28">
      <c r="A48" s="24" t="str">
        <f t="shared" si="0"/>
        <v/>
      </c>
      <c r="B48" s="24" t="str">
        <f>IFERROR(INDEX(_自动清单!$O$4:$O$203,ROW()-3),"")</f>
        <v/>
      </c>
      <c r="C48" s="25" t="str">
        <f>IF(OR($B48="",_自动清单!$G$4=""),"",SUMIFS(包装物料出入库明细!$J$4:$J$2003,包装物料出入库明细!$D$4:$D$2003,$B48,包装物料出入库明细!$E$4:$E$2003,_自动清单!$G$4,包装物料出入库明细!$B$4:$B$2003,"&gt;="&amp;$AF$1,包装物料出入库明细!$B$4:$B$2003,"&lt;="&amp;$AF$2))</f>
        <v/>
      </c>
      <c r="D48" s="25" t="str">
        <f>IF(OR($B48="",_自动清单!$G$5=""),"",SUMIFS(包装物料出入库明细!$J$4:$J$2003,包装物料出入库明细!$D$4:$D$2003,$B48,包装物料出入库明细!$E$4:$E$2003,_自动清单!$G$5,包装物料出入库明细!$B$4:$B$2003,"&gt;="&amp;$AF$1,包装物料出入库明细!$B$4:$B$2003,"&lt;="&amp;$AF$2))</f>
        <v/>
      </c>
      <c r="E48" s="25" t="str">
        <f>IF(OR($B48="",_自动清单!$G$6=""),"",SUMIFS(包装物料出入库明细!$J$4:$J$2003,包装物料出入库明细!$D$4:$D$2003,$B48,包装物料出入库明细!$E$4:$E$2003,_自动清单!$G$6,包装物料出入库明细!$B$4:$B$2003,"&gt;="&amp;$AF$1,包装物料出入库明细!$B$4:$B$2003,"&lt;="&amp;$AF$2))</f>
        <v/>
      </c>
      <c r="F48" s="25" t="str">
        <f>IF(OR($B48="",_自动清单!$G$7=""),"",SUMIFS(包装物料出入库明细!$J$4:$J$2003,包装物料出入库明细!$D$4:$D$2003,$B48,包装物料出入库明细!$E$4:$E$2003,_自动清单!$G$7,包装物料出入库明细!$B$4:$B$2003,"&gt;="&amp;$AF$1,包装物料出入库明细!$B$4:$B$2003,"&lt;="&amp;$AF$2))</f>
        <v/>
      </c>
      <c r="G48" s="25" t="str">
        <f>IF(OR($B48="",_自动清单!$G$8=""),"",SUMIFS(包装物料出入库明细!$J$4:$J$2003,包装物料出入库明细!$D$4:$D$2003,$B48,包装物料出入库明细!$E$4:$E$2003,_自动清单!$G$8,包装物料出入库明细!$B$4:$B$2003,"&gt;="&amp;$AF$1,包装物料出入库明细!$B$4:$B$2003,"&lt;="&amp;$AF$2))</f>
        <v/>
      </c>
      <c r="H48" s="25" t="str">
        <f>IF(OR($B48="",_自动清单!$G$9=""),"",SUMIFS(包装物料出入库明细!$J$4:$J$2003,包装物料出入库明细!$D$4:$D$2003,$B48,包装物料出入库明细!$E$4:$E$2003,_自动清单!$G$9,包装物料出入库明细!$B$4:$B$2003,"&gt;="&amp;$AF$1,包装物料出入库明细!$B$4:$B$2003,"&lt;="&amp;$AF$2))</f>
        <v/>
      </c>
      <c r="I48" s="25" t="str">
        <f>IF(OR($B48="",_自动清单!$G$10=""),"",SUMIFS(包装物料出入库明细!$J$4:$J$2003,包装物料出入库明细!$D$4:$D$2003,$B48,包装物料出入库明细!$E$4:$E$2003,_自动清单!$G$10,包装物料出入库明细!$B$4:$B$2003,"&gt;="&amp;$AF$1,包装物料出入库明细!$B$4:$B$2003,"&lt;="&amp;$AF$2))</f>
        <v/>
      </c>
      <c r="J48" s="25" t="str">
        <f>IF(OR($B48="",_自动清单!$G$11=""),"",SUMIFS(包装物料出入库明细!$J$4:$J$2003,包装物料出入库明细!$D$4:$D$2003,$B48,包装物料出入库明细!$E$4:$E$2003,_自动清单!$G$11,包装物料出入库明细!$B$4:$B$2003,"&gt;="&amp;$AF$1,包装物料出入库明细!$B$4:$B$2003,"&lt;="&amp;$AF$2))</f>
        <v/>
      </c>
      <c r="K48" s="25" t="str">
        <f>IF(OR($B48="",_自动清单!$G$12=""),"",SUMIFS(包装物料出入库明细!$J$4:$J$2003,包装物料出入库明细!$D$4:$D$2003,$B48,包装物料出入库明细!$E$4:$E$2003,_自动清单!$G$12,包装物料出入库明细!$B$4:$B$2003,"&gt;="&amp;$AF$1,包装物料出入库明细!$B$4:$B$2003,"&lt;="&amp;$AF$2))</f>
        <v/>
      </c>
      <c r="L48" s="25" t="str">
        <f>IF(OR($B48="",_自动清单!$G$13=""),"",SUMIFS(包装物料出入库明细!$J$4:$J$2003,包装物料出入库明细!$D$4:$D$2003,$B48,包装物料出入库明细!$E$4:$E$2003,_自动清单!$G$13,包装物料出入库明细!$B$4:$B$2003,"&gt;="&amp;$AF$1,包装物料出入库明细!$B$4:$B$2003,"&lt;="&amp;$AF$2))</f>
        <v/>
      </c>
      <c r="M48" s="25" t="str">
        <f>IF(OR($B48="",_自动清单!$G$14=""),"",SUMIFS(包装物料出入库明细!$J$4:$J$2003,包装物料出入库明细!$D$4:$D$2003,$B48,包装物料出入库明细!$E$4:$E$2003,_自动清单!$G$14,包装物料出入库明细!$B$4:$B$2003,"&gt;="&amp;$AF$1,包装物料出入库明细!$B$4:$B$2003,"&lt;="&amp;$AF$2))</f>
        <v/>
      </c>
      <c r="N48" s="25" t="str">
        <f>IF(OR($B48="",_自动清单!$G$15=""),"",SUMIFS(包装物料出入库明细!$J$4:$J$2003,包装物料出入库明细!$D$4:$D$2003,$B48,包装物料出入库明细!$E$4:$E$2003,_自动清单!$G$15,包装物料出入库明细!$B$4:$B$2003,"&gt;="&amp;$AF$1,包装物料出入库明细!$B$4:$B$2003,"&lt;="&amp;$AF$2))</f>
        <v/>
      </c>
      <c r="O48" s="25" t="str">
        <f>IF(OR($B48="",_自动清单!$G$16=""),"",SUMIFS(包装物料出入库明细!$J$4:$J$2003,包装物料出入库明细!$D$4:$D$2003,$B48,包装物料出入库明细!$E$4:$E$2003,_自动清单!$G$16,包装物料出入库明细!$B$4:$B$2003,"&gt;="&amp;$AF$1,包装物料出入库明细!$B$4:$B$2003,"&lt;="&amp;$AF$2))</f>
        <v/>
      </c>
      <c r="P48" s="25" t="str">
        <f>IF(OR($B48="",_自动清单!$G$17=""),"",SUMIFS(包装物料出入库明细!$J$4:$J$2003,包装物料出入库明细!$D$4:$D$2003,$B48,包装物料出入库明细!$E$4:$E$2003,_自动清单!$G$17,包装物料出入库明细!$B$4:$B$2003,"&gt;="&amp;$AF$1,包装物料出入库明细!$B$4:$B$2003,"&lt;="&amp;$AF$2))</f>
        <v/>
      </c>
      <c r="Q48" s="25" t="str">
        <f>IF(OR($B48="",_自动清单!$G$18=""),"",SUMIFS(包装物料出入库明细!$J$4:$J$2003,包装物料出入库明细!$D$4:$D$2003,$B48,包装物料出入库明细!$E$4:$E$2003,_自动清单!$G$18,包装物料出入库明细!$B$4:$B$2003,"&gt;="&amp;$AF$1,包装物料出入库明细!$B$4:$B$2003,"&lt;="&amp;$AF$2))</f>
        <v/>
      </c>
      <c r="R48" s="25" t="str">
        <f>IF(OR($B48="",_自动清单!$G$19=""),"",SUMIFS(包装物料出入库明细!$J$4:$J$2003,包装物料出入库明细!$D$4:$D$2003,$B48,包装物料出入库明细!$E$4:$E$2003,_自动清单!$G$19,包装物料出入库明细!$B$4:$B$2003,"&gt;="&amp;$AF$1,包装物料出入库明细!$B$4:$B$2003,"&lt;="&amp;$AF$2))</f>
        <v/>
      </c>
      <c r="S48" s="25" t="str">
        <f>IF(OR($B48="",_自动清单!$G$20=""),"",SUMIFS(包装物料出入库明细!$J$4:$J$2003,包装物料出入库明细!$D$4:$D$2003,$B48,包装物料出入库明细!$E$4:$E$2003,_自动清单!$G$20,包装物料出入库明细!$B$4:$B$2003,"&gt;="&amp;$AF$1,包装物料出入库明细!$B$4:$B$2003,"&lt;="&amp;$AF$2))</f>
        <v/>
      </c>
      <c r="T48" s="25" t="str">
        <f>IF(OR($B48="",_自动清单!$G$21=""),"",SUMIFS(包装物料出入库明细!$J$4:$J$2003,包装物料出入库明细!$D$4:$D$2003,$B48,包装物料出入库明细!$E$4:$E$2003,_自动清单!$G$21,包装物料出入库明细!$B$4:$B$2003,"&gt;="&amp;$AF$1,包装物料出入库明细!$B$4:$B$2003,"&lt;="&amp;$AF$2))</f>
        <v/>
      </c>
      <c r="U48" s="25" t="str">
        <f>IF($B48="","",SUMIFS(包装物料出入库明细!$J$4:$J$2003,包装物料出入库明细!$D$4:$D$2003,$B48,包装物料出入库明细!$B$4:$B$2003,"&gt;="&amp;$AF$1,包装物料出入库明细!$B$4:$B$2003,"&lt;="&amp;$AF$2)-SUM($C48:$T48))</f>
        <v/>
      </c>
      <c r="V48" s="25" t="str">
        <f t="shared" si="1"/>
        <v/>
      </c>
      <c r="W48" s="56" t="str">
        <f>IF($B48="","",SUMIFS(包装物料出入库明细!$K$4:$K$2003,包装物料出入库明细!$D$4:$D$2003,$B48,包装物料出入库明细!$B$4:$B$2003,"&gt;="&amp;$AF$1,包装物料出入库明细!$B$4:$B$2003,"&lt;="&amp;$AF$2))</f>
        <v/>
      </c>
      <c r="X48" s="25" t="str">
        <f t="shared" si="2"/>
        <v/>
      </c>
      <c r="Y48" s="26" t="str">
        <f>IF($B48="","",ROUND(SUMIFS(包装物料出入库明细!$N$4:$N$2003,包装物料出入库明细!$D$4:$D$2003,$B48,包装物料出入库明细!$H$4:$H$2003,"销售出库",包装物料出入库明细!$B$4:$B$2003,"&gt;="&amp;$AF$1,包装物料出入库明细!$B$4:$B$2003,"&lt;="&amp;$AF$2),2))</f>
        <v/>
      </c>
      <c r="Z48" s="26" t="str">
        <f>IF($B48="","",ROUND(SUMIFS(包装物料出入库明细!$N$4:$N$2003,包装物料出入库明细!$D$4:$D$2003,$B48,包装物料出入库明细!$H$4:$H$2003,"销售出库",包装物料出入库明细!$P$4:$P$2003,"已收讫",包装物料出入库明细!$B$4:$B$2003,"&gt;="&amp;$AF$1,包装物料出入库明细!$B$4:$B$2003,"&lt;="&amp;$AF$2),2))</f>
        <v/>
      </c>
      <c r="AA48" s="26" t="str">
        <f t="shared" si="3"/>
        <v/>
      </c>
      <c r="AB48" s="41"/>
    </row>
    <row r="49" spans="1:28">
      <c r="A49" s="24" t="str">
        <f t="shared" si="0"/>
        <v/>
      </c>
      <c r="B49" s="24" t="str">
        <f>IFERROR(INDEX(_自动清单!$O$4:$O$203,ROW()-3),"")</f>
        <v/>
      </c>
      <c r="C49" s="25" t="str">
        <f>IF(OR($B49="",_自动清单!$G$4=""),"",SUMIFS(包装物料出入库明细!$J$4:$J$2003,包装物料出入库明细!$D$4:$D$2003,$B49,包装物料出入库明细!$E$4:$E$2003,_自动清单!$G$4,包装物料出入库明细!$B$4:$B$2003,"&gt;="&amp;$AF$1,包装物料出入库明细!$B$4:$B$2003,"&lt;="&amp;$AF$2))</f>
        <v/>
      </c>
      <c r="D49" s="25" t="str">
        <f>IF(OR($B49="",_自动清单!$G$5=""),"",SUMIFS(包装物料出入库明细!$J$4:$J$2003,包装物料出入库明细!$D$4:$D$2003,$B49,包装物料出入库明细!$E$4:$E$2003,_自动清单!$G$5,包装物料出入库明细!$B$4:$B$2003,"&gt;="&amp;$AF$1,包装物料出入库明细!$B$4:$B$2003,"&lt;="&amp;$AF$2))</f>
        <v/>
      </c>
      <c r="E49" s="25" t="str">
        <f>IF(OR($B49="",_自动清单!$G$6=""),"",SUMIFS(包装物料出入库明细!$J$4:$J$2003,包装物料出入库明细!$D$4:$D$2003,$B49,包装物料出入库明细!$E$4:$E$2003,_自动清单!$G$6,包装物料出入库明细!$B$4:$B$2003,"&gt;="&amp;$AF$1,包装物料出入库明细!$B$4:$B$2003,"&lt;="&amp;$AF$2))</f>
        <v/>
      </c>
      <c r="F49" s="25" t="str">
        <f>IF(OR($B49="",_自动清单!$G$7=""),"",SUMIFS(包装物料出入库明细!$J$4:$J$2003,包装物料出入库明细!$D$4:$D$2003,$B49,包装物料出入库明细!$E$4:$E$2003,_自动清单!$G$7,包装物料出入库明细!$B$4:$B$2003,"&gt;="&amp;$AF$1,包装物料出入库明细!$B$4:$B$2003,"&lt;="&amp;$AF$2))</f>
        <v/>
      </c>
      <c r="G49" s="25" t="str">
        <f>IF(OR($B49="",_自动清单!$G$8=""),"",SUMIFS(包装物料出入库明细!$J$4:$J$2003,包装物料出入库明细!$D$4:$D$2003,$B49,包装物料出入库明细!$E$4:$E$2003,_自动清单!$G$8,包装物料出入库明细!$B$4:$B$2003,"&gt;="&amp;$AF$1,包装物料出入库明细!$B$4:$B$2003,"&lt;="&amp;$AF$2))</f>
        <v/>
      </c>
      <c r="H49" s="25" t="str">
        <f>IF(OR($B49="",_自动清单!$G$9=""),"",SUMIFS(包装物料出入库明细!$J$4:$J$2003,包装物料出入库明细!$D$4:$D$2003,$B49,包装物料出入库明细!$E$4:$E$2003,_自动清单!$G$9,包装物料出入库明细!$B$4:$B$2003,"&gt;="&amp;$AF$1,包装物料出入库明细!$B$4:$B$2003,"&lt;="&amp;$AF$2))</f>
        <v/>
      </c>
      <c r="I49" s="25" t="str">
        <f>IF(OR($B49="",_自动清单!$G$10=""),"",SUMIFS(包装物料出入库明细!$J$4:$J$2003,包装物料出入库明细!$D$4:$D$2003,$B49,包装物料出入库明细!$E$4:$E$2003,_自动清单!$G$10,包装物料出入库明细!$B$4:$B$2003,"&gt;="&amp;$AF$1,包装物料出入库明细!$B$4:$B$2003,"&lt;="&amp;$AF$2))</f>
        <v/>
      </c>
      <c r="J49" s="25" t="str">
        <f>IF(OR($B49="",_自动清单!$G$11=""),"",SUMIFS(包装物料出入库明细!$J$4:$J$2003,包装物料出入库明细!$D$4:$D$2003,$B49,包装物料出入库明细!$E$4:$E$2003,_自动清单!$G$11,包装物料出入库明细!$B$4:$B$2003,"&gt;="&amp;$AF$1,包装物料出入库明细!$B$4:$B$2003,"&lt;="&amp;$AF$2))</f>
        <v/>
      </c>
      <c r="K49" s="25" t="str">
        <f>IF(OR($B49="",_自动清单!$G$12=""),"",SUMIFS(包装物料出入库明细!$J$4:$J$2003,包装物料出入库明细!$D$4:$D$2003,$B49,包装物料出入库明细!$E$4:$E$2003,_自动清单!$G$12,包装物料出入库明细!$B$4:$B$2003,"&gt;="&amp;$AF$1,包装物料出入库明细!$B$4:$B$2003,"&lt;="&amp;$AF$2))</f>
        <v/>
      </c>
      <c r="L49" s="25" t="str">
        <f>IF(OR($B49="",_自动清单!$G$13=""),"",SUMIFS(包装物料出入库明细!$J$4:$J$2003,包装物料出入库明细!$D$4:$D$2003,$B49,包装物料出入库明细!$E$4:$E$2003,_自动清单!$G$13,包装物料出入库明细!$B$4:$B$2003,"&gt;="&amp;$AF$1,包装物料出入库明细!$B$4:$B$2003,"&lt;="&amp;$AF$2))</f>
        <v/>
      </c>
      <c r="M49" s="25" t="str">
        <f>IF(OR($B49="",_自动清单!$G$14=""),"",SUMIFS(包装物料出入库明细!$J$4:$J$2003,包装物料出入库明细!$D$4:$D$2003,$B49,包装物料出入库明细!$E$4:$E$2003,_自动清单!$G$14,包装物料出入库明细!$B$4:$B$2003,"&gt;="&amp;$AF$1,包装物料出入库明细!$B$4:$B$2003,"&lt;="&amp;$AF$2))</f>
        <v/>
      </c>
      <c r="N49" s="25" t="str">
        <f>IF(OR($B49="",_自动清单!$G$15=""),"",SUMIFS(包装物料出入库明细!$J$4:$J$2003,包装物料出入库明细!$D$4:$D$2003,$B49,包装物料出入库明细!$E$4:$E$2003,_自动清单!$G$15,包装物料出入库明细!$B$4:$B$2003,"&gt;="&amp;$AF$1,包装物料出入库明细!$B$4:$B$2003,"&lt;="&amp;$AF$2))</f>
        <v/>
      </c>
      <c r="O49" s="25" t="str">
        <f>IF(OR($B49="",_自动清单!$G$16=""),"",SUMIFS(包装物料出入库明细!$J$4:$J$2003,包装物料出入库明细!$D$4:$D$2003,$B49,包装物料出入库明细!$E$4:$E$2003,_自动清单!$G$16,包装物料出入库明细!$B$4:$B$2003,"&gt;="&amp;$AF$1,包装物料出入库明细!$B$4:$B$2003,"&lt;="&amp;$AF$2))</f>
        <v/>
      </c>
      <c r="P49" s="25" t="str">
        <f>IF(OR($B49="",_自动清单!$G$17=""),"",SUMIFS(包装物料出入库明细!$J$4:$J$2003,包装物料出入库明细!$D$4:$D$2003,$B49,包装物料出入库明细!$E$4:$E$2003,_自动清单!$G$17,包装物料出入库明细!$B$4:$B$2003,"&gt;="&amp;$AF$1,包装物料出入库明细!$B$4:$B$2003,"&lt;="&amp;$AF$2))</f>
        <v/>
      </c>
      <c r="Q49" s="25" t="str">
        <f>IF(OR($B49="",_自动清单!$G$18=""),"",SUMIFS(包装物料出入库明细!$J$4:$J$2003,包装物料出入库明细!$D$4:$D$2003,$B49,包装物料出入库明细!$E$4:$E$2003,_自动清单!$G$18,包装物料出入库明细!$B$4:$B$2003,"&gt;="&amp;$AF$1,包装物料出入库明细!$B$4:$B$2003,"&lt;="&amp;$AF$2))</f>
        <v/>
      </c>
      <c r="R49" s="25" t="str">
        <f>IF(OR($B49="",_自动清单!$G$19=""),"",SUMIFS(包装物料出入库明细!$J$4:$J$2003,包装物料出入库明细!$D$4:$D$2003,$B49,包装物料出入库明细!$E$4:$E$2003,_自动清单!$G$19,包装物料出入库明细!$B$4:$B$2003,"&gt;="&amp;$AF$1,包装物料出入库明细!$B$4:$B$2003,"&lt;="&amp;$AF$2))</f>
        <v/>
      </c>
      <c r="S49" s="25" t="str">
        <f>IF(OR($B49="",_自动清单!$G$20=""),"",SUMIFS(包装物料出入库明细!$J$4:$J$2003,包装物料出入库明细!$D$4:$D$2003,$B49,包装物料出入库明细!$E$4:$E$2003,_自动清单!$G$20,包装物料出入库明细!$B$4:$B$2003,"&gt;="&amp;$AF$1,包装物料出入库明细!$B$4:$B$2003,"&lt;="&amp;$AF$2))</f>
        <v/>
      </c>
      <c r="T49" s="25" t="str">
        <f>IF(OR($B49="",_自动清单!$G$21=""),"",SUMIFS(包装物料出入库明细!$J$4:$J$2003,包装物料出入库明细!$D$4:$D$2003,$B49,包装物料出入库明细!$E$4:$E$2003,_自动清单!$G$21,包装物料出入库明细!$B$4:$B$2003,"&gt;="&amp;$AF$1,包装物料出入库明细!$B$4:$B$2003,"&lt;="&amp;$AF$2))</f>
        <v/>
      </c>
      <c r="U49" s="25" t="str">
        <f>IF($B49="","",SUMIFS(包装物料出入库明细!$J$4:$J$2003,包装物料出入库明细!$D$4:$D$2003,$B49,包装物料出入库明细!$B$4:$B$2003,"&gt;="&amp;$AF$1,包装物料出入库明细!$B$4:$B$2003,"&lt;="&amp;$AF$2)-SUM($C49:$T49))</f>
        <v/>
      </c>
      <c r="V49" s="25" t="str">
        <f t="shared" si="1"/>
        <v/>
      </c>
      <c r="W49" s="56" t="str">
        <f>IF($B49="","",SUMIFS(包装物料出入库明细!$K$4:$K$2003,包装物料出入库明细!$D$4:$D$2003,$B49,包装物料出入库明细!$B$4:$B$2003,"&gt;="&amp;$AF$1,包装物料出入库明细!$B$4:$B$2003,"&lt;="&amp;$AF$2))</f>
        <v/>
      </c>
      <c r="X49" s="25" t="str">
        <f t="shared" si="2"/>
        <v/>
      </c>
      <c r="Y49" s="26" t="str">
        <f>IF($B49="","",ROUND(SUMIFS(包装物料出入库明细!$N$4:$N$2003,包装物料出入库明细!$D$4:$D$2003,$B49,包装物料出入库明细!$H$4:$H$2003,"销售出库",包装物料出入库明细!$B$4:$B$2003,"&gt;="&amp;$AF$1,包装物料出入库明细!$B$4:$B$2003,"&lt;="&amp;$AF$2),2))</f>
        <v/>
      </c>
      <c r="Z49" s="26" t="str">
        <f>IF($B49="","",ROUND(SUMIFS(包装物料出入库明细!$N$4:$N$2003,包装物料出入库明细!$D$4:$D$2003,$B49,包装物料出入库明细!$H$4:$H$2003,"销售出库",包装物料出入库明细!$P$4:$P$2003,"已收讫",包装物料出入库明细!$B$4:$B$2003,"&gt;="&amp;$AF$1,包装物料出入库明细!$B$4:$B$2003,"&lt;="&amp;$AF$2),2))</f>
        <v/>
      </c>
      <c r="AA49" s="26" t="str">
        <f t="shared" si="3"/>
        <v/>
      </c>
      <c r="AB49" s="41"/>
    </row>
    <row r="50" spans="1:28">
      <c r="A50" s="24" t="str">
        <f t="shared" si="0"/>
        <v/>
      </c>
      <c r="B50" s="24" t="str">
        <f>IFERROR(INDEX(_自动清单!$O$4:$O$203,ROW()-3),"")</f>
        <v/>
      </c>
      <c r="C50" s="25" t="str">
        <f>IF(OR($B50="",_自动清单!$G$4=""),"",SUMIFS(包装物料出入库明细!$J$4:$J$2003,包装物料出入库明细!$D$4:$D$2003,$B50,包装物料出入库明细!$E$4:$E$2003,_自动清单!$G$4,包装物料出入库明细!$B$4:$B$2003,"&gt;="&amp;$AF$1,包装物料出入库明细!$B$4:$B$2003,"&lt;="&amp;$AF$2))</f>
        <v/>
      </c>
      <c r="D50" s="25" t="str">
        <f>IF(OR($B50="",_自动清单!$G$5=""),"",SUMIFS(包装物料出入库明细!$J$4:$J$2003,包装物料出入库明细!$D$4:$D$2003,$B50,包装物料出入库明细!$E$4:$E$2003,_自动清单!$G$5,包装物料出入库明细!$B$4:$B$2003,"&gt;="&amp;$AF$1,包装物料出入库明细!$B$4:$B$2003,"&lt;="&amp;$AF$2))</f>
        <v/>
      </c>
      <c r="E50" s="25" t="str">
        <f>IF(OR($B50="",_自动清单!$G$6=""),"",SUMIFS(包装物料出入库明细!$J$4:$J$2003,包装物料出入库明细!$D$4:$D$2003,$B50,包装物料出入库明细!$E$4:$E$2003,_自动清单!$G$6,包装物料出入库明细!$B$4:$B$2003,"&gt;="&amp;$AF$1,包装物料出入库明细!$B$4:$B$2003,"&lt;="&amp;$AF$2))</f>
        <v/>
      </c>
      <c r="F50" s="25" t="str">
        <f>IF(OR($B50="",_自动清单!$G$7=""),"",SUMIFS(包装物料出入库明细!$J$4:$J$2003,包装物料出入库明细!$D$4:$D$2003,$B50,包装物料出入库明细!$E$4:$E$2003,_自动清单!$G$7,包装物料出入库明细!$B$4:$B$2003,"&gt;="&amp;$AF$1,包装物料出入库明细!$B$4:$B$2003,"&lt;="&amp;$AF$2))</f>
        <v/>
      </c>
      <c r="G50" s="25" t="str">
        <f>IF(OR($B50="",_自动清单!$G$8=""),"",SUMIFS(包装物料出入库明细!$J$4:$J$2003,包装物料出入库明细!$D$4:$D$2003,$B50,包装物料出入库明细!$E$4:$E$2003,_自动清单!$G$8,包装物料出入库明细!$B$4:$B$2003,"&gt;="&amp;$AF$1,包装物料出入库明细!$B$4:$B$2003,"&lt;="&amp;$AF$2))</f>
        <v/>
      </c>
      <c r="H50" s="25" t="str">
        <f>IF(OR($B50="",_自动清单!$G$9=""),"",SUMIFS(包装物料出入库明细!$J$4:$J$2003,包装物料出入库明细!$D$4:$D$2003,$B50,包装物料出入库明细!$E$4:$E$2003,_自动清单!$G$9,包装物料出入库明细!$B$4:$B$2003,"&gt;="&amp;$AF$1,包装物料出入库明细!$B$4:$B$2003,"&lt;="&amp;$AF$2))</f>
        <v/>
      </c>
      <c r="I50" s="25" t="str">
        <f>IF(OR($B50="",_自动清单!$G$10=""),"",SUMIFS(包装物料出入库明细!$J$4:$J$2003,包装物料出入库明细!$D$4:$D$2003,$B50,包装物料出入库明细!$E$4:$E$2003,_自动清单!$G$10,包装物料出入库明细!$B$4:$B$2003,"&gt;="&amp;$AF$1,包装物料出入库明细!$B$4:$B$2003,"&lt;="&amp;$AF$2))</f>
        <v/>
      </c>
      <c r="J50" s="25" t="str">
        <f>IF(OR($B50="",_自动清单!$G$11=""),"",SUMIFS(包装物料出入库明细!$J$4:$J$2003,包装物料出入库明细!$D$4:$D$2003,$B50,包装物料出入库明细!$E$4:$E$2003,_自动清单!$G$11,包装物料出入库明细!$B$4:$B$2003,"&gt;="&amp;$AF$1,包装物料出入库明细!$B$4:$B$2003,"&lt;="&amp;$AF$2))</f>
        <v/>
      </c>
      <c r="K50" s="25" t="str">
        <f>IF(OR($B50="",_自动清单!$G$12=""),"",SUMIFS(包装物料出入库明细!$J$4:$J$2003,包装物料出入库明细!$D$4:$D$2003,$B50,包装物料出入库明细!$E$4:$E$2003,_自动清单!$G$12,包装物料出入库明细!$B$4:$B$2003,"&gt;="&amp;$AF$1,包装物料出入库明细!$B$4:$B$2003,"&lt;="&amp;$AF$2))</f>
        <v/>
      </c>
      <c r="L50" s="25" t="str">
        <f>IF(OR($B50="",_自动清单!$G$13=""),"",SUMIFS(包装物料出入库明细!$J$4:$J$2003,包装物料出入库明细!$D$4:$D$2003,$B50,包装物料出入库明细!$E$4:$E$2003,_自动清单!$G$13,包装物料出入库明细!$B$4:$B$2003,"&gt;="&amp;$AF$1,包装物料出入库明细!$B$4:$B$2003,"&lt;="&amp;$AF$2))</f>
        <v/>
      </c>
      <c r="M50" s="25" t="str">
        <f>IF(OR($B50="",_自动清单!$G$14=""),"",SUMIFS(包装物料出入库明细!$J$4:$J$2003,包装物料出入库明细!$D$4:$D$2003,$B50,包装物料出入库明细!$E$4:$E$2003,_自动清单!$G$14,包装物料出入库明细!$B$4:$B$2003,"&gt;="&amp;$AF$1,包装物料出入库明细!$B$4:$B$2003,"&lt;="&amp;$AF$2))</f>
        <v/>
      </c>
      <c r="N50" s="25" t="str">
        <f>IF(OR($B50="",_自动清单!$G$15=""),"",SUMIFS(包装物料出入库明细!$J$4:$J$2003,包装物料出入库明细!$D$4:$D$2003,$B50,包装物料出入库明细!$E$4:$E$2003,_自动清单!$G$15,包装物料出入库明细!$B$4:$B$2003,"&gt;="&amp;$AF$1,包装物料出入库明细!$B$4:$B$2003,"&lt;="&amp;$AF$2))</f>
        <v/>
      </c>
      <c r="O50" s="25" t="str">
        <f>IF(OR($B50="",_自动清单!$G$16=""),"",SUMIFS(包装物料出入库明细!$J$4:$J$2003,包装物料出入库明细!$D$4:$D$2003,$B50,包装物料出入库明细!$E$4:$E$2003,_自动清单!$G$16,包装物料出入库明细!$B$4:$B$2003,"&gt;="&amp;$AF$1,包装物料出入库明细!$B$4:$B$2003,"&lt;="&amp;$AF$2))</f>
        <v/>
      </c>
      <c r="P50" s="25" t="str">
        <f>IF(OR($B50="",_自动清单!$G$17=""),"",SUMIFS(包装物料出入库明细!$J$4:$J$2003,包装物料出入库明细!$D$4:$D$2003,$B50,包装物料出入库明细!$E$4:$E$2003,_自动清单!$G$17,包装物料出入库明细!$B$4:$B$2003,"&gt;="&amp;$AF$1,包装物料出入库明细!$B$4:$B$2003,"&lt;="&amp;$AF$2))</f>
        <v/>
      </c>
      <c r="Q50" s="25" t="str">
        <f>IF(OR($B50="",_自动清单!$G$18=""),"",SUMIFS(包装物料出入库明细!$J$4:$J$2003,包装物料出入库明细!$D$4:$D$2003,$B50,包装物料出入库明细!$E$4:$E$2003,_自动清单!$G$18,包装物料出入库明细!$B$4:$B$2003,"&gt;="&amp;$AF$1,包装物料出入库明细!$B$4:$B$2003,"&lt;="&amp;$AF$2))</f>
        <v/>
      </c>
      <c r="R50" s="25" t="str">
        <f>IF(OR($B50="",_自动清单!$G$19=""),"",SUMIFS(包装物料出入库明细!$J$4:$J$2003,包装物料出入库明细!$D$4:$D$2003,$B50,包装物料出入库明细!$E$4:$E$2003,_自动清单!$G$19,包装物料出入库明细!$B$4:$B$2003,"&gt;="&amp;$AF$1,包装物料出入库明细!$B$4:$B$2003,"&lt;="&amp;$AF$2))</f>
        <v/>
      </c>
      <c r="S50" s="25" t="str">
        <f>IF(OR($B50="",_自动清单!$G$20=""),"",SUMIFS(包装物料出入库明细!$J$4:$J$2003,包装物料出入库明细!$D$4:$D$2003,$B50,包装物料出入库明细!$E$4:$E$2003,_自动清单!$G$20,包装物料出入库明细!$B$4:$B$2003,"&gt;="&amp;$AF$1,包装物料出入库明细!$B$4:$B$2003,"&lt;="&amp;$AF$2))</f>
        <v/>
      </c>
      <c r="T50" s="25" t="str">
        <f>IF(OR($B50="",_自动清单!$G$21=""),"",SUMIFS(包装物料出入库明细!$J$4:$J$2003,包装物料出入库明细!$D$4:$D$2003,$B50,包装物料出入库明细!$E$4:$E$2003,_自动清单!$G$21,包装物料出入库明细!$B$4:$B$2003,"&gt;="&amp;$AF$1,包装物料出入库明细!$B$4:$B$2003,"&lt;="&amp;$AF$2))</f>
        <v/>
      </c>
      <c r="U50" s="25" t="str">
        <f>IF($B50="","",SUMIFS(包装物料出入库明细!$J$4:$J$2003,包装物料出入库明细!$D$4:$D$2003,$B50,包装物料出入库明细!$B$4:$B$2003,"&gt;="&amp;$AF$1,包装物料出入库明细!$B$4:$B$2003,"&lt;="&amp;$AF$2)-SUM($C50:$T50))</f>
        <v/>
      </c>
      <c r="V50" s="25" t="str">
        <f t="shared" si="1"/>
        <v/>
      </c>
      <c r="W50" s="56" t="str">
        <f>IF($B50="","",SUMIFS(包装物料出入库明细!$K$4:$K$2003,包装物料出入库明细!$D$4:$D$2003,$B50,包装物料出入库明细!$B$4:$B$2003,"&gt;="&amp;$AF$1,包装物料出入库明细!$B$4:$B$2003,"&lt;="&amp;$AF$2))</f>
        <v/>
      </c>
      <c r="X50" s="25" t="str">
        <f t="shared" si="2"/>
        <v/>
      </c>
      <c r="Y50" s="26" t="str">
        <f>IF($B50="","",ROUND(SUMIFS(包装物料出入库明细!$N$4:$N$2003,包装物料出入库明细!$D$4:$D$2003,$B50,包装物料出入库明细!$H$4:$H$2003,"销售出库",包装物料出入库明细!$B$4:$B$2003,"&gt;="&amp;$AF$1,包装物料出入库明细!$B$4:$B$2003,"&lt;="&amp;$AF$2),2))</f>
        <v/>
      </c>
      <c r="Z50" s="26" t="str">
        <f>IF($B50="","",ROUND(SUMIFS(包装物料出入库明细!$N$4:$N$2003,包装物料出入库明细!$D$4:$D$2003,$B50,包装物料出入库明细!$H$4:$H$2003,"销售出库",包装物料出入库明细!$P$4:$P$2003,"已收讫",包装物料出入库明细!$B$4:$B$2003,"&gt;="&amp;$AF$1,包装物料出入库明细!$B$4:$B$2003,"&lt;="&amp;$AF$2),2))</f>
        <v/>
      </c>
      <c r="AA50" s="26" t="str">
        <f t="shared" si="3"/>
        <v/>
      </c>
      <c r="AB50" s="41"/>
    </row>
    <row r="51" spans="1:28">
      <c r="A51" s="24" t="str">
        <f t="shared" si="0"/>
        <v/>
      </c>
      <c r="B51" s="24" t="str">
        <f>IFERROR(INDEX(_自动清单!$O$4:$O$203,ROW()-3),"")</f>
        <v/>
      </c>
      <c r="C51" s="25" t="str">
        <f>IF(OR($B51="",_自动清单!$G$4=""),"",SUMIFS(包装物料出入库明细!$J$4:$J$2003,包装物料出入库明细!$D$4:$D$2003,$B51,包装物料出入库明细!$E$4:$E$2003,_自动清单!$G$4,包装物料出入库明细!$B$4:$B$2003,"&gt;="&amp;$AF$1,包装物料出入库明细!$B$4:$B$2003,"&lt;="&amp;$AF$2))</f>
        <v/>
      </c>
      <c r="D51" s="25" t="str">
        <f>IF(OR($B51="",_自动清单!$G$5=""),"",SUMIFS(包装物料出入库明细!$J$4:$J$2003,包装物料出入库明细!$D$4:$D$2003,$B51,包装物料出入库明细!$E$4:$E$2003,_自动清单!$G$5,包装物料出入库明细!$B$4:$B$2003,"&gt;="&amp;$AF$1,包装物料出入库明细!$B$4:$B$2003,"&lt;="&amp;$AF$2))</f>
        <v/>
      </c>
      <c r="E51" s="25" t="str">
        <f>IF(OR($B51="",_自动清单!$G$6=""),"",SUMIFS(包装物料出入库明细!$J$4:$J$2003,包装物料出入库明细!$D$4:$D$2003,$B51,包装物料出入库明细!$E$4:$E$2003,_自动清单!$G$6,包装物料出入库明细!$B$4:$B$2003,"&gt;="&amp;$AF$1,包装物料出入库明细!$B$4:$B$2003,"&lt;="&amp;$AF$2))</f>
        <v/>
      </c>
      <c r="F51" s="25" t="str">
        <f>IF(OR($B51="",_自动清单!$G$7=""),"",SUMIFS(包装物料出入库明细!$J$4:$J$2003,包装物料出入库明细!$D$4:$D$2003,$B51,包装物料出入库明细!$E$4:$E$2003,_自动清单!$G$7,包装物料出入库明细!$B$4:$B$2003,"&gt;="&amp;$AF$1,包装物料出入库明细!$B$4:$B$2003,"&lt;="&amp;$AF$2))</f>
        <v/>
      </c>
      <c r="G51" s="25" t="str">
        <f>IF(OR($B51="",_自动清单!$G$8=""),"",SUMIFS(包装物料出入库明细!$J$4:$J$2003,包装物料出入库明细!$D$4:$D$2003,$B51,包装物料出入库明细!$E$4:$E$2003,_自动清单!$G$8,包装物料出入库明细!$B$4:$B$2003,"&gt;="&amp;$AF$1,包装物料出入库明细!$B$4:$B$2003,"&lt;="&amp;$AF$2))</f>
        <v/>
      </c>
      <c r="H51" s="25" t="str">
        <f>IF(OR($B51="",_自动清单!$G$9=""),"",SUMIFS(包装物料出入库明细!$J$4:$J$2003,包装物料出入库明细!$D$4:$D$2003,$B51,包装物料出入库明细!$E$4:$E$2003,_自动清单!$G$9,包装物料出入库明细!$B$4:$B$2003,"&gt;="&amp;$AF$1,包装物料出入库明细!$B$4:$B$2003,"&lt;="&amp;$AF$2))</f>
        <v/>
      </c>
      <c r="I51" s="25" t="str">
        <f>IF(OR($B51="",_自动清单!$G$10=""),"",SUMIFS(包装物料出入库明细!$J$4:$J$2003,包装物料出入库明细!$D$4:$D$2003,$B51,包装物料出入库明细!$E$4:$E$2003,_自动清单!$G$10,包装物料出入库明细!$B$4:$B$2003,"&gt;="&amp;$AF$1,包装物料出入库明细!$B$4:$B$2003,"&lt;="&amp;$AF$2))</f>
        <v/>
      </c>
      <c r="J51" s="25" t="str">
        <f>IF(OR($B51="",_自动清单!$G$11=""),"",SUMIFS(包装物料出入库明细!$J$4:$J$2003,包装物料出入库明细!$D$4:$D$2003,$B51,包装物料出入库明细!$E$4:$E$2003,_自动清单!$G$11,包装物料出入库明细!$B$4:$B$2003,"&gt;="&amp;$AF$1,包装物料出入库明细!$B$4:$B$2003,"&lt;="&amp;$AF$2))</f>
        <v/>
      </c>
      <c r="K51" s="25" t="str">
        <f>IF(OR($B51="",_自动清单!$G$12=""),"",SUMIFS(包装物料出入库明细!$J$4:$J$2003,包装物料出入库明细!$D$4:$D$2003,$B51,包装物料出入库明细!$E$4:$E$2003,_自动清单!$G$12,包装物料出入库明细!$B$4:$B$2003,"&gt;="&amp;$AF$1,包装物料出入库明细!$B$4:$B$2003,"&lt;="&amp;$AF$2))</f>
        <v/>
      </c>
      <c r="L51" s="25" t="str">
        <f>IF(OR($B51="",_自动清单!$G$13=""),"",SUMIFS(包装物料出入库明细!$J$4:$J$2003,包装物料出入库明细!$D$4:$D$2003,$B51,包装物料出入库明细!$E$4:$E$2003,_自动清单!$G$13,包装物料出入库明细!$B$4:$B$2003,"&gt;="&amp;$AF$1,包装物料出入库明细!$B$4:$B$2003,"&lt;="&amp;$AF$2))</f>
        <v/>
      </c>
      <c r="M51" s="25" t="str">
        <f>IF(OR($B51="",_自动清单!$G$14=""),"",SUMIFS(包装物料出入库明细!$J$4:$J$2003,包装物料出入库明细!$D$4:$D$2003,$B51,包装物料出入库明细!$E$4:$E$2003,_自动清单!$G$14,包装物料出入库明细!$B$4:$B$2003,"&gt;="&amp;$AF$1,包装物料出入库明细!$B$4:$B$2003,"&lt;="&amp;$AF$2))</f>
        <v/>
      </c>
      <c r="N51" s="25" t="str">
        <f>IF(OR($B51="",_自动清单!$G$15=""),"",SUMIFS(包装物料出入库明细!$J$4:$J$2003,包装物料出入库明细!$D$4:$D$2003,$B51,包装物料出入库明细!$E$4:$E$2003,_自动清单!$G$15,包装物料出入库明细!$B$4:$B$2003,"&gt;="&amp;$AF$1,包装物料出入库明细!$B$4:$B$2003,"&lt;="&amp;$AF$2))</f>
        <v/>
      </c>
      <c r="O51" s="25" t="str">
        <f>IF(OR($B51="",_自动清单!$G$16=""),"",SUMIFS(包装物料出入库明细!$J$4:$J$2003,包装物料出入库明细!$D$4:$D$2003,$B51,包装物料出入库明细!$E$4:$E$2003,_自动清单!$G$16,包装物料出入库明细!$B$4:$B$2003,"&gt;="&amp;$AF$1,包装物料出入库明细!$B$4:$B$2003,"&lt;="&amp;$AF$2))</f>
        <v/>
      </c>
      <c r="P51" s="25" t="str">
        <f>IF(OR($B51="",_自动清单!$G$17=""),"",SUMIFS(包装物料出入库明细!$J$4:$J$2003,包装物料出入库明细!$D$4:$D$2003,$B51,包装物料出入库明细!$E$4:$E$2003,_自动清单!$G$17,包装物料出入库明细!$B$4:$B$2003,"&gt;="&amp;$AF$1,包装物料出入库明细!$B$4:$B$2003,"&lt;="&amp;$AF$2))</f>
        <v/>
      </c>
      <c r="Q51" s="25" t="str">
        <f>IF(OR($B51="",_自动清单!$G$18=""),"",SUMIFS(包装物料出入库明细!$J$4:$J$2003,包装物料出入库明细!$D$4:$D$2003,$B51,包装物料出入库明细!$E$4:$E$2003,_自动清单!$G$18,包装物料出入库明细!$B$4:$B$2003,"&gt;="&amp;$AF$1,包装物料出入库明细!$B$4:$B$2003,"&lt;="&amp;$AF$2))</f>
        <v/>
      </c>
      <c r="R51" s="25" t="str">
        <f>IF(OR($B51="",_自动清单!$G$19=""),"",SUMIFS(包装物料出入库明细!$J$4:$J$2003,包装物料出入库明细!$D$4:$D$2003,$B51,包装物料出入库明细!$E$4:$E$2003,_自动清单!$G$19,包装物料出入库明细!$B$4:$B$2003,"&gt;="&amp;$AF$1,包装物料出入库明细!$B$4:$B$2003,"&lt;="&amp;$AF$2))</f>
        <v/>
      </c>
      <c r="S51" s="25" t="str">
        <f>IF(OR($B51="",_自动清单!$G$20=""),"",SUMIFS(包装物料出入库明细!$J$4:$J$2003,包装物料出入库明细!$D$4:$D$2003,$B51,包装物料出入库明细!$E$4:$E$2003,_自动清单!$G$20,包装物料出入库明细!$B$4:$B$2003,"&gt;="&amp;$AF$1,包装物料出入库明细!$B$4:$B$2003,"&lt;="&amp;$AF$2))</f>
        <v/>
      </c>
      <c r="T51" s="25" t="str">
        <f>IF(OR($B51="",_自动清单!$G$21=""),"",SUMIFS(包装物料出入库明细!$J$4:$J$2003,包装物料出入库明细!$D$4:$D$2003,$B51,包装物料出入库明细!$E$4:$E$2003,_自动清单!$G$21,包装物料出入库明细!$B$4:$B$2003,"&gt;="&amp;$AF$1,包装物料出入库明细!$B$4:$B$2003,"&lt;="&amp;$AF$2))</f>
        <v/>
      </c>
      <c r="U51" s="25" t="str">
        <f>IF($B51="","",SUMIFS(包装物料出入库明细!$J$4:$J$2003,包装物料出入库明细!$D$4:$D$2003,$B51,包装物料出入库明细!$B$4:$B$2003,"&gt;="&amp;$AF$1,包装物料出入库明细!$B$4:$B$2003,"&lt;="&amp;$AF$2)-SUM($C51:$T51))</f>
        <v/>
      </c>
      <c r="V51" s="25" t="str">
        <f t="shared" si="1"/>
        <v/>
      </c>
      <c r="W51" s="56" t="str">
        <f>IF($B51="","",SUMIFS(包装物料出入库明细!$K$4:$K$2003,包装物料出入库明细!$D$4:$D$2003,$B51,包装物料出入库明细!$B$4:$B$2003,"&gt;="&amp;$AF$1,包装物料出入库明细!$B$4:$B$2003,"&lt;="&amp;$AF$2))</f>
        <v/>
      </c>
      <c r="X51" s="25" t="str">
        <f t="shared" si="2"/>
        <v/>
      </c>
      <c r="Y51" s="26" t="str">
        <f>IF($B51="","",ROUND(SUMIFS(包装物料出入库明细!$N$4:$N$2003,包装物料出入库明细!$D$4:$D$2003,$B51,包装物料出入库明细!$H$4:$H$2003,"销售出库",包装物料出入库明细!$B$4:$B$2003,"&gt;="&amp;$AF$1,包装物料出入库明细!$B$4:$B$2003,"&lt;="&amp;$AF$2),2))</f>
        <v/>
      </c>
      <c r="Z51" s="26" t="str">
        <f>IF($B51="","",ROUND(SUMIFS(包装物料出入库明细!$N$4:$N$2003,包装物料出入库明细!$D$4:$D$2003,$B51,包装物料出入库明细!$H$4:$H$2003,"销售出库",包装物料出入库明细!$P$4:$P$2003,"已收讫",包装物料出入库明细!$B$4:$B$2003,"&gt;="&amp;$AF$1,包装物料出入库明细!$B$4:$B$2003,"&lt;="&amp;$AF$2),2))</f>
        <v/>
      </c>
      <c r="AA51" s="26" t="str">
        <f t="shared" si="3"/>
        <v/>
      </c>
      <c r="AB51" s="41"/>
    </row>
    <row r="52" spans="1:28">
      <c r="A52" s="24" t="str">
        <f t="shared" si="0"/>
        <v/>
      </c>
      <c r="B52" s="24" t="str">
        <f>IFERROR(INDEX(_自动清单!$O$4:$O$203,ROW()-3),"")</f>
        <v/>
      </c>
      <c r="C52" s="25" t="str">
        <f>IF(OR($B52="",_自动清单!$G$4=""),"",SUMIFS(包装物料出入库明细!$J$4:$J$2003,包装物料出入库明细!$D$4:$D$2003,$B52,包装物料出入库明细!$E$4:$E$2003,_自动清单!$G$4,包装物料出入库明细!$B$4:$B$2003,"&gt;="&amp;$AF$1,包装物料出入库明细!$B$4:$B$2003,"&lt;="&amp;$AF$2))</f>
        <v/>
      </c>
      <c r="D52" s="25" t="str">
        <f>IF(OR($B52="",_自动清单!$G$5=""),"",SUMIFS(包装物料出入库明细!$J$4:$J$2003,包装物料出入库明细!$D$4:$D$2003,$B52,包装物料出入库明细!$E$4:$E$2003,_自动清单!$G$5,包装物料出入库明细!$B$4:$B$2003,"&gt;="&amp;$AF$1,包装物料出入库明细!$B$4:$B$2003,"&lt;="&amp;$AF$2))</f>
        <v/>
      </c>
      <c r="E52" s="25" t="str">
        <f>IF(OR($B52="",_自动清单!$G$6=""),"",SUMIFS(包装物料出入库明细!$J$4:$J$2003,包装物料出入库明细!$D$4:$D$2003,$B52,包装物料出入库明细!$E$4:$E$2003,_自动清单!$G$6,包装物料出入库明细!$B$4:$B$2003,"&gt;="&amp;$AF$1,包装物料出入库明细!$B$4:$B$2003,"&lt;="&amp;$AF$2))</f>
        <v/>
      </c>
      <c r="F52" s="25" t="str">
        <f>IF(OR($B52="",_自动清单!$G$7=""),"",SUMIFS(包装物料出入库明细!$J$4:$J$2003,包装物料出入库明细!$D$4:$D$2003,$B52,包装物料出入库明细!$E$4:$E$2003,_自动清单!$G$7,包装物料出入库明细!$B$4:$B$2003,"&gt;="&amp;$AF$1,包装物料出入库明细!$B$4:$B$2003,"&lt;="&amp;$AF$2))</f>
        <v/>
      </c>
      <c r="G52" s="25" t="str">
        <f>IF(OR($B52="",_自动清单!$G$8=""),"",SUMIFS(包装物料出入库明细!$J$4:$J$2003,包装物料出入库明细!$D$4:$D$2003,$B52,包装物料出入库明细!$E$4:$E$2003,_自动清单!$G$8,包装物料出入库明细!$B$4:$B$2003,"&gt;="&amp;$AF$1,包装物料出入库明细!$B$4:$B$2003,"&lt;="&amp;$AF$2))</f>
        <v/>
      </c>
      <c r="H52" s="25" t="str">
        <f>IF(OR($B52="",_自动清单!$G$9=""),"",SUMIFS(包装物料出入库明细!$J$4:$J$2003,包装物料出入库明细!$D$4:$D$2003,$B52,包装物料出入库明细!$E$4:$E$2003,_自动清单!$G$9,包装物料出入库明细!$B$4:$B$2003,"&gt;="&amp;$AF$1,包装物料出入库明细!$B$4:$B$2003,"&lt;="&amp;$AF$2))</f>
        <v/>
      </c>
      <c r="I52" s="25" t="str">
        <f>IF(OR($B52="",_自动清单!$G$10=""),"",SUMIFS(包装物料出入库明细!$J$4:$J$2003,包装物料出入库明细!$D$4:$D$2003,$B52,包装物料出入库明细!$E$4:$E$2003,_自动清单!$G$10,包装物料出入库明细!$B$4:$B$2003,"&gt;="&amp;$AF$1,包装物料出入库明细!$B$4:$B$2003,"&lt;="&amp;$AF$2))</f>
        <v/>
      </c>
      <c r="J52" s="25" t="str">
        <f>IF(OR($B52="",_自动清单!$G$11=""),"",SUMIFS(包装物料出入库明细!$J$4:$J$2003,包装物料出入库明细!$D$4:$D$2003,$B52,包装物料出入库明细!$E$4:$E$2003,_自动清单!$G$11,包装物料出入库明细!$B$4:$B$2003,"&gt;="&amp;$AF$1,包装物料出入库明细!$B$4:$B$2003,"&lt;="&amp;$AF$2))</f>
        <v/>
      </c>
      <c r="K52" s="25" t="str">
        <f>IF(OR($B52="",_自动清单!$G$12=""),"",SUMIFS(包装物料出入库明细!$J$4:$J$2003,包装物料出入库明细!$D$4:$D$2003,$B52,包装物料出入库明细!$E$4:$E$2003,_自动清单!$G$12,包装物料出入库明细!$B$4:$B$2003,"&gt;="&amp;$AF$1,包装物料出入库明细!$B$4:$B$2003,"&lt;="&amp;$AF$2))</f>
        <v/>
      </c>
      <c r="L52" s="25" t="str">
        <f>IF(OR($B52="",_自动清单!$G$13=""),"",SUMIFS(包装物料出入库明细!$J$4:$J$2003,包装物料出入库明细!$D$4:$D$2003,$B52,包装物料出入库明细!$E$4:$E$2003,_自动清单!$G$13,包装物料出入库明细!$B$4:$B$2003,"&gt;="&amp;$AF$1,包装物料出入库明细!$B$4:$B$2003,"&lt;="&amp;$AF$2))</f>
        <v/>
      </c>
      <c r="M52" s="25" t="str">
        <f>IF(OR($B52="",_自动清单!$G$14=""),"",SUMIFS(包装物料出入库明细!$J$4:$J$2003,包装物料出入库明细!$D$4:$D$2003,$B52,包装物料出入库明细!$E$4:$E$2003,_自动清单!$G$14,包装物料出入库明细!$B$4:$B$2003,"&gt;="&amp;$AF$1,包装物料出入库明细!$B$4:$B$2003,"&lt;="&amp;$AF$2))</f>
        <v/>
      </c>
      <c r="N52" s="25" t="str">
        <f>IF(OR($B52="",_自动清单!$G$15=""),"",SUMIFS(包装物料出入库明细!$J$4:$J$2003,包装物料出入库明细!$D$4:$D$2003,$B52,包装物料出入库明细!$E$4:$E$2003,_自动清单!$G$15,包装物料出入库明细!$B$4:$B$2003,"&gt;="&amp;$AF$1,包装物料出入库明细!$B$4:$B$2003,"&lt;="&amp;$AF$2))</f>
        <v/>
      </c>
      <c r="O52" s="25" t="str">
        <f>IF(OR($B52="",_自动清单!$G$16=""),"",SUMIFS(包装物料出入库明细!$J$4:$J$2003,包装物料出入库明细!$D$4:$D$2003,$B52,包装物料出入库明细!$E$4:$E$2003,_自动清单!$G$16,包装物料出入库明细!$B$4:$B$2003,"&gt;="&amp;$AF$1,包装物料出入库明细!$B$4:$B$2003,"&lt;="&amp;$AF$2))</f>
        <v/>
      </c>
      <c r="P52" s="25" t="str">
        <f>IF(OR($B52="",_自动清单!$G$17=""),"",SUMIFS(包装物料出入库明细!$J$4:$J$2003,包装物料出入库明细!$D$4:$D$2003,$B52,包装物料出入库明细!$E$4:$E$2003,_自动清单!$G$17,包装物料出入库明细!$B$4:$B$2003,"&gt;="&amp;$AF$1,包装物料出入库明细!$B$4:$B$2003,"&lt;="&amp;$AF$2))</f>
        <v/>
      </c>
      <c r="Q52" s="25" t="str">
        <f>IF(OR($B52="",_自动清单!$G$18=""),"",SUMIFS(包装物料出入库明细!$J$4:$J$2003,包装物料出入库明细!$D$4:$D$2003,$B52,包装物料出入库明细!$E$4:$E$2003,_自动清单!$G$18,包装物料出入库明细!$B$4:$B$2003,"&gt;="&amp;$AF$1,包装物料出入库明细!$B$4:$B$2003,"&lt;="&amp;$AF$2))</f>
        <v/>
      </c>
      <c r="R52" s="25" t="str">
        <f>IF(OR($B52="",_自动清单!$G$19=""),"",SUMIFS(包装物料出入库明细!$J$4:$J$2003,包装物料出入库明细!$D$4:$D$2003,$B52,包装物料出入库明细!$E$4:$E$2003,_自动清单!$G$19,包装物料出入库明细!$B$4:$B$2003,"&gt;="&amp;$AF$1,包装物料出入库明细!$B$4:$B$2003,"&lt;="&amp;$AF$2))</f>
        <v/>
      </c>
      <c r="S52" s="25" t="str">
        <f>IF(OR($B52="",_自动清单!$G$20=""),"",SUMIFS(包装物料出入库明细!$J$4:$J$2003,包装物料出入库明细!$D$4:$D$2003,$B52,包装物料出入库明细!$E$4:$E$2003,_自动清单!$G$20,包装物料出入库明细!$B$4:$B$2003,"&gt;="&amp;$AF$1,包装物料出入库明细!$B$4:$B$2003,"&lt;="&amp;$AF$2))</f>
        <v/>
      </c>
      <c r="T52" s="25" t="str">
        <f>IF(OR($B52="",_自动清单!$G$21=""),"",SUMIFS(包装物料出入库明细!$J$4:$J$2003,包装物料出入库明细!$D$4:$D$2003,$B52,包装物料出入库明细!$E$4:$E$2003,_自动清单!$G$21,包装物料出入库明细!$B$4:$B$2003,"&gt;="&amp;$AF$1,包装物料出入库明细!$B$4:$B$2003,"&lt;="&amp;$AF$2))</f>
        <v/>
      </c>
      <c r="U52" s="25" t="str">
        <f>IF($B52="","",SUMIFS(包装物料出入库明细!$J$4:$J$2003,包装物料出入库明细!$D$4:$D$2003,$B52,包装物料出入库明细!$B$4:$B$2003,"&gt;="&amp;$AF$1,包装物料出入库明细!$B$4:$B$2003,"&lt;="&amp;$AF$2)-SUM($C52:$T52))</f>
        <v/>
      </c>
      <c r="V52" s="25" t="str">
        <f t="shared" si="1"/>
        <v/>
      </c>
      <c r="W52" s="56" t="str">
        <f>IF($B52="","",SUMIFS(包装物料出入库明细!$K$4:$K$2003,包装物料出入库明细!$D$4:$D$2003,$B52,包装物料出入库明细!$B$4:$B$2003,"&gt;="&amp;$AF$1,包装物料出入库明细!$B$4:$B$2003,"&lt;="&amp;$AF$2))</f>
        <v/>
      </c>
      <c r="X52" s="25" t="str">
        <f t="shared" si="2"/>
        <v/>
      </c>
      <c r="Y52" s="26" t="str">
        <f>IF($B52="","",ROUND(SUMIFS(包装物料出入库明细!$N$4:$N$2003,包装物料出入库明细!$D$4:$D$2003,$B52,包装物料出入库明细!$H$4:$H$2003,"销售出库",包装物料出入库明细!$B$4:$B$2003,"&gt;="&amp;$AF$1,包装物料出入库明细!$B$4:$B$2003,"&lt;="&amp;$AF$2),2))</f>
        <v/>
      </c>
      <c r="Z52" s="26" t="str">
        <f>IF($B52="","",ROUND(SUMIFS(包装物料出入库明细!$N$4:$N$2003,包装物料出入库明细!$D$4:$D$2003,$B52,包装物料出入库明细!$H$4:$H$2003,"销售出库",包装物料出入库明细!$P$4:$P$2003,"已收讫",包装物料出入库明细!$B$4:$B$2003,"&gt;="&amp;$AF$1,包装物料出入库明细!$B$4:$B$2003,"&lt;="&amp;$AF$2),2))</f>
        <v/>
      </c>
      <c r="AA52" s="26" t="str">
        <f t="shared" si="3"/>
        <v/>
      </c>
      <c r="AB52" s="41"/>
    </row>
    <row r="53" spans="1:28">
      <c r="A53" s="24" t="str">
        <f t="shared" si="0"/>
        <v/>
      </c>
      <c r="B53" s="24" t="str">
        <f>IFERROR(INDEX(_自动清单!$O$4:$O$203,ROW()-3),"")</f>
        <v/>
      </c>
      <c r="C53" s="25" t="str">
        <f>IF(OR($B53="",_自动清单!$G$4=""),"",SUMIFS(包装物料出入库明细!$J$4:$J$2003,包装物料出入库明细!$D$4:$D$2003,$B53,包装物料出入库明细!$E$4:$E$2003,_自动清单!$G$4,包装物料出入库明细!$B$4:$B$2003,"&gt;="&amp;$AF$1,包装物料出入库明细!$B$4:$B$2003,"&lt;="&amp;$AF$2))</f>
        <v/>
      </c>
      <c r="D53" s="25" t="str">
        <f>IF(OR($B53="",_自动清单!$G$5=""),"",SUMIFS(包装物料出入库明细!$J$4:$J$2003,包装物料出入库明细!$D$4:$D$2003,$B53,包装物料出入库明细!$E$4:$E$2003,_自动清单!$G$5,包装物料出入库明细!$B$4:$B$2003,"&gt;="&amp;$AF$1,包装物料出入库明细!$B$4:$B$2003,"&lt;="&amp;$AF$2))</f>
        <v/>
      </c>
      <c r="E53" s="25" t="str">
        <f>IF(OR($B53="",_自动清单!$G$6=""),"",SUMIFS(包装物料出入库明细!$J$4:$J$2003,包装物料出入库明细!$D$4:$D$2003,$B53,包装物料出入库明细!$E$4:$E$2003,_自动清单!$G$6,包装物料出入库明细!$B$4:$B$2003,"&gt;="&amp;$AF$1,包装物料出入库明细!$B$4:$B$2003,"&lt;="&amp;$AF$2))</f>
        <v/>
      </c>
      <c r="F53" s="25" t="str">
        <f>IF(OR($B53="",_自动清单!$G$7=""),"",SUMIFS(包装物料出入库明细!$J$4:$J$2003,包装物料出入库明细!$D$4:$D$2003,$B53,包装物料出入库明细!$E$4:$E$2003,_自动清单!$G$7,包装物料出入库明细!$B$4:$B$2003,"&gt;="&amp;$AF$1,包装物料出入库明细!$B$4:$B$2003,"&lt;="&amp;$AF$2))</f>
        <v/>
      </c>
      <c r="G53" s="25" t="str">
        <f>IF(OR($B53="",_自动清单!$G$8=""),"",SUMIFS(包装物料出入库明细!$J$4:$J$2003,包装物料出入库明细!$D$4:$D$2003,$B53,包装物料出入库明细!$E$4:$E$2003,_自动清单!$G$8,包装物料出入库明细!$B$4:$B$2003,"&gt;="&amp;$AF$1,包装物料出入库明细!$B$4:$B$2003,"&lt;="&amp;$AF$2))</f>
        <v/>
      </c>
      <c r="H53" s="25" t="str">
        <f>IF(OR($B53="",_自动清单!$G$9=""),"",SUMIFS(包装物料出入库明细!$J$4:$J$2003,包装物料出入库明细!$D$4:$D$2003,$B53,包装物料出入库明细!$E$4:$E$2003,_自动清单!$G$9,包装物料出入库明细!$B$4:$B$2003,"&gt;="&amp;$AF$1,包装物料出入库明细!$B$4:$B$2003,"&lt;="&amp;$AF$2))</f>
        <v/>
      </c>
      <c r="I53" s="25" t="str">
        <f>IF(OR($B53="",_自动清单!$G$10=""),"",SUMIFS(包装物料出入库明细!$J$4:$J$2003,包装物料出入库明细!$D$4:$D$2003,$B53,包装物料出入库明细!$E$4:$E$2003,_自动清单!$G$10,包装物料出入库明细!$B$4:$B$2003,"&gt;="&amp;$AF$1,包装物料出入库明细!$B$4:$B$2003,"&lt;="&amp;$AF$2))</f>
        <v/>
      </c>
      <c r="J53" s="25" t="str">
        <f>IF(OR($B53="",_自动清单!$G$11=""),"",SUMIFS(包装物料出入库明细!$J$4:$J$2003,包装物料出入库明细!$D$4:$D$2003,$B53,包装物料出入库明细!$E$4:$E$2003,_自动清单!$G$11,包装物料出入库明细!$B$4:$B$2003,"&gt;="&amp;$AF$1,包装物料出入库明细!$B$4:$B$2003,"&lt;="&amp;$AF$2))</f>
        <v/>
      </c>
      <c r="K53" s="25" t="str">
        <f>IF(OR($B53="",_自动清单!$G$12=""),"",SUMIFS(包装物料出入库明细!$J$4:$J$2003,包装物料出入库明细!$D$4:$D$2003,$B53,包装物料出入库明细!$E$4:$E$2003,_自动清单!$G$12,包装物料出入库明细!$B$4:$B$2003,"&gt;="&amp;$AF$1,包装物料出入库明细!$B$4:$B$2003,"&lt;="&amp;$AF$2))</f>
        <v/>
      </c>
      <c r="L53" s="25" t="str">
        <f>IF(OR($B53="",_自动清单!$G$13=""),"",SUMIFS(包装物料出入库明细!$J$4:$J$2003,包装物料出入库明细!$D$4:$D$2003,$B53,包装物料出入库明细!$E$4:$E$2003,_自动清单!$G$13,包装物料出入库明细!$B$4:$B$2003,"&gt;="&amp;$AF$1,包装物料出入库明细!$B$4:$B$2003,"&lt;="&amp;$AF$2))</f>
        <v/>
      </c>
      <c r="M53" s="25" t="str">
        <f>IF(OR($B53="",_自动清单!$G$14=""),"",SUMIFS(包装物料出入库明细!$J$4:$J$2003,包装物料出入库明细!$D$4:$D$2003,$B53,包装物料出入库明细!$E$4:$E$2003,_自动清单!$G$14,包装物料出入库明细!$B$4:$B$2003,"&gt;="&amp;$AF$1,包装物料出入库明细!$B$4:$B$2003,"&lt;="&amp;$AF$2))</f>
        <v/>
      </c>
      <c r="N53" s="25" t="str">
        <f>IF(OR($B53="",_自动清单!$G$15=""),"",SUMIFS(包装物料出入库明细!$J$4:$J$2003,包装物料出入库明细!$D$4:$D$2003,$B53,包装物料出入库明细!$E$4:$E$2003,_自动清单!$G$15,包装物料出入库明细!$B$4:$B$2003,"&gt;="&amp;$AF$1,包装物料出入库明细!$B$4:$B$2003,"&lt;="&amp;$AF$2))</f>
        <v/>
      </c>
      <c r="O53" s="25" t="str">
        <f>IF(OR($B53="",_自动清单!$G$16=""),"",SUMIFS(包装物料出入库明细!$J$4:$J$2003,包装物料出入库明细!$D$4:$D$2003,$B53,包装物料出入库明细!$E$4:$E$2003,_自动清单!$G$16,包装物料出入库明细!$B$4:$B$2003,"&gt;="&amp;$AF$1,包装物料出入库明细!$B$4:$B$2003,"&lt;="&amp;$AF$2))</f>
        <v/>
      </c>
      <c r="P53" s="25" t="str">
        <f>IF(OR($B53="",_自动清单!$G$17=""),"",SUMIFS(包装物料出入库明细!$J$4:$J$2003,包装物料出入库明细!$D$4:$D$2003,$B53,包装物料出入库明细!$E$4:$E$2003,_自动清单!$G$17,包装物料出入库明细!$B$4:$B$2003,"&gt;="&amp;$AF$1,包装物料出入库明细!$B$4:$B$2003,"&lt;="&amp;$AF$2))</f>
        <v/>
      </c>
      <c r="Q53" s="25" t="str">
        <f>IF(OR($B53="",_自动清单!$G$18=""),"",SUMIFS(包装物料出入库明细!$J$4:$J$2003,包装物料出入库明细!$D$4:$D$2003,$B53,包装物料出入库明细!$E$4:$E$2003,_自动清单!$G$18,包装物料出入库明细!$B$4:$B$2003,"&gt;="&amp;$AF$1,包装物料出入库明细!$B$4:$B$2003,"&lt;="&amp;$AF$2))</f>
        <v/>
      </c>
      <c r="R53" s="25" t="str">
        <f>IF(OR($B53="",_自动清单!$G$19=""),"",SUMIFS(包装物料出入库明细!$J$4:$J$2003,包装物料出入库明细!$D$4:$D$2003,$B53,包装物料出入库明细!$E$4:$E$2003,_自动清单!$G$19,包装物料出入库明细!$B$4:$B$2003,"&gt;="&amp;$AF$1,包装物料出入库明细!$B$4:$B$2003,"&lt;="&amp;$AF$2))</f>
        <v/>
      </c>
      <c r="S53" s="25" t="str">
        <f>IF(OR($B53="",_自动清单!$G$20=""),"",SUMIFS(包装物料出入库明细!$J$4:$J$2003,包装物料出入库明细!$D$4:$D$2003,$B53,包装物料出入库明细!$E$4:$E$2003,_自动清单!$G$20,包装物料出入库明细!$B$4:$B$2003,"&gt;="&amp;$AF$1,包装物料出入库明细!$B$4:$B$2003,"&lt;="&amp;$AF$2))</f>
        <v/>
      </c>
      <c r="T53" s="25" t="str">
        <f>IF(OR($B53="",_自动清单!$G$21=""),"",SUMIFS(包装物料出入库明细!$J$4:$J$2003,包装物料出入库明细!$D$4:$D$2003,$B53,包装物料出入库明细!$E$4:$E$2003,_自动清单!$G$21,包装物料出入库明细!$B$4:$B$2003,"&gt;="&amp;$AF$1,包装物料出入库明细!$B$4:$B$2003,"&lt;="&amp;$AF$2))</f>
        <v/>
      </c>
      <c r="U53" s="25" t="str">
        <f>IF($B53="","",SUMIFS(包装物料出入库明细!$J$4:$J$2003,包装物料出入库明细!$D$4:$D$2003,$B53,包装物料出入库明细!$B$4:$B$2003,"&gt;="&amp;$AF$1,包装物料出入库明细!$B$4:$B$2003,"&lt;="&amp;$AF$2)-SUM($C53:$T53))</f>
        <v/>
      </c>
      <c r="V53" s="25" t="str">
        <f t="shared" si="1"/>
        <v/>
      </c>
      <c r="W53" s="56" t="str">
        <f>IF($B53="","",SUMIFS(包装物料出入库明细!$K$4:$K$2003,包装物料出入库明细!$D$4:$D$2003,$B53,包装物料出入库明细!$B$4:$B$2003,"&gt;="&amp;$AF$1,包装物料出入库明细!$B$4:$B$2003,"&lt;="&amp;$AF$2))</f>
        <v/>
      </c>
      <c r="X53" s="25" t="str">
        <f t="shared" si="2"/>
        <v/>
      </c>
      <c r="Y53" s="26" t="str">
        <f>IF($B53="","",ROUND(SUMIFS(包装物料出入库明细!$N$4:$N$2003,包装物料出入库明细!$D$4:$D$2003,$B53,包装物料出入库明细!$H$4:$H$2003,"销售出库",包装物料出入库明细!$B$4:$B$2003,"&gt;="&amp;$AF$1,包装物料出入库明细!$B$4:$B$2003,"&lt;="&amp;$AF$2),2))</f>
        <v/>
      </c>
      <c r="Z53" s="26" t="str">
        <f>IF($B53="","",ROUND(SUMIFS(包装物料出入库明细!$N$4:$N$2003,包装物料出入库明细!$D$4:$D$2003,$B53,包装物料出入库明细!$H$4:$H$2003,"销售出库",包装物料出入库明细!$P$4:$P$2003,"已收讫",包装物料出入库明细!$B$4:$B$2003,"&gt;="&amp;$AF$1,包装物料出入库明细!$B$4:$B$2003,"&lt;="&amp;$AF$2),2))</f>
        <v/>
      </c>
      <c r="AA53" s="26" t="str">
        <f t="shared" si="3"/>
        <v/>
      </c>
      <c r="AB53" s="41"/>
    </row>
    <row r="54" spans="1:28">
      <c r="A54" s="24" t="str">
        <f t="shared" si="0"/>
        <v/>
      </c>
      <c r="B54" s="24" t="str">
        <f>IFERROR(INDEX(_自动清单!$O$4:$O$203,ROW()-3),"")</f>
        <v/>
      </c>
      <c r="C54" s="25" t="str">
        <f>IF(OR($B54="",_自动清单!$G$4=""),"",SUMIFS(包装物料出入库明细!$J$4:$J$2003,包装物料出入库明细!$D$4:$D$2003,$B54,包装物料出入库明细!$E$4:$E$2003,_自动清单!$G$4,包装物料出入库明细!$B$4:$B$2003,"&gt;="&amp;$AF$1,包装物料出入库明细!$B$4:$B$2003,"&lt;="&amp;$AF$2))</f>
        <v/>
      </c>
      <c r="D54" s="25" t="str">
        <f>IF(OR($B54="",_自动清单!$G$5=""),"",SUMIFS(包装物料出入库明细!$J$4:$J$2003,包装物料出入库明细!$D$4:$D$2003,$B54,包装物料出入库明细!$E$4:$E$2003,_自动清单!$G$5,包装物料出入库明细!$B$4:$B$2003,"&gt;="&amp;$AF$1,包装物料出入库明细!$B$4:$B$2003,"&lt;="&amp;$AF$2))</f>
        <v/>
      </c>
      <c r="E54" s="25" t="str">
        <f>IF(OR($B54="",_自动清单!$G$6=""),"",SUMIFS(包装物料出入库明细!$J$4:$J$2003,包装物料出入库明细!$D$4:$D$2003,$B54,包装物料出入库明细!$E$4:$E$2003,_自动清单!$G$6,包装物料出入库明细!$B$4:$B$2003,"&gt;="&amp;$AF$1,包装物料出入库明细!$B$4:$B$2003,"&lt;="&amp;$AF$2))</f>
        <v/>
      </c>
      <c r="F54" s="25" t="str">
        <f>IF(OR($B54="",_自动清单!$G$7=""),"",SUMIFS(包装物料出入库明细!$J$4:$J$2003,包装物料出入库明细!$D$4:$D$2003,$B54,包装物料出入库明细!$E$4:$E$2003,_自动清单!$G$7,包装物料出入库明细!$B$4:$B$2003,"&gt;="&amp;$AF$1,包装物料出入库明细!$B$4:$B$2003,"&lt;="&amp;$AF$2))</f>
        <v/>
      </c>
      <c r="G54" s="25" t="str">
        <f>IF(OR($B54="",_自动清单!$G$8=""),"",SUMIFS(包装物料出入库明细!$J$4:$J$2003,包装物料出入库明细!$D$4:$D$2003,$B54,包装物料出入库明细!$E$4:$E$2003,_自动清单!$G$8,包装物料出入库明细!$B$4:$B$2003,"&gt;="&amp;$AF$1,包装物料出入库明细!$B$4:$B$2003,"&lt;="&amp;$AF$2))</f>
        <v/>
      </c>
      <c r="H54" s="25" t="str">
        <f>IF(OR($B54="",_自动清单!$G$9=""),"",SUMIFS(包装物料出入库明细!$J$4:$J$2003,包装物料出入库明细!$D$4:$D$2003,$B54,包装物料出入库明细!$E$4:$E$2003,_自动清单!$G$9,包装物料出入库明细!$B$4:$B$2003,"&gt;="&amp;$AF$1,包装物料出入库明细!$B$4:$B$2003,"&lt;="&amp;$AF$2))</f>
        <v/>
      </c>
      <c r="I54" s="25" t="str">
        <f>IF(OR($B54="",_自动清单!$G$10=""),"",SUMIFS(包装物料出入库明细!$J$4:$J$2003,包装物料出入库明细!$D$4:$D$2003,$B54,包装物料出入库明细!$E$4:$E$2003,_自动清单!$G$10,包装物料出入库明细!$B$4:$B$2003,"&gt;="&amp;$AF$1,包装物料出入库明细!$B$4:$B$2003,"&lt;="&amp;$AF$2))</f>
        <v/>
      </c>
      <c r="J54" s="25" t="str">
        <f>IF(OR($B54="",_自动清单!$G$11=""),"",SUMIFS(包装物料出入库明细!$J$4:$J$2003,包装物料出入库明细!$D$4:$D$2003,$B54,包装物料出入库明细!$E$4:$E$2003,_自动清单!$G$11,包装物料出入库明细!$B$4:$B$2003,"&gt;="&amp;$AF$1,包装物料出入库明细!$B$4:$B$2003,"&lt;="&amp;$AF$2))</f>
        <v/>
      </c>
      <c r="K54" s="25" t="str">
        <f>IF(OR($B54="",_自动清单!$G$12=""),"",SUMIFS(包装物料出入库明细!$J$4:$J$2003,包装物料出入库明细!$D$4:$D$2003,$B54,包装物料出入库明细!$E$4:$E$2003,_自动清单!$G$12,包装物料出入库明细!$B$4:$B$2003,"&gt;="&amp;$AF$1,包装物料出入库明细!$B$4:$B$2003,"&lt;="&amp;$AF$2))</f>
        <v/>
      </c>
      <c r="L54" s="25" t="str">
        <f>IF(OR($B54="",_自动清单!$G$13=""),"",SUMIFS(包装物料出入库明细!$J$4:$J$2003,包装物料出入库明细!$D$4:$D$2003,$B54,包装物料出入库明细!$E$4:$E$2003,_自动清单!$G$13,包装物料出入库明细!$B$4:$B$2003,"&gt;="&amp;$AF$1,包装物料出入库明细!$B$4:$B$2003,"&lt;="&amp;$AF$2))</f>
        <v/>
      </c>
      <c r="M54" s="25" t="str">
        <f>IF(OR($B54="",_自动清单!$G$14=""),"",SUMIFS(包装物料出入库明细!$J$4:$J$2003,包装物料出入库明细!$D$4:$D$2003,$B54,包装物料出入库明细!$E$4:$E$2003,_自动清单!$G$14,包装物料出入库明细!$B$4:$B$2003,"&gt;="&amp;$AF$1,包装物料出入库明细!$B$4:$B$2003,"&lt;="&amp;$AF$2))</f>
        <v/>
      </c>
      <c r="N54" s="25" t="str">
        <f>IF(OR($B54="",_自动清单!$G$15=""),"",SUMIFS(包装物料出入库明细!$J$4:$J$2003,包装物料出入库明细!$D$4:$D$2003,$B54,包装物料出入库明细!$E$4:$E$2003,_自动清单!$G$15,包装物料出入库明细!$B$4:$B$2003,"&gt;="&amp;$AF$1,包装物料出入库明细!$B$4:$B$2003,"&lt;="&amp;$AF$2))</f>
        <v/>
      </c>
      <c r="O54" s="25" t="str">
        <f>IF(OR($B54="",_自动清单!$G$16=""),"",SUMIFS(包装物料出入库明细!$J$4:$J$2003,包装物料出入库明细!$D$4:$D$2003,$B54,包装物料出入库明细!$E$4:$E$2003,_自动清单!$G$16,包装物料出入库明细!$B$4:$B$2003,"&gt;="&amp;$AF$1,包装物料出入库明细!$B$4:$B$2003,"&lt;="&amp;$AF$2))</f>
        <v/>
      </c>
      <c r="P54" s="25" t="str">
        <f>IF(OR($B54="",_自动清单!$G$17=""),"",SUMIFS(包装物料出入库明细!$J$4:$J$2003,包装物料出入库明细!$D$4:$D$2003,$B54,包装物料出入库明细!$E$4:$E$2003,_自动清单!$G$17,包装物料出入库明细!$B$4:$B$2003,"&gt;="&amp;$AF$1,包装物料出入库明细!$B$4:$B$2003,"&lt;="&amp;$AF$2))</f>
        <v/>
      </c>
      <c r="Q54" s="25" t="str">
        <f>IF(OR($B54="",_自动清单!$G$18=""),"",SUMIFS(包装物料出入库明细!$J$4:$J$2003,包装物料出入库明细!$D$4:$D$2003,$B54,包装物料出入库明细!$E$4:$E$2003,_自动清单!$G$18,包装物料出入库明细!$B$4:$B$2003,"&gt;="&amp;$AF$1,包装物料出入库明细!$B$4:$B$2003,"&lt;="&amp;$AF$2))</f>
        <v/>
      </c>
      <c r="R54" s="25" t="str">
        <f>IF(OR($B54="",_自动清单!$G$19=""),"",SUMIFS(包装物料出入库明细!$J$4:$J$2003,包装物料出入库明细!$D$4:$D$2003,$B54,包装物料出入库明细!$E$4:$E$2003,_自动清单!$G$19,包装物料出入库明细!$B$4:$B$2003,"&gt;="&amp;$AF$1,包装物料出入库明细!$B$4:$B$2003,"&lt;="&amp;$AF$2))</f>
        <v/>
      </c>
      <c r="S54" s="25" t="str">
        <f>IF(OR($B54="",_自动清单!$G$20=""),"",SUMIFS(包装物料出入库明细!$J$4:$J$2003,包装物料出入库明细!$D$4:$D$2003,$B54,包装物料出入库明细!$E$4:$E$2003,_自动清单!$G$20,包装物料出入库明细!$B$4:$B$2003,"&gt;="&amp;$AF$1,包装物料出入库明细!$B$4:$B$2003,"&lt;="&amp;$AF$2))</f>
        <v/>
      </c>
      <c r="T54" s="25" t="str">
        <f>IF(OR($B54="",_自动清单!$G$21=""),"",SUMIFS(包装物料出入库明细!$J$4:$J$2003,包装物料出入库明细!$D$4:$D$2003,$B54,包装物料出入库明细!$E$4:$E$2003,_自动清单!$G$21,包装物料出入库明细!$B$4:$B$2003,"&gt;="&amp;$AF$1,包装物料出入库明细!$B$4:$B$2003,"&lt;="&amp;$AF$2))</f>
        <v/>
      </c>
      <c r="U54" s="25" t="str">
        <f>IF($B54="","",SUMIFS(包装物料出入库明细!$J$4:$J$2003,包装物料出入库明细!$D$4:$D$2003,$B54,包装物料出入库明细!$B$4:$B$2003,"&gt;="&amp;$AF$1,包装物料出入库明细!$B$4:$B$2003,"&lt;="&amp;$AF$2)-SUM($C54:$T54))</f>
        <v/>
      </c>
      <c r="V54" s="25" t="str">
        <f t="shared" si="1"/>
        <v/>
      </c>
      <c r="W54" s="56" t="str">
        <f>IF($B54="","",SUMIFS(包装物料出入库明细!$K$4:$K$2003,包装物料出入库明细!$D$4:$D$2003,$B54,包装物料出入库明细!$B$4:$B$2003,"&gt;="&amp;$AF$1,包装物料出入库明细!$B$4:$B$2003,"&lt;="&amp;$AF$2))</f>
        <v/>
      </c>
      <c r="X54" s="25" t="str">
        <f t="shared" si="2"/>
        <v/>
      </c>
      <c r="Y54" s="26" t="str">
        <f>IF($B54="","",ROUND(SUMIFS(包装物料出入库明细!$N$4:$N$2003,包装物料出入库明细!$D$4:$D$2003,$B54,包装物料出入库明细!$H$4:$H$2003,"销售出库",包装物料出入库明细!$B$4:$B$2003,"&gt;="&amp;$AF$1,包装物料出入库明细!$B$4:$B$2003,"&lt;="&amp;$AF$2),2))</f>
        <v/>
      </c>
      <c r="Z54" s="26" t="str">
        <f>IF($B54="","",ROUND(SUMIFS(包装物料出入库明细!$N$4:$N$2003,包装物料出入库明细!$D$4:$D$2003,$B54,包装物料出入库明细!$H$4:$H$2003,"销售出库",包装物料出入库明细!$P$4:$P$2003,"已收讫",包装物料出入库明细!$B$4:$B$2003,"&gt;="&amp;$AF$1,包装物料出入库明细!$B$4:$B$2003,"&lt;="&amp;$AF$2),2))</f>
        <v/>
      </c>
      <c r="AA54" s="26" t="str">
        <f t="shared" si="3"/>
        <v/>
      </c>
      <c r="AB54" s="41"/>
    </row>
    <row r="55" spans="1:28">
      <c r="A55" s="24" t="str">
        <f t="shared" si="0"/>
        <v/>
      </c>
      <c r="B55" s="24" t="str">
        <f>IFERROR(INDEX(_自动清单!$O$4:$O$203,ROW()-3),"")</f>
        <v/>
      </c>
      <c r="C55" s="25" t="str">
        <f>IF(OR($B55="",_自动清单!$G$4=""),"",SUMIFS(包装物料出入库明细!$J$4:$J$2003,包装物料出入库明细!$D$4:$D$2003,$B55,包装物料出入库明细!$E$4:$E$2003,_自动清单!$G$4,包装物料出入库明细!$B$4:$B$2003,"&gt;="&amp;$AF$1,包装物料出入库明细!$B$4:$B$2003,"&lt;="&amp;$AF$2))</f>
        <v/>
      </c>
      <c r="D55" s="25" t="str">
        <f>IF(OR($B55="",_自动清单!$G$5=""),"",SUMIFS(包装物料出入库明细!$J$4:$J$2003,包装物料出入库明细!$D$4:$D$2003,$B55,包装物料出入库明细!$E$4:$E$2003,_自动清单!$G$5,包装物料出入库明细!$B$4:$B$2003,"&gt;="&amp;$AF$1,包装物料出入库明细!$B$4:$B$2003,"&lt;="&amp;$AF$2))</f>
        <v/>
      </c>
      <c r="E55" s="25" t="str">
        <f>IF(OR($B55="",_自动清单!$G$6=""),"",SUMIFS(包装物料出入库明细!$J$4:$J$2003,包装物料出入库明细!$D$4:$D$2003,$B55,包装物料出入库明细!$E$4:$E$2003,_自动清单!$G$6,包装物料出入库明细!$B$4:$B$2003,"&gt;="&amp;$AF$1,包装物料出入库明细!$B$4:$B$2003,"&lt;="&amp;$AF$2))</f>
        <v/>
      </c>
      <c r="F55" s="25" t="str">
        <f>IF(OR($B55="",_自动清单!$G$7=""),"",SUMIFS(包装物料出入库明细!$J$4:$J$2003,包装物料出入库明细!$D$4:$D$2003,$B55,包装物料出入库明细!$E$4:$E$2003,_自动清单!$G$7,包装物料出入库明细!$B$4:$B$2003,"&gt;="&amp;$AF$1,包装物料出入库明细!$B$4:$B$2003,"&lt;="&amp;$AF$2))</f>
        <v/>
      </c>
      <c r="G55" s="25" t="str">
        <f>IF(OR($B55="",_自动清单!$G$8=""),"",SUMIFS(包装物料出入库明细!$J$4:$J$2003,包装物料出入库明细!$D$4:$D$2003,$B55,包装物料出入库明细!$E$4:$E$2003,_自动清单!$G$8,包装物料出入库明细!$B$4:$B$2003,"&gt;="&amp;$AF$1,包装物料出入库明细!$B$4:$B$2003,"&lt;="&amp;$AF$2))</f>
        <v/>
      </c>
      <c r="H55" s="25" t="str">
        <f>IF(OR($B55="",_自动清单!$G$9=""),"",SUMIFS(包装物料出入库明细!$J$4:$J$2003,包装物料出入库明细!$D$4:$D$2003,$B55,包装物料出入库明细!$E$4:$E$2003,_自动清单!$G$9,包装物料出入库明细!$B$4:$B$2003,"&gt;="&amp;$AF$1,包装物料出入库明细!$B$4:$B$2003,"&lt;="&amp;$AF$2))</f>
        <v/>
      </c>
      <c r="I55" s="25" t="str">
        <f>IF(OR($B55="",_自动清单!$G$10=""),"",SUMIFS(包装物料出入库明细!$J$4:$J$2003,包装物料出入库明细!$D$4:$D$2003,$B55,包装物料出入库明细!$E$4:$E$2003,_自动清单!$G$10,包装物料出入库明细!$B$4:$B$2003,"&gt;="&amp;$AF$1,包装物料出入库明细!$B$4:$B$2003,"&lt;="&amp;$AF$2))</f>
        <v/>
      </c>
      <c r="J55" s="25" t="str">
        <f>IF(OR($B55="",_自动清单!$G$11=""),"",SUMIFS(包装物料出入库明细!$J$4:$J$2003,包装物料出入库明细!$D$4:$D$2003,$B55,包装物料出入库明细!$E$4:$E$2003,_自动清单!$G$11,包装物料出入库明细!$B$4:$B$2003,"&gt;="&amp;$AF$1,包装物料出入库明细!$B$4:$B$2003,"&lt;="&amp;$AF$2))</f>
        <v/>
      </c>
      <c r="K55" s="25" t="str">
        <f>IF(OR($B55="",_自动清单!$G$12=""),"",SUMIFS(包装物料出入库明细!$J$4:$J$2003,包装物料出入库明细!$D$4:$D$2003,$B55,包装物料出入库明细!$E$4:$E$2003,_自动清单!$G$12,包装物料出入库明细!$B$4:$B$2003,"&gt;="&amp;$AF$1,包装物料出入库明细!$B$4:$B$2003,"&lt;="&amp;$AF$2))</f>
        <v/>
      </c>
      <c r="L55" s="25" t="str">
        <f>IF(OR($B55="",_自动清单!$G$13=""),"",SUMIFS(包装物料出入库明细!$J$4:$J$2003,包装物料出入库明细!$D$4:$D$2003,$B55,包装物料出入库明细!$E$4:$E$2003,_自动清单!$G$13,包装物料出入库明细!$B$4:$B$2003,"&gt;="&amp;$AF$1,包装物料出入库明细!$B$4:$B$2003,"&lt;="&amp;$AF$2))</f>
        <v/>
      </c>
      <c r="M55" s="25" t="str">
        <f>IF(OR($B55="",_自动清单!$G$14=""),"",SUMIFS(包装物料出入库明细!$J$4:$J$2003,包装物料出入库明细!$D$4:$D$2003,$B55,包装物料出入库明细!$E$4:$E$2003,_自动清单!$G$14,包装物料出入库明细!$B$4:$B$2003,"&gt;="&amp;$AF$1,包装物料出入库明细!$B$4:$B$2003,"&lt;="&amp;$AF$2))</f>
        <v/>
      </c>
      <c r="N55" s="25" t="str">
        <f>IF(OR($B55="",_自动清单!$G$15=""),"",SUMIFS(包装物料出入库明细!$J$4:$J$2003,包装物料出入库明细!$D$4:$D$2003,$B55,包装物料出入库明细!$E$4:$E$2003,_自动清单!$G$15,包装物料出入库明细!$B$4:$B$2003,"&gt;="&amp;$AF$1,包装物料出入库明细!$B$4:$B$2003,"&lt;="&amp;$AF$2))</f>
        <v/>
      </c>
      <c r="O55" s="25" t="str">
        <f>IF(OR($B55="",_自动清单!$G$16=""),"",SUMIFS(包装物料出入库明细!$J$4:$J$2003,包装物料出入库明细!$D$4:$D$2003,$B55,包装物料出入库明细!$E$4:$E$2003,_自动清单!$G$16,包装物料出入库明细!$B$4:$B$2003,"&gt;="&amp;$AF$1,包装物料出入库明细!$B$4:$B$2003,"&lt;="&amp;$AF$2))</f>
        <v/>
      </c>
      <c r="P55" s="25" t="str">
        <f>IF(OR($B55="",_自动清单!$G$17=""),"",SUMIFS(包装物料出入库明细!$J$4:$J$2003,包装物料出入库明细!$D$4:$D$2003,$B55,包装物料出入库明细!$E$4:$E$2003,_自动清单!$G$17,包装物料出入库明细!$B$4:$B$2003,"&gt;="&amp;$AF$1,包装物料出入库明细!$B$4:$B$2003,"&lt;="&amp;$AF$2))</f>
        <v/>
      </c>
      <c r="Q55" s="25" t="str">
        <f>IF(OR($B55="",_自动清单!$G$18=""),"",SUMIFS(包装物料出入库明细!$J$4:$J$2003,包装物料出入库明细!$D$4:$D$2003,$B55,包装物料出入库明细!$E$4:$E$2003,_自动清单!$G$18,包装物料出入库明细!$B$4:$B$2003,"&gt;="&amp;$AF$1,包装物料出入库明细!$B$4:$B$2003,"&lt;="&amp;$AF$2))</f>
        <v/>
      </c>
      <c r="R55" s="25" t="str">
        <f>IF(OR($B55="",_自动清单!$G$19=""),"",SUMIFS(包装物料出入库明细!$J$4:$J$2003,包装物料出入库明细!$D$4:$D$2003,$B55,包装物料出入库明细!$E$4:$E$2003,_自动清单!$G$19,包装物料出入库明细!$B$4:$B$2003,"&gt;="&amp;$AF$1,包装物料出入库明细!$B$4:$B$2003,"&lt;="&amp;$AF$2))</f>
        <v/>
      </c>
      <c r="S55" s="25" t="str">
        <f>IF(OR($B55="",_自动清单!$G$20=""),"",SUMIFS(包装物料出入库明细!$J$4:$J$2003,包装物料出入库明细!$D$4:$D$2003,$B55,包装物料出入库明细!$E$4:$E$2003,_自动清单!$G$20,包装物料出入库明细!$B$4:$B$2003,"&gt;="&amp;$AF$1,包装物料出入库明细!$B$4:$B$2003,"&lt;="&amp;$AF$2))</f>
        <v/>
      </c>
      <c r="T55" s="25" t="str">
        <f>IF(OR($B55="",_自动清单!$G$21=""),"",SUMIFS(包装物料出入库明细!$J$4:$J$2003,包装物料出入库明细!$D$4:$D$2003,$B55,包装物料出入库明细!$E$4:$E$2003,_自动清单!$G$21,包装物料出入库明细!$B$4:$B$2003,"&gt;="&amp;$AF$1,包装物料出入库明细!$B$4:$B$2003,"&lt;="&amp;$AF$2))</f>
        <v/>
      </c>
      <c r="U55" s="25" t="str">
        <f>IF($B55="","",SUMIFS(包装物料出入库明细!$J$4:$J$2003,包装物料出入库明细!$D$4:$D$2003,$B55,包装物料出入库明细!$B$4:$B$2003,"&gt;="&amp;$AF$1,包装物料出入库明细!$B$4:$B$2003,"&lt;="&amp;$AF$2)-SUM($C55:$T55))</f>
        <v/>
      </c>
      <c r="V55" s="25" t="str">
        <f t="shared" si="1"/>
        <v/>
      </c>
      <c r="W55" s="56" t="str">
        <f>IF($B55="","",SUMIFS(包装物料出入库明细!$K$4:$K$2003,包装物料出入库明细!$D$4:$D$2003,$B55,包装物料出入库明细!$B$4:$B$2003,"&gt;="&amp;$AF$1,包装物料出入库明细!$B$4:$B$2003,"&lt;="&amp;$AF$2))</f>
        <v/>
      </c>
      <c r="X55" s="25" t="str">
        <f t="shared" si="2"/>
        <v/>
      </c>
      <c r="Y55" s="26" t="str">
        <f>IF($B55="","",ROUND(SUMIFS(包装物料出入库明细!$N$4:$N$2003,包装物料出入库明细!$D$4:$D$2003,$B55,包装物料出入库明细!$H$4:$H$2003,"销售出库",包装物料出入库明细!$B$4:$B$2003,"&gt;="&amp;$AF$1,包装物料出入库明细!$B$4:$B$2003,"&lt;="&amp;$AF$2),2))</f>
        <v/>
      </c>
      <c r="Z55" s="26" t="str">
        <f>IF($B55="","",ROUND(SUMIFS(包装物料出入库明细!$N$4:$N$2003,包装物料出入库明细!$D$4:$D$2003,$B55,包装物料出入库明细!$H$4:$H$2003,"销售出库",包装物料出入库明细!$P$4:$P$2003,"已收讫",包装物料出入库明细!$B$4:$B$2003,"&gt;="&amp;$AF$1,包装物料出入库明细!$B$4:$B$2003,"&lt;="&amp;$AF$2),2))</f>
        <v/>
      </c>
      <c r="AA55" s="26" t="str">
        <f t="shared" si="3"/>
        <v/>
      </c>
      <c r="AB55" s="41"/>
    </row>
    <row r="56" spans="1:28">
      <c r="A56" s="24" t="str">
        <f t="shared" si="0"/>
        <v/>
      </c>
      <c r="B56" s="24" t="str">
        <f>IFERROR(INDEX(_自动清单!$O$4:$O$203,ROW()-3),"")</f>
        <v/>
      </c>
      <c r="C56" s="25" t="str">
        <f>IF(OR($B56="",_自动清单!$G$4=""),"",SUMIFS(包装物料出入库明细!$J$4:$J$2003,包装物料出入库明细!$D$4:$D$2003,$B56,包装物料出入库明细!$E$4:$E$2003,_自动清单!$G$4,包装物料出入库明细!$B$4:$B$2003,"&gt;="&amp;$AF$1,包装物料出入库明细!$B$4:$B$2003,"&lt;="&amp;$AF$2))</f>
        <v/>
      </c>
      <c r="D56" s="25" t="str">
        <f>IF(OR($B56="",_自动清单!$G$5=""),"",SUMIFS(包装物料出入库明细!$J$4:$J$2003,包装物料出入库明细!$D$4:$D$2003,$B56,包装物料出入库明细!$E$4:$E$2003,_自动清单!$G$5,包装物料出入库明细!$B$4:$B$2003,"&gt;="&amp;$AF$1,包装物料出入库明细!$B$4:$B$2003,"&lt;="&amp;$AF$2))</f>
        <v/>
      </c>
      <c r="E56" s="25" t="str">
        <f>IF(OR($B56="",_自动清单!$G$6=""),"",SUMIFS(包装物料出入库明细!$J$4:$J$2003,包装物料出入库明细!$D$4:$D$2003,$B56,包装物料出入库明细!$E$4:$E$2003,_自动清单!$G$6,包装物料出入库明细!$B$4:$B$2003,"&gt;="&amp;$AF$1,包装物料出入库明细!$B$4:$B$2003,"&lt;="&amp;$AF$2))</f>
        <v/>
      </c>
      <c r="F56" s="25" t="str">
        <f>IF(OR($B56="",_自动清单!$G$7=""),"",SUMIFS(包装物料出入库明细!$J$4:$J$2003,包装物料出入库明细!$D$4:$D$2003,$B56,包装物料出入库明细!$E$4:$E$2003,_自动清单!$G$7,包装物料出入库明细!$B$4:$B$2003,"&gt;="&amp;$AF$1,包装物料出入库明细!$B$4:$B$2003,"&lt;="&amp;$AF$2))</f>
        <v/>
      </c>
      <c r="G56" s="25" t="str">
        <f>IF(OR($B56="",_自动清单!$G$8=""),"",SUMIFS(包装物料出入库明细!$J$4:$J$2003,包装物料出入库明细!$D$4:$D$2003,$B56,包装物料出入库明细!$E$4:$E$2003,_自动清单!$G$8,包装物料出入库明细!$B$4:$B$2003,"&gt;="&amp;$AF$1,包装物料出入库明细!$B$4:$B$2003,"&lt;="&amp;$AF$2))</f>
        <v/>
      </c>
      <c r="H56" s="25" t="str">
        <f>IF(OR($B56="",_自动清单!$G$9=""),"",SUMIFS(包装物料出入库明细!$J$4:$J$2003,包装物料出入库明细!$D$4:$D$2003,$B56,包装物料出入库明细!$E$4:$E$2003,_自动清单!$G$9,包装物料出入库明细!$B$4:$B$2003,"&gt;="&amp;$AF$1,包装物料出入库明细!$B$4:$B$2003,"&lt;="&amp;$AF$2))</f>
        <v/>
      </c>
      <c r="I56" s="25" t="str">
        <f>IF(OR($B56="",_自动清单!$G$10=""),"",SUMIFS(包装物料出入库明细!$J$4:$J$2003,包装物料出入库明细!$D$4:$D$2003,$B56,包装物料出入库明细!$E$4:$E$2003,_自动清单!$G$10,包装物料出入库明细!$B$4:$B$2003,"&gt;="&amp;$AF$1,包装物料出入库明细!$B$4:$B$2003,"&lt;="&amp;$AF$2))</f>
        <v/>
      </c>
      <c r="J56" s="25" t="str">
        <f>IF(OR($B56="",_自动清单!$G$11=""),"",SUMIFS(包装物料出入库明细!$J$4:$J$2003,包装物料出入库明细!$D$4:$D$2003,$B56,包装物料出入库明细!$E$4:$E$2003,_自动清单!$G$11,包装物料出入库明细!$B$4:$B$2003,"&gt;="&amp;$AF$1,包装物料出入库明细!$B$4:$B$2003,"&lt;="&amp;$AF$2))</f>
        <v/>
      </c>
      <c r="K56" s="25" t="str">
        <f>IF(OR($B56="",_自动清单!$G$12=""),"",SUMIFS(包装物料出入库明细!$J$4:$J$2003,包装物料出入库明细!$D$4:$D$2003,$B56,包装物料出入库明细!$E$4:$E$2003,_自动清单!$G$12,包装物料出入库明细!$B$4:$B$2003,"&gt;="&amp;$AF$1,包装物料出入库明细!$B$4:$B$2003,"&lt;="&amp;$AF$2))</f>
        <v/>
      </c>
      <c r="L56" s="25" t="str">
        <f>IF(OR($B56="",_自动清单!$G$13=""),"",SUMIFS(包装物料出入库明细!$J$4:$J$2003,包装物料出入库明细!$D$4:$D$2003,$B56,包装物料出入库明细!$E$4:$E$2003,_自动清单!$G$13,包装物料出入库明细!$B$4:$B$2003,"&gt;="&amp;$AF$1,包装物料出入库明细!$B$4:$B$2003,"&lt;="&amp;$AF$2))</f>
        <v/>
      </c>
      <c r="M56" s="25" t="str">
        <f>IF(OR($B56="",_自动清单!$G$14=""),"",SUMIFS(包装物料出入库明细!$J$4:$J$2003,包装物料出入库明细!$D$4:$D$2003,$B56,包装物料出入库明细!$E$4:$E$2003,_自动清单!$G$14,包装物料出入库明细!$B$4:$B$2003,"&gt;="&amp;$AF$1,包装物料出入库明细!$B$4:$B$2003,"&lt;="&amp;$AF$2))</f>
        <v/>
      </c>
      <c r="N56" s="25" t="str">
        <f>IF(OR($B56="",_自动清单!$G$15=""),"",SUMIFS(包装物料出入库明细!$J$4:$J$2003,包装物料出入库明细!$D$4:$D$2003,$B56,包装物料出入库明细!$E$4:$E$2003,_自动清单!$G$15,包装物料出入库明细!$B$4:$B$2003,"&gt;="&amp;$AF$1,包装物料出入库明细!$B$4:$B$2003,"&lt;="&amp;$AF$2))</f>
        <v/>
      </c>
      <c r="O56" s="25" t="str">
        <f>IF(OR($B56="",_自动清单!$G$16=""),"",SUMIFS(包装物料出入库明细!$J$4:$J$2003,包装物料出入库明细!$D$4:$D$2003,$B56,包装物料出入库明细!$E$4:$E$2003,_自动清单!$G$16,包装物料出入库明细!$B$4:$B$2003,"&gt;="&amp;$AF$1,包装物料出入库明细!$B$4:$B$2003,"&lt;="&amp;$AF$2))</f>
        <v/>
      </c>
      <c r="P56" s="25" t="str">
        <f>IF(OR($B56="",_自动清单!$G$17=""),"",SUMIFS(包装物料出入库明细!$J$4:$J$2003,包装物料出入库明细!$D$4:$D$2003,$B56,包装物料出入库明细!$E$4:$E$2003,_自动清单!$G$17,包装物料出入库明细!$B$4:$B$2003,"&gt;="&amp;$AF$1,包装物料出入库明细!$B$4:$B$2003,"&lt;="&amp;$AF$2))</f>
        <v/>
      </c>
      <c r="Q56" s="25" t="str">
        <f>IF(OR($B56="",_自动清单!$G$18=""),"",SUMIFS(包装物料出入库明细!$J$4:$J$2003,包装物料出入库明细!$D$4:$D$2003,$B56,包装物料出入库明细!$E$4:$E$2003,_自动清单!$G$18,包装物料出入库明细!$B$4:$B$2003,"&gt;="&amp;$AF$1,包装物料出入库明细!$B$4:$B$2003,"&lt;="&amp;$AF$2))</f>
        <v/>
      </c>
      <c r="R56" s="25" t="str">
        <f>IF(OR($B56="",_自动清单!$G$19=""),"",SUMIFS(包装物料出入库明细!$J$4:$J$2003,包装物料出入库明细!$D$4:$D$2003,$B56,包装物料出入库明细!$E$4:$E$2003,_自动清单!$G$19,包装物料出入库明细!$B$4:$B$2003,"&gt;="&amp;$AF$1,包装物料出入库明细!$B$4:$B$2003,"&lt;="&amp;$AF$2))</f>
        <v/>
      </c>
      <c r="S56" s="25" t="str">
        <f>IF(OR($B56="",_自动清单!$G$20=""),"",SUMIFS(包装物料出入库明细!$J$4:$J$2003,包装物料出入库明细!$D$4:$D$2003,$B56,包装物料出入库明细!$E$4:$E$2003,_自动清单!$G$20,包装物料出入库明细!$B$4:$B$2003,"&gt;="&amp;$AF$1,包装物料出入库明细!$B$4:$B$2003,"&lt;="&amp;$AF$2))</f>
        <v/>
      </c>
      <c r="T56" s="25" t="str">
        <f>IF(OR($B56="",_自动清单!$G$21=""),"",SUMIFS(包装物料出入库明细!$J$4:$J$2003,包装物料出入库明细!$D$4:$D$2003,$B56,包装物料出入库明细!$E$4:$E$2003,_自动清单!$G$21,包装物料出入库明细!$B$4:$B$2003,"&gt;="&amp;$AF$1,包装物料出入库明细!$B$4:$B$2003,"&lt;="&amp;$AF$2))</f>
        <v/>
      </c>
      <c r="U56" s="25" t="str">
        <f>IF($B56="","",SUMIFS(包装物料出入库明细!$J$4:$J$2003,包装物料出入库明细!$D$4:$D$2003,$B56,包装物料出入库明细!$B$4:$B$2003,"&gt;="&amp;$AF$1,包装物料出入库明细!$B$4:$B$2003,"&lt;="&amp;$AF$2)-SUM($C56:$T56))</f>
        <v/>
      </c>
      <c r="V56" s="25" t="str">
        <f t="shared" si="1"/>
        <v/>
      </c>
      <c r="W56" s="56" t="str">
        <f>IF($B56="","",SUMIFS(包装物料出入库明细!$K$4:$K$2003,包装物料出入库明细!$D$4:$D$2003,$B56,包装物料出入库明细!$B$4:$B$2003,"&gt;="&amp;$AF$1,包装物料出入库明细!$B$4:$B$2003,"&lt;="&amp;$AF$2))</f>
        <v/>
      </c>
      <c r="X56" s="25" t="str">
        <f t="shared" si="2"/>
        <v/>
      </c>
      <c r="Y56" s="26" t="str">
        <f>IF($B56="","",ROUND(SUMIFS(包装物料出入库明细!$N$4:$N$2003,包装物料出入库明细!$D$4:$D$2003,$B56,包装物料出入库明细!$H$4:$H$2003,"销售出库",包装物料出入库明细!$B$4:$B$2003,"&gt;="&amp;$AF$1,包装物料出入库明细!$B$4:$B$2003,"&lt;="&amp;$AF$2),2))</f>
        <v/>
      </c>
      <c r="Z56" s="26" t="str">
        <f>IF($B56="","",ROUND(SUMIFS(包装物料出入库明细!$N$4:$N$2003,包装物料出入库明细!$D$4:$D$2003,$B56,包装物料出入库明细!$H$4:$H$2003,"销售出库",包装物料出入库明细!$P$4:$P$2003,"已收讫",包装物料出入库明细!$B$4:$B$2003,"&gt;="&amp;$AF$1,包装物料出入库明细!$B$4:$B$2003,"&lt;="&amp;$AF$2),2))</f>
        <v/>
      </c>
      <c r="AA56" s="26" t="str">
        <f t="shared" si="3"/>
        <v/>
      </c>
      <c r="AB56" s="41"/>
    </row>
    <row r="57" spans="1:28">
      <c r="A57" s="24" t="str">
        <f t="shared" si="0"/>
        <v/>
      </c>
      <c r="B57" s="24" t="str">
        <f>IFERROR(INDEX(_自动清单!$O$4:$O$203,ROW()-3),"")</f>
        <v/>
      </c>
      <c r="C57" s="25" t="str">
        <f>IF(OR($B57="",_自动清单!$G$4=""),"",SUMIFS(包装物料出入库明细!$J$4:$J$2003,包装物料出入库明细!$D$4:$D$2003,$B57,包装物料出入库明细!$E$4:$E$2003,_自动清单!$G$4,包装物料出入库明细!$B$4:$B$2003,"&gt;="&amp;$AF$1,包装物料出入库明细!$B$4:$B$2003,"&lt;="&amp;$AF$2))</f>
        <v/>
      </c>
      <c r="D57" s="25" t="str">
        <f>IF(OR($B57="",_自动清单!$G$5=""),"",SUMIFS(包装物料出入库明细!$J$4:$J$2003,包装物料出入库明细!$D$4:$D$2003,$B57,包装物料出入库明细!$E$4:$E$2003,_自动清单!$G$5,包装物料出入库明细!$B$4:$B$2003,"&gt;="&amp;$AF$1,包装物料出入库明细!$B$4:$B$2003,"&lt;="&amp;$AF$2))</f>
        <v/>
      </c>
      <c r="E57" s="25" t="str">
        <f>IF(OR($B57="",_自动清单!$G$6=""),"",SUMIFS(包装物料出入库明细!$J$4:$J$2003,包装物料出入库明细!$D$4:$D$2003,$B57,包装物料出入库明细!$E$4:$E$2003,_自动清单!$G$6,包装物料出入库明细!$B$4:$B$2003,"&gt;="&amp;$AF$1,包装物料出入库明细!$B$4:$B$2003,"&lt;="&amp;$AF$2))</f>
        <v/>
      </c>
      <c r="F57" s="25" t="str">
        <f>IF(OR($B57="",_自动清单!$G$7=""),"",SUMIFS(包装物料出入库明细!$J$4:$J$2003,包装物料出入库明细!$D$4:$D$2003,$B57,包装物料出入库明细!$E$4:$E$2003,_自动清单!$G$7,包装物料出入库明细!$B$4:$B$2003,"&gt;="&amp;$AF$1,包装物料出入库明细!$B$4:$B$2003,"&lt;="&amp;$AF$2))</f>
        <v/>
      </c>
      <c r="G57" s="25" t="str">
        <f>IF(OR($B57="",_自动清单!$G$8=""),"",SUMIFS(包装物料出入库明细!$J$4:$J$2003,包装物料出入库明细!$D$4:$D$2003,$B57,包装物料出入库明细!$E$4:$E$2003,_自动清单!$G$8,包装物料出入库明细!$B$4:$B$2003,"&gt;="&amp;$AF$1,包装物料出入库明细!$B$4:$B$2003,"&lt;="&amp;$AF$2))</f>
        <v/>
      </c>
      <c r="H57" s="25" t="str">
        <f>IF(OR($B57="",_自动清单!$G$9=""),"",SUMIFS(包装物料出入库明细!$J$4:$J$2003,包装物料出入库明细!$D$4:$D$2003,$B57,包装物料出入库明细!$E$4:$E$2003,_自动清单!$G$9,包装物料出入库明细!$B$4:$B$2003,"&gt;="&amp;$AF$1,包装物料出入库明细!$B$4:$B$2003,"&lt;="&amp;$AF$2))</f>
        <v/>
      </c>
      <c r="I57" s="25" t="str">
        <f>IF(OR($B57="",_自动清单!$G$10=""),"",SUMIFS(包装物料出入库明细!$J$4:$J$2003,包装物料出入库明细!$D$4:$D$2003,$B57,包装物料出入库明细!$E$4:$E$2003,_自动清单!$G$10,包装物料出入库明细!$B$4:$B$2003,"&gt;="&amp;$AF$1,包装物料出入库明细!$B$4:$B$2003,"&lt;="&amp;$AF$2))</f>
        <v/>
      </c>
      <c r="J57" s="25" t="str">
        <f>IF(OR($B57="",_自动清单!$G$11=""),"",SUMIFS(包装物料出入库明细!$J$4:$J$2003,包装物料出入库明细!$D$4:$D$2003,$B57,包装物料出入库明细!$E$4:$E$2003,_自动清单!$G$11,包装物料出入库明细!$B$4:$B$2003,"&gt;="&amp;$AF$1,包装物料出入库明细!$B$4:$B$2003,"&lt;="&amp;$AF$2))</f>
        <v/>
      </c>
      <c r="K57" s="25" t="str">
        <f>IF(OR($B57="",_自动清单!$G$12=""),"",SUMIFS(包装物料出入库明细!$J$4:$J$2003,包装物料出入库明细!$D$4:$D$2003,$B57,包装物料出入库明细!$E$4:$E$2003,_自动清单!$G$12,包装物料出入库明细!$B$4:$B$2003,"&gt;="&amp;$AF$1,包装物料出入库明细!$B$4:$B$2003,"&lt;="&amp;$AF$2))</f>
        <v/>
      </c>
      <c r="L57" s="25" t="str">
        <f>IF(OR($B57="",_自动清单!$G$13=""),"",SUMIFS(包装物料出入库明细!$J$4:$J$2003,包装物料出入库明细!$D$4:$D$2003,$B57,包装物料出入库明细!$E$4:$E$2003,_自动清单!$G$13,包装物料出入库明细!$B$4:$B$2003,"&gt;="&amp;$AF$1,包装物料出入库明细!$B$4:$B$2003,"&lt;="&amp;$AF$2))</f>
        <v/>
      </c>
      <c r="M57" s="25" t="str">
        <f>IF(OR($B57="",_自动清单!$G$14=""),"",SUMIFS(包装物料出入库明细!$J$4:$J$2003,包装物料出入库明细!$D$4:$D$2003,$B57,包装物料出入库明细!$E$4:$E$2003,_自动清单!$G$14,包装物料出入库明细!$B$4:$B$2003,"&gt;="&amp;$AF$1,包装物料出入库明细!$B$4:$B$2003,"&lt;="&amp;$AF$2))</f>
        <v/>
      </c>
      <c r="N57" s="25" t="str">
        <f>IF(OR($B57="",_自动清单!$G$15=""),"",SUMIFS(包装物料出入库明细!$J$4:$J$2003,包装物料出入库明细!$D$4:$D$2003,$B57,包装物料出入库明细!$E$4:$E$2003,_自动清单!$G$15,包装物料出入库明细!$B$4:$B$2003,"&gt;="&amp;$AF$1,包装物料出入库明细!$B$4:$B$2003,"&lt;="&amp;$AF$2))</f>
        <v/>
      </c>
      <c r="O57" s="25" t="str">
        <f>IF(OR($B57="",_自动清单!$G$16=""),"",SUMIFS(包装物料出入库明细!$J$4:$J$2003,包装物料出入库明细!$D$4:$D$2003,$B57,包装物料出入库明细!$E$4:$E$2003,_自动清单!$G$16,包装物料出入库明细!$B$4:$B$2003,"&gt;="&amp;$AF$1,包装物料出入库明细!$B$4:$B$2003,"&lt;="&amp;$AF$2))</f>
        <v/>
      </c>
      <c r="P57" s="25" t="str">
        <f>IF(OR($B57="",_自动清单!$G$17=""),"",SUMIFS(包装物料出入库明细!$J$4:$J$2003,包装物料出入库明细!$D$4:$D$2003,$B57,包装物料出入库明细!$E$4:$E$2003,_自动清单!$G$17,包装物料出入库明细!$B$4:$B$2003,"&gt;="&amp;$AF$1,包装物料出入库明细!$B$4:$B$2003,"&lt;="&amp;$AF$2))</f>
        <v/>
      </c>
      <c r="Q57" s="25" t="str">
        <f>IF(OR($B57="",_自动清单!$G$18=""),"",SUMIFS(包装物料出入库明细!$J$4:$J$2003,包装物料出入库明细!$D$4:$D$2003,$B57,包装物料出入库明细!$E$4:$E$2003,_自动清单!$G$18,包装物料出入库明细!$B$4:$B$2003,"&gt;="&amp;$AF$1,包装物料出入库明细!$B$4:$B$2003,"&lt;="&amp;$AF$2))</f>
        <v/>
      </c>
      <c r="R57" s="25" t="str">
        <f>IF(OR($B57="",_自动清单!$G$19=""),"",SUMIFS(包装物料出入库明细!$J$4:$J$2003,包装物料出入库明细!$D$4:$D$2003,$B57,包装物料出入库明细!$E$4:$E$2003,_自动清单!$G$19,包装物料出入库明细!$B$4:$B$2003,"&gt;="&amp;$AF$1,包装物料出入库明细!$B$4:$B$2003,"&lt;="&amp;$AF$2))</f>
        <v/>
      </c>
      <c r="S57" s="25" t="str">
        <f>IF(OR($B57="",_自动清单!$G$20=""),"",SUMIFS(包装物料出入库明细!$J$4:$J$2003,包装物料出入库明细!$D$4:$D$2003,$B57,包装物料出入库明细!$E$4:$E$2003,_自动清单!$G$20,包装物料出入库明细!$B$4:$B$2003,"&gt;="&amp;$AF$1,包装物料出入库明细!$B$4:$B$2003,"&lt;="&amp;$AF$2))</f>
        <v/>
      </c>
      <c r="T57" s="25" t="str">
        <f>IF(OR($B57="",_自动清单!$G$21=""),"",SUMIFS(包装物料出入库明细!$J$4:$J$2003,包装物料出入库明细!$D$4:$D$2003,$B57,包装物料出入库明细!$E$4:$E$2003,_自动清单!$G$21,包装物料出入库明细!$B$4:$B$2003,"&gt;="&amp;$AF$1,包装物料出入库明细!$B$4:$B$2003,"&lt;="&amp;$AF$2))</f>
        <v/>
      </c>
      <c r="U57" s="25" t="str">
        <f>IF($B57="","",SUMIFS(包装物料出入库明细!$J$4:$J$2003,包装物料出入库明细!$D$4:$D$2003,$B57,包装物料出入库明细!$B$4:$B$2003,"&gt;="&amp;$AF$1,包装物料出入库明细!$B$4:$B$2003,"&lt;="&amp;$AF$2)-SUM($C57:$T57))</f>
        <v/>
      </c>
      <c r="V57" s="25" t="str">
        <f t="shared" si="1"/>
        <v/>
      </c>
      <c r="W57" s="56" t="str">
        <f>IF($B57="","",SUMIFS(包装物料出入库明细!$K$4:$K$2003,包装物料出入库明细!$D$4:$D$2003,$B57,包装物料出入库明细!$B$4:$B$2003,"&gt;="&amp;$AF$1,包装物料出入库明细!$B$4:$B$2003,"&lt;="&amp;$AF$2))</f>
        <v/>
      </c>
      <c r="X57" s="25" t="str">
        <f t="shared" si="2"/>
        <v/>
      </c>
      <c r="Y57" s="26" t="str">
        <f>IF($B57="","",ROUND(SUMIFS(包装物料出入库明细!$N$4:$N$2003,包装物料出入库明细!$D$4:$D$2003,$B57,包装物料出入库明细!$H$4:$H$2003,"销售出库",包装物料出入库明细!$B$4:$B$2003,"&gt;="&amp;$AF$1,包装物料出入库明细!$B$4:$B$2003,"&lt;="&amp;$AF$2),2))</f>
        <v/>
      </c>
      <c r="Z57" s="26" t="str">
        <f>IF($B57="","",ROUND(SUMIFS(包装物料出入库明细!$N$4:$N$2003,包装物料出入库明细!$D$4:$D$2003,$B57,包装物料出入库明细!$H$4:$H$2003,"销售出库",包装物料出入库明细!$P$4:$P$2003,"已收讫",包装物料出入库明细!$B$4:$B$2003,"&gt;="&amp;$AF$1,包装物料出入库明细!$B$4:$B$2003,"&lt;="&amp;$AF$2),2))</f>
        <v/>
      </c>
      <c r="AA57" s="26" t="str">
        <f t="shared" si="3"/>
        <v/>
      </c>
      <c r="AB57" s="41"/>
    </row>
    <row r="58" spans="1:28">
      <c r="A58" s="24" t="str">
        <f t="shared" si="0"/>
        <v/>
      </c>
      <c r="B58" s="24" t="str">
        <f>IFERROR(INDEX(_自动清单!$O$4:$O$203,ROW()-3),"")</f>
        <v/>
      </c>
      <c r="C58" s="25" t="str">
        <f>IF(OR($B58="",_自动清单!$G$4=""),"",SUMIFS(包装物料出入库明细!$J$4:$J$2003,包装物料出入库明细!$D$4:$D$2003,$B58,包装物料出入库明细!$E$4:$E$2003,_自动清单!$G$4,包装物料出入库明细!$B$4:$B$2003,"&gt;="&amp;$AF$1,包装物料出入库明细!$B$4:$B$2003,"&lt;="&amp;$AF$2))</f>
        <v/>
      </c>
      <c r="D58" s="25" t="str">
        <f>IF(OR($B58="",_自动清单!$G$5=""),"",SUMIFS(包装物料出入库明细!$J$4:$J$2003,包装物料出入库明细!$D$4:$D$2003,$B58,包装物料出入库明细!$E$4:$E$2003,_自动清单!$G$5,包装物料出入库明细!$B$4:$B$2003,"&gt;="&amp;$AF$1,包装物料出入库明细!$B$4:$B$2003,"&lt;="&amp;$AF$2))</f>
        <v/>
      </c>
      <c r="E58" s="25" t="str">
        <f>IF(OR($B58="",_自动清单!$G$6=""),"",SUMIFS(包装物料出入库明细!$J$4:$J$2003,包装物料出入库明细!$D$4:$D$2003,$B58,包装物料出入库明细!$E$4:$E$2003,_自动清单!$G$6,包装物料出入库明细!$B$4:$B$2003,"&gt;="&amp;$AF$1,包装物料出入库明细!$B$4:$B$2003,"&lt;="&amp;$AF$2))</f>
        <v/>
      </c>
      <c r="F58" s="25" t="str">
        <f>IF(OR($B58="",_自动清单!$G$7=""),"",SUMIFS(包装物料出入库明细!$J$4:$J$2003,包装物料出入库明细!$D$4:$D$2003,$B58,包装物料出入库明细!$E$4:$E$2003,_自动清单!$G$7,包装物料出入库明细!$B$4:$B$2003,"&gt;="&amp;$AF$1,包装物料出入库明细!$B$4:$B$2003,"&lt;="&amp;$AF$2))</f>
        <v/>
      </c>
      <c r="G58" s="25" t="str">
        <f>IF(OR($B58="",_自动清单!$G$8=""),"",SUMIFS(包装物料出入库明细!$J$4:$J$2003,包装物料出入库明细!$D$4:$D$2003,$B58,包装物料出入库明细!$E$4:$E$2003,_自动清单!$G$8,包装物料出入库明细!$B$4:$B$2003,"&gt;="&amp;$AF$1,包装物料出入库明细!$B$4:$B$2003,"&lt;="&amp;$AF$2))</f>
        <v/>
      </c>
      <c r="H58" s="25" t="str">
        <f>IF(OR($B58="",_自动清单!$G$9=""),"",SUMIFS(包装物料出入库明细!$J$4:$J$2003,包装物料出入库明细!$D$4:$D$2003,$B58,包装物料出入库明细!$E$4:$E$2003,_自动清单!$G$9,包装物料出入库明细!$B$4:$B$2003,"&gt;="&amp;$AF$1,包装物料出入库明细!$B$4:$B$2003,"&lt;="&amp;$AF$2))</f>
        <v/>
      </c>
      <c r="I58" s="25" t="str">
        <f>IF(OR($B58="",_自动清单!$G$10=""),"",SUMIFS(包装物料出入库明细!$J$4:$J$2003,包装物料出入库明细!$D$4:$D$2003,$B58,包装物料出入库明细!$E$4:$E$2003,_自动清单!$G$10,包装物料出入库明细!$B$4:$B$2003,"&gt;="&amp;$AF$1,包装物料出入库明细!$B$4:$B$2003,"&lt;="&amp;$AF$2))</f>
        <v/>
      </c>
      <c r="J58" s="25" t="str">
        <f>IF(OR($B58="",_自动清单!$G$11=""),"",SUMIFS(包装物料出入库明细!$J$4:$J$2003,包装物料出入库明细!$D$4:$D$2003,$B58,包装物料出入库明细!$E$4:$E$2003,_自动清单!$G$11,包装物料出入库明细!$B$4:$B$2003,"&gt;="&amp;$AF$1,包装物料出入库明细!$B$4:$B$2003,"&lt;="&amp;$AF$2))</f>
        <v/>
      </c>
      <c r="K58" s="25" t="str">
        <f>IF(OR($B58="",_自动清单!$G$12=""),"",SUMIFS(包装物料出入库明细!$J$4:$J$2003,包装物料出入库明细!$D$4:$D$2003,$B58,包装物料出入库明细!$E$4:$E$2003,_自动清单!$G$12,包装物料出入库明细!$B$4:$B$2003,"&gt;="&amp;$AF$1,包装物料出入库明细!$B$4:$B$2003,"&lt;="&amp;$AF$2))</f>
        <v/>
      </c>
      <c r="L58" s="25" t="str">
        <f>IF(OR($B58="",_自动清单!$G$13=""),"",SUMIFS(包装物料出入库明细!$J$4:$J$2003,包装物料出入库明细!$D$4:$D$2003,$B58,包装物料出入库明细!$E$4:$E$2003,_自动清单!$G$13,包装物料出入库明细!$B$4:$B$2003,"&gt;="&amp;$AF$1,包装物料出入库明细!$B$4:$B$2003,"&lt;="&amp;$AF$2))</f>
        <v/>
      </c>
      <c r="M58" s="25" t="str">
        <f>IF(OR($B58="",_自动清单!$G$14=""),"",SUMIFS(包装物料出入库明细!$J$4:$J$2003,包装物料出入库明细!$D$4:$D$2003,$B58,包装物料出入库明细!$E$4:$E$2003,_自动清单!$G$14,包装物料出入库明细!$B$4:$B$2003,"&gt;="&amp;$AF$1,包装物料出入库明细!$B$4:$B$2003,"&lt;="&amp;$AF$2))</f>
        <v/>
      </c>
      <c r="N58" s="25" t="str">
        <f>IF(OR($B58="",_自动清单!$G$15=""),"",SUMIFS(包装物料出入库明细!$J$4:$J$2003,包装物料出入库明细!$D$4:$D$2003,$B58,包装物料出入库明细!$E$4:$E$2003,_自动清单!$G$15,包装物料出入库明细!$B$4:$B$2003,"&gt;="&amp;$AF$1,包装物料出入库明细!$B$4:$B$2003,"&lt;="&amp;$AF$2))</f>
        <v/>
      </c>
      <c r="O58" s="25" t="str">
        <f>IF(OR($B58="",_自动清单!$G$16=""),"",SUMIFS(包装物料出入库明细!$J$4:$J$2003,包装物料出入库明细!$D$4:$D$2003,$B58,包装物料出入库明细!$E$4:$E$2003,_自动清单!$G$16,包装物料出入库明细!$B$4:$B$2003,"&gt;="&amp;$AF$1,包装物料出入库明细!$B$4:$B$2003,"&lt;="&amp;$AF$2))</f>
        <v/>
      </c>
      <c r="P58" s="25" t="str">
        <f>IF(OR($B58="",_自动清单!$G$17=""),"",SUMIFS(包装物料出入库明细!$J$4:$J$2003,包装物料出入库明细!$D$4:$D$2003,$B58,包装物料出入库明细!$E$4:$E$2003,_自动清单!$G$17,包装物料出入库明细!$B$4:$B$2003,"&gt;="&amp;$AF$1,包装物料出入库明细!$B$4:$B$2003,"&lt;="&amp;$AF$2))</f>
        <v/>
      </c>
      <c r="Q58" s="25" t="str">
        <f>IF(OR($B58="",_自动清单!$G$18=""),"",SUMIFS(包装物料出入库明细!$J$4:$J$2003,包装物料出入库明细!$D$4:$D$2003,$B58,包装物料出入库明细!$E$4:$E$2003,_自动清单!$G$18,包装物料出入库明细!$B$4:$B$2003,"&gt;="&amp;$AF$1,包装物料出入库明细!$B$4:$B$2003,"&lt;="&amp;$AF$2))</f>
        <v/>
      </c>
      <c r="R58" s="25" t="str">
        <f>IF(OR($B58="",_自动清单!$G$19=""),"",SUMIFS(包装物料出入库明细!$J$4:$J$2003,包装物料出入库明细!$D$4:$D$2003,$B58,包装物料出入库明细!$E$4:$E$2003,_自动清单!$G$19,包装物料出入库明细!$B$4:$B$2003,"&gt;="&amp;$AF$1,包装物料出入库明细!$B$4:$B$2003,"&lt;="&amp;$AF$2))</f>
        <v/>
      </c>
      <c r="S58" s="25" t="str">
        <f>IF(OR($B58="",_自动清单!$G$20=""),"",SUMIFS(包装物料出入库明细!$J$4:$J$2003,包装物料出入库明细!$D$4:$D$2003,$B58,包装物料出入库明细!$E$4:$E$2003,_自动清单!$G$20,包装物料出入库明细!$B$4:$B$2003,"&gt;="&amp;$AF$1,包装物料出入库明细!$B$4:$B$2003,"&lt;="&amp;$AF$2))</f>
        <v/>
      </c>
      <c r="T58" s="25" t="str">
        <f>IF(OR($B58="",_自动清单!$G$21=""),"",SUMIFS(包装物料出入库明细!$J$4:$J$2003,包装物料出入库明细!$D$4:$D$2003,$B58,包装物料出入库明细!$E$4:$E$2003,_自动清单!$G$21,包装物料出入库明细!$B$4:$B$2003,"&gt;="&amp;$AF$1,包装物料出入库明细!$B$4:$B$2003,"&lt;="&amp;$AF$2))</f>
        <v/>
      </c>
      <c r="U58" s="25" t="str">
        <f>IF($B58="","",SUMIFS(包装物料出入库明细!$J$4:$J$2003,包装物料出入库明细!$D$4:$D$2003,$B58,包装物料出入库明细!$B$4:$B$2003,"&gt;="&amp;$AF$1,包装物料出入库明细!$B$4:$B$2003,"&lt;="&amp;$AF$2)-SUM($C58:$T58))</f>
        <v/>
      </c>
      <c r="V58" s="25" t="str">
        <f t="shared" si="1"/>
        <v/>
      </c>
      <c r="W58" s="56" t="str">
        <f>IF($B58="","",SUMIFS(包装物料出入库明细!$K$4:$K$2003,包装物料出入库明细!$D$4:$D$2003,$B58,包装物料出入库明细!$B$4:$B$2003,"&gt;="&amp;$AF$1,包装物料出入库明细!$B$4:$B$2003,"&lt;="&amp;$AF$2))</f>
        <v/>
      </c>
      <c r="X58" s="25" t="str">
        <f t="shared" si="2"/>
        <v/>
      </c>
      <c r="Y58" s="26" t="str">
        <f>IF($B58="","",ROUND(SUMIFS(包装物料出入库明细!$N$4:$N$2003,包装物料出入库明细!$D$4:$D$2003,$B58,包装物料出入库明细!$H$4:$H$2003,"销售出库",包装物料出入库明细!$B$4:$B$2003,"&gt;="&amp;$AF$1,包装物料出入库明细!$B$4:$B$2003,"&lt;="&amp;$AF$2),2))</f>
        <v/>
      </c>
      <c r="Z58" s="26" t="str">
        <f>IF($B58="","",ROUND(SUMIFS(包装物料出入库明细!$N$4:$N$2003,包装物料出入库明细!$D$4:$D$2003,$B58,包装物料出入库明细!$H$4:$H$2003,"销售出库",包装物料出入库明细!$P$4:$P$2003,"已收讫",包装物料出入库明细!$B$4:$B$2003,"&gt;="&amp;$AF$1,包装物料出入库明细!$B$4:$B$2003,"&lt;="&amp;$AF$2),2))</f>
        <v/>
      </c>
      <c r="AA58" s="26" t="str">
        <f t="shared" si="3"/>
        <v/>
      </c>
      <c r="AB58" s="41"/>
    </row>
    <row r="59" spans="1:28">
      <c r="A59" s="24" t="str">
        <f t="shared" si="0"/>
        <v/>
      </c>
      <c r="B59" s="24" t="str">
        <f>IFERROR(INDEX(_自动清单!$O$4:$O$203,ROW()-3),"")</f>
        <v/>
      </c>
      <c r="C59" s="25" t="str">
        <f>IF(OR($B59="",_自动清单!$G$4=""),"",SUMIFS(包装物料出入库明细!$J$4:$J$2003,包装物料出入库明细!$D$4:$D$2003,$B59,包装物料出入库明细!$E$4:$E$2003,_自动清单!$G$4,包装物料出入库明细!$B$4:$B$2003,"&gt;="&amp;$AF$1,包装物料出入库明细!$B$4:$B$2003,"&lt;="&amp;$AF$2))</f>
        <v/>
      </c>
      <c r="D59" s="25" t="str">
        <f>IF(OR($B59="",_自动清单!$G$5=""),"",SUMIFS(包装物料出入库明细!$J$4:$J$2003,包装物料出入库明细!$D$4:$D$2003,$B59,包装物料出入库明细!$E$4:$E$2003,_自动清单!$G$5,包装物料出入库明细!$B$4:$B$2003,"&gt;="&amp;$AF$1,包装物料出入库明细!$B$4:$B$2003,"&lt;="&amp;$AF$2))</f>
        <v/>
      </c>
      <c r="E59" s="25" t="str">
        <f>IF(OR($B59="",_自动清单!$G$6=""),"",SUMIFS(包装物料出入库明细!$J$4:$J$2003,包装物料出入库明细!$D$4:$D$2003,$B59,包装物料出入库明细!$E$4:$E$2003,_自动清单!$G$6,包装物料出入库明细!$B$4:$B$2003,"&gt;="&amp;$AF$1,包装物料出入库明细!$B$4:$B$2003,"&lt;="&amp;$AF$2))</f>
        <v/>
      </c>
      <c r="F59" s="25" t="str">
        <f>IF(OR($B59="",_自动清单!$G$7=""),"",SUMIFS(包装物料出入库明细!$J$4:$J$2003,包装物料出入库明细!$D$4:$D$2003,$B59,包装物料出入库明细!$E$4:$E$2003,_自动清单!$G$7,包装物料出入库明细!$B$4:$B$2003,"&gt;="&amp;$AF$1,包装物料出入库明细!$B$4:$B$2003,"&lt;="&amp;$AF$2))</f>
        <v/>
      </c>
      <c r="G59" s="25" t="str">
        <f>IF(OR($B59="",_自动清单!$G$8=""),"",SUMIFS(包装物料出入库明细!$J$4:$J$2003,包装物料出入库明细!$D$4:$D$2003,$B59,包装物料出入库明细!$E$4:$E$2003,_自动清单!$G$8,包装物料出入库明细!$B$4:$B$2003,"&gt;="&amp;$AF$1,包装物料出入库明细!$B$4:$B$2003,"&lt;="&amp;$AF$2))</f>
        <v/>
      </c>
      <c r="H59" s="25" t="str">
        <f>IF(OR($B59="",_自动清单!$G$9=""),"",SUMIFS(包装物料出入库明细!$J$4:$J$2003,包装物料出入库明细!$D$4:$D$2003,$B59,包装物料出入库明细!$E$4:$E$2003,_自动清单!$G$9,包装物料出入库明细!$B$4:$B$2003,"&gt;="&amp;$AF$1,包装物料出入库明细!$B$4:$B$2003,"&lt;="&amp;$AF$2))</f>
        <v/>
      </c>
      <c r="I59" s="25" t="str">
        <f>IF(OR($B59="",_自动清单!$G$10=""),"",SUMIFS(包装物料出入库明细!$J$4:$J$2003,包装物料出入库明细!$D$4:$D$2003,$B59,包装物料出入库明细!$E$4:$E$2003,_自动清单!$G$10,包装物料出入库明细!$B$4:$B$2003,"&gt;="&amp;$AF$1,包装物料出入库明细!$B$4:$B$2003,"&lt;="&amp;$AF$2))</f>
        <v/>
      </c>
      <c r="J59" s="25" t="str">
        <f>IF(OR($B59="",_自动清单!$G$11=""),"",SUMIFS(包装物料出入库明细!$J$4:$J$2003,包装物料出入库明细!$D$4:$D$2003,$B59,包装物料出入库明细!$E$4:$E$2003,_自动清单!$G$11,包装物料出入库明细!$B$4:$B$2003,"&gt;="&amp;$AF$1,包装物料出入库明细!$B$4:$B$2003,"&lt;="&amp;$AF$2))</f>
        <v/>
      </c>
      <c r="K59" s="25" t="str">
        <f>IF(OR($B59="",_自动清单!$G$12=""),"",SUMIFS(包装物料出入库明细!$J$4:$J$2003,包装物料出入库明细!$D$4:$D$2003,$B59,包装物料出入库明细!$E$4:$E$2003,_自动清单!$G$12,包装物料出入库明细!$B$4:$B$2003,"&gt;="&amp;$AF$1,包装物料出入库明细!$B$4:$B$2003,"&lt;="&amp;$AF$2))</f>
        <v/>
      </c>
      <c r="L59" s="25" t="str">
        <f>IF(OR($B59="",_自动清单!$G$13=""),"",SUMIFS(包装物料出入库明细!$J$4:$J$2003,包装物料出入库明细!$D$4:$D$2003,$B59,包装物料出入库明细!$E$4:$E$2003,_自动清单!$G$13,包装物料出入库明细!$B$4:$B$2003,"&gt;="&amp;$AF$1,包装物料出入库明细!$B$4:$B$2003,"&lt;="&amp;$AF$2))</f>
        <v/>
      </c>
      <c r="M59" s="25" t="str">
        <f>IF(OR($B59="",_自动清单!$G$14=""),"",SUMIFS(包装物料出入库明细!$J$4:$J$2003,包装物料出入库明细!$D$4:$D$2003,$B59,包装物料出入库明细!$E$4:$E$2003,_自动清单!$G$14,包装物料出入库明细!$B$4:$B$2003,"&gt;="&amp;$AF$1,包装物料出入库明细!$B$4:$B$2003,"&lt;="&amp;$AF$2))</f>
        <v/>
      </c>
      <c r="N59" s="25" t="str">
        <f>IF(OR($B59="",_自动清单!$G$15=""),"",SUMIFS(包装物料出入库明细!$J$4:$J$2003,包装物料出入库明细!$D$4:$D$2003,$B59,包装物料出入库明细!$E$4:$E$2003,_自动清单!$G$15,包装物料出入库明细!$B$4:$B$2003,"&gt;="&amp;$AF$1,包装物料出入库明细!$B$4:$B$2003,"&lt;="&amp;$AF$2))</f>
        <v/>
      </c>
      <c r="O59" s="25" t="str">
        <f>IF(OR($B59="",_自动清单!$G$16=""),"",SUMIFS(包装物料出入库明细!$J$4:$J$2003,包装物料出入库明细!$D$4:$D$2003,$B59,包装物料出入库明细!$E$4:$E$2003,_自动清单!$G$16,包装物料出入库明细!$B$4:$B$2003,"&gt;="&amp;$AF$1,包装物料出入库明细!$B$4:$B$2003,"&lt;="&amp;$AF$2))</f>
        <v/>
      </c>
      <c r="P59" s="25" t="str">
        <f>IF(OR($B59="",_自动清单!$G$17=""),"",SUMIFS(包装物料出入库明细!$J$4:$J$2003,包装物料出入库明细!$D$4:$D$2003,$B59,包装物料出入库明细!$E$4:$E$2003,_自动清单!$G$17,包装物料出入库明细!$B$4:$B$2003,"&gt;="&amp;$AF$1,包装物料出入库明细!$B$4:$B$2003,"&lt;="&amp;$AF$2))</f>
        <v/>
      </c>
      <c r="Q59" s="25" t="str">
        <f>IF(OR($B59="",_自动清单!$G$18=""),"",SUMIFS(包装物料出入库明细!$J$4:$J$2003,包装物料出入库明细!$D$4:$D$2003,$B59,包装物料出入库明细!$E$4:$E$2003,_自动清单!$G$18,包装物料出入库明细!$B$4:$B$2003,"&gt;="&amp;$AF$1,包装物料出入库明细!$B$4:$B$2003,"&lt;="&amp;$AF$2))</f>
        <v/>
      </c>
      <c r="R59" s="25" t="str">
        <f>IF(OR($B59="",_自动清单!$G$19=""),"",SUMIFS(包装物料出入库明细!$J$4:$J$2003,包装物料出入库明细!$D$4:$D$2003,$B59,包装物料出入库明细!$E$4:$E$2003,_自动清单!$G$19,包装物料出入库明细!$B$4:$B$2003,"&gt;="&amp;$AF$1,包装物料出入库明细!$B$4:$B$2003,"&lt;="&amp;$AF$2))</f>
        <v/>
      </c>
      <c r="S59" s="25" t="str">
        <f>IF(OR($B59="",_自动清单!$G$20=""),"",SUMIFS(包装物料出入库明细!$J$4:$J$2003,包装物料出入库明细!$D$4:$D$2003,$B59,包装物料出入库明细!$E$4:$E$2003,_自动清单!$G$20,包装物料出入库明细!$B$4:$B$2003,"&gt;="&amp;$AF$1,包装物料出入库明细!$B$4:$B$2003,"&lt;="&amp;$AF$2))</f>
        <v/>
      </c>
      <c r="T59" s="25" t="str">
        <f>IF(OR($B59="",_自动清单!$G$21=""),"",SUMIFS(包装物料出入库明细!$J$4:$J$2003,包装物料出入库明细!$D$4:$D$2003,$B59,包装物料出入库明细!$E$4:$E$2003,_自动清单!$G$21,包装物料出入库明细!$B$4:$B$2003,"&gt;="&amp;$AF$1,包装物料出入库明细!$B$4:$B$2003,"&lt;="&amp;$AF$2))</f>
        <v/>
      </c>
      <c r="U59" s="25" t="str">
        <f>IF($B59="","",SUMIFS(包装物料出入库明细!$J$4:$J$2003,包装物料出入库明细!$D$4:$D$2003,$B59,包装物料出入库明细!$B$4:$B$2003,"&gt;="&amp;$AF$1,包装物料出入库明细!$B$4:$B$2003,"&lt;="&amp;$AF$2)-SUM($C59:$T59))</f>
        <v/>
      </c>
      <c r="V59" s="25" t="str">
        <f t="shared" si="1"/>
        <v/>
      </c>
      <c r="W59" s="56" t="str">
        <f>IF($B59="","",SUMIFS(包装物料出入库明细!$K$4:$K$2003,包装物料出入库明细!$D$4:$D$2003,$B59,包装物料出入库明细!$B$4:$B$2003,"&gt;="&amp;$AF$1,包装物料出入库明细!$B$4:$B$2003,"&lt;="&amp;$AF$2))</f>
        <v/>
      </c>
      <c r="X59" s="25" t="str">
        <f t="shared" si="2"/>
        <v/>
      </c>
      <c r="Y59" s="26" t="str">
        <f>IF($B59="","",ROUND(SUMIFS(包装物料出入库明细!$N$4:$N$2003,包装物料出入库明细!$D$4:$D$2003,$B59,包装物料出入库明细!$H$4:$H$2003,"销售出库",包装物料出入库明细!$B$4:$B$2003,"&gt;="&amp;$AF$1,包装物料出入库明细!$B$4:$B$2003,"&lt;="&amp;$AF$2),2))</f>
        <v/>
      </c>
      <c r="Z59" s="26" t="str">
        <f>IF($B59="","",ROUND(SUMIFS(包装物料出入库明细!$N$4:$N$2003,包装物料出入库明细!$D$4:$D$2003,$B59,包装物料出入库明细!$H$4:$H$2003,"销售出库",包装物料出入库明细!$P$4:$P$2003,"已收讫",包装物料出入库明细!$B$4:$B$2003,"&gt;="&amp;$AF$1,包装物料出入库明细!$B$4:$B$2003,"&lt;="&amp;$AF$2),2))</f>
        <v/>
      </c>
      <c r="AA59" s="26" t="str">
        <f t="shared" si="3"/>
        <v/>
      </c>
      <c r="AB59" s="41"/>
    </row>
    <row r="60" spans="1:28">
      <c r="A60" s="24" t="str">
        <f t="shared" si="0"/>
        <v/>
      </c>
      <c r="B60" s="24" t="str">
        <f>IFERROR(INDEX(_自动清单!$O$4:$O$203,ROW()-3),"")</f>
        <v/>
      </c>
      <c r="C60" s="25" t="str">
        <f>IF(OR($B60="",_自动清单!$G$4=""),"",SUMIFS(包装物料出入库明细!$J$4:$J$2003,包装物料出入库明细!$D$4:$D$2003,$B60,包装物料出入库明细!$E$4:$E$2003,_自动清单!$G$4,包装物料出入库明细!$B$4:$B$2003,"&gt;="&amp;$AF$1,包装物料出入库明细!$B$4:$B$2003,"&lt;="&amp;$AF$2))</f>
        <v/>
      </c>
      <c r="D60" s="25" t="str">
        <f>IF(OR($B60="",_自动清单!$G$5=""),"",SUMIFS(包装物料出入库明细!$J$4:$J$2003,包装物料出入库明细!$D$4:$D$2003,$B60,包装物料出入库明细!$E$4:$E$2003,_自动清单!$G$5,包装物料出入库明细!$B$4:$B$2003,"&gt;="&amp;$AF$1,包装物料出入库明细!$B$4:$B$2003,"&lt;="&amp;$AF$2))</f>
        <v/>
      </c>
      <c r="E60" s="25" t="str">
        <f>IF(OR($B60="",_自动清单!$G$6=""),"",SUMIFS(包装物料出入库明细!$J$4:$J$2003,包装物料出入库明细!$D$4:$D$2003,$B60,包装物料出入库明细!$E$4:$E$2003,_自动清单!$G$6,包装物料出入库明细!$B$4:$B$2003,"&gt;="&amp;$AF$1,包装物料出入库明细!$B$4:$B$2003,"&lt;="&amp;$AF$2))</f>
        <v/>
      </c>
      <c r="F60" s="25" t="str">
        <f>IF(OR($B60="",_自动清单!$G$7=""),"",SUMIFS(包装物料出入库明细!$J$4:$J$2003,包装物料出入库明细!$D$4:$D$2003,$B60,包装物料出入库明细!$E$4:$E$2003,_自动清单!$G$7,包装物料出入库明细!$B$4:$B$2003,"&gt;="&amp;$AF$1,包装物料出入库明细!$B$4:$B$2003,"&lt;="&amp;$AF$2))</f>
        <v/>
      </c>
      <c r="G60" s="25" t="str">
        <f>IF(OR($B60="",_自动清单!$G$8=""),"",SUMIFS(包装物料出入库明细!$J$4:$J$2003,包装物料出入库明细!$D$4:$D$2003,$B60,包装物料出入库明细!$E$4:$E$2003,_自动清单!$G$8,包装物料出入库明细!$B$4:$B$2003,"&gt;="&amp;$AF$1,包装物料出入库明细!$B$4:$B$2003,"&lt;="&amp;$AF$2))</f>
        <v/>
      </c>
      <c r="H60" s="25" t="str">
        <f>IF(OR($B60="",_自动清单!$G$9=""),"",SUMIFS(包装物料出入库明细!$J$4:$J$2003,包装物料出入库明细!$D$4:$D$2003,$B60,包装物料出入库明细!$E$4:$E$2003,_自动清单!$G$9,包装物料出入库明细!$B$4:$B$2003,"&gt;="&amp;$AF$1,包装物料出入库明细!$B$4:$B$2003,"&lt;="&amp;$AF$2))</f>
        <v/>
      </c>
      <c r="I60" s="25" t="str">
        <f>IF(OR($B60="",_自动清单!$G$10=""),"",SUMIFS(包装物料出入库明细!$J$4:$J$2003,包装物料出入库明细!$D$4:$D$2003,$B60,包装物料出入库明细!$E$4:$E$2003,_自动清单!$G$10,包装物料出入库明细!$B$4:$B$2003,"&gt;="&amp;$AF$1,包装物料出入库明细!$B$4:$B$2003,"&lt;="&amp;$AF$2))</f>
        <v/>
      </c>
      <c r="J60" s="25" t="str">
        <f>IF(OR($B60="",_自动清单!$G$11=""),"",SUMIFS(包装物料出入库明细!$J$4:$J$2003,包装物料出入库明细!$D$4:$D$2003,$B60,包装物料出入库明细!$E$4:$E$2003,_自动清单!$G$11,包装物料出入库明细!$B$4:$B$2003,"&gt;="&amp;$AF$1,包装物料出入库明细!$B$4:$B$2003,"&lt;="&amp;$AF$2))</f>
        <v/>
      </c>
      <c r="K60" s="25" t="str">
        <f>IF(OR($B60="",_自动清单!$G$12=""),"",SUMIFS(包装物料出入库明细!$J$4:$J$2003,包装物料出入库明细!$D$4:$D$2003,$B60,包装物料出入库明细!$E$4:$E$2003,_自动清单!$G$12,包装物料出入库明细!$B$4:$B$2003,"&gt;="&amp;$AF$1,包装物料出入库明细!$B$4:$B$2003,"&lt;="&amp;$AF$2))</f>
        <v/>
      </c>
      <c r="L60" s="25" t="str">
        <f>IF(OR($B60="",_自动清单!$G$13=""),"",SUMIFS(包装物料出入库明细!$J$4:$J$2003,包装物料出入库明细!$D$4:$D$2003,$B60,包装物料出入库明细!$E$4:$E$2003,_自动清单!$G$13,包装物料出入库明细!$B$4:$B$2003,"&gt;="&amp;$AF$1,包装物料出入库明细!$B$4:$B$2003,"&lt;="&amp;$AF$2))</f>
        <v/>
      </c>
      <c r="M60" s="25" t="str">
        <f>IF(OR($B60="",_自动清单!$G$14=""),"",SUMIFS(包装物料出入库明细!$J$4:$J$2003,包装物料出入库明细!$D$4:$D$2003,$B60,包装物料出入库明细!$E$4:$E$2003,_自动清单!$G$14,包装物料出入库明细!$B$4:$B$2003,"&gt;="&amp;$AF$1,包装物料出入库明细!$B$4:$B$2003,"&lt;="&amp;$AF$2))</f>
        <v/>
      </c>
      <c r="N60" s="25" t="str">
        <f>IF(OR($B60="",_自动清单!$G$15=""),"",SUMIFS(包装物料出入库明细!$J$4:$J$2003,包装物料出入库明细!$D$4:$D$2003,$B60,包装物料出入库明细!$E$4:$E$2003,_自动清单!$G$15,包装物料出入库明细!$B$4:$B$2003,"&gt;="&amp;$AF$1,包装物料出入库明细!$B$4:$B$2003,"&lt;="&amp;$AF$2))</f>
        <v/>
      </c>
      <c r="O60" s="25" t="str">
        <f>IF(OR($B60="",_自动清单!$G$16=""),"",SUMIFS(包装物料出入库明细!$J$4:$J$2003,包装物料出入库明细!$D$4:$D$2003,$B60,包装物料出入库明细!$E$4:$E$2003,_自动清单!$G$16,包装物料出入库明细!$B$4:$B$2003,"&gt;="&amp;$AF$1,包装物料出入库明细!$B$4:$B$2003,"&lt;="&amp;$AF$2))</f>
        <v/>
      </c>
      <c r="P60" s="25" t="str">
        <f>IF(OR($B60="",_自动清单!$G$17=""),"",SUMIFS(包装物料出入库明细!$J$4:$J$2003,包装物料出入库明细!$D$4:$D$2003,$B60,包装物料出入库明细!$E$4:$E$2003,_自动清单!$G$17,包装物料出入库明细!$B$4:$B$2003,"&gt;="&amp;$AF$1,包装物料出入库明细!$B$4:$B$2003,"&lt;="&amp;$AF$2))</f>
        <v/>
      </c>
      <c r="Q60" s="25" t="str">
        <f>IF(OR($B60="",_自动清单!$G$18=""),"",SUMIFS(包装物料出入库明细!$J$4:$J$2003,包装物料出入库明细!$D$4:$D$2003,$B60,包装物料出入库明细!$E$4:$E$2003,_自动清单!$G$18,包装物料出入库明细!$B$4:$B$2003,"&gt;="&amp;$AF$1,包装物料出入库明细!$B$4:$B$2003,"&lt;="&amp;$AF$2))</f>
        <v/>
      </c>
      <c r="R60" s="25" t="str">
        <f>IF(OR($B60="",_自动清单!$G$19=""),"",SUMIFS(包装物料出入库明细!$J$4:$J$2003,包装物料出入库明细!$D$4:$D$2003,$B60,包装物料出入库明细!$E$4:$E$2003,_自动清单!$G$19,包装物料出入库明细!$B$4:$B$2003,"&gt;="&amp;$AF$1,包装物料出入库明细!$B$4:$B$2003,"&lt;="&amp;$AF$2))</f>
        <v/>
      </c>
      <c r="S60" s="25" t="str">
        <f>IF(OR($B60="",_自动清单!$G$20=""),"",SUMIFS(包装物料出入库明细!$J$4:$J$2003,包装物料出入库明细!$D$4:$D$2003,$B60,包装物料出入库明细!$E$4:$E$2003,_自动清单!$G$20,包装物料出入库明细!$B$4:$B$2003,"&gt;="&amp;$AF$1,包装物料出入库明细!$B$4:$B$2003,"&lt;="&amp;$AF$2))</f>
        <v/>
      </c>
      <c r="T60" s="25" t="str">
        <f>IF(OR($B60="",_自动清单!$G$21=""),"",SUMIFS(包装物料出入库明细!$J$4:$J$2003,包装物料出入库明细!$D$4:$D$2003,$B60,包装物料出入库明细!$E$4:$E$2003,_自动清单!$G$21,包装物料出入库明细!$B$4:$B$2003,"&gt;="&amp;$AF$1,包装物料出入库明细!$B$4:$B$2003,"&lt;="&amp;$AF$2))</f>
        <v/>
      </c>
      <c r="U60" s="25" t="str">
        <f>IF($B60="","",SUMIFS(包装物料出入库明细!$J$4:$J$2003,包装物料出入库明细!$D$4:$D$2003,$B60,包装物料出入库明细!$B$4:$B$2003,"&gt;="&amp;$AF$1,包装物料出入库明细!$B$4:$B$2003,"&lt;="&amp;$AF$2)-SUM($C60:$T60))</f>
        <v/>
      </c>
      <c r="V60" s="25" t="str">
        <f t="shared" si="1"/>
        <v/>
      </c>
      <c r="W60" s="56" t="str">
        <f>IF($B60="","",SUMIFS(包装物料出入库明细!$K$4:$K$2003,包装物料出入库明细!$D$4:$D$2003,$B60,包装物料出入库明细!$B$4:$B$2003,"&gt;="&amp;$AF$1,包装物料出入库明细!$B$4:$B$2003,"&lt;="&amp;$AF$2))</f>
        <v/>
      </c>
      <c r="X60" s="25" t="str">
        <f t="shared" si="2"/>
        <v/>
      </c>
      <c r="Y60" s="26" t="str">
        <f>IF($B60="","",ROUND(SUMIFS(包装物料出入库明细!$N$4:$N$2003,包装物料出入库明细!$D$4:$D$2003,$B60,包装物料出入库明细!$H$4:$H$2003,"销售出库",包装物料出入库明细!$B$4:$B$2003,"&gt;="&amp;$AF$1,包装物料出入库明细!$B$4:$B$2003,"&lt;="&amp;$AF$2),2))</f>
        <v/>
      </c>
      <c r="Z60" s="26" t="str">
        <f>IF($B60="","",ROUND(SUMIFS(包装物料出入库明细!$N$4:$N$2003,包装物料出入库明细!$D$4:$D$2003,$B60,包装物料出入库明细!$H$4:$H$2003,"销售出库",包装物料出入库明细!$P$4:$P$2003,"已收讫",包装物料出入库明细!$B$4:$B$2003,"&gt;="&amp;$AF$1,包装物料出入库明细!$B$4:$B$2003,"&lt;="&amp;$AF$2),2))</f>
        <v/>
      </c>
      <c r="AA60" s="26" t="str">
        <f t="shared" si="3"/>
        <v/>
      </c>
      <c r="AB60" s="41"/>
    </row>
    <row r="61" spans="1:28">
      <c r="A61" s="24" t="str">
        <f t="shared" si="0"/>
        <v/>
      </c>
      <c r="B61" s="24" t="str">
        <f>IFERROR(INDEX(_自动清单!$O$4:$O$203,ROW()-3),"")</f>
        <v/>
      </c>
      <c r="C61" s="25" t="str">
        <f>IF(OR($B61="",_自动清单!$G$4=""),"",SUMIFS(包装物料出入库明细!$J$4:$J$2003,包装物料出入库明细!$D$4:$D$2003,$B61,包装物料出入库明细!$E$4:$E$2003,_自动清单!$G$4,包装物料出入库明细!$B$4:$B$2003,"&gt;="&amp;$AF$1,包装物料出入库明细!$B$4:$B$2003,"&lt;="&amp;$AF$2))</f>
        <v/>
      </c>
      <c r="D61" s="25" t="str">
        <f>IF(OR($B61="",_自动清单!$G$5=""),"",SUMIFS(包装物料出入库明细!$J$4:$J$2003,包装物料出入库明细!$D$4:$D$2003,$B61,包装物料出入库明细!$E$4:$E$2003,_自动清单!$G$5,包装物料出入库明细!$B$4:$B$2003,"&gt;="&amp;$AF$1,包装物料出入库明细!$B$4:$B$2003,"&lt;="&amp;$AF$2))</f>
        <v/>
      </c>
      <c r="E61" s="25" t="str">
        <f>IF(OR($B61="",_自动清单!$G$6=""),"",SUMIFS(包装物料出入库明细!$J$4:$J$2003,包装物料出入库明细!$D$4:$D$2003,$B61,包装物料出入库明细!$E$4:$E$2003,_自动清单!$G$6,包装物料出入库明细!$B$4:$B$2003,"&gt;="&amp;$AF$1,包装物料出入库明细!$B$4:$B$2003,"&lt;="&amp;$AF$2))</f>
        <v/>
      </c>
      <c r="F61" s="25" t="str">
        <f>IF(OR($B61="",_自动清单!$G$7=""),"",SUMIFS(包装物料出入库明细!$J$4:$J$2003,包装物料出入库明细!$D$4:$D$2003,$B61,包装物料出入库明细!$E$4:$E$2003,_自动清单!$G$7,包装物料出入库明细!$B$4:$B$2003,"&gt;="&amp;$AF$1,包装物料出入库明细!$B$4:$B$2003,"&lt;="&amp;$AF$2))</f>
        <v/>
      </c>
      <c r="G61" s="25" t="str">
        <f>IF(OR($B61="",_自动清单!$G$8=""),"",SUMIFS(包装物料出入库明细!$J$4:$J$2003,包装物料出入库明细!$D$4:$D$2003,$B61,包装物料出入库明细!$E$4:$E$2003,_自动清单!$G$8,包装物料出入库明细!$B$4:$B$2003,"&gt;="&amp;$AF$1,包装物料出入库明细!$B$4:$B$2003,"&lt;="&amp;$AF$2))</f>
        <v/>
      </c>
      <c r="H61" s="25" t="str">
        <f>IF(OR($B61="",_自动清单!$G$9=""),"",SUMIFS(包装物料出入库明细!$J$4:$J$2003,包装物料出入库明细!$D$4:$D$2003,$B61,包装物料出入库明细!$E$4:$E$2003,_自动清单!$G$9,包装物料出入库明细!$B$4:$B$2003,"&gt;="&amp;$AF$1,包装物料出入库明细!$B$4:$B$2003,"&lt;="&amp;$AF$2))</f>
        <v/>
      </c>
      <c r="I61" s="25" t="str">
        <f>IF(OR($B61="",_自动清单!$G$10=""),"",SUMIFS(包装物料出入库明细!$J$4:$J$2003,包装物料出入库明细!$D$4:$D$2003,$B61,包装物料出入库明细!$E$4:$E$2003,_自动清单!$G$10,包装物料出入库明细!$B$4:$B$2003,"&gt;="&amp;$AF$1,包装物料出入库明细!$B$4:$B$2003,"&lt;="&amp;$AF$2))</f>
        <v/>
      </c>
      <c r="J61" s="25" t="str">
        <f>IF(OR($B61="",_自动清单!$G$11=""),"",SUMIFS(包装物料出入库明细!$J$4:$J$2003,包装物料出入库明细!$D$4:$D$2003,$B61,包装物料出入库明细!$E$4:$E$2003,_自动清单!$G$11,包装物料出入库明细!$B$4:$B$2003,"&gt;="&amp;$AF$1,包装物料出入库明细!$B$4:$B$2003,"&lt;="&amp;$AF$2))</f>
        <v/>
      </c>
      <c r="K61" s="25" t="str">
        <f>IF(OR($B61="",_自动清单!$G$12=""),"",SUMIFS(包装物料出入库明细!$J$4:$J$2003,包装物料出入库明细!$D$4:$D$2003,$B61,包装物料出入库明细!$E$4:$E$2003,_自动清单!$G$12,包装物料出入库明细!$B$4:$B$2003,"&gt;="&amp;$AF$1,包装物料出入库明细!$B$4:$B$2003,"&lt;="&amp;$AF$2))</f>
        <v/>
      </c>
      <c r="L61" s="25" t="str">
        <f>IF(OR($B61="",_自动清单!$G$13=""),"",SUMIFS(包装物料出入库明细!$J$4:$J$2003,包装物料出入库明细!$D$4:$D$2003,$B61,包装物料出入库明细!$E$4:$E$2003,_自动清单!$G$13,包装物料出入库明细!$B$4:$B$2003,"&gt;="&amp;$AF$1,包装物料出入库明细!$B$4:$B$2003,"&lt;="&amp;$AF$2))</f>
        <v/>
      </c>
      <c r="M61" s="25" t="str">
        <f>IF(OR($B61="",_自动清单!$G$14=""),"",SUMIFS(包装物料出入库明细!$J$4:$J$2003,包装物料出入库明细!$D$4:$D$2003,$B61,包装物料出入库明细!$E$4:$E$2003,_自动清单!$G$14,包装物料出入库明细!$B$4:$B$2003,"&gt;="&amp;$AF$1,包装物料出入库明细!$B$4:$B$2003,"&lt;="&amp;$AF$2))</f>
        <v/>
      </c>
      <c r="N61" s="25" t="str">
        <f>IF(OR($B61="",_自动清单!$G$15=""),"",SUMIFS(包装物料出入库明细!$J$4:$J$2003,包装物料出入库明细!$D$4:$D$2003,$B61,包装物料出入库明细!$E$4:$E$2003,_自动清单!$G$15,包装物料出入库明细!$B$4:$B$2003,"&gt;="&amp;$AF$1,包装物料出入库明细!$B$4:$B$2003,"&lt;="&amp;$AF$2))</f>
        <v/>
      </c>
      <c r="O61" s="25" t="str">
        <f>IF(OR($B61="",_自动清单!$G$16=""),"",SUMIFS(包装物料出入库明细!$J$4:$J$2003,包装物料出入库明细!$D$4:$D$2003,$B61,包装物料出入库明细!$E$4:$E$2003,_自动清单!$G$16,包装物料出入库明细!$B$4:$B$2003,"&gt;="&amp;$AF$1,包装物料出入库明细!$B$4:$B$2003,"&lt;="&amp;$AF$2))</f>
        <v/>
      </c>
      <c r="P61" s="25" t="str">
        <f>IF(OR($B61="",_自动清单!$G$17=""),"",SUMIFS(包装物料出入库明细!$J$4:$J$2003,包装物料出入库明细!$D$4:$D$2003,$B61,包装物料出入库明细!$E$4:$E$2003,_自动清单!$G$17,包装物料出入库明细!$B$4:$B$2003,"&gt;="&amp;$AF$1,包装物料出入库明细!$B$4:$B$2003,"&lt;="&amp;$AF$2))</f>
        <v/>
      </c>
      <c r="Q61" s="25" t="str">
        <f>IF(OR($B61="",_自动清单!$G$18=""),"",SUMIFS(包装物料出入库明细!$J$4:$J$2003,包装物料出入库明细!$D$4:$D$2003,$B61,包装物料出入库明细!$E$4:$E$2003,_自动清单!$G$18,包装物料出入库明细!$B$4:$B$2003,"&gt;="&amp;$AF$1,包装物料出入库明细!$B$4:$B$2003,"&lt;="&amp;$AF$2))</f>
        <v/>
      </c>
      <c r="R61" s="25" t="str">
        <f>IF(OR($B61="",_自动清单!$G$19=""),"",SUMIFS(包装物料出入库明细!$J$4:$J$2003,包装物料出入库明细!$D$4:$D$2003,$B61,包装物料出入库明细!$E$4:$E$2003,_自动清单!$G$19,包装物料出入库明细!$B$4:$B$2003,"&gt;="&amp;$AF$1,包装物料出入库明细!$B$4:$B$2003,"&lt;="&amp;$AF$2))</f>
        <v/>
      </c>
      <c r="S61" s="25" t="str">
        <f>IF(OR($B61="",_自动清单!$G$20=""),"",SUMIFS(包装物料出入库明细!$J$4:$J$2003,包装物料出入库明细!$D$4:$D$2003,$B61,包装物料出入库明细!$E$4:$E$2003,_自动清单!$G$20,包装物料出入库明细!$B$4:$B$2003,"&gt;="&amp;$AF$1,包装物料出入库明细!$B$4:$B$2003,"&lt;="&amp;$AF$2))</f>
        <v/>
      </c>
      <c r="T61" s="25" t="str">
        <f>IF(OR($B61="",_自动清单!$G$21=""),"",SUMIFS(包装物料出入库明细!$J$4:$J$2003,包装物料出入库明细!$D$4:$D$2003,$B61,包装物料出入库明细!$E$4:$E$2003,_自动清单!$G$21,包装物料出入库明细!$B$4:$B$2003,"&gt;="&amp;$AF$1,包装物料出入库明细!$B$4:$B$2003,"&lt;="&amp;$AF$2))</f>
        <v/>
      </c>
      <c r="U61" s="25" t="str">
        <f>IF($B61="","",SUMIFS(包装物料出入库明细!$J$4:$J$2003,包装物料出入库明细!$D$4:$D$2003,$B61,包装物料出入库明细!$B$4:$B$2003,"&gt;="&amp;$AF$1,包装物料出入库明细!$B$4:$B$2003,"&lt;="&amp;$AF$2)-SUM($C61:$T61))</f>
        <v/>
      </c>
      <c r="V61" s="25" t="str">
        <f t="shared" si="1"/>
        <v/>
      </c>
      <c r="W61" s="56" t="str">
        <f>IF($B61="","",SUMIFS(包装物料出入库明细!$K$4:$K$2003,包装物料出入库明细!$D$4:$D$2003,$B61,包装物料出入库明细!$B$4:$B$2003,"&gt;="&amp;$AF$1,包装物料出入库明细!$B$4:$B$2003,"&lt;="&amp;$AF$2))</f>
        <v/>
      </c>
      <c r="X61" s="25" t="str">
        <f t="shared" si="2"/>
        <v/>
      </c>
      <c r="Y61" s="26" t="str">
        <f>IF($B61="","",ROUND(SUMIFS(包装物料出入库明细!$N$4:$N$2003,包装物料出入库明细!$D$4:$D$2003,$B61,包装物料出入库明细!$H$4:$H$2003,"销售出库",包装物料出入库明细!$B$4:$B$2003,"&gt;="&amp;$AF$1,包装物料出入库明细!$B$4:$B$2003,"&lt;="&amp;$AF$2),2))</f>
        <v/>
      </c>
      <c r="Z61" s="26" t="str">
        <f>IF($B61="","",ROUND(SUMIFS(包装物料出入库明细!$N$4:$N$2003,包装物料出入库明细!$D$4:$D$2003,$B61,包装物料出入库明细!$H$4:$H$2003,"销售出库",包装物料出入库明细!$P$4:$P$2003,"已收讫",包装物料出入库明细!$B$4:$B$2003,"&gt;="&amp;$AF$1,包装物料出入库明细!$B$4:$B$2003,"&lt;="&amp;$AF$2),2))</f>
        <v/>
      </c>
      <c r="AA61" s="26" t="str">
        <f t="shared" si="3"/>
        <v/>
      </c>
      <c r="AB61" s="41"/>
    </row>
    <row r="62" spans="1:28">
      <c r="A62" s="24" t="str">
        <f t="shared" si="0"/>
        <v/>
      </c>
      <c r="B62" s="24" t="str">
        <f>IFERROR(INDEX(_自动清单!$O$4:$O$203,ROW()-3),"")</f>
        <v/>
      </c>
      <c r="C62" s="25" t="str">
        <f>IF(OR($B62="",_自动清单!$G$4=""),"",SUMIFS(包装物料出入库明细!$J$4:$J$2003,包装物料出入库明细!$D$4:$D$2003,$B62,包装物料出入库明细!$E$4:$E$2003,_自动清单!$G$4,包装物料出入库明细!$B$4:$B$2003,"&gt;="&amp;$AF$1,包装物料出入库明细!$B$4:$B$2003,"&lt;="&amp;$AF$2))</f>
        <v/>
      </c>
      <c r="D62" s="25" t="str">
        <f>IF(OR($B62="",_自动清单!$G$5=""),"",SUMIFS(包装物料出入库明细!$J$4:$J$2003,包装物料出入库明细!$D$4:$D$2003,$B62,包装物料出入库明细!$E$4:$E$2003,_自动清单!$G$5,包装物料出入库明细!$B$4:$B$2003,"&gt;="&amp;$AF$1,包装物料出入库明细!$B$4:$B$2003,"&lt;="&amp;$AF$2))</f>
        <v/>
      </c>
      <c r="E62" s="25" t="str">
        <f>IF(OR($B62="",_自动清单!$G$6=""),"",SUMIFS(包装物料出入库明细!$J$4:$J$2003,包装物料出入库明细!$D$4:$D$2003,$B62,包装物料出入库明细!$E$4:$E$2003,_自动清单!$G$6,包装物料出入库明细!$B$4:$B$2003,"&gt;="&amp;$AF$1,包装物料出入库明细!$B$4:$B$2003,"&lt;="&amp;$AF$2))</f>
        <v/>
      </c>
      <c r="F62" s="25" t="str">
        <f>IF(OR($B62="",_自动清单!$G$7=""),"",SUMIFS(包装物料出入库明细!$J$4:$J$2003,包装物料出入库明细!$D$4:$D$2003,$B62,包装物料出入库明细!$E$4:$E$2003,_自动清单!$G$7,包装物料出入库明细!$B$4:$B$2003,"&gt;="&amp;$AF$1,包装物料出入库明细!$B$4:$B$2003,"&lt;="&amp;$AF$2))</f>
        <v/>
      </c>
      <c r="G62" s="25" t="str">
        <f>IF(OR($B62="",_自动清单!$G$8=""),"",SUMIFS(包装物料出入库明细!$J$4:$J$2003,包装物料出入库明细!$D$4:$D$2003,$B62,包装物料出入库明细!$E$4:$E$2003,_自动清单!$G$8,包装物料出入库明细!$B$4:$B$2003,"&gt;="&amp;$AF$1,包装物料出入库明细!$B$4:$B$2003,"&lt;="&amp;$AF$2))</f>
        <v/>
      </c>
      <c r="H62" s="25" t="str">
        <f>IF(OR($B62="",_自动清单!$G$9=""),"",SUMIFS(包装物料出入库明细!$J$4:$J$2003,包装物料出入库明细!$D$4:$D$2003,$B62,包装物料出入库明细!$E$4:$E$2003,_自动清单!$G$9,包装物料出入库明细!$B$4:$B$2003,"&gt;="&amp;$AF$1,包装物料出入库明细!$B$4:$B$2003,"&lt;="&amp;$AF$2))</f>
        <v/>
      </c>
      <c r="I62" s="25" t="str">
        <f>IF(OR($B62="",_自动清单!$G$10=""),"",SUMIFS(包装物料出入库明细!$J$4:$J$2003,包装物料出入库明细!$D$4:$D$2003,$B62,包装物料出入库明细!$E$4:$E$2003,_自动清单!$G$10,包装物料出入库明细!$B$4:$B$2003,"&gt;="&amp;$AF$1,包装物料出入库明细!$B$4:$B$2003,"&lt;="&amp;$AF$2))</f>
        <v/>
      </c>
      <c r="J62" s="25" t="str">
        <f>IF(OR($B62="",_自动清单!$G$11=""),"",SUMIFS(包装物料出入库明细!$J$4:$J$2003,包装物料出入库明细!$D$4:$D$2003,$B62,包装物料出入库明细!$E$4:$E$2003,_自动清单!$G$11,包装物料出入库明细!$B$4:$B$2003,"&gt;="&amp;$AF$1,包装物料出入库明细!$B$4:$B$2003,"&lt;="&amp;$AF$2))</f>
        <v/>
      </c>
      <c r="K62" s="25" t="str">
        <f>IF(OR($B62="",_自动清单!$G$12=""),"",SUMIFS(包装物料出入库明细!$J$4:$J$2003,包装物料出入库明细!$D$4:$D$2003,$B62,包装物料出入库明细!$E$4:$E$2003,_自动清单!$G$12,包装物料出入库明细!$B$4:$B$2003,"&gt;="&amp;$AF$1,包装物料出入库明细!$B$4:$B$2003,"&lt;="&amp;$AF$2))</f>
        <v/>
      </c>
      <c r="L62" s="25" t="str">
        <f>IF(OR($B62="",_自动清单!$G$13=""),"",SUMIFS(包装物料出入库明细!$J$4:$J$2003,包装物料出入库明细!$D$4:$D$2003,$B62,包装物料出入库明细!$E$4:$E$2003,_自动清单!$G$13,包装物料出入库明细!$B$4:$B$2003,"&gt;="&amp;$AF$1,包装物料出入库明细!$B$4:$B$2003,"&lt;="&amp;$AF$2))</f>
        <v/>
      </c>
      <c r="M62" s="25" t="str">
        <f>IF(OR($B62="",_自动清单!$G$14=""),"",SUMIFS(包装物料出入库明细!$J$4:$J$2003,包装物料出入库明细!$D$4:$D$2003,$B62,包装物料出入库明细!$E$4:$E$2003,_自动清单!$G$14,包装物料出入库明细!$B$4:$B$2003,"&gt;="&amp;$AF$1,包装物料出入库明细!$B$4:$B$2003,"&lt;="&amp;$AF$2))</f>
        <v/>
      </c>
      <c r="N62" s="25" t="str">
        <f>IF(OR($B62="",_自动清单!$G$15=""),"",SUMIFS(包装物料出入库明细!$J$4:$J$2003,包装物料出入库明细!$D$4:$D$2003,$B62,包装物料出入库明细!$E$4:$E$2003,_自动清单!$G$15,包装物料出入库明细!$B$4:$B$2003,"&gt;="&amp;$AF$1,包装物料出入库明细!$B$4:$B$2003,"&lt;="&amp;$AF$2))</f>
        <v/>
      </c>
      <c r="O62" s="25" t="str">
        <f>IF(OR($B62="",_自动清单!$G$16=""),"",SUMIFS(包装物料出入库明细!$J$4:$J$2003,包装物料出入库明细!$D$4:$D$2003,$B62,包装物料出入库明细!$E$4:$E$2003,_自动清单!$G$16,包装物料出入库明细!$B$4:$B$2003,"&gt;="&amp;$AF$1,包装物料出入库明细!$B$4:$B$2003,"&lt;="&amp;$AF$2))</f>
        <v/>
      </c>
      <c r="P62" s="25" t="str">
        <f>IF(OR($B62="",_自动清单!$G$17=""),"",SUMIFS(包装物料出入库明细!$J$4:$J$2003,包装物料出入库明细!$D$4:$D$2003,$B62,包装物料出入库明细!$E$4:$E$2003,_自动清单!$G$17,包装物料出入库明细!$B$4:$B$2003,"&gt;="&amp;$AF$1,包装物料出入库明细!$B$4:$B$2003,"&lt;="&amp;$AF$2))</f>
        <v/>
      </c>
      <c r="Q62" s="25" t="str">
        <f>IF(OR($B62="",_自动清单!$G$18=""),"",SUMIFS(包装物料出入库明细!$J$4:$J$2003,包装物料出入库明细!$D$4:$D$2003,$B62,包装物料出入库明细!$E$4:$E$2003,_自动清单!$G$18,包装物料出入库明细!$B$4:$B$2003,"&gt;="&amp;$AF$1,包装物料出入库明细!$B$4:$B$2003,"&lt;="&amp;$AF$2))</f>
        <v/>
      </c>
      <c r="R62" s="25" t="str">
        <f>IF(OR($B62="",_自动清单!$G$19=""),"",SUMIFS(包装物料出入库明细!$J$4:$J$2003,包装物料出入库明细!$D$4:$D$2003,$B62,包装物料出入库明细!$E$4:$E$2003,_自动清单!$G$19,包装物料出入库明细!$B$4:$B$2003,"&gt;="&amp;$AF$1,包装物料出入库明细!$B$4:$B$2003,"&lt;="&amp;$AF$2))</f>
        <v/>
      </c>
      <c r="S62" s="25" t="str">
        <f>IF(OR($B62="",_自动清单!$G$20=""),"",SUMIFS(包装物料出入库明细!$J$4:$J$2003,包装物料出入库明细!$D$4:$D$2003,$B62,包装物料出入库明细!$E$4:$E$2003,_自动清单!$G$20,包装物料出入库明细!$B$4:$B$2003,"&gt;="&amp;$AF$1,包装物料出入库明细!$B$4:$B$2003,"&lt;="&amp;$AF$2))</f>
        <v/>
      </c>
      <c r="T62" s="25" t="str">
        <f>IF(OR($B62="",_自动清单!$G$21=""),"",SUMIFS(包装物料出入库明细!$J$4:$J$2003,包装物料出入库明细!$D$4:$D$2003,$B62,包装物料出入库明细!$E$4:$E$2003,_自动清单!$G$21,包装物料出入库明细!$B$4:$B$2003,"&gt;="&amp;$AF$1,包装物料出入库明细!$B$4:$B$2003,"&lt;="&amp;$AF$2))</f>
        <v/>
      </c>
      <c r="U62" s="25" t="str">
        <f>IF($B62="","",SUMIFS(包装物料出入库明细!$J$4:$J$2003,包装物料出入库明细!$D$4:$D$2003,$B62,包装物料出入库明细!$B$4:$B$2003,"&gt;="&amp;$AF$1,包装物料出入库明细!$B$4:$B$2003,"&lt;="&amp;$AF$2)-SUM($C62:$T62))</f>
        <v/>
      </c>
      <c r="V62" s="25" t="str">
        <f t="shared" si="1"/>
        <v/>
      </c>
      <c r="W62" s="56" t="str">
        <f>IF($B62="","",SUMIFS(包装物料出入库明细!$K$4:$K$2003,包装物料出入库明细!$D$4:$D$2003,$B62,包装物料出入库明细!$B$4:$B$2003,"&gt;="&amp;$AF$1,包装物料出入库明细!$B$4:$B$2003,"&lt;="&amp;$AF$2))</f>
        <v/>
      </c>
      <c r="X62" s="25" t="str">
        <f t="shared" si="2"/>
        <v/>
      </c>
      <c r="Y62" s="26" t="str">
        <f>IF($B62="","",ROUND(SUMIFS(包装物料出入库明细!$N$4:$N$2003,包装物料出入库明细!$D$4:$D$2003,$B62,包装物料出入库明细!$H$4:$H$2003,"销售出库",包装物料出入库明细!$B$4:$B$2003,"&gt;="&amp;$AF$1,包装物料出入库明细!$B$4:$B$2003,"&lt;="&amp;$AF$2),2))</f>
        <v/>
      </c>
      <c r="Z62" s="26" t="str">
        <f>IF($B62="","",ROUND(SUMIFS(包装物料出入库明细!$N$4:$N$2003,包装物料出入库明细!$D$4:$D$2003,$B62,包装物料出入库明细!$H$4:$H$2003,"销售出库",包装物料出入库明细!$P$4:$P$2003,"已收讫",包装物料出入库明细!$B$4:$B$2003,"&gt;="&amp;$AF$1,包装物料出入库明细!$B$4:$B$2003,"&lt;="&amp;$AF$2),2))</f>
        <v/>
      </c>
      <c r="AA62" s="26" t="str">
        <f t="shared" si="3"/>
        <v/>
      </c>
      <c r="AB62" s="41"/>
    </row>
    <row r="63" spans="1:28">
      <c r="A63" s="24" t="str">
        <f t="shared" si="0"/>
        <v/>
      </c>
      <c r="B63" s="24" t="str">
        <f>IFERROR(INDEX(_自动清单!$O$4:$O$203,ROW()-3),"")</f>
        <v/>
      </c>
      <c r="C63" s="25" t="str">
        <f>IF(OR($B63="",_自动清单!$G$4=""),"",SUMIFS(包装物料出入库明细!$J$4:$J$2003,包装物料出入库明细!$D$4:$D$2003,$B63,包装物料出入库明细!$E$4:$E$2003,_自动清单!$G$4,包装物料出入库明细!$B$4:$B$2003,"&gt;="&amp;$AF$1,包装物料出入库明细!$B$4:$B$2003,"&lt;="&amp;$AF$2))</f>
        <v/>
      </c>
      <c r="D63" s="25" t="str">
        <f>IF(OR($B63="",_自动清单!$G$5=""),"",SUMIFS(包装物料出入库明细!$J$4:$J$2003,包装物料出入库明细!$D$4:$D$2003,$B63,包装物料出入库明细!$E$4:$E$2003,_自动清单!$G$5,包装物料出入库明细!$B$4:$B$2003,"&gt;="&amp;$AF$1,包装物料出入库明细!$B$4:$B$2003,"&lt;="&amp;$AF$2))</f>
        <v/>
      </c>
      <c r="E63" s="25" t="str">
        <f>IF(OR($B63="",_自动清单!$G$6=""),"",SUMIFS(包装物料出入库明细!$J$4:$J$2003,包装物料出入库明细!$D$4:$D$2003,$B63,包装物料出入库明细!$E$4:$E$2003,_自动清单!$G$6,包装物料出入库明细!$B$4:$B$2003,"&gt;="&amp;$AF$1,包装物料出入库明细!$B$4:$B$2003,"&lt;="&amp;$AF$2))</f>
        <v/>
      </c>
      <c r="F63" s="25" t="str">
        <f>IF(OR($B63="",_自动清单!$G$7=""),"",SUMIFS(包装物料出入库明细!$J$4:$J$2003,包装物料出入库明细!$D$4:$D$2003,$B63,包装物料出入库明细!$E$4:$E$2003,_自动清单!$G$7,包装物料出入库明细!$B$4:$B$2003,"&gt;="&amp;$AF$1,包装物料出入库明细!$B$4:$B$2003,"&lt;="&amp;$AF$2))</f>
        <v/>
      </c>
      <c r="G63" s="25" t="str">
        <f>IF(OR($B63="",_自动清单!$G$8=""),"",SUMIFS(包装物料出入库明细!$J$4:$J$2003,包装物料出入库明细!$D$4:$D$2003,$B63,包装物料出入库明细!$E$4:$E$2003,_自动清单!$G$8,包装物料出入库明细!$B$4:$B$2003,"&gt;="&amp;$AF$1,包装物料出入库明细!$B$4:$B$2003,"&lt;="&amp;$AF$2))</f>
        <v/>
      </c>
      <c r="H63" s="25" t="str">
        <f>IF(OR($B63="",_自动清单!$G$9=""),"",SUMIFS(包装物料出入库明细!$J$4:$J$2003,包装物料出入库明细!$D$4:$D$2003,$B63,包装物料出入库明细!$E$4:$E$2003,_自动清单!$G$9,包装物料出入库明细!$B$4:$B$2003,"&gt;="&amp;$AF$1,包装物料出入库明细!$B$4:$B$2003,"&lt;="&amp;$AF$2))</f>
        <v/>
      </c>
      <c r="I63" s="25" t="str">
        <f>IF(OR($B63="",_自动清单!$G$10=""),"",SUMIFS(包装物料出入库明细!$J$4:$J$2003,包装物料出入库明细!$D$4:$D$2003,$B63,包装物料出入库明细!$E$4:$E$2003,_自动清单!$G$10,包装物料出入库明细!$B$4:$B$2003,"&gt;="&amp;$AF$1,包装物料出入库明细!$B$4:$B$2003,"&lt;="&amp;$AF$2))</f>
        <v/>
      </c>
      <c r="J63" s="25" t="str">
        <f>IF(OR($B63="",_自动清单!$G$11=""),"",SUMIFS(包装物料出入库明细!$J$4:$J$2003,包装物料出入库明细!$D$4:$D$2003,$B63,包装物料出入库明细!$E$4:$E$2003,_自动清单!$G$11,包装物料出入库明细!$B$4:$B$2003,"&gt;="&amp;$AF$1,包装物料出入库明细!$B$4:$B$2003,"&lt;="&amp;$AF$2))</f>
        <v/>
      </c>
      <c r="K63" s="25" t="str">
        <f>IF(OR($B63="",_自动清单!$G$12=""),"",SUMIFS(包装物料出入库明细!$J$4:$J$2003,包装物料出入库明细!$D$4:$D$2003,$B63,包装物料出入库明细!$E$4:$E$2003,_自动清单!$G$12,包装物料出入库明细!$B$4:$B$2003,"&gt;="&amp;$AF$1,包装物料出入库明细!$B$4:$B$2003,"&lt;="&amp;$AF$2))</f>
        <v/>
      </c>
      <c r="L63" s="25" t="str">
        <f>IF(OR($B63="",_自动清单!$G$13=""),"",SUMIFS(包装物料出入库明细!$J$4:$J$2003,包装物料出入库明细!$D$4:$D$2003,$B63,包装物料出入库明细!$E$4:$E$2003,_自动清单!$G$13,包装物料出入库明细!$B$4:$B$2003,"&gt;="&amp;$AF$1,包装物料出入库明细!$B$4:$B$2003,"&lt;="&amp;$AF$2))</f>
        <v/>
      </c>
      <c r="M63" s="25" t="str">
        <f>IF(OR($B63="",_自动清单!$G$14=""),"",SUMIFS(包装物料出入库明细!$J$4:$J$2003,包装物料出入库明细!$D$4:$D$2003,$B63,包装物料出入库明细!$E$4:$E$2003,_自动清单!$G$14,包装物料出入库明细!$B$4:$B$2003,"&gt;="&amp;$AF$1,包装物料出入库明细!$B$4:$B$2003,"&lt;="&amp;$AF$2))</f>
        <v/>
      </c>
      <c r="N63" s="25" t="str">
        <f>IF(OR($B63="",_自动清单!$G$15=""),"",SUMIFS(包装物料出入库明细!$J$4:$J$2003,包装物料出入库明细!$D$4:$D$2003,$B63,包装物料出入库明细!$E$4:$E$2003,_自动清单!$G$15,包装物料出入库明细!$B$4:$B$2003,"&gt;="&amp;$AF$1,包装物料出入库明细!$B$4:$B$2003,"&lt;="&amp;$AF$2))</f>
        <v/>
      </c>
      <c r="O63" s="25" t="str">
        <f>IF(OR($B63="",_自动清单!$G$16=""),"",SUMIFS(包装物料出入库明细!$J$4:$J$2003,包装物料出入库明细!$D$4:$D$2003,$B63,包装物料出入库明细!$E$4:$E$2003,_自动清单!$G$16,包装物料出入库明细!$B$4:$B$2003,"&gt;="&amp;$AF$1,包装物料出入库明细!$B$4:$B$2003,"&lt;="&amp;$AF$2))</f>
        <v/>
      </c>
      <c r="P63" s="25" t="str">
        <f>IF(OR($B63="",_自动清单!$G$17=""),"",SUMIFS(包装物料出入库明细!$J$4:$J$2003,包装物料出入库明细!$D$4:$D$2003,$B63,包装物料出入库明细!$E$4:$E$2003,_自动清单!$G$17,包装物料出入库明细!$B$4:$B$2003,"&gt;="&amp;$AF$1,包装物料出入库明细!$B$4:$B$2003,"&lt;="&amp;$AF$2))</f>
        <v/>
      </c>
      <c r="Q63" s="25" t="str">
        <f>IF(OR($B63="",_自动清单!$G$18=""),"",SUMIFS(包装物料出入库明细!$J$4:$J$2003,包装物料出入库明细!$D$4:$D$2003,$B63,包装物料出入库明细!$E$4:$E$2003,_自动清单!$G$18,包装物料出入库明细!$B$4:$B$2003,"&gt;="&amp;$AF$1,包装物料出入库明细!$B$4:$B$2003,"&lt;="&amp;$AF$2))</f>
        <v/>
      </c>
      <c r="R63" s="25" t="str">
        <f>IF(OR($B63="",_自动清单!$G$19=""),"",SUMIFS(包装物料出入库明细!$J$4:$J$2003,包装物料出入库明细!$D$4:$D$2003,$B63,包装物料出入库明细!$E$4:$E$2003,_自动清单!$G$19,包装物料出入库明细!$B$4:$B$2003,"&gt;="&amp;$AF$1,包装物料出入库明细!$B$4:$B$2003,"&lt;="&amp;$AF$2))</f>
        <v/>
      </c>
      <c r="S63" s="25" t="str">
        <f>IF(OR($B63="",_自动清单!$G$20=""),"",SUMIFS(包装物料出入库明细!$J$4:$J$2003,包装物料出入库明细!$D$4:$D$2003,$B63,包装物料出入库明细!$E$4:$E$2003,_自动清单!$G$20,包装物料出入库明细!$B$4:$B$2003,"&gt;="&amp;$AF$1,包装物料出入库明细!$B$4:$B$2003,"&lt;="&amp;$AF$2))</f>
        <v/>
      </c>
      <c r="T63" s="25" t="str">
        <f>IF(OR($B63="",_自动清单!$G$21=""),"",SUMIFS(包装物料出入库明细!$J$4:$J$2003,包装物料出入库明细!$D$4:$D$2003,$B63,包装物料出入库明细!$E$4:$E$2003,_自动清单!$G$21,包装物料出入库明细!$B$4:$B$2003,"&gt;="&amp;$AF$1,包装物料出入库明细!$B$4:$B$2003,"&lt;="&amp;$AF$2))</f>
        <v/>
      </c>
      <c r="U63" s="25" t="str">
        <f>IF($B63="","",SUMIFS(包装物料出入库明细!$J$4:$J$2003,包装物料出入库明细!$D$4:$D$2003,$B63,包装物料出入库明细!$B$4:$B$2003,"&gt;="&amp;$AF$1,包装物料出入库明细!$B$4:$B$2003,"&lt;="&amp;$AF$2)-SUM($C63:$T63))</f>
        <v/>
      </c>
      <c r="V63" s="25" t="str">
        <f t="shared" si="1"/>
        <v/>
      </c>
      <c r="W63" s="56" t="str">
        <f>IF($B63="","",SUMIFS(包装物料出入库明细!$K$4:$K$2003,包装物料出入库明细!$D$4:$D$2003,$B63,包装物料出入库明细!$B$4:$B$2003,"&gt;="&amp;$AF$1,包装物料出入库明细!$B$4:$B$2003,"&lt;="&amp;$AF$2))</f>
        <v/>
      </c>
      <c r="X63" s="25" t="str">
        <f t="shared" si="2"/>
        <v/>
      </c>
      <c r="Y63" s="26" t="str">
        <f>IF($B63="","",ROUND(SUMIFS(包装物料出入库明细!$N$4:$N$2003,包装物料出入库明细!$D$4:$D$2003,$B63,包装物料出入库明细!$H$4:$H$2003,"销售出库",包装物料出入库明细!$B$4:$B$2003,"&gt;="&amp;$AF$1,包装物料出入库明细!$B$4:$B$2003,"&lt;="&amp;$AF$2),2))</f>
        <v/>
      </c>
      <c r="Z63" s="26" t="str">
        <f>IF($B63="","",ROUND(SUMIFS(包装物料出入库明细!$N$4:$N$2003,包装物料出入库明细!$D$4:$D$2003,$B63,包装物料出入库明细!$H$4:$H$2003,"销售出库",包装物料出入库明细!$P$4:$P$2003,"已收讫",包装物料出入库明细!$B$4:$B$2003,"&gt;="&amp;$AF$1,包装物料出入库明细!$B$4:$B$2003,"&lt;="&amp;$AF$2),2))</f>
        <v/>
      </c>
      <c r="AA63" s="26" t="str">
        <f t="shared" si="3"/>
        <v/>
      </c>
      <c r="AB63" s="41"/>
    </row>
    <row r="64" spans="1:28">
      <c r="A64" s="24" t="str">
        <f t="shared" si="0"/>
        <v/>
      </c>
      <c r="B64" s="24" t="str">
        <f>IFERROR(INDEX(_自动清单!$O$4:$O$203,ROW()-3),"")</f>
        <v/>
      </c>
      <c r="C64" s="25" t="str">
        <f>IF(OR($B64="",_自动清单!$G$4=""),"",SUMIFS(包装物料出入库明细!$J$4:$J$2003,包装物料出入库明细!$D$4:$D$2003,$B64,包装物料出入库明细!$E$4:$E$2003,_自动清单!$G$4,包装物料出入库明细!$B$4:$B$2003,"&gt;="&amp;$AF$1,包装物料出入库明细!$B$4:$B$2003,"&lt;="&amp;$AF$2))</f>
        <v/>
      </c>
      <c r="D64" s="25" t="str">
        <f>IF(OR($B64="",_自动清单!$G$5=""),"",SUMIFS(包装物料出入库明细!$J$4:$J$2003,包装物料出入库明细!$D$4:$D$2003,$B64,包装物料出入库明细!$E$4:$E$2003,_自动清单!$G$5,包装物料出入库明细!$B$4:$B$2003,"&gt;="&amp;$AF$1,包装物料出入库明细!$B$4:$B$2003,"&lt;="&amp;$AF$2))</f>
        <v/>
      </c>
      <c r="E64" s="25" t="str">
        <f>IF(OR($B64="",_自动清单!$G$6=""),"",SUMIFS(包装物料出入库明细!$J$4:$J$2003,包装物料出入库明细!$D$4:$D$2003,$B64,包装物料出入库明细!$E$4:$E$2003,_自动清单!$G$6,包装物料出入库明细!$B$4:$B$2003,"&gt;="&amp;$AF$1,包装物料出入库明细!$B$4:$B$2003,"&lt;="&amp;$AF$2))</f>
        <v/>
      </c>
      <c r="F64" s="25" t="str">
        <f>IF(OR($B64="",_自动清单!$G$7=""),"",SUMIFS(包装物料出入库明细!$J$4:$J$2003,包装物料出入库明细!$D$4:$D$2003,$B64,包装物料出入库明细!$E$4:$E$2003,_自动清单!$G$7,包装物料出入库明细!$B$4:$B$2003,"&gt;="&amp;$AF$1,包装物料出入库明细!$B$4:$B$2003,"&lt;="&amp;$AF$2))</f>
        <v/>
      </c>
      <c r="G64" s="25" t="str">
        <f>IF(OR($B64="",_自动清单!$G$8=""),"",SUMIFS(包装物料出入库明细!$J$4:$J$2003,包装物料出入库明细!$D$4:$D$2003,$B64,包装物料出入库明细!$E$4:$E$2003,_自动清单!$G$8,包装物料出入库明细!$B$4:$B$2003,"&gt;="&amp;$AF$1,包装物料出入库明细!$B$4:$B$2003,"&lt;="&amp;$AF$2))</f>
        <v/>
      </c>
      <c r="H64" s="25" t="str">
        <f>IF(OR($B64="",_自动清单!$G$9=""),"",SUMIFS(包装物料出入库明细!$J$4:$J$2003,包装物料出入库明细!$D$4:$D$2003,$B64,包装物料出入库明细!$E$4:$E$2003,_自动清单!$G$9,包装物料出入库明细!$B$4:$B$2003,"&gt;="&amp;$AF$1,包装物料出入库明细!$B$4:$B$2003,"&lt;="&amp;$AF$2))</f>
        <v/>
      </c>
      <c r="I64" s="25" t="str">
        <f>IF(OR($B64="",_自动清单!$G$10=""),"",SUMIFS(包装物料出入库明细!$J$4:$J$2003,包装物料出入库明细!$D$4:$D$2003,$B64,包装物料出入库明细!$E$4:$E$2003,_自动清单!$G$10,包装物料出入库明细!$B$4:$B$2003,"&gt;="&amp;$AF$1,包装物料出入库明细!$B$4:$B$2003,"&lt;="&amp;$AF$2))</f>
        <v/>
      </c>
      <c r="J64" s="25" t="str">
        <f>IF(OR($B64="",_自动清单!$G$11=""),"",SUMIFS(包装物料出入库明细!$J$4:$J$2003,包装物料出入库明细!$D$4:$D$2003,$B64,包装物料出入库明细!$E$4:$E$2003,_自动清单!$G$11,包装物料出入库明细!$B$4:$B$2003,"&gt;="&amp;$AF$1,包装物料出入库明细!$B$4:$B$2003,"&lt;="&amp;$AF$2))</f>
        <v/>
      </c>
      <c r="K64" s="25" t="str">
        <f>IF(OR($B64="",_自动清单!$G$12=""),"",SUMIFS(包装物料出入库明细!$J$4:$J$2003,包装物料出入库明细!$D$4:$D$2003,$B64,包装物料出入库明细!$E$4:$E$2003,_自动清单!$G$12,包装物料出入库明细!$B$4:$B$2003,"&gt;="&amp;$AF$1,包装物料出入库明细!$B$4:$B$2003,"&lt;="&amp;$AF$2))</f>
        <v/>
      </c>
      <c r="L64" s="25" t="str">
        <f>IF(OR($B64="",_自动清单!$G$13=""),"",SUMIFS(包装物料出入库明细!$J$4:$J$2003,包装物料出入库明细!$D$4:$D$2003,$B64,包装物料出入库明细!$E$4:$E$2003,_自动清单!$G$13,包装物料出入库明细!$B$4:$B$2003,"&gt;="&amp;$AF$1,包装物料出入库明细!$B$4:$B$2003,"&lt;="&amp;$AF$2))</f>
        <v/>
      </c>
      <c r="M64" s="25" t="str">
        <f>IF(OR($B64="",_自动清单!$G$14=""),"",SUMIFS(包装物料出入库明细!$J$4:$J$2003,包装物料出入库明细!$D$4:$D$2003,$B64,包装物料出入库明细!$E$4:$E$2003,_自动清单!$G$14,包装物料出入库明细!$B$4:$B$2003,"&gt;="&amp;$AF$1,包装物料出入库明细!$B$4:$B$2003,"&lt;="&amp;$AF$2))</f>
        <v/>
      </c>
      <c r="N64" s="25" t="str">
        <f>IF(OR($B64="",_自动清单!$G$15=""),"",SUMIFS(包装物料出入库明细!$J$4:$J$2003,包装物料出入库明细!$D$4:$D$2003,$B64,包装物料出入库明细!$E$4:$E$2003,_自动清单!$G$15,包装物料出入库明细!$B$4:$B$2003,"&gt;="&amp;$AF$1,包装物料出入库明细!$B$4:$B$2003,"&lt;="&amp;$AF$2))</f>
        <v/>
      </c>
      <c r="O64" s="25" t="str">
        <f>IF(OR($B64="",_自动清单!$G$16=""),"",SUMIFS(包装物料出入库明细!$J$4:$J$2003,包装物料出入库明细!$D$4:$D$2003,$B64,包装物料出入库明细!$E$4:$E$2003,_自动清单!$G$16,包装物料出入库明细!$B$4:$B$2003,"&gt;="&amp;$AF$1,包装物料出入库明细!$B$4:$B$2003,"&lt;="&amp;$AF$2))</f>
        <v/>
      </c>
      <c r="P64" s="25" t="str">
        <f>IF(OR($B64="",_自动清单!$G$17=""),"",SUMIFS(包装物料出入库明细!$J$4:$J$2003,包装物料出入库明细!$D$4:$D$2003,$B64,包装物料出入库明细!$E$4:$E$2003,_自动清单!$G$17,包装物料出入库明细!$B$4:$B$2003,"&gt;="&amp;$AF$1,包装物料出入库明细!$B$4:$B$2003,"&lt;="&amp;$AF$2))</f>
        <v/>
      </c>
      <c r="Q64" s="25" t="str">
        <f>IF(OR($B64="",_自动清单!$G$18=""),"",SUMIFS(包装物料出入库明细!$J$4:$J$2003,包装物料出入库明细!$D$4:$D$2003,$B64,包装物料出入库明细!$E$4:$E$2003,_自动清单!$G$18,包装物料出入库明细!$B$4:$B$2003,"&gt;="&amp;$AF$1,包装物料出入库明细!$B$4:$B$2003,"&lt;="&amp;$AF$2))</f>
        <v/>
      </c>
      <c r="R64" s="25" t="str">
        <f>IF(OR($B64="",_自动清单!$G$19=""),"",SUMIFS(包装物料出入库明细!$J$4:$J$2003,包装物料出入库明细!$D$4:$D$2003,$B64,包装物料出入库明细!$E$4:$E$2003,_自动清单!$G$19,包装物料出入库明细!$B$4:$B$2003,"&gt;="&amp;$AF$1,包装物料出入库明细!$B$4:$B$2003,"&lt;="&amp;$AF$2))</f>
        <v/>
      </c>
      <c r="S64" s="25" t="str">
        <f>IF(OR($B64="",_自动清单!$G$20=""),"",SUMIFS(包装物料出入库明细!$J$4:$J$2003,包装物料出入库明细!$D$4:$D$2003,$B64,包装物料出入库明细!$E$4:$E$2003,_自动清单!$G$20,包装物料出入库明细!$B$4:$B$2003,"&gt;="&amp;$AF$1,包装物料出入库明细!$B$4:$B$2003,"&lt;="&amp;$AF$2))</f>
        <v/>
      </c>
      <c r="T64" s="25" t="str">
        <f>IF(OR($B64="",_自动清单!$G$21=""),"",SUMIFS(包装物料出入库明细!$J$4:$J$2003,包装物料出入库明细!$D$4:$D$2003,$B64,包装物料出入库明细!$E$4:$E$2003,_自动清单!$G$21,包装物料出入库明细!$B$4:$B$2003,"&gt;="&amp;$AF$1,包装物料出入库明细!$B$4:$B$2003,"&lt;="&amp;$AF$2))</f>
        <v/>
      </c>
      <c r="U64" s="25" t="str">
        <f>IF($B64="","",SUMIFS(包装物料出入库明细!$J$4:$J$2003,包装物料出入库明细!$D$4:$D$2003,$B64,包装物料出入库明细!$B$4:$B$2003,"&gt;="&amp;$AF$1,包装物料出入库明细!$B$4:$B$2003,"&lt;="&amp;$AF$2)-SUM($C64:$T64))</f>
        <v/>
      </c>
      <c r="V64" s="25" t="str">
        <f t="shared" si="1"/>
        <v/>
      </c>
      <c r="W64" s="56" t="str">
        <f>IF($B64="","",SUMIFS(包装物料出入库明细!$K$4:$K$2003,包装物料出入库明细!$D$4:$D$2003,$B64,包装物料出入库明细!$B$4:$B$2003,"&gt;="&amp;$AF$1,包装物料出入库明细!$B$4:$B$2003,"&lt;="&amp;$AF$2))</f>
        <v/>
      </c>
      <c r="X64" s="25" t="str">
        <f t="shared" si="2"/>
        <v/>
      </c>
      <c r="Y64" s="26" t="str">
        <f>IF($B64="","",ROUND(SUMIFS(包装物料出入库明细!$N$4:$N$2003,包装物料出入库明细!$D$4:$D$2003,$B64,包装物料出入库明细!$H$4:$H$2003,"销售出库",包装物料出入库明细!$B$4:$B$2003,"&gt;="&amp;$AF$1,包装物料出入库明细!$B$4:$B$2003,"&lt;="&amp;$AF$2),2))</f>
        <v/>
      </c>
      <c r="Z64" s="26" t="str">
        <f>IF($B64="","",ROUND(SUMIFS(包装物料出入库明细!$N$4:$N$2003,包装物料出入库明细!$D$4:$D$2003,$B64,包装物料出入库明细!$H$4:$H$2003,"销售出库",包装物料出入库明细!$P$4:$P$2003,"已收讫",包装物料出入库明细!$B$4:$B$2003,"&gt;="&amp;$AF$1,包装物料出入库明细!$B$4:$B$2003,"&lt;="&amp;$AF$2),2))</f>
        <v/>
      </c>
      <c r="AA64" s="26" t="str">
        <f t="shared" si="3"/>
        <v/>
      </c>
      <c r="AB64" s="41"/>
    </row>
    <row r="65" spans="1:28">
      <c r="A65" s="24" t="str">
        <f t="shared" si="0"/>
        <v/>
      </c>
      <c r="B65" s="24" t="str">
        <f>IFERROR(INDEX(_自动清单!$O$4:$O$203,ROW()-3),"")</f>
        <v/>
      </c>
      <c r="C65" s="25" t="str">
        <f>IF(OR($B65="",_自动清单!$G$4=""),"",SUMIFS(包装物料出入库明细!$J$4:$J$2003,包装物料出入库明细!$D$4:$D$2003,$B65,包装物料出入库明细!$E$4:$E$2003,_自动清单!$G$4,包装物料出入库明细!$B$4:$B$2003,"&gt;="&amp;$AF$1,包装物料出入库明细!$B$4:$B$2003,"&lt;="&amp;$AF$2))</f>
        <v/>
      </c>
      <c r="D65" s="25" t="str">
        <f>IF(OR($B65="",_自动清单!$G$5=""),"",SUMIFS(包装物料出入库明细!$J$4:$J$2003,包装物料出入库明细!$D$4:$D$2003,$B65,包装物料出入库明细!$E$4:$E$2003,_自动清单!$G$5,包装物料出入库明细!$B$4:$B$2003,"&gt;="&amp;$AF$1,包装物料出入库明细!$B$4:$B$2003,"&lt;="&amp;$AF$2))</f>
        <v/>
      </c>
      <c r="E65" s="25" t="str">
        <f>IF(OR($B65="",_自动清单!$G$6=""),"",SUMIFS(包装物料出入库明细!$J$4:$J$2003,包装物料出入库明细!$D$4:$D$2003,$B65,包装物料出入库明细!$E$4:$E$2003,_自动清单!$G$6,包装物料出入库明细!$B$4:$B$2003,"&gt;="&amp;$AF$1,包装物料出入库明细!$B$4:$B$2003,"&lt;="&amp;$AF$2))</f>
        <v/>
      </c>
      <c r="F65" s="25" t="str">
        <f>IF(OR($B65="",_自动清单!$G$7=""),"",SUMIFS(包装物料出入库明细!$J$4:$J$2003,包装物料出入库明细!$D$4:$D$2003,$B65,包装物料出入库明细!$E$4:$E$2003,_自动清单!$G$7,包装物料出入库明细!$B$4:$B$2003,"&gt;="&amp;$AF$1,包装物料出入库明细!$B$4:$B$2003,"&lt;="&amp;$AF$2))</f>
        <v/>
      </c>
      <c r="G65" s="25" t="str">
        <f>IF(OR($B65="",_自动清单!$G$8=""),"",SUMIFS(包装物料出入库明细!$J$4:$J$2003,包装物料出入库明细!$D$4:$D$2003,$B65,包装物料出入库明细!$E$4:$E$2003,_自动清单!$G$8,包装物料出入库明细!$B$4:$B$2003,"&gt;="&amp;$AF$1,包装物料出入库明细!$B$4:$B$2003,"&lt;="&amp;$AF$2))</f>
        <v/>
      </c>
      <c r="H65" s="25" t="str">
        <f>IF(OR($B65="",_自动清单!$G$9=""),"",SUMIFS(包装物料出入库明细!$J$4:$J$2003,包装物料出入库明细!$D$4:$D$2003,$B65,包装物料出入库明细!$E$4:$E$2003,_自动清单!$G$9,包装物料出入库明细!$B$4:$B$2003,"&gt;="&amp;$AF$1,包装物料出入库明细!$B$4:$B$2003,"&lt;="&amp;$AF$2))</f>
        <v/>
      </c>
      <c r="I65" s="25" t="str">
        <f>IF(OR($B65="",_自动清单!$G$10=""),"",SUMIFS(包装物料出入库明细!$J$4:$J$2003,包装物料出入库明细!$D$4:$D$2003,$B65,包装物料出入库明细!$E$4:$E$2003,_自动清单!$G$10,包装物料出入库明细!$B$4:$B$2003,"&gt;="&amp;$AF$1,包装物料出入库明细!$B$4:$B$2003,"&lt;="&amp;$AF$2))</f>
        <v/>
      </c>
      <c r="J65" s="25" t="str">
        <f>IF(OR($B65="",_自动清单!$G$11=""),"",SUMIFS(包装物料出入库明细!$J$4:$J$2003,包装物料出入库明细!$D$4:$D$2003,$B65,包装物料出入库明细!$E$4:$E$2003,_自动清单!$G$11,包装物料出入库明细!$B$4:$B$2003,"&gt;="&amp;$AF$1,包装物料出入库明细!$B$4:$B$2003,"&lt;="&amp;$AF$2))</f>
        <v/>
      </c>
      <c r="K65" s="25" t="str">
        <f>IF(OR($B65="",_自动清单!$G$12=""),"",SUMIFS(包装物料出入库明细!$J$4:$J$2003,包装物料出入库明细!$D$4:$D$2003,$B65,包装物料出入库明细!$E$4:$E$2003,_自动清单!$G$12,包装物料出入库明细!$B$4:$B$2003,"&gt;="&amp;$AF$1,包装物料出入库明细!$B$4:$B$2003,"&lt;="&amp;$AF$2))</f>
        <v/>
      </c>
      <c r="L65" s="25" t="str">
        <f>IF(OR($B65="",_自动清单!$G$13=""),"",SUMIFS(包装物料出入库明细!$J$4:$J$2003,包装物料出入库明细!$D$4:$D$2003,$B65,包装物料出入库明细!$E$4:$E$2003,_自动清单!$G$13,包装物料出入库明细!$B$4:$B$2003,"&gt;="&amp;$AF$1,包装物料出入库明细!$B$4:$B$2003,"&lt;="&amp;$AF$2))</f>
        <v/>
      </c>
      <c r="M65" s="25" t="str">
        <f>IF(OR($B65="",_自动清单!$G$14=""),"",SUMIFS(包装物料出入库明细!$J$4:$J$2003,包装物料出入库明细!$D$4:$D$2003,$B65,包装物料出入库明细!$E$4:$E$2003,_自动清单!$G$14,包装物料出入库明细!$B$4:$B$2003,"&gt;="&amp;$AF$1,包装物料出入库明细!$B$4:$B$2003,"&lt;="&amp;$AF$2))</f>
        <v/>
      </c>
      <c r="N65" s="25" t="str">
        <f>IF(OR($B65="",_自动清单!$G$15=""),"",SUMIFS(包装物料出入库明细!$J$4:$J$2003,包装物料出入库明细!$D$4:$D$2003,$B65,包装物料出入库明细!$E$4:$E$2003,_自动清单!$G$15,包装物料出入库明细!$B$4:$B$2003,"&gt;="&amp;$AF$1,包装物料出入库明细!$B$4:$B$2003,"&lt;="&amp;$AF$2))</f>
        <v/>
      </c>
      <c r="O65" s="25" t="str">
        <f>IF(OR($B65="",_自动清单!$G$16=""),"",SUMIFS(包装物料出入库明细!$J$4:$J$2003,包装物料出入库明细!$D$4:$D$2003,$B65,包装物料出入库明细!$E$4:$E$2003,_自动清单!$G$16,包装物料出入库明细!$B$4:$B$2003,"&gt;="&amp;$AF$1,包装物料出入库明细!$B$4:$B$2003,"&lt;="&amp;$AF$2))</f>
        <v/>
      </c>
      <c r="P65" s="25" t="str">
        <f>IF(OR($B65="",_自动清单!$G$17=""),"",SUMIFS(包装物料出入库明细!$J$4:$J$2003,包装物料出入库明细!$D$4:$D$2003,$B65,包装物料出入库明细!$E$4:$E$2003,_自动清单!$G$17,包装物料出入库明细!$B$4:$B$2003,"&gt;="&amp;$AF$1,包装物料出入库明细!$B$4:$B$2003,"&lt;="&amp;$AF$2))</f>
        <v/>
      </c>
      <c r="Q65" s="25" t="str">
        <f>IF(OR($B65="",_自动清单!$G$18=""),"",SUMIFS(包装物料出入库明细!$J$4:$J$2003,包装物料出入库明细!$D$4:$D$2003,$B65,包装物料出入库明细!$E$4:$E$2003,_自动清单!$G$18,包装物料出入库明细!$B$4:$B$2003,"&gt;="&amp;$AF$1,包装物料出入库明细!$B$4:$B$2003,"&lt;="&amp;$AF$2))</f>
        <v/>
      </c>
      <c r="R65" s="25" t="str">
        <f>IF(OR($B65="",_自动清单!$G$19=""),"",SUMIFS(包装物料出入库明细!$J$4:$J$2003,包装物料出入库明细!$D$4:$D$2003,$B65,包装物料出入库明细!$E$4:$E$2003,_自动清单!$G$19,包装物料出入库明细!$B$4:$B$2003,"&gt;="&amp;$AF$1,包装物料出入库明细!$B$4:$B$2003,"&lt;="&amp;$AF$2))</f>
        <v/>
      </c>
      <c r="S65" s="25" t="str">
        <f>IF(OR($B65="",_自动清单!$G$20=""),"",SUMIFS(包装物料出入库明细!$J$4:$J$2003,包装物料出入库明细!$D$4:$D$2003,$B65,包装物料出入库明细!$E$4:$E$2003,_自动清单!$G$20,包装物料出入库明细!$B$4:$B$2003,"&gt;="&amp;$AF$1,包装物料出入库明细!$B$4:$B$2003,"&lt;="&amp;$AF$2))</f>
        <v/>
      </c>
      <c r="T65" s="25" t="str">
        <f>IF(OR($B65="",_自动清单!$G$21=""),"",SUMIFS(包装物料出入库明细!$J$4:$J$2003,包装物料出入库明细!$D$4:$D$2003,$B65,包装物料出入库明细!$E$4:$E$2003,_自动清单!$G$21,包装物料出入库明细!$B$4:$B$2003,"&gt;="&amp;$AF$1,包装物料出入库明细!$B$4:$B$2003,"&lt;="&amp;$AF$2))</f>
        <v/>
      </c>
      <c r="U65" s="25" t="str">
        <f>IF($B65="","",SUMIFS(包装物料出入库明细!$J$4:$J$2003,包装物料出入库明细!$D$4:$D$2003,$B65,包装物料出入库明细!$B$4:$B$2003,"&gt;="&amp;$AF$1,包装物料出入库明细!$B$4:$B$2003,"&lt;="&amp;$AF$2)-SUM($C65:$T65))</f>
        <v/>
      </c>
      <c r="V65" s="25" t="str">
        <f t="shared" si="1"/>
        <v/>
      </c>
      <c r="W65" s="56" t="str">
        <f>IF($B65="","",SUMIFS(包装物料出入库明细!$K$4:$K$2003,包装物料出入库明细!$D$4:$D$2003,$B65,包装物料出入库明细!$B$4:$B$2003,"&gt;="&amp;$AF$1,包装物料出入库明细!$B$4:$B$2003,"&lt;="&amp;$AF$2))</f>
        <v/>
      </c>
      <c r="X65" s="25" t="str">
        <f t="shared" si="2"/>
        <v/>
      </c>
      <c r="Y65" s="26" t="str">
        <f>IF($B65="","",ROUND(SUMIFS(包装物料出入库明细!$N$4:$N$2003,包装物料出入库明细!$D$4:$D$2003,$B65,包装物料出入库明细!$H$4:$H$2003,"销售出库",包装物料出入库明细!$B$4:$B$2003,"&gt;="&amp;$AF$1,包装物料出入库明细!$B$4:$B$2003,"&lt;="&amp;$AF$2),2))</f>
        <v/>
      </c>
      <c r="Z65" s="26" t="str">
        <f>IF($B65="","",ROUND(SUMIFS(包装物料出入库明细!$N$4:$N$2003,包装物料出入库明细!$D$4:$D$2003,$B65,包装物料出入库明细!$H$4:$H$2003,"销售出库",包装物料出入库明细!$P$4:$P$2003,"已收讫",包装物料出入库明细!$B$4:$B$2003,"&gt;="&amp;$AF$1,包装物料出入库明细!$B$4:$B$2003,"&lt;="&amp;$AF$2),2))</f>
        <v/>
      </c>
      <c r="AA65" s="26" t="str">
        <f t="shared" si="3"/>
        <v/>
      </c>
      <c r="AB65" s="41"/>
    </row>
    <row r="66" spans="1:28">
      <c r="A66" s="24" t="str">
        <f t="shared" si="0"/>
        <v/>
      </c>
      <c r="B66" s="24" t="str">
        <f>IFERROR(INDEX(_自动清单!$O$4:$O$203,ROW()-3),"")</f>
        <v/>
      </c>
      <c r="C66" s="25" t="str">
        <f>IF(OR($B66="",_自动清单!$G$4=""),"",SUMIFS(包装物料出入库明细!$J$4:$J$2003,包装物料出入库明细!$D$4:$D$2003,$B66,包装物料出入库明细!$E$4:$E$2003,_自动清单!$G$4,包装物料出入库明细!$B$4:$B$2003,"&gt;="&amp;$AF$1,包装物料出入库明细!$B$4:$B$2003,"&lt;="&amp;$AF$2))</f>
        <v/>
      </c>
      <c r="D66" s="25" t="str">
        <f>IF(OR($B66="",_自动清单!$G$5=""),"",SUMIFS(包装物料出入库明细!$J$4:$J$2003,包装物料出入库明细!$D$4:$D$2003,$B66,包装物料出入库明细!$E$4:$E$2003,_自动清单!$G$5,包装物料出入库明细!$B$4:$B$2003,"&gt;="&amp;$AF$1,包装物料出入库明细!$B$4:$B$2003,"&lt;="&amp;$AF$2))</f>
        <v/>
      </c>
      <c r="E66" s="25" t="str">
        <f>IF(OR($B66="",_自动清单!$G$6=""),"",SUMIFS(包装物料出入库明细!$J$4:$J$2003,包装物料出入库明细!$D$4:$D$2003,$B66,包装物料出入库明细!$E$4:$E$2003,_自动清单!$G$6,包装物料出入库明细!$B$4:$B$2003,"&gt;="&amp;$AF$1,包装物料出入库明细!$B$4:$B$2003,"&lt;="&amp;$AF$2))</f>
        <v/>
      </c>
      <c r="F66" s="25" t="str">
        <f>IF(OR($B66="",_自动清单!$G$7=""),"",SUMIFS(包装物料出入库明细!$J$4:$J$2003,包装物料出入库明细!$D$4:$D$2003,$B66,包装物料出入库明细!$E$4:$E$2003,_自动清单!$G$7,包装物料出入库明细!$B$4:$B$2003,"&gt;="&amp;$AF$1,包装物料出入库明细!$B$4:$B$2003,"&lt;="&amp;$AF$2))</f>
        <v/>
      </c>
      <c r="G66" s="25" t="str">
        <f>IF(OR($B66="",_自动清单!$G$8=""),"",SUMIFS(包装物料出入库明细!$J$4:$J$2003,包装物料出入库明细!$D$4:$D$2003,$B66,包装物料出入库明细!$E$4:$E$2003,_自动清单!$G$8,包装物料出入库明细!$B$4:$B$2003,"&gt;="&amp;$AF$1,包装物料出入库明细!$B$4:$B$2003,"&lt;="&amp;$AF$2))</f>
        <v/>
      </c>
      <c r="H66" s="25" t="str">
        <f>IF(OR($B66="",_自动清单!$G$9=""),"",SUMIFS(包装物料出入库明细!$J$4:$J$2003,包装物料出入库明细!$D$4:$D$2003,$B66,包装物料出入库明细!$E$4:$E$2003,_自动清单!$G$9,包装物料出入库明细!$B$4:$B$2003,"&gt;="&amp;$AF$1,包装物料出入库明细!$B$4:$B$2003,"&lt;="&amp;$AF$2))</f>
        <v/>
      </c>
      <c r="I66" s="25" t="str">
        <f>IF(OR($B66="",_自动清单!$G$10=""),"",SUMIFS(包装物料出入库明细!$J$4:$J$2003,包装物料出入库明细!$D$4:$D$2003,$B66,包装物料出入库明细!$E$4:$E$2003,_自动清单!$G$10,包装物料出入库明细!$B$4:$B$2003,"&gt;="&amp;$AF$1,包装物料出入库明细!$B$4:$B$2003,"&lt;="&amp;$AF$2))</f>
        <v/>
      </c>
      <c r="J66" s="25" t="str">
        <f>IF(OR($B66="",_自动清单!$G$11=""),"",SUMIFS(包装物料出入库明细!$J$4:$J$2003,包装物料出入库明细!$D$4:$D$2003,$B66,包装物料出入库明细!$E$4:$E$2003,_自动清单!$G$11,包装物料出入库明细!$B$4:$B$2003,"&gt;="&amp;$AF$1,包装物料出入库明细!$B$4:$B$2003,"&lt;="&amp;$AF$2))</f>
        <v/>
      </c>
      <c r="K66" s="25" t="str">
        <f>IF(OR($B66="",_自动清单!$G$12=""),"",SUMIFS(包装物料出入库明细!$J$4:$J$2003,包装物料出入库明细!$D$4:$D$2003,$B66,包装物料出入库明细!$E$4:$E$2003,_自动清单!$G$12,包装物料出入库明细!$B$4:$B$2003,"&gt;="&amp;$AF$1,包装物料出入库明细!$B$4:$B$2003,"&lt;="&amp;$AF$2))</f>
        <v/>
      </c>
      <c r="L66" s="25" t="str">
        <f>IF(OR($B66="",_自动清单!$G$13=""),"",SUMIFS(包装物料出入库明细!$J$4:$J$2003,包装物料出入库明细!$D$4:$D$2003,$B66,包装物料出入库明细!$E$4:$E$2003,_自动清单!$G$13,包装物料出入库明细!$B$4:$B$2003,"&gt;="&amp;$AF$1,包装物料出入库明细!$B$4:$B$2003,"&lt;="&amp;$AF$2))</f>
        <v/>
      </c>
      <c r="M66" s="25" t="str">
        <f>IF(OR($B66="",_自动清单!$G$14=""),"",SUMIFS(包装物料出入库明细!$J$4:$J$2003,包装物料出入库明细!$D$4:$D$2003,$B66,包装物料出入库明细!$E$4:$E$2003,_自动清单!$G$14,包装物料出入库明细!$B$4:$B$2003,"&gt;="&amp;$AF$1,包装物料出入库明细!$B$4:$B$2003,"&lt;="&amp;$AF$2))</f>
        <v/>
      </c>
      <c r="N66" s="25" t="str">
        <f>IF(OR($B66="",_自动清单!$G$15=""),"",SUMIFS(包装物料出入库明细!$J$4:$J$2003,包装物料出入库明细!$D$4:$D$2003,$B66,包装物料出入库明细!$E$4:$E$2003,_自动清单!$G$15,包装物料出入库明细!$B$4:$B$2003,"&gt;="&amp;$AF$1,包装物料出入库明细!$B$4:$B$2003,"&lt;="&amp;$AF$2))</f>
        <v/>
      </c>
      <c r="O66" s="25" t="str">
        <f>IF(OR($B66="",_自动清单!$G$16=""),"",SUMIFS(包装物料出入库明细!$J$4:$J$2003,包装物料出入库明细!$D$4:$D$2003,$B66,包装物料出入库明细!$E$4:$E$2003,_自动清单!$G$16,包装物料出入库明细!$B$4:$B$2003,"&gt;="&amp;$AF$1,包装物料出入库明细!$B$4:$B$2003,"&lt;="&amp;$AF$2))</f>
        <v/>
      </c>
      <c r="P66" s="25" t="str">
        <f>IF(OR($B66="",_自动清单!$G$17=""),"",SUMIFS(包装物料出入库明细!$J$4:$J$2003,包装物料出入库明细!$D$4:$D$2003,$B66,包装物料出入库明细!$E$4:$E$2003,_自动清单!$G$17,包装物料出入库明细!$B$4:$B$2003,"&gt;="&amp;$AF$1,包装物料出入库明细!$B$4:$B$2003,"&lt;="&amp;$AF$2))</f>
        <v/>
      </c>
      <c r="Q66" s="25" t="str">
        <f>IF(OR($B66="",_自动清单!$G$18=""),"",SUMIFS(包装物料出入库明细!$J$4:$J$2003,包装物料出入库明细!$D$4:$D$2003,$B66,包装物料出入库明细!$E$4:$E$2003,_自动清单!$G$18,包装物料出入库明细!$B$4:$B$2003,"&gt;="&amp;$AF$1,包装物料出入库明细!$B$4:$B$2003,"&lt;="&amp;$AF$2))</f>
        <v/>
      </c>
      <c r="R66" s="25" t="str">
        <f>IF(OR($B66="",_自动清单!$G$19=""),"",SUMIFS(包装物料出入库明细!$J$4:$J$2003,包装物料出入库明细!$D$4:$D$2003,$B66,包装物料出入库明细!$E$4:$E$2003,_自动清单!$G$19,包装物料出入库明细!$B$4:$B$2003,"&gt;="&amp;$AF$1,包装物料出入库明细!$B$4:$B$2003,"&lt;="&amp;$AF$2))</f>
        <v/>
      </c>
      <c r="S66" s="25" t="str">
        <f>IF(OR($B66="",_自动清单!$G$20=""),"",SUMIFS(包装物料出入库明细!$J$4:$J$2003,包装物料出入库明细!$D$4:$D$2003,$B66,包装物料出入库明细!$E$4:$E$2003,_自动清单!$G$20,包装物料出入库明细!$B$4:$B$2003,"&gt;="&amp;$AF$1,包装物料出入库明细!$B$4:$B$2003,"&lt;="&amp;$AF$2))</f>
        <v/>
      </c>
      <c r="T66" s="25" t="str">
        <f>IF(OR($B66="",_自动清单!$G$21=""),"",SUMIFS(包装物料出入库明细!$J$4:$J$2003,包装物料出入库明细!$D$4:$D$2003,$B66,包装物料出入库明细!$E$4:$E$2003,_自动清单!$G$21,包装物料出入库明细!$B$4:$B$2003,"&gt;="&amp;$AF$1,包装物料出入库明细!$B$4:$B$2003,"&lt;="&amp;$AF$2))</f>
        <v/>
      </c>
      <c r="U66" s="25" t="str">
        <f>IF($B66="","",SUMIFS(包装物料出入库明细!$J$4:$J$2003,包装物料出入库明细!$D$4:$D$2003,$B66,包装物料出入库明细!$B$4:$B$2003,"&gt;="&amp;$AF$1,包装物料出入库明细!$B$4:$B$2003,"&lt;="&amp;$AF$2)-SUM($C66:$T66))</f>
        <v/>
      </c>
      <c r="V66" s="25" t="str">
        <f t="shared" si="1"/>
        <v/>
      </c>
      <c r="W66" s="56" t="str">
        <f>IF($B66="","",SUMIFS(包装物料出入库明细!$K$4:$K$2003,包装物料出入库明细!$D$4:$D$2003,$B66,包装物料出入库明细!$B$4:$B$2003,"&gt;="&amp;$AF$1,包装物料出入库明细!$B$4:$B$2003,"&lt;="&amp;$AF$2))</f>
        <v/>
      </c>
      <c r="X66" s="25" t="str">
        <f t="shared" si="2"/>
        <v/>
      </c>
      <c r="Y66" s="26" t="str">
        <f>IF($B66="","",ROUND(SUMIFS(包装物料出入库明细!$N$4:$N$2003,包装物料出入库明细!$D$4:$D$2003,$B66,包装物料出入库明细!$H$4:$H$2003,"销售出库",包装物料出入库明细!$B$4:$B$2003,"&gt;="&amp;$AF$1,包装物料出入库明细!$B$4:$B$2003,"&lt;="&amp;$AF$2),2))</f>
        <v/>
      </c>
      <c r="Z66" s="26" t="str">
        <f>IF($B66="","",ROUND(SUMIFS(包装物料出入库明细!$N$4:$N$2003,包装物料出入库明细!$D$4:$D$2003,$B66,包装物料出入库明细!$H$4:$H$2003,"销售出库",包装物料出入库明细!$P$4:$P$2003,"已收讫",包装物料出入库明细!$B$4:$B$2003,"&gt;="&amp;$AF$1,包装物料出入库明细!$B$4:$B$2003,"&lt;="&amp;$AF$2),2))</f>
        <v/>
      </c>
      <c r="AA66" s="26" t="str">
        <f t="shared" si="3"/>
        <v/>
      </c>
      <c r="AB66" s="41"/>
    </row>
    <row r="67" spans="1:28">
      <c r="A67" s="24" t="str">
        <f t="shared" si="0"/>
        <v/>
      </c>
      <c r="B67" s="24" t="str">
        <f>IFERROR(INDEX(_自动清单!$O$4:$O$203,ROW()-3),"")</f>
        <v/>
      </c>
      <c r="C67" s="25" t="str">
        <f>IF(OR($B67="",_自动清单!$G$4=""),"",SUMIFS(包装物料出入库明细!$J$4:$J$2003,包装物料出入库明细!$D$4:$D$2003,$B67,包装物料出入库明细!$E$4:$E$2003,_自动清单!$G$4,包装物料出入库明细!$B$4:$B$2003,"&gt;="&amp;$AF$1,包装物料出入库明细!$B$4:$B$2003,"&lt;="&amp;$AF$2))</f>
        <v/>
      </c>
      <c r="D67" s="25" t="str">
        <f>IF(OR($B67="",_自动清单!$G$5=""),"",SUMIFS(包装物料出入库明细!$J$4:$J$2003,包装物料出入库明细!$D$4:$D$2003,$B67,包装物料出入库明细!$E$4:$E$2003,_自动清单!$G$5,包装物料出入库明细!$B$4:$B$2003,"&gt;="&amp;$AF$1,包装物料出入库明细!$B$4:$B$2003,"&lt;="&amp;$AF$2))</f>
        <v/>
      </c>
      <c r="E67" s="25" t="str">
        <f>IF(OR($B67="",_自动清单!$G$6=""),"",SUMIFS(包装物料出入库明细!$J$4:$J$2003,包装物料出入库明细!$D$4:$D$2003,$B67,包装物料出入库明细!$E$4:$E$2003,_自动清单!$G$6,包装物料出入库明细!$B$4:$B$2003,"&gt;="&amp;$AF$1,包装物料出入库明细!$B$4:$B$2003,"&lt;="&amp;$AF$2))</f>
        <v/>
      </c>
      <c r="F67" s="25" t="str">
        <f>IF(OR($B67="",_自动清单!$G$7=""),"",SUMIFS(包装物料出入库明细!$J$4:$J$2003,包装物料出入库明细!$D$4:$D$2003,$B67,包装物料出入库明细!$E$4:$E$2003,_自动清单!$G$7,包装物料出入库明细!$B$4:$B$2003,"&gt;="&amp;$AF$1,包装物料出入库明细!$B$4:$B$2003,"&lt;="&amp;$AF$2))</f>
        <v/>
      </c>
      <c r="G67" s="25" t="str">
        <f>IF(OR($B67="",_自动清单!$G$8=""),"",SUMIFS(包装物料出入库明细!$J$4:$J$2003,包装物料出入库明细!$D$4:$D$2003,$B67,包装物料出入库明细!$E$4:$E$2003,_自动清单!$G$8,包装物料出入库明细!$B$4:$B$2003,"&gt;="&amp;$AF$1,包装物料出入库明细!$B$4:$B$2003,"&lt;="&amp;$AF$2))</f>
        <v/>
      </c>
      <c r="H67" s="25" t="str">
        <f>IF(OR($B67="",_自动清单!$G$9=""),"",SUMIFS(包装物料出入库明细!$J$4:$J$2003,包装物料出入库明细!$D$4:$D$2003,$B67,包装物料出入库明细!$E$4:$E$2003,_自动清单!$G$9,包装物料出入库明细!$B$4:$B$2003,"&gt;="&amp;$AF$1,包装物料出入库明细!$B$4:$B$2003,"&lt;="&amp;$AF$2))</f>
        <v/>
      </c>
      <c r="I67" s="25" t="str">
        <f>IF(OR($B67="",_自动清单!$G$10=""),"",SUMIFS(包装物料出入库明细!$J$4:$J$2003,包装物料出入库明细!$D$4:$D$2003,$B67,包装物料出入库明细!$E$4:$E$2003,_自动清单!$G$10,包装物料出入库明细!$B$4:$B$2003,"&gt;="&amp;$AF$1,包装物料出入库明细!$B$4:$B$2003,"&lt;="&amp;$AF$2))</f>
        <v/>
      </c>
      <c r="J67" s="25" t="str">
        <f>IF(OR($B67="",_自动清单!$G$11=""),"",SUMIFS(包装物料出入库明细!$J$4:$J$2003,包装物料出入库明细!$D$4:$D$2003,$B67,包装物料出入库明细!$E$4:$E$2003,_自动清单!$G$11,包装物料出入库明细!$B$4:$B$2003,"&gt;="&amp;$AF$1,包装物料出入库明细!$B$4:$B$2003,"&lt;="&amp;$AF$2))</f>
        <v/>
      </c>
      <c r="K67" s="25" t="str">
        <f>IF(OR($B67="",_自动清单!$G$12=""),"",SUMIFS(包装物料出入库明细!$J$4:$J$2003,包装物料出入库明细!$D$4:$D$2003,$B67,包装物料出入库明细!$E$4:$E$2003,_自动清单!$G$12,包装物料出入库明细!$B$4:$B$2003,"&gt;="&amp;$AF$1,包装物料出入库明细!$B$4:$B$2003,"&lt;="&amp;$AF$2))</f>
        <v/>
      </c>
      <c r="L67" s="25" t="str">
        <f>IF(OR($B67="",_自动清单!$G$13=""),"",SUMIFS(包装物料出入库明细!$J$4:$J$2003,包装物料出入库明细!$D$4:$D$2003,$B67,包装物料出入库明细!$E$4:$E$2003,_自动清单!$G$13,包装物料出入库明细!$B$4:$B$2003,"&gt;="&amp;$AF$1,包装物料出入库明细!$B$4:$B$2003,"&lt;="&amp;$AF$2))</f>
        <v/>
      </c>
      <c r="M67" s="25" t="str">
        <f>IF(OR($B67="",_自动清单!$G$14=""),"",SUMIFS(包装物料出入库明细!$J$4:$J$2003,包装物料出入库明细!$D$4:$D$2003,$B67,包装物料出入库明细!$E$4:$E$2003,_自动清单!$G$14,包装物料出入库明细!$B$4:$B$2003,"&gt;="&amp;$AF$1,包装物料出入库明细!$B$4:$B$2003,"&lt;="&amp;$AF$2))</f>
        <v/>
      </c>
      <c r="N67" s="25" t="str">
        <f>IF(OR($B67="",_自动清单!$G$15=""),"",SUMIFS(包装物料出入库明细!$J$4:$J$2003,包装物料出入库明细!$D$4:$D$2003,$B67,包装物料出入库明细!$E$4:$E$2003,_自动清单!$G$15,包装物料出入库明细!$B$4:$B$2003,"&gt;="&amp;$AF$1,包装物料出入库明细!$B$4:$B$2003,"&lt;="&amp;$AF$2))</f>
        <v/>
      </c>
      <c r="O67" s="25" t="str">
        <f>IF(OR($B67="",_自动清单!$G$16=""),"",SUMIFS(包装物料出入库明细!$J$4:$J$2003,包装物料出入库明细!$D$4:$D$2003,$B67,包装物料出入库明细!$E$4:$E$2003,_自动清单!$G$16,包装物料出入库明细!$B$4:$B$2003,"&gt;="&amp;$AF$1,包装物料出入库明细!$B$4:$B$2003,"&lt;="&amp;$AF$2))</f>
        <v/>
      </c>
      <c r="P67" s="25" t="str">
        <f>IF(OR($B67="",_自动清单!$G$17=""),"",SUMIFS(包装物料出入库明细!$J$4:$J$2003,包装物料出入库明细!$D$4:$D$2003,$B67,包装物料出入库明细!$E$4:$E$2003,_自动清单!$G$17,包装物料出入库明细!$B$4:$B$2003,"&gt;="&amp;$AF$1,包装物料出入库明细!$B$4:$B$2003,"&lt;="&amp;$AF$2))</f>
        <v/>
      </c>
      <c r="Q67" s="25" t="str">
        <f>IF(OR($B67="",_自动清单!$G$18=""),"",SUMIFS(包装物料出入库明细!$J$4:$J$2003,包装物料出入库明细!$D$4:$D$2003,$B67,包装物料出入库明细!$E$4:$E$2003,_自动清单!$G$18,包装物料出入库明细!$B$4:$B$2003,"&gt;="&amp;$AF$1,包装物料出入库明细!$B$4:$B$2003,"&lt;="&amp;$AF$2))</f>
        <v/>
      </c>
      <c r="R67" s="25" t="str">
        <f>IF(OR($B67="",_自动清单!$G$19=""),"",SUMIFS(包装物料出入库明细!$J$4:$J$2003,包装物料出入库明细!$D$4:$D$2003,$B67,包装物料出入库明细!$E$4:$E$2003,_自动清单!$G$19,包装物料出入库明细!$B$4:$B$2003,"&gt;="&amp;$AF$1,包装物料出入库明细!$B$4:$B$2003,"&lt;="&amp;$AF$2))</f>
        <v/>
      </c>
      <c r="S67" s="25" t="str">
        <f>IF(OR($B67="",_自动清单!$G$20=""),"",SUMIFS(包装物料出入库明细!$J$4:$J$2003,包装物料出入库明细!$D$4:$D$2003,$B67,包装物料出入库明细!$E$4:$E$2003,_自动清单!$G$20,包装物料出入库明细!$B$4:$B$2003,"&gt;="&amp;$AF$1,包装物料出入库明细!$B$4:$B$2003,"&lt;="&amp;$AF$2))</f>
        <v/>
      </c>
      <c r="T67" s="25" t="str">
        <f>IF(OR($B67="",_自动清单!$G$21=""),"",SUMIFS(包装物料出入库明细!$J$4:$J$2003,包装物料出入库明细!$D$4:$D$2003,$B67,包装物料出入库明细!$E$4:$E$2003,_自动清单!$G$21,包装物料出入库明细!$B$4:$B$2003,"&gt;="&amp;$AF$1,包装物料出入库明细!$B$4:$B$2003,"&lt;="&amp;$AF$2))</f>
        <v/>
      </c>
      <c r="U67" s="25" t="str">
        <f>IF($B67="","",SUMIFS(包装物料出入库明细!$J$4:$J$2003,包装物料出入库明细!$D$4:$D$2003,$B67,包装物料出入库明细!$B$4:$B$2003,"&gt;="&amp;$AF$1,包装物料出入库明细!$B$4:$B$2003,"&lt;="&amp;$AF$2)-SUM($C67:$T67))</f>
        <v/>
      </c>
      <c r="V67" s="25" t="str">
        <f t="shared" si="1"/>
        <v/>
      </c>
      <c r="W67" s="56" t="str">
        <f>IF($B67="","",SUMIFS(包装物料出入库明细!$K$4:$K$2003,包装物料出入库明细!$D$4:$D$2003,$B67,包装物料出入库明细!$B$4:$B$2003,"&gt;="&amp;$AF$1,包装物料出入库明细!$B$4:$B$2003,"&lt;="&amp;$AF$2))</f>
        <v/>
      </c>
      <c r="X67" s="25" t="str">
        <f t="shared" si="2"/>
        <v/>
      </c>
      <c r="Y67" s="26" t="str">
        <f>IF($B67="","",ROUND(SUMIFS(包装物料出入库明细!$N$4:$N$2003,包装物料出入库明细!$D$4:$D$2003,$B67,包装物料出入库明细!$H$4:$H$2003,"销售出库",包装物料出入库明细!$B$4:$B$2003,"&gt;="&amp;$AF$1,包装物料出入库明细!$B$4:$B$2003,"&lt;="&amp;$AF$2),2))</f>
        <v/>
      </c>
      <c r="Z67" s="26" t="str">
        <f>IF($B67="","",ROUND(SUMIFS(包装物料出入库明细!$N$4:$N$2003,包装物料出入库明细!$D$4:$D$2003,$B67,包装物料出入库明细!$H$4:$H$2003,"销售出库",包装物料出入库明细!$P$4:$P$2003,"已收讫",包装物料出入库明细!$B$4:$B$2003,"&gt;="&amp;$AF$1,包装物料出入库明细!$B$4:$B$2003,"&lt;="&amp;$AF$2),2))</f>
        <v/>
      </c>
      <c r="AA67" s="26" t="str">
        <f t="shared" si="3"/>
        <v/>
      </c>
      <c r="AB67" s="41"/>
    </row>
    <row r="68" spans="1:28">
      <c r="A68" s="24" t="str">
        <f t="shared" ref="A68:A131" si="4">IF($B68="","",ROW()-3)</f>
        <v/>
      </c>
      <c r="B68" s="24" t="str">
        <f>IFERROR(INDEX(_自动清单!$O$4:$O$203,ROW()-3),"")</f>
        <v/>
      </c>
      <c r="C68" s="25" t="str">
        <f>IF(OR($B68="",_自动清单!$G$4=""),"",SUMIFS(包装物料出入库明细!$J$4:$J$2003,包装物料出入库明细!$D$4:$D$2003,$B68,包装物料出入库明细!$E$4:$E$2003,_自动清单!$G$4,包装物料出入库明细!$B$4:$B$2003,"&gt;="&amp;$AF$1,包装物料出入库明细!$B$4:$B$2003,"&lt;="&amp;$AF$2))</f>
        <v/>
      </c>
      <c r="D68" s="25" t="str">
        <f>IF(OR($B68="",_自动清单!$G$5=""),"",SUMIFS(包装物料出入库明细!$J$4:$J$2003,包装物料出入库明细!$D$4:$D$2003,$B68,包装物料出入库明细!$E$4:$E$2003,_自动清单!$G$5,包装物料出入库明细!$B$4:$B$2003,"&gt;="&amp;$AF$1,包装物料出入库明细!$B$4:$B$2003,"&lt;="&amp;$AF$2))</f>
        <v/>
      </c>
      <c r="E68" s="25" t="str">
        <f>IF(OR($B68="",_自动清单!$G$6=""),"",SUMIFS(包装物料出入库明细!$J$4:$J$2003,包装物料出入库明细!$D$4:$D$2003,$B68,包装物料出入库明细!$E$4:$E$2003,_自动清单!$G$6,包装物料出入库明细!$B$4:$B$2003,"&gt;="&amp;$AF$1,包装物料出入库明细!$B$4:$B$2003,"&lt;="&amp;$AF$2))</f>
        <v/>
      </c>
      <c r="F68" s="25" t="str">
        <f>IF(OR($B68="",_自动清单!$G$7=""),"",SUMIFS(包装物料出入库明细!$J$4:$J$2003,包装物料出入库明细!$D$4:$D$2003,$B68,包装物料出入库明细!$E$4:$E$2003,_自动清单!$G$7,包装物料出入库明细!$B$4:$B$2003,"&gt;="&amp;$AF$1,包装物料出入库明细!$B$4:$B$2003,"&lt;="&amp;$AF$2))</f>
        <v/>
      </c>
      <c r="G68" s="25" t="str">
        <f>IF(OR($B68="",_自动清单!$G$8=""),"",SUMIFS(包装物料出入库明细!$J$4:$J$2003,包装物料出入库明细!$D$4:$D$2003,$B68,包装物料出入库明细!$E$4:$E$2003,_自动清单!$G$8,包装物料出入库明细!$B$4:$B$2003,"&gt;="&amp;$AF$1,包装物料出入库明细!$B$4:$B$2003,"&lt;="&amp;$AF$2))</f>
        <v/>
      </c>
      <c r="H68" s="25" t="str">
        <f>IF(OR($B68="",_自动清单!$G$9=""),"",SUMIFS(包装物料出入库明细!$J$4:$J$2003,包装物料出入库明细!$D$4:$D$2003,$B68,包装物料出入库明细!$E$4:$E$2003,_自动清单!$G$9,包装物料出入库明细!$B$4:$B$2003,"&gt;="&amp;$AF$1,包装物料出入库明细!$B$4:$B$2003,"&lt;="&amp;$AF$2))</f>
        <v/>
      </c>
      <c r="I68" s="25" t="str">
        <f>IF(OR($B68="",_自动清单!$G$10=""),"",SUMIFS(包装物料出入库明细!$J$4:$J$2003,包装物料出入库明细!$D$4:$D$2003,$B68,包装物料出入库明细!$E$4:$E$2003,_自动清单!$G$10,包装物料出入库明细!$B$4:$B$2003,"&gt;="&amp;$AF$1,包装物料出入库明细!$B$4:$B$2003,"&lt;="&amp;$AF$2))</f>
        <v/>
      </c>
      <c r="J68" s="25" t="str">
        <f>IF(OR($B68="",_自动清单!$G$11=""),"",SUMIFS(包装物料出入库明细!$J$4:$J$2003,包装物料出入库明细!$D$4:$D$2003,$B68,包装物料出入库明细!$E$4:$E$2003,_自动清单!$G$11,包装物料出入库明细!$B$4:$B$2003,"&gt;="&amp;$AF$1,包装物料出入库明细!$B$4:$B$2003,"&lt;="&amp;$AF$2))</f>
        <v/>
      </c>
      <c r="K68" s="25" t="str">
        <f>IF(OR($B68="",_自动清单!$G$12=""),"",SUMIFS(包装物料出入库明细!$J$4:$J$2003,包装物料出入库明细!$D$4:$D$2003,$B68,包装物料出入库明细!$E$4:$E$2003,_自动清单!$G$12,包装物料出入库明细!$B$4:$B$2003,"&gt;="&amp;$AF$1,包装物料出入库明细!$B$4:$B$2003,"&lt;="&amp;$AF$2))</f>
        <v/>
      </c>
      <c r="L68" s="25" t="str">
        <f>IF(OR($B68="",_自动清单!$G$13=""),"",SUMIFS(包装物料出入库明细!$J$4:$J$2003,包装物料出入库明细!$D$4:$D$2003,$B68,包装物料出入库明细!$E$4:$E$2003,_自动清单!$G$13,包装物料出入库明细!$B$4:$B$2003,"&gt;="&amp;$AF$1,包装物料出入库明细!$B$4:$B$2003,"&lt;="&amp;$AF$2))</f>
        <v/>
      </c>
      <c r="M68" s="25" t="str">
        <f>IF(OR($B68="",_自动清单!$G$14=""),"",SUMIFS(包装物料出入库明细!$J$4:$J$2003,包装物料出入库明细!$D$4:$D$2003,$B68,包装物料出入库明细!$E$4:$E$2003,_自动清单!$G$14,包装物料出入库明细!$B$4:$B$2003,"&gt;="&amp;$AF$1,包装物料出入库明细!$B$4:$B$2003,"&lt;="&amp;$AF$2))</f>
        <v/>
      </c>
      <c r="N68" s="25" t="str">
        <f>IF(OR($B68="",_自动清单!$G$15=""),"",SUMIFS(包装物料出入库明细!$J$4:$J$2003,包装物料出入库明细!$D$4:$D$2003,$B68,包装物料出入库明细!$E$4:$E$2003,_自动清单!$G$15,包装物料出入库明细!$B$4:$B$2003,"&gt;="&amp;$AF$1,包装物料出入库明细!$B$4:$B$2003,"&lt;="&amp;$AF$2))</f>
        <v/>
      </c>
      <c r="O68" s="25" t="str">
        <f>IF(OR($B68="",_自动清单!$G$16=""),"",SUMIFS(包装物料出入库明细!$J$4:$J$2003,包装物料出入库明细!$D$4:$D$2003,$B68,包装物料出入库明细!$E$4:$E$2003,_自动清单!$G$16,包装物料出入库明细!$B$4:$B$2003,"&gt;="&amp;$AF$1,包装物料出入库明细!$B$4:$B$2003,"&lt;="&amp;$AF$2))</f>
        <v/>
      </c>
      <c r="P68" s="25" t="str">
        <f>IF(OR($B68="",_自动清单!$G$17=""),"",SUMIFS(包装物料出入库明细!$J$4:$J$2003,包装物料出入库明细!$D$4:$D$2003,$B68,包装物料出入库明细!$E$4:$E$2003,_自动清单!$G$17,包装物料出入库明细!$B$4:$B$2003,"&gt;="&amp;$AF$1,包装物料出入库明细!$B$4:$B$2003,"&lt;="&amp;$AF$2))</f>
        <v/>
      </c>
      <c r="Q68" s="25" t="str">
        <f>IF(OR($B68="",_自动清单!$G$18=""),"",SUMIFS(包装物料出入库明细!$J$4:$J$2003,包装物料出入库明细!$D$4:$D$2003,$B68,包装物料出入库明细!$E$4:$E$2003,_自动清单!$G$18,包装物料出入库明细!$B$4:$B$2003,"&gt;="&amp;$AF$1,包装物料出入库明细!$B$4:$B$2003,"&lt;="&amp;$AF$2))</f>
        <v/>
      </c>
      <c r="R68" s="25" t="str">
        <f>IF(OR($B68="",_自动清单!$G$19=""),"",SUMIFS(包装物料出入库明细!$J$4:$J$2003,包装物料出入库明细!$D$4:$D$2003,$B68,包装物料出入库明细!$E$4:$E$2003,_自动清单!$G$19,包装物料出入库明细!$B$4:$B$2003,"&gt;="&amp;$AF$1,包装物料出入库明细!$B$4:$B$2003,"&lt;="&amp;$AF$2))</f>
        <v/>
      </c>
      <c r="S68" s="25" t="str">
        <f>IF(OR($B68="",_自动清单!$G$20=""),"",SUMIFS(包装物料出入库明细!$J$4:$J$2003,包装物料出入库明细!$D$4:$D$2003,$B68,包装物料出入库明细!$E$4:$E$2003,_自动清单!$G$20,包装物料出入库明细!$B$4:$B$2003,"&gt;="&amp;$AF$1,包装物料出入库明细!$B$4:$B$2003,"&lt;="&amp;$AF$2))</f>
        <v/>
      </c>
      <c r="T68" s="25" t="str">
        <f>IF(OR($B68="",_自动清单!$G$21=""),"",SUMIFS(包装物料出入库明细!$J$4:$J$2003,包装物料出入库明细!$D$4:$D$2003,$B68,包装物料出入库明细!$E$4:$E$2003,_自动清单!$G$21,包装物料出入库明细!$B$4:$B$2003,"&gt;="&amp;$AF$1,包装物料出入库明细!$B$4:$B$2003,"&lt;="&amp;$AF$2))</f>
        <v/>
      </c>
      <c r="U68" s="25" t="str">
        <f>IF($B68="","",SUMIFS(包装物料出入库明细!$J$4:$J$2003,包装物料出入库明细!$D$4:$D$2003,$B68,包装物料出入库明细!$B$4:$B$2003,"&gt;="&amp;$AF$1,包装物料出入库明细!$B$4:$B$2003,"&lt;="&amp;$AF$2)-SUM($C68:$T68))</f>
        <v/>
      </c>
      <c r="V68" s="25" t="str">
        <f t="shared" ref="V68:V131" si="5">IF($B68="","",SUM($C68:$U68))</f>
        <v/>
      </c>
      <c r="W68" s="56" t="str">
        <f>IF($B68="","",SUMIFS(包装物料出入库明细!$K$4:$K$2003,包装物料出入库明细!$D$4:$D$2003,$B68,包装物料出入库明细!$B$4:$B$2003,"&gt;="&amp;$AF$1,包装物料出入库明细!$B$4:$B$2003,"&lt;="&amp;$AF$2))</f>
        <v/>
      </c>
      <c r="X68" s="25" t="str">
        <f t="shared" ref="X68:X131" si="6">IF($B68="","",N($V68)-N($W68))</f>
        <v/>
      </c>
      <c r="Y68" s="26" t="str">
        <f>IF($B68="","",ROUND(SUMIFS(包装物料出入库明细!$N$4:$N$2003,包装物料出入库明细!$D$4:$D$2003,$B68,包装物料出入库明细!$H$4:$H$2003,"销售出库",包装物料出入库明细!$B$4:$B$2003,"&gt;="&amp;$AF$1,包装物料出入库明细!$B$4:$B$2003,"&lt;="&amp;$AF$2),2))</f>
        <v/>
      </c>
      <c r="Z68" s="26" t="str">
        <f>IF($B68="","",ROUND(SUMIFS(包装物料出入库明细!$N$4:$N$2003,包装物料出入库明细!$D$4:$D$2003,$B68,包装物料出入库明细!$H$4:$H$2003,"销售出库",包装物料出入库明细!$P$4:$P$2003,"已收讫",包装物料出入库明细!$B$4:$B$2003,"&gt;="&amp;$AF$1,包装物料出入库明细!$B$4:$B$2003,"&lt;="&amp;$AF$2),2))</f>
        <v/>
      </c>
      <c r="AA68" s="26" t="str">
        <f t="shared" ref="AA68:AA131" si="7">IF($B68="","",ROUND(N($Y68)-N($Z68),2))</f>
        <v/>
      </c>
      <c r="AB68" s="41"/>
    </row>
    <row r="69" spans="1:28">
      <c r="A69" s="24" t="str">
        <f t="shared" si="4"/>
        <v/>
      </c>
      <c r="B69" s="24" t="str">
        <f>IFERROR(INDEX(_自动清单!$O$4:$O$203,ROW()-3),"")</f>
        <v/>
      </c>
      <c r="C69" s="25" t="str">
        <f>IF(OR($B69="",_自动清单!$G$4=""),"",SUMIFS(包装物料出入库明细!$J$4:$J$2003,包装物料出入库明细!$D$4:$D$2003,$B69,包装物料出入库明细!$E$4:$E$2003,_自动清单!$G$4,包装物料出入库明细!$B$4:$B$2003,"&gt;="&amp;$AF$1,包装物料出入库明细!$B$4:$B$2003,"&lt;="&amp;$AF$2))</f>
        <v/>
      </c>
      <c r="D69" s="25" t="str">
        <f>IF(OR($B69="",_自动清单!$G$5=""),"",SUMIFS(包装物料出入库明细!$J$4:$J$2003,包装物料出入库明细!$D$4:$D$2003,$B69,包装物料出入库明细!$E$4:$E$2003,_自动清单!$G$5,包装物料出入库明细!$B$4:$B$2003,"&gt;="&amp;$AF$1,包装物料出入库明细!$B$4:$B$2003,"&lt;="&amp;$AF$2))</f>
        <v/>
      </c>
      <c r="E69" s="25" t="str">
        <f>IF(OR($B69="",_自动清单!$G$6=""),"",SUMIFS(包装物料出入库明细!$J$4:$J$2003,包装物料出入库明细!$D$4:$D$2003,$B69,包装物料出入库明细!$E$4:$E$2003,_自动清单!$G$6,包装物料出入库明细!$B$4:$B$2003,"&gt;="&amp;$AF$1,包装物料出入库明细!$B$4:$B$2003,"&lt;="&amp;$AF$2))</f>
        <v/>
      </c>
      <c r="F69" s="25" t="str">
        <f>IF(OR($B69="",_自动清单!$G$7=""),"",SUMIFS(包装物料出入库明细!$J$4:$J$2003,包装物料出入库明细!$D$4:$D$2003,$B69,包装物料出入库明细!$E$4:$E$2003,_自动清单!$G$7,包装物料出入库明细!$B$4:$B$2003,"&gt;="&amp;$AF$1,包装物料出入库明细!$B$4:$B$2003,"&lt;="&amp;$AF$2))</f>
        <v/>
      </c>
      <c r="G69" s="25" t="str">
        <f>IF(OR($B69="",_自动清单!$G$8=""),"",SUMIFS(包装物料出入库明细!$J$4:$J$2003,包装物料出入库明细!$D$4:$D$2003,$B69,包装物料出入库明细!$E$4:$E$2003,_自动清单!$G$8,包装物料出入库明细!$B$4:$B$2003,"&gt;="&amp;$AF$1,包装物料出入库明细!$B$4:$B$2003,"&lt;="&amp;$AF$2))</f>
        <v/>
      </c>
      <c r="H69" s="25" t="str">
        <f>IF(OR($B69="",_自动清单!$G$9=""),"",SUMIFS(包装物料出入库明细!$J$4:$J$2003,包装物料出入库明细!$D$4:$D$2003,$B69,包装物料出入库明细!$E$4:$E$2003,_自动清单!$G$9,包装物料出入库明细!$B$4:$B$2003,"&gt;="&amp;$AF$1,包装物料出入库明细!$B$4:$B$2003,"&lt;="&amp;$AF$2))</f>
        <v/>
      </c>
      <c r="I69" s="25" t="str">
        <f>IF(OR($B69="",_自动清单!$G$10=""),"",SUMIFS(包装物料出入库明细!$J$4:$J$2003,包装物料出入库明细!$D$4:$D$2003,$B69,包装物料出入库明细!$E$4:$E$2003,_自动清单!$G$10,包装物料出入库明细!$B$4:$B$2003,"&gt;="&amp;$AF$1,包装物料出入库明细!$B$4:$B$2003,"&lt;="&amp;$AF$2))</f>
        <v/>
      </c>
      <c r="J69" s="25" t="str">
        <f>IF(OR($B69="",_自动清单!$G$11=""),"",SUMIFS(包装物料出入库明细!$J$4:$J$2003,包装物料出入库明细!$D$4:$D$2003,$B69,包装物料出入库明细!$E$4:$E$2003,_自动清单!$G$11,包装物料出入库明细!$B$4:$B$2003,"&gt;="&amp;$AF$1,包装物料出入库明细!$B$4:$B$2003,"&lt;="&amp;$AF$2))</f>
        <v/>
      </c>
      <c r="K69" s="25" t="str">
        <f>IF(OR($B69="",_自动清单!$G$12=""),"",SUMIFS(包装物料出入库明细!$J$4:$J$2003,包装物料出入库明细!$D$4:$D$2003,$B69,包装物料出入库明细!$E$4:$E$2003,_自动清单!$G$12,包装物料出入库明细!$B$4:$B$2003,"&gt;="&amp;$AF$1,包装物料出入库明细!$B$4:$B$2003,"&lt;="&amp;$AF$2))</f>
        <v/>
      </c>
      <c r="L69" s="25" t="str">
        <f>IF(OR($B69="",_自动清单!$G$13=""),"",SUMIFS(包装物料出入库明细!$J$4:$J$2003,包装物料出入库明细!$D$4:$D$2003,$B69,包装物料出入库明细!$E$4:$E$2003,_自动清单!$G$13,包装物料出入库明细!$B$4:$B$2003,"&gt;="&amp;$AF$1,包装物料出入库明细!$B$4:$B$2003,"&lt;="&amp;$AF$2))</f>
        <v/>
      </c>
      <c r="M69" s="25" t="str">
        <f>IF(OR($B69="",_自动清单!$G$14=""),"",SUMIFS(包装物料出入库明细!$J$4:$J$2003,包装物料出入库明细!$D$4:$D$2003,$B69,包装物料出入库明细!$E$4:$E$2003,_自动清单!$G$14,包装物料出入库明细!$B$4:$B$2003,"&gt;="&amp;$AF$1,包装物料出入库明细!$B$4:$B$2003,"&lt;="&amp;$AF$2))</f>
        <v/>
      </c>
      <c r="N69" s="25" t="str">
        <f>IF(OR($B69="",_自动清单!$G$15=""),"",SUMIFS(包装物料出入库明细!$J$4:$J$2003,包装物料出入库明细!$D$4:$D$2003,$B69,包装物料出入库明细!$E$4:$E$2003,_自动清单!$G$15,包装物料出入库明细!$B$4:$B$2003,"&gt;="&amp;$AF$1,包装物料出入库明细!$B$4:$B$2003,"&lt;="&amp;$AF$2))</f>
        <v/>
      </c>
      <c r="O69" s="25" t="str">
        <f>IF(OR($B69="",_自动清单!$G$16=""),"",SUMIFS(包装物料出入库明细!$J$4:$J$2003,包装物料出入库明细!$D$4:$D$2003,$B69,包装物料出入库明细!$E$4:$E$2003,_自动清单!$G$16,包装物料出入库明细!$B$4:$B$2003,"&gt;="&amp;$AF$1,包装物料出入库明细!$B$4:$B$2003,"&lt;="&amp;$AF$2))</f>
        <v/>
      </c>
      <c r="P69" s="25" t="str">
        <f>IF(OR($B69="",_自动清单!$G$17=""),"",SUMIFS(包装物料出入库明细!$J$4:$J$2003,包装物料出入库明细!$D$4:$D$2003,$B69,包装物料出入库明细!$E$4:$E$2003,_自动清单!$G$17,包装物料出入库明细!$B$4:$B$2003,"&gt;="&amp;$AF$1,包装物料出入库明细!$B$4:$B$2003,"&lt;="&amp;$AF$2))</f>
        <v/>
      </c>
      <c r="Q69" s="25" t="str">
        <f>IF(OR($B69="",_自动清单!$G$18=""),"",SUMIFS(包装物料出入库明细!$J$4:$J$2003,包装物料出入库明细!$D$4:$D$2003,$B69,包装物料出入库明细!$E$4:$E$2003,_自动清单!$G$18,包装物料出入库明细!$B$4:$B$2003,"&gt;="&amp;$AF$1,包装物料出入库明细!$B$4:$B$2003,"&lt;="&amp;$AF$2))</f>
        <v/>
      </c>
      <c r="R69" s="25" t="str">
        <f>IF(OR($B69="",_自动清单!$G$19=""),"",SUMIFS(包装物料出入库明细!$J$4:$J$2003,包装物料出入库明细!$D$4:$D$2003,$B69,包装物料出入库明细!$E$4:$E$2003,_自动清单!$G$19,包装物料出入库明细!$B$4:$B$2003,"&gt;="&amp;$AF$1,包装物料出入库明细!$B$4:$B$2003,"&lt;="&amp;$AF$2))</f>
        <v/>
      </c>
      <c r="S69" s="25" t="str">
        <f>IF(OR($B69="",_自动清单!$G$20=""),"",SUMIFS(包装物料出入库明细!$J$4:$J$2003,包装物料出入库明细!$D$4:$D$2003,$B69,包装物料出入库明细!$E$4:$E$2003,_自动清单!$G$20,包装物料出入库明细!$B$4:$B$2003,"&gt;="&amp;$AF$1,包装物料出入库明细!$B$4:$B$2003,"&lt;="&amp;$AF$2))</f>
        <v/>
      </c>
      <c r="T69" s="25" t="str">
        <f>IF(OR($B69="",_自动清单!$G$21=""),"",SUMIFS(包装物料出入库明细!$J$4:$J$2003,包装物料出入库明细!$D$4:$D$2003,$B69,包装物料出入库明细!$E$4:$E$2003,_自动清单!$G$21,包装物料出入库明细!$B$4:$B$2003,"&gt;="&amp;$AF$1,包装物料出入库明细!$B$4:$B$2003,"&lt;="&amp;$AF$2))</f>
        <v/>
      </c>
      <c r="U69" s="25" t="str">
        <f>IF($B69="","",SUMIFS(包装物料出入库明细!$J$4:$J$2003,包装物料出入库明细!$D$4:$D$2003,$B69,包装物料出入库明细!$B$4:$B$2003,"&gt;="&amp;$AF$1,包装物料出入库明细!$B$4:$B$2003,"&lt;="&amp;$AF$2)-SUM($C69:$T69))</f>
        <v/>
      </c>
      <c r="V69" s="25" t="str">
        <f t="shared" si="5"/>
        <v/>
      </c>
      <c r="W69" s="56" t="str">
        <f>IF($B69="","",SUMIFS(包装物料出入库明细!$K$4:$K$2003,包装物料出入库明细!$D$4:$D$2003,$B69,包装物料出入库明细!$B$4:$B$2003,"&gt;="&amp;$AF$1,包装物料出入库明细!$B$4:$B$2003,"&lt;="&amp;$AF$2))</f>
        <v/>
      </c>
      <c r="X69" s="25" t="str">
        <f t="shared" si="6"/>
        <v/>
      </c>
      <c r="Y69" s="26" t="str">
        <f>IF($B69="","",ROUND(SUMIFS(包装物料出入库明细!$N$4:$N$2003,包装物料出入库明细!$D$4:$D$2003,$B69,包装物料出入库明细!$H$4:$H$2003,"销售出库",包装物料出入库明细!$B$4:$B$2003,"&gt;="&amp;$AF$1,包装物料出入库明细!$B$4:$B$2003,"&lt;="&amp;$AF$2),2))</f>
        <v/>
      </c>
      <c r="Z69" s="26" t="str">
        <f>IF($B69="","",ROUND(SUMIFS(包装物料出入库明细!$N$4:$N$2003,包装物料出入库明细!$D$4:$D$2003,$B69,包装物料出入库明细!$H$4:$H$2003,"销售出库",包装物料出入库明细!$P$4:$P$2003,"已收讫",包装物料出入库明细!$B$4:$B$2003,"&gt;="&amp;$AF$1,包装物料出入库明细!$B$4:$B$2003,"&lt;="&amp;$AF$2),2))</f>
        <v/>
      </c>
      <c r="AA69" s="26" t="str">
        <f t="shared" si="7"/>
        <v/>
      </c>
      <c r="AB69" s="41"/>
    </row>
    <row r="70" spans="1:28">
      <c r="A70" s="24" t="str">
        <f t="shared" si="4"/>
        <v/>
      </c>
      <c r="B70" s="24" t="str">
        <f>IFERROR(INDEX(_自动清单!$O$4:$O$203,ROW()-3),"")</f>
        <v/>
      </c>
      <c r="C70" s="25" t="str">
        <f>IF(OR($B70="",_自动清单!$G$4=""),"",SUMIFS(包装物料出入库明细!$J$4:$J$2003,包装物料出入库明细!$D$4:$D$2003,$B70,包装物料出入库明细!$E$4:$E$2003,_自动清单!$G$4,包装物料出入库明细!$B$4:$B$2003,"&gt;="&amp;$AF$1,包装物料出入库明细!$B$4:$B$2003,"&lt;="&amp;$AF$2))</f>
        <v/>
      </c>
      <c r="D70" s="25" t="str">
        <f>IF(OR($B70="",_自动清单!$G$5=""),"",SUMIFS(包装物料出入库明细!$J$4:$J$2003,包装物料出入库明细!$D$4:$D$2003,$B70,包装物料出入库明细!$E$4:$E$2003,_自动清单!$G$5,包装物料出入库明细!$B$4:$B$2003,"&gt;="&amp;$AF$1,包装物料出入库明细!$B$4:$B$2003,"&lt;="&amp;$AF$2))</f>
        <v/>
      </c>
      <c r="E70" s="25" t="str">
        <f>IF(OR($B70="",_自动清单!$G$6=""),"",SUMIFS(包装物料出入库明细!$J$4:$J$2003,包装物料出入库明细!$D$4:$D$2003,$B70,包装物料出入库明细!$E$4:$E$2003,_自动清单!$G$6,包装物料出入库明细!$B$4:$B$2003,"&gt;="&amp;$AF$1,包装物料出入库明细!$B$4:$B$2003,"&lt;="&amp;$AF$2))</f>
        <v/>
      </c>
      <c r="F70" s="25" t="str">
        <f>IF(OR($B70="",_自动清单!$G$7=""),"",SUMIFS(包装物料出入库明细!$J$4:$J$2003,包装物料出入库明细!$D$4:$D$2003,$B70,包装物料出入库明细!$E$4:$E$2003,_自动清单!$G$7,包装物料出入库明细!$B$4:$B$2003,"&gt;="&amp;$AF$1,包装物料出入库明细!$B$4:$B$2003,"&lt;="&amp;$AF$2))</f>
        <v/>
      </c>
      <c r="G70" s="25" t="str">
        <f>IF(OR($B70="",_自动清单!$G$8=""),"",SUMIFS(包装物料出入库明细!$J$4:$J$2003,包装物料出入库明细!$D$4:$D$2003,$B70,包装物料出入库明细!$E$4:$E$2003,_自动清单!$G$8,包装物料出入库明细!$B$4:$B$2003,"&gt;="&amp;$AF$1,包装物料出入库明细!$B$4:$B$2003,"&lt;="&amp;$AF$2))</f>
        <v/>
      </c>
      <c r="H70" s="25" t="str">
        <f>IF(OR($B70="",_自动清单!$G$9=""),"",SUMIFS(包装物料出入库明细!$J$4:$J$2003,包装物料出入库明细!$D$4:$D$2003,$B70,包装物料出入库明细!$E$4:$E$2003,_自动清单!$G$9,包装物料出入库明细!$B$4:$B$2003,"&gt;="&amp;$AF$1,包装物料出入库明细!$B$4:$B$2003,"&lt;="&amp;$AF$2))</f>
        <v/>
      </c>
      <c r="I70" s="25" t="str">
        <f>IF(OR($B70="",_自动清单!$G$10=""),"",SUMIFS(包装物料出入库明细!$J$4:$J$2003,包装物料出入库明细!$D$4:$D$2003,$B70,包装物料出入库明细!$E$4:$E$2003,_自动清单!$G$10,包装物料出入库明细!$B$4:$B$2003,"&gt;="&amp;$AF$1,包装物料出入库明细!$B$4:$B$2003,"&lt;="&amp;$AF$2))</f>
        <v/>
      </c>
      <c r="J70" s="25" t="str">
        <f>IF(OR($B70="",_自动清单!$G$11=""),"",SUMIFS(包装物料出入库明细!$J$4:$J$2003,包装物料出入库明细!$D$4:$D$2003,$B70,包装物料出入库明细!$E$4:$E$2003,_自动清单!$G$11,包装物料出入库明细!$B$4:$B$2003,"&gt;="&amp;$AF$1,包装物料出入库明细!$B$4:$B$2003,"&lt;="&amp;$AF$2))</f>
        <v/>
      </c>
      <c r="K70" s="25" t="str">
        <f>IF(OR($B70="",_自动清单!$G$12=""),"",SUMIFS(包装物料出入库明细!$J$4:$J$2003,包装物料出入库明细!$D$4:$D$2003,$B70,包装物料出入库明细!$E$4:$E$2003,_自动清单!$G$12,包装物料出入库明细!$B$4:$B$2003,"&gt;="&amp;$AF$1,包装物料出入库明细!$B$4:$B$2003,"&lt;="&amp;$AF$2))</f>
        <v/>
      </c>
      <c r="L70" s="25" t="str">
        <f>IF(OR($B70="",_自动清单!$G$13=""),"",SUMIFS(包装物料出入库明细!$J$4:$J$2003,包装物料出入库明细!$D$4:$D$2003,$B70,包装物料出入库明细!$E$4:$E$2003,_自动清单!$G$13,包装物料出入库明细!$B$4:$B$2003,"&gt;="&amp;$AF$1,包装物料出入库明细!$B$4:$B$2003,"&lt;="&amp;$AF$2))</f>
        <v/>
      </c>
      <c r="M70" s="25" t="str">
        <f>IF(OR($B70="",_自动清单!$G$14=""),"",SUMIFS(包装物料出入库明细!$J$4:$J$2003,包装物料出入库明细!$D$4:$D$2003,$B70,包装物料出入库明细!$E$4:$E$2003,_自动清单!$G$14,包装物料出入库明细!$B$4:$B$2003,"&gt;="&amp;$AF$1,包装物料出入库明细!$B$4:$B$2003,"&lt;="&amp;$AF$2))</f>
        <v/>
      </c>
      <c r="N70" s="25" t="str">
        <f>IF(OR($B70="",_自动清单!$G$15=""),"",SUMIFS(包装物料出入库明细!$J$4:$J$2003,包装物料出入库明细!$D$4:$D$2003,$B70,包装物料出入库明细!$E$4:$E$2003,_自动清单!$G$15,包装物料出入库明细!$B$4:$B$2003,"&gt;="&amp;$AF$1,包装物料出入库明细!$B$4:$B$2003,"&lt;="&amp;$AF$2))</f>
        <v/>
      </c>
      <c r="O70" s="25" t="str">
        <f>IF(OR($B70="",_自动清单!$G$16=""),"",SUMIFS(包装物料出入库明细!$J$4:$J$2003,包装物料出入库明细!$D$4:$D$2003,$B70,包装物料出入库明细!$E$4:$E$2003,_自动清单!$G$16,包装物料出入库明细!$B$4:$B$2003,"&gt;="&amp;$AF$1,包装物料出入库明细!$B$4:$B$2003,"&lt;="&amp;$AF$2))</f>
        <v/>
      </c>
      <c r="P70" s="25" t="str">
        <f>IF(OR($B70="",_自动清单!$G$17=""),"",SUMIFS(包装物料出入库明细!$J$4:$J$2003,包装物料出入库明细!$D$4:$D$2003,$B70,包装物料出入库明细!$E$4:$E$2003,_自动清单!$G$17,包装物料出入库明细!$B$4:$B$2003,"&gt;="&amp;$AF$1,包装物料出入库明细!$B$4:$B$2003,"&lt;="&amp;$AF$2))</f>
        <v/>
      </c>
      <c r="Q70" s="25" t="str">
        <f>IF(OR($B70="",_自动清单!$G$18=""),"",SUMIFS(包装物料出入库明细!$J$4:$J$2003,包装物料出入库明细!$D$4:$D$2003,$B70,包装物料出入库明细!$E$4:$E$2003,_自动清单!$G$18,包装物料出入库明细!$B$4:$B$2003,"&gt;="&amp;$AF$1,包装物料出入库明细!$B$4:$B$2003,"&lt;="&amp;$AF$2))</f>
        <v/>
      </c>
      <c r="R70" s="25" t="str">
        <f>IF(OR($B70="",_自动清单!$G$19=""),"",SUMIFS(包装物料出入库明细!$J$4:$J$2003,包装物料出入库明细!$D$4:$D$2003,$B70,包装物料出入库明细!$E$4:$E$2003,_自动清单!$G$19,包装物料出入库明细!$B$4:$B$2003,"&gt;="&amp;$AF$1,包装物料出入库明细!$B$4:$B$2003,"&lt;="&amp;$AF$2))</f>
        <v/>
      </c>
      <c r="S70" s="25" t="str">
        <f>IF(OR($B70="",_自动清单!$G$20=""),"",SUMIFS(包装物料出入库明细!$J$4:$J$2003,包装物料出入库明细!$D$4:$D$2003,$B70,包装物料出入库明细!$E$4:$E$2003,_自动清单!$G$20,包装物料出入库明细!$B$4:$B$2003,"&gt;="&amp;$AF$1,包装物料出入库明细!$B$4:$B$2003,"&lt;="&amp;$AF$2))</f>
        <v/>
      </c>
      <c r="T70" s="25" t="str">
        <f>IF(OR($B70="",_自动清单!$G$21=""),"",SUMIFS(包装物料出入库明细!$J$4:$J$2003,包装物料出入库明细!$D$4:$D$2003,$B70,包装物料出入库明细!$E$4:$E$2003,_自动清单!$G$21,包装物料出入库明细!$B$4:$B$2003,"&gt;="&amp;$AF$1,包装物料出入库明细!$B$4:$B$2003,"&lt;="&amp;$AF$2))</f>
        <v/>
      </c>
      <c r="U70" s="25" t="str">
        <f>IF($B70="","",SUMIFS(包装物料出入库明细!$J$4:$J$2003,包装物料出入库明细!$D$4:$D$2003,$B70,包装物料出入库明细!$B$4:$B$2003,"&gt;="&amp;$AF$1,包装物料出入库明细!$B$4:$B$2003,"&lt;="&amp;$AF$2)-SUM($C70:$T70))</f>
        <v/>
      </c>
      <c r="V70" s="25" t="str">
        <f t="shared" si="5"/>
        <v/>
      </c>
      <c r="W70" s="56" t="str">
        <f>IF($B70="","",SUMIFS(包装物料出入库明细!$K$4:$K$2003,包装物料出入库明细!$D$4:$D$2003,$B70,包装物料出入库明细!$B$4:$B$2003,"&gt;="&amp;$AF$1,包装物料出入库明细!$B$4:$B$2003,"&lt;="&amp;$AF$2))</f>
        <v/>
      </c>
      <c r="X70" s="25" t="str">
        <f t="shared" si="6"/>
        <v/>
      </c>
      <c r="Y70" s="26" t="str">
        <f>IF($B70="","",ROUND(SUMIFS(包装物料出入库明细!$N$4:$N$2003,包装物料出入库明细!$D$4:$D$2003,$B70,包装物料出入库明细!$H$4:$H$2003,"销售出库",包装物料出入库明细!$B$4:$B$2003,"&gt;="&amp;$AF$1,包装物料出入库明细!$B$4:$B$2003,"&lt;="&amp;$AF$2),2))</f>
        <v/>
      </c>
      <c r="Z70" s="26" t="str">
        <f>IF($B70="","",ROUND(SUMIFS(包装物料出入库明细!$N$4:$N$2003,包装物料出入库明细!$D$4:$D$2003,$B70,包装物料出入库明细!$H$4:$H$2003,"销售出库",包装物料出入库明细!$P$4:$P$2003,"已收讫",包装物料出入库明细!$B$4:$B$2003,"&gt;="&amp;$AF$1,包装物料出入库明细!$B$4:$B$2003,"&lt;="&amp;$AF$2),2))</f>
        <v/>
      </c>
      <c r="AA70" s="26" t="str">
        <f t="shared" si="7"/>
        <v/>
      </c>
      <c r="AB70" s="41"/>
    </row>
    <row r="71" spans="1:28">
      <c r="A71" s="24" t="str">
        <f t="shared" si="4"/>
        <v/>
      </c>
      <c r="B71" s="24" t="str">
        <f>IFERROR(INDEX(_自动清单!$O$4:$O$203,ROW()-3),"")</f>
        <v/>
      </c>
      <c r="C71" s="25" t="str">
        <f>IF(OR($B71="",_自动清单!$G$4=""),"",SUMIFS(包装物料出入库明细!$J$4:$J$2003,包装物料出入库明细!$D$4:$D$2003,$B71,包装物料出入库明细!$E$4:$E$2003,_自动清单!$G$4,包装物料出入库明细!$B$4:$B$2003,"&gt;="&amp;$AF$1,包装物料出入库明细!$B$4:$B$2003,"&lt;="&amp;$AF$2))</f>
        <v/>
      </c>
      <c r="D71" s="25" t="str">
        <f>IF(OR($B71="",_自动清单!$G$5=""),"",SUMIFS(包装物料出入库明细!$J$4:$J$2003,包装物料出入库明细!$D$4:$D$2003,$B71,包装物料出入库明细!$E$4:$E$2003,_自动清单!$G$5,包装物料出入库明细!$B$4:$B$2003,"&gt;="&amp;$AF$1,包装物料出入库明细!$B$4:$B$2003,"&lt;="&amp;$AF$2))</f>
        <v/>
      </c>
      <c r="E71" s="25" t="str">
        <f>IF(OR($B71="",_自动清单!$G$6=""),"",SUMIFS(包装物料出入库明细!$J$4:$J$2003,包装物料出入库明细!$D$4:$D$2003,$B71,包装物料出入库明细!$E$4:$E$2003,_自动清单!$G$6,包装物料出入库明细!$B$4:$B$2003,"&gt;="&amp;$AF$1,包装物料出入库明细!$B$4:$B$2003,"&lt;="&amp;$AF$2))</f>
        <v/>
      </c>
      <c r="F71" s="25" t="str">
        <f>IF(OR($B71="",_自动清单!$G$7=""),"",SUMIFS(包装物料出入库明细!$J$4:$J$2003,包装物料出入库明细!$D$4:$D$2003,$B71,包装物料出入库明细!$E$4:$E$2003,_自动清单!$G$7,包装物料出入库明细!$B$4:$B$2003,"&gt;="&amp;$AF$1,包装物料出入库明细!$B$4:$B$2003,"&lt;="&amp;$AF$2))</f>
        <v/>
      </c>
      <c r="G71" s="25" t="str">
        <f>IF(OR($B71="",_自动清单!$G$8=""),"",SUMIFS(包装物料出入库明细!$J$4:$J$2003,包装物料出入库明细!$D$4:$D$2003,$B71,包装物料出入库明细!$E$4:$E$2003,_自动清单!$G$8,包装物料出入库明细!$B$4:$B$2003,"&gt;="&amp;$AF$1,包装物料出入库明细!$B$4:$B$2003,"&lt;="&amp;$AF$2))</f>
        <v/>
      </c>
      <c r="H71" s="25" t="str">
        <f>IF(OR($B71="",_自动清单!$G$9=""),"",SUMIFS(包装物料出入库明细!$J$4:$J$2003,包装物料出入库明细!$D$4:$D$2003,$B71,包装物料出入库明细!$E$4:$E$2003,_自动清单!$G$9,包装物料出入库明细!$B$4:$B$2003,"&gt;="&amp;$AF$1,包装物料出入库明细!$B$4:$B$2003,"&lt;="&amp;$AF$2))</f>
        <v/>
      </c>
      <c r="I71" s="25" t="str">
        <f>IF(OR($B71="",_自动清单!$G$10=""),"",SUMIFS(包装物料出入库明细!$J$4:$J$2003,包装物料出入库明细!$D$4:$D$2003,$B71,包装物料出入库明细!$E$4:$E$2003,_自动清单!$G$10,包装物料出入库明细!$B$4:$B$2003,"&gt;="&amp;$AF$1,包装物料出入库明细!$B$4:$B$2003,"&lt;="&amp;$AF$2))</f>
        <v/>
      </c>
      <c r="J71" s="25" t="str">
        <f>IF(OR($B71="",_自动清单!$G$11=""),"",SUMIFS(包装物料出入库明细!$J$4:$J$2003,包装物料出入库明细!$D$4:$D$2003,$B71,包装物料出入库明细!$E$4:$E$2003,_自动清单!$G$11,包装物料出入库明细!$B$4:$B$2003,"&gt;="&amp;$AF$1,包装物料出入库明细!$B$4:$B$2003,"&lt;="&amp;$AF$2))</f>
        <v/>
      </c>
      <c r="K71" s="25" t="str">
        <f>IF(OR($B71="",_自动清单!$G$12=""),"",SUMIFS(包装物料出入库明细!$J$4:$J$2003,包装物料出入库明细!$D$4:$D$2003,$B71,包装物料出入库明细!$E$4:$E$2003,_自动清单!$G$12,包装物料出入库明细!$B$4:$B$2003,"&gt;="&amp;$AF$1,包装物料出入库明细!$B$4:$B$2003,"&lt;="&amp;$AF$2))</f>
        <v/>
      </c>
      <c r="L71" s="25" t="str">
        <f>IF(OR($B71="",_自动清单!$G$13=""),"",SUMIFS(包装物料出入库明细!$J$4:$J$2003,包装物料出入库明细!$D$4:$D$2003,$B71,包装物料出入库明细!$E$4:$E$2003,_自动清单!$G$13,包装物料出入库明细!$B$4:$B$2003,"&gt;="&amp;$AF$1,包装物料出入库明细!$B$4:$B$2003,"&lt;="&amp;$AF$2))</f>
        <v/>
      </c>
      <c r="M71" s="25" t="str">
        <f>IF(OR($B71="",_自动清单!$G$14=""),"",SUMIFS(包装物料出入库明细!$J$4:$J$2003,包装物料出入库明细!$D$4:$D$2003,$B71,包装物料出入库明细!$E$4:$E$2003,_自动清单!$G$14,包装物料出入库明细!$B$4:$B$2003,"&gt;="&amp;$AF$1,包装物料出入库明细!$B$4:$B$2003,"&lt;="&amp;$AF$2))</f>
        <v/>
      </c>
      <c r="N71" s="25" t="str">
        <f>IF(OR($B71="",_自动清单!$G$15=""),"",SUMIFS(包装物料出入库明细!$J$4:$J$2003,包装物料出入库明细!$D$4:$D$2003,$B71,包装物料出入库明细!$E$4:$E$2003,_自动清单!$G$15,包装物料出入库明细!$B$4:$B$2003,"&gt;="&amp;$AF$1,包装物料出入库明细!$B$4:$B$2003,"&lt;="&amp;$AF$2))</f>
        <v/>
      </c>
      <c r="O71" s="25" t="str">
        <f>IF(OR($B71="",_自动清单!$G$16=""),"",SUMIFS(包装物料出入库明细!$J$4:$J$2003,包装物料出入库明细!$D$4:$D$2003,$B71,包装物料出入库明细!$E$4:$E$2003,_自动清单!$G$16,包装物料出入库明细!$B$4:$B$2003,"&gt;="&amp;$AF$1,包装物料出入库明细!$B$4:$B$2003,"&lt;="&amp;$AF$2))</f>
        <v/>
      </c>
      <c r="P71" s="25" t="str">
        <f>IF(OR($B71="",_自动清单!$G$17=""),"",SUMIFS(包装物料出入库明细!$J$4:$J$2003,包装物料出入库明细!$D$4:$D$2003,$B71,包装物料出入库明细!$E$4:$E$2003,_自动清单!$G$17,包装物料出入库明细!$B$4:$B$2003,"&gt;="&amp;$AF$1,包装物料出入库明细!$B$4:$B$2003,"&lt;="&amp;$AF$2))</f>
        <v/>
      </c>
      <c r="Q71" s="25" t="str">
        <f>IF(OR($B71="",_自动清单!$G$18=""),"",SUMIFS(包装物料出入库明细!$J$4:$J$2003,包装物料出入库明细!$D$4:$D$2003,$B71,包装物料出入库明细!$E$4:$E$2003,_自动清单!$G$18,包装物料出入库明细!$B$4:$B$2003,"&gt;="&amp;$AF$1,包装物料出入库明细!$B$4:$B$2003,"&lt;="&amp;$AF$2))</f>
        <v/>
      </c>
      <c r="R71" s="25" t="str">
        <f>IF(OR($B71="",_自动清单!$G$19=""),"",SUMIFS(包装物料出入库明细!$J$4:$J$2003,包装物料出入库明细!$D$4:$D$2003,$B71,包装物料出入库明细!$E$4:$E$2003,_自动清单!$G$19,包装物料出入库明细!$B$4:$B$2003,"&gt;="&amp;$AF$1,包装物料出入库明细!$B$4:$B$2003,"&lt;="&amp;$AF$2))</f>
        <v/>
      </c>
      <c r="S71" s="25" t="str">
        <f>IF(OR($B71="",_自动清单!$G$20=""),"",SUMIFS(包装物料出入库明细!$J$4:$J$2003,包装物料出入库明细!$D$4:$D$2003,$B71,包装物料出入库明细!$E$4:$E$2003,_自动清单!$G$20,包装物料出入库明细!$B$4:$B$2003,"&gt;="&amp;$AF$1,包装物料出入库明细!$B$4:$B$2003,"&lt;="&amp;$AF$2))</f>
        <v/>
      </c>
      <c r="T71" s="25" t="str">
        <f>IF(OR($B71="",_自动清单!$G$21=""),"",SUMIFS(包装物料出入库明细!$J$4:$J$2003,包装物料出入库明细!$D$4:$D$2003,$B71,包装物料出入库明细!$E$4:$E$2003,_自动清单!$G$21,包装物料出入库明细!$B$4:$B$2003,"&gt;="&amp;$AF$1,包装物料出入库明细!$B$4:$B$2003,"&lt;="&amp;$AF$2))</f>
        <v/>
      </c>
      <c r="U71" s="25" t="str">
        <f>IF($B71="","",SUMIFS(包装物料出入库明细!$J$4:$J$2003,包装物料出入库明细!$D$4:$D$2003,$B71,包装物料出入库明细!$B$4:$B$2003,"&gt;="&amp;$AF$1,包装物料出入库明细!$B$4:$B$2003,"&lt;="&amp;$AF$2)-SUM($C71:$T71))</f>
        <v/>
      </c>
      <c r="V71" s="25" t="str">
        <f t="shared" si="5"/>
        <v/>
      </c>
      <c r="W71" s="56" t="str">
        <f>IF($B71="","",SUMIFS(包装物料出入库明细!$K$4:$K$2003,包装物料出入库明细!$D$4:$D$2003,$B71,包装物料出入库明细!$B$4:$B$2003,"&gt;="&amp;$AF$1,包装物料出入库明细!$B$4:$B$2003,"&lt;="&amp;$AF$2))</f>
        <v/>
      </c>
      <c r="X71" s="25" t="str">
        <f t="shared" si="6"/>
        <v/>
      </c>
      <c r="Y71" s="26" t="str">
        <f>IF($B71="","",ROUND(SUMIFS(包装物料出入库明细!$N$4:$N$2003,包装物料出入库明细!$D$4:$D$2003,$B71,包装物料出入库明细!$H$4:$H$2003,"销售出库",包装物料出入库明细!$B$4:$B$2003,"&gt;="&amp;$AF$1,包装物料出入库明细!$B$4:$B$2003,"&lt;="&amp;$AF$2),2))</f>
        <v/>
      </c>
      <c r="Z71" s="26" t="str">
        <f>IF($B71="","",ROUND(SUMIFS(包装物料出入库明细!$N$4:$N$2003,包装物料出入库明细!$D$4:$D$2003,$B71,包装物料出入库明细!$H$4:$H$2003,"销售出库",包装物料出入库明细!$P$4:$P$2003,"已收讫",包装物料出入库明细!$B$4:$B$2003,"&gt;="&amp;$AF$1,包装物料出入库明细!$B$4:$B$2003,"&lt;="&amp;$AF$2),2))</f>
        <v/>
      </c>
      <c r="AA71" s="26" t="str">
        <f t="shared" si="7"/>
        <v/>
      </c>
      <c r="AB71" s="41"/>
    </row>
    <row r="72" spans="1:28">
      <c r="A72" s="24" t="str">
        <f t="shared" si="4"/>
        <v/>
      </c>
      <c r="B72" s="24" t="str">
        <f>IFERROR(INDEX(_自动清单!$O$4:$O$203,ROW()-3),"")</f>
        <v/>
      </c>
      <c r="C72" s="25" t="str">
        <f>IF(OR($B72="",_自动清单!$G$4=""),"",SUMIFS(包装物料出入库明细!$J$4:$J$2003,包装物料出入库明细!$D$4:$D$2003,$B72,包装物料出入库明细!$E$4:$E$2003,_自动清单!$G$4,包装物料出入库明细!$B$4:$B$2003,"&gt;="&amp;$AF$1,包装物料出入库明细!$B$4:$B$2003,"&lt;="&amp;$AF$2))</f>
        <v/>
      </c>
      <c r="D72" s="25" t="str">
        <f>IF(OR($B72="",_自动清单!$G$5=""),"",SUMIFS(包装物料出入库明细!$J$4:$J$2003,包装物料出入库明细!$D$4:$D$2003,$B72,包装物料出入库明细!$E$4:$E$2003,_自动清单!$G$5,包装物料出入库明细!$B$4:$B$2003,"&gt;="&amp;$AF$1,包装物料出入库明细!$B$4:$B$2003,"&lt;="&amp;$AF$2))</f>
        <v/>
      </c>
      <c r="E72" s="25" t="str">
        <f>IF(OR($B72="",_自动清单!$G$6=""),"",SUMIFS(包装物料出入库明细!$J$4:$J$2003,包装物料出入库明细!$D$4:$D$2003,$B72,包装物料出入库明细!$E$4:$E$2003,_自动清单!$G$6,包装物料出入库明细!$B$4:$B$2003,"&gt;="&amp;$AF$1,包装物料出入库明细!$B$4:$B$2003,"&lt;="&amp;$AF$2))</f>
        <v/>
      </c>
      <c r="F72" s="25" t="str">
        <f>IF(OR($B72="",_自动清单!$G$7=""),"",SUMIFS(包装物料出入库明细!$J$4:$J$2003,包装物料出入库明细!$D$4:$D$2003,$B72,包装物料出入库明细!$E$4:$E$2003,_自动清单!$G$7,包装物料出入库明细!$B$4:$B$2003,"&gt;="&amp;$AF$1,包装物料出入库明细!$B$4:$B$2003,"&lt;="&amp;$AF$2))</f>
        <v/>
      </c>
      <c r="G72" s="25" t="str">
        <f>IF(OR($B72="",_自动清单!$G$8=""),"",SUMIFS(包装物料出入库明细!$J$4:$J$2003,包装物料出入库明细!$D$4:$D$2003,$B72,包装物料出入库明细!$E$4:$E$2003,_自动清单!$G$8,包装物料出入库明细!$B$4:$B$2003,"&gt;="&amp;$AF$1,包装物料出入库明细!$B$4:$B$2003,"&lt;="&amp;$AF$2))</f>
        <v/>
      </c>
      <c r="H72" s="25" t="str">
        <f>IF(OR($B72="",_自动清单!$G$9=""),"",SUMIFS(包装物料出入库明细!$J$4:$J$2003,包装物料出入库明细!$D$4:$D$2003,$B72,包装物料出入库明细!$E$4:$E$2003,_自动清单!$G$9,包装物料出入库明细!$B$4:$B$2003,"&gt;="&amp;$AF$1,包装物料出入库明细!$B$4:$B$2003,"&lt;="&amp;$AF$2))</f>
        <v/>
      </c>
      <c r="I72" s="25" t="str">
        <f>IF(OR($B72="",_自动清单!$G$10=""),"",SUMIFS(包装物料出入库明细!$J$4:$J$2003,包装物料出入库明细!$D$4:$D$2003,$B72,包装物料出入库明细!$E$4:$E$2003,_自动清单!$G$10,包装物料出入库明细!$B$4:$B$2003,"&gt;="&amp;$AF$1,包装物料出入库明细!$B$4:$B$2003,"&lt;="&amp;$AF$2))</f>
        <v/>
      </c>
      <c r="J72" s="25" t="str">
        <f>IF(OR($B72="",_自动清单!$G$11=""),"",SUMIFS(包装物料出入库明细!$J$4:$J$2003,包装物料出入库明细!$D$4:$D$2003,$B72,包装物料出入库明细!$E$4:$E$2003,_自动清单!$G$11,包装物料出入库明细!$B$4:$B$2003,"&gt;="&amp;$AF$1,包装物料出入库明细!$B$4:$B$2003,"&lt;="&amp;$AF$2))</f>
        <v/>
      </c>
      <c r="K72" s="25" t="str">
        <f>IF(OR($B72="",_自动清单!$G$12=""),"",SUMIFS(包装物料出入库明细!$J$4:$J$2003,包装物料出入库明细!$D$4:$D$2003,$B72,包装物料出入库明细!$E$4:$E$2003,_自动清单!$G$12,包装物料出入库明细!$B$4:$B$2003,"&gt;="&amp;$AF$1,包装物料出入库明细!$B$4:$B$2003,"&lt;="&amp;$AF$2))</f>
        <v/>
      </c>
      <c r="L72" s="25" t="str">
        <f>IF(OR($B72="",_自动清单!$G$13=""),"",SUMIFS(包装物料出入库明细!$J$4:$J$2003,包装物料出入库明细!$D$4:$D$2003,$B72,包装物料出入库明细!$E$4:$E$2003,_自动清单!$G$13,包装物料出入库明细!$B$4:$B$2003,"&gt;="&amp;$AF$1,包装物料出入库明细!$B$4:$B$2003,"&lt;="&amp;$AF$2))</f>
        <v/>
      </c>
      <c r="M72" s="25" t="str">
        <f>IF(OR($B72="",_自动清单!$G$14=""),"",SUMIFS(包装物料出入库明细!$J$4:$J$2003,包装物料出入库明细!$D$4:$D$2003,$B72,包装物料出入库明细!$E$4:$E$2003,_自动清单!$G$14,包装物料出入库明细!$B$4:$B$2003,"&gt;="&amp;$AF$1,包装物料出入库明细!$B$4:$B$2003,"&lt;="&amp;$AF$2))</f>
        <v/>
      </c>
      <c r="N72" s="25" t="str">
        <f>IF(OR($B72="",_自动清单!$G$15=""),"",SUMIFS(包装物料出入库明细!$J$4:$J$2003,包装物料出入库明细!$D$4:$D$2003,$B72,包装物料出入库明细!$E$4:$E$2003,_自动清单!$G$15,包装物料出入库明细!$B$4:$B$2003,"&gt;="&amp;$AF$1,包装物料出入库明细!$B$4:$B$2003,"&lt;="&amp;$AF$2))</f>
        <v/>
      </c>
      <c r="O72" s="25" t="str">
        <f>IF(OR($B72="",_自动清单!$G$16=""),"",SUMIFS(包装物料出入库明细!$J$4:$J$2003,包装物料出入库明细!$D$4:$D$2003,$B72,包装物料出入库明细!$E$4:$E$2003,_自动清单!$G$16,包装物料出入库明细!$B$4:$B$2003,"&gt;="&amp;$AF$1,包装物料出入库明细!$B$4:$B$2003,"&lt;="&amp;$AF$2))</f>
        <v/>
      </c>
      <c r="P72" s="25" t="str">
        <f>IF(OR($B72="",_自动清单!$G$17=""),"",SUMIFS(包装物料出入库明细!$J$4:$J$2003,包装物料出入库明细!$D$4:$D$2003,$B72,包装物料出入库明细!$E$4:$E$2003,_自动清单!$G$17,包装物料出入库明细!$B$4:$B$2003,"&gt;="&amp;$AF$1,包装物料出入库明细!$B$4:$B$2003,"&lt;="&amp;$AF$2))</f>
        <v/>
      </c>
      <c r="Q72" s="25" t="str">
        <f>IF(OR($B72="",_自动清单!$G$18=""),"",SUMIFS(包装物料出入库明细!$J$4:$J$2003,包装物料出入库明细!$D$4:$D$2003,$B72,包装物料出入库明细!$E$4:$E$2003,_自动清单!$G$18,包装物料出入库明细!$B$4:$B$2003,"&gt;="&amp;$AF$1,包装物料出入库明细!$B$4:$B$2003,"&lt;="&amp;$AF$2))</f>
        <v/>
      </c>
      <c r="R72" s="25" t="str">
        <f>IF(OR($B72="",_自动清单!$G$19=""),"",SUMIFS(包装物料出入库明细!$J$4:$J$2003,包装物料出入库明细!$D$4:$D$2003,$B72,包装物料出入库明细!$E$4:$E$2003,_自动清单!$G$19,包装物料出入库明细!$B$4:$B$2003,"&gt;="&amp;$AF$1,包装物料出入库明细!$B$4:$B$2003,"&lt;="&amp;$AF$2))</f>
        <v/>
      </c>
      <c r="S72" s="25" t="str">
        <f>IF(OR($B72="",_自动清单!$G$20=""),"",SUMIFS(包装物料出入库明细!$J$4:$J$2003,包装物料出入库明细!$D$4:$D$2003,$B72,包装物料出入库明细!$E$4:$E$2003,_自动清单!$G$20,包装物料出入库明细!$B$4:$B$2003,"&gt;="&amp;$AF$1,包装物料出入库明细!$B$4:$B$2003,"&lt;="&amp;$AF$2))</f>
        <v/>
      </c>
      <c r="T72" s="25" t="str">
        <f>IF(OR($B72="",_自动清单!$G$21=""),"",SUMIFS(包装物料出入库明细!$J$4:$J$2003,包装物料出入库明细!$D$4:$D$2003,$B72,包装物料出入库明细!$E$4:$E$2003,_自动清单!$G$21,包装物料出入库明细!$B$4:$B$2003,"&gt;="&amp;$AF$1,包装物料出入库明细!$B$4:$B$2003,"&lt;="&amp;$AF$2))</f>
        <v/>
      </c>
      <c r="U72" s="25" t="str">
        <f>IF($B72="","",SUMIFS(包装物料出入库明细!$J$4:$J$2003,包装物料出入库明细!$D$4:$D$2003,$B72,包装物料出入库明细!$B$4:$B$2003,"&gt;="&amp;$AF$1,包装物料出入库明细!$B$4:$B$2003,"&lt;="&amp;$AF$2)-SUM($C72:$T72))</f>
        <v/>
      </c>
      <c r="V72" s="25" t="str">
        <f t="shared" si="5"/>
        <v/>
      </c>
      <c r="W72" s="56" t="str">
        <f>IF($B72="","",SUMIFS(包装物料出入库明细!$K$4:$K$2003,包装物料出入库明细!$D$4:$D$2003,$B72,包装物料出入库明细!$B$4:$B$2003,"&gt;="&amp;$AF$1,包装物料出入库明细!$B$4:$B$2003,"&lt;="&amp;$AF$2))</f>
        <v/>
      </c>
      <c r="X72" s="25" t="str">
        <f t="shared" si="6"/>
        <v/>
      </c>
      <c r="Y72" s="26" t="str">
        <f>IF($B72="","",ROUND(SUMIFS(包装物料出入库明细!$N$4:$N$2003,包装物料出入库明细!$D$4:$D$2003,$B72,包装物料出入库明细!$H$4:$H$2003,"销售出库",包装物料出入库明细!$B$4:$B$2003,"&gt;="&amp;$AF$1,包装物料出入库明细!$B$4:$B$2003,"&lt;="&amp;$AF$2),2))</f>
        <v/>
      </c>
      <c r="Z72" s="26" t="str">
        <f>IF($B72="","",ROUND(SUMIFS(包装物料出入库明细!$N$4:$N$2003,包装物料出入库明细!$D$4:$D$2003,$B72,包装物料出入库明细!$H$4:$H$2003,"销售出库",包装物料出入库明细!$P$4:$P$2003,"已收讫",包装物料出入库明细!$B$4:$B$2003,"&gt;="&amp;$AF$1,包装物料出入库明细!$B$4:$B$2003,"&lt;="&amp;$AF$2),2))</f>
        <v/>
      </c>
      <c r="AA72" s="26" t="str">
        <f t="shared" si="7"/>
        <v/>
      </c>
      <c r="AB72" s="41"/>
    </row>
    <row r="73" spans="1:28">
      <c r="A73" s="24" t="str">
        <f t="shared" si="4"/>
        <v/>
      </c>
      <c r="B73" s="24" t="str">
        <f>IFERROR(INDEX(_自动清单!$O$4:$O$203,ROW()-3),"")</f>
        <v/>
      </c>
      <c r="C73" s="25" t="str">
        <f>IF(OR($B73="",_自动清单!$G$4=""),"",SUMIFS(包装物料出入库明细!$J$4:$J$2003,包装物料出入库明细!$D$4:$D$2003,$B73,包装物料出入库明细!$E$4:$E$2003,_自动清单!$G$4,包装物料出入库明细!$B$4:$B$2003,"&gt;="&amp;$AF$1,包装物料出入库明细!$B$4:$B$2003,"&lt;="&amp;$AF$2))</f>
        <v/>
      </c>
      <c r="D73" s="25" t="str">
        <f>IF(OR($B73="",_自动清单!$G$5=""),"",SUMIFS(包装物料出入库明细!$J$4:$J$2003,包装物料出入库明细!$D$4:$D$2003,$B73,包装物料出入库明细!$E$4:$E$2003,_自动清单!$G$5,包装物料出入库明细!$B$4:$B$2003,"&gt;="&amp;$AF$1,包装物料出入库明细!$B$4:$B$2003,"&lt;="&amp;$AF$2))</f>
        <v/>
      </c>
      <c r="E73" s="25" t="str">
        <f>IF(OR($B73="",_自动清单!$G$6=""),"",SUMIFS(包装物料出入库明细!$J$4:$J$2003,包装物料出入库明细!$D$4:$D$2003,$B73,包装物料出入库明细!$E$4:$E$2003,_自动清单!$G$6,包装物料出入库明细!$B$4:$B$2003,"&gt;="&amp;$AF$1,包装物料出入库明细!$B$4:$B$2003,"&lt;="&amp;$AF$2))</f>
        <v/>
      </c>
      <c r="F73" s="25" t="str">
        <f>IF(OR($B73="",_自动清单!$G$7=""),"",SUMIFS(包装物料出入库明细!$J$4:$J$2003,包装物料出入库明细!$D$4:$D$2003,$B73,包装物料出入库明细!$E$4:$E$2003,_自动清单!$G$7,包装物料出入库明细!$B$4:$B$2003,"&gt;="&amp;$AF$1,包装物料出入库明细!$B$4:$B$2003,"&lt;="&amp;$AF$2))</f>
        <v/>
      </c>
      <c r="G73" s="25" t="str">
        <f>IF(OR($B73="",_自动清单!$G$8=""),"",SUMIFS(包装物料出入库明细!$J$4:$J$2003,包装物料出入库明细!$D$4:$D$2003,$B73,包装物料出入库明细!$E$4:$E$2003,_自动清单!$G$8,包装物料出入库明细!$B$4:$B$2003,"&gt;="&amp;$AF$1,包装物料出入库明细!$B$4:$B$2003,"&lt;="&amp;$AF$2))</f>
        <v/>
      </c>
      <c r="H73" s="25" t="str">
        <f>IF(OR($B73="",_自动清单!$G$9=""),"",SUMIFS(包装物料出入库明细!$J$4:$J$2003,包装物料出入库明细!$D$4:$D$2003,$B73,包装物料出入库明细!$E$4:$E$2003,_自动清单!$G$9,包装物料出入库明细!$B$4:$B$2003,"&gt;="&amp;$AF$1,包装物料出入库明细!$B$4:$B$2003,"&lt;="&amp;$AF$2))</f>
        <v/>
      </c>
      <c r="I73" s="25" t="str">
        <f>IF(OR($B73="",_自动清单!$G$10=""),"",SUMIFS(包装物料出入库明细!$J$4:$J$2003,包装物料出入库明细!$D$4:$D$2003,$B73,包装物料出入库明细!$E$4:$E$2003,_自动清单!$G$10,包装物料出入库明细!$B$4:$B$2003,"&gt;="&amp;$AF$1,包装物料出入库明细!$B$4:$B$2003,"&lt;="&amp;$AF$2))</f>
        <v/>
      </c>
      <c r="J73" s="25" t="str">
        <f>IF(OR($B73="",_自动清单!$G$11=""),"",SUMIFS(包装物料出入库明细!$J$4:$J$2003,包装物料出入库明细!$D$4:$D$2003,$B73,包装物料出入库明细!$E$4:$E$2003,_自动清单!$G$11,包装物料出入库明细!$B$4:$B$2003,"&gt;="&amp;$AF$1,包装物料出入库明细!$B$4:$B$2003,"&lt;="&amp;$AF$2))</f>
        <v/>
      </c>
      <c r="K73" s="25" t="str">
        <f>IF(OR($B73="",_自动清单!$G$12=""),"",SUMIFS(包装物料出入库明细!$J$4:$J$2003,包装物料出入库明细!$D$4:$D$2003,$B73,包装物料出入库明细!$E$4:$E$2003,_自动清单!$G$12,包装物料出入库明细!$B$4:$B$2003,"&gt;="&amp;$AF$1,包装物料出入库明细!$B$4:$B$2003,"&lt;="&amp;$AF$2))</f>
        <v/>
      </c>
      <c r="L73" s="25" t="str">
        <f>IF(OR($B73="",_自动清单!$G$13=""),"",SUMIFS(包装物料出入库明细!$J$4:$J$2003,包装物料出入库明细!$D$4:$D$2003,$B73,包装物料出入库明细!$E$4:$E$2003,_自动清单!$G$13,包装物料出入库明细!$B$4:$B$2003,"&gt;="&amp;$AF$1,包装物料出入库明细!$B$4:$B$2003,"&lt;="&amp;$AF$2))</f>
        <v/>
      </c>
      <c r="M73" s="25" t="str">
        <f>IF(OR($B73="",_自动清单!$G$14=""),"",SUMIFS(包装物料出入库明细!$J$4:$J$2003,包装物料出入库明细!$D$4:$D$2003,$B73,包装物料出入库明细!$E$4:$E$2003,_自动清单!$G$14,包装物料出入库明细!$B$4:$B$2003,"&gt;="&amp;$AF$1,包装物料出入库明细!$B$4:$B$2003,"&lt;="&amp;$AF$2))</f>
        <v/>
      </c>
      <c r="N73" s="25" t="str">
        <f>IF(OR($B73="",_自动清单!$G$15=""),"",SUMIFS(包装物料出入库明细!$J$4:$J$2003,包装物料出入库明细!$D$4:$D$2003,$B73,包装物料出入库明细!$E$4:$E$2003,_自动清单!$G$15,包装物料出入库明细!$B$4:$B$2003,"&gt;="&amp;$AF$1,包装物料出入库明细!$B$4:$B$2003,"&lt;="&amp;$AF$2))</f>
        <v/>
      </c>
      <c r="O73" s="25" t="str">
        <f>IF(OR($B73="",_自动清单!$G$16=""),"",SUMIFS(包装物料出入库明细!$J$4:$J$2003,包装物料出入库明细!$D$4:$D$2003,$B73,包装物料出入库明细!$E$4:$E$2003,_自动清单!$G$16,包装物料出入库明细!$B$4:$B$2003,"&gt;="&amp;$AF$1,包装物料出入库明细!$B$4:$B$2003,"&lt;="&amp;$AF$2))</f>
        <v/>
      </c>
      <c r="P73" s="25" t="str">
        <f>IF(OR($B73="",_自动清单!$G$17=""),"",SUMIFS(包装物料出入库明细!$J$4:$J$2003,包装物料出入库明细!$D$4:$D$2003,$B73,包装物料出入库明细!$E$4:$E$2003,_自动清单!$G$17,包装物料出入库明细!$B$4:$B$2003,"&gt;="&amp;$AF$1,包装物料出入库明细!$B$4:$B$2003,"&lt;="&amp;$AF$2))</f>
        <v/>
      </c>
      <c r="Q73" s="25" t="str">
        <f>IF(OR($B73="",_自动清单!$G$18=""),"",SUMIFS(包装物料出入库明细!$J$4:$J$2003,包装物料出入库明细!$D$4:$D$2003,$B73,包装物料出入库明细!$E$4:$E$2003,_自动清单!$G$18,包装物料出入库明细!$B$4:$B$2003,"&gt;="&amp;$AF$1,包装物料出入库明细!$B$4:$B$2003,"&lt;="&amp;$AF$2))</f>
        <v/>
      </c>
      <c r="R73" s="25" t="str">
        <f>IF(OR($B73="",_自动清单!$G$19=""),"",SUMIFS(包装物料出入库明细!$J$4:$J$2003,包装物料出入库明细!$D$4:$D$2003,$B73,包装物料出入库明细!$E$4:$E$2003,_自动清单!$G$19,包装物料出入库明细!$B$4:$B$2003,"&gt;="&amp;$AF$1,包装物料出入库明细!$B$4:$B$2003,"&lt;="&amp;$AF$2))</f>
        <v/>
      </c>
      <c r="S73" s="25" t="str">
        <f>IF(OR($B73="",_自动清单!$G$20=""),"",SUMIFS(包装物料出入库明细!$J$4:$J$2003,包装物料出入库明细!$D$4:$D$2003,$B73,包装物料出入库明细!$E$4:$E$2003,_自动清单!$G$20,包装物料出入库明细!$B$4:$B$2003,"&gt;="&amp;$AF$1,包装物料出入库明细!$B$4:$B$2003,"&lt;="&amp;$AF$2))</f>
        <v/>
      </c>
      <c r="T73" s="25" t="str">
        <f>IF(OR($B73="",_自动清单!$G$21=""),"",SUMIFS(包装物料出入库明细!$J$4:$J$2003,包装物料出入库明细!$D$4:$D$2003,$B73,包装物料出入库明细!$E$4:$E$2003,_自动清单!$G$21,包装物料出入库明细!$B$4:$B$2003,"&gt;="&amp;$AF$1,包装物料出入库明细!$B$4:$B$2003,"&lt;="&amp;$AF$2))</f>
        <v/>
      </c>
      <c r="U73" s="25" t="str">
        <f>IF($B73="","",SUMIFS(包装物料出入库明细!$J$4:$J$2003,包装物料出入库明细!$D$4:$D$2003,$B73,包装物料出入库明细!$B$4:$B$2003,"&gt;="&amp;$AF$1,包装物料出入库明细!$B$4:$B$2003,"&lt;="&amp;$AF$2)-SUM($C73:$T73))</f>
        <v/>
      </c>
      <c r="V73" s="25" t="str">
        <f t="shared" si="5"/>
        <v/>
      </c>
      <c r="W73" s="56" t="str">
        <f>IF($B73="","",SUMIFS(包装物料出入库明细!$K$4:$K$2003,包装物料出入库明细!$D$4:$D$2003,$B73,包装物料出入库明细!$B$4:$B$2003,"&gt;="&amp;$AF$1,包装物料出入库明细!$B$4:$B$2003,"&lt;="&amp;$AF$2))</f>
        <v/>
      </c>
      <c r="X73" s="25" t="str">
        <f t="shared" si="6"/>
        <v/>
      </c>
      <c r="Y73" s="26" t="str">
        <f>IF($B73="","",ROUND(SUMIFS(包装物料出入库明细!$N$4:$N$2003,包装物料出入库明细!$D$4:$D$2003,$B73,包装物料出入库明细!$H$4:$H$2003,"销售出库",包装物料出入库明细!$B$4:$B$2003,"&gt;="&amp;$AF$1,包装物料出入库明细!$B$4:$B$2003,"&lt;="&amp;$AF$2),2))</f>
        <v/>
      </c>
      <c r="Z73" s="26" t="str">
        <f>IF($B73="","",ROUND(SUMIFS(包装物料出入库明细!$N$4:$N$2003,包装物料出入库明细!$D$4:$D$2003,$B73,包装物料出入库明细!$H$4:$H$2003,"销售出库",包装物料出入库明细!$P$4:$P$2003,"已收讫",包装物料出入库明细!$B$4:$B$2003,"&gt;="&amp;$AF$1,包装物料出入库明细!$B$4:$B$2003,"&lt;="&amp;$AF$2),2))</f>
        <v/>
      </c>
      <c r="AA73" s="26" t="str">
        <f t="shared" si="7"/>
        <v/>
      </c>
      <c r="AB73" s="41"/>
    </row>
    <row r="74" spans="1:28">
      <c r="A74" s="24" t="str">
        <f t="shared" si="4"/>
        <v/>
      </c>
      <c r="B74" s="24" t="str">
        <f>IFERROR(INDEX(_自动清单!$O$4:$O$203,ROW()-3),"")</f>
        <v/>
      </c>
      <c r="C74" s="25" t="str">
        <f>IF(OR($B74="",_自动清单!$G$4=""),"",SUMIFS(包装物料出入库明细!$J$4:$J$2003,包装物料出入库明细!$D$4:$D$2003,$B74,包装物料出入库明细!$E$4:$E$2003,_自动清单!$G$4,包装物料出入库明细!$B$4:$B$2003,"&gt;="&amp;$AF$1,包装物料出入库明细!$B$4:$B$2003,"&lt;="&amp;$AF$2))</f>
        <v/>
      </c>
      <c r="D74" s="25" t="str">
        <f>IF(OR($B74="",_自动清单!$G$5=""),"",SUMIFS(包装物料出入库明细!$J$4:$J$2003,包装物料出入库明细!$D$4:$D$2003,$B74,包装物料出入库明细!$E$4:$E$2003,_自动清单!$G$5,包装物料出入库明细!$B$4:$B$2003,"&gt;="&amp;$AF$1,包装物料出入库明细!$B$4:$B$2003,"&lt;="&amp;$AF$2))</f>
        <v/>
      </c>
      <c r="E74" s="25" t="str">
        <f>IF(OR($B74="",_自动清单!$G$6=""),"",SUMIFS(包装物料出入库明细!$J$4:$J$2003,包装物料出入库明细!$D$4:$D$2003,$B74,包装物料出入库明细!$E$4:$E$2003,_自动清单!$G$6,包装物料出入库明细!$B$4:$B$2003,"&gt;="&amp;$AF$1,包装物料出入库明细!$B$4:$B$2003,"&lt;="&amp;$AF$2))</f>
        <v/>
      </c>
      <c r="F74" s="25" t="str">
        <f>IF(OR($B74="",_自动清单!$G$7=""),"",SUMIFS(包装物料出入库明细!$J$4:$J$2003,包装物料出入库明细!$D$4:$D$2003,$B74,包装物料出入库明细!$E$4:$E$2003,_自动清单!$G$7,包装物料出入库明细!$B$4:$B$2003,"&gt;="&amp;$AF$1,包装物料出入库明细!$B$4:$B$2003,"&lt;="&amp;$AF$2))</f>
        <v/>
      </c>
      <c r="G74" s="25" t="str">
        <f>IF(OR($B74="",_自动清单!$G$8=""),"",SUMIFS(包装物料出入库明细!$J$4:$J$2003,包装物料出入库明细!$D$4:$D$2003,$B74,包装物料出入库明细!$E$4:$E$2003,_自动清单!$G$8,包装物料出入库明细!$B$4:$B$2003,"&gt;="&amp;$AF$1,包装物料出入库明细!$B$4:$B$2003,"&lt;="&amp;$AF$2))</f>
        <v/>
      </c>
      <c r="H74" s="25" t="str">
        <f>IF(OR($B74="",_自动清单!$G$9=""),"",SUMIFS(包装物料出入库明细!$J$4:$J$2003,包装物料出入库明细!$D$4:$D$2003,$B74,包装物料出入库明细!$E$4:$E$2003,_自动清单!$G$9,包装物料出入库明细!$B$4:$B$2003,"&gt;="&amp;$AF$1,包装物料出入库明细!$B$4:$B$2003,"&lt;="&amp;$AF$2))</f>
        <v/>
      </c>
      <c r="I74" s="25" t="str">
        <f>IF(OR($B74="",_自动清单!$G$10=""),"",SUMIFS(包装物料出入库明细!$J$4:$J$2003,包装物料出入库明细!$D$4:$D$2003,$B74,包装物料出入库明细!$E$4:$E$2003,_自动清单!$G$10,包装物料出入库明细!$B$4:$B$2003,"&gt;="&amp;$AF$1,包装物料出入库明细!$B$4:$B$2003,"&lt;="&amp;$AF$2))</f>
        <v/>
      </c>
      <c r="J74" s="25" t="str">
        <f>IF(OR($B74="",_自动清单!$G$11=""),"",SUMIFS(包装物料出入库明细!$J$4:$J$2003,包装物料出入库明细!$D$4:$D$2003,$B74,包装物料出入库明细!$E$4:$E$2003,_自动清单!$G$11,包装物料出入库明细!$B$4:$B$2003,"&gt;="&amp;$AF$1,包装物料出入库明细!$B$4:$B$2003,"&lt;="&amp;$AF$2))</f>
        <v/>
      </c>
      <c r="K74" s="25" t="str">
        <f>IF(OR($B74="",_自动清单!$G$12=""),"",SUMIFS(包装物料出入库明细!$J$4:$J$2003,包装物料出入库明细!$D$4:$D$2003,$B74,包装物料出入库明细!$E$4:$E$2003,_自动清单!$G$12,包装物料出入库明细!$B$4:$B$2003,"&gt;="&amp;$AF$1,包装物料出入库明细!$B$4:$B$2003,"&lt;="&amp;$AF$2))</f>
        <v/>
      </c>
      <c r="L74" s="25" t="str">
        <f>IF(OR($B74="",_自动清单!$G$13=""),"",SUMIFS(包装物料出入库明细!$J$4:$J$2003,包装物料出入库明细!$D$4:$D$2003,$B74,包装物料出入库明细!$E$4:$E$2003,_自动清单!$G$13,包装物料出入库明细!$B$4:$B$2003,"&gt;="&amp;$AF$1,包装物料出入库明细!$B$4:$B$2003,"&lt;="&amp;$AF$2))</f>
        <v/>
      </c>
      <c r="M74" s="25" t="str">
        <f>IF(OR($B74="",_自动清单!$G$14=""),"",SUMIFS(包装物料出入库明细!$J$4:$J$2003,包装物料出入库明细!$D$4:$D$2003,$B74,包装物料出入库明细!$E$4:$E$2003,_自动清单!$G$14,包装物料出入库明细!$B$4:$B$2003,"&gt;="&amp;$AF$1,包装物料出入库明细!$B$4:$B$2003,"&lt;="&amp;$AF$2))</f>
        <v/>
      </c>
      <c r="N74" s="25" t="str">
        <f>IF(OR($B74="",_自动清单!$G$15=""),"",SUMIFS(包装物料出入库明细!$J$4:$J$2003,包装物料出入库明细!$D$4:$D$2003,$B74,包装物料出入库明细!$E$4:$E$2003,_自动清单!$G$15,包装物料出入库明细!$B$4:$B$2003,"&gt;="&amp;$AF$1,包装物料出入库明细!$B$4:$B$2003,"&lt;="&amp;$AF$2))</f>
        <v/>
      </c>
      <c r="O74" s="25" t="str">
        <f>IF(OR($B74="",_自动清单!$G$16=""),"",SUMIFS(包装物料出入库明细!$J$4:$J$2003,包装物料出入库明细!$D$4:$D$2003,$B74,包装物料出入库明细!$E$4:$E$2003,_自动清单!$G$16,包装物料出入库明细!$B$4:$B$2003,"&gt;="&amp;$AF$1,包装物料出入库明细!$B$4:$B$2003,"&lt;="&amp;$AF$2))</f>
        <v/>
      </c>
      <c r="P74" s="25" t="str">
        <f>IF(OR($B74="",_自动清单!$G$17=""),"",SUMIFS(包装物料出入库明细!$J$4:$J$2003,包装物料出入库明细!$D$4:$D$2003,$B74,包装物料出入库明细!$E$4:$E$2003,_自动清单!$G$17,包装物料出入库明细!$B$4:$B$2003,"&gt;="&amp;$AF$1,包装物料出入库明细!$B$4:$B$2003,"&lt;="&amp;$AF$2))</f>
        <v/>
      </c>
      <c r="Q74" s="25" t="str">
        <f>IF(OR($B74="",_自动清单!$G$18=""),"",SUMIFS(包装物料出入库明细!$J$4:$J$2003,包装物料出入库明细!$D$4:$D$2003,$B74,包装物料出入库明细!$E$4:$E$2003,_自动清单!$G$18,包装物料出入库明细!$B$4:$B$2003,"&gt;="&amp;$AF$1,包装物料出入库明细!$B$4:$B$2003,"&lt;="&amp;$AF$2))</f>
        <v/>
      </c>
      <c r="R74" s="25" t="str">
        <f>IF(OR($B74="",_自动清单!$G$19=""),"",SUMIFS(包装物料出入库明细!$J$4:$J$2003,包装物料出入库明细!$D$4:$D$2003,$B74,包装物料出入库明细!$E$4:$E$2003,_自动清单!$G$19,包装物料出入库明细!$B$4:$B$2003,"&gt;="&amp;$AF$1,包装物料出入库明细!$B$4:$B$2003,"&lt;="&amp;$AF$2))</f>
        <v/>
      </c>
      <c r="S74" s="25" t="str">
        <f>IF(OR($B74="",_自动清单!$G$20=""),"",SUMIFS(包装物料出入库明细!$J$4:$J$2003,包装物料出入库明细!$D$4:$D$2003,$B74,包装物料出入库明细!$E$4:$E$2003,_自动清单!$G$20,包装物料出入库明细!$B$4:$B$2003,"&gt;="&amp;$AF$1,包装物料出入库明细!$B$4:$B$2003,"&lt;="&amp;$AF$2))</f>
        <v/>
      </c>
      <c r="T74" s="25" t="str">
        <f>IF(OR($B74="",_自动清单!$G$21=""),"",SUMIFS(包装物料出入库明细!$J$4:$J$2003,包装物料出入库明细!$D$4:$D$2003,$B74,包装物料出入库明细!$E$4:$E$2003,_自动清单!$G$21,包装物料出入库明细!$B$4:$B$2003,"&gt;="&amp;$AF$1,包装物料出入库明细!$B$4:$B$2003,"&lt;="&amp;$AF$2))</f>
        <v/>
      </c>
      <c r="U74" s="25" t="str">
        <f>IF($B74="","",SUMIFS(包装物料出入库明细!$J$4:$J$2003,包装物料出入库明细!$D$4:$D$2003,$B74,包装物料出入库明细!$B$4:$B$2003,"&gt;="&amp;$AF$1,包装物料出入库明细!$B$4:$B$2003,"&lt;="&amp;$AF$2)-SUM($C74:$T74))</f>
        <v/>
      </c>
      <c r="V74" s="25" t="str">
        <f t="shared" si="5"/>
        <v/>
      </c>
      <c r="W74" s="56" t="str">
        <f>IF($B74="","",SUMIFS(包装物料出入库明细!$K$4:$K$2003,包装物料出入库明细!$D$4:$D$2003,$B74,包装物料出入库明细!$B$4:$B$2003,"&gt;="&amp;$AF$1,包装物料出入库明细!$B$4:$B$2003,"&lt;="&amp;$AF$2))</f>
        <v/>
      </c>
      <c r="X74" s="25" t="str">
        <f t="shared" si="6"/>
        <v/>
      </c>
      <c r="Y74" s="26" t="str">
        <f>IF($B74="","",ROUND(SUMIFS(包装物料出入库明细!$N$4:$N$2003,包装物料出入库明细!$D$4:$D$2003,$B74,包装物料出入库明细!$H$4:$H$2003,"销售出库",包装物料出入库明细!$B$4:$B$2003,"&gt;="&amp;$AF$1,包装物料出入库明细!$B$4:$B$2003,"&lt;="&amp;$AF$2),2))</f>
        <v/>
      </c>
      <c r="Z74" s="26" t="str">
        <f>IF($B74="","",ROUND(SUMIFS(包装物料出入库明细!$N$4:$N$2003,包装物料出入库明细!$D$4:$D$2003,$B74,包装物料出入库明细!$H$4:$H$2003,"销售出库",包装物料出入库明细!$P$4:$P$2003,"已收讫",包装物料出入库明细!$B$4:$B$2003,"&gt;="&amp;$AF$1,包装物料出入库明细!$B$4:$B$2003,"&lt;="&amp;$AF$2),2))</f>
        <v/>
      </c>
      <c r="AA74" s="26" t="str">
        <f t="shared" si="7"/>
        <v/>
      </c>
      <c r="AB74" s="41"/>
    </row>
    <row r="75" spans="1:28">
      <c r="A75" s="24" t="str">
        <f t="shared" si="4"/>
        <v/>
      </c>
      <c r="B75" s="24" t="str">
        <f>IFERROR(INDEX(_自动清单!$O$4:$O$203,ROW()-3),"")</f>
        <v/>
      </c>
      <c r="C75" s="25" t="str">
        <f>IF(OR($B75="",_自动清单!$G$4=""),"",SUMIFS(包装物料出入库明细!$J$4:$J$2003,包装物料出入库明细!$D$4:$D$2003,$B75,包装物料出入库明细!$E$4:$E$2003,_自动清单!$G$4,包装物料出入库明细!$B$4:$B$2003,"&gt;="&amp;$AF$1,包装物料出入库明细!$B$4:$B$2003,"&lt;="&amp;$AF$2))</f>
        <v/>
      </c>
      <c r="D75" s="25" t="str">
        <f>IF(OR($B75="",_自动清单!$G$5=""),"",SUMIFS(包装物料出入库明细!$J$4:$J$2003,包装物料出入库明细!$D$4:$D$2003,$B75,包装物料出入库明细!$E$4:$E$2003,_自动清单!$G$5,包装物料出入库明细!$B$4:$B$2003,"&gt;="&amp;$AF$1,包装物料出入库明细!$B$4:$B$2003,"&lt;="&amp;$AF$2))</f>
        <v/>
      </c>
      <c r="E75" s="25" t="str">
        <f>IF(OR($B75="",_自动清单!$G$6=""),"",SUMIFS(包装物料出入库明细!$J$4:$J$2003,包装物料出入库明细!$D$4:$D$2003,$B75,包装物料出入库明细!$E$4:$E$2003,_自动清单!$G$6,包装物料出入库明细!$B$4:$B$2003,"&gt;="&amp;$AF$1,包装物料出入库明细!$B$4:$B$2003,"&lt;="&amp;$AF$2))</f>
        <v/>
      </c>
      <c r="F75" s="25" t="str">
        <f>IF(OR($B75="",_自动清单!$G$7=""),"",SUMIFS(包装物料出入库明细!$J$4:$J$2003,包装物料出入库明细!$D$4:$D$2003,$B75,包装物料出入库明细!$E$4:$E$2003,_自动清单!$G$7,包装物料出入库明细!$B$4:$B$2003,"&gt;="&amp;$AF$1,包装物料出入库明细!$B$4:$B$2003,"&lt;="&amp;$AF$2))</f>
        <v/>
      </c>
      <c r="G75" s="25" t="str">
        <f>IF(OR($B75="",_自动清单!$G$8=""),"",SUMIFS(包装物料出入库明细!$J$4:$J$2003,包装物料出入库明细!$D$4:$D$2003,$B75,包装物料出入库明细!$E$4:$E$2003,_自动清单!$G$8,包装物料出入库明细!$B$4:$B$2003,"&gt;="&amp;$AF$1,包装物料出入库明细!$B$4:$B$2003,"&lt;="&amp;$AF$2))</f>
        <v/>
      </c>
      <c r="H75" s="25" t="str">
        <f>IF(OR($B75="",_自动清单!$G$9=""),"",SUMIFS(包装物料出入库明细!$J$4:$J$2003,包装物料出入库明细!$D$4:$D$2003,$B75,包装物料出入库明细!$E$4:$E$2003,_自动清单!$G$9,包装物料出入库明细!$B$4:$B$2003,"&gt;="&amp;$AF$1,包装物料出入库明细!$B$4:$B$2003,"&lt;="&amp;$AF$2))</f>
        <v/>
      </c>
      <c r="I75" s="25" t="str">
        <f>IF(OR($B75="",_自动清单!$G$10=""),"",SUMIFS(包装物料出入库明细!$J$4:$J$2003,包装物料出入库明细!$D$4:$D$2003,$B75,包装物料出入库明细!$E$4:$E$2003,_自动清单!$G$10,包装物料出入库明细!$B$4:$B$2003,"&gt;="&amp;$AF$1,包装物料出入库明细!$B$4:$B$2003,"&lt;="&amp;$AF$2))</f>
        <v/>
      </c>
      <c r="J75" s="25" t="str">
        <f>IF(OR($B75="",_自动清单!$G$11=""),"",SUMIFS(包装物料出入库明细!$J$4:$J$2003,包装物料出入库明细!$D$4:$D$2003,$B75,包装物料出入库明细!$E$4:$E$2003,_自动清单!$G$11,包装物料出入库明细!$B$4:$B$2003,"&gt;="&amp;$AF$1,包装物料出入库明细!$B$4:$B$2003,"&lt;="&amp;$AF$2))</f>
        <v/>
      </c>
      <c r="K75" s="25" t="str">
        <f>IF(OR($B75="",_自动清单!$G$12=""),"",SUMIFS(包装物料出入库明细!$J$4:$J$2003,包装物料出入库明细!$D$4:$D$2003,$B75,包装物料出入库明细!$E$4:$E$2003,_自动清单!$G$12,包装物料出入库明细!$B$4:$B$2003,"&gt;="&amp;$AF$1,包装物料出入库明细!$B$4:$B$2003,"&lt;="&amp;$AF$2))</f>
        <v/>
      </c>
      <c r="L75" s="25" t="str">
        <f>IF(OR($B75="",_自动清单!$G$13=""),"",SUMIFS(包装物料出入库明细!$J$4:$J$2003,包装物料出入库明细!$D$4:$D$2003,$B75,包装物料出入库明细!$E$4:$E$2003,_自动清单!$G$13,包装物料出入库明细!$B$4:$B$2003,"&gt;="&amp;$AF$1,包装物料出入库明细!$B$4:$B$2003,"&lt;="&amp;$AF$2))</f>
        <v/>
      </c>
      <c r="M75" s="25" t="str">
        <f>IF(OR($B75="",_自动清单!$G$14=""),"",SUMIFS(包装物料出入库明细!$J$4:$J$2003,包装物料出入库明细!$D$4:$D$2003,$B75,包装物料出入库明细!$E$4:$E$2003,_自动清单!$G$14,包装物料出入库明细!$B$4:$B$2003,"&gt;="&amp;$AF$1,包装物料出入库明细!$B$4:$B$2003,"&lt;="&amp;$AF$2))</f>
        <v/>
      </c>
      <c r="N75" s="25" t="str">
        <f>IF(OR($B75="",_自动清单!$G$15=""),"",SUMIFS(包装物料出入库明细!$J$4:$J$2003,包装物料出入库明细!$D$4:$D$2003,$B75,包装物料出入库明细!$E$4:$E$2003,_自动清单!$G$15,包装物料出入库明细!$B$4:$B$2003,"&gt;="&amp;$AF$1,包装物料出入库明细!$B$4:$B$2003,"&lt;="&amp;$AF$2))</f>
        <v/>
      </c>
      <c r="O75" s="25" t="str">
        <f>IF(OR($B75="",_自动清单!$G$16=""),"",SUMIFS(包装物料出入库明细!$J$4:$J$2003,包装物料出入库明细!$D$4:$D$2003,$B75,包装物料出入库明细!$E$4:$E$2003,_自动清单!$G$16,包装物料出入库明细!$B$4:$B$2003,"&gt;="&amp;$AF$1,包装物料出入库明细!$B$4:$B$2003,"&lt;="&amp;$AF$2))</f>
        <v/>
      </c>
      <c r="P75" s="25" t="str">
        <f>IF(OR($B75="",_自动清单!$G$17=""),"",SUMIFS(包装物料出入库明细!$J$4:$J$2003,包装物料出入库明细!$D$4:$D$2003,$B75,包装物料出入库明细!$E$4:$E$2003,_自动清单!$G$17,包装物料出入库明细!$B$4:$B$2003,"&gt;="&amp;$AF$1,包装物料出入库明细!$B$4:$B$2003,"&lt;="&amp;$AF$2))</f>
        <v/>
      </c>
      <c r="Q75" s="25" t="str">
        <f>IF(OR($B75="",_自动清单!$G$18=""),"",SUMIFS(包装物料出入库明细!$J$4:$J$2003,包装物料出入库明细!$D$4:$D$2003,$B75,包装物料出入库明细!$E$4:$E$2003,_自动清单!$G$18,包装物料出入库明细!$B$4:$B$2003,"&gt;="&amp;$AF$1,包装物料出入库明细!$B$4:$B$2003,"&lt;="&amp;$AF$2))</f>
        <v/>
      </c>
      <c r="R75" s="25" t="str">
        <f>IF(OR($B75="",_自动清单!$G$19=""),"",SUMIFS(包装物料出入库明细!$J$4:$J$2003,包装物料出入库明细!$D$4:$D$2003,$B75,包装物料出入库明细!$E$4:$E$2003,_自动清单!$G$19,包装物料出入库明细!$B$4:$B$2003,"&gt;="&amp;$AF$1,包装物料出入库明细!$B$4:$B$2003,"&lt;="&amp;$AF$2))</f>
        <v/>
      </c>
      <c r="S75" s="25" t="str">
        <f>IF(OR($B75="",_自动清单!$G$20=""),"",SUMIFS(包装物料出入库明细!$J$4:$J$2003,包装物料出入库明细!$D$4:$D$2003,$B75,包装物料出入库明细!$E$4:$E$2003,_自动清单!$G$20,包装物料出入库明细!$B$4:$B$2003,"&gt;="&amp;$AF$1,包装物料出入库明细!$B$4:$B$2003,"&lt;="&amp;$AF$2))</f>
        <v/>
      </c>
      <c r="T75" s="25" t="str">
        <f>IF(OR($B75="",_自动清单!$G$21=""),"",SUMIFS(包装物料出入库明细!$J$4:$J$2003,包装物料出入库明细!$D$4:$D$2003,$B75,包装物料出入库明细!$E$4:$E$2003,_自动清单!$G$21,包装物料出入库明细!$B$4:$B$2003,"&gt;="&amp;$AF$1,包装物料出入库明细!$B$4:$B$2003,"&lt;="&amp;$AF$2))</f>
        <v/>
      </c>
      <c r="U75" s="25" t="str">
        <f>IF($B75="","",SUMIFS(包装物料出入库明细!$J$4:$J$2003,包装物料出入库明细!$D$4:$D$2003,$B75,包装物料出入库明细!$B$4:$B$2003,"&gt;="&amp;$AF$1,包装物料出入库明细!$B$4:$B$2003,"&lt;="&amp;$AF$2)-SUM($C75:$T75))</f>
        <v/>
      </c>
      <c r="V75" s="25" t="str">
        <f t="shared" si="5"/>
        <v/>
      </c>
      <c r="W75" s="56" t="str">
        <f>IF($B75="","",SUMIFS(包装物料出入库明细!$K$4:$K$2003,包装物料出入库明细!$D$4:$D$2003,$B75,包装物料出入库明细!$B$4:$B$2003,"&gt;="&amp;$AF$1,包装物料出入库明细!$B$4:$B$2003,"&lt;="&amp;$AF$2))</f>
        <v/>
      </c>
      <c r="X75" s="25" t="str">
        <f t="shared" si="6"/>
        <v/>
      </c>
      <c r="Y75" s="26" t="str">
        <f>IF($B75="","",ROUND(SUMIFS(包装物料出入库明细!$N$4:$N$2003,包装物料出入库明细!$D$4:$D$2003,$B75,包装物料出入库明细!$H$4:$H$2003,"销售出库",包装物料出入库明细!$B$4:$B$2003,"&gt;="&amp;$AF$1,包装物料出入库明细!$B$4:$B$2003,"&lt;="&amp;$AF$2),2))</f>
        <v/>
      </c>
      <c r="Z75" s="26" t="str">
        <f>IF($B75="","",ROUND(SUMIFS(包装物料出入库明细!$N$4:$N$2003,包装物料出入库明细!$D$4:$D$2003,$B75,包装物料出入库明细!$H$4:$H$2003,"销售出库",包装物料出入库明细!$P$4:$P$2003,"已收讫",包装物料出入库明细!$B$4:$B$2003,"&gt;="&amp;$AF$1,包装物料出入库明细!$B$4:$B$2003,"&lt;="&amp;$AF$2),2))</f>
        <v/>
      </c>
      <c r="AA75" s="26" t="str">
        <f t="shared" si="7"/>
        <v/>
      </c>
      <c r="AB75" s="41"/>
    </row>
    <row r="76" spans="1:28">
      <c r="A76" s="24" t="str">
        <f t="shared" si="4"/>
        <v/>
      </c>
      <c r="B76" s="24" t="str">
        <f>IFERROR(INDEX(_自动清单!$O$4:$O$203,ROW()-3),"")</f>
        <v/>
      </c>
      <c r="C76" s="25" t="str">
        <f>IF(OR($B76="",_自动清单!$G$4=""),"",SUMIFS(包装物料出入库明细!$J$4:$J$2003,包装物料出入库明细!$D$4:$D$2003,$B76,包装物料出入库明细!$E$4:$E$2003,_自动清单!$G$4,包装物料出入库明细!$B$4:$B$2003,"&gt;="&amp;$AF$1,包装物料出入库明细!$B$4:$B$2003,"&lt;="&amp;$AF$2))</f>
        <v/>
      </c>
      <c r="D76" s="25" t="str">
        <f>IF(OR($B76="",_自动清单!$G$5=""),"",SUMIFS(包装物料出入库明细!$J$4:$J$2003,包装物料出入库明细!$D$4:$D$2003,$B76,包装物料出入库明细!$E$4:$E$2003,_自动清单!$G$5,包装物料出入库明细!$B$4:$B$2003,"&gt;="&amp;$AF$1,包装物料出入库明细!$B$4:$B$2003,"&lt;="&amp;$AF$2))</f>
        <v/>
      </c>
      <c r="E76" s="25" t="str">
        <f>IF(OR($B76="",_自动清单!$G$6=""),"",SUMIFS(包装物料出入库明细!$J$4:$J$2003,包装物料出入库明细!$D$4:$D$2003,$B76,包装物料出入库明细!$E$4:$E$2003,_自动清单!$G$6,包装物料出入库明细!$B$4:$B$2003,"&gt;="&amp;$AF$1,包装物料出入库明细!$B$4:$B$2003,"&lt;="&amp;$AF$2))</f>
        <v/>
      </c>
      <c r="F76" s="25" t="str">
        <f>IF(OR($B76="",_自动清单!$G$7=""),"",SUMIFS(包装物料出入库明细!$J$4:$J$2003,包装物料出入库明细!$D$4:$D$2003,$B76,包装物料出入库明细!$E$4:$E$2003,_自动清单!$G$7,包装物料出入库明细!$B$4:$B$2003,"&gt;="&amp;$AF$1,包装物料出入库明细!$B$4:$B$2003,"&lt;="&amp;$AF$2))</f>
        <v/>
      </c>
      <c r="G76" s="25" t="str">
        <f>IF(OR($B76="",_自动清单!$G$8=""),"",SUMIFS(包装物料出入库明细!$J$4:$J$2003,包装物料出入库明细!$D$4:$D$2003,$B76,包装物料出入库明细!$E$4:$E$2003,_自动清单!$G$8,包装物料出入库明细!$B$4:$B$2003,"&gt;="&amp;$AF$1,包装物料出入库明细!$B$4:$B$2003,"&lt;="&amp;$AF$2))</f>
        <v/>
      </c>
      <c r="H76" s="25" t="str">
        <f>IF(OR($B76="",_自动清单!$G$9=""),"",SUMIFS(包装物料出入库明细!$J$4:$J$2003,包装物料出入库明细!$D$4:$D$2003,$B76,包装物料出入库明细!$E$4:$E$2003,_自动清单!$G$9,包装物料出入库明细!$B$4:$B$2003,"&gt;="&amp;$AF$1,包装物料出入库明细!$B$4:$B$2003,"&lt;="&amp;$AF$2))</f>
        <v/>
      </c>
      <c r="I76" s="25" t="str">
        <f>IF(OR($B76="",_自动清单!$G$10=""),"",SUMIFS(包装物料出入库明细!$J$4:$J$2003,包装物料出入库明细!$D$4:$D$2003,$B76,包装物料出入库明细!$E$4:$E$2003,_自动清单!$G$10,包装物料出入库明细!$B$4:$B$2003,"&gt;="&amp;$AF$1,包装物料出入库明细!$B$4:$B$2003,"&lt;="&amp;$AF$2))</f>
        <v/>
      </c>
      <c r="J76" s="25" t="str">
        <f>IF(OR($B76="",_自动清单!$G$11=""),"",SUMIFS(包装物料出入库明细!$J$4:$J$2003,包装物料出入库明细!$D$4:$D$2003,$B76,包装物料出入库明细!$E$4:$E$2003,_自动清单!$G$11,包装物料出入库明细!$B$4:$B$2003,"&gt;="&amp;$AF$1,包装物料出入库明细!$B$4:$B$2003,"&lt;="&amp;$AF$2))</f>
        <v/>
      </c>
      <c r="K76" s="25" t="str">
        <f>IF(OR($B76="",_自动清单!$G$12=""),"",SUMIFS(包装物料出入库明细!$J$4:$J$2003,包装物料出入库明细!$D$4:$D$2003,$B76,包装物料出入库明细!$E$4:$E$2003,_自动清单!$G$12,包装物料出入库明细!$B$4:$B$2003,"&gt;="&amp;$AF$1,包装物料出入库明细!$B$4:$B$2003,"&lt;="&amp;$AF$2))</f>
        <v/>
      </c>
      <c r="L76" s="25" t="str">
        <f>IF(OR($B76="",_自动清单!$G$13=""),"",SUMIFS(包装物料出入库明细!$J$4:$J$2003,包装物料出入库明细!$D$4:$D$2003,$B76,包装物料出入库明细!$E$4:$E$2003,_自动清单!$G$13,包装物料出入库明细!$B$4:$B$2003,"&gt;="&amp;$AF$1,包装物料出入库明细!$B$4:$B$2003,"&lt;="&amp;$AF$2))</f>
        <v/>
      </c>
      <c r="M76" s="25" t="str">
        <f>IF(OR($B76="",_自动清单!$G$14=""),"",SUMIFS(包装物料出入库明细!$J$4:$J$2003,包装物料出入库明细!$D$4:$D$2003,$B76,包装物料出入库明细!$E$4:$E$2003,_自动清单!$G$14,包装物料出入库明细!$B$4:$B$2003,"&gt;="&amp;$AF$1,包装物料出入库明细!$B$4:$B$2003,"&lt;="&amp;$AF$2))</f>
        <v/>
      </c>
      <c r="N76" s="25" t="str">
        <f>IF(OR($B76="",_自动清单!$G$15=""),"",SUMIFS(包装物料出入库明细!$J$4:$J$2003,包装物料出入库明细!$D$4:$D$2003,$B76,包装物料出入库明细!$E$4:$E$2003,_自动清单!$G$15,包装物料出入库明细!$B$4:$B$2003,"&gt;="&amp;$AF$1,包装物料出入库明细!$B$4:$B$2003,"&lt;="&amp;$AF$2))</f>
        <v/>
      </c>
      <c r="O76" s="25" t="str">
        <f>IF(OR($B76="",_自动清单!$G$16=""),"",SUMIFS(包装物料出入库明细!$J$4:$J$2003,包装物料出入库明细!$D$4:$D$2003,$B76,包装物料出入库明细!$E$4:$E$2003,_自动清单!$G$16,包装物料出入库明细!$B$4:$B$2003,"&gt;="&amp;$AF$1,包装物料出入库明细!$B$4:$B$2003,"&lt;="&amp;$AF$2))</f>
        <v/>
      </c>
      <c r="P76" s="25" t="str">
        <f>IF(OR($B76="",_自动清单!$G$17=""),"",SUMIFS(包装物料出入库明细!$J$4:$J$2003,包装物料出入库明细!$D$4:$D$2003,$B76,包装物料出入库明细!$E$4:$E$2003,_自动清单!$G$17,包装物料出入库明细!$B$4:$B$2003,"&gt;="&amp;$AF$1,包装物料出入库明细!$B$4:$B$2003,"&lt;="&amp;$AF$2))</f>
        <v/>
      </c>
      <c r="Q76" s="25" t="str">
        <f>IF(OR($B76="",_自动清单!$G$18=""),"",SUMIFS(包装物料出入库明细!$J$4:$J$2003,包装物料出入库明细!$D$4:$D$2003,$B76,包装物料出入库明细!$E$4:$E$2003,_自动清单!$G$18,包装物料出入库明细!$B$4:$B$2003,"&gt;="&amp;$AF$1,包装物料出入库明细!$B$4:$B$2003,"&lt;="&amp;$AF$2))</f>
        <v/>
      </c>
      <c r="R76" s="25" t="str">
        <f>IF(OR($B76="",_自动清单!$G$19=""),"",SUMIFS(包装物料出入库明细!$J$4:$J$2003,包装物料出入库明细!$D$4:$D$2003,$B76,包装物料出入库明细!$E$4:$E$2003,_自动清单!$G$19,包装物料出入库明细!$B$4:$B$2003,"&gt;="&amp;$AF$1,包装物料出入库明细!$B$4:$B$2003,"&lt;="&amp;$AF$2))</f>
        <v/>
      </c>
      <c r="S76" s="25" t="str">
        <f>IF(OR($B76="",_自动清单!$G$20=""),"",SUMIFS(包装物料出入库明细!$J$4:$J$2003,包装物料出入库明细!$D$4:$D$2003,$B76,包装物料出入库明细!$E$4:$E$2003,_自动清单!$G$20,包装物料出入库明细!$B$4:$B$2003,"&gt;="&amp;$AF$1,包装物料出入库明细!$B$4:$B$2003,"&lt;="&amp;$AF$2))</f>
        <v/>
      </c>
      <c r="T76" s="25" t="str">
        <f>IF(OR($B76="",_自动清单!$G$21=""),"",SUMIFS(包装物料出入库明细!$J$4:$J$2003,包装物料出入库明细!$D$4:$D$2003,$B76,包装物料出入库明细!$E$4:$E$2003,_自动清单!$G$21,包装物料出入库明细!$B$4:$B$2003,"&gt;="&amp;$AF$1,包装物料出入库明细!$B$4:$B$2003,"&lt;="&amp;$AF$2))</f>
        <v/>
      </c>
      <c r="U76" s="25" t="str">
        <f>IF($B76="","",SUMIFS(包装物料出入库明细!$J$4:$J$2003,包装物料出入库明细!$D$4:$D$2003,$B76,包装物料出入库明细!$B$4:$B$2003,"&gt;="&amp;$AF$1,包装物料出入库明细!$B$4:$B$2003,"&lt;="&amp;$AF$2)-SUM($C76:$T76))</f>
        <v/>
      </c>
      <c r="V76" s="25" t="str">
        <f t="shared" si="5"/>
        <v/>
      </c>
      <c r="W76" s="56" t="str">
        <f>IF($B76="","",SUMIFS(包装物料出入库明细!$K$4:$K$2003,包装物料出入库明细!$D$4:$D$2003,$B76,包装物料出入库明细!$B$4:$B$2003,"&gt;="&amp;$AF$1,包装物料出入库明细!$B$4:$B$2003,"&lt;="&amp;$AF$2))</f>
        <v/>
      </c>
      <c r="X76" s="25" t="str">
        <f t="shared" si="6"/>
        <v/>
      </c>
      <c r="Y76" s="26" t="str">
        <f>IF($B76="","",ROUND(SUMIFS(包装物料出入库明细!$N$4:$N$2003,包装物料出入库明细!$D$4:$D$2003,$B76,包装物料出入库明细!$H$4:$H$2003,"销售出库",包装物料出入库明细!$B$4:$B$2003,"&gt;="&amp;$AF$1,包装物料出入库明细!$B$4:$B$2003,"&lt;="&amp;$AF$2),2))</f>
        <v/>
      </c>
      <c r="Z76" s="26" t="str">
        <f>IF($B76="","",ROUND(SUMIFS(包装物料出入库明细!$N$4:$N$2003,包装物料出入库明细!$D$4:$D$2003,$B76,包装物料出入库明细!$H$4:$H$2003,"销售出库",包装物料出入库明细!$P$4:$P$2003,"已收讫",包装物料出入库明细!$B$4:$B$2003,"&gt;="&amp;$AF$1,包装物料出入库明细!$B$4:$B$2003,"&lt;="&amp;$AF$2),2))</f>
        <v/>
      </c>
      <c r="AA76" s="26" t="str">
        <f t="shared" si="7"/>
        <v/>
      </c>
      <c r="AB76" s="41"/>
    </row>
    <row r="77" spans="1:28">
      <c r="A77" s="24" t="str">
        <f t="shared" si="4"/>
        <v/>
      </c>
      <c r="B77" s="24" t="str">
        <f>IFERROR(INDEX(_自动清单!$O$4:$O$203,ROW()-3),"")</f>
        <v/>
      </c>
      <c r="C77" s="25" t="str">
        <f>IF(OR($B77="",_自动清单!$G$4=""),"",SUMIFS(包装物料出入库明细!$J$4:$J$2003,包装物料出入库明细!$D$4:$D$2003,$B77,包装物料出入库明细!$E$4:$E$2003,_自动清单!$G$4,包装物料出入库明细!$B$4:$B$2003,"&gt;="&amp;$AF$1,包装物料出入库明细!$B$4:$B$2003,"&lt;="&amp;$AF$2))</f>
        <v/>
      </c>
      <c r="D77" s="25" t="str">
        <f>IF(OR($B77="",_自动清单!$G$5=""),"",SUMIFS(包装物料出入库明细!$J$4:$J$2003,包装物料出入库明细!$D$4:$D$2003,$B77,包装物料出入库明细!$E$4:$E$2003,_自动清单!$G$5,包装物料出入库明细!$B$4:$B$2003,"&gt;="&amp;$AF$1,包装物料出入库明细!$B$4:$B$2003,"&lt;="&amp;$AF$2))</f>
        <v/>
      </c>
      <c r="E77" s="25" t="str">
        <f>IF(OR($B77="",_自动清单!$G$6=""),"",SUMIFS(包装物料出入库明细!$J$4:$J$2003,包装物料出入库明细!$D$4:$D$2003,$B77,包装物料出入库明细!$E$4:$E$2003,_自动清单!$G$6,包装物料出入库明细!$B$4:$B$2003,"&gt;="&amp;$AF$1,包装物料出入库明细!$B$4:$B$2003,"&lt;="&amp;$AF$2))</f>
        <v/>
      </c>
      <c r="F77" s="25" t="str">
        <f>IF(OR($B77="",_自动清单!$G$7=""),"",SUMIFS(包装物料出入库明细!$J$4:$J$2003,包装物料出入库明细!$D$4:$D$2003,$B77,包装物料出入库明细!$E$4:$E$2003,_自动清单!$G$7,包装物料出入库明细!$B$4:$B$2003,"&gt;="&amp;$AF$1,包装物料出入库明细!$B$4:$B$2003,"&lt;="&amp;$AF$2))</f>
        <v/>
      </c>
      <c r="G77" s="25" t="str">
        <f>IF(OR($B77="",_自动清单!$G$8=""),"",SUMIFS(包装物料出入库明细!$J$4:$J$2003,包装物料出入库明细!$D$4:$D$2003,$B77,包装物料出入库明细!$E$4:$E$2003,_自动清单!$G$8,包装物料出入库明细!$B$4:$B$2003,"&gt;="&amp;$AF$1,包装物料出入库明细!$B$4:$B$2003,"&lt;="&amp;$AF$2))</f>
        <v/>
      </c>
      <c r="H77" s="25" t="str">
        <f>IF(OR($B77="",_自动清单!$G$9=""),"",SUMIFS(包装物料出入库明细!$J$4:$J$2003,包装物料出入库明细!$D$4:$D$2003,$B77,包装物料出入库明细!$E$4:$E$2003,_自动清单!$G$9,包装物料出入库明细!$B$4:$B$2003,"&gt;="&amp;$AF$1,包装物料出入库明细!$B$4:$B$2003,"&lt;="&amp;$AF$2))</f>
        <v/>
      </c>
      <c r="I77" s="25" t="str">
        <f>IF(OR($B77="",_自动清单!$G$10=""),"",SUMIFS(包装物料出入库明细!$J$4:$J$2003,包装物料出入库明细!$D$4:$D$2003,$B77,包装物料出入库明细!$E$4:$E$2003,_自动清单!$G$10,包装物料出入库明细!$B$4:$B$2003,"&gt;="&amp;$AF$1,包装物料出入库明细!$B$4:$B$2003,"&lt;="&amp;$AF$2))</f>
        <v/>
      </c>
      <c r="J77" s="25" t="str">
        <f>IF(OR($B77="",_自动清单!$G$11=""),"",SUMIFS(包装物料出入库明细!$J$4:$J$2003,包装物料出入库明细!$D$4:$D$2003,$B77,包装物料出入库明细!$E$4:$E$2003,_自动清单!$G$11,包装物料出入库明细!$B$4:$B$2003,"&gt;="&amp;$AF$1,包装物料出入库明细!$B$4:$B$2003,"&lt;="&amp;$AF$2))</f>
        <v/>
      </c>
      <c r="K77" s="25" t="str">
        <f>IF(OR($B77="",_自动清单!$G$12=""),"",SUMIFS(包装物料出入库明细!$J$4:$J$2003,包装物料出入库明细!$D$4:$D$2003,$B77,包装物料出入库明细!$E$4:$E$2003,_自动清单!$G$12,包装物料出入库明细!$B$4:$B$2003,"&gt;="&amp;$AF$1,包装物料出入库明细!$B$4:$B$2003,"&lt;="&amp;$AF$2))</f>
        <v/>
      </c>
      <c r="L77" s="25" t="str">
        <f>IF(OR($B77="",_自动清单!$G$13=""),"",SUMIFS(包装物料出入库明细!$J$4:$J$2003,包装物料出入库明细!$D$4:$D$2003,$B77,包装物料出入库明细!$E$4:$E$2003,_自动清单!$G$13,包装物料出入库明细!$B$4:$B$2003,"&gt;="&amp;$AF$1,包装物料出入库明细!$B$4:$B$2003,"&lt;="&amp;$AF$2))</f>
        <v/>
      </c>
      <c r="M77" s="25" t="str">
        <f>IF(OR($B77="",_自动清单!$G$14=""),"",SUMIFS(包装物料出入库明细!$J$4:$J$2003,包装物料出入库明细!$D$4:$D$2003,$B77,包装物料出入库明细!$E$4:$E$2003,_自动清单!$G$14,包装物料出入库明细!$B$4:$B$2003,"&gt;="&amp;$AF$1,包装物料出入库明细!$B$4:$B$2003,"&lt;="&amp;$AF$2))</f>
        <v/>
      </c>
      <c r="N77" s="25" t="str">
        <f>IF(OR($B77="",_自动清单!$G$15=""),"",SUMIFS(包装物料出入库明细!$J$4:$J$2003,包装物料出入库明细!$D$4:$D$2003,$B77,包装物料出入库明细!$E$4:$E$2003,_自动清单!$G$15,包装物料出入库明细!$B$4:$B$2003,"&gt;="&amp;$AF$1,包装物料出入库明细!$B$4:$B$2003,"&lt;="&amp;$AF$2))</f>
        <v/>
      </c>
      <c r="O77" s="25" t="str">
        <f>IF(OR($B77="",_自动清单!$G$16=""),"",SUMIFS(包装物料出入库明细!$J$4:$J$2003,包装物料出入库明细!$D$4:$D$2003,$B77,包装物料出入库明细!$E$4:$E$2003,_自动清单!$G$16,包装物料出入库明细!$B$4:$B$2003,"&gt;="&amp;$AF$1,包装物料出入库明细!$B$4:$B$2003,"&lt;="&amp;$AF$2))</f>
        <v/>
      </c>
      <c r="P77" s="25" t="str">
        <f>IF(OR($B77="",_自动清单!$G$17=""),"",SUMIFS(包装物料出入库明细!$J$4:$J$2003,包装物料出入库明细!$D$4:$D$2003,$B77,包装物料出入库明细!$E$4:$E$2003,_自动清单!$G$17,包装物料出入库明细!$B$4:$B$2003,"&gt;="&amp;$AF$1,包装物料出入库明细!$B$4:$B$2003,"&lt;="&amp;$AF$2))</f>
        <v/>
      </c>
      <c r="Q77" s="25" t="str">
        <f>IF(OR($B77="",_自动清单!$G$18=""),"",SUMIFS(包装物料出入库明细!$J$4:$J$2003,包装物料出入库明细!$D$4:$D$2003,$B77,包装物料出入库明细!$E$4:$E$2003,_自动清单!$G$18,包装物料出入库明细!$B$4:$B$2003,"&gt;="&amp;$AF$1,包装物料出入库明细!$B$4:$B$2003,"&lt;="&amp;$AF$2))</f>
        <v/>
      </c>
      <c r="R77" s="25" t="str">
        <f>IF(OR($B77="",_自动清单!$G$19=""),"",SUMIFS(包装物料出入库明细!$J$4:$J$2003,包装物料出入库明细!$D$4:$D$2003,$B77,包装物料出入库明细!$E$4:$E$2003,_自动清单!$G$19,包装物料出入库明细!$B$4:$B$2003,"&gt;="&amp;$AF$1,包装物料出入库明细!$B$4:$B$2003,"&lt;="&amp;$AF$2))</f>
        <v/>
      </c>
      <c r="S77" s="25" t="str">
        <f>IF(OR($B77="",_自动清单!$G$20=""),"",SUMIFS(包装物料出入库明细!$J$4:$J$2003,包装物料出入库明细!$D$4:$D$2003,$B77,包装物料出入库明细!$E$4:$E$2003,_自动清单!$G$20,包装物料出入库明细!$B$4:$B$2003,"&gt;="&amp;$AF$1,包装物料出入库明细!$B$4:$B$2003,"&lt;="&amp;$AF$2))</f>
        <v/>
      </c>
      <c r="T77" s="25" t="str">
        <f>IF(OR($B77="",_自动清单!$G$21=""),"",SUMIFS(包装物料出入库明细!$J$4:$J$2003,包装物料出入库明细!$D$4:$D$2003,$B77,包装物料出入库明细!$E$4:$E$2003,_自动清单!$G$21,包装物料出入库明细!$B$4:$B$2003,"&gt;="&amp;$AF$1,包装物料出入库明细!$B$4:$B$2003,"&lt;="&amp;$AF$2))</f>
        <v/>
      </c>
      <c r="U77" s="25" t="str">
        <f>IF($B77="","",SUMIFS(包装物料出入库明细!$J$4:$J$2003,包装物料出入库明细!$D$4:$D$2003,$B77,包装物料出入库明细!$B$4:$B$2003,"&gt;="&amp;$AF$1,包装物料出入库明细!$B$4:$B$2003,"&lt;="&amp;$AF$2)-SUM($C77:$T77))</f>
        <v/>
      </c>
      <c r="V77" s="25" t="str">
        <f t="shared" si="5"/>
        <v/>
      </c>
      <c r="W77" s="56" t="str">
        <f>IF($B77="","",SUMIFS(包装物料出入库明细!$K$4:$K$2003,包装物料出入库明细!$D$4:$D$2003,$B77,包装物料出入库明细!$B$4:$B$2003,"&gt;="&amp;$AF$1,包装物料出入库明细!$B$4:$B$2003,"&lt;="&amp;$AF$2))</f>
        <v/>
      </c>
      <c r="X77" s="25" t="str">
        <f t="shared" si="6"/>
        <v/>
      </c>
      <c r="Y77" s="26" t="str">
        <f>IF($B77="","",ROUND(SUMIFS(包装物料出入库明细!$N$4:$N$2003,包装物料出入库明细!$D$4:$D$2003,$B77,包装物料出入库明细!$H$4:$H$2003,"销售出库",包装物料出入库明细!$B$4:$B$2003,"&gt;="&amp;$AF$1,包装物料出入库明细!$B$4:$B$2003,"&lt;="&amp;$AF$2),2))</f>
        <v/>
      </c>
      <c r="Z77" s="26" t="str">
        <f>IF($B77="","",ROUND(SUMIFS(包装物料出入库明细!$N$4:$N$2003,包装物料出入库明细!$D$4:$D$2003,$B77,包装物料出入库明细!$H$4:$H$2003,"销售出库",包装物料出入库明细!$P$4:$P$2003,"已收讫",包装物料出入库明细!$B$4:$B$2003,"&gt;="&amp;$AF$1,包装物料出入库明细!$B$4:$B$2003,"&lt;="&amp;$AF$2),2))</f>
        <v/>
      </c>
      <c r="AA77" s="26" t="str">
        <f t="shared" si="7"/>
        <v/>
      </c>
      <c r="AB77" s="41"/>
    </row>
    <row r="78" spans="1:28">
      <c r="A78" s="24" t="str">
        <f t="shared" si="4"/>
        <v/>
      </c>
      <c r="B78" s="24" t="str">
        <f>IFERROR(INDEX(_自动清单!$O$4:$O$203,ROW()-3),"")</f>
        <v/>
      </c>
      <c r="C78" s="25" t="str">
        <f>IF(OR($B78="",_自动清单!$G$4=""),"",SUMIFS(包装物料出入库明细!$J$4:$J$2003,包装物料出入库明细!$D$4:$D$2003,$B78,包装物料出入库明细!$E$4:$E$2003,_自动清单!$G$4,包装物料出入库明细!$B$4:$B$2003,"&gt;="&amp;$AF$1,包装物料出入库明细!$B$4:$B$2003,"&lt;="&amp;$AF$2))</f>
        <v/>
      </c>
      <c r="D78" s="25" t="str">
        <f>IF(OR($B78="",_自动清单!$G$5=""),"",SUMIFS(包装物料出入库明细!$J$4:$J$2003,包装物料出入库明细!$D$4:$D$2003,$B78,包装物料出入库明细!$E$4:$E$2003,_自动清单!$G$5,包装物料出入库明细!$B$4:$B$2003,"&gt;="&amp;$AF$1,包装物料出入库明细!$B$4:$B$2003,"&lt;="&amp;$AF$2))</f>
        <v/>
      </c>
      <c r="E78" s="25" t="str">
        <f>IF(OR($B78="",_自动清单!$G$6=""),"",SUMIFS(包装物料出入库明细!$J$4:$J$2003,包装物料出入库明细!$D$4:$D$2003,$B78,包装物料出入库明细!$E$4:$E$2003,_自动清单!$G$6,包装物料出入库明细!$B$4:$B$2003,"&gt;="&amp;$AF$1,包装物料出入库明细!$B$4:$B$2003,"&lt;="&amp;$AF$2))</f>
        <v/>
      </c>
      <c r="F78" s="25" t="str">
        <f>IF(OR($B78="",_自动清单!$G$7=""),"",SUMIFS(包装物料出入库明细!$J$4:$J$2003,包装物料出入库明细!$D$4:$D$2003,$B78,包装物料出入库明细!$E$4:$E$2003,_自动清单!$G$7,包装物料出入库明细!$B$4:$B$2003,"&gt;="&amp;$AF$1,包装物料出入库明细!$B$4:$B$2003,"&lt;="&amp;$AF$2))</f>
        <v/>
      </c>
      <c r="G78" s="25" t="str">
        <f>IF(OR($B78="",_自动清单!$G$8=""),"",SUMIFS(包装物料出入库明细!$J$4:$J$2003,包装物料出入库明细!$D$4:$D$2003,$B78,包装物料出入库明细!$E$4:$E$2003,_自动清单!$G$8,包装物料出入库明细!$B$4:$B$2003,"&gt;="&amp;$AF$1,包装物料出入库明细!$B$4:$B$2003,"&lt;="&amp;$AF$2))</f>
        <v/>
      </c>
      <c r="H78" s="25" t="str">
        <f>IF(OR($B78="",_自动清单!$G$9=""),"",SUMIFS(包装物料出入库明细!$J$4:$J$2003,包装物料出入库明细!$D$4:$D$2003,$B78,包装物料出入库明细!$E$4:$E$2003,_自动清单!$G$9,包装物料出入库明细!$B$4:$B$2003,"&gt;="&amp;$AF$1,包装物料出入库明细!$B$4:$B$2003,"&lt;="&amp;$AF$2))</f>
        <v/>
      </c>
      <c r="I78" s="25" t="str">
        <f>IF(OR($B78="",_自动清单!$G$10=""),"",SUMIFS(包装物料出入库明细!$J$4:$J$2003,包装物料出入库明细!$D$4:$D$2003,$B78,包装物料出入库明细!$E$4:$E$2003,_自动清单!$G$10,包装物料出入库明细!$B$4:$B$2003,"&gt;="&amp;$AF$1,包装物料出入库明细!$B$4:$B$2003,"&lt;="&amp;$AF$2))</f>
        <v/>
      </c>
      <c r="J78" s="25" t="str">
        <f>IF(OR($B78="",_自动清单!$G$11=""),"",SUMIFS(包装物料出入库明细!$J$4:$J$2003,包装物料出入库明细!$D$4:$D$2003,$B78,包装物料出入库明细!$E$4:$E$2003,_自动清单!$G$11,包装物料出入库明细!$B$4:$B$2003,"&gt;="&amp;$AF$1,包装物料出入库明细!$B$4:$B$2003,"&lt;="&amp;$AF$2))</f>
        <v/>
      </c>
      <c r="K78" s="25" t="str">
        <f>IF(OR($B78="",_自动清单!$G$12=""),"",SUMIFS(包装物料出入库明细!$J$4:$J$2003,包装物料出入库明细!$D$4:$D$2003,$B78,包装物料出入库明细!$E$4:$E$2003,_自动清单!$G$12,包装物料出入库明细!$B$4:$B$2003,"&gt;="&amp;$AF$1,包装物料出入库明细!$B$4:$B$2003,"&lt;="&amp;$AF$2))</f>
        <v/>
      </c>
      <c r="L78" s="25" t="str">
        <f>IF(OR($B78="",_自动清单!$G$13=""),"",SUMIFS(包装物料出入库明细!$J$4:$J$2003,包装物料出入库明细!$D$4:$D$2003,$B78,包装物料出入库明细!$E$4:$E$2003,_自动清单!$G$13,包装物料出入库明细!$B$4:$B$2003,"&gt;="&amp;$AF$1,包装物料出入库明细!$B$4:$B$2003,"&lt;="&amp;$AF$2))</f>
        <v/>
      </c>
      <c r="M78" s="25" t="str">
        <f>IF(OR($B78="",_自动清单!$G$14=""),"",SUMIFS(包装物料出入库明细!$J$4:$J$2003,包装物料出入库明细!$D$4:$D$2003,$B78,包装物料出入库明细!$E$4:$E$2003,_自动清单!$G$14,包装物料出入库明细!$B$4:$B$2003,"&gt;="&amp;$AF$1,包装物料出入库明细!$B$4:$B$2003,"&lt;="&amp;$AF$2))</f>
        <v/>
      </c>
      <c r="N78" s="25" t="str">
        <f>IF(OR($B78="",_自动清单!$G$15=""),"",SUMIFS(包装物料出入库明细!$J$4:$J$2003,包装物料出入库明细!$D$4:$D$2003,$B78,包装物料出入库明细!$E$4:$E$2003,_自动清单!$G$15,包装物料出入库明细!$B$4:$B$2003,"&gt;="&amp;$AF$1,包装物料出入库明细!$B$4:$B$2003,"&lt;="&amp;$AF$2))</f>
        <v/>
      </c>
      <c r="O78" s="25" t="str">
        <f>IF(OR($B78="",_自动清单!$G$16=""),"",SUMIFS(包装物料出入库明细!$J$4:$J$2003,包装物料出入库明细!$D$4:$D$2003,$B78,包装物料出入库明细!$E$4:$E$2003,_自动清单!$G$16,包装物料出入库明细!$B$4:$B$2003,"&gt;="&amp;$AF$1,包装物料出入库明细!$B$4:$B$2003,"&lt;="&amp;$AF$2))</f>
        <v/>
      </c>
      <c r="P78" s="25" t="str">
        <f>IF(OR($B78="",_自动清单!$G$17=""),"",SUMIFS(包装物料出入库明细!$J$4:$J$2003,包装物料出入库明细!$D$4:$D$2003,$B78,包装物料出入库明细!$E$4:$E$2003,_自动清单!$G$17,包装物料出入库明细!$B$4:$B$2003,"&gt;="&amp;$AF$1,包装物料出入库明细!$B$4:$B$2003,"&lt;="&amp;$AF$2))</f>
        <v/>
      </c>
      <c r="Q78" s="25" t="str">
        <f>IF(OR($B78="",_自动清单!$G$18=""),"",SUMIFS(包装物料出入库明细!$J$4:$J$2003,包装物料出入库明细!$D$4:$D$2003,$B78,包装物料出入库明细!$E$4:$E$2003,_自动清单!$G$18,包装物料出入库明细!$B$4:$B$2003,"&gt;="&amp;$AF$1,包装物料出入库明细!$B$4:$B$2003,"&lt;="&amp;$AF$2))</f>
        <v/>
      </c>
      <c r="R78" s="25" t="str">
        <f>IF(OR($B78="",_自动清单!$G$19=""),"",SUMIFS(包装物料出入库明细!$J$4:$J$2003,包装物料出入库明细!$D$4:$D$2003,$B78,包装物料出入库明细!$E$4:$E$2003,_自动清单!$G$19,包装物料出入库明细!$B$4:$B$2003,"&gt;="&amp;$AF$1,包装物料出入库明细!$B$4:$B$2003,"&lt;="&amp;$AF$2))</f>
        <v/>
      </c>
      <c r="S78" s="25" t="str">
        <f>IF(OR($B78="",_自动清单!$G$20=""),"",SUMIFS(包装物料出入库明细!$J$4:$J$2003,包装物料出入库明细!$D$4:$D$2003,$B78,包装物料出入库明细!$E$4:$E$2003,_自动清单!$G$20,包装物料出入库明细!$B$4:$B$2003,"&gt;="&amp;$AF$1,包装物料出入库明细!$B$4:$B$2003,"&lt;="&amp;$AF$2))</f>
        <v/>
      </c>
      <c r="T78" s="25" t="str">
        <f>IF(OR($B78="",_自动清单!$G$21=""),"",SUMIFS(包装物料出入库明细!$J$4:$J$2003,包装物料出入库明细!$D$4:$D$2003,$B78,包装物料出入库明细!$E$4:$E$2003,_自动清单!$G$21,包装物料出入库明细!$B$4:$B$2003,"&gt;="&amp;$AF$1,包装物料出入库明细!$B$4:$B$2003,"&lt;="&amp;$AF$2))</f>
        <v/>
      </c>
      <c r="U78" s="25" t="str">
        <f>IF($B78="","",SUMIFS(包装物料出入库明细!$J$4:$J$2003,包装物料出入库明细!$D$4:$D$2003,$B78,包装物料出入库明细!$B$4:$B$2003,"&gt;="&amp;$AF$1,包装物料出入库明细!$B$4:$B$2003,"&lt;="&amp;$AF$2)-SUM($C78:$T78))</f>
        <v/>
      </c>
      <c r="V78" s="25" t="str">
        <f t="shared" si="5"/>
        <v/>
      </c>
      <c r="W78" s="56" t="str">
        <f>IF($B78="","",SUMIFS(包装物料出入库明细!$K$4:$K$2003,包装物料出入库明细!$D$4:$D$2003,$B78,包装物料出入库明细!$B$4:$B$2003,"&gt;="&amp;$AF$1,包装物料出入库明细!$B$4:$B$2003,"&lt;="&amp;$AF$2))</f>
        <v/>
      </c>
      <c r="X78" s="25" t="str">
        <f t="shared" si="6"/>
        <v/>
      </c>
      <c r="Y78" s="26" t="str">
        <f>IF($B78="","",ROUND(SUMIFS(包装物料出入库明细!$N$4:$N$2003,包装物料出入库明细!$D$4:$D$2003,$B78,包装物料出入库明细!$H$4:$H$2003,"销售出库",包装物料出入库明细!$B$4:$B$2003,"&gt;="&amp;$AF$1,包装物料出入库明细!$B$4:$B$2003,"&lt;="&amp;$AF$2),2))</f>
        <v/>
      </c>
      <c r="Z78" s="26" t="str">
        <f>IF($B78="","",ROUND(SUMIFS(包装物料出入库明细!$N$4:$N$2003,包装物料出入库明细!$D$4:$D$2003,$B78,包装物料出入库明细!$H$4:$H$2003,"销售出库",包装物料出入库明细!$P$4:$P$2003,"已收讫",包装物料出入库明细!$B$4:$B$2003,"&gt;="&amp;$AF$1,包装物料出入库明细!$B$4:$B$2003,"&lt;="&amp;$AF$2),2))</f>
        <v/>
      </c>
      <c r="AA78" s="26" t="str">
        <f t="shared" si="7"/>
        <v/>
      </c>
      <c r="AB78" s="41"/>
    </row>
    <row r="79" spans="1:28">
      <c r="A79" s="24" t="str">
        <f t="shared" si="4"/>
        <v/>
      </c>
      <c r="B79" s="24" t="str">
        <f>IFERROR(INDEX(_自动清单!$O$4:$O$203,ROW()-3),"")</f>
        <v/>
      </c>
      <c r="C79" s="25" t="str">
        <f>IF(OR($B79="",_自动清单!$G$4=""),"",SUMIFS(包装物料出入库明细!$J$4:$J$2003,包装物料出入库明细!$D$4:$D$2003,$B79,包装物料出入库明细!$E$4:$E$2003,_自动清单!$G$4,包装物料出入库明细!$B$4:$B$2003,"&gt;="&amp;$AF$1,包装物料出入库明细!$B$4:$B$2003,"&lt;="&amp;$AF$2))</f>
        <v/>
      </c>
      <c r="D79" s="25" t="str">
        <f>IF(OR($B79="",_自动清单!$G$5=""),"",SUMIFS(包装物料出入库明细!$J$4:$J$2003,包装物料出入库明细!$D$4:$D$2003,$B79,包装物料出入库明细!$E$4:$E$2003,_自动清单!$G$5,包装物料出入库明细!$B$4:$B$2003,"&gt;="&amp;$AF$1,包装物料出入库明细!$B$4:$B$2003,"&lt;="&amp;$AF$2))</f>
        <v/>
      </c>
      <c r="E79" s="25" t="str">
        <f>IF(OR($B79="",_自动清单!$G$6=""),"",SUMIFS(包装物料出入库明细!$J$4:$J$2003,包装物料出入库明细!$D$4:$D$2003,$B79,包装物料出入库明细!$E$4:$E$2003,_自动清单!$G$6,包装物料出入库明细!$B$4:$B$2003,"&gt;="&amp;$AF$1,包装物料出入库明细!$B$4:$B$2003,"&lt;="&amp;$AF$2))</f>
        <v/>
      </c>
      <c r="F79" s="25" t="str">
        <f>IF(OR($B79="",_自动清单!$G$7=""),"",SUMIFS(包装物料出入库明细!$J$4:$J$2003,包装物料出入库明细!$D$4:$D$2003,$B79,包装物料出入库明细!$E$4:$E$2003,_自动清单!$G$7,包装物料出入库明细!$B$4:$B$2003,"&gt;="&amp;$AF$1,包装物料出入库明细!$B$4:$B$2003,"&lt;="&amp;$AF$2))</f>
        <v/>
      </c>
      <c r="G79" s="25" t="str">
        <f>IF(OR($B79="",_自动清单!$G$8=""),"",SUMIFS(包装物料出入库明细!$J$4:$J$2003,包装物料出入库明细!$D$4:$D$2003,$B79,包装物料出入库明细!$E$4:$E$2003,_自动清单!$G$8,包装物料出入库明细!$B$4:$B$2003,"&gt;="&amp;$AF$1,包装物料出入库明细!$B$4:$B$2003,"&lt;="&amp;$AF$2))</f>
        <v/>
      </c>
      <c r="H79" s="25" t="str">
        <f>IF(OR($B79="",_自动清单!$G$9=""),"",SUMIFS(包装物料出入库明细!$J$4:$J$2003,包装物料出入库明细!$D$4:$D$2003,$B79,包装物料出入库明细!$E$4:$E$2003,_自动清单!$G$9,包装物料出入库明细!$B$4:$B$2003,"&gt;="&amp;$AF$1,包装物料出入库明细!$B$4:$B$2003,"&lt;="&amp;$AF$2))</f>
        <v/>
      </c>
      <c r="I79" s="25" t="str">
        <f>IF(OR($B79="",_自动清单!$G$10=""),"",SUMIFS(包装物料出入库明细!$J$4:$J$2003,包装物料出入库明细!$D$4:$D$2003,$B79,包装物料出入库明细!$E$4:$E$2003,_自动清单!$G$10,包装物料出入库明细!$B$4:$B$2003,"&gt;="&amp;$AF$1,包装物料出入库明细!$B$4:$B$2003,"&lt;="&amp;$AF$2))</f>
        <v/>
      </c>
      <c r="J79" s="25" t="str">
        <f>IF(OR($B79="",_自动清单!$G$11=""),"",SUMIFS(包装物料出入库明细!$J$4:$J$2003,包装物料出入库明细!$D$4:$D$2003,$B79,包装物料出入库明细!$E$4:$E$2003,_自动清单!$G$11,包装物料出入库明细!$B$4:$B$2003,"&gt;="&amp;$AF$1,包装物料出入库明细!$B$4:$B$2003,"&lt;="&amp;$AF$2))</f>
        <v/>
      </c>
      <c r="K79" s="25" t="str">
        <f>IF(OR($B79="",_自动清单!$G$12=""),"",SUMIFS(包装物料出入库明细!$J$4:$J$2003,包装物料出入库明细!$D$4:$D$2003,$B79,包装物料出入库明细!$E$4:$E$2003,_自动清单!$G$12,包装物料出入库明细!$B$4:$B$2003,"&gt;="&amp;$AF$1,包装物料出入库明细!$B$4:$B$2003,"&lt;="&amp;$AF$2))</f>
        <v/>
      </c>
      <c r="L79" s="25" t="str">
        <f>IF(OR($B79="",_自动清单!$G$13=""),"",SUMIFS(包装物料出入库明细!$J$4:$J$2003,包装物料出入库明细!$D$4:$D$2003,$B79,包装物料出入库明细!$E$4:$E$2003,_自动清单!$G$13,包装物料出入库明细!$B$4:$B$2003,"&gt;="&amp;$AF$1,包装物料出入库明细!$B$4:$B$2003,"&lt;="&amp;$AF$2))</f>
        <v/>
      </c>
      <c r="M79" s="25" t="str">
        <f>IF(OR($B79="",_自动清单!$G$14=""),"",SUMIFS(包装物料出入库明细!$J$4:$J$2003,包装物料出入库明细!$D$4:$D$2003,$B79,包装物料出入库明细!$E$4:$E$2003,_自动清单!$G$14,包装物料出入库明细!$B$4:$B$2003,"&gt;="&amp;$AF$1,包装物料出入库明细!$B$4:$B$2003,"&lt;="&amp;$AF$2))</f>
        <v/>
      </c>
      <c r="N79" s="25" t="str">
        <f>IF(OR($B79="",_自动清单!$G$15=""),"",SUMIFS(包装物料出入库明细!$J$4:$J$2003,包装物料出入库明细!$D$4:$D$2003,$B79,包装物料出入库明细!$E$4:$E$2003,_自动清单!$G$15,包装物料出入库明细!$B$4:$B$2003,"&gt;="&amp;$AF$1,包装物料出入库明细!$B$4:$B$2003,"&lt;="&amp;$AF$2))</f>
        <v/>
      </c>
      <c r="O79" s="25" t="str">
        <f>IF(OR($B79="",_自动清单!$G$16=""),"",SUMIFS(包装物料出入库明细!$J$4:$J$2003,包装物料出入库明细!$D$4:$D$2003,$B79,包装物料出入库明细!$E$4:$E$2003,_自动清单!$G$16,包装物料出入库明细!$B$4:$B$2003,"&gt;="&amp;$AF$1,包装物料出入库明细!$B$4:$B$2003,"&lt;="&amp;$AF$2))</f>
        <v/>
      </c>
      <c r="P79" s="25" t="str">
        <f>IF(OR($B79="",_自动清单!$G$17=""),"",SUMIFS(包装物料出入库明细!$J$4:$J$2003,包装物料出入库明细!$D$4:$D$2003,$B79,包装物料出入库明细!$E$4:$E$2003,_自动清单!$G$17,包装物料出入库明细!$B$4:$B$2003,"&gt;="&amp;$AF$1,包装物料出入库明细!$B$4:$B$2003,"&lt;="&amp;$AF$2))</f>
        <v/>
      </c>
      <c r="Q79" s="25" t="str">
        <f>IF(OR($B79="",_自动清单!$G$18=""),"",SUMIFS(包装物料出入库明细!$J$4:$J$2003,包装物料出入库明细!$D$4:$D$2003,$B79,包装物料出入库明细!$E$4:$E$2003,_自动清单!$G$18,包装物料出入库明细!$B$4:$B$2003,"&gt;="&amp;$AF$1,包装物料出入库明细!$B$4:$B$2003,"&lt;="&amp;$AF$2))</f>
        <v/>
      </c>
      <c r="R79" s="25" t="str">
        <f>IF(OR($B79="",_自动清单!$G$19=""),"",SUMIFS(包装物料出入库明细!$J$4:$J$2003,包装物料出入库明细!$D$4:$D$2003,$B79,包装物料出入库明细!$E$4:$E$2003,_自动清单!$G$19,包装物料出入库明细!$B$4:$B$2003,"&gt;="&amp;$AF$1,包装物料出入库明细!$B$4:$B$2003,"&lt;="&amp;$AF$2))</f>
        <v/>
      </c>
      <c r="S79" s="25" t="str">
        <f>IF(OR($B79="",_自动清单!$G$20=""),"",SUMIFS(包装物料出入库明细!$J$4:$J$2003,包装物料出入库明细!$D$4:$D$2003,$B79,包装物料出入库明细!$E$4:$E$2003,_自动清单!$G$20,包装物料出入库明细!$B$4:$B$2003,"&gt;="&amp;$AF$1,包装物料出入库明细!$B$4:$B$2003,"&lt;="&amp;$AF$2))</f>
        <v/>
      </c>
      <c r="T79" s="25" t="str">
        <f>IF(OR($B79="",_自动清单!$G$21=""),"",SUMIFS(包装物料出入库明细!$J$4:$J$2003,包装物料出入库明细!$D$4:$D$2003,$B79,包装物料出入库明细!$E$4:$E$2003,_自动清单!$G$21,包装物料出入库明细!$B$4:$B$2003,"&gt;="&amp;$AF$1,包装物料出入库明细!$B$4:$B$2003,"&lt;="&amp;$AF$2))</f>
        <v/>
      </c>
      <c r="U79" s="25" t="str">
        <f>IF($B79="","",SUMIFS(包装物料出入库明细!$J$4:$J$2003,包装物料出入库明细!$D$4:$D$2003,$B79,包装物料出入库明细!$B$4:$B$2003,"&gt;="&amp;$AF$1,包装物料出入库明细!$B$4:$B$2003,"&lt;="&amp;$AF$2)-SUM($C79:$T79))</f>
        <v/>
      </c>
      <c r="V79" s="25" t="str">
        <f t="shared" si="5"/>
        <v/>
      </c>
      <c r="W79" s="56" t="str">
        <f>IF($B79="","",SUMIFS(包装物料出入库明细!$K$4:$K$2003,包装物料出入库明细!$D$4:$D$2003,$B79,包装物料出入库明细!$B$4:$B$2003,"&gt;="&amp;$AF$1,包装物料出入库明细!$B$4:$B$2003,"&lt;="&amp;$AF$2))</f>
        <v/>
      </c>
      <c r="X79" s="25" t="str">
        <f t="shared" si="6"/>
        <v/>
      </c>
      <c r="Y79" s="26" t="str">
        <f>IF($B79="","",ROUND(SUMIFS(包装物料出入库明细!$N$4:$N$2003,包装物料出入库明细!$D$4:$D$2003,$B79,包装物料出入库明细!$H$4:$H$2003,"销售出库",包装物料出入库明细!$B$4:$B$2003,"&gt;="&amp;$AF$1,包装物料出入库明细!$B$4:$B$2003,"&lt;="&amp;$AF$2),2))</f>
        <v/>
      </c>
      <c r="Z79" s="26" t="str">
        <f>IF($B79="","",ROUND(SUMIFS(包装物料出入库明细!$N$4:$N$2003,包装物料出入库明细!$D$4:$D$2003,$B79,包装物料出入库明细!$H$4:$H$2003,"销售出库",包装物料出入库明细!$P$4:$P$2003,"已收讫",包装物料出入库明细!$B$4:$B$2003,"&gt;="&amp;$AF$1,包装物料出入库明细!$B$4:$B$2003,"&lt;="&amp;$AF$2),2))</f>
        <v/>
      </c>
      <c r="AA79" s="26" t="str">
        <f t="shared" si="7"/>
        <v/>
      </c>
      <c r="AB79" s="41"/>
    </row>
    <row r="80" spans="1:28">
      <c r="A80" s="24" t="str">
        <f t="shared" si="4"/>
        <v/>
      </c>
      <c r="B80" s="24" t="str">
        <f>IFERROR(INDEX(_自动清单!$O$4:$O$203,ROW()-3),"")</f>
        <v/>
      </c>
      <c r="C80" s="25" t="str">
        <f>IF(OR($B80="",_自动清单!$G$4=""),"",SUMIFS(包装物料出入库明细!$J$4:$J$2003,包装物料出入库明细!$D$4:$D$2003,$B80,包装物料出入库明细!$E$4:$E$2003,_自动清单!$G$4,包装物料出入库明细!$B$4:$B$2003,"&gt;="&amp;$AF$1,包装物料出入库明细!$B$4:$B$2003,"&lt;="&amp;$AF$2))</f>
        <v/>
      </c>
      <c r="D80" s="25" t="str">
        <f>IF(OR($B80="",_自动清单!$G$5=""),"",SUMIFS(包装物料出入库明细!$J$4:$J$2003,包装物料出入库明细!$D$4:$D$2003,$B80,包装物料出入库明细!$E$4:$E$2003,_自动清单!$G$5,包装物料出入库明细!$B$4:$B$2003,"&gt;="&amp;$AF$1,包装物料出入库明细!$B$4:$B$2003,"&lt;="&amp;$AF$2))</f>
        <v/>
      </c>
      <c r="E80" s="25" t="str">
        <f>IF(OR($B80="",_自动清单!$G$6=""),"",SUMIFS(包装物料出入库明细!$J$4:$J$2003,包装物料出入库明细!$D$4:$D$2003,$B80,包装物料出入库明细!$E$4:$E$2003,_自动清单!$G$6,包装物料出入库明细!$B$4:$B$2003,"&gt;="&amp;$AF$1,包装物料出入库明细!$B$4:$B$2003,"&lt;="&amp;$AF$2))</f>
        <v/>
      </c>
      <c r="F80" s="25" t="str">
        <f>IF(OR($B80="",_自动清单!$G$7=""),"",SUMIFS(包装物料出入库明细!$J$4:$J$2003,包装物料出入库明细!$D$4:$D$2003,$B80,包装物料出入库明细!$E$4:$E$2003,_自动清单!$G$7,包装物料出入库明细!$B$4:$B$2003,"&gt;="&amp;$AF$1,包装物料出入库明细!$B$4:$B$2003,"&lt;="&amp;$AF$2))</f>
        <v/>
      </c>
      <c r="G80" s="25" t="str">
        <f>IF(OR($B80="",_自动清单!$G$8=""),"",SUMIFS(包装物料出入库明细!$J$4:$J$2003,包装物料出入库明细!$D$4:$D$2003,$B80,包装物料出入库明细!$E$4:$E$2003,_自动清单!$G$8,包装物料出入库明细!$B$4:$B$2003,"&gt;="&amp;$AF$1,包装物料出入库明细!$B$4:$B$2003,"&lt;="&amp;$AF$2))</f>
        <v/>
      </c>
      <c r="H80" s="25" t="str">
        <f>IF(OR($B80="",_自动清单!$G$9=""),"",SUMIFS(包装物料出入库明细!$J$4:$J$2003,包装物料出入库明细!$D$4:$D$2003,$B80,包装物料出入库明细!$E$4:$E$2003,_自动清单!$G$9,包装物料出入库明细!$B$4:$B$2003,"&gt;="&amp;$AF$1,包装物料出入库明细!$B$4:$B$2003,"&lt;="&amp;$AF$2))</f>
        <v/>
      </c>
      <c r="I80" s="25" t="str">
        <f>IF(OR($B80="",_自动清单!$G$10=""),"",SUMIFS(包装物料出入库明细!$J$4:$J$2003,包装物料出入库明细!$D$4:$D$2003,$B80,包装物料出入库明细!$E$4:$E$2003,_自动清单!$G$10,包装物料出入库明细!$B$4:$B$2003,"&gt;="&amp;$AF$1,包装物料出入库明细!$B$4:$B$2003,"&lt;="&amp;$AF$2))</f>
        <v/>
      </c>
      <c r="J80" s="25" t="str">
        <f>IF(OR($B80="",_自动清单!$G$11=""),"",SUMIFS(包装物料出入库明细!$J$4:$J$2003,包装物料出入库明细!$D$4:$D$2003,$B80,包装物料出入库明细!$E$4:$E$2003,_自动清单!$G$11,包装物料出入库明细!$B$4:$B$2003,"&gt;="&amp;$AF$1,包装物料出入库明细!$B$4:$B$2003,"&lt;="&amp;$AF$2))</f>
        <v/>
      </c>
      <c r="K80" s="25" t="str">
        <f>IF(OR($B80="",_自动清单!$G$12=""),"",SUMIFS(包装物料出入库明细!$J$4:$J$2003,包装物料出入库明细!$D$4:$D$2003,$B80,包装物料出入库明细!$E$4:$E$2003,_自动清单!$G$12,包装物料出入库明细!$B$4:$B$2003,"&gt;="&amp;$AF$1,包装物料出入库明细!$B$4:$B$2003,"&lt;="&amp;$AF$2))</f>
        <v/>
      </c>
      <c r="L80" s="25" t="str">
        <f>IF(OR($B80="",_自动清单!$G$13=""),"",SUMIFS(包装物料出入库明细!$J$4:$J$2003,包装物料出入库明细!$D$4:$D$2003,$B80,包装物料出入库明细!$E$4:$E$2003,_自动清单!$G$13,包装物料出入库明细!$B$4:$B$2003,"&gt;="&amp;$AF$1,包装物料出入库明细!$B$4:$B$2003,"&lt;="&amp;$AF$2))</f>
        <v/>
      </c>
      <c r="M80" s="25" t="str">
        <f>IF(OR($B80="",_自动清单!$G$14=""),"",SUMIFS(包装物料出入库明细!$J$4:$J$2003,包装物料出入库明细!$D$4:$D$2003,$B80,包装物料出入库明细!$E$4:$E$2003,_自动清单!$G$14,包装物料出入库明细!$B$4:$B$2003,"&gt;="&amp;$AF$1,包装物料出入库明细!$B$4:$B$2003,"&lt;="&amp;$AF$2))</f>
        <v/>
      </c>
      <c r="N80" s="25" t="str">
        <f>IF(OR($B80="",_自动清单!$G$15=""),"",SUMIFS(包装物料出入库明细!$J$4:$J$2003,包装物料出入库明细!$D$4:$D$2003,$B80,包装物料出入库明细!$E$4:$E$2003,_自动清单!$G$15,包装物料出入库明细!$B$4:$B$2003,"&gt;="&amp;$AF$1,包装物料出入库明细!$B$4:$B$2003,"&lt;="&amp;$AF$2))</f>
        <v/>
      </c>
      <c r="O80" s="25" t="str">
        <f>IF(OR($B80="",_自动清单!$G$16=""),"",SUMIFS(包装物料出入库明细!$J$4:$J$2003,包装物料出入库明细!$D$4:$D$2003,$B80,包装物料出入库明细!$E$4:$E$2003,_自动清单!$G$16,包装物料出入库明细!$B$4:$B$2003,"&gt;="&amp;$AF$1,包装物料出入库明细!$B$4:$B$2003,"&lt;="&amp;$AF$2))</f>
        <v/>
      </c>
      <c r="P80" s="25" t="str">
        <f>IF(OR($B80="",_自动清单!$G$17=""),"",SUMIFS(包装物料出入库明细!$J$4:$J$2003,包装物料出入库明细!$D$4:$D$2003,$B80,包装物料出入库明细!$E$4:$E$2003,_自动清单!$G$17,包装物料出入库明细!$B$4:$B$2003,"&gt;="&amp;$AF$1,包装物料出入库明细!$B$4:$B$2003,"&lt;="&amp;$AF$2))</f>
        <v/>
      </c>
      <c r="Q80" s="25" t="str">
        <f>IF(OR($B80="",_自动清单!$G$18=""),"",SUMIFS(包装物料出入库明细!$J$4:$J$2003,包装物料出入库明细!$D$4:$D$2003,$B80,包装物料出入库明细!$E$4:$E$2003,_自动清单!$G$18,包装物料出入库明细!$B$4:$B$2003,"&gt;="&amp;$AF$1,包装物料出入库明细!$B$4:$B$2003,"&lt;="&amp;$AF$2))</f>
        <v/>
      </c>
      <c r="R80" s="25" t="str">
        <f>IF(OR($B80="",_自动清单!$G$19=""),"",SUMIFS(包装物料出入库明细!$J$4:$J$2003,包装物料出入库明细!$D$4:$D$2003,$B80,包装物料出入库明细!$E$4:$E$2003,_自动清单!$G$19,包装物料出入库明细!$B$4:$B$2003,"&gt;="&amp;$AF$1,包装物料出入库明细!$B$4:$B$2003,"&lt;="&amp;$AF$2))</f>
        <v/>
      </c>
      <c r="S80" s="25" t="str">
        <f>IF(OR($B80="",_自动清单!$G$20=""),"",SUMIFS(包装物料出入库明细!$J$4:$J$2003,包装物料出入库明细!$D$4:$D$2003,$B80,包装物料出入库明细!$E$4:$E$2003,_自动清单!$G$20,包装物料出入库明细!$B$4:$B$2003,"&gt;="&amp;$AF$1,包装物料出入库明细!$B$4:$B$2003,"&lt;="&amp;$AF$2))</f>
        <v/>
      </c>
      <c r="T80" s="25" t="str">
        <f>IF(OR($B80="",_自动清单!$G$21=""),"",SUMIFS(包装物料出入库明细!$J$4:$J$2003,包装物料出入库明细!$D$4:$D$2003,$B80,包装物料出入库明细!$E$4:$E$2003,_自动清单!$G$21,包装物料出入库明细!$B$4:$B$2003,"&gt;="&amp;$AF$1,包装物料出入库明细!$B$4:$B$2003,"&lt;="&amp;$AF$2))</f>
        <v/>
      </c>
      <c r="U80" s="25" t="str">
        <f>IF($B80="","",SUMIFS(包装物料出入库明细!$J$4:$J$2003,包装物料出入库明细!$D$4:$D$2003,$B80,包装物料出入库明细!$B$4:$B$2003,"&gt;="&amp;$AF$1,包装物料出入库明细!$B$4:$B$2003,"&lt;="&amp;$AF$2)-SUM($C80:$T80))</f>
        <v/>
      </c>
      <c r="V80" s="25" t="str">
        <f t="shared" si="5"/>
        <v/>
      </c>
      <c r="W80" s="56" t="str">
        <f>IF($B80="","",SUMIFS(包装物料出入库明细!$K$4:$K$2003,包装物料出入库明细!$D$4:$D$2003,$B80,包装物料出入库明细!$B$4:$B$2003,"&gt;="&amp;$AF$1,包装物料出入库明细!$B$4:$B$2003,"&lt;="&amp;$AF$2))</f>
        <v/>
      </c>
      <c r="X80" s="25" t="str">
        <f t="shared" si="6"/>
        <v/>
      </c>
      <c r="Y80" s="26" t="str">
        <f>IF($B80="","",ROUND(SUMIFS(包装物料出入库明细!$N$4:$N$2003,包装物料出入库明细!$D$4:$D$2003,$B80,包装物料出入库明细!$H$4:$H$2003,"销售出库",包装物料出入库明细!$B$4:$B$2003,"&gt;="&amp;$AF$1,包装物料出入库明细!$B$4:$B$2003,"&lt;="&amp;$AF$2),2))</f>
        <v/>
      </c>
      <c r="Z80" s="26" t="str">
        <f>IF($B80="","",ROUND(SUMIFS(包装物料出入库明细!$N$4:$N$2003,包装物料出入库明细!$D$4:$D$2003,$B80,包装物料出入库明细!$H$4:$H$2003,"销售出库",包装物料出入库明细!$P$4:$P$2003,"已收讫",包装物料出入库明细!$B$4:$B$2003,"&gt;="&amp;$AF$1,包装物料出入库明细!$B$4:$B$2003,"&lt;="&amp;$AF$2),2))</f>
        <v/>
      </c>
      <c r="AA80" s="26" t="str">
        <f t="shared" si="7"/>
        <v/>
      </c>
      <c r="AB80" s="41"/>
    </row>
    <row r="81" spans="1:28">
      <c r="A81" s="24" t="str">
        <f t="shared" si="4"/>
        <v/>
      </c>
      <c r="B81" s="24" t="str">
        <f>IFERROR(INDEX(_自动清单!$O$4:$O$203,ROW()-3),"")</f>
        <v/>
      </c>
      <c r="C81" s="25" t="str">
        <f>IF(OR($B81="",_自动清单!$G$4=""),"",SUMIFS(包装物料出入库明细!$J$4:$J$2003,包装物料出入库明细!$D$4:$D$2003,$B81,包装物料出入库明细!$E$4:$E$2003,_自动清单!$G$4,包装物料出入库明细!$B$4:$B$2003,"&gt;="&amp;$AF$1,包装物料出入库明细!$B$4:$B$2003,"&lt;="&amp;$AF$2))</f>
        <v/>
      </c>
      <c r="D81" s="25" t="str">
        <f>IF(OR($B81="",_自动清单!$G$5=""),"",SUMIFS(包装物料出入库明细!$J$4:$J$2003,包装物料出入库明细!$D$4:$D$2003,$B81,包装物料出入库明细!$E$4:$E$2003,_自动清单!$G$5,包装物料出入库明细!$B$4:$B$2003,"&gt;="&amp;$AF$1,包装物料出入库明细!$B$4:$B$2003,"&lt;="&amp;$AF$2))</f>
        <v/>
      </c>
      <c r="E81" s="25" t="str">
        <f>IF(OR($B81="",_自动清单!$G$6=""),"",SUMIFS(包装物料出入库明细!$J$4:$J$2003,包装物料出入库明细!$D$4:$D$2003,$B81,包装物料出入库明细!$E$4:$E$2003,_自动清单!$G$6,包装物料出入库明细!$B$4:$B$2003,"&gt;="&amp;$AF$1,包装物料出入库明细!$B$4:$B$2003,"&lt;="&amp;$AF$2))</f>
        <v/>
      </c>
      <c r="F81" s="25" t="str">
        <f>IF(OR($B81="",_自动清单!$G$7=""),"",SUMIFS(包装物料出入库明细!$J$4:$J$2003,包装物料出入库明细!$D$4:$D$2003,$B81,包装物料出入库明细!$E$4:$E$2003,_自动清单!$G$7,包装物料出入库明细!$B$4:$B$2003,"&gt;="&amp;$AF$1,包装物料出入库明细!$B$4:$B$2003,"&lt;="&amp;$AF$2))</f>
        <v/>
      </c>
      <c r="G81" s="25" t="str">
        <f>IF(OR($B81="",_自动清单!$G$8=""),"",SUMIFS(包装物料出入库明细!$J$4:$J$2003,包装物料出入库明细!$D$4:$D$2003,$B81,包装物料出入库明细!$E$4:$E$2003,_自动清单!$G$8,包装物料出入库明细!$B$4:$B$2003,"&gt;="&amp;$AF$1,包装物料出入库明细!$B$4:$B$2003,"&lt;="&amp;$AF$2))</f>
        <v/>
      </c>
      <c r="H81" s="25" t="str">
        <f>IF(OR($B81="",_自动清单!$G$9=""),"",SUMIFS(包装物料出入库明细!$J$4:$J$2003,包装物料出入库明细!$D$4:$D$2003,$B81,包装物料出入库明细!$E$4:$E$2003,_自动清单!$G$9,包装物料出入库明细!$B$4:$B$2003,"&gt;="&amp;$AF$1,包装物料出入库明细!$B$4:$B$2003,"&lt;="&amp;$AF$2))</f>
        <v/>
      </c>
      <c r="I81" s="25" t="str">
        <f>IF(OR($B81="",_自动清单!$G$10=""),"",SUMIFS(包装物料出入库明细!$J$4:$J$2003,包装物料出入库明细!$D$4:$D$2003,$B81,包装物料出入库明细!$E$4:$E$2003,_自动清单!$G$10,包装物料出入库明细!$B$4:$B$2003,"&gt;="&amp;$AF$1,包装物料出入库明细!$B$4:$B$2003,"&lt;="&amp;$AF$2))</f>
        <v/>
      </c>
      <c r="J81" s="25" t="str">
        <f>IF(OR($B81="",_自动清单!$G$11=""),"",SUMIFS(包装物料出入库明细!$J$4:$J$2003,包装物料出入库明细!$D$4:$D$2003,$B81,包装物料出入库明细!$E$4:$E$2003,_自动清单!$G$11,包装物料出入库明细!$B$4:$B$2003,"&gt;="&amp;$AF$1,包装物料出入库明细!$B$4:$B$2003,"&lt;="&amp;$AF$2))</f>
        <v/>
      </c>
      <c r="K81" s="25" t="str">
        <f>IF(OR($B81="",_自动清单!$G$12=""),"",SUMIFS(包装物料出入库明细!$J$4:$J$2003,包装物料出入库明细!$D$4:$D$2003,$B81,包装物料出入库明细!$E$4:$E$2003,_自动清单!$G$12,包装物料出入库明细!$B$4:$B$2003,"&gt;="&amp;$AF$1,包装物料出入库明细!$B$4:$B$2003,"&lt;="&amp;$AF$2))</f>
        <v/>
      </c>
      <c r="L81" s="25" t="str">
        <f>IF(OR($B81="",_自动清单!$G$13=""),"",SUMIFS(包装物料出入库明细!$J$4:$J$2003,包装物料出入库明细!$D$4:$D$2003,$B81,包装物料出入库明细!$E$4:$E$2003,_自动清单!$G$13,包装物料出入库明细!$B$4:$B$2003,"&gt;="&amp;$AF$1,包装物料出入库明细!$B$4:$B$2003,"&lt;="&amp;$AF$2))</f>
        <v/>
      </c>
      <c r="M81" s="25" t="str">
        <f>IF(OR($B81="",_自动清单!$G$14=""),"",SUMIFS(包装物料出入库明细!$J$4:$J$2003,包装物料出入库明细!$D$4:$D$2003,$B81,包装物料出入库明细!$E$4:$E$2003,_自动清单!$G$14,包装物料出入库明细!$B$4:$B$2003,"&gt;="&amp;$AF$1,包装物料出入库明细!$B$4:$B$2003,"&lt;="&amp;$AF$2))</f>
        <v/>
      </c>
      <c r="N81" s="25" t="str">
        <f>IF(OR($B81="",_自动清单!$G$15=""),"",SUMIFS(包装物料出入库明细!$J$4:$J$2003,包装物料出入库明细!$D$4:$D$2003,$B81,包装物料出入库明细!$E$4:$E$2003,_自动清单!$G$15,包装物料出入库明细!$B$4:$B$2003,"&gt;="&amp;$AF$1,包装物料出入库明细!$B$4:$B$2003,"&lt;="&amp;$AF$2))</f>
        <v/>
      </c>
      <c r="O81" s="25" t="str">
        <f>IF(OR($B81="",_自动清单!$G$16=""),"",SUMIFS(包装物料出入库明细!$J$4:$J$2003,包装物料出入库明细!$D$4:$D$2003,$B81,包装物料出入库明细!$E$4:$E$2003,_自动清单!$G$16,包装物料出入库明细!$B$4:$B$2003,"&gt;="&amp;$AF$1,包装物料出入库明细!$B$4:$B$2003,"&lt;="&amp;$AF$2))</f>
        <v/>
      </c>
      <c r="P81" s="25" t="str">
        <f>IF(OR($B81="",_自动清单!$G$17=""),"",SUMIFS(包装物料出入库明细!$J$4:$J$2003,包装物料出入库明细!$D$4:$D$2003,$B81,包装物料出入库明细!$E$4:$E$2003,_自动清单!$G$17,包装物料出入库明细!$B$4:$B$2003,"&gt;="&amp;$AF$1,包装物料出入库明细!$B$4:$B$2003,"&lt;="&amp;$AF$2))</f>
        <v/>
      </c>
      <c r="Q81" s="25" t="str">
        <f>IF(OR($B81="",_自动清单!$G$18=""),"",SUMIFS(包装物料出入库明细!$J$4:$J$2003,包装物料出入库明细!$D$4:$D$2003,$B81,包装物料出入库明细!$E$4:$E$2003,_自动清单!$G$18,包装物料出入库明细!$B$4:$B$2003,"&gt;="&amp;$AF$1,包装物料出入库明细!$B$4:$B$2003,"&lt;="&amp;$AF$2))</f>
        <v/>
      </c>
      <c r="R81" s="25" t="str">
        <f>IF(OR($B81="",_自动清单!$G$19=""),"",SUMIFS(包装物料出入库明细!$J$4:$J$2003,包装物料出入库明细!$D$4:$D$2003,$B81,包装物料出入库明细!$E$4:$E$2003,_自动清单!$G$19,包装物料出入库明细!$B$4:$B$2003,"&gt;="&amp;$AF$1,包装物料出入库明细!$B$4:$B$2003,"&lt;="&amp;$AF$2))</f>
        <v/>
      </c>
      <c r="S81" s="25" t="str">
        <f>IF(OR($B81="",_自动清单!$G$20=""),"",SUMIFS(包装物料出入库明细!$J$4:$J$2003,包装物料出入库明细!$D$4:$D$2003,$B81,包装物料出入库明细!$E$4:$E$2003,_自动清单!$G$20,包装物料出入库明细!$B$4:$B$2003,"&gt;="&amp;$AF$1,包装物料出入库明细!$B$4:$B$2003,"&lt;="&amp;$AF$2))</f>
        <v/>
      </c>
      <c r="T81" s="25" t="str">
        <f>IF(OR($B81="",_自动清单!$G$21=""),"",SUMIFS(包装物料出入库明细!$J$4:$J$2003,包装物料出入库明细!$D$4:$D$2003,$B81,包装物料出入库明细!$E$4:$E$2003,_自动清单!$G$21,包装物料出入库明细!$B$4:$B$2003,"&gt;="&amp;$AF$1,包装物料出入库明细!$B$4:$B$2003,"&lt;="&amp;$AF$2))</f>
        <v/>
      </c>
      <c r="U81" s="25" t="str">
        <f>IF($B81="","",SUMIFS(包装物料出入库明细!$J$4:$J$2003,包装物料出入库明细!$D$4:$D$2003,$B81,包装物料出入库明细!$B$4:$B$2003,"&gt;="&amp;$AF$1,包装物料出入库明细!$B$4:$B$2003,"&lt;="&amp;$AF$2)-SUM($C81:$T81))</f>
        <v/>
      </c>
      <c r="V81" s="25" t="str">
        <f t="shared" si="5"/>
        <v/>
      </c>
      <c r="W81" s="56" t="str">
        <f>IF($B81="","",SUMIFS(包装物料出入库明细!$K$4:$K$2003,包装物料出入库明细!$D$4:$D$2003,$B81,包装物料出入库明细!$B$4:$B$2003,"&gt;="&amp;$AF$1,包装物料出入库明细!$B$4:$B$2003,"&lt;="&amp;$AF$2))</f>
        <v/>
      </c>
      <c r="X81" s="25" t="str">
        <f t="shared" si="6"/>
        <v/>
      </c>
      <c r="Y81" s="26" t="str">
        <f>IF($B81="","",ROUND(SUMIFS(包装物料出入库明细!$N$4:$N$2003,包装物料出入库明细!$D$4:$D$2003,$B81,包装物料出入库明细!$H$4:$H$2003,"销售出库",包装物料出入库明细!$B$4:$B$2003,"&gt;="&amp;$AF$1,包装物料出入库明细!$B$4:$B$2003,"&lt;="&amp;$AF$2),2))</f>
        <v/>
      </c>
      <c r="Z81" s="26" t="str">
        <f>IF($B81="","",ROUND(SUMIFS(包装物料出入库明细!$N$4:$N$2003,包装物料出入库明细!$D$4:$D$2003,$B81,包装物料出入库明细!$H$4:$H$2003,"销售出库",包装物料出入库明细!$P$4:$P$2003,"已收讫",包装物料出入库明细!$B$4:$B$2003,"&gt;="&amp;$AF$1,包装物料出入库明细!$B$4:$B$2003,"&lt;="&amp;$AF$2),2))</f>
        <v/>
      </c>
      <c r="AA81" s="26" t="str">
        <f t="shared" si="7"/>
        <v/>
      </c>
      <c r="AB81" s="41"/>
    </row>
    <row r="82" spans="1:28">
      <c r="A82" s="24" t="str">
        <f t="shared" si="4"/>
        <v/>
      </c>
      <c r="B82" s="24" t="str">
        <f>IFERROR(INDEX(_自动清单!$O$4:$O$203,ROW()-3),"")</f>
        <v/>
      </c>
      <c r="C82" s="25" t="str">
        <f>IF(OR($B82="",_自动清单!$G$4=""),"",SUMIFS(包装物料出入库明细!$J$4:$J$2003,包装物料出入库明细!$D$4:$D$2003,$B82,包装物料出入库明细!$E$4:$E$2003,_自动清单!$G$4,包装物料出入库明细!$B$4:$B$2003,"&gt;="&amp;$AF$1,包装物料出入库明细!$B$4:$B$2003,"&lt;="&amp;$AF$2))</f>
        <v/>
      </c>
      <c r="D82" s="25" t="str">
        <f>IF(OR($B82="",_自动清单!$G$5=""),"",SUMIFS(包装物料出入库明细!$J$4:$J$2003,包装物料出入库明细!$D$4:$D$2003,$B82,包装物料出入库明细!$E$4:$E$2003,_自动清单!$G$5,包装物料出入库明细!$B$4:$B$2003,"&gt;="&amp;$AF$1,包装物料出入库明细!$B$4:$B$2003,"&lt;="&amp;$AF$2))</f>
        <v/>
      </c>
      <c r="E82" s="25" t="str">
        <f>IF(OR($B82="",_自动清单!$G$6=""),"",SUMIFS(包装物料出入库明细!$J$4:$J$2003,包装物料出入库明细!$D$4:$D$2003,$B82,包装物料出入库明细!$E$4:$E$2003,_自动清单!$G$6,包装物料出入库明细!$B$4:$B$2003,"&gt;="&amp;$AF$1,包装物料出入库明细!$B$4:$B$2003,"&lt;="&amp;$AF$2))</f>
        <v/>
      </c>
      <c r="F82" s="25" t="str">
        <f>IF(OR($B82="",_自动清单!$G$7=""),"",SUMIFS(包装物料出入库明细!$J$4:$J$2003,包装物料出入库明细!$D$4:$D$2003,$B82,包装物料出入库明细!$E$4:$E$2003,_自动清单!$G$7,包装物料出入库明细!$B$4:$B$2003,"&gt;="&amp;$AF$1,包装物料出入库明细!$B$4:$B$2003,"&lt;="&amp;$AF$2))</f>
        <v/>
      </c>
      <c r="G82" s="25" t="str">
        <f>IF(OR($B82="",_自动清单!$G$8=""),"",SUMIFS(包装物料出入库明细!$J$4:$J$2003,包装物料出入库明细!$D$4:$D$2003,$B82,包装物料出入库明细!$E$4:$E$2003,_自动清单!$G$8,包装物料出入库明细!$B$4:$B$2003,"&gt;="&amp;$AF$1,包装物料出入库明细!$B$4:$B$2003,"&lt;="&amp;$AF$2))</f>
        <v/>
      </c>
      <c r="H82" s="25" t="str">
        <f>IF(OR($B82="",_自动清单!$G$9=""),"",SUMIFS(包装物料出入库明细!$J$4:$J$2003,包装物料出入库明细!$D$4:$D$2003,$B82,包装物料出入库明细!$E$4:$E$2003,_自动清单!$G$9,包装物料出入库明细!$B$4:$B$2003,"&gt;="&amp;$AF$1,包装物料出入库明细!$B$4:$B$2003,"&lt;="&amp;$AF$2))</f>
        <v/>
      </c>
      <c r="I82" s="25" t="str">
        <f>IF(OR($B82="",_自动清单!$G$10=""),"",SUMIFS(包装物料出入库明细!$J$4:$J$2003,包装物料出入库明细!$D$4:$D$2003,$B82,包装物料出入库明细!$E$4:$E$2003,_自动清单!$G$10,包装物料出入库明细!$B$4:$B$2003,"&gt;="&amp;$AF$1,包装物料出入库明细!$B$4:$B$2003,"&lt;="&amp;$AF$2))</f>
        <v/>
      </c>
      <c r="J82" s="25" t="str">
        <f>IF(OR($B82="",_自动清单!$G$11=""),"",SUMIFS(包装物料出入库明细!$J$4:$J$2003,包装物料出入库明细!$D$4:$D$2003,$B82,包装物料出入库明细!$E$4:$E$2003,_自动清单!$G$11,包装物料出入库明细!$B$4:$B$2003,"&gt;="&amp;$AF$1,包装物料出入库明细!$B$4:$B$2003,"&lt;="&amp;$AF$2))</f>
        <v/>
      </c>
      <c r="K82" s="25" t="str">
        <f>IF(OR($B82="",_自动清单!$G$12=""),"",SUMIFS(包装物料出入库明细!$J$4:$J$2003,包装物料出入库明细!$D$4:$D$2003,$B82,包装物料出入库明细!$E$4:$E$2003,_自动清单!$G$12,包装物料出入库明细!$B$4:$B$2003,"&gt;="&amp;$AF$1,包装物料出入库明细!$B$4:$B$2003,"&lt;="&amp;$AF$2))</f>
        <v/>
      </c>
      <c r="L82" s="25" t="str">
        <f>IF(OR($B82="",_自动清单!$G$13=""),"",SUMIFS(包装物料出入库明细!$J$4:$J$2003,包装物料出入库明细!$D$4:$D$2003,$B82,包装物料出入库明细!$E$4:$E$2003,_自动清单!$G$13,包装物料出入库明细!$B$4:$B$2003,"&gt;="&amp;$AF$1,包装物料出入库明细!$B$4:$B$2003,"&lt;="&amp;$AF$2))</f>
        <v/>
      </c>
      <c r="M82" s="25" t="str">
        <f>IF(OR($B82="",_自动清单!$G$14=""),"",SUMIFS(包装物料出入库明细!$J$4:$J$2003,包装物料出入库明细!$D$4:$D$2003,$B82,包装物料出入库明细!$E$4:$E$2003,_自动清单!$G$14,包装物料出入库明细!$B$4:$B$2003,"&gt;="&amp;$AF$1,包装物料出入库明细!$B$4:$B$2003,"&lt;="&amp;$AF$2))</f>
        <v/>
      </c>
      <c r="N82" s="25" t="str">
        <f>IF(OR($B82="",_自动清单!$G$15=""),"",SUMIFS(包装物料出入库明细!$J$4:$J$2003,包装物料出入库明细!$D$4:$D$2003,$B82,包装物料出入库明细!$E$4:$E$2003,_自动清单!$G$15,包装物料出入库明细!$B$4:$B$2003,"&gt;="&amp;$AF$1,包装物料出入库明细!$B$4:$B$2003,"&lt;="&amp;$AF$2))</f>
        <v/>
      </c>
      <c r="O82" s="25" t="str">
        <f>IF(OR($B82="",_自动清单!$G$16=""),"",SUMIFS(包装物料出入库明细!$J$4:$J$2003,包装物料出入库明细!$D$4:$D$2003,$B82,包装物料出入库明细!$E$4:$E$2003,_自动清单!$G$16,包装物料出入库明细!$B$4:$B$2003,"&gt;="&amp;$AF$1,包装物料出入库明细!$B$4:$B$2003,"&lt;="&amp;$AF$2))</f>
        <v/>
      </c>
      <c r="P82" s="25" t="str">
        <f>IF(OR($B82="",_自动清单!$G$17=""),"",SUMIFS(包装物料出入库明细!$J$4:$J$2003,包装物料出入库明细!$D$4:$D$2003,$B82,包装物料出入库明细!$E$4:$E$2003,_自动清单!$G$17,包装物料出入库明细!$B$4:$B$2003,"&gt;="&amp;$AF$1,包装物料出入库明细!$B$4:$B$2003,"&lt;="&amp;$AF$2))</f>
        <v/>
      </c>
      <c r="Q82" s="25" t="str">
        <f>IF(OR($B82="",_自动清单!$G$18=""),"",SUMIFS(包装物料出入库明细!$J$4:$J$2003,包装物料出入库明细!$D$4:$D$2003,$B82,包装物料出入库明细!$E$4:$E$2003,_自动清单!$G$18,包装物料出入库明细!$B$4:$B$2003,"&gt;="&amp;$AF$1,包装物料出入库明细!$B$4:$B$2003,"&lt;="&amp;$AF$2))</f>
        <v/>
      </c>
      <c r="R82" s="25" t="str">
        <f>IF(OR($B82="",_自动清单!$G$19=""),"",SUMIFS(包装物料出入库明细!$J$4:$J$2003,包装物料出入库明细!$D$4:$D$2003,$B82,包装物料出入库明细!$E$4:$E$2003,_自动清单!$G$19,包装物料出入库明细!$B$4:$B$2003,"&gt;="&amp;$AF$1,包装物料出入库明细!$B$4:$B$2003,"&lt;="&amp;$AF$2))</f>
        <v/>
      </c>
      <c r="S82" s="25" t="str">
        <f>IF(OR($B82="",_自动清单!$G$20=""),"",SUMIFS(包装物料出入库明细!$J$4:$J$2003,包装物料出入库明细!$D$4:$D$2003,$B82,包装物料出入库明细!$E$4:$E$2003,_自动清单!$G$20,包装物料出入库明细!$B$4:$B$2003,"&gt;="&amp;$AF$1,包装物料出入库明细!$B$4:$B$2003,"&lt;="&amp;$AF$2))</f>
        <v/>
      </c>
      <c r="T82" s="25" t="str">
        <f>IF(OR($B82="",_自动清单!$G$21=""),"",SUMIFS(包装物料出入库明细!$J$4:$J$2003,包装物料出入库明细!$D$4:$D$2003,$B82,包装物料出入库明细!$E$4:$E$2003,_自动清单!$G$21,包装物料出入库明细!$B$4:$B$2003,"&gt;="&amp;$AF$1,包装物料出入库明细!$B$4:$B$2003,"&lt;="&amp;$AF$2))</f>
        <v/>
      </c>
      <c r="U82" s="25" t="str">
        <f>IF($B82="","",SUMIFS(包装物料出入库明细!$J$4:$J$2003,包装物料出入库明细!$D$4:$D$2003,$B82,包装物料出入库明细!$B$4:$B$2003,"&gt;="&amp;$AF$1,包装物料出入库明细!$B$4:$B$2003,"&lt;="&amp;$AF$2)-SUM($C82:$T82))</f>
        <v/>
      </c>
      <c r="V82" s="25" t="str">
        <f t="shared" si="5"/>
        <v/>
      </c>
      <c r="W82" s="56" t="str">
        <f>IF($B82="","",SUMIFS(包装物料出入库明细!$K$4:$K$2003,包装物料出入库明细!$D$4:$D$2003,$B82,包装物料出入库明细!$B$4:$B$2003,"&gt;="&amp;$AF$1,包装物料出入库明细!$B$4:$B$2003,"&lt;="&amp;$AF$2))</f>
        <v/>
      </c>
      <c r="X82" s="25" t="str">
        <f t="shared" si="6"/>
        <v/>
      </c>
      <c r="Y82" s="26" t="str">
        <f>IF($B82="","",ROUND(SUMIFS(包装物料出入库明细!$N$4:$N$2003,包装物料出入库明细!$D$4:$D$2003,$B82,包装物料出入库明细!$H$4:$H$2003,"销售出库",包装物料出入库明细!$B$4:$B$2003,"&gt;="&amp;$AF$1,包装物料出入库明细!$B$4:$B$2003,"&lt;="&amp;$AF$2),2))</f>
        <v/>
      </c>
      <c r="Z82" s="26" t="str">
        <f>IF($B82="","",ROUND(SUMIFS(包装物料出入库明细!$N$4:$N$2003,包装物料出入库明细!$D$4:$D$2003,$B82,包装物料出入库明细!$H$4:$H$2003,"销售出库",包装物料出入库明细!$P$4:$P$2003,"已收讫",包装物料出入库明细!$B$4:$B$2003,"&gt;="&amp;$AF$1,包装物料出入库明细!$B$4:$B$2003,"&lt;="&amp;$AF$2),2))</f>
        <v/>
      </c>
      <c r="AA82" s="26" t="str">
        <f t="shared" si="7"/>
        <v/>
      </c>
      <c r="AB82" s="41"/>
    </row>
    <row r="83" spans="1:28">
      <c r="A83" s="24" t="str">
        <f t="shared" si="4"/>
        <v/>
      </c>
      <c r="B83" s="24" t="str">
        <f>IFERROR(INDEX(_自动清单!$O$4:$O$203,ROW()-3),"")</f>
        <v/>
      </c>
      <c r="C83" s="25" t="str">
        <f>IF(OR($B83="",_自动清单!$G$4=""),"",SUMIFS(包装物料出入库明细!$J$4:$J$2003,包装物料出入库明细!$D$4:$D$2003,$B83,包装物料出入库明细!$E$4:$E$2003,_自动清单!$G$4,包装物料出入库明细!$B$4:$B$2003,"&gt;="&amp;$AF$1,包装物料出入库明细!$B$4:$B$2003,"&lt;="&amp;$AF$2))</f>
        <v/>
      </c>
      <c r="D83" s="25" t="str">
        <f>IF(OR($B83="",_自动清单!$G$5=""),"",SUMIFS(包装物料出入库明细!$J$4:$J$2003,包装物料出入库明细!$D$4:$D$2003,$B83,包装物料出入库明细!$E$4:$E$2003,_自动清单!$G$5,包装物料出入库明细!$B$4:$B$2003,"&gt;="&amp;$AF$1,包装物料出入库明细!$B$4:$B$2003,"&lt;="&amp;$AF$2))</f>
        <v/>
      </c>
      <c r="E83" s="25" t="str">
        <f>IF(OR($B83="",_自动清单!$G$6=""),"",SUMIFS(包装物料出入库明细!$J$4:$J$2003,包装物料出入库明细!$D$4:$D$2003,$B83,包装物料出入库明细!$E$4:$E$2003,_自动清单!$G$6,包装物料出入库明细!$B$4:$B$2003,"&gt;="&amp;$AF$1,包装物料出入库明细!$B$4:$B$2003,"&lt;="&amp;$AF$2))</f>
        <v/>
      </c>
      <c r="F83" s="25" t="str">
        <f>IF(OR($B83="",_自动清单!$G$7=""),"",SUMIFS(包装物料出入库明细!$J$4:$J$2003,包装物料出入库明细!$D$4:$D$2003,$B83,包装物料出入库明细!$E$4:$E$2003,_自动清单!$G$7,包装物料出入库明细!$B$4:$B$2003,"&gt;="&amp;$AF$1,包装物料出入库明细!$B$4:$B$2003,"&lt;="&amp;$AF$2))</f>
        <v/>
      </c>
      <c r="G83" s="25" t="str">
        <f>IF(OR($B83="",_自动清单!$G$8=""),"",SUMIFS(包装物料出入库明细!$J$4:$J$2003,包装物料出入库明细!$D$4:$D$2003,$B83,包装物料出入库明细!$E$4:$E$2003,_自动清单!$G$8,包装物料出入库明细!$B$4:$B$2003,"&gt;="&amp;$AF$1,包装物料出入库明细!$B$4:$B$2003,"&lt;="&amp;$AF$2))</f>
        <v/>
      </c>
      <c r="H83" s="25" t="str">
        <f>IF(OR($B83="",_自动清单!$G$9=""),"",SUMIFS(包装物料出入库明细!$J$4:$J$2003,包装物料出入库明细!$D$4:$D$2003,$B83,包装物料出入库明细!$E$4:$E$2003,_自动清单!$G$9,包装物料出入库明细!$B$4:$B$2003,"&gt;="&amp;$AF$1,包装物料出入库明细!$B$4:$B$2003,"&lt;="&amp;$AF$2))</f>
        <v/>
      </c>
      <c r="I83" s="25" t="str">
        <f>IF(OR($B83="",_自动清单!$G$10=""),"",SUMIFS(包装物料出入库明细!$J$4:$J$2003,包装物料出入库明细!$D$4:$D$2003,$B83,包装物料出入库明细!$E$4:$E$2003,_自动清单!$G$10,包装物料出入库明细!$B$4:$B$2003,"&gt;="&amp;$AF$1,包装物料出入库明细!$B$4:$B$2003,"&lt;="&amp;$AF$2))</f>
        <v/>
      </c>
      <c r="J83" s="25" t="str">
        <f>IF(OR($B83="",_自动清单!$G$11=""),"",SUMIFS(包装物料出入库明细!$J$4:$J$2003,包装物料出入库明细!$D$4:$D$2003,$B83,包装物料出入库明细!$E$4:$E$2003,_自动清单!$G$11,包装物料出入库明细!$B$4:$B$2003,"&gt;="&amp;$AF$1,包装物料出入库明细!$B$4:$B$2003,"&lt;="&amp;$AF$2))</f>
        <v/>
      </c>
      <c r="K83" s="25" t="str">
        <f>IF(OR($B83="",_自动清单!$G$12=""),"",SUMIFS(包装物料出入库明细!$J$4:$J$2003,包装物料出入库明细!$D$4:$D$2003,$B83,包装物料出入库明细!$E$4:$E$2003,_自动清单!$G$12,包装物料出入库明细!$B$4:$B$2003,"&gt;="&amp;$AF$1,包装物料出入库明细!$B$4:$B$2003,"&lt;="&amp;$AF$2))</f>
        <v/>
      </c>
      <c r="L83" s="25" t="str">
        <f>IF(OR($B83="",_自动清单!$G$13=""),"",SUMIFS(包装物料出入库明细!$J$4:$J$2003,包装物料出入库明细!$D$4:$D$2003,$B83,包装物料出入库明细!$E$4:$E$2003,_自动清单!$G$13,包装物料出入库明细!$B$4:$B$2003,"&gt;="&amp;$AF$1,包装物料出入库明细!$B$4:$B$2003,"&lt;="&amp;$AF$2))</f>
        <v/>
      </c>
      <c r="M83" s="25" t="str">
        <f>IF(OR($B83="",_自动清单!$G$14=""),"",SUMIFS(包装物料出入库明细!$J$4:$J$2003,包装物料出入库明细!$D$4:$D$2003,$B83,包装物料出入库明细!$E$4:$E$2003,_自动清单!$G$14,包装物料出入库明细!$B$4:$B$2003,"&gt;="&amp;$AF$1,包装物料出入库明细!$B$4:$B$2003,"&lt;="&amp;$AF$2))</f>
        <v/>
      </c>
      <c r="N83" s="25" t="str">
        <f>IF(OR($B83="",_自动清单!$G$15=""),"",SUMIFS(包装物料出入库明细!$J$4:$J$2003,包装物料出入库明细!$D$4:$D$2003,$B83,包装物料出入库明细!$E$4:$E$2003,_自动清单!$G$15,包装物料出入库明细!$B$4:$B$2003,"&gt;="&amp;$AF$1,包装物料出入库明细!$B$4:$B$2003,"&lt;="&amp;$AF$2))</f>
        <v/>
      </c>
      <c r="O83" s="25" t="str">
        <f>IF(OR($B83="",_自动清单!$G$16=""),"",SUMIFS(包装物料出入库明细!$J$4:$J$2003,包装物料出入库明细!$D$4:$D$2003,$B83,包装物料出入库明细!$E$4:$E$2003,_自动清单!$G$16,包装物料出入库明细!$B$4:$B$2003,"&gt;="&amp;$AF$1,包装物料出入库明细!$B$4:$B$2003,"&lt;="&amp;$AF$2))</f>
        <v/>
      </c>
      <c r="P83" s="25" t="str">
        <f>IF(OR($B83="",_自动清单!$G$17=""),"",SUMIFS(包装物料出入库明细!$J$4:$J$2003,包装物料出入库明细!$D$4:$D$2003,$B83,包装物料出入库明细!$E$4:$E$2003,_自动清单!$G$17,包装物料出入库明细!$B$4:$B$2003,"&gt;="&amp;$AF$1,包装物料出入库明细!$B$4:$B$2003,"&lt;="&amp;$AF$2))</f>
        <v/>
      </c>
      <c r="Q83" s="25" t="str">
        <f>IF(OR($B83="",_自动清单!$G$18=""),"",SUMIFS(包装物料出入库明细!$J$4:$J$2003,包装物料出入库明细!$D$4:$D$2003,$B83,包装物料出入库明细!$E$4:$E$2003,_自动清单!$G$18,包装物料出入库明细!$B$4:$B$2003,"&gt;="&amp;$AF$1,包装物料出入库明细!$B$4:$B$2003,"&lt;="&amp;$AF$2))</f>
        <v/>
      </c>
      <c r="R83" s="25" t="str">
        <f>IF(OR($B83="",_自动清单!$G$19=""),"",SUMIFS(包装物料出入库明细!$J$4:$J$2003,包装物料出入库明细!$D$4:$D$2003,$B83,包装物料出入库明细!$E$4:$E$2003,_自动清单!$G$19,包装物料出入库明细!$B$4:$B$2003,"&gt;="&amp;$AF$1,包装物料出入库明细!$B$4:$B$2003,"&lt;="&amp;$AF$2))</f>
        <v/>
      </c>
      <c r="S83" s="25" t="str">
        <f>IF(OR($B83="",_自动清单!$G$20=""),"",SUMIFS(包装物料出入库明细!$J$4:$J$2003,包装物料出入库明细!$D$4:$D$2003,$B83,包装物料出入库明细!$E$4:$E$2003,_自动清单!$G$20,包装物料出入库明细!$B$4:$B$2003,"&gt;="&amp;$AF$1,包装物料出入库明细!$B$4:$B$2003,"&lt;="&amp;$AF$2))</f>
        <v/>
      </c>
      <c r="T83" s="25" t="str">
        <f>IF(OR($B83="",_自动清单!$G$21=""),"",SUMIFS(包装物料出入库明细!$J$4:$J$2003,包装物料出入库明细!$D$4:$D$2003,$B83,包装物料出入库明细!$E$4:$E$2003,_自动清单!$G$21,包装物料出入库明细!$B$4:$B$2003,"&gt;="&amp;$AF$1,包装物料出入库明细!$B$4:$B$2003,"&lt;="&amp;$AF$2))</f>
        <v/>
      </c>
      <c r="U83" s="25" t="str">
        <f>IF($B83="","",SUMIFS(包装物料出入库明细!$J$4:$J$2003,包装物料出入库明细!$D$4:$D$2003,$B83,包装物料出入库明细!$B$4:$B$2003,"&gt;="&amp;$AF$1,包装物料出入库明细!$B$4:$B$2003,"&lt;="&amp;$AF$2)-SUM($C83:$T83))</f>
        <v/>
      </c>
      <c r="V83" s="25" t="str">
        <f t="shared" si="5"/>
        <v/>
      </c>
      <c r="W83" s="56" t="str">
        <f>IF($B83="","",SUMIFS(包装物料出入库明细!$K$4:$K$2003,包装物料出入库明细!$D$4:$D$2003,$B83,包装物料出入库明细!$B$4:$B$2003,"&gt;="&amp;$AF$1,包装物料出入库明细!$B$4:$B$2003,"&lt;="&amp;$AF$2))</f>
        <v/>
      </c>
      <c r="X83" s="25" t="str">
        <f t="shared" si="6"/>
        <v/>
      </c>
      <c r="Y83" s="26" t="str">
        <f>IF($B83="","",ROUND(SUMIFS(包装物料出入库明细!$N$4:$N$2003,包装物料出入库明细!$D$4:$D$2003,$B83,包装物料出入库明细!$H$4:$H$2003,"销售出库",包装物料出入库明细!$B$4:$B$2003,"&gt;="&amp;$AF$1,包装物料出入库明细!$B$4:$B$2003,"&lt;="&amp;$AF$2),2))</f>
        <v/>
      </c>
      <c r="Z83" s="26" t="str">
        <f>IF($B83="","",ROUND(SUMIFS(包装物料出入库明细!$N$4:$N$2003,包装物料出入库明细!$D$4:$D$2003,$B83,包装物料出入库明细!$H$4:$H$2003,"销售出库",包装物料出入库明细!$P$4:$P$2003,"已收讫",包装物料出入库明细!$B$4:$B$2003,"&gt;="&amp;$AF$1,包装物料出入库明细!$B$4:$B$2003,"&lt;="&amp;$AF$2),2))</f>
        <v/>
      </c>
      <c r="AA83" s="26" t="str">
        <f t="shared" si="7"/>
        <v/>
      </c>
      <c r="AB83" s="41"/>
    </row>
    <row r="84" spans="1:28">
      <c r="A84" s="24" t="str">
        <f t="shared" si="4"/>
        <v/>
      </c>
      <c r="B84" s="24" t="str">
        <f>IFERROR(INDEX(_自动清单!$O$4:$O$203,ROW()-3),"")</f>
        <v/>
      </c>
      <c r="C84" s="25" t="str">
        <f>IF(OR($B84="",_自动清单!$G$4=""),"",SUMIFS(包装物料出入库明细!$J$4:$J$2003,包装物料出入库明细!$D$4:$D$2003,$B84,包装物料出入库明细!$E$4:$E$2003,_自动清单!$G$4,包装物料出入库明细!$B$4:$B$2003,"&gt;="&amp;$AF$1,包装物料出入库明细!$B$4:$B$2003,"&lt;="&amp;$AF$2))</f>
        <v/>
      </c>
      <c r="D84" s="25" t="str">
        <f>IF(OR($B84="",_自动清单!$G$5=""),"",SUMIFS(包装物料出入库明细!$J$4:$J$2003,包装物料出入库明细!$D$4:$D$2003,$B84,包装物料出入库明细!$E$4:$E$2003,_自动清单!$G$5,包装物料出入库明细!$B$4:$B$2003,"&gt;="&amp;$AF$1,包装物料出入库明细!$B$4:$B$2003,"&lt;="&amp;$AF$2))</f>
        <v/>
      </c>
      <c r="E84" s="25" t="str">
        <f>IF(OR($B84="",_自动清单!$G$6=""),"",SUMIFS(包装物料出入库明细!$J$4:$J$2003,包装物料出入库明细!$D$4:$D$2003,$B84,包装物料出入库明细!$E$4:$E$2003,_自动清单!$G$6,包装物料出入库明细!$B$4:$B$2003,"&gt;="&amp;$AF$1,包装物料出入库明细!$B$4:$B$2003,"&lt;="&amp;$AF$2))</f>
        <v/>
      </c>
      <c r="F84" s="25" t="str">
        <f>IF(OR($B84="",_自动清单!$G$7=""),"",SUMIFS(包装物料出入库明细!$J$4:$J$2003,包装物料出入库明细!$D$4:$D$2003,$B84,包装物料出入库明细!$E$4:$E$2003,_自动清单!$G$7,包装物料出入库明细!$B$4:$B$2003,"&gt;="&amp;$AF$1,包装物料出入库明细!$B$4:$B$2003,"&lt;="&amp;$AF$2))</f>
        <v/>
      </c>
      <c r="G84" s="25" t="str">
        <f>IF(OR($B84="",_自动清单!$G$8=""),"",SUMIFS(包装物料出入库明细!$J$4:$J$2003,包装物料出入库明细!$D$4:$D$2003,$B84,包装物料出入库明细!$E$4:$E$2003,_自动清单!$G$8,包装物料出入库明细!$B$4:$B$2003,"&gt;="&amp;$AF$1,包装物料出入库明细!$B$4:$B$2003,"&lt;="&amp;$AF$2))</f>
        <v/>
      </c>
      <c r="H84" s="25" t="str">
        <f>IF(OR($B84="",_自动清单!$G$9=""),"",SUMIFS(包装物料出入库明细!$J$4:$J$2003,包装物料出入库明细!$D$4:$D$2003,$B84,包装物料出入库明细!$E$4:$E$2003,_自动清单!$G$9,包装物料出入库明细!$B$4:$B$2003,"&gt;="&amp;$AF$1,包装物料出入库明细!$B$4:$B$2003,"&lt;="&amp;$AF$2))</f>
        <v/>
      </c>
      <c r="I84" s="25" t="str">
        <f>IF(OR($B84="",_自动清单!$G$10=""),"",SUMIFS(包装物料出入库明细!$J$4:$J$2003,包装物料出入库明细!$D$4:$D$2003,$B84,包装物料出入库明细!$E$4:$E$2003,_自动清单!$G$10,包装物料出入库明细!$B$4:$B$2003,"&gt;="&amp;$AF$1,包装物料出入库明细!$B$4:$B$2003,"&lt;="&amp;$AF$2))</f>
        <v/>
      </c>
      <c r="J84" s="25" t="str">
        <f>IF(OR($B84="",_自动清单!$G$11=""),"",SUMIFS(包装物料出入库明细!$J$4:$J$2003,包装物料出入库明细!$D$4:$D$2003,$B84,包装物料出入库明细!$E$4:$E$2003,_自动清单!$G$11,包装物料出入库明细!$B$4:$B$2003,"&gt;="&amp;$AF$1,包装物料出入库明细!$B$4:$B$2003,"&lt;="&amp;$AF$2))</f>
        <v/>
      </c>
      <c r="K84" s="25" t="str">
        <f>IF(OR($B84="",_自动清单!$G$12=""),"",SUMIFS(包装物料出入库明细!$J$4:$J$2003,包装物料出入库明细!$D$4:$D$2003,$B84,包装物料出入库明细!$E$4:$E$2003,_自动清单!$G$12,包装物料出入库明细!$B$4:$B$2003,"&gt;="&amp;$AF$1,包装物料出入库明细!$B$4:$B$2003,"&lt;="&amp;$AF$2))</f>
        <v/>
      </c>
      <c r="L84" s="25" t="str">
        <f>IF(OR($B84="",_自动清单!$G$13=""),"",SUMIFS(包装物料出入库明细!$J$4:$J$2003,包装物料出入库明细!$D$4:$D$2003,$B84,包装物料出入库明细!$E$4:$E$2003,_自动清单!$G$13,包装物料出入库明细!$B$4:$B$2003,"&gt;="&amp;$AF$1,包装物料出入库明细!$B$4:$B$2003,"&lt;="&amp;$AF$2))</f>
        <v/>
      </c>
      <c r="M84" s="25" t="str">
        <f>IF(OR($B84="",_自动清单!$G$14=""),"",SUMIFS(包装物料出入库明细!$J$4:$J$2003,包装物料出入库明细!$D$4:$D$2003,$B84,包装物料出入库明细!$E$4:$E$2003,_自动清单!$G$14,包装物料出入库明细!$B$4:$B$2003,"&gt;="&amp;$AF$1,包装物料出入库明细!$B$4:$B$2003,"&lt;="&amp;$AF$2))</f>
        <v/>
      </c>
      <c r="N84" s="25" t="str">
        <f>IF(OR($B84="",_自动清单!$G$15=""),"",SUMIFS(包装物料出入库明细!$J$4:$J$2003,包装物料出入库明细!$D$4:$D$2003,$B84,包装物料出入库明细!$E$4:$E$2003,_自动清单!$G$15,包装物料出入库明细!$B$4:$B$2003,"&gt;="&amp;$AF$1,包装物料出入库明细!$B$4:$B$2003,"&lt;="&amp;$AF$2))</f>
        <v/>
      </c>
      <c r="O84" s="25" t="str">
        <f>IF(OR($B84="",_自动清单!$G$16=""),"",SUMIFS(包装物料出入库明细!$J$4:$J$2003,包装物料出入库明细!$D$4:$D$2003,$B84,包装物料出入库明细!$E$4:$E$2003,_自动清单!$G$16,包装物料出入库明细!$B$4:$B$2003,"&gt;="&amp;$AF$1,包装物料出入库明细!$B$4:$B$2003,"&lt;="&amp;$AF$2))</f>
        <v/>
      </c>
      <c r="P84" s="25" t="str">
        <f>IF(OR($B84="",_自动清单!$G$17=""),"",SUMIFS(包装物料出入库明细!$J$4:$J$2003,包装物料出入库明细!$D$4:$D$2003,$B84,包装物料出入库明细!$E$4:$E$2003,_自动清单!$G$17,包装物料出入库明细!$B$4:$B$2003,"&gt;="&amp;$AF$1,包装物料出入库明细!$B$4:$B$2003,"&lt;="&amp;$AF$2))</f>
        <v/>
      </c>
      <c r="Q84" s="25" t="str">
        <f>IF(OR($B84="",_自动清单!$G$18=""),"",SUMIFS(包装物料出入库明细!$J$4:$J$2003,包装物料出入库明细!$D$4:$D$2003,$B84,包装物料出入库明细!$E$4:$E$2003,_自动清单!$G$18,包装物料出入库明细!$B$4:$B$2003,"&gt;="&amp;$AF$1,包装物料出入库明细!$B$4:$B$2003,"&lt;="&amp;$AF$2))</f>
        <v/>
      </c>
      <c r="R84" s="25" t="str">
        <f>IF(OR($B84="",_自动清单!$G$19=""),"",SUMIFS(包装物料出入库明细!$J$4:$J$2003,包装物料出入库明细!$D$4:$D$2003,$B84,包装物料出入库明细!$E$4:$E$2003,_自动清单!$G$19,包装物料出入库明细!$B$4:$B$2003,"&gt;="&amp;$AF$1,包装物料出入库明细!$B$4:$B$2003,"&lt;="&amp;$AF$2))</f>
        <v/>
      </c>
      <c r="S84" s="25" t="str">
        <f>IF(OR($B84="",_自动清单!$G$20=""),"",SUMIFS(包装物料出入库明细!$J$4:$J$2003,包装物料出入库明细!$D$4:$D$2003,$B84,包装物料出入库明细!$E$4:$E$2003,_自动清单!$G$20,包装物料出入库明细!$B$4:$B$2003,"&gt;="&amp;$AF$1,包装物料出入库明细!$B$4:$B$2003,"&lt;="&amp;$AF$2))</f>
        <v/>
      </c>
      <c r="T84" s="25" t="str">
        <f>IF(OR($B84="",_自动清单!$G$21=""),"",SUMIFS(包装物料出入库明细!$J$4:$J$2003,包装物料出入库明细!$D$4:$D$2003,$B84,包装物料出入库明细!$E$4:$E$2003,_自动清单!$G$21,包装物料出入库明细!$B$4:$B$2003,"&gt;="&amp;$AF$1,包装物料出入库明细!$B$4:$B$2003,"&lt;="&amp;$AF$2))</f>
        <v/>
      </c>
      <c r="U84" s="25" t="str">
        <f>IF($B84="","",SUMIFS(包装物料出入库明细!$J$4:$J$2003,包装物料出入库明细!$D$4:$D$2003,$B84,包装物料出入库明细!$B$4:$B$2003,"&gt;="&amp;$AF$1,包装物料出入库明细!$B$4:$B$2003,"&lt;="&amp;$AF$2)-SUM($C84:$T84))</f>
        <v/>
      </c>
      <c r="V84" s="25" t="str">
        <f t="shared" si="5"/>
        <v/>
      </c>
      <c r="W84" s="56" t="str">
        <f>IF($B84="","",SUMIFS(包装物料出入库明细!$K$4:$K$2003,包装物料出入库明细!$D$4:$D$2003,$B84,包装物料出入库明细!$B$4:$B$2003,"&gt;="&amp;$AF$1,包装物料出入库明细!$B$4:$B$2003,"&lt;="&amp;$AF$2))</f>
        <v/>
      </c>
      <c r="X84" s="25" t="str">
        <f t="shared" si="6"/>
        <v/>
      </c>
      <c r="Y84" s="26" t="str">
        <f>IF($B84="","",ROUND(SUMIFS(包装物料出入库明细!$N$4:$N$2003,包装物料出入库明细!$D$4:$D$2003,$B84,包装物料出入库明细!$H$4:$H$2003,"销售出库",包装物料出入库明细!$B$4:$B$2003,"&gt;="&amp;$AF$1,包装物料出入库明细!$B$4:$B$2003,"&lt;="&amp;$AF$2),2))</f>
        <v/>
      </c>
      <c r="Z84" s="26" t="str">
        <f>IF($B84="","",ROUND(SUMIFS(包装物料出入库明细!$N$4:$N$2003,包装物料出入库明细!$D$4:$D$2003,$B84,包装物料出入库明细!$H$4:$H$2003,"销售出库",包装物料出入库明细!$P$4:$P$2003,"已收讫",包装物料出入库明细!$B$4:$B$2003,"&gt;="&amp;$AF$1,包装物料出入库明细!$B$4:$B$2003,"&lt;="&amp;$AF$2),2))</f>
        <v/>
      </c>
      <c r="AA84" s="26" t="str">
        <f t="shared" si="7"/>
        <v/>
      </c>
      <c r="AB84" s="41"/>
    </row>
    <row r="85" spans="1:28">
      <c r="A85" s="24" t="str">
        <f t="shared" si="4"/>
        <v/>
      </c>
      <c r="B85" s="24" t="str">
        <f>IFERROR(INDEX(_自动清单!$O$4:$O$203,ROW()-3),"")</f>
        <v/>
      </c>
      <c r="C85" s="25" t="str">
        <f>IF(OR($B85="",_自动清单!$G$4=""),"",SUMIFS(包装物料出入库明细!$J$4:$J$2003,包装物料出入库明细!$D$4:$D$2003,$B85,包装物料出入库明细!$E$4:$E$2003,_自动清单!$G$4,包装物料出入库明细!$B$4:$B$2003,"&gt;="&amp;$AF$1,包装物料出入库明细!$B$4:$B$2003,"&lt;="&amp;$AF$2))</f>
        <v/>
      </c>
      <c r="D85" s="25" t="str">
        <f>IF(OR($B85="",_自动清单!$G$5=""),"",SUMIFS(包装物料出入库明细!$J$4:$J$2003,包装物料出入库明细!$D$4:$D$2003,$B85,包装物料出入库明细!$E$4:$E$2003,_自动清单!$G$5,包装物料出入库明细!$B$4:$B$2003,"&gt;="&amp;$AF$1,包装物料出入库明细!$B$4:$B$2003,"&lt;="&amp;$AF$2))</f>
        <v/>
      </c>
      <c r="E85" s="25" t="str">
        <f>IF(OR($B85="",_自动清单!$G$6=""),"",SUMIFS(包装物料出入库明细!$J$4:$J$2003,包装物料出入库明细!$D$4:$D$2003,$B85,包装物料出入库明细!$E$4:$E$2003,_自动清单!$G$6,包装物料出入库明细!$B$4:$B$2003,"&gt;="&amp;$AF$1,包装物料出入库明细!$B$4:$B$2003,"&lt;="&amp;$AF$2))</f>
        <v/>
      </c>
      <c r="F85" s="25" t="str">
        <f>IF(OR($B85="",_自动清单!$G$7=""),"",SUMIFS(包装物料出入库明细!$J$4:$J$2003,包装物料出入库明细!$D$4:$D$2003,$B85,包装物料出入库明细!$E$4:$E$2003,_自动清单!$G$7,包装物料出入库明细!$B$4:$B$2003,"&gt;="&amp;$AF$1,包装物料出入库明细!$B$4:$B$2003,"&lt;="&amp;$AF$2))</f>
        <v/>
      </c>
      <c r="G85" s="25" t="str">
        <f>IF(OR($B85="",_自动清单!$G$8=""),"",SUMIFS(包装物料出入库明细!$J$4:$J$2003,包装物料出入库明细!$D$4:$D$2003,$B85,包装物料出入库明细!$E$4:$E$2003,_自动清单!$G$8,包装物料出入库明细!$B$4:$B$2003,"&gt;="&amp;$AF$1,包装物料出入库明细!$B$4:$B$2003,"&lt;="&amp;$AF$2))</f>
        <v/>
      </c>
      <c r="H85" s="25" t="str">
        <f>IF(OR($B85="",_自动清单!$G$9=""),"",SUMIFS(包装物料出入库明细!$J$4:$J$2003,包装物料出入库明细!$D$4:$D$2003,$B85,包装物料出入库明细!$E$4:$E$2003,_自动清单!$G$9,包装物料出入库明细!$B$4:$B$2003,"&gt;="&amp;$AF$1,包装物料出入库明细!$B$4:$B$2003,"&lt;="&amp;$AF$2))</f>
        <v/>
      </c>
      <c r="I85" s="25" t="str">
        <f>IF(OR($B85="",_自动清单!$G$10=""),"",SUMIFS(包装物料出入库明细!$J$4:$J$2003,包装物料出入库明细!$D$4:$D$2003,$B85,包装物料出入库明细!$E$4:$E$2003,_自动清单!$G$10,包装物料出入库明细!$B$4:$B$2003,"&gt;="&amp;$AF$1,包装物料出入库明细!$B$4:$B$2003,"&lt;="&amp;$AF$2))</f>
        <v/>
      </c>
      <c r="J85" s="25" t="str">
        <f>IF(OR($B85="",_自动清单!$G$11=""),"",SUMIFS(包装物料出入库明细!$J$4:$J$2003,包装物料出入库明细!$D$4:$D$2003,$B85,包装物料出入库明细!$E$4:$E$2003,_自动清单!$G$11,包装物料出入库明细!$B$4:$B$2003,"&gt;="&amp;$AF$1,包装物料出入库明细!$B$4:$B$2003,"&lt;="&amp;$AF$2))</f>
        <v/>
      </c>
      <c r="K85" s="25" t="str">
        <f>IF(OR($B85="",_自动清单!$G$12=""),"",SUMIFS(包装物料出入库明细!$J$4:$J$2003,包装物料出入库明细!$D$4:$D$2003,$B85,包装物料出入库明细!$E$4:$E$2003,_自动清单!$G$12,包装物料出入库明细!$B$4:$B$2003,"&gt;="&amp;$AF$1,包装物料出入库明细!$B$4:$B$2003,"&lt;="&amp;$AF$2))</f>
        <v/>
      </c>
      <c r="L85" s="25" t="str">
        <f>IF(OR($B85="",_自动清单!$G$13=""),"",SUMIFS(包装物料出入库明细!$J$4:$J$2003,包装物料出入库明细!$D$4:$D$2003,$B85,包装物料出入库明细!$E$4:$E$2003,_自动清单!$G$13,包装物料出入库明细!$B$4:$B$2003,"&gt;="&amp;$AF$1,包装物料出入库明细!$B$4:$B$2003,"&lt;="&amp;$AF$2))</f>
        <v/>
      </c>
      <c r="M85" s="25" t="str">
        <f>IF(OR($B85="",_自动清单!$G$14=""),"",SUMIFS(包装物料出入库明细!$J$4:$J$2003,包装物料出入库明细!$D$4:$D$2003,$B85,包装物料出入库明细!$E$4:$E$2003,_自动清单!$G$14,包装物料出入库明细!$B$4:$B$2003,"&gt;="&amp;$AF$1,包装物料出入库明细!$B$4:$B$2003,"&lt;="&amp;$AF$2))</f>
        <v/>
      </c>
      <c r="N85" s="25" t="str">
        <f>IF(OR($B85="",_自动清单!$G$15=""),"",SUMIFS(包装物料出入库明细!$J$4:$J$2003,包装物料出入库明细!$D$4:$D$2003,$B85,包装物料出入库明细!$E$4:$E$2003,_自动清单!$G$15,包装物料出入库明细!$B$4:$B$2003,"&gt;="&amp;$AF$1,包装物料出入库明细!$B$4:$B$2003,"&lt;="&amp;$AF$2))</f>
        <v/>
      </c>
      <c r="O85" s="25" t="str">
        <f>IF(OR($B85="",_自动清单!$G$16=""),"",SUMIFS(包装物料出入库明细!$J$4:$J$2003,包装物料出入库明细!$D$4:$D$2003,$B85,包装物料出入库明细!$E$4:$E$2003,_自动清单!$G$16,包装物料出入库明细!$B$4:$B$2003,"&gt;="&amp;$AF$1,包装物料出入库明细!$B$4:$B$2003,"&lt;="&amp;$AF$2))</f>
        <v/>
      </c>
      <c r="P85" s="25" t="str">
        <f>IF(OR($B85="",_自动清单!$G$17=""),"",SUMIFS(包装物料出入库明细!$J$4:$J$2003,包装物料出入库明细!$D$4:$D$2003,$B85,包装物料出入库明细!$E$4:$E$2003,_自动清单!$G$17,包装物料出入库明细!$B$4:$B$2003,"&gt;="&amp;$AF$1,包装物料出入库明细!$B$4:$B$2003,"&lt;="&amp;$AF$2))</f>
        <v/>
      </c>
      <c r="Q85" s="25" t="str">
        <f>IF(OR($B85="",_自动清单!$G$18=""),"",SUMIFS(包装物料出入库明细!$J$4:$J$2003,包装物料出入库明细!$D$4:$D$2003,$B85,包装物料出入库明细!$E$4:$E$2003,_自动清单!$G$18,包装物料出入库明细!$B$4:$B$2003,"&gt;="&amp;$AF$1,包装物料出入库明细!$B$4:$B$2003,"&lt;="&amp;$AF$2))</f>
        <v/>
      </c>
      <c r="R85" s="25" t="str">
        <f>IF(OR($B85="",_自动清单!$G$19=""),"",SUMIFS(包装物料出入库明细!$J$4:$J$2003,包装物料出入库明细!$D$4:$D$2003,$B85,包装物料出入库明细!$E$4:$E$2003,_自动清单!$G$19,包装物料出入库明细!$B$4:$B$2003,"&gt;="&amp;$AF$1,包装物料出入库明细!$B$4:$B$2003,"&lt;="&amp;$AF$2))</f>
        <v/>
      </c>
      <c r="S85" s="25" t="str">
        <f>IF(OR($B85="",_自动清单!$G$20=""),"",SUMIFS(包装物料出入库明细!$J$4:$J$2003,包装物料出入库明细!$D$4:$D$2003,$B85,包装物料出入库明细!$E$4:$E$2003,_自动清单!$G$20,包装物料出入库明细!$B$4:$B$2003,"&gt;="&amp;$AF$1,包装物料出入库明细!$B$4:$B$2003,"&lt;="&amp;$AF$2))</f>
        <v/>
      </c>
      <c r="T85" s="25" t="str">
        <f>IF(OR($B85="",_自动清单!$G$21=""),"",SUMIFS(包装物料出入库明细!$J$4:$J$2003,包装物料出入库明细!$D$4:$D$2003,$B85,包装物料出入库明细!$E$4:$E$2003,_自动清单!$G$21,包装物料出入库明细!$B$4:$B$2003,"&gt;="&amp;$AF$1,包装物料出入库明细!$B$4:$B$2003,"&lt;="&amp;$AF$2))</f>
        <v/>
      </c>
      <c r="U85" s="25" t="str">
        <f>IF($B85="","",SUMIFS(包装物料出入库明细!$J$4:$J$2003,包装物料出入库明细!$D$4:$D$2003,$B85,包装物料出入库明细!$B$4:$B$2003,"&gt;="&amp;$AF$1,包装物料出入库明细!$B$4:$B$2003,"&lt;="&amp;$AF$2)-SUM($C85:$T85))</f>
        <v/>
      </c>
      <c r="V85" s="25" t="str">
        <f t="shared" si="5"/>
        <v/>
      </c>
      <c r="W85" s="56" t="str">
        <f>IF($B85="","",SUMIFS(包装物料出入库明细!$K$4:$K$2003,包装物料出入库明细!$D$4:$D$2003,$B85,包装物料出入库明细!$B$4:$B$2003,"&gt;="&amp;$AF$1,包装物料出入库明细!$B$4:$B$2003,"&lt;="&amp;$AF$2))</f>
        <v/>
      </c>
      <c r="X85" s="25" t="str">
        <f t="shared" si="6"/>
        <v/>
      </c>
      <c r="Y85" s="26" t="str">
        <f>IF($B85="","",ROUND(SUMIFS(包装物料出入库明细!$N$4:$N$2003,包装物料出入库明细!$D$4:$D$2003,$B85,包装物料出入库明细!$H$4:$H$2003,"销售出库",包装物料出入库明细!$B$4:$B$2003,"&gt;="&amp;$AF$1,包装物料出入库明细!$B$4:$B$2003,"&lt;="&amp;$AF$2),2))</f>
        <v/>
      </c>
      <c r="Z85" s="26" t="str">
        <f>IF($B85="","",ROUND(SUMIFS(包装物料出入库明细!$N$4:$N$2003,包装物料出入库明细!$D$4:$D$2003,$B85,包装物料出入库明细!$H$4:$H$2003,"销售出库",包装物料出入库明细!$P$4:$P$2003,"已收讫",包装物料出入库明细!$B$4:$B$2003,"&gt;="&amp;$AF$1,包装物料出入库明细!$B$4:$B$2003,"&lt;="&amp;$AF$2),2))</f>
        <v/>
      </c>
      <c r="AA85" s="26" t="str">
        <f t="shared" si="7"/>
        <v/>
      </c>
      <c r="AB85" s="41"/>
    </row>
    <row r="86" spans="1:28">
      <c r="A86" s="24" t="str">
        <f t="shared" si="4"/>
        <v/>
      </c>
      <c r="B86" s="24" t="str">
        <f>IFERROR(INDEX(_自动清单!$O$4:$O$203,ROW()-3),"")</f>
        <v/>
      </c>
      <c r="C86" s="25" t="str">
        <f>IF(OR($B86="",_自动清单!$G$4=""),"",SUMIFS(包装物料出入库明细!$J$4:$J$2003,包装物料出入库明细!$D$4:$D$2003,$B86,包装物料出入库明细!$E$4:$E$2003,_自动清单!$G$4,包装物料出入库明细!$B$4:$B$2003,"&gt;="&amp;$AF$1,包装物料出入库明细!$B$4:$B$2003,"&lt;="&amp;$AF$2))</f>
        <v/>
      </c>
      <c r="D86" s="25" t="str">
        <f>IF(OR($B86="",_自动清单!$G$5=""),"",SUMIFS(包装物料出入库明细!$J$4:$J$2003,包装物料出入库明细!$D$4:$D$2003,$B86,包装物料出入库明细!$E$4:$E$2003,_自动清单!$G$5,包装物料出入库明细!$B$4:$B$2003,"&gt;="&amp;$AF$1,包装物料出入库明细!$B$4:$B$2003,"&lt;="&amp;$AF$2))</f>
        <v/>
      </c>
      <c r="E86" s="25" t="str">
        <f>IF(OR($B86="",_自动清单!$G$6=""),"",SUMIFS(包装物料出入库明细!$J$4:$J$2003,包装物料出入库明细!$D$4:$D$2003,$B86,包装物料出入库明细!$E$4:$E$2003,_自动清单!$G$6,包装物料出入库明细!$B$4:$B$2003,"&gt;="&amp;$AF$1,包装物料出入库明细!$B$4:$B$2003,"&lt;="&amp;$AF$2))</f>
        <v/>
      </c>
      <c r="F86" s="25" t="str">
        <f>IF(OR($B86="",_自动清单!$G$7=""),"",SUMIFS(包装物料出入库明细!$J$4:$J$2003,包装物料出入库明细!$D$4:$D$2003,$B86,包装物料出入库明细!$E$4:$E$2003,_自动清单!$G$7,包装物料出入库明细!$B$4:$B$2003,"&gt;="&amp;$AF$1,包装物料出入库明细!$B$4:$B$2003,"&lt;="&amp;$AF$2))</f>
        <v/>
      </c>
      <c r="G86" s="25" t="str">
        <f>IF(OR($B86="",_自动清单!$G$8=""),"",SUMIFS(包装物料出入库明细!$J$4:$J$2003,包装物料出入库明细!$D$4:$D$2003,$B86,包装物料出入库明细!$E$4:$E$2003,_自动清单!$G$8,包装物料出入库明细!$B$4:$B$2003,"&gt;="&amp;$AF$1,包装物料出入库明细!$B$4:$B$2003,"&lt;="&amp;$AF$2))</f>
        <v/>
      </c>
      <c r="H86" s="25" t="str">
        <f>IF(OR($B86="",_自动清单!$G$9=""),"",SUMIFS(包装物料出入库明细!$J$4:$J$2003,包装物料出入库明细!$D$4:$D$2003,$B86,包装物料出入库明细!$E$4:$E$2003,_自动清单!$G$9,包装物料出入库明细!$B$4:$B$2003,"&gt;="&amp;$AF$1,包装物料出入库明细!$B$4:$B$2003,"&lt;="&amp;$AF$2))</f>
        <v/>
      </c>
      <c r="I86" s="25" t="str">
        <f>IF(OR($B86="",_自动清单!$G$10=""),"",SUMIFS(包装物料出入库明细!$J$4:$J$2003,包装物料出入库明细!$D$4:$D$2003,$B86,包装物料出入库明细!$E$4:$E$2003,_自动清单!$G$10,包装物料出入库明细!$B$4:$B$2003,"&gt;="&amp;$AF$1,包装物料出入库明细!$B$4:$B$2003,"&lt;="&amp;$AF$2))</f>
        <v/>
      </c>
      <c r="J86" s="25" t="str">
        <f>IF(OR($B86="",_自动清单!$G$11=""),"",SUMIFS(包装物料出入库明细!$J$4:$J$2003,包装物料出入库明细!$D$4:$D$2003,$B86,包装物料出入库明细!$E$4:$E$2003,_自动清单!$G$11,包装物料出入库明细!$B$4:$B$2003,"&gt;="&amp;$AF$1,包装物料出入库明细!$B$4:$B$2003,"&lt;="&amp;$AF$2))</f>
        <v/>
      </c>
      <c r="K86" s="25" t="str">
        <f>IF(OR($B86="",_自动清单!$G$12=""),"",SUMIFS(包装物料出入库明细!$J$4:$J$2003,包装物料出入库明细!$D$4:$D$2003,$B86,包装物料出入库明细!$E$4:$E$2003,_自动清单!$G$12,包装物料出入库明细!$B$4:$B$2003,"&gt;="&amp;$AF$1,包装物料出入库明细!$B$4:$B$2003,"&lt;="&amp;$AF$2))</f>
        <v/>
      </c>
      <c r="L86" s="25" t="str">
        <f>IF(OR($B86="",_自动清单!$G$13=""),"",SUMIFS(包装物料出入库明细!$J$4:$J$2003,包装物料出入库明细!$D$4:$D$2003,$B86,包装物料出入库明细!$E$4:$E$2003,_自动清单!$G$13,包装物料出入库明细!$B$4:$B$2003,"&gt;="&amp;$AF$1,包装物料出入库明细!$B$4:$B$2003,"&lt;="&amp;$AF$2))</f>
        <v/>
      </c>
      <c r="M86" s="25" t="str">
        <f>IF(OR($B86="",_自动清单!$G$14=""),"",SUMIFS(包装物料出入库明细!$J$4:$J$2003,包装物料出入库明细!$D$4:$D$2003,$B86,包装物料出入库明细!$E$4:$E$2003,_自动清单!$G$14,包装物料出入库明细!$B$4:$B$2003,"&gt;="&amp;$AF$1,包装物料出入库明细!$B$4:$B$2003,"&lt;="&amp;$AF$2))</f>
        <v/>
      </c>
      <c r="N86" s="25" t="str">
        <f>IF(OR($B86="",_自动清单!$G$15=""),"",SUMIFS(包装物料出入库明细!$J$4:$J$2003,包装物料出入库明细!$D$4:$D$2003,$B86,包装物料出入库明细!$E$4:$E$2003,_自动清单!$G$15,包装物料出入库明细!$B$4:$B$2003,"&gt;="&amp;$AF$1,包装物料出入库明细!$B$4:$B$2003,"&lt;="&amp;$AF$2))</f>
        <v/>
      </c>
      <c r="O86" s="25" t="str">
        <f>IF(OR($B86="",_自动清单!$G$16=""),"",SUMIFS(包装物料出入库明细!$J$4:$J$2003,包装物料出入库明细!$D$4:$D$2003,$B86,包装物料出入库明细!$E$4:$E$2003,_自动清单!$G$16,包装物料出入库明细!$B$4:$B$2003,"&gt;="&amp;$AF$1,包装物料出入库明细!$B$4:$B$2003,"&lt;="&amp;$AF$2))</f>
        <v/>
      </c>
      <c r="P86" s="25" t="str">
        <f>IF(OR($B86="",_自动清单!$G$17=""),"",SUMIFS(包装物料出入库明细!$J$4:$J$2003,包装物料出入库明细!$D$4:$D$2003,$B86,包装物料出入库明细!$E$4:$E$2003,_自动清单!$G$17,包装物料出入库明细!$B$4:$B$2003,"&gt;="&amp;$AF$1,包装物料出入库明细!$B$4:$B$2003,"&lt;="&amp;$AF$2))</f>
        <v/>
      </c>
      <c r="Q86" s="25" t="str">
        <f>IF(OR($B86="",_自动清单!$G$18=""),"",SUMIFS(包装物料出入库明细!$J$4:$J$2003,包装物料出入库明细!$D$4:$D$2003,$B86,包装物料出入库明细!$E$4:$E$2003,_自动清单!$G$18,包装物料出入库明细!$B$4:$B$2003,"&gt;="&amp;$AF$1,包装物料出入库明细!$B$4:$B$2003,"&lt;="&amp;$AF$2))</f>
        <v/>
      </c>
      <c r="R86" s="25" t="str">
        <f>IF(OR($B86="",_自动清单!$G$19=""),"",SUMIFS(包装物料出入库明细!$J$4:$J$2003,包装物料出入库明细!$D$4:$D$2003,$B86,包装物料出入库明细!$E$4:$E$2003,_自动清单!$G$19,包装物料出入库明细!$B$4:$B$2003,"&gt;="&amp;$AF$1,包装物料出入库明细!$B$4:$B$2003,"&lt;="&amp;$AF$2))</f>
        <v/>
      </c>
      <c r="S86" s="25" t="str">
        <f>IF(OR($B86="",_自动清单!$G$20=""),"",SUMIFS(包装物料出入库明细!$J$4:$J$2003,包装物料出入库明细!$D$4:$D$2003,$B86,包装物料出入库明细!$E$4:$E$2003,_自动清单!$G$20,包装物料出入库明细!$B$4:$B$2003,"&gt;="&amp;$AF$1,包装物料出入库明细!$B$4:$B$2003,"&lt;="&amp;$AF$2))</f>
        <v/>
      </c>
      <c r="T86" s="25" t="str">
        <f>IF(OR($B86="",_自动清单!$G$21=""),"",SUMIFS(包装物料出入库明细!$J$4:$J$2003,包装物料出入库明细!$D$4:$D$2003,$B86,包装物料出入库明细!$E$4:$E$2003,_自动清单!$G$21,包装物料出入库明细!$B$4:$B$2003,"&gt;="&amp;$AF$1,包装物料出入库明细!$B$4:$B$2003,"&lt;="&amp;$AF$2))</f>
        <v/>
      </c>
      <c r="U86" s="25" t="str">
        <f>IF($B86="","",SUMIFS(包装物料出入库明细!$J$4:$J$2003,包装物料出入库明细!$D$4:$D$2003,$B86,包装物料出入库明细!$B$4:$B$2003,"&gt;="&amp;$AF$1,包装物料出入库明细!$B$4:$B$2003,"&lt;="&amp;$AF$2)-SUM($C86:$T86))</f>
        <v/>
      </c>
      <c r="V86" s="25" t="str">
        <f t="shared" si="5"/>
        <v/>
      </c>
      <c r="W86" s="56" t="str">
        <f>IF($B86="","",SUMIFS(包装物料出入库明细!$K$4:$K$2003,包装物料出入库明细!$D$4:$D$2003,$B86,包装物料出入库明细!$B$4:$B$2003,"&gt;="&amp;$AF$1,包装物料出入库明细!$B$4:$B$2003,"&lt;="&amp;$AF$2))</f>
        <v/>
      </c>
      <c r="X86" s="25" t="str">
        <f t="shared" si="6"/>
        <v/>
      </c>
      <c r="Y86" s="26" t="str">
        <f>IF($B86="","",ROUND(SUMIFS(包装物料出入库明细!$N$4:$N$2003,包装物料出入库明细!$D$4:$D$2003,$B86,包装物料出入库明细!$H$4:$H$2003,"销售出库",包装物料出入库明细!$B$4:$B$2003,"&gt;="&amp;$AF$1,包装物料出入库明细!$B$4:$B$2003,"&lt;="&amp;$AF$2),2))</f>
        <v/>
      </c>
      <c r="Z86" s="26" t="str">
        <f>IF($B86="","",ROUND(SUMIFS(包装物料出入库明细!$N$4:$N$2003,包装物料出入库明细!$D$4:$D$2003,$B86,包装物料出入库明细!$H$4:$H$2003,"销售出库",包装物料出入库明细!$P$4:$P$2003,"已收讫",包装物料出入库明细!$B$4:$B$2003,"&gt;="&amp;$AF$1,包装物料出入库明细!$B$4:$B$2003,"&lt;="&amp;$AF$2),2))</f>
        <v/>
      </c>
      <c r="AA86" s="26" t="str">
        <f t="shared" si="7"/>
        <v/>
      </c>
      <c r="AB86" s="41"/>
    </row>
    <row r="87" spans="1:28">
      <c r="A87" s="24" t="str">
        <f t="shared" si="4"/>
        <v/>
      </c>
      <c r="B87" s="24" t="str">
        <f>IFERROR(INDEX(_自动清单!$O$4:$O$203,ROW()-3),"")</f>
        <v/>
      </c>
      <c r="C87" s="25" t="str">
        <f>IF(OR($B87="",_自动清单!$G$4=""),"",SUMIFS(包装物料出入库明细!$J$4:$J$2003,包装物料出入库明细!$D$4:$D$2003,$B87,包装物料出入库明细!$E$4:$E$2003,_自动清单!$G$4,包装物料出入库明细!$B$4:$B$2003,"&gt;="&amp;$AF$1,包装物料出入库明细!$B$4:$B$2003,"&lt;="&amp;$AF$2))</f>
        <v/>
      </c>
      <c r="D87" s="25" t="str">
        <f>IF(OR($B87="",_自动清单!$G$5=""),"",SUMIFS(包装物料出入库明细!$J$4:$J$2003,包装物料出入库明细!$D$4:$D$2003,$B87,包装物料出入库明细!$E$4:$E$2003,_自动清单!$G$5,包装物料出入库明细!$B$4:$B$2003,"&gt;="&amp;$AF$1,包装物料出入库明细!$B$4:$B$2003,"&lt;="&amp;$AF$2))</f>
        <v/>
      </c>
      <c r="E87" s="25" t="str">
        <f>IF(OR($B87="",_自动清单!$G$6=""),"",SUMIFS(包装物料出入库明细!$J$4:$J$2003,包装物料出入库明细!$D$4:$D$2003,$B87,包装物料出入库明细!$E$4:$E$2003,_自动清单!$G$6,包装物料出入库明细!$B$4:$B$2003,"&gt;="&amp;$AF$1,包装物料出入库明细!$B$4:$B$2003,"&lt;="&amp;$AF$2))</f>
        <v/>
      </c>
      <c r="F87" s="25" t="str">
        <f>IF(OR($B87="",_自动清单!$G$7=""),"",SUMIFS(包装物料出入库明细!$J$4:$J$2003,包装物料出入库明细!$D$4:$D$2003,$B87,包装物料出入库明细!$E$4:$E$2003,_自动清单!$G$7,包装物料出入库明细!$B$4:$B$2003,"&gt;="&amp;$AF$1,包装物料出入库明细!$B$4:$B$2003,"&lt;="&amp;$AF$2))</f>
        <v/>
      </c>
      <c r="G87" s="25" t="str">
        <f>IF(OR($B87="",_自动清单!$G$8=""),"",SUMIFS(包装物料出入库明细!$J$4:$J$2003,包装物料出入库明细!$D$4:$D$2003,$B87,包装物料出入库明细!$E$4:$E$2003,_自动清单!$G$8,包装物料出入库明细!$B$4:$B$2003,"&gt;="&amp;$AF$1,包装物料出入库明细!$B$4:$B$2003,"&lt;="&amp;$AF$2))</f>
        <v/>
      </c>
      <c r="H87" s="25" t="str">
        <f>IF(OR($B87="",_自动清单!$G$9=""),"",SUMIFS(包装物料出入库明细!$J$4:$J$2003,包装物料出入库明细!$D$4:$D$2003,$B87,包装物料出入库明细!$E$4:$E$2003,_自动清单!$G$9,包装物料出入库明细!$B$4:$B$2003,"&gt;="&amp;$AF$1,包装物料出入库明细!$B$4:$B$2003,"&lt;="&amp;$AF$2))</f>
        <v/>
      </c>
      <c r="I87" s="25" t="str">
        <f>IF(OR($B87="",_自动清单!$G$10=""),"",SUMIFS(包装物料出入库明细!$J$4:$J$2003,包装物料出入库明细!$D$4:$D$2003,$B87,包装物料出入库明细!$E$4:$E$2003,_自动清单!$G$10,包装物料出入库明细!$B$4:$B$2003,"&gt;="&amp;$AF$1,包装物料出入库明细!$B$4:$B$2003,"&lt;="&amp;$AF$2))</f>
        <v/>
      </c>
      <c r="J87" s="25" t="str">
        <f>IF(OR($B87="",_自动清单!$G$11=""),"",SUMIFS(包装物料出入库明细!$J$4:$J$2003,包装物料出入库明细!$D$4:$D$2003,$B87,包装物料出入库明细!$E$4:$E$2003,_自动清单!$G$11,包装物料出入库明细!$B$4:$B$2003,"&gt;="&amp;$AF$1,包装物料出入库明细!$B$4:$B$2003,"&lt;="&amp;$AF$2))</f>
        <v/>
      </c>
      <c r="K87" s="25" t="str">
        <f>IF(OR($B87="",_自动清单!$G$12=""),"",SUMIFS(包装物料出入库明细!$J$4:$J$2003,包装物料出入库明细!$D$4:$D$2003,$B87,包装物料出入库明细!$E$4:$E$2003,_自动清单!$G$12,包装物料出入库明细!$B$4:$B$2003,"&gt;="&amp;$AF$1,包装物料出入库明细!$B$4:$B$2003,"&lt;="&amp;$AF$2))</f>
        <v/>
      </c>
      <c r="L87" s="25" t="str">
        <f>IF(OR($B87="",_自动清单!$G$13=""),"",SUMIFS(包装物料出入库明细!$J$4:$J$2003,包装物料出入库明细!$D$4:$D$2003,$B87,包装物料出入库明细!$E$4:$E$2003,_自动清单!$G$13,包装物料出入库明细!$B$4:$B$2003,"&gt;="&amp;$AF$1,包装物料出入库明细!$B$4:$B$2003,"&lt;="&amp;$AF$2))</f>
        <v/>
      </c>
      <c r="M87" s="25" t="str">
        <f>IF(OR($B87="",_自动清单!$G$14=""),"",SUMIFS(包装物料出入库明细!$J$4:$J$2003,包装物料出入库明细!$D$4:$D$2003,$B87,包装物料出入库明细!$E$4:$E$2003,_自动清单!$G$14,包装物料出入库明细!$B$4:$B$2003,"&gt;="&amp;$AF$1,包装物料出入库明细!$B$4:$B$2003,"&lt;="&amp;$AF$2))</f>
        <v/>
      </c>
      <c r="N87" s="25" t="str">
        <f>IF(OR($B87="",_自动清单!$G$15=""),"",SUMIFS(包装物料出入库明细!$J$4:$J$2003,包装物料出入库明细!$D$4:$D$2003,$B87,包装物料出入库明细!$E$4:$E$2003,_自动清单!$G$15,包装物料出入库明细!$B$4:$B$2003,"&gt;="&amp;$AF$1,包装物料出入库明细!$B$4:$B$2003,"&lt;="&amp;$AF$2))</f>
        <v/>
      </c>
      <c r="O87" s="25" t="str">
        <f>IF(OR($B87="",_自动清单!$G$16=""),"",SUMIFS(包装物料出入库明细!$J$4:$J$2003,包装物料出入库明细!$D$4:$D$2003,$B87,包装物料出入库明细!$E$4:$E$2003,_自动清单!$G$16,包装物料出入库明细!$B$4:$B$2003,"&gt;="&amp;$AF$1,包装物料出入库明细!$B$4:$B$2003,"&lt;="&amp;$AF$2))</f>
        <v/>
      </c>
      <c r="P87" s="25" t="str">
        <f>IF(OR($B87="",_自动清单!$G$17=""),"",SUMIFS(包装物料出入库明细!$J$4:$J$2003,包装物料出入库明细!$D$4:$D$2003,$B87,包装物料出入库明细!$E$4:$E$2003,_自动清单!$G$17,包装物料出入库明细!$B$4:$B$2003,"&gt;="&amp;$AF$1,包装物料出入库明细!$B$4:$B$2003,"&lt;="&amp;$AF$2))</f>
        <v/>
      </c>
      <c r="Q87" s="25" t="str">
        <f>IF(OR($B87="",_自动清单!$G$18=""),"",SUMIFS(包装物料出入库明细!$J$4:$J$2003,包装物料出入库明细!$D$4:$D$2003,$B87,包装物料出入库明细!$E$4:$E$2003,_自动清单!$G$18,包装物料出入库明细!$B$4:$B$2003,"&gt;="&amp;$AF$1,包装物料出入库明细!$B$4:$B$2003,"&lt;="&amp;$AF$2))</f>
        <v/>
      </c>
      <c r="R87" s="25" t="str">
        <f>IF(OR($B87="",_自动清单!$G$19=""),"",SUMIFS(包装物料出入库明细!$J$4:$J$2003,包装物料出入库明细!$D$4:$D$2003,$B87,包装物料出入库明细!$E$4:$E$2003,_自动清单!$G$19,包装物料出入库明细!$B$4:$B$2003,"&gt;="&amp;$AF$1,包装物料出入库明细!$B$4:$B$2003,"&lt;="&amp;$AF$2))</f>
        <v/>
      </c>
      <c r="S87" s="25" t="str">
        <f>IF(OR($B87="",_自动清单!$G$20=""),"",SUMIFS(包装物料出入库明细!$J$4:$J$2003,包装物料出入库明细!$D$4:$D$2003,$B87,包装物料出入库明细!$E$4:$E$2003,_自动清单!$G$20,包装物料出入库明细!$B$4:$B$2003,"&gt;="&amp;$AF$1,包装物料出入库明细!$B$4:$B$2003,"&lt;="&amp;$AF$2))</f>
        <v/>
      </c>
      <c r="T87" s="25" t="str">
        <f>IF(OR($B87="",_自动清单!$G$21=""),"",SUMIFS(包装物料出入库明细!$J$4:$J$2003,包装物料出入库明细!$D$4:$D$2003,$B87,包装物料出入库明细!$E$4:$E$2003,_自动清单!$G$21,包装物料出入库明细!$B$4:$B$2003,"&gt;="&amp;$AF$1,包装物料出入库明细!$B$4:$B$2003,"&lt;="&amp;$AF$2))</f>
        <v/>
      </c>
      <c r="U87" s="25" t="str">
        <f>IF($B87="","",SUMIFS(包装物料出入库明细!$J$4:$J$2003,包装物料出入库明细!$D$4:$D$2003,$B87,包装物料出入库明细!$B$4:$B$2003,"&gt;="&amp;$AF$1,包装物料出入库明细!$B$4:$B$2003,"&lt;="&amp;$AF$2)-SUM($C87:$T87))</f>
        <v/>
      </c>
      <c r="V87" s="25" t="str">
        <f t="shared" si="5"/>
        <v/>
      </c>
      <c r="W87" s="56" t="str">
        <f>IF($B87="","",SUMIFS(包装物料出入库明细!$K$4:$K$2003,包装物料出入库明细!$D$4:$D$2003,$B87,包装物料出入库明细!$B$4:$B$2003,"&gt;="&amp;$AF$1,包装物料出入库明细!$B$4:$B$2003,"&lt;="&amp;$AF$2))</f>
        <v/>
      </c>
      <c r="X87" s="25" t="str">
        <f t="shared" si="6"/>
        <v/>
      </c>
      <c r="Y87" s="26" t="str">
        <f>IF($B87="","",ROUND(SUMIFS(包装物料出入库明细!$N$4:$N$2003,包装物料出入库明细!$D$4:$D$2003,$B87,包装物料出入库明细!$H$4:$H$2003,"销售出库",包装物料出入库明细!$B$4:$B$2003,"&gt;="&amp;$AF$1,包装物料出入库明细!$B$4:$B$2003,"&lt;="&amp;$AF$2),2))</f>
        <v/>
      </c>
      <c r="Z87" s="26" t="str">
        <f>IF($B87="","",ROUND(SUMIFS(包装物料出入库明细!$N$4:$N$2003,包装物料出入库明细!$D$4:$D$2003,$B87,包装物料出入库明细!$H$4:$H$2003,"销售出库",包装物料出入库明细!$P$4:$P$2003,"已收讫",包装物料出入库明细!$B$4:$B$2003,"&gt;="&amp;$AF$1,包装物料出入库明细!$B$4:$B$2003,"&lt;="&amp;$AF$2),2))</f>
        <v/>
      </c>
      <c r="AA87" s="26" t="str">
        <f t="shared" si="7"/>
        <v/>
      </c>
      <c r="AB87" s="41"/>
    </row>
    <row r="88" spans="1:28">
      <c r="A88" s="24" t="str">
        <f t="shared" si="4"/>
        <v/>
      </c>
      <c r="B88" s="24" t="str">
        <f>IFERROR(INDEX(_自动清单!$O$4:$O$203,ROW()-3),"")</f>
        <v/>
      </c>
      <c r="C88" s="25" t="str">
        <f>IF(OR($B88="",_自动清单!$G$4=""),"",SUMIFS(包装物料出入库明细!$J$4:$J$2003,包装物料出入库明细!$D$4:$D$2003,$B88,包装物料出入库明细!$E$4:$E$2003,_自动清单!$G$4,包装物料出入库明细!$B$4:$B$2003,"&gt;="&amp;$AF$1,包装物料出入库明细!$B$4:$B$2003,"&lt;="&amp;$AF$2))</f>
        <v/>
      </c>
      <c r="D88" s="25" t="str">
        <f>IF(OR($B88="",_自动清单!$G$5=""),"",SUMIFS(包装物料出入库明细!$J$4:$J$2003,包装物料出入库明细!$D$4:$D$2003,$B88,包装物料出入库明细!$E$4:$E$2003,_自动清单!$G$5,包装物料出入库明细!$B$4:$B$2003,"&gt;="&amp;$AF$1,包装物料出入库明细!$B$4:$B$2003,"&lt;="&amp;$AF$2))</f>
        <v/>
      </c>
      <c r="E88" s="25" t="str">
        <f>IF(OR($B88="",_自动清单!$G$6=""),"",SUMIFS(包装物料出入库明细!$J$4:$J$2003,包装物料出入库明细!$D$4:$D$2003,$B88,包装物料出入库明细!$E$4:$E$2003,_自动清单!$G$6,包装物料出入库明细!$B$4:$B$2003,"&gt;="&amp;$AF$1,包装物料出入库明细!$B$4:$B$2003,"&lt;="&amp;$AF$2))</f>
        <v/>
      </c>
      <c r="F88" s="25" t="str">
        <f>IF(OR($B88="",_自动清单!$G$7=""),"",SUMIFS(包装物料出入库明细!$J$4:$J$2003,包装物料出入库明细!$D$4:$D$2003,$B88,包装物料出入库明细!$E$4:$E$2003,_自动清单!$G$7,包装物料出入库明细!$B$4:$B$2003,"&gt;="&amp;$AF$1,包装物料出入库明细!$B$4:$B$2003,"&lt;="&amp;$AF$2))</f>
        <v/>
      </c>
      <c r="G88" s="25" t="str">
        <f>IF(OR($B88="",_自动清单!$G$8=""),"",SUMIFS(包装物料出入库明细!$J$4:$J$2003,包装物料出入库明细!$D$4:$D$2003,$B88,包装物料出入库明细!$E$4:$E$2003,_自动清单!$G$8,包装物料出入库明细!$B$4:$B$2003,"&gt;="&amp;$AF$1,包装物料出入库明细!$B$4:$B$2003,"&lt;="&amp;$AF$2))</f>
        <v/>
      </c>
      <c r="H88" s="25" t="str">
        <f>IF(OR($B88="",_自动清单!$G$9=""),"",SUMIFS(包装物料出入库明细!$J$4:$J$2003,包装物料出入库明细!$D$4:$D$2003,$B88,包装物料出入库明细!$E$4:$E$2003,_自动清单!$G$9,包装物料出入库明细!$B$4:$B$2003,"&gt;="&amp;$AF$1,包装物料出入库明细!$B$4:$B$2003,"&lt;="&amp;$AF$2))</f>
        <v/>
      </c>
      <c r="I88" s="25" t="str">
        <f>IF(OR($B88="",_自动清单!$G$10=""),"",SUMIFS(包装物料出入库明细!$J$4:$J$2003,包装物料出入库明细!$D$4:$D$2003,$B88,包装物料出入库明细!$E$4:$E$2003,_自动清单!$G$10,包装物料出入库明细!$B$4:$B$2003,"&gt;="&amp;$AF$1,包装物料出入库明细!$B$4:$B$2003,"&lt;="&amp;$AF$2))</f>
        <v/>
      </c>
      <c r="J88" s="25" t="str">
        <f>IF(OR($B88="",_自动清单!$G$11=""),"",SUMIFS(包装物料出入库明细!$J$4:$J$2003,包装物料出入库明细!$D$4:$D$2003,$B88,包装物料出入库明细!$E$4:$E$2003,_自动清单!$G$11,包装物料出入库明细!$B$4:$B$2003,"&gt;="&amp;$AF$1,包装物料出入库明细!$B$4:$B$2003,"&lt;="&amp;$AF$2))</f>
        <v/>
      </c>
      <c r="K88" s="25" t="str">
        <f>IF(OR($B88="",_自动清单!$G$12=""),"",SUMIFS(包装物料出入库明细!$J$4:$J$2003,包装物料出入库明细!$D$4:$D$2003,$B88,包装物料出入库明细!$E$4:$E$2003,_自动清单!$G$12,包装物料出入库明细!$B$4:$B$2003,"&gt;="&amp;$AF$1,包装物料出入库明细!$B$4:$B$2003,"&lt;="&amp;$AF$2))</f>
        <v/>
      </c>
      <c r="L88" s="25" t="str">
        <f>IF(OR($B88="",_自动清单!$G$13=""),"",SUMIFS(包装物料出入库明细!$J$4:$J$2003,包装物料出入库明细!$D$4:$D$2003,$B88,包装物料出入库明细!$E$4:$E$2003,_自动清单!$G$13,包装物料出入库明细!$B$4:$B$2003,"&gt;="&amp;$AF$1,包装物料出入库明细!$B$4:$B$2003,"&lt;="&amp;$AF$2))</f>
        <v/>
      </c>
      <c r="M88" s="25" t="str">
        <f>IF(OR($B88="",_自动清单!$G$14=""),"",SUMIFS(包装物料出入库明细!$J$4:$J$2003,包装物料出入库明细!$D$4:$D$2003,$B88,包装物料出入库明细!$E$4:$E$2003,_自动清单!$G$14,包装物料出入库明细!$B$4:$B$2003,"&gt;="&amp;$AF$1,包装物料出入库明细!$B$4:$B$2003,"&lt;="&amp;$AF$2))</f>
        <v/>
      </c>
      <c r="N88" s="25" t="str">
        <f>IF(OR($B88="",_自动清单!$G$15=""),"",SUMIFS(包装物料出入库明细!$J$4:$J$2003,包装物料出入库明细!$D$4:$D$2003,$B88,包装物料出入库明细!$E$4:$E$2003,_自动清单!$G$15,包装物料出入库明细!$B$4:$B$2003,"&gt;="&amp;$AF$1,包装物料出入库明细!$B$4:$B$2003,"&lt;="&amp;$AF$2))</f>
        <v/>
      </c>
      <c r="O88" s="25" t="str">
        <f>IF(OR($B88="",_自动清单!$G$16=""),"",SUMIFS(包装物料出入库明细!$J$4:$J$2003,包装物料出入库明细!$D$4:$D$2003,$B88,包装物料出入库明细!$E$4:$E$2003,_自动清单!$G$16,包装物料出入库明细!$B$4:$B$2003,"&gt;="&amp;$AF$1,包装物料出入库明细!$B$4:$B$2003,"&lt;="&amp;$AF$2))</f>
        <v/>
      </c>
      <c r="P88" s="25" t="str">
        <f>IF(OR($B88="",_自动清单!$G$17=""),"",SUMIFS(包装物料出入库明细!$J$4:$J$2003,包装物料出入库明细!$D$4:$D$2003,$B88,包装物料出入库明细!$E$4:$E$2003,_自动清单!$G$17,包装物料出入库明细!$B$4:$B$2003,"&gt;="&amp;$AF$1,包装物料出入库明细!$B$4:$B$2003,"&lt;="&amp;$AF$2))</f>
        <v/>
      </c>
      <c r="Q88" s="25" t="str">
        <f>IF(OR($B88="",_自动清单!$G$18=""),"",SUMIFS(包装物料出入库明细!$J$4:$J$2003,包装物料出入库明细!$D$4:$D$2003,$B88,包装物料出入库明细!$E$4:$E$2003,_自动清单!$G$18,包装物料出入库明细!$B$4:$B$2003,"&gt;="&amp;$AF$1,包装物料出入库明细!$B$4:$B$2003,"&lt;="&amp;$AF$2))</f>
        <v/>
      </c>
      <c r="R88" s="25" t="str">
        <f>IF(OR($B88="",_自动清单!$G$19=""),"",SUMIFS(包装物料出入库明细!$J$4:$J$2003,包装物料出入库明细!$D$4:$D$2003,$B88,包装物料出入库明细!$E$4:$E$2003,_自动清单!$G$19,包装物料出入库明细!$B$4:$B$2003,"&gt;="&amp;$AF$1,包装物料出入库明细!$B$4:$B$2003,"&lt;="&amp;$AF$2))</f>
        <v/>
      </c>
      <c r="S88" s="25" t="str">
        <f>IF(OR($B88="",_自动清单!$G$20=""),"",SUMIFS(包装物料出入库明细!$J$4:$J$2003,包装物料出入库明细!$D$4:$D$2003,$B88,包装物料出入库明细!$E$4:$E$2003,_自动清单!$G$20,包装物料出入库明细!$B$4:$B$2003,"&gt;="&amp;$AF$1,包装物料出入库明细!$B$4:$B$2003,"&lt;="&amp;$AF$2))</f>
        <v/>
      </c>
      <c r="T88" s="25" t="str">
        <f>IF(OR($B88="",_自动清单!$G$21=""),"",SUMIFS(包装物料出入库明细!$J$4:$J$2003,包装物料出入库明细!$D$4:$D$2003,$B88,包装物料出入库明细!$E$4:$E$2003,_自动清单!$G$21,包装物料出入库明细!$B$4:$B$2003,"&gt;="&amp;$AF$1,包装物料出入库明细!$B$4:$B$2003,"&lt;="&amp;$AF$2))</f>
        <v/>
      </c>
      <c r="U88" s="25" t="str">
        <f>IF($B88="","",SUMIFS(包装物料出入库明细!$J$4:$J$2003,包装物料出入库明细!$D$4:$D$2003,$B88,包装物料出入库明细!$B$4:$B$2003,"&gt;="&amp;$AF$1,包装物料出入库明细!$B$4:$B$2003,"&lt;="&amp;$AF$2)-SUM($C88:$T88))</f>
        <v/>
      </c>
      <c r="V88" s="25" t="str">
        <f t="shared" si="5"/>
        <v/>
      </c>
      <c r="W88" s="56" t="str">
        <f>IF($B88="","",SUMIFS(包装物料出入库明细!$K$4:$K$2003,包装物料出入库明细!$D$4:$D$2003,$B88,包装物料出入库明细!$B$4:$B$2003,"&gt;="&amp;$AF$1,包装物料出入库明细!$B$4:$B$2003,"&lt;="&amp;$AF$2))</f>
        <v/>
      </c>
      <c r="X88" s="25" t="str">
        <f t="shared" si="6"/>
        <v/>
      </c>
      <c r="Y88" s="26" t="str">
        <f>IF($B88="","",ROUND(SUMIFS(包装物料出入库明细!$N$4:$N$2003,包装物料出入库明细!$D$4:$D$2003,$B88,包装物料出入库明细!$H$4:$H$2003,"销售出库",包装物料出入库明细!$B$4:$B$2003,"&gt;="&amp;$AF$1,包装物料出入库明细!$B$4:$B$2003,"&lt;="&amp;$AF$2),2))</f>
        <v/>
      </c>
      <c r="Z88" s="26" t="str">
        <f>IF($B88="","",ROUND(SUMIFS(包装物料出入库明细!$N$4:$N$2003,包装物料出入库明细!$D$4:$D$2003,$B88,包装物料出入库明细!$H$4:$H$2003,"销售出库",包装物料出入库明细!$P$4:$P$2003,"已收讫",包装物料出入库明细!$B$4:$B$2003,"&gt;="&amp;$AF$1,包装物料出入库明细!$B$4:$B$2003,"&lt;="&amp;$AF$2),2))</f>
        <v/>
      </c>
      <c r="AA88" s="26" t="str">
        <f t="shared" si="7"/>
        <v/>
      </c>
      <c r="AB88" s="41"/>
    </row>
    <row r="89" spans="1:28">
      <c r="A89" s="24" t="str">
        <f t="shared" si="4"/>
        <v/>
      </c>
      <c r="B89" s="24" t="str">
        <f>IFERROR(INDEX(_自动清单!$O$4:$O$203,ROW()-3),"")</f>
        <v/>
      </c>
      <c r="C89" s="25" t="str">
        <f>IF(OR($B89="",_自动清单!$G$4=""),"",SUMIFS(包装物料出入库明细!$J$4:$J$2003,包装物料出入库明细!$D$4:$D$2003,$B89,包装物料出入库明细!$E$4:$E$2003,_自动清单!$G$4,包装物料出入库明细!$B$4:$B$2003,"&gt;="&amp;$AF$1,包装物料出入库明细!$B$4:$B$2003,"&lt;="&amp;$AF$2))</f>
        <v/>
      </c>
      <c r="D89" s="25" t="str">
        <f>IF(OR($B89="",_自动清单!$G$5=""),"",SUMIFS(包装物料出入库明细!$J$4:$J$2003,包装物料出入库明细!$D$4:$D$2003,$B89,包装物料出入库明细!$E$4:$E$2003,_自动清单!$G$5,包装物料出入库明细!$B$4:$B$2003,"&gt;="&amp;$AF$1,包装物料出入库明细!$B$4:$B$2003,"&lt;="&amp;$AF$2))</f>
        <v/>
      </c>
      <c r="E89" s="25" t="str">
        <f>IF(OR($B89="",_自动清单!$G$6=""),"",SUMIFS(包装物料出入库明细!$J$4:$J$2003,包装物料出入库明细!$D$4:$D$2003,$B89,包装物料出入库明细!$E$4:$E$2003,_自动清单!$G$6,包装物料出入库明细!$B$4:$B$2003,"&gt;="&amp;$AF$1,包装物料出入库明细!$B$4:$B$2003,"&lt;="&amp;$AF$2))</f>
        <v/>
      </c>
      <c r="F89" s="25" t="str">
        <f>IF(OR($B89="",_自动清单!$G$7=""),"",SUMIFS(包装物料出入库明细!$J$4:$J$2003,包装物料出入库明细!$D$4:$D$2003,$B89,包装物料出入库明细!$E$4:$E$2003,_自动清单!$G$7,包装物料出入库明细!$B$4:$B$2003,"&gt;="&amp;$AF$1,包装物料出入库明细!$B$4:$B$2003,"&lt;="&amp;$AF$2))</f>
        <v/>
      </c>
      <c r="G89" s="25" t="str">
        <f>IF(OR($B89="",_自动清单!$G$8=""),"",SUMIFS(包装物料出入库明细!$J$4:$J$2003,包装物料出入库明细!$D$4:$D$2003,$B89,包装物料出入库明细!$E$4:$E$2003,_自动清单!$G$8,包装物料出入库明细!$B$4:$B$2003,"&gt;="&amp;$AF$1,包装物料出入库明细!$B$4:$B$2003,"&lt;="&amp;$AF$2))</f>
        <v/>
      </c>
      <c r="H89" s="25" t="str">
        <f>IF(OR($B89="",_自动清单!$G$9=""),"",SUMIFS(包装物料出入库明细!$J$4:$J$2003,包装物料出入库明细!$D$4:$D$2003,$B89,包装物料出入库明细!$E$4:$E$2003,_自动清单!$G$9,包装物料出入库明细!$B$4:$B$2003,"&gt;="&amp;$AF$1,包装物料出入库明细!$B$4:$B$2003,"&lt;="&amp;$AF$2))</f>
        <v/>
      </c>
      <c r="I89" s="25" t="str">
        <f>IF(OR($B89="",_自动清单!$G$10=""),"",SUMIFS(包装物料出入库明细!$J$4:$J$2003,包装物料出入库明细!$D$4:$D$2003,$B89,包装物料出入库明细!$E$4:$E$2003,_自动清单!$G$10,包装物料出入库明细!$B$4:$B$2003,"&gt;="&amp;$AF$1,包装物料出入库明细!$B$4:$B$2003,"&lt;="&amp;$AF$2))</f>
        <v/>
      </c>
      <c r="J89" s="25" t="str">
        <f>IF(OR($B89="",_自动清单!$G$11=""),"",SUMIFS(包装物料出入库明细!$J$4:$J$2003,包装物料出入库明细!$D$4:$D$2003,$B89,包装物料出入库明细!$E$4:$E$2003,_自动清单!$G$11,包装物料出入库明细!$B$4:$B$2003,"&gt;="&amp;$AF$1,包装物料出入库明细!$B$4:$B$2003,"&lt;="&amp;$AF$2))</f>
        <v/>
      </c>
      <c r="K89" s="25" t="str">
        <f>IF(OR($B89="",_自动清单!$G$12=""),"",SUMIFS(包装物料出入库明细!$J$4:$J$2003,包装物料出入库明细!$D$4:$D$2003,$B89,包装物料出入库明细!$E$4:$E$2003,_自动清单!$G$12,包装物料出入库明细!$B$4:$B$2003,"&gt;="&amp;$AF$1,包装物料出入库明细!$B$4:$B$2003,"&lt;="&amp;$AF$2))</f>
        <v/>
      </c>
      <c r="L89" s="25" t="str">
        <f>IF(OR($B89="",_自动清单!$G$13=""),"",SUMIFS(包装物料出入库明细!$J$4:$J$2003,包装物料出入库明细!$D$4:$D$2003,$B89,包装物料出入库明细!$E$4:$E$2003,_自动清单!$G$13,包装物料出入库明细!$B$4:$B$2003,"&gt;="&amp;$AF$1,包装物料出入库明细!$B$4:$B$2003,"&lt;="&amp;$AF$2))</f>
        <v/>
      </c>
      <c r="M89" s="25" t="str">
        <f>IF(OR($B89="",_自动清单!$G$14=""),"",SUMIFS(包装物料出入库明细!$J$4:$J$2003,包装物料出入库明细!$D$4:$D$2003,$B89,包装物料出入库明细!$E$4:$E$2003,_自动清单!$G$14,包装物料出入库明细!$B$4:$B$2003,"&gt;="&amp;$AF$1,包装物料出入库明细!$B$4:$B$2003,"&lt;="&amp;$AF$2))</f>
        <v/>
      </c>
      <c r="N89" s="25" t="str">
        <f>IF(OR($B89="",_自动清单!$G$15=""),"",SUMIFS(包装物料出入库明细!$J$4:$J$2003,包装物料出入库明细!$D$4:$D$2003,$B89,包装物料出入库明细!$E$4:$E$2003,_自动清单!$G$15,包装物料出入库明细!$B$4:$B$2003,"&gt;="&amp;$AF$1,包装物料出入库明细!$B$4:$B$2003,"&lt;="&amp;$AF$2))</f>
        <v/>
      </c>
      <c r="O89" s="25" t="str">
        <f>IF(OR($B89="",_自动清单!$G$16=""),"",SUMIFS(包装物料出入库明细!$J$4:$J$2003,包装物料出入库明细!$D$4:$D$2003,$B89,包装物料出入库明细!$E$4:$E$2003,_自动清单!$G$16,包装物料出入库明细!$B$4:$B$2003,"&gt;="&amp;$AF$1,包装物料出入库明细!$B$4:$B$2003,"&lt;="&amp;$AF$2))</f>
        <v/>
      </c>
      <c r="P89" s="25" t="str">
        <f>IF(OR($B89="",_自动清单!$G$17=""),"",SUMIFS(包装物料出入库明细!$J$4:$J$2003,包装物料出入库明细!$D$4:$D$2003,$B89,包装物料出入库明细!$E$4:$E$2003,_自动清单!$G$17,包装物料出入库明细!$B$4:$B$2003,"&gt;="&amp;$AF$1,包装物料出入库明细!$B$4:$B$2003,"&lt;="&amp;$AF$2))</f>
        <v/>
      </c>
      <c r="Q89" s="25" t="str">
        <f>IF(OR($B89="",_自动清单!$G$18=""),"",SUMIFS(包装物料出入库明细!$J$4:$J$2003,包装物料出入库明细!$D$4:$D$2003,$B89,包装物料出入库明细!$E$4:$E$2003,_自动清单!$G$18,包装物料出入库明细!$B$4:$B$2003,"&gt;="&amp;$AF$1,包装物料出入库明细!$B$4:$B$2003,"&lt;="&amp;$AF$2))</f>
        <v/>
      </c>
      <c r="R89" s="25" t="str">
        <f>IF(OR($B89="",_自动清单!$G$19=""),"",SUMIFS(包装物料出入库明细!$J$4:$J$2003,包装物料出入库明细!$D$4:$D$2003,$B89,包装物料出入库明细!$E$4:$E$2003,_自动清单!$G$19,包装物料出入库明细!$B$4:$B$2003,"&gt;="&amp;$AF$1,包装物料出入库明细!$B$4:$B$2003,"&lt;="&amp;$AF$2))</f>
        <v/>
      </c>
      <c r="S89" s="25" t="str">
        <f>IF(OR($B89="",_自动清单!$G$20=""),"",SUMIFS(包装物料出入库明细!$J$4:$J$2003,包装物料出入库明细!$D$4:$D$2003,$B89,包装物料出入库明细!$E$4:$E$2003,_自动清单!$G$20,包装物料出入库明细!$B$4:$B$2003,"&gt;="&amp;$AF$1,包装物料出入库明细!$B$4:$B$2003,"&lt;="&amp;$AF$2))</f>
        <v/>
      </c>
      <c r="T89" s="25" t="str">
        <f>IF(OR($B89="",_自动清单!$G$21=""),"",SUMIFS(包装物料出入库明细!$J$4:$J$2003,包装物料出入库明细!$D$4:$D$2003,$B89,包装物料出入库明细!$E$4:$E$2003,_自动清单!$G$21,包装物料出入库明细!$B$4:$B$2003,"&gt;="&amp;$AF$1,包装物料出入库明细!$B$4:$B$2003,"&lt;="&amp;$AF$2))</f>
        <v/>
      </c>
      <c r="U89" s="25" t="str">
        <f>IF($B89="","",SUMIFS(包装物料出入库明细!$J$4:$J$2003,包装物料出入库明细!$D$4:$D$2003,$B89,包装物料出入库明细!$B$4:$B$2003,"&gt;="&amp;$AF$1,包装物料出入库明细!$B$4:$B$2003,"&lt;="&amp;$AF$2)-SUM($C89:$T89))</f>
        <v/>
      </c>
      <c r="V89" s="25" t="str">
        <f t="shared" si="5"/>
        <v/>
      </c>
      <c r="W89" s="56" t="str">
        <f>IF($B89="","",SUMIFS(包装物料出入库明细!$K$4:$K$2003,包装物料出入库明细!$D$4:$D$2003,$B89,包装物料出入库明细!$B$4:$B$2003,"&gt;="&amp;$AF$1,包装物料出入库明细!$B$4:$B$2003,"&lt;="&amp;$AF$2))</f>
        <v/>
      </c>
      <c r="X89" s="25" t="str">
        <f t="shared" si="6"/>
        <v/>
      </c>
      <c r="Y89" s="26" t="str">
        <f>IF($B89="","",ROUND(SUMIFS(包装物料出入库明细!$N$4:$N$2003,包装物料出入库明细!$D$4:$D$2003,$B89,包装物料出入库明细!$H$4:$H$2003,"销售出库",包装物料出入库明细!$B$4:$B$2003,"&gt;="&amp;$AF$1,包装物料出入库明细!$B$4:$B$2003,"&lt;="&amp;$AF$2),2))</f>
        <v/>
      </c>
      <c r="Z89" s="26" t="str">
        <f>IF($B89="","",ROUND(SUMIFS(包装物料出入库明细!$N$4:$N$2003,包装物料出入库明细!$D$4:$D$2003,$B89,包装物料出入库明细!$H$4:$H$2003,"销售出库",包装物料出入库明细!$P$4:$P$2003,"已收讫",包装物料出入库明细!$B$4:$B$2003,"&gt;="&amp;$AF$1,包装物料出入库明细!$B$4:$B$2003,"&lt;="&amp;$AF$2),2))</f>
        <v/>
      </c>
      <c r="AA89" s="26" t="str">
        <f t="shared" si="7"/>
        <v/>
      </c>
      <c r="AB89" s="41"/>
    </row>
    <row r="90" spans="1:28">
      <c r="A90" s="24" t="str">
        <f t="shared" si="4"/>
        <v/>
      </c>
      <c r="B90" s="24" t="str">
        <f>IFERROR(INDEX(_自动清单!$O$4:$O$203,ROW()-3),"")</f>
        <v/>
      </c>
      <c r="C90" s="25" t="str">
        <f>IF(OR($B90="",_自动清单!$G$4=""),"",SUMIFS(包装物料出入库明细!$J$4:$J$2003,包装物料出入库明细!$D$4:$D$2003,$B90,包装物料出入库明细!$E$4:$E$2003,_自动清单!$G$4,包装物料出入库明细!$B$4:$B$2003,"&gt;="&amp;$AF$1,包装物料出入库明细!$B$4:$B$2003,"&lt;="&amp;$AF$2))</f>
        <v/>
      </c>
      <c r="D90" s="25" t="str">
        <f>IF(OR($B90="",_自动清单!$G$5=""),"",SUMIFS(包装物料出入库明细!$J$4:$J$2003,包装物料出入库明细!$D$4:$D$2003,$B90,包装物料出入库明细!$E$4:$E$2003,_自动清单!$G$5,包装物料出入库明细!$B$4:$B$2003,"&gt;="&amp;$AF$1,包装物料出入库明细!$B$4:$B$2003,"&lt;="&amp;$AF$2))</f>
        <v/>
      </c>
      <c r="E90" s="25" t="str">
        <f>IF(OR($B90="",_自动清单!$G$6=""),"",SUMIFS(包装物料出入库明细!$J$4:$J$2003,包装物料出入库明细!$D$4:$D$2003,$B90,包装物料出入库明细!$E$4:$E$2003,_自动清单!$G$6,包装物料出入库明细!$B$4:$B$2003,"&gt;="&amp;$AF$1,包装物料出入库明细!$B$4:$B$2003,"&lt;="&amp;$AF$2))</f>
        <v/>
      </c>
      <c r="F90" s="25" t="str">
        <f>IF(OR($B90="",_自动清单!$G$7=""),"",SUMIFS(包装物料出入库明细!$J$4:$J$2003,包装物料出入库明细!$D$4:$D$2003,$B90,包装物料出入库明细!$E$4:$E$2003,_自动清单!$G$7,包装物料出入库明细!$B$4:$B$2003,"&gt;="&amp;$AF$1,包装物料出入库明细!$B$4:$B$2003,"&lt;="&amp;$AF$2))</f>
        <v/>
      </c>
      <c r="G90" s="25" t="str">
        <f>IF(OR($B90="",_自动清单!$G$8=""),"",SUMIFS(包装物料出入库明细!$J$4:$J$2003,包装物料出入库明细!$D$4:$D$2003,$B90,包装物料出入库明细!$E$4:$E$2003,_自动清单!$G$8,包装物料出入库明细!$B$4:$B$2003,"&gt;="&amp;$AF$1,包装物料出入库明细!$B$4:$B$2003,"&lt;="&amp;$AF$2))</f>
        <v/>
      </c>
      <c r="H90" s="25" t="str">
        <f>IF(OR($B90="",_自动清单!$G$9=""),"",SUMIFS(包装物料出入库明细!$J$4:$J$2003,包装物料出入库明细!$D$4:$D$2003,$B90,包装物料出入库明细!$E$4:$E$2003,_自动清单!$G$9,包装物料出入库明细!$B$4:$B$2003,"&gt;="&amp;$AF$1,包装物料出入库明细!$B$4:$B$2003,"&lt;="&amp;$AF$2))</f>
        <v/>
      </c>
      <c r="I90" s="25" t="str">
        <f>IF(OR($B90="",_自动清单!$G$10=""),"",SUMIFS(包装物料出入库明细!$J$4:$J$2003,包装物料出入库明细!$D$4:$D$2003,$B90,包装物料出入库明细!$E$4:$E$2003,_自动清单!$G$10,包装物料出入库明细!$B$4:$B$2003,"&gt;="&amp;$AF$1,包装物料出入库明细!$B$4:$B$2003,"&lt;="&amp;$AF$2))</f>
        <v/>
      </c>
      <c r="J90" s="25" t="str">
        <f>IF(OR($B90="",_自动清单!$G$11=""),"",SUMIFS(包装物料出入库明细!$J$4:$J$2003,包装物料出入库明细!$D$4:$D$2003,$B90,包装物料出入库明细!$E$4:$E$2003,_自动清单!$G$11,包装物料出入库明细!$B$4:$B$2003,"&gt;="&amp;$AF$1,包装物料出入库明细!$B$4:$B$2003,"&lt;="&amp;$AF$2))</f>
        <v/>
      </c>
      <c r="K90" s="25" t="str">
        <f>IF(OR($B90="",_自动清单!$G$12=""),"",SUMIFS(包装物料出入库明细!$J$4:$J$2003,包装物料出入库明细!$D$4:$D$2003,$B90,包装物料出入库明细!$E$4:$E$2003,_自动清单!$G$12,包装物料出入库明细!$B$4:$B$2003,"&gt;="&amp;$AF$1,包装物料出入库明细!$B$4:$B$2003,"&lt;="&amp;$AF$2))</f>
        <v/>
      </c>
      <c r="L90" s="25" t="str">
        <f>IF(OR($B90="",_自动清单!$G$13=""),"",SUMIFS(包装物料出入库明细!$J$4:$J$2003,包装物料出入库明细!$D$4:$D$2003,$B90,包装物料出入库明细!$E$4:$E$2003,_自动清单!$G$13,包装物料出入库明细!$B$4:$B$2003,"&gt;="&amp;$AF$1,包装物料出入库明细!$B$4:$B$2003,"&lt;="&amp;$AF$2))</f>
        <v/>
      </c>
      <c r="M90" s="25" t="str">
        <f>IF(OR($B90="",_自动清单!$G$14=""),"",SUMIFS(包装物料出入库明细!$J$4:$J$2003,包装物料出入库明细!$D$4:$D$2003,$B90,包装物料出入库明细!$E$4:$E$2003,_自动清单!$G$14,包装物料出入库明细!$B$4:$B$2003,"&gt;="&amp;$AF$1,包装物料出入库明细!$B$4:$B$2003,"&lt;="&amp;$AF$2))</f>
        <v/>
      </c>
      <c r="N90" s="25" t="str">
        <f>IF(OR($B90="",_自动清单!$G$15=""),"",SUMIFS(包装物料出入库明细!$J$4:$J$2003,包装物料出入库明细!$D$4:$D$2003,$B90,包装物料出入库明细!$E$4:$E$2003,_自动清单!$G$15,包装物料出入库明细!$B$4:$B$2003,"&gt;="&amp;$AF$1,包装物料出入库明细!$B$4:$B$2003,"&lt;="&amp;$AF$2))</f>
        <v/>
      </c>
      <c r="O90" s="25" t="str">
        <f>IF(OR($B90="",_自动清单!$G$16=""),"",SUMIFS(包装物料出入库明细!$J$4:$J$2003,包装物料出入库明细!$D$4:$D$2003,$B90,包装物料出入库明细!$E$4:$E$2003,_自动清单!$G$16,包装物料出入库明细!$B$4:$B$2003,"&gt;="&amp;$AF$1,包装物料出入库明细!$B$4:$B$2003,"&lt;="&amp;$AF$2))</f>
        <v/>
      </c>
      <c r="P90" s="25" t="str">
        <f>IF(OR($B90="",_自动清单!$G$17=""),"",SUMIFS(包装物料出入库明细!$J$4:$J$2003,包装物料出入库明细!$D$4:$D$2003,$B90,包装物料出入库明细!$E$4:$E$2003,_自动清单!$G$17,包装物料出入库明细!$B$4:$B$2003,"&gt;="&amp;$AF$1,包装物料出入库明细!$B$4:$B$2003,"&lt;="&amp;$AF$2))</f>
        <v/>
      </c>
      <c r="Q90" s="25" t="str">
        <f>IF(OR($B90="",_自动清单!$G$18=""),"",SUMIFS(包装物料出入库明细!$J$4:$J$2003,包装物料出入库明细!$D$4:$D$2003,$B90,包装物料出入库明细!$E$4:$E$2003,_自动清单!$G$18,包装物料出入库明细!$B$4:$B$2003,"&gt;="&amp;$AF$1,包装物料出入库明细!$B$4:$B$2003,"&lt;="&amp;$AF$2))</f>
        <v/>
      </c>
      <c r="R90" s="25" t="str">
        <f>IF(OR($B90="",_自动清单!$G$19=""),"",SUMIFS(包装物料出入库明细!$J$4:$J$2003,包装物料出入库明细!$D$4:$D$2003,$B90,包装物料出入库明细!$E$4:$E$2003,_自动清单!$G$19,包装物料出入库明细!$B$4:$B$2003,"&gt;="&amp;$AF$1,包装物料出入库明细!$B$4:$B$2003,"&lt;="&amp;$AF$2))</f>
        <v/>
      </c>
      <c r="S90" s="25" t="str">
        <f>IF(OR($B90="",_自动清单!$G$20=""),"",SUMIFS(包装物料出入库明细!$J$4:$J$2003,包装物料出入库明细!$D$4:$D$2003,$B90,包装物料出入库明细!$E$4:$E$2003,_自动清单!$G$20,包装物料出入库明细!$B$4:$B$2003,"&gt;="&amp;$AF$1,包装物料出入库明细!$B$4:$B$2003,"&lt;="&amp;$AF$2))</f>
        <v/>
      </c>
      <c r="T90" s="25" t="str">
        <f>IF(OR($B90="",_自动清单!$G$21=""),"",SUMIFS(包装物料出入库明细!$J$4:$J$2003,包装物料出入库明细!$D$4:$D$2003,$B90,包装物料出入库明细!$E$4:$E$2003,_自动清单!$G$21,包装物料出入库明细!$B$4:$B$2003,"&gt;="&amp;$AF$1,包装物料出入库明细!$B$4:$B$2003,"&lt;="&amp;$AF$2))</f>
        <v/>
      </c>
      <c r="U90" s="25" t="str">
        <f>IF($B90="","",SUMIFS(包装物料出入库明细!$J$4:$J$2003,包装物料出入库明细!$D$4:$D$2003,$B90,包装物料出入库明细!$B$4:$B$2003,"&gt;="&amp;$AF$1,包装物料出入库明细!$B$4:$B$2003,"&lt;="&amp;$AF$2)-SUM($C90:$T90))</f>
        <v/>
      </c>
      <c r="V90" s="25" t="str">
        <f t="shared" si="5"/>
        <v/>
      </c>
      <c r="W90" s="56" t="str">
        <f>IF($B90="","",SUMIFS(包装物料出入库明细!$K$4:$K$2003,包装物料出入库明细!$D$4:$D$2003,$B90,包装物料出入库明细!$B$4:$B$2003,"&gt;="&amp;$AF$1,包装物料出入库明细!$B$4:$B$2003,"&lt;="&amp;$AF$2))</f>
        <v/>
      </c>
      <c r="X90" s="25" t="str">
        <f t="shared" si="6"/>
        <v/>
      </c>
      <c r="Y90" s="26" t="str">
        <f>IF($B90="","",ROUND(SUMIFS(包装物料出入库明细!$N$4:$N$2003,包装物料出入库明细!$D$4:$D$2003,$B90,包装物料出入库明细!$H$4:$H$2003,"销售出库",包装物料出入库明细!$B$4:$B$2003,"&gt;="&amp;$AF$1,包装物料出入库明细!$B$4:$B$2003,"&lt;="&amp;$AF$2),2))</f>
        <v/>
      </c>
      <c r="Z90" s="26" t="str">
        <f>IF($B90="","",ROUND(SUMIFS(包装物料出入库明细!$N$4:$N$2003,包装物料出入库明细!$D$4:$D$2003,$B90,包装物料出入库明细!$H$4:$H$2003,"销售出库",包装物料出入库明细!$P$4:$P$2003,"已收讫",包装物料出入库明细!$B$4:$B$2003,"&gt;="&amp;$AF$1,包装物料出入库明细!$B$4:$B$2003,"&lt;="&amp;$AF$2),2))</f>
        <v/>
      </c>
      <c r="AA90" s="26" t="str">
        <f t="shared" si="7"/>
        <v/>
      </c>
      <c r="AB90" s="41"/>
    </row>
    <row r="91" spans="1:28">
      <c r="A91" s="24" t="str">
        <f t="shared" si="4"/>
        <v/>
      </c>
      <c r="B91" s="24" t="str">
        <f>IFERROR(INDEX(_自动清单!$O$4:$O$203,ROW()-3),"")</f>
        <v/>
      </c>
      <c r="C91" s="25" t="str">
        <f>IF(OR($B91="",_自动清单!$G$4=""),"",SUMIFS(包装物料出入库明细!$J$4:$J$2003,包装物料出入库明细!$D$4:$D$2003,$B91,包装物料出入库明细!$E$4:$E$2003,_自动清单!$G$4,包装物料出入库明细!$B$4:$B$2003,"&gt;="&amp;$AF$1,包装物料出入库明细!$B$4:$B$2003,"&lt;="&amp;$AF$2))</f>
        <v/>
      </c>
      <c r="D91" s="25" t="str">
        <f>IF(OR($B91="",_自动清单!$G$5=""),"",SUMIFS(包装物料出入库明细!$J$4:$J$2003,包装物料出入库明细!$D$4:$D$2003,$B91,包装物料出入库明细!$E$4:$E$2003,_自动清单!$G$5,包装物料出入库明细!$B$4:$B$2003,"&gt;="&amp;$AF$1,包装物料出入库明细!$B$4:$B$2003,"&lt;="&amp;$AF$2))</f>
        <v/>
      </c>
      <c r="E91" s="25" t="str">
        <f>IF(OR($B91="",_自动清单!$G$6=""),"",SUMIFS(包装物料出入库明细!$J$4:$J$2003,包装物料出入库明细!$D$4:$D$2003,$B91,包装物料出入库明细!$E$4:$E$2003,_自动清单!$G$6,包装物料出入库明细!$B$4:$B$2003,"&gt;="&amp;$AF$1,包装物料出入库明细!$B$4:$B$2003,"&lt;="&amp;$AF$2))</f>
        <v/>
      </c>
      <c r="F91" s="25" t="str">
        <f>IF(OR($B91="",_自动清单!$G$7=""),"",SUMIFS(包装物料出入库明细!$J$4:$J$2003,包装物料出入库明细!$D$4:$D$2003,$B91,包装物料出入库明细!$E$4:$E$2003,_自动清单!$G$7,包装物料出入库明细!$B$4:$B$2003,"&gt;="&amp;$AF$1,包装物料出入库明细!$B$4:$B$2003,"&lt;="&amp;$AF$2))</f>
        <v/>
      </c>
      <c r="G91" s="25" t="str">
        <f>IF(OR($B91="",_自动清单!$G$8=""),"",SUMIFS(包装物料出入库明细!$J$4:$J$2003,包装物料出入库明细!$D$4:$D$2003,$B91,包装物料出入库明细!$E$4:$E$2003,_自动清单!$G$8,包装物料出入库明细!$B$4:$B$2003,"&gt;="&amp;$AF$1,包装物料出入库明细!$B$4:$B$2003,"&lt;="&amp;$AF$2))</f>
        <v/>
      </c>
      <c r="H91" s="25" t="str">
        <f>IF(OR($B91="",_自动清单!$G$9=""),"",SUMIFS(包装物料出入库明细!$J$4:$J$2003,包装物料出入库明细!$D$4:$D$2003,$B91,包装物料出入库明细!$E$4:$E$2003,_自动清单!$G$9,包装物料出入库明细!$B$4:$B$2003,"&gt;="&amp;$AF$1,包装物料出入库明细!$B$4:$B$2003,"&lt;="&amp;$AF$2))</f>
        <v/>
      </c>
      <c r="I91" s="25" t="str">
        <f>IF(OR($B91="",_自动清单!$G$10=""),"",SUMIFS(包装物料出入库明细!$J$4:$J$2003,包装物料出入库明细!$D$4:$D$2003,$B91,包装物料出入库明细!$E$4:$E$2003,_自动清单!$G$10,包装物料出入库明细!$B$4:$B$2003,"&gt;="&amp;$AF$1,包装物料出入库明细!$B$4:$B$2003,"&lt;="&amp;$AF$2))</f>
        <v/>
      </c>
      <c r="J91" s="25" t="str">
        <f>IF(OR($B91="",_自动清单!$G$11=""),"",SUMIFS(包装物料出入库明细!$J$4:$J$2003,包装物料出入库明细!$D$4:$D$2003,$B91,包装物料出入库明细!$E$4:$E$2003,_自动清单!$G$11,包装物料出入库明细!$B$4:$B$2003,"&gt;="&amp;$AF$1,包装物料出入库明细!$B$4:$B$2003,"&lt;="&amp;$AF$2))</f>
        <v/>
      </c>
      <c r="K91" s="25" t="str">
        <f>IF(OR($B91="",_自动清单!$G$12=""),"",SUMIFS(包装物料出入库明细!$J$4:$J$2003,包装物料出入库明细!$D$4:$D$2003,$B91,包装物料出入库明细!$E$4:$E$2003,_自动清单!$G$12,包装物料出入库明细!$B$4:$B$2003,"&gt;="&amp;$AF$1,包装物料出入库明细!$B$4:$B$2003,"&lt;="&amp;$AF$2))</f>
        <v/>
      </c>
      <c r="L91" s="25" t="str">
        <f>IF(OR($B91="",_自动清单!$G$13=""),"",SUMIFS(包装物料出入库明细!$J$4:$J$2003,包装物料出入库明细!$D$4:$D$2003,$B91,包装物料出入库明细!$E$4:$E$2003,_自动清单!$G$13,包装物料出入库明细!$B$4:$B$2003,"&gt;="&amp;$AF$1,包装物料出入库明细!$B$4:$B$2003,"&lt;="&amp;$AF$2))</f>
        <v/>
      </c>
      <c r="M91" s="25" t="str">
        <f>IF(OR($B91="",_自动清单!$G$14=""),"",SUMIFS(包装物料出入库明细!$J$4:$J$2003,包装物料出入库明细!$D$4:$D$2003,$B91,包装物料出入库明细!$E$4:$E$2003,_自动清单!$G$14,包装物料出入库明细!$B$4:$B$2003,"&gt;="&amp;$AF$1,包装物料出入库明细!$B$4:$B$2003,"&lt;="&amp;$AF$2))</f>
        <v/>
      </c>
      <c r="N91" s="25" t="str">
        <f>IF(OR($B91="",_自动清单!$G$15=""),"",SUMIFS(包装物料出入库明细!$J$4:$J$2003,包装物料出入库明细!$D$4:$D$2003,$B91,包装物料出入库明细!$E$4:$E$2003,_自动清单!$G$15,包装物料出入库明细!$B$4:$B$2003,"&gt;="&amp;$AF$1,包装物料出入库明细!$B$4:$B$2003,"&lt;="&amp;$AF$2))</f>
        <v/>
      </c>
      <c r="O91" s="25" t="str">
        <f>IF(OR($B91="",_自动清单!$G$16=""),"",SUMIFS(包装物料出入库明细!$J$4:$J$2003,包装物料出入库明细!$D$4:$D$2003,$B91,包装物料出入库明细!$E$4:$E$2003,_自动清单!$G$16,包装物料出入库明细!$B$4:$B$2003,"&gt;="&amp;$AF$1,包装物料出入库明细!$B$4:$B$2003,"&lt;="&amp;$AF$2))</f>
        <v/>
      </c>
      <c r="P91" s="25" t="str">
        <f>IF(OR($B91="",_自动清单!$G$17=""),"",SUMIFS(包装物料出入库明细!$J$4:$J$2003,包装物料出入库明细!$D$4:$D$2003,$B91,包装物料出入库明细!$E$4:$E$2003,_自动清单!$G$17,包装物料出入库明细!$B$4:$B$2003,"&gt;="&amp;$AF$1,包装物料出入库明细!$B$4:$B$2003,"&lt;="&amp;$AF$2))</f>
        <v/>
      </c>
      <c r="Q91" s="25" t="str">
        <f>IF(OR($B91="",_自动清单!$G$18=""),"",SUMIFS(包装物料出入库明细!$J$4:$J$2003,包装物料出入库明细!$D$4:$D$2003,$B91,包装物料出入库明细!$E$4:$E$2003,_自动清单!$G$18,包装物料出入库明细!$B$4:$B$2003,"&gt;="&amp;$AF$1,包装物料出入库明细!$B$4:$B$2003,"&lt;="&amp;$AF$2))</f>
        <v/>
      </c>
      <c r="R91" s="25" t="str">
        <f>IF(OR($B91="",_自动清单!$G$19=""),"",SUMIFS(包装物料出入库明细!$J$4:$J$2003,包装物料出入库明细!$D$4:$D$2003,$B91,包装物料出入库明细!$E$4:$E$2003,_自动清单!$G$19,包装物料出入库明细!$B$4:$B$2003,"&gt;="&amp;$AF$1,包装物料出入库明细!$B$4:$B$2003,"&lt;="&amp;$AF$2))</f>
        <v/>
      </c>
      <c r="S91" s="25" t="str">
        <f>IF(OR($B91="",_自动清单!$G$20=""),"",SUMIFS(包装物料出入库明细!$J$4:$J$2003,包装物料出入库明细!$D$4:$D$2003,$B91,包装物料出入库明细!$E$4:$E$2003,_自动清单!$G$20,包装物料出入库明细!$B$4:$B$2003,"&gt;="&amp;$AF$1,包装物料出入库明细!$B$4:$B$2003,"&lt;="&amp;$AF$2))</f>
        <v/>
      </c>
      <c r="T91" s="25" t="str">
        <f>IF(OR($B91="",_自动清单!$G$21=""),"",SUMIFS(包装物料出入库明细!$J$4:$J$2003,包装物料出入库明细!$D$4:$D$2003,$B91,包装物料出入库明细!$E$4:$E$2003,_自动清单!$G$21,包装物料出入库明细!$B$4:$B$2003,"&gt;="&amp;$AF$1,包装物料出入库明细!$B$4:$B$2003,"&lt;="&amp;$AF$2))</f>
        <v/>
      </c>
      <c r="U91" s="25" t="str">
        <f>IF($B91="","",SUMIFS(包装物料出入库明细!$J$4:$J$2003,包装物料出入库明细!$D$4:$D$2003,$B91,包装物料出入库明细!$B$4:$B$2003,"&gt;="&amp;$AF$1,包装物料出入库明细!$B$4:$B$2003,"&lt;="&amp;$AF$2)-SUM($C91:$T91))</f>
        <v/>
      </c>
      <c r="V91" s="25" t="str">
        <f t="shared" si="5"/>
        <v/>
      </c>
      <c r="W91" s="56" t="str">
        <f>IF($B91="","",SUMIFS(包装物料出入库明细!$K$4:$K$2003,包装物料出入库明细!$D$4:$D$2003,$B91,包装物料出入库明细!$B$4:$B$2003,"&gt;="&amp;$AF$1,包装物料出入库明细!$B$4:$B$2003,"&lt;="&amp;$AF$2))</f>
        <v/>
      </c>
      <c r="X91" s="25" t="str">
        <f t="shared" si="6"/>
        <v/>
      </c>
      <c r="Y91" s="26" t="str">
        <f>IF($B91="","",ROUND(SUMIFS(包装物料出入库明细!$N$4:$N$2003,包装物料出入库明细!$D$4:$D$2003,$B91,包装物料出入库明细!$H$4:$H$2003,"销售出库",包装物料出入库明细!$B$4:$B$2003,"&gt;="&amp;$AF$1,包装物料出入库明细!$B$4:$B$2003,"&lt;="&amp;$AF$2),2))</f>
        <v/>
      </c>
      <c r="Z91" s="26" t="str">
        <f>IF($B91="","",ROUND(SUMIFS(包装物料出入库明细!$N$4:$N$2003,包装物料出入库明细!$D$4:$D$2003,$B91,包装物料出入库明细!$H$4:$H$2003,"销售出库",包装物料出入库明细!$P$4:$P$2003,"已收讫",包装物料出入库明细!$B$4:$B$2003,"&gt;="&amp;$AF$1,包装物料出入库明细!$B$4:$B$2003,"&lt;="&amp;$AF$2),2))</f>
        <v/>
      </c>
      <c r="AA91" s="26" t="str">
        <f t="shared" si="7"/>
        <v/>
      </c>
      <c r="AB91" s="41"/>
    </row>
    <row r="92" spans="1:28">
      <c r="A92" s="24" t="str">
        <f t="shared" si="4"/>
        <v/>
      </c>
      <c r="B92" s="24" t="str">
        <f>IFERROR(INDEX(_自动清单!$O$4:$O$203,ROW()-3),"")</f>
        <v/>
      </c>
      <c r="C92" s="25" t="str">
        <f>IF(OR($B92="",_自动清单!$G$4=""),"",SUMIFS(包装物料出入库明细!$J$4:$J$2003,包装物料出入库明细!$D$4:$D$2003,$B92,包装物料出入库明细!$E$4:$E$2003,_自动清单!$G$4,包装物料出入库明细!$B$4:$B$2003,"&gt;="&amp;$AF$1,包装物料出入库明细!$B$4:$B$2003,"&lt;="&amp;$AF$2))</f>
        <v/>
      </c>
      <c r="D92" s="25" t="str">
        <f>IF(OR($B92="",_自动清单!$G$5=""),"",SUMIFS(包装物料出入库明细!$J$4:$J$2003,包装物料出入库明细!$D$4:$D$2003,$B92,包装物料出入库明细!$E$4:$E$2003,_自动清单!$G$5,包装物料出入库明细!$B$4:$B$2003,"&gt;="&amp;$AF$1,包装物料出入库明细!$B$4:$B$2003,"&lt;="&amp;$AF$2))</f>
        <v/>
      </c>
      <c r="E92" s="25" t="str">
        <f>IF(OR($B92="",_自动清单!$G$6=""),"",SUMIFS(包装物料出入库明细!$J$4:$J$2003,包装物料出入库明细!$D$4:$D$2003,$B92,包装物料出入库明细!$E$4:$E$2003,_自动清单!$G$6,包装物料出入库明细!$B$4:$B$2003,"&gt;="&amp;$AF$1,包装物料出入库明细!$B$4:$B$2003,"&lt;="&amp;$AF$2))</f>
        <v/>
      </c>
      <c r="F92" s="25" t="str">
        <f>IF(OR($B92="",_自动清单!$G$7=""),"",SUMIFS(包装物料出入库明细!$J$4:$J$2003,包装物料出入库明细!$D$4:$D$2003,$B92,包装物料出入库明细!$E$4:$E$2003,_自动清单!$G$7,包装物料出入库明细!$B$4:$B$2003,"&gt;="&amp;$AF$1,包装物料出入库明细!$B$4:$B$2003,"&lt;="&amp;$AF$2))</f>
        <v/>
      </c>
      <c r="G92" s="25" t="str">
        <f>IF(OR($B92="",_自动清单!$G$8=""),"",SUMIFS(包装物料出入库明细!$J$4:$J$2003,包装物料出入库明细!$D$4:$D$2003,$B92,包装物料出入库明细!$E$4:$E$2003,_自动清单!$G$8,包装物料出入库明细!$B$4:$B$2003,"&gt;="&amp;$AF$1,包装物料出入库明细!$B$4:$B$2003,"&lt;="&amp;$AF$2))</f>
        <v/>
      </c>
      <c r="H92" s="25" t="str">
        <f>IF(OR($B92="",_自动清单!$G$9=""),"",SUMIFS(包装物料出入库明细!$J$4:$J$2003,包装物料出入库明细!$D$4:$D$2003,$B92,包装物料出入库明细!$E$4:$E$2003,_自动清单!$G$9,包装物料出入库明细!$B$4:$B$2003,"&gt;="&amp;$AF$1,包装物料出入库明细!$B$4:$B$2003,"&lt;="&amp;$AF$2))</f>
        <v/>
      </c>
      <c r="I92" s="25" t="str">
        <f>IF(OR($B92="",_自动清单!$G$10=""),"",SUMIFS(包装物料出入库明细!$J$4:$J$2003,包装物料出入库明细!$D$4:$D$2003,$B92,包装物料出入库明细!$E$4:$E$2003,_自动清单!$G$10,包装物料出入库明细!$B$4:$B$2003,"&gt;="&amp;$AF$1,包装物料出入库明细!$B$4:$B$2003,"&lt;="&amp;$AF$2))</f>
        <v/>
      </c>
      <c r="J92" s="25" t="str">
        <f>IF(OR($B92="",_自动清单!$G$11=""),"",SUMIFS(包装物料出入库明细!$J$4:$J$2003,包装物料出入库明细!$D$4:$D$2003,$B92,包装物料出入库明细!$E$4:$E$2003,_自动清单!$G$11,包装物料出入库明细!$B$4:$B$2003,"&gt;="&amp;$AF$1,包装物料出入库明细!$B$4:$B$2003,"&lt;="&amp;$AF$2))</f>
        <v/>
      </c>
      <c r="K92" s="25" t="str">
        <f>IF(OR($B92="",_自动清单!$G$12=""),"",SUMIFS(包装物料出入库明细!$J$4:$J$2003,包装物料出入库明细!$D$4:$D$2003,$B92,包装物料出入库明细!$E$4:$E$2003,_自动清单!$G$12,包装物料出入库明细!$B$4:$B$2003,"&gt;="&amp;$AF$1,包装物料出入库明细!$B$4:$B$2003,"&lt;="&amp;$AF$2))</f>
        <v/>
      </c>
      <c r="L92" s="25" t="str">
        <f>IF(OR($B92="",_自动清单!$G$13=""),"",SUMIFS(包装物料出入库明细!$J$4:$J$2003,包装物料出入库明细!$D$4:$D$2003,$B92,包装物料出入库明细!$E$4:$E$2003,_自动清单!$G$13,包装物料出入库明细!$B$4:$B$2003,"&gt;="&amp;$AF$1,包装物料出入库明细!$B$4:$B$2003,"&lt;="&amp;$AF$2))</f>
        <v/>
      </c>
      <c r="M92" s="25" t="str">
        <f>IF(OR($B92="",_自动清单!$G$14=""),"",SUMIFS(包装物料出入库明细!$J$4:$J$2003,包装物料出入库明细!$D$4:$D$2003,$B92,包装物料出入库明细!$E$4:$E$2003,_自动清单!$G$14,包装物料出入库明细!$B$4:$B$2003,"&gt;="&amp;$AF$1,包装物料出入库明细!$B$4:$B$2003,"&lt;="&amp;$AF$2))</f>
        <v/>
      </c>
      <c r="N92" s="25" t="str">
        <f>IF(OR($B92="",_自动清单!$G$15=""),"",SUMIFS(包装物料出入库明细!$J$4:$J$2003,包装物料出入库明细!$D$4:$D$2003,$B92,包装物料出入库明细!$E$4:$E$2003,_自动清单!$G$15,包装物料出入库明细!$B$4:$B$2003,"&gt;="&amp;$AF$1,包装物料出入库明细!$B$4:$B$2003,"&lt;="&amp;$AF$2))</f>
        <v/>
      </c>
      <c r="O92" s="25" t="str">
        <f>IF(OR($B92="",_自动清单!$G$16=""),"",SUMIFS(包装物料出入库明细!$J$4:$J$2003,包装物料出入库明细!$D$4:$D$2003,$B92,包装物料出入库明细!$E$4:$E$2003,_自动清单!$G$16,包装物料出入库明细!$B$4:$B$2003,"&gt;="&amp;$AF$1,包装物料出入库明细!$B$4:$B$2003,"&lt;="&amp;$AF$2))</f>
        <v/>
      </c>
      <c r="P92" s="25" t="str">
        <f>IF(OR($B92="",_自动清单!$G$17=""),"",SUMIFS(包装物料出入库明细!$J$4:$J$2003,包装物料出入库明细!$D$4:$D$2003,$B92,包装物料出入库明细!$E$4:$E$2003,_自动清单!$G$17,包装物料出入库明细!$B$4:$B$2003,"&gt;="&amp;$AF$1,包装物料出入库明细!$B$4:$B$2003,"&lt;="&amp;$AF$2))</f>
        <v/>
      </c>
      <c r="Q92" s="25" t="str">
        <f>IF(OR($B92="",_自动清单!$G$18=""),"",SUMIFS(包装物料出入库明细!$J$4:$J$2003,包装物料出入库明细!$D$4:$D$2003,$B92,包装物料出入库明细!$E$4:$E$2003,_自动清单!$G$18,包装物料出入库明细!$B$4:$B$2003,"&gt;="&amp;$AF$1,包装物料出入库明细!$B$4:$B$2003,"&lt;="&amp;$AF$2))</f>
        <v/>
      </c>
      <c r="R92" s="25" t="str">
        <f>IF(OR($B92="",_自动清单!$G$19=""),"",SUMIFS(包装物料出入库明细!$J$4:$J$2003,包装物料出入库明细!$D$4:$D$2003,$B92,包装物料出入库明细!$E$4:$E$2003,_自动清单!$G$19,包装物料出入库明细!$B$4:$B$2003,"&gt;="&amp;$AF$1,包装物料出入库明细!$B$4:$B$2003,"&lt;="&amp;$AF$2))</f>
        <v/>
      </c>
      <c r="S92" s="25" t="str">
        <f>IF(OR($B92="",_自动清单!$G$20=""),"",SUMIFS(包装物料出入库明细!$J$4:$J$2003,包装物料出入库明细!$D$4:$D$2003,$B92,包装物料出入库明细!$E$4:$E$2003,_自动清单!$G$20,包装物料出入库明细!$B$4:$B$2003,"&gt;="&amp;$AF$1,包装物料出入库明细!$B$4:$B$2003,"&lt;="&amp;$AF$2))</f>
        <v/>
      </c>
      <c r="T92" s="25" t="str">
        <f>IF(OR($B92="",_自动清单!$G$21=""),"",SUMIFS(包装物料出入库明细!$J$4:$J$2003,包装物料出入库明细!$D$4:$D$2003,$B92,包装物料出入库明细!$E$4:$E$2003,_自动清单!$G$21,包装物料出入库明细!$B$4:$B$2003,"&gt;="&amp;$AF$1,包装物料出入库明细!$B$4:$B$2003,"&lt;="&amp;$AF$2))</f>
        <v/>
      </c>
      <c r="U92" s="25" t="str">
        <f>IF($B92="","",SUMIFS(包装物料出入库明细!$J$4:$J$2003,包装物料出入库明细!$D$4:$D$2003,$B92,包装物料出入库明细!$B$4:$B$2003,"&gt;="&amp;$AF$1,包装物料出入库明细!$B$4:$B$2003,"&lt;="&amp;$AF$2)-SUM($C92:$T92))</f>
        <v/>
      </c>
      <c r="V92" s="25" t="str">
        <f t="shared" si="5"/>
        <v/>
      </c>
      <c r="W92" s="56" t="str">
        <f>IF($B92="","",SUMIFS(包装物料出入库明细!$K$4:$K$2003,包装物料出入库明细!$D$4:$D$2003,$B92,包装物料出入库明细!$B$4:$B$2003,"&gt;="&amp;$AF$1,包装物料出入库明细!$B$4:$B$2003,"&lt;="&amp;$AF$2))</f>
        <v/>
      </c>
      <c r="X92" s="25" t="str">
        <f t="shared" si="6"/>
        <v/>
      </c>
      <c r="Y92" s="26" t="str">
        <f>IF($B92="","",ROUND(SUMIFS(包装物料出入库明细!$N$4:$N$2003,包装物料出入库明细!$D$4:$D$2003,$B92,包装物料出入库明细!$H$4:$H$2003,"销售出库",包装物料出入库明细!$B$4:$B$2003,"&gt;="&amp;$AF$1,包装物料出入库明细!$B$4:$B$2003,"&lt;="&amp;$AF$2),2))</f>
        <v/>
      </c>
      <c r="Z92" s="26" t="str">
        <f>IF($B92="","",ROUND(SUMIFS(包装物料出入库明细!$N$4:$N$2003,包装物料出入库明细!$D$4:$D$2003,$B92,包装物料出入库明细!$H$4:$H$2003,"销售出库",包装物料出入库明细!$P$4:$P$2003,"已收讫",包装物料出入库明细!$B$4:$B$2003,"&gt;="&amp;$AF$1,包装物料出入库明细!$B$4:$B$2003,"&lt;="&amp;$AF$2),2))</f>
        <v/>
      </c>
      <c r="AA92" s="26" t="str">
        <f t="shared" si="7"/>
        <v/>
      </c>
      <c r="AB92" s="41"/>
    </row>
    <row r="93" spans="1:28">
      <c r="A93" s="24" t="str">
        <f t="shared" si="4"/>
        <v/>
      </c>
      <c r="B93" s="24" t="str">
        <f>IFERROR(INDEX(_自动清单!$O$4:$O$203,ROW()-3),"")</f>
        <v/>
      </c>
      <c r="C93" s="25" t="str">
        <f>IF(OR($B93="",_自动清单!$G$4=""),"",SUMIFS(包装物料出入库明细!$J$4:$J$2003,包装物料出入库明细!$D$4:$D$2003,$B93,包装物料出入库明细!$E$4:$E$2003,_自动清单!$G$4,包装物料出入库明细!$B$4:$B$2003,"&gt;="&amp;$AF$1,包装物料出入库明细!$B$4:$B$2003,"&lt;="&amp;$AF$2))</f>
        <v/>
      </c>
      <c r="D93" s="25" t="str">
        <f>IF(OR($B93="",_自动清单!$G$5=""),"",SUMIFS(包装物料出入库明细!$J$4:$J$2003,包装物料出入库明细!$D$4:$D$2003,$B93,包装物料出入库明细!$E$4:$E$2003,_自动清单!$G$5,包装物料出入库明细!$B$4:$B$2003,"&gt;="&amp;$AF$1,包装物料出入库明细!$B$4:$B$2003,"&lt;="&amp;$AF$2))</f>
        <v/>
      </c>
      <c r="E93" s="25" t="str">
        <f>IF(OR($B93="",_自动清单!$G$6=""),"",SUMIFS(包装物料出入库明细!$J$4:$J$2003,包装物料出入库明细!$D$4:$D$2003,$B93,包装物料出入库明细!$E$4:$E$2003,_自动清单!$G$6,包装物料出入库明细!$B$4:$B$2003,"&gt;="&amp;$AF$1,包装物料出入库明细!$B$4:$B$2003,"&lt;="&amp;$AF$2))</f>
        <v/>
      </c>
      <c r="F93" s="25" t="str">
        <f>IF(OR($B93="",_自动清单!$G$7=""),"",SUMIFS(包装物料出入库明细!$J$4:$J$2003,包装物料出入库明细!$D$4:$D$2003,$B93,包装物料出入库明细!$E$4:$E$2003,_自动清单!$G$7,包装物料出入库明细!$B$4:$B$2003,"&gt;="&amp;$AF$1,包装物料出入库明细!$B$4:$B$2003,"&lt;="&amp;$AF$2))</f>
        <v/>
      </c>
      <c r="G93" s="25" t="str">
        <f>IF(OR($B93="",_自动清单!$G$8=""),"",SUMIFS(包装物料出入库明细!$J$4:$J$2003,包装物料出入库明细!$D$4:$D$2003,$B93,包装物料出入库明细!$E$4:$E$2003,_自动清单!$G$8,包装物料出入库明细!$B$4:$B$2003,"&gt;="&amp;$AF$1,包装物料出入库明细!$B$4:$B$2003,"&lt;="&amp;$AF$2))</f>
        <v/>
      </c>
      <c r="H93" s="25" t="str">
        <f>IF(OR($B93="",_自动清单!$G$9=""),"",SUMIFS(包装物料出入库明细!$J$4:$J$2003,包装物料出入库明细!$D$4:$D$2003,$B93,包装物料出入库明细!$E$4:$E$2003,_自动清单!$G$9,包装物料出入库明细!$B$4:$B$2003,"&gt;="&amp;$AF$1,包装物料出入库明细!$B$4:$B$2003,"&lt;="&amp;$AF$2))</f>
        <v/>
      </c>
      <c r="I93" s="25" t="str">
        <f>IF(OR($B93="",_自动清单!$G$10=""),"",SUMIFS(包装物料出入库明细!$J$4:$J$2003,包装物料出入库明细!$D$4:$D$2003,$B93,包装物料出入库明细!$E$4:$E$2003,_自动清单!$G$10,包装物料出入库明细!$B$4:$B$2003,"&gt;="&amp;$AF$1,包装物料出入库明细!$B$4:$B$2003,"&lt;="&amp;$AF$2))</f>
        <v/>
      </c>
      <c r="J93" s="25" t="str">
        <f>IF(OR($B93="",_自动清单!$G$11=""),"",SUMIFS(包装物料出入库明细!$J$4:$J$2003,包装物料出入库明细!$D$4:$D$2003,$B93,包装物料出入库明细!$E$4:$E$2003,_自动清单!$G$11,包装物料出入库明细!$B$4:$B$2003,"&gt;="&amp;$AF$1,包装物料出入库明细!$B$4:$B$2003,"&lt;="&amp;$AF$2))</f>
        <v/>
      </c>
      <c r="K93" s="25" t="str">
        <f>IF(OR($B93="",_自动清单!$G$12=""),"",SUMIFS(包装物料出入库明细!$J$4:$J$2003,包装物料出入库明细!$D$4:$D$2003,$B93,包装物料出入库明细!$E$4:$E$2003,_自动清单!$G$12,包装物料出入库明细!$B$4:$B$2003,"&gt;="&amp;$AF$1,包装物料出入库明细!$B$4:$B$2003,"&lt;="&amp;$AF$2))</f>
        <v/>
      </c>
      <c r="L93" s="25" t="str">
        <f>IF(OR($B93="",_自动清单!$G$13=""),"",SUMIFS(包装物料出入库明细!$J$4:$J$2003,包装物料出入库明细!$D$4:$D$2003,$B93,包装物料出入库明细!$E$4:$E$2003,_自动清单!$G$13,包装物料出入库明细!$B$4:$B$2003,"&gt;="&amp;$AF$1,包装物料出入库明细!$B$4:$B$2003,"&lt;="&amp;$AF$2))</f>
        <v/>
      </c>
      <c r="M93" s="25" t="str">
        <f>IF(OR($B93="",_自动清单!$G$14=""),"",SUMIFS(包装物料出入库明细!$J$4:$J$2003,包装物料出入库明细!$D$4:$D$2003,$B93,包装物料出入库明细!$E$4:$E$2003,_自动清单!$G$14,包装物料出入库明细!$B$4:$B$2003,"&gt;="&amp;$AF$1,包装物料出入库明细!$B$4:$B$2003,"&lt;="&amp;$AF$2))</f>
        <v/>
      </c>
      <c r="N93" s="25" t="str">
        <f>IF(OR($B93="",_自动清单!$G$15=""),"",SUMIFS(包装物料出入库明细!$J$4:$J$2003,包装物料出入库明细!$D$4:$D$2003,$B93,包装物料出入库明细!$E$4:$E$2003,_自动清单!$G$15,包装物料出入库明细!$B$4:$B$2003,"&gt;="&amp;$AF$1,包装物料出入库明细!$B$4:$B$2003,"&lt;="&amp;$AF$2))</f>
        <v/>
      </c>
      <c r="O93" s="25" t="str">
        <f>IF(OR($B93="",_自动清单!$G$16=""),"",SUMIFS(包装物料出入库明细!$J$4:$J$2003,包装物料出入库明细!$D$4:$D$2003,$B93,包装物料出入库明细!$E$4:$E$2003,_自动清单!$G$16,包装物料出入库明细!$B$4:$B$2003,"&gt;="&amp;$AF$1,包装物料出入库明细!$B$4:$B$2003,"&lt;="&amp;$AF$2))</f>
        <v/>
      </c>
      <c r="P93" s="25" t="str">
        <f>IF(OR($B93="",_自动清单!$G$17=""),"",SUMIFS(包装物料出入库明细!$J$4:$J$2003,包装物料出入库明细!$D$4:$D$2003,$B93,包装物料出入库明细!$E$4:$E$2003,_自动清单!$G$17,包装物料出入库明细!$B$4:$B$2003,"&gt;="&amp;$AF$1,包装物料出入库明细!$B$4:$B$2003,"&lt;="&amp;$AF$2))</f>
        <v/>
      </c>
      <c r="Q93" s="25" t="str">
        <f>IF(OR($B93="",_自动清单!$G$18=""),"",SUMIFS(包装物料出入库明细!$J$4:$J$2003,包装物料出入库明细!$D$4:$D$2003,$B93,包装物料出入库明细!$E$4:$E$2003,_自动清单!$G$18,包装物料出入库明细!$B$4:$B$2003,"&gt;="&amp;$AF$1,包装物料出入库明细!$B$4:$B$2003,"&lt;="&amp;$AF$2))</f>
        <v/>
      </c>
      <c r="R93" s="25" t="str">
        <f>IF(OR($B93="",_自动清单!$G$19=""),"",SUMIFS(包装物料出入库明细!$J$4:$J$2003,包装物料出入库明细!$D$4:$D$2003,$B93,包装物料出入库明细!$E$4:$E$2003,_自动清单!$G$19,包装物料出入库明细!$B$4:$B$2003,"&gt;="&amp;$AF$1,包装物料出入库明细!$B$4:$B$2003,"&lt;="&amp;$AF$2))</f>
        <v/>
      </c>
      <c r="S93" s="25" t="str">
        <f>IF(OR($B93="",_自动清单!$G$20=""),"",SUMIFS(包装物料出入库明细!$J$4:$J$2003,包装物料出入库明细!$D$4:$D$2003,$B93,包装物料出入库明细!$E$4:$E$2003,_自动清单!$G$20,包装物料出入库明细!$B$4:$B$2003,"&gt;="&amp;$AF$1,包装物料出入库明细!$B$4:$B$2003,"&lt;="&amp;$AF$2))</f>
        <v/>
      </c>
      <c r="T93" s="25" t="str">
        <f>IF(OR($B93="",_自动清单!$G$21=""),"",SUMIFS(包装物料出入库明细!$J$4:$J$2003,包装物料出入库明细!$D$4:$D$2003,$B93,包装物料出入库明细!$E$4:$E$2003,_自动清单!$G$21,包装物料出入库明细!$B$4:$B$2003,"&gt;="&amp;$AF$1,包装物料出入库明细!$B$4:$B$2003,"&lt;="&amp;$AF$2))</f>
        <v/>
      </c>
      <c r="U93" s="25" t="str">
        <f>IF($B93="","",SUMIFS(包装物料出入库明细!$J$4:$J$2003,包装物料出入库明细!$D$4:$D$2003,$B93,包装物料出入库明细!$B$4:$B$2003,"&gt;="&amp;$AF$1,包装物料出入库明细!$B$4:$B$2003,"&lt;="&amp;$AF$2)-SUM($C93:$T93))</f>
        <v/>
      </c>
      <c r="V93" s="25" t="str">
        <f t="shared" si="5"/>
        <v/>
      </c>
      <c r="W93" s="56" t="str">
        <f>IF($B93="","",SUMIFS(包装物料出入库明细!$K$4:$K$2003,包装物料出入库明细!$D$4:$D$2003,$B93,包装物料出入库明细!$B$4:$B$2003,"&gt;="&amp;$AF$1,包装物料出入库明细!$B$4:$B$2003,"&lt;="&amp;$AF$2))</f>
        <v/>
      </c>
      <c r="X93" s="25" t="str">
        <f t="shared" si="6"/>
        <v/>
      </c>
      <c r="Y93" s="26" t="str">
        <f>IF($B93="","",ROUND(SUMIFS(包装物料出入库明细!$N$4:$N$2003,包装物料出入库明细!$D$4:$D$2003,$B93,包装物料出入库明细!$H$4:$H$2003,"销售出库",包装物料出入库明细!$B$4:$B$2003,"&gt;="&amp;$AF$1,包装物料出入库明细!$B$4:$B$2003,"&lt;="&amp;$AF$2),2))</f>
        <v/>
      </c>
      <c r="Z93" s="26" t="str">
        <f>IF($B93="","",ROUND(SUMIFS(包装物料出入库明细!$N$4:$N$2003,包装物料出入库明细!$D$4:$D$2003,$B93,包装物料出入库明细!$H$4:$H$2003,"销售出库",包装物料出入库明细!$P$4:$P$2003,"已收讫",包装物料出入库明细!$B$4:$B$2003,"&gt;="&amp;$AF$1,包装物料出入库明细!$B$4:$B$2003,"&lt;="&amp;$AF$2),2))</f>
        <v/>
      </c>
      <c r="AA93" s="26" t="str">
        <f t="shared" si="7"/>
        <v/>
      </c>
      <c r="AB93" s="41"/>
    </row>
    <row r="94" spans="1:28">
      <c r="A94" s="24" t="str">
        <f t="shared" si="4"/>
        <v/>
      </c>
      <c r="B94" s="24" t="str">
        <f>IFERROR(INDEX(_自动清单!$O$4:$O$203,ROW()-3),"")</f>
        <v/>
      </c>
      <c r="C94" s="25" t="str">
        <f>IF(OR($B94="",_自动清单!$G$4=""),"",SUMIFS(包装物料出入库明细!$J$4:$J$2003,包装物料出入库明细!$D$4:$D$2003,$B94,包装物料出入库明细!$E$4:$E$2003,_自动清单!$G$4,包装物料出入库明细!$B$4:$B$2003,"&gt;="&amp;$AF$1,包装物料出入库明细!$B$4:$B$2003,"&lt;="&amp;$AF$2))</f>
        <v/>
      </c>
      <c r="D94" s="25" t="str">
        <f>IF(OR($B94="",_自动清单!$G$5=""),"",SUMIFS(包装物料出入库明细!$J$4:$J$2003,包装物料出入库明细!$D$4:$D$2003,$B94,包装物料出入库明细!$E$4:$E$2003,_自动清单!$G$5,包装物料出入库明细!$B$4:$B$2003,"&gt;="&amp;$AF$1,包装物料出入库明细!$B$4:$B$2003,"&lt;="&amp;$AF$2))</f>
        <v/>
      </c>
      <c r="E94" s="25" t="str">
        <f>IF(OR($B94="",_自动清单!$G$6=""),"",SUMIFS(包装物料出入库明细!$J$4:$J$2003,包装物料出入库明细!$D$4:$D$2003,$B94,包装物料出入库明细!$E$4:$E$2003,_自动清单!$G$6,包装物料出入库明细!$B$4:$B$2003,"&gt;="&amp;$AF$1,包装物料出入库明细!$B$4:$B$2003,"&lt;="&amp;$AF$2))</f>
        <v/>
      </c>
      <c r="F94" s="25" t="str">
        <f>IF(OR($B94="",_自动清单!$G$7=""),"",SUMIFS(包装物料出入库明细!$J$4:$J$2003,包装物料出入库明细!$D$4:$D$2003,$B94,包装物料出入库明细!$E$4:$E$2003,_自动清单!$G$7,包装物料出入库明细!$B$4:$B$2003,"&gt;="&amp;$AF$1,包装物料出入库明细!$B$4:$B$2003,"&lt;="&amp;$AF$2))</f>
        <v/>
      </c>
      <c r="G94" s="25" t="str">
        <f>IF(OR($B94="",_自动清单!$G$8=""),"",SUMIFS(包装物料出入库明细!$J$4:$J$2003,包装物料出入库明细!$D$4:$D$2003,$B94,包装物料出入库明细!$E$4:$E$2003,_自动清单!$G$8,包装物料出入库明细!$B$4:$B$2003,"&gt;="&amp;$AF$1,包装物料出入库明细!$B$4:$B$2003,"&lt;="&amp;$AF$2))</f>
        <v/>
      </c>
      <c r="H94" s="25" t="str">
        <f>IF(OR($B94="",_自动清单!$G$9=""),"",SUMIFS(包装物料出入库明细!$J$4:$J$2003,包装物料出入库明细!$D$4:$D$2003,$B94,包装物料出入库明细!$E$4:$E$2003,_自动清单!$G$9,包装物料出入库明细!$B$4:$B$2003,"&gt;="&amp;$AF$1,包装物料出入库明细!$B$4:$B$2003,"&lt;="&amp;$AF$2))</f>
        <v/>
      </c>
      <c r="I94" s="25" t="str">
        <f>IF(OR($B94="",_自动清单!$G$10=""),"",SUMIFS(包装物料出入库明细!$J$4:$J$2003,包装物料出入库明细!$D$4:$D$2003,$B94,包装物料出入库明细!$E$4:$E$2003,_自动清单!$G$10,包装物料出入库明细!$B$4:$B$2003,"&gt;="&amp;$AF$1,包装物料出入库明细!$B$4:$B$2003,"&lt;="&amp;$AF$2))</f>
        <v/>
      </c>
      <c r="J94" s="25" t="str">
        <f>IF(OR($B94="",_自动清单!$G$11=""),"",SUMIFS(包装物料出入库明细!$J$4:$J$2003,包装物料出入库明细!$D$4:$D$2003,$B94,包装物料出入库明细!$E$4:$E$2003,_自动清单!$G$11,包装物料出入库明细!$B$4:$B$2003,"&gt;="&amp;$AF$1,包装物料出入库明细!$B$4:$B$2003,"&lt;="&amp;$AF$2))</f>
        <v/>
      </c>
      <c r="K94" s="25" t="str">
        <f>IF(OR($B94="",_自动清单!$G$12=""),"",SUMIFS(包装物料出入库明细!$J$4:$J$2003,包装物料出入库明细!$D$4:$D$2003,$B94,包装物料出入库明细!$E$4:$E$2003,_自动清单!$G$12,包装物料出入库明细!$B$4:$B$2003,"&gt;="&amp;$AF$1,包装物料出入库明细!$B$4:$B$2003,"&lt;="&amp;$AF$2))</f>
        <v/>
      </c>
      <c r="L94" s="25" t="str">
        <f>IF(OR($B94="",_自动清单!$G$13=""),"",SUMIFS(包装物料出入库明细!$J$4:$J$2003,包装物料出入库明细!$D$4:$D$2003,$B94,包装物料出入库明细!$E$4:$E$2003,_自动清单!$G$13,包装物料出入库明细!$B$4:$B$2003,"&gt;="&amp;$AF$1,包装物料出入库明细!$B$4:$B$2003,"&lt;="&amp;$AF$2))</f>
        <v/>
      </c>
      <c r="M94" s="25" t="str">
        <f>IF(OR($B94="",_自动清单!$G$14=""),"",SUMIFS(包装物料出入库明细!$J$4:$J$2003,包装物料出入库明细!$D$4:$D$2003,$B94,包装物料出入库明细!$E$4:$E$2003,_自动清单!$G$14,包装物料出入库明细!$B$4:$B$2003,"&gt;="&amp;$AF$1,包装物料出入库明细!$B$4:$B$2003,"&lt;="&amp;$AF$2))</f>
        <v/>
      </c>
      <c r="N94" s="25" t="str">
        <f>IF(OR($B94="",_自动清单!$G$15=""),"",SUMIFS(包装物料出入库明细!$J$4:$J$2003,包装物料出入库明细!$D$4:$D$2003,$B94,包装物料出入库明细!$E$4:$E$2003,_自动清单!$G$15,包装物料出入库明细!$B$4:$B$2003,"&gt;="&amp;$AF$1,包装物料出入库明细!$B$4:$B$2003,"&lt;="&amp;$AF$2))</f>
        <v/>
      </c>
      <c r="O94" s="25" t="str">
        <f>IF(OR($B94="",_自动清单!$G$16=""),"",SUMIFS(包装物料出入库明细!$J$4:$J$2003,包装物料出入库明细!$D$4:$D$2003,$B94,包装物料出入库明细!$E$4:$E$2003,_自动清单!$G$16,包装物料出入库明细!$B$4:$B$2003,"&gt;="&amp;$AF$1,包装物料出入库明细!$B$4:$B$2003,"&lt;="&amp;$AF$2))</f>
        <v/>
      </c>
      <c r="P94" s="25" t="str">
        <f>IF(OR($B94="",_自动清单!$G$17=""),"",SUMIFS(包装物料出入库明细!$J$4:$J$2003,包装物料出入库明细!$D$4:$D$2003,$B94,包装物料出入库明细!$E$4:$E$2003,_自动清单!$G$17,包装物料出入库明细!$B$4:$B$2003,"&gt;="&amp;$AF$1,包装物料出入库明细!$B$4:$B$2003,"&lt;="&amp;$AF$2))</f>
        <v/>
      </c>
      <c r="Q94" s="25" t="str">
        <f>IF(OR($B94="",_自动清单!$G$18=""),"",SUMIFS(包装物料出入库明细!$J$4:$J$2003,包装物料出入库明细!$D$4:$D$2003,$B94,包装物料出入库明细!$E$4:$E$2003,_自动清单!$G$18,包装物料出入库明细!$B$4:$B$2003,"&gt;="&amp;$AF$1,包装物料出入库明细!$B$4:$B$2003,"&lt;="&amp;$AF$2))</f>
        <v/>
      </c>
      <c r="R94" s="25" t="str">
        <f>IF(OR($B94="",_自动清单!$G$19=""),"",SUMIFS(包装物料出入库明细!$J$4:$J$2003,包装物料出入库明细!$D$4:$D$2003,$B94,包装物料出入库明细!$E$4:$E$2003,_自动清单!$G$19,包装物料出入库明细!$B$4:$B$2003,"&gt;="&amp;$AF$1,包装物料出入库明细!$B$4:$B$2003,"&lt;="&amp;$AF$2))</f>
        <v/>
      </c>
      <c r="S94" s="25" t="str">
        <f>IF(OR($B94="",_自动清单!$G$20=""),"",SUMIFS(包装物料出入库明细!$J$4:$J$2003,包装物料出入库明细!$D$4:$D$2003,$B94,包装物料出入库明细!$E$4:$E$2003,_自动清单!$G$20,包装物料出入库明细!$B$4:$B$2003,"&gt;="&amp;$AF$1,包装物料出入库明细!$B$4:$B$2003,"&lt;="&amp;$AF$2))</f>
        <v/>
      </c>
      <c r="T94" s="25" t="str">
        <f>IF(OR($B94="",_自动清单!$G$21=""),"",SUMIFS(包装物料出入库明细!$J$4:$J$2003,包装物料出入库明细!$D$4:$D$2003,$B94,包装物料出入库明细!$E$4:$E$2003,_自动清单!$G$21,包装物料出入库明细!$B$4:$B$2003,"&gt;="&amp;$AF$1,包装物料出入库明细!$B$4:$B$2003,"&lt;="&amp;$AF$2))</f>
        <v/>
      </c>
      <c r="U94" s="25" t="str">
        <f>IF($B94="","",SUMIFS(包装物料出入库明细!$J$4:$J$2003,包装物料出入库明细!$D$4:$D$2003,$B94,包装物料出入库明细!$B$4:$B$2003,"&gt;="&amp;$AF$1,包装物料出入库明细!$B$4:$B$2003,"&lt;="&amp;$AF$2)-SUM($C94:$T94))</f>
        <v/>
      </c>
      <c r="V94" s="25" t="str">
        <f t="shared" si="5"/>
        <v/>
      </c>
      <c r="W94" s="56" t="str">
        <f>IF($B94="","",SUMIFS(包装物料出入库明细!$K$4:$K$2003,包装物料出入库明细!$D$4:$D$2003,$B94,包装物料出入库明细!$B$4:$B$2003,"&gt;="&amp;$AF$1,包装物料出入库明细!$B$4:$B$2003,"&lt;="&amp;$AF$2))</f>
        <v/>
      </c>
      <c r="X94" s="25" t="str">
        <f t="shared" si="6"/>
        <v/>
      </c>
      <c r="Y94" s="26" t="str">
        <f>IF($B94="","",ROUND(SUMIFS(包装物料出入库明细!$N$4:$N$2003,包装物料出入库明细!$D$4:$D$2003,$B94,包装物料出入库明细!$H$4:$H$2003,"销售出库",包装物料出入库明细!$B$4:$B$2003,"&gt;="&amp;$AF$1,包装物料出入库明细!$B$4:$B$2003,"&lt;="&amp;$AF$2),2))</f>
        <v/>
      </c>
      <c r="Z94" s="26" t="str">
        <f>IF($B94="","",ROUND(SUMIFS(包装物料出入库明细!$N$4:$N$2003,包装物料出入库明细!$D$4:$D$2003,$B94,包装物料出入库明细!$H$4:$H$2003,"销售出库",包装物料出入库明细!$P$4:$P$2003,"已收讫",包装物料出入库明细!$B$4:$B$2003,"&gt;="&amp;$AF$1,包装物料出入库明细!$B$4:$B$2003,"&lt;="&amp;$AF$2),2))</f>
        <v/>
      </c>
      <c r="AA94" s="26" t="str">
        <f t="shared" si="7"/>
        <v/>
      </c>
      <c r="AB94" s="41"/>
    </row>
    <row r="95" spans="1:28">
      <c r="A95" s="24" t="str">
        <f t="shared" si="4"/>
        <v/>
      </c>
      <c r="B95" s="24" t="str">
        <f>IFERROR(INDEX(_自动清单!$O$4:$O$203,ROW()-3),"")</f>
        <v/>
      </c>
      <c r="C95" s="25" t="str">
        <f>IF(OR($B95="",_自动清单!$G$4=""),"",SUMIFS(包装物料出入库明细!$J$4:$J$2003,包装物料出入库明细!$D$4:$D$2003,$B95,包装物料出入库明细!$E$4:$E$2003,_自动清单!$G$4,包装物料出入库明细!$B$4:$B$2003,"&gt;="&amp;$AF$1,包装物料出入库明细!$B$4:$B$2003,"&lt;="&amp;$AF$2))</f>
        <v/>
      </c>
      <c r="D95" s="25" t="str">
        <f>IF(OR($B95="",_自动清单!$G$5=""),"",SUMIFS(包装物料出入库明细!$J$4:$J$2003,包装物料出入库明细!$D$4:$D$2003,$B95,包装物料出入库明细!$E$4:$E$2003,_自动清单!$G$5,包装物料出入库明细!$B$4:$B$2003,"&gt;="&amp;$AF$1,包装物料出入库明细!$B$4:$B$2003,"&lt;="&amp;$AF$2))</f>
        <v/>
      </c>
      <c r="E95" s="25" t="str">
        <f>IF(OR($B95="",_自动清单!$G$6=""),"",SUMIFS(包装物料出入库明细!$J$4:$J$2003,包装物料出入库明细!$D$4:$D$2003,$B95,包装物料出入库明细!$E$4:$E$2003,_自动清单!$G$6,包装物料出入库明细!$B$4:$B$2003,"&gt;="&amp;$AF$1,包装物料出入库明细!$B$4:$B$2003,"&lt;="&amp;$AF$2))</f>
        <v/>
      </c>
      <c r="F95" s="25" t="str">
        <f>IF(OR($B95="",_自动清单!$G$7=""),"",SUMIFS(包装物料出入库明细!$J$4:$J$2003,包装物料出入库明细!$D$4:$D$2003,$B95,包装物料出入库明细!$E$4:$E$2003,_自动清单!$G$7,包装物料出入库明细!$B$4:$B$2003,"&gt;="&amp;$AF$1,包装物料出入库明细!$B$4:$B$2003,"&lt;="&amp;$AF$2))</f>
        <v/>
      </c>
      <c r="G95" s="25" t="str">
        <f>IF(OR($B95="",_自动清单!$G$8=""),"",SUMIFS(包装物料出入库明细!$J$4:$J$2003,包装物料出入库明细!$D$4:$D$2003,$B95,包装物料出入库明细!$E$4:$E$2003,_自动清单!$G$8,包装物料出入库明细!$B$4:$B$2003,"&gt;="&amp;$AF$1,包装物料出入库明细!$B$4:$B$2003,"&lt;="&amp;$AF$2))</f>
        <v/>
      </c>
      <c r="H95" s="25" t="str">
        <f>IF(OR($B95="",_自动清单!$G$9=""),"",SUMIFS(包装物料出入库明细!$J$4:$J$2003,包装物料出入库明细!$D$4:$D$2003,$B95,包装物料出入库明细!$E$4:$E$2003,_自动清单!$G$9,包装物料出入库明细!$B$4:$B$2003,"&gt;="&amp;$AF$1,包装物料出入库明细!$B$4:$B$2003,"&lt;="&amp;$AF$2))</f>
        <v/>
      </c>
      <c r="I95" s="25" t="str">
        <f>IF(OR($B95="",_自动清单!$G$10=""),"",SUMIFS(包装物料出入库明细!$J$4:$J$2003,包装物料出入库明细!$D$4:$D$2003,$B95,包装物料出入库明细!$E$4:$E$2003,_自动清单!$G$10,包装物料出入库明细!$B$4:$B$2003,"&gt;="&amp;$AF$1,包装物料出入库明细!$B$4:$B$2003,"&lt;="&amp;$AF$2))</f>
        <v/>
      </c>
      <c r="J95" s="25" t="str">
        <f>IF(OR($B95="",_自动清单!$G$11=""),"",SUMIFS(包装物料出入库明细!$J$4:$J$2003,包装物料出入库明细!$D$4:$D$2003,$B95,包装物料出入库明细!$E$4:$E$2003,_自动清单!$G$11,包装物料出入库明细!$B$4:$B$2003,"&gt;="&amp;$AF$1,包装物料出入库明细!$B$4:$B$2003,"&lt;="&amp;$AF$2))</f>
        <v/>
      </c>
      <c r="K95" s="25" t="str">
        <f>IF(OR($B95="",_自动清单!$G$12=""),"",SUMIFS(包装物料出入库明细!$J$4:$J$2003,包装物料出入库明细!$D$4:$D$2003,$B95,包装物料出入库明细!$E$4:$E$2003,_自动清单!$G$12,包装物料出入库明细!$B$4:$B$2003,"&gt;="&amp;$AF$1,包装物料出入库明细!$B$4:$B$2003,"&lt;="&amp;$AF$2))</f>
        <v/>
      </c>
      <c r="L95" s="25" t="str">
        <f>IF(OR($B95="",_自动清单!$G$13=""),"",SUMIFS(包装物料出入库明细!$J$4:$J$2003,包装物料出入库明细!$D$4:$D$2003,$B95,包装物料出入库明细!$E$4:$E$2003,_自动清单!$G$13,包装物料出入库明细!$B$4:$B$2003,"&gt;="&amp;$AF$1,包装物料出入库明细!$B$4:$B$2003,"&lt;="&amp;$AF$2))</f>
        <v/>
      </c>
      <c r="M95" s="25" t="str">
        <f>IF(OR($B95="",_自动清单!$G$14=""),"",SUMIFS(包装物料出入库明细!$J$4:$J$2003,包装物料出入库明细!$D$4:$D$2003,$B95,包装物料出入库明细!$E$4:$E$2003,_自动清单!$G$14,包装物料出入库明细!$B$4:$B$2003,"&gt;="&amp;$AF$1,包装物料出入库明细!$B$4:$B$2003,"&lt;="&amp;$AF$2))</f>
        <v/>
      </c>
      <c r="N95" s="25" t="str">
        <f>IF(OR($B95="",_自动清单!$G$15=""),"",SUMIFS(包装物料出入库明细!$J$4:$J$2003,包装物料出入库明细!$D$4:$D$2003,$B95,包装物料出入库明细!$E$4:$E$2003,_自动清单!$G$15,包装物料出入库明细!$B$4:$B$2003,"&gt;="&amp;$AF$1,包装物料出入库明细!$B$4:$B$2003,"&lt;="&amp;$AF$2))</f>
        <v/>
      </c>
      <c r="O95" s="25" t="str">
        <f>IF(OR($B95="",_自动清单!$G$16=""),"",SUMIFS(包装物料出入库明细!$J$4:$J$2003,包装物料出入库明细!$D$4:$D$2003,$B95,包装物料出入库明细!$E$4:$E$2003,_自动清单!$G$16,包装物料出入库明细!$B$4:$B$2003,"&gt;="&amp;$AF$1,包装物料出入库明细!$B$4:$B$2003,"&lt;="&amp;$AF$2))</f>
        <v/>
      </c>
      <c r="P95" s="25" t="str">
        <f>IF(OR($B95="",_自动清单!$G$17=""),"",SUMIFS(包装物料出入库明细!$J$4:$J$2003,包装物料出入库明细!$D$4:$D$2003,$B95,包装物料出入库明细!$E$4:$E$2003,_自动清单!$G$17,包装物料出入库明细!$B$4:$B$2003,"&gt;="&amp;$AF$1,包装物料出入库明细!$B$4:$B$2003,"&lt;="&amp;$AF$2))</f>
        <v/>
      </c>
      <c r="Q95" s="25" t="str">
        <f>IF(OR($B95="",_自动清单!$G$18=""),"",SUMIFS(包装物料出入库明细!$J$4:$J$2003,包装物料出入库明细!$D$4:$D$2003,$B95,包装物料出入库明细!$E$4:$E$2003,_自动清单!$G$18,包装物料出入库明细!$B$4:$B$2003,"&gt;="&amp;$AF$1,包装物料出入库明细!$B$4:$B$2003,"&lt;="&amp;$AF$2))</f>
        <v/>
      </c>
      <c r="R95" s="25" t="str">
        <f>IF(OR($B95="",_自动清单!$G$19=""),"",SUMIFS(包装物料出入库明细!$J$4:$J$2003,包装物料出入库明细!$D$4:$D$2003,$B95,包装物料出入库明细!$E$4:$E$2003,_自动清单!$G$19,包装物料出入库明细!$B$4:$B$2003,"&gt;="&amp;$AF$1,包装物料出入库明细!$B$4:$B$2003,"&lt;="&amp;$AF$2))</f>
        <v/>
      </c>
      <c r="S95" s="25" t="str">
        <f>IF(OR($B95="",_自动清单!$G$20=""),"",SUMIFS(包装物料出入库明细!$J$4:$J$2003,包装物料出入库明细!$D$4:$D$2003,$B95,包装物料出入库明细!$E$4:$E$2003,_自动清单!$G$20,包装物料出入库明细!$B$4:$B$2003,"&gt;="&amp;$AF$1,包装物料出入库明细!$B$4:$B$2003,"&lt;="&amp;$AF$2))</f>
        <v/>
      </c>
      <c r="T95" s="25" t="str">
        <f>IF(OR($B95="",_自动清单!$G$21=""),"",SUMIFS(包装物料出入库明细!$J$4:$J$2003,包装物料出入库明细!$D$4:$D$2003,$B95,包装物料出入库明细!$E$4:$E$2003,_自动清单!$G$21,包装物料出入库明细!$B$4:$B$2003,"&gt;="&amp;$AF$1,包装物料出入库明细!$B$4:$B$2003,"&lt;="&amp;$AF$2))</f>
        <v/>
      </c>
      <c r="U95" s="25" t="str">
        <f>IF($B95="","",SUMIFS(包装物料出入库明细!$J$4:$J$2003,包装物料出入库明细!$D$4:$D$2003,$B95,包装物料出入库明细!$B$4:$B$2003,"&gt;="&amp;$AF$1,包装物料出入库明细!$B$4:$B$2003,"&lt;="&amp;$AF$2)-SUM($C95:$T95))</f>
        <v/>
      </c>
      <c r="V95" s="25" t="str">
        <f t="shared" si="5"/>
        <v/>
      </c>
      <c r="W95" s="56" t="str">
        <f>IF($B95="","",SUMIFS(包装物料出入库明细!$K$4:$K$2003,包装物料出入库明细!$D$4:$D$2003,$B95,包装物料出入库明细!$B$4:$B$2003,"&gt;="&amp;$AF$1,包装物料出入库明细!$B$4:$B$2003,"&lt;="&amp;$AF$2))</f>
        <v/>
      </c>
      <c r="X95" s="25" t="str">
        <f t="shared" si="6"/>
        <v/>
      </c>
      <c r="Y95" s="26" t="str">
        <f>IF($B95="","",ROUND(SUMIFS(包装物料出入库明细!$N$4:$N$2003,包装物料出入库明细!$D$4:$D$2003,$B95,包装物料出入库明细!$H$4:$H$2003,"销售出库",包装物料出入库明细!$B$4:$B$2003,"&gt;="&amp;$AF$1,包装物料出入库明细!$B$4:$B$2003,"&lt;="&amp;$AF$2),2))</f>
        <v/>
      </c>
      <c r="Z95" s="26" t="str">
        <f>IF($B95="","",ROUND(SUMIFS(包装物料出入库明细!$N$4:$N$2003,包装物料出入库明细!$D$4:$D$2003,$B95,包装物料出入库明细!$H$4:$H$2003,"销售出库",包装物料出入库明细!$P$4:$P$2003,"已收讫",包装物料出入库明细!$B$4:$B$2003,"&gt;="&amp;$AF$1,包装物料出入库明细!$B$4:$B$2003,"&lt;="&amp;$AF$2),2))</f>
        <v/>
      </c>
      <c r="AA95" s="26" t="str">
        <f t="shared" si="7"/>
        <v/>
      </c>
      <c r="AB95" s="41"/>
    </row>
    <row r="96" spans="1:28">
      <c r="A96" s="24" t="str">
        <f t="shared" si="4"/>
        <v/>
      </c>
      <c r="B96" s="24" t="str">
        <f>IFERROR(INDEX(_自动清单!$O$4:$O$203,ROW()-3),"")</f>
        <v/>
      </c>
      <c r="C96" s="25" t="str">
        <f>IF(OR($B96="",_自动清单!$G$4=""),"",SUMIFS(包装物料出入库明细!$J$4:$J$2003,包装物料出入库明细!$D$4:$D$2003,$B96,包装物料出入库明细!$E$4:$E$2003,_自动清单!$G$4,包装物料出入库明细!$B$4:$B$2003,"&gt;="&amp;$AF$1,包装物料出入库明细!$B$4:$B$2003,"&lt;="&amp;$AF$2))</f>
        <v/>
      </c>
      <c r="D96" s="25" t="str">
        <f>IF(OR($B96="",_自动清单!$G$5=""),"",SUMIFS(包装物料出入库明细!$J$4:$J$2003,包装物料出入库明细!$D$4:$D$2003,$B96,包装物料出入库明细!$E$4:$E$2003,_自动清单!$G$5,包装物料出入库明细!$B$4:$B$2003,"&gt;="&amp;$AF$1,包装物料出入库明细!$B$4:$B$2003,"&lt;="&amp;$AF$2))</f>
        <v/>
      </c>
      <c r="E96" s="25" t="str">
        <f>IF(OR($B96="",_自动清单!$G$6=""),"",SUMIFS(包装物料出入库明细!$J$4:$J$2003,包装物料出入库明细!$D$4:$D$2003,$B96,包装物料出入库明细!$E$4:$E$2003,_自动清单!$G$6,包装物料出入库明细!$B$4:$B$2003,"&gt;="&amp;$AF$1,包装物料出入库明细!$B$4:$B$2003,"&lt;="&amp;$AF$2))</f>
        <v/>
      </c>
      <c r="F96" s="25" t="str">
        <f>IF(OR($B96="",_自动清单!$G$7=""),"",SUMIFS(包装物料出入库明细!$J$4:$J$2003,包装物料出入库明细!$D$4:$D$2003,$B96,包装物料出入库明细!$E$4:$E$2003,_自动清单!$G$7,包装物料出入库明细!$B$4:$B$2003,"&gt;="&amp;$AF$1,包装物料出入库明细!$B$4:$B$2003,"&lt;="&amp;$AF$2))</f>
        <v/>
      </c>
      <c r="G96" s="25" t="str">
        <f>IF(OR($B96="",_自动清单!$G$8=""),"",SUMIFS(包装物料出入库明细!$J$4:$J$2003,包装物料出入库明细!$D$4:$D$2003,$B96,包装物料出入库明细!$E$4:$E$2003,_自动清单!$G$8,包装物料出入库明细!$B$4:$B$2003,"&gt;="&amp;$AF$1,包装物料出入库明细!$B$4:$B$2003,"&lt;="&amp;$AF$2))</f>
        <v/>
      </c>
      <c r="H96" s="25" t="str">
        <f>IF(OR($B96="",_自动清单!$G$9=""),"",SUMIFS(包装物料出入库明细!$J$4:$J$2003,包装物料出入库明细!$D$4:$D$2003,$B96,包装物料出入库明细!$E$4:$E$2003,_自动清单!$G$9,包装物料出入库明细!$B$4:$B$2003,"&gt;="&amp;$AF$1,包装物料出入库明细!$B$4:$B$2003,"&lt;="&amp;$AF$2))</f>
        <v/>
      </c>
      <c r="I96" s="25" t="str">
        <f>IF(OR($B96="",_自动清单!$G$10=""),"",SUMIFS(包装物料出入库明细!$J$4:$J$2003,包装物料出入库明细!$D$4:$D$2003,$B96,包装物料出入库明细!$E$4:$E$2003,_自动清单!$G$10,包装物料出入库明细!$B$4:$B$2003,"&gt;="&amp;$AF$1,包装物料出入库明细!$B$4:$B$2003,"&lt;="&amp;$AF$2))</f>
        <v/>
      </c>
      <c r="J96" s="25" t="str">
        <f>IF(OR($B96="",_自动清单!$G$11=""),"",SUMIFS(包装物料出入库明细!$J$4:$J$2003,包装物料出入库明细!$D$4:$D$2003,$B96,包装物料出入库明细!$E$4:$E$2003,_自动清单!$G$11,包装物料出入库明细!$B$4:$B$2003,"&gt;="&amp;$AF$1,包装物料出入库明细!$B$4:$B$2003,"&lt;="&amp;$AF$2))</f>
        <v/>
      </c>
      <c r="K96" s="25" t="str">
        <f>IF(OR($B96="",_自动清单!$G$12=""),"",SUMIFS(包装物料出入库明细!$J$4:$J$2003,包装物料出入库明细!$D$4:$D$2003,$B96,包装物料出入库明细!$E$4:$E$2003,_自动清单!$G$12,包装物料出入库明细!$B$4:$B$2003,"&gt;="&amp;$AF$1,包装物料出入库明细!$B$4:$B$2003,"&lt;="&amp;$AF$2))</f>
        <v/>
      </c>
      <c r="L96" s="25" t="str">
        <f>IF(OR($B96="",_自动清单!$G$13=""),"",SUMIFS(包装物料出入库明细!$J$4:$J$2003,包装物料出入库明细!$D$4:$D$2003,$B96,包装物料出入库明细!$E$4:$E$2003,_自动清单!$G$13,包装物料出入库明细!$B$4:$B$2003,"&gt;="&amp;$AF$1,包装物料出入库明细!$B$4:$B$2003,"&lt;="&amp;$AF$2))</f>
        <v/>
      </c>
      <c r="M96" s="25" t="str">
        <f>IF(OR($B96="",_自动清单!$G$14=""),"",SUMIFS(包装物料出入库明细!$J$4:$J$2003,包装物料出入库明细!$D$4:$D$2003,$B96,包装物料出入库明细!$E$4:$E$2003,_自动清单!$G$14,包装物料出入库明细!$B$4:$B$2003,"&gt;="&amp;$AF$1,包装物料出入库明细!$B$4:$B$2003,"&lt;="&amp;$AF$2))</f>
        <v/>
      </c>
      <c r="N96" s="25" t="str">
        <f>IF(OR($B96="",_自动清单!$G$15=""),"",SUMIFS(包装物料出入库明细!$J$4:$J$2003,包装物料出入库明细!$D$4:$D$2003,$B96,包装物料出入库明细!$E$4:$E$2003,_自动清单!$G$15,包装物料出入库明细!$B$4:$B$2003,"&gt;="&amp;$AF$1,包装物料出入库明细!$B$4:$B$2003,"&lt;="&amp;$AF$2))</f>
        <v/>
      </c>
      <c r="O96" s="25" t="str">
        <f>IF(OR($B96="",_自动清单!$G$16=""),"",SUMIFS(包装物料出入库明细!$J$4:$J$2003,包装物料出入库明细!$D$4:$D$2003,$B96,包装物料出入库明细!$E$4:$E$2003,_自动清单!$G$16,包装物料出入库明细!$B$4:$B$2003,"&gt;="&amp;$AF$1,包装物料出入库明细!$B$4:$B$2003,"&lt;="&amp;$AF$2))</f>
        <v/>
      </c>
      <c r="P96" s="25" t="str">
        <f>IF(OR($B96="",_自动清单!$G$17=""),"",SUMIFS(包装物料出入库明细!$J$4:$J$2003,包装物料出入库明细!$D$4:$D$2003,$B96,包装物料出入库明细!$E$4:$E$2003,_自动清单!$G$17,包装物料出入库明细!$B$4:$B$2003,"&gt;="&amp;$AF$1,包装物料出入库明细!$B$4:$B$2003,"&lt;="&amp;$AF$2))</f>
        <v/>
      </c>
      <c r="Q96" s="25" t="str">
        <f>IF(OR($B96="",_自动清单!$G$18=""),"",SUMIFS(包装物料出入库明细!$J$4:$J$2003,包装物料出入库明细!$D$4:$D$2003,$B96,包装物料出入库明细!$E$4:$E$2003,_自动清单!$G$18,包装物料出入库明细!$B$4:$B$2003,"&gt;="&amp;$AF$1,包装物料出入库明细!$B$4:$B$2003,"&lt;="&amp;$AF$2))</f>
        <v/>
      </c>
      <c r="R96" s="25" t="str">
        <f>IF(OR($B96="",_自动清单!$G$19=""),"",SUMIFS(包装物料出入库明细!$J$4:$J$2003,包装物料出入库明细!$D$4:$D$2003,$B96,包装物料出入库明细!$E$4:$E$2003,_自动清单!$G$19,包装物料出入库明细!$B$4:$B$2003,"&gt;="&amp;$AF$1,包装物料出入库明细!$B$4:$B$2003,"&lt;="&amp;$AF$2))</f>
        <v/>
      </c>
      <c r="S96" s="25" t="str">
        <f>IF(OR($B96="",_自动清单!$G$20=""),"",SUMIFS(包装物料出入库明细!$J$4:$J$2003,包装物料出入库明细!$D$4:$D$2003,$B96,包装物料出入库明细!$E$4:$E$2003,_自动清单!$G$20,包装物料出入库明细!$B$4:$B$2003,"&gt;="&amp;$AF$1,包装物料出入库明细!$B$4:$B$2003,"&lt;="&amp;$AF$2))</f>
        <v/>
      </c>
      <c r="T96" s="25" t="str">
        <f>IF(OR($B96="",_自动清单!$G$21=""),"",SUMIFS(包装物料出入库明细!$J$4:$J$2003,包装物料出入库明细!$D$4:$D$2003,$B96,包装物料出入库明细!$E$4:$E$2003,_自动清单!$G$21,包装物料出入库明细!$B$4:$B$2003,"&gt;="&amp;$AF$1,包装物料出入库明细!$B$4:$B$2003,"&lt;="&amp;$AF$2))</f>
        <v/>
      </c>
      <c r="U96" s="25" t="str">
        <f>IF($B96="","",SUMIFS(包装物料出入库明细!$J$4:$J$2003,包装物料出入库明细!$D$4:$D$2003,$B96,包装物料出入库明细!$B$4:$B$2003,"&gt;="&amp;$AF$1,包装物料出入库明细!$B$4:$B$2003,"&lt;="&amp;$AF$2)-SUM($C96:$T96))</f>
        <v/>
      </c>
      <c r="V96" s="25" t="str">
        <f t="shared" si="5"/>
        <v/>
      </c>
      <c r="W96" s="56" t="str">
        <f>IF($B96="","",SUMIFS(包装物料出入库明细!$K$4:$K$2003,包装物料出入库明细!$D$4:$D$2003,$B96,包装物料出入库明细!$B$4:$B$2003,"&gt;="&amp;$AF$1,包装物料出入库明细!$B$4:$B$2003,"&lt;="&amp;$AF$2))</f>
        <v/>
      </c>
      <c r="X96" s="25" t="str">
        <f t="shared" si="6"/>
        <v/>
      </c>
      <c r="Y96" s="26" t="str">
        <f>IF($B96="","",ROUND(SUMIFS(包装物料出入库明细!$N$4:$N$2003,包装物料出入库明细!$D$4:$D$2003,$B96,包装物料出入库明细!$H$4:$H$2003,"销售出库",包装物料出入库明细!$B$4:$B$2003,"&gt;="&amp;$AF$1,包装物料出入库明细!$B$4:$B$2003,"&lt;="&amp;$AF$2),2))</f>
        <v/>
      </c>
      <c r="Z96" s="26" t="str">
        <f>IF($B96="","",ROUND(SUMIFS(包装物料出入库明细!$N$4:$N$2003,包装物料出入库明细!$D$4:$D$2003,$B96,包装物料出入库明细!$H$4:$H$2003,"销售出库",包装物料出入库明细!$P$4:$P$2003,"已收讫",包装物料出入库明细!$B$4:$B$2003,"&gt;="&amp;$AF$1,包装物料出入库明细!$B$4:$B$2003,"&lt;="&amp;$AF$2),2))</f>
        <v/>
      </c>
      <c r="AA96" s="26" t="str">
        <f t="shared" si="7"/>
        <v/>
      </c>
      <c r="AB96" s="41"/>
    </row>
    <row r="97" spans="1:28">
      <c r="A97" s="24" t="str">
        <f t="shared" si="4"/>
        <v/>
      </c>
      <c r="B97" s="24" t="str">
        <f>IFERROR(INDEX(_自动清单!$O$4:$O$203,ROW()-3),"")</f>
        <v/>
      </c>
      <c r="C97" s="25" t="str">
        <f>IF(OR($B97="",_自动清单!$G$4=""),"",SUMIFS(包装物料出入库明细!$J$4:$J$2003,包装物料出入库明细!$D$4:$D$2003,$B97,包装物料出入库明细!$E$4:$E$2003,_自动清单!$G$4,包装物料出入库明细!$B$4:$B$2003,"&gt;="&amp;$AF$1,包装物料出入库明细!$B$4:$B$2003,"&lt;="&amp;$AF$2))</f>
        <v/>
      </c>
      <c r="D97" s="25" t="str">
        <f>IF(OR($B97="",_自动清单!$G$5=""),"",SUMIFS(包装物料出入库明细!$J$4:$J$2003,包装物料出入库明细!$D$4:$D$2003,$B97,包装物料出入库明细!$E$4:$E$2003,_自动清单!$G$5,包装物料出入库明细!$B$4:$B$2003,"&gt;="&amp;$AF$1,包装物料出入库明细!$B$4:$B$2003,"&lt;="&amp;$AF$2))</f>
        <v/>
      </c>
      <c r="E97" s="25" t="str">
        <f>IF(OR($B97="",_自动清单!$G$6=""),"",SUMIFS(包装物料出入库明细!$J$4:$J$2003,包装物料出入库明细!$D$4:$D$2003,$B97,包装物料出入库明细!$E$4:$E$2003,_自动清单!$G$6,包装物料出入库明细!$B$4:$B$2003,"&gt;="&amp;$AF$1,包装物料出入库明细!$B$4:$B$2003,"&lt;="&amp;$AF$2))</f>
        <v/>
      </c>
      <c r="F97" s="25" t="str">
        <f>IF(OR($B97="",_自动清单!$G$7=""),"",SUMIFS(包装物料出入库明细!$J$4:$J$2003,包装物料出入库明细!$D$4:$D$2003,$B97,包装物料出入库明细!$E$4:$E$2003,_自动清单!$G$7,包装物料出入库明细!$B$4:$B$2003,"&gt;="&amp;$AF$1,包装物料出入库明细!$B$4:$B$2003,"&lt;="&amp;$AF$2))</f>
        <v/>
      </c>
      <c r="G97" s="25" t="str">
        <f>IF(OR($B97="",_自动清单!$G$8=""),"",SUMIFS(包装物料出入库明细!$J$4:$J$2003,包装物料出入库明细!$D$4:$D$2003,$B97,包装物料出入库明细!$E$4:$E$2003,_自动清单!$G$8,包装物料出入库明细!$B$4:$B$2003,"&gt;="&amp;$AF$1,包装物料出入库明细!$B$4:$B$2003,"&lt;="&amp;$AF$2))</f>
        <v/>
      </c>
      <c r="H97" s="25" t="str">
        <f>IF(OR($B97="",_自动清单!$G$9=""),"",SUMIFS(包装物料出入库明细!$J$4:$J$2003,包装物料出入库明细!$D$4:$D$2003,$B97,包装物料出入库明细!$E$4:$E$2003,_自动清单!$G$9,包装物料出入库明细!$B$4:$B$2003,"&gt;="&amp;$AF$1,包装物料出入库明细!$B$4:$B$2003,"&lt;="&amp;$AF$2))</f>
        <v/>
      </c>
      <c r="I97" s="25" t="str">
        <f>IF(OR($B97="",_自动清单!$G$10=""),"",SUMIFS(包装物料出入库明细!$J$4:$J$2003,包装物料出入库明细!$D$4:$D$2003,$B97,包装物料出入库明细!$E$4:$E$2003,_自动清单!$G$10,包装物料出入库明细!$B$4:$B$2003,"&gt;="&amp;$AF$1,包装物料出入库明细!$B$4:$B$2003,"&lt;="&amp;$AF$2))</f>
        <v/>
      </c>
      <c r="J97" s="25" t="str">
        <f>IF(OR($B97="",_自动清单!$G$11=""),"",SUMIFS(包装物料出入库明细!$J$4:$J$2003,包装物料出入库明细!$D$4:$D$2003,$B97,包装物料出入库明细!$E$4:$E$2003,_自动清单!$G$11,包装物料出入库明细!$B$4:$B$2003,"&gt;="&amp;$AF$1,包装物料出入库明细!$B$4:$B$2003,"&lt;="&amp;$AF$2))</f>
        <v/>
      </c>
      <c r="K97" s="25" t="str">
        <f>IF(OR($B97="",_自动清单!$G$12=""),"",SUMIFS(包装物料出入库明细!$J$4:$J$2003,包装物料出入库明细!$D$4:$D$2003,$B97,包装物料出入库明细!$E$4:$E$2003,_自动清单!$G$12,包装物料出入库明细!$B$4:$B$2003,"&gt;="&amp;$AF$1,包装物料出入库明细!$B$4:$B$2003,"&lt;="&amp;$AF$2))</f>
        <v/>
      </c>
      <c r="L97" s="25" t="str">
        <f>IF(OR($B97="",_自动清单!$G$13=""),"",SUMIFS(包装物料出入库明细!$J$4:$J$2003,包装物料出入库明细!$D$4:$D$2003,$B97,包装物料出入库明细!$E$4:$E$2003,_自动清单!$G$13,包装物料出入库明细!$B$4:$B$2003,"&gt;="&amp;$AF$1,包装物料出入库明细!$B$4:$B$2003,"&lt;="&amp;$AF$2))</f>
        <v/>
      </c>
      <c r="M97" s="25" t="str">
        <f>IF(OR($B97="",_自动清单!$G$14=""),"",SUMIFS(包装物料出入库明细!$J$4:$J$2003,包装物料出入库明细!$D$4:$D$2003,$B97,包装物料出入库明细!$E$4:$E$2003,_自动清单!$G$14,包装物料出入库明细!$B$4:$B$2003,"&gt;="&amp;$AF$1,包装物料出入库明细!$B$4:$B$2003,"&lt;="&amp;$AF$2))</f>
        <v/>
      </c>
      <c r="N97" s="25" t="str">
        <f>IF(OR($B97="",_自动清单!$G$15=""),"",SUMIFS(包装物料出入库明细!$J$4:$J$2003,包装物料出入库明细!$D$4:$D$2003,$B97,包装物料出入库明细!$E$4:$E$2003,_自动清单!$G$15,包装物料出入库明细!$B$4:$B$2003,"&gt;="&amp;$AF$1,包装物料出入库明细!$B$4:$B$2003,"&lt;="&amp;$AF$2))</f>
        <v/>
      </c>
      <c r="O97" s="25" t="str">
        <f>IF(OR($B97="",_自动清单!$G$16=""),"",SUMIFS(包装物料出入库明细!$J$4:$J$2003,包装物料出入库明细!$D$4:$D$2003,$B97,包装物料出入库明细!$E$4:$E$2003,_自动清单!$G$16,包装物料出入库明细!$B$4:$B$2003,"&gt;="&amp;$AF$1,包装物料出入库明细!$B$4:$B$2003,"&lt;="&amp;$AF$2))</f>
        <v/>
      </c>
      <c r="P97" s="25" t="str">
        <f>IF(OR($B97="",_自动清单!$G$17=""),"",SUMIFS(包装物料出入库明细!$J$4:$J$2003,包装物料出入库明细!$D$4:$D$2003,$B97,包装物料出入库明细!$E$4:$E$2003,_自动清单!$G$17,包装物料出入库明细!$B$4:$B$2003,"&gt;="&amp;$AF$1,包装物料出入库明细!$B$4:$B$2003,"&lt;="&amp;$AF$2))</f>
        <v/>
      </c>
      <c r="Q97" s="25" t="str">
        <f>IF(OR($B97="",_自动清单!$G$18=""),"",SUMIFS(包装物料出入库明细!$J$4:$J$2003,包装物料出入库明细!$D$4:$D$2003,$B97,包装物料出入库明细!$E$4:$E$2003,_自动清单!$G$18,包装物料出入库明细!$B$4:$B$2003,"&gt;="&amp;$AF$1,包装物料出入库明细!$B$4:$B$2003,"&lt;="&amp;$AF$2))</f>
        <v/>
      </c>
      <c r="R97" s="25" t="str">
        <f>IF(OR($B97="",_自动清单!$G$19=""),"",SUMIFS(包装物料出入库明细!$J$4:$J$2003,包装物料出入库明细!$D$4:$D$2003,$B97,包装物料出入库明细!$E$4:$E$2003,_自动清单!$G$19,包装物料出入库明细!$B$4:$B$2003,"&gt;="&amp;$AF$1,包装物料出入库明细!$B$4:$B$2003,"&lt;="&amp;$AF$2))</f>
        <v/>
      </c>
      <c r="S97" s="25" t="str">
        <f>IF(OR($B97="",_自动清单!$G$20=""),"",SUMIFS(包装物料出入库明细!$J$4:$J$2003,包装物料出入库明细!$D$4:$D$2003,$B97,包装物料出入库明细!$E$4:$E$2003,_自动清单!$G$20,包装物料出入库明细!$B$4:$B$2003,"&gt;="&amp;$AF$1,包装物料出入库明细!$B$4:$B$2003,"&lt;="&amp;$AF$2))</f>
        <v/>
      </c>
      <c r="T97" s="25" t="str">
        <f>IF(OR($B97="",_自动清单!$G$21=""),"",SUMIFS(包装物料出入库明细!$J$4:$J$2003,包装物料出入库明细!$D$4:$D$2003,$B97,包装物料出入库明细!$E$4:$E$2003,_自动清单!$G$21,包装物料出入库明细!$B$4:$B$2003,"&gt;="&amp;$AF$1,包装物料出入库明细!$B$4:$B$2003,"&lt;="&amp;$AF$2))</f>
        <v/>
      </c>
      <c r="U97" s="25" t="str">
        <f>IF($B97="","",SUMIFS(包装物料出入库明细!$J$4:$J$2003,包装物料出入库明细!$D$4:$D$2003,$B97,包装物料出入库明细!$B$4:$B$2003,"&gt;="&amp;$AF$1,包装物料出入库明细!$B$4:$B$2003,"&lt;="&amp;$AF$2)-SUM($C97:$T97))</f>
        <v/>
      </c>
      <c r="V97" s="25" t="str">
        <f t="shared" si="5"/>
        <v/>
      </c>
      <c r="W97" s="56" t="str">
        <f>IF($B97="","",SUMIFS(包装物料出入库明细!$K$4:$K$2003,包装物料出入库明细!$D$4:$D$2003,$B97,包装物料出入库明细!$B$4:$B$2003,"&gt;="&amp;$AF$1,包装物料出入库明细!$B$4:$B$2003,"&lt;="&amp;$AF$2))</f>
        <v/>
      </c>
      <c r="X97" s="25" t="str">
        <f t="shared" si="6"/>
        <v/>
      </c>
      <c r="Y97" s="26" t="str">
        <f>IF($B97="","",ROUND(SUMIFS(包装物料出入库明细!$N$4:$N$2003,包装物料出入库明细!$D$4:$D$2003,$B97,包装物料出入库明细!$H$4:$H$2003,"销售出库",包装物料出入库明细!$B$4:$B$2003,"&gt;="&amp;$AF$1,包装物料出入库明细!$B$4:$B$2003,"&lt;="&amp;$AF$2),2))</f>
        <v/>
      </c>
      <c r="Z97" s="26" t="str">
        <f>IF($B97="","",ROUND(SUMIFS(包装物料出入库明细!$N$4:$N$2003,包装物料出入库明细!$D$4:$D$2003,$B97,包装物料出入库明细!$H$4:$H$2003,"销售出库",包装物料出入库明细!$P$4:$P$2003,"已收讫",包装物料出入库明细!$B$4:$B$2003,"&gt;="&amp;$AF$1,包装物料出入库明细!$B$4:$B$2003,"&lt;="&amp;$AF$2),2))</f>
        <v/>
      </c>
      <c r="AA97" s="26" t="str">
        <f t="shared" si="7"/>
        <v/>
      </c>
      <c r="AB97" s="41"/>
    </row>
    <row r="98" spans="1:28">
      <c r="A98" s="24" t="str">
        <f t="shared" si="4"/>
        <v/>
      </c>
      <c r="B98" s="24" t="str">
        <f>IFERROR(INDEX(_自动清单!$O$4:$O$203,ROW()-3),"")</f>
        <v/>
      </c>
      <c r="C98" s="25" t="str">
        <f>IF(OR($B98="",_自动清单!$G$4=""),"",SUMIFS(包装物料出入库明细!$J$4:$J$2003,包装物料出入库明细!$D$4:$D$2003,$B98,包装物料出入库明细!$E$4:$E$2003,_自动清单!$G$4,包装物料出入库明细!$B$4:$B$2003,"&gt;="&amp;$AF$1,包装物料出入库明细!$B$4:$B$2003,"&lt;="&amp;$AF$2))</f>
        <v/>
      </c>
      <c r="D98" s="25" t="str">
        <f>IF(OR($B98="",_自动清单!$G$5=""),"",SUMIFS(包装物料出入库明细!$J$4:$J$2003,包装物料出入库明细!$D$4:$D$2003,$B98,包装物料出入库明细!$E$4:$E$2003,_自动清单!$G$5,包装物料出入库明细!$B$4:$B$2003,"&gt;="&amp;$AF$1,包装物料出入库明细!$B$4:$B$2003,"&lt;="&amp;$AF$2))</f>
        <v/>
      </c>
      <c r="E98" s="25" t="str">
        <f>IF(OR($B98="",_自动清单!$G$6=""),"",SUMIFS(包装物料出入库明细!$J$4:$J$2003,包装物料出入库明细!$D$4:$D$2003,$B98,包装物料出入库明细!$E$4:$E$2003,_自动清单!$G$6,包装物料出入库明细!$B$4:$B$2003,"&gt;="&amp;$AF$1,包装物料出入库明细!$B$4:$B$2003,"&lt;="&amp;$AF$2))</f>
        <v/>
      </c>
      <c r="F98" s="25" t="str">
        <f>IF(OR($B98="",_自动清单!$G$7=""),"",SUMIFS(包装物料出入库明细!$J$4:$J$2003,包装物料出入库明细!$D$4:$D$2003,$B98,包装物料出入库明细!$E$4:$E$2003,_自动清单!$G$7,包装物料出入库明细!$B$4:$B$2003,"&gt;="&amp;$AF$1,包装物料出入库明细!$B$4:$B$2003,"&lt;="&amp;$AF$2))</f>
        <v/>
      </c>
      <c r="G98" s="25" t="str">
        <f>IF(OR($B98="",_自动清单!$G$8=""),"",SUMIFS(包装物料出入库明细!$J$4:$J$2003,包装物料出入库明细!$D$4:$D$2003,$B98,包装物料出入库明细!$E$4:$E$2003,_自动清单!$G$8,包装物料出入库明细!$B$4:$B$2003,"&gt;="&amp;$AF$1,包装物料出入库明细!$B$4:$B$2003,"&lt;="&amp;$AF$2))</f>
        <v/>
      </c>
      <c r="H98" s="25" t="str">
        <f>IF(OR($B98="",_自动清单!$G$9=""),"",SUMIFS(包装物料出入库明细!$J$4:$J$2003,包装物料出入库明细!$D$4:$D$2003,$B98,包装物料出入库明细!$E$4:$E$2003,_自动清单!$G$9,包装物料出入库明细!$B$4:$B$2003,"&gt;="&amp;$AF$1,包装物料出入库明细!$B$4:$B$2003,"&lt;="&amp;$AF$2))</f>
        <v/>
      </c>
      <c r="I98" s="25" t="str">
        <f>IF(OR($B98="",_自动清单!$G$10=""),"",SUMIFS(包装物料出入库明细!$J$4:$J$2003,包装物料出入库明细!$D$4:$D$2003,$B98,包装物料出入库明细!$E$4:$E$2003,_自动清单!$G$10,包装物料出入库明细!$B$4:$B$2003,"&gt;="&amp;$AF$1,包装物料出入库明细!$B$4:$B$2003,"&lt;="&amp;$AF$2))</f>
        <v/>
      </c>
      <c r="J98" s="25" t="str">
        <f>IF(OR($B98="",_自动清单!$G$11=""),"",SUMIFS(包装物料出入库明细!$J$4:$J$2003,包装物料出入库明细!$D$4:$D$2003,$B98,包装物料出入库明细!$E$4:$E$2003,_自动清单!$G$11,包装物料出入库明细!$B$4:$B$2003,"&gt;="&amp;$AF$1,包装物料出入库明细!$B$4:$B$2003,"&lt;="&amp;$AF$2))</f>
        <v/>
      </c>
      <c r="K98" s="25" t="str">
        <f>IF(OR($B98="",_自动清单!$G$12=""),"",SUMIFS(包装物料出入库明细!$J$4:$J$2003,包装物料出入库明细!$D$4:$D$2003,$B98,包装物料出入库明细!$E$4:$E$2003,_自动清单!$G$12,包装物料出入库明细!$B$4:$B$2003,"&gt;="&amp;$AF$1,包装物料出入库明细!$B$4:$B$2003,"&lt;="&amp;$AF$2))</f>
        <v/>
      </c>
      <c r="L98" s="25" t="str">
        <f>IF(OR($B98="",_自动清单!$G$13=""),"",SUMIFS(包装物料出入库明细!$J$4:$J$2003,包装物料出入库明细!$D$4:$D$2003,$B98,包装物料出入库明细!$E$4:$E$2003,_自动清单!$G$13,包装物料出入库明细!$B$4:$B$2003,"&gt;="&amp;$AF$1,包装物料出入库明细!$B$4:$B$2003,"&lt;="&amp;$AF$2))</f>
        <v/>
      </c>
      <c r="M98" s="25" t="str">
        <f>IF(OR($B98="",_自动清单!$G$14=""),"",SUMIFS(包装物料出入库明细!$J$4:$J$2003,包装物料出入库明细!$D$4:$D$2003,$B98,包装物料出入库明细!$E$4:$E$2003,_自动清单!$G$14,包装物料出入库明细!$B$4:$B$2003,"&gt;="&amp;$AF$1,包装物料出入库明细!$B$4:$B$2003,"&lt;="&amp;$AF$2))</f>
        <v/>
      </c>
      <c r="N98" s="25" t="str">
        <f>IF(OR($B98="",_自动清单!$G$15=""),"",SUMIFS(包装物料出入库明细!$J$4:$J$2003,包装物料出入库明细!$D$4:$D$2003,$B98,包装物料出入库明细!$E$4:$E$2003,_自动清单!$G$15,包装物料出入库明细!$B$4:$B$2003,"&gt;="&amp;$AF$1,包装物料出入库明细!$B$4:$B$2003,"&lt;="&amp;$AF$2))</f>
        <v/>
      </c>
      <c r="O98" s="25" t="str">
        <f>IF(OR($B98="",_自动清单!$G$16=""),"",SUMIFS(包装物料出入库明细!$J$4:$J$2003,包装物料出入库明细!$D$4:$D$2003,$B98,包装物料出入库明细!$E$4:$E$2003,_自动清单!$G$16,包装物料出入库明细!$B$4:$B$2003,"&gt;="&amp;$AF$1,包装物料出入库明细!$B$4:$B$2003,"&lt;="&amp;$AF$2))</f>
        <v/>
      </c>
      <c r="P98" s="25" t="str">
        <f>IF(OR($B98="",_自动清单!$G$17=""),"",SUMIFS(包装物料出入库明细!$J$4:$J$2003,包装物料出入库明细!$D$4:$D$2003,$B98,包装物料出入库明细!$E$4:$E$2003,_自动清单!$G$17,包装物料出入库明细!$B$4:$B$2003,"&gt;="&amp;$AF$1,包装物料出入库明细!$B$4:$B$2003,"&lt;="&amp;$AF$2))</f>
        <v/>
      </c>
      <c r="Q98" s="25" t="str">
        <f>IF(OR($B98="",_自动清单!$G$18=""),"",SUMIFS(包装物料出入库明细!$J$4:$J$2003,包装物料出入库明细!$D$4:$D$2003,$B98,包装物料出入库明细!$E$4:$E$2003,_自动清单!$G$18,包装物料出入库明细!$B$4:$B$2003,"&gt;="&amp;$AF$1,包装物料出入库明细!$B$4:$B$2003,"&lt;="&amp;$AF$2))</f>
        <v/>
      </c>
      <c r="R98" s="25" t="str">
        <f>IF(OR($B98="",_自动清单!$G$19=""),"",SUMIFS(包装物料出入库明细!$J$4:$J$2003,包装物料出入库明细!$D$4:$D$2003,$B98,包装物料出入库明细!$E$4:$E$2003,_自动清单!$G$19,包装物料出入库明细!$B$4:$B$2003,"&gt;="&amp;$AF$1,包装物料出入库明细!$B$4:$B$2003,"&lt;="&amp;$AF$2))</f>
        <v/>
      </c>
      <c r="S98" s="25" t="str">
        <f>IF(OR($B98="",_自动清单!$G$20=""),"",SUMIFS(包装物料出入库明细!$J$4:$J$2003,包装物料出入库明细!$D$4:$D$2003,$B98,包装物料出入库明细!$E$4:$E$2003,_自动清单!$G$20,包装物料出入库明细!$B$4:$B$2003,"&gt;="&amp;$AF$1,包装物料出入库明细!$B$4:$B$2003,"&lt;="&amp;$AF$2))</f>
        <v/>
      </c>
      <c r="T98" s="25" t="str">
        <f>IF(OR($B98="",_自动清单!$G$21=""),"",SUMIFS(包装物料出入库明细!$J$4:$J$2003,包装物料出入库明细!$D$4:$D$2003,$B98,包装物料出入库明细!$E$4:$E$2003,_自动清单!$G$21,包装物料出入库明细!$B$4:$B$2003,"&gt;="&amp;$AF$1,包装物料出入库明细!$B$4:$B$2003,"&lt;="&amp;$AF$2))</f>
        <v/>
      </c>
      <c r="U98" s="25" t="str">
        <f>IF($B98="","",SUMIFS(包装物料出入库明细!$J$4:$J$2003,包装物料出入库明细!$D$4:$D$2003,$B98,包装物料出入库明细!$B$4:$B$2003,"&gt;="&amp;$AF$1,包装物料出入库明细!$B$4:$B$2003,"&lt;="&amp;$AF$2)-SUM($C98:$T98))</f>
        <v/>
      </c>
      <c r="V98" s="25" t="str">
        <f t="shared" si="5"/>
        <v/>
      </c>
      <c r="W98" s="56" t="str">
        <f>IF($B98="","",SUMIFS(包装物料出入库明细!$K$4:$K$2003,包装物料出入库明细!$D$4:$D$2003,$B98,包装物料出入库明细!$B$4:$B$2003,"&gt;="&amp;$AF$1,包装物料出入库明细!$B$4:$B$2003,"&lt;="&amp;$AF$2))</f>
        <v/>
      </c>
      <c r="X98" s="25" t="str">
        <f t="shared" si="6"/>
        <v/>
      </c>
      <c r="Y98" s="26" t="str">
        <f>IF($B98="","",ROUND(SUMIFS(包装物料出入库明细!$N$4:$N$2003,包装物料出入库明细!$D$4:$D$2003,$B98,包装物料出入库明细!$H$4:$H$2003,"销售出库",包装物料出入库明细!$B$4:$B$2003,"&gt;="&amp;$AF$1,包装物料出入库明细!$B$4:$B$2003,"&lt;="&amp;$AF$2),2))</f>
        <v/>
      </c>
      <c r="Z98" s="26" t="str">
        <f>IF($B98="","",ROUND(SUMIFS(包装物料出入库明细!$N$4:$N$2003,包装物料出入库明细!$D$4:$D$2003,$B98,包装物料出入库明细!$H$4:$H$2003,"销售出库",包装物料出入库明细!$P$4:$P$2003,"已收讫",包装物料出入库明细!$B$4:$B$2003,"&gt;="&amp;$AF$1,包装物料出入库明细!$B$4:$B$2003,"&lt;="&amp;$AF$2),2))</f>
        <v/>
      </c>
      <c r="AA98" s="26" t="str">
        <f t="shared" si="7"/>
        <v/>
      </c>
      <c r="AB98" s="41"/>
    </row>
    <row r="99" spans="1:28">
      <c r="A99" s="24" t="str">
        <f t="shared" si="4"/>
        <v/>
      </c>
      <c r="B99" s="24" t="str">
        <f>IFERROR(INDEX(_自动清单!$O$4:$O$203,ROW()-3),"")</f>
        <v/>
      </c>
      <c r="C99" s="25" t="str">
        <f>IF(OR($B99="",_自动清单!$G$4=""),"",SUMIFS(包装物料出入库明细!$J$4:$J$2003,包装物料出入库明细!$D$4:$D$2003,$B99,包装物料出入库明细!$E$4:$E$2003,_自动清单!$G$4,包装物料出入库明细!$B$4:$B$2003,"&gt;="&amp;$AF$1,包装物料出入库明细!$B$4:$B$2003,"&lt;="&amp;$AF$2))</f>
        <v/>
      </c>
      <c r="D99" s="25" t="str">
        <f>IF(OR($B99="",_自动清单!$G$5=""),"",SUMIFS(包装物料出入库明细!$J$4:$J$2003,包装物料出入库明细!$D$4:$D$2003,$B99,包装物料出入库明细!$E$4:$E$2003,_自动清单!$G$5,包装物料出入库明细!$B$4:$B$2003,"&gt;="&amp;$AF$1,包装物料出入库明细!$B$4:$B$2003,"&lt;="&amp;$AF$2))</f>
        <v/>
      </c>
      <c r="E99" s="25" t="str">
        <f>IF(OR($B99="",_自动清单!$G$6=""),"",SUMIFS(包装物料出入库明细!$J$4:$J$2003,包装物料出入库明细!$D$4:$D$2003,$B99,包装物料出入库明细!$E$4:$E$2003,_自动清单!$G$6,包装物料出入库明细!$B$4:$B$2003,"&gt;="&amp;$AF$1,包装物料出入库明细!$B$4:$B$2003,"&lt;="&amp;$AF$2))</f>
        <v/>
      </c>
      <c r="F99" s="25" t="str">
        <f>IF(OR($B99="",_自动清单!$G$7=""),"",SUMIFS(包装物料出入库明细!$J$4:$J$2003,包装物料出入库明细!$D$4:$D$2003,$B99,包装物料出入库明细!$E$4:$E$2003,_自动清单!$G$7,包装物料出入库明细!$B$4:$B$2003,"&gt;="&amp;$AF$1,包装物料出入库明细!$B$4:$B$2003,"&lt;="&amp;$AF$2))</f>
        <v/>
      </c>
      <c r="G99" s="25" t="str">
        <f>IF(OR($B99="",_自动清单!$G$8=""),"",SUMIFS(包装物料出入库明细!$J$4:$J$2003,包装物料出入库明细!$D$4:$D$2003,$B99,包装物料出入库明细!$E$4:$E$2003,_自动清单!$G$8,包装物料出入库明细!$B$4:$B$2003,"&gt;="&amp;$AF$1,包装物料出入库明细!$B$4:$B$2003,"&lt;="&amp;$AF$2))</f>
        <v/>
      </c>
      <c r="H99" s="25" t="str">
        <f>IF(OR($B99="",_自动清单!$G$9=""),"",SUMIFS(包装物料出入库明细!$J$4:$J$2003,包装物料出入库明细!$D$4:$D$2003,$B99,包装物料出入库明细!$E$4:$E$2003,_自动清单!$G$9,包装物料出入库明细!$B$4:$B$2003,"&gt;="&amp;$AF$1,包装物料出入库明细!$B$4:$B$2003,"&lt;="&amp;$AF$2))</f>
        <v/>
      </c>
      <c r="I99" s="25" t="str">
        <f>IF(OR($B99="",_自动清单!$G$10=""),"",SUMIFS(包装物料出入库明细!$J$4:$J$2003,包装物料出入库明细!$D$4:$D$2003,$B99,包装物料出入库明细!$E$4:$E$2003,_自动清单!$G$10,包装物料出入库明细!$B$4:$B$2003,"&gt;="&amp;$AF$1,包装物料出入库明细!$B$4:$B$2003,"&lt;="&amp;$AF$2))</f>
        <v/>
      </c>
      <c r="J99" s="25" t="str">
        <f>IF(OR($B99="",_自动清单!$G$11=""),"",SUMIFS(包装物料出入库明细!$J$4:$J$2003,包装物料出入库明细!$D$4:$D$2003,$B99,包装物料出入库明细!$E$4:$E$2003,_自动清单!$G$11,包装物料出入库明细!$B$4:$B$2003,"&gt;="&amp;$AF$1,包装物料出入库明细!$B$4:$B$2003,"&lt;="&amp;$AF$2))</f>
        <v/>
      </c>
      <c r="K99" s="25" t="str">
        <f>IF(OR($B99="",_自动清单!$G$12=""),"",SUMIFS(包装物料出入库明细!$J$4:$J$2003,包装物料出入库明细!$D$4:$D$2003,$B99,包装物料出入库明细!$E$4:$E$2003,_自动清单!$G$12,包装物料出入库明细!$B$4:$B$2003,"&gt;="&amp;$AF$1,包装物料出入库明细!$B$4:$B$2003,"&lt;="&amp;$AF$2))</f>
        <v/>
      </c>
      <c r="L99" s="25" t="str">
        <f>IF(OR($B99="",_自动清单!$G$13=""),"",SUMIFS(包装物料出入库明细!$J$4:$J$2003,包装物料出入库明细!$D$4:$D$2003,$B99,包装物料出入库明细!$E$4:$E$2003,_自动清单!$G$13,包装物料出入库明细!$B$4:$B$2003,"&gt;="&amp;$AF$1,包装物料出入库明细!$B$4:$B$2003,"&lt;="&amp;$AF$2))</f>
        <v/>
      </c>
      <c r="M99" s="25" t="str">
        <f>IF(OR($B99="",_自动清单!$G$14=""),"",SUMIFS(包装物料出入库明细!$J$4:$J$2003,包装物料出入库明细!$D$4:$D$2003,$B99,包装物料出入库明细!$E$4:$E$2003,_自动清单!$G$14,包装物料出入库明细!$B$4:$B$2003,"&gt;="&amp;$AF$1,包装物料出入库明细!$B$4:$B$2003,"&lt;="&amp;$AF$2))</f>
        <v/>
      </c>
      <c r="N99" s="25" t="str">
        <f>IF(OR($B99="",_自动清单!$G$15=""),"",SUMIFS(包装物料出入库明细!$J$4:$J$2003,包装物料出入库明细!$D$4:$D$2003,$B99,包装物料出入库明细!$E$4:$E$2003,_自动清单!$G$15,包装物料出入库明细!$B$4:$B$2003,"&gt;="&amp;$AF$1,包装物料出入库明细!$B$4:$B$2003,"&lt;="&amp;$AF$2))</f>
        <v/>
      </c>
      <c r="O99" s="25" t="str">
        <f>IF(OR($B99="",_自动清单!$G$16=""),"",SUMIFS(包装物料出入库明细!$J$4:$J$2003,包装物料出入库明细!$D$4:$D$2003,$B99,包装物料出入库明细!$E$4:$E$2003,_自动清单!$G$16,包装物料出入库明细!$B$4:$B$2003,"&gt;="&amp;$AF$1,包装物料出入库明细!$B$4:$B$2003,"&lt;="&amp;$AF$2))</f>
        <v/>
      </c>
      <c r="P99" s="25" t="str">
        <f>IF(OR($B99="",_自动清单!$G$17=""),"",SUMIFS(包装物料出入库明细!$J$4:$J$2003,包装物料出入库明细!$D$4:$D$2003,$B99,包装物料出入库明细!$E$4:$E$2003,_自动清单!$G$17,包装物料出入库明细!$B$4:$B$2003,"&gt;="&amp;$AF$1,包装物料出入库明细!$B$4:$B$2003,"&lt;="&amp;$AF$2))</f>
        <v/>
      </c>
      <c r="Q99" s="25" t="str">
        <f>IF(OR($B99="",_自动清单!$G$18=""),"",SUMIFS(包装物料出入库明细!$J$4:$J$2003,包装物料出入库明细!$D$4:$D$2003,$B99,包装物料出入库明细!$E$4:$E$2003,_自动清单!$G$18,包装物料出入库明细!$B$4:$B$2003,"&gt;="&amp;$AF$1,包装物料出入库明细!$B$4:$B$2003,"&lt;="&amp;$AF$2))</f>
        <v/>
      </c>
      <c r="R99" s="25" t="str">
        <f>IF(OR($B99="",_自动清单!$G$19=""),"",SUMIFS(包装物料出入库明细!$J$4:$J$2003,包装物料出入库明细!$D$4:$D$2003,$B99,包装物料出入库明细!$E$4:$E$2003,_自动清单!$G$19,包装物料出入库明细!$B$4:$B$2003,"&gt;="&amp;$AF$1,包装物料出入库明细!$B$4:$B$2003,"&lt;="&amp;$AF$2))</f>
        <v/>
      </c>
      <c r="S99" s="25" t="str">
        <f>IF(OR($B99="",_自动清单!$G$20=""),"",SUMIFS(包装物料出入库明细!$J$4:$J$2003,包装物料出入库明细!$D$4:$D$2003,$B99,包装物料出入库明细!$E$4:$E$2003,_自动清单!$G$20,包装物料出入库明细!$B$4:$B$2003,"&gt;="&amp;$AF$1,包装物料出入库明细!$B$4:$B$2003,"&lt;="&amp;$AF$2))</f>
        <v/>
      </c>
      <c r="T99" s="25" t="str">
        <f>IF(OR($B99="",_自动清单!$G$21=""),"",SUMIFS(包装物料出入库明细!$J$4:$J$2003,包装物料出入库明细!$D$4:$D$2003,$B99,包装物料出入库明细!$E$4:$E$2003,_自动清单!$G$21,包装物料出入库明细!$B$4:$B$2003,"&gt;="&amp;$AF$1,包装物料出入库明细!$B$4:$B$2003,"&lt;="&amp;$AF$2))</f>
        <v/>
      </c>
      <c r="U99" s="25" t="str">
        <f>IF($B99="","",SUMIFS(包装物料出入库明细!$J$4:$J$2003,包装物料出入库明细!$D$4:$D$2003,$B99,包装物料出入库明细!$B$4:$B$2003,"&gt;="&amp;$AF$1,包装物料出入库明细!$B$4:$B$2003,"&lt;="&amp;$AF$2)-SUM($C99:$T99))</f>
        <v/>
      </c>
      <c r="V99" s="25" t="str">
        <f t="shared" si="5"/>
        <v/>
      </c>
      <c r="W99" s="56" t="str">
        <f>IF($B99="","",SUMIFS(包装物料出入库明细!$K$4:$K$2003,包装物料出入库明细!$D$4:$D$2003,$B99,包装物料出入库明细!$B$4:$B$2003,"&gt;="&amp;$AF$1,包装物料出入库明细!$B$4:$B$2003,"&lt;="&amp;$AF$2))</f>
        <v/>
      </c>
      <c r="X99" s="25" t="str">
        <f t="shared" si="6"/>
        <v/>
      </c>
      <c r="Y99" s="26" t="str">
        <f>IF($B99="","",ROUND(SUMIFS(包装物料出入库明细!$N$4:$N$2003,包装物料出入库明细!$D$4:$D$2003,$B99,包装物料出入库明细!$H$4:$H$2003,"销售出库",包装物料出入库明细!$B$4:$B$2003,"&gt;="&amp;$AF$1,包装物料出入库明细!$B$4:$B$2003,"&lt;="&amp;$AF$2),2))</f>
        <v/>
      </c>
      <c r="Z99" s="26" t="str">
        <f>IF($B99="","",ROUND(SUMIFS(包装物料出入库明细!$N$4:$N$2003,包装物料出入库明细!$D$4:$D$2003,$B99,包装物料出入库明细!$H$4:$H$2003,"销售出库",包装物料出入库明细!$P$4:$P$2003,"已收讫",包装物料出入库明细!$B$4:$B$2003,"&gt;="&amp;$AF$1,包装物料出入库明细!$B$4:$B$2003,"&lt;="&amp;$AF$2),2))</f>
        <v/>
      </c>
      <c r="AA99" s="26" t="str">
        <f t="shared" si="7"/>
        <v/>
      </c>
      <c r="AB99" s="41"/>
    </row>
    <row r="100" spans="1:28">
      <c r="A100" s="24" t="str">
        <f t="shared" si="4"/>
        <v/>
      </c>
      <c r="B100" s="24" t="str">
        <f>IFERROR(INDEX(_自动清单!$O$4:$O$203,ROW()-3),"")</f>
        <v/>
      </c>
      <c r="C100" s="25" t="str">
        <f>IF(OR($B100="",_自动清单!$G$4=""),"",SUMIFS(包装物料出入库明细!$J$4:$J$2003,包装物料出入库明细!$D$4:$D$2003,$B100,包装物料出入库明细!$E$4:$E$2003,_自动清单!$G$4,包装物料出入库明细!$B$4:$B$2003,"&gt;="&amp;$AF$1,包装物料出入库明细!$B$4:$B$2003,"&lt;="&amp;$AF$2))</f>
        <v/>
      </c>
      <c r="D100" s="25" t="str">
        <f>IF(OR($B100="",_自动清单!$G$5=""),"",SUMIFS(包装物料出入库明细!$J$4:$J$2003,包装物料出入库明细!$D$4:$D$2003,$B100,包装物料出入库明细!$E$4:$E$2003,_自动清单!$G$5,包装物料出入库明细!$B$4:$B$2003,"&gt;="&amp;$AF$1,包装物料出入库明细!$B$4:$B$2003,"&lt;="&amp;$AF$2))</f>
        <v/>
      </c>
      <c r="E100" s="25" t="str">
        <f>IF(OR($B100="",_自动清单!$G$6=""),"",SUMIFS(包装物料出入库明细!$J$4:$J$2003,包装物料出入库明细!$D$4:$D$2003,$B100,包装物料出入库明细!$E$4:$E$2003,_自动清单!$G$6,包装物料出入库明细!$B$4:$B$2003,"&gt;="&amp;$AF$1,包装物料出入库明细!$B$4:$B$2003,"&lt;="&amp;$AF$2))</f>
        <v/>
      </c>
      <c r="F100" s="25" t="str">
        <f>IF(OR($B100="",_自动清单!$G$7=""),"",SUMIFS(包装物料出入库明细!$J$4:$J$2003,包装物料出入库明细!$D$4:$D$2003,$B100,包装物料出入库明细!$E$4:$E$2003,_自动清单!$G$7,包装物料出入库明细!$B$4:$B$2003,"&gt;="&amp;$AF$1,包装物料出入库明细!$B$4:$B$2003,"&lt;="&amp;$AF$2))</f>
        <v/>
      </c>
      <c r="G100" s="25" t="str">
        <f>IF(OR($B100="",_自动清单!$G$8=""),"",SUMIFS(包装物料出入库明细!$J$4:$J$2003,包装物料出入库明细!$D$4:$D$2003,$B100,包装物料出入库明细!$E$4:$E$2003,_自动清单!$G$8,包装物料出入库明细!$B$4:$B$2003,"&gt;="&amp;$AF$1,包装物料出入库明细!$B$4:$B$2003,"&lt;="&amp;$AF$2))</f>
        <v/>
      </c>
      <c r="H100" s="25" t="str">
        <f>IF(OR($B100="",_自动清单!$G$9=""),"",SUMIFS(包装物料出入库明细!$J$4:$J$2003,包装物料出入库明细!$D$4:$D$2003,$B100,包装物料出入库明细!$E$4:$E$2003,_自动清单!$G$9,包装物料出入库明细!$B$4:$B$2003,"&gt;="&amp;$AF$1,包装物料出入库明细!$B$4:$B$2003,"&lt;="&amp;$AF$2))</f>
        <v/>
      </c>
      <c r="I100" s="25" t="str">
        <f>IF(OR($B100="",_自动清单!$G$10=""),"",SUMIFS(包装物料出入库明细!$J$4:$J$2003,包装物料出入库明细!$D$4:$D$2003,$B100,包装物料出入库明细!$E$4:$E$2003,_自动清单!$G$10,包装物料出入库明细!$B$4:$B$2003,"&gt;="&amp;$AF$1,包装物料出入库明细!$B$4:$B$2003,"&lt;="&amp;$AF$2))</f>
        <v/>
      </c>
      <c r="J100" s="25" t="str">
        <f>IF(OR($B100="",_自动清单!$G$11=""),"",SUMIFS(包装物料出入库明细!$J$4:$J$2003,包装物料出入库明细!$D$4:$D$2003,$B100,包装物料出入库明细!$E$4:$E$2003,_自动清单!$G$11,包装物料出入库明细!$B$4:$B$2003,"&gt;="&amp;$AF$1,包装物料出入库明细!$B$4:$B$2003,"&lt;="&amp;$AF$2))</f>
        <v/>
      </c>
      <c r="K100" s="25" t="str">
        <f>IF(OR($B100="",_自动清单!$G$12=""),"",SUMIFS(包装物料出入库明细!$J$4:$J$2003,包装物料出入库明细!$D$4:$D$2003,$B100,包装物料出入库明细!$E$4:$E$2003,_自动清单!$G$12,包装物料出入库明细!$B$4:$B$2003,"&gt;="&amp;$AF$1,包装物料出入库明细!$B$4:$B$2003,"&lt;="&amp;$AF$2))</f>
        <v/>
      </c>
      <c r="L100" s="25" t="str">
        <f>IF(OR($B100="",_自动清单!$G$13=""),"",SUMIFS(包装物料出入库明细!$J$4:$J$2003,包装物料出入库明细!$D$4:$D$2003,$B100,包装物料出入库明细!$E$4:$E$2003,_自动清单!$G$13,包装物料出入库明细!$B$4:$B$2003,"&gt;="&amp;$AF$1,包装物料出入库明细!$B$4:$B$2003,"&lt;="&amp;$AF$2))</f>
        <v/>
      </c>
      <c r="M100" s="25" t="str">
        <f>IF(OR($B100="",_自动清单!$G$14=""),"",SUMIFS(包装物料出入库明细!$J$4:$J$2003,包装物料出入库明细!$D$4:$D$2003,$B100,包装物料出入库明细!$E$4:$E$2003,_自动清单!$G$14,包装物料出入库明细!$B$4:$B$2003,"&gt;="&amp;$AF$1,包装物料出入库明细!$B$4:$B$2003,"&lt;="&amp;$AF$2))</f>
        <v/>
      </c>
      <c r="N100" s="25" t="str">
        <f>IF(OR($B100="",_自动清单!$G$15=""),"",SUMIFS(包装物料出入库明细!$J$4:$J$2003,包装物料出入库明细!$D$4:$D$2003,$B100,包装物料出入库明细!$E$4:$E$2003,_自动清单!$G$15,包装物料出入库明细!$B$4:$B$2003,"&gt;="&amp;$AF$1,包装物料出入库明细!$B$4:$B$2003,"&lt;="&amp;$AF$2))</f>
        <v/>
      </c>
      <c r="O100" s="25" t="str">
        <f>IF(OR($B100="",_自动清单!$G$16=""),"",SUMIFS(包装物料出入库明细!$J$4:$J$2003,包装物料出入库明细!$D$4:$D$2003,$B100,包装物料出入库明细!$E$4:$E$2003,_自动清单!$G$16,包装物料出入库明细!$B$4:$B$2003,"&gt;="&amp;$AF$1,包装物料出入库明细!$B$4:$B$2003,"&lt;="&amp;$AF$2))</f>
        <v/>
      </c>
      <c r="P100" s="25" t="str">
        <f>IF(OR($B100="",_自动清单!$G$17=""),"",SUMIFS(包装物料出入库明细!$J$4:$J$2003,包装物料出入库明细!$D$4:$D$2003,$B100,包装物料出入库明细!$E$4:$E$2003,_自动清单!$G$17,包装物料出入库明细!$B$4:$B$2003,"&gt;="&amp;$AF$1,包装物料出入库明细!$B$4:$B$2003,"&lt;="&amp;$AF$2))</f>
        <v/>
      </c>
      <c r="Q100" s="25" t="str">
        <f>IF(OR($B100="",_自动清单!$G$18=""),"",SUMIFS(包装物料出入库明细!$J$4:$J$2003,包装物料出入库明细!$D$4:$D$2003,$B100,包装物料出入库明细!$E$4:$E$2003,_自动清单!$G$18,包装物料出入库明细!$B$4:$B$2003,"&gt;="&amp;$AF$1,包装物料出入库明细!$B$4:$B$2003,"&lt;="&amp;$AF$2))</f>
        <v/>
      </c>
      <c r="R100" s="25" t="str">
        <f>IF(OR($B100="",_自动清单!$G$19=""),"",SUMIFS(包装物料出入库明细!$J$4:$J$2003,包装物料出入库明细!$D$4:$D$2003,$B100,包装物料出入库明细!$E$4:$E$2003,_自动清单!$G$19,包装物料出入库明细!$B$4:$B$2003,"&gt;="&amp;$AF$1,包装物料出入库明细!$B$4:$B$2003,"&lt;="&amp;$AF$2))</f>
        <v/>
      </c>
      <c r="S100" s="25" t="str">
        <f>IF(OR($B100="",_自动清单!$G$20=""),"",SUMIFS(包装物料出入库明细!$J$4:$J$2003,包装物料出入库明细!$D$4:$D$2003,$B100,包装物料出入库明细!$E$4:$E$2003,_自动清单!$G$20,包装物料出入库明细!$B$4:$B$2003,"&gt;="&amp;$AF$1,包装物料出入库明细!$B$4:$B$2003,"&lt;="&amp;$AF$2))</f>
        <v/>
      </c>
      <c r="T100" s="25" t="str">
        <f>IF(OR($B100="",_自动清单!$G$21=""),"",SUMIFS(包装物料出入库明细!$J$4:$J$2003,包装物料出入库明细!$D$4:$D$2003,$B100,包装物料出入库明细!$E$4:$E$2003,_自动清单!$G$21,包装物料出入库明细!$B$4:$B$2003,"&gt;="&amp;$AF$1,包装物料出入库明细!$B$4:$B$2003,"&lt;="&amp;$AF$2))</f>
        <v/>
      </c>
      <c r="U100" s="25" t="str">
        <f>IF($B100="","",SUMIFS(包装物料出入库明细!$J$4:$J$2003,包装物料出入库明细!$D$4:$D$2003,$B100,包装物料出入库明细!$B$4:$B$2003,"&gt;="&amp;$AF$1,包装物料出入库明细!$B$4:$B$2003,"&lt;="&amp;$AF$2)-SUM($C100:$T100))</f>
        <v/>
      </c>
      <c r="V100" s="25" t="str">
        <f t="shared" si="5"/>
        <v/>
      </c>
      <c r="W100" s="56" t="str">
        <f>IF($B100="","",SUMIFS(包装物料出入库明细!$K$4:$K$2003,包装物料出入库明细!$D$4:$D$2003,$B100,包装物料出入库明细!$B$4:$B$2003,"&gt;="&amp;$AF$1,包装物料出入库明细!$B$4:$B$2003,"&lt;="&amp;$AF$2))</f>
        <v/>
      </c>
      <c r="X100" s="25" t="str">
        <f t="shared" si="6"/>
        <v/>
      </c>
      <c r="Y100" s="26" t="str">
        <f>IF($B100="","",ROUND(SUMIFS(包装物料出入库明细!$N$4:$N$2003,包装物料出入库明细!$D$4:$D$2003,$B100,包装物料出入库明细!$H$4:$H$2003,"销售出库",包装物料出入库明细!$B$4:$B$2003,"&gt;="&amp;$AF$1,包装物料出入库明细!$B$4:$B$2003,"&lt;="&amp;$AF$2),2))</f>
        <v/>
      </c>
      <c r="Z100" s="26" t="str">
        <f>IF($B100="","",ROUND(SUMIFS(包装物料出入库明细!$N$4:$N$2003,包装物料出入库明细!$D$4:$D$2003,$B100,包装物料出入库明细!$H$4:$H$2003,"销售出库",包装物料出入库明细!$P$4:$P$2003,"已收讫",包装物料出入库明细!$B$4:$B$2003,"&gt;="&amp;$AF$1,包装物料出入库明细!$B$4:$B$2003,"&lt;="&amp;$AF$2),2))</f>
        <v/>
      </c>
      <c r="AA100" s="26" t="str">
        <f t="shared" si="7"/>
        <v/>
      </c>
      <c r="AB100" s="41"/>
    </row>
    <row r="101" spans="1:28">
      <c r="A101" s="24" t="str">
        <f t="shared" si="4"/>
        <v/>
      </c>
      <c r="B101" s="24" t="str">
        <f>IFERROR(INDEX(_自动清单!$O$4:$O$203,ROW()-3),"")</f>
        <v/>
      </c>
      <c r="C101" s="25" t="str">
        <f>IF(OR($B101="",_自动清单!$G$4=""),"",SUMIFS(包装物料出入库明细!$J$4:$J$2003,包装物料出入库明细!$D$4:$D$2003,$B101,包装物料出入库明细!$E$4:$E$2003,_自动清单!$G$4,包装物料出入库明细!$B$4:$B$2003,"&gt;="&amp;$AF$1,包装物料出入库明细!$B$4:$B$2003,"&lt;="&amp;$AF$2))</f>
        <v/>
      </c>
      <c r="D101" s="25" t="str">
        <f>IF(OR($B101="",_自动清单!$G$5=""),"",SUMIFS(包装物料出入库明细!$J$4:$J$2003,包装物料出入库明细!$D$4:$D$2003,$B101,包装物料出入库明细!$E$4:$E$2003,_自动清单!$G$5,包装物料出入库明细!$B$4:$B$2003,"&gt;="&amp;$AF$1,包装物料出入库明细!$B$4:$B$2003,"&lt;="&amp;$AF$2))</f>
        <v/>
      </c>
      <c r="E101" s="25" t="str">
        <f>IF(OR($B101="",_自动清单!$G$6=""),"",SUMIFS(包装物料出入库明细!$J$4:$J$2003,包装物料出入库明细!$D$4:$D$2003,$B101,包装物料出入库明细!$E$4:$E$2003,_自动清单!$G$6,包装物料出入库明细!$B$4:$B$2003,"&gt;="&amp;$AF$1,包装物料出入库明细!$B$4:$B$2003,"&lt;="&amp;$AF$2))</f>
        <v/>
      </c>
      <c r="F101" s="25" t="str">
        <f>IF(OR($B101="",_自动清单!$G$7=""),"",SUMIFS(包装物料出入库明细!$J$4:$J$2003,包装物料出入库明细!$D$4:$D$2003,$B101,包装物料出入库明细!$E$4:$E$2003,_自动清单!$G$7,包装物料出入库明细!$B$4:$B$2003,"&gt;="&amp;$AF$1,包装物料出入库明细!$B$4:$B$2003,"&lt;="&amp;$AF$2))</f>
        <v/>
      </c>
      <c r="G101" s="25" t="str">
        <f>IF(OR($B101="",_自动清单!$G$8=""),"",SUMIFS(包装物料出入库明细!$J$4:$J$2003,包装物料出入库明细!$D$4:$D$2003,$B101,包装物料出入库明细!$E$4:$E$2003,_自动清单!$G$8,包装物料出入库明细!$B$4:$B$2003,"&gt;="&amp;$AF$1,包装物料出入库明细!$B$4:$B$2003,"&lt;="&amp;$AF$2))</f>
        <v/>
      </c>
      <c r="H101" s="25" t="str">
        <f>IF(OR($B101="",_自动清单!$G$9=""),"",SUMIFS(包装物料出入库明细!$J$4:$J$2003,包装物料出入库明细!$D$4:$D$2003,$B101,包装物料出入库明细!$E$4:$E$2003,_自动清单!$G$9,包装物料出入库明细!$B$4:$B$2003,"&gt;="&amp;$AF$1,包装物料出入库明细!$B$4:$B$2003,"&lt;="&amp;$AF$2))</f>
        <v/>
      </c>
      <c r="I101" s="25" t="str">
        <f>IF(OR($B101="",_自动清单!$G$10=""),"",SUMIFS(包装物料出入库明细!$J$4:$J$2003,包装物料出入库明细!$D$4:$D$2003,$B101,包装物料出入库明细!$E$4:$E$2003,_自动清单!$G$10,包装物料出入库明细!$B$4:$B$2003,"&gt;="&amp;$AF$1,包装物料出入库明细!$B$4:$B$2003,"&lt;="&amp;$AF$2))</f>
        <v/>
      </c>
      <c r="J101" s="25" t="str">
        <f>IF(OR($B101="",_自动清单!$G$11=""),"",SUMIFS(包装物料出入库明细!$J$4:$J$2003,包装物料出入库明细!$D$4:$D$2003,$B101,包装物料出入库明细!$E$4:$E$2003,_自动清单!$G$11,包装物料出入库明细!$B$4:$B$2003,"&gt;="&amp;$AF$1,包装物料出入库明细!$B$4:$B$2003,"&lt;="&amp;$AF$2))</f>
        <v/>
      </c>
      <c r="K101" s="25" t="str">
        <f>IF(OR($B101="",_自动清单!$G$12=""),"",SUMIFS(包装物料出入库明细!$J$4:$J$2003,包装物料出入库明细!$D$4:$D$2003,$B101,包装物料出入库明细!$E$4:$E$2003,_自动清单!$G$12,包装物料出入库明细!$B$4:$B$2003,"&gt;="&amp;$AF$1,包装物料出入库明细!$B$4:$B$2003,"&lt;="&amp;$AF$2))</f>
        <v/>
      </c>
      <c r="L101" s="25" t="str">
        <f>IF(OR($B101="",_自动清单!$G$13=""),"",SUMIFS(包装物料出入库明细!$J$4:$J$2003,包装物料出入库明细!$D$4:$D$2003,$B101,包装物料出入库明细!$E$4:$E$2003,_自动清单!$G$13,包装物料出入库明细!$B$4:$B$2003,"&gt;="&amp;$AF$1,包装物料出入库明细!$B$4:$B$2003,"&lt;="&amp;$AF$2))</f>
        <v/>
      </c>
      <c r="M101" s="25" t="str">
        <f>IF(OR($B101="",_自动清单!$G$14=""),"",SUMIFS(包装物料出入库明细!$J$4:$J$2003,包装物料出入库明细!$D$4:$D$2003,$B101,包装物料出入库明细!$E$4:$E$2003,_自动清单!$G$14,包装物料出入库明细!$B$4:$B$2003,"&gt;="&amp;$AF$1,包装物料出入库明细!$B$4:$B$2003,"&lt;="&amp;$AF$2))</f>
        <v/>
      </c>
      <c r="N101" s="25" t="str">
        <f>IF(OR($B101="",_自动清单!$G$15=""),"",SUMIFS(包装物料出入库明细!$J$4:$J$2003,包装物料出入库明细!$D$4:$D$2003,$B101,包装物料出入库明细!$E$4:$E$2003,_自动清单!$G$15,包装物料出入库明细!$B$4:$B$2003,"&gt;="&amp;$AF$1,包装物料出入库明细!$B$4:$B$2003,"&lt;="&amp;$AF$2))</f>
        <v/>
      </c>
      <c r="O101" s="25" t="str">
        <f>IF(OR($B101="",_自动清单!$G$16=""),"",SUMIFS(包装物料出入库明细!$J$4:$J$2003,包装物料出入库明细!$D$4:$D$2003,$B101,包装物料出入库明细!$E$4:$E$2003,_自动清单!$G$16,包装物料出入库明细!$B$4:$B$2003,"&gt;="&amp;$AF$1,包装物料出入库明细!$B$4:$B$2003,"&lt;="&amp;$AF$2))</f>
        <v/>
      </c>
      <c r="P101" s="25" t="str">
        <f>IF(OR($B101="",_自动清单!$G$17=""),"",SUMIFS(包装物料出入库明细!$J$4:$J$2003,包装物料出入库明细!$D$4:$D$2003,$B101,包装物料出入库明细!$E$4:$E$2003,_自动清单!$G$17,包装物料出入库明细!$B$4:$B$2003,"&gt;="&amp;$AF$1,包装物料出入库明细!$B$4:$B$2003,"&lt;="&amp;$AF$2))</f>
        <v/>
      </c>
      <c r="Q101" s="25" t="str">
        <f>IF(OR($B101="",_自动清单!$G$18=""),"",SUMIFS(包装物料出入库明细!$J$4:$J$2003,包装物料出入库明细!$D$4:$D$2003,$B101,包装物料出入库明细!$E$4:$E$2003,_自动清单!$G$18,包装物料出入库明细!$B$4:$B$2003,"&gt;="&amp;$AF$1,包装物料出入库明细!$B$4:$B$2003,"&lt;="&amp;$AF$2))</f>
        <v/>
      </c>
      <c r="R101" s="25" t="str">
        <f>IF(OR($B101="",_自动清单!$G$19=""),"",SUMIFS(包装物料出入库明细!$J$4:$J$2003,包装物料出入库明细!$D$4:$D$2003,$B101,包装物料出入库明细!$E$4:$E$2003,_自动清单!$G$19,包装物料出入库明细!$B$4:$B$2003,"&gt;="&amp;$AF$1,包装物料出入库明细!$B$4:$B$2003,"&lt;="&amp;$AF$2))</f>
        <v/>
      </c>
      <c r="S101" s="25" t="str">
        <f>IF(OR($B101="",_自动清单!$G$20=""),"",SUMIFS(包装物料出入库明细!$J$4:$J$2003,包装物料出入库明细!$D$4:$D$2003,$B101,包装物料出入库明细!$E$4:$E$2003,_自动清单!$G$20,包装物料出入库明细!$B$4:$B$2003,"&gt;="&amp;$AF$1,包装物料出入库明细!$B$4:$B$2003,"&lt;="&amp;$AF$2))</f>
        <v/>
      </c>
      <c r="T101" s="25" t="str">
        <f>IF(OR($B101="",_自动清单!$G$21=""),"",SUMIFS(包装物料出入库明细!$J$4:$J$2003,包装物料出入库明细!$D$4:$D$2003,$B101,包装物料出入库明细!$E$4:$E$2003,_自动清单!$G$21,包装物料出入库明细!$B$4:$B$2003,"&gt;="&amp;$AF$1,包装物料出入库明细!$B$4:$B$2003,"&lt;="&amp;$AF$2))</f>
        <v/>
      </c>
      <c r="U101" s="25" t="str">
        <f>IF($B101="","",SUMIFS(包装物料出入库明细!$J$4:$J$2003,包装物料出入库明细!$D$4:$D$2003,$B101,包装物料出入库明细!$B$4:$B$2003,"&gt;="&amp;$AF$1,包装物料出入库明细!$B$4:$B$2003,"&lt;="&amp;$AF$2)-SUM($C101:$T101))</f>
        <v/>
      </c>
      <c r="V101" s="25" t="str">
        <f t="shared" si="5"/>
        <v/>
      </c>
      <c r="W101" s="56" t="str">
        <f>IF($B101="","",SUMIFS(包装物料出入库明细!$K$4:$K$2003,包装物料出入库明细!$D$4:$D$2003,$B101,包装物料出入库明细!$B$4:$B$2003,"&gt;="&amp;$AF$1,包装物料出入库明细!$B$4:$B$2003,"&lt;="&amp;$AF$2))</f>
        <v/>
      </c>
      <c r="X101" s="25" t="str">
        <f t="shared" si="6"/>
        <v/>
      </c>
      <c r="Y101" s="26" t="str">
        <f>IF($B101="","",ROUND(SUMIFS(包装物料出入库明细!$N$4:$N$2003,包装物料出入库明细!$D$4:$D$2003,$B101,包装物料出入库明细!$H$4:$H$2003,"销售出库",包装物料出入库明细!$B$4:$B$2003,"&gt;="&amp;$AF$1,包装物料出入库明细!$B$4:$B$2003,"&lt;="&amp;$AF$2),2))</f>
        <v/>
      </c>
      <c r="Z101" s="26" t="str">
        <f>IF($B101="","",ROUND(SUMIFS(包装物料出入库明细!$N$4:$N$2003,包装物料出入库明细!$D$4:$D$2003,$B101,包装物料出入库明细!$H$4:$H$2003,"销售出库",包装物料出入库明细!$P$4:$P$2003,"已收讫",包装物料出入库明细!$B$4:$B$2003,"&gt;="&amp;$AF$1,包装物料出入库明细!$B$4:$B$2003,"&lt;="&amp;$AF$2),2))</f>
        <v/>
      </c>
      <c r="AA101" s="26" t="str">
        <f t="shared" si="7"/>
        <v/>
      </c>
      <c r="AB101" s="41"/>
    </row>
    <row r="102" spans="1:28">
      <c r="A102" s="24" t="str">
        <f t="shared" si="4"/>
        <v/>
      </c>
      <c r="B102" s="24" t="str">
        <f>IFERROR(INDEX(_自动清单!$O$4:$O$203,ROW()-3),"")</f>
        <v/>
      </c>
      <c r="C102" s="25" t="str">
        <f>IF(OR($B102="",_自动清单!$G$4=""),"",SUMIFS(包装物料出入库明细!$J$4:$J$2003,包装物料出入库明细!$D$4:$D$2003,$B102,包装物料出入库明细!$E$4:$E$2003,_自动清单!$G$4,包装物料出入库明细!$B$4:$B$2003,"&gt;="&amp;$AF$1,包装物料出入库明细!$B$4:$B$2003,"&lt;="&amp;$AF$2))</f>
        <v/>
      </c>
      <c r="D102" s="25" t="str">
        <f>IF(OR($B102="",_自动清单!$G$5=""),"",SUMIFS(包装物料出入库明细!$J$4:$J$2003,包装物料出入库明细!$D$4:$D$2003,$B102,包装物料出入库明细!$E$4:$E$2003,_自动清单!$G$5,包装物料出入库明细!$B$4:$B$2003,"&gt;="&amp;$AF$1,包装物料出入库明细!$B$4:$B$2003,"&lt;="&amp;$AF$2))</f>
        <v/>
      </c>
      <c r="E102" s="25" t="str">
        <f>IF(OR($B102="",_自动清单!$G$6=""),"",SUMIFS(包装物料出入库明细!$J$4:$J$2003,包装物料出入库明细!$D$4:$D$2003,$B102,包装物料出入库明细!$E$4:$E$2003,_自动清单!$G$6,包装物料出入库明细!$B$4:$B$2003,"&gt;="&amp;$AF$1,包装物料出入库明细!$B$4:$B$2003,"&lt;="&amp;$AF$2))</f>
        <v/>
      </c>
      <c r="F102" s="25" t="str">
        <f>IF(OR($B102="",_自动清单!$G$7=""),"",SUMIFS(包装物料出入库明细!$J$4:$J$2003,包装物料出入库明细!$D$4:$D$2003,$B102,包装物料出入库明细!$E$4:$E$2003,_自动清单!$G$7,包装物料出入库明细!$B$4:$B$2003,"&gt;="&amp;$AF$1,包装物料出入库明细!$B$4:$B$2003,"&lt;="&amp;$AF$2))</f>
        <v/>
      </c>
      <c r="G102" s="25" t="str">
        <f>IF(OR($B102="",_自动清单!$G$8=""),"",SUMIFS(包装物料出入库明细!$J$4:$J$2003,包装物料出入库明细!$D$4:$D$2003,$B102,包装物料出入库明细!$E$4:$E$2003,_自动清单!$G$8,包装物料出入库明细!$B$4:$B$2003,"&gt;="&amp;$AF$1,包装物料出入库明细!$B$4:$B$2003,"&lt;="&amp;$AF$2))</f>
        <v/>
      </c>
      <c r="H102" s="25" t="str">
        <f>IF(OR($B102="",_自动清单!$G$9=""),"",SUMIFS(包装物料出入库明细!$J$4:$J$2003,包装物料出入库明细!$D$4:$D$2003,$B102,包装物料出入库明细!$E$4:$E$2003,_自动清单!$G$9,包装物料出入库明细!$B$4:$B$2003,"&gt;="&amp;$AF$1,包装物料出入库明细!$B$4:$B$2003,"&lt;="&amp;$AF$2))</f>
        <v/>
      </c>
      <c r="I102" s="25" t="str">
        <f>IF(OR($B102="",_自动清单!$G$10=""),"",SUMIFS(包装物料出入库明细!$J$4:$J$2003,包装物料出入库明细!$D$4:$D$2003,$B102,包装物料出入库明细!$E$4:$E$2003,_自动清单!$G$10,包装物料出入库明细!$B$4:$B$2003,"&gt;="&amp;$AF$1,包装物料出入库明细!$B$4:$B$2003,"&lt;="&amp;$AF$2))</f>
        <v/>
      </c>
      <c r="J102" s="25" t="str">
        <f>IF(OR($B102="",_自动清单!$G$11=""),"",SUMIFS(包装物料出入库明细!$J$4:$J$2003,包装物料出入库明细!$D$4:$D$2003,$B102,包装物料出入库明细!$E$4:$E$2003,_自动清单!$G$11,包装物料出入库明细!$B$4:$B$2003,"&gt;="&amp;$AF$1,包装物料出入库明细!$B$4:$B$2003,"&lt;="&amp;$AF$2))</f>
        <v/>
      </c>
      <c r="K102" s="25" t="str">
        <f>IF(OR($B102="",_自动清单!$G$12=""),"",SUMIFS(包装物料出入库明细!$J$4:$J$2003,包装物料出入库明细!$D$4:$D$2003,$B102,包装物料出入库明细!$E$4:$E$2003,_自动清单!$G$12,包装物料出入库明细!$B$4:$B$2003,"&gt;="&amp;$AF$1,包装物料出入库明细!$B$4:$B$2003,"&lt;="&amp;$AF$2))</f>
        <v/>
      </c>
      <c r="L102" s="25" t="str">
        <f>IF(OR($B102="",_自动清单!$G$13=""),"",SUMIFS(包装物料出入库明细!$J$4:$J$2003,包装物料出入库明细!$D$4:$D$2003,$B102,包装物料出入库明细!$E$4:$E$2003,_自动清单!$G$13,包装物料出入库明细!$B$4:$B$2003,"&gt;="&amp;$AF$1,包装物料出入库明细!$B$4:$B$2003,"&lt;="&amp;$AF$2))</f>
        <v/>
      </c>
      <c r="M102" s="25" t="str">
        <f>IF(OR($B102="",_自动清单!$G$14=""),"",SUMIFS(包装物料出入库明细!$J$4:$J$2003,包装物料出入库明细!$D$4:$D$2003,$B102,包装物料出入库明细!$E$4:$E$2003,_自动清单!$G$14,包装物料出入库明细!$B$4:$B$2003,"&gt;="&amp;$AF$1,包装物料出入库明细!$B$4:$B$2003,"&lt;="&amp;$AF$2))</f>
        <v/>
      </c>
      <c r="N102" s="25" t="str">
        <f>IF(OR($B102="",_自动清单!$G$15=""),"",SUMIFS(包装物料出入库明细!$J$4:$J$2003,包装物料出入库明细!$D$4:$D$2003,$B102,包装物料出入库明细!$E$4:$E$2003,_自动清单!$G$15,包装物料出入库明细!$B$4:$B$2003,"&gt;="&amp;$AF$1,包装物料出入库明细!$B$4:$B$2003,"&lt;="&amp;$AF$2))</f>
        <v/>
      </c>
      <c r="O102" s="25" t="str">
        <f>IF(OR($B102="",_自动清单!$G$16=""),"",SUMIFS(包装物料出入库明细!$J$4:$J$2003,包装物料出入库明细!$D$4:$D$2003,$B102,包装物料出入库明细!$E$4:$E$2003,_自动清单!$G$16,包装物料出入库明细!$B$4:$B$2003,"&gt;="&amp;$AF$1,包装物料出入库明细!$B$4:$B$2003,"&lt;="&amp;$AF$2))</f>
        <v/>
      </c>
      <c r="P102" s="25" t="str">
        <f>IF(OR($B102="",_自动清单!$G$17=""),"",SUMIFS(包装物料出入库明细!$J$4:$J$2003,包装物料出入库明细!$D$4:$D$2003,$B102,包装物料出入库明细!$E$4:$E$2003,_自动清单!$G$17,包装物料出入库明细!$B$4:$B$2003,"&gt;="&amp;$AF$1,包装物料出入库明细!$B$4:$B$2003,"&lt;="&amp;$AF$2))</f>
        <v/>
      </c>
      <c r="Q102" s="25" t="str">
        <f>IF(OR($B102="",_自动清单!$G$18=""),"",SUMIFS(包装物料出入库明细!$J$4:$J$2003,包装物料出入库明细!$D$4:$D$2003,$B102,包装物料出入库明细!$E$4:$E$2003,_自动清单!$G$18,包装物料出入库明细!$B$4:$B$2003,"&gt;="&amp;$AF$1,包装物料出入库明细!$B$4:$B$2003,"&lt;="&amp;$AF$2))</f>
        <v/>
      </c>
      <c r="R102" s="25" t="str">
        <f>IF(OR($B102="",_自动清单!$G$19=""),"",SUMIFS(包装物料出入库明细!$J$4:$J$2003,包装物料出入库明细!$D$4:$D$2003,$B102,包装物料出入库明细!$E$4:$E$2003,_自动清单!$G$19,包装物料出入库明细!$B$4:$B$2003,"&gt;="&amp;$AF$1,包装物料出入库明细!$B$4:$B$2003,"&lt;="&amp;$AF$2))</f>
        <v/>
      </c>
      <c r="S102" s="25" t="str">
        <f>IF(OR($B102="",_自动清单!$G$20=""),"",SUMIFS(包装物料出入库明细!$J$4:$J$2003,包装物料出入库明细!$D$4:$D$2003,$B102,包装物料出入库明细!$E$4:$E$2003,_自动清单!$G$20,包装物料出入库明细!$B$4:$B$2003,"&gt;="&amp;$AF$1,包装物料出入库明细!$B$4:$B$2003,"&lt;="&amp;$AF$2))</f>
        <v/>
      </c>
      <c r="T102" s="25" t="str">
        <f>IF(OR($B102="",_自动清单!$G$21=""),"",SUMIFS(包装物料出入库明细!$J$4:$J$2003,包装物料出入库明细!$D$4:$D$2003,$B102,包装物料出入库明细!$E$4:$E$2003,_自动清单!$G$21,包装物料出入库明细!$B$4:$B$2003,"&gt;="&amp;$AF$1,包装物料出入库明细!$B$4:$B$2003,"&lt;="&amp;$AF$2))</f>
        <v/>
      </c>
      <c r="U102" s="25" t="str">
        <f>IF($B102="","",SUMIFS(包装物料出入库明细!$J$4:$J$2003,包装物料出入库明细!$D$4:$D$2003,$B102,包装物料出入库明细!$B$4:$B$2003,"&gt;="&amp;$AF$1,包装物料出入库明细!$B$4:$B$2003,"&lt;="&amp;$AF$2)-SUM($C102:$T102))</f>
        <v/>
      </c>
      <c r="V102" s="25" t="str">
        <f t="shared" si="5"/>
        <v/>
      </c>
      <c r="W102" s="56" t="str">
        <f>IF($B102="","",SUMIFS(包装物料出入库明细!$K$4:$K$2003,包装物料出入库明细!$D$4:$D$2003,$B102,包装物料出入库明细!$B$4:$B$2003,"&gt;="&amp;$AF$1,包装物料出入库明细!$B$4:$B$2003,"&lt;="&amp;$AF$2))</f>
        <v/>
      </c>
      <c r="X102" s="25" t="str">
        <f t="shared" si="6"/>
        <v/>
      </c>
      <c r="Y102" s="26" t="str">
        <f>IF($B102="","",ROUND(SUMIFS(包装物料出入库明细!$N$4:$N$2003,包装物料出入库明细!$D$4:$D$2003,$B102,包装物料出入库明细!$H$4:$H$2003,"销售出库",包装物料出入库明细!$B$4:$B$2003,"&gt;="&amp;$AF$1,包装物料出入库明细!$B$4:$B$2003,"&lt;="&amp;$AF$2),2))</f>
        <v/>
      </c>
      <c r="Z102" s="26" t="str">
        <f>IF($B102="","",ROUND(SUMIFS(包装物料出入库明细!$N$4:$N$2003,包装物料出入库明细!$D$4:$D$2003,$B102,包装物料出入库明细!$H$4:$H$2003,"销售出库",包装物料出入库明细!$P$4:$P$2003,"已收讫",包装物料出入库明细!$B$4:$B$2003,"&gt;="&amp;$AF$1,包装物料出入库明细!$B$4:$B$2003,"&lt;="&amp;$AF$2),2))</f>
        <v/>
      </c>
      <c r="AA102" s="26" t="str">
        <f t="shared" si="7"/>
        <v/>
      </c>
      <c r="AB102" s="41"/>
    </row>
    <row r="103" spans="1:28">
      <c r="A103" s="24" t="str">
        <f t="shared" si="4"/>
        <v/>
      </c>
      <c r="B103" s="24" t="str">
        <f>IFERROR(INDEX(_自动清单!$O$4:$O$203,ROW()-3),"")</f>
        <v/>
      </c>
      <c r="C103" s="25" t="str">
        <f>IF(OR($B103="",_自动清单!$G$4=""),"",SUMIFS(包装物料出入库明细!$J$4:$J$2003,包装物料出入库明细!$D$4:$D$2003,$B103,包装物料出入库明细!$E$4:$E$2003,_自动清单!$G$4,包装物料出入库明细!$B$4:$B$2003,"&gt;="&amp;$AF$1,包装物料出入库明细!$B$4:$B$2003,"&lt;="&amp;$AF$2))</f>
        <v/>
      </c>
      <c r="D103" s="25" t="str">
        <f>IF(OR($B103="",_自动清单!$G$5=""),"",SUMIFS(包装物料出入库明细!$J$4:$J$2003,包装物料出入库明细!$D$4:$D$2003,$B103,包装物料出入库明细!$E$4:$E$2003,_自动清单!$G$5,包装物料出入库明细!$B$4:$B$2003,"&gt;="&amp;$AF$1,包装物料出入库明细!$B$4:$B$2003,"&lt;="&amp;$AF$2))</f>
        <v/>
      </c>
      <c r="E103" s="25" t="str">
        <f>IF(OR($B103="",_自动清单!$G$6=""),"",SUMIFS(包装物料出入库明细!$J$4:$J$2003,包装物料出入库明细!$D$4:$D$2003,$B103,包装物料出入库明细!$E$4:$E$2003,_自动清单!$G$6,包装物料出入库明细!$B$4:$B$2003,"&gt;="&amp;$AF$1,包装物料出入库明细!$B$4:$B$2003,"&lt;="&amp;$AF$2))</f>
        <v/>
      </c>
      <c r="F103" s="25" t="str">
        <f>IF(OR($B103="",_自动清单!$G$7=""),"",SUMIFS(包装物料出入库明细!$J$4:$J$2003,包装物料出入库明细!$D$4:$D$2003,$B103,包装物料出入库明细!$E$4:$E$2003,_自动清单!$G$7,包装物料出入库明细!$B$4:$B$2003,"&gt;="&amp;$AF$1,包装物料出入库明细!$B$4:$B$2003,"&lt;="&amp;$AF$2))</f>
        <v/>
      </c>
      <c r="G103" s="25" t="str">
        <f>IF(OR($B103="",_自动清单!$G$8=""),"",SUMIFS(包装物料出入库明细!$J$4:$J$2003,包装物料出入库明细!$D$4:$D$2003,$B103,包装物料出入库明细!$E$4:$E$2003,_自动清单!$G$8,包装物料出入库明细!$B$4:$B$2003,"&gt;="&amp;$AF$1,包装物料出入库明细!$B$4:$B$2003,"&lt;="&amp;$AF$2))</f>
        <v/>
      </c>
      <c r="H103" s="25" t="str">
        <f>IF(OR($B103="",_自动清单!$G$9=""),"",SUMIFS(包装物料出入库明细!$J$4:$J$2003,包装物料出入库明细!$D$4:$D$2003,$B103,包装物料出入库明细!$E$4:$E$2003,_自动清单!$G$9,包装物料出入库明细!$B$4:$B$2003,"&gt;="&amp;$AF$1,包装物料出入库明细!$B$4:$B$2003,"&lt;="&amp;$AF$2))</f>
        <v/>
      </c>
      <c r="I103" s="25" t="str">
        <f>IF(OR($B103="",_自动清单!$G$10=""),"",SUMIFS(包装物料出入库明细!$J$4:$J$2003,包装物料出入库明细!$D$4:$D$2003,$B103,包装物料出入库明细!$E$4:$E$2003,_自动清单!$G$10,包装物料出入库明细!$B$4:$B$2003,"&gt;="&amp;$AF$1,包装物料出入库明细!$B$4:$B$2003,"&lt;="&amp;$AF$2))</f>
        <v/>
      </c>
      <c r="J103" s="25" t="str">
        <f>IF(OR($B103="",_自动清单!$G$11=""),"",SUMIFS(包装物料出入库明细!$J$4:$J$2003,包装物料出入库明细!$D$4:$D$2003,$B103,包装物料出入库明细!$E$4:$E$2003,_自动清单!$G$11,包装物料出入库明细!$B$4:$B$2003,"&gt;="&amp;$AF$1,包装物料出入库明细!$B$4:$B$2003,"&lt;="&amp;$AF$2))</f>
        <v/>
      </c>
      <c r="K103" s="25" t="str">
        <f>IF(OR($B103="",_自动清单!$G$12=""),"",SUMIFS(包装物料出入库明细!$J$4:$J$2003,包装物料出入库明细!$D$4:$D$2003,$B103,包装物料出入库明细!$E$4:$E$2003,_自动清单!$G$12,包装物料出入库明细!$B$4:$B$2003,"&gt;="&amp;$AF$1,包装物料出入库明细!$B$4:$B$2003,"&lt;="&amp;$AF$2))</f>
        <v/>
      </c>
      <c r="L103" s="25" t="str">
        <f>IF(OR($B103="",_自动清单!$G$13=""),"",SUMIFS(包装物料出入库明细!$J$4:$J$2003,包装物料出入库明细!$D$4:$D$2003,$B103,包装物料出入库明细!$E$4:$E$2003,_自动清单!$G$13,包装物料出入库明细!$B$4:$B$2003,"&gt;="&amp;$AF$1,包装物料出入库明细!$B$4:$B$2003,"&lt;="&amp;$AF$2))</f>
        <v/>
      </c>
      <c r="M103" s="25" t="str">
        <f>IF(OR($B103="",_自动清单!$G$14=""),"",SUMIFS(包装物料出入库明细!$J$4:$J$2003,包装物料出入库明细!$D$4:$D$2003,$B103,包装物料出入库明细!$E$4:$E$2003,_自动清单!$G$14,包装物料出入库明细!$B$4:$B$2003,"&gt;="&amp;$AF$1,包装物料出入库明细!$B$4:$B$2003,"&lt;="&amp;$AF$2))</f>
        <v/>
      </c>
      <c r="N103" s="25" t="str">
        <f>IF(OR($B103="",_自动清单!$G$15=""),"",SUMIFS(包装物料出入库明细!$J$4:$J$2003,包装物料出入库明细!$D$4:$D$2003,$B103,包装物料出入库明细!$E$4:$E$2003,_自动清单!$G$15,包装物料出入库明细!$B$4:$B$2003,"&gt;="&amp;$AF$1,包装物料出入库明细!$B$4:$B$2003,"&lt;="&amp;$AF$2))</f>
        <v/>
      </c>
      <c r="O103" s="25" t="str">
        <f>IF(OR($B103="",_自动清单!$G$16=""),"",SUMIFS(包装物料出入库明细!$J$4:$J$2003,包装物料出入库明细!$D$4:$D$2003,$B103,包装物料出入库明细!$E$4:$E$2003,_自动清单!$G$16,包装物料出入库明细!$B$4:$B$2003,"&gt;="&amp;$AF$1,包装物料出入库明细!$B$4:$B$2003,"&lt;="&amp;$AF$2))</f>
        <v/>
      </c>
      <c r="P103" s="25" t="str">
        <f>IF(OR($B103="",_自动清单!$G$17=""),"",SUMIFS(包装物料出入库明细!$J$4:$J$2003,包装物料出入库明细!$D$4:$D$2003,$B103,包装物料出入库明细!$E$4:$E$2003,_自动清单!$G$17,包装物料出入库明细!$B$4:$B$2003,"&gt;="&amp;$AF$1,包装物料出入库明细!$B$4:$B$2003,"&lt;="&amp;$AF$2))</f>
        <v/>
      </c>
      <c r="Q103" s="25" t="str">
        <f>IF(OR($B103="",_自动清单!$G$18=""),"",SUMIFS(包装物料出入库明细!$J$4:$J$2003,包装物料出入库明细!$D$4:$D$2003,$B103,包装物料出入库明细!$E$4:$E$2003,_自动清单!$G$18,包装物料出入库明细!$B$4:$B$2003,"&gt;="&amp;$AF$1,包装物料出入库明细!$B$4:$B$2003,"&lt;="&amp;$AF$2))</f>
        <v/>
      </c>
      <c r="R103" s="25" t="str">
        <f>IF(OR($B103="",_自动清单!$G$19=""),"",SUMIFS(包装物料出入库明细!$J$4:$J$2003,包装物料出入库明细!$D$4:$D$2003,$B103,包装物料出入库明细!$E$4:$E$2003,_自动清单!$G$19,包装物料出入库明细!$B$4:$B$2003,"&gt;="&amp;$AF$1,包装物料出入库明细!$B$4:$B$2003,"&lt;="&amp;$AF$2))</f>
        <v/>
      </c>
      <c r="S103" s="25" t="str">
        <f>IF(OR($B103="",_自动清单!$G$20=""),"",SUMIFS(包装物料出入库明细!$J$4:$J$2003,包装物料出入库明细!$D$4:$D$2003,$B103,包装物料出入库明细!$E$4:$E$2003,_自动清单!$G$20,包装物料出入库明细!$B$4:$B$2003,"&gt;="&amp;$AF$1,包装物料出入库明细!$B$4:$B$2003,"&lt;="&amp;$AF$2))</f>
        <v/>
      </c>
      <c r="T103" s="25" t="str">
        <f>IF(OR($B103="",_自动清单!$G$21=""),"",SUMIFS(包装物料出入库明细!$J$4:$J$2003,包装物料出入库明细!$D$4:$D$2003,$B103,包装物料出入库明细!$E$4:$E$2003,_自动清单!$G$21,包装物料出入库明细!$B$4:$B$2003,"&gt;="&amp;$AF$1,包装物料出入库明细!$B$4:$B$2003,"&lt;="&amp;$AF$2))</f>
        <v/>
      </c>
      <c r="U103" s="25" t="str">
        <f>IF($B103="","",SUMIFS(包装物料出入库明细!$J$4:$J$2003,包装物料出入库明细!$D$4:$D$2003,$B103,包装物料出入库明细!$B$4:$B$2003,"&gt;="&amp;$AF$1,包装物料出入库明细!$B$4:$B$2003,"&lt;="&amp;$AF$2)-SUM($C103:$T103))</f>
        <v/>
      </c>
      <c r="V103" s="25" t="str">
        <f t="shared" si="5"/>
        <v/>
      </c>
      <c r="W103" s="56" t="str">
        <f>IF($B103="","",SUMIFS(包装物料出入库明细!$K$4:$K$2003,包装物料出入库明细!$D$4:$D$2003,$B103,包装物料出入库明细!$B$4:$B$2003,"&gt;="&amp;$AF$1,包装物料出入库明细!$B$4:$B$2003,"&lt;="&amp;$AF$2))</f>
        <v/>
      </c>
      <c r="X103" s="25" t="str">
        <f t="shared" si="6"/>
        <v/>
      </c>
      <c r="Y103" s="26" t="str">
        <f>IF($B103="","",ROUND(SUMIFS(包装物料出入库明细!$N$4:$N$2003,包装物料出入库明细!$D$4:$D$2003,$B103,包装物料出入库明细!$H$4:$H$2003,"销售出库",包装物料出入库明细!$B$4:$B$2003,"&gt;="&amp;$AF$1,包装物料出入库明细!$B$4:$B$2003,"&lt;="&amp;$AF$2),2))</f>
        <v/>
      </c>
      <c r="Z103" s="26" t="str">
        <f>IF($B103="","",ROUND(SUMIFS(包装物料出入库明细!$N$4:$N$2003,包装物料出入库明细!$D$4:$D$2003,$B103,包装物料出入库明细!$H$4:$H$2003,"销售出库",包装物料出入库明细!$P$4:$P$2003,"已收讫",包装物料出入库明细!$B$4:$B$2003,"&gt;="&amp;$AF$1,包装物料出入库明细!$B$4:$B$2003,"&lt;="&amp;$AF$2),2))</f>
        <v/>
      </c>
      <c r="AA103" s="26" t="str">
        <f t="shared" si="7"/>
        <v/>
      </c>
      <c r="AB103" s="41"/>
    </row>
    <row r="104" spans="1:28">
      <c r="A104" s="24" t="str">
        <f t="shared" si="4"/>
        <v/>
      </c>
      <c r="B104" s="24" t="str">
        <f>IFERROR(INDEX(_自动清单!$O$4:$O$203,ROW()-3),"")</f>
        <v/>
      </c>
      <c r="C104" s="25" t="str">
        <f>IF(OR($B104="",_自动清单!$G$4=""),"",SUMIFS(包装物料出入库明细!$J$4:$J$2003,包装物料出入库明细!$D$4:$D$2003,$B104,包装物料出入库明细!$E$4:$E$2003,_自动清单!$G$4,包装物料出入库明细!$B$4:$B$2003,"&gt;="&amp;$AF$1,包装物料出入库明细!$B$4:$B$2003,"&lt;="&amp;$AF$2))</f>
        <v/>
      </c>
      <c r="D104" s="25" t="str">
        <f>IF(OR($B104="",_自动清单!$G$5=""),"",SUMIFS(包装物料出入库明细!$J$4:$J$2003,包装物料出入库明细!$D$4:$D$2003,$B104,包装物料出入库明细!$E$4:$E$2003,_自动清单!$G$5,包装物料出入库明细!$B$4:$B$2003,"&gt;="&amp;$AF$1,包装物料出入库明细!$B$4:$B$2003,"&lt;="&amp;$AF$2))</f>
        <v/>
      </c>
      <c r="E104" s="25" t="str">
        <f>IF(OR($B104="",_自动清单!$G$6=""),"",SUMIFS(包装物料出入库明细!$J$4:$J$2003,包装物料出入库明细!$D$4:$D$2003,$B104,包装物料出入库明细!$E$4:$E$2003,_自动清单!$G$6,包装物料出入库明细!$B$4:$B$2003,"&gt;="&amp;$AF$1,包装物料出入库明细!$B$4:$B$2003,"&lt;="&amp;$AF$2))</f>
        <v/>
      </c>
      <c r="F104" s="25" t="str">
        <f>IF(OR($B104="",_自动清单!$G$7=""),"",SUMIFS(包装物料出入库明细!$J$4:$J$2003,包装物料出入库明细!$D$4:$D$2003,$B104,包装物料出入库明细!$E$4:$E$2003,_自动清单!$G$7,包装物料出入库明细!$B$4:$B$2003,"&gt;="&amp;$AF$1,包装物料出入库明细!$B$4:$B$2003,"&lt;="&amp;$AF$2))</f>
        <v/>
      </c>
      <c r="G104" s="25" t="str">
        <f>IF(OR($B104="",_自动清单!$G$8=""),"",SUMIFS(包装物料出入库明细!$J$4:$J$2003,包装物料出入库明细!$D$4:$D$2003,$B104,包装物料出入库明细!$E$4:$E$2003,_自动清单!$G$8,包装物料出入库明细!$B$4:$B$2003,"&gt;="&amp;$AF$1,包装物料出入库明细!$B$4:$B$2003,"&lt;="&amp;$AF$2))</f>
        <v/>
      </c>
      <c r="H104" s="25" t="str">
        <f>IF(OR($B104="",_自动清单!$G$9=""),"",SUMIFS(包装物料出入库明细!$J$4:$J$2003,包装物料出入库明细!$D$4:$D$2003,$B104,包装物料出入库明细!$E$4:$E$2003,_自动清单!$G$9,包装物料出入库明细!$B$4:$B$2003,"&gt;="&amp;$AF$1,包装物料出入库明细!$B$4:$B$2003,"&lt;="&amp;$AF$2))</f>
        <v/>
      </c>
      <c r="I104" s="25" t="str">
        <f>IF(OR($B104="",_自动清单!$G$10=""),"",SUMIFS(包装物料出入库明细!$J$4:$J$2003,包装物料出入库明细!$D$4:$D$2003,$B104,包装物料出入库明细!$E$4:$E$2003,_自动清单!$G$10,包装物料出入库明细!$B$4:$B$2003,"&gt;="&amp;$AF$1,包装物料出入库明细!$B$4:$B$2003,"&lt;="&amp;$AF$2))</f>
        <v/>
      </c>
      <c r="J104" s="25" t="str">
        <f>IF(OR($B104="",_自动清单!$G$11=""),"",SUMIFS(包装物料出入库明细!$J$4:$J$2003,包装物料出入库明细!$D$4:$D$2003,$B104,包装物料出入库明细!$E$4:$E$2003,_自动清单!$G$11,包装物料出入库明细!$B$4:$B$2003,"&gt;="&amp;$AF$1,包装物料出入库明细!$B$4:$B$2003,"&lt;="&amp;$AF$2))</f>
        <v/>
      </c>
      <c r="K104" s="25" t="str">
        <f>IF(OR($B104="",_自动清单!$G$12=""),"",SUMIFS(包装物料出入库明细!$J$4:$J$2003,包装物料出入库明细!$D$4:$D$2003,$B104,包装物料出入库明细!$E$4:$E$2003,_自动清单!$G$12,包装物料出入库明细!$B$4:$B$2003,"&gt;="&amp;$AF$1,包装物料出入库明细!$B$4:$B$2003,"&lt;="&amp;$AF$2))</f>
        <v/>
      </c>
      <c r="L104" s="25" t="str">
        <f>IF(OR($B104="",_自动清单!$G$13=""),"",SUMIFS(包装物料出入库明细!$J$4:$J$2003,包装物料出入库明细!$D$4:$D$2003,$B104,包装物料出入库明细!$E$4:$E$2003,_自动清单!$G$13,包装物料出入库明细!$B$4:$B$2003,"&gt;="&amp;$AF$1,包装物料出入库明细!$B$4:$B$2003,"&lt;="&amp;$AF$2))</f>
        <v/>
      </c>
      <c r="M104" s="25" t="str">
        <f>IF(OR($B104="",_自动清单!$G$14=""),"",SUMIFS(包装物料出入库明细!$J$4:$J$2003,包装物料出入库明细!$D$4:$D$2003,$B104,包装物料出入库明细!$E$4:$E$2003,_自动清单!$G$14,包装物料出入库明细!$B$4:$B$2003,"&gt;="&amp;$AF$1,包装物料出入库明细!$B$4:$B$2003,"&lt;="&amp;$AF$2))</f>
        <v/>
      </c>
      <c r="N104" s="25" t="str">
        <f>IF(OR($B104="",_自动清单!$G$15=""),"",SUMIFS(包装物料出入库明细!$J$4:$J$2003,包装物料出入库明细!$D$4:$D$2003,$B104,包装物料出入库明细!$E$4:$E$2003,_自动清单!$G$15,包装物料出入库明细!$B$4:$B$2003,"&gt;="&amp;$AF$1,包装物料出入库明细!$B$4:$B$2003,"&lt;="&amp;$AF$2))</f>
        <v/>
      </c>
      <c r="O104" s="25" t="str">
        <f>IF(OR($B104="",_自动清单!$G$16=""),"",SUMIFS(包装物料出入库明细!$J$4:$J$2003,包装物料出入库明细!$D$4:$D$2003,$B104,包装物料出入库明细!$E$4:$E$2003,_自动清单!$G$16,包装物料出入库明细!$B$4:$B$2003,"&gt;="&amp;$AF$1,包装物料出入库明细!$B$4:$B$2003,"&lt;="&amp;$AF$2))</f>
        <v/>
      </c>
      <c r="P104" s="25" t="str">
        <f>IF(OR($B104="",_自动清单!$G$17=""),"",SUMIFS(包装物料出入库明细!$J$4:$J$2003,包装物料出入库明细!$D$4:$D$2003,$B104,包装物料出入库明细!$E$4:$E$2003,_自动清单!$G$17,包装物料出入库明细!$B$4:$B$2003,"&gt;="&amp;$AF$1,包装物料出入库明细!$B$4:$B$2003,"&lt;="&amp;$AF$2))</f>
        <v/>
      </c>
      <c r="Q104" s="25" t="str">
        <f>IF(OR($B104="",_自动清单!$G$18=""),"",SUMIFS(包装物料出入库明细!$J$4:$J$2003,包装物料出入库明细!$D$4:$D$2003,$B104,包装物料出入库明细!$E$4:$E$2003,_自动清单!$G$18,包装物料出入库明细!$B$4:$B$2003,"&gt;="&amp;$AF$1,包装物料出入库明细!$B$4:$B$2003,"&lt;="&amp;$AF$2))</f>
        <v/>
      </c>
      <c r="R104" s="25" t="str">
        <f>IF(OR($B104="",_自动清单!$G$19=""),"",SUMIFS(包装物料出入库明细!$J$4:$J$2003,包装物料出入库明细!$D$4:$D$2003,$B104,包装物料出入库明细!$E$4:$E$2003,_自动清单!$G$19,包装物料出入库明细!$B$4:$B$2003,"&gt;="&amp;$AF$1,包装物料出入库明细!$B$4:$B$2003,"&lt;="&amp;$AF$2))</f>
        <v/>
      </c>
      <c r="S104" s="25" t="str">
        <f>IF(OR($B104="",_自动清单!$G$20=""),"",SUMIFS(包装物料出入库明细!$J$4:$J$2003,包装物料出入库明细!$D$4:$D$2003,$B104,包装物料出入库明细!$E$4:$E$2003,_自动清单!$G$20,包装物料出入库明细!$B$4:$B$2003,"&gt;="&amp;$AF$1,包装物料出入库明细!$B$4:$B$2003,"&lt;="&amp;$AF$2))</f>
        <v/>
      </c>
      <c r="T104" s="25" t="str">
        <f>IF(OR($B104="",_自动清单!$G$21=""),"",SUMIFS(包装物料出入库明细!$J$4:$J$2003,包装物料出入库明细!$D$4:$D$2003,$B104,包装物料出入库明细!$E$4:$E$2003,_自动清单!$G$21,包装物料出入库明细!$B$4:$B$2003,"&gt;="&amp;$AF$1,包装物料出入库明细!$B$4:$B$2003,"&lt;="&amp;$AF$2))</f>
        <v/>
      </c>
      <c r="U104" s="25" t="str">
        <f>IF($B104="","",SUMIFS(包装物料出入库明细!$J$4:$J$2003,包装物料出入库明细!$D$4:$D$2003,$B104,包装物料出入库明细!$B$4:$B$2003,"&gt;="&amp;$AF$1,包装物料出入库明细!$B$4:$B$2003,"&lt;="&amp;$AF$2)-SUM($C104:$T104))</f>
        <v/>
      </c>
      <c r="V104" s="25" t="str">
        <f t="shared" si="5"/>
        <v/>
      </c>
      <c r="W104" s="56" t="str">
        <f>IF($B104="","",SUMIFS(包装物料出入库明细!$K$4:$K$2003,包装物料出入库明细!$D$4:$D$2003,$B104,包装物料出入库明细!$B$4:$B$2003,"&gt;="&amp;$AF$1,包装物料出入库明细!$B$4:$B$2003,"&lt;="&amp;$AF$2))</f>
        <v/>
      </c>
      <c r="X104" s="25" t="str">
        <f t="shared" si="6"/>
        <v/>
      </c>
      <c r="Y104" s="26" t="str">
        <f>IF($B104="","",ROUND(SUMIFS(包装物料出入库明细!$N$4:$N$2003,包装物料出入库明细!$D$4:$D$2003,$B104,包装物料出入库明细!$H$4:$H$2003,"销售出库",包装物料出入库明细!$B$4:$B$2003,"&gt;="&amp;$AF$1,包装物料出入库明细!$B$4:$B$2003,"&lt;="&amp;$AF$2),2))</f>
        <v/>
      </c>
      <c r="Z104" s="26" t="str">
        <f>IF($B104="","",ROUND(SUMIFS(包装物料出入库明细!$N$4:$N$2003,包装物料出入库明细!$D$4:$D$2003,$B104,包装物料出入库明细!$H$4:$H$2003,"销售出库",包装物料出入库明细!$P$4:$P$2003,"已收讫",包装物料出入库明细!$B$4:$B$2003,"&gt;="&amp;$AF$1,包装物料出入库明细!$B$4:$B$2003,"&lt;="&amp;$AF$2),2))</f>
        <v/>
      </c>
      <c r="AA104" s="26" t="str">
        <f t="shared" si="7"/>
        <v/>
      </c>
      <c r="AB104" s="41"/>
    </row>
    <row r="105" spans="1:28">
      <c r="A105" s="24" t="str">
        <f t="shared" si="4"/>
        <v/>
      </c>
      <c r="B105" s="24" t="str">
        <f>IFERROR(INDEX(_自动清单!$O$4:$O$203,ROW()-3),"")</f>
        <v/>
      </c>
      <c r="C105" s="25" t="str">
        <f>IF(OR($B105="",_自动清单!$G$4=""),"",SUMIFS(包装物料出入库明细!$J$4:$J$2003,包装物料出入库明细!$D$4:$D$2003,$B105,包装物料出入库明细!$E$4:$E$2003,_自动清单!$G$4,包装物料出入库明细!$B$4:$B$2003,"&gt;="&amp;$AF$1,包装物料出入库明细!$B$4:$B$2003,"&lt;="&amp;$AF$2))</f>
        <v/>
      </c>
      <c r="D105" s="25" t="str">
        <f>IF(OR($B105="",_自动清单!$G$5=""),"",SUMIFS(包装物料出入库明细!$J$4:$J$2003,包装物料出入库明细!$D$4:$D$2003,$B105,包装物料出入库明细!$E$4:$E$2003,_自动清单!$G$5,包装物料出入库明细!$B$4:$B$2003,"&gt;="&amp;$AF$1,包装物料出入库明细!$B$4:$B$2003,"&lt;="&amp;$AF$2))</f>
        <v/>
      </c>
      <c r="E105" s="25" t="str">
        <f>IF(OR($B105="",_自动清单!$G$6=""),"",SUMIFS(包装物料出入库明细!$J$4:$J$2003,包装物料出入库明细!$D$4:$D$2003,$B105,包装物料出入库明细!$E$4:$E$2003,_自动清单!$G$6,包装物料出入库明细!$B$4:$B$2003,"&gt;="&amp;$AF$1,包装物料出入库明细!$B$4:$B$2003,"&lt;="&amp;$AF$2))</f>
        <v/>
      </c>
      <c r="F105" s="25" t="str">
        <f>IF(OR($B105="",_自动清单!$G$7=""),"",SUMIFS(包装物料出入库明细!$J$4:$J$2003,包装物料出入库明细!$D$4:$D$2003,$B105,包装物料出入库明细!$E$4:$E$2003,_自动清单!$G$7,包装物料出入库明细!$B$4:$B$2003,"&gt;="&amp;$AF$1,包装物料出入库明细!$B$4:$B$2003,"&lt;="&amp;$AF$2))</f>
        <v/>
      </c>
      <c r="G105" s="25" t="str">
        <f>IF(OR($B105="",_自动清单!$G$8=""),"",SUMIFS(包装物料出入库明细!$J$4:$J$2003,包装物料出入库明细!$D$4:$D$2003,$B105,包装物料出入库明细!$E$4:$E$2003,_自动清单!$G$8,包装物料出入库明细!$B$4:$B$2003,"&gt;="&amp;$AF$1,包装物料出入库明细!$B$4:$B$2003,"&lt;="&amp;$AF$2))</f>
        <v/>
      </c>
      <c r="H105" s="25" t="str">
        <f>IF(OR($B105="",_自动清单!$G$9=""),"",SUMIFS(包装物料出入库明细!$J$4:$J$2003,包装物料出入库明细!$D$4:$D$2003,$B105,包装物料出入库明细!$E$4:$E$2003,_自动清单!$G$9,包装物料出入库明细!$B$4:$B$2003,"&gt;="&amp;$AF$1,包装物料出入库明细!$B$4:$B$2003,"&lt;="&amp;$AF$2))</f>
        <v/>
      </c>
      <c r="I105" s="25" t="str">
        <f>IF(OR($B105="",_自动清单!$G$10=""),"",SUMIFS(包装物料出入库明细!$J$4:$J$2003,包装物料出入库明细!$D$4:$D$2003,$B105,包装物料出入库明细!$E$4:$E$2003,_自动清单!$G$10,包装物料出入库明细!$B$4:$B$2003,"&gt;="&amp;$AF$1,包装物料出入库明细!$B$4:$B$2003,"&lt;="&amp;$AF$2))</f>
        <v/>
      </c>
      <c r="J105" s="25" t="str">
        <f>IF(OR($B105="",_自动清单!$G$11=""),"",SUMIFS(包装物料出入库明细!$J$4:$J$2003,包装物料出入库明细!$D$4:$D$2003,$B105,包装物料出入库明细!$E$4:$E$2003,_自动清单!$G$11,包装物料出入库明细!$B$4:$B$2003,"&gt;="&amp;$AF$1,包装物料出入库明细!$B$4:$B$2003,"&lt;="&amp;$AF$2))</f>
        <v/>
      </c>
      <c r="K105" s="25" t="str">
        <f>IF(OR($B105="",_自动清单!$G$12=""),"",SUMIFS(包装物料出入库明细!$J$4:$J$2003,包装物料出入库明细!$D$4:$D$2003,$B105,包装物料出入库明细!$E$4:$E$2003,_自动清单!$G$12,包装物料出入库明细!$B$4:$B$2003,"&gt;="&amp;$AF$1,包装物料出入库明细!$B$4:$B$2003,"&lt;="&amp;$AF$2))</f>
        <v/>
      </c>
      <c r="L105" s="25" t="str">
        <f>IF(OR($B105="",_自动清单!$G$13=""),"",SUMIFS(包装物料出入库明细!$J$4:$J$2003,包装物料出入库明细!$D$4:$D$2003,$B105,包装物料出入库明细!$E$4:$E$2003,_自动清单!$G$13,包装物料出入库明细!$B$4:$B$2003,"&gt;="&amp;$AF$1,包装物料出入库明细!$B$4:$B$2003,"&lt;="&amp;$AF$2))</f>
        <v/>
      </c>
      <c r="M105" s="25" t="str">
        <f>IF(OR($B105="",_自动清单!$G$14=""),"",SUMIFS(包装物料出入库明细!$J$4:$J$2003,包装物料出入库明细!$D$4:$D$2003,$B105,包装物料出入库明细!$E$4:$E$2003,_自动清单!$G$14,包装物料出入库明细!$B$4:$B$2003,"&gt;="&amp;$AF$1,包装物料出入库明细!$B$4:$B$2003,"&lt;="&amp;$AF$2))</f>
        <v/>
      </c>
      <c r="N105" s="25" t="str">
        <f>IF(OR($B105="",_自动清单!$G$15=""),"",SUMIFS(包装物料出入库明细!$J$4:$J$2003,包装物料出入库明细!$D$4:$D$2003,$B105,包装物料出入库明细!$E$4:$E$2003,_自动清单!$G$15,包装物料出入库明细!$B$4:$B$2003,"&gt;="&amp;$AF$1,包装物料出入库明细!$B$4:$B$2003,"&lt;="&amp;$AF$2))</f>
        <v/>
      </c>
      <c r="O105" s="25" t="str">
        <f>IF(OR($B105="",_自动清单!$G$16=""),"",SUMIFS(包装物料出入库明细!$J$4:$J$2003,包装物料出入库明细!$D$4:$D$2003,$B105,包装物料出入库明细!$E$4:$E$2003,_自动清单!$G$16,包装物料出入库明细!$B$4:$B$2003,"&gt;="&amp;$AF$1,包装物料出入库明细!$B$4:$B$2003,"&lt;="&amp;$AF$2))</f>
        <v/>
      </c>
      <c r="P105" s="25" t="str">
        <f>IF(OR($B105="",_自动清单!$G$17=""),"",SUMIFS(包装物料出入库明细!$J$4:$J$2003,包装物料出入库明细!$D$4:$D$2003,$B105,包装物料出入库明细!$E$4:$E$2003,_自动清单!$G$17,包装物料出入库明细!$B$4:$B$2003,"&gt;="&amp;$AF$1,包装物料出入库明细!$B$4:$B$2003,"&lt;="&amp;$AF$2))</f>
        <v/>
      </c>
      <c r="Q105" s="25" t="str">
        <f>IF(OR($B105="",_自动清单!$G$18=""),"",SUMIFS(包装物料出入库明细!$J$4:$J$2003,包装物料出入库明细!$D$4:$D$2003,$B105,包装物料出入库明细!$E$4:$E$2003,_自动清单!$G$18,包装物料出入库明细!$B$4:$B$2003,"&gt;="&amp;$AF$1,包装物料出入库明细!$B$4:$B$2003,"&lt;="&amp;$AF$2))</f>
        <v/>
      </c>
      <c r="R105" s="25" t="str">
        <f>IF(OR($B105="",_自动清单!$G$19=""),"",SUMIFS(包装物料出入库明细!$J$4:$J$2003,包装物料出入库明细!$D$4:$D$2003,$B105,包装物料出入库明细!$E$4:$E$2003,_自动清单!$G$19,包装物料出入库明细!$B$4:$B$2003,"&gt;="&amp;$AF$1,包装物料出入库明细!$B$4:$B$2003,"&lt;="&amp;$AF$2))</f>
        <v/>
      </c>
      <c r="S105" s="25" t="str">
        <f>IF(OR($B105="",_自动清单!$G$20=""),"",SUMIFS(包装物料出入库明细!$J$4:$J$2003,包装物料出入库明细!$D$4:$D$2003,$B105,包装物料出入库明细!$E$4:$E$2003,_自动清单!$G$20,包装物料出入库明细!$B$4:$B$2003,"&gt;="&amp;$AF$1,包装物料出入库明细!$B$4:$B$2003,"&lt;="&amp;$AF$2))</f>
        <v/>
      </c>
      <c r="T105" s="25" t="str">
        <f>IF(OR($B105="",_自动清单!$G$21=""),"",SUMIFS(包装物料出入库明细!$J$4:$J$2003,包装物料出入库明细!$D$4:$D$2003,$B105,包装物料出入库明细!$E$4:$E$2003,_自动清单!$G$21,包装物料出入库明细!$B$4:$B$2003,"&gt;="&amp;$AF$1,包装物料出入库明细!$B$4:$B$2003,"&lt;="&amp;$AF$2))</f>
        <v/>
      </c>
      <c r="U105" s="25" t="str">
        <f>IF($B105="","",SUMIFS(包装物料出入库明细!$J$4:$J$2003,包装物料出入库明细!$D$4:$D$2003,$B105,包装物料出入库明细!$B$4:$B$2003,"&gt;="&amp;$AF$1,包装物料出入库明细!$B$4:$B$2003,"&lt;="&amp;$AF$2)-SUM($C105:$T105))</f>
        <v/>
      </c>
      <c r="V105" s="25" t="str">
        <f t="shared" si="5"/>
        <v/>
      </c>
      <c r="W105" s="56" t="str">
        <f>IF($B105="","",SUMIFS(包装物料出入库明细!$K$4:$K$2003,包装物料出入库明细!$D$4:$D$2003,$B105,包装物料出入库明细!$B$4:$B$2003,"&gt;="&amp;$AF$1,包装物料出入库明细!$B$4:$B$2003,"&lt;="&amp;$AF$2))</f>
        <v/>
      </c>
      <c r="X105" s="25" t="str">
        <f t="shared" si="6"/>
        <v/>
      </c>
      <c r="Y105" s="26" t="str">
        <f>IF($B105="","",ROUND(SUMIFS(包装物料出入库明细!$N$4:$N$2003,包装物料出入库明细!$D$4:$D$2003,$B105,包装物料出入库明细!$H$4:$H$2003,"销售出库",包装物料出入库明细!$B$4:$B$2003,"&gt;="&amp;$AF$1,包装物料出入库明细!$B$4:$B$2003,"&lt;="&amp;$AF$2),2))</f>
        <v/>
      </c>
      <c r="Z105" s="26" t="str">
        <f>IF($B105="","",ROUND(SUMIFS(包装物料出入库明细!$N$4:$N$2003,包装物料出入库明细!$D$4:$D$2003,$B105,包装物料出入库明细!$H$4:$H$2003,"销售出库",包装物料出入库明细!$P$4:$P$2003,"已收讫",包装物料出入库明细!$B$4:$B$2003,"&gt;="&amp;$AF$1,包装物料出入库明细!$B$4:$B$2003,"&lt;="&amp;$AF$2),2))</f>
        <v/>
      </c>
      <c r="AA105" s="26" t="str">
        <f t="shared" si="7"/>
        <v/>
      </c>
      <c r="AB105" s="41"/>
    </row>
    <row r="106" spans="1:28">
      <c r="A106" s="24" t="str">
        <f t="shared" si="4"/>
        <v/>
      </c>
      <c r="B106" s="24" t="str">
        <f>IFERROR(INDEX(_自动清单!$O$4:$O$203,ROW()-3),"")</f>
        <v/>
      </c>
      <c r="C106" s="25" t="str">
        <f>IF(OR($B106="",_自动清单!$G$4=""),"",SUMIFS(包装物料出入库明细!$J$4:$J$2003,包装物料出入库明细!$D$4:$D$2003,$B106,包装物料出入库明细!$E$4:$E$2003,_自动清单!$G$4,包装物料出入库明细!$B$4:$B$2003,"&gt;="&amp;$AF$1,包装物料出入库明细!$B$4:$B$2003,"&lt;="&amp;$AF$2))</f>
        <v/>
      </c>
      <c r="D106" s="25" t="str">
        <f>IF(OR($B106="",_自动清单!$G$5=""),"",SUMIFS(包装物料出入库明细!$J$4:$J$2003,包装物料出入库明细!$D$4:$D$2003,$B106,包装物料出入库明细!$E$4:$E$2003,_自动清单!$G$5,包装物料出入库明细!$B$4:$B$2003,"&gt;="&amp;$AF$1,包装物料出入库明细!$B$4:$B$2003,"&lt;="&amp;$AF$2))</f>
        <v/>
      </c>
      <c r="E106" s="25" t="str">
        <f>IF(OR($B106="",_自动清单!$G$6=""),"",SUMIFS(包装物料出入库明细!$J$4:$J$2003,包装物料出入库明细!$D$4:$D$2003,$B106,包装物料出入库明细!$E$4:$E$2003,_自动清单!$G$6,包装物料出入库明细!$B$4:$B$2003,"&gt;="&amp;$AF$1,包装物料出入库明细!$B$4:$B$2003,"&lt;="&amp;$AF$2))</f>
        <v/>
      </c>
      <c r="F106" s="25" t="str">
        <f>IF(OR($B106="",_自动清单!$G$7=""),"",SUMIFS(包装物料出入库明细!$J$4:$J$2003,包装物料出入库明细!$D$4:$D$2003,$B106,包装物料出入库明细!$E$4:$E$2003,_自动清单!$G$7,包装物料出入库明细!$B$4:$B$2003,"&gt;="&amp;$AF$1,包装物料出入库明细!$B$4:$B$2003,"&lt;="&amp;$AF$2))</f>
        <v/>
      </c>
      <c r="G106" s="25" t="str">
        <f>IF(OR($B106="",_自动清单!$G$8=""),"",SUMIFS(包装物料出入库明细!$J$4:$J$2003,包装物料出入库明细!$D$4:$D$2003,$B106,包装物料出入库明细!$E$4:$E$2003,_自动清单!$G$8,包装物料出入库明细!$B$4:$B$2003,"&gt;="&amp;$AF$1,包装物料出入库明细!$B$4:$B$2003,"&lt;="&amp;$AF$2))</f>
        <v/>
      </c>
      <c r="H106" s="25" t="str">
        <f>IF(OR($B106="",_自动清单!$G$9=""),"",SUMIFS(包装物料出入库明细!$J$4:$J$2003,包装物料出入库明细!$D$4:$D$2003,$B106,包装物料出入库明细!$E$4:$E$2003,_自动清单!$G$9,包装物料出入库明细!$B$4:$B$2003,"&gt;="&amp;$AF$1,包装物料出入库明细!$B$4:$B$2003,"&lt;="&amp;$AF$2))</f>
        <v/>
      </c>
      <c r="I106" s="25" t="str">
        <f>IF(OR($B106="",_自动清单!$G$10=""),"",SUMIFS(包装物料出入库明细!$J$4:$J$2003,包装物料出入库明细!$D$4:$D$2003,$B106,包装物料出入库明细!$E$4:$E$2003,_自动清单!$G$10,包装物料出入库明细!$B$4:$B$2003,"&gt;="&amp;$AF$1,包装物料出入库明细!$B$4:$B$2003,"&lt;="&amp;$AF$2))</f>
        <v/>
      </c>
      <c r="J106" s="25" t="str">
        <f>IF(OR($B106="",_自动清单!$G$11=""),"",SUMIFS(包装物料出入库明细!$J$4:$J$2003,包装物料出入库明细!$D$4:$D$2003,$B106,包装物料出入库明细!$E$4:$E$2003,_自动清单!$G$11,包装物料出入库明细!$B$4:$B$2003,"&gt;="&amp;$AF$1,包装物料出入库明细!$B$4:$B$2003,"&lt;="&amp;$AF$2))</f>
        <v/>
      </c>
      <c r="K106" s="25" t="str">
        <f>IF(OR($B106="",_自动清单!$G$12=""),"",SUMIFS(包装物料出入库明细!$J$4:$J$2003,包装物料出入库明细!$D$4:$D$2003,$B106,包装物料出入库明细!$E$4:$E$2003,_自动清单!$G$12,包装物料出入库明细!$B$4:$B$2003,"&gt;="&amp;$AF$1,包装物料出入库明细!$B$4:$B$2003,"&lt;="&amp;$AF$2))</f>
        <v/>
      </c>
      <c r="L106" s="25" t="str">
        <f>IF(OR($B106="",_自动清单!$G$13=""),"",SUMIFS(包装物料出入库明细!$J$4:$J$2003,包装物料出入库明细!$D$4:$D$2003,$B106,包装物料出入库明细!$E$4:$E$2003,_自动清单!$G$13,包装物料出入库明细!$B$4:$B$2003,"&gt;="&amp;$AF$1,包装物料出入库明细!$B$4:$B$2003,"&lt;="&amp;$AF$2))</f>
        <v/>
      </c>
      <c r="M106" s="25" t="str">
        <f>IF(OR($B106="",_自动清单!$G$14=""),"",SUMIFS(包装物料出入库明细!$J$4:$J$2003,包装物料出入库明细!$D$4:$D$2003,$B106,包装物料出入库明细!$E$4:$E$2003,_自动清单!$G$14,包装物料出入库明细!$B$4:$B$2003,"&gt;="&amp;$AF$1,包装物料出入库明细!$B$4:$B$2003,"&lt;="&amp;$AF$2))</f>
        <v/>
      </c>
      <c r="N106" s="25" t="str">
        <f>IF(OR($B106="",_自动清单!$G$15=""),"",SUMIFS(包装物料出入库明细!$J$4:$J$2003,包装物料出入库明细!$D$4:$D$2003,$B106,包装物料出入库明细!$E$4:$E$2003,_自动清单!$G$15,包装物料出入库明细!$B$4:$B$2003,"&gt;="&amp;$AF$1,包装物料出入库明细!$B$4:$B$2003,"&lt;="&amp;$AF$2))</f>
        <v/>
      </c>
      <c r="O106" s="25" t="str">
        <f>IF(OR($B106="",_自动清单!$G$16=""),"",SUMIFS(包装物料出入库明细!$J$4:$J$2003,包装物料出入库明细!$D$4:$D$2003,$B106,包装物料出入库明细!$E$4:$E$2003,_自动清单!$G$16,包装物料出入库明细!$B$4:$B$2003,"&gt;="&amp;$AF$1,包装物料出入库明细!$B$4:$B$2003,"&lt;="&amp;$AF$2))</f>
        <v/>
      </c>
      <c r="P106" s="25" t="str">
        <f>IF(OR($B106="",_自动清单!$G$17=""),"",SUMIFS(包装物料出入库明细!$J$4:$J$2003,包装物料出入库明细!$D$4:$D$2003,$B106,包装物料出入库明细!$E$4:$E$2003,_自动清单!$G$17,包装物料出入库明细!$B$4:$B$2003,"&gt;="&amp;$AF$1,包装物料出入库明细!$B$4:$B$2003,"&lt;="&amp;$AF$2))</f>
        <v/>
      </c>
      <c r="Q106" s="25" t="str">
        <f>IF(OR($B106="",_自动清单!$G$18=""),"",SUMIFS(包装物料出入库明细!$J$4:$J$2003,包装物料出入库明细!$D$4:$D$2003,$B106,包装物料出入库明细!$E$4:$E$2003,_自动清单!$G$18,包装物料出入库明细!$B$4:$B$2003,"&gt;="&amp;$AF$1,包装物料出入库明细!$B$4:$B$2003,"&lt;="&amp;$AF$2))</f>
        <v/>
      </c>
      <c r="R106" s="25" t="str">
        <f>IF(OR($B106="",_自动清单!$G$19=""),"",SUMIFS(包装物料出入库明细!$J$4:$J$2003,包装物料出入库明细!$D$4:$D$2003,$B106,包装物料出入库明细!$E$4:$E$2003,_自动清单!$G$19,包装物料出入库明细!$B$4:$B$2003,"&gt;="&amp;$AF$1,包装物料出入库明细!$B$4:$B$2003,"&lt;="&amp;$AF$2))</f>
        <v/>
      </c>
      <c r="S106" s="25" t="str">
        <f>IF(OR($B106="",_自动清单!$G$20=""),"",SUMIFS(包装物料出入库明细!$J$4:$J$2003,包装物料出入库明细!$D$4:$D$2003,$B106,包装物料出入库明细!$E$4:$E$2003,_自动清单!$G$20,包装物料出入库明细!$B$4:$B$2003,"&gt;="&amp;$AF$1,包装物料出入库明细!$B$4:$B$2003,"&lt;="&amp;$AF$2))</f>
        <v/>
      </c>
      <c r="T106" s="25" t="str">
        <f>IF(OR($B106="",_自动清单!$G$21=""),"",SUMIFS(包装物料出入库明细!$J$4:$J$2003,包装物料出入库明细!$D$4:$D$2003,$B106,包装物料出入库明细!$E$4:$E$2003,_自动清单!$G$21,包装物料出入库明细!$B$4:$B$2003,"&gt;="&amp;$AF$1,包装物料出入库明细!$B$4:$B$2003,"&lt;="&amp;$AF$2))</f>
        <v/>
      </c>
      <c r="U106" s="25" t="str">
        <f>IF($B106="","",SUMIFS(包装物料出入库明细!$J$4:$J$2003,包装物料出入库明细!$D$4:$D$2003,$B106,包装物料出入库明细!$B$4:$B$2003,"&gt;="&amp;$AF$1,包装物料出入库明细!$B$4:$B$2003,"&lt;="&amp;$AF$2)-SUM($C106:$T106))</f>
        <v/>
      </c>
      <c r="V106" s="25" t="str">
        <f t="shared" si="5"/>
        <v/>
      </c>
      <c r="W106" s="56" t="str">
        <f>IF($B106="","",SUMIFS(包装物料出入库明细!$K$4:$K$2003,包装物料出入库明细!$D$4:$D$2003,$B106,包装物料出入库明细!$B$4:$B$2003,"&gt;="&amp;$AF$1,包装物料出入库明细!$B$4:$B$2003,"&lt;="&amp;$AF$2))</f>
        <v/>
      </c>
      <c r="X106" s="25" t="str">
        <f t="shared" si="6"/>
        <v/>
      </c>
      <c r="Y106" s="26" t="str">
        <f>IF($B106="","",ROUND(SUMIFS(包装物料出入库明细!$N$4:$N$2003,包装物料出入库明细!$D$4:$D$2003,$B106,包装物料出入库明细!$H$4:$H$2003,"销售出库",包装物料出入库明细!$B$4:$B$2003,"&gt;="&amp;$AF$1,包装物料出入库明细!$B$4:$B$2003,"&lt;="&amp;$AF$2),2))</f>
        <v/>
      </c>
      <c r="Z106" s="26" t="str">
        <f>IF($B106="","",ROUND(SUMIFS(包装物料出入库明细!$N$4:$N$2003,包装物料出入库明细!$D$4:$D$2003,$B106,包装物料出入库明细!$H$4:$H$2003,"销售出库",包装物料出入库明细!$P$4:$P$2003,"已收讫",包装物料出入库明细!$B$4:$B$2003,"&gt;="&amp;$AF$1,包装物料出入库明细!$B$4:$B$2003,"&lt;="&amp;$AF$2),2))</f>
        <v/>
      </c>
      <c r="AA106" s="26" t="str">
        <f t="shared" si="7"/>
        <v/>
      </c>
      <c r="AB106" s="41"/>
    </row>
    <row r="107" spans="1:28">
      <c r="A107" s="24" t="str">
        <f t="shared" si="4"/>
        <v/>
      </c>
      <c r="B107" s="24" t="str">
        <f>IFERROR(INDEX(_自动清单!$O$4:$O$203,ROW()-3),"")</f>
        <v/>
      </c>
      <c r="C107" s="25" t="str">
        <f>IF(OR($B107="",_自动清单!$G$4=""),"",SUMIFS(包装物料出入库明细!$J$4:$J$2003,包装物料出入库明细!$D$4:$D$2003,$B107,包装物料出入库明细!$E$4:$E$2003,_自动清单!$G$4,包装物料出入库明细!$B$4:$B$2003,"&gt;="&amp;$AF$1,包装物料出入库明细!$B$4:$B$2003,"&lt;="&amp;$AF$2))</f>
        <v/>
      </c>
      <c r="D107" s="25" t="str">
        <f>IF(OR($B107="",_自动清单!$G$5=""),"",SUMIFS(包装物料出入库明细!$J$4:$J$2003,包装物料出入库明细!$D$4:$D$2003,$B107,包装物料出入库明细!$E$4:$E$2003,_自动清单!$G$5,包装物料出入库明细!$B$4:$B$2003,"&gt;="&amp;$AF$1,包装物料出入库明细!$B$4:$B$2003,"&lt;="&amp;$AF$2))</f>
        <v/>
      </c>
      <c r="E107" s="25" t="str">
        <f>IF(OR($B107="",_自动清单!$G$6=""),"",SUMIFS(包装物料出入库明细!$J$4:$J$2003,包装物料出入库明细!$D$4:$D$2003,$B107,包装物料出入库明细!$E$4:$E$2003,_自动清单!$G$6,包装物料出入库明细!$B$4:$B$2003,"&gt;="&amp;$AF$1,包装物料出入库明细!$B$4:$B$2003,"&lt;="&amp;$AF$2))</f>
        <v/>
      </c>
      <c r="F107" s="25" t="str">
        <f>IF(OR($B107="",_自动清单!$G$7=""),"",SUMIFS(包装物料出入库明细!$J$4:$J$2003,包装物料出入库明细!$D$4:$D$2003,$B107,包装物料出入库明细!$E$4:$E$2003,_自动清单!$G$7,包装物料出入库明细!$B$4:$B$2003,"&gt;="&amp;$AF$1,包装物料出入库明细!$B$4:$B$2003,"&lt;="&amp;$AF$2))</f>
        <v/>
      </c>
      <c r="G107" s="25" t="str">
        <f>IF(OR($B107="",_自动清单!$G$8=""),"",SUMIFS(包装物料出入库明细!$J$4:$J$2003,包装物料出入库明细!$D$4:$D$2003,$B107,包装物料出入库明细!$E$4:$E$2003,_自动清单!$G$8,包装物料出入库明细!$B$4:$B$2003,"&gt;="&amp;$AF$1,包装物料出入库明细!$B$4:$B$2003,"&lt;="&amp;$AF$2))</f>
        <v/>
      </c>
      <c r="H107" s="25" t="str">
        <f>IF(OR($B107="",_自动清单!$G$9=""),"",SUMIFS(包装物料出入库明细!$J$4:$J$2003,包装物料出入库明细!$D$4:$D$2003,$B107,包装物料出入库明细!$E$4:$E$2003,_自动清单!$G$9,包装物料出入库明细!$B$4:$B$2003,"&gt;="&amp;$AF$1,包装物料出入库明细!$B$4:$B$2003,"&lt;="&amp;$AF$2))</f>
        <v/>
      </c>
      <c r="I107" s="25" t="str">
        <f>IF(OR($B107="",_自动清单!$G$10=""),"",SUMIFS(包装物料出入库明细!$J$4:$J$2003,包装物料出入库明细!$D$4:$D$2003,$B107,包装物料出入库明细!$E$4:$E$2003,_自动清单!$G$10,包装物料出入库明细!$B$4:$B$2003,"&gt;="&amp;$AF$1,包装物料出入库明细!$B$4:$B$2003,"&lt;="&amp;$AF$2))</f>
        <v/>
      </c>
      <c r="J107" s="25" t="str">
        <f>IF(OR($B107="",_自动清单!$G$11=""),"",SUMIFS(包装物料出入库明细!$J$4:$J$2003,包装物料出入库明细!$D$4:$D$2003,$B107,包装物料出入库明细!$E$4:$E$2003,_自动清单!$G$11,包装物料出入库明细!$B$4:$B$2003,"&gt;="&amp;$AF$1,包装物料出入库明细!$B$4:$B$2003,"&lt;="&amp;$AF$2))</f>
        <v/>
      </c>
      <c r="K107" s="25" t="str">
        <f>IF(OR($B107="",_自动清单!$G$12=""),"",SUMIFS(包装物料出入库明细!$J$4:$J$2003,包装物料出入库明细!$D$4:$D$2003,$B107,包装物料出入库明细!$E$4:$E$2003,_自动清单!$G$12,包装物料出入库明细!$B$4:$B$2003,"&gt;="&amp;$AF$1,包装物料出入库明细!$B$4:$B$2003,"&lt;="&amp;$AF$2))</f>
        <v/>
      </c>
      <c r="L107" s="25" t="str">
        <f>IF(OR($B107="",_自动清单!$G$13=""),"",SUMIFS(包装物料出入库明细!$J$4:$J$2003,包装物料出入库明细!$D$4:$D$2003,$B107,包装物料出入库明细!$E$4:$E$2003,_自动清单!$G$13,包装物料出入库明细!$B$4:$B$2003,"&gt;="&amp;$AF$1,包装物料出入库明细!$B$4:$B$2003,"&lt;="&amp;$AF$2))</f>
        <v/>
      </c>
      <c r="M107" s="25" t="str">
        <f>IF(OR($B107="",_自动清单!$G$14=""),"",SUMIFS(包装物料出入库明细!$J$4:$J$2003,包装物料出入库明细!$D$4:$D$2003,$B107,包装物料出入库明细!$E$4:$E$2003,_自动清单!$G$14,包装物料出入库明细!$B$4:$B$2003,"&gt;="&amp;$AF$1,包装物料出入库明细!$B$4:$B$2003,"&lt;="&amp;$AF$2))</f>
        <v/>
      </c>
      <c r="N107" s="25" t="str">
        <f>IF(OR($B107="",_自动清单!$G$15=""),"",SUMIFS(包装物料出入库明细!$J$4:$J$2003,包装物料出入库明细!$D$4:$D$2003,$B107,包装物料出入库明细!$E$4:$E$2003,_自动清单!$G$15,包装物料出入库明细!$B$4:$B$2003,"&gt;="&amp;$AF$1,包装物料出入库明细!$B$4:$B$2003,"&lt;="&amp;$AF$2))</f>
        <v/>
      </c>
      <c r="O107" s="25" t="str">
        <f>IF(OR($B107="",_自动清单!$G$16=""),"",SUMIFS(包装物料出入库明细!$J$4:$J$2003,包装物料出入库明细!$D$4:$D$2003,$B107,包装物料出入库明细!$E$4:$E$2003,_自动清单!$G$16,包装物料出入库明细!$B$4:$B$2003,"&gt;="&amp;$AF$1,包装物料出入库明细!$B$4:$B$2003,"&lt;="&amp;$AF$2))</f>
        <v/>
      </c>
      <c r="P107" s="25" t="str">
        <f>IF(OR($B107="",_自动清单!$G$17=""),"",SUMIFS(包装物料出入库明细!$J$4:$J$2003,包装物料出入库明细!$D$4:$D$2003,$B107,包装物料出入库明细!$E$4:$E$2003,_自动清单!$G$17,包装物料出入库明细!$B$4:$B$2003,"&gt;="&amp;$AF$1,包装物料出入库明细!$B$4:$B$2003,"&lt;="&amp;$AF$2))</f>
        <v/>
      </c>
      <c r="Q107" s="25" t="str">
        <f>IF(OR($B107="",_自动清单!$G$18=""),"",SUMIFS(包装物料出入库明细!$J$4:$J$2003,包装物料出入库明细!$D$4:$D$2003,$B107,包装物料出入库明细!$E$4:$E$2003,_自动清单!$G$18,包装物料出入库明细!$B$4:$B$2003,"&gt;="&amp;$AF$1,包装物料出入库明细!$B$4:$B$2003,"&lt;="&amp;$AF$2))</f>
        <v/>
      </c>
      <c r="R107" s="25" t="str">
        <f>IF(OR($B107="",_自动清单!$G$19=""),"",SUMIFS(包装物料出入库明细!$J$4:$J$2003,包装物料出入库明细!$D$4:$D$2003,$B107,包装物料出入库明细!$E$4:$E$2003,_自动清单!$G$19,包装物料出入库明细!$B$4:$B$2003,"&gt;="&amp;$AF$1,包装物料出入库明细!$B$4:$B$2003,"&lt;="&amp;$AF$2))</f>
        <v/>
      </c>
      <c r="S107" s="25" t="str">
        <f>IF(OR($B107="",_自动清单!$G$20=""),"",SUMIFS(包装物料出入库明细!$J$4:$J$2003,包装物料出入库明细!$D$4:$D$2003,$B107,包装物料出入库明细!$E$4:$E$2003,_自动清单!$G$20,包装物料出入库明细!$B$4:$B$2003,"&gt;="&amp;$AF$1,包装物料出入库明细!$B$4:$B$2003,"&lt;="&amp;$AF$2))</f>
        <v/>
      </c>
      <c r="T107" s="25" t="str">
        <f>IF(OR($B107="",_自动清单!$G$21=""),"",SUMIFS(包装物料出入库明细!$J$4:$J$2003,包装物料出入库明细!$D$4:$D$2003,$B107,包装物料出入库明细!$E$4:$E$2003,_自动清单!$G$21,包装物料出入库明细!$B$4:$B$2003,"&gt;="&amp;$AF$1,包装物料出入库明细!$B$4:$B$2003,"&lt;="&amp;$AF$2))</f>
        <v/>
      </c>
      <c r="U107" s="25" t="str">
        <f>IF($B107="","",SUMIFS(包装物料出入库明细!$J$4:$J$2003,包装物料出入库明细!$D$4:$D$2003,$B107,包装物料出入库明细!$B$4:$B$2003,"&gt;="&amp;$AF$1,包装物料出入库明细!$B$4:$B$2003,"&lt;="&amp;$AF$2)-SUM($C107:$T107))</f>
        <v/>
      </c>
      <c r="V107" s="25" t="str">
        <f t="shared" si="5"/>
        <v/>
      </c>
      <c r="W107" s="56" t="str">
        <f>IF($B107="","",SUMIFS(包装物料出入库明细!$K$4:$K$2003,包装物料出入库明细!$D$4:$D$2003,$B107,包装物料出入库明细!$B$4:$B$2003,"&gt;="&amp;$AF$1,包装物料出入库明细!$B$4:$B$2003,"&lt;="&amp;$AF$2))</f>
        <v/>
      </c>
      <c r="X107" s="25" t="str">
        <f t="shared" si="6"/>
        <v/>
      </c>
      <c r="Y107" s="26" t="str">
        <f>IF($B107="","",ROUND(SUMIFS(包装物料出入库明细!$N$4:$N$2003,包装物料出入库明细!$D$4:$D$2003,$B107,包装物料出入库明细!$H$4:$H$2003,"销售出库",包装物料出入库明细!$B$4:$B$2003,"&gt;="&amp;$AF$1,包装物料出入库明细!$B$4:$B$2003,"&lt;="&amp;$AF$2),2))</f>
        <v/>
      </c>
      <c r="Z107" s="26" t="str">
        <f>IF($B107="","",ROUND(SUMIFS(包装物料出入库明细!$N$4:$N$2003,包装物料出入库明细!$D$4:$D$2003,$B107,包装物料出入库明细!$H$4:$H$2003,"销售出库",包装物料出入库明细!$P$4:$P$2003,"已收讫",包装物料出入库明细!$B$4:$B$2003,"&gt;="&amp;$AF$1,包装物料出入库明细!$B$4:$B$2003,"&lt;="&amp;$AF$2),2))</f>
        <v/>
      </c>
      <c r="AA107" s="26" t="str">
        <f t="shared" si="7"/>
        <v/>
      </c>
      <c r="AB107" s="41"/>
    </row>
    <row r="108" spans="1:28">
      <c r="A108" s="24" t="str">
        <f t="shared" si="4"/>
        <v/>
      </c>
      <c r="B108" s="24" t="str">
        <f>IFERROR(INDEX(_自动清单!$O$4:$O$203,ROW()-3),"")</f>
        <v/>
      </c>
      <c r="C108" s="25" t="str">
        <f>IF(OR($B108="",_自动清单!$G$4=""),"",SUMIFS(包装物料出入库明细!$J$4:$J$2003,包装物料出入库明细!$D$4:$D$2003,$B108,包装物料出入库明细!$E$4:$E$2003,_自动清单!$G$4,包装物料出入库明细!$B$4:$B$2003,"&gt;="&amp;$AF$1,包装物料出入库明细!$B$4:$B$2003,"&lt;="&amp;$AF$2))</f>
        <v/>
      </c>
      <c r="D108" s="25" t="str">
        <f>IF(OR($B108="",_自动清单!$G$5=""),"",SUMIFS(包装物料出入库明细!$J$4:$J$2003,包装物料出入库明细!$D$4:$D$2003,$B108,包装物料出入库明细!$E$4:$E$2003,_自动清单!$G$5,包装物料出入库明细!$B$4:$B$2003,"&gt;="&amp;$AF$1,包装物料出入库明细!$B$4:$B$2003,"&lt;="&amp;$AF$2))</f>
        <v/>
      </c>
      <c r="E108" s="25" t="str">
        <f>IF(OR($B108="",_自动清单!$G$6=""),"",SUMIFS(包装物料出入库明细!$J$4:$J$2003,包装物料出入库明细!$D$4:$D$2003,$B108,包装物料出入库明细!$E$4:$E$2003,_自动清单!$G$6,包装物料出入库明细!$B$4:$B$2003,"&gt;="&amp;$AF$1,包装物料出入库明细!$B$4:$B$2003,"&lt;="&amp;$AF$2))</f>
        <v/>
      </c>
      <c r="F108" s="25" t="str">
        <f>IF(OR($B108="",_自动清单!$G$7=""),"",SUMIFS(包装物料出入库明细!$J$4:$J$2003,包装物料出入库明细!$D$4:$D$2003,$B108,包装物料出入库明细!$E$4:$E$2003,_自动清单!$G$7,包装物料出入库明细!$B$4:$B$2003,"&gt;="&amp;$AF$1,包装物料出入库明细!$B$4:$B$2003,"&lt;="&amp;$AF$2))</f>
        <v/>
      </c>
      <c r="G108" s="25" t="str">
        <f>IF(OR($B108="",_自动清单!$G$8=""),"",SUMIFS(包装物料出入库明细!$J$4:$J$2003,包装物料出入库明细!$D$4:$D$2003,$B108,包装物料出入库明细!$E$4:$E$2003,_自动清单!$G$8,包装物料出入库明细!$B$4:$B$2003,"&gt;="&amp;$AF$1,包装物料出入库明细!$B$4:$B$2003,"&lt;="&amp;$AF$2))</f>
        <v/>
      </c>
      <c r="H108" s="25" t="str">
        <f>IF(OR($B108="",_自动清单!$G$9=""),"",SUMIFS(包装物料出入库明细!$J$4:$J$2003,包装物料出入库明细!$D$4:$D$2003,$B108,包装物料出入库明细!$E$4:$E$2003,_自动清单!$G$9,包装物料出入库明细!$B$4:$B$2003,"&gt;="&amp;$AF$1,包装物料出入库明细!$B$4:$B$2003,"&lt;="&amp;$AF$2))</f>
        <v/>
      </c>
      <c r="I108" s="25" t="str">
        <f>IF(OR($B108="",_自动清单!$G$10=""),"",SUMIFS(包装物料出入库明细!$J$4:$J$2003,包装物料出入库明细!$D$4:$D$2003,$B108,包装物料出入库明细!$E$4:$E$2003,_自动清单!$G$10,包装物料出入库明细!$B$4:$B$2003,"&gt;="&amp;$AF$1,包装物料出入库明细!$B$4:$B$2003,"&lt;="&amp;$AF$2))</f>
        <v/>
      </c>
      <c r="J108" s="25" t="str">
        <f>IF(OR($B108="",_自动清单!$G$11=""),"",SUMIFS(包装物料出入库明细!$J$4:$J$2003,包装物料出入库明细!$D$4:$D$2003,$B108,包装物料出入库明细!$E$4:$E$2003,_自动清单!$G$11,包装物料出入库明细!$B$4:$B$2003,"&gt;="&amp;$AF$1,包装物料出入库明细!$B$4:$B$2003,"&lt;="&amp;$AF$2))</f>
        <v/>
      </c>
      <c r="K108" s="25" t="str">
        <f>IF(OR($B108="",_自动清单!$G$12=""),"",SUMIFS(包装物料出入库明细!$J$4:$J$2003,包装物料出入库明细!$D$4:$D$2003,$B108,包装物料出入库明细!$E$4:$E$2003,_自动清单!$G$12,包装物料出入库明细!$B$4:$B$2003,"&gt;="&amp;$AF$1,包装物料出入库明细!$B$4:$B$2003,"&lt;="&amp;$AF$2))</f>
        <v/>
      </c>
      <c r="L108" s="25" t="str">
        <f>IF(OR($B108="",_自动清单!$G$13=""),"",SUMIFS(包装物料出入库明细!$J$4:$J$2003,包装物料出入库明细!$D$4:$D$2003,$B108,包装物料出入库明细!$E$4:$E$2003,_自动清单!$G$13,包装物料出入库明细!$B$4:$B$2003,"&gt;="&amp;$AF$1,包装物料出入库明细!$B$4:$B$2003,"&lt;="&amp;$AF$2))</f>
        <v/>
      </c>
      <c r="M108" s="25" t="str">
        <f>IF(OR($B108="",_自动清单!$G$14=""),"",SUMIFS(包装物料出入库明细!$J$4:$J$2003,包装物料出入库明细!$D$4:$D$2003,$B108,包装物料出入库明细!$E$4:$E$2003,_自动清单!$G$14,包装物料出入库明细!$B$4:$B$2003,"&gt;="&amp;$AF$1,包装物料出入库明细!$B$4:$B$2003,"&lt;="&amp;$AF$2))</f>
        <v/>
      </c>
      <c r="N108" s="25" t="str">
        <f>IF(OR($B108="",_自动清单!$G$15=""),"",SUMIFS(包装物料出入库明细!$J$4:$J$2003,包装物料出入库明细!$D$4:$D$2003,$B108,包装物料出入库明细!$E$4:$E$2003,_自动清单!$G$15,包装物料出入库明细!$B$4:$B$2003,"&gt;="&amp;$AF$1,包装物料出入库明细!$B$4:$B$2003,"&lt;="&amp;$AF$2))</f>
        <v/>
      </c>
      <c r="O108" s="25" t="str">
        <f>IF(OR($B108="",_自动清单!$G$16=""),"",SUMIFS(包装物料出入库明细!$J$4:$J$2003,包装物料出入库明细!$D$4:$D$2003,$B108,包装物料出入库明细!$E$4:$E$2003,_自动清单!$G$16,包装物料出入库明细!$B$4:$B$2003,"&gt;="&amp;$AF$1,包装物料出入库明细!$B$4:$B$2003,"&lt;="&amp;$AF$2))</f>
        <v/>
      </c>
      <c r="P108" s="25" t="str">
        <f>IF(OR($B108="",_自动清单!$G$17=""),"",SUMIFS(包装物料出入库明细!$J$4:$J$2003,包装物料出入库明细!$D$4:$D$2003,$B108,包装物料出入库明细!$E$4:$E$2003,_自动清单!$G$17,包装物料出入库明细!$B$4:$B$2003,"&gt;="&amp;$AF$1,包装物料出入库明细!$B$4:$B$2003,"&lt;="&amp;$AF$2))</f>
        <v/>
      </c>
      <c r="Q108" s="25" t="str">
        <f>IF(OR($B108="",_自动清单!$G$18=""),"",SUMIFS(包装物料出入库明细!$J$4:$J$2003,包装物料出入库明细!$D$4:$D$2003,$B108,包装物料出入库明细!$E$4:$E$2003,_自动清单!$G$18,包装物料出入库明细!$B$4:$B$2003,"&gt;="&amp;$AF$1,包装物料出入库明细!$B$4:$B$2003,"&lt;="&amp;$AF$2))</f>
        <v/>
      </c>
      <c r="R108" s="25" t="str">
        <f>IF(OR($B108="",_自动清单!$G$19=""),"",SUMIFS(包装物料出入库明细!$J$4:$J$2003,包装物料出入库明细!$D$4:$D$2003,$B108,包装物料出入库明细!$E$4:$E$2003,_自动清单!$G$19,包装物料出入库明细!$B$4:$B$2003,"&gt;="&amp;$AF$1,包装物料出入库明细!$B$4:$B$2003,"&lt;="&amp;$AF$2))</f>
        <v/>
      </c>
      <c r="S108" s="25" t="str">
        <f>IF(OR($B108="",_自动清单!$G$20=""),"",SUMIFS(包装物料出入库明细!$J$4:$J$2003,包装物料出入库明细!$D$4:$D$2003,$B108,包装物料出入库明细!$E$4:$E$2003,_自动清单!$G$20,包装物料出入库明细!$B$4:$B$2003,"&gt;="&amp;$AF$1,包装物料出入库明细!$B$4:$B$2003,"&lt;="&amp;$AF$2))</f>
        <v/>
      </c>
      <c r="T108" s="25" t="str">
        <f>IF(OR($B108="",_自动清单!$G$21=""),"",SUMIFS(包装物料出入库明细!$J$4:$J$2003,包装物料出入库明细!$D$4:$D$2003,$B108,包装物料出入库明细!$E$4:$E$2003,_自动清单!$G$21,包装物料出入库明细!$B$4:$B$2003,"&gt;="&amp;$AF$1,包装物料出入库明细!$B$4:$B$2003,"&lt;="&amp;$AF$2))</f>
        <v/>
      </c>
      <c r="U108" s="25" t="str">
        <f>IF($B108="","",SUMIFS(包装物料出入库明细!$J$4:$J$2003,包装物料出入库明细!$D$4:$D$2003,$B108,包装物料出入库明细!$B$4:$B$2003,"&gt;="&amp;$AF$1,包装物料出入库明细!$B$4:$B$2003,"&lt;="&amp;$AF$2)-SUM($C108:$T108))</f>
        <v/>
      </c>
      <c r="V108" s="25" t="str">
        <f t="shared" si="5"/>
        <v/>
      </c>
      <c r="W108" s="56" t="str">
        <f>IF($B108="","",SUMIFS(包装物料出入库明细!$K$4:$K$2003,包装物料出入库明细!$D$4:$D$2003,$B108,包装物料出入库明细!$B$4:$B$2003,"&gt;="&amp;$AF$1,包装物料出入库明细!$B$4:$B$2003,"&lt;="&amp;$AF$2))</f>
        <v/>
      </c>
      <c r="X108" s="25" t="str">
        <f t="shared" si="6"/>
        <v/>
      </c>
      <c r="Y108" s="26" t="str">
        <f>IF($B108="","",ROUND(SUMIFS(包装物料出入库明细!$N$4:$N$2003,包装物料出入库明细!$D$4:$D$2003,$B108,包装物料出入库明细!$H$4:$H$2003,"销售出库",包装物料出入库明细!$B$4:$B$2003,"&gt;="&amp;$AF$1,包装物料出入库明细!$B$4:$B$2003,"&lt;="&amp;$AF$2),2))</f>
        <v/>
      </c>
      <c r="Z108" s="26" t="str">
        <f>IF($B108="","",ROUND(SUMIFS(包装物料出入库明细!$N$4:$N$2003,包装物料出入库明细!$D$4:$D$2003,$B108,包装物料出入库明细!$H$4:$H$2003,"销售出库",包装物料出入库明细!$P$4:$P$2003,"已收讫",包装物料出入库明细!$B$4:$B$2003,"&gt;="&amp;$AF$1,包装物料出入库明细!$B$4:$B$2003,"&lt;="&amp;$AF$2),2))</f>
        <v/>
      </c>
      <c r="AA108" s="26" t="str">
        <f t="shared" si="7"/>
        <v/>
      </c>
      <c r="AB108" s="41"/>
    </row>
    <row r="109" spans="1:28">
      <c r="A109" s="24" t="str">
        <f t="shared" si="4"/>
        <v/>
      </c>
      <c r="B109" s="24" t="str">
        <f>IFERROR(INDEX(_自动清单!$O$4:$O$203,ROW()-3),"")</f>
        <v/>
      </c>
      <c r="C109" s="25" t="str">
        <f>IF(OR($B109="",_自动清单!$G$4=""),"",SUMIFS(包装物料出入库明细!$J$4:$J$2003,包装物料出入库明细!$D$4:$D$2003,$B109,包装物料出入库明细!$E$4:$E$2003,_自动清单!$G$4,包装物料出入库明细!$B$4:$B$2003,"&gt;="&amp;$AF$1,包装物料出入库明细!$B$4:$B$2003,"&lt;="&amp;$AF$2))</f>
        <v/>
      </c>
      <c r="D109" s="25" t="str">
        <f>IF(OR($B109="",_自动清单!$G$5=""),"",SUMIFS(包装物料出入库明细!$J$4:$J$2003,包装物料出入库明细!$D$4:$D$2003,$B109,包装物料出入库明细!$E$4:$E$2003,_自动清单!$G$5,包装物料出入库明细!$B$4:$B$2003,"&gt;="&amp;$AF$1,包装物料出入库明细!$B$4:$B$2003,"&lt;="&amp;$AF$2))</f>
        <v/>
      </c>
      <c r="E109" s="25" t="str">
        <f>IF(OR($B109="",_自动清单!$G$6=""),"",SUMIFS(包装物料出入库明细!$J$4:$J$2003,包装物料出入库明细!$D$4:$D$2003,$B109,包装物料出入库明细!$E$4:$E$2003,_自动清单!$G$6,包装物料出入库明细!$B$4:$B$2003,"&gt;="&amp;$AF$1,包装物料出入库明细!$B$4:$B$2003,"&lt;="&amp;$AF$2))</f>
        <v/>
      </c>
      <c r="F109" s="25" t="str">
        <f>IF(OR($B109="",_自动清单!$G$7=""),"",SUMIFS(包装物料出入库明细!$J$4:$J$2003,包装物料出入库明细!$D$4:$D$2003,$B109,包装物料出入库明细!$E$4:$E$2003,_自动清单!$G$7,包装物料出入库明细!$B$4:$B$2003,"&gt;="&amp;$AF$1,包装物料出入库明细!$B$4:$B$2003,"&lt;="&amp;$AF$2))</f>
        <v/>
      </c>
      <c r="G109" s="25" t="str">
        <f>IF(OR($B109="",_自动清单!$G$8=""),"",SUMIFS(包装物料出入库明细!$J$4:$J$2003,包装物料出入库明细!$D$4:$D$2003,$B109,包装物料出入库明细!$E$4:$E$2003,_自动清单!$G$8,包装物料出入库明细!$B$4:$B$2003,"&gt;="&amp;$AF$1,包装物料出入库明细!$B$4:$B$2003,"&lt;="&amp;$AF$2))</f>
        <v/>
      </c>
      <c r="H109" s="25" t="str">
        <f>IF(OR($B109="",_自动清单!$G$9=""),"",SUMIFS(包装物料出入库明细!$J$4:$J$2003,包装物料出入库明细!$D$4:$D$2003,$B109,包装物料出入库明细!$E$4:$E$2003,_自动清单!$G$9,包装物料出入库明细!$B$4:$B$2003,"&gt;="&amp;$AF$1,包装物料出入库明细!$B$4:$B$2003,"&lt;="&amp;$AF$2))</f>
        <v/>
      </c>
      <c r="I109" s="25" t="str">
        <f>IF(OR($B109="",_自动清单!$G$10=""),"",SUMIFS(包装物料出入库明细!$J$4:$J$2003,包装物料出入库明细!$D$4:$D$2003,$B109,包装物料出入库明细!$E$4:$E$2003,_自动清单!$G$10,包装物料出入库明细!$B$4:$B$2003,"&gt;="&amp;$AF$1,包装物料出入库明细!$B$4:$B$2003,"&lt;="&amp;$AF$2))</f>
        <v/>
      </c>
      <c r="J109" s="25" t="str">
        <f>IF(OR($B109="",_自动清单!$G$11=""),"",SUMIFS(包装物料出入库明细!$J$4:$J$2003,包装物料出入库明细!$D$4:$D$2003,$B109,包装物料出入库明细!$E$4:$E$2003,_自动清单!$G$11,包装物料出入库明细!$B$4:$B$2003,"&gt;="&amp;$AF$1,包装物料出入库明细!$B$4:$B$2003,"&lt;="&amp;$AF$2))</f>
        <v/>
      </c>
      <c r="K109" s="25" t="str">
        <f>IF(OR($B109="",_自动清单!$G$12=""),"",SUMIFS(包装物料出入库明细!$J$4:$J$2003,包装物料出入库明细!$D$4:$D$2003,$B109,包装物料出入库明细!$E$4:$E$2003,_自动清单!$G$12,包装物料出入库明细!$B$4:$B$2003,"&gt;="&amp;$AF$1,包装物料出入库明细!$B$4:$B$2003,"&lt;="&amp;$AF$2))</f>
        <v/>
      </c>
      <c r="L109" s="25" t="str">
        <f>IF(OR($B109="",_自动清单!$G$13=""),"",SUMIFS(包装物料出入库明细!$J$4:$J$2003,包装物料出入库明细!$D$4:$D$2003,$B109,包装物料出入库明细!$E$4:$E$2003,_自动清单!$G$13,包装物料出入库明细!$B$4:$B$2003,"&gt;="&amp;$AF$1,包装物料出入库明细!$B$4:$B$2003,"&lt;="&amp;$AF$2))</f>
        <v/>
      </c>
      <c r="M109" s="25" t="str">
        <f>IF(OR($B109="",_自动清单!$G$14=""),"",SUMIFS(包装物料出入库明细!$J$4:$J$2003,包装物料出入库明细!$D$4:$D$2003,$B109,包装物料出入库明细!$E$4:$E$2003,_自动清单!$G$14,包装物料出入库明细!$B$4:$B$2003,"&gt;="&amp;$AF$1,包装物料出入库明细!$B$4:$B$2003,"&lt;="&amp;$AF$2))</f>
        <v/>
      </c>
      <c r="N109" s="25" t="str">
        <f>IF(OR($B109="",_自动清单!$G$15=""),"",SUMIFS(包装物料出入库明细!$J$4:$J$2003,包装物料出入库明细!$D$4:$D$2003,$B109,包装物料出入库明细!$E$4:$E$2003,_自动清单!$G$15,包装物料出入库明细!$B$4:$B$2003,"&gt;="&amp;$AF$1,包装物料出入库明细!$B$4:$B$2003,"&lt;="&amp;$AF$2))</f>
        <v/>
      </c>
      <c r="O109" s="25" t="str">
        <f>IF(OR($B109="",_自动清单!$G$16=""),"",SUMIFS(包装物料出入库明细!$J$4:$J$2003,包装物料出入库明细!$D$4:$D$2003,$B109,包装物料出入库明细!$E$4:$E$2003,_自动清单!$G$16,包装物料出入库明细!$B$4:$B$2003,"&gt;="&amp;$AF$1,包装物料出入库明细!$B$4:$B$2003,"&lt;="&amp;$AF$2))</f>
        <v/>
      </c>
      <c r="P109" s="25" t="str">
        <f>IF(OR($B109="",_自动清单!$G$17=""),"",SUMIFS(包装物料出入库明细!$J$4:$J$2003,包装物料出入库明细!$D$4:$D$2003,$B109,包装物料出入库明细!$E$4:$E$2003,_自动清单!$G$17,包装物料出入库明细!$B$4:$B$2003,"&gt;="&amp;$AF$1,包装物料出入库明细!$B$4:$B$2003,"&lt;="&amp;$AF$2))</f>
        <v/>
      </c>
      <c r="Q109" s="25" t="str">
        <f>IF(OR($B109="",_自动清单!$G$18=""),"",SUMIFS(包装物料出入库明细!$J$4:$J$2003,包装物料出入库明细!$D$4:$D$2003,$B109,包装物料出入库明细!$E$4:$E$2003,_自动清单!$G$18,包装物料出入库明细!$B$4:$B$2003,"&gt;="&amp;$AF$1,包装物料出入库明细!$B$4:$B$2003,"&lt;="&amp;$AF$2))</f>
        <v/>
      </c>
      <c r="R109" s="25" t="str">
        <f>IF(OR($B109="",_自动清单!$G$19=""),"",SUMIFS(包装物料出入库明细!$J$4:$J$2003,包装物料出入库明细!$D$4:$D$2003,$B109,包装物料出入库明细!$E$4:$E$2003,_自动清单!$G$19,包装物料出入库明细!$B$4:$B$2003,"&gt;="&amp;$AF$1,包装物料出入库明细!$B$4:$B$2003,"&lt;="&amp;$AF$2))</f>
        <v/>
      </c>
      <c r="S109" s="25" t="str">
        <f>IF(OR($B109="",_自动清单!$G$20=""),"",SUMIFS(包装物料出入库明细!$J$4:$J$2003,包装物料出入库明细!$D$4:$D$2003,$B109,包装物料出入库明细!$E$4:$E$2003,_自动清单!$G$20,包装物料出入库明细!$B$4:$B$2003,"&gt;="&amp;$AF$1,包装物料出入库明细!$B$4:$B$2003,"&lt;="&amp;$AF$2))</f>
        <v/>
      </c>
      <c r="T109" s="25" t="str">
        <f>IF(OR($B109="",_自动清单!$G$21=""),"",SUMIFS(包装物料出入库明细!$J$4:$J$2003,包装物料出入库明细!$D$4:$D$2003,$B109,包装物料出入库明细!$E$4:$E$2003,_自动清单!$G$21,包装物料出入库明细!$B$4:$B$2003,"&gt;="&amp;$AF$1,包装物料出入库明细!$B$4:$B$2003,"&lt;="&amp;$AF$2))</f>
        <v/>
      </c>
      <c r="U109" s="25" t="str">
        <f>IF($B109="","",SUMIFS(包装物料出入库明细!$J$4:$J$2003,包装物料出入库明细!$D$4:$D$2003,$B109,包装物料出入库明细!$B$4:$B$2003,"&gt;="&amp;$AF$1,包装物料出入库明细!$B$4:$B$2003,"&lt;="&amp;$AF$2)-SUM($C109:$T109))</f>
        <v/>
      </c>
      <c r="V109" s="25" t="str">
        <f t="shared" si="5"/>
        <v/>
      </c>
      <c r="W109" s="56" t="str">
        <f>IF($B109="","",SUMIFS(包装物料出入库明细!$K$4:$K$2003,包装物料出入库明细!$D$4:$D$2003,$B109,包装物料出入库明细!$B$4:$B$2003,"&gt;="&amp;$AF$1,包装物料出入库明细!$B$4:$B$2003,"&lt;="&amp;$AF$2))</f>
        <v/>
      </c>
      <c r="X109" s="25" t="str">
        <f t="shared" si="6"/>
        <v/>
      </c>
      <c r="Y109" s="26" t="str">
        <f>IF($B109="","",ROUND(SUMIFS(包装物料出入库明细!$N$4:$N$2003,包装物料出入库明细!$D$4:$D$2003,$B109,包装物料出入库明细!$H$4:$H$2003,"销售出库",包装物料出入库明细!$B$4:$B$2003,"&gt;="&amp;$AF$1,包装物料出入库明细!$B$4:$B$2003,"&lt;="&amp;$AF$2),2))</f>
        <v/>
      </c>
      <c r="Z109" s="26" t="str">
        <f>IF($B109="","",ROUND(SUMIFS(包装物料出入库明细!$N$4:$N$2003,包装物料出入库明细!$D$4:$D$2003,$B109,包装物料出入库明细!$H$4:$H$2003,"销售出库",包装物料出入库明细!$P$4:$P$2003,"已收讫",包装物料出入库明细!$B$4:$B$2003,"&gt;="&amp;$AF$1,包装物料出入库明细!$B$4:$B$2003,"&lt;="&amp;$AF$2),2))</f>
        <v/>
      </c>
      <c r="AA109" s="26" t="str">
        <f t="shared" si="7"/>
        <v/>
      </c>
      <c r="AB109" s="41"/>
    </row>
    <row r="110" spans="1:28">
      <c r="A110" s="24" t="str">
        <f t="shared" si="4"/>
        <v/>
      </c>
      <c r="B110" s="24" t="str">
        <f>IFERROR(INDEX(_自动清单!$O$4:$O$203,ROW()-3),"")</f>
        <v/>
      </c>
      <c r="C110" s="25" t="str">
        <f>IF(OR($B110="",_自动清单!$G$4=""),"",SUMIFS(包装物料出入库明细!$J$4:$J$2003,包装物料出入库明细!$D$4:$D$2003,$B110,包装物料出入库明细!$E$4:$E$2003,_自动清单!$G$4,包装物料出入库明细!$B$4:$B$2003,"&gt;="&amp;$AF$1,包装物料出入库明细!$B$4:$B$2003,"&lt;="&amp;$AF$2))</f>
        <v/>
      </c>
      <c r="D110" s="25" t="str">
        <f>IF(OR($B110="",_自动清单!$G$5=""),"",SUMIFS(包装物料出入库明细!$J$4:$J$2003,包装物料出入库明细!$D$4:$D$2003,$B110,包装物料出入库明细!$E$4:$E$2003,_自动清单!$G$5,包装物料出入库明细!$B$4:$B$2003,"&gt;="&amp;$AF$1,包装物料出入库明细!$B$4:$B$2003,"&lt;="&amp;$AF$2))</f>
        <v/>
      </c>
      <c r="E110" s="25" t="str">
        <f>IF(OR($B110="",_自动清单!$G$6=""),"",SUMIFS(包装物料出入库明细!$J$4:$J$2003,包装物料出入库明细!$D$4:$D$2003,$B110,包装物料出入库明细!$E$4:$E$2003,_自动清单!$G$6,包装物料出入库明细!$B$4:$B$2003,"&gt;="&amp;$AF$1,包装物料出入库明细!$B$4:$B$2003,"&lt;="&amp;$AF$2))</f>
        <v/>
      </c>
      <c r="F110" s="25" t="str">
        <f>IF(OR($B110="",_自动清单!$G$7=""),"",SUMIFS(包装物料出入库明细!$J$4:$J$2003,包装物料出入库明细!$D$4:$D$2003,$B110,包装物料出入库明细!$E$4:$E$2003,_自动清单!$G$7,包装物料出入库明细!$B$4:$B$2003,"&gt;="&amp;$AF$1,包装物料出入库明细!$B$4:$B$2003,"&lt;="&amp;$AF$2))</f>
        <v/>
      </c>
      <c r="G110" s="25" t="str">
        <f>IF(OR($B110="",_自动清单!$G$8=""),"",SUMIFS(包装物料出入库明细!$J$4:$J$2003,包装物料出入库明细!$D$4:$D$2003,$B110,包装物料出入库明细!$E$4:$E$2003,_自动清单!$G$8,包装物料出入库明细!$B$4:$B$2003,"&gt;="&amp;$AF$1,包装物料出入库明细!$B$4:$B$2003,"&lt;="&amp;$AF$2))</f>
        <v/>
      </c>
      <c r="H110" s="25" t="str">
        <f>IF(OR($B110="",_自动清单!$G$9=""),"",SUMIFS(包装物料出入库明细!$J$4:$J$2003,包装物料出入库明细!$D$4:$D$2003,$B110,包装物料出入库明细!$E$4:$E$2003,_自动清单!$G$9,包装物料出入库明细!$B$4:$B$2003,"&gt;="&amp;$AF$1,包装物料出入库明细!$B$4:$B$2003,"&lt;="&amp;$AF$2))</f>
        <v/>
      </c>
      <c r="I110" s="25" t="str">
        <f>IF(OR($B110="",_自动清单!$G$10=""),"",SUMIFS(包装物料出入库明细!$J$4:$J$2003,包装物料出入库明细!$D$4:$D$2003,$B110,包装物料出入库明细!$E$4:$E$2003,_自动清单!$G$10,包装物料出入库明细!$B$4:$B$2003,"&gt;="&amp;$AF$1,包装物料出入库明细!$B$4:$B$2003,"&lt;="&amp;$AF$2))</f>
        <v/>
      </c>
      <c r="J110" s="25" t="str">
        <f>IF(OR($B110="",_自动清单!$G$11=""),"",SUMIFS(包装物料出入库明细!$J$4:$J$2003,包装物料出入库明细!$D$4:$D$2003,$B110,包装物料出入库明细!$E$4:$E$2003,_自动清单!$G$11,包装物料出入库明细!$B$4:$B$2003,"&gt;="&amp;$AF$1,包装物料出入库明细!$B$4:$B$2003,"&lt;="&amp;$AF$2))</f>
        <v/>
      </c>
      <c r="K110" s="25" t="str">
        <f>IF(OR($B110="",_自动清单!$G$12=""),"",SUMIFS(包装物料出入库明细!$J$4:$J$2003,包装物料出入库明细!$D$4:$D$2003,$B110,包装物料出入库明细!$E$4:$E$2003,_自动清单!$G$12,包装物料出入库明细!$B$4:$B$2003,"&gt;="&amp;$AF$1,包装物料出入库明细!$B$4:$B$2003,"&lt;="&amp;$AF$2))</f>
        <v/>
      </c>
      <c r="L110" s="25" t="str">
        <f>IF(OR($B110="",_自动清单!$G$13=""),"",SUMIFS(包装物料出入库明细!$J$4:$J$2003,包装物料出入库明细!$D$4:$D$2003,$B110,包装物料出入库明细!$E$4:$E$2003,_自动清单!$G$13,包装物料出入库明细!$B$4:$B$2003,"&gt;="&amp;$AF$1,包装物料出入库明细!$B$4:$B$2003,"&lt;="&amp;$AF$2))</f>
        <v/>
      </c>
      <c r="M110" s="25" t="str">
        <f>IF(OR($B110="",_自动清单!$G$14=""),"",SUMIFS(包装物料出入库明细!$J$4:$J$2003,包装物料出入库明细!$D$4:$D$2003,$B110,包装物料出入库明细!$E$4:$E$2003,_自动清单!$G$14,包装物料出入库明细!$B$4:$B$2003,"&gt;="&amp;$AF$1,包装物料出入库明细!$B$4:$B$2003,"&lt;="&amp;$AF$2))</f>
        <v/>
      </c>
      <c r="N110" s="25" t="str">
        <f>IF(OR($B110="",_自动清单!$G$15=""),"",SUMIFS(包装物料出入库明细!$J$4:$J$2003,包装物料出入库明细!$D$4:$D$2003,$B110,包装物料出入库明细!$E$4:$E$2003,_自动清单!$G$15,包装物料出入库明细!$B$4:$B$2003,"&gt;="&amp;$AF$1,包装物料出入库明细!$B$4:$B$2003,"&lt;="&amp;$AF$2))</f>
        <v/>
      </c>
      <c r="O110" s="25" t="str">
        <f>IF(OR($B110="",_自动清单!$G$16=""),"",SUMIFS(包装物料出入库明细!$J$4:$J$2003,包装物料出入库明细!$D$4:$D$2003,$B110,包装物料出入库明细!$E$4:$E$2003,_自动清单!$G$16,包装物料出入库明细!$B$4:$B$2003,"&gt;="&amp;$AF$1,包装物料出入库明细!$B$4:$B$2003,"&lt;="&amp;$AF$2))</f>
        <v/>
      </c>
      <c r="P110" s="25" t="str">
        <f>IF(OR($B110="",_自动清单!$G$17=""),"",SUMIFS(包装物料出入库明细!$J$4:$J$2003,包装物料出入库明细!$D$4:$D$2003,$B110,包装物料出入库明细!$E$4:$E$2003,_自动清单!$G$17,包装物料出入库明细!$B$4:$B$2003,"&gt;="&amp;$AF$1,包装物料出入库明细!$B$4:$B$2003,"&lt;="&amp;$AF$2))</f>
        <v/>
      </c>
      <c r="Q110" s="25" t="str">
        <f>IF(OR($B110="",_自动清单!$G$18=""),"",SUMIFS(包装物料出入库明细!$J$4:$J$2003,包装物料出入库明细!$D$4:$D$2003,$B110,包装物料出入库明细!$E$4:$E$2003,_自动清单!$G$18,包装物料出入库明细!$B$4:$B$2003,"&gt;="&amp;$AF$1,包装物料出入库明细!$B$4:$B$2003,"&lt;="&amp;$AF$2))</f>
        <v/>
      </c>
      <c r="R110" s="25" t="str">
        <f>IF(OR($B110="",_自动清单!$G$19=""),"",SUMIFS(包装物料出入库明细!$J$4:$J$2003,包装物料出入库明细!$D$4:$D$2003,$B110,包装物料出入库明细!$E$4:$E$2003,_自动清单!$G$19,包装物料出入库明细!$B$4:$B$2003,"&gt;="&amp;$AF$1,包装物料出入库明细!$B$4:$B$2003,"&lt;="&amp;$AF$2))</f>
        <v/>
      </c>
      <c r="S110" s="25" t="str">
        <f>IF(OR($B110="",_自动清单!$G$20=""),"",SUMIFS(包装物料出入库明细!$J$4:$J$2003,包装物料出入库明细!$D$4:$D$2003,$B110,包装物料出入库明细!$E$4:$E$2003,_自动清单!$G$20,包装物料出入库明细!$B$4:$B$2003,"&gt;="&amp;$AF$1,包装物料出入库明细!$B$4:$B$2003,"&lt;="&amp;$AF$2))</f>
        <v/>
      </c>
      <c r="T110" s="25" t="str">
        <f>IF(OR($B110="",_自动清单!$G$21=""),"",SUMIFS(包装物料出入库明细!$J$4:$J$2003,包装物料出入库明细!$D$4:$D$2003,$B110,包装物料出入库明细!$E$4:$E$2003,_自动清单!$G$21,包装物料出入库明细!$B$4:$B$2003,"&gt;="&amp;$AF$1,包装物料出入库明细!$B$4:$B$2003,"&lt;="&amp;$AF$2))</f>
        <v/>
      </c>
      <c r="U110" s="25" t="str">
        <f>IF($B110="","",SUMIFS(包装物料出入库明细!$J$4:$J$2003,包装物料出入库明细!$D$4:$D$2003,$B110,包装物料出入库明细!$B$4:$B$2003,"&gt;="&amp;$AF$1,包装物料出入库明细!$B$4:$B$2003,"&lt;="&amp;$AF$2)-SUM($C110:$T110))</f>
        <v/>
      </c>
      <c r="V110" s="25" t="str">
        <f t="shared" si="5"/>
        <v/>
      </c>
      <c r="W110" s="56" t="str">
        <f>IF($B110="","",SUMIFS(包装物料出入库明细!$K$4:$K$2003,包装物料出入库明细!$D$4:$D$2003,$B110,包装物料出入库明细!$B$4:$B$2003,"&gt;="&amp;$AF$1,包装物料出入库明细!$B$4:$B$2003,"&lt;="&amp;$AF$2))</f>
        <v/>
      </c>
      <c r="X110" s="25" t="str">
        <f t="shared" si="6"/>
        <v/>
      </c>
      <c r="Y110" s="26" t="str">
        <f>IF($B110="","",ROUND(SUMIFS(包装物料出入库明细!$N$4:$N$2003,包装物料出入库明细!$D$4:$D$2003,$B110,包装物料出入库明细!$H$4:$H$2003,"销售出库",包装物料出入库明细!$B$4:$B$2003,"&gt;="&amp;$AF$1,包装物料出入库明细!$B$4:$B$2003,"&lt;="&amp;$AF$2),2))</f>
        <v/>
      </c>
      <c r="Z110" s="26" t="str">
        <f>IF($B110="","",ROUND(SUMIFS(包装物料出入库明细!$N$4:$N$2003,包装物料出入库明细!$D$4:$D$2003,$B110,包装物料出入库明细!$H$4:$H$2003,"销售出库",包装物料出入库明细!$P$4:$P$2003,"已收讫",包装物料出入库明细!$B$4:$B$2003,"&gt;="&amp;$AF$1,包装物料出入库明细!$B$4:$B$2003,"&lt;="&amp;$AF$2),2))</f>
        <v/>
      </c>
      <c r="AA110" s="26" t="str">
        <f t="shared" si="7"/>
        <v/>
      </c>
      <c r="AB110" s="41"/>
    </row>
    <row r="111" spans="1:28">
      <c r="A111" s="24" t="str">
        <f t="shared" si="4"/>
        <v/>
      </c>
      <c r="B111" s="24" t="str">
        <f>IFERROR(INDEX(_自动清单!$O$4:$O$203,ROW()-3),"")</f>
        <v/>
      </c>
      <c r="C111" s="25" t="str">
        <f>IF(OR($B111="",_自动清单!$G$4=""),"",SUMIFS(包装物料出入库明细!$J$4:$J$2003,包装物料出入库明细!$D$4:$D$2003,$B111,包装物料出入库明细!$E$4:$E$2003,_自动清单!$G$4,包装物料出入库明细!$B$4:$B$2003,"&gt;="&amp;$AF$1,包装物料出入库明细!$B$4:$B$2003,"&lt;="&amp;$AF$2))</f>
        <v/>
      </c>
      <c r="D111" s="25" t="str">
        <f>IF(OR($B111="",_自动清单!$G$5=""),"",SUMIFS(包装物料出入库明细!$J$4:$J$2003,包装物料出入库明细!$D$4:$D$2003,$B111,包装物料出入库明细!$E$4:$E$2003,_自动清单!$G$5,包装物料出入库明细!$B$4:$B$2003,"&gt;="&amp;$AF$1,包装物料出入库明细!$B$4:$B$2003,"&lt;="&amp;$AF$2))</f>
        <v/>
      </c>
      <c r="E111" s="25" t="str">
        <f>IF(OR($B111="",_自动清单!$G$6=""),"",SUMIFS(包装物料出入库明细!$J$4:$J$2003,包装物料出入库明细!$D$4:$D$2003,$B111,包装物料出入库明细!$E$4:$E$2003,_自动清单!$G$6,包装物料出入库明细!$B$4:$B$2003,"&gt;="&amp;$AF$1,包装物料出入库明细!$B$4:$B$2003,"&lt;="&amp;$AF$2))</f>
        <v/>
      </c>
      <c r="F111" s="25" t="str">
        <f>IF(OR($B111="",_自动清单!$G$7=""),"",SUMIFS(包装物料出入库明细!$J$4:$J$2003,包装物料出入库明细!$D$4:$D$2003,$B111,包装物料出入库明细!$E$4:$E$2003,_自动清单!$G$7,包装物料出入库明细!$B$4:$B$2003,"&gt;="&amp;$AF$1,包装物料出入库明细!$B$4:$B$2003,"&lt;="&amp;$AF$2))</f>
        <v/>
      </c>
      <c r="G111" s="25" t="str">
        <f>IF(OR($B111="",_自动清单!$G$8=""),"",SUMIFS(包装物料出入库明细!$J$4:$J$2003,包装物料出入库明细!$D$4:$D$2003,$B111,包装物料出入库明细!$E$4:$E$2003,_自动清单!$G$8,包装物料出入库明细!$B$4:$B$2003,"&gt;="&amp;$AF$1,包装物料出入库明细!$B$4:$B$2003,"&lt;="&amp;$AF$2))</f>
        <v/>
      </c>
      <c r="H111" s="25" t="str">
        <f>IF(OR($B111="",_自动清单!$G$9=""),"",SUMIFS(包装物料出入库明细!$J$4:$J$2003,包装物料出入库明细!$D$4:$D$2003,$B111,包装物料出入库明细!$E$4:$E$2003,_自动清单!$G$9,包装物料出入库明细!$B$4:$B$2003,"&gt;="&amp;$AF$1,包装物料出入库明细!$B$4:$B$2003,"&lt;="&amp;$AF$2))</f>
        <v/>
      </c>
      <c r="I111" s="25" t="str">
        <f>IF(OR($B111="",_自动清单!$G$10=""),"",SUMIFS(包装物料出入库明细!$J$4:$J$2003,包装物料出入库明细!$D$4:$D$2003,$B111,包装物料出入库明细!$E$4:$E$2003,_自动清单!$G$10,包装物料出入库明细!$B$4:$B$2003,"&gt;="&amp;$AF$1,包装物料出入库明细!$B$4:$B$2003,"&lt;="&amp;$AF$2))</f>
        <v/>
      </c>
      <c r="J111" s="25" t="str">
        <f>IF(OR($B111="",_自动清单!$G$11=""),"",SUMIFS(包装物料出入库明细!$J$4:$J$2003,包装物料出入库明细!$D$4:$D$2003,$B111,包装物料出入库明细!$E$4:$E$2003,_自动清单!$G$11,包装物料出入库明细!$B$4:$B$2003,"&gt;="&amp;$AF$1,包装物料出入库明细!$B$4:$B$2003,"&lt;="&amp;$AF$2))</f>
        <v/>
      </c>
      <c r="K111" s="25" t="str">
        <f>IF(OR($B111="",_自动清单!$G$12=""),"",SUMIFS(包装物料出入库明细!$J$4:$J$2003,包装物料出入库明细!$D$4:$D$2003,$B111,包装物料出入库明细!$E$4:$E$2003,_自动清单!$G$12,包装物料出入库明细!$B$4:$B$2003,"&gt;="&amp;$AF$1,包装物料出入库明细!$B$4:$B$2003,"&lt;="&amp;$AF$2))</f>
        <v/>
      </c>
      <c r="L111" s="25" t="str">
        <f>IF(OR($B111="",_自动清单!$G$13=""),"",SUMIFS(包装物料出入库明细!$J$4:$J$2003,包装物料出入库明细!$D$4:$D$2003,$B111,包装物料出入库明细!$E$4:$E$2003,_自动清单!$G$13,包装物料出入库明细!$B$4:$B$2003,"&gt;="&amp;$AF$1,包装物料出入库明细!$B$4:$B$2003,"&lt;="&amp;$AF$2))</f>
        <v/>
      </c>
      <c r="M111" s="25" t="str">
        <f>IF(OR($B111="",_自动清单!$G$14=""),"",SUMIFS(包装物料出入库明细!$J$4:$J$2003,包装物料出入库明细!$D$4:$D$2003,$B111,包装物料出入库明细!$E$4:$E$2003,_自动清单!$G$14,包装物料出入库明细!$B$4:$B$2003,"&gt;="&amp;$AF$1,包装物料出入库明细!$B$4:$B$2003,"&lt;="&amp;$AF$2))</f>
        <v/>
      </c>
      <c r="N111" s="25" t="str">
        <f>IF(OR($B111="",_自动清单!$G$15=""),"",SUMIFS(包装物料出入库明细!$J$4:$J$2003,包装物料出入库明细!$D$4:$D$2003,$B111,包装物料出入库明细!$E$4:$E$2003,_自动清单!$G$15,包装物料出入库明细!$B$4:$B$2003,"&gt;="&amp;$AF$1,包装物料出入库明细!$B$4:$B$2003,"&lt;="&amp;$AF$2))</f>
        <v/>
      </c>
      <c r="O111" s="25" t="str">
        <f>IF(OR($B111="",_自动清单!$G$16=""),"",SUMIFS(包装物料出入库明细!$J$4:$J$2003,包装物料出入库明细!$D$4:$D$2003,$B111,包装物料出入库明细!$E$4:$E$2003,_自动清单!$G$16,包装物料出入库明细!$B$4:$B$2003,"&gt;="&amp;$AF$1,包装物料出入库明细!$B$4:$B$2003,"&lt;="&amp;$AF$2))</f>
        <v/>
      </c>
      <c r="P111" s="25" t="str">
        <f>IF(OR($B111="",_自动清单!$G$17=""),"",SUMIFS(包装物料出入库明细!$J$4:$J$2003,包装物料出入库明细!$D$4:$D$2003,$B111,包装物料出入库明细!$E$4:$E$2003,_自动清单!$G$17,包装物料出入库明细!$B$4:$B$2003,"&gt;="&amp;$AF$1,包装物料出入库明细!$B$4:$B$2003,"&lt;="&amp;$AF$2))</f>
        <v/>
      </c>
      <c r="Q111" s="25" t="str">
        <f>IF(OR($B111="",_自动清单!$G$18=""),"",SUMIFS(包装物料出入库明细!$J$4:$J$2003,包装物料出入库明细!$D$4:$D$2003,$B111,包装物料出入库明细!$E$4:$E$2003,_自动清单!$G$18,包装物料出入库明细!$B$4:$B$2003,"&gt;="&amp;$AF$1,包装物料出入库明细!$B$4:$B$2003,"&lt;="&amp;$AF$2))</f>
        <v/>
      </c>
      <c r="R111" s="25" t="str">
        <f>IF(OR($B111="",_自动清单!$G$19=""),"",SUMIFS(包装物料出入库明细!$J$4:$J$2003,包装物料出入库明细!$D$4:$D$2003,$B111,包装物料出入库明细!$E$4:$E$2003,_自动清单!$G$19,包装物料出入库明细!$B$4:$B$2003,"&gt;="&amp;$AF$1,包装物料出入库明细!$B$4:$B$2003,"&lt;="&amp;$AF$2))</f>
        <v/>
      </c>
      <c r="S111" s="25" t="str">
        <f>IF(OR($B111="",_自动清单!$G$20=""),"",SUMIFS(包装物料出入库明细!$J$4:$J$2003,包装物料出入库明细!$D$4:$D$2003,$B111,包装物料出入库明细!$E$4:$E$2003,_自动清单!$G$20,包装物料出入库明细!$B$4:$B$2003,"&gt;="&amp;$AF$1,包装物料出入库明细!$B$4:$B$2003,"&lt;="&amp;$AF$2))</f>
        <v/>
      </c>
      <c r="T111" s="25" t="str">
        <f>IF(OR($B111="",_自动清单!$G$21=""),"",SUMIFS(包装物料出入库明细!$J$4:$J$2003,包装物料出入库明细!$D$4:$D$2003,$B111,包装物料出入库明细!$E$4:$E$2003,_自动清单!$G$21,包装物料出入库明细!$B$4:$B$2003,"&gt;="&amp;$AF$1,包装物料出入库明细!$B$4:$B$2003,"&lt;="&amp;$AF$2))</f>
        <v/>
      </c>
      <c r="U111" s="25" t="str">
        <f>IF($B111="","",SUMIFS(包装物料出入库明细!$J$4:$J$2003,包装物料出入库明细!$D$4:$D$2003,$B111,包装物料出入库明细!$B$4:$B$2003,"&gt;="&amp;$AF$1,包装物料出入库明细!$B$4:$B$2003,"&lt;="&amp;$AF$2)-SUM($C111:$T111))</f>
        <v/>
      </c>
      <c r="V111" s="25" t="str">
        <f t="shared" si="5"/>
        <v/>
      </c>
      <c r="W111" s="56" t="str">
        <f>IF($B111="","",SUMIFS(包装物料出入库明细!$K$4:$K$2003,包装物料出入库明细!$D$4:$D$2003,$B111,包装物料出入库明细!$B$4:$B$2003,"&gt;="&amp;$AF$1,包装物料出入库明细!$B$4:$B$2003,"&lt;="&amp;$AF$2))</f>
        <v/>
      </c>
      <c r="X111" s="25" t="str">
        <f t="shared" si="6"/>
        <v/>
      </c>
      <c r="Y111" s="26" t="str">
        <f>IF($B111="","",ROUND(SUMIFS(包装物料出入库明细!$N$4:$N$2003,包装物料出入库明细!$D$4:$D$2003,$B111,包装物料出入库明细!$H$4:$H$2003,"销售出库",包装物料出入库明细!$B$4:$B$2003,"&gt;="&amp;$AF$1,包装物料出入库明细!$B$4:$B$2003,"&lt;="&amp;$AF$2),2))</f>
        <v/>
      </c>
      <c r="Z111" s="26" t="str">
        <f>IF($B111="","",ROUND(SUMIFS(包装物料出入库明细!$N$4:$N$2003,包装物料出入库明细!$D$4:$D$2003,$B111,包装物料出入库明细!$H$4:$H$2003,"销售出库",包装物料出入库明细!$P$4:$P$2003,"已收讫",包装物料出入库明细!$B$4:$B$2003,"&gt;="&amp;$AF$1,包装物料出入库明细!$B$4:$B$2003,"&lt;="&amp;$AF$2),2))</f>
        <v/>
      </c>
      <c r="AA111" s="26" t="str">
        <f t="shared" si="7"/>
        <v/>
      </c>
      <c r="AB111" s="41"/>
    </row>
    <row r="112" spans="1:28">
      <c r="A112" s="24" t="str">
        <f t="shared" si="4"/>
        <v/>
      </c>
      <c r="B112" s="24" t="str">
        <f>IFERROR(INDEX(_自动清单!$O$4:$O$203,ROW()-3),"")</f>
        <v/>
      </c>
      <c r="C112" s="25" t="str">
        <f>IF(OR($B112="",_自动清单!$G$4=""),"",SUMIFS(包装物料出入库明细!$J$4:$J$2003,包装物料出入库明细!$D$4:$D$2003,$B112,包装物料出入库明细!$E$4:$E$2003,_自动清单!$G$4,包装物料出入库明细!$B$4:$B$2003,"&gt;="&amp;$AF$1,包装物料出入库明细!$B$4:$B$2003,"&lt;="&amp;$AF$2))</f>
        <v/>
      </c>
      <c r="D112" s="25" t="str">
        <f>IF(OR($B112="",_自动清单!$G$5=""),"",SUMIFS(包装物料出入库明细!$J$4:$J$2003,包装物料出入库明细!$D$4:$D$2003,$B112,包装物料出入库明细!$E$4:$E$2003,_自动清单!$G$5,包装物料出入库明细!$B$4:$B$2003,"&gt;="&amp;$AF$1,包装物料出入库明细!$B$4:$B$2003,"&lt;="&amp;$AF$2))</f>
        <v/>
      </c>
      <c r="E112" s="25" t="str">
        <f>IF(OR($B112="",_自动清单!$G$6=""),"",SUMIFS(包装物料出入库明细!$J$4:$J$2003,包装物料出入库明细!$D$4:$D$2003,$B112,包装物料出入库明细!$E$4:$E$2003,_自动清单!$G$6,包装物料出入库明细!$B$4:$B$2003,"&gt;="&amp;$AF$1,包装物料出入库明细!$B$4:$B$2003,"&lt;="&amp;$AF$2))</f>
        <v/>
      </c>
      <c r="F112" s="25" t="str">
        <f>IF(OR($B112="",_自动清单!$G$7=""),"",SUMIFS(包装物料出入库明细!$J$4:$J$2003,包装物料出入库明细!$D$4:$D$2003,$B112,包装物料出入库明细!$E$4:$E$2003,_自动清单!$G$7,包装物料出入库明细!$B$4:$B$2003,"&gt;="&amp;$AF$1,包装物料出入库明细!$B$4:$B$2003,"&lt;="&amp;$AF$2))</f>
        <v/>
      </c>
      <c r="G112" s="25" t="str">
        <f>IF(OR($B112="",_自动清单!$G$8=""),"",SUMIFS(包装物料出入库明细!$J$4:$J$2003,包装物料出入库明细!$D$4:$D$2003,$B112,包装物料出入库明细!$E$4:$E$2003,_自动清单!$G$8,包装物料出入库明细!$B$4:$B$2003,"&gt;="&amp;$AF$1,包装物料出入库明细!$B$4:$B$2003,"&lt;="&amp;$AF$2))</f>
        <v/>
      </c>
      <c r="H112" s="25" t="str">
        <f>IF(OR($B112="",_自动清单!$G$9=""),"",SUMIFS(包装物料出入库明细!$J$4:$J$2003,包装物料出入库明细!$D$4:$D$2003,$B112,包装物料出入库明细!$E$4:$E$2003,_自动清单!$G$9,包装物料出入库明细!$B$4:$B$2003,"&gt;="&amp;$AF$1,包装物料出入库明细!$B$4:$B$2003,"&lt;="&amp;$AF$2))</f>
        <v/>
      </c>
      <c r="I112" s="25" t="str">
        <f>IF(OR($B112="",_自动清单!$G$10=""),"",SUMIFS(包装物料出入库明细!$J$4:$J$2003,包装物料出入库明细!$D$4:$D$2003,$B112,包装物料出入库明细!$E$4:$E$2003,_自动清单!$G$10,包装物料出入库明细!$B$4:$B$2003,"&gt;="&amp;$AF$1,包装物料出入库明细!$B$4:$B$2003,"&lt;="&amp;$AF$2))</f>
        <v/>
      </c>
      <c r="J112" s="25" t="str">
        <f>IF(OR($B112="",_自动清单!$G$11=""),"",SUMIFS(包装物料出入库明细!$J$4:$J$2003,包装物料出入库明细!$D$4:$D$2003,$B112,包装物料出入库明细!$E$4:$E$2003,_自动清单!$G$11,包装物料出入库明细!$B$4:$B$2003,"&gt;="&amp;$AF$1,包装物料出入库明细!$B$4:$B$2003,"&lt;="&amp;$AF$2))</f>
        <v/>
      </c>
      <c r="K112" s="25" t="str">
        <f>IF(OR($B112="",_自动清单!$G$12=""),"",SUMIFS(包装物料出入库明细!$J$4:$J$2003,包装物料出入库明细!$D$4:$D$2003,$B112,包装物料出入库明细!$E$4:$E$2003,_自动清单!$G$12,包装物料出入库明细!$B$4:$B$2003,"&gt;="&amp;$AF$1,包装物料出入库明细!$B$4:$B$2003,"&lt;="&amp;$AF$2))</f>
        <v/>
      </c>
      <c r="L112" s="25" t="str">
        <f>IF(OR($B112="",_自动清单!$G$13=""),"",SUMIFS(包装物料出入库明细!$J$4:$J$2003,包装物料出入库明细!$D$4:$D$2003,$B112,包装物料出入库明细!$E$4:$E$2003,_自动清单!$G$13,包装物料出入库明细!$B$4:$B$2003,"&gt;="&amp;$AF$1,包装物料出入库明细!$B$4:$B$2003,"&lt;="&amp;$AF$2))</f>
        <v/>
      </c>
      <c r="M112" s="25" t="str">
        <f>IF(OR($B112="",_自动清单!$G$14=""),"",SUMIFS(包装物料出入库明细!$J$4:$J$2003,包装物料出入库明细!$D$4:$D$2003,$B112,包装物料出入库明细!$E$4:$E$2003,_自动清单!$G$14,包装物料出入库明细!$B$4:$B$2003,"&gt;="&amp;$AF$1,包装物料出入库明细!$B$4:$B$2003,"&lt;="&amp;$AF$2))</f>
        <v/>
      </c>
      <c r="N112" s="25" t="str">
        <f>IF(OR($B112="",_自动清单!$G$15=""),"",SUMIFS(包装物料出入库明细!$J$4:$J$2003,包装物料出入库明细!$D$4:$D$2003,$B112,包装物料出入库明细!$E$4:$E$2003,_自动清单!$G$15,包装物料出入库明细!$B$4:$B$2003,"&gt;="&amp;$AF$1,包装物料出入库明细!$B$4:$B$2003,"&lt;="&amp;$AF$2))</f>
        <v/>
      </c>
      <c r="O112" s="25" t="str">
        <f>IF(OR($B112="",_自动清单!$G$16=""),"",SUMIFS(包装物料出入库明细!$J$4:$J$2003,包装物料出入库明细!$D$4:$D$2003,$B112,包装物料出入库明细!$E$4:$E$2003,_自动清单!$G$16,包装物料出入库明细!$B$4:$B$2003,"&gt;="&amp;$AF$1,包装物料出入库明细!$B$4:$B$2003,"&lt;="&amp;$AF$2))</f>
        <v/>
      </c>
      <c r="P112" s="25" t="str">
        <f>IF(OR($B112="",_自动清单!$G$17=""),"",SUMIFS(包装物料出入库明细!$J$4:$J$2003,包装物料出入库明细!$D$4:$D$2003,$B112,包装物料出入库明细!$E$4:$E$2003,_自动清单!$G$17,包装物料出入库明细!$B$4:$B$2003,"&gt;="&amp;$AF$1,包装物料出入库明细!$B$4:$B$2003,"&lt;="&amp;$AF$2))</f>
        <v/>
      </c>
      <c r="Q112" s="25" t="str">
        <f>IF(OR($B112="",_自动清单!$G$18=""),"",SUMIFS(包装物料出入库明细!$J$4:$J$2003,包装物料出入库明细!$D$4:$D$2003,$B112,包装物料出入库明细!$E$4:$E$2003,_自动清单!$G$18,包装物料出入库明细!$B$4:$B$2003,"&gt;="&amp;$AF$1,包装物料出入库明细!$B$4:$B$2003,"&lt;="&amp;$AF$2))</f>
        <v/>
      </c>
      <c r="R112" s="25" t="str">
        <f>IF(OR($B112="",_自动清单!$G$19=""),"",SUMIFS(包装物料出入库明细!$J$4:$J$2003,包装物料出入库明细!$D$4:$D$2003,$B112,包装物料出入库明细!$E$4:$E$2003,_自动清单!$G$19,包装物料出入库明细!$B$4:$B$2003,"&gt;="&amp;$AF$1,包装物料出入库明细!$B$4:$B$2003,"&lt;="&amp;$AF$2))</f>
        <v/>
      </c>
      <c r="S112" s="25" t="str">
        <f>IF(OR($B112="",_自动清单!$G$20=""),"",SUMIFS(包装物料出入库明细!$J$4:$J$2003,包装物料出入库明细!$D$4:$D$2003,$B112,包装物料出入库明细!$E$4:$E$2003,_自动清单!$G$20,包装物料出入库明细!$B$4:$B$2003,"&gt;="&amp;$AF$1,包装物料出入库明细!$B$4:$B$2003,"&lt;="&amp;$AF$2))</f>
        <v/>
      </c>
      <c r="T112" s="25" t="str">
        <f>IF(OR($B112="",_自动清单!$G$21=""),"",SUMIFS(包装物料出入库明细!$J$4:$J$2003,包装物料出入库明细!$D$4:$D$2003,$B112,包装物料出入库明细!$E$4:$E$2003,_自动清单!$G$21,包装物料出入库明细!$B$4:$B$2003,"&gt;="&amp;$AF$1,包装物料出入库明细!$B$4:$B$2003,"&lt;="&amp;$AF$2))</f>
        <v/>
      </c>
      <c r="U112" s="25" t="str">
        <f>IF($B112="","",SUMIFS(包装物料出入库明细!$J$4:$J$2003,包装物料出入库明细!$D$4:$D$2003,$B112,包装物料出入库明细!$B$4:$B$2003,"&gt;="&amp;$AF$1,包装物料出入库明细!$B$4:$B$2003,"&lt;="&amp;$AF$2)-SUM($C112:$T112))</f>
        <v/>
      </c>
      <c r="V112" s="25" t="str">
        <f t="shared" si="5"/>
        <v/>
      </c>
      <c r="W112" s="56" t="str">
        <f>IF($B112="","",SUMIFS(包装物料出入库明细!$K$4:$K$2003,包装物料出入库明细!$D$4:$D$2003,$B112,包装物料出入库明细!$B$4:$B$2003,"&gt;="&amp;$AF$1,包装物料出入库明细!$B$4:$B$2003,"&lt;="&amp;$AF$2))</f>
        <v/>
      </c>
      <c r="X112" s="25" t="str">
        <f t="shared" si="6"/>
        <v/>
      </c>
      <c r="Y112" s="26" t="str">
        <f>IF($B112="","",ROUND(SUMIFS(包装物料出入库明细!$N$4:$N$2003,包装物料出入库明细!$D$4:$D$2003,$B112,包装物料出入库明细!$H$4:$H$2003,"销售出库",包装物料出入库明细!$B$4:$B$2003,"&gt;="&amp;$AF$1,包装物料出入库明细!$B$4:$B$2003,"&lt;="&amp;$AF$2),2))</f>
        <v/>
      </c>
      <c r="Z112" s="26" t="str">
        <f>IF($B112="","",ROUND(SUMIFS(包装物料出入库明细!$N$4:$N$2003,包装物料出入库明细!$D$4:$D$2003,$B112,包装物料出入库明细!$H$4:$H$2003,"销售出库",包装物料出入库明细!$P$4:$P$2003,"已收讫",包装物料出入库明细!$B$4:$B$2003,"&gt;="&amp;$AF$1,包装物料出入库明细!$B$4:$B$2003,"&lt;="&amp;$AF$2),2))</f>
        <v/>
      </c>
      <c r="AA112" s="26" t="str">
        <f t="shared" si="7"/>
        <v/>
      </c>
      <c r="AB112" s="41"/>
    </row>
    <row r="113" spans="1:28">
      <c r="A113" s="24" t="str">
        <f t="shared" si="4"/>
        <v/>
      </c>
      <c r="B113" s="24" t="str">
        <f>IFERROR(INDEX(_自动清单!$O$4:$O$203,ROW()-3),"")</f>
        <v/>
      </c>
      <c r="C113" s="25" t="str">
        <f>IF(OR($B113="",_自动清单!$G$4=""),"",SUMIFS(包装物料出入库明细!$J$4:$J$2003,包装物料出入库明细!$D$4:$D$2003,$B113,包装物料出入库明细!$E$4:$E$2003,_自动清单!$G$4,包装物料出入库明细!$B$4:$B$2003,"&gt;="&amp;$AF$1,包装物料出入库明细!$B$4:$B$2003,"&lt;="&amp;$AF$2))</f>
        <v/>
      </c>
      <c r="D113" s="25" t="str">
        <f>IF(OR($B113="",_自动清单!$G$5=""),"",SUMIFS(包装物料出入库明细!$J$4:$J$2003,包装物料出入库明细!$D$4:$D$2003,$B113,包装物料出入库明细!$E$4:$E$2003,_自动清单!$G$5,包装物料出入库明细!$B$4:$B$2003,"&gt;="&amp;$AF$1,包装物料出入库明细!$B$4:$B$2003,"&lt;="&amp;$AF$2))</f>
        <v/>
      </c>
      <c r="E113" s="25" t="str">
        <f>IF(OR($B113="",_自动清单!$G$6=""),"",SUMIFS(包装物料出入库明细!$J$4:$J$2003,包装物料出入库明细!$D$4:$D$2003,$B113,包装物料出入库明细!$E$4:$E$2003,_自动清单!$G$6,包装物料出入库明细!$B$4:$B$2003,"&gt;="&amp;$AF$1,包装物料出入库明细!$B$4:$B$2003,"&lt;="&amp;$AF$2))</f>
        <v/>
      </c>
      <c r="F113" s="25" t="str">
        <f>IF(OR($B113="",_自动清单!$G$7=""),"",SUMIFS(包装物料出入库明细!$J$4:$J$2003,包装物料出入库明细!$D$4:$D$2003,$B113,包装物料出入库明细!$E$4:$E$2003,_自动清单!$G$7,包装物料出入库明细!$B$4:$B$2003,"&gt;="&amp;$AF$1,包装物料出入库明细!$B$4:$B$2003,"&lt;="&amp;$AF$2))</f>
        <v/>
      </c>
      <c r="G113" s="25" t="str">
        <f>IF(OR($B113="",_自动清单!$G$8=""),"",SUMIFS(包装物料出入库明细!$J$4:$J$2003,包装物料出入库明细!$D$4:$D$2003,$B113,包装物料出入库明细!$E$4:$E$2003,_自动清单!$G$8,包装物料出入库明细!$B$4:$B$2003,"&gt;="&amp;$AF$1,包装物料出入库明细!$B$4:$B$2003,"&lt;="&amp;$AF$2))</f>
        <v/>
      </c>
      <c r="H113" s="25" t="str">
        <f>IF(OR($B113="",_自动清单!$G$9=""),"",SUMIFS(包装物料出入库明细!$J$4:$J$2003,包装物料出入库明细!$D$4:$D$2003,$B113,包装物料出入库明细!$E$4:$E$2003,_自动清单!$G$9,包装物料出入库明细!$B$4:$B$2003,"&gt;="&amp;$AF$1,包装物料出入库明细!$B$4:$B$2003,"&lt;="&amp;$AF$2))</f>
        <v/>
      </c>
      <c r="I113" s="25" t="str">
        <f>IF(OR($B113="",_自动清单!$G$10=""),"",SUMIFS(包装物料出入库明细!$J$4:$J$2003,包装物料出入库明细!$D$4:$D$2003,$B113,包装物料出入库明细!$E$4:$E$2003,_自动清单!$G$10,包装物料出入库明细!$B$4:$B$2003,"&gt;="&amp;$AF$1,包装物料出入库明细!$B$4:$B$2003,"&lt;="&amp;$AF$2))</f>
        <v/>
      </c>
      <c r="J113" s="25" t="str">
        <f>IF(OR($B113="",_自动清单!$G$11=""),"",SUMIFS(包装物料出入库明细!$J$4:$J$2003,包装物料出入库明细!$D$4:$D$2003,$B113,包装物料出入库明细!$E$4:$E$2003,_自动清单!$G$11,包装物料出入库明细!$B$4:$B$2003,"&gt;="&amp;$AF$1,包装物料出入库明细!$B$4:$B$2003,"&lt;="&amp;$AF$2))</f>
        <v/>
      </c>
      <c r="K113" s="25" t="str">
        <f>IF(OR($B113="",_自动清单!$G$12=""),"",SUMIFS(包装物料出入库明细!$J$4:$J$2003,包装物料出入库明细!$D$4:$D$2003,$B113,包装物料出入库明细!$E$4:$E$2003,_自动清单!$G$12,包装物料出入库明细!$B$4:$B$2003,"&gt;="&amp;$AF$1,包装物料出入库明细!$B$4:$B$2003,"&lt;="&amp;$AF$2))</f>
        <v/>
      </c>
      <c r="L113" s="25" t="str">
        <f>IF(OR($B113="",_自动清单!$G$13=""),"",SUMIFS(包装物料出入库明细!$J$4:$J$2003,包装物料出入库明细!$D$4:$D$2003,$B113,包装物料出入库明细!$E$4:$E$2003,_自动清单!$G$13,包装物料出入库明细!$B$4:$B$2003,"&gt;="&amp;$AF$1,包装物料出入库明细!$B$4:$B$2003,"&lt;="&amp;$AF$2))</f>
        <v/>
      </c>
      <c r="M113" s="25" t="str">
        <f>IF(OR($B113="",_自动清单!$G$14=""),"",SUMIFS(包装物料出入库明细!$J$4:$J$2003,包装物料出入库明细!$D$4:$D$2003,$B113,包装物料出入库明细!$E$4:$E$2003,_自动清单!$G$14,包装物料出入库明细!$B$4:$B$2003,"&gt;="&amp;$AF$1,包装物料出入库明细!$B$4:$B$2003,"&lt;="&amp;$AF$2))</f>
        <v/>
      </c>
      <c r="N113" s="25" t="str">
        <f>IF(OR($B113="",_自动清单!$G$15=""),"",SUMIFS(包装物料出入库明细!$J$4:$J$2003,包装物料出入库明细!$D$4:$D$2003,$B113,包装物料出入库明细!$E$4:$E$2003,_自动清单!$G$15,包装物料出入库明细!$B$4:$B$2003,"&gt;="&amp;$AF$1,包装物料出入库明细!$B$4:$B$2003,"&lt;="&amp;$AF$2))</f>
        <v/>
      </c>
      <c r="O113" s="25" t="str">
        <f>IF(OR($B113="",_自动清单!$G$16=""),"",SUMIFS(包装物料出入库明细!$J$4:$J$2003,包装物料出入库明细!$D$4:$D$2003,$B113,包装物料出入库明细!$E$4:$E$2003,_自动清单!$G$16,包装物料出入库明细!$B$4:$B$2003,"&gt;="&amp;$AF$1,包装物料出入库明细!$B$4:$B$2003,"&lt;="&amp;$AF$2))</f>
        <v/>
      </c>
      <c r="P113" s="25" t="str">
        <f>IF(OR($B113="",_自动清单!$G$17=""),"",SUMIFS(包装物料出入库明细!$J$4:$J$2003,包装物料出入库明细!$D$4:$D$2003,$B113,包装物料出入库明细!$E$4:$E$2003,_自动清单!$G$17,包装物料出入库明细!$B$4:$B$2003,"&gt;="&amp;$AF$1,包装物料出入库明细!$B$4:$B$2003,"&lt;="&amp;$AF$2))</f>
        <v/>
      </c>
      <c r="Q113" s="25" t="str">
        <f>IF(OR($B113="",_自动清单!$G$18=""),"",SUMIFS(包装物料出入库明细!$J$4:$J$2003,包装物料出入库明细!$D$4:$D$2003,$B113,包装物料出入库明细!$E$4:$E$2003,_自动清单!$G$18,包装物料出入库明细!$B$4:$B$2003,"&gt;="&amp;$AF$1,包装物料出入库明细!$B$4:$B$2003,"&lt;="&amp;$AF$2))</f>
        <v/>
      </c>
      <c r="R113" s="25" t="str">
        <f>IF(OR($B113="",_自动清单!$G$19=""),"",SUMIFS(包装物料出入库明细!$J$4:$J$2003,包装物料出入库明细!$D$4:$D$2003,$B113,包装物料出入库明细!$E$4:$E$2003,_自动清单!$G$19,包装物料出入库明细!$B$4:$B$2003,"&gt;="&amp;$AF$1,包装物料出入库明细!$B$4:$B$2003,"&lt;="&amp;$AF$2))</f>
        <v/>
      </c>
      <c r="S113" s="25" t="str">
        <f>IF(OR($B113="",_自动清单!$G$20=""),"",SUMIFS(包装物料出入库明细!$J$4:$J$2003,包装物料出入库明细!$D$4:$D$2003,$B113,包装物料出入库明细!$E$4:$E$2003,_自动清单!$G$20,包装物料出入库明细!$B$4:$B$2003,"&gt;="&amp;$AF$1,包装物料出入库明细!$B$4:$B$2003,"&lt;="&amp;$AF$2))</f>
        <v/>
      </c>
      <c r="T113" s="25" t="str">
        <f>IF(OR($B113="",_自动清单!$G$21=""),"",SUMIFS(包装物料出入库明细!$J$4:$J$2003,包装物料出入库明细!$D$4:$D$2003,$B113,包装物料出入库明细!$E$4:$E$2003,_自动清单!$G$21,包装物料出入库明细!$B$4:$B$2003,"&gt;="&amp;$AF$1,包装物料出入库明细!$B$4:$B$2003,"&lt;="&amp;$AF$2))</f>
        <v/>
      </c>
      <c r="U113" s="25" t="str">
        <f>IF($B113="","",SUMIFS(包装物料出入库明细!$J$4:$J$2003,包装物料出入库明细!$D$4:$D$2003,$B113,包装物料出入库明细!$B$4:$B$2003,"&gt;="&amp;$AF$1,包装物料出入库明细!$B$4:$B$2003,"&lt;="&amp;$AF$2)-SUM($C113:$T113))</f>
        <v/>
      </c>
      <c r="V113" s="25" t="str">
        <f t="shared" si="5"/>
        <v/>
      </c>
      <c r="W113" s="56" t="str">
        <f>IF($B113="","",SUMIFS(包装物料出入库明细!$K$4:$K$2003,包装物料出入库明细!$D$4:$D$2003,$B113,包装物料出入库明细!$B$4:$B$2003,"&gt;="&amp;$AF$1,包装物料出入库明细!$B$4:$B$2003,"&lt;="&amp;$AF$2))</f>
        <v/>
      </c>
      <c r="X113" s="25" t="str">
        <f t="shared" si="6"/>
        <v/>
      </c>
      <c r="Y113" s="26" t="str">
        <f>IF($B113="","",ROUND(SUMIFS(包装物料出入库明细!$N$4:$N$2003,包装物料出入库明细!$D$4:$D$2003,$B113,包装物料出入库明细!$H$4:$H$2003,"销售出库",包装物料出入库明细!$B$4:$B$2003,"&gt;="&amp;$AF$1,包装物料出入库明细!$B$4:$B$2003,"&lt;="&amp;$AF$2),2))</f>
        <v/>
      </c>
      <c r="Z113" s="26" t="str">
        <f>IF($B113="","",ROUND(SUMIFS(包装物料出入库明细!$N$4:$N$2003,包装物料出入库明细!$D$4:$D$2003,$B113,包装物料出入库明细!$H$4:$H$2003,"销售出库",包装物料出入库明细!$P$4:$P$2003,"已收讫",包装物料出入库明细!$B$4:$B$2003,"&gt;="&amp;$AF$1,包装物料出入库明细!$B$4:$B$2003,"&lt;="&amp;$AF$2),2))</f>
        <v/>
      </c>
      <c r="AA113" s="26" t="str">
        <f t="shared" si="7"/>
        <v/>
      </c>
      <c r="AB113" s="41"/>
    </row>
    <row r="114" spans="1:28">
      <c r="A114" s="24" t="str">
        <f t="shared" si="4"/>
        <v/>
      </c>
      <c r="B114" s="24" t="str">
        <f>IFERROR(INDEX(_自动清单!$O$4:$O$203,ROW()-3),"")</f>
        <v/>
      </c>
      <c r="C114" s="25" t="str">
        <f>IF(OR($B114="",_自动清单!$G$4=""),"",SUMIFS(包装物料出入库明细!$J$4:$J$2003,包装物料出入库明细!$D$4:$D$2003,$B114,包装物料出入库明细!$E$4:$E$2003,_自动清单!$G$4,包装物料出入库明细!$B$4:$B$2003,"&gt;="&amp;$AF$1,包装物料出入库明细!$B$4:$B$2003,"&lt;="&amp;$AF$2))</f>
        <v/>
      </c>
      <c r="D114" s="25" t="str">
        <f>IF(OR($B114="",_自动清单!$G$5=""),"",SUMIFS(包装物料出入库明细!$J$4:$J$2003,包装物料出入库明细!$D$4:$D$2003,$B114,包装物料出入库明细!$E$4:$E$2003,_自动清单!$G$5,包装物料出入库明细!$B$4:$B$2003,"&gt;="&amp;$AF$1,包装物料出入库明细!$B$4:$B$2003,"&lt;="&amp;$AF$2))</f>
        <v/>
      </c>
      <c r="E114" s="25" t="str">
        <f>IF(OR($B114="",_自动清单!$G$6=""),"",SUMIFS(包装物料出入库明细!$J$4:$J$2003,包装物料出入库明细!$D$4:$D$2003,$B114,包装物料出入库明细!$E$4:$E$2003,_自动清单!$G$6,包装物料出入库明细!$B$4:$B$2003,"&gt;="&amp;$AF$1,包装物料出入库明细!$B$4:$B$2003,"&lt;="&amp;$AF$2))</f>
        <v/>
      </c>
      <c r="F114" s="25" t="str">
        <f>IF(OR($B114="",_自动清单!$G$7=""),"",SUMIFS(包装物料出入库明细!$J$4:$J$2003,包装物料出入库明细!$D$4:$D$2003,$B114,包装物料出入库明细!$E$4:$E$2003,_自动清单!$G$7,包装物料出入库明细!$B$4:$B$2003,"&gt;="&amp;$AF$1,包装物料出入库明细!$B$4:$B$2003,"&lt;="&amp;$AF$2))</f>
        <v/>
      </c>
      <c r="G114" s="25" t="str">
        <f>IF(OR($B114="",_自动清单!$G$8=""),"",SUMIFS(包装物料出入库明细!$J$4:$J$2003,包装物料出入库明细!$D$4:$D$2003,$B114,包装物料出入库明细!$E$4:$E$2003,_自动清单!$G$8,包装物料出入库明细!$B$4:$B$2003,"&gt;="&amp;$AF$1,包装物料出入库明细!$B$4:$B$2003,"&lt;="&amp;$AF$2))</f>
        <v/>
      </c>
      <c r="H114" s="25" t="str">
        <f>IF(OR($B114="",_自动清单!$G$9=""),"",SUMIFS(包装物料出入库明细!$J$4:$J$2003,包装物料出入库明细!$D$4:$D$2003,$B114,包装物料出入库明细!$E$4:$E$2003,_自动清单!$G$9,包装物料出入库明细!$B$4:$B$2003,"&gt;="&amp;$AF$1,包装物料出入库明细!$B$4:$B$2003,"&lt;="&amp;$AF$2))</f>
        <v/>
      </c>
      <c r="I114" s="25" t="str">
        <f>IF(OR($B114="",_自动清单!$G$10=""),"",SUMIFS(包装物料出入库明细!$J$4:$J$2003,包装物料出入库明细!$D$4:$D$2003,$B114,包装物料出入库明细!$E$4:$E$2003,_自动清单!$G$10,包装物料出入库明细!$B$4:$B$2003,"&gt;="&amp;$AF$1,包装物料出入库明细!$B$4:$B$2003,"&lt;="&amp;$AF$2))</f>
        <v/>
      </c>
      <c r="J114" s="25" t="str">
        <f>IF(OR($B114="",_自动清单!$G$11=""),"",SUMIFS(包装物料出入库明细!$J$4:$J$2003,包装物料出入库明细!$D$4:$D$2003,$B114,包装物料出入库明细!$E$4:$E$2003,_自动清单!$G$11,包装物料出入库明细!$B$4:$B$2003,"&gt;="&amp;$AF$1,包装物料出入库明细!$B$4:$B$2003,"&lt;="&amp;$AF$2))</f>
        <v/>
      </c>
      <c r="K114" s="25" t="str">
        <f>IF(OR($B114="",_自动清单!$G$12=""),"",SUMIFS(包装物料出入库明细!$J$4:$J$2003,包装物料出入库明细!$D$4:$D$2003,$B114,包装物料出入库明细!$E$4:$E$2003,_自动清单!$G$12,包装物料出入库明细!$B$4:$B$2003,"&gt;="&amp;$AF$1,包装物料出入库明细!$B$4:$B$2003,"&lt;="&amp;$AF$2))</f>
        <v/>
      </c>
      <c r="L114" s="25" t="str">
        <f>IF(OR($B114="",_自动清单!$G$13=""),"",SUMIFS(包装物料出入库明细!$J$4:$J$2003,包装物料出入库明细!$D$4:$D$2003,$B114,包装物料出入库明细!$E$4:$E$2003,_自动清单!$G$13,包装物料出入库明细!$B$4:$B$2003,"&gt;="&amp;$AF$1,包装物料出入库明细!$B$4:$B$2003,"&lt;="&amp;$AF$2))</f>
        <v/>
      </c>
      <c r="M114" s="25" t="str">
        <f>IF(OR($B114="",_自动清单!$G$14=""),"",SUMIFS(包装物料出入库明细!$J$4:$J$2003,包装物料出入库明细!$D$4:$D$2003,$B114,包装物料出入库明细!$E$4:$E$2003,_自动清单!$G$14,包装物料出入库明细!$B$4:$B$2003,"&gt;="&amp;$AF$1,包装物料出入库明细!$B$4:$B$2003,"&lt;="&amp;$AF$2))</f>
        <v/>
      </c>
      <c r="N114" s="25" t="str">
        <f>IF(OR($B114="",_自动清单!$G$15=""),"",SUMIFS(包装物料出入库明细!$J$4:$J$2003,包装物料出入库明细!$D$4:$D$2003,$B114,包装物料出入库明细!$E$4:$E$2003,_自动清单!$G$15,包装物料出入库明细!$B$4:$B$2003,"&gt;="&amp;$AF$1,包装物料出入库明细!$B$4:$B$2003,"&lt;="&amp;$AF$2))</f>
        <v/>
      </c>
      <c r="O114" s="25" t="str">
        <f>IF(OR($B114="",_自动清单!$G$16=""),"",SUMIFS(包装物料出入库明细!$J$4:$J$2003,包装物料出入库明细!$D$4:$D$2003,$B114,包装物料出入库明细!$E$4:$E$2003,_自动清单!$G$16,包装物料出入库明细!$B$4:$B$2003,"&gt;="&amp;$AF$1,包装物料出入库明细!$B$4:$B$2003,"&lt;="&amp;$AF$2))</f>
        <v/>
      </c>
      <c r="P114" s="25" t="str">
        <f>IF(OR($B114="",_自动清单!$G$17=""),"",SUMIFS(包装物料出入库明细!$J$4:$J$2003,包装物料出入库明细!$D$4:$D$2003,$B114,包装物料出入库明细!$E$4:$E$2003,_自动清单!$G$17,包装物料出入库明细!$B$4:$B$2003,"&gt;="&amp;$AF$1,包装物料出入库明细!$B$4:$B$2003,"&lt;="&amp;$AF$2))</f>
        <v/>
      </c>
      <c r="Q114" s="25" t="str">
        <f>IF(OR($B114="",_自动清单!$G$18=""),"",SUMIFS(包装物料出入库明细!$J$4:$J$2003,包装物料出入库明细!$D$4:$D$2003,$B114,包装物料出入库明细!$E$4:$E$2003,_自动清单!$G$18,包装物料出入库明细!$B$4:$B$2003,"&gt;="&amp;$AF$1,包装物料出入库明细!$B$4:$B$2003,"&lt;="&amp;$AF$2))</f>
        <v/>
      </c>
      <c r="R114" s="25" t="str">
        <f>IF(OR($B114="",_自动清单!$G$19=""),"",SUMIFS(包装物料出入库明细!$J$4:$J$2003,包装物料出入库明细!$D$4:$D$2003,$B114,包装物料出入库明细!$E$4:$E$2003,_自动清单!$G$19,包装物料出入库明细!$B$4:$B$2003,"&gt;="&amp;$AF$1,包装物料出入库明细!$B$4:$B$2003,"&lt;="&amp;$AF$2))</f>
        <v/>
      </c>
      <c r="S114" s="25" t="str">
        <f>IF(OR($B114="",_自动清单!$G$20=""),"",SUMIFS(包装物料出入库明细!$J$4:$J$2003,包装物料出入库明细!$D$4:$D$2003,$B114,包装物料出入库明细!$E$4:$E$2003,_自动清单!$G$20,包装物料出入库明细!$B$4:$B$2003,"&gt;="&amp;$AF$1,包装物料出入库明细!$B$4:$B$2003,"&lt;="&amp;$AF$2))</f>
        <v/>
      </c>
      <c r="T114" s="25" t="str">
        <f>IF(OR($B114="",_自动清单!$G$21=""),"",SUMIFS(包装物料出入库明细!$J$4:$J$2003,包装物料出入库明细!$D$4:$D$2003,$B114,包装物料出入库明细!$E$4:$E$2003,_自动清单!$G$21,包装物料出入库明细!$B$4:$B$2003,"&gt;="&amp;$AF$1,包装物料出入库明细!$B$4:$B$2003,"&lt;="&amp;$AF$2))</f>
        <v/>
      </c>
      <c r="U114" s="25" t="str">
        <f>IF($B114="","",SUMIFS(包装物料出入库明细!$J$4:$J$2003,包装物料出入库明细!$D$4:$D$2003,$B114,包装物料出入库明细!$B$4:$B$2003,"&gt;="&amp;$AF$1,包装物料出入库明细!$B$4:$B$2003,"&lt;="&amp;$AF$2)-SUM($C114:$T114))</f>
        <v/>
      </c>
      <c r="V114" s="25" t="str">
        <f t="shared" si="5"/>
        <v/>
      </c>
      <c r="W114" s="56" t="str">
        <f>IF($B114="","",SUMIFS(包装物料出入库明细!$K$4:$K$2003,包装物料出入库明细!$D$4:$D$2003,$B114,包装物料出入库明细!$B$4:$B$2003,"&gt;="&amp;$AF$1,包装物料出入库明细!$B$4:$B$2003,"&lt;="&amp;$AF$2))</f>
        <v/>
      </c>
      <c r="X114" s="25" t="str">
        <f t="shared" si="6"/>
        <v/>
      </c>
      <c r="Y114" s="26" t="str">
        <f>IF($B114="","",ROUND(SUMIFS(包装物料出入库明细!$N$4:$N$2003,包装物料出入库明细!$D$4:$D$2003,$B114,包装物料出入库明细!$H$4:$H$2003,"销售出库",包装物料出入库明细!$B$4:$B$2003,"&gt;="&amp;$AF$1,包装物料出入库明细!$B$4:$B$2003,"&lt;="&amp;$AF$2),2))</f>
        <v/>
      </c>
      <c r="Z114" s="26" t="str">
        <f>IF($B114="","",ROUND(SUMIFS(包装物料出入库明细!$N$4:$N$2003,包装物料出入库明细!$D$4:$D$2003,$B114,包装物料出入库明细!$H$4:$H$2003,"销售出库",包装物料出入库明细!$P$4:$P$2003,"已收讫",包装物料出入库明细!$B$4:$B$2003,"&gt;="&amp;$AF$1,包装物料出入库明细!$B$4:$B$2003,"&lt;="&amp;$AF$2),2))</f>
        <v/>
      </c>
      <c r="AA114" s="26" t="str">
        <f t="shared" si="7"/>
        <v/>
      </c>
      <c r="AB114" s="41"/>
    </row>
    <row r="115" spans="1:28">
      <c r="A115" s="24" t="str">
        <f t="shared" si="4"/>
        <v/>
      </c>
      <c r="B115" s="24" t="str">
        <f>IFERROR(INDEX(_自动清单!$O$4:$O$203,ROW()-3),"")</f>
        <v/>
      </c>
      <c r="C115" s="25" t="str">
        <f>IF(OR($B115="",_自动清单!$G$4=""),"",SUMIFS(包装物料出入库明细!$J$4:$J$2003,包装物料出入库明细!$D$4:$D$2003,$B115,包装物料出入库明细!$E$4:$E$2003,_自动清单!$G$4,包装物料出入库明细!$B$4:$B$2003,"&gt;="&amp;$AF$1,包装物料出入库明细!$B$4:$B$2003,"&lt;="&amp;$AF$2))</f>
        <v/>
      </c>
      <c r="D115" s="25" t="str">
        <f>IF(OR($B115="",_自动清单!$G$5=""),"",SUMIFS(包装物料出入库明细!$J$4:$J$2003,包装物料出入库明细!$D$4:$D$2003,$B115,包装物料出入库明细!$E$4:$E$2003,_自动清单!$G$5,包装物料出入库明细!$B$4:$B$2003,"&gt;="&amp;$AF$1,包装物料出入库明细!$B$4:$B$2003,"&lt;="&amp;$AF$2))</f>
        <v/>
      </c>
      <c r="E115" s="25" t="str">
        <f>IF(OR($B115="",_自动清单!$G$6=""),"",SUMIFS(包装物料出入库明细!$J$4:$J$2003,包装物料出入库明细!$D$4:$D$2003,$B115,包装物料出入库明细!$E$4:$E$2003,_自动清单!$G$6,包装物料出入库明细!$B$4:$B$2003,"&gt;="&amp;$AF$1,包装物料出入库明细!$B$4:$B$2003,"&lt;="&amp;$AF$2))</f>
        <v/>
      </c>
      <c r="F115" s="25" t="str">
        <f>IF(OR($B115="",_自动清单!$G$7=""),"",SUMIFS(包装物料出入库明细!$J$4:$J$2003,包装物料出入库明细!$D$4:$D$2003,$B115,包装物料出入库明细!$E$4:$E$2003,_自动清单!$G$7,包装物料出入库明细!$B$4:$B$2003,"&gt;="&amp;$AF$1,包装物料出入库明细!$B$4:$B$2003,"&lt;="&amp;$AF$2))</f>
        <v/>
      </c>
      <c r="G115" s="25" t="str">
        <f>IF(OR($B115="",_自动清单!$G$8=""),"",SUMIFS(包装物料出入库明细!$J$4:$J$2003,包装物料出入库明细!$D$4:$D$2003,$B115,包装物料出入库明细!$E$4:$E$2003,_自动清单!$G$8,包装物料出入库明细!$B$4:$B$2003,"&gt;="&amp;$AF$1,包装物料出入库明细!$B$4:$B$2003,"&lt;="&amp;$AF$2))</f>
        <v/>
      </c>
      <c r="H115" s="25" t="str">
        <f>IF(OR($B115="",_自动清单!$G$9=""),"",SUMIFS(包装物料出入库明细!$J$4:$J$2003,包装物料出入库明细!$D$4:$D$2003,$B115,包装物料出入库明细!$E$4:$E$2003,_自动清单!$G$9,包装物料出入库明细!$B$4:$B$2003,"&gt;="&amp;$AF$1,包装物料出入库明细!$B$4:$B$2003,"&lt;="&amp;$AF$2))</f>
        <v/>
      </c>
      <c r="I115" s="25" t="str">
        <f>IF(OR($B115="",_自动清单!$G$10=""),"",SUMIFS(包装物料出入库明细!$J$4:$J$2003,包装物料出入库明细!$D$4:$D$2003,$B115,包装物料出入库明细!$E$4:$E$2003,_自动清单!$G$10,包装物料出入库明细!$B$4:$B$2003,"&gt;="&amp;$AF$1,包装物料出入库明细!$B$4:$B$2003,"&lt;="&amp;$AF$2))</f>
        <v/>
      </c>
      <c r="J115" s="25" t="str">
        <f>IF(OR($B115="",_自动清单!$G$11=""),"",SUMIFS(包装物料出入库明细!$J$4:$J$2003,包装物料出入库明细!$D$4:$D$2003,$B115,包装物料出入库明细!$E$4:$E$2003,_自动清单!$G$11,包装物料出入库明细!$B$4:$B$2003,"&gt;="&amp;$AF$1,包装物料出入库明细!$B$4:$B$2003,"&lt;="&amp;$AF$2))</f>
        <v/>
      </c>
      <c r="K115" s="25" t="str">
        <f>IF(OR($B115="",_自动清单!$G$12=""),"",SUMIFS(包装物料出入库明细!$J$4:$J$2003,包装物料出入库明细!$D$4:$D$2003,$B115,包装物料出入库明细!$E$4:$E$2003,_自动清单!$G$12,包装物料出入库明细!$B$4:$B$2003,"&gt;="&amp;$AF$1,包装物料出入库明细!$B$4:$B$2003,"&lt;="&amp;$AF$2))</f>
        <v/>
      </c>
      <c r="L115" s="25" t="str">
        <f>IF(OR($B115="",_自动清单!$G$13=""),"",SUMIFS(包装物料出入库明细!$J$4:$J$2003,包装物料出入库明细!$D$4:$D$2003,$B115,包装物料出入库明细!$E$4:$E$2003,_自动清单!$G$13,包装物料出入库明细!$B$4:$B$2003,"&gt;="&amp;$AF$1,包装物料出入库明细!$B$4:$B$2003,"&lt;="&amp;$AF$2))</f>
        <v/>
      </c>
      <c r="M115" s="25" t="str">
        <f>IF(OR($B115="",_自动清单!$G$14=""),"",SUMIFS(包装物料出入库明细!$J$4:$J$2003,包装物料出入库明细!$D$4:$D$2003,$B115,包装物料出入库明细!$E$4:$E$2003,_自动清单!$G$14,包装物料出入库明细!$B$4:$B$2003,"&gt;="&amp;$AF$1,包装物料出入库明细!$B$4:$B$2003,"&lt;="&amp;$AF$2))</f>
        <v/>
      </c>
      <c r="N115" s="25" t="str">
        <f>IF(OR($B115="",_自动清单!$G$15=""),"",SUMIFS(包装物料出入库明细!$J$4:$J$2003,包装物料出入库明细!$D$4:$D$2003,$B115,包装物料出入库明细!$E$4:$E$2003,_自动清单!$G$15,包装物料出入库明细!$B$4:$B$2003,"&gt;="&amp;$AF$1,包装物料出入库明细!$B$4:$B$2003,"&lt;="&amp;$AF$2))</f>
        <v/>
      </c>
      <c r="O115" s="25" t="str">
        <f>IF(OR($B115="",_自动清单!$G$16=""),"",SUMIFS(包装物料出入库明细!$J$4:$J$2003,包装物料出入库明细!$D$4:$D$2003,$B115,包装物料出入库明细!$E$4:$E$2003,_自动清单!$G$16,包装物料出入库明细!$B$4:$B$2003,"&gt;="&amp;$AF$1,包装物料出入库明细!$B$4:$B$2003,"&lt;="&amp;$AF$2))</f>
        <v/>
      </c>
      <c r="P115" s="25" t="str">
        <f>IF(OR($B115="",_自动清单!$G$17=""),"",SUMIFS(包装物料出入库明细!$J$4:$J$2003,包装物料出入库明细!$D$4:$D$2003,$B115,包装物料出入库明细!$E$4:$E$2003,_自动清单!$G$17,包装物料出入库明细!$B$4:$B$2003,"&gt;="&amp;$AF$1,包装物料出入库明细!$B$4:$B$2003,"&lt;="&amp;$AF$2))</f>
        <v/>
      </c>
      <c r="Q115" s="25" t="str">
        <f>IF(OR($B115="",_自动清单!$G$18=""),"",SUMIFS(包装物料出入库明细!$J$4:$J$2003,包装物料出入库明细!$D$4:$D$2003,$B115,包装物料出入库明细!$E$4:$E$2003,_自动清单!$G$18,包装物料出入库明细!$B$4:$B$2003,"&gt;="&amp;$AF$1,包装物料出入库明细!$B$4:$B$2003,"&lt;="&amp;$AF$2))</f>
        <v/>
      </c>
      <c r="R115" s="25" t="str">
        <f>IF(OR($B115="",_自动清单!$G$19=""),"",SUMIFS(包装物料出入库明细!$J$4:$J$2003,包装物料出入库明细!$D$4:$D$2003,$B115,包装物料出入库明细!$E$4:$E$2003,_自动清单!$G$19,包装物料出入库明细!$B$4:$B$2003,"&gt;="&amp;$AF$1,包装物料出入库明细!$B$4:$B$2003,"&lt;="&amp;$AF$2))</f>
        <v/>
      </c>
      <c r="S115" s="25" t="str">
        <f>IF(OR($B115="",_自动清单!$G$20=""),"",SUMIFS(包装物料出入库明细!$J$4:$J$2003,包装物料出入库明细!$D$4:$D$2003,$B115,包装物料出入库明细!$E$4:$E$2003,_自动清单!$G$20,包装物料出入库明细!$B$4:$B$2003,"&gt;="&amp;$AF$1,包装物料出入库明细!$B$4:$B$2003,"&lt;="&amp;$AF$2))</f>
        <v/>
      </c>
      <c r="T115" s="25" t="str">
        <f>IF(OR($B115="",_自动清单!$G$21=""),"",SUMIFS(包装物料出入库明细!$J$4:$J$2003,包装物料出入库明细!$D$4:$D$2003,$B115,包装物料出入库明细!$E$4:$E$2003,_自动清单!$G$21,包装物料出入库明细!$B$4:$B$2003,"&gt;="&amp;$AF$1,包装物料出入库明细!$B$4:$B$2003,"&lt;="&amp;$AF$2))</f>
        <v/>
      </c>
      <c r="U115" s="25" t="str">
        <f>IF($B115="","",SUMIFS(包装物料出入库明细!$J$4:$J$2003,包装物料出入库明细!$D$4:$D$2003,$B115,包装物料出入库明细!$B$4:$B$2003,"&gt;="&amp;$AF$1,包装物料出入库明细!$B$4:$B$2003,"&lt;="&amp;$AF$2)-SUM($C115:$T115))</f>
        <v/>
      </c>
      <c r="V115" s="25" t="str">
        <f t="shared" si="5"/>
        <v/>
      </c>
      <c r="W115" s="56" t="str">
        <f>IF($B115="","",SUMIFS(包装物料出入库明细!$K$4:$K$2003,包装物料出入库明细!$D$4:$D$2003,$B115,包装物料出入库明细!$B$4:$B$2003,"&gt;="&amp;$AF$1,包装物料出入库明细!$B$4:$B$2003,"&lt;="&amp;$AF$2))</f>
        <v/>
      </c>
      <c r="X115" s="25" t="str">
        <f t="shared" si="6"/>
        <v/>
      </c>
      <c r="Y115" s="26" t="str">
        <f>IF($B115="","",ROUND(SUMIFS(包装物料出入库明细!$N$4:$N$2003,包装物料出入库明细!$D$4:$D$2003,$B115,包装物料出入库明细!$H$4:$H$2003,"销售出库",包装物料出入库明细!$B$4:$B$2003,"&gt;="&amp;$AF$1,包装物料出入库明细!$B$4:$B$2003,"&lt;="&amp;$AF$2),2))</f>
        <v/>
      </c>
      <c r="Z115" s="26" t="str">
        <f>IF($B115="","",ROUND(SUMIFS(包装物料出入库明细!$N$4:$N$2003,包装物料出入库明细!$D$4:$D$2003,$B115,包装物料出入库明细!$H$4:$H$2003,"销售出库",包装物料出入库明细!$P$4:$P$2003,"已收讫",包装物料出入库明细!$B$4:$B$2003,"&gt;="&amp;$AF$1,包装物料出入库明细!$B$4:$B$2003,"&lt;="&amp;$AF$2),2))</f>
        <v/>
      </c>
      <c r="AA115" s="26" t="str">
        <f t="shared" si="7"/>
        <v/>
      </c>
      <c r="AB115" s="41"/>
    </row>
    <row r="116" spans="1:28">
      <c r="A116" s="24" t="str">
        <f t="shared" si="4"/>
        <v/>
      </c>
      <c r="B116" s="24" t="str">
        <f>IFERROR(INDEX(_自动清单!$O$4:$O$203,ROW()-3),"")</f>
        <v/>
      </c>
      <c r="C116" s="25" t="str">
        <f>IF(OR($B116="",_自动清单!$G$4=""),"",SUMIFS(包装物料出入库明细!$J$4:$J$2003,包装物料出入库明细!$D$4:$D$2003,$B116,包装物料出入库明细!$E$4:$E$2003,_自动清单!$G$4,包装物料出入库明细!$B$4:$B$2003,"&gt;="&amp;$AF$1,包装物料出入库明细!$B$4:$B$2003,"&lt;="&amp;$AF$2))</f>
        <v/>
      </c>
      <c r="D116" s="25" t="str">
        <f>IF(OR($B116="",_自动清单!$G$5=""),"",SUMIFS(包装物料出入库明细!$J$4:$J$2003,包装物料出入库明细!$D$4:$D$2003,$B116,包装物料出入库明细!$E$4:$E$2003,_自动清单!$G$5,包装物料出入库明细!$B$4:$B$2003,"&gt;="&amp;$AF$1,包装物料出入库明细!$B$4:$B$2003,"&lt;="&amp;$AF$2))</f>
        <v/>
      </c>
      <c r="E116" s="25" t="str">
        <f>IF(OR($B116="",_自动清单!$G$6=""),"",SUMIFS(包装物料出入库明细!$J$4:$J$2003,包装物料出入库明细!$D$4:$D$2003,$B116,包装物料出入库明细!$E$4:$E$2003,_自动清单!$G$6,包装物料出入库明细!$B$4:$B$2003,"&gt;="&amp;$AF$1,包装物料出入库明细!$B$4:$B$2003,"&lt;="&amp;$AF$2))</f>
        <v/>
      </c>
      <c r="F116" s="25" t="str">
        <f>IF(OR($B116="",_自动清单!$G$7=""),"",SUMIFS(包装物料出入库明细!$J$4:$J$2003,包装物料出入库明细!$D$4:$D$2003,$B116,包装物料出入库明细!$E$4:$E$2003,_自动清单!$G$7,包装物料出入库明细!$B$4:$B$2003,"&gt;="&amp;$AF$1,包装物料出入库明细!$B$4:$B$2003,"&lt;="&amp;$AF$2))</f>
        <v/>
      </c>
      <c r="G116" s="25" t="str">
        <f>IF(OR($B116="",_自动清单!$G$8=""),"",SUMIFS(包装物料出入库明细!$J$4:$J$2003,包装物料出入库明细!$D$4:$D$2003,$B116,包装物料出入库明细!$E$4:$E$2003,_自动清单!$G$8,包装物料出入库明细!$B$4:$B$2003,"&gt;="&amp;$AF$1,包装物料出入库明细!$B$4:$B$2003,"&lt;="&amp;$AF$2))</f>
        <v/>
      </c>
      <c r="H116" s="25" t="str">
        <f>IF(OR($B116="",_自动清单!$G$9=""),"",SUMIFS(包装物料出入库明细!$J$4:$J$2003,包装物料出入库明细!$D$4:$D$2003,$B116,包装物料出入库明细!$E$4:$E$2003,_自动清单!$G$9,包装物料出入库明细!$B$4:$B$2003,"&gt;="&amp;$AF$1,包装物料出入库明细!$B$4:$B$2003,"&lt;="&amp;$AF$2))</f>
        <v/>
      </c>
      <c r="I116" s="25" t="str">
        <f>IF(OR($B116="",_自动清单!$G$10=""),"",SUMIFS(包装物料出入库明细!$J$4:$J$2003,包装物料出入库明细!$D$4:$D$2003,$B116,包装物料出入库明细!$E$4:$E$2003,_自动清单!$G$10,包装物料出入库明细!$B$4:$B$2003,"&gt;="&amp;$AF$1,包装物料出入库明细!$B$4:$B$2003,"&lt;="&amp;$AF$2))</f>
        <v/>
      </c>
      <c r="J116" s="25" t="str">
        <f>IF(OR($B116="",_自动清单!$G$11=""),"",SUMIFS(包装物料出入库明细!$J$4:$J$2003,包装物料出入库明细!$D$4:$D$2003,$B116,包装物料出入库明细!$E$4:$E$2003,_自动清单!$G$11,包装物料出入库明细!$B$4:$B$2003,"&gt;="&amp;$AF$1,包装物料出入库明细!$B$4:$B$2003,"&lt;="&amp;$AF$2))</f>
        <v/>
      </c>
      <c r="K116" s="25" t="str">
        <f>IF(OR($B116="",_自动清单!$G$12=""),"",SUMIFS(包装物料出入库明细!$J$4:$J$2003,包装物料出入库明细!$D$4:$D$2003,$B116,包装物料出入库明细!$E$4:$E$2003,_自动清单!$G$12,包装物料出入库明细!$B$4:$B$2003,"&gt;="&amp;$AF$1,包装物料出入库明细!$B$4:$B$2003,"&lt;="&amp;$AF$2))</f>
        <v/>
      </c>
      <c r="L116" s="25" t="str">
        <f>IF(OR($B116="",_自动清单!$G$13=""),"",SUMIFS(包装物料出入库明细!$J$4:$J$2003,包装物料出入库明细!$D$4:$D$2003,$B116,包装物料出入库明细!$E$4:$E$2003,_自动清单!$G$13,包装物料出入库明细!$B$4:$B$2003,"&gt;="&amp;$AF$1,包装物料出入库明细!$B$4:$B$2003,"&lt;="&amp;$AF$2))</f>
        <v/>
      </c>
      <c r="M116" s="25" t="str">
        <f>IF(OR($B116="",_自动清单!$G$14=""),"",SUMIFS(包装物料出入库明细!$J$4:$J$2003,包装物料出入库明细!$D$4:$D$2003,$B116,包装物料出入库明细!$E$4:$E$2003,_自动清单!$G$14,包装物料出入库明细!$B$4:$B$2003,"&gt;="&amp;$AF$1,包装物料出入库明细!$B$4:$B$2003,"&lt;="&amp;$AF$2))</f>
        <v/>
      </c>
      <c r="N116" s="25" t="str">
        <f>IF(OR($B116="",_自动清单!$G$15=""),"",SUMIFS(包装物料出入库明细!$J$4:$J$2003,包装物料出入库明细!$D$4:$D$2003,$B116,包装物料出入库明细!$E$4:$E$2003,_自动清单!$G$15,包装物料出入库明细!$B$4:$B$2003,"&gt;="&amp;$AF$1,包装物料出入库明细!$B$4:$B$2003,"&lt;="&amp;$AF$2))</f>
        <v/>
      </c>
      <c r="O116" s="25" t="str">
        <f>IF(OR($B116="",_自动清单!$G$16=""),"",SUMIFS(包装物料出入库明细!$J$4:$J$2003,包装物料出入库明细!$D$4:$D$2003,$B116,包装物料出入库明细!$E$4:$E$2003,_自动清单!$G$16,包装物料出入库明细!$B$4:$B$2003,"&gt;="&amp;$AF$1,包装物料出入库明细!$B$4:$B$2003,"&lt;="&amp;$AF$2))</f>
        <v/>
      </c>
      <c r="P116" s="25" t="str">
        <f>IF(OR($B116="",_自动清单!$G$17=""),"",SUMIFS(包装物料出入库明细!$J$4:$J$2003,包装物料出入库明细!$D$4:$D$2003,$B116,包装物料出入库明细!$E$4:$E$2003,_自动清单!$G$17,包装物料出入库明细!$B$4:$B$2003,"&gt;="&amp;$AF$1,包装物料出入库明细!$B$4:$B$2003,"&lt;="&amp;$AF$2))</f>
        <v/>
      </c>
      <c r="Q116" s="25" t="str">
        <f>IF(OR($B116="",_自动清单!$G$18=""),"",SUMIFS(包装物料出入库明细!$J$4:$J$2003,包装物料出入库明细!$D$4:$D$2003,$B116,包装物料出入库明细!$E$4:$E$2003,_自动清单!$G$18,包装物料出入库明细!$B$4:$B$2003,"&gt;="&amp;$AF$1,包装物料出入库明细!$B$4:$B$2003,"&lt;="&amp;$AF$2))</f>
        <v/>
      </c>
      <c r="R116" s="25" t="str">
        <f>IF(OR($B116="",_自动清单!$G$19=""),"",SUMIFS(包装物料出入库明细!$J$4:$J$2003,包装物料出入库明细!$D$4:$D$2003,$B116,包装物料出入库明细!$E$4:$E$2003,_自动清单!$G$19,包装物料出入库明细!$B$4:$B$2003,"&gt;="&amp;$AF$1,包装物料出入库明细!$B$4:$B$2003,"&lt;="&amp;$AF$2))</f>
        <v/>
      </c>
      <c r="S116" s="25" t="str">
        <f>IF(OR($B116="",_自动清单!$G$20=""),"",SUMIFS(包装物料出入库明细!$J$4:$J$2003,包装物料出入库明细!$D$4:$D$2003,$B116,包装物料出入库明细!$E$4:$E$2003,_自动清单!$G$20,包装物料出入库明细!$B$4:$B$2003,"&gt;="&amp;$AF$1,包装物料出入库明细!$B$4:$B$2003,"&lt;="&amp;$AF$2))</f>
        <v/>
      </c>
      <c r="T116" s="25" t="str">
        <f>IF(OR($B116="",_自动清单!$G$21=""),"",SUMIFS(包装物料出入库明细!$J$4:$J$2003,包装物料出入库明细!$D$4:$D$2003,$B116,包装物料出入库明细!$E$4:$E$2003,_自动清单!$G$21,包装物料出入库明细!$B$4:$B$2003,"&gt;="&amp;$AF$1,包装物料出入库明细!$B$4:$B$2003,"&lt;="&amp;$AF$2))</f>
        <v/>
      </c>
      <c r="U116" s="25" t="str">
        <f>IF($B116="","",SUMIFS(包装物料出入库明细!$J$4:$J$2003,包装物料出入库明细!$D$4:$D$2003,$B116,包装物料出入库明细!$B$4:$B$2003,"&gt;="&amp;$AF$1,包装物料出入库明细!$B$4:$B$2003,"&lt;="&amp;$AF$2)-SUM($C116:$T116))</f>
        <v/>
      </c>
      <c r="V116" s="25" t="str">
        <f t="shared" si="5"/>
        <v/>
      </c>
      <c r="W116" s="56" t="str">
        <f>IF($B116="","",SUMIFS(包装物料出入库明细!$K$4:$K$2003,包装物料出入库明细!$D$4:$D$2003,$B116,包装物料出入库明细!$B$4:$B$2003,"&gt;="&amp;$AF$1,包装物料出入库明细!$B$4:$B$2003,"&lt;="&amp;$AF$2))</f>
        <v/>
      </c>
      <c r="X116" s="25" t="str">
        <f t="shared" si="6"/>
        <v/>
      </c>
      <c r="Y116" s="26" t="str">
        <f>IF($B116="","",ROUND(SUMIFS(包装物料出入库明细!$N$4:$N$2003,包装物料出入库明细!$D$4:$D$2003,$B116,包装物料出入库明细!$H$4:$H$2003,"销售出库",包装物料出入库明细!$B$4:$B$2003,"&gt;="&amp;$AF$1,包装物料出入库明细!$B$4:$B$2003,"&lt;="&amp;$AF$2),2))</f>
        <v/>
      </c>
      <c r="Z116" s="26" t="str">
        <f>IF($B116="","",ROUND(SUMIFS(包装物料出入库明细!$N$4:$N$2003,包装物料出入库明细!$D$4:$D$2003,$B116,包装物料出入库明细!$H$4:$H$2003,"销售出库",包装物料出入库明细!$P$4:$P$2003,"已收讫",包装物料出入库明细!$B$4:$B$2003,"&gt;="&amp;$AF$1,包装物料出入库明细!$B$4:$B$2003,"&lt;="&amp;$AF$2),2))</f>
        <v/>
      </c>
      <c r="AA116" s="26" t="str">
        <f t="shared" si="7"/>
        <v/>
      </c>
      <c r="AB116" s="41"/>
    </row>
    <row r="117" spans="1:28">
      <c r="A117" s="24" t="str">
        <f t="shared" si="4"/>
        <v/>
      </c>
      <c r="B117" s="24" t="str">
        <f>IFERROR(INDEX(_自动清单!$O$4:$O$203,ROW()-3),"")</f>
        <v/>
      </c>
      <c r="C117" s="25" t="str">
        <f>IF(OR($B117="",_自动清单!$G$4=""),"",SUMIFS(包装物料出入库明细!$J$4:$J$2003,包装物料出入库明细!$D$4:$D$2003,$B117,包装物料出入库明细!$E$4:$E$2003,_自动清单!$G$4,包装物料出入库明细!$B$4:$B$2003,"&gt;="&amp;$AF$1,包装物料出入库明细!$B$4:$B$2003,"&lt;="&amp;$AF$2))</f>
        <v/>
      </c>
      <c r="D117" s="25" t="str">
        <f>IF(OR($B117="",_自动清单!$G$5=""),"",SUMIFS(包装物料出入库明细!$J$4:$J$2003,包装物料出入库明细!$D$4:$D$2003,$B117,包装物料出入库明细!$E$4:$E$2003,_自动清单!$G$5,包装物料出入库明细!$B$4:$B$2003,"&gt;="&amp;$AF$1,包装物料出入库明细!$B$4:$B$2003,"&lt;="&amp;$AF$2))</f>
        <v/>
      </c>
      <c r="E117" s="25" t="str">
        <f>IF(OR($B117="",_自动清单!$G$6=""),"",SUMIFS(包装物料出入库明细!$J$4:$J$2003,包装物料出入库明细!$D$4:$D$2003,$B117,包装物料出入库明细!$E$4:$E$2003,_自动清单!$G$6,包装物料出入库明细!$B$4:$B$2003,"&gt;="&amp;$AF$1,包装物料出入库明细!$B$4:$B$2003,"&lt;="&amp;$AF$2))</f>
        <v/>
      </c>
      <c r="F117" s="25" t="str">
        <f>IF(OR($B117="",_自动清单!$G$7=""),"",SUMIFS(包装物料出入库明细!$J$4:$J$2003,包装物料出入库明细!$D$4:$D$2003,$B117,包装物料出入库明细!$E$4:$E$2003,_自动清单!$G$7,包装物料出入库明细!$B$4:$B$2003,"&gt;="&amp;$AF$1,包装物料出入库明细!$B$4:$B$2003,"&lt;="&amp;$AF$2))</f>
        <v/>
      </c>
      <c r="G117" s="25" t="str">
        <f>IF(OR($B117="",_自动清单!$G$8=""),"",SUMIFS(包装物料出入库明细!$J$4:$J$2003,包装物料出入库明细!$D$4:$D$2003,$B117,包装物料出入库明细!$E$4:$E$2003,_自动清单!$G$8,包装物料出入库明细!$B$4:$B$2003,"&gt;="&amp;$AF$1,包装物料出入库明细!$B$4:$B$2003,"&lt;="&amp;$AF$2))</f>
        <v/>
      </c>
      <c r="H117" s="25" t="str">
        <f>IF(OR($B117="",_自动清单!$G$9=""),"",SUMIFS(包装物料出入库明细!$J$4:$J$2003,包装物料出入库明细!$D$4:$D$2003,$B117,包装物料出入库明细!$E$4:$E$2003,_自动清单!$G$9,包装物料出入库明细!$B$4:$B$2003,"&gt;="&amp;$AF$1,包装物料出入库明细!$B$4:$B$2003,"&lt;="&amp;$AF$2))</f>
        <v/>
      </c>
      <c r="I117" s="25" t="str">
        <f>IF(OR($B117="",_自动清单!$G$10=""),"",SUMIFS(包装物料出入库明细!$J$4:$J$2003,包装物料出入库明细!$D$4:$D$2003,$B117,包装物料出入库明细!$E$4:$E$2003,_自动清单!$G$10,包装物料出入库明细!$B$4:$B$2003,"&gt;="&amp;$AF$1,包装物料出入库明细!$B$4:$B$2003,"&lt;="&amp;$AF$2))</f>
        <v/>
      </c>
      <c r="J117" s="25" t="str">
        <f>IF(OR($B117="",_自动清单!$G$11=""),"",SUMIFS(包装物料出入库明细!$J$4:$J$2003,包装物料出入库明细!$D$4:$D$2003,$B117,包装物料出入库明细!$E$4:$E$2003,_自动清单!$G$11,包装物料出入库明细!$B$4:$B$2003,"&gt;="&amp;$AF$1,包装物料出入库明细!$B$4:$B$2003,"&lt;="&amp;$AF$2))</f>
        <v/>
      </c>
      <c r="K117" s="25" t="str">
        <f>IF(OR($B117="",_自动清单!$G$12=""),"",SUMIFS(包装物料出入库明细!$J$4:$J$2003,包装物料出入库明细!$D$4:$D$2003,$B117,包装物料出入库明细!$E$4:$E$2003,_自动清单!$G$12,包装物料出入库明细!$B$4:$B$2003,"&gt;="&amp;$AF$1,包装物料出入库明细!$B$4:$B$2003,"&lt;="&amp;$AF$2))</f>
        <v/>
      </c>
      <c r="L117" s="25" t="str">
        <f>IF(OR($B117="",_自动清单!$G$13=""),"",SUMIFS(包装物料出入库明细!$J$4:$J$2003,包装物料出入库明细!$D$4:$D$2003,$B117,包装物料出入库明细!$E$4:$E$2003,_自动清单!$G$13,包装物料出入库明细!$B$4:$B$2003,"&gt;="&amp;$AF$1,包装物料出入库明细!$B$4:$B$2003,"&lt;="&amp;$AF$2))</f>
        <v/>
      </c>
      <c r="M117" s="25" t="str">
        <f>IF(OR($B117="",_自动清单!$G$14=""),"",SUMIFS(包装物料出入库明细!$J$4:$J$2003,包装物料出入库明细!$D$4:$D$2003,$B117,包装物料出入库明细!$E$4:$E$2003,_自动清单!$G$14,包装物料出入库明细!$B$4:$B$2003,"&gt;="&amp;$AF$1,包装物料出入库明细!$B$4:$B$2003,"&lt;="&amp;$AF$2))</f>
        <v/>
      </c>
      <c r="N117" s="25" t="str">
        <f>IF(OR($B117="",_自动清单!$G$15=""),"",SUMIFS(包装物料出入库明细!$J$4:$J$2003,包装物料出入库明细!$D$4:$D$2003,$B117,包装物料出入库明细!$E$4:$E$2003,_自动清单!$G$15,包装物料出入库明细!$B$4:$B$2003,"&gt;="&amp;$AF$1,包装物料出入库明细!$B$4:$B$2003,"&lt;="&amp;$AF$2))</f>
        <v/>
      </c>
      <c r="O117" s="25" t="str">
        <f>IF(OR($B117="",_自动清单!$G$16=""),"",SUMIFS(包装物料出入库明细!$J$4:$J$2003,包装物料出入库明细!$D$4:$D$2003,$B117,包装物料出入库明细!$E$4:$E$2003,_自动清单!$G$16,包装物料出入库明细!$B$4:$B$2003,"&gt;="&amp;$AF$1,包装物料出入库明细!$B$4:$B$2003,"&lt;="&amp;$AF$2))</f>
        <v/>
      </c>
      <c r="P117" s="25" t="str">
        <f>IF(OR($B117="",_自动清单!$G$17=""),"",SUMIFS(包装物料出入库明细!$J$4:$J$2003,包装物料出入库明细!$D$4:$D$2003,$B117,包装物料出入库明细!$E$4:$E$2003,_自动清单!$G$17,包装物料出入库明细!$B$4:$B$2003,"&gt;="&amp;$AF$1,包装物料出入库明细!$B$4:$B$2003,"&lt;="&amp;$AF$2))</f>
        <v/>
      </c>
      <c r="Q117" s="25" t="str">
        <f>IF(OR($B117="",_自动清单!$G$18=""),"",SUMIFS(包装物料出入库明细!$J$4:$J$2003,包装物料出入库明细!$D$4:$D$2003,$B117,包装物料出入库明细!$E$4:$E$2003,_自动清单!$G$18,包装物料出入库明细!$B$4:$B$2003,"&gt;="&amp;$AF$1,包装物料出入库明细!$B$4:$B$2003,"&lt;="&amp;$AF$2))</f>
        <v/>
      </c>
      <c r="R117" s="25" t="str">
        <f>IF(OR($B117="",_自动清单!$G$19=""),"",SUMIFS(包装物料出入库明细!$J$4:$J$2003,包装物料出入库明细!$D$4:$D$2003,$B117,包装物料出入库明细!$E$4:$E$2003,_自动清单!$G$19,包装物料出入库明细!$B$4:$B$2003,"&gt;="&amp;$AF$1,包装物料出入库明细!$B$4:$B$2003,"&lt;="&amp;$AF$2))</f>
        <v/>
      </c>
      <c r="S117" s="25" t="str">
        <f>IF(OR($B117="",_自动清单!$G$20=""),"",SUMIFS(包装物料出入库明细!$J$4:$J$2003,包装物料出入库明细!$D$4:$D$2003,$B117,包装物料出入库明细!$E$4:$E$2003,_自动清单!$G$20,包装物料出入库明细!$B$4:$B$2003,"&gt;="&amp;$AF$1,包装物料出入库明细!$B$4:$B$2003,"&lt;="&amp;$AF$2))</f>
        <v/>
      </c>
      <c r="T117" s="25" t="str">
        <f>IF(OR($B117="",_自动清单!$G$21=""),"",SUMIFS(包装物料出入库明细!$J$4:$J$2003,包装物料出入库明细!$D$4:$D$2003,$B117,包装物料出入库明细!$E$4:$E$2003,_自动清单!$G$21,包装物料出入库明细!$B$4:$B$2003,"&gt;="&amp;$AF$1,包装物料出入库明细!$B$4:$B$2003,"&lt;="&amp;$AF$2))</f>
        <v/>
      </c>
      <c r="U117" s="25" t="str">
        <f>IF($B117="","",SUMIFS(包装物料出入库明细!$J$4:$J$2003,包装物料出入库明细!$D$4:$D$2003,$B117,包装物料出入库明细!$B$4:$B$2003,"&gt;="&amp;$AF$1,包装物料出入库明细!$B$4:$B$2003,"&lt;="&amp;$AF$2)-SUM($C117:$T117))</f>
        <v/>
      </c>
      <c r="V117" s="25" t="str">
        <f t="shared" si="5"/>
        <v/>
      </c>
      <c r="W117" s="56" t="str">
        <f>IF($B117="","",SUMIFS(包装物料出入库明细!$K$4:$K$2003,包装物料出入库明细!$D$4:$D$2003,$B117,包装物料出入库明细!$B$4:$B$2003,"&gt;="&amp;$AF$1,包装物料出入库明细!$B$4:$B$2003,"&lt;="&amp;$AF$2))</f>
        <v/>
      </c>
      <c r="X117" s="25" t="str">
        <f t="shared" si="6"/>
        <v/>
      </c>
      <c r="Y117" s="26" t="str">
        <f>IF($B117="","",ROUND(SUMIFS(包装物料出入库明细!$N$4:$N$2003,包装物料出入库明细!$D$4:$D$2003,$B117,包装物料出入库明细!$H$4:$H$2003,"销售出库",包装物料出入库明细!$B$4:$B$2003,"&gt;="&amp;$AF$1,包装物料出入库明细!$B$4:$B$2003,"&lt;="&amp;$AF$2),2))</f>
        <v/>
      </c>
      <c r="Z117" s="26" t="str">
        <f>IF($B117="","",ROUND(SUMIFS(包装物料出入库明细!$N$4:$N$2003,包装物料出入库明细!$D$4:$D$2003,$B117,包装物料出入库明细!$H$4:$H$2003,"销售出库",包装物料出入库明细!$P$4:$P$2003,"已收讫",包装物料出入库明细!$B$4:$B$2003,"&gt;="&amp;$AF$1,包装物料出入库明细!$B$4:$B$2003,"&lt;="&amp;$AF$2),2))</f>
        <v/>
      </c>
      <c r="AA117" s="26" t="str">
        <f t="shared" si="7"/>
        <v/>
      </c>
      <c r="AB117" s="41"/>
    </row>
    <row r="118" spans="1:28">
      <c r="A118" s="24" t="str">
        <f t="shared" si="4"/>
        <v/>
      </c>
      <c r="B118" s="24" t="str">
        <f>IFERROR(INDEX(_自动清单!$O$4:$O$203,ROW()-3),"")</f>
        <v/>
      </c>
      <c r="C118" s="25" t="str">
        <f>IF(OR($B118="",_自动清单!$G$4=""),"",SUMIFS(包装物料出入库明细!$J$4:$J$2003,包装物料出入库明细!$D$4:$D$2003,$B118,包装物料出入库明细!$E$4:$E$2003,_自动清单!$G$4,包装物料出入库明细!$B$4:$B$2003,"&gt;="&amp;$AF$1,包装物料出入库明细!$B$4:$B$2003,"&lt;="&amp;$AF$2))</f>
        <v/>
      </c>
      <c r="D118" s="25" t="str">
        <f>IF(OR($B118="",_自动清单!$G$5=""),"",SUMIFS(包装物料出入库明细!$J$4:$J$2003,包装物料出入库明细!$D$4:$D$2003,$B118,包装物料出入库明细!$E$4:$E$2003,_自动清单!$G$5,包装物料出入库明细!$B$4:$B$2003,"&gt;="&amp;$AF$1,包装物料出入库明细!$B$4:$B$2003,"&lt;="&amp;$AF$2))</f>
        <v/>
      </c>
      <c r="E118" s="25" t="str">
        <f>IF(OR($B118="",_自动清单!$G$6=""),"",SUMIFS(包装物料出入库明细!$J$4:$J$2003,包装物料出入库明细!$D$4:$D$2003,$B118,包装物料出入库明细!$E$4:$E$2003,_自动清单!$G$6,包装物料出入库明细!$B$4:$B$2003,"&gt;="&amp;$AF$1,包装物料出入库明细!$B$4:$B$2003,"&lt;="&amp;$AF$2))</f>
        <v/>
      </c>
      <c r="F118" s="25" t="str">
        <f>IF(OR($B118="",_自动清单!$G$7=""),"",SUMIFS(包装物料出入库明细!$J$4:$J$2003,包装物料出入库明细!$D$4:$D$2003,$B118,包装物料出入库明细!$E$4:$E$2003,_自动清单!$G$7,包装物料出入库明细!$B$4:$B$2003,"&gt;="&amp;$AF$1,包装物料出入库明细!$B$4:$B$2003,"&lt;="&amp;$AF$2))</f>
        <v/>
      </c>
      <c r="G118" s="25" t="str">
        <f>IF(OR($B118="",_自动清单!$G$8=""),"",SUMIFS(包装物料出入库明细!$J$4:$J$2003,包装物料出入库明细!$D$4:$D$2003,$B118,包装物料出入库明细!$E$4:$E$2003,_自动清单!$G$8,包装物料出入库明细!$B$4:$B$2003,"&gt;="&amp;$AF$1,包装物料出入库明细!$B$4:$B$2003,"&lt;="&amp;$AF$2))</f>
        <v/>
      </c>
      <c r="H118" s="25" t="str">
        <f>IF(OR($B118="",_自动清单!$G$9=""),"",SUMIFS(包装物料出入库明细!$J$4:$J$2003,包装物料出入库明细!$D$4:$D$2003,$B118,包装物料出入库明细!$E$4:$E$2003,_自动清单!$G$9,包装物料出入库明细!$B$4:$B$2003,"&gt;="&amp;$AF$1,包装物料出入库明细!$B$4:$B$2003,"&lt;="&amp;$AF$2))</f>
        <v/>
      </c>
      <c r="I118" s="25" t="str">
        <f>IF(OR($B118="",_自动清单!$G$10=""),"",SUMIFS(包装物料出入库明细!$J$4:$J$2003,包装物料出入库明细!$D$4:$D$2003,$B118,包装物料出入库明细!$E$4:$E$2003,_自动清单!$G$10,包装物料出入库明细!$B$4:$B$2003,"&gt;="&amp;$AF$1,包装物料出入库明细!$B$4:$B$2003,"&lt;="&amp;$AF$2))</f>
        <v/>
      </c>
      <c r="J118" s="25" t="str">
        <f>IF(OR($B118="",_自动清单!$G$11=""),"",SUMIFS(包装物料出入库明细!$J$4:$J$2003,包装物料出入库明细!$D$4:$D$2003,$B118,包装物料出入库明细!$E$4:$E$2003,_自动清单!$G$11,包装物料出入库明细!$B$4:$B$2003,"&gt;="&amp;$AF$1,包装物料出入库明细!$B$4:$B$2003,"&lt;="&amp;$AF$2))</f>
        <v/>
      </c>
      <c r="K118" s="25" t="str">
        <f>IF(OR($B118="",_自动清单!$G$12=""),"",SUMIFS(包装物料出入库明细!$J$4:$J$2003,包装物料出入库明细!$D$4:$D$2003,$B118,包装物料出入库明细!$E$4:$E$2003,_自动清单!$G$12,包装物料出入库明细!$B$4:$B$2003,"&gt;="&amp;$AF$1,包装物料出入库明细!$B$4:$B$2003,"&lt;="&amp;$AF$2))</f>
        <v/>
      </c>
      <c r="L118" s="25" t="str">
        <f>IF(OR($B118="",_自动清单!$G$13=""),"",SUMIFS(包装物料出入库明细!$J$4:$J$2003,包装物料出入库明细!$D$4:$D$2003,$B118,包装物料出入库明细!$E$4:$E$2003,_自动清单!$G$13,包装物料出入库明细!$B$4:$B$2003,"&gt;="&amp;$AF$1,包装物料出入库明细!$B$4:$B$2003,"&lt;="&amp;$AF$2))</f>
        <v/>
      </c>
      <c r="M118" s="25" t="str">
        <f>IF(OR($B118="",_自动清单!$G$14=""),"",SUMIFS(包装物料出入库明细!$J$4:$J$2003,包装物料出入库明细!$D$4:$D$2003,$B118,包装物料出入库明细!$E$4:$E$2003,_自动清单!$G$14,包装物料出入库明细!$B$4:$B$2003,"&gt;="&amp;$AF$1,包装物料出入库明细!$B$4:$B$2003,"&lt;="&amp;$AF$2))</f>
        <v/>
      </c>
      <c r="N118" s="25" t="str">
        <f>IF(OR($B118="",_自动清单!$G$15=""),"",SUMIFS(包装物料出入库明细!$J$4:$J$2003,包装物料出入库明细!$D$4:$D$2003,$B118,包装物料出入库明细!$E$4:$E$2003,_自动清单!$G$15,包装物料出入库明细!$B$4:$B$2003,"&gt;="&amp;$AF$1,包装物料出入库明细!$B$4:$B$2003,"&lt;="&amp;$AF$2))</f>
        <v/>
      </c>
      <c r="O118" s="25" t="str">
        <f>IF(OR($B118="",_自动清单!$G$16=""),"",SUMIFS(包装物料出入库明细!$J$4:$J$2003,包装物料出入库明细!$D$4:$D$2003,$B118,包装物料出入库明细!$E$4:$E$2003,_自动清单!$G$16,包装物料出入库明细!$B$4:$B$2003,"&gt;="&amp;$AF$1,包装物料出入库明细!$B$4:$B$2003,"&lt;="&amp;$AF$2))</f>
        <v/>
      </c>
      <c r="P118" s="25" t="str">
        <f>IF(OR($B118="",_自动清单!$G$17=""),"",SUMIFS(包装物料出入库明细!$J$4:$J$2003,包装物料出入库明细!$D$4:$D$2003,$B118,包装物料出入库明细!$E$4:$E$2003,_自动清单!$G$17,包装物料出入库明细!$B$4:$B$2003,"&gt;="&amp;$AF$1,包装物料出入库明细!$B$4:$B$2003,"&lt;="&amp;$AF$2))</f>
        <v/>
      </c>
      <c r="Q118" s="25" t="str">
        <f>IF(OR($B118="",_自动清单!$G$18=""),"",SUMIFS(包装物料出入库明细!$J$4:$J$2003,包装物料出入库明细!$D$4:$D$2003,$B118,包装物料出入库明细!$E$4:$E$2003,_自动清单!$G$18,包装物料出入库明细!$B$4:$B$2003,"&gt;="&amp;$AF$1,包装物料出入库明细!$B$4:$B$2003,"&lt;="&amp;$AF$2))</f>
        <v/>
      </c>
      <c r="R118" s="25" t="str">
        <f>IF(OR($B118="",_自动清单!$G$19=""),"",SUMIFS(包装物料出入库明细!$J$4:$J$2003,包装物料出入库明细!$D$4:$D$2003,$B118,包装物料出入库明细!$E$4:$E$2003,_自动清单!$G$19,包装物料出入库明细!$B$4:$B$2003,"&gt;="&amp;$AF$1,包装物料出入库明细!$B$4:$B$2003,"&lt;="&amp;$AF$2))</f>
        <v/>
      </c>
      <c r="S118" s="25" t="str">
        <f>IF(OR($B118="",_自动清单!$G$20=""),"",SUMIFS(包装物料出入库明细!$J$4:$J$2003,包装物料出入库明细!$D$4:$D$2003,$B118,包装物料出入库明细!$E$4:$E$2003,_自动清单!$G$20,包装物料出入库明细!$B$4:$B$2003,"&gt;="&amp;$AF$1,包装物料出入库明细!$B$4:$B$2003,"&lt;="&amp;$AF$2))</f>
        <v/>
      </c>
      <c r="T118" s="25" t="str">
        <f>IF(OR($B118="",_自动清单!$G$21=""),"",SUMIFS(包装物料出入库明细!$J$4:$J$2003,包装物料出入库明细!$D$4:$D$2003,$B118,包装物料出入库明细!$E$4:$E$2003,_自动清单!$G$21,包装物料出入库明细!$B$4:$B$2003,"&gt;="&amp;$AF$1,包装物料出入库明细!$B$4:$B$2003,"&lt;="&amp;$AF$2))</f>
        <v/>
      </c>
      <c r="U118" s="25" t="str">
        <f>IF($B118="","",SUMIFS(包装物料出入库明细!$J$4:$J$2003,包装物料出入库明细!$D$4:$D$2003,$B118,包装物料出入库明细!$B$4:$B$2003,"&gt;="&amp;$AF$1,包装物料出入库明细!$B$4:$B$2003,"&lt;="&amp;$AF$2)-SUM($C118:$T118))</f>
        <v/>
      </c>
      <c r="V118" s="25" t="str">
        <f t="shared" si="5"/>
        <v/>
      </c>
      <c r="W118" s="56" t="str">
        <f>IF($B118="","",SUMIFS(包装物料出入库明细!$K$4:$K$2003,包装物料出入库明细!$D$4:$D$2003,$B118,包装物料出入库明细!$B$4:$B$2003,"&gt;="&amp;$AF$1,包装物料出入库明细!$B$4:$B$2003,"&lt;="&amp;$AF$2))</f>
        <v/>
      </c>
      <c r="X118" s="25" t="str">
        <f t="shared" si="6"/>
        <v/>
      </c>
      <c r="Y118" s="26" t="str">
        <f>IF($B118="","",ROUND(SUMIFS(包装物料出入库明细!$N$4:$N$2003,包装物料出入库明细!$D$4:$D$2003,$B118,包装物料出入库明细!$H$4:$H$2003,"销售出库",包装物料出入库明细!$B$4:$B$2003,"&gt;="&amp;$AF$1,包装物料出入库明细!$B$4:$B$2003,"&lt;="&amp;$AF$2),2))</f>
        <v/>
      </c>
      <c r="Z118" s="26" t="str">
        <f>IF($B118="","",ROUND(SUMIFS(包装物料出入库明细!$N$4:$N$2003,包装物料出入库明细!$D$4:$D$2003,$B118,包装物料出入库明细!$H$4:$H$2003,"销售出库",包装物料出入库明细!$P$4:$P$2003,"已收讫",包装物料出入库明细!$B$4:$B$2003,"&gt;="&amp;$AF$1,包装物料出入库明细!$B$4:$B$2003,"&lt;="&amp;$AF$2),2))</f>
        <v/>
      </c>
      <c r="AA118" s="26" t="str">
        <f t="shared" si="7"/>
        <v/>
      </c>
      <c r="AB118" s="41"/>
    </row>
    <row r="119" spans="1:28">
      <c r="A119" s="24" t="str">
        <f t="shared" si="4"/>
        <v/>
      </c>
      <c r="B119" s="24" t="str">
        <f>IFERROR(INDEX(_自动清单!$O$4:$O$203,ROW()-3),"")</f>
        <v/>
      </c>
      <c r="C119" s="25" t="str">
        <f>IF(OR($B119="",_自动清单!$G$4=""),"",SUMIFS(包装物料出入库明细!$J$4:$J$2003,包装物料出入库明细!$D$4:$D$2003,$B119,包装物料出入库明细!$E$4:$E$2003,_自动清单!$G$4,包装物料出入库明细!$B$4:$B$2003,"&gt;="&amp;$AF$1,包装物料出入库明细!$B$4:$B$2003,"&lt;="&amp;$AF$2))</f>
        <v/>
      </c>
      <c r="D119" s="25" t="str">
        <f>IF(OR($B119="",_自动清单!$G$5=""),"",SUMIFS(包装物料出入库明细!$J$4:$J$2003,包装物料出入库明细!$D$4:$D$2003,$B119,包装物料出入库明细!$E$4:$E$2003,_自动清单!$G$5,包装物料出入库明细!$B$4:$B$2003,"&gt;="&amp;$AF$1,包装物料出入库明细!$B$4:$B$2003,"&lt;="&amp;$AF$2))</f>
        <v/>
      </c>
      <c r="E119" s="25" t="str">
        <f>IF(OR($B119="",_自动清单!$G$6=""),"",SUMIFS(包装物料出入库明细!$J$4:$J$2003,包装物料出入库明细!$D$4:$D$2003,$B119,包装物料出入库明细!$E$4:$E$2003,_自动清单!$G$6,包装物料出入库明细!$B$4:$B$2003,"&gt;="&amp;$AF$1,包装物料出入库明细!$B$4:$B$2003,"&lt;="&amp;$AF$2))</f>
        <v/>
      </c>
      <c r="F119" s="25" t="str">
        <f>IF(OR($B119="",_自动清单!$G$7=""),"",SUMIFS(包装物料出入库明细!$J$4:$J$2003,包装物料出入库明细!$D$4:$D$2003,$B119,包装物料出入库明细!$E$4:$E$2003,_自动清单!$G$7,包装物料出入库明细!$B$4:$B$2003,"&gt;="&amp;$AF$1,包装物料出入库明细!$B$4:$B$2003,"&lt;="&amp;$AF$2))</f>
        <v/>
      </c>
      <c r="G119" s="25" t="str">
        <f>IF(OR($B119="",_自动清单!$G$8=""),"",SUMIFS(包装物料出入库明细!$J$4:$J$2003,包装物料出入库明细!$D$4:$D$2003,$B119,包装物料出入库明细!$E$4:$E$2003,_自动清单!$G$8,包装物料出入库明细!$B$4:$B$2003,"&gt;="&amp;$AF$1,包装物料出入库明细!$B$4:$B$2003,"&lt;="&amp;$AF$2))</f>
        <v/>
      </c>
      <c r="H119" s="25" t="str">
        <f>IF(OR($B119="",_自动清单!$G$9=""),"",SUMIFS(包装物料出入库明细!$J$4:$J$2003,包装物料出入库明细!$D$4:$D$2003,$B119,包装物料出入库明细!$E$4:$E$2003,_自动清单!$G$9,包装物料出入库明细!$B$4:$B$2003,"&gt;="&amp;$AF$1,包装物料出入库明细!$B$4:$B$2003,"&lt;="&amp;$AF$2))</f>
        <v/>
      </c>
      <c r="I119" s="25" t="str">
        <f>IF(OR($B119="",_自动清单!$G$10=""),"",SUMIFS(包装物料出入库明细!$J$4:$J$2003,包装物料出入库明细!$D$4:$D$2003,$B119,包装物料出入库明细!$E$4:$E$2003,_自动清单!$G$10,包装物料出入库明细!$B$4:$B$2003,"&gt;="&amp;$AF$1,包装物料出入库明细!$B$4:$B$2003,"&lt;="&amp;$AF$2))</f>
        <v/>
      </c>
      <c r="J119" s="25" t="str">
        <f>IF(OR($B119="",_自动清单!$G$11=""),"",SUMIFS(包装物料出入库明细!$J$4:$J$2003,包装物料出入库明细!$D$4:$D$2003,$B119,包装物料出入库明细!$E$4:$E$2003,_自动清单!$G$11,包装物料出入库明细!$B$4:$B$2003,"&gt;="&amp;$AF$1,包装物料出入库明细!$B$4:$B$2003,"&lt;="&amp;$AF$2))</f>
        <v/>
      </c>
      <c r="K119" s="25" t="str">
        <f>IF(OR($B119="",_自动清单!$G$12=""),"",SUMIFS(包装物料出入库明细!$J$4:$J$2003,包装物料出入库明细!$D$4:$D$2003,$B119,包装物料出入库明细!$E$4:$E$2003,_自动清单!$G$12,包装物料出入库明细!$B$4:$B$2003,"&gt;="&amp;$AF$1,包装物料出入库明细!$B$4:$B$2003,"&lt;="&amp;$AF$2))</f>
        <v/>
      </c>
      <c r="L119" s="25" t="str">
        <f>IF(OR($B119="",_自动清单!$G$13=""),"",SUMIFS(包装物料出入库明细!$J$4:$J$2003,包装物料出入库明细!$D$4:$D$2003,$B119,包装物料出入库明细!$E$4:$E$2003,_自动清单!$G$13,包装物料出入库明细!$B$4:$B$2003,"&gt;="&amp;$AF$1,包装物料出入库明细!$B$4:$B$2003,"&lt;="&amp;$AF$2))</f>
        <v/>
      </c>
      <c r="M119" s="25" t="str">
        <f>IF(OR($B119="",_自动清单!$G$14=""),"",SUMIFS(包装物料出入库明细!$J$4:$J$2003,包装物料出入库明细!$D$4:$D$2003,$B119,包装物料出入库明细!$E$4:$E$2003,_自动清单!$G$14,包装物料出入库明细!$B$4:$B$2003,"&gt;="&amp;$AF$1,包装物料出入库明细!$B$4:$B$2003,"&lt;="&amp;$AF$2))</f>
        <v/>
      </c>
      <c r="N119" s="25" t="str">
        <f>IF(OR($B119="",_自动清单!$G$15=""),"",SUMIFS(包装物料出入库明细!$J$4:$J$2003,包装物料出入库明细!$D$4:$D$2003,$B119,包装物料出入库明细!$E$4:$E$2003,_自动清单!$G$15,包装物料出入库明细!$B$4:$B$2003,"&gt;="&amp;$AF$1,包装物料出入库明细!$B$4:$B$2003,"&lt;="&amp;$AF$2))</f>
        <v/>
      </c>
      <c r="O119" s="25" t="str">
        <f>IF(OR($B119="",_自动清单!$G$16=""),"",SUMIFS(包装物料出入库明细!$J$4:$J$2003,包装物料出入库明细!$D$4:$D$2003,$B119,包装物料出入库明细!$E$4:$E$2003,_自动清单!$G$16,包装物料出入库明细!$B$4:$B$2003,"&gt;="&amp;$AF$1,包装物料出入库明细!$B$4:$B$2003,"&lt;="&amp;$AF$2))</f>
        <v/>
      </c>
      <c r="P119" s="25" t="str">
        <f>IF(OR($B119="",_自动清单!$G$17=""),"",SUMIFS(包装物料出入库明细!$J$4:$J$2003,包装物料出入库明细!$D$4:$D$2003,$B119,包装物料出入库明细!$E$4:$E$2003,_自动清单!$G$17,包装物料出入库明细!$B$4:$B$2003,"&gt;="&amp;$AF$1,包装物料出入库明细!$B$4:$B$2003,"&lt;="&amp;$AF$2))</f>
        <v/>
      </c>
      <c r="Q119" s="25" t="str">
        <f>IF(OR($B119="",_自动清单!$G$18=""),"",SUMIFS(包装物料出入库明细!$J$4:$J$2003,包装物料出入库明细!$D$4:$D$2003,$B119,包装物料出入库明细!$E$4:$E$2003,_自动清单!$G$18,包装物料出入库明细!$B$4:$B$2003,"&gt;="&amp;$AF$1,包装物料出入库明细!$B$4:$B$2003,"&lt;="&amp;$AF$2))</f>
        <v/>
      </c>
      <c r="R119" s="25" t="str">
        <f>IF(OR($B119="",_自动清单!$G$19=""),"",SUMIFS(包装物料出入库明细!$J$4:$J$2003,包装物料出入库明细!$D$4:$D$2003,$B119,包装物料出入库明细!$E$4:$E$2003,_自动清单!$G$19,包装物料出入库明细!$B$4:$B$2003,"&gt;="&amp;$AF$1,包装物料出入库明细!$B$4:$B$2003,"&lt;="&amp;$AF$2))</f>
        <v/>
      </c>
      <c r="S119" s="25" t="str">
        <f>IF(OR($B119="",_自动清单!$G$20=""),"",SUMIFS(包装物料出入库明细!$J$4:$J$2003,包装物料出入库明细!$D$4:$D$2003,$B119,包装物料出入库明细!$E$4:$E$2003,_自动清单!$G$20,包装物料出入库明细!$B$4:$B$2003,"&gt;="&amp;$AF$1,包装物料出入库明细!$B$4:$B$2003,"&lt;="&amp;$AF$2))</f>
        <v/>
      </c>
      <c r="T119" s="25" t="str">
        <f>IF(OR($B119="",_自动清单!$G$21=""),"",SUMIFS(包装物料出入库明细!$J$4:$J$2003,包装物料出入库明细!$D$4:$D$2003,$B119,包装物料出入库明细!$E$4:$E$2003,_自动清单!$G$21,包装物料出入库明细!$B$4:$B$2003,"&gt;="&amp;$AF$1,包装物料出入库明细!$B$4:$B$2003,"&lt;="&amp;$AF$2))</f>
        <v/>
      </c>
      <c r="U119" s="25" t="str">
        <f>IF($B119="","",SUMIFS(包装物料出入库明细!$J$4:$J$2003,包装物料出入库明细!$D$4:$D$2003,$B119,包装物料出入库明细!$B$4:$B$2003,"&gt;="&amp;$AF$1,包装物料出入库明细!$B$4:$B$2003,"&lt;="&amp;$AF$2)-SUM($C119:$T119))</f>
        <v/>
      </c>
      <c r="V119" s="25" t="str">
        <f t="shared" si="5"/>
        <v/>
      </c>
      <c r="W119" s="56" t="str">
        <f>IF($B119="","",SUMIFS(包装物料出入库明细!$K$4:$K$2003,包装物料出入库明细!$D$4:$D$2003,$B119,包装物料出入库明细!$B$4:$B$2003,"&gt;="&amp;$AF$1,包装物料出入库明细!$B$4:$B$2003,"&lt;="&amp;$AF$2))</f>
        <v/>
      </c>
      <c r="X119" s="25" t="str">
        <f t="shared" si="6"/>
        <v/>
      </c>
      <c r="Y119" s="26" t="str">
        <f>IF($B119="","",ROUND(SUMIFS(包装物料出入库明细!$N$4:$N$2003,包装物料出入库明细!$D$4:$D$2003,$B119,包装物料出入库明细!$H$4:$H$2003,"销售出库",包装物料出入库明细!$B$4:$B$2003,"&gt;="&amp;$AF$1,包装物料出入库明细!$B$4:$B$2003,"&lt;="&amp;$AF$2),2))</f>
        <v/>
      </c>
      <c r="Z119" s="26" t="str">
        <f>IF($B119="","",ROUND(SUMIFS(包装物料出入库明细!$N$4:$N$2003,包装物料出入库明细!$D$4:$D$2003,$B119,包装物料出入库明细!$H$4:$H$2003,"销售出库",包装物料出入库明细!$P$4:$P$2003,"已收讫",包装物料出入库明细!$B$4:$B$2003,"&gt;="&amp;$AF$1,包装物料出入库明细!$B$4:$B$2003,"&lt;="&amp;$AF$2),2))</f>
        <v/>
      </c>
      <c r="AA119" s="26" t="str">
        <f t="shared" si="7"/>
        <v/>
      </c>
      <c r="AB119" s="41"/>
    </row>
    <row r="120" spans="1:28">
      <c r="A120" s="24" t="str">
        <f t="shared" si="4"/>
        <v/>
      </c>
      <c r="B120" s="24" t="str">
        <f>IFERROR(INDEX(_自动清单!$O$4:$O$203,ROW()-3),"")</f>
        <v/>
      </c>
      <c r="C120" s="25" t="str">
        <f>IF(OR($B120="",_自动清单!$G$4=""),"",SUMIFS(包装物料出入库明细!$J$4:$J$2003,包装物料出入库明细!$D$4:$D$2003,$B120,包装物料出入库明细!$E$4:$E$2003,_自动清单!$G$4,包装物料出入库明细!$B$4:$B$2003,"&gt;="&amp;$AF$1,包装物料出入库明细!$B$4:$B$2003,"&lt;="&amp;$AF$2))</f>
        <v/>
      </c>
      <c r="D120" s="25" t="str">
        <f>IF(OR($B120="",_自动清单!$G$5=""),"",SUMIFS(包装物料出入库明细!$J$4:$J$2003,包装物料出入库明细!$D$4:$D$2003,$B120,包装物料出入库明细!$E$4:$E$2003,_自动清单!$G$5,包装物料出入库明细!$B$4:$B$2003,"&gt;="&amp;$AF$1,包装物料出入库明细!$B$4:$B$2003,"&lt;="&amp;$AF$2))</f>
        <v/>
      </c>
      <c r="E120" s="25" t="str">
        <f>IF(OR($B120="",_自动清单!$G$6=""),"",SUMIFS(包装物料出入库明细!$J$4:$J$2003,包装物料出入库明细!$D$4:$D$2003,$B120,包装物料出入库明细!$E$4:$E$2003,_自动清单!$G$6,包装物料出入库明细!$B$4:$B$2003,"&gt;="&amp;$AF$1,包装物料出入库明细!$B$4:$B$2003,"&lt;="&amp;$AF$2))</f>
        <v/>
      </c>
      <c r="F120" s="25" t="str">
        <f>IF(OR($B120="",_自动清单!$G$7=""),"",SUMIFS(包装物料出入库明细!$J$4:$J$2003,包装物料出入库明细!$D$4:$D$2003,$B120,包装物料出入库明细!$E$4:$E$2003,_自动清单!$G$7,包装物料出入库明细!$B$4:$B$2003,"&gt;="&amp;$AF$1,包装物料出入库明细!$B$4:$B$2003,"&lt;="&amp;$AF$2))</f>
        <v/>
      </c>
      <c r="G120" s="25" t="str">
        <f>IF(OR($B120="",_自动清单!$G$8=""),"",SUMIFS(包装物料出入库明细!$J$4:$J$2003,包装物料出入库明细!$D$4:$D$2003,$B120,包装物料出入库明细!$E$4:$E$2003,_自动清单!$G$8,包装物料出入库明细!$B$4:$B$2003,"&gt;="&amp;$AF$1,包装物料出入库明细!$B$4:$B$2003,"&lt;="&amp;$AF$2))</f>
        <v/>
      </c>
      <c r="H120" s="25" t="str">
        <f>IF(OR($B120="",_自动清单!$G$9=""),"",SUMIFS(包装物料出入库明细!$J$4:$J$2003,包装物料出入库明细!$D$4:$D$2003,$B120,包装物料出入库明细!$E$4:$E$2003,_自动清单!$G$9,包装物料出入库明细!$B$4:$B$2003,"&gt;="&amp;$AF$1,包装物料出入库明细!$B$4:$B$2003,"&lt;="&amp;$AF$2))</f>
        <v/>
      </c>
      <c r="I120" s="25" t="str">
        <f>IF(OR($B120="",_自动清单!$G$10=""),"",SUMIFS(包装物料出入库明细!$J$4:$J$2003,包装物料出入库明细!$D$4:$D$2003,$B120,包装物料出入库明细!$E$4:$E$2003,_自动清单!$G$10,包装物料出入库明细!$B$4:$B$2003,"&gt;="&amp;$AF$1,包装物料出入库明细!$B$4:$B$2003,"&lt;="&amp;$AF$2))</f>
        <v/>
      </c>
      <c r="J120" s="25" t="str">
        <f>IF(OR($B120="",_自动清单!$G$11=""),"",SUMIFS(包装物料出入库明细!$J$4:$J$2003,包装物料出入库明细!$D$4:$D$2003,$B120,包装物料出入库明细!$E$4:$E$2003,_自动清单!$G$11,包装物料出入库明细!$B$4:$B$2003,"&gt;="&amp;$AF$1,包装物料出入库明细!$B$4:$B$2003,"&lt;="&amp;$AF$2))</f>
        <v/>
      </c>
      <c r="K120" s="25" t="str">
        <f>IF(OR($B120="",_自动清单!$G$12=""),"",SUMIFS(包装物料出入库明细!$J$4:$J$2003,包装物料出入库明细!$D$4:$D$2003,$B120,包装物料出入库明细!$E$4:$E$2003,_自动清单!$G$12,包装物料出入库明细!$B$4:$B$2003,"&gt;="&amp;$AF$1,包装物料出入库明细!$B$4:$B$2003,"&lt;="&amp;$AF$2))</f>
        <v/>
      </c>
      <c r="L120" s="25" t="str">
        <f>IF(OR($B120="",_自动清单!$G$13=""),"",SUMIFS(包装物料出入库明细!$J$4:$J$2003,包装物料出入库明细!$D$4:$D$2003,$B120,包装物料出入库明细!$E$4:$E$2003,_自动清单!$G$13,包装物料出入库明细!$B$4:$B$2003,"&gt;="&amp;$AF$1,包装物料出入库明细!$B$4:$B$2003,"&lt;="&amp;$AF$2))</f>
        <v/>
      </c>
      <c r="M120" s="25" t="str">
        <f>IF(OR($B120="",_自动清单!$G$14=""),"",SUMIFS(包装物料出入库明细!$J$4:$J$2003,包装物料出入库明细!$D$4:$D$2003,$B120,包装物料出入库明细!$E$4:$E$2003,_自动清单!$G$14,包装物料出入库明细!$B$4:$B$2003,"&gt;="&amp;$AF$1,包装物料出入库明细!$B$4:$B$2003,"&lt;="&amp;$AF$2))</f>
        <v/>
      </c>
      <c r="N120" s="25" t="str">
        <f>IF(OR($B120="",_自动清单!$G$15=""),"",SUMIFS(包装物料出入库明细!$J$4:$J$2003,包装物料出入库明细!$D$4:$D$2003,$B120,包装物料出入库明细!$E$4:$E$2003,_自动清单!$G$15,包装物料出入库明细!$B$4:$B$2003,"&gt;="&amp;$AF$1,包装物料出入库明细!$B$4:$B$2003,"&lt;="&amp;$AF$2))</f>
        <v/>
      </c>
      <c r="O120" s="25" t="str">
        <f>IF(OR($B120="",_自动清单!$G$16=""),"",SUMIFS(包装物料出入库明细!$J$4:$J$2003,包装物料出入库明细!$D$4:$D$2003,$B120,包装物料出入库明细!$E$4:$E$2003,_自动清单!$G$16,包装物料出入库明细!$B$4:$B$2003,"&gt;="&amp;$AF$1,包装物料出入库明细!$B$4:$B$2003,"&lt;="&amp;$AF$2))</f>
        <v/>
      </c>
      <c r="P120" s="25" t="str">
        <f>IF(OR($B120="",_自动清单!$G$17=""),"",SUMIFS(包装物料出入库明细!$J$4:$J$2003,包装物料出入库明细!$D$4:$D$2003,$B120,包装物料出入库明细!$E$4:$E$2003,_自动清单!$G$17,包装物料出入库明细!$B$4:$B$2003,"&gt;="&amp;$AF$1,包装物料出入库明细!$B$4:$B$2003,"&lt;="&amp;$AF$2))</f>
        <v/>
      </c>
      <c r="Q120" s="25" t="str">
        <f>IF(OR($B120="",_自动清单!$G$18=""),"",SUMIFS(包装物料出入库明细!$J$4:$J$2003,包装物料出入库明细!$D$4:$D$2003,$B120,包装物料出入库明细!$E$4:$E$2003,_自动清单!$G$18,包装物料出入库明细!$B$4:$B$2003,"&gt;="&amp;$AF$1,包装物料出入库明细!$B$4:$B$2003,"&lt;="&amp;$AF$2))</f>
        <v/>
      </c>
      <c r="R120" s="25" t="str">
        <f>IF(OR($B120="",_自动清单!$G$19=""),"",SUMIFS(包装物料出入库明细!$J$4:$J$2003,包装物料出入库明细!$D$4:$D$2003,$B120,包装物料出入库明细!$E$4:$E$2003,_自动清单!$G$19,包装物料出入库明细!$B$4:$B$2003,"&gt;="&amp;$AF$1,包装物料出入库明细!$B$4:$B$2003,"&lt;="&amp;$AF$2))</f>
        <v/>
      </c>
      <c r="S120" s="25" t="str">
        <f>IF(OR($B120="",_自动清单!$G$20=""),"",SUMIFS(包装物料出入库明细!$J$4:$J$2003,包装物料出入库明细!$D$4:$D$2003,$B120,包装物料出入库明细!$E$4:$E$2003,_自动清单!$G$20,包装物料出入库明细!$B$4:$B$2003,"&gt;="&amp;$AF$1,包装物料出入库明细!$B$4:$B$2003,"&lt;="&amp;$AF$2))</f>
        <v/>
      </c>
      <c r="T120" s="25" t="str">
        <f>IF(OR($B120="",_自动清单!$G$21=""),"",SUMIFS(包装物料出入库明细!$J$4:$J$2003,包装物料出入库明细!$D$4:$D$2003,$B120,包装物料出入库明细!$E$4:$E$2003,_自动清单!$G$21,包装物料出入库明细!$B$4:$B$2003,"&gt;="&amp;$AF$1,包装物料出入库明细!$B$4:$B$2003,"&lt;="&amp;$AF$2))</f>
        <v/>
      </c>
      <c r="U120" s="25" t="str">
        <f>IF($B120="","",SUMIFS(包装物料出入库明细!$J$4:$J$2003,包装物料出入库明细!$D$4:$D$2003,$B120,包装物料出入库明细!$B$4:$B$2003,"&gt;="&amp;$AF$1,包装物料出入库明细!$B$4:$B$2003,"&lt;="&amp;$AF$2)-SUM($C120:$T120))</f>
        <v/>
      </c>
      <c r="V120" s="25" t="str">
        <f t="shared" si="5"/>
        <v/>
      </c>
      <c r="W120" s="56" t="str">
        <f>IF($B120="","",SUMIFS(包装物料出入库明细!$K$4:$K$2003,包装物料出入库明细!$D$4:$D$2003,$B120,包装物料出入库明细!$B$4:$B$2003,"&gt;="&amp;$AF$1,包装物料出入库明细!$B$4:$B$2003,"&lt;="&amp;$AF$2))</f>
        <v/>
      </c>
      <c r="X120" s="25" t="str">
        <f t="shared" si="6"/>
        <v/>
      </c>
      <c r="Y120" s="26" t="str">
        <f>IF($B120="","",ROUND(SUMIFS(包装物料出入库明细!$N$4:$N$2003,包装物料出入库明细!$D$4:$D$2003,$B120,包装物料出入库明细!$H$4:$H$2003,"销售出库",包装物料出入库明细!$B$4:$B$2003,"&gt;="&amp;$AF$1,包装物料出入库明细!$B$4:$B$2003,"&lt;="&amp;$AF$2),2))</f>
        <v/>
      </c>
      <c r="Z120" s="26" t="str">
        <f>IF($B120="","",ROUND(SUMIFS(包装物料出入库明细!$N$4:$N$2003,包装物料出入库明细!$D$4:$D$2003,$B120,包装物料出入库明细!$H$4:$H$2003,"销售出库",包装物料出入库明细!$P$4:$P$2003,"已收讫",包装物料出入库明细!$B$4:$B$2003,"&gt;="&amp;$AF$1,包装物料出入库明细!$B$4:$B$2003,"&lt;="&amp;$AF$2),2))</f>
        <v/>
      </c>
      <c r="AA120" s="26" t="str">
        <f t="shared" si="7"/>
        <v/>
      </c>
      <c r="AB120" s="41"/>
    </row>
    <row r="121" spans="1:28">
      <c r="A121" s="24" t="str">
        <f t="shared" si="4"/>
        <v/>
      </c>
      <c r="B121" s="24" t="str">
        <f>IFERROR(INDEX(_自动清单!$O$4:$O$203,ROW()-3),"")</f>
        <v/>
      </c>
      <c r="C121" s="25" t="str">
        <f>IF(OR($B121="",_自动清单!$G$4=""),"",SUMIFS(包装物料出入库明细!$J$4:$J$2003,包装物料出入库明细!$D$4:$D$2003,$B121,包装物料出入库明细!$E$4:$E$2003,_自动清单!$G$4,包装物料出入库明细!$B$4:$B$2003,"&gt;="&amp;$AF$1,包装物料出入库明细!$B$4:$B$2003,"&lt;="&amp;$AF$2))</f>
        <v/>
      </c>
      <c r="D121" s="25" t="str">
        <f>IF(OR($B121="",_自动清单!$G$5=""),"",SUMIFS(包装物料出入库明细!$J$4:$J$2003,包装物料出入库明细!$D$4:$D$2003,$B121,包装物料出入库明细!$E$4:$E$2003,_自动清单!$G$5,包装物料出入库明细!$B$4:$B$2003,"&gt;="&amp;$AF$1,包装物料出入库明细!$B$4:$B$2003,"&lt;="&amp;$AF$2))</f>
        <v/>
      </c>
      <c r="E121" s="25" t="str">
        <f>IF(OR($B121="",_自动清单!$G$6=""),"",SUMIFS(包装物料出入库明细!$J$4:$J$2003,包装物料出入库明细!$D$4:$D$2003,$B121,包装物料出入库明细!$E$4:$E$2003,_自动清单!$G$6,包装物料出入库明细!$B$4:$B$2003,"&gt;="&amp;$AF$1,包装物料出入库明细!$B$4:$B$2003,"&lt;="&amp;$AF$2))</f>
        <v/>
      </c>
      <c r="F121" s="25" t="str">
        <f>IF(OR($B121="",_自动清单!$G$7=""),"",SUMIFS(包装物料出入库明细!$J$4:$J$2003,包装物料出入库明细!$D$4:$D$2003,$B121,包装物料出入库明细!$E$4:$E$2003,_自动清单!$G$7,包装物料出入库明细!$B$4:$B$2003,"&gt;="&amp;$AF$1,包装物料出入库明细!$B$4:$B$2003,"&lt;="&amp;$AF$2))</f>
        <v/>
      </c>
      <c r="G121" s="25" t="str">
        <f>IF(OR($B121="",_自动清单!$G$8=""),"",SUMIFS(包装物料出入库明细!$J$4:$J$2003,包装物料出入库明细!$D$4:$D$2003,$B121,包装物料出入库明细!$E$4:$E$2003,_自动清单!$G$8,包装物料出入库明细!$B$4:$B$2003,"&gt;="&amp;$AF$1,包装物料出入库明细!$B$4:$B$2003,"&lt;="&amp;$AF$2))</f>
        <v/>
      </c>
      <c r="H121" s="25" t="str">
        <f>IF(OR($B121="",_自动清单!$G$9=""),"",SUMIFS(包装物料出入库明细!$J$4:$J$2003,包装物料出入库明细!$D$4:$D$2003,$B121,包装物料出入库明细!$E$4:$E$2003,_自动清单!$G$9,包装物料出入库明细!$B$4:$B$2003,"&gt;="&amp;$AF$1,包装物料出入库明细!$B$4:$B$2003,"&lt;="&amp;$AF$2))</f>
        <v/>
      </c>
      <c r="I121" s="25" t="str">
        <f>IF(OR($B121="",_自动清单!$G$10=""),"",SUMIFS(包装物料出入库明细!$J$4:$J$2003,包装物料出入库明细!$D$4:$D$2003,$B121,包装物料出入库明细!$E$4:$E$2003,_自动清单!$G$10,包装物料出入库明细!$B$4:$B$2003,"&gt;="&amp;$AF$1,包装物料出入库明细!$B$4:$B$2003,"&lt;="&amp;$AF$2))</f>
        <v/>
      </c>
      <c r="J121" s="25" t="str">
        <f>IF(OR($B121="",_自动清单!$G$11=""),"",SUMIFS(包装物料出入库明细!$J$4:$J$2003,包装物料出入库明细!$D$4:$D$2003,$B121,包装物料出入库明细!$E$4:$E$2003,_自动清单!$G$11,包装物料出入库明细!$B$4:$B$2003,"&gt;="&amp;$AF$1,包装物料出入库明细!$B$4:$B$2003,"&lt;="&amp;$AF$2))</f>
        <v/>
      </c>
      <c r="K121" s="25" t="str">
        <f>IF(OR($B121="",_自动清单!$G$12=""),"",SUMIFS(包装物料出入库明细!$J$4:$J$2003,包装物料出入库明细!$D$4:$D$2003,$B121,包装物料出入库明细!$E$4:$E$2003,_自动清单!$G$12,包装物料出入库明细!$B$4:$B$2003,"&gt;="&amp;$AF$1,包装物料出入库明细!$B$4:$B$2003,"&lt;="&amp;$AF$2))</f>
        <v/>
      </c>
      <c r="L121" s="25" t="str">
        <f>IF(OR($B121="",_自动清单!$G$13=""),"",SUMIFS(包装物料出入库明细!$J$4:$J$2003,包装物料出入库明细!$D$4:$D$2003,$B121,包装物料出入库明细!$E$4:$E$2003,_自动清单!$G$13,包装物料出入库明细!$B$4:$B$2003,"&gt;="&amp;$AF$1,包装物料出入库明细!$B$4:$B$2003,"&lt;="&amp;$AF$2))</f>
        <v/>
      </c>
      <c r="M121" s="25" t="str">
        <f>IF(OR($B121="",_自动清单!$G$14=""),"",SUMIFS(包装物料出入库明细!$J$4:$J$2003,包装物料出入库明细!$D$4:$D$2003,$B121,包装物料出入库明细!$E$4:$E$2003,_自动清单!$G$14,包装物料出入库明细!$B$4:$B$2003,"&gt;="&amp;$AF$1,包装物料出入库明细!$B$4:$B$2003,"&lt;="&amp;$AF$2))</f>
        <v/>
      </c>
      <c r="N121" s="25" t="str">
        <f>IF(OR($B121="",_自动清单!$G$15=""),"",SUMIFS(包装物料出入库明细!$J$4:$J$2003,包装物料出入库明细!$D$4:$D$2003,$B121,包装物料出入库明细!$E$4:$E$2003,_自动清单!$G$15,包装物料出入库明细!$B$4:$B$2003,"&gt;="&amp;$AF$1,包装物料出入库明细!$B$4:$B$2003,"&lt;="&amp;$AF$2))</f>
        <v/>
      </c>
      <c r="O121" s="25" t="str">
        <f>IF(OR($B121="",_自动清单!$G$16=""),"",SUMIFS(包装物料出入库明细!$J$4:$J$2003,包装物料出入库明细!$D$4:$D$2003,$B121,包装物料出入库明细!$E$4:$E$2003,_自动清单!$G$16,包装物料出入库明细!$B$4:$B$2003,"&gt;="&amp;$AF$1,包装物料出入库明细!$B$4:$B$2003,"&lt;="&amp;$AF$2))</f>
        <v/>
      </c>
      <c r="P121" s="25" t="str">
        <f>IF(OR($B121="",_自动清单!$G$17=""),"",SUMIFS(包装物料出入库明细!$J$4:$J$2003,包装物料出入库明细!$D$4:$D$2003,$B121,包装物料出入库明细!$E$4:$E$2003,_自动清单!$G$17,包装物料出入库明细!$B$4:$B$2003,"&gt;="&amp;$AF$1,包装物料出入库明细!$B$4:$B$2003,"&lt;="&amp;$AF$2))</f>
        <v/>
      </c>
      <c r="Q121" s="25" t="str">
        <f>IF(OR($B121="",_自动清单!$G$18=""),"",SUMIFS(包装物料出入库明细!$J$4:$J$2003,包装物料出入库明细!$D$4:$D$2003,$B121,包装物料出入库明细!$E$4:$E$2003,_自动清单!$G$18,包装物料出入库明细!$B$4:$B$2003,"&gt;="&amp;$AF$1,包装物料出入库明细!$B$4:$B$2003,"&lt;="&amp;$AF$2))</f>
        <v/>
      </c>
      <c r="R121" s="25" t="str">
        <f>IF(OR($B121="",_自动清单!$G$19=""),"",SUMIFS(包装物料出入库明细!$J$4:$J$2003,包装物料出入库明细!$D$4:$D$2003,$B121,包装物料出入库明细!$E$4:$E$2003,_自动清单!$G$19,包装物料出入库明细!$B$4:$B$2003,"&gt;="&amp;$AF$1,包装物料出入库明细!$B$4:$B$2003,"&lt;="&amp;$AF$2))</f>
        <v/>
      </c>
      <c r="S121" s="25" t="str">
        <f>IF(OR($B121="",_自动清单!$G$20=""),"",SUMIFS(包装物料出入库明细!$J$4:$J$2003,包装物料出入库明细!$D$4:$D$2003,$B121,包装物料出入库明细!$E$4:$E$2003,_自动清单!$G$20,包装物料出入库明细!$B$4:$B$2003,"&gt;="&amp;$AF$1,包装物料出入库明细!$B$4:$B$2003,"&lt;="&amp;$AF$2))</f>
        <v/>
      </c>
      <c r="T121" s="25" t="str">
        <f>IF(OR($B121="",_自动清单!$G$21=""),"",SUMIFS(包装物料出入库明细!$J$4:$J$2003,包装物料出入库明细!$D$4:$D$2003,$B121,包装物料出入库明细!$E$4:$E$2003,_自动清单!$G$21,包装物料出入库明细!$B$4:$B$2003,"&gt;="&amp;$AF$1,包装物料出入库明细!$B$4:$B$2003,"&lt;="&amp;$AF$2))</f>
        <v/>
      </c>
      <c r="U121" s="25" t="str">
        <f>IF($B121="","",SUMIFS(包装物料出入库明细!$J$4:$J$2003,包装物料出入库明细!$D$4:$D$2003,$B121,包装物料出入库明细!$B$4:$B$2003,"&gt;="&amp;$AF$1,包装物料出入库明细!$B$4:$B$2003,"&lt;="&amp;$AF$2)-SUM($C121:$T121))</f>
        <v/>
      </c>
      <c r="V121" s="25" t="str">
        <f t="shared" si="5"/>
        <v/>
      </c>
      <c r="W121" s="56" t="str">
        <f>IF($B121="","",SUMIFS(包装物料出入库明细!$K$4:$K$2003,包装物料出入库明细!$D$4:$D$2003,$B121,包装物料出入库明细!$B$4:$B$2003,"&gt;="&amp;$AF$1,包装物料出入库明细!$B$4:$B$2003,"&lt;="&amp;$AF$2))</f>
        <v/>
      </c>
      <c r="X121" s="25" t="str">
        <f t="shared" si="6"/>
        <v/>
      </c>
      <c r="Y121" s="26" t="str">
        <f>IF($B121="","",ROUND(SUMIFS(包装物料出入库明细!$N$4:$N$2003,包装物料出入库明细!$D$4:$D$2003,$B121,包装物料出入库明细!$H$4:$H$2003,"销售出库",包装物料出入库明细!$B$4:$B$2003,"&gt;="&amp;$AF$1,包装物料出入库明细!$B$4:$B$2003,"&lt;="&amp;$AF$2),2))</f>
        <v/>
      </c>
      <c r="Z121" s="26" t="str">
        <f>IF($B121="","",ROUND(SUMIFS(包装物料出入库明细!$N$4:$N$2003,包装物料出入库明细!$D$4:$D$2003,$B121,包装物料出入库明细!$H$4:$H$2003,"销售出库",包装物料出入库明细!$P$4:$P$2003,"已收讫",包装物料出入库明细!$B$4:$B$2003,"&gt;="&amp;$AF$1,包装物料出入库明细!$B$4:$B$2003,"&lt;="&amp;$AF$2),2))</f>
        <v/>
      </c>
      <c r="AA121" s="26" t="str">
        <f t="shared" si="7"/>
        <v/>
      </c>
      <c r="AB121" s="41"/>
    </row>
    <row r="122" spans="1:28">
      <c r="A122" s="24" t="str">
        <f t="shared" si="4"/>
        <v/>
      </c>
      <c r="B122" s="24" t="str">
        <f>IFERROR(INDEX(_自动清单!$O$4:$O$203,ROW()-3),"")</f>
        <v/>
      </c>
      <c r="C122" s="25" t="str">
        <f>IF(OR($B122="",_自动清单!$G$4=""),"",SUMIFS(包装物料出入库明细!$J$4:$J$2003,包装物料出入库明细!$D$4:$D$2003,$B122,包装物料出入库明细!$E$4:$E$2003,_自动清单!$G$4,包装物料出入库明细!$B$4:$B$2003,"&gt;="&amp;$AF$1,包装物料出入库明细!$B$4:$B$2003,"&lt;="&amp;$AF$2))</f>
        <v/>
      </c>
      <c r="D122" s="25" t="str">
        <f>IF(OR($B122="",_自动清单!$G$5=""),"",SUMIFS(包装物料出入库明细!$J$4:$J$2003,包装物料出入库明细!$D$4:$D$2003,$B122,包装物料出入库明细!$E$4:$E$2003,_自动清单!$G$5,包装物料出入库明细!$B$4:$B$2003,"&gt;="&amp;$AF$1,包装物料出入库明细!$B$4:$B$2003,"&lt;="&amp;$AF$2))</f>
        <v/>
      </c>
      <c r="E122" s="25" t="str">
        <f>IF(OR($B122="",_自动清单!$G$6=""),"",SUMIFS(包装物料出入库明细!$J$4:$J$2003,包装物料出入库明细!$D$4:$D$2003,$B122,包装物料出入库明细!$E$4:$E$2003,_自动清单!$G$6,包装物料出入库明细!$B$4:$B$2003,"&gt;="&amp;$AF$1,包装物料出入库明细!$B$4:$B$2003,"&lt;="&amp;$AF$2))</f>
        <v/>
      </c>
      <c r="F122" s="25" t="str">
        <f>IF(OR($B122="",_自动清单!$G$7=""),"",SUMIFS(包装物料出入库明细!$J$4:$J$2003,包装物料出入库明细!$D$4:$D$2003,$B122,包装物料出入库明细!$E$4:$E$2003,_自动清单!$G$7,包装物料出入库明细!$B$4:$B$2003,"&gt;="&amp;$AF$1,包装物料出入库明细!$B$4:$B$2003,"&lt;="&amp;$AF$2))</f>
        <v/>
      </c>
      <c r="G122" s="25" t="str">
        <f>IF(OR($B122="",_自动清单!$G$8=""),"",SUMIFS(包装物料出入库明细!$J$4:$J$2003,包装物料出入库明细!$D$4:$D$2003,$B122,包装物料出入库明细!$E$4:$E$2003,_自动清单!$G$8,包装物料出入库明细!$B$4:$B$2003,"&gt;="&amp;$AF$1,包装物料出入库明细!$B$4:$B$2003,"&lt;="&amp;$AF$2))</f>
        <v/>
      </c>
      <c r="H122" s="25" t="str">
        <f>IF(OR($B122="",_自动清单!$G$9=""),"",SUMIFS(包装物料出入库明细!$J$4:$J$2003,包装物料出入库明细!$D$4:$D$2003,$B122,包装物料出入库明细!$E$4:$E$2003,_自动清单!$G$9,包装物料出入库明细!$B$4:$B$2003,"&gt;="&amp;$AF$1,包装物料出入库明细!$B$4:$B$2003,"&lt;="&amp;$AF$2))</f>
        <v/>
      </c>
      <c r="I122" s="25" t="str">
        <f>IF(OR($B122="",_自动清单!$G$10=""),"",SUMIFS(包装物料出入库明细!$J$4:$J$2003,包装物料出入库明细!$D$4:$D$2003,$B122,包装物料出入库明细!$E$4:$E$2003,_自动清单!$G$10,包装物料出入库明细!$B$4:$B$2003,"&gt;="&amp;$AF$1,包装物料出入库明细!$B$4:$B$2003,"&lt;="&amp;$AF$2))</f>
        <v/>
      </c>
      <c r="J122" s="25" t="str">
        <f>IF(OR($B122="",_自动清单!$G$11=""),"",SUMIFS(包装物料出入库明细!$J$4:$J$2003,包装物料出入库明细!$D$4:$D$2003,$B122,包装物料出入库明细!$E$4:$E$2003,_自动清单!$G$11,包装物料出入库明细!$B$4:$B$2003,"&gt;="&amp;$AF$1,包装物料出入库明细!$B$4:$B$2003,"&lt;="&amp;$AF$2))</f>
        <v/>
      </c>
      <c r="K122" s="25" t="str">
        <f>IF(OR($B122="",_自动清单!$G$12=""),"",SUMIFS(包装物料出入库明细!$J$4:$J$2003,包装物料出入库明细!$D$4:$D$2003,$B122,包装物料出入库明细!$E$4:$E$2003,_自动清单!$G$12,包装物料出入库明细!$B$4:$B$2003,"&gt;="&amp;$AF$1,包装物料出入库明细!$B$4:$B$2003,"&lt;="&amp;$AF$2))</f>
        <v/>
      </c>
      <c r="L122" s="25" t="str">
        <f>IF(OR($B122="",_自动清单!$G$13=""),"",SUMIFS(包装物料出入库明细!$J$4:$J$2003,包装物料出入库明细!$D$4:$D$2003,$B122,包装物料出入库明细!$E$4:$E$2003,_自动清单!$G$13,包装物料出入库明细!$B$4:$B$2003,"&gt;="&amp;$AF$1,包装物料出入库明细!$B$4:$B$2003,"&lt;="&amp;$AF$2))</f>
        <v/>
      </c>
      <c r="M122" s="25" t="str">
        <f>IF(OR($B122="",_自动清单!$G$14=""),"",SUMIFS(包装物料出入库明细!$J$4:$J$2003,包装物料出入库明细!$D$4:$D$2003,$B122,包装物料出入库明细!$E$4:$E$2003,_自动清单!$G$14,包装物料出入库明细!$B$4:$B$2003,"&gt;="&amp;$AF$1,包装物料出入库明细!$B$4:$B$2003,"&lt;="&amp;$AF$2))</f>
        <v/>
      </c>
      <c r="N122" s="25" t="str">
        <f>IF(OR($B122="",_自动清单!$G$15=""),"",SUMIFS(包装物料出入库明细!$J$4:$J$2003,包装物料出入库明细!$D$4:$D$2003,$B122,包装物料出入库明细!$E$4:$E$2003,_自动清单!$G$15,包装物料出入库明细!$B$4:$B$2003,"&gt;="&amp;$AF$1,包装物料出入库明细!$B$4:$B$2003,"&lt;="&amp;$AF$2))</f>
        <v/>
      </c>
      <c r="O122" s="25" t="str">
        <f>IF(OR($B122="",_自动清单!$G$16=""),"",SUMIFS(包装物料出入库明细!$J$4:$J$2003,包装物料出入库明细!$D$4:$D$2003,$B122,包装物料出入库明细!$E$4:$E$2003,_自动清单!$G$16,包装物料出入库明细!$B$4:$B$2003,"&gt;="&amp;$AF$1,包装物料出入库明细!$B$4:$B$2003,"&lt;="&amp;$AF$2))</f>
        <v/>
      </c>
      <c r="P122" s="25" t="str">
        <f>IF(OR($B122="",_自动清单!$G$17=""),"",SUMIFS(包装物料出入库明细!$J$4:$J$2003,包装物料出入库明细!$D$4:$D$2003,$B122,包装物料出入库明细!$E$4:$E$2003,_自动清单!$G$17,包装物料出入库明细!$B$4:$B$2003,"&gt;="&amp;$AF$1,包装物料出入库明细!$B$4:$B$2003,"&lt;="&amp;$AF$2))</f>
        <v/>
      </c>
      <c r="Q122" s="25" t="str">
        <f>IF(OR($B122="",_自动清单!$G$18=""),"",SUMIFS(包装物料出入库明细!$J$4:$J$2003,包装物料出入库明细!$D$4:$D$2003,$B122,包装物料出入库明细!$E$4:$E$2003,_自动清单!$G$18,包装物料出入库明细!$B$4:$B$2003,"&gt;="&amp;$AF$1,包装物料出入库明细!$B$4:$B$2003,"&lt;="&amp;$AF$2))</f>
        <v/>
      </c>
      <c r="R122" s="25" t="str">
        <f>IF(OR($B122="",_自动清单!$G$19=""),"",SUMIFS(包装物料出入库明细!$J$4:$J$2003,包装物料出入库明细!$D$4:$D$2003,$B122,包装物料出入库明细!$E$4:$E$2003,_自动清单!$G$19,包装物料出入库明细!$B$4:$B$2003,"&gt;="&amp;$AF$1,包装物料出入库明细!$B$4:$B$2003,"&lt;="&amp;$AF$2))</f>
        <v/>
      </c>
      <c r="S122" s="25" t="str">
        <f>IF(OR($B122="",_自动清单!$G$20=""),"",SUMIFS(包装物料出入库明细!$J$4:$J$2003,包装物料出入库明细!$D$4:$D$2003,$B122,包装物料出入库明细!$E$4:$E$2003,_自动清单!$G$20,包装物料出入库明细!$B$4:$B$2003,"&gt;="&amp;$AF$1,包装物料出入库明细!$B$4:$B$2003,"&lt;="&amp;$AF$2))</f>
        <v/>
      </c>
      <c r="T122" s="25" t="str">
        <f>IF(OR($B122="",_自动清单!$G$21=""),"",SUMIFS(包装物料出入库明细!$J$4:$J$2003,包装物料出入库明细!$D$4:$D$2003,$B122,包装物料出入库明细!$E$4:$E$2003,_自动清单!$G$21,包装物料出入库明细!$B$4:$B$2003,"&gt;="&amp;$AF$1,包装物料出入库明细!$B$4:$B$2003,"&lt;="&amp;$AF$2))</f>
        <v/>
      </c>
      <c r="U122" s="25" t="str">
        <f>IF($B122="","",SUMIFS(包装物料出入库明细!$J$4:$J$2003,包装物料出入库明细!$D$4:$D$2003,$B122,包装物料出入库明细!$B$4:$B$2003,"&gt;="&amp;$AF$1,包装物料出入库明细!$B$4:$B$2003,"&lt;="&amp;$AF$2)-SUM($C122:$T122))</f>
        <v/>
      </c>
      <c r="V122" s="25" t="str">
        <f t="shared" si="5"/>
        <v/>
      </c>
      <c r="W122" s="56" t="str">
        <f>IF($B122="","",SUMIFS(包装物料出入库明细!$K$4:$K$2003,包装物料出入库明细!$D$4:$D$2003,$B122,包装物料出入库明细!$B$4:$B$2003,"&gt;="&amp;$AF$1,包装物料出入库明细!$B$4:$B$2003,"&lt;="&amp;$AF$2))</f>
        <v/>
      </c>
      <c r="X122" s="25" t="str">
        <f t="shared" si="6"/>
        <v/>
      </c>
      <c r="Y122" s="26" t="str">
        <f>IF($B122="","",ROUND(SUMIFS(包装物料出入库明细!$N$4:$N$2003,包装物料出入库明细!$D$4:$D$2003,$B122,包装物料出入库明细!$H$4:$H$2003,"销售出库",包装物料出入库明细!$B$4:$B$2003,"&gt;="&amp;$AF$1,包装物料出入库明细!$B$4:$B$2003,"&lt;="&amp;$AF$2),2))</f>
        <v/>
      </c>
      <c r="Z122" s="26" t="str">
        <f>IF($B122="","",ROUND(SUMIFS(包装物料出入库明细!$N$4:$N$2003,包装物料出入库明细!$D$4:$D$2003,$B122,包装物料出入库明细!$H$4:$H$2003,"销售出库",包装物料出入库明细!$P$4:$P$2003,"已收讫",包装物料出入库明细!$B$4:$B$2003,"&gt;="&amp;$AF$1,包装物料出入库明细!$B$4:$B$2003,"&lt;="&amp;$AF$2),2))</f>
        <v/>
      </c>
      <c r="AA122" s="26" t="str">
        <f t="shared" si="7"/>
        <v/>
      </c>
      <c r="AB122" s="41"/>
    </row>
    <row r="123" spans="1:28">
      <c r="A123" s="24" t="str">
        <f t="shared" si="4"/>
        <v/>
      </c>
      <c r="B123" s="24" t="str">
        <f>IFERROR(INDEX(_自动清单!$O$4:$O$203,ROW()-3),"")</f>
        <v/>
      </c>
      <c r="C123" s="25" t="str">
        <f>IF(OR($B123="",_自动清单!$G$4=""),"",SUMIFS(包装物料出入库明细!$J$4:$J$2003,包装物料出入库明细!$D$4:$D$2003,$B123,包装物料出入库明细!$E$4:$E$2003,_自动清单!$G$4,包装物料出入库明细!$B$4:$B$2003,"&gt;="&amp;$AF$1,包装物料出入库明细!$B$4:$B$2003,"&lt;="&amp;$AF$2))</f>
        <v/>
      </c>
      <c r="D123" s="25" t="str">
        <f>IF(OR($B123="",_自动清单!$G$5=""),"",SUMIFS(包装物料出入库明细!$J$4:$J$2003,包装物料出入库明细!$D$4:$D$2003,$B123,包装物料出入库明细!$E$4:$E$2003,_自动清单!$G$5,包装物料出入库明细!$B$4:$B$2003,"&gt;="&amp;$AF$1,包装物料出入库明细!$B$4:$B$2003,"&lt;="&amp;$AF$2))</f>
        <v/>
      </c>
      <c r="E123" s="25" t="str">
        <f>IF(OR($B123="",_自动清单!$G$6=""),"",SUMIFS(包装物料出入库明细!$J$4:$J$2003,包装物料出入库明细!$D$4:$D$2003,$B123,包装物料出入库明细!$E$4:$E$2003,_自动清单!$G$6,包装物料出入库明细!$B$4:$B$2003,"&gt;="&amp;$AF$1,包装物料出入库明细!$B$4:$B$2003,"&lt;="&amp;$AF$2))</f>
        <v/>
      </c>
      <c r="F123" s="25" t="str">
        <f>IF(OR($B123="",_自动清单!$G$7=""),"",SUMIFS(包装物料出入库明细!$J$4:$J$2003,包装物料出入库明细!$D$4:$D$2003,$B123,包装物料出入库明细!$E$4:$E$2003,_自动清单!$G$7,包装物料出入库明细!$B$4:$B$2003,"&gt;="&amp;$AF$1,包装物料出入库明细!$B$4:$B$2003,"&lt;="&amp;$AF$2))</f>
        <v/>
      </c>
      <c r="G123" s="25" t="str">
        <f>IF(OR($B123="",_自动清单!$G$8=""),"",SUMIFS(包装物料出入库明细!$J$4:$J$2003,包装物料出入库明细!$D$4:$D$2003,$B123,包装物料出入库明细!$E$4:$E$2003,_自动清单!$G$8,包装物料出入库明细!$B$4:$B$2003,"&gt;="&amp;$AF$1,包装物料出入库明细!$B$4:$B$2003,"&lt;="&amp;$AF$2))</f>
        <v/>
      </c>
      <c r="H123" s="25" t="str">
        <f>IF(OR($B123="",_自动清单!$G$9=""),"",SUMIFS(包装物料出入库明细!$J$4:$J$2003,包装物料出入库明细!$D$4:$D$2003,$B123,包装物料出入库明细!$E$4:$E$2003,_自动清单!$G$9,包装物料出入库明细!$B$4:$B$2003,"&gt;="&amp;$AF$1,包装物料出入库明细!$B$4:$B$2003,"&lt;="&amp;$AF$2))</f>
        <v/>
      </c>
      <c r="I123" s="25" t="str">
        <f>IF(OR($B123="",_自动清单!$G$10=""),"",SUMIFS(包装物料出入库明细!$J$4:$J$2003,包装物料出入库明细!$D$4:$D$2003,$B123,包装物料出入库明细!$E$4:$E$2003,_自动清单!$G$10,包装物料出入库明细!$B$4:$B$2003,"&gt;="&amp;$AF$1,包装物料出入库明细!$B$4:$B$2003,"&lt;="&amp;$AF$2))</f>
        <v/>
      </c>
      <c r="J123" s="25" t="str">
        <f>IF(OR($B123="",_自动清单!$G$11=""),"",SUMIFS(包装物料出入库明细!$J$4:$J$2003,包装物料出入库明细!$D$4:$D$2003,$B123,包装物料出入库明细!$E$4:$E$2003,_自动清单!$G$11,包装物料出入库明细!$B$4:$B$2003,"&gt;="&amp;$AF$1,包装物料出入库明细!$B$4:$B$2003,"&lt;="&amp;$AF$2))</f>
        <v/>
      </c>
      <c r="K123" s="25" t="str">
        <f>IF(OR($B123="",_自动清单!$G$12=""),"",SUMIFS(包装物料出入库明细!$J$4:$J$2003,包装物料出入库明细!$D$4:$D$2003,$B123,包装物料出入库明细!$E$4:$E$2003,_自动清单!$G$12,包装物料出入库明细!$B$4:$B$2003,"&gt;="&amp;$AF$1,包装物料出入库明细!$B$4:$B$2003,"&lt;="&amp;$AF$2))</f>
        <v/>
      </c>
      <c r="L123" s="25" t="str">
        <f>IF(OR($B123="",_自动清单!$G$13=""),"",SUMIFS(包装物料出入库明细!$J$4:$J$2003,包装物料出入库明细!$D$4:$D$2003,$B123,包装物料出入库明细!$E$4:$E$2003,_自动清单!$G$13,包装物料出入库明细!$B$4:$B$2003,"&gt;="&amp;$AF$1,包装物料出入库明细!$B$4:$B$2003,"&lt;="&amp;$AF$2))</f>
        <v/>
      </c>
      <c r="M123" s="25" t="str">
        <f>IF(OR($B123="",_自动清单!$G$14=""),"",SUMIFS(包装物料出入库明细!$J$4:$J$2003,包装物料出入库明细!$D$4:$D$2003,$B123,包装物料出入库明细!$E$4:$E$2003,_自动清单!$G$14,包装物料出入库明细!$B$4:$B$2003,"&gt;="&amp;$AF$1,包装物料出入库明细!$B$4:$B$2003,"&lt;="&amp;$AF$2))</f>
        <v/>
      </c>
      <c r="N123" s="25" t="str">
        <f>IF(OR($B123="",_自动清单!$G$15=""),"",SUMIFS(包装物料出入库明细!$J$4:$J$2003,包装物料出入库明细!$D$4:$D$2003,$B123,包装物料出入库明细!$E$4:$E$2003,_自动清单!$G$15,包装物料出入库明细!$B$4:$B$2003,"&gt;="&amp;$AF$1,包装物料出入库明细!$B$4:$B$2003,"&lt;="&amp;$AF$2))</f>
        <v/>
      </c>
      <c r="O123" s="25" t="str">
        <f>IF(OR($B123="",_自动清单!$G$16=""),"",SUMIFS(包装物料出入库明细!$J$4:$J$2003,包装物料出入库明细!$D$4:$D$2003,$B123,包装物料出入库明细!$E$4:$E$2003,_自动清单!$G$16,包装物料出入库明细!$B$4:$B$2003,"&gt;="&amp;$AF$1,包装物料出入库明细!$B$4:$B$2003,"&lt;="&amp;$AF$2))</f>
        <v/>
      </c>
      <c r="P123" s="25" t="str">
        <f>IF(OR($B123="",_自动清单!$G$17=""),"",SUMIFS(包装物料出入库明细!$J$4:$J$2003,包装物料出入库明细!$D$4:$D$2003,$B123,包装物料出入库明细!$E$4:$E$2003,_自动清单!$G$17,包装物料出入库明细!$B$4:$B$2003,"&gt;="&amp;$AF$1,包装物料出入库明细!$B$4:$B$2003,"&lt;="&amp;$AF$2))</f>
        <v/>
      </c>
      <c r="Q123" s="25" t="str">
        <f>IF(OR($B123="",_自动清单!$G$18=""),"",SUMIFS(包装物料出入库明细!$J$4:$J$2003,包装物料出入库明细!$D$4:$D$2003,$B123,包装物料出入库明细!$E$4:$E$2003,_自动清单!$G$18,包装物料出入库明细!$B$4:$B$2003,"&gt;="&amp;$AF$1,包装物料出入库明细!$B$4:$B$2003,"&lt;="&amp;$AF$2))</f>
        <v/>
      </c>
      <c r="R123" s="25" t="str">
        <f>IF(OR($B123="",_自动清单!$G$19=""),"",SUMIFS(包装物料出入库明细!$J$4:$J$2003,包装物料出入库明细!$D$4:$D$2003,$B123,包装物料出入库明细!$E$4:$E$2003,_自动清单!$G$19,包装物料出入库明细!$B$4:$B$2003,"&gt;="&amp;$AF$1,包装物料出入库明细!$B$4:$B$2003,"&lt;="&amp;$AF$2))</f>
        <v/>
      </c>
      <c r="S123" s="25" t="str">
        <f>IF(OR($B123="",_自动清单!$G$20=""),"",SUMIFS(包装物料出入库明细!$J$4:$J$2003,包装物料出入库明细!$D$4:$D$2003,$B123,包装物料出入库明细!$E$4:$E$2003,_自动清单!$G$20,包装物料出入库明细!$B$4:$B$2003,"&gt;="&amp;$AF$1,包装物料出入库明细!$B$4:$B$2003,"&lt;="&amp;$AF$2))</f>
        <v/>
      </c>
      <c r="T123" s="25" t="str">
        <f>IF(OR($B123="",_自动清单!$G$21=""),"",SUMIFS(包装物料出入库明细!$J$4:$J$2003,包装物料出入库明细!$D$4:$D$2003,$B123,包装物料出入库明细!$E$4:$E$2003,_自动清单!$G$21,包装物料出入库明细!$B$4:$B$2003,"&gt;="&amp;$AF$1,包装物料出入库明细!$B$4:$B$2003,"&lt;="&amp;$AF$2))</f>
        <v/>
      </c>
      <c r="U123" s="25" t="str">
        <f>IF($B123="","",SUMIFS(包装物料出入库明细!$J$4:$J$2003,包装物料出入库明细!$D$4:$D$2003,$B123,包装物料出入库明细!$B$4:$B$2003,"&gt;="&amp;$AF$1,包装物料出入库明细!$B$4:$B$2003,"&lt;="&amp;$AF$2)-SUM($C123:$T123))</f>
        <v/>
      </c>
      <c r="V123" s="25" t="str">
        <f t="shared" si="5"/>
        <v/>
      </c>
      <c r="W123" s="56" t="str">
        <f>IF($B123="","",SUMIFS(包装物料出入库明细!$K$4:$K$2003,包装物料出入库明细!$D$4:$D$2003,$B123,包装物料出入库明细!$B$4:$B$2003,"&gt;="&amp;$AF$1,包装物料出入库明细!$B$4:$B$2003,"&lt;="&amp;$AF$2))</f>
        <v/>
      </c>
      <c r="X123" s="25" t="str">
        <f t="shared" si="6"/>
        <v/>
      </c>
      <c r="Y123" s="26" t="str">
        <f>IF($B123="","",ROUND(SUMIFS(包装物料出入库明细!$N$4:$N$2003,包装物料出入库明细!$D$4:$D$2003,$B123,包装物料出入库明细!$H$4:$H$2003,"销售出库",包装物料出入库明细!$B$4:$B$2003,"&gt;="&amp;$AF$1,包装物料出入库明细!$B$4:$B$2003,"&lt;="&amp;$AF$2),2))</f>
        <v/>
      </c>
      <c r="Z123" s="26" t="str">
        <f>IF($B123="","",ROUND(SUMIFS(包装物料出入库明细!$N$4:$N$2003,包装物料出入库明细!$D$4:$D$2003,$B123,包装物料出入库明细!$H$4:$H$2003,"销售出库",包装物料出入库明细!$P$4:$P$2003,"已收讫",包装物料出入库明细!$B$4:$B$2003,"&gt;="&amp;$AF$1,包装物料出入库明细!$B$4:$B$2003,"&lt;="&amp;$AF$2),2))</f>
        <v/>
      </c>
      <c r="AA123" s="26" t="str">
        <f t="shared" si="7"/>
        <v/>
      </c>
      <c r="AB123" s="41"/>
    </row>
    <row r="124" spans="1:28">
      <c r="A124" s="24" t="str">
        <f t="shared" si="4"/>
        <v/>
      </c>
      <c r="B124" s="24" t="str">
        <f>IFERROR(INDEX(_自动清单!$O$4:$O$203,ROW()-3),"")</f>
        <v/>
      </c>
      <c r="C124" s="25" t="str">
        <f>IF(OR($B124="",_自动清单!$G$4=""),"",SUMIFS(包装物料出入库明细!$J$4:$J$2003,包装物料出入库明细!$D$4:$D$2003,$B124,包装物料出入库明细!$E$4:$E$2003,_自动清单!$G$4,包装物料出入库明细!$B$4:$B$2003,"&gt;="&amp;$AF$1,包装物料出入库明细!$B$4:$B$2003,"&lt;="&amp;$AF$2))</f>
        <v/>
      </c>
      <c r="D124" s="25" t="str">
        <f>IF(OR($B124="",_自动清单!$G$5=""),"",SUMIFS(包装物料出入库明细!$J$4:$J$2003,包装物料出入库明细!$D$4:$D$2003,$B124,包装物料出入库明细!$E$4:$E$2003,_自动清单!$G$5,包装物料出入库明细!$B$4:$B$2003,"&gt;="&amp;$AF$1,包装物料出入库明细!$B$4:$B$2003,"&lt;="&amp;$AF$2))</f>
        <v/>
      </c>
      <c r="E124" s="25" t="str">
        <f>IF(OR($B124="",_自动清单!$G$6=""),"",SUMIFS(包装物料出入库明细!$J$4:$J$2003,包装物料出入库明细!$D$4:$D$2003,$B124,包装物料出入库明细!$E$4:$E$2003,_自动清单!$G$6,包装物料出入库明细!$B$4:$B$2003,"&gt;="&amp;$AF$1,包装物料出入库明细!$B$4:$B$2003,"&lt;="&amp;$AF$2))</f>
        <v/>
      </c>
      <c r="F124" s="25" t="str">
        <f>IF(OR($B124="",_自动清单!$G$7=""),"",SUMIFS(包装物料出入库明细!$J$4:$J$2003,包装物料出入库明细!$D$4:$D$2003,$B124,包装物料出入库明细!$E$4:$E$2003,_自动清单!$G$7,包装物料出入库明细!$B$4:$B$2003,"&gt;="&amp;$AF$1,包装物料出入库明细!$B$4:$B$2003,"&lt;="&amp;$AF$2))</f>
        <v/>
      </c>
      <c r="G124" s="25" t="str">
        <f>IF(OR($B124="",_自动清单!$G$8=""),"",SUMIFS(包装物料出入库明细!$J$4:$J$2003,包装物料出入库明细!$D$4:$D$2003,$B124,包装物料出入库明细!$E$4:$E$2003,_自动清单!$G$8,包装物料出入库明细!$B$4:$B$2003,"&gt;="&amp;$AF$1,包装物料出入库明细!$B$4:$B$2003,"&lt;="&amp;$AF$2))</f>
        <v/>
      </c>
      <c r="H124" s="25" t="str">
        <f>IF(OR($B124="",_自动清单!$G$9=""),"",SUMIFS(包装物料出入库明细!$J$4:$J$2003,包装物料出入库明细!$D$4:$D$2003,$B124,包装物料出入库明细!$E$4:$E$2003,_自动清单!$G$9,包装物料出入库明细!$B$4:$B$2003,"&gt;="&amp;$AF$1,包装物料出入库明细!$B$4:$B$2003,"&lt;="&amp;$AF$2))</f>
        <v/>
      </c>
      <c r="I124" s="25" t="str">
        <f>IF(OR($B124="",_自动清单!$G$10=""),"",SUMIFS(包装物料出入库明细!$J$4:$J$2003,包装物料出入库明细!$D$4:$D$2003,$B124,包装物料出入库明细!$E$4:$E$2003,_自动清单!$G$10,包装物料出入库明细!$B$4:$B$2003,"&gt;="&amp;$AF$1,包装物料出入库明细!$B$4:$B$2003,"&lt;="&amp;$AF$2))</f>
        <v/>
      </c>
      <c r="J124" s="25" t="str">
        <f>IF(OR($B124="",_自动清单!$G$11=""),"",SUMIFS(包装物料出入库明细!$J$4:$J$2003,包装物料出入库明细!$D$4:$D$2003,$B124,包装物料出入库明细!$E$4:$E$2003,_自动清单!$G$11,包装物料出入库明细!$B$4:$B$2003,"&gt;="&amp;$AF$1,包装物料出入库明细!$B$4:$B$2003,"&lt;="&amp;$AF$2))</f>
        <v/>
      </c>
      <c r="K124" s="25" t="str">
        <f>IF(OR($B124="",_自动清单!$G$12=""),"",SUMIFS(包装物料出入库明细!$J$4:$J$2003,包装物料出入库明细!$D$4:$D$2003,$B124,包装物料出入库明细!$E$4:$E$2003,_自动清单!$G$12,包装物料出入库明细!$B$4:$B$2003,"&gt;="&amp;$AF$1,包装物料出入库明细!$B$4:$B$2003,"&lt;="&amp;$AF$2))</f>
        <v/>
      </c>
      <c r="L124" s="25" t="str">
        <f>IF(OR($B124="",_自动清单!$G$13=""),"",SUMIFS(包装物料出入库明细!$J$4:$J$2003,包装物料出入库明细!$D$4:$D$2003,$B124,包装物料出入库明细!$E$4:$E$2003,_自动清单!$G$13,包装物料出入库明细!$B$4:$B$2003,"&gt;="&amp;$AF$1,包装物料出入库明细!$B$4:$B$2003,"&lt;="&amp;$AF$2))</f>
        <v/>
      </c>
      <c r="M124" s="25" t="str">
        <f>IF(OR($B124="",_自动清单!$G$14=""),"",SUMIFS(包装物料出入库明细!$J$4:$J$2003,包装物料出入库明细!$D$4:$D$2003,$B124,包装物料出入库明细!$E$4:$E$2003,_自动清单!$G$14,包装物料出入库明细!$B$4:$B$2003,"&gt;="&amp;$AF$1,包装物料出入库明细!$B$4:$B$2003,"&lt;="&amp;$AF$2))</f>
        <v/>
      </c>
      <c r="N124" s="25" t="str">
        <f>IF(OR($B124="",_自动清单!$G$15=""),"",SUMIFS(包装物料出入库明细!$J$4:$J$2003,包装物料出入库明细!$D$4:$D$2003,$B124,包装物料出入库明细!$E$4:$E$2003,_自动清单!$G$15,包装物料出入库明细!$B$4:$B$2003,"&gt;="&amp;$AF$1,包装物料出入库明细!$B$4:$B$2003,"&lt;="&amp;$AF$2))</f>
        <v/>
      </c>
      <c r="O124" s="25" t="str">
        <f>IF(OR($B124="",_自动清单!$G$16=""),"",SUMIFS(包装物料出入库明细!$J$4:$J$2003,包装物料出入库明细!$D$4:$D$2003,$B124,包装物料出入库明细!$E$4:$E$2003,_自动清单!$G$16,包装物料出入库明细!$B$4:$B$2003,"&gt;="&amp;$AF$1,包装物料出入库明细!$B$4:$B$2003,"&lt;="&amp;$AF$2))</f>
        <v/>
      </c>
      <c r="P124" s="25" t="str">
        <f>IF(OR($B124="",_自动清单!$G$17=""),"",SUMIFS(包装物料出入库明细!$J$4:$J$2003,包装物料出入库明细!$D$4:$D$2003,$B124,包装物料出入库明细!$E$4:$E$2003,_自动清单!$G$17,包装物料出入库明细!$B$4:$B$2003,"&gt;="&amp;$AF$1,包装物料出入库明细!$B$4:$B$2003,"&lt;="&amp;$AF$2))</f>
        <v/>
      </c>
      <c r="Q124" s="25" t="str">
        <f>IF(OR($B124="",_自动清单!$G$18=""),"",SUMIFS(包装物料出入库明细!$J$4:$J$2003,包装物料出入库明细!$D$4:$D$2003,$B124,包装物料出入库明细!$E$4:$E$2003,_自动清单!$G$18,包装物料出入库明细!$B$4:$B$2003,"&gt;="&amp;$AF$1,包装物料出入库明细!$B$4:$B$2003,"&lt;="&amp;$AF$2))</f>
        <v/>
      </c>
      <c r="R124" s="25" t="str">
        <f>IF(OR($B124="",_自动清单!$G$19=""),"",SUMIFS(包装物料出入库明细!$J$4:$J$2003,包装物料出入库明细!$D$4:$D$2003,$B124,包装物料出入库明细!$E$4:$E$2003,_自动清单!$G$19,包装物料出入库明细!$B$4:$B$2003,"&gt;="&amp;$AF$1,包装物料出入库明细!$B$4:$B$2003,"&lt;="&amp;$AF$2))</f>
        <v/>
      </c>
      <c r="S124" s="25" t="str">
        <f>IF(OR($B124="",_自动清单!$G$20=""),"",SUMIFS(包装物料出入库明细!$J$4:$J$2003,包装物料出入库明细!$D$4:$D$2003,$B124,包装物料出入库明细!$E$4:$E$2003,_自动清单!$G$20,包装物料出入库明细!$B$4:$B$2003,"&gt;="&amp;$AF$1,包装物料出入库明细!$B$4:$B$2003,"&lt;="&amp;$AF$2))</f>
        <v/>
      </c>
      <c r="T124" s="25" t="str">
        <f>IF(OR($B124="",_自动清单!$G$21=""),"",SUMIFS(包装物料出入库明细!$J$4:$J$2003,包装物料出入库明细!$D$4:$D$2003,$B124,包装物料出入库明细!$E$4:$E$2003,_自动清单!$G$21,包装物料出入库明细!$B$4:$B$2003,"&gt;="&amp;$AF$1,包装物料出入库明细!$B$4:$B$2003,"&lt;="&amp;$AF$2))</f>
        <v/>
      </c>
      <c r="U124" s="25" t="str">
        <f>IF($B124="","",SUMIFS(包装物料出入库明细!$J$4:$J$2003,包装物料出入库明细!$D$4:$D$2003,$B124,包装物料出入库明细!$B$4:$B$2003,"&gt;="&amp;$AF$1,包装物料出入库明细!$B$4:$B$2003,"&lt;="&amp;$AF$2)-SUM($C124:$T124))</f>
        <v/>
      </c>
      <c r="V124" s="25" t="str">
        <f t="shared" si="5"/>
        <v/>
      </c>
      <c r="W124" s="56" t="str">
        <f>IF($B124="","",SUMIFS(包装物料出入库明细!$K$4:$K$2003,包装物料出入库明细!$D$4:$D$2003,$B124,包装物料出入库明细!$B$4:$B$2003,"&gt;="&amp;$AF$1,包装物料出入库明细!$B$4:$B$2003,"&lt;="&amp;$AF$2))</f>
        <v/>
      </c>
      <c r="X124" s="25" t="str">
        <f t="shared" si="6"/>
        <v/>
      </c>
      <c r="Y124" s="26" t="str">
        <f>IF($B124="","",ROUND(SUMIFS(包装物料出入库明细!$N$4:$N$2003,包装物料出入库明细!$D$4:$D$2003,$B124,包装物料出入库明细!$H$4:$H$2003,"销售出库",包装物料出入库明细!$B$4:$B$2003,"&gt;="&amp;$AF$1,包装物料出入库明细!$B$4:$B$2003,"&lt;="&amp;$AF$2),2))</f>
        <v/>
      </c>
      <c r="Z124" s="26" t="str">
        <f>IF($B124="","",ROUND(SUMIFS(包装物料出入库明细!$N$4:$N$2003,包装物料出入库明细!$D$4:$D$2003,$B124,包装物料出入库明细!$H$4:$H$2003,"销售出库",包装物料出入库明细!$P$4:$P$2003,"已收讫",包装物料出入库明细!$B$4:$B$2003,"&gt;="&amp;$AF$1,包装物料出入库明细!$B$4:$B$2003,"&lt;="&amp;$AF$2),2))</f>
        <v/>
      </c>
      <c r="AA124" s="26" t="str">
        <f t="shared" si="7"/>
        <v/>
      </c>
      <c r="AB124" s="41"/>
    </row>
    <row r="125" spans="1:28">
      <c r="A125" s="24" t="str">
        <f t="shared" si="4"/>
        <v/>
      </c>
      <c r="B125" s="24" t="str">
        <f>IFERROR(INDEX(_自动清单!$O$4:$O$203,ROW()-3),"")</f>
        <v/>
      </c>
      <c r="C125" s="25" t="str">
        <f>IF(OR($B125="",_自动清单!$G$4=""),"",SUMIFS(包装物料出入库明细!$J$4:$J$2003,包装物料出入库明细!$D$4:$D$2003,$B125,包装物料出入库明细!$E$4:$E$2003,_自动清单!$G$4,包装物料出入库明细!$B$4:$B$2003,"&gt;="&amp;$AF$1,包装物料出入库明细!$B$4:$B$2003,"&lt;="&amp;$AF$2))</f>
        <v/>
      </c>
      <c r="D125" s="25" t="str">
        <f>IF(OR($B125="",_自动清单!$G$5=""),"",SUMIFS(包装物料出入库明细!$J$4:$J$2003,包装物料出入库明细!$D$4:$D$2003,$B125,包装物料出入库明细!$E$4:$E$2003,_自动清单!$G$5,包装物料出入库明细!$B$4:$B$2003,"&gt;="&amp;$AF$1,包装物料出入库明细!$B$4:$B$2003,"&lt;="&amp;$AF$2))</f>
        <v/>
      </c>
      <c r="E125" s="25" t="str">
        <f>IF(OR($B125="",_自动清单!$G$6=""),"",SUMIFS(包装物料出入库明细!$J$4:$J$2003,包装物料出入库明细!$D$4:$D$2003,$B125,包装物料出入库明细!$E$4:$E$2003,_自动清单!$G$6,包装物料出入库明细!$B$4:$B$2003,"&gt;="&amp;$AF$1,包装物料出入库明细!$B$4:$B$2003,"&lt;="&amp;$AF$2))</f>
        <v/>
      </c>
      <c r="F125" s="25" t="str">
        <f>IF(OR($B125="",_自动清单!$G$7=""),"",SUMIFS(包装物料出入库明细!$J$4:$J$2003,包装物料出入库明细!$D$4:$D$2003,$B125,包装物料出入库明细!$E$4:$E$2003,_自动清单!$G$7,包装物料出入库明细!$B$4:$B$2003,"&gt;="&amp;$AF$1,包装物料出入库明细!$B$4:$B$2003,"&lt;="&amp;$AF$2))</f>
        <v/>
      </c>
      <c r="G125" s="25" t="str">
        <f>IF(OR($B125="",_自动清单!$G$8=""),"",SUMIFS(包装物料出入库明细!$J$4:$J$2003,包装物料出入库明细!$D$4:$D$2003,$B125,包装物料出入库明细!$E$4:$E$2003,_自动清单!$G$8,包装物料出入库明细!$B$4:$B$2003,"&gt;="&amp;$AF$1,包装物料出入库明细!$B$4:$B$2003,"&lt;="&amp;$AF$2))</f>
        <v/>
      </c>
      <c r="H125" s="25" t="str">
        <f>IF(OR($B125="",_自动清单!$G$9=""),"",SUMIFS(包装物料出入库明细!$J$4:$J$2003,包装物料出入库明细!$D$4:$D$2003,$B125,包装物料出入库明细!$E$4:$E$2003,_自动清单!$G$9,包装物料出入库明细!$B$4:$B$2003,"&gt;="&amp;$AF$1,包装物料出入库明细!$B$4:$B$2003,"&lt;="&amp;$AF$2))</f>
        <v/>
      </c>
      <c r="I125" s="25" t="str">
        <f>IF(OR($B125="",_自动清单!$G$10=""),"",SUMIFS(包装物料出入库明细!$J$4:$J$2003,包装物料出入库明细!$D$4:$D$2003,$B125,包装物料出入库明细!$E$4:$E$2003,_自动清单!$G$10,包装物料出入库明细!$B$4:$B$2003,"&gt;="&amp;$AF$1,包装物料出入库明细!$B$4:$B$2003,"&lt;="&amp;$AF$2))</f>
        <v/>
      </c>
      <c r="J125" s="25" t="str">
        <f>IF(OR($B125="",_自动清单!$G$11=""),"",SUMIFS(包装物料出入库明细!$J$4:$J$2003,包装物料出入库明细!$D$4:$D$2003,$B125,包装物料出入库明细!$E$4:$E$2003,_自动清单!$G$11,包装物料出入库明细!$B$4:$B$2003,"&gt;="&amp;$AF$1,包装物料出入库明细!$B$4:$B$2003,"&lt;="&amp;$AF$2))</f>
        <v/>
      </c>
      <c r="K125" s="25" t="str">
        <f>IF(OR($B125="",_自动清单!$G$12=""),"",SUMIFS(包装物料出入库明细!$J$4:$J$2003,包装物料出入库明细!$D$4:$D$2003,$B125,包装物料出入库明细!$E$4:$E$2003,_自动清单!$G$12,包装物料出入库明细!$B$4:$B$2003,"&gt;="&amp;$AF$1,包装物料出入库明细!$B$4:$B$2003,"&lt;="&amp;$AF$2))</f>
        <v/>
      </c>
      <c r="L125" s="25" t="str">
        <f>IF(OR($B125="",_自动清单!$G$13=""),"",SUMIFS(包装物料出入库明细!$J$4:$J$2003,包装物料出入库明细!$D$4:$D$2003,$B125,包装物料出入库明细!$E$4:$E$2003,_自动清单!$G$13,包装物料出入库明细!$B$4:$B$2003,"&gt;="&amp;$AF$1,包装物料出入库明细!$B$4:$B$2003,"&lt;="&amp;$AF$2))</f>
        <v/>
      </c>
      <c r="M125" s="25" t="str">
        <f>IF(OR($B125="",_自动清单!$G$14=""),"",SUMIFS(包装物料出入库明细!$J$4:$J$2003,包装物料出入库明细!$D$4:$D$2003,$B125,包装物料出入库明细!$E$4:$E$2003,_自动清单!$G$14,包装物料出入库明细!$B$4:$B$2003,"&gt;="&amp;$AF$1,包装物料出入库明细!$B$4:$B$2003,"&lt;="&amp;$AF$2))</f>
        <v/>
      </c>
      <c r="N125" s="25" t="str">
        <f>IF(OR($B125="",_自动清单!$G$15=""),"",SUMIFS(包装物料出入库明细!$J$4:$J$2003,包装物料出入库明细!$D$4:$D$2003,$B125,包装物料出入库明细!$E$4:$E$2003,_自动清单!$G$15,包装物料出入库明细!$B$4:$B$2003,"&gt;="&amp;$AF$1,包装物料出入库明细!$B$4:$B$2003,"&lt;="&amp;$AF$2))</f>
        <v/>
      </c>
      <c r="O125" s="25" t="str">
        <f>IF(OR($B125="",_自动清单!$G$16=""),"",SUMIFS(包装物料出入库明细!$J$4:$J$2003,包装物料出入库明细!$D$4:$D$2003,$B125,包装物料出入库明细!$E$4:$E$2003,_自动清单!$G$16,包装物料出入库明细!$B$4:$B$2003,"&gt;="&amp;$AF$1,包装物料出入库明细!$B$4:$B$2003,"&lt;="&amp;$AF$2))</f>
        <v/>
      </c>
      <c r="P125" s="25" t="str">
        <f>IF(OR($B125="",_自动清单!$G$17=""),"",SUMIFS(包装物料出入库明细!$J$4:$J$2003,包装物料出入库明细!$D$4:$D$2003,$B125,包装物料出入库明细!$E$4:$E$2003,_自动清单!$G$17,包装物料出入库明细!$B$4:$B$2003,"&gt;="&amp;$AF$1,包装物料出入库明细!$B$4:$B$2003,"&lt;="&amp;$AF$2))</f>
        <v/>
      </c>
      <c r="Q125" s="25" t="str">
        <f>IF(OR($B125="",_自动清单!$G$18=""),"",SUMIFS(包装物料出入库明细!$J$4:$J$2003,包装物料出入库明细!$D$4:$D$2003,$B125,包装物料出入库明细!$E$4:$E$2003,_自动清单!$G$18,包装物料出入库明细!$B$4:$B$2003,"&gt;="&amp;$AF$1,包装物料出入库明细!$B$4:$B$2003,"&lt;="&amp;$AF$2))</f>
        <v/>
      </c>
      <c r="R125" s="25" t="str">
        <f>IF(OR($B125="",_自动清单!$G$19=""),"",SUMIFS(包装物料出入库明细!$J$4:$J$2003,包装物料出入库明细!$D$4:$D$2003,$B125,包装物料出入库明细!$E$4:$E$2003,_自动清单!$G$19,包装物料出入库明细!$B$4:$B$2003,"&gt;="&amp;$AF$1,包装物料出入库明细!$B$4:$B$2003,"&lt;="&amp;$AF$2))</f>
        <v/>
      </c>
      <c r="S125" s="25" t="str">
        <f>IF(OR($B125="",_自动清单!$G$20=""),"",SUMIFS(包装物料出入库明细!$J$4:$J$2003,包装物料出入库明细!$D$4:$D$2003,$B125,包装物料出入库明细!$E$4:$E$2003,_自动清单!$G$20,包装物料出入库明细!$B$4:$B$2003,"&gt;="&amp;$AF$1,包装物料出入库明细!$B$4:$B$2003,"&lt;="&amp;$AF$2))</f>
        <v/>
      </c>
      <c r="T125" s="25" t="str">
        <f>IF(OR($B125="",_自动清单!$G$21=""),"",SUMIFS(包装物料出入库明细!$J$4:$J$2003,包装物料出入库明细!$D$4:$D$2003,$B125,包装物料出入库明细!$E$4:$E$2003,_自动清单!$G$21,包装物料出入库明细!$B$4:$B$2003,"&gt;="&amp;$AF$1,包装物料出入库明细!$B$4:$B$2003,"&lt;="&amp;$AF$2))</f>
        <v/>
      </c>
      <c r="U125" s="25" t="str">
        <f>IF($B125="","",SUMIFS(包装物料出入库明细!$J$4:$J$2003,包装物料出入库明细!$D$4:$D$2003,$B125,包装物料出入库明细!$B$4:$B$2003,"&gt;="&amp;$AF$1,包装物料出入库明细!$B$4:$B$2003,"&lt;="&amp;$AF$2)-SUM($C125:$T125))</f>
        <v/>
      </c>
      <c r="V125" s="25" t="str">
        <f t="shared" si="5"/>
        <v/>
      </c>
      <c r="W125" s="56" t="str">
        <f>IF($B125="","",SUMIFS(包装物料出入库明细!$K$4:$K$2003,包装物料出入库明细!$D$4:$D$2003,$B125,包装物料出入库明细!$B$4:$B$2003,"&gt;="&amp;$AF$1,包装物料出入库明细!$B$4:$B$2003,"&lt;="&amp;$AF$2))</f>
        <v/>
      </c>
      <c r="X125" s="25" t="str">
        <f t="shared" si="6"/>
        <v/>
      </c>
      <c r="Y125" s="26" t="str">
        <f>IF($B125="","",ROUND(SUMIFS(包装物料出入库明细!$N$4:$N$2003,包装物料出入库明细!$D$4:$D$2003,$B125,包装物料出入库明细!$H$4:$H$2003,"销售出库",包装物料出入库明细!$B$4:$B$2003,"&gt;="&amp;$AF$1,包装物料出入库明细!$B$4:$B$2003,"&lt;="&amp;$AF$2),2))</f>
        <v/>
      </c>
      <c r="Z125" s="26" t="str">
        <f>IF($B125="","",ROUND(SUMIFS(包装物料出入库明细!$N$4:$N$2003,包装物料出入库明细!$D$4:$D$2003,$B125,包装物料出入库明细!$H$4:$H$2003,"销售出库",包装物料出入库明细!$P$4:$P$2003,"已收讫",包装物料出入库明细!$B$4:$B$2003,"&gt;="&amp;$AF$1,包装物料出入库明细!$B$4:$B$2003,"&lt;="&amp;$AF$2),2))</f>
        <v/>
      </c>
      <c r="AA125" s="26" t="str">
        <f t="shared" si="7"/>
        <v/>
      </c>
      <c r="AB125" s="41"/>
    </row>
    <row r="126" spans="1:28">
      <c r="A126" s="24" t="str">
        <f t="shared" si="4"/>
        <v/>
      </c>
      <c r="B126" s="24" t="str">
        <f>IFERROR(INDEX(_自动清单!$O$4:$O$203,ROW()-3),"")</f>
        <v/>
      </c>
      <c r="C126" s="25" t="str">
        <f>IF(OR($B126="",_自动清单!$G$4=""),"",SUMIFS(包装物料出入库明细!$J$4:$J$2003,包装物料出入库明细!$D$4:$D$2003,$B126,包装物料出入库明细!$E$4:$E$2003,_自动清单!$G$4,包装物料出入库明细!$B$4:$B$2003,"&gt;="&amp;$AF$1,包装物料出入库明细!$B$4:$B$2003,"&lt;="&amp;$AF$2))</f>
        <v/>
      </c>
      <c r="D126" s="25" t="str">
        <f>IF(OR($B126="",_自动清单!$G$5=""),"",SUMIFS(包装物料出入库明细!$J$4:$J$2003,包装物料出入库明细!$D$4:$D$2003,$B126,包装物料出入库明细!$E$4:$E$2003,_自动清单!$G$5,包装物料出入库明细!$B$4:$B$2003,"&gt;="&amp;$AF$1,包装物料出入库明细!$B$4:$B$2003,"&lt;="&amp;$AF$2))</f>
        <v/>
      </c>
      <c r="E126" s="25" t="str">
        <f>IF(OR($B126="",_自动清单!$G$6=""),"",SUMIFS(包装物料出入库明细!$J$4:$J$2003,包装物料出入库明细!$D$4:$D$2003,$B126,包装物料出入库明细!$E$4:$E$2003,_自动清单!$G$6,包装物料出入库明细!$B$4:$B$2003,"&gt;="&amp;$AF$1,包装物料出入库明细!$B$4:$B$2003,"&lt;="&amp;$AF$2))</f>
        <v/>
      </c>
      <c r="F126" s="25" t="str">
        <f>IF(OR($B126="",_自动清单!$G$7=""),"",SUMIFS(包装物料出入库明细!$J$4:$J$2003,包装物料出入库明细!$D$4:$D$2003,$B126,包装物料出入库明细!$E$4:$E$2003,_自动清单!$G$7,包装物料出入库明细!$B$4:$B$2003,"&gt;="&amp;$AF$1,包装物料出入库明细!$B$4:$B$2003,"&lt;="&amp;$AF$2))</f>
        <v/>
      </c>
      <c r="G126" s="25" t="str">
        <f>IF(OR($B126="",_自动清单!$G$8=""),"",SUMIFS(包装物料出入库明细!$J$4:$J$2003,包装物料出入库明细!$D$4:$D$2003,$B126,包装物料出入库明细!$E$4:$E$2003,_自动清单!$G$8,包装物料出入库明细!$B$4:$B$2003,"&gt;="&amp;$AF$1,包装物料出入库明细!$B$4:$B$2003,"&lt;="&amp;$AF$2))</f>
        <v/>
      </c>
      <c r="H126" s="25" t="str">
        <f>IF(OR($B126="",_自动清单!$G$9=""),"",SUMIFS(包装物料出入库明细!$J$4:$J$2003,包装物料出入库明细!$D$4:$D$2003,$B126,包装物料出入库明细!$E$4:$E$2003,_自动清单!$G$9,包装物料出入库明细!$B$4:$B$2003,"&gt;="&amp;$AF$1,包装物料出入库明细!$B$4:$B$2003,"&lt;="&amp;$AF$2))</f>
        <v/>
      </c>
      <c r="I126" s="25" t="str">
        <f>IF(OR($B126="",_自动清单!$G$10=""),"",SUMIFS(包装物料出入库明细!$J$4:$J$2003,包装物料出入库明细!$D$4:$D$2003,$B126,包装物料出入库明细!$E$4:$E$2003,_自动清单!$G$10,包装物料出入库明细!$B$4:$B$2003,"&gt;="&amp;$AF$1,包装物料出入库明细!$B$4:$B$2003,"&lt;="&amp;$AF$2))</f>
        <v/>
      </c>
      <c r="J126" s="25" t="str">
        <f>IF(OR($B126="",_自动清单!$G$11=""),"",SUMIFS(包装物料出入库明细!$J$4:$J$2003,包装物料出入库明细!$D$4:$D$2003,$B126,包装物料出入库明细!$E$4:$E$2003,_自动清单!$G$11,包装物料出入库明细!$B$4:$B$2003,"&gt;="&amp;$AF$1,包装物料出入库明细!$B$4:$B$2003,"&lt;="&amp;$AF$2))</f>
        <v/>
      </c>
      <c r="K126" s="25" t="str">
        <f>IF(OR($B126="",_自动清单!$G$12=""),"",SUMIFS(包装物料出入库明细!$J$4:$J$2003,包装物料出入库明细!$D$4:$D$2003,$B126,包装物料出入库明细!$E$4:$E$2003,_自动清单!$G$12,包装物料出入库明细!$B$4:$B$2003,"&gt;="&amp;$AF$1,包装物料出入库明细!$B$4:$B$2003,"&lt;="&amp;$AF$2))</f>
        <v/>
      </c>
      <c r="L126" s="25" t="str">
        <f>IF(OR($B126="",_自动清单!$G$13=""),"",SUMIFS(包装物料出入库明细!$J$4:$J$2003,包装物料出入库明细!$D$4:$D$2003,$B126,包装物料出入库明细!$E$4:$E$2003,_自动清单!$G$13,包装物料出入库明细!$B$4:$B$2003,"&gt;="&amp;$AF$1,包装物料出入库明细!$B$4:$B$2003,"&lt;="&amp;$AF$2))</f>
        <v/>
      </c>
      <c r="M126" s="25" t="str">
        <f>IF(OR($B126="",_自动清单!$G$14=""),"",SUMIFS(包装物料出入库明细!$J$4:$J$2003,包装物料出入库明细!$D$4:$D$2003,$B126,包装物料出入库明细!$E$4:$E$2003,_自动清单!$G$14,包装物料出入库明细!$B$4:$B$2003,"&gt;="&amp;$AF$1,包装物料出入库明细!$B$4:$B$2003,"&lt;="&amp;$AF$2))</f>
        <v/>
      </c>
      <c r="N126" s="25" t="str">
        <f>IF(OR($B126="",_自动清单!$G$15=""),"",SUMIFS(包装物料出入库明细!$J$4:$J$2003,包装物料出入库明细!$D$4:$D$2003,$B126,包装物料出入库明细!$E$4:$E$2003,_自动清单!$G$15,包装物料出入库明细!$B$4:$B$2003,"&gt;="&amp;$AF$1,包装物料出入库明细!$B$4:$B$2003,"&lt;="&amp;$AF$2))</f>
        <v/>
      </c>
      <c r="O126" s="25" t="str">
        <f>IF(OR($B126="",_自动清单!$G$16=""),"",SUMIFS(包装物料出入库明细!$J$4:$J$2003,包装物料出入库明细!$D$4:$D$2003,$B126,包装物料出入库明细!$E$4:$E$2003,_自动清单!$G$16,包装物料出入库明细!$B$4:$B$2003,"&gt;="&amp;$AF$1,包装物料出入库明细!$B$4:$B$2003,"&lt;="&amp;$AF$2))</f>
        <v/>
      </c>
      <c r="P126" s="25" t="str">
        <f>IF(OR($B126="",_自动清单!$G$17=""),"",SUMIFS(包装物料出入库明细!$J$4:$J$2003,包装物料出入库明细!$D$4:$D$2003,$B126,包装物料出入库明细!$E$4:$E$2003,_自动清单!$G$17,包装物料出入库明细!$B$4:$B$2003,"&gt;="&amp;$AF$1,包装物料出入库明细!$B$4:$B$2003,"&lt;="&amp;$AF$2))</f>
        <v/>
      </c>
      <c r="Q126" s="25" t="str">
        <f>IF(OR($B126="",_自动清单!$G$18=""),"",SUMIFS(包装物料出入库明细!$J$4:$J$2003,包装物料出入库明细!$D$4:$D$2003,$B126,包装物料出入库明细!$E$4:$E$2003,_自动清单!$G$18,包装物料出入库明细!$B$4:$B$2003,"&gt;="&amp;$AF$1,包装物料出入库明细!$B$4:$B$2003,"&lt;="&amp;$AF$2))</f>
        <v/>
      </c>
      <c r="R126" s="25" t="str">
        <f>IF(OR($B126="",_自动清单!$G$19=""),"",SUMIFS(包装物料出入库明细!$J$4:$J$2003,包装物料出入库明细!$D$4:$D$2003,$B126,包装物料出入库明细!$E$4:$E$2003,_自动清单!$G$19,包装物料出入库明细!$B$4:$B$2003,"&gt;="&amp;$AF$1,包装物料出入库明细!$B$4:$B$2003,"&lt;="&amp;$AF$2))</f>
        <v/>
      </c>
      <c r="S126" s="25" t="str">
        <f>IF(OR($B126="",_自动清单!$G$20=""),"",SUMIFS(包装物料出入库明细!$J$4:$J$2003,包装物料出入库明细!$D$4:$D$2003,$B126,包装物料出入库明细!$E$4:$E$2003,_自动清单!$G$20,包装物料出入库明细!$B$4:$B$2003,"&gt;="&amp;$AF$1,包装物料出入库明细!$B$4:$B$2003,"&lt;="&amp;$AF$2))</f>
        <v/>
      </c>
      <c r="T126" s="25" t="str">
        <f>IF(OR($B126="",_自动清单!$G$21=""),"",SUMIFS(包装物料出入库明细!$J$4:$J$2003,包装物料出入库明细!$D$4:$D$2003,$B126,包装物料出入库明细!$E$4:$E$2003,_自动清单!$G$21,包装物料出入库明细!$B$4:$B$2003,"&gt;="&amp;$AF$1,包装物料出入库明细!$B$4:$B$2003,"&lt;="&amp;$AF$2))</f>
        <v/>
      </c>
      <c r="U126" s="25" t="str">
        <f>IF($B126="","",SUMIFS(包装物料出入库明细!$J$4:$J$2003,包装物料出入库明细!$D$4:$D$2003,$B126,包装物料出入库明细!$B$4:$B$2003,"&gt;="&amp;$AF$1,包装物料出入库明细!$B$4:$B$2003,"&lt;="&amp;$AF$2)-SUM($C126:$T126))</f>
        <v/>
      </c>
      <c r="V126" s="25" t="str">
        <f t="shared" si="5"/>
        <v/>
      </c>
      <c r="W126" s="56" t="str">
        <f>IF($B126="","",SUMIFS(包装物料出入库明细!$K$4:$K$2003,包装物料出入库明细!$D$4:$D$2003,$B126,包装物料出入库明细!$B$4:$B$2003,"&gt;="&amp;$AF$1,包装物料出入库明细!$B$4:$B$2003,"&lt;="&amp;$AF$2))</f>
        <v/>
      </c>
      <c r="X126" s="25" t="str">
        <f t="shared" si="6"/>
        <v/>
      </c>
      <c r="Y126" s="26" t="str">
        <f>IF($B126="","",ROUND(SUMIFS(包装物料出入库明细!$N$4:$N$2003,包装物料出入库明细!$D$4:$D$2003,$B126,包装物料出入库明细!$H$4:$H$2003,"销售出库",包装物料出入库明细!$B$4:$B$2003,"&gt;="&amp;$AF$1,包装物料出入库明细!$B$4:$B$2003,"&lt;="&amp;$AF$2),2))</f>
        <v/>
      </c>
      <c r="Z126" s="26" t="str">
        <f>IF($B126="","",ROUND(SUMIFS(包装物料出入库明细!$N$4:$N$2003,包装物料出入库明细!$D$4:$D$2003,$B126,包装物料出入库明细!$H$4:$H$2003,"销售出库",包装物料出入库明细!$P$4:$P$2003,"已收讫",包装物料出入库明细!$B$4:$B$2003,"&gt;="&amp;$AF$1,包装物料出入库明细!$B$4:$B$2003,"&lt;="&amp;$AF$2),2))</f>
        <v/>
      </c>
      <c r="AA126" s="26" t="str">
        <f t="shared" si="7"/>
        <v/>
      </c>
      <c r="AB126" s="41"/>
    </row>
    <row r="127" spans="1:28">
      <c r="A127" s="24" t="str">
        <f t="shared" si="4"/>
        <v/>
      </c>
      <c r="B127" s="24" t="str">
        <f>IFERROR(INDEX(_自动清单!$O$4:$O$203,ROW()-3),"")</f>
        <v/>
      </c>
      <c r="C127" s="25" t="str">
        <f>IF(OR($B127="",_自动清单!$G$4=""),"",SUMIFS(包装物料出入库明细!$J$4:$J$2003,包装物料出入库明细!$D$4:$D$2003,$B127,包装物料出入库明细!$E$4:$E$2003,_自动清单!$G$4,包装物料出入库明细!$B$4:$B$2003,"&gt;="&amp;$AF$1,包装物料出入库明细!$B$4:$B$2003,"&lt;="&amp;$AF$2))</f>
        <v/>
      </c>
      <c r="D127" s="25" t="str">
        <f>IF(OR($B127="",_自动清单!$G$5=""),"",SUMIFS(包装物料出入库明细!$J$4:$J$2003,包装物料出入库明细!$D$4:$D$2003,$B127,包装物料出入库明细!$E$4:$E$2003,_自动清单!$G$5,包装物料出入库明细!$B$4:$B$2003,"&gt;="&amp;$AF$1,包装物料出入库明细!$B$4:$B$2003,"&lt;="&amp;$AF$2))</f>
        <v/>
      </c>
      <c r="E127" s="25" t="str">
        <f>IF(OR($B127="",_自动清单!$G$6=""),"",SUMIFS(包装物料出入库明细!$J$4:$J$2003,包装物料出入库明细!$D$4:$D$2003,$B127,包装物料出入库明细!$E$4:$E$2003,_自动清单!$G$6,包装物料出入库明细!$B$4:$B$2003,"&gt;="&amp;$AF$1,包装物料出入库明细!$B$4:$B$2003,"&lt;="&amp;$AF$2))</f>
        <v/>
      </c>
      <c r="F127" s="25" t="str">
        <f>IF(OR($B127="",_自动清单!$G$7=""),"",SUMIFS(包装物料出入库明细!$J$4:$J$2003,包装物料出入库明细!$D$4:$D$2003,$B127,包装物料出入库明细!$E$4:$E$2003,_自动清单!$G$7,包装物料出入库明细!$B$4:$B$2003,"&gt;="&amp;$AF$1,包装物料出入库明细!$B$4:$B$2003,"&lt;="&amp;$AF$2))</f>
        <v/>
      </c>
      <c r="G127" s="25" t="str">
        <f>IF(OR($B127="",_自动清单!$G$8=""),"",SUMIFS(包装物料出入库明细!$J$4:$J$2003,包装物料出入库明细!$D$4:$D$2003,$B127,包装物料出入库明细!$E$4:$E$2003,_自动清单!$G$8,包装物料出入库明细!$B$4:$B$2003,"&gt;="&amp;$AF$1,包装物料出入库明细!$B$4:$B$2003,"&lt;="&amp;$AF$2))</f>
        <v/>
      </c>
      <c r="H127" s="25" t="str">
        <f>IF(OR($B127="",_自动清单!$G$9=""),"",SUMIFS(包装物料出入库明细!$J$4:$J$2003,包装物料出入库明细!$D$4:$D$2003,$B127,包装物料出入库明细!$E$4:$E$2003,_自动清单!$G$9,包装物料出入库明细!$B$4:$B$2003,"&gt;="&amp;$AF$1,包装物料出入库明细!$B$4:$B$2003,"&lt;="&amp;$AF$2))</f>
        <v/>
      </c>
      <c r="I127" s="25" t="str">
        <f>IF(OR($B127="",_自动清单!$G$10=""),"",SUMIFS(包装物料出入库明细!$J$4:$J$2003,包装物料出入库明细!$D$4:$D$2003,$B127,包装物料出入库明细!$E$4:$E$2003,_自动清单!$G$10,包装物料出入库明细!$B$4:$B$2003,"&gt;="&amp;$AF$1,包装物料出入库明细!$B$4:$B$2003,"&lt;="&amp;$AF$2))</f>
        <v/>
      </c>
      <c r="J127" s="25" t="str">
        <f>IF(OR($B127="",_自动清单!$G$11=""),"",SUMIFS(包装物料出入库明细!$J$4:$J$2003,包装物料出入库明细!$D$4:$D$2003,$B127,包装物料出入库明细!$E$4:$E$2003,_自动清单!$G$11,包装物料出入库明细!$B$4:$B$2003,"&gt;="&amp;$AF$1,包装物料出入库明细!$B$4:$B$2003,"&lt;="&amp;$AF$2))</f>
        <v/>
      </c>
      <c r="K127" s="25" t="str">
        <f>IF(OR($B127="",_自动清单!$G$12=""),"",SUMIFS(包装物料出入库明细!$J$4:$J$2003,包装物料出入库明细!$D$4:$D$2003,$B127,包装物料出入库明细!$E$4:$E$2003,_自动清单!$G$12,包装物料出入库明细!$B$4:$B$2003,"&gt;="&amp;$AF$1,包装物料出入库明细!$B$4:$B$2003,"&lt;="&amp;$AF$2))</f>
        <v/>
      </c>
      <c r="L127" s="25" t="str">
        <f>IF(OR($B127="",_自动清单!$G$13=""),"",SUMIFS(包装物料出入库明细!$J$4:$J$2003,包装物料出入库明细!$D$4:$D$2003,$B127,包装物料出入库明细!$E$4:$E$2003,_自动清单!$G$13,包装物料出入库明细!$B$4:$B$2003,"&gt;="&amp;$AF$1,包装物料出入库明细!$B$4:$B$2003,"&lt;="&amp;$AF$2))</f>
        <v/>
      </c>
      <c r="M127" s="25" t="str">
        <f>IF(OR($B127="",_自动清单!$G$14=""),"",SUMIFS(包装物料出入库明细!$J$4:$J$2003,包装物料出入库明细!$D$4:$D$2003,$B127,包装物料出入库明细!$E$4:$E$2003,_自动清单!$G$14,包装物料出入库明细!$B$4:$B$2003,"&gt;="&amp;$AF$1,包装物料出入库明细!$B$4:$B$2003,"&lt;="&amp;$AF$2))</f>
        <v/>
      </c>
      <c r="N127" s="25" t="str">
        <f>IF(OR($B127="",_自动清单!$G$15=""),"",SUMIFS(包装物料出入库明细!$J$4:$J$2003,包装物料出入库明细!$D$4:$D$2003,$B127,包装物料出入库明细!$E$4:$E$2003,_自动清单!$G$15,包装物料出入库明细!$B$4:$B$2003,"&gt;="&amp;$AF$1,包装物料出入库明细!$B$4:$B$2003,"&lt;="&amp;$AF$2))</f>
        <v/>
      </c>
      <c r="O127" s="25" t="str">
        <f>IF(OR($B127="",_自动清单!$G$16=""),"",SUMIFS(包装物料出入库明细!$J$4:$J$2003,包装物料出入库明细!$D$4:$D$2003,$B127,包装物料出入库明细!$E$4:$E$2003,_自动清单!$G$16,包装物料出入库明细!$B$4:$B$2003,"&gt;="&amp;$AF$1,包装物料出入库明细!$B$4:$B$2003,"&lt;="&amp;$AF$2))</f>
        <v/>
      </c>
      <c r="P127" s="25" t="str">
        <f>IF(OR($B127="",_自动清单!$G$17=""),"",SUMIFS(包装物料出入库明细!$J$4:$J$2003,包装物料出入库明细!$D$4:$D$2003,$B127,包装物料出入库明细!$E$4:$E$2003,_自动清单!$G$17,包装物料出入库明细!$B$4:$B$2003,"&gt;="&amp;$AF$1,包装物料出入库明细!$B$4:$B$2003,"&lt;="&amp;$AF$2))</f>
        <v/>
      </c>
      <c r="Q127" s="25" t="str">
        <f>IF(OR($B127="",_自动清单!$G$18=""),"",SUMIFS(包装物料出入库明细!$J$4:$J$2003,包装物料出入库明细!$D$4:$D$2003,$B127,包装物料出入库明细!$E$4:$E$2003,_自动清单!$G$18,包装物料出入库明细!$B$4:$B$2003,"&gt;="&amp;$AF$1,包装物料出入库明细!$B$4:$B$2003,"&lt;="&amp;$AF$2))</f>
        <v/>
      </c>
      <c r="R127" s="25" t="str">
        <f>IF(OR($B127="",_自动清单!$G$19=""),"",SUMIFS(包装物料出入库明细!$J$4:$J$2003,包装物料出入库明细!$D$4:$D$2003,$B127,包装物料出入库明细!$E$4:$E$2003,_自动清单!$G$19,包装物料出入库明细!$B$4:$B$2003,"&gt;="&amp;$AF$1,包装物料出入库明细!$B$4:$B$2003,"&lt;="&amp;$AF$2))</f>
        <v/>
      </c>
      <c r="S127" s="25" t="str">
        <f>IF(OR($B127="",_自动清单!$G$20=""),"",SUMIFS(包装物料出入库明细!$J$4:$J$2003,包装物料出入库明细!$D$4:$D$2003,$B127,包装物料出入库明细!$E$4:$E$2003,_自动清单!$G$20,包装物料出入库明细!$B$4:$B$2003,"&gt;="&amp;$AF$1,包装物料出入库明细!$B$4:$B$2003,"&lt;="&amp;$AF$2))</f>
        <v/>
      </c>
      <c r="T127" s="25" t="str">
        <f>IF(OR($B127="",_自动清单!$G$21=""),"",SUMIFS(包装物料出入库明细!$J$4:$J$2003,包装物料出入库明细!$D$4:$D$2003,$B127,包装物料出入库明细!$E$4:$E$2003,_自动清单!$G$21,包装物料出入库明细!$B$4:$B$2003,"&gt;="&amp;$AF$1,包装物料出入库明细!$B$4:$B$2003,"&lt;="&amp;$AF$2))</f>
        <v/>
      </c>
      <c r="U127" s="25" t="str">
        <f>IF($B127="","",SUMIFS(包装物料出入库明细!$J$4:$J$2003,包装物料出入库明细!$D$4:$D$2003,$B127,包装物料出入库明细!$B$4:$B$2003,"&gt;="&amp;$AF$1,包装物料出入库明细!$B$4:$B$2003,"&lt;="&amp;$AF$2)-SUM($C127:$T127))</f>
        <v/>
      </c>
      <c r="V127" s="25" t="str">
        <f t="shared" si="5"/>
        <v/>
      </c>
      <c r="W127" s="56" t="str">
        <f>IF($B127="","",SUMIFS(包装物料出入库明细!$K$4:$K$2003,包装物料出入库明细!$D$4:$D$2003,$B127,包装物料出入库明细!$B$4:$B$2003,"&gt;="&amp;$AF$1,包装物料出入库明细!$B$4:$B$2003,"&lt;="&amp;$AF$2))</f>
        <v/>
      </c>
      <c r="X127" s="25" t="str">
        <f t="shared" si="6"/>
        <v/>
      </c>
      <c r="Y127" s="26" t="str">
        <f>IF($B127="","",ROUND(SUMIFS(包装物料出入库明细!$N$4:$N$2003,包装物料出入库明细!$D$4:$D$2003,$B127,包装物料出入库明细!$H$4:$H$2003,"销售出库",包装物料出入库明细!$B$4:$B$2003,"&gt;="&amp;$AF$1,包装物料出入库明细!$B$4:$B$2003,"&lt;="&amp;$AF$2),2))</f>
        <v/>
      </c>
      <c r="Z127" s="26" t="str">
        <f>IF($B127="","",ROUND(SUMIFS(包装物料出入库明细!$N$4:$N$2003,包装物料出入库明细!$D$4:$D$2003,$B127,包装物料出入库明细!$H$4:$H$2003,"销售出库",包装物料出入库明细!$P$4:$P$2003,"已收讫",包装物料出入库明细!$B$4:$B$2003,"&gt;="&amp;$AF$1,包装物料出入库明细!$B$4:$B$2003,"&lt;="&amp;$AF$2),2))</f>
        <v/>
      </c>
      <c r="AA127" s="26" t="str">
        <f t="shared" si="7"/>
        <v/>
      </c>
      <c r="AB127" s="41"/>
    </row>
    <row r="128" spans="1:28">
      <c r="A128" s="24" t="str">
        <f t="shared" si="4"/>
        <v/>
      </c>
      <c r="B128" s="24" t="str">
        <f>IFERROR(INDEX(_自动清单!$O$4:$O$203,ROW()-3),"")</f>
        <v/>
      </c>
      <c r="C128" s="25" t="str">
        <f>IF(OR($B128="",_自动清单!$G$4=""),"",SUMIFS(包装物料出入库明细!$J$4:$J$2003,包装物料出入库明细!$D$4:$D$2003,$B128,包装物料出入库明细!$E$4:$E$2003,_自动清单!$G$4,包装物料出入库明细!$B$4:$B$2003,"&gt;="&amp;$AF$1,包装物料出入库明细!$B$4:$B$2003,"&lt;="&amp;$AF$2))</f>
        <v/>
      </c>
      <c r="D128" s="25" t="str">
        <f>IF(OR($B128="",_自动清单!$G$5=""),"",SUMIFS(包装物料出入库明细!$J$4:$J$2003,包装物料出入库明细!$D$4:$D$2003,$B128,包装物料出入库明细!$E$4:$E$2003,_自动清单!$G$5,包装物料出入库明细!$B$4:$B$2003,"&gt;="&amp;$AF$1,包装物料出入库明细!$B$4:$B$2003,"&lt;="&amp;$AF$2))</f>
        <v/>
      </c>
      <c r="E128" s="25" t="str">
        <f>IF(OR($B128="",_自动清单!$G$6=""),"",SUMIFS(包装物料出入库明细!$J$4:$J$2003,包装物料出入库明细!$D$4:$D$2003,$B128,包装物料出入库明细!$E$4:$E$2003,_自动清单!$G$6,包装物料出入库明细!$B$4:$B$2003,"&gt;="&amp;$AF$1,包装物料出入库明细!$B$4:$B$2003,"&lt;="&amp;$AF$2))</f>
        <v/>
      </c>
      <c r="F128" s="25" t="str">
        <f>IF(OR($B128="",_自动清单!$G$7=""),"",SUMIFS(包装物料出入库明细!$J$4:$J$2003,包装物料出入库明细!$D$4:$D$2003,$B128,包装物料出入库明细!$E$4:$E$2003,_自动清单!$G$7,包装物料出入库明细!$B$4:$B$2003,"&gt;="&amp;$AF$1,包装物料出入库明细!$B$4:$B$2003,"&lt;="&amp;$AF$2))</f>
        <v/>
      </c>
      <c r="G128" s="25" t="str">
        <f>IF(OR($B128="",_自动清单!$G$8=""),"",SUMIFS(包装物料出入库明细!$J$4:$J$2003,包装物料出入库明细!$D$4:$D$2003,$B128,包装物料出入库明细!$E$4:$E$2003,_自动清单!$G$8,包装物料出入库明细!$B$4:$B$2003,"&gt;="&amp;$AF$1,包装物料出入库明细!$B$4:$B$2003,"&lt;="&amp;$AF$2))</f>
        <v/>
      </c>
      <c r="H128" s="25" t="str">
        <f>IF(OR($B128="",_自动清单!$G$9=""),"",SUMIFS(包装物料出入库明细!$J$4:$J$2003,包装物料出入库明细!$D$4:$D$2003,$B128,包装物料出入库明细!$E$4:$E$2003,_自动清单!$G$9,包装物料出入库明细!$B$4:$B$2003,"&gt;="&amp;$AF$1,包装物料出入库明细!$B$4:$B$2003,"&lt;="&amp;$AF$2))</f>
        <v/>
      </c>
      <c r="I128" s="25" t="str">
        <f>IF(OR($B128="",_自动清单!$G$10=""),"",SUMIFS(包装物料出入库明细!$J$4:$J$2003,包装物料出入库明细!$D$4:$D$2003,$B128,包装物料出入库明细!$E$4:$E$2003,_自动清单!$G$10,包装物料出入库明细!$B$4:$B$2003,"&gt;="&amp;$AF$1,包装物料出入库明细!$B$4:$B$2003,"&lt;="&amp;$AF$2))</f>
        <v/>
      </c>
      <c r="J128" s="25" t="str">
        <f>IF(OR($B128="",_自动清单!$G$11=""),"",SUMIFS(包装物料出入库明细!$J$4:$J$2003,包装物料出入库明细!$D$4:$D$2003,$B128,包装物料出入库明细!$E$4:$E$2003,_自动清单!$G$11,包装物料出入库明细!$B$4:$B$2003,"&gt;="&amp;$AF$1,包装物料出入库明细!$B$4:$B$2003,"&lt;="&amp;$AF$2))</f>
        <v/>
      </c>
      <c r="K128" s="25" t="str">
        <f>IF(OR($B128="",_自动清单!$G$12=""),"",SUMIFS(包装物料出入库明细!$J$4:$J$2003,包装物料出入库明细!$D$4:$D$2003,$B128,包装物料出入库明细!$E$4:$E$2003,_自动清单!$G$12,包装物料出入库明细!$B$4:$B$2003,"&gt;="&amp;$AF$1,包装物料出入库明细!$B$4:$B$2003,"&lt;="&amp;$AF$2))</f>
        <v/>
      </c>
      <c r="L128" s="25" t="str">
        <f>IF(OR($B128="",_自动清单!$G$13=""),"",SUMIFS(包装物料出入库明细!$J$4:$J$2003,包装物料出入库明细!$D$4:$D$2003,$B128,包装物料出入库明细!$E$4:$E$2003,_自动清单!$G$13,包装物料出入库明细!$B$4:$B$2003,"&gt;="&amp;$AF$1,包装物料出入库明细!$B$4:$B$2003,"&lt;="&amp;$AF$2))</f>
        <v/>
      </c>
      <c r="M128" s="25" t="str">
        <f>IF(OR($B128="",_自动清单!$G$14=""),"",SUMIFS(包装物料出入库明细!$J$4:$J$2003,包装物料出入库明细!$D$4:$D$2003,$B128,包装物料出入库明细!$E$4:$E$2003,_自动清单!$G$14,包装物料出入库明细!$B$4:$B$2003,"&gt;="&amp;$AF$1,包装物料出入库明细!$B$4:$B$2003,"&lt;="&amp;$AF$2))</f>
        <v/>
      </c>
      <c r="N128" s="25" t="str">
        <f>IF(OR($B128="",_自动清单!$G$15=""),"",SUMIFS(包装物料出入库明细!$J$4:$J$2003,包装物料出入库明细!$D$4:$D$2003,$B128,包装物料出入库明细!$E$4:$E$2003,_自动清单!$G$15,包装物料出入库明细!$B$4:$B$2003,"&gt;="&amp;$AF$1,包装物料出入库明细!$B$4:$B$2003,"&lt;="&amp;$AF$2))</f>
        <v/>
      </c>
      <c r="O128" s="25" t="str">
        <f>IF(OR($B128="",_自动清单!$G$16=""),"",SUMIFS(包装物料出入库明细!$J$4:$J$2003,包装物料出入库明细!$D$4:$D$2003,$B128,包装物料出入库明细!$E$4:$E$2003,_自动清单!$G$16,包装物料出入库明细!$B$4:$B$2003,"&gt;="&amp;$AF$1,包装物料出入库明细!$B$4:$B$2003,"&lt;="&amp;$AF$2))</f>
        <v/>
      </c>
      <c r="P128" s="25" t="str">
        <f>IF(OR($B128="",_自动清单!$G$17=""),"",SUMIFS(包装物料出入库明细!$J$4:$J$2003,包装物料出入库明细!$D$4:$D$2003,$B128,包装物料出入库明细!$E$4:$E$2003,_自动清单!$G$17,包装物料出入库明细!$B$4:$B$2003,"&gt;="&amp;$AF$1,包装物料出入库明细!$B$4:$B$2003,"&lt;="&amp;$AF$2))</f>
        <v/>
      </c>
      <c r="Q128" s="25" t="str">
        <f>IF(OR($B128="",_自动清单!$G$18=""),"",SUMIFS(包装物料出入库明细!$J$4:$J$2003,包装物料出入库明细!$D$4:$D$2003,$B128,包装物料出入库明细!$E$4:$E$2003,_自动清单!$G$18,包装物料出入库明细!$B$4:$B$2003,"&gt;="&amp;$AF$1,包装物料出入库明细!$B$4:$B$2003,"&lt;="&amp;$AF$2))</f>
        <v/>
      </c>
      <c r="R128" s="25" t="str">
        <f>IF(OR($B128="",_自动清单!$G$19=""),"",SUMIFS(包装物料出入库明细!$J$4:$J$2003,包装物料出入库明细!$D$4:$D$2003,$B128,包装物料出入库明细!$E$4:$E$2003,_自动清单!$G$19,包装物料出入库明细!$B$4:$B$2003,"&gt;="&amp;$AF$1,包装物料出入库明细!$B$4:$B$2003,"&lt;="&amp;$AF$2))</f>
        <v/>
      </c>
      <c r="S128" s="25" t="str">
        <f>IF(OR($B128="",_自动清单!$G$20=""),"",SUMIFS(包装物料出入库明细!$J$4:$J$2003,包装物料出入库明细!$D$4:$D$2003,$B128,包装物料出入库明细!$E$4:$E$2003,_自动清单!$G$20,包装物料出入库明细!$B$4:$B$2003,"&gt;="&amp;$AF$1,包装物料出入库明细!$B$4:$B$2003,"&lt;="&amp;$AF$2))</f>
        <v/>
      </c>
      <c r="T128" s="25" t="str">
        <f>IF(OR($B128="",_自动清单!$G$21=""),"",SUMIFS(包装物料出入库明细!$J$4:$J$2003,包装物料出入库明细!$D$4:$D$2003,$B128,包装物料出入库明细!$E$4:$E$2003,_自动清单!$G$21,包装物料出入库明细!$B$4:$B$2003,"&gt;="&amp;$AF$1,包装物料出入库明细!$B$4:$B$2003,"&lt;="&amp;$AF$2))</f>
        <v/>
      </c>
      <c r="U128" s="25" t="str">
        <f>IF($B128="","",SUMIFS(包装物料出入库明细!$J$4:$J$2003,包装物料出入库明细!$D$4:$D$2003,$B128,包装物料出入库明细!$B$4:$B$2003,"&gt;="&amp;$AF$1,包装物料出入库明细!$B$4:$B$2003,"&lt;="&amp;$AF$2)-SUM($C128:$T128))</f>
        <v/>
      </c>
      <c r="V128" s="25" t="str">
        <f t="shared" si="5"/>
        <v/>
      </c>
      <c r="W128" s="56" t="str">
        <f>IF($B128="","",SUMIFS(包装物料出入库明细!$K$4:$K$2003,包装物料出入库明细!$D$4:$D$2003,$B128,包装物料出入库明细!$B$4:$B$2003,"&gt;="&amp;$AF$1,包装物料出入库明细!$B$4:$B$2003,"&lt;="&amp;$AF$2))</f>
        <v/>
      </c>
      <c r="X128" s="25" t="str">
        <f t="shared" si="6"/>
        <v/>
      </c>
      <c r="Y128" s="26" t="str">
        <f>IF($B128="","",ROUND(SUMIFS(包装物料出入库明细!$N$4:$N$2003,包装物料出入库明细!$D$4:$D$2003,$B128,包装物料出入库明细!$H$4:$H$2003,"销售出库",包装物料出入库明细!$B$4:$B$2003,"&gt;="&amp;$AF$1,包装物料出入库明细!$B$4:$B$2003,"&lt;="&amp;$AF$2),2))</f>
        <v/>
      </c>
      <c r="Z128" s="26" t="str">
        <f>IF($B128="","",ROUND(SUMIFS(包装物料出入库明细!$N$4:$N$2003,包装物料出入库明细!$D$4:$D$2003,$B128,包装物料出入库明细!$H$4:$H$2003,"销售出库",包装物料出入库明细!$P$4:$P$2003,"已收讫",包装物料出入库明细!$B$4:$B$2003,"&gt;="&amp;$AF$1,包装物料出入库明细!$B$4:$B$2003,"&lt;="&amp;$AF$2),2))</f>
        <v/>
      </c>
      <c r="AA128" s="26" t="str">
        <f t="shared" si="7"/>
        <v/>
      </c>
      <c r="AB128" s="41"/>
    </row>
    <row r="129" spans="1:28">
      <c r="A129" s="24" t="str">
        <f t="shared" si="4"/>
        <v/>
      </c>
      <c r="B129" s="24" t="str">
        <f>IFERROR(INDEX(_自动清单!$O$4:$O$203,ROW()-3),"")</f>
        <v/>
      </c>
      <c r="C129" s="25" t="str">
        <f>IF(OR($B129="",_自动清单!$G$4=""),"",SUMIFS(包装物料出入库明细!$J$4:$J$2003,包装物料出入库明细!$D$4:$D$2003,$B129,包装物料出入库明细!$E$4:$E$2003,_自动清单!$G$4,包装物料出入库明细!$B$4:$B$2003,"&gt;="&amp;$AF$1,包装物料出入库明细!$B$4:$B$2003,"&lt;="&amp;$AF$2))</f>
        <v/>
      </c>
      <c r="D129" s="25" t="str">
        <f>IF(OR($B129="",_自动清单!$G$5=""),"",SUMIFS(包装物料出入库明细!$J$4:$J$2003,包装物料出入库明细!$D$4:$D$2003,$B129,包装物料出入库明细!$E$4:$E$2003,_自动清单!$G$5,包装物料出入库明细!$B$4:$B$2003,"&gt;="&amp;$AF$1,包装物料出入库明细!$B$4:$B$2003,"&lt;="&amp;$AF$2))</f>
        <v/>
      </c>
      <c r="E129" s="25" t="str">
        <f>IF(OR($B129="",_自动清单!$G$6=""),"",SUMIFS(包装物料出入库明细!$J$4:$J$2003,包装物料出入库明细!$D$4:$D$2003,$B129,包装物料出入库明细!$E$4:$E$2003,_自动清单!$G$6,包装物料出入库明细!$B$4:$B$2003,"&gt;="&amp;$AF$1,包装物料出入库明细!$B$4:$B$2003,"&lt;="&amp;$AF$2))</f>
        <v/>
      </c>
      <c r="F129" s="25" t="str">
        <f>IF(OR($B129="",_自动清单!$G$7=""),"",SUMIFS(包装物料出入库明细!$J$4:$J$2003,包装物料出入库明细!$D$4:$D$2003,$B129,包装物料出入库明细!$E$4:$E$2003,_自动清单!$G$7,包装物料出入库明细!$B$4:$B$2003,"&gt;="&amp;$AF$1,包装物料出入库明细!$B$4:$B$2003,"&lt;="&amp;$AF$2))</f>
        <v/>
      </c>
      <c r="G129" s="25" t="str">
        <f>IF(OR($B129="",_自动清单!$G$8=""),"",SUMIFS(包装物料出入库明细!$J$4:$J$2003,包装物料出入库明细!$D$4:$D$2003,$B129,包装物料出入库明细!$E$4:$E$2003,_自动清单!$G$8,包装物料出入库明细!$B$4:$B$2003,"&gt;="&amp;$AF$1,包装物料出入库明细!$B$4:$B$2003,"&lt;="&amp;$AF$2))</f>
        <v/>
      </c>
      <c r="H129" s="25" t="str">
        <f>IF(OR($B129="",_自动清单!$G$9=""),"",SUMIFS(包装物料出入库明细!$J$4:$J$2003,包装物料出入库明细!$D$4:$D$2003,$B129,包装物料出入库明细!$E$4:$E$2003,_自动清单!$G$9,包装物料出入库明细!$B$4:$B$2003,"&gt;="&amp;$AF$1,包装物料出入库明细!$B$4:$B$2003,"&lt;="&amp;$AF$2))</f>
        <v/>
      </c>
      <c r="I129" s="25" t="str">
        <f>IF(OR($B129="",_自动清单!$G$10=""),"",SUMIFS(包装物料出入库明细!$J$4:$J$2003,包装物料出入库明细!$D$4:$D$2003,$B129,包装物料出入库明细!$E$4:$E$2003,_自动清单!$G$10,包装物料出入库明细!$B$4:$B$2003,"&gt;="&amp;$AF$1,包装物料出入库明细!$B$4:$B$2003,"&lt;="&amp;$AF$2))</f>
        <v/>
      </c>
      <c r="J129" s="25" t="str">
        <f>IF(OR($B129="",_自动清单!$G$11=""),"",SUMIFS(包装物料出入库明细!$J$4:$J$2003,包装物料出入库明细!$D$4:$D$2003,$B129,包装物料出入库明细!$E$4:$E$2003,_自动清单!$G$11,包装物料出入库明细!$B$4:$B$2003,"&gt;="&amp;$AF$1,包装物料出入库明细!$B$4:$B$2003,"&lt;="&amp;$AF$2))</f>
        <v/>
      </c>
      <c r="K129" s="25" t="str">
        <f>IF(OR($B129="",_自动清单!$G$12=""),"",SUMIFS(包装物料出入库明细!$J$4:$J$2003,包装物料出入库明细!$D$4:$D$2003,$B129,包装物料出入库明细!$E$4:$E$2003,_自动清单!$G$12,包装物料出入库明细!$B$4:$B$2003,"&gt;="&amp;$AF$1,包装物料出入库明细!$B$4:$B$2003,"&lt;="&amp;$AF$2))</f>
        <v/>
      </c>
      <c r="L129" s="25" t="str">
        <f>IF(OR($B129="",_自动清单!$G$13=""),"",SUMIFS(包装物料出入库明细!$J$4:$J$2003,包装物料出入库明细!$D$4:$D$2003,$B129,包装物料出入库明细!$E$4:$E$2003,_自动清单!$G$13,包装物料出入库明细!$B$4:$B$2003,"&gt;="&amp;$AF$1,包装物料出入库明细!$B$4:$B$2003,"&lt;="&amp;$AF$2))</f>
        <v/>
      </c>
      <c r="M129" s="25" t="str">
        <f>IF(OR($B129="",_自动清单!$G$14=""),"",SUMIFS(包装物料出入库明细!$J$4:$J$2003,包装物料出入库明细!$D$4:$D$2003,$B129,包装物料出入库明细!$E$4:$E$2003,_自动清单!$G$14,包装物料出入库明细!$B$4:$B$2003,"&gt;="&amp;$AF$1,包装物料出入库明细!$B$4:$B$2003,"&lt;="&amp;$AF$2))</f>
        <v/>
      </c>
      <c r="N129" s="25" t="str">
        <f>IF(OR($B129="",_自动清单!$G$15=""),"",SUMIFS(包装物料出入库明细!$J$4:$J$2003,包装物料出入库明细!$D$4:$D$2003,$B129,包装物料出入库明细!$E$4:$E$2003,_自动清单!$G$15,包装物料出入库明细!$B$4:$B$2003,"&gt;="&amp;$AF$1,包装物料出入库明细!$B$4:$B$2003,"&lt;="&amp;$AF$2))</f>
        <v/>
      </c>
      <c r="O129" s="25" t="str">
        <f>IF(OR($B129="",_自动清单!$G$16=""),"",SUMIFS(包装物料出入库明细!$J$4:$J$2003,包装物料出入库明细!$D$4:$D$2003,$B129,包装物料出入库明细!$E$4:$E$2003,_自动清单!$G$16,包装物料出入库明细!$B$4:$B$2003,"&gt;="&amp;$AF$1,包装物料出入库明细!$B$4:$B$2003,"&lt;="&amp;$AF$2))</f>
        <v/>
      </c>
      <c r="P129" s="25" t="str">
        <f>IF(OR($B129="",_自动清单!$G$17=""),"",SUMIFS(包装物料出入库明细!$J$4:$J$2003,包装物料出入库明细!$D$4:$D$2003,$B129,包装物料出入库明细!$E$4:$E$2003,_自动清单!$G$17,包装物料出入库明细!$B$4:$B$2003,"&gt;="&amp;$AF$1,包装物料出入库明细!$B$4:$B$2003,"&lt;="&amp;$AF$2))</f>
        <v/>
      </c>
      <c r="Q129" s="25" t="str">
        <f>IF(OR($B129="",_自动清单!$G$18=""),"",SUMIFS(包装物料出入库明细!$J$4:$J$2003,包装物料出入库明细!$D$4:$D$2003,$B129,包装物料出入库明细!$E$4:$E$2003,_自动清单!$G$18,包装物料出入库明细!$B$4:$B$2003,"&gt;="&amp;$AF$1,包装物料出入库明细!$B$4:$B$2003,"&lt;="&amp;$AF$2))</f>
        <v/>
      </c>
      <c r="R129" s="25" t="str">
        <f>IF(OR($B129="",_自动清单!$G$19=""),"",SUMIFS(包装物料出入库明细!$J$4:$J$2003,包装物料出入库明细!$D$4:$D$2003,$B129,包装物料出入库明细!$E$4:$E$2003,_自动清单!$G$19,包装物料出入库明细!$B$4:$B$2003,"&gt;="&amp;$AF$1,包装物料出入库明细!$B$4:$B$2003,"&lt;="&amp;$AF$2))</f>
        <v/>
      </c>
      <c r="S129" s="25" t="str">
        <f>IF(OR($B129="",_自动清单!$G$20=""),"",SUMIFS(包装物料出入库明细!$J$4:$J$2003,包装物料出入库明细!$D$4:$D$2003,$B129,包装物料出入库明细!$E$4:$E$2003,_自动清单!$G$20,包装物料出入库明细!$B$4:$B$2003,"&gt;="&amp;$AF$1,包装物料出入库明细!$B$4:$B$2003,"&lt;="&amp;$AF$2))</f>
        <v/>
      </c>
      <c r="T129" s="25" t="str">
        <f>IF(OR($B129="",_自动清单!$G$21=""),"",SUMIFS(包装物料出入库明细!$J$4:$J$2003,包装物料出入库明细!$D$4:$D$2003,$B129,包装物料出入库明细!$E$4:$E$2003,_自动清单!$G$21,包装物料出入库明细!$B$4:$B$2003,"&gt;="&amp;$AF$1,包装物料出入库明细!$B$4:$B$2003,"&lt;="&amp;$AF$2))</f>
        <v/>
      </c>
      <c r="U129" s="25" t="str">
        <f>IF($B129="","",SUMIFS(包装物料出入库明细!$J$4:$J$2003,包装物料出入库明细!$D$4:$D$2003,$B129,包装物料出入库明细!$B$4:$B$2003,"&gt;="&amp;$AF$1,包装物料出入库明细!$B$4:$B$2003,"&lt;="&amp;$AF$2)-SUM($C129:$T129))</f>
        <v/>
      </c>
      <c r="V129" s="25" t="str">
        <f t="shared" si="5"/>
        <v/>
      </c>
      <c r="W129" s="56" t="str">
        <f>IF($B129="","",SUMIFS(包装物料出入库明细!$K$4:$K$2003,包装物料出入库明细!$D$4:$D$2003,$B129,包装物料出入库明细!$B$4:$B$2003,"&gt;="&amp;$AF$1,包装物料出入库明细!$B$4:$B$2003,"&lt;="&amp;$AF$2))</f>
        <v/>
      </c>
      <c r="X129" s="25" t="str">
        <f t="shared" si="6"/>
        <v/>
      </c>
      <c r="Y129" s="26" t="str">
        <f>IF($B129="","",ROUND(SUMIFS(包装物料出入库明细!$N$4:$N$2003,包装物料出入库明细!$D$4:$D$2003,$B129,包装物料出入库明细!$H$4:$H$2003,"销售出库",包装物料出入库明细!$B$4:$B$2003,"&gt;="&amp;$AF$1,包装物料出入库明细!$B$4:$B$2003,"&lt;="&amp;$AF$2),2))</f>
        <v/>
      </c>
      <c r="Z129" s="26" t="str">
        <f>IF($B129="","",ROUND(SUMIFS(包装物料出入库明细!$N$4:$N$2003,包装物料出入库明细!$D$4:$D$2003,$B129,包装物料出入库明细!$H$4:$H$2003,"销售出库",包装物料出入库明细!$P$4:$P$2003,"已收讫",包装物料出入库明细!$B$4:$B$2003,"&gt;="&amp;$AF$1,包装物料出入库明细!$B$4:$B$2003,"&lt;="&amp;$AF$2),2))</f>
        <v/>
      </c>
      <c r="AA129" s="26" t="str">
        <f t="shared" si="7"/>
        <v/>
      </c>
      <c r="AB129" s="41"/>
    </row>
    <row r="130" spans="1:28">
      <c r="A130" s="24" t="str">
        <f t="shared" si="4"/>
        <v/>
      </c>
      <c r="B130" s="24" t="str">
        <f>IFERROR(INDEX(_自动清单!$O$4:$O$203,ROW()-3),"")</f>
        <v/>
      </c>
      <c r="C130" s="25" t="str">
        <f>IF(OR($B130="",_自动清单!$G$4=""),"",SUMIFS(包装物料出入库明细!$J$4:$J$2003,包装物料出入库明细!$D$4:$D$2003,$B130,包装物料出入库明细!$E$4:$E$2003,_自动清单!$G$4,包装物料出入库明细!$B$4:$B$2003,"&gt;="&amp;$AF$1,包装物料出入库明细!$B$4:$B$2003,"&lt;="&amp;$AF$2))</f>
        <v/>
      </c>
      <c r="D130" s="25" t="str">
        <f>IF(OR($B130="",_自动清单!$G$5=""),"",SUMIFS(包装物料出入库明细!$J$4:$J$2003,包装物料出入库明细!$D$4:$D$2003,$B130,包装物料出入库明细!$E$4:$E$2003,_自动清单!$G$5,包装物料出入库明细!$B$4:$B$2003,"&gt;="&amp;$AF$1,包装物料出入库明细!$B$4:$B$2003,"&lt;="&amp;$AF$2))</f>
        <v/>
      </c>
      <c r="E130" s="25" t="str">
        <f>IF(OR($B130="",_自动清单!$G$6=""),"",SUMIFS(包装物料出入库明细!$J$4:$J$2003,包装物料出入库明细!$D$4:$D$2003,$B130,包装物料出入库明细!$E$4:$E$2003,_自动清单!$G$6,包装物料出入库明细!$B$4:$B$2003,"&gt;="&amp;$AF$1,包装物料出入库明细!$B$4:$B$2003,"&lt;="&amp;$AF$2))</f>
        <v/>
      </c>
      <c r="F130" s="25" t="str">
        <f>IF(OR($B130="",_自动清单!$G$7=""),"",SUMIFS(包装物料出入库明细!$J$4:$J$2003,包装物料出入库明细!$D$4:$D$2003,$B130,包装物料出入库明细!$E$4:$E$2003,_自动清单!$G$7,包装物料出入库明细!$B$4:$B$2003,"&gt;="&amp;$AF$1,包装物料出入库明细!$B$4:$B$2003,"&lt;="&amp;$AF$2))</f>
        <v/>
      </c>
      <c r="G130" s="25" t="str">
        <f>IF(OR($B130="",_自动清单!$G$8=""),"",SUMIFS(包装物料出入库明细!$J$4:$J$2003,包装物料出入库明细!$D$4:$D$2003,$B130,包装物料出入库明细!$E$4:$E$2003,_自动清单!$G$8,包装物料出入库明细!$B$4:$B$2003,"&gt;="&amp;$AF$1,包装物料出入库明细!$B$4:$B$2003,"&lt;="&amp;$AF$2))</f>
        <v/>
      </c>
      <c r="H130" s="25" t="str">
        <f>IF(OR($B130="",_自动清单!$G$9=""),"",SUMIFS(包装物料出入库明细!$J$4:$J$2003,包装物料出入库明细!$D$4:$D$2003,$B130,包装物料出入库明细!$E$4:$E$2003,_自动清单!$G$9,包装物料出入库明细!$B$4:$B$2003,"&gt;="&amp;$AF$1,包装物料出入库明细!$B$4:$B$2003,"&lt;="&amp;$AF$2))</f>
        <v/>
      </c>
      <c r="I130" s="25" t="str">
        <f>IF(OR($B130="",_自动清单!$G$10=""),"",SUMIFS(包装物料出入库明细!$J$4:$J$2003,包装物料出入库明细!$D$4:$D$2003,$B130,包装物料出入库明细!$E$4:$E$2003,_自动清单!$G$10,包装物料出入库明细!$B$4:$B$2003,"&gt;="&amp;$AF$1,包装物料出入库明细!$B$4:$B$2003,"&lt;="&amp;$AF$2))</f>
        <v/>
      </c>
      <c r="J130" s="25" t="str">
        <f>IF(OR($B130="",_自动清单!$G$11=""),"",SUMIFS(包装物料出入库明细!$J$4:$J$2003,包装物料出入库明细!$D$4:$D$2003,$B130,包装物料出入库明细!$E$4:$E$2003,_自动清单!$G$11,包装物料出入库明细!$B$4:$B$2003,"&gt;="&amp;$AF$1,包装物料出入库明细!$B$4:$B$2003,"&lt;="&amp;$AF$2))</f>
        <v/>
      </c>
      <c r="K130" s="25" t="str">
        <f>IF(OR($B130="",_自动清单!$G$12=""),"",SUMIFS(包装物料出入库明细!$J$4:$J$2003,包装物料出入库明细!$D$4:$D$2003,$B130,包装物料出入库明细!$E$4:$E$2003,_自动清单!$G$12,包装物料出入库明细!$B$4:$B$2003,"&gt;="&amp;$AF$1,包装物料出入库明细!$B$4:$B$2003,"&lt;="&amp;$AF$2))</f>
        <v/>
      </c>
      <c r="L130" s="25" t="str">
        <f>IF(OR($B130="",_自动清单!$G$13=""),"",SUMIFS(包装物料出入库明细!$J$4:$J$2003,包装物料出入库明细!$D$4:$D$2003,$B130,包装物料出入库明细!$E$4:$E$2003,_自动清单!$G$13,包装物料出入库明细!$B$4:$B$2003,"&gt;="&amp;$AF$1,包装物料出入库明细!$B$4:$B$2003,"&lt;="&amp;$AF$2))</f>
        <v/>
      </c>
      <c r="M130" s="25" t="str">
        <f>IF(OR($B130="",_自动清单!$G$14=""),"",SUMIFS(包装物料出入库明细!$J$4:$J$2003,包装物料出入库明细!$D$4:$D$2003,$B130,包装物料出入库明细!$E$4:$E$2003,_自动清单!$G$14,包装物料出入库明细!$B$4:$B$2003,"&gt;="&amp;$AF$1,包装物料出入库明细!$B$4:$B$2003,"&lt;="&amp;$AF$2))</f>
        <v/>
      </c>
      <c r="N130" s="25" t="str">
        <f>IF(OR($B130="",_自动清单!$G$15=""),"",SUMIFS(包装物料出入库明细!$J$4:$J$2003,包装物料出入库明细!$D$4:$D$2003,$B130,包装物料出入库明细!$E$4:$E$2003,_自动清单!$G$15,包装物料出入库明细!$B$4:$B$2003,"&gt;="&amp;$AF$1,包装物料出入库明细!$B$4:$B$2003,"&lt;="&amp;$AF$2))</f>
        <v/>
      </c>
      <c r="O130" s="25" t="str">
        <f>IF(OR($B130="",_自动清单!$G$16=""),"",SUMIFS(包装物料出入库明细!$J$4:$J$2003,包装物料出入库明细!$D$4:$D$2003,$B130,包装物料出入库明细!$E$4:$E$2003,_自动清单!$G$16,包装物料出入库明细!$B$4:$B$2003,"&gt;="&amp;$AF$1,包装物料出入库明细!$B$4:$B$2003,"&lt;="&amp;$AF$2))</f>
        <v/>
      </c>
      <c r="P130" s="25" t="str">
        <f>IF(OR($B130="",_自动清单!$G$17=""),"",SUMIFS(包装物料出入库明细!$J$4:$J$2003,包装物料出入库明细!$D$4:$D$2003,$B130,包装物料出入库明细!$E$4:$E$2003,_自动清单!$G$17,包装物料出入库明细!$B$4:$B$2003,"&gt;="&amp;$AF$1,包装物料出入库明细!$B$4:$B$2003,"&lt;="&amp;$AF$2))</f>
        <v/>
      </c>
      <c r="Q130" s="25" t="str">
        <f>IF(OR($B130="",_自动清单!$G$18=""),"",SUMIFS(包装物料出入库明细!$J$4:$J$2003,包装物料出入库明细!$D$4:$D$2003,$B130,包装物料出入库明细!$E$4:$E$2003,_自动清单!$G$18,包装物料出入库明细!$B$4:$B$2003,"&gt;="&amp;$AF$1,包装物料出入库明细!$B$4:$B$2003,"&lt;="&amp;$AF$2))</f>
        <v/>
      </c>
      <c r="R130" s="25" t="str">
        <f>IF(OR($B130="",_自动清单!$G$19=""),"",SUMIFS(包装物料出入库明细!$J$4:$J$2003,包装物料出入库明细!$D$4:$D$2003,$B130,包装物料出入库明细!$E$4:$E$2003,_自动清单!$G$19,包装物料出入库明细!$B$4:$B$2003,"&gt;="&amp;$AF$1,包装物料出入库明细!$B$4:$B$2003,"&lt;="&amp;$AF$2))</f>
        <v/>
      </c>
      <c r="S130" s="25" t="str">
        <f>IF(OR($B130="",_自动清单!$G$20=""),"",SUMIFS(包装物料出入库明细!$J$4:$J$2003,包装物料出入库明细!$D$4:$D$2003,$B130,包装物料出入库明细!$E$4:$E$2003,_自动清单!$G$20,包装物料出入库明细!$B$4:$B$2003,"&gt;="&amp;$AF$1,包装物料出入库明细!$B$4:$B$2003,"&lt;="&amp;$AF$2))</f>
        <v/>
      </c>
      <c r="T130" s="25" t="str">
        <f>IF(OR($B130="",_自动清单!$G$21=""),"",SUMIFS(包装物料出入库明细!$J$4:$J$2003,包装物料出入库明细!$D$4:$D$2003,$B130,包装物料出入库明细!$E$4:$E$2003,_自动清单!$G$21,包装物料出入库明细!$B$4:$B$2003,"&gt;="&amp;$AF$1,包装物料出入库明细!$B$4:$B$2003,"&lt;="&amp;$AF$2))</f>
        <v/>
      </c>
      <c r="U130" s="25" t="str">
        <f>IF($B130="","",SUMIFS(包装物料出入库明细!$J$4:$J$2003,包装物料出入库明细!$D$4:$D$2003,$B130,包装物料出入库明细!$B$4:$B$2003,"&gt;="&amp;$AF$1,包装物料出入库明细!$B$4:$B$2003,"&lt;="&amp;$AF$2)-SUM($C130:$T130))</f>
        <v/>
      </c>
      <c r="V130" s="25" t="str">
        <f t="shared" si="5"/>
        <v/>
      </c>
      <c r="W130" s="56" t="str">
        <f>IF($B130="","",SUMIFS(包装物料出入库明细!$K$4:$K$2003,包装物料出入库明细!$D$4:$D$2003,$B130,包装物料出入库明细!$B$4:$B$2003,"&gt;="&amp;$AF$1,包装物料出入库明细!$B$4:$B$2003,"&lt;="&amp;$AF$2))</f>
        <v/>
      </c>
      <c r="X130" s="25" t="str">
        <f t="shared" si="6"/>
        <v/>
      </c>
      <c r="Y130" s="26" t="str">
        <f>IF($B130="","",ROUND(SUMIFS(包装物料出入库明细!$N$4:$N$2003,包装物料出入库明细!$D$4:$D$2003,$B130,包装物料出入库明细!$H$4:$H$2003,"销售出库",包装物料出入库明细!$B$4:$B$2003,"&gt;="&amp;$AF$1,包装物料出入库明细!$B$4:$B$2003,"&lt;="&amp;$AF$2),2))</f>
        <v/>
      </c>
      <c r="Z130" s="26" t="str">
        <f>IF($B130="","",ROUND(SUMIFS(包装物料出入库明细!$N$4:$N$2003,包装物料出入库明细!$D$4:$D$2003,$B130,包装物料出入库明细!$H$4:$H$2003,"销售出库",包装物料出入库明细!$P$4:$P$2003,"已收讫",包装物料出入库明细!$B$4:$B$2003,"&gt;="&amp;$AF$1,包装物料出入库明细!$B$4:$B$2003,"&lt;="&amp;$AF$2),2))</f>
        <v/>
      </c>
      <c r="AA130" s="26" t="str">
        <f t="shared" si="7"/>
        <v/>
      </c>
      <c r="AB130" s="41"/>
    </row>
    <row r="131" spans="1:28">
      <c r="A131" s="24" t="str">
        <f t="shared" si="4"/>
        <v/>
      </c>
      <c r="B131" s="24" t="str">
        <f>IFERROR(INDEX(_自动清单!$O$4:$O$203,ROW()-3),"")</f>
        <v/>
      </c>
      <c r="C131" s="25" t="str">
        <f>IF(OR($B131="",_自动清单!$G$4=""),"",SUMIFS(包装物料出入库明细!$J$4:$J$2003,包装物料出入库明细!$D$4:$D$2003,$B131,包装物料出入库明细!$E$4:$E$2003,_自动清单!$G$4,包装物料出入库明细!$B$4:$B$2003,"&gt;="&amp;$AF$1,包装物料出入库明细!$B$4:$B$2003,"&lt;="&amp;$AF$2))</f>
        <v/>
      </c>
      <c r="D131" s="25" t="str">
        <f>IF(OR($B131="",_自动清单!$G$5=""),"",SUMIFS(包装物料出入库明细!$J$4:$J$2003,包装物料出入库明细!$D$4:$D$2003,$B131,包装物料出入库明细!$E$4:$E$2003,_自动清单!$G$5,包装物料出入库明细!$B$4:$B$2003,"&gt;="&amp;$AF$1,包装物料出入库明细!$B$4:$B$2003,"&lt;="&amp;$AF$2))</f>
        <v/>
      </c>
      <c r="E131" s="25" t="str">
        <f>IF(OR($B131="",_自动清单!$G$6=""),"",SUMIFS(包装物料出入库明细!$J$4:$J$2003,包装物料出入库明细!$D$4:$D$2003,$B131,包装物料出入库明细!$E$4:$E$2003,_自动清单!$G$6,包装物料出入库明细!$B$4:$B$2003,"&gt;="&amp;$AF$1,包装物料出入库明细!$B$4:$B$2003,"&lt;="&amp;$AF$2))</f>
        <v/>
      </c>
      <c r="F131" s="25" t="str">
        <f>IF(OR($B131="",_自动清单!$G$7=""),"",SUMIFS(包装物料出入库明细!$J$4:$J$2003,包装物料出入库明细!$D$4:$D$2003,$B131,包装物料出入库明细!$E$4:$E$2003,_自动清单!$G$7,包装物料出入库明细!$B$4:$B$2003,"&gt;="&amp;$AF$1,包装物料出入库明细!$B$4:$B$2003,"&lt;="&amp;$AF$2))</f>
        <v/>
      </c>
      <c r="G131" s="25" t="str">
        <f>IF(OR($B131="",_自动清单!$G$8=""),"",SUMIFS(包装物料出入库明细!$J$4:$J$2003,包装物料出入库明细!$D$4:$D$2003,$B131,包装物料出入库明细!$E$4:$E$2003,_自动清单!$G$8,包装物料出入库明细!$B$4:$B$2003,"&gt;="&amp;$AF$1,包装物料出入库明细!$B$4:$B$2003,"&lt;="&amp;$AF$2))</f>
        <v/>
      </c>
      <c r="H131" s="25" t="str">
        <f>IF(OR($B131="",_自动清单!$G$9=""),"",SUMIFS(包装物料出入库明细!$J$4:$J$2003,包装物料出入库明细!$D$4:$D$2003,$B131,包装物料出入库明细!$E$4:$E$2003,_自动清单!$G$9,包装物料出入库明细!$B$4:$B$2003,"&gt;="&amp;$AF$1,包装物料出入库明细!$B$4:$B$2003,"&lt;="&amp;$AF$2))</f>
        <v/>
      </c>
      <c r="I131" s="25" t="str">
        <f>IF(OR($B131="",_自动清单!$G$10=""),"",SUMIFS(包装物料出入库明细!$J$4:$J$2003,包装物料出入库明细!$D$4:$D$2003,$B131,包装物料出入库明细!$E$4:$E$2003,_自动清单!$G$10,包装物料出入库明细!$B$4:$B$2003,"&gt;="&amp;$AF$1,包装物料出入库明细!$B$4:$B$2003,"&lt;="&amp;$AF$2))</f>
        <v/>
      </c>
      <c r="J131" s="25" t="str">
        <f>IF(OR($B131="",_自动清单!$G$11=""),"",SUMIFS(包装物料出入库明细!$J$4:$J$2003,包装物料出入库明细!$D$4:$D$2003,$B131,包装物料出入库明细!$E$4:$E$2003,_自动清单!$G$11,包装物料出入库明细!$B$4:$B$2003,"&gt;="&amp;$AF$1,包装物料出入库明细!$B$4:$B$2003,"&lt;="&amp;$AF$2))</f>
        <v/>
      </c>
      <c r="K131" s="25" t="str">
        <f>IF(OR($B131="",_自动清单!$G$12=""),"",SUMIFS(包装物料出入库明细!$J$4:$J$2003,包装物料出入库明细!$D$4:$D$2003,$B131,包装物料出入库明细!$E$4:$E$2003,_自动清单!$G$12,包装物料出入库明细!$B$4:$B$2003,"&gt;="&amp;$AF$1,包装物料出入库明细!$B$4:$B$2003,"&lt;="&amp;$AF$2))</f>
        <v/>
      </c>
      <c r="L131" s="25" t="str">
        <f>IF(OR($B131="",_自动清单!$G$13=""),"",SUMIFS(包装物料出入库明细!$J$4:$J$2003,包装物料出入库明细!$D$4:$D$2003,$B131,包装物料出入库明细!$E$4:$E$2003,_自动清单!$G$13,包装物料出入库明细!$B$4:$B$2003,"&gt;="&amp;$AF$1,包装物料出入库明细!$B$4:$B$2003,"&lt;="&amp;$AF$2))</f>
        <v/>
      </c>
      <c r="M131" s="25" t="str">
        <f>IF(OR($B131="",_自动清单!$G$14=""),"",SUMIFS(包装物料出入库明细!$J$4:$J$2003,包装物料出入库明细!$D$4:$D$2003,$B131,包装物料出入库明细!$E$4:$E$2003,_自动清单!$G$14,包装物料出入库明细!$B$4:$B$2003,"&gt;="&amp;$AF$1,包装物料出入库明细!$B$4:$B$2003,"&lt;="&amp;$AF$2))</f>
        <v/>
      </c>
      <c r="N131" s="25" t="str">
        <f>IF(OR($B131="",_自动清单!$G$15=""),"",SUMIFS(包装物料出入库明细!$J$4:$J$2003,包装物料出入库明细!$D$4:$D$2003,$B131,包装物料出入库明细!$E$4:$E$2003,_自动清单!$G$15,包装物料出入库明细!$B$4:$B$2003,"&gt;="&amp;$AF$1,包装物料出入库明细!$B$4:$B$2003,"&lt;="&amp;$AF$2))</f>
        <v/>
      </c>
      <c r="O131" s="25" t="str">
        <f>IF(OR($B131="",_自动清单!$G$16=""),"",SUMIFS(包装物料出入库明细!$J$4:$J$2003,包装物料出入库明细!$D$4:$D$2003,$B131,包装物料出入库明细!$E$4:$E$2003,_自动清单!$G$16,包装物料出入库明细!$B$4:$B$2003,"&gt;="&amp;$AF$1,包装物料出入库明细!$B$4:$B$2003,"&lt;="&amp;$AF$2))</f>
        <v/>
      </c>
      <c r="P131" s="25" t="str">
        <f>IF(OR($B131="",_自动清单!$G$17=""),"",SUMIFS(包装物料出入库明细!$J$4:$J$2003,包装物料出入库明细!$D$4:$D$2003,$B131,包装物料出入库明细!$E$4:$E$2003,_自动清单!$G$17,包装物料出入库明细!$B$4:$B$2003,"&gt;="&amp;$AF$1,包装物料出入库明细!$B$4:$B$2003,"&lt;="&amp;$AF$2))</f>
        <v/>
      </c>
      <c r="Q131" s="25" t="str">
        <f>IF(OR($B131="",_自动清单!$G$18=""),"",SUMIFS(包装物料出入库明细!$J$4:$J$2003,包装物料出入库明细!$D$4:$D$2003,$B131,包装物料出入库明细!$E$4:$E$2003,_自动清单!$G$18,包装物料出入库明细!$B$4:$B$2003,"&gt;="&amp;$AF$1,包装物料出入库明细!$B$4:$B$2003,"&lt;="&amp;$AF$2))</f>
        <v/>
      </c>
      <c r="R131" s="25" t="str">
        <f>IF(OR($B131="",_自动清单!$G$19=""),"",SUMIFS(包装物料出入库明细!$J$4:$J$2003,包装物料出入库明细!$D$4:$D$2003,$B131,包装物料出入库明细!$E$4:$E$2003,_自动清单!$G$19,包装物料出入库明细!$B$4:$B$2003,"&gt;="&amp;$AF$1,包装物料出入库明细!$B$4:$B$2003,"&lt;="&amp;$AF$2))</f>
        <v/>
      </c>
      <c r="S131" s="25" t="str">
        <f>IF(OR($B131="",_自动清单!$G$20=""),"",SUMIFS(包装物料出入库明细!$J$4:$J$2003,包装物料出入库明细!$D$4:$D$2003,$B131,包装物料出入库明细!$E$4:$E$2003,_自动清单!$G$20,包装物料出入库明细!$B$4:$B$2003,"&gt;="&amp;$AF$1,包装物料出入库明细!$B$4:$B$2003,"&lt;="&amp;$AF$2))</f>
        <v/>
      </c>
      <c r="T131" s="25" t="str">
        <f>IF(OR($B131="",_自动清单!$G$21=""),"",SUMIFS(包装物料出入库明细!$J$4:$J$2003,包装物料出入库明细!$D$4:$D$2003,$B131,包装物料出入库明细!$E$4:$E$2003,_自动清单!$G$21,包装物料出入库明细!$B$4:$B$2003,"&gt;="&amp;$AF$1,包装物料出入库明细!$B$4:$B$2003,"&lt;="&amp;$AF$2))</f>
        <v/>
      </c>
      <c r="U131" s="25" t="str">
        <f>IF($B131="","",SUMIFS(包装物料出入库明细!$J$4:$J$2003,包装物料出入库明细!$D$4:$D$2003,$B131,包装物料出入库明细!$B$4:$B$2003,"&gt;="&amp;$AF$1,包装物料出入库明细!$B$4:$B$2003,"&lt;="&amp;$AF$2)-SUM($C131:$T131))</f>
        <v/>
      </c>
      <c r="V131" s="25" t="str">
        <f t="shared" si="5"/>
        <v/>
      </c>
      <c r="W131" s="56" t="str">
        <f>IF($B131="","",SUMIFS(包装物料出入库明细!$K$4:$K$2003,包装物料出入库明细!$D$4:$D$2003,$B131,包装物料出入库明细!$B$4:$B$2003,"&gt;="&amp;$AF$1,包装物料出入库明细!$B$4:$B$2003,"&lt;="&amp;$AF$2))</f>
        <v/>
      </c>
      <c r="X131" s="25" t="str">
        <f t="shared" si="6"/>
        <v/>
      </c>
      <c r="Y131" s="26" t="str">
        <f>IF($B131="","",ROUND(SUMIFS(包装物料出入库明细!$N$4:$N$2003,包装物料出入库明细!$D$4:$D$2003,$B131,包装物料出入库明细!$H$4:$H$2003,"销售出库",包装物料出入库明细!$B$4:$B$2003,"&gt;="&amp;$AF$1,包装物料出入库明细!$B$4:$B$2003,"&lt;="&amp;$AF$2),2))</f>
        <v/>
      </c>
      <c r="Z131" s="26" t="str">
        <f>IF($B131="","",ROUND(SUMIFS(包装物料出入库明细!$N$4:$N$2003,包装物料出入库明细!$D$4:$D$2003,$B131,包装物料出入库明细!$H$4:$H$2003,"销售出库",包装物料出入库明细!$P$4:$P$2003,"已收讫",包装物料出入库明细!$B$4:$B$2003,"&gt;="&amp;$AF$1,包装物料出入库明细!$B$4:$B$2003,"&lt;="&amp;$AF$2),2))</f>
        <v/>
      </c>
      <c r="AA131" s="26" t="str">
        <f t="shared" si="7"/>
        <v/>
      </c>
      <c r="AB131" s="41"/>
    </row>
    <row r="132" spans="1:28">
      <c r="A132" s="24" t="str">
        <f t="shared" ref="A132:A195" si="8">IF($B132="","",ROW()-3)</f>
        <v/>
      </c>
      <c r="B132" s="24" t="str">
        <f>IFERROR(INDEX(_自动清单!$O$4:$O$203,ROW()-3),"")</f>
        <v/>
      </c>
      <c r="C132" s="25" t="str">
        <f>IF(OR($B132="",_自动清单!$G$4=""),"",SUMIFS(包装物料出入库明细!$J$4:$J$2003,包装物料出入库明细!$D$4:$D$2003,$B132,包装物料出入库明细!$E$4:$E$2003,_自动清单!$G$4,包装物料出入库明细!$B$4:$B$2003,"&gt;="&amp;$AF$1,包装物料出入库明细!$B$4:$B$2003,"&lt;="&amp;$AF$2))</f>
        <v/>
      </c>
      <c r="D132" s="25" t="str">
        <f>IF(OR($B132="",_自动清单!$G$5=""),"",SUMIFS(包装物料出入库明细!$J$4:$J$2003,包装物料出入库明细!$D$4:$D$2003,$B132,包装物料出入库明细!$E$4:$E$2003,_自动清单!$G$5,包装物料出入库明细!$B$4:$B$2003,"&gt;="&amp;$AF$1,包装物料出入库明细!$B$4:$B$2003,"&lt;="&amp;$AF$2))</f>
        <v/>
      </c>
      <c r="E132" s="25" t="str">
        <f>IF(OR($B132="",_自动清单!$G$6=""),"",SUMIFS(包装物料出入库明细!$J$4:$J$2003,包装物料出入库明细!$D$4:$D$2003,$B132,包装物料出入库明细!$E$4:$E$2003,_自动清单!$G$6,包装物料出入库明细!$B$4:$B$2003,"&gt;="&amp;$AF$1,包装物料出入库明细!$B$4:$B$2003,"&lt;="&amp;$AF$2))</f>
        <v/>
      </c>
      <c r="F132" s="25" t="str">
        <f>IF(OR($B132="",_自动清单!$G$7=""),"",SUMIFS(包装物料出入库明细!$J$4:$J$2003,包装物料出入库明细!$D$4:$D$2003,$B132,包装物料出入库明细!$E$4:$E$2003,_自动清单!$G$7,包装物料出入库明细!$B$4:$B$2003,"&gt;="&amp;$AF$1,包装物料出入库明细!$B$4:$B$2003,"&lt;="&amp;$AF$2))</f>
        <v/>
      </c>
      <c r="G132" s="25" t="str">
        <f>IF(OR($B132="",_自动清单!$G$8=""),"",SUMIFS(包装物料出入库明细!$J$4:$J$2003,包装物料出入库明细!$D$4:$D$2003,$B132,包装物料出入库明细!$E$4:$E$2003,_自动清单!$G$8,包装物料出入库明细!$B$4:$B$2003,"&gt;="&amp;$AF$1,包装物料出入库明细!$B$4:$B$2003,"&lt;="&amp;$AF$2))</f>
        <v/>
      </c>
      <c r="H132" s="25" t="str">
        <f>IF(OR($B132="",_自动清单!$G$9=""),"",SUMIFS(包装物料出入库明细!$J$4:$J$2003,包装物料出入库明细!$D$4:$D$2003,$B132,包装物料出入库明细!$E$4:$E$2003,_自动清单!$G$9,包装物料出入库明细!$B$4:$B$2003,"&gt;="&amp;$AF$1,包装物料出入库明细!$B$4:$B$2003,"&lt;="&amp;$AF$2))</f>
        <v/>
      </c>
      <c r="I132" s="25" t="str">
        <f>IF(OR($B132="",_自动清单!$G$10=""),"",SUMIFS(包装物料出入库明细!$J$4:$J$2003,包装物料出入库明细!$D$4:$D$2003,$B132,包装物料出入库明细!$E$4:$E$2003,_自动清单!$G$10,包装物料出入库明细!$B$4:$B$2003,"&gt;="&amp;$AF$1,包装物料出入库明细!$B$4:$B$2003,"&lt;="&amp;$AF$2))</f>
        <v/>
      </c>
      <c r="J132" s="25" t="str">
        <f>IF(OR($B132="",_自动清单!$G$11=""),"",SUMIFS(包装物料出入库明细!$J$4:$J$2003,包装物料出入库明细!$D$4:$D$2003,$B132,包装物料出入库明细!$E$4:$E$2003,_自动清单!$G$11,包装物料出入库明细!$B$4:$B$2003,"&gt;="&amp;$AF$1,包装物料出入库明细!$B$4:$B$2003,"&lt;="&amp;$AF$2))</f>
        <v/>
      </c>
      <c r="K132" s="25" t="str">
        <f>IF(OR($B132="",_自动清单!$G$12=""),"",SUMIFS(包装物料出入库明细!$J$4:$J$2003,包装物料出入库明细!$D$4:$D$2003,$B132,包装物料出入库明细!$E$4:$E$2003,_自动清单!$G$12,包装物料出入库明细!$B$4:$B$2003,"&gt;="&amp;$AF$1,包装物料出入库明细!$B$4:$B$2003,"&lt;="&amp;$AF$2))</f>
        <v/>
      </c>
      <c r="L132" s="25" t="str">
        <f>IF(OR($B132="",_自动清单!$G$13=""),"",SUMIFS(包装物料出入库明细!$J$4:$J$2003,包装物料出入库明细!$D$4:$D$2003,$B132,包装物料出入库明细!$E$4:$E$2003,_自动清单!$G$13,包装物料出入库明细!$B$4:$B$2003,"&gt;="&amp;$AF$1,包装物料出入库明细!$B$4:$B$2003,"&lt;="&amp;$AF$2))</f>
        <v/>
      </c>
      <c r="M132" s="25" t="str">
        <f>IF(OR($B132="",_自动清单!$G$14=""),"",SUMIFS(包装物料出入库明细!$J$4:$J$2003,包装物料出入库明细!$D$4:$D$2003,$B132,包装物料出入库明细!$E$4:$E$2003,_自动清单!$G$14,包装物料出入库明细!$B$4:$B$2003,"&gt;="&amp;$AF$1,包装物料出入库明细!$B$4:$B$2003,"&lt;="&amp;$AF$2))</f>
        <v/>
      </c>
      <c r="N132" s="25" t="str">
        <f>IF(OR($B132="",_自动清单!$G$15=""),"",SUMIFS(包装物料出入库明细!$J$4:$J$2003,包装物料出入库明细!$D$4:$D$2003,$B132,包装物料出入库明细!$E$4:$E$2003,_自动清单!$G$15,包装物料出入库明细!$B$4:$B$2003,"&gt;="&amp;$AF$1,包装物料出入库明细!$B$4:$B$2003,"&lt;="&amp;$AF$2))</f>
        <v/>
      </c>
      <c r="O132" s="25" t="str">
        <f>IF(OR($B132="",_自动清单!$G$16=""),"",SUMIFS(包装物料出入库明细!$J$4:$J$2003,包装物料出入库明细!$D$4:$D$2003,$B132,包装物料出入库明细!$E$4:$E$2003,_自动清单!$G$16,包装物料出入库明细!$B$4:$B$2003,"&gt;="&amp;$AF$1,包装物料出入库明细!$B$4:$B$2003,"&lt;="&amp;$AF$2))</f>
        <v/>
      </c>
      <c r="P132" s="25" t="str">
        <f>IF(OR($B132="",_自动清单!$G$17=""),"",SUMIFS(包装物料出入库明细!$J$4:$J$2003,包装物料出入库明细!$D$4:$D$2003,$B132,包装物料出入库明细!$E$4:$E$2003,_自动清单!$G$17,包装物料出入库明细!$B$4:$B$2003,"&gt;="&amp;$AF$1,包装物料出入库明细!$B$4:$B$2003,"&lt;="&amp;$AF$2))</f>
        <v/>
      </c>
      <c r="Q132" s="25" t="str">
        <f>IF(OR($B132="",_自动清单!$G$18=""),"",SUMIFS(包装物料出入库明细!$J$4:$J$2003,包装物料出入库明细!$D$4:$D$2003,$B132,包装物料出入库明细!$E$4:$E$2003,_自动清单!$G$18,包装物料出入库明细!$B$4:$B$2003,"&gt;="&amp;$AF$1,包装物料出入库明细!$B$4:$B$2003,"&lt;="&amp;$AF$2))</f>
        <v/>
      </c>
      <c r="R132" s="25" t="str">
        <f>IF(OR($B132="",_自动清单!$G$19=""),"",SUMIFS(包装物料出入库明细!$J$4:$J$2003,包装物料出入库明细!$D$4:$D$2003,$B132,包装物料出入库明细!$E$4:$E$2003,_自动清单!$G$19,包装物料出入库明细!$B$4:$B$2003,"&gt;="&amp;$AF$1,包装物料出入库明细!$B$4:$B$2003,"&lt;="&amp;$AF$2))</f>
        <v/>
      </c>
      <c r="S132" s="25" t="str">
        <f>IF(OR($B132="",_自动清单!$G$20=""),"",SUMIFS(包装物料出入库明细!$J$4:$J$2003,包装物料出入库明细!$D$4:$D$2003,$B132,包装物料出入库明细!$E$4:$E$2003,_自动清单!$G$20,包装物料出入库明细!$B$4:$B$2003,"&gt;="&amp;$AF$1,包装物料出入库明细!$B$4:$B$2003,"&lt;="&amp;$AF$2))</f>
        <v/>
      </c>
      <c r="T132" s="25" t="str">
        <f>IF(OR($B132="",_自动清单!$G$21=""),"",SUMIFS(包装物料出入库明细!$J$4:$J$2003,包装物料出入库明细!$D$4:$D$2003,$B132,包装物料出入库明细!$E$4:$E$2003,_自动清单!$G$21,包装物料出入库明细!$B$4:$B$2003,"&gt;="&amp;$AF$1,包装物料出入库明细!$B$4:$B$2003,"&lt;="&amp;$AF$2))</f>
        <v/>
      </c>
      <c r="U132" s="25" t="str">
        <f>IF($B132="","",SUMIFS(包装物料出入库明细!$J$4:$J$2003,包装物料出入库明细!$D$4:$D$2003,$B132,包装物料出入库明细!$B$4:$B$2003,"&gt;="&amp;$AF$1,包装物料出入库明细!$B$4:$B$2003,"&lt;="&amp;$AF$2)-SUM($C132:$T132))</f>
        <v/>
      </c>
      <c r="V132" s="25" t="str">
        <f t="shared" ref="V132:V195" si="9">IF($B132="","",SUM($C132:$U132))</f>
        <v/>
      </c>
      <c r="W132" s="56" t="str">
        <f>IF($B132="","",SUMIFS(包装物料出入库明细!$K$4:$K$2003,包装物料出入库明细!$D$4:$D$2003,$B132,包装物料出入库明细!$B$4:$B$2003,"&gt;="&amp;$AF$1,包装物料出入库明细!$B$4:$B$2003,"&lt;="&amp;$AF$2))</f>
        <v/>
      </c>
      <c r="X132" s="25" t="str">
        <f t="shared" ref="X132:X195" si="10">IF($B132="","",N($V132)-N($W132))</f>
        <v/>
      </c>
      <c r="Y132" s="26" t="str">
        <f>IF($B132="","",ROUND(SUMIFS(包装物料出入库明细!$N$4:$N$2003,包装物料出入库明细!$D$4:$D$2003,$B132,包装物料出入库明细!$H$4:$H$2003,"销售出库",包装物料出入库明细!$B$4:$B$2003,"&gt;="&amp;$AF$1,包装物料出入库明细!$B$4:$B$2003,"&lt;="&amp;$AF$2),2))</f>
        <v/>
      </c>
      <c r="Z132" s="26" t="str">
        <f>IF($B132="","",ROUND(SUMIFS(包装物料出入库明细!$N$4:$N$2003,包装物料出入库明细!$D$4:$D$2003,$B132,包装物料出入库明细!$H$4:$H$2003,"销售出库",包装物料出入库明细!$P$4:$P$2003,"已收讫",包装物料出入库明细!$B$4:$B$2003,"&gt;="&amp;$AF$1,包装物料出入库明细!$B$4:$B$2003,"&lt;="&amp;$AF$2),2))</f>
        <v/>
      </c>
      <c r="AA132" s="26" t="str">
        <f t="shared" ref="AA132:AA195" si="11">IF($B132="","",ROUND(N($Y132)-N($Z132),2))</f>
        <v/>
      </c>
      <c r="AB132" s="41"/>
    </row>
    <row r="133" spans="1:28">
      <c r="A133" s="24" t="str">
        <f t="shared" si="8"/>
        <v/>
      </c>
      <c r="B133" s="24" t="str">
        <f>IFERROR(INDEX(_自动清单!$O$4:$O$203,ROW()-3),"")</f>
        <v/>
      </c>
      <c r="C133" s="25" t="str">
        <f>IF(OR($B133="",_自动清单!$G$4=""),"",SUMIFS(包装物料出入库明细!$J$4:$J$2003,包装物料出入库明细!$D$4:$D$2003,$B133,包装物料出入库明细!$E$4:$E$2003,_自动清单!$G$4,包装物料出入库明细!$B$4:$B$2003,"&gt;="&amp;$AF$1,包装物料出入库明细!$B$4:$B$2003,"&lt;="&amp;$AF$2))</f>
        <v/>
      </c>
      <c r="D133" s="25" t="str">
        <f>IF(OR($B133="",_自动清单!$G$5=""),"",SUMIFS(包装物料出入库明细!$J$4:$J$2003,包装物料出入库明细!$D$4:$D$2003,$B133,包装物料出入库明细!$E$4:$E$2003,_自动清单!$G$5,包装物料出入库明细!$B$4:$B$2003,"&gt;="&amp;$AF$1,包装物料出入库明细!$B$4:$B$2003,"&lt;="&amp;$AF$2))</f>
        <v/>
      </c>
      <c r="E133" s="25" t="str">
        <f>IF(OR($B133="",_自动清单!$G$6=""),"",SUMIFS(包装物料出入库明细!$J$4:$J$2003,包装物料出入库明细!$D$4:$D$2003,$B133,包装物料出入库明细!$E$4:$E$2003,_自动清单!$G$6,包装物料出入库明细!$B$4:$B$2003,"&gt;="&amp;$AF$1,包装物料出入库明细!$B$4:$B$2003,"&lt;="&amp;$AF$2))</f>
        <v/>
      </c>
      <c r="F133" s="25" t="str">
        <f>IF(OR($B133="",_自动清单!$G$7=""),"",SUMIFS(包装物料出入库明细!$J$4:$J$2003,包装物料出入库明细!$D$4:$D$2003,$B133,包装物料出入库明细!$E$4:$E$2003,_自动清单!$G$7,包装物料出入库明细!$B$4:$B$2003,"&gt;="&amp;$AF$1,包装物料出入库明细!$B$4:$B$2003,"&lt;="&amp;$AF$2))</f>
        <v/>
      </c>
      <c r="G133" s="25" t="str">
        <f>IF(OR($B133="",_自动清单!$G$8=""),"",SUMIFS(包装物料出入库明细!$J$4:$J$2003,包装物料出入库明细!$D$4:$D$2003,$B133,包装物料出入库明细!$E$4:$E$2003,_自动清单!$G$8,包装物料出入库明细!$B$4:$B$2003,"&gt;="&amp;$AF$1,包装物料出入库明细!$B$4:$B$2003,"&lt;="&amp;$AF$2))</f>
        <v/>
      </c>
      <c r="H133" s="25" t="str">
        <f>IF(OR($B133="",_自动清单!$G$9=""),"",SUMIFS(包装物料出入库明细!$J$4:$J$2003,包装物料出入库明细!$D$4:$D$2003,$B133,包装物料出入库明细!$E$4:$E$2003,_自动清单!$G$9,包装物料出入库明细!$B$4:$B$2003,"&gt;="&amp;$AF$1,包装物料出入库明细!$B$4:$B$2003,"&lt;="&amp;$AF$2))</f>
        <v/>
      </c>
      <c r="I133" s="25" t="str">
        <f>IF(OR($B133="",_自动清单!$G$10=""),"",SUMIFS(包装物料出入库明细!$J$4:$J$2003,包装物料出入库明细!$D$4:$D$2003,$B133,包装物料出入库明细!$E$4:$E$2003,_自动清单!$G$10,包装物料出入库明细!$B$4:$B$2003,"&gt;="&amp;$AF$1,包装物料出入库明细!$B$4:$B$2003,"&lt;="&amp;$AF$2))</f>
        <v/>
      </c>
      <c r="J133" s="25" t="str">
        <f>IF(OR($B133="",_自动清单!$G$11=""),"",SUMIFS(包装物料出入库明细!$J$4:$J$2003,包装物料出入库明细!$D$4:$D$2003,$B133,包装物料出入库明细!$E$4:$E$2003,_自动清单!$G$11,包装物料出入库明细!$B$4:$B$2003,"&gt;="&amp;$AF$1,包装物料出入库明细!$B$4:$B$2003,"&lt;="&amp;$AF$2))</f>
        <v/>
      </c>
      <c r="K133" s="25" t="str">
        <f>IF(OR($B133="",_自动清单!$G$12=""),"",SUMIFS(包装物料出入库明细!$J$4:$J$2003,包装物料出入库明细!$D$4:$D$2003,$B133,包装物料出入库明细!$E$4:$E$2003,_自动清单!$G$12,包装物料出入库明细!$B$4:$B$2003,"&gt;="&amp;$AF$1,包装物料出入库明细!$B$4:$B$2003,"&lt;="&amp;$AF$2))</f>
        <v/>
      </c>
      <c r="L133" s="25" t="str">
        <f>IF(OR($B133="",_自动清单!$G$13=""),"",SUMIFS(包装物料出入库明细!$J$4:$J$2003,包装物料出入库明细!$D$4:$D$2003,$B133,包装物料出入库明细!$E$4:$E$2003,_自动清单!$G$13,包装物料出入库明细!$B$4:$B$2003,"&gt;="&amp;$AF$1,包装物料出入库明细!$B$4:$B$2003,"&lt;="&amp;$AF$2))</f>
        <v/>
      </c>
      <c r="M133" s="25" t="str">
        <f>IF(OR($B133="",_自动清单!$G$14=""),"",SUMIFS(包装物料出入库明细!$J$4:$J$2003,包装物料出入库明细!$D$4:$D$2003,$B133,包装物料出入库明细!$E$4:$E$2003,_自动清单!$G$14,包装物料出入库明细!$B$4:$B$2003,"&gt;="&amp;$AF$1,包装物料出入库明细!$B$4:$B$2003,"&lt;="&amp;$AF$2))</f>
        <v/>
      </c>
      <c r="N133" s="25" t="str">
        <f>IF(OR($B133="",_自动清单!$G$15=""),"",SUMIFS(包装物料出入库明细!$J$4:$J$2003,包装物料出入库明细!$D$4:$D$2003,$B133,包装物料出入库明细!$E$4:$E$2003,_自动清单!$G$15,包装物料出入库明细!$B$4:$B$2003,"&gt;="&amp;$AF$1,包装物料出入库明细!$B$4:$B$2003,"&lt;="&amp;$AF$2))</f>
        <v/>
      </c>
      <c r="O133" s="25" t="str">
        <f>IF(OR($B133="",_自动清单!$G$16=""),"",SUMIFS(包装物料出入库明细!$J$4:$J$2003,包装物料出入库明细!$D$4:$D$2003,$B133,包装物料出入库明细!$E$4:$E$2003,_自动清单!$G$16,包装物料出入库明细!$B$4:$B$2003,"&gt;="&amp;$AF$1,包装物料出入库明细!$B$4:$B$2003,"&lt;="&amp;$AF$2))</f>
        <v/>
      </c>
      <c r="P133" s="25" t="str">
        <f>IF(OR($B133="",_自动清单!$G$17=""),"",SUMIFS(包装物料出入库明细!$J$4:$J$2003,包装物料出入库明细!$D$4:$D$2003,$B133,包装物料出入库明细!$E$4:$E$2003,_自动清单!$G$17,包装物料出入库明细!$B$4:$B$2003,"&gt;="&amp;$AF$1,包装物料出入库明细!$B$4:$B$2003,"&lt;="&amp;$AF$2))</f>
        <v/>
      </c>
      <c r="Q133" s="25" t="str">
        <f>IF(OR($B133="",_自动清单!$G$18=""),"",SUMIFS(包装物料出入库明细!$J$4:$J$2003,包装物料出入库明细!$D$4:$D$2003,$B133,包装物料出入库明细!$E$4:$E$2003,_自动清单!$G$18,包装物料出入库明细!$B$4:$B$2003,"&gt;="&amp;$AF$1,包装物料出入库明细!$B$4:$B$2003,"&lt;="&amp;$AF$2))</f>
        <v/>
      </c>
      <c r="R133" s="25" t="str">
        <f>IF(OR($B133="",_自动清单!$G$19=""),"",SUMIFS(包装物料出入库明细!$J$4:$J$2003,包装物料出入库明细!$D$4:$D$2003,$B133,包装物料出入库明细!$E$4:$E$2003,_自动清单!$G$19,包装物料出入库明细!$B$4:$B$2003,"&gt;="&amp;$AF$1,包装物料出入库明细!$B$4:$B$2003,"&lt;="&amp;$AF$2))</f>
        <v/>
      </c>
      <c r="S133" s="25" t="str">
        <f>IF(OR($B133="",_自动清单!$G$20=""),"",SUMIFS(包装物料出入库明细!$J$4:$J$2003,包装物料出入库明细!$D$4:$D$2003,$B133,包装物料出入库明细!$E$4:$E$2003,_自动清单!$G$20,包装物料出入库明细!$B$4:$B$2003,"&gt;="&amp;$AF$1,包装物料出入库明细!$B$4:$B$2003,"&lt;="&amp;$AF$2))</f>
        <v/>
      </c>
      <c r="T133" s="25" t="str">
        <f>IF(OR($B133="",_自动清单!$G$21=""),"",SUMIFS(包装物料出入库明细!$J$4:$J$2003,包装物料出入库明细!$D$4:$D$2003,$B133,包装物料出入库明细!$E$4:$E$2003,_自动清单!$G$21,包装物料出入库明细!$B$4:$B$2003,"&gt;="&amp;$AF$1,包装物料出入库明细!$B$4:$B$2003,"&lt;="&amp;$AF$2))</f>
        <v/>
      </c>
      <c r="U133" s="25" t="str">
        <f>IF($B133="","",SUMIFS(包装物料出入库明细!$J$4:$J$2003,包装物料出入库明细!$D$4:$D$2003,$B133,包装物料出入库明细!$B$4:$B$2003,"&gt;="&amp;$AF$1,包装物料出入库明细!$B$4:$B$2003,"&lt;="&amp;$AF$2)-SUM($C133:$T133))</f>
        <v/>
      </c>
      <c r="V133" s="25" t="str">
        <f t="shared" si="9"/>
        <v/>
      </c>
      <c r="W133" s="56" t="str">
        <f>IF($B133="","",SUMIFS(包装物料出入库明细!$K$4:$K$2003,包装物料出入库明细!$D$4:$D$2003,$B133,包装物料出入库明细!$B$4:$B$2003,"&gt;="&amp;$AF$1,包装物料出入库明细!$B$4:$B$2003,"&lt;="&amp;$AF$2))</f>
        <v/>
      </c>
      <c r="X133" s="25" t="str">
        <f t="shared" si="10"/>
        <v/>
      </c>
      <c r="Y133" s="26" t="str">
        <f>IF($B133="","",ROUND(SUMIFS(包装物料出入库明细!$N$4:$N$2003,包装物料出入库明细!$D$4:$D$2003,$B133,包装物料出入库明细!$H$4:$H$2003,"销售出库",包装物料出入库明细!$B$4:$B$2003,"&gt;="&amp;$AF$1,包装物料出入库明细!$B$4:$B$2003,"&lt;="&amp;$AF$2),2))</f>
        <v/>
      </c>
      <c r="Z133" s="26" t="str">
        <f>IF($B133="","",ROUND(SUMIFS(包装物料出入库明细!$N$4:$N$2003,包装物料出入库明细!$D$4:$D$2003,$B133,包装物料出入库明细!$H$4:$H$2003,"销售出库",包装物料出入库明细!$P$4:$P$2003,"已收讫",包装物料出入库明细!$B$4:$B$2003,"&gt;="&amp;$AF$1,包装物料出入库明细!$B$4:$B$2003,"&lt;="&amp;$AF$2),2))</f>
        <v/>
      </c>
      <c r="AA133" s="26" t="str">
        <f t="shared" si="11"/>
        <v/>
      </c>
      <c r="AB133" s="41"/>
    </row>
    <row r="134" spans="1:28">
      <c r="A134" s="24" t="str">
        <f t="shared" si="8"/>
        <v/>
      </c>
      <c r="B134" s="24" t="str">
        <f>IFERROR(INDEX(_自动清单!$O$4:$O$203,ROW()-3),"")</f>
        <v/>
      </c>
      <c r="C134" s="25" t="str">
        <f>IF(OR($B134="",_自动清单!$G$4=""),"",SUMIFS(包装物料出入库明细!$J$4:$J$2003,包装物料出入库明细!$D$4:$D$2003,$B134,包装物料出入库明细!$E$4:$E$2003,_自动清单!$G$4,包装物料出入库明细!$B$4:$B$2003,"&gt;="&amp;$AF$1,包装物料出入库明细!$B$4:$B$2003,"&lt;="&amp;$AF$2))</f>
        <v/>
      </c>
      <c r="D134" s="25" t="str">
        <f>IF(OR($B134="",_自动清单!$G$5=""),"",SUMIFS(包装物料出入库明细!$J$4:$J$2003,包装物料出入库明细!$D$4:$D$2003,$B134,包装物料出入库明细!$E$4:$E$2003,_自动清单!$G$5,包装物料出入库明细!$B$4:$B$2003,"&gt;="&amp;$AF$1,包装物料出入库明细!$B$4:$B$2003,"&lt;="&amp;$AF$2))</f>
        <v/>
      </c>
      <c r="E134" s="25" t="str">
        <f>IF(OR($B134="",_自动清单!$G$6=""),"",SUMIFS(包装物料出入库明细!$J$4:$J$2003,包装物料出入库明细!$D$4:$D$2003,$B134,包装物料出入库明细!$E$4:$E$2003,_自动清单!$G$6,包装物料出入库明细!$B$4:$B$2003,"&gt;="&amp;$AF$1,包装物料出入库明细!$B$4:$B$2003,"&lt;="&amp;$AF$2))</f>
        <v/>
      </c>
      <c r="F134" s="25" t="str">
        <f>IF(OR($B134="",_自动清单!$G$7=""),"",SUMIFS(包装物料出入库明细!$J$4:$J$2003,包装物料出入库明细!$D$4:$D$2003,$B134,包装物料出入库明细!$E$4:$E$2003,_自动清单!$G$7,包装物料出入库明细!$B$4:$B$2003,"&gt;="&amp;$AF$1,包装物料出入库明细!$B$4:$B$2003,"&lt;="&amp;$AF$2))</f>
        <v/>
      </c>
      <c r="G134" s="25" t="str">
        <f>IF(OR($B134="",_自动清单!$G$8=""),"",SUMIFS(包装物料出入库明细!$J$4:$J$2003,包装物料出入库明细!$D$4:$D$2003,$B134,包装物料出入库明细!$E$4:$E$2003,_自动清单!$G$8,包装物料出入库明细!$B$4:$B$2003,"&gt;="&amp;$AF$1,包装物料出入库明细!$B$4:$B$2003,"&lt;="&amp;$AF$2))</f>
        <v/>
      </c>
      <c r="H134" s="25" t="str">
        <f>IF(OR($B134="",_自动清单!$G$9=""),"",SUMIFS(包装物料出入库明细!$J$4:$J$2003,包装物料出入库明细!$D$4:$D$2003,$B134,包装物料出入库明细!$E$4:$E$2003,_自动清单!$G$9,包装物料出入库明细!$B$4:$B$2003,"&gt;="&amp;$AF$1,包装物料出入库明细!$B$4:$B$2003,"&lt;="&amp;$AF$2))</f>
        <v/>
      </c>
      <c r="I134" s="25" t="str">
        <f>IF(OR($B134="",_自动清单!$G$10=""),"",SUMIFS(包装物料出入库明细!$J$4:$J$2003,包装物料出入库明细!$D$4:$D$2003,$B134,包装物料出入库明细!$E$4:$E$2003,_自动清单!$G$10,包装物料出入库明细!$B$4:$B$2003,"&gt;="&amp;$AF$1,包装物料出入库明细!$B$4:$B$2003,"&lt;="&amp;$AF$2))</f>
        <v/>
      </c>
      <c r="J134" s="25" t="str">
        <f>IF(OR($B134="",_自动清单!$G$11=""),"",SUMIFS(包装物料出入库明细!$J$4:$J$2003,包装物料出入库明细!$D$4:$D$2003,$B134,包装物料出入库明细!$E$4:$E$2003,_自动清单!$G$11,包装物料出入库明细!$B$4:$B$2003,"&gt;="&amp;$AF$1,包装物料出入库明细!$B$4:$B$2003,"&lt;="&amp;$AF$2))</f>
        <v/>
      </c>
      <c r="K134" s="25" t="str">
        <f>IF(OR($B134="",_自动清单!$G$12=""),"",SUMIFS(包装物料出入库明细!$J$4:$J$2003,包装物料出入库明细!$D$4:$D$2003,$B134,包装物料出入库明细!$E$4:$E$2003,_自动清单!$G$12,包装物料出入库明细!$B$4:$B$2003,"&gt;="&amp;$AF$1,包装物料出入库明细!$B$4:$B$2003,"&lt;="&amp;$AF$2))</f>
        <v/>
      </c>
      <c r="L134" s="25" t="str">
        <f>IF(OR($B134="",_自动清单!$G$13=""),"",SUMIFS(包装物料出入库明细!$J$4:$J$2003,包装物料出入库明细!$D$4:$D$2003,$B134,包装物料出入库明细!$E$4:$E$2003,_自动清单!$G$13,包装物料出入库明细!$B$4:$B$2003,"&gt;="&amp;$AF$1,包装物料出入库明细!$B$4:$B$2003,"&lt;="&amp;$AF$2))</f>
        <v/>
      </c>
      <c r="M134" s="25" t="str">
        <f>IF(OR($B134="",_自动清单!$G$14=""),"",SUMIFS(包装物料出入库明细!$J$4:$J$2003,包装物料出入库明细!$D$4:$D$2003,$B134,包装物料出入库明细!$E$4:$E$2003,_自动清单!$G$14,包装物料出入库明细!$B$4:$B$2003,"&gt;="&amp;$AF$1,包装物料出入库明细!$B$4:$B$2003,"&lt;="&amp;$AF$2))</f>
        <v/>
      </c>
      <c r="N134" s="25" t="str">
        <f>IF(OR($B134="",_自动清单!$G$15=""),"",SUMIFS(包装物料出入库明细!$J$4:$J$2003,包装物料出入库明细!$D$4:$D$2003,$B134,包装物料出入库明细!$E$4:$E$2003,_自动清单!$G$15,包装物料出入库明细!$B$4:$B$2003,"&gt;="&amp;$AF$1,包装物料出入库明细!$B$4:$B$2003,"&lt;="&amp;$AF$2))</f>
        <v/>
      </c>
      <c r="O134" s="25" t="str">
        <f>IF(OR($B134="",_自动清单!$G$16=""),"",SUMIFS(包装物料出入库明细!$J$4:$J$2003,包装物料出入库明细!$D$4:$D$2003,$B134,包装物料出入库明细!$E$4:$E$2003,_自动清单!$G$16,包装物料出入库明细!$B$4:$B$2003,"&gt;="&amp;$AF$1,包装物料出入库明细!$B$4:$B$2003,"&lt;="&amp;$AF$2))</f>
        <v/>
      </c>
      <c r="P134" s="25" t="str">
        <f>IF(OR($B134="",_自动清单!$G$17=""),"",SUMIFS(包装物料出入库明细!$J$4:$J$2003,包装物料出入库明细!$D$4:$D$2003,$B134,包装物料出入库明细!$E$4:$E$2003,_自动清单!$G$17,包装物料出入库明细!$B$4:$B$2003,"&gt;="&amp;$AF$1,包装物料出入库明细!$B$4:$B$2003,"&lt;="&amp;$AF$2))</f>
        <v/>
      </c>
      <c r="Q134" s="25" t="str">
        <f>IF(OR($B134="",_自动清单!$G$18=""),"",SUMIFS(包装物料出入库明细!$J$4:$J$2003,包装物料出入库明细!$D$4:$D$2003,$B134,包装物料出入库明细!$E$4:$E$2003,_自动清单!$G$18,包装物料出入库明细!$B$4:$B$2003,"&gt;="&amp;$AF$1,包装物料出入库明细!$B$4:$B$2003,"&lt;="&amp;$AF$2))</f>
        <v/>
      </c>
      <c r="R134" s="25" t="str">
        <f>IF(OR($B134="",_自动清单!$G$19=""),"",SUMIFS(包装物料出入库明细!$J$4:$J$2003,包装物料出入库明细!$D$4:$D$2003,$B134,包装物料出入库明细!$E$4:$E$2003,_自动清单!$G$19,包装物料出入库明细!$B$4:$B$2003,"&gt;="&amp;$AF$1,包装物料出入库明细!$B$4:$B$2003,"&lt;="&amp;$AF$2))</f>
        <v/>
      </c>
      <c r="S134" s="25" t="str">
        <f>IF(OR($B134="",_自动清单!$G$20=""),"",SUMIFS(包装物料出入库明细!$J$4:$J$2003,包装物料出入库明细!$D$4:$D$2003,$B134,包装物料出入库明细!$E$4:$E$2003,_自动清单!$G$20,包装物料出入库明细!$B$4:$B$2003,"&gt;="&amp;$AF$1,包装物料出入库明细!$B$4:$B$2003,"&lt;="&amp;$AF$2))</f>
        <v/>
      </c>
      <c r="T134" s="25" t="str">
        <f>IF(OR($B134="",_自动清单!$G$21=""),"",SUMIFS(包装物料出入库明细!$J$4:$J$2003,包装物料出入库明细!$D$4:$D$2003,$B134,包装物料出入库明细!$E$4:$E$2003,_自动清单!$G$21,包装物料出入库明细!$B$4:$B$2003,"&gt;="&amp;$AF$1,包装物料出入库明细!$B$4:$B$2003,"&lt;="&amp;$AF$2))</f>
        <v/>
      </c>
      <c r="U134" s="25" t="str">
        <f>IF($B134="","",SUMIFS(包装物料出入库明细!$J$4:$J$2003,包装物料出入库明细!$D$4:$D$2003,$B134,包装物料出入库明细!$B$4:$B$2003,"&gt;="&amp;$AF$1,包装物料出入库明细!$B$4:$B$2003,"&lt;="&amp;$AF$2)-SUM($C134:$T134))</f>
        <v/>
      </c>
      <c r="V134" s="25" t="str">
        <f t="shared" si="9"/>
        <v/>
      </c>
      <c r="W134" s="56" t="str">
        <f>IF($B134="","",SUMIFS(包装物料出入库明细!$K$4:$K$2003,包装物料出入库明细!$D$4:$D$2003,$B134,包装物料出入库明细!$B$4:$B$2003,"&gt;="&amp;$AF$1,包装物料出入库明细!$B$4:$B$2003,"&lt;="&amp;$AF$2))</f>
        <v/>
      </c>
      <c r="X134" s="25" t="str">
        <f t="shared" si="10"/>
        <v/>
      </c>
      <c r="Y134" s="26" t="str">
        <f>IF($B134="","",ROUND(SUMIFS(包装物料出入库明细!$N$4:$N$2003,包装物料出入库明细!$D$4:$D$2003,$B134,包装物料出入库明细!$H$4:$H$2003,"销售出库",包装物料出入库明细!$B$4:$B$2003,"&gt;="&amp;$AF$1,包装物料出入库明细!$B$4:$B$2003,"&lt;="&amp;$AF$2),2))</f>
        <v/>
      </c>
      <c r="Z134" s="26" t="str">
        <f>IF($B134="","",ROUND(SUMIFS(包装物料出入库明细!$N$4:$N$2003,包装物料出入库明细!$D$4:$D$2003,$B134,包装物料出入库明细!$H$4:$H$2003,"销售出库",包装物料出入库明细!$P$4:$P$2003,"已收讫",包装物料出入库明细!$B$4:$B$2003,"&gt;="&amp;$AF$1,包装物料出入库明细!$B$4:$B$2003,"&lt;="&amp;$AF$2),2))</f>
        <v/>
      </c>
      <c r="AA134" s="26" t="str">
        <f t="shared" si="11"/>
        <v/>
      </c>
      <c r="AB134" s="41"/>
    </row>
    <row r="135" spans="1:28">
      <c r="A135" s="24" t="str">
        <f t="shared" si="8"/>
        <v/>
      </c>
      <c r="B135" s="24" t="str">
        <f>IFERROR(INDEX(_自动清单!$O$4:$O$203,ROW()-3),"")</f>
        <v/>
      </c>
      <c r="C135" s="25" t="str">
        <f>IF(OR($B135="",_自动清单!$G$4=""),"",SUMIFS(包装物料出入库明细!$J$4:$J$2003,包装物料出入库明细!$D$4:$D$2003,$B135,包装物料出入库明细!$E$4:$E$2003,_自动清单!$G$4,包装物料出入库明细!$B$4:$B$2003,"&gt;="&amp;$AF$1,包装物料出入库明细!$B$4:$B$2003,"&lt;="&amp;$AF$2))</f>
        <v/>
      </c>
      <c r="D135" s="25" t="str">
        <f>IF(OR($B135="",_自动清单!$G$5=""),"",SUMIFS(包装物料出入库明细!$J$4:$J$2003,包装物料出入库明细!$D$4:$D$2003,$B135,包装物料出入库明细!$E$4:$E$2003,_自动清单!$G$5,包装物料出入库明细!$B$4:$B$2003,"&gt;="&amp;$AF$1,包装物料出入库明细!$B$4:$B$2003,"&lt;="&amp;$AF$2))</f>
        <v/>
      </c>
      <c r="E135" s="25" t="str">
        <f>IF(OR($B135="",_自动清单!$G$6=""),"",SUMIFS(包装物料出入库明细!$J$4:$J$2003,包装物料出入库明细!$D$4:$D$2003,$B135,包装物料出入库明细!$E$4:$E$2003,_自动清单!$G$6,包装物料出入库明细!$B$4:$B$2003,"&gt;="&amp;$AF$1,包装物料出入库明细!$B$4:$B$2003,"&lt;="&amp;$AF$2))</f>
        <v/>
      </c>
      <c r="F135" s="25" t="str">
        <f>IF(OR($B135="",_自动清单!$G$7=""),"",SUMIFS(包装物料出入库明细!$J$4:$J$2003,包装物料出入库明细!$D$4:$D$2003,$B135,包装物料出入库明细!$E$4:$E$2003,_自动清单!$G$7,包装物料出入库明细!$B$4:$B$2003,"&gt;="&amp;$AF$1,包装物料出入库明细!$B$4:$B$2003,"&lt;="&amp;$AF$2))</f>
        <v/>
      </c>
      <c r="G135" s="25" t="str">
        <f>IF(OR($B135="",_自动清单!$G$8=""),"",SUMIFS(包装物料出入库明细!$J$4:$J$2003,包装物料出入库明细!$D$4:$D$2003,$B135,包装物料出入库明细!$E$4:$E$2003,_自动清单!$G$8,包装物料出入库明细!$B$4:$B$2003,"&gt;="&amp;$AF$1,包装物料出入库明细!$B$4:$B$2003,"&lt;="&amp;$AF$2))</f>
        <v/>
      </c>
      <c r="H135" s="25" t="str">
        <f>IF(OR($B135="",_自动清单!$G$9=""),"",SUMIFS(包装物料出入库明细!$J$4:$J$2003,包装物料出入库明细!$D$4:$D$2003,$B135,包装物料出入库明细!$E$4:$E$2003,_自动清单!$G$9,包装物料出入库明细!$B$4:$B$2003,"&gt;="&amp;$AF$1,包装物料出入库明细!$B$4:$B$2003,"&lt;="&amp;$AF$2))</f>
        <v/>
      </c>
      <c r="I135" s="25" t="str">
        <f>IF(OR($B135="",_自动清单!$G$10=""),"",SUMIFS(包装物料出入库明细!$J$4:$J$2003,包装物料出入库明细!$D$4:$D$2003,$B135,包装物料出入库明细!$E$4:$E$2003,_自动清单!$G$10,包装物料出入库明细!$B$4:$B$2003,"&gt;="&amp;$AF$1,包装物料出入库明细!$B$4:$B$2003,"&lt;="&amp;$AF$2))</f>
        <v/>
      </c>
      <c r="J135" s="25" t="str">
        <f>IF(OR($B135="",_自动清单!$G$11=""),"",SUMIFS(包装物料出入库明细!$J$4:$J$2003,包装物料出入库明细!$D$4:$D$2003,$B135,包装物料出入库明细!$E$4:$E$2003,_自动清单!$G$11,包装物料出入库明细!$B$4:$B$2003,"&gt;="&amp;$AF$1,包装物料出入库明细!$B$4:$B$2003,"&lt;="&amp;$AF$2))</f>
        <v/>
      </c>
      <c r="K135" s="25" t="str">
        <f>IF(OR($B135="",_自动清单!$G$12=""),"",SUMIFS(包装物料出入库明细!$J$4:$J$2003,包装物料出入库明细!$D$4:$D$2003,$B135,包装物料出入库明细!$E$4:$E$2003,_自动清单!$G$12,包装物料出入库明细!$B$4:$B$2003,"&gt;="&amp;$AF$1,包装物料出入库明细!$B$4:$B$2003,"&lt;="&amp;$AF$2))</f>
        <v/>
      </c>
      <c r="L135" s="25" t="str">
        <f>IF(OR($B135="",_自动清单!$G$13=""),"",SUMIFS(包装物料出入库明细!$J$4:$J$2003,包装物料出入库明细!$D$4:$D$2003,$B135,包装物料出入库明细!$E$4:$E$2003,_自动清单!$G$13,包装物料出入库明细!$B$4:$B$2003,"&gt;="&amp;$AF$1,包装物料出入库明细!$B$4:$B$2003,"&lt;="&amp;$AF$2))</f>
        <v/>
      </c>
      <c r="M135" s="25" t="str">
        <f>IF(OR($B135="",_自动清单!$G$14=""),"",SUMIFS(包装物料出入库明细!$J$4:$J$2003,包装物料出入库明细!$D$4:$D$2003,$B135,包装物料出入库明细!$E$4:$E$2003,_自动清单!$G$14,包装物料出入库明细!$B$4:$B$2003,"&gt;="&amp;$AF$1,包装物料出入库明细!$B$4:$B$2003,"&lt;="&amp;$AF$2))</f>
        <v/>
      </c>
      <c r="N135" s="25" t="str">
        <f>IF(OR($B135="",_自动清单!$G$15=""),"",SUMIFS(包装物料出入库明细!$J$4:$J$2003,包装物料出入库明细!$D$4:$D$2003,$B135,包装物料出入库明细!$E$4:$E$2003,_自动清单!$G$15,包装物料出入库明细!$B$4:$B$2003,"&gt;="&amp;$AF$1,包装物料出入库明细!$B$4:$B$2003,"&lt;="&amp;$AF$2))</f>
        <v/>
      </c>
      <c r="O135" s="25" t="str">
        <f>IF(OR($B135="",_自动清单!$G$16=""),"",SUMIFS(包装物料出入库明细!$J$4:$J$2003,包装物料出入库明细!$D$4:$D$2003,$B135,包装物料出入库明细!$E$4:$E$2003,_自动清单!$G$16,包装物料出入库明细!$B$4:$B$2003,"&gt;="&amp;$AF$1,包装物料出入库明细!$B$4:$B$2003,"&lt;="&amp;$AF$2))</f>
        <v/>
      </c>
      <c r="P135" s="25" t="str">
        <f>IF(OR($B135="",_自动清单!$G$17=""),"",SUMIFS(包装物料出入库明细!$J$4:$J$2003,包装物料出入库明细!$D$4:$D$2003,$B135,包装物料出入库明细!$E$4:$E$2003,_自动清单!$G$17,包装物料出入库明细!$B$4:$B$2003,"&gt;="&amp;$AF$1,包装物料出入库明细!$B$4:$B$2003,"&lt;="&amp;$AF$2))</f>
        <v/>
      </c>
      <c r="Q135" s="25" t="str">
        <f>IF(OR($B135="",_自动清单!$G$18=""),"",SUMIFS(包装物料出入库明细!$J$4:$J$2003,包装物料出入库明细!$D$4:$D$2003,$B135,包装物料出入库明细!$E$4:$E$2003,_自动清单!$G$18,包装物料出入库明细!$B$4:$B$2003,"&gt;="&amp;$AF$1,包装物料出入库明细!$B$4:$B$2003,"&lt;="&amp;$AF$2))</f>
        <v/>
      </c>
      <c r="R135" s="25" t="str">
        <f>IF(OR($B135="",_自动清单!$G$19=""),"",SUMIFS(包装物料出入库明细!$J$4:$J$2003,包装物料出入库明细!$D$4:$D$2003,$B135,包装物料出入库明细!$E$4:$E$2003,_自动清单!$G$19,包装物料出入库明细!$B$4:$B$2003,"&gt;="&amp;$AF$1,包装物料出入库明细!$B$4:$B$2003,"&lt;="&amp;$AF$2))</f>
        <v/>
      </c>
      <c r="S135" s="25" t="str">
        <f>IF(OR($B135="",_自动清单!$G$20=""),"",SUMIFS(包装物料出入库明细!$J$4:$J$2003,包装物料出入库明细!$D$4:$D$2003,$B135,包装物料出入库明细!$E$4:$E$2003,_自动清单!$G$20,包装物料出入库明细!$B$4:$B$2003,"&gt;="&amp;$AF$1,包装物料出入库明细!$B$4:$B$2003,"&lt;="&amp;$AF$2))</f>
        <v/>
      </c>
      <c r="T135" s="25" t="str">
        <f>IF(OR($B135="",_自动清单!$G$21=""),"",SUMIFS(包装物料出入库明细!$J$4:$J$2003,包装物料出入库明细!$D$4:$D$2003,$B135,包装物料出入库明细!$E$4:$E$2003,_自动清单!$G$21,包装物料出入库明细!$B$4:$B$2003,"&gt;="&amp;$AF$1,包装物料出入库明细!$B$4:$B$2003,"&lt;="&amp;$AF$2))</f>
        <v/>
      </c>
      <c r="U135" s="25" t="str">
        <f>IF($B135="","",SUMIFS(包装物料出入库明细!$J$4:$J$2003,包装物料出入库明细!$D$4:$D$2003,$B135,包装物料出入库明细!$B$4:$B$2003,"&gt;="&amp;$AF$1,包装物料出入库明细!$B$4:$B$2003,"&lt;="&amp;$AF$2)-SUM($C135:$T135))</f>
        <v/>
      </c>
      <c r="V135" s="25" t="str">
        <f t="shared" si="9"/>
        <v/>
      </c>
      <c r="W135" s="56" t="str">
        <f>IF($B135="","",SUMIFS(包装物料出入库明细!$K$4:$K$2003,包装物料出入库明细!$D$4:$D$2003,$B135,包装物料出入库明细!$B$4:$B$2003,"&gt;="&amp;$AF$1,包装物料出入库明细!$B$4:$B$2003,"&lt;="&amp;$AF$2))</f>
        <v/>
      </c>
      <c r="X135" s="25" t="str">
        <f t="shared" si="10"/>
        <v/>
      </c>
      <c r="Y135" s="26" t="str">
        <f>IF($B135="","",ROUND(SUMIFS(包装物料出入库明细!$N$4:$N$2003,包装物料出入库明细!$D$4:$D$2003,$B135,包装物料出入库明细!$H$4:$H$2003,"销售出库",包装物料出入库明细!$B$4:$B$2003,"&gt;="&amp;$AF$1,包装物料出入库明细!$B$4:$B$2003,"&lt;="&amp;$AF$2),2))</f>
        <v/>
      </c>
      <c r="Z135" s="26" t="str">
        <f>IF($B135="","",ROUND(SUMIFS(包装物料出入库明细!$N$4:$N$2003,包装物料出入库明细!$D$4:$D$2003,$B135,包装物料出入库明细!$H$4:$H$2003,"销售出库",包装物料出入库明细!$P$4:$P$2003,"已收讫",包装物料出入库明细!$B$4:$B$2003,"&gt;="&amp;$AF$1,包装物料出入库明细!$B$4:$B$2003,"&lt;="&amp;$AF$2),2))</f>
        <v/>
      </c>
      <c r="AA135" s="26" t="str">
        <f t="shared" si="11"/>
        <v/>
      </c>
      <c r="AB135" s="41"/>
    </row>
    <row r="136" spans="1:28">
      <c r="A136" s="24" t="str">
        <f t="shared" si="8"/>
        <v/>
      </c>
      <c r="B136" s="24" t="str">
        <f>IFERROR(INDEX(_自动清单!$O$4:$O$203,ROW()-3),"")</f>
        <v/>
      </c>
      <c r="C136" s="25" t="str">
        <f>IF(OR($B136="",_自动清单!$G$4=""),"",SUMIFS(包装物料出入库明细!$J$4:$J$2003,包装物料出入库明细!$D$4:$D$2003,$B136,包装物料出入库明细!$E$4:$E$2003,_自动清单!$G$4,包装物料出入库明细!$B$4:$B$2003,"&gt;="&amp;$AF$1,包装物料出入库明细!$B$4:$B$2003,"&lt;="&amp;$AF$2))</f>
        <v/>
      </c>
      <c r="D136" s="25" t="str">
        <f>IF(OR($B136="",_自动清单!$G$5=""),"",SUMIFS(包装物料出入库明细!$J$4:$J$2003,包装物料出入库明细!$D$4:$D$2003,$B136,包装物料出入库明细!$E$4:$E$2003,_自动清单!$G$5,包装物料出入库明细!$B$4:$B$2003,"&gt;="&amp;$AF$1,包装物料出入库明细!$B$4:$B$2003,"&lt;="&amp;$AF$2))</f>
        <v/>
      </c>
      <c r="E136" s="25" t="str">
        <f>IF(OR($B136="",_自动清单!$G$6=""),"",SUMIFS(包装物料出入库明细!$J$4:$J$2003,包装物料出入库明细!$D$4:$D$2003,$B136,包装物料出入库明细!$E$4:$E$2003,_自动清单!$G$6,包装物料出入库明细!$B$4:$B$2003,"&gt;="&amp;$AF$1,包装物料出入库明细!$B$4:$B$2003,"&lt;="&amp;$AF$2))</f>
        <v/>
      </c>
      <c r="F136" s="25" t="str">
        <f>IF(OR($B136="",_自动清单!$G$7=""),"",SUMIFS(包装物料出入库明细!$J$4:$J$2003,包装物料出入库明细!$D$4:$D$2003,$B136,包装物料出入库明细!$E$4:$E$2003,_自动清单!$G$7,包装物料出入库明细!$B$4:$B$2003,"&gt;="&amp;$AF$1,包装物料出入库明细!$B$4:$B$2003,"&lt;="&amp;$AF$2))</f>
        <v/>
      </c>
      <c r="G136" s="25" t="str">
        <f>IF(OR($B136="",_自动清单!$G$8=""),"",SUMIFS(包装物料出入库明细!$J$4:$J$2003,包装物料出入库明细!$D$4:$D$2003,$B136,包装物料出入库明细!$E$4:$E$2003,_自动清单!$G$8,包装物料出入库明细!$B$4:$B$2003,"&gt;="&amp;$AF$1,包装物料出入库明细!$B$4:$B$2003,"&lt;="&amp;$AF$2))</f>
        <v/>
      </c>
      <c r="H136" s="25" t="str">
        <f>IF(OR($B136="",_自动清单!$G$9=""),"",SUMIFS(包装物料出入库明细!$J$4:$J$2003,包装物料出入库明细!$D$4:$D$2003,$B136,包装物料出入库明细!$E$4:$E$2003,_自动清单!$G$9,包装物料出入库明细!$B$4:$B$2003,"&gt;="&amp;$AF$1,包装物料出入库明细!$B$4:$B$2003,"&lt;="&amp;$AF$2))</f>
        <v/>
      </c>
      <c r="I136" s="25" t="str">
        <f>IF(OR($B136="",_自动清单!$G$10=""),"",SUMIFS(包装物料出入库明细!$J$4:$J$2003,包装物料出入库明细!$D$4:$D$2003,$B136,包装物料出入库明细!$E$4:$E$2003,_自动清单!$G$10,包装物料出入库明细!$B$4:$B$2003,"&gt;="&amp;$AF$1,包装物料出入库明细!$B$4:$B$2003,"&lt;="&amp;$AF$2))</f>
        <v/>
      </c>
      <c r="J136" s="25" t="str">
        <f>IF(OR($B136="",_自动清单!$G$11=""),"",SUMIFS(包装物料出入库明细!$J$4:$J$2003,包装物料出入库明细!$D$4:$D$2003,$B136,包装物料出入库明细!$E$4:$E$2003,_自动清单!$G$11,包装物料出入库明细!$B$4:$B$2003,"&gt;="&amp;$AF$1,包装物料出入库明细!$B$4:$B$2003,"&lt;="&amp;$AF$2))</f>
        <v/>
      </c>
      <c r="K136" s="25" t="str">
        <f>IF(OR($B136="",_自动清单!$G$12=""),"",SUMIFS(包装物料出入库明细!$J$4:$J$2003,包装物料出入库明细!$D$4:$D$2003,$B136,包装物料出入库明细!$E$4:$E$2003,_自动清单!$G$12,包装物料出入库明细!$B$4:$B$2003,"&gt;="&amp;$AF$1,包装物料出入库明细!$B$4:$B$2003,"&lt;="&amp;$AF$2))</f>
        <v/>
      </c>
      <c r="L136" s="25" t="str">
        <f>IF(OR($B136="",_自动清单!$G$13=""),"",SUMIFS(包装物料出入库明细!$J$4:$J$2003,包装物料出入库明细!$D$4:$D$2003,$B136,包装物料出入库明细!$E$4:$E$2003,_自动清单!$G$13,包装物料出入库明细!$B$4:$B$2003,"&gt;="&amp;$AF$1,包装物料出入库明细!$B$4:$B$2003,"&lt;="&amp;$AF$2))</f>
        <v/>
      </c>
      <c r="M136" s="25" t="str">
        <f>IF(OR($B136="",_自动清单!$G$14=""),"",SUMIFS(包装物料出入库明细!$J$4:$J$2003,包装物料出入库明细!$D$4:$D$2003,$B136,包装物料出入库明细!$E$4:$E$2003,_自动清单!$G$14,包装物料出入库明细!$B$4:$B$2003,"&gt;="&amp;$AF$1,包装物料出入库明细!$B$4:$B$2003,"&lt;="&amp;$AF$2))</f>
        <v/>
      </c>
      <c r="N136" s="25" t="str">
        <f>IF(OR($B136="",_自动清单!$G$15=""),"",SUMIFS(包装物料出入库明细!$J$4:$J$2003,包装物料出入库明细!$D$4:$D$2003,$B136,包装物料出入库明细!$E$4:$E$2003,_自动清单!$G$15,包装物料出入库明细!$B$4:$B$2003,"&gt;="&amp;$AF$1,包装物料出入库明细!$B$4:$B$2003,"&lt;="&amp;$AF$2))</f>
        <v/>
      </c>
      <c r="O136" s="25" t="str">
        <f>IF(OR($B136="",_自动清单!$G$16=""),"",SUMIFS(包装物料出入库明细!$J$4:$J$2003,包装物料出入库明细!$D$4:$D$2003,$B136,包装物料出入库明细!$E$4:$E$2003,_自动清单!$G$16,包装物料出入库明细!$B$4:$B$2003,"&gt;="&amp;$AF$1,包装物料出入库明细!$B$4:$B$2003,"&lt;="&amp;$AF$2))</f>
        <v/>
      </c>
      <c r="P136" s="25" t="str">
        <f>IF(OR($B136="",_自动清单!$G$17=""),"",SUMIFS(包装物料出入库明细!$J$4:$J$2003,包装物料出入库明细!$D$4:$D$2003,$B136,包装物料出入库明细!$E$4:$E$2003,_自动清单!$G$17,包装物料出入库明细!$B$4:$B$2003,"&gt;="&amp;$AF$1,包装物料出入库明细!$B$4:$B$2003,"&lt;="&amp;$AF$2))</f>
        <v/>
      </c>
      <c r="Q136" s="25" t="str">
        <f>IF(OR($B136="",_自动清单!$G$18=""),"",SUMIFS(包装物料出入库明细!$J$4:$J$2003,包装物料出入库明细!$D$4:$D$2003,$B136,包装物料出入库明细!$E$4:$E$2003,_自动清单!$G$18,包装物料出入库明细!$B$4:$B$2003,"&gt;="&amp;$AF$1,包装物料出入库明细!$B$4:$B$2003,"&lt;="&amp;$AF$2))</f>
        <v/>
      </c>
      <c r="R136" s="25" t="str">
        <f>IF(OR($B136="",_自动清单!$G$19=""),"",SUMIFS(包装物料出入库明细!$J$4:$J$2003,包装物料出入库明细!$D$4:$D$2003,$B136,包装物料出入库明细!$E$4:$E$2003,_自动清单!$G$19,包装物料出入库明细!$B$4:$B$2003,"&gt;="&amp;$AF$1,包装物料出入库明细!$B$4:$B$2003,"&lt;="&amp;$AF$2))</f>
        <v/>
      </c>
      <c r="S136" s="25" t="str">
        <f>IF(OR($B136="",_自动清单!$G$20=""),"",SUMIFS(包装物料出入库明细!$J$4:$J$2003,包装物料出入库明细!$D$4:$D$2003,$B136,包装物料出入库明细!$E$4:$E$2003,_自动清单!$G$20,包装物料出入库明细!$B$4:$B$2003,"&gt;="&amp;$AF$1,包装物料出入库明细!$B$4:$B$2003,"&lt;="&amp;$AF$2))</f>
        <v/>
      </c>
      <c r="T136" s="25" t="str">
        <f>IF(OR($B136="",_自动清单!$G$21=""),"",SUMIFS(包装物料出入库明细!$J$4:$J$2003,包装物料出入库明细!$D$4:$D$2003,$B136,包装物料出入库明细!$E$4:$E$2003,_自动清单!$G$21,包装物料出入库明细!$B$4:$B$2003,"&gt;="&amp;$AF$1,包装物料出入库明细!$B$4:$B$2003,"&lt;="&amp;$AF$2))</f>
        <v/>
      </c>
      <c r="U136" s="25" t="str">
        <f>IF($B136="","",SUMIFS(包装物料出入库明细!$J$4:$J$2003,包装物料出入库明细!$D$4:$D$2003,$B136,包装物料出入库明细!$B$4:$B$2003,"&gt;="&amp;$AF$1,包装物料出入库明细!$B$4:$B$2003,"&lt;="&amp;$AF$2)-SUM($C136:$T136))</f>
        <v/>
      </c>
      <c r="V136" s="25" t="str">
        <f t="shared" si="9"/>
        <v/>
      </c>
      <c r="W136" s="56" t="str">
        <f>IF($B136="","",SUMIFS(包装物料出入库明细!$K$4:$K$2003,包装物料出入库明细!$D$4:$D$2003,$B136,包装物料出入库明细!$B$4:$B$2003,"&gt;="&amp;$AF$1,包装物料出入库明细!$B$4:$B$2003,"&lt;="&amp;$AF$2))</f>
        <v/>
      </c>
      <c r="X136" s="25" t="str">
        <f t="shared" si="10"/>
        <v/>
      </c>
      <c r="Y136" s="26" t="str">
        <f>IF($B136="","",ROUND(SUMIFS(包装物料出入库明细!$N$4:$N$2003,包装物料出入库明细!$D$4:$D$2003,$B136,包装物料出入库明细!$H$4:$H$2003,"销售出库",包装物料出入库明细!$B$4:$B$2003,"&gt;="&amp;$AF$1,包装物料出入库明细!$B$4:$B$2003,"&lt;="&amp;$AF$2),2))</f>
        <v/>
      </c>
      <c r="Z136" s="26" t="str">
        <f>IF($B136="","",ROUND(SUMIFS(包装物料出入库明细!$N$4:$N$2003,包装物料出入库明细!$D$4:$D$2003,$B136,包装物料出入库明细!$H$4:$H$2003,"销售出库",包装物料出入库明细!$P$4:$P$2003,"已收讫",包装物料出入库明细!$B$4:$B$2003,"&gt;="&amp;$AF$1,包装物料出入库明细!$B$4:$B$2003,"&lt;="&amp;$AF$2),2))</f>
        <v/>
      </c>
      <c r="AA136" s="26" t="str">
        <f t="shared" si="11"/>
        <v/>
      </c>
      <c r="AB136" s="41"/>
    </row>
    <row r="137" spans="1:28">
      <c r="A137" s="24" t="str">
        <f t="shared" si="8"/>
        <v/>
      </c>
      <c r="B137" s="24" t="str">
        <f>IFERROR(INDEX(_自动清单!$O$4:$O$203,ROW()-3),"")</f>
        <v/>
      </c>
      <c r="C137" s="25" t="str">
        <f>IF(OR($B137="",_自动清单!$G$4=""),"",SUMIFS(包装物料出入库明细!$J$4:$J$2003,包装物料出入库明细!$D$4:$D$2003,$B137,包装物料出入库明细!$E$4:$E$2003,_自动清单!$G$4,包装物料出入库明细!$B$4:$B$2003,"&gt;="&amp;$AF$1,包装物料出入库明细!$B$4:$B$2003,"&lt;="&amp;$AF$2))</f>
        <v/>
      </c>
      <c r="D137" s="25" t="str">
        <f>IF(OR($B137="",_自动清单!$G$5=""),"",SUMIFS(包装物料出入库明细!$J$4:$J$2003,包装物料出入库明细!$D$4:$D$2003,$B137,包装物料出入库明细!$E$4:$E$2003,_自动清单!$G$5,包装物料出入库明细!$B$4:$B$2003,"&gt;="&amp;$AF$1,包装物料出入库明细!$B$4:$B$2003,"&lt;="&amp;$AF$2))</f>
        <v/>
      </c>
      <c r="E137" s="25" t="str">
        <f>IF(OR($B137="",_自动清单!$G$6=""),"",SUMIFS(包装物料出入库明细!$J$4:$J$2003,包装物料出入库明细!$D$4:$D$2003,$B137,包装物料出入库明细!$E$4:$E$2003,_自动清单!$G$6,包装物料出入库明细!$B$4:$B$2003,"&gt;="&amp;$AF$1,包装物料出入库明细!$B$4:$B$2003,"&lt;="&amp;$AF$2))</f>
        <v/>
      </c>
      <c r="F137" s="25" t="str">
        <f>IF(OR($B137="",_自动清单!$G$7=""),"",SUMIFS(包装物料出入库明细!$J$4:$J$2003,包装物料出入库明细!$D$4:$D$2003,$B137,包装物料出入库明细!$E$4:$E$2003,_自动清单!$G$7,包装物料出入库明细!$B$4:$B$2003,"&gt;="&amp;$AF$1,包装物料出入库明细!$B$4:$B$2003,"&lt;="&amp;$AF$2))</f>
        <v/>
      </c>
      <c r="G137" s="25" t="str">
        <f>IF(OR($B137="",_自动清单!$G$8=""),"",SUMIFS(包装物料出入库明细!$J$4:$J$2003,包装物料出入库明细!$D$4:$D$2003,$B137,包装物料出入库明细!$E$4:$E$2003,_自动清单!$G$8,包装物料出入库明细!$B$4:$B$2003,"&gt;="&amp;$AF$1,包装物料出入库明细!$B$4:$B$2003,"&lt;="&amp;$AF$2))</f>
        <v/>
      </c>
      <c r="H137" s="25" t="str">
        <f>IF(OR($B137="",_自动清单!$G$9=""),"",SUMIFS(包装物料出入库明细!$J$4:$J$2003,包装物料出入库明细!$D$4:$D$2003,$B137,包装物料出入库明细!$E$4:$E$2003,_自动清单!$G$9,包装物料出入库明细!$B$4:$B$2003,"&gt;="&amp;$AF$1,包装物料出入库明细!$B$4:$B$2003,"&lt;="&amp;$AF$2))</f>
        <v/>
      </c>
      <c r="I137" s="25" t="str">
        <f>IF(OR($B137="",_自动清单!$G$10=""),"",SUMIFS(包装物料出入库明细!$J$4:$J$2003,包装物料出入库明细!$D$4:$D$2003,$B137,包装物料出入库明细!$E$4:$E$2003,_自动清单!$G$10,包装物料出入库明细!$B$4:$B$2003,"&gt;="&amp;$AF$1,包装物料出入库明细!$B$4:$B$2003,"&lt;="&amp;$AF$2))</f>
        <v/>
      </c>
      <c r="J137" s="25" t="str">
        <f>IF(OR($B137="",_自动清单!$G$11=""),"",SUMIFS(包装物料出入库明细!$J$4:$J$2003,包装物料出入库明细!$D$4:$D$2003,$B137,包装物料出入库明细!$E$4:$E$2003,_自动清单!$G$11,包装物料出入库明细!$B$4:$B$2003,"&gt;="&amp;$AF$1,包装物料出入库明细!$B$4:$B$2003,"&lt;="&amp;$AF$2))</f>
        <v/>
      </c>
      <c r="K137" s="25" t="str">
        <f>IF(OR($B137="",_自动清单!$G$12=""),"",SUMIFS(包装物料出入库明细!$J$4:$J$2003,包装物料出入库明细!$D$4:$D$2003,$B137,包装物料出入库明细!$E$4:$E$2003,_自动清单!$G$12,包装物料出入库明细!$B$4:$B$2003,"&gt;="&amp;$AF$1,包装物料出入库明细!$B$4:$B$2003,"&lt;="&amp;$AF$2))</f>
        <v/>
      </c>
      <c r="L137" s="25" t="str">
        <f>IF(OR($B137="",_自动清单!$G$13=""),"",SUMIFS(包装物料出入库明细!$J$4:$J$2003,包装物料出入库明细!$D$4:$D$2003,$B137,包装物料出入库明细!$E$4:$E$2003,_自动清单!$G$13,包装物料出入库明细!$B$4:$B$2003,"&gt;="&amp;$AF$1,包装物料出入库明细!$B$4:$B$2003,"&lt;="&amp;$AF$2))</f>
        <v/>
      </c>
      <c r="M137" s="25" t="str">
        <f>IF(OR($B137="",_自动清单!$G$14=""),"",SUMIFS(包装物料出入库明细!$J$4:$J$2003,包装物料出入库明细!$D$4:$D$2003,$B137,包装物料出入库明细!$E$4:$E$2003,_自动清单!$G$14,包装物料出入库明细!$B$4:$B$2003,"&gt;="&amp;$AF$1,包装物料出入库明细!$B$4:$B$2003,"&lt;="&amp;$AF$2))</f>
        <v/>
      </c>
      <c r="N137" s="25" t="str">
        <f>IF(OR($B137="",_自动清单!$G$15=""),"",SUMIFS(包装物料出入库明细!$J$4:$J$2003,包装物料出入库明细!$D$4:$D$2003,$B137,包装物料出入库明细!$E$4:$E$2003,_自动清单!$G$15,包装物料出入库明细!$B$4:$B$2003,"&gt;="&amp;$AF$1,包装物料出入库明细!$B$4:$B$2003,"&lt;="&amp;$AF$2))</f>
        <v/>
      </c>
      <c r="O137" s="25" t="str">
        <f>IF(OR($B137="",_自动清单!$G$16=""),"",SUMIFS(包装物料出入库明细!$J$4:$J$2003,包装物料出入库明细!$D$4:$D$2003,$B137,包装物料出入库明细!$E$4:$E$2003,_自动清单!$G$16,包装物料出入库明细!$B$4:$B$2003,"&gt;="&amp;$AF$1,包装物料出入库明细!$B$4:$B$2003,"&lt;="&amp;$AF$2))</f>
        <v/>
      </c>
      <c r="P137" s="25" t="str">
        <f>IF(OR($B137="",_自动清单!$G$17=""),"",SUMIFS(包装物料出入库明细!$J$4:$J$2003,包装物料出入库明细!$D$4:$D$2003,$B137,包装物料出入库明细!$E$4:$E$2003,_自动清单!$G$17,包装物料出入库明细!$B$4:$B$2003,"&gt;="&amp;$AF$1,包装物料出入库明细!$B$4:$B$2003,"&lt;="&amp;$AF$2))</f>
        <v/>
      </c>
      <c r="Q137" s="25" t="str">
        <f>IF(OR($B137="",_自动清单!$G$18=""),"",SUMIFS(包装物料出入库明细!$J$4:$J$2003,包装物料出入库明细!$D$4:$D$2003,$B137,包装物料出入库明细!$E$4:$E$2003,_自动清单!$G$18,包装物料出入库明细!$B$4:$B$2003,"&gt;="&amp;$AF$1,包装物料出入库明细!$B$4:$B$2003,"&lt;="&amp;$AF$2))</f>
        <v/>
      </c>
      <c r="R137" s="25" t="str">
        <f>IF(OR($B137="",_自动清单!$G$19=""),"",SUMIFS(包装物料出入库明细!$J$4:$J$2003,包装物料出入库明细!$D$4:$D$2003,$B137,包装物料出入库明细!$E$4:$E$2003,_自动清单!$G$19,包装物料出入库明细!$B$4:$B$2003,"&gt;="&amp;$AF$1,包装物料出入库明细!$B$4:$B$2003,"&lt;="&amp;$AF$2))</f>
        <v/>
      </c>
      <c r="S137" s="25" t="str">
        <f>IF(OR($B137="",_自动清单!$G$20=""),"",SUMIFS(包装物料出入库明细!$J$4:$J$2003,包装物料出入库明细!$D$4:$D$2003,$B137,包装物料出入库明细!$E$4:$E$2003,_自动清单!$G$20,包装物料出入库明细!$B$4:$B$2003,"&gt;="&amp;$AF$1,包装物料出入库明细!$B$4:$B$2003,"&lt;="&amp;$AF$2))</f>
        <v/>
      </c>
      <c r="T137" s="25" t="str">
        <f>IF(OR($B137="",_自动清单!$G$21=""),"",SUMIFS(包装物料出入库明细!$J$4:$J$2003,包装物料出入库明细!$D$4:$D$2003,$B137,包装物料出入库明细!$E$4:$E$2003,_自动清单!$G$21,包装物料出入库明细!$B$4:$B$2003,"&gt;="&amp;$AF$1,包装物料出入库明细!$B$4:$B$2003,"&lt;="&amp;$AF$2))</f>
        <v/>
      </c>
      <c r="U137" s="25" t="str">
        <f>IF($B137="","",SUMIFS(包装物料出入库明细!$J$4:$J$2003,包装物料出入库明细!$D$4:$D$2003,$B137,包装物料出入库明细!$B$4:$B$2003,"&gt;="&amp;$AF$1,包装物料出入库明细!$B$4:$B$2003,"&lt;="&amp;$AF$2)-SUM($C137:$T137))</f>
        <v/>
      </c>
      <c r="V137" s="25" t="str">
        <f t="shared" si="9"/>
        <v/>
      </c>
      <c r="W137" s="56" t="str">
        <f>IF($B137="","",SUMIFS(包装物料出入库明细!$K$4:$K$2003,包装物料出入库明细!$D$4:$D$2003,$B137,包装物料出入库明细!$B$4:$B$2003,"&gt;="&amp;$AF$1,包装物料出入库明细!$B$4:$B$2003,"&lt;="&amp;$AF$2))</f>
        <v/>
      </c>
      <c r="X137" s="25" t="str">
        <f t="shared" si="10"/>
        <v/>
      </c>
      <c r="Y137" s="26" t="str">
        <f>IF($B137="","",ROUND(SUMIFS(包装物料出入库明细!$N$4:$N$2003,包装物料出入库明细!$D$4:$D$2003,$B137,包装物料出入库明细!$H$4:$H$2003,"销售出库",包装物料出入库明细!$B$4:$B$2003,"&gt;="&amp;$AF$1,包装物料出入库明细!$B$4:$B$2003,"&lt;="&amp;$AF$2),2))</f>
        <v/>
      </c>
      <c r="Z137" s="26" t="str">
        <f>IF($B137="","",ROUND(SUMIFS(包装物料出入库明细!$N$4:$N$2003,包装物料出入库明细!$D$4:$D$2003,$B137,包装物料出入库明细!$H$4:$H$2003,"销售出库",包装物料出入库明细!$P$4:$P$2003,"已收讫",包装物料出入库明细!$B$4:$B$2003,"&gt;="&amp;$AF$1,包装物料出入库明细!$B$4:$B$2003,"&lt;="&amp;$AF$2),2))</f>
        <v/>
      </c>
      <c r="AA137" s="26" t="str">
        <f t="shared" si="11"/>
        <v/>
      </c>
      <c r="AB137" s="41"/>
    </row>
    <row r="138" spans="1:28">
      <c r="A138" s="24" t="str">
        <f t="shared" si="8"/>
        <v/>
      </c>
      <c r="B138" s="24" t="str">
        <f>IFERROR(INDEX(_自动清单!$O$4:$O$203,ROW()-3),"")</f>
        <v/>
      </c>
      <c r="C138" s="25" t="str">
        <f>IF(OR($B138="",_自动清单!$G$4=""),"",SUMIFS(包装物料出入库明细!$J$4:$J$2003,包装物料出入库明细!$D$4:$D$2003,$B138,包装物料出入库明细!$E$4:$E$2003,_自动清单!$G$4,包装物料出入库明细!$B$4:$B$2003,"&gt;="&amp;$AF$1,包装物料出入库明细!$B$4:$B$2003,"&lt;="&amp;$AF$2))</f>
        <v/>
      </c>
      <c r="D138" s="25" t="str">
        <f>IF(OR($B138="",_自动清单!$G$5=""),"",SUMIFS(包装物料出入库明细!$J$4:$J$2003,包装物料出入库明细!$D$4:$D$2003,$B138,包装物料出入库明细!$E$4:$E$2003,_自动清单!$G$5,包装物料出入库明细!$B$4:$B$2003,"&gt;="&amp;$AF$1,包装物料出入库明细!$B$4:$B$2003,"&lt;="&amp;$AF$2))</f>
        <v/>
      </c>
      <c r="E138" s="25" t="str">
        <f>IF(OR($B138="",_自动清单!$G$6=""),"",SUMIFS(包装物料出入库明细!$J$4:$J$2003,包装物料出入库明细!$D$4:$D$2003,$B138,包装物料出入库明细!$E$4:$E$2003,_自动清单!$G$6,包装物料出入库明细!$B$4:$B$2003,"&gt;="&amp;$AF$1,包装物料出入库明细!$B$4:$B$2003,"&lt;="&amp;$AF$2))</f>
        <v/>
      </c>
      <c r="F138" s="25" t="str">
        <f>IF(OR($B138="",_自动清单!$G$7=""),"",SUMIFS(包装物料出入库明细!$J$4:$J$2003,包装物料出入库明细!$D$4:$D$2003,$B138,包装物料出入库明细!$E$4:$E$2003,_自动清单!$G$7,包装物料出入库明细!$B$4:$B$2003,"&gt;="&amp;$AF$1,包装物料出入库明细!$B$4:$B$2003,"&lt;="&amp;$AF$2))</f>
        <v/>
      </c>
      <c r="G138" s="25" t="str">
        <f>IF(OR($B138="",_自动清单!$G$8=""),"",SUMIFS(包装物料出入库明细!$J$4:$J$2003,包装物料出入库明细!$D$4:$D$2003,$B138,包装物料出入库明细!$E$4:$E$2003,_自动清单!$G$8,包装物料出入库明细!$B$4:$B$2003,"&gt;="&amp;$AF$1,包装物料出入库明细!$B$4:$B$2003,"&lt;="&amp;$AF$2))</f>
        <v/>
      </c>
      <c r="H138" s="25" t="str">
        <f>IF(OR($B138="",_自动清单!$G$9=""),"",SUMIFS(包装物料出入库明细!$J$4:$J$2003,包装物料出入库明细!$D$4:$D$2003,$B138,包装物料出入库明细!$E$4:$E$2003,_自动清单!$G$9,包装物料出入库明细!$B$4:$B$2003,"&gt;="&amp;$AF$1,包装物料出入库明细!$B$4:$B$2003,"&lt;="&amp;$AF$2))</f>
        <v/>
      </c>
      <c r="I138" s="25" t="str">
        <f>IF(OR($B138="",_自动清单!$G$10=""),"",SUMIFS(包装物料出入库明细!$J$4:$J$2003,包装物料出入库明细!$D$4:$D$2003,$B138,包装物料出入库明细!$E$4:$E$2003,_自动清单!$G$10,包装物料出入库明细!$B$4:$B$2003,"&gt;="&amp;$AF$1,包装物料出入库明细!$B$4:$B$2003,"&lt;="&amp;$AF$2))</f>
        <v/>
      </c>
      <c r="J138" s="25" t="str">
        <f>IF(OR($B138="",_自动清单!$G$11=""),"",SUMIFS(包装物料出入库明细!$J$4:$J$2003,包装物料出入库明细!$D$4:$D$2003,$B138,包装物料出入库明细!$E$4:$E$2003,_自动清单!$G$11,包装物料出入库明细!$B$4:$B$2003,"&gt;="&amp;$AF$1,包装物料出入库明细!$B$4:$B$2003,"&lt;="&amp;$AF$2))</f>
        <v/>
      </c>
      <c r="K138" s="25" t="str">
        <f>IF(OR($B138="",_自动清单!$G$12=""),"",SUMIFS(包装物料出入库明细!$J$4:$J$2003,包装物料出入库明细!$D$4:$D$2003,$B138,包装物料出入库明细!$E$4:$E$2003,_自动清单!$G$12,包装物料出入库明细!$B$4:$B$2003,"&gt;="&amp;$AF$1,包装物料出入库明细!$B$4:$B$2003,"&lt;="&amp;$AF$2))</f>
        <v/>
      </c>
      <c r="L138" s="25" t="str">
        <f>IF(OR($B138="",_自动清单!$G$13=""),"",SUMIFS(包装物料出入库明细!$J$4:$J$2003,包装物料出入库明细!$D$4:$D$2003,$B138,包装物料出入库明细!$E$4:$E$2003,_自动清单!$G$13,包装物料出入库明细!$B$4:$B$2003,"&gt;="&amp;$AF$1,包装物料出入库明细!$B$4:$B$2003,"&lt;="&amp;$AF$2))</f>
        <v/>
      </c>
      <c r="M138" s="25" t="str">
        <f>IF(OR($B138="",_自动清单!$G$14=""),"",SUMIFS(包装物料出入库明细!$J$4:$J$2003,包装物料出入库明细!$D$4:$D$2003,$B138,包装物料出入库明细!$E$4:$E$2003,_自动清单!$G$14,包装物料出入库明细!$B$4:$B$2003,"&gt;="&amp;$AF$1,包装物料出入库明细!$B$4:$B$2003,"&lt;="&amp;$AF$2))</f>
        <v/>
      </c>
      <c r="N138" s="25" t="str">
        <f>IF(OR($B138="",_自动清单!$G$15=""),"",SUMIFS(包装物料出入库明细!$J$4:$J$2003,包装物料出入库明细!$D$4:$D$2003,$B138,包装物料出入库明细!$E$4:$E$2003,_自动清单!$G$15,包装物料出入库明细!$B$4:$B$2003,"&gt;="&amp;$AF$1,包装物料出入库明细!$B$4:$B$2003,"&lt;="&amp;$AF$2))</f>
        <v/>
      </c>
      <c r="O138" s="25" t="str">
        <f>IF(OR($B138="",_自动清单!$G$16=""),"",SUMIFS(包装物料出入库明细!$J$4:$J$2003,包装物料出入库明细!$D$4:$D$2003,$B138,包装物料出入库明细!$E$4:$E$2003,_自动清单!$G$16,包装物料出入库明细!$B$4:$B$2003,"&gt;="&amp;$AF$1,包装物料出入库明细!$B$4:$B$2003,"&lt;="&amp;$AF$2))</f>
        <v/>
      </c>
      <c r="P138" s="25" t="str">
        <f>IF(OR($B138="",_自动清单!$G$17=""),"",SUMIFS(包装物料出入库明细!$J$4:$J$2003,包装物料出入库明细!$D$4:$D$2003,$B138,包装物料出入库明细!$E$4:$E$2003,_自动清单!$G$17,包装物料出入库明细!$B$4:$B$2003,"&gt;="&amp;$AF$1,包装物料出入库明细!$B$4:$B$2003,"&lt;="&amp;$AF$2))</f>
        <v/>
      </c>
      <c r="Q138" s="25" t="str">
        <f>IF(OR($B138="",_自动清单!$G$18=""),"",SUMIFS(包装物料出入库明细!$J$4:$J$2003,包装物料出入库明细!$D$4:$D$2003,$B138,包装物料出入库明细!$E$4:$E$2003,_自动清单!$G$18,包装物料出入库明细!$B$4:$B$2003,"&gt;="&amp;$AF$1,包装物料出入库明细!$B$4:$B$2003,"&lt;="&amp;$AF$2))</f>
        <v/>
      </c>
      <c r="R138" s="25" t="str">
        <f>IF(OR($B138="",_自动清单!$G$19=""),"",SUMIFS(包装物料出入库明细!$J$4:$J$2003,包装物料出入库明细!$D$4:$D$2003,$B138,包装物料出入库明细!$E$4:$E$2003,_自动清单!$G$19,包装物料出入库明细!$B$4:$B$2003,"&gt;="&amp;$AF$1,包装物料出入库明细!$B$4:$B$2003,"&lt;="&amp;$AF$2))</f>
        <v/>
      </c>
      <c r="S138" s="25" t="str">
        <f>IF(OR($B138="",_自动清单!$G$20=""),"",SUMIFS(包装物料出入库明细!$J$4:$J$2003,包装物料出入库明细!$D$4:$D$2003,$B138,包装物料出入库明细!$E$4:$E$2003,_自动清单!$G$20,包装物料出入库明细!$B$4:$B$2003,"&gt;="&amp;$AF$1,包装物料出入库明细!$B$4:$B$2003,"&lt;="&amp;$AF$2))</f>
        <v/>
      </c>
      <c r="T138" s="25" t="str">
        <f>IF(OR($B138="",_自动清单!$G$21=""),"",SUMIFS(包装物料出入库明细!$J$4:$J$2003,包装物料出入库明细!$D$4:$D$2003,$B138,包装物料出入库明细!$E$4:$E$2003,_自动清单!$G$21,包装物料出入库明细!$B$4:$B$2003,"&gt;="&amp;$AF$1,包装物料出入库明细!$B$4:$B$2003,"&lt;="&amp;$AF$2))</f>
        <v/>
      </c>
      <c r="U138" s="25" t="str">
        <f>IF($B138="","",SUMIFS(包装物料出入库明细!$J$4:$J$2003,包装物料出入库明细!$D$4:$D$2003,$B138,包装物料出入库明细!$B$4:$B$2003,"&gt;="&amp;$AF$1,包装物料出入库明细!$B$4:$B$2003,"&lt;="&amp;$AF$2)-SUM($C138:$T138))</f>
        <v/>
      </c>
      <c r="V138" s="25" t="str">
        <f t="shared" si="9"/>
        <v/>
      </c>
      <c r="W138" s="56" t="str">
        <f>IF($B138="","",SUMIFS(包装物料出入库明细!$K$4:$K$2003,包装物料出入库明细!$D$4:$D$2003,$B138,包装物料出入库明细!$B$4:$B$2003,"&gt;="&amp;$AF$1,包装物料出入库明细!$B$4:$B$2003,"&lt;="&amp;$AF$2))</f>
        <v/>
      </c>
      <c r="X138" s="25" t="str">
        <f t="shared" si="10"/>
        <v/>
      </c>
      <c r="Y138" s="26" t="str">
        <f>IF($B138="","",ROUND(SUMIFS(包装物料出入库明细!$N$4:$N$2003,包装物料出入库明细!$D$4:$D$2003,$B138,包装物料出入库明细!$H$4:$H$2003,"销售出库",包装物料出入库明细!$B$4:$B$2003,"&gt;="&amp;$AF$1,包装物料出入库明细!$B$4:$B$2003,"&lt;="&amp;$AF$2),2))</f>
        <v/>
      </c>
      <c r="Z138" s="26" t="str">
        <f>IF($B138="","",ROUND(SUMIFS(包装物料出入库明细!$N$4:$N$2003,包装物料出入库明细!$D$4:$D$2003,$B138,包装物料出入库明细!$H$4:$H$2003,"销售出库",包装物料出入库明细!$P$4:$P$2003,"已收讫",包装物料出入库明细!$B$4:$B$2003,"&gt;="&amp;$AF$1,包装物料出入库明细!$B$4:$B$2003,"&lt;="&amp;$AF$2),2))</f>
        <v/>
      </c>
      <c r="AA138" s="26" t="str">
        <f t="shared" si="11"/>
        <v/>
      </c>
      <c r="AB138" s="41"/>
    </row>
    <row r="139" spans="1:28">
      <c r="A139" s="24" t="str">
        <f t="shared" si="8"/>
        <v/>
      </c>
      <c r="B139" s="24" t="str">
        <f>IFERROR(INDEX(_自动清单!$O$4:$O$203,ROW()-3),"")</f>
        <v/>
      </c>
      <c r="C139" s="25" t="str">
        <f>IF(OR($B139="",_自动清单!$G$4=""),"",SUMIFS(包装物料出入库明细!$J$4:$J$2003,包装物料出入库明细!$D$4:$D$2003,$B139,包装物料出入库明细!$E$4:$E$2003,_自动清单!$G$4,包装物料出入库明细!$B$4:$B$2003,"&gt;="&amp;$AF$1,包装物料出入库明细!$B$4:$B$2003,"&lt;="&amp;$AF$2))</f>
        <v/>
      </c>
      <c r="D139" s="25" t="str">
        <f>IF(OR($B139="",_自动清单!$G$5=""),"",SUMIFS(包装物料出入库明细!$J$4:$J$2003,包装物料出入库明细!$D$4:$D$2003,$B139,包装物料出入库明细!$E$4:$E$2003,_自动清单!$G$5,包装物料出入库明细!$B$4:$B$2003,"&gt;="&amp;$AF$1,包装物料出入库明细!$B$4:$B$2003,"&lt;="&amp;$AF$2))</f>
        <v/>
      </c>
      <c r="E139" s="25" t="str">
        <f>IF(OR($B139="",_自动清单!$G$6=""),"",SUMIFS(包装物料出入库明细!$J$4:$J$2003,包装物料出入库明细!$D$4:$D$2003,$B139,包装物料出入库明细!$E$4:$E$2003,_自动清单!$G$6,包装物料出入库明细!$B$4:$B$2003,"&gt;="&amp;$AF$1,包装物料出入库明细!$B$4:$B$2003,"&lt;="&amp;$AF$2))</f>
        <v/>
      </c>
      <c r="F139" s="25" t="str">
        <f>IF(OR($B139="",_自动清单!$G$7=""),"",SUMIFS(包装物料出入库明细!$J$4:$J$2003,包装物料出入库明细!$D$4:$D$2003,$B139,包装物料出入库明细!$E$4:$E$2003,_自动清单!$G$7,包装物料出入库明细!$B$4:$B$2003,"&gt;="&amp;$AF$1,包装物料出入库明细!$B$4:$B$2003,"&lt;="&amp;$AF$2))</f>
        <v/>
      </c>
      <c r="G139" s="25" t="str">
        <f>IF(OR($B139="",_自动清单!$G$8=""),"",SUMIFS(包装物料出入库明细!$J$4:$J$2003,包装物料出入库明细!$D$4:$D$2003,$B139,包装物料出入库明细!$E$4:$E$2003,_自动清单!$G$8,包装物料出入库明细!$B$4:$B$2003,"&gt;="&amp;$AF$1,包装物料出入库明细!$B$4:$B$2003,"&lt;="&amp;$AF$2))</f>
        <v/>
      </c>
      <c r="H139" s="25" t="str">
        <f>IF(OR($B139="",_自动清单!$G$9=""),"",SUMIFS(包装物料出入库明细!$J$4:$J$2003,包装物料出入库明细!$D$4:$D$2003,$B139,包装物料出入库明细!$E$4:$E$2003,_自动清单!$G$9,包装物料出入库明细!$B$4:$B$2003,"&gt;="&amp;$AF$1,包装物料出入库明细!$B$4:$B$2003,"&lt;="&amp;$AF$2))</f>
        <v/>
      </c>
      <c r="I139" s="25" t="str">
        <f>IF(OR($B139="",_自动清单!$G$10=""),"",SUMIFS(包装物料出入库明细!$J$4:$J$2003,包装物料出入库明细!$D$4:$D$2003,$B139,包装物料出入库明细!$E$4:$E$2003,_自动清单!$G$10,包装物料出入库明细!$B$4:$B$2003,"&gt;="&amp;$AF$1,包装物料出入库明细!$B$4:$B$2003,"&lt;="&amp;$AF$2))</f>
        <v/>
      </c>
      <c r="J139" s="25" t="str">
        <f>IF(OR($B139="",_自动清单!$G$11=""),"",SUMIFS(包装物料出入库明细!$J$4:$J$2003,包装物料出入库明细!$D$4:$D$2003,$B139,包装物料出入库明细!$E$4:$E$2003,_自动清单!$G$11,包装物料出入库明细!$B$4:$B$2003,"&gt;="&amp;$AF$1,包装物料出入库明细!$B$4:$B$2003,"&lt;="&amp;$AF$2))</f>
        <v/>
      </c>
      <c r="K139" s="25" t="str">
        <f>IF(OR($B139="",_自动清单!$G$12=""),"",SUMIFS(包装物料出入库明细!$J$4:$J$2003,包装物料出入库明细!$D$4:$D$2003,$B139,包装物料出入库明细!$E$4:$E$2003,_自动清单!$G$12,包装物料出入库明细!$B$4:$B$2003,"&gt;="&amp;$AF$1,包装物料出入库明细!$B$4:$B$2003,"&lt;="&amp;$AF$2))</f>
        <v/>
      </c>
      <c r="L139" s="25" t="str">
        <f>IF(OR($B139="",_自动清单!$G$13=""),"",SUMIFS(包装物料出入库明细!$J$4:$J$2003,包装物料出入库明细!$D$4:$D$2003,$B139,包装物料出入库明细!$E$4:$E$2003,_自动清单!$G$13,包装物料出入库明细!$B$4:$B$2003,"&gt;="&amp;$AF$1,包装物料出入库明细!$B$4:$B$2003,"&lt;="&amp;$AF$2))</f>
        <v/>
      </c>
      <c r="M139" s="25" t="str">
        <f>IF(OR($B139="",_自动清单!$G$14=""),"",SUMIFS(包装物料出入库明细!$J$4:$J$2003,包装物料出入库明细!$D$4:$D$2003,$B139,包装物料出入库明细!$E$4:$E$2003,_自动清单!$G$14,包装物料出入库明细!$B$4:$B$2003,"&gt;="&amp;$AF$1,包装物料出入库明细!$B$4:$B$2003,"&lt;="&amp;$AF$2))</f>
        <v/>
      </c>
      <c r="N139" s="25" t="str">
        <f>IF(OR($B139="",_自动清单!$G$15=""),"",SUMIFS(包装物料出入库明细!$J$4:$J$2003,包装物料出入库明细!$D$4:$D$2003,$B139,包装物料出入库明细!$E$4:$E$2003,_自动清单!$G$15,包装物料出入库明细!$B$4:$B$2003,"&gt;="&amp;$AF$1,包装物料出入库明细!$B$4:$B$2003,"&lt;="&amp;$AF$2))</f>
        <v/>
      </c>
      <c r="O139" s="25" t="str">
        <f>IF(OR($B139="",_自动清单!$G$16=""),"",SUMIFS(包装物料出入库明细!$J$4:$J$2003,包装物料出入库明细!$D$4:$D$2003,$B139,包装物料出入库明细!$E$4:$E$2003,_自动清单!$G$16,包装物料出入库明细!$B$4:$B$2003,"&gt;="&amp;$AF$1,包装物料出入库明细!$B$4:$B$2003,"&lt;="&amp;$AF$2))</f>
        <v/>
      </c>
      <c r="P139" s="25" t="str">
        <f>IF(OR($B139="",_自动清单!$G$17=""),"",SUMIFS(包装物料出入库明细!$J$4:$J$2003,包装物料出入库明细!$D$4:$D$2003,$B139,包装物料出入库明细!$E$4:$E$2003,_自动清单!$G$17,包装物料出入库明细!$B$4:$B$2003,"&gt;="&amp;$AF$1,包装物料出入库明细!$B$4:$B$2003,"&lt;="&amp;$AF$2))</f>
        <v/>
      </c>
      <c r="Q139" s="25" t="str">
        <f>IF(OR($B139="",_自动清单!$G$18=""),"",SUMIFS(包装物料出入库明细!$J$4:$J$2003,包装物料出入库明细!$D$4:$D$2003,$B139,包装物料出入库明细!$E$4:$E$2003,_自动清单!$G$18,包装物料出入库明细!$B$4:$B$2003,"&gt;="&amp;$AF$1,包装物料出入库明细!$B$4:$B$2003,"&lt;="&amp;$AF$2))</f>
        <v/>
      </c>
      <c r="R139" s="25" t="str">
        <f>IF(OR($B139="",_自动清单!$G$19=""),"",SUMIFS(包装物料出入库明细!$J$4:$J$2003,包装物料出入库明细!$D$4:$D$2003,$B139,包装物料出入库明细!$E$4:$E$2003,_自动清单!$G$19,包装物料出入库明细!$B$4:$B$2003,"&gt;="&amp;$AF$1,包装物料出入库明细!$B$4:$B$2003,"&lt;="&amp;$AF$2))</f>
        <v/>
      </c>
      <c r="S139" s="25" t="str">
        <f>IF(OR($B139="",_自动清单!$G$20=""),"",SUMIFS(包装物料出入库明细!$J$4:$J$2003,包装物料出入库明细!$D$4:$D$2003,$B139,包装物料出入库明细!$E$4:$E$2003,_自动清单!$G$20,包装物料出入库明细!$B$4:$B$2003,"&gt;="&amp;$AF$1,包装物料出入库明细!$B$4:$B$2003,"&lt;="&amp;$AF$2))</f>
        <v/>
      </c>
      <c r="T139" s="25" t="str">
        <f>IF(OR($B139="",_自动清单!$G$21=""),"",SUMIFS(包装物料出入库明细!$J$4:$J$2003,包装物料出入库明细!$D$4:$D$2003,$B139,包装物料出入库明细!$E$4:$E$2003,_自动清单!$G$21,包装物料出入库明细!$B$4:$B$2003,"&gt;="&amp;$AF$1,包装物料出入库明细!$B$4:$B$2003,"&lt;="&amp;$AF$2))</f>
        <v/>
      </c>
      <c r="U139" s="25" t="str">
        <f>IF($B139="","",SUMIFS(包装物料出入库明细!$J$4:$J$2003,包装物料出入库明细!$D$4:$D$2003,$B139,包装物料出入库明细!$B$4:$B$2003,"&gt;="&amp;$AF$1,包装物料出入库明细!$B$4:$B$2003,"&lt;="&amp;$AF$2)-SUM($C139:$T139))</f>
        <v/>
      </c>
      <c r="V139" s="25" t="str">
        <f t="shared" si="9"/>
        <v/>
      </c>
      <c r="W139" s="56" t="str">
        <f>IF($B139="","",SUMIFS(包装物料出入库明细!$K$4:$K$2003,包装物料出入库明细!$D$4:$D$2003,$B139,包装物料出入库明细!$B$4:$B$2003,"&gt;="&amp;$AF$1,包装物料出入库明细!$B$4:$B$2003,"&lt;="&amp;$AF$2))</f>
        <v/>
      </c>
      <c r="X139" s="25" t="str">
        <f t="shared" si="10"/>
        <v/>
      </c>
      <c r="Y139" s="26" t="str">
        <f>IF($B139="","",ROUND(SUMIFS(包装物料出入库明细!$N$4:$N$2003,包装物料出入库明细!$D$4:$D$2003,$B139,包装物料出入库明细!$H$4:$H$2003,"销售出库",包装物料出入库明细!$B$4:$B$2003,"&gt;="&amp;$AF$1,包装物料出入库明细!$B$4:$B$2003,"&lt;="&amp;$AF$2),2))</f>
        <v/>
      </c>
      <c r="Z139" s="26" t="str">
        <f>IF($B139="","",ROUND(SUMIFS(包装物料出入库明细!$N$4:$N$2003,包装物料出入库明细!$D$4:$D$2003,$B139,包装物料出入库明细!$H$4:$H$2003,"销售出库",包装物料出入库明细!$P$4:$P$2003,"已收讫",包装物料出入库明细!$B$4:$B$2003,"&gt;="&amp;$AF$1,包装物料出入库明细!$B$4:$B$2003,"&lt;="&amp;$AF$2),2))</f>
        <v/>
      </c>
      <c r="AA139" s="26" t="str">
        <f t="shared" si="11"/>
        <v/>
      </c>
      <c r="AB139" s="41"/>
    </row>
    <row r="140" spans="1:28">
      <c r="A140" s="24" t="str">
        <f t="shared" si="8"/>
        <v/>
      </c>
      <c r="B140" s="24" t="str">
        <f>IFERROR(INDEX(_自动清单!$O$4:$O$203,ROW()-3),"")</f>
        <v/>
      </c>
      <c r="C140" s="25" t="str">
        <f>IF(OR($B140="",_自动清单!$G$4=""),"",SUMIFS(包装物料出入库明细!$J$4:$J$2003,包装物料出入库明细!$D$4:$D$2003,$B140,包装物料出入库明细!$E$4:$E$2003,_自动清单!$G$4,包装物料出入库明细!$B$4:$B$2003,"&gt;="&amp;$AF$1,包装物料出入库明细!$B$4:$B$2003,"&lt;="&amp;$AF$2))</f>
        <v/>
      </c>
      <c r="D140" s="25" t="str">
        <f>IF(OR($B140="",_自动清单!$G$5=""),"",SUMIFS(包装物料出入库明细!$J$4:$J$2003,包装物料出入库明细!$D$4:$D$2003,$B140,包装物料出入库明细!$E$4:$E$2003,_自动清单!$G$5,包装物料出入库明细!$B$4:$B$2003,"&gt;="&amp;$AF$1,包装物料出入库明细!$B$4:$B$2003,"&lt;="&amp;$AF$2))</f>
        <v/>
      </c>
      <c r="E140" s="25" t="str">
        <f>IF(OR($B140="",_自动清单!$G$6=""),"",SUMIFS(包装物料出入库明细!$J$4:$J$2003,包装物料出入库明细!$D$4:$D$2003,$B140,包装物料出入库明细!$E$4:$E$2003,_自动清单!$G$6,包装物料出入库明细!$B$4:$B$2003,"&gt;="&amp;$AF$1,包装物料出入库明细!$B$4:$B$2003,"&lt;="&amp;$AF$2))</f>
        <v/>
      </c>
      <c r="F140" s="25" t="str">
        <f>IF(OR($B140="",_自动清单!$G$7=""),"",SUMIFS(包装物料出入库明细!$J$4:$J$2003,包装物料出入库明细!$D$4:$D$2003,$B140,包装物料出入库明细!$E$4:$E$2003,_自动清单!$G$7,包装物料出入库明细!$B$4:$B$2003,"&gt;="&amp;$AF$1,包装物料出入库明细!$B$4:$B$2003,"&lt;="&amp;$AF$2))</f>
        <v/>
      </c>
      <c r="G140" s="25" t="str">
        <f>IF(OR($B140="",_自动清单!$G$8=""),"",SUMIFS(包装物料出入库明细!$J$4:$J$2003,包装物料出入库明细!$D$4:$D$2003,$B140,包装物料出入库明细!$E$4:$E$2003,_自动清单!$G$8,包装物料出入库明细!$B$4:$B$2003,"&gt;="&amp;$AF$1,包装物料出入库明细!$B$4:$B$2003,"&lt;="&amp;$AF$2))</f>
        <v/>
      </c>
      <c r="H140" s="25" t="str">
        <f>IF(OR($B140="",_自动清单!$G$9=""),"",SUMIFS(包装物料出入库明细!$J$4:$J$2003,包装物料出入库明细!$D$4:$D$2003,$B140,包装物料出入库明细!$E$4:$E$2003,_自动清单!$G$9,包装物料出入库明细!$B$4:$B$2003,"&gt;="&amp;$AF$1,包装物料出入库明细!$B$4:$B$2003,"&lt;="&amp;$AF$2))</f>
        <v/>
      </c>
      <c r="I140" s="25" t="str">
        <f>IF(OR($B140="",_自动清单!$G$10=""),"",SUMIFS(包装物料出入库明细!$J$4:$J$2003,包装物料出入库明细!$D$4:$D$2003,$B140,包装物料出入库明细!$E$4:$E$2003,_自动清单!$G$10,包装物料出入库明细!$B$4:$B$2003,"&gt;="&amp;$AF$1,包装物料出入库明细!$B$4:$B$2003,"&lt;="&amp;$AF$2))</f>
        <v/>
      </c>
      <c r="J140" s="25" t="str">
        <f>IF(OR($B140="",_自动清单!$G$11=""),"",SUMIFS(包装物料出入库明细!$J$4:$J$2003,包装物料出入库明细!$D$4:$D$2003,$B140,包装物料出入库明细!$E$4:$E$2003,_自动清单!$G$11,包装物料出入库明细!$B$4:$B$2003,"&gt;="&amp;$AF$1,包装物料出入库明细!$B$4:$B$2003,"&lt;="&amp;$AF$2))</f>
        <v/>
      </c>
      <c r="K140" s="25" t="str">
        <f>IF(OR($B140="",_自动清单!$G$12=""),"",SUMIFS(包装物料出入库明细!$J$4:$J$2003,包装物料出入库明细!$D$4:$D$2003,$B140,包装物料出入库明细!$E$4:$E$2003,_自动清单!$G$12,包装物料出入库明细!$B$4:$B$2003,"&gt;="&amp;$AF$1,包装物料出入库明细!$B$4:$B$2003,"&lt;="&amp;$AF$2))</f>
        <v/>
      </c>
      <c r="L140" s="25" t="str">
        <f>IF(OR($B140="",_自动清单!$G$13=""),"",SUMIFS(包装物料出入库明细!$J$4:$J$2003,包装物料出入库明细!$D$4:$D$2003,$B140,包装物料出入库明细!$E$4:$E$2003,_自动清单!$G$13,包装物料出入库明细!$B$4:$B$2003,"&gt;="&amp;$AF$1,包装物料出入库明细!$B$4:$B$2003,"&lt;="&amp;$AF$2))</f>
        <v/>
      </c>
      <c r="M140" s="25" t="str">
        <f>IF(OR($B140="",_自动清单!$G$14=""),"",SUMIFS(包装物料出入库明细!$J$4:$J$2003,包装物料出入库明细!$D$4:$D$2003,$B140,包装物料出入库明细!$E$4:$E$2003,_自动清单!$G$14,包装物料出入库明细!$B$4:$B$2003,"&gt;="&amp;$AF$1,包装物料出入库明细!$B$4:$B$2003,"&lt;="&amp;$AF$2))</f>
        <v/>
      </c>
      <c r="N140" s="25" t="str">
        <f>IF(OR($B140="",_自动清单!$G$15=""),"",SUMIFS(包装物料出入库明细!$J$4:$J$2003,包装物料出入库明细!$D$4:$D$2003,$B140,包装物料出入库明细!$E$4:$E$2003,_自动清单!$G$15,包装物料出入库明细!$B$4:$B$2003,"&gt;="&amp;$AF$1,包装物料出入库明细!$B$4:$B$2003,"&lt;="&amp;$AF$2))</f>
        <v/>
      </c>
      <c r="O140" s="25" t="str">
        <f>IF(OR($B140="",_自动清单!$G$16=""),"",SUMIFS(包装物料出入库明细!$J$4:$J$2003,包装物料出入库明细!$D$4:$D$2003,$B140,包装物料出入库明细!$E$4:$E$2003,_自动清单!$G$16,包装物料出入库明细!$B$4:$B$2003,"&gt;="&amp;$AF$1,包装物料出入库明细!$B$4:$B$2003,"&lt;="&amp;$AF$2))</f>
        <v/>
      </c>
      <c r="P140" s="25" t="str">
        <f>IF(OR($B140="",_自动清单!$G$17=""),"",SUMIFS(包装物料出入库明细!$J$4:$J$2003,包装物料出入库明细!$D$4:$D$2003,$B140,包装物料出入库明细!$E$4:$E$2003,_自动清单!$G$17,包装物料出入库明细!$B$4:$B$2003,"&gt;="&amp;$AF$1,包装物料出入库明细!$B$4:$B$2003,"&lt;="&amp;$AF$2))</f>
        <v/>
      </c>
      <c r="Q140" s="25" t="str">
        <f>IF(OR($B140="",_自动清单!$G$18=""),"",SUMIFS(包装物料出入库明细!$J$4:$J$2003,包装物料出入库明细!$D$4:$D$2003,$B140,包装物料出入库明细!$E$4:$E$2003,_自动清单!$G$18,包装物料出入库明细!$B$4:$B$2003,"&gt;="&amp;$AF$1,包装物料出入库明细!$B$4:$B$2003,"&lt;="&amp;$AF$2))</f>
        <v/>
      </c>
      <c r="R140" s="25" t="str">
        <f>IF(OR($B140="",_自动清单!$G$19=""),"",SUMIFS(包装物料出入库明细!$J$4:$J$2003,包装物料出入库明细!$D$4:$D$2003,$B140,包装物料出入库明细!$E$4:$E$2003,_自动清单!$G$19,包装物料出入库明细!$B$4:$B$2003,"&gt;="&amp;$AF$1,包装物料出入库明细!$B$4:$B$2003,"&lt;="&amp;$AF$2))</f>
        <v/>
      </c>
      <c r="S140" s="25" t="str">
        <f>IF(OR($B140="",_自动清单!$G$20=""),"",SUMIFS(包装物料出入库明细!$J$4:$J$2003,包装物料出入库明细!$D$4:$D$2003,$B140,包装物料出入库明细!$E$4:$E$2003,_自动清单!$G$20,包装物料出入库明细!$B$4:$B$2003,"&gt;="&amp;$AF$1,包装物料出入库明细!$B$4:$B$2003,"&lt;="&amp;$AF$2))</f>
        <v/>
      </c>
      <c r="T140" s="25" t="str">
        <f>IF(OR($B140="",_自动清单!$G$21=""),"",SUMIFS(包装物料出入库明细!$J$4:$J$2003,包装物料出入库明细!$D$4:$D$2003,$B140,包装物料出入库明细!$E$4:$E$2003,_自动清单!$G$21,包装物料出入库明细!$B$4:$B$2003,"&gt;="&amp;$AF$1,包装物料出入库明细!$B$4:$B$2003,"&lt;="&amp;$AF$2))</f>
        <v/>
      </c>
      <c r="U140" s="25" t="str">
        <f>IF($B140="","",SUMIFS(包装物料出入库明细!$J$4:$J$2003,包装物料出入库明细!$D$4:$D$2003,$B140,包装物料出入库明细!$B$4:$B$2003,"&gt;="&amp;$AF$1,包装物料出入库明细!$B$4:$B$2003,"&lt;="&amp;$AF$2)-SUM($C140:$T140))</f>
        <v/>
      </c>
      <c r="V140" s="25" t="str">
        <f t="shared" si="9"/>
        <v/>
      </c>
      <c r="W140" s="56" t="str">
        <f>IF($B140="","",SUMIFS(包装物料出入库明细!$K$4:$K$2003,包装物料出入库明细!$D$4:$D$2003,$B140,包装物料出入库明细!$B$4:$B$2003,"&gt;="&amp;$AF$1,包装物料出入库明细!$B$4:$B$2003,"&lt;="&amp;$AF$2))</f>
        <v/>
      </c>
      <c r="X140" s="25" t="str">
        <f t="shared" si="10"/>
        <v/>
      </c>
      <c r="Y140" s="26" t="str">
        <f>IF($B140="","",ROUND(SUMIFS(包装物料出入库明细!$N$4:$N$2003,包装物料出入库明细!$D$4:$D$2003,$B140,包装物料出入库明细!$H$4:$H$2003,"销售出库",包装物料出入库明细!$B$4:$B$2003,"&gt;="&amp;$AF$1,包装物料出入库明细!$B$4:$B$2003,"&lt;="&amp;$AF$2),2))</f>
        <v/>
      </c>
      <c r="Z140" s="26" t="str">
        <f>IF($B140="","",ROUND(SUMIFS(包装物料出入库明细!$N$4:$N$2003,包装物料出入库明细!$D$4:$D$2003,$B140,包装物料出入库明细!$H$4:$H$2003,"销售出库",包装物料出入库明细!$P$4:$P$2003,"已收讫",包装物料出入库明细!$B$4:$B$2003,"&gt;="&amp;$AF$1,包装物料出入库明细!$B$4:$B$2003,"&lt;="&amp;$AF$2),2))</f>
        <v/>
      </c>
      <c r="AA140" s="26" t="str">
        <f t="shared" si="11"/>
        <v/>
      </c>
      <c r="AB140" s="41"/>
    </row>
    <row r="141" spans="1:28">
      <c r="A141" s="24" t="str">
        <f t="shared" si="8"/>
        <v/>
      </c>
      <c r="B141" s="24" t="str">
        <f>IFERROR(INDEX(_自动清单!$O$4:$O$203,ROW()-3),"")</f>
        <v/>
      </c>
      <c r="C141" s="25" t="str">
        <f>IF(OR($B141="",_自动清单!$G$4=""),"",SUMIFS(包装物料出入库明细!$J$4:$J$2003,包装物料出入库明细!$D$4:$D$2003,$B141,包装物料出入库明细!$E$4:$E$2003,_自动清单!$G$4,包装物料出入库明细!$B$4:$B$2003,"&gt;="&amp;$AF$1,包装物料出入库明细!$B$4:$B$2003,"&lt;="&amp;$AF$2))</f>
        <v/>
      </c>
      <c r="D141" s="25" t="str">
        <f>IF(OR($B141="",_自动清单!$G$5=""),"",SUMIFS(包装物料出入库明细!$J$4:$J$2003,包装物料出入库明细!$D$4:$D$2003,$B141,包装物料出入库明细!$E$4:$E$2003,_自动清单!$G$5,包装物料出入库明细!$B$4:$B$2003,"&gt;="&amp;$AF$1,包装物料出入库明细!$B$4:$B$2003,"&lt;="&amp;$AF$2))</f>
        <v/>
      </c>
      <c r="E141" s="25" t="str">
        <f>IF(OR($B141="",_自动清单!$G$6=""),"",SUMIFS(包装物料出入库明细!$J$4:$J$2003,包装物料出入库明细!$D$4:$D$2003,$B141,包装物料出入库明细!$E$4:$E$2003,_自动清单!$G$6,包装物料出入库明细!$B$4:$B$2003,"&gt;="&amp;$AF$1,包装物料出入库明细!$B$4:$B$2003,"&lt;="&amp;$AF$2))</f>
        <v/>
      </c>
      <c r="F141" s="25" t="str">
        <f>IF(OR($B141="",_自动清单!$G$7=""),"",SUMIFS(包装物料出入库明细!$J$4:$J$2003,包装物料出入库明细!$D$4:$D$2003,$B141,包装物料出入库明细!$E$4:$E$2003,_自动清单!$G$7,包装物料出入库明细!$B$4:$B$2003,"&gt;="&amp;$AF$1,包装物料出入库明细!$B$4:$B$2003,"&lt;="&amp;$AF$2))</f>
        <v/>
      </c>
      <c r="G141" s="25" t="str">
        <f>IF(OR($B141="",_自动清单!$G$8=""),"",SUMIFS(包装物料出入库明细!$J$4:$J$2003,包装物料出入库明细!$D$4:$D$2003,$B141,包装物料出入库明细!$E$4:$E$2003,_自动清单!$G$8,包装物料出入库明细!$B$4:$B$2003,"&gt;="&amp;$AF$1,包装物料出入库明细!$B$4:$B$2003,"&lt;="&amp;$AF$2))</f>
        <v/>
      </c>
      <c r="H141" s="25" t="str">
        <f>IF(OR($B141="",_自动清单!$G$9=""),"",SUMIFS(包装物料出入库明细!$J$4:$J$2003,包装物料出入库明细!$D$4:$D$2003,$B141,包装物料出入库明细!$E$4:$E$2003,_自动清单!$G$9,包装物料出入库明细!$B$4:$B$2003,"&gt;="&amp;$AF$1,包装物料出入库明细!$B$4:$B$2003,"&lt;="&amp;$AF$2))</f>
        <v/>
      </c>
      <c r="I141" s="25" t="str">
        <f>IF(OR($B141="",_自动清单!$G$10=""),"",SUMIFS(包装物料出入库明细!$J$4:$J$2003,包装物料出入库明细!$D$4:$D$2003,$B141,包装物料出入库明细!$E$4:$E$2003,_自动清单!$G$10,包装物料出入库明细!$B$4:$B$2003,"&gt;="&amp;$AF$1,包装物料出入库明细!$B$4:$B$2003,"&lt;="&amp;$AF$2))</f>
        <v/>
      </c>
      <c r="J141" s="25" t="str">
        <f>IF(OR($B141="",_自动清单!$G$11=""),"",SUMIFS(包装物料出入库明细!$J$4:$J$2003,包装物料出入库明细!$D$4:$D$2003,$B141,包装物料出入库明细!$E$4:$E$2003,_自动清单!$G$11,包装物料出入库明细!$B$4:$B$2003,"&gt;="&amp;$AF$1,包装物料出入库明细!$B$4:$B$2003,"&lt;="&amp;$AF$2))</f>
        <v/>
      </c>
      <c r="K141" s="25" t="str">
        <f>IF(OR($B141="",_自动清单!$G$12=""),"",SUMIFS(包装物料出入库明细!$J$4:$J$2003,包装物料出入库明细!$D$4:$D$2003,$B141,包装物料出入库明细!$E$4:$E$2003,_自动清单!$G$12,包装物料出入库明细!$B$4:$B$2003,"&gt;="&amp;$AF$1,包装物料出入库明细!$B$4:$B$2003,"&lt;="&amp;$AF$2))</f>
        <v/>
      </c>
      <c r="L141" s="25" t="str">
        <f>IF(OR($B141="",_自动清单!$G$13=""),"",SUMIFS(包装物料出入库明细!$J$4:$J$2003,包装物料出入库明细!$D$4:$D$2003,$B141,包装物料出入库明细!$E$4:$E$2003,_自动清单!$G$13,包装物料出入库明细!$B$4:$B$2003,"&gt;="&amp;$AF$1,包装物料出入库明细!$B$4:$B$2003,"&lt;="&amp;$AF$2))</f>
        <v/>
      </c>
      <c r="M141" s="25" t="str">
        <f>IF(OR($B141="",_自动清单!$G$14=""),"",SUMIFS(包装物料出入库明细!$J$4:$J$2003,包装物料出入库明细!$D$4:$D$2003,$B141,包装物料出入库明细!$E$4:$E$2003,_自动清单!$G$14,包装物料出入库明细!$B$4:$B$2003,"&gt;="&amp;$AF$1,包装物料出入库明细!$B$4:$B$2003,"&lt;="&amp;$AF$2))</f>
        <v/>
      </c>
      <c r="N141" s="25" t="str">
        <f>IF(OR($B141="",_自动清单!$G$15=""),"",SUMIFS(包装物料出入库明细!$J$4:$J$2003,包装物料出入库明细!$D$4:$D$2003,$B141,包装物料出入库明细!$E$4:$E$2003,_自动清单!$G$15,包装物料出入库明细!$B$4:$B$2003,"&gt;="&amp;$AF$1,包装物料出入库明细!$B$4:$B$2003,"&lt;="&amp;$AF$2))</f>
        <v/>
      </c>
      <c r="O141" s="25" t="str">
        <f>IF(OR($B141="",_自动清单!$G$16=""),"",SUMIFS(包装物料出入库明细!$J$4:$J$2003,包装物料出入库明细!$D$4:$D$2003,$B141,包装物料出入库明细!$E$4:$E$2003,_自动清单!$G$16,包装物料出入库明细!$B$4:$B$2003,"&gt;="&amp;$AF$1,包装物料出入库明细!$B$4:$B$2003,"&lt;="&amp;$AF$2))</f>
        <v/>
      </c>
      <c r="P141" s="25" t="str">
        <f>IF(OR($B141="",_自动清单!$G$17=""),"",SUMIFS(包装物料出入库明细!$J$4:$J$2003,包装物料出入库明细!$D$4:$D$2003,$B141,包装物料出入库明细!$E$4:$E$2003,_自动清单!$G$17,包装物料出入库明细!$B$4:$B$2003,"&gt;="&amp;$AF$1,包装物料出入库明细!$B$4:$B$2003,"&lt;="&amp;$AF$2))</f>
        <v/>
      </c>
      <c r="Q141" s="25" t="str">
        <f>IF(OR($B141="",_自动清单!$G$18=""),"",SUMIFS(包装物料出入库明细!$J$4:$J$2003,包装物料出入库明细!$D$4:$D$2003,$B141,包装物料出入库明细!$E$4:$E$2003,_自动清单!$G$18,包装物料出入库明细!$B$4:$B$2003,"&gt;="&amp;$AF$1,包装物料出入库明细!$B$4:$B$2003,"&lt;="&amp;$AF$2))</f>
        <v/>
      </c>
      <c r="R141" s="25" t="str">
        <f>IF(OR($B141="",_自动清单!$G$19=""),"",SUMIFS(包装物料出入库明细!$J$4:$J$2003,包装物料出入库明细!$D$4:$D$2003,$B141,包装物料出入库明细!$E$4:$E$2003,_自动清单!$G$19,包装物料出入库明细!$B$4:$B$2003,"&gt;="&amp;$AF$1,包装物料出入库明细!$B$4:$B$2003,"&lt;="&amp;$AF$2))</f>
        <v/>
      </c>
      <c r="S141" s="25" t="str">
        <f>IF(OR($B141="",_自动清单!$G$20=""),"",SUMIFS(包装物料出入库明细!$J$4:$J$2003,包装物料出入库明细!$D$4:$D$2003,$B141,包装物料出入库明细!$E$4:$E$2003,_自动清单!$G$20,包装物料出入库明细!$B$4:$B$2003,"&gt;="&amp;$AF$1,包装物料出入库明细!$B$4:$B$2003,"&lt;="&amp;$AF$2))</f>
        <v/>
      </c>
      <c r="T141" s="25" t="str">
        <f>IF(OR($B141="",_自动清单!$G$21=""),"",SUMIFS(包装物料出入库明细!$J$4:$J$2003,包装物料出入库明细!$D$4:$D$2003,$B141,包装物料出入库明细!$E$4:$E$2003,_自动清单!$G$21,包装物料出入库明细!$B$4:$B$2003,"&gt;="&amp;$AF$1,包装物料出入库明细!$B$4:$B$2003,"&lt;="&amp;$AF$2))</f>
        <v/>
      </c>
      <c r="U141" s="25" t="str">
        <f>IF($B141="","",SUMIFS(包装物料出入库明细!$J$4:$J$2003,包装物料出入库明细!$D$4:$D$2003,$B141,包装物料出入库明细!$B$4:$B$2003,"&gt;="&amp;$AF$1,包装物料出入库明细!$B$4:$B$2003,"&lt;="&amp;$AF$2)-SUM($C141:$T141))</f>
        <v/>
      </c>
      <c r="V141" s="25" t="str">
        <f t="shared" si="9"/>
        <v/>
      </c>
      <c r="W141" s="56" t="str">
        <f>IF($B141="","",SUMIFS(包装物料出入库明细!$K$4:$K$2003,包装物料出入库明细!$D$4:$D$2003,$B141,包装物料出入库明细!$B$4:$B$2003,"&gt;="&amp;$AF$1,包装物料出入库明细!$B$4:$B$2003,"&lt;="&amp;$AF$2))</f>
        <v/>
      </c>
      <c r="X141" s="25" t="str">
        <f t="shared" si="10"/>
        <v/>
      </c>
      <c r="Y141" s="26" t="str">
        <f>IF($B141="","",ROUND(SUMIFS(包装物料出入库明细!$N$4:$N$2003,包装物料出入库明细!$D$4:$D$2003,$B141,包装物料出入库明细!$H$4:$H$2003,"销售出库",包装物料出入库明细!$B$4:$B$2003,"&gt;="&amp;$AF$1,包装物料出入库明细!$B$4:$B$2003,"&lt;="&amp;$AF$2),2))</f>
        <v/>
      </c>
      <c r="Z141" s="26" t="str">
        <f>IF($B141="","",ROUND(SUMIFS(包装物料出入库明细!$N$4:$N$2003,包装物料出入库明细!$D$4:$D$2003,$B141,包装物料出入库明细!$H$4:$H$2003,"销售出库",包装物料出入库明细!$P$4:$P$2003,"已收讫",包装物料出入库明细!$B$4:$B$2003,"&gt;="&amp;$AF$1,包装物料出入库明细!$B$4:$B$2003,"&lt;="&amp;$AF$2),2))</f>
        <v/>
      </c>
      <c r="AA141" s="26" t="str">
        <f t="shared" si="11"/>
        <v/>
      </c>
      <c r="AB141" s="41"/>
    </row>
    <row r="142" spans="1:28">
      <c r="A142" s="24" t="str">
        <f t="shared" si="8"/>
        <v/>
      </c>
      <c r="B142" s="24" t="str">
        <f>IFERROR(INDEX(_自动清单!$O$4:$O$203,ROW()-3),"")</f>
        <v/>
      </c>
      <c r="C142" s="25" t="str">
        <f>IF(OR($B142="",_自动清单!$G$4=""),"",SUMIFS(包装物料出入库明细!$J$4:$J$2003,包装物料出入库明细!$D$4:$D$2003,$B142,包装物料出入库明细!$E$4:$E$2003,_自动清单!$G$4,包装物料出入库明细!$B$4:$B$2003,"&gt;="&amp;$AF$1,包装物料出入库明细!$B$4:$B$2003,"&lt;="&amp;$AF$2))</f>
        <v/>
      </c>
      <c r="D142" s="25" t="str">
        <f>IF(OR($B142="",_自动清单!$G$5=""),"",SUMIFS(包装物料出入库明细!$J$4:$J$2003,包装物料出入库明细!$D$4:$D$2003,$B142,包装物料出入库明细!$E$4:$E$2003,_自动清单!$G$5,包装物料出入库明细!$B$4:$B$2003,"&gt;="&amp;$AF$1,包装物料出入库明细!$B$4:$B$2003,"&lt;="&amp;$AF$2))</f>
        <v/>
      </c>
      <c r="E142" s="25" t="str">
        <f>IF(OR($B142="",_自动清单!$G$6=""),"",SUMIFS(包装物料出入库明细!$J$4:$J$2003,包装物料出入库明细!$D$4:$D$2003,$B142,包装物料出入库明细!$E$4:$E$2003,_自动清单!$G$6,包装物料出入库明细!$B$4:$B$2003,"&gt;="&amp;$AF$1,包装物料出入库明细!$B$4:$B$2003,"&lt;="&amp;$AF$2))</f>
        <v/>
      </c>
      <c r="F142" s="25" t="str">
        <f>IF(OR($B142="",_自动清单!$G$7=""),"",SUMIFS(包装物料出入库明细!$J$4:$J$2003,包装物料出入库明细!$D$4:$D$2003,$B142,包装物料出入库明细!$E$4:$E$2003,_自动清单!$G$7,包装物料出入库明细!$B$4:$B$2003,"&gt;="&amp;$AF$1,包装物料出入库明细!$B$4:$B$2003,"&lt;="&amp;$AF$2))</f>
        <v/>
      </c>
      <c r="G142" s="25" t="str">
        <f>IF(OR($B142="",_自动清单!$G$8=""),"",SUMIFS(包装物料出入库明细!$J$4:$J$2003,包装物料出入库明细!$D$4:$D$2003,$B142,包装物料出入库明细!$E$4:$E$2003,_自动清单!$G$8,包装物料出入库明细!$B$4:$B$2003,"&gt;="&amp;$AF$1,包装物料出入库明细!$B$4:$B$2003,"&lt;="&amp;$AF$2))</f>
        <v/>
      </c>
      <c r="H142" s="25" t="str">
        <f>IF(OR($B142="",_自动清单!$G$9=""),"",SUMIFS(包装物料出入库明细!$J$4:$J$2003,包装物料出入库明细!$D$4:$D$2003,$B142,包装物料出入库明细!$E$4:$E$2003,_自动清单!$G$9,包装物料出入库明细!$B$4:$B$2003,"&gt;="&amp;$AF$1,包装物料出入库明细!$B$4:$B$2003,"&lt;="&amp;$AF$2))</f>
        <v/>
      </c>
      <c r="I142" s="25" t="str">
        <f>IF(OR($B142="",_自动清单!$G$10=""),"",SUMIFS(包装物料出入库明细!$J$4:$J$2003,包装物料出入库明细!$D$4:$D$2003,$B142,包装物料出入库明细!$E$4:$E$2003,_自动清单!$G$10,包装物料出入库明细!$B$4:$B$2003,"&gt;="&amp;$AF$1,包装物料出入库明细!$B$4:$B$2003,"&lt;="&amp;$AF$2))</f>
        <v/>
      </c>
      <c r="J142" s="25" t="str">
        <f>IF(OR($B142="",_自动清单!$G$11=""),"",SUMIFS(包装物料出入库明细!$J$4:$J$2003,包装物料出入库明细!$D$4:$D$2003,$B142,包装物料出入库明细!$E$4:$E$2003,_自动清单!$G$11,包装物料出入库明细!$B$4:$B$2003,"&gt;="&amp;$AF$1,包装物料出入库明细!$B$4:$B$2003,"&lt;="&amp;$AF$2))</f>
        <v/>
      </c>
      <c r="K142" s="25" t="str">
        <f>IF(OR($B142="",_自动清单!$G$12=""),"",SUMIFS(包装物料出入库明细!$J$4:$J$2003,包装物料出入库明细!$D$4:$D$2003,$B142,包装物料出入库明细!$E$4:$E$2003,_自动清单!$G$12,包装物料出入库明细!$B$4:$B$2003,"&gt;="&amp;$AF$1,包装物料出入库明细!$B$4:$B$2003,"&lt;="&amp;$AF$2))</f>
        <v/>
      </c>
      <c r="L142" s="25" t="str">
        <f>IF(OR($B142="",_自动清单!$G$13=""),"",SUMIFS(包装物料出入库明细!$J$4:$J$2003,包装物料出入库明细!$D$4:$D$2003,$B142,包装物料出入库明细!$E$4:$E$2003,_自动清单!$G$13,包装物料出入库明细!$B$4:$B$2003,"&gt;="&amp;$AF$1,包装物料出入库明细!$B$4:$B$2003,"&lt;="&amp;$AF$2))</f>
        <v/>
      </c>
      <c r="M142" s="25" t="str">
        <f>IF(OR($B142="",_自动清单!$G$14=""),"",SUMIFS(包装物料出入库明细!$J$4:$J$2003,包装物料出入库明细!$D$4:$D$2003,$B142,包装物料出入库明细!$E$4:$E$2003,_自动清单!$G$14,包装物料出入库明细!$B$4:$B$2003,"&gt;="&amp;$AF$1,包装物料出入库明细!$B$4:$B$2003,"&lt;="&amp;$AF$2))</f>
        <v/>
      </c>
      <c r="N142" s="25" t="str">
        <f>IF(OR($B142="",_自动清单!$G$15=""),"",SUMIFS(包装物料出入库明细!$J$4:$J$2003,包装物料出入库明细!$D$4:$D$2003,$B142,包装物料出入库明细!$E$4:$E$2003,_自动清单!$G$15,包装物料出入库明细!$B$4:$B$2003,"&gt;="&amp;$AF$1,包装物料出入库明细!$B$4:$B$2003,"&lt;="&amp;$AF$2))</f>
        <v/>
      </c>
      <c r="O142" s="25" t="str">
        <f>IF(OR($B142="",_自动清单!$G$16=""),"",SUMIFS(包装物料出入库明细!$J$4:$J$2003,包装物料出入库明细!$D$4:$D$2003,$B142,包装物料出入库明细!$E$4:$E$2003,_自动清单!$G$16,包装物料出入库明细!$B$4:$B$2003,"&gt;="&amp;$AF$1,包装物料出入库明细!$B$4:$B$2003,"&lt;="&amp;$AF$2))</f>
        <v/>
      </c>
      <c r="P142" s="25" t="str">
        <f>IF(OR($B142="",_自动清单!$G$17=""),"",SUMIFS(包装物料出入库明细!$J$4:$J$2003,包装物料出入库明细!$D$4:$D$2003,$B142,包装物料出入库明细!$E$4:$E$2003,_自动清单!$G$17,包装物料出入库明细!$B$4:$B$2003,"&gt;="&amp;$AF$1,包装物料出入库明细!$B$4:$B$2003,"&lt;="&amp;$AF$2))</f>
        <v/>
      </c>
      <c r="Q142" s="25" t="str">
        <f>IF(OR($B142="",_自动清单!$G$18=""),"",SUMIFS(包装物料出入库明细!$J$4:$J$2003,包装物料出入库明细!$D$4:$D$2003,$B142,包装物料出入库明细!$E$4:$E$2003,_自动清单!$G$18,包装物料出入库明细!$B$4:$B$2003,"&gt;="&amp;$AF$1,包装物料出入库明细!$B$4:$B$2003,"&lt;="&amp;$AF$2))</f>
        <v/>
      </c>
      <c r="R142" s="25" t="str">
        <f>IF(OR($B142="",_自动清单!$G$19=""),"",SUMIFS(包装物料出入库明细!$J$4:$J$2003,包装物料出入库明细!$D$4:$D$2003,$B142,包装物料出入库明细!$E$4:$E$2003,_自动清单!$G$19,包装物料出入库明细!$B$4:$B$2003,"&gt;="&amp;$AF$1,包装物料出入库明细!$B$4:$B$2003,"&lt;="&amp;$AF$2))</f>
        <v/>
      </c>
      <c r="S142" s="25" t="str">
        <f>IF(OR($B142="",_自动清单!$G$20=""),"",SUMIFS(包装物料出入库明细!$J$4:$J$2003,包装物料出入库明细!$D$4:$D$2003,$B142,包装物料出入库明细!$E$4:$E$2003,_自动清单!$G$20,包装物料出入库明细!$B$4:$B$2003,"&gt;="&amp;$AF$1,包装物料出入库明细!$B$4:$B$2003,"&lt;="&amp;$AF$2))</f>
        <v/>
      </c>
      <c r="T142" s="25" t="str">
        <f>IF(OR($B142="",_自动清单!$G$21=""),"",SUMIFS(包装物料出入库明细!$J$4:$J$2003,包装物料出入库明细!$D$4:$D$2003,$B142,包装物料出入库明细!$E$4:$E$2003,_自动清单!$G$21,包装物料出入库明细!$B$4:$B$2003,"&gt;="&amp;$AF$1,包装物料出入库明细!$B$4:$B$2003,"&lt;="&amp;$AF$2))</f>
        <v/>
      </c>
      <c r="U142" s="25" t="str">
        <f>IF($B142="","",SUMIFS(包装物料出入库明细!$J$4:$J$2003,包装物料出入库明细!$D$4:$D$2003,$B142,包装物料出入库明细!$B$4:$B$2003,"&gt;="&amp;$AF$1,包装物料出入库明细!$B$4:$B$2003,"&lt;="&amp;$AF$2)-SUM($C142:$T142))</f>
        <v/>
      </c>
      <c r="V142" s="25" t="str">
        <f t="shared" si="9"/>
        <v/>
      </c>
      <c r="W142" s="56" t="str">
        <f>IF($B142="","",SUMIFS(包装物料出入库明细!$K$4:$K$2003,包装物料出入库明细!$D$4:$D$2003,$B142,包装物料出入库明细!$B$4:$B$2003,"&gt;="&amp;$AF$1,包装物料出入库明细!$B$4:$B$2003,"&lt;="&amp;$AF$2))</f>
        <v/>
      </c>
      <c r="X142" s="25" t="str">
        <f t="shared" si="10"/>
        <v/>
      </c>
      <c r="Y142" s="26" t="str">
        <f>IF($B142="","",ROUND(SUMIFS(包装物料出入库明细!$N$4:$N$2003,包装物料出入库明细!$D$4:$D$2003,$B142,包装物料出入库明细!$H$4:$H$2003,"销售出库",包装物料出入库明细!$B$4:$B$2003,"&gt;="&amp;$AF$1,包装物料出入库明细!$B$4:$B$2003,"&lt;="&amp;$AF$2),2))</f>
        <v/>
      </c>
      <c r="Z142" s="26" t="str">
        <f>IF($B142="","",ROUND(SUMIFS(包装物料出入库明细!$N$4:$N$2003,包装物料出入库明细!$D$4:$D$2003,$B142,包装物料出入库明细!$H$4:$H$2003,"销售出库",包装物料出入库明细!$P$4:$P$2003,"已收讫",包装物料出入库明细!$B$4:$B$2003,"&gt;="&amp;$AF$1,包装物料出入库明细!$B$4:$B$2003,"&lt;="&amp;$AF$2),2))</f>
        <v/>
      </c>
      <c r="AA142" s="26" t="str">
        <f t="shared" si="11"/>
        <v/>
      </c>
      <c r="AB142" s="41"/>
    </row>
    <row r="143" spans="1:28">
      <c r="A143" s="24" t="str">
        <f t="shared" si="8"/>
        <v/>
      </c>
      <c r="B143" s="24" t="str">
        <f>IFERROR(INDEX(_自动清单!$O$4:$O$203,ROW()-3),"")</f>
        <v/>
      </c>
      <c r="C143" s="25" t="str">
        <f>IF(OR($B143="",_自动清单!$G$4=""),"",SUMIFS(包装物料出入库明细!$J$4:$J$2003,包装物料出入库明细!$D$4:$D$2003,$B143,包装物料出入库明细!$E$4:$E$2003,_自动清单!$G$4,包装物料出入库明细!$B$4:$B$2003,"&gt;="&amp;$AF$1,包装物料出入库明细!$B$4:$B$2003,"&lt;="&amp;$AF$2))</f>
        <v/>
      </c>
      <c r="D143" s="25" t="str">
        <f>IF(OR($B143="",_自动清单!$G$5=""),"",SUMIFS(包装物料出入库明细!$J$4:$J$2003,包装物料出入库明细!$D$4:$D$2003,$B143,包装物料出入库明细!$E$4:$E$2003,_自动清单!$G$5,包装物料出入库明细!$B$4:$B$2003,"&gt;="&amp;$AF$1,包装物料出入库明细!$B$4:$B$2003,"&lt;="&amp;$AF$2))</f>
        <v/>
      </c>
      <c r="E143" s="25" t="str">
        <f>IF(OR($B143="",_自动清单!$G$6=""),"",SUMIFS(包装物料出入库明细!$J$4:$J$2003,包装物料出入库明细!$D$4:$D$2003,$B143,包装物料出入库明细!$E$4:$E$2003,_自动清单!$G$6,包装物料出入库明细!$B$4:$B$2003,"&gt;="&amp;$AF$1,包装物料出入库明细!$B$4:$B$2003,"&lt;="&amp;$AF$2))</f>
        <v/>
      </c>
      <c r="F143" s="25" t="str">
        <f>IF(OR($B143="",_自动清单!$G$7=""),"",SUMIFS(包装物料出入库明细!$J$4:$J$2003,包装物料出入库明细!$D$4:$D$2003,$B143,包装物料出入库明细!$E$4:$E$2003,_自动清单!$G$7,包装物料出入库明细!$B$4:$B$2003,"&gt;="&amp;$AF$1,包装物料出入库明细!$B$4:$B$2003,"&lt;="&amp;$AF$2))</f>
        <v/>
      </c>
      <c r="G143" s="25" t="str">
        <f>IF(OR($B143="",_自动清单!$G$8=""),"",SUMIFS(包装物料出入库明细!$J$4:$J$2003,包装物料出入库明细!$D$4:$D$2003,$B143,包装物料出入库明细!$E$4:$E$2003,_自动清单!$G$8,包装物料出入库明细!$B$4:$B$2003,"&gt;="&amp;$AF$1,包装物料出入库明细!$B$4:$B$2003,"&lt;="&amp;$AF$2))</f>
        <v/>
      </c>
      <c r="H143" s="25" t="str">
        <f>IF(OR($B143="",_自动清单!$G$9=""),"",SUMIFS(包装物料出入库明细!$J$4:$J$2003,包装物料出入库明细!$D$4:$D$2003,$B143,包装物料出入库明细!$E$4:$E$2003,_自动清单!$G$9,包装物料出入库明细!$B$4:$B$2003,"&gt;="&amp;$AF$1,包装物料出入库明细!$B$4:$B$2003,"&lt;="&amp;$AF$2))</f>
        <v/>
      </c>
      <c r="I143" s="25" t="str">
        <f>IF(OR($B143="",_自动清单!$G$10=""),"",SUMIFS(包装物料出入库明细!$J$4:$J$2003,包装物料出入库明细!$D$4:$D$2003,$B143,包装物料出入库明细!$E$4:$E$2003,_自动清单!$G$10,包装物料出入库明细!$B$4:$B$2003,"&gt;="&amp;$AF$1,包装物料出入库明细!$B$4:$B$2003,"&lt;="&amp;$AF$2))</f>
        <v/>
      </c>
      <c r="J143" s="25" t="str">
        <f>IF(OR($B143="",_自动清单!$G$11=""),"",SUMIFS(包装物料出入库明细!$J$4:$J$2003,包装物料出入库明细!$D$4:$D$2003,$B143,包装物料出入库明细!$E$4:$E$2003,_自动清单!$G$11,包装物料出入库明细!$B$4:$B$2003,"&gt;="&amp;$AF$1,包装物料出入库明细!$B$4:$B$2003,"&lt;="&amp;$AF$2))</f>
        <v/>
      </c>
      <c r="K143" s="25" t="str">
        <f>IF(OR($B143="",_自动清单!$G$12=""),"",SUMIFS(包装物料出入库明细!$J$4:$J$2003,包装物料出入库明细!$D$4:$D$2003,$B143,包装物料出入库明细!$E$4:$E$2003,_自动清单!$G$12,包装物料出入库明细!$B$4:$B$2003,"&gt;="&amp;$AF$1,包装物料出入库明细!$B$4:$B$2003,"&lt;="&amp;$AF$2))</f>
        <v/>
      </c>
      <c r="L143" s="25" t="str">
        <f>IF(OR($B143="",_自动清单!$G$13=""),"",SUMIFS(包装物料出入库明细!$J$4:$J$2003,包装物料出入库明细!$D$4:$D$2003,$B143,包装物料出入库明细!$E$4:$E$2003,_自动清单!$G$13,包装物料出入库明细!$B$4:$B$2003,"&gt;="&amp;$AF$1,包装物料出入库明细!$B$4:$B$2003,"&lt;="&amp;$AF$2))</f>
        <v/>
      </c>
      <c r="M143" s="25" t="str">
        <f>IF(OR($B143="",_自动清单!$G$14=""),"",SUMIFS(包装物料出入库明细!$J$4:$J$2003,包装物料出入库明细!$D$4:$D$2003,$B143,包装物料出入库明细!$E$4:$E$2003,_自动清单!$G$14,包装物料出入库明细!$B$4:$B$2003,"&gt;="&amp;$AF$1,包装物料出入库明细!$B$4:$B$2003,"&lt;="&amp;$AF$2))</f>
        <v/>
      </c>
      <c r="N143" s="25" t="str">
        <f>IF(OR($B143="",_自动清单!$G$15=""),"",SUMIFS(包装物料出入库明细!$J$4:$J$2003,包装物料出入库明细!$D$4:$D$2003,$B143,包装物料出入库明细!$E$4:$E$2003,_自动清单!$G$15,包装物料出入库明细!$B$4:$B$2003,"&gt;="&amp;$AF$1,包装物料出入库明细!$B$4:$B$2003,"&lt;="&amp;$AF$2))</f>
        <v/>
      </c>
      <c r="O143" s="25" t="str">
        <f>IF(OR($B143="",_自动清单!$G$16=""),"",SUMIFS(包装物料出入库明细!$J$4:$J$2003,包装物料出入库明细!$D$4:$D$2003,$B143,包装物料出入库明细!$E$4:$E$2003,_自动清单!$G$16,包装物料出入库明细!$B$4:$B$2003,"&gt;="&amp;$AF$1,包装物料出入库明细!$B$4:$B$2003,"&lt;="&amp;$AF$2))</f>
        <v/>
      </c>
      <c r="P143" s="25" t="str">
        <f>IF(OR($B143="",_自动清单!$G$17=""),"",SUMIFS(包装物料出入库明细!$J$4:$J$2003,包装物料出入库明细!$D$4:$D$2003,$B143,包装物料出入库明细!$E$4:$E$2003,_自动清单!$G$17,包装物料出入库明细!$B$4:$B$2003,"&gt;="&amp;$AF$1,包装物料出入库明细!$B$4:$B$2003,"&lt;="&amp;$AF$2))</f>
        <v/>
      </c>
      <c r="Q143" s="25" t="str">
        <f>IF(OR($B143="",_自动清单!$G$18=""),"",SUMIFS(包装物料出入库明细!$J$4:$J$2003,包装物料出入库明细!$D$4:$D$2003,$B143,包装物料出入库明细!$E$4:$E$2003,_自动清单!$G$18,包装物料出入库明细!$B$4:$B$2003,"&gt;="&amp;$AF$1,包装物料出入库明细!$B$4:$B$2003,"&lt;="&amp;$AF$2))</f>
        <v/>
      </c>
      <c r="R143" s="25" t="str">
        <f>IF(OR($B143="",_自动清单!$G$19=""),"",SUMIFS(包装物料出入库明细!$J$4:$J$2003,包装物料出入库明细!$D$4:$D$2003,$B143,包装物料出入库明细!$E$4:$E$2003,_自动清单!$G$19,包装物料出入库明细!$B$4:$B$2003,"&gt;="&amp;$AF$1,包装物料出入库明细!$B$4:$B$2003,"&lt;="&amp;$AF$2))</f>
        <v/>
      </c>
      <c r="S143" s="25" t="str">
        <f>IF(OR($B143="",_自动清单!$G$20=""),"",SUMIFS(包装物料出入库明细!$J$4:$J$2003,包装物料出入库明细!$D$4:$D$2003,$B143,包装物料出入库明细!$E$4:$E$2003,_自动清单!$G$20,包装物料出入库明细!$B$4:$B$2003,"&gt;="&amp;$AF$1,包装物料出入库明细!$B$4:$B$2003,"&lt;="&amp;$AF$2))</f>
        <v/>
      </c>
      <c r="T143" s="25" t="str">
        <f>IF(OR($B143="",_自动清单!$G$21=""),"",SUMIFS(包装物料出入库明细!$J$4:$J$2003,包装物料出入库明细!$D$4:$D$2003,$B143,包装物料出入库明细!$E$4:$E$2003,_自动清单!$G$21,包装物料出入库明细!$B$4:$B$2003,"&gt;="&amp;$AF$1,包装物料出入库明细!$B$4:$B$2003,"&lt;="&amp;$AF$2))</f>
        <v/>
      </c>
      <c r="U143" s="25" t="str">
        <f>IF($B143="","",SUMIFS(包装物料出入库明细!$J$4:$J$2003,包装物料出入库明细!$D$4:$D$2003,$B143,包装物料出入库明细!$B$4:$B$2003,"&gt;="&amp;$AF$1,包装物料出入库明细!$B$4:$B$2003,"&lt;="&amp;$AF$2)-SUM($C143:$T143))</f>
        <v/>
      </c>
      <c r="V143" s="25" t="str">
        <f t="shared" si="9"/>
        <v/>
      </c>
      <c r="W143" s="56" t="str">
        <f>IF($B143="","",SUMIFS(包装物料出入库明细!$K$4:$K$2003,包装物料出入库明细!$D$4:$D$2003,$B143,包装物料出入库明细!$B$4:$B$2003,"&gt;="&amp;$AF$1,包装物料出入库明细!$B$4:$B$2003,"&lt;="&amp;$AF$2))</f>
        <v/>
      </c>
      <c r="X143" s="25" t="str">
        <f t="shared" si="10"/>
        <v/>
      </c>
      <c r="Y143" s="26" t="str">
        <f>IF($B143="","",ROUND(SUMIFS(包装物料出入库明细!$N$4:$N$2003,包装物料出入库明细!$D$4:$D$2003,$B143,包装物料出入库明细!$H$4:$H$2003,"销售出库",包装物料出入库明细!$B$4:$B$2003,"&gt;="&amp;$AF$1,包装物料出入库明细!$B$4:$B$2003,"&lt;="&amp;$AF$2),2))</f>
        <v/>
      </c>
      <c r="Z143" s="26" t="str">
        <f>IF($B143="","",ROUND(SUMIFS(包装物料出入库明细!$N$4:$N$2003,包装物料出入库明细!$D$4:$D$2003,$B143,包装物料出入库明细!$H$4:$H$2003,"销售出库",包装物料出入库明细!$P$4:$P$2003,"已收讫",包装物料出入库明细!$B$4:$B$2003,"&gt;="&amp;$AF$1,包装物料出入库明细!$B$4:$B$2003,"&lt;="&amp;$AF$2),2))</f>
        <v/>
      </c>
      <c r="AA143" s="26" t="str">
        <f t="shared" si="11"/>
        <v/>
      </c>
      <c r="AB143" s="41"/>
    </row>
    <row r="144" spans="1:28">
      <c r="A144" s="24" t="str">
        <f t="shared" si="8"/>
        <v/>
      </c>
      <c r="B144" s="24" t="str">
        <f>IFERROR(INDEX(_自动清单!$O$4:$O$203,ROW()-3),"")</f>
        <v/>
      </c>
      <c r="C144" s="25" t="str">
        <f>IF(OR($B144="",_自动清单!$G$4=""),"",SUMIFS(包装物料出入库明细!$J$4:$J$2003,包装物料出入库明细!$D$4:$D$2003,$B144,包装物料出入库明细!$E$4:$E$2003,_自动清单!$G$4,包装物料出入库明细!$B$4:$B$2003,"&gt;="&amp;$AF$1,包装物料出入库明细!$B$4:$B$2003,"&lt;="&amp;$AF$2))</f>
        <v/>
      </c>
      <c r="D144" s="25" t="str">
        <f>IF(OR($B144="",_自动清单!$G$5=""),"",SUMIFS(包装物料出入库明细!$J$4:$J$2003,包装物料出入库明细!$D$4:$D$2003,$B144,包装物料出入库明细!$E$4:$E$2003,_自动清单!$G$5,包装物料出入库明细!$B$4:$B$2003,"&gt;="&amp;$AF$1,包装物料出入库明细!$B$4:$B$2003,"&lt;="&amp;$AF$2))</f>
        <v/>
      </c>
      <c r="E144" s="25" t="str">
        <f>IF(OR($B144="",_自动清单!$G$6=""),"",SUMIFS(包装物料出入库明细!$J$4:$J$2003,包装物料出入库明细!$D$4:$D$2003,$B144,包装物料出入库明细!$E$4:$E$2003,_自动清单!$G$6,包装物料出入库明细!$B$4:$B$2003,"&gt;="&amp;$AF$1,包装物料出入库明细!$B$4:$B$2003,"&lt;="&amp;$AF$2))</f>
        <v/>
      </c>
      <c r="F144" s="25" t="str">
        <f>IF(OR($B144="",_自动清单!$G$7=""),"",SUMIFS(包装物料出入库明细!$J$4:$J$2003,包装物料出入库明细!$D$4:$D$2003,$B144,包装物料出入库明细!$E$4:$E$2003,_自动清单!$G$7,包装物料出入库明细!$B$4:$B$2003,"&gt;="&amp;$AF$1,包装物料出入库明细!$B$4:$B$2003,"&lt;="&amp;$AF$2))</f>
        <v/>
      </c>
      <c r="G144" s="25" t="str">
        <f>IF(OR($B144="",_自动清单!$G$8=""),"",SUMIFS(包装物料出入库明细!$J$4:$J$2003,包装物料出入库明细!$D$4:$D$2003,$B144,包装物料出入库明细!$E$4:$E$2003,_自动清单!$G$8,包装物料出入库明细!$B$4:$B$2003,"&gt;="&amp;$AF$1,包装物料出入库明细!$B$4:$B$2003,"&lt;="&amp;$AF$2))</f>
        <v/>
      </c>
      <c r="H144" s="25" t="str">
        <f>IF(OR($B144="",_自动清单!$G$9=""),"",SUMIFS(包装物料出入库明细!$J$4:$J$2003,包装物料出入库明细!$D$4:$D$2003,$B144,包装物料出入库明细!$E$4:$E$2003,_自动清单!$G$9,包装物料出入库明细!$B$4:$B$2003,"&gt;="&amp;$AF$1,包装物料出入库明细!$B$4:$B$2003,"&lt;="&amp;$AF$2))</f>
        <v/>
      </c>
      <c r="I144" s="25" t="str">
        <f>IF(OR($B144="",_自动清单!$G$10=""),"",SUMIFS(包装物料出入库明细!$J$4:$J$2003,包装物料出入库明细!$D$4:$D$2003,$B144,包装物料出入库明细!$E$4:$E$2003,_自动清单!$G$10,包装物料出入库明细!$B$4:$B$2003,"&gt;="&amp;$AF$1,包装物料出入库明细!$B$4:$B$2003,"&lt;="&amp;$AF$2))</f>
        <v/>
      </c>
      <c r="J144" s="25" t="str">
        <f>IF(OR($B144="",_自动清单!$G$11=""),"",SUMIFS(包装物料出入库明细!$J$4:$J$2003,包装物料出入库明细!$D$4:$D$2003,$B144,包装物料出入库明细!$E$4:$E$2003,_自动清单!$G$11,包装物料出入库明细!$B$4:$B$2003,"&gt;="&amp;$AF$1,包装物料出入库明细!$B$4:$B$2003,"&lt;="&amp;$AF$2))</f>
        <v/>
      </c>
      <c r="K144" s="25" t="str">
        <f>IF(OR($B144="",_自动清单!$G$12=""),"",SUMIFS(包装物料出入库明细!$J$4:$J$2003,包装物料出入库明细!$D$4:$D$2003,$B144,包装物料出入库明细!$E$4:$E$2003,_自动清单!$G$12,包装物料出入库明细!$B$4:$B$2003,"&gt;="&amp;$AF$1,包装物料出入库明细!$B$4:$B$2003,"&lt;="&amp;$AF$2))</f>
        <v/>
      </c>
      <c r="L144" s="25" t="str">
        <f>IF(OR($B144="",_自动清单!$G$13=""),"",SUMIFS(包装物料出入库明细!$J$4:$J$2003,包装物料出入库明细!$D$4:$D$2003,$B144,包装物料出入库明细!$E$4:$E$2003,_自动清单!$G$13,包装物料出入库明细!$B$4:$B$2003,"&gt;="&amp;$AF$1,包装物料出入库明细!$B$4:$B$2003,"&lt;="&amp;$AF$2))</f>
        <v/>
      </c>
      <c r="M144" s="25" t="str">
        <f>IF(OR($B144="",_自动清单!$G$14=""),"",SUMIFS(包装物料出入库明细!$J$4:$J$2003,包装物料出入库明细!$D$4:$D$2003,$B144,包装物料出入库明细!$E$4:$E$2003,_自动清单!$G$14,包装物料出入库明细!$B$4:$B$2003,"&gt;="&amp;$AF$1,包装物料出入库明细!$B$4:$B$2003,"&lt;="&amp;$AF$2))</f>
        <v/>
      </c>
      <c r="N144" s="25" t="str">
        <f>IF(OR($B144="",_自动清单!$G$15=""),"",SUMIFS(包装物料出入库明细!$J$4:$J$2003,包装物料出入库明细!$D$4:$D$2003,$B144,包装物料出入库明细!$E$4:$E$2003,_自动清单!$G$15,包装物料出入库明细!$B$4:$B$2003,"&gt;="&amp;$AF$1,包装物料出入库明细!$B$4:$B$2003,"&lt;="&amp;$AF$2))</f>
        <v/>
      </c>
      <c r="O144" s="25" t="str">
        <f>IF(OR($B144="",_自动清单!$G$16=""),"",SUMIFS(包装物料出入库明细!$J$4:$J$2003,包装物料出入库明细!$D$4:$D$2003,$B144,包装物料出入库明细!$E$4:$E$2003,_自动清单!$G$16,包装物料出入库明细!$B$4:$B$2003,"&gt;="&amp;$AF$1,包装物料出入库明细!$B$4:$B$2003,"&lt;="&amp;$AF$2))</f>
        <v/>
      </c>
      <c r="P144" s="25" t="str">
        <f>IF(OR($B144="",_自动清单!$G$17=""),"",SUMIFS(包装物料出入库明细!$J$4:$J$2003,包装物料出入库明细!$D$4:$D$2003,$B144,包装物料出入库明细!$E$4:$E$2003,_自动清单!$G$17,包装物料出入库明细!$B$4:$B$2003,"&gt;="&amp;$AF$1,包装物料出入库明细!$B$4:$B$2003,"&lt;="&amp;$AF$2))</f>
        <v/>
      </c>
      <c r="Q144" s="25" t="str">
        <f>IF(OR($B144="",_自动清单!$G$18=""),"",SUMIFS(包装物料出入库明细!$J$4:$J$2003,包装物料出入库明细!$D$4:$D$2003,$B144,包装物料出入库明细!$E$4:$E$2003,_自动清单!$G$18,包装物料出入库明细!$B$4:$B$2003,"&gt;="&amp;$AF$1,包装物料出入库明细!$B$4:$B$2003,"&lt;="&amp;$AF$2))</f>
        <v/>
      </c>
      <c r="R144" s="25" t="str">
        <f>IF(OR($B144="",_自动清单!$G$19=""),"",SUMIFS(包装物料出入库明细!$J$4:$J$2003,包装物料出入库明细!$D$4:$D$2003,$B144,包装物料出入库明细!$E$4:$E$2003,_自动清单!$G$19,包装物料出入库明细!$B$4:$B$2003,"&gt;="&amp;$AF$1,包装物料出入库明细!$B$4:$B$2003,"&lt;="&amp;$AF$2))</f>
        <v/>
      </c>
      <c r="S144" s="25" t="str">
        <f>IF(OR($B144="",_自动清单!$G$20=""),"",SUMIFS(包装物料出入库明细!$J$4:$J$2003,包装物料出入库明细!$D$4:$D$2003,$B144,包装物料出入库明细!$E$4:$E$2003,_自动清单!$G$20,包装物料出入库明细!$B$4:$B$2003,"&gt;="&amp;$AF$1,包装物料出入库明细!$B$4:$B$2003,"&lt;="&amp;$AF$2))</f>
        <v/>
      </c>
      <c r="T144" s="25" t="str">
        <f>IF(OR($B144="",_自动清单!$G$21=""),"",SUMIFS(包装物料出入库明细!$J$4:$J$2003,包装物料出入库明细!$D$4:$D$2003,$B144,包装物料出入库明细!$E$4:$E$2003,_自动清单!$G$21,包装物料出入库明细!$B$4:$B$2003,"&gt;="&amp;$AF$1,包装物料出入库明细!$B$4:$B$2003,"&lt;="&amp;$AF$2))</f>
        <v/>
      </c>
      <c r="U144" s="25" t="str">
        <f>IF($B144="","",SUMIFS(包装物料出入库明细!$J$4:$J$2003,包装物料出入库明细!$D$4:$D$2003,$B144,包装物料出入库明细!$B$4:$B$2003,"&gt;="&amp;$AF$1,包装物料出入库明细!$B$4:$B$2003,"&lt;="&amp;$AF$2)-SUM($C144:$T144))</f>
        <v/>
      </c>
      <c r="V144" s="25" t="str">
        <f t="shared" si="9"/>
        <v/>
      </c>
      <c r="W144" s="56" t="str">
        <f>IF($B144="","",SUMIFS(包装物料出入库明细!$K$4:$K$2003,包装物料出入库明细!$D$4:$D$2003,$B144,包装物料出入库明细!$B$4:$B$2003,"&gt;="&amp;$AF$1,包装物料出入库明细!$B$4:$B$2003,"&lt;="&amp;$AF$2))</f>
        <v/>
      </c>
      <c r="X144" s="25" t="str">
        <f t="shared" si="10"/>
        <v/>
      </c>
      <c r="Y144" s="26" t="str">
        <f>IF($B144="","",ROUND(SUMIFS(包装物料出入库明细!$N$4:$N$2003,包装物料出入库明细!$D$4:$D$2003,$B144,包装物料出入库明细!$H$4:$H$2003,"销售出库",包装物料出入库明细!$B$4:$B$2003,"&gt;="&amp;$AF$1,包装物料出入库明细!$B$4:$B$2003,"&lt;="&amp;$AF$2),2))</f>
        <v/>
      </c>
      <c r="Z144" s="26" t="str">
        <f>IF($B144="","",ROUND(SUMIFS(包装物料出入库明细!$N$4:$N$2003,包装物料出入库明细!$D$4:$D$2003,$B144,包装物料出入库明细!$H$4:$H$2003,"销售出库",包装物料出入库明细!$P$4:$P$2003,"已收讫",包装物料出入库明细!$B$4:$B$2003,"&gt;="&amp;$AF$1,包装物料出入库明细!$B$4:$B$2003,"&lt;="&amp;$AF$2),2))</f>
        <v/>
      </c>
      <c r="AA144" s="26" t="str">
        <f t="shared" si="11"/>
        <v/>
      </c>
      <c r="AB144" s="41"/>
    </row>
    <row r="145" spans="1:28">
      <c r="A145" s="24" t="str">
        <f t="shared" si="8"/>
        <v/>
      </c>
      <c r="B145" s="24" t="str">
        <f>IFERROR(INDEX(_自动清单!$O$4:$O$203,ROW()-3),"")</f>
        <v/>
      </c>
      <c r="C145" s="25" t="str">
        <f>IF(OR($B145="",_自动清单!$G$4=""),"",SUMIFS(包装物料出入库明细!$J$4:$J$2003,包装物料出入库明细!$D$4:$D$2003,$B145,包装物料出入库明细!$E$4:$E$2003,_自动清单!$G$4,包装物料出入库明细!$B$4:$B$2003,"&gt;="&amp;$AF$1,包装物料出入库明细!$B$4:$B$2003,"&lt;="&amp;$AF$2))</f>
        <v/>
      </c>
      <c r="D145" s="25" t="str">
        <f>IF(OR($B145="",_自动清单!$G$5=""),"",SUMIFS(包装物料出入库明细!$J$4:$J$2003,包装物料出入库明细!$D$4:$D$2003,$B145,包装物料出入库明细!$E$4:$E$2003,_自动清单!$G$5,包装物料出入库明细!$B$4:$B$2003,"&gt;="&amp;$AF$1,包装物料出入库明细!$B$4:$B$2003,"&lt;="&amp;$AF$2))</f>
        <v/>
      </c>
      <c r="E145" s="25" t="str">
        <f>IF(OR($B145="",_自动清单!$G$6=""),"",SUMIFS(包装物料出入库明细!$J$4:$J$2003,包装物料出入库明细!$D$4:$D$2003,$B145,包装物料出入库明细!$E$4:$E$2003,_自动清单!$G$6,包装物料出入库明细!$B$4:$B$2003,"&gt;="&amp;$AF$1,包装物料出入库明细!$B$4:$B$2003,"&lt;="&amp;$AF$2))</f>
        <v/>
      </c>
      <c r="F145" s="25" t="str">
        <f>IF(OR($B145="",_自动清单!$G$7=""),"",SUMIFS(包装物料出入库明细!$J$4:$J$2003,包装物料出入库明细!$D$4:$D$2003,$B145,包装物料出入库明细!$E$4:$E$2003,_自动清单!$G$7,包装物料出入库明细!$B$4:$B$2003,"&gt;="&amp;$AF$1,包装物料出入库明细!$B$4:$B$2003,"&lt;="&amp;$AF$2))</f>
        <v/>
      </c>
      <c r="G145" s="25" t="str">
        <f>IF(OR($B145="",_自动清单!$G$8=""),"",SUMIFS(包装物料出入库明细!$J$4:$J$2003,包装物料出入库明细!$D$4:$D$2003,$B145,包装物料出入库明细!$E$4:$E$2003,_自动清单!$G$8,包装物料出入库明细!$B$4:$B$2003,"&gt;="&amp;$AF$1,包装物料出入库明细!$B$4:$B$2003,"&lt;="&amp;$AF$2))</f>
        <v/>
      </c>
      <c r="H145" s="25" t="str">
        <f>IF(OR($B145="",_自动清单!$G$9=""),"",SUMIFS(包装物料出入库明细!$J$4:$J$2003,包装物料出入库明细!$D$4:$D$2003,$B145,包装物料出入库明细!$E$4:$E$2003,_自动清单!$G$9,包装物料出入库明细!$B$4:$B$2003,"&gt;="&amp;$AF$1,包装物料出入库明细!$B$4:$B$2003,"&lt;="&amp;$AF$2))</f>
        <v/>
      </c>
      <c r="I145" s="25" t="str">
        <f>IF(OR($B145="",_自动清单!$G$10=""),"",SUMIFS(包装物料出入库明细!$J$4:$J$2003,包装物料出入库明细!$D$4:$D$2003,$B145,包装物料出入库明细!$E$4:$E$2003,_自动清单!$G$10,包装物料出入库明细!$B$4:$B$2003,"&gt;="&amp;$AF$1,包装物料出入库明细!$B$4:$B$2003,"&lt;="&amp;$AF$2))</f>
        <v/>
      </c>
      <c r="J145" s="25" t="str">
        <f>IF(OR($B145="",_自动清单!$G$11=""),"",SUMIFS(包装物料出入库明细!$J$4:$J$2003,包装物料出入库明细!$D$4:$D$2003,$B145,包装物料出入库明细!$E$4:$E$2003,_自动清单!$G$11,包装物料出入库明细!$B$4:$B$2003,"&gt;="&amp;$AF$1,包装物料出入库明细!$B$4:$B$2003,"&lt;="&amp;$AF$2))</f>
        <v/>
      </c>
      <c r="K145" s="25" t="str">
        <f>IF(OR($B145="",_自动清单!$G$12=""),"",SUMIFS(包装物料出入库明细!$J$4:$J$2003,包装物料出入库明细!$D$4:$D$2003,$B145,包装物料出入库明细!$E$4:$E$2003,_自动清单!$G$12,包装物料出入库明细!$B$4:$B$2003,"&gt;="&amp;$AF$1,包装物料出入库明细!$B$4:$B$2003,"&lt;="&amp;$AF$2))</f>
        <v/>
      </c>
      <c r="L145" s="25" t="str">
        <f>IF(OR($B145="",_自动清单!$G$13=""),"",SUMIFS(包装物料出入库明细!$J$4:$J$2003,包装物料出入库明细!$D$4:$D$2003,$B145,包装物料出入库明细!$E$4:$E$2003,_自动清单!$G$13,包装物料出入库明细!$B$4:$B$2003,"&gt;="&amp;$AF$1,包装物料出入库明细!$B$4:$B$2003,"&lt;="&amp;$AF$2))</f>
        <v/>
      </c>
      <c r="M145" s="25" t="str">
        <f>IF(OR($B145="",_自动清单!$G$14=""),"",SUMIFS(包装物料出入库明细!$J$4:$J$2003,包装物料出入库明细!$D$4:$D$2003,$B145,包装物料出入库明细!$E$4:$E$2003,_自动清单!$G$14,包装物料出入库明细!$B$4:$B$2003,"&gt;="&amp;$AF$1,包装物料出入库明细!$B$4:$B$2003,"&lt;="&amp;$AF$2))</f>
        <v/>
      </c>
      <c r="N145" s="25" t="str">
        <f>IF(OR($B145="",_自动清单!$G$15=""),"",SUMIFS(包装物料出入库明细!$J$4:$J$2003,包装物料出入库明细!$D$4:$D$2003,$B145,包装物料出入库明细!$E$4:$E$2003,_自动清单!$G$15,包装物料出入库明细!$B$4:$B$2003,"&gt;="&amp;$AF$1,包装物料出入库明细!$B$4:$B$2003,"&lt;="&amp;$AF$2))</f>
        <v/>
      </c>
      <c r="O145" s="25" t="str">
        <f>IF(OR($B145="",_自动清单!$G$16=""),"",SUMIFS(包装物料出入库明细!$J$4:$J$2003,包装物料出入库明细!$D$4:$D$2003,$B145,包装物料出入库明细!$E$4:$E$2003,_自动清单!$G$16,包装物料出入库明细!$B$4:$B$2003,"&gt;="&amp;$AF$1,包装物料出入库明细!$B$4:$B$2003,"&lt;="&amp;$AF$2))</f>
        <v/>
      </c>
      <c r="P145" s="25" t="str">
        <f>IF(OR($B145="",_自动清单!$G$17=""),"",SUMIFS(包装物料出入库明细!$J$4:$J$2003,包装物料出入库明细!$D$4:$D$2003,$B145,包装物料出入库明细!$E$4:$E$2003,_自动清单!$G$17,包装物料出入库明细!$B$4:$B$2003,"&gt;="&amp;$AF$1,包装物料出入库明细!$B$4:$B$2003,"&lt;="&amp;$AF$2))</f>
        <v/>
      </c>
      <c r="Q145" s="25" t="str">
        <f>IF(OR($B145="",_自动清单!$G$18=""),"",SUMIFS(包装物料出入库明细!$J$4:$J$2003,包装物料出入库明细!$D$4:$D$2003,$B145,包装物料出入库明细!$E$4:$E$2003,_自动清单!$G$18,包装物料出入库明细!$B$4:$B$2003,"&gt;="&amp;$AF$1,包装物料出入库明细!$B$4:$B$2003,"&lt;="&amp;$AF$2))</f>
        <v/>
      </c>
      <c r="R145" s="25" t="str">
        <f>IF(OR($B145="",_自动清单!$G$19=""),"",SUMIFS(包装物料出入库明细!$J$4:$J$2003,包装物料出入库明细!$D$4:$D$2003,$B145,包装物料出入库明细!$E$4:$E$2003,_自动清单!$G$19,包装物料出入库明细!$B$4:$B$2003,"&gt;="&amp;$AF$1,包装物料出入库明细!$B$4:$B$2003,"&lt;="&amp;$AF$2))</f>
        <v/>
      </c>
      <c r="S145" s="25" t="str">
        <f>IF(OR($B145="",_自动清单!$G$20=""),"",SUMIFS(包装物料出入库明细!$J$4:$J$2003,包装物料出入库明细!$D$4:$D$2003,$B145,包装物料出入库明细!$E$4:$E$2003,_自动清单!$G$20,包装物料出入库明细!$B$4:$B$2003,"&gt;="&amp;$AF$1,包装物料出入库明细!$B$4:$B$2003,"&lt;="&amp;$AF$2))</f>
        <v/>
      </c>
      <c r="T145" s="25" t="str">
        <f>IF(OR($B145="",_自动清单!$G$21=""),"",SUMIFS(包装物料出入库明细!$J$4:$J$2003,包装物料出入库明细!$D$4:$D$2003,$B145,包装物料出入库明细!$E$4:$E$2003,_自动清单!$G$21,包装物料出入库明细!$B$4:$B$2003,"&gt;="&amp;$AF$1,包装物料出入库明细!$B$4:$B$2003,"&lt;="&amp;$AF$2))</f>
        <v/>
      </c>
      <c r="U145" s="25" t="str">
        <f>IF($B145="","",SUMIFS(包装物料出入库明细!$J$4:$J$2003,包装物料出入库明细!$D$4:$D$2003,$B145,包装物料出入库明细!$B$4:$B$2003,"&gt;="&amp;$AF$1,包装物料出入库明细!$B$4:$B$2003,"&lt;="&amp;$AF$2)-SUM($C145:$T145))</f>
        <v/>
      </c>
      <c r="V145" s="25" t="str">
        <f t="shared" si="9"/>
        <v/>
      </c>
      <c r="W145" s="56" t="str">
        <f>IF($B145="","",SUMIFS(包装物料出入库明细!$K$4:$K$2003,包装物料出入库明细!$D$4:$D$2003,$B145,包装物料出入库明细!$B$4:$B$2003,"&gt;="&amp;$AF$1,包装物料出入库明细!$B$4:$B$2003,"&lt;="&amp;$AF$2))</f>
        <v/>
      </c>
      <c r="X145" s="25" t="str">
        <f t="shared" si="10"/>
        <v/>
      </c>
      <c r="Y145" s="26" t="str">
        <f>IF($B145="","",ROUND(SUMIFS(包装物料出入库明细!$N$4:$N$2003,包装物料出入库明细!$D$4:$D$2003,$B145,包装物料出入库明细!$H$4:$H$2003,"销售出库",包装物料出入库明细!$B$4:$B$2003,"&gt;="&amp;$AF$1,包装物料出入库明细!$B$4:$B$2003,"&lt;="&amp;$AF$2),2))</f>
        <v/>
      </c>
      <c r="Z145" s="26" t="str">
        <f>IF($B145="","",ROUND(SUMIFS(包装物料出入库明细!$N$4:$N$2003,包装物料出入库明细!$D$4:$D$2003,$B145,包装物料出入库明细!$H$4:$H$2003,"销售出库",包装物料出入库明细!$P$4:$P$2003,"已收讫",包装物料出入库明细!$B$4:$B$2003,"&gt;="&amp;$AF$1,包装物料出入库明细!$B$4:$B$2003,"&lt;="&amp;$AF$2),2))</f>
        <v/>
      </c>
      <c r="AA145" s="26" t="str">
        <f t="shared" si="11"/>
        <v/>
      </c>
      <c r="AB145" s="41"/>
    </row>
    <row r="146" spans="1:28">
      <c r="A146" s="24" t="str">
        <f t="shared" si="8"/>
        <v/>
      </c>
      <c r="B146" s="24" t="str">
        <f>IFERROR(INDEX(_自动清单!$O$4:$O$203,ROW()-3),"")</f>
        <v/>
      </c>
      <c r="C146" s="25" t="str">
        <f>IF(OR($B146="",_自动清单!$G$4=""),"",SUMIFS(包装物料出入库明细!$J$4:$J$2003,包装物料出入库明细!$D$4:$D$2003,$B146,包装物料出入库明细!$E$4:$E$2003,_自动清单!$G$4,包装物料出入库明细!$B$4:$B$2003,"&gt;="&amp;$AF$1,包装物料出入库明细!$B$4:$B$2003,"&lt;="&amp;$AF$2))</f>
        <v/>
      </c>
      <c r="D146" s="25" t="str">
        <f>IF(OR($B146="",_自动清单!$G$5=""),"",SUMIFS(包装物料出入库明细!$J$4:$J$2003,包装物料出入库明细!$D$4:$D$2003,$B146,包装物料出入库明细!$E$4:$E$2003,_自动清单!$G$5,包装物料出入库明细!$B$4:$B$2003,"&gt;="&amp;$AF$1,包装物料出入库明细!$B$4:$B$2003,"&lt;="&amp;$AF$2))</f>
        <v/>
      </c>
      <c r="E146" s="25" t="str">
        <f>IF(OR($B146="",_自动清单!$G$6=""),"",SUMIFS(包装物料出入库明细!$J$4:$J$2003,包装物料出入库明细!$D$4:$D$2003,$B146,包装物料出入库明细!$E$4:$E$2003,_自动清单!$G$6,包装物料出入库明细!$B$4:$B$2003,"&gt;="&amp;$AF$1,包装物料出入库明细!$B$4:$B$2003,"&lt;="&amp;$AF$2))</f>
        <v/>
      </c>
      <c r="F146" s="25" t="str">
        <f>IF(OR($B146="",_自动清单!$G$7=""),"",SUMIFS(包装物料出入库明细!$J$4:$J$2003,包装物料出入库明细!$D$4:$D$2003,$B146,包装物料出入库明细!$E$4:$E$2003,_自动清单!$G$7,包装物料出入库明细!$B$4:$B$2003,"&gt;="&amp;$AF$1,包装物料出入库明细!$B$4:$B$2003,"&lt;="&amp;$AF$2))</f>
        <v/>
      </c>
      <c r="G146" s="25" t="str">
        <f>IF(OR($B146="",_自动清单!$G$8=""),"",SUMIFS(包装物料出入库明细!$J$4:$J$2003,包装物料出入库明细!$D$4:$D$2003,$B146,包装物料出入库明细!$E$4:$E$2003,_自动清单!$G$8,包装物料出入库明细!$B$4:$B$2003,"&gt;="&amp;$AF$1,包装物料出入库明细!$B$4:$B$2003,"&lt;="&amp;$AF$2))</f>
        <v/>
      </c>
      <c r="H146" s="25" t="str">
        <f>IF(OR($B146="",_自动清单!$G$9=""),"",SUMIFS(包装物料出入库明细!$J$4:$J$2003,包装物料出入库明细!$D$4:$D$2003,$B146,包装物料出入库明细!$E$4:$E$2003,_自动清单!$G$9,包装物料出入库明细!$B$4:$B$2003,"&gt;="&amp;$AF$1,包装物料出入库明细!$B$4:$B$2003,"&lt;="&amp;$AF$2))</f>
        <v/>
      </c>
      <c r="I146" s="25" t="str">
        <f>IF(OR($B146="",_自动清单!$G$10=""),"",SUMIFS(包装物料出入库明细!$J$4:$J$2003,包装物料出入库明细!$D$4:$D$2003,$B146,包装物料出入库明细!$E$4:$E$2003,_自动清单!$G$10,包装物料出入库明细!$B$4:$B$2003,"&gt;="&amp;$AF$1,包装物料出入库明细!$B$4:$B$2003,"&lt;="&amp;$AF$2))</f>
        <v/>
      </c>
      <c r="J146" s="25" t="str">
        <f>IF(OR($B146="",_自动清单!$G$11=""),"",SUMIFS(包装物料出入库明细!$J$4:$J$2003,包装物料出入库明细!$D$4:$D$2003,$B146,包装物料出入库明细!$E$4:$E$2003,_自动清单!$G$11,包装物料出入库明细!$B$4:$B$2003,"&gt;="&amp;$AF$1,包装物料出入库明细!$B$4:$B$2003,"&lt;="&amp;$AF$2))</f>
        <v/>
      </c>
      <c r="K146" s="25" t="str">
        <f>IF(OR($B146="",_自动清单!$G$12=""),"",SUMIFS(包装物料出入库明细!$J$4:$J$2003,包装物料出入库明细!$D$4:$D$2003,$B146,包装物料出入库明细!$E$4:$E$2003,_自动清单!$G$12,包装物料出入库明细!$B$4:$B$2003,"&gt;="&amp;$AF$1,包装物料出入库明细!$B$4:$B$2003,"&lt;="&amp;$AF$2))</f>
        <v/>
      </c>
      <c r="L146" s="25" t="str">
        <f>IF(OR($B146="",_自动清单!$G$13=""),"",SUMIFS(包装物料出入库明细!$J$4:$J$2003,包装物料出入库明细!$D$4:$D$2003,$B146,包装物料出入库明细!$E$4:$E$2003,_自动清单!$G$13,包装物料出入库明细!$B$4:$B$2003,"&gt;="&amp;$AF$1,包装物料出入库明细!$B$4:$B$2003,"&lt;="&amp;$AF$2))</f>
        <v/>
      </c>
      <c r="M146" s="25" t="str">
        <f>IF(OR($B146="",_自动清单!$G$14=""),"",SUMIFS(包装物料出入库明细!$J$4:$J$2003,包装物料出入库明细!$D$4:$D$2003,$B146,包装物料出入库明细!$E$4:$E$2003,_自动清单!$G$14,包装物料出入库明细!$B$4:$B$2003,"&gt;="&amp;$AF$1,包装物料出入库明细!$B$4:$B$2003,"&lt;="&amp;$AF$2))</f>
        <v/>
      </c>
      <c r="N146" s="25" t="str">
        <f>IF(OR($B146="",_自动清单!$G$15=""),"",SUMIFS(包装物料出入库明细!$J$4:$J$2003,包装物料出入库明细!$D$4:$D$2003,$B146,包装物料出入库明细!$E$4:$E$2003,_自动清单!$G$15,包装物料出入库明细!$B$4:$B$2003,"&gt;="&amp;$AF$1,包装物料出入库明细!$B$4:$B$2003,"&lt;="&amp;$AF$2))</f>
        <v/>
      </c>
      <c r="O146" s="25" t="str">
        <f>IF(OR($B146="",_自动清单!$G$16=""),"",SUMIFS(包装物料出入库明细!$J$4:$J$2003,包装物料出入库明细!$D$4:$D$2003,$B146,包装物料出入库明细!$E$4:$E$2003,_自动清单!$G$16,包装物料出入库明细!$B$4:$B$2003,"&gt;="&amp;$AF$1,包装物料出入库明细!$B$4:$B$2003,"&lt;="&amp;$AF$2))</f>
        <v/>
      </c>
      <c r="P146" s="25" t="str">
        <f>IF(OR($B146="",_自动清单!$G$17=""),"",SUMIFS(包装物料出入库明细!$J$4:$J$2003,包装物料出入库明细!$D$4:$D$2003,$B146,包装物料出入库明细!$E$4:$E$2003,_自动清单!$G$17,包装物料出入库明细!$B$4:$B$2003,"&gt;="&amp;$AF$1,包装物料出入库明细!$B$4:$B$2003,"&lt;="&amp;$AF$2))</f>
        <v/>
      </c>
      <c r="Q146" s="25" t="str">
        <f>IF(OR($B146="",_自动清单!$G$18=""),"",SUMIFS(包装物料出入库明细!$J$4:$J$2003,包装物料出入库明细!$D$4:$D$2003,$B146,包装物料出入库明细!$E$4:$E$2003,_自动清单!$G$18,包装物料出入库明细!$B$4:$B$2003,"&gt;="&amp;$AF$1,包装物料出入库明细!$B$4:$B$2003,"&lt;="&amp;$AF$2))</f>
        <v/>
      </c>
      <c r="R146" s="25" t="str">
        <f>IF(OR($B146="",_自动清单!$G$19=""),"",SUMIFS(包装物料出入库明细!$J$4:$J$2003,包装物料出入库明细!$D$4:$D$2003,$B146,包装物料出入库明细!$E$4:$E$2003,_自动清单!$G$19,包装物料出入库明细!$B$4:$B$2003,"&gt;="&amp;$AF$1,包装物料出入库明细!$B$4:$B$2003,"&lt;="&amp;$AF$2))</f>
        <v/>
      </c>
      <c r="S146" s="25" t="str">
        <f>IF(OR($B146="",_自动清单!$G$20=""),"",SUMIFS(包装物料出入库明细!$J$4:$J$2003,包装物料出入库明细!$D$4:$D$2003,$B146,包装物料出入库明细!$E$4:$E$2003,_自动清单!$G$20,包装物料出入库明细!$B$4:$B$2003,"&gt;="&amp;$AF$1,包装物料出入库明细!$B$4:$B$2003,"&lt;="&amp;$AF$2))</f>
        <v/>
      </c>
      <c r="T146" s="25" t="str">
        <f>IF(OR($B146="",_自动清单!$G$21=""),"",SUMIFS(包装物料出入库明细!$J$4:$J$2003,包装物料出入库明细!$D$4:$D$2003,$B146,包装物料出入库明细!$E$4:$E$2003,_自动清单!$G$21,包装物料出入库明细!$B$4:$B$2003,"&gt;="&amp;$AF$1,包装物料出入库明细!$B$4:$B$2003,"&lt;="&amp;$AF$2))</f>
        <v/>
      </c>
      <c r="U146" s="25" t="str">
        <f>IF($B146="","",SUMIFS(包装物料出入库明细!$J$4:$J$2003,包装物料出入库明细!$D$4:$D$2003,$B146,包装物料出入库明细!$B$4:$B$2003,"&gt;="&amp;$AF$1,包装物料出入库明细!$B$4:$B$2003,"&lt;="&amp;$AF$2)-SUM($C146:$T146))</f>
        <v/>
      </c>
      <c r="V146" s="25" t="str">
        <f t="shared" si="9"/>
        <v/>
      </c>
      <c r="W146" s="56" t="str">
        <f>IF($B146="","",SUMIFS(包装物料出入库明细!$K$4:$K$2003,包装物料出入库明细!$D$4:$D$2003,$B146,包装物料出入库明细!$B$4:$B$2003,"&gt;="&amp;$AF$1,包装物料出入库明细!$B$4:$B$2003,"&lt;="&amp;$AF$2))</f>
        <v/>
      </c>
      <c r="X146" s="25" t="str">
        <f t="shared" si="10"/>
        <v/>
      </c>
      <c r="Y146" s="26" t="str">
        <f>IF($B146="","",ROUND(SUMIFS(包装物料出入库明细!$N$4:$N$2003,包装物料出入库明细!$D$4:$D$2003,$B146,包装物料出入库明细!$H$4:$H$2003,"销售出库",包装物料出入库明细!$B$4:$B$2003,"&gt;="&amp;$AF$1,包装物料出入库明细!$B$4:$B$2003,"&lt;="&amp;$AF$2),2))</f>
        <v/>
      </c>
      <c r="Z146" s="26" t="str">
        <f>IF($B146="","",ROUND(SUMIFS(包装物料出入库明细!$N$4:$N$2003,包装物料出入库明细!$D$4:$D$2003,$B146,包装物料出入库明细!$H$4:$H$2003,"销售出库",包装物料出入库明细!$P$4:$P$2003,"已收讫",包装物料出入库明细!$B$4:$B$2003,"&gt;="&amp;$AF$1,包装物料出入库明细!$B$4:$B$2003,"&lt;="&amp;$AF$2),2))</f>
        <v/>
      </c>
      <c r="AA146" s="26" t="str">
        <f t="shared" si="11"/>
        <v/>
      </c>
      <c r="AB146" s="41"/>
    </row>
    <row r="147" spans="1:28">
      <c r="A147" s="24" t="str">
        <f t="shared" si="8"/>
        <v/>
      </c>
      <c r="B147" s="24" t="str">
        <f>IFERROR(INDEX(_自动清单!$O$4:$O$203,ROW()-3),"")</f>
        <v/>
      </c>
      <c r="C147" s="25" t="str">
        <f>IF(OR($B147="",_自动清单!$G$4=""),"",SUMIFS(包装物料出入库明细!$J$4:$J$2003,包装物料出入库明细!$D$4:$D$2003,$B147,包装物料出入库明细!$E$4:$E$2003,_自动清单!$G$4,包装物料出入库明细!$B$4:$B$2003,"&gt;="&amp;$AF$1,包装物料出入库明细!$B$4:$B$2003,"&lt;="&amp;$AF$2))</f>
        <v/>
      </c>
      <c r="D147" s="25" t="str">
        <f>IF(OR($B147="",_自动清单!$G$5=""),"",SUMIFS(包装物料出入库明细!$J$4:$J$2003,包装物料出入库明细!$D$4:$D$2003,$B147,包装物料出入库明细!$E$4:$E$2003,_自动清单!$G$5,包装物料出入库明细!$B$4:$B$2003,"&gt;="&amp;$AF$1,包装物料出入库明细!$B$4:$B$2003,"&lt;="&amp;$AF$2))</f>
        <v/>
      </c>
      <c r="E147" s="25" t="str">
        <f>IF(OR($B147="",_自动清单!$G$6=""),"",SUMIFS(包装物料出入库明细!$J$4:$J$2003,包装物料出入库明细!$D$4:$D$2003,$B147,包装物料出入库明细!$E$4:$E$2003,_自动清单!$G$6,包装物料出入库明细!$B$4:$B$2003,"&gt;="&amp;$AF$1,包装物料出入库明细!$B$4:$B$2003,"&lt;="&amp;$AF$2))</f>
        <v/>
      </c>
      <c r="F147" s="25" t="str">
        <f>IF(OR($B147="",_自动清单!$G$7=""),"",SUMIFS(包装物料出入库明细!$J$4:$J$2003,包装物料出入库明细!$D$4:$D$2003,$B147,包装物料出入库明细!$E$4:$E$2003,_自动清单!$G$7,包装物料出入库明细!$B$4:$B$2003,"&gt;="&amp;$AF$1,包装物料出入库明细!$B$4:$B$2003,"&lt;="&amp;$AF$2))</f>
        <v/>
      </c>
      <c r="G147" s="25" t="str">
        <f>IF(OR($B147="",_自动清单!$G$8=""),"",SUMIFS(包装物料出入库明细!$J$4:$J$2003,包装物料出入库明细!$D$4:$D$2003,$B147,包装物料出入库明细!$E$4:$E$2003,_自动清单!$G$8,包装物料出入库明细!$B$4:$B$2003,"&gt;="&amp;$AF$1,包装物料出入库明细!$B$4:$B$2003,"&lt;="&amp;$AF$2))</f>
        <v/>
      </c>
      <c r="H147" s="25" t="str">
        <f>IF(OR($B147="",_自动清单!$G$9=""),"",SUMIFS(包装物料出入库明细!$J$4:$J$2003,包装物料出入库明细!$D$4:$D$2003,$B147,包装物料出入库明细!$E$4:$E$2003,_自动清单!$G$9,包装物料出入库明细!$B$4:$B$2003,"&gt;="&amp;$AF$1,包装物料出入库明细!$B$4:$B$2003,"&lt;="&amp;$AF$2))</f>
        <v/>
      </c>
      <c r="I147" s="25" t="str">
        <f>IF(OR($B147="",_自动清单!$G$10=""),"",SUMIFS(包装物料出入库明细!$J$4:$J$2003,包装物料出入库明细!$D$4:$D$2003,$B147,包装物料出入库明细!$E$4:$E$2003,_自动清单!$G$10,包装物料出入库明细!$B$4:$B$2003,"&gt;="&amp;$AF$1,包装物料出入库明细!$B$4:$B$2003,"&lt;="&amp;$AF$2))</f>
        <v/>
      </c>
      <c r="J147" s="25" t="str">
        <f>IF(OR($B147="",_自动清单!$G$11=""),"",SUMIFS(包装物料出入库明细!$J$4:$J$2003,包装物料出入库明细!$D$4:$D$2003,$B147,包装物料出入库明细!$E$4:$E$2003,_自动清单!$G$11,包装物料出入库明细!$B$4:$B$2003,"&gt;="&amp;$AF$1,包装物料出入库明细!$B$4:$B$2003,"&lt;="&amp;$AF$2))</f>
        <v/>
      </c>
      <c r="K147" s="25" t="str">
        <f>IF(OR($B147="",_自动清单!$G$12=""),"",SUMIFS(包装物料出入库明细!$J$4:$J$2003,包装物料出入库明细!$D$4:$D$2003,$B147,包装物料出入库明细!$E$4:$E$2003,_自动清单!$G$12,包装物料出入库明细!$B$4:$B$2003,"&gt;="&amp;$AF$1,包装物料出入库明细!$B$4:$B$2003,"&lt;="&amp;$AF$2))</f>
        <v/>
      </c>
      <c r="L147" s="25" t="str">
        <f>IF(OR($B147="",_自动清单!$G$13=""),"",SUMIFS(包装物料出入库明细!$J$4:$J$2003,包装物料出入库明细!$D$4:$D$2003,$B147,包装物料出入库明细!$E$4:$E$2003,_自动清单!$G$13,包装物料出入库明细!$B$4:$B$2003,"&gt;="&amp;$AF$1,包装物料出入库明细!$B$4:$B$2003,"&lt;="&amp;$AF$2))</f>
        <v/>
      </c>
      <c r="M147" s="25" t="str">
        <f>IF(OR($B147="",_自动清单!$G$14=""),"",SUMIFS(包装物料出入库明细!$J$4:$J$2003,包装物料出入库明细!$D$4:$D$2003,$B147,包装物料出入库明细!$E$4:$E$2003,_自动清单!$G$14,包装物料出入库明细!$B$4:$B$2003,"&gt;="&amp;$AF$1,包装物料出入库明细!$B$4:$B$2003,"&lt;="&amp;$AF$2))</f>
        <v/>
      </c>
      <c r="N147" s="25" t="str">
        <f>IF(OR($B147="",_自动清单!$G$15=""),"",SUMIFS(包装物料出入库明细!$J$4:$J$2003,包装物料出入库明细!$D$4:$D$2003,$B147,包装物料出入库明细!$E$4:$E$2003,_自动清单!$G$15,包装物料出入库明细!$B$4:$B$2003,"&gt;="&amp;$AF$1,包装物料出入库明细!$B$4:$B$2003,"&lt;="&amp;$AF$2))</f>
        <v/>
      </c>
      <c r="O147" s="25" t="str">
        <f>IF(OR($B147="",_自动清单!$G$16=""),"",SUMIFS(包装物料出入库明细!$J$4:$J$2003,包装物料出入库明细!$D$4:$D$2003,$B147,包装物料出入库明细!$E$4:$E$2003,_自动清单!$G$16,包装物料出入库明细!$B$4:$B$2003,"&gt;="&amp;$AF$1,包装物料出入库明细!$B$4:$B$2003,"&lt;="&amp;$AF$2))</f>
        <v/>
      </c>
      <c r="P147" s="25" t="str">
        <f>IF(OR($B147="",_自动清单!$G$17=""),"",SUMIFS(包装物料出入库明细!$J$4:$J$2003,包装物料出入库明细!$D$4:$D$2003,$B147,包装物料出入库明细!$E$4:$E$2003,_自动清单!$G$17,包装物料出入库明细!$B$4:$B$2003,"&gt;="&amp;$AF$1,包装物料出入库明细!$B$4:$B$2003,"&lt;="&amp;$AF$2))</f>
        <v/>
      </c>
      <c r="Q147" s="25" t="str">
        <f>IF(OR($B147="",_自动清单!$G$18=""),"",SUMIFS(包装物料出入库明细!$J$4:$J$2003,包装物料出入库明细!$D$4:$D$2003,$B147,包装物料出入库明细!$E$4:$E$2003,_自动清单!$G$18,包装物料出入库明细!$B$4:$B$2003,"&gt;="&amp;$AF$1,包装物料出入库明细!$B$4:$B$2003,"&lt;="&amp;$AF$2))</f>
        <v/>
      </c>
      <c r="R147" s="25" t="str">
        <f>IF(OR($B147="",_自动清单!$G$19=""),"",SUMIFS(包装物料出入库明细!$J$4:$J$2003,包装物料出入库明细!$D$4:$D$2003,$B147,包装物料出入库明细!$E$4:$E$2003,_自动清单!$G$19,包装物料出入库明细!$B$4:$B$2003,"&gt;="&amp;$AF$1,包装物料出入库明细!$B$4:$B$2003,"&lt;="&amp;$AF$2))</f>
        <v/>
      </c>
      <c r="S147" s="25" t="str">
        <f>IF(OR($B147="",_自动清单!$G$20=""),"",SUMIFS(包装物料出入库明细!$J$4:$J$2003,包装物料出入库明细!$D$4:$D$2003,$B147,包装物料出入库明细!$E$4:$E$2003,_自动清单!$G$20,包装物料出入库明细!$B$4:$B$2003,"&gt;="&amp;$AF$1,包装物料出入库明细!$B$4:$B$2003,"&lt;="&amp;$AF$2))</f>
        <v/>
      </c>
      <c r="T147" s="25" t="str">
        <f>IF(OR($B147="",_自动清单!$G$21=""),"",SUMIFS(包装物料出入库明细!$J$4:$J$2003,包装物料出入库明细!$D$4:$D$2003,$B147,包装物料出入库明细!$E$4:$E$2003,_自动清单!$G$21,包装物料出入库明细!$B$4:$B$2003,"&gt;="&amp;$AF$1,包装物料出入库明细!$B$4:$B$2003,"&lt;="&amp;$AF$2))</f>
        <v/>
      </c>
      <c r="U147" s="25" t="str">
        <f>IF($B147="","",SUMIFS(包装物料出入库明细!$J$4:$J$2003,包装物料出入库明细!$D$4:$D$2003,$B147,包装物料出入库明细!$B$4:$B$2003,"&gt;="&amp;$AF$1,包装物料出入库明细!$B$4:$B$2003,"&lt;="&amp;$AF$2)-SUM($C147:$T147))</f>
        <v/>
      </c>
      <c r="V147" s="25" t="str">
        <f t="shared" si="9"/>
        <v/>
      </c>
      <c r="W147" s="56" t="str">
        <f>IF($B147="","",SUMIFS(包装物料出入库明细!$K$4:$K$2003,包装物料出入库明细!$D$4:$D$2003,$B147,包装物料出入库明细!$B$4:$B$2003,"&gt;="&amp;$AF$1,包装物料出入库明细!$B$4:$B$2003,"&lt;="&amp;$AF$2))</f>
        <v/>
      </c>
      <c r="X147" s="25" t="str">
        <f t="shared" si="10"/>
        <v/>
      </c>
      <c r="Y147" s="26" t="str">
        <f>IF($B147="","",ROUND(SUMIFS(包装物料出入库明细!$N$4:$N$2003,包装物料出入库明细!$D$4:$D$2003,$B147,包装物料出入库明细!$H$4:$H$2003,"销售出库",包装物料出入库明细!$B$4:$B$2003,"&gt;="&amp;$AF$1,包装物料出入库明细!$B$4:$B$2003,"&lt;="&amp;$AF$2),2))</f>
        <v/>
      </c>
      <c r="Z147" s="26" t="str">
        <f>IF($B147="","",ROUND(SUMIFS(包装物料出入库明细!$N$4:$N$2003,包装物料出入库明细!$D$4:$D$2003,$B147,包装物料出入库明细!$H$4:$H$2003,"销售出库",包装物料出入库明细!$P$4:$P$2003,"已收讫",包装物料出入库明细!$B$4:$B$2003,"&gt;="&amp;$AF$1,包装物料出入库明细!$B$4:$B$2003,"&lt;="&amp;$AF$2),2))</f>
        <v/>
      </c>
      <c r="AA147" s="26" t="str">
        <f t="shared" si="11"/>
        <v/>
      </c>
      <c r="AB147" s="41"/>
    </row>
    <row r="148" spans="1:28">
      <c r="A148" s="24" t="str">
        <f t="shared" si="8"/>
        <v/>
      </c>
      <c r="B148" s="24" t="str">
        <f>IFERROR(INDEX(_自动清单!$O$4:$O$203,ROW()-3),"")</f>
        <v/>
      </c>
      <c r="C148" s="25" t="str">
        <f>IF(OR($B148="",_自动清单!$G$4=""),"",SUMIFS(包装物料出入库明细!$J$4:$J$2003,包装物料出入库明细!$D$4:$D$2003,$B148,包装物料出入库明细!$E$4:$E$2003,_自动清单!$G$4,包装物料出入库明细!$B$4:$B$2003,"&gt;="&amp;$AF$1,包装物料出入库明细!$B$4:$B$2003,"&lt;="&amp;$AF$2))</f>
        <v/>
      </c>
      <c r="D148" s="25" t="str">
        <f>IF(OR($B148="",_自动清单!$G$5=""),"",SUMIFS(包装物料出入库明细!$J$4:$J$2003,包装物料出入库明细!$D$4:$D$2003,$B148,包装物料出入库明细!$E$4:$E$2003,_自动清单!$G$5,包装物料出入库明细!$B$4:$B$2003,"&gt;="&amp;$AF$1,包装物料出入库明细!$B$4:$B$2003,"&lt;="&amp;$AF$2))</f>
        <v/>
      </c>
      <c r="E148" s="25" t="str">
        <f>IF(OR($B148="",_自动清单!$G$6=""),"",SUMIFS(包装物料出入库明细!$J$4:$J$2003,包装物料出入库明细!$D$4:$D$2003,$B148,包装物料出入库明细!$E$4:$E$2003,_自动清单!$G$6,包装物料出入库明细!$B$4:$B$2003,"&gt;="&amp;$AF$1,包装物料出入库明细!$B$4:$B$2003,"&lt;="&amp;$AF$2))</f>
        <v/>
      </c>
      <c r="F148" s="25" t="str">
        <f>IF(OR($B148="",_自动清单!$G$7=""),"",SUMIFS(包装物料出入库明细!$J$4:$J$2003,包装物料出入库明细!$D$4:$D$2003,$B148,包装物料出入库明细!$E$4:$E$2003,_自动清单!$G$7,包装物料出入库明细!$B$4:$B$2003,"&gt;="&amp;$AF$1,包装物料出入库明细!$B$4:$B$2003,"&lt;="&amp;$AF$2))</f>
        <v/>
      </c>
      <c r="G148" s="25" t="str">
        <f>IF(OR($B148="",_自动清单!$G$8=""),"",SUMIFS(包装物料出入库明细!$J$4:$J$2003,包装物料出入库明细!$D$4:$D$2003,$B148,包装物料出入库明细!$E$4:$E$2003,_自动清单!$G$8,包装物料出入库明细!$B$4:$B$2003,"&gt;="&amp;$AF$1,包装物料出入库明细!$B$4:$B$2003,"&lt;="&amp;$AF$2))</f>
        <v/>
      </c>
      <c r="H148" s="25" t="str">
        <f>IF(OR($B148="",_自动清单!$G$9=""),"",SUMIFS(包装物料出入库明细!$J$4:$J$2003,包装物料出入库明细!$D$4:$D$2003,$B148,包装物料出入库明细!$E$4:$E$2003,_自动清单!$G$9,包装物料出入库明细!$B$4:$B$2003,"&gt;="&amp;$AF$1,包装物料出入库明细!$B$4:$B$2003,"&lt;="&amp;$AF$2))</f>
        <v/>
      </c>
      <c r="I148" s="25" t="str">
        <f>IF(OR($B148="",_自动清单!$G$10=""),"",SUMIFS(包装物料出入库明细!$J$4:$J$2003,包装物料出入库明细!$D$4:$D$2003,$B148,包装物料出入库明细!$E$4:$E$2003,_自动清单!$G$10,包装物料出入库明细!$B$4:$B$2003,"&gt;="&amp;$AF$1,包装物料出入库明细!$B$4:$B$2003,"&lt;="&amp;$AF$2))</f>
        <v/>
      </c>
      <c r="J148" s="25" t="str">
        <f>IF(OR($B148="",_自动清单!$G$11=""),"",SUMIFS(包装物料出入库明细!$J$4:$J$2003,包装物料出入库明细!$D$4:$D$2003,$B148,包装物料出入库明细!$E$4:$E$2003,_自动清单!$G$11,包装物料出入库明细!$B$4:$B$2003,"&gt;="&amp;$AF$1,包装物料出入库明细!$B$4:$B$2003,"&lt;="&amp;$AF$2))</f>
        <v/>
      </c>
      <c r="K148" s="25" t="str">
        <f>IF(OR($B148="",_自动清单!$G$12=""),"",SUMIFS(包装物料出入库明细!$J$4:$J$2003,包装物料出入库明细!$D$4:$D$2003,$B148,包装物料出入库明细!$E$4:$E$2003,_自动清单!$G$12,包装物料出入库明细!$B$4:$B$2003,"&gt;="&amp;$AF$1,包装物料出入库明细!$B$4:$B$2003,"&lt;="&amp;$AF$2))</f>
        <v/>
      </c>
      <c r="L148" s="25" t="str">
        <f>IF(OR($B148="",_自动清单!$G$13=""),"",SUMIFS(包装物料出入库明细!$J$4:$J$2003,包装物料出入库明细!$D$4:$D$2003,$B148,包装物料出入库明细!$E$4:$E$2003,_自动清单!$G$13,包装物料出入库明细!$B$4:$B$2003,"&gt;="&amp;$AF$1,包装物料出入库明细!$B$4:$B$2003,"&lt;="&amp;$AF$2))</f>
        <v/>
      </c>
      <c r="M148" s="25" t="str">
        <f>IF(OR($B148="",_自动清单!$G$14=""),"",SUMIFS(包装物料出入库明细!$J$4:$J$2003,包装物料出入库明细!$D$4:$D$2003,$B148,包装物料出入库明细!$E$4:$E$2003,_自动清单!$G$14,包装物料出入库明细!$B$4:$B$2003,"&gt;="&amp;$AF$1,包装物料出入库明细!$B$4:$B$2003,"&lt;="&amp;$AF$2))</f>
        <v/>
      </c>
      <c r="N148" s="25" t="str">
        <f>IF(OR($B148="",_自动清单!$G$15=""),"",SUMIFS(包装物料出入库明细!$J$4:$J$2003,包装物料出入库明细!$D$4:$D$2003,$B148,包装物料出入库明细!$E$4:$E$2003,_自动清单!$G$15,包装物料出入库明细!$B$4:$B$2003,"&gt;="&amp;$AF$1,包装物料出入库明细!$B$4:$B$2003,"&lt;="&amp;$AF$2))</f>
        <v/>
      </c>
      <c r="O148" s="25" t="str">
        <f>IF(OR($B148="",_自动清单!$G$16=""),"",SUMIFS(包装物料出入库明细!$J$4:$J$2003,包装物料出入库明细!$D$4:$D$2003,$B148,包装物料出入库明细!$E$4:$E$2003,_自动清单!$G$16,包装物料出入库明细!$B$4:$B$2003,"&gt;="&amp;$AF$1,包装物料出入库明细!$B$4:$B$2003,"&lt;="&amp;$AF$2))</f>
        <v/>
      </c>
      <c r="P148" s="25" t="str">
        <f>IF(OR($B148="",_自动清单!$G$17=""),"",SUMIFS(包装物料出入库明细!$J$4:$J$2003,包装物料出入库明细!$D$4:$D$2003,$B148,包装物料出入库明细!$E$4:$E$2003,_自动清单!$G$17,包装物料出入库明细!$B$4:$B$2003,"&gt;="&amp;$AF$1,包装物料出入库明细!$B$4:$B$2003,"&lt;="&amp;$AF$2))</f>
        <v/>
      </c>
      <c r="Q148" s="25" t="str">
        <f>IF(OR($B148="",_自动清单!$G$18=""),"",SUMIFS(包装物料出入库明细!$J$4:$J$2003,包装物料出入库明细!$D$4:$D$2003,$B148,包装物料出入库明细!$E$4:$E$2003,_自动清单!$G$18,包装物料出入库明细!$B$4:$B$2003,"&gt;="&amp;$AF$1,包装物料出入库明细!$B$4:$B$2003,"&lt;="&amp;$AF$2))</f>
        <v/>
      </c>
      <c r="R148" s="25" t="str">
        <f>IF(OR($B148="",_自动清单!$G$19=""),"",SUMIFS(包装物料出入库明细!$J$4:$J$2003,包装物料出入库明细!$D$4:$D$2003,$B148,包装物料出入库明细!$E$4:$E$2003,_自动清单!$G$19,包装物料出入库明细!$B$4:$B$2003,"&gt;="&amp;$AF$1,包装物料出入库明细!$B$4:$B$2003,"&lt;="&amp;$AF$2))</f>
        <v/>
      </c>
      <c r="S148" s="25" t="str">
        <f>IF(OR($B148="",_自动清单!$G$20=""),"",SUMIFS(包装物料出入库明细!$J$4:$J$2003,包装物料出入库明细!$D$4:$D$2003,$B148,包装物料出入库明细!$E$4:$E$2003,_自动清单!$G$20,包装物料出入库明细!$B$4:$B$2003,"&gt;="&amp;$AF$1,包装物料出入库明细!$B$4:$B$2003,"&lt;="&amp;$AF$2))</f>
        <v/>
      </c>
      <c r="T148" s="25" t="str">
        <f>IF(OR($B148="",_自动清单!$G$21=""),"",SUMIFS(包装物料出入库明细!$J$4:$J$2003,包装物料出入库明细!$D$4:$D$2003,$B148,包装物料出入库明细!$E$4:$E$2003,_自动清单!$G$21,包装物料出入库明细!$B$4:$B$2003,"&gt;="&amp;$AF$1,包装物料出入库明细!$B$4:$B$2003,"&lt;="&amp;$AF$2))</f>
        <v/>
      </c>
      <c r="U148" s="25" t="str">
        <f>IF($B148="","",SUMIFS(包装物料出入库明细!$J$4:$J$2003,包装物料出入库明细!$D$4:$D$2003,$B148,包装物料出入库明细!$B$4:$B$2003,"&gt;="&amp;$AF$1,包装物料出入库明细!$B$4:$B$2003,"&lt;="&amp;$AF$2)-SUM($C148:$T148))</f>
        <v/>
      </c>
      <c r="V148" s="25" t="str">
        <f t="shared" si="9"/>
        <v/>
      </c>
      <c r="W148" s="56" t="str">
        <f>IF($B148="","",SUMIFS(包装物料出入库明细!$K$4:$K$2003,包装物料出入库明细!$D$4:$D$2003,$B148,包装物料出入库明细!$B$4:$B$2003,"&gt;="&amp;$AF$1,包装物料出入库明细!$B$4:$B$2003,"&lt;="&amp;$AF$2))</f>
        <v/>
      </c>
      <c r="X148" s="25" t="str">
        <f t="shared" si="10"/>
        <v/>
      </c>
      <c r="Y148" s="26" t="str">
        <f>IF($B148="","",ROUND(SUMIFS(包装物料出入库明细!$N$4:$N$2003,包装物料出入库明细!$D$4:$D$2003,$B148,包装物料出入库明细!$H$4:$H$2003,"销售出库",包装物料出入库明细!$B$4:$B$2003,"&gt;="&amp;$AF$1,包装物料出入库明细!$B$4:$B$2003,"&lt;="&amp;$AF$2),2))</f>
        <v/>
      </c>
      <c r="Z148" s="26" t="str">
        <f>IF($B148="","",ROUND(SUMIFS(包装物料出入库明细!$N$4:$N$2003,包装物料出入库明细!$D$4:$D$2003,$B148,包装物料出入库明细!$H$4:$H$2003,"销售出库",包装物料出入库明细!$P$4:$P$2003,"已收讫",包装物料出入库明细!$B$4:$B$2003,"&gt;="&amp;$AF$1,包装物料出入库明细!$B$4:$B$2003,"&lt;="&amp;$AF$2),2))</f>
        <v/>
      </c>
      <c r="AA148" s="26" t="str">
        <f t="shared" si="11"/>
        <v/>
      </c>
      <c r="AB148" s="41"/>
    </row>
    <row r="149" spans="1:28">
      <c r="A149" s="24" t="str">
        <f t="shared" si="8"/>
        <v/>
      </c>
      <c r="B149" s="24" t="str">
        <f>IFERROR(INDEX(_自动清单!$O$4:$O$203,ROW()-3),"")</f>
        <v/>
      </c>
      <c r="C149" s="25" t="str">
        <f>IF(OR($B149="",_自动清单!$G$4=""),"",SUMIFS(包装物料出入库明细!$J$4:$J$2003,包装物料出入库明细!$D$4:$D$2003,$B149,包装物料出入库明细!$E$4:$E$2003,_自动清单!$G$4,包装物料出入库明细!$B$4:$B$2003,"&gt;="&amp;$AF$1,包装物料出入库明细!$B$4:$B$2003,"&lt;="&amp;$AF$2))</f>
        <v/>
      </c>
      <c r="D149" s="25" t="str">
        <f>IF(OR($B149="",_自动清单!$G$5=""),"",SUMIFS(包装物料出入库明细!$J$4:$J$2003,包装物料出入库明细!$D$4:$D$2003,$B149,包装物料出入库明细!$E$4:$E$2003,_自动清单!$G$5,包装物料出入库明细!$B$4:$B$2003,"&gt;="&amp;$AF$1,包装物料出入库明细!$B$4:$B$2003,"&lt;="&amp;$AF$2))</f>
        <v/>
      </c>
      <c r="E149" s="25" t="str">
        <f>IF(OR($B149="",_自动清单!$G$6=""),"",SUMIFS(包装物料出入库明细!$J$4:$J$2003,包装物料出入库明细!$D$4:$D$2003,$B149,包装物料出入库明细!$E$4:$E$2003,_自动清单!$G$6,包装物料出入库明细!$B$4:$B$2003,"&gt;="&amp;$AF$1,包装物料出入库明细!$B$4:$B$2003,"&lt;="&amp;$AF$2))</f>
        <v/>
      </c>
      <c r="F149" s="25" t="str">
        <f>IF(OR($B149="",_自动清单!$G$7=""),"",SUMIFS(包装物料出入库明细!$J$4:$J$2003,包装物料出入库明细!$D$4:$D$2003,$B149,包装物料出入库明细!$E$4:$E$2003,_自动清单!$G$7,包装物料出入库明细!$B$4:$B$2003,"&gt;="&amp;$AF$1,包装物料出入库明细!$B$4:$B$2003,"&lt;="&amp;$AF$2))</f>
        <v/>
      </c>
      <c r="G149" s="25" t="str">
        <f>IF(OR($B149="",_自动清单!$G$8=""),"",SUMIFS(包装物料出入库明细!$J$4:$J$2003,包装物料出入库明细!$D$4:$D$2003,$B149,包装物料出入库明细!$E$4:$E$2003,_自动清单!$G$8,包装物料出入库明细!$B$4:$B$2003,"&gt;="&amp;$AF$1,包装物料出入库明细!$B$4:$B$2003,"&lt;="&amp;$AF$2))</f>
        <v/>
      </c>
      <c r="H149" s="25" t="str">
        <f>IF(OR($B149="",_自动清单!$G$9=""),"",SUMIFS(包装物料出入库明细!$J$4:$J$2003,包装物料出入库明细!$D$4:$D$2003,$B149,包装物料出入库明细!$E$4:$E$2003,_自动清单!$G$9,包装物料出入库明细!$B$4:$B$2003,"&gt;="&amp;$AF$1,包装物料出入库明细!$B$4:$B$2003,"&lt;="&amp;$AF$2))</f>
        <v/>
      </c>
      <c r="I149" s="25" t="str">
        <f>IF(OR($B149="",_自动清单!$G$10=""),"",SUMIFS(包装物料出入库明细!$J$4:$J$2003,包装物料出入库明细!$D$4:$D$2003,$B149,包装物料出入库明细!$E$4:$E$2003,_自动清单!$G$10,包装物料出入库明细!$B$4:$B$2003,"&gt;="&amp;$AF$1,包装物料出入库明细!$B$4:$B$2003,"&lt;="&amp;$AF$2))</f>
        <v/>
      </c>
      <c r="J149" s="25" t="str">
        <f>IF(OR($B149="",_自动清单!$G$11=""),"",SUMIFS(包装物料出入库明细!$J$4:$J$2003,包装物料出入库明细!$D$4:$D$2003,$B149,包装物料出入库明细!$E$4:$E$2003,_自动清单!$G$11,包装物料出入库明细!$B$4:$B$2003,"&gt;="&amp;$AF$1,包装物料出入库明细!$B$4:$B$2003,"&lt;="&amp;$AF$2))</f>
        <v/>
      </c>
      <c r="K149" s="25" t="str">
        <f>IF(OR($B149="",_自动清单!$G$12=""),"",SUMIFS(包装物料出入库明细!$J$4:$J$2003,包装物料出入库明细!$D$4:$D$2003,$B149,包装物料出入库明细!$E$4:$E$2003,_自动清单!$G$12,包装物料出入库明细!$B$4:$B$2003,"&gt;="&amp;$AF$1,包装物料出入库明细!$B$4:$B$2003,"&lt;="&amp;$AF$2))</f>
        <v/>
      </c>
      <c r="L149" s="25" t="str">
        <f>IF(OR($B149="",_自动清单!$G$13=""),"",SUMIFS(包装物料出入库明细!$J$4:$J$2003,包装物料出入库明细!$D$4:$D$2003,$B149,包装物料出入库明细!$E$4:$E$2003,_自动清单!$G$13,包装物料出入库明细!$B$4:$B$2003,"&gt;="&amp;$AF$1,包装物料出入库明细!$B$4:$B$2003,"&lt;="&amp;$AF$2))</f>
        <v/>
      </c>
      <c r="M149" s="25" t="str">
        <f>IF(OR($B149="",_自动清单!$G$14=""),"",SUMIFS(包装物料出入库明细!$J$4:$J$2003,包装物料出入库明细!$D$4:$D$2003,$B149,包装物料出入库明细!$E$4:$E$2003,_自动清单!$G$14,包装物料出入库明细!$B$4:$B$2003,"&gt;="&amp;$AF$1,包装物料出入库明细!$B$4:$B$2003,"&lt;="&amp;$AF$2))</f>
        <v/>
      </c>
      <c r="N149" s="25" t="str">
        <f>IF(OR($B149="",_自动清单!$G$15=""),"",SUMIFS(包装物料出入库明细!$J$4:$J$2003,包装物料出入库明细!$D$4:$D$2003,$B149,包装物料出入库明细!$E$4:$E$2003,_自动清单!$G$15,包装物料出入库明细!$B$4:$B$2003,"&gt;="&amp;$AF$1,包装物料出入库明细!$B$4:$B$2003,"&lt;="&amp;$AF$2))</f>
        <v/>
      </c>
      <c r="O149" s="25" t="str">
        <f>IF(OR($B149="",_自动清单!$G$16=""),"",SUMIFS(包装物料出入库明细!$J$4:$J$2003,包装物料出入库明细!$D$4:$D$2003,$B149,包装物料出入库明细!$E$4:$E$2003,_自动清单!$G$16,包装物料出入库明细!$B$4:$B$2003,"&gt;="&amp;$AF$1,包装物料出入库明细!$B$4:$B$2003,"&lt;="&amp;$AF$2))</f>
        <v/>
      </c>
      <c r="P149" s="25" t="str">
        <f>IF(OR($B149="",_自动清单!$G$17=""),"",SUMIFS(包装物料出入库明细!$J$4:$J$2003,包装物料出入库明细!$D$4:$D$2003,$B149,包装物料出入库明细!$E$4:$E$2003,_自动清单!$G$17,包装物料出入库明细!$B$4:$B$2003,"&gt;="&amp;$AF$1,包装物料出入库明细!$B$4:$B$2003,"&lt;="&amp;$AF$2))</f>
        <v/>
      </c>
      <c r="Q149" s="25" t="str">
        <f>IF(OR($B149="",_自动清单!$G$18=""),"",SUMIFS(包装物料出入库明细!$J$4:$J$2003,包装物料出入库明细!$D$4:$D$2003,$B149,包装物料出入库明细!$E$4:$E$2003,_自动清单!$G$18,包装物料出入库明细!$B$4:$B$2003,"&gt;="&amp;$AF$1,包装物料出入库明细!$B$4:$B$2003,"&lt;="&amp;$AF$2))</f>
        <v/>
      </c>
      <c r="R149" s="25" t="str">
        <f>IF(OR($B149="",_自动清单!$G$19=""),"",SUMIFS(包装物料出入库明细!$J$4:$J$2003,包装物料出入库明细!$D$4:$D$2003,$B149,包装物料出入库明细!$E$4:$E$2003,_自动清单!$G$19,包装物料出入库明细!$B$4:$B$2003,"&gt;="&amp;$AF$1,包装物料出入库明细!$B$4:$B$2003,"&lt;="&amp;$AF$2))</f>
        <v/>
      </c>
      <c r="S149" s="25" t="str">
        <f>IF(OR($B149="",_自动清单!$G$20=""),"",SUMIFS(包装物料出入库明细!$J$4:$J$2003,包装物料出入库明细!$D$4:$D$2003,$B149,包装物料出入库明细!$E$4:$E$2003,_自动清单!$G$20,包装物料出入库明细!$B$4:$B$2003,"&gt;="&amp;$AF$1,包装物料出入库明细!$B$4:$B$2003,"&lt;="&amp;$AF$2))</f>
        <v/>
      </c>
      <c r="T149" s="25" t="str">
        <f>IF(OR($B149="",_自动清单!$G$21=""),"",SUMIFS(包装物料出入库明细!$J$4:$J$2003,包装物料出入库明细!$D$4:$D$2003,$B149,包装物料出入库明细!$E$4:$E$2003,_自动清单!$G$21,包装物料出入库明细!$B$4:$B$2003,"&gt;="&amp;$AF$1,包装物料出入库明细!$B$4:$B$2003,"&lt;="&amp;$AF$2))</f>
        <v/>
      </c>
      <c r="U149" s="25" t="str">
        <f>IF($B149="","",SUMIFS(包装物料出入库明细!$J$4:$J$2003,包装物料出入库明细!$D$4:$D$2003,$B149,包装物料出入库明细!$B$4:$B$2003,"&gt;="&amp;$AF$1,包装物料出入库明细!$B$4:$B$2003,"&lt;="&amp;$AF$2)-SUM($C149:$T149))</f>
        <v/>
      </c>
      <c r="V149" s="25" t="str">
        <f t="shared" si="9"/>
        <v/>
      </c>
      <c r="W149" s="56" t="str">
        <f>IF($B149="","",SUMIFS(包装物料出入库明细!$K$4:$K$2003,包装物料出入库明细!$D$4:$D$2003,$B149,包装物料出入库明细!$B$4:$B$2003,"&gt;="&amp;$AF$1,包装物料出入库明细!$B$4:$B$2003,"&lt;="&amp;$AF$2))</f>
        <v/>
      </c>
      <c r="X149" s="25" t="str">
        <f t="shared" si="10"/>
        <v/>
      </c>
      <c r="Y149" s="26" t="str">
        <f>IF($B149="","",ROUND(SUMIFS(包装物料出入库明细!$N$4:$N$2003,包装物料出入库明细!$D$4:$D$2003,$B149,包装物料出入库明细!$H$4:$H$2003,"销售出库",包装物料出入库明细!$B$4:$B$2003,"&gt;="&amp;$AF$1,包装物料出入库明细!$B$4:$B$2003,"&lt;="&amp;$AF$2),2))</f>
        <v/>
      </c>
      <c r="Z149" s="26" t="str">
        <f>IF($B149="","",ROUND(SUMIFS(包装物料出入库明细!$N$4:$N$2003,包装物料出入库明细!$D$4:$D$2003,$B149,包装物料出入库明细!$H$4:$H$2003,"销售出库",包装物料出入库明细!$P$4:$P$2003,"已收讫",包装物料出入库明细!$B$4:$B$2003,"&gt;="&amp;$AF$1,包装物料出入库明细!$B$4:$B$2003,"&lt;="&amp;$AF$2),2))</f>
        <v/>
      </c>
      <c r="AA149" s="26" t="str">
        <f t="shared" si="11"/>
        <v/>
      </c>
      <c r="AB149" s="41"/>
    </row>
    <row r="150" spans="1:28">
      <c r="A150" s="24" t="str">
        <f t="shared" si="8"/>
        <v/>
      </c>
      <c r="B150" s="24" t="str">
        <f>IFERROR(INDEX(_自动清单!$O$4:$O$203,ROW()-3),"")</f>
        <v/>
      </c>
      <c r="C150" s="25" t="str">
        <f>IF(OR($B150="",_自动清单!$G$4=""),"",SUMIFS(包装物料出入库明细!$J$4:$J$2003,包装物料出入库明细!$D$4:$D$2003,$B150,包装物料出入库明细!$E$4:$E$2003,_自动清单!$G$4,包装物料出入库明细!$B$4:$B$2003,"&gt;="&amp;$AF$1,包装物料出入库明细!$B$4:$B$2003,"&lt;="&amp;$AF$2))</f>
        <v/>
      </c>
      <c r="D150" s="25" t="str">
        <f>IF(OR($B150="",_自动清单!$G$5=""),"",SUMIFS(包装物料出入库明细!$J$4:$J$2003,包装物料出入库明细!$D$4:$D$2003,$B150,包装物料出入库明细!$E$4:$E$2003,_自动清单!$G$5,包装物料出入库明细!$B$4:$B$2003,"&gt;="&amp;$AF$1,包装物料出入库明细!$B$4:$B$2003,"&lt;="&amp;$AF$2))</f>
        <v/>
      </c>
      <c r="E150" s="25" t="str">
        <f>IF(OR($B150="",_自动清单!$G$6=""),"",SUMIFS(包装物料出入库明细!$J$4:$J$2003,包装物料出入库明细!$D$4:$D$2003,$B150,包装物料出入库明细!$E$4:$E$2003,_自动清单!$G$6,包装物料出入库明细!$B$4:$B$2003,"&gt;="&amp;$AF$1,包装物料出入库明细!$B$4:$B$2003,"&lt;="&amp;$AF$2))</f>
        <v/>
      </c>
      <c r="F150" s="25" t="str">
        <f>IF(OR($B150="",_自动清单!$G$7=""),"",SUMIFS(包装物料出入库明细!$J$4:$J$2003,包装物料出入库明细!$D$4:$D$2003,$B150,包装物料出入库明细!$E$4:$E$2003,_自动清单!$G$7,包装物料出入库明细!$B$4:$B$2003,"&gt;="&amp;$AF$1,包装物料出入库明细!$B$4:$B$2003,"&lt;="&amp;$AF$2))</f>
        <v/>
      </c>
      <c r="G150" s="25" t="str">
        <f>IF(OR($B150="",_自动清单!$G$8=""),"",SUMIFS(包装物料出入库明细!$J$4:$J$2003,包装物料出入库明细!$D$4:$D$2003,$B150,包装物料出入库明细!$E$4:$E$2003,_自动清单!$G$8,包装物料出入库明细!$B$4:$B$2003,"&gt;="&amp;$AF$1,包装物料出入库明细!$B$4:$B$2003,"&lt;="&amp;$AF$2))</f>
        <v/>
      </c>
      <c r="H150" s="25" t="str">
        <f>IF(OR($B150="",_自动清单!$G$9=""),"",SUMIFS(包装物料出入库明细!$J$4:$J$2003,包装物料出入库明细!$D$4:$D$2003,$B150,包装物料出入库明细!$E$4:$E$2003,_自动清单!$G$9,包装物料出入库明细!$B$4:$B$2003,"&gt;="&amp;$AF$1,包装物料出入库明细!$B$4:$B$2003,"&lt;="&amp;$AF$2))</f>
        <v/>
      </c>
      <c r="I150" s="25" t="str">
        <f>IF(OR($B150="",_自动清单!$G$10=""),"",SUMIFS(包装物料出入库明细!$J$4:$J$2003,包装物料出入库明细!$D$4:$D$2003,$B150,包装物料出入库明细!$E$4:$E$2003,_自动清单!$G$10,包装物料出入库明细!$B$4:$B$2003,"&gt;="&amp;$AF$1,包装物料出入库明细!$B$4:$B$2003,"&lt;="&amp;$AF$2))</f>
        <v/>
      </c>
      <c r="J150" s="25" t="str">
        <f>IF(OR($B150="",_自动清单!$G$11=""),"",SUMIFS(包装物料出入库明细!$J$4:$J$2003,包装物料出入库明细!$D$4:$D$2003,$B150,包装物料出入库明细!$E$4:$E$2003,_自动清单!$G$11,包装物料出入库明细!$B$4:$B$2003,"&gt;="&amp;$AF$1,包装物料出入库明细!$B$4:$B$2003,"&lt;="&amp;$AF$2))</f>
        <v/>
      </c>
      <c r="K150" s="25" t="str">
        <f>IF(OR($B150="",_自动清单!$G$12=""),"",SUMIFS(包装物料出入库明细!$J$4:$J$2003,包装物料出入库明细!$D$4:$D$2003,$B150,包装物料出入库明细!$E$4:$E$2003,_自动清单!$G$12,包装物料出入库明细!$B$4:$B$2003,"&gt;="&amp;$AF$1,包装物料出入库明细!$B$4:$B$2003,"&lt;="&amp;$AF$2))</f>
        <v/>
      </c>
      <c r="L150" s="25" t="str">
        <f>IF(OR($B150="",_自动清单!$G$13=""),"",SUMIFS(包装物料出入库明细!$J$4:$J$2003,包装物料出入库明细!$D$4:$D$2003,$B150,包装物料出入库明细!$E$4:$E$2003,_自动清单!$G$13,包装物料出入库明细!$B$4:$B$2003,"&gt;="&amp;$AF$1,包装物料出入库明细!$B$4:$B$2003,"&lt;="&amp;$AF$2))</f>
        <v/>
      </c>
      <c r="M150" s="25" t="str">
        <f>IF(OR($B150="",_自动清单!$G$14=""),"",SUMIFS(包装物料出入库明细!$J$4:$J$2003,包装物料出入库明细!$D$4:$D$2003,$B150,包装物料出入库明细!$E$4:$E$2003,_自动清单!$G$14,包装物料出入库明细!$B$4:$B$2003,"&gt;="&amp;$AF$1,包装物料出入库明细!$B$4:$B$2003,"&lt;="&amp;$AF$2))</f>
        <v/>
      </c>
      <c r="N150" s="25" t="str">
        <f>IF(OR($B150="",_自动清单!$G$15=""),"",SUMIFS(包装物料出入库明细!$J$4:$J$2003,包装物料出入库明细!$D$4:$D$2003,$B150,包装物料出入库明细!$E$4:$E$2003,_自动清单!$G$15,包装物料出入库明细!$B$4:$B$2003,"&gt;="&amp;$AF$1,包装物料出入库明细!$B$4:$B$2003,"&lt;="&amp;$AF$2))</f>
        <v/>
      </c>
      <c r="O150" s="25" t="str">
        <f>IF(OR($B150="",_自动清单!$G$16=""),"",SUMIFS(包装物料出入库明细!$J$4:$J$2003,包装物料出入库明细!$D$4:$D$2003,$B150,包装物料出入库明细!$E$4:$E$2003,_自动清单!$G$16,包装物料出入库明细!$B$4:$B$2003,"&gt;="&amp;$AF$1,包装物料出入库明细!$B$4:$B$2003,"&lt;="&amp;$AF$2))</f>
        <v/>
      </c>
      <c r="P150" s="25" t="str">
        <f>IF(OR($B150="",_自动清单!$G$17=""),"",SUMIFS(包装物料出入库明细!$J$4:$J$2003,包装物料出入库明细!$D$4:$D$2003,$B150,包装物料出入库明细!$E$4:$E$2003,_自动清单!$G$17,包装物料出入库明细!$B$4:$B$2003,"&gt;="&amp;$AF$1,包装物料出入库明细!$B$4:$B$2003,"&lt;="&amp;$AF$2))</f>
        <v/>
      </c>
      <c r="Q150" s="25" t="str">
        <f>IF(OR($B150="",_自动清单!$G$18=""),"",SUMIFS(包装物料出入库明细!$J$4:$J$2003,包装物料出入库明细!$D$4:$D$2003,$B150,包装物料出入库明细!$E$4:$E$2003,_自动清单!$G$18,包装物料出入库明细!$B$4:$B$2003,"&gt;="&amp;$AF$1,包装物料出入库明细!$B$4:$B$2003,"&lt;="&amp;$AF$2))</f>
        <v/>
      </c>
      <c r="R150" s="25" t="str">
        <f>IF(OR($B150="",_自动清单!$G$19=""),"",SUMIFS(包装物料出入库明细!$J$4:$J$2003,包装物料出入库明细!$D$4:$D$2003,$B150,包装物料出入库明细!$E$4:$E$2003,_自动清单!$G$19,包装物料出入库明细!$B$4:$B$2003,"&gt;="&amp;$AF$1,包装物料出入库明细!$B$4:$B$2003,"&lt;="&amp;$AF$2))</f>
        <v/>
      </c>
      <c r="S150" s="25" t="str">
        <f>IF(OR($B150="",_自动清单!$G$20=""),"",SUMIFS(包装物料出入库明细!$J$4:$J$2003,包装物料出入库明细!$D$4:$D$2003,$B150,包装物料出入库明细!$E$4:$E$2003,_自动清单!$G$20,包装物料出入库明细!$B$4:$B$2003,"&gt;="&amp;$AF$1,包装物料出入库明细!$B$4:$B$2003,"&lt;="&amp;$AF$2))</f>
        <v/>
      </c>
      <c r="T150" s="25" t="str">
        <f>IF(OR($B150="",_自动清单!$G$21=""),"",SUMIFS(包装物料出入库明细!$J$4:$J$2003,包装物料出入库明细!$D$4:$D$2003,$B150,包装物料出入库明细!$E$4:$E$2003,_自动清单!$G$21,包装物料出入库明细!$B$4:$B$2003,"&gt;="&amp;$AF$1,包装物料出入库明细!$B$4:$B$2003,"&lt;="&amp;$AF$2))</f>
        <v/>
      </c>
      <c r="U150" s="25" t="str">
        <f>IF($B150="","",SUMIFS(包装物料出入库明细!$J$4:$J$2003,包装物料出入库明细!$D$4:$D$2003,$B150,包装物料出入库明细!$B$4:$B$2003,"&gt;="&amp;$AF$1,包装物料出入库明细!$B$4:$B$2003,"&lt;="&amp;$AF$2)-SUM($C150:$T150))</f>
        <v/>
      </c>
      <c r="V150" s="25" t="str">
        <f t="shared" si="9"/>
        <v/>
      </c>
      <c r="W150" s="56" t="str">
        <f>IF($B150="","",SUMIFS(包装物料出入库明细!$K$4:$K$2003,包装物料出入库明细!$D$4:$D$2003,$B150,包装物料出入库明细!$B$4:$B$2003,"&gt;="&amp;$AF$1,包装物料出入库明细!$B$4:$B$2003,"&lt;="&amp;$AF$2))</f>
        <v/>
      </c>
      <c r="X150" s="25" t="str">
        <f t="shared" si="10"/>
        <v/>
      </c>
      <c r="Y150" s="26" t="str">
        <f>IF($B150="","",ROUND(SUMIFS(包装物料出入库明细!$N$4:$N$2003,包装物料出入库明细!$D$4:$D$2003,$B150,包装物料出入库明细!$H$4:$H$2003,"销售出库",包装物料出入库明细!$B$4:$B$2003,"&gt;="&amp;$AF$1,包装物料出入库明细!$B$4:$B$2003,"&lt;="&amp;$AF$2),2))</f>
        <v/>
      </c>
      <c r="Z150" s="26" t="str">
        <f>IF($B150="","",ROUND(SUMIFS(包装物料出入库明细!$N$4:$N$2003,包装物料出入库明细!$D$4:$D$2003,$B150,包装物料出入库明细!$H$4:$H$2003,"销售出库",包装物料出入库明细!$P$4:$P$2003,"已收讫",包装物料出入库明细!$B$4:$B$2003,"&gt;="&amp;$AF$1,包装物料出入库明细!$B$4:$B$2003,"&lt;="&amp;$AF$2),2))</f>
        <v/>
      </c>
      <c r="AA150" s="26" t="str">
        <f t="shared" si="11"/>
        <v/>
      </c>
      <c r="AB150" s="41"/>
    </row>
    <row r="151" spans="1:28">
      <c r="A151" s="24" t="str">
        <f t="shared" si="8"/>
        <v/>
      </c>
      <c r="B151" s="24" t="str">
        <f>IFERROR(INDEX(_自动清单!$O$4:$O$203,ROW()-3),"")</f>
        <v/>
      </c>
      <c r="C151" s="25" t="str">
        <f>IF(OR($B151="",_自动清单!$G$4=""),"",SUMIFS(包装物料出入库明细!$J$4:$J$2003,包装物料出入库明细!$D$4:$D$2003,$B151,包装物料出入库明细!$E$4:$E$2003,_自动清单!$G$4,包装物料出入库明细!$B$4:$B$2003,"&gt;="&amp;$AF$1,包装物料出入库明细!$B$4:$B$2003,"&lt;="&amp;$AF$2))</f>
        <v/>
      </c>
      <c r="D151" s="25" t="str">
        <f>IF(OR($B151="",_自动清单!$G$5=""),"",SUMIFS(包装物料出入库明细!$J$4:$J$2003,包装物料出入库明细!$D$4:$D$2003,$B151,包装物料出入库明细!$E$4:$E$2003,_自动清单!$G$5,包装物料出入库明细!$B$4:$B$2003,"&gt;="&amp;$AF$1,包装物料出入库明细!$B$4:$B$2003,"&lt;="&amp;$AF$2))</f>
        <v/>
      </c>
      <c r="E151" s="25" t="str">
        <f>IF(OR($B151="",_自动清单!$G$6=""),"",SUMIFS(包装物料出入库明细!$J$4:$J$2003,包装物料出入库明细!$D$4:$D$2003,$B151,包装物料出入库明细!$E$4:$E$2003,_自动清单!$G$6,包装物料出入库明细!$B$4:$B$2003,"&gt;="&amp;$AF$1,包装物料出入库明细!$B$4:$B$2003,"&lt;="&amp;$AF$2))</f>
        <v/>
      </c>
      <c r="F151" s="25" t="str">
        <f>IF(OR($B151="",_自动清单!$G$7=""),"",SUMIFS(包装物料出入库明细!$J$4:$J$2003,包装物料出入库明细!$D$4:$D$2003,$B151,包装物料出入库明细!$E$4:$E$2003,_自动清单!$G$7,包装物料出入库明细!$B$4:$B$2003,"&gt;="&amp;$AF$1,包装物料出入库明细!$B$4:$B$2003,"&lt;="&amp;$AF$2))</f>
        <v/>
      </c>
      <c r="G151" s="25" t="str">
        <f>IF(OR($B151="",_自动清单!$G$8=""),"",SUMIFS(包装物料出入库明细!$J$4:$J$2003,包装物料出入库明细!$D$4:$D$2003,$B151,包装物料出入库明细!$E$4:$E$2003,_自动清单!$G$8,包装物料出入库明细!$B$4:$B$2003,"&gt;="&amp;$AF$1,包装物料出入库明细!$B$4:$B$2003,"&lt;="&amp;$AF$2))</f>
        <v/>
      </c>
      <c r="H151" s="25" t="str">
        <f>IF(OR($B151="",_自动清单!$G$9=""),"",SUMIFS(包装物料出入库明细!$J$4:$J$2003,包装物料出入库明细!$D$4:$D$2003,$B151,包装物料出入库明细!$E$4:$E$2003,_自动清单!$G$9,包装物料出入库明细!$B$4:$B$2003,"&gt;="&amp;$AF$1,包装物料出入库明细!$B$4:$B$2003,"&lt;="&amp;$AF$2))</f>
        <v/>
      </c>
      <c r="I151" s="25" t="str">
        <f>IF(OR($B151="",_自动清单!$G$10=""),"",SUMIFS(包装物料出入库明细!$J$4:$J$2003,包装物料出入库明细!$D$4:$D$2003,$B151,包装物料出入库明细!$E$4:$E$2003,_自动清单!$G$10,包装物料出入库明细!$B$4:$B$2003,"&gt;="&amp;$AF$1,包装物料出入库明细!$B$4:$B$2003,"&lt;="&amp;$AF$2))</f>
        <v/>
      </c>
      <c r="J151" s="25" t="str">
        <f>IF(OR($B151="",_自动清单!$G$11=""),"",SUMIFS(包装物料出入库明细!$J$4:$J$2003,包装物料出入库明细!$D$4:$D$2003,$B151,包装物料出入库明细!$E$4:$E$2003,_自动清单!$G$11,包装物料出入库明细!$B$4:$B$2003,"&gt;="&amp;$AF$1,包装物料出入库明细!$B$4:$B$2003,"&lt;="&amp;$AF$2))</f>
        <v/>
      </c>
      <c r="K151" s="25" t="str">
        <f>IF(OR($B151="",_自动清单!$G$12=""),"",SUMIFS(包装物料出入库明细!$J$4:$J$2003,包装物料出入库明细!$D$4:$D$2003,$B151,包装物料出入库明细!$E$4:$E$2003,_自动清单!$G$12,包装物料出入库明细!$B$4:$B$2003,"&gt;="&amp;$AF$1,包装物料出入库明细!$B$4:$B$2003,"&lt;="&amp;$AF$2))</f>
        <v/>
      </c>
      <c r="L151" s="25" t="str">
        <f>IF(OR($B151="",_自动清单!$G$13=""),"",SUMIFS(包装物料出入库明细!$J$4:$J$2003,包装物料出入库明细!$D$4:$D$2003,$B151,包装物料出入库明细!$E$4:$E$2003,_自动清单!$G$13,包装物料出入库明细!$B$4:$B$2003,"&gt;="&amp;$AF$1,包装物料出入库明细!$B$4:$B$2003,"&lt;="&amp;$AF$2))</f>
        <v/>
      </c>
      <c r="M151" s="25" t="str">
        <f>IF(OR($B151="",_自动清单!$G$14=""),"",SUMIFS(包装物料出入库明细!$J$4:$J$2003,包装物料出入库明细!$D$4:$D$2003,$B151,包装物料出入库明细!$E$4:$E$2003,_自动清单!$G$14,包装物料出入库明细!$B$4:$B$2003,"&gt;="&amp;$AF$1,包装物料出入库明细!$B$4:$B$2003,"&lt;="&amp;$AF$2))</f>
        <v/>
      </c>
      <c r="N151" s="25" t="str">
        <f>IF(OR($B151="",_自动清单!$G$15=""),"",SUMIFS(包装物料出入库明细!$J$4:$J$2003,包装物料出入库明细!$D$4:$D$2003,$B151,包装物料出入库明细!$E$4:$E$2003,_自动清单!$G$15,包装物料出入库明细!$B$4:$B$2003,"&gt;="&amp;$AF$1,包装物料出入库明细!$B$4:$B$2003,"&lt;="&amp;$AF$2))</f>
        <v/>
      </c>
      <c r="O151" s="25" t="str">
        <f>IF(OR($B151="",_自动清单!$G$16=""),"",SUMIFS(包装物料出入库明细!$J$4:$J$2003,包装物料出入库明细!$D$4:$D$2003,$B151,包装物料出入库明细!$E$4:$E$2003,_自动清单!$G$16,包装物料出入库明细!$B$4:$B$2003,"&gt;="&amp;$AF$1,包装物料出入库明细!$B$4:$B$2003,"&lt;="&amp;$AF$2))</f>
        <v/>
      </c>
      <c r="P151" s="25" t="str">
        <f>IF(OR($B151="",_自动清单!$G$17=""),"",SUMIFS(包装物料出入库明细!$J$4:$J$2003,包装物料出入库明细!$D$4:$D$2003,$B151,包装物料出入库明细!$E$4:$E$2003,_自动清单!$G$17,包装物料出入库明细!$B$4:$B$2003,"&gt;="&amp;$AF$1,包装物料出入库明细!$B$4:$B$2003,"&lt;="&amp;$AF$2))</f>
        <v/>
      </c>
      <c r="Q151" s="25" t="str">
        <f>IF(OR($B151="",_自动清单!$G$18=""),"",SUMIFS(包装物料出入库明细!$J$4:$J$2003,包装物料出入库明细!$D$4:$D$2003,$B151,包装物料出入库明细!$E$4:$E$2003,_自动清单!$G$18,包装物料出入库明细!$B$4:$B$2003,"&gt;="&amp;$AF$1,包装物料出入库明细!$B$4:$B$2003,"&lt;="&amp;$AF$2))</f>
        <v/>
      </c>
      <c r="R151" s="25" t="str">
        <f>IF(OR($B151="",_自动清单!$G$19=""),"",SUMIFS(包装物料出入库明细!$J$4:$J$2003,包装物料出入库明细!$D$4:$D$2003,$B151,包装物料出入库明细!$E$4:$E$2003,_自动清单!$G$19,包装物料出入库明细!$B$4:$B$2003,"&gt;="&amp;$AF$1,包装物料出入库明细!$B$4:$B$2003,"&lt;="&amp;$AF$2))</f>
        <v/>
      </c>
      <c r="S151" s="25" t="str">
        <f>IF(OR($B151="",_自动清单!$G$20=""),"",SUMIFS(包装物料出入库明细!$J$4:$J$2003,包装物料出入库明细!$D$4:$D$2003,$B151,包装物料出入库明细!$E$4:$E$2003,_自动清单!$G$20,包装物料出入库明细!$B$4:$B$2003,"&gt;="&amp;$AF$1,包装物料出入库明细!$B$4:$B$2003,"&lt;="&amp;$AF$2))</f>
        <v/>
      </c>
      <c r="T151" s="25" t="str">
        <f>IF(OR($B151="",_自动清单!$G$21=""),"",SUMIFS(包装物料出入库明细!$J$4:$J$2003,包装物料出入库明细!$D$4:$D$2003,$B151,包装物料出入库明细!$E$4:$E$2003,_自动清单!$G$21,包装物料出入库明细!$B$4:$B$2003,"&gt;="&amp;$AF$1,包装物料出入库明细!$B$4:$B$2003,"&lt;="&amp;$AF$2))</f>
        <v/>
      </c>
      <c r="U151" s="25" t="str">
        <f>IF($B151="","",SUMIFS(包装物料出入库明细!$J$4:$J$2003,包装物料出入库明细!$D$4:$D$2003,$B151,包装物料出入库明细!$B$4:$B$2003,"&gt;="&amp;$AF$1,包装物料出入库明细!$B$4:$B$2003,"&lt;="&amp;$AF$2)-SUM($C151:$T151))</f>
        <v/>
      </c>
      <c r="V151" s="25" t="str">
        <f t="shared" si="9"/>
        <v/>
      </c>
      <c r="W151" s="56" t="str">
        <f>IF($B151="","",SUMIFS(包装物料出入库明细!$K$4:$K$2003,包装物料出入库明细!$D$4:$D$2003,$B151,包装物料出入库明细!$B$4:$B$2003,"&gt;="&amp;$AF$1,包装物料出入库明细!$B$4:$B$2003,"&lt;="&amp;$AF$2))</f>
        <v/>
      </c>
      <c r="X151" s="25" t="str">
        <f t="shared" si="10"/>
        <v/>
      </c>
      <c r="Y151" s="26" t="str">
        <f>IF($B151="","",ROUND(SUMIFS(包装物料出入库明细!$N$4:$N$2003,包装物料出入库明细!$D$4:$D$2003,$B151,包装物料出入库明细!$H$4:$H$2003,"销售出库",包装物料出入库明细!$B$4:$B$2003,"&gt;="&amp;$AF$1,包装物料出入库明细!$B$4:$B$2003,"&lt;="&amp;$AF$2),2))</f>
        <v/>
      </c>
      <c r="Z151" s="26" t="str">
        <f>IF($B151="","",ROUND(SUMIFS(包装物料出入库明细!$N$4:$N$2003,包装物料出入库明细!$D$4:$D$2003,$B151,包装物料出入库明细!$H$4:$H$2003,"销售出库",包装物料出入库明细!$P$4:$P$2003,"已收讫",包装物料出入库明细!$B$4:$B$2003,"&gt;="&amp;$AF$1,包装物料出入库明细!$B$4:$B$2003,"&lt;="&amp;$AF$2),2))</f>
        <v/>
      </c>
      <c r="AA151" s="26" t="str">
        <f t="shared" si="11"/>
        <v/>
      </c>
      <c r="AB151" s="41"/>
    </row>
    <row r="152" spans="1:28">
      <c r="A152" s="24" t="str">
        <f t="shared" si="8"/>
        <v/>
      </c>
      <c r="B152" s="24" t="str">
        <f>IFERROR(INDEX(_自动清单!$O$4:$O$203,ROW()-3),"")</f>
        <v/>
      </c>
      <c r="C152" s="25" t="str">
        <f>IF(OR($B152="",_自动清单!$G$4=""),"",SUMIFS(包装物料出入库明细!$J$4:$J$2003,包装物料出入库明细!$D$4:$D$2003,$B152,包装物料出入库明细!$E$4:$E$2003,_自动清单!$G$4,包装物料出入库明细!$B$4:$B$2003,"&gt;="&amp;$AF$1,包装物料出入库明细!$B$4:$B$2003,"&lt;="&amp;$AF$2))</f>
        <v/>
      </c>
      <c r="D152" s="25" t="str">
        <f>IF(OR($B152="",_自动清单!$G$5=""),"",SUMIFS(包装物料出入库明细!$J$4:$J$2003,包装物料出入库明细!$D$4:$D$2003,$B152,包装物料出入库明细!$E$4:$E$2003,_自动清单!$G$5,包装物料出入库明细!$B$4:$B$2003,"&gt;="&amp;$AF$1,包装物料出入库明细!$B$4:$B$2003,"&lt;="&amp;$AF$2))</f>
        <v/>
      </c>
      <c r="E152" s="25" t="str">
        <f>IF(OR($B152="",_自动清单!$G$6=""),"",SUMIFS(包装物料出入库明细!$J$4:$J$2003,包装物料出入库明细!$D$4:$D$2003,$B152,包装物料出入库明细!$E$4:$E$2003,_自动清单!$G$6,包装物料出入库明细!$B$4:$B$2003,"&gt;="&amp;$AF$1,包装物料出入库明细!$B$4:$B$2003,"&lt;="&amp;$AF$2))</f>
        <v/>
      </c>
      <c r="F152" s="25" t="str">
        <f>IF(OR($B152="",_自动清单!$G$7=""),"",SUMIFS(包装物料出入库明细!$J$4:$J$2003,包装物料出入库明细!$D$4:$D$2003,$B152,包装物料出入库明细!$E$4:$E$2003,_自动清单!$G$7,包装物料出入库明细!$B$4:$B$2003,"&gt;="&amp;$AF$1,包装物料出入库明细!$B$4:$B$2003,"&lt;="&amp;$AF$2))</f>
        <v/>
      </c>
      <c r="G152" s="25" t="str">
        <f>IF(OR($B152="",_自动清单!$G$8=""),"",SUMIFS(包装物料出入库明细!$J$4:$J$2003,包装物料出入库明细!$D$4:$D$2003,$B152,包装物料出入库明细!$E$4:$E$2003,_自动清单!$G$8,包装物料出入库明细!$B$4:$B$2003,"&gt;="&amp;$AF$1,包装物料出入库明细!$B$4:$B$2003,"&lt;="&amp;$AF$2))</f>
        <v/>
      </c>
      <c r="H152" s="25" t="str">
        <f>IF(OR($B152="",_自动清单!$G$9=""),"",SUMIFS(包装物料出入库明细!$J$4:$J$2003,包装物料出入库明细!$D$4:$D$2003,$B152,包装物料出入库明细!$E$4:$E$2003,_自动清单!$G$9,包装物料出入库明细!$B$4:$B$2003,"&gt;="&amp;$AF$1,包装物料出入库明细!$B$4:$B$2003,"&lt;="&amp;$AF$2))</f>
        <v/>
      </c>
      <c r="I152" s="25" t="str">
        <f>IF(OR($B152="",_自动清单!$G$10=""),"",SUMIFS(包装物料出入库明细!$J$4:$J$2003,包装物料出入库明细!$D$4:$D$2003,$B152,包装物料出入库明细!$E$4:$E$2003,_自动清单!$G$10,包装物料出入库明细!$B$4:$B$2003,"&gt;="&amp;$AF$1,包装物料出入库明细!$B$4:$B$2003,"&lt;="&amp;$AF$2))</f>
        <v/>
      </c>
      <c r="J152" s="25" t="str">
        <f>IF(OR($B152="",_自动清单!$G$11=""),"",SUMIFS(包装物料出入库明细!$J$4:$J$2003,包装物料出入库明细!$D$4:$D$2003,$B152,包装物料出入库明细!$E$4:$E$2003,_自动清单!$G$11,包装物料出入库明细!$B$4:$B$2003,"&gt;="&amp;$AF$1,包装物料出入库明细!$B$4:$B$2003,"&lt;="&amp;$AF$2))</f>
        <v/>
      </c>
      <c r="K152" s="25" t="str">
        <f>IF(OR($B152="",_自动清单!$G$12=""),"",SUMIFS(包装物料出入库明细!$J$4:$J$2003,包装物料出入库明细!$D$4:$D$2003,$B152,包装物料出入库明细!$E$4:$E$2003,_自动清单!$G$12,包装物料出入库明细!$B$4:$B$2003,"&gt;="&amp;$AF$1,包装物料出入库明细!$B$4:$B$2003,"&lt;="&amp;$AF$2))</f>
        <v/>
      </c>
      <c r="L152" s="25" t="str">
        <f>IF(OR($B152="",_自动清单!$G$13=""),"",SUMIFS(包装物料出入库明细!$J$4:$J$2003,包装物料出入库明细!$D$4:$D$2003,$B152,包装物料出入库明细!$E$4:$E$2003,_自动清单!$G$13,包装物料出入库明细!$B$4:$B$2003,"&gt;="&amp;$AF$1,包装物料出入库明细!$B$4:$B$2003,"&lt;="&amp;$AF$2))</f>
        <v/>
      </c>
      <c r="M152" s="25" t="str">
        <f>IF(OR($B152="",_自动清单!$G$14=""),"",SUMIFS(包装物料出入库明细!$J$4:$J$2003,包装物料出入库明细!$D$4:$D$2003,$B152,包装物料出入库明细!$E$4:$E$2003,_自动清单!$G$14,包装物料出入库明细!$B$4:$B$2003,"&gt;="&amp;$AF$1,包装物料出入库明细!$B$4:$B$2003,"&lt;="&amp;$AF$2))</f>
        <v/>
      </c>
      <c r="N152" s="25" t="str">
        <f>IF(OR($B152="",_自动清单!$G$15=""),"",SUMIFS(包装物料出入库明细!$J$4:$J$2003,包装物料出入库明细!$D$4:$D$2003,$B152,包装物料出入库明细!$E$4:$E$2003,_自动清单!$G$15,包装物料出入库明细!$B$4:$B$2003,"&gt;="&amp;$AF$1,包装物料出入库明细!$B$4:$B$2003,"&lt;="&amp;$AF$2))</f>
        <v/>
      </c>
      <c r="O152" s="25" t="str">
        <f>IF(OR($B152="",_自动清单!$G$16=""),"",SUMIFS(包装物料出入库明细!$J$4:$J$2003,包装物料出入库明细!$D$4:$D$2003,$B152,包装物料出入库明细!$E$4:$E$2003,_自动清单!$G$16,包装物料出入库明细!$B$4:$B$2003,"&gt;="&amp;$AF$1,包装物料出入库明细!$B$4:$B$2003,"&lt;="&amp;$AF$2))</f>
        <v/>
      </c>
      <c r="P152" s="25" t="str">
        <f>IF(OR($B152="",_自动清单!$G$17=""),"",SUMIFS(包装物料出入库明细!$J$4:$J$2003,包装物料出入库明细!$D$4:$D$2003,$B152,包装物料出入库明细!$E$4:$E$2003,_自动清单!$G$17,包装物料出入库明细!$B$4:$B$2003,"&gt;="&amp;$AF$1,包装物料出入库明细!$B$4:$B$2003,"&lt;="&amp;$AF$2))</f>
        <v/>
      </c>
      <c r="Q152" s="25" t="str">
        <f>IF(OR($B152="",_自动清单!$G$18=""),"",SUMIFS(包装物料出入库明细!$J$4:$J$2003,包装物料出入库明细!$D$4:$D$2003,$B152,包装物料出入库明细!$E$4:$E$2003,_自动清单!$G$18,包装物料出入库明细!$B$4:$B$2003,"&gt;="&amp;$AF$1,包装物料出入库明细!$B$4:$B$2003,"&lt;="&amp;$AF$2))</f>
        <v/>
      </c>
      <c r="R152" s="25" t="str">
        <f>IF(OR($B152="",_自动清单!$G$19=""),"",SUMIFS(包装物料出入库明细!$J$4:$J$2003,包装物料出入库明细!$D$4:$D$2003,$B152,包装物料出入库明细!$E$4:$E$2003,_自动清单!$G$19,包装物料出入库明细!$B$4:$B$2003,"&gt;="&amp;$AF$1,包装物料出入库明细!$B$4:$B$2003,"&lt;="&amp;$AF$2))</f>
        <v/>
      </c>
      <c r="S152" s="25" t="str">
        <f>IF(OR($B152="",_自动清单!$G$20=""),"",SUMIFS(包装物料出入库明细!$J$4:$J$2003,包装物料出入库明细!$D$4:$D$2003,$B152,包装物料出入库明细!$E$4:$E$2003,_自动清单!$G$20,包装物料出入库明细!$B$4:$B$2003,"&gt;="&amp;$AF$1,包装物料出入库明细!$B$4:$B$2003,"&lt;="&amp;$AF$2))</f>
        <v/>
      </c>
      <c r="T152" s="25" t="str">
        <f>IF(OR($B152="",_自动清单!$G$21=""),"",SUMIFS(包装物料出入库明细!$J$4:$J$2003,包装物料出入库明细!$D$4:$D$2003,$B152,包装物料出入库明细!$E$4:$E$2003,_自动清单!$G$21,包装物料出入库明细!$B$4:$B$2003,"&gt;="&amp;$AF$1,包装物料出入库明细!$B$4:$B$2003,"&lt;="&amp;$AF$2))</f>
        <v/>
      </c>
      <c r="U152" s="25" t="str">
        <f>IF($B152="","",SUMIFS(包装物料出入库明细!$J$4:$J$2003,包装物料出入库明细!$D$4:$D$2003,$B152,包装物料出入库明细!$B$4:$B$2003,"&gt;="&amp;$AF$1,包装物料出入库明细!$B$4:$B$2003,"&lt;="&amp;$AF$2)-SUM($C152:$T152))</f>
        <v/>
      </c>
      <c r="V152" s="25" t="str">
        <f t="shared" si="9"/>
        <v/>
      </c>
      <c r="W152" s="56" t="str">
        <f>IF($B152="","",SUMIFS(包装物料出入库明细!$K$4:$K$2003,包装物料出入库明细!$D$4:$D$2003,$B152,包装物料出入库明细!$B$4:$B$2003,"&gt;="&amp;$AF$1,包装物料出入库明细!$B$4:$B$2003,"&lt;="&amp;$AF$2))</f>
        <v/>
      </c>
      <c r="X152" s="25" t="str">
        <f t="shared" si="10"/>
        <v/>
      </c>
      <c r="Y152" s="26" t="str">
        <f>IF($B152="","",ROUND(SUMIFS(包装物料出入库明细!$N$4:$N$2003,包装物料出入库明细!$D$4:$D$2003,$B152,包装物料出入库明细!$H$4:$H$2003,"销售出库",包装物料出入库明细!$B$4:$B$2003,"&gt;="&amp;$AF$1,包装物料出入库明细!$B$4:$B$2003,"&lt;="&amp;$AF$2),2))</f>
        <v/>
      </c>
      <c r="Z152" s="26" t="str">
        <f>IF($B152="","",ROUND(SUMIFS(包装物料出入库明细!$N$4:$N$2003,包装物料出入库明细!$D$4:$D$2003,$B152,包装物料出入库明细!$H$4:$H$2003,"销售出库",包装物料出入库明细!$P$4:$P$2003,"已收讫",包装物料出入库明细!$B$4:$B$2003,"&gt;="&amp;$AF$1,包装物料出入库明细!$B$4:$B$2003,"&lt;="&amp;$AF$2),2))</f>
        <v/>
      </c>
      <c r="AA152" s="26" t="str">
        <f t="shared" si="11"/>
        <v/>
      </c>
      <c r="AB152" s="41"/>
    </row>
    <row r="153" spans="1:28">
      <c r="A153" s="24" t="str">
        <f t="shared" si="8"/>
        <v/>
      </c>
      <c r="B153" s="24" t="str">
        <f>IFERROR(INDEX(_自动清单!$O$4:$O$203,ROW()-3),"")</f>
        <v/>
      </c>
      <c r="C153" s="25" t="str">
        <f>IF(OR($B153="",_自动清单!$G$4=""),"",SUMIFS(包装物料出入库明细!$J$4:$J$2003,包装物料出入库明细!$D$4:$D$2003,$B153,包装物料出入库明细!$E$4:$E$2003,_自动清单!$G$4,包装物料出入库明细!$B$4:$B$2003,"&gt;="&amp;$AF$1,包装物料出入库明细!$B$4:$B$2003,"&lt;="&amp;$AF$2))</f>
        <v/>
      </c>
      <c r="D153" s="25" t="str">
        <f>IF(OR($B153="",_自动清单!$G$5=""),"",SUMIFS(包装物料出入库明细!$J$4:$J$2003,包装物料出入库明细!$D$4:$D$2003,$B153,包装物料出入库明细!$E$4:$E$2003,_自动清单!$G$5,包装物料出入库明细!$B$4:$B$2003,"&gt;="&amp;$AF$1,包装物料出入库明细!$B$4:$B$2003,"&lt;="&amp;$AF$2))</f>
        <v/>
      </c>
      <c r="E153" s="25" t="str">
        <f>IF(OR($B153="",_自动清单!$G$6=""),"",SUMIFS(包装物料出入库明细!$J$4:$J$2003,包装物料出入库明细!$D$4:$D$2003,$B153,包装物料出入库明细!$E$4:$E$2003,_自动清单!$G$6,包装物料出入库明细!$B$4:$B$2003,"&gt;="&amp;$AF$1,包装物料出入库明细!$B$4:$B$2003,"&lt;="&amp;$AF$2))</f>
        <v/>
      </c>
      <c r="F153" s="25" t="str">
        <f>IF(OR($B153="",_自动清单!$G$7=""),"",SUMIFS(包装物料出入库明细!$J$4:$J$2003,包装物料出入库明细!$D$4:$D$2003,$B153,包装物料出入库明细!$E$4:$E$2003,_自动清单!$G$7,包装物料出入库明细!$B$4:$B$2003,"&gt;="&amp;$AF$1,包装物料出入库明细!$B$4:$B$2003,"&lt;="&amp;$AF$2))</f>
        <v/>
      </c>
      <c r="G153" s="25" t="str">
        <f>IF(OR($B153="",_自动清单!$G$8=""),"",SUMIFS(包装物料出入库明细!$J$4:$J$2003,包装物料出入库明细!$D$4:$D$2003,$B153,包装物料出入库明细!$E$4:$E$2003,_自动清单!$G$8,包装物料出入库明细!$B$4:$B$2003,"&gt;="&amp;$AF$1,包装物料出入库明细!$B$4:$B$2003,"&lt;="&amp;$AF$2))</f>
        <v/>
      </c>
      <c r="H153" s="25" t="str">
        <f>IF(OR($B153="",_自动清单!$G$9=""),"",SUMIFS(包装物料出入库明细!$J$4:$J$2003,包装物料出入库明细!$D$4:$D$2003,$B153,包装物料出入库明细!$E$4:$E$2003,_自动清单!$G$9,包装物料出入库明细!$B$4:$B$2003,"&gt;="&amp;$AF$1,包装物料出入库明细!$B$4:$B$2003,"&lt;="&amp;$AF$2))</f>
        <v/>
      </c>
      <c r="I153" s="25" t="str">
        <f>IF(OR($B153="",_自动清单!$G$10=""),"",SUMIFS(包装物料出入库明细!$J$4:$J$2003,包装物料出入库明细!$D$4:$D$2003,$B153,包装物料出入库明细!$E$4:$E$2003,_自动清单!$G$10,包装物料出入库明细!$B$4:$B$2003,"&gt;="&amp;$AF$1,包装物料出入库明细!$B$4:$B$2003,"&lt;="&amp;$AF$2))</f>
        <v/>
      </c>
      <c r="J153" s="25" t="str">
        <f>IF(OR($B153="",_自动清单!$G$11=""),"",SUMIFS(包装物料出入库明细!$J$4:$J$2003,包装物料出入库明细!$D$4:$D$2003,$B153,包装物料出入库明细!$E$4:$E$2003,_自动清单!$G$11,包装物料出入库明细!$B$4:$B$2003,"&gt;="&amp;$AF$1,包装物料出入库明细!$B$4:$B$2003,"&lt;="&amp;$AF$2))</f>
        <v/>
      </c>
      <c r="K153" s="25" t="str">
        <f>IF(OR($B153="",_自动清单!$G$12=""),"",SUMIFS(包装物料出入库明细!$J$4:$J$2003,包装物料出入库明细!$D$4:$D$2003,$B153,包装物料出入库明细!$E$4:$E$2003,_自动清单!$G$12,包装物料出入库明细!$B$4:$B$2003,"&gt;="&amp;$AF$1,包装物料出入库明细!$B$4:$B$2003,"&lt;="&amp;$AF$2))</f>
        <v/>
      </c>
      <c r="L153" s="25" t="str">
        <f>IF(OR($B153="",_自动清单!$G$13=""),"",SUMIFS(包装物料出入库明细!$J$4:$J$2003,包装物料出入库明细!$D$4:$D$2003,$B153,包装物料出入库明细!$E$4:$E$2003,_自动清单!$G$13,包装物料出入库明细!$B$4:$B$2003,"&gt;="&amp;$AF$1,包装物料出入库明细!$B$4:$B$2003,"&lt;="&amp;$AF$2))</f>
        <v/>
      </c>
      <c r="M153" s="25" t="str">
        <f>IF(OR($B153="",_自动清单!$G$14=""),"",SUMIFS(包装物料出入库明细!$J$4:$J$2003,包装物料出入库明细!$D$4:$D$2003,$B153,包装物料出入库明细!$E$4:$E$2003,_自动清单!$G$14,包装物料出入库明细!$B$4:$B$2003,"&gt;="&amp;$AF$1,包装物料出入库明细!$B$4:$B$2003,"&lt;="&amp;$AF$2))</f>
        <v/>
      </c>
      <c r="N153" s="25" t="str">
        <f>IF(OR($B153="",_自动清单!$G$15=""),"",SUMIFS(包装物料出入库明细!$J$4:$J$2003,包装物料出入库明细!$D$4:$D$2003,$B153,包装物料出入库明细!$E$4:$E$2003,_自动清单!$G$15,包装物料出入库明细!$B$4:$B$2003,"&gt;="&amp;$AF$1,包装物料出入库明细!$B$4:$B$2003,"&lt;="&amp;$AF$2))</f>
        <v/>
      </c>
      <c r="O153" s="25" t="str">
        <f>IF(OR($B153="",_自动清单!$G$16=""),"",SUMIFS(包装物料出入库明细!$J$4:$J$2003,包装物料出入库明细!$D$4:$D$2003,$B153,包装物料出入库明细!$E$4:$E$2003,_自动清单!$G$16,包装物料出入库明细!$B$4:$B$2003,"&gt;="&amp;$AF$1,包装物料出入库明细!$B$4:$B$2003,"&lt;="&amp;$AF$2))</f>
        <v/>
      </c>
      <c r="P153" s="25" t="str">
        <f>IF(OR($B153="",_自动清单!$G$17=""),"",SUMIFS(包装物料出入库明细!$J$4:$J$2003,包装物料出入库明细!$D$4:$D$2003,$B153,包装物料出入库明细!$E$4:$E$2003,_自动清单!$G$17,包装物料出入库明细!$B$4:$B$2003,"&gt;="&amp;$AF$1,包装物料出入库明细!$B$4:$B$2003,"&lt;="&amp;$AF$2))</f>
        <v/>
      </c>
      <c r="Q153" s="25" t="str">
        <f>IF(OR($B153="",_自动清单!$G$18=""),"",SUMIFS(包装物料出入库明细!$J$4:$J$2003,包装物料出入库明细!$D$4:$D$2003,$B153,包装物料出入库明细!$E$4:$E$2003,_自动清单!$G$18,包装物料出入库明细!$B$4:$B$2003,"&gt;="&amp;$AF$1,包装物料出入库明细!$B$4:$B$2003,"&lt;="&amp;$AF$2))</f>
        <v/>
      </c>
      <c r="R153" s="25" t="str">
        <f>IF(OR($B153="",_自动清单!$G$19=""),"",SUMIFS(包装物料出入库明细!$J$4:$J$2003,包装物料出入库明细!$D$4:$D$2003,$B153,包装物料出入库明细!$E$4:$E$2003,_自动清单!$G$19,包装物料出入库明细!$B$4:$B$2003,"&gt;="&amp;$AF$1,包装物料出入库明细!$B$4:$B$2003,"&lt;="&amp;$AF$2))</f>
        <v/>
      </c>
      <c r="S153" s="25" t="str">
        <f>IF(OR($B153="",_自动清单!$G$20=""),"",SUMIFS(包装物料出入库明细!$J$4:$J$2003,包装物料出入库明细!$D$4:$D$2003,$B153,包装物料出入库明细!$E$4:$E$2003,_自动清单!$G$20,包装物料出入库明细!$B$4:$B$2003,"&gt;="&amp;$AF$1,包装物料出入库明细!$B$4:$B$2003,"&lt;="&amp;$AF$2))</f>
        <v/>
      </c>
      <c r="T153" s="25" t="str">
        <f>IF(OR($B153="",_自动清单!$G$21=""),"",SUMIFS(包装物料出入库明细!$J$4:$J$2003,包装物料出入库明细!$D$4:$D$2003,$B153,包装物料出入库明细!$E$4:$E$2003,_自动清单!$G$21,包装物料出入库明细!$B$4:$B$2003,"&gt;="&amp;$AF$1,包装物料出入库明细!$B$4:$B$2003,"&lt;="&amp;$AF$2))</f>
        <v/>
      </c>
      <c r="U153" s="25" t="str">
        <f>IF($B153="","",SUMIFS(包装物料出入库明细!$J$4:$J$2003,包装物料出入库明细!$D$4:$D$2003,$B153,包装物料出入库明细!$B$4:$B$2003,"&gt;="&amp;$AF$1,包装物料出入库明细!$B$4:$B$2003,"&lt;="&amp;$AF$2)-SUM($C153:$T153))</f>
        <v/>
      </c>
      <c r="V153" s="25" t="str">
        <f t="shared" si="9"/>
        <v/>
      </c>
      <c r="W153" s="56" t="str">
        <f>IF($B153="","",SUMIFS(包装物料出入库明细!$K$4:$K$2003,包装物料出入库明细!$D$4:$D$2003,$B153,包装物料出入库明细!$B$4:$B$2003,"&gt;="&amp;$AF$1,包装物料出入库明细!$B$4:$B$2003,"&lt;="&amp;$AF$2))</f>
        <v/>
      </c>
      <c r="X153" s="25" t="str">
        <f t="shared" si="10"/>
        <v/>
      </c>
      <c r="Y153" s="26" t="str">
        <f>IF($B153="","",ROUND(SUMIFS(包装物料出入库明细!$N$4:$N$2003,包装物料出入库明细!$D$4:$D$2003,$B153,包装物料出入库明细!$H$4:$H$2003,"销售出库",包装物料出入库明细!$B$4:$B$2003,"&gt;="&amp;$AF$1,包装物料出入库明细!$B$4:$B$2003,"&lt;="&amp;$AF$2),2))</f>
        <v/>
      </c>
      <c r="Z153" s="26" t="str">
        <f>IF($B153="","",ROUND(SUMIFS(包装物料出入库明细!$N$4:$N$2003,包装物料出入库明细!$D$4:$D$2003,$B153,包装物料出入库明细!$H$4:$H$2003,"销售出库",包装物料出入库明细!$P$4:$P$2003,"已收讫",包装物料出入库明细!$B$4:$B$2003,"&gt;="&amp;$AF$1,包装物料出入库明细!$B$4:$B$2003,"&lt;="&amp;$AF$2),2))</f>
        <v/>
      </c>
      <c r="AA153" s="26" t="str">
        <f t="shared" si="11"/>
        <v/>
      </c>
      <c r="AB153" s="41"/>
    </row>
    <row r="154" spans="1:28">
      <c r="A154" s="24" t="str">
        <f t="shared" si="8"/>
        <v/>
      </c>
      <c r="B154" s="24" t="str">
        <f>IFERROR(INDEX(_自动清单!$O$4:$O$203,ROW()-3),"")</f>
        <v/>
      </c>
      <c r="C154" s="25" t="str">
        <f>IF(OR($B154="",_自动清单!$G$4=""),"",SUMIFS(包装物料出入库明细!$J$4:$J$2003,包装物料出入库明细!$D$4:$D$2003,$B154,包装物料出入库明细!$E$4:$E$2003,_自动清单!$G$4,包装物料出入库明细!$B$4:$B$2003,"&gt;="&amp;$AF$1,包装物料出入库明细!$B$4:$B$2003,"&lt;="&amp;$AF$2))</f>
        <v/>
      </c>
      <c r="D154" s="25" t="str">
        <f>IF(OR($B154="",_自动清单!$G$5=""),"",SUMIFS(包装物料出入库明细!$J$4:$J$2003,包装物料出入库明细!$D$4:$D$2003,$B154,包装物料出入库明细!$E$4:$E$2003,_自动清单!$G$5,包装物料出入库明细!$B$4:$B$2003,"&gt;="&amp;$AF$1,包装物料出入库明细!$B$4:$B$2003,"&lt;="&amp;$AF$2))</f>
        <v/>
      </c>
      <c r="E154" s="25" t="str">
        <f>IF(OR($B154="",_自动清单!$G$6=""),"",SUMIFS(包装物料出入库明细!$J$4:$J$2003,包装物料出入库明细!$D$4:$D$2003,$B154,包装物料出入库明细!$E$4:$E$2003,_自动清单!$G$6,包装物料出入库明细!$B$4:$B$2003,"&gt;="&amp;$AF$1,包装物料出入库明细!$B$4:$B$2003,"&lt;="&amp;$AF$2))</f>
        <v/>
      </c>
      <c r="F154" s="25" t="str">
        <f>IF(OR($B154="",_自动清单!$G$7=""),"",SUMIFS(包装物料出入库明细!$J$4:$J$2003,包装物料出入库明细!$D$4:$D$2003,$B154,包装物料出入库明细!$E$4:$E$2003,_自动清单!$G$7,包装物料出入库明细!$B$4:$B$2003,"&gt;="&amp;$AF$1,包装物料出入库明细!$B$4:$B$2003,"&lt;="&amp;$AF$2))</f>
        <v/>
      </c>
      <c r="G154" s="25" t="str">
        <f>IF(OR($B154="",_自动清单!$G$8=""),"",SUMIFS(包装物料出入库明细!$J$4:$J$2003,包装物料出入库明细!$D$4:$D$2003,$B154,包装物料出入库明细!$E$4:$E$2003,_自动清单!$G$8,包装物料出入库明细!$B$4:$B$2003,"&gt;="&amp;$AF$1,包装物料出入库明细!$B$4:$B$2003,"&lt;="&amp;$AF$2))</f>
        <v/>
      </c>
      <c r="H154" s="25" t="str">
        <f>IF(OR($B154="",_自动清单!$G$9=""),"",SUMIFS(包装物料出入库明细!$J$4:$J$2003,包装物料出入库明细!$D$4:$D$2003,$B154,包装物料出入库明细!$E$4:$E$2003,_自动清单!$G$9,包装物料出入库明细!$B$4:$B$2003,"&gt;="&amp;$AF$1,包装物料出入库明细!$B$4:$B$2003,"&lt;="&amp;$AF$2))</f>
        <v/>
      </c>
      <c r="I154" s="25" t="str">
        <f>IF(OR($B154="",_自动清单!$G$10=""),"",SUMIFS(包装物料出入库明细!$J$4:$J$2003,包装物料出入库明细!$D$4:$D$2003,$B154,包装物料出入库明细!$E$4:$E$2003,_自动清单!$G$10,包装物料出入库明细!$B$4:$B$2003,"&gt;="&amp;$AF$1,包装物料出入库明细!$B$4:$B$2003,"&lt;="&amp;$AF$2))</f>
        <v/>
      </c>
      <c r="J154" s="25" t="str">
        <f>IF(OR($B154="",_自动清单!$G$11=""),"",SUMIFS(包装物料出入库明细!$J$4:$J$2003,包装物料出入库明细!$D$4:$D$2003,$B154,包装物料出入库明细!$E$4:$E$2003,_自动清单!$G$11,包装物料出入库明细!$B$4:$B$2003,"&gt;="&amp;$AF$1,包装物料出入库明细!$B$4:$B$2003,"&lt;="&amp;$AF$2))</f>
        <v/>
      </c>
      <c r="K154" s="25" t="str">
        <f>IF(OR($B154="",_自动清单!$G$12=""),"",SUMIFS(包装物料出入库明细!$J$4:$J$2003,包装物料出入库明细!$D$4:$D$2003,$B154,包装物料出入库明细!$E$4:$E$2003,_自动清单!$G$12,包装物料出入库明细!$B$4:$B$2003,"&gt;="&amp;$AF$1,包装物料出入库明细!$B$4:$B$2003,"&lt;="&amp;$AF$2))</f>
        <v/>
      </c>
      <c r="L154" s="25" t="str">
        <f>IF(OR($B154="",_自动清单!$G$13=""),"",SUMIFS(包装物料出入库明细!$J$4:$J$2003,包装物料出入库明细!$D$4:$D$2003,$B154,包装物料出入库明细!$E$4:$E$2003,_自动清单!$G$13,包装物料出入库明细!$B$4:$B$2003,"&gt;="&amp;$AF$1,包装物料出入库明细!$B$4:$B$2003,"&lt;="&amp;$AF$2))</f>
        <v/>
      </c>
      <c r="M154" s="25" t="str">
        <f>IF(OR($B154="",_自动清单!$G$14=""),"",SUMIFS(包装物料出入库明细!$J$4:$J$2003,包装物料出入库明细!$D$4:$D$2003,$B154,包装物料出入库明细!$E$4:$E$2003,_自动清单!$G$14,包装物料出入库明细!$B$4:$B$2003,"&gt;="&amp;$AF$1,包装物料出入库明细!$B$4:$B$2003,"&lt;="&amp;$AF$2))</f>
        <v/>
      </c>
      <c r="N154" s="25" t="str">
        <f>IF(OR($B154="",_自动清单!$G$15=""),"",SUMIFS(包装物料出入库明细!$J$4:$J$2003,包装物料出入库明细!$D$4:$D$2003,$B154,包装物料出入库明细!$E$4:$E$2003,_自动清单!$G$15,包装物料出入库明细!$B$4:$B$2003,"&gt;="&amp;$AF$1,包装物料出入库明细!$B$4:$B$2003,"&lt;="&amp;$AF$2))</f>
        <v/>
      </c>
      <c r="O154" s="25" t="str">
        <f>IF(OR($B154="",_自动清单!$G$16=""),"",SUMIFS(包装物料出入库明细!$J$4:$J$2003,包装物料出入库明细!$D$4:$D$2003,$B154,包装物料出入库明细!$E$4:$E$2003,_自动清单!$G$16,包装物料出入库明细!$B$4:$B$2003,"&gt;="&amp;$AF$1,包装物料出入库明细!$B$4:$B$2003,"&lt;="&amp;$AF$2))</f>
        <v/>
      </c>
      <c r="P154" s="25" t="str">
        <f>IF(OR($B154="",_自动清单!$G$17=""),"",SUMIFS(包装物料出入库明细!$J$4:$J$2003,包装物料出入库明细!$D$4:$D$2003,$B154,包装物料出入库明细!$E$4:$E$2003,_自动清单!$G$17,包装物料出入库明细!$B$4:$B$2003,"&gt;="&amp;$AF$1,包装物料出入库明细!$B$4:$B$2003,"&lt;="&amp;$AF$2))</f>
        <v/>
      </c>
      <c r="Q154" s="25" t="str">
        <f>IF(OR($B154="",_自动清单!$G$18=""),"",SUMIFS(包装物料出入库明细!$J$4:$J$2003,包装物料出入库明细!$D$4:$D$2003,$B154,包装物料出入库明细!$E$4:$E$2003,_自动清单!$G$18,包装物料出入库明细!$B$4:$B$2003,"&gt;="&amp;$AF$1,包装物料出入库明细!$B$4:$B$2003,"&lt;="&amp;$AF$2))</f>
        <v/>
      </c>
      <c r="R154" s="25" t="str">
        <f>IF(OR($B154="",_自动清单!$G$19=""),"",SUMIFS(包装物料出入库明细!$J$4:$J$2003,包装物料出入库明细!$D$4:$D$2003,$B154,包装物料出入库明细!$E$4:$E$2003,_自动清单!$G$19,包装物料出入库明细!$B$4:$B$2003,"&gt;="&amp;$AF$1,包装物料出入库明细!$B$4:$B$2003,"&lt;="&amp;$AF$2))</f>
        <v/>
      </c>
      <c r="S154" s="25" t="str">
        <f>IF(OR($B154="",_自动清单!$G$20=""),"",SUMIFS(包装物料出入库明细!$J$4:$J$2003,包装物料出入库明细!$D$4:$D$2003,$B154,包装物料出入库明细!$E$4:$E$2003,_自动清单!$G$20,包装物料出入库明细!$B$4:$B$2003,"&gt;="&amp;$AF$1,包装物料出入库明细!$B$4:$B$2003,"&lt;="&amp;$AF$2))</f>
        <v/>
      </c>
      <c r="T154" s="25" t="str">
        <f>IF(OR($B154="",_自动清单!$G$21=""),"",SUMIFS(包装物料出入库明细!$J$4:$J$2003,包装物料出入库明细!$D$4:$D$2003,$B154,包装物料出入库明细!$E$4:$E$2003,_自动清单!$G$21,包装物料出入库明细!$B$4:$B$2003,"&gt;="&amp;$AF$1,包装物料出入库明细!$B$4:$B$2003,"&lt;="&amp;$AF$2))</f>
        <v/>
      </c>
      <c r="U154" s="25" t="str">
        <f>IF($B154="","",SUMIFS(包装物料出入库明细!$J$4:$J$2003,包装物料出入库明细!$D$4:$D$2003,$B154,包装物料出入库明细!$B$4:$B$2003,"&gt;="&amp;$AF$1,包装物料出入库明细!$B$4:$B$2003,"&lt;="&amp;$AF$2)-SUM($C154:$T154))</f>
        <v/>
      </c>
      <c r="V154" s="25" t="str">
        <f t="shared" si="9"/>
        <v/>
      </c>
      <c r="W154" s="56" t="str">
        <f>IF($B154="","",SUMIFS(包装物料出入库明细!$K$4:$K$2003,包装物料出入库明细!$D$4:$D$2003,$B154,包装物料出入库明细!$B$4:$B$2003,"&gt;="&amp;$AF$1,包装物料出入库明细!$B$4:$B$2003,"&lt;="&amp;$AF$2))</f>
        <v/>
      </c>
      <c r="X154" s="25" t="str">
        <f t="shared" si="10"/>
        <v/>
      </c>
      <c r="Y154" s="26" t="str">
        <f>IF($B154="","",ROUND(SUMIFS(包装物料出入库明细!$N$4:$N$2003,包装物料出入库明细!$D$4:$D$2003,$B154,包装物料出入库明细!$H$4:$H$2003,"销售出库",包装物料出入库明细!$B$4:$B$2003,"&gt;="&amp;$AF$1,包装物料出入库明细!$B$4:$B$2003,"&lt;="&amp;$AF$2),2))</f>
        <v/>
      </c>
      <c r="Z154" s="26" t="str">
        <f>IF($B154="","",ROUND(SUMIFS(包装物料出入库明细!$N$4:$N$2003,包装物料出入库明细!$D$4:$D$2003,$B154,包装物料出入库明细!$H$4:$H$2003,"销售出库",包装物料出入库明细!$P$4:$P$2003,"已收讫",包装物料出入库明细!$B$4:$B$2003,"&gt;="&amp;$AF$1,包装物料出入库明细!$B$4:$B$2003,"&lt;="&amp;$AF$2),2))</f>
        <v/>
      </c>
      <c r="AA154" s="26" t="str">
        <f t="shared" si="11"/>
        <v/>
      </c>
      <c r="AB154" s="41"/>
    </row>
    <row r="155" spans="1:28">
      <c r="A155" s="24" t="str">
        <f t="shared" si="8"/>
        <v/>
      </c>
      <c r="B155" s="24" t="str">
        <f>IFERROR(INDEX(_自动清单!$O$4:$O$203,ROW()-3),"")</f>
        <v/>
      </c>
      <c r="C155" s="25" t="str">
        <f>IF(OR($B155="",_自动清单!$G$4=""),"",SUMIFS(包装物料出入库明细!$J$4:$J$2003,包装物料出入库明细!$D$4:$D$2003,$B155,包装物料出入库明细!$E$4:$E$2003,_自动清单!$G$4,包装物料出入库明细!$B$4:$B$2003,"&gt;="&amp;$AF$1,包装物料出入库明细!$B$4:$B$2003,"&lt;="&amp;$AF$2))</f>
        <v/>
      </c>
      <c r="D155" s="25" t="str">
        <f>IF(OR($B155="",_自动清单!$G$5=""),"",SUMIFS(包装物料出入库明细!$J$4:$J$2003,包装物料出入库明细!$D$4:$D$2003,$B155,包装物料出入库明细!$E$4:$E$2003,_自动清单!$G$5,包装物料出入库明细!$B$4:$B$2003,"&gt;="&amp;$AF$1,包装物料出入库明细!$B$4:$B$2003,"&lt;="&amp;$AF$2))</f>
        <v/>
      </c>
      <c r="E155" s="25" t="str">
        <f>IF(OR($B155="",_自动清单!$G$6=""),"",SUMIFS(包装物料出入库明细!$J$4:$J$2003,包装物料出入库明细!$D$4:$D$2003,$B155,包装物料出入库明细!$E$4:$E$2003,_自动清单!$G$6,包装物料出入库明细!$B$4:$B$2003,"&gt;="&amp;$AF$1,包装物料出入库明细!$B$4:$B$2003,"&lt;="&amp;$AF$2))</f>
        <v/>
      </c>
      <c r="F155" s="25" t="str">
        <f>IF(OR($B155="",_自动清单!$G$7=""),"",SUMIFS(包装物料出入库明细!$J$4:$J$2003,包装物料出入库明细!$D$4:$D$2003,$B155,包装物料出入库明细!$E$4:$E$2003,_自动清单!$G$7,包装物料出入库明细!$B$4:$B$2003,"&gt;="&amp;$AF$1,包装物料出入库明细!$B$4:$B$2003,"&lt;="&amp;$AF$2))</f>
        <v/>
      </c>
      <c r="G155" s="25" t="str">
        <f>IF(OR($B155="",_自动清单!$G$8=""),"",SUMIFS(包装物料出入库明细!$J$4:$J$2003,包装物料出入库明细!$D$4:$D$2003,$B155,包装物料出入库明细!$E$4:$E$2003,_自动清单!$G$8,包装物料出入库明细!$B$4:$B$2003,"&gt;="&amp;$AF$1,包装物料出入库明细!$B$4:$B$2003,"&lt;="&amp;$AF$2))</f>
        <v/>
      </c>
      <c r="H155" s="25" t="str">
        <f>IF(OR($B155="",_自动清单!$G$9=""),"",SUMIFS(包装物料出入库明细!$J$4:$J$2003,包装物料出入库明细!$D$4:$D$2003,$B155,包装物料出入库明细!$E$4:$E$2003,_自动清单!$G$9,包装物料出入库明细!$B$4:$B$2003,"&gt;="&amp;$AF$1,包装物料出入库明细!$B$4:$B$2003,"&lt;="&amp;$AF$2))</f>
        <v/>
      </c>
      <c r="I155" s="25" t="str">
        <f>IF(OR($B155="",_自动清单!$G$10=""),"",SUMIFS(包装物料出入库明细!$J$4:$J$2003,包装物料出入库明细!$D$4:$D$2003,$B155,包装物料出入库明细!$E$4:$E$2003,_自动清单!$G$10,包装物料出入库明细!$B$4:$B$2003,"&gt;="&amp;$AF$1,包装物料出入库明细!$B$4:$B$2003,"&lt;="&amp;$AF$2))</f>
        <v/>
      </c>
      <c r="J155" s="25" t="str">
        <f>IF(OR($B155="",_自动清单!$G$11=""),"",SUMIFS(包装物料出入库明细!$J$4:$J$2003,包装物料出入库明细!$D$4:$D$2003,$B155,包装物料出入库明细!$E$4:$E$2003,_自动清单!$G$11,包装物料出入库明细!$B$4:$B$2003,"&gt;="&amp;$AF$1,包装物料出入库明细!$B$4:$B$2003,"&lt;="&amp;$AF$2))</f>
        <v/>
      </c>
      <c r="K155" s="25" t="str">
        <f>IF(OR($B155="",_自动清单!$G$12=""),"",SUMIFS(包装物料出入库明细!$J$4:$J$2003,包装物料出入库明细!$D$4:$D$2003,$B155,包装物料出入库明细!$E$4:$E$2003,_自动清单!$G$12,包装物料出入库明细!$B$4:$B$2003,"&gt;="&amp;$AF$1,包装物料出入库明细!$B$4:$B$2003,"&lt;="&amp;$AF$2))</f>
        <v/>
      </c>
      <c r="L155" s="25" t="str">
        <f>IF(OR($B155="",_自动清单!$G$13=""),"",SUMIFS(包装物料出入库明细!$J$4:$J$2003,包装物料出入库明细!$D$4:$D$2003,$B155,包装物料出入库明细!$E$4:$E$2003,_自动清单!$G$13,包装物料出入库明细!$B$4:$B$2003,"&gt;="&amp;$AF$1,包装物料出入库明细!$B$4:$B$2003,"&lt;="&amp;$AF$2))</f>
        <v/>
      </c>
      <c r="M155" s="25" t="str">
        <f>IF(OR($B155="",_自动清单!$G$14=""),"",SUMIFS(包装物料出入库明细!$J$4:$J$2003,包装物料出入库明细!$D$4:$D$2003,$B155,包装物料出入库明细!$E$4:$E$2003,_自动清单!$G$14,包装物料出入库明细!$B$4:$B$2003,"&gt;="&amp;$AF$1,包装物料出入库明细!$B$4:$B$2003,"&lt;="&amp;$AF$2))</f>
        <v/>
      </c>
      <c r="N155" s="25" t="str">
        <f>IF(OR($B155="",_自动清单!$G$15=""),"",SUMIFS(包装物料出入库明细!$J$4:$J$2003,包装物料出入库明细!$D$4:$D$2003,$B155,包装物料出入库明细!$E$4:$E$2003,_自动清单!$G$15,包装物料出入库明细!$B$4:$B$2003,"&gt;="&amp;$AF$1,包装物料出入库明细!$B$4:$B$2003,"&lt;="&amp;$AF$2))</f>
        <v/>
      </c>
      <c r="O155" s="25" t="str">
        <f>IF(OR($B155="",_自动清单!$G$16=""),"",SUMIFS(包装物料出入库明细!$J$4:$J$2003,包装物料出入库明细!$D$4:$D$2003,$B155,包装物料出入库明细!$E$4:$E$2003,_自动清单!$G$16,包装物料出入库明细!$B$4:$B$2003,"&gt;="&amp;$AF$1,包装物料出入库明细!$B$4:$B$2003,"&lt;="&amp;$AF$2))</f>
        <v/>
      </c>
      <c r="P155" s="25" t="str">
        <f>IF(OR($B155="",_自动清单!$G$17=""),"",SUMIFS(包装物料出入库明细!$J$4:$J$2003,包装物料出入库明细!$D$4:$D$2003,$B155,包装物料出入库明细!$E$4:$E$2003,_自动清单!$G$17,包装物料出入库明细!$B$4:$B$2003,"&gt;="&amp;$AF$1,包装物料出入库明细!$B$4:$B$2003,"&lt;="&amp;$AF$2))</f>
        <v/>
      </c>
      <c r="Q155" s="25" t="str">
        <f>IF(OR($B155="",_自动清单!$G$18=""),"",SUMIFS(包装物料出入库明细!$J$4:$J$2003,包装物料出入库明细!$D$4:$D$2003,$B155,包装物料出入库明细!$E$4:$E$2003,_自动清单!$G$18,包装物料出入库明细!$B$4:$B$2003,"&gt;="&amp;$AF$1,包装物料出入库明细!$B$4:$B$2003,"&lt;="&amp;$AF$2))</f>
        <v/>
      </c>
      <c r="R155" s="25" t="str">
        <f>IF(OR($B155="",_自动清单!$G$19=""),"",SUMIFS(包装物料出入库明细!$J$4:$J$2003,包装物料出入库明细!$D$4:$D$2003,$B155,包装物料出入库明细!$E$4:$E$2003,_自动清单!$G$19,包装物料出入库明细!$B$4:$B$2003,"&gt;="&amp;$AF$1,包装物料出入库明细!$B$4:$B$2003,"&lt;="&amp;$AF$2))</f>
        <v/>
      </c>
      <c r="S155" s="25" t="str">
        <f>IF(OR($B155="",_自动清单!$G$20=""),"",SUMIFS(包装物料出入库明细!$J$4:$J$2003,包装物料出入库明细!$D$4:$D$2003,$B155,包装物料出入库明细!$E$4:$E$2003,_自动清单!$G$20,包装物料出入库明细!$B$4:$B$2003,"&gt;="&amp;$AF$1,包装物料出入库明细!$B$4:$B$2003,"&lt;="&amp;$AF$2))</f>
        <v/>
      </c>
      <c r="T155" s="25" t="str">
        <f>IF(OR($B155="",_自动清单!$G$21=""),"",SUMIFS(包装物料出入库明细!$J$4:$J$2003,包装物料出入库明细!$D$4:$D$2003,$B155,包装物料出入库明细!$E$4:$E$2003,_自动清单!$G$21,包装物料出入库明细!$B$4:$B$2003,"&gt;="&amp;$AF$1,包装物料出入库明细!$B$4:$B$2003,"&lt;="&amp;$AF$2))</f>
        <v/>
      </c>
      <c r="U155" s="25" t="str">
        <f>IF($B155="","",SUMIFS(包装物料出入库明细!$J$4:$J$2003,包装物料出入库明细!$D$4:$D$2003,$B155,包装物料出入库明细!$B$4:$B$2003,"&gt;="&amp;$AF$1,包装物料出入库明细!$B$4:$B$2003,"&lt;="&amp;$AF$2)-SUM($C155:$T155))</f>
        <v/>
      </c>
      <c r="V155" s="25" t="str">
        <f t="shared" si="9"/>
        <v/>
      </c>
      <c r="W155" s="56" t="str">
        <f>IF($B155="","",SUMIFS(包装物料出入库明细!$K$4:$K$2003,包装物料出入库明细!$D$4:$D$2003,$B155,包装物料出入库明细!$B$4:$B$2003,"&gt;="&amp;$AF$1,包装物料出入库明细!$B$4:$B$2003,"&lt;="&amp;$AF$2))</f>
        <v/>
      </c>
      <c r="X155" s="25" t="str">
        <f t="shared" si="10"/>
        <v/>
      </c>
      <c r="Y155" s="26" t="str">
        <f>IF($B155="","",ROUND(SUMIFS(包装物料出入库明细!$N$4:$N$2003,包装物料出入库明细!$D$4:$D$2003,$B155,包装物料出入库明细!$H$4:$H$2003,"销售出库",包装物料出入库明细!$B$4:$B$2003,"&gt;="&amp;$AF$1,包装物料出入库明细!$B$4:$B$2003,"&lt;="&amp;$AF$2),2))</f>
        <v/>
      </c>
      <c r="Z155" s="26" t="str">
        <f>IF($B155="","",ROUND(SUMIFS(包装物料出入库明细!$N$4:$N$2003,包装物料出入库明细!$D$4:$D$2003,$B155,包装物料出入库明细!$H$4:$H$2003,"销售出库",包装物料出入库明细!$P$4:$P$2003,"已收讫",包装物料出入库明细!$B$4:$B$2003,"&gt;="&amp;$AF$1,包装物料出入库明细!$B$4:$B$2003,"&lt;="&amp;$AF$2),2))</f>
        <v/>
      </c>
      <c r="AA155" s="26" t="str">
        <f t="shared" si="11"/>
        <v/>
      </c>
      <c r="AB155" s="41"/>
    </row>
    <row r="156" spans="1:28">
      <c r="A156" s="24" t="str">
        <f t="shared" si="8"/>
        <v/>
      </c>
      <c r="B156" s="24" t="str">
        <f>IFERROR(INDEX(_自动清单!$O$4:$O$203,ROW()-3),"")</f>
        <v/>
      </c>
      <c r="C156" s="25" t="str">
        <f>IF(OR($B156="",_自动清单!$G$4=""),"",SUMIFS(包装物料出入库明细!$J$4:$J$2003,包装物料出入库明细!$D$4:$D$2003,$B156,包装物料出入库明细!$E$4:$E$2003,_自动清单!$G$4,包装物料出入库明细!$B$4:$B$2003,"&gt;="&amp;$AF$1,包装物料出入库明细!$B$4:$B$2003,"&lt;="&amp;$AF$2))</f>
        <v/>
      </c>
      <c r="D156" s="25" t="str">
        <f>IF(OR($B156="",_自动清单!$G$5=""),"",SUMIFS(包装物料出入库明细!$J$4:$J$2003,包装物料出入库明细!$D$4:$D$2003,$B156,包装物料出入库明细!$E$4:$E$2003,_自动清单!$G$5,包装物料出入库明细!$B$4:$B$2003,"&gt;="&amp;$AF$1,包装物料出入库明细!$B$4:$B$2003,"&lt;="&amp;$AF$2))</f>
        <v/>
      </c>
      <c r="E156" s="25" t="str">
        <f>IF(OR($B156="",_自动清单!$G$6=""),"",SUMIFS(包装物料出入库明细!$J$4:$J$2003,包装物料出入库明细!$D$4:$D$2003,$B156,包装物料出入库明细!$E$4:$E$2003,_自动清单!$G$6,包装物料出入库明细!$B$4:$B$2003,"&gt;="&amp;$AF$1,包装物料出入库明细!$B$4:$B$2003,"&lt;="&amp;$AF$2))</f>
        <v/>
      </c>
      <c r="F156" s="25" t="str">
        <f>IF(OR($B156="",_自动清单!$G$7=""),"",SUMIFS(包装物料出入库明细!$J$4:$J$2003,包装物料出入库明细!$D$4:$D$2003,$B156,包装物料出入库明细!$E$4:$E$2003,_自动清单!$G$7,包装物料出入库明细!$B$4:$B$2003,"&gt;="&amp;$AF$1,包装物料出入库明细!$B$4:$B$2003,"&lt;="&amp;$AF$2))</f>
        <v/>
      </c>
      <c r="G156" s="25" t="str">
        <f>IF(OR($B156="",_自动清单!$G$8=""),"",SUMIFS(包装物料出入库明细!$J$4:$J$2003,包装物料出入库明细!$D$4:$D$2003,$B156,包装物料出入库明细!$E$4:$E$2003,_自动清单!$G$8,包装物料出入库明细!$B$4:$B$2003,"&gt;="&amp;$AF$1,包装物料出入库明细!$B$4:$B$2003,"&lt;="&amp;$AF$2))</f>
        <v/>
      </c>
      <c r="H156" s="25" t="str">
        <f>IF(OR($B156="",_自动清单!$G$9=""),"",SUMIFS(包装物料出入库明细!$J$4:$J$2003,包装物料出入库明细!$D$4:$D$2003,$B156,包装物料出入库明细!$E$4:$E$2003,_自动清单!$G$9,包装物料出入库明细!$B$4:$B$2003,"&gt;="&amp;$AF$1,包装物料出入库明细!$B$4:$B$2003,"&lt;="&amp;$AF$2))</f>
        <v/>
      </c>
      <c r="I156" s="25" t="str">
        <f>IF(OR($B156="",_自动清单!$G$10=""),"",SUMIFS(包装物料出入库明细!$J$4:$J$2003,包装物料出入库明细!$D$4:$D$2003,$B156,包装物料出入库明细!$E$4:$E$2003,_自动清单!$G$10,包装物料出入库明细!$B$4:$B$2003,"&gt;="&amp;$AF$1,包装物料出入库明细!$B$4:$B$2003,"&lt;="&amp;$AF$2))</f>
        <v/>
      </c>
      <c r="J156" s="25" t="str">
        <f>IF(OR($B156="",_自动清单!$G$11=""),"",SUMIFS(包装物料出入库明细!$J$4:$J$2003,包装物料出入库明细!$D$4:$D$2003,$B156,包装物料出入库明细!$E$4:$E$2003,_自动清单!$G$11,包装物料出入库明细!$B$4:$B$2003,"&gt;="&amp;$AF$1,包装物料出入库明细!$B$4:$B$2003,"&lt;="&amp;$AF$2))</f>
        <v/>
      </c>
      <c r="K156" s="25" t="str">
        <f>IF(OR($B156="",_自动清单!$G$12=""),"",SUMIFS(包装物料出入库明细!$J$4:$J$2003,包装物料出入库明细!$D$4:$D$2003,$B156,包装物料出入库明细!$E$4:$E$2003,_自动清单!$G$12,包装物料出入库明细!$B$4:$B$2003,"&gt;="&amp;$AF$1,包装物料出入库明细!$B$4:$B$2003,"&lt;="&amp;$AF$2))</f>
        <v/>
      </c>
      <c r="L156" s="25" t="str">
        <f>IF(OR($B156="",_自动清单!$G$13=""),"",SUMIFS(包装物料出入库明细!$J$4:$J$2003,包装物料出入库明细!$D$4:$D$2003,$B156,包装物料出入库明细!$E$4:$E$2003,_自动清单!$G$13,包装物料出入库明细!$B$4:$B$2003,"&gt;="&amp;$AF$1,包装物料出入库明细!$B$4:$B$2003,"&lt;="&amp;$AF$2))</f>
        <v/>
      </c>
      <c r="M156" s="25" t="str">
        <f>IF(OR($B156="",_自动清单!$G$14=""),"",SUMIFS(包装物料出入库明细!$J$4:$J$2003,包装物料出入库明细!$D$4:$D$2003,$B156,包装物料出入库明细!$E$4:$E$2003,_自动清单!$G$14,包装物料出入库明细!$B$4:$B$2003,"&gt;="&amp;$AF$1,包装物料出入库明细!$B$4:$B$2003,"&lt;="&amp;$AF$2))</f>
        <v/>
      </c>
      <c r="N156" s="25" t="str">
        <f>IF(OR($B156="",_自动清单!$G$15=""),"",SUMIFS(包装物料出入库明细!$J$4:$J$2003,包装物料出入库明细!$D$4:$D$2003,$B156,包装物料出入库明细!$E$4:$E$2003,_自动清单!$G$15,包装物料出入库明细!$B$4:$B$2003,"&gt;="&amp;$AF$1,包装物料出入库明细!$B$4:$B$2003,"&lt;="&amp;$AF$2))</f>
        <v/>
      </c>
      <c r="O156" s="25" t="str">
        <f>IF(OR($B156="",_自动清单!$G$16=""),"",SUMIFS(包装物料出入库明细!$J$4:$J$2003,包装物料出入库明细!$D$4:$D$2003,$B156,包装物料出入库明细!$E$4:$E$2003,_自动清单!$G$16,包装物料出入库明细!$B$4:$B$2003,"&gt;="&amp;$AF$1,包装物料出入库明细!$B$4:$B$2003,"&lt;="&amp;$AF$2))</f>
        <v/>
      </c>
      <c r="P156" s="25" t="str">
        <f>IF(OR($B156="",_自动清单!$G$17=""),"",SUMIFS(包装物料出入库明细!$J$4:$J$2003,包装物料出入库明细!$D$4:$D$2003,$B156,包装物料出入库明细!$E$4:$E$2003,_自动清单!$G$17,包装物料出入库明细!$B$4:$B$2003,"&gt;="&amp;$AF$1,包装物料出入库明细!$B$4:$B$2003,"&lt;="&amp;$AF$2))</f>
        <v/>
      </c>
      <c r="Q156" s="25" t="str">
        <f>IF(OR($B156="",_自动清单!$G$18=""),"",SUMIFS(包装物料出入库明细!$J$4:$J$2003,包装物料出入库明细!$D$4:$D$2003,$B156,包装物料出入库明细!$E$4:$E$2003,_自动清单!$G$18,包装物料出入库明细!$B$4:$B$2003,"&gt;="&amp;$AF$1,包装物料出入库明细!$B$4:$B$2003,"&lt;="&amp;$AF$2))</f>
        <v/>
      </c>
      <c r="R156" s="25" t="str">
        <f>IF(OR($B156="",_自动清单!$G$19=""),"",SUMIFS(包装物料出入库明细!$J$4:$J$2003,包装物料出入库明细!$D$4:$D$2003,$B156,包装物料出入库明细!$E$4:$E$2003,_自动清单!$G$19,包装物料出入库明细!$B$4:$B$2003,"&gt;="&amp;$AF$1,包装物料出入库明细!$B$4:$B$2003,"&lt;="&amp;$AF$2))</f>
        <v/>
      </c>
      <c r="S156" s="25" t="str">
        <f>IF(OR($B156="",_自动清单!$G$20=""),"",SUMIFS(包装物料出入库明细!$J$4:$J$2003,包装物料出入库明细!$D$4:$D$2003,$B156,包装物料出入库明细!$E$4:$E$2003,_自动清单!$G$20,包装物料出入库明细!$B$4:$B$2003,"&gt;="&amp;$AF$1,包装物料出入库明细!$B$4:$B$2003,"&lt;="&amp;$AF$2))</f>
        <v/>
      </c>
      <c r="T156" s="25" t="str">
        <f>IF(OR($B156="",_自动清单!$G$21=""),"",SUMIFS(包装物料出入库明细!$J$4:$J$2003,包装物料出入库明细!$D$4:$D$2003,$B156,包装物料出入库明细!$E$4:$E$2003,_自动清单!$G$21,包装物料出入库明细!$B$4:$B$2003,"&gt;="&amp;$AF$1,包装物料出入库明细!$B$4:$B$2003,"&lt;="&amp;$AF$2))</f>
        <v/>
      </c>
      <c r="U156" s="25" t="str">
        <f>IF($B156="","",SUMIFS(包装物料出入库明细!$J$4:$J$2003,包装物料出入库明细!$D$4:$D$2003,$B156,包装物料出入库明细!$B$4:$B$2003,"&gt;="&amp;$AF$1,包装物料出入库明细!$B$4:$B$2003,"&lt;="&amp;$AF$2)-SUM($C156:$T156))</f>
        <v/>
      </c>
      <c r="V156" s="25" t="str">
        <f t="shared" si="9"/>
        <v/>
      </c>
      <c r="W156" s="56" t="str">
        <f>IF($B156="","",SUMIFS(包装物料出入库明细!$K$4:$K$2003,包装物料出入库明细!$D$4:$D$2003,$B156,包装物料出入库明细!$B$4:$B$2003,"&gt;="&amp;$AF$1,包装物料出入库明细!$B$4:$B$2003,"&lt;="&amp;$AF$2))</f>
        <v/>
      </c>
      <c r="X156" s="25" t="str">
        <f t="shared" si="10"/>
        <v/>
      </c>
      <c r="Y156" s="26" t="str">
        <f>IF($B156="","",ROUND(SUMIFS(包装物料出入库明细!$N$4:$N$2003,包装物料出入库明细!$D$4:$D$2003,$B156,包装物料出入库明细!$H$4:$H$2003,"销售出库",包装物料出入库明细!$B$4:$B$2003,"&gt;="&amp;$AF$1,包装物料出入库明细!$B$4:$B$2003,"&lt;="&amp;$AF$2),2))</f>
        <v/>
      </c>
      <c r="Z156" s="26" t="str">
        <f>IF($B156="","",ROUND(SUMIFS(包装物料出入库明细!$N$4:$N$2003,包装物料出入库明细!$D$4:$D$2003,$B156,包装物料出入库明细!$H$4:$H$2003,"销售出库",包装物料出入库明细!$P$4:$P$2003,"已收讫",包装物料出入库明细!$B$4:$B$2003,"&gt;="&amp;$AF$1,包装物料出入库明细!$B$4:$B$2003,"&lt;="&amp;$AF$2),2))</f>
        <v/>
      </c>
      <c r="AA156" s="26" t="str">
        <f t="shared" si="11"/>
        <v/>
      </c>
      <c r="AB156" s="41"/>
    </row>
    <row r="157" spans="1:28">
      <c r="A157" s="24" t="str">
        <f t="shared" si="8"/>
        <v/>
      </c>
      <c r="B157" s="24" t="str">
        <f>IFERROR(INDEX(_自动清单!$O$4:$O$203,ROW()-3),"")</f>
        <v/>
      </c>
      <c r="C157" s="25" t="str">
        <f>IF(OR($B157="",_自动清单!$G$4=""),"",SUMIFS(包装物料出入库明细!$J$4:$J$2003,包装物料出入库明细!$D$4:$D$2003,$B157,包装物料出入库明细!$E$4:$E$2003,_自动清单!$G$4,包装物料出入库明细!$B$4:$B$2003,"&gt;="&amp;$AF$1,包装物料出入库明细!$B$4:$B$2003,"&lt;="&amp;$AF$2))</f>
        <v/>
      </c>
      <c r="D157" s="25" t="str">
        <f>IF(OR($B157="",_自动清单!$G$5=""),"",SUMIFS(包装物料出入库明细!$J$4:$J$2003,包装物料出入库明细!$D$4:$D$2003,$B157,包装物料出入库明细!$E$4:$E$2003,_自动清单!$G$5,包装物料出入库明细!$B$4:$B$2003,"&gt;="&amp;$AF$1,包装物料出入库明细!$B$4:$B$2003,"&lt;="&amp;$AF$2))</f>
        <v/>
      </c>
      <c r="E157" s="25" t="str">
        <f>IF(OR($B157="",_自动清单!$G$6=""),"",SUMIFS(包装物料出入库明细!$J$4:$J$2003,包装物料出入库明细!$D$4:$D$2003,$B157,包装物料出入库明细!$E$4:$E$2003,_自动清单!$G$6,包装物料出入库明细!$B$4:$B$2003,"&gt;="&amp;$AF$1,包装物料出入库明细!$B$4:$B$2003,"&lt;="&amp;$AF$2))</f>
        <v/>
      </c>
      <c r="F157" s="25" t="str">
        <f>IF(OR($B157="",_自动清单!$G$7=""),"",SUMIFS(包装物料出入库明细!$J$4:$J$2003,包装物料出入库明细!$D$4:$D$2003,$B157,包装物料出入库明细!$E$4:$E$2003,_自动清单!$G$7,包装物料出入库明细!$B$4:$B$2003,"&gt;="&amp;$AF$1,包装物料出入库明细!$B$4:$B$2003,"&lt;="&amp;$AF$2))</f>
        <v/>
      </c>
      <c r="G157" s="25" t="str">
        <f>IF(OR($B157="",_自动清单!$G$8=""),"",SUMIFS(包装物料出入库明细!$J$4:$J$2003,包装物料出入库明细!$D$4:$D$2003,$B157,包装物料出入库明细!$E$4:$E$2003,_自动清单!$G$8,包装物料出入库明细!$B$4:$B$2003,"&gt;="&amp;$AF$1,包装物料出入库明细!$B$4:$B$2003,"&lt;="&amp;$AF$2))</f>
        <v/>
      </c>
      <c r="H157" s="25" t="str">
        <f>IF(OR($B157="",_自动清单!$G$9=""),"",SUMIFS(包装物料出入库明细!$J$4:$J$2003,包装物料出入库明细!$D$4:$D$2003,$B157,包装物料出入库明细!$E$4:$E$2003,_自动清单!$G$9,包装物料出入库明细!$B$4:$B$2003,"&gt;="&amp;$AF$1,包装物料出入库明细!$B$4:$B$2003,"&lt;="&amp;$AF$2))</f>
        <v/>
      </c>
      <c r="I157" s="25" t="str">
        <f>IF(OR($B157="",_自动清单!$G$10=""),"",SUMIFS(包装物料出入库明细!$J$4:$J$2003,包装物料出入库明细!$D$4:$D$2003,$B157,包装物料出入库明细!$E$4:$E$2003,_自动清单!$G$10,包装物料出入库明细!$B$4:$B$2003,"&gt;="&amp;$AF$1,包装物料出入库明细!$B$4:$B$2003,"&lt;="&amp;$AF$2))</f>
        <v/>
      </c>
      <c r="J157" s="25" t="str">
        <f>IF(OR($B157="",_自动清单!$G$11=""),"",SUMIFS(包装物料出入库明细!$J$4:$J$2003,包装物料出入库明细!$D$4:$D$2003,$B157,包装物料出入库明细!$E$4:$E$2003,_自动清单!$G$11,包装物料出入库明细!$B$4:$B$2003,"&gt;="&amp;$AF$1,包装物料出入库明细!$B$4:$B$2003,"&lt;="&amp;$AF$2))</f>
        <v/>
      </c>
      <c r="K157" s="25" t="str">
        <f>IF(OR($B157="",_自动清单!$G$12=""),"",SUMIFS(包装物料出入库明细!$J$4:$J$2003,包装物料出入库明细!$D$4:$D$2003,$B157,包装物料出入库明细!$E$4:$E$2003,_自动清单!$G$12,包装物料出入库明细!$B$4:$B$2003,"&gt;="&amp;$AF$1,包装物料出入库明细!$B$4:$B$2003,"&lt;="&amp;$AF$2))</f>
        <v/>
      </c>
      <c r="L157" s="25" t="str">
        <f>IF(OR($B157="",_自动清单!$G$13=""),"",SUMIFS(包装物料出入库明细!$J$4:$J$2003,包装物料出入库明细!$D$4:$D$2003,$B157,包装物料出入库明细!$E$4:$E$2003,_自动清单!$G$13,包装物料出入库明细!$B$4:$B$2003,"&gt;="&amp;$AF$1,包装物料出入库明细!$B$4:$B$2003,"&lt;="&amp;$AF$2))</f>
        <v/>
      </c>
      <c r="M157" s="25" t="str">
        <f>IF(OR($B157="",_自动清单!$G$14=""),"",SUMIFS(包装物料出入库明细!$J$4:$J$2003,包装物料出入库明细!$D$4:$D$2003,$B157,包装物料出入库明细!$E$4:$E$2003,_自动清单!$G$14,包装物料出入库明细!$B$4:$B$2003,"&gt;="&amp;$AF$1,包装物料出入库明细!$B$4:$B$2003,"&lt;="&amp;$AF$2))</f>
        <v/>
      </c>
      <c r="N157" s="25" t="str">
        <f>IF(OR($B157="",_自动清单!$G$15=""),"",SUMIFS(包装物料出入库明细!$J$4:$J$2003,包装物料出入库明细!$D$4:$D$2003,$B157,包装物料出入库明细!$E$4:$E$2003,_自动清单!$G$15,包装物料出入库明细!$B$4:$B$2003,"&gt;="&amp;$AF$1,包装物料出入库明细!$B$4:$B$2003,"&lt;="&amp;$AF$2))</f>
        <v/>
      </c>
      <c r="O157" s="25" t="str">
        <f>IF(OR($B157="",_自动清单!$G$16=""),"",SUMIFS(包装物料出入库明细!$J$4:$J$2003,包装物料出入库明细!$D$4:$D$2003,$B157,包装物料出入库明细!$E$4:$E$2003,_自动清单!$G$16,包装物料出入库明细!$B$4:$B$2003,"&gt;="&amp;$AF$1,包装物料出入库明细!$B$4:$B$2003,"&lt;="&amp;$AF$2))</f>
        <v/>
      </c>
      <c r="P157" s="25" t="str">
        <f>IF(OR($B157="",_自动清单!$G$17=""),"",SUMIFS(包装物料出入库明细!$J$4:$J$2003,包装物料出入库明细!$D$4:$D$2003,$B157,包装物料出入库明细!$E$4:$E$2003,_自动清单!$G$17,包装物料出入库明细!$B$4:$B$2003,"&gt;="&amp;$AF$1,包装物料出入库明细!$B$4:$B$2003,"&lt;="&amp;$AF$2))</f>
        <v/>
      </c>
      <c r="Q157" s="25" t="str">
        <f>IF(OR($B157="",_自动清单!$G$18=""),"",SUMIFS(包装物料出入库明细!$J$4:$J$2003,包装物料出入库明细!$D$4:$D$2003,$B157,包装物料出入库明细!$E$4:$E$2003,_自动清单!$G$18,包装物料出入库明细!$B$4:$B$2003,"&gt;="&amp;$AF$1,包装物料出入库明细!$B$4:$B$2003,"&lt;="&amp;$AF$2))</f>
        <v/>
      </c>
      <c r="R157" s="25" t="str">
        <f>IF(OR($B157="",_自动清单!$G$19=""),"",SUMIFS(包装物料出入库明细!$J$4:$J$2003,包装物料出入库明细!$D$4:$D$2003,$B157,包装物料出入库明细!$E$4:$E$2003,_自动清单!$G$19,包装物料出入库明细!$B$4:$B$2003,"&gt;="&amp;$AF$1,包装物料出入库明细!$B$4:$B$2003,"&lt;="&amp;$AF$2))</f>
        <v/>
      </c>
      <c r="S157" s="25" t="str">
        <f>IF(OR($B157="",_自动清单!$G$20=""),"",SUMIFS(包装物料出入库明细!$J$4:$J$2003,包装物料出入库明细!$D$4:$D$2003,$B157,包装物料出入库明细!$E$4:$E$2003,_自动清单!$G$20,包装物料出入库明细!$B$4:$B$2003,"&gt;="&amp;$AF$1,包装物料出入库明细!$B$4:$B$2003,"&lt;="&amp;$AF$2))</f>
        <v/>
      </c>
      <c r="T157" s="25" t="str">
        <f>IF(OR($B157="",_自动清单!$G$21=""),"",SUMIFS(包装物料出入库明细!$J$4:$J$2003,包装物料出入库明细!$D$4:$D$2003,$B157,包装物料出入库明细!$E$4:$E$2003,_自动清单!$G$21,包装物料出入库明细!$B$4:$B$2003,"&gt;="&amp;$AF$1,包装物料出入库明细!$B$4:$B$2003,"&lt;="&amp;$AF$2))</f>
        <v/>
      </c>
      <c r="U157" s="25" t="str">
        <f>IF($B157="","",SUMIFS(包装物料出入库明细!$J$4:$J$2003,包装物料出入库明细!$D$4:$D$2003,$B157,包装物料出入库明细!$B$4:$B$2003,"&gt;="&amp;$AF$1,包装物料出入库明细!$B$4:$B$2003,"&lt;="&amp;$AF$2)-SUM($C157:$T157))</f>
        <v/>
      </c>
      <c r="V157" s="25" t="str">
        <f t="shared" si="9"/>
        <v/>
      </c>
      <c r="W157" s="56" t="str">
        <f>IF($B157="","",SUMIFS(包装物料出入库明细!$K$4:$K$2003,包装物料出入库明细!$D$4:$D$2003,$B157,包装物料出入库明细!$B$4:$B$2003,"&gt;="&amp;$AF$1,包装物料出入库明细!$B$4:$B$2003,"&lt;="&amp;$AF$2))</f>
        <v/>
      </c>
      <c r="X157" s="25" t="str">
        <f t="shared" si="10"/>
        <v/>
      </c>
      <c r="Y157" s="26" t="str">
        <f>IF($B157="","",ROUND(SUMIFS(包装物料出入库明细!$N$4:$N$2003,包装物料出入库明细!$D$4:$D$2003,$B157,包装物料出入库明细!$H$4:$H$2003,"销售出库",包装物料出入库明细!$B$4:$B$2003,"&gt;="&amp;$AF$1,包装物料出入库明细!$B$4:$B$2003,"&lt;="&amp;$AF$2),2))</f>
        <v/>
      </c>
      <c r="Z157" s="26" t="str">
        <f>IF($B157="","",ROUND(SUMIFS(包装物料出入库明细!$N$4:$N$2003,包装物料出入库明细!$D$4:$D$2003,$B157,包装物料出入库明细!$H$4:$H$2003,"销售出库",包装物料出入库明细!$P$4:$P$2003,"已收讫",包装物料出入库明细!$B$4:$B$2003,"&gt;="&amp;$AF$1,包装物料出入库明细!$B$4:$B$2003,"&lt;="&amp;$AF$2),2))</f>
        <v/>
      </c>
      <c r="AA157" s="26" t="str">
        <f t="shared" si="11"/>
        <v/>
      </c>
      <c r="AB157" s="41"/>
    </row>
    <row r="158" spans="1:28">
      <c r="A158" s="24" t="str">
        <f t="shared" si="8"/>
        <v/>
      </c>
      <c r="B158" s="24" t="str">
        <f>IFERROR(INDEX(_自动清单!$O$4:$O$203,ROW()-3),"")</f>
        <v/>
      </c>
      <c r="C158" s="25" t="str">
        <f>IF(OR($B158="",_自动清单!$G$4=""),"",SUMIFS(包装物料出入库明细!$J$4:$J$2003,包装物料出入库明细!$D$4:$D$2003,$B158,包装物料出入库明细!$E$4:$E$2003,_自动清单!$G$4,包装物料出入库明细!$B$4:$B$2003,"&gt;="&amp;$AF$1,包装物料出入库明细!$B$4:$B$2003,"&lt;="&amp;$AF$2))</f>
        <v/>
      </c>
      <c r="D158" s="25" t="str">
        <f>IF(OR($B158="",_自动清单!$G$5=""),"",SUMIFS(包装物料出入库明细!$J$4:$J$2003,包装物料出入库明细!$D$4:$D$2003,$B158,包装物料出入库明细!$E$4:$E$2003,_自动清单!$G$5,包装物料出入库明细!$B$4:$B$2003,"&gt;="&amp;$AF$1,包装物料出入库明细!$B$4:$B$2003,"&lt;="&amp;$AF$2))</f>
        <v/>
      </c>
      <c r="E158" s="25" t="str">
        <f>IF(OR($B158="",_自动清单!$G$6=""),"",SUMIFS(包装物料出入库明细!$J$4:$J$2003,包装物料出入库明细!$D$4:$D$2003,$B158,包装物料出入库明细!$E$4:$E$2003,_自动清单!$G$6,包装物料出入库明细!$B$4:$B$2003,"&gt;="&amp;$AF$1,包装物料出入库明细!$B$4:$B$2003,"&lt;="&amp;$AF$2))</f>
        <v/>
      </c>
      <c r="F158" s="25" t="str">
        <f>IF(OR($B158="",_自动清单!$G$7=""),"",SUMIFS(包装物料出入库明细!$J$4:$J$2003,包装物料出入库明细!$D$4:$D$2003,$B158,包装物料出入库明细!$E$4:$E$2003,_自动清单!$G$7,包装物料出入库明细!$B$4:$B$2003,"&gt;="&amp;$AF$1,包装物料出入库明细!$B$4:$B$2003,"&lt;="&amp;$AF$2))</f>
        <v/>
      </c>
      <c r="G158" s="25" t="str">
        <f>IF(OR($B158="",_自动清单!$G$8=""),"",SUMIFS(包装物料出入库明细!$J$4:$J$2003,包装物料出入库明细!$D$4:$D$2003,$B158,包装物料出入库明细!$E$4:$E$2003,_自动清单!$G$8,包装物料出入库明细!$B$4:$B$2003,"&gt;="&amp;$AF$1,包装物料出入库明细!$B$4:$B$2003,"&lt;="&amp;$AF$2))</f>
        <v/>
      </c>
      <c r="H158" s="25" t="str">
        <f>IF(OR($B158="",_自动清单!$G$9=""),"",SUMIFS(包装物料出入库明细!$J$4:$J$2003,包装物料出入库明细!$D$4:$D$2003,$B158,包装物料出入库明细!$E$4:$E$2003,_自动清单!$G$9,包装物料出入库明细!$B$4:$B$2003,"&gt;="&amp;$AF$1,包装物料出入库明细!$B$4:$B$2003,"&lt;="&amp;$AF$2))</f>
        <v/>
      </c>
      <c r="I158" s="25" t="str">
        <f>IF(OR($B158="",_自动清单!$G$10=""),"",SUMIFS(包装物料出入库明细!$J$4:$J$2003,包装物料出入库明细!$D$4:$D$2003,$B158,包装物料出入库明细!$E$4:$E$2003,_自动清单!$G$10,包装物料出入库明细!$B$4:$B$2003,"&gt;="&amp;$AF$1,包装物料出入库明细!$B$4:$B$2003,"&lt;="&amp;$AF$2))</f>
        <v/>
      </c>
      <c r="J158" s="25" t="str">
        <f>IF(OR($B158="",_自动清单!$G$11=""),"",SUMIFS(包装物料出入库明细!$J$4:$J$2003,包装物料出入库明细!$D$4:$D$2003,$B158,包装物料出入库明细!$E$4:$E$2003,_自动清单!$G$11,包装物料出入库明细!$B$4:$B$2003,"&gt;="&amp;$AF$1,包装物料出入库明细!$B$4:$B$2003,"&lt;="&amp;$AF$2))</f>
        <v/>
      </c>
      <c r="K158" s="25" t="str">
        <f>IF(OR($B158="",_自动清单!$G$12=""),"",SUMIFS(包装物料出入库明细!$J$4:$J$2003,包装物料出入库明细!$D$4:$D$2003,$B158,包装物料出入库明细!$E$4:$E$2003,_自动清单!$G$12,包装物料出入库明细!$B$4:$B$2003,"&gt;="&amp;$AF$1,包装物料出入库明细!$B$4:$B$2003,"&lt;="&amp;$AF$2))</f>
        <v/>
      </c>
      <c r="L158" s="25" t="str">
        <f>IF(OR($B158="",_自动清单!$G$13=""),"",SUMIFS(包装物料出入库明细!$J$4:$J$2003,包装物料出入库明细!$D$4:$D$2003,$B158,包装物料出入库明细!$E$4:$E$2003,_自动清单!$G$13,包装物料出入库明细!$B$4:$B$2003,"&gt;="&amp;$AF$1,包装物料出入库明细!$B$4:$B$2003,"&lt;="&amp;$AF$2))</f>
        <v/>
      </c>
      <c r="M158" s="25" t="str">
        <f>IF(OR($B158="",_自动清单!$G$14=""),"",SUMIFS(包装物料出入库明细!$J$4:$J$2003,包装物料出入库明细!$D$4:$D$2003,$B158,包装物料出入库明细!$E$4:$E$2003,_自动清单!$G$14,包装物料出入库明细!$B$4:$B$2003,"&gt;="&amp;$AF$1,包装物料出入库明细!$B$4:$B$2003,"&lt;="&amp;$AF$2))</f>
        <v/>
      </c>
      <c r="N158" s="25" t="str">
        <f>IF(OR($B158="",_自动清单!$G$15=""),"",SUMIFS(包装物料出入库明细!$J$4:$J$2003,包装物料出入库明细!$D$4:$D$2003,$B158,包装物料出入库明细!$E$4:$E$2003,_自动清单!$G$15,包装物料出入库明细!$B$4:$B$2003,"&gt;="&amp;$AF$1,包装物料出入库明细!$B$4:$B$2003,"&lt;="&amp;$AF$2))</f>
        <v/>
      </c>
      <c r="O158" s="25" t="str">
        <f>IF(OR($B158="",_自动清单!$G$16=""),"",SUMIFS(包装物料出入库明细!$J$4:$J$2003,包装物料出入库明细!$D$4:$D$2003,$B158,包装物料出入库明细!$E$4:$E$2003,_自动清单!$G$16,包装物料出入库明细!$B$4:$B$2003,"&gt;="&amp;$AF$1,包装物料出入库明细!$B$4:$B$2003,"&lt;="&amp;$AF$2))</f>
        <v/>
      </c>
      <c r="P158" s="25" t="str">
        <f>IF(OR($B158="",_自动清单!$G$17=""),"",SUMIFS(包装物料出入库明细!$J$4:$J$2003,包装物料出入库明细!$D$4:$D$2003,$B158,包装物料出入库明细!$E$4:$E$2003,_自动清单!$G$17,包装物料出入库明细!$B$4:$B$2003,"&gt;="&amp;$AF$1,包装物料出入库明细!$B$4:$B$2003,"&lt;="&amp;$AF$2))</f>
        <v/>
      </c>
      <c r="Q158" s="25" t="str">
        <f>IF(OR($B158="",_自动清单!$G$18=""),"",SUMIFS(包装物料出入库明细!$J$4:$J$2003,包装物料出入库明细!$D$4:$D$2003,$B158,包装物料出入库明细!$E$4:$E$2003,_自动清单!$G$18,包装物料出入库明细!$B$4:$B$2003,"&gt;="&amp;$AF$1,包装物料出入库明细!$B$4:$B$2003,"&lt;="&amp;$AF$2))</f>
        <v/>
      </c>
      <c r="R158" s="25" t="str">
        <f>IF(OR($B158="",_自动清单!$G$19=""),"",SUMIFS(包装物料出入库明细!$J$4:$J$2003,包装物料出入库明细!$D$4:$D$2003,$B158,包装物料出入库明细!$E$4:$E$2003,_自动清单!$G$19,包装物料出入库明细!$B$4:$B$2003,"&gt;="&amp;$AF$1,包装物料出入库明细!$B$4:$B$2003,"&lt;="&amp;$AF$2))</f>
        <v/>
      </c>
      <c r="S158" s="25" t="str">
        <f>IF(OR($B158="",_自动清单!$G$20=""),"",SUMIFS(包装物料出入库明细!$J$4:$J$2003,包装物料出入库明细!$D$4:$D$2003,$B158,包装物料出入库明细!$E$4:$E$2003,_自动清单!$G$20,包装物料出入库明细!$B$4:$B$2003,"&gt;="&amp;$AF$1,包装物料出入库明细!$B$4:$B$2003,"&lt;="&amp;$AF$2))</f>
        <v/>
      </c>
      <c r="T158" s="25" t="str">
        <f>IF(OR($B158="",_自动清单!$G$21=""),"",SUMIFS(包装物料出入库明细!$J$4:$J$2003,包装物料出入库明细!$D$4:$D$2003,$B158,包装物料出入库明细!$E$4:$E$2003,_自动清单!$G$21,包装物料出入库明细!$B$4:$B$2003,"&gt;="&amp;$AF$1,包装物料出入库明细!$B$4:$B$2003,"&lt;="&amp;$AF$2))</f>
        <v/>
      </c>
      <c r="U158" s="25" t="str">
        <f>IF($B158="","",SUMIFS(包装物料出入库明细!$J$4:$J$2003,包装物料出入库明细!$D$4:$D$2003,$B158,包装物料出入库明细!$B$4:$B$2003,"&gt;="&amp;$AF$1,包装物料出入库明细!$B$4:$B$2003,"&lt;="&amp;$AF$2)-SUM($C158:$T158))</f>
        <v/>
      </c>
      <c r="V158" s="25" t="str">
        <f t="shared" si="9"/>
        <v/>
      </c>
      <c r="W158" s="56" t="str">
        <f>IF($B158="","",SUMIFS(包装物料出入库明细!$K$4:$K$2003,包装物料出入库明细!$D$4:$D$2003,$B158,包装物料出入库明细!$B$4:$B$2003,"&gt;="&amp;$AF$1,包装物料出入库明细!$B$4:$B$2003,"&lt;="&amp;$AF$2))</f>
        <v/>
      </c>
      <c r="X158" s="25" t="str">
        <f t="shared" si="10"/>
        <v/>
      </c>
      <c r="Y158" s="26" t="str">
        <f>IF($B158="","",ROUND(SUMIFS(包装物料出入库明细!$N$4:$N$2003,包装物料出入库明细!$D$4:$D$2003,$B158,包装物料出入库明细!$H$4:$H$2003,"销售出库",包装物料出入库明细!$B$4:$B$2003,"&gt;="&amp;$AF$1,包装物料出入库明细!$B$4:$B$2003,"&lt;="&amp;$AF$2),2))</f>
        <v/>
      </c>
      <c r="Z158" s="26" t="str">
        <f>IF($B158="","",ROUND(SUMIFS(包装物料出入库明细!$N$4:$N$2003,包装物料出入库明细!$D$4:$D$2003,$B158,包装物料出入库明细!$H$4:$H$2003,"销售出库",包装物料出入库明细!$P$4:$P$2003,"已收讫",包装物料出入库明细!$B$4:$B$2003,"&gt;="&amp;$AF$1,包装物料出入库明细!$B$4:$B$2003,"&lt;="&amp;$AF$2),2))</f>
        <v/>
      </c>
      <c r="AA158" s="26" t="str">
        <f t="shared" si="11"/>
        <v/>
      </c>
      <c r="AB158" s="41"/>
    </row>
    <row r="159" spans="1:28">
      <c r="A159" s="24" t="str">
        <f t="shared" si="8"/>
        <v/>
      </c>
      <c r="B159" s="24" t="str">
        <f>IFERROR(INDEX(_自动清单!$O$4:$O$203,ROW()-3),"")</f>
        <v/>
      </c>
      <c r="C159" s="25" t="str">
        <f>IF(OR($B159="",_自动清单!$G$4=""),"",SUMIFS(包装物料出入库明细!$J$4:$J$2003,包装物料出入库明细!$D$4:$D$2003,$B159,包装物料出入库明细!$E$4:$E$2003,_自动清单!$G$4,包装物料出入库明细!$B$4:$B$2003,"&gt;="&amp;$AF$1,包装物料出入库明细!$B$4:$B$2003,"&lt;="&amp;$AF$2))</f>
        <v/>
      </c>
      <c r="D159" s="25" t="str">
        <f>IF(OR($B159="",_自动清单!$G$5=""),"",SUMIFS(包装物料出入库明细!$J$4:$J$2003,包装物料出入库明细!$D$4:$D$2003,$B159,包装物料出入库明细!$E$4:$E$2003,_自动清单!$G$5,包装物料出入库明细!$B$4:$B$2003,"&gt;="&amp;$AF$1,包装物料出入库明细!$B$4:$B$2003,"&lt;="&amp;$AF$2))</f>
        <v/>
      </c>
      <c r="E159" s="25" t="str">
        <f>IF(OR($B159="",_自动清单!$G$6=""),"",SUMIFS(包装物料出入库明细!$J$4:$J$2003,包装物料出入库明细!$D$4:$D$2003,$B159,包装物料出入库明细!$E$4:$E$2003,_自动清单!$G$6,包装物料出入库明细!$B$4:$B$2003,"&gt;="&amp;$AF$1,包装物料出入库明细!$B$4:$B$2003,"&lt;="&amp;$AF$2))</f>
        <v/>
      </c>
      <c r="F159" s="25" t="str">
        <f>IF(OR($B159="",_自动清单!$G$7=""),"",SUMIFS(包装物料出入库明细!$J$4:$J$2003,包装物料出入库明细!$D$4:$D$2003,$B159,包装物料出入库明细!$E$4:$E$2003,_自动清单!$G$7,包装物料出入库明细!$B$4:$B$2003,"&gt;="&amp;$AF$1,包装物料出入库明细!$B$4:$B$2003,"&lt;="&amp;$AF$2))</f>
        <v/>
      </c>
      <c r="G159" s="25" t="str">
        <f>IF(OR($B159="",_自动清单!$G$8=""),"",SUMIFS(包装物料出入库明细!$J$4:$J$2003,包装物料出入库明细!$D$4:$D$2003,$B159,包装物料出入库明细!$E$4:$E$2003,_自动清单!$G$8,包装物料出入库明细!$B$4:$B$2003,"&gt;="&amp;$AF$1,包装物料出入库明细!$B$4:$B$2003,"&lt;="&amp;$AF$2))</f>
        <v/>
      </c>
      <c r="H159" s="25" t="str">
        <f>IF(OR($B159="",_自动清单!$G$9=""),"",SUMIFS(包装物料出入库明细!$J$4:$J$2003,包装物料出入库明细!$D$4:$D$2003,$B159,包装物料出入库明细!$E$4:$E$2003,_自动清单!$G$9,包装物料出入库明细!$B$4:$B$2003,"&gt;="&amp;$AF$1,包装物料出入库明细!$B$4:$B$2003,"&lt;="&amp;$AF$2))</f>
        <v/>
      </c>
      <c r="I159" s="25" t="str">
        <f>IF(OR($B159="",_自动清单!$G$10=""),"",SUMIFS(包装物料出入库明细!$J$4:$J$2003,包装物料出入库明细!$D$4:$D$2003,$B159,包装物料出入库明细!$E$4:$E$2003,_自动清单!$G$10,包装物料出入库明细!$B$4:$B$2003,"&gt;="&amp;$AF$1,包装物料出入库明细!$B$4:$B$2003,"&lt;="&amp;$AF$2))</f>
        <v/>
      </c>
      <c r="J159" s="25" t="str">
        <f>IF(OR($B159="",_自动清单!$G$11=""),"",SUMIFS(包装物料出入库明细!$J$4:$J$2003,包装物料出入库明细!$D$4:$D$2003,$B159,包装物料出入库明细!$E$4:$E$2003,_自动清单!$G$11,包装物料出入库明细!$B$4:$B$2003,"&gt;="&amp;$AF$1,包装物料出入库明细!$B$4:$B$2003,"&lt;="&amp;$AF$2))</f>
        <v/>
      </c>
      <c r="K159" s="25" t="str">
        <f>IF(OR($B159="",_自动清单!$G$12=""),"",SUMIFS(包装物料出入库明细!$J$4:$J$2003,包装物料出入库明细!$D$4:$D$2003,$B159,包装物料出入库明细!$E$4:$E$2003,_自动清单!$G$12,包装物料出入库明细!$B$4:$B$2003,"&gt;="&amp;$AF$1,包装物料出入库明细!$B$4:$B$2003,"&lt;="&amp;$AF$2))</f>
        <v/>
      </c>
      <c r="L159" s="25" t="str">
        <f>IF(OR($B159="",_自动清单!$G$13=""),"",SUMIFS(包装物料出入库明细!$J$4:$J$2003,包装物料出入库明细!$D$4:$D$2003,$B159,包装物料出入库明细!$E$4:$E$2003,_自动清单!$G$13,包装物料出入库明细!$B$4:$B$2003,"&gt;="&amp;$AF$1,包装物料出入库明细!$B$4:$B$2003,"&lt;="&amp;$AF$2))</f>
        <v/>
      </c>
      <c r="M159" s="25" t="str">
        <f>IF(OR($B159="",_自动清单!$G$14=""),"",SUMIFS(包装物料出入库明细!$J$4:$J$2003,包装物料出入库明细!$D$4:$D$2003,$B159,包装物料出入库明细!$E$4:$E$2003,_自动清单!$G$14,包装物料出入库明细!$B$4:$B$2003,"&gt;="&amp;$AF$1,包装物料出入库明细!$B$4:$B$2003,"&lt;="&amp;$AF$2))</f>
        <v/>
      </c>
      <c r="N159" s="25" t="str">
        <f>IF(OR($B159="",_自动清单!$G$15=""),"",SUMIFS(包装物料出入库明细!$J$4:$J$2003,包装物料出入库明细!$D$4:$D$2003,$B159,包装物料出入库明细!$E$4:$E$2003,_自动清单!$G$15,包装物料出入库明细!$B$4:$B$2003,"&gt;="&amp;$AF$1,包装物料出入库明细!$B$4:$B$2003,"&lt;="&amp;$AF$2))</f>
        <v/>
      </c>
      <c r="O159" s="25" t="str">
        <f>IF(OR($B159="",_自动清单!$G$16=""),"",SUMIFS(包装物料出入库明细!$J$4:$J$2003,包装物料出入库明细!$D$4:$D$2003,$B159,包装物料出入库明细!$E$4:$E$2003,_自动清单!$G$16,包装物料出入库明细!$B$4:$B$2003,"&gt;="&amp;$AF$1,包装物料出入库明细!$B$4:$B$2003,"&lt;="&amp;$AF$2))</f>
        <v/>
      </c>
      <c r="P159" s="25" t="str">
        <f>IF(OR($B159="",_自动清单!$G$17=""),"",SUMIFS(包装物料出入库明细!$J$4:$J$2003,包装物料出入库明细!$D$4:$D$2003,$B159,包装物料出入库明细!$E$4:$E$2003,_自动清单!$G$17,包装物料出入库明细!$B$4:$B$2003,"&gt;="&amp;$AF$1,包装物料出入库明细!$B$4:$B$2003,"&lt;="&amp;$AF$2))</f>
        <v/>
      </c>
      <c r="Q159" s="25" t="str">
        <f>IF(OR($B159="",_自动清单!$G$18=""),"",SUMIFS(包装物料出入库明细!$J$4:$J$2003,包装物料出入库明细!$D$4:$D$2003,$B159,包装物料出入库明细!$E$4:$E$2003,_自动清单!$G$18,包装物料出入库明细!$B$4:$B$2003,"&gt;="&amp;$AF$1,包装物料出入库明细!$B$4:$B$2003,"&lt;="&amp;$AF$2))</f>
        <v/>
      </c>
      <c r="R159" s="25" t="str">
        <f>IF(OR($B159="",_自动清单!$G$19=""),"",SUMIFS(包装物料出入库明细!$J$4:$J$2003,包装物料出入库明细!$D$4:$D$2003,$B159,包装物料出入库明细!$E$4:$E$2003,_自动清单!$G$19,包装物料出入库明细!$B$4:$B$2003,"&gt;="&amp;$AF$1,包装物料出入库明细!$B$4:$B$2003,"&lt;="&amp;$AF$2))</f>
        <v/>
      </c>
      <c r="S159" s="25" t="str">
        <f>IF(OR($B159="",_自动清单!$G$20=""),"",SUMIFS(包装物料出入库明细!$J$4:$J$2003,包装物料出入库明细!$D$4:$D$2003,$B159,包装物料出入库明细!$E$4:$E$2003,_自动清单!$G$20,包装物料出入库明细!$B$4:$B$2003,"&gt;="&amp;$AF$1,包装物料出入库明细!$B$4:$B$2003,"&lt;="&amp;$AF$2))</f>
        <v/>
      </c>
      <c r="T159" s="25" t="str">
        <f>IF(OR($B159="",_自动清单!$G$21=""),"",SUMIFS(包装物料出入库明细!$J$4:$J$2003,包装物料出入库明细!$D$4:$D$2003,$B159,包装物料出入库明细!$E$4:$E$2003,_自动清单!$G$21,包装物料出入库明细!$B$4:$B$2003,"&gt;="&amp;$AF$1,包装物料出入库明细!$B$4:$B$2003,"&lt;="&amp;$AF$2))</f>
        <v/>
      </c>
      <c r="U159" s="25" t="str">
        <f>IF($B159="","",SUMIFS(包装物料出入库明细!$J$4:$J$2003,包装物料出入库明细!$D$4:$D$2003,$B159,包装物料出入库明细!$B$4:$B$2003,"&gt;="&amp;$AF$1,包装物料出入库明细!$B$4:$B$2003,"&lt;="&amp;$AF$2)-SUM($C159:$T159))</f>
        <v/>
      </c>
      <c r="V159" s="25" t="str">
        <f t="shared" si="9"/>
        <v/>
      </c>
      <c r="W159" s="56" t="str">
        <f>IF($B159="","",SUMIFS(包装物料出入库明细!$K$4:$K$2003,包装物料出入库明细!$D$4:$D$2003,$B159,包装物料出入库明细!$B$4:$B$2003,"&gt;="&amp;$AF$1,包装物料出入库明细!$B$4:$B$2003,"&lt;="&amp;$AF$2))</f>
        <v/>
      </c>
      <c r="X159" s="25" t="str">
        <f t="shared" si="10"/>
        <v/>
      </c>
      <c r="Y159" s="26" t="str">
        <f>IF($B159="","",ROUND(SUMIFS(包装物料出入库明细!$N$4:$N$2003,包装物料出入库明细!$D$4:$D$2003,$B159,包装物料出入库明细!$H$4:$H$2003,"销售出库",包装物料出入库明细!$B$4:$B$2003,"&gt;="&amp;$AF$1,包装物料出入库明细!$B$4:$B$2003,"&lt;="&amp;$AF$2),2))</f>
        <v/>
      </c>
      <c r="Z159" s="26" t="str">
        <f>IF($B159="","",ROUND(SUMIFS(包装物料出入库明细!$N$4:$N$2003,包装物料出入库明细!$D$4:$D$2003,$B159,包装物料出入库明细!$H$4:$H$2003,"销售出库",包装物料出入库明细!$P$4:$P$2003,"已收讫",包装物料出入库明细!$B$4:$B$2003,"&gt;="&amp;$AF$1,包装物料出入库明细!$B$4:$B$2003,"&lt;="&amp;$AF$2),2))</f>
        <v/>
      </c>
      <c r="AA159" s="26" t="str">
        <f t="shared" si="11"/>
        <v/>
      </c>
      <c r="AB159" s="41"/>
    </row>
    <row r="160" spans="1:28">
      <c r="A160" s="24" t="str">
        <f t="shared" si="8"/>
        <v/>
      </c>
      <c r="B160" s="24" t="str">
        <f>IFERROR(INDEX(_自动清单!$O$4:$O$203,ROW()-3),"")</f>
        <v/>
      </c>
      <c r="C160" s="25" t="str">
        <f>IF(OR($B160="",_自动清单!$G$4=""),"",SUMIFS(包装物料出入库明细!$J$4:$J$2003,包装物料出入库明细!$D$4:$D$2003,$B160,包装物料出入库明细!$E$4:$E$2003,_自动清单!$G$4,包装物料出入库明细!$B$4:$B$2003,"&gt;="&amp;$AF$1,包装物料出入库明细!$B$4:$B$2003,"&lt;="&amp;$AF$2))</f>
        <v/>
      </c>
      <c r="D160" s="25" t="str">
        <f>IF(OR($B160="",_自动清单!$G$5=""),"",SUMIFS(包装物料出入库明细!$J$4:$J$2003,包装物料出入库明细!$D$4:$D$2003,$B160,包装物料出入库明细!$E$4:$E$2003,_自动清单!$G$5,包装物料出入库明细!$B$4:$B$2003,"&gt;="&amp;$AF$1,包装物料出入库明细!$B$4:$B$2003,"&lt;="&amp;$AF$2))</f>
        <v/>
      </c>
      <c r="E160" s="25" t="str">
        <f>IF(OR($B160="",_自动清单!$G$6=""),"",SUMIFS(包装物料出入库明细!$J$4:$J$2003,包装物料出入库明细!$D$4:$D$2003,$B160,包装物料出入库明细!$E$4:$E$2003,_自动清单!$G$6,包装物料出入库明细!$B$4:$B$2003,"&gt;="&amp;$AF$1,包装物料出入库明细!$B$4:$B$2003,"&lt;="&amp;$AF$2))</f>
        <v/>
      </c>
      <c r="F160" s="25" t="str">
        <f>IF(OR($B160="",_自动清单!$G$7=""),"",SUMIFS(包装物料出入库明细!$J$4:$J$2003,包装物料出入库明细!$D$4:$D$2003,$B160,包装物料出入库明细!$E$4:$E$2003,_自动清单!$G$7,包装物料出入库明细!$B$4:$B$2003,"&gt;="&amp;$AF$1,包装物料出入库明细!$B$4:$B$2003,"&lt;="&amp;$AF$2))</f>
        <v/>
      </c>
      <c r="G160" s="25" t="str">
        <f>IF(OR($B160="",_自动清单!$G$8=""),"",SUMIFS(包装物料出入库明细!$J$4:$J$2003,包装物料出入库明细!$D$4:$D$2003,$B160,包装物料出入库明细!$E$4:$E$2003,_自动清单!$G$8,包装物料出入库明细!$B$4:$B$2003,"&gt;="&amp;$AF$1,包装物料出入库明细!$B$4:$B$2003,"&lt;="&amp;$AF$2))</f>
        <v/>
      </c>
      <c r="H160" s="25" t="str">
        <f>IF(OR($B160="",_自动清单!$G$9=""),"",SUMIFS(包装物料出入库明细!$J$4:$J$2003,包装物料出入库明细!$D$4:$D$2003,$B160,包装物料出入库明细!$E$4:$E$2003,_自动清单!$G$9,包装物料出入库明细!$B$4:$B$2003,"&gt;="&amp;$AF$1,包装物料出入库明细!$B$4:$B$2003,"&lt;="&amp;$AF$2))</f>
        <v/>
      </c>
      <c r="I160" s="25" t="str">
        <f>IF(OR($B160="",_自动清单!$G$10=""),"",SUMIFS(包装物料出入库明细!$J$4:$J$2003,包装物料出入库明细!$D$4:$D$2003,$B160,包装物料出入库明细!$E$4:$E$2003,_自动清单!$G$10,包装物料出入库明细!$B$4:$B$2003,"&gt;="&amp;$AF$1,包装物料出入库明细!$B$4:$B$2003,"&lt;="&amp;$AF$2))</f>
        <v/>
      </c>
      <c r="J160" s="25" t="str">
        <f>IF(OR($B160="",_自动清单!$G$11=""),"",SUMIFS(包装物料出入库明细!$J$4:$J$2003,包装物料出入库明细!$D$4:$D$2003,$B160,包装物料出入库明细!$E$4:$E$2003,_自动清单!$G$11,包装物料出入库明细!$B$4:$B$2003,"&gt;="&amp;$AF$1,包装物料出入库明细!$B$4:$B$2003,"&lt;="&amp;$AF$2))</f>
        <v/>
      </c>
      <c r="K160" s="25" t="str">
        <f>IF(OR($B160="",_自动清单!$G$12=""),"",SUMIFS(包装物料出入库明细!$J$4:$J$2003,包装物料出入库明细!$D$4:$D$2003,$B160,包装物料出入库明细!$E$4:$E$2003,_自动清单!$G$12,包装物料出入库明细!$B$4:$B$2003,"&gt;="&amp;$AF$1,包装物料出入库明细!$B$4:$B$2003,"&lt;="&amp;$AF$2))</f>
        <v/>
      </c>
      <c r="L160" s="25" t="str">
        <f>IF(OR($B160="",_自动清单!$G$13=""),"",SUMIFS(包装物料出入库明细!$J$4:$J$2003,包装物料出入库明细!$D$4:$D$2003,$B160,包装物料出入库明细!$E$4:$E$2003,_自动清单!$G$13,包装物料出入库明细!$B$4:$B$2003,"&gt;="&amp;$AF$1,包装物料出入库明细!$B$4:$B$2003,"&lt;="&amp;$AF$2))</f>
        <v/>
      </c>
      <c r="M160" s="25" t="str">
        <f>IF(OR($B160="",_自动清单!$G$14=""),"",SUMIFS(包装物料出入库明细!$J$4:$J$2003,包装物料出入库明细!$D$4:$D$2003,$B160,包装物料出入库明细!$E$4:$E$2003,_自动清单!$G$14,包装物料出入库明细!$B$4:$B$2003,"&gt;="&amp;$AF$1,包装物料出入库明细!$B$4:$B$2003,"&lt;="&amp;$AF$2))</f>
        <v/>
      </c>
      <c r="N160" s="25" t="str">
        <f>IF(OR($B160="",_自动清单!$G$15=""),"",SUMIFS(包装物料出入库明细!$J$4:$J$2003,包装物料出入库明细!$D$4:$D$2003,$B160,包装物料出入库明细!$E$4:$E$2003,_自动清单!$G$15,包装物料出入库明细!$B$4:$B$2003,"&gt;="&amp;$AF$1,包装物料出入库明细!$B$4:$B$2003,"&lt;="&amp;$AF$2))</f>
        <v/>
      </c>
      <c r="O160" s="25" t="str">
        <f>IF(OR($B160="",_自动清单!$G$16=""),"",SUMIFS(包装物料出入库明细!$J$4:$J$2003,包装物料出入库明细!$D$4:$D$2003,$B160,包装物料出入库明细!$E$4:$E$2003,_自动清单!$G$16,包装物料出入库明细!$B$4:$B$2003,"&gt;="&amp;$AF$1,包装物料出入库明细!$B$4:$B$2003,"&lt;="&amp;$AF$2))</f>
        <v/>
      </c>
      <c r="P160" s="25" t="str">
        <f>IF(OR($B160="",_自动清单!$G$17=""),"",SUMIFS(包装物料出入库明细!$J$4:$J$2003,包装物料出入库明细!$D$4:$D$2003,$B160,包装物料出入库明细!$E$4:$E$2003,_自动清单!$G$17,包装物料出入库明细!$B$4:$B$2003,"&gt;="&amp;$AF$1,包装物料出入库明细!$B$4:$B$2003,"&lt;="&amp;$AF$2))</f>
        <v/>
      </c>
      <c r="Q160" s="25" t="str">
        <f>IF(OR($B160="",_自动清单!$G$18=""),"",SUMIFS(包装物料出入库明细!$J$4:$J$2003,包装物料出入库明细!$D$4:$D$2003,$B160,包装物料出入库明细!$E$4:$E$2003,_自动清单!$G$18,包装物料出入库明细!$B$4:$B$2003,"&gt;="&amp;$AF$1,包装物料出入库明细!$B$4:$B$2003,"&lt;="&amp;$AF$2))</f>
        <v/>
      </c>
      <c r="R160" s="25" t="str">
        <f>IF(OR($B160="",_自动清单!$G$19=""),"",SUMIFS(包装物料出入库明细!$J$4:$J$2003,包装物料出入库明细!$D$4:$D$2003,$B160,包装物料出入库明细!$E$4:$E$2003,_自动清单!$G$19,包装物料出入库明细!$B$4:$B$2003,"&gt;="&amp;$AF$1,包装物料出入库明细!$B$4:$B$2003,"&lt;="&amp;$AF$2))</f>
        <v/>
      </c>
      <c r="S160" s="25" t="str">
        <f>IF(OR($B160="",_自动清单!$G$20=""),"",SUMIFS(包装物料出入库明细!$J$4:$J$2003,包装物料出入库明细!$D$4:$D$2003,$B160,包装物料出入库明细!$E$4:$E$2003,_自动清单!$G$20,包装物料出入库明细!$B$4:$B$2003,"&gt;="&amp;$AF$1,包装物料出入库明细!$B$4:$B$2003,"&lt;="&amp;$AF$2))</f>
        <v/>
      </c>
      <c r="T160" s="25" t="str">
        <f>IF(OR($B160="",_自动清单!$G$21=""),"",SUMIFS(包装物料出入库明细!$J$4:$J$2003,包装物料出入库明细!$D$4:$D$2003,$B160,包装物料出入库明细!$E$4:$E$2003,_自动清单!$G$21,包装物料出入库明细!$B$4:$B$2003,"&gt;="&amp;$AF$1,包装物料出入库明细!$B$4:$B$2003,"&lt;="&amp;$AF$2))</f>
        <v/>
      </c>
      <c r="U160" s="25" t="str">
        <f>IF($B160="","",SUMIFS(包装物料出入库明细!$J$4:$J$2003,包装物料出入库明细!$D$4:$D$2003,$B160,包装物料出入库明细!$B$4:$B$2003,"&gt;="&amp;$AF$1,包装物料出入库明细!$B$4:$B$2003,"&lt;="&amp;$AF$2)-SUM($C160:$T160))</f>
        <v/>
      </c>
      <c r="V160" s="25" t="str">
        <f t="shared" si="9"/>
        <v/>
      </c>
      <c r="W160" s="56" t="str">
        <f>IF($B160="","",SUMIFS(包装物料出入库明细!$K$4:$K$2003,包装物料出入库明细!$D$4:$D$2003,$B160,包装物料出入库明细!$B$4:$B$2003,"&gt;="&amp;$AF$1,包装物料出入库明细!$B$4:$B$2003,"&lt;="&amp;$AF$2))</f>
        <v/>
      </c>
      <c r="X160" s="25" t="str">
        <f t="shared" si="10"/>
        <v/>
      </c>
      <c r="Y160" s="26" t="str">
        <f>IF($B160="","",ROUND(SUMIFS(包装物料出入库明细!$N$4:$N$2003,包装物料出入库明细!$D$4:$D$2003,$B160,包装物料出入库明细!$H$4:$H$2003,"销售出库",包装物料出入库明细!$B$4:$B$2003,"&gt;="&amp;$AF$1,包装物料出入库明细!$B$4:$B$2003,"&lt;="&amp;$AF$2),2))</f>
        <v/>
      </c>
      <c r="Z160" s="26" t="str">
        <f>IF($B160="","",ROUND(SUMIFS(包装物料出入库明细!$N$4:$N$2003,包装物料出入库明细!$D$4:$D$2003,$B160,包装物料出入库明细!$H$4:$H$2003,"销售出库",包装物料出入库明细!$P$4:$P$2003,"已收讫",包装物料出入库明细!$B$4:$B$2003,"&gt;="&amp;$AF$1,包装物料出入库明细!$B$4:$B$2003,"&lt;="&amp;$AF$2),2))</f>
        <v/>
      </c>
      <c r="AA160" s="26" t="str">
        <f t="shared" si="11"/>
        <v/>
      </c>
      <c r="AB160" s="41"/>
    </row>
    <row r="161" spans="1:28">
      <c r="A161" s="24" t="str">
        <f t="shared" si="8"/>
        <v/>
      </c>
      <c r="B161" s="24" t="str">
        <f>IFERROR(INDEX(_自动清单!$O$4:$O$203,ROW()-3),"")</f>
        <v/>
      </c>
      <c r="C161" s="25" t="str">
        <f>IF(OR($B161="",_自动清单!$G$4=""),"",SUMIFS(包装物料出入库明细!$J$4:$J$2003,包装物料出入库明细!$D$4:$D$2003,$B161,包装物料出入库明细!$E$4:$E$2003,_自动清单!$G$4,包装物料出入库明细!$B$4:$B$2003,"&gt;="&amp;$AF$1,包装物料出入库明细!$B$4:$B$2003,"&lt;="&amp;$AF$2))</f>
        <v/>
      </c>
      <c r="D161" s="25" t="str">
        <f>IF(OR($B161="",_自动清单!$G$5=""),"",SUMIFS(包装物料出入库明细!$J$4:$J$2003,包装物料出入库明细!$D$4:$D$2003,$B161,包装物料出入库明细!$E$4:$E$2003,_自动清单!$G$5,包装物料出入库明细!$B$4:$B$2003,"&gt;="&amp;$AF$1,包装物料出入库明细!$B$4:$B$2003,"&lt;="&amp;$AF$2))</f>
        <v/>
      </c>
      <c r="E161" s="25" t="str">
        <f>IF(OR($B161="",_自动清单!$G$6=""),"",SUMIFS(包装物料出入库明细!$J$4:$J$2003,包装物料出入库明细!$D$4:$D$2003,$B161,包装物料出入库明细!$E$4:$E$2003,_自动清单!$G$6,包装物料出入库明细!$B$4:$B$2003,"&gt;="&amp;$AF$1,包装物料出入库明细!$B$4:$B$2003,"&lt;="&amp;$AF$2))</f>
        <v/>
      </c>
      <c r="F161" s="25" t="str">
        <f>IF(OR($B161="",_自动清单!$G$7=""),"",SUMIFS(包装物料出入库明细!$J$4:$J$2003,包装物料出入库明细!$D$4:$D$2003,$B161,包装物料出入库明细!$E$4:$E$2003,_自动清单!$G$7,包装物料出入库明细!$B$4:$B$2003,"&gt;="&amp;$AF$1,包装物料出入库明细!$B$4:$B$2003,"&lt;="&amp;$AF$2))</f>
        <v/>
      </c>
      <c r="G161" s="25" t="str">
        <f>IF(OR($B161="",_自动清单!$G$8=""),"",SUMIFS(包装物料出入库明细!$J$4:$J$2003,包装物料出入库明细!$D$4:$D$2003,$B161,包装物料出入库明细!$E$4:$E$2003,_自动清单!$G$8,包装物料出入库明细!$B$4:$B$2003,"&gt;="&amp;$AF$1,包装物料出入库明细!$B$4:$B$2003,"&lt;="&amp;$AF$2))</f>
        <v/>
      </c>
      <c r="H161" s="25" t="str">
        <f>IF(OR($B161="",_自动清单!$G$9=""),"",SUMIFS(包装物料出入库明细!$J$4:$J$2003,包装物料出入库明细!$D$4:$D$2003,$B161,包装物料出入库明细!$E$4:$E$2003,_自动清单!$G$9,包装物料出入库明细!$B$4:$B$2003,"&gt;="&amp;$AF$1,包装物料出入库明细!$B$4:$B$2003,"&lt;="&amp;$AF$2))</f>
        <v/>
      </c>
      <c r="I161" s="25" t="str">
        <f>IF(OR($B161="",_自动清单!$G$10=""),"",SUMIFS(包装物料出入库明细!$J$4:$J$2003,包装物料出入库明细!$D$4:$D$2003,$B161,包装物料出入库明细!$E$4:$E$2003,_自动清单!$G$10,包装物料出入库明细!$B$4:$B$2003,"&gt;="&amp;$AF$1,包装物料出入库明细!$B$4:$B$2003,"&lt;="&amp;$AF$2))</f>
        <v/>
      </c>
      <c r="J161" s="25" t="str">
        <f>IF(OR($B161="",_自动清单!$G$11=""),"",SUMIFS(包装物料出入库明细!$J$4:$J$2003,包装物料出入库明细!$D$4:$D$2003,$B161,包装物料出入库明细!$E$4:$E$2003,_自动清单!$G$11,包装物料出入库明细!$B$4:$B$2003,"&gt;="&amp;$AF$1,包装物料出入库明细!$B$4:$B$2003,"&lt;="&amp;$AF$2))</f>
        <v/>
      </c>
      <c r="K161" s="25" t="str">
        <f>IF(OR($B161="",_自动清单!$G$12=""),"",SUMIFS(包装物料出入库明细!$J$4:$J$2003,包装物料出入库明细!$D$4:$D$2003,$B161,包装物料出入库明细!$E$4:$E$2003,_自动清单!$G$12,包装物料出入库明细!$B$4:$B$2003,"&gt;="&amp;$AF$1,包装物料出入库明细!$B$4:$B$2003,"&lt;="&amp;$AF$2))</f>
        <v/>
      </c>
      <c r="L161" s="25" t="str">
        <f>IF(OR($B161="",_自动清单!$G$13=""),"",SUMIFS(包装物料出入库明细!$J$4:$J$2003,包装物料出入库明细!$D$4:$D$2003,$B161,包装物料出入库明细!$E$4:$E$2003,_自动清单!$G$13,包装物料出入库明细!$B$4:$B$2003,"&gt;="&amp;$AF$1,包装物料出入库明细!$B$4:$B$2003,"&lt;="&amp;$AF$2))</f>
        <v/>
      </c>
      <c r="M161" s="25" t="str">
        <f>IF(OR($B161="",_自动清单!$G$14=""),"",SUMIFS(包装物料出入库明细!$J$4:$J$2003,包装物料出入库明细!$D$4:$D$2003,$B161,包装物料出入库明细!$E$4:$E$2003,_自动清单!$G$14,包装物料出入库明细!$B$4:$B$2003,"&gt;="&amp;$AF$1,包装物料出入库明细!$B$4:$B$2003,"&lt;="&amp;$AF$2))</f>
        <v/>
      </c>
      <c r="N161" s="25" t="str">
        <f>IF(OR($B161="",_自动清单!$G$15=""),"",SUMIFS(包装物料出入库明细!$J$4:$J$2003,包装物料出入库明细!$D$4:$D$2003,$B161,包装物料出入库明细!$E$4:$E$2003,_自动清单!$G$15,包装物料出入库明细!$B$4:$B$2003,"&gt;="&amp;$AF$1,包装物料出入库明细!$B$4:$B$2003,"&lt;="&amp;$AF$2))</f>
        <v/>
      </c>
      <c r="O161" s="25" t="str">
        <f>IF(OR($B161="",_自动清单!$G$16=""),"",SUMIFS(包装物料出入库明细!$J$4:$J$2003,包装物料出入库明细!$D$4:$D$2003,$B161,包装物料出入库明细!$E$4:$E$2003,_自动清单!$G$16,包装物料出入库明细!$B$4:$B$2003,"&gt;="&amp;$AF$1,包装物料出入库明细!$B$4:$B$2003,"&lt;="&amp;$AF$2))</f>
        <v/>
      </c>
      <c r="P161" s="25" t="str">
        <f>IF(OR($B161="",_自动清单!$G$17=""),"",SUMIFS(包装物料出入库明细!$J$4:$J$2003,包装物料出入库明细!$D$4:$D$2003,$B161,包装物料出入库明细!$E$4:$E$2003,_自动清单!$G$17,包装物料出入库明细!$B$4:$B$2003,"&gt;="&amp;$AF$1,包装物料出入库明细!$B$4:$B$2003,"&lt;="&amp;$AF$2))</f>
        <v/>
      </c>
      <c r="Q161" s="25" t="str">
        <f>IF(OR($B161="",_自动清单!$G$18=""),"",SUMIFS(包装物料出入库明细!$J$4:$J$2003,包装物料出入库明细!$D$4:$D$2003,$B161,包装物料出入库明细!$E$4:$E$2003,_自动清单!$G$18,包装物料出入库明细!$B$4:$B$2003,"&gt;="&amp;$AF$1,包装物料出入库明细!$B$4:$B$2003,"&lt;="&amp;$AF$2))</f>
        <v/>
      </c>
      <c r="R161" s="25" t="str">
        <f>IF(OR($B161="",_自动清单!$G$19=""),"",SUMIFS(包装物料出入库明细!$J$4:$J$2003,包装物料出入库明细!$D$4:$D$2003,$B161,包装物料出入库明细!$E$4:$E$2003,_自动清单!$G$19,包装物料出入库明细!$B$4:$B$2003,"&gt;="&amp;$AF$1,包装物料出入库明细!$B$4:$B$2003,"&lt;="&amp;$AF$2))</f>
        <v/>
      </c>
      <c r="S161" s="25" t="str">
        <f>IF(OR($B161="",_自动清单!$G$20=""),"",SUMIFS(包装物料出入库明细!$J$4:$J$2003,包装物料出入库明细!$D$4:$D$2003,$B161,包装物料出入库明细!$E$4:$E$2003,_自动清单!$G$20,包装物料出入库明细!$B$4:$B$2003,"&gt;="&amp;$AF$1,包装物料出入库明细!$B$4:$B$2003,"&lt;="&amp;$AF$2))</f>
        <v/>
      </c>
      <c r="T161" s="25" t="str">
        <f>IF(OR($B161="",_自动清单!$G$21=""),"",SUMIFS(包装物料出入库明细!$J$4:$J$2003,包装物料出入库明细!$D$4:$D$2003,$B161,包装物料出入库明细!$E$4:$E$2003,_自动清单!$G$21,包装物料出入库明细!$B$4:$B$2003,"&gt;="&amp;$AF$1,包装物料出入库明细!$B$4:$B$2003,"&lt;="&amp;$AF$2))</f>
        <v/>
      </c>
      <c r="U161" s="25" t="str">
        <f>IF($B161="","",SUMIFS(包装物料出入库明细!$J$4:$J$2003,包装物料出入库明细!$D$4:$D$2003,$B161,包装物料出入库明细!$B$4:$B$2003,"&gt;="&amp;$AF$1,包装物料出入库明细!$B$4:$B$2003,"&lt;="&amp;$AF$2)-SUM($C161:$T161))</f>
        <v/>
      </c>
      <c r="V161" s="25" t="str">
        <f t="shared" si="9"/>
        <v/>
      </c>
      <c r="W161" s="56" t="str">
        <f>IF($B161="","",SUMIFS(包装物料出入库明细!$K$4:$K$2003,包装物料出入库明细!$D$4:$D$2003,$B161,包装物料出入库明细!$B$4:$B$2003,"&gt;="&amp;$AF$1,包装物料出入库明细!$B$4:$B$2003,"&lt;="&amp;$AF$2))</f>
        <v/>
      </c>
      <c r="X161" s="25" t="str">
        <f t="shared" si="10"/>
        <v/>
      </c>
      <c r="Y161" s="26" t="str">
        <f>IF($B161="","",ROUND(SUMIFS(包装物料出入库明细!$N$4:$N$2003,包装物料出入库明细!$D$4:$D$2003,$B161,包装物料出入库明细!$H$4:$H$2003,"销售出库",包装物料出入库明细!$B$4:$B$2003,"&gt;="&amp;$AF$1,包装物料出入库明细!$B$4:$B$2003,"&lt;="&amp;$AF$2),2))</f>
        <v/>
      </c>
      <c r="Z161" s="26" t="str">
        <f>IF($B161="","",ROUND(SUMIFS(包装物料出入库明细!$N$4:$N$2003,包装物料出入库明细!$D$4:$D$2003,$B161,包装物料出入库明细!$H$4:$H$2003,"销售出库",包装物料出入库明细!$P$4:$P$2003,"已收讫",包装物料出入库明细!$B$4:$B$2003,"&gt;="&amp;$AF$1,包装物料出入库明细!$B$4:$B$2003,"&lt;="&amp;$AF$2),2))</f>
        <v/>
      </c>
      <c r="AA161" s="26" t="str">
        <f t="shared" si="11"/>
        <v/>
      </c>
      <c r="AB161" s="41"/>
    </row>
    <row r="162" spans="1:28">
      <c r="A162" s="24" t="str">
        <f t="shared" si="8"/>
        <v/>
      </c>
      <c r="B162" s="24" t="str">
        <f>IFERROR(INDEX(_自动清单!$O$4:$O$203,ROW()-3),"")</f>
        <v/>
      </c>
      <c r="C162" s="25" t="str">
        <f>IF(OR($B162="",_自动清单!$G$4=""),"",SUMIFS(包装物料出入库明细!$J$4:$J$2003,包装物料出入库明细!$D$4:$D$2003,$B162,包装物料出入库明细!$E$4:$E$2003,_自动清单!$G$4,包装物料出入库明细!$B$4:$B$2003,"&gt;="&amp;$AF$1,包装物料出入库明细!$B$4:$B$2003,"&lt;="&amp;$AF$2))</f>
        <v/>
      </c>
      <c r="D162" s="25" t="str">
        <f>IF(OR($B162="",_自动清单!$G$5=""),"",SUMIFS(包装物料出入库明细!$J$4:$J$2003,包装物料出入库明细!$D$4:$D$2003,$B162,包装物料出入库明细!$E$4:$E$2003,_自动清单!$G$5,包装物料出入库明细!$B$4:$B$2003,"&gt;="&amp;$AF$1,包装物料出入库明细!$B$4:$B$2003,"&lt;="&amp;$AF$2))</f>
        <v/>
      </c>
      <c r="E162" s="25" t="str">
        <f>IF(OR($B162="",_自动清单!$G$6=""),"",SUMIFS(包装物料出入库明细!$J$4:$J$2003,包装物料出入库明细!$D$4:$D$2003,$B162,包装物料出入库明细!$E$4:$E$2003,_自动清单!$G$6,包装物料出入库明细!$B$4:$B$2003,"&gt;="&amp;$AF$1,包装物料出入库明细!$B$4:$B$2003,"&lt;="&amp;$AF$2))</f>
        <v/>
      </c>
      <c r="F162" s="25" t="str">
        <f>IF(OR($B162="",_自动清单!$G$7=""),"",SUMIFS(包装物料出入库明细!$J$4:$J$2003,包装物料出入库明细!$D$4:$D$2003,$B162,包装物料出入库明细!$E$4:$E$2003,_自动清单!$G$7,包装物料出入库明细!$B$4:$B$2003,"&gt;="&amp;$AF$1,包装物料出入库明细!$B$4:$B$2003,"&lt;="&amp;$AF$2))</f>
        <v/>
      </c>
      <c r="G162" s="25" t="str">
        <f>IF(OR($B162="",_自动清单!$G$8=""),"",SUMIFS(包装物料出入库明细!$J$4:$J$2003,包装物料出入库明细!$D$4:$D$2003,$B162,包装物料出入库明细!$E$4:$E$2003,_自动清单!$G$8,包装物料出入库明细!$B$4:$B$2003,"&gt;="&amp;$AF$1,包装物料出入库明细!$B$4:$B$2003,"&lt;="&amp;$AF$2))</f>
        <v/>
      </c>
      <c r="H162" s="25" t="str">
        <f>IF(OR($B162="",_自动清单!$G$9=""),"",SUMIFS(包装物料出入库明细!$J$4:$J$2003,包装物料出入库明细!$D$4:$D$2003,$B162,包装物料出入库明细!$E$4:$E$2003,_自动清单!$G$9,包装物料出入库明细!$B$4:$B$2003,"&gt;="&amp;$AF$1,包装物料出入库明细!$B$4:$B$2003,"&lt;="&amp;$AF$2))</f>
        <v/>
      </c>
      <c r="I162" s="25" t="str">
        <f>IF(OR($B162="",_自动清单!$G$10=""),"",SUMIFS(包装物料出入库明细!$J$4:$J$2003,包装物料出入库明细!$D$4:$D$2003,$B162,包装物料出入库明细!$E$4:$E$2003,_自动清单!$G$10,包装物料出入库明细!$B$4:$B$2003,"&gt;="&amp;$AF$1,包装物料出入库明细!$B$4:$B$2003,"&lt;="&amp;$AF$2))</f>
        <v/>
      </c>
      <c r="J162" s="25" t="str">
        <f>IF(OR($B162="",_自动清单!$G$11=""),"",SUMIFS(包装物料出入库明细!$J$4:$J$2003,包装物料出入库明细!$D$4:$D$2003,$B162,包装物料出入库明细!$E$4:$E$2003,_自动清单!$G$11,包装物料出入库明细!$B$4:$B$2003,"&gt;="&amp;$AF$1,包装物料出入库明细!$B$4:$B$2003,"&lt;="&amp;$AF$2))</f>
        <v/>
      </c>
      <c r="K162" s="25" t="str">
        <f>IF(OR($B162="",_自动清单!$G$12=""),"",SUMIFS(包装物料出入库明细!$J$4:$J$2003,包装物料出入库明细!$D$4:$D$2003,$B162,包装物料出入库明细!$E$4:$E$2003,_自动清单!$G$12,包装物料出入库明细!$B$4:$B$2003,"&gt;="&amp;$AF$1,包装物料出入库明细!$B$4:$B$2003,"&lt;="&amp;$AF$2))</f>
        <v/>
      </c>
      <c r="L162" s="25" t="str">
        <f>IF(OR($B162="",_自动清单!$G$13=""),"",SUMIFS(包装物料出入库明细!$J$4:$J$2003,包装物料出入库明细!$D$4:$D$2003,$B162,包装物料出入库明细!$E$4:$E$2003,_自动清单!$G$13,包装物料出入库明细!$B$4:$B$2003,"&gt;="&amp;$AF$1,包装物料出入库明细!$B$4:$B$2003,"&lt;="&amp;$AF$2))</f>
        <v/>
      </c>
      <c r="M162" s="25" t="str">
        <f>IF(OR($B162="",_自动清单!$G$14=""),"",SUMIFS(包装物料出入库明细!$J$4:$J$2003,包装物料出入库明细!$D$4:$D$2003,$B162,包装物料出入库明细!$E$4:$E$2003,_自动清单!$G$14,包装物料出入库明细!$B$4:$B$2003,"&gt;="&amp;$AF$1,包装物料出入库明细!$B$4:$B$2003,"&lt;="&amp;$AF$2))</f>
        <v/>
      </c>
      <c r="N162" s="25" t="str">
        <f>IF(OR($B162="",_自动清单!$G$15=""),"",SUMIFS(包装物料出入库明细!$J$4:$J$2003,包装物料出入库明细!$D$4:$D$2003,$B162,包装物料出入库明细!$E$4:$E$2003,_自动清单!$G$15,包装物料出入库明细!$B$4:$B$2003,"&gt;="&amp;$AF$1,包装物料出入库明细!$B$4:$B$2003,"&lt;="&amp;$AF$2))</f>
        <v/>
      </c>
      <c r="O162" s="25" t="str">
        <f>IF(OR($B162="",_自动清单!$G$16=""),"",SUMIFS(包装物料出入库明细!$J$4:$J$2003,包装物料出入库明细!$D$4:$D$2003,$B162,包装物料出入库明细!$E$4:$E$2003,_自动清单!$G$16,包装物料出入库明细!$B$4:$B$2003,"&gt;="&amp;$AF$1,包装物料出入库明细!$B$4:$B$2003,"&lt;="&amp;$AF$2))</f>
        <v/>
      </c>
      <c r="P162" s="25" t="str">
        <f>IF(OR($B162="",_自动清单!$G$17=""),"",SUMIFS(包装物料出入库明细!$J$4:$J$2003,包装物料出入库明细!$D$4:$D$2003,$B162,包装物料出入库明细!$E$4:$E$2003,_自动清单!$G$17,包装物料出入库明细!$B$4:$B$2003,"&gt;="&amp;$AF$1,包装物料出入库明细!$B$4:$B$2003,"&lt;="&amp;$AF$2))</f>
        <v/>
      </c>
      <c r="Q162" s="25" t="str">
        <f>IF(OR($B162="",_自动清单!$G$18=""),"",SUMIFS(包装物料出入库明细!$J$4:$J$2003,包装物料出入库明细!$D$4:$D$2003,$B162,包装物料出入库明细!$E$4:$E$2003,_自动清单!$G$18,包装物料出入库明细!$B$4:$B$2003,"&gt;="&amp;$AF$1,包装物料出入库明细!$B$4:$B$2003,"&lt;="&amp;$AF$2))</f>
        <v/>
      </c>
      <c r="R162" s="25" t="str">
        <f>IF(OR($B162="",_自动清单!$G$19=""),"",SUMIFS(包装物料出入库明细!$J$4:$J$2003,包装物料出入库明细!$D$4:$D$2003,$B162,包装物料出入库明细!$E$4:$E$2003,_自动清单!$G$19,包装物料出入库明细!$B$4:$B$2003,"&gt;="&amp;$AF$1,包装物料出入库明细!$B$4:$B$2003,"&lt;="&amp;$AF$2))</f>
        <v/>
      </c>
      <c r="S162" s="25" t="str">
        <f>IF(OR($B162="",_自动清单!$G$20=""),"",SUMIFS(包装物料出入库明细!$J$4:$J$2003,包装物料出入库明细!$D$4:$D$2003,$B162,包装物料出入库明细!$E$4:$E$2003,_自动清单!$G$20,包装物料出入库明细!$B$4:$B$2003,"&gt;="&amp;$AF$1,包装物料出入库明细!$B$4:$B$2003,"&lt;="&amp;$AF$2))</f>
        <v/>
      </c>
      <c r="T162" s="25" t="str">
        <f>IF(OR($B162="",_自动清单!$G$21=""),"",SUMIFS(包装物料出入库明细!$J$4:$J$2003,包装物料出入库明细!$D$4:$D$2003,$B162,包装物料出入库明细!$E$4:$E$2003,_自动清单!$G$21,包装物料出入库明细!$B$4:$B$2003,"&gt;="&amp;$AF$1,包装物料出入库明细!$B$4:$B$2003,"&lt;="&amp;$AF$2))</f>
        <v/>
      </c>
      <c r="U162" s="25" t="str">
        <f>IF($B162="","",SUMIFS(包装物料出入库明细!$J$4:$J$2003,包装物料出入库明细!$D$4:$D$2003,$B162,包装物料出入库明细!$B$4:$B$2003,"&gt;="&amp;$AF$1,包装物料出入库明细!$B$4:$B$2003,"&lt;="&amp;$AF$2)-SUM($C162:$T162))</f>
        <v/>
      </c>
      <c r="V162" s="25" t="str">
        <f t="shared" si="9"/>
        <v/>
      </c>
      <c r="W162" s="56" t="str">
        <f>IF($B162="","",SUMIFS(包装物料出入库明细!$K$4:$K$2003,包装物料出入库明细!$D$4:$D$2003,$B162,包装物料出入库明细!$B$4:$B$2003,"&gt;="&amp;$AF$1,包装物料出入库明细!$B$4:$B$2003,"&lt;="&amp;$AF$2))</f>
        <v/>
      </c>
      <c r="X162" s="25" t="str">
        <f t="shared" si="10"/>
        <v/>
      </c>
      <c r="Y162" s="26" t="str">
        <f>IF($B162="","",ROUND(SUMIFS(包装物料出入库明细!$N$4:$N$2003,包装物料出入库明细!$D$4:$D$2003,$B162,包装物料出入库明细!$H$4:$H$2003,"销售出库",包装物料出入库明细!$B$4:$B$2003,"&gt;="&amp;$AF$1,包装物料出入库明细!$B$4:$B$2003,"&lt;="&amp;$AF$2),2))</f>
        <v/>
      </c>
      <c r="Z162" s="26" t="str">
        <f>IF($B162="","",ROUND(SUMIFS(包装物料出入库明细!$N$4:$N$2003,包装物料出入库明细!$D$4:$D$2003,$B162,包装物料出入库明细!$H$4:$H$2003,"销售出库",包装物料出入库明细!$P$4:$P$2003,"已收讫",包装物料出入库明细!$B$4:$B$2003,"&gt;="&amp;$AF$1,包装物料出入库明细!$B$4:$B$2003,"&lt;="&amp;$AF$2),2))</f>
        <v/>
      </c>
      <c r="AA162" s="26" t="str">
        <f t="shared" si="11"/>
        <v/>
      </c>
      <c r="AB162" s="41"/>
    </row>
    <row r="163" spans="1:28">
      <c r="A163" s="24" t="str">
        <f t="shared" si="8"/>
        <v/>
      </c>
      <c r="B163" s="24" t="str">
        <f>IFERROR(INDEX(_自动清单!$O$4:$O$203,ROW()-3),"")</f>
        <v/>
      </c>
      <c r="C163" s="25" t="str">
        <f>IF(OR($B163="",_自动清单!$G$4=""),"",SUMIFS(包装物料出入库明细!$J$4:$J$2003,包装物料出入库明细!$D$4:$D$2003,$B163,包装物料出入库明细!$E$4:$E$2003,_自动清单!$G$4,包装物料出入库明细!$B$4:$B$2003,"&gt;="&amp;$AF$1,包装物料出入库明细!$B$4:$B$2003,"&lt;="&amp;$AF$2))</f>
        <v/>
      </c>
      <c r="D163" s="25" t="str">
        <f>IF(OR($B163="",_自动清单!$G$5=""),"",SUMIFS(包装物料出入库明细!$J$4:$J$2003,包装物料出入库明细!$D$4:$D$2003,$B163,包装物料出入库明细!$E$4:$E$2003,_自动清单!$G$5,包装物料出入库明细!$B$4:$B$2003,"&gt;="&amp;$AF$1,包装物料出入库明细!$B$4:$B$2003,"&lt;="&amp;$AF$2))</f>
        <v/>
      </c>
      <c r="E163" s="25" t="str">
        <f>IF(OR($B163="",_自动清单!$G$6=""),"",SUMIFS(包装物料出入库明细!$J$4:$J$2003,包装物料出入库明细!$D$4:$D$2003,$B163,包装物料出入库明细!$E$4:$E$2003,_自动清单!$G$6,包装物料出入库明细!$B$4:$B$2003,"&gt;="&amp;$AF$1,包装物料出入库明细!$B$4:$B$2003,"&lt;="&amp;$AF$2))</f>
        <v/>
      </c>
      <c r="F163" s="25" t="str">
        <f>IF(OR($B163="",_自动清单!$G$7=""),"",SUMIFS(包装物料出入库明细!$J$4:$J$2003,包装物料出入库明细!$D$4:$D$2003,$B163,包装物料出入库明细!$E$4:$E$2003,_自动清单!$G$7,包装物料出入库明细!$B$4:$B$2003,"&gt;="&amp;$AF$1,包装物料出入库明细!$B$4:$B$2003,"&lt;="&amp;$AF$2))</f>
        <v/>
      </c>
      <c r="G163" s="25" t="str">
        <f>IF(OR($B163="",_自动清单!$G$8=""),"",SUMIFS(包装物料出入库明细!$J$4:$J$2003,包装物料出入库明细!$D$4:$D$2003,$B163,包装物料出入库明细!$E$4:$E$2003,_自动清单!$G$8,包装物料出入库明细!$B$4:$B$2003,"&gt;="&amp;$AF$1,包装物料出入库明细!$B$4:$B$2003,"&lt;="&amp;$AF$2))</f>
        <v/>
      </c>
      <c r="H163" s="25" t="str">
        <f>IF(OR($B163="",_自动清单!$G$9=""),"",SUMIFS(包装物料出入库明细!$J$4:$J$2003,包装物料出入库明细!$D$4:$D$2003,$B163,包装物料出入库明细!$E$4:$E$2003,_自动清单!$G$9,包装物料出入库明细!$B$4:$B$2003,"&gt;="&amp;$AF$1,包装物料出入库明细!$B$4:$B$2003,"&lt;="&amp;$AF$2))</f>
        <v/>
      </c>
      <c r="I163" s="25" t="str">
        <f>IF(OR($B163="",_自动清单!$G$10=""),"",SUMIFS(包装物料出入库明细!$J$4:$J$2003,包装物料出入库明细!$D$4:$D$2003,$B163,包装物料出入库明细!$E$4:$E$2003,_自动清单!$G$10,包装物料出入库明细!$B$4:$B$2003,"&gt;="&amp;$AF$1,包装物料出入库明细!$B$4:$B$2003,"&lt;="&amp;$AF$2))</f>
        <v/>
      </c>
      <c r="J163" s="25" t="str">
        <f>IF(OR($B163="",_自动清单!$G$11=""),"",SUMIFS(包装物料出入库明细!$J$4:$J$2003,包装物料出入库明细!$D$4:$D$2003,$B163,包装物料出入库明细!$E$4:$E$2003,_自动清单!$G$11,包装物料出入库明细!$B$4:$B$2003,"&gt;="&amp;$AF$1,包装物料出入库明细!$B$4:$B$2003,"&lt;="&amp;$AF$2))</f>
        <v/>
      </c>
      <c r="K163" s="25" t="str">
        <f>IF(OR($B163="",_自动清单!$G$12=""),"",SUMIFS(包装物料出入库明细!$J$4:$J$2003,包装物料出入库明细!$D$4:$D$2003,$B163,包装物料出入库明细!$E$4:$E$2003,_自动清单!$G$12,包装物料出入库明细!$B$4:$B$2003,"&gt;="&amp;$AF$1,包装物料出入库明细!$B$4:$B$2003,"&lt;="&amp;$AF$2))</f>
        <v/>
      </c>
      <c r="L163" s="25" t="str">
        <f>IF(OR($B163="",_自动清单!$G$13=""),"",SUMIFS(包装物料出入库明细!$J$4:$J$2003,包装物料出入库明细!$D$4:$D$2003,$B163,包装物料出入库明细!$E$4:$E$2003,_自动清单!$G$13,包装物料出入库明细!$B$4:$B$2003,"&gt;="&amp;$AF$1,包装物料出入库明细!$B$4:$B$2003,"&lt;="&amp;$AF$2))</f>
        <v/>
      </c>
      <c r="M163" s="25" t="str">
        <f>IF(OR($B163="",_自动清单!$G$14=""),"",SUMIFS(包装物料出入库明细!$J$4:$J$2003,包装物料出入库明细!$D$4:$D$2003,$B163,包装物料出入库明细!$E$4:$E$2003,_自动清单!$G$14,包装物料出入库明细!$B$4:$B$2003,"&gt;="&amp;$AF$1,包装物料出入库明细!$B$4:$B$2003,"&lt;="&amp;$AF$2))</f>
        <v/>
      </c>
      <c r="N163" s="25" t="str">
        <f>IF(OR($B163="",_自动清单!$G$15=""),"",SUMIFS(包装物料出入库明细!$J$4:$J$2003,包装物料出入库明细!$D$4:$D$2003,$B163,包装物料出入库明细!$E$4:$E$2003,_自动清单!$G$15,包装物料出入库明细!$B$4:$B$2003,"&gt;="&amp;$AF$1,包装物料出入库明细!$B$4:$B$2003,"&lt;="&amp;$AF$2))</f>
        <v/>
      </c>
      <c r="O163" s="25" t="str">
        <f>IF(OR($B163="",_自动清单!$G$16=""),"",SUMIFS(包装物料出入库明细!$J$4:$J$2003,包装物料出入库明细!$D$4:$D$2003,$B163,包装物料出入库明细!$E$4:$E$2003,_自动清单!$G$16,包装物料出入库明细!$B$4:$B$2003,"&gt;="&amp;$AF$1,包装物料出入库明细!$B$4:$B$2003,"&lt;="&amp;$AF$2))</f>
        <v/>
      </c>
      <c r="P163" s="25" t="str">
        <f>IF(OR($B163="",_自动清单!$G$17=""),"",SUMIFS(包装物料出入库明细!$J$4:$J$2003,包装物料出入库明细!$D$4:$D$2003,$B163,包装物料出入库明细!$E$4:$E$2003,_自动清单!$G$17,包装物料出入库明细!$B$4:$B$2003,"&gt;="&amp;$AF$1,包装物料出入库明细!$B$4:$B$2003,"&lt;="&amp;$AF$2))</f>
        <v/>
      </c>
      <c r="Q163" s="25" t="str">
        <f>IF(OR($B163="",_自动清单!$G$18=""),"",SUMIFS(包装物料出入库明细!$J$4:$J$2003,包装物料出入库明细!$D$4:$D$2003,$B163,包装物料出入库明细!$E$4:$E$2003,_自动清单!$G$18,包装物料出入库明细!$B$4:$B$2003,"&gt;="&amp;$AF$1,包装物料出入库明细!$B$4:$B$2003,"&lt;="&amp;$AF$2))</f>
        <v/>
      </c>
      <c r="R163" s="25" t="str">
        <f>IF(OR($B163="",_自动清单!$G$19=""),"",SUMIFS(包装物料出入库明细!$J$4:$J$2003,包装物料出入库明细!$D$4:$D$2003,$B163,包装物料出入库明细!$E$4:$E$2003,_自动清单!$G$19,包装物料出入库明细!$B$4:$B$2003,"&gt;="&amp;$AF$1,包装物料出入库明细!$B$4:$B$2003,"&lt;="&amp;$AF$2))</f>
        <v/>
      </c>
      <c r="S163" s="25" t="str">
        <f>IF(OR($B163="",_自动清单!$G$20=""),"",SUMIFS(包装物料出入库明细!$J$4:$J$2003,包装物料出入库明细!$D$4:$D$2003,$B163,包装物料出入库明细!$E$4:$E$2003,_自动清单!$G$20,包装物料出入库明细!$B$4:$B$2003,"&gt;="&amp;$AF$1,包装物料出入库明细!$B$4:$B$2003,"&lt;="&amp;$AF$2))</f>
        <v/>
      </c>
      <c r="T163" s="25" t="str">
        <f>IF(OR($B163="",_自动清单!$G$21=""),"",SUMIFS(包装物料出入库明细!$J$4:$J$2003,包装物料出入库明细!$D$4:$D$2003,$B163,包装物料出入库明细!$E$4:$E$2003,_自动清单!$G$21,包装物料出入库明细!$B$4:$B$2003,"&gt;="&amp;$AF$1,包装物料出入库明细!$B$4:$B$2003,"&lt;="&amp;$AF$2))</f>
        <v/>
      </c>
      <c r="U163" s="25" t="str">
        <f>IF($B163="","",SUMIFS(包装物料出入库明细!$J$4:$J$2003,包装物料出入库明细!$D$4:$D$2003,$B163,包装物料出入库明细!$B$4:$B$2003,"&gt;="&amp;$AF$1,包装物料出入库明细!$B$4:$B$2003,"&lt;="&amp;$AF$2)-SUM($C163:$T163))</f>
        <v/>
      </c>
      <c r="V163" s="25" t="str">
        <f t="shared" si="9"/>
        <v/>
      </c>
      <c r="W163" s="56" t="str">
        <f>IF($B163="","",SUMIFS(包装物料出入库明细!$K$4:$K$2003,包装物料出入库明细!$D$4:$D$2003,$B163,包装物料出入库明细!$B$4:$B$2003,"&gt;="&amp;$AF$1,包装物料出入库明细!$B$4:$B$2003,"&lt;="&amp;$AF$2))</f>
        <v/>
      </c>
      <c r="X163" s="25" t="str">
        <f t="shared" si="10"/>
        <v/>
      </c>
      <c r="Y163" s="26" t="str">
        <f>IF($B163="","",ROUND(SUMIFS(包装物料出入库明细!$N$4:$N$2003,包装物料出入库明细!$D$4:$D$2003,$B163,包装物料出入库明细!$H$4:$H$2003,"销售出库",包装物料出入库明细!$B$4:$B$2003,"&gt;="&amp;$AF$1,包装物料出入库明细!$B$4:$B$2003,"&lt;="&amp;$AF$2),2))</f>
        <v/>
      </c>
      <c r="Z163" s="26" t="str">
        <f>IF($B163="","",ROUND(SUMIFS(包装物料出入库明细!$N$4:$N$2003,包装物料出入库明细!$D$4:$D$2003,$B163,包装物料出入库明细!$H$4:$H$2003,"销售出库",包装物料出入库明细!$P$4:$P$2003,"已收讫",包装物料出入库明细!$B$4:$B$2003,"&gt;="&amp;$AF$1,包装物料出入库明细!$B$4:$B$2003,"&lt;="&amp;$AF$2),2))</f>
        <v/>
      </c>
      <c r="AA163" s="26" t="str">
        <f t="shared" si="11"/>
        <v/>
      </c>
      <c r="AB163" s="41"/>
    </row>
    <row r="164" spans="1:28">
      <c r="A164" s="24" t="str">
        <f t="shared" si="8"/>
        <v/>
      </c>
      <c r="B164" s="24" t="str">
        <f>IFERROR(INDEX(_自动清单!$O$4:$O$203,ROW()-3),"")</f>
        <v/>
      </c>
      <c r="C164" s="25" t="str">
        <f>IF(OR($B164="",_自动清单!$G$4=""),"",SUMIFS(包装物料出入库明细!$J$4:$J$2003,包装物料出入库明细!$D$4:$D$2003,$B164,包装物料出入库明细!$E$4:$E$2003,_自动清单!$G$4,包装物料出入库明细!$B$4:$B$2003,"&gt;="&amp;$AF$1,包装物料出入库明细!$B$4:$B$2003,"&lt;="&amp;$AF$2))</f>
        <v/>
      </c>
      <c r="D164" s="25" t="str">
        <f>IF(OR($B164="",_自动清单!$G$5=""),"",SUMIFS(包装物料出入库明细!$J$4:$J$2003,包装物料出入库明细!$D$4:$D$2003,$B164,包装物料出入库明细!$E$4:$E$2003,_自动清单!$G$5,包装物料出入库明细!$B$4:$B$2003,"&gt;="&amp;$AF$1,包装物料出入库明细!$B$4:$B$2003,"&lt;="&amp;$AF$2))</f>
        <v/>
      </c>
      <c r="E164" s="25" t="str">
        <f>IF(OR($B164="",_自动清单!$G$6=""),"",SUMIFS(包装物料出入库明细!$J$4:$J$2003,包装物料出入库明细!$D$4:$D$2003,$B164,包装物料出入库明细!$E$4:$E$2003,_自动清单!$G$6,包装物料出入库明细!$B$4:$B$2003,"&gt;="&amp;$AF$1,包装物料出入库明细!$B$4:$B$2003,"&lt;="&amp;$AF$2))</f>
        <v/>
      </c>
      <c r="F164" s="25" t="str">
        <f>IF(OR($B164="",_自动清单!$G$7=""),"",SUMIFS(包装物料出入库明细!$J$4:$J$2003,包装物料出入库明细!$D$4:$D$2003,$B164,包装物料出入库明细!$E$4:$E$2003,_自动清单!$G$7,包装物料出入库明细!$B$4:$B$2003,"&gt;="&amp;$AF$1,包装物料出入库明细!$B$4:$B$2003,"&lt;="&amp;$AF$2))</f>
        <v/>
      </c>
      <c r="G164" s="25" t="str">
        <f>IF(OR($B164="",_自动清单!$G$8=""),"",SUMIFS(包装物料出入库明细!$J$4:$J$2003,包装物料出入库明细!$D$4:$D$2003,$B164,包装物料出入库明细!$E$4:$E$2003,_自动清单!$G$8,包装物料出入库明细!$B$4:$B$2003,"&gt;="&amp;$AF$1,包装物料出入库明细!$B$4:$B$2003,"&lt;="&amp;$AF$2))</f>
        <v/>
      </c>
      <c r="H164" s="25" t="str">
        <f>IF(OR($B164="",_自动清单!$G$9=""),"",SUMIFS(包装物料出入库明细!$J$4:$J$2003,包装物料出入库明细!$D$4:$D$2003,$B164,包装物料出入库明细!$E$4:$E$2003,_自动清单!$G$9,包装物料出入库明细!$B$4:$B$2003,"&gt;="&amp;$AF$1,包装物料出入库明细!$B$4:$B$2003,"&lt;="&amp;$AF$2))</f>
        <v/>
      </c>
      <c r="I164" s="25" t="str">
        <f>IF(OR($B164="",_自动清单!$G$10=""),"",SUMIFS(包装物料出入库明细!$J$4:$J$2003,包装物料出入库明细!$D$4:$D$2003,$B164,包装物料出入库明细!$E$4:$E$2003,_自动清单!$G$10,包装物料出入库明细!$B$4:$B$2003,"&gt;="&amp;$AF$1,包装物料出入库明细!$B$4:$B$2003,"&lt;="&amp;$AF$2))</f>
        <v/>
      </c>
      <c r="J164" s="25" t="str">
        <f>IF(OR($B164="",_自动清单!$G$11=""),"",SUMIFS(包装物料出入库明细!$J$4:$J$2003,包装物料出入库明细!$D$4:$D$2003,$B164,包装物料出入库明细!$E$4:$E$2003,_自动清单!$G$11,包装物料出入库明细!$B$4:$B$2003,"&gt;="&amp;$AF$1,包装物料出入库明细!$B$4:$B$2003,"&lt;="&amp;$AF$2))</f>
        <v/>
      </c>
      <c r="K164" s="25" t="str">
        <f>IF(OR($B164="",_自动清单!$G$12=""),"",SUMIFS(包装物料出入库明细!$J$4:$J$2003,包装物料出入库明细!$D$4:$D$2003,$B164,包装物料出入库明细!$E$4:$E$2003,_自动清单!$G$12,包装物料出入库明细!$B$4:$B$2003,"&gt;="&amp;$AF$1,包装物料出入库明细!$B$4:$B$2003,"&lt;="&amp;$AF$2))</f>
        <v/>
      </c>
      <c r="L164" s="25" t="str">
        <f>IF(OR($B164="",_自动清单!$G$13=""),"",SUMIFS(包装物料出入库明细!$J$4:$J$2003,包装物料出入库明细!$D$4:$D$2003,$B164,包装物料出入库明细!$E$4:$E$2003,_自动清单!$G$13,包装物料出入库明细!$B$4:$B$2003,"&gt;="&amp;$AF$1,包装物料出入库明细!$B$4:$B$2003,"&lt;="&amp;$AF$2))</f>
        <v/>
      </c>
      <c r="M164" s="25" t="str">
        <f>IF(OR($B164="",_自动清单!$G$14=""),"",SUMIFS(包装物料出入库明细!$J$4:$J$2003,包装物料出入库明细!$D$4:$D$2003,$B164,包装物料出入库明细!$E$4:$E$2003,_自动清单!$G$14,包装物料出入库明细!$B$4:$B$2003,"&gt;="&amp;$AF$1,包装物料出入库明细!$B$4:$B$2003,"&lt;="&amp;$AF$2))</f>
        <v/>
      </c>
      <c r="N164" s="25" t="str">
        <f>IF(OR($B164="",_自动清单!$G$15=""),"",SUMIFS(包装物料出入库明细!$J$4:$J$2003,包装物料出入库明细!$D$4:$D$2003,$B164,包装物料出入库明细!$E$4:$E$2003,_自动清单!$G$15,包装物料出入库明细!$B$4:$B$2003,"&gt;="&amp;$AF$1,包装物料出入库明细!$B$4:$B$2003,"&lt;="&amp;$AF$2))</f>
        <v/>
      </c>
      <c r="O164" s="25" t="str">
        <f>IF(OR($B164="",_自动清单!$G$16=""),"",SUMIFS(包装物料出入库明细!$J$4:$J$2003,包装物料出入库明细!$D$4:$D$2003,$B164,包装物料出入库明细!$E$4:$E$2003,_自动清单!$G$16,包装物料出入库明细!$B$4:$B$2003,"&gt;="&amp;$AF$1,包装物料出入库明细!$B$4:$B$2003,"&lt;="&amp;$AF$2))</f>
        <v/>
      </c>
      <c r="P164" s="25" t="str">
        <f>IF(OR($B164="",_自动清单!$G$17=""),"",SUMIFS(包装物料出入库明细!$J$4:$J$2003,包装物料出入库明细!$D$4:$D$2003,$B164,包装物料出入库明细!$E$4:$E$2003,_自动清单!$G$17,包装物料出入库明细!$B$4:$B$2003,"&gt;="&amp;$AF$1,包装物料出入库明细!$B$4:$B$2003,"&lt;="&amp;$AF$2))</f>
        <v/>
      </c>
      <c r="Q164" s="25" t="str">
        <f>IF(OR($B164="",_自动清单!$G$18=""),"",SUMIFS(包装物料出入库明细!$J$4:$J$2003,包装物料出入库明细!$D$4:$D$2003,$B164,包装物料出入库明细!$E$4:$E$2003,_自动清单!$G$18,包装物料出入库明细!$B$4:$B$2003,"&gt;="&amp;$AF$1,包装物料出入库明细!$B$4:$B$2003,"&lt;="&amp;$AF$2))</f>
        <v/>
      </c>
      <c r="R164" s="25" t="str">
        <f>IF(OR($B164="",_自动清单!$G$19=""),"",SUMIFS(包装物料出入库明细!$J$4:$J$2003,包装物料出入库明细!$D$4:$D$2003,$B164,包装物料出入库明细!$E$4:$E$2003,_自动清单!$G$19,包装物料出入库明细!$B$4:$B$2003,"&gt;="&amp;$AF$1,包装物料出入库明细!$B$4:$B$2003,"&lt;="&amp;$AF$2))</f>
        <v/>
      </c>
      <c r="S164" s="25" t="str">
        <f>IF(OR($B164="",_自动清单!$G$20=""),"",SUMIFS(包装物料出入库明细!$J$4:$J$2003,包装物料出入库明细!$D$4:$D$2003,$B164,包装物料出入库明细!$E$4:$E$2003,_自动清单!$G$20,包装物料出入库明细!$B$4:$B$2003,"&gt;="&amp;$AF$1,包装物料出入库明细!$B$4:$B$2003,"&lt;="&amp;$AF$2))</f>
        <v/>
      </c>
      <c r="T164" s="25" t="str">
        <f>IF(OR($B164="",_自动清单!$G$21=""),"",SUMIFS(包装物料出入库明细!$J$4:$J$2003,包装物料出入库明细!$D$4:$D$2003,$B164,包装物料出入库明细!$E$4:$E$2003,_自动清单!$G$21,包装物料出入库明细!$B$4:$B$2003,"&gt;="&amp;$AF$1,包装物料出入库明细!$B$4:$B$2003,"&lt;="&amp;$AF$2))</f>
        <v/>
      </c>
      <c r="U164" s="25" t="str">
        <f>IF($B164="","",SUMIFS(包装物料出入库明细!$J$4:$J$2003,包装物料出入库明细!$D$4:$D$2003,$B164,包装物料出入库明细!$B$4:$B$2003,"&gt;="&amp;$AF$1,包装物料出入库明细!$B$4:$B$2003,"&lt;="&amp;$AF$2)-SUM($C164:$T164))</f>
        <v/>
      </c>
      <c r="V164" s="25" t="str">
        <f t="shared" si="9"/>
        <v/>
      </c>
      <c r="W164" s="56" t="str">
        <f>IF($B164="","",SUMIFS(包装物料出入库明细!$K$4:$K$2003,包装物料出入库明细!$D$4:$D$2003,$B164,包装物料出入库明细!$B$4:$B$2003,"&gt;="&amp;$AF$1,包装物料出入库明细!$B$4:$B$2003,"&lt;="&amp;$AF$2))</f>
        <v/>
      </c>
      <c r="X164" s="25" t="str">
        <f t="shared" si="10"/>
        <v/>
      </c>
      <c r="Y164" s="26" t="str">
        <f>IF($B164="","",ROUND(SUMIFS(包装物料出入库明细!$N$4:$N$2003,包装物料出入库明细!$D$4:$D$2003,$B164,包装物料出入库明细!$H$4:$H$2003,"销售出库",包装物料出入库明细!$B$4:$B$2003,"&gt;="&amp;$AF$1,包装物料出入库明细!$B$4:$B$2003,"&lt;="&amp;$AF$2),2))</f>
        <v/>
      </c>
      <c r="Z164" s="26" t="str">
        <f>IF($B164="","",ROUND(SUMIFS(包装物料出入库明细!$N$4:$N$2003,包装物料出入库明细!$D$4:$D$2003,$B164,包装物料出入库明细!$H$4:$H$2003,"销售出库",包装物料出入库明细!$P$4:$P$2003,"已收讫",包装物料出入库明细!$B$4:$B$2003,"&gt;="&amp;$AF$1,包装物料出入库明细!$B$4:$B$2003,"&lt;="&amp;$AF$2),2))</f>
        <v/>
      </c>
      <c r="AA164" s="26" t="str">
        <f t="shared" si="11"/>
        <v/>
      </c>
      <c r="AB164" s="41"/>
    </row>
    <row r="165" spans="1:28">
      <c r="A165" s="24" t="str">
        <f t="shared" si="8"/>
        <v/>
      </c>
      <c r="B165" s="24" t="str">
        <f>IFERROR(INDEX(_自动清单!$O$4:$O$203,ROW()-3),"")</f>
        <v/>
      </c>
      <c r="C165" s="25" t="str">
        <f>IF(OR($B165="",_自动清单!$G$4=""),"",SUMIFS(包装物料出入库明细!$J$4:$J$2003,包装物料出入库明细!$D$4:$D$2003,$B165,包装物料出入库明细!$E$4:$E$2003,_自动清单!$G$4,包装物料出入库明细!$B$4:$B$2003,"&gt;="&amp;$AF$1,包装物料出入库明细!$B$4:$B$2003,"&lt;="&amp;$AF$2))</f>
        <v/>
      </c>
      <c r="D165" s="25" t="str">
        <f>IF(OR($B165="",_自动清单!$G$5=""),"",SUMIFS(包装物料出入库明细!$J$4:$J$2003,包装物料出入库明细!$D$4:$D$2003,$B165,包装物料出入库明细!$E$4:$E$2003,_自动清单!$G$5,包装物料出入库明细!$B$4:$B$2003,"&gt;="&amp;$AF$1,包装物料出入库明细!$B$4:$B$2003,"&lt;="&amp;$AF$2))</f>
        <v/>
      </c>
      <c r="E165" s="25" t="str">
        <f>IF(OR($B165="",_自动清单!$G$6=""),"",SUMIFS(包装物料出入库明细!$J$4:$J$2003,包装物料出入库明细!$D$4:$D$2003,$B165,包装物料出入库明细!$E$4:$E$2003,_自动清单!$G$6,包装物料出入库明细!$B$4:$B$2003,"&gt;="&amp;$AF$1,包装物料出入库明细!$B$4:$B$2003,"&lt;="&amp;$AF$2))</f>
        <v/>
      </c>
      <c r="F165" s="25" t="str">
        <f>IF(OR($B165="",_自动清单!$G$7=""),"",SUMIFS(包装物料出入库明细!$J$4:$J$2003,包装物料出入库明细!$D$4:$D$2003,$B165,包装物料出入库明细!$E$4:$E$2003,_自动清单!$G$7,包装物料出入库明细!$B$4:$B$2003,"&gt;="&amp;$AF$1,包装物料出入库明细!$B$4:$B$2003,"&lt;="&amp;$AF$2))</f>
        <v/>
      </c>
      <c r="G165" s="25" t="str">
        <f>IF(OR($B165="",_自动清单!$G$8=""),"",SUMIFS(包装物料出入库明细!$J$4:$J$2003,包装物料出入库明细!$D$4:$D$2003,$B165,包装物料出入库明细!$E$4:$E$2003,_自动清单!$G$8,包装物料出入库明细!$B$4:$B$2003,"&gt;="&amp;$AF$1,包装物料出入库明细!$B$4:$B$2003,"&lt;="&amp;$AF$2))</f>
        <v/>
      </c>
      <c r="H165" s="25" t="str">
        <f>IF(OR($B165="",_自动清单!$G$9=""),"",SUMIFS(包装物料出入库明细!$J$4:$J$2003,包装物料出入库明细!$D$4:$D$2003,$B165,包装物料出入库明细!$E$4:$E$2003,_自动清单!$G$9,包装物料出入库明细!$B$4:$B$2003,"&gt;="&amp;$AF$1,包装物料出入库明细!$B$4:$B$2003,"&lt;="&amp;$AF$2))</f>
        <v/>
      </c>
      <c r="I165" s="25" t="str">
        <f>IF(OR($B165="",_自动清单!$G$10=""),"",SUMIFS(包装物料出入库明细!$J$4:$J$2003,包装物料出入库明细!$D$4:$D$2003,$B165,包装物料出入库明细!$E$4:$E$2003,_自动清单!$G$10,包装物料出入库明细!$B$4:$B$2003,"&gt;="&amp;$AF$1,包装物料出入库明细!$B$4:$B$2003,"&lt;="&amp;$AF$2))</f>
        <v/>
      </c>
      <c r="J165" s="25" t="str">
        <f>IF(OR($B165="",_自动清单!$G$11=""),"",SUMIFS(包装物料出入库明细!$J$4:$J$2003,包装物料出入库明细!$D$4:$D$2003,$B165,包装物料出入库明细!$E$4:$E$2003,_自动清单!$G$11,包装物料出入库明细!$B$4:$B$2003,"&gt;="&amp;$AF$1,包装物料出入库明细!$B$4:$B$2003,"&lt;="&amp;$AF$2))</f>
        <v/>
      </c>
      <c r="K165" s="25" t="str">
        <f>IF(OR($B165="",_自动清单!$G$12=""),"",SUMIFS(包装物料出入库明细!$J$4:$J$2003,包装物料出入库明细!$D$4:$D$2003,$B165,包装物料出入库明细!$E$4:$E$2003,_自动清单!$G$12,包装物料出入库明细!$B$4:$B$2003,"&gt;="&amp;$AF$1,包装物料出入库明细!$B$4:$B$2003,"&lt;="&amp;$AF$2))</f>
        <v/>
      </c>
      <c r="L165" s="25" t="str">
        <f>IF(OR($B165="",_自动清单!$G$13=""),"",SUMIFS(包装物料出入库明细!$J$4:$J$2003,包装物料出入库明细!$D$4:$D$2003,$B165,包装物料出入库明细!$E$4:$E$2003,_自动清单!$G$13,包装物料出入库明细!$B$4:$B$2003,"&gt;="&amp;$AF$1,包装物料出入库明细!$B$4:$B$2003,"&lt;="&amp;$AF$2))</f>
        <v/>
      </c>
      <c r="M165" s="25" t="str">
        <f>IF(OR($B165="",_自动清单!$G$14=""),"",SUMIFS(包装物料出入库明细!$J$4:$J$2003,包装物料出入库明细!$D$4:$D$2003,$B165,包装物料出入库明细!$E$4:$E$2003,_自动清单!$G$14,包装物料出入库明细!$B$4:$B$2003,"&gt;="&amp;$AF$1,包装物料出入库明细!$B$4:$B$2003,"&lt;="&amp;$AF$2))</f>
        <v/>
      </c>
      <c r="N165" s="25" t="str">
        <f>IF(OR($B165="",_自动清单!$G$15=""),"",SUMIFS(包装物料出入库明细!$J$4:$J$2003,包装物料出入库明细!$D$4:$D$2003,$B165,包装物料出入库明细!$E$4:$E$2003,_自动清单!$G$15,包装物料出入库明细!$B$4:$B$2003,"&gt;="&amp;$AF$1,包装物料出入库明细!$B$4:$B$2003,"&lt;="&amp;$AF$2))</f>
        <v/>
      </c>
      <c r="O165" s="25" t="str">
        <f>IF(OR($B165="",_自动清单!$G$16=""),"",SUMIFS(包装物料出入库明细!$J$4:$J$2003,包装物料出入库明细!$D$4:$D$2003,$B165,包装物料出入库明细!$E$4:$E$2003,_自动清单!$G$16,包装物料出入库明细!$B$4:$B$2003,"&gt;="&amp;$AF$1,包装物料出入库明细!$B$4:$B$2003,"&lt;="&amp;$AF$2))</f>
        <v/>
      </c>
      <c r="P165" s="25" t="str">
        <f>IF(OR($B165="",_自动清单!$G$17=""),"",SUMIFS(包装物料出入库明细!$J$4:$J$2003,包装物料出入库明细!$D$4:$D$2003,$B165,包装物料出入库明细!$E$4:$E$2003,_自动清单!$G$17,包装物料出入库明细!$B$4:$B$2003,"&gt;="&amp;$AF$1,包装物料出入库明细!$B$4:$B$2003,"&lt;="&amp;$AF$2))</f>
        <v/>
      </c>
      <c r="Q165" s="25" t="str">
        <f>IF(OR($B165="",_自动清单!$G$18=""),"",SUMIFS(包装物料出入库明细!$J$4:$J$2003,包装物料出入库明细!$D$4:$D$2003,$B165,包装物料出入库明细!$E$4:$E$2003,_自动清单!$G$18,包装物料出入库明细!$B$4:$B$2003,"&gt;="&amp;$AF$1,包装物料出入库明细!$B$4:$B$2003,"&lt;="&amp;$AF$2))</f>
        <v/>
      </c>
      <c r="R165" s="25" t="str">
        <f>IF(OR($B165="",_自动清单!$G$19=""),"",SUMIFS(包装物料出入库明细!$J$4:$J$2003,包装物料出入库明细!$D$4:$D$2003,$B165,包装物料出入库明细!$E$4:$E$2003,_自动清单!$G$19,包装物料出入库明细!$B$4:$B$2003,"&gt;="&amp;$AF$1,包装物料出入库明细!$B$4:$B$2003,"&lt;="&amp;$AF$2))</f>
        <v/>
      </c>
      <c r="S165" s="25" t="str">
        <f>IF(OR($B165="",_自动清单!$G$20=""),"",SUMIFS(包装物料出入库明细!$J$4:$J$2003,包装物料出入库明细!$D$4:$D$2003,$B165,包装物料出入库明细!$E$4:$E$2003,_自动清单!$G$20,包装物料出入库明细!$B$4:$B$2003,"&gt;="&amp;$AF$1,包装物料出入库明细!$B$4:$B$2003,"&lt;="&amp;$AF$2))</f>
        <v/>
      </c>
      <c r="T165" s="25" t="str">
        <f>IF(OR($B165="",_自动清单!$G$21=""),"",SUMIFS(包装物料出入库明细!$J$4:$J$2003,包装物料出入库明细!$D$4:$D$2003,$B165,包装物料出入库明细!$E$4:$E$2003,_自动清单!$G$21,包装物料出入库明细!$B$4:$B$2003,"&gt;="&amp;$AF$1,包装物料出入库明细!$B$4:$B$2003,"&lt;="&amp;$AF$2))</f>
        <v/>
      </c>
      <c r="U165" s="25" t="str">
        <f>IF($B165="","",SUMIFS(包装物料出入库明细!$J$4:$J$2003,包装物料出入库明细!$D$4:$D$2003,$B165,包装物料出入库明细!$B$4:$B$2003,"&gt;="&amp;$AF$1,包装物料出入库明细!$B$4:$B$2003,"&lt;="&amp;$AF$2)-SUM($C165:$T165))</f>
        <v/>
      </c>
      <c r="V165" s="25" t="str">
        <f t="shared" si="9"/>
        <v/>
      </c>
      <c r="W165" s="56" t="str">
        <f>IF($B165="","",SUMIFS(包装物料出入库明细!$K$4:$K$2003,包装物料出入库明细!$D$4:$D$2003,$B165,包装物料出入库明细!$B$4:$B$2003,"&gt;="&amp;$AF$1,包装物料出入库明细!$B$4:$B$2003,"&lt;="&amp;$AF$2))</f>
        <v/>
      </c>
      <c r="X165" s="25" t="str">
        <f t="shared" si="10"/>
        <v/>
      </c>
      <c r="Y165" s="26" t="str">
        <f>IF($B165="","",ROUND(SUMIFS(包装物料出入库明细!$N$4:$N$2003,包装物料出入库明细!$D$4:$D$2003,$B165,包装物料出入库明细!$H$4:$H$2003,"销售出库",包装物料出入库明细!$B$4:$B$2003,"&gt;="&amp;$AF$1,包装物料出入库明细!$B$4:$B$2003,"&lt;="&amp;$AF$2),2))</f>
        <v/>
      </c>
      <c r="Z165" s="26" t="str">
        <f>IF($B165="","",ROUND(SUMIFS(包装物料出入库明细!$N$4:$N$2003,包装物料出入库明细!$D$4:$D$2003,$B165,包装物料出入库明细!$H$4:$H$2003,"销售出库",包装物料出入库明细!$P$4:$P$2003,"已收讫",包装物料出入库明细!$B$4:$B$2003,"&gt;="&amp;$AF$1,包装物料出入库明细!$B$4:$B$2003,"&lt;="&amp;$AF$2),2))</f>
        <v/>
      </c>
      <c r="AA165" s="26" t="str">
        <f t="shared" si="11"/>
        <v/>
      </c>
      <c r="AB165" s="41"/>
    </row>
    <row r="166" spans="1:28">
      <c r="A166" s="24" t="str">
        <f t="shared" si="8"/>
        <v/>
      </c>
      <c r="B166" s="24" t="str">
        <f>IFERROR(INDEX(_自动清单!$O$4:$O$203,ROW()-3),"")</f>
        <v/>
      </c>
      <c r="C166" s="25" t="str">
        <f>IF(OR($B166="",_自动清单!$G$4=""),"",SUMIFS(包装物料出入库明细!$J$4:$J$2003,包装物料出入库明细!$D$4:$D$2003,$B166,包装物料出入库明细!$E$4:$E$2003,_自动清单!$G$4,包装物料出入库明细!$B$4:$B$2003,"&gt;="&amp;$AF$1,包装物料出入库明细!$B$4:$B$2003,"&lt;="&amp;$AF$2))</f>
        <v/>
      </c>
      <c r="D166" s="25" t="str">
        <f>IF(OR($B166="",_自动清单!$G$5=""),"",SUMIFS(包装物料出入库明细!$J$4:$J$2003,包装物料出入库明细!$D$4:$D$2003,$B166,包装物料出入库明细!$E$4:$E$2003,_自动清单!$G$5,包装物料出入库明细!$B$4:$B$2003,"&gt;="&amp;$AF$1,包装物料出入库明细!$B$4:$B$2003,"&lt;="&amp;$AF$2))</f>
        <v/>
      </c>
      <c r="E166" s="25" t="str">
        <f>IF(OR($B166="",_自动清单!$G$6=""),"",SUMIFS(包装物料出入库明细!$J$4:$J$2003,包装物料出入库明细!$D$4:$D$2003,$B166,包装物料出入库明细!$E$4:$E$2003,_自动清单!$G$6,包装物料出入库明细!$B$4:$B$2003,"&gt;="&amp;$AF$1,包装物料出入库明细!$B$4:$B$2003,"&lt;="&amp;$AF$2))</f>
        <v/>
      </c>
      <c r="F166" s="25" t="str">
        <f>IF(OR($B166="",_自动清单!$G$7=""),"",SUMIFS(包装物料出入库明细!$J$4:$J$2003,包装物料出入库明细!$D$4:$D$2003,$B166,包装物料出入库明细!$E$4:$E$2003,_自动清单!$G$7,包装物料出入库明细!$B$4:$B$2003,"&gt;="&amp;$AF$1,包装物料出入库明细!$B$4:$B$2003,"&lt;="&amp;$AF$2))</f>
        <v/>
      </c>
      <c r="G166" s="25" t="str">
        <f>IF(OR($B166="",_自动清单!$G$8=""),"",SUMIFS(包装物料出入库明细!$J$4:$J$2003,包装物料出入库明细!$D$4:$D$2003,$B166,包装物料出入库明细!$E$4:$E$2003,_自动清单!$G$8,包装物料出入库明细!$B$4:$B$2003,"&gt;="&amp;$AF$1,包装物料出入库明细!$B$4:$B$2003,"&lt;="&amp;$AF$2))</f>
        <v/>
      </c>
      <c r="H166" s="25" t="str">
        <f>IF(OR($B166="",_自动清单!$G$9=""),"",SUMIFS(包装物料出入库明细!$J$4:$J$2003,包装物料出入库明细!$D$4:$D$2003,$B166,包装物料出入库明细!$E$4:$E$2003,_自动清单!$G$9,包装物料出入库明细!$B$4:$B$2003,"&gt;="&amp;$AF$1,包装物料出入库明细!$B$4:$B$2003,"&lt;="&amp;$AF$2))</f>
        <v/>
      </c>
      <c r="I166" s="25" t="str">
        <f>IF(OR($B166="",_自动清单!$G$10=""),"",SUMIFS(包装物料出入库明细!$J$4:$J$2003,包装物料出入库明细!$D$4:$D$2003,$B166,包装物料出入库明细!$E$4:$E$2003,_自动清单!$G$10,包装物料出入库明细!$B$4:$B$2003,"&gt;="&amp;$AF$1,包装物料出入库明细!$B$4:$B$2003,"&lt;="&amp;$AF$2))</f>
        <v/>
      </c>
      <c r="J166" s="25" t="str">
        <f>IF(OR($B166="",_自动清单!$G$11=""),"",SUMIFS(包装物料出入库明细!$J$4:$J$2003,包装物料出入库明细!$D$4:$D$2003,$B166,包装物料出入库明细!$E$4:$E$2003,_自动清单!$G$11,包装物料出入库明细!$B$4:$B$2003,"&gt;="&amp;$AF$1,包装物料出入库明细!$B$4:$B$2003,"&lt;="&amp;$AF$2))</f>
        <v/>
      </c>
      <c r="K166" s="25" t="str">
        <f>IF(OR($B166="",_自动清单!$G$12=""),"",SUMIFS(包装物料出入库明细!$J$4:$J$2003,包装物料出入库明细!$D$4:$D$2003,$B166,包装物料出入库明细!$E$4:$E$2003,_自动清单!$G$12,包装物料出入库明细!$B$4:$B$2003,"&gt;="&amp;$AF$1,包装物料出入库明细!$B$4:$B$2003,"&lt;="&amp;$AF$2))</f>
        <v/>
      </c>
      <c r="L166" s="25" t="str">
        <f>IF(OR($B166="",_自动清单!$G$13=""),"",SUMIFS(包装物料出入库明细!$J$4:$J$2003,包装物料出入库明细!$D$4:$D$2003,$B166,包装物料出入库明细!$E$4:$E$2003,_自动清单!$G$13,包装物料出入库明细!$B$4:$B$2003,"&gt;="&amp;$AF$1,包装物料出入库明细!$B$4:$B$2003,"&lt;="&amp;$AF$2))</f>
        <v/>
      </c>
      <c r="M166" s="25" t="str">
        <f>IF(OR($B166="",_自动清单!$G$14=""),"",SUMIFS(包装物料出入库明细!$J$4:$J$2003,包装物料出入库明细!$D$4:$D$2003,$B166,包装物料出入库明细!$E$4:$E$2003,_自动清单!$G$14,包装物料出入库明细!$B$4:$B$2003,"&gt;="&amp;$AF$1,包装物料出入库明细!$B$4:$B$2003,"&lt;="&amp;$AF$2))</f>
        <v/>
      </c>
      <c r="N166" s="25" t="str">
        <f>IF(OR($B166="",_自动清单!$G$15=""),"",SUMIFS(包装物料出入库明细!$J$4:$J$2003,包装物料出入库明细!$D$4:$D$2003,$B166,包装物料出入库明细!$E$4:$E$2003,_自动清单!$G$15,包装物料出入库明细!$B$4:$B$2003,"&gt;="&amp;$AF$1,包装物料出入库明细!$B$4:$B$2003,"&lt;="&amp;$AF$2))</f>
        <v/>
      </c>
      <c r="O166" s="25" t="str">
        <f>IF(OR($B166="",_自动清单!$G$16=""),"",SUMIFS(包装物料出入库明细!$J$4:$J$2003,包装物料出入库明细!$D$4:$D$2003,$B166,包装物料出入库明细!$E$4:$E$2003,_自动清单!$G$16,包装物料出入库明细!$B$4:$B$2003,"&gt;="&amp;$AF$1,包装物料出入库明细!$B$4:$B$2003,"&lt;="&amp;$AF$2))</f>
        <v/>
      </c>
      <c r="P166" s="25" t="str">
        <f>IF(OR($B166="",_自动清单!$G$17=""),"",SUMIFS(包装物料出入库明细!$J$4:$J$2003,包装物料出入库明细!$D$4:$D$2003,$B166,包装物料出入库明细!$E$4:$E$2003,_自动清单!$G$17,包装物料出入库明细!$B$4:$B$2003,"&gt;="&amp;$AF$1,包装物料出入库明细!$B$4:$B$2003,"&lt;="&amp;$AF$2))</f>
        <v/>
      </c>
      <c r="Q166" s="25" t="str">
        <f>IF(OR($B166="",_自动清单!$G$18=""),"",SUMIFS(包装物料出入库明细!$J$4:$J$2003,包装物料出入库明细!$D$4:$D$2003,$B166,包装物料出入库明细!$E$4:$E$2003,_自动清单!$G$18,包装物料出入库明细!$B$4:$B$2003,"&gt;="&amp;$AF$1,包装物料出入库明细!$B$4:$B$2003,"&lt;="&amp;$AF$2))</f>
        <v/>
      </c>
      <c r="R166" s="25" t="str">
        <f>IF(OR($B166="",_自动清单!$G$19=""),"",SUMIFS(包装物料出入库明细!$J$4:$J$2003,包装物料出入库明细!$D$4:$D$2003,$B166,包装物料出入库明细!$E$4:$E$2003,_自动清单!$G$19,包装物料出入库明细!$B$4:$B$2003,"&gt;="&amp;$AF$1,包装物料出入库明细!$B$4:$B$2003,"&lt;="&amp;$AF$2))</f>
        <v/>
      </c>
      <c r="S166" s="25" t="str">
        <f>IF(OR($B166="",_自动清单!$G$20=""),"",SUMIFS(包装物料出入库明细!$J$4:$J$2003,包装物料出入库明细!$D$4:$D$2003,$B166,包装物料出入库明细!$E$4:$E$2003,_自动清单!$G$20,包装物料出入库明细!$B$4:$B$2003,"&gt;="&amp;$AF$1,包装物料出入库明细!$B$4:$B$2003,"&lt;="&amp;$AF$2))</f>
        <v/>
      </c>
      <c r="T166" s="25" t="str">
        <f>IF(OR($B166="",_自动清单!$G$21=""),"",SUMIFS(包装物料出入库明细!$J$4:$J$2003,包装物料出入库明细!$D$4:$D$2003,$B166,包装物料出入库明细!$E$4:$E$2003,_自动清单!$G$21,包装物料出入库明细!$B$4:$B$2003,"&gt;="&amp;$AF$1,包装物料出入库明细!$B$4:$B$2003,"&lt;="&amp;$AF$2))</f>
        <v/>
      </c>
      <c r="U166" s="25" t="str">
        <f>IF($B166="","",SUMIFS(包装物料出入库明细!$J$4:$J$2003,包装物料出入库明细!$D$4:$D$2003,$B166,包装物料出入库明细!$B$4:$B$2003,"&gt;="&amp;$AF$1,包装物料出入库明细!$B$4:$B$2003,"&lt;="&amp;$AF$2)-SUM($C166:$T166))</f>
        <v/>
      </c>
      <c r="V166" s="25" t="str">
        <f t="shared" si="9"/>
        <v/>
      </c>
      <c r="W166" s="56" t="str">
        <f>IF($B166="","",SUMIFS(包装物料出入库明细!$K$4:$K$2003,包装物料出入库明细!$D$4:$D$2003,$B166,包装物料出入库明细!$B$4:$B$2003,"&gt;="&amp;$AF$1,包装物料出入库明细!$B$4:$B$2003,"&lt;="&amp;$AF$2))</f>
        <v/>
      </c>
      <c r="X166" s="25" t="str">
        <f t="shared" si="10"/>
        <v/>
      </c>
      <c r="Y166" s="26" t="str">
        <f>IF($B166="","",ROUND(SUMIFS(包装物料出入库明细!$N$4:$N$2003,包装物料出入库明细!$D$4:$D$2003,$B166,包装物料出入库明细!$H$4:$H$2003,"销售出库",包装物料出入库明细!$B$4:$B$2003,"&gt;="&amp;$AF$1,包装物料出入库明细!$B$4:$B$2003,"&lt;="&amp;$AF$2),2))</f>
        <v/>
      </c>
      <c r="Z166" s="26" t="str">
        <f>IF($B166="","",ROUND(SUMIFS(包装物料出入库明细!$N$4:$N$2003,包装物料出入库明细!$D$4:$D$2003,$B166,包装物料出入库明细!$H$4:$H$2003,"销售出库",包装物料出入库明细!$P$4:$P$2003,"已收讫",包装物料出入库明细!$B$4:$B$2003,"&gt;="&amp;$AF$1,包装物料出入库明细!$B$4:$B$2003,"&lt;="&amp;$AF$2),2))</f>
        <v/>
      </c>
      <c r="AA166" s="26" t="str">
        <f t="shared" si="11"/>
        <v/>
      </c>
      <c r="AB166" s="41"/>
    </row>
    <row r="167" spans="1:28">
      <c r="A167" s="24" t="str">
        <f t="shared" si="8"/>
        <v/>
      </c>
      <c r="B167" s="24" t="str">
        <f>IFERROR(INDEX(_自动清单!$O$4:$O$203,ROW()-3),"")</f>
        <v/>
      </c>
      <c r="C167" s="25" t="str">
        <f>IF(OR($B167="",_自动清单!$G$4=""),"",SUMIFS(包装物料出入库明细!$J$4:$J$2003,包装物料出入库明细!$D$4:$D$2003,$B167,包装物料出入库明细!$E$4:$E$2003,_自动清单!$G$4,包装物料出入库明细!$B$4:$B$2003,"&gt;="&amp;$AF$1,包装物料出入库明细!$B$4:$B$2003,"&lt;="&amp;$AF$2))</f>
        <v/>
      </c>
      <c r="D167" s="25" t="str">
        <f>IF(OR($B167="",_自动清单!$G$5=""),"",SUMIFS(包装物料出入库明细!$J$4:$J$2003,包装物料出入库明细!$D$4:$D$2003,$B167,包装物料出入库明细!$E$4:$E$2003,_自动清单!$G$5,包装物料出入库明细!$B$4:$B$2003,"&gt;="&amp;$AF$1,包装物料出入库明细!$B$4:$B$2003,"&lt;="&amp;$AF$2))</f>
        <v/>
      </c>
      <c r="E167" s="25" t="str">
        <f>IF(OR($B167="",_自动清单!$G$6=""),"",SUMIFS(包装物料出入库明细!$J$4:$J$2003,包装物料出入库明细!$D$4:$D$2003,$B167,包装物料出入库明细!$E$4:$E$2003,_自动清单!$G$6,包装物料出入库明细!$B$4:$B$2003,"&gt;="&amp;$AF$1,包装物料出入库明细!$B$4:$B$2003,"&lt;="&amp;$AF$2))</f>
        <v/>
      </c>
      <c r="F167" s="25" t="str">
        <f>IF(OR($B167="",_自动清单!$G$7=""),"",SUMIFS(包装物料出入库明细!$J$4:$J$2003,包装物料出入库明细!$D$4:$D$2003,$B167,包装物料出入库明细!$E$4:$E$2003,_自动清单!$G$7,包装物料出入库明细!$B$4:$B$2003,"&gt;="&amp;$AF$1,包装物料出入库明细!$B$4:$B$2003,"&lt;="&amp;$AF$2))</f>
        <v/>
      </c>
      <c r="G167" s="25" t="str">
        <f>IF(OR($B167="",_自动清单!$G$8=""),"",SUMIFS(包装物料出入库明细!$J$4:$J$2003,包装物料出入库明细!$D$4:$D$2003,$B167,包装物料出入库明细!$E$4:$E$2003,_自动清单!$G$8,包装物料出入库明细!$B$4:$B$2003,"&gt;="&amp;$AF$1,包装物料出入库明细!$B$4:$B$2003,"&lt;="&amp;$AF$2))</f>
        <v/>
      </c>
      <c r="H167" s="25" t="str">
        <f>IF(OR($B167="",_自动清单!$G$9=""),"",SUMIFS(包装物料出入库明细!$J$4:$J$2003,包装物料出入库明细!$D$4:$D$2003,$B167,包装物料出入库明细!$E$4:$E$2003,_自动清单!$G$9,包装物料出入库明细!$B$4:$B$2003,"&gt;="&amp;$AF$1,包装物料出入库明细!$B$4:$B$2003,"&lt;="&amp;$AF$2))</f>
        <v/>
      </c>
      <c r="I167" s="25" t="str">
        <f>IF(OR($B167="",_自动清单!$G$10=""),"",SUMIFS(包装物料出入库明细!$J$4:$J$2003,包装物料出入库明细!$D$4:$D$2003,$B167,包装物料出入库明细!$E$4:$E$2003,_自动清单!$G$10,包装物料出入库明细!$B$4:$B$2003,"&gt;="&amp;$AF$1,包装物料出入库明细!$B$4:$B$2003,"&lt;="&amp;$AF$2))</f>
        <v/>
      </c>
      <c r="J167" s="25" t="str">
        <f>IF(OR($B167="",_自动清单!$G$11=""),"",SUMIFS(包装物料出入库明细!$J$4:$J$2003,包装物料出入库明细!$D$4:$D$2003,$B167,包装物料出入库明细!$E$4:$E$2003,_自动清单!$G$11,包装物料出入库明细!$B$4:$B$2003,"&gt;="&amp;$AF$1,包装物料出入库明细!$B$4:$B$2003,"&lt;="&amp;$AF$2))</f>
        <v/>
      </c>
      <c r="K167" s="25" t="str">
        <f>IF(OR($B167="",_自动清单!$G$12=""),"",SUMIFS(包装物料出入库明细!$J$4:$J$2003,包装物料出入库明细!$D$4:$D$2003,$B167,包装物料出入库明细!$E$4:$E$2003,_自动清单!$G$12,包装物料出入库明细!$B$4:$B$2003,"&gt;="&amp;$AF$1,包装物料出入库明细!$B$4:$B$2003,"&lt;="&amp;$AF$2))</f>
        <v/>
      </c>
      <c r="L167" s="25" t="str">
        <f>IF(OR($B167="",_自动清单!$G$13=""),"",SUMIFS(包装物料出入库明细!$J$4:$J$2003,包装物料出入库明细!$D$4:$D$2003,$B167,包装物料出入库明细!$E$4:$E$2003,_自动清单!$G$13,包装物料出入库明细!$B$4:$B$2003,"&gt;="&amp;$AF$1,包装物料出入库明细!$B$4:$B$2003,"&lt;="&amp;$AF$2))</f>
        <v/>
      </c>
      <c r="M167" s="25" t="str">
        <f>IF(OR($B167="",_自动清单!$G$14=""),"",SUMIFS(包装物料出入库明细!$J$4:$J$2003,包装物料出入库明细!$D$4:$D$2003,$B167,包装物料出入库明细!$E$4:$E$2003,_自动清单!$G$14,包装物料出入库明细!$B$4:$B$2003,"&gt;="&amp;$AF$1,包装物料出入库明细!$B$4:$B$2003,"&lt;="&amp;$AF$2))</f>
        <v/>
      </c>
      <c r="N167" s="25" t="str">
        <f>IF(OR($B167="",_自动清单!$G$15=""),"",SUMIFS(包装物料出入库明细!$J$4:$J$2003,包装物料出入库明细!$D$4:$D$2003,$B167,包装物料出入库明细!$E$4:$E$2003,_自动清单!$G$15,包装物料出入库明细!$B$4:$B$2003,"&gt;="&amp;$AF$1,包装物料出入库明细!$B$4:$B$2003,"&lt;="&amp;$AF$2))</f>
        <v/>
      </c>
      <c r="O167" s="25" t="str">
        <f>IF(OR($B167="",_自动清单!$G$16=""),"",SUMIFS(包装物料出入库明细!$J$4:$J$2003,包装物料出入库明细!$D$4:$D$2003,$B167,包装物料出入库明细!$E$4:$E$2003,_自动清单!$G$16,包装物料出入库明细!$B$4:$B$2003,"&gt;="&amp;$AF$1,包装物料出入库明细!$B$4:$B$2003,"&lt;="&amp;$AF$2))</f>
        <v/>
      </c>
      <c r="P167" s="25" t="str">
        <f>IF(OR($B167="",_自动清单!$G$17=""),"",SUMIFS(包装物料出入库明细!$J$4:$J$2003,包装物料出入库明细!$D$4:$D$2003,$B167,包装物料出入库明细!$E$4:$E$2003,_自动清单!$G$17,包装物料出入库明细!$B$4:$B$2003,"&gt;="&amp;$AF$1,包装物料出入库明细!$B$4:$B$2003,"&lt;="&amp;$AF$2))</f>
        <v/>
      </c>
      <c r="Q167" s="25" t="str">
        <f>IF(OR($B167="",_自动清单!$G$18=""),"",SUMIFS(包装物料出入库明细!$J$4:$J$2003,包装物料出入库明细!$D$4:$D$2003,$B167,包装物料出入库明细!$E$4:$E$2003,_自动清单!$G$18,包装物料出入库明细!$B$4:$B$2003,"&gt;="&amp;$AF$1,包装物料出入库明细!$B$4:$B$2003,"&lt;="&amp;$AF$2))</f>
        <v/>
      </c>
      <c r="R167" s="25" t="str">
        <f>IF(OR($B167="",_自动清单!$G$19=""),"",SUMIFS(包装物料出入库明细!$J$4:$J$2003,包装物料出入库明细!$D$4:$D$2003,$B167,包装物料出入库明细!$E$4:$E$2003,_自动清单!$G$19,包装物料出入库明细!$B$4:$B$2003,"&gt;="&amp;$AF$1,包装物料出入库明细!$B$4:$B$2003,"&lt;="&amp;$AF$2))</f>
        <v/>
      </c>
      <c r="S167" s="25" t="str">
        <f>IF(OR($B167="",_自动清单!$G$20=""),"",SUMIFS(包装物料出入库明细!$J$4:$J$2003,包装物料出入库明细!$D$4:$D$2003,$B167,包装物料出入库明细!$E$4:$E$2003,_自动清单!$G$20,包装物料出入库明细!$B$4:$B$2003,"&gt;="&amp;$AF$1,包装物料出入库明细!$B$4:$B$2003,"&lt;="&amp;$AF$2))</f>
        <v/>
      </c>
      <c r="T167" s="25" t="str">
        <f>IF(OR($B167="",_自动清单!$G$21=""),"",SUMIFS(包装物料出入库明细!$J$4:$J$2003,包装物料出入库明细!$D$4:$D$2003,$B167,包装物料出入库明细!$E$4:$E$2003,_自动清单!$G$21,包装物料出入库明细!$B$4:$B$2003,"&gt;="&amp;$AF$1,包装物料出入库明细!$B$4:$B$2003,"&lt;="&amp;$AF$2))</f>
        <v/>
      </c>
      <c r="U167" s="25" t="str">
        <f>IF($B167="","",SUMIFS(包装物料出入库明细!$J$4:$J$2003,包装物料出入库明细!$D$4:$D$2003,$B167,包装物料出入库明细!$B$4:$B$2003,"&gt;="&amp;$AF$1,包装物料出入库明细!$B$4:$B$2003,"&lt;="&amp;$AF$2)-SUM($C167:$T167))</f>
        <v/>
      </c>
      <c r="V167" s="25" t="str">
        <f t="shared" si="9"/>
        <v/>
      </c>
      <c r="W167" s="56" t="str">
        <f>IF($B167="","",SUMIFS(包装物料出入库明细!$K$4:$K$2003,包装物料出入库明细!$D$4:$D$2003,$B167,包装物料出入库明细!$B$4:$B$2003,"&gt;="&amp;$AF$1,包装物料出入库明细!$B$4:$B$2003,"&lt;="&amp;$AF$2))</f>
        <v/>
      </c>
      <c r="X167" s="25" t="str">
        <f t="shared" si="10"/>
        <v/>
      </c>
      <c r="Y167" s="26" t="str">
        <f>IF($B167="","",ROUND(SUMIFS(包装物料出入库明细!$N$4:$N$2003,包装物料出入库明细!$D$4:$D$2003,$B167,包装物料出入库明细!$H$4:$H$2003,"销售出库",包装物料出入库明细!$B$4:$B$2003,"&gt;="&amp;$AF$1,包装物料出入库明细!$B$4:$B$2003,"&lt;="&amp;$AF$2),2))</f>
        <v/>
      </c>
      <c r="Z167" s="26" t="str">
        <f>IF($B167="","",ROUND(SUMIFS(包装物料出入库明细!$N$4:$N$2003,包装物料出入库明细!$D$4:$D$2003,$B167,包装物料出入库明细!$H$4:$H$2003,"销售出库",包装物料出入库明细!$P$4:$P$2003,"已收讫",包装物料出入库明细!$B$4:$B$2003,"&gt;="&amp;$AF$1,包装物料出入库明细!$B$4:$B$2003,"&lt;="&amp;$AF$2),2))</f>
        <v/>
      </c>
      <c r="AA167" s="26" t="str">
        <f t="shared" si="11"/>
        <v/>
      </c>
      <c r="AB167" s="41"/>
    </row>
    <row r="168" spans="1:28">
      <c r="A168" s="24" t="str">
        <f t="shared" si="8"/>
        <v/>
      </c>
      <c r="B168" s="24" t="str">
        <f>IFERROR(INDEX(_自动清单!$O$4:$O$203,ROW()-3),"")</f>
        <v/>
      </c>
      <c r="C168" s="25" t="str">
        <f>IF(OR($B168="",_自动清单!$G$4=""),"",SUMIFS(包装物料出入库明细!$J$4:$J$2003,包装物料出入库明细!$D$4:$D$2003,$B168,包装物料出入库明细!$E$4:$E$2003,_自动清单!$G$4,包装物料出入库明细!$B$4:$B$2003,"&gt;="&amp;$AF$1,包装物料出入库明细!$B$4:$B$2003,"&lt;="&amp;$AF$2))</f>
        <v/>
      </c>
      <c r="D168" s="25" t="str">
        <f>IF(OR($B168="",_自动清单!$G$5=""),"",SUMIFS(包装物料出入库明细!$J$4:$J$2003,包装物料出入库明细!$D$4:$D$2003,$B168,包装物料出入库明细!$E$4:$E$2003,_自动清单!$G$5,包装物料出入库明细!$B$4:$B$2003,"&gt;="&amp;$AF$1,包装物料出入库明细!$B$4:$B$2003,"&lt;="&amp;$AF$2))</f>
        <v/>
      </c>
      <c r="E168" s="25" t="str">
        <f>IF(OR($B168="",_自动清单!$G$6=""),"",SUMIFS(包装物料出入库明细!$J$4:$J$2003,包装物料出入库明细!$D$4:$D$2003,$B168,包装物料出入库明细!$E$4:$E$2003,_自动清单!$G$6,包装物料出入库明细!$B$4:$B$2003,"&gt;="&amp;$AF$1,包装物料出入库明细!$B$4:$B$2003,"&lt;="&amp;$AF$2))</f>
        <v/>
      </c>
      <c r="F168" s="25" t="str">
        <f>IF(OR($B168="",_自动清单!$G$7=""),"",SUMIFS(包装物料出入库明细!$J$4:$J$2003,包装物料出入库明细!$D$4:$D$2003,$B168,包装物料出入库明细!$E$4:$E$2003,_自动清单!$G$7,包装物料出入库明细!$B$4:$B$2003,"&gt;="&amp;$AF$1,包装物料出入库明细!$B$4:$B$2003,"&lt;="&amp;$AF$2))</f>
        <v/>
      </c>
      <c r="G168" s="25" t="str">
        <f>IF(OR($B168="",_自动清单!$G$8=""),"",SUMIFS(包装物料出入库明细!$J$4:$J$2003,包装物料出入库明细!$D$4:$D$2003,$B168,包装物料出入库明细!$E$4:$E$2003,_自动清单!$G$8,包装物料出入库明细!$B$4:$B$2003,"&gt;="&amp;$AF$1,包装物料出入库明细!$B$4:$B$2003,"&lt;="&amp;$AF$2))</f>
        <v/>
      </c>
      <c r="H168" s="25" t="str">
        <f>IF(OR($B168="",_自动清单!$G$9=""),"",SUMIFS(包装物料出入库明细!$J$4:$J$2003,包装物料出入库明细!$D$4:$D$2003,$B168,包装物料出入库明细!$E$4:$E$2003,_自动清单!$G$9,包装物料出入库明细!$B$4:$B$2003,"&gt;="&amp;$AF$1,包装物料出入库明细!$B$4:$B$2003,"&lt;="&amp;$AF$2))</f>
        <v/>
      </c>
      <c r="I168" s="25" t="str">
        <f>IF(OR($B168="",_自动清单!$G$10=""),"",SUMIFS(包装物料出入库明细!$J$4:$J$2003,包装物料出入库明细!$D$4:$D$2003,$B168,包装物料出入库明细!$E$4:$E$2003,_自动清单!$G$10,包装物料出入库明细!$B$4:$B$2003,"&gt;="&amp;$AF$1,包装物料出入库明细!$B$4:$B$2003,"&lt;="&amp;$AF$2))</f>
        <v/>
      </c>
      <c r="J168" s="25" t="str">
        <f>IF(OR($B168="",_自动清单!$G$11=""),"",SUMIFS(包装物料出入库明细!$J$4:$J$2003,包装物料出入库明细!$D$4:$D$2003,$B168,包装物料出入库明细!$E$4:$E$2003,_自动清单!$G$11,包装物料出入库明细!$B$4:$B$2003,"&gt;="&amp;$AF$1,包装物料出入库明细!$B$4:$B$2003,"&lt;="&amp;$AF$2))</f>
        <v/>
      </c>
      <c r="K168" s="25" t="str">
        <f>IF(OR($B168="",_自动清单!$G$12=""),"",SUMIFS(包装物料出入库明细!$J$4:$J$2003,包装物料出入库明细!$D$4:$D$2003,$B168,包装物料出入库明细!$E$4:$E$2003,_自动清单!$G$12,包装物料出入库明细!$B$4:$B$2003,"&gt;="&amp;$AF$1,包装物料出入库明细!$B$4:$B$2003,"&lt;="&amp;$AF$2))</f>
        <v/>
      </c>
      <c r="L168" s="25" t="str">
        <f>IF(OR($B168="",_自动清单!$G$13=""),"",SUMIFS(包装物料出入库明细!$J$4:$J$2003,包装物料出入库明细!$D$4:$D$2003,$B168,包装物料出入库明细!$E$4:$E$2003,_自动清单!$G$13,包装物料出入库明细!$B$4:$B$2003,"&gt;="&amp;$AF$1,包装物料出入库明细!$B$4:$B$2003,"&lt;="&amp;$AF$2))</f>
        <v/>
      </c>
      <c r="M168" s="25" t="str">
        <f>IF(OR($B168="",_自动清单!$G$14=""),"",SUMIFS(包装物料出入库明细!$J$4:$J$2003,包装物料出入库明细!$D$4:$D$2003,$B168,包装物料出入库明细!$E$4:$E$2003,_自动清单!$G$14,包装物料出入库明细!$B$4:$B$2003,"&gt;="&amp;$AF$1,包装物料出入库明细!$B$4:$B$2003,"&lt;="&amp;$AF$2))</f>
        <v/>
      </c>
      <c r="N168" s="25" t="str">
        <f>IF(OR($B168="",_自动清单!$G$15=""),"",SUMIFS(包装物料出入库明细!$J$4:$J$2003,包装物料出入库明细!$D$4:$D$2003,$B168,包装物料出入库明细!$E$4:$E$2003,_自动清单!$G$15,包装物料出入库明细!$B$4:$B$2003,"&gt;="&amp;$AF$1,包装物料出入库明细!$B$4:$B$2003,"&lt;="&amp;$AF$2))</f>
        <v/>
      </c>
      <c r="O168" s="25" t="str">
        <f>IF(OR($B168="",_自动清单!$G$16=""),"",SUMIFS(包装物料出入库明细!$J$4:$J$2003,包装物料出入库明细!$D$4:$D$2003,$B168,包装物料出入库明细!$E$4:$E$2003,_自动清单!$G$16,包装物料出入库明细!$B$4:$B$2003,"&gt;="&amp;$AF$1,包装物料出入库明细!$B$4:$B$2003,"&lt;="&amp;$AF$2))</f>
        <v/>
      </c>
      <c r="P168" s="25" t="str">
        <f>IF(OR($B168="",_自动清单!$G$17=""),"",SUMIFS(包装物料出入库明细!$J$4:$J$2003,包装物料出入库明细!$D$4:$D$2003,$B168,包装物料出入库明细!$E$4:$E$2003,_自动清单!$G$17,包装物料出入库明细!$B$4:$B$2003,"&gt;="&amp;$AF$1,包装物料出入库明细!$B$4:$B$2003,"&lt;="&amp;$AF$2))</f>
        <v/>
      </c>
      <c r="Q168" s="25" t="str">
        <f>IF(OR($B168="",_自动清单!$G$18=""),"",SUMIFS(包装物料出入库明细!$J$4:$J$2003,包装物料出入库明细!$D$4:$D$2003,$B168,包装物料出入库明细!$E$4:$E$2003,_自动清单!$G$18,包装物料出入库明细!$B$4:$B$2003,"&gt;="&amp;$AF$1,包装物料出入库明细!$B$4:$B$2003,"&lt;="&amp;$AF$2))</f>
        <v/>
      </c>
      <c r="R168" s="25" t="str">
        <f>IF(OR($B168="",_自动清单!$G$19=""),"",SUMIFS(包装物料出入库明细!$J$4:$J$2003,包装物料出入库明细!$D$4:$D$2003,$B168,包装物料出入库明细!$E$4:$E$2003,_自动清单!$G$19,包装物料出入库明细!$B$4:$B$2003,"&gt;="&amp;$AF$1,包装物料出入库明细!$B$4:$B$2003,"&lt;="&amp;$AF$2))</f>
        <v/>
      </c>
      <c r="S168" s="25" t="str">
        <f>IF(OR($B168="",_自动清单!$G$20=""),"",SUMIFS(包装物料出入库明细!$J$4:$J$2003,包装物料出入库明细!$D$4:$D$2003,$B168,包装物料出入库明细!$E$4:$E$2003,_自动清单!$G$20,包装物料出入库明细!$B$4:$B$2003,"&gt;="&amp;$AF$1,包装物料出入库明细!$B$4:$B$2003,"&lt;="&amp;$AF$2))</f>
        <v/>
      </c>
      <c r="T168" s="25" t="str">
        <f>IF(OR($B168="",_自动清单!$G$21=""),"",SUMIFS(包装物料出入库明细!$J$4:$J$2003,包装物料出入库明细!$D$4:$D$2003,$B168,包装物料出入库明细!$E$4:$E$2003,_自动清单!$G$21,包装物料出入库明细!$B$4:$B$2003,"&gt;="&amp;$AF$1,包装物料出入库明细!$B$4:$B$2003,"&lt;="&amp;$AF$2))</f>
        <v/>
      </c>
      <c r="U168" s="25" t="str">
        <f>IF($B168="","",SUMIFS(包装物料出入库明细!$J$4:$J$2003,包装物料出入库明细!$D$4:$D$2003,$B168,包装物料出入库明细!$B$4:$B$2003,"&gt;="&amp;$AF$1,包装物料出入库明细!$B$4:$B$2003,"&lt;="&amp;$AF$2)-SUM($C168:$T168))</f>
        <v/>
      </c>
      <c r="V168" s="25" t="str">
        <f t="shared" si="9"/>
        <v/>
      </c>
      <c r="W168" s="56" t="str">
        <f>IF($B168="","",SUMIFS(包装物料出入库明细!$K$4:$K$2003,包装物料出入库明细!$D$4:$D$2003,$B168,包装物料出入库明细!$B$4:$B$2003,"&gt;="&amp;$AF$1,包装物料出入库明细!$B$4:$B$2003,"&lt;="&amp;$AF$2))</f>
        <v/>
      </c>
      <c r="X168" s="25" t="str">
        <f t="shared" si="10"/>
        <v/>
      </c>
      <c r="Y168" s="26" t="str">
        <f>IF($B168="","",ROUND(SUMIFS(包装物料出入库明细!$N$4:$N$2003,包装物料出入库明细!$D$4:$D$2003,$B168,包装物料出入库明细!$H$4:$H$2003,"销售出库",包装物料出入库明细!$B$4:$B$2003,"&gt;="&amp;$AF$1,包装物料出入库明细!$B$4:$B$2003,"&lt;="&amp;$AF$2),2))</f>
        <v/>
      </c>
      <c r="Z168" s="26" t="str">
        <f>IF($B168="","",ROUND(SUMIFS(包装物料出入库明细!$N$4:$N$2003,包装物料出入库明细!$D$4:$D$2003,$B168,包装物料出入库明细!$H$4:$H$2003,"销售出库",包装物料出入库明细!$P$4:$P$2003,"已收讫",包装物料出入库明细!$B$4:$B$2003,"&gt;="&amp;$AF$1,包装物料出入库明细!$B$4:$B$2003,"&lt;="&amp;$AF$2),2))</f>
        <v/>
      </c>
      <c r="AA168" s="26" t="str">
        <f t="shared" si="11"/>
        <v/>
      </c>
      <c r="AB168" s="41"/>
    </row>
    <row r="169" spans="1:28">
      <c r="A169" s="24" t="str">
        <f t="shared" si="8"/>
        <v/>
      </c>
      <c r="B169" s="24" t="str">
        <f>IFERROR(INDEX(_自动清单!$O$4:$O$203,ROW()-3),"")</f>
        <v/>
      </c>
      <c r="C169" s="25" t="str">
        <f>IF(OR($B169="",_自动清单!$G$4=""),"",SUMIFS(包装物料出入库明细!$J$4:$J$2003,包装物料出入库明细!$D$4:$D$2003,$B169,包装物料出入库明细!$E$4:$E$2003,_自动清单!$G$4,包装物料出入库明细!$B$4:$B$2003,"&gt;="&amp;$AF$1,包装物料出入库明细!$B$4:$B$2003,"&lt;="&amp;$AF$2))</f>
        <v/>
      </c>
      <c r="D169" s="25" t="str">
        <f>IF(OR($B169="",_自动清单!$G$5=""),"",SUMIFS(包装物料出入库明细!$J$4:$J$2003,包装物料出入库明细!$D$4:$D$2003,$B169,包装物料出入库明细!$E$4:$E$2003,_自动清单!$G$5,包装物料出入库明细!$B$4:$B$2003,"&gt;="&amp;$AF$1,包装物料出入库明细!$B$4:$B$2003,"&lt;="&amp;$AF$2))</f>
        <v/>
      </c>
      <c r="E169" s="25" t="str">
        <f>IF(OR($B169="",_自动清单!$G$6=""),"",SUMIFS(包装物料出入库明细!$J$4:$J$2003,包装物料出入库明细!$D$4:$D$2003,$B169,包装物料出入库明细!$E$4:$E$2003,_自动清单!$G$6,包装物料出入库明细!$B$4:$B$2003,"&gt;="&amp;$AF$1,包装物料出入库明细!$B$4:$B$2003,"&lt;="&amp;$AF$2))</f>
        <v/>
      </c>
      <c r="F169" s="25" t="str">
        <f>IF(OR($B169="",_自动清单!$G$7=""),"",SUMIFS(包装物料出入库明细!$J$4:$J$2003,包装物料出入库明细!$D$4:$D$2003,$B169,包装物料出入库明细!$E$4:$E$2003,_自动清单!$G$7,包装物料出入库明细!$B$4:$B$2003,"&gt;="&amp;$AF$1,包装物料出入库明细!$B$4:$B$2003,"&lt;="&amp;$AF$2))</f>
        <v/>
      </c>
      <c r="G169" s="25" t="str">
        <f>IF(OR($B169="",_自动清单!$G$8=""),"",SUMIFS(包装物料出入库明细!$J$4:$J$2003,包装物料出入库明细!$D$4:$D$2003,$B169,包装物料出入库明细!$E$4:$E$2003,_自动清单!$G$8,包装物料出入库明细!$B$4:$B$2003,"&gt;="&amp;$AF$1,包装物料出入库明细!$B$4:$B$2003,"&lt;="&amp;$AF$2))</f>
        <v/>
      </c>
      <c r="H169" s="25" t="str">
        <f>IF(OR($B169="",_自动清单!$G$9=""),"",SUMIFS(包装物料出入库明细!$J$4:$J$2003,包装物料出入库明细!$D$4:$D$2003,$B169,包装物料出入库明细!$E$4:$E$2003,_自动清单!$G$9,包装物料出入库明细!$B$4:$B$2003,"&gt;="&amp;$AF$1,包装物料出入库明细!$B$4:$B$2003,"&lt;="&amp;$AF$2))</f>
        <v/>
      </c>
      <c r="I169" s="25" t="str">
        <f>IF(OR($B169="",_自动清单!$G$10=""),"",SUMIFS(包装物料出入库明细!$J$4:$J$2003,包装物料出入库明细!$D$4:$D$2003,$B169,包装物料出入库明细!$E$4:$E$2003,_自动清单!$G$10,包装物料出入库明细!$B$4:$B$2003,"&gt;="&amp;$AF$1,包装物料出入库明细!$B$4:$B$2003,"&lt;="&amp;$AF$2))</f>
        <v/>
      </c>
      <c r="J169" s="25" t="str">
        <f>IF(OR($B169="",_自动清单!$G$11=""),"",SUMIFS(包装物料出入库明细!$J$4:$J$2003,包装物料出入库明细!$D$4:$D$2003,$B169,包装物料出入库明细!$E$4:$E$2003,_自动清单!$G$11,包装物料出入库明细!$B$4:$B$2003,"&gt;="&amp;$AF$1,包装物料出入库明细!$B$4:$B$2003,"&lt;="&amp;$AF$2))</f>
        <v/>
      </c>
      <c r="K169" s="25" t="str">
        <f>IF(OR($B169="",_自动清单!$G$12=""),"",SUMIFS(包装物料出入库明细!$J$4:$J$2003,包装物料出入库明细!$D$4:$D$2003,$B169,包装物料出入库明细!$E$4:$E$2003,_自动清单!$G$12,包装物料出入库明细!$B$4:$B$2003,"&gt;="&amp;$AF$1,包装物料出入库明细!$B$4:$B$2003,"&lt;="&amp;$AF$2))</f>
        <v/>
      </c>
      <c r="L169" s="25" t="str">
        <f>IF(OR($B169="",_自动清单!$G$13=""),"",SUMIFS(包装物料出入库明细!$J$4:$J$2003,包装物料出入库明细!$D$4:$D$2003,$B169,包装物料出入库明细!$E$4:$E$2003,_自动清单!$G$13,包装物料出入库明细!$B$4:$B$2003,"&gt;="&amp;$AF$1,包装物料出入库明细!$B$4:$B$2003,"&lt;="&amp;$AF$2))</f>
        <v/>
      </c>
      <c r="M169" s="25" t="str">
        <f>IF(OR($B169="",_自动清单!$G$14=""),"",SUMIFS(包装物料出入库明细!$J$4:$J$2003,包装物料出入库明细!$D$4:$D$2003,$B169,包装物料出入库明细!$E$4:$E$2003,_自动清单!$G$14,包装物料出入库明细!$B$4:$B$2003,"&gt;="&amp;$AF$1,包装物料出入库明细!$B$4:$B$2003,"&lt;="&amp;$AF$2))</f>
        <v/>
      </c>
      <c r="N169" s="25" t="str">
        <f>IF(OR($B169="",_自动清单!$G$15=""),"",SUMIFS(包装物料出入库明细!$J$4:$J$2003,包装物料出入库明细!$D$4:$D$2003,$B169,包装物料出入库明细!$E$4:$E$2003,_自动清单!$G$15,包装物料出入库明细!$B$4:$B$2003,"&gt;="&amp;$AF$1,包装物料出入库明细!$B$4:$B$2003,"&lt;="&amp;$AF$2))</f>
        <v/>
      </c>
      <c r="O169" s="25" t="str">
        <f>IF(OR($B169="",_自动清单!$G$16=""),"",SUMIFS(包装物料出入库明细!$J$4:$J$2003,包装物料出入库明细!$D$4:$D$2003,$B169,包装物料出入库明细!$E$4:$E$2003,_自动清单!$G$16,包装物料出入库明细!$B$4:$B$2003,"&gt;="&amp;$AF$1,包装物料出入库明细!$B$4:$B$2003,"&lt;="&amp;$AF$2))</f>
        <v/>
      </c>
      <c r="P169" s="25" t="str">
        <f>IF(OR($B169="",_自动清单!$G$17=""),"",SUMIFS(包装物料出入库明细!$J$4:$J$2003,包装物料出入库明细!$D$4:$D$2003,$B169,包装物料出入库明细!$E$4:$E$2003,_自动清单!$G$17,包装物料出入库明细!$B$4:$B$2003,"&gt;="&amp;$AF$1,包装物料出入库明细!$B$4:$B$2003,"&lt;="&amp;$AF$2))</f>
        <v/>
      </c>
      <c r="Q169" s="25" t="str">
        <f>IF(OR($B169="",_自动清单!$G$18=""),"",SUMIFS(包装物料出入库明细!$J$4:$J$2003,包装物料出入库明细!$D$4:$D$2003,$B169,包装物料出入库明细!$E$4:$E$2003,_自动清单!$G$18,包装物料出入库明细!$B$4:$B$2003,"&gt;="&amp;$AF$1,包装物料出入库明细!$B$4:$B$2003,"&lt;="&amp;$AF$2))</f>
        <v/>
      </c>
      <c r="R169" s="25" t="str">
        <f>IF(OR($B169="",_自动清单!$G$19=""),"",SUMIFS(包装物料出入库明细!$J$4:$J$2003,包装物料出入库明细!$D$4:$D$2003,$B169,包装物料出入库明细!$E$4:$E$2003,_自动清单!$G$19,包装物料出入库明细!$B$4:$B$2003,"&gt;="&amp;$AF$1,包装物料出入库明细!$B$4:$B$2003,"&lt;="&amp;$AF$2))</f>
        <v/>
      </c>
      <c r="S169" s="25" t="str">
        <f>IF(OR($B169="",_自动清单!$G$20=""),"",SUMIFS(包装物料出入库明细!$J$4:$J$2003,包装物料出入库明细!$D$4:$D$2003,$B169,包装物料出入库明细!$E$4:$E$2003,_自动清单!$G$20,包装物料出入库明细!$B$4:$B$2003,"&gt;="&amp;$AF$1,包装物料出入库明细!$B$4:$B$2003,"&lt;="&amp;$AF$2))</f>
        <v/>
      </c>
      <c r="T169" s="25" t="str">
        <f>IF(OR($B169="",_自动清单!$G$21=""),"",SUMIFS(包装物料出入库明细!$J$4:$J$2003,包装物料出入库明细!$D$4:$D$2003,$B169,包装物料出入库明细!$E$4:$E$2003,_自动清单!$G$21,包装物料出入库明细!$B$4:$B$2003,"&gt;="&amp;$AF$1,包装物料出入库明细!$B$4:$B$2003,"&lt;="&amp;$AF$2))</f>
        <v/>
      </c>
      <c r="U169" s="25" t="str">
        <f>IF($B169="","",SUMIFS(包装物料出入库明细!$J$4:$J$2003,包装物料出入库明细!$D$4:$D$2003,$B169,包装物料出入库明细!$B$4:$B$2003,"&gt;="&amp;$AF$1,包装物料出入库明细!$B$4:$B$2003,"&lt;="&amp;$AF$2)-SUM($C169:$T169))</f>
        <v/>
      </c>
      <c r="V169" s="25" t="str">
        <f t="shared" si="9"/>
        <v/>
      </c>
      <c r="W169" s="56" t="str">
        <f>IF($B169="","",SUMIFS(包装物料出入库明细!$K$4:$K$2003,包装物料出入库明细!$D$4:$D$2003,$B169,包装物料出入库明细!$B$4:$B$2003,"&gt;="&amp;$AF$1,包装物料出入库明细!$B$4:$B$2003,"&lt;="&amp;$AF$2))</f>
        <v/>
      </c>
      <c r="X169" s="25" t="str">
        <f t="shared" si="10"/>
        <v/>
      </c>
      <c r="Y169" s="26" t="str">
        <f>IF($B169="","",ROUND(SUMIFS(包装物料出入库明细!$N$4:$N$2003,包装物料出入库明细!$D$4:$D$2003,$B169,包装物料出入库明细!$H$4:$H$2003,"销售出库",包装物料出入库明细!$B$4:$B$2003,"&gt;="&amp;$AF$1,包装物料出入库明细!$B$4:$B$2003,"&lt;="&amp;$AF$2),2))</f>
        <v/>
      </c>
      <c r="Z169" s="26" t="str">
        <f>IF($B169="","",ROUND(SUMIFS(包装物料出入库明细!$N$4:$N$2003,包装物料出入库明细!$D$4:$D$2003,$B169,包装物料出入库明细!$H$4:$H$2003,"销售出库",包装物料出入库明细!$P$4:$P$2003,"已收讫",包装物料出入库明细!$B$4:$B$2003,"&gt;="&amp;$AF$1,包装物料出入库明细!$B$4:$B$2003,"&lt;="&amp;$AF$2),2))</f>
        <v/>
      </c>
      <c r="AA169" s="26" t="str">
        <f t="shared" si="11"/>
        <v/>
      </c>
      <c r="AB169" s="41"/>
    </row>
    <row r="170" spans="1:28">
      <c r="A170" s="24" t="str">
        <f t="shared" si="8"/>
        <v/>
      </c>
      <c r="B170" s="24" t="str">
        <f>IFERROR(INDEX(_自动清单!$O$4:$O$203,ROW()-3),"")</f>
        <v/>
      </c>
      <c r="C170" s="25" t="str">
        <f>IF(OR($B170="",_自动清单!$G$4=""),"",SUMIFS(包装物料出入库明细!$J$4:$J$2003,包装物料出入库明细!$D$4:$D$2003,$B170,包装物料出入库明细!$E$4:$E$2003,_自动清单!$G$4,包装物料出入库明细!$B$4:$B$2003,"&gt;="&amp;$AF$1,包装物料出入库明细!$B$4:$B$2003,"&lt;="&amp;$AF$2))</f>
        <v/>
      </c>
      <c r="D170" s="25" t="str">
        <f>IF(OR($B170="",_自动清单!$G$5=""),"",SUMIFS(包装物料出入库明细!$J$4:$J$2003,包装物料出入库明细!$D$4:$D$2003,$B170,包装物料出入库明细!$E$4:$E$2003,_自动清单!$G$5,包装物料出入库明细!$B$4:$B$2003,"&gt;="&amp;$AF$1,包装物料出入库明细!$B$4:$B$2003,"&lt;="&amp;$AF$2))</f>
        <v/>
      </c>
      <c r="E170" s="25" t="str">
        <f>IF(OR($B170="",_自动清单!$G$6=""),"",SUMIFS(包装物料出入库明细!$J$4:$J$2003,包装物料出入库明细!$D$4:$D$2003,$B170,包装物料出入库明细!$E$4:$E$2003,_自动清单!$G$6,包装物料出入库明细!$B$4:$B$2003,"&gt;="&amp;$AF$1,包装物料出入库明细!$B$4:$B$2003,"&lt;="&amp;$AF$2))</f>
        <v/>
      </c>
      <c r="F170" s="25" t="str">
        <f>IF(OR($B170="",_自动清单!$G$7=""),"",SUMIFS(包装物料出入库明细!$J$4:$J$2003,包装物料出入库明细!$D$4:$D$2003,$B170,包装物料出入库明细!$E$4:$E$2003,_自动清单!$G$7,包装物料出入库明细!$B$4:$B$2003,"&gt;="&amp;$AF$1,包装物料出入库明细!$B$4:$B$2003,"&lt;="&amp;$AF$2))</f>
        <v/>
      </c>
      <c r="G170" s="25" t="str">
        <f>IF(OR($B170="",_自动清单!$G$8=""),"",SUMIFS(包装物料出入库明细!$J$4:$J$2003,包装物料出入库明细!$D$4:$D$2003,$B170,包装物料出入库明细!$E$4:$E$2003,_自动清单!$G$8,包装物料出入库明细!$B$4:$B$2003,"&gt;="&amp;$AF$1,包装物料出入库明细!$B$4:$B$2003,"&lt;="&amp;$AF$2))</f>
        <v/>
      </c>
      <c r="H170" s="25" t="str">
        <f>IF(OR($B170="",_自动清单!$G$9=""),"",SUMIFS(包装物料出入库明细!$J$4:$J$2003,包装物料出入库明细!$D$4:$D$2003,$B170,包装物料出入库明细!$E$4:$E$2003,_自动清单!$G$9,包装物料出入库明细!$B$4:$B$2003,"&gt;="&amp;$AF$1,包装物料出入库明细!$B$4:$B$2003,"&lt;="&amp;$AF$2))</f>
        <v/>
      </c>
      <c r="I170" s="25" t="str">
        <f>IF(OR($B170="",_自动清单!$G$10=""),"",SUMIFS(包装物料出入库明细!$J$4:$J$2003,包装物料出入库明细!$D$4:$D$2003,$B170,包装物料出入库明细!$E$4:$E$2003,_自动清单!$G$10,包装物料出入库明细!$B$4:$B$2003,"&gt;="&amp;$AF$1,包装物料出入库明细!$B$4:$B$2003,"&lt;="&amp;$AF$2))</f>
        <v/>
      </c>
      <c r="J170" s="25" t="str">
        <f>IF(OR($B170="",_自动清单!$G$11=""),"",SUMIFS(包装物料出入库明细!$J$4:$J$2003,包装物料出入库明细!$D$4:$D$2003,$B170,包装物料出入库明细!$E$4:$E$2003,_自动清单!$G$11,包装物料出入库明细!$B$4:$B$2003,"&gt;="&amp;$AF$1,包装物料出入库明细!$B$4:$B$2003,"&lt;="&amp;$AF$2))</f>
        <v/>
      </c>
      <c r="K170" s="25" t="str">
        <f>IF(OR($B170="",_自动清单!$G$12=""),"",SUMIFS(包装物料出入库明细!$J$4:$J$2003,包装物料出入库明细!$D$4:$D$2003,$B170,包装物料出入库明细!$E$4:$E$2003,_自动清单!$G$12,包装物料出入库明细!$B$4:$B$2003,"&gt;="&amp;$AF$1,包装物料出入库明细!$B$4:$B$2003,"&lt;="&amp;$AF$2))</f>
        <v/>
      </c>
      <c r="L170" s="25" t="str">
        <f>IF(OR($B170="",_自动清单!$G$13=""),"",SUMIFS(包装物料出入库明细!$J$4:$J$2003,包装物料出入库明细!$D$4:$D$2003,$B170,包装物料出入库明细!$E$4:$E$2003,_自动清单!$G$13,包装物料出入库明细!$B$4:$B$2003,"&gt;="&amp;$AF$1,包装物料出入库明细!$B$4:$B$2003,"&lt;="&amp;$AF$2))</f>
        <v/>
      </c>
      <c r="M170" s="25" t="str">
        <f>IF(OR($B170="",_自动清单!$G$14=""),"",SUMIFS(包装物料出入库明细!$J$4:$J$2003,包装物料出入库明细!$D$4:$D$2003,$B170,包装物料出入库明细!$E$4:$E$2003,_自动清单!$G$14,包装物料出入库明细!$B$4:$B$2003,"&gt;="&amp;$AF$1,包装物料出入库明细!$B$4:$B$2003,"&lt;="&amp;$AF$2))</f>
        <v/>
      </c>
      <c r="N170" s="25" t="str">
        <f>IF(OR($B170="",_自动清单!$G$15=""),"",SUMIFS(包装物料出入库明细!$J$4:$J$2003,包装物料出入库明细!$D$4:$D$2003,$B170,包装物料出入库明细!$E$4:$E$2003,_自动清单!$G$15,包装物料出入库明细!$B$4:$B$2003,"&gt;="&amp;$AF$1,包装物料出入库明细!$B$4:$B$2003,"&lt;="&amp;$AF$2))</f>
        <v/>
      </c>
      <c r="O170" s="25" t="str">
        <f>IF(OR($B170="",_自动清单!$G$16=""),"",SUMIFS(包装物料出入库明细!$J$4:$J$2003,包装物料出入库明细!$D$4:$D$2003,$B170,包装物料出入库明细!$E$4:$E$2003,_自动清单!$G$16,包装物料出入库明细!$B$4:$B$2003,"&gt;="&amp;$AF$1,包装物料出入库明细!$B$4:$B$2003,"&lt;="&amp;$AF$2))</f>
        <v/>
      </c>
      <c r="P170" s="25" t="str">
        <f>IF(OR($B170="",_自动清单!$G$17=""),"",SUMIFS(包装物料出入库明细!$J$4:$J$2003,包装物料出入库明细!$D$4:$D$2003,$B170,包装物料出入库明细!$E$4:$E$2003,_自动清单!$G$17,包装物料出入库明细!$B$4:$B$2003,"&gt;="&amp;$AF$1,包装物料出入库明细!$B$4:$B$2003,"&lt;="&amp;$AF$2))</f>
        <v/>
      </c>
      <c r="Q170" s="25" t="str">
        <f>IF(OR($B170="",_自动清单!$G$18=""),"",SUMIFS(包装物料出入库明细!$J$4:$J$2003,包装物料出入库明细!$D$4:$D$2003,$B170,包装物料出入库明细!$E$4:$E$2003,_自动清单!$G$18,包装物料出入库明细!$B$4:$B$2003,"&gt;="&amp;$AF$1,包装物料出入库明细!$B$4:$B$2003,"&lt;="&amp;$AF$2))</f>
        <v/>
      </c>
      <c r="R170" s="25" t="str">
        <f>IF(OR($B170="",_自动清单!$G$19=""),"",SUMIFS(包装物料出入库明细!$J$4:$J$2003,包装物料出入库明细!$D$4:$D$2003,$B170,包装物料出入库明细!$E$4:$E$2003,_自动清单!$G$19,包装物料出入库明细!$B$4:$B$2003,"&gt;="&amp;$AF$1,包装物料出入库明细!$B$4:$B$2003,"&lt;="&amp;$AF$2))</f>
        <v/>
      </c>
      <c r="S170" s="25" t="str">
        <f>IF(OR($B170="",_自动清单!$G$20=""),"",SUMIFS(包装物料出入库明细!$J$4:$J$2003,包装物料出入库明细!$D$4:$D$2003,$B170,包装物料出入库明细!$E$4:$E$2003,_自动清单!$G$20,包装物料出入库明细!$B$4:$B$2003,"&gt;="&amp;$AF$1,包装物料出入库明细!$B$4:$B$2003,"&lt;="&amp;$AF$2))</f>
        <v/>
      </c>
      <c r="T170" s="25" t="str">
        <f>IF(OR($B170="",_自动清单!$G$21=""),"",SUMIFS(包装物料出入库明细!$J$4:$J$2003,包装物料出入库明细!$D$4:$D$2003,$B170,包装物料出入库明细!$E$4:$E$2003,_自动清单!$G$21,包装物料出入库明细!$B$4:$B$2003,"&gt;="&amp;$AF$1,包装物料出入库明细!$B$4:$B$2003,"&lt;="&amp;$AF$2))</f>
        <v/>
      </c>
      <c r="U170" s="25" t="str">
        <f>IF($B170="","",SUMIFS(包装物料出入库明细!$J$4:$J$2003,包装物料出入库明细!$D$4:$D$2003,$B170,包装物料出入库明细!$B$4:$B$2003,"&gt;="&amp;$AF$1,包装物料出入库明细!$B$4:$B$2003,"&lt;="&amp;$AF$2)-SUM($C170:$T170))</f>
        <v/>
      </c>
      <c r="V170" s="25" t="str">
        <f t="shared" si="9"/>
        <v/>
      </c>
      <c r="W170" s="56" t="str">
        <f>IF($B170="","",SUMIFS(包装物料出入库明细!$K$4:$K$2003,包装物料出入库明细!$D$4:$D$2003,$B170,包装物料出入库明细!$B$4:$B$2003,"&gt;="&amp;$AF$1,包装物料出入库明细!$B$4:$B$2003,"&lt;="&amp;$AF$2))</f>
        <v/>
      </c>
      <c r="X170" s="25" t="str">
        <f t="shared" si="10"/>
        <v/>
      </c>
      <c r="Y170" s="26" t="str">
        <f>IF($B170="","",ROUND(SUMIFS(包装物料出入库明细!$N$4:$N$2003,包装物料出入库明细!$D$4:$D$2003,$B170,包装物料出入库明细!$H$4:$H$2003,"销售出库",包装物料出入库明细!$B$4:$B$2003,"&gt;="&amp;$AF$1,包装物料出入库明细!$B$4:$B$2003,"&lt;="&amp;$AF$2),2))</f>
        <v/>
      </c>
      <c r="Z170" s="26" t="str">
        <f>IF($B170="","",ROUND(SUMIFS(包装物料出入库明细!$N$4:$N$2003,包装物料出入库明细!$D$4:$D$2003,$B170,包装物料出入库明细!$H$4:$H$2003,"销售出库",包装物料出入库明细!$P$4:$P$2003,"已收讫",包装物料出入库明细!$B$4:$B$2003,"&gt;="&amp;$AF$1,包装物料出入库明细!$B$4:$B$2003,"&lt;="&amp;$AF$2),2))</f>
        <v/>
      </c>
      <c r="AA170" s="26" t="str">
        <f t="shared" si="11"/>
        <v/>
      </c>
      <c r="AB170" s="41"/>
    </row>
    <row r="171" spans="1:28">
      <c r="A171" s="24" t="str">
        <f t="shared" si="8"/>
        <v/>
      </c>
      <c r="B171" s="24" t="str">
        <f>IFERROR(INDEX(_自动清单!$O$4:$O$203,ROW()-3),"")</f>
        <v/>
      </c>
      <c r="C171" s="25" t="str">
        <f>IF(OR($B171="",_自动清单!$G$4=""),"",SUMIFS(包装物料出入库明细!$J$4:$J$2003,包装物料出入库明细!$D$4:$D$2003,$B171,包装物料出入库明细!$E$4:$E$2003,_自动清单!$G$4,包装物料出入库明细!$B$4:$B$2003,"&gt;="&amp;$AF$1,包装物料出入库明细!$B$4:$B$2003,"&lt;="&amp;$AF$2))</f>
        <v/>
      </c>
      <c r="D171" s="25" t="str">
        <f>IF(OR($B171="",_自动清单!$G$5=""),"",SUMIFS(包装物料出入库明细!$J$4:$J$2003,包装物料出入库明细!$D$4:$D$2003,$B171,包装物料出入库明细!$E$4:$E$2003,_自动清单!$G$5,包装物料出入库明细!$B$4:$B$2003,"&gt;="&amp;$AF$1,包装物料出入库明细!$B$4:$B$2003,"&lt;="&amp;$AF$2))</f>
        <v/>
      </c>
      <c r="E171" s="25" t="str">
        <f>IF(OR($B171="",_自动清单!$G$6=""),"",SUMIFS(包装物料出入库明细!$J$4:$J$2003,包装物料出入库明细!$D$4:$D$2003,$B171,包装物料出入库明细!$E$4:$E$2003,_自动清单!$G$6,包装物料出入库明细!$B$4:$B$2003,"&gt;="&amp;$AF$1,包装物料出入库明细!$B$4:$B$2003,"&lt;="&amp;$AF$2))</f>
        <v/>
      </c>
      <c r="F171" s="25" t="str">
        <f>IF(OR($B171="",_自动清单!$G$7=""),"",SUMIFS(包装物料出入库明细!$J$4:$J$2003,包装物料出入库明细!$D$4:$D$2003,$B171,包装物料出入库明细!$E$4:$E$2003,_自动清单!$G$7,包装物料出入库明细!$B$4:$B$2003,"&gt;="&amp;$AF$1,包装物料出入库明细!$B$4:$B$2003,"&lt;="&amp;$AF$2))</f>
        <v/>
      </c>
      <c r="G171" s="25" t="str">
        <f>IF(OR($B171="",_自动清单!$G$8=""),"",SUMIFS(包装物料出入库明细!$J$4:$J$2003,包装物料出入库明细!$D$4:$D$2003,$B171,包装物料出入库明细!$E$4:$E$2003,_自动清单!$G$8,包装物料出入库明细!$B$4:$B$2003,"&gt;="&amp;$AF$1,包装物料出入库明细!$B$4:$B$2003,"&lt;="&amp;$AF$2))</f>
        <v/>
      </c>
      <c r="H171" s="25" t="str">
        <f>IF(OR($B171="",_自动清单!$G$9=""),"",SUMIFS(包装物料出入库明细!$J$4:$J$2003,包装物料出入库明细!$D$4:$D$2003,$B171,包装物料出入库明细!$E$4:$E$2003,_自动清单!$G$9,包装物料出入库明细!$B$4:$B$2003,"&gt;="&amp;$AF$1,包装物料出入库明细!$B$4:$B$2003,"&lt;="&amp;$AF$2))</f>
        <v/>
      </c>
      <c r="I171" s="25" t="str">
        <f>IF(OR($B171="",_自动清单!$G$10=""),"",SUMIFS(包装物料出入库明细!$J$4:$J$2003,包装物料出入库明细!$D$4:$D$2003,$B171,包装物料出入库明细!$E$4:$E$2003,_自动清单!$G$10,包装物料出入库明细!$B$4:$B$2003,"&gt;="&amp;$AF$1,包装物料出入库明细!$B$4:$B$2003,"&lt;="&amp;$AF$2))</f>
        <v/>
      </c>
      <c r="J171" s="25" t="str">
        <f>IF(OR($B171="",_自动清单!$G$11=""),"",SUMIFS(包装物料出入库明细!$J$4:$J$2003,包装物料出入库明细!$D$4:$D$2003,$B171,包装物料出入库明细!$E$4:$E$2003,_自动清单!$G$11,包装物料出入库明细!$B$4:$B$2003,"&gt;="&amp;$AF$1,包装物料出入库明细!$B$4:$B$2003,"&lt;="&amp;$AF$2))</f>
        <v/>
      </c>
      <c r="K171" s="25" t="str">
        <f>IF(OR($B171="",_自动清单!$G$12=""),"",SUMIFS(包装物料出入库明细!$J$4:$J$2003,包装物料出入库明细!$D$4:$D$2003,$B171,包装物料出入库明细!$E$4:$E$2003,_自动清单!$G$12,包装物料出入库明细!$B$4:$B$2003,"&gt;="&amp;$AF$1,包装物料出入库明细!$B$4:$B$2003,"&lt;="&amp;$AF$2))</f>
        <v/>
      </c>
      <c r="L171" s="25" t="str">
        <f>IF(OR($B171="",_自动清单!$G$13=""),"",SUMIFS(包装物料出入库明细!$J$4:$J$2003,包装物料出入库明细!$D$4:$D$2003,$B171,包装物料出入库明细!$E$4:$E$2003,_自动清单!$G$13,包装物料出入库明细!$B$4:$B$2003,"&gt;="&amp;$AF$1,包装物料出入库明细!$B$4:$B$2003,"&lt;="&amp;$AF$2))</f>
        <v/>
      </c>
      <c r="M171" s="25" t="str">
        <f>IF(OR($B171="",_自动清单!$G$14=""),"",SUMIFS(包装物料出入库明细!$J$4:$J$2003,包装物料出入库明细!$D$4:$D$2003,$B171,包装物料出入库明细!$E$4:$E$2003,_自动清单!$G$14,包装物料出入库明细!$B$4:$B$2003,"&gt;="&amp;$AF$1,包装物料出入库明细!$B$4:$B$2003,"&lt;="&amp;$AF$2))</f>
        <v/>
      </c>
      <c r="N171" s="25" t="str">
        <f>IF(OR($B171="",_自动清单!$G$15=""),"",SUMIFS(包装物料出入库明细!$J$4:$J$2003,包装物料出入库明细!$D$4:$D$2003,$B171,包装物料出入库明细!$E$4:$E$2003,_自动清单!$G$15,包装物料出入库明细!$B$4:$B$2003,"&gt;="&amp;$AF$1,包装物料出入库明细!$B$4:$B$2003,"&lt;="&amp;$AF$2))</f>
        <v/>
      </c>
      <c r="O171" s="25" t="str">
        <f>IF(OR($B171="",_自动清单!$G$16=""),"",SUMIFS(包装物料出入库明细!$J$4:$J$2003,包装物料出入库明细!$D$4:$D$2003,$B171,包装物料出入库明细!$E$4:$E$2003,_自动清单!$G$16,包装物料出入库明细!$B$4:$B$2003,"&gt;="&amp;$AF$1,包装物料出入库明细!$B$4:$B$2003,"&lt;="&amp;$AF$2))</f>
        <v/>
      </c>
      <c r="P171" s="25" t="str">
        <f>IF(OR($B171="",_自动清单!$G$17=""),"",SUMIFS(包装物料出入库明细!$J$4:$J$2003,包装物料出入库明细!$D$4:$D$2003,$B171,包装物料出入库明细!$E$4:$E$2003,_自动清单!$G$17,包装物料出入库明细!$B$4:$B$2003,"&gt;="&amp;$AF$1,包装物料出入库明细!$B$4:$B$2003,"&lt;="&amp;$AF$2))</f>
        <v/>
      </c>
      <c r="Q171" s="25" t="str">
        <f>IF(OR($B171="",_自动清单!$G$18=""),"",SUMIFS(包装物料出入库明细!$J$4:$J$2003,包装物料出入库明细!$D$4:$D$2003,$B171,包装物料出入库明细!$E$4:$E$2003,_自动清单!$G$18,包装物料出入库明细!$B$4:$B$2003,"&gt;="&amp;$AF$1,包装物料出入库明细!$B$4:$B$2003,"&lt;="&amp;$AF$2))</f>
        <v/>
      </c>
      <c r="R171" s="25" t="str">
        <f>IF(OR($B171="",_自动清单!$G$19=""),"",SUMIFS(包装物料出入库明细!$J$4:$J$2003,包装物料出入库明细!$D$4:$D$2003,$B171,包装物料出入库明细!$E$4:$E$2003,_自动清单!$G$19,包装物料出入库明细!$B$4:$B$2003,"&gt;="&amp;$AF$1,包装物料出入库明细!$B$4:$B$2003,"&lt;="&amp;$AF$2))</f>
        <v/>
      </c>
      <c r="S171" s="25" t="str">
        <f>IF(OR($B171="",_自动清单!$G$20=""),"",SUMIFS(包装物料出入库明细!$J$4:$J$2003,包装物料出入库明细!$D$4:$D$2003,$B171,包装物料出入库明细!$E$4:$E$2003,_自动清单!$G$20,包装物料出入库明细!$B$4:$B$2003,"&gt;="&amp;$AF$1,包装物料出入库明细!$B$4:$B$2003,"&lt;="&amp;$AF$2))</f>
        <v/>
      </c>
      <c r="T171" s="25" t="str">
        <f>IF(OR($B171="",_自动清单!$G$21=""),"",SUMIFS(包装物料出入库明细!$J$4:$J$2003,包装物料出入库明细!$D$4:$D$2003,$B171,包装物料出入库明细!$E$4:$E$2003,_自动清单!$G$21,包装物料出入库明细!$B$4:$B$2003,"&gt;="&amp;$AF$1,包装物料出入库明细!$B$4:$B$2003,"&lt;="&amp;$AF$2))</f>
        <v/>
      </c>
      <c r="U171" s="25" t="str">
        <f>IF($B171="","",SUMIFS(包装物料出入库明细!$J$4:$J$2003,包装物料出入库明细!$D$4:$D$2003,$B171,包装物料出入库明细!$B$4:$B$2003,"&gt;="&amp;$AF$1,包装物料出入库明细!$B$4:$B$2003,"&lt;="&amp;$AF$2)-SUM($C171:$T171))</f>
        <v/>
      </c>
      <c r="V171" s="25" t="str">
        <f t="shared" si="9"/>
        <v/>
      </c>
      <c r="W171" s="56" t="str">
        <f>IF($B171="","",SUMIFS(包装物料出入库明细!$K$4:$K$2003,包装物料出入库明细!$D$4:$D$2003,$B171,包装物料出入库明细!$B$4:$B$2003,"&gt;="&amp;$AF$1,包装物料出入库明细!$B$4:$B$2003,"&lt;="&amp;$AF$2))</f>
        <v/>
      </c>
      <c r="X171" s="25" t="str">
        <f t="shared" si="10"/>
        <v/>
      </c>
      <c r="Y171" s="26" t="str">
        <f>IF($B171="","",ROUND(SUMIFS(包装物料出入库明细!$N$4:$N$2003,包装物料出入库明细!$D$4:$D$2003,$B171,包装物料出入库明细!$H$4:$H$2003,"销售出库",包装物料出入库明细!$B$4:$B$2003,"&gt;="&amp;$AF$1,包装物料出入库明细!$B$4:$B$2003,"&lt;="&amp;$AF$2),2))</f>
        <v/>
      </c>
      <c r="Z171" s="26" t="str">
        <f>IF($B171="","",ROUND(SUMIFS(包装物料出入库明细!$N$4:$N$2003,包装物料出入库明细!$D$4:$D$2003,$B171,包装物料出入库明细!$H$4:$H$2003,"销售出库",包装物料出入库明细!$P$4:$P$2003,"已收讫",包装物料出入库明细!$B$4:$B$2003,"&gt;="&amp;$AF$1,包装物料出入库明细!$B$4:$B$2003,"&lt;="&amp;$AF$2),2))</f>
        <v/>
      </c>
      <c r="AA171" s="26" t="str">
        <f t="shared" si="11"/>
        <v/>
      </c>
      <c r="AB171" s="41"/>
    </row>
    <row r="172" spans="1:28">
      <c r="A172" s="24" t="str">
        <f t="shared" si="8"/>
        <v/>
      </c>
      <c r="B172" s="24" t="str">
        <f>IFERROR(INDEX(_自动清单!$O$4:$O$203,ROW()-3),"")</f>
        <v/>
      </c>
      <c r="C172" s="25" t="str">
        <f>IF(OR($B172="",_自动清单!$G$4=""),"",SUMIFS(包装物料出入库明细!$J$4:$J$2003,包装物料出入库明细!$D$4:$D$2003,$B172,包装物料出入库明细!$E$4:$E$2003,_自动清单!$G$4,包装物料出入库明细!$B$4:$B$2003,"&gt;="&amp;$AF$1,包装物料出入库明细!$B$4:$B$2003,"&lt;="&amp;$AF$2))</f>
        <v/>
      </c>
      <c r="D172" s="25" t="str">
        <f>IF(OR($B172="",_自动清单!$G$5=""),"",SUMIFS(包装物料出入库明细!$J$4:$J$2003,包装物料出入库明细!$D$4:$D$2003,$B172,包装物料出入库明细!$E$4:$E$2003,_自动清单!$G$5,包装物料出入库明细!$B$4:$B$2003,"&gt;="&amp;$AF$1,包装物料出入库明细!$B$4:$B$2003,"&lt;="&amp;$AF$2))</f>
        <v/>
      </c>
      <c r="E172" s="25" t="str">
        <f>IF(OR($B172="",_自动清单!$G$6=""),"",SUMIFS(包装物料出入库明细!$J$4:$J$2003,包装物料出入库明细!$D$4:$D$2003,$B172,包装物料出入库明细!$E$4:$E$2003,_自动清单!$G$6,包装物料出入库明细!$B$4:$B$2003,"&gt;="&amp;$AF$1,包装物料出入库明细!$B$4:$B$2003,"&lt;="&amp;$AF$2))</f>
        <v/>
      </c>
      <c r="F172" s="25" t="str">
        <f>IF(OR($B172="",_自动清单!$G$7=""),"",SUMIFS(包装物料出入库明细!$J$4:$J$2003,包装物料出入库明细!$D$4:$D$2003,$B172,包装物料出入库明细!$E$4:$E$2003,_自动清单!$G$7,包装物料出入库明细!$B$4:$B$2003,"&gt;="&amp;$AF$1,包装物料出入库明细!$B$4:$B$2003,"&lt;="&amp;$AF$2))</f>
        <v/>
      </c>
      <c r="G172" s="25" t="str">
        <f>IF(OR($B172="",_自动清单!$G$8=""),"",SUMIFS(包装物料出入库明细!$J$4:$J$2003,包装物料出入库明细!$D$4:$D$2003,$B172,包装物料出入库明细!$E$4:$E$2003,_自动清单!$G$8,包装物料出入库明细!$B$4:$B$2003,"&gt;="&amp;$AF$1,包装物料出入库明细!$B$4:$B$2003,"&lt;="&amp;$AF$2))</f>
        <v/>
      </c>
      <c r="H172" s="25" t="str">
        <f>IF(OR($B172="",_自动清单!$G$9=""),"",SUMIFS(包装物料出入库明细!$J$4:$J$2003,包装物料出入库明细!$D$4:$D$2003,$B172,包装物料出入库明细!$E$4:$E$2003,_自动清单!$G$9,包装物料出入库明细!$B$4:$B$2003,"&gt;="&amp;$AF$1,包装物料出入库明细!$B$4:$B$2003,"&lt;="&amp;$AF$2))</f>
        <v/>
      </c>
      <c r="I172" s="25" t="str">
        <f>IF(OR($B172="",_自动清单!$G$10=""),"",SUMIFS(包装物料出入库明细!$J$4:$J$2003,包装物料出入库明细!$D$4:$D$2003,$B172,包装物料出入库明细!$E$4:$E$2003,_自动清单!$G$10,包装物料出入库明细!$B$4:$B$2003,"&gt;="&amp;$AF$1,包装物料出入库明细!$B$4:$B$2003,"&lt;="&amp;$AF$2))</f>
        <v/>
      </c>
      <c r="J172" s="25" t="str">
        <f>IF(OR($B172="",_自动清单!$G$11=""),"",SUMIFS(包装物料出入库明细!$J$4:$J$2003,包装物料出入库明细!$D$4:$D$2003,$B172,包装物料出入库明细!$E$4:$E$2003,_自动清单!$G$11,包装物料出入库明细!$B$4:$B$2003,"&gt;="&amp;$AF$1,包装物料出入库明细!$B$4:$B$2003,"&lt;="&amp;$AF$2))</f>
        <v/>
      </c>
      <c r="K172" s="25" t="str">
        <f>IF(OR($B172="",_自动清单!$G$12=""),"",SUMIFS(包装物料出入库明细!$J$4:$J$2003,包装物料出入库明细!$D$4:$D$2003,$B172,包装物料出入库明细!$E$4:$E$2003,_自动清单!$G$12,包装物料出入库明细!$B$4:$B$2003,"&gt;="&amp;$AF$1,包装物料出入库明细!$B$4:$B$2003,"&lt;="&amp;$AF$2))</f>
        <v/>
      </c>
      <c r="L172" s="25" t="str">
        <f>IF(OR($B172="",_自动清单!$G$13=""),"",SUMIFS(包装物料出入库明细!$J$4:$J$2003,包装物料出入库明细!$D$4:$D$2003,$B172,包装物料出入库明细!$E$4:$E$2003,_自动清单!$G$13,包装物料出入库明细!$B$4:$B$2003,"&gt;="&amp;$AF$1,包装物料出入库明细!$B$4:$B$2003,"&lt;="&amp;$AF$2))</f>
        <v/>
      </c>
      <c r="M172" s="25" t="str">
        <f>IF(OR($B172="",_自动清单!$G$14=""),"",SUMIFS(包装物料出入库明细!$J$4:$J$2003,包装物料出入库明细!$D$4:$D$2003,$B172,包装物料出入库明细!$E$4:$E$2003,_自动清单!$G$14,包装物料出入库明细!$B$4:$B$2003,"&gt;="&amp;$AF$1,包装物料出入库明细!$B$4:$B$2003,"&lt;="&amp;$AF$2))</f>
        <v/>
      </c>
      <c r="N172" s="25" t="str">
        <f>IF(OR($B172="",_自动清单!$G$15=""),"",SUMIFS(包装物料出入库明细!$J$4:$J$2003,包装物料出入库明细!$D$4:$D$2003,$B172,包装物料出入库明细!$E$4:$E$2003,_自动清单!$G$15,包装物料出入库明细!$B$4:$B$2003,"&gt;="&amp;$AF$1,包装物料出入库明细!$B$4:$B$2003,"&lt;="&amp;$AF$2))</f>
        <v/>
      </c>
      <c r="O172" s="25" t="str">
        <f>IF(OR($B172="",_自动清单!$G$16=""),"",SUMIFS(包装物料出入库明细!$J$4:$J$2003,包装物料出入库明细!$D$4:$D$2003,$B172,包装物料出入库明细!$E$4:$E$2003,_自动清单!$G$16,包装物料出入库明细!$B$4:$B$2003,"&gt;="&amp;$AF$1,包装物料出入库明细!$B$4:$B$2003,"&lt;="&amp;$AF$2))</f>
        <v/>
      </c>
      <c r="P172" s="25" t="str">
        <f>IF(OR($B172="",_自动清单!$G$17=""),"",SUMIFS(包装物料出入库明细!$J$4:$J$2003,包装物料出入库明细!$D$4:$D$2003,$B172,包装物料出入库明细!$E$4:$E$2003,_自动清单!$G$17,包装物料出入库明细!$B$4:$B$2003,"&gt;="&amp;$AF$1,包装物料出入库明细!$B$4:$B$2003,"&lt;="&amp;$AF$2))</f>
        <v/>
      </c>
      <c r="Q172" s="25" t="str">
        <f>IF(OR($B172="",_自动清单!$G$18=""),"",SUMIFS(包装物料出入库明细!$J$4:$J$2003,包装物料出入库明细!$D$4:$D$2003,$B172,包装物料出入库明细!$E$4:$E$2003,_自动清单!$G$18,包装物料出入库明细!$B$4:$B$2003,"&gt;="&amp;$AF$1,包装物料出入库明细!$B$4:$B$2003,"&lt;="&amp;$AF$2))</f>
        <v/>
      </c>
      <c r="R172" s="25" t="str">
        <f>IF(OR($B172="",_自动清单!$G$19=""),"",SUMIFS(包装物料出入库明细!$J$4:$J$2003,包装物料出入库明细!$D$4:$D$2003,$B172,包装物料出入库明细!$E$4:$E$2003,_自动清单!$G$19,包装物料出入库明细!$B$4:$B$2003,"&gt;="&amp;$AF$1,包装物料出入库明细!$B$4:$B$2003,"&lt;="&amp;$AF$2))</f>
        <v/>
      </c>
      <c r="S172" s="25" t="str">
        <f>IF(OR($B172="",_自动清单!$G$20=""),"",SUMIFS(包装物料出入库明细!$J$4:$J$2003,包装物料出入库明细!$D$4:$D$2003,$B172,包装物料出入库明细!$E$4:$E$2003,_自动清单!$G$20,包装物料出入库明细!$B$4:$B$2003,"&gt;="&amp;$AF$1,包装物料出入库明细!$B$4:$B$2003,"&lt;="&amp;$AF$2))</f>
        <v/>
      </c>
      <c r="T172" s="25" t="str">
        <f>IF(OR($B172="",_自动清单!$G$21=""),"",SUMIFS(包装物料出入库明细!$J$4:$J$2003,包装物料出入库明细!$D$4:$D$2003,$B172,包装物料出入库明细!$E$4:$E$2003,_自动清单!$G$21,包装物料出入库明细!$B$4:$B$2003,"&gt;="&amp;$AF$1,包装物料出入库明细!$B$4:$B$2003,"&lt;="&amp;$AF$2))</f>
        <v/>
      </c>
      <c r="U172" s="25" t="str">
        <f>IF($B172="","",SUMIFS(包装物料出入库明细!$J$4:$J$2003,包装物料出入库明细!$D$4:$D$2003,$B172,包装物料出入库明细!$B$4:$B$2003,"&gt;="&amp;$AF$1,包装物料出入库明细!$B$4:$B$2003,"&lt;="&amp;$AF$2)-SUM($C172:$T172))</f>
        <v/>
      </c>
      <c r="V172" s="25" t="str">
        <f t="shared" si="9"/>
        <v/>
      </c>
      <c r="W172" s="56" t="str">
        <f>IF($B172="","",SUMIFS(包装物料出入库明细!$K$4:$K$2003,包装物料出入库明细!$D$4:$D$2003,$B172,包装物料出入库明细!$B$4:$B$2003,"&gt;="&amp;$AF$1,包装物料出入库明细!$B$4:$B$2003,"&lt;="&amp;$AF$2))</f>
        <v/>
      </c>
      <c r="X172" s="25" t="str">
        <f t="shared" si="10"/>
        <v/>
      </c>
      <c r="Y172" s="26" t="str">
        <f>IF($B172="","",ROUND(SUMIFS(包装物料出入库明细!$N$4:$N$2003,包装物料出入库明细!$D$4:$D$2003,$B172,包装物料出入库明细!$H$4:$H$2003,"销售出库",包装物料出入库明细!$B$4:$B$2003,"&gt;="&amp;$AF$1,包装物料出入库明细!$B$4:$B$2003,"&lt;="&amp;$AF$2),2))</f>
        <v/>
      </c>
      <c r="Z172" s="26" t="str">
        <f>IF($B172="","",ROUND(SUMIFS(包装物料出入库明细!$N$4:$N$2003,包装物料出入库明细!$D$4:$D$2003,$B172,包装物料出入库明细!$H$4:$H$2003,"销售出库",包装物料出入库明细!$P$4:$P$2003,"已收讫",包装物料出入库明细!$B$4:$B$2003,"&gt;="&amp;$AF$1,包装物料出入库明细!$B$4:$B$2003,"&lt;="&amp;$AF$2),2))</f>
        <v/>
      </c>
      <c r="AA172" s="26" t="str">
        <f t="shared" si="11"/>
        <v/>
      </c>
      <c r="AB172" s="41"/>
    </row>
    <row r="173" spans="1:28">
      <c r="A173" s="24" t="str">
        <f t="shared" si="8"/>
        <v/>
      </c>
      <c r="B173" s="24" t="str">
        <f>IFERROR(INDEX(_自动清单!$O$4:$O$203,ROW()-3),"")</f>
        <v/>
      </c>
      <c r="C173" s="25" t="str">
        <f>IF(OR($B173="",_自动清单!$G$4=""),"",SUMIFS(包装物料出入库明细!$J$4:$J$2003,包装物料出入库明细!$D$4:$D$2003,$B173,包装物料出入库明细!$E$4:$E$2003,_自动清单!$G$4,包装物料出入库明细!$B$4:$B$2003,"&gt;="&amp;$AF$1,包装物料出入库明细!$B$4:$B$2003,"&lt;="&amp;$AF$2))</f>
        <v/>
      </c>
      <c r="D173" s="25" t="str">
        <f>IF(OR($B173="",_自动清单!$G$5=""),"",SUMIFS(包装物料出入库明细!$J$4:$J$2003,包装物料出入库明细!$D$4:$D$2003,$B173,包装物料出入库明细!$E$4:$E$2003,_自动清单!$G$5,包装物料出入库明细!$B$4:$B$2003,"&gt;="&amp;$AF$1,包装物料出入库明细!$B$4:$B$2003,"&lt;="&amp;$AF$2))</f>
        <v/>
      </c>
      <c r="E173" s="25" t="str">
        <f>IF(OR($B173="",_自动清单!$G$6=""),"",SUMIFS(包装物料出入库明细!$J$4:$J$2003,包装物料出入库明细!$D$4:$D$2003,$B173,包装物料出入库明细!$E$4:$E$2003,_自动清单!$G$6,包装物料出入库明细!$B$4:$B$2003,"&gt;="&amp;$AF$1,包装物料出入库明细!$B$4:$B$2003,"&lt;="&amp;$AF$2))</f>
        <v/>
      </c>
      <c r="F173" s="25" t="str">
        <f>IF(OR($B173="",_自动清单!$G$7=""),"",SUMIFS(包装物料出入库明细!$J$4:$J$2003,包装物料出入库明细!$D$4:$D$2003,$B173,包装物料出入库明细!$E$4:$E$2003,_自动清单!$G$7,包装物料出入库明细!$B$4:$B$2003,"&gt;="&amp;$AF$1,包装物料出入库明细!$B$4:$B$2003,"&lt;="&amp;$AF$2))</f>
        <v/>
      </c>
      <c r="G173" s="25" t="str">
        <f>IF(OR($B173="",_自动清单!$G$8=""),"",SUMIFS(包装物料出入库明细!$J$4:$J$2003,包装物料出入库明细!$D$4:$D$2003,$B173,包装物料出入库明细!$E$4:$E$2003,_自动清单!$G$8,包装物料出入库明细!$B$4:$B$2003,"&gt;="&amp;$AF$1,包装物料出入库明细!$B$4:$B$2003,"&lt;="&amp;$AF$2))</f>
        <v/>
      </c>
      <c r="H173" s="25" t="str">
        <f>IF(OR($B173="",_自动清单!$G$9=""),"",SUMIFS(包装物料出入库明细!$J$4:$J$2003,包装物料出入库明细!$D$4:$D$2003,$B173,包装物料出入库明细!$E$4:$E$2003,_自动清单!$G$9,包装物料出入库明细!$B$4:$B$2003,"&gt;="&amp;$AF$1,包装物料出入库明细!$B$4:$B$2003,"&lt;="&amp;$AF$2))</f>
        <v/>
      </c>
      <c r="I173" s="25" t="str">
        <f>IF(OR($B173="",_自动清单!$G$10=""),"",SUMIFS(包装物料出入库明细!$J$4:$J$2003,包装物料出入库明细!$D$4:$D$2003,$B173,包装物料出入库明细!$E$4:$E$2003,_自动清单!$G$10,包装物料出入库明细!$B$4:$B$2003,"&gt;="&amp;$AF$1,包装物料出入库明细!$B$4:$B$2003,"&lt;="&amp;$AF$2))</f>
        <v/>
      </c>
      <c r="J173" s="25" t="str">
        <f>IF(OR($B173="",_自动清单!$G$11=""),"",SUMIFS(包装物料出入库明细!$J$4:$J$2003,包装物料出入库明细!$D$4:$D$2003,$B173,包装物料出入库明细!$E$4:$E$2003,_自动清单!$G$11,包装物料出入库明细!$B$4:$B$2003,"&gt;="&amp;$AF$1,包装物料出入库明细!$B$4:$B$2003,"&lt;="&amp;$AF$2))</f>
        <v/>
      </c>
      <c r="K173" s="25" t="str">
        <f>IF(OR($B173="",_自动清单!$G$12=""),"",SUMIFS(包装物料出入库明细!$J$4:$J$2003,包装物料出入库明细!$D$4:$D$2003,$B173,包装物料出入库明细!$E$4:$E$2003,_自动清单!$G$12,包装物料出入库明细!$B$4:$B$2003,"&gt;="&amp;$AF$1,包装物料出入库明细!$B$4:$B$2003,"&lt;="&amp;$AF$2))</f>
        <v/>
      </c>
      <c r="L173" s="25" t="str">
        <f>IF(OR($B173="",_自动清单!$G$13=""),"",SUMIFS(包装物料出入库明细!$J$4:$J$2003,包装物料出入库明细!$D$4:$D$2003,$B173,包装物料出入库明细!$E$4:$E$2003,_自动清单!$G$13,包装物料出入库明细!$B$4:$B$2003,"&gt;="&amp;$AF$1,包装物料出入库明细!$B$4:$B$2003,"&lt;="&amp;$AF$2))</f>
        <v/>
      </c>
      <c r="M173" s="25" t="str">
        <f>IF(OR($B173="",_自动清单!$G$14=""),"",SUMIFS(包装物料出入库明细!$J$4:$J$2003,包装物料出入库明细!$D$4:$D$2003,$B173,包装物料出入库明细!$E$4:$E$2003,_自动清单!$G$14,包装物料出入库明细!$B$4:$B$2003,"&gt;="&amp;$AF$1,包装物料出入库明细!$B$4:$B$2003,"&lt;="&amp;$AF$2))</f>
        <v/>
      </c>
      <c r="N173" s="25" t="str">
        <f>IF(OR($B173="",_自动清单!$G$15=""),"",SUMIFS(包装物料出入库明细!$J$4:$J$2003,包装物料出入库明细!$D$4:$D$2003,$B173,包装物料出入库明细!$E$4:$E$2003,_自动清单!$G$15,包装物料出入库明细!$B$4:$B$2003,"&gt;="&amp;$AF$1,包装物料出入库明细!$B$4:$B$2003,"&lt;="&amp;$AF$2))</f>
        <v/>
      </c>
      <c r="O173" s="25" t="str">
        <f>IF(OR($B173="",_自动清单!$G$16=""),"",SUMIFS(包装物料出入库明细!$J$4:$J$2003,包装物料出入库明细!$D$4:$D$2003,$B173,包装物料出入库明细!$E$4:$E$2003,_自动清单!$G$16,包装物料出入库明细!$B$4:$B$2003,"&gt;="&amp;$AF$1,包装物料出入库明细!$B$4:$B$2003,"&lt;="&amp;$AF$2))</f>
        <v/>
      </c>
      <c r="P173" s="25" t="str">
        <f>IF(OR($B173="",_自动清单!$G$17=""),"",SUMIFS(包装物料出入库明细!$J$4:$J$2003,包装物料出入库明细!$D$4:$D$2003,$B173,包装物料出入库明细!$E$4:$E$2003,_自动清单!$G$17,包装物料出入库明细!$B$4:$B$2003,"&gt;="&amp;$AF$1,包装物料出入库明细!$B$4:$B$2003,"&lt;="&amp;$AF$2))</f>
        <v/>
      </c>
      <c r="Q173" s="25" t="str">
        <f>IF(OR($B173="",_自动清单!$G$18=""),"",SUMIFS(包装物料出入库明细!$J$4:$J$2003,包装物料出入库明细!$D$4:$D$2003,$B173,包装物料出入库明细!$E$4:$E$2003,_自动清单!$G$18,包装物料出入库明细!$B$4:$B$2003,"&gt;="&amp;$AF$1,包装物料出入库明细!$B$4:$B$2003,"&lt;="&amp;$AF$2))</f>
        <v/>
      </c>
      <c r="R173" s="25" t="str">
        <f>IF(OR($B173="",_自动清单!$G$19=""),"",SUMIFS(包装物料出入库明细!$J$4:$J$2003,包装物料出入库明细!$D$4:$D$2003,$B173,包装物料出入库明细!$E$4:$E$2003,_自动清单!$G$19,包装物料出入库明细!$B$4:$B$2003,"&gt;="&amp;$AF$1,包装物料出入库明细!$B$4:$B$2003,"&lt;="&amp;$AF$2))</f>
        <v/>
      </c>
      <c r="S173" s="25" t="str">
        <f>IF(OR($B173="",_自动清单!$G$20=""),"",SUMIFS(包装物料出入库明细!$J$4:$J$2003,包装物料出入库明细!$D$4:$D$2003,$B173,包装物料出入库明细!$E$4:$E$2003,_自动清单!$G$20,包装物料出入库明细!$B$4:$B$2003,"&gt;="&amp;$AF$1,包装物料出入库明细!$B$4:$B$2003,"&lt;="&amp;$AF$2))</f>
        <v/>
      </c>
      <c r="T173" s="25" t="str">
        <f>IF(OR($B173="",_自动清单!$G$21=""),"",SUMIFS(包装物料出入库明细!$J$4:$J$2003,包装物料出入库明细!$D$4:$D$2003,$B173,包装物料出入库明细!$E$4:$E$2003,_自动清单!$G$21,包装物料出入库明细!$B$4:$B$2003,"&gt;="&amp;$AF$1,包装物料出入库明细!$B$4:$B$2003,"&lt;="&amp;$AF$2))</f>
        <v/>
      </c>
      <c r="U173" s="25" t="str">
        <f>IF($B173="","",SUMIFS(包装物料出入库明细!$J$4:$J$2003,包装物料出入库明细!$D$4:$D$2003,$B173,包装物料出入库明细!$B$4:$B$2003,"&gt;="&amp;$AF$1,包装物料出入库明细!$B$4:$B$2003,"&lt;="&amp;$AF$2)-SUM($C173:$T173))</f>
        <v/>
      </c>
      <c r="V173" s="25" t="str">
        <f t="shared" si="9"/>
        <v/>
      </c>
      <c r="W173" s="56" t="str">
        <f>IF($B173="","",SUMIFS(包装物料出入库明细!$K$4:$K$2003,包装物料出入库明细!$D$4:$D$2003,$B173,包装物料出入库明细!$B$4:$B$2003,"&gt;="&amp;$AF$1,包装物料出入库明细!$B$4:$B$2003,"&lt;="&amp;$AF$2))</f>
        <v/>
      </c>
      <c r="X173" s="25" t="str">
        <f t="shared" si="10"/>
        <v/>
      </c>
      <c r="Y173" s="26" t="str">
        <f>IF($B173="","",ROUND(SUMIFS(包装物料出入库明细!$N$4:$N$2003,包装物料出入库明细!$D$4:$D$2003,$B173,包装物料出入库明细!$H$4:$H$2003,"销售出库",包装物料出入库明细!$B$4:$B$2003,"&gt;="&amp;$AF$1,包装物料出入库明细!$B$4:$B$2003,"&lt;="&amp;$AF$2),2))</f>
        <v/>
      </c>
      <c r="Z173" s="26" t="str">
        <f>IF($B173="","",ROUND(SUMIFS(包装物料出入库明细!$N$4:$N$2003,包装物料出入库明细!$D$4:$D$2003,$B173,包装物料出入库明细!$H$4:$H$2003,"销售出库",包装物料出入库明细!$P$4:$P$2003,"已收讫",包装物料出入库明细!$B$4:$B$2003,"&gt;="&amp;$AF$1,包装物料出入库明细!$B$4:$B$2003,"&lt;="&amp;$AF$2),2))</f>
        <v/>
      </c>
      <c r="AA173" s="26" t="str">
        <f t="shared" si="11"/>
        <v/>
      </c>
      <c r="AB173" s="41"/>
    </row>
    <row r="174" spans="1:28">
      <c r="A174" s="24" t="str">
        <f t="shared" si="8"/>
        <v/>
      </c>
      <c r="B174" s="24" t="str">
        <f>IFERROR(INDEX(_自动清单!$O$4:$O$203,ROW()-3),"")</f>
        <v/>
      </c>
      <c r="C174" s="25" t="str">
        <f>IF(OR($B174="",_自动清单!$G$4=""),"",SUMIFS(包装物料出入库明细!$J$4:$J$2003,包装物料出入库明细!$D$4:$D$2003,$B174,包装物料出入库明细!$E$4:$E$2003,_自动清单!$G$4,包装物料出入库明细!$B$4:$B$2003,"&gt;="&amp;$AF$1,包装物料出入库明细!$B$4:$B$2003,"&lt;="&amp;$AF$2))</f>
        <v/>
      </c>
      <c r="D174" s="25" t="str">
        <f>IF(OR($B174="",_自动清单!$G$5=""),"",SUMIFS(包装物料出入库明细!$J$4:$J$2003,包装物料出入库明细!$D$4:$D$2003,$B174,包装物料出入库明细!$E$4:$E$2003,_自动清单!$G$5,包装物料出入库明细!$B$4:$B$2003,"&gt;="&amp;$AF$1,包装物料出入库明细!$B$4:$B$2003,"&lt;="&amp;$AF$2))</f>
        <v/>
      </c>
      <c r="E174" s="25" t="str">
        <f>IF(OR($B174="",_自动清单!$G$6=""),"",SUMIFS(包装物料出入库明细!$J$4:$J$2003,包装物料出入库明细!$D$4:$D$2003,$B174,包装物料出入库明细!$E$4:$E$2003,_自动清单!$G$6,包装物料出入库明细!$B$4:$B$2003,"&gt;="&amp;$AF$1,包装物料出入库明细!$B$4:$B$2003,"&lt;="&amp;$AF$2))</f>
        <v/>
      </c>
      <c r="F174" s="25" t="str">
        <f>IF(OR($B174="",_自动清单!$G$7=""),"",SUMIFS(包装物料出入库明细!$J$4:$J$2003,包装物料出入库明细!$D$4:$D$2003,$B174,包装物料出入库明细!$E$4:$E$2003,_自动清单!$G$7,包装物料出入库明细!$B$4:$B$2003,"&gt;="&amp;$AF$1,包装物料出入库明细!$B$4:$B$2003,"&lt;="&amp;$AF$2))</f>
        <v/>
      </c>
      <c r="G174" s="25" t="str">
        <f>IF(OR($B174="",_自动清单!$G$8=""),"",SUMIFS(包装物料出入库明细!$J$4:$J$2003,包装物料出入库明细!$D$4:$D$2003,$B174,包装物料出入库明细!$E$4:$E$2003,_自动清单!$G$8,包装物料出入库明细!$B$4:$B$2003,"&gt;="&amp;$AF$1,包装物料出入库明细!$B$4:$B$2003,"&lt;="&amp;$AF$2))</f>
        <v/>
      </c>
      <c r="H174" s="25" t="str">
        <f>IF(OR($B174="",_自动清单!$G$9=""),"",SUMIFS(包装物料出入库明细!$J$4:$J$2003,包装物料出入库明细!$D$4:$D$2003,$B174,包装物料出入库明细!$E$4:$E$2003,_自动清单!$G$9,包装物料出入库明细!$B$4:$B$2003,"&gt;="&amp;$AF$1,包装物料出入库明细!$B$4:$B$2003,"&lt;="&amp;$AF$2))</f>
        <v/>
      </c>
      <c r="I174" s="25" t="str">
        <f>IF(OR($B174="",_自动清单!$G$10=""),"",SUMIFS(包装物料出入库明细!$J$4:$J$2003,包装物料出入库明细!$D$4:$D$2003,$B174,包装物料出入库明细!$E$4:$E$2003,_自动清单!$G$10,包装物料出入库明细!$B$4:$B$2003,"&gt;="&amp;$AF$1,包装物料出入库明细!$B$4:$B$2003,"&lt;="&amp;$AF$2))</f>
        <v/>
      </c>
      <c r="J174" s="25" t="str">
        <f>IF(OR($B174="",_自动清单!$G$11=""),"",SUMIFS(包装物料出入库明细!$J$4:$J$2003,包装物料出入库明细!$D$4:$D$2003,$B174,包装物料出入库明细!$E$4:$E$2003,_自动清单!$G$11,包装物料出入库明细!$B$4:$B$2003,"&gt;="&amp;$AF$1,包装物料出入库明细!$B$4:$B$2003,"&lt;="&amp;$AF$2))</f>
        <v/>
      </c>
      <c r="K174" s="25" t="str">
        <f>IF(OR($B174="",_自动清单!$G$12=""),"",SUMIFS(包装物料出入库明细!$J$4:$J$2003,包装物料出入库明细!$D$4:$D$2003,$B174,包装物料出入库明细!$E$4:$E$2003,_自动清单!$G$12,包装物料出入库明细!$B$4:$B$2003,"&gt;="&amp;$AF$1,包装物料出入库明细!$B$4:$B$2003,"&lt;="&amp;$AF$2))</f>
        <v/>
      </c>
      <c r="L174" s="25" t="str">
        <f>IF(OR($B174="",_自动清单!$G$13=""),"",SUMIFS(包装物料出入库明细!$J$4:$J$2003,包装物料出入库明细!$D$4:$D$2003,$B174,包装物料出入库明细!$E$4:$E$2003,_自动清单!$G$13,包装物料出入库明细!$B$4:$B$2003,"&gt;="&amp;$AF$1,包装物料出入库明细!$B$4:$B$2003,"&lt;="&amp;$AF$2))</f>
        <v/>
      </c>
      <c r="M174" s="25" t="str">
        <f>IF(OR($B174="",_自动清单!$G$14=""),"",SUMIFS(包装物料出入库明细!$J$4:$J$2003,包装物料出入库明细!$D$4:$D$2003,$B174,包装物料出入库明细!$E$4:$E$2003,_自动清单!$G$14,包装物料出入库明细!$B$4:$B$2003,"&gt;="&amp;$AF$1,包装物料出入库明细!$B$4:$B$2003,"&lt;="&amp;$AF$2))</f>
        <v/>
      </c>
      <c r="N174" s="25" t="str">
        <f>IF(OR($B174="",_自动清单!$G$15=""),"",SUMIFS(包装物料出入库明细!$J$4:$J$2003,包装物料出入库明细!$D$4:$D$2003,$B174,包装物料出入库明细!$E$4:$E$2003,_自动清单!$G$15,包装物料出入库明细!$B$4:$B$2003,"&gt;="&amp;$AF$1,包装物料出入库明细!$B$4:$B$2003,"&lt;="&amp;$AF$2))</f>
        <v/>
      </c>
      <c r="O174" s="25" t="str">
        <f>IF(OR($B174="",_自动清单!$G$16=""),"",SUMIFS(包装物料出入库明细!$J$4:$J$2003,包装物料出入库明细!$D$4:$D$2003,$B174,包装物料出入库明细!$E$4:$E$2003,_自动清单!$G$16,包装物料出入库明细!$B$4:$B$2003,"&gt;="&amp;$AF$1,包装物料出入库明细!$B$4:$B$2003,"&lt;="&amp;$AF$2))</f>
        <v/>
      </c>
      <c r="P174" s="25" t="str">
        <f>IF(OR($B174="",_自动清单!$G$17=""),"",SUMIFS(包装物料出入库明细!$J$4:$J$2003,包装物料出入库明细!$D$4:$D$2003,$B174,包装物料出入库明细!$E$4:$E$2003,_自动清单!$G$17,包装物料出入库明细!$B$4:$B$2003,"&gt;="&amp;$AF$1,包装物料出入库明细!$B$4:$B$2003,"&lt;="&amp;$AF$2))</f>
        <v/>
      </c>
      <c r="Q174" s="25" t="str">
        <f>IF(OR($B174="",_自动清单!$G$18=""),"",SUMIFS(包装物料出入库明细!$J$4:$J$2003,包装物料出入库明细!$D$4:$D$2003,$B174,包装物料出入库明细!$E$4:$E$2003,_自动清单!$G$18,包装物料出入库明细!$B$4:$B$2003,"&gt;="&amp;$AF$1,包装物料出入库明细!$B$4:$B$2003,"&lt;="&amp;$AF$2))</f>
        <v/>
      </c>
      <c r="R174" s="25" t="str">
        <f>IF(OR($B174="",_自动清单!$G$19=""),"",SUMIFS(包装物料出入库明细!$J$4:$J$2003,包装物料出入库明细!$D$4:$D$2003,$B174,包装物料出入库明细!$E$4:$E$2003,_自动清单!$G$19,包装物料出入库明细!$B$4:$B$2003,"&gt;="&amp;$AF$1,包装物料出入库明细!$B$4:$B$2003,"&lt;="&amp;$AF$2))</f>
        <v/>
      </c>
      <c r="S174" s="25" t="str">
        <f>IF(OR($B174="",_自动清单!$G$20=""),"",SUMIFS(包装物料出入库明细!$J$4:$J$2003,包装物料出入库明细!$D$4:$D$2003,$B174,包装物料出入库明细!$E$4:$E$2003,_自动清单!$G$20,包装物料出入库明细!$B$4:$B$2003,"&gt;="&amp;$AF$1,包装物料出入库明细!$B$4:$B$2003,"&lt;="&amp;$AF$2))</f>
        <v/>
      </c>
      <c r="T174" s="25" t="str">
        <f>IF(OR($B174="",_自动清单!$G$21=""),"",SUMIFS(包装物料出入库明细!$J$4:$J$2003,包装物料出入库明细!$D$4:$D$2003,$B174,包装物料出入库明细!$E$4:$E$2003,_自动清单!$G$21,包装物料出入库明细!$B$4:$B$2003,"&gt;="&amp;$AF$1,包装物料出入库明细!$B$4:$B$2003,"&lt;="&amp;$AF$2))</f>
        <v/>
      </c>
      <c r="U174" s="25" t="str">
        <f>IF($B174="","",SUMIFS(包装物料出入库明细!$J$4:$J$2003,包装物料出入库明细!$D$4:$D$2003,$B174,包装物料出入库明细!$B$4:$B$2003,"&gt;="&amp;$AF$1,包装物料出入库明细!$B$4:$B$2003,"&lt;="&amp;$AF$2)-SUM($C174:$T174))</f>
        <v/>
      </c>
      <c r="V174" s="25" t="str">
        <f t="shared" si="9"/>
        <v/>
      </c>
      <c r="W174" s="56" t="str">
        <f>IF($B174="","",SUMIFS(包装物料出入库明细!$K$4:$K$2003,包装物料出入库明细!$D$4:$D$2003,$B174,包装物料出入库明细!$B$4:$B$2003,"&gt;="&amp;$AF$1,包装物料出入库明细!$B$4:$B$2003,"&lt;="&amp;$AF$2))</f>
        <v/>
      </c>
      <c r="X174" s="25" t="str">
        <f t="shared" si="10"/>
        <v/>
      </c>
      <c r="Y174" s="26" t="str">
        <f>IF($B174="","",ROUND(SUMIFS(包装物料出入库明细!$N$4:$N$2003,包装物料出入库明细!$D$4:$D$2003,$B174,包装物料出入库明细!$H$4:$H$2003,"销售出库",包装物料出入库明细!$B$4:$B$2003,"&gt;="&amp;$AF$1,包装物料出入库明细!$B$4:$B$2003,"&lt;="&amp;$AF$2),2))</f>
        <v/>
      </c>
      <c r="Z174" s="26" t="str">
        <f>IF($B174="","",ROUND(SUMIFS(包装物料出入库明细!$N$4:$N$2003,包装物料出入库明细!$D$4:$D$2003,$B174,包装物料出入库明细!$H$4:$H$2003,"销售出库",包装物料出入库明细!$P$4:$P$2003,"已收讫",包装物料出入库明细!$B$4:$B$2003,"&gt;="&amp;$AF$1,包装物料出入库明细!$B$4:$B$2003,"&lt;="&amp;$AF$2),2))</f>
        <v/>
      </c>
      <c r="AA174" s="26" t="str">
        <f t="shared" si="11"/>
        <v/>
      </c>
      <c r="AB174" s="41"/>
    </row>
    <row r="175" spans="1:28">
      <c r="A175" s="24" t="str">
        <f t="shared" si="8"/>
        <v/>
      </c>
      <c r="B175" s="24" t="str">
        <f>IFERROR(INDEX(_自动清单!$O$4:$O$203,ROW()-3),"")</f>
        <v/>
      </c>
      <c r="C175" s="25" t="str">
        <f>IF(OR($B175="",_自动清单!$G$4=""),"",SUMIFS(包装物料出入库明细!$J$4:$J$2003,包装物料出入库明细!$D$4:$D$2003,$B175,包装物料出入库明细!$E$4:$E$2003,_自动清单!$G$4,包装物料出入库明细!$B$4:$B$2003,"&gt;="&amp;$AF$1,包装物料出入库明细!$B$4:$B$2003,"&lt;="&amp;$AF$2))</f>
        <v/>
      </c>
      <c r="D175" s="25" t="str">
        <f>IF(OR($B175="",_自动清单!$G$5=""),"",SUMIFS(包装物料出入库明细!$J$4:$J$2003,包装物料出入库明细!$D$4:$D$2003,$B175,包装物料出入库明细!$E$4:$E$2003,_自动清单!$G$5,包装物料出入库明细!$B$4:$B$2003,"&gt;="&amp;$AF$1,包装物料出入库明细!$B$4:$B$2003,"&lt;="&amp;$AF$2))</f>
        <v/>
      </c>
      <c r="E175" s="25" t="str">
        <f>IF(OR($B175="",_自动清单!$G$6=""),"",SUMIFS(包装物料出入库明细!$J$4:$J$2003,包装物料出入库明细!$D$4:$D$2003,$B175,包装物料出入库明细!$E$4:$E$2003,_自动清单!$G$6,包装物料出入库明细!$B$4:$B$2003,"&gt;="&amp;$AF$1,包装物料出入库明细!$B$4:$B$2003,"&lt;="&amp;$AF$2))</f>
        <v/>
      </c>
      <c r="F175" s="25" t="str">
        <f>IF(OR($B175="",_自动清单!$G$7=""),"",SUMIFS(包装物料出入库明细!$J$4:$J$2003,包装物料出入库明细!$D$4:$D$2003,$B175,包装物料出入库明细!$E$4:$E$2003,_自动清单!$G$7,包装物料出入库明细!$B$4:$B$2003,"&gt;="&amp;$AF$1,包装物料出入库明细!$B$4:$B$2003,"&lt;="&amp;$AF$2))</f>
        <v/>
      </c>
      <c r="G175" s="25" t="str">
        <f>IF(OR($B175="",_自动清单!$G$8=""),"",SUMIFS(包装物料出入库明细!$J$4:$J$2003,包装物料出入库明细!$D$4:$D$2003,$B175,包装物料出入库明细!$E$4:$E$2003,_自动清单!$G$8,包装物料出入库明细!$B$4:$B$2003,"&gt;="&amp;$AF$1,包装物料出入库明细!$B$4:$B$2003,"&lt;="&amp;$AF$2))</f>
        <v/>
      </c>
      <c r="H175" s="25" t="str">
        <f>IF(OR($B175="",_自动清单!$G$9=""),"",SUMIFS(包装物料出入库明细!$J$4:$J$2003,包装物料出入库明细!$D$4:$D$2003,$B175,包装物料出入库明细!$E$4:$E$2003,_自动清单!$G$9,包装物料出入库明细!$B$4:$B$2003,"&gt;="&amp;$AF$1,包装物料出入库明细!$B$4:$B$2003,"&lt;="&amp;$AF$2))</f>
        <v/>
      </c>
      <c r="I175" s="25" t="str">
        <f>IF(OR($B175="",_自动清单!$G$10=""),"",SUMIFS(包装物料出入库明细!$J$4:$J$2003,包装物料出入库明细!$D$4:$D$2003,$B175,包装物料出入库明细!$E$4:$E$2003,_自动清单!$G$10,包装物料出入库明细!$B$4:$B$2003,"&gt;="&amp;$AF$1,包装物料出入库明细!$B$4:$B$2003,"&lt;="&amp;$AF$2))</f>
        <v/>
      </c>
      <c r="J175" s="25" t="str">
        <f>IF(OR($B175="",_自动清单!$G$11=""),"",SUMIFS(包装物料出入库明细!$J$4:$J$2003,包装物料出入库明细!$D$4:$D$2003,$B175,包装物料出入库明细!$E$4:$E$2003,_自动清单!$G$11,包装物料出入库明细!$B$4:$B$2003,"&gt;="&amp;$AF$1,包装物料出入库明细!$B$4:$B$2003,"&lt;="&amp;$AF$2))</f>
        <v/>
      </c>
      <c r="K175" s="25" t="str">
        <f>IF(OR($B175="",_自动清单!$G$12=""),"",SUMIFS(包装物料出入库明细!$J$4:$J$2003,包装物料出入库明细!$D$4:$D$2003,$B175,包装物料出入库明细!$E$4:$E$2003,_自动清单!$G$12,包装物料出入库明细!$B$4:$B$2003,"&gt;="&amp;$AF$1,包装物料出入库明细!$B$4:$B$2003,"&lt;="&amp;$AF$2))</f>
        <v/>
      </c>
      <c r="L175" s="25" t="str">
        <f>IF(OR($B175="",_自动清单!$G$13=""),"",SUMIFS(包装物料出入库明细!$J$4:$J$2003,包装物料出入库明细!$D$4:$D$2003,$B175,包装物料出入库明细!$E$4:$E$2003,_自动清单!$G$13,包装物料出入库明细!$B$4:$B$2003,"&gt;="&amp;$AF$1,包装物料出入库明细!$B$4:$B$2003,"&lt;="&amp;$AF$2))</f>
        <v/>
      </c>
      <c r="M175" s="25" t="str">
        <f>IF(OR($B175="",_自动清单!$G$14=""),"",SUMIFS(包装物料出入库明细!$J$4:$J$2003,包装物料出入库明细!$D$4:$D$2003,$B175,包装物料出入库明细!$E$4:$E$2003,_自动清单!$G$14,包装物料出入库明细!$B$4:$B$2003,"&gt;="&amp;$AF$1,包装物料出入库明细!$B$4:$B$2003,"&lt;="&amp;$AF$2))</f>
        <v/>
      </c>
      <c r="N175" s="25" t="str">
        <f>IF(OR($B175="",_自动清单!$G$15=""),"",SUMIFS(包装物料出入库明细!$J$4:$J$2003,包装物料出入库明细!$D$4:$D$2003,$B175,包装物料出入库明细!$E$4:$E$2003,_自动清单!$G$15,包装物料出入库明细!$B$4:$B$2003,"&gt;="&amp;$AF$1,包装物料出入库明细!$B$4:$B$2003,"&lt;="&amp;$AF$2))</f>
        <v/>
      </c>
      <c r="O175" s="25" t="str">
        <f>IF(OR($B175="",_自动清单!$G$16=""),"",SUMIFS(包装物料出入库明细!$J$4:$J$2003,包装物料出入库明细!$D$4:$D$2003,$B175,包装物料出入库明细!$E$4:$E$2003,_自动清单!$G$16,包装物料出入库明细!$B$4:$B$2003,"&gt;="&amp;$AF$1,包装物料出入库明细!$B$4:$B$2003,"&lt;="&amp;$AF$2))</f>
        <v/>
      </c>
      <c r="P175" s="25" t="str">
        <f>IF(OR($B175="",_自动清单!$G$17=""),"",SUMIFS(包装物料出入库明细!$J$4:$J$2003,包装物料出入库明细!$D$4:$D$2003,$B175,包装物料出入库明细!$E$4:$E$2003,_自动清单!$G$17,包装物料出入库明细!$B$4:$B$2003,"&gt;="&amp;$AF$1,包装物料出入库明细!$B$4:$B$2003,"&lt;="&amp;$AF$2))</f>
        <v/>
      </c>
      <c r="Q175" s="25" t="str">
        <f>IF(OR($B175="",_自动清单!$G$18=""),"",SUMIFS(包装物料出入库明细!$J$4:$J$2003,包装物料出入库明细!$D$4:$D$2003,$B175,包装物料出入库明细!$E$4:$E$2003,_自动清单!$G$18,包装物料出入库明细!$B$4:$B$2003,"&gt;="&amp;$AF$1,包装物料出入库明细!$B$4:$B$2003,"&lt;="&amp;$AF$2))</f>
        <v/>
      </c>
      <c r="R175" s="25" t="str">
        <f>IF(OR($B175="",_自动清单!$G$19=""),"",SUMIFS(包装物料出入库明细!$J$4:$J$2003,包装物料出入库明细!$D$4:$D$2003,$B175,包装物料出入库明细!$E$4:$E$2003,_自动清单!$G$19,包装物料出入库明细!$B$4:$B$2003,"&gt;="&amp;$AF$1,包装物料出入库明细!$B$4:$B$2003,"&lt;="&amp;$AF$2))</f>
        <v/>
      </c>
      <c r="S175" s="25" t="str">
        <f>IF(OR($B175="",_自动清单!$G$20=""),"",SUMIFS(包装物料出入库明细!$J$4:$J$2003,包装物料出入库明细!$D$4:$D$2003,$B175,包装物料出入库明细!$E$4:$E$2003,_自动清单!$G$20,包装物料出入库明细!$B$4:$B$2003,"&gt;="&amp;$AF$1,包装物料出入库明细!$B$4:$B$2003,"&lt;="&amp;$AF$2))</f>
        <v/>
      </c>
      <c r="T175" s="25" t="str">
        <f>IF(OR($B175="",_自动清单!$G$21=""),"",SUMIFS(包装物料出入库明细!$J$4:$J$2003,包装物料出入库明细!$D$4:$D$2003,$B175,包装物料出入库明细!$E$4:$E$2003,_自动清单!$G$21,包装物料出入库明细!$B$4:$B$2003,"&gt;="&amp;$AF$1,包装物料出入库明细!$B$4:$B$2003,"&lt;="&amp;$AF$2))</f>
        <v/>
      </c>
      <c r="U175" s="25" t="str">
        <f>IF($B175="","",SUMIFS(包装物料出入库明细!$J$4:$J$2003,包装物料出入库明细!$D$4:$D$2003,$B175,包装物料出入库明细!$B$4:$B$2003,"&gt;="&amp;$AF$1,包装物料出入库明细!$B$4:$B$2003,"&lt;="&amp;$AF$2)-SUM($C175:$T175))</f>
        <v/>
      </c>
      <c r="V175" s="25" t="str">
        <f t="shared" si="9"/>
        <v/>
      </c>
      <c r="W175" s="56" t="str">
        <f>IF($B175="","",SUMIFS(包装物料出入库明细!$K$4:$K$2003,包装物料出入库明细!$D$4:$D$2003,$B175,包装物料出入库明细!$B$4:$B$2003,"&gt;="&amp;$AF$1,包装物料出入库明细!$B$4:$B$2003,"&lt;="&amp;$AF$2))</f>
        <v/>
      </c>
      <c r="X175" s="25" t="str">
        <f t="shared" si="10"/>
        <v/>
      </c>
      <c r="Y175" s="26" t="str">
        <f>IF($B175="","",ROUND(SUMIFS(包装物料出入库明细!$N$4:$N$2003,包装物料出入库明细!$D$4:$D$2003,$B175,包装物料出入库明细!$H$4:$H$2003,"销售出库",包装物料出入库明细!$B$4:$B$2003,"&gt;="&amp;$AF$1,包装物料出入库明细!$B$4:$B$2003,"&lt;="&amp;$AF$2),2))</f>
        <v/>
      </c>
      <c r="Z175" s="26" t="str">
        <f>IF($B175="","",ROUND(SUMIFS(包装物料出入库明细!$N$4:$N$2003,包装物料出入库明细!$D$4:$D$2003,$B175,包装物料出入库明细!$H$4:$H$2003,"销售出库",包装物料出入库明细!$P$4:$P$2003,"已收讫",包装物料出入库明细!$B$4:$B$2003,"&gt;="&amp;$AF$1,包装物料出入库明细!$B$4:$B$2003,"&lt;="&amp;$AF$2),2))</f>
        <v/>
      </c>
      <c r="AA175" s="26" t="str">
        <f t="shared" si="11"/>
        <v/>
      </c>
      <c r="AB175" s="41"/>
    </row>
    <row r="176" spans="1:28">
      <c r="A176" s="24" t="str">
        <f t="shared" si="8"/>
        <v/>
      </c>
      <c r="B176" s="24" t="str">
        <f>IFERROR(INDEX(_自动清单!$O$4:$O$203,ROW()-3),"")</f>
        <v/>
      </c>
      <c r="C176" s="25" t="str">
        <f>IF(OR($B176="",_自动清单!$G$4=""),"",SUMIFS(包装物料出入库明细!$J$4:$J$2003,包装物料出入库明细!$D$4:$D$2003,$B176,包装物料出入库明细!$E$4:$E$2003,_自动清单!$G$4,包装物料出入库明细!$B$4:$B$2003,"&gt;="&amp;$AF$1,包装物料出入库明细!$B$4:$B$2003,"&lt;="&amp;$AF$2))</f>
        <v/>
      </c>
      <c r="D176" s="25" t="str">
        <f>IF(OR($B176="",_自动清单!$G$5=""),"",SUMIFS(包装物料出入库明细!$J$4:$J$2003,包装物料出入库明细!$D$4:$D$2003,$B176,包装物料出入库明细!$E$4:$E$2003,_自动清单!$G$5,包装物料出入库明细!$B$4:$B$2003,"&gt;="&amp;$AF$1,包装物料出入库明细!$B$4:$B$2003,"&lt;="&amp;$AF$2))</f>
        <v/>
      </c>
      <c r="E176" s="25" t="str">
        <f>IF(OR($B176="",_自动清单!$G$6=""),"",SUMIFS(包装物料出入库明细!$J$4:$J$2003,包装物料出入库明细!$D$4:$D$2003,$B176,包装物料出入库明细!$E$4:$E$2003,_自动清单!$G$6,包装物料出入库明细!$B$4:$B$2003,"&gt;="&amp;$AF$1,包装物料出入库明细!$B$4:$B$2003,"&lt;="&amp;$AF$2))</f>
        <v/>
      </c>
      <c r="F176" s="25" t="str">
        <f>IF(OR($B176="",_自动清单!$G$7=""),"",SUMIFS(包装物料出入库明细!$J$4:$J$2003,包装物料出入库明细!$D$4:$D$2003,$B176,包装物料出入库明细!$E$4:$E$2003,_自动清单!$G$7,包装物料出入库明细!$B$4:$B$2003,"&gt;="&amp;$AF$1,包装物料出入库明细!$B$4:$B$2003,"&lt;="&amp;$AF$2))</f>
        <v/>
      </c>
      <c r="G176" s="25" t="str">
        <f>IF(OR($B176="",_自动清单!$G$8=""),"",SUMIFS(包装物料出入库明细!$J$4:$J$2003,包装物料出入库明细!$D$4:$D$2003,$B176,包装物料出入库明细!$E$4:$E$2003,_自动清单!$G$8,包装物料出入库明细!$B$4:$B$2003,"&gt;="&amp;$AF$1,包装物料出入库明细!$B$4:$B$2003,"&lt;="&amp;$AF$2))</f>
        <v/>
      </c>
      <c r="H176" s="25" t="str">
        <f>IF(OR($B176="",_自动清单!$G$9=""),"",SUMIFS(包装物料出入库明细!$J$4:$J$2003,包装物料出入库明细!$D$4:$D$2003,$B176,包装物料出入库明细!$E$4:$E$2003,_自动清单!$G$9,包装物料出入库明细!$B$4:$B$2003,"&gt;="&amp;$AF$1,包装物料出入库明细!$B$4:$B$2003,"&lt;="&amp;$AF$2))</f>
        <v/>
      </c>
      <c r="I176" s="25" t="str">
        <f>IF(OR($B176="",_自动清单!$G$10=""),"",SUMIFS(包装物料出入库明细!$J$4:$J$2003,包装物料出入库明细!$D$4:$D$2003,$B176,包装物料出入库明细!$E$4:$E$2003,_自动清单!$G$10,包装物料出入库明细!$B$4:$B$2003,"&gt;="&amp;$AF$1,包装物料出入库明细!$B$4:$B$2003,"&lt;="&amp;$AF$2))</f>
        <v/>
      </c>
      <c r="J176" s="25" t="str">
        <f>IF(OR($B176="",_自动清单!$G$11=""),"",SUMIFS(包装物料出入库明细!$J$4:$J$2003,包装物料出入库明细!$D$4:$D$2003,$B176,包装物料出入库明细!$E$4:$E$2003,_自动清单!$G$11,包装物料出入库明细!$B$4:$B$2003,"&gt;="&amp;$AF$1,包装物料出入库明细!$B$4:$B$2003,"&lt;="&amp;$AF$2))</f>
        <v/>
      </c>
      <c r="K176" s="25" t="str">
        <f>IF(OR($B176="",_自动清单!$G$12=""),"",SUMIFS(包装物料出入库明细!$J$4:$J$2003,包装物料出入库明细!$D$4:$D$2003,$B176,包装物料出入库明细!$E$4:$E$2003,_自动清单!$G$12,包装物料出入库明细!$B$4:$B$2003,"&gt;="&amp;$AF$1,包装物料出入库明细!$B$4:$B$2003,"&lt;="&amp;$AF$2))</f>
        <v/>
      </c>
      <c r="L176" s="25" t="str">
        <f>IF(OR($B176="",_自动清单!$G$13=""),"",SUMIFS(包装物料出入库明细!$J$4:$J$2003,包装物料出入库明细!$D$4:$D$2003,$B176,包装物料出入库明细!$E$4:$E$2003,_自动清单!$G$13,包装物料出入库明细!$B$4:$B$2003,"&gt;="&amp;$AF$1,包装物料出入库明细!$B$4:$B$2003,"&lt;="&amp;$AF$2))</f>
        <v/>
      </c>
      <c r="M176" s="25" t="str">
        <f>IF(OR($B176="",_自动清单!$G$14=""),"",SUMIFS(包装物料出入库明细!$J$4:$J$2003,包装物料出入库明细!$D$4:$D$2003,$B176,包装物料出入库明细!$E$4:$E$2003,_自动清单!$G$14,包装物料出入库明细!$B$4:$B$2003,"&gt;="&amp;$AF$1,包装物料出入库明细!$B$4:$B$2003,"&lt;="&amp;$AF$2))</f>
        <v/>
      </c>
      <c r="N176" s="25" t="str">
        <f>IF(OR($B176="",_自动清单!$G$15=""),"",SUMIFS(包装物料出入库明细!$J$4:$J$2003,包装物料出入库明细!$D$4:$D$2003,$B176,包装物料出入库明细!$E$4:$E$2003,_自动清单!$G$15,包装物料出入库明细!$B$4:$B$2003,"&gt;="&amp;$AF$1,包装物料出入库明细!$B$4:$B$2003,"&lt;="&amp;$AF$2))</f>
        <v/>
      </c>
      <c r="O176" s="25" t="str">
        <f>IF(OR($B176="",_自动清单!$G$16=""),"",SUMIFS(包装物料出入库明细!$J$4:$J$2003,包装物料出入库明细!$D$4:$D$2003,$B176,包装物料出入库明细!$E$4:$E$2003,_自动清单!$G$16,包装物料出入库明细!$B$4:$B$2003,"&gt;="&amp;$AF$1,包装物料出入库明细!$B$4:$B$2003,"&lt;="&amp;$AF$2))</f>
        <v/>
      </c>
      <c r="P176" s="25" t="str">
        <f>IF(OR($B176="",_自动清单!$G$17=""),"",SUMIFS(包装物料出入库明细!$J$4:$J$2003,包装物料出入库明细!$D$4:$D$2003,$B176,包装物料出入库明细!$E$4:$E$2003,_自动清单!$G$17,包装物料出入库明细!$B$4:$B$2003,"&gt;="&amp;$AF$1,包装物料出入库明细!$B$4:$B$2003,"&lt;="&amp;$AF$2))</f>
        <v/>
      </c>
      <c r="Q176" s="25" t="str">
        <f>IF(OR($B176="",_自动清单!$G$18=""),"",SUMIFS(包装物料出入库明细!$J$4:$J$2003,包装物料出入库明细!$D$4:$D$2003,$B176,包装物料出入库明细!$E$4:$E$2003,_自动清单!$G$18,包装物料出入库明细!$B$4:$B$2003,"&gt;="&amp;$AF$1,包装物料出入库明细!$B$4:$B$2003,"&lt;="&amp;$AF$2))</f>
        <v/>
      </c>
      <c r="R176" s="25" t="str">
        <f>IF(OR($B176="",_自动清单!$G$19=""),"",SUMIFS(包装物料出入库明细!$J$4:$J$2003,包装物料出入库明细!$D$4:$D$2003,$B176,包装物料出入库明细!$E$4:$E$2003,_自动清单!$G$19,包装物料出入库明细!$B$4:$B$2003,"&gt;="&amp;$AF$1,包装物料出入库明细!$B$4:$B$2003,"&lt;="&amp;$AF$2))</f>
        <v/>
      </c>
      <c r="S176" s="25" t="str">
        <f>IF(OR($B176="",_自动清单!$G$20=""),"",SUMIFS(包装物料出入库明细!$J$4:$J$2003,包装物料出入库明细!$D$4:$D$2003,$B176,包装物料出入库明细!$E$4:$E$2003,_自动清单!$G$20,包装物料出入库明细!$B$4:$B$2003,"&gt;="&amp;$AF$1,包装物料出入库明细!$B$4:$B$2003,"&lt;="&amp;$AF$2))</f>
        <v/>
      </c>
      <c r="T176" s="25" t="str">
        <f>IF(OR($B176="",_自动清单!$G$21=""),"",SUMIFS(包装物料出入库明细!$J$4:$J$2003,包装物料出入库明细!$D$4:$D$2003,$B176,包装物料出入库明细!$E$4:$E$2003,_自动清单!$G$21,包装物料出入库明细!$B$4:$B$2003,"&gt;="&amp;$AF$1,包装物料出入库明细!$B$4:$B$2003,"&lt;="&amp;$AF$2))</f>
        <v/>
      </c>
      <c r="U176" s="25" t="str">
        <f>IF($B176="","",SUMIFS(包装物料出入库明细!$J$4:$J$2003,包装物料出入库明细!$D$4:$D$2003,$B176,包装物料出入库明细!$B$4:$B$2003,"&gt;="&amp;$AF$1,包装物料出入库明细!$B$4:$B$2003,"&lt;="&amp;$AF$2)-SUM($C176:$T176))</f>
        <v/>
      </c>
      <c r="V176" s="25" t="str">
        <f t="shared" si="9"/>
        <v/>
      </c>
      <c r="W176" s="56" t="str">
        <f>IF($B176="","",SUMIFS(包装物料出入库明细!$K$4:$K$2003,包装物料出入库明细!$D$4:$D$2003,$B176,包装物料出入库明细!$B$4:$B$2003,"&gt;="&amp;$AF$1,包装物料出入库明细!$B$4:$B$2003,"&lt;="&amp;$AF$2))</f>
        <v/>
      </c>
      <c r="X176" s="25" t="str">
        <f t="shared" si="10"/>
        <v/>
      </c>
      <c r="Y176" s="26" t="str">
        <f>IF($B176="","",ROUND(SUMIFS(包装物料出入库明细!$N$4:$N$2003,包装物料出入库明细!$D$4:$D$2003,$B176,包装物料出入库明细!$H$4:$H$2003,"销售出库",包装物料出入库明细!$B$4:$B$2003,"&gt;="&amp;$AF$1,包装物料出入库明细!$B$4:$B$2003,"&lt;="&amp;$AF$2),2))</f>
        <v/>
      </c>
      <c r="Z176" s="26" t="str">
        <f>IF($B176="","",ROUND(SUMIFS(包装物料出入库明细!$N$4:$N$2003,包装物料出入库明细!$D$4:$D$2003,$B176,包装物料出入库明细!$H$4:$H$2003,"销售出库",包装物料出入库明细!$P$4:$P$2003,"已收讫",包装物料出入库明细!$B$4:$B$2003,"&gt;="&amp;$AF$1,包装物料出入库明细!$B$4:$B$2003,"&lt;="&amp;$AF$2),2))</f>
        <v/>
      </c>
      <c r="AA176" s="26" t="str">
        <f t="shared" si="11"/>
        <v/>
      </c>
      <c r="AB176" s="41"/>
    </row>
    <row r="177" spans="1:28">
      <c r="A177" s="24" t="str">
        <f t="shared" si="8"/>
        <v/>
      </c>
      <c r="B177" s="24" t="str">
        <f>IFERROR(INDEX(_自动清单!$O$4:$O$203,ROW()-3),"")</f>
        <v/>
      </c>
      <c r="C177" s="25" t="str">
        <f>IF(OR($B177="",_自动清单!$G$4=""),"",SUMIFS(包装物料出入库明细!$J$4:$J$2003,包装物料出入库明细!$D$4:$D$2003,$B177,包装物料出入库明细!$E$4:$E$2003,_自动清单!$G$4,包装物料出入库明细!$B$4:$B$2003,"&gt;="&amp;$AF$1,包装物料出入库明细!$B$4:$B$2003,"&lt;="&amp;$AF$2))</f>
        <v/>
      </c>
      <c r="D177" s="25" t="str">
        <f>IF(OR($B177="",_自动清单!$G$5=""),"",SUMIFS(包装物料出入库明细!$J$4:$J$2003,包装物料出入库明细!$D$4:$D$2003,$B177,包装物料出入库明细!$E$4:$E$2003,_自动清单!$G$5,包装物料出入库明细!$B$4:$B$2003,"&gt;="&amp;$AF$1,包装物料出入库明细!$B$4:$B$2003,"&lt;="&amp;$AF$2))</f>
        <v/>
      </c>
      <c r="E177" s="25" t="str">
        <f>IF(OR($B177="",_自动清单!$G$6=""),"",SUMIFS(包装物料出入库明细!$J$4:$J$2003,包装物料出入库明细!$D$4:$D$2003,$B177,包装物料出入库明细!$E$4:$E$2003,_自动清单!$G$6,包装物料出入库明细!$B$4:$B$2003,"&gt;="&amp;$AF$1,包装物料出入库明细!$B$4:$B$2003,"&lt;="&amp;$AF$2))</f>
        <v/>
      </c>
      <c r="F177" s="25" t="str">
        <f>IF(OR($B177="",_自动清单!$G$7=""),"",SUMIFS(包装物料出入库明细!$J$4:$J$2003,包装物料出入库明细!$D$4:$D$2003,$B177,包装物料出入库明细!$E$4:$E$2003,_自动清单!$G$7,包装物料出入库明细!$B$4:$B$2003,"&gt;="&amp;$AF$1,包装物料出入库明细!$B$4:$B$2003,"&lt;="&amp;$AF$2))</f>
        <v/>
      </c>
      <c r="G177" s="25" t="str">
        <f>IF(OR($B177="",_自动清单!$G$8=""),"",SUMIFS(包装物料出入库明细!$J$4:$J$2003,包装物料出入库明细!$D$4:$D$2003,$B177,包装物料出入库明细!$E$4:$E$2003,_自动清单!$G$8,包装物料出入库明细!$B$4:$B$2003,"&gt;="&amp;$AF$1,包装物料出入库明细!$B$4:$B$2003,"&lt;="&amp;$AF$2))</f>
        <v/>
      </c>
      <c r="H177" s="25" t="str">
        <f>IF(OR($B177="",_自动清单!$G$9=""),"",SUMIFS(包装物料出入库明细!$J$4:$J$2003,包装物料出入库明细!$D$4:$D$2003,$B177,包装物料出入库明细!$E$4:$E$2003,_自动清单!$G$9,包装物料出入库明细!$B$4:$B$2003,"&gt;="&amp;$AF$1,包装物料出入库明细!$B$4:$B$2003,"&lt;="&amp;$AF$2))</f>
        <v/>
      </c>
      <c r="I177" s="25" t="str">
        <f>IF(OR($B177="",_自动清单!$G$10=""),"",SUMIFS(包装物料出入库明细!$J$4:$J$2003,包装物料出入库明细!$D$4:$D$2003,$B177,包装物料出入库明细!$E$4:$E$2003,_自动清单!$G$10,包装物料出入库明细!$B$4:$B$2003,"&gt;="&amp;$AF$1,包装物料出入库明细!$B$4:$B$2003,"&lt;="&amp;$AF$2))</f>
        <v/>
      </c>
      <c r="J177" s="25" t="str">
        <f>IF(OR($B177="",_自动清单!$G$11=""),"",SUMIFS(包装物料出入库明细!$J$4:$J$2003,包装物料出入库明细!$D$4:$D$2003,$B177,包装物料出入库明细!$E$4:$E$2003,_自动清单!$G$11,包装物料出入库明细!$B$4:$B$2003,"&gt;="&amp;$AF$1,包装物料出入库明细!$B$4:$B$2003,"&lt;="&amp;$AF$2))</f>
        <v/>
      </c>
      <c r="K177" s="25" t="str">
        <f>IF(OR($B177="",_自动清单!$G$12=""),"",SUMIFS(包装物料出入库明细!$J$4:$J$2003,包装物料出入库明细!$D$4:$D$2003,$B177,包装物料出入库明细!$E$4:$E$2003,_自动清单!$G$12,包装物料出入库明细!$B$4:$B$2003,"&gt;="&amp;$AF$1,包装物料出入库明细!$B$4:$B$2003,"&lt;="&amp;$AF$2))</f>
        <v/>
      </c>
      <c r="L177" s="25" t="str">
        <f>IF(OR($B177="",_自动清单!$G$13=""),"",SUMIFS(包装物料出入库明细!$J$4:$J$2003,包装物料出入库明细!$D$4:$D$2003,$B177,包装物料出入库明细!$E$4:$E$2003,_自动清单!$G$13,包装物料出入库明细!$B$4:$B$2003,"&gt;="&amp;$AF$1,包装物料出入库明细!$B$4:$B$2003,"&lt;="&amp;$AF$2))</f>
        <v/>
      </c>
      <c r="M177" s="25" t="str">
        <f>IF(OR($B177="",_自动清单!$G$14=""),"",SUMIFS(包装物料出入库明细!$J$4:$J$2003,包装物料出入库明细!$D$4:$D$2003,$B177,包装物料出入库明细!$E$4:$E$2003,_自动清单!$G$14,包装物料出入库明细!$B$4:$B$2003,"&gt;="&amp;$AF$1,包装物料出入库明细!$B$4:$B$2003,"&lt;="&amp;$AF$2))</f>
        <v/>
      </c>
      <c r="N177" s="25" t="str">
        <f>IF(OR($B177="",_自动清单!$G$15=""),"",SUMIFS(包装物料出入库明细!$J$4:$J$2003,包装物料出入库明细!$D$4:$D$2003,$B177,包装物料出入库明细!$E$4:$E$2003,_自动清单!$G$15,包装物料出入库明细!$B$4:$B$2003,"&gt;="&amp;$AF$1,包装物料出入库明细!$B$4:$B$2003,"&lt;="&amp;$AF$2))</f>
        <v/>
      </c>
      <c r="O177" s="25" t="str">
        <f>IF(OR($B177="",_自动清单!$G$16=""),"",SUMIFS(包装物料出入库明细!$J$4:$J$2003,包装物料出入库明细!$D$4:$D$2003,$B177,包装物料出入库明细!$E$4:$E$2003,_自动清单!$G$16,包装物料出入库明细!$B$4:$B$2003,"&gt;="&amp;$AF$1,包装物料出入库明细!$B$4:$B$2003,"&lt;="&amp;$AF$2))</f>
        <v/>
      </c>
      <c r="P177" s="25" t="str">
        <f>IF(OR($B177="",_自动清单!$G$17=""),"",SUMIFS(包装物料出入库明细!$J$4:$J$2003,包装物料出入库明细!$D$4:$D$2003,$B177,包装物料出入库明细!$E$4:$E$2003,_自动清单!$G$17,包装物料出入库明细!$B$4:$B$2003,"&gt;="&amp;$AF$1,包装物料出入库明细!$B$4:$B$2003,"&lt;="&amp;$AF$2))</f>
        <v/>
      </c>
      <c r="Q177" s="25" t="str">
        <f>IF(OR($B177="",_自动清单!$G$18=""),"",SUMIFS(包装物料出入库明细!$J$4:$J$2003,包装物料出入库明细!$D$4:$D$2003,$B177,包装物料出入库明细!$E$4:$E$2003,_自动清单!$G$18,包装物料出入库明细!$B$4:$B$2003,"&gt;="&amp;$AF$1,包装物料出入库明细!$B$4:$B$2003,"&lt;="&amp;$AF$2))</f>
        <v/>
      </c>
      <c r="R177" s="25" t="str">
        <f>IF(OR($B177="",_自动清单!$G$19=""),"",SUMIFS(包装物料出入库明细!$J$4:$J$2003,包装物料出入库明细!$D$4:$D$2003,$B177,包装物料出入库明细!$E$4:$E$2003,_自动清单!$G$19,包装物料出入库明细!$B$4:$B$2003,"&gt;="&amp;$AF$1,包装物料出入库明细!$B$4:$B$2003,"&lt;="&amp;$AF$2))</f>
        <v/>
      </c>
      <c r="S177" s="25" t="str">
        <f>IF(OR($B177="",_自动清单!$G$20=""),"",SUMIFS(包装物料出入库明细!$J$4:$J$2003,包装物料出入库明细!$D$4:$D$2003,$B177,包装物料出入库明细!$E$4:$E$2003,_自动清单!$G$20,包装物料出入库明细!$B$4:$B$2003,"&gt;="&amp;$AF$1,包装物料出入库明细!$B$4:$B$2003,"&lt;="&amp;$AF$2))</f>
        <v/>
      </c>
      <c r="T177" s="25" t="str">
        <f>IF(OR($B177="",_自动清单!$G$21=""),"",SUMIFS(包装物料出入库明细!$J$4:$J$2003,包装物料出入库明细!$D$4:$D$2003,$B177,包装物料出入库明细!$E$4:$E$2003,_自动清单!$G$21,包装物料出入库明细!$B$4:$B$2003,"&gt;="&amp;$AF$1,包装物料出入库明细!$B$4:$B$2003,"&lt;="&amp;$AF$2))</f>
        <v/>
      </c>
      <c r="U177" s="25" t="str">
        <f>IF($B177="","",SUMIFS(包装物料出入库明细!$J$4:$J$2003,包装物料出入库明细!$D$4:$D$2003,$B177,包装物料出入库明细!$B$4:$B$2003,"&gt;="&amp;$AF$1,包装物料出入库明细!$B$4:$B$2003,"&lt;="&amp;$AF$2)-SUM($C177:$T177))</f>
        <v/>
      </c>
      <c r="V177" s="25" t="str">
        <f t="shared" si="9"/>
        <v/>
      </c>
      <c r="W177" s="56" t="str">
        <f>IF($B177="","",SUMIFS(包装物料出入库明细!$K$4:$K$2003,包装物料出入库明细!$D$4:$D$2003,$B177,包装物料出入库明细!$B$4:$B$2003,"&gt;="&amp;$AF$1,包装物料出入库明细!$B$4:$B$2003,"&lt;="&amp;$AF$2))</f>
        <v/>
      </c>
      <c r="X177" s="25" t="str">
        <f t="shared" si="10"/>
        <v/>
      </c>
      <c r="Y177" s="26" t="str">
        <f>IF($B177="","",ROUND(SUMIFS(包装物料出入库明细!$N$4:$N$2003,包装物料出入库明细!$D$4:$D$2003,$B177,包装物料出入库明细!$H$4:$H$2003,"销售出库",包装物料出入库明细!$B$4:$B$2003,"&gt;="&amp;$AF$1,包装物料出入库明细!$B$4:$B$2003,"&lt;="&amp;$AF$2),2))</f>
        <v/>
      </c>
      <c r="Z177" s="26" t="str">
        <f>IF($B177="","",ROUND(SUMIFS(包装物料出入库明细!$N$4:$N$2003,包装物料出入库明细!$D$4:$D$2003,$B177,包装物料出入库明细!$H$4:$H$2003,"销售出库",包装物料出入库明细!$P$4:$P$2003,"已收讫",包装物料出入库明细!$B$4:$B$2003,"&gt;="&amp;$AF$1,包装物料出入库明细!$B$4:$B$2003,"&lt;="&amp;$AF$2),2))</f>
        <v/>
      </c>
      <c r="AA177" s="26" t="str">
        <f t="shared" si="11"/>
        <v/>
      </c>
      <c r="AB177" s="41"/>
    </row>
    <row r="178" spans="1:28">
      <c r="A178" s="24" t="str">
        <f t="shared" si="8"/>
        <v/>
      </c>
      <c r="B178" s="24" t="str">
        <f>IFERROR(INDEX(_自动清单!$O$4:$O$203,ROW()-3),"")</f>
        <v/>
      </c>
      <c r="C178" s="25" t="str">
        <f>IF(OR($B178="",_自动清单!$G$4=""),"",SUMIFS(包装物料出入库明细!$J$4:$J$2003,包装物料出入库明细!$D$4:$D$2003,$B178,包装物料出入库明细!$E$4:$E$2003,_自动清单!$G$4,包装物料出入库明细!$B$4:$B$2003,"&gt;="&amp;$AF$1,包装物料出入库明细!$B$4:$B$2003,"&lt;="&amp;$AF$2))</f>
        <v/>
      </c>
      <c r="D178" s="25" t="str">
        <f>IF(OR($B178="",_自动清单!$G$5=""),"",SUMIFS(包装物料出入库明细!$J$4:$J$2003,包装物料出入库明细!$D$4:$D$2003,$B178,包装物料出入库明细!$E$4:$E$2003,_自动清单!$G$5,包装物料出入库明细!$B$4:$B$2003,"&gt;="&amp;$AF$1,包装物料出入库明细!$B$4:$B$2003,"&lt;="&amp;$AF$2))</f>
        <v/>
      </c>
      <c r="E178" s="25" t="str">
        <f>IF(OR($B178="",_自动清单!$G$6=""),"",SUMIFS(包装物料出入库明细!$J$4:$J$2003,包装物料出入库明细!$D$4:$D$2003,$B178,包装物料出入库明细!$E$4:$E$2003,_自动清单!$G$6,包装物料出入库明细!$B$4:$B$2003,"&gt;="&amp;$AF$1,包装物料出入库明细!$B$4:$B$2003,"&lt;="&amp;$AF$2))</f>
        <v/>
      </c>
      <c r="F178" s="25" t="str">
        <f>IF(OR($B178="",_自动清单!$G$7=""),"",SUMIFS(包装物料出入库明细!$J$4:$J$2003,包装物料出入库明细!$D$4:$D$2003,$B178,包装物料出入库明细!$E$4:$E$2003,_自动清单!$G$7,包装物料出入库明细!$B$4:$B$2003,"&gt;="&amp;$AF$1,包装物料出入库明细!$B$4:$B$2003,"&lt;="&amp;$AF$2))</f>
        <v/>
      </c>
      <c r="G178" s="25" t="str">
        <f>IF(OR($B178="",_自动清单!$G$8=""),"",SUMIFS(包装物料出入库明细!$J$4:$J$2003,包装物料出入库明细!$D$4:$D$2003,$B178,包装物料出入库明细!$E$4:$E$2003,_自动清单!$G$8,包装物料出入库明细!$B$4:$B$2003,"&gt;="&amp;$AF$1,包装物料出入库明细!$B$4:$B$2003,"&lt;="&amp;$AF$2))</f>
        <v/>
      </c>
      <c r="H178" s="25" t="str">
        <f>IF(OR($B178="",_自动清单!$G$9=""),"",SUMIFS(包装物料出入库明细!$J$4:$J$2003,包装物料出入库明细!$D$4:$D$2003,$B178,包装物料出入库明细!$E$4:$E$2003,_自动清单!$G$9,包装物料出入库明细!$B$4:$B$2003,"&gt;="&amp;$AF$1,包装物料出入库明细!$B$4:$B$2003,"&lt;="&amp;$AF$2))</f>
        <v/>
      </c>
      <c r="I178" s="25" t="str">
        <f>IF(OR($B178="",_自动清单!$G$10=""),"",SUMIFS(包装物料出入库明细!$J$4:$J$2003,包装物料出入库明细!$D$4:$D$2003,$B178,包装物料出入库明细!$E$4:$E$2003,_自动清单!$G$10,包装物料出入库明细!$B$4:$B$2003,"&gt;="&amp;$AF$1,包装物料出入库明细!$B$4:$B$2003,"&lt;="&amp;$AF$2))</f>
        <v/>
      </c>
      <c r="J178" s="25" t="str">
        <f>IF(OR($B178="",_自动清单!$G$11=""),"",SUMIFS(包装物料出入库明细!$J$4:$J$2003,包装物料出入库明细!$D$4:$D$2003,$B178,包装物料出入库明细!$E$4:$E$2003,_自动清单!$G$11,包装物料出入库明细!$B$4:$B$2003,"&gt;="&amp;$AF$1,包装物料出入库明细!$B$4:$B$2003,"&lt;="&amp;$AF$2))</f>
        <v/>
      </c>
      <c r="K178" s="25" t="str">
        <f>IF(OR($B178="",_自动清单!$G$12=""),"",SUMIFS(包装物料出入库明细!$J$4:$J$2003,包装物料出入库明细!$D$4:$D$2003,$B178,包装物料出入库明细!$E$4:$E$2003,_自动清单!$G$12,包装物料出入库明细!$B$4:$B$2003,"&gt;="&amp;$AF$1,包装物料出入库明细!$B$4:$B$2003,"&lt;="&amp;$AF$2))</f>
        <v/>
      </c>
      <c r="L178" s="25" t="str">
        <f>IF(OR($B178="",_自动清单!$G$13=""),"",SUMIFS(包装物料出入库明细!$J$4:$J$2003,包装物料出入库明细!$D$4:$D$2003,$B178,包装物料出入库明细!$E$4:$E$2003,_自动清单!$G$13,包装物料出入库明细!$B$4:$B$2003,"&gt;="&amp;$AF$1,包装物料出入库明细!$B$4:$B$2003,"&lt;="&amp;$AF$2))</f>
        <v/>
      </c>
      <c r="M178" s="25" t="str">
        <f>IF(OR($B178="",_自动清单!$G$14=""),"",SUMIFS(包装物料出入库明细!$J$4:$J$2003,包装物料出入库明细!$D$4:$D$2003,$B178,包装物料出入库明细!$E$4:$E$2003,_自动清单!$G$14,包装物料出入库明细!$B$4:$B$2003,"&gt;="&amp;$AF$1,包装物料出入库明细!$B$4:$B$2003,"&lt;="&amp;$AF$2))</f>
        <v/>
      </c>
      <c r="N178" s="25" t="str">
        <f>IF(OR($B178="",_自动清单!$G$15=""),"",SUMIFS(包装物料出入库明细!$J$4:$J$2003,包装物料出入库明细!$D$4:$D$2003,$B178,包装物料出入库明细!$E$4:$E$2003,_自动清单!$G$15,包装物料出入库明细!$B$4:$B$2003,"&gt;="&amp;$AF$1,包装物料出入库明细!$B$4:$B$2003,"&lt;="&amp;$AF$2))</f>
        <v/>
      </c>
      <c r="O178" s="25" t="str">
        <f>IF(OR($B178="",_自动清单!$G$16=""),"",SUMIFS(包装物料出入库明细!$J$4:$J$2003,包装物料出入库明细!$D$4:$D$2003,$B178,包装物料出入库明细!$E$4:$E$2003,_自动清单!$G$16,包装物料出入库明细!$B$4:$B$2003,"&gt;="&amp;$AF$1,包装物料出入库明细!$B$4:$B$2003,"&lt;="&amp;$AF$2))</f>
        <v/>
      </c>
      <c r="P178" s="25" t="str">
        <f>IF(OR($B178="",_自动清单!$G$17=""),"",SUMIFS(包装物料出入库明细!$J$4:$J$2003,包装物料出入库明细!$D$4:$D$2003,$B178,包装物料出入库明细!$E$4:$E$2003,_自动清单!$G$17,包装物料出入库明细!$B$4:$B$2003,"&gt;="&amp;$AF$1,包装物料出入库明细!$B$4:$B$2003,"&lt;="&amp;$AF$2))</f>
        <v/>
      </c>
      <c r="Q178" s="25" t="str">
        <f>IF(OR($B178="",_自动清单!$G$18=""),"",SUMIFS(包装物料出入库明细!$J$4:$J$2003,包装物料出入库明细!$D$4:$D$2003,$B178,包装物料出入库明细!$E$4:$E$2003,_自动清单!$G$18,包装物料出入库明细!$B$4:$B$2003,"&gt;="&amp;$AF$1,包装物料出入库明细!$B$4:$B$2003,"&lt;="&amp;$AF$2))</f>
        <v/>
      </c>
      <c r="R178" s="25" t="str">
        <f>IF(OR($B178="",_自动清单!$G$19=""),"",SUMIFS(包装物料出入库明细!$J$4:$J$2003,包装物料出入库明细!$D$4:$D$2003,$B178,包装物料出入库明细!$E$4:$E$2003,_自动清单!$G$19,包装物料出入库明细!$B$4:$B$2003,"&gt;="&amp;$AF$1,包装物料出入库明细!$B$4:$B$2003,"&lt;="&amp;$AF$2))</f>
        <v/>
      </c>
      <c r="S178" s="25" t="str">
        <f>IF(OR($B178="",_自动清单!$G$20=""),"",SUMIFS(包装物料出入库明细!$J$4:$J$2003,包装物料出入库明细!$D$4:$D$2003,$B178,包装物料出入库明细!$E$4:$E$2003,_自动清单!$G$20,包装物料出入库明细!$B$4:$B$2003,"&gt;="&amp;$AF$1,包装物料出入库明细!$B$4:$B$2003,"&lt;="&amp;$AF$2))</f>
        <v/>
      </c>
      <c r="T178" s="25" t="str">
        <f>IF(OR($B178="",_自动清单!$G$21=""),"",SUMIFS(包装物料出入库明细!$J$4:$J$2003,包装物料出入库明细!$D$4:$D$2003,$B178,包装物料出入库明细!$E$4:$E$2003,_自动清单!$G$21,包装物料出入库明细!$B$4:$B$2003,"&gt;="&amp;$AF$1,包装物料出入库明细!$B$4:$B$2003,"&lt;="&amp;$AF$2))</f>
        <v/>
      </c>
      <c r="U178" s="25" t="str">
        <f>IF($B178="","",SUMIFS(包装物料出入库明细!$J$4:$J$2003,包装物料出入库明细!$D$4:$D$2003,$B178,包装物料出入库明细!$B$4:$B$2003,"&gt;="&amp;$AF$1,包装物料出入库明细!$B$4:$B$2003,"&lt;="&amp;$AF$2)-SUM($C178:$T178))</f>
        <v/>
      </c>
      <c r="V178" s="25" t="str">
        <f t="shared" si="9"/>
        <v/>
      </c>
      <c r="W178" s="56" t="str">
        <f>IF($B178="","",SUMIFS(包装物料出入库明细!$K$4:$K$2003,包装物料出入库明细!$D$4:$D$2003,$B178,包装物料出入库明细!$B$4:$B$2003,"&gt;="&amp;$AF$1,包装物料出入库明细!$B$4:$B$2003,"&lt;="&amp;$AF$2))</f>
        <v/>
      </c>
      <c r="X178" s="25" t="str">
        <f t="shared" si="10"/>
        <v/>
      </c>
      <c r="Y178" s="26" t="str">
        <f>IF($B178="","",ROUND(SUMIFS(包装物料出入库明细!$N$4:$N$2003,包装物料出入库明细!$D$4:$D$2003,$B178,包装物料出入库明细!$H$4:$H$2003,"销售出库",包装物料出入库明细!$B$4:$B$2003,"&gt;="&amp;$AF$1,包装物料出入库明细!$B$4:$B$2003,"&lt;="&amp;$AF$2),2))</f>
        <v/>
      </c>
      <c r="Z178" s="26" t="str">
        <f>IF($B178="","",ROUND(SUMIFS(包装物料出入库明细!$N$4:$N$2003,包装物料出入库明细!$D$4:$D$2003,$B178,包装物料出入库明细!$H$4:$H$2003,"销售出库",包装物料出入库明细!$P$4:$P$2003,"已收讫",包装物料出入库明细!$B$4:$B$2003,"&gt;="&amp;$AF$1,包装物料出入库明细!$B$4:$B$2003,"&lt;="&amp;$AF$2),2))</f>
        <v/>
      </c>
      <c r="AA178" s="26" t="str">
        <f t="shared" si="11"/>
        <v/>
      </c>
      <c r="AB178" s="41"/>
    </row>
    <row r="179" spans="1:28">
      <c r="A179" s="24" t="str">
        <f t="shared" si="8"/>
        <v/>
      </c>
      <c r="B179" s="24" t="str">
        <f>IFERROR(INDEX(_自动清单!$O$4:$O$203,ROW()-3),"")</f>
        <v/>
      </c>
      <c r="C179" s="25" t="str">
        <f>IF(OR($B179="",_自动清单!$G$4=""),"",SUMIFS(包装物料出入库明细!$J$4:$J$2003,包装物料出入库明细!$D$4:$D$2003,$B179,包装物料出入库明细!$E$4:$E$2003,_自动清单!$G$4,包装物料出入库明细!$B$4:$B$2003,"&gt;="&amp;$AF$1,包装物料出入库明细!$B$4:$B$2003,"&lt;="&amp;$AF$2))</f>
        <v/>
      </c>
      <c r="D179" s="25" t="str">
        <f>IF(OR($B179="",_自动清单!$G$5=""),"",SUMIFS(包装物料出入库明细!$J$4:$J$2003,包装物料出入库明细!$D$4:$D$2003,$B179,包装物料出入库明细!$E$4:$E$2003,_自动清单!$G$5,包装物料出入库明细!$B$4:$B$2003,"&gt;="&amp;$AF$1,包装物料出入库明细!$B$4:$B$2003,"&lt;="&amp;$AF$2))</f>
        <v/>
      </c>
      <c r="E179" s="25" t="str">
        <f>IF(OR($B179="",_自动清单!$G$6=""),"",SUMIFS(包装物料出入库明细!$J$4:$J$2003,包装物料出入库明细!$D$4:$D$2003,$B179,包装物料出入库明细!$E$4:$E$2003,_自动清单!$G$6,包装物料出入库明细!$B$4:$B$2003,"&gt;="&amp;$AF$1,包装物料出入库明细!$B$4:$B$2003,"&lt;="&amp;$AF$2))</f>
        <v/>
      </c>
      <c r="F179" s="25" t="str">
        <f>IF(OR($B179="",_自动清单!$G$7=""),"",SUMIFS(包装物料出入库明细!$J$4:$J$2003,包装物料出入库明细!$D$4:$D$2003,$B179,包装物料出入库明细!$E$4:$E$2003,_自动清单!$G$7,包装物料出入库明细!$B$4:$B$2003,"&gt;="&amp;$AF$1,包装物料出入库明细!$B$4:$B$2003,"&lt;="&amp;$AF$2))</f>
        <v/>
      </c>
      <c r="G179" s="25" t="str">
        <f>IF(OR($B179="",_自动清单!$G$8=""),"",SUMIFS(包装物料出入库明细!$J$4:$J$2003,包装物料出入库明细!$D$4:$D$2003,$B179,包装物料出入库明细!$E$4:$E$2003,_自动清单!$G$8,包装物料出入库明细!$B$4:$B$2003,"&gt;="&amp;$AF$1,包装物料出入库明细!$B$4:$B$2003,"&lt;="&amp;$AF$2))</f>
        <v/>
      </c>
      <c r="H179" s="25" t="str">
        <f>IF(OR($B179="",_自动清单!$G$9=""),"",SUMIFS(包装物料出入库明细!$J$4:$J$2003,包装物料出入库明细!$D$4:$D$2003,$B179,包装物料出入库明细!$E$4:$E$2003,_自动清单!$G$9,包装物料出入库明细!$B$4:$B$2003,"&gt;="&amp;$AF$1,包装物料出入库明细!$B$4:$B$2003,"&lt;="&amp;$AF$2))</f>
        <v/>
      </c>
      <c r="I179" s="25" t="str">
        <f>IF(OR($B179="",_自动清单!$G$10=""),"",SUMIFS(包装物料出入库明细!$J$4:$J$2003,包装物料出入库明细!$D$4:$D$2003,$B179,包装物料出入库明细!$E$4:$E$2003,_自动清单!$G$10,包装物料出入库明细!$B$4:$B$2003,"&gt;="&amp;$AF$1,包装物料出入库明细!$B$4:$B$2003,"&lt;="&amp;$AF$2))</f>
        <v/>
      </c>
      <c r="J179" s="25" t="str">
        <f>IF(OR($B179="",_自动清单!$G$11=""),"",SUMIFS(包装物料出入库明细!$J$4:$J$2003,包装物料出入库明细!$D$4:$D$2003,$B179,包装物料出入库明细!$E$4:$E$2003,_自动清单!$G$11,包装物料出入库明细!$B$4:$B$2003,"&gt;="&amp;$AF$1,包装物料出入库明细!$B$4:$B$2003,"&lt;="&amp;$AF$2))</f>
        <v/>
      </c>
      <c r="K179" s="25" t="str">
        <f>IF(OR($B179="",_自动清单!$G$12=""),"",SUMIFS(包装物料出入库明细!$J$4:$J$2003,包装物料出入库明细!$D$4:$D$2003,$B179,包装物料出入库明细!$E$4:$E$2003,_自动清单!$G$12,包装物料出入库明细!$B$4:$B$2003,"&gt;="&amp;$AF$1,包装物料出入库明细!$B$4:$B$2003,"&lt;="&amp;$AF$2))</f>
        <v/>
      </c>
      <c r="L179" s="25" t="str">
        <f>IF(OR($B179="",_自动清单!$G$13=""),"",SUMIFS(包装物料出入库明细!$J$4:$J$2003,包装物料出入库明细!$D$4:$D$2003,$B179,包装物料出入库明细!$E$4:$E$2003,_自动清单!$G$13,包装物料出入库明细!$B$4:$B$2003,"&gt;="&amp;$AF$1,包装物料出入库明细!$B$4:$B$2003,"&lt;="&amp;$AF$2))</f>
        <v/>
      </c>
      <c r="M179" s="25" t="str">
        <f>IF(OR($B179="",_自动清单!$G$14=""),"",SUMIFS(包装物料出入库明细!$J$4:$J$2003,包装物料出入库明细!$D$4:$D$2003,$B179,包装物料出入库明细!$E$4:$E$2003,_自动清单!$G$14,包装物料出入库明细!$B$4:$B$2003,"&gt;="&amp;$AF$1,包装物料出入库明细!$B$4:$B$2003,"&lt;="&amp;$AF$2))</f>
        <v/>
      </c>
      <c r="N179" s="25" t="str">
        <f>IF(OR($B179="",_自动清单!$G$15=""),"",SUMIFS(包装物料出入库明细!$J$4:$J$2003,包装物料出入库明细!$D$4:$D$2003,$B179,包装物料出入库明细!$E$4:$E$2003,_自动清单!$G$15,包装物料出入库明细!$B$4:$B$2003,"&gt;="&amp;$AF$1,包装物料出入库明细!$B$4:$B$2003,"&lt;="&amp;$AF$2))</f>
        <v/>
      </c>
      <c r="O179" s="25" t="str">
        <f>IF(OR($B179="",_自动清单!$G$16=""),"",SUMIFS(包装物料出入库明细!$J$4:$J$2003,包装物料出入库明细!$D$4:$D$2003,$B179,包装物料出入库明细!$E$4:$E$2003,_自动清单!$G$16,包装物料出入库明细!$B$4:$B$2003,"&gt;="&amp;$AF$1,包装物料出入库明细!$B$4:$B$2003,"&lt;="&amp;$AF$2))</f>
        <v/>
      </c>
      <c r="P179" s="25" t="str">
        <f>IF(OR($B179="",_自动清单!$G$17=""),"",SUMIFS(包装物料出入库明细!$J$4:$J$2003,包装物料出入库明细!$D$4:$D$2003,$B179,包装物料出入库明细!$E$4:$E$2003,_自动清单!$G$17,包装物料出入库明细!$B$4:$B$2003,"&gt;="&amp;$AF$1,包装物料出入库明细!$B$4:$B$2003,"&lt;="&amp;$AF$2))</f>
        <v/>
      </c>
      <c r="Q179" s="25" t="str">
        <f>IF(OR($B179="",_自动清单!$G$18=""),"",SUMIFS(包装物料出入库明细!$J$4:$J$2003,包装物料出入库明细!$D$4:$D$2003,$B179,包装物料出入库明细!$E$4:$E$2003,_自动清单!$G$18,包装物料出入库明细!$B$4:$B$2003,"&gt;="&amp;$AF$1,包装物料出入库明细!$B$4:$B$2003,"&lt;="&amp;$AF$2))</f>
        <v/>
      </c>
      <c r="R179" s="25" t="str">
        <f>IF(OR($B179="",_自动清单!$G$19=""),"",SUMIFS(包装物料出入库明细!$J$4:$J$2003,包装物料出入库明细!$D$4:$D$2003,$B179,包装物料出入库明细!$E$4:$E$2003,_自动清单!$G$19,包装物料出入库明细!$B$4:$B$2003,"&gt;="&amp;$AF$1,包装物料出入库明细!$B$4:$B$2003,"&lt;="&amp;$AF$2))</f>
        <v/>
      </c>
      <c r="S179" s="25" t="str">
        <f>IF(OR($B179="",_自动清单!$G$20=""),"",SUMIFS(包装物料出入库明细!$J$4:$J$2003,包装物料出入库明细!$D$4:$D$2003,$B179,包装物料出入库明细!$E$4:$E$2003,_自动清单!$G$20,包装物料出入库明细!$B$4:$B$2003,"&gt;="&amp;$AF$1,包装物料出入库明细!$B$4:$B$2003,"&lt;="&amp;$AF$2))</f>
        <v/>
      </c>
      <c r="T179" s="25" t="str">
        <f>IF(OR($B179="",_自动清单!$G$21=""),"",SUMIFS(包装物料出入库明细!$J$4:$J$2003,包装物料出入库明细!$D$4:$D$2003,$B179,包装物料出入库明细!$E$4:$E$2003,_自动清单!$G$21,包装物料出入库明细!$B$4:$B$2003,"&gt;="&amp;$AF$1,包装物料出入库明细!$B$4:$B$2003,"&lt;="&amp;$AF$2))</f>
        <v/>
      </c>
      <c r="U179" s="25" t="str">
        <f>IF($B179="","",SUMIFS(包装物料出入库明细!$J$4:$J$2003,包装物料出入库明细!$D$4:$D$2003,$B179,包装物料出入库明细!$B$4:$B$2003,"&gt;="&amp;$AF$1,包装物料出入库明细!$B$4:$B$2003,"&lt;="&amp;$AF$2)-SUM($C179:$T179))</f>
        <v/>
      </c>
      <c r="V179" s="25" t="str">
        <f t="shared" si="9"/>
        <v/>
      </c>
      <c r="W179" s="56" t="str">
        <f>IF($B179="","",SUMIFS(包装物料出入库明细!$K$4:$K$2003,包装物料出入库明细!$D$4:$D$2003,$B179,包装物料出入库明细!$B$4:$B$2003,"&gt;="&amp;$AF$1,包装物料出入库明细!$B$4:$B$2003,"&lt;="&amp;$AF$2))</f>
        <v/>
      </c>
      <c r="X179" s="25" t="str">
        <f t="shared" si="10"/>
        <v/>
      </c>
      <c r="Y179" s="26" t="str">
        <f>IF($B179="","",ROUND(SUMIFS(包装物料出入库明细!$N$4:$N$2003,包装物料出入库明细!$D$4:$D$2003,$B179,包装物料出入库明细!$H$4:$H$2003,"销售出库",包装物料出入库明细!$B$4:$B$2003,"&gt;="&amp;$AF$1,包装物料出入库明细!$B$4:$B$2003,"&lt;="&amp;$AF$2),2))</f>
        <v/>
      </c>
      <c r="Z179" s="26" t="str">
        <f>IF($B179="","",ROUND(SUMIFS(包装物料出入库明细!$N$4:$N$2003,包装物料出入库明细!$D$4:$D$2003,$B179,包装物料出入库明细!$H$4:$H$2003,"销售出库",包装物料出入库明细!$P$4:$P$2003,"已收讫",包装物料出入库明细!$B$4:$B$2003,"&gt;="&amp;$AF$1,包装物料出入库明细!$B$4:$B$2003,"&lt;="&amp;$AF$2),2))</f>
        <v/>
      </c>
      <c r="AA179" s="26" t="str">
        <f t="shared" si="11"/>
        <v/>
      </c>
      <c r="AB179" s="41"/>
    </row>
    <row r="180" spans="1:28">
      <c r="A180" s="24" t="str">
        <f t="shared" si="8"/>
        <v/>
      </c>
      <c r="B180" s="24" t="str">
        <f>IFERROR(INDEX(_自动清单!$O$4:$O$203,ROW()-3),"")</f>
        <v/>
      </c>
      <c r="C180" s="25" t="str">
        <f>IF(OR($B180="",_自动清单!$G$4=""),"",SUMIFS(包装物料出入库明细!$J$4:$J$2003,包装物料出入库明细!$D$4:$D$2003,$B180,包装物料出入库明细!$E$4:$E$2003,_自动清单!$G$4,包装物料出入库明细!$B$4:$B$2003,"&gt;="&amp;$AF$1,包装物料出入库明细!$B$4:$B$2003,"&lt;="&amp;$AF$2))</f>
        <v/>
      </c>
      <c r="D180" s="25" t="str">
        <f>IF(OR($B180="",_自动清单!$G$5=""),"",SUMIFS(包装物料出入库明细!$J$4:$J$2003,包装物料出入库明细!$D$4:$D$2003,$B180,包装物料出入库明细!$E$4:$E$2003,_自动清单!$G$5,包装物料出入库明细!$B$4:$B$2003,"&gt;="&amp;$AF$1,包装物料出入库明细!$B$4:$B$2003,"&lt;="&amp;$AF$2))</f>
        <v/>
      </c>
      <c r="E180" s="25" t="str">
        <f>IF(OR($B180="",_自动清单!$G$6=""),"",SUMIFS(包装物料出入库明细!$J$4:$J$2003,包装物料出入库明细!$D$4:$D$2003,$B180,包装物料出入库明细!$E$4:$E$2003,_自动清单!$G$6,包装物料出入库明细!$B$4:$B$2003,"&gt;="&amp;$AF$1,包装物料出入库明细!$B$4:$B$2003,"&lt;="&amp;$AF$2))</f>
        <v/>
      </c>
      <c r="F180" s="25" t="str">
        <f>IF(OR($B180="",_自动清单!$G$7=""),"",SUMIFS(包装物料出入库明细!$J$4:$J$2003,包装物料出入库明细!$D$4:$D$2003,$B180,包装物料出入库明细!$E$4:$E$2003,_自动清单!$G$7,包装物料出入库明细!$B$4:$B$2003,"&gt;="&amp;$AF$1,包装物料出入库明细!$B$4:$B$2003,"&lt;="&amp;$AF$2))</f>
        <v/>
      </c>
      <c r="G180" s="25" t="str">
        <f>IF(OR($B180="",_自动清单!$G$8=""),"",SUMIFS(包装物料出入库明细!$J$4:$J$2003,包装物料出入库明细!$D$4:$D$2003,$B180,包装物料出入库明细!$E$4:$E$2003,_自动清单!$G$8,包装物料出入库明细!$B$4:$B$2003,"&gt;="&amp;$AF$1,包装物料出入库明细!$B$4:$B$2003,"&lt;="&amp;$AF$2))</f>
        <v/>
      </c>
      <c r="H180" s="25" t="str">
        <f>IF(OR($B180="",_自动清单!$G$9=""),"",SUMIFS(包装物料出入库明细!$J$4:$J$2003,包装物料出入库明细!$D$4:$D$2003,$B180,包装物料出入库明细!$E$4:$E$2003,_自动清单!$G$9,包装物料出入库明细!$B$4:$B$2003,"&gt;="&amp;$AF$1,包装物料出入库明细!$B$4:$B$2003,"&lt;="&amp;$AF$2))</f>
        <v/>
      </c>
      <c r="I180" s="25" t="str">
        <f>IF(OR($B180="",_自动清单!$G$10=""),"",SUMIFS(包装物料出入库明细!$J$4:$J$2003,包装物料出入库明细!$D$4:$D$2003,$B180,包装物料出入库明细!$E$4:$E$2003,_自动清单!$G$10,包装物料出入库明细!$B$4:$B$2003,"&gt;="&amp;$AF$1,包装物料出入库明细!$B$4:$B$2003,"&lt;="&amp;$AF$2))</f>
        <v/>
      </c>
      <c r="J180" s="25" t="str">
        <f>IF(OR($B180="",_自动清单!$G$11=""),"",SUMIFS(包装物料出入库明细!$J$4:$J$2003,包装物料出入库明细!$D$4:$D$2003,$B180,包装物料出入库明细!$E$4:$E$2003,_自动清单!$G$11,包装物料出入库明细!$B$4:$B$2003,"&gt;="&amp;$AF$1,包装物料出入库明细!$B$4:$B$2003,"&lt;="&amp;$AF$2))</f>
        <v/>
      </c>
      <c r="K180" s="25" t="str">
        <f>IF(OR($B180="",_自动清单!$G$12=""),"",SUMIFS(包装物料出入库明细!$J$4:$J$2003,包装物料出入库明细!$D$4:$D$2003,$B180,包装物料出入库明细!$E$4:$E$2003,_自动清单!$G$12,包装物料出入库明细!$B$4:$B$2003,"&gt;="&amp;$AF$1,包装物料出入库明细!$B$4:$B$2003,"&lt;="&amp;$AF$2))</f>
        <v/>
      </c>
      <c r="L180" s="25" t="str">
        <f>IF(OR($B180="",_自动清单!$G$13=""),"",SUMIFS(包装物料出入库明细!$J$4:$J$2003,包装物料出入库明细!$D$4:$D$2003,$B180,包装物料出入库明细!$E$4:$E$2003,_自动清单!$G$13,包装物料出入库明细!$B$4:$B$2003,"&gt;="&amp;$AF$1,包装物料出入库明细!$B$4:$B$2003,"&lt;="&amp;$AF$2))</f>
        <v/>
      </c>
      <c r="M180" s="25" t="str">
        <f>IF(OR($B180="",_自动清单!$G$14=""),"",SUMIFS(包装物料出入库明细!$J$4:$J$2003,包装物料出入库明细!$D$4:$D$2003,$B180,包装物料出入库明细!$E$4:$E$2003,_自动清单!$G$14,包装物料出入库明细!$B$4:$B$2003,"&gt;="&amp;$AF$1,包装物料出入库明细!$B$4:$B$2003,"&lt;="&amp;$AF$2))</f>
        <v/>
      </c>
      <c r="N180" s="25" t="str">
        <f>IF(OR($B180="",_自动清单!$G$15=""),"",SUMIFS(包装物料出入库明细!$J$4:$J$2003,包装物料出入库明细!$D$4:$D$2003,$B180,包装物料出入库明细!$E$4:$E$2003,_自动清单!$G$15,包装物料出入库明细!$B$4:$B$2003,"&gt;="&amp;$AF$1,包装物料出入库明细!$B$4:$B$2003,"&lt;="&amp;$AF$2))</f>
        <v/>
      </c>
      <c r="O180" s="25" t="str">
        <f>IF(OR($B180="",_自动清单!$G$16=""),"",SUMIFS(包装物料出入库明细!$J$4:$J$2003,包装物料出入库明细!$D$4:$D$2003,$B180,包装物料出入库明细!$E$4:$E$2003,_自动清单!$G$16,包装物料出入库明细!$B$4:$B$2003,"&gt;="&amp;$AF$1,包装物料出入库明细!$B$4:$B$2003,"&lt;="&amp;$AF$2))</f>
        <v/>
      </c>
      <c r="P180" s="25" t="str">
        <f>IF(OR($B180="",_自动清单!$G$17=""),"",SUMIFS(包装物料出入库明细!$J$4:$J$2003,包装物料出入库明细!$D$4:$D$2003,$B180,包装物料出入库明细!$E$4:$E$2003,_自动清单!$G$17,包装物料出入库明细!$B$4:$B$2003,"&gt;="&amp;$AF$1,包装物料出入库明细!$B$4:$B$2003,"&lt;="&amp;$AF$2))</f>
        <v/>
      </c>
      <c r="Q180" s="25" t="str">
        <f>IF(OR($B180="",_自动清单!$G$18=""),"",SUMIFS(包装物料出入库明细!$J$4:$J$2003,包装物料出入库明细!$D$4:$D$2003,$B180,包装物料出入库明细!$E$4:$E$2003,_自动清单!$G$18,包装物料出入库明细!$B$4:$B$2003,"&gt;="&amp;$AF$1,包装物料出入库明细!$B$4:$B$2003,"&lt;="&amp;$AF$2))</f>
        <v/>
      </c>
      <c r="R180" s="25" t="str">
        <f>IF(OR($B180="",_自动清单!$G$19=""),"",SUMIFS(包装物料出入库明细!$J$4:$J$2003,包装物料出入库明细!$D$4:$D$2003,$B180,包装物料出入库明细!$E$4:$E$2003,_自动清单!$G$19,包装物料出入库明细!$B$4:$B$2003,"&gt;="&amp;$AF$1,包装物料出入库明细!$B$4:$B$2003,"&lt;="&amp;$AF$2))</f>
        <v/>
      </c>
      <c r="S180" s="25" t="str">
        <f>IF(OR($B180="",_自动清单!$G$20=""),"",SUMIFS(包装物料出入库明细!$J$4:$J$2003,包装物料出入库明细!$D$4:$D$2003,$B180,包装物料出入库明细!$E$4:$E$2003,_自动清单!$G$20,包装物料出入库明细!$B$4:$B$2003,"&gt;="&amp;$AF$1,包装物料出入库明细!$B$4:$B$2003,"&lt;="&amp;$AF$2))</f>
        <v/>
      </c>
      <c r="T180" s="25" t="str">
        <f>IF(OR($B180="",_自动清单!$G$21=""),"",SUMIFS(包装物料出入库明细!$J$4:$J$2003,包装物料出入库明细!$D$4:$D$2003,$B180,包装物料出入库明细!$E$4:$E$2003,_自动清单!$G$21,包装物料出入库明细!$B$4:$B$2003,"&gt;="&amp;$AF$1,包装物料出入库明细!$B$4:$B$2003,"&lt;="&amp;$AF$2))</f>
        <v/>
      </c>
      <c r="U180" s="25" t="str">
        <f>IF($B180="","",SUMIFS(包装物料出入库明细!$J$4:$J$2003,包装物料出入库明细!$D$4:$D$2003,$B180,包装物料出入库明细!$B$4:$B$2003,"&gt;="&amp;$AF$1,包装物料出入库明细!$B$4:$B$2003,"&lt;="&amp;$AF$2)-SUM($C180:$T180))</f>
        <v/>
      </c>
      <c r="V180" s="25" t="str">
        <f t="shared" si="9"/>
        <v/>
      </c>
      <c r="W180" s="56" t="str">
        <f>IF($B180="","",SUMIFS(包装物料出入库明细!$K$4:$K$2003,包装物料出入库明细!$D$4:$D$2003,$B180,包装物料出入库明细!$B$4:$B$2003,"&gt;="&amp;$AF$1,包装物料出入库明细!$B$4:$B$2003,"&lt;="&amp;$AF$2))</f>
        <v/>
      </c>
      <c r="X180" s="25" t="str">
        <f t="shared" si="10"/>
        <v/>
      </c>
      <c r="Y180" s="26" t="str">
        <f>IF($B180="","",ROUND(SUMIFS(包装物料出入库明细!$N$4:$N$2003,包装物料出入库明细!$D$4:$D$2003,$B180,包装物料出入库明细!$H$4:$H$2003,"销售出库",包装物料出入库明细!$B$4:$B$2003,"&gt;="&amp;$AF$1,包装物料出入库明细!$B$4:$B$2003,"&lt;="&amp;$AF$2),2))</f>
        <v/>
      </c>
      <c r="Z180" s="26" t="str">
        <f>IF($B180="","",ROUND(SUMIFS(包装物料出入库明细!$N$4:$N$2003,包装物料出入库明细!$D$4:$D$2003,$B180,包装物料出入库明细!$H$4:$H$2003,"销售出库",包装物料出入库明细!$P$4:$P$2003,"已收讫",包装物料出入库明细!$B$4:$B$2003,"&gt;="&amp;$AF$1,包装物料出入库明细!$B$4:$B$2003,"&lt;="&amp;$AF$2),2))</f>
        <v/>
      </c>
      <c r="AA180" s="26" t="str">
        <f t="shared" si="11"/>
        <v/>
      </c>
      <c r="AB180" s="41"/>
    </row>
    <row r="181" spans="1:28">
      <c r="A181" s="24" t="str">
        <f t="shared" si="8"/>
        <v/>
      </c>
      <c r="B181" s="24" t="str">
        <f>IFERROR(INDEX(_自动清单!$O$4:$O$203,ROW()-3),"")</f>
        <v/>
      </c>
      <c r="C181" s="25" t="str">
        <f>IF(OR($B181="",_自动清单!$G$4=""),"",SUMIFS(包装物料出入库明细!$J$4:$J$2003,包装物料出入库明细!$D$4:$D$2003,$B181,包装物料出入库明细!$E$4:$E$2003,_自动清单!$G$4,包装物料出入库明细!$B$4:$B$2003,"&gt;="&amp;$AF$1,包装物料出入库明细!$B$4:$B$2003,"&lt;="&amp;$AF$2))</f>
        <v/>
      </c>
      <c r="D181" s="25" t="str">
        <f>IF(OR($B181="",_自动清单!$G$5=""),"",SUMIFS(包装物料出入库明细!$J$4:$J$2003,包装物料出入库明细!$D$4:$D$2003,$B181,包装物料出入库明细!$E$4:$E$2003,_自动清单!$G$5,包装物料出入库明细!$B$4:$B$2003,"&gt;="&amp;$AF$1,包装物料出入库明细!$B$4:$B$2003,"&lt;="&amp;$AF$2))</f>
        <v/>
      </c>
      <c r="E181" s="25" t="str">
        <f>IF(OR($B181="",_自动清单!$G$6=""),"",SUMIFS(包装物料出入库明细!$J$4:$J$2003,包装物料出入库明细!$D$4:$D$2003,$B181,包装物料出入库明细!$E$4:$E$2003,_自动清单!$G$6,包装物料出入库明细!$B$4:$B$2003,"&gt;="&amp;$AF$1,包装物料出入库明细!$B$4:$B$2003,"&lt;="&amp;$AF$2))</f>
        <v/>
      </c>
      <c r="F181" s="25" t="str">
        <f>IF(OR($B181="",_自动清单!$G$7=""),"",SUMIFS(包装物料出入库明细!$J$4:$J$2003,包装物料出入库明细!$D$4:$D$2003,$B181,包装物料出入库明细!$E$4:$E$2003,_自动清单!$G$7,包装物料出入库明细!$B$4:$B$2003,"&gt;="&amp;$AF$1,包装物料出入库明细!$B$4:$B$2003,"&lt;="&amp;$AF$2))</f>
        <v/>
      </c>
      <c r="G181" s="25" t="str">
        <f>IF(OR($B181="",_自动清单!$G$8=""),"",SUMIFS(包装物料出入库明细!$J$4:$J$2003,包装物料出入库明细!$D$4:$D$2003,$B181,包装物料出入库明细!$E$4:$E$2003,_自动清单!$G$8,包装物料出入库明细!$B$4:$B$2003,"&gt;="&amp;$AF$1,包装物料出入库明细!$B$4:$B$2003,"&lt;="&amp;$AF$2))</f>
        <v/>
      </c>
      <c r="H181" s="25" t="str">
        <f>IF(OR($B181="",_自动清单!$G$9=""),"",SUMIFS(包装物料出入库明细!$J$4:$J$2003,包装物料出入库明细!$D$4:$D$2003,$B181,包装物料出入库明细!$E$4:$E$2003,_自动清单!$G$9,包装物料出入库明细!$B$4:$B$2003,"&gt;="&amp;$AF$1,包装物料出入库明细!$B$4:$B$2003,"&lt;="&amp;$AF$2))</f>
        <v/>
      </c>
      <c r="I181" s="25" t="str">
        <f>IF(OR($B181="",_自动清单!$G$10=""),"",SUMIFS(包装物料出入库明细!$J$4:$J$2003,包装物料出入库明细!$D$4:$D$2003,$B181,包装物料出入库明细!$E$4:$E$2003,_自动清单!$G$10,包装物料出入库明细!$B$4:$B$2003,"&gt;="&amp;$AF$1,包装物料出入库明细!$B$4:$B$2003,"&lt;="&amp;$AF$2))</f>
        <v/>
      </c>
      <c r="J181" s="25" t="str">
        <f>IF(OR($B181="",_自动清单!$G$11=""),"",SUMIFS(包装物料出入库明细!$J$4:$J$2003,包装物料出入库明细!$D$4:$D$2003,$B181,包装物料出入库明细!$E$4:$E$2003,_自动清单!$G$11,包装物料出入库明细!$B$4:$B$2003,"&gt;="&amp;$AF$1,包装物料出入库明细!$B$4:$B$2003,"&lt;="&amp;$AF$2))</f>
        <v/>
      </c>
      <c r="K181" s="25" t="str">
        <f>IF(OR($B181="",_自动清单!$G$12=""),"",SUMIFS(包装物料出入库明细!$J$4:$J$2003,包装物料出入库明细!$D$4:$D$2003,$B181,包装物料出入库明细!$E$4:$E$2003,_自动清单!$G$12,包装物料出入库明细!$B$4:$B$2003,"&gt;="&amp;$AF$1,包装物料出入库明细!$B$4:$B$2003,"&lt;="&amp;$AF$2))</f>
        <v/>
      </c>
      <c r="L181" s="25" t="str">
        <f>IF(OR($B181="",_自动清单!$G$13=""),"",SUMIFS(包装物料出入库明细!$J$4:$J$2003,包装物料出入库明细!$D$4:$D$2003,$B181,包装物料出入库明细!$E$4:$E$2003,_自动清单!$G$13,包装物料出入库明细!$B$4:$B$2003,"&gt;="&amp;$AF$1,包装物料出入库明细!$B$4:$B$2003,"&lt;="&amp;$AF$2))</f>
        <v/>
      </c>
      <c r="M181" s="25" t="str">
        <f>IF(OR($B181="",_自动清单!$G$14=""),"",SUMIFS(包装物料出入库明细!$J$4:$J$2003,包装物料出入库明细!$D$4:$D$2003,$B181,包装物料出入库明细!$E$4:$E$2003,_自动清单!$G$14,包装物料出入库明细!$B$4:$B$2003,"&gt;="&amp;$AF$1,包装物料出入库明细!$B$4:$B$2003,"&lt;="&amp;$AF$2))</f>
        <v/>
      </c>
      <c r="N181" s="25" t="str">
        <f>IF(OR($B181="",_自动清单!$G$15=""),"",SUMIFS(包装物料出入库明细!$J$4:$J$2003,包装物料出入库明细!$D$4:$D$2003,$B181,包装物料出入库明细!$E$4:$E$2003,_自动清单!$G$15,包装物料出入库明细!$B$4:$B$2003,"&gt;="&amp;$AF$1,包装物料出入库明细!$B$4:$B$2003,"&lt;="&amp;$AF$2))</f>
        <v/>
      </c>
      <c r="O181" s="25" t="str">
        <f>IF(OR($B181="",_自动清单!$G$16=""),"",SUMIFS(包装物料出入库明细!$J$4:$J$2003,包装物料出入库明细!$D$4:$D$2003,$B181,包装物料出入库明细!$E$4:$E$2003,_自动清单!$G$16,包装物料出入库明细!$B$4:$B$2003,"&gt;="&amp;$AF$1,包装物料出入库明细!$B$4:$B$2003,"&lt;="&amp;$AF$2))</f>
        <v/>
      </c>
      <c r="P181" s="25" t="str">
        <f>IF(OR($B181="",_自动清单!$G$17=""),"",SUMIFS(包装物料出入库明细!$J$4:$J$2003,包装物料出入库明细!$D$4:$D$2003,$B181,包装物料出入库明细!$E$4:$E$2003,_自动清单!$G$17,包装物料出入库明细!$B$4:$B$2003,"&gt;="&amp;$AF$1,包装物料出入库明细!$B$4:$B$2003,"&lt;="&amp;$AF$2))</f>
        <v/>
      </c>
      <c r="Q181" s="25" t="str">
        <f>IF(OR($B181="",_自动清单!$G$18=""),"",SUMIFS(包装物料出入库明细!$J$4:$J$2003,包装物料出入库明细!$D$4:$D$2003,$B181,包装物料出入库明细!$E$4:$E$2003,_自动清单!$G$18,包装物料出入库明细!$B$4:$B$2003,"&gt;="&amp;$AF$1,包装物料出入库明细!$B$4:$B$2003,"&lt;="&amp;$AF$2))</f>
        <v/>
      </c>
      <c r="R181" s="25" t="str">
        <f>IF(OR($B181="",_自动清单!$G$19=""),"",SUMIFS(包装物料出入库明细!$J$4:$J$2003,包装物料出入库明细!$D$4:$D$2003,$B181,包装物料出入库明细!$E$4:$E$2003,_自动清单!$G$19,包装物料出入库明细!$B$4:$B$2003,"&gt;="&amp;$AF$1,包装物料出入库明细!$B$4:$B$2003,"&lt;="&amp;$AF$2))</f>
        <v/>
      </c>
      <c r="S181" s="25" t="str">
        <f>IF(OR($B181="",_自动清单!$G$20=""),"",SUMIFS(包装物料出入库明细!$J$4:$J$2003,包装物料出入库明细!$D$4:$D$2003,$B181,包装物料出入库明细!$E$4:$E$2003,_自动清单!$G$20,包装物料出入库明细!$B$4:$B$2003,"&gt;="&amp;$AF$1,包装物料出入库明细!$B$4:$B$2003,"&lt;="&amp;$AF$2))</f>
        <v/>
      </c>
      <c r="T181" s="25" t="str">
        <f>IF(OR($B181="",_自动清单!$G$21=""),"",SUMIFS(包装物料出入库明细!$J$4:$J$2003,包装物料出入库明细!$D$4:$D$2003,$B181,包装物料出入库明细!$E$4:$E$2003,_自动清单!$G$21,包装物料出入库明细!$B$4:$B$2003,"&gt;="&amp;$AF$1,包装物料出入库明细!$B$4:$B$2003,"&lt;="&amp;$AF$2))</f>
        <v/>
      </c>
      <c r="U181" s="25" t="str">
        <f>IF($B181="","",SUMIFS(包装物料出入库明细!$J$4:$J$2003,包装物料出入库明细!$D$4:$D$2003,$B181,包装物料出入库明细!$B$4:$B$2003,"&gt;="&amp;$AF$1,包装物料出入库明细!$B$4:$B$2003,"&lt;="&amp;$AF$2)-SUM($C181:$T181))</f>
        <v/>
      </c>
      <c r="V181" s="25" t="str">
        <f t="shared" si="9"/>
        <v/>
      </c>
      <c r="W181" s="56" t="str">
        <f>IF($B181="","",SUMIFS(包装物料出入库明细!$K$4:$K$2003,包装物料出入库明细!$D$4:$D$2003,$B181,包装物料出入库明细!$B$4:$B$2003,"&gt;="&amp;$AF$1,包装物料出入库明细!$B$4:$B$2003,"&lt;="&amp;$AF$2))</f>
        <v/>
      </c>
      <c r="X181" s="25" t="str">
        <f t="shared" si="10"/>
        <v/>
      </c>
      <c r="Y181" s="26" t="str">
        <f>IF($B181="","",ROUND(SUMIFS(包装物料出入库明细!$N$4:$N$2003,包装物料出入库明细!$D$4:$D$2003,$B181,包装物料出入库明细!$H$4:$H$2003,"销售出库",包装物料出入库明细!$B$4:$B$2003,"&gt;="&amp;$AF$1,包装物料出入库明细!$B$4:$B$2003,"&lt;="&amp;$AF$2),2))</f>
        <v/>
      </c>
      <c r="Z181" s="26" t="str">
        <f>IF($B181="","",ROUND(SUMIFS(包装物料出入库明细!$N$4:$N$2003,包装物料出入库明细!$D$4:$D$2003,$B181,包装物料出入库明细!$H$4:$H$2003,"销售出库",包装物料出入库明细!$P$4:$P$2003,"已收讫",包装物料出入库明细!$B$4:$B$2003,"&gt;="&amp;$AF$1,包装物料出入库明细!$B$4:$B$2003,"&lt;="&amp;$AF$2),2))</f>
        <v/>
      </c>
      <c r="AA181" s="26" t="str">
        <f t="shared" si="11"/>
        <v/>
      </c>
      <c r="AB181" s="41"/>
    </row>
    <row r="182" spans="1:28">
      <c r="A182" s="24" t="str">
        <f t="shared" si="8"/>
        <v/>
      </c>
      <c r="B182" s="24" t="str">
        <f>IFERROR(INDEX(_自动清单!$O$4:$O$203,ROW()-3),"")</f>
        <v/>
      </c>
      <c r="C182" s="25" t="str">
        <f>IF(OR($B182="",_自动清单!$G$4=""),"",SUMIFS(包装物料出入库明细!$J$4:$J$2003,包装物料出入库明细!$D$4:$D$2003,$B182,包装物料出入库明细!$E$4:$E$2003,_自动清单!$G$4,包装物料出入库明细!$B$4:$B$2003,"&gt;="&amp;$AF$1,包装物料出入库明细!$B$4:$B$2003,"&lt;="&amp;$AF$2))</f>
        <v/>
      </c>
      <c r="D182" s="25" t="str">
        <f>IF(OR($B182="",_自动清单!$G$5=""),"",SUMIFS(包装物料出入库明细!$J$4:$J$2003,包装物料出入库明细!$D$4:$D$2003,$B182,包装物料出入库明细!$E$4:$E$2003,_自动清单!$G$5,包装物料出入库明细!$B$4:$B$2003,"&gt;="&amp;$AF$1,包装物料出入库明细!$B$4:$B$2003,"&lt;="&amp;$AF$2))</f>
        <v/>
      </c>
      <c r="E182" s="25" t="str">
        <f>IF(OR($B182="",_自动清单!$G$6=""),"",SUMIFS(包装物料出入库明细!$J$4:$J$2003,包装物料出入库明细!$D$4:$D$2003,$B182,包装物料出入库明细!$E$4:$E$2003,_自动清单!$G$6,包装物料出入库明细!$B$4:$B$2003,"&gt;="&amp;$AF$1,包装物料出入库明细!$B$4:$B$2003,"&lt;="&amp;$AF$2))</f>
        <v/>
      </c>
      <c r="F182" s="25" t="str">
        <f>IF(OR($B182="",_自动清单!$G$7=""),"",SUMIFS(包装物料出入库明细!$J$4:$J$2003,包装物料出入库明细!$D$4:$D$2003,$B182,包装物料出入库明细!$E$4:$E$2003,_自动清单!$G$7,包装物料出入库明细!$B$4:$B$2003,"&gt;="&amp;$AF$1,包装物料出入库明细!$B$4:$B$2003,"&lt;="&amp;$AF$2))</f>
        <v/>
      </c>
      <c r="G182" s="25" t="str">
        <f>IF(OR($B182="",_自动清单!$G$8=""),"",SUMIFS(包装物料出入库明细!$J$4:$J$2003,包装物料出入库明细!$D$4:$D$2003,$B182,包装物料出入库明细!$E$4:$E$2003,_自动清单!$G$8,包装物料出入库明细!$B$4:$B$2003,"&gt;="&amp;$AF$1,包装物料出入库明细!$B$4:$B$2003,"&lt;="&amp;$AF$2))</f>
        <v/>
      </c>
      <c r="H182" s="25" t="str">
        <f>IF(OR($B182="",_自动清单!$G$9=""),"",SUMIFS(包装物料出入库明细!$J$4:$J$2003,包装物料出入库明细!$D$4:$D$2003,$B182,包装物料出入库明细!$E$4:$E$2003,_自动清单!$G$9,包装物料出入库明细!$B$4:$B$2003,"&gt;="&amp;$AF$1,包装物料出入库明细!$B$4:$B$2003,"&lt;="&amp;$AF$2))</f>
        <v/>
      </c>
      <c r="I182" s="25" t="str">
        <f>IF(OR($B182="",_自动清单!$G$10=""),"",SUMIFS(包装物料出入库明细!$J$4:$J$2003,包装物料出入库明细!$D$4:$D$2003,$B182,包装物料出入库明细!$E$4:$E$2003,_自动清单!$G$10,包装物料出入库明细!$B$4:$B$2003,"&gt;="&amp;$AF$1,包装物料出入库明细!$B$4:$B$2003,"&lt;="&amp;$AF$2))</f>
        <v/>
      </c>
      <c r="J182" s="25" t="str">
        <f>IF(OR($B182="",_自动清单!$G$11=""),"",SUMIFS(包装物料出入库明细!$J$4:$J$2003,包装物料出入库明细!$D$4:$D$2003,$B182,包装物料出入库明细!$E$4:$E$2003,_自动清单!$G$11,包装物料出入库明细!$B$4:$B$2003,"&gt;="&amp;$AF$1,包装物料出入库明细!$B$4:$B$2003,"&lt;="&amp;$AF$2))</f>
        <v/>
      </c>
      <c r="K182" s="25" t="str">
        <f>IF(OR($B182="",_自动清单!$G$12=""),"",SUMIFS(包装物料出入库明细!$J$4:$J$2003,包装物料出入库明细!$D$4:$D$2003,$B182,包装物料出入库明细!$E$4:$E$2003,_自动清单!$G$12,包装物料出入库明细!$B$4:$B$2003,"&gt;="&amp;$AF$1,包装物料出入库明细!$B$4:$B$2003,"&lt;="&amp;$AF$2))</f>
        <v/>
      </c>
      <c r="L182" s="25" t="str">
        <f>IF(OR($B182="",_自动清单!$G$13=""),"",SUMIFS(包装物料出入库明细!$J$4:$J$2003,包装物料出入库明细!$D$4:$D$2003,$B182,包装物料出入库明细!$E$4:$E$2003,_自动清单!$G$13,包装物料出入库明细!$B$4:$B$2003,"&gt;="&amp;$AF$1,包装物料出入库明细!$B$4:$B$2003,"&lt;="&amp;$AF$2))</f>
        <v/>
      </c>
      <c r="M182" s="25" t="str">
        <f>IF(OR($B182="",_自动清单!$G$14=""),"",SUMIFS(包装物料出入库明细!$J$4:$J$2003,包装物料出入库明细!$D$4:$D$2003,$B182,包装物料出入库明细!$E$4:$E$2003,_自动清单!$G$14,包装物料出入库明细!$B$4:$B$2003,"&gt;="&amp;$AF$1,包装物料出入库明细!$B$4:$B$2003,"&lt;="&amp;$AF$2))</f>
        <v/>
      </c>
      <c r="N182" s="25" t="str">
        <f>IF(OR($B182="",_自动清单!$G$15=""),"",SUMIFS(包装物料出入库明细!$J$4:$J$2003,包装物料出入库明细!$D$4:$D$2003,$B182,包装物料出入库明细!$E$4:$E$2003,_自动清单!$G$15,包装物料出入库明细!$B$4:$B$2003,"&gt;="&amp;$AF$1,包装物料出入库明细!$B$4:$B$2003,"&lt;="&amp;$AF$2))</f>
        <v/>
      </c>
      <c r="O182" s="25" t="str">
        <f>IF(OR($B182="",_自动清单!$G$16=""),"",SUMIFS(包装物料出入库明细!$J$4:$J$2003,包装物料出入库明细!$D$4:$D$2003,$B182,包装物料出入库明细!$E$4:$E$2003,_自动清单!$G$16,包装物料出入库明细!$B$4:$B$2003,"&gt;="&amp;$AF$1,包装物料出入库明细!$B$4:$B$2003,"&lt;="&amp;$AF$2))</f>
        <v/>
      </c>
      <c r="P182" s="25" t="str">
        <f>IF(OR($B182="",_自动清单!$G$17=""),"",SUMIFS(包装物料出入库明细!$J$4:$J$2003,包装物料出入库明细!$D$4:$D$2003,$B182,包装物料出入库明细!$E$4:$E$2003,_自动清单!$G$17,包装物料出入库明细!$B$4:$B$2003,"&gt;="&amp;$AF$1,包装物料出入库明细!$B$4:$B$2003,"&lt;="&amp;$AF$2))</f>
        <v/>
      </c>
      <c r="Q182" s="25" t="str">
        <f>IF(OR($B182="",_自动清单!$G$18=""),"",SUMIFS(包装物料出入库明细!$J$4:$J$2003,包装物料出入库明细!$D$4:$D$2003,$B182,包装物料出入库明细!$E$4:$E$2003,_自动清单!$G$18,包装物料出入库明细!$B$4:$B$2003,"&gt;="&amp;$AF$1,包装物料出入库明细!$B$4:$B$2003,"&lt;="&amp;$AF$2))</f>
        <v/>
      </c>
      <c r="R182" s="25" t="str">
        <f>IF(OR($B182="",_自动清单!$G$19=""),"",SUMIFS(包装物料出入库明细!$J$4:$J$2003,包装物料出入库明细!$D$4:$D$2003,$B182,包装物料出入库明细!$E$4:$E$2003,_自动清单!$G$19,包装物料出入库明细!$B$4:$B$2003,"&gt;="&amp;$AF$1,包装物料出入库明细!$B$4:$B$2003,"&lt;="&amp;$AF$2))</f>
        <v/>
      </c>
      <c r="S182" s="25" t="str">
        <f>IF(OR($B182="",_自动清单!$G$20=""),"",SUMIFS(包装物料出入库明细!$J$4:$J$2003,包装物料出入库明细!$D$4:$D$2003,$B182,包装物料出入库明细!$E$4:$E$2003,_自动清单!$G$20,包装物料出入库明细!$B$4:$B$2003,"&gt;="&amp;$AF$1,包装物料出入库明细!$B$4:$B$2003,"&lt;="&amp;$AF$2))</f>
        <v/>
      </c>
      <c r="T182" s="25" t="str">
        <f>IF(OR($B182="",_自动清单!$G$21=""),"",SUMIFS(包装物料出入库明细!$J$4:$J$2003,包装物料出入库明细!$D$4:$D$2003,$B182,包装物料出入库明细!$E$4:$E$2003,_自动清单!$G$21,包装物料出入库明细!$B$4:$B$2003,"&gt;="&amp;$AF$1,包装物料出入库明细!$B$4:$B$2003,"&lt;="&amp;$AF$2))</f>
        <v/>
      </c>
      <c r="U182" s="25" t="str">
        <f>IF($B182="","",SUMIFS(包装物料出入库明细!$J$4:$J$2003,包装物料出入库明细!$D$4:$D$2003,$B182,包装物料出入库明细!$B$4:$B$2003,"&gt;="&amp;$AF$1,包装物料出入库明细!$B$4:$B$2003,"&lt;="&amp;$AF$2)-SUM($C182:$T182))</f>
        <v/>
      </c>
      <c r="V182" s="25" t="str">
        <f t="shared" si="9"/>
        <v/>
      </c>
      <c r="W182" s="56" t="str">
        <f>IF($B182="","",SUMIFS(包装物料出入库明细!$K$4:$K$2003,包装物料出入库明细!$D$4:$D$2003,$B182,包装物料出入库明细!$B$4:$B$2003,"&gt;="&amp;$AF$1,包装物料出入库明细!$B$4:$B$2003,"&lt;="&amp;$AF$2))</f>
        <v/>
      </c>
      <c r="X182" s="25" t="str">
        <f t="shared" si="10"/>
        <v/>
      </c>
      <c r="Y182" s="26" t="str">
        <f>IF($B182="","",ROUND(SUMIFS(包装物料出入库明细!$N$4:$N$2003,包装物料出入库明细!$D$4:$D$2003,$B182,包装物料出入库明细!$H$4:$H$2003,"销售出库",包装物料出入库明细!$B$4:$B$2003,"&gt;="&amp;$AF$1,包装物料出入库明细!$B$4:$B$2003,"&lt;="&amp;$AF$2),2))</f>
        <v/>
      </c>
      <c r="Z182" s="26" t="str">
        <f>IF($B182="","",ROUND(SUMIFS(包装物料出入库明细!$N$4:$N$2003,包装物料出入库明细!$D$4:$D$2003,$B182,包装物料出入库明细!$H$4:$H$2003,"销售出库",包装物料出入库明细!$P$4:$P$2003,"已收讫",包装物料出入库明细!$B$4:$B$2003,"&gt;="&amp;$AF$1,包装物料出入库明细!$B$4:$B$2003,"&lt;="&amp;$AF$2),2))</f>
        <v/>
      </c>
      <c r="AA182" s="26" t="str">
        <f t="shared" si="11"/>
        <v/>
      </c>
      <c r="AB182" s="41"/>
    </row>
    <row r="183" spans="1:28">
      <c r="A183" s="24" t="str">
        <f t="shared" si="8"/>
        <v/>
      </c>
      <c r="B183" s="24" t="str">
        <f>IFERROR(INDEX(_自动清单!$O$4:$O$203,ROW()-3),"")</f>
        <v/>
      </c>
      <c r="C183" s="25" t="str">
        <f>IF(OR($B183="",_自动清单!$G$4=""),"",SUMIFS(包装物料出入库明细!$J$4:$J$2003,包装物料出入库明细!$D$4:$D$2003,$B183,包装物料出入库明细!$E$4:$E$2003,_自动清单!$G$4,包装物料出入库明细!$B$4:$B$2003,"&gt;="&amp;$AF$1,包装物料出入库明细!$B$4:$B$2003,"&lt;="&amp;$AF$2))</f>
        <v/>
      </c>
      <c r="D183" s="25" t="str">
        <f>IF(OR($B183="",_自动清单!$G$5=""),"",SUMIFS(包装物料出入库明细!$J$4:$J$2003,包装物料出入库明细!$D$4:$D$2003,$B183,包装物料出入库明细!$E$4:$E$2003,_自动清单!$G$5,包装物料出入库明细!$B$4:$B$2003,"&gt;="&amp;$AF$1,包装物料出入库明细!$B$4:$B$2003,"&lt;="&amp;$AF$2))</f>
        <v/>
      </c>
      <c r="E183" s="25" t="str">
        <f>IF(OR($B183="",_自动清单!$G$6=""),"",SUMIFS(包装物料出入库明细!$J$4:$J$2003,包装物料出入库明细!$D$4:$D$2003,$B183,包装物料出入库明细!$E$4:$E$2003,_自动清单!$G$6,包装物料出入库明细!$B$4:$B$2003,"&gt;="&amp;$AF$1,包装物料出入库明细!$B$4:$B$2003,"&lt;="&amp;$AF$2))</f>
        <v/>
      </c>
      <c r="F183" s="25" t="str">
        <f>IF(OR($B183="",_自动清单!$G$7=""),"",SUMIFS(包装物料出入库明细!$J$4:$J$2003,包装物料出入库明细!$D$4:$D$2003,$B183,包装物料出入库明细!$E$4:$E$2003,_自动清单!$G$7,包装物料出入库明细!$B$4:$B$2003,"&gt;="&amp;$AF$1,包装物料出入库明细!$B$4:$B$2003,"&lt;="&amp;$AF$2))</f>
        <v/>
      </c>
      <c r="G183" s="25" t="str">
        <f>IF(OR($B183="",_自动清单!$G$8=""),"",SUMIFS(包装物料出入库明细!$J$4:$J$2003,包装物料出入库明细!$D$4:$D$2003,$B183,包装物料出入库明细!$E$4:$E$2003,_自动清单!$G$8,包装物料出入库明细!$B$4:$B$2003,"&gt;="&amp;$AF$1,包装物料出入库明细!$B$4:$B$2003,"&lt;="&amp;$AF$2))</f>
        <v/>
      </c>
      <c r="H183" s="25" t="str">
        <f>IF(OR($B183="",_自动清单!$G$9=""),"",SUMIFS(包装物料出入库明细!$J$4:$J$2003,包装物料出入库明细!$D$4:$D$2003,$B183,包装物料出入库明细!$E$4:$E$2003,_自动清单!$G$9,包装物料出入库明细!$B$4:$B$2003,"&gt;="&amp;$AF$1,包装物料出入库明细!$B$4:$B$2003,"&lt;="&amp;$AF$2))</f>
        <v/>
      </c>
      <c r="I183" s="25" t="str">
        <f>IF(OR($B183="",_自动清单!$G$10=""),"",SUMIFS(包装物料出入库明细!$J$4:$J$2003,包装物料出入库明细!$D$4:$D$2003,$B183,包装物料出入库明细!$E$4:$E$2003,_自动清单!$G$10,包装物料出入库明细!$B$4:$B$2003,"&gt;="&amp;$AF$1,包装物料出入库明细!$B$4:$B$2003,"&lt;="&amp;$AF$2))</f>
        <v/>
      </c>
      <c r="J183" s="25" t="str">
        <f>IF(OR($B183="",_自动清单!$G$11=""),"",SUMIFS(包装物料出入库明细!$J$4:$J$2003,包装物料出入库明细!$D$4:$D$2003,$B183,包装物料出入库明细!$E$4:$E$2003,_自动清单!$G$11,包装物料出入库明细!$B$4:$B$2003,"&gt;="&amp;$AF$1,包装物料出入库明细!$B$4:$B$2003,"&lt;="&amp;$AF$2))</f>
        <v/>
      </c>
      <c r="K183" s="25" t="str">
        <f>IF(OR($B183="",_自动清单!$G$12=""),"",SUMIFS(包装物料出入库明细!$J$4:$J$2003,包装物料出入库明细!$D$4:$D$2003,$B183,包装物料出入库明细!$E$4:$E$2003,_自动清单!$G$12,包装物料出入库明细!$B$4:$B$2003,"&gt;="&amp;$AF$1,包装物料出入库明细!$B$4:$B$2003,"&lt;="&amp;$AF$2))</f>
        <v/>
      </c>
      <c r="L183" s="25" t="str">
        <f>IF(OR($B183="",_自动清单!$G$13=""),"",SUMIFS(包装物料出入库明细!$J$4:$J$2003,包装物料出入库明细!$D$4:$D$2003,$B183,包装物料出入库明细!$E$4:$E$2003,_自动清单!$G$13,包装物料出入库明细!$B$4:$B$2003,"&gt;="&amp;$AF$1,包装物料出入库明细!$B$4:$B$2003,"&lt;="&amp;$AF$2))</f>
        <v/>
      </c>
      <c r="M183" s="25" t="str">
        <f>IF(OR($B183="",_自动清单!$G$14=""),"",SUMIFS(包装物料出入库明细!$J$4:$J$2003,包装物料出入库明细!$D$4:$D$2003,$B183,包装物料出入库明细!$E$4:$E$2003,_自动清单!$G$14,包装物料出入库明细!$B$4:$B$2003,"&gt;="&amp;$AF$1,包装物料出入库明细!$B$4:$B$2003,"&lt;="&amp;$AF$2))</f>
        <v/>
      </c>
      <c r="N183" s="25" t="str">
        <f>IF(OR($B183="",_自动清单!$G$15=""),"",SUMIFS(包装物料出入库明细!$J$4:$J$2003,包装物料出入库明细!$D$4:$D$2003,$B183,包装物料出入库明细!$E$4:$E$2003,_自动清单!$G$15,包装物料出入库明细!$B$4:$B$2003,"&gt;="&amp;$AF$1,包装物料出入库明细!$B$4:$B$2003,"&lt;="&amp;$AF$2))</f>
        <v/>
      </c>
      <c r="O183" s="25" t="str">
        <f>IF(OR($B183="",_自动清单!$G$16=""),"",SUMIFS(包装物料出入库明细!$J$4:$J$2003,包装物料出入库明细!$D$4:$D$2003,$B183,包装物料出入库明细!$E$4:$E$2003,_自动清单!$G$16,包装物料出入库明细!$B$4:$B$2003,"&gt;="&amp;$AF$1,包装物料出入库明细!$B$4:$B$2003,"&lt;="&amp;$AF$2))</f>
        <v/>
      </c>
      <c r="P183" s="25" t="str">
        <f>IF(OR($B183="",_自动清单!$G$17=""),"",SUMIFS(包装物料出入库明细!$J$4:$J$2003,包装物料出入库明细!$D$4:$D$2003,$B183,包装物料出入库明细!$E$4:$E$2003,_自动清单!$G$17,包装物料出入库明细!$B$4:$B$2003,"&gt;="&amp;$AF$1,包装物料出入库明细!$B$4:$B$2003,"&lt;="&amp;$AF$2))</f>
        <v/>
      </c>
      <c r="Q183" s="25" t="str">
        <f>IF(OR($B183="",_自动清单!$G$18=""),"",SUMIFS(包装物料出入库明细!$J$4:$J$2003,包装物料出入库明细!$D$4:$D$2003,$B183,包装物料出入库明细!$E$4:$E$2003,_自动清单!$G$18,包装物料出入库明细!$B$4:$B$2003,"&gt;="&amp;$AF$1,包装物料出入库明细!$B$4:$B$2003,"&lt;="&amp;$AF$2))</f>
        <v/>
      </c>
      <c r="R183" s="25" t="str">
        <f>IF(OR($B183="",_自动清单!$G$19=""),"",SUMIFS(包装物料出入库明细!$J$4:$J$2003,包装物料出入库明细!$D$4:$D$2003,$B183,包装物料出入库明细!$E$4:$E$2003,_自动清单!$G$19,包装物料出入库明细!$B$4:$B$2003,"&gt;="&amp;$AF$1,包装物料出入库明细!$B$4:$B$2003,"&lt;="&amp;$AF$2))</f>
        <v/>
      </c>
      <c r="S183" s="25" t="str">
        <f>IF(OR($B183="",_自动清单!$G$20=""),"",SUMIFS(包装物料出入库明细!$J$4:$J$2003,包装物料出入库明细!$D$4:$D$2003,$B183,包装物料出入库明细!$E$4:$E$2003,_自动清单!$G$20,包装物料出入库明细!$B$4:$B$2003,"&gt;="&amp;$AF$1,包装物料出入库明细!$B$4:$B$2003,"&lt;="&amp;$AF$2))</f>
        <v/>
      </c>
      <c r="T183" s="25" t="str">
        <f>IF(OR($B183="",_自动清单!$G$21=""),"",SUMIFS(包装物料出入库明细!$J$4:$J$2003,包装物料出入库明细!$D$4:$D$2003,$B183,包装物料出入库明细!$E$4:$E$2003,_自动清单!$G$21,包装物料出入库明细!$B$4:$B$2003,"&gt;="&amp;$AF$1,包装物料出入库明细!$B$4:$B$2003,"&lt;="&amp;$AF$2))</f>
        <v/>
      </c>
      <c r="U183" s="25" t="str">
        <f>IF($B183="","",SUMIFS(包装物料出入库明细!$J$4:$J$2003,包装物料出入库明细!$D$4:$D$2003,$B183,包装物料出入库明细!$B$4:$B$2003,"&gt;="&amp;$AF$1,包装物料出入库明细!$B$4:$B$2003,"&lt;="&amp;$AF$2)-SUM($C183:$T183))</f>
        <v/>
      </c>
      <c r="V183" s="25" t="str">
        <f t="shared" si="9"/>
        <v/>
      </c>
      <c r="W183" s="56" t="str">
        <f>IF($B183="","",SUMIFS(包装物料出入库明细!$K$4:$K$2003,包装物料出入库明细!$D$4:$D$2003,$B183,包装物料出入库明细!$B$4:$B$2003,"&gt;="&amp;$AF$1,包装物料出入库明细!$B$4:$B$2003,"&lt;="&amp;$AF$2))</f>
        <v/>
      </c>
      <c r="X183" s="25" t="str">
        <f t="shared" si="10"/>
        <v/>
      </c>
      <c r="Y183" s="26" t="str">
        <f>IF($B183="","",ROUND(SUMIFS(包装物料出入库明细!$N$4:$N$2003,包装物料出入库明细!$D$4:$D$2003,$B183,包装物料出入库明细!$H$4:$H$2003,"销售出库",包装物料出入库明细!$B$4:$B$2003,"&gt;="&amp;$AF$1,包装物料出入库明细!$B$4:$B$2003,"&lt;="&amp;$AF$2),2))</f>
        <v/>
      </c>
      <c r="Z183" s="26" t="str">
        <f>IF($B183="","",ROUND(SUMIFS(包装物料出入库明细!$N$4:$N$2003,包装物料出入库明细!$D$4:$D$2003,$B183,包装物料出入库明细!$H$4:$H$2003,"销售出库",包装物料出入库明细!$P$4:$P$2003,"已收讫",包装物料出入库明细!$B$4:$B$2003,"&gt;="&amp;$AF$1,包装物料出入库明细!$B$4:$B$2003,"&lt;="&amp;$AF$2),2))</f>
        <v/>
      </c>
      <c r="AA183" s="26" t="str">
        <f t="shared" si="11"/>
        <v/>
      </c>
      <c r="AB183" s="41"/>
    </row>
    <row r="184" spans="1:28">
      <c r="A184" s="24" t="str">
        <f t="shared" si="8"/>
        <v/>
      </c>
      <c r="B184" s="24" t="str">
        <f>IFERROR(INDEX(_自动清单!$O$4:$O$203,ROW()-3),"")</f>
        <v/>
      </c>
      <c r="C184" s="25" t="str">
        <f>IF(OR($B184="",_自动清单!$G$4=""),"",SUMIFS(包装物料出入库明细!$J$4:$J$2003,包装物料出入库明细!$D$4:$D$2003,$B184,包装物料出入库明细!$E$4:$E$2003,_自动清单!$G$4,包装物料出入库明细!$B$4:$B$2003,"&gt;="&amp;$AF$1,包装物料出入库明细!$B$4:$B$2003,"&lt;="&amp;$AF$2))</f>
        <v/>
      </c>
      <c r="D184" s="25" t="str">
        <f>IF(OR($B184="",_自动清单!$G$5=""),"",SUMIFS(包装物料出入库明细!$J$4:$J$2003,包装物料出入库明细!$D$4:$D$2003,$B184,包装物料出入库明细!$E$4:$E$2003,_自动清单!$G$5,包装物料出入库明细!$B$4:$B$2003,"&gt;="&amp;$AF$1,包装物料出入库明细!$B$4:$B$2003,"&lt;="&amp;$AF$2))</f>
        <v/>
      </c>
      <c r="E184" s="25" t="str">
        <f>IF(OR($B184="",_自动清单!$G$6=""),"",SUMIFS(包装物料出入库明细!$J$4:$J$2003,包装物料出入库明细!$D$4:$D$2003,$B184,包装物料出入库明细!$E$4:$E$2003,_自动清单!$G$6,包装物料出入库明细!$B$4:$B$2003,"&gt;="&amp;$AF$1,包装物料出入库明细!$B$4:$B$2003,"&lt;="&amp;$AF$2))</f>
        <v/>
      </c>
      <c r="F184" s="25" t="str">
        <f>IF(OR($B184="",_自动清单!$G$7=""),"",SUMIFS(包装物料出入库明细!$J$4:$J$2003,包装物料出入库明细!$D$4:$D$2003,$B184,包装物料出入库明细!$E$4:$E$2003,_自动清单!$G$7,包装物料出入库明细!$B$4:$B$2003,"&gt;="&amp;$AF$1,包装物料出入库明细!$B$4:$B$2003,"&lt;="&amp;$AF$2))</f>
        <v/>
      </c>
      <c r="G184" s="25" t="str">
        <f>IF(OR($B184="",_自动清单!$G$8=""),"",SUMIFS(包装物料出入库明细!$J$4:$J$2003,包装物料出入库明细!$D$4:$D$2003,$B184,包装物料出入库明细!$E$4:$E$2003,_自动清单!$G$8,包装物料出入库明细!$B$4:$B$2003,"&gt;="&amp;$AF$1,包装物料出入库明细!$B$4:$B$2003,"&lt;="&amp;$AF$2))</f>
        <v/>
      </c>
      <c r="H184" s="25" t="str">
        <f>IF(OR($B184="",_自动清单!$G$9=""),"",SUMIFS(包装物料出入库明细!$J$4:$J$2003,包装物料出入库明细!$D$4:$D$2003,$B184,包装物料出入库明细!$E$4:$E$2003,_自动清单!$G$9,包装物料出入库明细!$B$4:$B$2003,"&gt;="&amp;$AF$1,包装物料出入库明细!$B$4:$B$2003,"&lt;="&amp;$AF$2))</f>
        <v/>
      </c>
      <c r="I184" s="25" t="str">
        <f>IF(OR($B184="",_自动清单!$G$10=""),"",SUMIFS(包装物料出入库明细!$J$4:$J$2003,包装物料出入库明细!$D$4:$D$2003,$B184,包装物料出入库明细!$E$4:$E$2003,_自动清单!$G$10,包装物料出入库明细!$B$4:$B$2003,"&gt;="&amp;$AF$1,包装物料出入库明细!$B$4:$B$2003,"&lt;="&amp;$AF$2))</f>
        <v/>
      </c>
      <c r="J184" s="25" t="str">
        <f>IF(OR($B184="",_自动清单!$G$11=""),"",SUMIFS(包装物料出入库明细!$J$4:$J$2003,包装物料出入库明细!$D$4:$D$2003,$B184,包装物料出入库明细!$E$4:$E$2003,_自动清单!$G$11,包装物料出入库明细!$B$4:$B$2003,"&gt;="&amp;$AF$1,包装物料出入库明细!$B$4:$B$2003,"&lt;="&amp;$AF$2))</f>
        <v/>
      </c>
      <c r="K184" s="25" t="str">
        <f>IF(OR($B184="",_自动清单!$G$12=""),"",SUMIFS(包装物料出入库明细!$J$4:$J$2003,包装物料出入库明细!$D$4:$D$2003,$B184,包装物料出入库明细!$E$4:$E$2003,_自动清单!$G$12,包装物料出入库明细!$B$4:$B$2003,"&gt;="&amp;$AF$1,包装物料出入库明细!$B$4:$B$2003,"&lt;="&amp;$AF$2))</f>
        <v/>
      </c>
      <c r="L184" s="25" t="str">
        <f>IF(OR($B184="",_自动清单!$G$13=""),"",SUMIFS(包装物料出入库明细!$J$4:$J$2003,包装物料出入库明细!$D$4:$D$2003,$B184,包装物料出入库明细!$E$4:$E$2003,_自动清单!$G$13,包装物料出入库明细!$B$4:$B$2003,"&gt;="&amp;$AF$1,包装物料出入库明细!$B$4:$B$2003,"&lt;="&amp;$AF$2))</f>
        <v/>
      </c>
      <c r="M184" s="25" t="str">
        <f>IF(OR($B184="",_自动清单!$G$14=""),"",SUMIFS(包装物料出入库明细!$J$4:$J$2003,包装物料出入库明细!$D$4:$D$2003,$B184,包装物料出入库明细!$E$4:$E$2003,_自动清单!$G$14,包装物料出入库明细!$B$4:$B$2003,"&gt;="&amp;$AF$1,包装物料出入库明细!$B$4:$B$2003,"&lt;="&amp;$AF$2))</f>
        <v/>
      </c>
      <c r="N184" s="25" t="str">
        <f>IF(OR($B184="",_自动清单!$G$15=""),"",SUMIFS(包装物料出入库明细!$J$4:$J$2003,包装物料出入库明细!$D$4:$D$2003,$B184,包装物料出入库明细!$E$4:$E$2003,_自动清单!$G$15,包装物料出入库明细!$B$4:$B$2003,"&gt;="&amp;$AF$1,包装物料出入库明细!$B$4:$B$2003,"&lt;="&amp;$AF$2))</f>
        <v/>
      </c>
      <c r="O184" s="25" t="str">
        <f>IF(OR($B184="",_自动清单!$G$16=""),"",SUMIFS(包装物料出入库明细!$J$4:$J$2003,包装物料出入库明细!$D$4:$D$2003,$B184,包装物料出入库明细!$E$4:$E$2003,_自动清单!$G$16,包装物料出入库明细!$B$4:$B$2003,"&gt;="&amp;$AF$1,包装物料出入库明细!$B$4:$B$2003,"&lt;="&amp;$AF$2))</f>
        <v/>
      </c>
      <c r="P184" s="25" t="str">
        <f>IF(OR($B184="",_自动清单!$G$17=""),"",SUMIFS(包装物料出入库明细!$J$4:$J$2003,包装物料出入库明细!$D$4:$D$2003,$B184,包装物料出入库明细!$E$4:$E$2003,_自动清单!$G$17,包装物料出入库明细!$B$4:$B$2003,"&gt;="&amp;$AF$1,包装物料出入库明细!$B$4:$B$2003,"&lt;="&amp;$AF$2))</f>
        <v/>
      </c>
      <c r="Q184" s="25" t="str">
        <f>IF(OR($B184="",_自动清单!$G$18=""),"",SUMIFS(包装物料出入库明细!$J$4:$J$2003,包装物料出入库明细!$D$4:$D$2003,$B184,包装物料出入库明细!$E$4:$E$2003,_自动清单!$G$18,包装物料出入库明细!$B$4:$B$2003,"&gt;="&amp;$AF$1,包装物料出入库明细!$B$4:$B$2003,"&lt;="&amp;$AF$2))</f>
        <v/>
      </c>
      <c r="R184" s="25" t="str">
        <f>IF(OR($B184="",_自动清单!$G$19=""),"",SUMIFS(包装物料出入库明细!$J$4:$J$2003,包装物料出入库明细!$D$4:$D$2003,$B184,包装物料出入库明细!$E$4:$E$2003,_自动清单!$G$19,包装物料出入库明细!$B$4:$B$2003,"&gt;="&amp;$AF$1,包装物料出入库明细!$B$4:$B$2003,"&lt;="&amp;$AF$2))</f>
        <v/>
      </c>
      <c r="S184" s="25" t="str">
        <f>IF(OR($B184="",_自动清单!$G$20=""),"",SUMIFS(包装物料出入库明细!$J$4:$J$2003,包装物料出入库明细!$D$4:$D$2003,$B184,包装物料出入库明细!$E$4:$E$2003,_自动清单!$G$20,包装物料出入库明细!$B$4:$B$2003,"&gt;="&amp;$AF$1,包装物料出入库明细!$B$4:$B$2003,"&lt;="&amp;$AF$2))</f>
        <v/>
      </c>
      <c r="T184" s="25" t="str">
        <f>IF(OR($B184="",_自动清单!$G$21=""),"",SUMIFS(包装物料出入库明细!$J$4:$J$2003,包装物料出入库明细!$D$4:$D$2003,$B184,包装物料出入库明细!$E$4:$E$2003,_自动清单!$G$21,包装物料出入库明细!$B$4:$B$2003,"&gt;="&amp;$AF$1,包装物料出入库明细!$B$4:$B$2003,"&lt;="&amp;$AF$2))</f>
        <v/>
      </c>
      <c r="U184" s="25" t="str">
        <f>IF($B184="","",SUMIFS(包装物料出入库明细!$J$4:$J$2003,包装物料出入库明细!$D$4:$D$2003,$B184,包装物料出入库明细!$B$4:$B$2003,"&gt;="&amp;$AF$1,包装物料出入库明细!$B$4:$B$2003,"&lt;="&amp;$AF$2)-SUM($C184:$T184))</f>
        <v/>
      </c>
      <c r="V184" s="25" t="str">
        <f t="shared" si="9"/>
        <v/>
      </c>
      <c r="W184" s="56" t="str">
        <f>IF($B184="","",SUMIFS(包装物料出入库明细!$K$4:$K$2003,包装物料出入库明细!$D$4:$D$2003,$B184,包装物料出入库明细!$B$4:$B$2003,"&gt;="&amp;$AF$1,包装物料出入库明细!$B$4:$B$2003,"&lt;="&amp;$AF$2))</f>
        <v/>
      </c>
      <c r="X184" s="25" t="str">
        <f t="shared" si="10"/>
        <v/>
      </c>
      <c r="Y184" s="26" t="str">
        <f>IF($B184="","",ROUND(SUMIFS(包装物料出入库明细!$N$4:$N$2003,包装物料出入库明细!$D$4:$D$2003,$B184,包装物料出入库明细!$H$4:$H$2003,"销售出库",包装物料出入库明细!$B$4:$B$2003,"&gt;="&amp;$AF$1,包装物料出入库明细!$B$4:$B$2003,"&lt;="&amp;$AF$2),2))</f>
        <v/>
      </c>
      <c r="Z184" s="26" t="str">
        <f>IF($B184="","",ROUND(SUMIFS(包装物料出入库明细!$N$4:$N$2003,包装物料出入库明细!$D$4:$D$2003,$B184,包装物料出入库明细!$H$4:$H$2003,"销售出库",包装物料出入库明细!$P$4:$P$2003,"已收讫",包装物料出入库明细!$B$4:$B$2003,"&gt;="&amp;$AF$1,包装物料出入库明细!$B$4:$B$2003,"&lt;="&amp;$AF$2),2))</f>
        <v/>
      </c>
      <c r="AA184" s="26" t="str">
        <f t="shared" si="11"/>
        <v/>
      </c>
      <c r="AB184" s="41"/>
    </row>
    <row r="185" spans="1:28">
      <c r="A185" s="24" t="str">
        <f t="shared" si="8"/>
        <v/>
      </c>
      <c r="B185" s="24" t="str">
        <f>IFERROR(INDEX(_自动清单!$O$4:$O$203,ROW()-3),"")</f>
        <v/>
      </c>
      <c r="C185" s="25" t="str">
        <f>IF(OR($B185="",_自动清单!$G$4=""),"",SUMIFS(包装物料出入库明细!$J$4:$J$2003,包装物料出入库明细!$D$4:$D$2003,$B185,包装物料出入库明细!$E$4:$E$2003,_自动清单!$G$4,包装物料出入库明细!$B$4:$B$2003,"&gt;="&amp;$AF$1,包装物料出入库明细!$B$4:$B$2003,"&lt;="&amp;$AF$2))</f>
        <v/>
      </c>
      <c r="D185" s="25" t="str">
        <f>IF(OR($B185="",_自动清单!$G$5=""),"",SUMIFS(包装物料出入库明细!$J$4:$J$2003,包装物料出入库明细!$D$4:$D$2003,$B185,包装物料出入库明细!$E$4:$E$2003,_自动清单!$G$5,包装物料出入库明细!$B$4:$B$2003,"&gt;="&amp;$AF$1,包装物料出入库明细!$B$4:$B$2003,"&lt;="&amp;$AF$2))</f>
        <v/>
      </c>
      <c r="E185" s="25" t="str">
        <f>IF(OR($B185="",_自动清单!$G$6=""),"",SUMIFS(包装物料出入库明细!$J$4:$J$2003,包装物料出入库明细!$D$4:$D$2003,$B185,包装物料出入库明细!$E$4:$E$2003,_自动清单!$G$6,包装物料出入库明细!$B$4:$B$2003,"&gt;="&amp;$AF$1,包装物料出入库明细!$B$4:$B$2003,"&lt;="&amp;$AF$2))</f>
        <v/>
      </c>
      <c r="F185" s="25" t="str">
        <f>IF(OR($B185="",_自动清单!$G$7=""),"",SUMIFS(包装物料出入库明细!$J$4:$J$2003,包装物料出入库明细!$D$4:$D$2003,$B185,包装物料出入库明细!$E$4:$E$2003,_自动清单!$G$7,包装物料出入库明细!$B$4:$B$2003,"&gt;="&amp;$AF$1,包装物料出入库明细!$B$4:$B$2003,"&lt;="&amp;$AF$2))</f>
        <v/>
      </c>
      <c r="G185" s="25" t="str">
        <f>IF(OR($B185="",_自动清单!$G$8=""),"",SUMIFS(包装物料出入库明细!$J$4:$J$2003,包装物料出入库明细!$D$4:$D$2003,$B185,包装物料出入库明细!$E$4:$E$2003,_自动清单!$G$8,包装物料出入库明细!$B$4:$B$2003,"&gt;="&amp;$AF$1,包装物料出入库明细!$B$4:$B$2003,"&lt;="&amp;$AF$2))</f>
        <v/>
      </c>
      <c r="H185" s="25" t="str">
        <f>IF(OR($B185="",_自动清单!$G$9=""),"",SUMIFS(包装物料出入库明细!$J$4:$J$2003,包装物料出入库明细!$D$4:$D$2003,$B185,包装物料出入库明细!$E$4:$E$2003,_自动清单!$G$9,包装物料出入库明细!$B$4:$B$2003,"&gt;="&amp;$AF$1,包装物料出入库明细!$B$4:$B$2003,"&lt;="&amp;$AF$2))</f>
        <v/>
      </c>
      <c r="I185" s="25" t="str">
        <f>IF(OR($B185="",_自动清单!$G$10=""),"",SUMIFS(包装物料出入库明细!$J$4:$J$2003,包装物料出入库明细!$D$4:$D$2003,$B185,包装物料出入库明细!$E$4:$E$2003,_自动清单!$G$10,包装物料出入库明细!$B$4:$B$2003,"&gt;="&amp;$AF$1,包装物料出入库明细!$B$4:$B$2003,"&lt;="&amp;$AF$2))</f>
        <v/>
      </c>
      <c r="J185" s="25" t="str">
        <f>IF(OR($B185="",_自动清单!$G$11=""),"",SUMIFS(包装物料出入库明细!$J$4:$J$2003,包装物料出入库明细!$D$4:$D$2003,$B185,包装物料出入库明细!$E$4:$E$2003,_自动清单!$G$11,包装物料出入库明细!$B$4:$B$2003,"&gt;="&amp;$AF$1,包装物料出入库明细!$B$4:$B$2003,"&lt;="&amp;$AF$2))</f>
        <v/>
      </c>
      <c r="K185" s="25" t="str">
        <f>IF(OR($B185="",_自动清单!$G$12=""),"",SUMIFS(包装物料出入库明细!$J$4:$J$2003,包装物料出入库明细!$D$4:$D$2003,$B185,包装物料出入库明细!$E$4:$E$2003,_自动清单!$G$12,包装物料出入库明细!$B$4:$B$2003,"&gt;="&amp;$AF$1,包装物料出入库明细!$B$4:$B$2003,"&lt;="&amp;$AF$2))</f>
        <v/>
      </c>
      <c r="L185" s="25" t="str">
        <f>IF(OR($B185="",_自动清单!$G$13=""),"",SUMIFS(包装物料出入库明细!$J$4:$J$2003,包装物料出入库明细!$D$4:$D$2003,$B185,包装物料出入库明细!$E$4:$E$2003,_自动清单!$G$13,包装物料出入库明细!$B$4:$B$2003,"&gt;="&amp;$AF$1,包装物料出入库明细!$B$4:$B$2003,"&lt;="&amp;$AF$2))</f>
        <v/>
      </c>
      <c r="M185" s="25" t="str">
        <f>IF(OR($B185="",_自动清单!$G$14=""),"",SUMIFS(包装物料出入库明细!$J$4:$J$2003,包装物料出入库明细!$D$4:$D$2003,$B185,包装物料出入库明细!$E$4:$E$2003,_自动清单!$G$14,包装物料出入库明细!$B$4:$B$2003,"&gt;="&amp;$AF$1,包装物料出入库明细!$B$4:$B$2003,"&lt;="&amp;$AF$2))</f>
        <v/>
      </c>
      <c r="N185" s="25" t="str">
        <f>IF(OR($B185="",_自动清单!$G$15=""),"",SUMIFS(包装物料出入库明细!$J$4:$J$2003,包装物料出入库明细!$D$4:$D$2003,$B185,包装物料出入库明细!$E$4:$E$2003,_自动清单!$G$15,包装物料出入库明细!$B$4:$B$2003,"&gt;="&amp;$AF$1,包装物料出入库明细!$B$4:$B$2003,"&lt;="&amp;$AF$2))</f>
        <v/>
      </c>
      <c r="O185" s="25" t="str">
        <f>IF(OR($B185="",_自动清单!$G$16=""),"",SUMIFS(包装物料出入库明细!$J$4:$J$2003,包装物料出入库明细!$D$4:$D$2003,$B185,包装物料出入库明细!$E$4:$E$2003,_自动清单!$G$16,包装物料出入库明细!$B$4:$B$2003,"&gt;="&amp;$AF$1,包装物料出入库明细!$B$4:$B$2003,"&lt;="&amp;$AF$2))</f>
        <v/>
      </c>
      <c r="P185" s="25" t="str">
        <f>IF(OR($B185="",_自动清单!$G$17=""),"",SUMIFS(包装物料出入库明细!$J$4:$J$2003,包装物料出入库明细!$D$4:$D$2003,$B185,包装物料出入库明细!$E$4:$E$2003,_自动清单!$G$17,包装物料出入库明细!$B$4:$B$2003,"&gt;="&amp;$AF$1,包装物料出入库明细!$B$4:$B$2003,"&lt;="&amp;$AF$2))</f>
        <v/>
      </c>
      <c r="Q185" s="25" t="str">
        <f>IF(OR($B185="",_自动清单!$G$18=""),"",SUMIFS(包装物料出入库明细!$J$4:$J$2003,包装物料出入库明细!$D$4:$D$2003,$B185,包装物料出入库明细!$E$4:$E$2003,_自动清单!$G$18,包装物料出入库明细!$B$4:$B$2003,"&gt;="&amp;$AF$1,包装物料出入库明细!$B$4:$B$2003,"&lt;="&amp;$AF$2))</f>
        <v/>
      </c>
      <c r="R185" s="25" t="str">
        <f>IF(OR($B185="",_自动清单!$G$19=""),"",SUMIFS(包装物料出入库明细!$J$4:$J$2003,包装物料出入库明细!$D$4:$D$2003,$B185,包装物料出入库明细!$E$4:$E$2003,_自动清单!$G$19,包装物料出入库明细!$B$4:$B$2003,"&gt;="&amp;$AF$1,包装物料出入库明细!$B$4:$B$2003,"&lt;="&amp;$AF$2))</f>
        <v/>
      </c>
      <c r="S185" s="25" t="str">
        <f>IF(OR($B185="",_自动清单!$G$20=""),"",SUMIFS(包装物料出入库明细!$J$4:$J$2003,包装物料出入库明细!$D$4:$D$2003,$B185,包装物料出入库明细!$E$4:$E$2003,_自动清单!$G$20,包装物料出入库明细!$B$4:$B$2003,"&gt;="&amp;$AF$1,包装物料出入库明细!$B$4:$B$2003,"&lt;="&amp;$AF$2))</f>
        <v/>
      </c>
      <c r="T185" s="25" t="str">
        <f>IF(OR($B185="",_自动清单!$G$21=""),"",SUMIFS(包装物料出入库明细!$J$4:$J$2003,包装物料出入库明细!$D$4:$D$2003,$B185,包装物料出入库明细!$E$4:$E$2003,_自动清单!$G$21,包装物料出入库明细!$B$4:$B$2003,"&gt;="&amp;$AF$1,包装物料出入库明细!$B$4:$B$2003,"&lt;="&amp;$AF$2))</f>
        <v/>
      </c>
      <c r="U185" s="25" t="str">
        <f>IF($B185="","",SUMIFS(包装物料出入库明细!$J$4:$J$2003,包装物料出入库明细!$D$4:$D$2003,$B185,包装物料出入库明细!$B$4:$B$2003,"&gt;="&amp;$AF$1,包装物料出入库明细!$B$4:$B$2003,"&lt;="&amp;$AF$2)-SUM($C185:$T185))</f>
        <v/>
      </c>
      <c r="V185" s="25" t="str">
        <f t="shared" si="9"/>
        <v/>
      </c>
      <c r="W185" s="56" t="str">
        <f>IF($B185="","",SUMIFS(包装物料出入库明细!$K$4:$K$2003,包装物料出入库明细!$D$4:$D$2003,$B185,包装物料出入库明细!$B$4:$B$2003,"&gt;="&amp;$AF$1,包装物料出入库明细!$B$4:$B$2003,"&lt;="&amp;$AF$2))</f>
        <v/>
      </c>
      <c r="X185" s="25" t="str">
        <f t="shared" si="10"/>
        <v/>
      </c>
      <c r="Y185" s="26" t="str">
        <f>IF($B185="","",ROUND(SUMIFS(包装物料出入库明细!$N$4:$N$2003,包装物料出入库明细!$D$4:$D$2003,$B185,包装物料出入库明细!$H$4:$H$2003,"销售出库",包装物料出入库明细!$B$4:$B$2003,"&gt;="&amp;$AF$1,包装物料出入库明细!$B$4:$B$2003,"&lt;="&amp;$AF$2),2))</f>
        <v/>
      </c>
      <c r="Z185" s="26" t="str">
        <f>IF($B185="","",ROUND(SUMIFS(包装物料出入库明细!$N$4:$N$2003,包装物料出入库明细!$D$4:$D$2003,$B185,包装物料出入库明细!$H$4:$H$2003,"销售出库",包装物料出入库明细!$P$4:$P$2003,"已收讫",包装物料出入库明细!$B$4:$B$2003,"&gt;="&amp;$AF$1,包装物料出入库明细!$B$4:$B$2003,"&lt;="&amp;$AF$2),2))</f>
        <v/>
      </c>
      <c r="AA185" s="26" t="str">
        <f t="shared" si="11"/>
        <v/>
      </c>
      <c r="AB185" s="41"/>
    </row>
    <row r="186" spans="1:28">
      <c r="A186" s="24" t="str">
        <f t="shared" si="8"/>
        <v/>
      </c>
      <c r="B186" s="24" t="str">
        <f>IFERROR(INDEX(_自动清单!$O$4:$O$203,ROW()-3),"")</f>
        <v/>
      </c>
      <c r="C186" s="25" t="str">
        <f>IF(OR($B186="",_自动清单!$G$4=""),"",SUMIFS(包装物料出入库明细!$J$4:$J$2003,包装物料出入库明细!$D$4:$D$2003,$B186,包装物料出入库明细!$E$4:$E$2003,_自动清单!$G$4,包装物料出入库明细!$B$4:$B$2003,"&gt;="&amp;$AF$1,包装物料出入库明细!$B$4:$B$2003,"&lt;="&amp;$AF$2))</f>
        <v/>
      </c>
      <c r="D186" s="25" t="str">
        <f>IF(OR($B186="",_自动清单!$G$5=""),"",SUMIFS(包装物料出入库明细!$J$4:$J$2003,包装物料出入库明细!$D$4:$D$2003,$B186,包装物料出入库明细!$E$4:$E$2003,_自动清单!$G$5,包装物料出入库明细!$B$4:$B$2003,"&gt;="&amp;$AF$1,包装物料出入库明细!$B$4:$B$2003,"&lt;="&amp;$AF$2))</f>
        <v/>
      </c>
      <c r="E186" s="25" t="str">
        <f>IF(OR($B186="",_自动清单!$G$6=""),"",SUMIFS(包装物料出入库明细!$J$4:$J$2003,包装物料出入库明细!$D$4:$D$2003,$B186,包装物料出入库明细!$E$4:$E$2003,_自动清单!$G$6,包装物料出入库明细!$B$4:$B$2003,"&gt;="&amp;$AF$1,包装物料出入库明细!$B$4:$B$2003,"&lt;="&amp;$AF$2))</f>
        <v/>
      </c>
      <c r="F186" s="25" t="str">
        <f>IF(OR($B186="",_自动清单!$G$7=""),"",SUMIFS(包装物料出入库明细!$J$4:$J$2003,包装物料出入库明细!$D$4:$D$2003,$B186,包装物料出入库明细!$E$4:$E$2003,_自动清单!$G$7,包装物料出入库明细!$B$4:$B$2003,"&gt;="&amp;$AF$1,包装物料出入库明细!$B$4:$B$2003,"&lt;="&amp;$AF$2))</f>
        <v/>
      </c>
      <c r="G186" s="25" t="str">
        <f>IF(OR($B186="",_自动清单!$G$8=""),"",SUMIFS(包装物料出入库明细!$J$4:$J$2003,包装物料出入库明细!$D$4:$D$2003,$B186,包装物料出入库明细!$E$4:$E$2003,_自动清单!$G$8,包装物料出入库明细!$B$4:$B$2003,"&gt;="&amp;$AF$1,包装物料出入库明细!$B$4:$B$2003,"&lt;="&amp;$AF$2))</f>
        <v/>
      </c>
      <c r="H186" s="25" t="str">
        <f>IF(OR($B186="",_自动清单!$G$9=""),"",SUMIFS(包装物料出入库明细!$J$4:$J$2003,包装物料出入库明细!$D$4:$D$2003,$B186,包装物料出入库明细!$E$4:$E$2003,_自动清单!$G$9,包装物料出入库明细!$B$4:$B$2003,"&gt;="&amp;$AF$1,包装物料出入库明细!$B$4:$B$2003,"&lt;="&amp;$AF$2))</f>
        <v/>
      </c>
      <c r="I186" s="25" t="str">
        <f>IF(OR($B186="",_自动清单!$G$10=""),"",SUMIFS(包装物料出入库明细!$J$4:$J$2003,包装物料出入库明细!$D$4:$D$2003,$B186,包装物料出入库明细!$E$4:$E$2003,_自动清单!$G$10,包装物料出入库明细!$B$4:$B$2003,"&gt;="&amp;$AF$1,包装物料出入库明细!$B$4:$B$2003,"&lt;="&amp;$AF$2))</f>
        <v/>
      </c>
      <c r="J186" s="25" t="str">
        <f>IF(OR($B186="",_自动清单!$G$11=""),"",SUMIFS(包装物料出入库明细!$J$4:$J$2003,包装物料出入库明细!$D$4:$D$2003,$B186,包装物料出入库明细!$E$4:$E$2003,_自动清单!$G$11,包装物料出入库明细!$B$4:$B$2003,"&gt;="&amp;$AF$1,包装物料出入库明细!$B$4:$B$2003,"&lt;="&amp;$AF$2))</f>
        <v/>
      </c>
      <c r="K186" s="25" t="str">
        <f>IF(OR($B186="",_自动清单!$G$12=""),"",SUMIFS(包装物料出入库明细!$J$4:$J$2003,包装物料出入库明细!$D$4:$D$2003,$B186,包装物料出入库明细!$E$4:$E$2003,_自动清单!$G$12,包装物料出入库明细!$B$4:$B$2003,"&gt;="&amp;$AF$1,包装物料出入库明细!$B$4:$B$2003,"&lt;="&amp;$AF$2))</f>
        <v/>
      </c>
      <c r="L186" s="25" t="str">
        <f>IF(OR($B186="",_自动清单!$G$13=""),"",SUMIFS(包装物料出入库明细!$J$4:$J$2003,包装物料出入库明细!$D$4:$D$2003,$B186,包装物料出入库明细!$E$4:$E$2003,_自动清单!$G$13,包装物料出入库明细!$B$4:$B$2003,"&gt;="&amp;$AF$1,包装物料出入库明细!$B$4:$B$2003,"&lt;="&amp;$AF$2))</f>
        <v/>
      </c>
      <c r="M186" s="25" t="str">
        <f>IF(OR($B186="",_自动清单!$G$14=""),"",SUMIFS(包装物料出入库明细!$J$4:$J$2003,包装物料出入库明细!$D$4:$D$2003,$B186,包装物料出入库明细!$E$4:$E$2003,_自动清单!$G$14,包装物料出入库明细!$B$4:$B$2003,"&gt;="&amp;$AF$1,包装物料出入库明细!$B$4:$B$2003,"&lt;="&amp;$AF$2))</f>
        <v/>
      </c>
      <c r="N186" s="25" t="str">
        <f>IF(OR($B186="",_自动清单!$G$15=""),"",SUMIFS(包装物料出入库明细!$J$4:$J$2003,包装物料出入库明细!$D$4:$D$2003,$B186,包装物料出入库明细!$E$4:$E$2003,_自动清单!$G$15,包装物料出入库明细!$B$4:$B$2003,"&gt;="&amp;$AF$1,包装物料出入库明细!$B$4:$B$2003,"&lt;="&amp;$AF$2))</f>
        <v/>
      </c>
      <c r="O186" s="25" t="str">
        <f>IF(OR($B186="",_自动清单!$G$16=""),"",SUMIFS(包装物料出入库明细!$J$4:$J$2003,包装物料出入库明细!$D$4:$D$2003,$B186,包装物料出入库明细!$E$4:$E$2003,_自动清单!$G$16,包装物料出入库明细!$B$4:$B$2003,"&gt;="&amp;$AF$1,包装物料出入库明细!$B$4:$B$2003,"&lt;="&amp;$AF$2))</f>
        <v/>
      </c>
      <c r="P186" s="25" t="str">
        <f>IF(OR($B186="",_自动清单!$G$17=""),"",SUMIFS(包装物料出入库明细!$J$4:$J$2003,包装物料出入库明细!$D$4:$D$2003,$B186,包装物料出入库明细!$E$4:$E$2003,_自动清单!$G$17,包装物料出入库明细!$B$4:$B$2003,"&gt;="&amp;$AF$1,包装物料出入库明细!$B$4:$B$2003,"&lt;="&amp;$AF$2))</f>
        <v/>
      </c>
      <c r="Q186" s="25" t="str">
        <f>IF(OR($B186="",_自动清单!$G$18=""),"",SUMIFS(包装物料出入库明细!$J$4:$J$2003,包装物料出入库明细!$D$4:$D$2003,$B186,包装物料出入库明细!$E$4:$E$2003,_自动清单!$G$18,包装物料出入库明细!$B$4:$B$2003,"&gt;="&amp;$AF$1,包装物料出入库明细!$B$4:$B$2003,"&lt;="&amp;$AF$2))</f>
        <v/>
      </c>
      <c r="R186" s="25" t="str">
        <f>IF(OR($B186="",_自动清单!$G$19=""),"",SUMIFS(包装物料出入库明细!$J$4:$J$2003,包装物料出入库明细!$D$4:$D$2003,$B186,包装物料出入库明细!$E$4:$E$2003,_自动清单!$G$19,包装物料出入库明细!$B$4:$B$2003,"&gt;="&amp;$AF$1,包装物料出入库明细!$B$4:$B$2003,"&lt;="&amp;$AF$2))</f>
        <v/>
      </c>
      <c r="S186" s="25" t="str">
        <f>IF(OR($B186="",_自动清单!$G$20=""),"",SUMIFS(包装物料出入库明细!$J$4:$J$2003,包装物料出入库明细!$D$4:$D$2003,$B186,包装物料出入库明细!$E$4:$E$2003,_自动清单!$G$20,包装物料出入库明细!$B$4:$B$2003,"&gt;="&amp;$AF$1,包装物料出入库明细!$B$4:$B$2003,"&lt;="&amp;$AF$2))</f>
        <v/>
      </c>
      <c r="T186" s="25" t="str">
        <f>IF(OR($B186="",_自动清单!$G$21=""),"",SUMIFS(包装物料出入库明细!$J$4:$J$2003,包装物料出入库明细!$D$4:$D$2003,$B186,包装物料出入库明细!$E$4:$E$2003,_自动清单!$G$21,包装物料出入库明细!$B$4:$B$2003,"&gt;="&amp;$AF$1,包装物料出入库明细!$B$4:$B$2003,"&lt;="&amp;$AF$2))</f>
        <v/>
      </c>
      <c r="U186" s="25" t="str">
        <f>IF($B186="","",SUMIFS(包装物料出入库明细!$J$4:$J$2003,包装物料出入库明细!$D$4:$D$2003,$B186,包装物料出入库明细!$B$4:$B$2003,"&gt;="&amp;$AF$1,包装物料出入库明细!$B$4:$B$2003,"&lt;="&amp;$AF$2)-SUM($C186:$T186))</f>
        <v/>
      </c>
      <c r="V186" s="25" t="str">
        <f t="shared" si="9"/>
        <v/>
      </c>
      <c r="W186" s="56" t="str">
        <f>IF($B186="","",SUMIFS(包装物料出入库明细!$K$4:$K$2003,包装物料出入库明细!$D$4:$D$2003,$B186,包装物料出入库明细!$B$4:$B$2003,"&gt;="&amp;$AF$1,包装物料出入库明细!$B$4:$B$2003,"&lt;="&amp;$AF$2))</f>
        <v/>
      </c>
      <c r="X186" s="25" t="str">
        <f t="shared" si="10"/>
        <v/>
      </c>
      <c r="Y186" s="26" t="str">
        <f>IF($B186="","",ROUND(SUMIFS(包装物料出入库明细!$N$4:$N$2003,包装物料出入库明细!$D$4:$D$2003,$B186,包装物料出入库明细!$H$4:$H$2003,"销售出库",包装物料出入库明细!$B$4:$B$2003,"&gt;="&amp;$AF$1,包装物料出入库明细!$B$4:$B$2003,"&lt;="&amp;$AF$2),2))</f>
        <v/>
      </c>
      <c r="Z186" s="26" t="str">
        <f>IF($B186="","",ROUND(SUMIFS(包装物料出入库明细!$N$4:$N$2003,包装物料出入库明细!$D$4:$D$2003,$B186,包装物料出入库明细!$H$4:$H$2003,"销售出库",包装物料出入库明细!$P$4:$P$2003,"已收讫",包装物料出入库明细!$B$4:$B$2003,"&gt;="&amp;$AF$1,包装物料出入库明细!$B$4:$B$2003,"&lt;="&amp;$AF$2),2))</f>
        <v/>
      </c>
      <c r="AA186" s="26" t="str">
        <f t="shared" si="11"/>
        <v/>
      </c>
      <c r="AB186" s="41"/>
    </row>
    <row r="187" spans="1:28">
      <c r="A187" s="24" t="str">
        <f t="shared" si="8"/>
        <v/>
      </c>
      <c r="B187" s="24" t="str">
        <f>IFERROR(INDEX(_自动清单!$O$4:$O$203,ROW()-3),"")</f>
        <v/>
      </c>
      <c r="C187" s="25" t="str">
        <f>IF(OR($B187="",_自动清单!$G$4=""),"",SUMIFS(包装物料出入库明细!$J$4:$J$2003,包装物料出入库明细!$D$4:$D$2003,$B187,包装物料出入库明细!$E$4:$E$2003,_自动清单!$G$4,包装物料出入库明细!$B$4:$B$2003,"&gt;="&amp;$AF$1,包装物料出入库明细!$B$4:$B$2003,"&lt;="&amp;$AF$2))</f>
        <v/>
      </c>
      <c r="D187" s="25" t="str">
        <f>IF(OR($B187="",_自动清单!$G$5=""),"",SUMIFS(包装物料出入库明细!$J$4:$J$2003,包装物料出入库明细!$D$4:$D$2003,$B187,包装物料出入库明细!$E$4:$E$2003,_自动清单!$G$5,包装物料出入库明细!$B$4:$B$2003,"&gt;="&amp;$AF$1,包装物料出入库明细!$B$4:$B$2003,"&lt;="&amp;$AF$2))</f>
        <v/>
      </c>
      <c r="E187" s="25" t="str">
        <f>IF(OR($B187="",_自动清单!$G$6=""),"",SUMIFS(包装物料出入库明细!$J$4:$J$2003,包装物料出入库明细!$D$4:$D$2003,$B187,包装物料出入库明细!$E$4:$E$2003,_自动清单!$G$6,包装物料出入库明细!$B$4:$B$2003,"&gt;="&amp;$AF$1,包装物料出入库明细!$B$4:$B$2003,"&lt;="&amp;$AF$2))</f>
        <v/>
      </c>
      <c r="F187" s="25" t="str">
        <f>IF(OR($B187="",_自动清单!$G$7=""),"",SUMIFS(包装物料出入库明细!$J$4:$J$2003,包装物料出入库明细!$D$4:$D$2003,$B187,包装物料出入库明细!$E$4:$E$2003,_自动清单!$G$7,包装物料出入库明细!$B$4:$B$2003,"&gt;="&amp;$AF$1,包装物料出入库明细!$B$4:$B$2003,"&lt;="&amp;$AF$2))</f>
        <v/>
      </c>
      <c r="G187" s="25" t="str">
        <f>IF(OR($B187="",_自动清单!$G$8=""),"",SUMIFS(包装物料出入库明细!$J$4:$J$2003,包装物料出入库明细!$D$4:$D$2003,$B187,包装物料出入库明细!$E$4:$E$2003,_自动清单!$G$8,包装物料出入库明细!$B$4:$B$2003,"&gt;="&amp;$AF$1,包装物料出入库明细!$B$4:$B$2003,"&lt;="&amp;$AF$2))</f>
        <v/>
      </c>
      <c r="H187" s="25" t="str">
        <f>IF(OR($B187="",_自动清单!$G$9=""),"",SUMIFS(包装物料出入库明细!$J$4:$J$2003,包装物料出入库明细!$D$4:$D$2003,$B187,包装物料出入库明细!$E$4:$E$2003,_自动清单!$G$9,包装物料出入库明细!$B$4:$B$2003,"&gt;="&amp;$AF$1,包装物料出入库明细!$B$4:$B$2003,"&lt;="&amp;$AF$2))</f>
        <v/>
      </c>
      <c r="I187" s="25" t="str">
        <f>IF(OR($B187="",_自动清单!$G$10=""),"",SUMIFS(包装物料出入库明细!$J$4:$J$2003,包装物料出入库明细!$D$4:$D$2003,$B187,包装物料出入库明细!$E$4:$E$2003,_自动清单!$G$10,包装物料出入库明细!$B$4:$B$2003,"&gt;="&amp;$AF$1,包装物料出入库明细!$B$4:$B$2003,"&lt;="&amp;$AF$2))</f>
        <v/>
      </c>
      <c r="J187" s="25" t="str">
        <f>IF(OR($B187="",_自动清单!$G$11=""),"",SUMIFS(包装物料出入库明细!$J$4:$J$2003,包装物料出入库明细!$D$4:$D$2003,$B187,包装物料出入库明细!$E$4:$E$2003,_自动清单!$G$11,包装物料出入库明细!$B$4:$B$2003,"&gt;="&amp;$AF$1,包装物料出入库明细!$B$4:$B$2003,"&lt;="&amp;$AF$2))</f>
        <v/>
      </c>
      <c r="K187" s="25" t="str">
        <f>IF(OR($B187="",_自动清单!$G$12=""),"",SUMIFS(包装物料出入库明细!$J$4:$J$2003,包装物料出入库明细!$D$4:$D$2003,$B187,包装物料出入库明细!$E$4:$E$2003,_自动清单!$G$12,包装物料出入库明细!$B$4:$B$2003,"&gt;="&amp;$AF$1,包装物料出入库明细!$B$4:$B$2003,"&lt;="&amp;$AF$2))</f>
        <v/>
      </c>
      <c r="L187" s="25" t="str">
        <f>IF(OR($B187="",_自动清单!$G$13=""),"",SUMIFS(包装物料出入库明细!$J$4:$J$2003,包装物料出入库明细!$D$4:$D$2003,$B187,包装物料出入库明细!$E$4:$E$2003,_自动清单!$G$13,包装物料出入库明细!$B$4:$B$2003,"&gt;="&amp;$AF$1,包装物料出入库明细!$B$4:$B$2003,"&lt;="&amp;$AF$2))</f>
        <v/>
      </c>
      <c r="M187" s="25" t="str">
        <f>IF(OR($B187="",_自动清单!$G$14=""),"",SUMIFS(包装物料出入库明细!$J$4:$J$2003,包装物料出入库明细!$D$4:$D$2003,$B187,包装物料出入库明细!$E$4:$E$2003,_自动清单!$G$14,包装物料出入库明细!$B$4:$B$2003,"&gt;="&amp;$AF$1,包装物料出入库明细!$B$4:$B$2003,"&lt;="&amp;$AF$2))</f>
        <v/>
      </c>
      <c r="N187" s="25" t="str">
        <f>IF(OR($B187="",_自动清单!$G$15=""),"",SUMIFS(包装物料出入库明细!$J$4:$J$2003,包装物料出入库明细!$D$4:$D$2003,$B187,包装物料出入库明细!$E$4:$E$2003,_自动清单!$G$15,包装物料出入库明细!$B$4:$B$2003,"&gt;="&amp;$AF$1,包装物料出入库明细!$B$4:$B$2003,"&lt;="&amp;$AF$2))</f>
        <v/>
      </c>
      <c r="O187" s="25" t="str">
        <f>IF(OR($B187="",_自动清单!$G$16=""),"",SUMIFS(包装物料出入库明细!$J$4:$J$2003,包装物料出入库明细!$D$4:$D$2003,$B187,包装物料出入库明细!$E$4:$E$2003,_自动清单!$G$16,包装物料出入库明细!$B$4:$B$2003,"&gt;="&amp;$AF$1,包装物料出入库明细!$B$4:$B$2003,"&lt;="&amp;$AF$2))</f>
        <v/>
      </c>
      <c r="P187" s="25" t="str">
        <f>IF(OR($B187="",_自动清单!$G$17=""),"",SUMIFS(包装物料出入库明细!$J$4:$J$2003,包装物料出入库明细!$D$4:$D$2003,$B187,包装物料出入库明细!$E$4:$E$2003,_自动清单!$G$17,包装物料出入库明细!$B$4:$B$2003,"&gt;="&amp;$AF$1,包装物料出入库明细!$B$4:$B$2003,"&lt;="&amp;$AF$2))</f>
        <v/>
      </c>
      <c r="Q187" s="25" t="str">
        <f>IF(OR($B187="",_自动清单!$G$18=""),"",SUMIFS(包装物料出入库明细!$J$4:$J$2003,包装物料出入库明细!$D$4:$D$2003,$B187,包装物料出入库明细!$E$4:$E$2003,_自动清单!$G$18,包装物料出入库明细!$B$4:$B$2003,"&gt;="&amp;$AF$1,包装物料出入库明细!$B$4:$B$2003,"&lt;="&amp;$AF$2))</f>
        <v/>
      </c>
      <c r="R187" s="25" t="str">
        <f>IF(OR($B187="",_自动清单!$G$19=""),"",SUMIFS(包装物料出入库明细!$J$4:$J$2003,包装物料出入库明细!$D$4:$D$2003,$B187,包装物料出入库明细!$E$4:$E$2003,_自动清单!$G$19,包装物料出入库明细!$B$4:$B$2003,"&gt;="&amp;$AF$1,包装物料出入库明细!$B$4:$B$2003,"&lt;="&amp;$AF$2))</f>
        <v/>
      </c>
      <c r="S187" s="25" t="str">
        <f>IF(OR($B187="",_自动清单!$G$20=""),"",SUMIFS(包装物料出入库明细!$J$4:$J$2003,包装物料出入库明细!$D$4:$D$2003,$B187,包装物料出入库明细!$E$4:$E$2003,_自动清单!$G$20,包装物料出入库明细!$B$4:$B$2003,"&gt;="&amp;$AF$1,包装物料出入库明细!$B$4:$B$2003,"&lt;="&amp;$AF$2))</f>
        <v/>
      </c>
      <c r="T187" s="25" t="str">
        <f>IF(OR($B187="",_自动清单!$G$21=""),"",SUMIFS(包装物料出入库明细!$J$4:$J$2003,包装物料出入库明细!$D$4:$D$2003,$B187,包装物料出入库明细!$E$4:$E$2003,_自动清单!$G$21,包装物料出入库明细!$B$4:$B$2003,"&gt;="&amp;$AF$1,包装物料出入库明细!$B$4:$B$2003,"&lt;="&amp;$AF$2))</f>
        <v/>
      </c>
      <c r="U187" s="25" t="str">
        <f>IF($B187="","",SUMIFS(包装物料出入库明细!$J$4:$J$2003,包装物料出入库明细!$D$4:$D$2003,$B187,包装物料出入库明细!$B$4:$B$2003,"&gt;="&amp;$AF$1,包装物料出入库明细!$B$4:$B$2003,"&lt;="&amp;$AF$2)-SUM($C187:$T187))</f>
        <v/>
      </c>
      <c r="V187" s="25" t="str">
        <f t="shared" si="9"/>
        <v/>
      </c>
      <c r="W187" s="56" t="str">
        <f>IF($B187="","",SUMIFS(包装物料出入库明细!$K$4:$K$2003,包装物料出入库明细!$D$4:$D$2003,$B187,包装物料出入库明细!$B$4:$B$2003,"&gt;="&amp;$AF$1,包装物料出入库明细!$B$4:$B$2003,"&lt;="&amp;$AF$2))</f>
        <v/>
      </c>
      <c r="X187" s="25" t="str">
        <f t="shared" si="10"/>
        <v/>
      </c>
      <c r="Y187" s="26" t="str">
        <f>IF($B187="","",ROUND(SUMIFS(包装物料出入库明细!$N$4:$N$2003,包装物料出入库明细!$D$4:$D$2003,$B187,包装物料出入库明细!$H$4:$H$2003,"销售出库",包装物料出入库明细!$B$4:$B$2003,"&gt;="&amp;$AF$1,包装物料出入库明细!$B$4:$B$2003,"&lt;="&amp;$AF$2),2))</f>
        <v/>
      </c>
      <c r="Z187" s="26" t="str">
        <f>IF($B187="","",ROUND(SUMIFS(包装物料出入库明细!$N$4:$N$2003,包装物料出入库明细!$D$4:$D$2003,$B187,包装物料出入库明细!$H$4:$H$2003,"销售出库",包装物料出入库明细!$P$4:$P$2003,"已收讫",包装物料出入库明细!$B$4:$B$2003,"&gt;="&amp;$AF$1,包装物料出入库明细!$B$4:$B$2003,"&lt;="&amp;$AF$2),2))</f>
        <v/>
      </c>
      <c r="AA187" s="26" t="str">
        <f t="shared" si="11"/>
        <v/>
      </c>
      <c r="AB187" s="41"/>
    </row>
    <row r="188" spans="1:28">
      <c r="A188" s="24" t="str">
        <f t="shared" si="8"/>
        <v/>
      </c>
      <c r="B188" s="24" t="str">
        <f>IFERROR(INDEX(_自动清单!$O$4:$O$203,ROW()-3),"")</f>
        <v/>
      </c>
      <c r="C188" s="25" t="str">
        <f>IF(OR($B188="",_自动清单!$G$4=""),"",SUMIFS(包装物料出入库明细!$J$4:$J$2003,包装物料出入库明细!$D$4:$D$2003,$B188,包装物料出入库明细!$E$4:$E$2003,_自动清单!$G$4,包装物料出入库明细!$B$4:$B$2003,"&gt;="&amp;$AF$1,包装物料出入库明细!$B$4:$B$2003,"&lt;="&amp;$AF$2))</f>
        <v/>
      </c>
      <c r="D188" s="25" t="str">
        <f>IF(OR($B188="",_自动清单!$G$5=""),"",SUMIFS(包装物料出入库明细!$J$4:$J$2003,包装物料出入库明细!$D$4:$D$2003,$B188,包装物料出入库明细!$E$4:$E$2003,_自动清单!$G$5,包装物料出入库明细!$B$4:$B$2003,"&gt;="&amp;$AF$1,包装物料出入库明细!$B$4:$B$2003,"&lt;="&amp;$AF$2))</f>
        <v/>
      </c>
      <c r="E188" s="25" t="str">
        <f>IF(OR($B188="",_自动清单!$G$6=""),"",SUMIFS(包装物料出入库明细!$J$4:$J$2003,包装物料出入库明细!$D$4:$D$2003,$B188,包装物料出入库明细!$E$4:$E$2003,_自动清单!$G$6,包装物料出入库明细!$B$4:$B$2003,"&gt;="&amp;$AF$1,包装物料出入库明细!$B$4:$B$2003,"&lt;="&amp;$AF$2))</f>
        <v/>
      </c>
      <c r="F188" s="25" t="str">
        <f>IF(OR($B188="",_自动清单!$G$7=""),"",SUMIFS(包装物料出入库明细!$J$4:$J$2003,包装物料出入库明细!$D$4:$D$2003,$B188,包装物料出入库明细!$E$4:$E$2003,_自动清单!$G$7,包装物料出入库明细!$B$4:$B$2003,"&gt;="&amp;$AF$1,包装物料出入库明细!$B$4:$B$2003,"&lt;="&amp;$AF$2))</f>
        <v/>
      </c>
      <c r="G188" s="25" t="str">
        <f>IF(OR($B188="",_自动清单!$G$8=""),"",SUMIFS(包装物料出入库明细!$J$4:$J$2003,包装物料出入库明细!$D$4:$D$2003,$B188,包装物料出入库明细!$E$4:$E$2003,_自动清单!$G$8,包装物料出入库明细!$B$4:$B$2003,"&gt;="&amp;$AF$1,包装物料出入库明细!$B$4:$B$2003,"&lt;="&amp;$AF$2))</f>
        <v/>
      </c>
      <c r="H188" s="25" t="str">
        <f>IF(OR($B188="",_自动清单!$G$9=""),"",SUMIFS(包装物料出入库明细!$J$4:$J$2003,包装物料出入库明细!$D$4:$D$2003,$B188,包装物料出入库明细!$E$4:$E$2003,_自动清单!$G$9,包装物料出入库明细!$B$4:$B$2003,"&gt;="&amp;$AF$1,包装物料出入库明细!$B$4:$B$2003,"&lt;="&amp;$AF$2))</f>
        <v/>
      </c>
      <c r="I188" s="25" t="str">
        <f>IF(OR($B188="",_自动清单!$G$10=""),"",SUMIFS(包装物料出入库明细!$J$4:$J$2003,包装物料出入库明细!$D$4:$D$2003,$B188,包装物料出入库明细!$E$4:$E$2003,_自动清单!$G$10,包装物料出入库明细!$B$4:$B$2003,"&gt;="&amp;$AF$1,包装物料出入库明细!$B$4:$B$2003,"&lt;="&amp;$AF$2))</f>
        <v/>
      </c>
      <c r="J188" s="25" t="str">
        <f>IF(OR($B188="",_自动清单!$G$11=""),"",SUMIFS(包装物料出入库明细!$J$4:$J$2003,包装物料出入库明细!$D$4:$D$2003,$B188,包装物料出入库明细!$E$4:$E$2003,_自动清单!$G$11,包装物料出入库明细!$B$4:$B$2003,"&gt;="&amp;$AF$1,包装物料出入库明细!$B$4:$B$2003,"&lt;="&amp;$AF$2))</f>
        <v/>
      </c>
      <c r="K188" s="25" t="str">
        <f>IF(OR($B188="",_自动清单!$G$12=""),"",SUMIFS(包装物料出入库明细!$J$4:$J$2003,包装物料出入库明细!$D$4:$D$2003,$B188,包装物料出入库明细!$E$4:$E$2003,_自动清单!$G$12,包装物料出入库明细!$B$4:$B$2003,"&gt;="&amp;$AF$1,包装物料出入库明细!$B$4:$B$2003,"&lt;="&amp;$AF$2))</f>
        <v/>
      </c>
      <c r="L188" s="25" t="str">
        <f>IF(OR($B188="",_自动清单!$G$13=""),"",SUMIFS(包装物料出入库明细!$J$4:$J$2003,包装物料出入库明细!$D$4:$D$2003,$B188,包装物料出入库明细!$E$4:$E$2003,_自动清单!$G$13,包装物料出入库明细!$B$4:$B$2003,"&gt;="&amp;$AF$1,包装物料出入库明细!$B$4:$B$2003,"&lt;="&amp;$AF$2))</f>
        <v/>
      </c>
      <c r="M188" s="25" t="str">
        <f>IF(OR($B188="",_自动清单!$G$14=""),"",SUMIFS(包装物料出入库明细!$J$4:$J$2003,包装物料出入库明细!$D$4:$D$2003,$B188,包装物料出入库明细!$E$4:$E$2003,_自动清单!$G$14,包装物料出入库明细!$B$4:$B$2003,"&gt;="&amp;$AF$1,包装物料出入库明细!$B$4:$B$2003,"&lt;="&amp;$AF$2))</f>
        <v/>
      </c>
      <c r="N188" s="25" t="str">
        <f>IF(OR($B188="",_自动清单!$G$15=""),"",SUMIFS(包装物料出入库明细!$J$4:$J$2003,包装物料出入库明细!$D$4:$D$2003,$B188,包装物料出入库明细!$E$4:$E$2003,_自动清单!$G$15,包装物料出入库明细!$B$4:$B$2003,"&gt;="&amp;$AF$1,包装物料出入库明细!$B$4:$B$2003,"&lt;="&amp;$AF$2))</f>
        <v/>
      </c>
      <c r="O188" s="25" t="str">
        <f>IF(OR($B188="",_自动清单!$G$16=""),"",SUMIFS(包装物料出入库明细!$J$4:$J$2003,包装物料出入库明细!$D$4:$D$2003,$B188,包装物料出入库明细!$E$4:$E$2003,_自动清单!$G$16,包装物料出入库明细!$B$4:$B$2003,"&gt;="&amp;$AF$1,包装物料出入库明细!$B$4:$B$2003,"&lt;="&amp;$AF$2))</f>
        <v/>
      </c>
      <c r="P188" s="25" t="str">
        <f>IF(OR($B188="",_自动清单!$G$17=""),"",SUMIFS(包装物料出入库明细!$J$4:$J$2003,包装物料出入库明细!$D$4:$D$2003,$B188,包装物料出入库明细!$E$4:$E$2003,_自动清单!$G$17,包装物料出入库明细!$B$4:$B$2003,"&gt;="&amp;$AF$1,包装物料出入库明细!$B$4:$B$2003,"&lt;="&amp;$AF$2))</f>
        <v/>
      </c>
      <c r="Q188" s="25" t="str">
        <f>IF(OR($B188="",_自动清单!$G$18=""),"",SUMIFS(包装物料出入库明细!$J$4:$J$2003,包装物料出入库明细!$D$4:$D$2003,$B188,包装物料出入库明细!$E$4:$E$2003,_自动清单!$G$18,包装物料出入库明细!$B$4:$B$2003,"&gt;="&amp;$AF$1,包装物料出入库明细!$B$4:$B$2003,"&lt;="&amp;$AF$2))</f>
        <v/>
      </c>
      <c r="R188" s="25" t="str">
        <f>IF(OR($B188="",_自动清单!$G$19=""),"",SUMIFS(包装物料出入库明细!$J$4:$J$2003,包装物料出入库明细!$D$4:$D$2003,$B188,包装物料出入库明细!$E$4:$E$2003,_自动清单!$G$19,包装物料出入库明细!$B$4:$B$2003,"&gt;="&amp;$AF$1,包装物料出入库明细!$B$4:$B$2003,"&lt;="&amp;$AF$2))</f>
        <v/>
      </c>
      <c r="S188" s="25" t="str">
        <f>IF(OR($B188="",_自动清单!$G$20=""),"",SUMIFS(包装物料出入库明细!$J$4:$J$2003,包装物料出入库明细!$D$4:$D$2003,$B188,包装物料出入库明细!$E$4:$E$2003,_自动清单!$G$20,包装物料出入库明细!$B$4:$B$2003,"&gt;="&amp;$AF$1,包装物料出入库明细!$B$4:$B$2003,"&lt;="&amp;$AF$2))</f>
        <v/>
      </c>
      <c r="T188" s="25" t="str">
        <f>IF(OR($B188="",_自动清单!$G$21=""),"",SUMIFS(包装物料出入库明细!$J$4:$J$2003,包装物料出入库明细!$D$4:$D$2003,$B188,包装物料出入库明细!$E$4:$E$2003,_自动清单!$G$21,包装物料出入库明细!$B$4:$B$2003,"&gt;="&amp;$AF$1,包装物料出入库明细!$B$4:$B$2003,"&lt;="&amp;$AF$2))</f>
        <v/>
      </c>
      <c r="U188" s="25" t="str">
        <f>IF($B188="","",SUMIFS(包装物料出入库明细!$J$4:$J$2003,包装物料出入库明细!$D$4:$D$2003,$B188,包装物料出入库明细!$B$4:$B$2003,"&gt;="&amp;$AF$1,包装物料出入库明细!$B$4:$B$2003,"&lt;="&amp;$AF$2)-SUM($C188:$T188))</f>
        <v/>
      </c>
      <c r="V188" s="25" t="str">
        <f t="shared" si="9"/>
        <v/>
      </c>
      <c r="W188" s="56" t="str">
        <f>IF($B188="","",SUMIFS(包装物料出入库明细!$K$4:$K$2003,包装物料出入库明细!$D$4:$D$2003,$B188,包装物料出入库明细!$B$4:$B$2003,"&gt;="&amp;$AF$1,包装物料出入库明细!$B$4:$B$2003,"&lt;="&amp;$AF$2))</f>
        <v/>
      </c>
      <c r="X188" s="25" t="str">
        <f t="shared" si="10"/>
        <v/>
      </c>
      <c r="Y188" s="26" t="str">
        <f>IF($B188="","",ROUND(SUMIFS(包装物料出入库明细!$N$4:$N$2003,包装物料出入库明细!$D$4:$D$2003,$B188,包装物料出入库明细!$H$4:$H$2003,"销售出库",包装物料出入库明细!$B$4:$B$2003,"&gt;="&amp;$AF$1,包装物料出入库明细!$B$4:$B$2003,"&lt;="&amp;$AF$2),2))</f>
        <v/>
      </c>
      <c r="Z188" s="26" t="str">
        <f>IF($B188="","",ROUND(SUMIFS(包装物料出入库明细!$N$4:$N$2003,包装物料出入库明细!$D$4:$D$2003,$B188,包装物料出入库明细!$H$4:$H$2003,"销售出库",包装物料出入库明细!$P$4:$P$2003,"已收讫",包装物料出入库明细!$B$4:$B$2003,"&gt;="&amp;$AF$1,包装物料出入库明细!$B$4:$B$2003,"&lt;="&amp;$AF$2),2))</f>
        <v/>
      </c>
      <c r="AA188" s="26" t="str">
        <f t="shared" si="11"/>
        <v/>
      </c>
      <c r="AB188" s="41"/>
    </row>
    <row r="189" spans="1:28">
      <c r="A189" s="24" t="str">
        <f t="shared" si="8"/>
        <v/>
      </c>
      <c r="B189" s="24" t="str">
        <f>IFERROR(INDEX(_自动清单!$O$4:$O$203,ROW()-3),"")</f>
        <v/>
      </c>
      <c r="C189" s="25" t="str">
        <f>IF(OR($B189="",_自动清单!$G$4=""),"",SUMIFS(包装物料出入库明细!$J$4:$J$2003,包装物料出入库明细!$D$4:$D$2003,$B189,包装物料出入库明细!$E$4:$E$2003,_自动清单!$G$4,包装物料出入库明细!$B$4:$B$2003,"&gt;="&amp;$AF$1,包装物料出入库明细!$B$4:$B$2003,"&lt;="&amp;$AF$2))</f>
        <v/>
      </c>
      <c r="D189" s="25" t="str">
        <f>IF(OR($B189="",_自动清单!$G$5=""),"",SUMIFS(包装物料出入库明细!$J$4:$J$2003,包装物料出入库明细!$D$4:$D$2003,$B189,包装物料出入库明细!$E$4:$E$2003,_自动清单!$G$5,包装物料出入库明细!$B$4:$B$2003,"&gt;="&amp;$AF$1,包装物料出入库明细!$B$4:$B$2003,"&lt;="&amp;$AF$2))</f>
        <v/>
      </c>
      <c r="E189" s="25" t="str">
        <f>IF(OR($B189="",_自动清单!$G$6=""),"",SUMIFS(包装物料出入库明细!$J$4:$J$2003,包装物料出入库明细!$D$4:$D$2003,$B189,包装物料出入库明细!$E$4:$E$2003,_自动清单!$G$6,包装物料出入库明细!$B$4:$B$2003,"&gt;="&amp;$AF$1,包装物料出入库明细!$B$4:$B$2003,"&lt;="&amp;$AF$2))</f>
        <v/>
      </c>
      <c r="F189" s="25" t="str">
        <f>IF(OR($B189="",_自动清单!$G$7=""),"",SUMIFS(包装物料出入库明细!$J$4:$J$2003,包装物料出入库明细!$D$4:$D$2003,$B189,包装物料出入库明细!$E$4:$E$2003,_自动清单!$G$7,包装物料出入库明细!$B$4:$B$2003,"&gt;="&amp;$AF$1,包装物料出入库明细!$B$4:$B$2003,"&lt;="&amp;$AF$2))</f>
        <v/>
      </c>
      <c r="G189" s="25" t="str">
        <f>IF(OR($B189="",_自动清单!$G$8=""),"",SUMIFS(包装物料出入库明细!$J$4:$J$2003,包装物料出入库明细!$D$4:$D$2003,$B189,包装物料出入库明细!$E$4:$E$2003,_自动清单!$G$8,包装物料出入库明细!$B$4:$B$2003,"&gt;="&amp;$AF$1,包装物料出入库明细!$B$4:$B$2003,"&lt;="&amp;$AF$2))</f>
        <v/>
      </c>
      <c r="H189" s="25" t="str">
        <f>IF(OR($B189="",_自动清单!$G$9=""),"",SUMIFS(包装物料出入库明细!$J$4:$J$2003,包装物料出入库明细!$D$4:$D$2003,$B189,包装物料出入库明细!$E$4:$E$2003,_自动清单!$G$9,包装物料出入库明细!$B$4:$B$2003,"&gt;="&amp;$AF$1,包装物料出入库明细!$B$4:$B$2003,"&lt;="&amp;$AF$2))</f>
        <v/>
      </c>
      <c r="I189" s="25" t="str">
        <f>IF(OR($B189="",_自动清单!$G$10=""),"",SUMIFS(包装物料出入库明细!$J$4:$J$2003,包装物料出入库明细!$D$4:$D$2003,$B189,包装物料出入库明细!$E$4:$E$2003,_自动清单!$G$10,包装物料出入库明细!$B$4:$B$2003,"&gt;="&amp;$AF$1,包装物料出入库明细!$B$4:$B$2003,"&lt;="&amp;$AF$2))</f>
        <v/>
      </c>
      <c r="J189" s="25" t="str">
        <f>IF(OR($B189="",_自动清单!$G$11=""),"",SUMIFS(包装物料出入库明细!$J$4:$J$2003,包装物料出入库明细!$D$4:$D$2003,$B189,包装物料出入库明细!$E$4:$E$2003,_自动清单!$G$11,包装物料出入库明细!$B$4:$B$2003,"&gt;="&amp;$AF$1,包装物料出入库明细!$B$4:$B$2003,"&lt;="&amp;$AF$2))</f>
        <v/>
      </c>
      <c r="K189" s="25" t="str">
        <f>IF(OR($B189="",_自动清单!$G$12=""),"",SUMIFS(包装物料出入库明细!$J$4:$J$2003,包装物料出入库明细!$D$4:$D$2003,$B189,包装物料出入库明细!$E$4:$E$2003,_自动清单!$G$12,包装物料出入库明细!$B$4:$B$2003,"&gt;="&amp;$AF$1,包装物料出入库明细!$B$4:$B$2003,"&lt;="&amp;$AF$2))</f>
        <v/>
      </c>
      <c r="L189" s="25" t="str">
        <f>IF(OR($B189="",_自动清单!$G$13=""),"",SUMIFS(包装物料出入库明细!$J$4:$J$2003,包装物料出入库明细!$D$4:$D$2003,$B189,包装物料出入库明细!$E$4:$E$2003,_自动清单!$G$13,包装物料出入库明细!$B$4:$B$2003,"&gt;="&amp;$AF$1,包装物料出入库明细!$B$4:$B$2003,"&lt;="&amp;$AF$2))</f>
        <v/>
      </c>
      <c r="M189" s="25" t="str">
        <f>IF(OR($B189="",_自动清单!$G$14=""),"",SUMIFS(包装物料出入库明细!$J$4:$J$2003,包装物料出入库明细!$D$4:$D$2003,$B189,包装物料出入库明细!$E$4:$E$2003,_自动清单!$G$14,包装物料出入库明细!$B$4:$B$2003,"&gt;="&amp;$AF$1,包装物料出入库明细!$B$4:$B$2003,"&lt;="&amp;$AF$2))</f>
        <v/>
      </c>
      <c r="N189" s="25" t="str">
        <f>IF(OR($B189="",_自动清单!$G$15=""),"",SUMIFS(包装物料出入库明细!$J$4:$J$2003,包装物料出入库明细!$D$4:$D$2003,$B189,包装物料出入库明细!$E$4:$E$2003,_自动清单!$G$15,包装物料出入库明细!$B$4:$B$2003,"&gt;="&amp;$AF$1,包装物料出入库明细!$B$4:$B$2003,"&lt;="&amp;$AF$2))</f>
        <v/>
      </c>
      <c r="O189" s="25" t="str">
        <f>IF(OR($B189="",_自动清单!$G$16=""),"",SUMIFS(包装物料出入库明细!$J$4:$J$2003,包装物料出入库明细!$D$4:$D$2003,$B189,包装物料出入库明细!$E$4:$E$2003,_自动清单!$G$16,包装物料出入库明细!$B$4:$B$2003,"&gt;="&amp;$AF$1,包装物料出入库明细!$B$4:$B$2003,"&lt;="&amp;$AF$2))</f>
        <v/>
      </c>
      <c r="P189" s="25" t="str">
        <f>IF(OR($B189="",_自动清单!$G$17=""),"",SUMIFS(包装物料出入库明细!$J$4:$J$2003,包装物料出入库明细!$D$4:$D$2003,$B189,包装物料出入库明细!$E$4:$E$2003,_自动清单!$G$17,包装物料出入库明细!$B$4:$B$2003,"&gt;="&amp;$AF$1,包装物料出入库明细!$B$4:$B$2003,"&lt;="&amp;$AF$2))</f>
        <v/>
      </c>
      <c r="Q189" s="25" t="str">
        <f>IF(OR($B189="",_自动清单!$G$18=""),"",SUMIFS(包装物料出入库明细!$J$4:$J$2003,包装物料出入库明细!$D$4:$D$2003,$B189,包装物料出入库明细!$E$4:$E$2003,_自动清单!$G$18,包装物料出入库明细!$B$4:$B$2003,"&gt;="&amp;$AF$1,包装物料出入库明细!$B$4:$B$2003,"&lt;="&amp;$AF$2))</f>
        <v/>
      </c>
      <c r="R189" s="25" t="str">
        <f>IF(OR($B189="",_自动清单!$G$19=""),"",SUMIFS(包装物料出入库明细!$J$4:$J$2003,包装物料出入库明细!$D$4:$D$2003,$B189,包装物料出入库明细!$E$4:$E$2003,_自动清单!$G$19,包装物料出入库明细!$B$4:$B$2003,"&gt;="&amp;$AF$1,包装物料出入库明细!$B$4:$B$2003,"&lt;="&amp;$AF$2))</f>
        <v/>
      </c>
      <c r="S189" s="25" t="str">
        <f>IF(OR($B189="",_自动清单!$G$20=""),"",SUMIFS(包装物料出入库明细!$J$4:$J$2003,包装物料出入库明细!$D$4:$D$2003,$B189,包装物料出入库明细!$E$4:$E$2003,_自动清单!$G$20,包装物料出入库明细!$B$4:$B$2003,"&gt;="&amp;$AF$1,包装物料出入库明细!$B$4:$B$2003,"&lt;="&amp;$AF$2))</f>
        <v/>
      </c>
      <c r="T189" s="25" t="str">
        <f>IF(OR($B189="",_自动清单!$G$21=""),"",SUMIFS(包装物料出入库明细!$J$4:$J$2003,包装物料出入库明细!$D$4:$D$2003,$B189,包装物料出入库明细!$E$4:$E$2003,_自动清单!$G$21,包装物料出入库明细!$B$4:$B$2003,"&gt;="&amp;$AF$1,包装物料出入库明细!$B$4:$B$2003,"&lt;="&amp;$AF$2))</f>
        <v/>
      </c>
      <c r="U189" s="25" t="str">
        <f>IF($B189="","",SUMIFS(包装物料出入库明细!$J$4:$J$2003,包装物料出入库明细!$D$4:$D$2003,$B189,包装物料出入库明细!$B$4:$B$2003,"&gt;="&amp;$AF$1,包装物料出入库明细!$B$4:$B$2003,"&lt;="&amp;$AF$2)-SUM($C189:$T189))</f>
        <v/>
      </c>
      <c r="V189" s="25" t="str">
        <f t="shared" si="9"/>
        <v/>
      </c>
      <c r="W189" s="56" t="str">
        <f>IF($B189="","",SUMIFS(包装物料出入库明细!$K$4:$K$2003,包装物料出入库明细!$D$4:$D$2003,$B189,包装物料出入库明细!$B$4:$B$2003,"&gt;="&amp;$AF$1,包装物料出入库明细!$B$4:$B$2003,"&lt;="&amp;$AF$2))</f>
        <v/>
      </c>
      <c r="X189" s="25" t="str">
        <f t="shared" si="10"/>
        <v/>
      </c>
      <c r="Y189" s="26" t="str">
        <f>IF($B189="","",ROUND(SUMIFS(包装物料出入库明细!$N$4:$N$2003,包装物料出入库明细!$D$4:$D$2003,$B189,包装物料出入库明细!$H$4:$H$2003,"销售出库",包装物料出入库明细!$B$4:$B$2003,"&gt;="&amp;$AF$1,包装物料出入库明细!$B$4:$B$2003,"&lt;="&amp;$AF$2),2))</f>
        <v/>
      </c>
      <c r="Z189" s="26" t="str">
        <f>IF($B189="","",ROUND(SUMIFS(包装物料出入库明细!$N$4:$N$2003,包装物料出入库明细!$D$4:$D$2003,$B189,包装物料出入库明细!$H$4:$H$2003,"销售出库",包装物料出入库明细!$P$4:$P$2003,"已收讫",包装物料出入库明细!$B$4:$B$2003,"&gt;="&amp;$AF$1,包装物料出入库明细!$B$4:$B$2003,"&lt;="&amp;$AF$2),2))</f>
        <v/>
      </c>
      <c r="AA189" s="26" t="str">
        <f t="shared" si="11"/>
        <v/>
      </c>
      <c r="AB189" s="41"/>
    </row>
    <row r="190" spans="1:28">
      <c r="A190" s="24" t="str">
        <f t="shared" si="8"/>
        <v/>
      </c>
      <c r="B190" s="24" t="str">
        <f>IFERROR(INDEX(_自动清单!$O$4:$O$203,ROW()-3),"")</f>
        <v/>
      </c>
      <c r="C190" s="25" t="str">
        <f>IF(OR($B190="",_自动清单!$G$4=""),"",SUMIFS(包装物料出入库明细!$J$4:$J$2003,包装物料出入库明细!$D$4:$D$2003,$B190,包装物料出入库明细!$E$4:$E$2003,_自动清单!$G$4,包装物料出入库明细!$B$4:$B$2003,"&gt;="&amp;$AF$1,包装物料出入库明细!$B$4:$B$2003,"&lt;="&amp;$AF$2))</f>
        <v/>
      </c>
      <c r="D190" s="25" t="str">
        <f>IF(OR($B190="",_自动清单!$G$5=""),"",SUMIFS(包装物料出入库明细!$J$4:$J$2003,包装物料出入库明细!$D$4:$D$2003,$B190,包装物料出入库明细!$E$4:$E$2003,_自动清单!$G$5,包装物料出入库明细!$B$4:$B$2003,"&gt;="&amp;$AF$1,包装物料出入库明细!$B$4:$B$2003,"&lt;="&amp;$AF$2))</f>
        <v/>
      </c>
      <c r="E190" s="25" t="str">
        <f>IF(OR($B190="",_自动清单!$G$6=""),"",SUMIFS(包装物料出入库明细!$J$4:$J$2003,包装物料出入库明细!$D$4:$D$2003,$B190,包装物料出入库明细!$E$4:$E$2003,_自动清单!$G$6,包装物料出入库明细!$B$4:$B$2003,"&gt;="&amp;$AF$1,包装物料出入库明细!$B$4:$B$2003,"&lt;="&amp;$AF$2))</f>
        <v/>
      </c>
      <c r="F190" s="25" t="str">
        <f>IF(OR($B190="",_自动清单!$G$7=""),"",SUMIFS(包装物料出入库明细!$J$4:$J$2003,包装物料出入库明细!$D$4:$D$2003,$B190,包装物料出入库明细!$E$4:$E$2003,_自动清单!$G$7,包装物料出入库明细!$B$4:$B$2003,"&gt;="&amp;$AF$1,包装物料出入库明细!$B$4:$B$2003,"&lt;="&amp;$AF$2))</f>
        <v/>
      </c>
      <c r="G190" s="25" t="str">
        <f>IF(OR($B190="",_自动清单!$G$8=""),"",SUMIFS(包装物料出入库明细!$J$4:$J$2003,包装物料出入库明细!$D$4:$D$2003,$B190,包装物料出入库明细!$E$4:$E$2003,_自动清单!$G$8,包装物料出入库明细!$B$4:$B$2003,"&gt;="&amp;$AF$1,包装物料出入库明细!$B$4:$B$2003,"&lt;="&amp;$AF$2))</f>
        <v/>
      </c>
      <c r="H190" s="25" t="str">
        <f>IF(OR($B190="",_自动清单!$G$9=""),"",SUMIFS(包装物料出入库明细!$J$4:$J$2003,包装物料出入库明细!$D$4:$D$2003,$B190,包装物料出入库明细!$E$4:$E$2003,_自动清单!$G$9,包装物料出入库明细!$B$4:$B$2003,"&gt;="&amp;$AF$1,包装物料出入库明细!$B$4:$B$2003,"&lt;="&amp;$AF$2))</f>
        <v/>
      </c>
      <c r="I190" s="25" t="str">
        <f>IF(OR($B190="",_自动清单!$G$10=""),"",SUMIFS(包装物料出入库明细!$J$4:$J$2003,包装物料出入库明细!$D$4:$D$2003,$B190,包装物料出入库明细!$E$4:$E$2003,_自动清单!$G$10,包装物料出入库明细!$B$4:$B$2003,"&gt;="&amp;$AF$1,包装物料出入库明细!$B$4:$B$2003,"&lt;="&amp;$AF$2))</f>
        <v/>
      </c>
      <c r="J190" s="25" t="str">
        <f>IF(OR($B190="",_自动清单!$G$11=""),"",SUMIFS(包装物料出入库明细!$J$4:$J$2003,包装物料出入库明细!$D$4:$D$2003,$B190,包装物料出入库明细!$E$4:$E$2003,_自动清单!$G$11,包装物料出入库明细!$B$4:$B$2003,"&gt;="&amp;$AF$1,包装物料出入库明细!$B$4:$B$2003,"&lt;="&amp;$AF$2))</f>
        <v/>
      </c>
      <c r="K190" s="25" t="str">
        <f>IF(OR($B190="",_自动清单!$G$12=""),"",SUMIFS(包装物料出入库明细!$J$4:$J$2003,包装物料出入库明细!$D$4:$D$2003,$B190,包装物料出入库明细!$E$4:$E$2003,_自动清单!$G$12,包装物料出入库明细!$B$4:$B$2003,"&gt;="&amp;$AF$1,包装物料出入库明细!$B$4:$B$2003,"&lt;="&amp;$AF$2))</f>
        <v/>
      </c>
      <c r="L190" s="25" t="str">
        <f>IF(OR($B190="",_自动清单!$G$13=""),"",SUMIFS(包装物料出入库明细!$J$4:$J$2003,包装物料出入库明细!$D$4:$D$2003,$B190,包装物料出入库明细!$E$4:$E$2003,_自动清单!$G$13,包装物料出入库明细!$B$4:$B$2003,"&gt;="&amp;$AF$1,包装物料出入库明细!$B$4:$B$2003,"&lt;="&amp;$AF$2))</f>
        <v/>
      </c>
      <c r="M190" s="25" t="str">
        <f>IF(OR($B190="",_自动清单!$G$14=""),"",SUMIFS(包装物料出入库明细!$J$4:$J$2003,包装物料出入库明细!$D$4:$D$2003,$B190,包装物料出入库明细!$E$4:$E$2003,_自动清单!$G$14,包装物料出入库明细!$B$4:$B$2003,"&gt;="&amp;$AF$1,包装物料出入库明细!$B$4:$B$2003,"&lt;="&amp;$AF$2))</f>
        <v/>
      </c>
      <c r="N190" s="25" t="str">
        <f>IF(OR($B190="",_自动清单!$G$15=""),"",SUMIFS(包装物料出入库明细!$J$4:$J$2003,包装物料出入库明细!$D$4:$D$2003,$B190,包装物料出入库明细!$E$4:$E$2003,_自动清单!$G$15,包装物料出入库明细!$B$4:$B$2003,"&gt;="&amp;$AF$1,包装物料出入库明细!$B$4:$B$2003,"&lt;="&amp;$AF$2))</f>
        <v/>
      </c>
      <c r="O190" s="25" t="str">
        <f>IF(OR($B190="",_自动清单!$G$16=""),"",SUMIFS(包装物料出入库明细!$J$4:$J$2003,包装物料出入库明细!$D$4:$D$2003,$B190,包装物料出入库明细!$E$4:$E$2003,_自动清单!$G$16,包装物料出入库明细!$B$4:$B$2003,"&gt;="&amp;$AF$1,包装物料出入库明细!$B$4:$B$2003,"&lt;="&amp;$AF$2))</f>
        <v/>
      </c>
      <c r="P190" s="25" t="str">
        <f>IF(OR($B190="",_自动清单!$G$17=""),"",SUMIFS(包装物料出入库明细!$J$4:$J$2003,包装物料出入库明细!$D$4:$D$2003,$B190,包装物料出入库明细!$E$4:$E$2003,_自动清单!$G$17,包装物料出入库明细!$B$4:$B$2003,"&gt;="&amp;$AF$1,包装物料出入库明细!$B$4:$B$2003,"&lt;="&amp;$AF$2))</f>
        <v/>
      </c>
      <c r="Q190" s="25" t="str">
        <f>IF(OR($B190="",_自动清单!$G$18=""),"",SUMIFS(包装物料出入库明细!$J$4:$J$2003,包装物料出入库明细!$D$4:$D$2003,$B190,包装物料出入库明细!$E$4:$E$2003,_自动清单!$G$18,包装物料出入库明细!$B$4:$B$2003,"&gt;="&amp;$AF$1,包装物料出入库明细!$B$4:$B$2003,"&lt;="&amp;$AF$2))</f>
        <v/>
      </c>
      <c r="R190" s="25" t="str">
        <f>IF(OR($B190="",_自动清单!$G$19=""),"",SUMIFS(包装物料出入库明细!$J$4:$J$2003,包装物料出入库明细!$D$4:$D$2003,$B190,包装物料出入库明细!$E$4:$E$2003,_自动清单!$G$19,包装物料出入库明细!$B$4:$B$2003,"&gt;="&amp;$AF$1,包装物料出入库明细!$B$4:$B$2003,"&lt;="&amp;$AF$2))</f>
        <v/>
      </c>
      <c r="S190" s="25" t="str">
        <f>IF(OR($B190="",_自动清单!$G$20=""),"",SUMIFS(包装物料出入库明细!$J$4:$J$2003,包装物料出入库明细!$D$4:$D$2003,$B190,包装物料出入库明细!$E$4:$E$2003,_自动清单!$G$20,包装物料出入库明细!$B$4:$B$2003,"&gt;="&amp;$AF$1,包装物料出入库明细!$B$4:$B$2003,"&lt;="&amp;$AF$2))</f>
        <v/>
      </c>
      <c r="T190" s="25" t="str">
        <f>IF(OR($B190="",_自动清单!$G$21=""),"",SUMIFS(包装物料出入库明细!$J$4:$J$2003,包装物料出入库明细!$D$4:$D$2003,$B190,包装物料出入库明细!$E$4:$E$2003,_自动清单!$G$21,包装物料出入库明细!$B$4:$B$2003,"&gt;="&amp;$AF$1,包装物料出入库明细!$B$4:$B$2003,"&lt;="&amp;$AF$2))</f>
        <v/>
      </c>
      <c r="U190" s="25" t="str">
        <f>IF($B190="","",SUMIFS(包装物料出入库明细!$J$4:$J$2003,包装物料出入库明细!$D$4:$D$2003,$B190,包装物料出入库明细!$B$4:$B$2003,"&gt;="&amp;$AF$1,包装物料出入库明细!$B$4:$B$2003,"&lt;="&amp;$AF$2)-SUM($C190:$T190))</f>
        <v/>
      </c>
      <c r="V190" s="25" t="str">
        <f t="shared" si="9"/>
        <v/>
      </c>
      <c r="W190" s="56" t="str">
        <f>IF($B190="","",SUMIFS(包装物料出入库明细!$K$4:$K$2003,包装物料出入库明细!$D$4:$D$2003,$B190,包装物料出入库明细!$B$4:$B$2003,"&gt;="&amp;$AF$1,包装物料出入库明细!$B$4:$B$2003,"&lt;="&amp;$AF$2))</f>
        <v/>
      </c>
      <c r="X190" s="25" t="str">
        <f t="shared" si="10"/>
        <v/>
      </c>
      <c r="Y190" s="26" t="str">
        <f>IF($B190="","",ROUND(SUMIFS(包装物料出入库明细!$N$4:$N$2003,包装物料出入库明细!$D$4:$D$2003,$B190,包装物料出入库明细!$H$4:$H$2003,"销售出库",包装物料出入库明细!$B$4:$B$2003,"&gt;="&amp;$AF$1,包装物料出入库明细!$B$4:$B$2003,"&lt;="&amp;$AF$2),2))</f>
        <v/>
      </c>
      <c r="Z190" s="26" t="str">
        <f>IF($B190="","",ROUND(SUMIFS(包装物料出入库明细!$N$4:$N$2003,包装物料出入库明细!$D$4:$D$2003,$B190,包装物料出入库明细!$H$4:$H$2003,"销售出库",包装物料出入库明细!$P$4:$P$2003,"已收讫",包装物料出入库明细!$B$4:$B$2003,"&gt;="&amp;$AF$1,包装物料出入库明细!$B$4:$B$2003,"&lt;="&amp;$AF$2),2))</f>
        <v/>
      </c>
      <c r="AA190" s="26" t="str">
        <f t="shared" si="11"/>
        <v/>
      </c>
      <c r="AB190" s="41"/>
    </row>
    <row r="191" spans="1:28">
      <c r="A191" s="24" t="str">
        <f t="shared" si="8"/>
        <v/>
      </c>
      <c r="B191" s="24" t="str">
        <f>IFERROR(INDEX(_自动清单!$O$4:$O$203,ROW()-3),"")</f>
        <v/>
      </c>
      <c r="C191" s="25" t="str">
        <f>IF(OR($B191="",_自动清单!$G$4=""),"",SUMIFS(包装物料出入库明细!$J$4:$J$2003,包装物料出入库明细!$D$4:$D$2003,$B191,包装物料出入库明细!$E$4:$E$2003,_自动清单!$G$4,包装物料出入库明细!$B$4:$B$2003,"&gt;="&amp;$AF$1,包装物料出入库明细!$B$4:$B$2003,"&lt;="&amp;$AF$2))</f>
        <v/>
      </c>
      <c r="D191" s="25" t="str">
        <f>IF(OR($B191="",_自动清单!$G$5=""),"",SUMIFS(包装物料出入库明细!$J$4:$J$2003,包装物料出入库明细!$D$4:$D$2003,$B191,包装物料出入库明细!$E$4:$E$2003,_自动清单!$G$5,包装物料出入库明细!$B$4:$B$2003,"&gt;="&amp;$AF$1,包装物料出入库明细!$B$4:$B$2003,"&lt;="&amp;$AF$2))</f>
        <v/>
      </c>
      <c r="E191" s="25" t="str">
        <f>IF(OR($B191="",_自动清单!$G$6=""),"",SUMIFS(包装物料出入库明细!$J$4:$J$2003,包装物料出入库明细!$D$4:$D$2003,$B191,包装物料出入库明细!$E$4:$E$2003,_自动清单!$G$6,包装物料出入库明细!$B$4:$B$2003,"&gt;="&amp;$AF$1,包装物料出入库明细!$B$4:$B$2003,"&lt;="&amp;$AF$2))</f>
        <v/>
      </c>
      <c r="F191" s="25" t="str">
        <f>IF(OR($B191="",_自动清单!$G$7=""),"",SUMIFS(包装物料出入库明细!$J$4:$J$2003,包装物料出入库明细!$D$4:$D$2003,$B191,包装物料出入库明细!$E$4:$E$2003,_自动清单!$G$7,包装物料出入库明细!$B$4:$B$2003,"&gt;="&amp;$AF$1,包装物料出入库明细!$B$4:$B$2003,"&lt;="&amp;$AF$2))</f>
        <v/>
      </c>
      <c r="G191" s="25" t="str">
        <f>IF(OR($B191="",_自动清单!$G$8=""),"",SUMIFS(包装物料出入库明细!$J$4:$J$2003,包装物料出入库明细!$D$4:$D$2003,$B191,包装物料出入库明细!$E$4:$E$2003,_自动清单!$G$8,包装物料出入库明细!$B$4:$B$2003,"&gt;="&amp;$AF$1,包装物料出入库明细!$B$4:$B$2003,"&lt;="&amp;$AF$2))</f>
        <v/>
      </c>
      <c r="H191" s="25" t="str">
        <f>IF(OR($B191="",_自动清单!$G$9=""),"",SUMIFS(包装物料出入库明细!$J$4:$J$2003,包装物料出入库明细!$D$4:$D$2003,$B191,包装物料出入库明细!$E$4:$E$2003,_自动清单!$G$9,包装物料出入库明细!$B$4:$B$2003,"&gt;="&amp;$AF$1,包装物料出入库明细!$B$4:$B$2003,"&lt;="&amp;$AF$2))</f>
        <v/>
      </c>
      <c r="I191" s="25" t="str">
        <f>IF(OR($B191="",_自动清单!$G$10=""),"",SUMIFS(包装物料出入库明细!$J$4:$J$2003,包装物料出入库明细!$D$4:$D$2003,$B191,包装物料出入库明细!$E$4:$E$2003,_自动清单!$G$10,包装物料出入库明细!$B$4:$B$2003,"&gt;="&amp;$AF$1,包装物料出入库明细!$B$4:$B$2003,"&lt;="&amp;$AF$2))</f>
        <v/>
      </c>
      <c r="J191" s="25" t="str">
        <f>IF(OR($B191="",_自动清单!$G$11=""),"",SUMIFS(包装物料出入库明细!$J$4:$J$2003,包装物料出入库明细!$D$4:$D$2003,$B191,包装物料出入库明细!$E$4:$E$2003,_自动清单!$G$11,包装物料出入库明细!$B$4:$B$2003,"&gt;="&amp;$AF$1,包装物料出入库明细!$B$4:$B$2003,"&lt;="&amp;$AF$2))</f>
        <v/>
      </c>
      <c r="K191" s="25" t="str">
        <f>IF(OR($B191="",_自动清单!$G$12=""),"",SUMIFS(包装物料出入库明细!$J$4:$J$2003,包装物料出入库明细!$D$4:$D$2003,$B191,包装物料出入库明细!$E$4:$E$2003,_自动清单!$G$12,包装物料出入库明细!$B$4:$B$2003,"&gt;="&amp;$AF$1,包装物料出入库明细!$B$4:$B$2003,"&lt;="&amp;$AF$2))</f>
        <v/>
      </c>
      <c r="L191" s="25" t="str">
        <f>IF(OR($B191="",_自动清单!$G$13=""),"",SUMIFS(包装物料出入库明细!$J$4:$J$2003,包装物料出入库明细!$D$4:$D$2003,$B191,包装物料出入库明细!$E$4:$E$2003,_自动清单!$G$13,包装物料出入库明细!$B$4:$B$2003,"&gt;="&amp;$AF$1,包装物料出入库明细!$B$4:$B$2003,"&lt;="&amp;$AF$2))</f>
        <v/>
      </c>
      <c r="M191" s="25" t="str">
        <f>IF(OR($B191="",_自动清单!$G$14=""),"",SUMIFS(包装物料出入库明细!$J$4:$J$2003,包装物料出入库明细!$D$4:$D$2003,$B191,包装物料出入库明细!$E$4:$E$2003,_自动清单!$G$14,包装物料出入库明细!$B$4:$B$2003,"&gt;="&amp;$AF$1,包装物料出入库明细!$B$4:$B$2003,"&lt;="&amp;$AF$2))</f>
        <v/>
      </c>
      <c r="N191" s="25" t="str">
        <f>IF(OR($B191="",_自动清单!$G$15=""),"",SUMIFS(包装物料出入库明细!$J$4:$J$2003,包装物料出入库明细!$D$4:$D$2003,$B191,包装物料出入库明细!$E$4:$E$2003,_自动清单!$G$15,包装物料出入库明细!$B$4:$B$2003,"&gt;="&amp;$AF$1,包装物料出入库明细!$B$4:$B$2003,"&lt;="&amp;$AF$2))</f>
        <v/>
      </c>
      <c r="O191" s="25" t="str">
        <f>IF(OR($B191="",_自动清单!$G$16=""),"",SUMIFS(包装物料出入库明细!$J$4:$J$2003,包装物料出入库明细!$D$4:$D$2003,$B191,包装物料出入库明细!$E$4:$E$2003,_自动清单!$G$16,包装物料出入库明细!$B$4:$B$2003,"&gt;="&amp;$AF$1,包装物料出入库明细!$B$4:$B$2003,"&lt;="&amp;$AF$2))</f>
        <v/>
      </c>
      <c r="P191" s="25" t="str">
        <f>IF(OR($B191="",_自动清单!$G$17=""),"",SUMIFS(包装物料出入库明细!$J$4:$J$2003,包装物料出入库明细!$D$4:$D$2003,$B191,包装物料出入库明细!$E$4:$E$2003,_自动清单!$G$17,包装物料出入库明细!$B$4:$B$2003,"&gt;="&amp;$AF$1,包装物料出入库明细!$B$4:$B$2003,"&lt;="&amp;$AF$2))</f>
        <v/>
      </c>
      <c r="Q191" s="25" t="str">
        <f>IF(OR($B191="",_自动清单!$G$18=""),"",SUMIFS(包装物料出入库明细!$J$4:$J$2003,包装物料出入库明细!$D$4:$D$2003,$B191,包装物料出入库明细!$E$4:$E$2003,_自动清单!$G$18,包装物料出入库明细!$B$4:$B$2003,"&gt;="&amp;$AF$1,包装物料出入库明细!$B$4:$B$2003,"&lt;="&amp;$AF$2))</f>
        <v/>
      </c>
      <c r="R191" s="25" t="str">
        <f>IF(OR($B191="",_自动清单!$G$19=""),"",SUMIFS(包装物料出入库明细!$J$4:$J$2003,包装物料出入库明细!$D$4:$D$2003,$B191,包装物料出入库明细!$E$4:$E$2003,_自动清单!$G$19,包装物料出入库明细!$B$4:$B$2003,"&gt;="&amp;$AF$1,包装物料出入库明细!$B$4:$B$2003,"&lt;="&amp;$AF$2))</f>
        <v/>
      </c>
      <c r="S191" s="25" t="str">
        <f>IF(OR($B191="",_自动清单!$G$20=""),"",SUMIFS(包装物料出入库明细!$J$4:$J$2003,包装物料出入库明细!$D$4:$D$2003,$B191,包装物料出入库明细!$E$4:$E$2003,_自动清单!$G$20,包装物料出入库明细!$B$4:$B$2003,"&gt;="&amp;$AF$1,包装物料出入库明细!$B$4:$B$2003,"&lt;="&amp;$AF$2))</f>
        <v/>
      </c>
      <c r="T191" s="25" t="str">
        <f>IF(OR($B191="",_自动清单!$G$21=""),"",SUMIFS(包装物料出入库明细!$J$4:$J$2003,包装物料出入库明细!$D$4:$D$2003,$B191,包装物料出入库明细!$E$4:$E$2003,_自动清单!$G$21,包装物料出入库明细!$B$4:$B$2003,"&gt;="&amp;$AF$1,包装物料出入库明细!$B$4:$B$2003,"&lt;="&amp;$AF$2))</f>
        <v/>
      </c>
      <c r="U191" s="25" t="str">
        <f>IF($B191="","",SUMIFS(包装物料出入库明细!$J$4:$J$2003,包装物料出入库明细!$D$4:$D$2003,$B191,包装物料出入库明细!$B$4:$B$2003,"&gt;="&amp;$AF$1,包装物料出入库明细!$B$4:$B$2003,"&lt;="&amp;$AF$2)-SUM($C191:$T191))</f>
        <v/>
      </c>
      <c r="V191" s="25" t="str">
        <f t="shared" si="9"/>
        <v/>
      </c>
      <c r="W191" s="56" t="str">
        <f>IF($B191="","",SUMIFS(包装物料出入库明细!$K$4:$K$2003,包装物料出入库明细!$D$4:$D$2003,$B191,包装物料出入库明细!$B$4:$B$2003,"&gt;="&amp;$AF$1,包装物料出入库明细!$B$4:$B$2003,"&lt;="&amp;$AF$2))</f>
        <v/>
      </c>
      <c r="X191" s="25" t="str">
        <f t="shared" si="10"/>
        <v/>
      </c>
      <c r="Y191" s="26" t="str">
        <f>IF($B191="","",ROUND(SUMIFS(包装物料出入库明细!$N$4:$N$2003,包装物料出入库明细!$D$4:$D$2003,$B191,包装物料出入库明细!$H$4:$H$2003,"销售出库",包装物料出入库明细!$B$4:$B$2003,"&gt;="&amp;$AF$1,包装物料出入库明细!$B$4:$B$2003,"&lt;="&amp;$AF$2),2))</f>
        <v/>
      </c>
      <c r="Z191" s="26" t="str">
        <f>IF($B191="","",ROUND(SUMIFS(包装物料出入库明细!$N$4:$N$2003,包装物料出入库明细!$D$4:$D$2003,$B191,包装物料出入库明细!$H$4:$H$2003,"销售出库",包装物料出入库明细!$P$4:$P$2003,"已收讫",包装物料出入库明细!$B$4:$B$2003,"&gt;="&amp;$AF$1,包装物料出入库明细!$B$4:$B$2003,"&lt;="&amp;$AF$2),2))</f>
        <v/>
      </c>
      <c r="AA191" s="26" t="str">
        <f t="shared" si="11"/>
        <v/>
      </c>
      <c r="AB191" s="41"/>
    </row>
    <row r="192" spans="1:28">
      <c r="A192" s="24" t="str">
        <f t="shared" si="8"/>
        <v/>
      </c>
      <c r="B192" s="24" t="str">
        <f>IFERROR(INDEX(_自动清单!$O$4:$O$203,ROW()-3),"")</f>
        <v/>
      </c>
      <c r="C192" s="25" t="str">
        <f>IF(OR($B192="",_自动清单!$G$4=""),"",SUMIFS(包装物料出入库明细!$J$4:$J$2003,包装物料出入库明细!$D$4:$D$2003,$B192,包装物料出入库明细!$E$4:$E$2003,_自动清单!$G$4,包装物料出入库明细!$B$4:$B$2003,"&gt;="&amp;$AF$1,包装物料出入库明细!$B$4:$B$2003,"&lt;="&amp;$AF$2))</f>
        <v/>
      </c>
      <c r="D192" s="25" t="str">
        <f>IF(OR($B192="",_自动清单!$G$5=""),"",SUMIFS(包装物料出入库明细!$J$4:$J$2003,包装物料出入库明细!$D$4:$D$2003,$B192,包装物料出入库明细!$E$4:$E$2003,_自动清单!$G$5,包装物料出入库明细!$B$4:$B$2003,"&gt;="&amp;$AF$1,包装物料出入库明细!$B$4:$B$2003,"&lt;="&amp;$AF$2))</f>
        <v/>
      </c>
      <c r="E192" s="25" t="str">
        <f>IF(OR($B192="",_自动清单!$G$6=""),"",SUMIFS(包装物料出入库明细!$J$4:$J$2003,包装物料出入库明细!$D$4:$D$2003,$B192,包装物料出入库明细!$E$4:$E$2003,_自动清单!$G$6,包装物料出入库明细!$B$4:$B$2003,"&gt;="&amp;$AF$1,包装物料出入库明细!$B$4:$B$2003,"&lt;="&amp;$AF$2))</f>
        <v/>
      </c>
      <c r="F192" s="25" t="str">
        <f>IF(OR($B192="",_自动清单!$G$7=""),"",SUMIFS(包装物料出入库明细!$J$4:$J$2003,包装物料出入库明细!$D$4:$D$2003,$B192,包装物料出入库明细!$E$4:$E$2003,_自动清单!$G$7,包装物料出入库明细!$B$4:$B$2003,"&gt;="&amp;$AF$1,包装物料出入库明细!$B$4:$B$2003,"&lt;="&amp;$AF$2))</f>
        <v/>
      </c>
      <c r="G192" s="25" t="str">
        <f>IF(OR($B192="",_自动清单!$G$8=""),"",SUMIFS(包装物料出入库明细!$J$4:$J$2003,包装物料出入库明细!$D$4:$D$2003,$B192,包装物料出入库明细!$E$4:$E$2003,_自动清单!$G$8,包装物料出入库明细!$B$4:$B$2003,"&gt;="&amp;$AF$1,包装物料出入库明细!$B$4:$B$2003,"&lt;="&amp;$AF$2))</f>
        <v/>
      </c>
      <c r="H192" s="25" t="str">
        <f>IF(OR($B192="",_自动清单!$G$9=""),"",SUMIFS(包装物料出入库明细!$J$4:$J$2003,包装物料出入库明细!$D$4:$D$2003,$B192,包装物料出入库明细!$E$4:$E$2003,_自动清单!$G$9,包装物料出入库明细!$B$4:$B$2003,"&gt;="&amp;$AF$1,包装物料出入库明细!$B$4:$B$2003,"&lt;="&amp;$AF$2))</f>
        <v/>
      </c>
      <c r="I192" s="25" t="str">
        <f>IF(OR($B192="",_自动清单!$G$10=""),"",SUMIFS(包装物料出入库明细!$J$4:$J$2003,包装物料出入库明细!$D$4:$D$2003,$B192,包装物料出入库明细!$E$4:$E$2003,_自动清单!$G$10,包装物料出入库明细!$B$4:$B$2003,"&gt;="&amp;$AF$1,包装物料出入库明细!$B$4:$B$2003,"&lt;="&amp;$AF$2))</f>
        <v/>
      </c>
      <c r="J192" s="25" t="str">
        <f>IF(OR($B192="",_自动清单!$G$11=""),"",SUMIFS(包装物料出入库明细!$J$4:$J$2003,包装物料出入库明细!$D$4:$D$2003,$B192,包装物料出入库明细!$E$4:$E$2003,_自动清单!$G$11,包装物料出入库明细!$B$4:$B$2003,"&gt;="&amp;$AF$1,包装物料出入库明细!$B$4:$B$2003,"&lt;="&amp;$AF$2))</f>
        <v/>
      </c>
      <c r="K192" s="25" t="str">
        <f>IF(OR($B192="",_自动清单!$G$12=""),"",SUMIFS(包装物料出入库明细!$J$4:$J$2003,包装物料出入库明细!$D$4:$D$2003,$B192,包装物料出入库明细!$E$4:$E$2003,_自动清单!$G$12,包装物料出入库明细!$B$4:$B$2003,"&gt;="&amp;$AF$1,包装物料出入库明细!$B$4:$B$2003,"&lt;="&amp;$AF$2))</f>
        <v/>
      </c>
      <c r="L192" s="25" t="str">
        <f>IF(OR($B192="",_自动清单!$G$13=""),"",SUMIFS(包装物料出入库明细!$J$4:$J$2003,包装物料出入库明细!$D$4:$D$2003,$B192,包装物料出入库明细!$E$4:$E$2003,_自动清单!$G$13,包装物料出入库明细!$B$4:$B$2003,"&gt;="&amp;$AF$1,包装物料出入库明细!$B$4:$B$2003,"&lt;="&amp;$AF$2))</f>
        <v/>
      </c>
      <c r="M192" s="25" t="str">
        <f>IF(OR($B192="",_自动清单!$G$14=""),"",SUMIFS(包装物料出入库明细!$J$4:$J$2003,包装物料出入库明细!$D$4:$D$2003,$B192,包装物料出入库明细!$E$4:$E$2003,_自动清单!$G$14,包装物料出入库明细!$B$4:$B$2003,"&gt;="&amp;$AF$1,包装物料出入库明细!$B$4:$B$2003,"&lt;="&amp;$AF$2))</f>
        <v/>
      </c>
      <c r="N192" s="25" t="str">
        <f>IF(OR($B192="",_自动清单!$G$15=""),"",SUMIFS(包装物料出入库明细!$J$4:$J$2003,包装物料出入库明细!$D$4:$D$2003,$B192,包装物料出入库明细!$E$4:$E$2003,_自动清单!$G$15,包装物料出入库明细!$B$4:$B$2003,"&gt;="&amp;$AF$1,包装物料出入库明细!$B$4:$B$2003,"&lt;="&amp;$AF$2))</f>
        <v/>
      </c>
      <c r="O192" s="25" t="str">
        <f>IF(OR($B192="",_自动清单!$G$16=""),"",SUMIFS(包装物料出入库明细!$J$4:$J$2003,包装物料出入库明细!$D$4:$D$2003,$B192,包装物料出入库明细!$E$4:$E$2003,_自动清单!$G$16,包装物料出入库明细!$B$4:$B$2003,"&gt;="&amp;$AF$1,包装物料出入库明细!$B$4:$B$2003,"&lt;="&amp;$AF$2))</f>
        <v/>
      </c>
      <c r="P192" s="25" t="str">
        <f>IF(OR($B192="",_自动清单!$G$17=""),"",SUMIFS(包装物料出入库明细!$J$4:$J$2003,包装物料出入库明细!$D$4:$D$2003,$B192,包装物料出入库明细!$E$4:$E$2003,_自动清单!$G$17,包装物料出入库明细!$B$4:$B$2003,"&gt;="&amp;$AF$1,包装物料出入库明细!$B$4:$B$2003,"&lt;="&amp;$AF$2))</f>
        <v/>
      </c>
      <c r="Q192" s="25" t="str">
        <f>IF(OR($B192="",_自动清单!$G$18=""),"",SUMIFS(包装物料出入库明细!$J$4:$J$2003,包装物料出入库明细!$D$4:$D$2003,$B192,包装物料出入库明细!$E$4:$E$2003,_自动清单!$G$18,包装物料出入库明细!$B$4:$B$2003,"&gt;="&amp;$AF$1,包装物料出入库明细!$B$4:$B$2003,"&lt;="&amp;$AF$2))</f>
        <v/>
      </c>
      <c r="R192" s="25" t="str">
        <f>IF(OR($B192="",_自动清单!$G$19=""),"",SUMIFS(包装物料出入库明细!$J$4:$J$2003,包装物料出入库明细!$D$4:$D$2003,$B192,包装物料出入库明细!$E$4:$E$2003,_自动清单!$G$19,包装物料出入库明细!$B$4:$B$2003,"&gt;="&amp;$AF$1,包装物料出入库明细!$B$4:$B$2003,"&lt;="&amp;$AF$2))</f>
        <v/>
      </c>
      <c r="S192" s="25" t="str">
        <f>IF(OR($B192="",_自动清单!$G$20=""),"",SUMIFS(包装物料出入库明细!$J$4:$J$2003,包装物料出入库明细!$D$4:$D$2003,$B192,包装物料出入库明细!$E$4:$E$2003,_自动清单!$G$20,包装物料出入库明细!$B$4:$B$2003,"&gt;="&amp;$AF$1,包装物料出入库明细!$B$4:$B$2003,"&lt;="&amp;$AF$2))</f>
        <v/>
      </c>
      <c r="T192" s="25" t="str">
        <f>IF(OR($B192="",_自动清单!$G$21=""),"",SUMIFS(包装物料出入库明细!$J$4:$J$2003,包装物料出入库明细!$D$4:$D$2003,$B192,包装物料出入库明细!$E$4:$E$2003,_自动清单!$G$21,包装物料出入库明细!$B$4:$B$2003,"&gt;="&amp;$AF$1,包装物料出入库明细!$B$4:$B$2003,"&lt;="&amp;$AF$2))</f>
        <v/>
      </c>
      <c r="U192" s="25" t="str">
        <f>IF($B192="","",SUMIFS(包装物料出入库明细!$J$4:$J$2003,包装物料出入库明细!$D$4:$D$2003,$B192,包装物料出入库明细!$B$4:$B$2003,"&gt;="&amp;$AF$1,包装物料出入库明细!$B$4:$B$2003,"&lt;="&amp;$AF$2)-SUM($C192:$T192))</f>
        <v/>
      </c>
      <c r="V192" s="25" t="str">
        <f t="shared" si="9"/>
        <v/>
      </c>
      <c r="W192" s="56" t="str">
        <f>IF($B192="","",SUMIFS(包装物料出入库明细!$K$4:$K$2003,包装物料出入库明细!$D$4:$D$2003,$B192,包装物料出入库明细!$B$4:$B$2003,"&gt;="&amp;$AF$1,包装物料出入库明细!$B$4:$B$2003,"&lt;="&amp;$AF$2))</f>
        <v/>
      </c>
      <c r="X192" s="25" t="str">
        <f t="shared" si="10"/>
        <v/>
      </c>
      <c r="Y192" s="26" t="str">
        <f>IF($B192="","",ROUND(SUMIFS(包装物料出入库明细!$N$4:$N$2003,包装物料出入库明细!$D$4:$D$2003,$B192,包装物料出入库明细!$H$4:$H$2003,"销售出库",包装物料出入库明细!$B$4:$B$2003,"&gt;="&amp;$AF$1,包装物料出入库明细!$B$4:$B$2003,"&lt;="&amp;$AF$2),2))</f>
        <v/>
      </c>
      <c r="Z192" s="26" t="str">
        <f>IF($B192="","",ROUND(SUMIFS(包装物料出入库明细!$N$4:$N$2003,包装物料出入库明细!$D$4:$D$2003,$B192,包装物料出入库明细!$H$4:$H$2003,"销售出库",包装物料出入库明细!$P$4:$P$2003,"已收讫",包装物料出入库明细!$B$4:$B$2003,"&gt;="&amp;$AF$1,包装物料出入库明细!$B$4:$B$2003,"&lt;="&amp;$AF$2),2))</f>
        <v/>
      </c>
      <c r="AA192" s="26" t="str">
        <f t="shared" si="11"/>
        <v/>
      </c>
      <c r="AB192" s="41"/>
    </row>
    <row r="193" spans="1:28">
      <c r="A193" s="24" t="str">
        <f t="shared" si="8"/>
        <v/>
      </c>
      <c r="B193" s="24" t="str">
        <f>IFERROR(INDEX(_自动清单!$O$4:$O$203,ROW()-3),"")</f>
        <v/>
      </c>
      <c r="C193" s="25" t="str">
        <f>IF(OR($B193="",_自动清单!$G$4=""),"",SUMIFS(包装物料出入库明细!$J$4:$J$2003,包装物料出入库明细!$D$4:$D$2003,$B193,包装物料出入库明细!$E$4:$E$2003,_自动清单!$G$4,包装物料出入库明细!$B$4:$B$2003,"&gt;="&amp;$AF$1,包装物料出入库明细!$B$4:$B$2003,"&lt;="&amp;$AF$2))</f>
        <v/>
      </c>
      <c r="D193" s="25" t="str">
        <f>IF(OR($B193="",_自动清单!$G$5=""),"",SUMIFS(包装物料出入库明细!$J$4:$J$2003,包装物料出入库明细!$D$4:$D$2003,$B193,包装物料出入库明细!$E$4:$E$2003,_自动清单!$G$5,包装物料出入库明细!$B$4:$B$2003,"&gt;="&amp;$AF$1,包装物料出入库明细!$B$4:$B$2003,"&lt;="&amp;$AF$2))</f>
        <v/>
      </c>
      <c r="E193" s="25" t="str">
        <f>IF(OR($B193="",_自动清单!$G$6=""),"",SUMIFS(包装物料出入库明细!$J$4:$J$2003,包装物料出入库明细!$D$4:$D$2003,$B193,包装物料出入库明细!$E$4:$E$2003,_自动清单!$G$6,包装物料出入库明细!$B$4:$B$2003,"&gt;="&amp;$AF$1,包装物料出入库明细!$B$4:$B$2003,"&lt;="&amp;$AF$2))</f>
        <v/>
      </c>
      <c r="F193" s="25" t="str">
        <f>IF(OR($B193="",_自动清单!$G$7=""),"",SUMIFS(包装物料出入库明细!$J$4:$J$2003,包装物料出入库明细!$D$4:$D$2003,$B193,包装物料出入库明细!$E$4:$E$2003,_自动清单!$G$7,包装物料出入库明细!$B$4:$B$2003,"&gt;="&amp;$AF$1,包装物料出入库明细!$B$4:$B$2003,"&lt;="&amp;$AF$2))</f>
        <v/>
      </c>
      <c r="G193" s="25" t="str">
        <f>IF(OR($B193="",_自动清单!$G$8=""),"",SUMIFS(包装物料出入库明细!$J$4:$J$2003,包装物料出入库明细!$D$4:$D$2003,$B193,包装物料出入库明细!$E$4:$E$2003,_自动清单!$G$8,包装物料出入库明细!$B$4:$B$2003,"&gt;="&amp;$AF$1,包装物料出入库明细!$B$4:$B$2003,"&lt;="&amp;$AF$2))</f>
        <v/>
      </c>
      <c r="H193" s="25" t="str">
        <f>IF(OR($B193="",_自动清单!$G$9=""),"",SUMIFS(包装物料出入库明细!$J$4:$J$2003,包装物料出入库明细!$D$4:$D$2003,$B193,包装物料出入库明细!$E$4:$E$2003,_自动清单!$G$9,包装物料出入库明细!$B$4:$B$2003,"&gt;="&amp;$AF$1,包装物料出入库明细!$B$4:$B$2003,"&lt;="&amp;$AF$2))</f>
        <v/>
      </c>
      <c r="I193" s="25" t="str">
        <f>IF(OR($B193="",_自动清单!$G$10=""),"",SUMIFS(包装物料出入库明细!$J$4:$J$2003,包装物料出入库明细!$D$4:$D$2003,$B193,包装物料出入库明细!$E$4:$E$2003,_自动清单!$G$10,包装物料出入库明细!$B$4:$B$2003,"&gt;="&amp;$AF$1,包装物料出入库明细!$B$4:$B$2003,"&lt;="&amp;$AF$2))</f>
        <v/>
      </c>
      <c r="J193" s="25" t="str">
        <f>IF(OR($B193="",_自动清单!$G$11=""),"",SUMIFS(包装物料出入库明细!$J$4:$J$2003,包装物料出入库明细!$D$4:$D$2003,$B193,包装物料出入库明细!$E$4:$E$2003,_自动清单!$G$11,包装物料出入库明细!$B$4:$B$2003,"&gt;="&amp;$AF$1,包装物料出入库明细!$B$4:$B$2003,"&lt;="&amp;$AF$2))</f>
        <v/>
      </c>
      <c r="K193" s="25" t="str">
        <f>IF(OR($B193="",_自动清单!$G$12=""),"",SUMIFS(包装物料出入库明细!$J$4:$J$2003,包装物料出入库明细!$D$4:$D$2003,$B193,包装物料出入库明细!$E$4:$E$2003,_自动清单!$G$12,包装物料出入库明细!$B$4:$B$2003,"&gt;="&amp;$AF$1,包装物料出入库明细!$B$4:$B$2003,"&lt;="&amp;$AF$2))</f>
        <v/>
      </c>
      <c r="L193" s="25" t="str">
        <f>IF(OR($B193="",_自动清单!$G$13=""),"",SUMIFS(包装物料出入库明细!$J$4:$J$2003,包装物料出入库明细!$D$4:$D$2003,$B193,包装物料出入库明细!$E$4:$E$2003,_自动清单!$G$13,包装物料出入库明细!$B$4:$B$2003,"&gt;="&amp;$AF$1,包装物料出入库明细!$B$4:$B$2003,"&lt;="&amp;$AF$2))</f>
        <v/>
      </c>
      <c r="M193" s="25" t="str">
        <f>IF(OR($B193="",_自动清单!$G$14=""),"",SUMIFS(包装物料出入库明细!$J$4:$J$2003,包装物料出入库明细!$D$4:$D$2003,$B193,包装物料出入库明细!$E$4:$E$2003,_自动清单!$G$14,包装物料出入库明细!$B$4:$B$2003,"&gt;="&amp;$AF$1,包装物料出入库明细!$B$4:$B$2003,"&lt;="&amp;$AF$2))</f>
        <v/>
      </c>
      <c r="N193" s="25" t="str">
        <f>IF(OR($B193="",_自动清单!$G$15=""),"",SUMIFS(包装物料出入库明细!$J$4:$J$2003,包装物料出入库明细!$D$4:$D$2003,$B193,包装物料出入库明细!$E$4:$E$2003,_自动清单!$G$15,包装物料出入库明细!$B$4:$B$2003,"&gt;="&amp;$AF$1,包装物料出入库明细!$B$4:$B$2003,"&lt;="&amp;$AF$2))</f>
        <v/>
      </c>
      <c r="O193" s="25" t="str">
        <f>IF(OR($B193="",_自动清单!$G$16=""),"",SUMIFS(包装物料出入库明细!$J$4:$J$2003,包装物料出入库明细!$D$4:$D$2003,$B193,包装物料出入库明细!$E$4:$E$2003,_自动清单!$G$16,包装物料出入库明细!$B$4:$B$2003,"&gt;="&amp;$AF$1,包装物料出入库明细!$B$4:$B$2003,"&lt;="&amp;$AF$2))</f>
        <v/>
      </c>
      <c r="P193" s="25" t="str">
        <f>IF(OR($B193="",_自动清单!$G$17=""),"",SUMIFS(包装物料出入库明细!$J$4:$J$2003,包装物料出入库明细!$D$4:$D$2003,$B193,包装物料出入库明细!$E$4:$E$2003,_自动清单!$G$17,包装物料出入库明细!$B$4:$B$2003,"&gt;="&amp;$AF$1,包装物料出入库明细!$B$4:$B$2003,"&lt;="&amp;$AF$2))</f>
        <v/>
      </c>
      <c r="Q193" s="25" t="str">
        <f>IF(OR($B193="",_自动清单!$G$18=""),"",SUMIFS(包装物料出入库明细!$J$4:$J$2003,包装物料出入库明细!$D$4:$D$2003,$B193,包装物料出入库明细!$E$4:$E$2003,_自动清单!$G$18,包装物料出入库明细!$B$4:$B$2003,"&gt;="&amp;$AF$1,包装物料出入库明细!$B$4:$B$2003,"&lt;="&amp;$AF$2))</f>
        <v/>
      </c>
      <c r="R193" s="25" t="str">
        <f>IF(OR($B193="",_自动清单!$G$19=""),"",SUMIFS(包装物料出入库明细!$J$4:$J$2003,包装物料出入库明细!$D$4:$D$2003,$B193,包装物料出入库明细!$E$4:$E$2003,_自动清单!$G$19,包装物料出入库明细!$B$4:$B$2003,"&gt;="&amp;$AF$1,包装物料出入库明细!$B$4:$B$2003,"&lt;="&amp;$AF$2))</f>
        <v/>
      </c>
      <c r="S193" s="25" t="str">
        <f>IF(OR($B193="",_自动清单!$G$20=""),"",SUMIFS(包装物料出入库明细!$J$4:$J$2003,包装物料出入库明细!$D$4:$D$2003,$B193,包装物料出入库明细!$E$4:$E$2003,_自动清单!$G$20,包装物料出入库明细!$B$4:$B$2003,"&gt;="&amp;$AF$1,包装物料出入库明细!$B$4:$B$2003,"&lt;="&amp;$AF$2))</f>
        <v/>
      </c>
      <c r="T193" s="25" t="str">
        <f>IF(OR($B193="",_自动清单!$G$21=""),"",SUMIFS(包装物料出入库明细!$J$4:$J$2003,包装物料出入库明细!$D$4:$D$2003,$B193,包装物料出入库明细!$E$4:$E$2003,_自动清单!$G$21,包装物料出入库明细!$B$4:$B$2003,"&gt;="&amp;$AF$1,包装物料出入库明细!$B$4:$B$2003,"&lt;="&amp;$AF$2))</f>
        <v/>
      </c>
      <c r="U193" s="25" t="str">
        <f>IF($B193="","",SUMIFS(包装物料出入库明细!$J$4:$J$2003,包装物料出入库明细!$D$4:$D$2003,$B193,包装物料出入库明细!$B$4:$B$2003,"&gt;="&amp;$AF$1,包装物料出入库明细!$B$4:$B$2003,"&lt;="&amp;$AF$2)-SUM($C193:$T193))</f>
        <v/>
      </c>
      <c r="V193" s="25" t="str">
        <f t="shared" si="9"/>
        <v/>
      </c>
      <c r="W193" s="56" t="str">
        <f>IF($B193="","",SUMIFS(包装物料出入库明细!$K$4:$K$2003,包装物料出入库明细!$D$4:$D$2003,$B193,包装物料出入库明细!$B$4:$B$2003,"&gt;="&amp;$AF$1,包装物料出入库明细!$B$4:$B$2003,"&lt;="&amp;$AF$2))</f>
        <v/>
      </c>
      <c r="X193" s="25" t="str">
        <f t="shared" si="10"/>
        <v/>
      </c>
      <c r="Y193" s="26" t="str">
        <f>IF($B193="","",ROUND(SUMIFS(包装物料出入库明细!$N$4:$N$2003,包装物料出入库明细!$D$4:$D$2003,$B193,包装物料出入库明细!$H$4:$H$2003,"销售出库",包装物料出入库明细!$B$4:$B$2003,"&gt;="&amp;$AF$1,包装物料出入库明细!$B$4:$B$2003,"&lt;="&amp;$AF$2),2))</f>
        <v/>
      </c>
      <c r="Z193" s="26" t="str">
        <f>IF($B193="","",ROUND(SUMIFS(包装物料出入库明细!$N$4:$N$2003,包装物料出入库明细!$D$4:$D$2003,$B193,包装物料出入库明细!$H$4:$H$2003,"销售出库",包装物料出入库明细!$P$4:$P$2003,"已收讫",包装物料出入库明细!$B$4:$B$2003,"&gt;="&amp;$AF$1,包装物料出入库明细!$B$4:$B$2003,"&lt;="&amp;$AF$2),2))</f>
        <v/>
      </c>
      <c r="AA193" s="26" t="str">
        <f t="shared" si="11"/>
        <v/>
      </c>
      <c r="AB193" s="41"/>
    </row>
    <row r="194" spans="1:28">
      <c r="A194" s="24" t="str">
        <f t="shared" si="8"/>
        <v/>
      </c>
      <c r="B194" s="24" t="str">
        <f>IFERROR(INDEX(_自动清单!$O$4:$O$203,ROW()-3),"")</f>
        <v/>
      </c>
      <c r="C194" s="25" t="str">
        <f>IF(OR($B194="",_自动清单!$G$4=""),"",SUMIFS(包装物料出入库明细!$J$4:$J$2003,包装物料出入库明细!$D$4:$D$2003,$B194,包装物料出入库明细!$E$4:$E$2003,_自动清单!$G$4,包装物料出入库明细!$B$4:$B$2003,"&gt;="&amp;$AF$1,包装物料出入库明细!$B$4:$B$2003,"&lt;="&amp;$AF$2))</f>
        <v/>
      </c>
      <c r="D194" s="25" t="str">
        <f>IF(OR($B194="",_自动清单!$G$5=""),"",SUMIFS(包装物料出入库明细!$J$4:$J$2003,包装物料出入库明细!$D$4:$D$2003,$B194,包装物料出入库明细!$E$4:$E$2003,_自动清单!$G$5,包装物料出入库明细!$B$4:$B$2003,"&gt;="&amp;$AF$1,包装物料出入库明细!$B$4:$B$2003,"&lt;="&amp;$AF$2))</f>
        <v/>
      </c>
      <c r="E194" s="25" t="str">
        <f>IF(OR($B194="",_自动清单!$G$6=""),"",SUMIFS(包装物料出入库明细!$J$4:$J$2003,包装物料出入库明细!$D$4:$D$2003,$B194,包装物料出入库明细!$E$4:$E$2003,_自动清单!$G$6,包装物料出入库明细!$B$4:$B$2003,"&gt;="&amp;$AF$1,包装物料出入库明细!$B$4:$B$2003,"&lt;="&amp;$AF$2))</f>
        <v/>
      </c>
      <c r="F194" s="25" t="str">
        <f>IF(OR($B194="",_自动清单!$G$7=""),"",SUMIFS(包装物料出入库明细!$J$4:$J$2003,包装物料出入库明细!$D$4:$D$2003,$B194,包装物料出入库明细!$E$4:$E$2003,_自动清单!$G$7,包装物料出入库明细!$B$4:$B$2003,"&gt;="&amp;$AF$1,包装物料出入库明细!$B$4:$B$2003,"&lt;="&amp;$AF$2))</f>
        <v/>
      </c>
      <c r="G194" s="25" t="str">
        <f>IF(OR($B194="",_自动清单!$G$8=""),"",SUMIFS(包装物料出入库明细!$J$4:$J$2003,包装物料出入库明细!$D$4:$D$2003,$B194,包装物料出入库明细!$E$4:$E$2003,_自动清单!$G$8,包装物料出入库明细!$B$4:$B$2003,"&gt;="&amp;$AF$1,包装物料出入库明细!$B$4:$B$2003,"&lt;="&amp;$AF$2))</f>
        <v/>
      </c>
      <c r="H194" s="25" t="str">
        <f>IF(OR($B194="",_自动清单!$G$9=""),"",SUMIFS(包装物料出入库明细!$J$4:$J$2003,包装物料出入库明细!$D$4:$D$2003,$B194,包装物料出入库明细!$E$4:$E$2003,_自动清单!$G$9,包装物料出入库明细!$B$4:$B$2003,"&gt;="&amp;$AF$1,包装物料出入库明细!$B$4:$B$2003,"&lt;="&amp;$AF$2))</f>
        <v/>
      </c>
      <c r="I194" s="25" t="str">
        <f>IF(OR($B194="",_自动清单!$G$10=""),"",SUMIFS(包装物料出入库明细!$J$4:$J$2003,包装物料出入库明细!$D$4:$D$2003,$B194,包装物料出入库明细!$E$4:$E$2003,_自动清单!$G$10,包装物料出入库明细!$B$4:$B$2003,"&gt;="&amp;$AF$1,包装物料出入库明细!$B$4:$B$2003,"&lt;="&amp;$AF$2))</f>
        <v/>
      </c>
      <c r="J194" s="25" t="str">
        <f>IF(OR($B194="",_自动清单!$G$11=""),"",SUMIFS(包装物料出入库明细!$J$4:$J$2003,包装物料出入库明细!$D$4:$D$2003,$B194,包装物料出入库明细!$E$4:$E$2003,_自动清单!$G$11,包装物料出入库明细!$B$4:$B$2003,"&gt;="&amp;$AF$1,包装物料出入库明细!$B$4:$B$2003,"&lt;="&amp;$AF$2))</f>
        <v/>
      </c>
      <c r="K194" s="25" t="str">
        <f>IF(OR($B194="",_自动清单!$G$12=""),"",SUMIFS(包装物料出入库明细!$J$4:$J$2003,包装物料出入库明细!$D$4:$D$2003,$B194,包装物料出入库明细!$E$4:$E$2003,_自动清单!$G$12,包装物料出入库明细!$B$4:$B$2003,"&gt;="&amp;$AF$1,包装物料出入库明细!$B$4:$B$2003,"&lt;="&amp;$AF$2))</f>
        <v/>
      </c>
      <c r="L194" s="25" t="str">
        <f>IF(OR($B194="",_自动清单!$G$13=""),"",SUMIFS(包装物料出入库明细!$J$4:$J$2003,包装物料出入库明细!$D$4:$D$2003,$B194,包装物料出入库明细!$E$4:$E$2003,_自动清单!$G$13,包装物料出入库明细!$B$4:$B$2003,"&gt;="&amp;$AF$1,包装物料出入库明细!$B$4:$B$2003,"&lt;="&amp;$AF$2))</f>
        <v/>
      </c>
      <c r="M194" s="25" t="str">
        <f>IF(OR($B194="",_自动清单!$G$14=""),"",SUMIFS(包装物料出入库明细!$J$4:$J$2003,包装物料出入库明细!$D$4:$D$2003,$B194,包装物料出入库明细!$E$4:$E$2003,_自动清单!$G$14,包装物料出入库明细!$B$4:$B$2003,"&gt;="&amp;$AF$1,包装物料出入库明细!$B$4:$B$2003,"&lt;="&amp;$AF$2))</f>
        <v/>
      </c>
      <c r="N194" s="25" t="str">
        <f>IF(OR($B194="",_自动清单!$G$15=""),"",SUMIFS(包装物料出入库明细!$J$4:$J$2003,包装物料出入库明细!$D$4:$D$2003,$B194,包装物料出入库明细!$E$4:$E$2003,_自动清单!$G$15,包装物料出入库明细!$B$4:$B$2003,"&gt;="&amp;$AF$1,包装物料出入库明细!$B$4:$B$2003,"&lt;="&amp;$AF$2))</f>
        <v/>
      </c>
      <c r="O194" s="25" t="str">
        <f>IF(OR($B194="",_自动清单!$G$16=""),"",SUMIFS(包装物料出入库明细!$J$4:$J$2003,包装物料出入库明细!$D$4:$D$2003,$B194,包装物料出入库明细!$E$4:$E$2003,_自动清单!$G$16,包装物料出入库明细!$B$4:$B$2003,"&gt;="&amp;$AF$1,包装物料出入库明细!$B$4:$B$2003,"&lt;="&amp;$AF$2))</f>
        <v/>
      </c>
      <c r="P194" s="25" t="str">
        <f>IF(OR($B194="",_自动清单!$G$17=""),"",SUMIFS(包装物料出入库明细!$J$4:$J$2003,包装物料出入库明细!$D$4:$D$2003,$B194,包装物料出入库明细!$E$4:$E$2003,_自动清单!$G$17,包装物料出入库明细!$B$4:$B$2003,"&gt;="&amp;$AF$1,包装物料出入库明细!$B$4:$B$2003,"&lt;="&amp;$AF$2))</f>
        <v/>
      </c>
      <c r="Q194" s="25" t="str">
        <f>IF(OR($B194="",_自动清单!$G$18=""),"",SUMIFS(包装物料出入库明细!$J$4:$J$2003,包装物料出入库明细!$D$4:$D$2003,$B194,包装物料出入库明细!$E$4:$E$2003,_自动清单!$G$18,包装物料出入库明细!$B$4:$B$2003,"&gt;="&amp;$AF$1,包装物料出入库明细!$B$4:$B$2003,"&lt;="&amp;$AF$2))</f>
        <v/>
      </c>
      <c r="R194" s="25" t="str">
        <f>IF(OR($B194="",_自动清单!$G$19=""),"",SUMIFS(包装物料出入库明细!$J$4:$J$2003,包装物料出入库明细!$D$4:$D$2003,$B194,包装物料出入库明细!$E$4:$E$2003,_自动清单!$G$19,包装物料出入库明细!$B$4:$B$2003,"&gt;="&amp;$AF$1,包装物料出入库明细!$B$4:$B$2003,"&lt;="&amp;$AF$2))</f>
        <v/>
      </c>
      <c r="S194" s="25" t="str">
        <f>IF(OR($B194="",_自动清单!$G$20=""),"",SUMIFS(包装物料出入库明细!$J$4:$J$2003,包装物料出入库明细!$D$4:$D$2003,$B194,包装物料出入库明细!$E$4:$E$2003,_自动清单!$G$20,包装物料出入库明细!$B$4:$B$2003,"&gt;="&amp;$AF$1,包装物料出入库明细!$B$4:$B$2003,"&lt;="&amp;$AF$2))</f>
        <v/>
      </c>
      <c r="T194" s="25" t="str">
        <f>IF(OR($B194="",_自动清单!$G$21=""),"",SUMIFS(包装物料出入库明细!$J$4:$J$2003,包装物料出入库明细!$D$4:$D$2003,$B194,包装物料出入库明细!$E$4:$E$2003,_自动清单!$G$21,包装物料出入库明细!$B$4:$B$2003,"&gt;="&amp;$AF$1,包装物料出入库明细!$B$4:$B$2003,"&lt;="&amp;$AF$2))</f>
        <v/>
      </c>
      <c r="U194" s="25" t="str">
        <f>IF($B194="","",SUMIFS(包装物料出入库明细!$J$4:$J$2003,包装物料出入库明细!$D$4:$D$2003,$B194,包装物料出入库明细!$B$4:$B$2003,"&gt;="&amp;$AF$1,包装物料出入库明细!$B$4:$B$2003,"&lt;="&amp;$AF$2)-SUM($C194:$T194))</f>
        <v/>
      </c>
      <c r="V194" s="25" t="str">
        <f t="shared" si="9"/>
        <v/>
      </c>
      <c r="W194" s="56" t="str">
        <f>IF($B194="","",SUMIFS(包装物料出入库明细!$K$4:$K$2003,包装物料出入库明细!$D$4:$D$2003,$B194,包装物料出入库明细!$B$4:$B$2003,"&gt;="&amp;$AF$1,包装物料出入库明细!$B$4:$B$2003,"&lt;="&amp;$AF$2))</f>
        <v/>
      </c>
      <c r="X194" s="25" t="str">
        <f t="shared" si="10"/>
        <v/>
      </c>
      <c r="Y194" s="26" t="str">
        <f>IF($B194="","",ROUND(SUMIFS(包装物料出入库明细!$N$4:$N$2003,包装物料出入库明细!$D$4:$D$2003,$B194,包装物料出入库明细!$H$4:$H$2003,"销售出库",包装物料出入库明细!$B$4:$B$2003,"&gt;="&amp;$AF$1,包装物料出入库明细!$B$4:$B$2003,"&lt;="&amp;$AF$2),2))</f>
        <v/>
      </c>
      <c r="Z194" s="26" t="str">
        <f>IF($B194="","",ROUND(SUMIFS(包装物料出入库明细!$N$4:$N$2003,包装物料出入库明细!$D$4:$D$2003,$B194,包装物料出入库明细!$H$4:$H$2003,"销售出库",包装物料出入库明细!$P$4:$P$2003,"已收讫",包装物料出入库明细!$B$4:$B$2003,"&gt;="&amp;$AF$1,包装物料出入库明细!$B$4:$B$2003,"&lt;="&amp;$AF$2),2))</f>
        <v/>
      </c>
      <c r="AA194" s="26" t="str">
        <f t="shared" si="11"/>
        <v/>
      </c>
      <c r="AB194" s="41"/>
    </row>
    <row r="195" spans="1:28">
      <c r="A195" s="24" t="str">
        <f t="shared" si="8"/>
        <v/>
      </c>
      <c r="B195" s="24" t="str">
        <f>IFERROR(INDEX(_自动清单!$O$4:$O$203,ROW()-3),"")</f>
        <v/>
      </c>
      <c r="C195" s="25" t="str">
        <f>IF(OR($B195="",_自动清单!$G$4=""),"",SUMIFS(包装物料出入库明细!$J$4:$J$2003,包装物料出入库明细!$D$4:$D$2003,$B195,包装物料出入库明细!$E$4:$E$2003,_自动清单!$G$4,包装物料出入库明细!$B$4:$B$2003,"&gt;="&amp;$AF$1,包装物料出入库明细!$B$4:$B$2003,"&lt;="&amp;$AF$2))</f>
        <v/>
      </c>
      <c r="D195" s="25" t="str">
        <f>IF(OR($B195="",_自动清单!$G$5=""),"",SUMIFS(包装物料出入库明细!$J$4:$J$2003,包装物料出入库明细!$D$4:$D$2003,$B195,包装物料出入库明细!$E$4:$E$2003,_自动清单!$G$5,包装物料出入库明细!$B$4:$B$2003,"&gt;="&amp;$AF$1,包装物料出入库明细!$B$4:$B$2003,"&lt;="&amp;$AF$2))</f>
        <v/>
      </c>
      <c r="E195" s="25" t="str">
        <f>IF(OR($B195="",_自动清单!$G$6=""),"",SUMIFS(包装物料出入库明细!$J$4:$J$2003,包装物料出入库明细!$D$4:$D$2003,$B195,包装物料出入库明细!$E$4:$E$2003,_自动清单!$G$6,包装物料出入库明细!$B$4:$B$2003,"&gt;="&amp;$AF$1,包装物料出入库明细!$B$4:$B$2003,"&lt;="&amp;$AF$2))</f>
        <v/>
      </c>
      <c r="F195" s="25" t="str">
        <f>IF(OR($B195="",_自动清单!$G$7=""),"",SUMIFS(包装物料出入库明细!$J$4:$J$2003,包装物料出入库明细!$D$4:$D$2003,$B195,包装物料出入库明细!$E$4:$E$2003,_自动清单!$G$7,包装物料出入库明细!$B$4:$B$2003,"&gt;="&amp;$AF$1,包装物料出入库明细!$B$4:$B$2003,"&lt;="&amp;$AF$2))</f>
        <v/>
      </c>
      <c r="G195" s="25" t="str">
        <f>IF(OR($B195="",_自动清单!$G$8=""),"",SUMIFS(包装物料出入库明细!$J$4:$J$2003,包装物料出入库明细!$D$4:$D$2003,$B195,包装物料出入库明细!$E$4:$E$2003,_自动清单!$G$8,包装物料出入库明细!$B$4:$B$2003,"&gt;="&amp;$AF$1,包装物料出入库明细!$B$4:$B$2003,"&lt;="&amp;$AF$2))</f>
        <v/>
      </c>
      <c r="H195" s="25" t="str">
        <f>IF(OR($B195="",_自动清单!$G$9=""),"",SUMIFS(包装物料出入库明细!$J$4:$J$2003,包装物料出入库明细!$D$4:$D$2003,$B195,包装物料出入库明细!$E$4:$E$2003,_自动清单!$G$9,包装物料出入库明细!$B$4:$B$2003,"&gt;="&amp;$AF$1,包装物料出入库明细!$B$4:$B$2003,"&lt;="&amp;$AF$2))</f>
        <v/>
      </c>
      <c r="I195" s="25" t="str">
        <f>IF(OR($B195="",_自动清单!$G$10=""),"",SUMIFS(包装物料出入库明细!$J$4:$J$2003,包装物料出入库明细!$D$4:$D$2003,$B195,包装物料出入库明细!$E$4:$E$2003,_自动清单!$G$10,包装物料出入库明细!$B$4:$B$2003,"&gt;="&amp;$AF$1,包装物料出入库明细!$B$4:$B$2003,"&lt;="&amp;$AF$2))</f>
        <v/>
      </c>
      <c r="J195" s="25" t="str">
        <f>IF(OR($B195="",_自动清单!$G$11=""),"",SUMIFS(包装物料出入库明细!$J$4:$J$2003,包装物料出入库明细!$D$4:$D$2003,$B195,包装物料出入库明细!$E$4:$E$2003,_自动清单!$G$11,包装物料出入库明细!$B$4:$B$2003,"&gt;="&amp;$AF$1,包装物料出入库明细!$B$4:$B$2003,"&lt;="&amp;$AF$2))</f>
        <v/>
      </c>
      <c r="K195" s="25" t="str">
        <f>IF(OR($B195="",_自动清单!$G$12=""),"",SUMIFS(包装物料出入库明细!$J$4:$J$2003,包装物料出入库明细!$D$4:$D$2003,$B195,包装物料出入库明细!$E$4:$E$2003,_自动清单!$G$12,包装物料出入库明细!$B$4:$B$2003,"&gt;="&amp;$AF$1,包装物料出入库明细!$B$4:$B$2003,"&lt;="&amp;$AF$2))</f>
        <v/>
      </c>
      <c r="L195" s="25" t="str">
        <f>IF(OR($B195="",_自动清单!$G$13=""),"",SUMIFS(包装物料出入库明细!$J$4:$J$2003,包装物料出入库明细!$D$4:$D$2003,$B195,包装物料出入库明细!$E$4:$E$2003,_自动清单!$G$13,包装物料出入库明细!$B$4:$B$2003,"&gt;="&amp;$AF$1,包装物料出入库明细!$B$4:$B$2003,"&lt;="&amp;$AF$2))</f>
        <v/>
      </c>
      <c r="M195" s="25" t="str">
        <f>IF(OR($B195="",_自动清单!$G$14=""),"",SUMIFS(包装物料出入库明细!$J$4:$J$2003,包装物料出入库明细!$D$4:$D$2003,$B195,包装物料出入库明细!$E$4:$E$2003,_自动清单!$G$14,包装物料出入库明细!$B$4:$B$2003,"&gt;="&amp;$AF$1,包装物料出入库明细!$B$4:$B$2003,"&lt;="&amp;$AF$2))</f>
        <v/>
      </c>
      <c r="N195" s="25" t="str">
        <f>IF(OR($B195="",_自动清单!$G$15=""),"",SUMIFS(包装物料出入库明细!$J$4:$J$2003,包装物料出入库明细!$D$4:$D$2003,$B195,包装物料出入库明细!$E$4:$E$2003,_自动清单!$G$15,包装物料出入库明细!$B$4:$B$2003,"&gt;="&amp;$AF$1,包装物料出入库明细!$B$4:$B$2003,"&lt;="&amp;$AF$2))</f>
        <v/>
      </c>
      <c r="O195" s="25" t="str">
        <f>IF(OR($B195="",_自动清单!$G$16=""),"",SUMIFS(包装物料出入库明细!$J$4:$J$2003,包装物料出入库明细!$D$4:$D$2003,$B195,包装物料出入库明细!$E$4:$E$2003,_自动清单!$G$16,包装物料出入库明细!$B$4:$B$2003,"&gt;="&amp;$AF$1,包装物料出入库明细!$B$4:$B$2003,"&lt;="&amp;$AF$2))</f>
        <v/>
      </c>
      <c r="P195" s="25" t="str">
        <f>IF(OR($B195="",_自动清单!$G$17=""),"",SUMIFS(包装物料出入库明细!$J$4:$J$2003,包装物料出入库明细!$D$4:$D$2003,$B195,包装物料出入库明细!$E$4:$E$2003,_自动清单!$G$17,包装物料出入库明细!$B$4:$B$2003,"&gt;="&amp;$AF$1,包装物料出入库明细!$B$4:$B$2003,"&lt;="&amp;$AF$2))</f>
        <v/>
      </c>
      <c r="Q195" s="25" t="str">
        <f>IF(OR($B195="",_自动清单!$G$18=""),"",SUMIFS(包装物料出入库明细!$J$4:$J$2003,包装物料出入库明细!$D$4:$D$2003,$B195,包装物料出入库明细!$E$4:$E$2003,_自动清单!$G$18,包装物料出入库明细!$B$4:$B$2003,"&gt;="&amp;$AF$1,包装物料出入库明细!$B$4:$B$2003,"&lt;="&amp;$AF$2))</f>
        <v/>
      </c>
      <c r="R195" s="25" t="str">
        <f>IF(OR($B195="",_自动清单!$G$19=""),"",SUMIFS(包装物料出入库明细!$J$4:$J$2003,包装物料出入库明细!$D$4:$D$2003,$B195,包装物料出入库明细!$E$4:$E$2003,_自动清单!$G$19,包装物料出入库明细!$B$4:$B$2003,"&gt;="&amp;$AF$1,包装物料出入库明细!$B$4:$B$2003,"&lt;="&amp;$AF$2))</f>
        <v/>
      </c>
      <c r="S195" s="25" t="str">
        <f>IF(OR($B195="",_自动清单!$G$20=""),"",SUMIFS(包装物料出入库明细!$J$4:$J$2003,包装物料出入库明细!$D$4:$D$2003,$B195,包装物料出入库明细!$E$4:$E$2003,_自动清单!$G$20,包装物料出入库明细!$B$4:$B$2003,"&gt;="&amp;$AF$1,包装物料出入库明细!$B$4:$B$2003,"&lt;="&amp;$AF$2))</f>
        <v/>
      </c>
      <c r="T195" s="25" t="str">
        <f>IF(OR($B195="",_自动清单!$G$21=""),"",SUMIFS(包装物料出入库明细!$J$4:$J$2003,包装物料出入库明细!$D$4:$D$2003,$B195,包装物料出入库明细!$E$4:$E$2003,_自动清单!$G$21,包装物料出入库明细!$B$4:$B$2003,"&gt;="&amp;$AF$1,包装物料出入库明细!$B$4:$B$2003,"&lt;="&amp;$AF$2))</f>
        <v/>
      </c>
      <c r="U195" s="25" t="str">
        <f>IF($B195="","",SUMIFS(包装物料出入库明细!$J$4:$J$2003,包装物料出入库明细!$D$4:$D$2003,$B195,包装物料出入库明细!$B$4:$B$2003,"&gt;="&amp;$AF$1,包装物料出入库明细!$B$4:$B$2003,"&lt;="&amp;$AF$2)-SUM($C195:$T195))</f>
        <v/>
      </c>
      <c r="V195" s="25" t="str">
        <f t="shared" si="9"/>
        <v/>
      </c>
      <c r="W195" s="56" t="str">
        <f>IF($B195="","",SUMIFS(包装物料出入库明细!$K$4:$K$2003,包装物料出入库明细!$D$4:$D$2003,$B195,包装物料出入库明细!$B$4:$B$2003,"&gt;="&amp;$AF$1,包装物料出入库明细!$B$4:$B$2003,"&lt;="&amp;$AF$2))</f>
        <v/>
      </c>
      <c r="X195" s="25" t="str">
        <f t="shared" si="10"/>
        <v/>
      </c>
      <c r="Y195" s="26" t="str">
        <f>IF($B195="","",ROUND(SUMIFS(包装物料出入库明细!$N$4:$N$2003,包装物料出入库明细!$D$4:$D$2003,$B195,包装物料出入库明细!$H$4:$H$2003,"销售出库",包装物料出入库明细!$B$4:$B$2003,"&gt;="&amp;$AF$1,包装物料出入库明细!$B$4:$B$2003,"&lt;="&amp;$AF$2),2))</f>
        <v/>
      </c>
      <c r="Z195" s="26" t="str">
        <f>IF($B195="","",ROUND(SUMIFS(包装物料出入库明细!$N$4:$N$2003,包装物料出入库明细!$D$4:$D$2003,$B195,包装物料出入库明细!$H$4:$H$2003,"销售出库",包装物料出入库明细!$P$4:$P$2003,"已收讫",包装物料出入库明细!$B$4:$B$2003,"&gt;="&amp;$AF$1,包装物料出入库明细!$B$4:$B$2003,"&lt;="&amp;$AF$2),2))</f>
        <v/>
      </c>
      <c r="AA195" s="26" t="str">
        <f t="shared" si="11"/>
        <v/>
      </c>
      <c r="AB195" s="41"/>
    </row>
    <row r="196" spans="1:28">
      <c r="A196" s="24" t="str">
        <f t="shared" ref="A196:A203" si="12">IF($B196="","",ROW()-3)</f>
        <v/>
      </c>
      <c r="B196" s="24" t="str">
        <f>IFERROR(INDEX(_自动清单!$O$4:$O$203,ROW()-3),"")</f>
        <v/>
      </c>
      <c r="C196" s="25" t="str">
        <f>IF(OR($B196="",_自动清单!$G$4=""),"",SUMIFS(包装物料出入库明细!$J$4:$J$2003,包装物料出入库明细!$D$4:$D$2003,$B196,包装物料出入库明细!$E$4:$E$2003,_自动清单!$G$4,包装物料出入库明细!$B$4:$B$2003,"&gt;="&amp;$AF$1,包装物料出入库明细!$B$4:$B$2003,"&lt;="&amp;$AF$2))</f>
        <v/>
      </c>
      <c r="D196" s="25" t="str">
        <f>IF(OR($B196="",_自动清单!$G$5=""),"",SUMIFS(包装物料出入库明细!$J$4:$J$2003,包装物料出入库明细!$D$4:$D$2003,$B196,包装物料出入库明细!$E$4:$E$2003,_自动清单!$G$5,包装物料出入库明细!$B$4:$B$2003,"&gt;="&amp;$AF$1,包装物料出入库明细!$B$4:$B$2003,"&lt;="&amp;$AF$2))</f>
        <v/>
      </c>
      <c r="E196" s="25" t="str">
        <f>IF(OR($B196="",_自动清单!$G$6=""),"",SUMIFS(包装物料出入库明细!$J$4:$J$2003,包装物料出入库明细!$D$4:$D$2003,$B196,包装物料出入库明细!$E$4:$E$2003,_自动清单!$G$6,包装物料出入库明细!$B$4:$B$2003,"&gt;="&amp;$AF$1,包装物料出入库明细!$B$4:$B$2003,"&lt;="&amp;$AF$2))</f>
        <v/>
      </c>
      <c r="F196" s="25" t="str">
        <f>IF(OR($B196="",_自动清单!$G$7=""),"",SUMIFS(包装物料出入库明细!$J$4:$J$2003,包装物料出入库明细!$D$4:$D$2003,$B196,包装物料出入库明细!$E$4:$E$2003,_自动清单!$G$7,包装物料出入库明细!$B$4:$B$2003,"&gt;="&amp;$AF$1,包装物料出入库明细!$B$4:$B$2003,"&lt;="&amp;$AF$2))</f>
        <v/>
      </c>
      <c r="G196" s="25" t="str">
        <f>IF(OR($B196="",_自动清单!$G$8=""),"",SUMIFS(包装物料出入库明细!$J$4:$J$2003,包装物料出入库明细!$D$4:$D$2003,$B196,包装物料出入库明细!$E$4:$E$2003,_自动清单!$G$8,包装物料出入库明细!$B$4:$B$2003,"&gt;="&amp;$AF$1,包装物料出入库明细!$B$4:$B$2003,"&lt;="&amp;$AF$2))</f>
        <v/>
      </c>
      <c r="H196" s="25" t="str">
        <f>IF(OR($B196="",_自动清单!$G$9=""),"",SUMIFS(包装物料出入库明细!$J$4:$J$2003,包装物料出入库明细!$D$4:$D$2003,$B196,包装物料出入库明细!$E$4:$E$2003,_自动清单!$G$9,包装物料出入库明细!$B$4:$B$2003,"&gt;="&amp;$AF$1,包装物料出入库明细!$B$4:$B$2003,"&lt;="&amp;$AF$2))</f>
        <v/>
      </c>
      <c r="I196" s="25" t="str">
        <f>IF(OR($B196="",_自动清单!$G$10=""),"",SUMIFS(包装物料出入库明细!$J$4:$J$2003,包装物料出入库明细!$D$4:$D$2003,$B196,包装物料出入库明细!$E$4:$E$2003,_自动清单!$G$10,包装物料出入库明细!$B$4:$B$2003,"&gt;="&amp;$AF$1,包装物料出入库明细!$B$4:$B$2003,"&lt;="&amp;$AF$2))</f>
        <v/>
      </c>
      <c r="J196" s="25" t="str">
        <f>IF(OR($B196="",_自动清单!$G$11=""),"",SUMIFS(包装物料出入库明细!$J$4:$J$2003,包装物料出入库明细!$D$4:$D$2003,$B196,包装物料出入库明细!$E$4:$E$2003,_自动清单!$G$11,包装物料出入库明细!$B$4:$B$2003,"&gt;="&amp;$AF$1,包装物料出入库明细!$B$4:$B$2003,"&lt;="&amp;$AF$2))</f>
        <v/>
      </c>
      <c r="K196" s="25" t="str">
        <f>IF(OR($B196="",_自动清单!$G$12=""),"",SUMIFS(包装物料出入库明细!$J$4:$J$2003,包装物料出入库明细!$D$4:$D$2003,$B196,包装物料出入库明细!$E$4:$E$2003,_自动清单!$G$12,包装物料出入库明细!$B$4:$B$2003,"&gt;="&amp;$AF$1,包装物料出入库明细!$B$4:$B$2003,"&lt;="&amp;$AF$2))</f>
        <v/>
      </c>
      <c r="L196" s="25" t="str">
        <f>IF(OR($B196="",_自动清单!$G$13=""),"",SUMIFS(包装物料出入库明细!$J$4:$J$2003,包装物料出入库明细!$D$4:$D$2003,$B196,包装物料出入库明细!$E$4:$E$2003,_自动清单!$G$13,包装物料出入库明细!$B$4:$B$2003,"&gt;="&amp;$AF$1,包装物料出入库明细!$B$4:$B$2003,"&lt;="&amp;$AF$2))</f>
        <v/>
      </c>
      <c r="M196" s="25" t="str">
        <f>IF(OR($B196="",_自动清单!$G$14=""),"",SUMIFS(包装物料出入库明细!$J$4:$J$2003,包装物料出入库明细!$D$4:$D$2003,$B196,包装物料出入库明细!$E$4:$E$2003,_自动清单!$G$14,包装物料出入库明细!$B$4:$B$2003,"&gt;="&amp;$AF$1,包装物料出入库明细!$B$4:$B$2003,"&lt;="&amp;$AF$2))</f>
        <v/>
      </c>
      <c r="N196" s="25" t="str">
        <f>IF(OR($B196="",_自动清单!$G$15=""),"",SUMIFS(包装物料出入库明细!$J$4:$J$2003,包装物料出入库明细!$D$4:$D$2003,$B196,包装物料出入库明细!$E$4:$E$2003,_自动清单!$G$15,包装物料出入库明细!$B$4:$B$2003,"&gt;="&amp;$AF$1,包装物料出入库明细!$B$4:$B$2003,"&lt;="&amp;$AF$2))</f>
        <v/>
      </c>
      <c r="O196" s="25" t="str">
        <f>IF(OR($B196="",_自动清单!$G$16=""),"",SUMIFS(包装物料出入库明细!$J$4:$J$2003,包装物料出入库明细!$D$4:$D$2003,$B196,包装物料出入库明细!$E$4:$E$2003,_自动清单!$G$16,包装物料出入库明细!$B$4:$B$2003,"&gt;="&amp;$AF$1,包装物料出入库明细!$B$4:$B$2003,"&lt;="&amp;$AF$2))</f>
        <v/>
      </c>
      <c r="P196" s="25" t="str">
        <f>IF(OR($B196="",_自动清单!$G$17=""),"",SUMIFS(包装物料出入库明细!$J$4:$J$2003,包装物料出入库明细!$D$4:$D$2003,$B196,包装物料出入库明细!$E$4:$E$2003,_自动清单!$G$17,包装物料出入库明细!$B$4:$B$2003,"&gt;="&amp;$AF$1,包装物料出入库明细!$B$4:$B$2003,"&lt;="&amp;$AF$2))</f>
        <v/>
      </c>
      <c r="Q196" s="25" t="str">
        <f>IF(OR($B196="",_自动清单!$G$18=""),"",SUMIFS(包装物料出入库明细!$J$4:$J$2003,包装物料出入库明细!$D$4:$D$2003,$B196,包装物料出入库明细!$E$4:$E$2003,_自动清单!$G$18,包装物料出入库明细!$B$4:$B$2003,"&gt;="&amp;$AF$1,包装物料出入库明细!$B$4:$B$2003,"&lt;="&amp;$AF$2))</f>
        <v/>
      </c>
      <c r="R196" s="25" t="str">
        <f>IF(OR($B196="",_自动清单!$G$19=""),"",SUMIFS(包装物料出入库明细!$J$4:$J$2003,包装物料出入库明细!$D$4:$D$2003,$B196,包装物料出入库明细!$E$4:$E$2003,_自动清单!$G$19,包装物料出入库明细!$B$4:$B$2003,"&gt;="&amp;$AF$1,包装物料出入库明细!$B$4:$B$2003,"&lt;="&amp;$AF$2))</f>
        <v/>
      </c>
      <c r="S196" s="25" t="str">
        <f>IF(OR($B196="",_自动清单!$G$20=""),"",SUMIFS(包装物料出入库明细!$J$4:$J$2003,包装物料出入库明细!$D$4:$D$2003,$B196,包装物料出入库明细!$E$4:$E$2003,_自动清单!$G$20,包装物料出入库明细!$B$4:$B$2003,"&gt;="&amp;$AF$1,包装物料出入库明细!$B$4:$B$2003,"&lt;="&amp;$AF$2))</f>
        <v/>
      </c>
      <c r="T196" s="25" t="str">
        <f>IF(OR($B196="",_自动清单!$G$21=""),"",SUMIFS(包装物料出入库明细!$J$4:$J$2003,包装物料出入库明细!$D$4:$D$2003,$B196,包装物料出入库明细!$E$4:$E$2003,_自动清单!$G$21,包装物料出入库明细!$B$4:$B$2003,"&gt;="&amp;$AF$1,包装物料出入库明细!$B$4:$B$2003,"&lt;="&amp;$AF$2))</f>
        <v/>
      </c>
      <c r="U196" s="25" t="str">
        <f>IF($B196="","",SUMIFS(包装物料出入库明细!$J$4:$J$2003,包装物料出入库明细!$D$4:$D$2003,$B196,包装物料出入库明细!$B$4:$B$2003,"&gt;="&amp;$AF$1,包装物料出入库明细!$B$4:$B$2003,"&lt;="&amp;$AF$2)-SUM($C196:$T196))</f>
        <v/>
      </c>
      <c r="V196" s="25" t="str">
        <f t="shared" ref="V196:V203" si="13">IF($B196="","",SUM($C196:$U196))</f>
        <v/>
      </c>
      <c r="W196" s="56" t="str">
        <f>IF($B196="","",SUMIFS(包装物料出入库明细!$K$4:$K$2003,包装物料出入库明细!$D$4:$D$2003,$B196,包装物料出入库明细!$B$4:$B$2003,"&gt;="&amp;$AF$1,包装物料出入库明细!$B$4:$B$2003,"&lt;="&amp;$AF$2))</f>
        <v/>
      </c>
      <c r="X196" s="25" t="str">
        <f t="shared" ref="X196:X203" si="14">IF($B196="","",N($V196)-N($W196))</f>
        <v/>
      </c>
      <c r="Y196" s="26" t="str">
        <f>IF($B196="","",ROUND(SUMIFS(包装物料出入库明细!$N$4:$N$2003,包装物料出入库明细!$D$4:$D$2003,$B196,包装物料出入库明细!$H$4:$H$2003,"销售出库",包装物料出入库明细!$B$4:$B$2003,"&gt;="&amp;$AF$1,包装物料出入库明细!$B$4:$B$2003,"&lt;="&amp;$AF$2),2))</f>
        <v/>
      </c>
      <c r="Z196" s="26" t="str">
        <f>IF($B196="","",ROUND(SUMIFS(包装物料出入库明细!$N$4:$N$2003,包装物料出入库明细!$D$4:$D$2003,$B196,包装物料出入库明细!$H$4:$H$2003,"销售出库",包装物料出入库明细!$P$4:$P$2003,"已收讫",包装物料出入库明细!$B$4:$B$2003,"&gt;="&amp;$AF$1,包装物料出入库明细!$B$4:$B$2003,"&lt;="&amp;$AF$2),2))</f>
        <v/>
      </c>
      <c r="AA196" s="26" t="str">
        <f t="shared" ref="AA196:AA203" si="15">IF($B196="","",ROUND(N($Y196)-N($Z196),2))</f>
        <v/>
      </c>
      <c r="AB196" s="41"/>
    </row>
    <row r="197" spans="1:28">
      <c r="A197" s="24" t="str">
        <f t="shared" si="12"/>
        <v/>
      </c>
      <c r="B197" s="24" t="str">
        <f>IFERROR(INDEX(_自动清单!$O$4:$O$203,ROW()-3),"")</f>
        <v/>
      </c>
      <c r="C197" s="25" t="str">
        <f>IF(OR($B197="",_自动清单!$G$4=""),"",SUMIFS(包装物料出入库明细!$J$4:$J$2003,包装物料出入库明细!$D$4:$D$2003,$B197,包装物料出入库明细!$E$4:$E$2003,_自动清单!$G$4,包装物料出入库明细!$B$4:$B$2003,"&gt;="&amp;$AF$1,包装物料出入库明细!$B$4:$B$2003,"&lt;="&amp;$AF$2))</f>
        <v/>
      </c>
      <c r="D197" s="25" t="str">
        <f>IF(OR($B197="",_自动清单!$G$5=""),"",SUMIFS(包装物料出入库明细!$J$4:$J$2003,包装物料出入库明细!$D$4:$D$2003,$B197,包装物料出入库明细!$E$4:$E$2003,_自动清单!$G$5,包装物料出入库明细!$B$4:$B$2003,"&gt;="&amp;$AF$1,包装物料出入库明细!$B$4:$B$2003,"&lt;="&amp;$AF$2))</f>
        <v/>
      </c>
      <c r="E197" s="25" t="str">
        <f>IF(OR($B197="",_自动清单!$G$6=""),"",SUMIFS(包装物料出入库明细!$J$4:$J$2003,包装物料出入库明细!$D$4:$D$2003,$B197,包装物料出入库明细!$E$4:$E$2003,_自动清单!$G$6,包装物料出入库明细!$B$4:$B$2003,"&gt;="&amp;$AF$1,包装物料出入库明细!$B$4:$B$2003,"&lt;="&amp;$AF$2))</f>
        <v/>
      </c>
      <c r="F197" s="25" t="str">
        <f>IF(OR($B197="",_自动清单!$G$7=""),"",SUMIFS(包装物料出入库明细!$J$4:$J$2003,包装物料出入库明细!$D$4:$D$2003,$B197,包装物料出入库明细!$E$4:$E$2003,_自动清单!$G$7,包装物料出入库明细!$B$4:$B$2003,"&gt;="&amp;$AF$1,包装物料出入库明细!$B$4:$B$2003,"&lt;="&amp;$AF$2))</f>
        <v/>
      </c>
      <c r="G197" s="25" t="str">
        <f>IF(OR($B197="",_自动清单!$G$8=""),"",SUMIFS(包装物料出入库明细!$J$4:$J$2003,包装物料出入库明细!$D$4:$D$2003,$B197,包装物料出入库明细!$E$4:$E$2003,_自动清单!$G$8,包装物料出入库明细!$B$4:$B$2003,"&gt;="&amp;$AF$1,包装物料出入库明细!$B$4:$B$2003,"&lt;="&amp;$AF$2))</f>
        <v/>
      </c>
      <c r="H197" s="25" t="str">
        <f>IF(OR($B197="",_自动清单!$G$9=""),"",SUMIFS(包装物料出入库明细!$J$4:$J$2003,包装物料出入库明细!$D$4:$D$2003,$B197,包装物料出入库明细!$E$4:$E$2003,_自动清单!$G$9,包装物料出入库明细!$B$4:$B$2003,"&gt;="&amp;$AF$1,包装物料出入库明细!$B$4:$B$2003,"&lt;="&amp;$AF$2))</f>
        <v/>
      </c>
      <c r="I197" s="25" t="str">
        <f>IF(OR($B197="",_自动清单!$G$10=""),"",SUMIFS(包装物料出入库明细!$J$4:$J$2003,包装物料出入库明细!$D$4:$D$2003,$B197,包装物料出入库明细!$E$4:$E$2003,_自动清单!$G$10,包装物料出入库明细!$B$4:$B$2003,"&gt;="&amp;$AF$1,包装物料出入库明细!$B$4:$B$2003,"&lt;="&amp;$AF$2))</f>
        <v/>
      </c>
      <c r="J197" s="25" t="str">
        <f>IF(OR($B197="",_自动清单!$G$11=""),"",SUMIFS(包装物料出入库明细!$J$4:$J$2003,包装物料出入库明细!$D$4:$D$2003,$B197,包装物料出入库明细!$E$4:$E$2003,_自动清单!$G$11,包装物料出入库明细!$B$4:$B$2003,"&gt;="&amp;$AF$1,包装物料出入库明细!$B$4:$B$2003,"&lt;="&amp;$AF$2))</f>
        <v/>
      </c>
      <c r="K197" s="25" t="str">
        <f>IF(OR($B197="",_自动清单!$G$12=""),"",SUMIFS(包装物料出入库明细!$J$4:$J$2003,包装物料出入库明细!$D$4:$D$2003,$B197,包装物料出入库明细!$E$4:$E$2003,_自动清单!$G$12,包装物料出入库明细!$B$4:$B$2003,"&gt;="&amp;$AF$1,包装物料出入库明细!$B$4:$B$2003,"&lt;="&amp;$AF$2))</f>
        <v/>
      </c>
      <c r="L197" s="25" t="str">
        <f>IF(OR($B197="",_自动清单!$G$13=""),"",SUMIFS(包装物料出入库明细!$J$4:$J$2003,包装物料出入库明细!$D$4:$D$2003,$B197,包装物料出入库明细!$E$4:$E$2003,_自动清单!$G$13,包装物料出入库明细!$B$4:$B$2003,"&gt;="&amp;$AF$1,包装物料出入库明细!$B$4:$B$2003,"&lt;="&amp;$AF$2))</f>
        <v/>
      </c>
      <c r="M197" s="25" t="str">
        <f>IF(OR($B197="",_自动清单!$G$14=""),"",SUMIFS(包装物料出入库明细!$J$4:$J$2003,包装物料出入库明细!$D$4:$D$2003,$B197,包装物料出入库明细!$E$4:$E$2003,_自动清单!$G$14,包装物料出入库明细!$B$4:$B$2003,"&gt;="&amp;$AF$1,包装物料出入库明细!$B$4:$B$2003,"&lt;="&amp;$AF$2))</f>
        <v/>
      </c>
      <c r="N197" s="25" t="str">
        <f>IF(OR($B197="",_自动清单!$G$15=""),"",SUMIFS(包装物料出入库明细!$J$4:$J$2003,包装物料出入库明细!$D$4:$D$2003,$B197,包装物料出入库明细!$E$4:$E$2003,_自动清单!$G$15,包装物料出入库明细!$B$4:$B$2003,"&gt;="&amp;$AF$1,包装物料出入库明细!$B$4:$B$2003,"&lt;="&amp;$AF$2))</f>
        <v/>
      </c>
      <c r="O197" s="25" t="str">
        <f>IF(OR($B197="",_自动清单!$G$16=""),"",SUMIFS(包装物料出入库明细!$J$4:$J$2003,包装物料出入库明细!$D$4:$D$2003,$B197,包装物料出入库明细!$E$4:$E$2003,_自动清单!$G$16,包装物料出入库明细!$B$4:$B$2003,"&gt;="&amp;$AF$1,包装物料出入库明细!$B$4:$B$2003,"&lt;="&amp;$AF$2))</f>
        <v/>
      </c>
      <c r="P197" s="25" t="str">
        <f>IF(OR($B197="",_自动清单!$G$17=""),"",SUMIFS(包装物料出入库明细!$J$4:$J$2003,包装物料出入库明细!$D$4:$D$2003,$B197,包装物料出入库明细!$E$4:$E$2003,_自动清单!$G$17,包装物料出入库明细!$B$4:$B$2003,"&gt;="&amp;$AF$1,包装物料出入库明细!$B$4:$B$2003,"&lt;="&amp;$AF$2))</f>
        <v/>
      </c>
      <c r="Q197" s="25" t="str">
        <f>IF(OR($B197="",_自动清单!$G$18=""),"",SUMIFS(包装物料出入库明细!$J$4:$J$2003,包装物料出入库明细!$D$4:$D$2003,$B197,包装物料出入库明细!$E$4:$E$2003,_自动清单!$G$18,包装物料出入库明细!$B$4:$B$2003,"&gt;="&amp;$AF$1,包装物料出入库明细!$B$4:$B$2003,"&lt;="&amp;$AF$2))</f>
        <v/>
      </c>
      <c r="R197" s="25" t="str">
        <f>IF(OR($B197="",_自动清单!$G$19=""),"",SUMIFS(包装物料出入库明细!$J$4:$J$2003,包装物料出入库明细!$D$4:$D$2003,$B197,包装物料出入库明细!$E$4:$E$2003,_自动清单!$G$19,包装物料出入库明细!$B$4:$B$2003,"&gt;="&amp;$AF$1,包装物料出入库明细!$B$4:$B$2003,"&lt;="&amp;$AF$2))</f>
        <v/>
      </c>
      <c r="S197" s="25" t="str">
        <f>IF(OR($B197="",_自动清单!$G$20=""),"",SUMIFS(包装物料出入库明细!$J$4:$J$2003,包装物料出入库明细!$D$4:$D$2003,$B197,包装物料出入库明细!$E$4:$E$2003,_自动清单!$G$20,包装物料出入库明细!$B$4:$B$2003,"&gt;="&amp;$AF$1,包装物料出入库明细!$B$4:$B$2003,"&lt;="&amp;$AF$2))</f>
        <v/>
      </c>
      <c r="T197" s="25" t="str">
        <f>IF(OR($B197="",_自动清单!$G$21=""),"",SUMIFS(包装物料出入库明细!$J$4:$J$2003,包装物料出入库明细!$D$4:$D$2003,$B197,包装物料出入库明细!$E$4:$E$2003,_自动清单!$G$21,包装物料出入库明细!$B$4:$B$2003,"&gt;="&amp;$AF$1,包装物料出入库明细!$B$4:$B$2003,"&lt;="&amp;$AF$2))</f>
        <v/>
      </c>
      <c r="U197" s="25" t="str">
        <f>IF($B197="","",SUMIFS(包装物料出入库明细!$J$4:$J$2003,包装物料出入库明细!$D$4:$D$2003,$B197,包装物料出入库明细!$B$4:$B$2003,"&gt;="&amp;$AF$1,包装物料出入库明细!$B$4:$B$2003,"&lt;="&amp;$AF$2)-SUM($C197:$T197))</f>
        <v/>
      </c>
      <c r="V197" s="25" t="str">
        <f t="shared" si="13"/>
        <v/>
      </c>
      <c r="W197" s="56" t="str">
        <f>IF($B197="","",SUMIFS(包装物料出入库明细!$K$4:$K$2003,包装物料出入库明细!$D$4:$D$2003,$B197,包装物料出入库明细!$B$4:$B$2003,"&gt;="&amp;$AF$1,包装物料出入库明细!$B$4:$B$2003,"&lt;="&amp;$AF$2))</f>
        <v/>
      </c>
      <c r="X197" s="25" t="str">
        <f t="shared" si="14"/>
        <v/>
      </c>
      <c r="Y197" s="26" t="str">
        <f>IF($B197="","",ROUND(SUMIFS(包装物料出入库明细!$N$4:$N$2003,包装物料出入库明细!$D$4:$D$2003,$B197,包装物料出入库明细!$H$4:$H$2003,"销售出库",包装物料出入库明细!$B$4:$B$2003,"&gt;="&amp;$AF$1,包装物料出入库明细!$B$4:$B$2003,"&lt;="&amp;$AF$2),2))</f>
        <v/>
      </c>
      <c r="Z197" s="26" t="str">
        <f>IF($B197="","",ROUND(SUMIFS(包装物料出入库明细!$N$4:$N$2003,包装物料出入库明细!$D$4:$D$2003,$B197,包装物料出入库明细!$H$4:$H$2003,"销售出库",包装物料出入库明细!$P$4:$P$2003,"已收讫",包装物料出入库明细!$B$4:$B$2003,"&gt;="&amp;$AF$1,包装物料出入库明细!$B$4:$B$2003,"&lt;="&amp;$AF$2),2))</f>
        <v/>
      </c>
      <c r="AA197" s="26" t="str">
        <f t="shared" si="15"/>
        <v/>
      </c>
      <c r="AB197" s="41"/>
    </row>
    <row r="198" spans="1:28">
      <c r="A198" s="24" t="str">
        <f t="shared" si="12"/>
        <v/>
      </c>
      <c r="B198" s="24" t="str">
        <f>IFERROR(INDEX(_自动清单!$O$4:$O$203,ROW()-3),"")</f>
        <v/>
      </c>
      <c r="C198" s="25" t="str">
        <f>IF(OR($B198="",_自动清单!$G$4=""),"",SUMIFS(包装物料出入库明细!$J$4:$J$2003,包装物料出入库明细!$D$4:$D$2003,$B198,包装物料出入库明细!$E$4:$E$2003,_自动清单!$G$4,包装物料出入库明细!$B$4:$B$2003,"&gt;="&amp;$AF$1,包装物料出入库明细!$B$4:$B$2003,"&lt;="&amp;$AF$2))</f>
        <v/>
      </c>
      <c r="D198" s="25" t="str">
        <f>IF(OR($B198="",_自动清单!$G$5=""),"",SUMIFS(包装物料出入库明细!$J$4:$J$2003,包装物料出入库明细!$D$4:$D$2003,$B198,包装物料出入库明细!$E$4:$E$2003,_自动清单!$G$5,包装物料出入库明细!$B$4:$B$2003,"&gt;="&amp;$AF$1,包装物料出入库明细!$B$4:$B$2003,"&lt;="&amp;$AF$2))</f>
        <v/>
      </c>
      <c r="E198" s="25" t="str">
        <f>IF(OR($B198="",_自动清单!$G$6=""),"",SUMIFS(包装物料出入库明细!$J$4:$J$2003,包装物料出入库明细!$D$4:$D$2003,$B198,包装物料出入库明细!$E$4:$E$2003,_自动清单!$G$6,包装物料出入库明细!$B$4:$B$2003,"&gt;="&amp;$AF$1,包装物料出入库明细!$B$4:$B$2003,"&lt;="&amp;$AF$2))</f>
        <v/>
      </c>
      <c r="F198" s="25" t="str">
        <f>IF(OR($B198="",_自动清单!$G$7=""),"",SUMIFS(包装物料出入库明细!$J$4:$J$2003,包装物料出入库明细!$D$4:$D$2003,$B198,包装物料出入库明细!$E$4:$E$2003,_自动清单!$G$7,包装物料出入库明细!$B$4:$B$2003,"&gt;="&amp;$AF$1,包装物料出入库明细!$B$4:$B$2003,"&lt;="&amp;$AF$2))</f>
        <v/>
      </c>
      <c r="G198" s="25" t="str">
        <f>IF(OR($B198="",_自动清单!$G$8=""),"",SUMIFS(包装物料出入库明细!$J$4:$J$2003,包装物料出入库明细!$D$4:$D$2003,$B198,包装物料出入库明细!$E$4:$E$2003,_自动清单!$G$8,包装物料出入库明细!$B$4:$B$2003,"&gt;="&amp;$AF$1,包装物料出入库明细!$B$4:$B$2003,"&lt;="&amp;$AF$2))</f>
        <v/>
      </c>
      <c r="H198" s="25" t="str">
        <f>IF(OR($B198="",_自动清单!$G$9=""),"",SUMIFS(包装物料出入库明细!$J$4:$J$2003,包装物料出入库明细!$D$4:$D$2003,$B198,包装物料出入库明细!$E$4:$E$2003,_自动清单!$G$9,包装物料出入库明细!$B$4:$B$2003,"&gt;="&amp;$AF$1,包装物料出入库明细!$B$4:$B$2003,"&lt;="&amp;$AF$2))</f>
        <v/>
      </c>
      <c r="I198" s="25" t="str">
        <f>IF(OR($B198="",_自动清单!$G$10=""),"",SUMIFS(包装物料出入库明细!$J$4:$J$2003,包装物料出入库明细!$D$4:$D$2003,$B198,包装物料出入库明细!$E$4:$E$2003,_自动清单!$G$10,包装物料出入库明细!$B$4:$B$2003,"&gt;="&amp;$AF$1,包装物料出入库明细!$B$4:$B$2003,"&lt;="&amp;$AF$2))</f>
        <v/>
      </c>
      <c r="J198" s="25" t="str">
        <f>IF(OR($B198="",_自动清单!$G$11=""),"",SUMIFS(包装物料出入库明细!$J$4:$J$2003,包装物料出入库明细!$D$4:$D$2003,$B198,包装物料出入库明细!$E$4:$E$2003,_自动清单!$G$11,包装物料出入库明细!$B$4:$B$2003,"&gt;="&amp;$AF$1,包装物料出入库明细!$B$4:$B$2003,"&lt;="&amp;$AF$2))</f>
        <v/>
      </c>
      <c r="K198" s="25" t="str">
        <f>IF(OR($B198="",_自动清单!$G$12=""),"",SUMIFS(包装物料出入库明细!$J$4:$J$2003,包装物料出入库明细!$D$4:$D$2003,$B198,包装物料出入库明细!$E$4:$E$2003,_自动清单!$G$12,包装物料出入库明细!$B$4:$B$2003,"&gt;="&amp;$AF$1,包装物料出入库明细!$B$4:$B$2003,"&lt;="&amp;$AF$2))</f>
        <v/>
      </c>
      <c r="L198" s="25" t="str">
        <f>IF(OR($B198="",_自动清单!$G$13=""),"",SUMIFS(包装物料出入库明细!$J$4:$J$2003,包装物料出入库明细!$D$4:$D$2003,$B198,包装物料出入库明细!$E$4:$E$2003,_自动清单!$G$13,包装物料出入库明细!$B$4:$B$2003,"&gt;="&amp;$AF$1,包装物料出入库明细!$B$4:$B$2003,"&lt;="&amp;$AF$2))</f>
        <v/>
      </c>
      <c r="M198" s="25" t="str">
        <f>IF(OR($B198="",_自动清单!$G$14=""),"",SUMIFS(包装物料出入库明细!$J$4:$J$2003,包装物料出入库明细!$D$4:$D$2003,$B198,包装物料出入库明细!$E$4:$E$2003,_自动清单!$G$14,包装物料出入库明细!$B$4:$B$2003,"&gt;="&amp;$AF$1,包装物料出入库明细!$B$4:$B$2003,"&lt;="&amp;$AF$2))</f>
        <v/>
      </c>
      <c r="N198" s="25" t="str">
        <f>IF(OR($B198="",_自动清单!$G$15=""),"",SUMIFS(包装物料出入库明细!$J$4:$J$2003,包装物料出入库明细!$D$4:$D$2003,$B198,包装物料出入库明细!$E$4:$E$2003,_自动清单!$G$15,包装物料出入库明细!$B$4:$B$2003,"&gt;="&amp;$AF$1,包装物料出入库明细!$B$4:$B$2003,"&lt;="&amp;$AF$2))</f>
        <v/>
      </c>
      <c r="O198" s="25" t="str">
        <f>IF(OR($B198="",_自动清单!$G$16=""),"",SUMIFS(包装物料出入库明细!$J$4:$J$2003,包装物料出入库明细!$D$4:$D$2003,$B198,包装物料出入库明细!$E$4:$E$2003,_自动清单!$G$16,包装物料出入库明细!$B$4:$B$2003,"&gt;="&amp;$AF$1,包装物料出入库明细!$B$4:$B$2003,"&lt;="&amp;$AF$2))</f>
        <v/>
      </c>
      <c r="P198" s="25" t="str">
        <f>IF(OR($B198="",_自动清单!$G$17=""),"",SUMIFS(包装物料出入库明细!$J$4:$J$2003,包装物料出入库明细!$D$4:$D$2003,$B198,包装物料出入库明细!$E$4:$E$2003,_自动清单!$G$17,包装物料出入库明细!$B$4:$B$2003,"&gt;="&amp;$AF$1,包装物料出入库明细!$B$4:$B$2003,"&lt;="&amp;$AF$2))</f>
        <v/>
      </c>
      <c r="Q198" s="25" t="str">
        <f>IF(OR($B198="",_自动清单!$G$18=""),"",SUMIFS(包装物料出入库明细!$J$4:$J$2003,包装物料出入库明细!$D$4:$D$2003,$B198,包装物料出入库明细!$E$4:$E$2003,_自动清单!$G$18,包装物料出入库明细!$B$4:$B$2003,"&gt;="&amp;$AF$1,包装物料出入库明细!$B$4:$B$2003,"&lt;="&amp;$AF$2))</f>
        <v/>
      </c>
      <c r="R198" s="25" t="str">
        <f>IF(OR($B198="",_自动清单!$G$19=""),"",SUMIFS(包装物料出入库明细!$J$4:$J$2003,包装物料出入库明细!$D$4:$D$2003,$B198,包装物料出入库明细!$E$4:$E$2003,_自动清单!$G$19,包装物料出入库明细!$B$4:$B$2003,"&gt;="&amp;$AF$1,包装物料出入库明细!$B$4:$B$2003,"&lt;="&amp;$AF$2))</f>
        <v/>
      </c>
      <c r="S198" s="25" t="str">
        <f>IF(OR($B198="",_自动清单!$G$20=""),"",SUMIFS(包装物料出入库明细!$J$4:$J$2003,包装物料出入库明细!$D$4:$D$2003,$B198,包装物料出入库明细!$E$4:$E$2003,_自动清单!$G$20,包装物料出入库明细!$B$4:$B$2003,"&gt;="&amp;$AF$1,包装物料出入库明细!$B$4:$B$2003,"&lt;="&amp;$AF$2))</f>
        <v/>
      </c>
      <c r="T198" s="25" t="str">
        <f>IF(OR($B198="",_自动清单!$G$21=""),"",SUMIFS(包装物料出入库明细!$J$4:$J$2003,包装物料出入库明细!$D$4:$D$2003,$B198,包装物料出入库明细!$E$4:$E$2003,_自动清单!$G$21,包装物料出入库明细!$B$4:$B$2003,"&gt;="&amp;$AF$1,包装物料出入库明细!$B$4:$B$2003,"&lt;="&amp;$AF$2))</f>
        <v/>
      </c>
      <c r="U198" s="25" t="str">
        <f>IF($B198="","",SUMIFS(包装物料出入库明细!$J$4:$J$2003,包装物料出入库明细!$D$4:$D$2003,$B198,包装物料出入库明细!$B$4:$B$2003,"&gt;="&amp;$AF$1,包装物料出入库明细!$B$4:$B$2003,"&lt;="&amp;$AF$2)-SUM($C198:$T198))</f>
        <v/>
      </c>
      <c r="V198" s="25" t="str">
        <f t="shared" si="13"/>
        <v/>
      </c>
      <c r="W198" s="56" t="str">
        <f>IF($B198="","",SUMIFS(包装物料出入库明细!$K$4:$K$2003,包装物料出入库明细!$D$4:$D$2003,$B198,包装物料出入库明细!$B$4:$B$2003,"&gt;="&amp;$AF$1,包装物料出入库明细!$B$4:$B$2003,"&lt;="&amp;$AF$2))</f>
        <v/>
      </c>
      <c r="X198" s="25" t="str">
        <f t="shared" si="14"/>
        <v/>
      </c>
      <c r="Y198" s="26" t="str">
        <f>IF($B198="","",ROUND(SUMIFS(包装物料出入库明细!$N$4:$N$2003,包装物料出入库明细!$D$4:$D$2003,$B198,包装物料出入库明细!$H$4:$H$2003,"销售出库",包装物料出入库明细!$B$4:$B$2003,"&gt;="&amp;$AF$1,包装物料出入库明细!$B$4:$B$2003,"&lt;="&amp;$AF$2),2))</f>
        <v/>
      </c>
      <c r="Z198" s="26" t="str">
        <f>IF($B198="","",ROUND(SUMIFS(包装物料出入库明细!$N$4:$N$2003,包装物料出入库明细!$D$4:$D$2003,$B198,包装物料出入库明细!$H$4:$H$2003,"销售出库",包装物料出入库明细!$P$4:$P$2003,"已收讫",包装物料出入库明细!$B$4:$B$2003,"&gt;="&amp;$AF$1,包装物料出入库明细!$B$4:$B$2003,"&lt;="&amp;$AF$2),2))</f>
        <v/>
      </c>
      <c r="AA198" s="26" t="str">
        <f t="shared" si="15"/>
        <v/>
      </c>
      <c r="AB198" s="41"/>
    </row>
    <row r="199" spans="1:28">
      <c r="A199" s="24" t="str">
        <f t="shared" si="12"/>
        <v/>
      </c>
      <c r="B199" s="24" t="str">
        <f>IFERROR(INDEX(_自动清单!$O$4:$O$203,ROW()-3),"")</f>
        <v/>
      </c>
      <c r="C199" s="25" t="str">
        <f>IF(OR($B199="",_自动清单!$G$4=""),"",SUMIFS(包装物料出入库明细!$J$4:$J$2003,包装物料出入库明细!$D$4:$D$2003,$B199,包装物料出入库明细!$E$4:$E$2003,_自动清单!$G$4,包装物料出入库明细!$B$4:$B$2003,"&gt;="&amp;$AF$1,包装物料出入库明细!$B$4:$B$2003,"&lt;="&amp;$AF$2))</f>
        <v/>
      </c>
      <c r="D199" s="25" t="str">
        <f>IF(OR($B199="",_自动清单!$G$5=""),"",SUMIFS(包装物料出入库明细!$J$4:$J$2003,包装物料出入库明细!$D$4:$D$2003,$B199,包装物料出入库明细!$E$4:$E$2003,_自动清单!$G$5,包装物料出入库明细!$B$4:$B$2003,"&gt;="&amp;$AF$1,包装物料出入库明细!$B$4:$B$2003,"&lt;="&amp;$AF$2))</f>
        <v/>
      </c>
      <c r="E199" s="25" t="str">
        <f>IF(OR($B199="",_自动清单!$G$6=""),"",SUMIFS(包装物料出入库明细!$J$4:$J$2003,包装物料出入库明细!$D$4:$D$2003,$B199,包装物料出入库明细!$E$4:$E$2003,_自动清单!$G$6,包装物料出入库明细!$B$4:$B$2003,"&gt;="&amp;$AF$1,包装物料出入库明细!$B$4:$B$2003,"&lt;="&amp;$AF$2))</f>
        <v/>
      </c>
      <c r="F199" s="25" t="str">
        <f>IF(OR($B199="",_自动清单!$G$7=""),"",SUMIFS(包装物料出入库明细!$J$4:$J$2003,包装物料出入库明细!$D$4:$D$2003,$B199,包装物料出入库明细!$E$4:$E$2003,_自动清单!$G$7,包装物料出入库明细!$B$4:$B$2003,"&gt;="&amp;$AF$1,包装物料出入库明细!$B$4:$B$2003,"&lt;="&amp;$AF$2))</f>
        <v/>
      </c>
      <c r="G199" s="25" t="str">
        <f>IF(OR($B199="",_自动清单!$G$8=""),"",SUMIFS(包装物料出入库明细!$J$4:$J$2003,包装物料出入库明细!$D$4:$D$2003,$B199,包装物料出入库明细!$E$4:$E$2003,_自动清单!$G$8,包装物料出入库明细!$B$4:$B$2003,"&gt;="&amp;$AF$1,包装物料出入库明细!$B$4:$B$2003,"&lt;="&amp;$AF$2))</f>
        <v/>
      </c>
      <c r="H199" s="25" t="str">
        <f>IF(OR($B199="",_自动清单!$G$9=""),"",SUMIFS(包装物料出入库明细!$J$4:$J$2003,包装物料出入库明细!$D$4:$D$2003,$B199,包装物料出入库明细!$E$4:$E$2003,_自动清单!$G$9,包装物料出入库明细!$B$4:$B$2003,"&gt;="&amp;$AF$1,包装物料出入库明细!$B$4:$B$2003,"&lt;="&amp;$AF$2))</f>
        <v/>
      </c>
      <c r="I199" s="25" t="str">
        <f>IF(OR($B199="",_自动清单!$G$10=""),"",SUMIFS(包装物料出入库明细!$J$4:$J$2003,包装物料出入库明细!$D$4:$D$2003,$B199,包装物料出入库明细!$E$4:$E$2003,_自动清单!$G$10,包装物料出入库明细!$B$4:$B$2003,"&gt;="&amp;$AF$1,包装物料出入库明细!$B$4:$B$2003,"&lt;="&amp;$AF$2))</f>
        <v/>
      </c>
      <c r="J199" s="25" t="str">
        <f>IF(OR($B199="",_自动清单!$G$11=""),"",SUMIFS(包装物料出入库明细!$J$4:$J$2003,包装物料出入库明细!$D$4:$D$2003,$B199,包装物料出入库明细!$E$4:$E$2003,_自动清单!$G$11,包装物料出入库明细!$B$4:$B$2003,"&gt;="&amp;$AF$1,包装物料出入库明细!$B$4:$B$2003,"&lt;="&amp;$AF$2))</f>
        <v/>
      </c>
      <c r="K199" s="25" t="str">
        <f>IF(OR($B199="",_自动清单!$G$12=""),"",SUMIFS(包装物料出入库明细!$J$4:$J$2003,包装物料出入库明细!$D$4:$D$2003,$B199,包装物料出入库明细!$E$4:$E$2003,_自动清单!$G$12,包装物料出入库明细!$B$4:$B$2003,"&gt;="&amp;$AF$1,包装物料出入库明细!$B$4:$B$2003,"&lt;="&amp;$AF$2))</f>
        <v/>
      </c>
      <c r="L199" s="25" t="str">
        <f>IF(OR($B199="",_自动清单!$G$13=""),"",SUMIFS(包装物料出入库明细!$J$4:$J$2003,包装物料出入库明细!$D$4:$D$2003,$B199,包装物料出入库明细!$E$4:$E$2003,_自动清单!$G$13,包装物料出入库明细!$B$4:$B$2003,"&gt;="&amp;$AF$1,包装物料出入库明细!$B$4:$B$2003,"&lt;="&amp;$AF$2))</f>
        <v/>
      </c>
      <c r="M199" s="25" t="str">
        <f>IF(OR($B199="",_自动清单!$G$14=""),"",SUMIFS(包装物料出入库明细!$J$4:$J$2003,包装物料出入库明细!$D$4:$D$2003,$B199,包装物料出入库明细!$E$4:$E$2003,_自动清单!$G$14,包装物料出入库明细!$B$4:$B$2003,"&gt;="&amp;$AF$1,包装物料出入库明细!$B$4:$B$2003,"&lt;="&amp;$AF$2))</f>
        <v/>
      </c>
      <c r="N199" s="25" t="str">
        <f>IF(OR($B199="",_自动清单!$G$15=""),"",SUMIFS(包装物料出入库明细!$J$4:$J$2003,包装物料出入库明细!$D$4:$D$2003,$B199,包装物料出入库明细!$E$4:$E$2003,_自动清单!$G$15,包装物料出入库明细!$B$4:$B$2003,"&gt;="&amp;$AF$1,包装物料出入库明细!$B$4:$B$2003,"&lt;="&amp;$AF$2))</f>
        <v/>
      </c>
      <c r="O199" s="25" t="str">
        <f>IF(OR($B199="",_自动清单!$G$16=""),"",SUMIFS(包装物料出入库明细!$J$4:$J$2003,包装物料出入库明细!$D$4:$D$2003,$B199,包装物料出入库明细!$E$4:$E$2003,_自动清单!$G$16,包装物料出入库明细!$B$4:$B$2003,"&gt;="&amp;$AF$1,包装物料出入库明细!$B$4:$B$2003,"&lt;="&amp;$AF$2))</f>
        <v/>
      </c>
      <c r="P199" s="25" t="str">
        <f>IF(OR($B199="",_自动清单!$G$17=""),"",SUMIFS(包装物料出入库明细!$J$4:$J$2003,包装物料出入库明细!$D$4:$D$2003,$B199,包装物料出入库明细!$E$4:$E$2003,_自动清单!$G$17,包装物料出入库明细!$B$4:$B$2003,"&gt;="&amp;$AF$1,包装物料出入库明细!$B$4:$B$2003,"&lt;="&amp;$AF$2))</f>
        <v/>
      </c>
      <c r="Q199" s="25" t="str">
        <f>IF(OR($B199="",_自动清单!$G$18=""),"",SUMIFS(包装物料出入库明细!$J$4:$J$2003,包装物料出入库明细!$D$4:$D$2003,$B199,包装物料出入库明细!$E$4:$E$2003,_自动清单!$G$18,包装物料出入库明细!$B$4:$B$2003,"&gt;="&amp;$AF$1,包装物料出入库明细!$B$4:$B$2003,"&lt;="&amp;$AF$2))</f>
        <v/>
      </c>
      <c r="R199" s="25" t="str">
        <f>IF(OR($B199="",_自动清单!$G$19=""),"",SUMIFS(包装物料出入库明细!$J$4:$J$2003,包装物料出入库明细!$D$4:$D$2003,$B199,包装物料出入库明细!$E$4:$E$2003,_自动清单!$G$19,包装物料出入库明细!$B$4:$B$2003,"&gt;="&amp;$AF$1,包装物料出入库明细!$B$4:$B$2003,"&lt;="&amp;$AF$2))</f>
        <v/>
      </c>
      <c r="S199" s="25" t="str">
        <f>IF(OR($B199="",_自动清单!$G$20=""),"",SUMIFS(包装物料出入库明细!$J$4:$J$2003,包装物料出入库明细!$D$4:$D$2003,$B199,包装物料出入库明细!$E$4:$E$2003,_自动清单!$G$20,包装物料出入库明细!$B$4:$B$2003,"&gt;="&amp;$AF$1,包装物料出入库明细!$B$4:$B$2003,"&lt;="&amp;$AF$2))</f>
        <v/>
      </c>
      <c r="T199" s="25" t="str">
        <f>IF(OR($B199="",_自动清单!$G$21=""),"",SUMIFS(包装物料出入库明细!$J$4:$J$2003,包装物料出入库明细!$D$4:$D$2003,$B199,包装物料出入库明细!$E$4:$E$2003,_自动清单!$G$21,包装物料出入库明细!$B$4:$B$2003,"&gt;="&amp;$AF$1,包装物料出入库明细!$B$4:$B$2003,"&lt;="&amp;$AF$2))</f>
        <v/>
      </c>
      <c r="U199" s="25" t="str">
        <f>IF($B199="","",SUMIFS(包装物料出入库明细!$J$4:$J$2003,包装物料出入库明细!$D$4:$D$2003,$B199,包装物料出入库明细!$B$4:$B$2003,"&gt;="&amp;$AF$1,包装物料出入库明细!$B$4:$B$2003,"&lt;="&amp;$AF$2)-SUM($C199:$T199))</f>
        <v/>
      </c>
      <c r="V199" s="25" t="str">
        <f t="shared" si="13"/>
        <v/>
      </c>
      <c r="W199" s="56" t="str">
        <f>IF($B199="","",SUMIFS(包装物料出入库明细!$K$4:$K$2003,包装物料出入库明细!$D$4:$D$2003,$B199,包装物料出入库明细!$B$4:$B$2003,"&gt;="&amp;$AF$1,包装物料出入库明细!$B$4:$B$2003,"&lt;="&amp;$AF$2))</f>
        <v/>
      </c>
      <c r="X199" s="25" t="str">
        <f t="shared" si="14"/>
        <v/>
      </c>
      <c r="Y199" s="26" t="str">
        <f>IF($B199="","",ROUND(SUMIFS(包装物料出入库明细!$N$4:$N$2003,包装物料出入库明细!$D$4:$D$2003,$B199,包装物料出入库明细!$H$4:$H$2003,"销售出库",包装物料出入库明细!$B$4:$B$2003,"&gt;="&amp;$AF$1,包装物料出入库明细!$B$4:$B$2003,"&lt;="&amp;$AF$2),2))</f>
        <v/>
      </c>
      <c r="Z199" s="26" t="str">
        <f>IF($B199="","",ROUND(SUMIFS(包装物料出入库明细!$N$4:$N$2003,包装物料出入库明细!$D$4:$D$2003,$B199,包装物料出入库明细!$H$4:$H$2003,"销售出库",包装物料出入库明细!$P$4:$P$2003,"已收讫",包装物料出入库明细!$B$4:$B$2003,"&gt;="&amp;$AF$1,包装物料出入库明细!$B$4:$B$2003,"&lt;="&amp;$AF$2),2))</f>
        <v/>
      </c>
      <c r="AA199" s="26" t="str">
        <f t="shared" si="15"/>
        <v/>
      </c>
      <c r="AB199" s="41"/>
    </row>
    <row r="200" spans="1:28">
      <c r="A200" s="24" t="str">
        <f t="shared" si="12"/>
        <v/>
      </c>
      <c r="B200" s="24" t="str">
        <f>IFERROR(INDEX(_自动清单!$O$4:$O$203,ROW()-3),"")</f>
        <v/>
      </c>
      <c r="C200" s="25" t="str">
        <f>IF(OR($B200="",_自动清单!$G$4=""),"",SUMIFS(包装物料出入库明细!$J$4:$J$2003,包装物料出入库明细!$D$4:$D$2003,$B200,包装物料出入库明细!$E$4:$E$2003,_自动清单!$G$4,包装物料出入库明细!$B$4:$B$2003,"&gt;="&amp;$AF$1,包装物料出入库明细!$B$4:$B$2003,"&lt;="&amp;$AF$2))</f>
        <v/>
      </c>
      <c r="D200" s="25" t="str">
        <f>IF(OR($B200="",_自动清单!$G$5=""),"",SUMIFS(包装物料出入库明细!$J$4:$J$2003,包装物料出入库明细!$D$4:$D$2003,$B200,包装物料出入库明细!$E$4:$E$2003,_自动清单!$G$5,包装物料出入库明细!$B$4:$B$2003,"&gt;="&amp;$AF$1,包装物料出入库明细!$B$4:$B$2003,"&lt;="&amp;$AF$2))</f>
        <v/>
      </c>
      <c r="E200" s="25" t="str">
        <f>IF(OR($B200="",_自动清单!$G$6=""),"",SUMIFS(包装物料出入库明细!$J$4:$J$2003,包装物料出入库明细!$D$4:$D$2003,$B200,包装物料出入库明细!$E$4:$E$2003,_自动清单!$G$6,包装物料出入库明细!$B$4:$B$2003,"&gt;="&amp;$AF$1,包装物料出入库明细!$B$4:$B$2003,"&lt;="&amp;$AF$2))</f>
        <v/>
      </c>
      <c r="F200" s="25" t="str">
        <f>IF(OR($B200="",_自动清单!$G$7=""),"",SUMIFS(包装物料出入库明细!$J$4:$J$2003,包装物料出入库明细!$D$4:$D$2003,$B200,包装物料出入库明细!$E$4:$E$2003,_自动清单!$G$7,包装物料出入库明细!$B$4:$B$2003,"&gt;="&amp;$AF$1,包装物料出入库明细!$B$4:$B$2003,"&lt;="&amp;$AF$2))</f>
        <v/>
      </c>
      <c r="G200" s="25" t="str">
        <f>IF(OR($B200="",_自动清单!$G$8=""),"",SUMIFS(包装物料出入库明细!$J$4:$J$2003,包装物料出入库明细!$D$4:$D$2003,$B200,包装物料出入库明细!$E$4:$E$2003,_自动清单!$G$8,包装物料出入库明细!$B$4:$B$2003,"&gt;="&amp;$AF$1,包装物料出入库明细!$B$4:$B$2003,"&lt;="&amp;$AF$2))</f>
        <v/>
      </c>
      <c r="H200" s="25" t="str">
        <f>IF(OR($B200="",_自动清单!$G$9=""),"",SUMIFS(包装物料出入库明细!$J$4:$J$2003,包装物料出入库明细!$D$4:$D$2003,$B200,包装物料出入库明细!$E$4:$E$2003,_自动清单!$G$9,包装物料出入库明细!$B$4:$B$2003,"&gt;="&amp;$AF$1,包装物料出入库明细!$B$4:$B$2003,"&lt;="&amp;$AF$2))</f>
        <v/>
      </c>
      <c r="I200" s="25" t="str">
        <f>IF(OR($B200="",_自动清单!$G$10=""),"",SUMIFS(包装物料出入库明细!$J$4:$J$2003,包装物料出入库明细!$D$4:$D$2003,$B200,包装物料出入库明细!$E$4:$E$2003,_自动清单!$G$10,包装物料出入库明细!$B$4:$B$2003,"&gt;="&amp;$AF$1,包装物料出入库明细!$B$4:$B$2003,"&lt;="&amp;$AF$2))</f>
        <v/>
      </c>
      <c r="J200" s="25" t="str">
        <f>IF(OR($B200="",_自动清单!$G$11=""),"",SUMIFS(包装物料出入库明细!$J$4:$J$2003,包装物料出入库明细!$D$4:$D$2003,$B200,包装物料出入库明细!$E$4:$E$2003,_自动清单!$G$11,包装物料出入库明细!$B$4:$B$2003,"&gt;="&amp;$AF$1,包装物料出入库明细!$B$4:$B$2003,"&lt;="&amp;$AF$2))</f>
        <v/>
      </c>
      <c r="K200" s="25" t="str">
        <f>IF(OR($B200="",_自动清单!$G$12=""),"",SUMIFS(包装物料出入库明细!$J$4:$J$2003,包装物料出入库明细!$D$4:$D$2003,$B200,包装物料出入库明细!$E$4:$E$2003,_自动清单!$G$12,包装物料出入库明细!$B$4:$B$2003,"&gt;="&amp;$AF$1,包装物料出入库明细!$B$4:$B$2003,"&lt;="&amp;$AF$2))</f>
        <v/>
      </c>
      <c r="L200" s="25" t="str">
        <f>IF(OR($B200="",_自动清单!$G$13=""),"",SUMIFS(包装物料出入库明细!$J$4:$J$2003,包装物料出入库明细!$D$4:$D$2003,$B200,包装物料出入库明细!$E$4:$E$2003,_自动清单!$G$13,包装物料出入库明细!$B$4:$B$2003,"&gt;="&amp;$AF$1,包装物料出入库明细!$B$4:$B$2003,"&lt;="&amp;$AF$2))</f>
        <v/>
      </c>
      <c r="M200" s="25" t="str">
        <f>IF(OR($B200="",_自动清单!$G$14=""),"",SUMIFS(包装物料出入库明细!$J$4:$J$2003,包装物料出入库明细!$D$4:$D$2003,$B200,包装物料出入库明细!$E$4:$E$2003,_自动清单!$G$14,包装物料出入库明细!$B$4:$B$2003,"&gt;="&amp;$AF$1,包装物料出入库明细!$B$4:$B$2003,"&lt;="&amp;$AF$2))</f>
        <v/>
      </c>
      <c r="N200" s="25" t="str">
        <f>IF(OR($B200="",_自动清单!$G$15=""),"",SUMIFS(包装物料出入库明细!$J$4:$J$2003,包装物料出入库明细!$D$4:$D$2003,$B200,包装物料出入库明细!$E$4:$E$2003,_自动清单!$G$15,包装物料出入库明细!$B$4:$B$2003,"&gt;="&amp;$AF$1,包装物料出入库明细!$B$4:$B$2003,"&lt;="&amp;$AF$2))</f>
        <v/>
      </c>
      <c r="O200" s="25" t="str">
        <f>IF(OR($B200="",_自动清单!$G$16=""),"",SUMIFS(包装物料出入库明细!$J$4:$J$2003,包装物料出入库明细!$D$4:$D$2003,$B200,包装物料出入库明细!$E$4:$E$2003,_自动清单!$G$16,包装物料出入库明细!$B$4:$B$2003,"&gt;="&amp;$AF$1,包装物料出入库明细!$B$4:$B$2003,"&lt;="&amp;$AF$2))</f>
        <v/>
      </c>
      <c r="P200" s="25" t="str">
        <f>IF(OR($B200="",_自动清单!$G$17=""),"",SUMIFS(包装物料出入库明细!$J$4:$J$2003,包装物料出入库明细!$D$4:$D$2003,$B200,包装物料出入库明细!$E$4:$E$2003,_自动清单!$G$17,包装物料出入库明细!$B$4:$B$2003,"&gt;="&amp;$AF$1,包装物料出入库明细!$B$4:$B$2003,"&lt;="&amp;$AF$2))</f>
        <v/>
      </c>
      <c r="Q200" s="25" t="str">
        <f>IF(OR($B200="",_自动清单!$G$18=""),"",SUMIFS(包装物料出入库明细!$J$4:$J$2003,包装物料出入库明细!$D$4:$D$2003,$B200,包装物料出入库明细!$E$4:$E$2003,_自动清单!$G$18,包装物料出入库明细!$B$4:$B$2003,"&gt;="&amp;$AF$1,包装物料出入库明细!$B$4:$B$2003,"&lt;="&amp;$AF$2))</f>
        <v/>
      </c>
      <c r="R200" s="25" t="str">
        <f>IF(OR($B200="",_自动清单!$G$19=""),"",SUMIFS(包装物料出入库明细!$J$4:$J$2003,包装物料出入库明细!$D$4:$D$2003,$B200,包装物料出入库明细!$E$4:$E$2003,_自动清单!$G$19,包装物料出入库明细!$B$4:$B$2003,"&gt;="&amp;$AF$1,包装物料出入库明细!$B$4:$B$2003,"&lt;="&amp;$AF$2))</f>
        <v/>
      </c>
      <c r="S200" s="25" t="str">
        <f>IF(OR($B200="",_自动清单!$G$20=""),"",SUMIFS(包装物料出入库明细!$J$4:$J$2003,包装物料出入库明细!$D$4:$D$2003,$B200,包装物料出入库明细!$E$4:$E$2003,_自动清单!$G$20,包装物料出入库明细!$B$4:$B$2003,"&gt;="&amp;$AF$1,包装物料出入库明细!$B$4:$B$2003,"&lt;="&amp;$AF$2))</f>
        <v/>
      </c>
      <c r="T200" s="25" t="str">
        <f>IF(OR($B200="",_自动清单!$G$21=""),"",SUMIFS(包装物料出入库明细!$J$4:$J$2003,包装物料出入库明细!$D$4:$D$2003,$B200,包装物料出入库明细!$E$4:$E$2003,_自动清单!$G$21,包装物料出入库明细!$B$4:$B$2003,"&gt;="&amp;$AF$1,包装物料出入库明细!$B$4:$B$2003,"&lt;="&amp;$AF$2))</f>
        <v/>
      </c>
      <c r="U200" s="25" t="str">
        <f>IF($B200="","",SUMIFS(包装物料出入库明细!$J$4:$J$2003,包装物料出入库明细!$D$4:$D$2003,$B200,包装物料出入库明细!$B$4:$B$2003,"&gt;="&amp;$AF$1,包装物料出入库明细!$B$4:$B$2003,"&lt;="&amp;$AF$2)-SUM($C200:$T200))</f>
        <v/>
      </c>
      <c r="V200" s="25" t="str">
        <f t="shared" si="13"/>
        <v/>
      </c>
      <c r="W200" s="56" t="str">
        <f>IF($B200="","",SUMIFS(包装物料出入库明细!$K$4:$K$2003,包装物料出入库明细!$D$4:$D$2003,$B200,包装物料出入库明细!$B$4:$B$2003,"&gt;="&amp;$AF$1,包装物料出入库明细!$B$4:$B$2003,"&lt;="&amp;$AF$2))</f>
        <v/>
      </c>
      <c r="X200" s="25" t="str">
        <f t="shared" si="14"/>
        <v/>
      </c>
      <c r="Y200" s="26" t="str">
        <f>IF($B200="","",ROUND(SUMIFS(包装物料出入库明细!$N$4:$N$2003,包装物料出入库明细!$D$4:$D$2003,$B200,包装物料出入库明细!$H$4:$H$2003,"销售出库",包装物料出入库明细!$B$4:$B$2003,"&gt;="&amp;$AF$1,包装物料出入库明细!$B$4:$B$2003,"&lt;="&amp;$AF$2),2))</f>
        <v/>
      </c>
      <c r="Z200" s="26" t="str">
        <f>IF($B200="","",ROUND(SUMIFS(包装物料出入库明细!$N$4:$N$2003,包装物料出入库明细!$D$4:$D$2003,$B200,包装物料出入库明细!$H$4:$H$2003,"销售出库",包装物料出入库明细!$P$4:$P$2003,"已收讫",包装物料出入库明细!$B$4:$B$2003,"&gt;="&amp;$AF$1,包装物料出入库明细!$B$4:$B$2003,"&lt;="&amp;$AF$2),2))</f>
        <v/>
      </c>
      <c r="AA200" s="26" t="str">
        <f t="shared" si="15"/>
        <v/>
      </c>
      <c r="AB200" s="41"/>
    </row>
    <row r="201" spans="1:28">
      <c r="A201" s="24" t="str">
        <f t="shared" si="12"/>
        <v/>
      </c>
      <c r="B201" s="24" t="str">
        <f>IFERROR(INDEX(_自动清单!$O$4:$O$203,ROW()-3),"")</f>
        <v/>
      </c>
      <c r="C201" s="25" t="str">
        <f>IF(OR($B201="",_自动清单!$G$4=""),"",SUMIFS(包装物料出入库明细!$J$4:$J$2003,包装物料出入库明细!$D$4:$D$2003,$B201,包装物料出入库明细!$E$4:$E$2003,_自动清单!$G$4,包装物料出入库明细!$B$4:$B$2003,"&gt;="&amp;$AF$1,包装物料出入库明细!$B$4:$B$2003,"&lt;="&amp;$AF$2))</f>
        <v/>
      </c>
      <c r="D201" s="25" t="str">
        <f>IF(OR($B201="",_自动清单!$G$5=""),"",SUMIFS(包装物料出入库明细!$J$4:$J$2003,包装物料出入库明细!$D$4:$D$2003,$B201,包装物料出入库明细!$E$4:$E$2003,_自动清单!$G$5,包装物料出入库明细!$B$4:$B$2003,"&gt;="&amp;$AF$1,包装物料出入库明细!$B$4:$B$2003,"&lt;="&amp;$AF$2))</f>
        <v/>
      </c>
      <c r="E201" s="25" t="str">
        <f>IF(OR($B201="",_自动清单!$G$6=""),"",SUMIFS(包装物料出入库明细!$J$4:$J$2003,包装物料出入库明细!$D$4:$D$2003,$B201,包装物料出入库明细!$E$4:$E$2003,_自动清单!$G$6,包装物料出入库明细!$B$4:$B$2003,"&gt;="&amp;$AF$1,包装物料出入库明细!$B$4:$B$2003,"&lt;="&amp;$AF$2))</f>
        <v/>
      </c>
      <c r="F201" s="25" t="str">
        <f>IF(OR($B201="",_自动清单!$G$7=""),"",SUMIFS(包装物料出入库明细!$J$4:$J$2003,包装物料出入库明细!$D$4:$D$2003,$B201,包装物料出入库明细!$E$4:$E$2003,_自动清单!$G$7,包装物料出入库明细!$B$4:$B$2003,"&gt;="&amp;$AF$1,包装物料出入库明细!$B$4:$B$2003,"&lt;="&amp;$AF$2))</f>
        <v/>
      </c>
      <c r="G201" s="25" t="str">
        <f>IF(OR($B201="",_自动清单!$G$8=""),"",SUMIFS(包装物料出入库明细!$J$4:$J$2003,包装物料出入库明细!$D$4:$D$2003,$B201,包装物料出入库明细!$E$4:$E$2003,_自动清单!$G$8,包装物料出入库明细!$B$4:$B$2003,"&gt;="&amp;$AF$1,包装物料出入库明细!$B$4:$B$2003,"&lt;="&amp;$AF$2))</f>
        <v/>
      </c>
      <c r="H201" s="25" t="str">
        <f>IF(OR($B201="",_自动清单!$G$9=""),"",SUMIFS(包装物料出入库明细!$J$4:$J$2003,包装物料出入库明细!$D$4:$D$2003,$B201,包装物料出入库明细!$E$4:$E$2003,_自动清单!$G$9,包装物料出入库明细!$B$4:$B$2003,"&gt;="&amp;$AF$1,包装物料出入库明细!$B$4:$B$2003,"&lt;="&amp;$AF$2))</f>
        <v/>
      </c>
      <c r="I201" s="25" t="str">
        <f>IF(OR($B201="",_自动清单!$G$10=""),"",SUMIFS(包装物料出入库明细!$J$4:$J$2003,包装物料出入库明细!$D$4:$D$2003,$B201,包装物料出入库明细!$E$4:$E$2003,_自动清单!$G$10,包装物料出入库明细!$B$4:$B$2003,"&gt;="&amp;$AF$1,包装物料出入库明细!$B$4:$B$2003,"&lt;="&amp;$AF$2))</f>
        <v/>
      </c>
      <c r="J201" s="25" t="str">
        <f>IF(OR($B201="",_自动清单!$G$11=""),"",SUMIFS(包装物料出入库明细!$J$4:$J$2003,包装物料出入库明细!$D$4:$D$2003,$B201,包装物料出入库明细!$E$4:$E$2003,_自动清单!$G$11,包装物料出入库明细!$B$4:$B$2003,"&gt;="&amp;$AF$1,包装物料出入库明细!$B$4:$B$2003,"&lt;="&amp;$AF$2))</f>
        <v/>
      </c>
      <c r="K201" s="25" t="str">
        <f>IF(OR($B201="",_自动清单!$G$12=""),"",SUMIFS(包装物料出入库明细!$J$4:$J$2003,包装物料出入库明细!$D$4:$D$2003,$B201,包装物料出入库明细!$E$4:$E$2003,_自动清单!$G$12,包装物料出入库明细!$B$4:$B$2003,"&gt;="&amp;$AF$1,包装物料出入库明细!$B$4:$B$2003,"&lt;="&amp;$AF$2))</f>
        <v/>
      </c>
      <c r="L201" s="25" t="str">
        <f>IF(OR($B201="",_自动清单!$G$13=""),"",SUMIFS(包装物料出入库明细!$J$4:$J$2003,包装物料出入库明细!$D$4:$D$2003,$B201,包装物料出入库明细!$E$4:$E$2003,_自动清单!$G$13,包装物料出入库明细!$B$4:$B$2003,"&gt;="&amp;$AF$1,包装物料出入库明细!$B$4:$B$2003,"&lt;="&amp;$AF$2))</f>
        <v/>
      </c>
      <c r="M201" s="25" t="str">
        <f>IF(OR($B201="",_自动清单!$G$14=""),"",SUMIFS(包装物料出入库明细!$J$4:$J$2003,包装物料出入库明细!$D$4:$D$2003,$B201,包装物料出入库明细!$E$4:$E$2003,_自动清单!$G$14,包装物料出入库明细!$B$4:$B$2003,"&gt;="&amp;$AF$1,包装物料出入库明细!$B$4:$B$2003,"&lt;="&amp;$AF$2))</f>
        <v/>
      </c>
      <c r="N201" s="25" t="str">
        <f>IF(OR($B201="",_自动清单!$G$15=""),"",SUMIFS(包装物料出入库明细!$J$4:$J$2003,包装物料出入库明细!$D$4:$D$2003,$B201,包装物料出入库明细!$E$4:$E$2003,_自动清单!$G$15,包装物料出入库明细!$B$4:$B$2003,"&gt;="&amp;$AF$1,包装物料出入库明细!$B$4:$B$2003,"&lt;="&amp;$AF$2))</f>
        <v/>
      </c>
      <c r="O201" s="25" t="str">
        <f>IF(OR($B201="",_自动清单!$G$16=""),"",SUMIFS(包装物料出入库明细!$J$4:$J$2003,包装物料出入库明细!$D$4:$D$2003,$B201,包装物料出入库明细!$E$4:$E$2003,_自动清单!$G$16,包装物料出入库明细!$B$4:$B$2003,"&gt;="&amp;$AF$1,包装物料出入库明细!$B$4:$B$2003,"&lt;="&amp;$AF$2))</f>
        <v/>
      </c>
      <c r="P201" s="25" t="str">
        <f>IF(OR($B201="",_自动清单!$G$17=""),"",SUMIFS(包装物料出入库明细!$J$4:$J$2003,包装物料出入库明细!$D$4:$D$2003,$B201,包装物料出入库明细!$E$4:$E$2003,_自动清单!$G$17,包装物料出入库明细!$B$4:$B$2003,"&gt;="&amp;$AF$1,包装物料出入库明细!$B$4:$B$2003,"&lt;="&amp;$AF$2))</f>
        <v/>
      </c>
      <c r="Q201" s="25" t="str">
        <f>IF(OR($B201="",_自动清单!$G$18=""),"",SUMIFS(包装物料出入库明细!$J$4:$J$2003,包装物料出入库明细!$D$4:$D$2003,$B201,包装物料出入库明细!$E$4:$E$2003,_自动清单!$G$18,包装物料出入库明细!$B$4:$B$2003,"&gt;="&amp;$AF$1,包装物料出入库明细!$B$4:$B$2003,"&lt;="&amp;$AF$2))</f>
        <v/>
      </c>
      <c r="R201" s="25" t="str">
        <f>IF(OR($B201="",_自动清单!$G$19=""),"",SUMIFS(包装物料出入库明细!$J$4:$J$2003,包装物料出入库明细!$D$4:$D$2003,$B201,包装物料出入库明细!$E$4:$E$2003,_自动清单!$G$19,包装物料出入库明细!$B$4:$B$2003,"&gt;="&amp;$AF$1,包装物料出入库明细!$B$4:$B$2003,"&lt;="&amp;$AF$2))</f>
        <v/>
      </c>
      <c r="S201" s="25" t="str">
        <f>IF(OR($B201="",_自动清单!$G$20=""),"",SUMIFS(包装物料出入库明细!$J$4:$J$2003,包装物料出入库明细!$D$4:$D$2003,$B201,包装物料出入库明细!$E$4:$E$2003,_自动清单!$G$20,包装物料出入库明细!$B$4:$B$2003,"&gt;="&amp;$AF$1,包装物料出入库明细!$B$4:$B$2003,"&lt;="&amp;$AF$2))</f>
        <v/>
      </c>
      <c r="T201" s="25" t="str">
        <f>IF(OR($B201="",_自动清单!$G$21=""),"",SUMIFS(包装物料出入库明细!$J$4:$J$2003,包装物料出入库明细!$D$4:$D$2003,$B201,包装物料出入库明细!$E$4:$E$2003,_自动清单!$G$21,包装物料出入库明细!$B$4:$B$2003,"&gt;="&amp;$AF$1,包装物料出入库明细!$B$4:$B$2003,"&lt;="&amp;$AF$2))</f>
        <v/>
      </c>
      <c r="U201" s="25" t="str">
        <f>IF($B201="","",SUMIFS(包装物料出入库明细!$J$4:$J$2003,包装物料出入库明细!$D$4:$D$2003,$B201,包装物料出入库明细!$B$4:$B$2003,"&gt;="&amp;$AF$1,包装物料出入库明细!$B$4:$B$2003,"&lt;="&amp;$AF$2)-SUM($C201:$T201))</f>
        <v/>
      </c>
      <c r="V201" s="25" t="str">
        <f t="shared" si="13"/>
        <v/>
      </c>
      <c r="W201" s="56" t="str">
        <f>IF($B201="","",SUMIFS(包装物料出入库明细!$K$4:$K$2003,包装物料出入库明细!$D$4:$D$2003,$B201,包装物料出入库明细!$B$4:$B$2003,"&gt;="&amp;$AF$1,包装物料出入库明细!$B$4:$B$2003,"&lt;="&amp;$AF$2))</f>
        <v/>
      </c>
      <c r="X201" s="25" t="str">
        <f t="shared" si="14"/>
        <v/>
      </c>
      <c r="Y201" s="26" t="str">
        <f>IF($B201="","",ROUND(SUMIFS(包装物料出入库明细!$N$4:$N$2003,包装物料出入库明细!$D$4:$D$2003,$B201,包装物料出入库明细!$H$4:$H$2003,"销售出库",包装物料出入库明细!$B$4:$B$2003,"&gt;="&amp;$AF$1,包装物料出入库明细!$B$4:$B$2003,"&lt;="&amp;$AF$2),2))</f>
        <v/>
      </c>
      <c r="Z201" s="26" t="str">
        <f>IF($B201="","",ROUND(SUMIFS(包装物料出入库明细!$N$4:$N$2003,包装物料出入库明细!$D$4:$D$2003,$B201,包装物料出入库明细!$H$4:$H$2003,"销售出库",包装物料出入库明细!$P$4:$P$2003,"已收讫",包装物料出入库明细!$B$4:$B$2003,"&gt;="&amp;$AF$1,包装物料出入库明细!$B$4:$B$2003,"&lt;="&amp;$AF$2),2))</f>
        <v/>
      </c>
      <c r="AA201" s="26" t="str">
        <f t="shared" si="15"/>
        <v/>
      </c>
      <c r="AB201" s="41"/>
    </row>
    <row r="202" spans="1:28">
      <c r="A202" s="24" t="str">
        <f t="shared" si="12"/>
        <v/>
      </c>
      <c r="B202" s="24" t="str">
        <f>IFERROR(INDEX(_自动清单!$O$4:$O$203,ROW()-3),"")</f>
        <v/>
      </c>
      <c r="C202" s="25" t="str">
        <f>IF(OR($B202="",_自动清单!$G$4=""),"",SUMIFS(包装物料出入库明细!$J$4:$J$2003,包装物料出入库明细!$D$4:$D$2003,$B202,包装物料出入库明细!$E$4:$E$2003,_自动清单!$G$4,包装物料出入库明细!$B$4:$B$2003,"&gt;="&amp;$AF$1,包装物料出入库明细!$B$4:$B$2003,"&lt;="&amp;$AF$2))</f>
        <v/>
      </c>
      <c r="D202" s="25" t="str">
        <f>IF(OR($B202="",_自动清单!$G$5=""),"",SUMIFS(包装物料出入库明细!$J$4:$J$2003,包装物料出入库明细!$D$4:$D$2003,$B202,包装物料出入库明细!$E$4:$E$2003,_自动清单!$G$5,包装物料出入库明细!$B$4:$B$2003,"&gt;="&amp;$AF$1,包装物料出入库明细!$B$4:$B$2003,"&lt;="&amp;$AF$2))</f>
        <v/>
      </c>
      <c r="E202" s="25" t="str">
        <f>IF(OR($B202="",_自动清单!$G$6=""),"",SUMIFS(包装物料出入库明细!$J$4:$J$2003,包装物料出入库明细!$D$4:$D$2003,$B202,包装物料出入库明细!$E$4:$E$2003,_自动清单!$G$6,包装物料出入库明细!$B$4:$B$2003,"&gt;="&amp;$AF$1,包装物料出入库明细!$B$4:$B$2003,"&lt;="&amp;$AF$2))</f>
        <v/>
      </c>
      <c r="F202" s="25" t="str">
        <f>IF(OR($B202="",_自动清单!$G$7=""),"",SUMIFS(包装物料出入库明细!$J$4:$J$2003,包装物料出入库明细!$D$4:$D$2003,$B202,包装物料出入库明细!$E$4:$E$2003,_自动清单!$G$7,包装物料出入库明细!$B$4:$B$2003,"&gt;="&amp;$AF$1,包装物料出入库明细!$B$4:$B$2003,"&lt;="&amp;$AF$2))</f>
        <v/>
      </c>
      <c r="G202" s="25" t="str">
        <f>IF(OR($B202="",_自动清单!$G$8=""),"",SUMIFS(包装物料出入库明细!$J$4:$J$2003,包装物料出入库明细!$D$4:$D$2003,$B202,包装物料出入库明细!$E$4:$E$2003,_自动清单!$G$8,包装物料出入库明细!$B$4:$B$2003,"&gt;="&amp;$AF$1,包装物料出入库明细!$B$4:$B$2003,"&lt;="&amp;$AF$2))</f>
        <v/>
      </c>
      <c r="H202" s="25" t="str">
        <f>IF(OR($B202="",_自动清单!$G$9=""),"",SUMIFS(包装物料出入库明细!$J$4:$J$2003,包装物料出入库明细!$D$4:$D$2003,$B202,包装物料出入库明细!$E$4:$E$2003,_自动清单!$G$9,包装物料出入库明细!$B$4:$B$2003,"&gt;="&amp;$AF$1,包装物料出入库明细!$B$4:$B$2003,"&lt;="&amp;$AF$2))</f>
        <v/>
      </c>
      <c r="I202" s="25" t="str">
        <f>IF(OR($B202="",_自动清单!$G$10=""),"",SUMIFS(包装物料出入库明细!$J$4:$J$2003,包装物料出入库明细!$D$4:$D$2003,$B202,包装物料出入库明细!$E$4:$E$2003,_自动清单!$G$10,包装物料出入库明细!$B$4:$B$2003,"&gt;="&amp;$AF$1,包装物料出入库明细!$B$4:$B$2003,"&lt;="&amp;$AF$2))</f>
        <v/>
      </c>
      <c r="J202" s="25" t="str">
        <f>IF(OR($B202="",_自动清单!$G$11=""),"",SUMIFS(包装物料出入库明细!$J$4:$J$2003,包装物料出入库明细!$D$4:$D$2003,$B202,包装物料出入库明细!$E$4:$E$2003,_自动清单!$G$11,包装物料出入库明细!$B$4:$B$2003,"&gt;="&amp;$AF$1,包装物料出入库明细!$B$4:$B$2003,"&lt;="&amp;$AF$2))</f>
        <v/>
      </c>
      <c r="K202" s="25" t="str">
        <f>IF(OR($B202="",_自动清单!$G$12=""),"",SUMIFS(包装物料出入库明细!$J$4:$J$2003,包装物料出入库明细!$D$4:$D$2003,$B202,包装物料出入库明细!$E$4:$E$2003,_自动清单!$G$12,包装物料出入库明细!$B$4:$B$2003,"&gt;="&amp;$AF$1,包装物料出入库明细!$B$4:$B$2003,"&lt;="&amp;$AF$2))</f>
        <v/>
      </c>
      <c r="L202" s="25" t="str">
        <f>IF(OR($B202="",_自动清单!$G$13=""),"",SUMIFS(包装物料出入库明细!$J$4:$J$2003,包装物料出入库明细!$D$4:$D$2003,$B202,包装物料出入库明细!$E$4:$E$2003,_自动清单!$G$13,包装物料出入库明细!$B$4:$B$2003,"&gt;="&amp;$AF$1,包装物料出入库明细!$B$4:$B$2003,"&lt;="&amp;$AF$2))</f>
        <v/>
      </c>
      <c r="M202" s="25" t="str">
        <f>IF(OR($B202="",_自动清单!$G$14=""),"",SUMIFS(包装物料出入库明细!$J$4:$J$2003,包装物料出入库明细!$D$4:$D$2003,$B202,包装物料出入库明细!$E$4:$E$2003,_自动清单!$G$14,包装物料出入库明细!$B$4:$B$2003,"&gt;="&amp;$AF$1,包装物料出入库明细!$B$4:$B$2003,"&lt;="&amp;$AF$2))</f>
        <v/>
      </c>
      <c r="N202" s="25" t="str">
        <f>IF(OR($B202="",_自动清单!$G$15=""),"",SUMIFS(包装物料出入库明细!$J$4:$J$2003,包装物料出入库明细!$D$4:$D$2003,$B202,包装物料出入库明细!$E$4:$E$2003,_自动清单!$G$15,包装物料出入库明细!$B$4:$B$2003,"&gt;="&amp;$AF$1,包装物料出入库明细!$B$4:$B$2003,"&lt;="&amp;$AF$2))</f>
        <v/>
      </c>
      <c r="O202" s="25" t="str">
        <f>IF(OR($B202="",_自动清单!$G$16=""),"",SUMIFS(包装物料出入库明细!$J$4:$J$2003,包装物料出入库明细!$D$4:$D$2003,$B202,包装物料出入库明细!$E$4:$E$2003,_自动清单!$G$16,包装物料出入库明细!$B$4:$B$2003,"&gt;="&amp;$AF$1,包装物料出入库明细!$B$4:$B$2003,"&lt;="&amp;$AF$2))</f>
        <v/>
      </c>
      <c r="P202" s="25" t="str">
        <f>IF(OR($B202="",_自动清单!$G$17=""),"",SUMIFS(包装物料出入库明细!$J$4:$J$2003,包装物料出入库明细!$D$4:$D$2003,$B202,包装物料出入库明细!$E$4:$E$2003,_自动清单!$G$17,包装物料出入库明细!$B$4:$B$2003,"&gt;="&amp;$AF$1,包装物料出入库明细!$B$4:$B$2003,"&lt;="&amp;$AF$2))</f>
        <v/>
      </c>
      <c r="Q202" s="25" t="str">
        <f>IF(OR($B202="",_自动清单!$G$18=""),"",SUMIFS(包装物料出入库明细!$J$4:$J$2003,包装物料出入库明细!$D$4:$D$2003,$B202,包装物料出入库明细!$E$4:$E$2003,_自动清单!$G$18,包装物料出入库明细!$B$4:$B$2003,"&gt;="&amp;$AF$1,包装物料出入库明细!$B$4:$B$2003,"&lt;="&amp;$AF$2))</f>
        <v/>
      </c>
      <c r="R202" s="25" t="str">
        <f>IF(OR($B202="",_自动清单!$G$19=""),"",SUMIFS(包装物料出入库明细!$J$4:$J$2003,包装物料出入库明细!$D$4:$D$2003,$B202,包装物料出入库明细!$E$4:$E$2003,_自动清单!$G$19,包装物料出入库明细!$B$4:$B$2003,"&gt;="&amp;$AF$1,包装物料出入库明细!$B$4:$B$2003,"&lt;="&amp;$AF$2))</f>
        <v/>
      </c>
      <c r="S202" s="25" t="str">
        <f>IF(OR($B202="",_自动清单!$G$20=""),"",SUMIFS(包装物料出入库明细!$J$4:$J$2003,包装物料出入库明细!$D$4:$D$2003,$B202,包装物料出入库明细!$E$4:$E$2003,_自动清单!$G$20,包装物料出入库明细!$B$4:$B$2003,"&gt;="&amp;$AF$1,包装物料出入库明细!$B$4:$B$2003,"&lt;="&amp;$AF$2))</f>
        <v/>
      </c>
      <c r="T202" s="25" t="str">
        <f>IF(OR($B202="",_自动清单!$G$21=""),"",SUMIFS(包装物料出入库明细!$J$4:$J$2003,包装物料出入库明细!$D$4:$D$2003,$B202,包装物料出入库明细!$E$4:$E$2003,_自动清单!$G$21,包装物料出入库明细!$B$4:$B$2003,"&gt;="&amp;$AF$1,包装物料出入库明细!$B$4:$B$2003,"&lt;="&amp;$AF$2))</f>
        <v/>
      </c>
      <c r="U202" s="25" t="str">
        <f>IF($B202="","",SUMIFS(包装物料出入库明细!$J$4:$J$2003,包装物料出入库明细!$D$4:$D$2003,$B202,包装物料出入库明细!$B$4:$B$2003,"&gt;="&amp;$AF$1,包装物料出入库明细!$B$4:$B$2003,"&lt;="&amp;$AF$2)-SUM($C202:$T202))</f>
        <v/>
      </c>
      <c r="V202" s="25" t="str">
        <f t="shared" si="13"/>
        <v/>
      </c>
      <c r="W202" s="56" t="str">
        <f>IF($B202="","",SUMIFS(包装物料出入库明细!$K$4:$K$2003,包装物料出入库明细!$D$4:$D$2003,$B202,包装物料出入库明细!$B$4:$B$2003,"&gt;="&amp;$AF$1,包装物料出入库明细!$B$4:$B$2003,"&lt;="&amp;$AF$2))</f>
        <v/>
      </c>
      <c r="X202" s="25" t="str">
        <f t="shared" si="14"/>
        <v/>
      </c>
      <c r="Y202" s="26" t="str">
        <f>IF($B202="","",ROUND(SUMIFS(包装物料出入库明细!$N$4:$N$2003,包装物料出入库明细!$D$4:$D$2003,$B202,包装物料出入库明细!$H$4:$H$2003,"销售出库",包装物料出入库明细!$B$4:$B$2003,"&gt;="&amp;$AF$1,包装物料出入库明细!$B$4:$B$2003,"&lt;="&amp;$AF$2),2))</f>
        <v/>
      </c>
      <c r="Z202" s="26" t="str">
        <f>IF($B202="","",ROUND(SUMIFS(包装物料出入库明细!$N$4:$N$2003,包装物料出入库明细!$D$4:$D$2003,$B202,包装物料出入库明细!$H$4:$H$2003,"销售出库",包装物料出入库明细!$P$4:$P$2003,"已收讫",包装物料出入库明细!$B$4:$B$2003,"&gt;="&amp;$AF$1,包装物料出入库明细!$B$4:$B$2003,"&lt;="&amp;$AF$2),2))</f>
        <v/>
      </c>
      <c r="AA202" s="26" t="str">
        <f t="shared" si="15"/>
        <v/>
      </c>
      <c r="AB202" s="41"/>
    </row>
    <row r="203" spans="1:28">
      <c r="A203" s="24" t="str">
        <f t="shared" si="12"/>
        <v/>
      </c>
      <c r="B203" s="24" t="str">
        <f>IFERROR(INDEX(_自动清单!$O$4:$O$203,ROW()-3),"")</f>
        <v/>
      </c>
      <c r="C203" s="25" t="str">
        <f>IF(OR($B203="",_自动清单!$G$4=""),"",SUMIFS(包装物料出入库明细!$J$4:$J$2003,包装物料出入库明细!$D$4:$D$2003,$B203,包装物料出入库明细!$E$4:$E$2003,_自动清单!$G$4,包装物料出入库明细!$B$4:$B$2003,"&gt;="&amp;$AF$1,包装物料出入库明细!$B$4:$B$2003,"&lt;="&amp;$AF$2))</f>
        <v/>
      </c>
      <c r="D203" s="25" t="str">
        <f>IF(OR($B203="",_自动清单!$G$5=""),"",SUMIFS(包装物料出入库明细!$J$4:$J$2003,包装物料出入库明细!$D$4:$D$2003,$B203,包装物料出入库明细!$E$4:$E$2003,_自动清单!$G$5,包装物料出入库明细!$B$4:$B$2003,"&gt;="&amp;$AF$1,包装物料出入库明细!$B$4:$B$2003,"&lt;="&amp;$AF$2))</f>
        <v/>
      </c>
      <c r="E203" s="25" t="str">
        <f>IF(OR($B203="",_自动清单!$G$6=""),"",SUMIFS(包装物料出入库明细!$J$4:$J$2003,包装物料出入库明细!$D$4:$D$2003,$B203,包装物料出入库明细!$E$4:$E$2003,_自动清单!$G$6,包装物料出入库明细!$B$4:$B$2003,"&gt;="&amp;$AF$1,包装物料出入库明细!$B$4:$B$2003,"&lt;="&amp;$AF$2))</f>
        <v/>
      </c>
      <c r="F203" s="25" t="str">
        <f>IF(OR($B203="",_自动清单!$G$7=""),"",SUMIFS(包装物料出入库明细!$J$4:$J$2003,包装物料出入库明细!$D$4:$D$2003,$B203,包装物料出入库明细!$E$4:$E$2003,_自动清单!$G$7,包装物料出入库明细!$B$4:$B$2003,"&gt;="&amp;$AF$1,包装物料出入库明细!$B$4:$B$2003,"&lt;="&amp;$AF$2))</f>
        <v/>
      </c>
      <c r="G203" s="25" t="str">
        <f>IF(OR($B203="",_自动清单!$G$8=""),"",SUMIFS(包装物料出入库明细!$J$4:$J$2003,包装物料出入库明细!$D$4:$D$2003,$B203,包装物料出入库明细!$E$4:$E$2003,_自动清单!$G$8,包装物料出入库明细!$B$4:$B$2003,"&gt;="&amp;$AF$1,包装物料出入库明细!$B$4:$B$2003,"&lt;="&amp;$AF$2))</f>
        <v/>
      </c>
      <c r="H203" s="25" t="str">
        <f>IF(OR($B203="",_自动清单!$G$9=""),"",SUMIFS(包装物料出入库明细!$J$4:$J$2003,包装物料出入库明细!$D$4:$D$2003,$B203,包装物料出入库明细!$E$4:$E$2003,_自动清单!$G$9,包装物料出入库明细!$B$4:$B$2003,"&gt;="&amp;$AF$1,包装物料出入库明细!$B$4:$B$2003,"&lt;="&amp;$AF$2))</f>
        <v/>
      </c>
      <c r="I203" s="25" t="str">
        <f>IF(OR($B203="",_自动清单!$G$10=""),"",SUMIFS(包装物料出入库明细!$J$4:$J$2003,包装物料出入库明细!$D$4:$D$2003,$B203,包装物料出入库明细!$E$4:$E$2003,_自动清单!$G$10,包装物料出入库明细!$B$4:$B$2003,"&gt;="&amp;$AF$1,包装物料出入库明细!$B$4:$B$2003,"&lt;="&amp;$AF$2))</f>
        <v/>
      </c>
      <c r="J203" s="25" t="str">
        <f>IF(OR($B203="",_自动清单!$G$11=""),"",SUMIFS(包装物料出入库明细!$J$4:$J$2003,包装物料出入库明细!$D$4:$D$2003,$B203,包装物料出入库明细!$E$4:$E$2003,_自动清单!$G$11,包装物料出入库明细!$B$4:$B$2003,"&gt;="&amp;$AF$1,包装物料出入库明细!$B$4:$B$2003,"&lt;="&amp;$AF$2))</f>
        <v/>
      </c>
      <c r="K203" s="25" t="str">
        <f>IF(OR($B203="",_自动清单!$G$12=""),"",SUMIFS(包装物料出入库明细!$J$4:$J$2003,包装物料出入库明细!$D$4:$D$2003,$B203,包装物料出入库明细!$E$4:$E$2003,_自动清单!$G$12,包装物料出入库明细!$B$4:$B$2003,"&gt;="&amp;$AF$1,包装物料出入库明细!$B$4:$B$2003,"&lt;="&amp;$AF$2))</f>
        <v/>
      </c>
      <c r="L203" s="25" t="str">
        <f>IF(OR($B203="",_自动清单!$G$13=""),"",SUMIFS(包装物料出入库明细!$J$4:$J$2003,包装物料出入库明细!$D$4:$D$2003,$B203,包装物料出入库明细!$E$4:$E$2003,_自动清单!$G$13,包装物料出入库明细!$B$4:$B$2003,"&gt;="&amp;$AF$1,包装物料出入库明细!$B$4:$B$2003,"&lt;="&amp;$AF$2))</f>
        <v/>
      </c>
      <c r="M203" s="25" t="str">
        <f>IF(OR($B203="",_自动清单!$G$14=""),"",SUMIFS(包装物料出入库明细!$J$4:$J$2003,包装物料出入库明细!$D$4:$D$2003,$B203,包装物料出入库明细!$E$4:$E$2003,_自动清单!$G$14,包装物料出入库明细!$B$4:$B$2003,"&gt;="&amp;$AF$1,包装物料出入库明细!$B$4:$B$2003,"&lt;="&amp;$AF$2))</f>
        <v/>
      </c>
      <c r="N203" s="25" t="str">
        <f>IF(OR($B203="",_自动清单!$G$15=""),"",SUMIFS(包装物料出入库明细!$J$4:$J$2003,包装物料出入库明细!$D$4:$D$2003,$B203,包装物料出入库明细!$E$4:$E$2003,_自动清单!$G$15,包装物料出入库明细!$B$4:$B$2003,"&gt;="&amp;$AF$1,包装物料出入库明细!$B$4:$B$2003,"&lt;="&amp;$AF$2))</f>
        <v/>
      </c>
      <c r="O203" s="25" t="str">
        <f>IF(OR($B203="",_自动清单!$G$16=""),"",SUMIFS(包装物料出入库明细!$J$4:$J$2003,包装物料出入库明细!$D$4:$D$2003,$B203,包装物料出入库明细!$E$4:$E$2003,_自动清单!$G$16,包装物料出入库明细!$B$4:$B$2003,"&gt;="&amp;$AF$1,包装物料出入库明细!$B$4:$B$2003,"&lt;="&amp;$AF$2))</f>
        <v/>
      </c>
      <c r="P203" s="25" t="str">
        <f>IF(OR($B203="",_自动清单!$G$17=""),"",SUMIFS(包装物料出入库明细!$J$4:$J$2003,包装物料出入库明细!$D$4:$D$2003,$B203,包装物料出入库明细!$E$4:$E$2003,_自动清单!$G$17,包装物料出入库明细!$B$4:$B$2003,"&gt;="&amp;$AF$1,包装物料出入库明细!$B$4:$B$2003,"&lt;="&amp;$AF$2))</f>
        <v/>
      </c>
      <c r="Q203" s="25" t="str">
        <f>IF(OR($B203="",_自动清单!$G$18=""),"",SUMIFS(包装物料出入库明细!$J$4:$J$2003,包装物料出入库明细!$D$4:$D$2003,$B203,包装物料出入库明细!$E$4:$E$2003,_自动清单!$G$18,包装物料出入库明细!$B$4:$B$2003,"&gt;="&amp;$AF$1,包装物料出入库明细!$B$4:$B$2003,"&lt;="&amp;$AF$2))</f>
        <v/>
      </c>
      <c r="R203" s="25" t="str">
        <f>IF(OR($B203="",_自动清单!$G$19=""),"",SUMIFS(包装物料出入库明细!$J$4:$J$2003,包装物料出入库明细!$D$4:$D$2003,$B203,包装物料出入库明细!$E$4:$E$2003,_自动清单!$G$19,包装物料出入库明细!$B$4:$B$2003,"&gt;="&amp;$AF$1,包装物料出入库明细!$B$4:$B$2003,"&lt;="&amp;$AF$2))</f>
        <v/>
      </c>
      <c r="S203" s="25" t="str">
        <f>IF(OR($B203="",_自动清单!$G$20=""),"",SUMIFS(包装物料出入库明细!$J$4:$J$2003,包装物料出入库明细!$D$4:$D$2003,$B203,包装物料出入库明细!$E$4:$E$2003,_自动清单!$G$20,包装物料出入库明细!$B$4:$B$2003,"&gt;="&amp;$AF$1,包装物料出入库明细!$B$4:$B$2003,"&lt;="&amp;$AF$2))</f>
        <v/>
      </c>
      <c r="T203" s="25" t="str">
        <f>IF(OR($B203="",_自动清单!$G$21=""),"",SUMIFS(包装物料出入库明细!$J$4:$J$2003,包装物料出入库明细!$D$4:$D$2003,$B203,包装物料出入库明细!$E$4:$E$2003,_自动清单!$G$21,包装物料出入库明细!$B$4:$B$2003,"&gt;="&amp;$AF$1,包装物料出入库明细!$B$4:$B$2003,"&lt;="&amp;$AF$2))</f>
        <v/>
      </c>
      <c r="U203" s="25" t="str">
        <f>IF($B203="","",SUMIFS(包装物料出入库明细!$J$4:$J$2003,包装物料出入库明细!$D$4:$D$2003,$B203,包装物料出入库明细!$B$4:$B$2003,"&gt;="&amp;$AF$1,包装物料出入库明细!$B$4:$B$2003,"&lt;="&amp;$AF$2)-SUM($C203:$T203))</f>
        <v/>
      </c>
      <c r="V203" s="25" t="str">
        <f t="shared" si="13"/>
        <v/>
      </c>
      <c r="W203" s="56" t="str">
        <f>IF($B203="","",SUMIFS(包装物料出入库明细!$K$4:$K$2003,包装物料出入库明细!$D$4:$D$2003,$B203,包装物料出入库明细!$B$4:$B$2003,"&gt;="&amp;$AF$1,包装物料出入库明细!$B$4:$B$2003,"&lt;="&amp;$AF$2))</f>
        <v/>
      </c>
      <c r="X203" s="25" t="str">
        <f t="shared" si="14"/>
        <v/>
      </c>
      <c r="Y203" s="26" t="str">
        <f>IF($B203="","",ROUND(SUMIFS(包装物料出入库明细!$N$4:$N$2003,包装物料出入库明细!$D$4:$D$2003,$B203,包装物料出入库明细!$H$4:$H$2003,"销售出库",包装物料出入库明细!$B$4:$B$2003,"&gt;="&amp;$AF$1,包装物料出入库明细!$B$4:$B$2003,"&lt;="&amp;$AF$2),2))</f>
        <v/>
      </c>
      <c r="Z203" s="26" t="str">
        <f>IF($B203="","",ROUND(SUMIFS(包装物料出入库明细!$N$4:$N$2003,包装物料出入库明细!$D$4:$D$2003,$B203,包装物料出入库明细!$H$4:$H$2003,"销售出库",包装物料出入库明细!$P$4:$P$2003,"已收讫",包装物料出入库明细!$B$4:$B$2003,"&gt;="&amp;$AF$1,包装物料出入库明细!$B$4:$B$2003,"&lt;="&amp;$AF$2),2))</f>
        <v/>
      </c>
      <c r="AA203" s="26" t="str">
        <f t="shared" si="15"/>
        <v/>
      </c>
      <c r="AB203" s="41"/>
    </row>
    <row r="204" spans="1:28">
      <c r="A204" s="51"/>
      <c r="B204" s="51" t="s">
        <v>473</v>
      </c>
      <c r="C204" s="57">
        <f t="shared" ref="C204:AA204" si="16">ROUND(SUM(C4:C203),2)</f>
        <v>0</v>
      </c>
      <c r="D204" s="57">
        <f t="shared" si="16"/>
        <v>800</v>
      </c>
      <c r="E204" s="57">
        <f t="shared" si="16"/>
        <v>0</v>
      </c>
      <c r="F204" s="57">
        <f t="shared" si="16"/>
        <v>16</v>
      </c>
      <c r="G204" s="57">
        <f t="shared" si="16"/>
        <v>0</v>
      </c>
      <c r="H204" s="57">
        <f t="shared" si="16"/>
        <v>0</v>
      </c>
      <c r="I204" s="57">
        <f t="shared" si="16"/>
        <v>971</v>
      </c>
      <c r="J204" s="57">
        <f t="shared" si="16"/>
        <v>0</v>
      </c>
      <c r="K204" s="57">
        <f t="shared" si="16"/>
        <v>0</v>
      </c>
      <c r="L204" s="57">
        <f t="shared" si="16"/>
        <v>0</v>
      </c>
      <c r="M204" s="57">
        <f t="shared" si="16"/>
        <v>0</v>
      </c>
      <c r="N204" s="57">
        <f t="shared" si="16"/>
        <v>0</v>
      </c>
      <c r="O204" s="57">
        <f t="shared" si="16"/>
        <v>0</v>
      </c>
      <c r="P204" s="57">
        <f t="shared" si="16"/>
        <v>0</v>
      </c>
      <c r="Q204" s="57">
        <f t="shared" si="16"/>
        <v>0</v>
      </c>
      <c r="R204" s="57">
        <f t="shared" si="16"/>
        <v>0</v>
      </c>
      <c r="S204" s="57">
        <f t="shared" si="16"/>
        <v>0</v>
      </c>
      <c r="T204" s="57">
        <f t="shared" si="16"/>
        <v>0</v>
      </c>
      <c r="U204" s="57">
        <f t="shared" si="16"/>
        <v>0</v>
      </c>
      <c r="V204" s="57">
        <f t="shared" si="16"/>
        <v>1787</v>
      </c>
      <c r="W204" s="58">
        <f t="shared" si="16"/>
        <v>-800</v>
      </c>
      <c r="X204" s="57">
        <f t="shared" si="16"/>
        <v>2587</v>
      </c>
      <c r="Y204" s="59">
        <f t="shared" si="16"/>
        <v>0</v>
      </c>
      <c r="Z204" s="59">
        <f t="shared" si="16"/>
        <v>0</v>
      </c>
      <c r="AA204" s="59">
        <f t="shared" si="16"/>
        <v>0</v>
      </c>
      <c r="AB204" s="51"/>
    </row>
  </sheetData>
  <mergeCells count="2">
    <mergeCell ref="A1:AB1"/>
    <mergeCell ref="A2:X2"/>
  </mergeCells>
  <conditionalFormatting sqref="A2">
    <cfRule type="expression" dxfId="0" priority="1">
      <formula>(N(_自动清单!$K$1)&gt;200)+(N(_自动清单!$A$1)&gt;18)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K185"/>
  <sheetViews>
    <sheetView showGridLines="0" workbookViewId="0">
      <pane ySplit="4" topLeftCell="A5" activePane="bottomLeft" state="frozen"/>
      <selection/>
      <selection pane="bottomLeft" activeCell="B18" sqref="B18"/>
    </sheetView>
  </sheetViews>
  <sheetFormatPr defaultColWidth="9" defaultRowHeight="15"/>
  <cols>
    <col min="1" max="1" width="5" customWidth="1"/>
    <col min="2" max="2" width="12" customWidth="1"/>
    <col min="3" max="3" width="16" customWidth="1"/>
    <col min="4" max="4" width="10" customWidth="1"/>
    <col min="5" max="5" width="7" customWidth="1"/>
    <col min="6" max="6" width="13" customWidth="1"/>
    <col min="7" max="8" width="12" customWidth="1"/>
    <col min="9" max="9" width="9" customWidth="1"/>
    <col min="10" max="10" width="10" customWidth="1"/>
    <col min="11" max="11" width="14" customWidth="1"/>
  </cols>
  <sheetData>
    <row r="1" ht="30" customHeight="1" spans="1:11">
      <c r="A1" s="7" t="s">
        <v>531</v>
      </c>
    </row>
    <row r="2" ht="18" customHeight="1" spans="1:11">
      <c r="A2" s="12" t="s">
        <v>532</v>
      </c>
    </row>
    <row r="3" ht="20" customHeight="1" spans="1:11">
      <c r="A3" s="36" t="s">
        <v>533</v>
      </c>
    </row>
    <row r="4" ht="30" customHeight="1" spans="1:11">
      <c r="A4" s="21" t="s">
        <v>3</v>
      </c>
      <c r="B4" s="21" t="s">
        <v>534</v>
      </c>
      <c r="C4" s="21" t="s">
        <v>535</v>
      </c>
      <c r="D4" s="21" t="s">
        <v>135</v>
      </c>
      <c r="E4" s="21" t="s">
        <v>536</v>
      </c>
      <c r="F4" s="21" t="s">
        <v>537</v>
      </c>
      <c r="G4" s="21" t="s">
        <v>538</v>
      </c>
      <c r="H4" s="21" t="s">
        <v>539</v>
      </c>
      <c r="I4" s="21" t="s">
        <v>540</v>
      </c>
      <c r="J4" s="21" t="s">
        <v>267</v>
      </c>
      <c r="K4" s="21" t="s">
        <v>306</v>
      </c>
    </row>
    <row r="5" spans="1:11">
      <c r="A5" s="24">
        <f t="shared" ref="A5:A68" si="0">IF($B5="","",ROW()-4)</f>
        <v>1</v>
      </c>
      <c r="B5" s="24" t="str">
        <f>IF(ROW()-4&lt;=MIN(N(_自动清单!$A$1),60),"包装物料",IF(ROW()-4&lt;=MIN(N(_自动清单!$A$1),60)+MIN(N(_自动清单!$BM$1),60),"筐子/托盘",""))</f>
        <v>包装物料</v>
      </c>
      <c r="C5" s="37" t="str">
        <f>IF($B5="","",IFERROR(IF($B5="包装物料",INDEX(_自动清单!$G$4:$G$63,ROW()-4),INDEX(_自动清单!$BQ$4:$BQ$63,ROW()-4-MIN(N(_自动清单!$A$1),60))),""))</f>
        <v>气泡垫</v>
      </c>
      <c r="D5" s="24" t="str">
        <f>IF($B5&lt;&gt;"包装物料","",IFERROR(INDEX(_自动清单!$H$4:$H$63,ROW()-4),""))</f>
        <v>*1000</v>
      </c>
      <c r="E5" s="24" t="str">
        <f>IF($B5="","",IF($B5="包装物料",IFERROR(INDEX(_自动清单!$I$4:$I$63,ROW()-4),""),"个"))</f>
        <v>片</v>
      </c>
      <c r="F5" s="39">
        <f>IF($B5="","",IF($B5="包装物料",N(IFERROR(INDEX(物料库存结余!$L$4:$L$53,MATCH($C5,物料库存结余!$B$4:$B$53,0)),0)),N(IFERROR(INDEX(筐子库存汇总!$I$4:$I$63,MATCH($C5,筐子库存汇总!$B$4:$B$63,0)),0))))</f>
        <v>13800</v>
      </c>
      <c r="G5" s="39"/>
      <c r="H5" s="39" t="str">
        <f t="shared" ref="H5:H68" si="1">IF(OR($B5="",$G5="未盘点",$G5=""),"",N($G5)-N($F5))</f>
        <v/>
      </c>
      <c r="I5" s="50" t="str">
        <f t="shared" ref="I5:I68" si="2">IF(OR($H5="",N($F5)=0),"",ROUND(N($H5)/N($F5),4))</f>
        <v/>
      </c>
      <c r="J5" s="24" t="str">
        <f t="shared" ref="J5:J68" si="3">IF($B5="","",IF(OR($G5="未盘点",$G5=""),"未盘点",IF(N($H5)=0,"盘平",IF(N($H5)&gt;0,"盘盈","盘亏"))))</f>
        <v>未盘点</v>
      </c>
      <c r="K5" s="42"/>
    </row>
    <row r="6" spans="1:11">
      <c r="A6" s="24">
        <f t="shared" si="0"/>
        <v>2</v>
      </c>
      <c r="B6" s="24" t="str">
        <f>IF(ROW()-4&lt;=MIN(N(_自动清单!$A$1),60),"包装物料",IF(ROW()-4&lt;=MIN(N(_自动清单!$A$1),60)+MIN(N(_自动清单!$BM$1),60),"筐子/托盘",""))</f>
        <v>包装物料</v>
      </c>
      <c r="C6" s="37" t="str">
        <f>IF($B6="","",IFERROR(IF($B6="包装物料",INDEX(_自动清单!$G$4:$G$63,ROW()-4),INDEX(_自动清单!$BQ$4:$BQ$63,ROW()-4-MIN(N(_自动清单!$A$1),60))),""))</f>
        <v>无纺布</v>
      </c>
      <c r="D6" s="24" t="str">
        <f>IF($B6&lt;&gt;"包装物料","",IFERROR(INDEX(_自动清单!$H$4:$H$63,ROW()-4),""))</f>
        <v>*400</v>
      </c>
      <c r="E6" s="24" t="str">
        <f>IF($B6="","",IF($B6="包装物料",IFERROR(INDEX(_自动清单!$I$4:$I$63,ROW()-4),""),"个"))</f>
        <v>个</v>
      </c>
      <c r="F6" s="39">
        <f>IF($B6="","",IF($B6="包装物料",N(IFERROR(INDEX(物料库存结余!$L$4:$L$53,MATCH($C6,物料库存结余!$B$4:$B$53,0)),0)),N(IFERROR(INDEX(筐子库存汇总!$I$4:$I$63,MATCH($C6,筐子库存汇总!$B$4:$B$63,0)),0))))</f>
        <v>800</v>
      </c>
      <c r="G6" s="39"/>
      <c r="H6" s="39" t="str">
        <f t="shared" si="1"/>
        <v/>
      </c>
      <c r="I6" s="50" t="str">
        <f t="shared" si="2"/>
        <v/>
      </c>
      <c r="J6" s="24" t="str">
        <f t="shared" si="3"/>
        <v>未盘点</v>
      </c>
      <c r="K6" s="42"/>
    </row>
    <row r="7" spans="1:11">
      <c r="A7" s="24">
        <f t="shared" si="0"/>
        <v>3</v>
      </c>
      <c r="B7" s="24" t="str">
        <f>IF(ROW()-4&lt;=MIN(N(_自动清单!$A$1),60),"包装物料",IF(ROW()-4&lt;=MIN(N(_自动清单!$A$1),60)+MIN(N(_自动清单!$BM$1),60),"筐子/托盘",""))</f>
        <v>包装物料</v>
      </c>
      <c r="C7" s="37" t="str">
        <f>IF($B7="","",IFERROR(IF($B7="包装物料",INDEX(_自动清单!$G$4:$G$63,ROW()-4),INDEX(_自动清单!$BQ$4:$BQ$63,ROW()-4-MIN(N(_自动清单!$A$1),60))),""))</f>
        <v>纸垫板</v>
      </c>
      <c r="D7" s="24" t="str">
        <f>IF($B7&lt;&gt;"包装物料","",IFERROR(INDEX(_自动清单!$H$4:$H$63,ROW()-4),""))</f>
        <v>*100张</v>
      </c>
      <c r="E7" s="24" t="str">
        <f>IF($B7="","",IF($B7="包装物料",IFERROR(INDEX(_自动清单!$I$4:$I$63,ROW()-4),""),"个"))</f>
        <v>张</v>
      </c>
      <c r="F7" s="39">
        <f>IF($B7="","",IF($B7="包装物料",N(IFERROR(INDEX(物料库存结余!$L$4:$L$53,MATCH($C7,物料库存结余!$B$4:$B$53,0)),0)),N(IFERROR(INDEX(筐子库存汇总!$I$4:$I$63,MATCH($C7,筐子库存汇总!$B$4:$B$63,0)),0))))</f>
        <v>8700</v>
      </c>
      <c r="G7" s="39"/>
      <c r="H7" s="39" t="str">
        <f t="shared" si="1"/>
        <v/>
      </c>
      <c r="I7" s="50" t="str">
        <f t="shared" si="2"/>
        <v/>
      </c>
      <c r="J7" s="24" t="str">
        <f t="shared" si="3"/>
        <v>未盘点</v>
      </c>
      <c r="K7" s="42"/>
    </row>
    <row r="8" spans="1:11">
      <c r="A8" s="24">
        <f t="shared" si="0"/>
        <v>4</v>
      </c>
      <c r="B8" s="24" t="str">
        <f>IF(ROW()-4&lt;=MIN(N(_自动清单!$A$1),60),"包装物料",IF(ROW()-4&lt;=MIN(N(_自动清单!$A$1),60)+MIN(N(_自动清单!$BM$1),60),"筐子/托盘",""))</f>
        <v>包装物料</v>
      </c>
      <c r="C8" s="37" t="str">
        <f>IF($B8="","",IFERROR(IF($B8="包装物料",INDEX(_自动清单!$G$4:$G$63,ROW()-4),INDEX(_自动清单!$BQ$4:$BQ$63,ROW()-4-MIN(N(_自动清单!$A$1),60))),""))</f>
        <v>香梨纸</v>
      </c>
      <c r="D8" s="24" t="str">
        <f>IF($B8&lt;&gt;"包装物料","",IFERROR(INDEX(_自动清单!$H$4:$H$63,ROW()-4),""))</f>
        <v>*捆</v>
      </c>
      <c r="E8" s="24" t="str">
        <f>IF($B8="","",IF($B8="包装物料",IFERROR(INDEX(_自动清单!$I$4:$I$63,ROW()-4),""),"个"))</f>
        <v>捆</v>
      </c>
      <c r="F8" s="39">
        <f>IF($B8="","",IF($B8="包装物料",N(IFERROR(INDEX(物料库存结余!$L$4:$L$53,MATCH($C8,物料库存结余!$B$4:$B$53,0)),0)),N(IFERROR(INDEX(筐子库存汇总!$I$4:$I$63,MATCH($C8,筐子库存汇总!$B$4:$B$63,0)),0))))</f>
        <v>32</v>
      </c>
      <c r="G8" s="39"/>
      <c r="H8" s="39" t="str">
        <f t="shared" si="1"/>
        <v/>
      </c>
      <c r="I8" s="50" t="str">
        <f t="shared" si="2"/>
        <v/>
      </c>
      <c r="J8" s="24" t="str">
        <f t="shared" si="3"/>
        <v>未盘点</v>
      </c>
      <c r="K8" s="42"/>
    </row>
    <row r="9" spans="1:11">
      <c r="A9" s="24">
        <f t="shared" si="0"/>
        <v>5</v>
      </c>
      <c r="B9" s="24" t="str">
        <f>IF(ROW()-4&lt;=MIN(N(_自动清单!$A$1),60),"包装物料",IF(ROW()-4&lt;=MIN(N(_自动清单!$A$1),60)+MIN(N(_自动清单!$BM$1),60),"筐子/托盘",""))</f>
        <v>包装物料</v>
      </c>
      <c r="C9" s="37" t="str">
        <f>IF($B9="","",IFERROR(IF($B9="包装物料",INDEX(_自动清单!$G$4:$G$63,ROW()-4),INDEX(_自动清单!$BQ$4:$BQ$63,ROW()-4-MIN(N(_自动清单!$A$1),60))),""))</f>
        <v>冷煤/氟利昂</v>
      </c>
      <c r="D9" s="24" t="str">
        <f>IF($B9&lt;&gt;"包装物料","",IFERROR(INDEX(_自动清单!$H$4:$H$63,ROW()-4),""))</f>
        <v>*瓶</v>
      </c>
      <c r="E9" s="24" t="str">
        <f>IF($B9="","",IF($B9="包装物料",IFERROR(INDEX(_自动清单!$I$4:$I$63,ROW()-4),""),"个"))</f>
        <v>瓶</v>
      </c>
      <c r="F9" s="39">
        <f>IF($B9="","",IF($B9="包装物料",N(IFERROR(INDEX(物料库存结余!$L$4:$L$53,MATCH($C9,物料库存结余!$B$4:$B$53,0)),0)),N(IFERROR(INDEX(筐子库存汇总!$I$4:$I$63,MATCH($C9,筐子库存汇总!$B$4:$B$63,0)),0))))</f>
        <v>23</v>
      </c>
      <c r="G9" s="39"/>
      <c r="H9" s="39" t="str">
        <f t="shared" si="1"/>
        <v/>
      </c>
      <c r="I9" s="50" t="str">
        <f t="shared" si="2"/>
        <v/>
      </c>
      <c r="J9" s="24" t="str">
        <f t="shared" si="3"/>
        <v>未盘点</v>
      </c>
      <c r="K9" s="42"/>
    </row>
    <row r="10" spans="1:11">
      <c r="A10" s="24">
        <f t="shared" si="0"/>
        <v>6</v>
      </c>
      <c r="B10" s="24" t="str">
        <f>IF(ROW()-4&lt;=MIN(N(_自动清单!$A$1),60),"包装物料",IF(ROW()-4&lt;=MIN(N(_自动清单!$A$1),60)+MIN(N(_自动清单!$BM$1),60),"筐子/托盘",""))</f>
        <v>包装物料</v>
      </c>
      <c r="C10" s="37" t="str">
        <f>IF($B10="","",IFERROR(IF($B10="包装物料",INDEX(_自动清单!$G$4:$G$63,ROW()-4),INDEX(_自动清单!$BQ$4:$BQ$63,ROW()-4-MIN(N(_自动清单!$A$1),60))),""))</f>
        <v>胶带</v>
      </c>
      <c r="D10" s="24" t="str">
        <f>IF($B10&lt;&gt;"包装物料","",IFERROR(INDEX(_自动清单!$H$4:$H$63,ROW()-4),""))</f>
        <v>*30卷</v>
      </c>
      <c r="E10" s="24" t="str">
        <f>IF($B10="","",IF($B10="包装物料",IFERROR(INDEX(_自动清单!$I$4:$I$63,ROW()-4),""),"个"))</f>
        <v>卷</v>
      </c>
      <c r="F10" s="39">
        <f>IF($B10="","",IF($B10="包装物料",N(IFERROR(INDEX(物料库存结余!$L$4:$L$53,MATCH($C10,物料库存结余!$B$4:$B$53,0)),0)),N(IFERROR(INDEX(筐子库存汇总!$I$4:$I$63,MATCH($C10,筐子库存汇总!$B$4:$B$63,0)),0))))</f>
        <v>2</v>
      </c>
      <c r="G10" s="39"/>
      <c r="H10" s="39" t="str">
        <f t="shared" si="1"/>
        <v/>
      </c>
      <c r="I10" s="50" t="str">
        <f t="shared" si="2"/>
        <v/>
      </c>
      <c r="J10" s="24" t="str">
        <f t="shared" si="3"/>
        <v>未盘点</v>
      </c>
      <c r="K10" s="42"/>
    </row>
    <row r="11" spans="1:11">
      <c r="A11" s="24">
        <f t="shared" si="0"/>
        <v>7</v>
      </c>
      <c r="B11" s="24" t="str">
        <f>IF(ROW()-4&lt;=MIN(N(_自动清单!$A$1),60),"包装物料",IF(ROW()-4&lt;=MIN(N(_自动清单!$A$1),60)+MIN(N(_自动清单!$BM$1),60),"筐子/托盘",""))</f>
        <v>包装物料</v>
      </c>
      <c r="C11" s="37" t="str">
        <f>IF($B11="","",IFERROR(IF($B11="包装物料",INDEX(_自动清单!$G$4:$G$63,ROW()-4),INDEX(_自动清单!$BQ$4:$BQ$63,ROW()-4-MIN(N(_自动清单!$A$1),60))),""))</f>
        <v>香梨网</v>
      </c>
      <c r="D11" s="24" t="str">
        <f>IF($B11&lt;&gt;"包装物料","",IFERROR(INDEX(_自动清单!$H$4:$H$63,ROW()-4),""))</f>
        <v>*包</v>
      </c>
      <c r="E11" s="24" t="str">
        <f>IF($B11="","",IF($B11="包装物料",IFERROR(INDEX(_自动清单!$I$4:$I$63,ROW()-4),""),"个"))</f>
        <v>包</v>
      </c>
      <c r="F11" s="39">
        <f>IF($B11="","",IF($B11="包装物料",N(IFERROR(INDEX(物料库存结余!$L$4:$L$53,MATCH($C11,物料库存结余!$B$4:$B$53,0)),0)),N(IFERROR(INDEX(筐子库存汇总!$I$4:$I$63,MATCH($C11,筐子库存汇总!$B$4:$B$63,0)),0))))</f>
        <v>133</v>
      </c>
      <c r="G11" s="39"/>
      <c r="H11" s="39" t="str">
        <f t="shared" si="1"/>
        <v/>
      </c>
      <c r="I11" s="50" t="str">
        <f t="shared" si="2"/>
        <v/>
      </c>
      <c r="J11" s="24" t="str">
        <f t="shared" si="3"/>
        <v>未盘点</v>
      </c>
      <c r="K11" s="42"/>
    </row>
    <row r="12" spans="1:11">
      <c r="A12" s="24">
        <f t="shared" si="0"/>
        <v>8</v>
      </c>
      <c r="B12" s="24" t="str">
        <f>IF(ROW()-4&lt;=MIN(N(_自动清单!$A$1),60),"包装物料",IF(ROW()-4&lt;=MIN(N(_自动清单!$A$1),60)+MIN(N(_自动清单!$BM$1),60),"筐子/托盘",""))</f>
        <v>筐子/托盘</v>
      </c>
      <c r="C12" s="37" t="str">
        <f>IF($B12="","",IFERROR(IF($B12="包装物料",INDEX(_自动清单!$G$4:$G$63,ROW()-4),INDEX(_自动清单!$BQ$4:$BQ$63,ROW()-4-MIN(N(_自动清单!$A$1),60))),""))</f>
        <v>公司一次性筐</v>
      </c>
      <c r="D12" s="24" t="str">
        <f>IF($B12&lt;&gt;"包装物料","",IFERROR(INDEX(_自动清单!$H$4:$H$63,ROW()-4),""))</f>
        <v/>
      </c>
      <c r="E12" s="24" t="str">
        <f>IF($B12="","",IF($B12="包装物料",IFERROR(INDEX(_自动清单!$I$4:$I$63,ROW()-4),""),"个"))</f>
        <v>个</v>
      </c>
      <c r="F12" s="39">
        <f>IF($B12="","",IF($B12="包装物料",N(IFERROR(INDEX(物料库存结余!$L$4:$L$53,MATCH($C12,物料库存结余!$B$4:$B$53,0)),0)),N(IFERROR(INDEX(筐子库存汇总!$I$4:$I$63,MATCH($C12,筐子库存汇总!$B$4:$B$63,0)),0))))</f>
        <v>64627</v>
      </c>
      <c r="G12" s="39"/>
      <c r="H12" s="39" t="str">
        <f t="shared" si="1"/>
        <v/>
      </c>
      <c r="I12" s="50" t="str">
        <f t="shared" si="2"/>
        <v/>
      </c>
      <c r="J12" s="24" t="str">
        <f t="shared" si="3"/>
        <v>未盘点</v>
      </c>
      <c r="K12" s="42"/>
    </row>
    <row r="13" spans="1:11">
      <c r="A13" s="24">
        <f t="shared" si="0"/>
        <v>9</v>
      </c>
      <c r="B13" s="24" t="str">
        <f>IF(ROW()-4&lt;=MIN(N(_自动清单!$A$1),60),"包装物料",IF(ROW()-4&lt;=MIN(N(_自动清单!$A$1),60)+MIN(N(_自动清单!$BM$1),60),"筐子/托盘",""))</f>
        <v>筐子/托盘</v>
      </c>
      <c r="C13" s="37" t="str">
        <f>IF($B13="","",IFERROR(IF($B13="包装物料",INDEX(_自动清单!$G$4:$G$63,ROW()-4),INDEX(_自动清单!$BQ$4:$BQ$63,ROW()-4-MIN(N(_自动清单!$A$1),60))),""))</f>
        <v>公司杂周转筐</v>
      </c>
      <c r="D13" s="24" t="str">
        <f>IF($B13&lt;&gt;"包装物料","",IFERROR(INDEX(_自动清单!$H$4:$H$63,ROW()-4),""))</f>
        <v/>
      </c>
      <c r="E13" s="24" t="str">
        <f>IF($B13="","",IF($B13="包装物料",IFERROR(INDEX(_自动清单!$I$4:$I$63,ROW()-4),""),"个"))</f>
        <v>个</v>
      </c>
      <c r="F13" s="39">
        <f>IF($B13="","",IF($B13="包装物料",N(IFERROR(INDEX(物料库存结余!$L$4:$L$53,MATCH($C13,物料库存结余!$B$4:$B$53,0)),0)),N(IFERROR(INDEX(筐子库存汇总!$I$4:$I$63,MATCH($C13,筐子库存汇总!$B$4:$B$63,0)),0))))</f>
        <v>29402</v>
      </c>
      <c r="G13" s="39"/>
      <c r="H13" s="39" t="str">
        <f t="shared" si="1"/>
        <v/>
      </c>
      <c r="I13" s="50" t="str">
        <f t="shared" si="2"/>
        <v/>
      </c>
      <c r="J13" s="24" t="str">
        <f t="shared" si="3"/>
        <v>未盘点</v>
      </c>
      <c r="K13" s="42"/>
    </row>
    <row r="14" spans="1:11">
      <c r="A14" s="24">
        <f t="shared" si="0"/>
        <v>10</v>
      </c>
      <c r="B14" s="24" t="str">
        <f>IF(ROW()-4&lt;=MIN(N(_自动清单!$A$1),60),"包装物料",IF(ROW()-4&lt;=MIN(N(_自动清单!$A$1),60)+MIN(N(_自动清单!$BM$1),60),"筐子/托盘",""))</f>
        <v>筐子/托盘</v>
      </c>
      <c r="C14" s="37" t="str">
        <f>IF($B14="","",IFERROR(IF($B14="包装物料",INDEX(_自动清单!$G$4:$G$63,ROW()-4),INDEX(_自动清单!$BQ$4:$BQ$63,ROW()-4-MIN(N(_自动清单!$A$1),60))),""))</f>
        <v>公司新周转筐</v>
      </c>
      <c r="D14" s="24" t="str">
        <f>IF($B14&lt;&gt;"包装物料","",IFERROR(INDEX(_自动清单!$H$4:$H$63,ROW()-4),""))</f>
        <v/>
      </c>
      <c r="E14" s="24" t="str">
        <f>IF($B14="","",IF($B14="包装物料",IFERROR(INDEX(_自动清单!$I$4:$I$63,ROW()-4),""),"个"))</f>
        <v>个</v>
      </c>
      <c r="F14" s="39">
        <f>IF($B14="","",IF($B14="包装物料",N(IFERROR(INDEX(物料库存结余!$L$4:$L$53,MATCH($C14,物料库存结余!$B$4:$B$53,0)),0)),N(IFERROR(INDEX(筐子库存汇总!$I$4:$I$63,MATCH($C14,筐子库存汇总!$B$4:$B$63,0)),0))))</f>
        <v>57021</v>
      </c>
      <c r="G14" s="39"/>
      <c r="H14" s="39" t="str">
        <f t="shared" si="1"/>
        <v/>
      </c>
      <c r="I14" s="50" t="str">
        <f t="shared" si="2"/>
        <v/>
      </c>
      <c r="J14" s="24" t="str">
        <f t="shared" si="3"/>
        <v>未盘点</v>
      </c>
      <c r="K14" s="42"/>
    </row>
    <row r="15" spans="1:11">
      <c r="A15" s="24">
        <f t="shared" si="0"/>
        <v>11</v>
      </c>
      <c r="B15" s="24" t="str">
        <f>IF(ROW()-4&lt;=MIN(N(_自动清单!$A$1),60),"包装物料",IF(ROW()-4&lt;=MIN(N(_自动清单!$A$1),60)+MIN(N(_自动清单!$BM$1),60),"筐子/托盘",""))</f>
        <v>筐子/托盘</v>
      </c>
      <c r="C15" s="37" t="str">
        <f>IF($B15="","",IFERROR(IF($B15="包装物料",INDEX(_自动清单!$G$4:$G$63,ROW()-4),INDEX(_自动清单!$BQ$4:$BQ$63,ROW()-4-MIN(N(_自动清单!$A$1),60))),""))</f>
        <v>公司白周转筐</v>
      </c>
      <c r="D15" s="24" t="str">
        <f>IF($B15&lt;&gt;"包装物料","",IFERROR(INDEX(_自动清单!$H$4:$H$63,ROW()-4),""))</f>
        <v/>
      </c>
      <c r="E15" s="24" t="str">
        <f>IF($B15="","",IF($B15="包装物料",IFERROR(INDEX(_自动清单!$I$4:$I$63,ROW()-4),""),"个"))</f>
        <v>个</v>
      </c>
      <c r="F15" s="39">
        <f>IF($B15="","",IF($B15="包装物料",N(IFERROR(INDEX(物料库存结余!$L$4:$L$53,MATCH($C15,物料库存结余!$B$4:$B$53,0)),0)),N(IFERROR(INDEX(筐子库存汇总!$I$4:$I$63,MATCH($C15,筐子库存汇总!$B$4:$B$63,0)),0))))</f>
        <v>13968</v>
      </c>
      <c r="G15" s="39"/>
      <c r="H15" s="39" t="str">
        <f t="shared" si="1"/>
        <v/>
      </c>
      <c r="I15" s="50" t="str">
        <f t="shared" si="2"/>
        <v/>
      </c>
      <c r="J15" s="24" t="str">
        <f t="shared" si="3"/>
        <v>未盘点</v>
      </c>
      <c r="K15" s="42"/>
    </row>
    <row r="16" spans="1:11">
      <c r="A16" s="24">
        <f t="shared" si="0"/>
        <v>12</v>
      </c>
      <c r="B16" s="24" t="str">
        <f>IF(ROW()-4&lt;=MIN(N(_自动清单!$A$1),60),"包装物料",IF(ROW()-4&lt;=MIN(N(_自动清单!$A$1),60)+MIN(N(_自动清单!$BM$1),60),"筐子/托盘",""))</f>
        <v>筐子/托盘</v>
      </c>
      <c r="C16" s="37" t="str">
        <f>IF($B16="","",IFERROR(IF($B16="包装物料",INDEX(_自动清单!$G$4:$G$63,ROW()-4),INDEX(_自动清单!$BQ$4:$BQ$63,ROW()-4-MIN(N(_自动清单!$A$1),60))),""))</f>
        <v>公司红周转筐</v>
      </c>
      <c r="D16" s="24" t="str">
        <f>IF($B16&lt;&gt;"包装物料","",IFERROR(INDEX(_自动清单!$H$4:$H$63,ROW()-4),""))</f>
        <v/>
      </c>
      <c r="E16" s="24" t="str">
        <f>IF($B16="","",IF($B16="包装物料",IFERROR(INDEX(_自动清单!$I$4:$I$63,ROW()-4),""),"个"))</f>
        <v>个</v>
      </c>
      <c r="F16" s="39">
        <f>IF($B16="","",IF($B16="包装物料",N(IFERROR(INDEX(物料库存结余!$L$4:$L$53,MATCH($C16,物料库存结余!$B$4:$B$53,0)),0)),N(IFERROR(INDEX(筐子库存汇总!$I$4:$I$63,MATCH($C16,筐子库存汇总!$B$4:$B$63,0)),0))))</f>
        <v>0</v>
      </c>
      <c r="G16" s="39"/>
      <c r="H16" s="39" t="str">
        <f t="shared" si="1"/>
        <v/>
      </c>
      <c r="I16" s="50" t="str">
        <f t="shared" si="2"/>
        <v/>
      </c>
      <c r="J16" s="24" t="str">
        <f t="shared" si="3"/>
        <v>未盘点</v>
      </c>
      <c r="K16" s="42"/>
    </row>
    <row r="17" spans="1:11">
      <c r="A17" s="24">
        <f t="shared" si="0"/>
        <v>13</v>
      </c>
      <c r="B17" s="24" t="str">
        <f>IF(ROW()-4&lt;=MIN(N(_自动清单!$A$1),60),"包装物料",IF(ROW()-4&lt;=MIN(N(_自动清单!$A$1),60)+MIN(N(_自动清单!$BM$1),60),"筐子/托盘",""))</f>
        <v>筐子/托盘</v>
      </c>
      <c r="C17" s="37" t="str">
        <f>IF($B17="","",IFERROR(IF($B17="包装物料",INDEX(_自动清单!$G$4:$G$63,ROW()-4),INDEX(_自动清单!$BQ$4:$BQ$63,ROW()-4-MIN(N(_自动清单!$A$1),60))),""))</f>
        <v>自备一次性筐</v>
      </c>
      <c r="D17" s="24" t="str">
        <f>IF($B17&lt;&gt;"包装物料","",IFERROR(INDEX(_自动清单!$H$4:$H$63,ROW()-4),""))</f>
        <v/>
      </c>
      <c r="E17" s="24" t="str">
        <f>IF($B17="","",IF($B17="包装物料",IFERROR(INDEX(_自动清单!$I$4:$I$63,ROW()-4),""),"个"))</f>
        <v>个</v>
      </c>
      <c r="F17" s="39">
        <f>IF($B17="","",IF($B17="包装物料",N(IFERROR(INDEX(物料库存结余!$L$4:$L$53,MATCH($C17,物料库存结余!$B$4:$B$53,0)),0)),N(IFERROR(INDEX(筐子库存汇总!$I$4:$I$63,MATCH($C17,筐子库存汇总!$B$4:$B$63,0)),0))))</f>
        <v>0</v>
      </c>
      <c r="G17" s="39"/>
      <c r="H17" s="39" t="str">
        <f t="shared" si="1"/>
        <v/>
      </c>
      <c r="I17" s="50" t="str">
        <f t="shared" si="2"/>
        <v/>
      </c>
      <c r="J17" s="24" t="str">
        <f t="shared" si="3"/>
        <v>未盘点</v>
      </c>
      <c r="K17" s="42"/>
    </row>
    <row r="18" spans="1:11">
      <c r="A18" s="24">
        <f t="shared" si="0"/>
        <v>14</v>
      </c>
      <c r="B18" s="24" t="str">
        <f>IF(ROW()-4&lt;=MIN(N(_自动清单!$A$1),60),"包装物料",IF(ROW()-4&lt;=MIN(N(_自动清单!$A$1),60)+MIN(N(_自动清单!$BM$1),60),"筐子/托盘",""))</f>
        <v>筐子/托盘</v>
      </c>
      <c r="C18" s="37" t="str">
        <f>IF($B18="","",IFERROR(IF($B18="包装物料",INDEX(_自动清单!$G$4:$G$63,ROW()-4),INDEX(_自动清单!$BQ$4:$BQ$63,ROW()-4-MIN(N(_自动清单!$A$1),60))),""))</f>
        <v>自备杂周转筐</v>
      </c>
      <c r="D18" s="24" t="str">
        <f>IF($B18&lt;&gt;"包装物料","",IFERROR(INDEX(_自动清单!$H$4:$H$63,ROW()-4),""))</f>
        <v/>
      </c>
      <c r="E18" s="24" t="str">
        <f>IF($B18="","",IF($B18="包装物料",IFERROR(INDEX(_自动清单!$I$4:$I$63,ROW()-4),""),"个"))</f>
        <v>个</v>
      </c>
      <c r="F18" s="39">
        <f>IF($B18="","",IF($B18="包装物料",N(IFERROR(INDEX(物料库存结余!$L$4:$L$53,MATCH($C18,物料库存结余!$B$4:$B$53,0)),0)),N(IFERROR(INDEX(筐子库存汇总!$I$4:$I$63,MATCH($C18,筐子库存汇总!$B$4:$B$63,0)),0))))</f>
        <v>0</v>
      </c>
      <c r="G18" s="39"/>
      <c r="H18" s="39" t="str">
        <f t="shared" si="1"/>
        <v/>
      </c>
      <c r="I18" s="50" t="str">
        <f t="shared" si="2"/>
        <v/>
      </c>
      <c r="J18" s="24" t="str">
        <f t="shared" si="3"/>
        <v>未盘点</v>
      </c>
      <c r="K18" s="42"/>
    </row>
    <row r="19" spans="1:11">
      <c r="A19" s="24">
        <f t="shared" si="0"/>
        <v>15</v>
      </c>
      <c r="B19" s="24" t="str">
        <f>IF(ROW()-4&lt;=MIN(N(_自动清单!$A$1),60),"包装物料",IF(ROW()-4&lt;=MIN(N(_自动清单!$A$1),60)+MIN(N(_自动清单!$BM$1),60),"筐子/托盘",""))</f>
        <v>筐子/托盘</v>
      </c>
      <c r="C19" s="37" t="str">
        <f>IF($B19="","",IFERROR(IF($B19="包装物料",INDEX(_自动清单!$G$4:$G$63,ROW()-4),INDEX(_自动清单!$BQ$4:$BQ$63,ROW()-4-MIN(N(_自动清单!$A$1),60))),""))</f>
        <v>纸箱</v>
      </c>
      <c r="D19" s="24" t="str">
        <f>IF($B19&lt;&gt;"包装物料","",IFERROR(INDEX(_自动清单!$H$4:$H$63,ROW()-4),""))</f>
        <v/>
      </c>
      <c r="E19" s="24" t="str">
        <f>IF($B19="","",IF($B19="包装物料",IFERROR(INDEX(_自动清单!$I$4:$I$63,ROW()-4),""),"个"))</f>
        <v>个</v>
      </c>
      <c r="F19" s="39">
        <f>IF($B19="","",IF($B19="包装物料",N(IFERROR(INDEX(物料库存结余!$L$4:$L$53,MATCH($C19,物料库存结余!$B$4:$B$53,0)),0)),N(IFERROR(INDEX(筐子库存汇总!$I$4:$I$63,MATCH($C19,筐子库存汇总!$B$4:$B$63,0)),0))))</f>
        <v>0</v>
      </c>
      <c r="G19" s="39"/>
      <c r="H19" s="39" t="str">
        <f t="shared" si="1"/>
        <v/>
      </c>
      <c r="I19" s="50" t="str">
        <f t="shared" si="2"/>
        <v/>
      </c>
      <c r="J19" s="24" t="str">
        <f t="shared" si="3"/>
        <v>未盘点</v>
      </c>
      <c r="K19" s="42"/>
    </row>
    <row r="20" spans="1:11">
      <c r="A20" s="24" t="str">
        <f t="shared" si="0"/>
        <v/>
      </c>
      <c r="B20" s="24" t="str">
        <f>IF(ROW()-4&lt;=MIN(N(_自动清单!$A$1),60),"包装物料",IF(ROW()-4&lt;=MIN(N(_自动清单!$A$1),60)+MIN(N(_自动清单!$BM$1),60),"筐子/托盘",""))</f>
        <v/>
      </c>
      <c r="C20" s="37" t="str">
        <f>IF($B20="","",IFERROR(IF($B20="包装物料",INDEX(_自动清单!$G$4:$G$63,ROW()-4),INDEX(_自动清单!$BQ$4:$BQ$63,ROW()-4-MIN(N(_自动清单!$A$1),60))),""))</f>
        <v/>
      </c>
      <c r="D20" s="24" t="str">
        <f>IF($B20&lt;&gt;"包装物料","",IFERROR(INDEX(_自动清单!$H$4:$H$63,ROW()-4),""))</f>
        <v/>
      </c>
      <c r="E20" s="24" t="str">
        <f>IF($B20="","",IF($B20="包装物料",IFERROR(INDEX(_自动清单!$I$4:$I$63,ROW()-4),""),"个"))</f>
        <v/>
      </c>
      <c r="F20" s="39" t="str">
        <f>IF($B20="","",IF($B20="包装物料",N(IFERROR(INDEX(物料库存结余!$L$4:$L$53,MATCH($C20,物料库存结余!$B$4:$B$53,0)),0)),N(IFERROR(INDEX(筐子库存汇总!$I$4:$I$63,MATCH($C20,筐子库存汇总!$B$4:$B$63,0)),0))))</f>
        <v/>
      </c>
      <c r="G20" s="39"/>
      <c r="H20" s="39" t="str">
        <f t="shared" si="1"/>
        <v/>
      </c>
      <c r="I20" s="50" t="str">
        <f t="shared" si="2"/>
        <v/>
      </c>
      <c r="J20" s="24" t="str">
        <f t="shared" si="3"/>
        <v/>
      </c>
      <c r="K20" s="42"/>
    </row>
    <row r="21" spans="1:11">
      <c r="A21" s="24" t="str">
        <f t="shared" si="0"/>
        <v/>
      </c>
      <c r="B21" s="24" t="str">
        <f>IF(ROW()-4&lt;=MIN(N(_自动清单!$A$1),60),"包装物料",IF(ROW()-4&lt;=MIN(N(_自动清单!$A$1),60)+MIN(N(_自动清单!$BM$1),60),"筐子/托盘",""))</f>
        <v/>
      </c>
      <c r="C21" s="37" t="str">
        <f>IF($B21="","",IFERROR(IF($B21="包装物料",INDEX(_自动清单!$G$4:$G$63,ROW()-4),INDEX(_自动清单!$BQ$4:$BQ$63,ROW()-4-MIN(N(_自动清单!$A$1),60))),""))</f>
        <v/>
      </c>
      <c r="D21" s="24" t="str">
        <f>IF($B21&lt;&gt;"包装物料","",IFERROR(INDEX(_自动清单!$H$4:$H$63,ROW()-4),""))</f>
        <v/>
      </c>
      <c r="E21" s="24" t="str">
        <f>IF($B21="","",IF($B21="包装物料",IFERROR(INDEX(_自动清单!$I$4:$I$63,ROW()-4),""),"个"))</f>
        <v/>
      </c>
      <c r="F21" s="39" t="str">
        <f>IF($B21="","",IF($B21="包装物料",N(IFERROR(INDEX(物料库存结余!$L$4:$L$53,MATCH($C21,物料库存结余!$B$4:$B$53,0)),0)),N(IFERROR(INDEX(筐子库存汇总!$I$4:$I$63,MATCH($C21,筐子库存汇总!$B$4:$B$63,0)),0))))</f>
        <v/>
      </c>
      <c r="G21" s="39"/>
      <c r="H21" s="39" t="str">
        <f t="shared" si="1"/>
        <v/>
      </c>
      <c r="I21" s="50" t="str">
        <f t="shared" si="2"/>
        <v/>
      </c>
      <c r="J21" s="24" t="str">
        <f t="shared" si="3"/>
        <v/>
      </c>
      <c r="K21" s="42"/>
    </row>
    <row r="22" spans="1:11">
      <c r="A22" s="24" t="str">
        <f t="shared" si="0"/>
        <v/>
      </c>
      <c r="B22" s="24" t="str">
        <f>IF(ROW()-4&lt;=MIN(N(_自动清单!$A$1),60),"包装物料",IF(ROW()-4&lt;=MIN(N(_自动清单!$A$1),60)+MIN(N(_自动清单!$BM$1),60),"筐子/托盘",""))</f>
        <v/>
      </c>
      <c r="C22" s="37" t="str">
        <f>IF($B22="","",IFERROR(IF($B22="包装物料",INDEX(_自动清单!$G$4:$G$63,ROW()-4),INDEX(_自动清单!$BQ$4:$BQ$63,ROW()-4-MIN(N(_自动清单!$A$1),60))),""))</f>
        <v/>
      </c>
      <c r="D22" s="24" t="str">
        <f>IF($B22&lt;&gt;"包装物料","",IFERROR(INDEX(_自动清单!$H$4:$H$63,ROW()-4),""))</f>
        <v/>
      </c>
      <c r="E22" s="24" t="str">
        <f>IF($B22="","",IF($B22="包装物料",IFERROR(INDEX(_自动清单!$I$4:$I$63,ROW()-4),""),"个"))</f>
        <v/>
      </c>
      <c r="F22" s="39" t="str">
        <f>IF($B22="","",IF($B22="包装物料",N(IFERROR(INDEX(物料库存结余!$L$4:$L$53,MATCH($C22,物料库存结余!$B$4:$B$53,0)),0)),N(IFERROR(INDEX(筐子库存汇总!$I$4:$I$63,MATCH($C22,筐子库存汇总!$B$4:$B$63,0)),0))))</f>
        <v/>
      </c>
      <c r="G22" s="39"/>
      <c r="H22" s="39" t="str">
        <f t="shared" si="1"/>
        <v/>
      </c>
      <c r="I22" s="50" t="str">
        <f t="shared" si="2"/>
        <v/>
      </c>
      <c r="J22" s="24" t="str">
        <f t="shared" si="3"/>
        <v/>
      </c>
      <c r="K22" s="42"/>
    </row>
    <row r="23" spans="1:11">
      <c r="A23" s="24" t="str">
        <f t="shared" si="0"/>
        <v/>
      </c>
      <c r="B23" s="24" t="str">
        <f>IF(ROW()-4&lt;=MIN(N(_自动清单!$A$1),60),"包装物料",IF(ROW()-4&lt;=MIN(N(_自动清单!$A$1),60)+MIN(N(_自动清单!$BM$1),60),"筐子/托盘",""))</f>
        <v/>
      </c>
      <c r="C23" s="37" t="str">
        <f>IF($B23="","",IFERROR(IF($B23="包装物料",INDEX(_自动清单!$G$4:$G$63,ROW()-4),INDEX(_自动清单!$BQ$4:$BQ$63,ROW()-4-MIN(N(_自动清单!$A$1),60))),""))</f>
        <v/>
      </c>
      <c r="D23" s="24" t="str">
        <f>IF($B23&lt;&gt;"包装物料","",IFERROR(INDEX(_自动清单!$H$4:$H$63,ROW()-4),""))</f>
        <v/>
      </c>
      <c r="E23" s="24" t="str">
        <f>IF($B23="","",IF($B23="包装物料",IFERROR(INDEX(_自动清单!$I$4:$I$63,ROW()-4),""),"个"))</f>
        <v/>
      </c>
      <c r="F23" s="39" t="str">
        <f>IF($B23="","",IF($B23="包装物料",N(IFERROR(INDEX(物料库存结余!$L$4:$L$53,MATCH($C23,物料库存结余!$B$4:$B$53,0)),0)),N(IFERROR(INDEX(筐子库存汇总!$I$4:$I$63,MATCH($C23,筐子库存汇总!$B$4:$B$63,0)),0))))</f>
        <v/>
      </c>
      <c r="G23" s="39"/>
      <c r="H23" s="39" t="str">
        <f t="shared" si="1"/>
        <v/>
      </c>
      <c r="I23" s="50" t="str">
        <f t="shared" si="2"/>
        <v/>
      </c>
      <c r="J23" s="24" t="str">
        <f t="shared" si="3"/>
        <v/>
      </c>
      <c r="K23" s="42"/>
    </row>
    <row r="24" spans="1:11">
      <c r="A24" s="24" t="str">
        <f t="shared" si="0"/>
        <v/>
      </c>
      <c r="B24" s="24" t="str">
        <f>IF(ROW()-4&lt;=MIN(N(_自动清单!$A$1),60),"包装物料",IF(ROW()-4&lt;=MIN(N(_自动清单!$A$1),60)+MIN(N(_自动清单!$BM$1),60),"筐子/托盘",""))</f>
        <v/>
      </c>
      <c r="C24" s="37" t="str">
        <f>IF($B24="","",IFERROR(IF($B24="包装物料",INDEX(_自动清单!$G$4:$G$63,ROW()-4),INDEX(_自动清单!$BQ$4:$BQ$63,ROW()-4-MIN(N(_自动清单!$A$1),60))),""))</f>
        <v/>
      </c>
      <c r="D24" s="24" t="str">
        <f>IF($B24&lt;&gt;"包装物料","",IFERROR(INDEX(_自动清单!$H$4:$H$63,ROW()-4),""))</f>
        <v/>
      </c>
      <c r="E24" s="24" t="str">
        <f>IF($B24="","",IF($B24="包装物料",IFERROR(INDEX(_自动清单!$I$4:$I$63,ROW()-4),""),"个"))</f>
        <v/>
      </c>
      <c r="F24" s="39" t="str">
        <f>IF($B24="","",IF($B24="包装物料",N(IFERROR(INDEX(物料库存结余!$L$4:$L$53,MATCH($C24,物料库存结余!$B$4:$B$53,0)),0)),N(IFERROR(INDEX(筐子库存汇总!$I$4:$I$63,MATCH($C24,筐子库存汇总!$B$4:$B$63,0)),0))))</f>
        <v/>
      </c>
      <c r="G24" s="39"/>
      <c r="H24" s="39" t="str">
        <f t="shared" si="1"/>
        <v/>
      </c>
      <c r="I24" s="50" t="str">
        <f t="shared" si="2"/>
        <v/>
      </c>
      <c r="J24" s="24" t="str">
        <f t="shared" si="3"/>
        <v/>
      </c>
      <c r="K24" s="42"/>
    </row>
    <row r="25" spans="1:11">
      <c r="A25" s="24" t="str">
        <f t="shared" si="0"/>
        <v/>
      </c>
      <c r="B25" s="24" t="str">
        <f>IF(ROW()-4&lt;=MIN(N(_自动清单!$A$1),60),"包装物料",IF(ROW()-4&lt;=MIN(N(_自动清单!$A$1),60)+MIN(N(_自动清单!$BM$1),60),"筐子/托盘",""))</f>
        <v/>
      </c>
      <c r="C25" s="37" t="str">
        <f>IF($B25="","",IFERROR(IF($B25="包装物料",INDEX(_自动清单!$G$4:$G$63,ROW()-4),INDEX(_自动清单!$BQ$4:$BQ$63,ROW()-4-MIN(N(_自动清单!$A$1),60))),""))</f>
        <v/>
      </c>
      <c r="D25" s="24" t="str">
        <f>IF($B25&lt;&gt;"包装物料","",IFERROR(INDEX(_自动清单!$H$4:$H$63,ROW()-4),""))</f>
        <v/>
      </c>
      <c r="E25" s="24" t="str">
        <f>IF($B25="","",IF($B25="包装物料",IFERROR(INDEX(_自动清单!$I$4:$I$63,ROW()-4),""),"个"))</f>
        <v/>
      </c>
      <c r="F25" s="39" t="str">
        <f>IF($B25="","",IF($B25="包装物料",N(IFERROR(INDEX(物料库存结余!$L$4:$L$53,MATCH($C25,物料库存结余!$B$4:$B$53,0)),0)),N(IFERROR(INDEX(筐子库存汇总!$I$4:$I$63,MATCH($C25,筐子库存汇总!$B$4:$B$63,0)),0))))</f>
        <v/>
      </c>
      <c r="G25" s="39"/>
      <c r="H25" s="39" t="str">
        <f t="shared" si="1"/>
        <v/>
      </c>
      <c r="I25" s="50" t="str">
        <f t="shared" si="2"/>
        <v/>
      </c>
      <c r="J25" s="24" t="str">
        <f t="shared" si="3"/>
        <v/>
      </c>
      <c r="K25" s="42"/>
    </row>
    <row r="26" spans="1:11">
      <c r="A26" s="24" t="str">
        <f t="shared" si="0"/>
        <v/>
      </c>
      <c r="B26" s="24" t="str">
        <f>IF(ROW()-4&lt;=MIN(N(_自动清单!$A$1),60),"包装物料",IF(ROW()-4&lt;=MIN(N(_自动清单!$A$1),60)+MIN(N(_自动清单!$BM$1),60),"筐子/托盘",""))</f>
        <v/>
      </c>
      <c r="C26" s="37" t="str">
        <f>IF($B26="","",IFERROR(IF($B26="包装物料",INDEX(_自动清单!$G$4:$G$63,ROW()-4),INDEX(_自动清单!$BQ$4:$BQ$63,ROW()-4-MIN(N(_自动清单!$A$1),60))),""))</f>
        <v/>
      </c>
      <c r="D26" s="24" t="str">
        <f>IF($B26&lt;&gt;"包装物料","",IFERROR(INDEX(_自动清单!$H$4:$H$63,ROW()-4),""))</f>
        <v/>
      </c>
      <c r="E26" s="24" t="str">
        <f>IF($B26="","",IF($B26="包装物料",IFERROR(INDEX(_自动清单!$I$4:$I$63,ROW()-4),""),"个"))</f>
        <v/>
      </c>
      <c r="F26" s="39" t="str">
        <f>IF($B26="","",IF($B26="包装物料",N(IFERROR(INDEX(物料库存结余!$L$4:$L$53,MATCH($C26,物料库存结余!$B$4:$B$53,0)),0)),N(IFERROR(INDEX(筐子库存汇总!$I$4:$I$63,MATCH($C26,筐子库存汇总!$B$4:$B$63,0)),0))))</f>
        <v/>
      </c>
      <c r="G26" s="39"/>
      <c r="H26" s="39" t="str">
        <f t="shared" si="1"/>
        <v/>
      </c>
      <c r="I26" s="50" t="str">
        <f t="shared" si="2"/>
        <v/>
      </c>
      <c r="J26" s="24" t="str">
        <f t="shared" si="3"/>
        <v/>
      </c>
      <c r="K26" s="42"/>
    </row>
    <row r="27" spans="1:11">
      <c r="A27" s="24" t="str">
        <f t="shared" si="0"/>
        <v/>
      </c>
      <c r="B27" s="24" t="str">
        <f>IF(ROW()-4&lt;=MIN(N(_自动清单!$A$1),60),"包装物料",IF(ROW()-4&lt;=MIN(N(_自动清单!$A$1),60)+MIN(N(_自动清单!$BM$1),60),"筐子/托盘",""))</f>
        <v/>
      </c>
      <c r="C27" s="37" t="str">
        <f>IF($B27="","",IFERROR(IF($B27="包装物料",INDEX(_自动清单!$G$4:$G$63,ROW()-4),INDEX(_自动清单!$BQ$4:$BQ$63,ROW()-4-MIN(N(_自动清单!$A$1),60))),""))</f>
        <v/>
      </c>
      <c r="D27" s="24" t="str">
        <f>IF($B27&lt;&gt;"包装物料","",IFERROR(INDEX(_自动清单!$H$4:$H$63,ROW()-4),""))</f>
        <v/>
      </c>
      <c r="E27" s="24" t="str">
        <f>IF($B27="","",IF($B27="包装物料",IFERROR(INDEX(_自动清单!$I$4:$I$63,ROW()-4),""),"个"))</f>
        <v/>
      </c>
      <c r="F27" s="39" t="str">
        <f>IF($B27="","",IF($B27="包装物料",N(IFERROR(INDEX(物料库存结余!$L$4:$L$53,MATCH($C27,物料库存结余!$B$4:$B$53,0)),0)),N(IFERROR(INDEX(筐子库存汇总!$I$4:$I$63,MATCH($C27,筐子库存汇总!$B$4:$B$63,0)),0))))</f>
        <v/>
      </c>
      <c r="G27" s="39"/>
      <c r="H27" s="39" t="str">
        <f t="shared" si="1"/>
        <v/>
      </c>
      <c r="I27" s="50" t="str">
        <f t="shared" si="2"/>
        <v/>
      </c>
      <c r="J27" s="24" t="str">
        <f t="shared" si="3"/>
        <v/>
      </c>
      <c r="K27" s="42"/>
    </row>
    <row r="28" spans="1:11">
      <c r="A28" s="24" t="str">
        <f t="shared" si="0"/>
        <v/>
      </c>
      <c r="B28" s="24" t="str">
        <f>IF(ROW()-4&lt;=MIN(N(_自动清单!$A$1),60),"包装物料",IF(ROW()-4&lt;=MIN(N(_自动清单!$A$1),60)+MIN(N(_自动清单!$BM$1),60),"筐子/托盘",""))</f>
        <v/>
      </c>
      <c r="C28" s="37" t="str">
        <f>IF($B28="","",IFERROR(IF($B28="包装物料",INDEX(_自动清单!$G$4:$G$63,ROW()-4),INDEX(_自动清单!$BQ$4:$BQ$63,ROW()-4-MIN(N(_自动清单!$A$1),60))),""))</f>
        <v/>
      </c>
      <c r="D28" s="24" t="str">
        <f>IF($B28&lt;&gt;"包装物料","",IFERROR(INDEX(_自动清单!$H$4:$H$63,ROW()-4),""))</f>
        <v/>
      </c>
      <c r="E28" s="24" t="str">
        <f>IF($B28="","",IF($B28="包装物料",IFERROR(INDEX(_自动清单!$I$4:$I$63,ROW()-4),""),"个"))</f>
        <v/>
      </c>
      <c r="F28" s="39" t="str">
        <f>IF($B28="","",IF($B28="包装物料",N(IFERROR(INDEX(物料库存结余!$L$4:$L$53,MATCH($C28,物料库存结余!$B$4:$B$53,0)),0)),N(IFERROR(INDEX(筐子库存汇总!$I$4:$I$63,MATCH($C28,筐子库存汇总!$B$4:$B$63,0)),0))))</f>
        <v/>
      </c>
      <c r="G28" s="39"/>
      <c r="H28" s="39" t="str">
        <f t="shared" si="1"/>
        <v/>
      </c>
      <c r="I28" s="50" t="str">
        <f t="shared" si="2"/>
        <v/>
      </c>
      <c r="J28" s="24" t="str">
        <f t="shared" si="3"/>
        <v/>
      </c>
      <c r="K28" s="42"/>
    </row>
    <row r="29" spans="1:11">
      <c r="A29" s="24" t="str">
        <f t="shared" si="0"/>
        <v/>
      </c>
      <c r="B29" s="24" t="str">
        <f>IF(ROW()-4&lt;=MIN(N(_自动清单!$A$1),60),"包装物料",IF(ROW()-4&lt;=MIN(N(_自动清单!$A$1),60)+MIN(N(_自动清单!$BM$1),60),"筐子/托盘",""))</f>
        <v/>
      </c>
      <c r="C29" s="37" t="str">
        <f>IF($B29="","",IFERROR(IF($B29="包装物料",INDEX(_自动清单!$G$4:$G$63,ROW()-4),INDEX(_自动清单!$BQ$4:$BQ$63,ROW()-4-MIN(N(_自动清单!$A$1),60))),""))</f>
        <v/>
      </c>
      <c r="D29" s="24" t="str">
        <f>IF($B29&lt;&gt;"包装物料","",IFERROR(INDEX(_自动清单!$H$4:$H$63,ROW()-4),""))</f>
        <v/>
      </c>
      <c r="E29" s="24" t="str">
        <f>IF($B29="","",IF($B29="包装物料",IFERROR(INDEX(_自动清单!$I$4:$I$63,ROW()-4),""),"个"))</f>
        <v/>
      </c>
      <c r="F29" s="39" t="str">
        <f>IF($B29="","",IF($B29="包装物料",N(IFERROR(INDEX(物料库存结余!$L$4:$L$53,MATCH($C29,物料库存结余!$B$4:$B$53,0)),0)),N(IFERROR(INDEX(筐子库存汇总!$I$4:$I$63,MATCH($C29,筐子库存汇总!$B$4:$B$63,0)),0))))</f>
        <v/>
      </c>
      <c r="G29" s="39"/>
      <c r="H29" s="39" t="str">
        <f t="shared" si="1"/>
        <v/>
      </c>
      <c r="I29" s="50" t="str">
        <f t="shared" si="2"/>
        <v/>
      </c>
      <c r="J29" s="24" t="str">
        <f t="shared" si="3"/>
        <v/>
      </c>
      <c r="K29" s="42"/>
    </row>
    <row r="30" spans="1:11">
      <c r="A30" s="24" t="str">
        <f t="shared" si="0"/>
        <v/>
      </c>
      <c r="B30" s="24" t="str">
        <f>IF(ROW()-4&lt;=MIN(N(_自动清单!$A$1),60),"包装物料",IF(ROW()-4&lt;=MIN(N(_自动清单!$A$1),60)+MIN(N(_自动清单!$BM$1),60),"筐子/托盘",""))</f>
        <v/>
      </c>
      <c r="C30" s="37" t="str">
        <f>IF($B30="","",IFERROR(IF($B30="包装物料",INDEX(_自动清单!$G$4:$G$63,ROW()-4),INDEX(_自动清单!$BQ$4:$BQ$63,ROW()-4-MIN(N(_自动清单!$A$1),60))),""))</f>
        <v/>
      </c>
      <c r="D30" s="24" t="str">
        <f>IF($B30&lt;&gt;"包装物料","",IFERROR(INDEX(_自动清单!$H$4:$H$63,ROW()-4),""))</f>
        <v/>
      </c>
      <c r="E30" s="24" t="str">
        <f>IF($B30="","",IF($B30="包装物料",IFERROR(INDEX(_自动清单!$I$4:$I$63,ROW()-4),""),"个"))</f>
        <v/>
      </c>
      <c r="F30" s="39" t="str">
        <f>IF($B30="","",IF($B30="包装物料",N(IFERROR(INDEX(物料库存结余!$L$4:$L$53,MATCH($C30,物料库存结余!$B$4:$B$53,0)),0)),N(IFERROR(INDEX(筐子库存汇总!$I$4:$I$63,MATCH($C30,筐子库存汇总!$B$4:$B$63,0)),0))))</f>
        <v/>
      </c>
      <c r="G30" s="39"/>
      <c r="H30" s="39" t="str">
        <f t="shared" si="1"/>
        <v/>
      </c>
      <c r="I30" s="50" t="str">
        <f t="shared" si="2"/>
        <v/>
      </c>
      <c r="J30" s="24" t="str">
        <f t="shared" si="3"/>
        <v/>
      </c>
      <c r="K30" s="42"/>
    </row>
    <row r="31" spans="1:11">
      <c r="A31" s="24" t="str">
        <f t="shared" si="0"/>
        <v/>
      </c>
      <c r="B31" s="24" t="str">
        <f>IF(ROW()-4&lt;=MIN(N(_自动清单!$A$1),60),"包装物料",IF(ROW()-4&lt;=MIN(N(_自动清单!$A$1),60)+MIN(N(_自动清单!$BM$1),60),"筐子/托盘",""))</f>
        <v/>
      </c>
      <c r="C31" s="37" t="str">
        <f>IF($B31="","",IFERROR(IF($B31="包装物料",INDEX(_自动清单!$G$4:$G$63,ROW()-4),INDEX(_自动清单!$BQ$4:$BQ$63,ROW()-4-MIN(N(_自动清单!$A$1),60))),""))</f>
        <v/>
      </c>
      <c r="D31" s="24" t="str">
        <f>IF($B31&lt;&gt;"包装物料","",IFERROR(INDEX(_自动清单!$H$4:$H$63,ROW()-4),""))</f>
        <v/>
      </c>
      <c r="E31" s="24" t="str">
        <f>IF($B31="","",IF($B31="包装物料",IFERROR(INDEX(_自动清单!$I$4:$I$63,ROW()-4),""),"个"))</f>
        <v/>
      </c>
      <c r="F31" s="39" t="str">
        <f>IF($B31="","",IF($B31="包装物料",N(IFERROR(INDEX(物料库存结余!$L$4:$L$53,MATCH($C31,物料库存结余!$B$4:$B$53,0)),0)),N(IFERROR(INDEX(筐子库存汇总!$I$4:$I$63,MATCH($C31,筐子库存汇总!$B$4:$B$63,0)),0))))</f>
        <v/>
      </c>
      <c r="G31" s="39"/>
      <c r="H31" s="39" t="str">
        <f t="shared" si="1"/>
        <v/>
      </c>
      <c r="I31" s="50" t="str">
        <f t="shared" si="2"/>
        <v/>
      </c>
      <c r="J31" s="24" t="str">
        <f t="shared" si="3"/>
        <v/>
      </c>
      <c r="K31" s="42"/>
    </row>
    <row r="32" spans="1:11">
      <c r="A32" s="24" t="str">
        <f t="shared" si="0"/>
        <v/>
      </c>
      <c r="B32" s="24" t="str">
        <f>IF(ROW()-4&lt;=MIN(N(_自动清单!$A$1),60),"包装物料",IF(ROW()-4&lt;=MIN(N(_自动清单!$A$1),60)+MIN(N(_自动清单!$BM$1),60),"筐子/托盘",""))</f>
        <v/>
      </c>
      <c r="C32" s="37" t="str">
        <f>IF($B32="","",IFERROR(IF($B32="包装物料",INDEX(_自动清单!$G$4:$G$63,ROW()-4),INDEX(_自动清单!$BQ$4:$BQ$63,ROW()-4-MIN(N(_自动清单!$A$1),60))),""))</f>
        <v/>
      </c>
      <c r="D32" s="24" t="str">
        <f>IF($B32&lt;&gt;"包装物料","",IFERROR(INDEX(_自动清单!$H$4:$H$63,ROW()-4),""))</f>
        <v/>
      </c>
      <c r="E32" s="24" t="str">
        <f>IF($B32="","",IF($B32="包装物料",IFERROR(INDEX(_自动清单!$I$4:$I$63,ROW()-4),""),"个"))</f>
        <v/>
      </c>
      <c r="F32" s="39" t="str">
        <f>IF($B32="","",IF($B32="包装物料",N(IFERROR(INDEX(物料库存结余!$L$4:$L$53,MATCH($C32,物料库存结余!$B$4:$B$53,0)),0)),N(IFERROR(INDEX(筐子库存汇总!$I$4:$I$63,MATCH($C32,筐子库存汇总!$B$4:$B$63,0)),0))))</f>
        <v/>
      </c>
      <c r="G32" s="39"/>
      <c r="H32" s="39" t="str">
        <f t="shared" si="1"/>
        <v/>
      </c>
      <c r="I32" s="50" t="str">
        <f t="shared" si="2"/>
        <v/>
      </c>
      <c r="J32" s="24" t="str">
        <f t="shared" si="3"/>
        <v/>
      </c>
      <c r="K32" s="42"/>
    </row>
    <row r="33" spans="1:11">
      <c r="A33" s="24" t="str">
        <f t="shared" si="0"/>
        <v/>
      </c>
      <c r="B33" s="24" t="str">
        <f>IF(ROW()-4&lt;=MIN(N(_自动清单!$A$1),60),"包装物料",IF(ROW()-4&lt;=MIN(N(_自动清单!$A$1),60)+MIN(N(_自动清单!$BM$1),60),"筐子/托盘",""))</f>
        <v/>
      </c>
      <c r="C33" s="37" t="str">
        <f>IF($B33="","",IFERROR(IF($B33="包装物料",INDEX(_自动清单!$G$4:$G$63,ROW()-4),INDEX(_自动清单!$BQ$4:$BQ$63,ROW()-4-MIN(N(_自动清单!$A$1),60))),""))</f>
        <v/>
      </c>
      <c r="D33" s="24" t="str">
        <f>IF($B33&lt;&gt;"包装物料","",IFERROR(INDEX(_自动清单!$H$4:$H$63,ROW()-4),""))</f>
        <v/>
      </c>
      <c r="E33" s="24" t="str">
        <f>IF($B33="","",IF($B33="包装物料",IFERROR(INDEX(_自动清单!$I$4:$I$63,ROW()-4),""),"个"))</f>
        <v/>
      </c>
      <c r="F33" s="39" t="str">
        <f>IF($B33="","",IF($B33="包装物料",N(IFERROR(INDEX(物料库存结余!$L$4:$L$53,MATCH($C33,物料库存结余!$B$4:$B$53,0)),0)),N(IFERROR(INDEX(筐子库存汇总!$I$4:$I$63,MATCH($C33,筐子库存汇总!$B$4:$B$63,0)),0))))</f>
        <v/>
      </c>
      <c r="G33" s="39"/>
      <c r="H33" s="39" t="str">
        <f t="shared" si="1"/>
        <v/>
      </c>
      <c r="I33" s="50" t="str">
        <f t="shared" si="2"/>
        <v/>
      </c>
      <c r="J33" s="24" t="str">
        <f t="shared" si="3"/>
        <v/>
      </c>
      <c r="K33" s="42"/>
    </row>
    <row r="34" spans="1:11">
      <c r="A34" s="24" t="str">
        <f t="shared" si="0"/>
        <v/>
      </c>
      <c r="B34" s="24" t="str">
        <f>IF(ROW()-4&lt;=MIN(N(_自动清单!$A$1),60),"包装物料",IF(ROW()-4&lt;=MIN(N(_自动清单!$A$1),60)+MIN(N(_自动清单!$BM$1),60),"筐子/托盘",""))</f>
        <v/>
      </c>
      <c r="C34" s="37" t="str">
        <f>IF($B34="","",IFERROR(IF($B34="包装物料",INDEX(_自动清单!$G$4:$G$63,ROW()-4),INDEX(_自动清单!$BQ$4:$BQ$63,ROW()-4-MIN(N(_自动清单!$A$1),60))),""))</f>
        <v/>
      </c>
      <c r="D34" s="24" t="str">
        <f>IF($B34&lt;&gt;"包装物料","",IFERROR(INDEX(_自动清单!$H$4:$H$63,ROW()-4),""))</f>
        <v/>
      </c>
      <c r="E34" s="24" t="str">
        <f>IF($B34="","",IF($B34="包装物料",IFERROR(INDEX(_自动清单!$I$4:$I$63,ROW()-4),""),"个"))</f>
        <v/>
      </c>
      <c r="F34" s="39" t="str">
        <f>IF($B34="","",IF($B34="包装物料",N(IFERROR(INDEX(物料库存结余!$L$4:$L$53,MATCH($C34,物料库存结余!$B$4:$B$53,0)),0)),N(IFERROR(INDEX(筐子库存汇总!$I$4:$I$63,MATCH($C34,筐子库存汇总!$B$4:$B$63,0)),0))))</f>
        <v/>
      </c>
      <c r="G34" s="39"/>
      <c r="H34" s="39" t="str">
        <f t="shared" si="1"/>
        <v/>
      </c>
      <c r="I34" s="50" t="str">
        <f t="shared" si="2"/>
        <v/>
      </c>
      <c r="J34" s="24" t="str">
        <f t="shared" si="3"/>
        <v/>
      </c>
      <c r="K34" s="42"/>
    </row>
    <row r="35" spans="1:11">
      <c r="A35" s="24" t="str">
        <f t="shared" si="0"/>
        <v/>
      </c>
      <c r="B35" s="24" t="str">
        <f>IF(ROW()-4&lt;=MIN(N(_自动清单!$A$1),60),"包装物料",IF(ROW()-4&lt;=MIN(N(_自动清单!$A$1),60)+MIN(N(_自动清单!$BM$1),60),"筐子/托盘",""))</f>
        <v/>
      </c>
      <c r="C35" s="37" t="str">
        <f>IF($B35="","",IFERROR(IF($B35="包装物料",INDEX(_自动清单!$G$4:$G$63,ROW()-4),INDEX(_自动清单!$BQ$4:$BQ$63,ROW()-4-MIN(N(_自动清单!$A$1),60))),""))</f>
        <v/>
      </c>
      <c r="D35" s="24" t="str">
        <f>IF($B35&lt;&gt;"包装物料","",IFERROR(INDEX(_自动清单!$H$4:$H$63,ROW()-4),""))</f>
        <v/>
      </c>
      <c r="E35" s="24" t="str">
        <f>IF($B35="","",IF($B35="包装物料",IFERROR(INDEX(_自动清单!$I$4:$I$63,ROW()-4),""),"个"))</f>
        <v/>
      </c>
      <c r="F35" s="39" t="str">
        <f>IF($B35="","",IF($B35="包装物料",N(IFERROR(INDEX(物料库存结余!$L$4:$L$53,MATCH($C35,物料库存结余!$B$4:$B$53,0)),0)),N(IFERROR(INDEX(筐子库存汇总!$I$4:$I$63,MATCH($C35,筐子库存汇总!$B$4:$B$63,0)),0))))</f>
        <v/>
      </c>
      <c r="G35" s="39"/>
      <c r="H35" s="39" t="str">
        <f t="shared" si="1"/>
        <v/>
      </c>
      <c r="I35" s="50" t="str">
        <f t="shared" si="2"/>
        <v/>
      </c>
      <c r="J35" s="24" t="str">
        <f t="shared" si="3"/>
        <v/>
      </c>
      <c r="K35" s="42"/>
    </row>
    <row r="36" spans="1:11">
      <c r="A36" s="24" t="str">
        <f t="shared" si="0"/>
        <v/>
      </c>
      <c r="B36" s="24" t="str">
        <f>IF(ROW()-4&lt;=MIN(N(_自动清单!$A$1),60),"包装物料",IF(ROW()-4&lt;=MIN(N(_自动清单!$A$1),60)+MIN(N(_自动清单!$BM$1),60),"筐子/托盘",""))</f>
        <v/>
      </c>
      <c r="C36" s="37" t="str">
        <f>IF($B36="","",IFERROR(IF($B36="包装物料",INDEX(_自动清单!$G$4:$G$63,ROW()-4),INDEX(_自动清单!$BQ$4:$BQ$63,ROW()-4-MIN(N(_自动清单!$A$1),60))),""))</f>
        <v/>
      </c>
      <c r="D36" s="24" t="str">
        <f>IF($B36&lt;&gt;"包装物料","",IFERROR(INDEX(_自动清单!$H$4:$H$63,ROW()-4),""))</f>
        <v/>
      </c>
      <c r="E36" s="24" t="str">
        <f>IF($B36="","",IF($B36="包装物料",IFERROR(INDEX(_自动清单!$I$4:$I$63,ROW()-4),""),"个"))</f>
        <v/>
      </c>
      <c r="F36" s="39" t="str">
        <f>IF($B36="","",IF($B36="包装物料",N(IFERROR(INDEX(物料库存结余!$L$4:$L$53,MATCH($C36,物料库存结余!$B$4:$B$53,0)),0)),N(IFERROR(INDEX(筐子库存汇总!$I$4:$I$63,MATCH($C36,筐子库存汇总!$B$4:$B$63,0)),0))))</f>
        <v/>
      </c>
      <c r="G36" s="39"/>
      <c r="H36" s="39" t="str">
        <f t="shared" si="1"/>
        <v/>
      </c>
      <c r="I36" s="50" t="str">
        <f t="shared" si="2"/>
        <v/>
      </c>
      <c r="J36" s="24" t="str">
        <f t="shared" si="3"/>
        <v/>
      </c>
      <c r="K36" s="42"/>
    </row>
    <row r="37" spans="1:11">
      <c r="A37" s="24" t="str">
        <f t="shared" si="0"/>
        <v/>
      </c>
      <c r="B37" s="24" t="str">
        <f>IF(ROW()-4&lt;=MIN(N(_自动清单!$A$1),60),"包装物料",IF(ROW()-4&lt;=MIN(N(_自动清单!$A$1),60)+MIN(N(_自动清单!$BM$1),60),"筐子/托盘",""))</f>
        <v/>
      </c>
      <c r="C37" s="37" t="str">
        <f>IF($B37="","",IFERROR(IF($B37="包装物料",INDEX(_自动清单!$G$4:$G$63,ROW()-4),INDEX(_自动清单!$BQ$4:$BQ$63,ROW()-4-MIN(N(_自动清单!$A$1),60))),""))</f>
        <v/>
      </c>
      <c r="D37" s="24" t="str">
        <f>IF($B37&lt;&gt;"包装物料","",IFERROR(INDEX(_自动清单!$H$4:$H$63,ROW()-4),""))</f>
        <v/>
      </c>
      <c r="E37" s="24" t="str">
        <f>IF($B37="","",IF($B37="包装物料",IFERROR(INDEX(_自动清单!$I$4:$I$63,ROW()-4),""),"个"))</f>
        <v/>
      </c>
      <c r="F37" s="39" t="str">
        <f>IF($B37="","",IF($B37="包装物料",N(IFERROR(INDEX(物料库存结余!$L$4:$L$53,MATCH($C37,物料库存结余!$B$4:$B$53,0)),0)),N(IFERROR(INDEX(筐子库存汇总!$I$4:$I$63,MATCH($C37,筐子库存汇总!$B$4:$B$63,0)),0))))</f>
        <v/>
      </c>
      <c r="G37" s="39"/>
      <c r="H37" s="39" t="str">
        <f t="shared" si="1"/>
        <v/>
      </c>
      <c r="I37" s="50" t="str">
        <f t="shared" si="2"/>
        <v/>
      </c>
      <c r="J37" s="24" t="str">
        <f t="shared" si="3"/>
        <v/>
      </c>
      <c r="K37" s="42"/>
    </row>
    <row r="38" spans="1:11">
      <c r="A38" s="24" t="str">
        <f t="shared" si="0"/>
        <v/>
      </c>
      <c r="B38" s="24" t="str">
        <f>IF(ROW()-4&lt;=MIN(N(_自动清单!$A$1),60),"包装物料",IF(ROW()-4&lt;=MIN(N(_自动清单!$A$1),60)+MIN(N(_自动清单!$BM$1),60),"筐子/托盘",""))</f>
        <v/>
      </c>
      <c r="C38" s="37" t="str">
        <f>IF($B38="","",IFERROR(IF($B38="包装物料",INDEX(_自动清单!$G$4:$G$63,ROW()-4),INDEX(_自动清单!$BQ$4:$BQ$63,ROW()-4-MIN(N(_自动清单!$A$1),60))),""))</f>
        <v/>
      </c>
      <c r="D38" s="24" t="str">
        <f>IF($B38&lt;&gt;"包装物料","",IFERROR(INDEX(_自动清单!$H$4:$H$63,ROW()-4),""))</f>
        <v/>
      </c>
      <c r="E38" s="24" t="str">
        <f>IF($B38="","",IF($B38="包装物料",IFERROR(INDEX(_自动清单!$I$4:$I$63,ROW()-4),""),"个"))</f>
        <v/>
      </c>
      <c r="F38" s="39" t="str">
        <f>IF($B38="","",IF($B38="包装物料",N(IFERROR(INDEX(物料库存结余!$L$4:$L$53,MATCH($C38,物料库存结余!$B$4:$B$53,0)),0)),N(IFERROR(INDEX(筐子库存汇总!$I$4:$I$63,MATCH($C38,筐子库存汇总!$B$4:$B$63,0)),0))))</f>
        <v/>
      </c>
      <c r="G38" s="39"/>
      <c r="H38" s="39" t="str">
        <f t="shared" si="1"/>
        <v/>
      </c>
      <c r="I38" s="50" t="str">
        <f t="shared" si="2"/>
        <v/>
      </c>
      <c r="J38" s="24" t="str">
        <f t="shared" si="3"/>
        <v/>
      </c>
      <c r="K38" s="42"/>
    </row>
    <row r="39" spans="1:11">
      <c r="A39" s="24" t="str">
        <f t="shared" si="0"/>
        <v/>
      </c>
      <c r="B39" s="24" t="str">
        <f>IF(ROW()-4&lt;=MIN(N(_自动清单!$A$1),60),"包装物料",IF(ROW()-4&lt;=MIN(N(_自动清单!$A$1),60)+MIN(N(_自动清单!$BM$1),60),"筐子/托盘",""))</f>
        <v/>
      </c>
      <c r="C39" s="37" t="str">
        <f>IF($B39="","",IFERROR(IF($B39="包装物料",INDEX(_自动清单!$G$4:$G$63,ROW()-4),INDEX(_自动清单!$BQ$4:$BQ$63,ROW()-4-MIN(N(_自动清单!$A$1),60))),""))</f>
        <v/>
      </c>
      <c r="D39" s="24" t="str">
        <f>IF($B39&lt;&gt;"包装物料","",IFERROR(INDEX(_自动清单!$H$4:$H$63,ROW()-4),""))</f>
        <v/>
      </c>
      <c r="E39" s="24" t="str">
        <f>IF($B39="","",IF($B39="包装物料",IFERROR(INDEX(_自动清单!$I$4:$I$63,ROW()-4),""),"个"))</f>
        <v/>
      </c>
      <c r="F39" s="39" t="str">
        <f>IF($B39="","",IF($B39="包装物料",N(IFERROR(INDEX(物料库存结余!$L$4:$L$53,MATCH($C39,物料库存结余!$B$4:$B$53,0)),0)),N(IFERROR(INDEX(筐子库存汇总!$I$4:$I$63,MATCH($C39,筐子库存汇总!$B$4:$B$63,0)),0))))</f>
        <v/>
      </c>
      <c r="G39" s="39"/>
      <c r="H39" s="39" t="str">
        <f t="shared" si="1"/>
        <v/>
      </c>
      <c r="I39" s="50" t="str">
        <f t="shared" si="2"/>
        <v/>
      </c>
      <c r="J39" s="24" t="str">
        <f t="shared" si="3"/>
        <v/>
      </c>
      <c r="K39" s="42"/>
    </row>
    <row r="40" spans="1:11">
      <c r="A40" s="24" t="str">
        <f t="shared" si="0"/>
        <v/>
      </c>
      <c r="B40" s="24" t="str">
        <f>IF(ROW()-4&lt;=MIN(N(_自动清单!$A$1),60),"包装物料",IF(ROW()-4&lt;=MIN(N(_自动清单!$A$1),60)+MIN(N(_自动清单!$BM$1),60),"筐子/托盘",""))</f>
        <v/>
      </c>
      <c r="C40" s="37" t="str">
        <f>IF($B40="","",IFERROR(IF($B40="包装物料",INDEX(_自动清单!$G$4:$G$63,ROW()-4),INDEX(_自动清单!$BQ$4:$BQ$63,ROW()-4-MIN(N(_自动清单!$A$1),60))),""))</f>
        <v/>
      </c>
      <c r="D40" s="24" t="str">
        <f>IF($B40&lt;&gt;"包装物料","",IFERROR(INDEX(_自动清单!$H$4:$H$63,ROW()-4),""))</f>
        <v/>
      </c>
      <c r="E40" s="24" t="str">
        <f>IF($B40="","",IF($B40="包装物料",IFERROR(INDEX(_自动清单!$I$4:$I$63,ROW()-4),""),"个"))</f>
        <v/>
      </c>
      <c r="F40" s="39" t="str">
        <f>IF($B40="","",IF($B40="包装物料",N(IFERROR(INDEX(物料库存结余!$L$4:$L$53,MATCH($C40,物料库存结余!$B$4:$B$53,0)),0)),N(IFERROR(INDEX(筐子库存汇总!$I$4:$I$63,MATCH($C40,筐子库存汇总!$B$4:$B$63,0)),0))))</f>
        <v/>
      </c>
      <c r="G40" s="39"/>
      <c r="H40" s="39" t="str">
        <f t="shared" si="1"/>
        <v/>
      </c>
      <c r="I40" s="50" t="str">
        <f t="shared" si="2"/>
        <v/>
      </c>
      <c r="J40" s="24" t="str">
        <f t="shared" si="3"/>
        <v/>
      </c>
      <c r="K40" s="42"/>
    </row>
    <row r="41" spans="1:11">
      <c r="A41" s="24" t="str">
        <f t="shared" si="0"/>
        <v/>
      </c>
      <c r="B41" s="24" t="str">
        <f>IF(ROW()-4&lt;=MIN(N(_自动清单!$A$1),60),"包装物料",IF(ROW()-4&lt;=MIN(N(_自动清单!$A$1),60)+MIN(N(_自动清单!$BM$1),60),"筐子/托盘",""))</f>
        <v/>
      </c>
      <c r="C41" s="37" t="str">
        <f>IF($B41="","",IFERROR(IF($B41="包装物料",INDEX(_自动清单!$G$4:$G$63,ROW()-4),INDEX(_自动清单!$BQ$4:$BQ$63,ROW()-4-MIN(N(_自动清单!$A$1),60))),""))</f>
        <v/>
      </c>
      <c r="D41" s="24" t="str">
        <f>IF($B41&lt;&gt;"包装物料","",IFERROR(INDEX(_自动清单!$H$4:$H$63,ROW()-4),""))</f>
        <v/>
      </c>
      <c r="E41" s="24" t="str">
        <f>IF($B41="","",IF($B41="包装物料",IFERROR(INDEX(_自动清单!$I$4:$I$63,ROW()-4),""),"个"))</f>
        <v/>
      </c>
      <c r="F41" s="39" t="str">
        <f>IF($B41="","",IF($B41="包装物料",N(IFERROR(INDEX(物料库存结余!$L$4:$L$53,MATCH($C41,物料库存结余!$B$4:$B$53,0)),0)),N(IFERROR(INDEX(筐子库存汇总!$I$4:$I$63,MATCH($C41,筐子库存汇总!$B$4:$B$63,0)),0))))</f>
        <v/>
      </c>
      <c r="G41" s="39"/>
      <c r="H41" s="39" t="str">
        <f t="shared" si="1"/>
        <v/>
      </c>
      <c r="I41" s="50" t="str">
        <f t="shared" si="2"/>
        <v/>
      </c>
      <c r="J41" s="24" t="str">
        <f t="shared" si="3"/>
        <v/>
      </c>
      <c r="K41" s="42"/>
    </row>
    <row r="42" spans="1:11">
      <c r="A42" s="24" t="str">
        <f t="shared" si="0"/>
        <v/>
      </c>
      <c r="B42" s="24" t="str">
        <f>IF(ROW()-4&lt;=MIN(N(_自动清单!$A$1),60),"包装物料",IF(ROW()-4&lt;=MIN(N(_自动清单!$A$1),60)+MIN(N(_自动清单!$BM$1),60),"筐子/托盘",""))</f>
        <v/>
      </c>
      <c r="C42" s="37" t="str">
        <f>IF($B42="","",IFERROR(IF($B42="包装物料",INDEX(_自动清单!$G$4:$G$63,ROW()-4),INDEX(_自动清单!$BQ$4:$BQ$63,ROW()-4-MIN(N(_自动清单!$A$1),60))),""))</f>
        <v/>
      </c>
      <c r="D42" s="24" t="str">
        <f>IF($B42&lt;&gt;"包装物料","",IFERROR(INDEX(_自动清单!$H$4:$H$63,ROW()-4),""))</f>
        <v/>
      </c>
      <c r="E42" s="24" t="str">
        <f>IF($B42="","",IF($B42="包装物料",IFERROR(INDEX(_自动清单!$I$4:$I$63,ROW()-4),""),"个"))</f>
        <v/>
      </c>
      <c r="F42" s="39" t="str">
        <f>IF($B42="","",IF($B42="包装物料",N(IFERROR(INDEX(物料库存结余!$L$4:$L$53,MATCH($C42,物料库存结余!$B$4:$B$53,0)),0)),N(IFERROR(INDEX(筐子库存汇总!$I$4:$I$63,MATCH($C42,筐子库存汇总!$B$4:$B$63,0)),0))))</f>
        <v/>
      </c>
      <c r="G42" s="39"/>
      <c r="H42" s="39" t="str">
        <f t="shared" si="1"/>
        <v/>
      </c>
      <c r="I42" s="50" t="str">
        <f t="shared" si="2"/>
        <v/>
      </c>
      <c r="J42" s="24" t="str">
        <f t="shared" si="3"/>
        <v/>
      </c>
      <c r="K42" s="42"/>
    </row>
    <row r="43" spans="1:11">
      <c r="A43" s="24" t="str">
        <f t="shared" si="0"/>
        <v/>
      </c>
      <c r="B43" s="24" t="str">
        <f>IF(ROW()-4&lt;=MIN(N(_自动清单!$A$1),60),"包装物料",IF(ROW()-4&lt;=MIN(N(_自动清单!$A$1),60)+MIN(N(_自动清单!$BM$1),60),"筐子/托盘",""))</f>
        <v/>
      </c>
      <c r="C43" s="37" t="str">
        <f>IF($B43="","",IFERROR(IF($B43="包装物料",INDEX(_自动清单!$G$4:$G$63,ROW()-4),INDEX(_自动清单!$BQ$4:$BQ$63,ROW()-4-MIN(N(_自动清单!$A$1),60))),""))</f>
        <v/>
      </c>
      <c r="D43" s="24" t="str">
        <f>IF($B43&lt;&gt;"包装物料","",IFERROR(INDEX(_自动清单!$H$4:$H$63,ROW()-4),""))</f>
        <v/>
      </c>
      <c r="E43" s="24" t="str">
        <f>IF($B43="","",IF($B43="包装物料",IFERROR(INDEX(_自动清单!$I$4:$I$63,ROW()-4),""),"个"))</f>
        <v/>
      </c>
      <c r="F43" s="39" t="str">
        <f>IF($B43="","",IF($B43="包装物料",N(IFERROR(INDEX(物料库存结余!$L$4:$L$53,MATCH($C43,物料库存结余!$B$4:$B$53,0)),0)),N(IFERROR(INDEX(筐子库存汇总!$I$4:$I$63,MATCH($C43,筐子库存汇总!$B$4:$B$63,0)),0))))</f>
        <v/>
      </c>
      <c r="G43" s="39"/>
      <c r="H43" s="39" t="str">
        <f t="shared" si="1"/>
        <v/>
      </c>
      <c r="I43" s="50" t="str">
        <f t="shared" si="2"/>
        <v/>
      </c>
      <c r="J43" s="24" t="str">
        <f t="shared" si="3"/>
        <v/>
      </c>
      <c r="K43" s="42"/>
    </row>
    <row r="44" spans="1:11">
      <c r="A44" s="24" t="str">
        <f t="shared" si="0"/>
        <v/>
      </c>
      <c r="B44" s="24" t="str">
        <f>IF(ROW()-4&lt;=MIN(N(_自动清单!$A$1),60),"包装物料",IF(ROW()-4&lt;=MIN(N(_自动清单!$A$1),60)+MIN(N(_自动清单!$BM$1),60),"筐子/托盘",""))</f>
        <v/>
      </c>
      <c r="C44" s="37" t="str">
        <f>IF($B44="","",IFERROR(IF($B44="包装物料",INDEX(_自动清单!$G$4:$G$63,ROW()-4),INDEX(_自动清单!$BQ$4:$BQ$63,ROW()-4-MIN(N(_自动清单!$A$1),60))),""))</f>
        <v/>
      </c>
      <c r="D44" s="24" t="str">
        <f>IF($B44&lt;&gt;"包装物料","",IFERROR(INDEX(_自动清单!$H$4:$H$63,ROW()-4),""))</f>
        <v/>
      </c>
      <c r="E44" s="24" t="str">
        <f>IF($B44="","",IF($B44="包装物料",IFERROR(INDEX(_自动清单!$I$4:$I$63,ROW()-4),""),"个"))</f>
        <v/>
      </c>
      <c r="F44" s="39" t="str">
        <f>IF($B44="","",IF($B44="包装物料",N(IFERROR(INDEX(物料库存结余!$L$4:$L$53,MATCH($C44,物料库存结余!$B$4:$B$53,0)),0)),N(IFERROR(INDEX(筐子库存汇总!$I$4:$I$63,MATCH($C44,筐子库存汇总!$B$4:$B$63,0)),0))))</f>
        <v/>
      </c>
      <c r="G44" s="39"/>
      <c r="H44" s="39" t="str">
        <f t="shared" si="1"/>
        <v/>
      </c>
      <c r="I44" s="50" t="str">
        <f t="shared" si="2"/>
        <v/>
      </c>
      <c r="J44" s="24" t="str">
        <f t="shared" si="3"/>
        <v/>
      </c>
      <c r="K44" s="42"/>
    </row>
    <row r="45" spans="1:11">
      <c r="A45" s="24" t="str">
        <f t="shared" si="0"/>
        <v/>
      </c>
      <c r="B45" s="24" t="str">
        <f>IF(ROW()-4&lt;=MIN(N(_自动清单!$A$1),60),"包装物料",IF(ROW()-4&lt;=MIN(N(_自动清单!$A$1),60)+MIN(N(_自动清单!$BM$1),60),"筐子/托盘",""))</f>
        <v/>
      </c>
      <c r="C45" s="37" t="str">
        <f>IF($B45="","",IFERROR(IF($B45="包装物料",INDEX(_自动清单!$G$4:$G$63,ROW()-4),INDEX(_自动清单!$BQ$4:$BQ$63,ROW()-4-MIN(N(_自动清单!$A$1),60))),""))</f>
        <v/>
      </c>
      <c r="D45" s="24" t="str">
        <f>IF($B45&lt;&gt;"包装物料","",IFERROR(INDEX(_自动清单!$H$4:$H$63,ROW()-4),""))</f>
        <v/>
      </c>
      <c r="E45" s="24" t="str">
        <f>IF($B45="","",IF($B45="包装物料",IFERROR(INDEX(_自动清单!$I$4:$I$63,ROW()-4),""),"个"))</f>
        <v/>
      </c>
      <c r="F45" s="39" t="str">
        <f>IF($B45="","",IF($B45="包装物料",N(IFERROR(INDEX(物料库存结余!$L$4:$L$53,MATCH($C45,物料库存结余!$B$4:$B$53,0)),0)),N(IFERROR(INDEX(筐子库存汇总!$I$4:$I$63,MATCH($C45,筐子库存汇总!$B$4:$B$63,0)),0))))</f>
        <v/>
      </c>
      <c r="G45" s="39"/>
      <c r="H45" s="39" t="str">
        <f t="shared" si="1"/>
        <v/>
      </c>
      <c r="I45" s="50" t="str">
        <f t="shared" si="2"/>
        <v/>
      </c>
      <c r="J45" s="24" t="str">
        <f t="shared" si="3"/>
        <v/>
      </c>
      <c r="K45" s="42"/>
    </row>
    <row r="46" spans="1:11">
      <c r="A46" s="24" t="str">
        <f t="shared" si="0"/>
        <v/>
      </c>
      <c r="B46" s="24" t="str">
        <f>IF(ROW()-4&lt;=MIN(N(_自动清单!$A$1),60),"包装物料",IF(ROW()-4&lt;=MIN(N(_自动清单!$A$1),60)+MIN(N(_自动清单!$BM$1),60),"筐子/托盘",""))</f>
        <v/>
      </c>
      <c r="C46" s="37" t="str">
        <f>IF($B46="","",IFERROR(IF($B46="包装物料",INDEX(_自动清单!$G$4:$G$63,ROW()-4),INDEX(_自动清单!$BQ$4:$BQ$63,ROW()-4-MIN(N(_自动清单!$A$1),60))),""))</f>
        <v/>
      </c>
      <c r="D46" s="24" t="str">
        <f>IF($B46&lt;&gt;"包装物料","",IFERROR(INDEX(_自动清单!$H$4:$H$63,ROW()-4),""))</f>
        <v/>
      </c>
      <c r="E46" s="24" t="str">
        <f>IF($B46="","",IF($B46="包装物料",IFERROR(INDEX(_自动清单!$I$4:$I$63,ROW()-4),""),"个"))</f>
        <v/>
      </c>
      <c r="F46" s="39" t="str">
        <f>IF($B46="","",IF($B46="包装物料",N(IFERROR(INDEX(物料库存结余!$L$4:$L$53,MATCH($C46,物料库存结余!$B$4:$B$53,0)),0)),N(IFERROR(INDEX(筐子库存汇总!$I$4:$I$63,MATCH($C46,筐子库存汇总!$B$4:$B$63,0)),0))))</f>
        <v/>
      </c>
      <c r="G46" s="39"/>
      <c r="H46" s="39" t="str">
        <f t="shared" si="1"/>
        <v/>
      </c>
      <c r="I46" s="50" t="str">
        <f t="shared" si="2"/>
        <v/>
      </c>
      <c r="J46" s="24" t="str">
        <f t="shared" si="3"/>
        <v/>
      </c>
      <c r="K46" s="42"/>
    </row>
    <row r="47" spans="1:11">
      <c r="A47" s="24" t="str">
        <f t="shared" si="0"/>
        <v/>
      </c>
      <c r="B47" s="24" t="str">
        <f>IF(ROW()-4&lt;=MIN(N(_自动清单!$A$1),60),"包装物料",IF(ROW()-4&lt;=MIN(N(_自动清单!$A$1),60)+MIN(N(_自动清单!$BM$1),60),"筐子/托盘",""))</f>
        <v/>
      </c>
      <c r="C47" s="37" t="str">
        <f>IF($B47="","",IFERROR(IF($B47="包装物料",INDEX(_自动清单!$G$4:$G$63,ROW()-4),INDEX(_自动清单!$BQ$4:$BQ$63,ROW()-4-MIN(N(_自动清单!$A$1),60))),""))</f>
        <v/>
      </c>
      <c r="D47" s="24" t="str">
        <f>IF($B47&lt;&gt;"包装物料","",IFERROR(INDEX(_自动清单!$H$4:$H$63,ROW()-4),""))</f>
        <v/>
      </c>
      <c r="E47" s="24" t="str">
        <f>IF($B47="","",IF($B47="包装物料",IFERROR(INDEX(_自动清单!$I$4:$I$63,ROW()-4),""),"个"))</f>
        <v/>
      </c>
      <c r="F47" s="39" t="str">
        <f>IF($B47="","",IF($B47="包装物料",N(IFERROR(INDEX(物料库存结余!$L$4:$L$53,MATCH($C47,物料库存结余!$B$4:$B$53,0)),0)),N(IFERROR(INDEX(筐子库存汇总!$I$4:$I$63,MATCH($C47,筐子库存汇总!$B$4:$B$63,0)),0))))</f>
        <v/>
      </c>
      <c r="G47" s="39"/>
      <c r="H47" s="39" t="str">
        <f t="shared" si="1"/>
        <v/>
      </c>
      <c r="I47" s="50" t="str">
        <f t="shared" si="2"/>
        <v/>
      </c>
      <c r="J47" s="24" t="str">
        <f t="shared" si="3"/>
        <v/>
      </c>
      <c r="K47" s="42"/>
    </row>
    <row r="48" spans="1:11">
      <c r="A48" s="24" t="str">
        <f t="shared" si="0"/>
        <v/>
      </c>
      <c r="B48" s="24" t="str">
        <f>IF(ROW()-4&lt;=MIN(N(_自动清单!$A$1),60),"包装物料",IF(ROW()-4&lt;=MIN(N(_自动清单!$A$1),60)+MIN(N(_自动清单!$BM$1),60),"筐子/托盘",""))</f>
        <v/>
      </c>
      <c r="C48" s="37" t="str">
        <f>IF($B48="","",IFERROR(IF($B48="包装物料",INDEX(_自动清单!$G$4:$G$63,ROW()-4),INDEX(_自动清单!$BQ$4:$BQ$63,ROW()-4-MIN(N(_自动清单!$A$1),60))),""))</f>
        <v/>
      </c>
      <c r="D48" s="24" t="str">
        <f>IF($B48&lt;&gt;"包装物料","",IFERROR(INDEX(_自动清单!$H$4:$H$63,ROW()-4),""))</f>
        <v/>
      </c>
      <c r="E48" s="24" t="str">
        <f>IF($B48="","",IF($B48="包装物料",IFERROR(INDEX(_自动清单!$I$4:$I$63,ROW()-4),""),"个"))</f>
        <v/>
      </c>
      <c r="F48" s="39" t="str">
        <f>IF($B48="","",IF($B48="包装物料",N(IFERROR(INDEX(物料库存结余!$L$4:$L$53,MATCH($C48,物料库存结余!$B$4:$B$53,0)),0)),N(IFERROR(INDEX(筐子库存汇总!$I$4:$I$63,MATCH($C48,筐子库存汇总!$B$4:$B$63,0)),0))))</f>
        <v/>
      </c>
      <c r="G48" s="39"/>
      <c r="H48" s="39" t="str">
        <f t="shared" si="1"/>
        <v/>
      </c>
      <c r="I48" s="50" t="str">
        <f t="shared" si="2"/>
        <v/>
      </c>
      <c r="J48" s="24" t="str">
        <f t="shared" si="3"/>
        <v/>
      </c>
      <c r="K48" s="42"/>
    </row>
    <row r="49" spans="1:11">
      <c r="A49" s="24" t="str">
        <f t="shared" si="0"/>
        <v/>
      </c>
      <c r="B49" s="24" t="str">
        <f>IF(ROW()-4&lt;=MIN(N(_自动清单!$A$1),60),"包装物料",IF(ROW()-4&lt;=MIN(N(_自动清单!$A$1),60)+MIN(N(_自动清单!$BM$1),60),"筐子/托盘",""))</f>
        <v/>
      </c>
      <c r="C49" s="37" t="str">
        <f>IF($B49="","",IFERROR(IF($B49="包装物料",INDEX(_自动清单!$G$4:$G$63,ROW()-4),INDEX(_自动清单!$BQ$4:$BQ$63,ROW()-4-MIN(N(_自动清单!$A$1),60))),""))</f>
        <v/>
      </c>
      <c r="D49" s="24" t="str">
        <f>IF($B49&lt;&gt;"包装物料","",IFERROR(INDEX(_自动清单!$H$4:$H$63,ROW()-4),""))</f>
        <v/>
      </c>
      <c r="E49" s="24" t="str">
        <f>IF($B49="","",IF($B49="包装物料",IFERROR(INDEX(_自动清单!$I$4:$I$63,ROW()-4),""),"个"))</f>
        <v/>
      </c>
      <c r="F49" s="39" t="str">
        <f>IF($B49="","",IF($B49="包装物料",N(IFERROR(INDEX(物料库存结余!$L$4:$L$53,MATCH($C49,物料库存结余!$B$4:$B$53,0)),0)),N(IFERROR(INDEX(筐子库存汇总!$I$4:$I$63,MATCH($C49,筐子库存汇总!$B$4:$B$63,0)),0))))</f>
        <v/>
      </c>
      <c r="G49" s="39"/>
      <c r="H49" s="39" t="str">
        <f t="shared" si="1"/>
        <v/>
      </c>
      <c r="I49" s="50" t="str">
        <f t="shared" si="2"/>
        <v/>
      </c>
      <c r="J49" s="24" t="str">
        <f t="shared" si="3"/>
        <v/>
      </c>
      <c r="K49" s="42"/>
    </row>
    <row r="50" spans="1:11">
      <c r="A50" s="24" t="str">
        <f t="shared" si="0"/>
        <v/>
      </c>
      <c r="B50" s="24" t="str">
        <f>IF(ROW()-4&lt;=MIN(N(_自动清单!$A$1),60),"包装物料",IF(ROW()-4&lt;=MIN(N(_自动清单!$A$1),60)+MIN(N(_自动清单!$BM$1),60),"筐子/托盘",""))</f>
        <v/>
      </c>
      <c r="C50" s="37" t="str">
        <f>IF($B50="","",IFERROR(IF($B50="包装物料",INDEX(_自动清单!$G$4:$G$63,ROW()-4),INDEX(_自动清单!$BQ$4:$BQ$63,ROW()-4-MIN(N(_自动清单!$A$1),60))),""))</f>
        <v/>
      </c>
      <c r="D50" s="24" t="str">
        <f>IF($B50&lt;&gt;"包装物料","",IFERROR(INDEX(_自动清单!$H$4:$H$63,ROW()-4),""))</f>
        <v/>
      </c>
      <c r="E50" s="24" t="str">
        <f>IF($B50="","",IF($B50="包装物料",IFERROR(INDEX(_自动清单!$I$4:$I$63,ROW()-4),""),"个"))</f>
        <v/>
      </c>
      <c r="F50" s="39" t="str">
        <f>IF($B50="","",IF($B50="包装物料",N(IFERROR(INDEX(物料库存结余!$L$4:$L$53,MATCH($C50,物料库存结余!$B$4:$B$53,0)),0)),N(IFERROR(INDEX(筐子库存汇总!$I$4:$I$63,MATCH($C50,筐子库存汇总!$B$4:$B$63,0)),0))))</f>
        <v/>
      </c>
      <c r="G50" s="39"/>
      <c r="H50" s="39" t="str">
        <f t="shared" si="1"/>
        <v/>
      </c>
      <c r="I50" s="50" t="str">
        <f t="shared" si="2"/>
        <v/>
      </c>
      <c r="J50" s="24" t="str">
        <f t="shared" si="3"/>
        <v/>
      </c>
      <c r="K50" s="42"/>
    </row>
    <row r="51" spans="1:11">
      <c r="A51" s="24" t="str">
        <f t="shared" si="0"/>
        <v/>
      </c>
      <c r="B51" s="24" t="str">
        <f>IF(ROW()-4&lt;=MIN(N(_自动清单!$A$1),60),"包装物料",IF(ROW()-4&lt;=MIN(N(_自动清单!$A$1),60)+MIN(N(_自动清单!$BM$1),60),"筐子/托盘",""))</f>
        <v/>
      </c>
      <c r="C51" s="37" t="str">
        <f>IF($B51="","",IFERROR(IF($B51="包装物料",INDEX(_自动清单!$G$4:$G$63,ROW()-4),INDEX(_自动清单!$BQ$4:$BQ$63,ROW()-4-MIN(N(_自动清单!$A$1),60))),""))</f>
        <v/>
      </c>
      <c r="D51" s="24" t="str">
        <f>IF($B51&lt;&gt;"包装物料","",IFERROR(INDEX(_自动清单!$H$4:$H$63,ROW()-4),""))</f>
        <v/>
      </c>
      <c r="E51" s="24" t="str">
        <f>IF($B51="","",IF($B51="包装物料",IFERROR(INDEX(_自动清单!$I$4:$I$63,ROW()-4),""),"个"))</f>
        <v/>
      </c>
      <c r="F51" s="39" t="str">
        <f>IF($B51="","",IF($B51="包装物料",N(IFERROR(INDEX(物料库存结余!$L$4:$L$53,MATCH($C51,物料库存结余!$B$4:$B$53,0)),0)),N(IFERROR(INDEX(筐子库存汇总!$I$4:$I$63,MATCH($C51,筐子库存汇总!$B$4:$B$63,0)),0))))</f>
        <v/>
      </c>
      <c r="G51" s="39"/>
      <c r="H51" s="39" t="str">
        <f t="shared" si="1"/>
        <v/>
      </c>
      <c r="I51" s="50" t="str">
        <f t="shared" si="2"/>
        <v/>
      </c>
      <c r="J51" s="24" t="str">
        <f t="shared" si="3"/>
        <v/>
      </c>
      <c r="K51" s="42"/>
    </row>
    <row r="52" spans="1:11">
      <c r="A52" s="24" t="str">
        <f t="shared" si="0"/>
        <v/>
      </c>
      <c r="B52" s="24" t="str">
        <f>IF(ROW()-4&lt;=MIN(N(_自动清单!$A$1),60),"包装物料",IF(ROW()-4&lt;=MIN(N(_自动清单!$A$1),60)+MIN(N(_自动清单!$BM$1),60),"筐子/托盘",""))</f>
        <v/>
      </c>
      <c r="C52" s="37" t="str">
        <f>IF($B52="","",IFERROR(IF($B52="包装物料",INDEX(_自动清单!$G$4:$G$63,ROW()-4),INDEX(_自动清单!$BQ$4:$BQ$63,ROW()-4-MIN(N(_自动清单!$A$1),60))),""))</f>
        <v/>
      </c>
      <c r="D52" s="24" t="str">
        <f>IF($B52&lt;&gt;"包装物料","",IFERROR(INDEX(_自动清单!$H$4:$H$63,ROW()-4),""))</f>
        <v/>
      </c>
      <c r="E52" s="24" t="str">
        <f>IF($B52="","",IF($B52="包装物料",IFERROR(INDEX(_自动清单!$I$4:$I$63,ROW()-4),""),"个"))</f>
        <v/>
      </c>
      <c r="F52" s="39" t="str">
        <f>IF($B52="","",IF($B52="包装物料",N(IFERROR(INDEX(物料库存结余!$L$4:$L$53,MATCH($C52,物料库存结余!$B$4:$B$53,0)),0)),N(IFERROR(INDEX(筐子库存汇总!$I$4:$I$63,MATCH($C52,筐子库存汇总!$B$4:$B$63,0)),0))))</f>
        <v/>
      </c>
      <c r="G52" s="39"/>
      <c r="H52" s="39" t="str">
        <f t="shared" si="1"/>
        <v/>
      </c>
      <c r="I52" s="50" t="str">
        <f t="shared" si="2"/>
        <v/>
      </c>
      <c r="J52" s="24" t="str">
        <f t="shared" si="3"/>
        <v/>
      </c>
      <c r="K52" s="42"/>
    </row>
    <row r="53" spans="1:11">
      <c r="A53" s="24" t="str">
        <f t="shared" si="0"/>
        <v/>
      </c>
      <c r="B53" s="24" t="str">
        <f>IF(ROW()-4&lt;=MIN(N(_自动清单!$A$1),60),"包装物料",IF(ROW()-4&lt;=MIN(N(_自动清单!$A$1),60)+MIN(N(_自动清单!$BM$1),60),"筐子/托盘",""))</f>
        <v/>
      </c>
      <c r="C53" s="37" t="str">
        <f>IF($B53="","",IFERROR(IF($B53="包装物料",INDEX(_自动清单!$G$4:$G$63,ROW()-4),INDEX(_自动清单!$BQ$4:$BQ$63,ROW()-4-MIN(N(_自动清单!$A$1),60))),""))</f>
        <v/>
      </c>
      <c r="D53" s="24" t="str">
        <f>IF($B53&lt;&gt;"包装物料","",IFERROR(INDEX(_自动清单!$H$4:$H$63,ROW()-4),""))</f>
        <v/>
      </c>
      <c r="E53" s="24" t="str">
        <f>IF($B53="","",IF($B53="包装物料",IFERROR(INDEX(_自动清单!$I$4:$I$63,ROW()-4),""),"个"))</f>
        <v/>
      </c>
      <c r="F53" s="39" t="str">
        <f>IF($B53="","",IF($B53="包装物料",N(IFERROR(INDEX(物料库存结余!$L$4:$L$53,MATCH($C53,物料库存结余!$B$4:$B$53,0)),0)),N(IFERROR(INDEX(筐子库存汇总!$I$4:$I$63,MATCH($C53,筐子库存汇总!$B$4:$B$63,0)),0))))</f>
        <v/>
      </c>
      <c r="G53" s="39"/>
      <c r="H53" s="39" t="str">
        <f t="shared" si="1"/>
        <v/>
      </c>
      <c r="I53" s="50" t="str">
        <f t="shared" si="2"/>
        <v/>
      </c>
      <c r="J53" s="24" t="str">
        <f t="shared" si="3"/>
        <v/>
      </c>
      <c r="K53" s="42"/>
    </row>
    <row r="54" spans="1:11">
      <c r="A54" s="24" t="str">
        <f t="shared" si="0"/>
        <v/>
      </c>
      <c r="B54" s="24" t="str">
        <f>IF(ROW()-4&lt;=MIN(N(_自动清单!$A$1),60),"包装物料",IF(ROW()-4&lt;=MIN(N(_自动清单!$A$1),60)+MIN(N(_自动清单!$BM$1),60),"筐子/托盘",""))</f>
        <v/>
      </c>
      <c r="C54" s="37" t="str">
        <f>IF($B54="","",IFERROR(IF($B54="包装物料",INDEX(_自动清单!$G$4:$G$63,ROW()-4),INDEX(_自动清单!$BQ$4:$BQ$63,ROW()-4-MIN(N(_自动清单!$A$1),60))),""))</f>
        <v/>
      </c>
      <c r="D54" s="24" t="str">
        <f>IF($B54&lt;&gt;"包装物料","",IFERROR(INDEX(_自动清单!$H$4:$H$63,ROW()-4),""))</f>
        <v/>
      </c>
      <c r="E54" s="24" t="str">
        <f>IF($B54="","",IF($B54="包装物料",IFERROR(INDEX(_自动清单!$I$4:$I$63,ROW()-4),""),"个"))</f>
        <v/>
      </c>
      <c r="F54" s="39" t="str">
        <f>IF($B54="","",IF($B54="包装物料",N(IFERROR(INDEX(物料库存结余!$L$4:$L$53,MATCH($C54,物料库存结余!$B$4:$B$53,0)),0)),N(IFERROR(INDEX(筐子库存汇总!$I$4:$I$63,MATCH($C54,筐子库存汇总!$B$4:$B$63,0)),0))))</f>
        <v/>
      </c>
      <c r="G54" s="39"/>
      <c r="H54" s="39" t="str">
        <f t="shared" si="1"/>
        <v/>
      </c>
      <c r="I54" s="50" t="str">
        <f t="shared" si="2"/>
        <v/>
      </c>
      <c r="J54" s="24" t="str">
        <f t="shared" si="3"/>
        <v/>
      </c>
      <c r="K54" s="42"/>
    </row>
    <row r="55" spans="1:11">
      <c r="A55" s="24" t="str">
        <f t="shared" si="0"/>
        <v/>
      </c>
      <c r="B55" s="24" t="str">
        <f>IF(ROW()-4&lt;=MIN(N(_自动清单!$A$1),60),"包装物料",IF(ROW()-4&lt;=MIN(N(_自动清单!$A$1),60)+MIN(N(_自动清单!$BM$1),60),"筐子/托盘",""))</f>
        <v/>
      </c>
      <c r="C55" s="37" t="str">
        <f>IF($B55="","",IFERROR(IF($B55="包装物料",INDEX(_自动清单!$G$4:$G$63,ROW()-4),INDEX(_自动清单!$BQ$4:$BQ$63,ROW()-4-MIN(N(_自动清单!$A$1),60))),""))</f>
        <v/>
      </c>
      <c r="D55" s="24" t="str">
        <f>IF($B55&lt;&gt;"包装物料","",IFERROR(INDEX(_自动清单!$H$4:$H$63,ROW()-4),""))</f>
        <v/>
      </c>
      <c r="E55" s="24" t="str">
        <f>IF($B55="","",IF($B55="包装物料",IFERROR(INDEX(_自动清单!$I$4:$I$63,ROW()-4),""),"个"))</f>
        <v/>
      </c>
      <c r="F55" s="39" t="str">
        <f>IF($B55="","",IF($B55="包装物料",N(IFERROR(INDEX(物料库存结余!$L$4:$L$53,MATCH($C55,物料库存结余!$B$4:$B$53,0)),0)),N(IFERROR(INDEX(筐子库存汇总!$I$4:$I$63,MATCH($C55,筐子库存汇总!$B$4:$B$63,0)),0))))</f>
        <v/>
      </c>
      <c r="G55" s="39"/>
      <c r="H55" s="39" t="str">
        <f t="shared" si="1"/>
        <v/>
      </c>
      <c r="I55" s="50" t="str">
        <f t="shared" si="2"/>
        <v/>
      </c>
      <c r="J55" s="24" t="str">
        <f t="shared" si="3"/>
        <v/>
      </c>
      <c r="K55" s="42"/>
    </row>
    <row r="56" spans="1:11">
      <c r="A56" s="24" t="str">
        <f t="shared" si="0"/>
        <v/>
      </c>
      <c r="B56" s="24" t="str">
        <f>IF(ROW()-4&lt;=MIN(N(_自动清单!$A$1),60),"包装物料",IF(ROW()-4&lt;=MIN(N(_自动清单!$A$1),60)+MIN(N(_自动清单!$BM$1),60),"筐子/托盘",""))</f>
        <v/>
      </c>
      <c r="C56" s="37" t="str">
        <f>IF($B56="","",IFERROR(IF($B56="包装物料",INDEX(_自动清单!$G$4:$G$63,ROW()-4),INDEX(_自动清单!$BQ$4:$BQ$63,ROW()-4-MIN(N(_自动清单!$A$1),60))),""))</f>
        <v/>
      </c>
      <c r="D56" s="24" t="str">
        <f>IF($B56&lt;&gt;"包装物料","",IFERROR(INDEX(_自动清单!$H$4:$H$63,ROW()-4),""))</f>
        <v/>
      </c>
      <c r="E56" s="24" t="str">
        <f>IF($B56="","",IF($B56="包装物料",IFERROR(INDEX(_自动清单!$I$4:$I$63,ROW()-4),""),"个"))</f>
        <v/>
      </c>
      <c r="F56" s="39" t="str">
        <f>IF($B56="","",IF($B56="包装物料",N(IFERROR(INDEX(物料库存结余!$L$4:$L$53,MATCH($C56,物料库存结余!$B$4:$B$53,0)),0)),N(IFERROR(INDEX(筐子库存汇总!$I$4:$I$63,MATCH($C56,筐子库存汇总!$B$4:$B$63,0)),0))))</f>
        <v/>
      </c>
      <c r="G56" s="39"/>
      <c r="H56" s="39" t="str">
        <f t="shared" si="1"/>
        <v/>
      </c>
      <c r="I56" s="50" t="str">
        <f t="shared" si="2"/>
        <v/>
      </c>
      <c r="J56" s="24" t="str">
        <f t="shared" si="3"/>
        <v/>
      </c>
      <c r="K56" s="42"/>
    </row>
    <row r="57" spans="1:11">
      <c r="A57" s="24" t="str">
        <f t="shared" si="0"/>
        <v/>
      </c>
      <c r="B57" s="24" t="str">
        <f>IF(ROW()-4&lt;=MIN(N(_自动清单!$A$1),60),"包装物料",IF(ROW()-4&lt;=MIN(N(_自动清单!$A$1),60)+MIN(N(_自动清单!$BM$1),60),"筐子/托盘",""))</f>
        <v/>
      </c>
      <c r="C57" s="37" t="str">
        <f>IF($B57="","",IFERROR(IF($B57="包装物料",INDEX(_自动清单!$G$4:$G$63,ROW()-4),INDEX(_自动清单!$BQ$4:$BQ$63,ROW()-4-MIN(N(_自动清单!$A$1),60))),""))</f>
        <v/>
      </c>
      <c r="D57" s="24" t="str">
        <f>IF($B57&lt;&gt;"包装物料","",IFERROR(INDEX(_自动清单!$H$4:$H$63,ROW()-4),""))</f>
        <v/>
      </c>
      <c r="E57" s="24" t="str">
        <f>IF($B57="","",IF($B57="包装物料",IFERROR(INDEX(_自动清单!$I$4:$I$63,ROW()-4),""),"个"))</f>
        <v/>
      </c>
      <c r="F57" s="39" t="str">
        <f>IF($B57="","",IF($B57="包装物料",N(IFERROR(INDEX(物料库存结余!$L$4:$L$53,MATCH($C57,物料库存结余!$B$4:$B$53,0)),0)),N(IFERROR(INDEX(筐子库存汇总!$I$4:$I$63,MATCH($C57,筐子库存汇总!$B$4:$B$63,0)),0))))</f>
        <v/>
      </c>
      <c r="G57" s="39"/>
      <c r="H57" s="39" t="str">
        <f t="shared" si="1"/>
        <v/>
      </c>
      <c r="I57" s="50" t="str">
        <f t="shared" si="2"/>
        <v/>
      </c>
      <c r="J57" s="24" t="str">
        <f t="shared" si="3"/>
        <v/>
      </c>
      <c r="K57" s="42"/>
    </row>
    <row r="58" spans="1:11">
      <c r="A58" s="24" t="str">
        <f t="shared" si="0"/>
        <v/>
      </c>
      <c r="B58" s="24" t="str">
        <f>IF(ROW()-4&lt;=MIN(N(_自动清单!$A$1),60),"包装物料",IF(ROW()-4&lt;=MIN(N(_自动清单!$A$1),60)+MIN(N(_自动清单!$BM$1),60),"筐子/托盘",""))</f>
        <v/>
      </c>
      <c r="C58" s="37" t="str">
        <f>IF($B58="","",IFERROR(IF($B58="包装物料",INDEX(_自动清单!$G$4:$G$63,ROW()-4),INDEX(_自动清单!$BQ$4:$BQ$63,ROW()-4-MIN(N(_自动清单!$A$1),60))),""))</f>
        <v/>
      </c>
      <c r="D58" s="24" t="str">
        <f>IF($B58&lt;&gt;"包装物料","",IFERROR(INDEX(_自动清单!$H$4:$H$63,ROW()-4),""))</f>
        <v/>
      </c>
      <c r="E58" s="24" t="str">
        <f>IF($B58="","",IF($B58="包装物料",IFERROR(INDEX(_自动清单!$I$4:$I$63,ROW()-4),""),"个"))</f>
        <v/>
      </c>
      <c r="F58" s="39" t="str">
        <f>IF($B58="","",IF($B58="包装物料",N(IFERROR(INDEX(物料库存结余!$L$4:$L$53,MATCH($C58,物料库存结余!$B$4:$B$53,0)),0)),N(IFERROR(INDEX(筐子库存汇总!$I$4:$I$63,MATCH($C58,筐子库存汇总!$B$4:$B$63,0)),0))))</f>
        <v/>
      </c>
      <c r="G58" s="39"/>
      <c r="H58" s="39" t="str">
        <f t="shared" si="1"/>
        <v/>
      </c>
      <c r="I58" s="50" t="str">
        <f t="shared" si="2"/>
        <v/>
      </c>
      <c r="J58" s="24" t="str">
        <f t="shared" si="3"/>
        <v/>
      </c>
      <c r="K58" s="42"/>
    </row>
    <row r="59" spans="1:11">
      <c r="A59" s="24" t="str">
        <f t="shared" si="0"/>
        <v/>
      </c>
      <c r="B59" s="24" t="str">
        <f>IF(ROW()-4&lt;=MIN(N(_自动清单!$A$1),60),"包装物料",IF(ROW()-4&lt;=MIN(N(_自动清单!$A$1),60)+MIN(N(_自动清单!$BM$1),60),"筐子/托盘",""))</f>
        <v/>
      </c>
      <c r="C59" s="37" t="str">
        <f>IF($B59="","",IFERROR(IF($B59="包装物料",INDEX(_自动清单!$G$4:$G$63,ROW()-4),INDEX(_自动清单!$BQ$4:$BQ$63,ROW()-4-MIN(N(_自动清单!$A$1),60))),""))</f>
        <v/>
      </c>
      <c r="D59" s="24" t="str">
        <f>IF($B59&lt;&gt;"包装物料","",IFERROR(INDEX(_自动清单!$H$4:$H$63,ROW()-4),""))</f>
        <v/>
      </c>
      <c r="E59" s="24" t="str">
        <f>IF($B59="","",IF($B59="包装物料",IFERROR(INDEX(_自动清单!$I$4:$I$63,ROW()-4),""),"个"))</f>
        <v/>
      </c>
      <c r="F59" s="39" t="str">
        <f>IF($B59="","",IF($B59="包装物料",N(IFERROR(INDEX(物料库存结余!$L$4:$L$53,MATCH($C59,物料库存结余!$B$4:$B$53,0)),0)),N(IFERROR(INDEX(筐子库存汇总!$I$4:$I$63,MATCH($C59,筐子库存汇总!$B$4:$B$63,0)),0))))</f>
        <v/>
      </c>
      <c r="G59" s="39"/>
      <c r="H59" s="39" t="str">
        <f t="shared" si="1"/>
        <v/>
      </c>
      <c r="I59" s="50" t="str">
        <f t="shared" si="2"/>
        <v/>
      </c>
      <c r="J59" s="24" t="str">
        <f t="shared" si="3"/>
        <v/>
      </c>
      <c r="K59" s="42"/>
    </row>
    <row r="60" spans="1:11">
      <c r="A60" s="24" t="str">
        <f t="shared" si="0"/>
        <v/>
      </c>
      <c r="B60" s="24" t="str">
        <f>IF(ROW()-4&lt;=MIN(N(_自动清单!$A$1),60),"包装物料",IF(ROW()-4&lt;=MIN(N(_自动清单!$A$1),60)+MIN(N(_自动清单!$BM$1),60),"筐子/托盘",""))</f>
        <v/>
      </c>
      <c r="C60" s="37" t="str">
        <f>IF($B60="","",IFERROR(IF($B60="包装物料",INDEX(_自动清单!$G$4:$G$63,ROW()-4),INDEX(_自动清单!$BQ$4:$BQ$63,ROW()-4-MIN(N(_自动清单!$A$1),60))),""))</f>
        <v/>
      </c>
      <c r="D60" s="24" t="str">
        <f>IF($B60&lt;&gt;"包装物料","",IFERROR(INDEX(_自动清单!$H$4:$H$63,ROW()-4),""))</f>
        <v/>
      </c>
      <c r="E60" s="24" t="str">
        <f>IF($B60="","",IF($B60="包装物料",IFERROR(INDEX(_自动清单!$I$4:$I$63,ROW()-4),""),"个"))</f>
        <v/>
      </c>
      <c r="F60" s="39" t="str">
        <f>IF($B60="","",IF($B60="包装物料",N(IFERROR(INDEX(物料库存结余!$L$4:$L$53,MATCH($C60,物料库存结余!$B$4:$B$53,0)),0)),N(IFERROR(INDEX(筐子库存汇总!$I$4:$I$63,MATCH($C60,筐子库存汇总!$B$4:$B$63,0)),0))))</f>
        <v/>
      </c>
      <c r="G60" s="39"/>
      <c r="H60" s="39" t="str">
        <f t="shared" si="1"/>
        <v/>
      </c>
      <c r="I60" s="50" t="str">
        <f t="shared" si="2"/>
        <v/>
      </c>
      <c r="J60" s="24" t="str">
        <f t="shared" si="3"/>
        <v/>
      </c>
      <c r="K60" s="42"/>
    </row>
    <row r="61" spans="1:11">
      <c r="A61" s="24" t="str">
        <f t="shared" si="0"/>
        <v/>
      </c>
      <c r="B61" s="24" t="str">
        <f>IF(ROW()-4&lt;=MIN(N(_自动清单!$A$1),60),"包装物料",IF(ROW()-4&lt;=MIN(N(_自动清单!$A$1),60)+MIN(N(_自动清单!$BM$1),60),"筐子/托盘",""))</f>
        <v/>
      </c>
      <c r="C61" s="37" t="str">
        <f>IF($B61="","",IFERROR(IF($B61="包装物料",INDEX(_自动清单!$G$4:$G$63,ROW()-4),INDEX(_自动清单!$BQ$4:$BQ$63,ROW()-4-MIN(N(_自动清单!$A$1),60))),""))</f>
        <v/>
      </c>
      <c r="D61" s="24" t="str">
        <f>IF($B61&lt;&gt;"包装物料","",IFERROR(INDEX(_自动清单!$H$4:$H$63,ROW()-4),""))</f>
        <v/>
      </c>
      <c r="E61" s="24" t="str">
        <f>IF($B61="","",IF($B61="包装物料",IFERROR(INDEX(_自动清单!$I$4:$I$63,ROW()-4),""),"个"))</f>
        <v/>
      </c>
      <c r="F61" s="39" t="str">
        <f>IF($B61="","",IF($B61="包装物料",N(IFERROR(INDEX(物料库存结余!$L$4:$L$53,MATCH($C61,物料库存结余!$B$4:$B$53,0)),0)),N(IFERROR(INDEX(筐子库存汇总!$I$4:$I$63,MATCH($C61,筐子库存汇总!$B$4:$B$63,0)),0))))</f>
        <v/>
      </c>
      <c r="G61" s="39"/>
      <c r="H61" s="39" t="str">
        <f t="shared" si="1"/>
        <v/>
      </c>
      <c r="I61" s="50" t="str">
        <f t="shared" si="2"/>
        <v/>
      </c>
      <c r="J61" s="24" t="str">
        <f t="shared" si="3"/>
        <v/>
      </c>
      <c r="K61" s="42"/>
    </row>
    <row r="62" spans="1:11">
      <c r="A62" s="24" t="str">
        <f t="shared" si="0"/>
        <v/>
      </c>
      <c r="B62" s="24" t="str">
        <f>IF(ROW()-4&lt;=MIN(N(_自动清单!$A$1),60),"包装物料",IF(ROW()-4&lt;=MIN(N(_自动清单!$A$1),60)+MIN(N(_自动清单!$BM$1),60),"筐子/托盘",""))</f>
        <v/>
      </c>
      <c r="C62" s="37" t="str">
        <f>IF($B62="","",IFERROR(IF($B62="包装物料",INDEX(_自动清单!$G$4:$G$63,ROW()-4),INDEX(_自动清单!$BQ$4:$BQ$63,ROW()-4-MIN(N(_自动清单!$A$1),60))),""))</f>
        <v/>
      </c>
      <c r="D62" s="24" t="str">
        <f>IF($B62&lt;&gt;"包装物料","",IFERROR(INDEX(_自动清单!$H$4:$H$63,ROW()-4),""))</f>
        <v/>
      </c>
      <c r="E62" s="24" t="str">
        <f>IF($B62="","",IF($B62="包装物料",IFERROR(INDEX(_自动清单!$I$4:$I$63,ROW()-4),""),"个"))</f>
        <v/>
      </c>
      <c r="F62" s="39" t="str">
        <f>IF($B62="","",IF($B62="包装物料",N(IFERROR(INDEX(物料库存结余!$L$4:$L$53,MATCH($C62,物料库存结余!$B$4:$B$53,0)),0)),N(IFERROR(INDEX(筐子库存汇总!$I$4:$I$63,MATCH($C62,筐子库存汇总!$B$4:$B$63,0)),0))))</f>
        <v/>
      </c>
      <c r="G62" s="39"/>
      <c r="H62" s="39" t="str">
        <f t="shared" si="1"/>
        <v/>
      </c>
      <c r="I62" s="50" t="str">
        <f t="shared" si="2"/>
        <v/>
      </c>
      <c r="J62" s="24" t="str">
        <f t="shared" si="3"/>
        <v/>
      </c>
      <c r="K62" s="42"/>
    </row>
    <row r="63" spans="1:11">
      <c r="A63" s="24" t="str">
        <f t="shared" si="0"/>
        <v/>
      </c>
      <c r="B63" s="24" t="str">
        <f>IF(ROW()-4&lt;=MIN(N(_自动清单!$A$1),60),"包装物料",IF(ROW()-4&lt;=MIN(N(_自动清单!$A$1),60)+MIN(N(_自动清单!$BM$1),60),"筐子/托盘",""))</f>
        <v/>
      </c>
      <c r="C63" s="37" t="str">
        <f>IF($B63="","",IFERROR(IF($B63="包装物料",INDEX(_自动清单!$G$4:$G$63,ROW()-4),INDEX(_自动清单!$BQ$4:$BQ$63,ROW()-4-MIN(N(_自动清单!$A$1),60))),""))</f>
        <v/>
      </c>
      <c r="D63" s="24" t="str">
        <f>IF($B63&lt;&gt;"包装物料","",IFERROR(INDEX(_自动清单!$H$4:$H$63,ROW()-4),""))</f>
        <v/>
      </c>
      <c r="E63" s="24" t="str">
        <f>IF($B63="","",IF($B63="包装物料",IFERROR(INDEX(_自动清单!$I$4:$I$63,ROW()-4),""),"个"))</f>
        <v/>
      </c>
      <c r="F63" s="39" t="str">
        <f>IF($B63="","",IF($B63="包装物料",N(IFERROR(INDEX(物料库存结余!$L$4:$L$53,MATCH($C63,物料库存结余!$B$4:$B$53,0)),0)),N(IFERROR(INDEX(筐子库存汇总!$I$4:$I$63,MATCH($C63,筐子库存汇总!$B$4:$B$63,0)),0))))</f>
        <v/>
      </c>
      <c r="G63" s="39"/>
      <c r="H63" s="39" t="str">
        <f t="shared" si="1"/>
        <v/>
      </c>
      <c r="I63" s="50" t="str">
        <f t="shared" si="2"/>
        <v/>
      </c>
      <c r="J63" s="24" t="str">
        <f t="shared" si="3"/>
        <v/>
      </c>
      <c r="K63" s="42"/>
    </row>
    <row r="64" spans="1:11">
      <c r="A64" s="24" t="str">
        <f t="shared" si="0"/>
        <v/>
      </c>
      <c r="B64" s="24" t="str">
        <f>IF(ROW()-4&lt;=MIN(N(_自动清单!$A$1),60),"包装物料",IF(ROW()-4&lt;=MIN(N(_自动清单!$A$1),60)+MIN(N(_自动清单!$BM$1),60),"筐子/托盘",""))</f>
        <v/>
      </c>
      <c r="C64" s="37" t="str">
        <f>IF($B64="","",IFERROR(IF($B64="包装物料",INDEX(_自动清单!$G$4:$G$63,ROW()-4),INDEX(_自动清单!$BQ$4:$BQ$63,ROW()-4-MIN(N(_自动清单!$A$1),60))),""))</f>
        <v/>
      </c>
      <c r="D64" s="24" t="str">
        <f>IF($B64&lt;&gt;"包装物料","",IFERROR(INDEX(_自动清单!$H$4:$H$63,ROW()-4),""))</f>
        <v/>
      </c>
      <c r="E64" s="24" t="str">
        <f>IF($B64="","",IF($B64="包装物料",IFERROR(INDEX(_自动清单!$I$4:$I$63,ROW()-4),""),"个"))</f>
        <v/>
      </c>
      <c r="F64" s="39" t="str">
        <f>IF($B64="","",IF($B64="包装物料",N(IFERROR(INDEX(物料库存结余!$L$4:$L$53,MATCH($C64,物料库存结余!$B$4:$B$53,0)),0)),N(IFERROR(INDEX(筐子库存汇总!$I$4:$I$63,MATCH($C64,筐子库存汇总!$B$4:$B$63,0)),0))))</f>
        <v/>
      </c>
      <c r="G64" s="39"/>
      <c r="H64" s="39" t="str">
        <f t="shared" si="1"/>
        <v/>
      </c>
      <c r="I64" s="50" t="str">
        <f t="shared" si="2"/>
        <v/>
      </c>
      <c r="J64" s="24" t="str">
        <f t="shared" si="3"/>
        <v/>
      </c>
      <c r="K64" s="42"/>
    </row>
    <row r="65" spans="1:11">
      <c r="A65" s="24" t="str">
        <f t="shared" si="0"/>
        <v/>
      </c>
      <c r="B65" s="24" t="str">
        <f>IF(ROW()-4&lt;=MIN(N(_自动清单!$A$1),60),"包装物料",IF(ROW()-4&lt;=MIN(N(_自动清单!$A$1),60)+MIN(N(_自动清单!$BM$1),60),"筐子/托盘",""))</f>
        <v/>
      </c>
      <c r="C65" s="37" t="str">
        <f>IF($B65="","",IFERROR(IF($B65="包装物料",INDEX(_自动清单!$G$4:$G$63,ROW()-4),INDEX(_自动清单!$BQ$4:$BQ$63,ROW()-4-MIN(N(_自动清单!$A$1),60))),""))</f>
        <v/>
      </c>
      <c r="D65" s="24" t="str">
        <f>IF($B65&lt;&gt;"包装物料","",IFERROR(INDEX(_自动清单!$H$4:$H$63,ROW()-4),""))</f>
        <v/>
      </c>
      <c r="E65" s="24" t="str">
        <f>IF($B65="","",IF($B65="包装物料",IFERROR(INDEX(_自动清单!$I$4:$I$63,ROW()-4),""),"个"))</f>
        <v/>
      </c>
      <c r="F65" s="39" t="str">
        <f>IF($B65="","",IF($B65="包装物料",N(IFERROR(INDEX(物料库存结余!$L$4:$L$53,MATCH($C65,物料库存结余!$B$4:$B$53,0)),0)),N(IFERROR(INDEX(筐子库存汇总!$I$4:$I$63,MATCH($C65,筐子库存汇总!$B$4:$B$63,0)),0))))</f>
        <v/>
      </c>
      <c r="G65" s="39"/>
      <c r="H65" s="39" t="str">
        <f t="shared" si="1"/>
        <v/>
      </c>
      <c r="I65" s="50" t="str">
        <f t="shared" si="2"/>
        <v/>
      </c>
      <c r="J65" s="24" t="str">
        <f t="shared" si="3"/>
        <v/>
      </c>
      <c r="K65" s="42"/>
    </row>
    <row r="66" spans="1:11">
      <c r="A66" s="24" t="str">
        <f t="shared" si="0"/>
        <v/>
      </c>
      <c r="B66" s="24" t="str">
        <f>IF(ROW()-4&lt;=MIN(N(_自动清单!$A$1),60),"包装物料",IF(ROW()-4&lt;=MIN(N(_自动清单!$A$1),60)+MIN(N(_自动清单!$BM$1),60),"筐子/托盘",""))</f>
        <v/>
      </c>
      <c r="C66" s="37" t="str">
        <f>IF($B66="","",IFERROR(IF($B66="包装物料",INDEX(_自动清单!$G$4:$G$63,ROW()-4),INDEX(_自动清单!$BQ$4:$BQ$63,ROW()-4-MIN(N(_自动清单!$A$1),60))),""))</f>
        <v/>
      </c>
      <c r="D66" s="24" t="str">
        <f>IF($B66&lt;&gt;"包装物料","",IFERROR(INDEX(_自动清单!$H$4:$H$63,ROW()-4),""))</f>
        <v/>
      </c>
      <c r="E66" s="24" t="str">
        <f>IF($B66="","",IF($B66="包装物料",IFERROR(INDEX(_自动清单!$I$4:$I$63,ROW()-4),""),"个"))</f>
        <v/>
      </c>
      <c r="F66" s="39" t="str">
        <f>IF($B66="","",IF($B66="包装物料",N(IFERROR(INDEX(物料库存结余!$L$4:$L$53,MATCH($C66,物料库存结余!$B$4:$B$53,0)),0)),N(IFERROR(INDEX(筐子库存汇总!$I$4:$I$63,MATCH($C66,筐子库存汇总!$B$4:$B$63,0)),0))))</f>
        <v/>
      </c>
      <c r="G66" s="39"/>
      <c r="H66" s="39" t="str">
        <f t="shared" si="1"/>
        <v/>
      </c>
      <c r="I66" s="50" t="str">
        <f t="shared" si="2"/>
        <v/>
      </c>
      <c r="J66" s="24" t="str">
        <f t="shared" si="3"/>
        <v/>
      </c>
      <c r="K66" s="42"/>
    </row>
    <row r="67" spans="1:11">
      <c r="A67" s="24" t="str">
        <f t="shared" si="0"/>
        <v/>
      </c>
      <c r="B67" s="24" t="str">
        <f>IF(ROW()-4&lt;=MIN(N(_自动清单!$A$1),60),"包装物料",IF(ROW()-4&lt;=MIN(N(_自动清单!$A$1),60)+MIN(N(_自动清单!$BM$1),60),"筐子/托盘",""))</f>
        <v/>
      </c>
      <c r="C67" s="37" t="str">
        <f>IF($B67="","",IFERROR(IF($B67="包装物料",INDEX(_自动清单!$G$4:$G$63,ROW()-4),INDEX(_自动清单!$BQ$4:$BQ$63,ROW()-4-MIN(N(_自动清单!$A$1),60))),""))</f>
        <v/>
      </c>
      <c r="D67" s="24" t="str">
        <f>IF($B67&lt;&gt;"包装物料","",IFERROR(INDEX(_自动清单!$H$4:$H$63,ROW()-4),""))</f>
        <v/>
      </c>
      <c r="E67" s="24" t="str">
        <f>IF($B67="","",IF($B67="包装物料",IFERROR(INDEX(_自动清单!$I$4:$I$63,ROW()-4),""),"个"))</f>
        <v/>
      </c>
      <c r="F67" s="39" t="str">
        <f>IF($B67="","",IF($B67="包装物料",N(IFERROR(INDEX(物料库存结余!$L$4:$L$53,MATCH($C67,物料库存结余!$B$4:$B$53,0)),0)),N(IFERROR(INDEX(筐子库存汇总!$I$4:$I$63,MATCH($C67,筐子库存汇总!$B$4:$B$63,0)),0))))</f>
        <v/>
      </c>
      <c r="G67" s="39"/>
      <c r="H67" s="39" t="str">
        <f t="shared" si="1"/>
        <v/>
      </c>
      <c r="I67" s="50" t="str">
        <f t="shared" si="2"/>
        <v/>
      </c>
      <c r="J67" s="24" t="str">
        <f t="shared" si="3"/>
        <v/>
      </c>
      <c r="K67" s="42"/>
    </row>
    <row r="68" spans="1:11">
      <c r="A68" s="24" t="str">
        <f t="shared" si="0"/>
        <v/>
      </c>
      <c r="B68" s="24" t="str">
        <f>IF(ROW()-4&lt;=MIN(N(_自动清单!$A$1),60),"包装物料",IF(ROW()-4&lt;=MIN(N(_自动清单!$A$1),60)+MIN(N(_自动清单!$BM$1),60),"筐子/托盘",""))</f>
        <v/>
      </c>
      <c r="C68" s="37" t="str">
        <f>IF($B68="","",IFERROR(IF($B68="包装物料",INDEX(_自动清单!$G$4:$G$63,ROW()-4),INDEX(_自动清单!$BQ$4:$BQ$63,ROW()-4-MIN(N(_自动清单!$A$1),60))),""))</f>
        <v/>
      </c>
      <c r="D68" s="24" t="str">
        <f>IF($B68&lt;&gt;"包装物料","",IFERROR(INDEX(_自动清单!$H$4:$H$63,ROW()-4),""))</f>
        <v/>
      </c>
      <c r="E68" s="24" t="str">
        <f>IF($B68="","",IF($B68="包装物料",IFERROR(INDEX(_自动清单!$I$4:$I$63,ROW()-4),""),"个"))</f>
        <v/>
      </c>
      <c r="F68" s="39" t="str">
        <f>IF($B68="","",IF($B68="包装物料",N(IFERROR(INDEX(物料库存结余!$L$4:$L$53,MATCH($C68,物料库存结余!$B$4:$B$53,0)),0)),N(IFERROR(INDEX(筐子库存汇总!$I$4:$I$63,MATCH($C68,筐子库存汇总!$B$4:$B$63,0)),0))))</f>
        <v/>
      </c>
      <c r="G68" s="39"/>
      <c r="H68" s="39" t="str">
        <f t="shared" si="1"/>
        <v/>
      </c>
      <c r="I68" s="50" t="str">
        <f t="shared" si="2"/>
        <v/>
      </c>
      <c r="J68" s="24" t="str">
        <f t="shared" si="3"/>
        <v/>
      </c>
      <c r="K68" s="42"/>
    </row>
    <row r="69" spans="1:11">
      <c r="A69" s="24" t="str">
        <f t="shared" ref="A69:A132" si="4">IF($B69="","",ROW()-4)</f>
        <v/>
      </c>
      <c r="B69" s="24" t="str">
        <f>IF(ROW()-4&lt;=MIN(N(_自动清单!$A$1),60),"包装物料",IF(ROW()-4&lt;=MIN(N(_自动清单!$A$1),60)+MIN(N(_自动清单!$BM$1),60),"筐子/托盘",""))</f>
        <v/>
      </c>
      <c r="C69" s="37" t="str">
        <f>IF($B69="","",IFERROR(IF($B69="包装物料",INDEX(_自动清单!$G$4:$G$63,ROW()-4),INDEX(_自动清单!$BQ$4:$BQ$63,ROW()-4-MIN(N(_自动清单!$A$1),60))),""))</f>
        <v/>
      </c>
      <c r="D69" s="24" t="str">
        <f>IF($B69&lt;&gt;"包装物料","",IFERROR(INDEX(_自动清单!$H$4:$H$63,ROW()-4),""))</f>
        <v/>
      </c>
      <c r="E69" s="24" t="str">
        <f>IF($B69="","",IF($B69="包装物料",IFERROR(INDEX(_自动清单!$I$4:$I$63,ROW()-4),""),"个"))</f>
        <v/>
      </c>
      <c r="F69" s="39" t="str">
        <f>IF($B69="","",IF($B69="包装物料",N(IFERROR(INDEX(物料库存结余!$L$4:$L$53,MATCH($C69,物料库存结余!$B$4:$B$53,0)),0)),N(IFERROR(INDEX(筐子库存汇总!$I$4:$I$63,MATCH($C69,筐子库存汇总!$B$4:$B$63,0)),0))))</f>
        <v/>
      </c>
      <c r="G69" s="39"/>
      <c r="H69" s="39" t="str">
        <f t="shared" ref="H69:H132" si="5">IF(OR($B69="",$G69="未盘点",$G69=""),"",N($G69)-N($F69))</f>
        <v/>
      </c>
      <c r="I69" s="50" t="str">
        <f t="shared" ref="I69:I132" si="6">IF(OR($H69="",N($F69)=0),"",ROUND(N($H69)/N($F69),4))</f>
        <v/>
      </c>
      <c r="J69" s="24" t="str">
        <f t="shared" ref="J69:J132" si="7">IF($B69="","",IF(OR($G69="未盘点",$G69=""),"未盘点",IF(N($H69)=0,"盘平",IF(N($H69)&gt;0,"盘盈","盘亏"))))</f>
        <v/>
      </c>
      <c r="K69" s="42"/>
    </row>
    <row r="70" spans="1:11">
      <c r="A70" s="24" t="str">
        <f t="shared" si="4"/>
        <v/>
      </c>
      <c r="B70" s="24" t="str">
        <f>IF(ROW()-4&lt;=MIN(N(_自动清单!$A$1),60),"包装物料",IF(ROW()-4&lt;=MIN(N(_自动清单!$A$1),60)+MIN(N(_自动清单!$BM$1),60),"筐子/托盘",""))</f>
        <v/>
      </c>
      <c r="C70" s="37" t="str">
        <f>IF($B70="","",IFERROR(IF($B70="包装物料",INDEX(_自动清单!$G$4:$G$63,ROW()-4),INDEX(_自动清单!$BQ$4:$BQ$63,ROW()-4-MIN(N(_自动清单!$A$1),60))),""))</f>
        <v/>
      </c>
      <c r="D70" s="24" t="str">
        <f>IF($B70&lt;&gt;"包装物料","",IFERROR(INDEX(_自动清单!$H$4:$H$63,ROW()-4),""))</f>
        <v/>
      </c>
      <c r="E70" s="24" t="str">
        <f>IF($B70="","",IF($B70="包装物料",IFERROR(INDEX(_自动清单!$I$4:$I$63,ROW()-4),""),"个"))</f>
        <v/>
      </c>
      <c r="F70" s="39" t="str">
        <f>IF($B70="","",IF($B70="包装物料",N(IFERROR(INDEX(物料库存结余!$L$4:$L$53,MATCH($C70,物料库存结余!$B$4:$B$53,0)),0)),N(IFERROR(INDEX(筐子库存汇总!$I$4:$I$63,MATCH($C70,筐子库存汇总!$B$4:$B$63,0)),0))))</f>
        <v/>
      </c>
      <c r="G70" s="39"/>
      <c r="H70" s="39" t="str">
        <f t="shared" si="5"/>
        <v/>
      </c>
      <c r="I70" s="50" t="str">
        <f t="shared" si="6"/>
        <v/>
      </c>
      <c r="J70" s="24" t="str">
        <f t="shared" si="7"/>
        <v/>
      </c>
      <c r="K70" s="42"/>
    </row>
    <row r="71" spans="1:11">
      <c r="A71" s="24" t="str">
        <f t="shared" si="4"/>
        <v/>
      </c>
      <c r="B71" s="24" t="str">
        <f>IF(ROW()-4&lt;=MIN(N(_自动清单!$A$1),60),"包装物料",IF(ROW()-4&lt;=MIN(N(_自动清单!$A$1),60)+MIN(N(_自动清单!$BM$1),60),"筐子/托盘",""))</f>
        <v/>
      </c>
      <c r="C71" s="37" t="str">
        <f>IF($B71="","",IFERROR(IF($B71="包装物料",INDEX(_自动清单!$G$4:$G$63,ROW()-4),INDEX(_自动清单!$BQ$4:$BQ$63,ROW()-4-MIN(N(_自动清单!$A$1),60))),""))</f>
        <v/>
      </c>
      <c r="D71" s="24" t="str">
        <f>IF($B71&lt;&gt;"包装物料","",IFERROR(INDEX(_自动清单!$H$4:$H$63,ROW()-4),""))</f>
        <v/>
      </c>
      <c r="E71" s="24" t="str">
        <f>IF($B71="","",IF($B71="包装物料",IFERROR(INDEX(_自动清单!$I$4:$I$63,ROW()-4),""),"个"))</f>
        <v/>
      </c>
      <c r="F71" s="39" t="str">
        <f>IF($B71="","",IF($B71="包装物料",N(IFERROR(INDEX(物料库存结余!$L$4:$L$53,MATCH($C71,物料库存结余!$B$4:$B$53,0)),0)),N(IFERROR(INDEX(筐子库存汇总!$I$4:$I$63,MATCH($C71,筐子库存汇总!$B$4:$B$63,0)),0))))</f>
        <v/>
      </c>
      <c r="G71" s="39"/>
      <c r="H71" s="39" t="str">
        <f t="shared" si="5"/>
        <v/>
      </c>
      <c r="I71" s="50" t="str">
        <f t="shared" si="6"/>
        <v/>
      </c>
      <c r="J71" s="24" t="str">
        <f t="shared" si="7"/>
        <v/>
      </c>
      <c r="K71" s="42"/>
    </row>
    <row r="72" spans="1:11">
      <c r="A72" s="24" t="str">
        <f t="shared" si="4"/>
        <v/>
      </c>
      <c r="B72" s="24" t="str">
        <f>IF(ROW()-4&lt;=MIN(N(_自动清单!$A$1),60),"包装物料",IF(ROW()-4&lt;=MIN(N(_自动清单!$A$1),60)+MIN(N(_自动清单!$BM$1),60),"筐子/托盘",""))</f>
        <v/>
      </c>
      <c r="C72" s="37" t="str">
        <f>IF($B72="","",IFERROR(IF($B72="包装物料",INDEX(_自动清单!$G$4:$G$63,ROW()-4),INDEX(_自动清单!$BQ$4:$BQ$63,ROW()-4-MIN(N(_自动清单!$A$1),60))),""))</f>
        <v/>
      </c>
      <c r="D72" s="24" t="str">
        <f>IF($B72&lt;&gt;"包装物料","",IFERROR(INDEX(_自动清单!$H$4:$H$63,ROW()-4),""))</f>
        <v/>
      </c>
      <c r="E72" s="24" t="str">
        <f>IF($B72="","",IF($B72="包装物料",IFERROR(INDEX(_自动清单!$I$4:$I$63,ROW()-4),""),"个"))</f>
        <v/>
      </c>
      <c r="F72" s="39" t="str">
        <f>IF($B72="","",IF($B72="包装物料",N(IFERROR(INDEX(物料库存结余!$L$4:$L$53,MATCH($C72,物料库存结余!$B$4:$B$53,0)),0)),N(IFERROR(INDEX(筐子库存汇总!$I$4:$I$63,MATCH($C72,筐子库存汇总!$B$4:$B$63,0)),0))))</f>
        <v/>
      </c>
      <c r="G72" s="39"/>
      <c r="H72" s="39" t="str">
        <f t="shared" si="5"/>
        <v/>
      </c>
      <c r="I72" s="50" t="str">
        <f t="shared" si="6"/>
        <v/>
      </c>
      <c r="J72" s="24" t="str">
        <f t="shared" si="7"/>
        <v/>
      </c>
      <c r="K72" s="42"/>
    </row>
    <row r="73" spans="1:11">
      <c r="A73" s="24" t="str">
        <f t="shared" si="4"/>
        <v/>
      </c>
      <c r="B73" s="24" t="str">
        <f>IF(ROW()-4&lt;=MIN(N(_自动清单!$A$1),60),"包装物料",IF(ROW()-4&lt;=MIN(N(_自动清单!$A$1),60)+MIN(N(_自动清单!$BM$1),60),"筐子/托盘",""))</f>
        <v/>
      </c>
      <c r="C73" s="37" t="str">
        <f>IF($B73="","",IFERROR(IF($B73="包装物料",INDEX(_自动清单!$G$4:$G$63,ROW()-4),INDEX(_自动清单!$BQ$4:$BQ$63,ROW()-4-MIN(N(_自动清单!$A$1),60))),""))</f>
        <v/>
      </c>
      <c r="D73" s="24" t="str">
        <f>IF($B73&lt;&gt;"包装物料","",IFERROR(INDEX(_自动清单!$H$4:$H$63,ROW()-4),""))</f>
        <v/>
      </c>
      <c r="E73" s="24" t="str">
        <f>IF($B73="","",IF($B73="包装物料",IFERROR(INDEX(_自动清单!$I$4:$I$63,ROW()-4),""),"个"))</f>
        <v/>
      </c>
      <c r="F73" s="39" t="str">
        <f>IF($B73="","",IF($B73="包装物料",N(IFERROR(INDEX(物料库存结余!$L$4:$L$53,MATCH($C73,物料库存结余!$B$4:$B$53,0)),0)),N(IFERROR(INDEX(筐子库存汇总!$I$4:$I$63,MATCH($C73,筐子库存汇总!$B$4:$B$63,0)),0))))</f>
        <v/>
      </c>
      <c r="G73" s="39"/>
      <c r="H73" s="39" t="str">
        <f t="shared" si="5"/>
        <v/>
      </c>
      <c r="I73" s="50" t="str">
        <f t="shared" si="6"/>
        <v/>
      </c>
      <c r="J73" s="24" t="str">
        <f t="shared" si="7"/>
        <v/>
      </c>
      <c r="K73" s="42"/>
    </row>
    <row r="74" spans="1:11">
      <c r="A74" s="24" t="str">
        <f t="shared" si="4"/>
        <v/>
      </c>
      <c r="B74" s="24" t="str">
        <f>IF(ROW()-4&lt;=MIN(N(_自动清单!$A$1),60),"包装物料",IF(ROW()-4&lt;=MIN(N(_自动清单!$A$1),60)+MIN(N(_自动清单!$BM$1),60),"筐子/托盘",""))</f>
        <v/>
      </c>
      <c r="C74" s="37" t="str">
        <f>IF($B74="","",IFERROR(IF($B74="包装物料",INDEX(_自动清单!$G$4:$G$63,ROW()-4),INDEX(_自动清单!$BQ$4:$BQ$63,ROW()-4-MIN(N(_自动清单!$A$1),60))),""))</f>
        <v/>
      </c>
      <c r="D74" s="24" t="str">
        <f>IF($B74&lt;&gt;"包装物料","",IFERROR(INDEX(_自动清单!$H$4:$H$63,ROW()-4),""))</f>
        <v/>
      </c>
      <c r="E74" s="24" t="str">
        <f>IF($B74="","",IF($B74="包装物料",IFERROR(INDEX(_自动清单!$I$4:$I$63,ROW()-4),""),"个"))</f>
        <v/>
      </c>
      <c r="F74" s="39" t="str">
        <f>IF($B74="","",IF($B74="包装物料",N(IFERROR(INDEX(物料库存结余!$L$4:$L$53,MATCH($C74,物料库存结余!$B$4:$B$53,0)),0)),N(IFERROR(INDEX(筐子库存汇总!$I$4:$I$63,MATCH($C74,筐子库存汇总!$B$4:$B$63,0)),0))))</f>
        <v/>
      </c>
      <c r="G74" s="39"/>
      <c r="H74" s="39" t="str">
        <f t="shared" si="5"/>
        <v/>
      </c>
      <c r="I74" s="50" t="str">
        <f t="shared" si="6"/>
        <v/>
      </c>
      <c r="J74" s="24" t="str">
        <f t="shared" si="7"/>
        <v/>
      </c>
      <c r="K74" s="42"/>
    </row>
    <row r="75" spans="1:11">
      <c r="A75" s="24" t="str">
        <f t="shared" si="4"/>
        <v/>
      </c>
      <c r="B75" s="24" t="str">
        <f>IF(ROW()-4&lt;=MIN(N(_自动清单!$A$1),60),"包装物料",IF(ROW()-4&lt;=MIN(N(_自动清单!$A$1),60)+MIN(N(_自动清单!$BM$1),60),"筐子/托盘",""))</f>
        <v/>
      </c>
      <c r="C75" s="37" t="str">
        <f>IF($B75="","",IFERROR(IF($B75="包装物料",INDEX(_自动清单!$G$4:$G$63,ROW()-4),INDEX(_自动清单!$BQ$4:$BQ$63,ROW()-4-MIN(N(_自动清单!$A$1),60))),""))</f>
        <v/>
      </c>
      <c r="D75" s="24" t="str">
        <f>IF($B75&lt;&gt;"包装物料","",IFERROR(INDEX(_自动清单!$H$4:$H$63,ROW()-4),""))</f>
        <v/>
      </c>
      <c r="E75" s="24" t="str">
        <f>IF($B75="","",IF($B75="包装物料",IFERROR(INDEX(_自动清单!$I$4:$I$63,ROW()-4),""),"个"))</f>
        <v/>
      </c>
      <c r="F75" s="39" t="str">
        <f>IF($B75="","",IF($B75="包装物料",N(IFERROR(INDEX(物料库存结余!$L$4:$L$53,MATCH($C75,物料库存结余!$B$4:$B$53,0)),0)),N(IFERROR(INDEX(筐子库存汇总!$I$4:$I$63,MATCH($C75,筐子库存汇总!$B$4:$B$63,0)),0))))</f>
        <v/>
      </c>
      <c r="G75" s="39"/>
      <c r="H75" s="39" t="str">
        <f t="shared" si="5"/>
        <v/>
      </c>
      <c r="I75" s="50" t="str">
        <f t="shared" si="6"/>
        <v/>
      </c>
      <c r="J75" s="24" t="str">
        <f t="shared" si="7"/>
        <v/>
      </c>
      <c r="K75" s="42"/>
    </row>
    <row r="76" spans="1:11">
      <c r="A76" s="24" t="str">
        <f t="shared" si="4"/>
        <v/>
      </c>
      <c r="B76" s="24" t="str">
        <f>IF(ROW()-4&lt;=MIN(N(_自动清单!$A$1),60),"包装物料",IF(ROW()-4&lt;=MIN(N(_自动清单!$A$1),60)+MIN(N(_自动清单!$BM$1),60),"筐子/托盘",""))</f>
        <v/>
      </c>
      <c r="C76" s="37" t="str">
        <f>IF($B76="","",IFERROR(IF($B76="包装物料",INDEX(_自动清单!$G$4:$G$63,ROW()-4),INDEX(_自动清单!$BQ$4:$BQ$63,ROW()-4-MIN(N(_自动清单!$A$1),60))),""))</f>
        <v/>
      </c>
      <c r="D76" s="24" t="str">
        <f>IF($B76&lt;&gt;"包装物料","",IFERROR(INDEX(_自动清单!$H$4:$H$63,ROW()-4),""))</f>
        <v/>
      </c>
      <c r="E76" s="24" t="str">
        <f>IF($B76="","",IF($B76="包装物料",IFERROR(INDEX(_自动清单!$I$4:$I$63,ROW()-4),""),"个"))</f>
        <v/>
      </c>
      <c r="F76" s="39" t="str">
        <f>IF($B76="","",IF($B76="包装物料",N(IFERROR(INDEX(物料库存结余!$L$4:$L$53,MATCH($C76,物料库存结余!$B$4:$B$53,0)),0)),N(IFERROR(INDEX(筐子库存汇总!$I$4:$I$63,MATCH($C76,筐子库存汇总!$B$4:$B$63,0)),0))))</f>
        <v/>
      </c>
      <c r="G76" s="39"/>
      <c r="H76" s="39" t="str">
        <f t="shared" si="5"/>
        <v/>
      </c>
      <c r="I76" s="50" t="str">
        <f t="shared" si="6"/>
        <v/>
      </c>
      <c r="J76" s="24" t="str">
        <f t="shared" si="7"/>
        <v/>
      </c>
      <c r="K76" s="42"/>
    </row>
    <row r="77" spans="1:11">
      <c r="A77" s="24" t="str">
        <f t="shared" si="4"/>
        <v/>
      </c>
      <c r="B77" s="24" t="str">
        <f>IF(ROW()-4&lt;=MIN(N(_自动清单!$A$1),60),"包装物料",IF(ROW()-4&lt;=MIN(N(_自动清单!$A$1),60)+MIN(N(_自动清单!$BM$1),60),"筐子/托盘",""))</f>
        <v/>
      </c>
      <c r="C77" s="37" t="str">
        <f>IF($B77="","",IFERROR(IF($B77="包装物料",INDEX(_自动清单!$G$4:$G$63,ROW()-4),INDEX(_自动清单!$BQ$4:$BQ$63,ROW()-4-MIN(N(_自动清单!$A$1),60))),""))</f>
        <v/>
      </c>
      <c r="D77" s="24" t="str">
        <f>IF($B77&lt;&gt;"包装物料","",IFERROR(INDEX(_自动清单!$H$4:$H$63,ROW()-4),""))</f>
        <v/>
      </c>
      <c r="E77" s="24" t="str">
        <f>IF($B77="","",IF($B77="包装物料",IFERROR(INDEX(_自动清单!$I$4:$I$63,ROW()-4),""),"个"))</f>
        <v/>
      </c>
      <c r="F77" s="39" t="str">
        <f>IF($B77="","",IF($B77="包装物料",N(IFERROR(INDEX(物料库存结余!$L$4:$L$53,MATCH($C77,物料库存结余!$B$4:$B$53,0)),0)),N(IFERROR(INDEX(筐子库存汇总!$I$4:$I$63,MATCH($C77,筐子库存汇总!$B$4:$B$63,0)),0))))</f>
        <v/>
      </c>
      <c r="G77" s="39"/>
      <c r="H77" s="39" t="str">
        <f t="shared" si="5"/>
        <v/>
      </c>
      <c r="I77" s="50" t="str">
        <f t="shared" si="6"/>
        <v/>
      </c>
      <c r="J77" s="24" t="str">
        <f t="shared" si="7"/>
        <v/>
      </c>
      <c r="K77" s="42"/>
    </row>
    <row r="78" spans="1:11">
      <c r="A78" s="24" t="str">
        <f t="shared" si="4"/>
        <v/>
      </c>
      <c r="B78" s="24" t="str">
        <f>IF(ROW()-4&lt;=MIN(N(_自动清单!$A$1),60),"包装物料",IF(ROW()-4&lt;=MIN(N(_自动清单!$A$1),60)+MIN(N(_自动清单!$BM$1),60),"筐子/托盘",""))</f>
        <v/>
      </c>
      <c r="C78" s="37" t="str">
        <f>IF($B78="","",IFERROR(IF($B78="包装物料",INDEX(_自动清单!$G$4:$G$63,ROW()-4),INDEX(_自动清单!$BQ$4:$BQ$63,ROW()-4-MIN(N(_自动清单!$A$1),60))),""))</f>
        <v/>
      </c>
      <c r="D78" s="24" t="str">
        <f>IF($B78&lt;&gt;"包装物料","",IFERROR(INDEX(_自动清单!$H$4:$H$63,ROW()-4),""))</f>
        <v/>
      </c>
      <c r="E78" s="24" t="str">
        <f>IF($B78="","",IF($B78="包装物料",IFERROR(INDEX(_自动清单!$I$4:$I$63,ROW()-4),""),"个"))</f>
        <v/>
      </c>
      <c r="F78" s="39" t="str">
        <f>IF($B78="","",IF($B78="包装物料",N(IFERROR(INDEX(物料库存结余!$L$4:$L$53,MATCH($C78,物料库存结余!$B$4:$B$53,0)),0)),N(IFERROR(INDEX(筐子库存汇总!$I$4:$I$63,MATCH($C78,筐子库存汇总!$B$4:$B$63,0)),0))))</f>
        <v/>
      </c>
      <c r="G78" s="39"/>
      <c r="H78" s="39" t="str">
        <f t="shared" si="5"/>
        <v/>
      </c>
      <c r="I78" s="50" t="str">
        <f t="shared" si="6"/>
        <v/>
      </c>
      <c r="J78" s="24" t="str">
        <f t="shared" si="7"/>
        <v/>
      </c>
      <c r="K78" s="42"/>
    </row>
    <row r="79" spans="1:11">
      <c r="A79" s="24" t="str">
        <f t="shared" si="4"/>
        <v/>
      </c>
      <c r="B79" s="24" t="str">
        <f>IF(ROW()-4&lt;=MIN(N(_自动清单!$A$1),60),"包装物料",IF(ROW()-4&lt;=MIN(N(_自动清单!$A$1),60)+MIN(N(_自动清单!$BM$1),60),"筐子/托盘",""))</f>
        <v/>
      </c>
      <c r="C79" s="37" t="str">
        <f>IF($B79="","",IFERROR(IF($B79="包装物料",INDEX(_自动清单!$G$4:$G$63,ROW()-4),INDEX(_自动清单!$BQ$4:$BQ$63,ROW()-4-MIN(N(_自动清单!$A$1),60))),""))</f>
        <v/>
      </c>
      <c r="D79" s="24" t="str">
        <f>IF($B79&lt;&gt;"包装物料","",IFERROR(INDEX(_自动清单!$H$4:$H$63,ROW()-4),""))</f>
        <v/>
      </c>
      <c r="E79" s="24" t="str">
        <f>IF($B79="","",IF($B79="包装物料",IFERROR(INDEX(_自动清单!$I$4:$I$63,ROW()-4),""),"个"))</f>
        <v/>
      </c>
      <c r="F79" s="39" t="str">
        <f>IF($B79="","",IF($B79="包装物料",N(IFERROR(INDEX(物料库存结余!$L$4:$L$53,MATCH($C79,物料库存结余!$B$4:$B$53,0)),0)),N(IFERROR(INDEX(筐子库存汇总!$I$4:$I$63,MATCH($C79,筐子库存汇总!$B$4:$B$63,0)),0))))</f>
        <v/>
      </c>
      <c r="G79" s="39"/>
      <c r="H79" s="39" t="str">
        <f t="shared" si="5"/>
        <v/>
      </c>
      <c r="I79" s="50" t="str">
        <f t="shared" si="6"/>
        <v/>
      </c>
      <c r="J79" s="24" t="str">
        <f t="shared" si="7"/>
        <v/>
      </c>
      <c r="K79" s="42"/>
    </row>
    <row r="80" spans="1:11">
      <c r="A80" s="24" t="str">
        <f t="shared" si="4"/>
        <v/>
      </c>
      <c r="B80" s="24" t="str">
        <f>IF(ROW()-4&lt;=MIN(N(_自动清单!$A$1),60),"包装物料",IF(ROW()-4&lt;=MIN(N(_自动清单!$A$1),60)+MIN(N(_自动清单!$BM$1),60),"筐子/托盘",""))</f>
        <v/>
      </c>
      <c r="C80" s="37" t="str">
        <f>IF($B80="","",IFERROR(IF($B80="包装物料",INDEX(_自动清单!$G$4:$G$63,ROW()-4),INDEX(_自动清单!$BQ$4:$BQ$63,ROW()-4-MIN(N(_自动清单!$A$1),60))),""))</f>
        <v/>
      </c>
      <c r="D80" s="24" t="str">
        <f>IF($B80&lt;&gt;"包装物料","",IFERROR(INDEX(_自动清单!$H$4:$H$63,ROW()-4),""))</f>
        <v/>
      </c>
      <c r="E80" s="24" t="str">
        <f>IF($B80="","",IF($B80="包装物料",IFERROR(INDEX(_自动清单!$I$4:$I$63,ROW()-4),""),"个"))</f>
        <v/>
      </c>
      <c r="F80" s="39" t="str">
        <f>IF($B80="","",IF($B80="包装物料",N(IFERROR(INDEX(物料库存结余!$L$4:$L$53,MATCH($C80,物料库存结余!$B$4:$B$53,0)),0)),N(IFERROR(INDEX(筐子库存汇总!$I$4:$I$63,MATCH($C80,筐子库存汇总!$B$4:$B$63,0)),0))))</f>
        <v/>
      </c>
      <c r="G80" s="39"/>
      <c r="H80" s="39" t="str">
        <f t="shared" si="5"/>
        <v/>
      </c>
      <c r="I80" s="50" t="str">
        <f t="shared" si="6"/>
        <v/>
      </c>
      <c r="J80" s="24" t="str">
        <f t="shared" si="7"/>
        <v/>
      </c>
      <c r="K80" s="42"/>
    </row>
    <row r="81" spans="1:11">
      <c r="A81" s="24" t="str">
        <f t="shared" si="4"/>
        <v/>
      </c>
      <c r="B81" s="24" t="str">
        <f>IF(ROW()-4&lt;=MIN(N(_自动清单!$A$1),60),"包装物料",IF(ROW()-4&lt;=MIN(N(_自动清单!$A$1),60)+MIN(N(_自动清单!$BM$1),60),"筐子/托盘",""))</f>
        <v/>
      </c>
      <c r="C81" s="37" t="str">
        <f>IF($B81="","",IFERROR(IF($B81="包装物料",INDEX(_自动清单!$G$4:$G$63,ROW()-4),INDEX(_自动清单!$BQ$4:$BQ$63,ROW()-4-MIN(N(_自动清单!$A$1),60))),""))</f>
        <v/>
      </c>
      <c r="D81" s="24" t="str">
        <f>IF($B81&lt;&gt;"包装物料","",IFERROR(INDEX(_自动清单!$H$4:$H$63,ROW()-4),""))</f>
        <v/>
      </c>
      <c r="E81" s="24" t="str">
        <f>IF($B81="","",IF($B81="包装物料",IFERROR(INDEX(_自动清单!$I$4:$I$63,ROW()-4),""),"个"))</f>
        <v/>
      </c>
      <c r="F81" s="39" t="str">
        <f>IF($B81="","",IF($B81="包装物料",N(IFERROR(INDEX(物料库存结余!$L$4:$L$53,MATCH($C81,物料库存结余!$B$4:$B$53,0)),0)),N(IFERROR(INDEX(筐子库存汇总!$I$4:$I$63,MATCH($C81,筐子库存汇总!$B$4:$B$63,0)),0))))</f>
        <v/>
      </c>
      <c r="G81" s="39"/>
      <c r="H81" s="39" t="str">
        <f t="shared" si="5"/>
        <v/>
      </c>
      <c r="I81" s="50" t="str">
        <f t="shared" si="6"/>
        <v/>
      </c>
      <c r="J81" s="24" t="str">
        <f t="shared" si="7"/>
        <v/>
      </c>
      <c r="K81" s="42"/>
    </row>
    <row r="82" spans="1:11">
      <c r="A82" s="24" t="str">
        <f t="shared" si="4"/>
        <v/>
      </c>
      <c r="B82" s="24" t="str">
        <f>IF(ROW()-4&lt;=MIN(N(_自动清单!$A$1),60),"包装物料",IF(ROW()-4&lt;=MIN(N(_自动清单!$A$1),60)+MIN(N(_自动清单!$BM$1),60),"筐子/托盘",""))</f>
        <v/>
      </c>
      <c r="C82" s="37" t="str">
        <f>IF($B82="","",IFERROR(IF($B82="包装物料",INDEX(_自动清单!$G$4:$G$63,ROW()-4),INDEX(_自动清单!$BQ$4:$BQ$63,ROW()-4-MIN(N(_自动清单!$A$1),60))),""))</f>
        <v/>
      </c>
      <c r="D82" s="24" t="str">
        <f>IF($B82&lt;&gt;"包装物料","",IFERROR(INDEX(_自动清单!$H$4:$H$63,ROW()-4),""))</f>
        <v/>
      </c>
      <c r="E82" s="24" t="str">
        <f>IF($B82="","",IF($B82="包装物料",IFERROR(INDEX(_自动清单!$I$4:$I$63,ROW()-4),""),"个"))</f>
        <v/>
      </c>
      <c r="F82" s="39" t="str">
        <f>IF($B82="","",IF($B82="包装物料",N(IFERROR(INDEX(物料库存结余!$L$4:$L$53,MATCH($C82,物料库存结余!$B$4:$B$53,0)),0)),N(IFERROR(INDEX(筐子库存汇总!$I$4:$I$63,MATCH($C82,筐子库存汇总!$B$4:$B$63,0)),0))))</f>
        <v/>
      </c>
      <c r="G82" s="39"/>
      <c r="H82" s="39" t="str">
        <f t="shared" si="5"/>
        <v/>
      </c>
      <c r="I82" s="50" t="str">
        <f t="shared" si="6"/>
        <v/>
      </c>
      <c r="J82" s="24" t="str">
        <f t="shared" si="7"/>
        <v/>
      </c>
      <c r="K82" s="42"/>
    </row>
    <row r="83" spans="1:11">
      <c r="A83" s="24" t="str">
        <f t="shared" si="4"/>
        <v/>
      </c>
      <c r="B83" s="24" t="str">
        <f>IF(ROW()-4&lt;=MIN(N(_自动清单!$A$1),60),"包装物料",IF(ROW()-4&lt;=MIN(N(_自动清单!$A$1),60)+MIN(N(_自动清单!$BM$1),60),"筐子/托盘",""))</f>
        <v/>
      </c>
      <c r="C83" s="37" t="str">
        <f>IF($B83="","",IFERROR(IF($B83="包装物料",INDEX(_自动清单!$G$4:$G$63,ROW()-4),INDEX(_自动清单!$BQ$4:$BQ$63,ROW()-4-MIN(N(_自动清单!$A$1),60))),""))</f>
        <v/>
      </c>
      <c r="D83" s="24" t="str">
        <f>IF($B83&lt;&gt;"包装物料","",IFERROR(INDEX(_自动清单!$H$4:$H$63,ROW()-4),""))</f>
        <v/>
      </c>
      <c r="E83" s="24" t="str">
        <f>IF($B83="","",IF($B83="包装物料",IFERROR(INDEX(_自动清单!$I$4:$I$63,ROW()-4),""),"个"))</f>
        <v/>
      </c>
      <c r="F83" s="39" t="str">
        <f>IF($B83="","",IF($B83="包装物料",N(IFERROR(INDEX(物料库存结余!$L$4:$L$53,MATCH($C83,物料库存结余!$B$4:$B$53,0)),0)),N(IFERROR(INDEX(筐子库存汇总!$I$4:$I$63,MATCH($C83,筐子库存汇总!$B$4:$B$63,0)),0))))</f>
        <v/>
      </c>
      <c r="G83" s="39"/>
      <c r="H83" s="39" t="str">
        <f t="shared" si="5"/>
        <v/>
      </c>
      <c r="I83" s="50" t="str">
        <f t="shared" si="6"/>
        <v/>
      </c>
      <c r="J83" s="24" t="str">
        <f t="shared" si="7"/>
        <v/>
      </c>
      <c r="K83" s="42"/>
    </row>
    <row r="84" spans="1:11">
      <c r="A84" s="24" t="str">
        <f t="shared" si="4"/>
        <v/>
      </c>
      <c r="B84" s="24" t="str">
        <f>IF(ROW()-4&lt;=MIN(N(_自动清单!$A$1),60),"包装物料",IF(ROW()-4&lt;=MIN(N(_自动清单!$A$1),60)+MIN(N(_自动清单!$BM$1),60),"筐子/托盘",""))</f>
        <v/>
      </c>
      <c r="C84" s="37" t="str">
        <f>IF($B84="","",IFERROR(IF($B84="包装物料",INDEX(_自动清单!$G$4:$G$63,ROW()-4),INDEX(_自动清单!$BQ$4:$BQ$63,ROW()-4-MIN(N(_自动清单!$A$1),60))),""))</f>
        <v/>
      </c>
      <c r="D84" s="24" t="str">
        <f>IF($B84&lt;&gt;"包装物料","",IFERROR(INDEX(_自动清单!$H$4:$H$63,ROW()-4),""))</f>
        <v/>
      </c>
      <c r="E84" s="24" t="str">
        <f>IF($B84="","",IF($B84="包装物料",IFERROR(INDEX(_自动清单!$I$4:$I$63,ROW()-4),""),"个"))</f>
        <v/>
      </c>
      <c r="F84" s="39" t="str">
        <f>IF($B84="","",IF($B84="包装物料",N(IFERROR(INDEX(物料库存结余!$L$4:$L$53,MATCH($C84,物料库存结余!$B$4:$B$53,0)),0)),N(IFERROR(INDEX(筐子库存汇总!$I$4:$I$63,MATCH($C84,筐子库存汇总!$B$4:$B$63,0)),0))))</f>
        <v/>
      </c>
      <c r="G84" s="39"/>
      <c r="H84" s="39" t="str">
        <f t="shared" si="5"/>
        <v/>
      </c>
      <c r="I84" s="50" t="str">
        <f t="shared" si="6"/>
        <v/>
      </c>
      <c r="J84" s="24" t="str">
        <f t="shared" si="7"/>
        <v/>
      </c>
      <c r="K84" s="42"/>
    </row>
    <row r="85" spans="1:11">
      <c r="A85" s="24" t="str">
        <f t="shared" si="4"/>
        <v/>
      </c>
      <c r="B85" s="24" t="str">
        <f>IF(ROW()-4&lt;=MIN(N(_自动清单!$A$1),60),"包装物料",IF(ROW()-4&lt;=MIN(N(_自动清单!$A$1),60)+MIN(N(_自动清单!$BM$1),60),"筐子/托盘",""))</f>
        <v/>
      </c>
      <c r="C85" s="37" t="str">
        <f>IF($B85="","",IFERROR(IF($B85="包装物料",INDEX(_自动清单!$G$4:$G$63,ROW()-4),INDEX(_自动清单!$BQ$4:$BQ$63,ROW()-4-MIN(N(_自动清单!$A$1),60))),""))</f>
        <v/>
      </c>
      <c r="D85" s="24" t="str">
        <f>IF($B85&lt;&gt;"包装物料","",IFERROR(INDEX(_自动清单!$H$4:$H$63,ROW()-4),""))</f>
        <v/>
      </c>
      <c r="E85" s="24" t="str">
        <f>IF($B85="","",IF($B85="包装物料",IFERROR(INDEX(_自动清单!$I$4:$I$63,ROW()-4),""),"个"))</f>
        <v/>
      </c>
      <c r="F85" s="39" t="str">
        <f>IF($B85="","",IF($B85="包装物料",N(IFERROR(INDEX(物料库存结余!$L$4:$L$53,MATCH($C85,物料库存结余!$B$4:$B$53,0)),0)),N(IFERROR(INDEX(筐子库存汇总!$I$4:$I$63,MATCH($C85,筐子库存汇总!$B$4:$B$63,0)),0))))</f>
        <v/>
      </c>
      <c r="G85" s="39"/>
      <c r="H85" s="39" t="str">
        <f t="shared" si="5"/>
        <v/>
      </c>
      <c r="I85" s="50" t="str">
        <f t="shared" si="6"/>
        <v/>
      </c>
      <c r="J85" s="24" t="str">
        <f t="shared" si="7"/>
        <v/>
      </c>
      <c r="K85" s="42"/>
    </row>
    <row r="86" spans="1:11">
      <c r="A86" s="24" t="str">
        <f t="shared" si="4"/>
        <v/>
      </c>
      <c r="B86" s="24" t="str">
        <f>IF(ROW()-4&lt;=MIN(N(_自动清单!$A$1),60),"包装物料",IF(ROW()-4&lt;=MIN(N(_自动清单!$A$1),60)+MIN(N(_自动清单!$BM$1),60),"筐子/托盘",""))</f>
        <v/>
      </c>
      <c r="C86" s="37" t="str">
        <f>IF($B86="","",IFERROR(IF($B86="包装物料",INDEX(_自动清单!$G$4:$G$63,ROW()-4),INDEX(_自动清单!$BQ$4:$BQ$63,ROW()-4-MIN(N(_自动清单!$A$1),60))),""))</f>
        <v/>
      </c>
      <c r="D86" s="24" t="str">
        <f>IF($B86&lt;&gt;"包装物料","",IFERROR(INDEX(_自动清单!$H$4:$H$63,ROW()-4),""))</f>
        <v/>
      </c>
      <c r="E86" s="24" t="str">
        <f>IF($B86="","",IF($B86="包装物料",IFERROR(INDEX(_自动清单!$I$4:$I$63,ROW()-4),""),"个"))</f>
        <v/>
      </c>
      <c r="F86" s="39" t="str">
        <f>IF($B86="","",IF($B86="包装物料",N(IFERROR(INDEX(物料库存结余!$L$4:$L$53,MATCH($C86,物料库存结余!$B$4:$B$53,0)),0)),N(IFERROR(INDEX(筐子库存汇总!$I$4:$I$63,MATCH($C86,筐子库存汇总!$B$4:$B$63,0)),0))))</f>
        <v/>
      </c>
      <c r="G86" s="39"/>
      <c r="H86" s="39" t="str">
        <f t="shared" si="5"/>
        <v/>
      </c>
      <c r="I86" s="50" t="str">
        <f t="shared" si="6"/>
        <v/>
      </c>
      <c r="J86" s="24" t="str">
        <f t="shared" si="7"/>
        <v/>
      </c>
      <c r="K86" s="42"/>
    </row>
    <row r="87" spans="1:11">
      <c r="A87" s="24" t="str">
        <f t="shared" si="4"/>
        <v/>
      </c>
      <c r="B87" s="24" t="str">
        <f>IF(ROW()-4&lt;=MIN(N(_自动清单!$A$1),60),"包装物料",IF(ROW()-4&lt;=MIN(N(_自动清单!$A$1),60)+MIN(N(_自动清单!$BM$1),60),"筐子/托盘",""))</f>
        <v/>
      </c>
      <c r="C87" s="37" t="str">
        <f>IF($B87="","",IFERROR(IF($B87="包装物料",INDEX(_自动清单!$G$4:$G$63,ROW()-4),INDEX(_自动清单!$BQ$4:$BQ$63,ROW()-4-MIN(N(_自动清单!$A$1),60))),""))</f>
        <v/>
      </c>
      <c r="D87" s="24" t="str">
        <f>IF($B87&lt;&gt;"包装物料","",IFERROR(INDEX(_自动清单!$H$4:$H$63,ROW()-4),""))</f>
        <v/>
      </c>
      <c r="E87" s="24" t="str">
        <f>IF($B87="","",IF($B87="包装物料",IFERROR(INDEX(_自动清单!$I$4:$I$63,ROW()-4),""),"个"))</f>
        <v/>
      </c>
      <c r="F87" s="39" t="str">
        <f>IF($B87="","",IF($B87="包装物料",N(IFERROR(INDEX(物料库存结余!$L$4:$L$53,MATCH($C87,物料库存结余!$B$4:$B$53,0)),0)),N(IFERROR(INDEX(筐子库存汇总!$I$4:$I$63,MATCH($C87,筐子库存汇总!$B$4:$B$63,0)),0))))</f>
        <v/>
      </c>
      <c r="G87" s="39"/>
      <c r="H87" s="39" t="str">
        <f t="shared" si="5"/>
        <v/>
      </c>
      <c r="I87" s="50" t="str">
        <f t="shared" si="6"/>
        <v/>
      </c>
      <c r="J87" s="24" t="str">
        <f t="shared" si="7"/>
        <v/>
      </c>
      <c r="K87" s="42"/>
    </row>
    <row r="88" spans="1:11">
      <c r="A88" s="24" t="str">
        <f t="shared" si="4"/>
        <v/>
      </c>
      <c r="B88" s="24" t="str">
        <f>IF(ROW()-4&lt;=MIN(N(_自动清单!$A$1),60),"包装物料",IF(ROW()-4&lt;=MIN(N(_自动清单!$A$1),60)+MIN(N(_自动清单!$BM$1),60),"筐子/托盘",""))</f>
        <v/>
      </c>
      <c r="C88" s="37" t="str">
        <f>IF($B88="","",IFERROR(IF($B88="包装物料",INDEX(_自动清单!$G$4:$G$63,ROW()-4),INDEX(_自动清单!$BQ$4:$BQ$63,ROW()-4-MIN(N(_自动清单!$A$1),60))),""))</f>
        <v/>
      </c>
      <c r="D88" s="24" t="str">
        <f>IF($B88&lt;&gt;"包装物料","",IFERROR(INDEX(_自动清单!$H$4:$H$63,ROW()-4),""))</f>
        <v/>
      </c>
      <c r="E88" s="24" t="str">
        <f>IF($B88="","",IF($B88="包装物料",IFERROR(INDEX(_自动清单!$I$4:$I$63,ROW()-4),""),"个"))</f>
        <v/>
      </c>
      <c r="F88" s="39" t="str">
        <f>IF($B88="","",IF($B88="包装物料",N(IFERROR(INDEX(物料库存结余!$L$4:$L$53,MATCH($C88,物料库存结余!$B$4:$B$53,0)),0)),N(IFERROR(INDEX(筐子库存汇总!$I$4:$I$63,MATCH($C88,筐子库存汇总!$B$4:$B$63,0)),0))))</f>
        <v/>
      </c>
      <c r="G88" s="39"/>
      <c r="H88" s="39" t="str">
        <f t="shared" si="5"/>
        <v/>
      </c>
      <c r="I88" s="50" t="str">
        <f t="shared" si="6"/>
        <v/>
      </c>
      <c r="J88" s="24" t="str">
        <f t="shared" si="7"/>
        <v/>
      </c>
      <c r="K88" s="42"/>
    </row>
    <row r="89" spans="1:11">
      <c r="A89" s="24" t="str">
        <f t="shared" si="4"/>
        <v/>
      </c>
      <c r="B89" s="24" t="str">
        <f>IF(ROW()-4&lt;=MIN(N(_自动清单!$A$1),60),"包装物料",IF(ROW()-4&lt;=MIN(N(_自动清单!$A$1),60)+MIN(N(_自动清单!$BM$1),60),"筐子/托盘",""))</f>
        <v/>
      </c>
      <c r="C89" s="37" t="str">
        <f>IF($B89="","",IFERROR(IF($B89="包装物料",INDEX(_自动清单!$G$4:$G$63,ROW()-4),INDEX(_自动清单!$BQ$4:$BQ$63,ROW()-4-MIN(N(_自动清单!$A$1),60))),""))</f>
        <v/>
      </c>
      <c r="D89" s="24" t="str">
        <f>IF($B89&lt;&gt;"包装物料","",IFERROR(INDEX(_自动清单!$H$4:$H$63,ROW()-4),""))</f>
        <v/>
      </c>
      <c r="E89" s="24" t="str">
        <f>IF($B89="","",IF($B89="包装物料",IFERROR(INDEX(_自动清单!$I$4:$I$63,ROW()-4),""),"个"))</f>
        <v/>
      </c>
      <c r="F89" s="39" t="str">
        <f>IF($B89="","",IF($B89="包装物料",N(IFERROR(INDEX(物料库存结余!$L$4:$L$53,MATCH($C89,物料库存结余!$B$4:$B$53,0)),0)),N(IFERROR(INDEX(筐子库存汇总!$I$4:$I$63,MATCH($C89,筐子库存汇总!$B$4:$B$63,0)),0))))</f>
        <v/>
      </c>
      <c r="G89" s="39"/>
      <c r="H89" s="39" t="str">
        <f t="shared" si="5"/>
        <v/>
      </c>
      <c r="I89" s="50" t="str">
        <f t="shared" si="6"/>
        <v/>
      </c>
      <c r="J89" s="24" t="str">
        <f t="shared" si="7"/>
        <v/>
      </c>
      <c r="K89" s="42"/>
    </row>
    <row r="90" spans="1:11">
      <c r="A90" s="24" t="str">
        <f t="shared" si="4"/>
        <v/>
      </c>
      <c r="B90" s="24" t="str">
        <f>IF(ROW()-4&lt;=MIN(N(_自动清单!$A$1),60),"包装物料",IF(ROW()-4&lt;=MIN(N(_自动清单!$A$1),60)+MIN(N(_自动清单!$BM$1),60),"筐子/托盘",""))</f>
        <v/>
      </c>
      <c r="C90" s="37" t="str">
        <f>IF($B90="","",IFERROR(IF($B90="包装物料",INDEX(_自动清单!$G$4:$G$63,ROW()-4),INDEX(_自动清单!$BQ$4:$BQ$63,ROW()-4-MIN(N(_自动清单!$A$1),60))),""))</f>
        <v/>
      </c>
      <c r="D90" s="24" t="str">
        <f>IF($B90&lt;&gt;"包装物料","",IFERROR(INDEX(_自动清单!$H$4:$H$63,ROW()-4),""))</f>
        <v/>
      </c>
      <c r="E90" s="24" t="str">
        <f>IF($B90="","",IF($B90="包装物料",IFERROR(INDEX(_自动清单!$I$4:$I$63,ROW()-4),""),"个"))</f>
        <v/>
      </c>
      <c r="F90" s="39" t="str">
        <f>IF($B90="","",IF($B90="包装物料",N(IFERROR(INDEX(物料库存结余!$L$4:$L$53,MATCH($C90,物料库存结余!$B$4:$B$53,0)),0)),N(IFERROR(INDEX(筐子库存汇总!$I$4:$I$63,MATCH($C90,筐子库存汇总!$B$4:$B$63,0)),0))))</f>
        <v/>
      </c>
      <c r="G90" s="39"/>
      <c r="H90" s="39" t="str">
        <f t="shared" si="5"/>
        <v/>
      </c>
      <c r="I90" s="50" t="str">
        <f t="shared" si="6"/>
        <v/>
      </c>
      <c r="J90" s="24" t="str">
        <f t="shared" si="7"/>
        <v/>
      </c>
      <c r="K90" s="42"/>
    </row>
    <row r="91" spans="1:11">
      <c r="A91" s="24" t="str">
        <f t="shared" si="4"/>
        <v/>
      </c>
      <c r="B91" s="24" t="str">
        <f>IF(ROW()-4&lt;=MIN(N(_自动清单!$A$1),60),"包装物料",IF(ROW()-4&lt;=MIN(N(_自动清单!$A$1),60)+MIN(N(_自动清单!$BM$1),60),"筐子/托盘",""))</f>
        <v/>
      </c>
      <c r="C91" s="37" t="str">
        <f>IF($B91="","",IFERROR(IF($B91="包装物料",INDEX(_自动清单!$G$4:$G$63,ROW()-4),INDEX(_自动清单!$BQ$4:$BQ$63,ROW()-4-MIN(N(_自动清单!$A$1),60))),""))</f>
        <v/>
      </c>
      <c r="D91" s="24" t="str">
        <f>IF($B91&lt;&gt;"包装物料","",IFERROR(INDEX(_自动清单!$H$4:$H$63,ROW()-4),""))</f>
        <v/>
      </c>
      <c r="E91" s="24" t="str">
        <f>IF($B91="","",IF($B91="包装物料",IFERROR(INDEX(_自动清单!$I$4:$I$63,ROW()-4),""),"个"))</f>
        <v/>
      </c>
      <c r="F91" s="39" t="str">
        <f>IF($B91="","",IF($B91="包装物料",N(IFERROR(INDEX(物料库存结余!$L$4:$L$53,MATCH($C91,物料库存结余!$B$4:$B$53,0)),0)),N(IFERROR(INDEX(筐子库存汇总!$I$4:$I$63,MATCH($C91,筐子库存汇总!$B$4:$B$63,0)),0))))</f>
        <v/>
      </c>
      <c r="G91" s="39"/>
      <c r="H91" s="39" t="str">
        <f t="shared" si="5"/>
        <v/>
      </c>
      <c r="I91" s="50" t="str">
        <f t="shared" si="6"/>
        <v/>
      </c>
      <c r="J91" s="24" t="str">
        <f t="shared" si="7"/>
        <v/>
      </c>
      <c r="K91" s="42"/>
    </row>
    <row r="92" spans="1:11">
      <c r="A92" s="24" t="str">
        <f t="shared" si="4"/>
        <v/>
      </c>
      <c r="B92" s="24" t="str">
        <f>IF(ROW()-4&lt;=MIN(N(_自动清单!$A$1),60),"包装物料",IF(ROW()-4&lt;=MIN(N(_自动清单!$A$1),60)+MIN(N(_自动清单!$BM$1),60),"筐子/托盘",""))</f>
        <v/>
      </c>
      <c r="C92" s="37" t="str">
        <f>IF($B92="","",IFERROR(IF($B92="包装物料",INDEX(_自动清单!$G$4:$G$63,ROW()-4),INDEX(_自动清单!$BQ$4:$BQ$63,ROW()-4-MIN(N(_自动清单!$A$1),60))),""))</f>
        <v/>
      </c>
      <c r="D92" s="24" t="str">
        <f>IF($B92&lt;&gt;"包装物料","",IFERROR(INDEX(_自动清单!$H$4:$H$63,ROW()-4),""))</f>
        <v/>
      </c>
      <c r="E92" s="24" t="str">
        <f>IF($B92="","",IF($B92="包装物料",IFERROR(INDEX(_自动清单!$I$4:$I$63,ROW()-4),""),"个"))</f>
        <v/>
      </c>
      <c r="F92" s="39" t="str">
        <f>IF($B92="","",IF($B92="包装物料",N(IFERROR(INDEX(物料库存结余!$L$4:$L$53,MATCH($C92,物料库存结余!$B$4:$B$53,0)),0)),N(IFERROR(INDEX(筐子库存汇总!$I$4:$I$63,MATCH($C92,筐子库存汇总!$B$4:$B$63,0)),0))))</f>
        <v/>
      </c>
      <c r="G92" s="39"/>
      <c r="H92" s="39" t="str">
        <f t="shared" si="5"/>
        <v/>
      </c>
      <c r="I92" s="50" t="str">
        <f t="shared" si="6"/>
        <v/>
      </c>
      <c r="J92" s="24" t="str">
        <f t="shared" si="7"/>
        <v/>
      </c>
      <c r="K92" s="42"/>
    </row>
    <row r="93" spans="1:11">
      <c r="A93" s="24" t="str">
        <f t="shared" si="4"/>
        <v/>
      </c>
      <c r="B93" s="24" t="str">
        <f>IF(ROW()-4&lt;=MIN(N(_自动清单!$A$1),60),"包装物料",IF(ROW()-4&lt;=MIN(N(_自动清单!$A$1),60)+MIN(N(_自动清单!$BM$1),60),"筐子/托盘",""))</f>
        <v/>
      </c>
      <c r="C93" s="37" t="str">
        <f>IF($B93="","",IFERROR(IF($B93="包装物料",INDEX(_自动清单!$G$4:$G$63,ROW()-4),INDEX(_自动清单!$BQ$4:$BQ$63,ROW()-4-MIN(N(_自动清单!$A$1),60))),""))</f>
        <v/>
      </c>
      <c r="D93" s="24" t="str">
        <f>IF($B93&lt;&gt;"包装物料","",IFERROR(INDEX(_自动清单!$H$4:$H$63,ROW()-4),""))</f>
        <v/>
      </c>
      <c r="E93" s="24" t="str">
        <f>IF($B93="","",IF($B93="包装物料",IFERROR(INDEX(_自动清单!$I$4:$I$63,ROW()-4),""),"个"))</f>
        <v/>
      </c>
      <c r="F93" s="39" t="str">
        <f>IF($B93="","",IF($B93="包装物料",N(IFERROR(INDEX(物料库存结余!$L$4:$L$53,MATCH($C93,物料库存结余!$B$4:$B$53,0)),0)),N(IFERROR(INDEX(筐子库存汇总!$I$4:$I$63,MATCH($C93,筐子库存汇总!$B$4:$B$63,0)),0))))</f>
        <v/>
      </c>
      <c r="G93" s="39"/>
      <c r="H93" s="39" t="str">
        <f t="shared" si="5"/>
        <v/>
      </c>
      <c r="I93" s="50" t="str">
        <f t="shared" si="6"/>
        <v/>
      </c>
      <c r="J93" s="24" t="str">
        <f t="shared" si="7"/>
        <v/>
      </c>
      <c r="K93" s="42"/>
    </row>
    <row r="94" spans="1:11">
      <c r="A94" s="24" t="str">
        <f t="shared" si="4"/>
        <v/>
      </c>
      <c r="B94" s="24" t="str">
        <f>IF(ROW()-4&lt;=MIN(N(_自动清单!$A$1),60),"包装物料",IF(ROW()-4&lt;=MIN(N(_自动清单!$A$1),60)+MIN(N(_自动清单!$BM$1),60),"筐子/托盘",""))</f>
        <v/>
      </c>
      <c r="C94" s="37" t="str">
        <f>IF($B94="","",IFERROR(IF($B94="包装物料",INDEX(_自动清单!$G$4:$G$63,ROW()-4),INDEX(_自动清单!$BQ$4:$BQ$63,ROW()-4-MIN(N(_自动清单!$A$1),60))),""))</f>
        <v/>
      </c>
      <c r="D94" s="24" t="str">
        <f>IF($B94&lt;&gt;"包装物料","",IFERROR(INDEX(_自动清单!$H$4:$H$63,ROW()-4),""))</f>
        <v/>
      </c>
      <c r="E94" s="24" t="str">
        <f>IF($B94="","",IF($B94="包装物料",IFERROR(INDEX(_自动清单!$I$4:$I$63,ROW()-4),""),"个"))</f>
        <v/>
      </c>
      <c r="F94" s="39" t="str">
        <f>IF($B94="","",IF($B94="包装物料",N(IFERROR(INDEX(物料库存结余!$L$4:$L$53,MATCH($C94,物料库存结余!$B$4:$B$53,0)),0)),N(IFERROR(INDEX(筐子库存汇总!$I$4:$I$63,MATCH($C94,筐子库存汇总!$B$4:$B$63,0)),0))))</f>
        <v/>
      </c>
      <c r="G94" s="39"/>
      <c r="H94" s="39" t="str">
        <f t="shared" si="5"/>
        <v/>
      </c>
      <c r="I94" s="50" t="str">
        <f t="shared" si="6"/>
        <v/>
      </c>
      <c r="J94" s="24" t="str">
        <f t="shared" si="7"/>
        <v/>
      </c>
      <c r="K94" s="42"/>
    </row>
    <row r="95" spans="1:11">
      <c r="A95" s="24" t="str">
        <f t="shared" si="4"/>
        <v/>
      </c>
      <c r="B95" s="24" t="str">
        <f>IF(ROW()-4&lt;=MIN(N(_自动清单!$A$1),60),"包装物料",IF(ROW()-4&lt;=MIN(N(_自动清单!$A$1),60)+MIN(N(_自动清单!$BM$1),60),"筐子/托盘",""))</f>
        <v/>
      </c>
      <c r="C95" s="37" t="str">
        <f>IF($B95="","",IFERROR(IF($B95="包装物料",INDEX(_自动清单!$G$4:$G$63,ROW()-4),INDEX(_自动清单!$BQ$4:$BQ$63,ROW()-4-MIN(N(_自动清单!$A$1),60))),""))</f>
        <v/>
      </c>
      <c r="D95" s="24" t="str">
        <f>IF($B95&lt;&gt;"包装物料","",IFERROR(INDEX(_自动清单!$H$4:$H$63,ROW()-4),""))</f>
        <v/>
      </c>
      <c r="E95" s="24" t="str">
        <f>IF($B95="","",IF($B95="包装物料",IFERROR(INDEX(_自动清单!$I$4:$I$63,ROW()-4),""),"个"))</f>
        <v/>
      </c>
      <c r="F95" s="39" t="str">
        <f>IF($B95="","",IF($B95="包装物料",N(IFERROR(INDEX(物料库存结余!$L$4:$L$53,MATCH($C95,物料库存结余!$B$4:$B$53,0)),0)),N(IFERROR(INDEX(筐子库存汇总!$I$4:$I$63,MATCH($C95,筐子库存汇总!$B$4:$B$63,0)),0))))</f>
        <v/>
      </c>
      <c r="G95" s="39"/>
      <c r="H95" s="39" t="str">
        <f t="shared" si="5"/>
        <v/>
      </c>
      <c r="I95" s="50" t="str">
        <f t="shared" si="6"/>
        <v/>
      </c>
      <c r="J95" s="24" t="str">
        <f t="shared" si="7"/>
        <v/>
      </c>
      <c r="K95" s="42"/>
    </row>
    <row r="96" spans="1:11">
      <c r="A96" s="24" t="str">
        <f t="shared" si="4"/>
        <v/>
      </c>
      <c r="B96" s="24" t="str">
        <f>IF(ROW()-4&lt;=MIN(N(_自动清单!$A$1),60),"包装物料",IF(ROW()-4&lt;=MIN(N(_自动清单!$A$1),60)+MIN(N(_自动清单!$BM$1),60),"筐子/托盘",""))</f>
        <v/>
      </c>
      <c r="C96" s="37" t="str">
        <f>IF($B96="","",IFERROR(IF($B96="包装物料",INDEX(_自动清单!$G$4:$G$63,ROW()-4),INDEX(_自动清单!$BQ$4:$BQ$63,ROW()-4-MIN(N(_自动清单!$A$1),60))),""))</f>
        <v/>
      </c>
      <c r="D96" s="24" t="str">
        <f>IF($B96&lt;&gt;"包装物料","",IFERROR(INDEX(_自动清单!$H$4:$H$63,ROW()-4),""))</f>
        <v/>
      </c>
      <c r="E96" s="24" t="str">
        <f>IF($B96="","",IF($B96="包装物料",IFERROR(INDEX(_自动清单!$I$4:$I$63,ROW()-4),""),"个"))</f>
        <v/>
      </c>
      <c r="F96" s="39" t="str">
        <f>IF($B96="","",IF($B96="包装物料",N(IFERROR(INDEX(物料库存结余!$L$4:$L$53,MATCH($C96,物料库存结余!$B$4:$B$53,0)),0)),N(IFERROR(INDEX(筐子库存汇总!$I$4:$I$63,MATCH($C96,筐子库存汇总!$B$4:$B$63,0)),0))))</f>
        <v/>
      </c>
      <c r="G96" s="39"/>
      <c r="H96" s="39" t="str">
        <f t="shared" si="5"/>
        <v/>
      </c>
      <c r="I96" s="50" t="str">
        <f t="shared" si="6"/>
        <v/>
      </c>
      <c r="J96" s="24" t="str">
        <f t="shared" si="7"/>
        <v/>
      </c>
      <c r="K96" s="42"/>
    </row>
    <row r="97" spans="1:11">
      <c r="A97" s="24" t="str">
        <f t="shared" si="4"/>
        <v/>
      </c>
      <c r="B97" s="24" t="str">
        <f>IF(ROW()-4&lt;=MIN(N(_自动清单!$A$1),60),"包装物料",IF(ROW()-4&lt;=MIN(N(_自动清单!$A$1),60)+MIN(N(_自动清单!$BM$1),60),"筐子/托盘",""))</f>
        <v/>
      </c>
      <c r="C97" s="37" t="str">
        <f>IF($B97="","",IFERROR(IF($B97="包装物料",INDEX(_自动清单!$G$4:$G$63,ROW()-4),INDEX(_自动清单!$BQ$4:$BQ$63,ROW()-4-MIN(N(_自动清单!$A$1),60))),""))</f>
        <v/>
      </c>
      <c r="D97" s="24" t="str">
        <f>IF($B97&lt;&gt;"包装物料","",IFERROR(INDEX(_自动清单!$H$4:$H$63,ROW()-4),""))</f>
        <v/>
      </c>
      <c r="E97" s="24" t="str">
        <f>IF($B97="","",IF($B97="包装物料",IFERROR(INDEX(_自动清单!$I$4:$I$63,ROW()-4),""),"个"))</f>
        <v/>
      </c>
      <c r="F97" s="39" t="str">
        <f>IF($B97="","",IF($B97="包装物料",N(IFERROR(INDEX(物料库存结余!$L$4:$L$53,MATCH($C97,物料库存结余!$B$4:$B$53,0)),0)),N(IFERROR(INDEX(筐子库存汇总!$I$4:$I$63,MATCH($C97,筐子库存汇总!$B$4:$B$63,0)),0))))</f>
        <v/>
      </c>
      <c r="G97" s="39"/>
      <c r="H97" s="39" t="str">
        <f t="shared" si="5"/>
        <v/>
      </c>
      <c r="I97" s="50" t="str">
        <f t="shared" si="6"/>
        <v/>
      </c>
      <c r="J97" s="24" t="str">
        <f t="shared" si="7"/>
        <v/>
      </c>
      <c r="K97" s="42"/>
    </row>
    <row r="98" spans="1:11">
      <c r="A98" s="24" t="str">
        <f t="shared" si="4"/>
        <v/>
      </c>
      <c r="B98" s="24" t="str">
        <f>IF(ROW()-4&lt;=MIN(N(_自动清单!$A$1),60),"包装物料",IF(ROW()-4&lt;=MIN(N(_自动清单!$A$1),60)+MIN(N(_自动清单!$BM$1),60),"筐子/托盘",""))</f>
        <v/>
      </c>
      <c r="C98" s="37" t="str">
        <f>IF($B98="","",IFERROR(IF($B98="包装物料",INDEX(_自动清单!$G$4:$G$63,ROW()-4),INDEX(_自动清单!$BQ$4:$BQ$63,ROW()-4-MIN(N(_自动清单!$A$1),60))),""))</f>
        <v/>
      </c>
      <c r="D98" s="24" t="str">
        <f>IF($B98&lt;&gt;"包装物料","",IFERROR(INDEX(_自动清单!$H$4:$H$63,ROW()-4),""))</f>
        <v/>
      </c>
      <c r="E98" s="24" t="str">
        <f>IF($B98="","",IF($B98="包装物料",IFERROR(INDEX(_自动清单!$I$4:$I$63,ROW()-4),""),"个"))</f>
        <v/>
      </c>
      <c r="F98" s="39" t="str">
        <f>IF($B98="","",IF($B98="包装物料",N(IFERROR(INDEX(物料库存结余!$L$4:$L$53,MATCH($C98,物料库存结余!$B$4:$B$53,0)),0)),N(IFERROR(INDEX(筐子库存汇总!$I$4:$I$63,MATCH($C98,筐子库存汇总!$B$4:$B$63,0)),0))))</f>
        <v/>
      </c>
      <c r="G98" s="39"/>
      <c r="H98" s="39" t="str">
        <f t="shared" si="5"/>
        <v/>
      </c>
      <c r="I98" s="50" t="str">
        <f t="shared" si="6"/>
        <v/>
      </c>
      <c r="J98" s="24" t="str">
        <f t="shared" si="7"/>
        <v/>
      </c>
      <c r="K98" s="42"/>
    </row>
    <row r="99" spans="1:11">
      <c r="A99" s="24" t="str">
        <f t="shared" si="4"/>
        <v/>
      </c>
      <c r="B99" s="24" t="str">
        <f>IF(ROW()-4&lt;=MIN(N(_自动清单!$A$1),60),"包装物料",IF(ROW()-4&lt;=MIN(N(_自动清单!$A$1),60)+MIN(N(_自动清单!$BM$1),60),"筐子/托盘",""))</f>
        <v/>
      </c>
      <c r="C99" s="37" t="str">
        <f>IF($B99="","",IFERROR(IF($B99="包装物料",INDEX(_自动清单!$G$4:$G$63,ROW()-4),INDEX(_自动清单!$BQ$4:$BQ$63,ROW()-4-MIN(N(_自动清单!$A$1),60))),""))</f>
        <v/>
      </c>
      <c r="D99" s="24" t="str">
        <f>IF($B99&lt;&gt;"包装物料","",IFERROR(INDEX(_自动清单!$H$4:$H$63,ROW()-4),""))</f>
        <v/>
      </c>
      <c r="E99" s="24" t="str">
        <f>IF($B99="","",IF($B99="包装物料",IFERROR(INDEX(_自动清单!$I$4:$I$63,ROW()-4),""),"个"))</f>
        <v/>
      </c>
      <c r="F99" s="39" t="str">
        <f>IF($B99="","",IF($B99="包装物料",N(IFERROR(INDEX(物料库存结余!$L$4:$L$53,MATCH($C99,物料库存结余!$B$4:$B$53,0)),0)),N(IFERROR(INDEX(筐子库存汇总!$I$4:$I$63,MATCH($C99,筐子库存汇总!$B$4:$B$63,0)),0))))</f>
        <v/>
      </c>
      <c r="G99" s="39"/>
      <c r="H99" s="39" t="str">
        <f t="shared" si="5"/>
        <v/>
      </c>
      <c r="I99" s="50" t="str">
        <f t="shared" si="6"/>
        <v/>
      </c>
      <c r="J99" s="24" t="str">
        <f t="shared" si="7"/>
        <v/>
      </c>
      <c r="K99" s="42"/>
    </row>
    <row r="100" spans="1:11">
      <c r="A100" s="24" t="str">
        <f t="shared" si="4"/>
        <v/>
      </c>
      <c r="B100" s="24" t="str">
        <f>IF(ROW()-4&lt;=MIN(N(_自动清单!$A$1),60),"包装物料",IF(ROW()-4&lt;=MIN(N(_自动清单!$A$1),60)+MIN(N(_自动清单!$BM$1),60),"筐子/托盘",""))</f>
        <v/>
      </c>
      <c r="C100" s="37" t="str">
        <f>IF($B100="","",IFERROR(IF($B100="包装物料",INDEX(_自动清单!$G$4:$G$63,ROW()-4),INDEX(_自动清单!$BQ$4:$BQ$63,ROW()-4-MIN(N(_自动清单!$A$1),60))),""))</f>
        <v/>
      </c>
      <c r="D100" s="24" t="str">
        <f>IF($B100&lt;&gt;"包装物料","",IFERROR(INDEX(_自动清单!$H$4:$H$63,ROW()-4),""))</f>
        <v/>
      </c>
      <c r="E100" s="24" t="str">
        <f>IF($B100="","",IF($B100="包装物料",IFERROR(INDEX(_自动清单!$I$4:$I$63,ROW()-4),""),"个"))</f>
        <v/>
      </c>
      <c r="F100" s="39" t="str">
        <f>IF($B100="","",IF($B100="包装物料",N(IFERROR(INDEX(物料库存结余!$L$4:$L$53,MATCH($C100,物料库存结余!$B$4:$B$53,0)),0)),N(IFERROR(INDEX(筐子库存汇总!$I$4:$I$63,MATCH($C100,筐子库存汇总!$B$4:$B$63,0)),0))))</f>
        <v/>
      </c>
      <c r="G100" s="39"/>
      <c r="H100" s="39" t="str">
        <f t="shared" si="5"/>
        <v/>
      </c>
      <c r="I100" s="50" t="str">
        <f t="shared" si="6"/>
        <v/>
      </c>
      <c r="J100" s="24" t="str">
        <f t="shared" si="7"/>
        <v/>
      </c>
      <c r="K100" s="42"/>
    </row>
    <row r="101" spans="1:11">
      <c r="A101" s="24" t="str">
        <f t="shared" si="4"/>
        <v/>
      </c>
      <c r="B101" s="24" t="str">
        <f>IF(ROW()-4&lt;=MIN(N(_自动清单!$A$1),60),"包装物料",IF(ROW()-4&lt;=MIN(N(_自动清单!$A$1),60)+MIN(N(_自动清单!$BM$1),60),"筐子/托盘",""))</f>
        <v/>
      </c>
      <c r="C101" s="37" t="str">
        <f>IF($B101="","",IFERROR(IF($B101="包装物料",INDEX(_自动清单!$G$4:$G$63,ROW()-4),INDEX(_自动清单!$BQ$4:$BQ$63,ROW()-4-MIN(N(_自动清单!$A$1),60))),""))</f>
        <v/>
      </c>
      <c r="D101" s="24" t="str">
        <f>IF($B101&lt;&gt;"包装物料","",IFERROR(INDEX(_自动清单!$H$4:$H$63,ROW()-4),""))</f>
        <v/>
      </c>
      <c r="E101" s="24" t="str">
        <f>IF($B101="","",IF($B101="包装物料",IFERROR(INDEX(_自动清单!$I$4:$I$63,ROW()-4),""),"个"))</f>
        <v/>
      </c>
      <c r="F101" s="39" t="str">
        <f>IF($B101="","",IF($B101="包装物料",N(IFERROR(INDEX(物料库存结余!$L$4:$L$53,MATCH($C101,物料库存结余!$B$4:$B$53,0)),0)),N(IFERROR(INDEX(筐子库存汇总!$I$4:$I$63,MATCH($C101,筐子库存汇总!$B$4:$B$63,0)),0))))</f>
        <v/>
      </c>
      <c r="G101" s="39"/>
      <c r="H101" s="39" t="str">
        <f t="shared" si="5"/>
        <v/>
      </c>
      <c r="I101" s="50" t="str">
        <f t="shared" si="6"/>
        <v/>
      </c>
      <c r="J101" s="24" t="str">
        <f t="shared" si="7"/>
        <v/>
      </c>
      <c r="K101" s="42"/>
    </row>
    <row r="102" spans="1:11">
      <c r="A102" s="24" t="str">
        <f t="shared" si="4"/>
        <v/>
      </c>
      <c r="B102" s="24" t="str">
        <f>IF(ROW()-4&lt;=MIN(N(_自动清单!$A$1),60),"包装物料",IF(ROW()-4&lt;=MIN(N(_自动清单!$A$1),60)+MIN(N(_自动清单!$BM$1),60),"筐子/托盘",""))</f>
        <v/>
      </c>
      <c r="C102" s="37" t="str">
        <f>IF($B102="","",IFERROR(IF($B102="包装物料",INDEX(_自动清单!$G$4:$G$63,ROW()-4),INDEX(_自动清单!$BQ$4:$BQ$63,ROW()-4-MIN(N(_自动清单!$A$1),60))),""))</f>
        <v/>
      </c>
      <c r="D102" s="24" t="str">
        <f>IF($B102&lt;&gt;"包装物料","",IFERROR(INDEX(_自动清单!$H$4:$H$63,ROW()-4),""))</f>
        <v/>
      </c>
      <c r="E102" s="24" t="str">
        <f>IF($B102="","",IF($B102="包装物料",IFERROR(INDEX(_自动清单!$I$4:$I$63,ROW()-4),""),"个"))</f>
        <v/>
      </c>
      <c r="F102" s="39" t="str">
        <f>IF($B102="","",IF($B102="包装物料",N(IFERROR(INDEX(物料库存结余!$L$4:$L$53,MATCH($C102,物料库存结余!$B$4:$B$53,0)),0)),N(IFERROR(INDEX(筐子库存汇总!$I$4:$I$63,MATCH($C102,筐子库存汇总!$B$4:$B$63,0)),0))))</f>
        <v/>
      </c>
      <c r="G102" s="39"/>
      <c r="H102" s="39" t="str">
        <f t="shared" si="5"/>
        <v/>
      </c>
      <c r="I102" s="50" t="str">
        <f t="shared" si="6"/>
        <v/>
      </c>
      <c r="J102" s="24" t="str">
        <f t="shared" si="7"/>
        <v/>
      </c>
      <c r="K102" s="42"/>
    </row>
    <row r="103" spans="1:11">
      <c r="A103" s="24" t="str">
        <f t="shared" si="4"/>
        <v/>
      </c>
      <c r="B103" s="24" t="str">
        <f>IF(ROW()-4&lt;=MIN(N(_自动清单!$A$1),60),"包装物料",IF(ROW()-4&lt;=MIN(N(_自动清单!$A$1),60)+MIN(N(_自动清单!$BM$1),60),"筐子/托盘",""))</f>
        <v/>
      </c>
      <c r="C103" s="37" t="str">
        <f>IF($B103="","",IFERROR(IF($B103="包装物料",INDEX(_自动清单!$G$4:$G$63,ROW()-4),INDEX(_自动清单!$BQ$4:$BQ$63,ROW()-4-MIN(N(_自动清单!$A$1),60))),""))</f>
        <v/>
      </c>
      <c r="D103" s="24" t="str">
        <f>IF($B103&lt;&gt;"包装物料","",IFERROR(INDEX(_自动清单!$H$4:$H$63,ROW()-4),""))</f>
        <v/>
      </c>
      <c r="E103" s="24" t="str">
        <f>IF($B103="","",IF($B103="包装物料",IFERROR(INDEX(_自动清单!$I$4:$I$63,ROW()-4),""),"个"))</f>
        <v/>
      </c>
      <c r="F103" s="39" t="str">
        <f>IF($B103="","",IF($B103="包装物料",N(IFERROR(INDEX(物料库存结余!$L$4:$L$53,MATCH($C103,物料库存结余!$B$4:$B$53,0)),0)),N(IFERROR(INDEX(筐子库存汇总!$I$4:$I$63,MATCH($C103,筐子库存汇总!$B$4:$B$63,0)),0))))</f>
        <v/>
      </c>
      <c r="G103" s="39"/>
      <c r="H103" s="39" t="str">
        <f t="shared" si="5"/>
        <v/>
      </c>
      <c r="I103" s="50" t="str">
        <f t="shared" si="6"/>
        <v/>
      </c>
      <c r="J103" s="24" t="str">
        <f t="shared" si="7"/>
        <v/>
      </c>
      <c r="K103" s="42"/>
    </row>
    <row r="104" spans="1:11">
      <c r="A104" s="24" t="str">
        <f t="shared" si="4"/>
        <v/>
      </c>
      <c r="B104" s="24" t="str">
        <f>IF(ROW()-4&lt;=MIN(N(_自动清单!$A$1),60),"包装物料",IF(ROW()-4&lt;=MIN(N(_自动清单!$A$1),60)+MIN(N(_自动清单!$BM$1),60),"筐子/托盘",""))</f>
        <v/>
      </c>
      <c r="C104" s="37" t="str">
        <f>IF($B104="","",IFERROR(IF($B104="包装物料",INDEX(_自动清单!$G$4:$G$63,ROW()-4),INDEX(_自动清单!$BQ$4:$BQ$63,ROW()-4-MIN(N(_自动清单!$A$1),60))),""))</f>
        <v/>
      </c>
      <c r="D104" s="24" t="str">
        <f>IF($B104&lt;&gt;"包装物料","",IFERROR(INDEX(_自动清单!$H$4:$H$63,ROW()-4),""))</f>
        <v/>
      </c>
      <c r="E104" s="24" t="str">
        <f>IF($B104="","",IF($B104="包装物料",IFERROR(INDEX(_自动清单!$I$4:$I$63,ROW()-4),""),"个"))</f>
        <v/>
      </c>
      <c r="F104" s="39" t="str">
        <f>IF($B104="","",IF($B104="包装物料",N(IFERROR(INDEX(物料库存结余!$L$4:$L$53,MATCH($C104,物料库存结余!$B$4:$B$53,0)),0)),N(IFERROR(INDEX(筐子库存汇总!$I$4:$I$63,MATCH($C104,筐子库存汇总!$B$4:$B$63,0)),0))))</f>
        <v/>
      </c>
      <c r="G104" s="39"/>
      <c r="H104" s="39" t="str">
        <f t="shared" si="5"/>
        <v/>
      </c>
      <c r="I104" s="50" t="str">
        <f t="shared" si="6"/>
        <v/>
      </c>
      <c r="J104" s="24" t="str">
        <f t="shared" si="7"/>
        <v/>
      </c>
      <c r="K104" s="42"/>
    </row>
    <row r="105" spans="1:11">
      <c r="A105" s="24" t="str">
        <f t="shared" si="4"/>
        <v/>
      </c>
      <c r="B105" s="24" t="str">
        <f>IF(ROW()-4&lt;=MIN(N(_自动清单!$A$1),60),"包装物料",IF(ROW()-4&lt;=MIN(N(_自动清单!$A$1),60)+MIN(N(_自动清单!$BM$1),60),"筐子/托盘",""))</f>
        <v/>
      </c>
      <c r="C105" s="37" t="str">
        <f>IF($B105="","",IFERROR(IF($B105="包装物料",INDEX(_自动清单!$G$4:$G$63,ROW()-4),INDEX(_自动清单!$BQ$4:$BQ$63,ROW()-4-MIN(N(_自动清单!$A$1),60))),""))</f>
        <v/>
      </c>
      <c r="D105" s="24" t="str">
        <f>IF($B105&lt;&gt;"包装物料","",IFERROR(INDEX(_自动清单!$H$4:$H$63,ROW()-4),""))</f>
        <v/>
      </c>
      <c r="E105" s="24" t="str">
        <f>IF($B105="","",IF($B105="包装物料",IFERROR(INDEX(_自动清单!$I$4:$I$63,ROW()-4),""),"个"))</f>
        <v/>
      </c>
      <c r="F105" s="39" t="str">
        <f>IF($B105="","",IF($B105="包装物料",N(IFERROR(INDEX(物料库存结余!$L$4:$L$53,MATCH($C105,物料库存结余!$B$4:$B$53,0)),0)),N(IFERROR(INDEX(筐子库存汇总!$I$4:$I$63,MATCH($C105,筐子库存汇总!$B$4:$B$63,0)),0))))</f>
        <v/>
      </c>
      <c r="G105" s="39"/>
      <c r="H105" s="39" t="str">
        <f t="shared" si="5"/>
        <v/>
      </c>
      <c r="I105" s="50" t="str">
        <f t="shared" si="6"/>
        <v/>
      </c>
      <c r="J105" s="24" t="str">
        <f t="shared" si="7"/>
        <v/>
      </c>
      <c r="K105" s="42"/>
    </row>
    <row r="106" spans="1:11">
      <c r="A106" s="24" t="str">
        <f t="shared" si="4"/>
        <v/>
      </c>
      <c r="B106" s="24" t="str">
        <f>IF(ROW()-4&lt;=MIN(N(_自动清单!$A$1),60),"包装物料",IF(ROW()-4&lt;=MIN(N(_自动清单!$A$1),60)+MIN(N(_自动清单!$BM$1),60),"筐子/托盘",""))</f>
        <v/>
      </c>
      <c r="C106" s="37" t="str">
        <f>IF($B106="","",IFERROR(IF($B106="包装物料",INDEX(_自动清单!$G$4:$G$63,ROW()-4),INDEX(_自动清单!$BQ$4:$BQ$63,ROW()-4-MIN(N(_自动清单!$A$1),60))),""))</f>
        <v/>
      </c>
      <c r="D106" s="24" t="str">
        <f>IF($B106&lt;&gt;"包装物料","",IFERROR(INDEX(_自动清单!$H$4:$H$63,ROW()-4),""))</f>
        <v/>
      </c>
      <c r="E106" s="24" t="str">
        <f>IF($B106="","",IF($B106="包装物料",IFERROR(INDEX(_自动清单!$I$4:$I$63,ROW()-4),""),"个"))</f>
        <v/>
      </c>
      <c r="F106" s="39" t="str">
        <f>IF($B106="","",IF($B106="包装物料",N(IFERROR(INDEX(物料库存结余!$L$4:$L$53,MATCH($C106,物料库存结余!$B$4:$B$53,0)),0)),N(IFERROR(INDEX(筐子库存汇总!$I$4:$I$63,MATCH($C106,筐子库存汇总!$B$4:$B$63,0)),0))))</f>
        <v/>
      </c>
      <c r="G106" s="39"/>
      <c r="H106" s="39" t="str">
        <f t="shared" si="5"/>
        <v/>
      </c>
      <c r="I106" s="50" t="str">
        <f t="shared" si="6"/>
        <v/>
      </c>
      <c r="J106" s="24" t="str">
        <f t="shared" si="7"/>
        <v/>
      </c>
      <c r="K106" s="42"/>
    </row>
    <row r="107" spans="1:11">
      <c r="A107" s="24" t="str">
        <f t="shared" si="4"/>
        <v/>
      </c>
      <c r="B107" s="24" t="str">
        <f>IF(ROW()-4&lt;=MIN(N(_自动清单!$A$1),60),"包装物料",IF(ROW()-4&lt;=MIN(N(_自动清单!$A$1),60)+MIN(N(_自动清单!$BM$1),60),"筐子/托盘",""))</f>
        <v/>
      </c>
      <c r="C107" s="37" t="str">
        <f>IF($B107="","",IFERROR(IF($B107="包装物料",INDEX(_自动清单!$G$4:$G$63,ROW()-4),INDEX(_自动清单!$BQ$4:$BQ$63,ROW()-4-MIN(N(_自动清单!$A$1),60))),""))</f>
        <v/>
      </c>
      <c r="D107" s="24" t="str">
        <f>IF($B107&lt;&gt;"包装物料","",IFERROR(INDEX(_自动清单!$H$4:$H$63,ROW()-4),""))</f>
        <v/>
      </c>
      <c r="E107" s="24" t="str">
        <f>IF($B107="","",IF($B107="包装物料",IFERROR(INDEX(_自动清单!$I$4:$I$63,ROW()-4),""),"个"))</f>
        <v/>
      </c>
      <c r="F107" s="39" t="str">
        <f>IF($B107="","",IF($B107="包装物料",N(IFERROR(INDEX(物料库存结余!$L$4:$L$53,MATCH($C107,物料库存结余!$B$4:$B$53,0)),0)),N(IFERROR(INDEX(筐子库存汇总!$I$4:$I$63,MATCH($C107,筐子库存汇总!$B$4:$B$63,0)),0))))</f>
        <v/>
      </c>
      <c r="G107" s="39"/>
      <c r="H107" s="39" t="str">
        <f t="shared" si="5"/>
        <v/>
      </c>
      <c r="I107" s="50" t="str">
        <f t="shared" si="6"/>
        <v/>
      </c>
      <c r="J107" s="24" t="str">
        <f t="shared" si="7"/>
        <v/>
      </c>
      <c r="K107" s="42"/>
    </row>
    <row r="108" spans="1:11">
      <c r="A108" s="24" t="str">
        <f t="shared" si="4"/>
        <v/>
      </c>
      <c r="B108" s="24" t="str">
        <f>IF(ROW()-4&lt;=MIN(N(_自动清单!$A$1),60),"包装物料",IF(ROW()-4&lt;=MIN(N(_自动清单!$A$1),60)+MIN(N(_自动清单!$BM$1),60),"筐子/托盘",""))</f>
        <v/>
      </c>
      <c r="C108" s="37" t="str">
        <f>IF($B108="","",IFERROR(IF($B108="包装物料",INDEX(_自动清单!$G$4:$G$63,ROW()-4),INDEX(_自动清单!$BQ$4:$BQ$63,ROW()-4-MIN(N(_自动清单!$A$1),60))),""))</f>
        <v/>
      </c>
      <c r="D108" s="24" t="str">
        <f>IF($B108&lt;&gt;"包装物料","",IFERROR(INDEX(_自动清单!$H$4:$H$63,ROW()-4),""))</f>
        <v/>
      </c>
      <c r="E108" s="24" t="str">
        <f>IF($B108="","",IF($B108="包装物料",IFERROR(INDEX(_自动清单!$I$4:$I$63,ROW()-4),""),"个"))</f>
        <v/>
      </c>
      <c r="F108" s="39" t="str">
        <f>IF($B108="","",IF($B108="包装物料",N(IFERROR(INDEX(物料库存结余!$L$4:$L$53,MATCH($C108,物料库存结余!$B$4:$B$53,0)),0)),N(IFERROR(INDEX(筐子库存汇总!$I$4:$I$63,MATCH($C108,筐子库存汇总!$B$4:$B$63,0)),0))))</f>
        <v/>
      </c>
      <c r="G108" s="39"/>
      <c r="H108" s="39" t="str">
        <f t="shared" si="5"/>
        <v/>
      </c>
      <c r="I108" s="50" t="str">
        <f t="shared" si="6"/>
        <v/>
      </c>
      <c r="J108" s="24" t="str">
        <f t="shared" si="7"/>
        <v/>
      </c>
      <c r="K108" s="42"/>
    </row>
    <row r="109" spans="1:11">
      <c r="A109" s="24" t="str">
        <f t="shared" si="4"/>
        <v/>
      </c>
      <c r="B109" s="24" t="str">
        <f>IF(ROW()-4&lt;=MIN(N(_自动清单!$A$1),60),"包装物料",IF(ROW()-4&lt;=MIN(N(_自动清单!$A$1),60)+MIN(N(_自动清单!$BM$1),60),"筐子/托盘",""))</f>
        <v/>
      </c>
      <c r="C109" s="37" t="str">
        <f>IF($B109="","",IFERROR(IF($B109="包装物料",INDEX(_自动清单!$G$4:$G$63,ROW()-4),INDEX(_自动清单!$BQ$4:$BQ$63,ROW()-4-MIN(N(_自动清单!$A$1),60))),""))</f>
        <v/>
      </c>
      <c r="D109" s="24" t="str">
        <f>IF($B109&lt;&gt;"包装物料","",IFERROR(INDEX(_自动清单!$H$4:$H$63,ROW()-4),""))</f>
        <v/>
      </c>
      <c r="E109" s="24" t="str">
        <f>IF($B109="","",IF($B109="包装物料",IFERROR(INDEX(_自动清单!$I$4:$I$63,ROW()-4),""),"个"))</f>
        <v/>
      </c>
      <c r="F109" s="39" t="str">
        <f>IF($B109="","",IF($B109="包装物料",N(IFERROR(INDEX(物料库存结余!$L$4:$L$53,MATCH($C109,物料库存结余!$B$4:$B$53,0)),0)),N(IFERROR(INDEX(筐子库存汇总!$I$4:$I$63,MATCH($C109,筐子库存汇总!$B$4:$B$63,0)),0))))</f>
        <v/>
      </c>
      <c r="G109" s="39"/>
      <c r="H109" s="39" t="str">
        <f t="shared" si="5"/>
        <v/>
      </c>
      <c r="I109" s="50" t="str">
        <f t="shared" si="6"/>
        <v/>
      </c>
      <c r="J109" s="24" t="str">
        <f t="shared" si="7"/>
        <v/>
      </c>
      <c r="K109" s="42"/>
    </row>
    <row r="110" spans="1:11">
      <c r="A110" s="24" t="str">
        <f t="shared" si="4"/>
        <v/>
      </c>
      <c r="B110" s="24" t="str">
        <f>IF(ROW()-4&lt;=MIN(N(_自动清单!$A$1),60),"包装物料",IF(ROW()-4&lt;=MIN(N(_自动清单!$A$1),60)+MIN(N(_自动清单!$BM$1),60),"筐子/托盘",""))</f>
        <v/>
      </c>
      <c r="C110" s="37" t="str">
        <f>IF($B110="","",IFERROR(IF($B110="包装物料",INDEX(_自动清单!$G$4:$G$63,ROW()-4),INDEX(_自动清单!$BQ$4:$BQ$63,ROW()-4-MIN(N(_自动清单!$A$1),60))),""))</f>
        <v/>
      </c>
      <c r="D110" s="24" t="str">
        <f>IF($B110&lt;&gt;"包装物料","",IFERROR(INDEX(_自动清单!$H$4:$H$63,ROW()-4),""))</f>
        <v/>
      </c>
      <c r="E110" s="24" t="str">
        <f>IF($B110="","",IF($B110="包装物料",IFERROR(INDEX(_自动清单!$I$4:$I$63,ROW()-4),""),"个"))</f>
        <v/>
      </c>
      <c r="F110" s="39" t="str">
        <f>IF($B110="","",IF($B110="包装物料",N(IFERROR(INDEX(物料库存结余!$L$4:$L$53,MATCH($C110,物料库存结余!$B$4:$B$53,0)),0)),N(IFERROR(INDEX(筐子库存汇总!$I$4:$I$63,MATCH($C110,筐子库存汇总!$B$4:$B$63,0)),0))))</f>
        <v/>
      </c>
      <c r="G110" s="39"/>
      <c r="H110" s="39" t="str">
        <f t="shared" si="5"/>
        <v/>
      </c>
      <c r="I110" s="50" t="str">
        <f t="shared" si="6"/>
        <v/>
      </c>
      <c r="J110" s="24" t="str">
        <f t="shared" si="7"/>
        <v/>
      </c>
      <c r="K110" s="42"/>
    </row>
    <row r="111" spans="1:11">
      <c r="A111" s="24" t="str">
        <f t="shared" si="4"/>
        <v/>
      </c>
      <c r="B111" s="24" t="str">
        <f>IF(ROW()-4&lt;=MIN(N(_自动清单!$A$1),60),"包装物料",IF(ROW()-4&lt;=MIN(N(_自动清单!$A$1),60)+MIN(N(_自动清单!$BM$1),60),"筐子/托盘",""))</f>
        <v/>
      </c>
      <c r="C111" s="37" t="str">
        <f>IF($B111="","",IFERROR(IF($B111="包装物料",INDEX(_自动清单!$G$4:$G$63,ROW()-4),INDEX(_自动清单!$BQ$4:$BQ$63,ROW()-4-MIN(N(_自动清单!$A$1),60))),""))</f>
        <v/>
      </c>
      <c r="D111" s="24" t="str">
        <f>IF($B111&lt;&gt;"包装物料","",IFERROR(INDEX(_自动清单!$H$4:$H$63,ROW()-4),""))</f>
        <v/>
      </c>
      <c r="E111" s="24" t="str">
        <f>IF($B111="","",IF($B111="包装物料",IFERROR(INDEX(_自动清单!$I$4:$I$63,ROW()-4),""),"个"))</f>
        <v/>
      </c>
      <c r="F111" s="39" t="str">
        <f>IF($B111="","",IF($B111="包装物料",N(IFERROR(INDEX(物料库存结余!$L$4:$L$53,MATCH($C111,物料库存结余!$B$4:$B$53,0)),0)),N(IFERROR(INDEX(筐子库存汇总!$I$4:$I$63,MATCH($C111,筐子库存汇总!$B$4:$B$63,0)),0))))</f>
        <v/>
      </c>
      <c r="G111" s="39"/>
      <c r="H111" s="39" t="str">
        <f t="shared" si="5"/>
        <v/>
      </c>
      <c r="I111" s="50" t="str">
        <f t="shared" si="6"/>
        <v/>
      </c>
      <c r="J111" s="24" t="str">
        <f t="shared" si="7"/>
        <v/>
      </c>
      <c r="K111" s="42"/>
    </row>
    <row r="112" spans="1:11">
      <c r="A112" s="24" t="str">
        <f t="shared" si="4"/>
        <v/>
      </c>
      <c r="B112" s="24" t="str">
        <f>IF(ROW()-4&lt;=MIN(N(_自动清单!$A$1),60),"包装物料",IF(ROW()-4&lt;=MIN(N(_自动清单!$A$1),60)+MIN(N(_自动清单!$BM$1),60),"筐子/托盘",""))</f>
        <v/>
      </c>
      <c r="C112" s="37" t="str">
        <f>IF($B112="","",IFERROR(IF($B112="包装物料",INDEX(_自动清单!$G$4:$G$63,ROW()-4),INDEX(_自动清单!$BQ$4:$BQ$63,ROW()-4-MIN(N(_自动清单!$A$1),60))),""))</f>
        <v/>
      </c>
      <c r="D112" s="24" t="str">
        <f>IF($B112&lt;&gt;"包装物料","",IFERROR(INDEX(_自动清单!$H$4:$H$63,ROW()-4),""))</f>
        <v/>
      </c>
      <c r="E112" s="24" t="str">
        <f>IF($B112="","",IF($B112="包装物料",IFERROR(INDEX(_自动清单!$I$4:$I$63,ROW()-4),""),"个"))</f>
        <v/>
      </c>
      <c r="F112" s="39" t="str">
        <f>IF($B112="","",IF($B112="包装物料",N(IFERROR(INDEX(物料库存结余!$L$4:$L$53,MATCH($C112,物料库存结余!$B$4:$B$53,0)),0)),N(IFERROR(INDEX(筐子库存汇总!$I$4:$I$63,MATCH($C112,筐子库存汇总!$B$4:$B$63,0)),0))))</f>
        <v/>
      </c>
      <c r="G112" s="39"/>
      <c r="H112" s="39" t="str">
        <f t="shared" si="5"/>
        <v/>
      </c>
      <c r="I112" s="50" t="str">
        <f t="shared" si="6"/>
        <v/>
      </c>
      <c r="J112" s="24" t="str">
        <f t="shared" si="7"/>
        <v/>
      </c>
      <c r="K112" s="42"/>
    </row>
    <row r="113" spans="1:11">
      <c r="A113" s="24" t="str">
        <f t="shared" si="4"/>
        <v/>
      </c>
      <c r="B113" s="24" t="str">
        <f>IF(ROW()-4&lt;=MIN(N(_自动清单!$A$1),60),"包装物料",IF(ROW()-4&lt;=MIN(N(_自动清单!$A$1),60)+MIN(N(_自动清单!$BM$1),60),"筐子/托盘",""))</f>
        <v/>
      </c>
      <c r="C113" s="37" t="str">
        <f>IF($B113="","",IFERROR(IF($B113="包装物料",INDEX(_自动清单!$G$4:$G$63,ROW()-4),INDEX(_自动清单!$BQ$4:$BQ$63,ROW()-4-MIN(N(_自动清单!$A$1),60))),""))</f>
        <v/>
      </c>
      <c r="D113" s="24" t="str">
        <f>IF($B113&lt;&gt;"包装物料","",IFERROR(INDEX(_自动清单!$H$4:$H$63,ROW()-4),""))</f>
        <v/>
      </c>
      <c r="E113" s="24" t="str">
        <f>IF($B113="","",IF($B113="包装物料",IFERROR(INDEX(_自动清单!$I$4:$I$63,ROW()-4),""),"个"))</f>
        <v/>
      </c>
      <c r="F113" s="39" t="str">
        <f>IF($B113="","",IF($B113="包装物料",N(IFERROR(INDEX(物料库存结余!$L$4:$L$53,MATCH($C113,物料库存结余!$B$4:$B$53,0)),0)),N(IFERROR(INDEX(筐子库存汇总!$I$4:$I$63,MATCH($C113,筐子库存汇总!$B$4:$B$63,0)),0))))</f>
        <v/>
      </c>
      <c r="G113" s="39"/>
      <c r="H113" s="39" t="str">
        <f t="shared" si="5"/>
        <v/>
      </c>
      <c r="I113" s="50" t="str">
        <f t="shared" si="6"/>
        <v/>
      </c>
      <c r="J113" s="24" t="str">
        <f t="shared" si="7"/>
        <v/>
      </c>
      <c r="K113" s="42"/>
    </row>
    <row r="114" spans="1:11">
      <c r="A114" s="24" t="str">
        <f t="shared" si="4"/>
        <v/>
      </c>
      <c r="B114" s="24" t="str">
        <f>IF(ROW()-4&lt;=MIN(N(_自动清单!$A$1),60),"包装物料",IF(ROW()-4&lt;=MIN(N(_自动清单!$A$1),60)+MIN(N(_自动清单!$BM$1),60),"筐子/托盘",""))</f>
        <v/>
      </c>
      <c r="C114" s="37" t="str">
        <f>IF($B114="","",IFERROR(IF($B114="包装物料",INDEX(_自动清单!$G$4:$G$63,ROW()-4),INDEX(_自动清单!$BQ$4:$BQ$63,ROW()-4-MIN(N(_自动清单!$A$1),60))),""))</f>
        <v/>
      </c>
      <c r="D114" s="24" t="str">
        <f>IF($B114&lt;&gt;"包装物料","",IFERROR(INDEX(_自动清单!$H$4:$H$63,ROW()-4),""))</f>
        <v/>
      </c>
      <c r="E114" s="24" t="str">
        <f>IF($B114="","",IF($B114="包装物料",IFERROR(INDEX(_自动清单!$I$4:$I$63,ROW()-4),""),"个"))</f>
        <v/>
      </c>
      <c r="F114" s="39" t="str">
        <f>IF($B114="","",IF($B114="包装物料",N(IFERROR(INDEX(物料库存结余!$L$4:$L$53,MATCH($C114,物料库存结余!$B$4:$B$53,0)),0)),N(IFERROR(INDEX(筐子库存汇总!$I$4:$I$63,MATCH($C114,筐子库存汇总!$B$4:$B$63,0)),0))))</f>
        <v/>
      </c>
      <c r="G114" s="39"/>
      <c r="H114" s="39" t="str">
        <f t="shared" si="5"/>
        <v/>
      </c>
      <c r="I114" s="50" t="str">
        <f t="shared" si="6"/>
        <v/>
      </c>
      <c r="J114" s="24" t="str">
        <f t="shared" si="7"/>
        <v/>
      </c>
      <c r="K114" s="42"/>
    </row>
    <row r="115" spans="1:11">
      <c r="A115" s="24" t="str">
        <f t="shared" si="4"/>
        <v/>
      </c>
      <c r="B115" s="24" t="str">
        <f>IF(ROW()-4&lt;=MIN(N(_自动清单!$A$1),60),"包装物料",IF(ROW()-4&lt;=MIN(N(_自动清单!$A$1),60)+MIN(N(_自动清单!$BM$1),60),"筐子/托盘",""))</f>
        <v/>
      </c>
      <c r="C115" s="37" t="str">
        <f>IF($B115="","",IFERROR(IF($B115="包装物料",INDEX(_自动清单!$G$4:$G$63,ROW()-4),INDEX(_自动清单!$BQ$4:$BQ$63,ROW()-4-MIN(N(_自动清单!$A$1),60))),""))</f>
        <v/>
      </c>
      <c r="D115" s="24" t="str">
        <f>IF($B115&lt;&gt;"包装物料","",IFERROR(INDEX(_自动清单!$H$4:$H$63,ROW()-4),""))</f>
        <v/>
      </c>
      <c r="E115" s="24" t="str">
        <f>IF($B115="","",IF($B115="包装物料",IFERROR(INDEX(_自动清单!$I$4:$I$63,ROW()-4),""),"个"))</f>
        <v/>
      </c>
      <c r="F115" s="39" t="str">
        <f>IF($B115="","",IF($B115="包装物料",N(IFERROR(INDEX(物料库存结余!$L$4:$L$53,MATCH($C115,物料库存结余!$B$4:$B$53,0)),0)),N(IFERROR(INDEX(筐子库存汇总!$I$4:$I$63,MATCH($C115,筐子库存汇总!$B$4:$B$63,0)),0))))</f>
        <v/>
      </c>
      <c r="G115" s="39"/>
      <c r="H115" s="39" t="str">
        <f t="shared" si="5"/>
        <v/>
      </c>
      <c r="I115" s="50" t="str">
        <f t="shared" si="6"/>
        <v/>
      </c>
      <c r="J115" s="24" t="str">
        <f t="shared" si="7"/>
        <v/>
      </c>
      <c r="K115" s="42"/>
    </row>
    <row r="116" spans="1:11">
      <c r="A116" s="24" t="str">
        <f t="shared" si="4"/>
        <v/>
      </c>
      <c r="B116" s="24" t="str">
        <f>IF(ROW()-4&lt;=MIN(N(_自动清单!$A$1),60),"包装物料",IF(ROW()-4&lt;=MIN(N(_自动清单!$A$1),60)+MIN(N(_自动清单!$BM$1),60),"筐子/托盘",""))</f>
        <v/>
      </c>
      <c r="C116" s="37" t="str">
        <f>IF($B116="","",IFERROR(IF($B116="包装物料",INDEX(_自动清单!$G$4:$G$63,ROW()-4),INDEX(_自动清单!$BQ$4:$BQ$63,ROW()-4-MIN(N(_自动清单!$A$1),60))),""))</f>
        <v/>
      </c>
      <c r="D116" s="24" t="str">
        <f>IF($B116&lt;&gt;"包装物料","",IFERROR(INDEX(_自动清单!$H$4:$H$63,ROW()-4),""))</f>
        <v/>
      </c>
      <c r="E116" s="24" t="str">
        <f>IF($B116="","",IF($B116="包装物料",IFERROR(INDEX(_自动清单!$I$4:$I$63,ROW()-4),""),"个"))</f>
        <v/>
      </c>
      <c r="F116" s="39" t="str">
        <f>IF($B116="","",IF($B116="包装物料",N(IFERROR(INDEX(物料库存结余!$L$4:$L$53,MATCH($C116,物料库存结余!$B$4:$B$53,0)),0)),N(IFERROR(INDEX(筐子库存汇总!$I$4:$I$63,MATCH($C116,筐子库存汇总!$B$4:$B$63,0)),0))))</f>
        <v/>
      </c>
      <c r="G116" s="39"/>
      <c r="H116" s="39" t="str">
        <f t="shared" si="5"/>
        <v/>
      </c>
      <c r="I116" s="50" t="str">
        <f t="shared" si="6"/>
        <v/>
      </c>
      <c r="J116" s="24" t="str">
        <f t="shared" si="7"/>
        <v/>
      </c>
      <c r="K116" s="42"/>
    </row>
    <row r="117" spans="1:11">
      <c r="A117" s="24" t="str">
        <f t="shared" si="4"/>
        <v/>
      </c>
      <c r="B117" s="24" t="str">
        <f>IF(ROW()-4&lt;=MIN(N(_自动清单!$A$1),60),"包装物料",IF(ROW()-4&lt;=MIN(N(_自动清单!$A$1),60)+MIN(N(_自动清单!$BM$1),60),"筐子/托盘",""))</f>
        <v/>
      </c>
      <c r="C117" s="37" t="str">
        <f>IF($B117="","",IFERROR(IF($B117="包装物料",INDEX(_自动清单!$G$4:$G$63,ROW()-4),INDEX(_自动清单!$BQ$4:$BQ$63,ROW()-4-MIN(N(_自动清单!$A$1),60))),""))</f>
        <v/>
      </c>
      <c r="D117" s="24" t="str">
        <f>IF($B117&lt;&gt;"包装物料","",IFERROR(INDEX(_自动清单!$H$4:$H$63,ROW()-4),""))</f>
        <v/>
      </c>
      <c r="E117" s="24" t="str">
        <f>IF($B117="","",IF($B117="包装物料",IFERROR(INDEX(_自动清单!$I$4:$I$63,ROW()-4),""),"个"))</f>
        <v/>
      </c>
      <c r="F117" s="39" t="str">
        <f>IF($B117="","",IF($B117="包装物料",N(IFERROR(INDEX(物料库存结余!$L$4:$L$53,MATCH($C117,物料库存结余!$B$4:$B$53,0)),0)),N(IFERROR(INDEX(筐子库存汇总!$I$4:$I$63,MATCH($C117,筐子库存汇总!$B$4:$B$63,0)),0))))</f>
        <v/>
      </c>
      <c r="G117" s="39"/>
      <c r="H117" s="39" t="str">
        <f t="shared" si="5"/>
        <v/>
      </c>
      <c r="I117" s="50" t="str">
        <f t="shared" si="6"/>
        <v/>
      </c>
      <c r="J117" s="24" t="str">
        <f t="shared" si="7"/>
        <v/>
      </c>
      <c r="K117" s="42"/>
    </row>
    <row r="118" spans="1:11">
      <c r="A118" s="24" t="str">
        <f t="shared" si="4"/>
        <v/>
      </c>
      <c r="B118" s="24" t="str">
        <f>IF(ROW()-4&lt;=MIN(N(_自动清单!$A$1),60),"包装物料",IF(ROW()-4&lt;=MIN(N(_自动清单!$A$1),60)+MIN(N(_自动清单!$BM$1),60),"筐子/托盘",""))</f>
        <v/>
      </c>
      <c r="C118" s="37" t="str">
        <f>IF($B118="","",IFERROR(IF($B118="包装物料",INDEX(_自动清单!$G$4:$G$63,ROW()-4),INDEX(_自动清单!$BQ$4:$BQ$63,ROW()-4-MIN(N(_自动清单!$A$1),60))),""))</f>
        <v/>
      </c>
      <c r="D118" s="24" t="str">
        <f>IF($B118&lt;&gt;"包装物料","",IFERROR(INDEX(_自动清单!$H$4:$H$63,ROW()-4),""))</f>
        <v/>
      </c>
      <c r="E118" s="24" t="str">
        <f>IF($B118="","",IF($B118="包装物料",IFERROR(INDEX(_自动清单!$I$4:$I$63,ROW()-4),""),"个"))</f>
        <v/>
      </c>
      <c r="F118" s="39" t="str">
        <f>IF($B118="","",IF($B118="包装物料",N(IFERROR(INDEX(物料库存结余!$L$4:$L$53,MATCH($C118,物料库存结余!$B$4:$B$53,0)),0)),N(IFERROR(INDEX(筐子库存汇总!$I$4:$I$63,MATCH($C118,筐子库存汇总!$B$4:$B$63,0)),0))))</f>
        <v/>
      </c>
      <c r="G118" s="39"/>
      <c r="H118" s="39" t="str">
        <f t="shared" si="5"/>
        <v/>
      </c>
      <c r="I118" s="50" t="str">
        <f t="shared" si="6"/>
        <v/>
      </c>
      <c r="J118" s="24" t="str">
        <f t="shared" si="7"/>
        <v/>
      </c>
      <c r="K118" s="42"/>
    </row>
    <row r="119" spans="1:11">
      <c r="A119" s="24" t="str">
        <f t="shared" si="4"/>
        <v/>
      </c>
      <c r="B119" s="24" t="str">
        <f>IF(ROW()-4&lt;=MIN(N(_自动清单!$A$1),60),"包装物料",IF(ROW()-4&lt;=MIN(N(_自动清单!$A$1),60)+MIN(N(_自动清单!$BM$1),60),"筐子/托盘",""))</f>
        <v/>
      </c>
      <c r="C119" s="37" t="str">
        <f>IF($B119="","",IFERROR(IF($B119="包装物料",INDEX(_自动清单!$G$4:$G$63,ROW()-4),INDEX(_自动清单!$BQ$4:$BQ$63,ROW()-4-MIN(N(_自动清单!$A$1),60))),""))</f>
        <v/>
      </c>
      <c r="D119" s="24" t="str">
        <f>IF($B119&lt;&gt;"包装物料","",IFERROR(INDEX(_自动清单!$H$4:$H$63,ROW()-4),""))</f>
        <v/>
      </c>
      <c r="E119" s="24" t="str">
        <f>IF($B119="","",IF($B119="包装物料",IFERROR(INDEX(_自动清单!$I$4:$I$63,ROW()-4),""),"个"))</f>
        <v/>
      </c>
      <c r="F119" s="39" t="str">
        <f>IF($B119="","",IF($B119="包装物料",N(IFERROR(INDEX(物料库存结余!$L$4:$L$53,MATCH($C119,物料库存结余!$B$4:$B$53,0)),0)),N(IFERROR(INDEX(筐子库存汇总!$I$4:$I$63,MATCH($C119,筐子库存汇总!$B$4:$B$63,0)),0))))</f>
        <v/>
      </c>
      <c r="G119" s="39"/>
      <c r="H119" s="39" t="str">
        <f t="shared" si="5"/>
        <v/>
      </c>
      <c r="I119" s="50" t="str">
        <f t="shared" si="6"/>
        <v/>
      </c>
      <c r="J119" s="24" t="str">
        <f t="shared" si="7"/>
        <v/>
      </c>
      <c r="K119" s="42"/>
    </row>
    <row r="120" spans="1:11">
      <c r="A120" s="24" t="str">
        <f t="shared" si="4"/>
        <v/>
      </c>
      <c r="B120" s="24" t="str">
        <f>IF(ROW()-4&lt;=MIN(N(_自动清单!$A$1),60),"包装物料",IF(ROW()-4&lt;=MIN(N(_自动清单!$A$1),60)+MIN(N(_自动清单!$BM$1),60),"筐子/托盘",""))</f>
        <v/>
      </c>
      <c r="C120" s="37" t="str">
        <f>IF($B120="","",IFERROR(IF($B120="包装物料",INDEX(_自动清单!$G$4:$G$63,ROW()-4),INDEX(_自动清单!$BQ$4:$BQ$63,ROW()-4-MIN(N(_自动清单!$A$1),60))),""))</f>
        <v/>
      </c>
      <c r="D120" s="24" t="str">
        <f>IF($B120&lt;&gt;"包装物料","",IFERROR(INDEX(_自动清单!$H$4:$H$63,ROW()-4),""))</f>
        <v/>
      </c>
      <c r="E120" s="24" t="str">
        <f>IF($B120="","",IF($B120="包装物料",IFERROR(INDEX(_自动清单!$I$4:$I$63,ROW()-4),""),"个"))</f>
        <v/>
      </c>
      <c r="F120" s="39" t="str">
        <f>IF($B120="","",IF($B120="包装物料",N(IFERROR(INDEX(物料库存结余!$L$4:$L$53,MATCH($C120,物料库存结余!$B$4:$B$53,0)),0)),N(IFERROR(INDEX(筐子库存汇总!$I$4:$I$63,MATCH($C120,筐子库存汇总!$B$4:$B$63,0)),0))))</f>
        <v/>
      </c>
      <c r="G120" s="39"/>
      <c r="H120" s="39" t="str">
        <f t="shared" si="5"/>
        <v/>
      </c>
      <c r="I120" s="50" t="str">
        <f t="shared" si="6"/>
        <v/>
      </c>
      <c r="J120" s="24" t="str">
        <f t="shared" si="7"/>
        <v/>
      </c>
      <c r="K120" s="42"/>
    </row>
    <row r="121" spans="1:11">
      <c r="A121" s="24" t="str">
        <f t="shared" si="4"/>
        <v/>
      </c>
      <c r="B121" s="24" t="str">
        <f>IF(ROW()-4&lt;=MIN(N(_自动清单!$A$1),60),"包装物料",IF(ROW()-4&lt;=MIN(N(_自动清单!$A$1),60)+MIN(N(_自动清单!$BM$1),60),"筐子/托盘",""))</f>
        <v/>
      </c>
      <c r="C121" s="37" t="str">
        <f>IF($B121="","",IFERROR(IF($B121="包装物料",INDEX(_自动清单!$G$4:$G$63,ROW()-4),INDEX(_自动清单!$BQ$4:$BQ$63,ROW()-4-MIN(N(_自动清单!$A$1),60))),""))</f>
        <v/>
      </c>
      <c r="D121" s="24" t="str">
        <f>IF($B121&lt;&gt;"包装物料","",IFERROR(INDEX(_自动清单!$H$4:$H$63,ROW()-4),""))</f>
        <v/>
      </c>
      <c r="E121" s="24" t="str">
        <f>IF($B121="","",IF($B121="包装物料",IFERROR(INDEX(_自动清单!$I$4:$I$63,ROW()-4),""),"个"))</f>
        <v/>
      </c>
      <c r="F121" s="39" t="str">
        <f>IF($B121="","",IF($B121="包装物料",N(IFERROR(INDEX(物料库存结余!$L$4:$L$53,MATCH($C121,物料库存结余!$B$4:$B$53,0)),0)),N(IFERROR(INDEX(筐子库存汇总!$I$4:$I$63,MATCH($C121,筐子库存汇总!$B$4:$B$63,0)),0))))</f>
        <v/>
      </c>
      <c r="G121" s="39"/>
      <c r="H121" s="39" t="str">
        <f t="shared" si="5"/>
        <v/>
      </c>
      <c r="I121" s="50" t="str">
        <f t="shared" si="6"/>
        <v/>
      </c>
      <c r="J121" s="24" t="str">
        <f t="shared" si="7"/>
        <v/>
      </c>
      <c r="K121" s="42"/>
    </row>
    <row r="122" spans="1:11">
      <c r="A122" s="24" t="str">
        <f t="shared" si="4"/>
        <v/>
      </c>
      <c r="B122" s="24" t="str">
        <f>IF(ROW()-4&lt;=MIN(N(_自动清单!$A$1),60),"包装物料",IF(ROW()-4&lt;=MIN(N(_自动清单!$A$1),60)+MIN(N(_自动清单!$BM$1),60),"筐子/托盘",""))</f>
        <v/>
      </c>
      <c r="C122" s="37" t="str">
        <f>IF($B122="","",IFERROR(IF($B122="包装物料",INDEX(_自动清单!$G$4:$G$63,ROW()-4),INDEX(_自动清单!$BQ$4:$BQ$63,ROW()-4-MIN(N(_自动清单!$A$1),60))),""))</f>
        <v/>
      </c>
      <c r="D122" s="24" t="str">
        <f>IF($B122&lt;&gt;"包装物料","",IFERROR(INDEX(_自动清单!$H$4:$H$63,ROW()-4),""))</f>
        <v/>
      </c>
      <c r="E122" s="24" t="str">
        <f>IF($B122="","",IF($B122="包装物料",IFERROR(INDEX(_自动清单!$I$4:$I$63,ROW()-4),""),"个"))</f>
        <v/>
      </c>
      <c r="F122" s="39" t="str">
        <f>IF($B122="","",IF($B122="包装物料",N(IFERROR(INDEX(物料库存结余!$L$4:$L$53,MATCH($C122,物料库存结余!$B$4:$B$53,0)),0)),N(IFERROR(INDEX(筐子库存汇总!$I$4:$I$63,MATCH($C122,筐子库存汇总!$B$4:$B$63,0)),0))))</f>
        <v/>
      </c>
      <c r="G122" s="39"/>
      <c r="H122" s="39" t="str">
        <f t="shared" si="5"/>
        <v/>
      </c>
      <c r="I122" s="50" t="str">
        <f t="shared" si="6"/>
        <v/>
      </c>
      <c r="J122" s="24" t="str">
        <f t="shared" si="7"/>
        <v/>
      </c>
      <c r="K122" s="42"/>
    </row>
    <row r="123" spans="1:11">
      <c r="A123" s="24" t="str">
        <f t="shared" si="4"/>
        <v/>
      </c>
      <c r="B123" s="24" t="str">
        <f>IF(ROW()-4&lt;=MIN(N(_自动清单!$A$1),60),"包装物料",IF(ROW()-4&lt;=MIN(N(_自动清单!$A$1),60)+MIN(N(_自动清单!$BM$1),60),"筐子/托盘",""))</f>
        <v/>
      </c>
      <c r="C123" s="37" t="str">
        <f>IF($B123="","",IFERROR(IF($B123="包装物料",INDEX(_自动清单!$G$4:$G$63,ROW()-4),INDEX(_自动清单!$BQ$4:$BQ$63,ROW()-4-MIN(N(_自动清单!$A$1),60))),""))</f>
        <v/>
      </c>
      <c r="D123" s="24" t="str">
        <f>IF($B123&lt;&gt;"包装物料","",IFERROR(INDEX(_自动清单!$H$4:$H$63,ROW()-4),""))</f>
        <v/>
      </c>
      <c r="E123" s="24" t="str">
        <f>IF($B123="","",IF($B123="包装物料",IFERROR(INDEX(_自动清单!$I$4:$I$63,ROW()-4),""),"个"))</f>
        <v/>
      </c>
      <c r="F123" s="39" t="str">
        <f>IF($B123="","",IF($B123="包装物料",N(IFERROR(INDEX(物料库存结余!$L$4:$L$53,MATCH($C123,物料库存结余!$B$4:$B$53,0)),0)),N(IFERROR(INDEX(筐子库存汇总!$I$4:$I$63,MATCH($C123,筐子库存汇总!$B$4:$B$63,0)),0))))</f>
        <v/>
      </c>
      <c r="G123" s="39"/>
      <c r="H123" s="39" t="str">
        <f t="shared" si="5"/>
        <v/>
      </c>
      <c r="I123" s="50" t="str">
        <f t="shared" si="6"/>
        <v/>
      </c>
      <c r="J123" s="24" t="str">
        <f t="shared" si="7"/>
        <v/>
      </c>
      <c r="K123" s="42"/>
    </row>
    <row r="124" spans="1:11">
      <c r="A124" s="24" t="str">
        <f t="shared" si="4"/>
        <v/>
      </c>
      <c r="B124" s="24" t="str">
        <f>IF(ROW()-4&lt;=MIN(N(_自动清单!$A$1),60),"包装物料",IF(ROW()-4&lt;=MIN(N(_自动清单!$A$1),60)+MIN(N(_自动清单!$BM$1),60),"筐子/托盘",""))</f>
        <v/>
      </c>
      <c r="C124" s="37" t="str">
        <f>IF($B124="","",IFERROR(IF($B124="包装物料",INDEX(_自动清单!$G$4:$G$63,ROW()-4),INDEX(_自动清单!$BQ$4:$BQ$63,ROW()-4-MIN(N(_自动清单!$A$1),60))),""))</f>
        <v/>
      </c>
      <c r="D124" s="24" t="str">
        <f>IF($B124&lt;&gt;"包装物料","",IFERROR(INDEX(_自动清单!$H$4:$H$63,ROW()-4),""))</f>
        <v/>
      </c>
      <c r="E124" s="24" t="str">
        <f>IF($B124="","",IF($B124="包装物料",IFERROR(INDEX(_自动清单!$I$4:$I$63,ROW()-4),""),"个"))</f>
        <v/>
      </c>
      <c r="F124" s="39" t="str">
        <f>IF($B124="","",IF($B124="包装物料",N(IFERROR(INDEX(物料库存结余!$L$4:$L$53,MATCH($C124,物料库存结余!$B$4:$B$53,0)),0)),N(IFERROR(INDEX(筐子库存汇总!$I$4:$I$63,MATCH($C124,筐子库存汇总!$B$4:$B$63,0)),0))))</f>
        <v/>
      </c>
      <c r="G124" s="39"/>
      <c r="H124" s="39" t="str">
        <f t="shared" si="5"/>
        <v/>
      </c>
      <c r="I124" s="50" t="str">
        <f t="shared" si="6"/>
        <v/>
      </c>
      <c r="J124" s="24" t="str">
        <f t="shared" si="7"/>
        <v/>
      </c>
      <c r="K124" s="42"/>
    </row>
    <row r="125" spans="1:11">
      <c r="A125" s="24" t="str">
        <f t="shared" si="4"/>
        <v/>
      </c>
      <c r="B125" s="24" t="str">
        <f>IF(ROW()-4&lt;=MIN(N(_自动清单!$A$1),60),"包装物料",IF(ROW()-4&lt;=MIN(N(_自动清单!$A$1),60)+MIN(N(_自动清单!$BM$1),60),"筐子/托盘",""))</f>
        <v/>
      </c>
      <c r="C125" s="37" t="str">
        <f>IF($B125="","",IFERROR(IF($B125="包装物料",INDEX(_自动清单!$G$4:$G$63,ROW()-4),INDEX(_自动清单!$BQ$4:$BQ$63,ROW()-4-MIN(N(_自动清单!$A$1),60))),""))</f>
        <v/>
      </c>
      <c r="D125" s="24" t="str">
        <f>IF($B125&lt;&gt;"包装物料","",IFERROR(INDEX(_自动清单!$H$4:$H$63,ROW()-4),""))</f>
        <v/>
      </c>
      <c r="E125" s="24" t="str">
        <f>IF($B125="","",IF($B125="包装物料",IFERROR(INDEX(_自动清单!$I$4:$I$63,ROW()-4),""),"个"))</f>
        <v/>
      </c>
      <c r="F125" s="39" t="str">
        <f>IF($B125="","",IF($B125="包装物料",N(IFERROR(INDEX(物料库存结余!$L$4:$L$53,MATCH($C125,物料库存结余!$B$4:$B$53,0)),0)),N(IFERROR(INDEX(筐子库存汇总!$I$4:$I$63,MATCH($C125,筐子库存汇总!$B$4:$B$63,0)),0))))</f>
        <v/>
      </c>
      <c r="G125" s="39"/>
      <c r="H125" s="39" t="str">
        <f t="shared" si="5"/>
        <v/>
      </c>
      <c r="I125" s="50" t="str">
        <f t="shared" si="6"/>
        <v/>
      </c>
      <c r="J125" s="24" t="str">
        <f t="shared" si="7"/>
        <v/>
      </c>
      <c r="K125" s="42"/>
    </row>
    <row r="126" spans="1:11">
      <c r="A126" s="24" t="str">
        <f t="shared" si="4"/>
        <v/>
      </c>
      <c r="B126" s="24" t="str">
        <f>IF(ROW()-4&lt;=MIN(N(_自动清单!$A$1),60),"包装物料",IF(ROW()-4&lt;=MIN(N(_自动清单!$A$1),60)+MIN(N(_自动清单!$BM$1),60),"筐子/托盘",""))</f>
        <v/>
      </c>
      <c r="C126" s="37" t="str">
        <f>IF($B126="","",IFERROR(IF($B126="包装物料",INDEX(_自动清单!$G$4:$G$63,ROW()-4),INDEX(_自动清单!$BQ$4:$BQ$63,ROW()-4-MIN(N(_自动清单!$A$1),60))),""))</f>
        <v/>
      </c>
      <c r="D126" s="24" t="str">
        <f>IF($B126&lt;&gt;"包装物料","",IFERROR(INDEX(_自动清单!$H$4:$H$63,ROW()-4),""))</f>
        <v/>
      </c>
      <c r="E126" s="24" t="str">
        <f>IF($B126="","",IF($B126="包装物料",IFERROR(INDEX(_自动清单!$I$4:$I$63,ROW()-4),""),"个"))</f>
        <v/>
      </c>
      <c r="F126" s="39" t="str">
        <f>IF($B126="","",IF($B126="包装物料",N(IFERROR(INDEX(物料库存结余!$L$4:$L$53,MATCH($C126,物料库存结余!$B$4:$B$53,0)),0)),N(IFERROR(INDEX(筐子库存汇总!$I$4:$I$63,MATCH($C126,筐子库存汇总!$B$4:$B$63,0)),0))))</f>
        <v/>
      </c>
      <c r="G126" s="39"/>
      <c r="H126" s="39" t="str">
        <f t="shared" si="5"/>
        <v/>
      </c>
      <c r="I126" s="50" t="str">
        <f t="shared" si="6"/>
        <v/>
      </c>
      <c r="J126" s="24" t="str">
        <f t="shared" si="7"/>
        <v/>
      </c>
      <c r="K126" s="42"/>
    </row>
    <row r="127" spans="1:11">
      <c r="A127" s="24" t="str">
        <f t="shared" si="4"/>
        <v/>
      </c>
      <c r="B127" s="24" t="str">
        <f>IF(ROW()-4&lt;=MIN(N(_自动清单!$A$1),60),"包装物料",IF(ROW()-4&lt;=MIN(N(_自动清单!$A$1),60)+MIN(N(_自动清单!$BM$1),60),"筐子/托盘",""))</f>
        <v/>
      </c>
      <c r="C127" s="37" t="str">
        <f>IF($B127="","",IFERROR(IF($B127="包装物料",INDEX(_自动清单!$G$4:$G$63,ROW()-4),INDEX(_自动清单!$BQ$4:$BQ$63,ROW()-4-MIN(N(_自动清单!$A$1),60))),""))</f>
        <v/>
      </c>
      <c r="D127" s="24" t="str">
        <f>IF($B127&lt;&gt;"包装物料","",IFERROR(INDEX(_自动清单!$H$4:$H$63,ROW()-4),""))</f>
        <v/>
      </c>
      <c r="E127" s="24" t="str">
        <f>IF($B127="","",IF($B127="包装物料",IFERROR(INDEX(_自动清单!$I$4:$I$63,ROW()-4),""),"个"))</f>
        <v/>
      </c>
      <c r="F127" s="39" t="str">
        <f>IF($B127="","",IF($B127="包装物料",N(IFERROR(INDEX(物料库存结余!$L$4:$L$53,MATCH($C127,物料库存结余!$B$4:$B$53,0)),0)),N(IFERROR(INDEX(筐子库存汇总!$I$4:$I$63,MATCH($C127,筐子库存汇总!$B$4:$B$63,0)),0))))</f>
        <v/>
      </c>
      <c r="G127" s="39"/>
      <c r="H127" s="39" t="str">
        <f t="shared" si="5"/>
        <v/>
      </c>
      <c r="I127" s="50" t="str">
        <f t="shared" si="6"/>
        <v/>
      </c>
      <c r="J127" s="24" t="str">
        <f t="shared" si="7"/>
        <v/>
      </c>
      <c r="K127" s="42"/>
    </row>
    <row r="128" spans="1:11">
      <c r="A128" s="24" t="str">
        <f t="shared" si="4"/>
        <v/>
      </c>
      <c r="B128" s="24" t="str">
        <f>IF(ROW()-4&lt;=MIN(N(_自动清单!$A$1),60),"包装物料",IF(ROW()-4&lt;=MIN(N(_自动清单!$A$1),60)+MIN(N(_自动清单!$BM$1),60),"筐子/托盘",""))</f>
        <v/>
      </c>
      <c r="C128" s="37" t="str">
        <f>IF($B128="","",IFERROR(IF($B128="包装物料",INDEX(_自动清单!$G$4:$G$63,ROW()-4),INDEX(_自动清单!$BQ$4:$BQ$63,ROW()-4-MIN(N(_自动清单!$A$1),60))),""))</f>
        <v/>
      </c>
      <c r="D128" s="24" t="str">
        <f>IF($B128&lt;&gt;"包装物料","",IFERROR(INDEX(_自动清单!$H$4:$H$63,ROW()-4),""))</f>
        <v/>
      </c>
      <c r="E128" s="24" t="str">
        <f>IF($B128="","",IF($B128="包装物料",IFERROR(INDEX(_自动清单!$I$4:$I$63,ROW()-4),""),"个"))</f>
        <v/>
      </c>
      <c r="F128" s="39" t="str">
        <f>IF($B128="","",IF($B128="包装物料",N(IFERROR(INDEX(物料库存结余!$L$4:$L$53,MATCH($C128,物料库存结余!$B$4:$B$53,0)),0)),N(IFERROR(INDEX(筐子库存汇总!$I$4:$I$63,MATCH($C128,筐子库存汇总!$B$4:$B$63,0)),0))))</f>
        <v/>
      </c>
      <c r="G128" s="39"/>
      <c r="H128" s="39" t="str">
        <f t="shared" si="5"/>
        <v/>
      </c>
      <c r="I128" s="50" t="str">
        <f t="shared" si="6"/>
        <v/>
      </c>
      <c r="J128" s="24" t="str">
        <f t="shared" si="7"/>
        <v/>
      </c>
      <c r="K128" s="42"/>
    </row>
    <row r="129" spans="1:11">
      <c r="A129" s="24" t="str">
        <f t="shared" si="4"/>
        <v/>
      </c>
      <c r="B129" s="24" t="str">
        <f>IF(ROW()-4&lt;=MIN(N(_自动清单!$A$1),60),"包装物料",IF(ROW()-4&lt;=MIN(N(_自动清单!$A$1),60)+MIN(N(_自动清单!$BM$1),60),"筐子/托盘",""))</f>
        <v/>
      </c>
      <c r="C129" s="37" t="str">
        <f>IF($B129="","",IFERROR(IF($B129="包装物料",INDEX(_自动清单!$G$4:$G$63,ROW()-4),INDEX(_自动清单!$BQ$4:$BQ$63,ROW()-4-MIN(N(_自动清单!$A$1),60))),""))</f>
        <v/>
      </c>
      <c r="D129" s="24" t="str">
        <f>IF($B129&lt;&gt;"包装物料","",IFERROR(INDEX(_自动清单!$H$4:$H$63,ROW()-4),""))</f>
        <v/>
      </c>
      <c r="E129" s="24" t="str">
        <f>IF($B129="","",IF($B129="包装物料",IFERROR(INDEX(_自动清单!$I$4:$I$63,ROW()-4),""),"个"))</f>
        <v/>
      </c>
      <c r="F129" s="39" t="str">
        <f>IF($B129="","",IF($B129="包装物料",N(IFERROR(INDEX(物料库存结余!$L$4:$L$53,MATCH($C129,物料库存结余!$B$4:$B$53,0)),0)),N(IFERROR(INDEX(筐子库存汇总!$I$4:$I$63,MATCH($C129,筐子库存汇总!$B$4:$B$63,0)),0))))</f>
        <v/>
      </c>
      <c r="G129" s="39"/>
      <c r="H129" s="39" t="str">
        <f t="shared" si="5"/>
        <v/>
      </c>
      <c r="I129" s="50" t="str">
        <f t="shared" si="6"/>
        <v/>
      </c>
      <c r="J129" s="24" t="str">
        <f t="shared" si="7"/>
        <v/>
      </c>
      <c r="K129" s="42"/>
    </row>
    <row r="130" spans="1:11">
      <c r="A130" s="24" t="str">
        <f t="shared" si="4"/>
        <v/>
      </c>
      <c r="B130" s="24" t="str">
        <f>IF(ROW()-4&lt;=MIN(N(_自动清单!$A$1),60),"包装物料",IF(ROW()-4&lt;=MIN(N(_自动清单!$A$1),60)+MIN(N(_自动清单!$BM$1),60),"筐子/托盘",""))</f>
        <v/>
      </c>
      <c r="C130" s="37" t="str">
        <f>IF($B130="","",IFERROR(IF($B130="包装物料",INDEX(_自动清单!$G$4:$G$63,ROW()-4),INDEX(_自动清单!$BQ$4:$BQ$63,ROW()-4-MIN(N(_自动清单!$A$1),60))),""))</f>
        <v/>
      </c>
      <c r="D130" s="24" t="str">
        <f>IF($B130&lt;&gt;"包装物料","",IFERROR(INDEX(_自动清单!$H$4:$H$63,ROW()-4),""))</f>
        <v/>
      </c>
      <c r="E130" s="24" t="str">
        <f>IF($B130="","",IF($B130="包装物料",IFERROR(INDEX(_自动清单!$I$4:$I$63,ROW()-4),""),"个"))</f>
        <v/>
      </c>
      <c r="F130" s="39" t="str">
        <f>IF($B130="","",IF($B130="包装物料",N(IFERROR(INDEX(物料库存结余!$L$4:$L$53,MATCH($C130,物料库存结余!$B$4:$B$53,0)),0)),N(IFERROR(INDEX(筐子库存汇总!$I$4:$I$63,MATCH($C130,筐子库存汇总!$B$4:$B$63,0)),0))))</f>
        <v/>
      </c>
      <c r="G130" s="39"/>
      <c r="H130" s="39" t="str">
        <f t="shared" si="5"/>
        <v/>
      </c>
      <c r="I130" s="50" t="str">
        <f t="shared" si="6"/>
        <v/>
      </c>
      <c r="J130" s="24" t="str">
        <f t="shared" si="7"/>
        <v/>
      </c>
      <c r="K130" s="42"/>
    </row>
    <row r="131" spans="1:11">
      <c r="A131" s="24" t="str">
        <f t="shared" si="4"/>
        <v/>
      </c>
      <c r="B131" s="24" t="str">
        <f>IF(ROW()-4&lt;=MIN(N(_自动清单!$A$1),60),"包装物料",IF(ROW()-4&lt;=MIN(N(_自动清单!$A$1),60)+MIN(N(_自动清单!$BM$1),60),"筐子/托盘",""))</f>
        <v/>
      </c>
      <c r="C131" s="37" t="str">
        <f>IF($B131="","",IFERROR(IF($B131="包装物料",INDEX(_自动清单!$G$4:$G$63,ROW()-4),INDEX(_自动清单!$BQ$4:$BQ$63,ROW()-4-MIN(N(_自动清单!$A$1),60))),""))</f>
        <v/>
      </c>
      <c r="D131" s="24" t="str">
        <f>IF($B131&lt;&gt;"包装物料","",IFERROR(INDEX(_自动清单!$H$4:$H$63,ROW()-4),""))</f>
        <v/>
      </c>
      <c r="E131" s="24" t="str">
        <f>IF($B131="","",IF($B131="包装物料",IFERROR(INDEX(_自动清单!$I$4:$I$63,ROW()-4),""),"个"))</f>
        <v/>
      </c>
      <c r="F131" s="39" t="str">
        <f>IF($B131="","",IF($B131="包装物料",N(IFERROR(INDEX(物料库存结余!$L$4:$L$53,MATCH($C131,物料库存结余!$B$4:$B$53,0)),0)),N(IFERROR(INDEX(筐子库存汇总!$I$4:$I$63,MATCH($C131,筐子库存汇总!$B$4:$B$63,0)),0))))</f>
        <v/>
      </c>
      <c r="G131" s="39"/>
      <c r="H131" s="39" t="str">
        <f t="shared" si="5"/>
        <v/>
      </c>
      <c r="I131" s="50" t="str">
        <f t="shared" si="6"/>
        <v/>
      </c>
      <c r="J131" s="24" t="str">
        <f t="shared" si="7"/>
        <v/>
      </c>
      <c r="K131" s="42"/>
    </row>
    <row r="132" spans="1:11">
      <c r="A132" s="24" t="str">
        <f t="shared" si="4"/>
        <v/>
      </c>
      <c r="B132" s="24" t="str">
        <f>IF(ROW()-4&lt;=MIN(N(_自动清单!$A$1),60),"包装物料",IF(ROW()-4&lt;=MIN(N(_自动清单!$A$1),60)+MIN(N(_自动清单!$BM$1),60),"筐子/托盘",""))</f>
        <v/>
      </c>
      <c r="C132" s="37" t="str">
        <f>IF($B132="","",IFERROR(IF($B132="包装物料",INDEX(_自动清单!$G$4:$G$63,ROW()-4),INDEX(_自动清单!$BQ$4:$BQ$63,ROW()-4-MIN(N(_自动清单!$A$1),60))),""))</f>
        <v/>
      </c>
      <c r="D132" s="24" t="str">
        <f>IF($B132&lt;&gt;"包装物料","",IFERROR(INDEX(_自动清单!$H$4:$H$63,ROW()-4),""))</f>
        <v/>
      </c>
      <c r="E132" s="24" t="str">
        <f>IF($B132="","",IF($B132="包装物料",IFERROR(INDEX(_自动清单!$I$4:$I$63,ROW()-4),""),"个"))</f>
        <v/>
      </c>
      <c r="F132" s="39" t="str">
        <f>IF($B132="","",IF($B132="包装物料",N(IFERROR(INDEX(物料库存结余!$L$4:$L$53,MATCH($C132,物料库存结余!$B$4:$B$53,0)),0)),N(IFERROR(INDEX(筐子库存汇总!$I$4:$I$63,MATCH($C132,筐子库存汇总!$B$4:$B$63,0)),0))))</f>
        <v/>
      </c>
      <c r="G132" s="39"/>
      <c r="H132" s="39" t="str">
        <f t="shared" si="5"/>
        <v/>
      </c>
      <c r="I132" s="50" t="str">
        <f t="shared" si="6"/>
        <v/>
      </c>
      <c r="J132" s="24" t="str">
        <f t="shared" si="7"/>
        <v/>
      </c>
      <c r="K132" s="42"/>
    </row>
    <row r="133" spans="1:11">
      <c r="A133" s="24" t="str">
        <f t="shared" ref="A133:A184" si="8">IF($B133="","",ROW()-4)</f>
        <v/>
      </c>
      <c r="B133" s="24" t="str">
        <f>IF(ROW()-4&lt;=MIN(N(_自动清单!$A$1),60),"包装物料",IF(ROW()-4&lt;=MIN(N(_自动清单!$A$1),60)+MIN(N(_自动清单!$BM$1),60),"筐子/托盘",""))</f>
        <v/>
      </c>
      <c r="C133" s="37" t="str">
        <f>IF($B133="","",IFERROR(IF($B133="包装物料",INDEX(_自动清单!$G$4:$G$63,ROW()-4),INDEX(_自动清单!$BQ$4:$BQ$63,ROW()-4-MIN(N(_自动清单!$A$1),60))),""))</f>
        <v/>
      </c>
      <c r="D133" s="24" t="str">
        <f>IF($B133&lt;&gt;"包装物料","",IFERROR(INDEX(_自动清单!$H$4:$H$63,ROW()-4),""))</f>
        <v/>
      </c>
      <c r="E133" s="24" t="str">
        <f>IF($B133="","",IF($B133="包装物料",IFERROR(INDEX(_自动清单!$I$4:$I$63,ROW()-4),""),"个"))</f>
        <v/>
      </c>
      <c r="F133" s="39" t="str">
        <f>IF($B133="","",IF($B133="包装物料",N(IFERROR(INDEX(物料库存结余!$L$4:$L$53,MATCH($C133,物料库存结余!$B$4:$B$53,0)),0)),N(IFERROR(INDEX(筐子库存汇总!$I$4:$I$63,MATCH($C133,筐子库存汇总!$B$4:$B$63,0)),0))))</f>
        <v/>
      </c>
      <c r="G133" s="39"/>
      <c r="H133" s="39" t="str">
        <f t="shared" ref="H133:H184" si="9">IF(OR($B133="",$G133="未盘点",$G133=""),"",N($G133)-N($F133))</f>
        <v/>
      </c>
      <c r="I133" s="50" t="str">
        <f t="shared" ref="I133:I184" si="10">IF(OR($H133="",N($F133)=0),"",ROUND(N($H133)/N($F133),4))</f>
        <v/>
      </c>
      <c r="J133" s="24" t="str">
        <f t="shared" ref="J133:J184" si="11">IF($B133="","",IF(OR($G133="未盘点",$G133=""),"未盘点",IF(N($H133)=0,"盘平",IF(N($H133)&gt;0,"盘盈","盘亏"))))</f>
        <v/>
      </c>
      <c r="K133" s="42"/>
    </row>
    <row r="134" spans="1:11">
      <c r="A134" s="24" t="str">
        <f t="shared" si="8"/>
        <v/>
      </c>
      <c r="B134" s="24" t="str">
        <f>IF(ROW()-4&lt;=MIN(N(_自动清单!$A$1),60),"包装物料",IF(ROW()-4&lt;=MIN(N(_自动清单!$A$1),60)+MIN(N(_自动清单!$BM$1),60),"筐子/托盘",""))</f>
        <v/>
      </c>
      <c r="C134" s="37" t="str">
        <f>IF($B134="","",IFERROR(IF($B134="包装物料",INDEX(_自动清单!$G$4:$G$63,ROW()-4),INDEX(_自动清单!$BQ$4:$BQ$63,ROW()-4-MIN(N(_自动清单!$A$1),60))),""))</f>
        <v/>
      </c>
      <c r="D134" s="24" t="str">
        <f>IF($B134&lt;&gt;"包装物料","",IFERROR(INDEX(_自动清单!$H$4:$H$63,ROW()-4),""))</f>
        <v/>
      </c>
      <c r="E134" s="24" t="str">
        <f>IF($B134="","",IF($B134="包装物料",IFERROR(INDEX(_自动清单!$I$4:$I$63,ROW()-4),""),"个"))</f>
        <v/>
      </c>
      <c r="F134" s="39" t="str">
        <f>IF($B134="","",IF($B134="包装物料",N(IFERROR(INDEX(物料库存结余!$L$4:$L$53,MATCH($C134,物料库存结余!$B$4:$B$53,0)),0)),N(IFERROR(INDEX(筐子库存汇总!$I$4:$I$63,MATCH($C134,筐子库存汇总!$B$4:$B$63,0)),0))))</f>
        <v/>
      </c>
      <c r="G134" s="39"/>
      <c r="H134" s="39" t="str">
        <f t="shared" si="9"/>
        <v/>
      </c>
      <c r="I134" s="50" t="str">
        <f t="shared" si="10"/>
        <v/>
      </c>
      <c r="J134" s="24" t="str">
        <f t="shared" si="11"/>
        <v/>
      </c>
      <c r="K134" s="42"/>
    </row>
    <row r="135" spans="1:11">
      <c r="A135" s="24" t="str">
        <f t="shared" si="8"/>
        <v/>
      </c>
      <c r="B135" s="24" t="str">
        <f>IF(ROW()-4&lt;=MIN(N(_自动清单!$A$1),60),"包装物料",IF(ROW()-4&lt;=MIN(N(_自动清单!$A$1),60)+MIN(N(_自动清单!$BM$1),60),"筐子/托盘",""))</f>
        <v/>
      </c>
      <c r="C135" s="37" t="str">
        <f>IF($B135="","",IFERROR(IF($B135="包装物料",INDEX(_自动清单!$G$4:$G$63,ROW()-4),INDEX(_自动清单!$BQ$4:$BQ$63,ROW()-4-MIN(N(_自动清单!$A$1),60))),""))</f>
        <v/>
      </c>
      <c r="D135" s="24" t="str">
        <f>IF($B135&lt;&gt;"包装物料","",IFERROR(INDEX(_自动清单!$H$4:$H$63,ROW()-4),""))</f>
        <v/>
      </c>
      <c r="E135" s="24" t="str">
        <f>IF($B135="","",IF($B135="包装物料",IFERROR(INDEX(_自动清单!$I$4:$I$63,ROW()-4),""),"个"))</f>
        <v/>
      </c>
      <c r="F135" s="39" t="str">
        <f>IF($B135="","",IF($B135="包装物料",N(IFERROR(INDEX(物料库存结余!$L$4:$L$53,MATCH($C135,物料库存结余!$B$4:$B$53,0)),0)),N(IFERROR(INDEX(筐子库存汇总!$I$4:$I$63,MATCH($C135,筐子库存汇总!$B$4:$B$63,0)),0))))</f>
        <v/>
      </c>
      <c r="G135" s="39"/>
      <c r="H135" s="39" t="str">
        <f t="shared" si="9"/>
        <v/>
      </c>
      <c r="I135" s="50" t="str">
        <f t="shared" si="10"/>
        <v/>
      </c>
      <c r="J135" s="24" t="str">
        <f t="shared" si="11"/>
        <v/>
      </c>
      <c r="K135" s="42"/>
    </row>
    <row r="136" spans="1:11">
      <c r="A136" s="24" t="str">
        <f t="shared" si="8"/>
        <v/>
      </c>
      <c r="B136" s="24" t="str">
        <f>IF(ROW()-4&lt;=MIN(N(_自动清单!$A$1),60),"包装物料",IF(ROW()-4&lt;=MIN(N(_自动清单!$A$1),60)+MIN(N(_自动清单!$BM$1),60),"筐子/托盘",""))</f>
        <v/>
      </c>
      <c r="C136" s="37" t="str">
        <f>IF($B136="","",IFERROR(IF($B136="包装物料",INDEX(_自动清单!$G$4:$G$63,ROW()-4),INDEX(_自动清单!$BQ$4:$BQ$63,ROW()-4-MIN(N(_自动清单!$A$1),60))),""))</f>
        <v/>
      </c>
      <c r="D136" s="24" t="str">
        <f>IF($B136&lt;&gt;"包装物料","",IFERROR(INDEX(_自动清单!$H$4:$H$63,ROW()-4),""))</f>
        <v/>
      </c>
      <c r="E136" s="24" t="str">
        <f>IF($B136="","",IF($B136="包装物料",IFERROR(INDEX(_自动清单!$I$4:$I$63,ROW()-4),""),"个"))</f>
        <v/>
      </c>
      <c r="F136" s="39" t="str">
        <f>IF($B136="","",IF($B136="包装物料",N(IFERROR(INDEX(物料库存结余!$L$4:$L$53,MATCH($C136,物料库存结余!$B$4:$B$53,0)),0)),N(IFERROR(INDEX(筐子库存汇总!$I$4:$I$63,MATCH($C136,筐子库存汇总!$B$4:$B$63,0)),0))))</f>
        <v/>
      </c>
      <c r="G136" s="39"/>
      <c r="H136" s="39" t="str">
        <f t="shared" si="9"/>
        <v/>
      </c>
      <c r="I136" s="50" t="str">
        <f t="shared" si="10"/>
        <v/>
      </c>
      <c r="J136" s="24" t="str">
        <f t="shared" si="11"/>
        <v/>
      </c>
      <c r="K136" s="42"/>
    </row>
    <row r="137" spans="1:11">
      <c r="A137" s="24" t="str">
        <f t="shared" si="8"/>
        <v/>
      </c>
      <c r="B137" s="24" t="str">
        <f>IF(ROW()-4&lt;=MIN(N(_自动清单!$A$1),60),"包装物料",IF(ROW()-4&lt;=MIN(N(_自动清单!$A$1),60)+MIN(N(_自动清单!$BM$1),60),"筐子/托盘",""))</f>
        <v/>
      </c>
      <c r="C137" s="37" t="str">
        <f>IF($B137="","",IFERROR(IF($B137="包装物料",INDEX(_自动清单!$G$4:$G$63,ROW()-4),INDEX(_自动清单!$BQ$4:$BQ$63,ROW()-4-MIN(N(_自动清单!$A$1),60))),""))</f>
        <v/>
      </c>
      <c r="D137" s="24" t="str">
        <f>IF($B137&lt;&gt;"包装物料","",IFERROR(INDEX(_自动清单!$H$4:$H$63,ROW()-4),""))</f>
        <v/>
      </c>
      <c r="E137" s="24" t="str">
        <f>IF($B137="","",IF($B137="包装物料",IFERROR(INDEX(_自动清单!$I$4:$I$63,ROW()-4),""),"个"))</f>
        <v/>
      </c>
      <c r="F137" s="39" t="str">
        <f>IF($B137="","",IF($B137="包装物料",N(IFERROR(INDEX(物料库存结余!$L$4:$L$53,MATCH($C137,物料库存结余!$B$4:$B$53,0)),0)),N(IFERROR(INDEX(筐子库存汇总!$I$4:$I$63,MATCH($C137,筐子库存汇总!$B$4:$B$63,0)),0))))</f>
        <v/>
      </c>
      <c r="G137" s="39"/>
      <c r="H137" s="39" t="str">
        <f t="shared" si="9"/>
        <v/>
      </c>
      <c r="I137" s="50" t="str">
        <f t="shared" si="10"/>
        <v/>
      </c>
      <c r="J137" s="24" t="str">
        <f t="shared" si="11"/>
        <v/>
      </c>
      <c r="K137" s="42"/>
    </row>
    <row r="138" spans="1:11">
      <c r="A138" s="24" t="str">
        <f t="shared" si="8"/>
        <v/>
      </c>
      <c r="B138" s="24" t="str">
        <f>IF(ROW()-4&lt;=MIN(N(_自动清单!$A$1),60),"包装物料",IF(ROW()-4&lt;=MIN(N(_自动清单!$A$1),60)+MIN(N(_自动清单!$BM$1),60),"筐子/托盘",""))</f>
        <v/>
      </c>
      <c r="C138" s="37" t="str">
        <f>IF($B138="","",IFERROR(IF($B138="包装物料",INDEX(_自动清单!$G$4:$G$63,ROW()-4),INDEX(_自动清单!$BQ$4:$BQ$63,ROW()-4-MIN(N(_自动清单!$A$1),60))),""))</f>
        <v/>
      </c>
      <c r="D138" s="24" t="str">
        <f>IF($B138&lt;&gt;"包装物料","",IFERROR(INDEX(_自动清单!$H$4:$H$63,ROW()-4),""))</f>
        <v/>
      </c>
      <c r="E138" s="24" t="str">
        <f>IF($B138="","",IF($B138="包装物料",IFERROR(INDEX(_自动清单!$I$4:$I$63,ROW()-4),""),"个"))</f>
        <v/>
      </c>
      <c r="F138" s="39" t="str">
        <f>IF($B138="","",IF($B138="包装物料",N(IFERROR(INDEX(物料库存结余!$L$4:$L$53,MATCH($C138,物料库存结余!$B$4:$B$53,0)),0)),N(IFERROR(INDEX(筐子库存汇总!$I$4:$I$63,MATCH($C138,筐子库存汇总!$B$4:$B$63,0)),0))))</f>
        <v/>
      </c>
      <c r="G138" s="39"/>
      <c r="H138" s="39" t="str">
        <f t="shared" si="9"/>
        <v/>
      </c>
      <c r="I138" s="50" t="str">
        <f t="shared" si="10"/>
        <v/>
      </c>
      <c r="J138" s="24" t="str">
        <f t="shared" si="11"/>
        <v/>
      </c>
      <c r="K138" s="42"/>
    </row>
    <row r="139" spans="1:11">
      <c r="A139" s="24" t="str">
        <f t="shared" si="8"/>
        <v/>
      </c>
      <c r="B139" s="24" t="str">
        <f>IF(ROW()-4&lt;=MIN(N(_自动清单!$A$1),60),"包装物料",IF(ROW()-4&lt;=MIN(N(_自动清单!$A$1),60)+MIN(N(_自动清单!$BM$1),60),"筐子/托盘",""))</f>
        <v/>
      </c>
      <c r="C139" s="37" t="str">
        <f>IF($B139="","",IFERROR(IF($B139="包装物料",INDEX(_自动清单!$G$4:$G$63,ROW()-4),INDEX(_自动清单!$BQ$4:$BQ$63,ROW()-4-MIN(N(_自动清单!$A$1),60))),""))</f>
        <v/>
      </c>
      <c r="D139" s="24" t="str">
        <f>IF($B139&lt;&gt;"包装物料","",IFERROR(INDEX(_自动清单!$H$4:$H$63,ROW()-4),""))</f>
        <v/>
      </c>
      <c r="E139" s="24" t="str">
        <f>IF($B139="","",IF($B139="包装物料",IFERROR(INDEX(_自动清单!$I$4:$I$63,ROW()-4),""),"个"))</f>
        <v/>
      </c>
      <c r="F139" s="39" t="str">
        <f>IF($B139="","",IF($B139="包装物料",N(IFERROR(INDEX(物料库存结余!$L$4:$L$53,MATCH($C139,物料库存结余!$B$4:$B$53,0)),0)),N(IFERROR(INDEX(筐子库存汇总!$I$4:$I$63,MATCH($C139,筐子库存汇总!$B$4:$B$63,0)),0))))</f>
        <v/>
      </c>
      <c r="G139" s="39"/>
      <c r="H139" s="39" t="str">
        <f t="shared" si="9"/>
        <v/>
      </c>
      <c r="I139" s="50" t="str">
        <f t="shared" si="10"/>
        <v/>
      </c>
      <c r="J139" s="24" t="str">
        <f t="shared" si="11"/>
        <v/>
      </c>
      <c r="K139" s="42"/>
    </row>
    <row r="140" spans="1:11">
      <c r="A140" s="24" t="str">
        <f t="shared" si="8"/>
        <v/>
      </c>
      <c r="B140" s="24" t="str">
        <f>IF(ROW()-4&lt;=MIN(N(_自动清单!$A$1),60),"包装物料",IF(ROW()-4&lt;=MIN(N(_自动清单!$A$1),60)+MIN(N(_自动清单!$BM$1),60),"筐子/托盘",""))</f>
        <v/>
      </c>
      <c r="C140" s="37" t="str">
        <f>IF($B140="","",IFERROR(IF($B140="包装物料",INDEX(_自动清单!$G$4:$G$63,ROW()-4),INDEX(_自动清单!$BQ$4:$BQ$63,ROW()-4-MIN(N(_自动清单!$A$1),60))),""))</f>
        <v/>
      </c>
      <c r="D140" s="24" t="str">
        <f>IF($B140&lt;&gt;"包装物料","",IFERROR(INDEX(_自动清单!$H$4:$H$63,ROW()-4),""))</f>
        <v/>
      </c>
      <c r="E140" s="24" t="str">
        <f>IF($B140="","",IF($B140="包装物料",IFERROR(INDEX(_自动清单!$I$4:$I$63,ROW()-4),""),"个"))</f>
        <v/>
      </c>
      <c r="F140" s="39" t="str">
        <f>IF($B140="","",IF($B140="包装物料",N(IFERROR(INDEX(物料库存结余!$L$4:$L$53,MATCH($C140,物料库存结余!$B$4:$B$53,0)),0)),N(IFERROR(INDEX(筐子库存汇总!$I$4:$I$63,MATCH($C140,筐子库存汇总!$B$4:$B$63,0)),0))))</f>
        <v/>
      </c>
      <c r="G140" s="39"/>
      <c r="H140" s="39" t="str">
        <f t="shared" si="9"/>
        <v/>
      </c>
      <c r="I140" s="50" t="str">
        <f t="shared" si="10"/>
        <v/>
      </c>
      <c r="J140" s="24" t="str">
        <f t="shared" si="11"/>
        <v/>
      </c>
      <c r="K140" s="42"/>
    </row>
    <row r="141" spans="1:11">
      <c r="A141" s="24" t="str">
        <f t="shared" si="8"/>
        <v/>
      </c>
      <c r="B141" s="24" t="str">
        <f>IF(ROW()-4&lt;=MIN(N(_自动清单!$A$1),60),"包装物料",IF(ROW()-4&lt;=MIN(N(_自动清单!$A$1),60)+MIN(N(_自动清单!$BM$1),60),"筐子/托盘",""))</f>
        <v/>
      </c>
      <c r="C141" s="37" t="str">
        <f>IF($B141="","",IFERROR(IF($B141="包装物料",INDEX(_自动清单!$G$4:$G$63,ROW()-4),INDEX(_自动清单!$BQ$4:$BQ$63,ROW()-4-MIN(N(_自动清单!$A$1),60))),""))</f>
        <v/>
      </c>
      <c r="D141" s="24" t="str">
        <f>IF($B141&lt;&gt;"包装物料","",IFERROR(INDEX(_自动清单!$H$4:$H$63,ROW()-4),""))</f>
        <v/>
      </c>
      <c r="E141" s="24" t="str">
        <f>IF($B141="","",IF($B141="包装物料",IFERROR(INDEX(_自动清单!$I$4:$I$63,ROW()-4),""),"个"))</f>
        <v/>
      </c>
      <c r="F141" s="39" t="str">
        <f>IF($B141="","",IF($B141="包装物料",N(IFERROR(INDEX(物料库存结余!$L$4:$L$53,MATCH($C141,物料库存结余!$B$4:$B$53,0)),0)),N(IFERROR(INDEX(筐子库存汇总!$I$4:$I$63,MATCH($C141,筐子库存汇总!$B$4:$B$63,0)),0))))</f>
        <v/>
      </c>
      <c r="G141" s="39"/>
      <c r="H141" s="39" t="str">
        <f t="shared" si="9"/>
        <v/>
      </c>
      <c r="I141" s="50" t="str">
        <f t="shared" si="10"/>
        <v/>
      </c>
      <c r="J141" s="24" t="str">
        <f t="shared" si="11"/>
        <v/>
      </c>
      <c r="K141" s="42"/>
    </row>
    <row r="142" spans="1:11">
      <c r="A142" s="24" t="str">
        <f t="shared" si="8"/>
        <v/>
      </c>
      <c r="B142" s="24" t="str">
        <f>IF(ROW()-4&lt;=MIN(N(_自动清单!$A$1),60),"包装物料",IF(ROW()-4&lt;=MIN(N(_自动清单!$A$1),60)+MIN(N(_自动清单!$BM$1),60),"筐子/托盘",""))</f>
        <v/>
      </c>
      <c r="C142" s="37" t="str">
        <f>IF($B142="","",IFERROR(IF($B142="包装物料",INDEX(_自动清单!$G$4:$G$63,ROW()-4),INDEX(_自动清单!$BQ$4:$BQ$63,ROW()-4-MIN(N(_自动清单!$A$1),60))),""))</f>
        <v/>
      </c>
      <c r="D142" s="24" t="str">
        <f>IF($B142&lt;&gt;"包装物料","",IFERROR(INDEX(_自动清单!$H$4:$H$63,ROW()-4),""))</f>
        <v/>
      </c>
      <c r="E142" s="24" t="str">
        <f>IF($B142="","",IF($B142="包装物料",IFERROR(INDEX(_自动清单!$I$4:$I$63,ROW()-4),""),"个"))</f>
        <v/>
      </c>
      <c r="F142" s="39" t="str">
        <f>IF($B142="","",IF($B142="包装物料",N(IFERROR(INDEX(物料库存结余!$L$4:$L$53,MATCH($C142,物料库存结余!$B$4:$B$53,0)),0)),N(IFERROR(INDEX(筐子库存汇总!$I$4:$I$63,MATCH($C142,筐子库存汇总!$B$4:$B$63,0)),0))))</f>
        <v/>
      </c>
      <c r="G142" s="39"/>
      <c r="H142" s="39" t="str">
        <f t="shared" si="9"/>
        <v/>
      </c>
      <c r="I142" s="50" t="str">
        <f t="shared" si="10"/>
        <v/>
      </c>
      <c r="J142" s="24" t="str">
        <f t="shared" si="11"/>
        <v/>
      </c>
      <c r="K142" s="42"/>
    </row>
    <row r="143" spans="1:11">
      <c r="A143" s="24" t="str">
        <f t="shared" si="8"/>
        <v/>
      </c>
      <c r="B143" s="24" t="str">
        <f>IF(ROW()-4&lt;=MIN(N(_自动清单!$A$1),60),"包装物料",IF(ROW()-4&lt;=MIN(N(_自动清单!$A$1),60)+MIN(N(_自动清单!$BM$1),60),"筐子/托盘",""))</f>
        <v/>
      </c>
      <c r="C143" s="37" t="str">
        <f>IF($B143="","",IFERROR(IF($B143="包装物料",INDEX(_自动清单!$G$4:$G$63,ROW()-4),INDEX(_自动清单!$BQ$4:$BQ$63,ROW()-4-MIN(N(_自动清单!$A$1),60))),""))</f>
        <v/>
      </c>
      <c r="D143" s="24" t="str">
        <f>IF($B143&lt;&gt;"包装物料","",IFERROR(INDEX(_自动清单!$H$4:$H$63,ROW()-4),""))</f>
        <v/>
      </c>
      <c r="E143" s="24" t="str">
        <f>IF($B143="","",IF($B143="包装物料",IFERROR(INDEX(_自动清单!$I$4:$I$63,ROW()-4),""),"个"))</f>
        <v/>
      </c>
      <c r="F143" s="39" t="str">
        <f>IF($B143="","",IF($B143="包装物料",N(IFERROR(INDEX(物料库存结余!$L$4:$L$53,MATCH($C143,物料库存结余!$B$4:$B$53,0)),0)),N(IFERROR(INDEX(筐子库存汇总!$I$4:$I$63,MATCH($C143,筐子库存汇总!$B$4:$B$63,0)),0))))</f>
        <v/>
      </c>
      <c r="G143" s="39"/>
      <c r="H143" s="39" t="str">
        <f t="shared" si="9"/>
        <v/>
      </c>
      <c r="I143" s="50" t="str">
        <f t="shared" si="10"/>
        <v/>
      </c>
      <c r="J143" s="24" t="str">
        <f t="shared" si="11"/>
        <v/>
      </c>
      <c r="K143" s="42"/>
    </row>
    <row r="144" spans="1:11">
      <c r="A144" s="24" t="str">
        <f t="shared" si="8"/>
        <v/>
      </c>
      <c r="B144" s="24" t="str">
        <f>IF(ROW()-4&lt;=MIN(N(_自动清单!$A$1),60),"包装物料",IF(ROW()-4&lt;=MIN(N(_自动清单!$A$1),60)+MIN(N(_自动清单!$BM$1),60),"筐子/托盘",""))</f>
        <v/>
      </c>
      <c r="C144" s="37" t="str">
        <f>IF($B144="","",IFERROR(IF($B144="包装物料",INDEX(_自动清单!$G$4:$G$63,ROW()-4),INDEX(_自动清单!$BQ$4:$BQ$63,ROW()-4-MIN(N(_自动清单!$A$1),60))),""))</f>
        <v/>
      </c>
      <c r="D144" s="24" t="str">
        <f>IF($B144&lt;&gt;"包装物料","",IFERROR(INDEX(_自动清单!$H$4:$H$63,ROW()-4),""))</f>
        <v/>
      </c>
      <c r="E144" s="24" t="str">
        <f>IF($B144="","",IF($B144="包装物料",IFERROR(INDEX(_自动清单!$I$4:$I$63,ROW()-4),""),"个"))</f>
        <v/>
      </c>
      <c r="F144" s="39" t="str">
        <f>IF($B144="","",IF($B144="包装物料",N(IFERROR(INDEX(物料库存结余!$L$4:$L$53,MATCH($C144,物料库存结余!$B$4:$B$53,0)),0)),N(IFERROR(INDEX(筐子库存汇总!$I$4:$I$63,MATCH($C144,筐子库存汇总!$B$4:$B$63,0)),0))))</f>
        <v/>
      </c>
      <c r="G144" s="39"/>
      <c r="H144" s="39" t="str">
        <f t="shared" si="9"/>
        <v/>
      </c>
      <c r="I144" s="50" t="str">
        <f t="shared" si="10"/>
        <v/>
      </c>
      <c r="J144" s="24" t="str">
        <f t="shared" si="11"/>
        <v/>
      </c>
      <c r="K144" s="42"/>
    </row>
    <row r="145" spans="1:11">
      <c r="A145" s="24" t="str">
        <f t="shared" si="8"/>
        <v/>
      </c>
      <c r="B145" s="24" t="str">
        <f>IF(ROW()-4&lt;=MIN(N(_自动清单!$A$1),60),"包装物料",IF(ROW()-4&lt;=MIN(N(_自动清单!$A$1),60)+MIN(N(_自动清单!$BM$1),60),"筐子/托盘",""))</f>
        <v/>
      </c>
      <c r="C145" s="37" t="str">
        <f>IF($B145="","",IFERROR(IF($B145="包装物料",INDEX(_自动清单!$G$4:$G$63,ROW()-4),INDEX(_自动清单!$BQ$4:$BQ$63,ROW()-4-MIN(N(_自动清单!$A$1),60))),""))</f>
        <v/>
      </c>
      <c r="D145" s="24" t="str">
        <f>IF($B145&lt;&gt;"包装物料","",IFERROR(INDEX(_自动清单!$H$4:$H$63,ROW()-4),""))</f>
        <v/>
      </c>
      <c r="E145" s="24" t="str">
        <f>IF($B145="","",IF($B145="包装物料",IFERROR(INDEX(_自动清单!$I$4:$I$63,ROW()-4),""),"个"))</f>
        <v/>
      </c>
      <c r="F145" s="39" t="str">
        <f>IF($B145="","",IF($B145="包装物料",N(IFERROR(INDEX(物料库存结余!$L$4:$L$53,MATCH($C145,物料库存结余!$B$4:$B$53,0)),0)),N(IFERROR(INDEX(筐子库存汇总!$I$4:$I$63,MATCH($C145,筐子库存汇总!$B$4:$B$63,0)),0))))</f>
        <v/>
      </c>
      <c r="G145" s="39"/>
      <c r="H145" s="39" t="str">
        <f t="shared" si="9"/>
        <v/>
      </c>
      <c r="I145" s="50" t="str">
        <f t="shared" si="10"/>
        <v/>
      </c>
      <c r="J145" s="24" t="str">
        <f t="shared" si="11"/>
        <v/>
      </c>
      <c r="K145" s="42"/>
    </row>
    <row r="146" spans="1:11">
      <c r="A146" s="24" t="str">
        <f t="shared" si="8"/>
        <v/>
      </c>
      <c r="B146" s="24" t="str">
        <f>IF(ROW()-4&lt;=MIN(N(_自动清单!$A$1),60),"包装物料",IF(ROW()-4&lt;=MIN(N(_自动清单!$A$1),60)+MIN(N(_自动清单!$BM$1),60),"筐子/托盘",""))</f>
        <v/>
      </c>
      <c r="C146" s="37" t="str">
        <f>IF($B146="","",IFERROR(IF($B146="包装物料",INDEX(_自动清单!$G$4:$G$63,ROW()-4),INDEX(_自动清单!$BQ$4:$BQ$63,ROW()-4-MIN(N(_自动清单!$A$1),60))),""))</f>
        <v/>
      </c>
      <c r="D146" s="24" t="str">
        <f>IF($B146&lt;&gt;"包装物料","",IFERROR(INDEX(_自动清单!$H$4:$H$63,ROW()-4),""))</f>
        <v/>
      </c>
      <c r="E146" s="24" t="str">
        <f>IF($B146="","",IF($B146="包装物料",IFERROR(INDEX(_自动清单!$I$4:$I$63,ROW()-4),""),"个"))</f>
        <v/>
      </c>
      <c r="F146" s="39" t="str">
        <f>IF($B146="","",IF($B146="包装物料",N(IFERROR(INDEX(物料库存结余!$L$4:$L$53,MATCH($C146,物料库存结余!$B$4:$B$53,0)),0)),N(IFERROR(INDEX(筐子库存汇总!$I$4:$I$63,MATCH($C146,筐子库存汇总!$B$4:$B$63,0)),0))))</f>
        <v/>
      </c>
      <c r="G146" s="39"/>
      <c r="H146" s="39" t="str">
        <f t="shared" si="9"/>
        <v/>
      </c>
      <c r="I146" s="50" t="str">
        <f t="shared" si="10"/>
        <v/>
      </c>
      <c r="J146" s="24" t="str">
        <f t="shared" si="11"/>
        <v/>
      </c>
      <c r="K146" s="42"/>
    </row>
    <row r="147" spans="1:11">
      <c r="A147" s="24" t="str">
        <f t="shared" si="8"/>
        <v/>
      </c>
      <c r="B147" s="24" t="str">
        <f>IF(ROW()-4&lt;=MIN(N(_自动清单!$A$1),60),"包装物料",IF(ROW()-4&lt;=MIN(N(_自动清单!$A$1),60)+MIN(N(_自动清单!$BM$1),60),"筐子/托盘",""))</f>
        <v/>
      </c>
      <c r="C147" s="37" t="str">
        <f>IF($B147="","",IFERROR(IF($B147="包装物料",INDEX(_自动清单!$G$4:$G$63,ROW()-4),INDEX(_自动清单!$BQ$4:$BQ$63,ROW()-4-MIN(N(_自动清单!$A$1),60))),""))</f>
        <v/>
      </c>
      <c r="D147" s="24" t="str">
        <f>IF($B147&lt;&gt;"包装物料","",IFERROR(INDEX(_自动清单!$H$4:$H$63,ROW()-4),""))</f>
        <v/>
      </c>
      <c r="E147" s="24" t="str">
        <f>IF($B147="","",IF($B147="包装物料",IFERROR(INDEX(_自动清单!$I$4:$I$63,ROW()-4),""),"个"))</f>
        <v/>
      </c>
      <c r="F147" s="39" t="str">
        <f>IF($B147="","",IF($B147="包装物料",N(IFERROR(INDEX(物料库存结余!$L$4:$L$53,MATCH($C147,物料库存结余!$B$4:$B$53,0)),0)),N(IFERROR(INDEX(筐子库存汇总!$I$4:$I$63,MATCH($C147,筐子库存汇总!$B$4:$B$63,0)),0))))</f>
        <v/>
      </c>
      <c r="G147" s="39"/>
      <c r="H147" s="39" t="str">
        <f t="shared" si="9"/>
        <v/>
      </c>
      <c r="I147" s="50" t="str">
        <f t="shared" si="10"/>
        <v/>
      </c>
      <c r="J147" s="24" t="str">
        <f t="shared" si="11"/>
        <v/>
      </c>
      <c r="K147" s="42"/>
    </row>
    <row r="148" spans="1:11">
      <c r="A148" s="24" t="str">
        <f t="shared" si="8"/>
        <v/>
      </c>
      <c r="B148" s="24" t="str">
        <f>IF(ROW()-4&lt;=MIN(N(_自动清单!$A$1),60),"包装物料",IF(ROW()-4&lt;=MIN(N(_自动清单!$A$1),60)+MIN(N(_自动清单!$BM$1),60),"筐子/托盘",""))</f>
        <v/>
      </c>
      <c r="C148" s="37" t="str">
        <f>IF($B148="","",IFERROR(IF($B148="包装物料",INDEX(_自动清单!$G$4:$G$63,ROW()-4),INDEX(_自动清单!$BQ$4:$BQ$63,ROW()-4-MIN(N(_自动清单!$A$1),60))),""))</f>
        <v/>
      </c>
      <c r="D148" s="24" t="str">
        <f>IF($B148&lt;&gt;"包装物料","",IFERROR(INDEX(_自动清单!$H$4:$H$63,ROW()-4),""))</f>
        <v/>
      </c>
      <c r="E148" s="24" t="str">
        <f>IF($B148="","",IF($B148="包装物料",IFERROR(INDEX(_自动清单!$I$4:$I$63,ROW()-4),""),"个"))</f>
        <v/>
      </c>
      <c r="F148" s="39" t="str">
        <f>IF($B148="","",IF($B148="包装物料",N(IFERROR(INDEX(物料库存结余!$L$4:$L$53,MATCH($C148,物料库存结余!$B$4:$B$53,0)),0)),N(IFERROR(INDEX(筐子库存汇总!$I$4:$I$63,MATCH($C148,筐子库存汇总!$B$4:$B$63,0)),0))))</f>
        <v/>
      </c>
      <c r="G148" s="39"/>
      <c r="H148" s="39" t="str">
        <f t="shared" si="9"/>
        <v/>
      </c>
      <c r="I148" s="50" t="str">
        <f t="shared" si="10"/>
        <v/>
      </c>
      <c r="J148" s="24" t="str">
        <f t="shared" si="11"/>
        <v/>
      </c>
      <c r="K148" s="42"/>
    </row>
    <row r="149" spans="1:11">
      <c r="A149" s="24" t="str">
        <f t="shared" si="8"/>
        <v/>
      </c>
      <c r="B149" s="24" t="str">
        <f>IF(ROW()-4&lt;=MIN(N(_自动清单!$A$1),60),"包装物料",IF(ROW()-4&lt;=MIN(N(_自动清单!$A$1),60)+MIN(N(_自动清单!$BM$1),60),"筐子/托盘",""))</f>
        <v/>
      </c>
      <c r="C149" s="37" t="str">
        <f>IF($B149="","",IFERROR(IF($B149="包装物料",INDEX(_自动清单!$G$4:$G$63,ROW()-4),INDEX(_自动清单!$BQ$4:$BQ$63,ROW()-4-MIN(N(_自动清单!$A$1),60))),""))</f>
        <v/>
      </c>
      <c r="D149" s="24" t="str">
        <f>IF($B149&lt;&gt;"包装物料","",IFERROR(INDEX(_自动清单!$H$4:$H$63,ROW()-4),""))</f>
        <v/>
      </c>
      <c r="E149" s="24" t="str">
        <f>IF($B149="","",IF($B149="包装物料",IFERROR(INDEX(_自动清单!$I$4:$I$63,ROW()-4),""),"个"))</f>
        <v/>
      </c>
      <c r="F149" s="39" t="str">
        <f>IF($B149="","",IF($B149="包装物料",N(IFERROR(INDEX(物料库存结余!$L$4:$L$53,MATCH($C149,物料库存结余!$B$4:$B$53,0)),0)),N(IFERROR(INDEX(筐子库存汇总!$I$4:$I$63,MATCH($C149,筐子库存汇总!$B$4:$B$63,0)),0))))</f>
        <v/>
      </c>
      <c r="G149" s="39"/>
      <c r="H149" s="39" t="str">
        <f t="shared" si="9"/>
        <v/>
      </c>
      <c r="I149" s="50" t="str">
        <f t="shared" si="10"/>
        <v/>
      </c>
      <c r="J149" s="24" t="str">
        <f t="shared" si="11"/>
        <v/>
      </c>
      <c r="K149" s="42"/>
    </row>
    <row r="150" spans="1:11">
      <c r="A150" s="24" t="str">
        <f t="shared" si="8"/>
        <v/>
      </c>
      <c r="B150" s="24" t="str">
        <f>IF(ROW()-4&lt;=MIN(N(_自动清单!$A$1),60),"包装物料",IF(ROW()-4&lt;=MIN(N(_自动清单!$A$1),60)+MIN(N(_自动清单!$BM$1),60),"筐子/托盘",""))</f>
        <v/>
      </c>
      <c r="C150" s="37" t="str">
        <f>IF($B150="","",IFERROR(IF($B150="包装物料",INDEX(_自动清单!$G$4:$G$63,ROW()-4),INDEX(_自动清单!$BQ$4:$BQ$63,ROW()-4-MIN(N(_自动清单!$A$1),60))),""))</f>
        <v/>
      </c>
      <c r="D150" s="24" t="str">
        <f>IF($B150&lt;&gt;"包装物料","",IFERROR(INDEX(_自动清单!$H$4:$H$63,ROW()-4),""))</f>
        <v/>
      </c>
      <c r="E150" s="24" t="str">
        <f>IF($B150="","",IF($B150="包装物料",IFERROR(INDEX(_自动清单!$I$4:$I$63,ROW()-4),""),"个"))</f>
        <v/>
      </c>
      <c r="F150" s="39" t="str">
        <f>IF($B150="","",IF($B150="包装物料",N(IFERROR(INDEX(物料库存结余!$L$4:$L$53,MATCH($C150,物料库存结余!$B$4:$B$53,0)),0)),N(IFERROR(INDEX(筐子库存汇总!$I$4:$I$63,MATCH($C150,筐子库存汇总!$B$4:$B$63,0)),0))))</f>
        <v/>
      </c>
      <c r="G150" s="39"/>
      <c r="H150" s="39" t="str">
        <f t="shared" si="9"/>
        <v/>
      </c>
      <c r="I150" s="50" t="str">
        <f t="shared" si="10"/>
        <v/>
      </c>
      <c r="J150" s="24" t="str">
        <f t="shared" si="11"/>
        <v/>
      </c>
      <c r="K150" s="42"/>
    </row>
    <row r="151" spans="1:11">
      <c r="A151" s="24" t="str">
        <f t="shared" si="8"/>
        <v/>
      </c>
      <c r="B151" s="24" t="str">
        <f>IF(ROW()-4&lt;=MIN(N(_自动清单!$A$1),60),"包装物料",IF(ROW()-4&lt;=MIN(N(_自动清单!$A$1),60)+MIN(N(_自动清单!$BM$1),60),"筐子/托盘",""))</f>
        <v/>
      </c>
      <c r="C151" s="37" t="str">
        <f>IF($B151="","",IFERROR(IF($B151="包装物料",INDEX(_自动清单!$G$4:$G$63,ROW()-4),INDEX(_自动清单!$BQ$4:$BQ$63,ROW()-4-MIN(N(_自动清单!$A$1),60))),""))</f>
        <v/>
      </c>
      <c r="D151" s="24" t="str">
        <f>IF($B151&lt;&gt;"包装物料","",IFERROR(INDEX(_自动清单!$H$4:$H$63,ROW()-4),""))</f>
        <v/>
      </c>
      <c r="E151" s="24" t="str">
        <f>IF($B151="","",IF($B151="包装物料",IFERROR(INDEX(_自动清单!$I$4:$I$63,ROW()-4),""),"个"))</f>
        <v/>
      </c>
      <c r="F151" s="39" t="str">
        <f>IF($B151="","",IF($B151="包装物料",N(IFERROR(INDEX(物料库存结余!$L$4:$L$53,MATCH($C151,物料库存结余!$B$4:$B$53,0)),0)),N(IFERROR(INDEX(筐子库存汇总!$I$4:$I$63,MATCH($C151,筐子库存汇总!$B$4:$B$63,0)),0))))</f>
        <v/>
      </c>
      <c r="G151" s="39"/>
      <c r="H151" s="39" t="str">
        <f t="shared" si="9"/>
        <v/>
      </c>
      <c r="I151" s="50" t="str">
        <f t="shared" si="10"/>
        <v/>
      </c>
      <c r="J151" s="24" t="str">
        <f t="shared" si="11"/>
        <v/>
      </c>
      <c r="K151" s="42"/>
    </row>
    <row r="152" spans="1:11">
      <c r="A152" s="24" t="str">
        <f t="shared" si="8"/>
        <v/>
      </c>
      <c r="B152" s="24" t="str">
        <f>IF(ROW()-4&lt;=MIN(N(_自动清单!$A$1),60),"包装物料",IF(ROW()-4&lt;=MIN(N(_自动清单!$A$1),60)+MIN(N(_自动清单!$BM$1),60),"筐子/托盘",""))</f>
        <v/>
      </c>
      <c r="C152" s="37" t="str">
        <f>IF($B152="","",IFERROR(IF($B152="包装物料",INDEX(_自动清单!$G$4:$G$63,ROW()-4),INDEX(_自动清单!$BQ$4:$BQ$63,ROW()-4-MIN(N(_自动清单!$A$1),60))),""))</f>
        <v/>
      </c>
      <c r="D152" s="24" t="str">
        <f>IF($B152&lt;&gt;"包装物料","",IFERROR(INDEX(_自动清单!$H$4:$H$63,ROW()-4),""))</f>
        <v/>
      </c>
      <c r="E152" s="24" t="str">
        <f>IF($B152="","",IF($B152="包装物料",IFERROR(INDEX(_自动清单!$I$4:$I$63,ROW()-4),""),"个"))</f>
        <v/>
      </c>
      <c r="F152" s="39" t="str">
        <f>IF($B152="","",IF($B152="包装物料",N(IFERROR(INDEX(物料库存结余!$L$4:$L$53,MATCH($C152,物料库存结余!$B$4:$B$53,0)),0)),N(IFERROR(INDEX(筐子库存汇总!$I$4:$I$63,MATCH($C152,筐子库存汇总!$B$4:$B$63,0)),0))))</f>
        <v/>
      </c>
      <c r="G152" s="39"/>
      <c r="H152" s="39" t="str">
        <f t="shared" si="9"/>
        <v/>
      </c>
      <c r="I152" s="50" t="str">
        <f t="shared" si="10"/>
        <v/>
      </c>
      <c r="J152" s="24" t="str">
        <f t="shared" si="11"/>
        <v/>
      </c>
      <c r="K152" s="42"/>
    </row>
    <row r="153" spans="1:11">
      <c r="A153" s="24" t="str">
        <f t="shared" si="8"/>
        <v/>
      </c>
      <c r="B153" s="24" t="str">
        <f>IF(ROW()-4&lt;=MIN(N(_自动清单!$A$1),60),"包装物料",IF(ROW()-4&lt;=MIN(N(_自动清单!$A$1),60)+MIN(N(_自动清单!$BM$1),60),"筐子/托盘",""))</f>
        <v/>
      </c>
      <c r="C153" s="37" t="str">
        <f>IF($B153="","",IFERROR(IF($B153="包装物料",INDEX(_自动清单!$G$4:$G$63,ROW()-4),INDEX(_自动清单!$BQ$4:$BQ$63,ROW()-4-MIN(N(_自动清单!$A$1),60))),""))</f>
        <v/>
      </c>
      <c r="D153" s="24" t="str">
        <f>IF($B153&lt;&gt;"包装物料","",IFERROR(INDEX(_自动清单!$H$4:$H$63,ROW()-4),""))</f>
        <v/>
      </c>
      <c r="E153" s="24" t="str">
        <f>IF($B153="","",IF($B153="包装物料",IFERROR(INDEX(_自动清单!$I$4:$I$63,ROW()-4),""),"个"))</f>
        <v/>
      </c>
      <c r="F153" s="39" t="str">
        <f>IF($B153="","",IF($B153="包装物料",N(IFERROR(INDEX(物料库存结余!$L$4:$L$53,MATCH($C153,物料库存结余!$B$4:$B$53,0)),0)),N(IFERROR(INDEX(筐子库存汇总!$I$4:$I$63,MATCH($C153,筐子库存汇总!$B$4:$B$63,0)),0))))</f>
        <v/>
      </c>
      <c r="G153" s="39"/>
      <c r="H153" s="39" t="str">
        <f t="shared" si="9"/>
        <v/>
      </c>
      <c r="I153" s="50" t="str">
        <f t="shared" si="10"/>
        <v/>
      </c>
      <c r="J153" s="24" t="str">
        <f t="shared" si="11"/>
        <v/>
      </c>
      <c r="K153" s="42"/>
    </row>
    <row r="154" spans="1:11">
      <c r="A154" s="24" t="str">
        <f t="shared" si="8"/>
        <v/>
      </c>
      <c r="B154" s="24" t="str">
        <f>IF(ROW()-4&lt;=MIN(N(_自动清单!$A$1),60),"包装物料",IF(ROW()-4&lt;=MIN(N(_自动清单!$A$1),60)+MIN(N(_自动清单!$BM$1),60),"筐子/托盘",""))</f>
        <v/>
      </c>
      <c r="C154" s="37" t="str">
        <f>IF($B154="","",IFERROR(IF($B154="包装物料",INDEX(_自动清单!$G$4:$G$63,ROW()-4),INDEX(_自动清单!$BQ$4:$BQ$63,ROW()-4-MIN(N(_自动清单!$A$1),60))),""))</f>
        <v/>
      </c>
      <c r="D154" s="24" t="str">
        <f>IF($B154&lt;&gt;"包装物料","",IFERROR(INDEX(_自动清单!$H$4:$H$63,ROW()-4),""))</f>
        <v/>
      </c>
      <c r="E154" s="24" t="str">
        <f>IF($B154="","",IF($B154="包装物料",IFERROR(INDEX(_自动清单!$I$4:$I$63,ROW()-4),""),"个"))</f>
        <v/>
      </c>
      <c r="F154" s="39" t="str">
        <f>IF($B154="","",IF($B154="包装物料",N(IFERROR(INDEX(物料库存结余!$L$4:$L$53,MATCH($C154,物料库存结余!$B$4:$B$53,0)),0)),N(IFERROR(INDEX(筐子库存汇总!$I$4:$I$63,MATCH($C154,筐子库存汇总!$B$4:$B$63,0)),0))))</f>
        <v/>
      </c>
      <c r="G154" s="39"/>
      <c r="H154" s="39" t="str">
        <f t="shared" si="9"/>
        <v/>
      </c>
      <c r="I154" s="50" t="str">
        <f t="shared" si="10"/>
        <v/>
      </c>
      <c r="J154" s="24" t="str">
        <f t="shared" si="11"/>
        <v/>
      </c>
      <c r="K154" s="42"/>
    </row>
    <row r="155" spans="1:11">
      <c r="A155" s="24" t="str">
        <f t="shared" si="8"/>
        <v/>
      </c>
      <c r="B155" s="24" t="str">
        <f>IF(ROW()-4&lt;=MIN(N(_自动清单!$A$1),60),"包装物料",IF(ROW()-4&lt;=MIN(N(_自动清单!$A$1),60)+MIN(N(_自动清单!$BM$1),60),"筐子/托盘",""))</f>
        <v/>
      </c>
      <c r="C155" s="37" t="str">
        <f>IF($B155="","",IFERROR(IF($B155="包装物料",INDEX(_自动清单!$G$4:$G$63,ROW()-4),INDEX(_自动清单!$BQ$4:$BQ$63,ROW()-4-MIN(N(_自动清单!$A$1),60))),""))</f>
        <v/>
      </c>
      <c r="D155" s="24" t="str">
        <f>IF($B155&lt;&gt;"包装物料","",IFERROR(INDEX(_自动清单!$H$4:$H$63,ROW()-4),""))</f>
        <v/>
      </c>
      <c r="E155" s="24" t="str">
        <f>IF($B155="","",IF($B155="包装物料",IFERROR(INDEX(_自动清单!$I$4:$I$63,ROW()-4),""),"个"))</f>
        <v/>
      </c>
      <c r="F155" s="39" t="str">
        <f>IF($B155="","",IF($B155="包装物料",N(IFERROR(INDEX(物料库存结余!$L$4:$L$53,MATCH($C155,物料库存结余!$B$4:$B$53,0)),0)),N(IFERROR(INDEX(筐子库存汇总!$I$4:$I$63,MATCH($C155,筐子库存汇总!$B$4:$B$63,0)),0))))</f>
        <v/>
      </c>
      <c r="G155" s="39"/>
      <c r="H155" s="39" t="str">
        <f t="shared" si="9"/>
        <v/>
      </c>
      <c r="I155" s="50" t="str">
        <f t="shared" si="10"/>
        <v/>
      </c>
      <c r="J155" s="24" t="str">
        <f t="shared" si="11"/>
        <v/>
      </c>
      <c r="K155" s="42"/>
    </row>
    <row r="156" spans="1:11">
      <c r="A156" s="24" t="str">
        <f t="shared" si="8"/>
        <v/>
      </c>
      <c r="B156" s="24" t="str">
        <f>IF(ROW()-4&lt;=MIN(N(_自动清单!$A$1),60),"包装物料",IF(ROW()-4&lt;=MIN(N(_自动清单!$A$1),60)+MIN(N(_自动清单!$BM$1),60),"筐子/托盘",""))</f>
        <v/>
      </c>
      <c r="C156" s="37" t="str">
        <f>IF($B156="","",IFERROR(IF($B156="包装物料",INDEX(_自动清单!$G$4:$G$63,ROW()-4),INDEX(_自动清单!$BQ$4:$BQ$63,ROW()-4-MIN(N(_自动清单!$A$1),60))),""))</f>
        <v/>
      </c>
      <c r="D156" s="24" t="str">
        <f>IF($B156&lt;&gt;"包装物料","",IFERROR(INDEX(_自动清单!$H$4:$H$63,ROW()-4),""))</f>
        <v/>
      </c>
      <c r="E156" s="24" t="str">
        <f>IF($B156="","",IF($B156="包装物料",IFERROR(INDEX(_自动清单!$I$4:$I$63,ROW()-4),""),"个"))</f>
        <v/>
      </c>
      <c r="F156" s="39" t="str">
        <f>IF($B156="","",IF($B156="包装物料",N(IFERROR(INDEX(物料库存结余!$L$4:$L$53,MATCH($C156,物料库存结余!$B$4:$B$53,0)),0)),N(IFERROR(INDEX(筐子库存汇总!$I$4:$I$63,MATCH($C156,筐子库存汇总!$B$4:$B$63,0)),0))))</f>
        <v/>
      </c>
      <c r="G156" s="39"/>
      <c r="H156" s="39" t="str">
        <f t="shared" si="9"/>
        <v/>
      </c>
      <c r="I156" s="50" t="str">
        <f t="shared" si="10"/>
        <v/>
      </c>
      <c r="J156" s="24" t="str">
        <f t="shared" si="11"/>
        <v/>
      </c>
      <c r="K156" s="42"/>
    </row>
    <row r="157" spans="1:11">
      <c r="A157" s="24" t="str">
        <f t="shared" si="8"/>
        <v/>
      </c>
      <c r="B157" s="24" t="str">
        <f>IF(ROW()-4&lt;=MIN(N(_自动清单!$A$1),60),"包装物料",IF(ROW()-4&lt;=MIN(N(_自动清单!$A$1),60)+MIN(N(_自动清单!$BM$1),60),"筐子/托盘",""))</f>
        <v/>
      </c>
      <c r="C157" s="37" t="str">
        <f>IF($B157="","",IFERROR(IF($B157="包装物料",INDEX(_自动清单!$G$4:$G$63,ROW()-4),INDEX(_自动清单!$BQ$4:$BQ$63,ROW()-4-MIN(N(_自动清单!$A$1),60))),""))</f>
        <v/>
      </c>
      <c r="D157" s="24" t="str">
        <f>IF($B157&lt;&gt;"包装物料","",IFERROR(INDEX(_自动清单!$H$4:$H$63,ROW()-4),""))</f>
        <v/>
      </c>
      <c r="E157" s="24" t="str">
        <f>IF($B157="","",IF($B157="包装物料",IFERROR(INDEX(_自动清单!$I$4:$I$63,ROW()-4),""),"个"))</f>
        <v/>
      </c>
      <c r="F157" s="39" t="str">
        <f>IF($B157="","",IF($B157="包装物料",N(IFERROR(INDEX(物料库存结余!$L$4:$L$53,MATCH($C157,物料库存结余!$B$4:$B$53,0)),0)),N(IFERROR(INDEX(筐子库存汇总!$I$4:$I$63,MATCH($C157,筐子库存汇总!$B$4:$B$63,0)),0))))</f>
        <v/>
      </c>
      <c r="G157" s="39"/>
      <c r="H157" s="39" t="str">
        <f t="shared" si="9"/>
        <v/>
      </c>
      <c r="I157" s="50" t="str">
        <f t="shared" si="10"/>
        <v/>
      </c>
      <c r="J157" s="24" t="str">
        <f t="shared" si="11"/>
        <v/>
      </c>
      <c r="K157" s="42"/>
    </row>
    <row r="158" spans="1:11">
      <c r="A158" s="24" t="str">
        <f t="shared" si="8"/>
        <v/>
      </c>
      <c r="B158" s="24" t="str">
        <f>IF(ROW()-4&lt;=MIN(N(_自动清单!$A$1),60),"包装物料",IF(ROW()-4&lt;=MIN(N(_自动清单!$A$1),60)+MIN(N(_自动清单!$BM$1),60),"筐子/托盘",""))</f>
        <v/>
      </c>
      <c r="C158" s="37" t="str">
        <f>IF($B158="","",IFERROR(IF($B158="包装物料",INDEX(_自动清单!$G$4:$G$63,ROW()-4),INDEX(_自动清单!$BQ$4:$BQ$63,ROW()-4-MIN(N(_自动清单!$A$1),60))),""))</f>
        <v/>
      </c>
      <c r="D158" s="24" t="str">
        <f>IF($B158&lt;&gt;"包装物料","",IFERROR(INDEX(_自动清单!$H$4:$H$63,ROW()-4),""))</f>
        <v/>
      </c>
      <c r="E158" s="24" t="str">
        <f>IF($B158="","",IF($B158="包装物料",IFERROR(INDEX(_自动清单!$I$4:$I$63,ROW()-4),""),"个"))</f>
        <v/>
      </c>
      <c r="F158" s="39" t="str">
        <f>IF($B158="","",IF($B158="包装物料",N(IFERROR(INDEX(物料库存结余!$L$4:$L$53,MATCH($C158,物料库存结余!$B$4:$B$53,0)),0)),N(IFERROR(INDEX(筐子库存汇总!$I$4:$I$63,MATCH($C158,筐子库存汇总!$B$4:$B$63,0)),0))))</f>
        <v/>
      </c>
      <c r="G158" s="39"/>
      <c r="H158" s="39" t="str">
        <f t="shared" si="9"/>
        <v/>
      </c>
      <c r="I158" s="50" t="str">
        <f t="shared" si="10"/>
        <v/>
      </c>
      <c r="J158" s="24" t="str">
        <f t="shared" si="11"/>
        <v/>
      </c>
      <c r="K158" s="42"/>
    </row>
    <row r="159" spans="1:11">
      <c r="A159" s="24" t="str">
        <f t="shared" si="8"/>
        <v/>
      </c>
      <c r="B159" s="24" t="str">
        <f>IF(ROW()-4&lt;=MIN(N(_自动清单!$A$1),60),"包装物料",IF(ROW()-4&lt;=MIN(N(_自动清单!$A$1),60)+MIN(N(_自动清单!$BM$1),60),"筐子/托盘",""))</f>
        <v/>
      </c>
      <c r="C159" s="37" t="str">
        <f>IF($B159="","",IFERROR(IF($B159="包装物料",INDEX(_自动清单!$G$4:$G$63,ROW()-4),INDEX(_自动清单!$BQ$4:$BQ$63,ROW()-4-MIN(N(_自动清单!$A$1),60))),""))</f>
        <v/>
      </c>
      <c r="D159" s="24" t="str">
        <f>IF($B159&lt;&gt;"包装物料","",IFERROR(INDEX(_自动清单!$H$4:$H$63,ROW()-4),""))</f>
        <v/>
      </c>
      <c r="E159" s="24" t="str">
        <f>IF($B159="","",IF($B159="包装物料",IFERROR(INDEX(_自动清单!$I$4:$I$63,ROW()-4),""),"个"))</f>
        <v/>
      </c>
      <c r="F159" s="39" t="str">
        <f>IF($B159="","",IF($B159="包装物料",N(IFERROR(INDEX(物料库存结余!$L$4:$L$53,MATCH($C159,物料库存结余!$B$4:$B$53,0)),0)),N(IFERROR(INDEX(筐子库存汇总!$I$4:$I$63,MATCH($C159,筐子库存汇总!$B$4:$B$63,0)),0))))</f>
        <v/>
      </c>
      <c r="G159" s="39"/>
      <c r="H159" s="39" t="str">
        <f t="shared" si="9"/>
        <v/>
      </c>
      <c r="I159" s="50" t="str">
        <f t="shared" si="10"/>
        <v/>
      </c>
      <c r="J159" s="24" t="str">
        <f t="shared" si="11"/>
        <v/>
      </c>
      <c r="K159" s="42"/>
    </row>
    <row r="160" spans="1:11">
      <c r="A160" s="24" t="str">
        <f t="shared" si="8"/>
        <v/>
      </c>
      <c r="B160" s="24" t="str">
        <f>IF(ROW()-4&lt;=MIN(N(_自动清单!$A$1),60),"包装物料",IF(ROW()-4&lt;=MIN(N(_自动清单!$A$1),60)+MIN(N(_自动清单!$BM$1),60),"筐子/托盘",""))</f>
        <v/>
      </c>
      <c r="C160" s="37" t="str">
        <f>IF($B160="","",IFERROR(IF($B160="包装物料",INDEX(_自动清单!$G$4:$G$63,ROW()-4),INDEX(_自动清单!$BQ$4:$BQ$63,ROW()-4-MIN(N(_自动清单!$A$1),60))),""))</f>
        <v/>
      </c>
      <c r="D160" s="24" t="str">
        <f>IF($B160&lt;&gt;"包装物料","",IFERROR(INDEX(_自动清单!$H$4:$H$63,ROW()-4),""))</f>
        <v/>
      </c>
      <c r="E160" s="24" t="str">
        <f>IF($B160="","",IF($B160="包装物料",IFERROR(INDEX(_自动清单!$I$4:$I$63,ROW()-4),""),"个"))</f>
        <v/>
      </c>
      <c r="F160" s="39" t="str">
        <f>IF($B160="","",IF($B160="包装物料",N(IFERROR(INDEX(物料库存结余!$L$4:$L$53,MATCH($C160,物料库存结余!$B$4:$B$53,0)),0)),N(IFERROR(INDEX(筐子库存汇总!$I$4:$I$63,MATCH($C160,筐子库存汇总!$B$4:$B$63,0)),0))))</f>
        <v/>
      </c>
      <c r="G160" s="39"/>
      <c r="H160" s="39" t="str">
        <f t="shared" si="9"/>
        <v/>
      </c>
      <c r="I160" s="50" t="str">
        <f t="shared" si="10"/>
        <v/>
      </c>
      <c r="J160" s="24" t="str">
        <f t="shared" si="11"/>
        <v/>
      </c>
      <c r="K160" s="42"/>
    </row>
    <row r="161" spans="1:11">
      <c r="A161" s="24" t="str">
        <f t="shared" si="8"/>
        <v/>
      </c>
      <c r="B161" s="24" t="str">
        <f>IF(ROW()-4&lt;=MIN(N(_自动清单!$A$1),60),"包装物料",IF(ROW()-4&lt;=MIN(N(_自动清单!$A$1),60)+MIN(N(_自动清单!$BM$1),60),"筐子/托盘",""))</f>
        <v/>
      </c>
      <c r="C161" s="37" t="str">
        <f>IF($B161="","",IFERROR(IF($B161="包装物料",INDEX(_自动清单!$G$4:$G$63,ROW()-4),INDEX(_自动清单!$BQ$4:$BQ$63,ROW()-4-MIN(N(_自动清单!$A$1),60))),""))</f>
        <v/>
      </c>
      <c r="D161" s="24" t="str">
        <f>IF($B161&lt;&gt;"包装物料","",IFERROR(INDEX(_自动清单!$H$4:$H$63,ROW()-4),""))</f>
        <v/>
      </c>
      <c r="E161" s="24" t="str">
        <f>IF($B161="","",IF($B161="包装物料",IFERROR(INDEX(_自动清单!$I$4:$I$63,ROW()-4),""),"个"))</f>
        <v/>
      </c>
      <c r="F161" s="39" t="str">
        <f>IF($B161="","",IF($B161="包装物料",N(IFERROR(INDEX(物料库存结余!$L$4:$L$53,MATCH($C161,物料库存结余!$B$4:$B$53,0)),0)),N(IFERROR(INDEX(筐子库存汇总!$I$4:$I$63,MATCH($C161,筐子库存汇总!$B$4:$B$63,0)),0))))</f>
        <v/>
      </c>
      <c r="G161" s="39"/>
      <c r="H161" s="39" t="str">
        <f t="shared" si="9"/>
        <v/>
      </c>
      <c r="I161" s="50" t="str">
        <f t="shared" si="10"/>
        <v/>
      </c>
      <c r="J161" s="24" t="str">
        <f t="shared" si="11"/>
        <v/>
      </c>
      <c r="K161" s="42"/>
    </row>
    <row r="162" spans="1:11">
      <c r="A162" s="24" t="str">
        <f t="shared" si="8"/>
        <v/>
      </c>
      <c r="B162" s="24" t="str">
        <f>IF(ROW()-4&lt;=MIN(N(_自动清单!$A$1),60),"包装物料",IF(ROW()-4&lt;=MIN(N(_自动清单!$A$1),60)+MIN(N(_自动清单!$BM$1),60),"筐子/托盘",""))</f>
        <v/>
      </c>
      <c r="C162" s="37" t="str">
        <f>IF($B162="","",IFERROR(IF($B162="包装物料",INDEX(_自动清单!$G$4:$G$63,ROW()-4),INDEX(_自动清单!$BQ$4:$BQ$63,ROW()-4-MIN(N(_自动清单!$A$1),60))),""))</f>
        <v/>
      </c>
      <c r="D162" s="24" t="str">
        <f>IF($B162&lt;&gt;"包装物料","",IFERROR(INDEX(_自动清单!$H$4:$H$63,ROW()-4),""))</f>
        <v/>
      </c>
      <c r="E162" s="24" t="str">
        <f>IF($B162="","",IF($B162="包装物料",IFERROR(INDEX(_自动清单!$I$4:$I$63,ROW()-4),""),"个"))</f>
        <v/>
      </c>
      <c r="F162" s="39" t="str">
        <f>IF($B162="","",IF($B162="包装物料",N(IFERROR(INDEX(物料库存结余!$L$4:$L$53,MATCH($C162,物料库存结余!$B$4:$B$53,0)),0)),N(IFERROR(INDEX(筐子库存汇总!$I$4:$I$63,MATCH($C162,筐子库存汇总!$B$4:$B$63,0)),0))))</f>
        <v/>
      </c>
      <c r="G162" s="39"/>
      <c r="H162" s="39" t="str">
        <f t="shared" si="9"/>
        <v/>
      </c>
      <c r="I162" s="50" t="str">
        <f t="shared" si="10"/>
        <v/>
      </c>
      <c r="J162" s="24" t="str">
        <f t="shared" si="11"/>
        <v/>
      </c>
      <c r="K162" s="42"/>
    </row>
    <row r="163" spans="1:11">
      <c r="A163" s="24" t="str">
        <f t="shared" si="8"/>
        <v/>
      </c>
      <c r="B163" s="24" t="str">
        <f>IF(ROW()-4&lt;=MIN(N(_自动清单!$A$1),60),"包装物料",IF(ROW()-4&lt;=MIN(N(_自动清单!$A$1),60)+MIN(N(_自动清单!$BM$1),60),"筐子/托盘",""))</f>
        <v/>
      </c>
      <c r="C163" s="37" t="str">
        <f>IF($B163="","",IFERROR(IF($B163="包装物料",INDEX(_自动清单!$G$4:$G$63,ROW()-4),INDEX(_自动清单!$BQ$4:$BQ$63,ROW()-4-MIN(N(_自动清单!$A$1),60))),""))</f>
        <v/>
      </c>
      <c r="D163" s="24" t="str">
        <f>IF($B163&lt;&gt;"包装物料","",IFERROR(INDEX(_自动清单!$H$4:$H$63,ROW()-4),""))</f>
        <v/>
      </c>
      <c r="E163" s="24" t="str">
        <f>IF($B163="","",IF($B163="包装物料",IFERROR(INDEX(_自动清单!$I$4:$I$63,ROW()-4),""),"个"))</f>
        <v/>
      </c>
      <c r="F163" s="39" t="str">
        <f>IF($B163="","",IF($B163="包装物料",N(IFERROR(INDEX(物料库存结余!$L$4:$L$53,MATCH($C163,物料库存结余!$B$4:$B$53,0)),0)),N(IFERROR(INDEX(筐子库存汇总!$I$4:$I$63,MATCH($C163,筐子库存汇总!$B$4:$B$63,0)),0))))</f>
        <v/>
      </c>
      <c r="G163" s="39"/>
      <c r="H163" s="39" t="str">
        <f t="shared" si="9"/>
        <v/>
      </c>
      <c r="I163" s="50" t="str">
        <f t="shared" si="10"/>
        <v/>
      </c>
      <c r="J163" s="24" t="str">
        <f t="shared" si="11"/>
        <v/>
      </c>
      <c r="K163" s="42"/>
    </row>
    <row r="164" spans="1:11">
      <c r="A164" s="24" t="str">
        <f t="shared" si="8"/>
        <v/>
      </c>
      <c r="B164" s="24" t="str">
        <f>IF(ROW()-4&lt;=MIN(N(_自动清单!$A$1),60),"包装物料",IF(ROW()-4&lt;=MIN(N(_自动清单!$A$1),60)+MIN(N(_自动清单!$BM$1),60),"筐子/托盘",""))</f>
        <v/>
      </c>
      <c r="C164" s="37" t="str">
        <f>IF($B164="","",IFERROR(IF($B164="包装物料",INDEX(_自动清单!$G$4:$G$63,ROW()-4),INDEX(_自动清单!$BQ$4:$BQ$63,ROW()-4-MIN(N(_自动清单!$A$1),60))),""))</f>
        <v/>
      </c>
      <c r="D164" s="24" t="str">
        <f>IF($B164&lt;&gt;"包装物料","",IFERROR(INDEX(_自动清单!$H$4:$H$63,ROW()-4),""))</f>
        <v/>
      </c>
      <c r="E164" s="24" t="str">
        <f>IF($B164="","",IF($B164="包装物料",IFERROR(INDEX(_自动清单!$I$4:$I$63,ROW()-4),""),"个"))</f>
        <v/>
      </c>
      <c r="F164" s="39" t="str">
        <f>IF($B164="","",IF($B164="包装物料",N(IFERROR(INDEX(物料库存结余!$L$4:$L$53,MATCH($C164,物料库存结余!$B$4:$B$53,0)),0)),N(IFERROR(INDEX(筐子库存汇总!$I$4:$I$63,MATCH($C164,筐子库存汇总!$B$4:$B$63,0)),0))))</f>
        <v/>
      </c>
      <c r="G164" s="39"/>
      <c r="H164" s="39" t="str">
        <f t="shared" si="9"/>
        <v/>
      </c>
      <c r="I164" s="50" t="str">
        <f t="shared" si="10"/>
        <v/>
      </c>
      <c r="J164" s="24" t="str">
        <f t="shared" si="11"/>
        <v/>
      </c>
      <c r="K164" s="42"/>
    </row>
    <row r="165" spans="1:11">
      <c r="A165" s="24" t="str">
        <f t="shared" si="8"/>
        <v/>
      </c>
      <c r="B165" s="24" t="str">
        <f>IF(ROW()-4&lt;=MIN(N(_自动清单!$A$1),60),"包装物料",IF(ROW()-4&lt;=MIN(N(_自动清单!$A$1),60)+MIN(N(_自动清单!$BM$1),60),"筐子/托盘",""))</f>
        <v/>
      </c>
      <c r="C165" s="37" t="str">
        <f>IF($B165="","",IFERROR(IF($B165="包装物料",INDEX(_自动清单!$G$4:$G$63,ROW()-4),INDEX(_自动清单!$BQ$4:$BQ$63,ROW()-4-MIN(N(_自动清单!$A$1),60))),""))</f>
        <v/>
      </c>
      <c r="D165" s="24" t="str">
        <f>IF($B165&lt;&gt;"包装物料","",IFERROR(INDEX(_自动清单!$H$4:$H$63,ROW()-4),""))</f>
        <v/>
      </c>
      <c r="E165" s="24" t="str">
        <f>IF($B165="","",IF($B165="包装物料",IFERROR(INDEX(_自动清单!$I$4:$I$63,ROW()-4),""),"个"))</f>
        <v/>
      </c>
      <c r="F165" s="39" t="str">
        <f>IF($B165="","",IF($B165="包装物料",N(IFERROR(INDEX(物料库存结余!$L$4:$L$53,MATCH($C165,物料库存结余!$B$4:$B$53,0)),0)),N(IFERROR(INDEX(筐子库存汇总!$I$4:$I$63,MATCH($C165,筐子库存汇总!$B$4:$B$63,0)),0))))</f>
        <v/>
      </c>
      <c r="G165" s="39"/>
      <c r="H165" s="39" t="str">
        <f t="shared" si="9"/>
        <v/>
      </c>
      <c r="I165" s="50" t="str">
        <f t="shared" si="10"/>
        <v/>
      </c>
      <c r="J165" s="24" t="str">
        <f t="shared" si="11"/>
        <v/>
      </c>
      <c r="K165" s="42"/>
    </row>
    <row r="166" spans="1:11">
      <c r="A166" s="24" t="str">
        <f t="shared" si="8"/>
        <v/>
      </c>
      <c r="B166" s="24" t="str">
        <f>IF(ROW()-4&lt;=MIN(N(_自动清单!$A$1),60),"包装物料",IF(ROW()-4&lt;=MIN(N(_自动清单!$A$1),60)+MIN(N(_自动清单!$BM$1),60),"筐子/托盘",""))</f>
        <v/>
      </c>
      <c r="C166" s="37" t="str">
        <f>IF($B166="","",IFERROR(IF($B166="包装物料",INDEX(_自动清单!$G$4:$G$63,ROW()-4),INDEX(_自动清单!$BQ$4:$BQ$63,ROW()-4-MIN(N(_自动清单!$A$1),60))),""))</f>
        <v/>
      </c>
      <c r="D166" s="24" t="str">
        <f>IF($B166&lt;&gt;"包装物料","",IFERROR(INDEX(_自动清单!$H$4:$H$63,ROW()-4),""))</f>
        <v/>
      </c>
      <c r="E166" s="24" t="str">
        <f>IF($B166="","",IF($B166="包装物料",IFERROR(INDEX(_自动清单!$I$4:$I$63,ROW()-4),""),"个"))</f>
        <v/>
      </c>
      <c r="F166" s="39" t="str">
        <f>IF($B166="","",IF($B166="包装物料",N(IFERROR(INDEX(物料库存结余!$L$4:$L$53,MATCH($C166,物料库存结余!$B$4:$B$53,0)),0)),N(IFERROR(INDEX(筐子库存汇总!$I$4:$I$63,MATCH($C166,筐子库存汇总!$B$4:$B$63,0)),0))))</f>
        <v/>
      </c>
      <c r="G166" s="39"/>
      <c r="H166" s="39" t="str">
        <f t="shared" si="9"/>
        <v/>
      </c>
      <c r="I166" s="50" t="str">
        <f t="shared" si="10"/>
        <v/>
      </c>
      <c r="J166" s="24" t="str">
        <f t="shared" si="11"/>
        <v/>
      </c>
      <c r="K166" s="42"/>
    </row>
    <row r="167" spans="1:11">
      <c r="A167" s="24" t="str">
        <f t="shared" si="8"/>
        <v/>
      </c>
      <c r="B167" s="24" t="str">
        <f>IF(ROW()-4&lt;=MIN(N(_自动清单!$A$1),60),"包装物料",IF(ROW()-4&lt;=MIN(N(_自动清单!$A$1),60)+MIN(N(_自动清单!$BM$1),60),"筐子/托盘",""))</f>
        <v/>
      </c>
      <c r="C167" s="37" t="str">
        <f>IF($B167="","",IFERROR(IF($B167="包装物料",INDEX(_自动清单!$G$4:$G$63,ROW()-4),INDEX(_自动清单!$BQ$4:$BQ$63,ROW()-4-MIN(N(_自动清单!$A$1),60))),""))</f>
        <v/>
      </c>
      <c r="D167" s="24" t="str">
        <f>IF($B167&lt;&gt;"包装物料","",IFERROR(INDEX(_自动清单!$H$4:$H$63,ROW()-4),""))</f>
        <v/>
      </c>
      <c r="E167" s="24" t="str">
        <f>IF($B167="","",IF($B167="包装物料",IFERROR(INDEX(_自动清单!$I$4:$I$63,ROW()-4),""),"个"))</f>
        <v/>
      </c>
      <c r="F167" s="39" t="str">
        <f>IF($B167="","",IF($B167="包装物料",N(IFERROR(INDEX(物料库存结余!$L$4:$L$53,MATCH($C167,物料库存结余!$B$4:$B$53,0)),0)),N(IFERROR(INDEX(筐子库存汇总!$I$4:$I$63,MATCH($C167,筐子库存汇总!$B$4:$B$63,0)),0))))</f>
        <v/>
      </c>
      <c r="G167" s="39"/>
      <c r="H167" s="39" t="str">
        <f t="shared" si="9"/>
        <v/>
      </c>
      <c r="I167" s="50" t="str">
        <f t="shared" si="10"/>
        <v/>
      </c>
      <c r="J167" s="24" t="str">
        <f t="shared" si="11"/>
        <v/>
      </c>
      <c r="K167" s="42"/>
    </row>
    <row r="168" spans="1:11">
      <c r="A168" s="24" t="str">
        <f t="shared" si="8"/>
        <v/>
      </c>
      <c r="B168" s="24" t="str">
        <f>IF(ROW()-4&lt;=MIN(N(_自动清单!$A$1),60),"包装物料",IF(ROW()-4&lt;=MIN(N(_自动清单!$A$1),60)+MIN(N(_自动清单!$BM$1),60),"筐子/托盘",""))</f>
        <v/>
      </c>
      <c r="C168" s="37" t="str">
        <f>IF($B168="","",IFERROR(IF($B168="包装物料",INDEX(_自动清单!$G$4:$G$63,ROW()-4),INDEX(_自动清单!$BQ$4:$BQ$63,ROW()-4-MIN(N(_自动清单!$A$1),60))),""))</f>
        <v/>
      </c>
      <c r="D168" s="24" t="str">
        <f>IF($B168&lt;&gt;"包装物料","",IFERROR(INDEX(_自动清单!$H$4:$H$63,ROW()-4),""))</f>
        <v/>
      </c>
      <c r="E168" s="24" t="str">
        <f>IF($B168="","",IF($B168="包装物料",IFERROR(INDEX(_自动清单!$I$4:$I$63,ROW()-4),""),"个"))</f>
        <v/>
      </c>
      <c r="F168" s="39" t="str">
        <f>IF($B168="","",IF($B168="包装物料",N(IFERROR(INDEX(物料库存结余!$L$4:$L$53,MATCH($C168,物料库存结余!$B$4:$B$53,0)),0)),N(IFERROR(INDEX(筐子库存汇总!$I$4:$I$63,MATCH($C168,筐子库存汇总!$B$4:$B$63,0)),0))))</f>
        <v/>
      </c>
      <c r="G168" s="39"/>
      <c r="H168" s="39" t="str">
        <f t="shared" si="9"/>
        <v/>
      </c>
      <c r="I168" s="50" t="str">
        <f t="shared" si="10"/>
        <v/>
      </c>
      <c r="J168" s="24" t="str">
        <f t="shared" si="11"/>
        <v/>
      </c>
      <c r="K168" s="42"/>
    </row>
    <row r="169" spans="1:11">
      <c r="A169" s="24" t="str">
        <f t="shared" si="8"/>
        <v/>
      </c>
      <c r="B169" s="24" t="str">
        <f>IF(ROW()-4&lt;=MIN(N(_自动清单!$A$1),60),"包装物料",IF(ROW()-4&lt;=MIN(N(_自动清单!$A$1),60)+MIN(N(_自动清单!$BM$1),60),"筐子/托盘",""))</f>
        <v/>
      </c>
      <c r="C169" s="37" t="str">
        <f>IF($B169="","",IFERROR(IF($B169="包装物料",INDEX(_自动清单!$G$4:$G$63,ROW()-4),INDEX(_自动清单!$BQ$4:$BQ$63,ROW()-4-MIN(N(_自动清单!$A$1),60))),""))</f>
        <v/>
      </c>
      <c r="D169" s="24" t="str">
        <f>IF($B169&lt;&gt;"包装物料","",IFERROR(INDEX(_自动清单!$H$4:$H$63,ROW()-4),""))</f>
        <v/>
      </c>
      <c r="E169" s="24" t="str">
        <f>IF($B169="","",IF($B169="包装物料",IFERROR(INDEX(_自动清单!$I$4:$I$63,ROW()-4),""),"个"))</f>
        <v/>
      </c>
      <c r="F169" s="39" t="str">
        <f>IF($B169="","",IF($B169="包装物料",N(IFERROR(INDEX(物料库存结余!$L$4:$L$53,MATCH($C169,物料库存结余!$B$4:$B$53,0)),0)),N(IFERROR(INDEX(筐子库存汇总!$I$4:$I$63,MATCH($C169,筐子库存汇总!$B$4:$B$63,0)),0))))</f>
        <v/>
      </c>
      <c r="G169" s="39"/>
      <c r="H169" s="39" t="str">
        <f t="shared" si="9"/>
        <v/>
      </c>
      <c r="I169" s="50" t="str">
        <f t="shared" si="10"/>
        <v/>
      </c>
      <c r="J169" s="24" t="str">
        <f t="shared" si="11"/>
        <v/>
      </c>
      <c r="K169" s="42"/>
    </row>
    <row r="170" spans="1:11">
      <c r="A170" s="24" t="str">
        <f t="shared" si="8"/>
        <v/>
      </c>
      <c r="B170" s="24" t="str">
        <f>IF(ROW()-4&lt;=MIN(N(_自动清单!$A$1),60),"包装物料",IF(ROW()-4&lt;=MIN(N(_自动清单!$A$1),60)+MIN(N(_自动清单!$BM$1),60),"筐子/托盘",""))</f>
        <v/>
      </c>
      <c r="C170" s="37" t="str">
        <f>IF($B170="","",IFERROR(IF($B170="包装物料",INDEX(_自动清单!$G$4:$G$63,ROW()-4),INDEX(_自动清单!$BQ$4:$BQ$63,ROW()-4-MIN(N(_自动清单!$A$1),60))),""))</f>
        <v/>
      </c>
      <c r="D170" s="24" t="str">
        <f>IF($B170&lt;&gt;"包装物料","",IFERROR(INDEX(_自动清单!$H$4:$H$63,ROW()-4),""))</f>
        <v/>
      </c>
      <c r="E170" s="24" t="str">
        <f>IF($B170="","",IF($B170="包装物料",IFERROR(INDEX(_自动清单!$I$4:$I$63,ROW()-4),""),"个"))</f>
        <v/>
      </c>
      <c r="F170" s="39" t="str">
        <f>IF($B170="","",IF($B170="包装物料",N(IFERROR(INDEX(物料库存结余!$L$4:$L$53,MATCH($C170,物料库存结余!$B$4:$B$53,0)),0)),N(IFERROR(INDEX(筐子库存汇总!$I$4:$I$63,MATCH($C170,筐子库存汇总!$B$4:$B$63,0)),0))))</f>
        <v/>
      </c>
      <c r="G170" s="39"/>
      <c r="H170" s="39" t="str">
        <f t="shared" si="9"/>
        <v/>
      </c>
      <c r="I170" s="50" t="str">
        <f t="shared" si="10"/>
        <v/>
      </c>
      <c r="J170" s="24" t="str">
        <f t="shared" si="11"/>
        <v/>
      </c>
      <c r="K170" s="42"/>
    </row>
    <row r="171" spans="1:11">
      <c r="A171" s="24" t="str">
        <f t="shared" si="8"/>
        <v/>
      </c>
      <c r="B171" s="24" t="str">
        <f>IF(ROW()-4&lt;=MIN(N(_自动清单!$A$1),60),"包装物料",IF(ROW()-4&lt;=MIN(N(_自动清单!$A$1),60)+MIN(N(_自动清单!$BM$1),60),"筐子/托盘",""))</f>
        <v/>
      </c>
      <c r="C171" s="37" t="str">
        <f>IF($B171="","",IFERROR(IF($B171="包装物料",INDEX(_自动清单!$G$4:$G$63,ROW()-4),INDEX(_自动清单!$BQ$4:$BQ$63,ROW()-4-MIN(N(_自动清单!$A$1),60))),""))</f>
        <v/>
      </c>
      <c r="D171" s="24" t="str">
        <f>IF($B171&lt;&gt;"包装物料","",IFERROR(INDEX(_自动清单!$H$4:$H$63,ROW()-4),""))</f>
        <v/>
      </c>
      <c r="E171" s="24" t="str">
        <f>IF($B171="","",IF($B171="包装物料",IFERROR(INDEX(_自动清单!$I$4:$I$63,ROW()-4),""),"个"))</f>
        <v/>
      </c>
      <c r="F171" s="39" t="str">
        <f>IF($B171="","",IF($B171="包装物料",N(IFERROR(INDEX(物料库存结余!$L$4:$L$53,MATCH($C171,物料库存结余!$B$4:$B$53,0)),0)),N(IFERROR(INDEX(筐子库存汇总!$I$4:$I$63,MATCH($C171,筐子库存汇总!$B$4:$B$63,0)),0))))</f>
        <v/>
      </c>
      <c r="G171" s="39"/>
      <c r="H171" s="39" t="str">
        <f t="shared" si="9"/>
        <v/>
      </c>
      <c r="I171" s="50" t="str">
        <f t="shared" si="10"/>
        <v/>
      </c>
      <c r="J171" s="24" t="str">
        <f t="shared" si="11"/>
        <v/>
      </c>
      <c r="K171" s="42"/>
    </row>
    <row r="172" spans="1:11">
      <c r="A172" s="24" t="str">
        <f t="shared" si="8"/>
        <v/>
      </c>
      <c r="B172" s="24" t="str">
        <f>IF(ROW()-4&lt;=MIN(N(_自动清单!$A$1),60),"包装物料",IF(ROW()-4&lt;=MIN(N(_自动清单!$A$1),60)+MIN(N(_自动清单!$BM$1),60),"筐子/托盘",""))</f>
        <v/>
      </c>
      <c r="C172" s="37" t="str">
        <f>IF($B172="","",IFERROR(IF($B172="包装物料",INDEX(_自动清单!$G$4:$G$63,ROW()-4),INDEX(_自动清单!$BQ$4:$BQ$63,ROW()-4-MIN(N(_自动清单!$A$1),60))),""))</f>
        <v/>
      </c>
      <c r="D172" s="24" t="str">
        <f>IF($B172&lt;&gt;"包装物料","",IFERROR(INDEX(_自动清单!$H$4:$H$63,ROW()-4),""))</f>
        <v/>
      </c>
      <c r="E172" s="24" t="str">
        <f>IF($B172="","",IF($B172="包装物料",IFERROR(INDEX(_自动清单!$I$4:$I$63,ROW()-4),""),"个"))</f>
        <v/>
      </c>
      <c r="F172" s="39" t="str">
        <f>IF($B172="","",IF($B172="包装物料",N(IFERROR(INDEX(物料库存结余!$L$4:$L$53,MATCH($C172,物料库存结余!$B$4:$B$53,0)),0)),N(IFERROR(INDEX(筐子库存汇总!$I$4:$I$63,MATCH($C172,筐子库存汇总!$B$4:$B$63,0)),0))))</f>
        <v/>
      </c>
      <c r="G172" s="39"/>
      <c r="H172" s="39" t="str">
        <f t="shared" si="9"/>
        <v/>
      </c>
      <c r="I172" s="50" t="str">
        <f t="shared" si="10"/>
        <v/>
      </c>
      <c r="J172" s="24" t="str">
        <f t="shared" si="11"/>
        <v/>
      </c>
      <c r="K172" s="42"/>
    </row>
    <row r="173" spans="1:11">
      <c r="A173" s="24" t="str">
        <f t="shared" si="8"/>
        <v/>
      </c>
      <c r="B173" s="24" t="str">
        <f>IF(ROW()-4&lt;=MIN(N(_自动清单!$A$1),60),"包装物料",IF(ROW()-4&lt;=MIN(N(_自动清单!$A$1),60)+MIN(N(_自动清单!$BM$1),60),"筐子/托盘",""))</f>
        <v/>
      </c>
      <c r="C173" s="37" t="str">
        <f>IF($B173="","",IFERROR(IF($B173="包装物料",INDEX(_自动清单!$G$4:$G$63,ROW()-4),INDEX(_自动清单!$BQ$4:$BQ$63,ROW()-4-MIN(N(_自动清单!$A$1),60))),""))</f>
        <v/>
      </c>
      <c r="D173" s="24" t="str">
        <f>IF($B173&lt;&gt;"包装物料","",IFERROR(INDEX(_自动清单!$H$4:$H$63,ROW()-4),""))</f>
        <v/>
      </c>
      <c r="E173" s="24" t="str">
        <f>IF($B173="","",IF($B173="包装物料",IFERROR(INDEX(_自动清单!$I$4:$I$63,ROW()-4),""),"个"))</f>
        <v/>
      </c>
      <c r="F173" s="39" t="str">
        <f>IF($B173="","",IF($B173="包装物料",N(IFERROR(INDEX(物料库存结余!$L$4:$L$53,MATCH($C173,物料库存结余!$B$4:$B$53,0)),0)),N(IFERROR(INDEX(筐子库存汇总!$I$4:$I$63,MATCH($C173,筐子库存汇总!$B$4:$B$63,0)),0))))</f>
        <v/>
      </c>
      <c r="G173" s="39"/>
      <c r="H173" s="39" t="str">
        <f t="shared" si="9"/>
        <v/>
      </c>
      <c r="I173" s="50" t="str">
        <f t="shared" si="10"/>
        <v/>
      </c>
      <c r="J173" s="24" t="str">
        <f t="shared" si="11"/>
        <v/>
      </c>
      <c r="K173" s="42"/>
    </row>
    <row r="174" spans="1:11">
      <c r="A174" s="24" t="str">
        <f t="shared" si="8"/>
        <v/>
      </c>
      <c r="B174" s="24" t="str">
        <f>IF(ROW()-4&lt;=MIN(N(_自动清单!$A$1),60),"包装物料",IF(ROW()-4&lt;=MIN(N(_自动清单!$A$1),60)+MIN(N(_自动清单!$BM$1),60),"筐子/托盘",""))</f>
        <v/>
      </c>
      <c r="C174" s="37" t="str">
        <f>IF($B174="","",IFERROR(IF($B174="包装物料",INDEX(_自动清单!$G$4:$G$63,ROW()-4),INDEX(_自动清单!$BQ$4:$BQ$63,ROW()-4-MIN(N(_自动清单!$A$1),60))),""))</f>
        <v/>
      </c>
      <c r="D174" s="24" t="str">
        <f>IF($B174&lt;&gt;"包装物料","",IFERROR(INDEX(_自动清单!$H$4:$H$63,ROW()-4),""))</f>
        <v/>
      </c>
      <c r="E174" s="24" t="str">
        <f>IF($B174="","",IF($B174="包装物料",IFERROR(INDEX(_自动清单!$I$4:$I$63,ROW()-4),""),"个"))</f>
        <v/>
      </c>
      <c r="F174" s="39" t="str">
        <f>IF($B174="","",IF($B174="包装物料",N(IFERROR(INDEX(物料库存结余!$L$4:$L$53,MATCH($C174,物料库存结余!$B$4:$B$53,0)),0)),N(IFERROR(INDEX(筐子库存汇总!$I$4:$I$63,MATCH($C174,筐子库存汇总!$B$4:$B$63,0)),0))))</f>
        <v/>
      </c>
      <c r="G174" s="39"/>
      <c r="H174" s="39" t="str">
        <f t="shared" si="9"/>
        <v/>
      </c>
      <c r="I174" s="50" t="str">
        <f t="shared" si="10"/>
        <v/>
      </c>
      <c r="J174" s="24" t="str">
        <f t="shared" si="11"/>
        <v/>
      </c>
      <c r="K174" s="42"/>
    </row>
    <row r="175" spans="1:11">
      <c r="A175" s="24" t="str">
        <f t="shared" si="8"/>
        <v/>
      </c>
      <c r="B175" s="24" t="str">
        <f>IF(ROW()-4&lt;=MIN(N(_自动清单!$A$1),60),"包装物料",IF(ROW()-4&lt;=MIN(N(_自动清单!$A$1),60)+MIN(N(_自动清单!$BM$1),60),"筐子/托盘",""))</f>
        <v/>
      </c>
      <c r="C175" s="37" t="str">
        <f>IF($B175="","",IFERROR(IF($B175="包装物料",INDEX(_自动清单!$G$4:$G$63,ROW()-4),INDEX(_自动清单!$BQ$4:$BQ$63,ROW()-4-MIN(N(_自动清单!$A$1),60))),""))</f>
        <v/>
      </c>
      <c r="D175" s="24" t="str">
        <f>IF($B175&lt;&gt;"包装物料","",IFERROR(INDEX(_自动清单!$H$4:$H$63,ROW()-4),""))</f>
        <v/>
      </c>
      <c r="E175" s="24" t="str">
        <f>IF($B175="","",IF($B175="包装物料",IFERROR(INDEX(_自动清单!$I$4:$I$63,ROW()-4),""),"个"))</f>
        <v/>
      </c>
      <c r="F175" s="39" t="str">
        <f>IF($B175="","",IF($B175="包装物料",N(IFERROR(INDEX(物料库存结余!$L$4:$L$53,MATCH($C175,物料库存结余!$B$4:$B$53,0)),0)),N(IFERROR(INDEX(筐子库存汇总!$I$4:$I$63,MATCH($C175,筐子库存汇总!$B$4:$B$63,0)),0))))</f>
        <v/>
      </c>
      <c r="G175" s="39"/>
      <c r="H175" s="39" t="str">
        <f t="shared" si="9"/>
        <v/>
      </c>
      <c r="I175" s="50" t="str">
        <f t="shared" si="10"/>
        <v/>
      </c>
      <c r="J175" s="24" t="str">
        <f t="shared" si="11"/>
        <v/>
      </c>
      <c r="K175" s="42"/>
    </row>
    <row r="176" spans="1:11">
      <c r="A176" s="24" t="str">
        <f t="shared" si="8"/>
        <v/>
      </c>
      <c r="B176" s="24" t="str">
        <f>IF(ROW()-4&lt;=MIN(N(_自动清单!$A$1),60),"包装物料",IF(ROW()-4&lt;=MIN(N(_自动清单!$A$1),60)+MIN(N(_自动清单!$BM$1),60),"筐子/托盘",""))</f>
        <v/>
      </c>
      <c r="C176" s="37" t="str">
        <f>IF($B176="","",IFERROR(IF($B176="包装物料",INDEX(_自动清单!$G$4:$G$63,ROW()-4),INDEX(_自动清单!$BQ$4:$BQ$63,ROW()-4-MIN(N(_自动清单!$A$1),60))),""))</f>
        <v/>
      </c>
      <c r="D176" s="24" t="str">
        <f>IF($B176&lt;&gt;"包装物料","",IFERROR(INDEX(_自动清单!$H$4:$H$63,ROW()-4),""))</f>
        <v/>
      </c>
      <c r="E176" s="24" t="str">
        <f>IF($B176="","",IF($B176="包装物料",IFERROR(INDEX(_自动清单!$I$4:$I$63,ROW()-4),""),"个"))</f>
        <v/>
      </c>
      <c r="F176" s="39" t="str">
        <f>IF($B176="","",IF($B176="包装物料",N(IFERROR(INDEX(物料库存结余!$L$4:$L$53,MATCH($C176,物料库存结余!$B$4:$B$53,0)),0)),N(IFERROR(INDEX(筐子库存汇总!$I$4:$I$63,MATCH($C176,筐子库存汇总!$B$4:$B$63,0)),0))))</f>
        <v/>
      </c>
      <c r="G176" s="39"/>
      <c r="H176" s="39" t="str">
        <f t="shared" si="9"/>
        <v/>
      </c>
      <c r="I176" s="50" t="str">
        <f t="shared" si="10"/>
        <v/>
      </c>
      <c r="J176" s="24" t="str">
        <f t="shared" si="11"/>
        <v/>
      </c>
      <c r="K176" s="42"/>
    </row>
    <row r="177" spans="1:11">
      <c r="A177" s="24" t="str">
        <f t="shared" si="8"/>
        <v/>
      </c>
      <c r="B177" s="24" t="str">
        <f>IF(ROW()-4&lt;=MIN(N(_自动清单!$A$1),60),"包装物料",IF(ROW()-4&lt;=MIN(N(_自动清单!$A$1),60)+MIN(N(_自动清单!$BM$1),60),"筐子/托盘",""))</f>
        <v/>
      </c>
      <c r="C177" s="37" t="str">
        <f>IF($B177="","",IFERROR(IF($B177="包装物料",INDEX(_自动清单!$G$4:$G$63,ROW()-4),INDEX(_自动清单!$BQ$4:$BQ$63,ROW()-4-MIN(N(_自动清单!$A$1),60))),""))</f>
        <v/>
      </c>
      <c r="D177" s="24" t="str">
        <f>IF($B177&lt;&gt;"包装物料","",IFERROR(INDEX(_自动清单!$H$4:$H$63,ROW()-4),""))</f>
        <v/>
      </c>
      <c r="E177" s="24" t="str">
        <f>IF($B177="","",IF($B177="包装物料",IFERROR(INDEX(_自动清单!$I$4:$I$63,ROW()-4),""),"个"))</f>
        <v/>
      </c>
      <c r="F177" s="39" t="str">
        <f>IF($B177="","",IF($B177="包装物料",N(IFERROR(INDEX(物料库存结余!$L$4:$L$53,MATCH($C177,物料库存结余!$B$4:$B$53,0)),0)),N(IFERROR(INDEX(筐子库存汇总!$I$4:$I$63,MATCH($C177,筐子库存汇总!$B$4:$B$63,0)),0))))</f>
        <v/>
      </c>
      <c r="G177" s="39"/>
      <c r="H177" s="39" t="str">
        <f t="shared" si="9"/>
        <v/>
      </c>
      <c r="I177" s="50" t="str">
        <f t="shared" si="10"/>
        <v/>
      </c>
      <c r="J177" s="24" t="str">
        <f t="shared" si="11"/>
        <v/>
      </c>
      <c r="K177" s="42"/>
    </row>
    <row r="178" spans="1:11">
      <c r="A178" s="24" t="str">
        <f t="shared" si="8"/>
        <v/>
      </c>
      <c r="B178" s="24" t="str">
        <f>IF(ROW()-4&lt;=MIN(N(_自动清单!$A$1),60),"包装物料",IF(ROW()-4&lt;=MIN(N(_自动清单!$A$1),60)+MIN(N(_自动清单!$BM$1),60),"筐子/托盘",""))</f>
        <v/>
      </c>
      <c r="C178" s="37" t="str">
        <f>IF($B178="","",IFERROR(IF($B178="包装物料",INDEX(_自动清单!$G$4:$G$63,ROW()-4),INDEX(_自动清单!$BQ$4:$BQ$63,ROW()-4-MIN(N(_自动清单!$A$1),60))),""))</f>
        <v/>
      </c>
      <c r="D178" s="24" t="str">
        <f>IF($B178&lt;&gt;"包装物料","",IFERROR(INDEX(_自动清单!$H$4:$H$63,ROW()-4),""))</f>
        <v/>
      </c>
      <c r="E178" s="24" t="str">
        <f>IF($B178="","",IF($B178="包装物料",IFERROR(INDEX(_自动清单!$I$4:$I$63,ROW()-4),""),"个"))</f>
        <v/>
      </c>
      <c r="F178" s="39" t="str">
        <f>IF($B178="","",IF($B178="包装物料",N(IFERROR(INDEX(物料库存结余!$L$4:$L$53,MATCH($C178,物料库存结余!$B$4:$B$53,0)),0)),N(IFERROR(INDEX(筐子库存汇总!$I$4:$I$63,MATCH($C178,筐子库存汇总!$B$4:$B$63,0)),0))))</f>
        <v/>
      </c>
      <c r="G178" s="39"/>
      <c r="H178" s="39" t="str">
        <f t="shared" si="9"/>
        <v/>
      </c>
      <c r="I178" s="50" t="str">
        <f t="shared" si="10"/>
        <v/>
      </c>
      <c r="J178" s="24" t="str">
        <f t="shared" si="11"/>
        <v/>
      </c>
      <c r="K178" s="42"/>
    </row>
    <row r="179" spans="1:11">
      <c r="A179" s="24" t="str">
        <f t="shared" si="8"/>
        <v/>
      </c>
      <c r="B179" s="24" t="str">
        <f>IF(ROW()-4&lt;=MIN(N(_自动清单!$A$1),60),"包装物料",IF(ROW()-4&lt;=MIN(N(_自动清单!$A$1),60)+MIN(N(_自动清单!$BM$1),60),"筐子/托盘",""))</f>
        <v/>
      </c>
      <c r="C179" s="37" t="str">
        <f>IF($B179="","",IFERROR(IF($B179="包装物料",INDEX(_自动清单!$G$4:$G$63,ROW()-4),INDEX(_自动清单!$BQ$4:$BQ$63,ROW()-4-MIN(N(_自动清单!$A$1),60))),""))</f>
        <v/>
      </c>
      <c r="D179" s="24" t="str">
        <f>IF($B179&lt;&gt;"包装物料","",IFERROR(INDEX(_自动清单!$H$4:$H$63,ROW()-4),""))</f>
        <v/>
      </c>
      <c r="E179" s="24" t="str">
        <f>IF($B179="","",IF($B179="包装物料",IFERROR(INDEX(_自动清单!$I$4:$I$63,ROW()-4),""),"个"))</f>
        <v/>
      </c>
      <c r="F179" s="39" t="str">
        <f>IF($B179="","",IF($B179="包装物料",N(IFERROR(INDEX(物料库存结余!$L$4:$L$53,MATCH($C179,物料库存结余!$B$4:$B$53,0)),0)),N(IFERROR(INDEX(筐子库存汇总!$I$4:$I$63,MATCH($C179,筐子库存汇总!$B$4:$B$63,0)),0))))</f>
        <v/>
      </c>
      <c r="G179" s="39"/>
      <c r="H179" s="39" t="str">
        <f t="shared" si="9"/>
        <v/>
      </c>
      <c r="I179" s="50" t="str">
        <f t="shared" si="10"/>
        <v/>
      </c>
      <c r="J179" s="24" t="str">
        <f t="shared" si="11"/>
        <v/>
      </c>
      <c r="K179" s="42"/>
    </row>
    <row r="180" spans="1:11">
      <c r="A180" s="24" t="str">
        <f t="shared" si="8"/>
        <v/>
      </c>
      <c r="B180" s="24" t="str">
        <f>IF(ROW()-4&lt;=MIN(N(_自动清单!$A$1),60),"包装物料",IF(ROW()-4&lt;=MIN(N(_自动清单!$A$1),60)+MIN(N(_自动清单!$BM$1),60),"筐子/托盘",""))</f>
        <v/>
      </c>
      <c r="C180" s="37" t="str">
        <f>IF($B180="","",IFERROR(IF($B180="包装物料",INDEX(_自动清单!$G$4:$G$63,ROW()-4),INDEX(_自动清单!$BQ$4:$BQ$63,ROW()-4-MIN(N(_自动清单!$A$1),60))),""))</f>
        <v/>
      </c>
      <c r="D180" s="24" t="str">
        <f>IF($B180&lt;&gt;"包装物料","",IFERROR(INDEX(_自动清单!$H$4:$H$63,ROW()-4),""))</f>
        <v/>
      </c>
      <c r="E180" s="24" t="str">
        <f>IF($B180="","",IF($B180="包装物料",IFERROR(INDEX(_自动清单!$I$4:$I$63,ROW()-4),""),"个"))</f>
        <v/>
      </c>
      <c r="F180" s="39" t="str">
        <f>IF($B180="","",IF($B180="包装物料",N(IFERROR(INDEX(物料库存结余!$L$4:$L$53,MATCH($C180,物料库存结余!$B$4:$B$53,0)),0)),N(IFERROR(INDEX(筐子库存汇总!$I$4:$I$63,MATCH($C180,筐子库存汇总!$B$4:$B$63,0)),0))))</f>
        <v/>
      </c>
      <c r="G180" s="39"/>
      <c r="H180" s="39" t="str">
        <f t="shared" si="9"/>
        <v/>
      </c>
      <c r="I180" s="50" t="str">
        <f t="shared" si="10"/>
        <v/>
      </c>
      <c r="J180" s="24" t="str">
        <f t="shared" si="11"/>
        <v/>
      </c>
      <c r="K180" s="42"/>
    </row>
    <row r="181" spans="1:11">
      <c r="A181" s="24" t="str">
        <f t="shared" si="8"/>
        <v/>
      </c>
      <c r="B181" s="24" t="str">
        <f>IF(ROW()-4&lt;=MIN(N(_自动清单!$A$1),60),"包装物料",IF(ROW()-4&lt;=MIN(N(_自动清单!$A$1),60)+MIN(N(_自动清单!$BM$1),60),"筐子/托盘",""))</f>
        <v/>
      </c>
      <c r="C181" s="37" t="str">
        <f>IF($B181="","",IFERROR(IF($B181="包装物料",INDEX(_自动清单!$G$4:$G$63,ROW()-4),INDEX(_自动清单!$BQ$4:$BQ$63,ROW()-4-MIN(N(_自动清单!$A$1),60))),""))</f>
        <v/>
      </c>
      <c r="D181" s="24" t="str">
        <f>IF($B181&lt;&gt;"包装物料","",IFERROR(INDEX(_自动清单!$H$4:$H$63,ROW()-4),""))</f>
        <v/>
      </c>
      <c r="E181" s="24" t="str">
        <f>IF($B181="","",IF($B181="包装物料",IFERROR(INDEX(_自动清单!$I$4:$I$63,ROW()-4),""),"个"))</f>
        <v/>
      </c>
      <c r="F181" s="39" t="str">
        <f>IF($B181="","",IF($B181="包装物料",N(IFERROR(INDEX(物料库存结余!$L$4:$L$53,MATCH($C181,物料库存结余!$B$4:$B$53,0)),0)),N(IFERROR(INDEX(筐子库存汇总!$I$4:$I$63,MATCH($C181,筐子库存汇总!$B$4:$B$63,0)),0))))</f>
        <v/>
      </c>
      <c r="G181" s="39"/>
      <c r="H181" s="39" t="str">
        <f t="shared" si="9"/>
        <v/>
      </c>
      <c r="I181" s="50" t="str">
        <f t="shared" si="10"/>
        <v/>
      </c>
      <c r="J181" s="24" t="str">
        <f t="shared" si="11"/>
        <v/>
      </c>
      <c r="K181" s="42"/>
    </row>
    <row r="182" spans="1:11">
      <c r="A182" s="24" t="str">
        <f t="shared" si="8"/>
        <v/>
      </c>
      <c r="B182" s="24" t="str">
        <f>IF(ROW()-4&lt;=MIN(N(_自动清单!$A$1),60),"包装物料",IF(ROW()-4&lt;=MIN(N(_自动清单!$A$1),60)+MIN(N(_自动清单!$BM$1),60),"筐子/托盘",""))</f>
        <v/>
      </c>
      <c r="C182" s="37" t="str">
        <f>IF($B182="","",IFERROR(IF($B182="包装物料",INDEX(_自动清单!$G$4:$G$63,ROW()-4),INDEX(_自动清单!$BQ$4:$BQ$63,ROW()-4-MIN(N(_自动清单!$A$1),60))),""))</f>
        <v/>
      </c>
      <c r="D182" s="24" t="str">
        <f>IF($B182&lt;&gt;"包装物料","",IFERROR(INDEX(_自动清单!$H$4:$H$63,ROW()-4),""))</f>
        <v/>
      </c>
      <c r="E182" s="24" t="str">
        <f>IF($B182="","",IF($B182="包装物料",IFERROR(INDEX(_自动清单!$I$4:$I$63,ROW()-4),""),"个"))</f>
        <v/>
      </c>
      <c r="F182" s="39" t="str">
        <f>IF($B182="","",IF($B182="包装物料",N(IFERROR(INDEX(物料库存结余!$L$4:$L$53,MATCH($C182,物料库存结余!$B$4:$B$53,0)),0)),N(IFERROR(INDEX(筐子库存汇总!$I$4:$I$63,MATCH($C182,筐子库存汇总!$B$4:$B$63,0)),0))))</f>
        <v/>
      </c>
      <c r="G182" s="39"/>
      <c r="H182" s="39" t="str">
        <f t="shared" si="9"/>
        <v/>
      </c>
      <c r="I182" s="50" t="str">
        <f t="shared" si="10"/>
        <v/>
      </c>
      <c r="J182" s="24" t="str">
        <f t="shared" si="11"/>
        <v/>
      </c>
      <c r="K182" s="42"/>
    </row>
    <row r="183" spans="1:11">
      <c r="A183" s="24" t="str">
        <f t="shared" si="8"/>
        <v/>
      </c>
      <c r="B183" s="24" t="str">
        <f>IF(ROW()-4&lt;=MIN(N(_自动清单!$A$1),60),"包装物料",IF(ROW()-4&lt;=MIN(N(_自动清单!$A$1),60)+MIN(N(_自动清单!$BM$1),60),"筐子/托盘",""))</f>
        <v/>
      </c>
      <c r="C183" s="37" t="str">
        <f>IF($B183="","",IFERROR(IF($B183="包装物料",INDEX(_自动清单!$G$4:$G$63,ROW()-4),INDEX(_自动清单!$BQ$4:$BQ$63,ROW()-4-MIN(N(_自动清单!$A$1),60))),""))</f>
        <v/>
      </c>
      <c r="D183" s="24" t="str">
        <f>IF($B183&lt;&gt;"包装物料","",IFERROR(INDEX(_自动清单!$H$4:$H$63,ROW()-4),""))</f>
        <v/>
      </c>
      <c r="E183" s="24" t="str">
        <f>IF($B183="","",IF($B183="包装物料",IFERROR(INDEX(_自动清单!$I$4:$I$63,ROW()-4),""),"个"))</f>
        <v/>
      </c>
      <c r="F183" s="39" t="str">
        <f>IF($B183="","",IF($B183="包装物料",N(IFERROR(INDEX(物料库存结余!$L$4:$L$53,MATCH($C183,物料库存结余!$B$4:$B$53,0)),0)),N(IFERROR(INDEX(筐子库存汇总!$I$4:$I$63,MATCH($C183,筐子库存汇总!$B$4:$B$63,0)),0))))</f>
        <v/>
      </c>
      <c r="G183" s="39"/>
      <c r="H183" s="39" t="str">
        <f t="shared" si="9"/>
        <v/>
      </c>
      <c r="I183" s="50" t="str">
        <f t="shared" si="10"/>
        <v/>
      </c>
      <c r="J183" s="24" t="str">
        <f t="shared" si="11"/>
        <v/>
      </c>
      <c r="K183" s="42"/>
    </row>
    <row r="184" spans="1:11">
      <c r="A184" s="24" t="str">
        <f t="shared" si="8"/>
        <v/>
      </c>
      <c r="B184" s="24" t="str">
        <f>IF(ROW()-4&lt;=MIN(N(_自动清单!$A$1),60),"包装物料",IF(ROW()-4&lt;=MIN(N(_自动清单!$A$1),60)+MIN(N(_自动清单!$BM$1),60),"筐子/托盘",""))</f>
        <v/>
      </c>
      <c r="C184" s="37" t="str">
        <f>IF($B184="","",IFERROR(IF($B184="包装物料",INDEX(_自动清单!$G$4:$G$63,ROW()-4),INDEX(_自动清单!$BQ$4:$BQ$63,ROW()-4-MIN(N(_自动清单!$A$1),60))),""))</f>
        <v/>
      </c>
      <c r="D184" s="24" t="str">
        <f>IF($B184&lt;&gt;"包装物料","",IFERROR(INDEX(_自动清单!$H$4:$H$63,ROW()-4),""))</f>
        <v/>
      </c>
      <c r="E184" s="24" t="str">
        <f>IF($B184="","",IF($B184="包装物料",IFERROR(INDEX(_自动清单!$I$4:$I$63,ROW()-4),""),"个"))</f>
        <v/>
      </c>
      <c r="F184" s="39" t="str">
        <f>IF($B184="","",IF($B184="包装物料",N(IFERROR(INDEX(物料库存结余!$L$4:$L$53,MATCH($C184,物料库存结余!$B$4:$B$53,0)),0)),N(IFERROR(INDEX(筐子库存汇总!$I$4:$I$63,MATCH($C184,筐子库存汇总!$B$4:$B$63,0)),0))))</f>
        <v/>
      </c>
      <c r="G184" s="39"/>
      <c r="H184" s="39" t="str">
        <f t="shared" si="9"/>
        <v/>
      </c>
      <c r="I184" s="50" t="str">
        <f t="shared" si="10"/>
        <v/>
      </c>
      <c r="J184" s="24" t="str">
        <f t="shared" si="11"/>
        <v/>
      </c>
      <c r="K184" s="42"/>
    </row>
    <row r="185" spans="1:11">
      <c r="A185" s="51"/>
      <c r="B185" s="51" t="s">
        <v>473</v>
      </c>
      <c r="C185" s="51"/>
      <c r="D185" s="51"/>
      <c r="E185" s="51"/>
      <c r="F185" s="52">
        <f>SUM($F$5:$F$184)</f>
        <v>188508</v>
      </c>
      <c r="G185" s="51"/>
      <c r="H185" s="52">
        <f>SUMIF($J$5:$J$184,"&lt;&gt;未盘点",$H$5:$H$184)</f>
        <v>0</v>
      </c>
      <c r="I185" s="51"/>
      <c r="J185" s="51" t="str">
        <f>COUNTIF($J$5:$J$184,"盘亏")&amp;"亏 / "&amp;COUNTIF($J$5:$J$184,"盘盈")&amp;"盈"</f>
        <v>0亏 / 0盈</v>
      </c>
      <c r="K185" s="51"/>
    </row>
  </sheetData>
  <mergeCells count="3">
    <mergeCell ref="A1:K1"/>
    <mergeCell ref="A2:K2"/>
    <mergeCell ref="A3:K3"/>
  </mergeCells>
  <conditionalFormatting sqref="H5:H184">
    <cfRule type="cellIs" dxfId="1" priority="1" operator="lessThan">
      <formula>0</formula>
    </cfRule>
    <cfRule type="cellIs" dxfId="2" priority="2" operator="greaterThan">
      <formula>0</formula>
    </cfRule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K21"/>
  <sheetViews>
    <sheetView showGridLines="0" workbookViewId="0">
      <selection activeCell="G26" sqref="G26"/>
    </sheetView>
  </sheetViews>
  <sheetFormatPr defaultColWidth="9" defaultRowHeight="15"/>
  <cols>
    <col min="1" max="1" width="3" customWidth="1"/>
    <col min="2" max="2" width="30" customWidth="1"/>
    <col min="3" max="3" width="13" customWidth="1"/>
    <col min="4" max="6" width="14" customWidth="1"/>
    <col min="7" max="7" width="44" customWidth="1"/>
  </cols>
  <sheetData>
    <row r="1" ht="30" customHeight="1" spans="1:11">
      <c r="A1" s="7" t="s">
        <v>541</v>
      </c>
      <c r="K1" s="11">
        <f>IF($E2="",DATE(1900,1,1),$E2)</f>
        <v>1</v>
      </c>
    </row>
    <row r="2" ht="20" customHeight="1" spans="1:11">
      <c r="A2" s="12" t="s">
        <v>465</v>
      </c>
      <c r="D2" s="13" t="s">
        <v>466</v>
      </c>
      <c r="E2" s="19"/>
      <c r="F2" s="13" t="s">
        <v>467</v>
      </c>
      <c r="G2" s="19"/>
      <c r="K2" s="11">
        <f>IF($G2="",DATE(2999,12,31),$G2)</f>
        <v>401768</v>
      </c>
    </row>
    <row r="4" ht="20" customHeight="1" spans="1:11">
      <c r="B4" s="36" t="s">
        <v>542</v>
      </c>
    </row>
    <row r="5" ht="30" customHeight="1" spans="1:11">
      <c r="B5" s="21" t="s">
        <v>543</v>
      </c>
      <c r="C5" s="21" t="s">
        <v>138</v>
      </c>
      <c r="D5" s="21" t="s">
        <v>544</v>
      </c>
      <c r="E5" s="21" t="s">
        <v>500</v>
      </c>
      <c r="F5" s="21" t="s">
        <v>501</v>
      </c>
      <c r="G5" s="21" t="s">
        <v>545</v>
      </c>
    </row>
    <row r="6" spans="1:11">
      <c r="A6" s="41"/>
      <c r="B6" s="42" t="s">
        <v>546</v>
      </c>
      <c r="C6" s="39">
        <f>SUM(周转筐出入库明细!$K$4:$K$2004)</f>
        <v>960</v>
      </c>
      <c r="D6" s="30">
        <f>ROUND(SUMIFS(周转筐出入库明细!$P$4:$P$2004,周转筐出入库明细!$F$4:$F$2004,"销售出库",周转筐出入库明细!$B$4:$B$2004,"&gt;="&amp;$K$1,周转筐出入库明细!$B$4:$B$2004,"&lt;="&amp;$K$2),2)</f>
        <v>0</v>
      </c>
      <c r="E6" s="30">
        <f>ROUND(SUMIFS(周转筐出入库明细!$P$4:$P$2004,周转筐出入库明细!$F$4:$F$2004,"销售出库",周转筐出入库明细!$Q$4:$Q$2004,"已收讫",周转筐出入库明细!$B$4:$B$2004,"&gt;="&amp;$K$1,周转筐出入库明细!$B$4:$B$2004,"&lt;="&amp;$K$2),2)</f>
        <v>0</v>
      </c>
      <c r="F6" s="30">
        <f>ROUND($D6-$E6,2)</f>
        <v>0</v>
      </c>
      <c r="G6" s="43" t="s">
        <v>547</v>
      </c>
    </row>
    <row r="7" spans="1:11">
      <c r="A7" s="41"/>
      <c r="B7" s="42" t="s">
        <v>548</v>
      </c>
      <c r="C7" s="39">
        <f>SUMIFS(包装物料出入库明细!$J$4:$J$2003,包装物料出入库明细!$H$4:$H$2003,"销售出库",包装物料出入库明细!$B$4:$B$2003,"&gt;="&amp;$K$1,包装物料出入库明细!$B$4:$B$2003,"&lt;="&amp;$K$2)</f>
        <v>0</v>
      </c>
      <c r="D7" s="30">
        <f>ROUND(SUMIFS(包装物料出入库明细!$N$4:$N$2003,包装物料出入库明细!$H$4:$H$2003,"销售出库",包装物料出入库明细!$B$4:$B$2003,"&gt;="&amp;$K$1,包装物料出入库明细!$B$4:$B$2003,"&lt;="&amp;$K$2),2)</f>
        <v>0</v>
      </c>
      <c r="E7" s="30">
        <f>ROUND(SUMIFS(包装物料出入库明细!$N$4:$N$2003,包装物料出入库明细!$H$4:$H$2003,"销售出库",包装物料出入库明细!$P$4:$P$2003,"已收讫",包装物料出入库明细!$B$4:$B$2003,"&gt;="&amp;$K$1,包装物料出入库明细!$B$4:$B$2003,"&lt;="&amp;$K$2),2)</f>
        <v>0</v>
      </c>
      <c r="F7" s="30">
        <f>ROUND($D7-$E7,2)</f>
        <v>0</v>
      </c>
      <c r="G7" s="43" t="s">
        <v>549</v>
      </c>
    </row>
    <row r="8" spans="1:11">
      <c r="A8" s="33"/>
      <c r="B8" s="44" t="s">
        <v>550</v>
      </c>
      <c r="C8" s="45">
        <f>ROUND(SUM(C6:C7),2)</f>
        <v>960</v>
      </c>
      <c r="D8" s="46">
        <f>ROUND(SUM(D6:D7),2)</f>
        <v>0</v>
      </c>
      <c r="E8" s="46">
        <f>ROUND(SUM(E6:E7),2)</f>
        <v>0</v>
      </c>
      <c r="F8" s="46">
        <f>ROUND(SUM(F6:F7),2)</f>
        <v>0</v>
      </c>
      <c r="G8" s="33"/>
    </row>
    <row r="10" ht="20" customHeight="1" spans="1:11">
      <c r="B10" s="47" t="s">
        <v>551</v>
      </c>
    </row>
    <row r="11" ht="30" customHeight="1" spans="1:11">
      <c r="B11" s="21" t="s">
        <v>552</v>
      </c>
      <c r="C11" s="21" t="s">
        <v>138</v>
      </c>
      <c r="D11" s="21" t="s">
        <v>553</v>
      </c>
      <c r="E11" s="21" t="s">
        <v>554</v>
      </c>
      <c r="F11" s="21" t="s">
        <v>555</v>
      </c>
      <c r="G11" s="21" t="s">
        <v>545</v>
      </c>
    </row>
    <row r="12" spans="1:11">
      <c r="A12" s="41"/>
      <c r="B12" s="42" t="s">
        <v>556</v>
      </c>
      <c r="C12" s="48" t="str">
        <f>"—"</f>
        <v>—</v>
      </c>
      <c r="D12" s="30">
        <f>ROUND(SUM(周转筐出入库明细!$S$4:$S$2004),2)</f>
        <v>3000</v>
      </c>
      <c r="E12" s="30">
        <f>ROUND(SUM(周转筐出入库明细!$T$4:$T$2004),2)</f>
        <v>3000</v>
      </c>
      <c r="F12" s="30">
        <f>ROUND($D12-$E12,2)</f>
        <v>0</v>
      </c>
      <c r="G12" s="43" t="s">
        <v>557</v>
      </c>
    </row>
    <row r="13" spans="1:11">
      <c r="A13" s="41"/>
      <c r="B13" s="42" t="s">
        <v>558</v>
      </c>
      <c r="C13" s="48" t="str">
        <f>"—"</f>
        <v>—</v>
      </c>
      <c r="D13" s="30">
        <f>ROUND(SUM(次果筐明细!$J$4:$J$603),2)</f>
        <v>0</v>
      </c>
      <c r="E13" s="30">
        <f>ROUND(SUM(次果筐明细!$K$4:$K$603),2)</f>
        <v>0</v>
      </c>
      <c r="F13" s="30">
        <f>ROUND($D13-$E13,2)</f>
        <v>0</v>
      </c>
      <c r="G13" s="43" t="s">
        <v>557</v>
      </c>
    </row>
    <row r="14" spans="1:11">
      <c r="A14" s="33"/>
      <c r="B14" s="44" t="s">
        <v>559</v>
      </c>
      <c r="C14" s="33"/>
      <c r="D14" s="46">
        <f>ROUND(SUM(D12:D13),2)</f>
        <v>3000</v>
      </c>
      <c r="E14" s="46">
        <f>ROUND(SUM(E12:E13),2)</f>
        <v>3000</v>
      </c>
      <c r="F14" s="46">
        <f>ROUND(SUM(F12:F13),2)</f>
        <v>0</v>
      </c>
      <c r="G14" s="49" t="s">
        <v>560</v>
      </c>
    </row>
    <row r="16" ht="20" customHeight="1" spans="1:11">
      <c r="B16" s="36" t="s">
        <v>561</v>
      </c>
    </row>
    <row r="17" ht="30" customHeight="1" spans="1:7">
      <c r="B17" s="21" t="s">
        <v>562</v>
      </c>
      <c r="C17" s="21" t="s">
        <v>138</v>
      </c>
      <c r="D17" s="21" t="s">
        <v>563</v>
      </c>
      <c r="E17" s="21" t="s">
        <v>564</v>
      </c>
      <c r="F17" s="21" t="s">
        <v>564</v>
      </c>
      <c r="G17" s="21" t="s">
        <v>545</v>
      </c>
    </row>
    <row r="18" spans="1:7">
      <c r="A18" s="41"/>
      <c r="B18" s="42" t="s">
        <v>565</v>
      </c>
      <c r="C18" s="39">
        <f>物料库存结余!$L$54</f>
        <v>23490</v>
      </c>
      <c r="D18" s="30">
        <f>物料库存结余!$M$54</f>
        <v>4921</v>
      </c>
      <c r="E18" s="41"/>
      <c r="F18" s="41"/>
      <c r="G18" s="43" t="s">
        <v>566</v>
      </c>
    </row>
    <row r="19" spans="1:7">
      <c r="A19" s="41"/>
      <c r="B19" s="42" t="s">
        <v>567</v>
      </c>
      <c r="C19" s="39">
        <f>筐子库存汇总!$I$64</f>
        <v>165018</v>
      </c>
      <c r="D19" s="30"/>
      <c r="E19" s="41"/>
      <c r="F19" s="41"/>
      <c r="G19" s="43" t="s">
        <v>568</v>
      </c>
    </row>
    <row r="20" spans="1:7">
      <c r="A20" s="41"/>
      <c r="B20" s="42" t="s">
        <v>569</v>
      </c>
      <c r="C20" s="39">
        <f>筐子库存汇总!$J$64+筐子库存汇总!$K$64</f>
        <v>15208</v>
      </c>
      <c r="D20" s="30"/>
      <c r="E20" s="41"/>
      <c r="F20" s="41"/>
      <c r="G20" s="43" t="s">
        <v>570</v>
      </c>
    </row>
    <row r="21" spans="1:7">
      <c r="A21" s="41"/>
      <c r="B21" s="42" t="s">
        <v>571</v>
      </c>
      <c r="C21" s="39">
        <f>自备筐汇总!$M$204</f>
        <v>2008</v>
      </c>
      <c r="D21" s="30"/>
      <c r="E21" s="41"/>
      <c r="F21" s="41"/>
      <c r="G21" s="43" t="s">
        <v>572</v>
      </c>
    </row>
  </sheetData>
  <mergeCells count="5">
    <mergeCell ref="A1:G1"/>
    <mergeCell ref="A2:C2"/>
    <mergeCell ref="B4:G4"/>
    <mergeCell ref="B10:G10"/>
    <mergeCell ref="B16:G16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</sheetPr>
  <dimension ref="A1:Z1203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L29" sqref="L29"/>
    </sheetView>
  </sheetViews>
  <sheetFormatPr defaultColWidth="9" defaultRowHeight="15"/>
  <cols>
    <col min="1" max="1" width="5" customWidth="1"/>
    <col min="2" max="2" width="12" customWidth="1"/>
    <col min="3" max="3" width="15" customWidth="1"/>
    <col min="4" max="4" width="22" customWidth="1"/>
    <col min="5" max="5" width="14" customWidth="1"/>
    <col min="6" max="6" width="11" customWidth="1"/>
    <col min="7" max="7" width="12" customWidth="1"/>
    <col min="8" max="8" width="11" customWidth="1"/>
    <col min="9" max="9" width="7" customWidth="1"/>
    <col min="10" max="10" width="12" customWidth="1"/>
    <col min="11" max="11" width="13" customWidth="1"/>
    <col min="12" max="12" width="11" customWidth="1"/>
    <col min="13" max="13" width="16" customWidth="1"/>
    <col min="14" max="14" width="13" customWidth="1"/>
    <col min="15" max="17" width="10" customWidth="1"/>
    <col min="18" max="18" width="12" customWidth="1"/>
    <col min="19" max="19" width="10" customWidth="1"/>
    <col min="26" max="26" width="13" hidden="1" customWidth="1"/>
  </cols>
  <sheetData>
    <row r="1" ht="30" customHeight="1" spans="1:26">
      <c r="A1" s="7" t="s">
        <v>573</v>
      </c>
      <c r="O1" t="s">
        <v>574</v>
      </c>
      <c r="P1" s="9">
        <f>_自动清单!$CP$1</f>
        <v>110</v>
      </c>
    </row>
    <row r="2" ht="18" customHeight="1" spans="1:26">
      <c r="A2" s="12" t="str">
        <f>IF(N(_自动清单!$CP$1)&gt;1200,"★★ 注意：业务笔数已有 "&amp;N(_自动清单!$CP$1)&amp;" 个，超过本表 1200 个的显示上限，请选中最后一行整行下拉复制扩表（汇总公式范围也要一起改）","★《04》按固定位置引用本表 A3:M1203，请不要插入/删除行列或改表名。本表把包装物料、周转筐、客户自备筐、次果筐托盘四张明细的每一笔业务规范化成同一种格式，并按业务类别成组排列　【业务笔数 "&amp;N(_自动清单!$CP$1)&amp;"/1200】")</f>
        <v>★《04》按固定位置引用本表 A3:M1203，请不要插入/删除行列或改表名。本表把包装物料、周转筐、客户自备筐、次果筐托盘四张明细的每一笔业务规范化成同一种格式，并按业务类别成组排列　【业务笔数 110/1200】</v>
      </c>
    </row>
    <row r="3" ht="30" customHeight="1" spans="1:26">
      <c r="A3" s="21" t="s">
        <v>3</v>
      </c>
      <c r="B3" s="21" t="s">
        <v>289</v>
      </c>
      <c r="C3" s="21" t="s">
        <v>575</v>
      </c>
      <c r="D3" s="21" t="s">
        <v>576</v>
      </c>
      <c r="E3" s="21" t="s">
        <v>291</v>
      </c>
      <c r="F3" s="21" t="s">
        <v>577</v>
      </c>
      <c r="G3" s="21" t="s">
        <v>578</v>
      </c>
      <c r="H3" s="21" t="s">
        <v>138</v>
      </c>
      <c r="I3" s="21" t="s">
        <v>536</v>
      </c>
      <c r="J3" s="21" t="s">
        <v>579</v>
      </c>
      <c r="K3" s="21" t="s">
        <v>563</v>
      </c>
      <c r="L3" s="21" t="s">
        <v>580</v>
      </c>
      <c r="M3" s="21" t="s">
        <v>306</v>
      </c>
      <c r="N3" s="21" t="s">
        <v>123</v>
      </c>
      <c r="O3" s="21" t="s">
        <v>581</v>
      </c>
      <c r="P3" s="21" t="s">
        <v>582</v>
      </c>
      <c r="Q3" s="21" t="s">
        <v>583</v>
      </c>
      <c r="R3" s="21" t="s">
        <v>298</v>
      </c>
      <c r="S3" s="21" t="s">
        <v>584</v>
      </c>
    </row>
    <row r="4" spans="1:26">
      <c r="A4" s="24">
        <f t="shared" ref="A4:A67" si="0">IF($B4="","",ROW()-3)</f>
        <v>1</v>
      </c>
      <c r="B4" s="38">
        <f>IF($Z4="","",IF($Z4&lt;=2000,IF(INDEX(包装物料出入库明细!$B$4:$B$2003,$Z4-0)=0,"",INDEX(包装物料出入库明细!$B$4:$B$2003,$Z4-0)),IF($Z4&lt;=4000,IF(INDEX(周转筐出入库明细!$B$4:$B$2004,$Z4-2000)=0,"",INDEX(周转筐出入库明细!$B$4:$B$2004,$Z4-2000)),IF($Z4&lt;=5200,IF(INDEX(客户自备加工筐明细!$B$4:$B$1203,$Z4-4000)=0,"",INDEX(客户自备加工筐明细!$B$4:$B$1203,$Z4-4000)),IF($Z4&lt;=5800,IF(INDEX(次果筐明细!$B$4:$B$603,$Z4-5200)=0,"",INDEX(次果筐明细!$B$4:$B$603,$Z4-5200)),"")))))</f>
        <v>46266</v>
      </c>
      <c r="C4" s="37" t="str">
        <f>IF($Z4="","",IF($Z4&lt;=2000,IF(INDEX(包装物料出入库明细!$D$4:$D$2003,$Z4-0)=0,"",INDEX(包装物料出入库明细!$D$4:$D$2003,$Z4-0)),IF($Z4&lt;=4000,IF(INDEX(周转筐出入库明细!$C$4:$C$2004,$Z4-2000)=0,"",INDEX(周转筐出入库明细!$C$4:$C$2004,$Z4-2000)),IF($Z4&lt;=5200,IF(INDEX(客户自备加工筐明细!$E$4:$E$1203,$Z4-4000)=0,"",INDEX(客户自备加工筐明细!$E$4:$E$1203,$Z4-4000)),IF($Z4&lt;=5800,IF(INDEX(次果筐明细!$C$4:$C$603,$Z4-5200)=0,"",INDEX(次果筐明细!$C$4:$C$603,$Z4-5200)),"")))))</f>
        <v>果然鲜</v>
      </c>
      <c r="D4" s="37" t="str">
        <f>IF($Z4="","",IF($Z4&lt;=2000,"包装物料－"&amp;INDEX(包装物料出入库明细!$H$4:$H$2003,$Z4-0),IF($Z4&lt;=4000,"周转筐－"&amp;INDEX(周转筐出入库明细!$F$4:$F$2004,$Z4-2000),IF($Z4&lt;=5200,"客户自备筐－"&amp;INDEX(客户自备加工筐明细!$J$4:$J$1203,$Z4-4000),IF($Z4&lt;=5800,"次果筐/托盘－"&amp;INDEX(次果筐明细!$F$4:$F$603,$Z4-5200),"")))))</f>
        <v>包装物料－期初库存</v>
      </c>
      <c r="E4" s="24" t="str">
        <f>IF($Z4="","",IF($Z4&lt;=2000,IF(INDEX(包装物料出入库明细!$C$4:$C$2003,$Z4-0)=0,"",INDEX(包装物料出入库明细!$C$4:$C$2003,$Z4-0)),IF($Z4&lt;=4000,IF(INDEX(周转筐出入库明细!$E$4:$E$2004,$Z4-2000)=0,"",INDEX(周转筐出入库明细!$E$4:$E$2004,$Z4-2000)),IF($Z4&lt;=5200,IF(INDEX(客户自备加工筐明细!$D$4:$D$1203,$Z4-4000)=0,"",INDEX(客户自备加工筐明细!$D$4:$D$1203,$Z4-4000)),IF($Z4&lt;=5800,IF(INDEX(次果筐明细!$E$4:$E$603,$Z4-5200)=0,"",INDEX(次果筐明细!$E$4:$E$603,$Z4-5200)),"")))))</f>
        <v/>
      </c>
      <c r="F4" s="24" t="str">
        <f>IF($Z4="","",IF($Z4&lt;=2000,IF(INDEX(包装物料出入库明细!$E$4:$E$2003,$Z4-0)=0,"",INDEX(包装物料出入库明细!$E$4:$E$2003,$Z4-0)),IF($Z4&lt;=4000,IF(INDEX(周转筐出入库明细!$D$4:$D$2004,$Z4-2000)=0,"",INDEX(周转筐出入库明细!$D$4:$D$2004,$Z4-2000)),IF($Z4&lt;=5200,IF(INDEX(客户自备加工筐明细!$C$4:$C$1203,$Z4-4000)=0,"",INDEX(客户自备加工筐明细!$C$4:$C$1203,$Z4-4000)),IF($Z4&lt;=5800,IF(INDEX(次果筐明细!$D$4:$D$603,$Z4-5200)=0,"",INDEX(次果筐明细!$D$4:$D$603,$Z4-5200)),"")))))</f>
        <v>气泡垫</v>
      </c>
      <c r="G4" s="24" t="str">
        <f>IF($Z4="","",IF($Z4&lt;=2000,IF(INDEX(包装物料出入库明细!$F$4:$F$2003,$Z4-0)=0,"",INDEX(包装物料出入库明细!$F$4:$F$2003,$Z4-0)),IF($Z4&lt;=4000,"",IF($Z4&lt;=5200,"",IF($Z4&lt;=5800,"","")))))</f>
        <v>*1000</v>
      </c>
      <c r="H4" s="39">
        <f>IF($Z4="","",IF($Z4&lt;=2000,IF(INDEX(包装物料出入库明细!$L$4:$L$2003,$Z4-0)=0,"",INDEX(包装物料出入库明细!$L$4:$L$2003,$Z4-0)),IF($Z4&lt;=4000,N(INDEX(周转筐出入库明细!$H$4:$H$2004,$Z4-2000))+N(INDEX(周转筐出入库明细!$I$4:$I$2004,$Z4-2000))+N(INDEX(周转筐出入库明细!$J$4:$J$2004,$Z4-2000))+N(INDEX(周转筐出入库明细!$K$4:$K$2004,$Z4-2000)),IF($Z4&lt;=5200,N(INDEX(客户自备加工筐明细!$F$4:$F$1203,$Z4-4000))+N(INDEX(客户自备加工筐明细!$G$4:$G$1203,$Z4-4000)),IF($Z4&lt;=5800,IF(INDEX(次果筐明细!$G$4:$G$603,$Z4-5200)=0,"",INDEX(次果筐明细!$G$4:$G$603,$Z4-5200)),"")))))</f>
        <v>13800</v>
      </c>
      <c r="I4" s="24" t="str">
        <f>IF($Z4="","",IF($Z4&lt;=2000,IF(INDEX(包装物料出入库明细!$G$4:$G$2003,$Z4-0)=0,"",INDEX(包装物料出入库明细!$G$4:$G$2003,$Z4-0)),IF($Z4&lt;=4000,"个",IF($Z4&lt;=5200,"个",IF($Z4&lt;=5800,"个","")))))</f>
        <v>片</v>
      </c>
      <c r="J4" s="30" t="str">
        <f t="shared" ref="J4:J67" si="1">IF($Z4="","",IF($Z4&lt;=2000,"",IF($Z4&lt;=4000,"",IF($Z4&lt;=5200,"",IF($Z4&lt;=5800,"","")))))</f>
        <v/>
      </c>
      <c r="K4" s="30" t="str">
        <f>IF($Z4="","",IF($Z4&lt;=2000,IF(INDEX(包装物料出入库明细!$N$4:$N$2003,$Z4-0)=0,"",INDEX(包装物料出入库明细!$N$4:$N$2003,$Z4-0)),IF($Z4&lt;=4000,IF(INDEX(周转筐出入库明细!$P$4:$P$2004,$Z4-2000)=0,"",INDEX(周转筐出入库明细!$P$4:$P$2004,$Z4-2000)),IF($Z4&lt;=5200,"",IF($Z4&lt;=5800,N(INDEX(次果筐明细!$L$4:$L$603,$Z4-5200))+N(INDEX(次果筐明细!$J$4:$J$603,$Z4-5200)),"")))))</f>
        <v/>
      </c>
      <c r="L4" s="24" t="str">
        <f>IF($Z4="","",IF($Z4&lt;=2000,IF(INDEX(包装物料出入库明细!$P$4:$P$2003,$Z4-0)=0,"",INDEX(包装物料出入库明细!$P$4:$P$2003,$Z4-0)),IF($Z4&lt;=4000,IF(INDEX(周转筐出入库明细!$Q$4:$Q$2004,$Z4-2000)=0,"",INDEX(周转筐出入库明细!$Q$4:$Q$2004,$Z4-2000)),IF($Z4&lt;=5200,"",IF($Z4&lt;=5800,IF(INDEX(次果筐明细!$M$4:$M$603,$Z4-5200)=0,"",INDEX(次果筐明细!$M$4:$M$603,$Z4-5200)),"")))))</f>
        <v/>
      </c>
      <c r="M4" s="37" t="str">
        <f>IF($Z4="","",IF($Z4&lt;=2000,IF(INDEX(包装物料出入库明细!$R$4:$R$2003,$Z4-0)=0,"",INDEX(包装物料出入库明细!$R$4:$R$2003,$Z4-0)),IF($Z4&lt;=4000,IF(INDEX(周转筐出入库明细!$W$4:$W$2004,$Z4-2000)=0,"",INDEX(周转筐出入库明细!$W$4:$W$2004,$Z4-2000)),IF($Z4&lt;=5200,IF(INDEX(客户自备加工筐明细!$L$4:$L$1203,$Z4-4000)=0,"",INDEX(客户自备加工筐明细!$L$4:$L$1203,$Z4-4000)),IF($Z4&lt;=5800,IF(INDEX(次果筐明细!$P$4:$P$603,$Z4-5200)=0,"",INDEX(次果筐明细!$P$4:$P$603,$Z4-5200)),"")))))</f>
        <v/>
      </c>
      <c r="N4" s="16" t="str">
        <f>IF($Z4="","",IF($Z4&lt;=2000,"",IF($Z4&lt;=4000,IF(INDEX(周转筐出入库明细!$D$4:$D$2004,$Z4-2000)=0,"",INDEX(周转筐出入库明细!$D$4:$D$2004,$Z4-2000)),IF($Z4&lt;=5200,IF(INDEX(客户自备加工筐明细!$C$4:$C$1203,$Z4-4000)=0,"",INDEX(客户自备加工筐明细!$C$4:$C$1203,$Z4-4000)),IF($Z4&lt;=5800,IF(INDEX(次果筐明细!$D$4:$D$603,$Z4-5200)=0,"",INDEX(次果筐明细!$D$4:$D$603,$Z4-5200)),"")))))</f>
        <v/>
      </c>
      <c r="O4" s="40" t="str">
        <f>IF($Z4="","",IF($Z4&lt;=2000,"",IF($Z4&lt;=4000,IF(N(INDEX(周转筐出入库明细!$J$4:$J$2004,$Z4-2000))+N(INDEX(周转筐出入库明细!$K$4:$K$2004,$Z4-2000))=0,"",N(INDEX(周转筐出入库明细!$J$4:$J$2004,$Z4-2000))+N(INDEX(周转筐出入库明细!$K$4:$K$2004,$Z4-2000))),IF($Z4&lt;=5200,IF(N(INDEX(客户自备加工筐明细!$G$4:$G$1203,$Z4-4000))=0,"",N(INDEX(客户自备加工筐明细!$G$4:$G$1203,$Z4-4000))),IF($Z4&lt;=5800,IF(ISNUMBER(SEARCH("退",INDEX(次果筐明细!$F$4:$F$603,$Z4-5200)&amp;"")),"",IF(N(INDEX(次果筐明细!$G$4:$G$603,$Z4-5200))=0,"",N(INDEX(次果筐明细!$G$4:$G$603,$Z4-5200)))),"")))))</f>
        <v/>
      </c>
      <c r="P4" s="40" t="str">
        <f>IF($Z4="","",IF($Z4&lt;=2000,"",IF($Z4&lt;=4000,IF(N(INDEX(周转筐出入库明细!$I$4:$I$2004,$Z4-2000))=0,"",N(INDEX(周转筐出入库明细!$I$4:$I$2004,$Z4-2000))),IF($Z4&lt;=5200,"",IF($Z4&lt;=5800,IF(ISNUMBER(SEARCH("退",INDEX(次果筐明细!$F$4:$F$603,$Z4-5200)&amp;"")),IF(N(INDEX(次果筐明细!$G$4:$G$603,$Z4-5200))=0,"",N(INDEX(次果筐明细!$G$4:$G$603,$Z4-5200))),""),"")))))</f>
        <v/>
      </c>
      <c r="Q4" s="40" t="str">
        <f>IF($Z4="","",IF($Z4&lt;=2000,"",IF($Z4&lt;=4000,IF(N(INDEX(周转筐出入库明细!$H$4:$H$2004,$Z4-2000))=0,"",N(INDEX(周转筐出入库明细!$H$4:$H$2004,$Z4-2000))),IF($Z4&lt;=5200,IF(N(INDEX(客户自备加工筐明细!$F$4:$F$1203,$Z4-4000))=0,"",N(INDEX(客户自备加工筐明细!$F$4:$F$1203,$Z4-4000))),IF($Z4&lt;=5800,"","")))))</f>
        <v/>
      </c>
      <c r="R4" s="16" t="str">
        <f>IF($Z4="","",IF($Z4&lt;=2000,IF(INDEX(包装物料出入库明细!$O$4:$O$2003,$Z4-0)=0,"",INDEX(包装物料出入库明细!$O$4:$O$2003,$Z4-0)),IF($Z4&lt;=4000,IF(INDEX(周转筐出入库明细!$M$4:$M$2004,$Z4-2000)=0,"",INDEX(周转筐出入库明细!$M$4:$M$2004,$Z4-2000)),IF($Z4&lt;=5200,IF(INDEX(客户自备加工筐明细!$H$4:$H$1203,$Z4-4000)=0,"",INDEX(客户自备加工筐明细!$H$4:$H$1203,$Z4-4000)),IF($Z4&lt;=5800,IF(INDEX(次果筐明细!$H$4:$H$603,$Z4-5200)=0,"",INDEX(次果筐明细!$H$4:$H$603,$Z4-5200)),"")))))</f>
        <v/>
      </c>
      <c r="S4" s="22" t="str">
        <f t="shared" ref="S4:S67" si="2">IF($N4="","",IF(OR(LEFT($N4,2)="自备",AND($Z4&gt;4000,$Z4&lt;=5200)),"自备筐","公司筐"))</f>
        <v/>
      </c>
      <c r="Z4" s="10">
        <f>IFERROR(MATCH(ROW()-3,_自动清单!$CQ$4:$CQ$5803,0),"")</f>
        <v>1</v>
      </c>
    </row>
    <row r="5" spans="1:26">
      <c r="A5" s="24">
        <f t="shared" si="0"/>
        <v>2</v>
      </c>
      <c r="B5" s="38">
        <f>IF($Z5="","",IF($Z5&lt;=2000,IF(INDEX(包装物料出入库明细!$B$4:$B$2003,$Z5-0)=0,"",INDEX(包装物料出入库明细!$B$4:$B$2003,$Z5-0)),IF($Z5&lt;=4000,IF(INDEX(周转筐出入库明细!$B$4:$B$2004,$Z5-2000)=0,"",INDEX(周转筐出入库明细!$B$4:$B$2004,$Z5-2000)),IF($Z5&lt;=5200,IF(INDEX(客户自备加工筐明细!$B$4:$B$1203,$Z5-4000)=0,"",INDEX(客户自备加工筐明细!$B$4:$B$1203,$Z5-4000)),IF($Z5&lt;=5800,IF(INDEX(次果筐明细!$B$4:$B$603,$Z5-5200)=0,"",INDEX(次果筐明细!$B$4:$B$603,$Z5-5200)),"")))))</f>
        <v>46266</v>
      </c>
      <c r="C5" s="37" t="str">
        <f>IF($Z5="","",IF($Z5&lt;=2000,IF(INDEX(包装物料出入库明细!$D$4:$D$2003,$Z5-0)=0,"",INDEX(包装物料出入库明细!$D$4:$D$2003,$Z5-0)),IF($Z5&lt;=4000,IF(INDEX(周转筐出入库明细!$C$4:$C$2004,$Z5-2000)=0,"",INDEX(周转筐出入库明细!$C$4:$C$2004,$Z5-2000)),IF($Z5&lt;=5200,IF(INDEX(客户自备加工筐明细!$E$4:$E$1203,$Z5-4000)=0,"",INDEX(客户自备加工筐明细!$E$4:$E$1203,$Z5-4000)),IF($Z5&lt;=5800,IF(INDEX(次果筐明细!$C$4:$C$603,$Z5-5200)=0,"",INDEX(次果筐明细!$C$4:$C$603,$Z5-5200)),"")))))</f>
        <v>果然鲜</v>
      </c>
      <c r="D5" s="37" t="str">
        <f>IF($Z5="","",IF($Z5&lt;=2000,"包装物料－"&amp;INDEX(包装物料出入库明细!$H$4:$H$2003,$Z5-0),IF($Z5&lt;=4000,"周转筐－"&amp;INDEX(周转筐出入库明细!$F$4:$F$2004,$Z5-2000),IF($Z5&lt;=5200,"客户自备筐－"&amp;INDEX(客户自备加工筐明细!$J$4:$J$1203,$Z5-4000),IF($Z5&lt;=5800,"次果筐/托盘－"&amp;INDEX(次果筐明细!$F$4:$F$603,$Z5-5200),"")))))</f>
        <v>包装物料－期初库存</v>
      </c>
      <c r="E5" s="24" t="str">
        <f>IF($Z5="","",IF($Z5&lt;=2000,IF(INDEX(包装物料出入库明细!$C$4:$C$2003,$Z5-0)=0,"",INDEX(包装物料出入库明细!$C$4:$C$2003,$Z5-0)),IF($Z5&lt;=4000,IF(INDEX(周转筐出入库明细!$E$4:$E$2004,$Z5-2000)=0,"",INDEX(周转筐出入库明细!$E$4:$E$2004,$Z5-2000)),IF($Z5&lt;=5200,IF(INDEX(客户自备加工筐明细!$D$4:$D$1203,$Z5-4000)=0,"",INDEX(客户自备加工筐明细!$D$4:$D$1203,$Z5-4000)),IF($Z5&lt;=5800,IF(INDEX(次果筐明细!$E$4:$E$603,$Z5-5200)=0,"",INDEX(次果筐明细!$E$4:$E$603,$Z5-5200)),"")))))</f>
        <v/>
      </c>
      <c r="F5" s="24" t="str">
        <f>IF($Z5="","",IF($Z5&lt;=2000,IF(INDEX(包装物料出入库明细!$E$4:$E$2003,$Z5-0)=0,"",INDEX(包装物料出入库明细!$E$4:$E$2003,$Z5-0)),IF($Z5&lt;=4000,IF(INDEX(周转筐出入库明细!$D$4:$D$2004,$Z5-2000)=0,"",INDEX(周转筐出入库明细!$D$4:$D$2004,$Z5-2000)),IF($Z5&lt;=5200,IF(INDEX(客户自备加工筐明细!$C$4:$C$1203,$Z5-4000)=0,"",INDEX(客户自备加工筐明细!$C$4:$C$1203,$Z5-4000)),IF($Z5&lt;=5800,IF(INDEX(次果筐明细!$D$4:$D$603,$Z5-5200)=0,"",INDEX(次果筐明细!$D$4:$D$603,$Z5-5200)),"")))))</f>
        <v>无纺布</v>
      </c>
      <c r="G5" s="24" t="str">
        <f>IF($Z5="","",IF($Z5&lt;=2000,IF(INDEX(包装物料出入库明细!$F$4:$F$2003,$Z5-0)=0,"",INDEX(包装物料出入库明细!$F$4:$F$2003,$Z5-0)),IF($Z5&lt;=4000,"",IF($Z5&lt;=5200,"",IF($Z5&lt;=5800,"","")))))</f>
        <v>*400</v>
      </c>
      <c r="H5" s="39">
        <f>IF($Z5="","",IF($Z5&lt;=2000,IF(INDEX(包装物料出入库明细!$L$4:$L$2003,$Z5-0)=0,"",INDEX(包装物料出入库明细!$L$4:$L$2003,$Z5-0)),IF($Z5&lt;=4000,N(INDEX(周转筐出入库明细!$H$4:$H$2004,$Z5-2000))+N(INDEX(周转筐出入库明细!$I$4:$I$2004,$Z5-2000))+N(INDEX(周转筐出入库明细!$J$4:$J$2004,$Z5-2000))+N(INDEX(周转筐出入库明细!$K$4:$K$2004,$Z5-2000)),IF($Z5&lt;=5200,N(INDEX(客户自备加工筐明细!$F$4:$F$1203,$Z5-4000))+N(INDEX(客户自备加工筐明细!$G$4:$G$1203,$Z5-4000)),IF($Z5&lt;=5800,IF(INDEX(次果筐明细!$G$4:$G$603,$Z5-5200)=0,"",INDEX(次果筐明细!$G$4:$G$603,$Z5-5200)),"")))))</f>
        <v>2400</v>
      </c>
      <c r="I5" s="24" t="str">
        <f>IF($Z5="","",IF($Z5&lt;=2000,IF(INDEX(包装物料出入库明细!$G$4:$G$2003,$Z5-0)=0,"",INDEX(包装物料出入库明细!$G$4:$G$2003,$Z5-0)),IF($Z5&lt;=4000,"个",IF($Z5&lt;=5200,"个",IF($Z5&lt;=5800,"个","")))))</f>
        <v>个</v>
      </c>
      <c r="J5" s="30" t="str">
        <f t="shared" si="1"/>
        <v/>
      </c>
      <c r="K5" s="30" t="str">
        <f>IF($Z5="","",IF($Z5&lt;=2000,IF(INDEX(包装物料出入库明细!$N$4:$N$2003,$Z5-0)=0,"",INDEX(包装物料出入库明细!$N$4:$N$2003,$Z5-0)),IF($Z5&lt;=4000,IF(INDEX(周转筐出入库明细!$P$4:$P$2004,$Z5-2000)=0,"",INDEX(周转筐出入库明细!$P$4:$P$2004,$Z5-2000)),IF($Z5&lt;=5200,"",IF($Z5&lt;=5800,N(INDEX(次果筐明细!$L$4:$L$603,$Z5-5200))+N(INDEX(次果筐明细!$J$4:$J$603,$Z5-5200)),"")))))</f>
        <v/>
      </c>
      <c r="L5" s="24" t="str">
        <f>IF($Z5="","",IF($Z5&lt;=2000,IF(INDEX(包装物料出入库明细!$P$4:$P$2003,$Z5-0)=0,"",INDEX(包装物料出入库明细!$P$4:$P$2003,$Z5-0)),IF($Z5&lt;=4000,IF(INDEX(周转筐出入库明细!$Q$4:$Q$2004,$Z5-2000)=0,"",INDEX(周转筐出入库明细!$Q$4:$Q$2004,$Z5-2000)),IF($Z5&lt;=5200,"",IF($Z5&lt;=5800,IF(INDEX(次果筐明细!$M$4:$M$603,$Z5-5200)=0,"",INDEX(次果筐明细!$M$4:$M$603,$Z5-5200)),"")))))</f>
        <v/>
      </c>
      <c r="M5" s="37" t="str">
        <f>IF($Z5="","",IF($Z5&lt;=2000,IF(INDEX(包装物料出入库明细!$R$4:$R$2003,$Z5-0)=0,"",INDEX(包装物料出入库明细!$R$4:$R$2003,$Z5-0)),IF($Z5&lt;=4000,IF(INDEX(周转筐出入库明细!$W$4:$W$2004,$Z5-2000)=0,"",INDEX(周转筐出入库明细!$W$4:$W$2004,$Z5-2000)),IF($Z5&lt;=5200,IF(INDEX(客户自备加工筐明细!$L$4:$L$1203,$Z5-4000)=0,"",INDEX(客户自备加工筐明细!$L$4:$L$1203,$Z5-4000)),IF($Z5&lt;=5800,IF(INDEX(次果筐明细!$P$4:$P$603,$Z5-5200)=0,"",INDEX(次果筐明细!$P$4:$P$603,$Z5-5200)),"")))))</f>
        <v/>
      </c>
      <c r="N5" s="16" t="str">
        <f>IF($Z5="","",IF($Z5&lt;=2000,"",IF($Z5&lt;=4000,IF(INDEX(周转筐出入库明细!$D$4:$D$2004,$Z5-2000)=0,"",INDEX(周转筐出入库明细!$D$4:$D$2004,$Z5-2000)),IF($Z5&lt;=5200,IF(INDEX(客户自备加工筐明细!$C$4:$C$1203,$Z5-4000)=0,"",INDEX(客户自备加工筐明细!$C$4:$C$1203,$Z5-4000)),IF($Z5&lt;=5800,IF(INDEX(次果筐明细!$D$4:$D$603,$Z5-5200)=0,"",INDEX(次果筐明细!$D$4:$D$603,$Z5-5200)),"")))))</f>
        <v/>
      </c>
      <c r="O5" s="40" t="str">
        <f>IF($Z5="","",IF($Z5&lt;=2000,"",IF($Z5&lt;=4000,IF(N(INDEX(周转筐出入库明细!$J$4:$J$2004,$Z5-2000))+N(INDEX(周转筐出入库明细!$K$4:$K$2004,$Z5-2000))=0,"",N(INDEX(周转筐出入库明细!$J$4:$J$2004,$Z5-2000))+N(INDEX(周转筐出入库明细!$K$4:$K$2004,$Z5-2000))),IF($Z5&lt;=5200,IF(N(INDEX(客户自备加工筐明细!$G$4:$G$1203,$Z5-4000))=0,"",N(INDEX(客户自备加工筐明细!$G$4:$G$1203,$Z5-4000))),IF($Z5&lt;=5800,IF(ISNUMBER(SEARCH("退",INDEX(次果筐明细!$F$4:$F$603,$Z5-5200)&amp;"")),"",IF(N(INDEX(次果筐明细!$G$4:$G$603,$Z5-5200))=0,"",N(INDEX(次果筐明细!$G$4:$G$603,$Z5-5200)))),"")))))</f>
        <v/>
      </c>
      <c r="P5" s="40" t="str">
        <f>IF($Z5="","",IF($Z5&lt;=2000,"",IF($Z5&lt;=4000,IF(N(INDEX(周转筐出入库明细!$I$4:$I$2004,$Z5-2000))=0,"",N(INDEX(周转筐出入库明细!$I$4:$I$2004,$Z5-2000))),IF($Z5&lt;=5200,"",IF($Z5&lt;=5800,IF(ISNUMBER(SEARCH("退",INDEX(次果筐明细!$F$4:$F$603,$Z5-5200)&amp;"")),IF(N(INDEX(次果筐明细!$G$4:$G$603,$Z5-5200))=0,"",N(INDEX(次果筐明细!$G$4:$G$603,$Z5-5200))),""),"")))))</f>
        <v/>
      </c>
      <c r="Q5" s="40" t="str">
        <f>IF($Z5="","",IF($Z5&lt;=2000,"",IF($Z5&lt;=4000,IF(N(INDEX(周转筐出入库明细!$H$4:$H$2004,$Z5-2000))=0,"",N(INDEX(周转筐出入库明细!$H$4:$H$2004,$Z5-2000))),IF($Z5&lt;=5200,IF(N(INDEX(客户自备加工筐明细!$F$4:$F$1203,$Z5-4000))=0,"",N(INDEX(客户自备加工筐明细!$F$4:$F$1203,$Z5-4000))),IF($Z5&lt;=5800,"","")))))</f>
        <v/>
      </c>
      <c r="R5" s="16" t="str">
        <f>IF($Z5="","",IF($Z5&lt;=2000,IF(INDEX(包装物料出入库明细!$O$4:$O$2003,$Z5-0)=0,"",INDEX(包装物料出入库明细!$O$4:$O$2003,$Z5-0)),IF($Z5&lt;=4000,IF(INDEX(周转筐出入库明细!$M$4:$M$2004,$Z5-2000)=0,"",INDEX(周转筐出入库明细!$M$4:$M$2004,$Z5-2000)),IF($Z5&lt;=5200,IF(INDEX(客户自备加工筐明细!$H$4:$H$1203,$Z5-4000)=0,"",INDEX(客户自备加工筐明细!$H$4:$H$1203,$Z5-4000)),IF($Z5&lt;=5800,IF(INDEX(次果筐明细!$H$4:$H$603,$Z5-5200)=0,"",INDEX(次果筐明细!$H$4:$H$603,$Z5-5200)),"")))))</f>
        <v/>
      </c>
      <c r="S5" s="22" t="str">
        <f t="shared" si="2"/>
        <v/>
      </c>
      <c r="Z5" s="10">
        <f>IFERROR(MATCH(ROW()-3,_自动清单!$CQ$4:$CQ$5803,0),"")</f>
        <v>2</v>
      </c>
    </row>
    <row r="6" spans="1:26">
      <c r="A6" s="24">
        <f t="shared" si="0"/>
        <v>3</v>
      </c>
      <c r="B6" s="38">
        <f>IF($Z6="","",IF($Z6&lt;=2000,IF(INDEX(包装物料出入库明细!$B$4:$B$2003,$Z6-0)=0,"",INDEX(包装物料出入库明细!$B$4:$B$2003,$Z6-0)),IF($Z6&lt;=4000,IF(INDEX(周转筐出入库明细!$B$4:$B$2004,$Z6-2000)=0,"",INDEX(周转筐出入库明细!$B$4:$B$2004,$Z6-2000)),IF($Z6&lt;=5200,IF(INDEX(客户自备加工筐明细!$B$4:$B$1203,$Z6-4000)=0,"",INDEX(客户自备加工筐明细!$B$4:$B$1203,$Z6-4000)),IF($Z6&lt;=5800,IF(INDEX(次果筐明细!$B$4:$B$603,$Z6-5200)=0,"",INDEX(次果筐明细!$B$4:$B$603,$Z6-5200)),"")))))</f>
        <v>46266</v>
      </c>
      <c r="C6" s="37" t="str">
        <f>IF($Z6="","",IF($Z6&lt;=2000,IF(INDEX(包装物料出入库明细!$D$4:$D$2003,$Z6-0)=0,"",INDEX(包装物料出入库明细!$D$4:$D$2003,$Z6-0)),IF($Z6&lt;=4000,IF(INDEX(周转筐出入库明细!$C$4:$C$2004,$Z6-2000)=0,"",INDEX(周转筐出入库明细!$C$4:$C$2004,$Z6-2000)),IF($Z6&lt;=5200,IF(INDEX(客户自备加工筐明细!$E$4:$E$1203,$Z6-4000)=0,"",INDEX(客户自备加工筐明细!$E$4:$E$1203,$Z6-4000)),IF($Z6&lt;=5800,IF(INDEX(次果筐明细!$C$4:$C$603,$Z6-5200)=0,"",INDEX(次果筐明细!$C$4:$C$603,$Z6-5200)),"")))))</f>
        <v>果然鲜</v>
      </c>
      <c r="D6" s="37" t="str">
        <f>IF($Z6="","",IF($Z6&lt;=2000,"包装物料－"&amp;INDEX(包装物料出入库明细!$H$4:$H$2003,$Z6-0),IF($Z6&lt;=4000,"周转筐－"&amp;INDEX(周转筐出入库明细!$F$4:$F$2004,$Z6-2000),IF($Z6&lt;=5200,"客户自备筐－"&amp;INDEX(客户自备加工筐明细!$J$4:$J$1203,$Z6-4000),IF($Z6&lt;=5800,"次果筐/托盘－"&amp;INDEX(次果筐明细!$F$4:$F$603,$Z6-5200),"")))))</f>
        <v>包装物料－期初库存</v>
      </c>
      <c r="E6" s="24" t="str">
        <f>IF($Z6="","",IF($Z6&lt;=2000,IF(INDEX(包装物料出入库明细!$C$4:$C$2003,$Z6-0)=0,"",INDEX(包装物料出入库明细!$C$4:$C$2003,$Z6-0)),IF($Z6&lt;=4000,IF(INDEX(周转筐出入库明细!$E$4:$E$2004,$Z6-2000)=0,"",INDEX(周转筐出入库明细!$E$4:$E$2004,$Z6-2000)),IF($Z6&lt;=5200,IF(INDEX(客户自备加工筐明细!$D$4:$D$1203,$Z6-4000)=0,"",INDEX(客户自备加工筐明细!$D$4:$D$1203,$Z6-4000)),IF($Z6&lt;=5800,IF(INDEX(次果筐明细!$E$4:$E$603,$Z6-5200)=0,"",INDEX(次果筐明细!$E$4:$E$603,$Z6-5200)),"")))))</f>
        <v/>
      </c>
      <c r="F6" s="24" t="str">
        <f>IF($Z6="","",IF($Z6&lt;=2000,IF(INDEX(包装物料出入库明细!$E$4:$E$2003,$Z6-0)=0,"",INDEX(包装物料出入库明细!$E$4:$E$2003,$Z6-0)),IF($Z6&lt;=4000,IF(INDEX(周转筐出入库明细!$D$4:$D$2004,$Z6-2000)=0,"",INDEX(周转筐出入库明细!$D$4:$D$2004,$Z6-2000)),IF($Z6&lt;=5200,IF(INDEX(客户自备加工筐明细!$C$4:$C$1203,$Z6-4000)=0,"",INDEX(客户自备加工筐明细!$C$4:$C$1203,$Z6-4000)),IF($Z6&lt;=5800,IF(INDEX(次果筐明细!$D$4:$D$603,$Z6-5200)=0,"",INDEX(次果筐明细!$D$4:$D$603,$Z6-5200)),"")))))</f>
        <v>纸垫板</v>
      </c>
      <c r="G6" s="24" t="str">
        <f>IF($Z6="","",IF($Z6&lt;=2000,IF(INDEX(包装物料出入库明细!$F$4:$F$2003,$Z6-0)=0,"",INDEX(包装物料出入库明细!$F$4:$F$2003,$Z6-0)),IF($Z6&lt;=4000,"",IF($Z6&lt;=5200,"",IF($Z6&lt;=5800,"","")))))</f>
        <v>*100张</v>
      </c>
      <c r="H6" s="39">
        <f>IF($Z6="","",IF($Z6&lt;=2000,IF(INDEX(包装物料出入库明细!$L$4:$L$2003,$Z6-0)=0,"",INDEX(包装物料出入库明细!$L$4:$L$2003,$Z6-0)),IF($Z6&lt;=4000,N(INDEX(周转筐出入库明细!$H$4:$H$2004,$Z6-2000))+N(INDEX(周转筐出入库明细!$I$4:$I$2004,$Z6-2000))+N(INDEX(周转筐出入库明细!$J$4:$J$2004,$Z6-2000))+N(INDEX(周转筐出入库明细!$K$4:$K$2004,$Z6-2000)),IF($Z6&lt;=5200,N(INDEX(客户自备加工筐明细!$F$4:$F$1203,$Z6-4000))+N(INDEX(客户自备加工筐明细!$G$4:$G$1203,$Z6-4000)),IF($Z6&lt;=5800,IF(INDEX(次果筐明细!$G$4:$G$603,$Z6-5200)=0,"",INDEX(次果筐明细!$G$4:$G$603,$Z6-5200)),"")))))</f>
        <v>8700</v>
      </c>
      <c r="I6" s="24" t="str">
        <f>IF($Z6="","",IF($Z6&lt;=2000,IF(INDEX(包装物料出入库明细!$G$4:$G$2003,$Z6-0)=0,"",INDEX(包装物料出入库明细!$G$4:$G$2003,$Z6-0)),IF($Z6&lt;=4000,"个",IF($Z6&lt;=5200,"个",IF($Z6&lt;=5800,"个","")))))</f>
        <v>张</v>
      </c>
      <c r="J6" s="30" t="str">
        <f t="shared" si="1"/>
        <v/>
      </c>
      <c r="K6" s="30" t="str">
        <f>IF($Z6="","",IF($Z6&lt;=2000,IF(INDEX(包装物料出入库明细!$N$4:$N$2003,$Z6-0)=0,"",INDEX(包装物料出入库明细!$N$4:$N$2003,$Z6-0)),IF($Z6&lt;=4000,IF(INDEX(周转筐出入库明细!$P$4:$P$2004,$Z6-2000)=0,"",INDEX(周转筐出入库明细!$P$4:$P$2004,$Z6-2000)),IF($Z6&lt;=5200,"",IF($Z6&lt;=5800,N(INDEX(次果筐明细!$L$4:$L$603,$Z6-5200))+N(INDEX(次果筐明细!$J$4:$J$603,$Z6-5200)),"")))))</f>
        <v/>
      </c>
      <c r="L6" s="24" t="str">
        <f>IF($Z6="","",IF($Z6&lt;=2000,IF(INDEX(包装物料出入库明细!$P$4:$P$2003,$Z6-0)=0,"",INDEX(包装物料出入库明细!$P$4:$P$2003,$Z6-0)),IF($Z6&lt;=4000,IF(INDEX(周转筐出入库明细!$Q$4:$Q$2004,$Z6-2000)=0,"",INDEX(周转筐出入库明细!$Q$4:$Q$2004,$Z6-2000)),IF($Z6&lt;=5200,"",IF($Z6&lt;=5800,IF(INDEX(次果筐明细!$M$4:$M$603,$Z6-5200)=0,"",INDEX(次果筐明细!$M$4:$M$603,$Z6-5200)),"")))))</f>
        <v/>
      </c>
      <c r="M6" s="37" t="str">
        <f>IF($Z6="","",IF($Z6&lt;=2000,IF(INDEX(包装物料出入库明细!$R$4:$R$2003,$Z6-0)=0,"",INDEX(包装物料出入库明细!$R$4:$R$2003,$Z6-0)),IF($Z6&lt;=4000,IF(INDEX(周转筐出入库明细!$W$4:$W$2004,$Z6-2000)=0,"",INDEX(周转筐出入库明细!$W$4:$W$2004,$Z6-2000)),IF($Z6&lt;=5200,IF(INDEX(客户自备加工筐明细!$L$4:$L$1203,$Z6-4000)=0,"",INDEX(客户自备加工筐明细!$L$4:$L$1203,$Z6-4000)),IF($Z6&lt;=5800,IF(INDEX(次果筐明细!$P$4:$P$603,$Z6-5200)=0,"",INDEX(次果筐明细!$P$4:$P$603,$Z6-5200)),"")))))</f>
        <v/>
      </c>
      <c r="N6" s="16" t="str">
        <f>IF($Z6="","",IF($Z6&lt;=2000,"",IF($Z6&lt;=4000,IF(INDEX(周转筐出入库明细!$D$4:$D$2004,$Z6-2000)=0,"",INDEX(周转筐出入库明细!$D$4:$D$2004,$Z6-2000)),IF($Z6&lt;=5200,IF(INDEX(客户自备加工筐明细!$C$4:$C$1203,$Z6-4000)=0,"",INDEX(客户自备加工筐明细!$C$4:$C$1203,$Z6-4000)),IF($Z6&lt;=5800,IF(INDEX(次果筐明细!$D$4:$D$603,$Z6-5200)=0,"",INDEX(次果筐明细!$D$4:$D$603,$Z6-5200)),"")))))</f>
        <v/>
      </c>
      <c r="O6" s="40" t="str">
        <f>IF($Z6="","",IF($Z6&lt;=2000,"",IF($Z6&lt;=4000,IF(N(INDEX(周转筐出入库明细!$J$4:$J$2004,$Z6-2000))+N(INDEX(周转筐出入库明细!$K$4:$K$2004,$Z6-2000))=0,"",N(INDEX(周转筐出入库明细!$J$4:$J$2004,$Z6-2000))+N(INDEX(周转筐出入库明细!$K$4:$K$2004,$Z6-2000))),IF($Z6&lt;=5200,IF(N(INDEX(客户自备加工筐明细!$G$4:$G$1203,$Z6-4000))=0,"",N(INDEX(客户自备加工筐明细!$G$4:$G$1203,$Z6-4000))),IF($Z6&lt;=5800,IF(ISNUMBER(SEARCH("退",INDEX(次果筐明细!$F$4:$F$603,$Z6-5200)&amp;"")),"",IF(N(INDEX(次果筐明细!$G$4:$G$603,$Z6-5200))=0,"",N(INDEX(次果筐明细!$G$4:$G$603,$Z6-5200)))),"")))))</f>
        <v/>
      </c>
      <c r="P6" s="40" t="str">
        <f>IF($Z6="","",IF($Z6&lt;=2000,"",IF($Z6&lt;=4000,IF(N(INDEX(周转筐出入库明细!$I$4:$I$2004,$Z6-2000))=0,"",N(INDEX(周转筐出入库明细!$I$4:$I$2004,$Z6-2000))),IF($Z6&lt;=5200,"",IF($Z6&lt;=5800,IF(ISNUMBER(SEARCH("退",INDEX(次果筐明细!$F$4:$F$603,$Z6-5200)&amp;"")),IF(N(INDEX(次果筐明细!$G$4:$G$603,$Z6-5200))=0,"",N(INDEX(次果筐明细!$G$4:$G$603,$Z6-5200))),""),"")))))</f>
        <v/>
      </c>
      <c r="Q6" s="40" t="str">
        <f>IF($Z6="","",IF($Z6&lt;=2000,"",IF($Z6&lt;=4000,IF(N(INDEX(周转筐出入库明细!$H$4:$H$2004,$Z6-2000))=0,"",N(INDEX(周转筐出入库明细!$H$4:$H$2004,$Z6-2000))),IF($Z6&lt;=5200,IF(N(INDEX(客户自备加工筐明细!$F$4:$F$1203,$Z6-4000))=0,"",N(INDEX(客户自备加工筐明细!$F$4:$F$1203,$Z6-4000))),IF($Z6&lt;=5800,"","")))))</f>
        <v/>
      </c>
      <c r="R6" s="16" t="str">
        <f>IF($Z6="","",IF($Z6&lt;=2000,IF(INDEX(包装物料出入库明细!$O$4:$O$2003,$Z6-0)=0,"",INDEX(包装物料出入库明细!$O$4:$O$2003,$Z6-0)),IF($Z6&lt;=4000,IF(INDEX(周转筐出入库明细!$M$4:$M$2004,$Z6-2000)=0,"",INDEX(周转筐出入库明细!$M$4:$M$2004,$Z6-2000)),IF($Z6&lt;=5200,IF(INDEX(客户自备加工筐明细!$H$4:$H$1203,$Z6-4000)=0,"",INDEX(客户自备加工筐明细!$H$4:$H$1203,$Z6-4000)),IF($Z6&lt;=5800,IF(INDEX(次果筐明细!$H$4:$H$603,$Z6-5200)=0,"",INDEX(次果筐明细!$H$4:$H$603,$Z6-5200)),"")))))</f>
        <v/>
      </c>
      <c r="S6" s="22" t="str">
        <f t="shared" si="2"/>
        <v/>
      </c>
      <c r="Z6" s="10">
        <f>IFERROR(MATCH(ROW()-3,_自动清单!$CQ$4:$CQ$5803,0),"")</f>
        <v>3</v>
      </c>
    </row>
    <row r="7" spans="1:26">
      <c r="A7" s="24">
        <f t="shared" si="0"/>
        <v>4</v>
      </c>
      <c r="B7" s="38">
        <f>IF($Z7="","",IF($Z7&lt;=2000,IF(INDEX(包装物料出入库明细!$B$4:$B$2003,$Z7-0)=0,"",INDEX(包装物料出入库明细!$B$4:$B$2003,$Z7-0)),IF($Z7&lt;=4000,IF(INDEX(周转筐出入库明细!$B$4:$B$2004,$Z7-2000)=0,"",INDEX(周转筐出入库明细!$B$4:$B$2004,$Z7-2000)),IF($Z7&lt;=5200,IF(INDEX(客户自备加工筐明细!$B$4:$B$1203,$Z7-4000)=0,"",INDEX(客户自备加工筐明细!$B$4:$B$1203,$Z7-4000)),IF($Z7&lt;=5800,IF(INDEX(次果筐明细!$B$4:$B$603,$Z7-5200)=0,"",INDEX(次果筐明细!$B$4:$B$603,$Z7-5200)),"")))))</f>
        <v>46266</v>
      </c>
      <c r="C7" s="37" t="str">
        <f>IF($Z7="","",IF($Z7&lt;=2000,IF(INDEX(包装物料出入库明细!$D$4:$D$2003,$Z7-0)=0,"",INDEX(包装物料出入库明细!$D$4:$D$2003,$Z7-0)),IF($Z7&lt;=4000,IF(INDEX(周转筐出入库明细!$C$4:$C$2004,$Z7-2000)=0,"",INDEX(周转筐出入库明细!$C$4:$C$2004,$Z7-2000)),IF($Z7&lt;=5200,IF(INDEX(客户自备加工筐明细!$E$4:$E$1203,$Z7-4000)=0,"",INDEX(客户自备加工筐明细!$E$4:$E$1203,$Z7-4000)),IF($Z7&lt;=5800,IF(INDEX(次果筐明细!$C$4:$C$603,$Z7-5200)=0,"",INDEX(次果筐明细!$C$4:$C$603,$Z7-5200)),"")))))</f>
        <v>果然鲜</v>
      </c>
      <c r="D7" s="37" t="str">
        <f>IF($Z7="","",IF($Z7&lt;=2000,"包装物料－"&amp;INDEX(包装物料出入库明细!$H$4:$H$2003,$Z7-0),IF($Z7&lt;=4000,"周转筐－"&amp;INDEX(周转筐出入库明细!$F$4:$F$2004,$Z7-2000),IF($Z7&lt;=5200,"客户自备筐－"&amp;INDEX(客户自备加工筐明细!$J$4:$J$1203,$Z7-4000),IF($Z7&lt;=5800,"次果筐/托盘－"&amp;INDEX(次果筐明细!$F$4:$F$603,$Z7-5200),"")))))</f>
        <v>包装物料－期初库存</v>
      </c>
      <c r="E7" s="24" t="str">
        <f>IF($Z7="","",IF($Z7&lt;=2000,IF(INDEX(包装物料出入库明细!$C$4:$C$2003,$Z7-0)=0,"",INDEX(包装物料出入库明细!$C$4:$C$2003,$Z7-0)),IF($Z7&lt;=4000,IF(INDEX(周转筐出入库明细!$E$4:$E$2004,$Z7-2000)=0,"",INDEX(周转筐出入库明细!$E$4:$E$2004,$Z7-2000)),IF($Z7&lt;=5200,IF(INDEX(客户自备加工筐明细!$D$4:$D$1203,$Z7-4000)=0,"",INDEX(客户自备加工筐明细!$D$4:$D$1203,$Z7-4000)),IF($Z7&lt;=5800,IF(INDEX(次果筐明细!$E$4:$E$603,$Z7-5200)=0,"",INDEX(次果筐明细!$E$4:$E$603,$Z7-5200)),"")))))</f>
        <v/>
      </c>
      <c r="F7" s="24" t="str">
        <f>IF($Z7="","",IF($Z7&lt;=2000,IF(INDEX(包装物料出入库明细!$E$4:$E$2003,$Z7-0)=0,"",INDEX(包装物料出入库明细!$E$4:$E$2003,$Z7-0)),IF($Z7&lt;=4000,IF(INDEX(周转筐出入库明细!$D$4:$D$2004,$Z7-2000)=0,"",INDEX(周转筐出入库明细!$D$4:$D$2004,$Z7-2000)),IF($Z7&lt;=5200,IF(INDEX(客户自备加工筐明细!$C$4:$C$1203,$Z7-4000)=0,"",INDEX(客户自备加工筐明细!$C$4:$C$1203,$Z7-4000)),IF($Z7&lt;=5800,IF(INDEX(次果筐明细!$D$4:$D$603,$Z7-5200)=0,"",INDEX(次果筐明细!$D$4:$D$603,$Z7-5200)),"")))))</f>
        <v>香梨纸</v>
      </c>
      <c r="G7" s="24" t="str">
        <f>IF($Z7="","",IF($Z7&lt;=2000,IF(INDEX(包装物料出入库明细!$F$4:$F$2003,$Z7-0)=0,"",INDEX(包装物料出入库明细!$F$4:$F$2003,$Z7-0)),IF($Z7&lt;=4000,"",IF($Z7&lt;=5200,"",IF($Z7&lt;=5800,"","")))))</f>
        <v>*捆</v>
      </c>
      <c r="H7" s="39">
        <f>IF($Z7="","",IF($Z7&lt;=2000,IF(INDEX(包装物料出入库明细!$L$4:$L$2003,$Z7-0)=0,"",INDEX(包装物料出入库明细!$L$4:$L$2003,$Z7-0)),IF($Z7&lt;=4000,N(INDEX(周转筐出入库明细!$H$4:$H$2004,$Z7-2000))+N(INDEX(周转筐出入库明细!$I$4:$I$2004,$Z7-2000))+N(INDEX(周转筐出入库明细!$J$4:$J$2004,$Z7-2000))+N(INDEX(周转筐出入库明细!$K$4:$K$2004,$Z7-2000)),IF($Z7&lt;=5200,N(INDEX(客户自备加工筐明细!$F$4:$F$1203,$Z7-4000))+N(INDEX(客户自备加工筐明细!$G$4:$G$1203,$Z7-4000)),IF($Z7&lt;=5800,IF(INDEX(次果筐明细!$G$4:$G$603,$Z7-5200)=0,"",INDEX(次果筐明细!$G$4:$G$603,$Z7-5200)),"")))))</f>
        <v>48</v>
      </c>
      <c r="I7" s="24" t="str">
        <f>IF($Z7="","",IF($Z7&lt;=2000,IF(INDEX(包装物料出入库明细!$G$4:$G$2003,$Z7-0)=0,"",INDEX(包装物料出入库明细!$G$4:$G$2003,$Z7-0)),IF($Z7&lt;=4000,"个",IF($Z7&lt;=5200,"个",IF($Z7&lt;=5800,"个","")))))</f>
        <v>捆</v>
      </c>
      <c r="J7" s="30" t="str">
        <f t="shared" si="1"/>
        <v/>
      </c>
      <c r="K7" s="30" t="str">
        <f>IF($Z7="","",IF($Z7&lt;=2000,IF(INDEX(包装物料出入库明细!$N$4:$N$2003,$Z7-0)=0,"",INDEX(包装物料出入库明细!$N$4:$N$2003,$Z7-0)),IF($Z7&lt;=4000,IF(INDEX(周转筐出入库明细!$P$4:$P$2004,$Z7-2000)=0,"",INDEX(周转筐出入库明细!$P$4:$P$2004,$Z7-2000)),IF($Z7&lt;=5200,"",IF($Z7&lt;=5800,N(INDEX(次果筐明细!$L$4:$L$603,$Z7-5200))+N(INDEX(次果筐明细!$J$4:$J$603,$Z7-5200)),"")))))</f>
        <v/>
      </c>
      <c r="L7" s="24" t="str">
        <f>IF($Z7="","",IF($Z7&lt;=2000,IF(INDEX(包装物料出入库明细!$P$4:$P$2003,$Z7-0)=0,"",INDEX(包装物料出入库明细!$P$4:$P$2003,$Z7-0)),IF($Z7&lt;=4000,IF(INDEX(周转筐出入库明细!$Q$4:$Q$2004,$Z7-2000)=0,"",INDEX(周转筐出入库明细!$Q$4:$Q$2004,$Z7-2000)),IF($Z7&lt;=5200,"",IF($Z7&lt;=5800,IF(INDEX(次果筐明细!$M$4:$M$603,$Z7-5200)=0,"",INDEX(次果筐明细!$M$4:$M$603,$Z7-5200)),"")))))</f>
        <v/>
      </c>
      <c r="M7" s="37" t="str">
        <f>IF($Z7="","",IF($Z7&lt;=2000,IF(INDEX(包装物料出入库明细!$R$4:$R$2003,$Z7-0)=0,"",INDEX(包装物料出入库明细!$R$4:$R$2003,$Z7-0)),IF($Z7&lt;=4000,IF(INDEX(周转筐出入库明细!$W$4:$W$2004,$Z7-2000)=0,"",INDEX(周转筐出入库明细!$W$4:$W$2004,$Z7-2000)),IF($Z7&lt;=5200,IF(INDEX(客户自备加工筐明细!$L$4:$L$1203,$Z7-4000)=0,"",INDEX(客户自备加工筐明细!$L$4:$L$1203,$Z7-4000)),IF($Z7&lt;=5800,IF(INDEX(次果筐明细!$P$4:$P$603,$Z7-5200)=0,"",INDEX(次果筐明细!$P$4:$P$603,$Z7-5200)),"")))))</f>
        <v/>
      </c>
      <c r="N7" s="16" t="str">
        <f>IF($Z7="","",IF($Z7&lt;=2000,"",IF($Z7&lt;=4000,IF(INDEX(周转筐出入库明细!$D$4:$D$2004,$Z7-2000)=0,"",INDEX(周转筐出入库明细!$D$4:$D$2004,$Z7-2000)),IF($Z7&lt;=5200,IF(INDEX(客户自备加工筐明细!$C$4:$C$1203,$Z7-4000)=0,"",INDEX(客户自备加工筐明细!$C$4:$C$1203,$Z7-4000)),IF($Z7&lt;=5800,IF(INDEX(次果筐明细!$D$4:$D$603,$Z7-5200)=0,"",INDEX(次果筐明细!$D$4:$D$603,$Z7-5200)),"")))))</f>
        <v/>
      </c>
      <c r="O7" s="40" t="str">
        <f>IF($Z7="","",IF($Z7&lt;=2000,"",IF($Z7&lt;=4000,IF(N(INDEX(周转筐出入库明细!$J$4:$J$2004,$Z7-2000))+N(INDEX(周转筐出入库明细!$K$4:$K$2004,$Z7-2000))=0,"",N(INDEX(周转筐出入库明细!$J$4:$J$2004,$Z7-2000))+N(INDEX(周转筐出入库明细!$K$4:$K$2004,$Z7-2000))),IF($Z7&lt;=5200,IF(N(INDEX(客户自备加工筐明细!$G$4:$G$1203,$Z7-4000))=0,"",N(INDEX(客户自备加工筐明细!$G$4:$G$1203,$Z7-4000))),IF($Z7&lt;=5800,IF(ISNUMBER(SEARCH("退",INDEX(次果筐明细!$F$4:$F$603,$Z7-5200)&amp;"")),"",IF(N(INDEX(次果筐明细!$G$4:$G$603,$Z7-5200))=0,"",N(INDEX(次果筐明细!$G$4:$G$603,$Z7-5200)))),"")))))</f>
        <v/>
      </c>
      <c r="P7" s="40" t="str">
        <f>IF($Z7="","",IF($Z7&lt;=2000,"",IF($Z7&lt;=4000,IF(N(INDEX(周转筐出入库明细!$I$4:$I$2004,$Z7-2000))=0,"",N(INDEX(周转筐出入库明细!$I$4:$I$2004,$Z7-2000))),IF($Z7&lt;=5200,"",IF($Z7&lt;=5800,IF(ISNUMBER(SEARCH("退",INDEX(次果筐明细!$F$4:$F$603,$Z7-5200)&amp;"")),IF(N(INDEX(次果筐明细!$G$4:$G$603,$Z7-5200))=0,"",N(INDEX(次果筐明细!$G$4:$G$603,$Z7-5200))),""),"")))))</f>
        <v/>
      </c>
      <c r="Q7" s="40" t="str">
        <f>IF($Z7="","",IF($Z7&lt;=2000,"",IF($Z7&lt;=4000,IF(N(INDEX(周转筐出入库明细!$H$4:$H$2004,$Z7-2000))=0,"",N(INDEX(周转筐出入库明细!$H$4:$H$2004,$Z7-2000))),IF($Z7&lt;=5200,IF(N(INDEX(客户自备加工筐明细!$F$4:$F$1203,$Z7-4000))=0,"",N(INDEX(客户自备加工筐明细!$F$4:$F$1203,$Z7-4000))),IF($Z7&lt;=5800,"","")))))</f>
        <v/>
      </c>
      <c r="R7" s="16" t="str">
        <f>IF($Z7="","",IF($Z7&lt;=2000,IF(INDEX(包装物料出入库明细!$O$4:$O$2003,$Z7-0)=0,"",INDEX(包装物料出入库明细!$O$4:$O$2003,$Z7-0)),IF($Z7&lt;=4000,IF(INDEX(周转筐出入库明细!$M$4:$M$2004,$Z7-2000)=0,"",INDEX(周转筐出入库明细!$M$4:$M$2004,$Z7-2000)),IF($Z7&lt;=5200,IF(INDEX(客户自备加工筐明细!$H$4:$H$1203,$Z7-4000)=0,"",INDEX(客户自备加工筐明细!$H$4:$H$1203,$Z7-4000)),IF($Z7&lt;=5800,IF(INDEX(次果筐明细!$H$4:$H$603,$Z7-5200)=0,"",INDEX(次果筐明细!$H$4:$H$603,$Z7-5200)),"")))))</f>
        <v/>
      </c>
      <c r="S7" s="22" t="str">
        <f t="shared" si="2"/>
        <v/>
      </c>
      <c r="Z7" s="10">
        <f>IFERROR(MATCH(ROW()-3,_自动清单!$CQ$4:$CQ$5803,0),"")</f>
        <v>4</v>
      </c>
    </row>
    <row r="8" spans="1:26">
      <c r="A8" s="24">
        <f t="shared" si="0"/>
        <v>5</v>
      </c>
      <c r="B8" s="38">
        <f>IF($Z8="","",IF($Z8&lt;=2000,IF(INDEX(包装物料出入库明细!$B$4:$B$2003,$Z8-0)=0,"",INDEX(包装物料出入库明细!$B$4:$B$2003,$Z8-0)),IF($Z8&lt;=4000,IF(INDEX(周转筐出入库明细!$B$4:$B$2004,$Z8-2000)=0,"",INDEX(周转筐出入库明细!$B$4:$B$2004,$Z8-2000)),IF($Z8&lt;=5200,IF(INDEX(客户自备加工筐明细!$B$4:$B$1203,$Z8-4000)=0,"",INDEX(客户自备加工筐明细!$B$4:$B$1203,$Z8-4000)),IF($Z8&lt;=5800,IF(INDEX(次果筐明细!$B$4:$B$603,$Z8-5200)=0,"",INDEX(次果筐明细!$B$4:$B$603,$Z8-5200)),"")))))</f>
        <v>46266</v>
      </c>
      <c r="C8" s="37" t="str">
        <f>IF($Z8="","",IF($Z8&lt;=2000,IF(INDEX(包装物料出入库明细!$D$4:$D$2003,$Z8-0)=0,"",INDEX(包装物料出入库明细!$D$4:$D$2003,$Z8-0)),IF($Z8&lt;=4000,IF(INDEX(周转筐出入库明细!$C$4:$C$2004,$Z8-2000)=0,"",INDEX(周转筐出入库明细!$C$4:$C$2004,$Z8-2000)),IF($Z8&lt;=5200,IF(INDEX(客户自备加工筐明细!$E$4:$E$1203,$Z8-4000)=0,"",INDEX(客户自备加工筐明细!$E$4:$E$1203,$Z8-4000)),IF($Z8&lt;=5800,IF(INDEX(次果筐明细!$C$4:$C$603,$Z8-5200)=0,"",INDEX(次果筐明细!$C$4:$C$603,$Z8-5200)),"")))))</f>
        <v>果然鲜</v>
      </c>
      <c r="D8" s="37" t="str">
        <f>IF($Z8="","",IF($Z8&lt;=2000,"包装物料－"&amp;INDEX(包装物料出入库明细!$H$4:$H$2003,$Z8-0),IF($Z8&lt;=4000,"周转筐－"&amp;INDEX(周转筐出入库明细!$F$4:$F$2004,$Z8-2000),IF($Z8&lt;=5200,"客户自备筐－"&amp;INDEX(客户自备加工筐明细!$J$4:$J$1203,$Z8-4000),IF($Z8&lt;=5800,"次果筐/托盘－"&amp;INDEX(次果筐明细!$F$4:$F$603,$Z8-5200),"")))))</f>
        <v>包装物料－期初库存</v>
      </c>
      <c r="E8" s="24" t="str">
        <f>IF($Z8="","",IF($Z8&lt;=2000,IF(INDEX(包装物料出入库明细!$C$4:$C$2003,$Z8-0)=0,"",INDEX(包装物料出入库明细!$C$4:$C$2003,$Z8-0)),IF($Z8&lt;=4000,IF(INDEX(周转筐出入库明细!$E$4:$E$2004,$Z8-2000)=0,"",INDEX(周转筐出入库明细!$E$4:$E$2004,$Z8-2000)),IF($Z8&lt;=5200,IF(INDEX(客户自备加工筐明细!$D$4:$D$1203,$Z8-4000)=0,"",INDEX(客户自备加工筐明细!$D$4:$D$1203,$Z8-4000)),IF($Z8&lt;=5800,IF(INDEX(次果筐明细!$E$4:$E$603,$Z8-5200)=0,"",INDEX(次果筐明细!$E$4:$E$603,$Z8-5200)),"")))))</f>
        <v/>
      </c>
      <c r="F8" s="24" t="str">
        <f>IF($Z8="","",IF($Z8&lt;=2000,IF(INDEX(包装物料出入库明细!$E$4:$E$2003,$Z8-0)=0,"",INDEX(包装物料出入库明细!$E$4:$E$2003,$Z8-0)),IF($Z8&lt;=4000,IF(INDEX(周转筐出入库明细!$D$4:$D$2004,$Z8-2000)=0,"",INDEX(周转筐出入库明细!$D$4:$D$2004,$Z8-2000)),IF($Z8&lt;=5200,IF(INDEX(客户自备加工筐明细!$C$4:$C$1203,$Z8-4000)=0,"",INDEX(客户自备加工筐明细!$C$4:$C$1203,$Z8-4000)),IF($Z8&lt;=5800,IF(INDEX(次果筐明细!$D$4:$D$603,$Z8-5200)=0,"",INDEX(次果筐明细!$D$4:$D$603,$Z8-5200)),"")))))</f>
        <v>冷煤/氟利昂</v>
      </c>
      <c r="G8" s="24" t="str">
        <f>IF($Z8="","",IF($Z8&lt;=2000,IF(INDEX(包装物料出入库明细!$F$4:$F$2003,$Z8-0)=0,"",INDEX(包装物料出入库明细!$F$4:$F$2003,$Z8-0)),IF($Z8&lt;=4000,"",IF($Z8&lt;=5200,"",IF($Z8&lt;=5800,"","")))))</f>
        <v>*瓶</v>
      </c>
      <c r="H8" s="39">
        <f>IF($Z8="","",IF($Z8&lt;=2000,IF(INDEX(包装物料出入库明细!$L$4:$L$2003,$Z8-0)=0,"",INDEX(包装物料出入库明细!$L$4:$L$2003,$Z8-0)),IF($Z8&lt;=4000,N(INDEX(周转筐出入库明细!$H$4:$H$2004,$Z8-2000))+N(INDEX(周转筐出入库明细!$I$4:$I$2004,$Z8-2000))+N(INDEX(周转筐出入库明细!$J$4:$J$2004,$Z8-2000))+N(INDEX(周转筐出入库明细!$K$4:$K$2004,$Z8-2000)),IF($Z8&lt;=5200,N(INDEX(客户自备加工筐明细!$F$4:$F$1203,$Z8-4000))+N(INDEX(客户自备加工筐明细!$G$4:$G$1203,$Z8-4000)),IF($Z8&lt;=5800,IF(INDEX(次果筐明细!$G$4:$G$603,$Z8-5200)=0,"",INDEX(次果筐明细!$G$4:$G$603,$Z8-5200)),"")))))</f>
        <v>23</v>
      </c>
      <c r="I8" s="24" t="str">
        <f>IF($Z8="","",IF($Z8&lt;=2000,IF(INDEX(包装物料出入库明细!$G$4:$G$2003,$Z8-0)=0,"",INDEX(包装物料出入库明细!$G$4:$G$2003,$Z8-0)),IF($Z8&lt;=4000,"个",IF($Z8&lt;=5200,"个",IF($Z8&lt;=5800,"个","")))))</f>
        <v>瓶</v>
      </c>
      <c r="J8" s="30" t="str">
        <f t="shared" si="1"/>
        <v/>
      </c>
      <c r="K8" s="30" t="str">
        <f>IF($Z8="","",IF($Z8&lt;=2000,IF(INDEX(包装物料出入库明细!$N$4:$N$2003,$Z8-0)=0,"",INDEX(包装物料出入库明细!$N$4:$N$2003,$Z8-0)),IF($Z8&lt;=4000,IF(INDEX(周转筐出入库明细!$P$4:$P$2004,$Z8-2000)=0,"",INDEX(周转筐出入库明细!$P$4:$P$2004,$Z8-2000)),IF($Z8&lt;=5200,"",IF($Z8&lt;=5800,N(INDEX(次果筐明细!$L$4:$L$603,$Z8-5200))+N(INDEX(次果筐明细!$J$4:$J$603,$Z8-5200)),"")))))</f>
        <v/>
      </c>
      <c r="L8" s="24" t="str">
        <f>IF($Z8="","",IF($Z8&lt;=2000,IF(INDEX(包装物料出入库明细!$P$4:$P$2003,$Z8-0)=0,"",INDEX(包装物料出入库明细!$P$4:$P$2003,$Z8-0)),IF($Z8&lt;=4000,IF(INDEX(周转筐出入库明细!$Q$4:$Q$2004,$Z8-2000)=0,"",INDEX(周转筐出入库明细!$Q$4:$Q$2004,$Z8-2000)),IF($Z8&lt;=5200,"",IF($Z8&lt;=5800,IF(INDEX(次果筐明细!$M$4:$M$603,$Z8-5200)=0,"",INDEX(次果筐明细!$M$4:$M$603,$Z8-5200)),"")))))</f>
        <v/>
      </c>
      <c r="M8" s="37" t="str">
        <f>IF($Z8="","",IF($Z8&lt;=2000,IF(INDEX(包装物料出入库明细!$R$4:$R$2003,$Z8-0)=0,"",INDEX(包装物料出入库明细!$R$4:$R$2003,$Z8-0)),IF($Z8&lt;=4000,IF(INDEX(周转筐出入库明细!$W$4:$W$2004,$Z8-2000)=0,"",INDEX(周转筐出入库明细!$W$4:$W$2004,$Z8-2000)),IF($Z8&lt;=5200,IF(INDEX(客户自备加工筐明细!$L$4:$L$1203,$Z8-4000)=0,"",INDEX(客户自备加工筐明细!$L$4:$L$1203,$Z8-4000)),IF($Z8&lt;=5800,IF(INDEX(次果筐明细!$P$4:$P$603,$Z8-5200)=0,"",INDEX(次果筐明细!$P$4:$P$603,$Z8-5200)),"")))))</f>
        <v/>
      </c>
      <c r="N8" s="16" t="str">
        <f>IF($Z8="","",IF($Z8&lt;=2000,"",IF($Z8&lt;=4000,IF(INDEX(周转筐出入库明细!$D$4:$D$2004,$Z8-2000)=0,"",INDEX(周转筐出入库明细!$D$4:$D$2004,$Z8-2000)),IF($Z8&lt;=5200,IF(INDEX(客户自备加工筐明细!$C$4:$C$1203,$Z8-4000)=0,"",INDEX(客户自备加工筐明细!$C$4:$C$1203,$Z8-4000)),IF($Z8&lt;=5800,IF(INDEX(次果筐明细!$D$4:$D$603,$Z8-5200)=0,"",INDEX(次果筐明细!$D$4:$D$603,$Z8-5200)),"")))))</f>
        <v/>
      </c>
      <c r="O8" s="40" t="str">
        <f>IF($Z8="","",IF($Z8&lt;=2000,"",IF($Z8&lt;=4000,IF(N(INDEX(周转筐出入库明细!$J$4:$J$2004,$Z8-2000))+N(INDEX(周转筐出入库明细!$K$4:$K$2004,$Z8-2000))=0,"",N(INDEX(周转筐出入库明细!$J$4:$J$2004,$Z8-2000))+N(INDEX(周转筐出入库明细!$K$4:$K$2004,$Z8-2000))),IF($Z8&lt;=5200,IF(N(INDEX(客户自备加工筐明细!$G$4:$G$1203,$Z8-4000))=0,"",N(INDEX(客户自备加工筐明细!$G$4:$G$1203,$Z8-4000))),IF($Z8&lt;=5800,IF(ISNUMBER(SEARCH("退",INDEX(次果筐明细!$F$4:$F$603,$Z8-5200)&amp;"")),"",IF(N(INDEX(次果筐明细!$G$4:$G$603,$Z8-5200))=0,"",N(INDEX(次果筐明细!$G$4:$G$603,$Z8-5200)))),"")))))</f>
        <v/>
      </c>
      <c r="P8" s="40" t="str">
        <f>IF($Z8="","",IF($Z8&lt;=2000,"",IF($Z8&lt;=4000,IF(N(INDEX(周转筐出入库明细!$I$4:$I$2004,$Z8-2000))=0,"",N(INDEX(周转筐出入库明细!$I$4:$I$2004,$Z8-2000))),IF($Z8&lt;=5200,"",IF($Z8&lt;=5800,IF(ISNUMBER(SEARCH("退",INDEX(次果筐明细!$F$4:$F$603,$Z8-5200)&amp;"")),IF(N(INDEX(次果筐明细!$G$4:$G$603,$Z8-5200))=0,"",N(INDEX(次果筐明细!$G$4:$G$603,$Z8-5200))),""),"")))))</f>
        <v/>
      </c>
      <c r="Q8" s="40" t="str">
        <f>IF($Z8="","",IF($Z8&lt;=2000,"",IF($Z8&lt;=4000,IF(N(INDEX(周转筐出入库明细!$H$4:$H$2004,$Z8-2000))=0,"",N(INDEX(周转筐出入库明细!$H$4:$H$2004,$Z8-2000))),IF($Z8&lt;=5200,IF(N(INDEX(客户自备加工筐明细!$F$4:$F$1203,$Z8-4000))=0,"",N(INDEX(客户自备加工筐明细!$F$4:$F$1203,$Z8-4000))),IF($Z8&lt;=5800,"","")))))</f>
        <v/>
      </c>
      <c r="R8" s="16" t="str">
        <f>IF($Z8="","",IF($Z8&lt;=2000,IF(INDEX(包装物料出入库明细!$O$4:$O$2003,$Z8-0)=0,"",INDEX(包装物料出入库明细!$O$4:$O$2003,$Z8-0)),IF($Z8&lt;=4000,IF(INDEX(周转筐出入库明细!$M$4:$M$2004,$Z8-2000)=0,"",INDEX(周转筐出入库明细!$M$4:$M$2004,$Z8-2000)),IF($Z8&lt;=5200,IF(INDEX(客户自备加工筐明细!$H$4:$H$1203,$Z8-4000)=0,"",INDEX(客户自备加工筐明细!$H$4:$H$1203,$Z8-4000)),IF($Z8&lt;=5800,IF(INDEX(次果筐明细!$H$4:$H$603,$Z8-5200)=0,"",INDEX(次果筐明细!$H$4:$H$603,$Z8-5200)),"")))))</f>
        <v/>
      </c>
      <c r="S8" s="22" t="str">
        <f t="shared" si="2"/>
        <v/>
      </c>
      <c r="Z8" s="10">
        <f>IFERROR(MATCH(ROW()-3,_自动清单!$CQ$4:$CQ$5803,0),"")</f>
        <v>5</v>
      </c>
    </row>
    <row r="9" spans="1:26">
      <c r="A9" s="24">
        <f t="shared" si="0"/>
        <v>6</v>
      </c>
      <c r="B9" s="38">
        <f>IF($Z9="","",IF($Z9&lt;=2000,IF(INDEX(包装物料出入库明细!$B$4:$B$2003,$Z9-0)=0,"",INDEX(包装物料出入库明细!$B$4:$B$2003,$Z9-0)),IF($Z9&lt;=4000,IF(INDEX(周转筐出入库明细!$B$4:$B$2004,$Z9-2000)=0,"",INDEX(周转筐出入库明细!$B$4:$B$2004,$Z9-2000)),IF($Z9&lt;=5200,IF(INDEX(客户自备加工筐明细!$B$4:$B$1203,$Z9-4000)=0,"",INDEX(客户自备加工筐明细!$B$4:$B$1203,$Z9-4000)),IF($Z9&lt;=5800,IF(INDEX(次果筐明细!$B$4:$B$603,$Z9-5200)=0,"",INDEX(次果筐明细!$B$4:$B$603,$Z9-5200)),"")))))</f>
        <v>46266</v>
      </c>
      <c r="C9" s="37" t="str">
        <f>IF($Z9="","",IF($Z9&lt;=2000,IF(INDEX(包装物料出入库明细!$D$4:$D$2003,$Z9-0)=0,"",INDEX(包装物料出入库明细!$D$4:$D$2003,$Z9-0)),IF($Z9&lt;=4000,IF(INDEX(周转筐出入库明细!$C$4:$C$2004,$Z9-2000)=0,"",INDEX(周转筐出入库明细!$C$4:$C$2004,$Z9-2000)),IF($Z9&lt;=5200,IF(INDEX(客户自备加工筐明细!$E$4:$E$1203,$Z9-4000)=0,"",INDEX(客户自备加工筐明细!$E$4:$E$1203,$Z9-4000)),IF($Z9&lt;=5800,IF(INDEX(次果筐明细!$C$4:$C$603,$Z9-5200)=0,"",INDEX(次果筐明细!$C$4:$C$603,$Z9-5200)),"")))))</f>
        <v>果然鲜</v>
      </c>
      <c r="D9" s="37" t="str">
        <f>IF($Z9="","",IF($Z9&lt;=2000,"包装物料－"&amp;INDEX(包装物料出入库明细!$H$4:$H$2003,$Z9-0),IF($Z9&lt;=4000,"周转筐－"&amp;INDEX(周转筐出入库明细!$F$4:$F$2004,$Z9-2000),IF($Z9&lt;=5200,"客户自备筐－"&amp;INDEX(客户自备加工筐明细!$J$4:$J$1203,$Z9-4000),IF($Z9&lt;=5800,"次果筐/托盘－"&amp;INDEX(次果筐明细!$F$4:$F$603,$Z9-5200),"")))))</f>
        <v>包装物料－期初库存</v>
      </c>
      <c r="E9" s="24" t="str">
        <f>IF($Z9="","",IF($Z9&lt;=2000,IF(INDEX(包装物料出入库明细!$C$4:$C$2003,$Z9-0)=0,"",INDEX(包装物料出入库明细!$C$4:$C$2003,$Z9-0)),IF($Z9&lt;=4000,IF(INDEX(周转筐出入库明细!$E$4:$E$2004,$Z9-2000)=0,"",INDEX(周转筐出入库明细!$E$4:$E$2004,$Z9-2000)),IF($Z9&lt;=5200,IF(INDEX(客户自备加工筐明细!$D$4:$D$1203,$Z9-4000)=0,"",INDEX(客户自备加工筐明细!$D$4:$D$1203,$Z9-4000)),IF($Z9&lt;=5800,IF(INDEX(次果筐明细!$E$4:$E$603,$Z9-5200)=0,"",INDEX(次果筐明细!$E$4:$E$603,$Z9-5200)),"")))))</f>
        <v/>
      </c>
      <c r="F9" s="24" t="str">
        <f>IF($Z9="","",IF($Z9&lt;=2000,IF(INDEX(包装物料出入库明细!$E$4:$E$2003,$Z9-0)=0,"",INDEX(包装物料出入库明细!$E$4:$E$2003,$Z9-0)),IF($Z9&lt;=4000,IF(INDEX(周转筐出入库明细!$D$4:$D$2004,$Z9-2000)=0,"",INDEX(周转筐出入库明细!$D$4:$D$2004,$Z9-2000)),IF($Z9&lt;=5200,IF(INDEX(客户自备加工筐明细!$C$4:$C$1203,$Z9-4000)=0,"",INDEX(客户自备加工筐明细!$C$4:$C$1203,$Z9-4000)),IF($Z9&lt;=5800,IF(INDEX(次果筐明细!$D$4:$D$603,$Z9-5200)=0,"",INDEX(次果筐明细!$D$4:$D$603,$Z9-5200)),"")))))</f>
        <v>胶带</v>
      </c>
      <c r="G9" s="24" t="str">
        <f>IF($Z9="","",IF($Z9&lt;=2000,IF(INDEX(包装物料出入库明细!$F$4:$F$2003,$Z9-0)=0,"",INDEX(包装物料出入库明细!$F$4:$F$2003,$Z9-0)),IF($Z9&lt;=4000,"",IF($Z9&lt;=5200,"",IF($Z9&lt;=5800,"","")))))</f>
        <v>*30卷</v>
      </c>
      <c r="H9" s="39">
        <f>IF($Z9="","",IF($Z9&lt;=2000,IF(INDEX(包装物料出入库明细!$L$4:$L$2003,$Z9-0)=0,"",INDEX(包装物料出入库明细!$L$4:$L$2003,$Z9-0)),IF($Z9&lt;=4000,N(INDEX(周转筐出入库明细!$H$4:$H$2004,$Z9-2000))+N(INDEX(周转筐出入库明细!$I$4:$I$2004,$Z9-2000))+N(INDEX(周转筐出入库明细!$J$4:$J$2004,$Z9-2000))+N(INDEX(周转筐出入库明细!$K$4:$K$2004,$Z9-2000)),IF($Z9&lt;=5200,N(INDEX(客户自备加工筐明细!$F$4:$F$1203,$Z9-4000))+N(INDEX(客户自备加工筐明细!$G$4:$G$1203,$Z9-4000)),IF($Z9&lt;=5800,IF(INDEX(次果筐明细!$G$4:$G$603,$Z9-5200)=0,"",INDEX(次果筐明细!$G$4:$G$603,$Z9-5200)),"")))))</f>
        <v>2</v>
      </c>
      <c r="I9" s="24" t="str">
        <f>IF($Z9="","",IF($Z9&lt;=2000,IF(INDEX(包装物料出入库明细!$G$4:$G$2003,$Z9-0)=0,"",INDEX(包装物料出入库明细!$G$4:$G$2003,$Z9-0)),IF($Z9&lt;=4000,"个",IF($Z9&lt;=5200,"个",IF($Z9&lt;=5800,"个","")))))</f>
        <v>卷</v>
      </c>
      <c r="J9" s="30" t="str">
        <f t="shared" si="1"/>
        <v/>
      </c>
      <c r="K9" s="30" t="str">
        <f>IF($Z9="","",IF($Z9&lt;=2000,IF(INDEX(包装物料出入库明细!$N$4:$N$2003,$Z9-0)=0,"",INDEX(包装物料出入库明细!$N$4:$N$2003,$Z9-0)),IF($Z9&lt;=4000,IF(INDEX(周转筐出入库明细!$P$4:$P$2004,$Z9-2000)=0,"",INDEX(周转筐出入库明细!$P$4:$P$2004,$Z9-2000)),IF($Z9&lt;=5200,"",IF($Z9&lt;=5800,N(INDEX(次果筐明细!$L$4:$L$603,$Z9-5200))+N(INDEX(次果筐明细!$J$4:$J$603,$Z9-5200)),"")))))</f>
        <v/>
      </c>
      <c r="L9" s="24" t="str">
        <f>IF($Z9="","",IF($Z9&lt;=2000,IF(INDEX(包装物料出入库明细!$P$4:$P$2003,$Z9-0)=0,"",INDEX(包装物料出入库明细!$P$4:$P$2003,$Z9-0)),IF($Z9&lt;=4000,IF(INDEX(周转筐出入库明细!$Q$4:$Q$2004,$Z9-2000)=0,"",INDEX(周转筐出入库明细!$Q$4:$Q$2004,$Z9-2000)),IF($Z9&lt;=5200,"",IF($Z9&lt;=5800,IF(INDEX(次果筐明细!$M$4:$M$603,$Z9-5200)=0,"",INDEX(次果筐明细!$M$4:$M$603,$Z9-5200)),"")))))</f>
        <v/>
      </c>
      <c r="M9" s="37" t="str">
        <f>IF($Z9="","",IF($Z9&lt;=2000,IF(INDEX(包装物料出入库明细!$R$4:$R$2003,$Z9-0)=0,"",INDEX(包装物料出入库明细!$R$4:$R$2003,$Z9-0)),IF($Z9&lt;=4000,IF(INDEX(周转筐出入库明细!$W$4:$W$2004,$Z9-2000)=0,"",INDEX(周转筐出入库明细!$W$4:$W$2004,$Z9-2000)),IF($Z9&lt;=5200,IF(INDEX(客户自备加工筐明细!$L$4:$L$1203,$Z9-4000)=0,"",INDEX(客户自备加工筐明细!$L$4:$L$1203,$Z9-4000)),IF($Z9&lt;=5800,IF(INDEX(次果筐明细!$P$4:$P$603,$Z9-5200)=0,"",INDEX(次果筐明细!$P$4:$P$603,$Z9-5200)),"")))))</f>
        <v/>
      </c>
      <c r="N9" s="16" t="str">
        <f>IF($Z9="","",IF($Z9&lt;=2000,"",IF($Z9&lt;=4000,IF(INDEX(周转筐出入库明细!$D$4:$D$2004,$Z9-2000)=0,"",INDEX(周转筐出入库明细!$D$4:$D$2004,$Z9-2000)),IF($Z9&lt;=5200,IF(INDEX(客户自备加工筐明细!$C$4:$C$1203,$Z9-4000)=0,"",INDEX(客户自备加工筐明细!$C$4:$C$1203,$Z9-4000)),IF($Z9&lt;=5800,IF(INDEX(次果筐明细!$D$4:$D$603,$Z9-5200)=0,"",INDEX(次果筐明细!$D$4:$D$603,$Z9-5200)),"")))))</f>
        <v/>
      </c>
      <c r="O9" s="40" t="str">
        <f>IF($Z9="","",IF($Z9&lt;=2000,"",IF($Z9&lt;=4000,IF(N(INDEX(周转筐出入库明细!$J$4:$J$2004,$Z9-2000))+N(INDEX(周转筐出入库明细!$K$4:$K$2004,$Z9-2000))=0,"",N(INDEX(周转筐出入库明细!$J$4:$J$2004,$Z9-2000))+N(INDEX(周转筐出入库明细!$K$4:$K$2004,$Z9-2000))),IF($Z9&lt;=5200,IF(N(INDEX(客户自备加工筐明细!$G$4:$G$1203,$Z9-4000))=0,"",N(INDEX(客户自备加工筐明细!$G$4:$G$1203,$Z9-4000))),IF($Z9&lt;=5800,IF(ISNUMBER(SEARCH("退",INDEX(次果筐明细!$F$4:$F$603,$Z9-5200)&amp;"")),"",IF(N(INDEX(次果筐明细!$G$4:$G$603,$Z9-5200))=0,"",N(INDEX(次果筐明细!$G$4:$G$603,$Z9-5200)))),"")))))</f>
        <v/>
      </c>
      <c r="P9" s="40" t="str">
        <f>IF($Z9="","",IF($Z9&lt;=2000,"",IF($Z9&lt;=4000,IF(N(INDEX(周转筐出入库明细!$I$4:$I$2004,$Z9-2000))=0,"",N(INDEX(周转筐出入库明细!$I$4:$I$2004,$Z9-2000))),IF($Z9&lt;=5200,"",IF($Z9&lt;=5800,IF(ISNUMBER(SEARCH("退",INDEX(次果筐明细!$F$4:$F$603,$Z9-5200)&amp;"")),IF(N(INDEX(次果筐明细!$G$4:$G$603,$Z9-5200))=0,"",N(INDEX(次果筐明细!$G$4:$G$603,$Z9-5200))),""),"")))))</f>
        <v/>
      </c>
      <c r="Q9" s="40" t="str">
        <f>IF($Z9="","",IF($Z9&lt;=2000,"",IF($Z9&lt;=4000,IF(N(INDEX(周转筐出入库明细!$H$4:$H$2004,$Z9-2000))=0,"",N(INDEX(周转筐出入库明细!$H$4:$H$2004,$Z9-2000))),IF($Z9&lt;=5200,IF(N(INDEX(客户自备加工筐明细!$F$4:$F$1203,$Z9-4000))=0,"",N(INDEX(客户自备加工筐明细!$F$4:$F$1203,$Z9-4000))),IF($Z9&lt;=5800,"","")))))</f>
        <v/>
      </c>
      <c r="R9" s="16" t="str">
        <f>IF($Z9="","",IF($Z9&lt;=2000,IF(INDEX(包装物料出入库明细!$O$4:$O$2003,$Z9-0)=0,"",INDEX(包装物料出入库明细!$O$4:$O$2003,$Z9-0)),IF($Z9&lt;=4000,IF(INDEX(周转筐出入库明细!$M$4:$M$2004,$Z9-2000)=0,"",INDEX(周转筐出入库明细!$M$4:$M$2004,$Z9-2000)),IF($Z9&lt;=5200,IF(INDEX(客户自备加工筐明细!$H$4:$H$1203,$Z9-4000)=0,"",INDEX(客户自备加工筐明细!$H$4:$H$1203,$Z9-4000)),IF($Z9&lt;=5800,IF(INDEX(次果筐明细!$H$4:$H$603,$Z9-5200)=0,"",INDEX(次果筐明细!$H$4:$H$603,$Z9-5200)),"")))))</f>
        <v/>
      </c>
      <c r="S9" s="22" t="str">
        <f t="shared" si="2"/>
        <v/>
      </c>
      <c r="Z9" s="10">
        <f>IFERROR(MATCH(ROW()-3,_自动清单!$CQ$4:$CQ$5803,0),"")</f>
        <v>6</v>
      </c>
    </row>
    <row r="10" spans="1:26">
      <c r="A10" s="24">
        <f t="shared" si="0"/>
        <v>7</v>
      </c>
      <c r="B10" s="38">
        <f>IF($Z10="","",IF($Z10&lt;=2000,IF(INDEX(包装物料出入库明细!$B$4:$B$2003,$Z10-0)=0,"",INDEX(包装物料出入库明细!$B$4:$B$2003,$Z10-0)),IF($Z10&lt;=4000,IF(INDEX(周转筐出入库明细!$B$4:$B$2004,$Z10-2000)=0,"",INDEX(周转筐出入库明细!$B$4:$B$2004,$Z10-2000)),IF($Z10&lt;=5200,IF(INDEX(客户自备加工筐明细!$B$4:$B$1203,$Z10-4000)=0,"",INDEX(客户自备加工筐明细!$B$4:$B$1203,$Z10-4000)),IF($Z10&lt;=5800,IF(INDEX(次果筐明细!$B$4:$B$603,$Z10-5200)=0,"",INDEX(次果筐明细!$B$4:$B$603,$Z10-5200)),"")))))</f>
        <v>46266</v>
      </c>
      <c r="C10" s="37" t="str">
        <f>IF($Z10="","",IF($Z10&lt;=2000,IF(INDEX(包装物料出入库明细!$D$4:$D$2003,$Z10-0)=0,"",INDEX(包装物料出入库明细!$D$4:$D$2003,$Z10-0)),IF($Z10&lt;=4000,IF(INDEX(周转筐出入库明细!$C$4:$C$2004,$Z10-2000)=0,"",INDEX(周转筐出入库明细!$C$4:$C$2004,$Z10-2000)),IF($Z10&lt;=5200,IF(INDEX(客户自备加工筐明细!$E$4:$E$1203,$Z10-4000)=0,"",INDEX(客户自备加工筐明细!$E$4:$E$1203,$Z10-4000)),IF($Z10&lt;=5800,IF(INDEX(次果筐明细!$C$4:$C$603,$Z10-5200)=0,"",INDEX(次果筐明细!$C$4:$C$603,$Z10-5200)),"")))))</f>
        <v>新顺发泡网</v>
      </c>
      <c r="D10" s="37" t="str">
        <f>IF($Z10="","",IF($Z10&lt;=2000,"包装物料－"&amp;INDEX(包装物料出入库明细!$H$4:$H$2003,$Z10-0),IF($Z10&lt;=4000,"周转筐－"&amp;INDEX(周转筐出入库明细!$F$4:$F$2004,$Z10-2000),IF($Z10&lt;=5200,"客户自备筐－"&amp;INDEX(客户自备加工筐明细!$J$4:$J$1203,$Z10-4000),IF($Z10&lt;=5800,"次果筐/托盘－"&amp;INDEX(次果筐明细!$F$4:$F$603,$Z10-5200),"")))))</f>
        <v>包装物料－采购入库</v>
      </c>
      <c r="E10" s="24" t="str">
        <f>IF($Z10="","",IF($Z10&lt;=2000,IF(INDEX(包装物料出入库明细!$C$4:$C$2003,$Z10-0)=0,"",INDEX(包装物料出入库明细!$C$4:$C$2003,$Z10-0)),IF($Z10&lt;=4000,IF(INDEX(周转筐出入库明细!$E$4:$E$2004,$Z10-2000)=0,"",INDEX(周转筐出入库明细!$E$4:$E$2004,$Z10-2000)),IF($Z10&lt;=5200,IF(INDEX(客户自备加工筐明细!$D$4:$D$1203,$Z10-4000)=0,"",INDEX(客户自备加工筐明细!$D$4:$D$1203,$Z10-4000)),IF($Z10&lt;=5800,IF(INDEX(次果筐明细!$E$4:$E$603,$Z10-5200)=0,"",INDEX(次果筐明细!$E$4:$E$603,$Z10-5200)),"")))))</f>
        <v>NO:0000743</v>
      </c>
      <c r="F10" s="24" t="str">
        <f>IF($Z10="","",IF($Z10&lt;=2000,IF(INDEX(包装物料出入库明细!$E$4:$E$2003,$Z10-0)=0,"",INDEX(包装物料出入库明细!$E$4:$E$2003,$Z10-0)),IF($Z10&lt;=4000,IF(INDEX(周转筐出入库明细!$D$4:$D$2004,$Z10-2000)=0,"",INDEX(周转筐出入库明细!$D$4:$D$2004,$Z10-2000)),IF($Z10&lt;=5200,IF(INDEX(客户自备加工筐明细!$C$4:$C$1203,$Z10-4000)=0,"",INDEX(客户自备加工筐明细!$C$4:$C$1203,$Z10-4000)),IF($Z10&lt;=5800,IF(INDEX(次果筐明细!$D$4:$D$603,$Z10-5200)=0,"",INDEX(次果筐明细!$D$4:$D$603,$Z10-5200)),"")))))</f>
        <v>香梨网</v>
      </c>
      <c r="G10" s="24" t="str">
        <f>IF($Z10="","",IF($Z10&lt;=2000,IF(INDEX(包装物料出入库明细!$F$4:$F$2003,$Z10-0)=0,"",INDEX(包装物料出入库明细!$F$4:$F$2003,$Z10-0)),IF($Z10&lt;=4000,"",IF($Z10&lt;=5200,"",IF($Z10&lt;=5800,"","")))))</f>
        <v>*包</v>
      </c>
      <c r="H10" s="39">
        <f>IF($Z10="","",IF($Z10&lt;=2000,IF(INDEX(包装物料出入库明细!$L$4:$L$2003,$Z10-0)=0,"",INDEX(包装物料出入库明细!$L$4:$L$2003,$Z10-0)),IF($Z10&lt;=4000,N(INDEX(周转筐出入库明细!$H$4:$H$2004,$Z10-2000))+N(INDEX(周转筐出入库明细!$I$4:$I$2004,$Z10-2000))+N(INDEX(周转筐出入库明细!$J$4:$J$2004,$Z10-2000))+N(INDEX(周转筐出入库明细!$K$4:$K$2004,$Z10-2000)),IF($Z10&lt;=5200,N(INDEX(客户自备加工筐明细!$F$4:$F$1203,$Z10-4000))+N(INDEX(客户自备加工筐明细!$G$4:$G$1203,$Z10-4000)),IF($Z10&lt;=5800,IF(INDEX(次果筐明细!$G$4:$G$603,$Z10-5200)=0,"",INDEX(次果筐明细!$G$4:$G$603,$Z10-5200)),"")))))</f>
        <v>644</v>
      </c>
      <c r="I10" s="24" t="str">
        <f>IF($Z10="","",IF($Z10&lt;=2000,IF(INDEX(包装物料出入库明细!$G$4:$G$2003,$Z10-0)=0,"",INDEX(包装物料出入库明细!$G$4:$G$2003,$Z10-0)),IF($Z10&lt;=4000,"个",IF($Z10&lt;=5200,"个",IF($Z10&lt;=5800,"个","")))))</f>
        <v>包</v>
      </c>
      <c r="J10" s="30" t="str">
        <f t="shared" si="1"/>
        <v/>
      </c>
      <c r="K10" s="30">
        <f>IF($Z10="","",IF($Z10&lt;=2000,IF(INDEX(包装物料出入库明细!$N$4:$N$2003,$Z10-0)=0,"",INDEX(包装物料出入库明细!$N$4:$N$2003,$Z10-0)),IF($Z10&lt;=4000,IF(INDEX(周转筐出入库明细!$P$4:$P$2004,$Z10-2000)=0,"",INDEX(周转筐出入库明细!$P$4:$P$2004,$Z10-2000)),IF($Z10&lt;=5200,"",IF($Z10&lt;=5800,N(INDEX(次果筐明细!$L$4:$L$603,$Z10-5200))+N(INDEX(次果筐明细!$J$4:$J$603,$Z10-5200)),"")))))</f>
        <v>23828</v>
      </c>
      <c r="L10" s="24" t="str">
        <f>IF($Z10="","",IF($Z10&lt;=2000,IF(INDEX(包装物料出入库明细!$P$4:$P$2003,$Z10-0)=0,"",INDEX(包装物料出入库明细!$P$4:$P$2003,$Z10-0)),IF($Z10&lt;=4000,IF(INDEX(周转筐出入库明细!$Q$4:$Q$2004,$Z10-2000)=0,"",INDEX(周转筐出入库明细!$Q$4:$Q$2004,$Z10-2000)),IF($Z10&lt;=5200,"",IF($Z10&lt;=5800,IF(INDEX(次果筐明细!$M$4:$M$603,$Z10-5200)=0,"",INDEX(次果筐明细!$M$4:$M$603,$Z10-5200)),"")))))</f>
        <v>已付款</v>
      </c>
      <c r="M10" s="37" t="str">
        <f>IF($Z10="","",IF($Z10&lt;=2000,IF(INDEX(包装物料出入库明细!$R$4:$R$2003,$Z10-0)=0,"",INDEX(包装物料出入库明细!$R$4:$R$2003,$Z10-0)),IF($Z10&lt;=4000,IF(INDEX(周转筐出入库明细!$W$4:$W$2004,$Z10-2000)=0,"",INDEX(周转筐出入库明细!$W$4:$W$2004,$Z10-2000)),IF($Z10&lt;=5200,IF(INDEX(客户自备加工筐明细!$L$4:$L$1203,$Z10-4000)=0,"",INDEX(客户自备加工筐明细!$L$4:$L$1203,$Z10-4000)),IF($Z10&lt;=5800,IF(INDEX(次果筐明细!$P$4:$P$603,$Z10-5200)=0,"",INDEX(次果筐明细!$P$4:$P$603,$Z10-5200)),"")))))</f>
        <v>12#</v>
      </c>
      <c r="N10" s="16" t="str">
        <f>IF($Z10="","",IF($Z10&lt;=2000,"",IF($Z10&lt;=4000,IF(INDEX(周转筐出入库明细!$D$4:$D$2004,$Z10-2000)=0,"",INDEX(周转筐出入库明细!$D$4:$D$2004,$Z10-2000)),IF($Z10&lt;=5200,IF(INDEX(客户自备加工筐明细!$C$4:$C$1203,$Z10-4000)=0,"",INDEX(客户自备加工筐明细!$C$4:$C$1203,$Z10-4000)),IF($Z10&lt;=5800,IF(INDEX(次果筐明细!$D$4:$D$603,$Z10-5200)=0,"",INDEX(次果筐明细!$D$4:$D$603,$Z10-5200)),"")))))</f>
        <v/>
      </c>
      <c r="O10" s="40" t="str">
        <f>IF($Z10="","",IF($Z10&lt;=2000,"",IF($Z10&lt;=4000,IF(N(INDEX(周转筐出入库明细!$J$4:$J$2004,$Z10-2000))+N(INDEX(周转筐出入库明细!$K$4:$K$2004,$Z10-2000))=0,"",N(INDEX(周转筐出入库明细!$J$4:$J$2004,$Z10-2000))+N(INDEX(周转筐出入库明细!$K$4:$K$2004,$Z10-2000))),IF($Z10&lt;=5200,IF(N(INDEX(客户自备加工筐明细!$G$4:$G$1203,$Z10-4000))=0,"",N(INDEX(客户自备加工筐明细!$G$4:$G$1203,$Z10-4000))),IF($Z10&lt;=5800,IF(ISNUMBER(SEARCH("退",INDEX(次果筐明细!$F$4:$F$603,$Z10-5200)&amp;"")),"",IF(N(INDEX(次果筐明细!$G$4:$G$603,$Z10-5200))=0,"",N(INDEX(次果筐明细!$G$4:$G$603,$Z10-5200)))),"")))))</f>
        <v/>
      </c>
      <c r="P10" s="40" t="str">
        <f>IF($Z10="","",IF($Z10&lt;=2000,"",IF($Z10&lt;=4000,IF(N(INDEX(周转筐出入库明细!$I$4:$I$2004,$Z10-2000))=0,"",N(INDEX(周转筐出入库明细!$I$4:$I$2004,$Z10-2000))),IF($Z10&lt;=5200,"",IF($Z10&lt;=5800,IF(ISNUMBER(SEARCH("退",INDEX(次果筐明细!$F$4:$F$603,$Z10-5200)&amp;"")),IF(N(INDEX(次果筐明细!$G$4:$G$603,$Z10-5200))=0,"",N(INDEX(次果筐明细!$G$4:$G$603,$Z10-5200))),""),"")))))</f>
        <v/>
      </c>
      <c r="Q10" s="40" t="str">
        <f>IF($Z10="","",IF($Z10&lt;=2000,"",IF($Z10&lt;=4000,IF(N(INDEX(周转筐出入库明细!$H$4:$H$2004,$Z10-2000))=0,"",N(INDEX(周转筐出入库明细!$H$4:$H$2004,$Z10-2000))),IF($Z10&lt;=5200,IF(N(INDEX(客户自备加工筐明细!$F$4:$F$1203,$Z10-4000))=0,"",N(INDEX(客户自备加工筐明细!$F$4:$F$1203,$Z10-4000))),IF($Z10&lt;=5800,"","")))))</f>
        <v/>
      </c>
      <c r="R10" s="16" t="str">
        <f>IF($Z10="","",IF($Z10&lt;=2000,IF(INDEX(包装物料出入库明细!$O$4:$O$2003,$Z10-0)=0,"",INDEX(包装物料出入库明细!$O$4:$O$2003,$Z10-0)),IF($Z10&lt;=4000,IF(INDEX(周转筐出入库明细!$M$4:$M$2004,$Z10-2000)=0,"",INDEX(周转筐出入库明细!$M$4:$M$2004,$Z10-2000)),IF($Z10&lt;=5200,IF(INDEX(客户自备加工筐明细!$H$4:$H$1203,$Z10-4000)=0,"",INDEX(客户自备加工筐明细!$H$4:$H$1203,$Z10-4000)),IF($Z10&lt;=5800,IF(INDEX(次果筐明细!$H$4:$H$603,$Z10-5200)=0,"",INDEX(次果筐明细!$H$4:$H$603,$Z10-5200)),"")))))</f>
        <v>新Q*48887</v>
      </c>
      <c r="S10" s="22" t="str">
        <f t="shared" si="2"/>
        <v/>
      </c>
      <c r="Z10" s="10">
        <f>IFERROR(MATCH(ROW()-3,_自动清单!$CQ$4:$CQ$5803,0),"")</f>
        <v>7</v>
      </c>
    </row>
    <row r="11" spans="1:26">
      <c r="A11" s="24">
        <f t="shared" si="0"/>
        <v>8</v>
      </c>
      <c r="B11" s="38">
        <f>IF($Z11="","",IF($Z11&lt;=2000,IF(INDEX(包装物料出入库明细!$B$4:$B$2003,$Z11-0)=0,"",INDEX(包装物料出入库明细!$B$4:$B$2003,$Z11-0)),IF($Z11&lt;=4000,IF(INDEX(周转筐出入库明细!$B$4:$B$2004,$Z11-2000)=0,"",INDEX(周转筐出入库明细!$B$4:$B$2004,$Z11-2000)),IF($Z11&lt;=5200,IF(INDEX(客户自备加工筐明细!$B$4:$B$1203,$Z11-4000)=0,"",INDEX(客户自备加工筐明细!$B$4:$B$1203,$Z11-4000)),IF($Z11&lt;=5800,IF(INDEX(次果筐明细!$B$4:$B$603,$Z11-5200)=0,"",INDEX(次果筐明细!$B$4:$B$603,$Z11-5200)),"")))))</f>
        <v>46267</v>
      </c>
      <c r="C11" s="37" t="str">
        <f>IF($Z11="","",IF($Z11&lt;=2000,IF(INDEX(包装物料出入库明细!$D$4:$D$2003,$Z11-0)=0,"",INDEX(包装物料出入库明细!$D$4:$D$2003,$Z11-0)),IF($Z11&lt;=4000,IF(INDEX(周转筐出入库明细!$C$4:$C$2004,$Z11-2000)=0,"",INDEX(周转筐出入库明细!$C$4:$C$2004,$Z11-2000)),IF($Z11&lt;=5200,IF(INDEX(客户自备加工筐明细!$E$4:$E$1203,$Z11-4000)=0,"",INDEX(客户自备加工筐明细!$E$4:$E$1203,$Z11-4000)),IF($Z11&lt;=5800,IF(INDEX(次果筐明细!$C$4:$C$603,$Z11-5200)=0,"",INDEX(次果筐明细!$C$4:$C$603,$Z11-5200)),"")))))</f>
        <v>吐尔洪</v>
      </c>
      <c r="D11" s="37" t="str">
        <f>IF($Z11="","",IF($Z11&lt;=2000,"包装物料－"&amp;INDEX(包装物料出入库明细!$H$4:$H$2003,$Z11-0),IF($Z11&lt;=4000,"周转筐－"&amp;INDEX(周转筐出入库明细!$F$4:$F$2004,$Z11-2000),IF($Z11&lt;=5200,"客户自备筐－"&amp;INDEX(客户自备加工筐明细!$J$4:$J$1203,$Z11-4000),IF($Z11&lt;=5800,"次果筐/托盘－"&amp;INDEX(次果筐明细!$F$4:$F$603,$Z11-5200),"")))))</f>
        <v>包装物料－领用出库</v>
      </c>
      <c r="E11" s="24" t="str">
        <f>IF($Z11="","",IF($Z11&lt;=2000,IF(INDEX(包装物料出入库明细!$C$4:$C$2003,$Z11-0)=0,"",INDEX(包装物料出入库明细!$C$4:$C$2003,$Z11-0)),IF($Z11&lt;=4000,IF(INDEX(周转筐出入库明细!$E$4:$E$2004,$Z11-2000)=0,"",INDEX(周转筐出入库明细!$E$4:$E$2004,$Z11-2000)),IF($Z11&lt;=5200,IF(INDEX(客户自备加工筐明细!$D$4:$D$1203,$Z11-4000)=0,"",INDEX(客户自备加工筐明细!$D$4:$D$1203,$Z11-4000)),IF($Z11&lt;=5800,IF(INDEX(次果筐明细!$E$4:$E$603,$Z11-5200)=0,"",INDEX(次果筐明细!$E$4:$E$603,$Z11-5200)),"")))))</f>
        <v>NO:0001067</v>
      </c>
      <c r="F11" s="24" t="str">
        <f>IF($Z11="","",IF($Z11&lt;=2000,IF(INDEX(包装物料出入库明细!$E$4:$E$2003,$Z11-0)=0,"",INDEX(包装物料出入库明细!$E$4:$E$2003,$Z11-0)),IF($Z11&lt;=4000,IF(INDEX(周转筐出入库明细!$D$4:$D$2004,$Z11-2000)=0,"",INDEX(周转筐出入库明细!$D$4:$D$2004,$Z11-2000)),IF($Z11&lt;=5200,IF(INDEX(客户自备加工筐明细!$C$4:$C$1203,$Z11-4000)=0,"",INDEX(客户自备加工筐明细!$C$4:$C$1203,$Z11-4000)),IF($Z11&lt;=5800,IF(INDEX(次果筐明细!$D$4:$D$603,$Z11-5200)=0,"",INDEX(次果筐明细!$D$4:$D$603,$Z11-5200)),"")))))</f>
        <v>香梨网</v>
      </c>
      <c r="G11" s="24" t="str">
        <f>IF($Z11="","",IF($Z11&lt;=2000,IF(INDEX(包装物料出入库明细!$F$4:$F$2003,$Z11-0)=0,"",INDEX(包装物料出入库明细!$F$4:$F$2003,$Z11-0)),IF($Z11&lt;=4000,"",IF($Z11&lt;=5200,"",IF($Z11&lt;=5800,"","")))))</f>
        <v>*包</v>
      </c>
      <c r="H11" s="39">
        <f>IF($Z11="","",IF($Z11&lt;=2000,IF(INDEX(包装物料出入库明细!$L$4:$L$2003,$Z11-0)=0,"",INDEX(包装物料出入库明细!$L$4:$L$2003,$Z11-0)),IF($Z11&lt;=4000,N(INDEX(周转筐出入库明细!$H$4:$H$2004,$Z11-2000))+N(INDEX(周转筐出入库明细!$I$4:$I$2004,$Z11-2000))+N(INDEX(周转筐出入库明细!$J$4:$J$2004,$Z11-2000))+N(INDEX(周转筐出入库明细!$K$4:$K$2004,$Z11-2000)),IF($Z11&lt;=5200,N(INDEX(客户自备加工筐明细!$F$4:$F$1203,$Z11-4000))+N(INDEX(客户自备加工筐明细!$G$4:$G$1203,$Z11-4000)),IF($Z11&lt;=5800,IF(INDEX(次果筐明细!$G$4:$G$603,$Z11-5200)=0,"",INDEX(次果筐明细!$G$4:$G$603,$Z11-5200)),"")))))</f>
        <v>24</v>
      </c>
      <c r="I11" s="24" t="str">
        <f>IF($Z11="","",IF($Z11&lt;=2000,IF(INDEX(包装物料出入库明细!$G$4:$G$2003,$Z11-0)=0,"",INDEX(包装物料出入库明细!$G$4:$G$2003,$Z11-0)),IF($Z11&lt;=4000,"个",IF($Z11&lt;=5200,"个",IF($Z11&lt;=5800,"个","")))))</f>
        <v>包</v>
      </c>
      <c r="J11" s="30" t="str">
        <f t="shared" si="1"/>
        <v/>
      </c>
      <c r="K11" s="30">
        <f>IF($Z11="","",IF($Z11&lt;=2000,IF(INDEX(包装物料出入库明细!$N$4:$N$2003,$Z11-0)=0,"",INDEX(包装物料出入库明细!$N$4:$N$2003,$Z11-0)),IF($Z11&lt;=4000,IF(INDEX(周转筐出入库明细!$P$4:$P$2004,$Z11-2000)=0,"",INDEX(周转筐出入库明细!$P$4:$P$2004,$Z11-2000)),IF($Z11&lt;=5200,"",IF($Z11&lt;=5800,N(INDEX(次果筐明细!$L$4:$L$603,$Z11-5200))+N(INDEX(次果筐明细!$J$4:$J$603,$Z11-5200)),"")))))</f>
        <v>1080</v>
      </c>
      <c r="L11" s="24" t="str">
        <f>IF($Z11="","",IF($Z11&lt;=2000,IF(INDEX(包装物料出入库明细!$P$4:$P$2003,$Z11-0)=0,"",INDEX(包装物料出入库明细!$P$4:$P$2003,$Z11-0)),IF($Z11&lt;=4000,IF(INDEX(周转筐出入库明细!$Q$4:$Q$2004,$Z11-2000)=0,"",INDEX(周转筐出入库明细!$Q$4:$Q$2004,$Z11-2000)),IF($Z11&lt;=5200,"",IF($Z11&lt;=5800,IF(INDEX(次果筐明细!$M$4:$M$603,$Z11-5200)=0,"",INDEX(次果筐明细!$M$4:$M$603,$Z11-5200)),"")))))</f>
        <v>未付款</v>
      </c>
      <c r="M11" s="37" t="str">
        <f>IF($Z11="","",IF($Z11&lt;=2000,IF(INDEX(包装物料出入库明细!$R$4:$R$2003,$Z11-0)=0,"",INDEX(包装物料出入库明细!$R$4:$R$2003,$Z11-0)),IF($Z11&lt;=4000,IF(INDEX(周转筐出入库明细!$W$4:$W$2004,$Z11-2000)=0,"",INDEX(周转筐出入库明细!$W$4:$W$2004,$Z11-2000)),IF($Z11&lt;=5200,IF(INDEX(客户自备加工筐明细!$L$4:$L$1203,$Z11-4000)=0,"",INDEX(客户自备加工筐明细!$L$4:$L$1203,$Z11-4000)),IF($Z11&lt;=5800,IF(INDEX(次果筐明细!$P$4:$P$603,$Z11-5200)=0,"",INDEX(次果筐明细!$P$4:$P$603,$Z11-5200)),"")))))</f>
        <v/>
      </c>
      <c r="N11" s="16" t="str">
        <f>IF($Z11="","",IF($Z11&lt;=2000,"",IF($Z11&lt;=4000,IF(INDEX(周转筐出入库明细!$D$4:$D$2004,$Z11-2000)=0,"",INDEX(周转筐出入库明细!$D$4:$D$2004,$Z11-2000)),IF($Z11&lt;=5200,IF(INDEX(客户自备加工筐明细!$C$4:$C$1203,$Z11-4000)=0,"",INDEX(客户自备加工筐明细!$C$4:$C$1203,$Z11-4000)),IF($Z11&lt;=5800,IF(INDEX(次果筐明细!$D$4:$D$603,$Z11-5200)=0,"",INDEX(次果筐明细!$D$4:$D$603,$Z11-5200)),"")))))</f>
        <v/>
      </c>
      <c r="O11" s="40" t="str">
        <f>IF($Z11="","",IF($Z11&lt;=2000,"",IF($Z11&lt;=4000,IF(N(INDEX(周转筐出入库明细!$J$4:$J$2004,$Z11-2000))+N(INDEX(周转筐出入库明细!$K$4:$K$2004,$Z11-2000))=0,"",N(INDEX(周转筐出入库明细!$J$4:$J$2004,$Z11-2000))+N(INDEX(周转筐出入库明细!$K$4:$K$2004,$Z11-2000))),IF($Z11&lt;=5200,IF(N(INDEX(客户自备加工筐明细!$G$4:$G$1203,$Z11-4000))=0,"",N(INDEX(客户自备加工筐明细!$G$4:$G$1203,$Z11-4000))),IF($Z11&lt;=5800,IF(ISNUMBER(SEARCH("退",INDEX(次果筐明细!$F$4:$F$603,$Z11-5200)&amp;"")),"",IF(N(INDEX(次果筐明细!$G$4:$G$603,$Z11-5200))=0,"",N(INDEX(次果筐明细!$G$4:$G$603,$Z11-5200)))),"")))))</f>
        <v/>
      </c>
      <c r="P11" s="40" t="str">
        <f>IF($Z11="","",IF($Z11&lt;=2000,"",IF($Z11&lt;=4000,IF(N(INDEX(周转筐出入库明细!$I$4:$I$2004,$Z11-2000))=0,"",N(INDEX(周转筐出入库明细!$I$4:$I$2004,$Z11-2000))),IF($Z11&lt;=5200,"",IF($Z11&lt;=5800,IF(ISNUMBER(SEARCH("退",INDEX(次果筐明细!$F$4:$F$603,$Z11-5200)&amp;"")),IF(N(INDEX(次果筐明细!$G$4:$G$603,$Z11-5200))=0,"",N(INDEX(次果筐明细!$G$4:$G$603,$Z11-5200))),""),"")))))</f>
        <v/>
      </c>
      <c r="Q11" s="40" t="str">
        <f>IF($Z11="","",IF($Z11&lt;=2000,"",IF($Z11&lt;=4000,IF(N(INDEX(周转筐出入库明细!$H$4:$H$2004,$Z11-2000))=0,"",N(INDEX(周转筐出入库明细!$H$4:$H$2004,$Z11-2000))),IF($Z11&lt;=5200,IF(N(INDEX(客户自备加工筐明细!$F$4:$F$1203,$Z11-4000))=0,"",N(INDEX(客户自备加工筐明细!$F$4:$F$1203,$Z11-4000))),IF($Z11&lt;=5800,"","")))))</f>
        <v/>
      </c>
      <c r="R11" s="16" t="str">
        <f>IF($Z11="","",IF($Z11&lt;=2000,IF(INDEX(包装物料出入库明细!$O$4:$O$2003,$Z11-0)=0,"",INDEX(包装物料出入库明细!$O$4:$O$2003,$Z11-0)),IF($Z11&lt;=4000,IF(INDEX(周转筐出入库明细!$M$4:$M$2004,$Z11-2000)=0,"",INDEX(周转筐出入库明细!$M$4:$M$2004,$Z11-2000)),IF($Z11&lt;=5200,IF(INDEX(客户自备加工筐明细!$H$4:$H$1203,$Z11-4000)=0,"",INDEX(客户自备加工筐明细!$H$4:$H$1203,$Z11-4000)),IF($Z11&lt;=5800,IF(INDEX(次果筐明细!$H$4:$H$603,$Z11-5200)=0,"",INDEX(次果筐明细!$H$4:$H$603,$Z11-5200)),"")))))</f>
        <v>新N*X8S48</v>
      </c>
      <c r="S11" s="22" t="str">
        <f t="shared" si="2"/>
        <v/>
      </c>
      <c r="Z11" s="10">
        <f>IFERROR(MATCH(ROW()-3,_自动清单!$CQ$4:$CQ$5803,0),"")</f>
        <v>8</v>
      </c>
    </row>
    <row r="12" spans="1:26">
      <c r="A12" s="24">
        <f t="shared" si="0"/>
        <v>9</v>
      </c>
      <c r="B12" s="38">
        <f>IF($Z12="","",IF($Z12&lt;=2000,IF(INDEX(包装物料出入库明细!$B$4:$B$2003,$Z12-0)=0,"",INDEX(包装物料出入库明细!$B$4:$B$2003,$Z12-0)),IF($Z12&lt;=4000,IF(INDEX(周转筐出入库明细!$B$4:$B$2004,$Z12-2000)=0,"",INDEX(周转筐出入库明细!$B$4:$B$2004,$Z12-2000)),IF($Z12&lt;=5200,IF(INDEX(客户自备加工筐明细!$B$4:$B$1203,$Z12-4000)=0,"",INDEX(客户自备加工筐明细!$B$4:$B$1203,$Z12-4000)),IF($Z12&lt;=5800,IF(INDEX(次果筐明细!$B$4:$B$603,$Z12-5200)=0,"",INDEX(次果筐明细!$B$4:$B$603,$Z12-5200)),"")))))</f>
        <v>46268</v>
      </c>
      <c r="C12" s="37" t="str">
        <f>IF($Z12="","",IF($Z12&lt;=2000,IF(INDEX(包装物料出入库明细!$D$4:$D$2003,$Z12-0)=0,"",INDEX(包装物料出入库明细!$D$4:$D$2003,$Z12-0)),IF($Z12&lt;=4000,IF(INDEX(周转筐出入库明细!$C$4:$C$2004,$Z12-2000)=0,"",INDEX(周转筐出入库明细!$C$4:$C$2004,$Z12-2000)),IF($Z12&lt;=5200,IF(INDEX(客户自备加工筐明细!$E$4:$E$1203,$Z12-4000)=0,"",INDEX(客户自备加工筐明细!$E$4:$E$1203,$Z12-4000)),IF($Z12&lt;=5800,IF(INDEX(次果筐明细!$C$4:$C$603,$Z12-5200)=0,"",INDEX(次果筐明细!$C$4:$C$603,$Z12-5200)),"")))))</f>
        <v>热合曼</v>
      </c>
      <c r="D12" s="37" t="str">
        <f>IF($Z12="","",IF($Z12&lt;=2000,"包装物料－"&amp;INDEX(包装物料出入库明细!$H$4:$H$2003,$Z12-0),IF($Z12&lt;=4000,"周转筐－"&amp;INDEX(周转筐出入库明细!$F$4:$F$2004,$Z12-2000),IF($Z12&lt;=5200,"客户自备筐－"&amp;INDEX(客户自备加工筐明细!$J$4:$J$1203,$Z12-4000),IF($Z12&lt;=5800,"次果筐/托盘－"&amp;INDEX(次果筐明细!$F$4:$F$603,$Z12-5200),"")))))</f>
        <v>包装物料－领用出库</v>
      </c>
      <c r="E12" s="24" t="str">
        <f>IF($Z12="","",IF($Z12&lt;=2000,IF(INDEX(包装物料出入库明细!$C$4:$C$2003,$Z12-0)=0,"",INDEX(包装物料出入库明细!$C$4:$C$2003,$Z12-0)),IF($Z12&lt;=4000,IF(INDEX(周转筐出入库明细!$E$4:$E$2004,$Z12-2000)=0,"",INDEX(周转筐出入库明细!$E$4:$E$2004,$Z12-2000)),IF($Z12&lt;=5200,IF(INDEX(客户自备加工筐明细!$D$4:$D$1203,$Z12-4000)=0,"",INDEX(客户自备加工筐明细!$D$4:$D$1203,$Z12-4000)),IF($Z12&lt;=5800,IF(INDEX(次果筐明细!$E$4:$E$603,$Z12-5200)=0,"",INDEX(次果筐明细!$E$4:$E$603,$Z12-5200)),"")))))</f>
        <v>NO:0001069</v>
      </c>
      <c r="F12" s="24" t="str">
        <f>IF($Z12="","",IF($Z12&lt;=2000,IF(INDEX(包装物料出入库明细!$E$4:$E$2003,$Z12-0)=0,"",INDEX(包装物料出入库明细!$E$4:$E$2003,$Z12-0)),IF($Z12&lt;=4000,IF(INDEX(周转筐出入库明细!$D$4:$D$2004,$Z12-2000)=0,"",INDEX(周转筐出入库明细!$D$4:$D$2004,$Z12-2000)),IF($Z12&lt;=5200,IF(INDEX(客户自备加工筐明细!$C$4:$C$1203,$Z12-4000)=0,"",INDEX(客户自备加工筐明细!$C$4:$C$1203,$Z12-4000)),IF($Z12&lt;=5800,IF(INDEX(次果筐明细!$D$4:$D$603,$Z12-5200)=0,"",INDEX(次果筐明细!$D$4:$D$603,$Z12-5200)),"")))))</f>
        <v>香梨网</v>
      </c>
      <c r="G12" s="24" t="str">
        <f>IF($Z12="","",IF($Z12&lt;=2000,IF(INDEX(包装物料出入库明细!$F$4:$F$2003,$Z12-0)=0,"",INDEX(包装物料出入库明细!$F$4:$F$2003,$Z12-0)),IF($Z12&lt;=4000,"",IF($Z12&lt;=5200,"",IF($Z12&lt;=5800,"","")))))</f>
        <v>*包</v>
      </c>
      <c r="H12" s="39">
        <f>IF($Z12="","",IF($Z12&lt;=2000,IF(INDEX(包装物料出入库明细!$L$4:$L$2003,$Z12-0)=0,"",INDEX(包装物料出入库明细!$L$4:$L$2003,$Z12-0)),IF($Z12&lt;=4000,N(INDEX(周转筐出入库明细!$H$4:$H$2004,$Z12-2000))+N(INDEX(周转筐出入库明细!$I$4:$I$2004,$Z12-2000))+N(INDEX(周转筐出入库明细!$J$4:$J$2004,$Z12-2000))+N(INDEX(周转筐出入库明细!$K$4:$K$2004,$Z12-2000)),IF($Z12&lt;=5200,N(INDEX(客户自备加工筐明细!$F$4:$F$1203,$Z12-4000))+N(INDEX(客户自备加工筐明细!$G$4:$G$1203,$Z12-4000)),IF($Z12&lt;=5800,IF(INDEX(次果筐明细!$G$4:$G$603,$Z12-5200)=0,"",INDEX(次果筐明细!$G$4:$G$603,$Z12-5200)),"")))))</f>
        <v>44</v>
      </c>
      <c r="I12" s="24" t="str">
        <f>IF($Z12="","",IF($Z12&lt;=2000,IF(INDEX(包装物料出入库明细!$G$4:$G$2003,$Z12-0)=0,"",INDEX(包装物料出入库明细!$G$4:$G$2003,$Z12-0)),IF($Z12&lt;=4000,"个",IF($Z12&lt;=5200,"个",IF($Z12&lt;=5800,"个","")))))</f>
        <v>包</v>
      </c>
      <c r="J12" s="30" t="str">
        <f t="shared" si="1"/>
        <v/>
      </c>
      <c r="K12" s="30">
        <f>IF($Z12="","",IF($Z12&lt;=2000,IF(INDEX(包装物料出入库明细!$N$4:$N$2003,$Z12-0)=0,"",INDEX(包装物料出入库明细!$N$4:$N$2003,$Z12-0)),IF($Z12&lt;=4000,IF(INDEX(周转筐出入库明细!$P$4:$P$2004,$Z12-2000)=0,"",INDEX(周转筐出入库明细!$P$4:$P$2004,$Z12-2000)),IF($Z12&lt;=5200,"",IF($Z12&lt;=5800,N(INDEX(次果筐明细!$L$4:$L$603,$Z12-5200))+N(INDEX(次果筐明细!$J$4:$J$603,$Z12-5200)),"")))))</f>
        <v>1980</v>
      </c>
      <c r="L12" s="24" t="str">
        <f>IF($Z12="","",IF($Z12&lt;=2000,IF(INDEX(包装物料出入库明细!$P$4:$P$2003,$Z12-0)=0,"",INDEX(包装物料出入库明细!$P$4:$P$2003,$Z12-0)),IF($Z12&lt;=4000,IF(INDEX(周转筐出入库明细!$Q$4:$Q$2004,$Z12-2000)=0,"",INDEX(周转筐出入库明细!$Q$4:$Q$2004,$Z12-2000)),IF($Z12&lt;=5200,"",IF($Z12&lt;=5800,IF(INDEX(次果筐明细!$M$4:$M$603,$Z12-5200)=0,"",INDEX(次果筐明细!$M$4:$M$603,$Z12-5200)),"")))))</f>
        <v>未付款</v>
      </c>
      <c r="M12" s="37" t="str">
        <f>IF($Z12="","",IF($Z12&lt;=2000,IF(INDEX(包装物料出入库明细!$R$4:$R$2003,$Z12-0)=0,"",INDEX(包装物料出入库明细!$R$4:$R$2003,$Z12-0)),IF($Z12&lt;=4000,IF(INDEX(周转筐出入库明细!$W$4:$W$2004,$Z12-2000)=0,"",INDEX(周转筐出入库明细!$W$4:$W$2004,$Z12-2000)),IF($Z12&lt;=5200,IF(INDEX(客户自备加工筐明细!$L$4:$L$1203,$Z12-4000)=0,"",INDEX(客户自备加工筐明细!$L$4:$L$1203,$Z12-4000)),IF($Z12&lt;=5800,IF(INDEX(次果筐明细!$P$4:$P$603,$Z12-5200)=0,"",INDEX(次果筐明细!$P$4:$P$603,$Z12-5200)),"")))))</f>
        <v/>
      </c>
      <c r="N12" s="16" t="str">
        <f>IF($Z12="","",IF($Z12&lt;=2000,"",IF($Z12&lt;=4000,IF(INDEX(周转筐出入库明细!$D$4:$D$2004,$Z12-2000)=0,"",INDEX(周转筐出入库明细!$D$4:$D$2004,$Z12-2000)),IF($Z12&lt;=5200,IF(INDEX(客户自备加工筐明细!$C$4:$C$1203,$Z12-4000)=0,"",INDEX(客户自备加工筐明细!$C$4:$C$1203,$Z12-4000)),IF($Z12&lt;=5800,IF(INDEX(次果筐明细!$D$4:$D$603,$Z12-5200)=0,"",INDEX(次果筐明细!$D$4:$D$603,$Z12-5200)),"")))))</f>
        <v/>
      </c>
      <c r="O12" s="40" t="str">
        <f>IF($Z12="","",IF($Z12&lt;=2000,"",IF($Z12&lt;=4000,IF(N(INDEX(周转筐出入库明细!$J$4:$J$2004,$Z12-2000))+N(INDEX(周转筐出入库明细!$K$4:$K$2004,$Z12-2000))=0,"",N(INDEX(周转筐出入库明细!$J$4:$J$2004,$Z12-2000))+N(INDEX(周转筐出入库明细!$K$4:$K$2004,$Z12-2000))),IF($Z12&lt;=5200,IF(N(INDEX(客户自备加工筐明细!$G$4:$G$1203,$Z12-4000))=0,"",N(INDEX(客户自备加工筐明细!$G$4:$G$1203,$Z12-4000))),IF($Z12&lt;=5800,IF(ISNUMBER(SEARCH("退",INDEX(次果筐明细!$F$4:$F$603,$Z12-5200)&amp;"")),"",IF(N(INDEX(次果筐明细!$G$4:$G$603,$Z12-5200))=0,"",N(INDEX(次果筐明细!$G$4:$G$603,$Z12-5200)))),"")))))</f>
        <v/>
      </c>
      <c r="P12" s="40" t="str">
        <f>IF($Z12="","",IF($Z12&lt;=2000,"",IF($Z12&lt;=4000,IF(N(INDEX(周转筐出入库明细!$I$4:$I$2004,$Z12-2000))=0,"",N(INDEX(周转筐出入库明细!$I$4:$I$2004,$Z12-2000))),IF($Z12&lt;=5200,"",IF($Z12&lt;=5800,IF(ISNUMBER(SEARCH("退",INDEX(次果筐明细!$F$4:$F$603,$Z12-5200)&amp;"")),IF(N(INDEX(次果筐明细!$G$4:$G$603,$Z12-5200))=0,"",N(INDEX(次果筐明细!$G$4:$G$603,$Z12-5200))),""),"")))))</f>
        <v/>
      </c>
      <c r="Q12" s="40" t="str">
        <f>IF($Z12="","",IF($Z12&lt;=2000,"",IF($Z12&lt;=4000,IF(N(INDEX(周转筐出入库明细!$H$4:$H$2004,$Z12-2000))=0,"",N(INDEX(周转筐出入库明细!$H$4:$H$2004,$Z12-2000))),IF($Z12&lt;=5200,IF(N(INDEX(客户自备加工筐明细!$F$4:$F$1203,$Z12-4000))=0,"",N(INDEX(客户自备加工筐明细!$F$4:$F$1203,$Z12-4000))),IF($Z12&lt;=5800,"","")))))</f>
        <v/>
      </c>
      <c r="R12" s="16" t="str">
        <f>IF($Z12="","",IF($Z12&lt;=2000,IF(INDEX(包装物料出入库明细!$O$4:$O$2003,$Z12-0)=0,"",INDEX(包装物料出入库明细!$O$4:$O$2003,$Z12-0)),IF($Z12&lt;=4000,IF(INDEX(周转筐出入库明细!$M$4:$M$2004,$Z12-2000)=0,"",INDEX(周转筐出入库明细!$M$4:$M$2004,$Z12-2000)),IF($Z12&lt;=5200,IF(INDEX(客户自备加工筐明细!$H$4:$H$1203,$Z12-4000)=0,"",INDEX(客户自备加工筐明细!$H$4:$H$1203,$Z12-4000)),IF($Z12&lt;=5800,IF(INDEX(次果筐明细!$H$4:$H$603,$Z12-5200)=0,"",INDEX(次果筐明细!$H$4:$H$603,$Z12-5200)),"")))))</f>
        <v>新A*G0544</v>
      </c>
      <c r="S12" s="22" t="str">
        <f t="shared" si="2"/>
        <v/>
      </c>
      <c r="Z12" s="10">
        <f>IFERROR(MATCH(ROW()-3,_自动清单!$CQ$4:$CQ$5803,0),"")</f>
        <v>9</v>
      </c>
    </row>
    <row r="13" spans="1:26">
      <c r="A13" s="24">
        <f t="shared" si="0"/>
        <v>10</v>
      </c>
      <c r="B13" s="38">
        <f>IF($Z13="","",IF($Z13&lt;=2000,IF(INDEX(包装物料出入库明细!$B$4:$B$2003,$Z13-0)=0,"",INDEX(包装物料出入库明细!$B$4:$B$2003,$Z13-0)),IF($Z13&lt;=4000,IF(INDEX(周转筐出入库明细!$B$4:$B$2004,$Z13-2000)=0,"",INDEX(周转筐出入库明细!$B$4:$B$2004,$Z13-2000)),IF($Z13&lt;=5200,IF(INDEX(客户自备加工筐明细!$B$4:$B$1203,$Z13-4000)=0,"",INDEX(客户自备加工筐明细!$B$4:$B$1203,$Z13-4000)),IF($Z13&lt;=5800,IF(INDEX(次果筐明细!$B$4:$B$603,$Z13-5200)=0,"",INDEX(次果筐明细!$B$4:$B$603,$Z13-5200)),"")))))</f>
        <v>46268</v>
      </c>
      <c r="C13" s="37" t="str">
        <f>IF($Z13="","",IF($Z13&lt;=2000,IF(INDEX(包装物料出入库明细!$D$4:$D$2003,$Z13-0)=0,"",INDEX(包装物料出入库明细!$D$4:$D$2003,$Z13-0)),IF($Z13&lt;=4000,IF(INDEX(周转筐出入库明细!$C$4:$C$2004,$Z13-2000)=0,"",INDEX(周转筐出入库明细!$C$4:$C$2004,$Z13-2000)),IF($Z13&lt;=5200,IF(INDEX(客户自备加工筐明细!$E$4:$E$1203,$Z13-4000)=0,"",INDEX(客户自备加工筐明细!$E$4:$E$1203,$Z13-4000)),IF($Z13&lt;=5800,IF(INDEX(次果筐明细!$C$4:$C$603,$Z13-5200)=0,"",INDEX(次果筐明细!$C$4:$C$603,$Z13-5200)),"")))))</f>
        <v>麦麦提</v>
      </c>
      <c r="D13" s="37" t="str">
        <f>IF($Z13="","",IF($Z13&lt;=2000,"包装物料－"&amp;INDEX(包装物料出入库明细!$H$4:$H$2003,$Z13-0),IF($Z13&lt;=4000,"周转筐－"&amp;INDEX(周转筐出入库明细!$F$4:$F$2004,$Z13-2000),IF($Z13&lt;=5200,"客户自备筐－"&amp;INDEX(客户自备加工筐明细!$J$4:$J$1203,$Z13-4000),IF($Z13&lt;=5800,"次果筐/托盘－"&amp;INDEX(次果筐明细!$F$4:$F$603,$Z13-5200),"")))))</f>
        <v>包装物料－领用出库</v>
      </c>
      <c r="E13" s="24" t="str">
        <f>IF($Z13="","",IF($Z13&lt;=2000,IF(INDEX(包装物料出入库明细!$C$4:$C$2003,$Z13-0)=0,"",INDEX(包装物料出入库明细!$C$4:$C$2003,$Z13-0)),IF($Z13&lt;=4000,IF(INDEX(周转筐出入库明细!$E$4:$E$2004,$Z13-2000)=0,"",INDEX(周转筐出入库明细!$E$4:$E$2004,$Z13-2000)),IF($Z13&lt;=5200,IF(INDEX(客户自备加工筐明细!$D$4:$D$1203,$Z13-4000)=0,"",INDEX(客户自备加工筐明细!$D$4:$D$1203,$Z13-4000)),IF($Z13&lt;=5800,IF(INDEX(次果筐明细!$E$4:$E$603,$Z13-5200)=0,"",INDEX(次果筐明细!$E$4:$E$603,$Z13-5200)),"")))))</f>
        <v>NO:0001070</v>
      </c>
      <c r="F13" s="24" t="str">
        <f>IF($Z13="","",IF($Z13&lt;=2000,IF(INDEX(包装物料出入库明细!$E$4:$E$2003,$Z13-0)=0,"",INDEX(包装物料出入库明细!$E$4:$E$2003,$Z13-0)),IF($Z13&lt;=4000,IF(INDEX(周转筐出入库明细!$D$4:$D$2004,$Z13-2000)=0,"",INDEX(周转筐出入库明细!$D$4:$D$2004,$Z13-2000)),IF($Z13&lt;=5200,IF(INDEX(客户自备加工筐明细!$C$4:$C$1203,$Z13-4000)=0,"",INDEX(客户自备加工筐明细!$C$4:$C$1203,$Z13-4000)),IF($Z13&lt;=5800,IF(INDEX(次果筐明细!$D$4:$D$603,$Z13-5200)=0,"",INDEX(次果筐明细!$D$4:$D$603,$Z13-5200)),"")))))</f>
        <v>香梨纸</v>
      </c>
      <c r="G13" s="24" t="str">
        <f>IF($Z13="","",IF($Z13&lt;=2000,IF(INDEX(包装物料出入库明细!$F$4:$F$2003,$Z13-0)=0,"",INDEX(包装物料出入库明细!$F$4:$F$2003,$Z13-0)),IF($Z13&lt;=4000,"",IF($Z13&lt;=5200,"",IF($Z13&lt;=5800,"","")))))</f>
        <v>*捆</v>
      </c>
      <c r="H13" s="39">
        <f>IF($Z13="","",IF($Z13&lt;=2000,IF(INDEX(包装物料出入库明细!$L$4:$L$2003,$Z13-0)=0,"",INDEX(包装物料出入库明细!$L$4:$L$2003,$Z13-0)),IF($Z13&lt;=4000,N(INDEX(周转筐出入库明细!$H$4:$H$2004,$Z13-2000))+N(INDEX(周转筐出入库明细!$I$4:$I$2004,$Z13-2000))+N(INDEX(周转筐出入库明细!$J$4:$J$2004,$Z13-2000))+N(INDEX(周转筐出入库明细!$K$4:$K$2004,$Z13-2000)),IF($Z13&lt;=5200,N(INDEX(客户自备加工筐明细!$F$4:$F$1203,$Z13-4000))+N(INDEX(客户自备加工筐明细!$G$4:$G$1203,$Z13-4000)),IF($Z13&lt;=5800,IF(INDEX(次果筐明细!$G$4:$G$603,$Z13-5200)=0,"",INDEX(次果筐明细!$G$4:$G$603,$Z13-5200)),"")))))</f>
        <v>2</v>
      </c>
      <c r="I13" s="24" t="str">
        <f>IF($Z13="","",IF($Z13&lt;=2000,IF(INDEX(包装物料出入库明细!$G$4:$G$2003,$Z13-0)=0,"",INDEX(包装物料出入库明细!$G$4:$G$2003,$Z13-0)),IF($Z13&lt;=4000,"个",IF($Z13&lt;=5200,"个",IF($Z13&lt;=5800,"个","")))))</f>
        <v>捆</v>
      </c>
      <c r="J13" s="30" t="str">
        <f t="shared" si="1"/>
        <v/>
      </c>
      <c r="K13" s="30">
        <f>IF($Z13="","",IF($Z13&lt;=2000,IF(INDEX(包装物料出入库明细!$N$4:$N$2003,$Z13-0)=0,"",INDEX(包装物料出入库明细!$N$4:$N$2003,$Z13-0)),IF($Z13&lt;=4000,IF(INDEX(周转筐出入库明细!$P$4:$P$2004,$Z13-2000)=0,"",INDEX(周转筐出入库明细!$P$4:$P$2004,$Z13-2000)),IF($Z13&lt;=5200,"",IF($Z13&lt;=5800,N(INDEX(次果筐明细!$L$4:$L$603,$Z13-5200))+N(INDEX(次果筐明细!$J$4:$J$603,$Z13-5200)),"")))))</f>
        <v>96</v>
      </c>
      <c r="L13" s="24" t="str">
        <f>IF($Z13="","",IF($Z13&lt;=2000,IF(INDEX(包装物料出入库明细!$P$4:$P$2003,$Z13-0)=0,"",INDEX(包装物料出入库明细!$P$4:$P$2003,$Z13-0)),IF($Z13&lt;=4000,IF(INDEX(周转筐出入库明细!$Q$4:$Q$2004,$Z13-2000)=0,"",INDEX(周转筐出入库明细!$Q$4:$Q$2004,$Z13-2000)),IF($Z13&lt;=5200,"",IF($Z13&lt;=5800,IF(INDEX(次果筐明细!$M$4:$M$603,$Z13-5200)=0,"",INDEX(次果筐明细!$M$4:$M$603,$Z13-5200)),"")))))</f>
        <v>已收讫</v>
      </c>
      <c r="M13" s="37" t="str">
        <f>IF($Z13="","",IF($Z13&lt;=2000,IF(INDEX(包装物料出入库明细!$R$4:$R$2003,$Z13-0)=0,"",INDEX(包装物料出入库明细!$R$4:$R$2003,$Z13-0)),IF($Z13&lt;=4000,IF(INDEX(周转筐出入库明细!$W$4:$W$2004,$Z13-2000)=0,"",INDEX(周转筐出入库明细!$W$4:$W$2004,$Z13-2000)),IF($Z13&lt;=5200,IF(INDEX(客户自备加工筐明细!$L$4:$L$1203,$Z13-4000)=0,"",INDEX(客户自备加工筐明细!$L$4:$L$1203,$Z13-4000)),IF($Z13&lt;=5800,IF(INDEX(次果筐明细!$P$4:$P$603,$Z13-5200)=0,"",INDEX(次果筐明细!$P$4:$P$603,$Z13-5200)),"")))))</f>
        <v/>
      </c>
      <c r="N13" s="16" t="str">
        <f>IF($Z13="","",IF($Z13&lt;=2000,"",IF($Z13&lt;=4000,IF(INDEX(周转筐出入库明细!$D$4:$D$2004,$Z13-2000)=0,"",INDEX(周转筐出入库明细!$D$4:$D$2004,$Z13-2000)),IF($Z13&lt;=5200,IF(INDEX(客户自备加工筐明细!$C$4:$C$1203,$Z13-4000)=0,"",INDEX(客户自备加工筐明细!$C$4:$C$1203,$Z13-4000)),IF($Z13&lt;=5800,IF(INDEX(次果筐明细!$D$4:$D$603,$Z13-5200)=0,"",INDEX(次果筐明细!$D$4:$D$603,$Z13-5200)),"")))))</f>
        <v/>
      </c>
      <c r="O13" s="40" t="str">
        <f>IF($Z13="","",IF($Z13&lt;=2000,"",IF($Z13&lt;=4000,IF(N(INDEX(周转筐出入库明细!$J$4:$J$2004,$Z13-2000))+N(INDEX(周转筐出入库明细!$K$4:$K$2004,$Z13-2000))=0,"",N(INDEX(周转筐出入库明细!$J$4:$J$2004,$Z13-2000))+N(INDEX(周转筐出入库明细!$K$4:$K$2004,$Z13-2000))),IF($Z13&lt;=5200,IF(N(INDEX(客户自备加工筐明细!$G$4:$G$1203,$Z13-4000))=0,"",N(INDEX(客户自备加工筐明细!$G$4:$G$1203,$Z13-4000))),IF($Z13&lt;=5800,IF(ISNUMBER(SEARCH("退",INDEX(次果筐明细!$F$4:$F$603,$Z13-5200)&amp;"")),"",IF(N(INDEX(次果筐明细!$G$4:$G$603,$Z13-5200))=0,"",N(INDEX(次果筐明细!$G$4:$G$603,$Z13-5200)))),"")))))</f>
        <v/>
      </c>
      <c r="P13" s="40" t="str">
        <f>IF($Z13="","",IF($Z13&lt;=2000,"",IF($Z13&lt;=4000,IF(N(INDEX(周转筐出入库明细!$I$4:$I$2004,$Z13-2000))=0,"",N(INDEX(周转筐出入库明细!$I$4:$I$2004,$Z13-2000))),IF($Z13&lt;=5200,"",IF($Z13&lt;=5800,IF(ISNUMBER(SEARCH("退",INDEX(次果筐明细!$F$4:$F$603,$Z13-5200)&amp;"")),IF(N(INDEX(次果筐明细!$G$4:$G$603,$Z13-5200))=0,"",N(INDEX(次果筐明细!$G$4:$G$603,$Z13-5200))),""),"")))))</f>
        <v/>
      </c>
      <c r="Q13" s="40" t="str">
        <f>IF($Z13="","",IF($Z13&lt;=2000,"",IF($Z13&lt;=4000,IF(N(INDEX(周转筐出入库明细!$H$4:$H$2004,$Z13-2000))=0,"",N(INDEX(周转筐出入库明细!$H$4:$H$2004,$Z13-2000))),IF($Z13&lt;=5200,IF(N(INDEX(客户自备加工筐明细!$F$4:$F$1203,$Z13-4000))=0,"",N(INDEX(客户自备加工筐明细!$F$4:$F$1203,$Z13-4000))),IF($Z13&lt;=5800,"","")))))</f>
        <v/>
      </c>
      <c r="R13" s="16" t="str">
        <f>IF($Z13="","",IF($Z13&lt;=2000,IF(INDEX(包装物料出入库明细!$O$4:$O$2003,$Z13-0)=0,"",INDEX(包装物料出入库明细!$O$4:$O$2003,$Z13-0)),IF($Z13&lt;=4000,IF(INDEX(周转筐出入库明细!$M$4:$M$2004,$Z13-2000)=0,"",INDEX(周转筐出入库明细!$M$4:$M$2004,$Z13-2000)),IF($Z13&lt;=5200,IF(INDEX(客户自备加工筐明细!$H$4:$H$1203,$Z13-4000)=0,"",INDEX(客户自备加工筐明细!$H$4:$H$1203,$Z13-4000)),IF($Z13&lt;=5800,IF(INDEX(次果筐明细!$H$4:$H$603,$Z13-5200)=0,"",INDEX(次果筐明细!$H$4:$H$603,$Z13-5200)),"")))))</f>
        <v>自提</v>
      </c>
      <c r="S13" s="22" t="str">
        <f t="shared" si="2"/>
        <v/>
      </c>
      <c r="Z13" s="10">
        <f>IFERROR(MATCH(ROW()-3,_自动清单!$CQ$4:$CQ$5803,0),"")</f>
        <v>10</v>
      </c>
    </row>
    <row r="14" spans="1:26">
      <c r="A14" s="24">
        <f t="shared" si="0"/>
        <v>11</v>
      </c>
      <c r="B14" s="38">
        <f>IF($Z14="","",IF($Z14&lt;=2000,IF(INDEX(包装物料出入库明细!$B$4:$B$2003,$Z14-0)=0,"",INDEX(包装物料出入库明细!$B$4:$B$2003,$Z14-0)),IF($Z14&lt;=4000,IF(INDEX(周转筐出入库明细!$B$4:$B$2004,$Z14-2000)=0,"",INDEX(周转筐出入库明细!$B$4:$B$2004,$Z14-2000)),IF($Z14&lt;=5200,IF(INDEX(客户自备加工筐明细!$B$4:$B$1203,$Z14-4000)=0,"",INDEX(客户自备加工筐明细!$B$4:$B$1203,$Z14-4000)),IF($Z14&lt;=5800,IF(INDEX(次果筐明细!$B$4:$B$603,$Z14-5200)=0,"",INDEX(次果筐明细!$B$4:$B$603,$Z14-5200)),"")))))</f>
        <v>46268</v>
      </c>
      <c r="C14" s="37" t="str">
        <f>IF($Z14="","",IF($Z14&lt;=2000,IF(INDEX(包装物料出入库明细!$D$4:$D$2003,$Z14-0)=0,"",INDEX(包装物料出入库明细!$D$4:$D$2003,$Z14-0)),IF($Z14&lt;=4000,IF(INDEX(周转筐出入库明细!$C$4:$C$2004,$Z14-2000)=0,"",INDEX(周转筐出入库明细!$C$4:$C$2004,$Z14-2000)),IF($Z14&lt;=5200,IF(INDEX(客户自备加工筐明细!$E$4:$E$1203,$Z14-4000)=0,"",INDEX(客户自备加工筐明细!$E$4:$E$1203,$Z14-4000)),IF($Z14&lt;=5800,IF(INDEX(次果筐明细!$C$4:$C$603,$Z14-5200)=0,"",INDEX(次果筐明细!$C$4:$C$603,$Z14-5200)),"")))))</f>
        <v>热合曼</v>
      </c>
      <c r="D14" s="37" t="str">
        <f>IF($Z14="","",IF($Z14&lt;=2000,"包装物料－"&amp;INDEX(包装物料出入库明细!$H$4:$H$2003,$Z14-0),IF($Z14&lt;=4000,"周转筐－"&amp;INDEX(周转筐出入库明细!$F$4:$F$2004,$Z14-2000),IF($Z14&lt;=5200,"客户自备筐－"&amp;INDEX(客户自备加工筐明细!$J$4:$J$1203,$Z14-4000),IF($Z14&lt;=5800,"次果筐/托盘－"&amp;INDEX(次果筐明细!$F$4:$F$603,$Z14-5200),"")))))</f>
        <v>包装物料－领用出库</v>
      </c>
      <c r="E14" s="24" t="str">
        <f>IF($Z14="","",IF($Z14&lt;=2000,IF(INDEX(包装物料出入库明细!$C$4:$C$2003,$Z14-0)=0,"",INDEX(包装物料出入库明细!$C$4:$C$2003,$Z14-0)),IF($Z14&lt;=4000,IF(INDEX(周转筐出入库明细!$E$4:$E$2004,$Z14-2000)=0,"",INDEX(周转筐出入库明细!$E$4:$E$2004,$Z14-2000)),IF($Z14&lt;=5200,IF(INDEX(客户自备加工筐明细!$D$4:$D$1203,$Z14-4000)=0,"",INDEX(客户自备加工筐明细!$D$4:$D$1203,$Z14-4000)),IF($Z14&lt;=5800,IF(INDEX(次果筐明细!$E$4:$E$603,$Z14-5200)=0,"",INDEX(次果筐明细!$E$4:$E$603,$Z14-5200)),"")))))</f>
        <v>NO:0001071</v>
      </c>
      <c r="F14" s="24" t="str">
        <f>IF($Z14="","",IF($Z14&lt;=2000,IF(INDEX(包装物料出入库明细!$E$4:$E$2003,$Z14-0)=0,"",INDEX(包装物料出入库明细!$E$4:$E$2003,$Z14-0)),IF($Z14&lt;=4000,IF(INDEX(周转筐出入库明细!$D$4:$D$2004,$Z14-2000)=0,"",INDEX(周转筐出入库明细!$D$4:$D$2004,$Z14-2000)),IF($Z14&lt;=5200,IF(INDEX(客户自备加工筐明细!$C$4:$C$1203,$Z14-4000)=0,"",INDEX(客户自备加工筐明细!$C$4:$C$1203,$Z14-4000)),IF($Z14&lt;=5800,IF(INDEX(次果筐明细!$D$4:$D$603,$Z14-5200)=0,"",INDEX(次果筐明细!$D$4:$D$603,$Z14-5200)),"")))))</f>
        <v>香梨纸</v>
      </c>
      <c r="G14" s="24" t="str">
        <f>IF($Z14="","",IF($Z14&lt;=2000,IF(INDEX(包装物料出入库明细!$F$4:$F$2003,$Z14-0)=0,"",INDEX(包装物料出入库明细!$F$4:$F$2003,$Z14-0)),IF($Z14&lt;=4000,"",IF($Z14&lt;=5200,"",IF($Z14&lt;=5800,"","")))))</f>
        <v>*捆</v>
      </c>
      <c r="H14" s="39">
        <f>IF($Z14="","",IF($Z14&lt;=2000,IF(INDEX(包装物料出入库明细!$L$4:$L$2003,$Z14-0)=0,"",INDEX(包装物料出入库明细!$L$4:$L$2003,$Z14-0)),IF($Z14&lt;=4000,N(INDEX(周转筐出入库明细!$H$4:$H$2004,$Z14-2000))+N(INDEX(周转筐出入库明细!$I$4:$I$2004,$Z14-2000))+N(INDEX(周转筐出入库明细!$J$4:$J$2004,$Z14-2000))+N(INDEX(周转筐出入库明细!$K$4:$K$2004,$Z14-2000)),IF($Z14&lt;=5200,N(INDEX(客户自备加工筐明细!$F$4:$F$1203,$Z14-4000))+N(INDEX(客户自备加工筐明细!$G$4:$G$1203,$Z14-4000)),IF($Z14&lt;=5800,IF(INDEX(次果筐明细!$G$4:$G$603,$Z14-5200)=0,"",INDEX(次果筐明细!$G$4:$G$603,$Z14-5200)),"")))))</f>
        <v>2</v>
      </c>
      <c r="I14" s="24" t="str">
        <f>IF($Z14="","",IF($Z14&lt;=2000,IF(INDEX(包装物料出入库明细!$G$4:$G$2003,$Z14-0)=0,"",INDEX(包装物料出入库明细!$G$4:$G$2003,$Z14-0)),IF($Z14&lt;=4000,"个",IF($Z14&lt;=5200,"个",IF($Z14&lt;=5800,"个","")))))</f>
        <v>捆</v>
      </c>
      <c r="J14" s="30" t="str">
        <f t="shared" si="1"/>
        <v/>
      </c>
      <c r="K14" s="30">
        <f>IF($Z14="","",IF($Z14&lt;=2000,IF(INDEX(包装物料出入库明细!$N$4:$N$2003,$Z14-0)=0,"",INDEX(包装物料出入库明细!$N$4:$N$2003,$Z14-0)),IF($Z14&lt;=4000,IF(INDEX(周转筐出入库明细!$P$4:$P$2004,$Z14-2000)=0,"",INDEX(周转筐出入库明细!$P$4:$P$2004,$Z14-2000)),IF($Z14&lt;=5200,"",IF($Z14&lt;=5800,N(INDEX(次果筐明细!$L$4:$L$603,$Z14-5200))+N(INDEX(次果筐明细!$J$4:$J$603,$Z14-5200)),"")))))</f>
        <v>96</v>
      </c>
      <c r="L14" s="24" t="str">
        <f>IF($Z14="","",IF($Z14&lt;=2000,IF(INDEX(包装物料出入库明细!$P$4:$P$2003,$Z14-0)=0,"",INDEX(包装物料出入库明细!$P$4:$P$2003,$Z14-0)),IF($Z14&lt;=4000,IF(INDEX(周转筐出入库明细!$Q$4:$Q$2004,$Z14-2000)=0,"",INDEX(周转筐出入库明细!$Q$4:$Q$2004,$Z14-2000)),IF($Z14&lt;=5200,"",IF($Z14&lt;=5800,IF(INDEX(次果筐明细!$M$4:$M$603,$Z14-5200)=0,"",INDEX(次果筐明细!$M$4:$M$603,$Z14-5200)),"")))))</f>
        <v>已收讫</v>
      </c>
      <c r="M14" s="37" t="str">
        <f>IF($Z14="","",IF($Z14&lt;=2000,IF(INDEX(包装物料出入库明细!$R$4:$R$2003,$Z14-0)=0,"",INDEX(包装物料出入库明细!$R$4:$R$2003,$Z14-0)),IF($Z14&lt;=4000,IF(INDEX(周转筐出入库明细!$W$4:$W$2004,$Z14-2000)=0,"",INDEX(周转筐出入库明细!$W$4:$W$2004,$Z14-2000)),IF($Z14&lt;=5200,IF(INDEX(客户自备加工筐明细!$L$4:$L$1203,$Z14-4000)=0,"",INDEX(客户自备加工筐明细!$L$4:$L$1203,$Z14-4000)),IF($Z14&lt;=5800,IF(INDEX(次果筐明细!$P$4:$P$603,$Z14-5200)=0,"",INDEX(次果筐明细!$P$4:$P$603,$Z14-5200)),"")))))</f>
        <v/>
      </c>
      <c r="N14" s="16" t="str">
        <f>IF($Z14="","",IF($Z14&lt;=2000,"",IF($Z14&lt;=4000,IF(INDEX(周转筐出入库明细!$D$4:$D$2004,$Z14-2000)=0,"",INDEX(周转筐出入库明细!$D$4:$D$2004,$Z14-2000)),IF($Z14&lt;=5200,IF(INDEX(客户自备加工筐明细!$C$4:$C$1203,$Z14-4000)=0,"",INDEX(客户自备加工筐明细!$C$4:$C$1203,$Z14-4000)),IF($Z14&lt;=5800,IF(INDEX(次果筐明细!$D$4:$D$603,$Z14-5200)=0,"",INDEX(次果筐明细!$D$4:$D$603,$Z14-5200)),"")))))</f>
        <v/>
      </c>
      <c r="O14" s="40" t="str">
        <f>IF($Z14="","",IF($Z14&lt;=2000,"",IF($Z14&lt;=4000,IF(N(INDEX(周转筐出入库明细!$J$4:$J$2004,$Z14-2000))+N(INDEX(周转筐出入库明细!$K$4:$K$2004,$Z14-2000))=0,"",N(INDEX(周转筐出入库明细!$J$4:$J$2004,$Z14-2000))+N(INDEX(周转筐出入库明细!$K$4:$K$2004,$Z14-2000))),IF($Z14&lt;=5200,IF(N(INDEX(客户自备加工筐明细!$G$4:$G$1203,$Z14-4000))=0,"",N(INDEX(客户自备加工筐明细!$G$4:$G$1203,$Z14-4000))),IF($Z14&lt;=5800,IF(ISNUMBER(SEARCH("退",INDEX(次果筐明细!$F$4:$F$603,$Z14-5200)&amp;"")),"",IF(N(INDEX(次果筐明细!$G$4:$G$603,$Z14-5200))=0,"",N(INDEX(次果筐明细!$G$4:$G$603,$Z14-5200)))),"")))))</f>
        <v/>
      </c>
      <c r="P14" s="40" t="str">
        <f>IF($Z14="","",IF($Z14&lt;=2000,"",IF($Z14&lt;=4000,IF(N(INDEX(周转筐出入库明细!$I$4:$I$2004,$Z14-2000))=0,"",N(INDEX(周转筐出入库明细!$I$4:$I$2004,$Z14-2000))),IF($Z14&lt;=5200,"",IF($Z14&lt;=5800,IF(ISNUMBER(SEARCH("退",INDEX(次果筐明细!$F$4:$F$603,$Z14-5200)&amp;"")),IF(N(INDEX(次果筐明细!$G$4:$G$603,$Z14-5200))=0,"",N(INDEX(次果筐明细!$G$4:$G$603,$Z14-5200))),""),"")))))</f>
        <v/>
      </c>
      <c r="Q14" s="40" t="str">
        <f>IF($Z14="","",IF($Z14&lt;=2000,"",IF($Z14&lt;=4000,IF(N(INDEX(周转筐出入库明细!$H$4:$H$2004,$Z14-2000))=0,"",N(INDEX(周转筐出入库明细!$H$4:$H$2004,$Z14-2000))),IF($Z14&lt;=5200,IF(N(INDEX(客户自备加工筐明细!$F$4:$F$1203,$Z14-4000))=0,"",N(INDEX(客户自备加工筐明细!$F$4:$F$1203,$Z14-4000))),IF($Z14&lt;=5800,"","")))))</f>
        <v/>
      </c>
      <c r="R14" s="16" t="str">
        <f>IF($Z14="","",IF($Z14&lt;=2000,IF(INDEX(包装物料出入库明细!$O$4:$O$2003,$Z14-0)=0,"",INDEX(包装物料出入库明细!$O$4:$O$2003,$Z14-0)),IF($Z14&lt;=4000,IF(INDEX(周转筐出入库明细!$M$4:$M$2004,$Z14-2000)=0,"",INDEX(周转筐出入库明细!$M$4:$M$2004,$Z14-2000)),IF($Z14&lt;=5200,IF(INDEX(客户自备加工筐明细!$H$4:$H$1203,$Z14-4000)=0,"",INDEX(客户自备加工筐明细!$H$4:$H$1203,$Z14-4000)),IF($Z14&lt;=5800,IF(INDEX(次果筐明细!$H$4:$H$603,$Z14-5200)=0,"",INDEX(次果筐明细!$H$4:$H$603,$Z14-5200)),"")))))</f>
        <v>自提</v>
      </c>
      <c r="S14" s="22" t="str">
        <f t="shared" si="2"/>
        <v/>
      </c>
      <c r="Z14" s="10">
        <f>IFERROR(MATCH(ROW()-3,_自动清单!$CQ$4:$CQ$5803,0),"")</f>
        <v>11</v>
      </c>
    </row>
    <row r="15" spans="1:26">
      <c r="A15" s="24">
        <f t="shared" si="0"/>
        <v>12</v>
      </c>
      <c r="B15" s="38">
        <f>IF($Z15="","",IF($Z15&lt;=2000,IF(INDEX(包装物料出入库明细!$B$4:$B$2003,$Z15-0)=0,"",INDEX(包装物料出入库明细!$B$4:$B$2003,$Z15-0)),IF($Z15&lt;=4000,IF(INDEX(周转筐出入库明细!$B$4:$B$2004,$Z15-2000)=0,"",INDEX(周转筐出入库明细!$B$4:$B$2004,$Z15-2000)),IF($Z15&lt;=5200,IF(INDEX(客户自备加工筐明细!$B$4:$B$1203,$Z15-4000)=0,"",INDEX(客户自备加工筐明细!$B$4:$B$1203,$Z15-4000)),IF($Z15&lt;=5800,IF(INDEX(次果筐明细!$B$4:$B$603,$Z15-5200)=0,"",INDEX(次果筐明细!$B$4:$B$603,$Z15-5200)),"")))))</f>
        <v>46268</v>
      </c>
      <c r="C15" s="37" t="str">
        <f>IF($Z15="","",IF($Z15&lt;=2000,IF(INDEX(包装物料出入库明细!$D$4:$D$2003,$Z15-0)=0,"",INDEX(包装物料出入库明细!$D$4:$D$2003,$Z15-0)),IF($Z15&lt;=4000,IF(INDEX(周转筐出入库明细!$C$4:$C$2004,$Z15-2000)=0,"",INDEX(周转筐出入库明细!$C$4:$C$2004,$Z15-2000)),IF($Z15&lt;=5200,IF(INDEX(客户自备加工筐明细!$E$4:$E$1203,$Z15-4000)=0,"",INDEX(客户自备加工筐明细!$E$4:$E$1203,$Z15-4000)),IF($Z15&lt;=5800,IF(INDEX(次果筐明细!$C$4:$C$603,$Z15-5200)=0,"",INDEX(次果筐明细!$C$4:$C$603,$Z15-5200)),"")))))</f>
        <v>麦麦提</v>
      </c>
      <c r="D15" s="37" t="str">
        <f>IF($Z15="","",IF($Z15&lt;=2000,"包装物料－"&amp;INDEX(包装物料出入库明细!$H$4:$H$2003,$Z15-0),IF($Z15&lt;=4000,"周转筐－"&amp;INDEX(周转筐出入库明细!$F$4:$F$2004,$Z15-2000),IF($Z15&lt;=5200,"客户自备筐－"&amp;INDEX(客户自备加工筐明细!$J$4:$J$1203,$Z15-4000),IF($Z15&lt;=5800,"次果筐/托盘－"&amp;INDEX(次果筐明细!$F$4:$F$603,$Z15-5200),"")))))</f>
        <v>包装物料－领用出库</v>
      </c>
      <c r="E15" s="24" t="str">
        <f>IF($Z15="","",IF($Z15&lt;=2000,IF(INDEX(包装物料出入库明细!$C$4:$C$2003,$Z15-0)=0,"",INDEX(包装物料出入库明细!$C$4:$C$2003,$Z15-0)),IF($Z15&lt;=4000,IF(INDEX(周转筐出入库明细!$E$4:$E$2004,$Z15-2000)=0,"",INDEX(周转筐出入库明细!$E$4:$E$2004,$Z15-2000)),IF($Z15&lt;=5200,IF(INDEX(客户自备加工筐明细!$D$4:$D$1203,$Z15-4000)=0,"",INDEX(客户自备加工筐明细!$D$4:$D$1203,$Z15-4000)),IF($Z15&lt;=5800,IF(INDEX(次果筐明细!$E$4:$E$603,$Z15-5200)=0,"",INDEX(次果筐明细!$E$4:$E$603,$Z15-5200)),"")))))</f>
        <v>NO:0001074</v>
      </c>
      <c r="F15" s="24" t="str">
        <f>IF($Z15="","",IF($Z15&lt;=2000,IF(INDEX(包装物料出入库明细!$E$4:$E$2003,$Z15-0)=0,"",INDEX(包装物料出入库明细!$E$4:$E$2003,$Z15-0)),IF($Z15&lt;=4000,IF(INDEX(周转筐出入库明细!$D$4:$D$2004,$Z15-2000)=0,"",INDEX(周转筐出入库明细!$D$4:$D$2004,$Z15-2000)),IF($Z15&lt;=5200,IF(INDEX(客户自备加工筐明细!$C$4:$C$1203,$Z15-4000)=0,"",INDEX(客户自备加工筐明细!$C$4:$C$1203,$Z15-4000)),IF($Z15&lt;=5800,IF(INDEX(次果筐明细!$D$4:$D$603,$Z15-5200)=0,"",INDEX(次果筐明细!$D$4:$D$603,$Z15-5200)),"")))))</f>
        <v>香梨网</v>
      </c>
      <c r="G15" s="24" t="str">
        <f>IF($Z15="","",IF($Z15&lt;=2000,IF(INDEX(包装物料出入库明细!$F$4:$F$2003,$Z15-0)=0,"",INDEX(包装物料出入库明细!$F$4:$F$2003,$Z15-0)),IF($Z15&lt;=4000,"",IF($Z15&lt;=5200,"",IF($Z15&lt;=5800,"","")))))</f>
        <v>*包</v>
      </c>
      <c r="H15" s="39">
        <f>IF($Z15="","",IF($Z15&lt;=2000,IF(INDEX(包装物料出入库明细!$L$4:$L$2003,$Z15-0)=0,"",INDEX(包装物料出入库明细!$L$4:$L$2003,$Z15-0)),IF($Z15&lt;=4000,N(INDEX(周转筐出入库明细!$H$4:$H$2004,$Z15-2000))+N(INDEX(周转筐出入库明细!$I$4:$I$2004,$Z15-2000))+N(INDEX(周转筐出入库明细!$J$4:$J$2004,$Z15-2000))+N(INDEX(周转筐出入库明细!$K$4:$K$2004,$Z15-2000)),IF($Z15&lt;=5200,N(INDEX(客户自备加工筐明细!$F$4:$F$1203,$Z15-4000))+N(INDEX(客户自备加工筐明细!$G$4:$G$1203,$Z15-4000)),IF($Z15&lt;=5800,IF(INDEX(次果筐明细!$G$4:$G$603,$Z15-5200)=0,"",INDEX(次果筐明细!$G$4:$G$603,$Z15-5200)),"")))))</f>
        <v>44</v>
      </c>
      <c r="I15" s="24" t="str">
        <f>IF($Z15="","",IF($Z15&lt;=2000,IF(INDEX(包装物料出入库明细!$G$4:$G$2003,$Z15-0)=0,"",INDEX(包装物料出入库明细!$G$4:$G$2003,$Z15-0)),IF($Z15&lt;=4000,"个",IF($Z15&lt;=5200,"个",IF($Z15&lt;=5800,"个","")))))</f>
        <v>包</v>
      </c>
      <c r="J15" s="30" t="str">
        <f t="shared" si="1"/>
        <v/>
      </c>
      <c r="K15" s="30">
        <f>IF($Z15="","",IF($Z15&lt;=2000,IF(INDEX(包装物料出入库明细!$N$4:$N$2003,$Z15-0)=0,"",INDEX(包装物料出入库明细!$N$4:$N$2003,$Z15-0)),IF($Z15&lt;=4000,IF(INDEX(周转筐出入库明细!$P$4:$P$2004,$Z15-2000)=0,"",INDEX(周转筐出入库明细!$P$4:$P$2004,$Z15-2000)),IF($Z15&lt;=5200,"",IF($Z15&lt;=5800,N(INDEX(次果筐明细!$L$4:$L$603,$Z15-5200))+N(INDEX(次果筐明细!$J$4:$J$603,$Z15-5200)),"")))))</f>
        <v>1980</v>
      </c>
      <c r="L15" s="24" t="str">
        <f>IF($Z15="","",IF($Z15&lt;=2000,IF(INDEX(包装物料出入库明细!$P$4:$P$2003,$Z15-0)=0,"",INDEX(包装物料出入库明细!$P$4:$P$2003,$Z15-0)),IF($Z15&lt;=4000,IF(INDEX(周转筐出入库明细!$Q$4:$Q$2004,$Z15-2000)=0,"",INDEX(周转筐出入库明细!$Q$4:$Q$2004,$Z15-2000)),IF($Z15&lt;=5200,"",IF($Z15&lt;=5800,IF(INDEX(次果筐明细!$M$4:$M$603,$Z15-5200)=0,"",INDEX(次果筐明细!$M$4:$M$603,$Z15-5200)),"")))))</f>
        <v>未付款</v>
      </c>
      <c r="M15" s="37" t="str">
        <f>IF($Z15="","",IF($Z15&lt;=2000,IF(INDEX(包装物料出入库明细!$R$4:$R$2003,$Z15-0)=0,"",INDEX(包装物料出入库明细!$R$4:$R$2003,$Z15-0)),IF($Z15&lt;=4000,IF(INDEX(周转筐出入库明细!$W$4:$W$2004,$Z15-2000)=0,"",INDEX(周转筐出入库明细!$W$4:$W$2004,$Z15-2000)),IF($Z15&lt;=5200,IF(INDEX(客户自备加工筐明细!$L$4:$L$1203,$Z15-4000)=0,"",INDEX(客户自备加工筐明细!$L$4:$L$1203,$Z15-4000)),IF($Z15&lt;=5800,IF(INDEX(次果筐明细!$P$4:$P$603,$Z15-5200)=0,"",INDEX(次果筐明细!$P$4:$P$603,$Z15-5200)),"")))))</f>
        <v/>
      </c>
      <c r="N15" s="16" t="str">
        <f>IF($Z15="","",IF($Z15&lt;=2000,"",IF($Z15&lt;=4000,IF(INDEX(周转筐出入库明细!$D$4:$D$2004,$Z15-2000)=0,"",INDEX(周转筐出入库明细!$D$4:$D$2004,$Z15-2000)),IF($Z15&lt;=5200,IF(INDEX(客户自备加工筐明细!$C$4:$C$1203,$Z15-4000)=0,"",INDEX(客户自备加工筐明细!$C$4:$C$1203,$Z15-4000)),IF($Z15&lt;=5800,IF(INDEX(次果筐明细!$D$4:$D$603,$Z15-5200)=0,"",INDEX(次果筐明细!$D$4:$D$603,$Z15-5200)),"")))))</f>
        <v/>
      </c>
      <c r="O15" s="40" t="str">
        <f>IF($Z15="","",IF($Z15&lt;=2000,"",IF($Z15&lt;=4000,IF(N(INDEX(周转筐出入库明细!$J$4:$J$2004,$Z15-2000))+N(INDEX(周转筐出入库明细!$K$4:$K$2004,$Z15-2000))=0,"",N(INDEX(周转筐出入库明细!$J$4:$J$2004,$Z15-2000))+N(INDEX(周转筐出入库明细!$K$4:$K$2004,$Z15-2000))),IF($Z15&lt;=5200,IF(N(INDEX(客户自备加工筐明细!$G$4:$G$1203,$Z15-4000))=0,"",N(INDEX(客户自备加工筐明细!$G$4:$G$1203,$Z15-4000))),IF($Z15&lt;=5800,IF(ISNUMBER(SEARCH("退",INDEX(次果筐明细!$F$4:$F$603,$Z15-5200)&amp;"")),"",IF(N(INDEX(次果筐明细!$G$4:$G$603,$Z15-5200))=0,"",N(INDEX(次果筐明细!$G$4:$G$603,$Z15-5200)))),"")))))</f>
        <v/>
      </c>
      <c r="P15" s="40" t="str">
        <f>IF($Z15="","",IF($Z15&lt;=2000,"",IF($Z15&lt;=4000,IF(N(INDEX(周转筐出入库明细!$I$4:$I$2004,$Z15-2000))=0,"",N(INDEX(周转筐出入库明细!$I$4:$I$2004,$Z15-2000))),IF($Z15&lt;=5200,"",IF($Z15&lt;=5800,IF(ISNUMBER(SEARCH("退",INDEX(次果筐明细!$F$4:$F$603,$Z15-5200)&amp;"")),IF(N(INDEX(次果筐明细!$G$4:$G$603,$Z15-5200))=0,"",N(INDEX(次果筐明细!$G$4:$G$603,$Z15-5200))),""),"")))))</f>
        <v/>
      </c>
      <c r="Q15" s="40" t="str">
        <f>IF($Z15="","",IF($Z15&lt;=2000,"",IF($Z15&lt;=4000,IF(N(INDEX(周转筐出入库明细!$H$4:$H$2004,$Z15-2000))=0,"",N(INDEX(周转筐出入库明细!$H$4:$H$2004,$Z15-2000))),IF($Z15&lt;=5200,IF(N(INDEX(客户自备加工筐明细!$F$4:$F$1203,$Z15-4000))=0,"",N(INDEX(客户自备加工筐明细!$F$4:$F$1203,$Z15-4000))),IF($Z15&lt;=5800,"","")))))</f>
        <v/>
      </c>
      <c r="R15" s="16" t="str">
        <f>IF($Z15="","",IF($Z15&lt;=2000,IF(INDEX(包装物料出入库明细!$O$4:$O$2003,$Z15-0)=0,"",INDEX(包装物料出入库明细!$O$4:$O$2003,$Z15-0)),IF($Z15&lt;=4000,IF(INDEX(周转筐出入库明细!$M$4:$M$2004,$Z15-2000)=0,"",INDEX(周转筐出入库明细!$M$4:$M$2004,$Z15-2000)),IF($Z15&lt;=5200,IF(INDEX(客户自备加工筐明细!$H$4:$H$1203,$Z15-4000)=0,"",INDEX(客户自备加工筐明细!$H$4:$H$1203,$Z15-4000)),IF($Z15&lt;=5800,IF(INDEX(次果筐明细!$H$4:$H$603,$Z15-5200)=0,"",INDEX(次果筐明细!$H$4:$H$603,$Z15-5200)),"")))))</f>
        <v>新A*G0544</v>
      </c>
      <c r="S15" s="22" t="str">
        <f t="shared" si="2"/>
        <v/>
      </c>
      <c r="Z15" s="10">
        <f>IFERROR(MATCH(ROW()-3,_自动清单!$CQ$4:$CQ$5803,0),"")</f>
        <v>12</v>
      </c>
    </row>
    <row r="16" spans="1:26">
      <c r="A16" s="24">
        <f t="shared" si="0"/>
        <v>13</v>
      </c>
      <c r="B16" s="38">
        <f>IF($Z16="","",IF($Z16&lt;=2000,IF(INDEX(包装物料出入库明细!$B$4:$B$2003,$Z16-0)=0,"",INDEX(包装物料出入库明细!$B$4:$B$2003,$Z16-0)),IF($Z16&lt;=4000,IF(INDEX(周转筐出入库明细!$B$4:$B$2004,$Z16-2000)=0,"",INDEX(周转筐出入库明细!$B$4:$B$2004,$Z16-2000)),IF($Z16&lt;=5200,IF(INDEX(客户自备加工筐明细!$B$4:$B$1203,$Z16-4000)=0,"",INDEX(客户自备加工筐明细!$B$4:$B$1203,$Z16-4000)),IF($Z16&lt;=5800,IF(INDEX(次果筐明细!$B$4:$B$603,$Z16-5200)=0,"",INDEX(次果筐明细!$B$4:$B$603,$Z16-5200)),"")))))</f>
        <v>46269</v>
      </c>
      <c r="C16" s="37" t="str">
        <f>IF($Z16="","",IF($Z16&lt;=2000,IF(INDEX(包装物料出入库明细!$D$4:$D$2003,$Z16-0)=0,"",INDEX(包装物料出入库明细!$D$4:$D$2003,$Z16-0)),IF($Z16&lt;=4000,IF(INDEX(周转筐出入库明细!$C$4:$C$2004,$Z16-2000)=0,"",INDEX(周转筐出入库明细!$C$4:$C$2004,$Z16-2000)),IF($Z16&lt;=5200,IF(INDEX(客户自备加工筐明细!$E$4:$E$1203,$Z16-4000)=0,"",INDEX(客户自备加工筐明细!$E$4:$E$1203,$Z16-4000)),IF($Z16&lt;=5800,IF(INDEX(次果筐明细!$C$4:$C$603,$Z16-5200)=0,"",INDEX(次果筐明细!$C$4:$C$603,$Z16-5200)),"")))))</f>
        <v>荆建君</v>
      </c>
      <c r="D16" s="37" t="str">
        <f>IF($Z16="","",IF($Z16&lt;=2000,"包装物料－"&amp;INDEX(包装物料出入库明细!$H$4:$H$2003,$Z16-0),IF($Z16&lt;=4000,"周转筐－"&amp;INDEX(周转筐出入库明细!$F$4:$F$2004,$Z16-2000),IF($Z16&lt;=5200,"客户自备筐－"&amp;INDEX(客户自备加工筐明细!$J$4:$J$1203,$Z16-4000),IF($Z16&lt;=5800,"次果筐/托盘－"&amp;INDEX(次果筐明细!$F$4:$F$603,$Z16-5200),"")))))</f>
        <v>包装物料－领用出库</v>
      </c>
      <c r="E16" s="24" t="str">
        <f>IF($Z16="","",IF($Z16&lt;=2000,IF(INDEX(包装物料出入库明细!$C$4:$C$2003,$Z16-0)=0,"",INDEX(包装物料出入库明细!$C$4:$C$2003,$Z16-0)),IF($Z16&lt;=4000,IF(INDEX(周转筐出入库明细!$E$4:$E$2004,$Z16-2000)=0,"",INDEX(周转筐出入库明细!$E$4:$E$2004,$Z16-2000)),IF($Z16&lt;=5200,IF(INDEX(客户自备加工筐明细!$D$4:$D$1203,$Z16-4000)=0,"",INDEX(客户自备加工筐明细!$D$4:$D$1203,$Z16-4000)),IF($Z16&lt;=5800,IF(INDEX(次果筐明细!$E$4:$E$603,$Z16-5200)=0,"",INDEX(次果筐明细!$E$4:$E$603,$Z16-5200)),"")))))</f>
        <v>NO:0001079</v>
      </c>
      <c r="F16" s="24" t="str">
        <f>IF($Z16="","",IF($Z16&lt;=2000,IF(INDEX(包装物料出入库明细!$E$4:$E$2003,$Z16-0)=0,"",INDEX(包装物料出入库明细!$E$4:$E$2003,$Z16-0)),IF($Z16&lt;=4000,IF(INDEX(周转筐出入库明细!$D$4:$D$2004,$Z16-2000)=0,"",INDEX(周转筐出入库明细!$D$4:$D$2004,$Z16-2000)),IF($Z16&lt;=5200,IF(INDEX(客户自备加工筐明细!$C$4:$C$1203,$Z16-4000)=0,"",INDEX(客户自备加工筐明细!$C$4:$C$1203,$Z16-4000)),IF($Z16&lt;=5800,IF(INDEX(次果筐明细!$D$4:$D$603,$Z16-5200)=0,"",INDEX(次果筐明细!$D$4:$D$603,$Z16-5200)),"")))))</f>
        <v>香梨网</v>
      </c>
      <c r="G16" s="24" t="str">
        <f>IF($Z16="","",IF($Z16&lt;=2000,IF(INDEX(包装物料出入库明细!$F$4:$F$2003,$Z16-0)=0,"",INDEX(包装物料出入库明细!$F$4:$F$2003,$Z16-0)),IF($Z16&lt;=4000,"",IF($Z16&lt;=5200,"",IF($Z16&lt;=5800,"","")))))</f>
        <v>*包</v>
      </c>
      <c r="H16" s="39">
        <f>IF($Z16="","",IF($Z16&lt;=2000,IF(INDEX(包装物料出入库明细!$L$4:$L$2003,$Z16-0)=0,"",INDEX(包装物料出入库明细!$L$4:$L$2003,$Z16-0)),IF($Z16&lt;=4000,N(INDEX(周转筐出入库明细!$H$4:$H$2004,$Z16-2000))+N(INDEX(周转筐出入库明细!$I$4:$I$2004,$Z16-2000))+N(INDEX(周转筐出入库明细!$J$4:$J$2004,$Z16-2000))+N(INDEX(周转筐出入库明细!$K$4:$K$2004,$Z16-2000)),IF($Z16&lt;=5200,N(INDEX(客户自备加工筐明细!$F$4:$F$1203,$Z16-4000))+N(INDEX(客户自备加工筐明细!$G$4:$G$1203,$Z16-4000)),IF($Z16&lt;=5800,IF(INDEX(次果筐明细!$G$4:$G$603,$Z16-5200)=0,"",INDEX(次果筐明细!$G$4:$G$603,$Z16-5200)),"")))))</f>
        <v>64</v>
      </c>
      <c r="I16" s="24" t="str">
        <f>IF($Z16="","",IF($Z16&lt;=2000,IF(INDEX(包装物料出入库明细!$G$4:$G$2003,$Z16-0)=0,"",INDEX(包装物料出入库明细!$G$4:$G$2003,$Z16-0)),IF($Z16&lt;=4000,"个",IF($Z16&lt;=5200,"个",IF($Z16&lt;=5800,"个","")))))</f>
        <v>包</v>
      </c>
      <c r="J16" s="30" t="str">
        <f t="shared" si="1"/>
        <v/>
      </c>
      <c r="K16" s="30">
        <f>IF($Z16="","",IF($Z16&lt;=2000,IF(INDEX(包装物料出入库明细!$N$4:$N$2003,$Z16-0)=0,"",INDEX(包装物料出入库明细!$N$4:$N$2003,$Z16-0)),IF($Z16&lt;=4000,IF(INDEX(周转筐出入库明细!$P$4:$P$2004,$Z16-2000)=0,"",INDEX(周转筐出入库明细!$P$4:$P$2004,$Z16-2000)),IF($Z16&lt;=5200,"",IF($Z16&lt;=5800,N(INDEX(次果筐明细!$L$4:$L$603,$Z16-5200))+N(INDEX(次果筐明细!$J$4:$J$603,$Z16-5200)),"")))))</f>
        <v>2880</v>
      </c>
      <c r="L16" s="24" t="str">
        <f>IF($Z16="","",IF($Z16&lt;=2000,IF(INDEX(包装物料出入库明细!$P$4:$P$2003,$Z16-0)=0,"",INDEX(包装物料出入库明细!$P$4:$P$2003,$Z16-0)),IF($Z16&lt;=4000,IF(INDEX(周转筐出入库明细!$Q$4:$Q$2004,$Z16-2000)=0,"",INDEX(周转筐出入库明细!$Q$4:$Q$2004,$Z16-2000)),IF($Z16&lt;=5200,"",IF($Z16&lt;=5800,IF(INDEX(次果筐明细!$M$4:$M$603,$Z16-5200)=0,"",INDEX(次果筐明细!$M$4:$M$603,$Z16-5200)),"")))))</f>
        <v>未付款</v>
      </c>
      <c r="M16" s="37" t="str">
        <f>IF($Z16="","",IF($Z16&lt;=2000,IF(INDEX(包装物料出入库明细!$R$4:$R$2003,$Z16-0)=0,"",INDEX(包装物料出入库明细!$R$4:$R$2003,$Z16-0)),IF($Z16&lt;=4000,IF(INDEX(周转筐出入库明细!$W$4:$W$2004,$Z16-2000)=0,"",INDEX(周转筐出入库明细!$W$4:$W$2004,$Z16-2000)),IF($Z16&lt;=5200,IF(INDEX(客户自备加工筐明细!$L$4:$L$1203,$Z16-4000)=0,"",INDEX(客户自备加工筐明细!$L$4:$L$1203,$Z16-4000)),IF($Z16&lt;=5800,IF(INDEX(次果筐明细!$P$4:$P$603,$Z16-5200)=0,"",INDEX(次果筐明细!$P$4:$P$603,$Z16-5200)),"")))))</f>
        <v/>
      </c>
      <c r="N16" s="16" t="str">
        <f>IF($Z16="","",IF($Z16&lt;=2000,"",IF($Z16&lt;=4000,IF(INDEX(周转筐出入库明细!$D$4:$D$2004,$Z16-2000)=0,"",INDEX(周转筐出入库明细!$D$4:$D$2004,$Z16-2000)),IF($Z16&lt;=5200,IF(INDEX(客户自备加工筐明细!$C$4:$C$1203,$Z16-4000)=0,"",INDEX(客户自备加工筐明细!$C$4:$C$1203,$Z16-4000)),IF($Z16&lt;=5800,IF(INDEX(次果筐明细!$D$4:$D$603,$Z16-5200)=0,"",INDEX(次果筐明细!$D$4:$D$603,$Z16-5200)),"")))))</f>
        <v/>
      </c>
      <c r="O16" s="40" t="str">
        <f>IF($Z16="","",IF($Z16&lt;=2000,"",IF($Z16&lt;=4000,IF(N(INDEX(周转筐出入库明细!$J$4:$J$2004,$Z16-2000))+N(INDEX(周转筐出入库明细!$K$4:$K$2004,$Z16-2000))=0,"",N(INDEX(周转筐出入库明细!$J$4:$J$2004,$Z16-2000))+N(INDEX(周转筐出入库明细!$K$4:$K$2004,$Z16-2000))),IF($Z16&lt;=5200,IF(N(INDEX(客户自备加工筐明细!$G$4:$G$1203,$Z16-4000))=0,"",N(INDEX(客户自备加工筐明细!$G$4:$G$1203,$Z16-4000))),IF($Z16&lt;=5800,IF(ISNUMBER(SEARCH("退",INDEX(次果筐明细!$F$4:$F$603,$Z16-5200)&amp;"")),"",IF(N(INDEX(次果筐明细!$G$4:$G$603,$Z16-5200))=0,"",N(INDEX(次果筐明细!$G$4:$G$603,$Z16-5200)))),"")))))</f>
        <v/>
      </c>
      <c r="P16" s="40" t="str">
        <f>IF($Z16="","",IF($Z16&lt;=2000,"",IF($Z16&lt;=4000,IF(N(INDEX(周转筐出入库明细!$I$4:$I$2004,$Z16-2000))=0,"",N(INDEX(周转筐出入库明细!$I$4:$I$2004,$Z16-2000))),IF($Z16&lt;=5200,"",IF($Z16&lt;=5800,IF(ISNUMBER(SEARCH("退",INDEX(次果筐明细!$F$4:$F$603,$Z16-5200)&amp;"")),IF(N(INDEX(次果筐明细!$G$4:$G$603,$Z16-5200))=0,"",N(INDEX(次果筐明细!$G$4:$G$603,$Z16-5200))),""),"")))))</f>
        <v/>
      </c>
      <c r="Q16" s="40" t="str">
        <f>IF($Z16="","",IF($Z16&lt;=2000,"",IF($Z16&lt;=4000,IF(N(INDEX(周转筐出入库明细!$H$4:$H$2004,$Z16-2000))=0,"",N(INDEX(周转筐出入库明细!$H$4:$H$2004,$Z16-2000))),IF($Z16&lt;=5200,IF(N(INDEX(客户自备加工筐明细!$F$4:$F$1203,$Z16-4000))=0,"",N(INDEX(客户自备加工筐明细!$F$4:$F$1203,$Z16-4000))),IF($Z16&lt;=5800,"","")))))</f>
        <v/>
      </c>
      <c r="R16" s="16" t="str">
        <f>IF($Z16="","",IF($Z16&lt;=2000,IF(INDEX(包装物料出入库明细!$O$4:$O$2003,$Z16-0)=0,"",INDEX(包装物料出入库明细!$O$4:$O$2003,$Z16-0)),IF($Z16&lt;=4000,IF(INDEX(周转筐出入库明细!$M$4:$M$2004,$Z16-2000)=0,"",INDEX(周转筐出入库明细!$M$4:$M$2004,$Z16-2000)),IF($Z16&lt;=5200,IF(INDEX(客户自备加工筐明细!$H$4:$H$1203,$Z16-4000)=0,"",INDEX(客户自备加工筐明细!$H$4:$H$1203,$Z16-4000)),IF($Z16&lt;=5800,IF(INDEX(次果筐明细!$H$4:$H$603,$Z16-5200)=0,"",INDEX(次果筐明细!$H$4:$H$603,$Z16-5200)),"")))))</f>
        <v>豫A*2737K</v>
      </c>
      <c r="S16" s="22" t="str">
        <f t="shared" si="2"/>
        <v/>
      </c>
      <c r="Z16" s="10">
        <f>IFERROR(MATCH(ROW()-3,_自动清单!$CQ$4:$CQ$5803,0),"")</f>
        <v>13</v>
      </c>
    </row>
    <row r="17" spans="1:26">
      <c r="A17" s="24">
        <f t="shared" si="0"/>
        <v>14</v>
      </c>
      <c r="B17" s="38">
        <f>IF($Z17="","",IF($Z17&lt;=2000,IF(INDEX(包装物料出入库明细!$B$4:$B$2003,$Z17-0)=0,"",INDEX(包装物料出入库明细!$B$4:$B$2003,$Z17-0)),IF($Z17&lt;=4000,IF(INDEX(周转筐出入库明细!$B$4:$B$2004,$Z17-2000)=0,"",INDEX(周转筐出入库明细!$B$4:$B$2004,$Z17-2000)),IF($Z17&lt;=5200,IF(INDEX(客户自备加工筐明细!$B$4:$B$1203,$Z17-4000)=0,"",INDEX(客户自备加工筐明细!$B$4:$B$1203,$Z17-4000)),IF($Z17&lt;=5800,IF(INDEX(次果筐明细!$B$4:$B$603,$Z17-5200)=0,"",INDEX(次果筐明细!$B$4:$B$603,$Z17-5200)),"")))))</f>
        <v>46269</v>
      </c>
      <c r="C17" s="37" t="str">
        <f>IF($Z17="","",IF($Z17&lt;=2000,IF(INDEX(包装物料出入库明细!$D$4:$D$2003,$Z17-0)=0,"",INDEX(包装物料出入库明细!$D$4:$D$2003,$Z17-0)),IF($Z17&lt;=4000,IF(INDEX(周转筐出入库明细!$C$4:$C$2004,$Z17-2000)=0,"",INDEX(周转筐出入库明细!$C$4:$C$2004,$Z17-2000)),IF($Z17&lt;=5200,IF(INDEX(客户自备加工筐明细!$E$4:$E$1203,$Z17-4000)=0,"",INDEX(客户自备加工筐明细!$E$4:$E$1203,$Z17-4000)),IF($Z17&lt;=5800,IF(INDEX(次果筐明细!$C$4:$C$603,$Z17-5200)=0,"",INDEX(次果筐明细!$C$4:$C$603,$Z17-5200)),"")))))</f>
        <v>努尔敦</v>
      </c>
      <c r="D17" s="37" t="str">
        <f>IF($Z17="","",IF($Z17&lt;=2000,"包装物料－"&amp;INDEX(包装物料出入库明细!$H$4:$H$2003,$Z17-0),IF($Z17&lt;=4000,"周转筐－"&amp;INDEX(周转筐出入库明细!$F$4:$F$2004,$Z17-2000),IF($Z17&lt;=5200,"客户自备筐－"&amp;INDEX(客户自备加工筐明细!$J$4:$J$1203,$Z17-4000),IF($Z17&lt;=5800,"次果筐/托盘－"&amp;INDEX(次果筐明细!$F$4:$F$603,$Z17-5200),"")))))</f>
        <v>包装物料－领用出库</v>
      </c>
      <c r="E17" s="24" t="str">
        <f>IF($Z17="","",IF($Z17&lt;=2000,IF(INDEX(包装物料出入库明细!$C$4:$C$2003,$Z17-0)=0,"",INDEX(包装物料出入库明细!$C$4:$C$2003,$Z17-0)),IF($Z17&lt;=4000,IF(INDEX(周转筐出入库明细!$E$4:$E$2004,$Z17-2000)=0,"",INDEX(周转筐出入库明细!$E$4:$E$2004,$Z17-2000)),IF($Z17&lt;=5200,IF(INDEX(客户自备加工筐明细!$D$4:$D$1203,$Z17-4000)=0,"",INDEX(客户自备加工筐明细!$D$4:$D$1203,$Z17-4000)),IF($Z17&lt;=5800,IF(INDEX(次果筐明细!$E$4:$E$603,$Z17-5200)=0,"",INDEX(次果筐明细!$E$4:$E$603,$Z17-5200)),"")))))</f>
        <v>NO:0001080</v>
      </c>
      <c r="F17" s="24" t="str">
        <f>IF($Z17="","",IF($Z17&lt;=2000,IF(INDEX(包装物料出入库明细!$E$4:$E$2003,$Z17-0)=0,"",INDEX(包装物料出入库明细!$E$4:$E$2003,$Z17-0)),IF($Z17&lt;=4000,IF(INDEX(周转筐出入库明细!$D$4:$D$2004,$Z17-2000)=0,"",INDEX(周转筐出入库明细!$D$4:$D$2004,$Z17-2000)),IF($Z17&lt;=5200,IF(INDEX(客户自备加工筐明细!$C$4:$C$1203,$Z17-4000)=0,"",INDEX(客户自备加工筐明细!$C$4:$C$1203,$Z17-4000)),IF($Z17&lt;=5800,IF(INDEX(次果筐明细!$D$4:$D$603,$Z17-5200)=0,"",INDEX(次果筐明细!$D$4:$D$603,$Z17-5200)),"")))))</f>
        <v>香梨网</v>
      </c>
      <c r="G17" s="24" t="str">
        <f>IF($Z17="","",IF($Z17&lt;=2000,IF(INDEX(包装物料出入库明细!$F$4:$F$2003,$Z17-0)=0,"",INDEX(包装物料出入库明细!$F$4:$F$2003,$Z17-0)),IF($Z17&lt;=4000,"",IF($Z17&lt;=5200,"",IF($Z17&lt;=5800,"","")))))</f>
        <v>*包</v>
      </c>
      <c r="H17" s="39">
        <f>IF($Z17="","",IF($Z17&lt;=2000,IF(INDEX(包装物料出入库明细!$L$4:$L$2003,$Z17-0)=0,"",INDEX(包装物料出入库明细!$L$4:$L$2003,$Z17-0)),IF($Z17&lt;=4000,N(INDEX(周转筐出入库明细!$H$4:$H$2004,$Z17-2000))+N(INDEX(周转筐出入库明细!$I$4:$I$2004,$Z17-2000))+N(INDEX(周转筐出入库明细!$J$4:$J$2004,$Z17-2000))+N(INDEX(周转筐出入库明细!$K$4:$K$2004,$Z17-2000)),IF($Z17&lt;=5200,N(INDEX(客户自备加工筐明细!$F$4:$F$1203,$Z17-4000))+N(INDEX(客户自备加工筐明细!$G$4:$G$1203,$Z17-4000)),IF($Z17&lt;=5800,IF(INDEX(次果筐明细!$G$4:$G$603,$Z17-5200)=0,"",INDEX(次果筐明细!$G$4:$G$603,$Z17-5200)),"")))))</f>
        <v>120</v>
      </c>
      <c r="I17" s="24" t="str">
        <f>IF($Z17="","",IF($Z17&lt;=2000,IF(INDEX(包装物料出入库明细!$G$4:$G$2003,$Z17-0)=0,"",INDEX(包装物料出入库明细!$G$4:$G$2003,$Z17-0)),IF($Z17&lt;=4000,"个",IF($Z17&lt;=5200,"个",IF($Z17&lt;=5800,"个","")))))</f>
        <v>包</v>
      </c>
      <c r="J17" s="30" t="str">
        <f t="shared" si="1"/>
        <v/>
      </c>
      <c r="K17" s="30">
        <f>IF($Z17="","",IF($Z17&lt;=2000,IF(INDEX(包装物料出入库明细!$N$4:$N$2003,$Z17-0)=0,"",INDEX(包装物料出入库明细!$N$4:$N$2003,$Z17-0)),IF($Z17&lt;=4000,IF(INDEX(周转筐出入库明细!$P$4:$P$2004,$Z17-2000)=0,"",INDEX(周转筐出入库明细!$P$4:$P$2004,$Z17-2000)),IF($Z17&lt;=5200,"",IF($Z17&lt;=5800,N(INDEX(次果筐明细!$L$4:$L$603,$Z17-5200))+N(INDEX(次果筐明细!$J$4:$J$603,$Z17-5200)),"")))))</f>
        <v>5400</v>
      </c>
      <c r="L17" s="24" t="str">
        <f>IF($Z17="","",IF($Z17&lt;=2000,IF(INDEX(包装物料出入库明细!$P$4:$P$2003,$Z17-0)=0,"",INDEX(包装物料出入库明细!$P$4:$P$2003,$Z17-0)),IF($Z17&lt;=4000,IF(INDEX(周转筐出入库明细!$Q$4:$Q$2004,$Z17-2000)=0,"",INDEX(周转筐出入库明细!$Q$4:$Q$2004,$Z17-2000)),IF($Z17&lt;=5200,"",IF($Z17&lt;=5800,IF(INDEX(次果筐明细!$M$4:$M$603,$Z17-5200)=0,"",INDEX(次果筐明细!$M$4:$M$603,$Z17-5200)),"")))))</f>
        <v>未付款</v>
      </c>
      <c r="M17" s="37" t="str">
        <f>IF($Z17="","",IF($Z17&lt;=2000,IF(INDEX(包装物料出入库明细!$R$4:$R$2003,$Z17-0)=0,"",INDEX(包装物料出入库明细!$R$4:$R$2003,$Z17-0)),IF($Z17&lt;=4000,IF(INDEX(周转筐出入库明细!$W$4:$W$2004,$Z17-2000)=0,"",INDEX(周转筐出入库明细!$W$4:$W$2004,$Z17-2000)),IF($Z17&lt;=5200,IF(INDEX(客户自备加工筐明细!$L$4:$L$1203,$Z17-4000)=0,"",INDEX(客户自备加工筐明细!$L$4:$L$1203,$Z17-4000)),IF($Z17&lt;=5800,IF(INDEX(次果筐明细!$P$4:$P$603,$Z17-5200)=0,"",INDEX(次果筐明细!$P$4:$P$603,$Z17-5200)),"")))))</f>
        <v/>
      </c>
      <c r="N17" s="16" t="str">
        <f>IF($Z17="","",IF($Z17&lt;=2000,"",IF($Z17&lt;=4000,IF(INDEX(周转筐出入库明细!$D$4:$D$2004,$Z17-2000)=0,"",INDEX(周转筐出入库明细!$D$4:$D$2004,$Z17-2000)),IF($Z17&lt;=5200,IF(INDEX(客户自备加工筐明细!$C$4:$C$1203,$Z17-4000)=0,"",INDEX(客户自备加工筐明细!$C$4:$C$1203,$Z17-4000)),IF($Z17&lt;=5800,IF(INDEX(次果筐明细!$D$4:$D$603,$Z17-5200)=0,"",INDEX(次果筐明细!$D$4:$D$603,$Z17-5200)),"")))))</f>
        <v/>
      </c>
      <c r="O17" s="40" t="str">
        <f>IF($Z17="","",IF($Z17&lt;=2000,"",IF($Z17&lt;=4000,IF(N(INDEX(周转筐出入库明细!$J$4:$J$2004,$Z17-2000))+N(INDEX(周转筐出入库明细!$K$4:$K$2004,$Z17-2000))=0,"",N(INDEX(周转筐出入库明细!$J$4:$J$2004,$Z17-2000))+N(INDEX(周转筐出入库明细!$K$4:$K$2004,$Z17-2000))),IF($Z17&lt;=5200,IF(N(INDEX(客户自备加工筐明细!$G$4:$G$1203,$Z17-4000))=0,"",N(INDEX(客户自备加工筐明细!$G$4:$G$1203,$Z17-4000))),IF($Z17&lt;=5800,IF(ISNUMBER(SEARCH("退",INDEX(次果筐明细!$F$4:$F$603,$Z17-5200)&amp;"")),"",IF(N(INDEX(次果筐明细!$G$4:$G$603,$Z17-5200))=0,"",N(INDEX(次果筐明细!$G$4:$G$603,$Z17-5200)))),"")))))</f>
        <v/>
      </c>
      <c r="P17" s="40" t="str">
        <f>IF($Z17="","",IF($Z17&lt;=2000,"",IF($Z17&lt;=4000,IF(N(INDEX(周转筐出入库明细!$I$4:$I$2004,$Z17-2000))=0,"",N(INDEX(周转筐出入库明细!$I$4:$I$2004,$Z17-2000))),IF($Z17&lt;=5200,"",IF($Z17&lt;=5800,IF(ISNUMBER(SEARCH("退",INDEX(次果筐明细!$F$4:$F$603,$Z17-5200)&amp;"")),IF(N(INDEX(次果筐明细!$G$4:$G$603,$Z17-5200))=0,"",N(INDEX(次果筐明细!$G$4:$G$603,$Z17-5200))),""),"")))))</f>
        <v/>
      </c>
      <c r="Q17" s="40" t="str">
        <f>IF($Z17="","",IF($Z17&lt;=2000,"",IF($Z17&lt;=4000,IF(N(INDEX(周转筐出入库明细!$H$4:$H$2004,$Z17-2000))=0,"",N(INDEX(周转筐出入库明细!$H$4:$H$2004,$Z17-2000))),IF($Z17&lt;=5200,IF(N(INDEX(客户自备加工筐明细!$F$4:$F$1203,$Z17-4000))=0,"",N(INDEX(客户自备加工筐明细!$F$4:$F$1203,$Z17-4000))),IF($Z17&lt;=5800,"","")))))</f>
        <v/>
      </c>
      <c r="R17" s="16" t="str">
        <f>IF($Z17="","",IF($Z17&lt;=2000,IF(INDEX(包装物料出入库明细!$O$4:$O$2003,$Z17-0)=0,"",INDEX(包装物料出入库明细!$O$4:$O$2003,$Z17-0)),IF($Z17&lt;=4000,IF(INDEX(周转筐出入库明细!$M$4:$M$2004,$Z17-2000)=0,"",INDEX(周转筐出入库明细!$M$4:$M$2004,$Z17-2000)),IF($Z17&lt;=5200,IF(INDEX(客户自备加工筐明细!$H$4:$H$1203,$Z17-4000)=0,"",INDEX(客户自备加工筐明细!$H$4:$H$1203,$Z17-4000)),IF($Z17&lt;=5800,IF(INDEX(次果筐明细!$H$4:$H$603,$Z17-5200)=0,"",INDEX(次果筐明细!$H$4:$H$603,$Z17-5200)),"")))))</f>
        <v>新F*75240</v>
      </c>
      <c r="S17" s="22" t="str">
        <f t="shared" si="2"/>
        <v/>
      </c>
      <c r="Z17" s="10">
        <f>IFERROR(MATCH(ROW()-3,_自动清单!$CQ$4:$CQ$5803,0),"")</f>
        <v>14</v>
      </c>
    </row>
    <row r="18" spans="1:26">
      <c r="A18" s="24">
        <f t="shared" si="0"/>
        <v>15</v>
      </c>
      <c r="B18" s="38">
        <f>IF($Z18="","",IF($Z18&lt;=2000,IF(INDEX(包装物料出入库明细!$B$4:$B$2003,$Z18-0)=0,"",INDEX(包装物料出入库明细!$B$4:$B$2003,$Z18-0)),IF($Z18&lt;=4000,IF(INDEX(周转筐出入库明细!$B$4:$B$2004,$Z18-2000)=0,"",INDEX(周转筐出入库明细!$B$4:$B$2004,$Z18-2000)),IF($Z18&lt;=5200,IF(INDEX(客户自备加工筐明细!$B$4:$B$1203,$Z18-4000)=0,"",INDEX(客户自备加工筐明细!$B$4:$B$1203,$Z18-4000)),IF($Z18&lt;=5800,IF(INDEX(次果筐明细!$B$4:$B$603,$Z18-5200)=0,"",INDEX(次果筐明细!$B$4:$B$603,$Z18-5200)),"")))))</f>
        <v>46270</v>
      </c>
      <c r="C18" s="37" t="str">
        <f>IF($Z18="","",IF($Z18&lt;=2000,IF(INDEX(包装物料出入库明细!$D$4:$D$2003,$Z18-0)=0,"",INDEX(包装物料出入库明细!$D$4:$D$2003,$Z18-0)),IF($Z18&lt;=4000,IF(INDEX(周转筐出入库明细!$C$4:$C$2004,$Z18-2000)=0,"",INDEX(周转筐出入库明细!$C$4:$C$2004,$Z18-2000)),IF($Z18&lt;=5200,IF(INDEX(客户自备加工筐明细!$E$4:$E$1203,$Z18-4000)=0,"",INDEX(客户自备加工筐明细!$E$4:$E$1203,$Z18-4000)),IF($Z18&lt;=5800,IF(INDEX(次果筐明细!$C$4:$C$603,$Z18-5200)=0,"",INDEX(次果筐明细!$C$4:$C$603,$Z18-5200)),"")))))</f>
        <v>热合曼</v>
      </c>
      <c r="D18" s="37" t="str">
        <f>IF($Z18="","",IF($Z18&lt;=2000,"包装物料－"&amp;INDEX(包装物料出入库明细!$H$4:$H$2003,$Z18-0),IF($Z18&lt;=4000,"周转筐－"&amp;INDEX(周转筐出入库明细!$F$4:$F$2004,$Z18-2000),IF($Z18&lt;=5200,"客户自备筐－"&amp;INDEX(客户自备加工筐明细!$J$4:$J$1203,$Z18-4000),IF($Z18&lt;=5800,"次果筐/托盘－"&amp;INDEX(次果筐明细!$F$4:$F$603,$Z18-5200),"")))))</f>
        <v>包装物料－领用出库</v>
      </c>
      <c r="E18" s="24" t="str">
        <f>IF($Z18="","",IF($Z18&lt;=2000,IF(INDEX(包装物料出入库明细!$C$4:$C$2003,$Z18-0)=0,"",INDEX(包装物料出入库明细!$C$4:$C$2003,$Z18-0)),IF($Z18&lt;=4000,IF(INDEX(周转筐出入库明细!$E$4:$E$2004,$Z18-2000)=0,"",INDEX(周转筐出入库明细!$E$4:$E$2004,$Z18-2000)),IF($Z18&lt;=5200,IF(INDEX(客户自备加工筐明细!$D$4:$D$1203,$Z18-4000)=0,"",INDEX(客户自备加工筐明细!$D$4:$D$1203,$Z18-4000)),IF($Z18&lt;=5800,IF(INDEX(次果筐明细!$E$4:$E$603,$Z18-5200)=0,"",INDEX(次果筐明细!$E$4:$E$603,$Z18-5200)),"")))))</f>
        <v>NO:0001084</v>
      </c>
      <c r="F18" s="24" t="str">
        <f>IF($Z18="","",IF($Z18&lt;=2000,IF(INDEX(包装物料出入库明细!$E$4:$E$2003,$Z18-0)=0,"",INDEX(包装物料出入库明细!$E$4:$E$2003,$Z18-0)),IF($Z18&lt;=4000,IF(INDEX(周转筐出入库明细!$D$4:$D$2004,$Z18-2000)=0,"",INDEX(周转筐出入库明细!$D$4:$D$2004,$Z18-2000)),IF($Z18&lt;=5200,IF(INDEX(客户自备加工筐明细!$C$4:$C$1203,$Z18-4000)=0,"",INDEX(客户自备加工筐明细!$C$4:$C$1203,$Z18-4000)),IF($Z18&lt;=5800,IF(INDEX(次果筐明细!$D$4:$D$603,$Z18-5200)=0,"",INDEX(次果筐明细!$D$4:$D$603,$Z18-5200)),"")))))</f>
        <v>香梨纸</v>
      </c>
      <c r="G18" s="24" t="str">
        <f>IF($Z18="","",IF($Z18&lt;=2000,IF(INDEX(包装物料出入库明细!$F$4:$F$2003,$Z18-0)=0,"",INDEX(包装物料出入库明细!$F$4:$F$2003,$Z18-0)),IF($Z18&lt;=4000,"",IF($Z18&lt;=5200,"",IF($Z18&lt;=5800,"","")))))</f>
        <v>*捆</v>
      </c>
      <c r="H18" s="39">
        <f>IF($Z18="","",IF($Z18&lt;=2000,IF(INDEX(包装物料出入库明细!$L$4:$L$2003,$Z18-0)=0,"",INDEX(包装物料出入库明细!$L$4:$L$2003,$Z18-0)),IF($Z18&lt;=4000,N(INDEX(周转筐出入库明细!$H$4:$H$2004,$Z18-2000))+N(INDEX(周转筐出入库明细!$I$4:$I$2004,$Z18-2000))+N(INDEX(周转筐出入库明细!$J$4:$J$2004,$Z18-2000))+N(INDEX(周转筐出入库明细!$K$4:$K$2004,$Z18-2000)),IF($Z18&lt;=5200,N(INDEX(客户自备加工筐明细!$F$4:$F$1203,$Z18-4000))+N(INDEX(客户自备加工筐明细!$G$4:$G$1203,$Z18-4000)),IF($Z18&lt;=5800,IF(INDEX(次果筐明细!$G$4:$G$603,$Z18-5200)=0,"",INDEX(次果筐明细!$G$4:$G$603,$Z18-5200)),"")))))</f>
        <v>10</v>
      </c>
      <c r="I18" s="24" t="str">
        <f>IF($Z18="","",IF($Z18&lt;=2000,IF(INDEX(包装物料出入库明细!$G$4:$G$2003,$Z18-0)=0,"",INDEX(包装物料出入库明细!$G$4:$G$2003,$Z18-0)),IF($Z18&lt;=4000,"个",IF($Z18&lt;=5200,"个",IF($Z18&lt;=5800,"个","")))))</f>
        <v>捆</v>
      </c>
      <c r="J18" s="30" t="str">
        <f t="shared" si="1"/>
        <v/>
      </c>
      <c r="K18" s="30">
        <f>IF($Z18="","",IF($Z18&lt;=2000,IF(INDEX(包装物料出入库明细!$N$4:$N$2003,$Z18-0)=0,"",INDEX(包装物料出入库明细!$N$4:$N$2003,$Z18-0)),IF($Z18&lt;=4000,IF(INDEX(周转筐出入库明细!$P$4:$P$2004,$Z18-2000)=0,"",INDEX(周转筐出入库明细!$P$4:$P$2004,$Z18-2000)),IF($Z18&lt;=5200,"",IF($Z18&lt;=5800,N(INDEX(次果筐明细!$L$4:$L$603,$Z18-5200))+N(INDEX(次果筐明细!$J$4:$J$603,$Z18-5200)),"")))))</f>
        <v>560</v>
      </c>
      <c r="L18" s="24" t="str">
        <f>IF($Z18="","",IF($Z18&lt;=2000,IF(INDEX(包装物料出入库明细!$P$4:$P$2003,$Z18-0)=0,"",INDEX(包装物料出入库明细!$P$4:$P$2003,$Z18-0)),IF($Z18&lt;=4000,IF(INDEX(周转筐出入库明细!$Q$4:$Q$2004,$Z18-2000)=0,"",INDEX(周转筐出入库明细!$Q$4:$Q$2004,$Z18-2000)),IF($Z18&lt;=5200,"",IF($Z18&lt;=5800,IF(INDEX(次果筐明细!$M$4:$M$603,$Z18-5200)=0,"",INDEX(次果筐明细!$M$4:$M$603,$Z18-5200)),"")))))</f>
        <v>未付款</v>
      </c>
      <c r="M18" s="37" t="str">
        <f>IF($Z18="","",IF($Z18&lt;=2000,IF(INDEX(包装物料出入库明细!$R$4:$R$2003,$Z18-0)=0,"",INDEX(包装物料出入库明细!$R$4:$R$2003,$Z18-0)),IF($Z18&lt;=4000,IF(INDEX(周转筐出入库明细!$W$4:$W$2004,$Z18-2000)=0,"",INDEX(周转筐出入库明细!$W$4:$W$2004,$Z18-2000)),IF($Z18&lt;=5200,IF(INDEX(客户自备加工筐明细!$L$4:$L$1203,$Z18-4000)=0,"",INDEX(客户自备加工筐明细!$L$4:$L$1203,$Z18-4000)),IF($Z18&lt;=5800,IF(INDEX(次果筐明细!$P$4:$P$603,$Z18-5200)=0,"",INDEX(次果筐明细!$P$4:$P$603,$Z18-5200)),"")))))</f>
        <v/>
      </c>
      <c r="N18" s="16" t="str">
        <f>IF($Z18="","",IF($Z18&lt;=2000,"",IF($Z18&lt;=4000,IF(INDEX(周转筐出入库明细!$D$4:$D$2004,$Z18-2000)=0,"",INDEX(周转筐出入库明细!$D$4:$D$2004,$Z18-2000)),IF($Z18&lt;=5200,IF(INDEX(客户自备加工筐明细!$C$4:$C$1203,$Z18-4000)=0,"",INDEX(客户自备加工筐明细!$C$4:$C$1203,$Z18-4000)),IF($Z18&lt;=5800,IF(INDEX(次果筐明细!$D$4:$D$603,$Z18-5200)=0,"",INDEX(次果筐明细!$D$4:$D$603,$Z18-5200)),"")))))</f>
        <v/>
      </c>
      <c r="O18" s="40" t="str">
        <f>IF($Z18="","",IF($Z18&lt;=2000,"",IF($Z18&lt;=4000,IF(N(INDEX(周转筐出入库明细!$J$4:$J$2004,$Z18-2000))+N(INDEX(周转筐出入库明细!$K$4:$K$2004,$Z18-2000))=0,"",N(INDEX(周转筐出入库明细!$J$4:$J$2004,$Z18-2000))+N(INDEX(周转筐出入库明细!$K$4:$K$2004,$Z18-2000))),IF($Z18&lt;=5200,IF(N(INDEX(客户自备加工筐明细!$G$4:$G$1203,$Z18-4000))=0,"",N(INDEX(客户自备加工筐明细!$G$4:$G$1203,$Z18-4000))),IF($Z18&lt;=5800,IF(ISNUMBER(SEARCH("退",INDEX(次果筐明细!$F$4:$F$603,$Z18-5200)&amp;"")),"",IF(N(INDEX(次果筐明细!$G$4:$G$603,$Z18-5200))=0,"",N(INDEX(次果筐明细!$G$4:$G$603,$Z18-5200)))),"")))))</f>
        <v/>
      </c>
      <c r="P18" s="40" t="str">
        <f>IF($Z18="","",IF($Z18&lt;=2000,"",IF($Z18&lt;=4000,IF(N(INDEX(周转筐出入库明细!$I$4:$I$2004,$Z18-2000))=0,"",N(INDEX(周转筐出入库明细!$I$4:$I$2004,$Z18-2000))),IF($Z18&lt;=5200,"",IF($Z18&lt;=5800,IF(ISNUMBER(SEARCH("退",INDEX(次果筐明细!$F$4:$F$603,$Z18-5200)&amp;"")),IF(N(INDEX(次果筐明细!$G$4:$G$603,$Z18-5200))=0,"",N(INDEX(次果筐明细!$G$4:$G$603,$Z18-5200))),""),"")))))</f>
        <v/>
      </c>
      <c r="Q18" s="40" t="str">
        <f>IF($Z18="","",IF($Z18&lt;=2000,"",IF($Z18&lt;=4000,IF(N(INDEX(周转筐出入库明细!$H$4:$H$2004,$Z18-2000))=0,"",N(INDEX(周转筐出入库明细!$H$4:$H$2004,$Z18-2000))),IF($Z18&lt;=5200,IF(N(INDEX(客户自备加工筐明细!$F$4:$F$1203,$Z18-4000))=0,"",N(INDEX(客户自备加工筐明细!$F$4:$F$1203,$Z18-4000))),IF($Z18&lt;=5800,"","")))))</f>
        <v/>
      </c>
      <c r="R18" s="16" t="str">
        <f>IF($Z18="","",IF($Z18&lt;=2000,IF(INDEX(包装物料出入库明细!$O$4:$O$2003,$Z18-0)=0,"",INDEX(包装物料出入库明细!$O$4:$O$2003,$Z18-0)),IF($Z18&lt;=4000,IF(INDEX(周转筐出入库明细!$M$4:$M$2004,$Z18-2000)=0,"",INDEX(周转筐出入库明细!$M$4:$M$2004,$Z18-2000)),IF($Z18&lt;=5200,IF(INDEX(客户自备加工筐明细!$H$4:$H$1203,$Z18-4000)=0,"",INDEX(客户自备加工筐明细!$H$4:$H$1203,$Z18-4000)),IF($Z18&lt;=5800,IF(INDEX(次果筐明细!$H$4:$H$603,$Z18-5200)=0,"",INDEX(次果筐明细!$H$4:$H$603,$Z18-5200)),"")))))</f>
        <v>新N*FJ0676</v>
      </c>
      <c r="S18" s="22" t="str">
        <f t="shared" si="2"/>
        <v/>
      </c>
      <c r="Z18" s="10">
        <f>IFERROR(MATCH(ROW()-3,_自动清单!$CQ$4:$CQ$5803,0),"")</f>
        <v>15</v>
      </c>
    </row>
    <row r="19" spans="1:26">
      <c r="A19" s="24">
        <f t="shared" si="0"/>
        <v>16</v>
      </c>
      <c r="B19" s="38">
        <f>IF($Z19="","",IF($Z19&lt;=2000,IF(INDEX(包装物料出入库明细!$B$4:$B$2003,$Z19-0)=0,"",INDEX(包装物料出入库明细!$B$4:$B$2003,$Z19-0)),IF($Z19&lt;=4000,IF(INDEX(周转筐出入库明细!$B$4:$B$2004,$Z19-2000)=0,"",INDEX(周转筐出入库明细!$B$4:$B$2004,$Z19-2000)),IF($Z19&lt;=5200,IF(INDEX(客户自备加工筐明细!$B$4:$B$1203,$Z19-4000)=0,"",INDEX(客户自备加工筐明细!$B$4:$B$1203,$Z19-4000)),IF($Z19&lt;=5800,IF(INDEX(次果筐明细!$B$4:$B$603,$Z19-5200)=0,"",INDEX(次果筐明细!$B$4:$B$603,$Z19-5200)),"")))))</f>
        <v>46272</v>
      </c>
      <c r="C19" s="37" t="str">
        <f>IF($Z19="","",IF($Z19&lt;=2000,IF(INDEX(包装物料出入库明细!$D$4:$D$2003,$Z19-0)=0,"",INDEX(包装物料出入库明细!$D$4:$D$2003,$Z19-0)),IF($Z19&lt;=4000,IF(INDEX(周转筐出入库明细!$C$4:$C$2004,$Z19-2000)=0,"",INDEX(周转筐出入库明细!$C$4:$C$2004,$Z19-2000)),IF($Z19&lt;=5200,IF(INDEX(客户自备加工筐明细!$E$4:$E$1203,$Z19-4000)=0,"",INDEX(客户自备加工筐明细!$E$4:$E$1203,$Z19-4000)),IF($Z19&lt;=5800,IF(INDEX(次果筐明细!$C$4:$C$603,$Z19-5200)=0,"",INDEX(次果筐明细!$C$4:$C$603,$Z19-5200)),"")))))</f>
        <v>麦麦提</v>
      </c>
      <c r="D19" s="37" t="str">
        <f>IF($Z19="","",IF($Z19&lt;=2000,"包装物料－"&amp;INDEX(包装物料出入库明细!$H$4:$H$2003,$Z19-0),IF($Z19&lt;=4000,"周转筐－"&amp;INDEX(周转筐出入库明细!$F$4:$F$2004,$Z19-2000),IF($Z19&lt;=5200,"客户自备筐－"&amp;INDEX(客户自备加工筐明细!$J$4:$J$1203,$Z19-4000),IF($Z19&lt;=5800,"次果筐/托盘－"&amp;INDEX(次果筐明细!$F$4:$F$603,$Z19-5200),"")))))</f>
        <v>包装物料－领用出库</v>
      </c>
      <c r="E19" s="24" t="str">
        <f>IF($Z19="","",IF($Z19&lt;=2000,IF(INDEX(包装物料出入库明细!$C$4:$C$2003,$Z19-0)=0,"",INDEX(包装物料出入库明细!$C$4:$C$2003,$Z19-0)),IF($Z19&lt;=4000,IF(INDEX(周转筐出入库明细!$E$4:$E$2004,$Z19-2000)=0,"",INDEX(周转筐出入库明细!$E$4:$E$2004,$Z19-2000)),IF($Z19&lt;=5200,IF(INDEX(客户自备加工筐明细!$D$4:$D$1203,$Z19-4000)=0,"",INDEX(客户自备加工筐明细!$D$4:$D$1203,$Z19-4000)),IF($Z19&lt;=5800,IF(INDEX(次果筐明细!$E$4:$E$603,$Z19-5200)=0,"",INDEX(次果筐明细!$E$4:$E$603,$Z19-5200)),"")))))</f>
        <v>NO:0001089</v>
      </c>
      <c r="F19" s="24" t="str">
        <f>IF($Z19="","",IF($Z19&lt;=2000,IF(INDEX(包装物料出入库明细!$E$4:$E$2003,$Z19-0)=0,"",INDEX(包装物料出入库明细!$E$4:$E$2003,$Z19-0)),IF($Z19&lt;=4000,IF(INDEX(周转筐出入库明细!$D$4:$D$2004,$Z19-2000)=0,"",INDEX(周转筐出入库明细!$D$4:$D$2004,$Z19-2000)),IF($Z19&lt;=5200,IF(INDEX(客户自备加工筐明细!$C$4:$C$1203,$Z19-4000)=0,"",INDEX(客户自备加工筐明细!$C$4:$C$1203,$Z19-4000)),IF($Z19&lt;=5800,IF(INDEX(次果筐明细!$D$4:$D$603,$Z19-5200)=0,"",INDEX(次果筐明细!$D$4:$D$603,$Z19-5200)),"")))))</f>
        <v>香梨网</v>
      </c>
      <c r="G19" s="24" t="str">
        <f>IF($Z19="","",IF($Z19&lt;=2000,IF(INDEX(包装物料出入库明细!$F$4:$F$2003,$Z19-0)=0,"",INDEX(包装物料出入库明细!$F$4:$F$2003,$Z19-0)),IF($Z19&lt;=4000,"",IF($Z19&lt;=5200,"",IF($Z19&lt;=5800,"","")))))</f>
        <v>*包</v>
      </c>
      <c r="H19" s="39">
        <f>IF($Z19="","",IF($Z19&lt;=2000,IF(INDEX(包装物料出入库明细!$L$4:$L$2003,$Z19-0)=0,"",INDEX(包装物料出入库明细!$L$4:$L$2003,$Z19-0)),IF($Z19&lt;=4000,N(INDEX(周转筐出入库明细!$H$4:$H$2004,$Z19-2000))+N(INDEX(周转筐出入库明细!$I$4:$I$2004,$Z19-2000))+N(INDEX(周转筐出入库明细!$J$4:$J$2004,$Z19-2000))+N(INDEX(周转筐出入库明细!$K$4:$K$2004,$Z19-2000)),IF($Z19&lt;=5200,N(INDEX(客户自备加工筐明细!$F$4:$F$1203,$Z19-4000))+N(INDEX(客户自备加工筐明细!$G$4:$G$1203,$Z19-4000)),IF($Z19&lt;=5800,IF(INDEX(次果筐明细!$G$4:$G$603,$Z19-5200)=0,"",INDEX(次果筐明细!$G$4:$G$603,$Z19-5200)),"")))))</f>
        <v>48</v>
      </c>
      <c r="I19" s="24" t="str">
        <f>IF($Z19="","",IF($Z19&lt;=2000,IF(INDEX(包装物料出入库明细!$G$4:$G$2003,$Z19-0)=0,"",INDEX(包装物料出入库明细!$G$4:$G$2003,$Z19-0)),IF($Z19&lt;=4000,"个",IF($Z19&lt;=5200,"个",IF($Z19&lt;=5800,"个","")))))</f>
        <v>包</v>
      </c>
      <c r="J19" s="30" t="str">
        <f t="shared" si="1"/>
        <v/>
      </c>
      <c r="K19" s="30">
        <f>IF($Z19="","",IF($Z19&lt;=2000,IF(INDEX(包装物料出入库明细!$N$4:$N$2003,$Z19-0)=0,"",INDEX(包装物料出入库明细!$N$4:$N$2003,$Z19-0)),IF($Z19&lt;=4000,IF(INDEX(周转筐出入库明细!$P$4:$P$2004,$Z19-2000)=0,"",INDEX(周转筐出入库明细!$P$4:$P$2004,$Z19-2000)),IF($Z19&lt;=5200,"",IF($Z19&lt;=5800,N(INDEX(次果筐明细!$L$4:$L$603,$Z19-5200))+N(INDEX(次果筐明细!$J$4:$J$603,$Z19-5200)),"")))))</f>
        <v>2160</v>
      </c>
      <c r="L19" s="24" t="str">
        <f>IF($Z19="","",IF($Z19&lt;=2000,IF(INDEX(包装物料出入库明细!$P$4:$P$2003,$Z19-0)=0,"",INDEX(包装物料出入库明细!$P$4:$P$2003,$Z19-0)),IF($Z19&lt;=4000,IF(INDEX(周转筐出入库明细!$Q$4:$Q$2004,$Z19-2000)=0,"",INDEX(周转筐出入库明细!$Q$4:$Q$2004,$Z19-2000)),IF($Z19&lt;=5200,"",IF($Z19&lt;=5800,IF(INDEX(次果筐明细!$M$4:$M$603,$Z19-5200)=0,"",INDEX(次果筐明细!$M$4:$M$603,$Z19-5200)),"")))))</f>
        <v>未付款</v>
      </c>
      <c r="M19" s="37" t="str">
        <f>IF($Z19="","",IF($Z19&lt;=2000,IF(INDEX(包装物料出入库明细!$R$4:$R$2003,$Z19-0)=0,"",INDEX(包装物料出入库明细!$R$4:$R$2003,$Z19-0)),IF($Z19&lt;=4000,IF(INDEX(周转筐出入库明细!$W$4:$W$2004,$Z19-2000)=0,"",INDEX(周转筐出入库明细!$W$4:$W$2004,$Z19-2000)),IF($Z19&lt;=5200,IF(INDEX(客户自备加工筐明细!$L$4:$L$1203,$Z19-4000)=0,"",INDEX(客户自备加工筐明细!$L$4:$L$1203,$Z19-4000)),IF($Z19&lt;=5800,IF(INDEX(次果筐明细!$P$4:$P$603,$Z19-5200)=0,"",INDEX(次果筐明细!$P$4:$P$603,$Z19-5200)),"")))))</f>
        <v/>
      </c>
      <c r="N19" s="16" t="str">
        <f>IF($Z19="","",IF($Z19&lt;=2000,"",IF($Z19&lt;=4000,IF(INDEX(周转筐出入库明细!$D$4:$D$2004,$Z19-2000)=0,"",INDEX(周转筐出入库明细!$D$4:$D$2004,$Z19-2000)),IF($Z19&lt;=5200,IF(INDEX(客户自备加工筐明细!$C$4:$C$1203,$Z19-4000)=0,"",INDEX(客户自备加工筐明细!$C$4:$C$1203,$Z19-4000)),IF($Z19&lt;=5800,IF(INDEX(次果筐明细!$D$4:$D$603,$Z19-5200)=0,"",INDEX(次果筐明细!$D$4:$D$603,$Z19-5200)),"")))))</f>
        <v/>
      </c>
      <c r="O19" s="40" t="str">
        <f>IF($Z19="","",IF($Z19&lt;=2000,"",IF($Z19&lt;=4000,IF(N(INDEX(周转筐出入库明细!$J$4:$J$2004,$Z19-2000))+N(INDEX(周转筐出入库明细!$K$4:$K$2004,$Z19-2000))=0,"",N(INDEX(周转筐出入库明细!$J$4:$J$2004,$Z19-2000))+N(INDEX(周转筐出入库明细!$K$4:$K$2004,$Z19-2000))),IF($Z19&lt;=5200,IF(N(INDEX(客户自备加工筐明细!$G$4:$G$1203,$Z19-4000))=0,"",N(INDEX(客户自备加工筐明细!$G$4:$G$1203,$Z19-4000))),IF($Z19&lt;=5800,IF(ISNUMBER(SEARCH("退",INDEX(次果筐明细!$F$4:$F$603,$Z19-5200)&amp;"")),"",IF(N(INDEX(次果筐明细!$G$4:$G$603,$Z19-5200))=0,"",N(INDEX(次果筐明细!$G$4:$G$603,$Z19-5200)))),"")))))</f>
        <v/>
      </c>
      <c r="P19" s="40" t="str">
        <f>IF($Z19="","",IF($Z19&lt;=2000,"",IF($Z19&lt;=4000,IF(N(INDEX(周转筐出入库明细!$I$4:$I$2004,$Z19-2000))=0,"",N(INDEX(周转筐出入库明细!$I$4:$I$2004,$Z19-2000))),IF($Z19&lt;=5200,"",IF($Z19&lt;=5800,IF(ISNUMBER(SEARCH("退",INDEX(次果筐明细!$F$4:$F$603,$Z19-5200)&amp;"")),IF(N(INDEX(次果筐明细!$G$4:$G$603,$Z19-5200))=0,"",N(INDEX(次果筐明细!$G$4:$G$603,$Z19-5200))),""),"")))))</f>
        <v/>
      </c>
      <c r="Q19" s="40" t="str">
        <f>IF($Z19="","",IF($Z19&lt;=2000,"",IF($Z19&lt;=4000,IF(N(INDEX(周转筐出入库明细!$H$4:$H$2004,$Z19-2000))=0,"",N(INDEX(周转筐出入库明细!$H$4:$H$2004,$Z19-2000))),IF($Z19&lt;=5200,IF(N(INDEX(客户自备加工筐明细!$F$4:$F$1203,$Z19-4000))=0,"",N(INDEX(客户自备加工筐明细!$F$4:$F$1203,$Z19-4000))),IF($Z19&lt;=5800,"","")))))</f>
        <v/>
      </c>
      <c r="R19" s="16" t="str">
        <f>IF($Z19="","",IF($Z19&lt;=2000,IF(INDEX(包装物料出入库明细!$O$4:$O$2003,$Z19-0)=0,"",INDEX(包装物料出入库明细!$O$4:$O$2003,$Z19-0)),IF($Z19&lt;=4000,IF(INDEX(周转筐出入库明细!$M$4:$M$2004,$Z19-2000)=0,"",INDEX(周转筐出入库明细!$M$4:$M$2004,$Z19-2000)),IF($Z19&lt;=5200,IF(INDEX(客户自备加工筐明细!$H$4:$H$1203,$Z19-4000)=0,"",INDEX(客户自备加工筐明细!$H$4:$H$1203,$Z19-4000)),IF($Z19&lt;=5800,IF(INDEX(次果筐明细!$H$4:$H$603,$Z19-5200)=0,"",INDEX(次果筐明细!$H$4:$H$603,$Z19-5200)),"")))))</f>
        <v>新A*G0544</v>
      </c>
      <c r="S19" s="22" t="str">
        <f t="shared" si="2"/>
        <v/>
      </c>
      <c r="Z19" s="10">
        <f>IFERROR(MATCH(ROW()-3,_自动清单!$CQ$4:$CQ$5803,0),"")</f>
        <v>16</v>
      </c>
    </row>
    <row r="20" spans="1:26">
      <c r="A20" s="24">
        <f t="shared" si="0"/>
        <v>17</v>
      </c>
      <c r="B20" s="38">
        <f>IF($Z20="","",IF($Z20&lt;=2000,IF(INDEX(包装物料出入库明细!$B$4:$B$2003,$Z20-0)=0,"",INDEX(包装物料出入库明细!$B$4:$B$2003,$Z20-0)),IF($Z20&lt;=4000,IF(INDEX(周转筐出入库明细!$B$4:$B$2004,$Z20-2000)=0,"",INDEX(周转筐出入库明细!$B$4:$B$2004,$Z20-2000)),IF($Z20&lt;=5200,IF(INDEX(客户自备加工筐明细!$B$4:$B$1203,$Z20-4000)=0,"",INDEX(客户自备加工筐明细!$B$4:$B$1203,$Z20-4000)),IF($Z20&lt;=5800,IF(INDEX(次果筐明细!$B$4:$B$603,$Z20-5200)=0,"",INDEX(次果筐明细!$B$4:$B$603,$Z20-5200)),"")))))</f>
        <v>46272</v>
      </c>
      <c r="C20" s="37" t="str">
        <f>IF($Z20="","",IF($Z20&lt;=2000,IF(INDEX(包装物料出入库明细!$D$4:$D$2003,$Z20-0)=0,"",INDEX(包装物料出入库明细!$D$4:$D$2003,$Z20-0)),IF($Z20&lt;=4000,IF(INDEX(周转筐出入库明细!$C$4:$C$2004,$Z20-2000)=0,"",INDEX(周转筐出入库明细!$C$4:$C$2004,$Z20-2000)),IF($Z20&lt;=5200,IF(INDEX(客户自备加工筐明细!$E$4:$E$1203,$Z20-4000)=0,"",INDEX(客户自备加工筐明细!$E$4:$E$1203,$Z20-4000)),IF($Z20&lt;=5800,IF(INDEX(次果筐明细!$C$4:$C$603,$Z20-5200)=0,"",INDEX(次果筐明细!$C$4:$C$603,$Z20-5200)),"")))))</f>
        <v>贾建国</v>
      </c>
      <c r="D20" s="37" t="str">
        <f>IF($Z20="","",IF($Z20&lt;=2000,"包装物料－"&amp;INDEX(包装物料出入库明细!$H$4:$H$2003,$Z20-0),IF($Z20&lt;=4000,"周转筐－"&amp;INDEX(周转筐出入库明细!$F$4:$F$2004,$Z20-2000),IF($Z20&lt;=5200,"客户自备筐－"&amp;INDEX(客户自备加工筐明细!$J$4:$J$1203,$Z20-4000),IF($Z20&lt;=5800,"次果筐/托盘－"&amp;INDEX(次果筐明细!$F$4:$F$603,$Z20-5200),"")))))</f>
        <v>包装物料－领用出库</v>
      </c>
      <c r="E20" s="24" t="str">
        <f>IF($Z20="","",IF($Z20&lt;=2000,IF(INDEX(包装物料出入库明细!$C$4:$C$2003,$Z20-0)=0,"",INDEX(包装物料出入库明细!$C$4:$C$2003,$Z20-0)),IF($Z20&lt;=4000,IF(INDEX(周转筐出入库明细!$E$4:$E$2004,$Z20-2000)=0,"",INDEX(周转筐出入库明细!$E$4:$E$2004,$Z20-2000)),IF($Z20&lt;=5200,IF(INDEX(客户自备加工筐明细!$D$4:$D$1203,$Z20-4000)=0,"",INDEX(客户自备加工筐明细!$D$4:$D$1203,$Z20-4000)),IF($Z20&lt;=5800,IF(INDEX(次果筐明细!$E$4:$E$603,$Z20-5200)=0,"",INDEX(次果筐明细!$E$4:$E$603,$Z20-5200)),"")))))</f>
        <v>NO:0001092</v>
      </c>
      <c r="F20" s="24" t="str">
        <f>IF($Z20="","",IF($Z20&lt;=2000,IF(INDEX(包装物料出入库明细!$E$4:$E$2003,$Z20-0)=0,"",INDEX(包装物料出入库明细!$E$4:$E$2003,$Z20-0)),IF($Z20&lt;=4000,IF(INDEX(周转筐出入库明细!$D$4:$D$2004,$Z20-2000)=0,"",INDEX(周转筐出入库明细!$D$4:$D$2004,$Z20-2000)),IF($Z20&lt;=5200,IF(INDEX(客户自备加工筐明细!$C$4:$C$1203,$Z20-4000)=0,"",INDEX(客户自备加工筐明细!$C$4:$C$1203,$Z20-4000)),IF($Z20&lt;=5800,IF(INDEX(次果筐明细!$D$4:$D$603,$Z20-5200)=0,"",INDEX(次果筐明细!$D$4:$D$603,$Z20-5200)),"")))))</f>
        <v>香梨网</v>
      </c>
      <c r="G20" s="24" t="str">
        <f>IF($Z20="","",IF($Z20&lt;=2000,IF(INDEX(包装物料出入库明细!$F$4:$F$2003,$Z20-0)=0,"",INDEX(包装物料出入库明细!$F$4:$F$2003,$Z20-0)),IF($Z20&lt;=4000,"",IF($Z20&lt;=5200,"",IF($Z20&lt;=5800,"","")))))</f>
        <v>*包</v>
      </c>
      <c r="H20" s="39">
        <f>IF($Z20="","",IF($Z20&lt;=2000,IF(INDEX(包装物料出入库明细!$L$4:$L$2003,$Z20-0)=0,"",INDEX(包装物料出入库明细!$L$4:$L$2003,$Z20-0)),IF($Z20&lt;=4000,N(INDEX(周转筐出入库明细!$H$4:$H$2004,$Z20-2000))+N(INDEX(周转筐出入库明细!$I$4:$I$2004,$Z20-2000))+N(INDEX(周转筐出入库明细!$J$4:$J$2004,$Z20-2000))+N(INDEX(周转筐出入库明细!$K$4:$K$2004,$Z20-2000)),IF($Z20&lt;=5200,N(INDEX(客户自备加工筐明细!$F$4:$F$1203,$Z20-4000))+N(INDEX(客户自备加工筐明细!$G$4:$G$1203,$Z20-4000)),IF($Z20&lt;=5800,IF(INDEX(次果筐明细!$G$4:$G$603,$Z20-5200)=0,"",INDEX(次果筐明细!$G$4:$G$603,$Z20-5200)),"")))))</f>
        <v>32</v>
      </c>
      <c r="I20" s="24" t="str">
        <f>IF($Z20="","",IF($Z20&lt;=2000,IF(INDEX(包装物料出入库明细!$G$4:$G$2003,$Z20-0)=0,"",INDEX(包装物料出入库明细!$G$4:$G$2003,$Z20-0)),IF($Z20&lt;=4000,"个",IF($Z20&lt;=5200,"个",IF($Z20&lt;=5800,"个","")))))</f>
        <v>包</v>
      </c>
      <c r="J20" s="30" t="str">
        <f t="shared" si="1"/>
        <v/>
      </c>
      <c r="K20" s="30">
        <f>IF($Z20="","",IF($Z20&lt;=2000,IF(INDEX(包装物料出入库明细!$N$4:$N$2003,$Z20-0)=0,"",INDEX(包装物料出入库明细!$N$4:$N$2003,$Z20-0)),IF($Z20&lt;=4000,IF(INDEX(周转筐出入库明细!$P$4:$P$2004,$Z20-2000)=0,"",INDEX(周转筐出入库明细!$P$4:$P$2004,$Z20-2000)),IF($Z20&lt;=5200,"",IF($Z20&lt;=5800,N(INDEX(次果筐明细!$L$4:$L$603,$Z20-5200))+N(INDEX(次果筐明细!$J$4:$J$603,$Z20-5200)),"")))))</f>
        <v>1440</v>
      </c>
      <c r="L20" s="24" t="str">
        <f>IF($Z20="","",IF($Z20&lt;=2000,IF(INDEX(包装物料出入库明细!$P$4:$P$2003,$Z20-0)=0,"",INDEX(包装物料出入库明细!$P$4:$P$2003,$Z20-0)),IF($Z20&lt;=4000,IF(INDEX(周转筐出入库明细!$Q$4:$Q$2004,$Z20-2000)=0,"",INDEX(周转筐出入库明细!$Q$4:$Q$2004,$Z20-2000)),IF($Z20&lt;=5200,"",IF($Z20&lt;=5800,IF(INDEX(次果筐明细!$M$4:$M$603,$Z20-5200)=0,"",INDEX(次果筐明细!$M$4:$M$603,$Z20-5200)),"")))))</f>
        <v>未付款</v>
      </c>
      <c r="M20" s="37" t="str">
        <f>IF($Z20="","",IF($Z20&lt;=2000,IF(INDEX(包装物料出入库明细!$R$4:$R$2003,$Z20-0)=0,"",INDEX(包装物料出入库明细!$R$4:$R$2003,$Z20-0)),IF($Z20&lt;=4000,IF(INDEX(周转筐出入库明细!$W$4:$W$2004,$Z20-2000)=0,"",INDEX(周转筐出入库明细!$W$4:$W$2004,$Z20-2000)),IF($Z20&lt;=5200,IF(INDEX(客户自备加工筐明细!$L$4:$L$1203,$Z20-4000)=0,"",INDEX(客户自备加工筐明细!$L$4:$L$1203,$Z20-4000)),IF($Z20&lt;=5800,IF(INDEX(次果筐明细!$P$4:$P$603,$Z20-5200)=0,"",INDEX(次果筐明细!$P$4:$P$603,$Z20-5200)),"")))))</f>
        <v/>
      </c>
      <c r="N20" s="16" t="str">
        <f>IF($Z20="","",IF($Z20&lt;=2000,"",IF($Z20&lt;=4000,IF(INDEX(周转筐出入库明细!$D$4:$D$2004,$Z20-2000)=0,"",INDEX(周转筐出入库明细!$D$4:$D$2004,$Z20-2000)),IF($Z20&lt;=5200,IF(INDEX(客户自备加工筐明细!$C$4:$C$1203,$Z20-4000)=0,"",INDEX(客户自备加工筐明细!$C$4:$C$1203,$Z20-4000)),IF($Z20&lt;=5800,IF(INDEX(次果筐明细!$D$4:$D$603,$Z20-5200)=0,"",INDEX(次果筐明细!$D$4:$D$603,$Z20-5200)),"")))))</f>
        <v/>
      </c>
      <c r="O20" s="40" t="str">
        <f>IF($Z20="","",IF($Z20&lt;=2000,"",IF($Z20&lt;=4000,IF(N(INDEX(周转筐出入库明细!$J$4:$J$2004,$Z20-2000))+N(INDEX(周转筐出入库明细!$K$4:$K$2004,$Z20-2000))=0,"",N(INDEX(周转筐出入库明细!$J$4:$J$2004,$Z20-2000))+N(INDEX(周转筐出入库明细!$K$4:$K$2004,$Z20-2000))),IF($Z20&lt;=5200,IF(N(INDEX(客户自备加工筐明细!$G$4:$G$1203,$Z20-4000))=0,"",N(INDEX(客户自备加工筐明细!$G$4:$G$1203,$Z20-4000))),IF($Z20&lt;=5800,IF(ISNUMBER(SEARCH("退",INDEX(次果筐明细!$F$4:$F$603,$Z20-5200)&amp;"")),"",IF(N(INDEX(次果筐明细!$G$4:$G$603,$Z20-5200))=0,"",N(INDEX(次果筐明细!$G$4:$G$603,$Z20-5200)))),"")))))</f>
        <v/>
      </c>
      <c r="P20" s="40" t="str">
        <f>IF($Z20="","",IF($Z20&lt;=2000,"",IF($Z20&lt;=4000,IF(N(INDEX(周转筐出入库明细!$I$4:$I$2004,$Z20-2000))=0,"",N(INDEX(周转筐出入库明细!$I$4:$I$2004,$Z20-2000))),IF($Z20&lt;=5200,"",IF($Z20&lt;=5800,IF(ISNUMBER(SEARCH("退",INDEX(次果筐明细!$F$4:$F$603,$Z20-5200)&amp;"")),IF(N(INDEX(次果筐明细!$G$4:$G$603,$Z20-5200))=0,"",N(INDEX(次果筐明细!$G$4:$G$603,$Z20-5200))),""),"")))))</f>
        <v/>
      </c>
      <c r="Q20" s="40" t="str">
        <f>IF($Z20="","",IF($Z20&lt;=2000,"",IF($Z20&lt;=4000,IF(N(INDEX(周转筐出入库明细!$H$4:$H$2004,$Z20-2000))=0,"",N(INDEX(周转筐出入库明细!$H$4:$H$2004,$Z20-2000))),IF($Z20&lt;=5200,IF(N(INDEX(客户自备加工筐明细!$F$4:$F$1203,$Z20-4000))=0,"",N(INDEX(客户自备加工筐明细!$F$4:$F$1203,$Z20-4000))),IF($Z20&lt;=5800,"","")))))</f>
        <v/>
      </c>
      <c r="R20" s="16" t="str">
        <f>IF($Z20="","",IF($Z20&lt;=2000,IF(INDEX(包装物料出入库明细!$O$4:$O$2003,$Z20-0)=0,"",INDEX(包装物料出入库明细!$O$4:$O$2003,$Z20-0)),IF($Z20&lt;=4000,IF(INDEX(周转筐出入库明细!$M$4:$M$2004,$Z20-2000)=0,"",INDEX(周转筐出入库明细!$M$4:$M$2004,$Z20-2000)),IF($Z20&lt;=5200,IF(INDEX(客户自备加工筐明细!$H$4:$H$1203,$Z20-4000)=0,"",INDEX(客户自备加工筐明细!$H$4:$H$1203,$Z20-4000)),IF($Z20&lt;=5800,IF(INDEX(次果筐明细!$H$4:$H$603,$Z20-5200)=0,"",INDEX(次果筐明细!$H$4:$H$603,$Z20-5200)),"")))))</f>
        <v>豫Q*H5591</v>
      </c>
      <c r="S20" s="22" t="str">
        <f t="shared" si="2"/>
        <v/>
      </c>
      <c r="Z20" s="10">
        <f>IFERROR(MATCH(ROW()-3,_自动清单!$CQ$4:$CQ$5803,0),"")</f>
        <v>17</v>
      </c>
    </row>
    <row r="21" spans="1:26">
      <c r="A21" s="24">
        <f t="shared" si="0"/>
        <v>18</v>
      </c>
      <c r="B21" s="38">
        <f>IF($Z21="","",IF($Z21&lt;=2000,IF(INDEX(包装物料出入库明细!$B$4:$B$2003,$Z21-0)=0,"",INDEX(包装物料出入库明细!$B$4:$B$2003,$Z21-0)),IF($Z21&lt;=4000,IF(INDEX(周转筐出入库明细!$B$4:$B$2004,$Z21-2000)=0,"",INDEX(周转筐出入库明细!$B$4:$B$2004,$Z21-2000)),IF($Z21&lt;=5200,IF(INDEX(客户自备加工筐明细!$B$4:$B$1203,$Z21-4000)=0,"",INDEX(客户自备加工筐明细!$B$4:$B$1203,$Z21-4000)),IF($Z21&lt;=5800,IF(INDEX(次果筐明细!$B$4:$B$603,$Z21-5200)=0,"",INDEX(次果筐明细!$B$4:$B$603,$Z21-5200)),"")))))</f>
        <v>46272</v>
      </c>
      <c r="C21" s="37" t="str">
        <f>IF($Z21="","",IF($Z21&lt;=2000,IF(INDEX(包装物料出入库明细!$D$4:$D$2003,$Z21-0)=0,"",INDEX(包装物料出入库明细!$D$4:$D$2003,$Z21-0)),IF($Z21&lt;=4000,IF(INDEX(周转筐出入库明细!$C$4:$C$2004,$Z21-2000)=0,"",INDEX(周转筐出入库明细!$C$4:$C$2004,$Z21-2000)),IF($Z21&lt;=5200,IF(INDEX(客户自备加工筐明细!$E$4:$E$1203,$Z21-4000)=0,"",INDEX(客户自备加工筐明细!$E$4:$E$1203,$Z21-4000)),IF($Z21&lt;=5800,IF(INDEX(次果筐明细!$C$4:$C$603,$Z21-5200)=0,"",INDEX(次果筐明细!$C$4:$C$603,$Z21-5200)),"")))))</f>
        <v>贾建国</v>
      </c>
      <c r="D21" s="37" t="str">
        <f>IF($Z21="","",IF($Z21&lt;=2000,"包装物料－"&amp;INDEX(包装物料出入库明细!$H$4:$H$2003,$Z21-0),IF($Z21&lt;=4000,"周转筐－"&amp;INDEX(周转筐出入库明细!$F$4:$F$2004,$Z21-2000),IF($Z21&lt;=5200,"客户自备筐－"&amp;INDEX(客户自备加工筐明细!$J$4:$J$1203,$Z21-4000),IF($Z21&lt;=5800,"次果筐/托盘－"&amp;INDEX(次果筐明细!$F$4:$F$603,$Z21-5200),"")))))</f>
        <v>包装物料－领用出库</v>
      </c>
      <c r="E21" s="24" t="str">
        <f>IF($Z21="","",IF($Z21&lt;=2000,IF(INDEX(包装物料出入库明细!$C$4:$C$2003,$Z21-0)=0,"",INDEX(包装物料出入库明细!$C$4:$C$2003,$Z21-0)),IF($Z21&lt;=4000,IF(INDEX(周转筐出入库明细!$E$4:$E$2004,$Z21-2000)=0,"",INDEX(周转筐出入库明细!$E$4:$E$2004,$Z21-2000)),IF($Z21&lt;=5200,IF(INDEX(客户自备加工筐明细!$D$4:$D$1203,$Z21-4000)=0,"",INDEX(客户自备加工筐明细!$D$4:$D$1203,$Z21-4000)),IF($Z21&lt;=5800,IF(INDEX(次果筐明细!$E$4:$E$603,$Z21-5200)=0,"",INDEX(次果筐明细!$E$4:$E$603,$Z21-5200)),"")))))</f>
        <v>NO:0001092</v>
      </c>
      <c r="F21" s="24" t="str">
        <f>IF($Z21="","",IF($Z21&lt;=2000,IF(INDEX(包装物料出入库明细!$E$4:$E$2003,$Z21-0)=0,"",INDEX(包装物料出入库明细!$E$4:$E$2003,$Z21-0)),IF($Z21&lt;=4000,IF(INDEX(周转筐出入库明细!$D$4:$D$2004,$Z21-2000)=0,"",INDEX(周转筐出入库明细!$D$4:$D$2004,$Z21-2000)),IF($Z21&lt;=5200,IF(INDEX(客户自备加工筐明细!$C$4:$C$1203,$Z21-4000)=0,"",INDEX(客户自备加工筐明细!$C$4:$C$1203,$Z21-4000)),IF($Z21&lt;=5800,IF(INDEX(次果筐明细!$D$4:$D$603,$Z21-5200)=0,"",INDEX(次果筐明细!$D$4:$D$603,$Z21-5200)),"")))))</f>
        <v>无纺布</v>
      </c>
      <c r="G21" s="24" t="str">
        <f>IF($Z21="","",IF($Z21&lt;=2000,IF(INDEX(包装物料出入库明细!$F$4:$F$2003,$Z21-0)=0,"",INDEX(包装物料出入库明细!$F$4:$F$2003,$Z21-0)),IF($Z21&lt;=4000,"",IF($Z21&lt;=5200,"",IF($Z21&lt;=5800,"","")))))</f>
        <v>*400</v>
      </c>
      <c r="H21" s="39">
        <f>IF($Z21="","",IF($Z21&lt;=2000,IF(INDEX(包装物料出入库明细!$L$4:$L$2003,$Z21-0)=0,"",INDEX(包装物料出入库明细!$L$4:$L$2003,$Z21-0)),IF($Z21&lt;=4000,N(INDEX(周转筐出入库明细!$H$4:$H$2004,$Z21-2000))+N(INDEX(周转筐出入库明细!$I$4:$I$2004,$Z21-2000))+N(INDEX(周转筐出入库明细!$J$4:$J$2004,$Z21-2000))+N(INDEX(周转筐出入库明细!$K$4:$K$2004,$Z21-2000)),IF($Z21&lt;=5200,N(INDEX(客户自备加工筐明细!$F$4:$F$1203,$Z21-4000))+N(INDEX(客户自备加工筐明细!$G$4:$G$1203,$Z21-4000)),IF($Z21&lt;=5800,IF(INDEX(次果筐明细!$G$4:$G$603,$Z21-5200)=0,"",INDEX(次果筐明细!$G$4:$G$603,$Z21-5200)),"")))))</f>
        <v>800</v>
      </c>
      <c r="I21" s="24" t="str">
        <f>IF($Z21="","",IF($Z21&lt;=2000,IF(INDEX(包装物料出入库明细!$G$4:$G$2003,$Z21-0)=0,"",INDEX(包装物料出入库明细!$G$4:$G$2003,$Z21-0)),IF($Z21&lt;=4000,"个",IF($Z21&lt;=5200,"个",IF($Z21&lt;=5800,"个","")))))</f>
        <v>个</v>
      </c>
      <c r="J21" s="30" t="str">
        <f t="shared" si="1"/>
        <v/>
      </c>
      <c r="K21" s="30">
        <f>IF($Z21="","",IF($Z21&lt;=2000,IF(INDEX(包装物料出入库明细!$N$4:$N$2003,$Z21-0)=0,"",INDEX(包装物料出入库明细!$N$4:$N$2003,$Z21-0)),IF($Z21&lt;=4000,IF(INDEX(周转筐出入库明细!$P$4:$P$2004,$Z21-2000)=0,"",INDEX(周转筐出入库明细!$P$4:$P$2004,$Z21-2000)),IF($Z21&lt;=5200,"",IF($Z21&lt;=5800,N(INDEX(次果筐明细!$L$4:$L$603,$Z21-5200))+N(INDEX(次果筐明细!$J$4:$J$603,$Z21-5200)),"")))))</f>
        <v>400</v>
      </c>
      <c r="L21" s="24" t="str">
        <f>IF($Z21="","",IF($Z21&lt;=2000,IF(INDEX(包装物料出入库明细!$P$4:$P$2003,$Z21-0)=0,"",INDEX(包装物料出入库明细!$P$4:$P$2003,$Z21-0)),IF($Z21&lt;=4000,IF(INDEX(周转筐出入库明细!$Q$4:$Q$2004,$Z21-2000)=0,"",INDEX(周转筐出入库明细!$Q$4:$Q$2004,$Z21-2000)),IF($Z21&lt;=5200,"",IF($Z21&lt;=5800,IF(INDEX(次果筐明细!$M$4:$M$603,$Z21-5200)=0,"",INDEX(次果筐明细!$M$4:$M$603,$Z21-5200)),"")))))</f>
        <v>未付款</v>
      </c>
      <c r="M21" s="37" t="str">
        <f>IF($Z21="","",IF($Z21&lt;=2000,IF(INDEX(包装物料出入库明细!$R$4:$R$2003,$Z21-0)=0,"",INDEX(包装物料出入库明细!$R$4:$R$2003,$Z21-0)),IF($Z21&lt;=4000,IF(INDEX(周转筐出入库明细!$W$4:$W$2004,$Z21-2000)=0,"",INDEX(周转筐出入库明细!$W$4:$W$2004,$Z21-2000)),IF($Z21&lt;=5200,IF(INDEX(客户自备加工筐明细!$L$4:$L$1203,$Z21-4000)=0,"",INDEX(客户自备加工筐明细!$L$4:$L$1203,$Z21-4000)),IF($Z21&lt;=5800,IF(INDEX(次果筐明细!$P$4:$P$603,$Z21-5200)=0,"",INDEX(次果筐明细!$P$4:$P$603,$Z21-5200)),"")))))</f>
        <v/>
      </c>
      <c r="N21" s="16" t="str">
        <f>IF($Z21="","",IF($Z21&lt;=2000,"",IF($Z21&lt;=4000,IF(INDEX(周转筐出入库明细!$D$4:$D$2004,$Z21-2000)=0,"",INDEX(周转筐出入库明细!$D$4:$D$2004,$Z21-2000)),IF($Z21&lt;=5200,IF(INDEX(客户自备加工筐明细!$C$4:$C$1203,$Z21-4000)=0,"",INDEX(客户自备加工筐明细!$C$4:$C$1203,$Z21-4000)),IF($Z21&lt;=5800,IF(INDEX(次果筐明细!$D$4:$D$603,$Z21-5200)=0,"",INDEX(次果筐明细!$D$4:$D$603,$Z21-5200)),"")))))</f>
        <v/>
      </c>
      <c r="O21" s="40" t="str">
        <f>IF($Z21="","",IF($Z21&lt;=2000,"",IF($Z21&lt;=4000,IF(N(INDEX(周转筐出入库明细!$J$4:$J$2004,$Z21-2000))+N(INDEX(周转筐出入库明细!$K$4:$K$2004,$Z21-2000))=0,"",N(INDEX(周转筐出入库明细!$J$4:$J$2004,$Z21-2000))+N(INDEX(周转筐出入库明细!$K$4:$K$2004,$Z21-2000))),IF($Z21&lt;=5200,IF(N(INDEX(客户自备加工筐明细!$G$4:$G$1203,$Z21-4000))=0,"",N(INDEX(客户自备加工筐明细!$G$4:$G$1203,$Z21-4000))),IF($Z21&lt;=5800,IF(ISNUMBER(SEARCH("退",INDEX(次果筐明细!$F$4:$F$603,$Z21-5200)&amp;"")),"",IF(N(INDEX(次果筐明细!$G$4:$G$603,$Z21-5200))=0,"",N(INDEX(次果筐明细!$G$4:$G$603,$Z21-5200)))),"")))))</f>
        <v/>
      </c>
      <c r="P21" s="40" t="str">
        <f>IF($Z21="","",IF($Z21&lt;=2000,"",IF($Z21&lt;=4000,IF(N(INDEX(周转筐出入库明细!$I$4:$I$2004,$Z21-2000))=0,"",N(INDEX(周转筐出入库明细!$I$4:$I$2004,$Z21-2000))),IF($Z21&lt;=5200,"",IF($Z21&lt;=5800,IF(ISNUMBER(SEARCH("退",INDEX(次果筐明细!$F$4:$F$603,$Z21-5200)&amp;"")),IF(N(INDEX(次果筐明细!$G$4:$G$603,$Z21-5200))=0,"",N(INDEX(次果筐明细!$G$4:$G$603,$Z21-5200))),""),"")))))</f>
        <v/>
      </c>
      <c r="Q21" s="40" t="str">
        <f>IF($Z21="","",IF($Z21&lt;=2000,"",IF($Z21&lt;=4000,IF(N(INDEX(周转筐出入库明细!$H$4:$H$2004,$Z21-2000))=0,"",N(INDEX(周转筐出入库明细!$H$4:$H$2004,$Z21-2000))),IF($Z21&lt;=5200,IF(N(INDEX(客户自备加工筐明细!$F$4:$F$1203,$Z21-4000))=0,"",N(INDEX(客户自备加工筐明细!$F$4:$F$1203,$Z21-4000))),IF($Z21&lt;=5800,"","")))))</f>
        <v/>
      </c>
      <c r="R21" s="16" t="str">
        <f>IF($Z21="","",IF($Z21&lt;=2000,IF(INDEX(包装物料出入库明细!$O$4:$O$2003,$Z21-0)=0,"",INDEX(包装物料出入库明细!$O$4:$O$2003,$Z21-0)),IF($Z21&lt;=4000,IF(INDEX(周转筐出入库明细!$M$4:$M$2004,$Z21-2000)=0,"",INDEX(周转筐出入库明细!$M$4:$M$2004,$Z21-2000)),IF($Z21&lt;=5200,IF(INDEX(客户自备加工筐明细!$H$4:$H$1203,$Z21-4000)=0,"",INDEX(客户自备加工筐明细!$H$4:$H$1203,$Z21-4000)),IF($Z21&lt;=5800,IF(INDEX(次果筐明细!$H$4:$H$603,$Z21-5200)=0,"",INDEX(次果筐明细!$H$4:$H$603,$Z21-5200)),"")))))</f>
        <v>豫Q*H5591</v>
      </c>
      <c r="S21" s="22" t="str">
        <f t="shared" si="2"/>
        <v/>
      </c>
      <c r="Z21" s="10">
        <f>IFERROR(MATCH(ROW()-3,_自动清单!$CQ$4:$CQ$5803,0),"")</f>
        <v>18</v>
      </c>
    </row>
    <row r="22" spans="1:26">
      <c r="A22" s="24">
        <f t="shared" si="0"/>
        <v>19</v>
      </c>
      <c r="B22" s="38">
        <f>IF($Z22="","",IF($Z22&lt;=2000,IF(INDEX(包装物料出入库明细!$B$4:$B$2003,$Z22-0)=0,"",INDEX(包装物料出入库明细!$B$4:$B$2003,$Z22-0)),IF($Z22&lt;=4000,IF(INDEX(周转筐出入库明细!$B$4:$B$2004,$Z22-2000)=0,"",INDEX(周转筐出入库明细!$B$4:$B$2004,$Z22-2000)),IF($Z22&lt;=5200,IF(INDEX(客户自备加工筐明细!$B$4:$B$1203,$Z22-4000)=0,"",INDEX(客户自备加工筐明细!$B$4:$B$1203,$Z22-4000)),IF($Z22&lt;=5800,IF(INDEX(次果筐明细!$B$4:$B$603,$Z22-5200)=0,"",INDEX(次果筐明细!$B$4:$B$603,$Z22-5200)),"")))))</f>
        <v>46272</v>
      </c>
      <c r="C22" s="37" t="str">
        <f>IF($Z22="","",IF($Z22&lt;=2000,IF(INDEX(包装物料出入库明细!$D$4:$D$2003,$Z22-0)=0,"",INDEX(包装物料出入库明细!$D$4:$D$2003,$Z22-0)),IF($Z22&lt;=4000,IF(INDEX(周转筐出入库明细!$C$4:$C$2004,$Z22-2000)=0,"",INDEX(周转筐出入库明细!$C$4:$C$2004,$Z22-2000)),IF($Z22&lt;=5200,IF(INDEX(客户自备加工筐明细!$E$4:$E$1203,$Z22-4000)=0,"",INDEX(客户自备加工筐明细!$E$4:$E$1203,$Z22-4000)),IF($Z22&lt;=5800,IF(INDEX(次果筐明细!$C$4:$C$603,$Z22-5200)=0,"",INDEX(次果筐明细!$C$4:$C$603,$Z22-5200)),"")))))</f>
        <v>热合曼</v>
      </c>
      <c r="D22" s="37" t="str">
        <f>IF($Z22="","",IF($Z22&lt;=2000,"包装物料－"&amp;INDEX(包装物料出入库明细!$H$4:$H$2003,$Z22-0),IF($Z22&lt;=4000,"周转筐－"&amp;INDEX(周转筐出入库明细!$F$4:$F$2004,$Z22-2000),IF($Z22&lt;=5200,"客户自备筐－"&amp;INDEX(客户自备加工筐明细!$J$4:$J$1203,$Z22-4000),IF($Z22&lt;=5800,"次果筐/托盘－"&amp;INDEX(次果筐明细!$F$4:$F$603,$Z22-5200),"")))))</f>
        <v>包装物料－领用出库</v>
      </c>
      <c r="E22" s="24" t="str">
        <f>IF($Z22="","",IF($Z22&lt;=2000,IF(INDEX(包装物料出入库明细!$C$4:$C$2003,$Z22-0)=0,"",INDEX(包装物料出入库明细!$C$4:$C$2003,$Z22-0)),IF($Z22&lt;=4000,IF(INDEX(周转筐出入库明细!$E$4:$E$2004,$Z22-2000)=0,"",INDEX(周转筐出入库明细!$E$4:$E$2004,$Z22-2000)),IF($Z22&lt;=5200,IF(INDEX(客户自备加工筐明细!$D$4:$D$1203,$Z22-4000)=0,"",INDEX(客户自备加工筐明细!$D$4:$D$1203,$Z22-4000)),IF($Z22&lt;=5800,IF(INDEX(次果筐明细!$E$4:$E$603,$Z22-5200)=0,"",INDEX(次果筐明细!$E$4:$E$603,$Z22-5200)),"")))))</f>
        <v>NO:0001094</v>
      </c>
      <c r="F22" s="24" t="str">
        <f>IF($Z22="","",IF($Z22&lt;=2000,IF(INDEX(包装物料出入库明细!$E$4:$E$2003,$Z22-0)=0,"",INDEX(包装物料出入库明细!$E$4:$E$2003,$Z22-0)),IF($Z22&lt;=4000,IF(INDEX(周转筐出入库明细!$D$4:$D$2004,$Z22-2000)=0,"",INDEX(周转筐出入库明细!$D$4:$D$2004,$Z22-2000)),IF($Z22&lt;=5200,IF(INDEX(客户自备加工筐明细!$C$4:$C$1203,$Z22-4000)=0,"",INDEX(客户自备加工筐明细!$C$4:$C$1203,$Z22-4000)),IF($Z22&lt;=5800,IF(INDEX(次果筐明细!$D$4:$D$603,$Z22-5200)=0,"",INDEX(次果筐明细!$D$4:$D$603,$Z22-5200)),"")))))</f>
        <v>香梨网</v>
      </c>
      <c r="G22" s="24" t="str">
        <f>IF($Z22="","",IF($Z22&lt;=2000,IF(INDEX(包装物料出入库明细!$F$4:$F$2003,$Z22-0)=0,"",INDEX(包装物料出入库明细!$F$4:$F$2003,$Z22-0)),IF($Z22&lt;=4000,"",IF($Z22&lt;=5200,"",IF($Z22&lt;=5800,"","")))))</f>
        <v>*包</v>
      </c>
      <c r="H22" s="39">
        <f>IF($Z22="","",IF($Z22&lt;=2000,IF(INDEX(包装物料出入库明细!$L$4:$L$2003,$Z22-0)=0,"",INDEX(包装物料出入库明细!$L$4:$L$2003,$Z22-0)),IF($Z22&lt;=4000,N(INDEX(周转筐出入库明细!$H$4:$H$2004,$Z22-2000))+N(INDEX(周转筐出入库明细!$I$4:$I$2004,$Z22-2000))+N(INDEX(周转筐出入库明细!$J$4:$J$2004,$Z22-2000))+N(INDEX(周转筐出入库明细!$K$4:$K$2004,$Z22-2000)),IF($Z22&lt;=5200,N(INDEX(客户自备加工筐明细!$F$4:$F$1203,$Z22-4000))+N(INDEX(客户自备加工筐明细!$G$4:$G$1203,$Z22-4000)),IF($Z22&lt;=5800,IF(INDEX(次果筐明细!$G$4:$G$603,$Z22-5200)=0,"",INDEX(次果筐明细!$G$4:$G$603,$Z22-5200)),"")))))</f>
        <v>48</v>
      </c>
      <c r="I22" s="24" t="str">
        <f>IF($Z22="","",IF($Z22&lt;=2000,IF(INDEX(包装物料出入库明细!$G$4:$G$2003,$Z22-0)=0,"",INDEX(包装物料出入库明细!$G$4:$G$2003,$Z22-0)),IF($Z22&lt;=4000,"个",IF($Z22&lt;=5200,"个",IF($Z22&lt;=5800,"个","")))))</f>
        <v>包</v>
      </c>
      <c r="J22" s="30" t="str">
        <f t="shared" si="1"/>
        <v/>
      </c>
      <c r="K22" s="30">
        <f>IF($Z22="","",IF($Z22&lt;=2000,IF(INDEX(包装物料出入库明细!$N$4:$N$2003,$Z22-0)=0,"",INDEX(包装物料出入库明细!$N$4:$N$2003,$Z22-0)),IF($Z22&lt;=4000,IF(INDEX(周转筐出入库明细!$P$4:$P$2004,$Z22-2000)=0,"",INDEX(周转筐出入库明细!$P$4:$P$2004,$Z22-2000)),IF($Z22&lt;=5200,"",IF($Z22&lt;=5800,N(INDEX(次果筐明细!$L$4:$L$603,$Z22-5200))+N(INDEX(次果筐明细!$J$4:$J$603,$Z22-5200)),"")))))</f>
        <v>2160</v>
      </c>
      <c r="L22" s="24" t="str">
        <f>IF($Z22="","",IF($Z22&lt;=2000,IF(INDEX(包装物料出入库明细!$P$4:$P$2003,$Z22-0)=0,"",INDEX(包装物料出入库明细!$P$4:$P$2003,$Z22-0)),IF($Z22&lt;=4000,IF(INDEX(周转筐出入库明细!$Q$4:$Q$2004,$Z22-2000)=0,"",INDEX(周转筐出入库明细!$Q$4:$Q$2004,$Z22-2000)),IF($Z22&lt;=5200,"",IF($Z22&lt;=5800,IF(INDEX(次果筐明细!$M$4:$M$603,$Z22-5200)=0,"",INDEX(次果筐明细!$M$4:$M$603,$Z22-5200)),"")))))</f>
        <v>未付款</v>
      </c>
      <c r="M22" s="37" t="str">
        <f>IF($Z22="","",IF($Z22&lt;=2000,IF(INDEX(包装物料出入库明细!$R$4:$R$2003,$Z22-0)=0,"",INDEX(包装物料出入库明细!$R$4:$R$2003,$Z22-0)),IF($Z22&lt;=4000,IF(INDEX(周转筐出入库明细!$W$4:$W$2004,$Z22-2000)=0,"",INDEX(周转筐出入库明细!$W$4:$W$2004,$Z22-2000)),IF($Z22&lt;=5200,IF(INDEX(客户自备加工筐明细!$L$4:$L$1203,$Z22-4000)=0,"",INDEX(客户自备加工筐明细!$L$4:$L$1203,$Z22-4000)),IF($Z22&lt;=5800,IF(INDEX(次果筐明细!$P$4:$P$603,$Z22-5200)=0,"",INDEX(次果筐明细!$P$4:$P$603,$Z22-5200)),"")))))</f>
        <v/>
      </c>
      <c r="N22" s="16" t="str">
        <f>IF($Z22="","",IF($Z22&lt;=2000,"",IF($Z22&lt;=4000,IF(INDEX(周转筐出入库明细!$D$4:$D$2004,$Z22-2000)=0,"",INDEX(周转筐出入库明细!$D$4:$D$2004,$Z22-2000)),IF($Z22&lt;=5200,IF(INDEX(客户自备加工筐明细!$C$4:$C$1203,$Z22-4000)=0,"",INDEX(客户自备加工筐明细!$C$4:$C$1203,$Z22-4000)),IF($Z22&lt;=5800,IF(INDEX(次果筐明细!$D$4:$D$603,$Z22-5200)=0,"",INDEX(次果筐明细!$D$4:$D$603,$Z22-5200)),"")))))</f>
        <v/>
      </c>
      <c r="O22" s="40" t="str">
        <f>IF($Z22="","",IF($Z22&lt;=2000,"",IF($Z22&lt;=4000,IF(N(INDEX(周转筐出入库明细!$J$4:$J$2004,$Z22-2000))+N(INDEX(周转筐出入库明细!$K$4:$K$2004,$Z22-2000))=0,"",N(INDEX(周转筐出入库明细!$J$4:$J$2004,$Z22-2000))+N(INDEX(周转筐出入库明细!$K$4:$K$2004,$Z22-2000))),IF($Z22&lt;=5200,IF(N(INDEX(客户自备加工筐明细!$G$4:$G$1203,$Z22-4000))=0,"",N(INDEX(客户自备加工筐明细!$G$4:$G$1203,$Z22-4000))),IF($Z22&lt;=5800,IF(ISNUMBER(SEARCH("退",INDEX(次果筐明细!$F$4:$F$603,$Z22-5200)&amp;"")),"",IF(N(INDEX(次果筐明细!$G$4:$G$603,$Z22-5200))=0,"",N(INDEX(次果筐明细!$G$4:$G$603,$Z22-5200)))),"")))))</f>
        <v/>
      </c>
      <c r="P22" s="40" t="str">
        <f>IF($Z22="","",IF($Z22&lt;=2000,"",IF($Z22&lt;=4000,IF(N(INDEX(周转筐出入库明细!$I$4:$I$2004,$Z22-2000))=0,"",N(INDEX(周转筐出入库明细!$I$4:$I$2004,$Z22-2000))),IF($Z22&lt;=5200,"",IF($Z22&lt;=5800,IF(ISNUMBER(SEARCH("退",INDEX(次果筐明细!$F$4:$F$603,$Z22-5200)&amp;"")),IF(N(INDEX(次果筐明细!$G$4:$G$603,$Z22-5200))=0,"",N(INDEX(次果筐明细!$G$4:$G$603,$Z22-5200))),""),"")))))</f>
        <v/>
      </c>
      <c r="Q22" s="40" t="str">
        <f>IF($Z22="","",IF($Z22&lt;=2000,"",IF($Z22&lt;=4000,IF(N(INDEX(周转筐出入库明细!$H$4:$H$2004,$Z22-2000))=0,"",N(INDEX(周转筐出入库明细!$H$4:$H$2004,$Z22-2000))),IF($Z22&lt;=5200,IF(N(INDEX(客户自备加工筐明细!$F$4:$F$1203,$Z22-4000))=0,"",N(INDEX(客户自备加工筐明细!$F$4:$F$1203,$Z22-4000))),IF($Z22&lt;=5800,"","")))))</f>
        <v/>
      </c>
      <c r="R22" s="16" t="str">
        <f>IF($Z22="","",IF($Z22&lt;=2000,IF(INDEX(包装物料出入库明细!$O$4:$O$2003,$Z22-0)=0,"",INDEX(包装物料出入库明细!$O$4:$O$2003,$Z22-0)),IF($Z22&lt;=4000,IF(INDEX(周转筐出入库明细!$M$4:$M$2004,$Z22-2000)=0,"",INDEX(周转筐出入库明细!$M$4:$M$2004,$Z22-2000)),IF($Z22&lt;=5200,IF(INDEX(客户自备加工筐明细!$H$4:$H$1203,$Z22-4000)=0,"",INDEX(客户自备加工筐明细!$H$4:$H$1203,$Z22-4000)),IF($Z22&lt;=5800,IF(INDEX(次果筐明细!$H$4:$H$603,$Z22-5200)=0,"",INDEX(次果筐明细!$H$4:$H$603,$Z22-5200)),"")))))</f>
        <v>新A*G0544</v>
      </c>
      <c r="S22" s="22" t="str">
        <f t="shared" si="2"/>
        <v/>
      </c>
      <c r="Z22" s="10">
        <f>IFERROR(MATCH(ROW()-3,_自动清单!$CQ$4:$CQ$5803,0),"")</f>
        <v>19</v>
      </c>
    </row>
    <row r="23" spans="1:26">
      <c r="A23" s="24">
        <f t="shared" si="0"/>
        <v>20</v>
      </c>
      <c r="B23" s="38">
        <f>IF($Z23="","",IF($Z23&lt;=2000,IF(INDEX(包装物料出入库明细!$B$4:$B$2003,$Z23-0)=0,"",INDEX(包装物料出入库明细!$B$4:$B$2003,$Z23-0)),IF($Z23&lt;=4000,IF(INDEX(周转筐出入库明细!$B$4:$B$2004,$Z23-2000)=0,"",INDEX(周转筐出入库明细!$B$4:$B$2004,$Z23-2000)),IF($Z23&lt;=5200,IF(INDEX(客户自备加工筐明细!$B$4:$B$1203,$Z23-4000)=0,"",INDEX(客户自备加工筐明细!$B$4:$B$1203,$Z23-4000)),IF($Z23&lt;=5800,IF(INDEX(次果筐明细!$B$4:$B$603,$Z23-5200)=0,"",INDEX(次果筐明细!$B$4:$B$603,$Z23-5200)),"")))))</f>
        <v>46273</v>
      </c>
      <c r="C23" s="37" t="str">
        <f>IF($Z23="","",IF($Z23&lt;=2000,IF(INDEX(包装物料出入库明细!$D$4:$D$2003,$Z23-0)=0,"",INDEX(包装物料出入库明细!$D$4:$D$2003,$Z23-0)),IF($Z23&lt;=4000,IF(INDEX(周转筐出入库明细!$C$4:$C$2004,$Z23-2000)=0,"",INDEX(周转筐出入库明细!$C$4:$C$2004,$Z23-2000)),IF($Z23&lt;=5200,IF(INDEX(客户自备加工筐明细!$E$4:$E$1203,$Z23-4000)=0,"",INDEX(客户自备加工筐明细!$E$4:$E$1203,$Z23-4000)),IF($Z23&lt;=5800,IF(INDEX(次果筐明细!$C$4:$C$603,$Z23-5200)=0,"",INDEX(次果筐明细!$C$4:$C$603,$Z23-5200)),"")))))</f>
        <v>贾建国</v>
      </c>
      <c r="D23" s="37" t="str">
        <f>IF($Z23="","",IF($Z23&lt;=2000,"包装物料－"&amp;INDEX(包装物料出入库明细!$H$4:$H$2003,$Z23-0),IF($Z23&lt;=4000,"周转筐－"&amp;INDEX(周转筐出入库明细!$F$4:$F$2004,$Z23-2000),IF($Z23&lt;=5200,"客户自备筐－"&amp;INDEX(客户自备加工筐明细!$J$4:$J$1203,$Z23-4000),IF($Z23&lt;=5800,"次果筐/托盘－"&amp;INDEX(次果筐明细!$F$4:$F$603,$Z23-5200),"")))))</f>
        <v>包装物料－退回入库</v>
      </c>
      <c r="E23" s="24" t="str">
        <f>IF($Z23="","",IF($Z23&lt;=2000,IF(INDEX(包装物料出入库明细!$C$4:$C$2003,$Z23-0)=0,"",INDEX(包装物料出入库明细!$C$4:$C$2003,$Z23-0)),IF($Z23&lt;=4000,IF(INDEX(周转筐出入库明细!$E$4:$E$2004,$Z23-2000)=0,"",INDEX(周转筐出入库明细!$E$4:$E$2004,$Z23-2000)),IF($Z23&lt;=5200,IF(INDEX(客户自备加工筐明细!$D$4:$D$1203,$Z23-4000)=0,"",INDEX(客户自备加工筐明细!$D$4:$D$1203,$Z23-4000)),IF($Z23&lt;=5800,IF(INDEX(次果筐明细!$E$4:$E$603,$Z23-5200)=0,"",INDEX(次果筐明细!$E$4:$E$603,$Z23-5200)),"")))))</f>
        <v>NO:0000760</v>
      </c>
      <c r="F23" s="24" t="str">
        <f>IF($Z23="","",IF($Z23&lt;=2000,IF(INDEX(包装物料出入库明细!$E$4:$E$2003,$Z23-0)=0,"",INDEX(包装物料出入库明细!$E$4:$E$2003,$Z23-0)),IF($Z23&lt;=4000,IF(INDEX(周转筐出入库明细!$D$4:$D$2004,$Z23-2000)=0,"",INDEX(周转筐出入库明细!$D$4:$D$2004,$Z23-2000)),IF($Z23&lt;=5200,IF(INDEX(客户自备加工筐明细!$C$4:$C$1203,$Z23-4000)=0,"",INDEX(客户自备加工筐明细!$C$4:$C$1203,$Z23-4000)),IF($Z23&lt;=5800,IF(INDEX(次果筐明细!$D$4:$D$603,$Z23-5200)=0,"",INDEX(次果筐明细!$D$4:$D$603,$Z23-5200)),"")))))</f>
        <v>无纺布</v>
      </c>
      <c r="G23" s="24" t="str">
        <f>IF($Z23="","",IF($Z23&lt;=2000,IF(INDEX(包装物料出入库明细!$F$4:$F$2003,$Z23-0)=0,"",INDEX(包装物料出入库明细!$F$4:$F$2003,$Z23-0)),IF($Z23&lt;=4000,"",IF($Z23&lt;=5200,"",IF($Z23&lt;=5800,"","")))))</f>
        <v>*400</v>
      </c>
      <c r="H23" s="39">
        <f>IF($Z23="","",IF($Z23&lt;=2000,IF(INDEX(包装物料出入库明细!$L$4:$L$2003,$Z23-0)=0,"",INDEX(包装物料出入库明细!$L$4:$L$2003,$Z23-0)),IF($Z23&lt;=4000,N(INDEX(周转筐出入库明细!$H$4:$H$2004,$Z23-2000))+N(INDEX(周转筐出入库明细!$I$4:$I$2004,$Z23-2000))+N(INDEX(周转筐出入库明细!$J$4:$J$2004,$Z23-2000))+N(INDEX(周转筐出入库明细!$K$4:$K$2004,$Z23-2000)),IF($Z23&lt;=5200,N(INDEX(客户自备加工筐明细!$F$4:$F$1203,$Z23-4000))+N(INDEX(客户自备加工筐明细!$G$4:$G$1203,$Z23-4000)),IF($Z23&lt;=5800,IF(INDEX(次果筐明细!$G$4:$G$603,$Z23-5200)=0,"",INDEX(次果筐明细!$G$4:$G$603,$Z23-5200)),"")))))</f>
        <v>800</v>
      </c>
      <c r="I23" s="24" t="str">
        <f>IF($Z23="","",IF($Z23&lt;=2000,IF(INDEX(包装物料出入库明细!$G$4:$G$2003,$Z23-0)=0,"",INDEX(包装物料出入库明细!$G$4:$G$2003,$Z23-0)),IF($Z23&lt;=4000,"个",IF($Z23&lt;=5200,"个",IF($Z23&lt;=5800,"个","")))))</f>
        <v>个</v>
      </c>
      <c r="J23" s="30" t="str">
        <f t="shared" si="1"/>
        <v/>
      </c>
      <c r="K23" s="30">
        <f>IF($Z23="","",IF($Z23&lt;=2000,IF(INDEX(包装物料出入库明细!$N$4:$N$2003,$Z23-0)=0,"",INDEX(包装物料出入库明细!$N$4:$N$2003,$Z23-0)),IF($Z23&lt;=4000,IF(INDEX(周转筐出入库明细!$P$4:$P$2004,$Z23-2000)=0,"",INDEX(周转筐出入库明细!$P$4:$P$2004,$Z23-2000)),IF($Z23&lt;=5200,"",IF($Z23&lt;=5800,N(INDEX(次果筐明细!$L$4:$L$603,$Z23-5200))+N(INDEX(次果筐明细!$J$4:$J$603,$Z23-5200)),"")))))</f>
        <v>-400</v>
      </c>
      <c r="L23" s="24" t="str">
        <f>IF($Z23="","",IF($Z23&lt;=2000,IF(INDEX(包装物料出入库明细!$P$4:$P$2003,$Z23-0)=0,"",INDEX(包装物料出入库明细!$P$4:$P$2003,$Z23-0)),IF($Z23&lt;=4000,IF(INDEX(周转筐出入库明细!$Q$4:$Q$2004,$Z23-2000)=0,"",INDEX(周转筐出入库明细!$Q$4:$Q$2004,$Z23-2000)),IF($Z23&lt;=5200,"",IF($Z23&lt;=5800,IF(INDEX(次果筐明细!$M$4:$M$603,$Z23-5200)=0,"",INDEX(次果筐明细!$M$4:$M$603,$Z23-5200)),"")))))</f>
        <v>无需付款</v>
      </c>
      <c r="M23" s="37" t="str">
        <f>IF($Z23="","",IF($Z23&lt;=2000,IF(INDEX(包装物料出入库明细!$R$4:$R$2003,$Z23-0)=0,"",INDEX(包装物料出入库明细!$R$4:$R$2003,$Z23-0)),IF($Z23&lt;=4000,IF(INDEX(周转筐出入库明细!$W$4:$W$2004,$Z23-2000)=0,"",INDEX(周转筐出入库明细!$W$4:$W$2004,$Z23-2000)),IF($Z23&lt;=5200,IF(INDEX(客户自备加工筐明细!$L$4:$L$1203,$Z23-4000)=0,"",INDEX(客户自备加工筐明细!$L$4:$L$1203,$Z23-4000)),IF($Z23&lt;=5800,IF(INDEX(次果筐明细!$P$4:$P$603,$Z23-5200)=0,"",INDEX(次果筐明细!$P$4:$P$603,$Z23-5200)),"")))))</f>
        <v/>
      </c>
      <c r="N23" s="16" t="str">
        <f>IF($Z23="","",IF($Z23&lt;=2000,"",IF($Z23&lt;=4000,IF(INDEX(周转筐出入库明细!$D$4:$D$2004,$Z23-2000)=0,"",INDEX(周转筐出入库明细!$D$4:$D$2004,$Z23-2000)),IF($Z23&lt;=5200,IF(INDEX(客户自备加工筐明细!$C$4:$C$1203,$Z23-4000)=0,"",INDEX(客户自备加工筐明细!$C$4:$C$1203,$Z23-4000)),IF($Z23&lt;=5800,IF(INDEX(次果筐明细!$D$4:$D$603,$Z23-5200)=0,"",INDEX(次果筐明细!$D$4:$D$603,$Z23-5200)),"")))))</f>
        <v/>
      </c>
      <c r="O23" s="40" t="str">
        <f>IF($Z23="","",IF($Z23&lt;=2000,"",IF($Z23&lt;=4000,IF(N(INDEX(周转筐出入库明细!$J$4:$J$2004,$Z23-2000))+N(INDEX(周转筐出入库明细!$K$4:$K$2004,$Z23-2000))=0,"",N(INDEX(周转筐出入库明细!$J$4:$J$2004,$Z23-2000))+N(INDEX(周转筐出入库明细!$K$4:$K$2004,$Z23-2000))),IF($Z23&lt;=5200,IF(N(INDEX(客户自备加工筐明细!$G$4:$G$1203,$Z23-4000))=0,"",N(INDEX(客户自备加工筐明细!$G$4:$G$1203,$Z23-4000))),IF($Z23&lt;=5800,IF(ISNUMBER(SEARCH("退",INDEX(次果筐明细!$F$4:$F$603,$Z23-5200)&amp;"")),"",IF(N(INDEX(次果筐明细!$G$4:$G$603,$Z23-5200))=0,"",N(INDEX(次果筐明细!$G$4:$G$603,$Z23-5200)))),"")))))</f>
        <v/>
      </c>
      <c r="P23" s="40" t="str">
        <f>IF($Z23="","",IF($Z23&lt;=2000,"",IF($Z23&lt;=4000,IF(N(INDEX(周转筐出入库明细!$I$4:$I$2004,$Z23-2000))=0,"",N(INDEX(周转筐出入库明细!$I$4:$I$2004,$Z23-2000))),IF($Z23&lt;=5200,"",IF($Z23&lt;=5800,IF(ISNUMBER(SEARCH("退",INDEX(次果筐明细!$F$4:$F$603,$Z23-5200)&amp;"")),IF(N(INDEX(次果筐明细!$G$4:$G$603,$Z23-5200))=0,"",N(INDEX(次果筐明细!$G$4:$G$603,$Z23-5200))),""),"")))))</f>
        <v/>
      </c>
      <c r="Q23" s="40" t="str">
        <f>IF($Z23="","",IF($Z23&lt;=2000,"",IF($Z23&lt;=4000,IF(N(INDEX(周转筐出入库明细!$H$4:$H$2004,$Z23-2000))=0,"",N(INDEX(周转筐出入库明细!$H$4:$H$2004,$Z23-2000))),IF($Z23&lt;=5200,IF(N(INDEX(客户自备加工筐明细!$F$4:$F$1203,$Z23-4000))=0,"",N(INDEX(客户自备加工筐明细!$F$4:$F$1203,$Z23-4000))),IF($Z23&lt;=5800,"","")))))</f>
        <v/>
      </c>
      <c r="R23" s="16" t="str">
        <f>IF($Z23="","",IF($Z23&lt;=2000,IF(INDEX(包装物料出入库明细!$O$4:$O$2003,$Z23-0)=0,"",INDEX(包装物料出入库明细!$O$4:$O$2003,$Z23-0)),IF($Z23&lt;=4000,IF(INDEX(周转筐出入库明细!$M$4:$M$2004,$Z23-2000)=0,"",INDEX(周转筐出入库明细!$M$4:$M$2004,$Z23-2000)),IF($Z23&lt;=5200,IF(INDEX(客户自备加工筐明细!$H$4:$H$1203,$Z23-4000)=0,"",INDEX(客户自备加工筐明细!$H$4:$H$1203,$Z23-4000)),IF($Z23&lt;=5800,IF(INDEX(次果筐明细!$H$4:$H$603,$Z23-5200)=0,"",INDEX(次果筐明细!$H$4:$H$603,$Z23-5200)),"")))))</f>
        <v>豫Q*H5591</v>
      </c>
      <c r="S23" s="22" t="str">
        <f t="shared" si="2"/>
        <v/>
      </c>
      <c r="Z23" s="10">
        <f>IFERROR(MATCH(ROW()-3,_自动清单!$CQ$4:$CQ$5803,0),"")</f>
        <v>20</v>
      </c>
    </row>
    <row r="24" spans="1:26">
      <c r="A24" s="24">
        <f t="shared" si="0"/>
        <v>21</v>
      </c>
      <c r="B24" s="38">
        <f>IF($Z24="","",IF($Z24&lt;=2000,IF(INDEX(包装物料出入库明细!$B$4:$B$2003,$Z24-0)=0,"",INDEX(包装物料出入库明细!$B$4:$B$2003,$Z24-0)),IF($Z24&lt;=4000,IF(INDEX(周转筐出入库明细!$B$4:$B$2004,$Z24-2000)=0,"",INDEX(周转筐出入库明细!$B$4:$B$2004,$Z24-2000)),IF($Z24&lt;=5200,IF(INDEX(客户自备加工筐明细!$B$4:$B$1203,$Z24-4000)=0,"",INDEX(客户自备加工筐明细!$B$4:$B$1203,$Z24-4000)),IF($Z24&lt;=5800,IF(INDEX(次果筐明细!$B$4:$B$603,$Z24-5200)=0,"",INDEX(次果筐明细!$B$4:$B$603,$Z24-5200)),"")))))</f>
        <v>46274</v>
      </c>
      <c r="C24" s="37" t="str">
        <f>IF($Z24="","",IF($Z24&lt;=2000,IF(INDEX(包装物料出入库明细!$D$4:$D$2003,$Z24-0)=0,"",INDEX(包装物料出入库明细!$D$4:$D$2003,$Z24-0)),IF($Z24&lt;=4000,IF(INDEX(周转筐出入库明细!$C$4:$C$2004,$Z24-2000)=0,"",INDEX(周转筐出入库明细!$C$4:$C$2004,$Z24-2000)),IF($Z24&lt;=5200,IF(INDEX(客户自备加工筐明细!$E$4:$E$1203,$Z24-4000)=0,"",INDEX(客户自备加工筐明细!$E$4:$E$1203,$Z24-4000)),IF($Z24&lt;=5800,IF(INDEX(次果筐明细!$C$4:$C$603,$Z24-5200)=0,"",INDEX(次果筐明细!$C$4:$C$603,$Z24-5200)),"")))))</f>
        <v>吐尔逊</v>
      </c>
      <c r="D24" s="37" t="str">
        <f>IF($Z24="","",IF($Z24&lt;=2000,"包装物料－"&amp;INDEX(包装物料出入库明细!$H$4:$H$2003,$Z24-0),IF($Z24&lt;=4000,"周转筐－"&amp;INDEX(周转筐出入库明细!$F$4:$F$2004,$Z24-2000),IF($Z24&lt;=5200,"客户自备筐－"&amp;INDEX(客户自备加工筐明细!$J$4:$J$1203,$Z24-4000),IF($Z24&lt;=5800,"次果筐/托盘－"&amp;INDEX(次果筐明细!$F$4:$F$603,$Z24-5200),"")))))</f>
        <v>包装物料－领用出库</v>
      </c>
      <c r="E24" s="24" t="str">
        <f>IF($Z24="","",IF($Z24&lt;=2000,IF(INDEX(包装物料出入库明细!$C$4:$C$2003,$Z24-0)=0,"",INDEX(包装物料出入库明细!$C$4:$C$2003,$Z24-0)),IF($Z24&lt;=4000,IF(INDEX(周转筐出入库明细!$E$4:$E$2004,$Z24-2000)=0,"",INDEX(周转筐出入库明细!$E$4:$E$2004,$Z24-2000)),IF($Z24&lt;=5200,IF(INDEX(客户自备加工筐明细!$D$4:$D$1203,$Z24-4000)=0,"",INDEX(客户自备加工筐明细!$D$4:$D$1203,$Z24-4000)),IF($Z24&lt;=5800,IF(INDEX(次果筐明细!$E$4:$E$603,$Z24-5200)=0,"",INDEX(次果筐明细!$E$4:$E$603,$Z24-5200)),"")))))</f>
        <v>NO:0001099</v>
      </c>
      <c r="F24" s="24" t="str">
        <f>IF($Z24="","",IF($Z24&lt;=2000,IF(INDEX(包装物料出入库明细!$E$4:$E$2003,$Z24-0)=0,"",INDEX(包装物料出入库明细!$E$4:$E$2003,$Z24-0)),IF($Z24&lt;=4000,IF(INDEX(周转筐出入库明细!$D$4:$D$2004,$Z24-2000)=0,"",INDEX(周转筐出入库明细!$D$4:$D$2004,$Z24-2000)),IF($Z24&lt;=5200,IF(INDEX(客户自备加工筐明细!$C$4:$C$1203,$Z24-4000)=0,"",INDEX(客户自备加工筐明细!$C$4:$C$1203,$Z24-4000)),IF($Z24&lt;=5800,IF(INDEX(次果筐明细!$D$4:$D$603,$Z24-5200)=0,"",INDEX(次果筐明细!$D$4:$D$603,$Z24-5200)),"")))))</f>
        <v>香梨网</v>
      </c>
      <c r="G24" s="24" t="str">
        <f>IF($Z24="","",IF($Z24&lt;=2000,IF(INDEX(包装物料出入库明细!$F$4:$F$2003,$Z24-0)=0,"",INDEX(包装物料出入库明细!$F$4:$F$2003,$Z24-0)),IF($Z24&lt;=4000,"",IF($Z24&lt;=5200,"",IF($Z24&lt;=5800,"","")))))</f>
        <v>*包</v>
      </c>
      <c r="H24" s="39">
        <f>IF($Z24="","",IF($Z24&lt;=2000,IF(INDEX(包装物料出入库明细!$L$4:$L$2003,$Z24-0)=0,"",INDEX(包装物料出入库明细!$L$4:$L$2003,$Z24-0)),IF($Z24&lt;=4000,N(INDEX(周转筐出入库明细!$H$4:$H$2004,$Z24-2000))+N(INDEX(周转筐出入库明细!$I$4:$I$2004,$Z24-2000))+N(INDEX(周转筐出入库明细!$J$4:$J$2004,$Z24-2000))+N(INDEX(周转筐出入库明细!$K$4:$K$2004,$Z24-2000)),IF($Z24&lt;=5200,N(INDEX(客户自备加工筐明细!$F$4:$F$1203,$Z24-4000))+N(INDEX(客户自备加工筐明细!$G$4:$G$1203,$Z24-4000)),IF($Z24&lt;=5800,IF(INDEX(次果筐明细!$G$4:$G$603,$Z24-5200)=0,"",INDEX(次果筐明细!$G$4:$G$603,$Z24-5200)),"")))))</f>
        <v>16</v>
      </c>
      <c r="I24" s="24" t="str">
        <f>IF($Z24="","",IF($Z24&lt;=2000,IF(INDEX(包装物料出入库明细!$G$4:$G$2003,$Z24-0)=0,"",INDEX(包装物料出入库明细!$G$4:$G$2003,$Z24-0)),IF($Z24&lt;=4000,"个",IF($Z24&lt;=5200,"个",IF($Z24&lt;=5800,"个","")))))</f>
        <v>包</v>
      </c>
      <c r="J24" s="30" t="str">
        <f t="shared" si="1"/>
        <v/>
      </c>
      <c r="K24" s="30">
        <f>IF($Z24="","",IF($Z24&lt;=2000,IF(INDEX(包装物料出入库明细!$N$4:$N$2003,$Z24-0)=0,"",INDEX(包装物料出入库明细!$N$4:$N$2003,$Z24-0)),IF($Z24&lt;=4000,IF(INDEX(周转筐出入库明细!$P$4:$P$2004,$Z24-2000)=0,"",INDEX(周转筐出入库明细!$P$4:$P$2004,$Z24-2000)),IF($Z24&lt;=5200,"",IF($Z24&lt;=5800,N(INDEX(次果筐明细!$L$4:$L$603,$Z24-5200))+N(INDEX(次果筐明细!$J$4:$J$603,$Z24-5200)),"")))))</f>
        <v>720</v>
      </c>
      <c r="L24" s="24" t="str">
        <f>IF($Z24="","",IF($Z24&lt;=2000,IF(INDEX(包装物料出入库明细!$P$4:$P$2003,$Z24-0)=0,"",INDEX(包装物料出入库明细!$P$4:$P$2003,$Z24-0)),IF($Z24&lt;=4000,IF(INDEX(周转筐出入库明细!$Q$4:$Q$2004,$Z24-2000)=0,"",INDEX(周转筐出入库明细!$Q$4:$Q$2004,$Z24-2000)),IF($Z24&lt;=5200,"",IF($Z24&lt;=5800,IF(INDEX(次果筐明细!$M$4:$M$603,$Z24-5200)=0,"",INDEX(次果筐明细!$M$4:$M$603,$Z24-5200)),"")))))</f>
        <v>未付款</v>
      </c>
      <c r="M24" s="37" t="str">
        <f>IF($Z24="","",IF($Z24&lt;=2000,IF(INDEX(包装物料出入库明细!$R$4:$R$2003,$Z24-0)=0,"",INDEX(包装物料出入库明细!$R$4:$R$2003,$Z24-0)),IF($Z24&lt;=4000,IF(INDEX(周转筐出入库明细!$W$4:$W$2004,$Z24-2000)=0,"",INDEX(周转筐出入库明细!$W$4:$W$2004,$Z24-2000)),IF($Z24&lt;=5200,IF(INDEX(客户自备加工筐明细!$L$4:$L$1203,$Z24-4000)=0,"",INDEX(客户自备加工筐明细!$L$4:$L$1203,$Z24-4000)),IF($Z24&lt;=5800,IF(INDEX(次果筐明细!$P$4:$P$603,$Z24-5200)=0,"",INDEX(次果筐明细!$P$4:$P$603,$Z24-5200)),"")))))</f>
        <v/>
      </c>
      <c r="N24" s="16" t="str">
        <f>IF($Z24="","",IF($Z24&lt;=2000,"",IF($Z24&lt;=4000,IF(INDEX(周转筐出入库明细!$D$4:$D$2004,$Z24-2000)=0,"",INDEX(周转筐出入库明细!$D$4:$D$2004,$Z24-2000)),IF($Z24&lt;=5200,IF(INDEX(客户自备加工筐明细!$C$4:$C$1203,$Z24-4000)=0,"",INDEX(客户自备加工筐明细!$C$4:$C$1203,$Z24-4000)),IF($Z24&lt;=5800,IF(INDEX(次果筐明细!$D$4:$D$603,$Z24-5200)=0,"",INDEX(次果筐明细!$D$4:$D$603,$Z24-5200)),"")))))</f>
        <v/>
      </c>
      <c r="O24" s="40" t="str">
        <f>IF($Z24="","",IF($Z24&lt;=2000,"",IF($Z24&lt;=4000,IF(N(INDEX(周转筐出入库明细!$J$4:$J$2004,$Z24-2000))+N(INDEX(周转筐出入库明细!$K$4:$K$2004,$Z24-2000))=0,"",N(INDEX(周转筐出入库明细!$J$4:$J$2004,$Z24-2000))+N(INDEX(周转筐出入库明细!$K$4:$K$2004,$Z24-2000))),IF($Z24&lt;=5200,IF(N(INDEX(客户自备加工筐明细!$G$4:$G$1203,$Z24-4000))=0,"",N(INDEX(客户自备加工筐明细!$G$4:$G$1203,$Z24-4000))),IF($Z24&lt;=5800,IF(ISNUMBER(SEARCH("退",INDEX(次果筐明细!$F$4:$F$603,$Z24-5200)&amp;"")),"",IF(N(INDEX(次果筐明细!$G$4:$G$603,$Z24-5200))=0,"",N(INDEX(次果筐明细!$G$4:$G$603,$Z24-5200)))),"")))))</f>
        <v/>
      </c>
      <c r="P24" s="40" t="str">
        <f>IF($Z24="","",IF($Z24&lt;=2000,"",IF($Z24&lt;=4000,IF(N(INDEX(周转筐出入库明细!$I$4:$I$2004,$Z24-2000))=0,"",N(INDEX(周转筐出入库明细!$I$4:$I$2004,$Z24-2000))),IF($Z24&lt;=5200,"",IF($Z24&lt;=5800,IF(ISNUMBER(SEARCH("退",INDEX(次果筐明细!$F$4:$F$603,$Z24-5200)&amp;"")),IF(N(INDEX(次果筐明细!$G$4:$G$603,$Z24-5200))=0,"",N(INDEX(次果筐明细!$G$4:$G$603,$Z24-5200))),""),"")))))</f>
        <v/>
      </c>
      <c r="Q24" s="40" t="str">
        <f>IF($Z24="","",IF($Z24&lt;=2000,"",IF($Z24&lt;=4000,IF(N(INDEX(周转筐出入库明细!$H$4:$H$2004,$Z24-2000))=0,"",N(INDEX(周转筐出入库明细!$H$4:$H$2004,$Z24-2000))),IF($Z24&lt;=5200,IF(N(INDEX(客户自备加工筐明细!$F$4:$F$1203,$Z24-4000))=0,"",N(INDEX(客户自备加工筐明细!$F$4:$F$1203,$Z24-4000))),IF($Z24&lt;=5800,"","")))))</f>
        <v/>
      </c>
      <c r="R24" s="16" t="str">
        <f>IF($Z24="","",IF($Z24&lt;=2000,IF(INDEX(包装物料出入库明细!$O$4:$O$2003,$Z24-0)=0,"",INDEX(包装物料出入库明细!$O$4:$O$2003,$Z24-0)),IF($Z24&lt;=4000,IF(INDEX(周转筐出入库明细!$M$4:$M$2004,$Z24-2000)=0,"",INDEX(周转筐出入库明细!$M$4:$M$2004,$Z24-2000)),IF($Z24&lt;=5200,IF(INDEX(客户自备加工筐明细!$H$4:$H$1203,$Z24-4000)=0,"",INDEX(客户自备加工筐明细!$H$4:$H$1203,$Z24-4000)),IF($Z24&lt;=5800,IF(INDEX(次果筐明细!$H$4:$H$603,$Z24-5200)=0,"",INDEX(次果筐明细!$H$4:$H$603,$Z24-5200)),"")))))</f>
        <v>新M*87613</v>
      </c>
      <c r="S24" s="22" t="str">
        <f t="shared" si="2"/>
        <v/>
      </c>
      <c r="Z24" s="10">
        <f>IFERROR(MATCH(ROW()-3,_自动清单!$CQ$4:$CQ$5803,0),"")</f>
        <v>21</v>
      </c>
    </row>
    <row r="25" spans="1:26">
      <c r="A25" s="24">
        <f t="shared" si="0"/>
        <v>22</v>
      </c>
      <c r="B25" s="38">
        <f>IF($Z25="","",IF($Z25&lt;=2000,IF(INDEX(包装物料出入库明细!$B$4:$B$2003,$Z25-0)=0,"",INDEX(包装物料出入库明细!$B$4:$B$2003,$Z25-0)),IF($Z25&lt;=4000,IF(INDEX(周转筐出入库明细!$B$4:$B$2004,$Z25-2000)=0,"",INDEX(周转筐出入库明细!$B$4:$B$2004,$Z25-2000)),IF($Z25&lt;=5200,IF(INDEX(客户自备加工筐明细!$B$4:$B$1203,$Z25-4000)=0,"",INDEX(客户自备加工筐明细!$B$4:$B$1203,$Z25-4000)),IF($Z25&lt;=5800,IF(INDEX(次果筐明细!$B$4:$B$603,$Z25-5200)=0,"",INDEX(次果筐明细!$B$4:$B$603,$Z25-5200)),"")))))</f>
        <v>46274</v>
      </c>
      <c r="C25" s="37" t="str">
        <f>IF($Z25="","",IF($Z25&lt;=2000,IF(INDEX(包装物料出入库明细!$D$4:$D$2003,$Z25-0)=0,"",INDEX(包装物料出入库明细!$D$4:$D$2003,$Z25-0)),IF($Z25&lt;=4000,IF(INDEX(周转筐出入库明细!$C$4:$C$2004,$Z25-2000)=0,"",INDEX(周转筐出入库明细!$C$4:$C$2004,$Z25-2000)),IF($Z25&lt;=5200,IF(INDEX(客户自备加工筐明细!$E$4:$E$1203,$Z25-4000)=0,"",INDEX(客户自备加工筐明细!$E$4:$E$1203,$Z25-4000)),IF($Z25&lt;=5800,IF(INDEX(次果筐明细!$C$4:$C$603,$Z25-5200)=0,"",INDEX(次果筐明细!$C$4:$C$603,$Z25-5200)),"")))))</f>
        <v>吐尔逊</v>
      </c>
      <c r="D25" s="37" t="str">
        <f>IF($Z25="","",IF($Z25&lt;=2000,"包装物料－"&amp;INDEX(包装物料出入库明细!$H$4:$H$2003,$Z25-0),IF($Z25&lt;=4000,"周转筐－"&amp;INDEX(周转筐出入库明细!$F$4:$F$2004,$Z25-2000),IF($Z25&lt;=5200,"客户自备筐－"&amp;INDEX(客户自备加工筐明细!$J$4:$J$1203,$Z25-4000),IF($Z25&lt;=5800,"次果筐/托盘－"&amp;INDEX(次果筐明细!$F$4:$F$603,$Z25-5200),"")))))</f>
        <v>包装物料－领用出库</v>
      </c>
      <c r="E25" s="24" t="str">
        <f>IF($Z25="","",IF($Z25&lt;=2000,IF(INDEX(包装物料出入库明细!$C$4:$C$2003,$Z25-0)=0,"",INDEX(包装物料出入库明细!$C$4:$C$2003,$Z25-0)),IF($Z25&lt;=4000,IF(INDEX(周转筐出入库明细!$E$4:$E$2004,$Z25-2000)=0,"",INDEX(周转筐出入库明细!$E$4:$E$2004,$Z25-2000)),IF($Z25&lt;=5200,IF(INDEX(客户自备加工筐明细!$D$4:$D$1203,$Z25-4000)=0,"",INDEX(客户自备加工筐明细!$D$4:$D$1203,$Z25-4000)),IF($Z25&lt;=5800,IF(INDEX(次果筐明细!$E$4:$E$603,$Z25-5200)=0,"",INDEX(次果筐明细!$E$4:$E$603,$Z25-5200)),"")))))</f>
        <v>NO:0001099</v>
      </c>
      <c r="F25" s="24" t="str">
        <f>IF($Z25="","",IF($Z25&lt;=2000,IF(INDEX(包装物料出入库明细!$E$4:$E$2003,$Z25-0)=0,"",INDEX(包装物料出入库明细!$E$4:$E$2003,$Z25-0)),IF($Z25&lt;=4000,IF(INDEX(周转筐出入库明细!$D$4:$D$2004,$Z25-2000)=0,"",INDEX(周转筐出入库明细!$D$4:$D$2004,$Z25-2000)),IF($Z25&lt;=5200,IF(INDEX(客户自备加工筐明细!$C$4:$C$1203,$Z25-4000)=0,"",INDEX(客户自备加工筐明细!$C$4:$C$1203,$Z25-4000)),IF($Z25&lt;=5800,IF(INDEX(次果筐明细!$D$4:$D$603,$Z25-5200)=0,"",INDEX(次果筐明细!$D$4:$D$603,$Z25-5200)),"")))))</f>
        <v>香梨纸</v>
      </c>
      <c r="G25" s="24" t="str">
        <f>IF($Z25="","",IF($Z25&lt;=2000,IF(INDEX(包装物料出入库明细!$F$4:$F$2003,$Z25-0)=0,"",INDEX(包装物料出入库明细!$F$4:$F$2003,$Z25-0)),IF($Z25&lt;=4000,"",IF($Z25&lt;=5200,"",IF($Z25&lt;=5800,"","")))))</f>
        <v>*捆</v>
      </c>
      <c r="H25" s="39">
        <f>IF($Z25="","",IF($Z25&lt;=2000,IF(INDEX(包装物料出入库明细!$L$4:$L$2003,$Z25-0)=0,"",INDEX(包装物料出入库明细!$L$4:$L$2003,$Z25-0)),IF($Z25&lt;=4000,N(INDEX(周转筐出入库明细!$H$4:$H$2004,$Z25-2000))+N(INDEX(周转筐出入库明细!$I$4:$I$2004,$Z25-2000))+N(INDEX(周转筐出入库明细!$J$4:$J$2004,$Z25-2000))+N(INDEX(周转筐出入库明细!$K$4:$K$2004,$Z25-2000)),IF($Z25&lt;=5200,N(INDEX(客户自备加工筐明细!$F$4:$F$1203,$Z25-4000))+N(INDEX(客户自备加工筐明细!$G$4:$G$1203,$Z25-4000)),IF($Z25&lt;=5800,IF(INDEX(次果筐明细!$G$4:$G$603,$Z25-5200)=0,"",INDEX(次果筐明细!$G$4:$G$603,$Z25-5200)),"")))))</f>
        <v>2</v>
      </c>
      <c r="I25" s="24" t="str">
        <f>IF($Z25="","",IF($Z25&lt;=2000,IF(INDEX(包装物料出入库明细!$G$4:$G$2003,$Z25-0)=0,"",INDEX(包装物料出入库明细!$G$4:$G$2003,$Z25-0)),IF($Z25&lt;=4000,"个",IF($Z25&lt;=5200,"个",IF($Z25&lt;=5800,"个","")))))</f>
        <v>捆</v>
      </c>
      <c r="J25" s="30" t="str">
        <f t="shared" si="1"/>
        <v/>
      </c>
      <c r="K25" s="30">
        <f>IF($Z25="","",IF($Z25&lt;=2000,IF(INDEX(包装物料出入库明细!$N$4:$N$2003,$Z25-0)=0,"",INDEX(包装物料出入库明细!$N$4:$N$2003,$Z25-0)),IF($Z25&lt;=4000,IF(INDEX(周转筐出入库明细!$P$4:$P$2004,$Z25-2000)=0,"",INDEX(周转筐出入库明细!$P$4:$P$2004,$Z25-2000)),IF($Z25&lt;=5200,"",IF($Z25&lt;=5800,N(INDEX(次果筐明细!$L$4:$L$603,$Z25-5200))+N(INDEX(次果筐明细!$J$4:$J$603,$Z25-5200)),"")))))</f>
        <v>120</v>
      </c>
      <c r="L25" s="24" t="str">
        <f>IF($Z25="","",IF($Z25&lt;=2000,IF(INDEX(包装物料出入库明细!$P$4:$P$2003,$Z25-0)=0,"",INDEX(包装物料出入库明细!$P$4:$P$2003,$Z25-0)),IF($Z25&lt;=4000,IF(INDEX(周转筐出入库明细!$Q$4:$Q$2004,$Z25-2000)=0,"",INDEX(周转筐出入库明细!$Q$4:$Q$2004,$Z25-2000)),IF($Z25&lt;=5200,"",IF($Z25&lt;=5800,IF(INDEX(次果筐明细!$M$4:$M$603,$Z25-5200)=0,"",INDEX(次果筐明细!$M$4:$M$603,$Z25-5200)),"")))))</f>
        <v>未付款</v>
      </c>
      <c r="M25" s="37" t="str">
        <f>IF($Z25="","",IF($Z25&lt;=2000,IF(INDEX(包装物料出入库明细!$R$4:$R$2003,$Z25-0)=0,"",INDEX(包装物料出入库明细!$R$4:$R$2003,$Z25-0)),IF($Z25&lt;=4000,IF(INDEX(周转筐出入库明细!$W$4:$W$2004,$Z25-2000)=0,"",INDEX(周转筐出入库明细!$W$4:$W$2004,$Z25-2000)),IF($Z25&lt;=5200,IF(INDEX(客户自备加工筐明细!$L$4:$L$1203,$Z25-4000)=0,"",INDEX(客户自备加工筐明细!$L$4:$L$1203,$Z25-4000)),IF($Z25&lt;=5800,IF(INDEX(次果筐明细!$P$4:$P$603,$Z25-5200)=0,"",INDEX(次果筐明细!$P$4:$P$603,$Z25-5200)),"")))))</f>
        <v/>
      </c>
      <c r="N25" s="16" t="str">
        <f>IF($Z25="","",IF($Z25&lt;=2000,"",IF($Z25&lt;=4000,IF(INDEX(周转筐出入库明细!$D$4:$D$2004,$Z25-2000)=0,"",INDEX(周转筐出入库明细!$D$4:$D$2004,$Z25-2000)),IF($Z25&lt;=5200,IF(INDEX(客户自备加工筐明细!$C$4:$C$1203,$Z25-4000)=0,"",INDEX(客户自备加工筐明细!$C$4:$C$1203,$Z25-4000)),IF($Z25&lt;=5800,IF(INDEX(次果筐明细!$D$4:$D$603,$Z25-5200)=0,"",INDEX(次果筐明细!$D$4:$D$603,$Z25-5200)),"")))))</f>
        <v/>
      </c>
      <c r="O25" s="40" t="str">
        <f>IF($Z25="","",IF($Z25&lt;=2000,"",IF($Z25&lt;=4000,IF(N(INDEX(周转筐出入库明细!$J$4:$J$2004,$Z25-2000))+N(INDEX(周转筐出入库明细!$K$4:$K$2004,$Z25-2000))=0,"",N(INDEX(周转筐出入库明细!$J$4:$J$2004,$Z25-2000))+N(INDEX(周转筐出入库明细!$K$4:$K$2004,$Z25-2000))),IF($Z25&lt;=5200,IF(N(INDEX(客户自备加工筐明细!$G$4:$G$1203,$Z25-4000))=0,"",N(INDEX(客户自备加工筐明细!$G$4:$G$1203,$Z25-4000))),IF($Z25&lt;=5800,IF(ISNUMBER(SEARCH("退",INDEX(次果筐明细!$F$4:$F$603,$Z25-5200)&amp;"")),"",IF(N(INDEX(次果筐明细!$G$4:$G$603,$Z25-5200))=0,"",N(INDEX(次果筐明细!$G$4:$G$603,$Z25-5200)))),"")))))</f>
        <v/>
      </c>
      <c r="P25" s="40" t="str">
        <f>IF($Z25="","",IF($Z25&lt;=2000,"",IF($Z25&lt;=4000,IF(N(INDEX(周转筐出入库明细!$I$4:$I$2004,$Z25-2000))=0,"",N(INDEX(周转筐出入库明细!$I$4:$I$2004,$Z25-2000))),IF($Z25&lt;=5200,"",IF($Z25&lt;=5800,IF(ISNUMBER(SEARCH("退",INDEX(次果筐明细!$F$4:$F$603,$Z25-5200)&amp;"")),IF(N(INDEX(次果筐明细!$G$4:$G$603,$Z25-5200))=0,"",N(INDEX(次果筐明细!$G$4:$G$603,$Z25-5200))),""),"")))))</f>
        <v/>
      </c>
      <c r="Q25" s="40" t="str">
        <f>IF($Z25="","",IF($Z25&lt;=2000,"",IF($Z25&lt;=4000,IF(N(INDEX(周转筐出入库明细!$H$4:$H$2004,$Z25-2000))=0,"",N(INDEX(周转筐出入库明细!$H$4:$H$2004,$Z25-2000))),IF($Z25&lt;=5200,IF(N(INDEX(客户自备加工筐明细!$F$4:$F$1203,$Z25-4000))=0,"",N(INDEX(客户自备加工筐明细!$F$4:$F$1203,$Z25-4000))),IF($Z25&lt;=5800,"","")))))</f>
        <v/>
      </c>
      <c r="R25" s="16" t="str">
        <f>IF($Z25="","",IF($Z25&lt;=2000,IF(INDEX(包装物料出入库明细!$O$4:$O$2003,$Z25-0)=0,"",INDEX(包装物料出入库明细!$O$4:$O$2003,$Z25-0)),IF($Z25&lt;=4000,IF(INDEX(周转筐出入库明细!$M$4:$M$2004,$Z25-2000)=0,"",INDEX(周转筐出入库明细!$M$4:$M$2004,$Z25-2000)),IF($Z25&lt;=5200,IF(INDEX(客户自备加工筐明细!$H$4:$H$1203,$Z25-4000)=0,"",INDEX(客户自备加工筐明细!$H$4:$H$1203,$Z25-4000)),IF($Z25&lt;=5800,IF(INDEX(次果筐明细!$H$4:$H$603,$Z25-5200)=0,"",INDEX(次果筐明细!$H$4:$H$603,$Z25-5200)),"")))))</f>
        <v>新M*87613</v>
      </c>
      <c r="S25" s="22" t="str">
        <f t="shared" si="2"/>
        <v/>
      </c>
      <c r="Z25" s="10">
        <f>IFERROR(MATCH(ROW()-3,_自动清单!$CQ$4:$CQ$5803,0),"")</f>
        <v>22</v>
      </c>
    </row>
    <row r="26" spans="1:26">
      <c r="A26" s="24">
        <f t="shared" si="0"/>
        <v>23</v>
      </c>
      <c r="B26" s="38">
        <f>IF($Z26="","",IF($Z26&lt;=2000,IF(INDEX(包装物料出入库明细!$B$4:$B$2003,$Z26-0)=0,"",INDEX(包装物料出入库明细!$B$4:$B$2003,$Z26-0)),IF($Z26&lt;=4000,IF(INDEX(周转筐出入库明细!$B$4:$B$2004,$Z26-2000)=0,"",INDEX(周转筐出入库明细!$B$4:$B$2004,$Z26-2000)),IF($Z26&lt;=5200,IF(INDEX(客户自备加工筐明细!$B$4:$B$1203,$Z26-4000)=0,"",INDEX(客户自备加工筐明细!$B$4:$B$1203,$Z26-4000)),IF($Z26&lt;=5800,IF(INDEX(次果筐明细!$B$4:$B$603,$Z26-5200)=0,"",INDEX(次果筐明细!$B$4:$B$603,$Z26-5200)),"")))))</f>
        <v>46274</v>
      </c>
      <c r="C26" s="37" t="str">
        <f>IF($Z26="","",IF($Z26&lt;=2000,IF(INDEX(包装物料出入库明细!$D$4:$D$2003,$Z26-0)=0,"",INDEX(包装物料出入库明细!$D$4:$D$2003,$Z26-0)),IF($Z26&lt;=4000,IF(INDEX(周转筐出入库明细!$C$4:$C$2004,$Z26-2000)=0,"",INDEX(周转筐出入库明细!$C$4:$C$2004,$Z26-2000)),IF($Z26&lt;=5200,IF(INDEX(客户自备加工筐明细!$E$4:$E$1203,$Z26-4000)=0,"",INDEX(客户自备加工筐明细!$E$4:$E$1203,$Z26-4000)),IF($Z26&lt;=5800,IF(INDEX(次果筐明细!$C$4:$C$603,$Z26-5200)=0,"",INDEX(次果筐明细!$C$4:$C$603,$Z26-5200)),"")))))</f>
        <v>吐尔洪</v>
      </c>
      <c r="D26" s="37" t="str">
        <f>IF($Z26="","",IF($Z26&lt;=2000,"包装物料－"&amp;INDEX(包装物料出入库明细!$H$4:$H$2003,$Z26-0),IF($Z26&lt;=4000,"周转筐－"&amp;INDEX(周转筐出入库明细!$F$4:$F$2004,$Z26-2000),IF($Z26&lt;=5200,"客户自备筐－"&amp;INDEX(客户自备加工筐明细!$J$4:$J$1203,$Z26-4000),IF($Z26&lt;=5800,"次果筐/托盘－"&amp;INDEX(次果筐明细!$F$4:$F$603,$Z26-5200),"")))))</f>
        <v>包装物料－领用出库</v>
      </c>
      <c r="E26" s="24" t="str">
        <f>IF($Z26="","",IF($Z26&lt;=2000,IF(INDEX(包装物料出入库明细!$C$4:$C$2003,$Z26-0)=0,"",INDEX(包装物料出入库明细!$C$4:$C$2003,$Z26-0)),IF($Z26&lt;=4000,IF(INDEX(周转筐出入库明细!$E$4:$E$2004,$Z26-2000)=0,"",INDEX(周转筐出入库明细!$E$4:$E$2004,$Z26-2000)),IF($Z26&lt;=5200,IF(INDEX(客户自备加工筐明细!$D$4:$D$1203,$Z26-4000)=0,"",INDEX(客户自备加工筐明细!$D$4:$D$1203,$Z26-4000)),IF($Z26&lt;=5800,IF(INDEX(次果筐明细!$E$4:$E$603,$Z26-5200)=0,"",INDEX(次果筐明细!$E$4:$E$603,$Z26-5200)),"")))))</f>
        <v>NO:0001100</v>
      </c>
      <c r="F26" s="24" t="str">
        <f>IF($Z26="","",IF($Z26&lt;=2000,IF(INDEX(包装物料出入库明细!$E$4:$E$2003,$Z26-0)=0,"",INDEX(包装物料出入库明细!$E$4:$E$2003,$Z26-0)),IF($Z26&lt;=4000,IF(INDEX(周转筐出入库明细!$D$4:$D$2004,$Z26-2000)=0,"",INDEX(周转筐出入库明细!$D$4:$D$2004,$Z26-2000)),IF($Z26&lt;=5200,IF(INDEX(客户自备加工筐明细!$C$4:$C$1203,$Z26-4000)=0,"",INDEX(客户自备加工筐明细!$C$4:$C$1203,$Z26-4000)),IF($Z26&lt;=5800,IF(INDEX(次果筐明细!$D$4:$D$603,$Z26-5200)=0,"",INDEX(次果筐明细!$D$4:$D$603,$Z26-5200)),"")))))</f>
        <v>香梨网</v>
      </c>
      <c r="G26" s="24" t="str">
        <f>IF($Z26="","",IF($Z26&lt;=2000,IF(INDEX(包装物料出入库明细!$F$4:$F$2003,$Z26-0)=0,"",INDEX(包装物料出入库明细!$F$4:$F$2003,$Z26-0)),IF($Z26&lt;=4000,"",IF($Z26&lt;=5200,"",IF($Z26&lt;=5800,"","")))))</f>
        <v>*包</v>
      </c>
      <c r="H26" s="39">
        <f>IF($Z26="","",IF($Z26&lt;=2000,IF(INDEX(包装物料出入库明细!$L$4:$L$2003,$Z26-0)=0,"",INDEX(包装物料出入库明细!$L$4:$L$2003,$Z26-0)),IF($Z26&lt;=4000,N(INDEX(周转筐出入库明细!$H$4:$H$2004,$Z26-2000))+N(INDEX(周转筐出入库明细!$I$4:$I$2004,$Z26-2000))+N(INDEX(周转筐出入库明细!$J$4:$J$2004,$Z26-2000))+N(INDEX(周转筐出入库明细!$K$4:$K$2004,$Z26-2000)),IF($Z26&lt;=5200,N(INDEX(客户自备加工筐明细!$F$4:$F$1203,$Z26-4000))+N(INDEX(客户自备加工筐明细!$G$4:$G$1203,$Z26-4000)),IF($Z26&lt;=5800,IF(INDEX(次果筐明细!$G$4:$G$603,$Z26-5200)=0,"",INDEX(次果筐明细!$G$4:$G$603,$Z26-5200)),"")))))</f>
        <v>12</v>
      </c>
      <c r="I26" s="24" t="str">
        <f>IF($Z26="","",IF($Z26&lt;=2000,IF(INDEX(包装物料出入库明细!$G$4:$G$2003,$Z26-0)=0,"",INDEX(包装物料出入库明细!$G$4:$G$2003,$Z26-0)),IF($Z26&lt;=4000,"个",IF($Z26&lt;=5200,"个",IF($Z26&lt;=5800,"个","")))))</f>
        <v>包</v>
      </c>
      <c r="J26" s="30" t="str">
        <f t="shared" si="1"/>
        <v/>
      </c>
      <c r="K26" s="30">
        <f>IF($Z26="","",IF($Z26&lt;=2000,IF(INDEX(包装物料出入库明细!$N$4:$N$2003,$Z26-0)=0,"",INDEX(包装物料出入库明细!$N$4:$N$2003,$Z26-0)),IF($Z26&lt;=4000,IF(INDEX(周转筐出入库明细!$P$4:$P$2004,$Z26-2000)=0,"",INDEX(周转筐出入库明细!$P$4:$P$2004,$Z26-2000)),IF($Z26&lt;=5200,"",IF($Z26&lt;=5800,N(INDEX(次果筐明细!$L$4:$L$603,$Z26-5200))+N(INDEX(次果筐明细!$J$4:$J$603,$Z26-5200)),"")))))</f>
        <v>540</v>
      </c>
      <c r="L26" s="24" t="str">
        <f>IF($Z26="","",IF($Z26&lt;=2000,IF(INDEX(包装物料出入库明细!$P$4:$P$2003,$Z26-0)=0,"",INDEX(包装物料出入库明细!$P$4:$P$2003,$Z26-0)),IF($Z26&lt;=4000,IF(INDEX(周转筐出入库明细!$Q$4:$Q$2004,$Z26-2000)=0,"",INDEX(周转筐出入库明细!$Q$4:$Q$2004,$Z26-2000)),IF($Z26&lt;=5200,"",IF($Z26&lt;=5800,IF(INDEX(次果筐明细!$M$4:$M$603,$Z26-5200)=0,"",INDEX(次果筐明细!$M$4:$M$603,$Z26-5200)),"")))))</f>
        <v>未付款</v>
      </c>
      <c r="M26" s="37" t="str">
        <f>IF($Z26="","",IF($Z26&lt;=2000,IF(INDEX(包装物料出入库明细!$R$4:$R$2003,$Z26-0)=0,"",INDEX(包装物料出入库明细!$R$4:$R$2003,$Z26-0)),IF($Z26&lt;=4000,IF(INDEX(周转筐出入库明细!$W$4:$W$2004,$Z26-2000)=0,"",INDEX(周转筐出入库明细!$W$4:$W$2004,$Z26-2000)),IF($Z26&lt;=5200,IF(INDEX(客户自备加工筐明细!$L$4:$L$1203,$Z26-4000)=0,"",INDEX(客户自备加工筐明细!$L$4:$L$1203,$Z26-4000)),IF($Z26&lt;=5800,IF(INDEX(次果筐明细!$P$4:$P$603,$Z26-5200)=0,"",INDEX(次果筐明细!$P$4:$P$603,$Z26-5200)),"")))))</f>
        <v/>
      </c>
      <c r="N26" s="16" t="str">
        <f>IF($Z26="","",IF($Z26&lt;=2000,"",IF($Z26&lt;=4000,IF(INDEX(周转筐出入库明细!$D$4:$D$2004,$Z26-2000)=0,"",INDEX(周转筐出入库明细!$D$4:$D$2004,$Z26-2000)),IF($Z26&lt;=5200,IF(INDEX(客户自备加工筐明细!$C$4:$C$1203,$Z26-4000)=0,"",INDEX(客户自备加工筐明细!$C$4:$C$1203,$Z26-4000)),IF($Z26&lt;=5800,IF(INDEX(次果筐明细!$D$4:$D$603,$Z26-5200)=0,"",INDEX(次果筐明细!$D$4:$D$603,$Z26-5200)),"")))))</f>
        <v/>
      </c>
      <c r="O26" s="40" t="str">
        <f>IF($Z26="","",IF($Z26&lt;=2000,"",IF($Z26&lt;=4000,IF(N(INDEX(周转筐出入库明细!$J$4:$J$2004,$Z26-2000))+N(INDEX(周转筐出入库明细!$K$4:$K$2004,$Z26-2000))=0,"",N(INDEX(周转筐出入库明细!$J$4:$J$2004,$Z26-2000))+N(INDEX(周转筐出入库明细!$K$4:$K$2004,$Z26-2000))),IF($Z26&lt;=5200,IF(N(INDEX(客户自备加工筐明细!$G$4:$G$1203,$Z26-4000))=0,"",N(INDEX(客户自备加工筐明细!$G$4:$G$1203,$Z26-4000))),IF($Z26&lt;=5800,IF(ISNUMBER(SEARCH("退",INDEX(次果筐明细!$F$4:$F$603,$Z26-5200)&amp;"")),"",IF(N(INDEX(次果筐明细!$G$4:$G$603,$Z26-5200))=0,"",N(INDEX(次果筐明细!$G$4:$G$603,$Z26-5200)))),"")))))</f>
        <v/>
      </c>
      <c r="P26" s="40" t="str">
        <f>IF($Z26="","",IF($Z26&lt;=2000,"",IF($Z26&lt;=4000,IF(N(INDEX(周转筐出入库明细!$I$4:$I$2004,$Z26-2000))=0,"",N(INDEX(周转筐出入库明细!$I$4:$I$2004,$Z26-2000))),IF($Z26&lt;=5200,"",IF($Z26&lt;=5800,IF(ISNUMBER(SEARCH("退",INDEX(次果筐明细!$F$4:$F$603,$Z26-5200)&amp;"")),IF(N(INDEX(次果筐明细!$G$4:$G$603,$Z26-5200))=0,"",N(INDEX(次果筐明细!$G$4:$G$603,$Z26-5200))),""),"")))))</f>
        <v/>
      </c>
      <c r="Q26" s="40" t="str">
        <f>IF($Z26="","",IF($Z26&lt;=2000,"",IF($Z26&lt;=4000,IF(N(INDEX(周转筐出入库明细!$H$4:$H$2004,$Z26-2000))=0,"",N(INDEX(周转筐出入库明细!$H$4:$H$2004,$Z26-2000))),IF($Z26&lt;=5200,IF(N(INDEX(客户自备加工筐明细!$F$4:$F$1203,$Z26-4000))=0,"",N(INDEX(客户自备加工筐明细!$F$4:$F$1203,$Z26-4000))),IF($Z26&lt;=5800,"","")))))</f>
        <v/>
      </c>
      <c r="R26" s="16" t="str">
        <f>IF($Z26="","",IF($Z26&lt;=2000,IF(INDEX(包装物料出入库明细!$O$4:$O$2003,$Z26-0)=0,"",INDEX(包装物料出入库明细!$O$4:$O$2003,$Z26-0)),IF($Z26&lt;=4000,IF(INDEX(周转筐出入库明细!$M$4:$M$2004,$Z26-2000)=0,"",INDEX(周转筐出入库明细!$M$4:$M$2004,$Z26-2000)),IF($Z26&lt;=5200,IF(INDEX(客户自备加工筐明细!$H$4:$H$1203,$Z26-4000)=0,"",INDEX(客户自备加工筐明细!$H$4:$H$1203,$Z26-4000)),IF($Z26&lt;=5800,IF(INDEX(次果筐明细!$H$4:$H$603,$Z26-5200)=0,"",INDEX(次果筐明细!$H$4:$H$603,$Z26-5200)),"")))))</f>
        <v>新N*X8S48</v>
      </c>
      <c r="S26" s="22" t="str">
        <f t="shared" si="2"/>
        <v/>
      </c>
      <c r="Z26" s="10">
        <f>IFERROR(MATCH(ROW()-3,_自动清单!$CQ$4:$CQ$5803,0),"")</f>
        <v>23</v>
      </c>
    </row>
    <row r="27" spans="1:26">
      <c r="A27" s="24">
        <f t="shared" si="0"/>
        <v>24</v>
      </c>
      <c r="B27" s="38">
        <f>IF($Z27="","",IF($Z27&lt;=2000,IF(INDEX(包装物料出入库明细!$B$4:$B$2003,$Z27-0)=0,"",INDEX(包装物料出入库明细!$B$4:$B$2003,$Z27-0)),IF($Z27&lt;=4000,IF(INDEX(周转筐出入库明细!$B$4:$B$2004,$Z27-2000)=0,"",INDEX(周转筐出入库明细!$B$4:$B$2004,$Z27-2000)),IF($Z27&lt;=5200,IF(INDEX(客户自备加工筐明细!$B$4:$B$1203,$Z27-4000)=0,"",INDEX(客户自备加工筐明细!$B$4:$B$1203,$Z27-4000)),IF($Z27&lt;=5800,IF(INDEX(次果筐明细!$B$4:$B$603,$Z27-5200)=0,"",INDEX(次果筐明细!$B$4:$B$603,$Z27-5200)),"")))))</f>
        <v>46274</v>
      </c>
      <c r="C27" s="37" t="str">
        <f>IF($Z27="","",IF($Z27&lt;=2000,IF(INDEX(包装物料出入库明细!$D$4:$D$2003,$Z27-0)=0,"",INDEX(包装物料出入库明细!$D$4:$D$2003,$Z27-0)),IF($Z27&lt;=4000,IF(INDEX(周转筐出入库明细!$C$4:$C$2004,$Z27-2000)=0,"",INDEX(周转筐出入库明细!$C$4:$C$2004,$Z27-2000)),IF($Z27&lt;=5200,IF(INDEX(客户自备加工筐明细!$E$4:$E$1203,$Z27-4000)=0,"",INDEX(客户自备加工筐明细!$E$4:$E$1203,$Z27-4000)),IF($Z27&lt;=5800,IF(INDEX(次果筐明细!$C$4:$C$603,$Z27-5200)=0,"",INDEX(次果筐明细!$C$4:$C$603,$Z27-5200)),"")))))</f>
        <v>荆建君</v>
      </c>
      <c r="D27" s="37" t="str">
        <f>IF($Z27="","",IF($Z27&lt;=2000,"包装物料－"&amp;INDEX(包装物料出入库明细!$H$4:$H$2003,$Z27-0),IF($Z27&lt;=4000,"周转筐－"&amp;INDEX(周转筐出入库明细!$F$4:$F$2004,$Z27-2000),IF($Z27&lt;=5200,"客户自备筐－"&amp;INDEX(客户自备加工筐明细!$J$4:$J$1203,$Z27-4000),IF($Z27&lt;=5800,"次果筐/托盘－"&amp;INDEX(次果筐明细!$F$4:$F$603,$Z27-5200),"")))))</f>
        <v>包装物料－领用出库</v>
      </c>
      <c r="E27" s="24" t="str">
        <f>IF($Z27="","",IF($Z27&lt;=2000,IF(INDEX(包装物料出入库明细!$C$4:$C$2003,$Z27-0)=0,"",INDEX(包装物料出入库明细!$C$4:$C$2003,$Z27-0)),IF($Z27&lt;=4000,IF(INDEX(周转筐出入库明细!$E$4:$E$2004,$Z27-2000)=0,"",INDEX(周转筐出入库明细!$E$4:$E$2004,$Z27-2000)),IF($Z27&lt;=5200,IF(INDEX(客户自备加工筐明细!$D$4:$D$1203,$Z27-4000)=0,"",INDEX(客户自备加工筐明细!$D$4:$D$1203,$Z27-4000)),IF($Z27&lt;=5800,IF(INDEX(次果筐明细!$E$4:$E$603,$Z27-5200)=0,"",INDEX(次果筐明细!$E$4:$E$603,$Z27-5200)),"")))))</f>
        <v>NO:0001105</v>
      </c>
      <c r="F27" s="24" t="str">
        <f>IF($Z27="","",IF($Z27&lt;=2000,IF(INDEX(包装物料出入库明细!$E$4:$E$2003,$Z27-0)=0,"",INDEX(包装物料出入库明细!$E$4:$E$2003,$Z27-0)),IF($Z27&lt;=4000,IF(INDEX(周转筐出入库明细!$D$4:$D$2004,$Z27-2000)=0,"",INDEX(周转筐出入库明细!$D$4:$D$2004,$Z27-2000)),IF($Z27&lt;=5200,IF(INDEX(客户自备加工筐明细!$C$4:$C$1203,$Z27-4000)=0,"",INDEX(客户自备加工筐明细!$C$4:$C$1203,$Z27-4000)),IF($Z27&lt;=5800,IF(INDEX(次果筐明细!$D$4:$D$603,$Z27-5200)=0,"",INDEX(次果筐明细!$D$4:$D$603,$Z27-5200)),"")))))</f>
        <v>香梨网</v>
      </c>
      <c r="G27" s="24" t="str">
        <f>IF($Z27="","",IF($Z27&lt;=2000,IF(INDEX(包装物料出入库明细!$F$4:$F$2003,$Z27-0)=0,"",INDEX(包装物料出入库明细!$F$4:$F$2003,$Z27-0)),IF($Z27&lt;=4000,"",IF($Z27&lt;=5200,"",IF($Z27&lt;=5800,"","")))))</f>
        <v>*包</v>
      </c>
      <c r="H27" s="39">
        <f>IF($Z27="","",IF($Z27&lt;=2000,IF(INDEX(包装物料出入库明细!$L$4:$L$2003,$Z27-0)=0,"",INDEX(包装物料出入库明细!$L$4:$L$2003,$Z27-0)),IF($Z27&lt;=4000,N(INDEX(周转筐出入库明细!$H$4:$H$2004,$Z27-2000))+N(INDEX(周转筐出入库明细!$I$4:$I$2004,$Z27-2000))+N(INDEX(周转筐出入库明细!$J$4:$J$2004,$Z27-2000))+N(INDEX(周转筐出入库明细!$K$4:$K$2004,$Z27-2000)),IF($Z27&lt;=5200,N(INDEX(客户自备加工筐明细!$F$4:$F$1203,$Z27-4000))+N(INDEX(客户自备加工筐明细!$G$4:$G$1203,$Z27-4000)),IF($Z27&lt;=5800,IF(INDEX(次果筐明细!$G$4:$G$603,$Z27-5200)=0,"",INDEX(次果筐明细!$G$4:$G$603,$Z27-5200)),"")))))</f>
        <v>48</v>
      </c>
      <c r="I27" s="24" t="str">
        <f>IF($Z27="","",IF($Z27&lt;=2000,IF(INDEX(包装物料出入库明细!$G$4:$G$2003,$Z27-0)=0,"",INDEX(包装物料出入库明细!$G$4:$G$2003,$Z27-0)),IF($Z27&lt;=4000,"个",IF($Z27&lt;=5200,"个",IF($Z27&lt;=5800,"个","")))))</f>
        <v>包</v>
      </c>
      <c r="J27" s="30" t="str">
        <f t="shared" si="1"/>
        <v/>
      </c>
      <c r="K27" s="30">
        <f>IF($Z27="","",IF($Z27&lt;=2000,IF(INDEX(包装物料出入库明细!$N$4:$N$2003,$Z27-0)=0,"",INDEX(包装物料出入库明细!$N$4:$N$2003,$Z27-0)),IF($Z27&lt;=4000,IF(INDEX(周转筐出入库明细!$P$4:$P$2004,$Z27-2000)=0,"",INDEX(周转筐出入库明细!$P$4:$P$2004,$Z27-2000)),IF($Z27&lt;=5200,"",IF($Z27&lt;=5800,N(INDEX(次果筐明细!$L$4:$L$603,$Z27-5200))+N(INDEX(次果筐明细!$J$4:$J$603,$Z27-5200)),"")))))</f>
        <v>2160</v>
      </c>
      <c r="L27" s="24" t="str">
        <f>IF($Z27="","",IF($Z27&lt;=2000,IF(INDEX(包装物料出入库明细!$P$4:$P$2003,$Z27-0)=0,"",INDEX(包装物料出入库明细!$P$4:$P$2003,$Z27-0)),IF($Z27&lt;=4000,IF(INDEX(周转筐出入库明细!$Q$4:$Q$2004,$Z27-2000)=0,"",INDEX(周转筐出入库明细!$Q$4:$Q$2004,$Z27-2000)),IF($Z27&lt;=5200,"",IF($Z27&lt;=5800,IF(INDEX(次果筐明细!$M$4:$M$603,$Z27-5200)=0,"",INDEX(次果筐明细!$M$4:$M$603,$Z27-5200)),"")))))</f>
        <v>未付款</v>
      </c>
      <c r="M27" s="37" t="str">
        <f>IF($Z27="","",IF($Z27&lt;=2000,IF(INDEX(包装物料出入库明细!$R$4:$R$2003,$Z27-0)=0,"",INDEX(包装物料出入库明细!$R$4:$R$2003,$Z27-0)),IF($Z27&lt;=4000,IF(INDEX(周转筐出入库明细!$W$4:$W$2004,$Z27-2000)=0,"",INDEX(周转筐出入库明细!$W$4:$W$2004,$Z27-2000)),IF($Z27&lt;=5200,IF(INDEX(客户自备加工筐明细!$L$4:$L$1203,$Z27-4000)=0,"",INDEX(客户自备加工筐明细!$L$4:$L$1203,$Z27-4000)),IF($Z27&lt;=5800,IF(INDEX(次果筐明细!$P$4:$P$603,$Z27-5200)=0,"",INDEX(次果筐明细!$P$4:$P$603,$Z27-5200)),"")))))</f>
        <v/>
      </c>
      <c r="N27" s="16" t="str">
        <f>IF($Z27="","",IF($Z27&lt;=2000,"",IF($Z27&lt;=4000,IF(INDEX(周转筐出入库明细!$D$4:$D$2004,$Z27-2000)=0,"",INDEX(周转筐出入库明细!$D$4:$D$2004,$Z27-2000)),IF($Z27&lt;=5200,IF(INDEX(客户自备加工筐明细!$C$4:$C$1203,$Z27-4000)=0,"",INDEX(客户自备加工筐明细!$C$4:$C$1203,$Z27-4000)),IF($Z27&lt;=5800,IF(INDEX(次果筐明细!$D$4:$D$603,$Z27-5200)=0,"",INDEX(次果筐明细!$D$4:$D$603,$Z27-5200)),"")))))</f>
        <v/>
      </c>
      <c r="O27" s="40" t="str">
        <f>IF($Z27="","",IF($Z27&lt;=2000,"",IF($Z27&lt;=4000,IF(N(INDEX(周转筐出入库明细!$J$4:$J$2004,$Z27-2000))+N(INDEX(周转筐出入库明细!$K$4:$K$2004,$Z27-2000))=0,"",N(INDEX(周转筐出入库明细!$J$4:$J$2004,$Z27-2000))+N(INDEX(周转筐出入库明细!$K$4:$K$2004,$Z27-2000))),IF($Z27&lt;=5200,IF(N(INDEX(客户自备加工筐明细!$G$4:$G$1203,$Z27-4000))=0,"",N(INDEX(客户自备加工筐明细!$G$4:$G$1203,$Z27-4000))),IF($Z27&lt;=5800,IF(ISNUMBER(SEARCH("退",INDEX(次果筐明细!$F$4:$F$603,$Z27-5200)&amp;"")),"",IF(N(INDEX(次果筐明细!$G$4:$G$603,$Z27-5200))=0,"",N(INDEX(次果筐明细!$G$4:$G$603,$Z27-5200)))),"")))))</f>
        <v/>
      </c>
      <c r="P27" s="40" t="str">
        <f>IF($Z27="","",IF($Z27&lt;=2000,"",IF($Z27&lt;=4000,IF(N(INDEX(周转筐出入库明细!$I$4:$I$2004,$Z27-2000))=0,"",N(INDEX(周转筐出入库明细!$I$4:$I$2004,$Z27-2000))),IF($Z27&lt;=5200,"",IF($Z27&lt;=5800,IF(ISNUMBER(SEARCH("退",INDEX(次果筐明细!$F$4:$F$603,$Z27-5200)&amp;"")),IF(N(INDEX(次果筐明细!$G$4:$G$603,$Z27-5200))=0,"",N(INDEX(次果筐明细!$G$4:$G$603,$Z27-5200))),""),"")))))</f>
        <v/>
      </c>
      <c r="Q27" s="40" t="str">
        <f>IF($Z27="","",IF($Z27&lt;=2000,"",IF($Z27&lt;=4000,IF(N(INDEX(周转筐出入库明细!$H$4:$H$2004,$Z27-2000))=0,"",N(INDEX(周转筐出入库明细!$H$4:$H$2004,$Z27-2000))),IF($Z27&lt;=5200,IF(N(INDEX(客户自备加工筐明细!$F$4:$F$1203,$Z27-4000))=0,"",N(INDEX(客户自备加工筐明细!$F$4:$F$1203,$Z27-4000))),IF($Z27&lt;=5800,"","")))))</f>
        <v/>
      </c>
      <c r="R27" s="16" t="str">
        <f>IF($Z27="","",IF($Z27&lt;=2000,IF(INDEX(包装物料出入库明细!$O$4:$O$2003,$Z27-0)=0,"",INDEX(包装物料出入库明细!$O$4:$O$2003,$Z27-0)),IF($Z27&lt;=4000,IF(INDEX(周转筐出入库明细!$M$4:$M$2004,$Z27-2000)=0,"",INDEX(周转筐出入库明细!$M$4:$M$2004,$Z27-2000)),IF($Z27&lt;=5200,IF(INDEX(客户自备加工筐明细!$H$4:$H$1203,$Z27-4000)=0,"",INDEX(客户自备加工筐明细!$H$4:$H$1203,$Z27-4000)),IF($Z27&lt;=5800,IF(INDEX(次果筐明细!$H$4:$H$603,$Z27-5200)=0,"",INDEX(次果筐明细!$H$4:$H$603,$Z27-5200)),"")))))</f>
        <v>豫A*2737K</v>
      </c>
      <c r="S27" s="22" t="str">
        <f t="shared" si="2"/>
        <v/>
      </c>
      <c r="Z27" s="10">
        <f>IFERROR(MATCH(ROW()-3,_自动清单!$CQ$4:$CQ$5803,0),"")</f>
        <v>24</v>
      </c>
    </row>
    <row r="28" spans="1:26">
      <c r="A28" s="24">
        <f t="shared" si="0"/>
        <v>25</v>
      </c>
      <c r="B28" s="38">
        <f>IF($Z28="","",IF($Z28&lt;=2000,IF(INDEX(包装物料出入库明细!$B$4:$B$2003,$Z28-0)=0,"",INDEX(包装物料出入库明细!$B$4:$B$2003,$Z28-0)),IF($Z28&lt;=4000,IF(INDEX(周转筐出入库明细!$B$4:$B$2004,$Z28-2000)=0,"",INDEX(周转筐出入库明细!$B$4:$B$2004,$Z28-2000)),IF($Z28&lt;=5200,IF(INDEX(客户自备加工筐明细!$B$4:$B$1203,$Z28-4000)=0,"",INDEX(客户自备加工筐明细!$B$4:$B$1203,$Z28-4000)),IF($Z28&lt;=5800,IF(INDEX(次果筐明细!$B$4:$B$603,$Z28-5200)=0,"",INDEX(次果筐明细!$B$4:$B$603,$Z28-5200)),"")))))</f>
        <v>46274</v>
      </c>
      <c r="C28" s="37" t="str">
        <f>IF($Z28="","",IF($Z28&lt;=2000,IF(INDEX(包装物料出入库明细!$D$4:$D$2003,$Z28-0)=0,"",INDEX(包装物料出入库明细!$D$4:$D$2003,$Z28-0)),IF($Z28&lt;=4000,IF(INDEX(周转筐出入库明细!$C$4:$C$2004,$Z28-2000)=0,"",INDEX(周转筐出入库明细!$C$4:$C$2004,$Z28-2000)),IF($Z28&lt;=5200,IF(INDEX(客户自备加工筐明细!$E$4:$E$1203,$Z28-4000)=0,"",INDEX(客户自备加工筐明细!$E$4:$E$1203,$Z28-4000)),IF($Z28&lt;=5800,IF(INDEX(次果筐明细!$C$4:$C$603,$Z28-5200)=0,"",INDEX(次果筐明细!$C$4:$C$603,$Z28-5200)),"")))))</f>
        <v>麦麦提</v>
      </c>
      <c r="D28" s="37" t="str">
        <f>IF($Z28="","",IF($Z28&lt;=2000,"包装物料－"&amp;INDEX(包装物料出入库明细!$H$4:$H$2003,$Z28-0),IF($Z28&lt;=4000,"周转筐－"&amp;INDEX(周转筐出入库明细!$F$4:$F$2004,$Z28-2000),IF($Z28&lt;=5200,"客户自备筐－"&amp;INDEX(客户自备加工筐明细!$J$4:$J$1203,$Z28-4000),IF($Z28&lt;=5800,"次果筐/托盘－"&amp;INDEX(次果筐明细!$F$4:$F$603,$Z28-5200),"")))))</f>
        <v>包装物料－领用出库</v>
      </c>
      <c r="E28" s="24" t="str">
        <f>IF($Z28="","",IF($Z28&lt;=2000,IF(INDEX(包装物料出入库明细!$C$4:$C$2003,$Z28-0)=0,"",INDEX(包装物料出入库明细!$C$4:$C$2003,$Z28-0)),IF($Z28&lt;=4000,IF(INDEX(周转筐出入库明细!$E$4:$E$2004,$Z28-2000)=0,"",INDEX(周转筐出入库明细!$E$4:$E$2004,$Z28-2000)),IF($Z28&lt;=5200,IF(INDEX(客户自备加工筐明细!$D$4:$D$1203,$Z28-4000)=0,"",INDEX(客户自备加工筐明细!$D$4:$D$1203,$Z28-4000)),IF($Z28&lt;=5800,IF(INDEX(次果筐明细!$E$4:$E$603,$Z28-5200)=0,"",INDEX(次果筐明细!$E$4:$E$603,$Z28-5200)),"")))))</f>
        <v>NO:0001106</v>
      </c>
      <c r="F28" s="24" t="str">
        <f>IF($Z28="","",IF($Z28&lt;=2000,IF(INDEX(包装物料出入库明细!$E$4:$E$2003,$Z28-0)=0,"",INDEX(包装物料出入库明细!$E$4:$E$2003,$Z28-0)),IF($Z28&lt;=4000,IF(INDEX(周转筐出入库明细!$D$4:$D$2004,$Z28-2000)=0,"",INDEX(周转筐出入库明细!$D$4:$D$2004,$Z28-2000)),IF($Z28&lt;=5200,IF(INDEX(客户自备加工筐明细!$C$4:$C$1203,$Z28-4000)=0,"",INDEX(客户自备加工筐明细!$C$4:$C$1203,$Z28-4000)),IF($Z28&lt;=5800,IF(INDEX(次果筐明细!$D$4:$D$603,$Z28-5200)=0,"",INDEX(次果筐明细!$D$4:$D$603,$Z28-5200)),"")))))</f>
        <v>香梨网</v>
      </c>
      <c r="G28" s="24" t="str">
        <f>IF($Z28="","",IF($Z28&lt;=2000,IF(INDEX(包装物料出入库明细!$F$4:$F$2003,$Z28-0)=0,"",INDEX(包装物料出入库明细!$F$4:$F$2003,$Z28-0)),IF($Z28&lt;=4000,"",IF($Z28&lt;=5200,"",IF($Z28&lt;=5800,"","")))))</f>
        <v>*包</v>
      </c>
      <c r="H28" s="39">
        <f>IF($Z28="","",IF($Z28&lt;=2000,IF(INDEX(包装物料出入库明细!$L$4:$L$2003,$Z28-0)=0,"",INDEX(包装物料出入库明细!$L$4:$L$2003,$Z28-0)),IF($Z28&lt;=4000,N(INDEX(周转筐出入库明细!$H$4:$H$2004,$Z28-2000))+N(INDEX(周转筐出入库明细!$I$4:$I$2004,$Z28-2000))+N(INDEX(周转筐出入库明细!$J$4:$J$2004,$Z28-2000))+N(INDEX(周转筐出入库明细!$K$4:$K$2004,$Z28-2000)),IF($Z28&lt;=5200,N(INDEX(客户自备加工筐明细!$F$4:$F$1203,$Z28-4000))+N(INDEX(客户自备加工筐明细!$G$4:$G$1203,$Z28-4000)),IF($Z28&lt;=5800,IF(INDEX(次果筐明细!$G$4:$G$603,$Z28-5200)=0,"",INDEX(次果筐明细!$G$4:$G$603,$Z28-5200)),"")))))</f>
        <v>48</v>
      </c>
      <c r="I28" s="24" t="str">
        <f>IF($Z28="","",IF($Z28&lt;=2000,IF(INDEX(包装物料出入库明细!$G$4:$G$2003,$Z28-0)=0,"",INDEX(包装物料出入库明细!$G$4:$G$2003,$Z28-0)),IF($Z28&lt;=4000,"个",IF($Z28&lt;=5200,"个",IF($Z28&lt;=5800,"个","")))))</f>
        <v>包</v>
      </c>
      <c r="J28" s="30" t="str">
        <f t="shared" si="1"/>
        <v/>
      </c>
      <c r="K28" s="30">
        <f>IF($Z28="","",IF($Z28&lt;=2000,IF(INDEX(包装物料出入库明细!$N$4:$N$2003,$Z28-0)=0,"",INDEX(包装物料出入库明细!$N$4:$N$2003,$Z28-0)),IF($Z28&lt;=4000,IF(INDEX(周转筐出入库明细!$P$4:$P$2004,$Z28-2000)=0,"",INDEX(周转筐出入库明细!$P$4:$P$2004,$Z28-2000)),IF($Z28&lt;=5200,"",IF($Z28&lt;=5800,N(INDEX(次果筐明细!$L$4:$L$603,$Z28-5200))+N(INDEX(次果筐明细!$J$4:$J$603,$Z28-5200)),"")))))</f>
        <v>2160</v>
      </c>
      <c r="L28" s="24" t="str">
        <f>IF($Z28="","",IF($Z28&lt;=2000,IF(INDEX(包装物料出入库明细!$P$4:$P$2003,$Z28-0)=0,"",INDEX(包装物料出入库明细!$P$4:$P$2003,$Z28-0)),IF($Z28&lt;=4000,IF(INDEX(周转筐出入库明细!$Q$4:$Q$2004,$Z28-2000)=0,"",INDEX(周转筐出入库明细!$Q$4:$Q$2004,$Z28-2000)),IF($Z28&lt;=5200,"",IF($Z28&lt;=5800,IF(INDEX(次果筐明细!$M$4:$M$603,$Z28-5200)=0,"",INDEX(次果筐明细!$M$4:$M$603,$Z28-5200)),"")))))</f>
        <v>未付款</v>
      </c>
      <c r="M28" s="37" t="str">
        <f>IF($Z28="","",IF($Z28&lt;=2000,IF(INDEX(包装物料出入库明细!$R$4:$R$2003,$Z28-0)=0,"",INDEX(包装物料出入库明细!$R$4:$R$2003,$Z28-0)),IF($Z28&lt;=4000,IF(INDEX(周转筐出入库明细!$W$4:$W$2004,$Z28-2000)=0,"",INDEX(周转筐出入库明细!$W$4:$W$2004,$Z28-2000)),IF($Z28&lt;=5200,IF(INDEX(客户自备加工筐明细!$L$4:$L$1203,$Z28-4000)=0,"",INDEX(客户自备加工筐明细!$L$4:$L$1203,$Z28-4000)),IF($Z28&lt;=5800,IF(INDEX(次果筐明细!$P$4:$P$603,$Z28-5200)=0,"",INDEX(次果筐明细!$P$4:$P$603,$Z28-5200)),"")))))</f>
        <v/>
      </c>
      <c r="N28" s="16" t="str">
        <f>IF($Z28="","",IF($Z28&lt;=2000,"",IF($Z28&lt;=4000,IF(INDEX(周转筐出入库明细!$D$4:$D$2004,$Z28-2000)=0,"",INDEX(周转筐出入库明细!$D$4:$D$2004,$Z28-2000)),IF($Z28&lt;=5200,IF(INDEX(客户自备加工筐明细!$C$4:$C$1203,$Z28-4000)=0,"",INDEX(客户自备加工筐明细!$C$4:$C$1203,$Z28-4000)),IF($Z28&lt;=5800,IF(INDEX(次果筐明细!$D$4:$D$603,$Z28-5200)=0,"",INDEX(次果筐明细!$D$4:$D$603,$Z28-5200)),"")))))</f>
        <v/>
      </c>
      <c r="O28" s="40" t="str">
        <f>IF($Z28="","",IF($Z28&lt;=2000,"",IF($Z28&lt;=4000,IF(N(INDEX(周转筐出入库明细!$J$4:$J$2004,$Z28-2000))+N(INDEX(周转筐出入库明细!$K$4:$K$2004,$Z28-2000))=0,"",N(INDEX(周转筐出入库明细!$J$4:$J$2004,$Z28-2000))+N(INDEX(周转筐出入库明细!$K$4:$K$2004,$Z28-2000))),IF($Z28&lt;=5200,IF(N(INDEX(客户自备加工筐明细!$G$4:$G$1203,$Z28-4000))=0,"",N(INDEX(客户自备加工筐明细!$G$4:$G$1203,$Z28-4000))),IF($Z28&lt;=5800,IF(ISNUMBER(SEARCH("退",INDEX(次果筐明细!$F$4:$F$603,$Z28-5200)&amp;"")),"",IF(N(INDEX(次果筐明细!$G$4:$G$603,$Z28-5200))=0,"",N(INDEX(次果筐明细!$G$4:$G$603,$Z28-5200)))),"")))))</f>
        <v/>
      </c>
      <c r="P28" s="40" t="str">
        <f>IF($Z28="","",IF($Z28&lt;=2000,"",IF($Z28&lt;=4000,IF(N(INDEX(周转筐出入库明细!$I$4:$I$2004,$Z28-2000))=0,"",N(INDEX(周转筐出入库明细!$I$4:$I$2004,$Z28-2000))),IF($Z28&lt;=5200,"",IF($Z28&lt;=5800,IF(ISNUMBER(SEARCH("退",INDEX(次果筐明细!$F$4:$F$603,$Z28-5200)&amp;"")),IF(N(INDEX(次果筐明细!$G$4:$G$603,$Z28-5200))=0,"",N(INDEX(次果筐明细!$G$4:$G$603,$Z28-5200))),""),"")))))</f>
        <v/>
      </c>
      <c r="Q28" s="40" t="str">
        <f>IF($Z28="","",IF($Z28&lt;=2000,"",IF($Z28&lt;=4000,IF(N(INDEX(周转筐出入库明细!$H$4:$H$2004,$Z28-2000))=0,"",N(INDEX(周转筐出入库明细!$H$4:$H$2004,$Z28-2000))),IF($Z28&lt;=5200,IF(N(INDEX(客户自备加工筐明细!$F$4:$F$1203,$Z28-4000))=0,"",N(INDEX(客户自备加工筐明细!$F$4:$F$1203,$Z28-4000))),IF($Z28&lt;=5800,"","")))))</f>
        <v/>
      </c>
      <c r="R28" s="16" t="str">
        <f>IF($Z28="","",IF($Z28&lt;=2000,IF(INDEX(包装物料出入库明细!$O$4:$O$2003,$Z28-0)=0,"",INDEX(包装物料出入库明细!$O$4:$O$2003,$Z28-0)),IF($Z28&lt;=4000,IF(INDEX(周转筐出入库明细!$M$4:$M$2004,$Z28-2000)=0,"",INDEX(周转筐出入库明细!$M$4:$M$2004,$Z28-2000)),IF($Z28&lt;=5200,IF(INDEX(客户自备加工筐明细!$H$4:$H$1203,$Z28-4000)=0,"",INDEX(客户自备加工筐明细!$H$4:$H$1203,$Z28-4000)),IF($Z28&lt;=5800,IF(INDEX(次果筐明细!$H$4:$H$603,$Z28-5200)=0,"",INDEX(次果筐明细!$H$4:$H$603,$Z28-5200)),"")))))</f>
        <v>新A*G0544</v>
      </c>
      <c r="S28" s="22" t="str">
        <f t="shared" si="2"/>
        <v/>
      </c>
      <c r="Z28" s="10">
        <f>IFERROR(MATCH(ROW()-3,_自动清单!$CQ$4:$CQ$5803,0),"")</f>
        <v>25</v>
      </c>
    </row>
    <row r="29" spans="1:26">
      <c r="A29" s="24">
        <f t="shared" si="0"/>
        <v>26</v>
      </c>
      <c r="B29" s="38">
        <f>IF($Z29="","",IF($Z29&lt;=2000,IF(INDEX(包装物料出入库明细!$B$4:$B$2003,$Z29-0)=0,"",INDEX(包装物料出入库明细!$B$4:$B$2003,$Z29-0)),IF($Z29&lt;=4000,IF(INDEX(周转筐出入库明细!$B$4:$B$2004,$Z29-2000)=0,"",INDEX(周转筐出入库明细!$B$4:$B$2004,$Z29-2000)),IF($Z29&lt;=5200,IF(INDEX(客户自备加工筐明细!$B$4:$B$1203,$Z29-4000)=0,"",INDEX(客户自备加工筐明细!$B$4:$B$1203,$Z29-4000)),IF($Z29&lt;=5800,IF(INDEX(次果筐明细!$B$4:$B$603,$Z29-5200)=0,"",INDEX(次果筐明细!$B$4:$B$603,$Z29-5200)),"")))))</f>
        <v>46276</v>
      </c>
      <c r="C29" s="37" t="str">
        <f>IF($Z29="","",IF($Z29&lt;=2000,IF(INDEX(包装物料出入库明细!$D$4:$D$2003,$Z29-0)=0,"",INDEX(包装物料出入库明细!$D$4:$D$2003,$Z29-0)),IF($Z29&lt;=4000,IF(INDEX(周转筐出入库明细!$C$4:$C$2004,$Z29-2000)=0,"",INDEX(周转筐出入库明细!$C$4:$C$2004,$Z29-2000)),IF($Z29&lt;=5200,IF(INDEX(客户自备加工筐明细!$E$4:$E$1203,$Z29-4000)=0,"",INDEX(客户自备加工筐明细!$E$4:$E$1203,$Z29-4000)),IF($Z29&lt;=5800,IF(INDEX(次果筐明细!$C$4:$C$603,$Z29-5200)=0,"",INDEX(次果筐明细!$C$4:$C$603,$Z29-5200)),"")))))</f>
        <v>新顺发泡网</v>
      </c>
      <c r="D29" s="37" t="str">
        <f>IF($Z29="","",IF($Z29&lt;=2000,"包装物料－"&amp;INDEX(包装物料出入库明细!$H$4:$H$2003,$Z29-0),IF($Z29&lt;=4000,"周转筐－"&amp;INDEX(周转筐出入库明细!$F$4:$F$2004,$Z29-2000),IF($Z29&lt;=5200,"客户自备筐－"&amp;INDEX(客户自备加工筐明细!$J$4:$J$1203,$Z29-4000),IF($Z29&lt;=5800,"次果筐/托盘－"&amp;INDEX(次果筐明细!$F$4:$F$603,$Z29-5200),"")))))</f>
        <v>包装物料－采购入库</v>
      </c>
      <c r="E29" s="24" t="str">
        <f>IF($Z29="","",IF($Z29&lt;=2000,IF(INDEX(包装物料出入库明细!$C$4:$C$2003,$Z29-0)=0,"",INDEX(包装物料出入库明细!$C$4:$C$2003,$Z29-0)),IF($Z29&lt;=4000,IF(INDEX(周转筐出入库明细!$E$4:$E$2004,$Z29-2000)=0,"",INDEX(周转筐出入库明细!$E$4:$E$2004,$Z29-2000)),IF($Z29&lt;=5200,IF(INDEX(客户自备加工筐明细!$D$4:$D$1203,$Z29-4000)=0,"",INDEX(客户自备加工筐明细!$D$4:$D$1203,$Z29-4000)),IF($Z29&lt;=5800,IF(INDEX(次果筐明细!$E$4:$E$603,$Z29-5200)=0,"",INDEX(次果筐明细!$E$4:$E$603,$Z29-5200)),"")))))</f>
        <v>NO:0000777</v>
      </c>
      <c r="F29" s="24" t="str">
        <f>IF($Z29="","",IF($Z29&lt;=2000,IF(INDEX(包装物料出入库明细!$E$4:$E$2003,$Z29-0)=0,"",INDEX(包装物料出入库明细!$E$4:$E$2003,$Z29-0)),IF($Z29&lt;=4000,IF(INDEX(周转筐出入库明细!$D$4:$D$2004,$Z29-2000)=0,"",INDEX(周转筐出入库明细!$D$4:$D$2004,$Z29-2000)),IF($Z29&lt;=5200,IF(INDEX(客户自备加工筐明细!$C$4:$C$1203,$Z29-4000)=0,"",INDEX(客户自备加工筐明细!$C$4:$C$1203,$Z29-4000)),IF($Z29&lt;=5800,IF(INDEX(次果筐明细!$D$4:$D$603,$Z29-5200)=0,"",INDEX(次果筐明细!$D$4:$D$603,$Z29-5200)),"")))))</f>
        <v>香梨网</v>
      </c>
      <c r="G29" s="24" t="str">
        <f>IF($Z29="","",IF($Z29&lt;=2000,IF(INDEX(包装物料出入库明细!$F$4:$F$2003,$Z29-0)=0,"",INDEX(包装物料出入库明细!$F$4:$F$2003,$Z29-0)),IF($Z29&lt;=4000,"",IF($Z29&lt;=5200,"",IF($Z29&lt;=5800,"","")))))</f>
        <v>*包</v>
      </c>
      <c r="H29" s="39">
        <f>IF($Z29="","",IF($Z29&lt;=2000,IF(INDEX(包装物料出入库明细!$L$4:$L$2003,$Z29-0)=0,"",INDEX(包装物料出入库明细!$L$4:$L$2003,$Z29-0)),IF($Z29&lt;=4000,N(INDEX(周转筐出入库明细!$H$4:$H$2004,$Z29-2000))+N(INDEX(周转筐出入库明细!$I$4:$I$2004,$Z29-2000))+N(INDEX(周转筐出入库明细!$J$4:$J$2004,$Z29-2000))+N(INDEX(周转筐出入库明细!$K$4:$K$2004,$Z29-2000)),IF($Z29&lt;=5200,N(INDEX(客户自备加工筐明细!$F$4:$F$1203,$Z29-4000))+N(INDEX(客户自备加工筐明细!$G$4:$G$1203,$Z29-4000)),IF($Z29&lt;=5800,IF(INDEX(次果筐明细!$G$4:$G$603,$Z29-5200)=0,"",INDEX(次果筐明细!$G$4:$G$603,$Z29-5200)),"")))))</f>
        <v>120</v>
      </c>
      <c r="I29" s="24" t="str">
        <f>IF($Z29="","",IF($Z29&lt;=2000,IF(INDEX(包装物料出入库明细!$G$4:$G$2003,$Z29-0)=0,"",INDEX(包装物料出入库明细!$G$4:$G$2003,$Z29-0)),IF($Z29&lt;=4000,"个",IF($Z29&lt;=5200,"个",IF($Z29&lt;=5800,"个","")))))</f>
        <v>包</v>
      </c>
      <c r="J29" s="30" t="str">
        <f t="shared" si="1"/>
        <v/>
      </c>
      <c r="K29" s="30">
        <f>IF($Z29="","",IF($Z29&lt;=2000,IF(INDEX(包装物料出入库明细!$N$4:$N$2003,$Z29-0)=0,"",INDEX(包装物料出入库明细!$N$4:$N$2003,$Z29-0)),IF($Z29&lt;=4000,IF(INDEX(周转筐出入库明细!$P$4:$P$2004,$Z29-2000)=0,"",INDEX(周转筐出入库明细!$P$4:$P$2004,$Z29-2000)),IF($Z29&lt;=5200,"",IF($Z29&lt;=5800,N(INDEX(次果筐明细!$L$4:$L$603,$Z29-5200))+N(INDEX(次果筐明细!$J$4:$J$603,$Z29-5200)),"")))))</f>
        <v>4440</v>
      </c>
      <c r="L29" s="24" t="str">
        <f>IF($Z29="","",IF($Z29&lt;=2000,IF(INDEX(包装物料出入库明细!$P$4:$P$2003,$Z29-0)=0,"",INDEX(包装物料出入库明细!$P$4:$P$2003,$Z29-0)),IF($Z29&lt;=4000,IF(INDEX(周转筐出入库明细!$Q$4:$Q$2004,$Z29-2000)=0,"",INDEX(周转筐出入库明细!$Q$4:$Q$2004,$Z29-2000)),IF($Z29&lt;=5200,"",IF($Z29&lt;=5800,IF(INDEX(次果筐明细!$M$4:$M$603,$Z29-5200)=0,"",INDEX(次果筐明细!$M$4:$M$603,$Z29-5200)),"")))))</f>
        <v>未付款</v>
      </c>
      <c r="M29" s="37" t="str">
        <f>IF($Z29="","",IF($Z29&lt;=2000,IF(INDEX(包装物料出入库明细!$R$4:$R$2003,$Z29-0)=0,"",INDEX(包装物料出入库明细!$R$4:$R$2003,$Z29-0)),IF($Z29&lt;=4000,IF(INDEX(周转筐出入库明细!$W$4:$W$2004,$Z29-2000)=0,"",INDEX(周转筐出入库明细!$W$4:$W$2004,$Z29-2000)),IF($Z29&lt;=5200,IF(INDEX(客户自备加工筐明细!$L$4:$L$1203,$Z29-4000)=0,"",INDEX(客户自备加工筐明细!$L$4:$L$1203,$Z29-4000)),IF($Z29&lt;=5800,IF(INDEX(次果筐明细!$P$4:$P$603,$Z29-5200)=0,"",INDEX(次果筐明细!$P$4:$P$603,$Z29-5200)),"")))))</f>
        <v>12#</v>
      </c>
      <c r="N29" s="16" t="str">
        <f>IF($Z29="","",IF($Z29&lt;=2000,"",IF($Z29&lt;=4000,IF(INDEX(周转筐出入库明细!$D$4:$D$2004,$Z29-2000)=0,"",INDEX(周转筐出入库明细!$D$4:$D$2004,$Z29-2000)),IF($Z29&lt;=5200,IF(INDEX(客户自备加工筐明细!$C$4:$C$1203,$Z29-4000)=0,"",INDEX(客户自备加工筐明细!$C$4:$C$1203,$Z29-4000)),IF($Z29&lt;=5800,IF(INDEX(次果筐明细!$D$4:$D$603,$Z29-5200)=0,"",INDEX(次果筐明细!$D$4:$D$603,$Z29-5200)),"")))))</f>
        <v/>
      </c>
      <c r="O29" s="40" t="str">
        <f>IF($Z29="","",IF($Z29&lt;=2000,"",IF($Z29&lt;=4000,IF(N(INDEX(周转筐出入库明细!$J$4:$J$2004,$Z29-2000))+N(INDEX(周转筐出入库明细!$K$4:$K$2004,$Z29-2000))=0,"",N(INDEX(周转筐出入库明细!$J$4:$J$2004,$Z29-2000))+N(INDEX(周转筐出入库明细!$K$4:$K$2004,$Z29-2000))),IF($Z29&lt;=5200,IF(N(INDEX(客户自备加工筐明细!$G$4:$G$1203,$Z29-4000))=0,"",N(INDEX(客户自备加工筐明细!$G$4:$G$1203,$Z29-4000))),IF($Z29&lt;=5800,IF(ISNUMBER(SEARCH("退",INDEX(次果筐明细!$F$4:$F$603,$Z29-5200)&amp;"")),"",IF(N(INDEX(次果筐明细!$G$4:$G$603,$Z29-5200))=0,"",N(INDEX(次果筐明细!$G$4:$G$603,$Z29-5200)))),"")))))</f>
        <v/>
      </c>
      <c r="P29" s="40" t="str">
        <f>IF($Z29="","",IF($Z29&lt;=2000,"",IF($Z29&lt;=4000,IF(N(INDEX(周转筐出入库明细!$I$4:$I$2004,$Z29-2000))=0,"",N(INDEX(周转筐出入库明细!$I$4:$I$2004,$Z29-2000))),IF($Z29&lt;=5200,"",IF($Z29&lt;=5800,IF(ISNUMBER(SEARCH("退",INDEX(次果筐明细!$F$4:$F$603,$Z29-5200)&amp;"")),IF(N(INDEX(次果筐明细!$G$4:$G$603,$Z29-5200))=0,"",N(INDEX(次果筐明细!$G$4:$G$603,$Z29-5200))),""),"")))))</f>
        <v/>
      </c>
      <c r="Q29" s="40" t="str">
        <f>IF($Z29="","",IF($Z29&lt;=2000,"",IF($Z29&lt;=4000,IF(N(INDEX(周转筐出入库明细!$H$4:$H$2004,$Z29-2000))=0,"",N(INDEX(周转筐出入库明细!$H$4:$H$2004,$Z29-2000))),IF($Z29&lt;=5200,IF(N(INDEX(客户自备加工筐明细!$F$4:$F$1203,$Z29-4000))=0,"",N(INDEX(客户自备加工筐明细!$F$4:$F$1203,$Z29-4000))),IF($Z29&lt;=5800,"","")))))</f>
        <v/>
      </c>
      <c r="R29" s="16" t="str">
        <f>IF($Z29="","",IF($Z29&lt;=2000,IF(INDEX(包装物料出入库明细!$O$4:$O$2003,$Z29-0)=0,"",INDEX(包装物料出入库明细!$O$4:$O$2003,$Z29-0)),IF($Z29&lt;=4000,IF(INDEX(周转筐出入库明细!$M$4:$M$2004,$Z29-2000)=0,"",INDEX(周转筐出入库明细!$M$4:$M$2004,$Z29-2000)),IF($Z29&lt;=5200,IF(INDEX(客户自备加工筐明细!$H$4:$H$1203,$Z29-4000)=0,"",INDEX(客户自备加工筐明细!$H$4:$H$1203,$Z29-4000)),IF($Z29&lt;=5800,IF(INDEX(次果筐明细!$H$4:$H$603,$Z29-5200)=0,"",INDEX(次果筐明细!$H$4:$H$603,$Z29-5200)),"")))))</f>
        <v>皖L*SD929</v>
      </c>
      <c r="S29" s="22" t="str">
        <f t="shared" si="2"/>
        <v/>
      </c>
      <c r="Z29" s="10">
        <f>IFERROR(MATCH(ROW()-3,_自动清单!$CQ$4:$CQ$5803,0),"")</f>
        <v>26</v>
      </c>
    </row>
    <row r="30" spans="1:26">
      <c r="A30" s="24">
        <f t="shared" si="0"/>
        <v>27</v>
      </c>
      <c r="B30" s="38">
        <f>IF($Z30="","",IF($Z30&lt;=2000,IF(INDEX(包装物料出入库明细!$B$4:$B$2003,$Z30-0)=0,"",INDEX(包装物料出入库明细!$B$4:$B$2003,$Z30-0)),IF($Z30&lt;=4000,IF(INDEX(周转筐出入库明细!$B$4:$B$2004,$Z30-2000)=0,"",INDEX(周转筐出入库明细!$B$4:$B$2004,$Z30-2000)),IF($Z30&lt;=5200,IF(INDEX(客户自备加工筐明细!$B$4:$B$1203,$Z30-4000)=0,"",INDEX(客户自备加工筐明细!$B$4:$B$1203,$Z30-4000)),IF($Z30&lt;=5800,IF(INDEX(次果筐明细!$B$4:$B$603,$Z30-5200)=0,"",INDEX(次果筐明细!$B$4:$B$603,$Z30-5200)),"")))))</f>
        <v>46276</v>
      </c>
      <c r="C30" s="37" t="str">
        <f>IF($Z30="","",IF($Z30&lt;=2000,IF(INDEX(包装物料出入库明细!$D$4:$D$2003,$Z30-0)=0,"",INDEX(包装物料出入库明细!$D$4:$D$2003,$Z30-0)),IF($Z30&lt;=4000,IF(INDEX(周转筐出入库明细!$C$4:$C$2004,$Z30-2000)=0,"",INDEX(周转筐出入库明细!$C$4:$C$2004,$Z30-2000)),IF($Z30&lt;=5200,IF(INDEX(客户自备加工筐明细!$E$4:$E$1203,$Z30-4000)=0,"",INDEX(客户自备加工筐明细!$E$4:$E$1203,$Z30-4000)),IF($Z30&lt;=5800,IF(INDEX(次果筐明细!$C$4:$C$603,$Z30-5200)=0,"",INDEX(次果筐明细!$C$4:$C$603,$Z30-5200)),"")))))</f>
        <v>麦麦提</v>
      </c>
      <c r="D30" s="37" t="str">
        <f>IF($Z30="","",IF($Z30&lt;=2000,"包装物料－"&amp;INDEX(包装物料出入库明细!$H$4:$H$2003,$Z30-0),IF($Z30&lt;=4000,"周转筐－"&amp;INDEX(周转筐出入库明细!$F$4:$F$2004,$Z30-2000),IF($Z30&lt;=5200,"客户自备筐－"&amp;INDEX(客户自备加工筐明细!$J$4:$J$1203,$Z30-4000),IF($Z30&lt;=5800,"次果筐/托盘－"&amp;INDEX(次果筐明细!$F$4:$F$603,$Z30-5200),"")))))</f>
        <v>包装物料－领用出库</v>
      </c>
      <c r="E30" s="24" t="str">
        <f>IF($Z30="","",IF($Z30&lt;=2000,IF(INDEX(包装物料出入库明细!$C$4:$C$2003,$Z30-0)=0,"",INDEX(包装物料出入库明细!$C$4:$C$2003,$Z30-0)),IF($Z30&lt;=4000,IF(INDEX(周转筐出入库明细!$E$4:$E$2004,$Z30-2000)=0,"",INDEX(周转筐出入库明细!$E$4:$E$2004,$Z30-2000)),IF($Z30&lt;=5200,IF(INDEX(客户自备加工筐明细!$D$4:$D$1203,$Z30-4000)=0,"",INDEX(客户自备加工筐明细!$D$4:$D$1203,$Z30-4000)),IF($Z30&lt;=5800,IF(INDEX(次果筐明细!$E$4:$E$603,$Z30-5200)=0,"",INDEX(次果筐明细!$E$4:$E$603,$Z30-5200)),"")))))</f>
        <v>NO:0001113</v>
      </c>
      <c r="F30" s="24" t="str">
        <f>IF($Z30="","",IF($Z30&lt;=2000,IF(INDEX(包装物料出入库明细!$E$4:$E$2003,$Z30-0)=0,"",INDEX(包装物料出入库明细!$E$4:$E$2003,$Z30-0)),IF($Z30&lt;=4000,IF(INDEX(周转筐出入库明细!$D$4:$D$2004,$Z30-2000)=0,"",INDEX(周转筐出入库明细!$D$4:$D$2004,$Z30-2000)),IF($Z30&lt;=5200,IF(INDEX(客户自备加工筐明细!$C$4:$C$1203,$Z30-4000)=0,"",INDEX(客户自备加工筐明细!$C$4:$C$1203,$Z30-4000)),IF($Z30&lt;=5800,IF(INDEX(次果筐明细!$D$4:$D$603,$Z30-5200)=0,"",INDEX(次果筐明细!$D$4:$D$603,$Z30-5200)),"")))))</f>
        <v>香梨网</v>
      </c>
      <c r="G30" s="24" t="str">
        <f>IF($Z30="","",IF($Z30&lt;=2000,IF(INDEX(包装物料出入库明细!$F$4:$F$2003,$Z30-0)=0,"",INDEX(包装物料出入库明细!$F$4:$F$2003,$Z30-0)),IF($Z30&lt;=4000,"",IF($Z30&lt;=5200,"",IF($Z30&lt;=5800,"","")))))</f>
        <v>*包</v>
      </c>
      <c r="H30" s="39">
        <f>IF($Z30="","",IF($Z30&lt;=2000,IF(INDEX(包装物料出入库明细!$L$4:$L$2003,$Z30-0)=0,"",INDEX(包装物料出入库明细!$L$4:$L$2003,$Z30-0)),IF($Z30&lt;=4000,N(INDEX(周转筐出入库明细!$H$4:$H$2004,$Z30-2000))+N(INDEX(周转筐出入库明细!$I$4:$I$2004,$Z30-2000))+N(INDEX(周转筐出入库明细!$J$4:$J$2004,$Z30-2000))+N(INDEX(周转筐出入库明细!$K$4:$K$2004,$Z30-2000)),IF($Z30&lt;=5200,N(INDEX(客户自备加工筐明细!$F$4:$F$1203,$Z30-4000))+N(INDEX(客户自备加工筐明细!$G$4:$G$1203,$Z30-4000)),IF($Z30&lt;=5800,IF(INDEX(次果筐明细!$G$4:$G$603,$Z30-5200)=0,"",INDEX(次果筐明细!$G$4:$G$603,$Z30-5200)),"")))))</f>
        <v>48</v>
      </c>
      <c r="I30" s="24" t="str">
        <f>IF($Z30="","",IF($Z30&lt;=2000,IF(INDEX(包装物料出入库明细!$G$4:$G$2003,$Z30-0)=0,"",INDEX(包装物料出入库明细!$G$4:$G$2003,$Z30-0)),IF($Z30&lt;=4000,"个",IF($Z30&lt;=5200,"个",IF($Z30&lt;=5800,"个","")))))</f>
        <v>包</v>
      </c>
      <c r="J30" s="30" t="str">
        <f t="shared" si="1"/>
        <v/>
      </c>
      <c r="K30" s="30">
        <f>IF($Z30="","",IF($Z30&lt;=2000,IF(INDEX(包装物料出入库明细!$N$4:$N$2003,$Z30-0)=0,"",INDEX(包装物料出入库明细!$N$4:$N$2003,$Z30-0)),IF($Z30&lt;=4000,IF(INDEX(周转筐出入库明细!$P$4:$P$2004,$Z30-2000)=0,"",INDEX(周转筐出入库明细!$P$4:$P$2004,$Z30-2000)),IF($Z30&lt;=5200,"",IF($Z30&lt;=5800,N(INDEX(次果筐明细!$L$4:$L$603,$Z30-5200))+N(INDEX(次果筐明细!$J$4:$J$603,$Z30-5200)),"")))))</f>
        <v>2160</v>
      </c>
      <c r="L30" s="24" t="str">
        <f>IF($Z30="","",IF($Z30&lt;=2000,IF(INDEX(包装物料出入库明细!$P$4:$P$2003,$Z30-0)=0,"",INDEX(包装物料出入库明细!$P$4:$P$2003,$Z30-0)),IF($Z30&lt;=4000,IF(INDEX(周转筐出入库明细!$Q$4:$Q$2004,$Z30-2000)=0,"",INDEX(周转筐出入库明细!$Q$4:$Q$2004,$Z30-2000)),IF($Z30&lt;=5200,"",IF($Z30&lt;=5800,IF(INDEX(次果筐明细!$M$4:$M$603,$Z30-5200)=0,"",INDEX(次果筐明细!$M$4:$M$603,$Z30-5200)),"")))))</f>
        <v>未付款</v>
      </c>
      <c r="M30" s="37" t="str">
        <f>IF($Z30="","",IF($Z30&lt;=2000,IF(INDEX(包装物料出入库明细!$R$4:$R$2003,$Z30-0)=0,"",INDEX(包装物料出入库明细!$R$4:$R$2003,$Z30-0)),IF($Z30&lt;=4000,IF(INDEX(周转筐出入库明细!$W$4:$W$2004,$Z30-2000)=0,"",INDEX(周转筐出入库明细!$W$4:$W$2004,$Z30-2000)),IF($Z30&lt;=5200,IF(INDEX(客户自备加工筐明细!$L$4:$L$1203,$Z30-4000)=0,"",INDEX(客户自备加工筐明细!$L$4:$L$1203,$Z30-4000)),IF($Z30&lt;=5800,IF(INDEX(次果筐明细!$P$4:$P$603,$Z30-5200)=0,"",INDEX(次果筐明细!$P$4:$P$603,$Z30-5200)),"")))))</f>
        <v/>
      </c>
      <c r="N30" s="16" t="str">
        <f>IF($Z30="","",IF($Z30&lt;=2000,"",IF($Z30&lt;=4000,IF(INDEX(周转筐出入库明细!$D$4:$D$2004,$Z30-2000)=0,"",INDEX(周转筐出入库明细!$D$4:$D$2004,$Z30-2000)),IF($Z30&lt;=5200,IF(INDEX(客户自备加工筐明细!$C$4:$C$1203,$Z30-4000)=0,"",INDEX(客户自备加工筐明细!$C$4:$C$1203,$Z30-4000)),IF($Z30&lt;=5800,IF(INDEX(次果筐明细!$D$4:$D$603,$Z30-5200)=0,"",INDEX(次果筐明细!$D$4:$D$603,$Z30-5200)),"")))))</f>
        <v/>
      </c>
      <c r="O30" s="40" t="str">
        <f>IF($Z30="","",IF($Z30&lt;=2000,"",IF($Z30&lt;=4000,IF(N(INDEX(周转筐出入库明细!$J$4:$J$2004,$Z30-2000))+N(INDEX(周转筐出入库明细!$K$4:$K$2004,$Z30-2000))=0,"",N(INDEX(周转筐出入库明细!$J$4:$J$2004,$Z30-2000))+N(INDEX(周转筐出入库明细!$K$4:$K$2004,$Z30-2000))),IF($Z30&lt;=5200,IF(N(INDEX(客户自备加工筐明细!$G$4:$G$1203,$Z30-4000))=0,"",N(INDEX(客户自备加工筐明细!$G$4:$G$1203,$Z30-4000))),IF($Z30&lt;=5800,IF(ISNUMBER(SEARCH("退",INDEX(次果筐明细!$F$4:$F$603,$Z30-5200)&amp;"")),"",IF(N(INDEX(次果筐明细!$G$4:$G$603,$Z30-5200))=0,"",N(INDEX(次果筐明细!$G$4:$G$603,$Z30-5200)))),"")))))</f>
        <v/>
      </c>
      <c r="P30" s="40" t="str">
        <f>IF($Z30="","",IF($Z30&lt;=2000,"",IF($Z30&lt;=4000,IF(N(INDEX(周转筐出入库明细!$I$4:$I$2004,$Z30-2000))=0,"",N(INDEX(周转筐出入库明细!$I$4:$I$2004,$Z30-2000))),IF($Z30&lt;=5200,"",IF($Z30&lt;=5800,IF(ISNUMBER(SEARCH("退",INDEX(次果筐明细!$F$4:$F$603,$Z30-5200)&amp;"")),IF(N(INDEX(次果筐明细!$G$4:$G$603,$Z30-5200))=0,"",N(INDEX(次果筐明细!$G$4:$G$603,$Z30-5200))),""),"")))))</f>
        <v/>
      </c>
      <c r="Q30" s="40" t="str">
        <f>IF($Z30="","",IF($Z30&lt;=2000,"",IF($Z30&lt;=4000,IF(N(INDEX(周转筐出入库明细!$H$4:$H$2004,$Z30-2000))=0,"",N(INDEX(周转筐出入库明细!$H$4:$H$2004,$Z30-2000))),IF($Z30&lt;=5200,IF(N(INDEX(客户自备加工筐明细!$F$4:$F$1203,$Z30-4000))=0,"",N(INDEX(客户自备加工筐明细!$F$4:$F$1203,$Z30-4000))),IF($Z30&lt;=5800,"","")))))</f>
        <v/>
      </c>
      <c r="R30" s="16" t="str">
        <f>IF($Z30="","",IF($Z30&lt;=2000,IF(INDEX(包装物料出入库明细!$O$4:$O$2003,$Z30-0)=0,"",INDEX(包装物料出入库明细!$O$4:$O$2003,$Z30-0)),IF($Z30&lt;=4000,IF(INDEX(周转筐出入库明细!$M$4:$M$2004,$Z30-2000)=0,"",INDEX(周转筐出入库明细!$M$4:$M$2004,$Z30-2000)),IF($Z30&lt;=5200,IF(INDEX(客户自备加工筐明细!$H$4:$H$1203,$Z30-4000)=0,"",INDEX(客户自备加工筐明细!$H$4:$H$1203,$Z30-4000)),IF($Z30&lt;=5800,IF(INDEX(次果筐明细!$H$4:$H$603,$Z30-5200)=0,"",INDEX(次果筐明细!$H$4:$H$603,$Z30-5200)),"")))))</f>
        <v>新A*G0544</v>
      </c>
      <c r="S30" s="22" t="str">
        <f t="shared" si="2"/>
        <v/>
      </c>
      <c r="Z30" s="10">
        <f>IFERROR(MATCH(ROW()-3,_自动清单!$CQ$4:$CQ$5803,0),"")</f>
        <v>27</v>
      </c>
    </row>
    <row r="31" spans="1:26">
      <c r="A31" s="24">
        <f t="shared" si="0"/>
        <v>28</v>
      </c>
      <c r="B31" s="38">
        <f>IF($Z31="","",IF($Z31&lt;=2000,IF(INDEX(包装物料出入库明细!$B$4:$B$2003,$Z31-0)=0,"",INDEX(包装物料出入库明细!$B$4:$B$2003,$Z31-0)),IF($Z31&lt;=4000,IF(INDEX(周转筐出入库明细!$B$4:$B$2004,$Z31-2000)=0,"",INDEX(周转筐出入库明细!$B$4:$B$2004,$Z31-2000)),IF($Z31&lt;=5200,IF(INDEX(客户自备加工筐明细!$B$4:$B$1203,$Z31-4000)=0,"",INDEX(客户自备加工筐明细!$B$4:$B$1203,$Z31-4000)),IF($Z31&lt;=5800,IF(INDEX(次果筐明细!$B$4:$B$603,$Z31-5200)=0,"",INDEX(次果筐明细!$B$4:$B$603,$Z31-5200)),"")))))</f>
        <v>46276</v>
      </c>
      <c r="C31" s="37" t="str">
        <f>IF($Z31="","",IF($Z31&lt;=2000,IF(INDEX(包装物料出入库明细!$D$4:$D$2003,$Z31-0)=0,"",INDEX(包装物料出入库明细!$D$4:$D$2003,$Z31-0)),IF($Z31&lt;=4000,IF(INDEX(周转筐出入库明细!$C$4:$C$2004,$Z31-2000)=0,"",INDEX(周转筐出入库明细!$C$4:$C$2004,$Z31-2000)),IF($Z31&lt;=5200,IF(INDEX(客户自备加工筐明细!$E$4:$E$1203,$Z31-4000)=0,"",INDEX(客户自备加工筐明细!$E$4:$E$1203,$Z31-4000)),IF($Z31&lt;=5800,IF(INDEX(次果筐明细!$C$4:$C$603,$Z31-5200)=0,"",INDEX(次果筐明细!$C$4:$C$603,$Z31-5200)),"")))))</f>
        <v>新顺发泡网</v>
      </c>
      <c r="D31" s="37" t="str">
        <f>IF($Z31="","",IF($Z31&lt;=2000,"包装物料－"&amp;INDEX(包装物料出入库明细!$H$4:$H$2003,$Z31-0),IF($Z31&lt;=4000,"周转筐－"&amp;INDEX(周转筐出入库明细!$F$4:$F$2004,$Z31-2000),IF($Z31&lt;=5200,"客户自备筐－"&amp;INDEX(客户自备加工筐明细!$J$4:$J$1203,$Z31-4000),IF($Z31&lt;=5800,"次果筐/托盘－"&amp;INDEX(次果筐明细!$F$4:$F$603,$Z31-5200),"")))))</f>
        <v>包装物料－采购入库</v>
      </c>
      <c r="E31" s="24" t="str">
        <f>IF($Z31="","",IF($Z31&lt;=2000,IF(INDEX(包装物料出入库明细!$C$4:$C$2003,$Z31-0)=0,"",INDEX(包装物料出入库明细!$C$4:$C$2003,$Z31-0)),IF($Z31&lt;=4000,IF(INDEX(周转筐出入库明细!$E$4:$E$2004,$Z31-2000)=0,"",INDEX(周转筐出入库明细!$E$4:$E$2004,$Z31-2000)),IF($Z31&lt;=5200,IF(INDEX(客户自备加工筐明细!$D$4:$D$1203,$Z31-4000)=0,"",INDEX(客户自备加工筐明细!$D$4:$D$1203,$Z31-4000)),IF($Z31&lt;=5800,IF(INDEX(次果筐明细!$E$4:$E$603,$Z31-5200)=0,"",INDEX(次果筐明细!$E$4:$E$603,$Z31-5200)),"")))))</f>
        <v>NO:0000779</v>
      </c>
      <c r="F31" s="24" t="str">
        <f>IF($Z31="","",IF($Z31&lt;=2000,IF(INDEX(包装物料出入库明细!$E$4:$E$2003,$Z31-0)=0,"",INDEX(包装物料出入库明细!$E$4:$E$2003,$Z31-0)),IF($Z31&lt;=4000,IF(INDEX(周转筐出入库明细!$D$4:$D$2004,$Z31-2000)=0,"",INDEX(周转筐出入库明细!$D$4:$D$2004,$Z31-2000)),IF($Z31&lt;=5200,IF(INDEX(客户自备加工筐明细!$C$4:$C$1203,$Z31-4000)=0,"",INDEX(客户自备加工筐明细!$C$4:$C$1203,$Z31-4000)),IF($Z31&lt;=5800,IF(INDEX(次果筐明细!$D$4:$D$603,$Z31-5200)=0,"",INDEX(次果筐明细!$D$4:$D$603,$Z31-5200)),"")))))</f>
        <v>香梨网</v>
      </c>
      <c r="G31" s="24" t="str">
        <f>IF($Z31="","",IF($Z31&lt;=2000,IF(INDEX(包装物料出入库明细!$F$4:$F$2003,$Z31-0)=0,"",INDEX(包装物料出入库明细!$F$4:$F$2003,$Z31-0)),IF($Z31&lt;=4000,"",IF($Z31&lt;=5200,"",IF($Z31&lt;=5800,"","")))))</f>
        <v>*包</v>
      </c>
      <c r="H31" s="39">
        <f>IF($Z31="","",IF($Z31&lt;=2000,IF(INDEX(包装物料出入库明细!$L$4:$L$2003,$Z31-0)=0,"",INDEX(包装物料出入库明细!$L$4:$L$2003,$Z31-0)),IF($Z31&lt;=4000,N(INDEX(周转筐出入库明细!$H$4:$H$2004,$Z31-2000))+N(INDEX(周转筐出入库明细!$I$4:$I$2004,$Z31-2000))+N(INDEX(周转筐出入库明细!$J$4:$J$2004,$Z31-2000))+N(INDEX(周转筐出入库明细!$K$4:$K$2004,$Z31-2000)),IF($Z31&lt;=5200,N(INDEX(客户自备加工筐明细!$F$4:$F$1203,$Z31-4000))+N(INDEX(客户自备加工筐明细!$G$4:$G$1203,$Z31-4000)),IF($Z31&lt;=5800,IF(INDEX(次果筐明细!$G$4:$G$603,$Z31-5200)=0,"",INDEX(次果筐明细!$G$4:$G$603,$Z31-5200)),"")))))</f>
        <v>120</v>
      </c>
      <c r="I31" s="24" t="str">
        <f>IF($Z31="","",IF($Z31&lt;=2000,IF(INDEX(包装物料出入库明细!$G$4:$G$2003,$Z31-0)=0,"",INDEX(包装物料出入库明细!$G$4:$G$2003,$Z31-0)),IF($Z31&lt;=4000,"个",IF($Z31&lt;=5200,"个",IF($Z31&lt;=5800,"个","")))))</f>
        <v>包</v>
      </c>
      <c r="J31" s="30" t="str">
        <f t="shared" si="1"/>
        <v/>
      </c>
      <c r="K31" s="30">
        <f>IF($Z31="","",IF($Z31&lt;=2000,IF(INDEX(包装物料出入库明细!$N$4:$N$2003,$Z31-0)=0,"",INDEX(包装物料出入库明细!$N$4:$N$2003,$Z31-0)),IF($Z31&lt;=4000,IF(INDEX(周转筐出入库明细!$P$4:$P$2004,$Z31-2000)=0,"",INDEX(周转筐出入库明细!$P$4:$P$2004,$Z31-2000)),IF($Z31&lt;=5200,"",IF($Z31&lt;=5800,N(INDEX(次果筐明细!$L$4:$L$603,$Z31-5200))+N(INDEX(次果筐明细!$J$4:$J$603,$Z31-5200)),"")))))</f>
        <v>4440</v>
      </c>
      <c r="L31" s="24" t="str">
        <f>IF($Z31="","",IF($Z31&lt;=2000,IF(INDEX(包装物料出入库明细!$P$4:$P$2003,$Z31-0)=0,"",INDEX(包装物料出入库明细!$P$4:$P$2003,$Z31-0)),IF($Z31&lt;=4000,IF(INDEX(周转筐出入库明细!$Q$4:$Q$2004,$Z31-2000)=0,"",INDEX(周转筐出入库明细!$Q$4:$Q$2004,$Z31-2000)),IF($Z31&lt;=5200,"",IF($Z31&lt;=5800,IF(INDEX(次果筐明细!$M$4:$M$603,$Z31-5200)=0,"",INDEX(次果筐明细!$M$4:$M$603,$Z31-5200)),"")))))</f>
        <v>未付款</v>
      </c>
      <c r="M31" s="37" t="str">
        <f>IF($Z31="","",IF($Z31&lt;=2000,IF(INDEX(包装物料出入库明细!$R$4:$R$2003,$Z31-0)=0,"",INDEX(包装物料出入库明细!$R$4:$R$2003,$Z31-0)),IF($Z31&lt;=4000,IF(INDEX(周转筐出入库明细!$W$4:$W$2004,$Z31-2000)=0,"",INDEX(周转筐出入库明细!$W$4:$W$2004,$Z31-2000)),IF($Z31&lt;=5200,IF(INDEX(客户自备加工筐明细!$L$4:$L$1203,$Z31-4000)=0,"",INDEX(客户自备加工筐明细!$L$4:$L$1203,$Z31-4000)),IF($Z31&lt;=5800,IF(INDEX(次果筐明细!$P$4:$P$603,$Z31-5200)=0,"",INDEX(次果筐明细!$P$4:$P$603,$Z31-5200)),"")))))</f>
        <v>12#</v>
      </c>
      <c r="N31" s="16" t="str">
        <f>IF($Z31="","",IF($Z31&lt;=2000,"",IF($Z31&lt;=4000,IF(INDEX(周转筐出入库明细!$D$4:$D$2004,$Z31-2000)=0,"",INDEX(周转筐出入库明细!$D$4:$D$2004,$Z31-2000)),IF($Z31&lt;=5200,IF(INDEX(客户自备加工筐明细!$C$4:$C$1203,$Z31-4000)=0,"",INDEX(客户自备加工筐明细!$C$4:$C$1203,$Z31-4000)),IF($Z31&lt;=5800,IF(INDEX(次果筐明细!$D$4:$D$603,$Z31-5200)=0,"",INDEX(次果筐明细!$D$4:$D$603,$Z31-5200)),"")))))</f>
        <v/>
      </c>
      <c r="O31" s="40" t="str">
        <f>IF($Z31="","",IF($Z31&lt;=2000,"",IF($Z31&lt;=4000,IF(N(INDEX(周转筐出入库明细!$J$4:$J$2004,$Z31-2000))+N(INDEX(周转筐出入库明细!$K$4:$K$2004,$Z31-2000))=0,"",N(INDEX(周转筐出入库明细!$J$4:$J$2004,$Z31-2000))+N(INDEX(周转筐出入库明细!$K$4:$K$2004,$Z31-2000))),IF($Z31&lt;=5200,IF(N(INDEX(客户自备加工筐明细!$G$4:$G$1203,$Z31-4000))=0,"",N(INDEX(客户自备加工筐明细!$G$4:$G$1203,$Z31-4000))),IF($Z31&lt;=5800,IF(ISNUMBER(SEARCH("退",INDEX(次果筐明细!$F$4:$F$603,$Z31-5200)&amp;"")),"",IF(N(INDEX(次果筐明细!$G$4:$G$603,$Z31-5200))=0,"",N(INDEX(次果筐明细!$G$4:$G$603,$Z31-5200)))),"")))))</f>
        <v/>
      </c>
      <c r="P31" s="40" t="str">
        <f>IF($Z31="","",IF($Z31&lt;=2000,"",IF($Z31&lt;=4000,IF(N(INDEX(周转筐出入库明细!$I$4:$I$2004,$Z31-2000))=0,"",N(INDEX(周转筐出入库明细!$I$4:$I$2004,$Z31-2000))),IF($Z31&lt;=5200,"",IF($Z31&lt;=5800,IF(ISNUMBER(SEARCH("退",INDEX(次果筐明细!$F$4:$F$603,$Z31-5200)&amp;"")),IF(N(INDEX(次果筐明细!$G$4:$G$603,$Z31-5200))=0,"",N(INDEX(次果筐明细!$G$4:$G$603,$Z31-5200))),""),"")))))</f>
        <v/>
      </c>
      <c r="Q31" s="40" t="str">
        <f>IF($Z31="","",IF($Z31&lt;=2000,"",IF($Z31&lt;=4000,IF(N(INDEX(周转筐出入库明细!$H$4:$H$2004,$Z31-2000))=0,"",N(INDEX(周转筐出入库明细!$H$4:$H$2004,$Z31-2000))),IF($Z31&lt;=5200,IF(N(INDEX(客户自备加工筐明细!$F$4:$F$1203,$Z31-4000))=0,"",N(INDEX(客户自备加工筐明细!$F$4:$F$1203,$Z31-4000))),IF($Z31&lt;=5800,"","")))))</f>
        <v/>
      </c>
      <c r="R31" s="16" t="str">
        <f>IF($Z31="","",IF($Z31&lt;=2000,IF(INDEX(包装物料出入库明细!$O$4:$O$2003,$Z31-0)=0,"",INDEX(包装物料出入库明细!$O$4:$O$2003,$Z31-0)),IF($Z31&lt;=4000,IF(INDEX(周转筐出入库明细!$M$4:$M$2004,$Z31-2000)=0,"",INDEX(周转筐出入库明细!$M$4:$M$2004,$Z31-2000)),IF($Z31&lt;=5200,IF(INDEX(客户自备加工筐明细!$H$4:$H$1203,$Z31-4000)=0,"",INDEX(客户自备加工筐明细!$H$4:$H$1203,$Z31-4000)),IF($Z31&lt;=5800,IF(INDEX(次果筐明细!$H$4:$H$603,$Z31-5200)=0,"",INDEX(次果筐明细!$H$4:$H$603,$Z31-5200)),"")))))</f>
        <v>皖L*KW876</v>
      </c>
      <c r="S31" s="22" t="str">
        <f t="shared" si="2"/>
        <v/>
      </c>
      <c r="Z31" s="10">
        <f>IFERROR(MATCH(ROW()-3,_自动清单!$CQ$4:$CQ$5803,0),"")</f>
        <v>28</v>
      </c>
    </row>
    <row r="32" spans="1:26">
      <c r="A32" s="24">
        <f t="shared" si="0"/>
        <v>29</v>
      </c>
      <c r="B32" s="38">
        <f>IF($Z32="","",IF($Z32&lt;=2000,IF(INDEX(包装物料出入库明细!$B$4:$B$2003,$Z32-0)=0,"",INDEX(包装物料出入库明细!$B$4:$B$2003,$Z32-0)),IF($Z32&lt;=4000,IF(INDEX(周转筐出入库明细!$B$4:$B$2004,$Z32-2000)=0,"",INDEX(周转筐出入库明细!$B$4:$B$2004,$Z32-2000)),IF($Z32&lt;=5200,IF(INDEX(客户自备加工筐明细!$B$4:$B$1203,$Z32-4000)=0,"",INDEX(客户自备加工筐明细!$B$4:$B$1203,$Z32-4000)),IF($Z32&lt;=5800,IF(INDEX(次果筐明细!$B$4:$B$603,$Z32-5200)=0,"",INDEX(次果筐明细!$B$4:$B$603,$Z32-5200)),"")))))</f>
        <v>46276</v>
      </c>
      <c r="C32" s="37" t="str">
        <f>IF($Z32="","",IF($Z32&lt;=2000,IF(INDEX(包装物料出入库明细!$D$4:$D$2003,$Z32-0)=0,"",INDEX(包装物料出入库明细!$D$4:$D$2003,$Z32-0)),IF($Z32&lt;=4000,IF(INDEX(周转筐出入库明细!$C$4:$C$2004,$Z32-2000)=0,"",INDEX(周转筐出入库明细!$C$4:$C$2004,$Z32-2000)),IF($Z32&lt;=5200,IF(INDEX(客户自备加工筐明细!$E$4:$E$1203,$Z32-4000)=0,"",INDEX(客户自备加工筐明细!$E$4:$E$1203,$Z32-4000)),IF($Z32&lt;=5800,IF(INDEX(次果筐明细!$C$4:$C$603,$Z32-5200)=0,"",INDEX(次果筐明细!$C$4:$C$603,$Z32-5200)),"")))))</f>
        <v>吐尔洪</v>
      </c>
      <c r="D32" s="37" t="str">
        <f>IF($Z32="","",IF($Z32&lt;=2000,"包装物料－"&amp;INDEX(包装物料出入库明细!$H$4:$H$2003,$Z32-0),IF($Z32&lt;=4000,"周转筐－"&amp;INDEX(周转筐出入库明细!$F$4:$F$2004,$Z32-2000),IF($Z32&lt;=5200,"客户自备筐－"&amp;INDEX(客户自备加工筐明细!$J$4:$J$1203,$Z32-4000),IF($Z32&lt;=5800,"次果筐/托盘－"&amp;INDEX(次果筐明细!$F$4:$F$603,$Z32-5200),"")))))</f>
        <v>包装物料－领用出库</v>
      </c>
      <c r="E32" s="24" t="str">
        <f>IF($Z32="","",IF($Z32&lt;=2000,IF(INDEX(包装物料出入库明细!$C$4:$C$2003,$Z32-0)=0,"",INDEX(包装物料出入库明细!$C$4:$C$2003,$Z32-0)),IF($Z32&lt;=4000,IF(INDEX(周转筐出入库明细!$E$4:$E$2004,$Z32-2000)=0,"",INDEX(周转筐出入库明细!$E$4:$E$2004,$Z32-2000)),IF($Z32&lt;=5200,IF(INDEX(客户自备加工筐明细!$D$4:$D$1203,$Z32-4000)=0,"",INDEX(客户自备加工筐明细!$D$4:$D$1203,$Z32-4000)),IF($Z32&lt;=5800,IF(INDEX(次果筐明细!$E$4:$E$603,$Z32-5200)=0,"",INDEX(次果筐明细!$E$4:$E$603,$Z32-5200)),"")))))</f>
        <v>NO:0001117</v>
      </c>
      <c r="F32" s="24" t="str">
        <f>IF($Z32="","",IF($Z32&lt;=2000,IF(INDEX(包装物料出入库明细!$E$4:$E$2003,$Z32-0)=0,"",INDEX(包装物料出入库明细!$E$4:$E$2003,$Z32-0)),IF($Z32&lt;=4000,IF(INDEX(周转筐出入库明细!$D$4:$D$2004,$Z32-2000)=0,"",INDEX(周转筐出入库明细!$D$4:$D$2004,$Z32-2000)),IF($Z32&lt;=5200,IF(INDEX(客户自备加工筐明细!$C$4:$C$1203,$Z32-4000)=0,"",INDEX(客户自备加工筐明细!$C$4:$C$1203,$Z32-4000)),IF($Z32&lt;=5800,IF(INDEX(次果筐明细!$D$4:$D$603,$Z32-5200)=0,"",INDEX(次果筐明细!$D$4:$D$603,$Z32-5200)),"")))))</f>
        <v>香梨网</v>
      </c>
      <c r="G32" s="24" t="str">
        <f>IF($Z32="","",IF($Z32&lt;=2000,IF(INDEX(包装物料出入库明细!$F$4:$F$2003,$Z32-0)=0,"",INDEX(包装物料出入库明细!$F$4:$F$2003,$Z32-0)),IF($Z32&lt;=4000,"",IF($Z32&lt;=5200,"",IF($Z32&lt;=5800,"","")))))</f>
        <v>*包</v>
      </c>
      <c r="H32" s="39">
        <f>IF($Z32="","",IF($Z32&lt;=2000,IF(INDEX(包装物料出入库明细!$L$4:$L$2003,$Z32-0)=0,"",INDEX(包装物料出入库明细!$L$4:$L$2003,$Z32-0)),IF($Z32&lt;=4000,N(INDEX(周转筐出入库明细!$H$4:$H$2004,$Z32-2000))+N(INDEX(周转筐出入库明细!$I$4:$I$2004,$Z32-2000))+N(INDEX(周转筐出入库明细!$J$4:$J$2004,$Z32-2000))+N(INDEX(周转筐出入库明细!$K$4:$K$2004,$Z32-2000)),IF($Z32&lt;=5200,N(INDEX(客户自备加工筐明细!$F$4:$F$1203,$Z32-4000))+N(INDEX(客户自备加工筐明细!$G$4:$G$1203,$Z32-4000)),IF($Z32&lt;=5800,IF(INDEX(次果筐明细!$G$4:$G$603,$Z32-5200)=0,"",INDEX(次果筐明细!$G$4:$G$603,$Z32-5200)),"")))))</f>
        <v>3</v>
      </c>
      <c r="I32" s="24" t="str">
        <f>IF($Z32="","",IF($Z32&lt;=2000,IF(INDEX(包装物料出入库明细!$G$4:$G$2003,$Z32-0)=0,"",INDEX(包装物料出入库明细!$G$4:$G$2003,$Z32-0)),IF($Z32&lt;=4000,"个",IF($Z32&lt;=5200,"个",IF($Z32&lt;=5800,"个","")))))</f>
        <v>包</v>
      </c>
      <c r="J32" s="30" t="str">
        <f t="shared" si="1"/>
        <v/>
      </c>
      <c r="K32" s="30">
        <f>IF($Z32="","",IF($Z32&lt;=2000,IF(INDEX(包装物料出入库明细!$N$4:$N$2003,$Z32-0)=0,"",INDEX(包装物料出入库明细!$N$4:$N$2003,$Z32-0)),IF($Z32&lt;=4000,IF(INDEX(周转筐出入库明细!$P$4:$P$2004,$Z32-2000)=0,"",INDEX(周转筐出入库明细!$P$4:$P$2004,$Z32-2000)),IF($Z32&lt;=5200,"",IF($Z32&lt;=5800,N(INDEX(次果筐明细!$L$4:$L$603,$Z32-5200))+N(INDEX(次果筐明细!$J$4:$J$603,$Z32-5200)),"")))))</f>
        <v>135</v>
      </c>
      <c r="L32" s="24" t="str">
        <f>IF($Z32="","",IF($Z32&lt;=2000,IF(INDEX(包装物料出入库明细!$P$4:$P$2003,$Z32-0)=0,"",INDEX(包装物料出入库明细!$P$4:$P$2003,$Z32-0)),IF($Z32&lt;=4000,IF(INDEX(周转筐出入库明细!$Q$4:$Q$2004,$Z32-2000)=0,"",INDEX(周转筐出入库明细!$Q$4:$Q$2004,$Z32-2000)),IF($Z32&lt;=5200,"",IF($Z32&lt;=5800,IF(INDEX(次果筐明细!$M$4:$M$603,$Z32-5200)=0,"",INDEX(次果筐明细!$M$4:$M$603,$Z32-5200)),"")))))</f>
        <v>未付款</v>
      </c>
      <c r="M32" s="37" t="str">
        <f>IF($Z32="","",IF($Z32&lt;=2000,IF(INDEX(包装物料出入库明细!$R$4:$R$2003,$Z32-0)=0,"",INDEX(包装物料出入库明细!$R$4:$R$2003,$Z32-0)),IF($Z32&lt;=4000,IF(INDEX(周转筐出入库明细!$W$4:$W$2004,$Z32-2000)=0,"",INDEX(周转筐出入库明细!$W$4:$W$2004,$Z32-2000)),IF($Z32&lt;=5200,IF(INDEX(客户自备加工筐明细!$L$4:$L$1203,$Z32-4000)=0,"",INDEX(客户自备加工筐明细!$L$4:$L$1203,$Z32-4000)),IF($Z32&lt;=5800,IF(INDEX(次果筐明细!$P$4:$P$603,$Z32-5200)=0,"",INDEX(次果筐明细!$P$4:$P$603,$Z32-5200)),"")))))</f>
        <v/>
      </c>
      <c r="N32" s="16" t="str">
        <f>IF($Z32="","",IF($Z32&lt;=2000,"",IF($Z32&lt;=4000,IF(INDEX(周转筐出入库明细!$D$4:$D$2004,$Z32-2000)=0,"",INDEX(周转筐出入库明细!$D$4:$D$2004,$Z32-2000)),IF($Z32&lt;=5200,IF(INDEX(客户自备加工筐明细!$C$4:$C$1203,$Z32-4000)=0,"",INDEX(客户自备加工筐明细!$C$4:$C$1203,$Z32-4000)),IF($Z32&lt;=5800,IF(INDEX(次果筐明细!$D$4:$D$603,$Z32-5200)=0,"",INDEX(次果筐明细!$D$4:$D$603,$Z32-5200)),"")))))</f>
        <v/>
      </c>
      <c r="O32" s="40" t="str">
        <f>IF($Z32="","",IF($Z32&lt;=2000,"",IF($Z32&lt;=4000,IF(N(INDEX(周转筐出入库明细!$J$4:$J$2004,$Z32-2000))+N(INDEX(周转筐出入库明细!$K$4:$K$2004,$Z32-2000))=0,"",N(INDEX(周转筐出入库明细!$J$4:$J$2004,$Z32-2000))+N(INDEX(周转筐出入库明细!$K$4:$K$2004,$Z32-2000))),IF($Z32&lt;=5200,IF(N(INDEX(客户自备加工筐明细!$G$4:$G$1203,$Z32-4000))=0,"",N(INDEX(客户自备加工筐明细!$G$4:$G$1203,$Z32-4000))),IF($Z32&lt;=5800,IF(ISNUMBER(SEARCH("退",INDEX(次果筐明细!$F$4:$F$603,$Z32-5200)&amp;"")),"",IF(N(INDEX(次果筐明细!$G$4:$G$603,$Z32-5200))=0,"",N(INDEX(次果筐明细!$G$4:$G$603,$Z32-5200)))),"")))))</f>
        <v/>
      </c>
      <c r="P32" s="40" t="str">
        <f>IF($Z32="","",IF($Z32&lt;=2000,"",IF($Z32&lt;=4000,IF(N(INDEX(周转筐出入库明细!$I$4:$I$2004,$Z32-2000))=0,"",N(INDEX(周转筐出入库明细!$I$4:$I$2004,$Z32-2000))),IF($Z32&lt;=5200,"",IF($Z32&lt;=5800,IF(ISNUMBER(SEARCH("退",INDEX(次果筐明细!$F$4:$F$603,$Z32-5200)&amp;"")),IF(N(INDEX(次果筐明细!$G$4:$G$603,$Z32-5200))=0,"",N(INDEX(次果筐明细!$G$4:$G$603,$Z32-5200))),""),"")))))</f>
        <v/>
      </c>
      <c r="Q32" s="40" t="str">
        <f>IF($Z32="","",IF($Z32&lt;=2000,"",IF($Z32&lt;=4000,IF(N(INDEX(周转筐出入库明细!$H$4:$H$2004,$Z32-2000))=0,"",N(INDEX(周转筐出入库明细!$H$4:$H$2004,$Z32-2000))),IF($Z32&lt;=5200,IF(N(INDEX(客户自备加工筐明细!$F$4:$F$1203,$Z32-4000))=0,"",N(INDEX(客户自备加工筐明细!$F$4:$F$1203,$Z32-4000))),IF($Z32&lt;=5800,"","")))))</f>
        <v/>
      </c>
      <c r="R32" s="16" t="str">
        <f>IF($Z32="","",IF($Z32&lt;=2000,IF(INDEX(包装物料出入库明细!$O$4:$O$2003,$Z32-0)=0,"",INDEX(包装物料出入库明细!$O$4:$O$2003,$Z32-0)),IF($Z32&lt;=4000,IF(INDEX(周转筐出入库明细!$M$4:$M$2004,$Z32-2000)=0,"",INDEX(周转筐出入库明细!$M$4:$M$2004,$Z32-2000)),IF($Z32&lt;=5200,IF(INDEX(客户自备加工筐明细!$H$4:$H$1203,$Z32-4000)=0,"",INDEX(客户自备加工筐明细!$H$4:$H$1203,$Z32-4000)),IF($Z32&lt;=5800,IF(INDEX(次果筐明细!$H$4:$H$603,$Z32-5200)=0,"",INDEX(次果筐明细!$H$4:$H$603,$Z32-5200)),"")))))</f>
        <v>新N*Z0305</v>
      </c>
      <c r="S32" s="22" t="str">
        <f t="shared" si="2"/>
        <v/>
      </c>
      <c r="Z32" s="10">
        <f>IFERROR(MATCH(ROW()-3,_自动清单!$CQ$4:$CQ$5803,0),"")</f>
        <v>29</v>
      </c>
    </row>
    <row r="33" spans="1:26">
      <c r="A33" s="24">
        <f t="shared" si="0"/>
        <v>30</v>
      </c>
      <c r="B33" s="38">
        <f>IF($Z33="","",IF($Z33&lt;=2000,IF(INDEX(包装物料出入库明细!$B$4:$B$2003,$Z33-0)=0,"",INDEX(包装物料出入库明细!$B$4:$B$2003,$Z33-0)),IF($Z33&lt;=4000,IF(INDEX(周转筐出入库明细!$B$4:$B$2004,$Z33-2000)=0,"",INDEX(周转筐出入库明细!$B$4:$B$2004,$Z33-2000)),IF($Z33&lt;=5200,IF(INDEX(客户自备加工筐明细!$B$4:$B$1203,$Z33-4000)=0,"",INDEX(客户自备加工筐明细!$B$4:$B$1203,$Z33-4000)),IF($Z33&lt;=5800,IF(INDEX(次果筐明细!$B$4:$B$603,$Z33-5200)=0,"",INDEX(次果筐明细!$B$4:$B$603,$Z33-5200)),"")))))</f>
        <v>46276</v>
      </c>
      <c r="C33" s="37" t="str">
        <f>IF($Z33="","",IF($Z33&lt;=2000,IF(INDEX(包装物料出入库明细!$D$4:$D$2003,$Z33-0)=0,"",INDEX(包装物料出入库明细!$D$4:$D$2003,$Z33-0)),IF($Z33&lt;=4000,IF(INDEX(周转筐出入库明细!$C$4:$C$2004,$Z33-2000)=0,"",INDEX(周转筐出入库明细!$C$4:$C$2004,$Z33-2000)),IF($Z33&lt;=5200,IF(INDEX(客户自备加工筐明细!$E$4:$E$1203,$Z33-4000)=0,"",INDEX(客户自备加工筐明细!$E$4:$E$1203,$Z33-4000)),IF($Z33&lt;=5800,IF(INDEX(次果筐明细!$C$4:$C$603,$Z33-5200)=0,"",INDEX(次果筐明细!$C$4:$C$603,$Z33-5200)),"")))))</f>
        <v>热合曼</v>
      </c>
      <c r="D33" s="37" t="str">
        <f>IF($Z33="","",IF($Z33&lt;=2000,"包装物料－"&amp;INDEX(包装物料出入库明细!$H$4:$H$2003,$Z33-0),IF($Z33&lt;=4000,"周转筐－"&amp;INDEX(周转筐出入库明细!$F$4:$F$2004,$Z33-2000),IF($Z33&lt;=5200,"客户自备筐－"&amp;INDEX(客户自备加工筐明细!$J$4:$J$1203,$Z33-4000),IF($Z33&lt;=5800,"次果筐/托盘－"&amp;INDEX(次果筐明细!$F$4:$F$603,$Z33-5200),"")))))</f>
        <v>包装物料－领用出库</v>
      </c>
      <c r="E33" s="24" t="str">
        <f>IF($Z33="","",IF($Z33&lt;=2000,IF(INDEX(包装物料出入库明细!$C$4:$C$2003,$Z33-0)=0,"",INDEX(包装物料出入库明细!$C$4:$C$2003,$Z33-0)),IF($Z33&lt;=4000,IF(INDEX(周转筐出入库明细!$E$4:$E$2004,$Z33-2000)=0,"",INDEX(周转筐出入库明细!$E$4:$E$2004,$Z33-2000)),IF($Z33&lt;=5200,IF(INDEX(客户自备加工筐明细!$D$4:$D$1203,$Z33-4000)=0,"",INDEX(客户自备加工筐明细!$D$4:$D$1203,$Z33-4000)),IF($Z33&lt;=5800,IF(INDEX(次果筐明细!$E$4:$E$603,$Z33-5200)=0,"",INDEX(次果筐明细!$E$4:$E$603,$Z33-5200)),"")))))</f>
        <v>NO:0001120</v>
      </c>
      <c r="F33" s="24" t="str">
        <f>IF($Z33="","",IF($Z33&lt;=2000,IF(INDEX(包装物料出入库明细!$E$4:$E$2003,$Z33-0)=0,"",INDEX(包装物料出入库明细!$E$4:$E$2003,$Z33-0)),IF($Z33&lt;=4000,IF(INDEX(周转筐出入库明细!$D$4:$D$2004,$Z33-2000)=0,"",INDEX(周转筐出入库明细!$D$4:$D$2004,$Z33-2000)),IF($Z33&lt;=5200,IF(INDEX(客户自备加工筐明细!$C$4:$C$1203,$Z33-4000)=0,"",INDEX(客户自备加工筐明细!$C$4:$C$1203,$Z33-4000)),IF($Z33&lt;=5800,IF(INDEX(次果筐明细!$D$4:$D$603,$Z33-5200)=0,"",INDEX(次果筐明细!$D$4:$D$603,$Z33-5200)),"")))))</f>
        <v>香梨网</v>
      </c>
      <c r="G33" s="24" t="str">
        <f>IF($Z33="","",IF($Z33&lt;=2000,IF(INDEX(包装物料出入库明细!$F$4:$F$2003,$Z33-0)=0,"",INDEX(包装物料出入库明细!$F$4:$F$2003,$Z33-0)),IF($Z33&lt;=4000,"",IF($Z33&lt;=5200,"",IF($Z33&lt;=5800,"","")))))</f>
        <v>*包</v>
      </c>
      <c r="H33" s="39">
        <f>IF($Z33="","",IF($Z33&lt;=2000,IF(INDEX(包装物料出入库明细!$L$4:$L$2003,$Z33-0)=0,"",INDEX(包装物料出入库明细!$L$4:$L$2003,$Z33-0)),IF($Z33&lt;=4000,N(INDEX(周转筐出入库明细!$H$4:$H$2004,$Z33-2000))+N(INDEX(周转筐出入库明细!$I$4:$I$2004,$Z33-2000))+N(INDEX(周转筐出入库明细!$J$4:$J$2004,$Z33-2000))+N(INDEX(周转筐出入库明细!$K$4:$K$2004,$Z33-2000)),IF($Z33&lt;=5200,N(INDEX(客户自备加工筐明细!$F$4:$F$1203,$Z33-4000))+N(INDEX(客户自备加工筐明细!$G$4:$G$1203,$Z33-4000)),IF($Z33&lt;=5800,IF(INDEX(次果筐明细!$G$4:$G$603,$Z33-5200)=0,"",INDEX(次果筐明细!$G$4:$G$603,$Z33-5200)),"")))))</f>
        <v>48</v>
      </c>
      <c r="I33" s="24" t="str">
        <f>IF($Z33="","",IF($Z33&lt;=2000,IF(INDEX(包装物料出入库明细!$G$4:$G$2003,$Z33-0)=0,"",INDEX(包装物料出入库明细!$G$4:$G$2003,$Z33-0)),IF($Z33&lt;=4000,"个",IF($Z33&lt;=5200,"个",IF($Z33&lt;=5800,"个","")))))</f>
        <v>包</v>
      </c>
      <c r="J33" s="30" t="str">
        <f t="shared" si="1"/>
        <v/>
      </c>
      <c r="K33" s="30">
        <f>IF($Z33="","",IF($Z33&lt;=2000,IF(INDEX(包装物料出入库明细!$N$4:$N$2003,$Z33-0)=0,"",INDEX(包装物料出入库明细!$N$4:$N$2003,$Z33-0)),IF($Z33&lt;=4000,IF(INDEX(周转筐出入库明细!$P$4:$P$2004,$Z33-2000)=0,"",INDEX(周转筐出入库明细!$P$4:$P$2004,$Z33-2000)),IF($Z33&lt;=5200,"",IF($Z33&lt;=5800,N(INDEX(次果筐明细!$L$4:$L$603,$Z33-5200))+N(INDEX(次果筐明细!$J$4:$J$603,$Z33-5200)),"")))))</f>
        <v>2160</v>
      </c>
      <c r="L33" s="24" t="str">
        <f>IF($Z33="","",IF($Z33&lt;=2000,IF(INDEX(包装物料出入库明细!$P$4:$P$2003,$Z33-0)=0,"",INDEX(包装物料出入库明细!$P$4:$P$2003,$Z33-0)),IF($Z33&lt;=4000,IF(INDEX(周转筐出入库明细!$Q$4:$Q$2004,$Z33-2000)=0,"",INDEX(周转筐出入库明细!$Q$4:$Q$2004,$Z33-2000)),IF($Z33&lt;=5200,"",IF($Z33&lt;=5800,IF(INDEX(次果筐明细!$M$4:$M$603,$Z33-5200)=0,"",INDEX(次果筐明细!$M$4:$M$603,$Z33-5200)),"")))))</f>
        <v>未付款</v>
      </c>
      <c r="M33" s="37" t="str">
        <f>IF($Z33="","",IF($Z33&lt;=2000,IF(INDEX(包装物料出入库明细!$R$4:$R$2003,$Z33-0)=0,"",INDEX(包装物料出入库明细!$R$4:$R$2003,$Z33-0)),IF($Z33&lt;=4000,IF(INDEX(周转筐出入库明细!$W$4:$W$2004,$Z33-2000)=0,"",INDEX(周转筐出入库明细!$W$4:$W$2004,$Z33-2000)),IF($Z33&lt;=5200,IF(INDEX(客户自备加工筐明细!$L$4:$L$1203,$Z33-4000)=0,"",INDEX(客户自备加工筐明细!$L$4:$L$1203,$Z33-4000)),IF($Z33&lt;=5800,IF(INDEX(次果筐明细!$P$4:$P$603,$Z33-5200)=0,"",INDEX(次果筐明细!$P$4:$P$603,$Z33-5200)),"")))))</f>
        <v/>
      </c>
      <c r="N33" s="16" t="str">
        <f>IF($Z33="","",IF($Z33&lt;=2000,"",IF($Z33&lt;=4000,IF(INDEX(周转筐出入库明细!$D$4:$D$2004,$Z33-2000)=0,"",INDEX(周转筐出入库明细!$D$4:$D$2004,$Z33-2000)),IF($Z33&lt;=5200,IF(INDEX(客户自备加工筐明细!$C$4:$C$1203,$Z33-4000)=0,"",INDEX(客户自备加工筐明细!$C$4:$C$1203,$Z33-4000)),IF($Z33&lt;=5800,IF(INDEX(次果筐明细!$D$4:$D$603,$Z33-5200)=0,"",INDEX(次果筐明细!$D$4:$D$603,$Z33-5200)),"")))))</f>
        <v/>
      </c>
      <c r="O33" s="40" t="str">
        <f>IF($Z33="","",IF($Z33&lt;=2000,"",IF($Z33&lt;=4000,IF(N(INDEX(周转筐出入库明细!$J$4:$J$2004,$Z33-2000))+N(INDEX(周转筐出入库明细!$K$4:$K$2004,$Z33-2000))=0,"",N(INDEX(周转筐出入库明细!$J$4:$J$2004,$Z33-2000))+N(INDEX(周转筐出入库明细!$K$4:$K$2004,$Z33-2000))),IF($Z33&lt;=5200,IF(N(INDEX(客户自备加工筐明细!$G$4:$G$1203,$Z33-4000))=0,"",N(INDEX(客户自备加工筐明细!$G$4:$G$1203,$Z33-4000))),IF($Z33&lt;=5800,IF(ISNUMBER(SEARCH("退",INDEX(次果筐明细!$F$4:$F$603,$Z33-5200)&amp;"")),"",IF(N(INDEX(次果筐明细!$G$4:$G$603,$Z33-5200))=0,"",N(INDEX(次果筐明细!$G$4:$G$603,$Z33-5200)))),"")))))</f>
        <v/>
      </c>
      <c r="P33" s="40" t="str">
        <f>IF($Z33="","",IF($Z33&lt;=2000,"",IF($Z33&lt;=4000,IF(N(INDEX(周转筐出入库明细!$I$4:$I$2004,$Z33-2000))=0,"",N(INDEX(周转筐出入库明细!$I$4:$I$2004,$Z33-2000))),IF($Z33&lt;=5200,"",IF($Z33&lt;=5800,IF(ISNUMBER(SEARCH("退",INDEX(次果筐明细!$F$4:$F$603,$Z33-5200)&amp;"")),IF(N(INDEX(次果筐明细!$G$4:$G$603,$Z33-5200))=0,"",N(INDEX(次果筐明细!$G$4:$G$603,$Z33-5200))),""),"")))))</f>
        <v/>
      </c>
      <c r="Q33" s="40" t="str">
        <f>IF($Z33="","",IF($Z33&lt;=2000,"",IF($Z33&lt;=4000,IF(N(INDEX(周转筐出入库明细!$H$4:$H$2004,$Z33-2000))=0,"",N(INDEX(周转筐出入库明细!$H$4:$H$2004,$Z33-2000))),IF($Z33&lt;=5200,IF(N(INDEX(客户自备加工筐明细!$F$4:$F$1203,$Z33-4000))=0,"",N(INDEX(客户自备加工筐明细!$F$4:$F$1203,$Z33-4000))),IF($Z33&lt;=5800,"","")))))</f>
        <v/>
      </c>
      <c r="R33" s="16" t="str">
        <f>IF($Z33="","",IF($Z33&lt;=2000,IF(INDEX(包装物料出入库明细!$O$4:$O$2003,$Z33-0)=0,"",INDEX(包装物料出入库明细!$O$4:$O$2003,$Z33-0)),IF($Z33&lt;=4000,IF(INDEX(周转筐出入库明细!$M$4:$M$2004,$Z33-2000)=0,"",INDEX(周转筐出入库明细!$M$4:$M$2004,$Z33-2000)),IF($Z33&lt;=5200,IF(INDEX(客户自备加工筐明细!$H$4:$H$1203,$Z33-4000)=0,"",INDEX(客户自备加工筐明细!$H$4:$H$1203,$Z33-4000)),IF($Z33&lt;=5800,IF(INDEX(次果筐明细!$H$4:$H$603,$Z33-5200)=0,"",INDEX(次果筐明细!$H$4:$H$603,$Z33-5200)),"")))))</f>
        <v>新A*G0544</v>
      </c>
      <c r="S33" s="22" t="str">
        <f t="shared" si="2"/>
        <v/>
      </c>
      <c r="Z33" s="10">
        <f>IFERROR(MATCH(ROW()-3,_自动清单!$CQ$4:$CQ$5803,0),"")</f>
        <v>30</v>
      </c>
    </row>
    <row r="34" spans="1:26">
      <c r="A34" s="24">
        <f t="shared" si="0"/>
        <v>31</v>
      </c>
      <c r="B34" s="38">
        <f>IF($Z34="","",IF($Z34&lt;=2000,IF(INDEX(包装物料出入库明细!$B$4:$B$2003,$Z34-0)=0,"",INDEX(包装物料出入库明细!$B$4:$B$2003,$Z34-0)),IF($Z34&lt;=4000,IF(INDEX(周转筐出入库明细!$B$4:$B$2004,$Z34-2000)=0,"",INDEX(周转筐出入库明细!$B$4:$B$2004,$Z34-2000)),IF($Z34&lt;=5200,IF(INDEX(客户自备加工筐明细!$B$4:$B$1203,$Z34-4000)=0,"",INDEX(客户自备加工筐明细!$B$4:$B$1203,$Z34-4000)),IF($Z34&lt;=5800,IF(INDEX(次果筐明细!$B$4:$B$603,$Z34-5200)=0,"",INDEX(次果筐明细!$B$4:$B$603,$Z34-5200)),"")))))</f>
        <v>46276</v>
      </c>
      <c r="C34" s="37" t="str">
        <f>IF($Z34="","",IF($Z34&lt;=2000,IF(INDEX(包装物料出入库明细!$D$4:$D$2003,$Z34-0)=0,"",INDEX(包装物料出入库明细!$D$4:$D$2003,$Z34-0)),IF($Z34&lt;=4000,IF(INDEX(周转筐出入库明细!$C$4:$C$2004,$Z34-2000)=0,"",INDEX(周转筐出入库明细!$C$4:$C$2004,$Z34-2000)),IF($Z34&lt;=5200,IF(INDEX(客户自备加工筐明细!$E$4:$E$1203,$Z34-4000)=0,"",INDEX(客户自备加工筐明细!$E$4:$E$1203,$Z34-4000)),IF($Z34&lt;=5800,IF(INDEX(次果筐明细!$C$4:$C$603,$Z34-5200)=0,"",INDEX(次果筐明细!$C$4:$C$603,$Z34-5200)),"")))))</f>
        <v>吐尔洪</v>
      </c>
      <c r="D34" s="37" t="str">
        <f>IF($Z34="","",IF($Z34&lt;=2000,"包装物料－"&amp;INDEX(包装物料出入库明细!$H$4:$H$2003,$Z34-0),IF($Z34&lt;=4000,"周转筐－"&amp;INDEX(周转筐出入库明细!$F$4:$F$2004,$Z34-2000),IF($Z34&lt;=5200,"客户自备筐－"&amp;INDEX(客户自备加工筐明细!$J$4:$J$1203,$Z34-4000),IF($Z34&lt;=5800,"次果筐/托盘－"&amp;INDEX(次果筐明细!$F$4:$F$603,$Z34-5200),"")))))</f>
        <v>包装物料－领用出库</v>
      </c>
      <c r="E34" s="24" t="str">
        <f>IF($Z34="","",IF($Z34&lt;=2000,IF(INDEX(包装物料出入库明细!$C$4:$C$2003,$Z34-0)=0,"",INDEX(包装物料出入库明细!$C$4:$C$2003,$Z34-0)),IF($Z34&lt;=4000,IF(INDEX(周转筐出入库明细!$E$4:$E$2004,$Z34-2000)=0,"",INDEX(周转筐出入库明细!$E$4:$E$2004,$Z34-2000)),IF($Z34&lt;=5200,IF(INDEX(客户自备加工筐明细!$D$4:$D$1203,$Z34-4000)=0,"",INDEX(客户自备加工筐明细!$D$4:$D$1203,$Z34-4000)),IF($Z34&lt;=5800,IF(INDEX(次果筐明细!$E$4:$E$603,$Z34-5200)=0,"",INDEX(次果筐明细!$E$4:$E$603,$Z34-5200)),"")))))</f>
        <v>NO:0001121</v>
      </c>
      <c r="F34" s="24" t="str">
        <f>IF($Z34="","",IF($Z34&lt;=2000,IF(INDEX(包装物料出入库明细!$E$4:$E$2003,$Z34-0)=0,"",INDEX(包装物料出入库明细!$E$4:$E$2003,$Z34-0)),IF($Z34&lt;=4000,IF(INDEX(周转筐出入库明细!$D$4:$D$2004,$Z34-2000)=0,"",INDEX(周转筐出入库明细!$D$4:$D$2004,$Z34-2000)),IF($Z34&lt;=5200,IF(INDEX(客户自备加工筐明细!$C$4:$C$1203,$Z34-4000)=0,"",INDEX(客户自备加工筐明细!$C$4:$C$1203,$Z34-4000)),IF($Z34&lt;=5800,IF(INDEX(次果筐明细!$D$4:$D$603,$Z34-5200)=0,"",INDEX(次果筐明细!$D$4:$D$603,$Z34-5200)),"")))))</f>
        <v>香梨网</v>
      </c>
      <c r="G34" s="24" t="str">
        <f>IF($Z34="","",IF($Z34&lt;=2000,IF(INDEX(包装物料出入库明细!$F$4:$F$2003,$Z34-0)=0,"",INDEX(包装物料出入库明细!$F$4:$F$2003,$Z34-0)),IF($Z34&lt;=4000,"",IF($Z34&lt;=5200,"",IF($Z34&lt;=5800,"","")))))</f>
        <v>*包</v>
      </c>
      <c r="H34" s="39">
        <f>IF($Z34="","",IF($Z34&lt;=2000,IF(INDEX(包装物料出入库明细!$L$4:$L$2003,$Z34-0)=0,"",INDEX(包装物料出入库明细!$L$4:$L$2003,$Z34-0)),IF($Z34&lt;=4000,N(INDEX(周转筐出入库明细!$H$4:$H$2004,$Z34-2000))+N(INDEX(周转筐出入库明细!$I$4:$I$2004,$Z34-2000))+N(INDEX(周转筐出入库明细!$J$4:$J$2004,$Z34-2000))+N(INDEX(周转筐出入库明细!$K$4:$K$2004,$Z34-2000)),IF($Z34&lt;=5200,N(INDEX(客户自备加工筐明细!$F$4:$F$1203,$Z34-4000))+N(INDEX(客户自备加工筐明细!$G$4:$G$1203,$Z34-4000)),IF($Z34&lt;=5800,IF(INDEX(次果筐明细!$G$4:$G$603,$Z34-5200)=0,"",INDEX(次果筐明细!$G$4:$G$603,$Z34-5200)),"")))))</f>
        <v>12</v>
      </c>
      <c r="I34" s="24" t="str">
        <f>IF($Z34="","",IF($Z34&lt;=2000,IF(INDEX(包装物料出入库明细!$G$4:$G$2003,$Z34-0)=0,"",INDEX(包装物料出入库明细!$G$4:$G$2003,$Z34-0)),IF($Z34&lt;=4000,"个",IF($Z34&lt;=5200,"个",IF($Z34&lt;=5800,"个","")))))</f>
        <v>包</v>
      </c>
      <c r="J34" s="30" t="str">
        <f t="shared" si="1"/>
        <v/>
      </c>
      <c r="K34" s="30">
        <f>IF($Z34="","",IF($Z34&lt;=2000,IF(INDEX(包装物料出入库明细!$N$4:$N$2003,$Z34-0)=0,"",INDEX(包装物料出入库明细!$N$4:$N$2003,$Z34-0)),IF($Z34&lt;=4000,IF(INDEX(周转筐出入库明细!$P$4:$P$2004,$Z34-2000)=0,"",INDEX(周转筐出入库明细!$P$4:$P$2004,$Z34-2000)),IF($Z34&lt;=5200,"",IF($Z34&lt;=5800,N(INDEX(次果筐明细!$L$4:$L$603,$Z34-5200))+N(INDEX(次果筐明细!$J$4:$J$603,$Z34-5200)),"")))))</f>
        <v>540</v>
      </c>
      <c r="L34" s="24" t="str">
        <f>IF($Z34="","",IF($Z34&lt;=2000,IF(INDEX(包装物料出入库明细!$P$4:$P$2003,$Z34-0)=0,"",INDEX(包装物料出入库明细!$P$4:$P$2003,$Z34-0)),IF($Z34&lt;=4000,IF(INDEX(周转筐出入库明细!$Q$4:$Q$2004,$Z34-2000)=0,"",INDEX(周转筐出入库明细!$Q$4:$Q$2004,$Z34-2000)),IF($Z34&lt;=5200,"",IF($Z34&lt;=5800,IF(INDEX(次果筐明细!$M$4:$M$603,$Z34-5200)=0,"",INDEX(次果筐明细!$M$4:$M$603,$Z34-5200)),"")))))</f>
        <v>未付款</v>
      </c>
      <c r="M34" s="37" t="str">
        <f>IF($Z34="","",IF($Z34&lt;=2000,IF(INDEX(包装物料出入库明细!$R$4:$R$2003,$Z34-0)=0,"",INDEX(包装物料出入库明细!$R$4:$R$2003,$Z34-0)),IF($Z34&lt;=4000,IF(INDEX(周转筐出入库明细!$W$4:$W$2004,$Z34-2000)=0,"",INDEX(周转筐出入库明细!$W$4:$W$2004,$Z34-2000)),IF($Z34&lt;=5200,IF(INDEX(客户自备加工筐明细!$L$4:$L$1203,$Z34-4000)=0,"",INDEX(客户自备加工筐明细!$L$4:$L$1203,$Z34-4000)),IF($Z34&lt;=5800,IF(INDEX(次果筐明细!$P$4:$P$603,$Z34-5200)=0,"",INDEX(次果筐明细!$P$4:$P$603,$Z34-5200)),"")))))</f>
        <v/>
      </c>
      <c r="N34" s="16" t="str">
        <f>IF($Z34="","",IF($Z34&lt;=2000,"",IF($Z34&lt;=4000,IF(INDEX(周转筐出入库明细!$D$4:$D$2004,$Z34-2000)=0,"",INDEX(周转筐出入库明细!$D$4:$D$2004,$Z34-2000)),IF($Z34&lt;=5200,IF(INDEX(客户自备加工筐明细!$C$4:$C$1203,$Z34-4000)=0,"",INDEX(客户自备加工筐明细!$C$4:$C$1203,$Z34-4000)),IF($Z34&lt;=5800,IF(INDEX(次果筐明细!$D$4:$D$603,$Z34-5200)=0,"",INDEX(次果筐明细!$D$4:$D$603,$Z34-5200)),"")))))</f>
        <v/>
      </c>
      <c r="O34" s="40" t="str">
        <f>IF($Z34="","",IF($Z34&lt;=2000,"",IF($Z34&lt;=4000,IF(N(INDEX(周转筐出入库明细!$J$4:$J$2004,$Z34-2000))+N(INDEX(周转筐出入库明细!$K$4:$K$2004,$Z34-2000))=0,"",N(INDEX(周转筐出入库明细!$J$4:$J$2004,$Z34-2000))+N(INDEX(周转筐出入库明细!$K$4:$K$2004,$Z34-2000))),IF($Z34&lt;=5200,IF(N(INDEX(客户自备加工筐明细!$G$4:$G$1203,$Z34-4000))=0,"",N(INDEX(客户自备加工筐明细!$G$4:$G$1203,$Z34-4000))),IF($Z34&lt;=5800,IF(ISNUMBER(SEARCH("退",INDEX(次果筐明细!$F$4:$F$603,$Z34-5200)&amp;"")),"",IF(N(INDEX(次果筐明细!$G$4:$G$603,$Z34-5200))=0,"",N(INDEX(次果筐明细!$G$4:$G$603,$Z34-5200)))),"")))))</f>
        <v/>
      </c>
      <c r="P34" s="40" t="str">
        <f>IF($Z34="","",IF($Z34&lt;=2000,"",IF($Z34&lt;=4000,IF(N(INDEX(周转筐出入库明细!$I$4:$I$2004,$Z34-2000))=0,"",N(INDEX(周转筐出入库明细!$I$4:$I$2004,$Z34-2000))),IF($Z34&lt;=5200,"",IF($Z34&lt;=5800,IF(ISNUMBER(SEARCH("退",INDEX(次果筐明细!$F$4:$F$603,$Z34-5200)&amp;"")),IF(N(INDEX(次果筐明细!$G$4:$G$603,$Z34-5200))=0,"",N(INDEX(次果筐明细!$G$4:$G$603,$Z34-5200))),""),"")))))</f>
        <v/>
      </c>
      <c r="Q34" s="40" t="str">
        <f>IF($Z34="","",IF($Z34&lt;=2000,"",IF($Z34&lt;=4000,IF(N(INDEX(周转筐出入库明细!$H$4:$H$2004,$Z34-2000))=0,"",N(INDEX(周转筐出入库明细!$H$4:$H$2004,$Z34-2000))),IF($Z34&lt;=5200,IF(N(INDEX(客户自备加工筐明细!$F$4:$F$1203,$Z34-4000))=0,"",N(INDEX(客户自备加工筐明细!$F$4:$F$1203,$Z34-4000))),IF($Z34&lt;=5800,"","")))))</f>
        <v/>
      </c>
      <c r="R34" s="16" t="str">
        <f>IF($Z34="","",IF($Z34&lt;=2000,IF(INDEX(包装物料出入库明细!$O$4:$O$2003,$Z34-0)=0,"",INDEX(包装物料出入库明细!$O$4:$O$2003,$Z34-0)),IF($Z34&lt;=4000,IF(INDEX(周转筐出入库明细!$M$4:$M$2004,$Z34-2000)=0,"",INDEX(周转筐出入库明细!$M$4:$M$2004,$Z34-2000)),IF($Z34&lt;=5200,IF(INDEX(客户自备加工筐明细!$H$4:$H$1203,$Z34-4000)=0,"",INDEX(客户自备加工筐明细!$H$4:$H$1203,$Z34-4000)),IF($Z34&lt;=5800,IF(INDEX(次果筐明细!$H$4:$H$603,$Z34-5200)=0,"",INDEX(次果筐明细!$H$4:$H$603,$Z34-5200)),"")))))</f>
        <v>新N*X8S48</v>
      </c>
      <c r="S34" s="22" t="str">
        <f t="shared" si="2"/>
        <v/>
      </c>
      <c r="Z34" s="10">
        <f>IFERROR(MATCH(ROW()-3,_自动清单!$CQ$4:$CQ$5803,0),"")</f>
        <v>31</v>
      </c>
    </row>
    <row r="35" spans="1:26">
      <c r="A35" s="24">
        <f t="shared" si="0"/>
        <v>32</v>
      </c>
      <c r="B35" s="38">
        <f>IF($Z35="","",IF($Z35&lt;=2000,IF(INDEX(包装物料出入库明细!$B$4:$B$2003,$Z35-0)=0,"",INDEX(包装物料出入库明细!$B$4:$B$2003,$Z35-0)),IF($Z35&lt;=4000,IF(INDEX(周转筐出入库明细!$B$4:$B$2004,$Z35-2000)=0,"",INDEX(周转筐出入库明细!$B$4:$B$2004,$Z35-2000)),IF($Z35&lt;=5200,IF(INDEX(客户自备加工筐明细!$B$4:$B$1203,$Z35-4000)=0,"",INDEX(客户自备加工筐明细!$B$4:$B$1203,$Z35-4000)),IF($Z35&lt;=5800,IF(INDEX(次果筐明细!$B$4:$B$603,$Z35-5200)=0,"",INDEX(次果筐明细!$B$4:$B$603,$Z35-5200)),"")))))</f>
        <v>46277</v>
      </c>
      <c r="C35" s="37" t="str">
        <f>IF($Z35="","",IF($Z35&lt;=2000,IF(INDEX(包装物料出入库明细!$D$4:$D$2003,$Z35-0)=0,"",INDEX(包装物料出入库明细!$D$4:$D$2003,$Z35-0)),IF($Z35&lt;=4000,IF(INDEX(周转筐出入库明细!$C$4:$C$2004,$Z35-2000)=0,"",INDEX(周转筐出入库明细!$C$4:$C$2004,$Z35-2000)),IF($Z35&lt;=5200,IF(INDEX(客户自备加工筐明细!$E$4:$E$1203,$Z35-4000)=0,"",INDEX(客户自备加工筐明细!$E$4:$E$1203,$Z35-4000)),IF($Z35&lt;=5800,IF(INDEX(次果筐明细!$C$4:$C$603,$Z35-5200)=0,"",INDEX(次果筐明细!$C$4:$C$603,$Z35-5200)),"")))))</f>
        <v>新顺发泡网</v>
      </c>
      <c r="D35" s="37" t="str">
        <f>IF($Z35="","",IF($Z35&lt;=2000,"包装物料－"&amp;INDEX(包装物料出入库明细!$H$4:$H$2003,$Z35-0),IF($Z35&lt;=4000,"周转筐－"&amp;INDEX(周转筐出入库明细!$F$4:$F$2004,$Z35-2000),IF($Z35&lt;=5200,"客户自备筐－"&amp;INDEX(客户自备加工筐明细!$J$4:$J$1203,$Z35-4000),IF($Z35&lt;=5800,"次果筐/托盘－"&amp;INDEX(次果筐明细!$F$4:$F$603,$Z35-5200),"")))))</f>
        <v>包装物料－采购入库</v>
      </c>
      <c r="E35" s="24" t="str">
        <f>IF($Z35="","",IF($Z35&lt;=2000,IF(INDEX(包装物料出入库明细!$C$4:$C$2003,$Z35-0)=0,"",INDEX(包装物料出入库明细!$C$4:$C$2003,$Z35-0)),IF($Z35&lt;=4000,IF(INDEX(周转筐出入库明细!$E$4:$E$2004,$Z35-2000)=0,"",INDEX(周转筐出入库明细!$E$4:$E$2004,$Z35-2000)),IF($Z35&lt;=5200,IF(INDEX(客户自备加工筐明细!$D$4:$D$1203,$Z35-4000)=0,"",INDEX(客户自备加工筐明细!$D$4:$D$1203,$Z35-4000)),IF($Z35&lt;=5800,IF(INDEX(次果筐明细!$E$4:$E$603,$Z35-5200)=0,"",INDEX(次果筐明细!$E$4:$E$603,$Z35-5200)),"")))))</f>
        <v>NO:0000791</v>
      </c>
      <c r="F35" s="24" t="str">
        <f>IF($Z35="","",IF($Z35&lt;=2000,IF(INDEX(包装物料出入库明细!$E$4:$E$2003,$Z35-0)=0,"",INDEX(包装物料出入库明细!$E$4:$E$2003,$Z35-0)),IF($Z35&lt;=4000,IF(INDEX(周转筐出入库明细!$D$4:$D$2004,$Z35-2000)=0,"",INDEX(周转筐出入库明细!$D$4:$D$2004,$Z35-2000)),IF($Z35&lt;=5200,IF(INDEX(客户自备加工筐明细!$C$4:$C$1203,$Z35-4000)=0,"",INDEX(客户自备加工筐明细!$C$4:$C$1203,$Z35-4000)),IF($Z35&lt;=5800,IF(INDEX(次果筐明细!$D$4:$D$603,$Z35-5200)=0,"",INDEX(次果筐明细!$D$4:$D$603,$Z35-5200)),"")))))</f>
        <v>香梨网</v>
      </c>
      <c r="G35" s="24" t="str">
        <f>IF($Z35="","",IF($Z35&lt;=2000,IF(INDEX(包装物料出入库明细!$F$4:$F$2003,$Z35-0)=0,"",INDEX(包装物料出入库明细!$F$4:$F$2003,$Z35-0)),IF($Z35&lt;=4000,"",IF($Z35&lt;=5200,"",IF($Z35&lt;=5800,"","")))))</f>
        <v>*包</v>
      </c>
      <c r="H35" s="39">
        <f>IF($Z35="","",IF($Z35&lt;=2000,IF(INDEX(包装物料出入库明细!$L$4:$L$2003,$Z35-0)=0,"",INDEX(包装物料出入库明细!$L$4:$L$2003,$Z35-0)),IF($Z35&lt;=4000,N(INDEX(周转筐出入库明细!$H$4:$H$2004,$Z35-2000))+N(INDEX(周转筐出入库明细!$I$4:$I$2004,$Z35-2000))+N(INDEX(周转筐出入库明细!$J$4:$J$2004,$Z35-2000))+N(INDEX(周转筐出入库明细!$K$4:$K$2004,$Z35-2000)),IF($Z35&lt;=5200,N(INDEX(客户自备加工筐明细!$F$4:$F$1203,$Z35-4000))+N(INDEX(客户自备加工筐明细!$G$4:$G$1203,$Z35-4000)),IF($Z35&lt;=5800,IF(INDEX(次果筐明细!$G$4:$G$603,$Z35-5200)=0,"",INDEX(次果筐明细!$G$4:$G$603,$Z35-5200)),"")))))</f>
        <v>120</v>
      </c>
      <c r="I35" s="24" t="str">
        <f>IF($Z35="","",IF($Z35&lt;=2000,IF(INDEX(包装物料出入库明细!$G$4:$G$2003,$Z35-0)=0,"",INDEX(包装物料出入库明细!$G$4:$G$2003,$Z35-0)),IF($Z35&lt;=4000,"个",IF($Z35&lt;=5200,"个",IF($Z35&lt;=5800,"个","")))))</f>
        <v>包</v>
      </c>
      <c r="J35" s="30" t="str">
        <f t="shared" si="1"/>
        <v/>
      </c>
      <c r="K35" s="30">
        <f>IF($Z35="","",IF($Z35&lt;=2000,IF(INDEX(包装物料出入库明细!$N$4:$N$2003,$Z35-0)=0,"",INDEX(包装物料出入库明细!$N$4:$N$2003,$Z35-0)),IF($Z35&lt;=4000,IF(INDEX(周转筐出入库明细!$P$4:$P$2004,$Z35-2000)=0,"",INDEX(周转筐出入库明细!$P$4:$P$2004,$Z35-2000)),IF($Z35&lt;=5200,"",IF($Z35&lt;=5800,N(INDEX(次果筐明细!$L$4:$L$603,$Z35-5200))+N(INDEX(次果筐明细!$J$4:$J$603,$Z35-5200)),"")))))</f>
        <v>4440</v>
      </c>
      <c r="L35" s="24" t="str">
        <f>IF($Z35="","",IF($Z35&lt;=2000,IF(INDEX(包装物料出入库明细!$P$4:$P$2003,$Z35-0)=0,"",INDEX(包装物料出入库明细!$P$4:$P$2003,$Z35-0)),IF($Z35&lt;=4000,IF(INDEX(周转筐出入库明细!$Q$4:$Q$2004,$Z35-2000)=0,"",INDEX(周转筐出入库明细!$Q$4:$Q$2004,$Z35-2000)),IF($Z35&lt;=5200,"",IF($Z35&lt;=5800,IF(INDEX(次果筐明细!$M$4:$M$603,$Z35-5200)=0,"",INDEX(次果筐明细!$M$4:$M$603,$Z35-5200)),"")))))</f>
        <v>未付款</v>
      </c>
      <c r="M35" s="37" t="str">
        <f>IF($Z35="","",IF($Z35&lt;=2000,IF(INDEX(包装物料出入库明细!$R$4:$R$2003,$Z35-0)=0,"",INDEX(包装物料出入库明细!$R$4:$R$2003,$Z35-0)),IF($Z35&lt;=4000,IF(INDEX(周转筐出入库明细!$W$4:$W$2004,$Z35-2000)=0,"",INDEX(周转筐出入库明细!$W$4:$W$2004,$Z35-2000)),IF($Z35&lt;=5200,IF(INDEX(客户自备加工筐明细!$L$4:$L$1203,$Z35-4000)=0,"",INDEX(客户自备加工筐明细!$L$4:$L$1203,$Z35-4000)),IF($Z35&lt;=5800,IF(INDEX(次果筐明细!$P$4:$P$603,$Z35-5200)=0,"",INDEX(次果筐明细!$P$4:$P$603,$Z35-5200)),"")))))</f>
        <v>12#</v>
      </c>
      <c r="N35" s="16" t="str">
        <f>IF($Z35="","",IF($Z35&lt;=2000,"",IF($Z35&lt;=4000,IF(INDEX(周转筐出入库明细!$D$4:$D$2004,$Z35-2000)=0,"",INDEX(周转筐出入库明细!$D$4:$D$2004,$Z35-2000)),IF($Z35&lt;=5200,IF(INDEX(客户自备加工筐明细!$C$4:$C$1203,$Z35-4000)=0,"",INDEX(客户自备加工筐明细!$C$4:$C$1203,$Z35-4000)),IF($Z35&lt;=5800,IF(INDEX(次果筐明细!$D$4:$D$603,$Z35-5200)=0,"",INDEX(次果筐明细!$D$4:$D$603,$Z35-5200)),"")))))</f>
        <v/>
      </c>
      <c r="O35" s="40" t="str">
        <f>IF($Z35="","",IF($Z35&lt;=2000,"",IF($Z35&lt;=4000,IF(N(INDEX(周转筐出入库明细!$J$4:$J$2004,$Z35-2000))+N(INDEX(周转筐出入库明细!$K$4:$K$2004,$Z35-2000))=0,"",N(INDEX(周转筐出入库明细!$J$4:$J$2004,$Z35-2000))+N(INDEX(周转筐出入库明细!$K$4:$K$2004,$Z35-2000))),IF($Z35&lt;=5200,IF(N(INDEX(客户自备加工筐明细!$G$4:$G$1203,$Z35-4000))=0,"",N(INDEX(客户自备加工筐明细!$G$4:$G$1203,$Z35-4000))),IF($Z35&lt;=5800,IF(ISNUMBER(SEARCH("退",INDEX(次果筐明细!$F$4:$F$603,$Z35-5200)&amp;"")),"",IF(N(INDEX(次果筐明细!$G$4:$G$603,$Z35-5200))=0,"",N(INDEX(次果筐明细!$G$4:$G$603,$Z35-5200)))),"")))))</f>
        <v/>
      </c>
      <c r="P35" s="40" t="str">
        <f>IF($Z35="","",IF($Z35&lt;=2000,"",IF($Z35&lt;=4000,IF(N(INDEX(周转筐出入库明细!$I$4:$I$2004,$Z35-2000))=0,"",N(INDEX(周转筐出入库明细!$I$4:$I$2004,$Z35-2000))),IF($Z35&lt;=5200,"",IF($Z35&lt;=5800,IF(ISNUMBER(SEARCH("退",INDEX(次果筐明细!$F$4:$F$603,$Z35-5200)&amp;"")),IF(N(INDEX(次果筐明细!$G$4:$G$603,$Z35-5200))=0,"",N(INDEX(次果筐明细!$G$4:$G$603,$Z35-5200))),""),"")))))</f>
        <v/>
      </c>
      <c r="Q35" s="40" t="str">
        <f>IF($Z35="","",IF($Z35&lt;=2000,"",IF($Z35&lt;=4000,IF(N(INDEX(周转筐出入库明细!$H$4:$H$2004,$Z35-2000))=0,"",N(INDEX(周转筐出入库明细!$H$4:$H$2004,$Z35-2000))),IF($Z35&lt;=5200,IF(N(INDEX(客户自备加工筐明细!$F$4:$F$1203,$Z35-4000))=0,"",N(INDEX(客户自备加工筐明细!$F$4:$F$1203,$Z35-4000))),IF($Z35&lt;=5800,"","")))))</f>
        <v/>
      </c>
      <c r="R35" s="16" t="str">
        <f>IF($Z35="","",IF($Z35&lt;=2000,IF(INDEX(包装物料出入库明细!$O$4:$O$2003,$Z35-0)=0,"",INDEX(包装物料出入库明细!$O$4:$O$2003,$Z35-0)),IF($Z35&lt;=4000,IF(INDEX(周转筐出入库明细!$M$4:$M$2004,$Z35-2000)=0,"",INDEX(周转筐出入库明细!$M$4:$M$2004,$Z35-2000)),IF($Z35&lt;=5200,IF(INDEX(客户自备加工筐明细!$H$4:$H$1203,$Z35-4000)=0,"",INDEX(客户自备加工筐明细!$H$4:$H$1203,$Z35-4000)),IF($Z35&lt;=5800,IF(INDEX(次果筐明细!$H$4:$H$603,$Z35-5200)=0,"",INDEX(次果筐明细!$H$4:$H$603,$Z35-5200)),"")))))</f>
        <v>皖L*SD929</v>
      </c>
      <c r="S35" s="22" t="str">
        <f t="shared" si="2"/>
        <v/>
      </c>
      <c r="Z35" s="10">
        <f>IFERROR(MATCH(ROW()-3,_自动清单!$CQ$4:$CQ$5803,0),"")</f>
        <v>32</v>
      </c>
    </row>
    <row r="36" spans="1:26">
      <c r="A36" s="24">
        <f t="shared" si="0"/>
        <v>33</v>
      </c>
      <c r="B36" s="38">
        <f>IF($Z36="","",IF($Z36&lt;=2000,IF(INDEX(包装物料出入库明细!$B$4:$B$2003,$Z36-0)=0,"",INDEX(包装物料出入库明细!$B$4:$B$2003,$Z36-0)),IF($Z36&lt;=4000,IF(INDEX(周转筐出入库明细!$B$4:$B$2004,$Z36-2000)=0,"",INDEX(周转筐出入库明细!$B$4:$B$2004,$Z36-2000)),IF($Z36&lt;=5200,IF(INDEX(客户自备加工筐明细!$B$4:$B$1203,$Z36-4000)=0,"",INDEX(客户自备加工筐明细!$B$4:$B$1203,$Z36-4000)),IF($Z36&lt;=5800,IF(INDEX(次果筐明细!$B$4:$B$603,$Z36-5200)=0,"",INDEX(次果筐明细!$B$4:$B$603,$Z36-5200)),"")))))</f>
        <v>46277</v>
      </c>
      <c r="C36" s="37" t="str">
        <f>IF($Z36="","",IF($Z36&lt;=2000,IF(INDEX(包装物料出入库明细!$D$4:$D$2003,$Z36-0)=0,"",INDEX(包装物料出入库明细!$D$4:$D$2003,$Z36-0)),IF($Z36&lt;=4000,IF(INDEX(周转筐出入库明细!$C$4:$C$2004,$Z36-2000)=0,"",INDEX(周转筐出入库明细!$C$4:$C$2004,$Z36-2000)),IF($Z36&lt;=5200,IF(INDEX(客户自备加工筐明细!$E$4:$E$1203,$Z36-4000)=0,"",INDEX(客户自备加工筐明细!$E$4:$E$1203,$Z36-4000)),IF($Z36&lt;=5800,IF(INDEX(次果筐明细!$C$4:$C$603,$Z36-5200)=0,"",INDEX(次果筐明细!$C$4:$C$603,$Z36-5200)),"")))))</f>
        <v>麦麦提</v>
      </c>
      <c r="D36" s="37" t="str">
        <f>IF($Z36="","",IF($Z36&lt;=2000,"包装物料－"&amp;INDEX(包装物料出入库明细!$H$4:$H$2003,$Z36-0),IF($Z36&lt;=4000,"周转筐－"&amp;INDEX(周转筐出入库明细!$F$4:$F$2004,$Z36-2000),IF($Z36&lt;=5200,"客户自备筐－"&amp;INDEX(客户自备加工筐明细!$J$4:$J$1203,$Z36-4000),IF($Z36&lt;=5800,"次果筐/托盘－"&amp;INDEX(次果筐明细!$F$4:$F$603,$Z36-5200),"")))))</f>
        <v>包装物料－领用出库</v>
      </c>
      <c r="E36" s="24" t="str">
        <f>IF($Z36="","",IF($Z36&lt;=2000,IF(INDEX(包装物料出入库明细!$C$4:$C$2003,$Z36-0)=0,"",INDEX(包装物料出入库明细!$C$4:$C$2003,$Z36-0)),IF($Z36&lt;=4000,IF(INDEX(周转筐出入库明细!$E$4:$E$2004,$Z36-2000)=0,"",INDEX(周转筐出入库明细!$E$4:$E$2004,$Z36-2000)),IF($Z36&lt;=5200,IF(INDEX(客户自备加工筐明细!$D$4:$D$1203,$Z36-4000)=0,"",INDEX(客户自备加工筐明细!$D$4:$D$1203,$Z36-4000)),IF($Z36&lt;=5800,IF(INDEX(次果筐明细!$E$4:$E$603,$Z36-5200)=0,"",INDEX(次果筐明细!$E$4:$E$603,$Z36-5200)),"")))))</f>
        <v>NO:0001125</v>
      </c>
      <c r="F36" s="24" t="str">
        <f>IF($Z36="","",IF($Z36&lt;=2000,IF(INDEX(包装物料出入库明细!$E$4:$E$2003,$Z36-0)=0,"",INDEX(包装物料出入库明细!$E$4:$E$2003,$Z36-0)),IF($Z36&lt;=4000,IF(INDEX(周转筐出入库明细!$D$4:$D$2004,$Z36-2000)=0,"",INDEX(周转筐出入库明细!$D$4:$D$2004,$Z36-2000)),IF($Z36&lt;=5200,IF(INDEX(客户自备加工筐明细!$C$4:$C$1203,$Z36-4000)=0,"",INDEX(客户自备加工筐明细!$C$4:$C$1203,$Z36-4000)),IF($Z36&lt;=5800,IF(INDEX(次果筐明细!$D$4:$D$603,$Z36-5200)=0,"",INDEX(次果筐明细!$D$4:$D$603,$Z36-5200)),"")))))</f>
        <v>香梨网</v>
      </c>
      <c r="G36" s="24" t="str">
        <f>IF($Z36="","",IF($Z36&lt;=2000,IF(INDEX(包装物料出入库明细!$F$4:$F$2003,$Z36-0)=0,"",INDEX(包装物料出入库明细!$F$4:$F$2003,$Z36-0)),IF($Z36&lt;=4000,"",IF($Z36&lt;=5200,"",IF($Z36&lt;=5800,"","")))))</f>
        <v>*包</v>
      </c>
      <c r="H36" s="39">
        <f>IF($Z36="","",IF($Z36&lt;=2000,IF(INDEX(包装物料出入库明细!$L$4:$L$2003,$Z36-0)=0,"",INDEX(包装物料出入库明细!$L$4:$L$2003,$Z36-0)),IF($Z36&lt;=4000,N(INDEX(周转筐出入库明细!$H$4:$H$2004,$Z36-2000))+N(INDEX(周转筐出入库明细!$I$4:$I$2004,$Z36-2000))+N(INDEX(周转筐出入库明细!$J$4:$J$2004,$Z36-2000))+N(INDEX(周转筐出入库明细!$K$4:$K$2004,$Z36-2000)),IF($Z36&lt;=5200,N(INDEX(客户自备加工筐明细!$F$4:$F$1203,$Z36-4000))+N(INDEX(客户自备加工筐明细!$G$4:$G$1203,$Z36-4000)),IF($Z36&lt;=5800,IF(INDEX(次果筐明细!$G$4:$G$603,$Z36-5200)=0,"",INDEX(次果筐明细!$G$4:$G$603,$Z36-5200)),"")))))</f>
        <v>48</v>
      </c>
      <c r="I36" s="24" t="str">
        <f>IF($Z36="","",IF($Z36&lt;=2000,IF(INDEX(包装物料出入库明细!$G$4:$G$2003,$Z36-0)=0,"",INDEX(包装物料出入库明细!$G$4:$G$2003,$Z36-0)),IF($Z36&lt;=4000,"个",IF($Z36&lt;=5200,"个",IF($Z36&lt;=5800,"个","")))))</f>
        <v>包</v>
      </c>
      <c r="J36" s="30" t="str">
        <f t="shared" si="1"/>
        <v/>
      </c>
      <c r="K36" s="30">
        <f>IF($Z36="","",IF($Z36&lt;=2000,IF(INDEX(包装物料出入库明细!$N$4:$N$2003,$Z36-0)=0,"",INDEX(包装物料出入库明细!$N$4:$N$2003,$Z36-0)),IF($Z36&lt;=4000,IF(INDEX(周转筐出入库明细!$P$4:$P$2004,$Z36-2000)=0,"",INDEX(周转筐出入库明细!$P$4:$P$2004,$Z36-2000)),IF($Z36&lt;=5200,"",IF($Z36&lt;=5800,N(INDEX(次果筐明细!$L$4:$L$603,$Z36-5200))+N(INDEX(次果筐明细!$J$4:$J$603,$Z36-5200)),"")))))</f>
        <v>2160</v>
      </c>
      <c r="L36" s="24" t="str">
        <f>IF($Z36="","",IF($Z36&lt;=2000,IF(INDEX(包装物料出入库明细!$P$4:$P$2003,$Z36-0)=0,"",INDEX(包装物料出入库明细!$P$4:$P$2003,$Z36-0)),IF($Z36&lt;=4000,IF(INDEX(周转筐出入库明细!$Q$4:$Q$2004,$Z36-2000)=0,"",INDEX(周转筐出入库明细!$Q$4:$Q$2004,$Z36-2000)),IF($Z36&lt;=5200,"",IF($Z36&lt;=5800,IF(INDEX(次果筐明细!$M$4:$M$603,$Z36-5200)=0,"",INDEX(次果筐明细!$M$4:$M$603,$Z36-5200)),"")))))</f>
        <v>未付款</v>
      </c>
      <c r="M36" s="37" t="str">
        <f>IF($Z36="","",IF($Z36&lt;=2000,IF(INDEX(包装物料出入库明细!$R$4:$R$2003,$Z36-0)=0,"",INDEX(包装物料出入库明细!$R$4:$R$2003,$Z36-0)),IF($Z36&lt;=4000,IF(INDEX(周转筐出入库明细!$W$4:$W$2004,$Z36-2000)=0,"",INDEX(周转筐出入库明细!$W$4:$W$2004,$Z36-2000)),IF($Z36&lt;=5200,IF(INDEX(客户自备加工筐明细!$L$4:$L$1203,$Z36-4000)=0,"",INDEX(客户自备加工筐明细!$L$4:$L$1203,$Z36-4000)),IF($Z36&lt;=5800,IF(INDEX(次果筐明细!$P$4:$P$603,$Z36-5200)=0,"",INDEX(次果筐明细!$P$4:$P$603,$Z36-5200)),"")))))</f>
        <v/>
      </c>
      <c r="N36" s="16" t="str">
        <f>IF($Z36="","",IF($Z36&lt;=2000,"",IF($Z36&lt;=4000,IF(INDEX(周转筐出入库明细!$D$4:$D$2004,$Z36-2000)=0,"",INDEX(周转筐出入库明细!$D$4:$D$2004,$Z36-2000)),IF($Z36&lt;=5200,IF(INDEX(客户自备加工筐明细!$C$4:$C$1203,$Z36-4000)=0,"",INDEX(客户自备加工筐明细!$C$4:$C$1203,$Z36-4000)),IF($Z36&lt;=5800,IF(INDEX(次果筐明细!$D$4:$D$603,$Z36-5200)=0,"",INDEX(次果筐明细!$D$4:$D$603,$Z36-5200)),"")))))</f>
        <v/>
      </c>
      <c r="O36" s="40" t="str">
        <f>IF($Z36="","",IF($Z36&lt;=2000,"",IF($Z36&lt;=4000,IF(N(INDEX(周转筐出入库明细!$J$4:$J$2004,$Z36-2000))+N(INDEX(周转筐出入库明细!$K$4:$K$2004,$Z36-2000))=0,"",N(INDEX(周转筐出入库明细!$J$4:$J$2004,$Z36-2000))+N(INDEX(周转筐出入库明细!$K$4:$K$2004,$Z36-2000))),IF($Z36&lt;=5200,IF(N(INDEX(客户自备加工筐明细!$G$4:$G$1203,$Z36-4000))=0,"",N(INDEX(客户自备加工筐明细!$G$4:$G$1203,$Z36-4000))),IF($Z36&lt;=5800,IF(ISNUMBER(SEARCH("退",INDEX(次果筐明细!$F$4:$F$603,$Z36-5200)&amp;"")),"",IF(N(INDEX(次果筐明细!$G$4:$G$603,$Z36-5200))=0,"",N(INDEX(次果筐明细!$G$4:$G$603,$Z36-5200)))),"")))))</f>
        <v/>
      </c>
      <c r="P36" s="40" t="str">
        <f>IF($Z36="","",IF($Z36&lt;=2000,"",IF($Z36&lt;=4000,IF(N(INDEX(周转筐出入库明细!$I$4:$I$2004,$Z36-2000))=0,"",N(INDEX(周转筐出入库明细!$I$4:$I$2004,$Z36-2000))),IF($Z36&lt;=5200,"",IF($Z36&lt;=5800,IF(ISNUMBER(SEARCH("退",INDEX(次果筐明细!$F$4:$F$603,$Z36-5200)&amp;"")),IF(N(INDEX(次果筐明细!$G$4:$G$603,$Z36-5200))=0,"",N(INDEX(次果筐明细!$G$4:$G$603,$Z36-5200))),""),"")))))</f>
        <v/>
      </c>
      <c r="Q36" s="40" t="str">
        <f>IF($Z36="","",IF($Z36&lt;=2000,"",IF($Z36&lt;=4000,IF(N(INDEX(周转筐出入库明细!$H$4:$H$2004,$Z36-2000))=0,"",N(INDEX(周转筐出入库明细!$H$4:$H$2004,$Z36-2000))),IF($Z36&lt;=5200,IF(N(INDEX(客户自备加工筐明细!$F$4:$F$1203,$Z36-4000))=0,"",N(INDEX(客户自备加工筐明细!$F$4:$F$1203,$Z36-4000))),IF($Z36&lt;=5800,"","")))))</f>
        <v/>
      </c>
      <c r="R36" s="16" t="str">
        <f>IF($Z36="","",IF($Z36&lt;=2000,IF(INDEX(包装物料出入库明细!$O$4:$O$2003,$Z36-0)=0,"",INDEX(包装物料出入库明细!$O$4:$O$2003,$Z36-0)),IF($Z36&lt;=4000,IF(INDEX(周转筐出入库明细!$M$4:$M$2004,$Z36-2000)=0,"",INDEX(周转筐出入库明细!$M$4:$M$2004,$Z36-2000)),IF($Z36&lt;=5200,IF(INDEX(客户自备加工筐明细!$H$4:$H$1203,$Z36-4000)=0,"",INDEX(客户自备加工筐明细!$H$4:$H$1203,$Z36-4000)),IF($Z36&lt;=5800,IF(INDEX(次果筐明细!$H$4:$H$603,$Z36-5200)=0,"",INDEX(次果筐明细!$H$4:$H$603,$Z36-5200)),"")))))</f>
        <v>新A*G0544</v>
      </c>
      <c r="S36" s="22" t="str">
        <f t="shared" si="2"/>
        <v/>
      </c>
      <c r="Z36" s="10">
        <f>IFERROR(MATCH(ROW()-3,_自动清单!$CQ$4:$CQ$5803,0),"")</f>
        <v>33</v>
      </c>
    </row>
    <row r="37" spans="1:26">
      <c r="A37" s="24">
        <f t="shared" si="0"/>
        <v>34</v>
      </c>
      <c r="B37" s="38">
        <f>IF($Z37="","",IF($Z37&lt;=2000,IF(INDEX(包装物料出入库明细!$B$4:$B$2003,$Z37-0)=0,"",INDEX(包装物料出入库明细!$B$4:$B$2003,$Z37-0)),IF($Z37&lt;=4000,IF(INDEX(周转筐出入库明细!$B$4:$B$2004,$Z37-2000)=0,"",INDEX(周转筐出入库明细!$B$4:$B$2004,$Z37-2000)),IF($Z37&lt;=5200,IF(INDEX(客户自备加工筐明细!$B$4:$B$1203,$Z37-4000)=0,"",INDEX(客户自备加工筐明细!$B$4:$B$1203,$Z37-4000)),IF($Z37&lt;=5800,IF(INDEX(次果筐明细!$B$4:$B$603,$Z37-5200)=0,"",INDEX(次果筐明细!$B$4:$B$603,$Z37-5200)),"")))))</f>
        <v>46278</v>
      </c>
      <c r="C37" s="37" t="str">
        <f>IF($Z37="","",IF($Z37&lt;=2000,IF(INDEX(包装物料出入库明细!$D$4:$D$2003,$Z37-0)=0,"",INDEX(包装物料出入库明细!$D$4:$D$2003,$Z37-0)),IF($Z37&lt;=4000,IF(INDEX(周转筐出入库明细!$C$4:$C$2004,$Z37-2000)=0,"",INDEX(周转筐出入库明细!$C$4:$C$2004,$Z37-2000)),IF($Z37&lt;=5200,IF(INDEX(客户自备加工筐明细!$E$4:$E$1203,$Z37-4000)=0,"",INDEX(客户自备加工筐明细!$E$4:$E$1203,$Z37-4000)),IF($Z37&lt;=5800,IF(INDEX(次果筐明细!$C$4:$C$603,$Z37-5200)=0,"",INDEX(次果筐明细!$C$4:$C$603,$Z37-5200)),"")))))</f>
        <v>荆建君</v>
      </c>
      <c r="D37" s="37" t="str">
        <f>IF($Z37="","",IF($Z37&lt;=2000,"包装物料－"&amp;INDEX(包装物料出入库明细!$H$4:$H$2003,$Z37-0),IF($Z37&lt;=4000,"周转筐－"&amp;INDEX(周转筐出入库明细!$F$4:$F$2004,$Z37-2000),IF($Z37&lt;=5200,"客户自备筐－"&amp;INDEX(客户自备加工筐明细!$J$4:$J$1203,$Z37-4000),IF($Z37&lt;=5800,"次果筐/托盘－"&amp;INDEX(次果筐明细!$F$4:$F$603,$Z37-5200),"")))))</f>
        <v>包装物料－领用出库</v>
      </c>
      <c r="E37" s="24" t="str">
        <f>IF($Z37="","",IF($Z37&lt;=2000,IF(INDEX(包装物料出入库明细!$C$4:$C$2003,$Z37-0)=0,"",INDEX(包装物料出入库明细!$C$4:$C$2003,$Z37-0)),IF($Z37&lt;=4000,IF(INDEX(周转筐出入库明细!$E$4:$E$2004,$Z37-2000)=0,"",INDEX(周转筐出入库明细!$E$4:$E$2004,$Z37-2000)),IF($Z37&lt;=5200,IF(INDEX(客户自备加工筐明细!$D$4:$D$1203,$Z37-4000)=0,"",INDEX(客户自备加工筐明细!$D$4:$D$1203,$Z37-4000)),IF($Z37&lt;=5800,IF(INDEX(次果筐明细!$E$4:$E$603,$Z37-5200)=0,"",INDEX(次果筐明细!$E$4:$E$603,$Z37-5200)),"")))))</f>
        <v>NO:0001126</v>
      </c>
      <c r="F37" s="24" t="str">
        <f>IF($Z37="","",IF($Z37&lt;=2000,IF(INDEX(包装物料出入库明细!$E$4:$E$2003,$Z37-0)=0,"",INDEX(包装物料出入库明细!$E$4:$E$2003,$Z37-0)),IF($Z37&lt;=4000,IF(INDEX(周转筐出入库明细!$D$4:$D$2004,$Z37-2000)=0,"",INDEX(周转筐出入库明细!$D$4:$D$2004,$Z37-2000)),IF($Z37&lt;=5200,IF(INDEX(客户自备加工筐明细!$C$4:$C$1203,$Z37-4000)=0,"",INDEX(客户自备加工筐明细!$C$4:$C$1203,$Z37-4000)),IF($Z37&lt;=5800,IF(INDEX(次果筐明细!$D$4:$D$603,$Z37-5200)=0,"",INDEX(次果筐明细!$D$4:$D$603,$Z37-5200)),"")))))</f>
        <v>香梨网</v>
      </c>
      <c r="G37" s="24" t="str">
        <f>IF($Z37="","",IF($Z37&lt;=2000,IF(INDEX(包装物料出入库明细!$F$4:$F$2003,$Z37-0)=0,"",INDEX(包装物料出入库明细!$F$4:$F$2003,$Z37-0)),IF($Z37&lt;=4000,"",IF($Z37&lt;=5200,"",IF($Z37&lt;=5800,"","")))))</f>
        <v>*包</v>
      </c>
      <c r="H37" s="39">
        <f>IF($Z37="","",IF($Z37&lt;=2000,IF(INDEX(包装物料出入库明细!$L$4:$L$2003,$Z37-0)=0,"",INDEX(包装物料出入库明细!$L$4:$L$2003,$Z37-0)),IF($Z37&lt;=4000,N(INDEX(周转筐出入库明细!$H$4:$H$2004,$Z37-2000))+N(INDEX(周转筐出入库明细!$I$4:$I$2004,$Z37-2000))+N(INDEX(周转筐出入库明细!$J$4:$J$2004,$Z37-2000))+N(INDEX(周转筐出入库明细!$K$4:$K$2004,$Z37-2000)),IF($Z37&lt;=5200,N(INDEX(客户自备加工筐明细!$F$4:$F$1203,$Z37-4000))+N(INDEX(客户自备加工筐明细!$G$4:$G$1203,$Z37-4000)),IF($Z37&lt;=5800,IF(INDEX(次果筐明细!$G$4:$G$603,$Z37-5200)=0,"",INDEX(次果筐明细!$G$4:$G$603,$Z37-5200)),"")))))</f>
        <v>120</v>
      </c>
      <c r="I37" s="24" t="str">
        <f>IF($Z37="","",IF($Z37&lt;=2000,IF(INDEX(包装物料出入库明细!$G$4:$G$2003,$Z37-0)=0,"",INDEX(包装物料出入库明细!$G$4:$G$2003,$Z37-0)),IF($Z37&lt;=4000,"个",IF($Z37&lt;=5200,"个",IF($Z37&lt;=5800,"个","")))))</f>
        <v>包</v>
      </c>
      <c r="J37" s="30" t="str">
        <f t="shared" si="1"/>
        <v/>
      </c>
      <c r="K37" s="30">
        <f>IF($Z37="","",IF($Z37&lt;=2000,IF(INDEX(包装物料出入库明细!$N$4:$N$2003,$Z37-0)=0,"",INDEX(包装物料出入库明细!$N$4:$N$2003,$Z37-0)),IF($Z37&lt;=4000,IF(INDEX(周转筐出入库明细!$P$4:$P$2004,$Z37-2000)=0,"",INDEX(周转筐出入库明细!$P$4:$P$2004,$Z37-2000)),IF($Z37&lt;=5200,"",IF($Z37&lt;=5800,N(INDEX(次果筐明细!$L$4:$L$603,$Z37-5200))+N(INDEX(次果筐明细!$J$4:$J$603,$Z37-5200)),"")))))</f>
        <v>5400</v>
      </c>
      <c r="L37" s="24" t="str">
        <f>IF($Z37="","",IF($Z37&lt;=2000,IF(INDEX(包装物料出入库明细!$P$4:$P$2003,$Z37-0)=0,"",INDEX(包装物料出入库明细!$P$4:$P$2003,$Z37-0)),IF($Z37&lt;=4000,IF(INDEX(周转筐出入库明细!$Q$4:$Q$2004,$Z37-2000)=0,"",INDEX(周转筐出入库明细!$Q$4:$Q$2004,$Z37-2000)),IF($Z37&lt;=5200,"",IF($Z37&lt;=5800,IF(INDEX(次果筐明细!$M$4:$M$603,$Z37-5200)=0,"",INDEX(次果筐明细!$M$4:$M$603,$Z37-5200)),"")))))</f>
        <v>未付款</v>
      </c>
      <c r="M37" s="37" t="str">
        <f>IF($Z37="","",IF($Z37&lt;=2000,IF(INDEX(包装物料出入库明细!$R$4:$R$2003,$Z37-0)=0,"",INDEX(包装物料出入库明细!$R$4:$R$2003,$Z37-0)),IF($Z37&lt;=4000,IF(INDEX(周转筐出入库明细!$W$4:$W$2004,$Z37-2000)=0,"",INDEX(周转筐出入库明细!$W$4:$W$2004,$Z37-2000)),IF($Z37&lt;=5200,IF(INDEX(客户自备加工筐明细!$L$4:$L$1203,$Z37-4000)=0,"",INDEX(客户自备加工筐明细!$L$4:$L$1203,$Z37-4000)),IF($Z37&lt;=5800,IF(INDEX(次果筐明细!$P$4:$P$603,$Z37-5200)=0,"",INDEX(次果筐明细!$P$4:$P$603,$Z37-5200)),"")))))</f>
        <v/>
      </c>
      <c r="N37" s="16" t="str">
        <f>IF($Z37="","",IF($Z37&lt;=2000,"",IF($Z37&lt;=4000,IF(INDEX(周转筐出入库明细!$D$4:$D$2004,$Z37-2000)=0,"",INDEX(周转筐出入库明细!$D$4:$D$2004,$Z37-2000)),IF($Z37&lt;=5200,IF(INDEX(客户自备加工筐明细!$C$4:$C$1203,$Z37-4000)=0,"",INDEX(客户自备加工筐明细!$C$4:$C$1203,$Z37-4000)),IF($Z37&lt;=5800,IF(INDEX(次果筐明细!$D$4:$D$603,$Z37-5200)=0,"",INDEX(次果筐明细!$D$4:$D$603,$Z37-5200)),"")))))</f>
        <v/>
      </c>
      <c r="O37" s="40" t="str">
        <f>IF($Z37="","",IF($Z37&lt;=2000,"",IF($Z37&lt;=4000,IF(N(INDEX(周转筐出入库明细!$J$4:$J$2004,$Z37-2000))+N(INDEX(周转筐出入库明细!$K$4:$K$2004,$Z37-2000))=0,"",N(INDEX(周转筐出入库明细!$J$4:$J$2004,$Z37-2000))+N(INDEX(周转筐出入库明细!$K$4:$K$2004,$Z37-2000))),IF($Z37&lt;=5200,IF(N(INDEX(客户自备加工筐明细!$G$4:$G$1203,$Z37-4000))=0,"",N(INDEX(客户自备加工筐明细!$G$4:$G$1203,$Z37-4000))),IF($Z37&lt;=5800,IF(ISNUMBER(SEARCH("退",INDEX(次果筐明细!$F$4:$F$603,$Z37-5200)&amp;"")),"",IF(N(INDEX(次果筐明细!$G$4:$G$603,$Z37-5200))=0,"",N(INDEX(次果筐明细!$G$4:$G$603,$Z37-5200)))),"")))))</f>
        <v/>
      </c>
      <c r="P37" s="40" t="str">
        <f>IF($Z37="","",IF($Z37&lt;=2000,"",IF($Z37&lt;=4000,IF(N(INDEX(周转筐出入库明细!$I$4:$I$2004,$Z37-2000))=0,"",N(INDEX(周转筐出入库明细!$I$4:$I$2004,$Z37-2000))),IF($Z37&lt;=5200,"",IF($Z37&lt;=5800,IF(ISNUMBER(SEARCH("退",INDEX(次果筐明细!$F$4:$F$603,$Z37-5200)&amp;"")),IF(N(INDEX(次果筐明细!$G$4:$G$603,$Z37-5200))=0,"",N(INDEX(次果筐明细!$G$4:$G$603,$Z37-5200))),""),"")))))</f>
        <v/>
      </c>
      <c r="Q37" s="40" t="str">
        <f>IF($Z37="","",IF($Z37&lt;=2000,"",IF($Z37&lt;=4000,IF(N(INDEX(周转筐出入库明细!$H$4:$H$2004,$Z37-2000))=0,"",N(INDEX(周转筐出入库明细!$H$4:$H$2004,$Z37-2000))),IF($Z37&lt;=5200,IF(N(INDEX(客户自备加工筐明细!$F$4:$F$1203,$Z37-4000))=0,"",N(INDEX(客户自备加工筐明细!$F$4:$F$1203,$Z37-4000))),IF($Z37&lt;=5800,"","")))))</f>
        <v/>
      </c>
      <c r="R37" s="16" t="str">
        <f>IF($Z37="","",IF($Z37&lt;=2000,IF(INDEX(包装物料出入库明细!$O$4:$O$2003,$Z37-0)=0,"",INDEX(包装物料出入库明细!$O$4:$O$2003,$Z37-0)),IF($Z37&lt;=4000,IF(INDEX(周转筐出入库明细!$M$4:$M$2004,$Z37-2000)=0,"",INDEX(周转筐出入库明细!$M$4:$M$2004,$Z37-2000)),IF($Z37&lt;=5200,IF(INDEX(客户自备加工筐明细!$H$4:$H$1203,$Z37-4000)=0,"",INDEX(客户自备加工筐明细!$H$4:$H$1203,$Z37-4000)),IF($Z37&lt;=5800,IF(INDEX(次果筐明细!$H$4:$H$603,$Z37-5200)=0,"",INDEX(次果筐明细!$H$4:$H$603,$Z37-5200)),"")))))</f>
        <v>豫A*2737K</v>
      </c>
      <c r="S37" s="22" t="str">
        <f t="shared" si="2"/>
        <v/>
      </c>
      <c r="Z37" s="10">
        <f>IFERROR(MATCH(ROW()-3,_自动清单!$CQ$4:$CQ$5803,0),"")</f>
        <v>34</v>
      </c>
    </row>
    <row r="38" spans="1:26">
      <c r="A38" s="24">
        <f t="shared" si="0"/>
        <v>35</v>
      </c>
      <c r="B38" s="38">
        <f>IF($Z38="","",IF($Z38&lt;=2000,IF(INDEX(包装物料出入库明细!$B$4:$B$2003,$Z38-0)=0,"",INDEX(包装物料出入库明细!$B$4:$B$2003,$Z38-0)),IF($Z38&lt;=4000,IF(INDEX(周转筐出入库明细!$B$4:$B$2004,$Z38-2000)=0,"",INDEX(周转筐出入库明细!$B$4:$B$2004,$Z38-2000)),IF($Z38&lt;=5200,IF(INDEX(客户自备加工筐明细!$B$4:$B$1203,$Z38-4000)=0,"",INDEX(客户自备加工筐明细!$B$4:$B$1203,$Z38-4000)),IF($Z38&lt;=5800,IF(INDEX(次果筐明细!$B$4:$B$603,$Z38-5200)=0,"",INDEX(次果筐明细!$B$4:$B$603,$Z38-5200)),"")))))</f>
        <v>46278</v>
      </c>
      <c r="C38" s="37" t="str">
        <f>IF($Z38="","",IF($Z38&lt;=2000,IF(INDEX(包装物料出入库明细!$D$4:$D$2003,$Z38-0)=0,"",INDEX(包装物料出入库明细!$D$4:$D$2003,$Z38-0)),IF($Z38&lt;=4000,IF(INDEX(周转筐出入库明细!$C$4:$C$2004,$Z38-2000)=0,"",INDEX(周转筐出入库明细!$C$4:$C$2004,$Z38-2000)),IF($Z38&lt;=5200,IF(INDEX(客户自备加工筐明细!$E$4:$E$1203,$Z38-4000)=0,"",INDEX(客户自备加工筐明细!$E$4:$E$1203,$Z38-4000)),IF($Z38&lt;=5800,IF(INDEX(次果筐明细!$C$4:$C$603,$Z38-5200)=0,"",INDEX(次果筐明细!$C$4:$C$603,$Z38-5200)),"")))))</f>
        <v>吐尔洪</v>
      </c>
      <c r="D38" s="37" t="str">
        <f>IF($Z38="","",IF($Z38&lt;=2000,"包装物料－"&amp;INDEX(包装物料出入库明细!$H$4:$H$2003,$Z38-0),IF($Z38&lt;=4000,"周转筐－"&amp;INDEX(周转筐出入库明细!$F$4:$F$2004,$Z38-2000),IF($Z38&lt;=5200,"客户自备筐－"&amp;INDEX(客户自备加工筐明细!$J$4:$J$1203,$Z38-4000),IF($Z38&lt;=5800,"次果筐/托盘－"&amp;INDEX(次果筐明细!$F$4:$F$603,$Z38-5200),"")))))</f>
        <v>包装物料－领用出库</v>
      </c>
      <c r="E38" s="24" t="str">
        <f>IF($Z38="","",IF($Z38&lt;=2000,IF(INDEX(包装物料出入库明细!$C$4:$C$2003,$Z38-0)=0,"",INDEX(包装物料出入库明细!$C$4:$C$2003,$Z38-0)),IF($Z38&lt;=4000,IF(INDEX(周转筐出入库明细!$E$4:$E$2004,$Z38-2000)=0,"",INDEX(周转筐出入库明细!$E$4:$E$2004,$Z38-2000)),IF($Z38&lt;=5200,IF(INDEX(客户自备加工筐明细!$D$4:$D$1203,$Z38-4000)=0,"",INDEX(客户自备加工筐明细!$D$4:$D$1203,$Z38-4000)),IF($Z38&lt;=5800,IF(INDEX(次果筐明细!$E$4:$E$603,$Z38-5200)=0,"",INDEX(次果筐明细!$E$4:$E$603,$Z38-5200)),"")))))</f>
        <v>NO:0001132</v>
      </c>
      <c r="F38" s="24" t="str">
        <f>IF($Z38="","",IF($Z38&lt;=2000,IF(INDEX(包装物料出入库明细!$E$4:$E$2003,$Z38-0)=0,"",INDEX(包装物料出入库明细!$E$4:$E$2003,$Z38-0)),IF($Z38&lt;=4000,IF(INDEX(周转筐出入库明细!$D$4:$D$2004,$Z38-2000)=0,"",INDEX(周转筐出入库明细!$D$4:$D$2004,$Z38-2000)),IF($Z38&lt;=5200,IF(INDEX(客户自备加工筐明细!$C$4:$C$1203,$Z38-4000)=0,"",INDEX(客户自备加工筐明细!$C$4:$C$1203,$Z38-4000)),IF($Z38&lt;=5800,IF(INDEX(次果筐明细!$D$4:$D$603,$Z38-5200)=0,"",INDEX(次果筐明细!$D$4:$D$603,$Z38-5200)),"")))))</f>
        <v>香梨网</v>
      </c>
      <c r="G38" s="24" t="str">
        <f>IF($Z38="","",IF($Z38&lt;=2000,IF(INDEX(包装物料出入库明细!$F$4:$F$2003,$Z38-0)=0,"",INDEX(包装物料出入库明细!$F$4:$F$2003,$Z38-0)),IF($Z38&lt;=4000,"",IF($Z38&lt;=5200,"",IF($Z38&lt;=5800,"","")))))</f>
        <v>*包</v>
      </c>
      <c r="H38" s="39">
        <f>IF($Z38="","",IF($Z38&lt;=2000,IF(INDEX(包装物料出入库明细!$L$4:$L$2003,$Z38-0)=0,"",INDEX(包装物料出入库明细!$L$4:$L$2003,$Z38-0)),IF($Z38&lt;=4000,N(INDEX(周转筐出入库明细!$H$4:$H$2004,$Z38-2000))+N(INDEX(周转筐出入库明细!$I$4:$I$2004,$Z38-2000))+N(INDEX(周转筐出入库明细!$J$4:$J$2004,$Z38-2000))+N(INDEX(周转筐出入库明细!$K$4:$K$2004,$Z38-2000)),IF($Z38&lt;=5200,N(INDEX(客户自备加工筐明细!$F$4:$F$1203,$Z38-4000))+N(INDEX(客户自备加工筐明细!$G$4:$G$1203,$Z38-4000)),IF($Z38&lt;=5800,IF(INDEX(次果筐明细!$G$4:$G$603,$Z38-5200)=0,"",INDEX(次果筐明细!$G$4:$G$603,$Z38-5200)),"")))))</f>
        <v>24</v>
      </c>
      <c r="I38" s="24" t="str">
        <f>IF($Z38="","",IF($Z38&lt;=2000,IF(INDEX(包装物料出入库明细!$G$4:$G$2003,$Z38-0)=0,"",INDEX(包装物料出入库明细!$G$4:$G$2003,$Z38-0)),IF($Z38&lt;=4000,"个",IF($Z38&lt;=5200,"个",IF($Z38&lt;=5800,"个","")))))</f>
        <v>包</v>
      </c>
      <c r="J38" s="30" t="str">
        <f t="shared" si="1"/>
        <v/>
      </c>
      <c r="K38" s="30">
        <f>IF($Z38="","",IF($Z38&lt;=2000,IF(INDEX(包装物料出入库明细!$N$4:$N$2003,$Z38-0)=0,"",INDEX(包装物料出入库明细!$N$4:$N$2003,$Z38-0)),IF($Z38&lt;=4000,IF(INDEX(周转筐出入库明细!$P$4:$P$2004,$Z38-2000)=0,"",INDEX(周转筐出入库明细!$P$4:$P$2004,$Z38-2000)),IF($Z38&lt;=5200,"",IF($Z38&lt;=5800,N(INDEX(次果筐明细!$L$4:$L$603,$Z38-5200))+N(INDEX(次果筐明细!$J$4:$J$603,$Z38-5200)),"")))))</f>
        <v>1080</v>
      </c>
      <c r="L38" s="24" t="str">
        <f>IF($Z38="","",IF($Z38&lt;=2000,IF(INDEX(包装物料出入库明细!$P$4:$P$2003,$Z38-0)=0,"",INDEX(包装物料出入库明细!$P$4:$P$2003,$Z38-0)),IF($Z38&lt;=4000,IF(INDEX(周转筐出入库明细!$Q$4:$Q$2004,$Z38-2000)=0,"",INDEX(周转筐出入库明细!$Q$4:$Q$2004,$Z38-2000)),IF($Z38&lt;=5200,"",IF($Z38&lt;=5800,IF(INDEX(次果筐明细!$M$4:$M$603,$Z38-5200)=0,"",INDEX(次果筐明细!$M$4:$M$603,$Z38-5200)),"")))))</f>
        <v>未付款</v>
      </c>
      <c r="M38" s="37" t="str">
        <f>IF($Z38="","",IF($Z38&lt;=2000,IF(INDEX(包装物料出入库明细!$R$4:$R$2003,$Z38-0)=0,"",INDEX(包装物料出入库明细!$R$4:$R$2003,$Z38-0)),IF($Z38&lt;=4000,IF(INDEX(周转筐出入库明细!$W$4:$W$2004,$Z38-2000)=0,"",INDEX(周转筐出入库明细!$W$4:$W$2004,$Z38-2000)),IF($Z38&lt;=5200,IF(INDEX(客户自备加工筐明细!$L$4:$L$1203,$Z38-4000)=0,"",INDEX(客户自备加工筐明细!$L$4:$L$1203,$Z38-4000)),IF($Z38&lt;=5800,IF(INDEX(次果筐明细!$P$4:$P$603,$Z38-5200)=0,"",INDEX(次果筐明细!$P$4:$P$603,$Z38-5200)),"")))))</f>
        <v/>
      </c>
      <c r="N38" s="16" t="str">
        <f>IF($Z38="","",IF($Z38&lt;=2000,"",IF($Z38&lt;=4000,IF(INDEX(周转筐出入库明细!$D$4:$D$2004,$Z38-2000)=0,"",INDEX(周转筐出入库明细!$D$4:$D$2004,$Z38-2000)),IF($Z38&lt;=5200,IF(INDEX(客户自备加工筐明细!$C$4:$C$1203,$Z38-4000)=0,"",INDEX(客户自备加工筐明细!$C$4:$C$1203,$Z38-4000)),IF($Z38&lt;=5800,IF(INDEX(次果筐明细!$D$4:$D$603,$Z38-5200)=0,"",INDEX(次果筐明细!$D$4:$D$603,$Z38-5200)),"")))))</f>
        <v/>
      </c>
      <c r="O38" s="40" t="str">
        <f>IF($Z38="","",IF($Z38&lt;=2000,"",IF($Z38&lt;=4000,IF(N(INDEX(周转筐出入库明细!$J$4:$J$2004,$Z38-2000))+N(INDEX(周转筐出入库明细!$K$4:$K$2004,$Z38-2000))=0,"",N(INDEX(周转筐出入库明细!$J$4:$J$2004,$Z38-2000))+N(INDEX(周转筐出入库明细!$K$4:$K$2004,$Z38-2000))),IF($Z38&lt;=5200,IF(N(INDEX(客户自备加工筐明细!$G$4:$G$1203,$Z38-4000))=0,"",N(INDEX(客户自备加工筐明细!$G$4:$G$1203,$Z38-4000))),IF($Z38&lt;=5800,IF(ISNUMBER(SEARCH("退",INDEX(次果筐明细!$F$4:$F$603,$Z38-5200)&amp;"")),"",IF(N(INDEX(次果筐明细!$G$4:$G$603,$Z38-5200))=0,"",N(INDEX(次果筐明细!$G$4:$G$603,$Z38-5200)))),"")))))</f>
        <v/>
      </c>
      <c r="P38" s="40" t="str">
        <f>IF($Z38="","",IF($Z38&lt;=2000,"",IF($Z38&lt;=4000,IF(N(INDEX(周转筐出入库明细!$I$4:$I$2004,$Z38-2000))=0,"",N(INDEX(周转筐出入库明细!$I$4:$I$2004,$Z38-2000))),IF($Z38&lt;=5200,"",IF($Z38&lt;=5800,IF(ISNUMBER(SEARCH("退",INDEX(次果筐明细!$F$4:$F$603,$Z38-5200)&amp;"")),IF(N(INDEX(次果筐明细!$G$4:$G$603,$Z38-5200))=0,"",N(INDEX(次果筐明细!$G$4:$G$603,$Z38-5200))),""),"")))))</f>
        <v/>
      </c>
      <c r="Q38" s="40" t="str">
        <f>IF($Z38="","",IF($Z38&lt;=2000,"",IF($Z38&lt;=4000,IF(N(INDEX(周转筐出入库明细!$H$4:$H$2004,$Z38-2000))=0,"",N(INDEX(周转筐出入库明细!$H$4:$H$2004,$Z38-2000))),IF($Z38&lt;=5200,IF(N(INDEX(客户自备加工筐明细!$F$4:$F$1203,$Z38-4000))=0,"",N(INDEX(客户自备加工筐明细!$F$4:$F$1203,$Z38-4000))),IF($Z38&lt;=5800,"","")))))</f>
        <v/>
      </c>
      <c r="R38" s="16" t="str">
        <f>IF($Z38="","",IF($Z38&lt;=2000,IF(INDEX(包装物料出入库明细!$O$4:$O$2003,$Z38-0)=0,"",INDEX(包装物料出入库明细!$O$4:$O$2003,$Z38-0)),IF($Z38&lt;=4000,IF(INDEX(周转筐出入库明细!$M$4:$M$2004,$Z38-2000)=0,"",INDEX(周转筐出入库明细!$M$4:$M$2004,$Z38-2000)),IF($Z38&lt;=5200,IF(INDEX(客户自备加工筐明细!$H$4:$H$1203,$Z38-4000)=0,"",INDEX(客户自备加工筐明细!$H$4:$H$1203,$Z38-4000)),IF($Z38&lt;=5800,IF(INDEX(次果筐明细!$H$4:$H$603,$Z38-5200)=0,"",INDEX(次果筐明细!$H$4:$H$603,$Z38-5200)),"")))))</f>
        <v>新N*X8S48</v>
      </c>
      <c r="S38" s="22" t="str">
        <f t="shared" si="2"/>
        <v/>
      </c>
      <c r="Z38" s="10">
        <f>IFERROR(MATCH(ROW()-3,_自动清单!$CQ$4:$CQ$5803,0),"")</f>
        <v>35</v>
      </c>
    </row>
    <row r="39" spans="1:26">
      <c r="A39" s="24">
        <f t="shared" si="0"/>
        <v>36</v>
      </c>
      <c r="B39" s="38">
        <f>IF($Z39="","",IF($Z39&lt;=2000,IF(INDEX(包装物料出入库明细!$B$4:$B$2003,$Z39-0)=0,"",INDEX(包装物料出入库明细!$B$4:$B$2003,$Z39-0)),IF($Z39&lt;=4000,IF(INDEX(周转筐出入库明细!$B$4:$B$2004,$Z39-2000)=0,"",INDEX(周转筐出入库明细!$B$4:$B$2004,$Z39-2000)),IF($Z39&lt;=5200,IF(INDEX(客户自备加工筐明细!$B$4:$B$1203,$Z39-4000)=0,"",INDEX(客户自备加工筐明细!$B$4:$B$1203,$Z39-4000)),IF($Z39&lt;=5800,IF(INDEX(次果筐明细!$B$4:$B$603,$Z39-5200)=0,"",INDEX(次果筐明细!$B$4:$B$603,$Z39-5200)),"")))))</f>
        <v>46278</v>
      </c>
      <c r="C39" s="37" t="str">
        <f>IF($Z39="","",IF($Z39&lt;=2000,IF(INDEX(包装物料出入库明细!$D$4:$D$2003,$Z39-0)=0,"",INDEX(包装物料出入库明细!$D$4:$D$2003,$Z39-0)),IF($Z39&lt;=4000,IF(INDEX(周转筐出入库明细!$C$4:$C$2004,$Z39-2000)=0,"",INDEX(周转筐出入库明细!$C$4:$C$2004,$Z39-2000)),IF($Z39&lt;=5200,IF(INDEX(客户自备加工筐明细!$E$4:$E$1203,$Z39-4000)=0,"",INDEX(客户自备加工筐明细!$E$4:$E$1203,$Z39-4000)),IF($Z39&lt;=5800,IF(INDEX(次果筐明细!$C$4:$C$603,$Z39-5200)=0,"",INDEX(次果筐明细!$C$4:$C$603,$Z39-5200)),"")))))</f>
        <v>努尔敦</v>
      </c>
      <c r="D39" s="37" t="str">
        <f>IF($Z39="","",IF($Z39&lt;=2000,"包装物料－"&amp;INDEX(包装物料出入库明细!$H$4:$H$2003,$Z39-0),IF($Z39&lt;=4000,"周转筐－"&amp;INDEX(周转筐出入库明细!$F$4:$F$2004,$Z39-2000),IF($Z39&lt;=5200,"客户自备筐－"&amp;INDEX(客户自备加工筐明细!$J$4:$J$1203,$Z39-4000),IF($Z39&lt;=5800,"次果筐/托盘－"&amp;INDEX(次果筐明细!$F$4:$F$603,$Z39-5200),"")))))</f>
        <v>包装物料－领用出库</v>
      </c>
      <c r="E39" s="24" t="str">
        <f>IF($Z39="","",IF($Z39&lt;=2000,IF(INDEX(包装物料出入库明细!$C$4:$C$2003,$Z39-0)=0,"",INDEX(包装物料出入库明细!$C$4:$C$2003,$Z39-0)),IF($Z39&lt;=4000,IF(INDEX(周转筐出入库明细!$E$4:$E$2004,$Z39-2000)=0,"",INDEX(周转筐出入库明细!$E$4:$E$2004,$Z39-2000)),IF($Z39&lt;=5200,IF(INDEX(客户自备加工筐明细!$D$4:$D$1203,$Z39-4000)=0,"",INDEX(客户自备加工筐明细!$D$4:$D$1203,$Z39-4000)),IF($Z39&lt;=5800,IF(INDEX(次果筐明细!$E$4:$E$603,$Z39-5200)=0,"",INDEX(次果筐明细!$E$4:$E$603,$Z39-5200)),"")))))</f>
        <v>NO:0001133</v>
      </c>
      <c r="F39" s="24" t="str">
        <f>IF($Z39="","",IF($Z39&lt;=2000,IF(INDEX(包装物料出入库明细!$E$4:$E$2003,$Z39-0)=0,"",INDEX(包装物料出入库明细!$E$4:$E$2003,$Z39-0)),IF($Z39&lt;=4000,IF(INDEX(周转筐出入库明细!$D$4:$D$2004,$Z39-2000)=0,"",INDEX(周转筐出入库明细!$D$4:$D$2004,$Z39-2000)),IF($Z39&lt;=5200,IF(INDEX(客户自备加工筐明细!$C$4:$C$1203,$Z39-4000)=0,"",INDEX(客户自备加工筐明细!$C$4:$C$1203,$Z39-4000)),IF($Z39&lt;=5800,IF(INDEX(次果筐明细!$D$4:$D$603,$Z39-5200)=0,"",INDEX(次果筐明细!$D$4:$D$603,$Z39-5200)),"")))))</f>
        <v>香梨网</v>
      </c>
      <c r="G39" s="24" t="str">
        <f>IF($Z39="","",IF($Z39&lt;=2000,IF(INDEX(包装物料出入库明细!$F$4:$F$2003,$Z39-0)=0,"",INDEX(包装物料出入库明细!$F$4:$F$2003,$Z39-0)),IF($Z39&lt;=4000,"",IF($Z39&lt;=5200,"",IF($Z39&lt;=5800,"","")))))</f>
        <v>*包</v>
      </c>
      <c r="H39" s="39">
        <f>IF($Z39="","",IF($Z39&lt;=2000,IF(INDEX(包装物料出入库明细!$L$4:$L$2003,$Z39-0)=0,"",INDEX(包装物料出入库明细!$L$4:$L$2003,$Z39-0)),IF($Z39&lt;=4000,N(INDEX(周转筐出入库明细!$H$4:$H$2004,$Z39-2000))+N(INDEX(周转筐出入库明细!$I$4:$I$2004,$Z39-2000))+N(INDEX(周转筐出入库明细!$J$4:$J$2004,$Z39-2000))+N(INDEX(周转筐出入库明细!$K$4:$K$2004,$Z39-2000)),IF($Z39&lt;=5200,N(INDEX(客户自备加工筐明细!$F$4:$F$1203,$Z39-4000))+N(INDEX(客户自备加工筐明细!$G$4:$G$1203,$Z39-4000)),IF($Z39&lt;=5800,IF(INDEX(次果筐明细!$G$4:$G$603,$Z39-5200)=0,"",INDEX(次果筐明细!$G$4:$G$603,$Z39-5200)),"")))))</f>
        <v>120</v>
      </c>
      <c r="I39" s="24" t="str">
        <f>IF($Z39="","",IF($Z39&lt;=2000,IF(INDEX(包装物料出入库明细!$G$4:$G$2003,$Z39-0)=0,"",INDEX(包装物料出入库明细!$G$4:$G$2003,$Z39-0)),IF($Z39&lt;=4000,"个",IF($Z39&lt;=5200,"个",IF($Z39&lt;=5800,"个","")))))</f>
        <v>包</v>
      </c>
      <c r="J39" s="30" t="str">
        <f t="shared" si="1"/>
        <v/>
      </c>
      <c r="K39" s="30">
        <f>IF($Z39="","",IF($Z39&lt;=2000,IF(INDEX(包装物料出入库明细!$N$4:$N$2003,$Z39-0)=0,"",INDEX(包装物料出入库明细!$N$4:$N$2003,$Z39-0)),IF($Z39&lt;=4000,IF(INDEX(周转筐出入库明细!$P$4:$P$2004,$Z39-2000)=0,"",INDEX(周转筐出入库明细!$P$4:$P$2004,$Z39-2000)),IF($Z39&lt;=5200,"",IF($Z39&lt;=5800,N(INDEX(次果筐明细!$L$4:$L$603,$Z39-5200))+N(INDEX(次果筐明细!$J$4:$J$603,$Z39-5200)),"")))))</f>
        <v>5400</v>
      </c>
      <c r="L39" s="24" t="str">
        <f>IF($Z39="","",IF($Z39&lt;=2000,IF(INDEX(包装物料出入库明细!$P$4:$P$2003,$Z39-0)=0,"",INDEX(包装物料出入库明细!$P$4:$P$2003,$Z39-0)),IF($Z39&lt;=4000,IF(INDEX(周转筐出入库明细!$Q$4:$Q$2004,$Z39-2000)=0,"",INDEX(周转筐出入库明细!$Q$4:$Q$2004,$Z39-2000)),IF($Z39&lt;=5200,"",IF($Z39&lt;=5800,IF(INDEX(次果筐明细!$M$4:$M$603,$Z39-5200)=0,"",INDEX(次果筐明细!$M$4:$M$603,$Z39-5200)),"")))))</f>
        <v>未付款</v>
      </c>
      <c r="M39" s="37" t="str">
        <f>IF($Z39="","",IF($Z39&lt;=2000,IF(INDEX(包装物料出入库明细!$R$4:$R$2003,$Z39-0)=0,"",INDEX(包装物料出入库明细!$R$4:$R$2003,$Z39-0)),IF($Z39&lt;=4000,IF(INDEX(周转筐出入库明细!$W$4:$W$2004,$Z39-2000)=0,"",INDEX(周转筐出入库明细!$W$4:$W$2004,$Z39-2000)),IF($Z39&lt;=5200,IF(INDEX(客户自备加工筐明细!$L$4:$L$1203,$Z39-4000)=0,"",INDEX(客户自备加工筐明细!$L$4:$L$1203,$Z39-4000)),IF($Z39&lt;=5800,IF(INDEX(次果筐明细!$P$4:$P$603,$Z39-5200)=0,"",INDEX(次果筐明细!$P$4:$P$603,$Z39-5200)),"")))))</f>
        <v/>
      </c>
      <c r="N39" s="16" t="str">
        <f>IF($Z39="","",IF($Z39&lt;=2000,"",IF($Z39&lt;=4000,IF(INDEX(周转筐出入库明细!$D$4:$D$2004,$Z39-2000)=0,"",INDEX(周转筐出入库明细!$D$4:$D$2004,$Z39-2000)),IF($Z39&lt;=5200,IF(INDEX(客户自备加工筐明细!$C$4:$C$1203,$Z39-4000)=0,"",INDEX(客户自备加工筐明细!$C$4:$C$1203,$Z39-4000)),IF($Z39&lt;=5800,IF(INDEX(次果筐明细!$D$4:$D$603,$Z39-5200)=0,"",INDEX(次果筐明细!$D$4:$D$603,$Z39-5200)),"")))))</f>
        <v/>
      </c>
      <c r="O39" s="40" t="str">
        <f>IF($Z39="","",IF($Z39&lt;=2000,"",IF($Z39&lt;=4000,IF(N(INDEX(周转筐出入库明细!$J$4:$J$2004,$Z39-2000))+N(INDEX(周转筐出入库明细!$K$4:$K$2004,$Z39-2000))=0,"",N(INDEX(周转筐出入库明细!$J$4:$J$2004,$Z39-2000))+N(INDEX(周转筐出入库明细!$K$4:$K$2004,$Z39-2000))),IF($Z39&lt;=5200,IF(N(INDEX(客户自备加工筐明细!$G$4:$G$1203,$Z39-4000))=0,"",N(INDEX(客户自备加工筐明细!$G$4:$G$1203,$Z39-4000))),IF($Z39&lt;=5800,IF(ISNUMBER(SEARCH("退",INDEX(次果筐明细!$F$4:$F$603,$Z39-5200)&amp;"")),"",IF(N(INDEX(次果筐明细!$G$4:$G$603,$Z39-5200))=0,"",N(INDEX(次果筐明细!$G$4:$G$603,$Z39-5200)))),"")))))</f>
        <v/>
      </c>
      <c r="P39" s="40" t="str">
        <f>IF($Z39="","",IF($Z39&lt;=2000,"",IF($Z39&lt;=4000,IF(N(INDEX(周转筐出入库明细!$I$4:$I$2004,$Z39-2000))=0,"",N(INDEX(周转筐出入库明细!$I$4:$I$2004,$Z39-2000))),IF($Z39&lt;=5200,"",IF($Z39&lt;=5800,IF(ISNUMBER(SEARCH("退",INDEX(次果筐明细!$F$4:$F$603,$Z39-5200)&amp;"")),IF(N(INDEX(次果筐明细!$G$4:$G$603,$Z39-5200))=0,"",N(INDEX(次果筐明细!$G$4:$G$603,$Z39-5200))),""),"")))))</f>
        <v/>
      </c>
      <c r="Q39" s="40" t="str">
        <f>IF($Z39="","",IF($Z39&lt;=2000,"",IF($Z39&lt;=4000,IF(N(INDEX(周转筐出入库明细!$H$4:$H$2004,$Z39-2000))=0,"",N(INDEX(周转筐出入库明细!$H$4:$H$2004,$Z39-2000))),IF($Z39&lt;=5200,IF(N(INDEX(客户自备加工筐明细!$F$4:$F$1203,$Z39-4000))=0,"",N(INDEX(客户自备加工筐明细!$F$4:$F$1203,$Z39-4000))),IF($Z39&lt;=5800,"","")))))</f>
        <v/>
      </c>
      <c r="R39" s="16" t="str">
        <f>IF($Z39="","",IF($Z39&lt;=2000,IF(INDEX(包装物料出入库明细!$O$4:$O$2003,$Z39-0)=0,"",INDEX(包装物料出入库明细!$O$4:$O$2003,$Z39-0)),IF($Z39&lt;=4000,IF(INDEX(周转筐出入库明细!$M$4:$M$2004,$Z39-2000)=0,"",INDEX(周转筐出入库明细!$M$4:$M$2004,$Z39-2000)),IF($Z39&lt;=5200,IF(INDEX(客户自备加工筐明细!$H$4:$H$1203,$Z39-4000)=0,"",INDEX(客户自备加工筐明细!$H$4:$H$1203,$Z39-4000)),IF($Z39&lt;=5800,IF(INDEX(次果筐明细!$H$4:$H$603,$Z39-5200)=0,"",INDEX(次果筐明细!$H$4:$H$603,$Z39-5200)),"")))))</f>
        <v>新F*75240</v>
      </c>
      <c r="S39" s="22" t="str">
        <f t="shared" si="2"/>
        <v/>
      </c>
      <c r="Z39" s="10">
        <f>IFERROR(MATCH(ROW()-3,_自动清单!$CQ$4:$CQ$5803,0),"")</f>
        <v>36</v>
      </c>
    </row>
    <row r="40" spans="1:26">
      <c r="A40" s="24">
        <f t="shared" si="0"/>
        <v>37</v>
      </c>
      <c r="B40" s="38">
        <f>IF($Z40="","",IF($Z40&lt;=2000,IF(INDEX(包装物料出入库明细!$B$4:$B$2003,$Z40-0)=0,"",INDEX(包装物料出入库明细!$B$4:$B$2003,$Z40-0)),IF($Z40&lt;=4000,IF(INDEX(周转筐出入库明细!$B$4:$B$2004,$Z40-2000)=0,"",INDEX(周转筐出入库明细!$B$4:$B$2004,$Z40-2000)),IF($Z40&lt;=5200,IF(INDEX(客户自备加工筐明细!$B$4:$B$1203,$Z40-4000)=0,"",INDEX(客户自备加工筐明细!$B$4:$B$1203,$Z40-4000)),IF($Z40&lt;=5800,IF(INDEX(次果筐明细!$B$4:$B$603,$Z40-5200)=0,"",INDEX(次果筐明细!$B$4:$B$603,$Z40-5200)),"")))))</f>
        <v>46279</v>
      </c>
      <c r="C40" s="37" t="str">
        <f>IF($Z40="","",IF($Z40&lt;=2000,IF(INDEX(包装物料出入库明细!$D$4:$D$2003,$Z40-0)=0,"",INDEX(包装物料出入库明细!$D$4:$D$2003,$Z40-0)),IF($Z40&lt;=4000,IF(INDEX(周转筐出入库明细!$C$4:$C$2004,$Z40-2000)=0,"",INDEX(周转筐出入库明细!$C$4:$C$2004,$Z40-2000)),IF($Z40&lt;=5200,IF(INDEX(客户自备加工筐明细!$E$4:$E$1203,$Z40-4000)=0,"",INDEX(客户自备加工筐明细!$E$4:$E$1203,$Z40-4000)),IF($Z40&lt;=5800,IF(INDEX(次果筐明细!$C$4:$C$603,$Z40-5200)=0,"",INDEX(次果筐明细!$C$4:$C$603,$Z40-5200)),"")))))</f>
        <v>新顺发泡网</v>
      </c>
      <c r="D40" s="37" t="str">
        <f>IF($Z40="","",IF($Z40&lt;=2000,"包装物料－"&amp;INDEX(包装物料出入库明细!$H$4:$H$2003,$Z40-0),IF($Z40&lt;=4000,"周转筐－"&amp;INDEX(周转筐出入库明细!$F$4:$F$2004,$Z40-2000),IF($Z40&lt;=5200,"客户自备筐－"&amp;INDEX(客户自备加工筐明细!$J$4:$J$1203,$Z40-4000),IF($Z40&lt;=5800,"次果筐/托盘－"&amp;INDEX(次果筐明细!$F$4:$F$603,$Z40-5200),"")))))</f>
        <v>包装物料－采购入库</v>
      </c>
      <c r="E40" s="24" t="str">
        <f>IF($Z40="","",IF($Z40&lt;=2000,IF(INDEX(包装物料出入库明细!$C$4:$C$2003,$Z40-0)=0,"",INDEX(包装物料出入库明细!$C$4:$C$2003,$Z40-0)),IF($Z40&lt;=4000,IF(INDEX(周转筐出入库明细!$E$4:$E$2004,$Z40-2000)=0,"",INDEX(周转筐出入库明细!$E$4:$E$2004,$Z40-2000)),IF($Z40&lt;=5200,IF(INDEX(客户自备加工筐明细!$D$4:$D$1203,$Z40-4000)=0,"",INDEX(客户自备加工筐明细!$D$4:$D$1203,$Z40-4000)),IF($Z40&lt;=5800,IF(INDEX(次果筐明细!$E$4:$E$603,$Z40-5200)=0,"",INDEX(次果筐明细!$E$4:$E$603,$Z40-5200)),"")))))</f>
        <v>NO:0000856</v>
      </c>
      <c r="F40" s="24" t="str">
        <f>IF($Z40="","",IF($Z40&lt;=2000,IF(INDEX(包装物料出入库明细!$E$4:$E$2003,$Z40-0)=0,"",INDEX(包装物料出入库明细!$E$4:$E$2003,$Z40-0)),IF($Z40&lt;=4000,IF(INDEX(周转筐出入库明细!$D$4:$D$2004,$Z40-2000)=0,"",INDEX(周转筐出入库明细!$D$4:$D$2004,$Z40-2000)),IF($Z40&lt;=5200,IF(INDEX(客户自备加工筐明细!$C$4:$C$1203,$Z40-4000)=0,"",INDEX(客户自备加工筐明细!$C$4:$C$1203,$Z40-4000)),IF($Z40&lt;=5800,IF(INDEX(次果筐明细!$D$4:$D$603,$Z40-5200)=0,"",INDEX(次果筐明细!$D$4:$D$603,$Z40-5200)),"")))))</f>
        <v>香梨网</v>
      </c>
      <c r="G40" s="24" t="str">
        <f>IF($Z40="","",IF($Z40&lt;=2000,IF(INDEX(包装物料出入库明细!$F$4:$F$2003,$Z40-0)=0,"",INDEX(包装物料出入库明细!$F$4:$F$2003,$Z40-0)),IF($Z40&lt;=4000,"",IF($Z40&lt;=5200,"",IF($Z40&lt;=5800,"","")))))</f>
        <v>*包</v>
      </c>
      <c r="H40" s="39">
        <f>IF($Z40="","",IF($Z40&lt;=2000,IF(INDEX(包装物料出入库明细!$L$4:$L$2003,$Z40-0)=0,"",INDEX(包装物料出入库明细!$L$4:$L$2003,$Z40-0)),IF($Z40&lt;=4000,N(INDEX(周转筐出入库明细!$H$4:$H$2004,$Z40-2000))+N(INDEX(周转筐出入库明细!$I$4:$I$2004,$Z40-2000))+N(INDEX(周转筐出入库明细!$J$4:$J$2004,$Z40-2000))+N(INDEX(周转筐出入库明细!$K$4:$K$2004,$Z40-2000)),IF($Z40&lt;=5200,N(INDEX(客户自备加工筐明细!$F$4:$F$1203,$Z40-4000))+N(INDEX(客户自备加工筐明细!$G$4:$G$1203,$Z40-4000)),IF($Z40&lt;=5800,IF(INDEX(次果筐明细!$G$4:$G$603,$Z40-5200)=0,"",INDEX(次果筐明细!$G$4:$G$603,$Z40-5200)),"")))))</f>
        <v>100</v>
      </c>
      <c r="I40" s="24" t="str">
        <f>IF($Z40="","",IF($Z40&lt;=2000,IF(INDEX(包装物料出入库明细!$G$4:$G$2003,$Z40-0)=0,"",INDEX(包装物料出入库明细!$G$4:$G$2003,$Z40-0)),IF($Z40&lt;=4000,"个",IF($Z40&lt;=5200,"个",IF($Z40&lt;=5800,"个","")))))</f>
        <v>包</v>
      </c>
      <c r="J40" s="30" t="str">
        <f t="shared" si="1"/>
        <v/>
      </c>
      <c r="K40" s="30">
        <f>IF($Z40="","",IF($Z40&lt;=2000,IF(INDEX(包装物料出入库明细!$N$4:$N$2003,$Z40-0)=0,"",INDEX(包装物料出入库明细!$N$4:$N$2003,$Z40-0)),IF($Z40&lt;=4000,IF(INDEX(周转筐出入库明细!$P$4:$P$2004,$Z40-2000)=0,"",INDEX(周转筐出入库明细!$P$4:$P$2004,$Z40-2000)),IF($Z40&lt;=5200,"",IF($Z40&lt;=5800,N(INDEX(次果筐明细!$L$4:$L$603,$Z40-5200))+N(INDEX(次果筐明细!$J$4:$J$603,$Z40-5200)),"")))))</f>
        <v>3700</v>
      </c>
      <c r="L40" s="24" t="str">
        <f>IF($Z40="","",IF($Z40&lt;=2000,IF(INDEX(包装物料出入库明细!$P$4:$P$2003,$Z40-0)=0,"",INDEX(包装物料出入库明细!$P$4:$P$2003,$Z40-0)),IF($Z40&lt;=4000,IF(INDEX(周转筐出入库明细!$Q$4:$Q$2004,$Z40-2000)=0,"",INDEX(周转筐出入库明细!$Q$4:$Q$2004,$Z40-2000)),IF($Z40&lt;=5200,"",IF($Z40&lt;=5800,IF(INDEX(次果筐明细!$M$4:$M$603,$Z40-5200)=0,"",INDEX(次果筐明细!$M$4:$M$603,$Z40-5200)),"")))))</f>
        <v>未付款</v>
      </c>
      <c r="M40" s="37" t="str">
        <f>IF($Z40="","",IF($Z40&lt;=2000,IF(INDEX(包装物料出入库明细!$R$4:$R$2003,$Z40-0)=0,"",INDEX(包装物料出入库明细!$R$4:$R$2003,$Z40-0)),IF($Z40&lt;=4000,IF(INDEX(周转筐出入库明细!$W$4:$W$2004,$Z40-2000)=0,"",INDEX(周转筐出入库明细!$W$4:$W$2004,$Z40-2000)),IF($Z40&lt;=5200,IF(INDEX(客户自备加工筐明细!$L$4:$L$1203,$Z40-4000)=0,"",INDEX(客户自备加工筐明细!$L$4:$L$1203,$Z40-4000)),IF($Z40&lt;=5800,IF(INDEX(次果筐明细!$P$4:$P$603,$Z40-5200)=0,"",INDEX(次果筐明细!$P$4:$P$603,$Z40-5200)),"")))))</f>
        <v>12#</v>
      </c>
      <c r="N40" s="16" t="str">
        <f>IF($Z40="","",IF($Z40&lt;=2000,"",IF($Z40&lt;=4000,IF(INDEX(周转筐出入库明细!$D$4:$D$2004,$Z40-2000)=0,"",INDEX(周转筐出入库明细!$D$4:$D$2004,$Z40-2000)),IF($Z40&lt;=5200,IF(INDEX(客户自备加工筐明细!$C$4:$C$1203,$Z40-4000)=0,"",INDEX(客户自备加工筐明细!$C$4:$C$1203,$Z40-4000)),IF($Z40&lt;=5800,IF(INDEX(次果筐明细!$D$4:$D$603,$Z40-5200)=0,"",INDEX(次果筐明细!$D$4:$D$603,$Z40-5200)),"")))))</f>
        <v/>
      </c>
      <c r="O40" s="40" t="str">
        <f>IF($Z40="","",IF($Z40&lt;=2000,"",IF($Z40&lt;=4000,IF(N(INDEX(周转筐出入库明细!$J$4:$J$2004,$Z40-2000))+N(INDEX(周转筐出入库明细!$K$4:$K$2004,$Z40-2000))=0,"",N(INDEX(周转筐出入库明细!$J$4:$J$2004,$Z40-2000))+N(INDEX(周转筐出入库明细!$K$4:$K$2004,$Z40-2000))),IF($Z40&lt;=5200,IF(N(INDEX(客户自备加工筐明细!$G$4:$G$1203,$Z40-4000))=0,"",N(INDEX(客户自备加工筐明细!$G$4:$G$1203,$Z40-4000))),IF($Z40&lt;=5800,IF(ISNUMBER(SEARCH("退",INDEX(次果筐明细!$F$4:$F$603,$Z40-5200)&amp;"")),"",IF(N(INDEX(次果筐明细!$G$4:$G$603,$Z40-5200))=0,"",N(INDEX(次果筐明细!$G$4:$G$603,$Z40-5200)))),"")))))</f>
        <v/>
      </c>
      <c r="P40" s="40" t="str">
        <f>IF($Z40="","",IF($Z40&lt;=2000,"",IF($Z40&lt;=4000,IF(N(INDEX(周转筐出入库明细!$I$4:$I$2004,$Z40-2000))=0,"",N(INDEX(周转筐出入库明细!$I$4:$I$2004,$Z40-2000))),IF($Z40&lt;=5200,"",IF($Z40&lt;=5800,IF(ISNUMBER(SEARCH("退",INDEX(次果筐明细!$F$4:$F$603,$Z40-5200)&amp;"")),IF(N(INDEX(次果筐明细!$G$4:$G$603,$Z40-5200))=0,"",N(INDEX(次果筐明细!$G$4:$G$603,$Z40-5200))),""),"")))))</f>
        <v/>
      </c>
      <c r="Q40" s="40" t="str">
        <f>IF($Z40="","",IF($Z40&lt;=2000,"",IF($Z40&lt;=4000,IF(N(INDEX(周转筐出入库明细!$H$4:$H$2004,$Z40-2000))=0,"",N(INDEX(周转筐出入库明细!$H$4:$H$2004,$Z40-2000))),IF($Z40&lt;=5200,IF(N(INDEX(客户自备加工筐明细!$F$4:$F$1203,$Z40-4000))=0,"",N(INDEX(客户自备加工筐明细!$F$4:$F$1203,$Z40-4000))),IF($Z40&lt;=5800,"","")))))</f>
        <v/>
      </c>
      <c r="R40" s="16" t="str">
        <f>IF($Z40="","",IF($Z40&lt;=2000,IF(INDEX(包装物料出入库明细!$O$4:$O$2003,$Z40-0)=0,"",INDEX(包装物料出入库明细!$O$4:$O$2003,$Z40-0)),IF($Z40&lt;=4000,IF(INDEX(周转筐出入库明细!$M$4:$M$2004,$Z40-2000)=0,"",INDEX(周转筐出入库明细!$M$4:$M$2004,$Z40-2000)),IF($Z40&lt;=5200,IF(INDEX(客户自备加工筐明细!$H$4:$H$1203,$Z40-4000)=0,"",INDEX(客户自备加工筐明细!$H$4:$H$1203,$Z40-4000)),IF($Z40&lt;=5800,IF(INDEX(次果筐明细!$H$4:$H$603,$Z40-5200)=0,"",INDEX(次果筐明细!$H$4:$H$603,$Z40-5200)),"")))))</f>
        <v>新N*2698H</v>
      </c>
      <c r="S40" s="22" t="str">
        <f t="shared" si="2"/>
        <v/>
      </c>
      <c r="Z40" s="10">
        <f>IFERROR(MATCH(ROW()-3,_自动清单!$CQ$4:$CQ$5803,0),"")</f>
        <v>37</v>
      </c>
    </row>
    <row r="41" spans="1:26">
      <c r="A41" s="24">
        <f t="shared" si="0"/>
        <v>38</v>
      </c>
      <c r="B41" s="38">
        <f>IF($Z41="","",IF($Z41&lt;=2000,IF(INDEX(包装物料出入库明细!$B$4:$B$2003,$Z41-0)=0,"",INDEX(包装物料出入库明细!$B$4:$B$2003,$Z41-0)),IF($Z41&lt;=4000,IF(INDEX(周转筐出入库明细!$B$4:$B$2004,$Z41-2000)=0,"",INDEX(周转筐出入库明细!$B$4:$B$2004,$Z41-2000)),IF($Z41&lt;=5200,IF(INDEX(客户自备加工筐明细!$B$4:$B$1203,$Z41-4000)=0,"",INDEX(客户自备加工筐明细!$B$4:$B$1203,$Z41-4000)),IF($Z41&lt;=5800,IF(INDEX(次果筐明细!$B$4:$B$603,$Z41-5200)=0,"",INDEX(次果筐明细!$B$4:$B$603,$Z41-5200)),"")))))</f>
        <v>46245</v>
      </c>
      <c r="C41" s="37" t="str">
        <f>IF($Z41="","",IF($Z41&lt;=2000,IF(INDEX(包装物料出入库明细!$D$4:$D$2003,$Z41-0)=0,"",INDEX(包装物料出入库明细!$D$4:$D$2003,$Z41-0)),IF($Z41&lt;=4000,IF(INDEX(周转筐出入库明细!$C$4:$C$2004,$Z41-2000)=0,"",INDEX(周转筐出入库明细!$C$4:$C$2004,$Z41-2000)),IF($Z41&lt;=5200,IF(INDEX(客户自备加工筐明细!$E$4:$E$1203,$Z41-4000)=0,"",INDEX(客户自备加工筐明细!$E$4:$E$1203,$Z41-4000)),IF($Z41&lt;=5800,IF(INDEX(次果筐明细!$C$4:$C$603,$Z41-5200)=0,"",INDEX(次果筐明细!$C$4:$C$603,$Z41-5200)),"")))))</f>
        <v>王照雪</v>
      </c>
      <c r="D41" s="37" t="str">
        <f>IF($Z41="","",IF($Z41&lt;=2000,"包装物料－"&amp;INDEX(包装物料出入库明细!$H$4:$H$2003,$Z41-0),IF($Z41&lt;=4000,"周转筐－"&amp;INDEX(周转筐出入库明细!$F$4:$F$2004,$Z41-2000),IF($Z41&lt;=5200,"客户自备筐－"&amp;INDEX(客户自备加工筐明细!$J$4:$J$1203,$Z41-4000),IF($Z41&lt;=5800,"次果筐/托盘－"&amp;INDEX(次果筐明细!$F$4:$F$603,$Z41-5200),"")))))</f>
        <v>周转筐－领用出库</v>
      </c>
      <c r="E41" s="24" t="str">
        <f>IF($Z41="","",IF($Z41&lt;=2000,IF(INDEX(包装物料出入库明细!$C$4:$C$2003,$Z41-0)=0,"",INDEX(包装物料出入库明细!$C$4:$C$2003,$Z41-0)),IF($Z41&lt;=4000,IF(INDEX(周转筐出入库明细!$E$4:$E$2004,$Z41-2000)=0,"",INDEX(周转筐出入库明细!$E$4:$E$2004,$Z41-2000)),IF($Z41&lt;=5200,IF(INDEX(客户自备加工筐明细!$D$4:$D$1203,$Z41-4000)=0,"",INDEX(客户自备加工筐明细!$D$4:$D$1203,$Z41-4000)),IF($Z41&lt;=5800,IF(INDEX(次果筐明细!$E$4:$E$603,$Z41-5200)=0,"",INDEX(次果筐明细!$E$4:$E$603,$Z41-5200)),"")))))</f>
        <v>NO:0001015</v>
      </c>
      <c r="F41" s="24" t="str">
        <f>IF($Z41="","",IF($Z41&lt;=2000,IF(INDEX(包装物料出入库明细!$E$4:$E$2003,$Z41-0)=0,"",INDEX(包装物料出入库明细!$E$4:$E$2003,$Z41-0)),IF($Z41&lt;=4000,IF(INDEX(周转筐出入库明细!$D$4:$D$2004,$Z41-2000)=0,"",INDEX(周转筐出入库明细!$D$4:$D$2004,$Z41-2000)),IF($Z41&lt;=5200,IF(INDEX(客户自备加工筐明细!$C$4:$C$1203,$Z41-4000)=0,"",INDEX(客户自备加工筐明细!$C$4:$C$1203,$Z41-4000)),IF($Z41&lt;=5800,IF(INDEX(次果筐明细!$D$4:$D$603,$Z41-5200)=0,"",INDEX(次果筐明细!$D$4:$D$603,$Z41-5200)),"")))))</f>
        <v>公司杂周转筐</v>
      </c>
      <c r="G41" s="24" t="str">
        <f>IF($Z41="","",IF($Z41&lt;=2000,IF(INDEX(包装物料出入库明细!$F$4:$F$2003,$Z41-0)=0,"",INDEX(包装物料出入库明细!$F$4:$F$2003,$Z41-0)),IF($Z41&lt;=4000,"",IF($Z41&lt;=5200,"",IF($Z41&lt;=5800,"","")))))</f>
        <v/>
      </c>
      <c r="H41" s="39">
        <f>IF($Z41="","",IF($Z41&lt;=2000,IF(INDEX(包装物料出入库明细!$L$4:$L$2003,$Z41-0)=0,"",INDEX(包装物料出入库明细!$L$4:$L$2003,$Z41-0)),IF($Z41&lt;=4000,N(INDEX(周转筐出入库明细!$H$4:$H$2004,$Z41-2000))+N(INDEX(周转筐出入库明细!$I$4:$I$2004,$Z41-2000))+N(INDEX(周转筐出入库明细!$J$4:$J$2004,$Z41-2000))+N(INDEX(周转筐出入库明细!$K$4:$K$2004,$Z41-2000)),IF($Z41&lt;=5200,N(INDEX(客户自备加工筐明细!$F$4:$F$1203,$Z41-4000))+N(INDEX(客户自备加工筐明细!$G$4:$G$1203,$Z41-4000)),IF($Z41&lt;=5800,IF(INDEX(次果筐明细!$G$4:$G$603,$Z41-5200)=0,"",INDEX(次果筐明细!$G$4:$G$603,$Z41-5200)),"")))))</f>
        <v>351</v>
      </c>
      <c r="I41" s="24" t="str">
        <f>IF($Z41="","",IF($Z41&lt;=2000,IF(INDEX(包装物料出入库明细!$G$4:$G$2003,$Z41-0)=0,"",INDEX(包装物料出入库明细!$G$4:$G$2003,$Z41-0)),IF($Z41&lt;=4000,"个",IF($Z41&lt;=5200,"个",IF($Z41&lt;=5800,"个","")))))</f>
        <v>个</v>
      </c>
      <c r="J41" s="30" t="str">
        <f t="shared" si="1"/>
        <v/>
      </c>
      <c r="K41" s="30" t="str">
        <f>IF($Z41="","",IF($Z41&lt;=2000,IF(INDEX(包装物料出入库明细!$N$4:$N$2003,$Z41-0)=0,"",INDEX(包装物料出入库明细!$N$4:$N$2003,$Z41-0)),IF($Z41&lt;=4000,IF(INDEX(周转筐出入库明细!$P$4:$P$2004,$Z41-2000)=0,"",INDEX(周转筐出入库明细!$P$4:$P$2004,$Z41-2000)),IF($Z41&lt;=5200,"",IF($Z41&lt;=5800,N(INDEX(次果筐明细!$L$4:$L$603,$Z41-5200))+N(INDEX(次果筐明细!$J$4:$J$603,$Z41-5200)),"")))))</f>
        <v/>
      </c>
      <c r="L41" s="24" t="str">
        <f>IF($Z41="","",IF($Z41&lt;=2000,IF(INDEX(包装物料出入库明细!$P$4:$P$2003,$Z41-0)=0,"",INDEX(包装物料出入库明细!$P$4:$P$2003,$Z41-0)),IF($Z41&lt;=4000,IF(INDEX(周转筐出入库明细!$Q$4:$Q$2004,$Z41-2000)=0,"",INDEX(周转筐出入库明细!$Q$4:$Q$2004,$Z41-2000)),IF($Z41&lt;=5200,"",IF($Z41&lt;=5800,IF(INDEX(次果筐明细!$M$4:$M$603,$Z41-5200)=0,"",INDEX(次果筐明细!$M$4:$M$603,$Z41-5200)),"")))))</f>
        <v/>
      </c>
      <c r="M41" s="37" t="str">
        <f>IF($Z41="","",IF($Z41&lt;=2000,IF(INDEX(包装物料出入库明细!$R$4:$R$2003,$Z41-0)=0,"",INDEX(包装物料出入库明细!$R$4:$R$2003,$Z41-0)),IF($Z41&lt;=4000,IF(INDEX(周转筐出入库明细!$W$4:$W$2004,$Z41-2000)=0,"",INDEX(周转筐出入库明细!$W$4:$W$2004,$Z41-2000)),IF($Z41&lt;=5200,IF(INDEX(客户自备加工筐明细!$L$4:$L$1203,$Z41-4000)=0,"",INDEX(客户自备加工筐明细!$L$4:$L$1203,$Z41-4000)),IF($Z41&lt;=5800,IF(INDEX(次果筐明细!$P$4:$P$603,$Z41-5200)=0,"",INDEX(次果筐明细!$P$4:$P$603,$Z41-5200)),"")))))</f>
        <v/>
      </c>
      <c r="N41" s="16" t="str">
        <f>IF($Z41="","",IF($Z41&lt;=2000,"",IF($Z41&lt;=4000,IF(INDEX(周转筐出入库明细!$D$4:$D$2004,$Z41-2000)=0,"",INDEX(周转筐出入库明细!$D$4:$D$2004,$Z41-2000)),IF($Z41&lt;=5200,IF(INDEX(客户自备加工筐明细!$C$4:$C$1203,$Z41-4000)=0,"",INDEX(客户自备加工筐明细!$C$4:$C$1203,$Z41-4000)),IF($Z41&lt;=5800,IF(INDEX(次果筐明细!$D$4:$D$603,$Z41-5200)=0,"",INDEX(次果筐明细!$D$4:$D$603,$Z41-5200)),"")))))</f>
        <v>公司杂周转筐</v>
      </c>
      <c r="O41" s="40">
        <f>IF($Z41="","",IF($Z41&lt;=2000,"",IF($Z41&lt;=4000,IF(N(INDEX(周转筐出入库明细!$J$4:$J$2004,$Z41-2000))+N(INDEX(周转筐出入库明细!$K$4:$K$2004,$Z41-2000))=0,"",N(INDEX(周转筐出入库明细!$J$4:$J$2004,$Z41-2000))+N(INDEX(周转筐出入库明细!$K$4:$K$2004,$Z41-2000))),IF($Z41&lt;=5200,IF(N(INDEX(客户自备加工筐明细!$G$4:$G$1203,$Z41-4000))=0,"",N(INDEX(客户自备加工筐明细!$G$4:$G$1203,$Z41-4000))),IF($Z41&lt;=5800,IF(ISNUMBER(SEARCH("退",INDEX(次果筐明细!$F$4:$F$603,$Z41-5200)&amp;"")),"",IF(N(INDEX(次果筐明细!$G$4:$G$603,$Z41-5200))=0,"",N(INDEX(次果筐明细!$G$4:$G$603,$Z41-5200)))),"")))))</f>
        <v>351</v>
      </c>
      <c r="P41" s="40" t="str">
        <f>IF($Z41="","",IF($Z41&lt;=2000,"",IF($Z41&lt;=4000,IF(N(INDEX(周转筐出入库明细!$I$4:$I$2004,$Z41-2000))=0,"",N(INDEX(周转筐出入库明细!$I$4:$I$2004,$Z41-2000))),IF($Z41&lt;=5200,"",IF($Z41&lt;=5800,IF(ISNUMBER(SEARCH("退",INDEX(次果筐明细!$F$4:$F$603,$Z41-5200)&amp;"")),IF(N(INDEX(次果筐明细!$G$4:$G$603,$Z41-5200))=0,"",N(INDEX(次果筐明细!$G$4:$G$603,$Z41-5200))),""),"")))))</f>
        <v/>
      </c>
      <c r="Q41" s="40" t="str">
        <f>IF($Z41="","",IF($Z41&lt;=2000,"",IF($Z41&lt;=4000,IF(N(INDEX(周转筐出入库明细!$H$4:$H$2004,$Z41-2000))=0,"",N(INDEX(周转筐出入库明细!$H$4:$H$2004,$Z41-2000))),IF($Z41&lt;=5200,IF(N(INDEX(客户自备加工筐明细!$F$4:$F$1203,$Z41-4000))=0,"",N(INDEX(客户自备加工筐明细!$F$4:$F$1203,$Z41-4000))),IF($Z41&lt;=5800,"","")))))</f>
        <v/>
      </c>
      <c r="R41" s="16" t="str">
        <f>IF($Z41="","",IF($Z41&lt;=2000,IF(INDEX(包装物料出入库明细!$O$4:$O$2003,$Z41-0)=0,"",INDEX(包装物料出入库明细!$O$4:$O$2003,$Z41-0)),IF($Z41&lt;=4000,IF(INDEX(周转筐出入库明细!$M$4:$M$2004,$Z41-2000)=0,"",INDEX(周转筐出入库明细!$M$4:$M$2004,$Z41-2000)),IF($Z41&lt;=5200,IF(INDEX(客户自备加工筐明细!$H$4:$H$1203,$Z41-4000)=0,"",INDEX(客户自备加工筐明细!$H$4:$H$1203,$Z41-4000)),IF($Z41&lt;=5800,IF(INDEX(次果筐明细!$H$4:$H$603,$Z41-5200)=0,"",INDEX(次果筐明细!$H$4:$H$603,$Z41-5200)),"")))))</f>
        <v>豫L*88X19</v>
      </c>
      <c r="S41" s="22" t="str">
        <f t="shared" si="2"/>
        <v>公司筐</v>
      </c>
      <c r="Z41" s="10">
        <f>IFERROR(MATCH(ROW()-3,_自动清单!$CQ$4:$CQ$5803,0),"")</f>
        <v>2005</v>
      </c>
    </row>
    <row r="42" spans="1:26">
      <c r="A42" s="24">
        <f t="shared" si="0"/>
        <v>39</v>
      </c>
      <c r="B42" s="38">
        <f>IF($Z42="","",IF($Z42&lt;=2000,IF(INDEX(包装物料出入库明细!$B$4:$B$2003,$Z42-0)=0,"",INDEX(包装物料出入库明细!$B$4:$B$2003,$Z42-0)),IF($Z42&lt;=4000,IF(INDEX(周转筐出入库明细!$B$4:$B$2004,$Z42-2000)=0,"",INDEX(周转筐出入库明细!$B$4:$B$2004,$Z42-2000)),IF($Z42&lt;=5200,IF(INDEX(客户自备加工筐明细!$B$4:$B$1203,$Z42-4000)=0,"",INDEX(客户自备加工筐明细!$B$4:$B$1203,$Z42-4000)),IF($Z42&lt;=5800,IF(INDEX(次果筐明细!$B$4:$B$603,$Z42-5200)=0,"",INDEX(次果筐明细!$B$4:$B$603,$Z42-5200)),"")))))</f>
        <v>46255</v>
      </c>
      <c r="C42" s="37" t="str">
        <f>IF($Z42="","",IF($Z42&lt;=2000,IF(INDEX(包装物料出入库明细!$D$4:$D$2003,$Z42-0)=0,"",INDEX(包装物料出入库明细!$D$4:$D$2003,$Z42-0)),IF($Z42&lt;=4000,IF(INDEX(周转筐出入库明细!$C$4:$C$2004,$Z42-2000)=0,"",INDEX(周转筐出入库明细!$C$4:$C$2004,$Z42-2000)),IF($Z42&lt;=5200,IF(INDEX(客户自备加工筐明细!$E$4:$E$1203,$Z42-4000)=0,"",INDEX(客户自备加工筐明细!$E$4:$E$1203,$Z42-4000)),IF($Z42&lt;=5800,IF(INDEX(次果筐明细!$C$4:$C$603,$Z42-5200)=0,"",INDEX(次果筐明细!$C$4:$C$603,$Z42-5200)),"")))))</f>
        <v>王照雪</v>
      </c>
      <c r="D42" s="37" t="str">
        <f>IF($Z42="","",IF($Z42&lt;=2000,"包装物料－"&amp;INDEX(包装物料出入库明细!$H$4:$H$2003,$Z42-0),IF($Z42&lt;=4000,"周转筐－"&amp;INDEX(周转筐出入库明细!$F$4:$F$2004,$Z42-2000),IF($Z42&lt;=5200,"客户自备筐－"&amp;INDEX(客户自备加工筐明细!$J$4:$J$1203,$Z42-4000),IF($Z42&lt;=5800,"次果筐/托盘－"&amp;INDEX(次果筐明细!$F$4:$F$603,$Z42-5200),"")))))</f>
        <v>周转筐－领用出库</v>
      </c>
      <c r="E42" s="24" t="str">
        <f>IF($Z42="","",IF($Z42&lt;=2000,IF(INDEX(包装物料出入库明细!$C$4:$C$2003,$Z42-0)=0,"",INDEX(包装物料出入库明细!$C$4:$C$2003,$Z42-0)),IF($Z42&lt;=4000,IF(INDEX(周转筐出入库明细!$E$4:$E$2004,$Z42-2000)=0,"",INDEX(周转筐出入库明细!$E$4:$E$2004,$Z42-2000)),IF($Z42&lt;=5200,IF(INDEX(客户自备加工筐明细!$D$4:$D$1203,$Z42-4000)=0,"",INDEX(客户自备加工筐明细!$D$4:$D$1203,$Z42-4000)),IF($Z42&lt;=5800,IF(INDEX(次果筐明细!$E$4:$E$603,$Z42-5200)=0,"",INDEX(次果筐明细!$E$4:$E$603,$Z42-5200)),"")))))</f>
        <v>NO:0001022</v>
      </c>
      <c r="F42" s="24" t="str">
        <f>IF($Z42="","",IF($Z42&lt;=2000,IF(INDEX(包装物料出入库明细!$E$4:$E$2003,$Z42-0)=0,"",INDEX(包装物料出入库明细!$E$4:$E$2003,$Z42-0)),IF($Z42&lt;=4000,IF(INDEX(周转筐出入库明细!$D$4:$D$2004,$Z42-2000)=0,"",INDEX(周转筐出入库明细!$D$4:$D$2004,$Z42-2000)),IF($Z42&lt;=5200,IF(INDEX(客户自备加工筐明细!$C$4:$C$1203,$Z42-4000)=0,"",INDEX(客户自备加工筐明细!$C$4:$C$1203,$Z42-4000)),IF($Z42&lt;=5800,IF(INDEX(次果筐明细!$D$4:$D$603,$Z42-5200)=0,"",INDEX(次果筐明细!$D$4:$D$603,$Z42-5200)),"")))))</f>
        <v>公司杂周转筐</v>
      </c>
      <c r="G42" s="24" t="str">
        <f>IF($Z42="","",IF($Z42&lt;=2000,IF(INDEX(包装物料出入库明细!$F$4:$F$2003,$Z42-0)=0,"",INDEX(包装物料出入库明细!$F$4:$F$2003,$Z42-0)),IF($Z42&lt;=4000,"",IF($Z42&lt;=5200,"",IF($Z42&lt;=5800,"","")))))</f>
        <v/>
      </c>
      <c r="H42" s="39">
        <f>IF($Z42="","",IF($Z42&lt;=2000,IF(INDEX(包装物料出入库明细!$L$4:$L$2003,$Z42-0)=0,"",INDEX(包装物料出入库明细!$L$4:$L$2003,$Z42-0)),IF($Z42&lt;=4000,N(INDEX(周转筐出入库明细!$H$4:$H$2004,$Z42-2000))+N(INDEX(周转筐出入库明细!$I$4:$I$2004,$Z42-2000))+N(INDEX(周转筐出入库明细!$J$4:$J$2004,$Z42-2000))+N(INDEX(周转筐出入库明细!$K$4:$K$2004,$Z42-2000)),IF($Z42&lt;=5200,N(INDEX(客户自备加工筐明细!$F$4:$F$1203,$Z42-4000))+N(INDEX(客户自备加工筐明细!$G$4:$G$1203,$Z42-4000)),IF($Z42&lt;=5800,IF(INDEX(次果筐明细!$G$4:$G$603,$Z42-5200)=0,"",INDEX(次果筐明细!$G$4:$G$603,$Z42-5200)),"")))))</f>
        <v>432</v>
      </c>
      <c r="I42" s="24" t="str">
        <f>IF($Z42="","",IF($Z42&lt;=2000,IF(INDEX(包装物料出入库明细!$G$4:$G$2003,$Z42-0)=0,"",INDEX(包装物料出入库明细!$G$4:$G$2003,$Z42-0)),IF($Z42&lt;=4000,"个",IF($Z42&lt;=5200,"个",IF($Z42&lt;=5800,"个","")))))</f>
        <v>个</v>
      </c>
      <c r="J42" s="30" t="str">
        <f t="shared" si="1"/>
        <v/>
      </c>
      <c r="K42" s="30" t="str">
        <f>IF($Z42="","",IF($Z42&lt;=2000,IF(INDEX(包装物料出入库明细!$N$4:$N$2003,$Z42-0)=0,"",INDEX(包装物料出入库明细!$N$4:$N$2003,$Z42-0)),IF($Z42&lt;=4000,IF(INDEX(周转筐出入库明细!$P$4:$P$2004,$Z42-2000)=0,"",INDEX(周转筐出入库明细!$P$4:$P$2004,$Z42-2000)),IF($Z42&lt;=5200,"",IF($Z42&lt;=5800,N(INDEX(次果筐明细!$L$4:$L$603,$Z42-5200))+N(INDEX(次果筐明细!$J$4:$J$603,$Z42-5200)),"")))))</f>
        <v/>
      </c>
      <c r="L42" s="24" t="str">
        <f>IF($Z42="","",IF($Z42&lt;=2000,IF(INDEX(包装物料出入库明细!$P$4:$P$2003,$Z42-0)=0,"",INDEX(包装物料出入库明细!$P$4:$P$2003,$Z42-0)),IF($Z42&lt;=4000,IF(INDEX(周转筐出入库明细!$Q$4:$Q$2004,$Z42-2000)=0,"",INDEX(周转筐出入库明细!$Q$4:$Q$2004,$Z42-2000)),IF($Z42&lt;=5200,"",IF($Z42&lt;=5800,IF(INDEX(次果筐明细!$M$4:$M$603,$Z42-5200)=0,"",INDEX(次果筐明细!$M$4:$M$603,$Z42-5200)),"")))))</f>
        <v/>
      </c>
      <c r="M42" s="37" t="str">
        <f>IF($Z42="","",IF($Z42&lt;=2000,IF(INDEX(包装物料出入库明细!$R$4:$R$2003,$Z42-0)=0,"",INDEX(包装物料出入库明细!$R$4:$R$2003,$Z42-0)),IF($Z42&lt;=4000,IF(INDEX(周转筐出入库明细!$W$4:$W$2004,$Z42-2000)=0,"",INDEX(周转筐出入库明细!$W$4:$W$2004,$Z42-2000)),IF($Z42&lt;=5200,IF(INDEX(客户自备加工筐明细!$L$4:$L$1203,$Z42-4000)=0,"",INDEX(客户自备加工筐明细!$L$4:$L$1203,$Z42-4000)),IF($Z42&lt;=5800,IF(INDEX(次果筐明细!$P$4:$P$603,$Z42-5200)=0,"",INDEX(次果筐明细!$P$4:$P$603,$Z42-5200)),"")))))</f>
        <v/>
      </c>
      <c r="N42" s="16" t="str">
        <f>IF($Z42="","",IF($Z42&lt;=2000,"",IF($Z42&lt;=4000,IF(INDEX(周转筐出入库明细!$D$4:$D$2004,$Z42-2000)=0,"",INDEX(周转筐出入库明细!$D$4:$D$2004,$Z42-2000)),IF($Z42&lt;=5200,IF(INDEX(客户自备加工筐明细!$C$4:$C$1203,$Z42-4000)=0,"",INDEX(客户自备加工筐明细!$C$4:$C$1203,$Z42-4000)),IF($Z42&lt;=5800,IF(INDEX(次果筐明细!$D$4:$D$603,$Z42-5200)=0,"",INDEX(次果筐明细!$D$4:$D$603,$Z42-5200)),"")))))</f>
        <v>公司杂周转筐</v>
      </c>
      <c r="O42" s="40">
        <f>IF($Z42="","",IF($Z42&lt;=2000,"",IF($Z42&lt;=4000,IF(N(INDEX(周转筐出入库明细!$J$4:$J$2004,$Z42-2000))+N(INDEX(周转筐出入库明细!$K$4:$K$2004,$Z42-2000))=0,"",N(INDEX(周转筐出入库明细!$J$4:$J$2004,$Z42-2000))+N(INDEX(周转筐出入库明细!$K$4:$K$2004,$Z42-2000))),IF($Z42&lt;=5200,IF(N(INDEX(客户自备加工筐明细!$G$4:$G$1203,$Z42-4000))=0,"",N(INDEX(客户自备加工筐明细!$G$4:$G$1203,$Z42-4000))),IF($Z42&lt;=5800,IF(ISNUMBER(SEARCH("退",INDEX(次果筐明细!$F$4:$F$603,$Z42-5200)&amp;"")),"",IF(N(INDEX(次果筐明细!$G$4:$G$603,$Z42-5200))=0,"",N(INDEX(次果筐明细!$G$4:$G$603,$Z42-5200)))),"")))))</f>
        <v>432</v>
      </c>
      <c r="P42" s="40" t="str">
        <f>IF($Z42="","",IF($Z42&lt;=2000,"",IF($Z42&lt;=4000,IF(N(INDEX(周转筐出入库明细!$I$4:$I$2004,$Z42-2000))=0,"",N(INDEX(周转筐出入库明细!$I$4:$I$2004,$Z42-2000))),IF($Z42&lt;=5200,"",IF($Z42&lt;=5800,IF(ISNUMBER(SEARCH("退",INDEX(次果筐明细!$F$4:$F$603,$Z42-5200)&amp;"")),IF(N(INDEX(次果筐明细!$G$4:$G$603,$Z42-5200))=0,"",N(INDEX(次果筐明细!$G$4:$G$603,$Z42-5200))),""),"")))))</f>
        <v/>
      </c>
      <c r="Q42" s="40" t="str">
        <f>IF($Z42="","",IF($Z42&lt;=2000,"",IF($Z42&lt;=4000,IF(N(INDEX(周转筐出入库明细!$H$4:$H$2004,$Z42-2000))=0,"",N(INDEX(周转筐出入库明细!$H$4:$H$2004,$Z42-2000))),IF($Z42&lt;=5200,IF(N(INDEX(客户自备加工筐明细!$F$4:$F$1203,$Z42-4000))=0,"",N(INDEX(客户自备加工筐明细!$F$4:$F$1203,$Z42-4000))),IF($Z42&lt;=5800,"","")))))</f>
        <v/>
      </c>
      <c r="R42" s="16" t="str">
        <f>IF($Z42="","",IF($Z42&lt;=2000,IF(INDEX(包装物料出入库明细!$O$4:$O$2003,$Z42-0)=0,"",INDEX(包装物料出入库明细!$O$4:$O$2003,$Z42-0)),IF($Z42&lt;=4000,IF(INDEX(周转筐出入库明细!$M$4:$M$2004,$Z42-2000)=0,"",INDEX(周转筐出入库明细!$M$4:$M$2004,$Z42-2000)),IF($Z42&lt;=5200,IF(INDEX(客户自备加工筐明细!$H$4:$H$1203,$Z42-4000)=0,"",INDEX(客户自备加工筐明细!$H$4:$H$1203,$Z42-4000)),IF($Z42&lt;=5800,IF(INDEX(次果筐明细!$H$4:$H$603,$Z42-5200)=0,"",INDEX(次果筐明细!$H$4:$H$603,$Z42-5200)),"")))))</f>
        <v>豫L*88X19</v>
      </c>
      <c r="S42" s="22" t="str">
        <f t="shared" si="2"/>
        <v>公司筐</v>
      </c>
      <c r="Z42" s="10">
        <f>IFERROR(MATCH(ROW()-3,_自动清单!$CQ$4:$CQ$5803,0),"")</f>
        <v>2006</v>
      </c>
    </row>
    <row r="43" spans="1:26">
      <c r="A43" s="24">
        <f t="shared" si="0"/>
        <v>40</v>
      </c>
      <c r="B43" s="38">
        <f>IF($Z43="","",IF($Z43&lt;=2000,IF(INDEX(包装物料出入库明细!$B$4:$B$2003,$Z43-0)=0,"",INDEX(包装物料出入库明细!$B$4:$B$2003,$Z43-0)),IF($Z43&lt;=4000,IF(INDEX(周转筐出入库明细!$B$4:$B$2004,$Z43-2000)=0,"",INDEX(周转筐出入库明细!$B$4:$B$2004,$Z43-2000)),IF($Z43&lt;=5200,IF(INDEX(客户自备加工筐明细!$B$4:$B$1203,$Z43-4000)=0,"",INDEX(客户自备加工筐明细!$B$4:$B$1203,$Z43-4000)),IF($Z43&lt;=5800,IF(INDEX(次果筐明细!$B$4:$B$603,$Z43-5200)=0,"",INDEX(次果筐明细!$B$4:$B$603,$Z43-5200)),"")))))</f>
        <v>46258</v>
      </c>
      <c r="C43" s="37" t="str">
        <f>IF($Z43="","",IF($Z43&lt;=2000,IF(INDEX(包装物料出入库明细!$D$4:$D$2003,$Z43-0)=0,"",INDEX(包装物料出入库明细!$D$4:$D$2003,$Z43-0)),IF($Z43&lt;=4000,IF(INDEX(周转筐出入库明细!$C$4:$C$2004,$Z43-2000)=0,"",INDEX(周转筐出入库明细!$C$4:$C$2004,$Z43-2000)),IF($Z43&lt;=5200,IF(INDEX(客户自备加工筐明细!$E$4:$E$1203,$Z43-4000)=0,"",INDEX(客户自备加工筐明细!$E$4:$E$1203,$Z43-4000)),IF($Z43&lt;=5800,IF(INDEX(次果筐明细!$C$4:$C$603,$Z43-5200)=0,"",INDEX(次果筐明细!$C$4:$C$603,$Z43-5200)),"")))))</f>
        <v>王照雪</v>
      </c>
      <c r="D43" s="37" t="str">
        <f>IF($Z43="","",IF($Z43&lt;=2000,"包装物料－"&amp;INDEX(包装物料出入库明细!$H$4:$H$2003,$Z43-0),IF($Z43&lt;=4000,"周转筐－"&amp;INDEX(周转筐出入库明细!$F$4:$F$2004,$Z43-2000),IF($Z43&lt;=5200,"客户自备筐－"&amp;INDEX(客户自备加工筐明细!$J$4:$J$1203,$Z43-4000),IF($Z43&lt;=5800,"次果筐/托盘－"&amp;INDEX(次果筐明细!$F$4:$F$603,$Z43-5200),"")))))</f>
        <v>周转筐－领用出库</v>
      </c>
      <c r="E43" s="24" t="str">
        <f>IF($Z43="","",IF($Z43&lt;=2000,IF(INDEX(包装物料出入库明细!$C$4:$C$2003,$Z43-0)=0,"",INDEX(包装物料出入库明细!$C$4:$C$2003,$Z43-0)),IF($Z43&lt;=4000,IF(INDEX(周转筐出入库明细!$E$4:$E$2004,$Z43-2000)=0,"",INDEX(周转筐出入库明细!$E$4:$E$2004,$Z43-2000)),IF($Z43&lt;=5200,IF(INDEX(客户自备加工筐明细!$D$4:$D$1203,$Z43-4000)=0,"",INDEX(客户自备加工筐明细!$D$4:$D$1203,$Z43-4000)),IF($Z43&lt;=5800,IF(INDEX(次果筐明细!$E$4:$E$603,$Z43-5200)=0,"",INDEX(次果筐明细!$E$4:$E$603,$Z43-5200)),"")))))</f>
        <v>NO:0001031</v>
      </c>
      <c r="F43" s="24" t="str">
        <f>IF($Z43="","",IF($Z43&lt;=2000,IF(INDEX(包装物料出入库明细!$E$4:$E$2003,$Z43-0)=0,"",INDEX(包装物料出入库明细!$E$4:$E$2003,$Z43-0)),IF($Z43&lt;=4000,IF(INDEX(周转筐出入库明细!$D$4:$D$2004,$Z43-2000)=0,"",INDEX(周转筐出入库明细!$D$4:$D$2004,$Z43-2000)),IF($Z43&lt;=5200,IF(INDEX(客户自备加工筐明细!$C$4:$C$1203,$Z43-4000)=0,"",INDEX(客户自备加工筐明细!$C$4:$C$1203,$Z43-4000)),IF($Z43&lt;=5800,IF(INDEX(次果筐明细!$D$4:$D$603,$Z43-5200)=0,"",INDEX(次果筐明细!$D$4:$D$603,$Z43-5200)),"")))))</f>
        <v>公司杂周转筐</v>
      </c>
      <c r="G43" s="24" t="str">
        <f>IF($Z43="","",IF($Z43&lt;=2000,IF(INDEX(包装物料出入库明细!$F$4:$F$2003,$Z43-0)=0,"",INDEX(包装物料出入库明细!$F$4:$F$2003,$Z43-0)),IF($Z43&lt;=4000,"",IF($Z43&lt;=5200,"",IF($Z43&lt;=5800,"","")))))</f>
        <v/>
      </c>
      <c r="H43" s="39">
        <f>IF($Z43="","",IF($Z43&lt;=2000,IF(INDEX(包装物料出入库明细!$L$4:$L$2003,$Z43-0)=0,"",INDEX(包装物料出入库明细!$L$4:$L$2003,$Z43-0)),IF($Z43&lt;=4000,N(INDEX(周转筐出入库明细!$H$4:$H$2004,$Z43-2000))+N(INDEX(周转筐出入库明细!$I$4:$I$2004,$Z43-2000))+N(INDEX(周转筐出入库明细!$J$4:$J$2004,$Z43-2000))+N(INDEX(周转筐出入库明细!$K$4:$K$2004,$Z43-2000)),IF($Z43&lt;=5200,N(INDEX(客户自备加工筐明细!$F$4:$F$1203,$Z43-4000))+N(INDEX(客户自备加工筐明细!$G$4:$G$1203,$Z43-4000)),IF($Z43&lt;=5800,IF(INDEX(次果筐明细!$G$4:$G$603,$Z43-5200)=0,"",INDEX(次果筐明细!$G$4:$G$603,$Z43-5200)),"")))))</f>
        <v>282</v>
      </c>
      <c r="I43" s="24" t="str">
        <f>IF($Z43="","",IF($Z43&lt;=2000,IF(INDEX(包装物料出入库明细!$G$4:$G$2003,$Z43-0)=0,"",INDEX(包装物料出入库明细!$G$4:$G$2003,$Z43-0)),IF($Z43&lt;=4000,"个",IF($Z43&lt;=5200,"个",IF($Z43&lt;=5800,"个","")))))</f>
        <v>个</v>
      </c>
      <c r="J43" s="30" t="str">
        <f t="shared" si="1"/>
        <v/>
      </c>
      <c r="K43" s="30" t="str">
        <f>IF($Z43="","",IF($Z43&lt;=2000,IF(INDEX(包装物料出入库明细!$N$4:$N$2003,$Z43-0)=0,"",INDEX(包装物料出入库明细!$N$4:$N$2003,$Z43-0)),IF($Z43&lt;=4000,IF(INDEX(周转筐出入库明细!$P$4:$P$2004,$Z43-2000)=0,"",INDEX(周转筐出入库明细!$P$4:$P$2004,$Z43-2000)),IF($Z43&lt;=5200,"",IF($Z43&lt;=5800,N(INDEX(次果筐明细!$L$4:$L$603,$Z43-5200))+N(INDEX(次果筐明细!$J$4:$J$603,$Z43-5200)),"")))))</f>
        <v/>
      </c>
      <c r="L43" s="24" t="str">
        <f>IF($Z43="","",IF($Z43&lt;=2000,IF(INDEX(包装物料出入库明细!$P$4:$P$2003,$Z43-0)=0,"",INDEX(包装物料出入库明细!$P$4:$P$2003,$Z43-0)),IF($Z43&lt;=4000,IF(INDEX(周转筐出入库明细!$Q$4:$Q$2004,$Z43-2000)=0,"",INDEX(周转筐出入库明细!$Q$4:$Q$2004,$Z43-2000)),IF($Z43&lt;=5200,"",IF($Z43&lt;=5800,IF(INDEX(次果筐明细!$M$4:$M$603,$Z43-5200)=0,"",INDEX(次果筐明细!$M$4:$M$603,$Z43-5200)),"")))))</f>
        <v/>
      </c>
      <c r="M43" s="37" t="str">
        <f>IF($Z43="","",IF($Z43&lt;=2000,IF(INDEX(包装物料出入库明细!$R$4:$R$2003,$Z43-0)=0,"",INDEX(包装物料出入库明细!$R$4:$R$2003,$Z43-0)),IF($Z43&lt;=4000,IF(INDEX(周转筐出入库明细!$W$4:$W$2004,$Z43-2000)=0,"",INDEX(周转筐出入库明细!$W$4:$W$2004,$Z43-2000)),IF($Z43&lt;=5200,IF(INDEX(客户自备加工筐明细!$L$4:$L$1203,$Z43-4000)=0,"",INDEX(客户自备加工筐明细!$L$4:$L$1203,$Z43-4000)),IF($Z43&lt;=5800,IF(INDEX(次果筐明细!$P$4:$P$603,$Z43-5200)=0,"",INDEX(次果筐明细!$P$4:$P$603,$Z43-5200)),"")))))</f>
        <v/>
      </c>
      <c r="N43" s="16" t="str">
        <f>IF($Z43="","",IF($Z43&lt;=2000,"",IF($Z43&lt;=4000,IF(INDEX(周转筐出入库明细!$D$4:$D$2004,$Z43-2000)=0,"",INDEX(周转筐出入库明细!$D$4:$D$2004,$Z43-2000)),IF($Z43&lt;=5200,IF(INDEX(客户自备加工筐明细!$C$4:$C$1203,$Z43-4000)=0,"",INDEX(客户自备加工筐明细!$C$4:$C$1203,$Z43-4000)),IF($Z43&lt;=5800,IF(INDEX(次果筐明细!$D$4:$D$603,$Z43-5200)=0,"",INDEX(次果筐明细!$D$4:$D$603,$Z43-5200)),"")))))</f>
        <v>公司杂周转筐</v>
      </c>
      <c r="O43" s="40">
        <f>IF($Z43="","",IF($Z43&lt;=2000,"",IF($Z43&lt;=4000,IF(N(INDEX(周转筐出入库明细!$J$4:$J$2004,$Z43-2000))+N(INDEX(周转筐出入库明细!$K$4:$K$2004,$Z43-2000))=0,"",N(INDEX(周转筐出入库明细!$J$4:$J$2004,$Z43-2000))+N(INDEX(周转筐出入库明细!$K$4:$K$2004,$Z43-2000))),IF($Z43&lt;=5200,IF(N(INDEX(客户自备加工筐明细!$G$4:$G$1203,$Z43-4000))=0,"",N(INDEX(客户自备加工筐明细!$G$4:$G$1203,$Z43-4000))),IF($Z43&lt;=5800,IF(ISNUMBER(SEARCH("退",INDEX(次果筐明细!$F$4:$F$603,$Z43-5200)&amp;"")),"",IF(N(INDEX(次果筐明细!$G$4:$G$603,$Z43-5200))=0,"",N(INDEX(次果筐明细!$G$4:$G$603,$Z43-5200)))),"")))))</f>
        <v>282</v>
      </c>
      <c r="P43" s="40" t="str">
        <f>IF($Z43="","",IF($Z43&lt;=2000,"",IF($Z43&lt;=4000,IF(N(INDEX(周转筐出入库明细!$I$4:$I$2004,$Z43-2000))=0,"",N(INDEX(周转筐出入库明细!$I$4:$I$2004,$Z43-2000))),IF($Z43&lt;=5200,"",IF($Z43&lt;=5800,IF(ISNUMBER(SEARCH("退",INDEX(次果筐明细!$F$4:$F$603,$Z43-5200)&amp;"")),IF(N(INDEX(次果筐明细!$G$4:$G$603,$Z43-5200))=0,"",N(INDEX(次果筐明细!$G$4:$G$603,$Z43-5200))),""),"")))))</f>
        <v/>
      </c>
      <c r="Q43" s="40" t="str">
        <f>IF($Z43="","",IF($Z43&lt;=2000,"",IF($Z43&lt;=4000,IF(N(INDEX(周转筐出入库明细!$H$4:$H$2004,$Z43-2000))=0,"",N(INDEX(周转筐出入库明细!$H$4:$H$2004,$Z43-2000))),IF($Z43&lt;=5200,IF(N(INDEX(客户自备加工筐明细!$F$4:$F$1203,$Z43-4000))=0,"",N(INDEX(客户自备加工筐明细!$F$4:$F$1203,$Z43-4000))),IF($Z43&lt;=5800,"","")))))</f>
        <v/>
      </c>
      <c r="R43" s="16" t="str">
        <f>IF($Z43="","",IF($Z43&lt;=2000,IF(INDEX(包装物料出入库明细!$O$4:$O$2003,$Z43-0)=0,"",INDEX(包装物料出入库明细!$O$4:$O$2003,$Z43-0)),IF($Z43&lt;=4000,IF(INDEX(周转筐出入库明细!$M$4:$M$2004,$Z43-2000)=0,"",INDEX(周转筐出入库明细!$M$4:$M$2004,$Z43-2000)),IF($Z43&lt;=5200,IF(INDEX(客户自备加工筐明细!$H$4:$H$1203,$Z43-4000)=0,"",INDEX(客户自备加工筐明细!$H$4:$H$1203,$Z43-4000)),IF($Z43&lt;=5800,IF(INDEX(次果筐明细!$H$4:$H$603,$Z43-5200)=0,"",INDEX(次果筐明细!$H$4:$H$603,$Z43-5200)),"")))))</f>
        <v>豫L*88X19</v>
      </c>
      <c r="S43" s="22" t="str">
        <f t="shared" si="2"/>
        <v>公司筐</v>
      </c>
      <c r="Z43" s="10">
        <f>IFERROR(MATCH(ROW()-3,_自动清单!$CQ$4:$CQ$5803,0),"")</f>
        <v>2007</v>
      </c>
    </row>
    <row r="44" spans="1:26">
      <c r="A44" s="24">
        <f t="shared" si="0"/>
        <v>41</v>
      </c>
      <c r="B44" s="38">
        <f>IF($Z44="","",IF($Z44&lt;=2000,IF(INDEX(包装物料出入库明细!$B$4:$B$2003,$Z44-0)=0,"",INDEX(包装物料出入库明细!$B$4:$B$2003,$Z44-0)),IF($Z44&lt;=4000,IF(INDEX(周转筐出入库明细!$B$4:$B$2004,$Z44-2000)=0,"",INDEX(周转筐出入库明细!$B$4:$B$2004,$Z44-2000)),IF($Z44&lt;=5200,IF(INDEX(客户自备加工筐明细!$B$4:$B$1203,$Z44-4000)=0,"",INDEX(客户自备加工筐明细!$B$4:$B$1203,$Z44-4000)),IF($Z44&lt;=5800,IF(INDEX(次果筐明细!$B$4:$B$603,$Z44-5200)=0,"",INDEX(次果筐明细!$B$4:$B$603,$Z44-5200)),"")))))</f>
        <v>46260</v>
      </c>
      <c r="C44" s="37" t="str">
        <f>IF($Z44="","",IF($Z44&lt;=2000,IF(INDEX(包装物料出入库明细!$D$4:$D$2003,$Z44-0)=0,"",INDEX(包装物料出入库明细!$D$4:$D$2003,$Z44-0)),IF($Z44&lt;=4000,IF(INDEX(周转筐出入库明细!$C$4:$C$2004,$Z44-2000)=0,"",INDEX(周转筐出入库明细!$C$4:$C$2004,$Z44-2000)),IF($Z44&lt;=5200,IF(INDEX(客户自备加工筐明细!$E$4:$E$1203,$Z44-4000)=0,"",INDEX(客户自备加工筐明细!$E$4:$E$1203,$Z44-4000)),IF($Z44&lt;=5800,IF(INDEX(次果筐明细!$C$4:$C$603,$Z44-5200)=0,"",INDEX(次果筐明细!$C$4:$C$603,$Z44-5200)),"")))))</f>
        <v>王照雪</v>
      </c>
      <c r="D44" s="37" t="str">
        <f>IF($Z44="","",IF($Z44&lt;=2000,"包装物料－"&amp;INDEX(包装物料出入库明细!$H$4:$H$2003,$Z44-0),IF($Z44&lt;=4000,"周转筐－"&amp;INDEX(周转筐出入库明细!$F$4:$F$2004,$Z44-2000),IF($Z44&lt;=5200,"客户自备筐－"&amp;INDEX(客户自备加工筐明细!$J$4:$J$1203,$Z44-4000),IF($Z44&lt;=5800,"次果筐/托盘－"&amp;INDEX(次果筐明细!$F$4:$F$603,$Z44-5200),"")))))</f>
        <v>周转筐－领用出库</v>
      </c>
      <c r="E44" s="24" t="str">
        <f>IF($Z44="","",IF($Z44&lt;=2000,IF(INDEX(包装物料出入库明细!$C$4:$C$2003,$Z44-0)=0,"",INDEX(包装物料出入库明细!$C$4:$C$2003,$Z44-0)),IF($Z44&lt;=4000,IF(INDEX(周转筐出入库明细!$E$4:$E$2004,$Z44-2000)=0,"",INDEX(周转筐出入库明细!$E$4:$E$2004,$Z44-2000)),IF($Z44&lt;=5200,IF(INDEX(客户自备加工筐明细!$D$4:$D$1203,$Z44-4000)=0,"",INDEX(客户自备加工筐明细!$D$4:$D$1203,$Z44-4000)),IF($Z44&lt;=5800,IF(INDEX(次果筐明细!$E$4:$E$603,$Z44-5200)=0,"",INDEX(次果筐明细!$E$4:$E$603,$Z44-5200)),"")))))</f>
        <v>NO:0001037</v>
      </c>
      <c r="F44" s="24" t="str">
        <f>IF($Z44="","",IF($Z44&lt;=2000,IF(INDEX(包装物料出入库明细!$E$4:$E$2003,$Z44-0)=0,"",INDEX(包装物料出入库明细!$E$4:$E$2003,$Z44-0)),IF($Z44&lt;=4000,IF(INDEX(周转筐出入库明细!$D$4:$D$2004,$Z44-2000)=0,"",INDEX(周转筐出入库明细!$D$4:$D$2004,$Z44-2000)),IF($Z44&lt;=5200,IF(INDEX(客户自备加工筐明细!$C$4:$C$1203,$Z44-4000)=0,"",INDEX(客户自备加工筐明细!$C$4:$C$1203,$Z44-4000)),IF($Z44&lt;=5800,IF(INDEX(次果筐明细!$D$4:$D$603,$Z44-5200)=0,"",INDEX(次果筐明细!$D$4:$D$603,$Z44-5200)),"")))))</f>
        <v>公司杂周转筐</v>
      </c>
      <c r="G44" s="24" t="str">
        <f>IF($Z44="","",IF($Z44&lt;=2000,IF(INDEX(包装物料出入库明细!$F$4:$F$2003,$Z44-0)=0,"",INDEX(包装物料出入库明细!$F$4:$F$2003,$Z44-0)),IF($Z44&lt;=4000,"",IF($Z44&lt;=5200,"",IF($Z44&lt;=5800,"","")))))</f>
        <v/>
      </c>
      <c r="H44" s="39">
        <f>IF($Z44="","",IF($Z44&lt;=2000,IF(INDEX(包装物料出入库明细!$L$4:$L$2003,$Z44-0)=0,"",INDEX(包装物料出入库明细!$L$4:$L$2003,$Z44-0)),IF($Z44&lt;=4000,N(INDEX(周转筐出入库明细!$H$4:$H$2004,$Z44-2000))+N(INDEX(周转筐出入库明细!$I$4:$I$2004,$Z44-2000))+N(INDEX(周转筐出入库明细!$J$4:$J$2004,$Z44-2000))+N(INDEX(周转筐出入库明细!$K$4:$K$2004,$Z44-2000)),IF($Z44&lt;=5200,N(INDEX(客户自备加工筐明细!$F$4:$F$1203,$Z44-4000))+N(INDEX(客户自备加工筐明细!$G$4:$G$1203,$Z44-4000)),IF($Z44&lt;=5800,IF(INDEX(次果筐明细!$G$4:$G$603,$Z44-5200)=0,"",INDEX(次果筐明细!$G$4:$G$603,$Z44-5200)),"")))))</f>
        <v>144</v>
      </c>
      <c r="I44" s="24" t="str">
        <f>IF($Z44="","",IF($Z44&lt;=2000,IF(INDEX(包装物料出入库明细!$G$4:$G$2003,$Z44-0)=0,"",INDEX(包装物料出入库明细!$G$4:$G$2003,$Z44-0)),IF($Z44&lt;=4000,"个",IF($Z44&lt;=5200,"个",IF($Z44&lt;=5800,"个","")))))</f>
        <v>个</v>
      </c>
      <c r="J44" s="30" t="str">
        <f t="shared" si="1"/>
        <v/>
      </c>
      <c r="K44" s="30" t="str">
        <f>IF($Z44="","",IF($Z44&lt;=2000,IF(INDEX(包装物料出入库明细!$N$4:$N$2003,$Z44-0)=0,"",INDEX(包装物料出入库明细!$N$4:$N$2003,$Z44-0)),IF($Z44&lt;=4000,IF(INDEX(周转筐出入库明细!$P$4:$P$2004,$Z44-2000)=0,"",INDEX(周转筐出入库明细!$P$4:$P$2004,$Z44-2000)),IF($Z44&lt;=5200,"",IF($Z44&lt;=5800,N(INDEX(次果筐明细!$L$4:$L$603,$Z44-5200))+N(INDEX(次果筐明细!$J$4:$J$603,$Z44-5200)),"")))))</f>
        <v/>
      </c>
      <c r="L44" s="24" t="str">
        <f>IF($Z44="","",IF($Z44&lt;=2000,IF(INDEX(包装物料出入库明细!$P$4:$P$2003,$Z44-0)=0,"",INDEX(包装物料出入库明细!$P$4:$P$2003,$Z44-0)),IF($Z44&lt;=4000,IF(INDEX(周转筐出入库明细!$Q$4:$Q$2004,$Z44-2000)=0,"",INDEX(周转筐出入库明细!$Q$4:$Q$2004,$Z44-2000)),IF($Z44&lt;=5200,"",IF($Z44&lt;=5800,IF(INDEX(次果筐明细!$M$4:$M$603,$Z44-5200)=0,"",INDEX(次果筐明细!$M$4:$M$603,$Z44-5200)),"")))))</f>
        <v/>
      </c>
      <c r="M44" s="37" t="str">
        <f>IF($Z44="","",IF($Z44&lt;=2000,IF(INDEX(包装物料出入库明细!$R$4:$R$2003,$Z44-0)=0,"",INDEX(包装物料出入库明细!$R$4:$R$2003,$Z44-0)),IF($Z44&lt;=4000,IF(INDEX(周转筐出入库明细!$W$4:$W$2004,$Z44-2000)=0,"",INDEX(周转筐出入库明细!$W$4:$W$2004,$Z44-2000)),IF($Z44&lt;=5200,IF(INDEX(客户自备加工筐明细!$L$4:$L$1203,$Z44-4000)=0,"",INDEX(客户自备加工筐明细!$L$4:$L$1203,$Z44-4000)),IF($Z44&lt;=5800,IF(INDEX(次果筐明细!$P$4:$P$603,$Z44-5200)=0,"",INDEX(次果筐明细!$P$4:$P$603,$Z44-5200)),"")))))</f>
        <v/>
      </c>
      <c r="N44" s="16" t="str">
        <f>IF($Z44="","",IF($Z44&lt;=2000,"",IF($Z44&lt;=4000,IF(INDEX(周转筐出入库明细!$D$4:$D$2004,$Z44-2000)=0,"",INDEX(周转筐出入库明细!$D$4:$D$2004,$Z44-2000)),IF($Z44&lt;=5200,IF(INDEX(客户自备加工筐明细!$C$4:$C$1203,$Z44-4000)=0,"",INDEX(客户自备加工筐明细!$C$4:$C$1203,$Z44-4000)),IF($Z44&lt;=5800,IF(INDEX(次果筐明细!$D$4:$D$603,$Z44-5200)=0,"",INDEX(次果筐明细!$D$4:$D$603,$Z44-5200)),"")))))</f>
        <v>公司杂周转筐</v>
      </c>
      <c r="O44" s="40">
        <f>IF($Z44="","",IF($Z44&lt;=2000,"",IF($Z44&lt;=4000,IF(N(INDEX(周转筐出入库明细!$J$4:$J$2004,$Z44-2000))+N(INDEX(周转筐出入库明细!$K$4:$K$2004,$Z44-2000))=0,"",N(INDEX(周转筐出入库明细!$J$4:$J$2004,$Z44-2000))+N(INDEX(周转筐出入库明细!$K$4:$K$2004,$Z44-2000))),IF($Z44&lt;=5200,IF(N(INDEX(客户自备加工筐明细!$G$4:$G$1203,$Z44-4000))=0,"",N(INDEX(客户自备加工筐明细!$G$4:$G$1203,$Z44-4000))),IF($Z44&lt;=5800,IF(ISNUMBER(SEARCH("退",INDEX(次果筐明细!$F$4:$F$603,$Z44-5200)&amp;"")),"",IF(N(INDEX(次果筐明细!$G$4:$G$603,$Z44-5200))=0,"",N(INDEX(次果筐明细!$G$4:$G$603,$Z44-5200)))),"")))))</f>
        <v>144</v>
      </c>
      <c r="P44" s="40" t="str">
        <f>IF($Z44="","",IF($Z44&lt;=2000,"",IF($Z44&lt;=4000,IF(N(INDEX(周转筐出入库明细!$I$4:$I$2004,$Z44-2000))=0,"",N(INDEX(周转筐出入库明细!$I$4:$I$2004,$Z44-2000))),IF($Z44&lt;=5200,"",IF($Z44&lt;=5800,IF(ISNUMBER(SEARCH("退",INDEX(次果筐明细!$F$4:$F$603,$Z44-5200)&amp;"")),IF(N(INDEX(次果筐明细!$G$4:$G$603,$Z44-5200))=0,"",N(INDEX(次果筐明细!$G$4:$G$603,$Z44-5200))),""),"")))))</f>
        <v/>
      </c>
      <c r="Q44" s="40" t="str">
        <f>IF($Z44="","",IF($Z44&lt;=2000,"",IF($Z44&lt;=4000,IF(N(INDEX(周转筐出入库明细!$H$4:$H$2004,$Z44-2000))=0,"",N(INDEX(周转筐出入库明细!$H$4:$H$2004,$Z44-2000))),IF($Z44&lt;=5200,IF(N(INDEX(客户自备加工筐明细!$F$4:$F$1203,$Z44-4000))=0,"",N(INDEX(客户自备加工筐明细!$F$4:$F$1203,$Z44-4000))),IF($Z44&lt;=5800,"","")))))</f>
        <v/>
      </c>
      <c r="R44" s="16" t="str">
        <f>IF($Z44="","",IF($Z44&lt;=2000,IF(INDEX(包装物料出入库明细!$O$4:$O$2003,$Z44-0)=0,"",INDEX(包装物料出入库明细!$O$4:$O$2003,$Z44-0)),IF($Z44&lt;=4000,IF(INDEX(周转筐出入库明细!$M$4:$M$2004,$Z44-2000)=0,"",INDEX(周转筐出入库明细!$M$4:$M$2004,$Z44-2000)),IF($Z44&lt;=5200,IF(INDEX(客户自备加工筐明细!$H$4:$H$1203,$Z44-4000)=0,"",INDEX(客户自备加工筐明细!$H$4:$H$1203,$Z44-4000)),IF($Z44&lt;=5800,IF(INDEX(次果筐明细!$H$4:$H$603,$Z44-5200)=0,"",INDEX(次果筐明细!$H$4:$H$603,$Z44-5200)),"")))))</f>
        <v>豫L*88X19</v>
      </c>
      <c r="S44" s="22" t="str">
        <f t="shared" si="2"/>
        <v>公司筐</v>
      </c>
      <c r="Z44" s="10">
        <f>IFERROR(MATCH(ROW()-3,_自动清单!$CQ$4:$CQ$5803,0),"")</f>
        <v>2008</v>
      </c>
    </row>
    <row r="45" spans="1:26">
      <c r="A45" s="24">
        <f t="shared" si="0"/>
        <v>42</v>
      </c>
      <c r="B45" s="38">
        <f>IF($Z45="","",IF($Z45&lt;=2000,IF(INDEX(包装物料出入库明细!$B$4:$B$2003,$Z45-0)=0,"",INDEX(包装物料出入库明细!$B$4:$B$2003,$Z45-0)),IF($Z45&lt;=4000,IF(INDEX(周转筐出入库明细!$B$4:$B$2004,$Z45-2000)=0,"",INDEX(周转筐出入库明细!$B$4:$B$2004,$Z45-2000)),IF($Z45&lt;=5200,IF(INDEX(客户自备加工筐明细!$B$4:$B$1203,$Z45-4000)=0,"",INDEX(客户自备加工筐明细!$B$4:$B$1203,$Z45-4000)),IF($Z45&lt;=5800,IF(INDEX(次果筐明细!$B$4:$B$603,$Z45-5200)=0,"",INDEX(次果筐明细!$B$4:$B$603,$Z45-5200)),"")))))</f>
        <v>46258</v>
      </c>
      <c r="C45" s="37" t="str">
        <f>IF($Z45="","",IF($Z45&lt;=2000,IF(INDEX(包装物料出入库明细!$D$4:$D$2003,$Z45-0)=0,"",INDEX(包装物料出入库明细!$D$4:$D$2003,$Z45-0)),IF($Z45&lt;=4000,IF(INDEX(周转筐出入库明细!$C$4:$C$2004,$Z45-2000)=0,"",INDEX(周转筐出入库明细!$C$4:$C$2004,$Z45-2000)),IF($Z45&lt;=5200,IF(INDEX(客户自备加工筐明细!$E$4:$E$1203,$Z45-4000)=0,"",INDEX(客户自备加工筐明细!$E$4:$E$1203,$Z45-4000)),IF($Z45&lt;=5800,IF(INDEX(次果筐明细!$C$4:$C$603,$Z45-5200)=0,"",INDEX(次果筐明细!$C$4:$C$603,$Z45-5200)),"")))))</f>
        <v>王照雪</v>
      </c>
      <c r="D45" s="37" t="str">
        <f>IF($Z45="","",IF($Z45&lt;=2000,"包装物料－"&amp;INDEX(包装物料出入库明细!$H$4:$H$2003,$Z45-0),IF($Z45&lt;=4000,"周转筐－"&amp;INDEX(周转筐出入库明细!$F$4:$F$2004,$Z45-2000),IF($Z45&lt;=5200,"客户自备筐－"&amp;INDEX(客户自备加工筐明细!$J$4:$J$1203,$Z45-4000),IF($Z45&lt;=5800,"次果筐/托盘－"&amp;INDEX(次果筐明细!$F$4:$F$603,$Z45-5200),"")))))</f>
        <v>周转筐－退回入库</v>
      </c>
      <c r="E45" s="24" t="str">
        <f>IF($Z45="","",IF($Z45&lt;=2000,IF(INDEX(包装物料出入库明细!$C$4:$C$2003,$Z45-0)=0,"",INDEX(包装物料出入库明细!$C$4:$C$2003,$Z45-0)),IF($Z45&lt;=4000,IF(INDEX(周转筐出入库明细!$E$4:$E$2004,$Z45-2000)=0,"",INDEX(周转筐出入库明细!$E$4:$E$2004,$Z45-2000)),IF($Z45&lt;=5200,IF(INDEX(客户自备加工筐明细!$D$4:$D$1203,$Z45-4000)=0,"",INDEX(客户自备加工筐明细!$D$4:$D$1203,$Z45-4000)),IF($Z45&lt;=5800,IF(INDEX(次果筐明细!$E$4:$E$603,$Z45-5200)=0,"",INDEX(次果筐明细!$E$4:$E$603,$Z45-5200)),"")))))</f>
        <v>NO:0000721</v>
      </c>
      <c r="F45" s="24" t="str">
        <f>IF($Z45="","",IF($Z45&lt;=2000,IF(INDEX(包装物料出入库明细!$E$4:$E$2003,$Z45-0)=0,"",INDEX(包装物料出入库明细!$E$4:$E$2003,$Z45-0)),IF($Z45&lt;=4000,IF(INDEX(周转筐出入库明细!$D$4:$D$2004,$Z45-2000)=0,"",INDEX(周转筐出入库明细!$D$4:$D$2004,$Z45-2000)),IF($Z45&lt;=5200,IF(INDEX(客户自备加工筐明细!$C$4:$C$1203,$Z45-4000)=0,"",INDEX(客户自备加工筐明细!$C$4:$C$1203,$Z45-4000)),IF($Z45&lt;=5800,IF(INDEX(次果筐明细!$D$4:$D$603,$Z45-5200)=0,"",INDEX(次果筐明细!$D$4:$D$603,$Z45-5200)),"")))))</f>
        <v>公司杂周转筐</v>
      </c>
      <c r="G45" s="24" t="str">
        <f>IF($Z45="","",IF($Z45&lt;=2000,IF(INDEX(包装物料出入库明细!$F$4:$F$2003,$Z45-0)=0,"",INDEX(包装物料出入库明细!$F$4:$F$2003,$Z45-0)),IF($Z45&lt;=4000,"",IF($Z45&lt;=5200,"",IF($Z45&lt;=5800,"","")))))</f>
        <v/>
      </c>
      <c r="H45" s="39">
        <f>IF($Z45="","",IF($Z45&lt;=2000,IF(INDEX(包装物料出入库明细!$L$4:$L$2003,$Z45-0)=0,"",INDEX(包装物料出入库明细!$L$4:$L$2003,$Z45-0)),IF($Z45&lt;=4000,N(INDEX(周转筐出入库明细!$H$4:$H$2004,$Z45-2000))+N(INDEX(周转筐出入库明细!$I$4:$I$2004,$Z45-2000))+N(INDEX(周转筐出入库明细!$J$4:$J$2004,$Z45-2000))+N(INDEX(周转筐出入库明细!$K$4:$K$2004,$Z45-2000)),IF($Z45&lt;=5200,N(INDEX(客户自备加工筐明细!$F$4:$F$1203,$Z45-4000))+N(INDEX(客户自备加工筐明细!$G$4:$G$1203,$Z45-4000)),IF($Z45&lt;=5800,IF(INDEX(次果筐明细!$G$4:$G$603,$Z45-5200)=0,"",INDEX(次果筐明细!$G$4:$G$603,$Z45-5200)),"")))))</f>
        <v>4</v>
      </c>
      <c r="I45" s="24" t="str">
        <f>IF($Z45="","",IF($Z45&lt;=2000,IF(INDEX(包装物料出入库明细!$G$4:$G$2003,$Z45-0)=0,"",INDEX(包装物料出入库明细!$G$4:$G$2003,$Z45-0)),IF($Z45&lt;=4000,"个",IF($Z45&lt;=5200,"个",IF($Z45&lt;=5800,"个","")))))</f>
        <v>个</v>
      </c>
      <c r="J45" s="30" t="str">
        <f t="shared" si="1"/>
        <v/>
      </c>
      <c r="K45" s="30" t="str">
        <f>IF($Z45="","",IF($Z45&lt;=2000,IF(INDEX(包装物料出入库明细!$N$4:$N$2003,$Z45-0)=0,"",INDEX(包装物料出入库明细!$N$4:$N$2003,$Z45-0)),IF($Z45&lt;=4000,IF(INDEX(周转筐出入库明细!$P$4:$P$2004,$Z45-2000)=0,"",INDEX(周转筐出入库明细!$P$4:$P$2004,$Z45-2000)),IF($Z45&lt;=5200,"",IF($Z45&lt;=5800,N(INDEX(次果筐明细!$L$4:$L$603,$Z45-5200))+N(INDEX(次果筐明细!$J$4:$J$603,$Z45-5200)),"")))))</f>
        <v/>
      </c>
      <c r="L45" s="24" t="str">
        <f>IF($Z45="","",IF($Z45&lt;=2000,IF(INDEX(包装物料出入库明细!$P$4:$P$2003,$Z45-0)=0,"",INDEX(包装物料出入库明细!$P$4:$P$2003,$Z45-0)),IF($Z45&lt;=4000,IF(INDEX(周转筐出入库明细!$Q$4:$Q$2004,$Z45-2000)=0,"",INDEX(周转筐出入库明细!$Q$4:$Q$2004,$Z45-2000)),IF($Z45&lt;=5200,"",IF($Z45&lt;=5800,IF(INDEX(次果筐明细!$M$4:$M$603,$Z45-5200)=0,"",INDEX(次果筐明细!$M$4:$M$603,$Z45-5200)),"")))))</f>
        <v/>
      </c>
      <c r="M45" s="37" t="str">
        <f>IF($Z45="","",IF($Z45&lt;=2000,IF(INDEX(包装物料出入库明细!$R$4:$R$2003,$Z45-0)=0,"",INDEX(包装物料出入库明细!$R$4:$R$2003,$Z45-0)),IF($Z45&lt;=4000,IF(INDEX(周转筐出入库明细!$W$4:$W$2004,$Z45-2000)=0,"",INDEX(周转筐出入库明细!$W$4:$W$2004,$Z45-2000)),IF($Z45&lt;=5200,IF(INDEX(客户自备加工筐明细!$L$4:$L$1203,$Z45-4000)=0,"",INDEX(客户自备加工筐明细!$L$4:$L$1203,$Z45-4000)),IF($Z45&lt;=5800,IF(INDEX(次果筐明细!$P$4:$P$603,$Z45-5200)=0,"",INDEX(次果筐明细!$P$4:$P$603,$Z45-5200)),"")))))</f>
        <v/>
      </c>
      <c r="N45" s="16" t="str">
        <f>IF($Z45="","",IF($Z45&lt;=2000,"",IF($Z45&lt;=4000,IF(INDEX(周转筐出入库明细!$D$4:$D$2004,$Z45-2000)=0,"",INDEX(周转筐出入库明细!$D$4:$D$2004,$Z45-2000)),IF($Z45&lt;=5200,IF(INDEX(客户自备加工筐明细!$C$4:$C$1203,$Z45-4000)=0,"",INDEX(客户自备加工筐明细!$C$4:$C$1203,$Z45-4000)),IF($Z45&lt;=5800,IF(INDEX(次果筐明细!$D$4:$D$603,$Z45-5200)=0,"",INDEX(次果筐明细!$D$4:$D$603,$Z45-5200)),"")))))</f>
        <v>公司杂周转筐</v>
      </c>
      <c r="O45" s="40" t="str">
        <f>IF($Z45="","",IF($Z45&lt;=2000,"",IF($Z45&lt;=4000,IF(N(INDEX(周转筐出入库明细!$J$4:$J$2004,$Z45-2000))+N(INDEX(周转筐出入库明细!$K$4:$K$2004,$Z45-2000))=0,"",N(INDEX(周转筐出入库明细!$J$4:$J$2004,$Z45-2000))+N(INDEX(周转筐出入库明细!$K$4:$K$2004,$Z45-2000))),IF($Z45&lt;=5200,IF(N(INDEX(客户自备加工筐明细!$G$4:$G$1203,$Z45-4000))=0,"",N(INDEX(客户自备加工筐明细!$G$4:$G$1203,$Z45-4000))),IF($Z45&lt;=5800,IF(ISNUMBER(SEARCH("退",INDEX(次果筐明细!$F$4:$F$603,$Z45-5200)&amp;"")),"",IF(N(INDEX(次果筐明细!$G$4:$G$603,$Z45-5200))=0,"",N(INDEX(次果筐明细!$G$4:$G$603,$Z45-5200)))),"")))))</f>
        <v/>
      </c>
      <c r="P45" s="40">
        <f>IF($Z45="","",IF($Z45&lt;=2000,"",IF($Z45&lt;=4000,IF(N(INDEX(周转筐出入库明细!$I$4:$I$2004,$Z45-2000))=0,"",N(INDEX(周转筐出入库明细!$I$4:$I$2004,$Z45-2000))),IF($Z45&lt;=5200,"",IF($Z45&lt;=5800,IF(ISNUMBER(SEARCH("退",INDEX(次果筐明细!$F$4:$F$603,$Z45-5200)&amp;"")),IF(N(INDEX(次果筐明细!$G$4:$G$603,$Z45-5200))=0,"",N(INDEX(次果筐明细!$G$4:$G$603,$Z45-5200))),""),"")))))</f>
        <v>4</v>
      </c>
      <c r="Q45" s="40" t="str">
        <f>IF($Z45="","",IF($Z45&lt;=2000,"",IF($Z45&lt;=4000,IF(N(INDEX(周转筐出入库明细!$H$4:$H$2004,$Z45-2000))=0,"",N(INDEX(周转筐出入库明细!$H$4:$H$2004,$Z45-2000))),IF($Z45&lt;=5200,IF(N(INDEX(客户自备加工筐明细!$F$4:$F$1203,$Z45-4000))=0,"",N(INDEX(客户自备加工筐明细!$F$4:$F$1203,$Z45-4000))),IF($Z45&lt;=5800,"","")))))</f>
        <v/>
      </c>
      <c r="R45" s="16" t="str">
        <f>IF($Z45="","",IF($Z45&lt;=2000,IF(INDEX(包装物料出入库明细!$O$4:$O$2003,$Z45-0)=0,"",INDEX(包装物料出入库明细!$O$4:$O$2003,$Z45-0)),IF($Z45&lt;=4000,IF(INDEX(周转筐出入库明细!$M$4:$M$2004,$Z45-2000)=0,"",INDEX(周转筐出入库明细!$M$4:$M$2004,$Z45-2000)),IF($Z45&lt;=5200,IF(INDEX(客户自备加工筐明细!$H$4:$H$1203,$Z45-4000)=0,"",INDEX(客户自备加工筐明细!$H$4:$H$1203,$Z45-4000)),IF($Z45&lt;=5800,IF(INDEX(次果筐明细!$H$4:$H$603,$Z45-5200)=0,"",INDEX(次果筐明细!$H$4:$H$603,$Z45-5200)),"")))))</f>
        <v>豫L*88X19</v>
      </c>
      <c r="S45" s="22" t="str">
        <f t="shared" si="2"/>
        <v>公司筐</v>
      </c>
      <c r="Z45" s="10">
        <f>IFERROR(MATCH(ROW()-3,_自动清单!$CQ$4:$CQ$5803,0),"")</f>
        <v>2009</v>
      </c>
    </row>
    <row r="46" spans="1:26">
      <c r="A46" s="24">
        <f t="shared" si="0"/>
        <v>43</v>
      </c>
      <c r="B46" s="38">
        <f>IF($Z46="","",IF($Z46&lt;=2000,IF(INDEX(包装物料出入库明细!$B$4:$B$2003,$Z46-0)=0,"",INDEX(包装物料出入库明细!$B$4:$B$2003,$Z46-0)),IF($Z46&lt;=4000,IF(INDEX(周转筐出入库明细!$B$4:$B$2004,$Z46-2000)=0,"",INDEX(周转筐出入库明细!$B$4:$B$2004,$Z46-2000)),IF($Z46&lt;=5200,IF(INDEX(客户自备加工筐明细!$B$4:$B$1203,$Z46-4000)=0,"",INDEX(客户自备加工筐明细!$B$4:$B$1203,$Z46-4000)),IF($Z46&lt;=5800,IF(INDEX(次果筐明细!$B$4:$B$603,$Z46-5200)=0,"",INDEX(次果筐明细!$B$4:$B$603,$Z46-5200)),"")))))</f>
        <v>46265</v>
      </c>
      <c r="C46" s="37" t="str">
        <f>IF($Z46="","",IF($Z46&lt;=2000,IF(INDEX(包装物料出入库明细!$D$4:$D$2003,$Z46-0)=0,"",INDEX(包装物料出入库明细!$D$4:$D$2003,$Z46-0)),IF($Z46&lt;=4000,IF(INDEX(周转筐出入库明细!$C$4:$C$2004,$Z46-2000)=0,"",INDEX(周转筐出入库明细!$C$4:$C$2004,$Z46-2000)),IF($Z46&lt;=5200,IF(INDEX(客户自备加工筐明细!$E$4:$E$1203,$Z46-4000)=0,"",INDEX(客户自备加工筐明细!$E$4:$E$1203,$Z46-4000)),IF($Z46&lt;=5800,IF(INDEX(次果筐明细!$C$4:$C$603,$Z46-5200)=0,"",INDEX(次果筐明细!$C$4:$C$603,$Z46-5200)),"")))))</f>
        <v>王浩</v>
      </c>
      <c r="D46" s="37" t="str">
        <f>IF($Z46="","",IF($Z46&lt;=2000,"包装物料－"&amp;INDEX(包装物料出入库明细!$H$4:$H$2003,$Z46-0),IF($Z46&lt;=4000,"周转筐－"&amp;INDEX(周转筐出入库明细!$F$4:$F$2004,$Z46-2000),IF($Z46&lt;=5200,"客户自备筐－"&amp;INDEX(客户自备加工筐明细!$J$4:$J$1203,$Z46-4000),IF($Z46&lt;=5800,"次果筐/托盘－"&amp;INDEX(次果筐明细!$F$4:$F$603,$Z46-5200),"")))))</f>
        <v>周转筐－领用出库</v>
      </c>
      <c r="E46" s="24" t="str">
        <f>IF($Z46="","",IF($Z46&lt;=2000,IF(INDEX(包装物料出入库明细!$C$4:$C$2003,$Z46-0)=0,"",INDEX(包装物料出入库明细!$C$4:$C$2003,$Z46-0)),IF($Z46&lt;=4000,IF(INDEX(周转筐出入库明细!$E$4:$E$2004,$Z46-2000)=0,"",INDEX(周转筐出入库明细!$E$4:$E$2004,$Z46-2000)),IF($Z46&lt;=5200,IF(INDEX(客户自备加工筐明细!$D$4:$D$1203,$Z46-4000)=0,"",INDEX(客户自备加工筐明细!$D$4:$D$1203,$Z46-4000)),IF($Z46&lt;=5800,IF(INDEX(次果筐明细!$E$4:$E$603,$Z46-5200)=0,"",INDEX(次果筐明细!$E$4:$E$603,$Z46-5200)),"")))))</f>
        <v>NO:0001057</v>
      </c>
      <c r="F46" s="24" t="str">
        <f>IF($Z46="","",IF($Z46&lt;=2000,IF(INDEX(包装物料出入库明细!$E$4:$E$2003,$Z46-0)=0,"",INDEX(包装物料出入库明细!$E$4:$E$2003,$Z46-0)),IF($Z46&lt;=4000,IF(INDEX(周转筐出入库明细!$D$4:$D$2004,$Z46-2000)=0,"",INDEX(周转筐出入库明细!$D$4:$D$2004,$Z46-2000)),IF($Z46&lt;=5200,IF(INDEX(客户自备加工筐明细!$C$4:$C$1203,$Z46-4000)=0,"",INDEX(客户自备加工筐明细!$C$4:$C$1203,$Z46-4000)),IF($Z46&lt;=5800,IF(INDEX(次果筐明细!$D$4:$D$603,$Z46-5200)=0,"",INDEX(次果筐明细!$D$4:$D$603,$Z46-5200)),"")))))</f>
        <v>公司一次性筐</v>
      </c>
      <c r="G46" s="24" t="str">
        <f>IF($Z46="","",IF($Z46&lt;=2000,IF(INDEX(包装物料出入库明细!$F$4:$F$2003,$Z46-0)=0,"",INDEX(包装物料出入库明细!$F$4:$F$2003,$Z46-0)),IF($Z46&lt;=4000,"",IF($Z46&lt;=5200,"",IF($Z46&lt;=5800,"","")))))</f>
        <v/>
      </c>
      <c r="H46" s="39">
        <f>IF($Z46="","",IF($Z46&lt;=2000,IF(INDEX(包装物料出入库明细!$L$4:$L$2003,$Z46-0)=0,"",INDEX(包装物料出入库明细!$L$4:$L$2003,$Z46-0)),IF($Z46&lt;=4000,N(INDEX(周转筐出入库明细!$H$4:$H$2004,$Z46-2000))+N(INDEX(周转筐出入库明细!$I$4:$I$2004,$Z46-2000))+N(INDEX(周转筐出入库明细!$J$4:$J$2004,$Z46-2000))+N(INDEX(周转筐出入库明细!$K$4:$K$2004,$Z46-2000)),IF($Z46&lt;=5200,N(INDEX(客户自备加工筐明细!$F$4:$F$1203,$Z46-4000))+N(INDEX(客户自备加工筐明细!$G$4:$G$1203,$Z46-4000)),IF($Z46&lt;=5800,IF(INDEX(次果筐明细!$G$4:$G$603,$Z46-5200)=0,"",INDEX(次果筐明细!$G$4:$G$603,$Z46-5200)),"")))))</f>
        <v>2040</v>
      </c>
      <c r="I46" s="24" t="str">
        <f>IF($Z46="","",IF($Z46&lt;=2000,IF(INDEX(包装物料出入库明细!$G$4:$G$2003,$Z46-0)=0,"",INDEX(包装物料出入库明细!$G$4:$G$2003,$Z46-0)),IF($Z46&lt;=4000,"个",IF($Z46&lt;=5200,"个",IF($Z46&lt;=5800,"个","")))))</f>
        <v>个</v>
      </c>
      <c r="J46" s="30" t="str">
        <f t="shared" si="1"/>
        <v/>
      </c>
      <c r="K46" s="30" t="str">
        <f>IF($Z46="","",IF($Z46&lt;=2000,IF(INDEX(包装物料出入库明细!$N$4:$N$2003,$Z46-0)=0,"",INDEX(包装物料出入库明细!$N$4:$N$2003,$Z46-0)),IF($Z46&lt;=4000,IF(INDEX(周转筐出入库明细!$P$4:$P$2004,$Z46-2000)=0,"",INDEX(周转筐出入库明细!$P$4:$P$2004,$Z46-2000)),IF($Z46&lt;=5200,"",IF($Z46&lt;=5800,N(INDEX(次果筐明细!$L$4:$L$603,$Z46-5200))+N(INDEX(次果筐明细!$J$4:$J$603,$Z46-5200)),"")))))</f>
        <v/>
      </c>
      <c r="L46" s="24" t="str">
        <f>IF($Z46="","",IF($Z46&lt;=2000,IF(INDEX(包装物料出入库明细!$P$4:$P$2003,$Z46-0)=0,"",INDEX(包装物料出入库明细!$P$4:$P$2003,$Z46-0)),IF($Z46&lt;=4000,IF(INDEX(周转筐出入库明细!$Q$4:$Q$2004,$Z46-2000)=0,"",INDEX(周转筐出入库明细!$Q$4:$Q$2004,$Z46-2000)),IF($Z46&lt;=5200,"",IF($Z46&lt;=5800,IF(INDEX(次果筐明细!$M$4:$M$603,$Z46-5200)=0,"",INDEX(次果筐明细!$M$4:$M$603,$Z46-5200)),"")))))</f>
        <v/>
      </c>
      <c r="M46" s="37" t="str">
        <f>IF($Z46="","",IF($Z46&lt;=2000,IF(INDEX(包装物料出入库明细!$R$4:$R$2003,$Z46-0)=0,"",INDEX(包装物料出入库明细!$R$4:$R$2003,$Z46-0)),IF($Z46&lt;=4000,IF(INDEX(周转筐出入库明细!$W$4:$W$2004,$Z46-2000)=0,"",INDEX(周转筐出入库明细!$W$4:$W$2004,$Z46-2000)),IF($Z46&lt;=5200,IF(INDEX(客户自备加工筐明细!$L$4:$L$1203,$Z46-4000)=0,"",INDEX(客户自备加工筐明细!$L$4:$L$1203,$Z46-4000)),IF($Z46&lt;=5800,IF(INDEX(次果筐明细!$P$4:$P$603,$Z46-5200)=0,"",INDEX(次果筐明细!$P$4:$P$603,$Z46-5200)),"")))))</f>
        <v/>
      </c>
      <c r="N46" s="16" t="str">
        <f>IF($Z46="","",IF($Z46&lt;=2000,"",IF($Z46&lt;=4000,IF(INDEX(周转筐出入库明细!$D$4:$D$2004,$Z46-2000)=0,"",INDEX(周转筐出入库明细!$D$4:$D$2004,$Z46-2000)),IF($Z46&lt;=5200,IF(INDEX(客户自备加工筐明细!$C$4:$C$1203,$Z46-4000)=0,"",INDEX(客户自备加工筐明细!$C$4:$C$1203,$Z46-4000)),IF($Z46&lt;=5800,IF(INDEX(次果筐明细!$D$4:$D$603,$Z46-5200)=0,"",INDEX(次果筐明细!$D$4:$D$603,$Z46-5200)),"")))))</f>
        <v>公司一次性筐</v>
      </c>
      <c r="O46" s="40">
        <f>IF($Z46="","",IF($Z46&lt;=2000,"",IF($Z46&lt;=4000,IF(N(INDEX(周转筐出入库明细!$J$4:$J$2004,$Z46-2000))+N(INDEX(周转筐出入库明细!$K$4:$K$2004,$Z46-2000))=0,"",N(INDEX(周转筐出入库明细!$J$4:$J$2004,$Z46-2000))+N(INDEX(周转筐出入库明细!$K$4:$K$2004,$Z46-2000))),IF($Z46&lt;=5200,IF(N(INDEX(客户自备加工筐明细!$G$4:$G$1203,$Z46-4000))=0,"",N(INDEX(客户自备加工筐明细!$G$4:$G$1203,$Z46-4000))),IF($Z46&lt;=5800,IF(ISNUMBER(SEARCH("退",INDEX(次果筐明细!$F$4:$F$603,$Z46-5200)&amp;"")),"",IF(N(INDEX(次果筐明细!$G$4:$G$603,$Z46-5200))=0,"",N(INDEX(次果筐明细!$G$4:$G$603,$Z46-5200)))),"")))))</f>
        <v>2040</v>
      </c>
      <c r="P46" s="40" t="str">
        <f>IF($Z46="","",IF($Z46&lt;=2000,"",IF($Z46&lt;=4000,IF(N(INDEX(周转筐出入库明细!$I$4:$I$2004,$Z46-2000))=0,"",N(INDEX(周转筐出入库明细!$I$4:$I$2004,$Z46-2000))),IF($Z46&lt;=5200,"",IF($Z46&lt;=5800,IF(ISNUMBER(SEARCH("退",INDEX(次果筐明细!$F$4:$F$603,$Z46-5200)&amp;"")),IF(N(INDEX(次果筐明细!$G$4:$G$603,$Z46-5200))=0,"",N(INDEX(次果筐明细!$G$4:$G$603,$Z46-5200))),""),"")))))</f>
        <v/>
      </c>
      <c r="Q46" s="40" t="str">
        <f>IF($Z46="","",IF($Z46&lt;=2000,"",IF($Z46&lt;=4000,IF(N(INDEX(周转筐出入库明细!$H$4:$H$2004,$Z46-2000))=0,"",N(INDEX(周转筐出入库明细!$H$4:$H$2004,$Z46-2000))),IF($Z46&lt;=5200,IF(N(INDEX(客户自备加工筐明细!$F$4:$F$1203,$Z46-4000))=0,"",N(INDEX(客户自备加工筐明细!$F$4:$F$1203,$Z46-4000))),IF($Z46&lt;=5800,"","")))))</f>
        <v/>
      </c>
      <c r="R46" s="16" t="str">
        <f>IF($Z46="","",IF($Z46&lt;=2000,IF(INDEX(包装物料出入库明细!$O$4:$O$2003,$Z46-0)=0,"",INDEX(包装物料出入库明细!$O$4:$O$2003,$Z46-0)),IF($Z46&lt;=4000,IF(INDEX(周转筐出入库明细!$M$4:$M$2004,$Z46-2000)=0,"",INDEX(周转筐出入库明细!$M$4:$M$2004,$Z46-2000)),IF($Z46&lt;=5200,IF(INDEX(客户自备加工筐明细!$H$4:$H$1203,$Z46-4000)=0,"",INDEX(客户自备加工筐明细!$H$4:$H$1203,$Z46-4000)),IF($Z46&lt;=5800,IF(INDEX(次果筐明细!$H$4:$H$603,$Z46-5200)=0,"",INDEX(次果筐明细!$H$4:$H$603,$Z46-5200)),"")))))</f>
        <v>新Q*67674</v>
      </c>
      <c r="S46" s="22" t="str">
        <f t="shared" si="2"/>
        <v>公司筐</v>
      </c>
      <c r="Z46" s="10">
        <f>IFERROR(MATCH(ROW()-3,_自动清单!$CQ$4:$CQ$5803,0),"")</f>
        <v>2010</v>
      </c>
    </row>
    <row r="47" spans="1:26">
      <c r="A47" s="24">
        <f t="shared" si="0"/>
        <v>44</v>
      </c>
      <c r="B47" s="38">
        <f>IF($Z47="","",IF($Z47&lt;=2000,IF(INDEX(包装物料出入库明细!$B$4:$B$2003,$Z47-0)=0,"",INDEX(包装物料出入库明细!$B$4:$B$2003,$Z47-0)),IF($Z47&lt;=4000,IF(INDEX(周转筐出入库明细!$B$4:$B$2004,$Z47-2000)=0,"",INDEX(周转筐出入库明细!$B$4:$B$2004,$Z47-2000)),IF($Z47&lt;=5200,IF(INDEX(客户自备加工筐明细!$B$4:$B$1203,$Z47-4000)=0,"",INDEX(客户自备加工筐明细!$B$4:$B$1203,$Z47-4000)),IF($Z47&lt;=5800,IF(INDEX(次果筐明细!$B$4:$B$603,$Z47-5200)=0,"",INDEX(次果筐明细!$B$4:$B$603,$Z47-5200)),"")))))</f>
        <v>46266</v>
      </c>
      <c r="C47" s="37" t="str">
        <f>IF($Z47="","",IF($Z47&lt;=2000,IF(INDEX(包装物料出入库明细!$D$4:$D$2003,$Z47-0)=0,"",INDEX(包装物料出入库明细!$D$4:$D$2003,$Z47-0)),IF($Z47&lt;=4000,IF(INDEX(周转筐出入库明细!$C$4:$C$2004,$Z47-2000)=0,"",INDEX(周转筐出入库明细!$C$4:$C$2004,$Z47-2000)),IF($Z47&lt;=5200,IF(INDEX(客户自备加工筐明细!$E$4:$E$1203,$Z47-4000)=0,"",INDEX(客户自备加工筐明细!$E$4:$E$1203,$Z47-4000)),IF($Z47&lt;=5800,IF(INDEX(次果筐明细!$C$4:$C$603,$Z47-5200)=0,"",INDEX(次果筐明细!$C$4:$C$603,$Z47-5200)),"")))))</f>
        <v>马锦祥</v>
      </c>
      <c r="D47" s="37" t="str">
        <f>IF($Z47="","",IF($Z47&lt;=2000,"包装物料－"&amp;INDEX(包装物料出入库明细!$H$4:$H$2003,$Z47-0),IF($Z47&lt;=4000,"周转筐－"&amp;INDEX(周转筐出入库明细!$F$4:$F$2004,$Z47-2000),IF($Z47&lt;=5200,"客户自备筐－"&amp;INDEX(客户自备加工筐明细!$J$4:$J$1203,$Z47-4000),IF($Z47&lt;=5800,"次果筐/托盘－"&amp;INDEX(次果筐明细!$F$4:$F$603,$Z47-5200),"")))))</f>
        <v>周转筐－领用出库</v>
      </c>
      <c r="E47" s="24" t="str">
        <f>IF($Z47="","",IF($Z47&lt;=2000,IF(INDEX(包装物料出入库明细!$C$4:$C$2003,$Z47-0)=0,"",INDEX(包装物料出入库明细!$C$4:$C$2003,$Z47-0)),IF($Z47&lt;=4000,IF(INDEX(周转筐出入库明细!$E$4:$E$2004,$Z47-2000)=0,"",INDEX(周转筐出入库明细!$E$4:$E$2004,$Z47-2000)),IF($Z47&lt;=5200,IF(INDEX(客户自备加工筐明细!$D$4:$D$1203,$Z47-4000)=0,"",INDEX(客户自备加工筐明细!$D$4:$D$1203,$Z47-4000)),IF($Z47&lt;=5800,IF(INDEX(次果筐明细!$E$4:$E$603,$Z47-5200)=0,"",INDEX(次果筐明细!$E$4:$E$603,$Z47-5200)),"")))))</f>
        <v>NO:0001061</v>
      </c>
      <c r="F47" s="24" t="str">
        <f>IF($Z47="","",IF($Z47&lt;=2000,IF(INDEX(包装物料出入库明细!$E$4:$E$2003,$Z47-0)=0,"",INDEX(包装物料出入库明细!$E$4:$E$2003,$Z47-0)),IF($Z47&lt;=4000,IF(INDEX(周转筐出入库明细!$D$4:$D$2004,$Z47-2000)=0,"",INDEX(周转筐出入库明细!$D$4:$D$2004,$Z47-2000)),IF($Z47&lt;=5200,IF(INDEX(客户自备加工筐明细!$C$4:$C$1203,$Z47-4000)=0,"",INDEX(客户自备加工筐明细!$C$4:$C$1203,$Z47-4000)),IF($Z47&lt;=5800,IF(INDEX(次果筐明细!$D$4:$D$603,$Z47-5200)=0,"",INDEX(次果筐明细!$D$4:$D$603,$Z47-5200)),"")))))</f>
        <v>公司杂周转筐</v>
      </c>
      <c r="G47" s="24" t="str">
        <f>IF($Z47="","",IF($Z47&lt;=2000,IF(INDEX(包装物料出入库明细!$F$4:$F$2003,$Z47-0)=0,"",INDEX(包装物料出入库明细!$F$4:$F$2003,$Z47-0)),IF($Z47&lt;=4000,"",IF($Z47&lt;=5200,"",IF($Z47&lt;=5800,"","")))))</f>
        <v/>
      </c>
      <c r="H47" s="39">
        <f>IF($Z47="","",IF($Z47&lt;=2000,IF(INDEX(包装物料出入库明细!$L$4:$L$2003,$Z47-0)=0,"",INDEX(包装物料出入库明细!$L$4:$L$2003,$Z47-0)),IF($Z47&lt;=4000,N(INDEX(周转筐出入库明细!$H$4:$H$2004,$Z47-2000))+N(INDEX(周转筐出入库明细!$I$4:$I$2004,$Z47-2000))+N(INDEX(周转筐出入库明细!$J$4:$J$2004,$Z47-2000))+N(INDEX(周转筐出入库明细!$K$4:$K$2004,$Z47-2000)),IF($Z47&lt;=5200,N(INDEX(客户自备加工筐明细!$F$4:$F$1203,$Z47-4000))+N(INDEX(客户自备加工筐明细!$G$4:$G$1203,$Z47-4000)),IF($Z47&lt;=5800,IF(INDEX(次果筐明细!$G$4:$G$603,$Z47-5200)=0,"",INDEX(次果筐明细!$G$4:$G$603,$Z47-5200)),"")))))</f>
        <v>588</v>
      </c>
      <c r="I47" s="24" t="str">
        <f>IF($Z47="","",IF($Z47&lt;=2000,IF(INDEX(包装物料出入库明细!$G$4:$G$2003,$Z47-0)=0,"",INDEX(包装物料出入库明细!$G$4:$G$2003,$Z47-0)),IF($Z47&lt;=4000,"个",IF($Z47&lt;=5200,"个",IF($Z47&lt;=5800,"个","")))))</f>
        <v>个</v>
      </c>
      <c r="J47" s="30" t="str">
        <f t="shared" si="1"/>
        <v/>
      </c>
      <c r="K47" s="30" t="str">
        <f>IF($Z47="","",IF($Z47&lt;=2000,IF(INDEX(包装物料出入库明细!$N$4:$N$2003,$Z47-0)=0,"",INDEX(包装物料出入库明细!$N$4:$N$2003,$Z47-0)),IF($Z47&lt;=4000,IF(INDEX(周转筐出入库明细!$P$4:$P$2004,$Z47-2000)=0,"",INDEX(周转筐出入库明细!$P$4:$P$2004,$Z47-2000)),IF($Z47&lt;=5200,"",IF($Z47&lt;=5800,N(INDEX(次果筐明细!$L$4:$L$603,$Z47-5200))+N(INDEX(次果筐明细!$J$4:$J$603,$Z47-5200)),"")))))</f>
        <v/>
      </c>
      <c r="L47" s="24" t="str">
        <f>IF($Z47="","",IF($Z47&lt;=2000,IF(INDEX(包装物料出入库明细!$P$4:$P$2003,$Z47-0)=0,"",INDEX(包装物料出入库明细!$P$4:$P$2003,$Z47-0)),IF($Z47&lt;=4000,IF(INDEX(周转筐出入库明细!$Q$4:$Q$2004,$Z47-2000)=0,"",INDEX(周转筐出入库明细!$Q$4:$Q$2004,$Z47-2000)),IF($Z47&lt;=5200,"",IF($Z47&lt;=5800,IF(INDEX(次果筐明细!$M$4:$M$603,$Z47-5200)=0,"",INDEX(次果筐明细!$M$4:$M$603,$Z47-5200)),"")))))</f>
        <v/>
      </c>
      <c r="M47" s="37" t="str">
        <f>IF($Z47="","",IF($Z47&lt;=2000,IF(INDEX(包装物料出入库明细!$R$4:$R$2003,$Z47-0)=0,"",INDEX(包装物料出入库明细!$R$4:$R$2003,$Z47-0)),IF($Z47&lt;=4000,IF(INDEX(周转筐出入库明细!$W$4:$W$2004,$Z47-2000)=0,"",INDEX(周转筐出入库明细!$W$4:$W$2004,$Z47-2000)),IF($Z47&lt;=5200,IF(INDEX(客户自备加工筐明细!$L$4:$L$1203,$Z47-4000)=0,"",INDEX(客户自备加工筐明细!$L$4:$L$1203,$Z47-4000)),IF($Z47&lt;=5800,IF(INDEX(次果筐明细!$P$4:$P$603,$Z47-5200)=0,"",INDEX(次果筐明细!$P$4:$P$603,$Z47-5200)),"")))))</f>
        <v/>
      </c>
      <c r="N47" s="16" t="str">
        <f>IF($Z47="","",IF($Z47&lt;=2000,"",IF($Z47&lt;=4000,IF(INDEX(周转筐出入库明细!$D$4:$D$2004,$Z47-2000)=0,"",INDEX(周转筐出入库明细!$D$4:$D$2004,$Z47-2000)),IF($Z47&lt;=5200,IF(INDEX(客户自备加工筐明细!$C$4:$C$1203,$Z47-4000)=0,"",INDEX(客户自备加工筐明细!$C$4:$C$1203,$Z47-4000)),IF($Z47&lt;=5800,IF(INDEX(次果筐明细!$D$4:$D$603,$Z47-5200)=0,"",INDEX(次果筐明细!$D$4:$D$603,$Z47-5200)),"")))))</f>
        <v>公司杂周转筐</v>
      </c>
      <c r="O47" s="40">
        <f>IF($Z47="","",IF($Z47&lt;=2000,"",IF($Z47&lt;=4000,IF(N(INDEX(周转筐出入库明细!$J$4:$J$2004,$Z47-2000))+N(INDEX(周转筐出入库明细!$K$4:$K$2004,$Z47-2000))=0,"",N(INDEX(周转筐出入库明细!$J$4:$J$2004,$Z47-2000))+N(INDEX(周转筐出入库明细!$K$4:$K$2004,$Z47-2000))),IF($Z47&lt;=5200,IF(N(INDEX(客户自备加工筐明细!$G$4:$G$1203,$Z47-4000))=0,"",N(INDEX(客户自备加工筐明细!$G$4:$G$1203,$Z47-4000))),IF($Z47&lt;=5800,IF(ISNUMBER(SEARCH("退",INDEX(次果筐明细!$F$4:$F$603,$Z47-5200)&amp;"")),"",IF(N(INDEX(次果筐明细!$G$4:$G$603,$Z47-5200))=0,"",N(INDEX(次果筐明细!$G$4:$G$603,$Z47-5200)))),"")))))</f>
        <v>588</v>
      </c>
      <c r="P47" s="40" t="str">
        <f>IF($Z47="","",IF($Z47&lt;=2000,"",IF($Z47&lt;=4000,IF(N(INDEX(周转筐出入库明细!$I$4:$I$2004,$Z47-2000))=0,"",N(INDEX(周转筐出入库明细!$I$4:$I$2004,$Z47-2000))),IF($Z47&lt;=5200,"",IF($Z47&lt;=5800,IF(ISNUMBER(SEARCH("退",INDEX(次果筐明细!$F$4:$F$603,$Z47-5200)&amp;"")),IF(N(INDEX(次果筐明细!$G$4:$G$603,$Z47-5200))=0,"",N(INDEX(次果筐明细!$G$4:$G$603,$Z47-5200))),""),"")))))</f>
        <v/>
      </c>
      <c r="Q47" s="40" t="str">
        <f>IF($Z47="","",IF($Z47&lt;=2000,"",IF($Z47&lt;=4000,IF(N(INDEX(周转筐出入库明细!$H$4:$H$2004,$Z47-2000))=0,"",N(INDEX(周转筐出入库明细!$H$4:$H$2004,$Z47-2000))),IF($Z47&lt;=5200,IF(N(INDEX(客户自备加工筐明细!$F$4:$F$1203,$Z47-4000))=0,"",N(INDEX(客户自备加工筐明细!$F$4:$F$1203,$Z47-4000))),IF($Z47&lt;=5800,"","")))))</f>
        <v/>
      </c>
      <c r="R47" s="16" t="str">
        <f>IF($Z47="","",IF($Z47&lt;=2000,IF(INDEX(包装物料出入库明细!$O$4:$O$2003,$Z47-0)=0,"",INDEX(包装物料出入库明细!$O$4:$O$2003,$Z47-0)),IF($Z47&lt;=4000,IF(INDEX(周转筐出入库明细!$M$4:$M$2004,$Z47-2000)=0,"",INDEX(周转筐出入库明细!$M$4:$M$2004,$Z47-2000)),IF($Z47&lt;=5200,IF(INDEX(客户自备加工筐明细!$H$4:$H$1203,$Z47-4000)=0,"",INDEX(客户自备加工筐明细!$H$4:$H$1203,$Z47-4000)),IF($Z47&lt;=5800,IF(INDEX(次果筐明细!$H$4:$H$603,$Z47-5200)=0,"",INDEX(次果筐明细!$H$4:$H$603,$Z47-5200)),"")))))</f>
        <v>新N*K7V85</v>
      </c>
      <c r="S47" s="22" t="str">
        <f t="shared" si="2"/>
        <v>公司筐</v>
      </c>
      <c r="Z47" s="10">
        <f>IFERROR(MATCH(ROW()-3,_自动清单!$CQ$4:$CQ$5803,0),"")</f>
        <v>2011</v>
      </c>
    </row>
    <row r="48" spans="1:26">
      <c r="A48" s="24">
        <f t="shared" si="0"/>
        <v>45</v>
      </c>
      <c r="B48" s="38">
        <f>IF($Z48="","",IF($Z48&lt;=2000,IF(INDEX(包装物料出入库明细!$B$4:$B$2003,$Z48-0)=0,"",INDEX(包装物料出入库明细!$B$4:$B$2003,$Z48-0)),IF($Z48&lt;=4000,IF(INDEX(周转筐出入库明细!$B$4:$B$2004,$Z48-2000)=0,"",INDEX(周转筐出入库明细!$B$4:$B$2004,$Z48-2000)),IF($Z48&lt;=5200,IF(INDEX(客户自备加工筐明细!$B$4:$B$1203,$Z48-4000)=0,"",INDEX(客户自备加工筐明细!$B$4:$B$1203,$Z48-4000)),IF($Z48&lt;=5800,IF(INDEX(次果筐明细!$B$4:$B$603,$Z48-5200)=0,"",INDEX(次果筐明细!$B$4:$B$603,$Z48-5200)),"")))))</f>
        <v>46266</v>
      </c>
      <c r="C48" s="37" t="str">
        <f>IF($Z48="","",IF($Z48&lt;=2000,IF(INDEX(包装物料出入库明细!$D$4:$D$2003,$Z48-0)=0,"",INDEX(包装物料出入库明细!$D$4:$D$2003,$Z48-0)),IF($Z48&lt;=4000,IF(INDEX(周转筐出入库明细!$C$4:$C$2004,$Z48-2000)=0,"",INDEX(周转筐出入库明细!$C$4:$C$2004,$Z48-2000)),IF($Z48&lt;=5200,IF(INDEX(客户自备加工筐明细!$E$4:$E$1203,$Z48-4000)=0,"",INDEX(客户自备加工筐明细!$E$4:$E$1203,$Z48-4000)),IF($Z48&lt;=5800,IF(INDEX(次果筐明细!$C$4:$C$603,$Z48-5200)=0,"",INDEX(次果筐明细!$C$4:$C$603,$Z48-5200)),"")))))</f>
        <v>王照雪</v>
      </c>
      <c r="D48" s="37" t="str">
        <f>IF($Z48="","",IF($Z48&lt;=2000,"包装物料－"&amp;INDEX(包装物料出入库明细!$H$4:$H$2003,$Z48-0),IF($Z48&lt;=4000,"周转筐－"&amp;INDEX(周转筐出入库明细!$F$4:$F$2004,$Z48-2000),IF($Z48&lt;=5200,"客户自备筐－"&amp;INDEX(客户自备加工筐明细!$J$4:$J$1203,$Z48-4000),IF($Z48&lt;=5800,"次果筐/托盘－"&amp;INDEX(次果筐明细!$F$4:$F$603,$Z48-5200),"")))))</f>
        <v>周转筐－退回入库</v>
      </c>
      <c r="E48" s="24" t="str">
        <f>IF($Z48="","",IF($Z48&lt;=2000,IF(INDEX(包装物料出入库明细!$C$4:$C$2003,$Z48-0)=0,"",INDEX(包装物料出入库明细!$C$4:$C$2003,$Z48-0)),IF($Z48&lt;=4000,IF(INDEX(周转筐出入库明细!$E$4:$E$2004,$Z48-2000)=0,"",INDEX(周转筐出入库明细!$E$4:$E$2004,$Z48-2000)),IF($Z48&lt;=5200,IF(INDEX(客户自备加工筐明细!$D$4:$D$1203,$Z48-4000)=0,"",INDEX(客户自备加工筐明细!$D$4:$D$1203,$Z48-4000)),IF($Z48&lt;=5800,IF(INDEX(次果筐明细!$E$4:$E$603,$Z48-5200)=0,"",INDEX(次果筐明细!$E$4:$E$603,$Z48-5200)),"")))))</f>
        <v>NO:0000742</v>
      </c>
      <c r="F48" s="24" t="str">
        <f>IF($Z48="","",IF($Z48&lt;=2000,IF(INDEX(包装物料出入库明细!$E$4:$E$2003,$Z48-0)=0,"",INDEX(包装物料出入库明细!$E$4:$E$2003,$Z48-0)),IF($Z48&lt;=4000,IF(INDEX(周转筐出入库明细!$D$4:$D$2004,$Z48-2000)=0,"",INDEX(周转筐出入库明细!$D$4:$D$2004,$Z48-2000)),IF($Z48&lt;=5200,IF(INDEX(客户自备加工筐明细!$C$4:$C$1203,$Z48-4000)=0,"",INDEX(客户自备加工筐明细!$C$4:$C$1203,$Z48-4000)),IF($Z48&lt;=5800,IF(INDEX(次果筐明细!$D$4:$D$603,$Z48-5200)=0,"",INDEX(次果筐明细!$D$4:$D$603,$Z48-5200)),"")))))</f>
        <v>公司杂周转筐</v>
      </c>
      <c r="G48" s="24" t="str">
        <f>IF($Z48="","",IF($Z48&lt;=2000,IF(INDEX(包装物料出入库明细!$F$4:$F$2003,$Z48-0)=0,"",INDEX(包装物料出入库明细!$F$4:$F$2003,$Z48-0)),IF($Z48&lt;=4000,"",IF($Z48&lt;=5200,"",IF($Z48&lt;=5800,"","")))))</f>
        <v/>
      </c>
      <c r="H48" s="39">
        <f>IF($Z48="","",IF($Z48&lt;=2000,IF(INDEX(包装物料出入库明细!$L$4:$L$2003,$Z48-0)=0,"",INDEX(包装物料出入库明细!$L$4:$L$2003,$Z48-0)),IF($Z48&lt;=4000,N(INDEX(周转筐出入库明细!$H$4:$H$2004,$Z48-2000))+N(INDEX(周转筐出入库明细!$I$4:$I$2004,$Z48-2000))+N(INDEX(周转筐出入库明细!$J$4:$J$2004,$Z48-2000))+N(INDEX(周转筐出入库明细!$K$4:$K$2004,$Z48-2000)),IF($Z48&lt;=5200,N(INDEX(客户自备加工筐明细!$F$4:$F$1203,$Z48-4000))+N(INDEX(客户自备加工筐明细!$G$4:$G$1203,$Z48-4000)),IF($Z48&lt;=5800,IF(INDEX(次果筐明细!$G$4:$G$603,$Z48-5200)=0,"",INDEX(次果筐明细!$G$4:$G$603,$Z48-5200)),"")))))</f>
        <v>30</v>
      </c>
      <c r="I48" s="24" t="str">
        <f>IF($Z48="","",IF($Z48&lt;=2000,IF(INDEX(包装物料出入库明细!$G$4:$G$2003,$Z48-0)=0,"",INDEX(包装物料出入库明细!$G$4:$G$2003,$Z48-0)),IF($Z48&lt;=4000,"个",IF($Z48&lt;=5200,"个",IF($Z48&lt;=5800,"个","")))))</f>
        <v>个</v>
      </c>
      <c r="J48" s="30" t="str">
        <f t="shared" si="1"/>
        <v/>
      </c>
      <c r="K48" s="30" t="str">
        <f>IF($Z48="","",IF($Z48&lt;=2000,IF(INDEX(包装物料出入库明细!$N$4:$N$2003,$Z48-0)=0,"",INDEX(包装物料出入库明细!$N$4:$N$2003,$Z48-0)),IF($Z48&lt;=4000,IF(INDEX(周转筐出入库明细!$P$4:$P$2004,$Z48-2000)=0,"",INDEX(周转筐出入库明细!$P$4:$P$2004,$Z48-2000)),IF($Z48&lt;=5200,"",IF($Z48&lt;=5800,N(INDEX(次果筐明细!$L$4:$L$603,$Z48-5200))+N(INDEX(次果筐明细!$J$4:$J$603,$Z48-5200)),"")))))</f>
        <v/>
      </c>
      <c r="L48" s="24" t="str">
        <f>IF($Z48="","",IF($Z48&lt;=2000,IF(INDEX(包装物料出入库明细!$P$4:$P$2003,$Z48-0)=0,"",INDEX(包装物料出入库明细!$P$4:$P$2003,$Z48-0)),IF($Z48&lt;=4000,IF(INDEX(周转筐出入库明细!$Q$4:$Q$2004,$Z48-2000)=0,"",INDEX(周转筐出入库明细!$Q$4:$Q$2004,$Z48-2000)),IF($Z48&lt;=5200,"",IF($Z48&lt;=5800,IF(INDEX(次果筐明细!$M$4:$M$603,$Z48-5200)=0,"",INDEX(次果筐明细!$M$4:$M$603,$Z48-5200)),"")))))</f>
        <v/>
      </c>
      <c r="M48" s="37" t="str">
        <f>IF($Z48="","",IF($Z48&lt;=2000,IF(INDEX(包装物料出入库明细!$R$4:$R$2003,$Z48-0)=0,"",INDEX(包装物料出入库明细!$R$4:$R$2003,$Z48-0)),IF($Z48&lt;=4000,IF(INDEX(周转筐出入库明细!$W$4:$W$2004,$Z48-2000)=0,"",INDEX(周转筐出入库明细!$W$4:$W$2004,$Z48-2000)),IF($Z48&lt;=5200,IF(INDEX(客户自备加工筐明细!$L$4:$L$1203,$Z48-4000)=0,"",INDEX(客户自备加工筐明细!$L$4:$L$1203,$Z48-4000)),IF($Z48&lt;=5800,IF(INDEX(次果筐明细!$P$4:$P$603,$Z48-5200)=0,"",INDEX(次果筐明细!$P$4:$P$603,$Z48-5200)),"")))))</f>
        <v/>
      </c>
      <c r="N48" s="16" t="str">
        <f>IF($Z48="","",IF($Z48&lt;=2000,"",IF($Z48&lt;=4000,IF(INDEX(周转筐出入库明细!$D$4:$D$2004,$Z48-2000)=0,"",INDEX(周转筐出入库明细!$D$4:$D$2004,$Z48-2000)),IF($Z48&lt;=5200,IF(INDEX(客户自备加工筐明细!$C$4:$C$1203,$Z48-4000)=0,"",INDEX(客户自备加工筐明细!$C$4:$C$1203,$Z48-4000)),IF($Z48&lt;=5800,IF(INDEX(次果筐明细!$D$4:$D$603,$Z48-5200)=0,"",INDEX(次果筐明细!$D$4:$D$603,$Z48-5200)),"")))))</f>
        <v>公司杂周转筐</v>
      </c>
      <c r="O48" s="40" t="str">
        <f>IF($Z48="","",IF($Z48&lt;=2000,"",IF($Z48&lt;=4000,IF(N(INDEX(周转筐出入库明细!$J$4:$J$2004,$Z48-2000))+N(INDEX(周转筐出入库明细!$K$4:$K$2004,$Z48-2000))=0,"",N(INDEX(周转筐出入库明细!$J$4:$J$2004,$Z48-2000))+N(INDEX(周转筐出入库明细!$K$4:$K$2004,$Z48-2000))),IF($Z48&lt;=5200,IF(N(INDEX(客户自备加工筐明细!$G$4:$G$1203,$Z48-4000))=0,"",N(INDEX(客户自备加工筐明细!$G$4:$G$1203,$Z48-4000))),IF($Z48&lt;=5800,IF(ISNUMBER(SEARCH("退",INDEX(次果筐明细!$F$4:$F$603,$Z48-5200)&amp;"")),"",IF(N(INDEX(次果筐明细!$G$4:$G$603,$Z48-5200))=0,"",N(INDEX(次果筐明细!$G$4:$G$603,$Z48-5200)))),"")))))</f>
        <v/>
      </c>
      <c r="P48" s="40">
        <f>IF($Z48="","",IF($Z48&lt;=2000,"",IF($Z48&lt;=4000,IF(N(INDEX(周转筐出入库明细!$I$4:$I$2004,$Z48-2000))=0,"",N(INDEX(周转筐出入库明细!$I$4:$I$2004,$Z48-2000))),IF($Z48&lt;=5200,"",IF($Z48&lt;=5800,IF(ISNUMBER(SEARCH("退",INDEX(次果筐明细!$F$4:$F$603,$Z48-5200)&amp;"")),IF(N(INDEX(次果筐明细!$G$4:$G$603,$Z48-5200))=0,"",N(INDEX(次果筐明细!$G$4:$G$603,$Z48-5200))),""),"")))))</f>
        <v>30</v>
      </c>
      <c r="Q48" s="40" t="str">
        <f>IF($Z48="","",IF($Z48&lt;=2000,"",IF($Z48&lt;=4000,IF(N(INDEX(周转筐出入库明细!$H$4:$H$2004,$Z48-2000))=0,"",N(INDEX(周转筐出入库明细!$H$4:$H$2004,$Z48-2000))),IF($Z48&lt;=5200,IF(N(INDEX(客户自备加工筐明细!$F$4:$F$1203,$Z48-4000))=0,"",N(INDEX(客户自备加工筐明细!$F$4:$F$1203,$Z48-4000))),IF($Z48&lt;=5800,"","")))))</f>
        <v/>
      </c>
      <c r="R48" s="16" t="str">
        <f>IF($Z48="","",IF($Z48&lt;=2000,IF(INDEX(包装物料出入库明细!$O$4:$O$2003,$Z48-0)=0,"",INDEX(包装物料出入库明细!$O$4:$O$2003,$Z48-0)),IF($Z48&lt;=4000,IF(INDEX(周转筐出入库明细!$M$4:$M$2004,$Z48-2000)=0,"",INDEX(周转筐出入库明细!$M$4:$M$2004,$Z48-2000)),IF($Z48&lt;=5200,IF(INDEX(客户自备加工筐明细!$H$4:$H$1203,$Z48-4000)=0,"",INDEX(客户自备加工筐明细!$H$4:$H$1203,$Z48-4000)),IF($Z48&lt;=5800,IF(INDEX(次果筐明细!$H$4:$H$603,$Z48-5200)=0,"",INDEX(次果筐明细!$H$4:$H$603,$Z48-5200)),"")))))</f>
        <v>新N*D1W48</v>
      </c>
      <c r="S48" s="22" t="str">
        <f t="shared" si="2"/>
        <v>公司筐</v>
      </c>
      <c r="Z48" s="10">
        <f>IFERROR(MATCH(ROW()-3,_自动清单!$CQ$4:$CQ$5803,0),"")</f>
        <v>2012</v>
      </c>
    </row>
    <row r="49" spans="1:26">
      <c r="A49" s="24">
        <f t="shared" si="0"/>
        <v>46</v>
      </c>
      <c r="B49" s="38">
        <f>IF($Z49="","",IF($Z49&lt;=2000,IF(INDEX(包装物料出入库明细!$B$4:$B$2003,$Z49-0)=0,"",INDEX(包装物料出入库明细!$B$4:$B$2003,$Z49-0)),IF($Z49&lt;=4000,IF(INDEX(周转筐出入库明细!$B$4:$B$2004,$Z49-2000)=0,"",INDEX(周转筐出入库明细!$B$4:$B$2004,$Z49-2000)),IF($Z49&lt;=5200,IF(INDEX(客户自备加工筐明细!$B$4:$B$1203,$Z49-4000)=0,"",INDEX(客户自备加工筐明细!$B$4:$B$1203,$Z49-4000)),IF($Z49&lt;=5800,IF(INDEX(次果筐明细!$B$4:$B$603,$Z49-5200)=0,"",INDEX(次果筐明细!$B$4:$B$603,$Z49-5200)),"")))))</f>
        <v>46267</v>
      </c>
      <c r="C49" s="37" t="str">
        <f>IF($Z49="","",IF($Z49&lt;=2000,IF(INDEX(包装物料出入库明细!$D$4:$D$2003,$Z49-0)=0,"",INDEX(包装物料出入库明细!$D$4:$D$2003,$Z49-0)),IF($Z49&lt;=4000,IF(INDEX(周转筐出入库明细!$C$4:$C$2004,$Z49-2000)=0,"",INDEX(周转筐出入库明细!$C$4:$C$2004,$Z49-2000)),IF($Z49&lt;=5200,IF(INDEX(客户自备加工筐明细!$E$4:$E$1203,$Z49-4000)=0,"",INDEX(客户自备加工筐明细!$E$4:$E$1203,$Z49-4000)),IF($Z49&lt;=5800,IF(INDEX(次果筐明细!$C$4:$C$603,$Z49-5200)=0,"",INDEX(次果筐明细!$C$4:$C$603,$Z49-5200)),"")))))</f>
        <v>全修塑业</v>
      </c>
      <c r="D49" s="37" t="str">
        <f>IF($Z49="","",IF($Z49&lt;=2000,"包装物料－"&amp;INDEX(包装物料出入库明细!$H$4:$H$2003,$Z49-0),IF($Z49&lt;=4000,"周转筐－"&amp;INDEX(周转筐出入库明细!$F$4:$F$2004,$Z49-2000),IF($Z49&lt;=5200,"客户自备筐－"&amp;INDEX(客户自备加工筐明细!$J$4:$J$1203,$Z49-4000),IF($Z49&lt;=5800,"次果筐/托盘－"&amp;INDEX(次果筐明细!$F$4:$F$603,$Z49-5200),"")))))</f>
        <v>周转筐－采购入库</v>
      </c>
      <c r="E49" s="24" t="str">
        <f>IF($Z49="","",IF($Z49&lt;=2000,IF(INDEX(包装物料出入库明细!$C$4:$C$2003,$Z49-0)=0,"",INDEX(包装物料出入库明细!$C$4:$C$2003,$Z49-0)),IF($Z49&lt;=4000,IF(INDEX(周转筐出入库明细!$E$4:$E$2004,$Z49-2000)=0,"",INDEX(周转筐出入库明细!$E$4:$E$2004,$Z49-2000)),IF($Z49&lt;=5200,IF(INDEX(客户自备加工筐明细!$D$4:$D$1203,$Z49-4000)=0,"",INDEX(客户自备加工筐明细!$D$4:$D$1203,$Z49-4000)),IF($Z49&lt;=5800,IF(INDEX(次果筐明细!$E$4:$E$603,$Z49-5200)=0,"",INDEX(次果筐明细!$E$4:$E$603,$Z49-5200)),"")))))</f>
        <v>NO:0000744</v>
      </c>
      <c r="F49" s="24" t="str">
        <f>IF($Z49="","",IF($Z49&lt;=2000,IF(INDEX(包装物料出入库明细!$E$4:$E$2003,$Z49-0)=0,"",INDEX(包装物料出入库明细!$E$4:$E$2003,$Z49-0)),IF($Z49&lt;=4000,IF(INDEX(周转筐出入库明细!$D$4:$D$2004,$Z49-2000)=0,"",INDEX(周转筐出入库明细!$D$4:$D$2004,$Z49-2000)),IF($Z49&lt;=5200,IF(INDEX(客户自备加工筐明细!$C$4:$C$1203,$Z49-4000)=0,"",INDEX(客户自备加工筐明细!$C$4:$C$1203,$Z49-4000)),IF($Z49&lt;=5800,IF(INDEX(次果筐明细!$D$4:$D$603,$Z49-5200)=0,"",INDEX(次果筐明细!$D$4:$D$603,$Z49-5200)),"")))))</f>
        <v>公司红周转筐</v>
      </c>
      <c r="G49" s="24" t="str">
        <f>IF($Z49="","",IF($Z49&lt;=2000,IF(INDEX(包装物料出入库明细!$F$4:$F$2003,$Z49-0)=0,"",INDEX(包装物料出入库明细!$F$4:$F$2003,$Z49-0)),IF($Z49&lt;=4000,"",IF($Z49&lt;=5200,"",IF($Z49&lt;=5800,"","")))))</f>
        <v/>
      </c>
      <c r="H49" s="39">
        <f>IF($Z49="","",IF($Z49&lt;=2000,IF(INDEX(包装物料出入库明细!$L$4:$L$2003,$Z49-0)=0,"",INDEX(包装物料出入库明细!$L$4:$L$2003,$Z49-0)),IF($Z49&lt;=4000,N(INDEX(周转筐出入库明细!$H$4:$H$2004,$Z49-2000))+N(INDEX(周转筐出入库明细!$I$4:$I$2004,$Z49-2000))+N(INDEX(周转筐出入库明细!$J$4:$J$2004,$Z49-2000))+N(INDEX(周转筐出入库明细!$K$4:$K$2004,$Z49-2000)),IF($Z49&lt;=5200,N(INDEX(客户自备加工筐明细!$F$4:$F$1203,$Z49-4000))+N(INDEX(客户自备加工筐明细!$G$4:$G$1203,$Z49-4000)),IF($Z49&lt;=5800,IF(INDEX(次果筐明细!$G$4:$G$603,$Z49-5200)=0,"",INDEX(次果筐明细!$G$4:$G$603,$Z49-5200)),"")))))</f>
        <v>315</v>
      </c>
      <c r="I49" s="24" t="str">
        <f>IF($Z49="","",IF($Z49&lt;=2000,IF(INDEX(包装物料出入库明细!$G$4:$G$2003,$Z49-0)=0,"",INDEX(包装物料出入库明细!$G$4:$G$2003,$Z49-0)),IF($Z49&lt;=4000,"个",IF($Z49&lt;=5200,"个",IF($Z49&lt;=5800,"个","")))))</f>
        <v>个</v>
      </c>
      <c r="J49" s="30" t="str">
        <f t="shared" si="1"/>
        <v/>
      </c>
      <c r="K49" s="30">
        <f>IF($Z49="","",IF($Z49&lt;=2000,IF(INDEX(包装物料出入库明细!$N$4:$N$2003,$Z49-0)=0,"",INDEX(包装物料出入库明细!$N$4:$N$2003,$Z49-0)),IF($Z49&lt;=4000,IF(INDEX(周转筐出入库明细!$P$4:$P$2004,$Z49-2000)=0,"",INDEX(周转筐出入库明细!$P$4:$P$2004,$Z49-2000)),IF($Z49&lt;=5200,"",IF($Z49&lt;=5800,N(INDEX(次果筐明细!$L$4:$L$603,$Z49-5200))+N(INDEX(次果筐明细!$J$4:$J$603,$Z49-5200)),"")))))</f>
        <v>3150</v>
      </c>
      <c r="L49" s="24" t="str">
        <f>IF($Z49="","",IF($Z49&lt;=2000,IF(INDEX(包装物料出入库明细!$P$4:$P$2003,$Z49-0)=0,"",INDEX(包装物料出入库明细!$P$4:$P$2003,$Z49-0)),IF($Z49&lt;=4000,IF(INDEX(周转筐出入库明细!$Q$4:$Q$2004,$Z49-2000)=0,"",INDEX(周转筐出入库明细!$Q$4:$Q$2004,$Z49-2000)),IF($Z49&lt;=5200,"",IF($Z49&lt;=5800,IF(INDEX(次果筐明细!$M$4:$M$603,$Z49-5200)=0,"",INDEX(次果筐明细!$M$4:$M$603,$Z49-5200)),"")))))</f>
        <v>未付款</v>
      </c>
      <c r="M49" s="37" t="str">
        <f>IF($Z49="","",IF($Z49&lt;=2000,IF(INDEX(包装物料出入库明细!$R$4:$R$2003,$Z49-0)=0,"",INDEX(包装物料出入库明细!$R$4:$R$2003,$Z49-0)),IF($Z49&lt;=4000,IF(INDEX(周转筐出入库明细!$W$4:$W$2004,$Z49-2000)=0,"",INDEX(周转筐出入库明细!$W$4:$W$2004,$Z49-2000)),IF($Z49&lt;=5200,IF(INDEX(客户自备加工筐明细!$L$4:$L$1203,$Z49-4000)=0,"",INDEX(客户自备加工筐明细!$L$4:$L$1203,$Z49-4000)),IF($Z49&lt;=5800,IF(INDEX(次果筐明细!$P$4:$P$603,$Z49-5200)=0,"",INDEX(次果筐明细!$P$4:$P$603,$Z49-5200)),"")))))</f>
        <v>NO:2745225</v>
      </c>
      <c r="N49" s="16" t="str">
        <f>IF($Z49="","",IF($Z49&lt;=2000,"",IF($Z49&lt;=4000,IF(INDEX(周转筐出入库明细!$D$4:$D$2004,$Z49-2000)=0,"",INDEX(周转筐出入库明细!$D$4:$D$2004,$Z49-2000)),IF($Z49&lt;=5200,IF(INDEX(客户自备加工筐明细!$C$4:$C$1203,$Z49-4000)=0,"",INDEX(客户自备加工筐明细!$C$4:$C$1203,$Z49-4000)),IF($Z49&lt;=5800,IF(INDEX(次果筐明细!$D$4:$D$603,$Z49-5200)=0,"",INDEX(次果筐明细!$D$4:$D$603,$Z49-5200)),"")))))</f>
        <v>公司红周转筐</v>
      </c>
      <c r="O49" s="40" t="str">
        <f>IF($Z49="","",IF($Z49&lt;=2000,"",IF($Z49&lt;=4000,IF(N(INDEX(周转筐出入库明细!$J$4:$J$2004,$Z49-2000))+N(INDEX(周转筐出入库明细!$K$4:$K$2004,$Z49-2000))=0,"",N(INDEX(周转筐出入库明细!$J$4:$J$2004,$Z49-2000))+N(INDEX(周转筐出入库明细!$K$4:$K$2004,$Z49-2000))),IF($Z49&lt;=5200,IF(N(INDEX(客户自备加工筐明细!$G$4:$G$1203,$Z49-4000))=0,"",N(INDEX(客户自备加工筐明细!$G$4:$G$1203,$Z49-4000))),IF($Z49&lt;=5800,IF(ISNUMBER(SEARCH("退",INDEX(次果筐明细!$F$4:$F$603,$Z49-5200)&amp;"")),"",IF(N(INDEX(次果筐明细!$G$4:$G$603,$Z49-5200))=0,"",N(INDEX(次果筐明细!$G$4:$G$603,$Z49-5200)))),"")))))</f>
        <v/>
      </c>
      <c r="P49" s="40" t="str">
        <f>IF($Z49="","",IF($Z49&lt;=2000,"",IF($Z49&lt;=4000,IF(N(INDEX(周转筐出入库明细!$I$4:$I$2004,$Z49-2000))=0,"",N(INDEX(周转筐出入库明细!$I$4:$I$2004,$Z49-2000))),IF($Z49&lt;=5200,"",IF($Z49&lt;=5800,IF(ISNUMBER(SEARCH("退",INDEX(次果筐明细!$F$4:$F$603,$Z49-5200)&amp;"")),IF(N(INDEX(次果筐明细!$G$4:$G$603,$Z49-5200))=0,"",N(INDEX(次果筐明细!$G$4:$G$603,$Z49-5200))),""),"")))))</f>
        <v/>
      </c>
      <c r="Q49" s="40">
        <f>IF($Z49="","",IF($Z49&lt;=2000,"",IF($Z49&lt;=4000,IF(N(INDEX(周转筐出入库明细!$H$4:$H$2004,$Z49-2000))=0,"",N(INDEX(周转筐出入库明细!$H$4:$H$2004,$Z49-2000))),IF($Z49&lt;=5200,IF(N(INDEX(客户自备加工筐明细!$F$4:$F$1203,$Z49-4000))=0,"",N(INDEX(客户自备加工筐明细!$F$4:$F$1203,$Z49-4000))),IF($Z49&lt;=5800,"","")))))</f>
        <v>315</v>
      </c>
      <c r="R49" s="16" t="str">
        <f>IF($Z49="","",IF($Z49&lt;=2000,IF(INDEX(包装物料出入库明细!$O$4:$O$2003,$Z49-0)=0,"",INDEX(包装物料出入库明细!$O$4:$O$2003,$Z49-0)),IF($Z49&lt;=4000,IF(INDEX(周转筐出入库明细!$M$4:$M$2004,$Z49-2000)=0,"",INDEX(周转筐出入库明细!$M$4:$M$2004,$Z49-2000)),IF($Z49&lt;=5200,IF(INDEX(客户自备加工筐明细!$H$4:$H$1203,$Z49-4000)=0,"",INDEX(客户自备加工筐明细!$H$4:$H$1203,$Z49-4000)),IF($Z49&lt;=5800,IF(INDEX(次果筐明细!$H$4:$H$603,$Z49-5200)=0,"",INDEX(次果筐明细!$H$4:$H$603,$Z49-5200)),"")))))</f>
        <v>新N*X8S48</v>
      </c>
      <c r="S49" s="22" t="str">
        <f t="shared" si="2"/>
        <v>公司筐</v>
      </c>
      <c r="Z49" s="10">
        <f>IFERROR(MATCH(ROW()-3,_自动清单!$CQ$4:$CQ$5803,0),"")</f>
        <v>2013</v>
      </c>
    </row>
    <row r="50" spans="1:26">
      <c r="A50" s="24">
        <f t="shared" si="0"/>
        <v>47</v>
      </c>
      <c r="B50" s="38">
        <f>IF($Z50="","",IF($Z50&lt;=2000,IF(INDEX(包装物料出入库明细!$B$4:$B$2003,$Z50-0)=0,"",INDEX(包装物料出入库明细!$B$4:$B$2003,$Z50-0)),IF($Z50&lt;=4000,IF(INDEX(周转筐出入库明细!$B$4:$B$2004,$Z50-2000)=0,"",INDEX(周转筐出入库明细!$B$4:$B$2004,$Z50-2000)),IF($Z50&lt;=5200,IF(INDEX(客户自备加工筐明细!$B$4:$B$1203,$Z50-4000)=0,"",INDEX(客户自备加工筐明细!$B$4:$B$1203,$Z50-4000)),IF($Z50&lt;=5800,IF(INDEX(次果筐明细!$B$4:$B$603,$Z50-5200)=0,"",INDEX(次果筐明细!$B$4:$B$603,$Z50-5200)),"")))))</f>
        <v>46267</v>
      </c>
      <c r="C50" s="37" t="str">
        <f>IF($Z50="","",IF($Z50&lt;=2000,IF(INDEX(包装物料出入库明细!$D$4:$D$2003,$Z50-0)=0,"",INDEX(包装物料出入库明细!$D$4:$D$2003,$Z50-0)),IF($Z50&lt;=4000,IF(INDEX(周转筐出入库明细!$C$4:$C$2004,$Z50-2000)=0,"",INDEX(周转筐出入库明细!$C$4:$C$2004,$Z50-2000)),IF($Z50&lt;=5200,IF(INDEX(客户自备加工筐明细!$E$4:$E$1203,$Z50-4000)=0,"",INDEX(客户自备加工筐明细!$E$4:$E$1203,$Z50-4000)),IF($Z50&lt;=5800,IF(INDEX(次果筐明细!$C$4:$C$603,$Z50-5200)=0,"",INDEX(次果筐明细!$C$4:$C$603,$Z50-5200)),"")))))</f>
        <v>吐尔洪</v>
      </c>
      <c r="D50" s="37" t="str">
        <f>IF($Z50="","",IF($Z50&lt;=2000,"包装物料－"&amp;INDEX(包装物料出入库明细!$H$4:$H$2003,$Z50-0),IF($Z50&lt;=4000,"周转筐－"&amp;INDEX(周转筐出入库明细!$F$4:$F$2004,$Z50-2000),IF($Z50&lt;=5200,"客户自备筐－"&amp;INDEX(客户自备加工筐明细!$J$4:$J$1203,$Z50-4000),IF($Z50&lt;=5800,"次果筐/托盘－"&amp;INDEX(次果筐明细!$F$4:$F$603,$Z50-5200),"")))))</f>
        <v>周转筐－领用出库</v>
      </c>
      <c r="E50" s="24" t="str">
        <f>IF($Z50="","",IF($Z50&lt;=2000,IF(INDEX(包装物料出入库明细!$C$4:$C$2003,$Z50-0)=0,"",INDEX(包装物料出入库明细!$C$4:$C$2003,$Z50-0)),IF($Z50&lt;=4000,IF(INDEX(周转筐出入库明细!$E$4:$E$2004,$Z50-2000)=0,"",INDEX(周转筐出入库明细!$E$4:$E$2004,$Z50-2000)),IF($Z50&lt;=5200,IF(INDEX(客户自备加工筐明细!$D$4:$D$1203,$Z50-4000)=0,"",INDEX(客户自备加工筐明细!$D$4:$D$1203,$Z50-4000)),IF($Z50&lt;=5800,IF(INDEX(次果筐明细!$E$4:$E$603,$Z50-5200)=0,"",INDEX(次果筐明细!$E$4:$E$603,$Z50-5200)),"")))))</f>
        <v>NO:0001067</v>
      </c>
      <c r="F50" s="24" t="str">
        <f>IF($Z50="","",IF($Z50&lt;=2000,IF(INDEX(包装物料出入库明细!$E$4:$E$2003,$Z50-0)=0,"",INDEX(包装物料出入库明细!$E$4:$E$2003,$Z50-0)),IF($Z50&lt;=4000,IF(INDEX(周转筐出入库明细!$D$4:$D$2004,$Z50-2000)=0,"",INDEX(周转筐出入库明细!$D$4:$D$2004,$Z50-2000)),IF($Z50&lt;=5200,IF(INDEX(客户自备加工筐明细!$C$4:$C$1203,$Z50-4000)=0,"",INDEX(客户自备加工筐明细!$C$4:$C$1203,$Z50-4000)),IF($Z50&lt;=5800,IF(INDEX(次果筐明细!$D$4:$D$603,$Z50-5200)=0,"",INDEX(次果筐明细!$D$4:$D$603,$Z50-5200)),"")))))</f>
        <v>公司红周转筐</v>
      </c>
      <c r="G50" s="24" t="str">
        <f>IF($Z50="","",IF($Z50&lt;=2000,IF(INDEX(包装物料出入库明细!$F$4:$F$2003,$Z50-0)=0,"",INDEX(包装物料出入库明细!$F$4:$F$2003,$Z50-0)),IF($Z50&lt;=4000,"",IF($Z50&lt;=5200,"",IF($Z50&lt;=5800,"","")))))</f>
        <v/>
      </c>
      <c r="H50" s="39">
        <f>IF($Z50="","",IF($Z50&lt;=2000,IF(INDEX(包装物料出入库明细!$L$4:$L$2003,$Z50-0)=0,"",INDEX(包装物料出入库明细!$L$4:$L$2003,$Z50-0)),IF($Z50&lt;=4000,N(INDEX(周转筐出入库明细!$H$4:$H$2004,$Z50-2000))+N(INDEX(周转筐出入库明细!$I$4:$I$2004,$Z50-2000))+N(INDEX(周转筐出入库明细!$J$4:$J$2004,$Z50-2000))+N(INDEX(周转筐出入库明细!$K$4:$K$2004,$Z50-2000)),IF($Z50&lt;=5200,N(INDEX(客户自备加工筐明细!$F$4:$F$1203,$Z50-4000))+N(INDEX(客户自备加工筐明细!$G$4:$G$1203,$Z50-4000)),IF($Z50&lt;=5800,IF(INDEX(次果筐明细!$G$4:$G$603,$Z50-5200)=0,"",INDEX(次果筐明细!$G$4:$G$603,$Z50-5200)),"")))))</f>
        <v>315</v>
      </c>
      <c r="I50" s="24" t="str">
        <f>IF($Z50="","",IF($Z50&lt;=2000,IF(INDEX(包装物料出入库明细!$G$4:$G$2003,$Z50-0)=0,"",INDEX(包装物料出入库明细!$G$4:$G$2003,$Z50-0)),IF($Z50&lt;=4000,"个",IF($Z50&lt;=5200,"个",IF($Z50&lt;=5800,"个","")))))</f>
        <v>个</v>
      </c>
      <c r="J50" s="30" t="str">
        <f t="shared" si="1"/>
        <v/>
      </c>
      <c r="K50" s="30" t="str">
        <f>IF($Z50="","",IF($Z50&lt;=2000,IF(INDEX(包装物料出入库明细!$N$4:$N$2003,$Z50-0)=0,"",INDEX(包装物料出入库明细!$N$4:$N$2003,$Z50-0)),IF($Z50&lt;=4000,IF(INDEX(周转筐出入库明细!$P$4:$P$2004,$Z50-2000)=0,"",INDEX(周转筐出入库明细!$P$4:$P$2004,$Z50-2000)),IF($Z50&lt;=5200,"",IF($Z50&lt;=5800,N(INDEX(次果筐明细!$L$4:$L$603,$Z50-5200))+N(INDEX(次果筐明细!$J$4:$J$603,$Z50-5200)),"")))))</f>
        <v/>
      </c>
      <c r="L50" s="24" t="str">
        <f>IF($Z50="","",IF($Z50&lt;=2000,IF(INDEX(包装物料出入库明细!$P$4:$P$2003,$Z50-0)=0,"",INDEX(包装物料出入库明细!$P$4:$P$2003,$Z50-0)),IF($Z50&lt;=4000,IF(INDEX(周转筐出入库明细!$Q$4:$Q$2004,$Z50-2000)=0,"",INDEX(周转筐出入库明细!$Q$4:$Q$2004,$Z50-2000)),IF($Z50&lt;=5200,"",IF($Z50&lt;=5800,IF(INDEX(次果筐明细!$M$4:$M$603,$Z50-5200)=0,"",INDEX(次果筐明细!$M$4:$M$603,$Z50-5200)),"")))))</f>
        <v/>
      </c>
      <c r="M50" s="37" t="str">
        <f>IF($Z50="","",IF($Z50&lt;=2000,IF(INDEX(包装物料出入库明细!$R$4:$R$2003,$Z50-0)=0,"",INDEX(包装物料出入库明细!$R$4:$R$2003,$Z50-0)),IF($Z50&lt;=4000,IF(INDEX(周转筐出入库明细!$W$4:$W$2004,$Z50-2000)=0,"",INDEX(周转筐出入库明细!$W$4:$W$2004,$Z50-2000)),IF($Z50&lt;=5200,IF(INDEX(客户自备加工筐明细!$L$4:$L$1203,$Z50-4000)=0,"",INDEX(客户自备加工筐明细!$L$4:$L$1203,$Z50-4000)),IF($Z50&lt;=5800,IF(INDEX(次果筐明细!$P$4:$P$603,$Z50-5200)=0,"",INDEX(次果筐明细!$P$4:$P$603,$Z50-5200)),"")))))</f>
        <v/>
      </c>
      <c r="N50" s="16" t="str">
        <f>IF($Z50="","",IF($Z50&lt;=2000,"",IF($Z50&lt;=4000,IF(INDEX(周转筐出入库明细!$D$4:$D$2004,$Z50-2000)=0,"",INDEX(周转筐出入库明细!$D$4:$D$2004,$Z50-2000)),IF($Z50&lt;=5200,IF(INDEX(客户自备加工筐明细!$C$4:$C$1203,$Z50-4000)=0,"",INDEX(客户自备加工筐明细!$C$4:$C$1203,$Z50-4000)),IF($Z50&lt;=5800,IF(INDEX(次果筐明细!$D$4:$D$603,$Z50-5200)=0,"",INDEX(次果筐明细!$D$4:$D$603,$Z50-5200)),"")))))</f>
        <v>公司红周转筐</v>
      </c>
      <c r="O50" s="40">
        <f>IF($Z50="","",IF($Z50&lt;=2000,"",IF($Z50&lt;=4000,IF(N(INDEX(周转筐出入库明细!$J$4:$J$2004,$Z50-2000))+N(INDEX(周转筐出入库明细!$K$4:$K$2004,$Z50-2000))=0,"",N(INDEX(周转筐出入库明细!$J$4:$J$2004,$Z50-2000))+N(INDEX(周转筐出入库明细!$K$4:$K$2004,$Z50-2000))),IF($Z50&lt;=5200,IF(N(INDEX(客户自备加工筐明细!$G$4:$G$1203,$Z50-4000))=0,"",N(INDEX(客户自备加工筐明细!$G$4:$G$1203,$Z50-4000))),IF($Z50&lt;=5800,IF(ISNUMBER(SEARCH("退",INDEX(次果筐明细!$F$4:$F$603,$Z50-5200)&amp;"")),"",IF(N(INDEX(次果筐明细!$G$4:$G$603,$Z50-5200))=0,"",N(INDEX(次果筐明细!$G$4:$G$603,$Z50-5200)))),"")))))</f>
        <v>315</v>
      </c>
      <c r="P50" s="40" t="str">
        <f>IF($Z50="","",IF($Z50&lt;=2000,"",IF($Z50&lt;=4000,IF(N(INDEX(周转筐出入库明细!$I$4:$I$2004,$Z50-2000))=0,"",N(INDEX(周转筐出入库明细!$I$4:$I$2004,$Z50-2000))),IF($Z50&lt;=5200,"",IF($Z50&lt;=5800,IF(ISNUMBER(SEARCH("退",INDEX(次果筐明细!$F$4:$F$603,$Z50-5200)&amp;"")),IF(N(INDEX(次果筐明细!$G$4:$G$603,$Z50-5200))=0,"",N(INDEX(次果筐明细!$G$4:$G$603,$Z50-5200))),""),"")))))</f>
        <v/>
      </c>
      <c r="Q50" s="40" t="str">
        <f>IF($Z50="","",IF($Z50&lt;=2000,"",IF($Z50&lt;=4000,IF(N(INDEX(周转筐出入库明细!$H$4:$H$2004,$Z50-2000))=0,"",N(INDEX(周转筐出入库明细!$H$4:$H$2004,$Z50-2000))),IF($Z50&lt;=5200,IF(N(INDEX(客户自备加工筐明细!$F$4:$F$1203,$Z50-4000))=0,"",N(INDEX(客户自备加工筐明细!$F$4:$F$1203,$Z50-4000))),IF($Z50&lt;=5800,"","")))))</f>
        <v/>
      </c>
      <c r="R50" s="16" t="str">
        <f>IF($Z50="","",IF($Z50&lt;=2000,IF(INDEX(包装物料出入库明细!$O$4:$O$2003,$Z50-0)=0,"",INDEX(包装物料出入库明细!$O$4:$O$2003,$Z50-0)),IF($Z50&lt;=4000,IF(INDEX(周转筐出入库明细!$M$4:$M$2004,$Z50-2000)=0,"",INDEX(周转筐出入库明细!$M$4:$M$2004,$Z50-2000)),IF($Z50&lt;=5200,IF(INDEX(客户自备加工筐明细!$H$4:$H$1203,$Z50-4000)=0,"",INDEX(客户自备加工筐明细!$H$4:$H$1203,$Z50-4000)),IF($Z50&lt;=5800,IF(INDEX(次果筐明细!$H$4:$H$603,$Z50-5200)=0,"",INDEX(次果筐明细!$H$4:$H$603,$Z50-5200)),"")))))</f>
        <v>新N*X8S48</v>
      </c>
      <c r="S50" s="22" t="str">
        <f t="shared" si="2"/>
        <v>公司筐</v>
      </c>
      <c r="Z50" s="10">
        <f>IFERROR(MATCH(ROW()-3,_自动清单!$CQ$4:$CQ$5803,0),"")</f>
        <v>2014</v>
      </c>
    </row>
    <row r="51" spans="1:26">
      <c r="A51" s="24">
        <f t="shared" si="0"/>
        <v>48</v>
      </c>
      <c r="B51" s="38">
        <f>IF($Z51="","",IF($Z51&lt;=2000,IF(INDEX(包装物料出入库明细!$B$4:$B$2003,$Z51-0)=0,"",INDEX(包装物料出入库明细!$B$4:$B$2003,$Z51-0)),IF($Z51&lt;=4000,IF(INDEX(周转筐出入库明细!$B$4:$B$2004,$Z51-2000)=0,"",INDEX(周转筐出入库明细!$B$4:$B$2004,$Z51-2000)),IF($Z51&lt;=5200,IF(INDEX(客户自备加工筐明细!$B$4:$B$1203,$Z51-4000)=0,"",INDEX(客户自备加工筐明细!$B$4:$B$1203,$Z51-4000)),IF($Z51&lt;=5800,IF(INDEX(次果筐明细!$B$4:$B$603,$Z51-5200)=0,"",INDEX(次果筐明细!$B$4:$B$603,$Z51-5200)),"")))))</f>
        <v>46268</v>
      </c>
      <c r="C51" s="37" t="str">
        <f>IF($Z51="","",IF($Z51&lt;=2000,IF(INDEX(包装物料出入库明细!$D$4:$D$2003,$Z51-0)=0,"",INDEX(包装物料出入库明细!$D$4:$D$2003,$Z51-0)),IF($Z51&lt;=4000,IF(INDEX(周转筐出入库明细!$C$4:$C$2004,$Z51-2000)=0,"",INDEX(周转筐出入库明细!$C$4:$C$2004,$Z51-2000)),IF($Z51&lt;=5200,IF(INDEX(客户自备加工筐明细!$E$4:$E$1203,$Z51-4000)=0,"",INDEX(客户自备加工筐明细!$E$4:$E$1203,$Z51-4000)),IF($Z51&lt;=5800,IF(INDEX(次果筐明细!$C$4:$C$603,$Z51-5200)=0,"",INDEX(次果筐明细!$C$4:$C$603,$Z51-5200)),"")))))</f>
        <v>全修塑业</v>
      </c>
      <c r="D51" s="37" t="str">
        <f>IF($Z51="","",IF($Z51&lt;=2000,"包装物料－"&amp;INDEX(包装物料出入库明细!$H$4:$H$2003,$Z51-0),IF($Z51&lt;=4000,"周转筐－"&amp;INDEX(周转筐出入库明细!$F$4:$F$2004,$Z51-2000),IF($Z51&lt;=5200,"客户自备筐－"&amp;INDEX(客户自备加工筐明细!$J$4:$J$1203,$Z51-4000),IF($Z51&lt;=5800,"次果筐/托盘－"&amp;INDEX(次果筐明细!$F$4:$F$603,$Z51-5200),"")))))</f>
        <v>周转筐－采购入库</v>
      </c>
      <c r="E51" s="24" t="str">
        <f>IF($Z51="","",IF($Z51&lt;=2000,IF(INDEX(包装物料出入库明细!$C$4:$C$2003,$Z51-0)=0,"",INDEX(包装物料出入库明细!$C$4:$C$2003,$Z51-0)),IF($Z51&lt;=4000,IF(INDEX(周转筐出入库明细!$E$4:$E$2004,$Z51-2000)=0,"",INDEX(周转筐出入库明细!$E$4:$E$2004,$Z51-2000)),IF($Z51&lt;=5200,IF(INDEX(客户自备加工筐明细!$D$4:$D$1203,$Z51-4000)=0,"",INDEX(客户自备加工筐明细!$D$4:$D$1203,$Z51-4000)),IF($Z51&lt;=5800,IF(INDEX(次果筐明细!$E$4:$E$603,$Z51-5200)=0,"",INDEX(次果筐明细!$E$4:$E$603,$Z51-5200)),"")))))</f>
        <v>NO:0000745</v>
      </c>
      <c r="F51" s="24" t="str">
        <f>IF($Z51="","",IF($Z51&lt;=2000,IF(INDEX(包装物料出入库明细!$E$4:$E$2003,$Z51-0)=0,"",INDEX(包装物料出入库明细!$E$4:$E$2003,$Z51-0)),IF($Z51&lt;=4000,IF(INDEX(周转筐出入库明细!$D$4:$D$2004,$Z51-2000)=0,"",INDEX(周转筐出入库明细!$D$4:$D$2004,$Z51-2000)),IF($Z51&lt;=5200,IF(INDEX(客户自备加工筐明细!$C$4:$C$1203,$Z51-4000)=0,"",INDEX(客户自备加工筐明细!$C$4:$C$1203,$Z51-4000)),IF($Z51&lt;=5800,IF(INDEX(次果筐明细!$D$4:$D$603,$Z51-5200)=0,"",INDEX(次果筐明细!$D$4:$D$603,$Z51-5200)),"")))))</f>
        <v>公司红周转筐</v>
      </c>
      <c r="G51" s="24" t="str">
        <f>IF($Z51="","",IF($Z51&lt;=2000,IF(INDEX(包装物料出入库明细!$F$4:$F$2003,$Z51-0)=0,"",INDEX(包装物料出入库明细!$F$4:$F$2003,$Z51-0)),IF($Z51&lt;=4000,"",IF($Z51&lt;=5200,"",IF($Z51&lt;=5800,"","")))))</f>
        <v/>
      </c>
      <c r="H51" s="39">
        <f>IF($Z51="","",IF($Z51&lt;=2000,IF(INDEX(包装物料出入库明细!$L$4:$L$2003,$Z51-0)=0,"",INDEX(包装物料出入库明细!$L$4:$L$2003,$Z51-0)),IF($Z51&lt;=4000,N(INDEX(周转筐出入库明细!$H$4:$H$2004,$Z51-2000))+N(INDEX(周转筐出入库明细!$I$4:$I$2004,$Z51-2000))+N(INDEX(周转筐出入库明细!$J$4:$J$2004,$Z51-2000))+N(INDEX(周转筐出入库明细!$K$4:$K$2004,$Z51-2000)),IF($Z51&lt;=5200,N(INDEX(客户自备加工筐明细!$F$4:$F$1203,$Z51-4000))+N(INDEX(客户自备加工筐明细!$G$4:$G$1203,$Z51-4000)),IF($Z51&lt;=5800,IF(INDEX(次果筐明细!$G$4:$G$603,$Z51-5200)=0,"",INDEX(次果筐明细!$G$4:$G$603,$Z51-5200)),"")))))</f>
        <v>315</v>
      </c>
      <c r="I51" s="24" t="str">
        <f>IF($Z51="","",IF($Z51&lt;=2000,IF(INDEX(包装物料出入库明细!$G$4:$G$2003,$Z51-0)=0,"",INDEX(包装物料出入库明细!$G$4:$G$2003,$Z51-0)),IF($Z51&lt;=4000,"个",IF($Z51&lt;=5200,"个",IF($Z51&lt;=5800,"个","")))))</f>
        <v>个</v>
      </c>
      <c r="J51" s="30" t="str">
        <f t="shared" si="1"/>
        <v/>
      </c>
      <c r="K51" s="30">
        <f>IF($Z51="","",IF($Z51&lt;=2000,IF(INDEX(包装物料出入库明细!$N$4:$N$2003,$Z51-0)=0,"",INDEX(包装物料出入库明细!$N$4:$N$2003,$Z51-0)),IF($Z51&lt;=4000,IF(INDEX(周转筐出入库明细!$P$4:$P$2004,$Z51-2000)=0,"",INDEX(周转筐出入库明细!$P$4:$P$2004,$Z51-2000)),IF($Z51&lt;=5200,"",IF($Z51&lt;=5800,N(INDEX(次果筐明细!$L$4:$L$603,$Z51-5200))+N(INDEX(次果筐明细!$J$4:$J$603,$Z51-5200)),"")))))</f>
        <v>3150</v>
      </c>
      <c r="L51" s="24" t="str">
        <f>IF($Z51="","",IF($Z51&lt;=2000,IF(INDEX(包装物料出入库明细!$P$4:$P$2003,$Z51-0)=0,"",INDEX(包装物料出入库明细!$P$4:$P$2003,$Z51-0)),IF($Z51&lt;=4000,IF(INDEX(周转筐出入库明细!$Q$4:$Q$2004,$Z51-2000)=0,"",INDEX(周转筐出入库明细!$Q$4:$Q$2004,$Z51-2000)),IF($Z51&lt;=5200,"",IF($Z51&lt;=5800,IF(INDEX(次果筐明细!$M$4:$M$603,$Z51-5200)=0,"",INDEX(次果筐明细!$M$4:$M$603,$Z51-5200)),"")))))</f>
        <v>未付款</v>
      </c>
      <c r="M51" s="37" t="str">
        <f>IF($Z51="","",IF($Z51&lt;=2000,IF(INDEX(包装物料出入库明细!$R$4:$R$2003,$Z51-0)=0,"",INDEX(包装物料出入库明细!$R$4:$R$2003,$Z51-0)),IF($Z51&lt;=4000,IF(INDEX(周转筐出入库明细!$W$4:$W$2004,$Z51-2000)=0,"",INDEX(周转筐出入库明细!$W$4:$W$2004,$Z51-2000)),IF($Z51&lt;=5200,IF(INDEX(客户自备加工筐明细!$L$4:$L$1203,$Z51-4000)=0,"",INDEX(客户自备加工筐明细!$L$4:$L$1203,$Z51-4000)),IF($Z51&lt;=5800,IF(INDEX(次果筐明细!$P$4:$P$603,$Z51-5200)=0,"",INDEX(次果筐明细!$P$4:$P$603,$Z51-5200)),"")))))</f>
        <v>NO:2745241</v>
      </c>
      <c r="N51" s="16" t="str">
        <f>IF($Z51="","",IF($Z51&lt;=2000,"",IF($Z51&lt;=4000,IF(INDEX(周转筐出入库明细!$D$4:$D$2004,$Z51-2000)=0,"",INDEX(周转筐出入库明细!$D$4:$D$2004,$Z51-2000)),IF($Z51&lt;=5200,IF(INDEX(客户自备加工筐明细!$C$4:$C$1203,$Z51-4000)=0,"",INDEX(客户自备加工筐明细!$C$4:$C$1203,$Z51-4000)),IF($Z51&lt;=5800,IF(INDEX(次果筐明细!$D$4:$D$603,$Z51-5200)=0,"",INDEX(次果筐明细!$D$4:$D$603,$Z51-5200)),"")))))</f>
        <v>公司红周转筐</v>
      </c>
      <c r="O51" s="40" t="str">
        <f>IF($Z51="","",IF($Z51&lt;=2000,"",IF($Z51&lt;=4000,IF(N(INDEX(周转筐出入库明细!$J$4:$J$2004,$Z51-2000))+N(INDEX(周转筐出入库明细!$K$4:$K$2004,$Z51-2000))=0,"",N(INDEX(周转筐出入库明细!$J$4:$J$2004,$Z51-2000))+N(INDEX(周转筐出入库明细!$K$4:$K$2004,$Z51-2000))),IF($Z51&lt;=5200,IF(N(INDEX(客户自备加工筐明细!$G$4:$G$1203,$Z51-4000))=0,"",N(INDEX(客户自备加工筐明细!$G$4:$G$1203,$Z51-4000))),IF($Z51&lt;=5800,IF(ISNUMBER(SEARCH("退",INDEX(次果筐明细!$F$4:$F$603,$Z51-5200)&amp;"")),"",IF(N(INDEX(次果筐明细!$G$4:$G$603,$Z51-5200))=0,"",N(INDEX(次果筐明细!$G$4:$G$603,$Z51-5200)))),"")))))</f>
        <v/>
      </c>
      <c r="P51" s="40" t="str">
        <f>IF($Z51="","",IF($Z51&lt;=2000,"",IF($Z51&lt;=4000,IF(N(INDEX(周转筐出入库明细!$I$4:$I$2004,$Z51-2000))=0,"",N(INDEX(周转筐出入库明细!$I$4:$I$2004,$Z51-2000))),IF($Z51&lt;=5200,"",IF($Z51&lt;=5800,IF(ISNUMBER(SEARCH("退",INDEX(次果筐明细!$F$4:$F$603,$Z51-5200)&amp;"")),IF(N(INDEX(次果筐明细!$G$4:$G$603,$Z51-5200))=0,"",N(INDEX(次果筐明细!$G$4:$G$603,$Z51-5200))),""),"")))))</f>
        <v/>
      </c>
      <c r="Q51" s="40">
        <f>IF($Z51="","",IF($Z51&lt;=2000,"",IF($Z51&lt;=4000,IF(N(INDEX(周转筐出入库明细!$H$4:$H$2004,$Z51-2000))=0,"",N(INDEX(周转筐出入库明细!$H$4:$H$2004,$Z51-2000))),IF($Z51&lt;=5200,IF(N(INDEX(客户自备加工筐明细!$F$4:$F$1203,$Z51-4000))=0,"",N(INDEX(客户自备加工筐明细!$F$4:$F$1203,$Z51-4000))),IF($Z51&lt;=5800,"","")))))</f>
        <v>315</v>
      </c>
      <c r="R51" s="16" t="str">
        <f>IF($Z51="","",IF($Z51&lt;=2000,IF(INDEX(包装物料出入库明细!$O$4:$O$2003,$Z51-0)=0,"",INDEX(包装物料出入库明细!$O$4:$O$2003,$Z51-0)),IF($Z51&lt;=4000,IF(INDEX(周转筐出入库明细!$M$4:$M$2004,$Z51-2000)=0,"",INDEX(周转筐出入库明细!$M$4:$M$2004,$Z51-2000)),IF($Z51&lt;=5200,IF(INDEX(客户自备加工筐明细!$H$4:$H$1203,$Z51-4000)=0,"",INDEX(客户自备加工筐明细!$H$4:$H$1203,$Z51-4000)),IF($Z51&lt;=5800,IF(INDEX(次果筐明细!$H$4:$H$603,$Z51-5200)=0,"",INDEX(次果筐明细!$H$4:$H$603,$Z51-5200)),"")))))</f>
        <v>新N*X8S48</v>
      </c>
      <c r="S51" s="22" t="str">
        <f t="shared" si="2"/>
        <v>公司筐</v>
      </c>
      <c r="Z51" s="10">
        <f>IFERROR(MATCH(ROW()-3,_自动清单!$CQ$4:$CQ$5803,0),"")</f>
        <v>2015</v>
      </c>
    </row>
    <row r="52" spans="1:26">
      <c r="A52" s="24">
        <f t="shared" si="0"/>
        <v>49</v>
      </c>
      <c r="B52" s="38">
        <f>IF($Z52="","",IF($Z52&lt;=2000,IF(INDEX(包装物料出入库明细!$B$4:$B$2003,$Z52-0)=0,"",INDEX(包装物料出入库明细!$B$4:$B$2003,$Z52-0)),IF($Z52&lt;=4000,IF(INDEX(周转筐出入库明细!$B$4:$B$2004,$Z52-2000)=0,"",INDEX(周转筐出入库明细!$B$4:$B$2004,$Z52-2000)),IF($Z52&lt;=5200,IF(INDEX(客户自备加工筐明细!$B$4:$B$1203,$Z52-4000)=0,"",INDEX(客户自备加工筐明细!$B$4:$B$1203,$Z52-4000)),IF($Z52&lt;=5800,IF(INDEX(次果筐明细!$B$4:$B$603,$Z52-5200)=0,"",INDEX(次果筐明细!$B$4:$B$603,$Z52-5200)),"")))))</f>
        <v>46268</v>
      </c>
      <c r="C52" s="37" t="str">
        <f>IF($Z52="","",IF($Z52&lt;=2000,IF(INDEX(包装物料出入库明细!$D$4:$D$2003,$Z52-0)=0,"",INDEX(包装物料出入库明细!$D$4:$D$2003,$Z52-0)),IF($Z52&lt;=4000,IF(INDEX(周转筐出入库明细!$C$4:$C$2004,$Z52-2000)=0,"",INDEX(周转筐出入库明细!$C$4:$C$2004,$Z52-2000)),IF($Z52&lt;=5200,IF(INDEX(客户自备加工筐明细!$E$4:$E$1203,$Z52-4000)=0,"",INDEX(客户自备加工筐明细!$E$4:$E$1203,$Z52-4000)),IF($Z52&lt;=5800,IF(INDEX(次果筐明细!$C$4:$C$603,$Z52-5200)=0,"",INDEX(次果筐明细!$C$4:$C$603,$Z52-5200)),"")))))</f>
        <v>吐尔洪</v>
      </c>
      <c r="D52" s="37" t="str">
        <f>IF($Z52="","",IF($Z52&lt;=2000,"包装物料－"&amp;INDEX(包装物料出入库明细!$H$4:$H$2003,$Z52-0),IF($Z52&lt;=4000,"周转筐－"&amp;INDEX(周转筐出入库明细!$F$4:$F$2004,$Z52-2000),IF($Z52&lt;=5200,"客户自备筐－"&amp;INDEX(客户自备加工筐明细!$J$4:$J$1203,$Z52-4000),IF($Z52&lt;=5800,"次果筐/托盘－"&amp;INDEX(次果筐明细!$F$4:$F$603,$Z52-5200),"")))))</f>
        <v>周转筐－领用出库</v>
      </c>
      <c r="E52" s="24" t="str">
        <f>IF($Z52="","",IF($Z52&lt;=2000,IF(INDEX(包装物料出入库明细!$C$4:$C$2003,$Z52-0)=0,"",INDEX(包装物料出入库明细!$C$4:$C$2003,$Z52-0)),IF($Z52&lt;=4000,IF(INDEX(周转筐出入库明细!$E$4:$E$2004,$Z52-2000)=0,"",INDEX(周转筐出入库明细!$E$4:$E$2004,$Z52-2000)),IF($Z52&lt;=5200,IF(INDEX(客户自备加工筐明细!$D$4:$D$1203,$Z52-4000)=0,"",INDEX(客户自备加工筐明细!$D$4:$D$1203,$Z52-4000)),IF($Z52&lt;=5800,IF(INDEX(次果筐明细!$E$4:$E$603,$Z52-5200)=0,"",INDEX(次果筐明细!$E$4:$E$603,$Z52-5200)),"")))))</f>
        <v>NO:0001068</v>
      </c>
      <c r="F52" s="24" t="str">
        <f>IF($Z52="","",IF($Z52&lt;=2000,IF(INDEX(包装物料出入库明细!$E$4:$E$2003,$Z52-0)=0,"",INDEX(包装物料出入库明细!$E$4:$E$2003,$Z52-0)),IF($Z52&lt;=4000,IF(INDEX(周转筐出入库明细!$D$4:$D$2004,$Z52-2000)=0,"",INDEX(周转筐出入库明细!$D$4:$D$2004,$Z52-2000)),IF($Z52&lt;=5200,IF(INDEX(客户自备加工筐明细!$C$4:$C$1203,$Z52-4000)=0,"",INDEX(客户自备加工筐明细!$C$4:$C$1203,$Z52-4000)),IF($Z52&lt;=5800,IF(INDEX(次果筐明细!$D$4:$D$603,$Z52-5200)=0,"",INDEX(次果筐明细!$D$4:$D$603,$Z52-5200)),"")))))</f>
        <v>公司红周转筐</v>
      </c>
      <c r="G52" s="24" t="str">
        <f>IF($Z52="","",IF($Z52&lt;=2000,IF(INDEX(包装物料出入库明细!$F$4:$F$2003,$Z52-0)=0,"",INDEX(包装物料出入库明细!$F$4:$F$2003,$Z52-0)),IF($Z52&lt;=4000,"",IF($Z52&lt;=5200,"",IF($Z52&lt;=5800,"","")))))</f>
        <v/>
      </c>
      <c r="H52" s="39">
        <f>IF($Z52="","",IF($Z52&lt;=2000,IF(INDEX(包装物料出入库明细!$L$4:$L$2003,$Z52-0)=0,"",INDEX(包装物料出入库明细!$L$4:$L$2003,$Z52-0)),IF($Z52&lt;=4000,N(INDEX(周转筐出入库明细!$H$4:$H$2004,$Z52-2000))+N(INDEX(周转筐出入库明细!$I$4:$I$2004,$Z52-2000))+N(INDEX(周转筐出入库明细!$J$4:$J$2004,$Z52-2000))+N(INDEX(周转筐出入库明细!$K$4:$K$2004,$Z52-2000)),IF($Z52&lt;=5200,N(INDEX(客户自备加工筐明细!$F$4:$F$1203,$Z52-4000))+N(INDEX(客户自备加工筐明细!$G$4:$G$1203,$Z52-4000)),IF($Z52&lt;=5800,IF(INDEX(次果筐明细!$G$4:$G$603,$Z52-5200)=0,"",INDEX(次果筐明细!$G$4:$G$603,$Z52-5200)),"")))))</f>
        <v>315</v>
      </c>
      <c r="I52" s="24" t="str">
        <f>IF($Z52="","",IF($Z52&lt;=2000,IF(INDEX(包装物料出入库明细!$G$4:$G$2003,$Z52-0)=0,"",INDEX(包装物料出入库明细!$G$4:$G$2003,$Z52-0)),IF($Z52&lt;=4000,"个",IF($Z52&lt;=5200,"个",IF($Z52&lt;=5800,"个","")))))</f>
        <v>个</v>
      </c>
      <c r="J52" s="30" t="str">
        <f t="shared" si="1"/>
        <v/>
      </c>
      <c r="K52" s="30" t="str">
        <f>IF($Z52="","",IF($Z52&lt;=2000,IF(INDEX(包装物料出入库明细!$N$4:$N$2003,$Z52-0)=0,"",INDEX(包装物料出入库明细!$N$4:$N$2003,$Z52-0)),IF($Z52&lt;=4000,IF(INDEX(周转筐出入库明细!$P$4:$P$2004,$Z52-2000)=0,"",INDEX(周转筐出入库明细!$P$4:$P$2004,$Z52-2000)),IF($Z52&lt;=5200,"",IF($Z52&lt;=5800,N(INDEX(次果筐明细!$L$4:$L$603,$Z52-5200))+N(INDEX(次果筐明细!$J$4:$J$603,$Z52-5200)),"")))))</f>
        <v/>
      </c>
      <c r="L52" s="24" t="str">
        <f>IF($Z52="","",IF($Z52&lt;=2000,IF(INDEX(包装物料出入库明细!$P$4:$P$2003,$Z52-0)=0,"",INDEX(包装物料出入库明细!$P$4:$P$2003,$Z52-0)),IF($Z52&lt;=4000,IF(INDEX(周转筐出入库明细!$Q$4:$Q$2004,$Z52-2000)=0,"",INDEX(周转筐出入库明细!$Q$4:$Q$2004,$Z52-2000)),IF($Z52&lt;=5200,"",IF($Z52&lt;=5800,IF(INDEX(次果筐明细!$M$4:$M$603,$Z52-5200)=0,"",INDEX(次果筐明细!$M$4:$M$603,$Z52-5200)),"")))))</f>
        <v/>
      </c>
      <c r="M52" s="37" t="str">
        <f>IF($Z52="","",IF($Z52&lt;=2000,IF(INDEX(包装物料出入库明细!$R$4:$R$2003,$Z52-0)=0,"",INDEX(包装物料出入库明细!$R$4:$R$2003,$Z52-0)),IF($Z52&lt;=4000,IF(INDEX(周转筐出入库明细!$W$4:$W$2004,$Z52-2000)=0,"",INDEX(周转筐出入库明细!$W$4:$W$2004,$Z52-2000)),IF($Z52&lt;=5200,IF(INDEX(客户自备加工筐明细!$L$4:$L$1203,$Z52-4000)=0,"",INDEX(客户自备加工筐明细!$L$4:$L$1203,$Z52-4000)),IF($Z52&lt;=5800,IF(INDEX(次果筐明细!$P$4:$P$603,$Z52-5200)=0,"",INDEX(次果筐明细!$P$4:$P$603,$Z52-5200)),"")))))</f>
        <v/>
      </c>
      <c r="N52" s="16" t="str">
        <f>IF($Z52="","",IF($Z52&lt;=2000,"",IF($Z52&lt;=4000,IF(INDEX(周转筐出入库明细!$D$4:$D$2004,$Z52-2000)=0,"",INDEX(周转筐出入库明细!$D$4:$D$2004,$Z52-2000)),IF($Z52&lt;=5200,IF(INDEX(客户自备加工筐明细!$C$4:$C$1203,$Z52-4000)=0,"",INDEX(客户自备加工筐明细!$C$4:$C$1203,$Z52-4000)),IF($Z52&lt;=5800,IF(INDEX(次果筐明细!$D$4:$D$603,$Z52-5200)=0,"",INDEX(次果筐明细!$D$4:$D$603,$Z52-5200)),"")))))</f>
        <v>公司红周转筐</v>
      </c>
      <c r="O52" s="40">
        <f>IF($Z52="","",IF($Z52&lt;=2000,"",IF($Z52&lt;=4000,IF(N(INDEX(周转筐出入库明细!$J$4:$J$2004,$Z52-2000))+N(INDEX(周转筐出入库明细!$K$4:$K$2004,$Z52-2000))=0,"",N(INDEX(周转筐出入库明细!$J$4:$J$2004,$Z52-2000))+N(INDEX(周转筐出入库明细!$K$4:$K$2004,$Z52-2000))),IF($Z52&lt;=5200,IF(N(INDEX(客户自备加工筐明细!$G$4:$G$1203,$Z52-4000))=0,"",N(INDEX(客户自备加工筐明细!$G$4:$G$1203,$Z52-4000))),IF($Z52&lt;=5800,IF(ISNUMBER(SEARCH("退",INDEX(次果筐明细!$F$4:$F$603,$Z52-5200)&amp;"")),"",IF(N(INDEX(次果筐明细!$G$4:$G$603,$Z52-5200))=0,"",N(INDEX(次果筐明细!$G$4:$G$603,$Z52-5200)))),"")))))</f>
        <v>315</v>
      </c>
      <c r="P52" s="40" t="str">
        <f>IF($Z52="","",IF($Z52&lt;=2000,"",IF($Z52&lt;=4000,IF(N(INDEX(周转筐出入库明细!$I$4:$I$2004,$Z52-2000))=0,"",N(INDEX(周转筐出入库明细!$I$4:$I$2004,$Z52-2000))),IF($Z52&lt;=5200,"",IF($Z52&lt;=5800,IF(ISNUMBER(SEARCH("退",INDEX(次果筐明细!$F$4:$F$603,$Z52-5200)&amp;"")),IF(N(INDEX(次果筐明细!$G$4:$G$603,$Z52-5200))=0,"",N(INDEX(次果筐明细!$G$4:$G$603,$Z52-5200))),""),"")))))</f>
        <v/>
      </c>
      <c r="Q52" s="40" t="str">
        <f>IF($Z52="","",IF($Z52&lt;=2000,"",IF($Z52&lt;=4000,IF(N(INDEX(周转筐出入库明细!$H$4:$H$2004,$Z52-2000))=0,"",N(INDEX(周转筐出入库明细!$H$4:$H$2004,$Z52-2000))),IF($Z52&lt;=5200,IF(N(INDEX(客户自备加工筐明细!$F$4:$F$1203,$Z52-4000))=0,"",N(INDEX(客户自备加工筐明细!$F$4:$F$1203,$Z52-4000))),IF($Z52&lt;=5800,"","")))))</f>
        <v/>
      </c>
      <c r="R52" s="16" t="str">
        <f>IF($Z52="","",IF($Z52&lt;=2000,IF(INDEX(包装物料出入库明细!$O$4:$O$2003,$Z52-0)=0,"",INDEX(包装物料出入库明细!$O$4:$O$2003,$Z52-0)),IF($Z52&lt;=4000,IF(INDEX(周转筐出入库明细!$M$4:$M$2004,$Z52-2000)=0,"",INDEX(周转筐出入库明细!$M$4:$M$2004,$Z52-2000)),IF($Z52&lt;=5200,IF(INDEX(客户自备加工筐明细!$H$4:$H$1203,$Z52-4000)=0,"",INDEX(客户自备加工筐明细!$H$4:$H$1203,$Z52-4000)),IF($Z52&lt;=5800,IF(INDEX(次果筐明细!$H$4:$H$603,$Z52-5200)=0,"",INDEX(次果筐明细!$H$4:$H$603,$Z52-5200)),"")))))</f>
        <v>新N*X8S48</v>
      </c>
      <c r="S52" s="22" t="str">
        <f t="shared" si="2"/>
        <v>公司筐</v>
      </c>
      <c r="Z52" s="10">
        <f>IFERROR(MATCH(ROW()-3,_自动清单!$CQ$4:$CQ$5803,0),"")</f>
        <v>2016</v>
      </c>
    </row>
    <row r="53" spans="1:26">
      <c r="A53" s="24">
        <f t="shared" si="0"/>
        <v>50</v>
      </c>
      <c r="B53" s="38">
        <f>IF($Z53="","",IF($Z53&lt;=2000,IF(INDEX(包装物料出入库明细!$B$4:$B$2003,$Z53-0)=0,"",INDEX(包装物料出入库明细!$B$4:$B$2003,$Z53-0)),IF($Z53&lt;=4000,IF(INDEX(周转筐出入库明细!$B$4:$B$2004,$Z53-2000)=0,"",INDEX(周转筐出入库明细!$B$4:$B$2004,$Z53-2000)),IF($Z53&lt;=5200,IF(INDEX(客户自备加工筐明细!$B$4:$B$1203,$Z53-4000)=0,"",INDEX(客户自备加工筐明细!$B$4:$B$1203,$Z53-4000)),IF($Z53&lt;=5800,IF(INDEX(次果筐明细!$B$4:$B$603,$Z53-5200)=0,"",INDEX(次果筐明细!$B$4:$B$603,$Z53-5200)),"")))))</f>
        <v>46268</v>
      </c>
      <c r="C53" s="37" t="str">
        <f>IF($Z53="","",IF($Z53&lt;=2000,IF(INDEX(包装物料出入库明细!$D$4:$D$2003,$Z53-0)=0,"",INDEX(包装物料出入库明细!$D$4:$D$2003,$Z53-0)),IF($Z53&lt;=4000,IF(INDEX(周转筐出入库明细!$C$4:$C$2004,$Z53-2000)=0,"",INDEX(周转筐出入库明细!$C$4:$C$2004,$Z53-2000)),IF($Z53&lt;=5200,IF(INDEX(客户自备加工筐明细!$E$4:$E$1203,$Z53-4000)=0,"",INDEX(客户自备加工筐明细!$E$4:$E$1203,$Z53-4000)),IF($Z53&lt;=5800,IF(INDEX(次果筐明细!$C$4:$C$603,$Z53-5200)=0,"",INDEX(次果筐明细!$C$4:$C$603,$Z53-5200)),"")))))</f>
        <v>全修塑业</v>
      </c>
      <c r="D53" s="37" t="str">
        <f>IF($Z53="","",IF($Z53&lt;=2000,"包装物料－"&amp;INDEX(包装物料出入库明细!$H$4:$H$2003,$Z53-0),IF($Z53&lt;=4000,"周转筐－"&amp;INDEX(周转筐出入库明细!$F$4:$F$2004,$Z53-2000),IF($Z53&lt;=5200,"客户自备筐－"&amp;INDEX(客户自备加工筐明细!$J$4:$J$1203,$Z53-4000),IF($Z53&lt;=5800,"次果筐/托盘－"&amp;INDEX(次果筐明细!$F$4:$F$603,$Z53-5200),"")))))</f>
        <v>周转筐－采购入库</v>
      </c>
      <c r="E53" s="24" t="str">
        <f>IF($Z53="","",IF($Z53&lt;=2000,IF(INDEX(包装物料出入库明细!$C$4:$C$2003,$Z53-0)=0,"",INDEX(包装物料出入库明细!$C$4:$C$2003,$Z53-0)),IF($Z53&lt;=4000,IF(INDEX(周转筐出入库明细!$E$4:$E$2004,$Z53-2000)=0,"",INDEX(周转筐出入库明细!$E$4:$E$2004,$Z53-2000)),IF($Z53&lt;=5200,IF(INDEX(客户自备加工筐明细!$D$4:$D$1203,$Z53-4000)=0,"",INDEX(客户自备加工筐明细!$D$4:$D$1203,$Z53-4000)),IF($Z53&lt;=5800,IF(INDEX(次果筐明细!$E$4:$E$603,$Z53-5200)=0,"",INDEX(次果筐明细!$E$4:$E$603,$Z53-5200)),"")))))</f>
        <v>NO:0000746</v>
      </c>
      <c r="F53" s="24" t="str">
        <f>IF($Z53="","",IF($Z53&lt;=2000,IF(INDEX(包装物料出入库明细!$E$4:$E$2003,$Z53-0)=0,"",INDEX(包装物料出入库明细!$E$4:$E$2003,$Z53-0)),IF($Z53&lt;=4000,IF(INDEX(周转筐出入库明细!$D$4:$D$2004,$Z53-2000)=0,"",INDEX(周转筐出入库明细!$D$4:$D$2004,$Z53-2000)),IF($Z53&lt;=5200,IF(INDEX(客户自备加工筐明细!$C$4:$C$1203,$Z53-4000)=0,"",INDEX(客户自备加工筐明细!$C$4:$C$1203,$Z53-4000)),IF($Z53&lt;=5800,IF(INDEX(次果筐明细!$D$4:$D$603,$Z53-5200)=0,"",INDEX(次果筐明细!$D$4:$D$603,$Z53-5200)),"")))))</f>
        <v>公司红周转筐</v>
      </c>
      <c r="G53" s="24" t="str">
        <f>IF($Z53="","",IF($Z53&lt;=2000,IF(INDEX(包装物料出入库明细!$F$4:$F$2003,$Z53-0)=0,"",INDEX(包装物料出入库明细!$F$4:$F$2003,$Z53-0)),IF($Z53&lt;=4000,"",IF($Z53&lt;=5200,"",IF($Z53&lt;=5800,"","")))))</f>
        <v/>
      </c>
      <c r="H53" s="39">
        <f>IF($Z53="","",IF($Z53&lt;=2000,IF(INDEX(包装物料出入库明细!$L$4:$L$2003,$Z53-0)=0,"",INDEX(包装物料出入库明细!$L$4:$L$2003,$Z53-0)),IF($Z53&lt;=4000,N(INDEX(周转筐出入库明细!$H$4:$H$2004,$Z53-2000))+N(INDEX(周转筐出入库明细!$I$4:$I$2004,$Z53-2000))+N(INDEX(周转筐出入库明细!$J$4:$J$2004,$Z53-2000))+N(INDEX(周转筐出入库明细!$K$4:$K$2004,$Z53-2000)),IF($Z53&lt;=5200,N(INDEX(客户自备加工筐明细!$F$4:$F$1203,$Z53-4000))+N(INDEX(客户自备加工筐明细!$G$4:$G$1203,$Z53-4000)),IF($Z53&lt;=5800,IF(INDEX(次果筐明细!$G$4:$G$603,$Z53-5200)=0,"",INDEX(次果筐明细!$G$4:$G$603,$Z53-5200)),"")))))</f>
        <v>846</v>
      </c>
      <c r="I53" s="24" t="str">
        <f>IF($Z53="","",IF($Z53&lt;=2000,IF(INDEX(包装物料出入库明细!$G$4:$G$2003,$Z53-0)=0,"",INDEX(包装物料出入库明细!$G$4:$G$2003,$Z53-0)),IF($Z53&lt;=4000,"个",IF($Z53&lt;=5200,"个",IF($Z53&lt;=5800,"个","")))))</f>
        <v>个</v>
      </c>
      <c r="J53" s="30" t="str">
        <f t="shared" si="1"/>
        <v/>
      </c>
      <c r="K53" s="30">
        <f>IF($Z53="","",IF($Z53&lt;=2000,IF(INDEX(包装物料出入库明细!$N$4:$N$2003,$Z53-0)=0,"",INDEX(包装物料出入库明细!$N$4:$N$2003,$Z53-0)),IF($Z53&lt;=4000,IF(INDEX(周转筐出入库明细!$P$4:$P$2004,$Z53-2000)=0,"",INDEX(周转筐出入库明细!$P$4:$P$2004,$Z53-2000)),IF($Z53&lt;=5200,"",IF($Z53&lt;=5800,N(INDEX(次果筐明细!$L$4:$L$603,$Z53-5200))+N(INDEX(次果筐明细!$J$4:$J$603,$Z53-5200)),"")))))</f>
        <v>8460</v>
      </c>
      <c r="L53" s="24" t="str">
        <f>IF($Z53="","",IF($Z53&lt;=2000,IF(INDEX(包装物料出入库明细!$P$4:$P$2003,$Z53-0)=0,"",INDEX(包装物料出入库明细!$P$4:$P$2003,$Z53-0)),IF($Z53&lt;=4000,IF(INDEX(周转筐出入库明细!$Q$4:$Q$2004,$Z53-2000)=0,"",INDEX(周转筐出入库明细!$Q$4:$Q$2004,$Z53-2000)),IF($Z53&lt;=5200,"",IF($Z53&lt;=5800,IF(INDEX(次果筐明细!$M$4:$M$603,$Z53-5200)=0,"",INDEX(次果筐明细!$M$4:$M$603,$Z53-5200)),"")))))</f>
        <v>未付款</v>
      </c>
      <c r="M53" s="37" t="str">
        <f>IF($Z53="","",IF($Z53&lt;=2000,IF(INDEX(包装物料出入库明细!$R$4:$R$2003,$Z53-0)=0,"",INDEX(包装物料出入库明细!$R$4:$R$2003,$Z53-0)),IF($Z53&lt;=4000,IF(INDEX(周转筐出入库明细!$W$4:$W$2004,$Z53-2000)=0,"",INDEX(周转筐出入库明细!$W$4:$W$2004,$Z53-2000)),IF($Z53&lt;=5200,IF(INDEX(客户自备加工筐明细!$L$4:$L$1203,$Z53-4000)=0,"",INDEX(客户自备加工筐明细!$L$4:$L$1203,$Z53-4000)),IF($Z53&lt;=5800,IF(INDEX(次果筐明细!$P$4:$P$603,$Z53-5200)=0,"",INDEX(次果筐明细!$P$4:$P$603,$Z53-5200)),"")))))</f>
        <v>NO:2745242</v>
      </c>
      <c r="N53" s="16" t="str">
        <f>IF($Z53="","",IF($Z53&lt;=2000,"",IF($Z53&lt;=4000,IF(INDEX(周转筐出入库明细!$D$4:$D$2004,$Z53-2000)=0,"",INDEX(周转筐出入库明细!$D$4:$D$2004,$Z53-2000)),IF($Z53&lt;=5200,IF(INDEX(客户自备加工筐明细!$C$4:$C$1203,$Z53-4000)=0,"",INDEX(客户自备加工筐明细!$C$4:$C$1203,$Z53-4000)),IF($Z53&lt;=5800,IF(INDEX(次果筐明细!$D$4:$D$603,$Z53-5200)=0,"",INDEX(次果筐明细!$D$4:$D$603,$Z53-5200)),"")))))</f>
        <v>公司红周转筐</v>
      </c>
      <c r="O53" s="40" t="str">
        <f>IF($Z53="","",IF($Z53&lt;=2000,"",IF($Z53&lt;=4000,IF(N(INDEX(周转筐出入库明细!$J$4:$J$2004,$Z53-2000))+N(INDEX(周转筐出入库明细!$K$4:$K$2004,$Z53-2000))=0,"",N(INDEX(周转筐出入库明细!$J$4:$J$2004,$Z53-2000))+N(INDEX(周转筐出入库明细!$K$4:$K$2004,$Z53-2000))),IF($Z53&lt;=5200,IF(N(INDEX(客户自备加工筐明细!$G$4:$G$1203,$Z53-4000))=0,"",N(INDEX(客户自备加工筐明细!$G$4:$G$1203,$Z53-4000))),IF($Z53&lt;=5800,IF(ISNUMBER(SEARCH("退",INDEX(次果筐明细!$F$4:$F$603,$Z53-5200)&amp;"")),"",IF(N(INDEX(次果筐明细!$G$4:$G$603,$Z53-5200))=0,"",N(INDEX(次果筐明细!$G$4:$G$603,$Z53-5200)))),"")))))</f>
        <v/>
      </c>
      <c r="P53" s="40" t="str">
        <f>IF($Z53="","",IF($Z53&lt;=2000,"",IF($Z53&lt;=4000,IF(N(INDEX(周转筐出入库明细!$I$4:$I$2004,$Z53-2000))=0,"",N(INDEX(周转筐出入库明细!$I$4:$I$2004,$Z53-2000))),IF($Z53&lt;=5200,"",IF($Z53&lt;=5800,IF(ISNUMBER(SEARCH("退",INDEX(次果筐明细!$F$4:$F$603,$Z53-5200)&amp;"")),IF(N(INDEX(次果筐明细!$G$4:$G$603,$Z53-5200))=0,"",N(INDEX(次果筐明细!$G$4:$G$603,$Z53-5200))),""),"")))))</f>
        <v/>
      </c>
      <c r="Q53" s="40">
        <f>IF($Z53="","",IF($Z53&lt;=2000,"",IF($Z53&lt;=4000,IF(N(INDEX(周转筐出入库明细!$H$4:$H$2004,$Z53-2000))=0,"",N(INDEX(周转筐出入库明细!$H$4:$H$2004,$Z53-2000))),IF($Z53&lt;=5200,IF(N(INDEX(客户自备加工筐明细!$F$4:$F$1203,$Z53-4000))=0,"",N(INDEX(客户自备加工筐明细!$F$4:$F$1203,$Z53-4000))),IF($Z53&lt;=5800,"","")))))</f>
        <v>846</v>
      </c>
      <c r="R53" s="16" t="str">
        <f>IF($Z53="","",IF($Z53&lt;=2000,IF(INDEX(包装物料出入库明细!$O$4:$O$2003,$Z53-0)=0,"",INDEX(包装物料出入库明细!$O$4:$O$2003,$Z53-0)),IF($Z53&lt;=4000,IF(INDEX(周转筐出入库明细!$M$4:$M$2004,$Z53-2000)=0,"",INDEX(周转筐出入库明细!$M$4:$M$2004,$Z53-2000)),IF($Z53&lt;=5200,IF(INDEX(客户自备加工筐明细!$H$4:$H$1203,$Z53-4000)=0,"",INDEX(客户自备加工筐明细!$H$4:$H$1203,$Z53-4000)),IF($Z53&lt;=5800,IF(INDEX(次果筐明细!$H$4:$H$603,$Z53-5200)=0,"",INDEX(次果筐明细!$H$4:$H$603,$Z53-5200)),"")))))</f>
        <v>新A*G0554</v>
      </c>
      <c r="S53" s="22" t="str">
        <f t="shared" si="2"/>
        <v>公司筐</v>
      </c>
      <c r="Z53" s="10">
        <f>IFERROR(MATCH(ROW()-3,_自动清单!$CQ$4:$CQ$5803,0),"")</f>
        <v>2017</v>
      </c>
    </row>
    <row r="54" spans="1:26">
      <c r="A54" s="24">
        <f t="shared" si="0"/>
        <v>51</v>
      </c>
      <c r="B54" s="38">
        <f>IF($Z54="","",IF($Z54&lt;=2000,IF(INDEX(包装物料出入库明细!$B$4:$B$2003,$Z54-0)=0,"",INDEX(包装物料出入库明细!$B$4:$B$2003,$Z54-0)),IF($Z54&lt;=4000,IF(INDEX(周转筐出入库明细!$B$4:$B$2004,$Z54-2000)=0,"",INDEX(周转筐出入库明细!$B$4:$B$2004,$Z54-2000)),IF($Z54&lt;=5200,IF(INDEX(客户自备加工筐明细!$B$4:$B$1203,$Z54-4000)=0,"",INDEX(客户自备加工筐明细!$B$4:$B$1203,$Z54-4000)),IF($Z54&lt;=5800,IF(INDEX(次果筐明细!$B$4:$B$603,$Z54-5200)=0,"",INDEX(次果筐明细!$B$4:$B$603,$Z54-5200)),"")))))</f>
        <v>46268</v>
      </c>
      <c r="C54" s="37" t="str">
        <f>IF($Z54="","",IF($Z54&lt;=2000,IF(INDEX(包装物料出入库明细!$D$4:$D$2003,$Z54-0)=0,"",INDEX(包装物料出入库明细!$D$4:$D$2003,$Z54-0)),IF($Z54&lt;=4000,IF(INDEX(周转筐出入库明细!$C$4:$C$2004,$Z54-2000)=0,"",INDEX(周转筐出入库明细!$C$4:$C$2004,$Z54-2000)),IF($Z54&lt;=5200,IF(INDEX(客户自备加工筐明细!$E$4:$E$1203,$Z54-4000)=0,"",INDEX(客户自备加工筐明细!$E$4:$E$1203,$Z54-4000)),IF($Z54&lt;=5800,IF(INDEX(次果筐明细!$C$4:$C$603,$Z54-5200)=0,"",INDEX(次果筐明细!$C$4:$C$603,$Z54-5200)),"")))))</f>
        <v>热合曼</v>
      </c>
      <c r="D54" s="37" t="str">
        <f>IF($Z54="","",IF($Z54&lt;=2000,"包装物料－"&amp;INDEX(包装物料出入库明细!$H$4:$H$2003,$Z54-0),IF($Z54&lt;=4000,"周转筐－"&amp;INDEX(周转筐出入库明细!$F$4:$F$2004,$Z54-2000),IF($Z54&lt;=5200,"客户自备筐－"&amp;INDEX(客户自备加工筐明细!$J$4:$J$1203,$Z54-4000),IF($Z54&lt;=5800,"次果筐/托盘－"&amp;INDEX(次果筐明细!$F$4:$F$603,$Z54-5200),"")))))</f>
        <v>周转筐－领用出库</v>
      </c>
      <c r="E54" s="24" t="str">
        <f>IF($Z54="","",IF($Z54&lt;=2000,IF(INDEX(包装物料出入库明细!$C$4:$C$2003,$Z54-0)=0,"",INDEX(包装物料出入库明细!$C$4:$C$2003,$Z54-0)),IF($Z54&lt;=4000,IF(INDEX(周转筐出入库明细!$E$4:$E$2004,$Z54-2000)=0,"",INDEX(周转筐出入库明细!$E$4:$E$2004,$Z54-2000)),IF($Z54&lt;=5200,IF(INDEX(客户自备加工筐明细!$D$4:$D$1203,$Z54-4000)=0,"",INDEX(客户自备加工筐明细!$D$4:$D$1203,$Z54-4000)),IF($Z54&lt;=5800,IF(INDEX(次果筐明细!$E$4:$E$603,$Z54-5200)=0,"",INDEX(次果筐明细!$E$4:$E$603,$Z54-5200)),"")))))</f>
        <v>NO:0001069</v>
      </c>
      <c r="F54" s="24" t="str">
        <f>IF($Z54="","",IF($Z54&lt;=2000,IF(INDEX(包装物料出入库明细!$E$4:$E$2003,$Z54-0)=0,"",INDEX(包装物料出入库明细!$E$4:$E$2003,$Z54-0)),IF($Z54&lt;=4000,IF(INDEX(周转筐出入库明细!$D$4:$D$2004,$Z54-2000)=0,"",INDEX(周转筐出入库明细!$D$4:$D$2004,$Z54-2000)),IF($Z54&lt;=5200,IF(INDEX(客户自备加工筐明细!$C$4:$C$1203,$Z54-4000)=0,"",INDEX(客户自备加工筐明细!$C$4:$C$1203,$Z54-4000)),IF($Z54&lt;=5800,IF(INDEX(次果筐明细!$D$4:$D$603,$Z54-5200)=0,"",INDEX(次果筐明细!$D$4:$D$603,$Z54-5200)),"")))))</f>
        <v>公司红周转筐</v>
      </c>
      <c r="G54" s="24" t="str">
        <f>IF($Z54="","",IF($Z54&lt;=2000,IF(INDEX(包装物料出入库明细!$F$4:$F$2003,$Z54-0)=0,"",INDEX(包装物料出入库明细!$F$4:$F$2003,$Z54-0)),IF($Z54&lt;=4000,"",IF($Z54&lt;=5200,"",IF($Z54&lt;=5800,"","")))))</f>
        <v/>
      </c>
      <c r="H54" s="39">
        <f>IF($Z54="","",IF($Z54&lt;=2000,IF(INDEX(包装物料出入库明细!$L$4:$L$2003,$Z54-0)=0,"",INDEX(包装物料出入库明细!$L$4:$L$2003,$Z54-0)),IF($Z54&lt;=4000,N(INDEX(周转筐出入库明细!$H$4:$H$2004,$Z54-2000))+N(INDEX(周转筐出入库明细!$I$4:$I$2004,$Z54-2000))+N(INDEX(周转筐出入库明细!$J$4:$J$2004,$Z54-2000))+N(INDEX(周转筐出入库明细!$K$4:$K$2004,$Z54-2000)),IF($Z54&lt;=5200,N(INDEX(客户自备加工筐明细!$F$4:$F$1203,$Z54-4000))+N(INDEX(客户自备加工筐明细!$G$4:$G$1203,$Z54-4000)),IF($Z54&lt;=5800,IF(INDEX(次果筐明细!$G$4:$G$603,$Z54-5200)=0,"",INDEX(次果筐明细!$G$4:$G$603,$Z54-5200)),"")))))</f>
        <v>846</v>
      </c>
      <c r="I54" s="24" t="str">
        <f>IF($Z54="","",IF($Z54&lt;=2000,IF(INDEX(包装物料出入库明细!$G$4:$G$2003,$Z54-0)=0,"",INDEX(包装物料出入库明细!$G$4:$G$2003,$Z54-0)),IF($Z54&lt;=4000,"个",IF($Z54&lt;=5200,"个",IF($Z54&lt;=5800,"个","")))))</f>
        <v>个</v>
      </c>
      <c r="J54" s="30" t="str">
        <f t="shared" si="1"/>
        <v/>
      </c>
      <c r="K54" s="30" t="str">
        <f>IF($Z54="","",IF($Z54&lt;=2000,IF(INDEX(包装物料出入库明细!$N$4:$N$2003,$Z54-0)=0,"",INDEX(包装物料出入库明细!$N$4:$N$2003,$Z54-0)),IF($Z54&lt;=4000,IF(INDEX(周转筐出入库明细!$P$4:$P$2004,$Z54-2000)=0,"",INDEX(周转筐出入库明细!$P$4:$P$2004,$Z54-2000)),IF($Z54&lt;=5200,"",IF($Z54&lt;=5800,N(INDEX(次果筐明细!$L$4:$L$603,$Z54-5200))+N(INDEX(次果筐明细!$J$4:$J$603,$Z54-5200)),"")))))</f>
        <v/>
      </c>
      <c r="L54" s="24" t="str">
        <f>IF($Z54="","",IF($Z54&lt;=2000,IF(INDEX(包装物料出入库明细!$P$4:$P$2003,$Z54-0)=0,"",INDEX(包装物料出入库明细!$P$4:$P$2003,$Z54-0)),IF($Z54&lt;=4000,IF(INDEX(周转筐出入库明细!$Q$4:$Q$2004,$Z54-2000)=0,"",INDEX(周转筐出入库明细!$Q$4:$Q$2004,$Z54-2000)),IF($Z54&lt;=5200,"",IF($Z54&lt;=5800,IF(INDEX(次果筐明细!$M$4:$M$603,$Z54-5200)=0,"",INDEX(次果筐明细!$M$4:$M$603,$Z54-5200)),"")))))</f>
        <v/>
      </c>
      <c r="M54" s="37" t="str">
        <f>IF($Z54="","",IF($Z54&lt;=2000,IF(INDEX(包装物料出入库明细!$R$4:$R$2003,$Z54-0)=0,"",INDEX(包装物料出入库明细!$R$4:$R$2003,$Z54-0)),IF($Z54&lt;=4000,IF(INDEX(周转筐出入库明细!$W$4:$W$2004,$Z54-2000)=0,"",INDEX(周转筐出入库明细!$W$4:$W$2004,$Z54-2000)),IF($Z54&lt;=5200,IF(INDEX(客户自备加工筐明细!$L$4:$L$1203,$Z54-4000)=0,"",INDEX(客户自备加工筐明细!$L$4:$L$1203,$Z54-4000)),IF($Z54&lt;=5800,IF(INDEX(次果筐明细!$P$4:$P$603,$Z54-5200)=0,"",INDEX(次果筐明细!$P$4:$P$603,$Z54-5200)),"")))))</f>
        <v/>
      </c>
      <c r="N54" s="16" t="str">
        <f>IF($Z54="","",IF($Z54&lt;=2000,"",IF($Z54&lt;=4000,IF(INDEX(周转筐出入库明细!$D$4:$D$2004,$Z54-2000)=0,"",INDEX(周转筐出入库明细!$D$4:$D$2004,$Z54-2000)),IF($Z54&lt;=5200,IF(INDEX(客户自备加工筐明细!$C$4:$C$1203,$Z54-4000)=0,"",INDEX(客户自备加工筐明细!$C$4:$C$1203,$Z54-4000)),IF($Z54&lt;=5800,IF(INDEX(次果筐明细!$D$4:$D$603,$Z54-5200)=0,"",INDEX(次果筐明细!$D$4:$D$603,$Z54-5200)),"")))))</f>
        <v>公司红周转筐</v>
      </c>
      <c r="O54" s="40">
        <f>IF($Z54="","",IF($Z54&lt;=2000,"",IF($Z54&lt;=4000,IF(N(INDEX(周转筐出入库明细!$J$4:$J$2004,$Z54-2000))+N(INDEX(周转筐出入库明细!$K$4:$K$2004,$Z54-2000))=0,"",N(INDEX(周转筐出入库明细!$J$4:$J$2004,$Z54-2000))+N(INDEX(周转筐出入库明细!$K$4:$K$2004,$Z54-2000))),IF($Z54&lt;=5200,IF(N(INDEX(客户自备加工筐明细!$G$4:$G$1203,$Z54-4000))=0,"",N(INDEX(客户自备加工筐明细!$G$4:$G$1203,$Z54-4000))),IF($Z54&lt;=5800,IF(ISNUMBER(SEARCH("退",INDEX(次果筐明细!$F$4:$F$603,$Z54-5200)&amp;"")),"",IF(N(INDEX(次果筐明细!$G$4:$G$603,$Z54-5200))=0,"",N(INDEX(次果筐明细!$G$4:$G$603,$Z54-5200)))),"")))))</f>
        <v>846</v>
      </c>
      <c r="P54" s="40" t="str">
        <f>IF($Z54="","",IF($Z54&lt;=2000,"",IF($Z54&lt;=4000,IF(N(INDEX(周转筐出入库明细!$I$4:$I$2004,$Z54-2000))=0,"",N(INDEX(周转筐出入库明细!$I$4:$I$2004,$Z54-2000))),IF($Z54&lt;=5200,"",IF($Z54&lt;=5800,IF(ISNUMBER(SEARCH("退",INDEX(次果筐明细!$F$4:$F$603,$Z54-5200)&amp;"")),IF(N(INDEX(次果筐明细!$G$4:$G$603,$Z54-5200))=0,"",N(INDEX(次果筐明细!$G$4:$G$603,$Z54-5200))),""),"")))))</f>
        <v/>
      </c>
      <c r="Q54" s="40" t="str">
        <f>IF($Z54="","",IF($Z54&lt;=2000,"",IF($Z54&lt;=4000,IF(N(INDEX(周转筐出入库明细!$H$4:$H$2004,$Z54-2000))=0,"",N(INDEX(周转筐出入库明细!$H$4:$H$2004,$Z54-2000))),IF($Z54&lt;=5200,IF(N(INDEX(客户自备加工筐明细!$F$4:$F$1203,$Z54-4000))=0,"",N(INDEX(客户自备加工筐明细!$F$4:$F$1203,$Z54-4000))),IF($Z54&lt;=5800,"","")))))</f>
        <v/>
      </c>
      <c r="R54" s="16" t="str">
        <f>IF($Z54="","",IF($Z54&lt;=2000,IF(INDEX(包装物料出入库明细!$O$4:$O$2003,$Z54-0)=0,"",INDEX(包装物料出入库明细!$O$4:$O$2003,$Z54-0)),IF($Z54&lt;=4000,IF(INDEX(周转筐出入库明细!$M$4:$M$2004,$Z54-2000)=0,"",INDEX(周转筐出入库明细!$M$4:$M$2004,$Z54-2000)),IF($Z54&lt;=5200,IF(INDEX(客户自备加工筐明细!$H$4:$H$1203,$Z54-4000)=0,"",INDEX(客户自备加工筐明细!$H$4:$H$1203,$Z54-4000)),IF($Z54&lt;=5800,IF(INDEX(次果筐明细!$H$4:$H$603,$Z54-5200)=0,"",INDEX(次果筐明细!$H$4:$H$603,$Z54-5200)),"")))))</f>
        <v>新A*G0554</v>
      </c>
      <c r="S54" s="22" t="str">
        <f t="shared" si="2"/>
        <v>公司筐</v>
      </c>
      <c r="Z54" s="10">
        <f>IFERROR(MATCH(ROW()-3,_自动清单!$CQ$4:$CQ$5803,0),"")</f>
        <v>2018</v>
      </c>
    </row>
    <row r="55" spans="1:26">
      <c r="A55" s="24">
        <f t="shared" si="0"/>
        <v>52</v>
      </c>
      <c r="B55" s="38">
        <f>IF($Z55="","",IF($Z55&lt;=2000,IF(INDEX(包装物料出入库明细!$B$4:$B$2003,$Z55-0)=0,"",INDEX(包装物料出入库明细!$B$4:$B$2003,$Z55-0)),IF($Z55&lt;=4000,IF(INDEX(周转筐出入库明细!$B$4:$B$2004,$Z55-2000)=0,"",INDEX(周转筐出入库明细!$B$4:$B$2004,$Z55-2000)),IF($Z55&lt;=5200,IF(INDEX(客户自备加工筐明细!$B$4:$B$1203,$Z55-4000)=0,"",INDEX(客户自备加工筐明细!$B$4:$B$1203,$Z55-4000)),IF($Z55&lt;=5800,IF(INDEX(次果筐明细!$B$4:$B$603,$Z55-5200)=0,"",INDEX(次果筐明细!$B$4:$B$603,$Z55-5200)),"")))))</f>
        <v>46268</v>
      </c>
      <c r="C55" s="37" t="str">
        <f>IF($Z55="","",IF($Z55&lt;=2000,IF(INDEX(包装物料出入库明细!$D$4:$D$2003,$Z55-0)=0,"",INDEX(包装物料出入库明细!$D$4:$D$2003,$Z55-0)),IF($Z55&lt;=4000,IF(INDEX(周转筐出入库明细!$C$4:$C$2004,$Z55-2000)=0,"",INDEX(周转筐出入库明细!$C$4:$C$2004,$Z55-2000)),IF($Z55&lt;=5200,IF(INDEX(客户自备加工筐明细!$E$4:$E$1203,$Z55-4000)=0,"",INDEX(客户自备加工筐明细!$E$4:$E$1203,$Z55-4000)),IF($Z55&lt;=5800,IF(INDEX(次果筐明细!$C$4:$C$603,$Z55-5200)=0,"",INDEX(次果筐明细!$C$4:$C$603,$Z55-5200)),"")))))</f>
        <v>全修塑业</v>
      </c>
      <c r="D55" s="37" t="str">
        <f>IF($Z55="","",IF($Z55&lt;=2000,"包装物料－"&amp;INDEX(包装物料出入库明细!$H$4:$H$2003,$Z55-0),IF($Z55&lt;=4000,"周转筐－"&amp;INDEX(周转筐出入库明细!$F$4:$F$2004,$Z55-2000),IF($Z55&lt;=5200,"客户自备筐－"&amp;INDEX(客户自备加工筐明细!$J$4:$J$1203,$Z55-4000),IF($Z55&lt;=5800,"次果筐/托盘－"&amp;INDEX(次果筐明细!$F$4:$F$603,$Z55-5200),"")))))</f>
        <v>周转筐－采购入库</v>
      </c>
      <c r="E55" s="24" t="str">
        <f>IF($Z55="","",IF($Z55&lt;=2000,IF(INDEX(包装物料出入库明细!$C$4:$C$2003,$Z55-0)=0,"",INDEX(包装物料出入库明细!$C$4:$C$2003,$Z55-0)),IF($Z55&lt;=4000,IF(INDEX(周转筐出入库明细!$E$4:$E$2004,$Z55-2000)=0,"",INDEX(周转筐出入库明细!$E$4:$E$2004,$Z55-2000)),IF($Z55&lt;=5200,IF(INDEX(客户自备加工筐明细!$D$4:$D$1203,$Z55-4000)=0,"",INDEX(客户自备加工筐明细!$D$4:$D$1203,$Z55-4000)),IF($Z55&lt;=5800,IF(INDEX(次果筐明细!$E$4:$E$603,$Z55-5200)=0,"",INDEX(次果筐明细!$E$4:$E$603,$Z55-5200)),"")))))</f>
        <v>NO:0000747</v>
      </c>
      <c r="F55" s="24" t="str">
        <f>IF($Z55="","",IF($Z55&lt;=2000,IF(INDEX(包装物料出入库明细!$E$4:$E$2003,$Z55-0)=0,"",INDEX(包装物料出入库明细!$E$4:$E$2003,$Z55-0)),IF($Z55&lt;=4000,IF(INDEX(周转筐出入库明细!$D$4:$D$2004,$Z55-2000)=0,"",INDEX(周转筐出入库明细!$D$4:$D$2004,$Z55-2000)),IF($Z55&lt;=5200,IF(INDEX(客户自备加工筐明细!$C$4:$C$1203,$Z55-4000)=0,"",INDEX(客户自备加工筐明细!$C$4:$C$1203,$Z55-4000)),IF($Z55&lt;=5800,IF(INDEX(次果筐明细!$D$4:$D$603,$Z55-5200)=0,"",INDEX(次果筐明细!$D$4:$D$603,$Z55-5200)),"")))))</f>
        <v>公司红周转筐</v>
      </c>
      <c r="G55" s="24" t="str">
        <f>IF($Z55="","",IF($Z55&lt;=2000,IF(INDEX(包装物料出入库明细!$F$4:$F$2003,$Z55-0)=0,"",INDEX(包装物料出入库明细!$F$4:$F$2003,$Z55-0)),IF($Z55&lt;=4000,"",IF($Z55&lt;=5200,"",IF($Z55&lt;=5800,"","")))))</f>
        <v/>
      </c>
      <c r="H55" s="39">
        <f>IF($Z55="","",IF($Z55&lt;=2000,IF(INDEX(包装物料出入库明细!$L$4:$L$2003,$Z55-0)=0,"",INDEX(包装物料出入库明细!$L$4:$L$2003,$Z55-0)),IF($Z55&lt;=4000,N(INDEX(周转筐出入库明细!$H$4:$H$2004,$Z55-2000))+N(INDEX(周转筐出入库明细!$I$4:$I$2004,$Z55-2000))+N(INDEX(周转筐出入库明细!$J$4:$J$2004,$Z55-2000))+N(INDEX(周转筐出入库明细!$K$4:$K$2004,$Z55-2000)),IF($Z55&lt;=5200,N(INDEX(客户自备加工筐明细!$F$4:$F$1203,$Z55-4000))+N(INDEX(客户自备加工筐明细!$G$4:$G$1203,$Z55-4000)),IF($Z55&lt;=5800,IF(INDEX(次果筐明细!$G$4:$G$603,$Z55-5200)=0,"",INDEX(次果筐明细!$G$4:$G$603,$Z55-5200)),"")))))</f>
        <v>960</v>
      </c>
      <c r="I55" s="24" t="str">
        <f>IF($Z55="","",IF($Z55&lt;=2000,IF(INDEX(包装物料出入库明细!$G$4:$G$2003,$Z55-0)=0,"",INDEX(包装物料出入库明细!$G$4:$G$2003,$Z55-0)),IF($Z55&lt;=4000,"个",IF($Z55&lt;=5200,"个",IF($Z55&lt;=5800,"个","")))))</f>
        <v>个</v>
      </c>
      <c r="J55" s="30" t="str">
        <f t="shared" si="1"/>
        <v/>
      </c>
      <c r="K55" s="30">
        <f>IF($Z55="","",IF($Z55&lt;=2000,IF(INDEX(包装物料出入库明细!$N$4:$N$2003,$Z55-0)=0,"",INDEX(包装物料出入库明细!$N$4:$N$2003,$Z55-0)),IF($Z55&lt;=4000,IF(INDEX(周转筐出入库明细!$P$4:$P$2004,$Z55-2000)=0,"",INDEX(周转筐出入库明细!$P$4:$P$2004,$Z55-2000)),IF($Z55&lt;=5200,"",IF($Z55&lt;=5800,N(INDEX(次果筐明细!$L$4:$L$603,$Z55-5200))+N(INDEX(次果筐明细!$J$4:$J$603,$Z55-5200)),"")))))</f>
        <v>9600</v>
      </c>
      <c r="L55" s="24" t="str">
        <f>IF($Z55="","",IF($Z55&lt;=2000,IF(INDEX(包装物料出入库明细!$P$4:$P$2003,$Z55-0)=0,"",INDEX(包装物料出入库明细!$P$4:$P$2003,$Z55-0)),IF($Z55&lt;=4000,IF(INDEX(周转筐出入库明细!$Q$4:$Q$2004,$Z55-2000)=0,"",INDEX(周转筐出入库明细!$Q$4:$Q$2004,$Z55-2000)),IF($Z55&lt;=5200,"",IF($Z55&lt;=5800,IF(INDEX(次果筐明细!$M$4:$M$603,$Z55-5200)=0,"",INDEX(次果筐明细!$M$4:$M$603,$Z55-5200)),"")))))</f>
        <v>未付款</v>
      </c>
      <c r="M55" s="37" t="str">
        <f>IF($Z55="","",IF($Z55&lt;=2000,IF(INDEX(包装物料出入库明细!$R$4:$R$2003,$Z55-0)=0,"",INDEX(包装物料出入库明细!$R$4:$R$2003,$Z55-0)),IF($Z55&lt;=4000,IF(INDEX(周转筐出入库明细!$W$4:$W$2004,$Z55-2000)=0,"",INDEX(周转筐出入库明细!$W$4:$W$2004,$Z55-2000)),IF($Z55&lt;=5200,IF(INDEX(客户自备加工筐明细!$L$4:$L$1203,$Z55-4000)=0,"",INDEX(客户自备加工筐明细!$L$4:$L$1203,$Z55-4000)),IF($Z55&lt;=5800,IF(INDEX(次果筐明细!$P$4:$P$603,$Z55-5200)=0,"",INDEX(次果筐明细!$P$4:$P$603,$Z55-5200)),"")))))</f>
        <v>NO:2745243</v>
      </c>
      <c r="N55" s="16" t="str">
        <f>IF($Z55="","",IF($Z55&lt;=2000,"",IF($Z55&lt;=4000,IF(INDEX(周转筐出入库明细!$D$4:$D$2004,$Z55-2000)=0,"",INDEX(周转筐出入库明细!$D$4:$D$2004,$Z55-2000)),IF($Z55&lt;=5200,IF(INDEX(客户自备加工筐明细!$C$4:$C$1203,$Z55-4000)=0,"",INDEX(客户自备加工筐明细!$C$4:$C$1203,$Z55-4000)),IF($Z55&lt;=5800,IF(INDEX(次果筐明细!$D$4:$D$603,$Z55-5200)=0,"",INDEX(次果筐明细!$D$4:$D$603,$Z55-5200)),"")))))</f>
        <v>公司红周转筐</v>
      </c>
      <c r="O55" s="40" t="str">
        <f>IF($Z55="","",IF($Z55&lt;=2000,"",IF($Z55&lt;=4000,IF(N(INDEX(周转筐出入库明细!$J$4:$J$2004,$Z55-2000))+N(INDEX(周转筐出入库明细!$K$4:$K$2004,$Z55-2000))=0,"",N(INDEX(周转筐出入库明细!$J$4:$J$2004,$Z55-2000))+N(INDEX(周转筐出入库明细!$K$4:$K$2004,$Z55-2000))),IF($Z55&lt;=5200,IF(N(INDEX(客户自备加工筐明细!$G$4:$G$1203,$Z55-4000))=0,"",N(INDEX(客户自备加工筐明细!$G$4:$G$1203,$Z55-4000))),IF($Z55&lt;=5800,IF(ISNUMBER(SEARCH("退",INDEX(次果筐明细!$F$4:$F$603,$Z55-5200)&amp;"")),"",IF(N(INDEX(次果筐明细!$G$4:$G$603,$Z55-5200))=0,"",N(INDEX(次果筐明细!$G$4:$G$603,$Z55-5200)))),"")))))</f>
        <v/>
      </c>
      <c r="P55" s="40" t="str">
        <f>IF($Z55="","",IF($Z55&lt;=2000,"",IF($Z55&lt;=4000,IF(N(INDEX(周转筐出入库明细!$I$4:$I$2004,$Z55-2000))=0,"",N(INDEX(周转筐出入库明细!$I$4:$I$2004,$Z55-2000))),IF($Z55&lt;=5200,"",IF($Z55&lt;=5800,IF(ISNUMBER(SEARCH("退",INDEX(次果筐明细!$F$4:$F$603,$Z55-5200)&amp;"")),IF(N(INDEX(次果筐明细!$G$4:$G$603,$Z55-5200))=0,"",N(INDEX(次果筐明细!$G$4:$G$603,$Z55-5200))),""),"")))))</f>
        <v/>
      </c>
      <c r="Q55" s="40">
        <f>IF($Z55="","",IF($Z55&lt;=2000,"",IF($Z55&lt;=4000,IF(N(INDEX(周转筐出入库明细!$H$4:$H$2004,$Z55-2000))=0,"",N(INDEX(周转筐出入库明细!$H$4:$H$2004,$Z55-2000))),IF($Z55&lt;=5200,IF(N(INDEX(客户自备加工筐明细!$F$4:$F$1203,$Z55-4000))=0,"",N(INDEX(客户自备加工筐明细!$F$4:$F$1203,$Z55-4000))),IF($Z55&lt;=5800,"","")))))</f>
        <v>960</v>
      </c>
      <c r="R55" s="16" t="str">
        <f>IF($Z55="","",IF($Z55&lt;=2000,IF(INDEX(包装物料出入库明细!$O$4:$O$2003,$Z55-0)=0,"",INDEX(包装物料出入库明细!$O$4:$O$2003,$Z55-0)),IF($Z55&lt;=4000,IF(INDEX(周转筐出入库明细!$M$4:$M$2004,$Z55-2000)=0,"",INDEX(周转筐出入库明细!$M$4:$M$2004,$Z55-2000)),IF($Z55&lt;=5200,IF(INDEX(客户自备加工筐明细!$H$4:$H$1203,$Z55-4000)=0,"",INDEX(客户自备加工筐明细!$H$4:$H$1203,$Z55-4000)),IF($Z55&lt;=5800,IF(INDEX(次果筐明细!$H$4:$H$603,$Z55-5200)=0,"",INDEX(次果筐明细!$H$4:$H$603,$Z55-5200)),"")))))</f>
        <v>新N*49209</v>
      </c>
      <c r="S55" s="22" t="str">
        <f t="shared" si="2"/>
        <v>公司筐</v>
      </c>
      <c r="Z55" s="10">
        <f>IFERROR(MATCH(ROW()-3,_自动清单!$CQ$4:$CQ$5803,0),"")</f>
        <v>2019</v>
      </c>
    </row>
    <row r="56" spans="1:26">
      <c r="A56" s="24">
        <f t="shared" si="0"/>
        <v>53</v>
      </c>
      <c r="B56" s="38">
        <f>IF($Z56="","",IF($Z56&lt;=2000,IF(INDEX(包装物料出入库明细!$B$4:$B$2003,$Z56-0)=0,"",INDEX(包装物料出入库明细!$B$4:$B$2003,$Z56-0)),IF($Z56&lt;=4000,IF(INDEX(周转筐出入库明细!$B$4:$B$2004,$Z56-2000)=0,"",INDEX(周转筐出入库明细!$B$4:$B$2004,$Z56-2000)),IF($Z56&lt;=5200,IF(INDEX(客户自备加工筐明细!$B$4:$B$1203,$Z56-4000)=0,"",INDEX(客户自备加工筐明细!$B$4:$B$1203,$Z56-4000)),IF($Z56&lt;=5800,IF(INDEX(次果筐明细!$B$4:$B$603,$Z56-5200)=0,"",INDEX(次果筐明细!$B$4:$B$603,$Z56-5200)),"")))))</f>
        <v>46268</v>
      </c>
      <c r="C56" s="37" t="str">
        <f>IF($Z56="","",IF($Z56&lt;=2000,IF(INDEX(包装物料出入库明细!$D$4:$D$2003,$Z56-0)=0,"",INDEX(包装物料出入库明细!$D$4:$D$2003,$Z56-0)),IF($Z56&lt;=4000,IF(INDEX(周转筐出入库明细!$C$4:$C$2004,$Z56-2000)=0,"",INDEX(周转筐出入库明细!$C$4:$C$2004,$Z56-2000)),IF($Z56&lt;=5200,IF(INDEX(客户自备加工筐明细!$E$4:$E$1203,$Z56-4000)=0,"",INDEX(客户自备加工筐明细!$E$4:$E$1203,$Z56-4000)),IF($Z56&lt;=5800,IF(INDEX(次果筐明细!$C$4:$C$603,$Z56-5200)=0,"",INDEX(次果筐明细!$C$4:$C$603,$Z56-5200)),"")))))</f>
        <v>王灵云</v>
      </c>
      <c r="D56" s="37" t="str">
        <f>IF($Z56="","",IF($Z56&lt;=2000,"包装物料－"&amp;INDEX(包装物料出入库明细!$H$4:$H$2003,$Z56-0),IF($Z56&lt;=4000,"周转筐－"&amp;INDEX(周转筐出入库明细!$F$4:$F$2004,$Z56-2000),IF($Z56&lt;=5200,"客户自备筐－"&amp;INDEX(客户自备加工筐明细!$J$4:$J$1203,$Z56-4000),IF($Z56&lt;=5800,"次果筐/托盘－"&amp;INDEX(次果筐明细!$F$4:$F$603,$Z56-5200),"")))))</f>
        <v>周转筐－领用出库</v>
      </c>
      <c r="E56" s="24" t="str">
        <f>IF($Z56="","",IF($Z56&lt;=2000,IF(INDEX(包装物料出入库明细!$C$4:$C$2003,$Z56-0)=0,"",INDEX(包装物料出入库明细!$C$4:$C$2003,$Z56-0)),IF($Z56&lt;=4000,IF(INDEX(周转筐出入库明细!$E$4:$E$2004,$Z56-2000)=0,"",INDEX(周转筐出入库明细!$E$4:$E$2004,$Z56-2000)),IF($Z56&lt;=5200,IF(INDEX(客户自备加工筐明细!$D$4:$D$1203,$Z56-4000)=0,"",INDEX(客户自备加工筐明细!$D$4:$D$1203,$Z56-4000)),IF($Z56&lt;=5800,IF(INDEX(次果筐明细!$E$4:$E$603,$Z56-5200)=0,"",INDEX(次果筐明细!$E$4:$E$603,$Z56-5200)),"")))))</f>
        <v>NO:0001072</v>
      </c>
      <c r="F56" s="24" t="str">
        <f>IF($Z56="","",IF($Z56&lt;=2000,IF(INDEX(包装物料出入库明细!$E$4:$E$2003,$Z56-0)=0,"",INDEX(包装物料出入库明细!$E$4:$E$2003,$Z56-0)),IF($Z56&lt;=4000,IF(INDEX(周转筐出入库明细!$D$4:$D$2004,$Z56-2000)=0,"",INDEX(周转筐出入库明细!$D$4:$D$2004,$Z56-2000)),IF($Z56&lt;=5200,IF(INDEX(客户自备加工筐明细!$C$4:$C$1203,$Z56-4000)=0,"",INDEX(客户自备加工筐明细!$C$4:$C$1203,$Z56-4000)),IF($Z56&lt;=5800,IF(INDEX(次果筐明细!$D$4:$D$603,$Z56-5200)=0,"",INDEX(次果筐明细!$D$4:$D$603,$Z56-5200)),"")))))</f>
        <v>公司红周转筐</v>
      </c>
      <c r="G56" s="24" t="str">
        <f>IF($Z56="","",IF($Z56&lt;=2000,IF(INDEX(包装物料出入库明细!$F$4:$F$2003,$Z56-0)=0,"",INDEX(包装物料出入库明细!$F$4:$F$2003,$Z56-0)),IF($Z56&lt;=4000,"",IF($Z56&lt;=5200,"",IF($Z56&lt;=5800,"","")))))</f>
        <v/>
      </c>
      <c r="H56" s="39">
        <f>IF($Z56="","",IF($Z56&lt;=2000,IF(INDEX(包装物料出入库明细!$L$4:$L$2003,$Z56-0)=0,"",INDEX(包装物料出入库明细!$L$4:$L$2003,$Z56-0)),IF($Z56&lt;=4000,N(INDEX(周转筐出入库明细!$H$4:$H$2004,$Z56-2000))+N(INDEX(周转筐出入库明细!$I$4:$I$2004,$Z56-2000))+N(INDEX(周转筐出入库明细!$J$4:$J$2004,$Z56-2000))+N(INDEX(周转筐出入库明细!$K$4:$K$2004,$Z56-2000)),IF($Z56&lt;=5200,N(INDEX(客户自备加工筐明细!$F$4:$F$1203,$Z56-4000))+N(INDEX(客户自备加工筐明细!$G$4:$G$1203,$Z56-4000)),IF($Z56&lt;=5800,IF(INDEX(次果筐明细!$G$4:$G$603,$Z56-5200)=0,"",INDEX(次果筐明细!$G$4:$G$603,$Z56-5200)),"")))))</f>
        <v>960</v>
      </c>
      <c r="I56" s="24" t="str">
        <f>IF($Z56="","",IF($Z56&lt;=2000,IF(INDEX(包装物料出入库明细!$G$4:$G$2003,$Z56-0)=0,"",INDEX(包装物料出入库明细!$G$4:$G$2003,$Z56-0)),IF($Z56&lt;=4000,"个",IF($Z56&lt;=5200,"个",IF($Z56&lt;=5800,"个","")))))</f>
        <v>个</v>
      </c>
      <c r="J56" s="30" t="str">
        <f t="shared" si="1"/>
        <v/>
      </c>
      <c r="K56" s="30" t="str">
        <f>IF($Z56="","",IF($Z56&lt;=2000,IF(INDEX(包装物料出入库明细!$N$4:$N$2003,$Z56-0)=0,"",INDEX(包装物料出入库明细!$N$4:$N$2003,$Z56-0)),IF($Z56&lt;=4000,IF(INDEX(周转筐出入库明细!$P$4:$P$2004,$Z56-2000)=0,"",INDEX(周转筐出入库明细!$P$4:$P$2004,$Z56-2000)),IF($Z56&lt;=5200,"",IF($Z56&lt;=5800,N(INDEX(次果筐明细!$L$4:$L$603,$Z56-5200))+N(INDEX(次果筐明细!$J$4:$J$603,$Z56-5200)),"")))))</f>
        <v/>
      </c>
      <c r="L56" s="24" t="str">
        <f>IF($Z56="","",IF($Z56&lt;=2000,IF(INDEX(包装物料出入库明细!$P$4:$P$2003,$Z56-0)=0,"",INDEX(包装物料出入库明细!$P$4:$P$2003,$Z56-0)),IF($Z56&lt;=4000,IF(INDEX(周转筐出入库明细!$Q$4:$Q$2004,$Z56-2000)=0,"",INDEX(周转筐出入库明细!$Q$4:$Q$2004,$Z56-2000)),IF($Z56&lt;=5200,"",IF($Z56&lt;=5800,IF(INDEX(次果筐明细!$M$4:$M$603,$Z56-5200)=0,"",INDEX(次果筐明细!$M$4:$M$603,$Z56-5200)),"")))))</f>
        <v/>
      </c>
      <c r="M56" s="37" t="str">
        <f>IF($Z56="","",IF($Z56&lt;=2000,IF(INDEX(包装物料出入库明细!$R$4:$R$2003,$Z56-0)=0,"",INDEX(包装物料出入库明细!$R$4:$R$2003,$Z56-0)),IF($Z56&lt;=4000,IF(INDEX(周转筐出入库明细!$W$4:$W$2004,$Z56-2000)=0,"",INDEX(周转筐出入库明细!$W$4:$W$2004,$Z56-2000)),IF($Z56&lt;=5200,IF(INDEX(客户自备加工筐明细!$L$4:$L$1203,$Z56-4000)=0,"",INDEX(客户自备加工筐明细!$L$4:$L$1203,$Z56-4000)),IF($Z56&lt;=5800,IF(INDEX(次果筐明细!$P$4:$P$603,$Z56-5200)=0,"",INDEX(次果筐明细!$P$4:$P$603,$Z56-5200)),"")))))</f>
        <v/>
      </c>
      <c r="N56" s="16" t="str">
        <f>IF($Z56="","",IF($Z56&lt;=2000,"",IF($Z56&lt;=4000,IF(INDEX(周转筐出入库明细!$D$4:$D$2004,$Z56-2000)=0,"",INDEX(周转筐出入库明细!$D$4:$D$2004,$Z56-2000)),IF($Z56&lt;=5200,IF(INDEX(客户自备加工筐明细!$C$4:$C$1203,$Z56-4000)=0,"",INDEX(客户自备加工筐明细!$C$4:$C$1203,$Z56-4000)),IF($Z56&lt;=5800,IF(INDEX(次果筐明细!$D$4:$D$603,$Z56-5200)=0,"",INDEX(次果筐明细!$D$4:$D$603,$Z56-5200)),"")))))</f>
        <v>公司红周转筐</v>
      </c>
      <c r="O56" s="40">
        <f>IF($Z56="","",IF($Z56&lt;=2000,"",IF($Z56&lt;=4000,IF(N(INDEX(周转筐出入库明细!$J$4:$J$2004,$Z56-2000))+N(INDEX(周转筐出入库明细!$K$4:$K$2004,$Z56-2000))=0,"",N(INDEX(周转筐出入库明细!$J$4:$J$2004,$Z56-2000))+N(INDEX(周转筐出入库明细!$K$4:$K$2004,$Z56-2000))),IF($Z56&lt;=5200,IF(N(INDEX(客户自备加工筐明细!$G$4:$G$1203,$Z56-4000))=0,"",N(INDEX(客户自备加工筐明细!$G$4:$G$1203,$Z56-4000))),IF($Z56&lt;=5800,IF(ISNUMBER(SEARCH("退",INDEX(次果筐明细!$F$4:$F$603,$Z56-5200)&amp;"")),"",IF(N(INDEX(次果筐明细!$G$4:$G$603,$Z56-5200))=0,"",N(INDEX(次果筐明细!$G$4:$G$603,$Z56-5200)))),"")))))</f>
        <v>960</v>
      </c>
      <c r="P56" s="40" t="str">
        <f>IF($Z56="","",IF($Z56&lt;=2000,"",IF($Z56&lt;=4000,IF(N(INDEX(周转筐出入库明细!$I$4:$I$2004,$Z56-2000))=0,"",N(INDEX(周转筐出入库明细!$I$4:$I$2004,$Z56-2000))),IF($Z56&lt;=5200,"",IF($Z56&lt;=5800,IF(ISNUMBER(SEARCH("退",INDEX(次果筐明细!$F$4:$F$603,$Z56-5200)&amp;"")),IF(N(INDEX(次果筐明细!$G$4:$G$603,$Z56-5200))=0,"",N(INDEX(次果筐明细!$G$4:$G$603,$Z56-5200))),""),"")))))</f>
        <v/>
      </c>
      <c r="Q56" s="40" t="str">
        <f>IF($Z56="","",IF($Z56&lt;=2000,"",IF($Z56&lt;=4000,IF(N(INDEX(周转筐出入库明细!$H$4:$H$2004,$Z56-2000))=0,"",N(INDEX(周转筐出入库明细!$H$4:$H$2004,$Z56-2000))),IF($Z56&lt;=5200,IF(N(INDEX(客户自备加工筐明细!$F$4:$F$1203,$Z56-4000))=0,"",N(INDEX(客户自备加工筐明细!$F$4:$F$1203,$Z56-4000))),IF($Z56&lt;=5800,"","")))))</f>
        <v/>
      </c>
      <c r="R56" s="16" t="str">
        <f>IF($Z56="","",IF($Z56&lt;=2000,IF(INDEX(包装物料出入库明细!$O$4:$O$2003,$Z56-0)=0,"",INDEX(包装物料出入库明细!$O$4:$O$2003,$Z56-0)),IF($Z56&lt;=4000,IF(INDEX(周转筐出入库明细!$M$4:$M$2004,$Z56-2000)=0,"",INDEX(周转筐出入库明细!$M$4:$M$2004,$Z56-2000)),IF($Z56&lt;=5200,IF(INDEX(客户自备加工筐明细!$H$4:$H$1203,$Z56-4000)=0,"",INDEX(客户自备加工筐明细!$H$4:$H$1203,$Z56-4000)),IF($Z56&lt;=5800,IF(INDEX(次果筐明细!$H$4:$H$603,$Z56-5200)=0,"",INDEX(次果筐明细!$H$4:$H$603,$Z56-5200)),"")))))</f>
        <v>新N*49209</v>
      </c>
      <c r="S56" s="22" t="str">
        <f t="shared" si="2"/>
        <v>公司筐</v>
      </c>
      <c r="Z56" s="10">
        <f>IFERROR(MATCH(ROW()-3,_自动清单!$CQ$4:$CQ$5803,0),"")</f>
        <v>2020</v>
      </c>
    </row>
    <row r="57" spans="1:26">
      <c r="A57" s="24">
        <f t="shared" si="0"/>
        <v>54</v>
      </c>
      <c r="B57" s="38">
        <f>IF($Z57="","",IF($Z57&lt;=2000,IF(INDEX(包装物料出入库明细!$B$4:$B$2003,$Z57-0)=0,"",INDEX(包装物料出入库明细!$B$4:$B$2003,$Z57-0)),IF($Z57&lt;=4000,IF(INDEX(周转筐出入库明细!$B$4:$B$2004,$Z57-2000)=0,"",INDEX(周转筐出入库明细!$B$4:$B$2004,$Z57-2000)),IF($Z57&lt;=5200,IF(INDEX(客户自备加工筐明细!$B$4:$B$1203,$Z57-4000)=0,"",INDEX(客户自备加工筐明细!$B$4:$B$1203,$Z57-4000)),IF($Z57&lt;=5800,IF(INDEX(次果筐明细!$B$4:$B$603,$Z57-5200)=0,"",INDEX(次果筐明细!$B$4:$B$603,$Z57-5200)),"")))))</f>
        <v>46268</v>
      </c>
      <c r="C57" s="37" t="str">
        <f>IF($Z57="","",IF($Z57&lt;=2000,IF(INDEX(包装物料出入库明细!$D$4:$D$2003,$Z57-0)=0,"",INDEX(包装物料出入库明细!$D$4:$D$2003,$Z57-0)),IF($Z57&lt;=4000,IF(INDEX(周转筐出入库明细!$C$4:$C$2004,$Z57-2000)=0,"",INDEX(周转筐出入库明细!$C$4:$C$2004,$Z57-2000)),IF($Z57&lt;=5200,IF(INDEX(客户自备加工筐明细!$E$4:$E$1203,$Z57-4000)=0,"",INDEX(客户自备加工筐明细!$E$4:$E$1203,$Z57-4000)),IF($Z57&lt;=5800,IF(INDEX(次果筐明细!$C$4:$C$603,$Z57-5200)=0,"",INDEX(次果筐明细!$C$4:$C$603,$Z57-5200)),"")))))</f>
        <v>全修塑业</v>
      </c>
      <c r="D57" s="37" t="str">
        <f>IF($Z57="","",IF($Z57&lt;=2000,"包装物料－"&amp;INDEX(包装物料出入库明细!$H$4:$H$2003,$Z57-0),IF($Z57&lt;=4000,"周转筐－"&amp;INDEX(周转筐出入库明细!$F$4:$F$2004,$Z57-2000),IF($Z57&lt;=5200,"客户自备筐－"&amp;INDEX(客户自备加工筐明细!$J$4:$J$1203,$Z57-4000),IF($Z57&lt;=5800,"次果筐/托盘－"&amp;INDEX(次果筐明细!$F$4:$F$603,$Z57-5200),"")))))</f>
        <v>周转筐－采购入库</v>
      </c>
      <c r="E57" s="24" t="str">
        <f>IF($Z57="","",IF($Z57&lt;=2000,IF(INDEX(包装物料出入库明细!$C$4:$C$2003,$Z57-0)=0,"",INDEX(包装物料出入库明细!$C$4:$C$2003,$Z57-0)),IF($Z57&lt;=4000,IF(INDEX(周转筐出入库明细!$E$4:$E$2004,$Z57-2000)=0,"",INDEX(周转筐出入库明细!$E$4:$E$2004,$Z57-2000)),IF($Z57&lt;=5200,IF(INDEX(客户自备加工筐明细!$D$4:$D$1203,$Z57-4000)=0,"",INDEX(客户自备加工筐明细!$D$4:$D$1203,$Z57-4000)),IF($Z57&lt;=5800,IF(INDEX(次果筐明细!$E$4:$E$603,$Z57-5200)=0,"",INDEX(次果筐明细!$E$4:$E$603,$Z57-5200)),"")))))</f>
        <v>NO:0000748</v>
      </c>
      <c r="F57" s="24" t="str">
        <f>IF($Z57="","",IF($Z57&lt;=2000,IF(INDEX(包装物料出入库明细!$E$4:$E$2003,$Z57-0)=0,"",INDEX(包装物料出入库明细!$E$4:$E$2003,$Z57-0)),IF($Z57&lt;=4000,IF(INDEX(周转筐出入库明细!$D$4:$D$2004,$Z57-2000)=0,"",INDEX(周转筐出入库明细!$D$4:$D$2004,$Z57-2000)),IF($Z57&lt;=5200,IF(INDEX(客户自备加工筐明细!$C$4:$C$1203,$Z57-4000)=0,"",INDEX(客户自备加工筐明细!$C$4:$C$1203,$Z57-4000)),IF($Z57&lt;=5800,IF(INDEX(次果筐明细!$D$4:$D$603,$Z57-5200)=0,"",INDEX(次果筐明细!$D$4:$D$603,$Z57-5200)),"")))))</f>
        <v>公司红周转筐</v>
      </c>
      <c r="G57" s="24" t="str">
        <f>IF($Z57="","",IF($Z57&lt;=2000,IF(INDEX(包装物料出入库明细!$F$4:$F$2003,$Z57-0)=0,"",INDEX(包装物料出入库明细!$F$4:$F$2003,$Z57-0)),IF($Z57&lt;=4000,"",IF($Z57&lt;=5200,"",IF($Z57&lt;=5800,"","")))))</f>
        <v/>
      </c>
      <c r="H57" s="39">
        <f>IF($Z57="","",IF($Z57&lt;=2000,IF(INDEX(包装物料出入库明细!$L$4:$L$2003,$Z57-0)=0,"",INDEX(包装物料出入库明细!$L$4:$L$2003,$Z57-0)),IF($Z57&lt;=4000,N(INDEX(周转筐出入库明细!$H$4:$H$2004,$Z57-2000))+N(INDEX(周转筐出入库明细!$I$4:$I$2004,$Z57-2000))+N(INDEX(周转筐出入库明细!$J$4:$J$2004,$Z57-2000))+N(INDEX(周转筐出入库明细!$K$4:$K$2004,$Z57-2000)),IF($Z57&lt;=5200,N(INDEX(客户自备加工筐明细!$F$4:$F$1203,$Z57-4000))+N(INDEX(客户自备加工筐明细!$G$4:$G$1203,$Z57-4000)),IF($Z57&lt;=5800,IF(INDEX(次果筐明细!$G$4:$G$603,$Z57-5200)=0,"",INDEX(次果筐明细!$G$4:$G$603,$Z57-5200)),"")))))</f>
        <v>846</v>
      </c>
      <c r="I57" s="24" t="str">
        <f>IF($Z57="","",IF($Z57&lt;=2000,IF(INDEX(包装物料出入库明细!$G$4:$G$2003,$Z57-0)=0,"",INDEX(包装物料出入库明细!$G$4:$G$2003,$Z57-0)),IF($Z57&lt;=4000,"个",IF($Z57&lt;=5200,"个",IF($Z57&lt;=5800,"个","")))))</f>
        <v>个</v>
      </c>
      <c r="J57" s="30" t="str">
        <f t="shared" si="1"/>
        <v/>
      </c>
      <c r="K57" s="30">
        <f>IF($Z57="","",IF($Z57&lt;=2000,IF(INDEX(包装物料出入库明细!$N$4:$N$2003,$Z57-0)=0,"",INDEX(包装物料出入库明细!$N$4:$N$2003,$Z57-0)),IF($Z57&lt;=4000,IF(INDEX(周转筐出入库明细!$P$4:$P$2004,$Z57-2000)=0,"",INDEX(周转筐出入库明细!$P$4:$P$2004,$Z57-2000)),IF($Z57&lt;=5200,"",IF($Z57&lt;=5800,N(INDEX(次果筐明细!$L$4:$L$603,$Z57-5200))+N(INDEX(次果筐明细!$J$4:$J$603,$Z57-5200)),"")))))</f>
        <v>8460</v>
      </c>
      <c r="L57" s="24" t="str">
        <f>IF($Z57="","",IF($Z57&lt;=2000,IF(INDEX(包装物料出入库明细!$P$4:$P$2003,$Z57-0)=0,"",INDEX(包装物料出入库明细!$P$4:$P$2003,$Z57-0)),IF($Z57&lt;=4000,IF(INDEX(周转筐出入库明细!$Q$4:$Q$2004,$Z57-2000)=0,"",INDEX(周转筐出入库明细!$Q$4:$Q$2004,$Z57-2000)),IF($Z57&lt;=5200,"",IF($Z57&lt;=5800,IF(INDEX(次果筐明细!$M$4:$M$603,$Z57-5200)=0,"",INDEX(次果筐明细!$M$4:$M$603,$Z57-5200)),"")))))</f>
        <v>未付款</v>
      </c>
      <c r="M57" s="37" t="str">
        <f>IF($Z57="","",IF($Z57&lt;=2000,IF(INDEX(包装物料出入库明细!$R$4:$R$2003,$Z57-0)=0,"",INDEX(包装物料出入库明细!$R$4:$R$2003,$Z57-0)),IF($Z57&lt;=4000,IF(INDEX(周转筐出入库明细!$W$4:$W$2004,$Z57-2000)=0,"",INDEX(周转筐出入库明细!$W$4:$W$2004,$Z57-2000)),IF($Z57&lt;=5200,IF(INDEX(客户自备加工筐明细!$L$4:$L$1203,$Z57-4000)=0,"",INDEX(客户自备加工筐明细!$L$4:$L$1203,$Z57-4000)),IF($Z57&lt;=5800,IF(INDEX(次果筐明细!$P$4:$P$603,$Z57-5200)=0,"",INDEX(次果筐明细!$P$4:$P$603,$Z57-5200)),"")))))</f>
        <v>NO:2745244</v>
      </c>
      <c r="N57" s="16" t="str">
        <f>IF($Z57="","",IF($Z57&lt;=2000,"",IF($Z57&lt;=4000,IF(INDEX(周转筐出入库明细!$D$4:$D$2004,$Z57-2000)=0,"",INDEX(周转筐出入库明细!$D$4:$D$2004,$Z57-2000)),IF($Z57&lt;=5200,IF(INDEX(客户自备加工筐明细!$C$4:$C$1203,$Z57-4000)=0,"",INDEX(客户自备加工筐明细!$C$4:$C$1203,$Z57-4000)),IF($Z57&lt;=5800,IF(INDEX(次果筐明细!$D$4:$D$603,$Z57-5200)=0,"",INDEX(次果筐明细!$D$4:$D$603,$Z57-5200)),"")))))</f>
        <v>公司红周转筐</v>
      </c>
      <c r="O57" s="40" t="str">
        <f>IF($Z57="","",IF($Z57&lt;=2000,"",IF($Z57&lt;=4000,IF(N(INDEX(周转筐出入库明细!$J$4:$J$2004,$Z57-2000))+N(INDEX(周转筐出入库明细!$K$4:$K$2004,$Z57-2000))=0,"",N(INDEX(周转筐出入库明细!$J$4:$J$2004,$Z57-2000))+N(INDEX(周转筐出入库明细!$K$4:$K$2004,$Z57-2000))),IF($Z57&lt;=5200,IF(N(INDEX(客户自备加工筐明细!$G$4:$G$1203,$Z57-4000))=0,"",N(INDEX(客户自备加工筐明细!$G$4:$G$1203,$Z57-4000))),IF($Z57&lt;=5800,IF(ISNUMBER(SEARCH("退",INDEX(次果筐明细!$F$4:$F$603,$Z57-5200)&amp;"")),"",IF(N(INDEX(次果筐明细!$G$4:$G$603,$Z57-5200))=0,"",N(INDEX(次果筐明细!$G$4:$G$603,$Z57-5200)))),"")))))</f>
        <v/>
      </c>
      <c r="P57" s="40" t="str">
        <f>IF($Z57="","",IF($Z57&lt;=2000,"",IF($Z57&lt;=4000,IF(N(INDEX(周转筐出入库明细!$I$4:$I$2004,$Z57-2000))=0,"",N(INDEX(周转筐出入库明细!$I$4:$I$2004,$Z57-2000))),IF($Z57&lt;=5200,"",IF($Z57&lt;=5800,IF(ISNUMBER(SEARCH("退",INDEX(次果筐明细!$F$4:$F$603,$Z57-5200)&amp;"")),IF(N(INDEX(次果筐明细!$G$4:$G$603,$Z57-5200))=0,"",N(INDEX(次果筐明细!$G$4:$G$603,$Z57-5200))),""),"")))))</f>
        <v/>
      </c>
      <c r="Q57" s="40">
        <f>IF($Z57="","",IF($Z57&lt;=2000,"",IF($Z57&lt;=4000,IF(N(INDEX(周转筐出入库明细!$H$4:$H$2004,$Z57-2000))=0,"",N(INDEX(周转筐出入库明细!$H$4:$H$2004,$Z57-2000))),IF($Z57&lt;=5200,IF(N(INDEX(客户自备加工筐明细!$F$4:$F$1203,$Z57-4000))=0,"",N(INDEX(客户自备加工筐明细!$F$4:$F$1203,$Z57-4000))),IF($Z57&lt;=5800,"","")))))</f>
        <v>846</v>
      </c>
      <c r="R57" s="16" t="str">
        <f>IF($Z57="","",IF($Z57&lt;=2000,IF(INDEX(包装物料出入库明细!$O$4:$O$2003,$Z57-0)=0,"",INDEX(包装物料出入库明细!$O$4:$O$2003,$Z57-0)),IF($Z57&lt;=4000,IF(INDEX(周转筐出入库明细!$M$4:$M$2004,$Z57-2000)=0,"",INDEX(周转筐出入库明细!$M$4:$M$2004,$Z57-2000)),IF($Z57&lt;=5200,IF(INDEX(客户自备加工筐明细!$H$4:$H$1203,$Z57-4000)=0,"",INDEX(客户自备加工筐明细!$H$4:$H$1203,$Z57-4000)),IF($Z57&lt;=5800,IF(INDEX(次果筐明细!$H$4:$H$603,$Z57-5200)=0,"",INDEX(次果筐明细!$H$4:$H$603,$Z57-5200)),"")))))</f>
        <v>新A*G0554</v>
      </c>
      <c r="S57" s="22" t="str">
        <f t="shared" si="2"/>
        <v>公司筐</v>
      </c>
      <c r="Z57" s="10">
        <f>IFERROR(MATCH(ROW()-3,_自动清单!$CQ$4:$CQ$5803,0),"")</f>
        <v>2021</v>
      </c>
    </row>
    <row r="58" spans="1:26">
      <c r="A58" s="24">
        <f t="shared" si="0"/>
        <v>55</v>
      </c>
      <c r="B58" s="38">
        <f>IF($Z58="","",IF($Z58&lt;=2000,IF(INDEX(包装物料出入库明细!$B$4:$B$2003,$Z58-0)=0,"",INDEX(包装物料出入库明细!$B$4:$B$2003,$Z58-0)),IF($Z58&lt;=4000,IF(INDEX(周转筐出入库明细!$B$4:$B$2004,$Z58-2000)=0,"",INDEX(周转筐出入库明细!$B$4:$B$2004,$Z58-2000)),IF($Z58&lt;=5200,IF(INDEX(客户自备加工筐明细!$B$4:$B$1203,$Z58-4000)=0,"",INDEX(客户自备加工筐明细!$B$4:$B$1203,$Z58-4000)),IF($Z58&lt;=5800,IF(INDEX(次果筐明细!$B$4:$B$603,$Z58-5200)=0,"",INDEX(次果筐明细!$B$4:$B$603,$Z58-5200)),"")))))</f>
        <v>46268</v>
      </c>
      <c r="C58" s="37" t="str">
        <f>IF($Z58="","",IF($Z58&lt;=2000,IF(INDEX(包装物料出入库明细!$D$4:$D$2003,$Z58-0)=0,"",INDEX(包装物料出入库明细!$D$4:$D$2003,$Z58-0)),IF($Z58&lt;=4000,IF(INDEX(周转筐出入库明细!$C$4:$C$2004,$Z58-2000)=0,"",INDEX(周转筐出入库明细!$C$4:$C$2004,$Z58-2000)),IF($Z58&lt;=5200,IF(INDEX(客户自备加工筐明细!$E$4:$E$1203,$Z58-4000)=0,"",INDEX(客户自备加工筐明细!$E$4:$E$1203,$Z58-4000)),IF($Z58&lt;=5800,IF(INDEX(次果筐明细!$C$4:$C$603,$Z58-5200)=0,"",INDEX(次果筐明细!$C$4:$C$603,$Z58-5200)),"")))))</f>
        <v>麦麦提</v>
      </c>
      <c r="D58" s="37" t="str">
        <f>IF($Z58="","",IF($Z58&lt;=2000,"包装物料－"&amp;INDEX(包装物料出入库明细!$H$4:$H$2003,$Z58-0),IF($Z58&lt;=4000,"周转筐－"&amp;INDEX(周转筐出入库明细!$F$4:$F$2004,$Z58-2000),IF($Z58&lt;=5200,"客户自备筐－"&amp;INDEX(客户自备加工筐明细!$J$4:$J$1203,$Z58-4000),IF($Z58&lt;=5800,"次果筐/托盘－"&amp;INDEX(次果筐明细!$F$4:$F$603,$Z58-5200),"")))))</f>
        <v>周转筐－领用出库</v>
      </c>
      <c r="E58" s="24" t="str">
        <f>IF($Z58="","",IF($Z58&lt;=2000,IF(INDEX(包装物料出入库明细!$C$4:$C$2003,$Z58-0)=0,"",INDEX(包装物料出入库明细!$C$4:$C$2003,$Z58-0)),IF($Z58&lt;=4000,IF(INDEX(周转筐出入库明细!$E$4:$E$2004,$Z58-2000)=0,"",INDEX(周转筐出入库明细!$E$4:$E$2004,$Z58-2000)),IF($Z58&lt;=5200,IF(INDEX(客户自备加工筐明细!$D$4:$D$1203,$Z58-4000)=0,"",INDEX(客户自备加工筐明细!$D$4:$D$1203,$Z58-4000)),IF($Z58&lt;=5800,IF(INDEX(次果筐明细!$E$4:$E$603,$Z58-5200)=0,"",INDEX(次果筐明细!$E$4:$E$603,$Z58-5200)),"")))))</f>
        <v>NO:0001074</v>
      </c>
      <c r="F58" s="24" t="str">
        <f>IF($Z58="","",IF($Z58&lt;=2000,IF(INDEX(包装物料出入库明细!$E$4:$E$2003,$Z58-0)=0,"",INDEX(包装物料出入库明细!$E$4:$E$2003,$Z58-0)),IF($Z58&lt;=4000,IF(INDEX(周转筐出入库明细!$D$4:$D$2004,$Z58-2000)=0,"",INDEX(周转筐出入库明细!$D$4:$D$2004,$Z58-2000)),IF($Z58&lt;=5200,IF(INDEX(客户自备加工筐明细!$C$4:$C$1203,$Z58-4000)=0,"",INDEX(客户自备加工筐明细!$C$4:$C$1203,$Z58-4000)),IF($Z58&lt;=5800,IF(INDEX(次果筐明细!$D$4:$D$603,$Z58-5200)=0,"",INDEX(次果筐明细!$D$4:$D$603,$Z58-5200)),"")))))</f>
        <v>公司红周转筐</v>
      </c>
      <c r="G58" s="24" t="str">
        <f>IF($Z58="","",IF($Z58&lt;=2000,IF(INDEX(包装物料出入库明细!$F$4:$F$2003,$Z58-0)=0,"",INDEX(包装物料出入库明细!$F$4:$F$2003,$Z58-0)),IF($Z58&lt;=4000,"",IF($Z58&lt;=5200,"",IF($Z58&lt;=5800,"","")))))</f>
        <v/>
      </c>
      <c r="H58" s="39">
        <f>IF($Z58="","",IF($Z58&lt;=2000,IF(INDEX(包装物料出入库明细!$L$4:$L$2003,$Z58-0)=0,"",INDEX(包装物料出入库明细!$L$4:$L$2003,$Z58-0)),IF($Z58&lt;=4000,N(INDEX(周转筐出入库明细!$H$4:$H$2004,$Z58-2000))+N(INDEX(周转筐出入库明细!$I$4:$I$2004,$Z58-2000))+N(INDEX(周转筐出入库明细!$J$4:$J$2004,$Z58-2000))+N(INDEX(周转筐出入库明细!$K$4:$K$2004,$Z58-2000)),IF($Z58&lt;=5200,N(INDEX(客户自备加工筐明细!$F$4:$F$1203,$Z58-4000))+N(INDEX(客户自备加工筐明细!$G$4:$G$1203,$Z58-4000)),IF($Z58&lt;=5800,IF(INDEX(次果筐明细!$G$4:$G$603,$Z58-5200)=0,"",INDEX(次果筐明细!$G$4:$G$603,$Z58-5200)),"")))))</f>
        <v>846</v>
      </c>
      <c r="I58" s="24" t="str">
        <f>IF($Z58="","",IF($Z58&lt;=2000,IF(INDEX(包装物料出入库明细!$G$4:$G$2003,$Z58-0)=0,"",INDEX(包装物料出入库明细!$G$4:$G$2003,$Z58-0)),IF($Z58&lt;=4000,"个",IF($Z58&lt;=5200,"个",IF($Z58&lt;=5800,"个","")))))</f>
        <v>个</v>
      </c>
      <c r="J58" s="30" t="str">
        <f t="shared" si="1"/>
        <v/>
      </c>
      <c r="K58" s="30" t="str">
        <f>IF($Z58="","",IF($Z58&lt;=2000,IF(INDEX(包装物料出入库明细!$N$4:$N$2003,$Z58-0)=0,"",INDEX(包装物料出入库明细!$N$4:$N$2003,$Z58-0)),IF($Z58&lt;=4000,IF(INDEX(周转筐出入库明细!$P$4:$P$2004,$Z58-2000)=0,"",INDEX(周转筐出入库明细!$P$4:$P$2004,$Z58-2000)),IF($Z58&lt;=5200,"",IF($Z58&lt;=5800,N(INDEX(次果筐明细!$L$4:$L$603,$Z58-5200))+N(INDEX(次果筐明细!$J$4:$J$603,$Z58-5200)),"")))))</f>
        <v/>
      </c>
      <c r="L58" s="24" t="str">
        <f>IF($Z58="","",IF($Z58&lt;=2000,IF(INDEX(包装物料出入库明细!$P$4:$P$2003,$Z58-0)=0,"",INDEX(包装物料出入库明细!$P$4:$P$2003,$Z58-0)),IF($Z58&lt;=4000,IF(INDEX(周转筐出入库明细!$Q$4:$Q$2004,$Z58-2000)=0,"",INDEX(周转筐出入库明细!$Q$4:$Q$2004,$Z58-2000)),IF($Z58&lt;=5200,"",IF($Z58&lt;=5800,IF(INDEX(次果筐明细!$M$4:$M$603,$Z58-5200)=0,"",INDEX(次果筐明细!$M$4:$M$603,$Z58-5200)),"")))))</f>
        <v/>
      </c>
      <c r="M58" s="37" t="str">
        <f>IF($Z58="","",IF($Z58&lt;=2000,IF(INDEX(包装物料出入库明细!$R$4:$R$2003,$Z58-0)=0,"",INDEX(包装物料出入库明细!$R$4:$R$2003,$Z58-0)),IF($Z58&lt;=4000,IF(INDEX(周转筐出入库明细!$W$4:$W$2004,$Z58-2000)=0,"",INDEX(周转筐出入库明细!$W$4:$W$2004,$Z58-2000)),IF($Z58&lt;=5200,IF(INDEX(客户自备加工筐明细!$L$4:$L$1203,$Z58-4000)=0,"",INDEX(客户自备加工筐明细!$L$4:$L$1203,$Z58-4000)),IF($Z58&lt;=5800,IF(INDEX(次果筐明细!$P$4:$P$603,$Z58-5200)=0,"",INDEX(次果筐明细!$P$4:$P$603,$Z58-5200)),"")))))</f>
        <v/>
      </c>
      <c r="N58" s="16" t="str">
        <f>IF($Z58="","",IF($Z58&lt;=2000,"",IF($Z58&lt;=4000,IF(INDEX(周转筐出入库明细!$D$4:$D$2004,$Z58-2000)=0,"",INDEX(周转筐出入库明细!$D$4:$D$2004,$Z58-2000)),IF($Z58&lt;=5200,IF(INDEX(客户自备加工筐明细!$C$4:$C$1203,$Z58-4000)=0,"",INDEX(客户自备加工筐明细!$C$4:$C$1203,$Z58-4000)),IF($Z58&lt;=5800,IF(INDEX(次果筐明细!$D$4:$D$603,$Z58-5200)=0,"",INDEX(次果筐明细!$D$4:$D$603,$Z58-5200)),"")))))</f>
        <v>公司红周转筐</v>
      </c>
      <c r="O58" s="40">
        <f>IF($Z58="","",IF($Z58&lt;=2000,"",IF($Z58&lt;=4000,IF(N(INDEX(周转筐出入库明细!$J$4:$J$2004,$Z58-2000))+N(INDEX(周转筐出入库明细!$K$4:$K$2004,$Z58-2000))=0,"",N(INDEX(周转筐出入库明细!$J$4:$J$2004,$Z58-2000))+N(INDEX(周转筐出入库明细!$K$4:$K$2004,$Z58-2000))),IF($Z58&lt;=5200,IF(N(INDEX(客户自备加工筐明细!$G$4:$G$1203,$Z58-4000))=0,"",N(INDEX(客户自备加工筐明细!$G$4:$G$1203,$Z58-4000))),IF($Z58&lt;=5800,IF(ISNUMBER(SEARCH("退",INDEX(次果筐明细!$F$4:$F$603,$Z58-5200)&amp;"")),"",IF(N(INDEX(次果筐明细!$G$4:$G$603,$Z58-5200))=0,"",N(INDEX(次果筐明细!$G$4:$G$603,$Z58-5200)))),"")))))</f>
        <v>846</v>
      </c>
      <c r="P58" s="40" t="str">
        <f>IF($Z58="","",IF($Z58&lt;=2000,"",IF($Z58&lt;=4000,IF(N(INDEX(周转筐出入库明细!$I$4:$I$2004,$Z58-2000))=0,"",N(INDEX(周转筐出入库明细!$I$4:$I$2004,$Z58-2000))),IF($Z58&lt;=5200,"",IF($Z58&lt;=5800,IF(ISNUMBER(SEARCH("退",INDEX(次果筐明细!$F$4:$F$603,$Z58-5200)&amp;"")),IF(N(INDEX(次果筐明细!$G$4:$G$603,$Z58-5200))=0,"",N(INDEX(次果筐明细!$G$4:$G$603,$Z58-5200))),""),"")))))</f>
        <v/>
      </c>
      <c r="Q58" s="40" t="str">
        <f>IF($Z58="","",IF($Z58&lt;=2000,"",IF($Z58&lt;=4000,IF(N(INDEX(周转筐出入库明细!$H$4:$H$2004,$Z58-2000))=0,"",N(INDEX(周转筐出入库明细!$H$4:$H$2004,$Z58-2000))),IF($Z58&lt;=5200,IF(N(INDEX(客户自备加工筐明细!$F$4:$F$1203,$Z58-4000))=0,"",N(INDEX(客户自备加工筐明细!$F$4:$F$1203,$Z58-4000))),IF($Z58&lt;=5800,"","")))))</f>
        <v/>
      </c>
      <c r="R58" s="16" t="str">
        <f>IF($Z58="","",IF($Z58&lt;=2000,IF(INDEX(包装物料出入库明细!$O$4:$O$2003,$Z58-0)=0,"",INDEX(包装物料出入库明细!$O$4:$O$2003,$Z58-0)),IF($Z58&lt;=4000,IF(INDEX(周转筐出入库明细!$M$4:$M$2004,$Z58-2000)=0,"",INDEX(周转筐出入库明细!$M$4:$M$2004,$Z58-2000)),IF($Z58&lt;=5200,IF(INDEX(客户自备加工筐明细!$H$4:$H$1203,$Z58-4000)=0,"",INDEX(客户自备加工筐明细!$H$4:$H$1203,$Z58-4000)),IF($Z58&lt;=5800,IF(INDEX(次果筐明细!$H$4:$H$603,$Z58-5200)=0,"",INDEX(次果筐明细!$H$4:$H$603,$Z58-5200)),"")))))</f>
        <v>新A*G0554</v>
      </c>
      <c r="S58" s="22" t="str">
        <f t="shared" si="2"/>
        <v>公司筐</v>
      </c>
      <c r="Z58" s="10">
        <f>IFERROR(MATCH(ROW()-3,_自动清单!$CQ$4:$CQ$5803,0),"")</f>
        <v>2022</v>
      </c>
    </row>
    <row r="59" spans="1:26">
      <c r="A59" s="24">
        <f t="shared" si="0"/>
        <v>56</v>
      </c>
      <c r="B59" s="38">
        <f>IF($Z59="","",IF($Z59&lt;=2000,IF(INDEX(包装物料出入库明细!$B$4:$B$2003,$Z59-0)=0,"",INDEX(包装物料出入库明细!$B$4:$B$2003,$Z59-0)),IF($Z59&lt;=4000,IF(INDEX(周转筐出入库明细!$B$4:$B$2004,$Z59-2000)=0,"",INDEX(周转筐出入库明细!$B$4:$B$2004,$Z59-2000)),IF($Z59&lt;=5200,IF(INDEX(客户自备加工筐明细!$B$4:$B$1203,$Z59-4000)=0,"",INDEX(客户自备加工筐明细!$B$4:$B$1203,$Z59-4000)),IF($Z59&lt;=5800,IF(INDEX(次果筐明细!$B$4:$B$603,$Z59-5200)=0,"",INDEX(次果筐明细!$B$4:$B$603,$Z59-5200)),"")))))</f>
        <v>46268</v>
      </c>
      <c r="C59" s="37" t="str">
        <f>IF($Z59="","",IF($Z59&lt;=2000,IF(INDEX(包装物料出入库明细!$D$4:$D$2003,$Z59-0)=0,"",INDEX(包装物料出入库明细!$D$4:$D$2003,$Z59-0)),IF($Z59&lt;=4000,IF(INDEX(周转筐出入库明细!$C$4:$C$2004,$Z59-2000)=0,"",INDEX(周转筐出入库明细!$C$4:$C$2004,$Z59-2000)),IF($Z59&lt;=5200,IF(INDEX(客户自备加工筐明细!$E$4:$E$1203,$Z59-4000)=0,"",INDEX(客户自备加工筐明细!$E$4:$E$1203,$Z59-4000)),IF($Z59&lt;=5800,IF(INDEX(次果筐明细!$C$4:$C$603,$Z59-5200)=0,"",INDEX(次果筐明细!$C$4:$C$603,$Z59-5200)),"")))))</f>
        <v>全修塑业</v>
      </c>
      <c r="D59" s="37" t="str">
        <f>IF($Z59="","",IF($Z59&lt;=2000,"包装物料－"&amp;INDEX(包装物料出入库明细!$H$4:$H$2003,$Z59-0),IF($Z59&lt;=4000,"周转筐－"&amp;INDEX(周转筐出入库明细!$F$4:$F$2004,$Z59-2000),IF($Z59&lt;=5200,"客户自备筐－"&amp;INDEX(客户自备加工筐明细!$J$4:$J$1203,$Z59-4000),IF($Z59&lt;=5800,"次果筐/托盘－"&amp;INDEX(次果筐明细!$F$4:$F$603,$Z59-5200),"")))))</f>
        <v>周转筐－采购入库</v>
      </c>
      <c r="E59" s="24" t="str">
        <f>IF($Z59="","",IF($Z59&lt;=2000,IF(INDEX(包装物料出入库明细!$C$4:$C$2003,$Z59-0)=0,"",INDEX(包装物料出入库明细!$C$4:$C$2003,$Z59-0)),IF($Z59&lt;=4000,IF(INDEX(周转筐出入库明细!$E$4:$E$2004,$Z59-2000)=0,"",INDEX(周转筐出入库明细!$E$4:$E$2004,$Z59-2000)),IF($Z59&lt;=5200,IF(INDEX(客户自备加工筐明细!$D$4:$D$1203,$Z59-4000)=0,"",INDEX(客户自备加工筐明细!$D$4:$D$1203,$Z59-4000)),IF($Z59&lt;=5800,IF(INDEX(次果筐明细!$E$4:$E$603,$Z59-5200)=0,"",INDEX(次果筐明细!$E$4:$E$603,$Z59-5200)),"")))))</f>
        <v>NO:0000749</v>
      </c>
      <c r="F59" s="24" t="str">
        <f>IF($Z59="","",IF($Z59&lt;=2000,IF(INDEX(包装物料出入库明细!$E$4:$E$2003,$Z59-0)=0,"",INDEX(包装物料出入库明细!$E$4:$E$2003,$Z59-0)),IF($Z59&lt;=4000,IF(INDEX(周转筐出入库明细!$D$4:$D$2004,$Z59-2000)=0,"",INDEX(周转筐出入库明细!$D$4:$D$2004,$Z59-2000)),IF($Z59&lt;=5200,IF(INDEX(客户自备加工筐明细!$C$4:$C$1203,$Z59-4000)=0,"",INDEX(客户自备加工筐明细!$C$4:$C$1203,$Z59-4000)),IF($Z59&lt;=5800,IF(INDEX(次果筐明细!$D$4:$D$603,$Z59-5200)=0,"",INDEX(次果筐明细!$D$4:$D$603,$Z59-5200)),"")))))</f>
        <v>公司红周转筐</v>
      </c>
      <c r="G59" s="24" t="str">
        <f>IF($Z59="","",IF($Z59&lt;=2000,IF(INDEX(包装物料出入库明细!$F$4:$F$2003,$Z59-0)=0,"",INDEX(包装物料出入库明细!$F$4:$F$2003,$Z59-0)),IF($Z59&lt;=4000,"",IF($Z59&lt;=5200,"",IF($Z59&lt;=5800,"","")))))</f>
        <v/>
      </c>
      <c r="H59" s="39">
        <f>IF($Z59="","",IF($Z59&lt;=2000,IF(INDEX(包装物料出入库明细!$L$4:$L$2003,$Z59-0)=0,"",INDEX(包装物料出入库明细!$L$4:$L$2003,$Z59-0)),IF($Z59&lt;=4000,N(INDEX(周转筐出入库明细!$H$4:$H$2004,$Z59-2000))+N(INDEX(周转筐出入库明细!$I$4:$I$2004,$Z59-2000))+N(INDEX(周转筐出入库明细!$J$4:$J$2004,$Z59-2000))+N(INDEX(周转筐出入库明细!$K$4:$K$2004,$Z59-2000)),IF($Z59&lt;=5200,N(INDEX(客户自备加工筐明细!$F$4:$F$1203,$Z59-4000))+N(INDEX(客户自备加工筐明细!$G$4:$G$1203,$Z59-4000)),IF($Z59&lt;=5800,IF(INDEX(次果筐明细!$G$4:$G$603,$Z59-5200)=0,"",INDEX(次果筐明细!$G$4:$G$603,$Z59-5200)),"")))))</f>
        <v>936</v>
      </c>
      <c r="I59" s="24" t="str">
        <f>IF($Z59="","",IF($Z59&lt;=2000,IF(INDEX(包装物料出入库明细!$G$4:$G$2003,$Z59-0)=0,"",INDEX(包装物料出入库明细!$G$4:$G$2003,$Z59-0)),IF($Z59&lt;=4000,"个",IF($Z59&lt;=5200,"个",IF($Z59&lt;=5800,"个","")))))</f>
        <v>个</v>
      </c>
      <c r="J59" s="30" t="str">
        <f t="shared" si="1"/>
        <v/>
      </c>
      <c r="K59" s="30">
        <f>IF($Z59="","",IF($Z59&lt;=2000,IF(INDEX(包装物料出入库明细!$N$4:$N$2003,$Z59-0)=0,"",INDEX(包装物料出入库明细!$N$4:$N$2003,$Z59-0)),IF($Z59&lt;=4000,IF(INDEX(周转筐出入库明细!$P$4:$P$2004,$Z59-2000)=0,"",INDEX(周转筐出入库明细!$P$4:$P$2004,$Z59-2000)),IF($Z59&lt;=5200,"",IF($Z59&lt;=5800,N(INDEX(次果筐明细!$L$4:$L$603,$Z59-5200))+N(INDEX(次果筐明细!$J$4:$J$603,$Z59-5200)),"")))))</f>
        <v>9360</v>
      </c>
      <c r="L59" s="24" t="str">
        <f>IF($Z59="","",IF($Z59&lt;=2000,IF(INDEX(包装物料出入库明细!$P$4:$P$2003,$Z59-0)=0,"",INDEX(包装物料出入库明细!$P$4:$P$2003,$Z59-0)),IF($Z59&lt;=4000,IF(INDEX(周转筐出入库明细!$Q$4:$Q$2004,$Z59-2000)=0,"",INDEX(周转筐出入库明细!$Q$4:$Q$2004,$Z59-2000)),IF($Z59&lt;=5200,"",IF($Z59&lt;=5800,IF(INDEX(次果筐明细!$M$4:$M$603,$Z59-5200)=0,"",INDEX(次果筐明细!$M$4:$M$603,$Z59-5200)),"")))))</f>
        <v>未付款</v>
      </c>
      <c r="M59" s="37" t="str">
        <f>IF($Z59="","",IF($Z59&lt;=2000,IF(INDEX(包装物料出入库明细!$R$4:$R$2003,$Z59-0)=0,"",INDEX(包装物料出入库明细!$R$4:$R$2003,$Z59-0)),IF($Z59&lt;=4000,IF(INDEX(周转筐出入库明细!$W$4:$W$2004,$Z59-2000)=0,"",INDEX(周转筐出入库明细!$W$4:$W$2004,$Z59-2000)),IF($Z59&lt;=5200,IF(INDEX(客户自备加工筐明细!$L$4:$L$1203,$Z59-4000)=0,"",INDEX(客户自备加工筐明细!$L$4:$L$1203,$Z59-4000)),IF($Z59&lt;=5800,IF(INDEX(次果筐明细!$P$4:$P$603,$Z59-5200)=0,"",INDEX(次果筐明细!$P$4:$P$603,$Z59-5200)),"")))))</f>
        <v>NO:2745245</v>
      </c>
      <c r="N59" s="16" t="str">
        <f>IF($Z59="","",IF($Z59&lt;=2000,"",IF($Z59&lt;=4000,IF(INDEX(周转筐出入库明细!$D$4:$D$2004,$Z59-2000)=0,"",INDEX(周转筐出入库明细!$D$4:$D$2004,$Z59-2000)),IF($Z59&lt;=5200,IF(INDEX(客户自备加工筐明细!$C$4:$C$1203,$Z59-4000)=0,"",INDEX(客户自备加工筐明细!$C$4:$C$1203,$Z59-4000)),IF($Z59&lt;=5800,IF(INDEX(次果筐明细!$D$4:$D$603,$Z59-5200)=0,"",INDEX(次果筐明细!$D$4:$D$603,$Z59-5200)),"")))))</f>
        <v>公司红周转筐</v>
      </c>
      <c r="O59" s="40" t="str">
        <f>IF($Z59="","",IF($Z59&lt;=2000,"",IF($Z59&lt;=4000,IF(N(INDEX(周转筐出入库明细!$J$4:$J$2004,$Z59-2000))+N(INDEX(周转筐出入库明细!$K$4:$K$2004,$Z59-2000))=0,"",N(INDEX(周转筐出入库明细!$J$4:$J$2004,$Z59-2000))+N(INDEX(周转筐出入库明细!$K$4:$K$2004,$Z59-2000))),IF($Z59&lt;=5200,IF(N(INDEX(客户自备加工筐明细!$G$4:$G$1203,$Z59-4000))=0,"",N(INDEX(客户自备加工筐明细!$G$4:$G$1203,$Z59-4000))),IF($Z59&lt;=5800,IF(ISNUMBER(SEARCH("退",INDEX(次果筐明细!$F$4:$F$603,$Z59-5200)&amp;"")),"",IF(N(INDEX(次果筐明细!$G$4:$G$603,$Z59-5200))=0,"",N(INDEX(次果筐明细!$G$4:$G$603,$Z59-5200)))),"")))))</f>
        <v/>
      </c>
      <c r="P59" s="40" t="str">
        <f>IF($Z59="","",IF($Z59&lt;=2000,"",IF($Z59&lt;=4000,IF(N(INDEX(周转筐出入库明细!$I$4:$I$2004,$Z59-2000))=0,"",N(INDEX(周转筐出入库明细!$I$4:$I$2004,$Z59-2000))),IF($Z59&lt;=5200,"",IF($Z59&lt;=5800,IF(ISNUMBER(SEARCH("退",INDEX(次果筐明细!$F$4:$F$603,$Z59-5200)&amp;"")),IF(N(INDEX(次果筐明细!$G$4:$G$603,$Z59-5200))=0,"",N(INDEX(次果筐明细!$G$4:$G$603,$Z59-5200))),""),"")))))</f>
        <v/>
      </c>
      <c r="Q59" s="40">
        <f>IF($Z59="","",IF($Z59&lt;=2000,"",IF($Z59&lt;=4000,IF(N(INDEX(周转筐出入库明细!$H$4:$H$2004,$Z59-2000))=0,"",N(INDEX(周转筐出入库明细!$H$4:$H$2004,$Z59-2000))),IF($Z59&lt;=5200,IF(N(INDEX(客户自备加工筐明细!$F$4:$F$1203,$Z59-4000))=0,"",N(INDEX(客户自备加工筐明细!$F$4:$F$1203,$Z59-4000))),IF($Z59&lt;=5800,"","")))))</f>
        <v>936</v>
      </c>
      <c r="R59" s="16" t="str">
        <f>IF($Z59="","",IF($Z59&lt;=2000,IF(INDEX(包装物料出入库明细!$O$4:$O$2003,$Z59-0)=0,"",INDEX(包装物料出入库明细!$O$4:$O$2003,$Z59-0)),IF($Z59&lt;=4000,IF(INDEX(周转筐出入库明细!$M$4:$M$2004,$Z59-2000)=0,"",INDEX(周转筐出入库明细!$M$4:$M$2004,$Z59-2000)),IF($Z59&lt;=5200,IF(INDEX(客户自备加工筐明细!$H$4:$H$1203,$Z59-4000)=0,"",INDEX(客户自备加工筐明细!$H$4:$H$1203,$Z59-4000)),IF($Z59&lt;=5800,IF(INDEX(次果筐明细!$H$4:$H$603,$Z59-5200)=0,"",INDEX(次果筐明细!$H$4:$H$603,$Z59-5200)),"")))))</f>
        <v>新F*75240</v>
      </c>
      <c r="S59" s="22" t="str">
        <f t="shared" si="2"/>
        <v>公司筐</v>
      </c>
      <c r="Z59" s="10">
        <f>IFERROR(MATCH(ROW()-3,_自动清单!$CQ$4:$CQ$5803,0),"")</f>
        <v>2023</v>
      </c>
    </row>
    <row r="60" spans="1:26">
      <c r="A60" s="24">
        <f t="shared" si="0"/>
        <v>57</v>
      </c>
      <c r="B60" s="38">
        <f>IF($Z60="","",IF($Z60&lt;=2000,IF(INDEX(包装物料出入库明细!$B$4:$B$2003,$Z60-0)=0,"",INDEX(包装物料出入库明细!$B$4:$B$2003,$Z60-0)),IF($Z60&lt;=4000,IF(INDEX(周转筐出入库明细!$B$4:$B$2004,$Z60-2000)=0,"",INDEX(周转筐出入库明细!$B$4:$B$2004,$Z60-2000)),IF($Z60&lt;=5200,IF(INDEX(客户自备加工筐明细!$B$4:$B$1203,$Z60-4000)=0,"",INDEX(客户自备加工筐明细!$B$4:$B$1203,$Z60-4000)),IF($Z60&lt;=5800,IF(INDEX(次果筐明细!$B$4:$B$603,$Z60-5200)=0,"",INDEX(次果筐明细!$B$4:$B$603,$Z60-5200)),"")))))</f>
        <v>46268</v>
      </c>
      <c r="C60" s="37" t="str">
        <f>IF($Z60="","",IF($Z60&lt;=2000,IF(INDEX(包装物料出入库明细!$D$4:$D$2003,$Z60-0)=0,"",INDEX(包装物料出入库明细!$D$4:$D$2003,$Z60-0)),IF($Z60&lt;=4000,IF(INDEX(周转筐出入库明细!$C$4:$C$2004,$Z60-2000)=0,"",INDEX(周转筐出入库明细!$C$4:$C$2004,$Z60-2000)),IF($Z60&lt;=5200,IF(INDEX(客户自备加工筐明细!$E$4:$E$1203,$Z60-4000)=0,"",INDEX(客户自备加工筐明细!$E$4:$E$1203,$Z60-4000)),IF($Z60&lt;=5800,IF(INDEX(次果筐明细!$C$4:$C$603,$Z60-5200)=0,"",INDEX(次果筐明细!$C$4:$C$603,$Z60-5200)),"")))))</f>
        <v>努尔敦</v>
      </c>
      <c r="D60" s="37" t="str">
        <f>IF($Z60="","",IF($Z60&lt;=2000,"包装物料－"&amp;INDEX(包装物料出入库明细!$H$4:$H$2003,$Z60-0),IF($Z60&lt;=4000,"周转筐－"&amp;INDEX(周转筐出入库明细!$F$4:$F$2004,$Z60-2000),IF($Z60&lt;=5200,"客户自备筐－"&amp;INDEX(客户自备加工筐明细!$J$4:$J$1203,$Z60-4000),IF($Z60&lt;=5800,"次果筐/托盘－"&amp;INDEX(次果筐明细!$F$4:$F$603,$Z60-5200),"")))))</f>
        <v>周转筐－领用出库</v>
      </c>
      <c r="E60" s="24" t="str">
        <f>IF($Z60="","",IF($Z60&lt;=2000,IF(INDEX(包装物料出入库明细!$C$4:$C$2003,$Z60-0)=0,"",INDEX(包装物料出入库明细!$C$4:$C$2003,$Z60-0)),IF($Z60&lt;=4000,IF(INDEX(周转筐出入库明细!$E$4:$E$2004,$Z60-2000)=0,"",INDEX(周转筐出入库明细!$E$4:$E$2004,$Z60-2000)),IF($Z60&lt;=5200,IF(INDEX(客户自备加工筐明细!$D$4:$D$1203,$Z60-4000)=0,"",INDEX(客户自备加工筐明细!$D$4:$D$1203,$Z60-4000)),IF($Z60&lt;=5800,IF(INDEX(次果筐明细!$E$4:$E$603,$Z60-5200)=0,"",INDEX(次果筐明细!$E$4:$E$603,$Z60-5200)),"")))))</f>
        <v>NO:0001075</v>
      </c>
      <c r="F60" s="24" t="str">
        <f>IF($Z60="","",IF($Z60&lt;=2000,IF(INDEX(包装物料出入库明细!$E$4:$E$2003,$Z60-0)=0,"",INDEX(包装物料出入库明细!$E$4:$E$2003,$Z60-0)),IF($Z60&lt;=4000,IF(INDEX(周转筐出入库明细!$D$4:$D$2004,$Z60-2000)=0,"",INDEX(周转筐出入库明细!$D$4:$D$2004,$Z60-2000)),IF($Z60&lt;=5200,IF(INDEX(客户自备加工筐明细!$C$4:$C$1203,$Z60-4000)=0,"",INDEX(客户自备加工筐明细!$C$4:$C$1203,$Z60-4000)),IF($Z60&lt;=5800,IF(INDEX(次果筐明细!$D$4:$D$603,$Z60-5200)=0,"",INDEX(次果筐明细!$D$4:$D$603,$Z60-5200)),"")))))</f>
        <v>公司红周转筐</v>
      </c>
      <c r="G60" s="24" t="str">
        <f>IF($Z60="","",IF($Z60&lt;=2000,IF(INDEX(包装物料出入库明细!$F$4:$F$2003,$Z60-0)=0,"",INDEX(包装物料出入库明细!$F$4:$F$2003,$Z60-0)),IF($Z60&lt;=4000,"",IF($Z60&lt;=5200,"",IF($Z60&lt;=5800,"","")))))</f>
        <v/>
      </c>
      <c r="H60" s="39">
        <f>IF($Z60="","",IF($Z60&lt;=2000,IF(INDEX(包装物料出入库明细!$L$4:$L$2003,$Z60-0)=0,"",INDEX(包装物料出入库明细!$L$4:$L$2003,$Z60-0)),IF($Z60&lt;=4000,N(INDEX(周转筐出入库明细!$H$4:$H$2004,$Z60-2000))+N(INDEX(周转筐出入库明细!$I$4:$I$2004,$Z60-2000))+N(INDEX(周转筐出入库明细!$J$4:$J$2004,$Z60-2000))+N(INDEX(周转筐出入库明细!$K$4:$K$2004,$Z60-2000)),IF($Z60&lt;=5200,N(INDEX(客户自备加工筐明细!$F$4:$F$1203,$Z60-4000))+N(INDEX(客户自备加工筐明细!$G$4:$G$1203,$Z60-4000)),IF($Z60&lt;=5800,IF(INDEX(次果筐明细!$G$4:$G$603,$Z60-5200)=0,"",INDEX(次果筐明细!$G$4:$G$603,$Z60-5200)),"")))))</f>
        <v>936</v>
      </c>
      <c r="I60" s="24" t="str">
        <f>IF($Z60="","",IF($Z60&lt;=2000,IF(INDEX(包装物料出入库明细!$G$4:$G$2003,$Z60-0)=0,"",INDEX(包装物料出入库明细!$G$4:$G$2003,$Z60-0)),IF($Z60&lt;=4000,"个",IF($Z60&lt;=5200,"个",IF($Z60&lt;=5800,"个","")))))</f>
        <v>个</v>
      </c>
      <c r="J60" s="30" t="str">
        <f t="shared" si="1"/>
        <v/>
      </c>
      <c r="K60" s="30" t="str">
        <f>IF($Z60="","",IF($Z60&lt;=2000,IF(INDEX(包装物料出入库明细!$N$4:$N$2003,$Z60-0)=0,"",INDEX(包装物料出入库明细!$N$4:$N$2003,$Z60-0)),IF($Z60&lt;=4000,IF(INDEX(周转筐出入库明细!$P$4:$P$2004,$Z60-2000)=0,"",INDEX(周转筐出入库明细!$P$4:$P$2004,$Z60-2000)),IF($Z60&lt;=5200,"",IF($Z60&lt;=5800,N(INDEX(次果筐明细!$L$4:$L$603,$Z60-5200))+N(INDEX(次果筐明细!$J$4:$J$603,$Z60-5200)),"")))))</f>
        <v/>
      </c>
      <c r="L60" s="24" t="str">
        <f>IF($Z60="","",IF($Z60&lt;=2000,IF(INDEX(包装物料出入库明细!$P$4:$P$2003,$Z60-0)=0,"",INDEX(包装物料出入库明细!$P$4:$P$2003,$Z60-0)),IF($Z60&lt;=4000,IF(INDEX(周转筐出入库明细!$Q$4:$Q$2004,$Z60-2000)=0,"",INDEX(周转筐出入库明细!$Q$4:$Q$2004,$Z60-2000)),IF($Z60&lt;=5200,"",IF($Z60&lt;=5800,IF(INDEX(次果筐明细!$M$4:$M$603,$Z60-5200)=0,"",INDEX(次果筐明细!$M$4:$M$603,$Z60-5200)),"")))))</f>
        <v/>
      </c>
      <c r="M60" s="37" t="str">
        <f>IF($Z60="","",IF($Z60&lt;=2000,IF(INDEX(包装物料出入库明细!$R$4:$R$2003,$Z60-0)=0,"",INDEX(包装物料出入库明细!$R$4:$R$2003,$Z60-0)),IF($Z60&lt;=4000,IF(INDEX(周转筐出入库明细!$W$4:$W$2004,$Z60-2000)=0,"",INDEX(周转筐出入库明细!$W$4:$W$2004,$Z60-2000)),IF($Z60&lt;=5200,IF(INDEX(客户自备加工筐明细!$L$4:$L$1203,$Z60-4000)=0,"",INDEX(客户自备加工筐明细!$L$4:$L$1203,$Z60-4000)),IF($Z60&lt;=5800,IF(INDEX(次果筐明细!$P$4:$P$603,$Z60-5200)=0,"",INDEX(次果筐明细!$P$4:$P$603,$Z60-5200)),"")))))</f>
        <v/>
      </c>
      <c r="N60" s="16" t="str">
        <f>IF($Z60="","",IF($Z60&lt;=2000,"",IF($Z60&lt;=4000,IF(INDEX(周转筐出入库明细!$D$4:$D$2004,$Z60-2000)=0,"",INDEX(周转筐出入库明细!$D$4:$D$2004,$Z60-2000)),IF($Z60&lt;=5200,IF(INDEX(客户自备加工筐明细!$C$4:$C$1203,$Z60-4000)=0,"",INDEX(客户自备加工筐明细!$C$4:$C$1203,$Z60-4000)),IF($Z60&lt;=5800,IF(INDEX(次果筐明细!$D$4:$D$603,$Z60-5200)=0,"",INDEX(次果筐明细!$D$4:$D$603,$Z60-5200)),"")))))</f>
        <v>公司红周转筐</v>
      </c>
      <c r="O60" s="40">
        <f>IF($Z60="","",IF($Z60&lt;=2000,"",IF($Z60&lt;=4000,IF(N(INDEX(周转筐出入库明细!$J$4:$J$2004,$Z60-2000))+N(INDEX(周转筐出入库明细!$K$4:$K$2004,$Z60-2000))=0,"",N(INDEX(周转筐出入库明细!$J$4:$J$2004,$Z60-2000))+N(INDEX(周转筐出入库明细!$K$4:$K$2004,$Z60-2000))),IF($Z60&lt;=5200,IF(N(INDEX(客户自备加工筐明细!$G$4:$G$1203,$Z60-4000))=0,"",N(INDEX(客户自备加工筐明细!$G$4:$G$1203,$Z60-4000))),IF($Z60&lt;=5800,IF(ISNUMBER(SEARCH("退",INDEX(次果筐明细!$F$4:$F$603,$Z60-5200)&amp;"")),"",IF(N(INDEX(次果筐明细!$G$4:$G$603,$Z60-5200))=0,"",N(INDEX(次果筐明细!$G$4:$G$603,$Z60-5200)))),"")))))</f>
        <v>936</v>
      </c>
      <c r="P60" s="40" t="str">
        <f>IF($Z60="","",IF($Z60&lt;=2000,"",IF($Z60&lt;=4000,IF(N(INDEX(周转筐出入库明细!$I$4:$I$2004,$Z60-2000))=0,"",N(INDEX(周转筐出入库明细!$I$4:$I$2004,$Z60-2000))),IF($Z60&lt;=5200,"",IF($Z60&lt;=5800,IF(ISNUMBER(SEARCH("退",INDEX(次果筐明细!$F$4:$F$603,$Z60-5200)&amp;"")),IF(N(INDEX(次果筐明细!$G$4:$G$603,$Z60-5200))=0,"",N(INDEX(次果筐明细!$G$4:$G$603,$Z60-5200))),""),"")))))</f>
        <v/>
      </c>
      <c r="Q60" s="40" t="str">
        <f>IF($Z60="","",IF($Z60&lt;=2000,"",IF($Z60&lt;=4000,IF(N(INDEX(周转筐出入库明细!$H$4:$H$2004,$Z60-2000))=0,"",N(INDEX(周转筐出入库明细!$H$4:$H$2004,$Z60-2000))),IF($Z60&lt;=5200,IF(N(INDEX(客户自备加工筐明细!$F$4:$F$1203,$Z60-4000))=0,"",N(INDEX(客户自备加工筐明细!$F$4:$F$1203,$Z60-4000))),IF($Z60&lt;=5800,"","")))))</f>
        <v/>
      </c>
      <c r="R60" s="16" t="str">
        <f>IF($Z60="","",IF($Z60&lt;=2000,IF(INDEX(包装物料出入库明细!$O$4:$O$2003,$Z60-0)=0,"",INDEX(包装物料出入库明细!$O$4:$O$2003,$Z60-0)),IF($Z60&lt;=4000,IF(INDEX(周转筐出入库明细!$M$4:$M$2004,$Z60-2000)=0,"",INDEX(周转筐出入库明细!$M$4:$M$2004,$Z60-2000)),IF($Z60&lt;=5200,IF(INDEX(客户自备加工筐明细!$H$4:$H$1203,$Z60-4000)=0,"",INDEX(客户自备加工筐明细!$H$4:$H$1203,$Z60-4000)),IF($Z60&lt;=5800,IF(INDEX(次果筐明细!$H$4:$H$603,$Z60-5200)=0,"",INDEX(次果筐明细!$H$4:$H$603,$Z60-5200)),"")))))</f>
        <v>新F*75240</v>
      </c>
      <c r="S60" s="22" t="str">
        <f t="shared" si="2"/>
        <v>公司筐</v>
      </c>
      <c r="Z60" s="10">
        <f>IFERROR(MATCH(ROW()-3,_自动清单!$CQ$4:$CQ$5803,0),"")</f>
        <v>2024</v>
      </c>
    </row>
    <row r="61" spans="1:26">
      <c r="A61" s="24">
        <f t="shared" si="0"/>
        <v>58</v>
      </c>
      <c r="B61" s="38">
        <f>IF($Z61="","",IF($Z61&lt;=2000,IF(INDEX(包装物料出入库明细!$B$4:$B$2003,$Z61-0)=0,"",INDEX(包装物料出入库明细!$B$4:$B$2003,$Z61-0)),IF($Z61&lt;=4000,IF(INDEX(周转筐出入库明细!$B$4:$B$2004,$Z61-2000)=0,"",INDEX(周转筐出入库明细!$B$4:$B$2004,$Z61-2000)),IF($Z61&lt;=5200,IF(INDEX(客户自备加工筐明细!$B$4:$B$1203,$Z61-4000)=0,"",INDEX(客户自备加工筐明细!$B$4:$B$1203,$Z61-4000)),IF($Z61&lt;=5800,IF(INDEX(次果筐明细!$B$4:$B$603,$Z61-5200)=0,"",INDEX(次果筐明细!$B$4:$B$603,$Z61-5200)),"")))))</f>
        <v>46269</v>
      </c>
      <c r="C61" s="37" t="str">
        <f>IF($Z61="","",IF($Z61&lt;=2000,IF(INDEX(包装物料出入库明细!$D$4:$D$2003,$Z61-0)=0,"",INDEX(包装物料出入库明细!$D$4:$D$2003,$Z61-0)),IF($Z61&lt;=4000,IF(INDEX(周转筐出入库明细!$C$4:$C$2004,$Z61-2000)=0,"",INDEX(周转筐出入库明细!$C$4:$C$2004,$Z61-2000)),IF($Z61&lt;=5200,IF(INDEX(客户自备加工筐明细!$E$4:$E$1203,$Z61-4000)=0,"",INDEX(客户自备加工筐明细!$E$4:$E$1203,$Z61-4000)),IF($Z61&lt;=5800,IF(INDEX(次果筐明细!$C$4:$C$603,$Z61-5200)=0,"",INDEX(次果筐明细!$C$4:$C$603,$Z61-5200)),"")))))</f>
        <v>全修塑业</v>
      </c>
      <c r="D61" s="37" t="str">
        <f>IF($Z61="","",IF($Z61&lt;=2000,"包装物料－"&amp;INDEX(包装物料出入库明细!$H$4:$H$2003,$Z61-0),IF($Z61&lt;=4000,"周转筐－"&amp;INDEX(周转筐出入库明细!$F$4:$F$2004,$Z61-2000),IF($Z61&lt;=5200,"客户自备筐－"&amp;INDEX(客户自备加工筐明细!$J$4:$J$1203,$Z61-4000),IF($Z61&lt;=5800,"次果筐/托盘－"&amp;INDEX(次果筐明细!$F$4:$F$603,$Z61-5200),"")))))</f>
        <v>周转筐－采购入库</v>
      </c>
      <c r="E61" s="24" t="str">
        <f>IF($Z61="","",IF($Z61&lt;=2000,IF(INDEX(包装物料出入库明细!$C$4:$C$2003,$Z61-0)=0,"",INDEX(包装物料出入库明细!$C$4:$C$2003,$Z61-0)),IF($Z61&lt;=4000,IF(INDEX(周转筐出入库明细!$E$4:$E$2004,$Z61-2000)=0,"",INDEX(周转筐出入库明细!$E$4:$E$2004,$Z61-2000)),IF($Z61&lt;=5200,IF(INDEX(客户自备加工筐明细!$D$4:$D$1203,$Z61-4000)=0,"",INDEX(客户自备加工筐明细!$D$4:$D$1203,$Z61-4000)),IF($Z61&lt;=5800,IF(INDEX(次果筐明细!$E$4:$E$603,$Z61-5200)=0,"",INDEX(次果筐明细!$E$4:$E$603,$Z61-5200)),"")))))</f>
        <v>NO:0000750</v>
      </c>
      <c r="F61" s="24" t="str">
        <f>IF($Z61="","",IF($Z61&lt;=2000,IF(INDEX(包装物料出入库明细!$E$4:$E$2003,$Z61-0)=0,"",INDEX(包装物料出入库明细!$E$4:$E$2003,$Z61-0)),IF($Z61&lt;=4000,IF(INDEX(周转筐出入库明细!$D$4:$D$2004,$Z61-2000)=0,"",INDEX(周转筐出入库明细!$D$4:$D$2004,$Z61-2000)),IF($Z61&lt;=5200,IF(INDEX(客户自备加工筐明细!$C$4:$C$1203,$Z61-4000)=0,"",INDEX(客户自备加工筐明细!$C$4:$C$1203,$Z61-4000)),IF($Z61&lt;=5800,IF(INDEX(次果筐明细!$D$4:$D$603,$Z61-5200)=0,"",INDEX(次果筐明细!$D$4:$D$603,$Z61-5200)),"")))))</f>
        <v>公司红周转筐</v>
      </c>
      <c r="G61" s="24" t="str">
        <f>IF($Z61="","",IF($Z61&lt;=2000,IF(INDEX(包装物料出入库明细!$F$4:$F$2003,$Z61-0)=0,"",INDEX(包装物料出入库明细!$F$4:$F$2003,$Z61-0)),IF($Z61&lt;=4000,"",IF($Z61&lt;=5200,"",IF($Z61&lt;=5800,"","")))))</f>
        <v/>
      </c>
      <c r="H61" s="39">
        <f>IF($Z61="","",IF($Z61&lt;=2000,IF(INDEX(包装物料出入库明细!$L$4:$L$2003,$Z61-0)=0,"",INDEX(包装物料出入库明细!$L$4:$L$2003,$Z61-0)),IF($Z61&lt;=4000,N(INDEX(周转筐出入库明细!$H$4:$H$2004,$Z61-2000))+N(INDEX(周转筐出入库明细!$I$4:$I$2004,$Z61-2000))+N(INDEX(周转筐出入库明细!$J$4:$J$2004,$Z61-2000))+N(INDEX(周转筐出入库明细!$K$4:$K$2004,$Z61-2000)),IF($Z61&lt;=5200,N(INDEX(客户自备加工筐明细!$F$4:$F$1203,$Z61-4000))+N(INDEX(客户自备加工筐明细!$G$4:$G$1203,$Z61-4000)),IF($Z61&lt;=5800,IF(INDEX(次果筐明细!$G$4:$G$603,$Z61-5200)=0,"",INDEX(次果筐明细!$G$4:$G$603,$Z61-5200)),"")))))</f>
        <v>960</v>
      </c>
      <c r="I61" s="24" t="str">
        <f>IF($Z61="","",IF($Z61&lt;=2000,IF(INDEX(包装物料出入库明细!$G$4:$G$2003,$Z61-0)=0,"",INDEX(包装物料出入库明细!$G$4:$G$2003,$Z61-0)),IF($Z61&lt;=4000,"个",IF($Z61&lt;=5200,"个",IF($Z61&lt;=5800,"个","")))))</f>
        <v>个</v>
      </c>
      <c r="J61" s="30" t="str">
        <f t="shared" si="1"/>
        <v/>
      </c>
      <c r="K61" s="30">
        <f>IF($Z61="","",IF($Z61&lt;=2000,IF(INDEX(包装物料出入库明细!$N$4:$N$2003,$Z61-0)=0,"",INDEX(包装物料出入库明细!$N$4:$N$2003,$Z61-0)),IF($Z61&lt;=4000,IF(INDEX(周转筐出入库明细!$P$4:$P$2004,$Z61-2000)=0,"",INDEX(周转筐出入库明细!$P$4:$P$2004,$Z61-2000)),IF($Z61&lt;=5200,"",IF($Z61&lt;=5800,N(INDEX(次果筐明细!$L$4:$L$603,$Z61-5200))+N(INDEX(次果筐明细!$J$4:$J$603,$Z61-5200)),"")))))</f>
        <v>9600</v>
      </c>
      <c r="L61" s="24" t="str">
        <f>IF($Z61="","",IF($Z61&lt;=2000,IF(INDEX(包装物料出入库明细!$P$4:$P$2003,$Z61-0)=0,"",INDEX(包装物料出入库明细!$P$4:$P$2003,$Z61-0)),IF($Z61&lt;=4000,IF(INDEX(周转筐出入库明细!$Q$4:$Q$2004,$Z61-2000)=0,"",INDEX(周转筐出入库明细!$Q$4:$Q$2004,$Z61-2000)),IF($Z61&lt;=5200,"",IF($Z61&lt;=5800,IF(INDEX(次果筐明细!$M$4:$M$603,$Z61-5200)=0,"",INDEX(次果筐明细!$M$4:$M$603,$Z61-5200)),"")))))</f>
        <v>未付款</v>
      </c>
      <c r="M61" s="37" t="str">
        <f>IF($Z61="","",IF($Z61&lt;=2000,IF(INDEX(包装物料出入库明细!$R$4:$R$2003,$Z61-0)=0,"",INDEX(包装物料出入库明细!$R$4:$R$2003,$Z61-0)),IF($Z61&lt;=4000,IF(INDEX(周转筐出入库明细!$W$4:$W$2004,$Z61-2000)=0,"",INDEX(周转筐出入库明细!$W$4:$W$2004,$Z61-2000)),IF($Z61&lt;=5200,IF(INDEX(客户自备加工筐明细!$L$4:$L$1203,$Z61-4000)=0,"",INDEX(客户自备加工筐明细!$L$4:$L$1203,$Z61-4000)),IF($Z61&lt;=5800,IF(INDEX(次果筐明细!$P$4:$P$603,$Z61-5200)=0,"",INDEX(次果筐明细!$P$4:$P$603,$Z61-5200)),"")))))</f>
        <v>NO:2745247</v>
      </c>
      <c r="N61" s="16" t="str">
        <f>IF($Z61="","",IF($Z61&lt;=2000,"",IF($Z61&lt;=4000,IF(INDEX(周转筐出入库明细!$D$4:$D$2004,$Z61-2000)=0,"",INDEX(周转筐出入库明细!$D$4:$D$2004,$Z61-2000)),IF($Z61&lt;=5200,IF(INDEX(客户自备加工筐明细!$C$4:$C$1203,$Z61-4000)=0,"",INDEX(客户自备加工筐明细!$C$4:$C$1203,$Z61-4000)),IF($Z61&lt;=5800,IF(INDEX(次果筐明细!$D$4:$D$603,$Z61-5200)=0,"",INDEX(次果筐明细!$D$4:$D$603,$Z61-5200)),"")))))</f>
        <v>公司红周转筐</v>
      </c>
      <c r="O61" s="40" t="str">
        <f>IF($Z61="","",IF($Z61&lt;=2000,"",IF($Z61&lt;=4000,IF(N(INDEX(周转筐出入库明细!$J$4:$J$2004,$Z61-2000))+N(INDEX(周转筐出入库明细!$K$4:$K$2004,$Z61-2000))=0,"",N(INDEX(周转筐出入库明细!$J$4:$J$2004,$Z61-2000))+N(INDEX(周转筐出入库明细!$K$4:$K$2004,$Z61-2000))),IF($Z61&lt;=5200,IF(N(INDEX(客户自备加工筐明细!$G$4:$G$1203,$Z61-4000))=0,"",N(INDEX(客户自备加工筐明细!$G$4:$G$1203,$Z61-4000))),IF($Z61&lt;=5800,IF(ISNUMBER(SEARCH("退",INDEX(次果筐明细!$F$4:$F$603,$Z61-5200)&amp;"")),"",IF(N(INDEX(次果筐明细!$G$4:$G$603,$Z61-5200))=0,"",N(INDEX(次果筐明细!$G$4:$G$603,$Z61-5200)))),"")))))</f>
        <v/>
      </c>
      <c r="P61" s="40" t="str">
        <f>IF($Z61="","",IF($Z61&lt;=2000,"",IF($Z61&lt;=4000,IF(N(INDEX(周转筐出入库明细!$I$4:$I$2004,$Z61-2000))=0,"",N(INDEX(周转筐出入库明细!$I$4:$I$2004,$Z61-2000))),IF($Z61&lt;=5200,"",IF($Z61&lt;=5800,IF(ISNUMBER(SEARCH("退",INDEX(次果筐明细!$F$4:$F$603,$Z61-5200)&amp;"")),IF(N(INDEX(次果筐明细!$G$4:$G$603,$Z61-5200))=0,"",N(INDEX(次果筐明细!$G$4:$G$603,$Z61-5200))),""),"")))))</f>
        <v/>
      </c>
      <c r="Q61" s="40">
        <f>IF($Z61="","",IF($Z61&lt;=2000,"",IF($Z61&lt;=4000,IF(N(INDEX(周转筐出入库明细!$H$4:$H$2004,$Z61-2000))=0,"",N(INDEX(周转筐出入库明细!$H$4:$H$2004,$Z61-2000))),IF($Z61&lt;=5200,IF(N(INDEX(客户自备加工筐明细!$F$4:$F$1203,$Z61-4000))=0,"",N(INDEX(客户自备加工筐明细!$F$4:$F$1203,$Z61-4000))),IF($Z61&lt;=5800,"","")))))</f>
        <v>960</v>
      </c>
      <c r="R61" s="16" t="str">
        <f>IF($Z61="","",IF($Z61&lt;=2000,IF(INDEX(包装物料出入库明细!$O$4:$O$2003,$Z61-0)=0,"",INDEX(包装物料出入库明细!$O$4:$O$2003,$Z61-0)),IF($Z61&lt;=4000,IF(INDEX(周转筐出入库明细!$M$4:$M$2004,$Z61-2000)=0,"",INDEX(周转筐出入库明细!$M$4:$M$2004,$Z61-2000)),IF($Z61&lt;=5200,IF(INDEX(客户自备加工筐明细!$H$4:$H$1203,$Z61-4000)=0,"",INDEX(客户自备加工筐明细!$H$4:$H$1203,$Z61-4000)),IF($Z61&lt;=5800,IF(INDEX(次果筐明细!$H$4:$H$603,$Z61-5200)=0,"",INDEX(次果筐明细!$H$4:$H$603,$Z61-5200)),"")))))</f>
        <v>豫A*2737K</v>
      </c>
      <c r="S61" s="22" t="str">
        <f t="shared" si="2"/>
        <v>公司筐</v>
      </c>
      <c r="Z61" s="10">
        <f>IFERROR(MATCH(ROW()-3,_自动清单!$CQ$4:$CQ$5803,0),"")</f>
        <v>2025</v>
      </c>
    </row>
    <row r="62" spans="1:26">
      <c r="A62" s="24">
        <f t="shared" si="0"/>
        <v>59</v>
      </c>
      <c r="B62" s="38">
        <f>IF($Z62="","",IF($Z62&lt;=2000,IF(INDEX(包装物料出入库明细!$B$4:$B$2003,$Z62-0)=0,"",INDEX(包装物料出入库明细!$B$4:$B$2003,$Z62-0)),IF($Z62&lt;=4000,IF(INDEX(周转筐出入库明细!$B$4:$B$2004,$Z62-2000)=0,"",INDEX(周转筐出入库明细!$B$4:$B$2004,$Z62-2000)),IF($Z62&lt;=5200,IF(INDEX(客户自备加工筐明细!$B$4:$B$1203,$Z62-4000)=0,"",INDEX(客户自备加工筐明细!$B$4:$B$1203,$Z62-4000)),IF($Z62&lt;=5800,IF(INDEX(次果筐明细!$B$4:$B$603,$Z62-5200)=0,"",INDEX(次果筐明细!$B$4:$B$603,$Z62-5200)),"")))))</f>
        <v>46269</v>
      </c>
      <c r="C62" s="37" t="str">
        <f>IF($Z62="","",IF($Z62&lt;=2000,IF(INDEX(包装物料出入库明细!$D$4:$D$2003,$Z62-0)=0,"",INDEX(包装物料出入库明细!$D$4:$D$2003,$Z62-0)),IF($Z62&lt;=4000,IF(INDEX(周转筐出入库明细!$C$4:$C$2004,$Z62-2000)=0,"",INDEX(周转筐出入库明细!$C$4:$C$2004,$Z62-2000)),IF($Z62&lt;=5200,IF(INDEX(客户自备加工筐明细!$E$4:$E$1203,$Z62-4000)=0,"",INDEX(客户自备加工筐明细!$E$4:$E$1203,$Z62-4000)),IF($Z62&lt;=5800,IF(INDEX(次果筐明细!$C$4:$C$603,$Z62-5200)=0,"",INDEX(次果筐明细!$C$4:$C$603,$Z62-5200)),"")))))</f>
        <v>荆建君</v>
      </c>
      <c r="D62" s="37" t="str">
        <f>IF($Z62="","",IF($Z62&lt;=2000,"包装物料－"&amp;INDEX(包装物料出入库明细!$H$4:$H$2003,$Z62-0),IF($Z62&lt;=4000,"周转筐－"&amp;INDEX(周转筐出入库明细!$F$4:$F$2004,$Z62-2000),IF($Z62&lt;=5200,"客户自备筐－"&amp;INDEX(客户自备加工筐明细!$J$4:$J$1203,$Z62-4000),IF($Z62&lt;=5800,"次果筐/托盘－"&amp;INDEX(次果筐明细!$F$4:$F$603,$Z62-5200),"")))))</f>
        <v>周转筐－领用出库</v>
      </c>
      <c r="E62" s="24" t="str">
        <f>IF($Z62="","",IF($Z62&lt;=2000,IF(INDEX(包装物料出入库明细!$C$4:$C$2003,$Z62-0)=0,"",INDEX(包装物料出入库明细!$C$4:$C$2003,$Z62-0)),IF($Z62&lt;=4000,IF(INDEX(周转筐出入库明细!$E$4:$E$2004,$Z62-2000)=0,"",INDEX(周转筐出入库明细!$E$4:$E$2004,$Z62-2000)),IF($Z62&lt;=5200,IF(INDEX(客户自备加工筐明细!$D$4:$D$1203,$Z62-4000)=0,"",INDEX(客户自备加工筐明细!$D$4:$D$1203,$Z62-4000)),IF($Z62&lt;=5800,IF(INDEX(次果筐明细!$E$4:$E$603,$Z62-5200)=0,"",INDEX(次果筐明细!$E$4:$E$603,$Z62-5200)),"")))))</f>
        <v>NO:0001077</v>
      </c>
      <c r="F62" s="24" t="str">
        <f>IF($Z62="","",IF($Z62&lt;=2000,IF(INDEX(包装物料出入库明细!$E$4:$E$2003,$Z62-0)=0,"",INDEX(包装物料出入库明细!$E$4:$E$2003,$Z62-0)),IF($Z62&lt;=4000,IF(INDEX(周转筐出入库明细!$D$4:$D$2004,$Z62-2000)=0,"",INDEX(周转筐出入库明细!$D$4:$D$2004,$Z62-2000)),IF($Z62&lt;=5200,IF(INDEX(客户自备加工筐明细!$C$4:$C$1203,$Z62-4000)=0,"",INDEX(客户自备加工筐明细!$C$4:$C$1203,$Z62-4000)),IF($Z62&lt;=5800,IF(INDEX(次果筐明细!$D$4:$D$603,$Z62-5200)=0,"",INDEX(次果筐明细!$D$4:$D$603,$Z62-5200)),"")))))</f>
        <v>公司红周转筐</v>
      </c>
      <c r="G62" s="24" t="str">
        <f>IF($Z62="","",IF($Z62&lt;=2000,IF(INDEX(包装物料出入库明细!$F$4:$F$2003,$Z62-0)=0,"",INDEX(包装物料出入库明细!$F$4:$F$2003,$Z62-0)),IF($Z62&lt;=4000,"",IF($Z62&lt;=5200,"",IF($Z62&lt;=5800,"","")))))</f>
        <v/>
      </c>
      <c r="H62" s="39">
        <f>IF($Z62="","",IF($Z62&lt;=2000,IF(INDEX(包装物料出入库明细!$L$4:$L$2003,$Z62-0)=0,"",INDEX(包装物料出入库明细!$L$4:$L$2003,$Z62-0)),IF($Z62&lt;=4000,N(INDEX(周转筐出入库明细!$H$4:$H$2004,$Z62-2000))+N(INDEX(周转筐出入库明细!$I$4:$I$2004,$Z62-2000))+N(INDEX(周转筐出入库明细!$J$4:$J$2004,$Z62-2000))+N(INDEX(周转筐出入库明细!$K$4:$K$2004,$Z62-2000)),IF($Z62&lt;=5200,N(INDEX(客户自备加工筐明细!$F$4:$F$1203,$Z62-4000))+N(INDEX(客户自备加工筐明细!$G$4:$G$1203,$Z62-4000)),IF($Z62&lt;=5800,IF(INDEX(次果筐明细!$G$4:$G$603,$Z62-5200)=0,"",INDEX(次果筐明细!$G$4:$G$603,$Z62-5200)),"")))))</f>
        <v>960</v>
      </c>
      <c r="I62" s="24" t="str">
        <f>IF($Z62="","",IF($Z62&lt;=2000,IF(INDEX(包装物料出入库明细!$G$4:$G$2003,$Z62-0)=0,"",INDEX(包装物料出入库明细!$G$4:$G$2003,$Z62-0)),IF($Z62&lt;=4000,"个",IF($Z62&lt;=5200,"个",IF($Z62&lt;=5800,"个","")))))</f>
        <v>个</v>
      </c>
      <c r="J62" s="30" t="str">
        <f t="shared" si="1"/>
        <v/>
      </c>
      <c r="K62" s="30" t="str">
        <f>IF($Z62="","",IF($Z62&lt;=2000,IF(INDEX(包装物料出入库明细!$N$4:$N$2003,$Z62-0)=0,"",INDEX(包装物料出入库明细!$N$4:$N$2003,$Z62-0)),IF($Z62&lt;=4000,IF(INDEX(周转筐出入库明细!$P$4:$P$2004,$Z62-2000)=0,"",INDEX(周转筐出入库明细!$P$4:$P$2004,$Z62-2000)),IF($Z62&lt;=5200,"",IF($Z62&lt;=5800,N(INDEX(次果筐明细!$L$4:$L$603,$Z62-5200))+N(INDEX(次果筐明细!$J$4:$J$603,$Z62-5200)),"")))))</f>
        <v/>
      </c>
      <c r="L62" s="24" t="str">
        <f>IF($Z62="","",IF($Z62&lt;=2000,IF(INDEX(包装物料出入库明细!$P$4:$P$2003,$Z62-0)=0,"",INDEX(包装物料出入库明细!$P$4:$P$2003,$Z62-0)),IF($Z62&lt;=4000,IF(INDEX(周转筐出入库明细!$Q$4:$Q$2004,$Z62-2000)=0,"",INDEX(周转筐出入库明细!$Q$4:$Q$2004,$Z62-2000)),IF($Z62&lt;=5200,"",IF($Z62&lt;=5800,IF(INDEX(次果筐明细!$M$4:$M$603,$Z62-5200)=0,"",INDEX(次果筐明细!$M$4:$M$603,$Z62-5200)),"")))))</f>
        <v/>
      </c>
      <c r="M62" s="37" t="str">
        <f>IF($Z62="","",IF($Z62&lt;=2000,IF(INDEX(包装物料出入库明细!$R$4:$R$2003,$Z62-0)=0,"",INDEX(包装物料出入库明细!$R$4:$R$2003,$Z62-0)),IF($Z62&lt;=4000,IF(INDEX(周转筐出入库明细!$W$4:$W$2004,$Z62-2000)=0,"",INDEX(周转筐出入库明细!$W$4:$W$2004,$Z62-2000)),IF($Z62&lt;=5200,IF(INDEX(客户自备加工筐明细!$L$4:$L$1203,$Z62-4000)=0,"",INDEX(客户自备加工筐明细!$L$4:$L$1203,$Z62-4000)),IF($Z62&lt;=5800,IF(INDEX(次果筐明细!$P$4:$P$603,$Z62-5200)=0,"",INDEX(次果筐明细!$P$4:$P$603,$Z62-5200)),"")))))</f>
        <v/>
      </c>
      <c r="N62" s="16" t="str">
        <f>IF($Z62="","",IF($Z62&lt;=2000,"",IF($Z62&lt;=4000,IF(INDEX(周转筐出入库明细!$D$4:$D$2004,$Z62-2000)=0,"",INDEX(周转筐出入库明细!$D$4:$D$2004,$Z62-2000)),IF($Z62&lt;=5200,IF(INDEX(客户自备加工筐明细!$C$4:$C$1203,$Z62-4000)=0,"",INDEX(客户自备加工筐明细!$C$4:$C$1203,$Z62-4000)),IF($Z62&lt;=5800,IF(INDEX(次果筐明细!$D$4:$D$603,$Z62-5200)=0,"",INDEX(次果筐明细!$D$4:$D$603,$Z62-5200)),"")))))</f>
        <v>公司红周转筐</v>
      </c>
      <c r="O62" s="40">
        <f>IF($Z62="","",IF($Z62&lt;=2000,"",IF($Z62&lt;=4000,IF(N(INDEX(周转筐出入库明细!$J$4:$J$2004,$Z62-2000))+N(INDEX(周转筐出入库明细!$K$4:$K$2004,$Z62-2000))=0,"",N(INDEX(周转筐出入库明细!$J$4:$J$2004,$Z62-2000))+N(INDEX(周转筐出入库明细!$K$4:$K$2004,$Z62-2000))),IF($Z62&lt;=5200,IF(N(INDEX(客户自备加工筐明细!$G$4:$G$1203,$Z62-4000))=0,"",N(INDEX(客户自备加工筐明细!$G$4:$G$1203,$Z62-4000))),IF($Z62&lt;=5800,IF(ISNUMBER(SEARCH("退",INDEX(次果筐明细!$F$4:$F$603,$Z62-5200)&amp;"")),"",IF(N(INDEX(次果筐明细!$G$4:$G$603,$Z62-5200))=0,"",N(INDEX(次果筐明细!$G$4:$G$603,$Z62-5200)))),"")))))</f>
        <v>960</v>
      </c>
      <c r="P62" s="40" t="str">
        <f>IF($Z62="","",IF($Z62&lt;=2000,"",IF($Z62&lt;=4000,IF(N(INDEX(周转筐出入库明细!$I$4:$I$2004,$Z62-2000))=0,"",N(INDEX(周转筐出入库明细!$I$4:$I$2004,$Z62-2000))),IF($Z62&lt;=5200,"",IF($Z62&lt;=5800,IF(ISNUMBER(SEARCH("退",INDEX(次果筐明细!$F$4:$F$603,$Z62-5200)&amp;"")),IF(N(INDEX(次果筐明细!$G$4:$G$603,$Z62-5200))=0,"",N(INDEX(次果筐明细!$G$4:$G$603,$Z62-5200))),""),"")))))</f>
        <v/>
      </c>
      <c r="Q62" s="40" t="str">
        <f>IF($Z62="","",IF($Z62&lt;=2000,"",IF($Z62&lt;=4000,IF(N(INDEX(周转筐出入库明细!$H$4:$H$2004,$Z62-2000))=0,"",N(INDEX(周转筐出入库明细!$H$4:$H$2004,$Z62-2000))),IF($Z62&lt;=5200,IF(N(INDEX(客户自备加工筐明细!$F$4:$F$1203,$Z62-4000))=0,"",N(INDEX(客户自备加工筐明细!$F$4:$F$1203,$Z62-4000))),IF($Z62&lt;=5800,"","")))))</f>
        <v/>
      </c>
      <c r="R62" s="16" t="str">
        <f>IF($Z62="","",IF($Z62&lt;=2000,IF(INDEX(包装物料出入库明细!$O$4:$O$2003,$Z62-0)=0,"",INDEX(包装物料出入库明细!$O$4:$O$2003,$Z62-0)),IF($Z62&lt;=4000,IF(INDEX(周转筐出入库明细!$M$4:$M$2004,$Z62-2000)=0,"",INDEX(周转筐出入库明细!$M$4:$M$2004,$Z62-2000)),IF($Z62&lt;=5200,IF(INDEX(客户自备加工筐明细!$H$4:$H$1203,$Z62-4000)=0,"",INDEX(客户自备加工筐明细!$H$4:$H$1203,$Z62-4000)),IF($Z62&lt;=5800,IF(INDEX(次果筐明细!$H$4:$H$603,$Z62-5200)=0,"",INDEX(次果筐明细!$H$4:$H$603,$Z62-5200)),"")))))</f>
        <v>豫A*2737K</v>
      </c>
      <c r="S62" s="22" t="str">
        <f t="shared" si="2"/>
        <v>公司筐</v>
      </c>
      <c r="Z62" s="10">
        <f>IFERROR(MATCH(ROW()-3,_自动清单!$CQ$4:$CQ$5803,0),"")</f>
        <v>2026</v>
      </c>
    </row>
    <row r="63" spans="1:26">
      <c r="A63" s="24">
        <f t="shared" si="0"/>
        <v>60</v>
      </c>
      <c r="B63" s="38">
        <f>IF($Z63="","",IF($Z63&lt;=2000,IF(INDEX(包装物料出入库明细!$B$4:$B$2003,$Z63-0)=0,"",INDEX(包装物料出入库明细!$B$4:$B$2003,$Z63-0)),IF($Z63&lt;=4000,IF(INDEX(周转筐出入库明细!$B$4:$B$2004,$Z63-2000)=0,"",INDEX(周转筐出入库明细!$B$4:$B$2004,$Z63-2000)),IF($Z63&lt;=5200,IF(INDEX(客户自备加工筐明细!$B$4:$B$1203,$Z63-4000)=0,"",INDEX(客户自备加工筐明细!$B$4:$B$1203,$Z63-4000)),IF($Z63&lt;=5800,IF(INDEX(次果筐明细!$B$4:$B$603,$Z63-5200)=0,"",INDEX(次果筐明细!$B$4:$B$603,$Z63-5200)),"")))))</f>
        <v>46269</v>
      </c>
      <c r="C63" s="37" t="str">
        <f>IF($Z63="","",IF($Z63&lt;=2000,IF(INDEX(包装物料出入库明细!$D$4:$D$2003,$Z63-0)=0,"",INDEX(包装物料出入库明细!$D$4:$D$2003,$Z63-0)),IF($Z63&lt;=4000,IF(INDEX(周转筐出入库明细!$C$4:$C$2004,$Z63-2000)=0,"",INDEX(周转筐出入库明细!$C$4:$C$2004,$Z63-2000)),IF($Z63&lt;=5200,IF(INDEX(客户自备加工筐明细!$E$4:$E$1203,$Z63-4000)=0,"",INDEX(客户自备加工筐明细!$E$4:$E$1203,$Z63-4000)),IF($Z63&lt;=5800,IF(INDEX(次果筐明细!$C$4:$C$603,$Z63-5200)=0,"",INDEX(次果筐明细!$C$4:$C$603,$Z63-5200)),"")))))</f>
        <v>马锦祥</v>
      </c>
      <c r="D63" s="37" t="str">
        <f>IF($Z63="","",IF($Z63&lt;=2000,"包装物料－"&amp;INDEX(包装物料出入库明细!$H$4:$H$2003,$Z63-0),IF($Z63&lt;=4000,"周转筐－"&amp;INDEX(周转筐出入库明细!$F$4:$F$2004,$Z63-2000),IF($Z63&lt;=5200,"客户自备筐－"&amp;INDEX(客户自备加工筐明细!$J$4:$J$1203,$Z63-4000),IF($Z63&lt;=5800,"次果筐/托盘－"&amp;INDEX(次果筐明细!$F$4:$F$603,$Z63-5200),"")))))</f>
        <v>周转筐－领用出库</v>
      </c>
      <c r="E63" s="24" t="str">
        <f>IF($Z63="","",IF($Z63&lt;=2000,IF(INDEX(包装物料出入库明细!$C$4:$C$2003,$Z63-0)=0,"",INDEX(包装物料出入库明细!$C$4:$C$2003,$Z63-0)),IF($Z63&lt;=4000,IF(INDEX(周转筐出入库明细!$E$4:$E$2004,$Z63-2000)=0,"",INDEX(周转筐出入库明细!$E$4:$E$2004,$Z63-2000)),IF($Z63&lt;=5200,IF(INDEX(客户自备加工筐明细!$D$4:$D$1203,$Z63-4000)=0,"",INDEX(客户自备加工筐明细!$D$4:$D$1203,$Z63-4000)),IF($Z63&lt;=5800,IF(INDEX(次果筐明细!$E$4:$E$603,$Z63-5200)=0,"",INDEX(次果筐明细!$E$4:$E$603,$Z63-5200)),"")))))</f>
        <v>NO:0001076</v>
      </c>
      <c r="F63" s="24" t="str">
        <f>IF($Z63="","",IF($Z63&lt;=2000,IF(INDEX(包装物料出入库明细!$E$4:$E$2003,$Z63-0)=0,"",INDEX(包装物料出入库明细!$E$4:$E$2003,$Z63-0)),IF($Z63&lt;=4000,IF(INDEX(周转筐出入库明细!$D$4:$D$2004,$Z63-2000)=0,"",INDEX(周转筐出入库明细!$D$4:$D$2004,$Z63-2000)),IF($Z63&lt;=5200,IF(INDEX(客户自备加工筐明细!$C$4:$C$1203,$Z63-4000)=0,"",INDEX(客户自备加工筐明细!$C$4:$C$1203,$Z63-4000)),IF($Z63&lt;=5800,IF(INDEX(次果筐明细!$D$4:$D$603,$Z63-5200)=0,"",INDEX(次果筐明细!$D$4:$D$603,$Z63-5200)),"")))))</f>
        <v>公司杂周转筐</v>
      </c>
      <c r="G63" s="24" t="str">
        <f>IF($Z63="","",IF($Z63&lt;=2000,IF(INDEX(包装物料出入库明细!$F$4:$F$2003,$Z63-0)=0,"",INDEX(包装物料出入库明细!$F$4:$F$2003,$Z63-0)),IF($Z63&lt;=4000,"",IF($Z63&lt;=5200,"",IF($Z63&lt;=5800,"","")))))</f>
        <v/>
      </c>
      <c r="H63" s="39">
        <f>IF($Z63="","",IF($Z63&lt;=2000,IF(INDEX(包装物料出入库明细!$L$4:$L$2003,$Z63-0)=0,"",INDEX(包装物料出入库明细!$L$4:$L$2003,$Z63-0)),IF($Z63&lt;=4000,N(INDEX(周转筐出入库明细!$H$4:$H$2004,$Z63-2000))+N(INDEX(周转筐出入库明细!$I$4:$I$2004,$Z63-2000))+N(INDEX(周转筐出入库明细!$J$4:$J$2004,$Z63-2000))+N(INDEX(周转筐出入库明细!$K$4:$K$2004,$Z63-2000)),IF($Z63&lt;=5200,N(INDEX(客户自备加工筐明细!$F$4:$F$1203,$Z63-4000))+N(INDEX(客户自备加工筐明细!$G$4:$G$1203,$Z63-4000)),IF($Z63&lt;=5800,IF(INDEX(次果筐明细!$G$4:$G$603,$Z63-5200)=0,"",INDEX(次果筐明细!$G$4:$G$603,$Z63-5200)),"")))))</f>
        <v>574</v>
      </c>
      <c r="I63" s="24" t="str">
        <f>IF($Z63="","",IF($Z63&lt;=2000,IF(INDEX(包装物料出入库明细!$G$4:$G$2003,$Z63-0)=0,"",INDEX(包装物料出入库明细!$G$4:$G$2003,$Z63-0)),IF($Z63&lt;=4000,"个",IF($Z63&lt;=5200,"个",IF($Z63&lt;=5800,"个","")))))</f>
        <v>个</v>
      </c>
      <c r="J63" s="30" t="str">
        <f t="shared" si="1"/>
        <v/>
      </c>
      <c r="K63" s="30" t="str">
        <f>IF($Z63="","",IF($Z63&lt;=2000,IF(INDEX(包装物料出入库明细!$N$4:$N$2003,$Z63-0)=0,"",INDEX(包装物料出入库明细!$N$4:$N$2003,$Z63-0)),IF($Z63&lt;=4000,IF(INDEX(周转筐出入库明细!$P$4:$P$2004,$Z63-2000)=0,"",INDEX(周转筐出入库明细!$P$4:$P$2004,$Z63-2000)),IF($Z63&lt;=5200,"",IF($Z63&lt;=5800,N(INDEX(次果筐明细!$L$4:$L$603,$Z63-5200))+N(INDEX(次果筐明细!$J$4:$J$603,$Z63-5200)),"")))))</f>
        <v/>
      </c>
      <c r="L63" s="24" t="str">
        <f>IF($Z63="","",IF($Z63&lt;=2000,IF(INDEX(包装物料出入库明细!$P$4:$P$2003,$Z63-0)=0,"",INDEX(包装物料出入库明细!$P$4:$P$2003,$Z63-0)),IF($Z63&lt;=4000,IF(INDEX(周转筐出入库明细!$Q$4:$Q$2004,$Z63-2000)=0,"",INDEX(周转筐出入库明细!$Q$4:$Q$2004,$Z63-2000)),IF($Z63&lt;=5200,"",IF($Z63&lt;=5800,IF(INDEX(次果筐明细!$M$4:$M$603,$Z63-5200)=0,"",INDEX(次果筐明细!$M$4:$M$603,$Z63-5200)),"")))))</f>
        <v/>
      </c>
      <c r="M63" s="37" t="str">
        <f>IF($Z63="","",IF($Z63&lt;=2000,IF(INDEX(包装物料出入库明细!$R$4:$R$2003,$Z63-0)=0,"",INDEX(包装物料出入库明细!$R$4:$R$2003,$Z63-0)),IF($Z63&lt;=4000,IF(INDEX(周转筐出入库明细!$W$4:$W$2004,$Z63-2000)=0,"",INDEX(周转筐出入库明细!$W$4:$W$2004,$Z63-2000)),IF($Z63&lt;=5200,IF(INDEX(客户自备加工筐明细!$L$4:$L$1203,$Z63-4000)=0,"",INDEX(客户自备加工筐明细!$L$4:$L$1203,$Z63-4000)),IF($Z63&lt;=5800,IF(INDEX(次果筐明细!$P$4:$P$603,$Z63-5200)=0,"",INDEX(次果筐明细!$P$4:$P$603,$Z63-5200)),"")))))</f>
        <v/>
      </c>
      <c r="N63" s="16" t="str">
        <f>IF($Z63="","",IF($Z63&lt;=2000,"",IF($Z63&lt;=4000,IF(INDEX(周转筐出入库明细!$D$4:$D$2004,$Z63-2000)=0,"",INDEX(周转筐出入库明细!$D$4:$D$2004,$Z63-2000)),IF($Z63&lt;=5200,IF(INDEX(客户自备加工筐明细!$C$4:$C$1203,$Z63-4000)=0,"",INDEX(客户自备加工筐明细!$C$4:$C$1203,$Z63-4000)),IF($Z63&lt;=5800,IF(INDEX(次果筐明细!$D$4:$D$603,$Z63-5200)=0,"",INDEX(次果筐明细!$D$4:$D$603,$Z63-5200)),"")))))</f>
        <v>公司杂周转筐</v>
      </c>
      <c r="O63" s="40">
        <f>IF($Z63="","",IF($Z63&lt;=2000,"",IF($Z63&lt;=4000,IF(N(INDEX(周转筐出入库明细!$J$4:$J$2004,$Z63-2000))+N(INDEX(周转筐出入库明细!$K$4:$K$2004,$Z63-2000))=0,"",N(INDEX(周转筐出入库明细!$J$4:$J$2004,$Z63-2000))+N(INDEX(周转筐出入库明细!$K$4:$K$2004,$Z63-2000))),IF($Z63&lt;=5200,IF(N(INDEX(客户自备加工筐明细!$G$4:$G$1203,$Z63-4000))=0,"",N(INDEX(客户自备加工筐明细!$G$4:$G$1203,$Z63-4000))),IF($Z63&lt;=5800,IF(ISNUMBER(SEARCH("退",INDEX(次果筐明细!$F$4:$F$603,$Z63-5200)&amp;"")),"",IF(N(INDEX(次果筐明细!$G$4:$G$603,$Z63-5200))=0,"",N(INDEX(次果筐明细!$G$4:$G$603,$Z63-5200)))),"")))))</f>
        <v>574</v>
      </c>
      <c r="P63" s="40" t="str">
        <f>IF($Z63="","",IF($Z63&lt;=2000,"",IF($Z63&lt;=4000,IF(N(INDEX(周转筐出入库明细!$I$4:$I$2004,$Z63-2000))=0,"",N(INDEX(周转筐出入库明细!$I$4:$I$2004,$Z63-2000))),IF($Z63&lt;=5200,"",IF($Z63&lt;=5800,IF(ISNUMBER(SEARCH("退",INDEX(次果筐明细!$F$4:$F$603,$Z63-5200)&amp;"")),IF(N(INDEX(次果筐明细!$G$4:$G$603,$Z63-5200))=0,"",N(INDEX(次果筐明细!$G$4:$G$603,$Z63-5200))),""),"")))))</f>
        <v/>
      </c>
      <c r="Q63" s="40" t="str">
        <f>IF($Z63="","",IF($Z63&lt;=2000,"",IF($Z63&lt;=4000,IF(N(INDEX(周转筐出入库明细!$H$4:$H$2004,$Z63-2000))=0,"",N(INDEX(周转筐出入库明细!$H$4:$H$2004,$Z63-2000))),IF($Z63&lt;=5200,IF(N(INDEX(客户自备加工筐明细!$F$4:$F$1203,$Z63-4000))=0,"",N(INDEX(客户自备加工筐明细!$F$4:$F$1203,$Z63-4000))),IF($Z63&lt;=5800,"","")))))</f>
        <v/>
      </c>
      <c r="R63" s="16" t="str">
        <f>IF($Z63="","",IF($Z63&lt;=2000,IF(INDEX(包装物料出入库明细!$O$4:$O$2003,$Z63-0)=0,"",INDEX(包装物料出入库明细!$O$4:$O$2003,$Z63-0)),IF($Z63&lt;=4000,IF(INDEX(周转筐出入库明细!$M$4:$M$2004,$Z63-2000)=0,"",INDEX(周转筐出入库明细!$M$4:$M$2004,$Z63-2000)),IF($Z63&lt;=5200,IF(INDEX(客户自备加工筐明细!$H$4:$H$1203,$Z63-4000)=0,"",INDEX(客户自备加工筐明细!$H$4:$H$1203,$Z63-4000)),IF($Z63&lt;=5800,IF(INDEX(次果筐明细!$H$4:$H$603,$Z63-5200)=0,"",INDEX(次果筐明细!$H$4:$H$603,$Z63-5200)),"")))))</f>
        <v>新N*K7V85</v>
      </c>
      <c r="S63" s="22" t="str">
        <f t="shared" si="2"/>
        <v>公司筐</v>
      </c>
      <c r="Z63" s="10">
        <f>IFERROR(MATCH(ROW()-3,_自动清单!$CQ$4:$CQ$5803,0),"")</f>
        <v>2027</v>
      </c>
    </row>
    <row r="64" spans="1:26">
      <c r="A64" s="24">
        <f t="shared" si="0"/>
        <v>61</v>
      </c>
      <c r="B64" s="38">
        <f>IF($Z64="","",IF($Z64&lt;=2000,IF(INDEX(包装物料出入库明细!$B$4:$B$2003,$Z64-0)=0,"",INDEX(包装物料出入库明细!$B$4:$B$2003,$Z64-0)),IF($Z64&lt;=4000,IF(INDEX(周转筐出入库明细!$B$4:$B$2004,$Z64-2000)=0,"",INDEX(周转筐出入库明细!$B$4:$B$2004,$Z64-2000)),IF($Z64&lt;=5200,IF(INDEX(客户自备加工筐明细!$B$4:$B$1203,$Z64-4000)=0,"",INDEX(客户自备加工筐明细!$B$4:$B$1203,$Z64-4000)),IF($Z64&lt;=5800,IF(INDEX(次果筐明细!$B$4:$B$603,$Z64-5200)=0,"",INDEX(次果筐明细!$B$4:$B$603,$Z64-5200)),"")))))</f>
        <v>46269</v>
      </c>
      <c r="C64" s="37" t="str">
        <f>IF($Z64="","",IF($Z64&lt;=2000,IF(INDEX(包装物料出入库明细!$D$4:$D$2003,$Z64-0)=0,"",INDEX(包装物料出入库明细!$D$4:$D$2003,$Z64-0)),IF($Z64&lt;=4000,IF(INDEX(周转筐出入库明细!$C$4:$C$2004,$Z64-2000)=0,"",INDEX(周转筐出入库明细!$C$4:$C$2004,$Z64-2000)),IF($Z64&lt;=5200,IF(INDEX(客户自备加工筐明细!$E$4:$E$1203,$Z64-4000)=0,"",INDEX(客户自备加工筐明细!$E$4:$E$1203,$Z64-4000)),IF($Z64&lt;=5800,IF(INDEX(次果筐明细!$C$4:$C$603,$Z64-5200)=0,"",INDEX(次果筐明细!$C$4:$C$603,$Z64-5200)),"")))))</f>
        <v>全修塑业</v>
      </c>
      <c r="D64" s="37" t="str">
        <f>IF($Z64="","",IF($Z64&lt;=2000,"包装物料－"&amp;INDEX(包装物料出入库明细!$H$4:$H$2003,$Z64-0),IF($Z64&lt;=4000,"周转筐－"&amp;INDEX(周转筐出入库明细!$F$4:$F$2004,$Z64-2000),IF($Z64&lt;=5200,"客户自备筐－"&amp;INDEX(客户自备加工筐明细!$J$4:$J$1203,$Z64-4000),IF($Z64&lt;=5800,"次果筐/托盘－"&amp;INDEX(次果筐明细!$F$4:$F$603,$Z64-5200),"")))))</f>
        <v>周转筐－采购入库</v>
      </c>
      <c r="E64" s="24" t="str">
        <f>IF($Z64="","",IF($Z64&lt;=2000,IF(INDEX(包装物料出入库明细!$C$4:$C$2003,$Z64-0)=0,"",INDEX(包装物料出入库明细!$C$4:$C$2003,$Z64-0)),IF($Z64&lt;=4000,IF(INDEX(周转筐出入库明细!$E$4:$E$2004,$Z64-2000)=0,"",INDEX(周转筐出入库明细!$E$4:$E$2004,$Z64-2000)),IF($Z64&lt;=5200,IF(INDEX(客户自备加工筐明细!$D$4:$D$1203,$Z64-4000)=0,"",INDEX(客户自备加工筐明细!$D$4:$D$1203,$Z64-4000)),IF($Z64&lt;=5800,IF(INDEX(次果筐明细!$E$4:$E$603,$Z64-5200)=0,"",INDEX(次果筐明细!$E$4:$E$603,$Z64-5200)),"")))))</f>
        <v>NO:0000751</v>
      </c>
      <c r="F64" s="24" t="str">
        <f>IF($Z64="","",IF($Z64&lt;=2000,IF(INDEX(包装物料出入库明细!$E$4:$E$2003,$Z64-0)=0,"",INDEX(包装物料出入库明细!$E$4:$E$2003,$Z64-0)),IF($Z64&lt;=4000,IF(INDEX(周转筐出入库明细!$D$4:$D$2004,$Z64-2000)=0,"",INDEX(周转筐出入库明细!$D$4:$D$2004,$Z64-2000)),IF($Z64&lt;=5200,IF(INDEX(客户自备加工筐明细!$C$4:$C$1203,$Z64-4000)=0,"",INDEX(客户自备加工筐明细!$C$4:$C$1203,$Z64-4000)),IF($Z64&lt;=5800,IF(INDEX(次果筐明细!$D$4:$D$603,$Z64-5200)=0,"",INDEX(次果筐明细!$D$4:$D$603,$Z64-5200)),"")))))</f>
        <v>公司红周转筐</v>
      </c>
      <c r="G64" s="24" t="str">
        <f>IF($Z64="","",IF($Z64&lt;=2000,IF(INDEX(包装物料出入库明细!$F$4:$F$2003,$Z64-0)=0,"",INDEX(包装物料出入库明细!$F$4:$F$2003,$Z64-0)),IF($Z64&lt;=4000,"",IF($Z64&lt;=5200,"",IF($Z64&lt;=5800,"","")))))</f>
        <v/>
      </c>
      <c r="H64" s="39">
        <f>IF($Z64="","",IF($Z64&lt;=2000,IF(INDEX(包装物料出入库明细!$L$4:$L$2003,$Z64-0)=0,"",INDEX(包装物料出入库明细!$L$4:$L$2003,$Z64-0)),IF($Z64&lt;=4000,N(INDEX(周转筐出入库明细!$H$4:$H$2004,$Z64-2000))+N(INDEX(周转筐出入库明细!$I$4:$I$2004,$Z64-2000))+N(INDEX(周转筐出入库明细!$J$4:$J$2004,$Z64-2000))+N(INDEX(周转筐出入库明细!$K$4:$K$2004,$Z64-2000)),IF($Z64&lt;=5200,N(INDEX(客户自备加工筐明细!$F$4:$F$1203,$Z64-4000))+N(INDEX(客户自备加工筐明细!$G$4:$G$1203,$Z64-4000)),IF($Z64&lt;=5800,IF(INDEX(次果筐明细!$G$4:$G$603,$Z64-5200)=0,"",INDEX(次果筐明细!$G$4:$G$603,$Z64-5200)),"")))))</f>
        <v>936</v>
      </c>
      <c r="I64" s="24" t="str">
        <f>IF($Z64="","",IF($Z64&lt;=2000,IF(INDEX(包装物料出入库明细!$G$4:$G$2003,$Z64-0)=0,"",INDEX(包装物料出入库明细!$G$4:$G$2003,$Z64-0)),IF($Z64&lt;=4000,"个",IF($Z64&lt;=5200,"个",IF($Z64&lt;=5800,"个","")))))</f>
        <v>个</v>
      </c>
      <c r="J64" s="30" t="str">
        <f t="shared" si="1"/>
        <v/>
      </c>
      <c r="K64" s="30">
        <f>IF($Z64="","",IF($Z64&lt;=2000,IF(INDEX(包装物料出入库明细!$N$4:$N$2003,$Z64-0)=0,"",INDEX(包装物料出入库明细!$N$4:$N$2003,$Z64-0)),IF($Z64&lt;=4000,IF(INDEX(周转筐出入库明细!$P$4:$P$2004,$Z64-2000)=0,"",INDEX(周转筐出入库明细!$P$4:$P$2004,$Z64-2000)),IF($Z64&lt;=5200,"",IF($Z64&lt;=5800,N(INDEX(次果筐明细!$L$4:$L$603,$Z64-5200))+N(INDEX(次果筐明细!$J$4:$J$603,$Z64-5200)),"")))))</f>
        <v>9360</v>
      </c>
      <c r="L64" s="24" t="str">
        <f>IF($Z64="","",IF($Z64&lt;=2000,IF(INDEX(包装物料出入库明细!$P$4:$P$2003,$Z64-0)=0,"",INDEX(包装物料出入库明细!$P$4:$P$2003,$Z64-0)),IF($Z64&lt;=4000,IF(INDEX(周转筐出入库明细!$Q$4:$Q$2004,$Z64-2000)=0,"",INDEX(周转筐出入库明细!$Q$4:$Q$2004,$Z64-2000)),IF($Z64&lt;=5200,"",IF($Z64&lt;=5800,IF(INDEX(次果筐明细!$M$4:$M$603,$Z64-5200)=0,"",INDEX(次果筐明细!$M$4:$M$603,$Z64-5200)),"")))))</f>
        <v>未付款</v>
      </c>
      <c r="M64" s="37" t="str">
        <f>IF($Z64="","",IF($Z64&lt;=2000,IF(INDEX(包装物料出入库明细!$R$4:$R$2003,$Z64-0)=0,"",INDEX(包装物料出入库明细!$R$4:$R$2003,$Z64-0)),IF($Z64&lt;=4000,IF(INDEX(周转筐出入库明细!$W$4:$W$2004,$Z64-2000)=0,"",INDEX(周转筐出入库明细!$W$4:$W$2004,$Z64-2000)),IF($Z64&lt;=5200,IF(INDEX(客户自备加工筐明细!$L$4:$L$1203,$Z64-4000)=0,"",INDEX(客户自备加工筐明细!$L$4:$L$1203,$Z64-4000)),IF($Z64&lt;=5800,IF(INDEX(次果筐明细!$P$4:$P$603,$Z64-5200)=0,"",INDEX(次果筐明细!$P$4:$P$603,$Z64-5200)),"")))))</f>
        <v>NO:2745248</v>
      </c>
      <c r="N64" s="16" t="str">
        <f>IF($Z64="","",IF($Z64&lt;=2000,"",IF($Z64&lt;=4000,IF(INDEX(周转筐出入库明细!$D$4:$D$2004,$Z64-2000)=0,"",INDEX(周转筐出入库明细!$D$4:$D$2004,$Z64-2000)),IF($Z64&lt;=5200,IF(INDEX(客户自备加工筐明细!$C$4:$C$1203,$Z64-4000)=0,"",INDEX(客户自备加工筐明细!$C$4:$C$1203,$Z64-4000)),IF($Z64&lt;=5800,IF(INDEX(次果筐明细!$D$4:$D$603,$Z64-5200)=0,"",INDEX(次果筐明细!$D$4:$D$603,$Z64-5200)),"")))))</f>
        <v>公司红周转筐</v>
      </c>
      <c r="O64" s="40" t="str">
        <f>IF($Z64="","",IF($Z64&lt;=2000,"",IF($Z64&lt;=4000,IF(N(INDEX(周转筐出入库明细!$J$4:$J$2004,$Z64-2000))+N(INDEX(周转筐出入库明细!$K$4:$K$2004,$Z64-2000))=0,"",N(INDEX(周转筐出入库明细!$J$4:$J$2004,$Z64-2000))+N(INDEX(周转筐出入库明细!$K$4:$K$2004,$Z64-2000))),IF($Z64&lt;=5200,IF(N(INDEX(客户自备加工筐明细!$G$4:$G$1203,$Z64-4000))=0,"",N(INDEX(客户自备加工筐明细!$G$4:$G$1203,$Z64-4000))),IF($Z64&lt;=5800,IF(ISNUMBER(SEARCH("退",INDEX(次果筐明细!$F$4:$F$603,$Z64-5200)&amp;"")),"",IF(N(INDEX(次果筐明细!$G$4:$G$603,$Z64-5200))=0,"",N(INDEX(次果筐明细!$G$4:$G$603,$Z64-5200)))),"")))))</f>
        <v/>
      </c>
      <c r="P64" s="40" t="str">
        <f>IF($Z64="","",IF($Z64&lt;=2000,"",IF($Z64&lt;=4000,IF(N(INDEX(周转筐出入库明细!$I$4:$I$2004,$Z64-2000))=0,"",N(INDEX(周转筐出入库明细!$I$4:$I$2004,$Z64-2000))),IF($Z64&lt;=5200,"",IF($Z64&lt;=5800,IF(ISNUMBER(SEARCH("退",INDEX(次果筐明细!$F$4:$F$603,$Z64-5200)&amp;"")),IF(N(INDEX(次果筐明细!$G$4:$G$603,$Z64-5200))=0,"",N(INDEX(次果筐明细!$G$4:$G$603,$Z64-5200))),""),"")))))</f>
        <v/>
      </c>
      <c r="Q64" s="40">
        <f>IF($Z64="","",IF($Z64&lt;=2000,"",IF($Z64&lt;=4000,IF(N(INDEX(周转筐出入库明细!$H$4:$H$2004,$Z64-2000))=0,"",N(INDEX(周转筐出入库明细!$H$4:$H$2004,$Z64-2000))),IF($Z64&lt;=5200,IF(N(INDEX(客户自备加工筐明细!$F$4:$F$1203,$Z64-4000))=0,"",N(INDEX(客户自备加工筐明细!$F$4:$F$1203,$Z64-4000))),IF($Z64&lt;=5800,"","")))))</f>
        <v>936</v>
      </c>
      <c r="R64" s="16" t="str">
        <f>IF($Z64="","",IF($Z64&lt;=2000,IF(INDEX(包装物料出入库明细!$O$4:$O$2003,$Z64-0)=0,"",INDEX(包装物料出入库明细!$O$4:$O$2003,$Z64-0)),IF($Z64&lt;=4000,IF(INDEX(周转筐出入库明细!$M$4:$M$2004,$Z64-2000)=0,"",INDEX(周转筐出入库明细!$M$4:$M$2004,$Z64-2000)),IF($Z64&lt;=5200,IF(INDEX(客户自备加工筐明细!$H$4:$H$1203,$Z64-4000)=0,"",INDEX(客户自备加工筐明细!$H$4:$H$1203,$Z64-4000)),IF($Z64&lt;=5800,IF(INDEX(次果筐明细!$H$4:$H$603,$Z64-5200)=0,"",INDEX(次果筐明细!$H$4:$H$603,$Z64-5200)),"")))))</f>
        <v>新F*75240</v>
      </c>
      <c r="S64" s="22" t="str">
        <f t="shared" si="2"/>
        <v>公司筐</v>
      </c>
      <c r="Z64" s="10">
        <f>IFERROR(MATCH(ROW()-3,_自动清单!$CQ$4:$CQ$5803,0),"")</f>
        <v>2028</v>
      </c>
    </row>
    <row r="65" spans="1:26">
      <c r="A65" s="24">
        <f t="shared" si="0"/>
        <v>62</v>
      </c>
      <c r="B65" s="38">
        <f>IF($Z65="","",IF($Z65&lt;=2000,IF(INDEX(包装物料出入库明细!$B$4:$B$2003,$Z65-0)=0,"",INDEX(包装物料出入库明细!$B$4:$B$2003,$Z65-0)),IF($Z65&lt;=4000,IF(INDEX(周转筐出入库明细!$B$4:$B$2004,$Z65-2000)=0,"",INDEX(周转筐出入库明细!$B$4:$B$2004,$Z65-2000)),IF($Z65&lt;=5200,IF(INDEX(客户自备加工筐明细!$B$4:$B$1203,$Z65-4000)=0,"",INDEX(客户自备加工筐明细!$B$4:$B$1203,$Z65-4000)),IF($Z65&lt;=5800,IF(INDEX(次果筐明细!$B$4:$B$603,$Z65-5200)=0,"",INDEX(次果筐明细!$B$4:$B$603,$Z65-5200)),"")))))</f>
        <v>46269</v>
      </c>
      <c r="C65" s="37" t="str">
        <f>IF($Z65="","",IF($Z65&lt;=2000,IF(INDEX(包装物料出入库明细!$D$4:$D$2003,$Z65-0)=0,"",INDEX(包装物料出入库明细!$D$4:$D$2003,$Z65-0)),IF($Z65&lt;=4000,IF(INDEX(周转筐出入库明细!$C$4:$C$2004,$Z65-2000)=0,"",INDEX(周转筐出入库明细!$C$4:$C$2004,$Z65-2000)),IF($Z65&lt;=5200,IF(INDEX(客户自备加工筐明细!$E$4:$E$1203,$Z65-4000)=0,"",INDEX(客户自备加工筐明细!$E$4:$E$1203,$Z65-4000)),IF($Z65&lt;=5800,IF(INDEX(次果筐明细!$C$4:$C$603,$Z65-5200)=0,"",INDEX(次果筐明细!$C$4:$C$603,$Z65-5200)),"")))))</f>
        <v>努尔敦</v>
      </c>
      <c r="D65" s="37" t="str">
        <f>IF($Z65="","",IF($Z65&lt;=2000,"包装物料－"&amp;INDEX(包装物料出入库明细!$H$4:$H$2003,$Z65-0),IF($Z65&lt;=4000,"周转筐－"&amp;INDEX(周转筐出入库明细!$F$4:$F$2004,$Z65-2000),IF($Z65&lt;=5200,"客户自备筐－"&amp;INDEX(客户自备加工筐明细!$J$4:$J$1203,$Z65-4000),IF($Z65&lt;=5800,"次果筐/托盘－"&amp;INDEX(次果筐明细!$F$4:$F$603,$Z65-5200),"")))))</f>
        <v>周转筐－领用出库</v>
      </c>
      <c r="E65" s="24" t="str">
        <f>IF($Z65="","",IF($Z65&lt;=2000,IF(INDEX(包装物料出入库明细!$C$4:$C$2003,$Z65-0)=0,"",INDEX(包装物料出入库明细!$C$4:$C$2003,$Z65-0)),IF($Z65&lt;=4000,IF(INDEX(周转筐出入库明细!$E$4:$E$2004,$Z65-2000)=0,"",INDEX(周转筐出入库明细!$E$4:$E$2004,$Z65-2000)),IF($Z65&lt;=5200,IF(INDEX(客户自备加工筐明细!$D$4:$D$1203,$Z65-4000)=0,"",INDEX(客户自备加工筐明细!$D$4:$D$1203,$Z65-4000)),IF($Z65&lt;=5800,IF(INDEX(次果筐明细!$E$4:$E$603,$Z65-5200)=0,"",INDEX(次果筐明细!$E$4:$E$603,$Z65-5200)),"")))))</f>
        <v>NO:0001078</v>
      </c>
      <c r="F65" s="24" t="str">
        <f>IF($Z65="","",IF($Z65&lt;=2000,IF(INDEX(包装物料出入库明细!$E$4:$E$2003,$Z65-0)=0,"",INDEX(包装物料出入库明细!$E$4:$E$2003,$Z65-0)),IF($Z65&lt;=4000,IF(INDEX(周转筐出入库明细!$D$4:$D$2004,$Z65-2000)=0,"",INDEX(周转筐出入库明细!$D$4:$D$2004,$Z65-2000)),IF($Z65&lt;=5200,IF(INDEX(客户自备加工筐明细!$C$4:$C$1203,$Z65-4000)=0,"",INDEX(客户自备加工筐明细!$C$4:$C$1203,$Z65-4000)),IF($Z65&lt;=5800,IF(INDEX(次果筐明细!$D$4:$D$603,$Z65-5200)=0,"",INDEX(次果筐明细!$D$4:$D$603,$Z65-5200)),"")))))</f>
        <v>公司红周转筐</v>
      </c>
      <c r="G65" s="24" t="str">
        <f>IF($Z65="","",IF($Z65&lt;=2000,IF(INDEX(包装物料出入库明细!$F$4:$F$2003,$Z65-0)=0,"",INDEX(包装物料出入库明细!$F$4:$F$2003,$Z65-0)),IF($Z65&lt;=4000,"",IF($Z65&lt;=5200,"",IF($Z65&lt;=5800,"","")))))</f>
        <v/>
      </c>
      <c r="H65" s="39">
        <f>IF($Z65="","",IF($Z65&lt;=2000,IF(INDEX(包装物料出入库明细!$L$4:$L$2003,$Z65-0)=0,"",INDEX(包装物料出入库明细!$L$4:$L$2003,$Z65-0)),IF($Z65&lt;=4000,N(INDEX(周转筐出入库明细!$H$4:$H$2004,$Z65-2000))+N(INDEX(周转筐出入库明细!$I$4:$I$2004,$Z65-2000))+N(INDEX(周转筐出入库明细!$J$4:$J$2004,$Z65-2000))+N(INDEX(周转筐出入库明细!$K$4:$K$2004,$Z65-2000)),IF($Z65&lt;=5200,N(INDEX(客户自备加工筐明细!$F$4:$F$1203,$Z65-4000))+N(INDEX(客户自备加工筐明细!$G$4:$G$1203,$Z65-4000)),IF($Z65&lt;=5800,IF(INDEX(次果筐明细!$G$4:$G$603,$Z65-5200)=0,"",INDEX(次果筐明细!$G$4:$G$603,$Z65-5200)),"")))))</f>
        <v>936</v>
      </c>
      <c r="I65" s="24" t="str">
        <f>IF($Z65="","",IF($Z65&lt;=2000,IF(INDEX(包装物料出入库明细!$G$4:$G$2003,$Z65-0)=0,"",INDEX(包装物料出入库明细!$G$4:$G$2003,$Z65-0)),IF($Z65&lt;=4000,"个",IF($Z65&lt;=5200,"个",IF($Z65&lt;=5800,"个","")))))</f>
        <v>个</v>
      </c>
      <c r="J65" s="30" t="str">
        <f t="shared" si="1"/>
        <v/>
      </c>
      <c r="K65" s="30" t="str">
        <f>IF($Z65="","",IF($Z65&lt;=2000,IF(INDEX(包装物料出入库明细!$N$4:$N$2003,$Z65-0)=0,"",INDEX(包装物料出入库明细!$N$4:$N$2003,$Z65-0)),IF($Z65&lt;=4000,IF(INDEX(周转筐出入库明细!$P$4:$P$2004,$Z65-2000)=0,"",INDEX(周转筐出入库明细!$P$4:$P$2004,$Z65-2000)),IF($Z65&lt;=5200,"",IF($Z65&lt;=5800,N(INDEX(次果筐明细!$L$4:$L$603,$Z65-5200))+N(INDEX(次果筐明细!$J$4:$J$603,$Z65-5200)),"")))))</f>
        <v/>
      </c>
      <c r="L65" s="24" t="str">
        <f>IF($Z65="","",IF($Z65&lt;=2000,IF(INDEX(包装物料出入库明细!$P$4:$P$2003,$Z65-0)=0,"",INDEX(包装物料出入库明细!$P$4:$P$2003,$Z65-0)),IF($Z65&lt;=4000,IF(INDEX(周转筐出入库明细!$Q$4:$Q$2004,$Z65-2000)=0,"",INDEX(周转筐出入库明细!$Q$4:$Q$2004,$Z65-2000)),IF($Z65&lt;=5200,"",IF($Z65&lt;=5800,IF(INDEX(次果筐明细!$M$4:$M$603,$Z65-5200)=0,"",INDEX(次果筐明细!$M$4:$M$603,$Z65-5200)),"")))))</f>
        <v/>
      </c>
      <c r="M65" s="37" t="str">
        <f>IF($Z65="","",IF($Z65&lt;=2000,IF(INDEX(包装物料出入库明细!$R$4:$R$2003,$Z65-0)=0,"",INDEX(包装物料出入库明细!$R$4:$R$2003,$Z65-0)),IF($Z65&lt;=4000,IF(INDEX(周转筐出入库明细!$W$4:$W$2004,$Z65-2000)=0,"",INDEX(周转筐出入库明细!$W$4:$W$2004,$Z65-2000)),IF($Z65&lt;=5200,IF(INDEX(客户自备加工筐明细!$L$4:$L$1203,$Z65-4000)=0,"",INDEX(客户自备加工筐明细!$L$4:$L$1203,$Z65-4000)),IF($Z65&lt;=5800,IF(INDEX(次果筐明细!$P$4:$P$603,$Z65-5200)=0,"",INDEX(次果筐明细!$P$4:$P$603,$Z65-5200)),"")))))</f>
        <v/>
      </c>
      <c r="N65" s="16" t="str">
        <f>IF($Z65="","",IF($Z65&lt;=2000,"",IF($Z65&lt;=4000,IF(INDEX(周转筐出入库明细!$D$4:$D$2004,$Z65-2000)=0,"",INDEX(周转筐出入库明细!$D$4:$D$2004,$Z65-2000)),IF($Z65&lt;=5200,IF(INDEX(客户自备加工筐明细!$C$4:$C$1203,$Z65-4000)=0,"",INDEX(客户自备加工筐明细!$C$4:$C$1203,$Z65-4000)),IF($Z65&lt;=5800,IF(INDEX(次果筐明细!$D$4:$D$603,$Z65-5200)=0,"",INDEX(次果筐明细!$D$4:$D$603,$Z65-5200)),"")))))</f>
        <v>公司红周转筐</v>
      </c>
      <c r="O65" s="40">
        <f>IF($Z65="","",IF($Z65&lt;=2000,"",IF($Z65&lt;=4000,IF(N(INDEX(周转筐出入库明细!$J$4:$J$2004,$Z65-2000))+N(INDEX(周转筐出入库明细!$K$4:$K$2004,$Z65-2000))=0,"",N(INDEX(周转筐出入库明细!$J$4:$J$2004,$Z65-2000))+N(INDEX(周转筐出入库明细!$K$4:$K$2004,$Z65-2000))),IF($Z65&lt;=5200,IF(N(INDEX(客户自备加工筐明细!$G$4:$G$1203,$Z65-4000))=0,"",N(INDEX(客户自备加工筐明细!$G$4:$G$1203,$Z65-4000))),IF($Z65&lt;=5800,IF(ISNUMBER(SEARCH("退",INDEX(次果筐明细!$F$4:$F$603,$Z65-5200)&amp;"")),"",IF(N(INDEX(次果筐明细!$G$4:$G$603,$Z65-5200))=0,"",N(INDEX(次果筐明细!$G$4:$G$603,$Z65-5200)))),"")))))</f>
        <v>936</v>
      </c>
      <c r="P65" s="40" t="str">
        <f>IF($Z65="","",IF($Z65&lt;=2000,"",IF($Z65&lt;=4000,IF(N(INDEX(周转筐出入库明细!$I$4:$I$2004,$Z65-2000))=0,"",N(INDEX(周转筐出入库明细!$I$4:$I$2004,$Z65-2000))),IF($Z65&lt;=5200,"",IF($Z65&lt;=5800,IF(ISNUMBER(SEARCH("退",INDEX(次果筐明细!$F$4:$F$603,$Z65-5200)&amp;"")),IF(N(INDEX(次果筐明细!$G$4:$G$603,$Z65-5200))=0,"",N(INDEX(次果筐明细!$G$4:$G$603,$Z65-5200))),""),"")))))</f>
        <v/>
      </c>
      <c r="Q65" s="40" t="str">
        <f>IF($Z65="","",IF($Z65&lt;=2000,"",IF($Z65&lt;=4000,IF(N(INDEX(周转筐出入库明细!$H$4:$H$2004,$Z65-2000))=0,"",N(INDEX(周转筐出入库明细!$H$4:$H$2004,$Z65-2000))),IF($Z65&lt;=5200,IF(N(INDEX(客户自备加工筐明细!$F$4:$F$1203,$Z65-4000))=0,"",N(INDEX(客户自备加工筐明细!$F$4:$F$1203,$Z65-4000))),IF($Z65&lt;=5800,"","")))))</f>
        <v/>
      </c>
      <c r="R65" s="16" t="str">
        <f>IF($Z65="","",IF($Z65&lt;=2000,IF(INDEX(包装物料出入库明细!$O$4:$O$2003,$Z65-0)=0,"",INDEX(包装物料出入库明细!$O$4:$O$2003,$Z65-0)),IF($Z65&lt;=4000,IF(INDEX(周转筐出入库明细!$M$4:$M$2004,$Z65-2000)=0,"",INDEX(周转筐出入库明细!$M$4:$M$2004,$Z65-2000)),IF($Z65&lt;=5200,IF(INDEX(客户自备加工筐明细!$H$4:$H$1203,$Z65-4000)=0,"",INDEX(客户自备加工筐明细!$H$4:$H$1203,$Z65-4000)),IF($Z65&lt;=5800,IF(INDEX(次果筐明细!$H$4:$H$603,$Z65-5200)=0,"",INDEX(次果筐明细!$H$4:$H$603,$Z65-5200)),"")))))</f>
        <v>新F*75240</v>
      </c>
      <c r="S65" s="22" t="str">
        <f t="shared" si="2"/>
        <v>公司筐</v>
      </c>
      <c r="Z65" s="10">
        <f>IFERROR(MATCH(ROW()-3,_自动清单!$CQ$4:$CQ$5803,0),"")</f>
        <v>2029</v>
      </c>
    </row>
    <row r="66" spans="1:26">
      <c r="A66" s="24">
        <f t="shared" si="0"/>
        <v>63</v>
      </c>
      <c r="B66" s="38">
        <f>IF($Z66="","",IF($Z66&lt;=2000,IF(INDEX(包装物料出入库明细!$B$4:$B$2003,$Z66-0)=0,"",INDEX(包装物料出入库明细!$B$4:$B$2003,$Z66-0)),IF($Z66&lt;=4000,IF(INDEX(周转筐出入库明细!$B$4:$B$2004,$Z66-2000)=0,"",INDEX(周转筐出入库明细!$B$4:$B$2004,$Z66-2000)),IF($Z66&lt;=5200,IF(INDEX(客户自备加工筐明细!$B$4:$B$1203,$Z66-4000)=0,"",INDEX(客户自备加工筐明细!$B$4:$B$1203,$Z66-4000)),IF($Z66&lt;=5800,IF(INDEX(次果筐明细!$B$4:$B$603,$Z66-5200)=0,"",INDEX(次果筐明细!$B$4:$B$603,$Z66-5200)),"")))))</f>
        <v>46269</v>
      </c>
      <c r="C66" s="37" t="str">
        <f>IF($Z66="","",IF($Z66&lt;=2000,IF(INDEX(包装物料出入库明细!$D$4:$D$2003,$Z66-0)=0,"",INDEX(包装物料出入库明细!$D$4:$D$2003,$Z66-0)),IF($Z66&lt;=4000,IF(INDEX(周转筐出入库明细!$C$4:$C$2004,$Z66-2000)=0,"",INDEX(周转筐出入库明细!$C$4:$C$2004,$Z66-2000)),IF($Z66&lt;=5200,IF(INDEX(客户自备加工筐明细!$E$4:$E$1203,$Z66-4000)=0,"",INDEX(客户自备加工筐明细!$E$4:$E$1203,$Z66-4000)),IF($Z66&lt;=5800,IF(INDEX(次果筐明细!$C$4:$C$603,$Z66-5200)=0,"",INDEX(次果筐明细!$C$4:$C$603,$Z66-5200)),"")))))</f>
        <v>全修塑业</v>
      </c>
      <c r="D66" s="37" t="str">
        <f>IF($Z66="","",IF($Z66&lt;=2000,"包装物料－"&amp;INDEX(包装物料出入库明细!$H$4:$H$2003,$Z66-0),IF($Z66&lt;=4000,"周转筐－"&amp;INDEX(周转筐出入库明细!$F$4:$F$2004,$Z66-2000),IF($Z66&lt;=5200,"客户自备筐－"&amp;INDEX(客户自备加工筐明细!$J$4:$J$1203,$Z66-4000),IF($Z66&lt;=5800,"次果筐/托盘－"&amp;INDEX(次果筐明细!$F$4:$F$603,$Z66-5200),"")))))</f>
        <v>周转筐－采购入库</v>
      </c>
      <c r="E66" s="24" t="str">
        <f>IF($Z66="","",IF($Z66&lt;=2000,IF(INDEX(包装物料出入库明细!$C$4:$C$2003,$Z66-0)=0,"",INDEX(包装物料出入库明细!$C$4:$C$2003,$Z66-0)),IF($Z66&lt;=4000,IF(INDEX(周转筐出入库明细!$E$4:$E$2004,$Z66-2000)=0,"",INDEX(周转筐出入库明细!$E$4:$E$2004,$Z66-2000)),IF($Z66&lt;=5200,IF(INDEX(客户自备加工筐明细!$D$4:$D$1203,$Z66-4000)=0,"",INDEX(客户自备加工筐明细!$D$4:$D$1203,$Z66-4000)),IF($Z66&lt;=5800,IF(INDEX(次果筐明细!$E$4:$E$603,$Z66-5200)=0,"",INDEX(次果筐明细!$E$4:$E$603,$Z66-5200)),"")))))</f>
        <v>NO:0000753</v>
      </c>
      <c r="F66" s="24" t="str">
        <f>IF($Z66="","",IF($Z66&lt;=2000,IF(INDEX(包装物料出入库明细!$E$4:$E$2003,$Z66-0)=0,"",INDEX(包装物料出入库明细!$E$4:$E$2003,$Z66-0)),IF($Z66&lt;=4000,IF(INDEX(周转筐出入库明细!$D$4:$D$2004,$Z66-2000)=0,"",INDEX(周转筐出入库明细!$D$4:$D$2004,$Z66-2000)),IF($Z66&lt;=5200,IF(INDEX(客户自备加工筐明细!$C$4:$C$1203,$Z66-4000)=0,"",INDEX(客户自备加工筐明细!$C$4:$C$1203,$Z66-4000)),IF($Z66&lt;=5800,IF(INDEX(次果筐明细!$D$4:$D$603,$Z66-5200)=0,"",INDEX(次果筐明细!$D$4:$D$603,$Z66-5200)),"")))))</f>
        <v>公司红周转筐</v>
      </c>
      <c r="G66" s="24" t="str">
        <f>IF($Z66="","",IF($Z66&lt;=2000,IF(INDEX(包装物料出入库明细!$F$4:$F$2003,$Z66-0)=0,"",INDEX(包装物料出入库明细!$F$4:$F$2003,$Z66-0)),IF($Z66&lt;=4000,"",IF($Z66&lt;=5200,"",IF($Z66&lt;=5800,"","")))))</f>
        <v/>
      </c>
      <c r="H66" s="39">
        <f>IF($Z66="","",IF($Z66&lt;=2000,IF(INDEX(包装物料出入库明细!$L$4:$L$2003,$Z66-0)=0,"",INDEX(包装物料出入库明细!$L$4:$L$2003,$Z66-0)),IF($Z66&lt;=4000,N(INDEX(周转筐出入库明细!$H$4:$H$2004,$Z66-2000))+N(INDEX(周转筐出入库明细!$I$4:$I$2004,$Z66-2000))+N(INDEX(周转筐出入库明细!$J$4:$J$2004,$Z66-2000))+N(INDEX(周转筐出入库明细!$K$4:$K$2004,$Z66-2000)),IF($Z66&lt;=5200,N(INDEX(客户自备加工筐明细!$F$4:$F$1203,$Z66-4000))+N(INDEX(客户自备加工筐明细!$G$4:$G$1203,$Z66-4000)),IF($Z66&lt;=5800,IF(INDEX(次果筐明细!$G$4:$G$603,$Z66-5200)=0,"",INDEX(次果筐明细!$G$4:$G$603,$Z66-5200)),"")))))</f>
        <v>582</v>
      </c>
      <c r="I66" s="24" t="str">
        <f>IF($Z66="","",IF($Z66&lt;=2000,IF(INDEX(包装物料出入库明细!$G$4:$G$2003,$Z66-0)=0,"",INDEX(包装物料出入库明细!$G$4:$G$2003,$Z66-0)),IF($Z66&lt;=4000,"个",IF($Z66&lt;=5200,"个",IF($Z66&lt;=5800,"个","")))))</f>
        <v>个</v>
      </c>
      <c r="J66" s="30" t="str">
        <f t="shared" si="1"/>
        <v/>
      </c>
      <c r="K66" s="30">
        <f>IF($Z66="","",IF($Z66&lt;=2000,IF(INDEX(包装物料出入库明细!$N$4:$N$2003,$Z66-0)=0,"",INDEX(包装物料出入库明细!$N$4:$N$2003,$Z66-0)),IF($Z66&lt;=4000,IF(INDEX(周转筐出入库明细!$P$4:$P$2004,$Z66-2000)=0,"",INDEX(周转筐出入库明细!$P$4:$P$2004,$Z66-2000)),IF($Z66&lt;=5200,"",IF($Z66&lt;=5800,N(INDEX(次果筐明细!$L$4:$L$603,$Z66-5200))+N(INDEX(次果筐明细!$J$4:$J$603,$Z66-5200)),"")))))</f>
        <v>5820</v>
      </c>
      <c r="L66" s="24" t="str">
        <f>IF($Z66="","",IF($Z66&lt;=2000,IF(INDEX(包装物料出入库明细!$P$4:$P$2003,$Z66-0)=0,"",INDEX(包装物料出入库明细!$P$4:$P$2003,$Z66-0)),IF($Z66&lt;=4000,IF(INDEX(周转筐出入库明细!$Q$4:$Q$2004,$Z66-2000)=0,"",INDEX(周转筐出入库明细!$Q$4:$Q$2004,$Z66-2000)),IF($Z66&lt;=5200,"",IF($Z66&lt;=5800,IF(INDEX(次果筐明细!$M$4:$M$603,$Z66-5200)=0,"",INDEX(次果筐明细!$M$4:$M$603,$Z66-5200)),"")))))</f>
        <v>未付款</v>
      </c>
      <c r="M66" s="37" t="str">
        <f>IF($Z66="","",IF($Z66&lt;=2000,IF(INDEX(包装物料出入库明细!$R$4:$R$2003,$Z66-0)=0,"",INDEX(包装物料出入库明细!$R$4:$R$2003,$Z66-0)),IF($Z66&lt;=4000,IF(INDEX(周转筐出入库明细!$W$4:$W$2004,$Z66-2000)=0,"",INDEX(周转筐出入库明细!$W$4:$W$2004,$Z66-2000)),IF($Z66&lt;=5200,IF(INDEX(客户自备加工筐明细!$L$4:$L$1203,$Z66-4000)=0,"",INDEX(客户自备加工筐明细!$L$4:$L$1203,$Z66-4000)),IF($Z66&lt;=5800,IF(INDEX(次果筐明细!$P$4:$P$603,$Z66-5200)=0,"",INDEX(次果筐明细!$P$4:$P$603,$Z66-5200)),"")))))</f>
        <v>NO:2745249</v>
      </c>
      <c r="N66" s="16" t="str">
        <f>IF($Z66="","",IF($Z66&lt;=2000,"",IF($Z66&lt;=4000,IF(INDEX(周转筐出入库明细!$D$4:$D$2004,$Z66-2000)=0,"",INDEX(周转筐出入库明细!$D$4:$D$2004,$Z66-2000)),IF($Z66&lt;=5200,IF(INDEX(客户自备加工筐明细!$C$4:$C$1203,$Z66-4000)=0,"",INDEX(客户自备加工筐明细!$C$4:$C$1203,$Z66-4000)),IF($Z66&lt;=5800,IF(INDEX(次果筐明细!$D$4:$D$603,$Z66-5200)=0,"",INDEX(次果筐明细!$D$4:$D$603,$Z66-5200)),"")))))</f>
        <v>公司红周转筐</v>
      </c>
      <c r="O66" s="40" t="str">
        <f>IF($Z66="","",IF($Z66&lt;=2000,"",IF($Z66&lt;=4000,IF(N(INDEX(周转筐出入库明细!$J$4:$J$2004,$Z66-2000))+N(INDEX(周转筐出入库明细!$K$4:$K$2004,$Z66-2000))=0,"",N(INDEX(周转筐出入库明细!$J$4:$J$2004,$Z66-2000))+N(INDEX(周转筐出入库明细!$K$4:$K$2004,$Z66-2000))),IF($Z66&lt;=5200,IF(N(INDEX(客户自备加工筐明细!$G$4:$G$1203,$Z66-4000))=0,"",N(INDEX(客户自备加工筐明细!$G$4:$G$1203,$Z66-4000))),IF($Z66&lt;=5800,IF(ISNUMBER(SEARCH("退",INDEX(次果筐明细!$F$4:$F$603,$Z66-5200)&amp;"")),"",IF(N(INDEX(次果筐明细!$G$4:$G$603,$Z66-5200))=0,"",N(INDEX(次果筐明细!$G$4:$G$603,$Z66-5200)))),"")))))</f>
        <v/>
      </c>
      <c r="P66" s="40" t="str">
        <f>IF($Z66="","",IF($Z66&lt;=2000,"",IF($Z66&lt;=4000,IF(N(INDEX(周转筐出入库明细!$I$4:$I$2004,$Z66-2000))=0,"",N(INDEX(周转筐出入库明细!$I$4:$I$2004,$Z66-2000))),IF($Z66&lt;=5200,"",IF($Z66&lt;=5800,IF(ISNUMBER(SEARCH("退",INDEX(次果筐明细!$F$4:$F$603,$Z66-5200)&amp;"")),IF(N(INDEX(次果筐明细!$G$4:$G$603,$Z66-5200))=0,"",N(INDEX(次果筐明细!$G$4:$G$603,$Z66-5200))),""),"")))))</f>
        <v/>
      </c>
      <c r="Q66" s="40">
        <f>IF($Z66="","",IF($Z66&lt;=2000,"",IF($Z66&lt;=4000,IF(N(INDEX(周转筐出入库明细!$H$4:$H$2004,$Z66-2000))=0,"",N(INDEX(周转筐出入库明细!$H$4:$H$2004,$Z66-2000))),IF($Z66&lt;=5200,IF(N(INDEX(客户自备加工筐明细!$F$4:$F$1203,$Z66-4000))=0,"",N(INDEX(客户自备加工筐明细!$F$4:$F$1203,$Z66-4000))),IF($Z66&lt;=5800,"","")))))</f>
        <v>582</v>
      </c>
      <c r="R66" s="16" t="str">
        <f>IF($Z66="","",IF($Z66&lt;=2000,IF(INDEX(包装物料出入库明细!$O$4:$O$2003,$Z66-0)=0,"",INDEX(包装物料出入库明细!$O$4:$O$2003,$Z66-0)),IF($Z66&lt;=4000,IF(INDEX(周转筐出入库明细!$M$4:$M$2004,$Z66-2000)=0,"",INDEX(周转筐出入库明细!$M$4:$M$2004,$Z66-2000)),IF($Z66&lt;=5200,IF(INDEX(客户自备加工筐明细!$H$4:$H$1203,$Z66-4000)=0,"",INDEX(客户自备加工筐明细!$H$4:$H$1203,$Z66-4000)),IF($Z66&lt;=5800,IF(INDEX(次果筐明细!$H$4:$H$603,$Z66-5200)=0,"",INDEX(次果筐明细!$H$4:$H$603,$Z66-5200)),"")))))</f>
        <v>豫A*2737K</v>
      </c>
      <c r="S66" s="22" t="str">
        <f t="shared" si="2"/>
        <v>公司筐</v>
      </c>
      <c r="Z66" s="10">
        <f>IFERROR(MATCH(ROW()-3,_自动清单!$CQ$4:$CQ$5803,0),"")</f>
        <v>2030</v>
      </c>
    </row>
    <row r="67" spans="1:26">
      <c r="A67" s="24">
        <f t="shared" si="0"/>
        <v>64</v>
      </c>
      <c r="B67" s="38">
        <f>IF($Z67="","",IF($Z67&lt;=2000,IF(INDEX(包装物料出入库明细!$B$4:$B$2003,$Z67-0)=0,"",INDEX(包装物料出入库明细!$B$4:$B$2003,$Z67-0)),IF($Z67&lt;=4000,IF(INDEX(周转筐出入库明细!$B$4:$B$2004,$Z67-2000)=0,"",INDEX(周转筐出入库明细!$B$4:$B$2004,$Z67-2000)),IF($Z67&lt;=5200,IF(INDEX(客户自备加工筐明细!$B$4:$B$1203,$Z67-4000)=0,"",INDEX(客户自备加工筐明细!$B$4:$B$1203,$Z67-4000)),IF($Z67&lt;=5800,IF(INDEX(次果筐明细!$B$4:$B$603,$Z67-5200)=0,"",INDEX(次果筐明细!$B$4:$B$603,$Z67-5200)),"")))))</f>
        <v>46269</v>
      </c>
      <c r="C67" s="37" t="str">
        <f>IF($Z67="","",IF($Z67&lt;=2000,IF(INDEX(包装物料出入库明细!$D$4:$D$2003,$Z67-0)=0,"",INDEX(包装物料出入库明细!$D$4:$D$2003,$Z67-0)),IF($Z67&lt;=4000,IF(INDEX(周转筐出入库明细!$C$4:$C$2004,$Z67-2000)=0,"",INDEX(周转筐出入库明细!$C$4:$C$2004,$Z67-2000)),IF($Z67&lt;=5200,IF(INDEX(客户自备加工筐明细!$E$4:$E$1203,$Z67-4000)=0,"",INDEX(客户自备加工筐明细!$E$4:$E$1203,$Z67-4000)),IF($Z67&lt;=5800,IF(INDEX(次果筐明细!$C$4:$C$603,$Z67-5200)=0,"",INDEX(次果筐明细!$C$4:$C$603,$Z67-5200)),"")))))</f>
        <v>荆建君</v>
      </c>
      <c r="D67" s="37" t="str">
        <f>IF($Z67="","",IF($Z67&lt;=2000,"包装物料－"&amp;INDEX(包装物料出入库明细!$H$4:$H$2003,$Z67-0),IF($Z67&lt;=4000,"周转筐－"&amp;INDEX(周转筐出入库明细!$F$4:$F$2004,$Z67-2000),IF($Z67&lt;=5200,"客户自备筐－"&amp;INDEX(客户自备加工筐明细!$J$4:$J$1203,$Z67-4000),IF($Z67&lt;=5800,"次果筐/托盘－"&amp;INDEX(次果筐明细!$F$4:$F$603,$Z67-5200),"")))))</f>
        <v>周转筐－领用出库</v>
      </c>
      <c r="E67" s="24" t="str">
        <f>IF($Z67="","",IF($Z67&lt;=2000,IF(INDEX(包装物料出入库明细!$C$4:$C$2003,$Z67-0)=0,"",INDEX(包装物料出入库明细!$C$4:$C$2003,$Z67-0)),IF($Z67&lt;=4000,IF(INDEX(周转筐出入库明细!$E$4:$E$2004,$Z67-2000)=0,"",INDEX(周转筐出入库明细!$E$4:$E$2004,$Z67-2000)),IF($Z67&lt;=5200,IF(INDEX(客户自备加工筐明细!$D$4:$D$1203,$Z67-4000)=0,"",INDEX(客户自备加工筐明细!$D$4:$D$1203,$Z67-4000)),IF($Z67&lt;=5800,IF(INDEX(次果筐明细!$E$4:$E$603,$Z67-5200)=0,"",INDEX(次果筐明细!$E$4:$E$603,$Z67-5200)),"")))))</f>
        <v>NO:0001079</v>
      </c>
      <c r="F67" s="24" t="str">
        <f>IF($Z67="","",IF($Z67&lt;=2000,IF(INDEX(包装物料出入库明细!$E$4:$E$2003,$Z67-0)=0,"",INDEX(包装物料出入库明细!$E$4:$E$2003,$Z67-0)),IF($Z67&lt;=4000,IF(INDEX(周转筐出入库明细!$D$4:$D$2004,$Z67-2000)=0,"",INDEX(周转筐出入库明细!$D$4:$D$2004,$Z67-2000)),IF($Z67&lt;=5200,IF(INDEX(客户自备加工筐明细!$C$4:$C$1203,$Z67-4000)=0,"",INDEX(客户自备加工筐明细!$C$4:$C$1203,$Z67-4000)),IF($Z67&lt;=5800,IF(INDEX(次果筐明细!$D$4:$D$603,$Z67-5200)=0,"",INDEX(次果筐明细!$D$4:$D$603,$Z67-5200)),"")))))</f>
        <v>公司红周转筐</v>
      </c>
      <c r="G67" s="24" t="str">
        <f>IF($Z67="","",IF($Z67&lt;=2000,IF(INDEX(包装物料出入库明细!$F$4:$F$2003,$Z67-0)=0,"",INDEX(包装物料出入库明细!$F$4:$F$2003,$Z67-0)),IF($Z67&lt;=4000,"",IF($Z67&lt;=5200,"",IF($Z67&lt;=5800,"","")))))</f>
        <v/>
      </c>
      <c r="H67" s="39">
        <f>IF($Z67="","",IF($Z67&lt;=2000,IF(INDEX(包装物料出入库明细!$L$4:$L$2003,$Z67-0)=0,"",INDEX(包装物料出入库明细!$L$4:$L$2003,$Z67-0)),IF($Z67&lt;=4000,N(INDEX(周转筐出入库明细!$H$4:$H$2004,$Z67-2000))+N(INDEX(周转筐出入库明细!$I$4:$I$2004,$Z67-2000))+N(INDEX(周转筐出入库明细!$J$4:$J$2004,$Z67-2000))+N(INDEX(周转筐出入库明细!$K$4:$K$2004,$Z67-2000)),IF($Z67&lt;=5200,N(INDEX(客户自备加工筐明细!$F$4:$F$1203,$Z67-4000))+N(INDEX(客户自备加工筐明细!$G$4:$G$1203,$Z67-4000)),IF($Z67&lt;=5800,IF(INDEX(次果筐明细!$G$4:$G$603,$Z67-5200)=0,"",INDEX(次果筐明细!$G$4:$G$603,$Z67-5200)),"")))))</f>
        <v>582</v>
      </c>
      <c r="I67" s="24" t="str">
        <f>IF($Z67="","",IF($Z67&lt;=2000,IF(INDEX(包装物料出入库明细!$G$4:$G$2003,$Z67-0)=0,"",INDEX(包装物料出入库明细!$G$4:$G$2003,$Z67-0)),IF($Z67&lt;=4000,"个",IF($Z67&lt;=5200,"个",IF($Z67&lt;=5800,"个","")))))</f>
        <v>个</v>
      </c>
      <c r="J67" s="30" t="str">
        <f t="shared" si="1"/>
        <v/>
      </c>
      <c r="K67" s="30" t="str">
        <f>IF($Z67="","",IF($Z67&lt;=2000,IF(INDEX(包装物料出入库明细!$N$4:$N$2003,$Z67-0)=0,"",INDEX(包装物料出入库明细!$N$4:$N$2003,$Z67-0)),IF($Z67&lt;=4000,IF(INDEX(周转筐出入库明细!$P$4:$P$2004,$Z67-2000)=0,"",INDEX(周转筐出入库明细!$P$4:$P$2004,$Z67-2000)),IF($Z67&lt;=5200,"",IF($Z67&lt;=5800,N(INDEX(次果筐明细!$L$4:$L$603,$Z67-5200))+N(INDEX(次果筐明细!$J$4:$J$603,$Z67-5200)),"")))))</f>
        <v/>
      </c>
      <c r="L67" s="24" t="str">
        <f>IF($Z67="","",IF($Z67&lt;=2000,IF(INDEX(包装物料出入库明细!$P$4:$P$2003,$Z67-0)=0,"",INDEX(包装物料出入库明细!$P$4:$P$2003,$Z67-0)),IF($Z67&lt;=4000,IF(INDEX(周转筐出入库明细!$Q$4:$Q$2004,$Z67-2000)=0,"",INDEX(周转筐出入库明细!$Q$4:$Q$2004,$Z67-2000)),IF($Z67&lt;=5200,"",IF($Z67&lt;=5800,IF(INDEX(次果筐明细!$M$4:$M$603,$Z67-5200)=0,"",INDEX(次果筐明细!$M$4:$M$603,$Z67-5200)),"")))))</f>
        <v/>
      </c>
      <c r="M67" s="37" t="str">
        <f>IF($Z67="","",IF($Z67&lt;=2000,IF(INDEX(包装物料出入库明细!$R$4:$R$2003,$Z67-0)=0,"",INDEX(包装物料出入库明细!$R$4:$R$2003,$Z67-0)),IF($Z67&lt;=4000,IF(INDEX(周转筐出入库明细!$W$4:$W$2004,$Z67-2000)=0,"",INDEX(周转筐出入库明细!$W$4:$W$2004,$Z67-2000)),IF($Z67&lt;=5200,IF(INDEX(客户自备加工筐明细!$L$4:$L$1203,$Z67-4000)=0,"",INDEX(客户自备加工筐明细!$L$4:$L$1203,$Z67-4000)),IF($Z67&lt;=5800,IF(INDEX(次果筐明细!$P$4:$P$603,$Z67-5200)=0,"",INDEX(次果筐明细!$P$4:$P$603,$Z67-5200)),"")))))</f>
        <v/>
      </c>
      <c r="N67" s="16" t="str">
        <f>IF($Z67="","",IF($Z67&lt;=2000,"",IF($Z67&lt;=4000,IF(INDEX(周转筐出入库明细!$D$4:$D$2004,$Z67-2000)=0,"",INDEX(周转筐出入库明细!$D$4:$D$2004,$Z67-2000)),IF($Z67&lt;=5200,IF(INDEX(客户自备加工筐明细!$C$4:$C$1203,$Z67-4000)=0,"",INDEX(客户自备加工筐明细!$C$4:$C$1203,$Z67-4000)),IF($Z67&lt;=5800,IF(INDEX(次果筐明细!$D$4:$D$603,$Z67-5200)=0,"",INDEX(次果筐明细!$D$4:$D$603,$Z67-5200)),"")))))</f>
        <v>公司红周转筐</v>
      </c>
      <c r="O67" s="40">
        <f>IF($Z67="","",IF($Z67&lt;=2000,"",IF($Z67&lt;=4000,IF(N(INDEX(周转筐出入库明细!$J$4:$J$2004,$Z67-2000))+N(INDEX(周转筐出入库明细!$K$4:$K$2004,$Z67-2000))=0,"",N(INDEX(周转筐出入库明细!$J$4:$J$2004,$Z67-2000))+N(INDEX(周转筐出入库明细!$K$4:$K$2004,$Z67-2000))),IF($Z67&lt;=5200,IF(N(INDEX(客户自备加工筐明细!$G$4:$G$1203,$Z67-4000))=0,"",N(INDEX(客户自备加工筐明细!$G$4:$G$1203,$Z67-4000))),IF($Z67&lt;=5800,IF(ISNUMBER(SEARCH("退",INDEX(次果筐明细!$F$4:$F$603,$Z67-5200)&amp;"")),"",IF(N(INDEX(次果筐明细!$G$4:$G$603,$Z67-5200))=0,"",N(INDEX(次果筐明细!$G$4:$G$603,$Z67-5200)))),"")))))</f>
        <v>582</v>
      </c>
      <c r="P67" s="40" t="str">
        <f>IF($Z67="","",IF($Z67&lt;=2000,"",IF($Z67&lt;=4000,IF(N(INDEX(周转筐出入库明细!$I$4:$I$2004,$Z67-2000))=0,"",N(INDEX(周转筐出入库明细!$I$4:$I$2004,$Z67-2000))),IF($Z67&lt;=5200,"",IF($Z67&lt;=5800,IF(ISNUMBER(SEARCH("退",INDEX(次果筐明细!$F$4:$F$603,$Z67-5200)&amp;"")),IF(N(INDEX(次果筐明细!$G$4:$G$603,$Z67-5200))=0,"",N(INDEX(次果筐明细!$G$4:$G$603,$Z67-5200))),""),"")))))</f>
        <v/>
      </c>
      <c r="Q67" s="40" t="str">
        <f>IF($Z67="","",IF($Z67&lt;=2000,"",IF($Z67&lt;=4000,IF(N(INDEX(周转筐出入库明细!$H$4:$H$2004,$Z67-2000))=0,"",N(INDEX(周转筐出入库明细!$H$4:$H$2004,$Z67-2000))),IF($Z67&lt;=5200,IF(N(INDEX(客户自备加工筐明细!$F$4:$F$1203,$Z67-4000))=0,"",N(INDEX(客户自备加工筐明细!$F$4:$F$1203,$Z67-4000))),IF($Z67&lt;=5800,"","")))))</f>
        <v/>
      </c>
      <c r="R67" s="16" t="str">
        <f>IF($Z67="","",IF($Z67&lt;=2000,IF(INDEX(包装物料出入库明细!$O$4:$O$2003,$Z67-0)=0,"",INDEX(包装物料出入库明细!$O$4:$O$2003,$Z67-0)),IF($Z67&lt;=4000,IF(INDEX(周转筐出入库明细!$M$4:$M$2004,$Z67-2000)=0,"",INDEX(周转筐出入库明细!$M$4:$M$2004,$Z67-2000)),IF($Z67&lt;=5200,IF(INDEX(客户自备加工筐明细!$H$4:$H$1203,$Z67-4000)=0,"",INDEX(客户自备加工筐明细!$H$4:$H$1203,$Z67-4000)),IF($Z67&lt;=5800,IF(INDEX(次果筐明细!$H$4:$H$603,$Z67-5200)=0,"",INDEX(次果筐明细!$H$4:$H$603,$Z67-5200)),"")))))</f>
        <v>豫A*2737K</v>
      </c>
      <c r="S67" s="22" t="str">
        <f t="shared" si="2"/>
        <v>公司筐</v>
      </c>
      <c r="Z67" s="10">
        <f>IFERROR(MATCH(ROW()-3,_自动清单!$CQ$4:$CQ$5803,0),"")</f>
        <v>2031</v>
      </c>
    </row>
    <row r="68" spans="1:26">
      <c r="A68" s="24">
        <f t="shared" ref="A68:A131" si="3">IF($B68="","",ROW()-3)</f>
        <v>65</v>
      </c>
      <c r="B68" s="38">
        <f>IF($Z68="","",IF($Z68&lt;=2000,IF(INDEX(包装物料出入库明细!$B$4:$B$2003,$Z68-0)=0,"",INDEX(包装物料出入库明细!$B$4:$B$2003,$Z68-0)),IF($Z68&lt;=4000,IF(INDEX(周转筐出入库明细!$B$4:$B$2004,$Z68-2000)=0,"",INDEX(周转筐出入库明细!$B$4:$B$2004,$Z68-2000)),IF($Z68&lt;=5200,IF(INDEX(客户自备加工筐明细!$B$4:$B$1203,$Z68-4000)=0,"",INDEX(客户自备加工筐明细!$B$4:$B$1203,$Z68-4000)),IF($Z68&lt;=5800,IF(INDEX(次果筐明细!$B$4:$B$603,$Z68-5200)=0,"",INDEX(次果筐明细!$B$4:$B$603,$Z68-5200)),"")))))</f>
        <v>46270</v>
      </c>
      <c r="C68" s="37" t="str">
        <f>IF($Z68="","",IF($Z68&lt;=2000,IF(INDEX(包装物料出入库明细!$D$4:$D$2003,$Z68-0)=0,"",INDEX(包装物料出入库明细!$D$4:$D$2003,$Z68-0)),IF($Z68&lt;=4000,IF(INDEX(周转筐出入库明细!$C$4:$C$2004,$Z68-2000)=0,"",INDEX(周转筐出入库明细!$C$4:$C$2004,$Z68-2000)),IF($Z68&lt;=5200,IF(INDEX(客户自备加工筐明细!$E$4:$E$1203,$Z68-4000)=0,"",INDEX(客户自备加工筐明细!$E$4:$E$1203,$Z68-4000)),IF($Z68&lt;=5800,IF(INDEX(次果筐明细!$C$4:$C$603,$Z68-5200)=0,"",INDEX(次果筐明细!$C$4:$C$603,$Z68-5200)),"")))))</f>
        <v>王浩</v>
      </c>
      <c r="D68" s="37" t="str">
        <f>IF($Z68="","",IF($Z68&lt;=2000,"包装物料－"&amp;INDEX(包装物料出入库明细!$H$4:$H$2003,$Z68-0),IF($Z68&lt;=4000,"周转筐－"&amp;INDEX(周转筐出入库明细!$F$4:$F$2004,$Z68-2000),IF($Z68&lt;=5200,"客户自备筐－"&amp;INDEX(客户自备加工筐明细!$J$4:$J$1203,$Z68-4000),IF($Z68&lt;=5800,"次果筐/托盘－"&amp;INDEX(次果筐明细!$F$4:$F$603,$Z68-5200),"")))))</f>
        <v>周转筐－领用出库</v>
      </c>
      <c r="E68" s="24" t="str">
        <f>IF($Z68="","",IF($Z68&lt;=2000,IF(INDEX(包装物料出入库明细!$C$4:$C$2003,$Z68-0)=0,"",INDEX(包装物料出入库明细!$C$4:$C$2003,$Z68-0)),IF($Z68&lt;=4000,IF(INDEX(周转筐出入库明细!$E$4:$E$2004,$Z68-2000)=0,"",INDEX(周转筐出入库明细!$E$4:$E$2004,$Z68-2000)),IF($Z68&lt;=5200,IF(INDEX(客户自备加工筐明细!$D$4:$D$1203,$Z68-4000)=0,"",INDEX(客户自备加工筐明细!$D$4:$D$1203,$Z68-4000)),IF($Z68&lt;=5800,IF(INDEX(次果筐明细!$E$4:$E$603,$Z68-5200)=0,"",INDEX(次果筐明细!$E$4:$E$603,$Z68-5200)),"")))))</f>
        <v>NO:0001086</v>
      </c>
      <c r="F68" s="24" t="str">
        <f>IF($Z68="","",IF($Z68&lt;=2000,IF(INDEX(包装物料出入库明细!$E$4:$E$2003,$Z68-0)=0,"",INDEX(包装物料出入库明细!$E$4:$E$2003,$Z68-0)),IF($Z68&lt;=4000,IF(INDEX(周转筐出入库明细!$D$4:$D$2004,$Z68-2000)=0,"",INDEX(周转筐出入库明细!$D$4:$D$2004,$Z68-2000)),IF($Z68&lt;=5200,IF(INDEX(客户自备加工筐明细!$C$4:$C$1203,$Z68-4000)=0,"",INDEX(客户自备加工筐明细!$C$4:$C$1203,$Z68-4000)),IF($Z68&lt;=5800,IF(INDEX(次果筐明细!$D$4:$D$603,$Z68-5200)=0,"",INDEX(次果筐明细!$D$4:$D$603,$Z68-5200)),"")))))</f>
        <v>公司一次性筐</v>
      </c>
      <c r="G68" s="24" t="str">
        <f>IF($Z68="","",IF($Z68&lt;=2000,IF(INDEX(包装物料出入库明细!$F$4:$F$2003,$Z68-0)=0,"",INDEX(包装物料出入库明细!$F$4:$F$2003,$Z68-0)),IF($Z68&lt;=4000,"",IF($Z68&lt;=5200,"",IF($Z68&lt;=5800,"","")))))</f>
        <v/>
      </c>
      <c r="H68" s="39">
        <f>IF($Z68="","",IF($Z68&lt;=2000,IF(INDEX(包装物料出入库明细!$L$4:$L$2003,$Z68-0)=0,"",INDEX(包装物料出入库明细!$L$4:$L$2003,$Z68-0)),IF($Z68&lt;=4000,N(INDEX(周转筐出入库明细!$H$4:$H$2004,$Z68-2000))+N(INDEX(周转筐出入库明细!$I$4:$I$2004,$Z68-2000))+N(INDEX(周转筐出入库明细!$J$4:$J$2004,$Z68-2000))+N(INDEX(周转筐出入库明细!$K$4:$K$2004,$Z68-2000)),IF($Z68&lt;=5200,N(INDEX(客户自备加工筐明细!$F$4:$F$1203,$Z68-4000))+N(INDEX(客户自备加工筐明细!$G$4:$G$1203,$Z68-4000)),IF($Z68&lt;=5800,IF(INDEX(次果筐明细!$G$4:$G$603,$Z68-5200)=0,"",INDEX(次果筐明细!$G$4:$G$603,$Z68-5200)),"")))))</f>
        <v>1320</v>
      </c>
      <c r="I68" s="24" t="str">
        <f>IF($Z68="","",IF($Z68&lt;=2000,IF(INDEX(包装物料出入库明细!$G$4:$G$2003,$Z68-0)=0,"",INDEX(包装物料出入库明细!$G$4:$G$2003,$Z68-0)),IF($Z68&lt;=4000,"个",IF($Z68&lt;=5200,"个",IF($Z68&lt;=5800,"个","")))))</f>
        <v>个</v>
      </c>
      <c r="J68" s="30" t="str">
        <f t="shared" ref="J68:J131" si="4">IF($Z68="","",IF($Z68&lt;=2000,"",IF($Z68&lt;=4000,"",IF($Z68&lt;=5200,"",IF($Z68&lt;=5800,"","")))))</f>
        <v/>
      </c>
      <c r="K68" s="30" t="str">
        <f>IF($Z68="","",IF($Z68&lt;=2000,IF(INDEX(包装物料出入库明细!$N$4:$N$2003,$Z68-0)=0,"",INDEX(包装物料出入库明细!$N$4:$N$2003,$Z68-0)),IF($Z68&lt;=4000,IF(INDEX(周转筐出入库明细!$P$4:$P$2004,$Z68-2000)=0,"",INDEX(周转筐出入库明细!$P$4:$P$2004,$Z68-2000)),IF($Z68&lt;=5200,"",IF($Z68&lt;=5800,N(INDEX(次果筐明细!$L$4:$L$603,$Z68-5200))+N(INDEX(次果筐明细!$J$4:$J$603,$Z68-5200)),"")))))</f>
        <v/>
      </c>
      <c r="L68" s="24" t="str">
        <f>IF($Z68="","",IF($Z68&lt;=2000,IF(INDEX(包装物料出入库明细!$P$4:$P$2003,$Z68-0)=0,"",INDEX(包装物料出入库明细!$P$4:$P$2003,$Z68-0)),IF($Z68&lt;=4000,IF(INDEX(周转筐出入库明细!$Q$4:$Q$2004,$Z68-2000)=0,"",INDEX(周转筐出入库明细!$Q$4:$Q$2004,$Z68-2000)),IF($Z68&lt;=5200,"",IF($Z68&lt;=5800,IF(INDEX(次果筐明细!$M$4:$M$603,$Z68-5200)=0,"",INDEX(次果筐明细!$M$4:$M$603,$Z68-5200)),"")))))</f>
        <v/>
      </c>
      <c r="M68" s="37" t="str">
        <f>IF($Z68="","",IF($Z68&lt;=2000,IF(INDEX(包装物料出入库明细!$R$4:$R$2003,$Z68-0)=0,"",INDEX(包装物料出入库明细!$R$4:$R$2003,$Z68-0)),IF($Z68&lt;=4000,IF(INDEX(周转筐出入库明细!$W$4:$W$2004,$Z68-2000)=0,"",INDEX(周转筐出入库明细!$W$4:$W$2004,$Z68-2000)),IF($Z68&lt;=5200,IF(INDEX(客户自备加工筐明细!$L$4:$L$1203,$Z68-4000)=0,"",INDEX(客户自备加工筐明细!$L$4:$L$1203,$Z68-4000)),IF($Z68&lt;=5800,IF(INDEX(次果筐明细!$P$4:$P$603,$Z68-5200)=0,"",INDEX(次果筐明细!$P$4:$P$603,$Z68-5200)),"")))))</f>
        <v/>
      </c>
      <c r="N68" s="16" t="str">
        <f>IF($Z68="","",IF($Z68&lt;=2000,"",IF($Z68&lt;=4000,IF(INDEX(周转筐出入库明细!$D$4:$D$2004,$Z68-2000)=0,"",INDEX(周转筐出入库明细!$D$4:$D$2004,$Z68-2000)),IF($Z68&lt;=5200,IF(INDEX(客户自备加工筐明细!$C$4:$C$1203,$Z68-4000)=0,"",INDEX(客户自备加工筐明细!$C$4:$C$1203,$Z68-4000)),IF($Z68&lt;=5800,IF(INDEX(次果筐明细!$D$4:$D$603,$Z68-5200)=0,"",INDEX(次果筐明细!$D$4:$D$603,$Z68-5200)),"")))))</f>
        <v>公司一次性筐</v>
      </c>
      <c r="O68" s="40">
        <f>IF($Z68="","",IF($Z68&lt;=2000,"",IF($Z68&lt;=4000,IF(N(INDEX(周转筐出入库明细!$J$4:$J$2004,$Z68-2000))+N(INDEX(周转筐出入库明细!$K$4:$K$2004,$Z68-2000))=0,"",N(INDEX(周转筐出入库明细!$J$4:$J$2004,$Z68-2000))+N(INDEX(周转筐出入库明细!$K$4:$K$2004,$Z68-2000))),IF($Z68&lt;=5200,IF(N(INDEX(客户自备加工筐明细!$G$4:$G$1203,$Z68-4000))=0,"",N(INDEX(客户自备加工筐明细!$G$4:$G$1203,$Z68-4000))),IF($Z68&lt;=5800,IF(ISNUMBER(SEARCH("退",INDEX(次果筐明细!$F$4:$F$603,$Z68-5200)&amp;"")),"",IF(N(INDEX(次果筐明细!$G$4:$G$603,$Z68-5200))=0,"",N(INDEX(次果筐明细!$G$4:$G$603,$Z68-5200)))),"")))))</f>
        <v>1320</v>
      </c>
      <c r="P68" s="40" t="str">
        <f>IF($Z68="","",IF($Z68&lt;=2000,"",IF($Z68&lt;=4000,IF(N(INDEX(周转筐出入库明细!$I$4:$I$2004,$Z68-2000))=0,"",N(INDEX(周转筐出入库明细!$I$4:$I$2004,$Z68-2000))),IF($Z68&lt;=5200,"",IF($Z68&lt;=5800,IF(ISNUMBER(SEARCH("退",INDEX(次果筐明细!$F$4:$F$603,$Z68-5200)&amp;"")),IF(N(INDEX(次果筐明细!$G$4:$G$603,$Z68-5200))=0,"",N(INDEX(次果筐明细!$G$4:$G$603,$Z68-5200))),""),"")))))</f>
        <v/>
      </c>
      <c r="Q68" s="40" t="str">
        <f>IF($Z68="","",IF($Z68&lt;=2000,"",IF($Z68&lt;=4000,IF(N(INDEX(周转筐出入库明细!$H$4:$H$2004,$Z68-2000))=0,"",N(INDEX(周转筐出入库明细!$H$4:$H$2004,$Z68-2000))),IF($Z68&lt;=5200,IF(N(INDEX(客户自备加工筐明细!$F$4:$F$1203,$Z68-4000))=0,"",N(INDEX(客户自备加工筐明细!$F$4:$F$1203,$Z68-4000))),IF($Z68&lt;=5800,"","")))))</f>
        <v/>
      </c>
      <c r="R68" s="16" t="str">
        <f>IF($Z68="","",IF($Z68&lt;=2000,IF(INDEX(包装物料出入库明细!$O$4:$O$2003,$Z68-0)=0,"",INDEX(包装物料出入库明细!$O$4:$O$2003,$Z68-0)),IF($Z68&lt;=4000,IF(INDEX(周转筐出入库明细!$M$4:$M$2004,$Z68-2000)=0,"",INDEX(周转筐出入库明细!$M$4:$M$2004,$Z68-2000)),IF($Z68&lt;=5200,IF(INDEX(客户自备加工筐明细!$H$4:$H$1203,$Z68-4000)=0,"",INDEX(客户自备加工筐明细!$H$4:$H$1203,$Z68-4000)),IF($Z68&lt;=5800,IF(INDEX(次果筐明细!$H$4:$H$603,$Z68-5200)=0,"",INDEX(次果筐明细!$H$4:$H$603,$Z68-5200)),"")))))</f>
        <v>新M*79997</v>
      </c>
      <c r="S68" s="22" t="str">
        <f t="shared" ref="S68:S131" si="5">IF($N68="","",IF(OR(LEFT($N68,2)="自备",AND($Z68&gt;4000,$Z68&lt;=5200)),"自备筐","公司筐"))</f>
        <v>公司筐</v>
      </c>
      <c r="Z68" s="10">
        <f>IFERROR(MATCH(ROW()-3,_自动清单!$CQ$4:$CQ$5803,0),"")</f>
        <v>2032</v>
      </c>
    </row>
    <row r="69" spans="1:26">
      <c r="A69" s="24">
        <f t="shared" si="3"/>
        <v>66</v>
      </c>
      <c r="B69" s="38">
        <f>IF($Z69="","",IF($Z69&lt;=2000,IF(INDEX(包装物料出入库明细!$B$4:$B$2003,$Z69-0)=0,"",INDEX(包装物料出入库明细!$B$4:$B$2003,$Z69-0)),IF($Z69&lt;=4000,IF(INDEX(周转筐出入库明细!$B$4:$B$2004,$Z69-2000)=0,"",INDEX(周转筐出入库明细!$B$4:$B$2004,$Z69-2000)),IF($Z69&lt;=5200,IF(INDEX(客户自备加工筐明细!$B$4:$B$1203,$Z69-4000)=0,"",INDEX(客户自备加工筐明细!$B$4:$B$1203,$Z69-4000)),IF($Z69&lt;=5800,IF(INDEX(次果筐明细!$B$4:$B$603,$Z69-5200)=0,"",INDEX(次果筐明细!$B$4:$B$603,$Z69-5200)),"")))))</f>
        <v>46271</v>
      </c>
      <c r="C69" s="37" t="str">
        <f>IF($Z69="","",IF($Z69&lt;=2000,IF(INDEX(包装物料出入库明细!$D$4:$D$2003,$Z69-0)=0,"",INDEX(包装物料出入库明细!$D$4:$D$2003,$Z69-0)),IF($Z69&lt;=4000,IF(INDEX(周转筐出入库明细!$C$4:$C$2004,$Z69-2000)=0,"",INDEX(周转筐出入库明细!$C$4:$C$2004,$Z69-2000)),IF($Z69&lt;=5200,IF(INDEX(客户自备加工筐明细!$E$4:$E$1203,$Z69-4000)=0,"",INDEX(客户自备加工筐明细!$E$4:$E$1203,$Z69-4000)),IF($Z69&lt;=5800,IF(INDEX(次果筐明细!$C$4:$C$603,$Z69-5200)=0,"",INDEX(次果筐明细!$C$4:$C$603,$Z69-5200)),"")))))</f>
        <v>贾建国</v>
      </c>
      <c r="D69" s="37" t="str">
        <f>IF($Z69="","",IF($Z69&lt;=2000,"包装物料－"&amp;INDEX(包装物料出入库明细!$H$4:$H$2003,$Z69-0),IF($Z69&lt;=4000,"周转筐－"&amp;INDEX(周转筐出入库明细!$F$4:$F$2004,$Z69-2000),IF($Z69&lt;=5200,"客户自备筐－"&amp;INDEX(客户自备加工筐明细!$J$4:$J$1203,$Z69-4000),IF($Z69&lt;=5800,"次果筐/托盘－"&amp;INDEX(次果筐明细!$F$4:$F$603,$Z69-5200),"")))))</f>
        <v>周转筐－领用出库</v>
      </c>
      <c r="E69" s="24" t="str">
        <f>IF($Z69="","",IF($Z69&lt;=2000,IF(INDEX(包装物料出入库明细!$C$4:$C$2003,$Z69-0)=0,"",INDEX(包装物料出入库明细!$C$4:$C$2003,$Z69-0)),IF($Z69&lt;=4000,IF(INDEX(周转筐出入库明细!$E$4:$E$2004,$Z69-2000)=0,"",INDEX(周转筐出入库明细!$E$4:$E$2004,$Z69-2000)),IF($Z69&lt;=5200,IF(INDEX(客户自备加工筐明细!$D$4:$D$1203,$Z69-4000)=0,"",INDEX(客户自备加工筐明细!$D$4:$D$1203,$Z69-4000)),IF($Z69&lt;=5800,IF(INDEX(次果筐明细!$E$4:$E$603,$Z69-5200)=0,"",INDEX(次果筐明细!$E$4:$E$603,$Z69-5200)),"")))))</f>
        <v>NO:0001087</v>
      </c>
      <c r="F69" s="24" t="str">
        <f>IF($Z69="","",IF($Z69&lt;=2000,IF(INDEX(包装物料出入库明细!$E$4:$E$2003,$Z69-0)=0,"",INDEX(包装物料出入库明细!$E$4:$E$2003,$Z69-0)),IF($Z69&lt;=4000,IF(INDEX(周转筐出入库明细!$D$4:$D$2004,$Z69-2000)=0,"",INDEX(周转筐出入库明细!$D$4:$D$2004,$Z69-2000)),IF($Z69&lt;=5200,IF(INDEX(客户自备加工筐明细!$C$4:$C$1203,$Z69-4000)=0,"",INDEX(客户自备加工筐明细!$C$4:$C$1203,$Z69-4000)),IF($Z69&lt;=5800,IF(INDEX(次果筐明细!$D$4:$D$603,$Z69-5200)=0,"",INDEX(次果筐明细!$D$4:$D$603,$Z69-5200)),"")))))</f>
        <v>公司新周转筐</v>
      </c>
      <c r="G69" s="24" t="str">
        <f>IF($Z69="","",IF($Z69&lt;=2000,IF(INDEX(包装物料出入库明细!$F$4:$F$2003,$Z69-0)=0,"",INDEX(包装物料出入库明细!$F$4:$F$2003,$Z69-0)),IF($Z69&lt;=4000,"",IF($Z69&lt;=5200,"",IF($Z69&lt;=5800,"","")))))</f>
        <v/>
      </c>
      <c r="H69" s="39">
        <f>IF($Z69="","",IF($Z69&lt;=2000,IF(INDEX(包装物料出入库明细!$L$4:$L$2003,$Z69-0)=0,"",INDEX(包装物料出入库明细!$L$4:$L$2003,$Z69-0)),IF($Z69&lt;=4000,N(INDEX(周转筐出入库明细!$H$4:$H$2004,$Z69-2000))+N(INDEX(周转筐出入库明细!$I$4:$I$2004,$Z69-2000))+N(INDEX(周转筐出入库明细!$J$4:$J$2004,$Z69-2000))+N(INDEX(周转筐出入库明细!$K$4:$K$2004,$Z69-2000)),IF($Z69&lt;=5200,N(INDEX(客户自备加工筐明细!$F$4:$F$1203,$Z69-4000))+N(INDEX(客户自备加工筐明细!$G$4:$G$1203,$Z69-4000)),IF($Z69&lt;=5800,IF(INDEX(次果筐明细!$G$4:$G$603,$Z69-5200)=0,"",INDEX(次果筐明细!$G$4:$G$603,$Z69-5200)),"")))))</f>
        <v>252</v>
      </c>
      <c r="I69" s="24" t="str">
        <f>IF($Z69="","",IF($Z69&lt;=2000,IF(INDEX(包装物料出入库明细!$G$4:$G$2003,$Z69-0)=0,"",INDEX(包装物料出入库明细!$G$4:$G$2003,$Z69-0)),IF($Z69&lt;=4000,"个",IF($Z69&lt;=5200,"个",IF($Z69&lt;=5800,"个","")))))</f>
        <v>个</v>
      </c>
      <c r="J69" s="30" t="str">
        <f t="shared" si="4"/>
        <v/>
      </c>
      <c r="K69" s="30" t="str">
        <f>IF($Z69="","",IF($Z69&lt;=2000,IF(INDEX(包装物料出入库明细!$N$4:$N$2003,$Z69-0)=0,"",INDEX(包装物料出入库明细!$N$4:$N$2003,$Z69-0)),IF($Z69&lt;=4000,IF(INDEX(周转筐出入库明细!$P$4:$P$2004,$Z69-2000)=0,"",INDEX(周转筐出入库明细!$P$4:$P$2004,$Z69-2000)),IF($Z69&lt;=5200,"",IF($Z69&lt;=5800,N(INDEX(次果筐明细!$L$4:$L$603,$Z69-5200))+N(INDEX(次果筐明细!$J$4:$J$603,$Z69-5200)),"")))))</f>
        <v/>
      </c>
      <c r="L69" s="24" t="str">
        <f>IF($Z69="","",IF($Z69&lt;=2000,IF(INDEX(包装物料出入库明细!$P$4:$P$2003,$Z69-0)=0,"",INDEX(包装物料出入库明细!$P$4:$P$2003,$Z69-0)),IF($Z69&lt;=4000,IF(INDEX(周转筐出入库明细!$Q$4:$Q$2004,$Z69-2000)=0,"",INDEX(周转筐出入库明细!$Q$4:$Q$2004,$Z69-2000)),IF($Z69&lt;=5200,"",IF($Z69&lt;=5800,IF(INDEX(次果筐明细!$M$4:$M$603,$Z69-5200)=0,"",INDEX(次果筐明细!$M$4:$M$603,$Z69-5200)),"")))))</f>
        <v/>
      </c>
      <c r="M69" s="37" t="str">
        <f>IF($Z69="","",IF($Z69&lt;=2000,IF(INDEX(包装物料出入库明细!$R$4:$R$2003,$Z69-0)=0,"",INDEX(包装物料出入库明细!$R$4:$R$2003,$Z69-0)),IF($Z69&lt;=4000,IF(INDEX(周转筐出入库明细!$W$4:$W$2004,$Z69-2000)=0,"",INDEX(周转筐出入库明细!$W$4:$W$2004,$Z69-2000)),IF($Z69&lt;=5200,IF(INDEX(客户自备加工筐明细!$L$4:$L$1203,$Z69-4000)=0,"",INDEX(客户自备加工筐明细!$L$4:$L$1203,$Z69-4000)),IF($Z69&lt;=5800,IF(INDEX(次果筐明细!$P$4:$P$603,$Z69-5200)=0,"",INDEX(次果筐明细!$P$4:$P$603,$Z69-5200)),"")))))</f>
        <v/>
      </c>
      <c r="N69" s="16" t="str">
        <f>IF($Z69="","",IF($Z69&lt;=2000,"",IF($Z69&lt;=4000,IF(INDEX(周转筐出入库明细!$D$4:$D$2004,$Z69-2000)=0,"",INDEX(周转筐出入库明细!$D$4:$D$2004,$Z69-2000)),IF($Z69&lt;=5200,IF(INDEX(客户自备加工筐明细!$C$4:$C$1203,$Z69-4000)=0,"",INDEX(客户自备加工筐明细!$C$4:$C$1203,$Z69-4000)),IF($Z69&lt;=5800,IF(INDEX(次果筐明细!$D$4:$D$603,$Z69-5200)=0,"",INDEX(次果筐明细!$D$4:$D$603,$Z69-5200)),"")))))</f>
        <v>公司新周转筐</v>
      </c>
      <c r="O69" s="40">
        <f>IF($Z69="","",IF($Z69&lt;=2000,"",IF($Z69&lt;=4000,IF(N(INDEX(周转筐出入库明细!$J$4:$J$2004,$Z69-2000))+N(INDEX(周转筐出入库明细!$K$4:$K$2004,$Z69-2000))=0,"",N(INDEX(周转筐出入库明细!$J$4:$J$2004,$Z69-2000))+N(INDEX(周转筐出入库明细!$K$4:$K$2004,$Z69-2000))),IF($Z69&lt;=5200,IF(N(INDEX(客户自备加工筐明细!$G$4:$G$1203,$Z69-4000))=0,"",N(INDEX(客户自备加工筐明细!$G$4:$G$1203,$Z69-4000))),IF($Z69&lt;=5800,IF(ISNUMBER(SEARCH("退",INDEX(次果筐明细!$F$4:$F$603,$Z69-5200)&amp;"")),"",IF(N(INDEX(次果筐明细!$G$4:$G$603,$Z69-5200))=0,"",N(INDEX(次果筐明细!$G$4:$G$603,$Z69-5200)))),"")))))</f>
        <v>252</v>
      </c>
      <c r="P69" s="40" t="str">
        <f>IF($Z69="","",IF($Z69&lt;=2000,"",IF($Z69&lt;=4000,IF(N(INDEX(周转筐出入库明细!$I$4:$I$2004,$Z69-2000))=0,"",N(INDEX(周转筐出入库明细!$I$4:$I$2004,$Z69-2000))),IF($Z69&lt;=5200,"",IF($Z69&lt;=5800,IF(ISNUMBER(SEARCH("退",INDEX(次果筐明细!$F$4:$F$603,$Z69-5200)&amp;"")),IF(N(INDEX(次果筐明细!$G$4:$G$603,$Z69-5200))=0,"",N(INDEX(次果筐明细!$G$4:$G$603,$Z69-5200))),""),"")))))</f>
        <v/>
      </c>
      <c r="Q69" s="40" t="str">
        <f>IF($Z69="","",IF($Z69&lt;=2000,"",IF($Z69&lt;=4000,IF(N(INDEX(周转筐出入库明细!$H$4:$H$2004,$Z69-2000))=0,"",N(INDEX(周转筐出入库明细!$H$4:$H$2004,$Z69-2000))),IF($Z69&lt;=5200,IF(N(INDEX(客户自备加工筐明细!$F$4:$F$1203,$Z69-4000))=0,"",N(INDEX(客户自备加工筐明细!$F$4:$F$1203,$Z69-4000))),IF($Z69&lt;=5800,"","")))))</f>
        <v/>
      </c>
      <c r="R69" s="16" t="str">
        <f>IF($Z69="","",IF($Z69&lt;=2000,IF(INDEX(包装物料出入库明细!$O$4:$O$2003,$Z69-0)=0,"",INDEX(包装物料出入库明细!$O$4:$O$2003,$Z69-0)),IF($Z69&lt;=4000,IF(INDEX(周转筐出入库明细!$M$4:$M$2004,$Z69-2000)=0,"",INDEX(周转筐出入库明细!$M$4:$M$2004,$Z69-2000)),IF($Z69&lt;=5200,IF(INDEX(客户自备加工筐明细!$H$4:$H$1203,$Z69-4000)=0,"",INDEX(客户自备加工筐明细!$H$4:$H$1203,$Z69-4000)),IF($Z69&lt;=5800,IF(INDEX(次果筐明细!$H$4:$H$603,$Z69-5200)=0,"",INDEX(次果筐明细!$H$4:$H$603,$Z69-5200)),"")))))</f>
        <v>新N*56508</v>
      </c>
      <c r="S69" s="22" t="str">
        <f t="shared" si="5"/>
        <v>公司筐</v>
      </c>
      <c r="Z69" s="10">
        <f>IFERROR(MATCH(ROW()-3,_自动清单!$CQ$4:$CQ$5803,0),"")</f>
        <v>2033</v>
      </c>
    </row>
    <row r="70" spans="1:26">
      <c r="A70" s="24">
        <f t="shared" si="3"/>
        <v>67</v>
      </c>
      <c r="B70" s="38">
        <f>IF($Z70="","",IF($Z70&lt;=2000,IF(INDEX(包装物料出入库明细!$B$4:$B$2003,$Z70-0)=0,"",INDEX(包装物料出入库明细!$B$4:$B$2003,$Z70-0)),IF($Z70&lt;=4000,IF(INDEX(周转筐出入库明细!$B$4:$B$2004,$Z70-2000)=0,"",INDEX(周转筐出入库明细!$B$4:$B$2004,$Z70-2000)),IF($Z70&lt;=5200,IF(INDEX(客户自备加工筐明细!$B$4:$B$1203,$Z70-4000)=0,"",INDEX(客户自备加工筐明细!$B$4:$B$1203,$Z70-4000)),IF($Z70&lt;=5800,IF(INDEX(次果筐明细!$B$4:$B$603,$Z70-5200)=0,"",INDEX(次果筐明细!$B$4:$B$603,$Z70-5200)),"")))))</f>
        <v>46272</v>
      </c>
      <c r="C70" s="37" t="str">
        <f>IF($Z70="","",IF($Z70&lt;=2000,IF(INDEX(包装物料出入库明细!$D$4:$D$2003,$Z70-0)=0,"",INDEX(包装物料出入库明细!$D$4:$D$2003,$Z70-0)),IF($Z70&lt;=4000,IF(INDEX(周转筐出入库明细!$C$4:$C$2004,$Z70-2000)=0,"",INDEX(周转筐出入库明细!$C$4:$C$2004,$Z70-2000)),IF($Z70&lt;=5200,IF(INDEX(客户自备加工筐明细!$E$4:$E$1203,$Z70-4000)=0,"",INDEX(客户自备加工筐明细!$E$4:$E$1203,$Z70-4000)),IF($Z70&lt;=5800,IF(INDEX(次果筐明细!$C$4:$C$603,$Z70-5200)=0,"",INDEX(次果筐明细!$C$4:$C$603,$Z70-5200)),"")))))</f>
        <v>全修塑业</v>
      </c>
      <c r="D70" s="37" t="str">
        <f>IF($Z70="","",IF($Z70&lt;=2000,"包装物料－"&amp;INDEX(包装物料出入库明细!$H$4:$H$2003,$Z70-0),IF($Z70&lt;=4000,"周转筐－"&amp;INDEX(周转筐出入库明细!$F$4:$F$2004,$Z70-2000),IF($Z70&lt;=5200,"客户自备筐－"&amp;INDEX(客户自备加工筐明细!$J$4:$J$1203,$Z70-4000),IF($Z70&lt;=5800,"次果筐/托盘－"&amp;INDEX(次果筐明细!$F$4:$F$603,$Z70-5200),"")))))</f>
        <v>周转筐－采购入库</v>
      </c>
      <c r="E70" s="24" t="str">
        <f>IF($Z70="","",IF($Z70&lt;=2000,IF(INDEX(包装物料出入库明细!$C$4:$C$2003,$Z70-0)=0,"",INDEX(包装物料出入库明细!$C$4:$C$2003,$Z70-0)),IF($Z70&lt;=4000,IF(INDEX(周转筐出入库明细!$E$4:$E$2004,$Z70-2000)=0,"",INDEX(周转筐出入库明细!$E$4:$E$2004,$Z70-2000)),IF($Z70&lt;=5200,IF(INDEX(客户自备加工筐明细!$D$4:$D$1203,$Z70-4000)=0,"",INDEX(客户自备加工筐明细!$D$4:$D$1203,$Z70-4000)),IF($Z70&lt;=5800,IF(INDEX(次果筐明细!$E$4:$E$603,$Z70-5200)=0,"",INDEX(次果筐明细!$E$4:$E$603,$Z70-5200)),"")))))</f>
        <v>NO:0000755</v>
      </c>
      <c r="F70" s="24" t="str">
        <f>IF($Z70="","",IF($Z70&lt;=2000,IF(INDEX(包装物料出入库明细!$E$4:$E$2003,$Z70-0)=0,"",INDEX(包装物料出入库明细!$E$4:$E$2003,$Z70-0)),IF($Z70&lt;=4000,IF(INDEX(周转筐出入库明细!$D$4:$D$2004,$Z70-2000)=0,"",INDEX(周转筐出入库明细!$D$4:$D$2004,$Z70-2000)),IF($Z70&lt;=5200,IF(INDEX(客户自备加工筐明细!$C$4:$C$1203,$Z70-4000)=0,"",INDEX(客户自备加工筐明细!$C$4:$C$1203,$Z70-4000)),IF($Z70&lt;=5800,IF(INDEX(次果筐明细!$D$4:$D$603,$Z70-5200)=0,"",INDEX(次果筐明细!$D$4:$D$603,$Z70-5200)),"")))))</f>
        <v>公司红周转筐</v>
      </c>
      <c r="G70" s="24" t="str">
        <f>IF($Z70="","",IF($Z70&lt;=2000,IF(INDEX(包装物料出入库明细!$F$4:$F$2003,$Z70-0)=0,"",INDEX(包装物料出入库明细!$F$4:$F$2003,$Z70-0)),IF($Z70&lt;=4000,"",IF($Z70&lt;=5200,"",IF($Z70&lt;=5800,"","")))))</f>
        <v/>
      </c>
      <c r="H70" s="39">
        <f>IF($Z70="","",IF($Z70&lt;=2000,IF(INDEX(包装物料出入库明细!$L$4:$L$2003,$Z70-0)=0,"",INDEX(包装物料出入库明细!$L$4:$L$2003,$Z70-0)),IF($Z70&lt;=4000,N(INDEX(周转筐出入库明细!$H$4:$H$2004,$Z70-2000))+N(INDEX(周转筐出入库明细!$I$4:$I$2004,$Z70-2000))+N(INDEX(周转筐出入库明细!$J$4:$J$2004,$Z70-2000))+N(INDEX(周转筐出入库明细!$K$4:$K$2004,$Z70-2000)),IF($Z70&lt;=5200,N(INDEX(客户自备加工筐明细!$F$4:$F$1203,$Z70-4000))+N(INDEX(客户自备加工筐明细!$G$4:$G$1203,$Z70-4000)),IF($Z70&lt;=5800,IF(INDEX(次果筐明细!$G$4:$G$603,$Z70-5200)=0,"",INDEX(次果筐明细!$G$4:$G$603,$Z70-5200)),"")))))</f>
        <v>846</v>
      </c>
      <c r="I70" s="24" t="str">
        <f>IF($Z70="","",IF($Z70&lt;=2000,IF(INDEX(包装物料出入库明细!$G$4:$G$2003,$Z70-0)=0,"",INDEX(包装物料出入库明细!$G$4:$G$2003,$Z70-0)),IF($Z70&lt;=4000,"个",IF($Z70&lt;=5200,"个",IF($Z70&lt;=5800,"个","")))))</f>
        <v>个</v>
      </c>
      <c r="J70" s="30" t="str">
        <f t="shared" si="4"/>
        <v/>
      </c>
      <c r="K70" s="30">
        <f>IF($Z70="","",IF($Z70&lt;=2000,IF(INDEX(包装物料出入库明细!$N$4:$N$2003,$Z70-0)=0,"",INDEX(包装物料出入库明细!$N$4:$N$2003,$Z70-0)),IF($Z70&lt;=4000,IF(INDEX(周转筐出入库明细!$P$4:$P$2004,$Z70-2000)=0,"",INDEX(周转筐出入库明细!$P$4:$P$2004,$Z70-2000)),IF($Z70&lt;=5200,"",IF($Z70&lt;=5800,N(INDEX(次果筐明细!$L$4:$L$603,$Z70-5200))+N(INDEX(次果筐明细!$J$4:$J$603,$Z70-5200)),"")))))</f>
        <v>8460</v>
      </c>
      <c r="L70" s="24" t="str">
        <f>IF($Z70="","",IF($Z70&lt;=2000,IF(INDEX(包装物料出入库明细!$P$4:$P$2003,$Z70-0)=0,"",INDEX(包装物料出入库明细!$P$4:$P$2003,$Z70-0)),IF($Z70&lt;=4000,IF(INDEX(周转筐出入库明细!$Q$4:$Q$2004,$Z70-2000)=0,"",INDEX(周转筐出入库明细!$Q$4:$Q$2004,$Z70-2000)),IF($Z70&lt;=5200,"",IF($Z70&lt;=5800,IF(INDEX(次果筐明细!$M$4:$M$603,$Z70-5200)=0,"",INDEX(次果筐明细!$M$4:$M$603,$Z70-5200)),"")))))</f>
        <v>未付款</v>
      </c>
      <c r="M70" s="37" t="str">
        <f>IF($Z70="","",IF($Z70&lt;=2000,IF(INDEX(包装物料出入库明细!$R$4:$R$2003,$Z70-0)=0,"",INDEX(包装物料出入库明细!$R$4:$R$2003,$Z70-0)),IF($Z70&lt;=4000,IF(INDEX(周转筐出入库明细!$W$4:$W$2004,$Z70-2000)=0,"",INDEX(周转筐出入库明细!$W$4:$W$2004,$Z70-2000)),IF($Z70&lt;=5200,IF(INDEX(客户自备加工筐明细!$L$4:$L$1203,$Z70-4000)=0,"",INDEX(客户自备加工筐明细!$L$4:$L$1203,$Z70-4000)),IF($Z70&lt;=5800,IF(INDEX(次果筐明细!$P$4:$P$603,$Z70-5200)=0,"",INDEX(次果筐明细!$P$4:$P$603,$Z70-5200)),"")))))</f>
        <v>NO:2745250</v>
      </c>
      <c r="N70" s="16" t="str">
        <f>IF($Z70="","",IF($Z70&lt;=2000,"",IF($Z70&lt;=4000,IF(INDEX(周转筐出入库明细!$D$4:$D$2004,$Z70-2000)=0,"",INDEX(周转筐出入库明细!$D$4:$D$2004,$Z70-2000)),IF($Z70&lt;=5200,IF(INDEX(客户自备加工筐明细!$C$4:$C$1203,$Z70-4000)=0,"",INDEX(客户自备加工筐明细!$C$4:$C$1203,$Z70-4000)),IF($Z70&lt;=5800,IF(INDEX(次果筐明细!$D$4:$D$603,$Z70-5200)=0,"",INDEX(次果筐明细!$D$4:$D$603,$Z70-5200)),"")))))</f>
        <v>公司红周转筐</v>
      </c>
      <c r="O70" s="40" t="str">
        <f>IF($Z70="","",IF($Z70&lt;=2000,"",IF($Z70&lt;=4000,IF(N(INDEX(周转筐出入库明细!$J$4:$J$2004,$Z70-2000))+N(INDEX(周转筐出入库明细!$K$4:$K$2004,$Z70-2000))=0,"",N(INDEX(周转筐出入库明细!$J$4:$J$2004,$Z70-2000))+N(INDEX(周转筐出入库明细!$K$4:$K$2004,$Z70-2000))),IF($Z70&lt;=5200,IF(N(INDEX(客户自备加工筐明细!$G$4:$G$1203,$Z70-4000))=0,"",N(INDEX(客户自备加工筐明细!$G$4:$G$1203,$Z70-4000))),IF($Z70&lt;=5800,IF(ISNUMBER(SEARCH("退",INDEX(次果筐明细!$F$4:$F$603,$Z70-5200)&amp;"")),"",IF(N(INDEX(次果筐明细!$G$4:$G$603,$Z70-5200))=0,"",N(INDEX(次果筐明细!$G$4:$G$603,$Z70-5200)))),"")))))</f>
        <v/>
      </c>
      <c r="P70" s="40" t="str">
        <f>IF($Z70="","",IF($Z70&lt;=2000,"",IF($Z70&lt;=4000,IF(N(INDEX(周转筐出入库明细!$I$4:$I$2004,$Z70-2000))=0,"",N(INDEX(周转筐出入库明细!$I$4:$I$2004,$Z70-2000))),IF($Z70&lt;=5200,"",IF($Z70&lt;=5800,IF(ISNUMBER(SEARCH("退",INDEX(次果筐明细!$F$4:$F$603,$Z70-5200)&amp;"")),IF(N(INDEX(次果筐明细!$G$4:$G$603,$Z70-5200))=0,"",N(INDEX(次果筐明细!$G$4:$G$603,$Z70-5200))),""),"")))))</f>
        <v/>
      </c>
      <c r="Q70" s="40">
        <f>IF($Z70="","",IF($Z70&lt;=2000,"",IF($Z70&lt;=4000,IF(N(INDEX(周转筐出入库明细!$H$4:$H$2004,$Z70-2000))=0,"",N(INDEX(周转筐出入库明细!$H$4:$H$2004,$Z70-2000))),IF($Z70&lt;=5200,IF(N(INDEX(客户自备加工筐明细!$F$4:$F$1203,$Z70-4000))=0,"",N(INDEX(客户自备加工筐明细!$F$4:$F$1203,$Z70-4000))),IF($Z70&lt;=5800,"","")))))</f>
        <v>846</v>
      </c>
      <c r="R70" s="16" t="str">
        <f>IF($Z70="","",IF($Z70&lt;=2000,IF(INDEX(包装物料出入库明细!$O$4:$O$2003,$Z70-0)=0,"",INDEX(包装物料出入库明细!$O$4:$O$2003,$Z70-0)),IF($Z70&lt;=4000,IF(INDEX(周转筐出入库明细!$M$4:$M$2004,$Z70-2000)=0,"",INDEX(周转筐出入库明细!$M$4:$M$2004,$Z70-2000)),IF($Z70&lt;=5200,IF(INDEX(客户自备加工筐明细!$H$4:$H$1203,$Z70-4000)=0,"",INDEX(客户自备加工筐明细!$H$4:$H$1203,$Z70-4000)),IF($Z70&lt;=5800,IF(INDEX(次果筐明细!$H$4:$H$603,$Z70-5200)=0,"",INDEX(次果筐明细!$H$4:$H$603,$Z70-5200)),"")))))</f>
        <v>新A*G0554</v>
      </c>
      <c r="S70" s="22" t="str">
        <f t="shared" si="5"/>
        <v>公司筐</v>
      </c>
      <c r="Z70" s="10">
        <f>IFERROR(MATCH(ROW()-3,_自动清单!$CQ$4:$CQ$5803,0),"")</f>
        <v>2034</v>
      </c>
    </row>
    <row r="71" spans="1:26">
      <c r="A71" s="24">
        <f t="shared" si="3"/>
        <v>68</v>
      </c>
      <c r="B71" s="38">
        <f>IF($Z71="","",IF($Z71&lt;=2000,IF(INDEX(包装物料出入库明细!$B$4:$B$2003,$Z71-0)=0,"",INDEX(包装物料出入库明细!$B$4:$B$2003,$Z71-0)),IF($Z71&lt;=4000,IF(INDEX(周转筐出入库明细!$B$4:$B$2004,$Z71-2000)=0,"",INDEX(周转筐出入库明细!$B$4:$B$2004,$Z71-2000)),IF($Z71&lt;=5200,IF(INDEX(客户自备加工筐明细!$B$4:$B$1203,$Z71-4000)=0,"",INDEX(客户自备加工筐明细!$B$4:$B$1203,$Z71-4000)),IF($Z71&lt;=5800,IF(INDEX(次果筐明细!$B$4:$B$603,$Z71-5200)=0,"",INDEX(次果筐明细!$B$4:$B$603,$Z71-5200)),"")))))</f>
        <v>46272</v>
      </c>
      <c r="C71" s="37" t="str">
        <f>IF($Z71="","",IF($Z71&lt;=2000,IF(INDEX(包装物料出入库明细!$D$4:$D$2003,$Z71-0)=0,"",INDEX(包装物料出入库明细!$D$4:$D$2003,$Z71-0)),IF($Z71&lt;=4000,IF(INDEX(周转筐出入库明细!$C$4:$C$2004,$Z71-2000)=0,"",INDEX(周转筐出入库明细!$C$4:$C$2004,$Z71-2000)),IF($Z71&lt;=5200,IF(INDEX(客户自备加工筐明细!$E$4:$E$1203,$Z71-4000)=0,"",INDEX(客户自备加工筐明细!$E$4:$E$1203,$Z71-4000)),IF($Z71&lt;=5800,IF(INDEX(次果筐明细!$C$4:$C$603,$Z71-5200)=0,"",INDEX(次果筐明细!$C$4:$C$603,$Z71-5200)),"")))))</f>
        <v>麦麦提</v>
      </c>
      <c r="D71" s="37" t="str">
        <f>IF($Z71="","",IF($Z71&lt;=2000,"包装物料－"&amp;INDEX(包装物料出入库明细!$H$4:$H$2003,$Z71-0),IF($Z71&lt;=4000,"周转筐－"&amp;INDEX(周转筐出入库明细!$F$4:$F$2004,$Z71-2000),IF($Z71&lt;=5200,"客户自备筐－"&amp;INDEX(客户自备加工筐明细!$J$4:$J$1203,$Z71-4000),IF($Z71&lt;=5800,"次果筐/托盘－"&amp;INDEX(次果筐明细!$F$4:$F$603,$Z71-5200),"")))))</f>
        <v>周转筐－领用出库</v>
      </c>
      <c r="E71" s="24" t="str">
        <f>IF($Z71="","",IF($Z71&lt;=2000,IF(INDEX(包装物料出入库明细!$C$4:$C$2003,$Z71-0)=0,"",INDEX(包装物料出入库明细!$C$4:$C$2003,$Z71-0)),IF($Z71&lt;=4000,IF(INDEX(周转筐出入库明细!$E$4:$E$2004,$Z71-2000)=0,"",INDEX(周转筐出入库明细!$E$4:$E$2004,$Z71-2000)),IF($Z71&lt;=5200,IF(INDEX(客户自备加工筐明细!$D$4:$D$1203,$Z71-4000)=0,"",INDEX(客户自备加工筐明细!$D$4:$D$1203,$Z71-4000)),IF($Z71&lt;=5800,IF(INDEX(次果筐明细!$E$4:$E$603,$Z71-5200)=0,"",INDEX(次果筐明细!$E$4:$E$603,$Z71-5200)),"")))))</f>
        <v>NO:0001089</v>
      </c>
      <c r="F71" s="24" t="str">
        <f>IF($Z71="","",IF($Z71&lt;=2000,IF(INDEX(包装物料出入库明细!$E$4:$E$2003,$Z71-0)=0,"",INDEX(包装物料出入库明细!$E$4:$E$2003,$Z71-0)),IF($Z71&lt;=4000,IF(INDEX(周转筐出入库明细!$D$4:$D$2004,$Z71-2000)=0,"",INDEX(周转筐出入库明细!$D$4:$D$2004,$Z71-2000)),IF($Z71&lt;=5200,IF(INDEX(客户自备加工筐明细!$C$4:$C$1203,$Z71-4000)=0,"",INDEX(客户自备加工筐明细!$C$4:$C$1203,$Z71-4000)),IF($Z71&lt;=5800,IF(INDEX(次果筐明细!$D$4:$D$603,$Z71-5200)=0,"",INDEX(次果筐明细!$D$4:$D$603,$Z71-5200)),"")))))</f>
        <v>公司红周转筐</v>
      </c>
      <c r="G71" s="24" t="str">
        <f>IF($Z71="","",IF($Z71&lt;=2000,IF(INDEX(包装物料出入库明细!$F$4:$F$2003,$Z71-0)=0,"",INDEX(包装物料出入库明细!$F$4:$F$2003,$Z71-0)),IF($Z71&lt;=4000,"",IF($Z71&lt;=5200,"",IF($Z71&lt;=5800,"","")))))</f>
        <v/>
      </c>
      <c r="H71" s="39">
        <f>IF($Z71="","",IF($Z71&lt;=2000,IF(INDEX(包装物料出入库明细!$L$4:$L$2003,$Z71-0)=0,"",INDEX(包装物料出入库明细!$L$4:$L$2003,$Z71-0)),IF($Z71&lt;=4000,N(INDEX(周转筐出入库明细!$H$4:$H$2004,$Z71-2000))+N(INDEX(周转筐出入库明细!$I$4:$I$2004,$Z71-2000))+N(INDEX(周转筐出入库明细!$J$4:$J$2004,$Z71-2000))+N(INDEX(周转筐出入库明细!$K$4:$K$2004,$Z71-2000)),IF($Z71&lt;=5200,N(INDEX(客户自备加工筐明细!$F$4:$F$1203,$Z71-4000))+N(INDEX(客户自备加工筐明细!$G$4:$G$1203,$Z71-4000)),IF($Z71&lt;=5800,IF(INDEX(次果筐明细!$G$4:$G$603,$Z71-5200)=0,"",INDEX(次果筐明细!$G$4:$G$603,$Z71-5200)),"")))))</f>
        <v>846</v>
      </c>
      <c r="I71" s="24" t="str">
        <f>IF($Z71="","",IF($Z71&lt;=2000,IF(INDEX(包装物料出入库明细!$G$4:$G$2003,$Z71-0)=0,"",INDEX(包装物料出入库明细!$G$4:$G$2003,$Z71-0)),IF($Z71&lt;=4000,"个",IF($Z71&lt;=5200,"个",IF($Z71&lt;=5800,"个","")))))</f>
        <v>个</v>
      </c>
      <c r="J71" s="30" t="str">
        <f t="shared" si="4"/>
        <v/>
      </c>
      <c r="K71" s="30" t="str">
        <f>IF($Z71="","",IF($Z71&lt;=2000,IF(INDEX(包装物料出入库明细!$N$4:$N$2003,$Z71-0)=0,"",INDEX(包装物料出入库明细!$N$4:$N$2003,$Z71-0)),IF($Z71&lt;=4000,IF(INDEX(周转筐出入库明细!$P$4:$P$2004,$Z71-2000)=0,"",INDEX(周转筐出入库明细!$P$4:$P$2004,$Z71-2000)),IF($Z71&lt;=5200,"",IF($Z71&lt;=5800,N(INDEX(次果筐明细!$L$4:$L$603,$Z71-5200))+N(INDEX(次果筐明细!$J$4:$J$603,$Z71-5200)),"")))))</f>
        <v/>
      </c>
      <c r="L71" s="24" t="str">
        <f>IF($Z71="","",IF($Z71&lt;=2000,IF(INDEX(包装物料出入库明细!$P$4:$P$2003,$Z71-0)=0,"",INDEX(包装物料出入库明细!$P$4:$P$2003,$Z71-0)),IF($Z71&lt;=4000,IF(INDEX(周转筐出入库明细!$Q$4:$Q$2004,$Z71-2000)=0,"",INDEX(周转筐出入库明细!$Q$4:$Q$2004,$Z71-2000)),IF($Z71&lt;=5200,"",IF($Z71&lt;=5800,IF(INDEX(次果筐明细!$M$4:$M$603,$Z71-5200)=0,"",INDEX(次果筐明细!$M$4:$M$603,$Z71-5200)),"")))))</f>
        <v/>
      </c>
      <c r="M71" s="37" t="str">
        <f>IF($Z71="","",IF($Z71&lt;=2000,IF(INDEX(包装物料出入库明细!$R$4:$R$2003,$Z71-0)=0,"",INDEX(包装物料出入库明细!$R$4:$R$2003,$Z71-0)),IF($Z71&lt;=4000,IF(INDEX(周转筐出入库明细!$W$4:$W$2004,$Z71-2000)=0,"",INDEX(周转筐出入库明细!$W$4:$W$2004,$Z71-2000)),IF($Z71&lt;=5200,IF(INDEX(客户自备加工筐明细!$L$4:$L$1203,$Z71-4000)=0,"",INDEX(客户自备加工筐明细!$L$4:$L$1203,$Z71-4000)),IF($Z71&lt;=5800,IF(INDEX(次果筐明细!$P$4:$P$603,$Z71-5200)=0,"",INDEX(次果筐明细!$P$4:$P$603,$Z71-5200)),"")))))</f>
        <v/>
      </c>
      <c r="N71" s="16" t="str">
        <f>IF($Z71="","",IF($Z71&lt;=2000,"",IF($Z71&lt;=4000,IF(INDEX(周转筐出入库明细!$D$4:$D$2004,$Z71-2000)=0,"",INDEX(周转筐出入库明细!$D$4:$D$2004,$Z71-2000)),IF($Z71&lt;=5200,IF(INDEX(客户自备加工筐明细!$C$4:$C$1203,$Z71-4000)=0,"",INDEX(客户自备加工筐明细!$C$4:$C$1203,$Z71-4000)),IF($Z71&lt;=5800,IF(INDEX(次果筐明细!$D$4:$D$603,$Z71-5200)=0,"",INDEX(次果筐明细!$D$4:$D$603,$Z71-5200)),"")))))</f>
        <v>公司红周转筐</v>
      </c>
      <c r="O71" s="40">
        <f>IF($Z71="","",IF($Z71&lt;=2000,"",IF($Z71&lt;=4000,IF(N(INDEX(周转筐出入库明细!$J$4:$J$2004,$Z71-2000))+N(INDEX(周转筐出入库明细!$K$4:$K$2004,$Z71-2000))=0,"",N(INDEX(周转筐出入库明细!$J$4:$J$2004,$Z71-2000))+N(INDEX(周转筐出入库明细!$K$4:$K$2004,$Z71-2000))),IF($Z71&lt;=5200,IF(N(INDEX(客户自备加工筐明细!$G$4:$G$1203,$Z71-4000))=0,"",N(INDEX(客户自备加工筐明细!$G$4:$G$1203,$Z71-4000))),IF($Z71&lt;=5800,IF(ISNUMBER(SEARCH("退",INDEX(次果筐明细!$F$4:$F$603,$Z71-5200)&amp;"")),"",IF(N(INDEX(次果筐明细!$G$4:$G$603,$Z71-5200))=0,"",N(INDEX(次果筐明细!$G$4:$G$603,$Z71-5200)))),"")))))</f>
        <v>846</v>
      </c>
      <c r="P71" s="40" t="str">
        <f>IF($Z71="","",IF($Z71&lt;=2000,"",IF($Z71&lt;=4000,IF(N(INDEX(周转筐出入库明细!$I$4:$I$2004,$Z71-2000))=0,"",N(INDEX(周转筐出入库明细!$I$4:$I$2004,$Z71-2000))),IF($Z71&lt;=5200,"",IF($Z71&lt;=5800,IF(ISNUMBER(SEARCH("退",INDEX(次果筐明细!$F$4:$F$603,$Z71-5200)&amp;"")),IF(N(INDEX(次果筐明细!$G$4:$G$603,$Z71-5200))=0,"",N(INDEX(次果筐明细!$G$4:$G$603,$Z71-5200))),""),"")))))</f>
        <v/>
      </c>
      <c r="Q71" s="40" t="str">
        <f>IF($Z71="","",IF($Z71&lt;=2000,"",IF($Z71&lt;=4000,IF(N(INDEX(周转筐出入库明细!$H$4:$H$2004,$Z71-2000))=0,"",N(INDEX(周转筐出入库明细!$H$4:$H$2004,$Z71-2000))),IF($Z71&lt;=5200,IF(N(INDEX(客户自备加工筐明细!$F$4:$F$1203,$Z71-4000))=0,"",N(INDEX(客户自备加工筐明细!$F$4:$F$1203,$Z71-4000))),IF($Z71&lt;=5800,"","")))))</f>
        <v/>
      </c>
      <c r="R71" s="16" t="str">
        <f>IF($Z71="","",IF($Z71&lt;=2000,IF(INDEX(包装物料出入库明细!$O$4:$O$2003,$Z71-0)=0,"",INDEX(包装物料出入库明细!$O$4:$O$2003,$Z71-0)),IF($Z71&lt;=4000,IF(INDEX(周转筐出入库明细!$M$4:$M$2004,$Z71-2000)=0,"",INDEX(周转筐出入库明细!$M$4:$M$2004,$Z71-2000)),IF($Z71&lt;=5200,IF(INDEX(客户自备加工筐明细!$H$4:$H$1203,$Z71-4000)=0,"",INDEX(客户自备加工筐明细!$H$4:$H$1203,$Z71-4000)),IF($Z71&lt;=5800,IF(INDEX(次果筐明细!$H$4:$H$603,$Z71-5200)=0,"",INDEX(次果筐明细!$H$4:$H$603,$Z71-5200)),"")))))</f>
        <v>新A*G0554</v>
      </c>
      <c r="S71" s="22" t="str">
        <f t="shared" si="5"/>
        <v>公司筐</v>
      </c>
      <c r="Z71" s="10">
        <f>IFERROR(MATCH(ROW()-3,_自动清单!$CQ$4:$CQ$5803,0),"")</f>
        <v>2035</v>
      </c>
    </row>
    <row r="72" spans="1:26">
      <c r="A72" s="24">
        <f t="shared" si="3"/>
        <v>69</v>
      </c>
      <c r="B72" s="38">
        <f>IF($Z72="","",IF($Z72&lt;=2000,IF(INDEX(包装物料出入库明细!$B$4:$B$2003,$Z72-0)=0,"",INDEX(包装物料出入库明细!$B$4:$B$2003,$Z72-0)),IF($Z72&lt;=4000,IF(INDEX(周转筐出入库明细!$B$4:$B$2004,$Z72-2000)=0,"",INDEX(周转筐出入库明细!$B$4:$B$2004,$Z72-2000)),IF($Z72&lt;=5200,IF(INDEX(客户自备加工筐明细!$B$4:$B$1203,$Z72-4000)=0,"",INDEX(客户自备加工筐明细!$B$4:$B$1203,$Z72-4000)),IF($Z72&lt;=5800,IF(INDEX(次果筐明细!$B$4:$B$603,$Z72-5200)=0,"",INDEX(次果筐明细!$B$4:$B$603,$Z72-5200)),"")))))</f>
        <v>46272</v>
      </c>
      <c r="C72" s="37" t="str">
        <f>IF($Z72="","",IF($Z72&lt;=2000,IF(INDEX(包装物料出入库明细!$D$4:$D$2003,$Z72-0)=0,"",INDEX(包装物料出入库明细!$D$4:$D$2003,$Z72-0)),IF($Z72&lt;=4000,IF(INDEX(周转筐出入库明细!$C$4:$C$2004,$Z72-2000)=0,"",INDEX(周转筐出入库明细!$C$4:$C$2004,$Z72-2000)),IF($Z72&lt;=5200,IF(INDEX(客户自备加工筐明细!$E$4:$E$1203,$Z72-4000)=0,"",INDEX(客户自备加工筐明细!$E$4:$E$1203,$Z72-4000)),IF($Z72&lt;=5800,IF(INDEX(次果筐明细!$C$4:$C$603,$Z72-5200)=0,"",INDEX(次果筐明细!$C$4:$C$603,$Z72-5200)),"")))))</f>
        <v>全修塑业</v>
      </c>
      <c r="D72" s="37" t="str">
        <f>IF($Z72="","",IF($Z72&lt;=2000,"包装物料－"&amp;INDEX(包装物料出入库明细!$H$4:$H$2003,$Z72-0),IF($Z72&lt;=4000,"周转筐－"&amp;INDEX(周转筐出入库明细!$F$4:$F$2004,$Z72-2000),IF($Z72&lt;=5200,"客户自备筐－"&amp;INDEX(客户自备加工筐明细!$J$4:$J$1203,$Z72-4000),IF($Z72&lt;=5800,"次果筐/托盘－"&amp;INDEX(次果筐明细!$F$4:$F$603,$Z72-5200),"")))))</f>
        <v>周转筐－采购入库</v>
      </c>
      <c r="E72" s="24" t="str">
        <f>IF($Z72="","",IF($Z72&lt;=2000,IF(INDEX(包装物料出入库明细!$C$4:$C$2003,$Z72-0)=0,"",INDEX(包装物料出入库明细!$C$4:$C$2003,$Z72-0)),IF($Z72&lt;=4000,IF(INDEX(周转筐出入库明细!$E$4:$E$2004,$Z72-2000)=0,"",INDEX(周转筐出入库明细!$E$4:$E$2004,$Z72-2000)),IF($Z72&lt;=5200,IF(INDEX(客户自备加工筐明细!$D$4:$D$1203,$Z72-4000)=0,"",INDEX(客户自备加工筐明细!$D$4:$D$1203,$Z72-4000)),IF($Z72&lt;=5800,IF(INDEX(次果筐明细!$E$4:$E$603,$Z72-5200)=0,"",INDEX(次果筐明细!$E$4:$E$603,$Z72-5200)),"")))))</f>
        <v>NO:0000759</v>
      </c>
      <c r="F72" s="24" t="str">
        <f>IF($Z72="","",IF($Z72&lt;=2000,IF(INDEX(包装物料出入库明细!$E$4:$E$2003,$Z72-0)=0,"",INDEX(包装物料出入库明细!$E$4:$E$2003,$Z72-0)),IF($Z72&lt;=4000,IF(INDEX(周转筐出入库明细!$D$4:$D$2004,$Z72-2000)=0,"",INDEX(周转筐出入库明细!$D$4:$D$2004,$Z72-2000)),IF($Z72&lt;=5200,IF(INDEX(客户自备加工筐明细!$C$4:$C$1203,$Z72-4000)=0,"",INDEX(客户自备加工筐明细!$C$4:$C$1203,$Z72-4000)),IF($Z72&lt;=5800,IF(INDEX(次果筐明细!$D$4:$D$603,$Z72-5200)=0,"",INDEX(次果筐明细!$D$4:$D$603,$Z72-5200)),"")))))</f>
        <v>公司红周转筐</v>
      </c>
      <c r="G72" s="24" t="str">
        <f>IF($Z72="","",IF($Z72&lt;=2000,IF(INDEX(包装物料出入库明细!$F$4:$F$2003,$Z72-0)=0,"",INDEX(包装物料出入库明细!$F$4:$F$2003,$Z72-0)),IF($Z72&lt;=4000,"",IF($Z72&lt;=5200,"",IF($Z72&lt;=5800,"","")))))</f>
        <v/>
      </c>
      <c r="H72" s="39">
        <f>IF($Z72="","",IF($Z72&lt;=2000,IF(INDEX(包装物料出入库明细!$L$4:$L$2003,$Z72-0)=0,"",INDEX(包装物料出入库明细!$L$4:$L$2003,$Z72-0)),IF($Z72&lt;=4000,N(INDEX(周转筐出入库明细!$H$4:$H$2004,$Z72-2000))+N(INDEX(周转筐出入库明细!$I$4:$I$2004,$Z72-2000))+N(INDEX(周转筐出入库明细!$J$4:$J$2004,$Z72-2000))+N(INDEX(周转筐出入库明细!$K$4:$K$2004,$Z72-2000)),IF($Z72&lt;=5200,N(INDEX(客户自备加工筐明细!$F$4:$F$1203,$Z72-4000))+N(INDEX(客户自备加工筐明细!$G$4:$G$1203,$Z72-4000)),IF($Z72&lt;=5800,IF(INDEX(次果筐明细!$G$4:$G$603,$Z72-5200)=0,"",INDEX(次果筐明细!$G$4:$G$603,$Z72-5200)),"")))))</f>
        <v>846</v>
      </c>
      <c r="I72" s="24" t="str">
        <f>IF($Z72="","",IF($Z72&lt;=2000,IF(INDEX(包装物料出入库明细!$G$4:$G$2003,$Z72-0)=0,"",INDEX(包装物料出入库明细!$G$4:$G$2003,$Z72-0)),IF($Z72&lt;=4000,"个",IF($Z72&lt;=5200,"个",IF($Z72&lt;=5800,"个","")))))</f>
        <v>个</v>
      </c>
      <c r="J72" s="30" t="str">
        <f t="shared" si="4"/>
        <v/>
      </c>
      <c r="K72" s="30">
        <f>IF($Z72="","",IF($Z72&lt;=2000,IF(INDEX(包装物料出入库明细!$N$4:$N$2003,$Z72-0)=0,"",INDEX(包装物料出入库明细!$N$4:$N$2003,$Z72-0)),IF($Z72&lt;=4000,IF(INDEX(周转筐出入库明细!$P$4:$P$2004,$Z72-2000)=0,"",INDEX(周转筐出入库明细!$P$4:$P$2004,$Z72-2000)),IF($Z72&lt;=5200,"",IF($Z72&lt;=5800,N(INDEX(次果筐明细!$L$4:$L$603,$Z72-5200))+N(INDEX(次果筐明细!$J$4:$J$603,$Z72-5200)),"")))))</f>
        <v>8460</v>
      </c>
      <c r="L72" s="24" t="str">
        <f>IF($Z72="","",IF($Z72&lt;=2000,IF(INDEX(包装物料出入库明细!$P$4:$P$2003,$Z72-0)=0,"",INDEX(包装物料出入库明细!$P$4:$P$2003,$Z72-0)),IF($Z72&lt;=4000,IF(INDEX(周转筐出入库明细!$Q$4:$Q$2004,$Z72-2000)=0,"",INDEX(周转筐出入库明细!$Q$4:$Q$2004,$Z72-2000)),IF($Z72&lt;=5200,"",IF($Z72&lt;=5800,IF(INDEX(次果筐明细!$M$4:$M$603,$Z72-5200)=0,"",INDEX(次果筐明细!$M$4:$M$603,$Z72-5200)),"")))))</f>
        <v>未付款</v>
      </c>
      <c r="M72" s="37" t="str">
        <f>IF($Z72="","",IF($Z72&lt;=2000,IF(INDEX(包装物料出入库明细!$R$4:$R$2003,$Z72-0)=0,"",INDEX(包装物料出入库明细!$R$4:$R$2003,$Z72-0)),IF($Z72&lt;=4000,IF(INDEX(周转筐出入库明细!$W$4:$W$2004,$Z72-2000)=0,"",INDEX(周转筐出入库明细!$W$4:$W$2004,$Z72-2000)),IF($Z72&lt;=5200,IF(INDEX(客户自备加工筐明细!$L$4:$L$1203,$Z72-4000)=0,"",INDEX(客户自备加工筐明细!$L$4:$L$1203,$Z72-4000)),IF($Z72&lt;=5800,IF(INDEX(次果筐明细!$P$4:$P$603,$Z72-5200)=0,"",INDEX(次果筐明细!$P$4:$P$603,$Z72-5200)),"")))))</f>
        <v>NO:2745251</v>
      </c>
      <c r="N72" s="16" t="str">
        <f>IF($Z72="","",IF($Z72&lt;=2000,"",IF($Z72&lt;=4000,IF(INDEX(周转筐出入库明细!$D$4:$D$2004,$Z72-2000)=0,"",INDEX(周转筐出入库明细!$D$4:$D$2004,$Z72-2000)),IF($Z72&lt;=5200,IF(INDEX(客户自备加工筐明细!$C$4:$C$1203,$Z72-4000)=0,"",INDEX(客户自备加工筐明细!$C$4:$C$1203,$Z72-4000)),IF($Z72&lt;=5800,IF(INDEX(次果筐明细!$D$4:$D$603,$Z72-5200)=0,"",INDEX(次果筐明细!$D$4:$D$603,$Z72-5200)),"")))))</f>
        <v>公司红周转筐</v>
      </c>
      <c r="O72" s="40" t="str">
        <f>IF($Z72="","",IF($Z72&lt;=2000,"",IF($Z72&lt;=4000,IF(N(INDEX(周转筐出入库明细!$J$4:$J$2004,$Z72-2000))+N(INDEX(周转筐出入库明细!$K$4:$K$2004,$Z72-2000))=0,"",N(INDEX(周转筐出入库明细!$J$4:$J$2004,$Z72-2000))+N(INDEX(周转筐出入库明细!$K$4:$K$2004,$Z72-2000))),IF($Z72&lt;=5200,IF(N(INDEX(客户自备加工筐明细!$G$4:$G$1203,$Z72-4000))=0,"",N(INDEX(客户自备加工筐明细!$G$4:$G$1203,$Z72-4000))),IF($Z72&lt;=5800,IF(ISNUMBER(SEARCH("退",INDEX(次果筐明细!$F$4:$F$603,$Z72-5200)&amp;"")),"",IF(N(INDEX(次果筐明细!$G$4:$G$603,$Z72-5200))=0,"",N(INDEX(次果筐明细!$G$4:$G$603,$Z72-5200)))),"")))))</f>
        <v/>
      </c>
      <c r="P72" s="40" t="str">
        <f>IF($Z72="","",IF($Z72&lt;=2000,"",IF($Z72&lt;=4000,IF(N(INDEX(周转筐出入库明细!$I$4:$I$2004,$Z72-2000))=0,"",N(INDEX(周转筐出入库明细!$I$4:$I$2004,$Z72-2000))),IF($Z72&lt;=5200,"",IF($Z72&lt;=5800,IF(ISNUMBER(SEARCH("退",INDEX(次果筐明细!$F$4:$F$603,$Z72-5200)&amp;"")),IF(N(INDEX(次果筐明细!$G$4:$G$603,$Z72-5200))=0,"",N(INDEX(次果筐明细!$G$4:$G$603,$Z72-5200))),""),"")))))</f>
        <v/>
      </c>
      <c r="Q72" s="40">
        <f>IF($Z72="","",IF($Z72&lt;=2000,"",IF($Z72&lt;=4000,IF(N(INDEX(周转筐出入库明细!$H$4:$H$2004,$Z72-2000))=0,"",N(INDEX(周转筐出入库明细!$H$4:$H$2004,$Z72-2000))),IF($Z72&lt;=5200,IF(N(INDEX(客户自备加工筐明细!$F$4:$F$1203,$Z72-4000))=0,"",N(INDEX(客户自备加工筐明细!$F$4:$F$1203,$Z72-4000))),IF($Z72&lt;=5800,"","")))))</f>
        <v>846</v>
      </c>
      <c r="R72" s="16" t="str">
        <f>IF($Z72="","",IF($Z72&lt;=2000,IF(INDEX(包装物料出入库明细!$O$4:$O$2003,$Z72-0)=0,"",INDEX(包装物料出入库明细!$O$4:$O$2003,$Z72-0)),IF($Z72&lt;=4000,IF(INDEX(周转筐出入库明细!$M$4:$M$2004,$Z72-2000)=0,"",INDEX(周转筐出入库明细!$M$4:$M$2004,$Z72-2000)),IF($Z72&lt;=5200,IF(INDEX(客户自备加工筐明细!$H$4:$H$1203,$Z72-4000)=0,"",INDEX(客户自备加工筐明细!$H$4:$H$1203,$Z72-4000)),IF($Z72&lt;=5800,IF(INDEX(次果筐明细!$H$4:$H$603,$Z72-5200)=0,"",INDEX(次果筐明细!$H$4:$H$603,$Z72-5200)),"")))))</f>
        <v>新A*G0554</v>
      </c>
      <c r="S72" s="22" t="str">
        <f t="shared" si="5"/>
        <v>公司筐</v>
      </c>
      <c r="Z72" s="10">
        <f>IFERROR(MATCH(ROW()-3,_自动清单!$CQ$4:$CQ$5803,0),"")</f>
        <v>2036</v>
      </c>
    </row>
    <row r="73" spans="1:26">
      <c r="A73" s="24">
        <f t="shared" si="3"/>
        <v>70</v>
      </c>
      <c r="B73" s="38">
        <f>IF($Z73="","",IF($Z73&lt;=2000,IF(INDEX(包装物料出入库明细!$B$4:$B$2003,$Z73-0)=0,"",INDEX(包装物料出入库明细!$B$4:$B$2003,$Z73-0)),IF($Z73&lt;=4000,IF(INDEX(周转筐出入库明细!$B$4:$B$2004,$Z73-2000)=0,"",INDEX(周转筐出入库明细!$B$4:$B$2004,$Z73-2000)),IF($Z73&lt;=5200,IF(INDEX(客户自备加工筐明细!$B$4:$B$1203,$Z73-4000)=0,"",INDEX(客户自备加工筐明细!$B$4:$B$1203,$Z73-4000)),IF($Z73&lt;=5800,IF(INDEX(次果筐明细!$B$4:$B$603,$Z73-5200)=0,"",INDEX(次果筐明细!$B$4:$B$603,$Z73-5200)),"")))))</f>
        <v>46272</v>
      </c>
      <c r="C73" s="37" t="str">
        <f>IF($Z73="","",IF($Z73&lt;=2000,IF(INDEX(包装物料出入库明细!$D$4:$D$2003,$Z73-0)=0,"",INDEX(包装物料出入库明细!$D$4:$D$2003,$Z73-0)),IF($Z73&lt;=4000,IF(INDEX(周转筐出入库明细!$C$4:$C$2004,$Z73-2000)=0,"",INDEX(周转筐出入库明细!$C$4:$C$2004,$Z73-2000)),IF($Z73&lt;=5200,IF(INDEX(客户自备加工筐明细!$E$4:$E$1203,$Z73-4000)=0,"",INDEX(客户自备加工筐明细!$E$4:$E$1203,$Z73-4000)),IF($Z73&lt;=5800,IF(INDEX(次果筐明细!$C$4:$C$603,$Z73-5200)=0,"",INDEX(次果筐明细!$C$4:$C$603,$Z73-5200)),"")))))</f>
        <v>马锦祥</v>
      </c>
      <c r="D73" s="37" t="str">
        <f>IF($Z73="","",IF($Z73&lt;=2000,"包装物料－"&amp;INDEX(包装物料出入库明细!$H$4:$H$2003,$Z73-0),IF($Z73&lt;=4000,"周转筐－"&amp;INDEX(周转筐出入库明细!$F$4:$F$2004,$Z73-2000),IF($Z73&lt;=5200,"客户自备筐－"&amp;INDEX(客户自备加工筐明细!$J$4:$J$1203,$Z73-4000),IF($Z73&lt;=5800,"次果筐/托盘－"&amp;INDEX(次果筐明细!$F$4:$F$603,$Z73-5200),"")))))</f>
        <v>周转筐－领用出库</v>
      </c>
      <c r="E73" s="24" t="str">
        <f>IF($Z73="","",IF($Z73&lt;=2000,IF(INDEX(包装物料出入库明细!$C$4:$C$2003,$Z73-0)=0,"",INDEX(包装物料出入库明细!$C$4:$C$2003,$Z73-0)),IF($Z73&lt;=4000,IF(INDEX(周转筐出入库明细!$E$4:$E$2004,$Z73-2000)=0,"",INDEX(周转筐出入库明细!$E$4:$E$2004,$Z73-2000)),IF($Z73&lt;=5200,IF(INDEX(客户自备加工筐明细!$D$4:$D$1203,$Z73-4000)=0,"",INDEX(客户自备加工筐明细!$D$4:$D$1203,$Z73-4000)),IF($Z73&lt;=5800,IF(INDEX(次果筐明细!$E$4:$E$603,$Z73-5200)=0,"",INDEX(次果筐明细!$E$4:$E$603,$Z73-5200)),"")))))</f>
        <v>NO:0001090</v>
      </c>
      <c r="F73" s="24" t="str">
        <f>IF($Z73="","",IF($Z73&lt;=2000,IF(INDEX(包装物料出入库明细!$E$4:$E$2003,$Z73-0)=0,"",INDEX(包装物料出入库明细!$E$4:$E$2003,$Z73-0)),IF($Z73&lt;=4000,IF(INDEX(周转筐出入库明细!$D$4:$D$2004,$Z73-2000)=0,"",INDEX(周转筐出入库明细!$D$4:$D$2004,$Z73-2000)),IF($Z73&lt;=5200,IF(INDEX(客户自备加工筐明细!$C$4:$C$1203,$Z73-4000)=0,"",INDEX(客户自备加工筐明细!$C$4:$C$1203,$Z73-4000)),IF($Z73&lt;=5800,IF(INDEX(次果筐明细!$D$4:$D$603,$Z73-5200)=0,"",INDEX(次果筐明细!$D$4:$D$603,$Z73-5200)),"")))))</f>
        <v>公司杂周转筐</v>
      </c>
      <c r="G73" s="24" t="str">
        <f>IF($Z73="","",IF($Z73&lt;=2000,IF(INDEX(包装物料出入库明细!$F$4:$F$2003,$Z73-0)=0,"",INDEX(包装物料出入库明细!$F$4:$F$2003,$Z73-0)),IF($Z73&lt;=4000,"",IF($Z73&lt;=5200,"",IF($Z73&lt;=5800,"","")))))</f>
        <v/>
      </c>
      <c r="H73" s="39">
        <f>IF($Z73="","",IF($Z73&lt;=2000,IF(INDEX(包装物料出入库明细!$L$4:$L$2003,$Z73-0)=0,"",INDEX(包装物料出入库明细!$L$4:$L$2003,$Z73-0)),IF($Z73&lt;=4000,N(INDEX(周转筐出入库明细!$H$4:$H$2004,$Z73-2000))+N(INDEX(周转筐出入库明细!$I$4:$I$2004,$Z73-2000))+N(INDEX(周转筐出入库明细!$J$4:$J$2004,$Z73-2000))+N(INDEX(周转筐出入库明细!$K$4:$K$2004,$Z73-2000)),IF($Z73&lt;=5200,N(INDEX(客户自备加工筐明细!$F$4:$F$1203,$Z73-4000))+N(INDEX(客户自备加工筐明细!$G$4:$G$1203,$Z73-4000)),IF($Z73&lt;=5800,IF(INDEX(次果筐明细!$G$4:$G$603,$Z73-5200)=0,"",INDEX(次果筐明细!$G$4:$G$603,$Z73-5200)),"")))))</f>
        <v>588</v>
      </c>
      <c r="I73" s="24" t="str">
        <f>IF($Z73="","",IF($Z73&lt;=2000,IF(INDEX(包装物料出入库明细!$G$4:$G$2003,$Z73-0)=0,"",INDEX(包装物料出入库明细!$G$4:$G$2003,$Z73-0)),IF($Z73&lt;=4000,"个",IF($Z73&lt;=5200,"个",IF($Z73&lt;=5800,"个","")))))</f>
        <v>个</v>
      </c>
      <c r="J73" s="30" t="str">
        <f t="shared" si="4"/>
        <v/>
      </c>
      <c r="K73" s="30" t="str">
        <f>IF($Z73="","",IF($Z73&lt;=2000,IF(INDEX(包装物料出入库明细!$N$4:$N$2003,$Z73-0)=0,"",INDEX(包装物料出入库明细!$N$4:$N$2003,$Z73-0)),IF($Z73&lt;=4000,IF(INDEX(周转筐出入库明细!$P$4:$P$2004,$Z73-2000)=0,"",INDEX(周转筐出入库明细!$P$4:$P$2004,$Z73-2000)),IF($Z73&lt;=5200,"",IF($Z73&lt;=5800,N(INDEX(次果筐明细!$L$4:$L$603,$Z73-5200))+N(INDEX(次果筐明细!$J$4:$J$603,$Z73-5200)),"")))))</f>
        <v/>
      </c>
      <c r="L73" s="24" t="str">
        <f>IF($Z73="","",IF($Z73&lt;=2000,IF(INDEX(包装物料出入库明细!$P$4:$P$2003,$Z73-0)=0,"",INDEX(包装物料出入库明细!$P$4:$P$2003,$Z73-0)),IF($Z73&lt;=4000,IF(INDEX(周转筐出入库明细!$Q$4:$Q$2004,$Z73-2000)=0,"",INDEX(周转筐出入库明细!$Q$4:$Q$2004,$Z73-2000)),IF($Z73&lt;=5200,"",IF($Z73&lt;=5800,IF(INDEX(次果筐明细!$M$4:$M$603,$Z73-5200)=0,"",INDEX(次果筐明细!$M$4:$M$603,$Z73-5200)),"")))))</f>
        <v/>
      </c>
      <c r="M73" s="37" t="str">
        <f>IF($Z73="","",IF($Z73&lt;=2000,IF(INDEX(包装物料出入库明细!$R$4:$R$2003,$Z73-0)=0,"",INDEX(包装物料出入库明细!$R$4:$R$2003,$Z73-0)),IF($Z73&lt;=4000,IF(INDEX(周转筐出入库明细!$W$4:$W$2004,$Z73-2000)=0,"",INDEX(周转筐出入库明细!$W$4:$W$2004,$Z73-2000)),IF($Z73&lt;=5200,IF(INDEX(客户自备加工筐明细!$L$4:$L$1203,$Z73-4000)=0,"",INDEX(客户自备加工筐明细!$L$4:$L$1203,$Z73-4000)),IF($Z73&lt;=5800,IF(INDEX(次果筐明细!$P$4:$P$603,$Z73-5200)=0,"",INDEX(次果筐明细!$P$4:$P$603,$Z73-5200)),"")))))</f>
        <v/>
      </c>
      <c r="N73" s="16" t="str">
        <f>IF($Z73="","",IF($Z73&lt;=2000,"",IF($Z73&lt;=4000,IF(INDEX(周转筐出入库明细!$D$4:$D$2004,$Z73-2000)=0,"",INDEX(周转筐出入库明细!$D$4:$D$2004,$Z73-2000)),IF($Z73&lt;=5200,IF(INDEX(客户自备加工筐明细!$C$4:$C$1203,$Z73-4000)=0,"",INDEX(客户自备加工筐明细!$C$4:$C$1203,$Z73-4000)),IF($Z73&lt;=5800,IF(INDEX(次果筐明细!$D$4:$D$603,$Z73-5200)=0,"",INDEX(次果筐明细!$D$4:$D$603,$Z73-5200)),"")))))</f>
        <v>公司杂周转筐</v>
      </c>
      <c r="O73" s="40">
        <f>IF($Z73="","",IF($Z73&lt;=2000,"",IF($Z73&lt;=4000,IF(N(INDEX(周转筐出入库明细!$J$4:$J$2004,$Z73-2000))+N(INDEX(周转筐出入库明细!$K$4:$K$2004,$Z73-2000))=0,"",N(INDEX(周转筐出入库明细!$J$4:$J$2004,$Z73-2000))+N(INDEX(周转筐出入库明细!$K$4:$K$2004,$Z73-2000))),IF($Z73&lt;=5200,IF(N(INDEX(客户自备加工筐明细!$G$4:$G$1203,$Z73-4000))=0,"",N(INDEX(客户自备加工筐明细!$G$4:$G$1203,$Z73-4000))),IF($Z73&lt;=5800,IF(ISNUMBER(SEARCH("退",INDEX(次果筐明细!$F$4:$F$603,$Z73-5200)&amp;"")),"",IF(N(INDEX(次果筐明细!$G$4:$G$603,$Z73-5200))=0,"",N(INDEX(次果筐明细!$G$4:$G$603,$Z73-5200)))),"")))))</f>
        <v>588</v>
      </c>
      <c r="P73" s="40" t="str">
        <f>IF($Z73="","",IF($Z73&lt;=2000,"",IF($Z73&lt;=4000,IF(N(INDEX(周转筐出入库明细!$I$4:$I$2004,$Z73-2000))=0,"",N(INDEX(周转筐出入库明细!$I$4:$I$2004,$Z73-2000))),IF($Z73&lt;=5200,"",IF($Z73&lt;=5800,IF(ISNUMBER(SEARCH("退",INDEX(次果筐明细!$F$4:$F$603,$Z73-5200)&amp;"")),IF(N(INDEX(次果筐明细!$G$4:$G$603,$Z73-5200))=0,"",N(INDEX(次果筐明细!$G$4:$G$603,$Z73-5200))),""),"")))))</f>
        <v/>
      </c>
      <c r="Q73" s="40" t="str">
        <f>IF($Z73="","",IF($Z73&lt;=2000,"",IF($Z73&lt;=4000,IF(N(INDEX(周转筐出入库明细!$H$4:$H$2004,$Z73-2000))=0,"",N(INDEX(周转筐出入库明细!$H$4:$H$2004,$Z73-2000))),IF($Z73&lt;=5200,IF(N(INDEX(客户自备加工筐明细!$F$4:$F$1203,$Z73-4000))=0,"",N(INDEX(客户自备加工筐明细!$F$4:$F$1203,$Z73-4000))),IF($Z73&lt;=5800,"","")))))</f>
        <v/>
      </c>
      <c r="R73" s="16" t="str">
        <f>IF($Z73="","",IF($Z73&lt;=2000,IF(INDEX(包装物料出入库明细!$O$4:$O$2003,$Z73-0)=0,"",INDEX(包装物料出入库明细!$O$4:$O$2003,$Z73-0)),IF($Z73&lt;=4000,IF(INDEX(周转筐出入库明细!$M$4:$M$2004,$Z73-2000)=0,"",INDEX(周转筐出入库明细!$M$4:$M$2004,$Z73-2000)),IF($Z73&lt;=5200,IF(INDEX(客户自备加工筐明细!$H$4:$H$1203,$Z73-4000)=0,"",INDEX(客户自备加工筐明细!$H$4:$H$1203,$Z73-4000)),IF($Z73&lt;=5800,IF(INDEX(次果筐明细!$H$4:$H$603,$Z73-5200)=0,"",INDEX(次果筐明细!$H$4:$H$603,$Z73-5200)),"")))))</f>
        <v>新N*K7V85</v>
      </c>
      <c r="S73" s="22" t="str">
        <f t="shared" si="5"/>
        <v>公司筐</v>
      </c>
      <c r="Z73" s="10">
        <f>IFERROR(MATCH(ROW()-3,_自动清单!$CQ$4:$CQ$5803,0),"")</f>
        <v>2037</v>
      </c>
    </row>
    <row r="74" spans="1:26">
      <c r="A74" s="24">
        <f t="shared" si="3"/>
        <v>71</v>
      </c>
      <c r="B74" s="38">
        <f>IF($Z74="","",IF($Z74&lt;=2000,IF(INDEX(包装物料出入库明细!$B$4:$B$2003,$Z74-0)=0,"",INDEX(包装物料出入库明细!$B$4:$B$2003,$Z74-0)),IF($Z74&lt;=4000,IF(INDEX(周转筐出入库明细!$B$4:$B$2004,$Z74-2000)=0,"",INDEX(周转筐出入库明细!$B$4:$B$2004,$Z74-2000)),IF($Z74&lt;=5200,IF(INDEX(客户自备加工筐明细!$B$4:$B$1203,$Z74-4000)=0,"",INDEX(客户自备加工筐明细!$B$4:$B$1203,$Z74-4000)),IF($Z74&lt;=5800,IF(INDEX(次果筐明细!$B$4:$B$603,$Z74-5200)=0,"",INDEX(次果筐明细!$B$4:$B$603,$Z74-5200)),"")))))</f>
        <v>46272</v>
      </c>
      <c r="C74" s="37" t="str">
        <f>IF($Z74="","",IF($Z74&lt;=2000,IF(INDEX(包装物料出入库明细!$D$4:$D$2003,$Z74-0)=0,"",INDEX(包装物料出入库明细!$D$4:$D$2003,$Z74-0)),IF($Z74&lt;=4000,IF(INDEX(周转筐出入库明细!$C$4:$C$2004,$Z74-2000)=0,"",INDEX(周转筐出入库明细!$C$4:$C$2004,$Z74-2000)),IF($Z74&lt;=5200,IF(INDEX(客户自备加工筐明细!$E$4:$E$1203,$Z74-4000)=0,"",INDEX(客户自备加工筐明细!$E$4:$E$1203,$Z74-4000)),IF($Z74&lt;=5800,IF(INDEX(次果筐明细!$C$4:$C$603,$Z74-5200)=0,"",INDEX(次果筐明细!$C$4:$C$603,$Z74-5200)),"")))))</f>
        <v>贾建国</v>
      </c>
      <c r="D74" s="37" t="str">
        <f>IF($Z74="","",IF($Z74&lt;=2000,"包装物料－"&amp;INDEX(包装物料出入库明细!$H$4:$H$2003,$Z74-0),IF($Z74&lt;=4000,"周转筐－"&amp;INDEX(周转筐出入库明细!$F$4:$F$2004,$Z74-2000),IF($Z74&lt;=5200,"客户自备筐－"&amp;INDEX(客户自备加工筐明细!$J$4:$J$1203,$Z74-4000),IF($Z74&lt;=5800,"次果筐/托盘－"&amp;INDEX(次果筐明细!$F$4:$F$603,$Z74-5200),"")))))</f>
        <v>周转筐－领用出库</v>
      </c>
      <c r="E74" s="24" t="str">
        <f>IF($Z74="","",IF($Z74&lt;=2000,IF(INDEX(包装物料出入库明细!$C$4:$C$2003,$Z74-0)=0,"",INDEX(包装物料出入库明细!$C$4:$C$2003,$Z74-0)),IF($Z74&lt;=4000,IF(INDEX(周转筐出入库明细!$E$4:$E$2004,$Z74-2000)=0,"",INDEX(周转筐出入库明细!$E$4:$E$2004,$Z74-2000)),IF($Z74&lt;=5200,IF(INDEX(客户自备加工筐明细!$D$4:$D$1203,$Z74-4000)=0,"",INDEX(客户自备加工筐明细!$D$4:$D$1203,$Z74-4000)),IF($Z74&lt;=5800,IF(INDEX(次果筐明细!$E$4:$E$603,$Z74-5200)=0,"",INDEX(次果筐明细!$E$4:$E$603,$Z74-5200)),"")))))</f>
        <v>NO:0001092</v>
      </c>
      <c r="F74" s="24" t="str">
        <f>IF($Z74="","",IF($Z74&lt;=2000,IF(INDEX(包装物料出入库明细!$E$4:$E$2003,$Z74-0)=0,"",INDEX(包装物料出入库明细!$E$4:$E$2003,$Z74-0)),IF($Z74&lt;=4000,IF(INDEX(周转筐出入库明细!$D$4:$D$2004,$Z74-2000)=0,"",INDEX(周转筐出入库明细!$D$4:$D$2004,$Z74-2000)),IF($Z74&lt;=5200,IF(INDEX(客户自备加工筐明细!$C$4:$C$1203,$Z74-4000)=0,"",INDEX(客户自备加工筐明细!$C$4:$C$1203,$Z74-4000)),IF($Z74&lt;=5800,IF(INDEX(次果筐明细!$D$4:$D$603,$Z74-5200)=0,"",INDEX(次果筐明细!$D$4:$D$603,$Z74-5200)),"")))))</f>
        <v>公司新周转筐</v>
      </c>
      <c r="G74" s="24" t="str">
        <f>IF($Z74="","",IF($Z74&lt;=2000,IF(INDEX(包装物料出入库明细!$F$4:$F$2003,$Z74-0)=0,"",INDEX(包装物料出入库明细!$F$4:$F$2003,$Z74-0)),IF($Z74&lt;=4000,"",IF($Z74&lt;=5200,"",IF($Z74&lt;=5800,"","")))))</f>
        <v/>
      </c>
      <c r="H74" s="39">
        <f>IF($Z74="","",IF($Z74&lt;=2000,IF(INDEX(包装物料出入库明细!$L$4:$L$2003,$Z74-0)=0,"",INDEX(包装物料出入库明细!$L$4:$L$2003,$Z74-0)),IF($Z74&lt;=4000,N(INDEX(周转筐出入库明细!$H$4:$H$2004,$Z74-2000))+N(INDEX(周转筐出入库明细!$I$4:$I$2004,$Z74-2000))+N(INDEX(周转筐出入库明细!$J$4:$J$2004,$Z74-2000))+N(INDEX(周转筐出入库明细!$K$4:$K$2004,$Z74-2000)),IF($Z74&lt;=5200,N(INDEX(客户自备加工筐明细!$F$4:$F$1203,$Z74-4000))+N(INDEX(客户自备加工筐明细!$G$4:$G$1203,$Z74-4000)),IF($Z74&lt;=5800,IF(INDEX(次果筐明细!$G$4:$G$603,$Z74-5200)=0,"",INDEX(次果筐明细!$G$4:$G$603,$Z74-5200)),"")))))</f>
        <v>759</v>
      </c>
      <c r="I74" s="24" t="str">
        <f>IF($Z74="","",IF($Z74&lt;=2000,IF(INDEX(包装物料出入库明细!$G$4:$G$2003,$Z74-0)=0,"",INDEX(包装物料出入库明细!$G$4:$G$2003,$Z74-0)),IF($Z74&lt;=4000,"个",IF($Z74&lt;=5200,"个",IF($Z74&lt;=5800,"个","")))))</f>
        <v>个</v>
      </c>
      <c r="J74" s="30" t="str">
        <f t="shared" si="4"/>
        <v/>
      </c>
      <c r="K74" s="30" t="str">
        <f>IF($Z74="","",IF($Z74&lt;=2000,IF(INDEX(包装物料出入库明细!$N$4:$N$2003,$Z74-0)=0,"",INDEX(包装物料出入库明细!$N$4:$N$2003,$Z74-0)),IF($Z74&lt;=4000,IF(INDEX(周转筐出入库明细!$P$4:$P$2004,$Z74-2000)=0,"",INDEX(周转筐出入库明细!$P$4:$P$2004,$Z74-2000)),IF($Z74&lt;=5200,"",IF($Z74&lt;=5800,N(INDEX(次果筐明细!$L$4:$L$603,$Z74-5200))+N(INDEX(次果筐明细!$J$4:$J$603,$Z74-5200)),"")))))</f>
        <v/>
      </c>
      <c r="L74" s="24" t="str">
        <f>IF($Z74="","",IF($Z74&lt;=2000,IF(INDEX(包装物料出入库明细!$P$4:$P$2003,$Z74-0)=0,"",INDEX(包装物料出入库明细!$P$4:$P$2003,$Z74-0)),IF($Z74&lt;=4000,IF(INDEX(周转筐出入库明细!$Q$4:$Q$2004,$Z74-2000)=0,"",INDEX(周转筐出入库明细!$Q$4:$Q$2004,$Z74-2000)),IF($Z74&lt;=5200,"",IF($Z74&lt;=5800,IF(INDEX(次果筐明细!$M$4:$M$603,$Z74-5200)=0,"",INDEX(次果筐明细!$M$4:$M$603,$Z74-5200)),"")))))</f>
        <v/>
      </c>
      <c r="M74" s="37" t="str">
        <f>IF($Z74="","",IF($Z74&lt;=2000,IF(INDEX(包装物料出入库明细!$R$4:$R$2003,$Z74-0)=0,"",INDEX(包装物料出入库明细!$R$4:$R$2003,$Z74-0)),IF($Z74&lt;=4000,IF(INDEX(周转筐出入库明细!$W$4:$W$2004,$Z74-2000)=0,"",INDEX(周转筐出入库明细!$W$4:$W$2004,$Z74-2000)),IF($Z74&lt;=5200,IF(INDEX(客户自备加工筐明细!$L$4:$L$1203,$Z74-4000)=0,"",INDEX(客户自备加工筐明细!$L$4:$L$1203,$Z74-4000)),IF($Z74&lt;=5800,IF(INDEX(次果筐明细!$P$4:$P$603,$Z74-5200)=0,"",INDEX(次果筐明细!$P$4:$P$603,$Z74-5200)),"")))))</f>
        <v/>
      </c>
      <c r="N74" s="16" t="str">
        <f>IF($Z74="","",IF($Z74&lt;=2000,"",IF($Z74&lt;=4000,IF(INDEX(周转筐出入库明细!$D$4:$D$2004,$Z74-2000)=0,"",INDEX(周转筐出入库明细!$D$4:$D$2004,$Z74-2000)),IF($Z74&lt;=5200,IF(INDEX(客户自备加工筐明细!$C$4:$C$1203,$Z74-4000)=0,"",INDEX(客户自备加工筐明细!$C$4:$C$1203,$Z74-4000)),IF($Z74&lt;=5800,IF(INDEX(次果筐明细!$D$4:$D$603,$Z74-5200)=0,"",INDEX(次果筐明细!$D$4:$D$603,$Z74-5200)),"")))))</f>
        <v>公司新周转筐</v>
      </c>
      <c r="O74" s="40">
        <f>IF($Z74="","",IF($Z74&lt;=2000,"",IF($Z74&lt;=4000,IF(N(INDEX(周转筐出入库明细!$J$4:$J$2004,$Z74-2000))+N(INDEX(周转筐出入库明细!$K$4:$K$2004,$Z74-2000))=0,"",N(INDEX(周转筐出入库明细!$J$4:$J$2004,$Z74-2000))+N(INDEX(周转筐出入库明细!$K$4:$K$2004,$Z74-2000))),IF($Z74&lt;=5200,IF(N(INDEX(客户自备加工筐明细!$G$4:$G$1203,$Z74-4000))=0,"",N(INDEX(客户自备加工筐明细!$G$4:$G$1203,$Z74-4000))),IF($Z74&lt;=5800,IF(ISNUMBER(SEARCH("退",INDEX(次果筐明细!$F$4:$F$603,$Z74-5200)&amp;"")),"",IF(N(INDEX(次果筐明细!$G$4:$G$603,$Z74-5200))=0,"",N(INDEX(次果筐明细!$G$4:$G$603,$Z74-5200)))),"")))))</f>
        <v>759</v>
      </c>
      <c r="P74" s="40" t="str">
        <f>IF($Z74="","",IF($Z74&lt;=2000,"",IF($Z74&lt;=4000,IF(N(INDEX(周转筐出入库明细!$I$4:$I$2004,$Z74-2000))=0,"",N(INDEX(周转筐出入库明细!$I$4:$I$2004,$Z74-2000))),IF($Z74&lt;=5200,"",IF($Z74&lt;=5800,IF(ISNUMBER(SEARCH("退",INDEX(次果筐明细!$F$4:$F$603,$Z74-5200)&amp;"")),IF(N(INDEX(次果筐明细!$G$4:$G$603,$Z74-5200))=0,"",N(INDEX(次果筐明细!$G$4:$G$603,$Z74-5200))),""),"")))))</f>
        <v/>
      </c>
      <c r="Q74" s="40" t="str">
        <f>IF($Z74="","",IF($Z74&lt;=2000,"",IF($Z74&lt;=4000,IF(N(INDEX(周转筐出入库明细!$H$4:$H$2004,$Z74-2000))=0,"",N(INDEX(周转筐出入库明细!$H$4:$H$2004,$Z74-2000))),IF($Z74&lt;=5200,IF(N(INDEX(客户自备加工筐明细!$F$4:$F$1203,$Z74-4000))=0,"",N(INDEX(客户自备加工筐明细!$F$4:$F$1203,$Z74-4000))),IF($Z74&lt;=5800,"","")))))</f>
        <v/>
      </c>
      <c r="R74" s="16" t="str">
        <f>IF($Z74="","",IF($Z74&lt;=2000,IF(INDEX(包装物料出入库明细!$O$4:$O$2003,$Z74-0)=0,"",INDEX(包装物料出入库明细!$O$4:$O$2003,$Z74-0)),IF($Z74&lt;=4000,IF(INDEX(周转筐出入库明细!$M$4:$M$2004,$Z74-2000)=0,"",INDEX(周转筐出入库明细!$M$4:$M$2004,$Z74-2000)),IF($Z74&lt;=5200,IF(INDEX(客户自备加工筐明细!$H$4:$H$1203,$Z74-4000)=0,"",INDEX(客户自备加工筐明细!$H$4:$H$1203,$Z74-4000)),IF($Z74&lt;=5800,IF(INDEX(次果筐明细!$H$4:$H$603,$Z74-5200)=0,"",INDEX(次果筐明细!$H$4:$H$603,$Z74-5200)),"")))))</f>
        <v>豫Q*H5591</v>
      </c>
      <c r="S74" s="22" t="str">
        <f t="shared" si="5"/>
        <v>公司筐</v>
      </c>
      <c r="Z74" s="10">
        <f>IFERROR(MATCH(ROW()-3,_自动清单!$CQ$4:$CQ$5803,0),"")</f>
        <v>2038</v>
      </c>
    </row>
    <row r="75" spans="1:26">
      <c r="A75" s="24">
        <f t="shared" si="3"/>
        <v>72</v>
      </c>
      <c r="B75" s="38">
        <f>IF($Z75="","",IF($Z75&lt;=2000,IF(INDEX(包装物料出入库明细!$B$4:$B$2003,$Z75-0)=0,"",INDEX(包装物料出入库明细!$B$4:$B$2003,$Z75-0)),IF($Z75&lt;=4000,IF(INDEX(周转筐出入库明细!$B$4:$B$2004,$Z75-2000)=0,"",INDEX(周转筐出入库明细!$B$4:$B$2004,$Z75-2000)),IF($Z75&lt;=5200,IF(INDEX(客户自备加工筐明细!$B$4:$B$1203,$Z75-4000)=0,"",INDEX(客户自备加工筐明细!$B$4:$B$1203,$Z75-4000)),IF($Z75&lt;=5800,IF(INDEX(次果筐明细!$B$4:$B$603,$Z75-5200)=0,"",INDEX(次果筐明细!$B$4:$B$603,$Z75-5200)),"")))))</f>
        <v>46272</v>
      </c>
      <c r="C75" s="37" t="str">
        <f>IF($Z75="","",IF($Z75&lt;=2000,IF(INDEX(包装物料出入库明细!$D$4:$D$2003,$Z75-0)=0,"",INDEX(包装物料出入库明细!$D$4:$D$2003,$Z75-0)),IF($Z75&lt;=4000,IF(INDEX(周转筐出入库明细!$C$4:$C$2004,$Z75-2000)=0,"",INDEX(周转筐出入库明细!$C$4:$C$2004,$Z75-2000)),IF($Z75&lt;=5200,IF(INDEX(客户自备加工筐明细!$E$4:$E$1203,$Z75-4000)=0,"",INDEX(客户自备加工筐明细!$E$4:$E$1203,$Z75-4000)),IF($Z75&lt;=5800,IF(INDEX(次果筐明细!$C$4:$C$603,$Z75-5200)=0,"",INDEX(次果筐明细!$C$4:$C$603,$Z75-5200)),"")))))</f>
        <v>热合曼</v>
      </c>
      <c r="D75" s="37" t="str">
        <f>IF($Z75="","",IF($Z75&lt;=2000,"包装物料－"&amp;INDEX(包装物料出入库明细!$H$4:$H$2003,$Z75-0),IF($Z75&lt;=4000,"周转筐－"&amp;INDEX(周转筐出入库明细!$F$4:$F$2004,$Z75-2000),IF($Z75&lt;=5200,"客户自备筐－"&amp;INDEX(客户自备加工筐明细!$J$4:$J$1203,$Z75-4000),IF($Z75&lt;=5800,"次果筐/托盘－"&amp;INDEX(次果筐明细!$F$4:$F$603,$Z75-5200),"")))))</f>
        <v>周转筐－领用出库</v>
      </c>
      <c r="E75" s="24" t="str">
        <f>IF($Z75="","",IF($Z75&lt;=2000,IF(INDEX(包装物料出入库明细!$C$4:$C$2003,$Z75-0)=0,"",INDEX(包装物料出入库明细!$C$4:$C$2003,$Z75-0)),IF($Z75&lt;=4000,IF(INDEX(周转筐出入库明细!$E$4:$E$2004,$Z75-2000)=0,"",INDEX(周转筐出入库明细!$E$4:$E$2004,$Z75-2000)),IF($Z75&lt;=5200,IF(INDEX(客户自备加工筐明细!$D$4:$D$1203,$Z75-4000)=0,"",INDEX(客户自备加工筐明细!$D$4:$D$1203,$Z75-4000)),IF($Z75&lt;=5800,IF(INDEX(次果筐明细!$E$4:$E$603,$Z75-5200)=0,"",INDEX(次果筐明细!$E$4:$E$603,$Z75-5200)),"")))))</f>
        <v>NO:0001094</v>
      </c>
      <c r="F75" s="24" t="str">
        <f>IF($Z75="","",IF($Z75&lt;=2000,IF(INDEX(包装物料出入库明细!$E$4:$E$2003,$Z75-0)=0,"",INDEX(包装物料出入库明细!$E$4:$E$2003,$Z75-0)),IF($Z75&lt;=4000,IF(INDEX(周转筐出入库明细!$D$4:$D$2004,$Z75-2000)=0,"",INDEX(周转筐出入库明细!$D$4:$D$2004,$Z75-2000)),IF($Z75&lt;=5200,IF(INDEX(客户自备加工筐明细!$C$4:$C$1203,$Z75-4000)=0,"",INDEX(客户自备加工筐明细!$C$4:$C$1203,$Z75-4000)),IF($Z75&lt;=5800,IF(INDEX(次果筐明细!$D$4:$D$603,$Z75-5200)=0,"",INDEX(次果筐明细!$D$4:$D$603,$Z75-5200)),"")))))</f>
        <v>公司红周转筐</v>
      </c>
      <c r="G75" s="24" t="str">
        <f>IF($Z75="","",IF($Z75&lt;=2000,IF(INDEX(包装物料出入库明细!$F$4:$F$2003,$Z75-0)=0,"",INDEX(包装物料出入库明细!$F$4:$F$2003,$Z75-0)),IF($Z75&lt;=4000,"",IF($Z75&lt;=5200,"",IF($Z75&lt;=5800,"","")))))</f>
        <v/>
      </c>
      <c r="H75" s="39">
        <f>IF($Z75="","",IF($Z75&lt;=2000,IF(INDEX(包装物料出入库明细!$L$4:$L$2003,$Z75-0)=0,"",INDEX(包装物料出入库明细!$L$4:$L$2003,$Z75-0)),IF($Z75&lt;=4000,N(INDEX(周转筐出入库明细!$H$4:$H$2004,$Z75-2000))+N(INDEX(周转筐出入库明细!$I$4:$I$2004,$Z75-2000))+N(INDEX(周转筐出入库明细!$J$4:$J$2004,$Z75-2000))+N(INDEX(周转筐出入库明细!$K$4:$K$2004,$Z75-2000)),IF($Z75&lt;=5200,N(INDEX(客户自备加工筐明细!$F$4:$F$1203,$Z75-4000))+N(INDEX(客户自备加工筐明细!$G$4:$G$1203,$Z75-4000)),IF($Z75&lt;=5800,IF(INDEX(次果筐明细!$G$4:$G$603,$Z75-5200)=0,"",INDEX(次果筐明细!$G$4:$G$603,$Z75-5200)),"")))))</f>
        <v>846</v>
      </c>
      <c r="I75" s="24" t="str">
        <f>IF($Z75="","",IF($Z75&lt;=2000,IF(INDEX(包装物料出入库明细!$G$4:$G$2003,$Z75-0)=0,"",INDEX(包装物料出入库明细!$G$4:$G$2003,$Z75-0)),IF($Z75&lt;=4000,"个",IF($Z75&lt;=5200,"个",IF($Z75&lt;=5800,"个","")))))</f>
        <v>个</v>
      </c>
      <c r="J75" s="30" t="str">
        <f t="shared" si="4"/>
        <v/>
      </c>
      <c r="K75" s="30" t="str">
        <f>IF($Z75="","",IF($Z75&lt;=2000,IF(INDEX(包装物料出入库明细!$N$4:$N$2003,$Z75-0)=0,"",INDEX(包装物料出入库明细!$N$4:$N$2003,$Z75-0)),IF($Z75&lt;=4000,IF(INDEX(周转筐出入库明细!$P$4:$P$2004,$Z75-2000)=0,"",INDEX(周转筐出入库明细!$P$4:$P$2004,$Z75-2000)),IF($Z75&lt;=5200,"",IF($Z75&lt;=5800,N(INDEX(次果筐明细!$L$4:$L$603,$Z75-5200))+N(INDEX(次果筐明细!$J$4:$J$603,$Z75-5200)),"")))))</f>
        <v/>
      </c>
      <c r="L75" s="24" t="str">
        <f>IF($Z75="","",IF($Z75&lt;=2000,IF(INDEX(包装物料出入库明细!$P$4:$P$2003,$Z75-0)=0,"",INDEX(包装物料出入库明细!$P$4:$P$2003,$Z75-0)),IF($Z75&lt;=4000,IF(INDEX(周转筐出入库明细!$Q$4:$Q$2004,$Z75-2000)=0,"",INDEX(周转筐出入库明细!$Q$4:$Q$2004,$Z75-2000)),IF($Z75&lt;=5200,"",IF($Z75&lt;=5800,IF(INDEX(次果筐明细!$M$4:$M$603,$Z75-5200)=0,"",INDEX(次果筐明细!$M$4:$M$603,$Z75-5200)),"")))))</f>
        <v/>
      </c>
      <c r="M75" s="37" t="str">
        <f>IF($Z75="","",IF($Z75&lt;=2000,IF(INDEX(包装物料出入库明细!$R$4:$R$2003,$Z75-0)=0,"",INDEX(包装物料出入库明细!$R$4:$R$2003,$Z75-0)),IF($Z75&lt;=4000,IF(INDEX(周转筐出入库明细!$W$4:$W$2004,$Z75-2000)=0,"",INDEX(周转筐出入库明细!$W$4:$W$2004,$Z75-2000)),IF($Z75&lt;=5200,IF(INDEX(客户自备加工筐明细!$L$4:$L$1203,$Z75-4000)=0,"",INDEX(客户自备加工筐明细!$L$4:$L$1203,$Z75-4000)),IF($Z75&lt;=5800,IF(INDEX(次果筐明细!$P$4:$P$603,$Z75-5200)=0,"",INDEX(次果筐明细!$P$4:$P$603,$Z75-5200)),"")))))</f>
        <v/>
      </c>
      <c r="N75" s="16" t="str">
        <f>IF($Z75="","",IF($Z75&lt;=2000,"",IF($Z75&lt;=4000,IF(INDEX(周转筐出入库明细!$D$4:$D$2004,$Z75-2000)=0,"",INDEX(周转筐出入库明细!$D$4:$D$2004,$Z75-2000)),IF($Z75&lt;=5200,IF(INDEX(客户自备加工筐明细!$C$4:$C$1203,$Z75-4000)=0,"",INDEX(客户自备加工筐明细!$C$4:$C$1203,$Z75-4000)),IF($Z75&lt;=5800,IF(INDEX(次果筐明细!$D$4:$D$603,$Z75-5200)=0,"",INDEX(次果筐明细!$D$4:$D$603,$Z75-5200)),"")))))</f>
        <v>公司红周转筐</v>
      </c>
      <c r="O75" s="40">
        <f>IF($Z75="","",IF($Z75&lt;=2000,"",IF($Z75&lt;=4000,IF(N(INDEX(周转筐出入库明细!$J$4:$J$2004,$Z75-2000))+N(INDEX(周转筐出入库明细!$K$4:$K$2004,$Z75-2000))=0,"",N(INDEX(周转筐出入库明细!$J$4:$J$2004,$Z75-2000))+N(INDEX(周转筐出入库明细!$K$4:$K$2004,$Z75-2000))),IF($Z75&lt;=5200,IF(N(INDEX(客户自备加工筐明细!$G$4:$G$1203,$Z75-4000))=0,"",N(INDEX(客户自备加工筐明细!$G$4:$G$1203,$Z75-4000))),IF($Z75&lt;=5800,IF(ISNUMBER(SEARCH("退",INDEX(次果筐明细!$F$4:$F$603,$Z75-5200)&amp;"")),"",IF(N(INDEX(次果筐明细!$G$4:$G$603,$Z75-5200))=0,"",N(INDEX(次果筐明细!$G$4:$G$603,$Z75-5200)))),"")))))</f>
        <v>846</v>
      </c>
      <c r="P75" s="40" t="str">
        <f>IF($Z75="","",IF($Z75&lt;=2000,"",IF($Z75&lt;=4000,IF(N(INDEX(周转筐出入库明细!$I$4:$I$2004,$Z75-2000))=0,"",N(INDEX(周转筐出入库明细!$I$4:$I$2004,$Z75-2000))),IF($Z75&lt;=5200,"",IF($Z75&lt;=5800,IF(ISNUMBER(SEARCH("退",INDEX(次果筐明细!$F$4:$F$603,$Z75-5200)&amp;"")),IF(N(INDEX(次果筐明细!$G$4:$G$603,$Z75-5200))=0,"",N(INDEX(次果筐明细!$G$4:$G$603,$Z75-5200))),""),"")))))</f>
        <v/>
      </c>
      <c r="Q75" s="40" t="str">
        <f>IF($Z75="","",IF($Z75&lt;=2000,"",IF($Z75&lt;=4000,IF(N(INDEX(周转筐出入库明细!$H$4:$H$2004,$Z75-2000))=0,"",N(INDEX(周转筐出入库明细!$H$4:$H$2004,$Z75-2000))),IF($Z75&lt;=5200,IF(N(INDEX(客户自备加工筐明细!$F$4:$F$1203,$Z75-4000))=0,"",N(INDEX(客户自备加工筐明细!$F$4:$F$1203,$Z75-4000))),IF($Z75&lt;=5800,"","")))))</f>
        <v/>
      </c>
      <c r="R75" s="16" t="str">
        <f>IF($Z75="","",IF($Z75&lt;=2000,IF(INDEX(包装物料出入库明细!$O$4:$O$2003,$Z75-0)=0,"",INDEX(包装物料出入库明细!$O$4:$O$2003,$Z75-0)),IF($Z75&lt;=4000,IF(INDEX(周转筐出入库明细!$M$4:$M$2004,$Z75-2000)=0,"",INDEX(周转筐出入库明细!$M$4:$M$2004,$Z75-2000)),IF($Z75&lt;=5200,IF(INDEX(客户自备加工筐明细!$H$4:$H$1203,$Z75-4000)=0,"",INDEX(客户自备加工筐明细!$H$4:$H$1203,$Z75-4000)),IF($Z75&lt;=5800,IF(INDEX(次果筐明细!$H$4:$H$603,$Z75-5200)=0,"",INDEX(次果筐明细!$H$4:$H$603,$Z75-5200)),"")))))</f>
        <v>新A*G0554</v>
      </c>
      <c r="S75" s="22" t="str">
        <f t="shared" si="5"/>
        <v>公司筐</v>
      </c>
      <c r="Z75" s="10">
        <f>IFERROR(MATCH(ROW()-3,_自动清单!$CQ$4:$CQ$5803,0),"")</f>
        <v>2039</v>
      </c>
    </row>
    <row r="76" spans="1:26">
      <c r="A76" s="24">
        <f t="shared" si="3"/>
        <v>73</v>
      </c>
      <c r="B76" s="38">
        <f>IF($Z76="","",IF($Z76&lt;=2000,IF(INDEX(包装物料出入库明细!$B$4:$B$2003,$Z76-0)=0,"",INDEX(包装物料出入库明细!$B$4:$B$2003,$Z76-0)),IF($Z76&lt;=4000,IF(INDEX(周转筐出入库明细!$B$4:$B$2004,$Z76-2000)=0,"",INDEX(周转筐出入库明细!$B$4:$B$2004,$Z76-2000)),IF($Z76&lt;=5200,IF(INDEX(客户自备加工筐明细!$B$4:$B$1203,$Z76-4000)=0,"",INDEX(客户自备加工筐明细!$B$4:$B$1203,$Z76-4000)),IF($Z76&lt;=5800,IF(INDEX(次果筐明细!$B$4:$B$603,$Z76-5200)=0,"",INDEX(次果筐明细!$B$4:$B$603,$Z76-5200)),"")))))</f>
        <v>46273</v>
      </c>
      <c r="C76" s="37" t="str">
        <f>IF($Z76="","",IF($Z76&lt;=2000,IF(INDEX(包装物料出入库明细!$D$4:$D$2003,$Z76-0)=0,"",INDEX(包装物料出入库明细!$D$4:$D$2003,$Z76-0)),IF($Z76&lt;=4000,IF(INDEX(周转筐出入库明细!$C$4:$C$2004,$Z76-2000)=0,"",INDEX(周转筐出入库明细!$C$4:$C$2004,$Z76-2000)),IF($Z76&lt;=5200,IF(INDEX(客户自备加工筐明细!$E$4:$E$1203,$Z76-4000)=0,"",INDEX(客户自备加工筐明细!$E$4:$E$1203,$Z76-4000)),IF($Z76&lt;=5800,IF(INDEX(次果筐明细!$C$4:$C$603,$Z76-5200)=0,"",INDEX(次果筐明细!$C$4:$C$603,$Z76-5200)),"")))))</f>
        <v>王照雪</v>
      </c>
      <c r="D76" s="37" t="str">
        <f>IF($Z76="","",IF($Z76&lt;=2000,"包装物料－"&amp;INDEX(包装物料出入库明细!$H$4:$H$2003,$Z76-0),IF($Z76&lt;=4000,"周转筐－"&amp;INDEX(周转筐出入库明细!$F$4:$F$2004,$Z76-2000),IF($Z76&lt;=5200,"客户自备筐－"&amp;INDEX(客户自备加工筐明细!$J$4:$J$1203,$Z76-4000),IF($Z76&lt;=5800,"次果筐/托盘－"&amp;INDEX(次果筐明细!$F$4:$F$603,$Z76-5200),"")))))</f>
        <v>周转筐－退回入库</v>
      </c>
      <c r="E76" s="24" t="str">
        <f>IF($Z76="","",IF($Z76&lt;=2000,IF(INDEX(包装物料出入库明细!$C$4:$C$2003,$Z76-0)=0,"",INDEX(包装物料出入库明细!$C$4:$C$2003,$Z76-0)),IF($Z76&lt;=4000,IF(INDEX(周转筐出入库明细!$E$4:$E$2004,$Z76-2000)=0,"",INDEX(周转筐出入库明细!$E$4:$E$2004,$Z76-2000)),IF($Z76&lt;=5200,IF(INDEX(客户自备加工筐明细!$D$4:$D$1203,$Z76-4000)=0,"",INDEX(客户自备加工筐明细!$D$4:$D$1203,$Z76-4000)),IF($Z76&lt;=5800,IF(INDEX(次果筐明细!$E$4:$E$603,$Z76-5200)=0,"",INDEX(次果筐明细!$E$4:$E$603,$Z76-5200)),"")))))</f>
        <v>NO:000761</v>
      </c>
      <c r="F76" s="24" t="str">
        <f>IF($Z76="","",IF($Z76&lt;=2000,IF(INDEX(包装物料出入库明细!$E$4:$E$2003,$Z76-0)=0,"",INDEX(包装物料出入库明细!$E$4:$E$2003,$Z76-0)),IF($Z76&lt;=4000,IF(INDEX(周转筐出入库明细!$D$4:$D$2004,$Z76-2000)=0,"",INDEX(周转筐出入库明细!$D$4:$D$2004,$Z76-2000)),IF($Z76&lt;=5200,IF(INDEX(客户自备加工筐明细!$C$4:$C$1203,$Z76-4000)=0,"",INDEX(客户自备加工筐明细!$C$4:$C$1203,$Z76-4000)),IF($Z76&lt;=5800,IF(INDEX(次果筐明细!$D$4:$D$603,$Z76-5200)=0,"",INDEX(次果筐明细!$D$4:$D$603,$Z76-5200)),"")))))</f>
        <v>公司杂周转筐</v>
      </c>
      <c r="G76" s="24" t="str">
        <f>IF($Z76="","",IF($Z76&lt;=2000,IF(INDEX(包装物料出入库明细!$F$4:$F$2003,$Z76-0)=0,"",INDEX(包装物料出入库明细!$F$4:$F$2003,$Z76-0)),IF($Z76&lt;=4000,"",IF($Z76&lt;=5200,"",IF($Z76&lt;=5800,"","")))))</f>
        <v/>
      </c>
      <c r="H76" s="39">
        <f>IF($Z76="","",IF($Z76&lt;=2000,IF(INDEX(包装物料出入库明细!$L$4:$L$2003,$Z76-0)=0,"",INDEX(包装物料出入库明细!$L$4:$L$2003,$Z76-0)),IF($Z76&lt;=4000,N(INDEX(周转筐出入库明细!$H$4:$H$2004,$Z76-2000))+N(INDEX(周转筐出入库明细!$I$4:$I$2004,$Z76-2000))+N(INDEX(周转筐出入库明细!$J$4:$J$2004,$Z76-2000))+N(INDEX(周转筐出入库明细!$K$4:$K$2004,$Z76-2000)),IF($Z76&lt;=5200,N(INDEX(客户自备加工筐明细!$F$4:$F$1203,$Z76-4000))+N(INDEX(客户自备加工筐明细!$G$4:$G$1203,$Z76-4000)),IF($Z76&lt;=5800,IF(INDEX(次果筐明细!$G$4:$G$603,$Z76-5200)=0,"",INDEX(次果筐明细!$G$4:$G$603,$Z76-5200)),"")))))</f>
        <v>2</v>
      </c>
      <c r="I76" s="24" t="str">
        <f>IF($Z76="","",IF($Z76&lt;=2000,IF(INDEX(包装物料出入库明细!$G$4:$G$2003,$Z76-0)=0,"",INDEX(包装物料出入库明细!$G$4:$G$2003,$Z76-0)),IF($Z76&lt;=4000,"个",IF($Z76&lt;=5200,"个",IF($Z76&lt;=5800,"个","")))))</f>
        <v>个</v>
      </c>
      <c r="J76" s="30" t="str">
        <f t="shared" si="4"/>
        <v/>
      </c>
      <c r="K76" s="30" t="str">
        <f>IF($Z76="","",IF($Z76&lt;=2000,IF(INDEX(包装物料出入库明细!$N$4:$N$2003,$Z76-0)=0,"",INDEX(包装物料出入库明细!$N$4:$N$2003,$Z76-0)),IF($Z76&lt;=4000,IF(INDEX(周转筐出入库明细!$P$4:$P$2004,$Z76-2000)=0,"",INDEX(周转筐出入库明细!$P$4:$P$2004,$Z76-2000)),IF($Z76&lt;=5200,"",IF($Z76&lt;=5800,N(INDEX(次果筐明细!$L$4:$L$603,$Z76-5200))+N(INDEX(次果筐明细!$J$4:$J$603,$Z76-5200)),"")))))</f>
        <v/>
      </c>
      <c r="L76" s="24" t="str">
        <f>IF($Z76="","",IF($Z76&lt;=2000,IF(INDEX(包装物料出入库明细!$P$4:$P$2003,$Z76-0)=0,"",INDEX(包装物料出入库明细!$P$4:$P$2003,$Z76-0)),IF($Z76&lt;=4000,IF(INDEX(周转筐出入库明细!$Q$4:$Q$2004,$Z76-2000)=0,"",INDEX(周转筐出入库明细!$Q$4:$Q$2004,$Z76-2000)),IF($Z76&lt;=5200,"",IF($Z76&lt;=5800,IF(INDEX(次果筐明细!$M$4:$M$603,$Z76-5200)=0,"",INDEX(次果筐明细!$M$4:$M$603,$Z76-5200)),"")))))</f>
        <v/>
      </c>
      <c r="M76" s="37" t="str">
        <f>IF($Z76="","",IF($Z76&lt;=2000,IF(INDEX(包装物料出入库明细!$R$4:$R$2003,$Z76-0)=0,"",INDEX(包装物料出入库明细!$R$4:$R$2003,$Z76-0)),IF($Z76&lt;=4000,IF(INDEX(周转筐出入库明细!$W$4:$W$2004,$Z76-2000)=0,"",INDEX(周转筐出入库明细!$W$4:$W$2004,$Z76-2000)),IF($Z76&lt;=5200,IF(INDEX(客户自备加工筐明细!$L$4:$L$1203,$Z76-4000)=0,"",INDEX(客户自备加工筐明细!$L$4:$L$1203,$Z76-4000)),IF($Z76&lt;=5800,IF(INDEX(次果筐明细!$P$4:$P$603,$Z76-5200)=0,"",INDEX(次果筐明细!$P$4:$P$603,$Z76-5200)),"")))))</f>
        <v>装扎伤退回</v>
      </c>
      <c r="N76" s="16" t="str">
        <f>IF($Z76="","",IF($Z76&lt;=2000,"",IF($Z76&lt;=4000,IF(INDEX(周转筐出入库明细!$D$4:$D$2004,$Z76-2000)=0,"",INDEX(周转筐出入库明细!$D$4:$D$2004,$Z76-2000)),IF($Z76&lt;=5200,IF(INDEX(客户自备加工筐明细!$C$4:$C$1203,$Z76-4000)=0,"",INDEX(客户自备加工筐明细!$C$4:$C$1203,$Z76-4000)),IF($Z76&lt;=5800,IF(INDEX(次果筐明细!$D$4:$D$603,$Z76-5200)=0,"",INDEX(次果筐明细!$D$4:$D$603,$Z76-5200)),"")))))</f>
        <v>公司杂周转筐</v>
      </c>
      <c r="O76" s="40" t="str">
        <f>IF($Z76="","",IF($Z76&lt;=2000,"",IF($Z76&lt;=4000,IF(N(INDEX(周转筐出入库明细!$J$4:$J$2004,$Z76-2000))+N(INDEX(周转筐出入库明细!$K$4:$K$2004,$Z76-2000))=0,"",N(INDEX(周转筐出入库明细!$J$4:$J$2004,$Z76-2000))+N(INDEX(周转筐出入库明细!$K$4:$K$2004,$Z76-2000))),IF($Z76&lt;=5200,IF(N(INDEX(客户自备加工筐明细!$G$4:$G$1203,$Z76-4000))=0,"",N(INDEX(客户自备加工筐明细!$G$4:$G$1203,$Z76-4000))),IF($Z76&lt;=5800,IF(ISNUMBER(SEARCH("退",INDEX(次果筐明细!$F$4:$F$603,$Z76-5200)&amp;"")),"",IF(N(INDEX(次果筐明细!$G$4:$G$603,$Z76-5200))=0,"",N(INDEX(次果筐明细!$G$4:$G$603,$Z76-5200)))),"")))))</f>
        <v/>
      </c>
      <c r="P76" s="40">
        <f>IF($Z76="","",IF($Z76&lt;=2000,"",IF($Z76&lt;=4000,IF(N(INDEX(周转筐出入库明细!$I$4:$I$2004,$Z76-2000))=0,"",N(INDEX(周转筐出入库明细!$I$4:$I$2004,$Z76-2000))),IF($Z76&lt;=5200,"",IF($Z76&lt;=5800,IF(ISNUMBER(SEARCH("退",INDEX(次果筐明细!$F$4:$F$603,$Z76-5200)&amp;"")),IF(N(INDEX(次果筐明细!$G$4:$G$603,$Z76-5200))=0,"",N(INDEX(次果筐明细!$G$4:$G$603,$Z76-5200))),""),"")))))</f>
        <v>2</v>
      </c>
      <c r="Q76" s="40" t="str">
        <f>IF($Z76="","",IF($Z76&lt;=2000,"",IF($Z76&lt;=4000,IF(N(INDEX(周转筐出入库明细!$H$4:$H$2004,$Z76-2000))=0,"",N(INDEX(周转筐出入库明细!$H$4:$H$2004,$Z76-2000))),IF($Z76&lt;=5200,IF(N(INDEX(客户自备加工筐明细!$F$4:$F$1203,$Z76-4000))=0,"",N(INDEX(客户自备加工筐明细!$F$4:$F$1203,$Z76-4000))),IF($Z76&lt;=5800,"","")))))</f>
        <v/>
      </c>
      <c r="R76" s="16" t="str">
        <f>IF($Z76="","",IF($Z76&lt;=2000,IF(INDEX(包装物料出入库明细!$O$4:$O$2003,$Z76-0)=0,"",INDEX(包装物料出入库明细!$O$4:$O$2003,$Z76-0)),IF($Z76&lt;=4000,IF(INDEX(周转筐出入库明细!$M$4:$M$2004,$Z76-2000)=0,"",INDEX(周转筐出入库明细!$M$4:$M$2004,$Z76-2000)),IF($Z76&lt;=5200,IF(INDEX(客户自备加工筐明细!$H$4:$H$1203,$Z76-4000)=0,"",INDEX(客户自备加工筐明细!$H$4:$H$1203,$Z76-4000)),IF($Z76&lt;=5800,IF(INDEX(次果筐明细!$H$4:$H$603,$Z76-5200)=0,"",INDEX(次果筐明细!$H$4:$H$603,$Z76-5200)),"")))))</f>
        <v/>
      </c>
      <c r="S76" s="22" t="str">
        <f t="shared" si="5"/>
        <v>公司筐</v>
      </c>
      <c r="Z76" s="10">
        <f>IFERROR(MATCH(ROW()-3,_自动清单!$CQ$4:$CQ$5803,0),"")</f>
        <v>2040</v>
      </c>
    </row>
    <row r="77" spans="1:26">
      <c r="A77" s="24">
        <f t="shared" si="3"/>
        <v>74</v>
      </c>
      <c r="B77" s="38">
        <f>IF($Z77="","",IF($Z77&lt;=2000,IF(INDEX(包装物料出入库明细!$B$4:$B$2003,$Z77-0)=0,"",INDEX(包装物料出入库明细!$B$4:$B$2003,$Z77-0)),IF($Z77&lt;=4000,IF(INDEX(周转筐出入库明细!$B$4:$B$2004,$Z77-2000)=0,"",INDEX(周转筐出入库明细!$B$4:$B$2004,$Z77-2000)),IF($Z77&lt;=5200,IF(INDEX(客户自备加工筐明细!$B$4:$B$1203,$Z77-4000)=0,"",INDEX(客户自备加工筐明细!$B$4:$B$1203,$Z77-4000)),IF($Z77&lt;=5800,IF(INDEX(次果筐明细!$B$4:$B$603,$Z77-5200)=0,"",INDEX(次果筐明细!$B$4:$B$603,$Z77-5200)),"")))))</f>
        <v>46274</v>
      </c>
      <c r="C77" s="37" t="str">
        <f>IF($Z77="","",IF($Z77&lt;=2000,IF(INDEX(包装物料出入库明细!$D$4:$D$2003,$Z77-0)=0,"",INDEX(包装物料出入库明细!$D$4:$D$2003,$Z77-0)),IF($Z77&lt;=4000,IF(INDEX(周转筐出入库明细!$C$4:$C$2004,$Z77-2000)=0,"",INDEX(周转筐出入库明细!$C$4:$C$2004,$Z77-2000)),IF($Z77&lt;=5200,IF(INDEX(客户自备加工筐明细!$E$4:$E$1203,$Z77-4000)=0,"",INDEX(客户自备加工筐明细!$E$4:$E$1203,$Z77-4000)),IF($Z77&lt;=5800,IF(INDEX(次果筐明细!$C$4:$C$603,$Z77-5200)=0,"",INDEX(次果筐明细!$C$4:$C$603,$Z77-5200)),"")))))</f>
        <v>王照雪</v>
      </c>
      <c r="D77" s="37" t="str">
        <f>IF($Z77="","",IF($Z77&lt;=2000,"包装物料－"&amp;INDEX(包装物料出入库明细!$H$4:$H$2003,$Z77-0),IF($Z77&lt;=4000,"周转筐－"&amp;INDEX(周转筐出入库明细!$F$4:$F$2004,$Z77-2000),IF($Z77&lt;=5200,"客户自备筐－"&amp;INDEX(客户自备加工筐明细!$J$4:$J$1203,$Z77-4000),IF($Z77&lt;=5800,"次果筐/托盘－"&amp;INDEX(次果筐明细!$F$4:$F$603,$Z77-5200),"")))))</f>
        <v>周转筐－领用出库</v>
      </c>
      <c r="E77" s="24" t="str">
        <f>IF($Z77="","",IF($Z77&lt;=2000,IF(INDEX(包装物料出入库明细!$C$4:$C$2003,$Z77-0)=0,"",INDEX(包装物料出入库明细!$C$4:$C$2003,$Z77-0)),IF($Z77&lt;=4000,IF(INDEX(周转筐出入库明细!$E$4:$E$2004,$Z77-2000)=0,"",INDEX(周转筐出入库明细!$E$4:$E$2004,$Z77-2000)),IF($Z77&lt;=5200,IF(INDEX(客户自备加工筐明细!$D$4:$D$1203,$Z77-4000)=0,"",INDEX(客户自备加工筐明细!$D$4:$D$1203,$Z77-4000)),IF($Z77&lt;=5800,IF(INDEX(次果筐明细!$E$4:$E$603,$Z77-5200)=0,"",INDEX(次果筐明细!$E$4:$E$603,$Z77-5200)),"")))))</f>
        <v>NO:0001098</v>
      </c>
      <c r="F77" s="24" t="str">
        <f>IF($Z77="","",IF($Z77&lt;=2000,IF(INDEX(包装物料出入库明细!$E$4:$E$2003,$Z77-0)=0,"",INDEX(包装物料出入库明细!$E$4:$E$2003,$Z77-0)),IF($Z77&lt;=4000,IF(INDEX(周转筐出入库明细!$D$4:$D$2004,$Z77-2000)=0,"",INDEX(周转筐出入库明细!$D$4:$D$2004,$Z77-2000)),IF($Z77&lt;=5200,IF(INDEX(客户自备加工筐明细!$C$4:$C$1203,$Z77-4000)=0,"",INDEX(客户自备加工筐明细!$C$4:$C$1203,$Z77-4000)),IF($Z77&lt;=5800,IF(INDEX(次果筐明细!$D$4:$D$603,$Z77-5200)=0,"",INDEX(次果筐明细!$D$4:$D$603,$Z77-5200)),"")))))</f>
        <v>公司一次性筐</v>
      </c>
      <c r="G77" s="24" t="str">
        <f>IF($Z77="","",IF($Z77&lt;=2000,IF(INDEX(包装物料出入库明细!$F$4:$F$2003,$Z77-0)=0,"",INDEX(包装物料出入库明细!$F$4:$F$2003,$Z77-0)),IF($Z77&lt;=4000,"",IF($Z77&lt;=5200,"",IF($Z77&lt;=5800,"","")))))</f>
        <v/>
      </c>
      <c r="H77" s="39">
        <f>IF($Z77="","",IF($Z77&lt;=2000,IF(INDEX(包装物料出入库明细!$L$4:$L$2003,$Z77-0)=0,"",INDEX(包装物料出入库明细!$L$4:$L$2003,$Z77-0)),IF($Z77&lt;=4000,N(INDEX(周转筐出入库明细!$H$4:$H$2004,$Z77-2000))+N(INDEX(周转筐出入库明细!$I$4:$I$2004,$Z77-2000))+N(INDEX(周转筐出入库明细!$J$4:$J$2004,$Z77-2000))+N(INDEX(周转筐出入库明细!$K$4:$K$2004,$Z77-2000)),IF($Z77&lt;=5200,N(INDEX(客户自备加工筐明细!$F$4:$F$1203,$Z77-4000))+N(INDEX(客户自备加工筐明细!$G$4:$G$1203,$Z77-4000)),IF($Z77&lt;=5800,IF(INDEX(次果筐明细!$G$4:$G$603,$Z77-5200)=0,"",INDEX(次果筐明细!$G$4:$G$603,$Z77-5200)),"")))))</f>
        <v>423</v>
      </c>
      <c r="I77" s="24" t="str">
        <f>IF($Z77="","",IF($Z77&lt;=2000,IF(INDEX(包装物料出入库明细!$G$4:$G$2003,$Z77-0)=0,"",INDEX(包装物料出入库明细!$G$4:$G$2003,$Z77-0)),IF($Z77&lt;=4000,"个",IF($Z77&lt;=5200,"个",IF($Z77&lt;=5800,"个","")))))</f>
        <v>个</v>
      </c>
      <c r="J77" s="30" t="str">
        <f t="shared" si="4"/>
        <v/>
      </c>
      <c r="K77" s="30" t="str">
        <f>IF($Z77="","",IF($Z77&lt;=2000,IF(INDEX(包装物料出入库明细!$N$4:$N$2003,$Z77-0)=0,"",INDEX(包装物料出入库明细!$N$4:$N$2003,$Z77-0)),IF($Z77&lt;=4000,IF(INDEX(周转筐出入库明细!$P$4:$P$2004,$Z77-2000)=0,"",INDEX(周转筐出入库明细!$P$4:$P$2004,$Z77-2000)),IF($Z77&lt;=5200,"",IF($Z77&lt;=5800,N(INDEX(次果筐明细!$L$4:$L$603,$Z77-5200))+N(INDEX(次果筐明细!$J$4:$J$603,$Z77-5200)),"")))))</f>
        <v/>
      </c>
      <c r="L77" s="24" t="str">
        <f>IF($Z77="","",IF($Z77&lt;=2000,IF(INDEX(包装物料出入库明细!$P$4:$P$2003,$Z77-0)=0,"",INDEX(包装物料出入库明细!$P$4:$P$2003,$Z77-0)),IF($Z77&lt;=4000,IF(INDEX(周转筐出入库明细!$Q$4:$Q$2004,$Z77-2000)=0,"",INDEX(周转筐出入库明细!$Q$4:$Q$2004,$Z77-2000)),IF($Z77&lt;=5200,"",IF($Z77&lt;=5800,IF(INDEX(次果筐明细!$M$4:$M$603,$Z77-5200)=0,"",INDEX(次果筐明细!$M$4:$M$603,$Z77-5200)),"")))))</f>
        <v/>
      </c>
      <c r="M77" s="37" t="str">
        <f>IF($Z77="","",IF($Z77&lt;=2000,IF(INDEX(包装物料出入库明细!$R$4:$R$2003,$Z77-0)=0,"",INDEX(包装物料出入库明细!$R$4:$R$2003,$Z77-0)),IF($Z77&lt;=4000,IF(INDEX(周转筐出入库明细!$W$4:$W$2004,$Z77-2000)=0,"",INDEX(周转筐出入库明细!$W$4:$W$2004,$Z77-2000)),IF($Z77&lt;=5200,IF(INDEX(客户自备加工筐明细!$L$4:$L$1203,$Z77-4000)=0,"",INDEX(客户自备加工筐明细!$L$4:$L$1203,$Z77-4000)),IF($Z77&lt;=5800,IF(INDEX(次果筐明细!$P$4:$P$603,$Z77-5200)=0,"",INDEX(次果筐明细!$P$4:$P$603,$Z77-5200)),"")))))</f>
        <v/>
      </c>
      <c r="N77" s="16" t="str">
        <f>IF($Z77="","",IF($Z77&lt;=2000,"",IF($Z77&lt;=4000,IF(INDEX(周转筐出入库明细!$D$4:$D$2004,$Z77-2000)=0,"",INDEX(周转筐出入库明细!$D$4:$D$2004,$Z77-2000)),IF($Z77&lt;=5200,IF(INDEX(客户自备加工筐明细!$C$4:$C$1203,$Z77-4000)=0,"",INDEX(客户自备加工筐明细!$C$4:$C$1203,$Z77-4000)),IF($Z77&lt;=5800,IF(INDEX(次果筐明细!$D$4:$D$603,$Z77-5200)=0,"",INDEX(次果筐明细!$D$4:$D$603,$Z77-5200)),"")))))</f>
        <v>公司一次性筐</v>
      </c>
      <c r="O77" s="40">
        <f>IF($Z77="","",IF($Z77&lt;=2000,"",IF($Z77&lt;=4000,IF(N(INDEX(周转筐出入库明细!$J$4:$J$2004,$Z77-2000))+N(INDEX(周转筐出入库明细!$K$4:$K$2004,$Z77-2000))=0,"",N(INDEX(周转筐出入库明细!$J$4:$J$2004,$Z77-2000))+N(INDEX(周转筐出入库明细!$K$4:$K$2004,$Z77-2000))),IF($Z77&lt;=5200,IF(N(INDEX(客户自备加工筐明细!$G$4:$G$1203,$Z77-4000))=0,"",N(INDEX(客户自备加工筐明细!$G$4:$G$1203,$Z77-4000))),IF($Z77&lt;=5800,IF(ISNUMBER(SEARCH("退",INDEX(次果筐明细!$F$4:$F$603,$Z77-5200)&amp;"")),"",IF(N(INDEX(次果筐明细!$G$4:$G$603,$Z77-5200))=0,"",N(INDEX(次果筐明细!$G$4:$G$603,$Z77-5200)))),"")))))</f>
        <v>423</v>
      </c>
      <c r="P77" s="40" t="str">
        <f>IF($Z77="","",IF($Z77&lt;=2000,"",IF($Z77&lt;=4000,IF(N(INDEX(周转筐出入库明细!$I$4:$I$2004,$Z77-2000))=0,"",N(INDEX(周转筐出入库明细!$I$4:$I$2004,$Z77-2000))),IF($Z77&lt;=5200,"",IF($Z77&lt;=5800,IF(ISNUMBER(SEARCH("退",INDEX(次果筐明细!$F$4:$F$603,$Z77-5200)&amp;"")),IF(N(INDEX(次果筐明细!$G$4:$G$603,$Z77-5200))=0,"",N(INDEX(次果筐明细!$G$4:$G$603,$Z77-5200))),""),"")))))</f>
        <v/>
      </c>
      <c r="Q77" s="40" t="str">
        <f>IF($Z77="","",IF($Z77&lt;=2000,"",IF($Z77&lt;=4000,IF(N(INDEX(周转筐出入库明细!$H$4:$H$2004,$Z77-2000))=0,"",N(INDEX(周转筐出入库明细!$H$4:$H$2004,$Z77-2000))),IF($Z77&lt;=5200,IF(N(INDEX(客户自备加工筐明细!$F$4:$F$1203,$Z77-4000))=0,"",N(INDEX(客户自备加工筐明细!$F$4:$F$1203,$Z77-4000))),IF($Z77&lt;=5800,"","")))))</f>
        <v/>
      </c>
      <c r="R77" s="16" t="str">
        <f>IF($Z77="","",IF($Z77&lt;=2000,IF(INDEX(包装物料出入库明细!$O$4:$O$2003,$Z77-0)=0,"",INDEX(包装物料出入库明细!$O$4:$O$2003,$Z77-0)),IF($Z77&lt;=4000,IF(INDEX(周转筐出入库明细!$M$4:$M$2004,$Z77-2000)=0,"",INDEX(周转筐出入库明细!$M$4:$M$2004,$Z77-2000)),IF($Z77&lt;=5200,IF(INDEX(客户自备加工筐明细!$H$4:$H$1203,$Z77-4000)=0,"",INDEX(客户自备加工筐明细!$H$4:$H$1203,$Z77-4000)),IF($Z77&lt;=5800,IF(INDEX(次果筐明细!$H$4:$H$603,$Z77-5200)=0,"",INDEX(次果筐明细!$H$4:$H$603,$Z77-5200)),"")))))</f>
        <v>豫L*88X19</v>
      </c>
      <c r="S77" s="22" t="str">
        <f t="shared" si="5"/>
        <v>公司筐</v>
      </c>
      <c r="Z77" s="10">
        <f>IFERROR(MATCH(ROW()-3,_自动清单!$CQ$4:$CQ$5803,0),"")</f>
        <v>2041</v>
      </c>
    </row>
    <row r="78" spans="1:26">
      <c r="A78" s="24">
        <f t="shared" si="3"/>
        <v>75</v>
      </c>
      <c r="B78" s="38">
        <f>IF($Z78="","",IF($Z78&lt;=2000,IF(INDEX(包装物料出入库明细!$B$4:$B$2003,$Z78-0)=0,"",INDEX(包装物料出入库明细!$B$4:$B$2003,$Z78-0)),IF($Z78&lt;=4000,IF(INDEX(周转筐出入库明细!$B$4:$B$2004,$Z78-2000)=0,"",INDEX(周转筐出入库明细!$B$4:$B$2004,$Z78-2000)),IF($Z78&lt;=5200,IF(INDEX(客户自备加工筐明细!$B$4:$B$1203,$Z78-4000)=0,"",INDEX(客户自备加工筐明细!$B$4:$B$1203,$Z78-4000)),IF($Z78&lt;=5800,IF(INDEX(次果筐明细!$B$4:$B$603,$Z78-5200)=0,"",INDEX(次果筐明细!$B$4:$B$603,$Z78-5200)),"")))))</f>
        <v>46274</v>
      </c>
      <c r="C78" s="37" t="str">
        <f>IF($Z78="","",IF($Z78&lt;=2000,IF(INDEX(包装物料出入库明细!$D$4:$D$2003,$Z78-0)=0,"",INDEX(包装物料出入库明细!$D$4:$D$2003,$Z78-0)),IF($Z78&lt;=4000,IF(INDEX(周转筐出入库明细!$C$4:$C$2004,$Z78-2000)=0,"",INDEX(周转筐出入库明细!$C$4:$C$2004,$Z78-2000)),IF($Z78&lt;=5200,IF(INDEX(客户自备加工筐明细!$E$4:$E$1203,$Z78-4000)=0,"",INDEX(客户自备加工筐明细!$E$4:$E$1203,$Z78-4000)),IF($Z78&lt;=5800,IF(INDEX(次果筐明细!$C$4:$C$603,$Z78-5200)=0,"",INDEX(次果筐明细!$C$4:$C$603,$Z78-5200)),"")))))</f>
        <v>吐尔逊</v>
      </c>
      <c r="D78" s="37" t="str">
        <f>IF($Z78="","",IF($Z78&lt;=2000,"包装物料－"&amp;INDEX(包装物料出入库明细!$H$4:$H$2003,$Z78-0),IF($Z78&lt;=4000,"周转筐－"&amp;INDEX(周转筐出入库明细!$F$4:$F$2004,$Z78-2000),IF($Z78&lt;=5200,"客户自备筐－"&amp;INDEX(客户自备加工筐明细!$J$4:$J$1203,$Z78-4000),IF($Z78&lt;=5800,"次果筐/托盘－"&amp;INDEX(次果筐明细!$F$4:$F$603,$Z78-5200),"")))))</f>
        <v>周转筐－领用出库</v>
      </c>
      <c r="E78" s="24" t="str">
        <f>IF($Z78="","",IF($Z78&lt;=2000,IF(INDEX(包装物料出入库明细!$C$4:$C$2003,$Z78-0)=0,"",INDEX(包装物料出入库明细!$C$4:$C$2003,$Z78-0)),IF($Z78&lt;=4000,IF(INDEX(周转筐出入库明细!$E$4:$E$2004,$Z78-2000)=0,"",INDEX(周转筐出入库明细!$E$4:$E$2004,$Z78-2000)),IF($Z78&lt;=5200,IF(INDEX(客户自备加工筐明细!$D$4:$D$1203,$Z78-4000)=0,"",INDEX(客户自备加工筐明细!$D$4:$D$1203,$Z78-4000)),IF($Z78&lt;=5800,IF(INDEX(次果筐明细!$E$4:$E$603,$Z78-5200)=0,"",INDEX(次果筐明细!$E$4:$E$603,$Z78-5200)),"")))))</f>
        <v>NO:0001099</v>
      </c>
      <c r="F78" s="24" t="str">
        <f>IF($Z78="","",IF($Z78&lt;=2000,IF(INDEX(包装物料出入库明细!$E$4:$E$2003,$Z78-0)=0,"",INDEX(包装物料出入库明细!$E$4:$E$2003,$Z78-0)),IF($Z78&lt;=4000,IF(INDEX(周转筐出入库明细!$D$4:$D$2004,$Z78-2000)=0,"",INDEX(周转筐出入库明细!$D$4:$D$2004,$Z78-2000)),IF($Z78&lt;=5200,IF(INDEX(客户自备加工筐明细!$C$4:$C$1203,$Z78-4000)=0,"",INDEX(客户自备加工筐明细!$C$4:$C$1203,$Z78-4000)),IF($Z78&lt;=5800,IF(INDEX(次果筐明细!$D$4:$D$603,$Z78-5200)=0,"",INDEX(次果筐明细!$D$4:$D$603,$Z78-5200)),"")))))</f>
        <v>公司一次性筐</v>
      </c>
      <c r="G78" s="24" t="str">
        <f>IF($Z78="","",IF($Z78&lt;=2000,IF(INDEX(包装物料出入库明细!$F$4:$F$2003,$Z78-0)=0,"",INDEX(包装物料出入库明细!$F$4:$F$2003,$Z78-0)),IF($Z78&lt;=4000,"",IF($Z78&lt;=5200,"",IF($Z78&lt;=5800,"","")))))</f>
        <v/>
      </c>
      <c r="H78" s="39">
        <f>IF($Z78="","",IF($Z78&lt;=2000,IF(INDEX(包装物料出入库明细!$L$4:$L$2003,$Z78-0)=0,"",INDEX(包装物料出入库明细!$L$4:$L$2003,$Z78-0)),IF($Z78&lt;=4000,N(INDEX(周转筐出入库明细!$H$4:$H$2004,$Z78-2000))+N(INDEX(周转筐出入库明细!$I$4:$I$2004,$Z78-2000))+N(INDEX(周转筐出入库明细!$J$4:$J$2004,$Z78-2000))+N(INDEX(周转筐出入库明细!$K$4:$K$2004,$Z78-2000)),IF($Z78&lt;=5200,N(INDEX(客户自备加工筐明细!$F$4:$F$1203,$Z78-4000))+N(INDEX(客户自备加工筐明细!$G$4:$G$1203,$Z78-4000)),IF($Z78&lt;=5800,IF(INDEX(次果筐明细!$G$4:$G$603,$Z78-5200)=0,"",INDEX(次果筐明细!$G$4:$G$603,$Z78-5200)),"")))))</f>
        <v>1008</v>
      </c>
      <c r="I78" s="24" t="str">
        <f>IF($Z78="","",IF($Z78&lt;=2000,IF(INDEX(包装物料出入库明细!$G$4:$G$2003,$Z78-0)=0,"",INDEX(包装物料出入库明细!$G$4:$G$2003,$Z78-0)),IF($Z78&lt;=4000,"个",IF($Z78&lt;=5200,"个",IF($Z78&lt;=5800,"个","")))))</f>
        <v>个</v>
      </c>
      <c r="J78" s="30" t="str">
        <f t="shared" si="4"/>
        <v/>
      </c>
      <c r="K78" s="30" t="str">
        <f>IF($Z78="","",IF($Z78&lt;=2000,IF(INDEX(包装物料出入库明细!$N$4:$N$2003,$Z78-0)=0,"",INDEX(包装物料出入库明细!$N$4:$N$2003,$Z78-0)),IF($Z78&lt;=4000,IF(INDEX(周转筐出入库明细!$P$4:$P$2004,$Z78-2000)=0,"",INDEX(周转筐出入库明细!$P$4:$P$2004,$Z78-2000)),IF($Z78&lt;=5200,"",IF($Z78&lt;=5800,N(INDEX(次果筐明细!$L$4:$L$603,$Z78-5200))+N(INDEX(次果筐明细!$J$4:$J$603,$Z78-5200)),"")))))</f>
        <v/>
      </c>
      <c r="L78" s="24" t="str">
        <f>IF($Z78="","",IF($Z78&lt;=2000,IF(INDEX(包装物料出入库明细!$P$4:$P$2003,$Z78-0)=0,"",INDEX(包装物料出入库明细!$P$4:$P$2003,$Z78-0)),IF($Z78&lt;=4000,IF(INDEX(周转筐出入库明细!$Q$4:$Q$2004,$Z78-2000)=0,"",INDEX(周转筐出入库明细!$Q$4:$Q$2004,$Z78-2000)),IF($Z78&lt;=5200,"",IF($Z78&lt;=5800,IF(INDEX(次果筐明细!$M$4:$M$603,$Z78-5200)=0,"",INDEX(次果筐明细!$M$4:$M$603,$Z78-5200)),"")))))</f>
        <v/>
      </c>
      <c r="M78" s="37" t="str">
        <f>IF($Z78="","",IF($Z78&lt;=2000,IF(INDEX(包装物料出入库明细!$R$4:$R$2003,$Z78-0)=0,"",INDEX(包装物料出入库明细!$R$4:$R$2003,$Z78-0)),IF($Z78&lt;=4000,IF(INDEX(周转筐出入库明细!$W$4:$W$2004,$Z78-2000)=0,"",INDEX(周转筐出入库明细!$W$4:$W$2004,$Z78-2000)),IF($Z78&lt;=5200,IF(INDEX(客户自备加工筐明细!$L$4:$L$1203,$Z78-4000)=0,"",INDEX(客户自备加工筐明细!$L$4:$L$1203,$Z78-4000)),IF($Z78&lt;=5800,IF(INDEX(次果筐明细!$P$4:$P$603,$Z78-5200)=0,"",INDEX(次果筐明细!$P$4:$P$603,$Z78-5200)),"")))))</f>
        <v/>
      </c>
      <c r="N78" s="16" t="str">
        <f>IF($Z78="","",IF($Z78&lt;=2000,"",IF($Z78&lt;=4000,IF(INDEX(周转筐出入库明细!$D$4:$D$2004,$Z78-2000)=0,"",INDEX(周转筐出入库明细!$D$4:$D$2004,$Z78-2000)),IF($Z78&lt;=5200,IF(INDEX(客户自备加工筐明细!$C$4:$C$1203,$Z78-4000)=0,"",INDEX(客户自备加工筐明细!$C$4:$C$1203,$Z78-4000)),IF($Z78&lt;=5800,IF(INDEX(次果筐明细!$D$4:$D$603,$Z78-5200)=0,"",INDEX(次果筐明细!$D$4:$D$603,$Z78-5200)),"")))))</f>
        <v>公司一次性筐</v>
      </c>
      <c r="O78" s="40">
        <f>IF($Z78="","",IF($Z78&lt;=2000,"",IF($Z78&lt;=4000,IF(N(INDEX(周转筐出入库明细!$J$4:$J$2004,$Z78-2000))+N(INDEX(周转筐出入库明细!$K$4:$K$2004,$Z78-2000))=0,"",N(INDEX(周转筐出入库明细!$J$4:$J$2004,$Z78-2000))+N(INDEX(周转筐出入库明细!$K$4:$K$2004,$Z78-2000))),IF($Z78&lt;=5200,IF(N(INDEX(客户自备加工筐明细!$G$4:$G$1203,$Z78-4000))=0,"",N(INDEX(客户自备加工筐明细!$G$4:$G$1203,$Z78-4000))),IF($Z78&lt;=5800,IF(ISNUMBER(SEARCH("退",INDEX(次果筐明细!$F$4:$F$603,$Z78-5200)&amp;"")),"",IF(N(INDEX(次果筐明细!$G$4:$G$603,$Z78-5200))=0,"",N(INDEX(次果筐明细!$G$4:$G$603,$Z78-5200)))),"")))))</f>
        <v>1008</v>
      </c>
      <c r="P78" s="40" t="str">
        <f>IF($Z78="","",IF($Z78&lt;=2000,"",IF($Z78&lt;=4000,IF(N(INDEX(周转筐出入库明细!$I$4:$I$2004,$Z78-2000))=0,"",N(INDEX(周转筐出入库明细!$I$4:$I$2004,$Z78-2000))),IF($Z78&lt;=5200,"",IF($Z78&lt;=5800,IF(ISNUMBER(SEARCH("退",INDEX(次果筐明细!$F$4:$F$603,$Z78-5200)&amp;"")),IF(N(INDEX(次果筐明细!$G$4:$G$603,$Z78-5200))=0,"",N(INDEX(次果筐明细!$G$4:$G$603,$Z78-5200))),""),"")))))</f>
        <v/>
      </c>
      <c r="Q78" s="40" t="str">
        <f>IF($Z78="","",IF($Z78&lt;=2000,"",IF($Z78&lt;=4000,IF(N(INDEX(周转筐出入库明细!$H$4:$H$2004,$Z78-2000))=0,"",N(INDEX(周转筐出入库明细!$H$4:$H$2004,$Z78-2000))),IF($Z78&lt;=5200,IF(N(INDEX(客户自备加工筐明细!$F$4:$F$1203,$Z78-4000))=0,"",N(INDEX(客户自备加工筐明细!$F$4:$F$1203,$Z78-4000))),IF($Z78&lt;=5800,"","")))))</f>
        <v/>
      </c>
      <c r="R78" s="16" t="str">
        <f>IF($Z78="","",IF($Z78&lt;=2000,IF(INDEX(包装物料出入库明细!$O$4:$O$2003,$Z78-0)=0,"",INDEX(包装物料出入库明细!$O$4:$O$2003,$Z78-0)),IF($Z78&lt;=4000,IF(INDEX(周转筐出入库明细!$M$4:$M$2004,$Z78-2000)=0,"",INDEX(周转筐出入库明细!$M$4:$M$2004,$Z78-2000)),IF($Z78&lt;=5200,IF(INDEX(客户自备加工筐明细!$H$4:$H$1203,$Z78-4000)=0,"",INDEX(客户自备加工筐明细!$H$4:$H$1203,$Z78-4000)),IF($Z78&lt;=5800,IF(INDEX(次果筐明细!$H$4:$H$603,$Z78-5200)=0,"",INDEX(次果筐明细!$H$4:$H$603,$Z78-5200)),"")))))</f>
        <v>新M*87613</v>
      </c>
      <c r="S78" s="22" t="str">
        <f t="shared" si="5"/>
        <v>公司筐</v>
      </c>
      <c r="Z78" s="10">
        <f>IFERROR(MATCH(ROW()-3,_自动清单!$CQ$4:$CQ$5803,0),"")</f>
        <v>2042</v>
      </c>
    </row>
    <row r="79" spans="1:26">
      <c r="A79" s="24">
        <f t="shared" si="3"/>
        <v>76</v>
      </c>
      <c r="B79" s="38">
        <f>IF($Z79="","",IF($Z79&lt;=2000,IF(INDEX(包装物料出入库明细!$B$4:$B$2003,$Z79-0)=0,"",INDEX(包装物料出入库明细!$B$4:$B$2003,$Z79-0)),IF($Z79&lt;=4000,IF(INDEX(周转筐出入库明细!$B$4:$B$2004,$Z79-2000)=0,"",INDEX(周转筐出入库明细!$B$4:$B$2004,$Z79-2000)),IF($Z79&lt;=5200,IF(INDEX(客户自备加工筐明细!$B$4:$B$1203,$Z79-4000)=0,"",INDEX(客户自备加工筐明细!$B$4:$B$1203,$Z79-4000)),IF($Z79&lt;=5800,IF(INDEX(次果筐明细!$B$4:$B$603,$Z79-5200)=0,"",INDEX(次果筐明细!$B$4:$B$603,$Z79-5200)),"")))))</f>
        <v>46274</v>
      </c>
      <c r="C79" s="37" t="str">
        <f>IF($Z79="","",IF($Z79&lt;=2000,IF(INDEX(包装物料出入库明细!$D$4:$D$2003,$Z79-0)=0,"",INDEX(包装物料出入库明细!$D$4:$D$2003,$Z79-0)),IF($Z79&lt;=4000,IF(INDEX(周转筐出入库明细!$C$4:$C$2004,$Z79-2000)=0,"",INDEX(周转筐出入库明细!$C$4:$C$2004,$Z79-2000)),IF($Z79&lt;=5200,IF(INDEX(客户自备加工筐明细!$E$4:$E$1203,$Z79-4000)=0,"",INDEX(客户自备加工筐明细!$E$4:$E$1203,$Z79-4000)),IF($Z79&lt;=5800,IF(INDEX(次果筐明细!$C$4:$C$603,$Z79-5200)=0,"",INDEX(次果筐明细!$C$4:$C$603,$Z79-5200)),"")))))</f>
        <v>全修塑业</v>
      </c>
      <c r="D79" s="37" t="str">
        <f>IF($Z79="","",IF($Z79&lt;=2000,"包装物料－"&amp;INDEX(包装物料出入库明细!$H$4:$H$2003,$Z79-0),IF($Z79&lt;=4000,"周转筐－"&amp;INDEX(周转筐出入库明细!$F$4:$F$2004,$Z79-2000),IF($Z79&lt;=5200,"客户自备筐－"&amp;INDEX(客户自备加工筐明细!$J$4:$J$1203,$Z79-4000),IF($Z79&lt;=5800,"次果筐/托盘－"&amp;INDEX(次果筐明细!$F$4:$F$603,$Z79-5200),"")))))</f>
        <v>周转筐－采购入库</v>
      </c>
      <c r="E79" s="24" t="str">
        <f>IF($Z79="","",IF($Z79&lt;=2000,IF(INDEX(包装物料出入库明细!$C$4:$C$2003,$Z79-0)=0,"",INDEX(包装物料出入库明细!$C$4:$C$2003,$Z79-0)),IF($Z79&lt;=4000,IF(INDEX(周转筐出入库明细!$E$4:$E$2004,$Z79-2000)=0,"",INDEX(周转筐出入库明细!$E$4:$E$2004,$Z79-2000)),IF($Z79&lt;=5200,IF(INDEX(客户自备加工筐明细!$D$4:$D$1203,$Z79-4000)=0,"",INDEX(客户自备加工筐明细!$D$4:$D$1203,$Z79-4000)),IF($Z79&lt;=5800,IF(INDEX(次果筐明细!$E$4:$E$603,$Z79-5200)=0,"",INDEX(次果筐明细!$E$4:$E$603,$Z79-5200)),"")))))</f>
        <v>NO:0000763</v>
      </c>
      <c r="F79" s="24" t="str">
        <f>IF($Z79="","",IF($Z79&lt;=2000,IF(INDEX(包装物料出入库明细!$E$4:$E$2003,$Z79-0)=0,"",INDEX(包装物料出入库明细!$E$4:$E$2003,$Z79-0)),IF($Z79&lt;=4000,IF(INDEX(周转筐出入库明细!$D$4:$D$2004,$Z79-2000)=0,"",INDEX(周转筐出入库明细!$D$4:$D$2004,$Z79-2000)),IF($Z79&lt;=5200,IF(INDEX(客户自备加工筐明细!$C$4:$C$1203,$Z79-4000)=0,"",INDEX(客户自备加工筐明细!$C$4:$C$1203,$Z79-4000)),IF($Z79&lt;=5800,IF(INDEX(次果筐明细!$D$4:$D$603,$Z79-5200)=0,"",INDEX(次果筐明细!$D$4:$D$603,$Z79-5200)),"")))))</f>
        <v>公司红周转筐</v>
      </c>
      <c r="G79" s="24" t="str">
        <f>IF($Z79="","",IF($Z79&lt;=2000,IF(INDEX(包装物料出入库明细!$F$4:$F$2003,$Z79-0)=0,"",INDEX(包装物料出入库明细!$F$4:$F$2003,$Z79-0)),IF($Z79&lt;=4000,"",IF($Z79&lt;=5200,"",IF($Z79&lt;=5800,"","")))))</f>
        <v/>
      </c>
      <c r="H79" s="39">
        <f>IF($Z79="","",IF($Z79&lt;=2000,IF(INDEX(包装物料出入库明细!$L$4:$L$2003,$Z79-0)=0,"",INDEX(包装物料出入库明细!$L$4:$L$2003,$Z79-0)),IF($Z79&lt;=4000,N(INDEX(周转筐出入库明细!$H$4:$H$2004,$Z79-2000))+N(INDEX(周转筐出入库明细!$I$4:$I$2004,$Z79-2000))+N(INDEX(周转筐出入库明细!$J$4:$J$2004,$Z79-2000))+N(INDEX(周转筐出入库明细!$K$4:$K$2004,$Z79-2000)),IF($Z79&lt;=5200,N(INDEX(客户自备加工筐明细!$F$4:$F$1203,$Z79-4000))+N(INDEX(客户自备加工筐明细!$G$4:$G$1203,$Z79-4000)),IF($Z79&lt;=5800,IF(INDEX(次果筐明细!$G$4:$G$603,$Z79-5200)=0,"",INDEX(次果筐明细!$G$4:$G$603,$Z79-5200)),"")))))</f>
        <v>378</v>
      </c>
      <c r="I79" s="24" t="str">
        <f>IF($Z79="","",IF($Z79&lt;=2000,IF(INDEX(包装物料出入库明细!$G$4:$G$2003,$Z79-0)=0,"",INDEX(包装物料出入库明细!$G$4:$G$2003,$Z79-0)),IF($Z79&lt;=4000,"个",IF($Z79&lt;=5200,"个",IF($Z79&lt;=5800,"个","")))))</f>
        <v>个</v>
      </c>
      <c r="J79" s="30" t="str">
        <f t="shared" si="4"/>
        <v/>
      </c>
      <c r="K79" s="30">
        <f>IF($Z79="","",IF($Z79&lt;=2000,IF(INDEX(包装物料出入库明细!$N$4:$N$2003,$Z79-0)=0,"",INDEX(包装物料出入库明细!$N$4:$N$2003,$Z79-0)),IF($Z79&lt;=4000,IF(INDEX(周转筐出入库明细!$P$4:$P$2004,$Z79-2000)=0,"",INDEX(周转筐出入库明细!$P$4:$P$2004,$Z79-2000)),IF($Z79&lt;=5200,"",IF($Z79&lt;=5800,N(INDEX(次果筐明细!$L$4:$L$603,$Z79-5200))+N(INDEX(次果筐明细!$J$4:$J$603,$Z79-5200)),"")))))</f>
        <v>3780</v>
      </c>
      <c r="L79" s="24" t="str">
        <f>IF($Z79="","",IF($Z79&lt;=2000,IF(INDEX(包装物料出入库明细!$P$4:$P$2003,$Z79-0)=0,"",INDEX(包装物料出入库明细!$P$4:$P$2003,$Z79-0)),IF($Z79&lt;=4000,IF(INDEX(周转筐出入库明细!$Q$4:$Q$2004,$Z79-2000)=0,"",INDEX(周转筐出入库明细!$Q$4:$Q$2004,$Z79-2000)),IF($Z79&lt;=5200,"",IF($Z79&lt;=5800,IF(INDEX(次果筐明细!$M$4:$M$603,$Z79-5200)=0,"",INDEX(次果筐明细!$M$4:$M$603,$Z79-5200)),"")))))</f>
        <v>未付款</v>
      </c>
      <c r="M79" s="37" t="str">
        <f>IF($Z79="","",IF($Z79&lt;=2000,IF(INDEX(包装物料出入库明细!$R$4:$R$2003,$Z79-0)=0,"",INDEX(包装物料出入库明细!$R$4:$R$2003,$Z79-0)),IF($Z79&lt;=4000,IF(INDEX(周转筐出入库明细!$W$4:$W$2004,$Z79-2000)=0,"",INDEX(周转筐出入库明细!$W$4:$W$2004,$Z79-2000)),IF($Z79&lt;=5200,IF(INDEX(客户自备加工筐明细!$L$4:$L$1203,$Z79-4000)=0,"",INDEX(客户自备加工筐明细!$L$4:$L$1203,$Z79-4000)),IF($Z79&lt;=5800,IF(INDEX(次果筐明细!$P$4:$P$603,$Z79-5200)=0,"",INDEX(次果筐明细!$P$4:$P$603,$Z79-5200)),"")))))</f>
        <v>NO:2745254</v>
      </c>
      <c r="N79" s="16" t="str">
        <f>IF($Z79="","",IF($Z79&lt;=2000,"",IF($Z79&lt;=4000,IF(INDEX(周转筐出入库明细!$D$4:$D$2004,$Z79-2000)=0,"",INDEX(周转筐出入库明细!$D$4:$D$2004,$Z79-2000)),IF($Z79&lt;=5200,IF(INDEX(客户自备加工筐明细!$C$4:$C$1203,$Z79-4000)=0,"",INDEX(客户自备加工筐明细!$C$4:$C$1203,$Z79-4000)),IF($Z79&lt;=5800,IF(INDEX(次果筐明细!$D$4:$D$603,$Z79-5200)=0,"",INDEX(次果筐明细!$D$4:$D$603,$Z79-5200)),"")))))</f>
        <v>公司红周转筐</v>
      </c>
      <c r="O79" s="40" t="str">
        <f>IF($Z79="","",IF($Z79&lt;=2000,"",IF($Z79&lt;=4000,IF(N(INDEX(周转筐出入库明细!$J$4:$J$2004,$Z79-2000))+N(INDEX(周转筐出入库明细!$K$4:$K$2004,$Z79-2000))=0,"",N(INDEX(周转筐出入库明细!$J$4:$J$2004,$Z79-2000))+N(INDEX(周转筐出入库明细!$K$4:$K$2004,$Z79-2000))),IF($Z79&lt;=5200,IF(N(INDEX(客户自备加工筐明细!$G$4:$G$1203,$Z79-4000))=0,"",N(INDEX(客户自备加工筐明细!$G$4:$G$1203,$Z79-4000))),IF($Z79&lt;=5800,IF(ISNUMBER(SEARCH("退",INDEX(次果筐明细!$F$4:$F$603,$Z79-5200)&amp;"")),"",IF(N(INDEX(次果筐明细!$G$4:$G$603,$Z79-5200))=0,"",N(INDEX(次果筐明细!$G$4:$G$603,$Z79-5200)))),"")))))</f>
        <v/>
      </c>
      <c r="P79" s="40" t="str">
        <f>IF($Z79="","",IF($Z79&lt;=2000,"",IF($Z79&lt;=4000,IF(N(INDEX(周转筐出入库明细!$I$4:$I$2004,$Z79-2000))=0,"",N(INDEX(周转筐出入库明细!$I$4:$I$2004,$Z79-2000))),IF($Z79&lt;=5200,"",IF($Z79&lt;=5800,IF(ISNUMBER(SEARCH("退",INDEX(次果筐明细!$F$4:$F$603,$Z79-5200)&amp;"")),IF(N(INDEX(次果筐明细!$G$4:$G$603,$Z79-5200))=0,"",N(INDEX(次果筐明细!$G$4:$G$603,$Z79-5200))),""),"")))))</f>
        <v/>
      </c>
      <c r="Q79" s="40">
        <f>IF($Z79="","",IF($Z79&lt;=2000,"",IF($Z79&lt;=4000,IF(N(INDEX(周转筐出入库明细!$H$4:$H$2004,$Z79-2000))=0,"",N(INDEX(周转筐出入库明细!$H$4:$H$2004,$Z79-2000))),IF($Z79&lt;=5200,IF(N(INDEX(客户自备加工筐明细!$F$4:$F$1203,$Z79-4000))=0,"",N(INDEX(客户自备加工筐明细!$F$4:$F$1203,$Z79-4000))),IF($Z79&lt;=5800,"","")))))</f>
        <v>378</v>
      </c>
      <c r="R79" s="16" t="str">
        <f>IF($Z79="","",IF($Z79&lt;=2000,IF(INDEX(包装物料出入库明细!$O$4:$O$2003,$Z79-0)=0,"",INDEX(包装物料出入库明细!$O$4:$O$2003,$Z79-0)),IF($Z79&lt;=4000,IF(INDEX(周转筐出入库明细!$M$4:$M$2004,$Z79-2000)=0,"",INDEX(周转筐出入库明细!$M$4:$M$2004,$Z79-2000)),IF($Z79&lt;=5200,IF(INDEX(客户自备加工筐明细!$H$4:$H$1203,$Z79-4000)=0,"",INDEX(客户自备加工筐明细!$H$4:$H$1203,$Z79-4000)),IF($Z79&lt;=5800,IF(INDEX(次果筐明细!$H$4:$H$603,$Z79-5200)=0,"",INDEX(次果筐明细!$H$4:$H$603,$Z79-5200)),"")))))</f>
        <v>新N*X8S48</v>
      </c>
      <c r="S79" s="22" t="str">
        <f t="shared" si="5"/>
        <v>公司筐</v>
      </c>
      <c r="Z79" s="10">
        <f>IFERROR(MATCH(ROW()-3,_自动清单!$CQ$4:$CQ$5803,0),"")</f>
        <v>2043</v>
      </c>
    </row>
    <row r="80" spans="1:26">
      <c r="A80" s="24">
        <f t="shared" si="3"/>
        <v>77</v>
      </c>
      <c r="B80" s="38">
        <f>IF($Z80="","",IF($Z80&lt;=2000,IF(INDEX(包装物料出入库明细!$B$4:$B$2003,$Z80-0)=0,"",INDEX(包装物料出入库明细!$B$4:$B$2003,$Z80-0)),IF($Z80&lt;=4000,IF(INDEX(周转筐出入库明细!$B$4:$B$2004,$Z80-2000)=0,"",INDEX(周转筐出入库明细!$B$4:$B$2004,$Z80-2000)),IF($Z80&lt;=5200,IF(INDEX(客户自备加工筐明细!$B$4:$B$1203,$Z80-4000)=0,"",INDEX(客户自备加工筐明细!$B$4:$B$1203,$Z80-4000)),IF($Z80&lt;=5800,IF(INDEX(次果筐明细!$B$4:$B$603,$Z80-5200)=0,"",INDEX(次果筐明细!$B$4:$B$603,$Z80-5200)),"")))))</f>
        <v>46274</v>
      </c>
      <c r="C80" s="37" t="str">
        <f>IF($Z80="","",IF($Z80&lt;=2000,IF(INDEX(包装物料出入库明细!$D$4:$D$2003,$Z80-0)=0,"",INDEX(包装物料出入库明细!$D$4:$D$2003,$Z80-0)),IF($Z80&lt;=4000,IF(INDEX(周转筐出入库明细!$C$4:$C$2004,$Z80-2000)=0,"",INDEX(周转筐出入库明细!$C$4:$C$2004,$Z80-2000)),IF($Z80&lt;=5200,IF(INDEX(客户自备加工筐明细!$E$4:$E$1203,$Z80-4000)=0,"",INDEX(客户自备加工筐明细!$E$4:$E$1203,$Z80-4000)),IF($Z80&lt;=5800,IF(INDEX(次果筐明细!$C$4:$C$603,$Z80-5200)=0,"",INDEX(次果筐明细!$C$4:$C$603,$Z80-5200)),"")))))</f>
        <v>全修塑业</v>
      </c>
      <c r="D80" s="37" t="str">
        <f>IF($Z80="","",IF($Z80&lt;=2000,"包装物料－"&amp;INDEX(包装物料出入库明细!$H$4:$H$2003,$Z80-0),IF($Z80&lt;=4000,"周转筐－"&amp;INDEX(周转筐出入库明细!$F$4:$F$2004,$Z80-2000),IF($Z80&lt;=5200,"客户自备筐－"&amp;INDEX(客户自备加工筐明细!$J$4:$J$1203,$Z80-4000),IF($Z80&lt;=5800,"次果筐/托盘－"&amp;INDEX(次果筐明细!$F$4:$F$603,$Z80-5200),"")))))</f>
        <v>周转筐－采购入库</v>
      </c>
      <c r="E80" s="24" t="str">
        <f>IF($Z80="","",IF($Z80&lt;=2000,IF(INDEX(包装物料出入库明细!$C$4:$C$2003,$Z80-0)=0,"",INDEX(包装物料出入库明细!$C$4:$C$2003,$Z80-0)),IF($Z80&lt;=4000,IF(INDEX(周转筐出入库明细!$E$4:$E$2004,$Z80-2000)=0,"",INDEX(周转筐出入库明细!$E$4:$E$2004,$Z80-2000)),IF($Z80&lt;=5200,IF(INDEX(客户自备加工筐明细!$D$4:$D$1203,$Z80-4000)=0,"",INDEX(客户自备加工筐明细!$D$4:$D$1203,$Z80-4000)),IF($Z80&lt;=5800,IF(INDEX(次果筐明细!$E$4:$E$603,$Z80-5200)=0,"",INDEX(次果筐明细!$E$4:$E$603,$Z80-5200)),"")))))</f>
        <v>NO:0000765</v>
      </c>
      <c r="F80" s="24" t="str">
        <f>IF($Z80="","",IF($Z80&lt;=2000,IF(INDEX(包装物料出入库明细!$E$4:$E$2003,$Z80-0)=0,"",INDEX(包装物料出入库明细!$E$4:$E$2003,$Z80-0)),IF($Z80&lt;=4000,IF(INDEX(周转筐出入库明细!$D$4:$D$2004,$Z80-2000)=0,"",INDEX(周转筐出入库明细!$D$4:$D$2004,$Z80-2000)),IF($Z80&lt;=5200,IF(INDEX(客户自备加工筐明细!$C$4:$C$1203,$Z80-4000)=0,"",INDEX(客户自备加工筐明细!$C$4:$C$1203,$Z80-4000)),IF($Z80&lt;=5800,IF(INDEX(次果筐明细!$D$4:$D$603,$Z80-5200)=0,"",INDEX(次果筐明细!$D$4:$D$603,$Z80-5200)),"")))))</f>
        <v>公司红周转筐</v>
      </c>
      <c r="G80" s="24" t="str">
        <f>IF($Z80="","",IF($Z80&lt;=2000,IF(INDEX(包装物料出入库明细!$F$4:$F$2003,$Z80-0)=0,"",INDEX(包装物料出入库明细!$F$4:$F$2003,$Z80-0)),IF($Z80&lt;=4000,"",IF($Z80&lt;=5200,"",IF($Z80&lt;=5800,"","")))))</f>
        <v/>
      </c>
      <c r="H80" s="39">
        <f>IF($Z80="","",IF($Z80&lt;=2000,IF(INDEX(包装物料出入库明细!$L$4:$L$2003,$Z80-0)=0,"",INDEX(包装物料出入库明细!$L$4:$L$2003,$Z80-0)),IF($Z80&lt;=4000,N(INDEX(周转筐出入库明细!$H$4:$H$2004,$Z80-2000))+N(INDEX(周转筐出入库明细!$I$4:$I$2004,$Z80-2000))+N(INDEX(周转筐出入库明细!$J$4:$J$2004,$Z80-2000))+N(INDEX(周转筐出入库明细!$K$4:$K$2004,$Z80-2000)),IF($Z80&lt;=5200,N(INDEX(客户自备加工筐明细!$F$4:$F$1203,$Z80-4000))+N(INDEX(客户自备加工筐明细!$G$4:$G$1203,$Z80-4000)),IF($Z80&lt;=5800,IF(INDEX(次果筐明细!$G$4:$G$603,$Z80-5200)=0,"",INDEX(次果筐明细!$G$4:$G$603,$Z80-5200)),"")))))</f>
        <v>759</v>
      </c>
      <c r="I80" s="24" t="str">
        <f>IF($Z80="","",IF($Z80&lt;=2000,IF(INDEX(包装物料出入库明细!$G$4:$G$2003,$Z80-0)=0,"",INDEX(包装物料出入库明细!$G$4:$G$2003,$Z80-0)),IF($Z80&lt;=4000,"个",IF($Z80&lt;=5200,"个",IF($Z80&lt;=5800,"个","")))))</f>
        <v>个</v>
      </c>
      <c r="J80" s="30" t="str">
        <f t="shared" si="4"/>
        <v/>
      </c>
      <c r="K80" s="30">
        <f>IF($Z80="","",IF($Z80&lt;=2000,IF(INDEX(包装物料出入库明细!$N$4:$N$2003,$Z80-0)=0,"",INDEX(包装物料出入库明细!$N$4:$N$2003,$Z80-0)),IF($Z80&lt;=4000,IF(INDEX(周转筐出入库明细!$P$4:$P$2004,$Z80-2000)=0,"",INDEX(周转筐出入库明细!$P$4:$P$2004,$Z80-2000)),IF($Z80&lt;=5200,"",IF($Z80&lt;=5800,N(INDEX(次果筐明细!$L$4:$L$603,$Z80-5200))+N(INDEX(次果筐明细!$J$4:$J$603,$Z80-5200)),"")))))</f>
        <v>7590</v>
      </c>
      <c r="L80" s="24" t="str">
        <f>IF($Z80="","",IF($Z80&lt;=2000,IF(INDEX(包装物料出入库明细!$P$4:$P$2003,$Z80-0)=0,"",INDEX(包装物料出入库明细!$P$4:$P$2003,$Z80-0)),IF($Z80&lt;=4000,IF(INDEX(周转筐出入库明细!$Q$4:$Q$2004,$Z80-2000)=0,"",INDEX(周转筐出入库明细!$Q$4:$Q$2004,$Z80-2000)),IF($Z80&lt;=5200,"",IF($Z80&lt;=5800,IF(INDEX(次果筐明细!$M$4:$M$603,$Z80-5200)=0,"",INDEX(次果筐明细!$M$4:$M$603,$Z80-5200)),"")))))</f>
        <v>未付款</v>
      </c>
      <c r="M80" s="37" t="str">
        <f>IF($Z80="","",IF($Z80&lt;=2000,IF(INDEX(包装物料出入库明细!$R$4:$R$2003,$Z80-0)=0,"",INDEX(包装物料出入库明细!$R$4:$R$2003,$Z80-0)),IF($Z80&lt;=4000,IF(INDEX(周转筐出入库明细!$W$4:$W$2004,$Z80-2000)=0,"",INDEX(周转筐出入库明细!$W$4:$W$2004,$Z80-2000)),IF($Z80&lt;=5200,IF(INDEX(客户自备加工筐明细!$L$4:$L$1203,$Z80-4000)=0,"",INDEX(客户自备加工筐明细!$L$4:$L$1203,$Z80-4000)),IF($Z80&lt;=5800,IF(INDEX(次果筐明细!$P$4:$P$603,$Z80-5200)=0,"",INDEX(次果筐明细!$P$4:$P$603,$Z80-5200)),"")))))</f>
        <v>NO:0017201</v>
      </c>
      <c r="N80" s="16" t="str">
        <f>IF($Z80="","",IF($Z80&lt;=2000,"",IF($Z80&lt;=4000,IF(INDEX(周转筐出入库明细!$D$4:$D$2004,$Z80-2000)=0,"",INDEX(周转筐出入库明细!$D$4:$D$2004,$Z80-2000)),IF($Z80&lt;=5200,IF(INDEX(客户自备加工筐明细!$C$4:$C$1203,$Z80-4000)=0,"",INDEX(客户自备加工筐明细!$C$4:$C$1203,$Z80-4000)),IF($Z80&lt;=5800,IF(INDEX(次果筐明细!$D$4:$D$603,$Z80-5200)=0,"",INDEX(次果筐明细!$D$4:$D$603,$Z80-5200)),"")))))</f>
        <v>公司红周转筐</v>
      </c>
      <c r="O80" s="40" t="str">
        <f>IF($Z80="","",IF($Z80&lt;=2000,"",IF($Z80&lt;=4000,IF(N(INDEX(周转筐出入库明细!$J$4:$J$2004,$Z80-2000))+N(INDEX(周转筐出入库明细!$K$4:$K$2004,$Z80-2000))=0,"",N(INDEX(周转筐出入库明细!$J$4:$J$2004,$Z80-2000))+N(INDEX(周转筐出入库明细!$K$4:$K$2004,$Z80-2000))),IF($Z80&lt;=5200,IF(N(INDEX(客户自备加工筐明细!$G$4:$G$1203,$Z80-4000))=0,"",N(INDEX(客户自备加工筐明细!$G$4:$G$1203,$Z80-4000))),IF($Z80&lt;=5800,IF(ISNUMBER(SEARCH("退",INDEX(次果筐明细!$F$4:$F$603,$Z80-5200)&amp;"")),"",IF(N(INDEX(次果筐明细!$G$4:$G$603,$Z80-5200))=0,"",N(INDEX(次果筐明细!$G$4:$G$603,$Z80-5200)))),"")))))</f>
        <v/>
      </c>
      <c r="P80" s="40" t="str">
        <f>IF($Z80="","",IF($Z80&lt;=2000,"",IF($Z80&lt;=4000,IF(N(INDEX(周转筐出入库明细!$I$4:$I$2004,$Z80-2000))=0,"",N(INDEX(周转筐出入库明细!$I$4:$I$2004,$Z80-2000))),IF($Z80&lt;=5200,"",IF($Z80&lt;=5800,IF(ISNUMBER(SEARCH("退",INDEX(次果筐明细!$F$4:$F$603,$Z80-5200)&amp;"")),IF(N(INDEX(次果筐明细!$G$4:$G$603,$Z80-5200))=0,"",N(INDEX(次果筐明细!$G$4:$G$603,$Z80-5200))),""),"")))))</f>
        <v/>
      </c>
      <c r="Q80" s="40">
        <f>IF($Z80="","",IF($Z80&lt;=2000,"",IF($Z80&lt;=4000,IF(N(INDEX(周转筐出入库明细!$H$4:$H$2004,$Z80-2000))=0,"",N(INDEX(周转筐出入库明细!$H$4:$H$2004,$Z80-2000))),IF($Z80&lt;=5200,IF(N(INDEX(客户自备加工筐明细!$F$4:$F$1203,$Z80-4000))=0,"",N(INDEX(客户自备加工筐明细!$F$4:$F$1203,$Z80-4000))),IF($Z80&lt;=5800,"","")))))</f>
        <v>759</v>
      </c>
      <c r="R80" s="16" t="str">
        <f>IF($Z80="","",IF($Z80&lt;=2000,IF(INDEX(包装物料出入库明细!$O$4:$O$2003,$Z80-0)=0,"",INDEX(包装物料出入库明细!$O$4:$O$2003,$Z80-0)),IF($Z80&lt;=4000,IF(INDEX(周转筐出入库明细!$M$4:$M$2004,$Z80-2000)=0,"",INDEX(周转筐出入库明细!$M$4:$M$2004,$Z80-2000)),IF($Z80&lt;=5200,IF(INDEX(客户自备加工筐明细!$H$4:$H$1203,$Z80-4000)=0,"",INDEX(客户自备加工筐明细!$H$4:$H$1203,$Z80-4000)),IF($Z80&lt;=5800,IF(INDEX(次果筐明细!$H$4:$H$603,$Z80-5200)=0,"",INDEX(次果筐明细!$H$4:$H$603,$Z80-5200)),"")))))</f>
        <v>豫A*2737K</v>
      </c>
      <c r="S80" s="22" t="str">
        <f t="shared" si="5"/>
        <v>公司筐</v>
      </c>
      <c r="Z80" s="10">
        <f>IFERROR(MATCH(ROW()-3,_自动清单!$CQ$4:$CQ$5803,0),"")</f>
        <v>2044</v>
      </c>
    </row>
    <row r="81" spans="1:26">
      <c r="A81" s="24">
        <f t="shared" si="3"/>
        <v>78</v>
      </c>
      <c r="B81" s="38">
        <f>IF($Z81="","",IF($Z81&lt;=2000,IF(INDEX(包装物料出入库明细!$B$4:$B$2003,$Z81-0)=0,"",INDEX(包装物料出入库明细!$B$4:$B$2003,$Z81-0)),IF($Z81&lt;=4000,IF(INDEX(周转筐出入库明细!$B$4:$B$2004,$Z81-2000)=0,"",INDEX(周转筐出入库明细!$B$4:$B$2004,$Z81-2000)),IF($Z81&lt;=5200,IF(INDEX(客户自备加工筐明细!$B$4:$B$1203,$Z81-4000)=0,"",INDEX(客户自备加工筐明细!$B$4:$B$1203,$Z81-4000)),IF($Z81&lt;=5800,IF(INDEX(次果筐明细!$B$4:$B$603,$Z81-5200)=0,"",INDEX(次果筐明细!$B$4:$B$603,$Z81-5200)),"")))))</f>
        <v>46274</v>
      </c>
      <c r="C81" s="37" t="str">
        <f>IF($Z81="","",IF($Z81&lt;=2000,IF(INDEX(包装物料出入库明细!$D$4:$D$2003,$Z81-0)=0,"",INDEX(包装物料出入库明细!$D$4:$D$2003,$Z81-0)),IF($Z81&lt;=4000,IF(INDEX(周转筐出入库明细!$C$4:$C$2004,$Z81-2000)=0,"",INDEX(周转筐出入库明细!$C$4:$C$2004,$Z81-2000)),IF($Z81&lt;=5200,IF(INDEX(客户自备加工筐明细!$E$4:$E$1203,$Z81-4000)=0,"",INDEX(客户自备加工筐明细!$E$4:$E$1203,$Z81-4000)),IF($Z81&lt;=5800,IF(INDEX(次果筐明细!$C$4:$C$603,$Z81-5200)=0,"",INDEX(次果筐明细!$C$4:$C$603,$Z81-5200)),"")))))</f>
        <v>全修塑业</v>
      </c>
      <c r="D81" s="37" t="str">
        <f>IF($Z81="","",IF($Z81&lt;=2000,"包装物料－"&amp;INDEX(包装物料出入库明细!$H$4:$H$2003,$Z81-0),IF($Z81&lt;=4000,"周转筐－"&amp;INDEX(周转筐出入库明细!$F$4:$F$2004,$Z81-2000),IF($Z81&lt;=5200,"客户自备筐－"&amp;INDEX(客户自备加工筐明细!$J$4:$J$1203,$Z81-4000),IF($Z81&lt;=5800,"次果筐/托盘－"&amp;INDEX(次果筐明细!$F$4:$F$603,$Z81-5200),"")))))</f>
        <v>周转筐－采购入库</v>
      </c>
      <c r="E81" s="24" t="str">
        <f>IF($Z81="","",IF($Z81&lt;=2000,IF(INDEX(包装物料出入库明细!$C$4:$C$2003,$Z81-0)=0,"",INDEX(包装物料出入库明细!$C$4:$C$2003,$Z81-0)),IF($Z81&lt;=4000,IF(INDEX(周转筐出入库明细!$E$4:$E$2004,$Z81-2000)=0,"",INDEX(周转筐出入库明细!$E$4:$E$2004,$Z81-2000)),IF($Z81&lt;=5200,IF(INDEX(客户自备加工筐明细!$D$4:$D$1203,$Z81-4000)=0,"",INDEX(客户自备加工筐明细!$D$4:$D$1203,$Z81-4000)),IF($Z81&lt;=5800,IF(INDEX(次果筐明细!$E$4:$E$603,$Z81-5200)=0,"",INDEX(次果筐明细!$E$4:$E$603,$Z81-5200)),"")))))</f>
        <v>NO:0000766</v>
      </c>
      <c r="F81" s="24" t="str">
        <f>IF($Z81="","",IF($Z81&lt;=2000,IF(INDEX(包装物料出入库明细!$E$4:$E$2003,$Z81-0)=0,"",INDEX(包装物料出入库明细!$E$4:$E$2003,$Z81-0)),IF($Z81&lt;=4000,IF(INDEX(周转筐出入库明细!$D$4:$D$2004,$Z81-2000)=0,"",INDEX(周转筐出入库明细!$D$4:$D$2004,$Z81-2000)),IF($Z81&lt;=5200,IF(INDEX(客户自备加工筐明细!$C$4:$C$1203,$Z81-4000)=0,"",INDEX(客户自备加工筐明细!$C$4:$C$1203,$Z81-4000)),IF($Z81&lt;=5800,IF(INDEX(次果筐明细!$D$4:$D$603,$Z81-5200)=0,"",INDEX(次果筐明细!$D$4:$D$603,$Z81-5200)),"")))))</f>
        <v>公司红周转筐</v>
      </c>
      <c r="G81" s="24" t="str">
        <f>IF($Z81="","",IF($Z81&lt;=2000,IF(INDEX(包装物料出入库明细!$F$4:$F$2003,$Z81-0)=0,"",INDEX(包装物料出入库明细!$F$4:$F$2003,$Z81-0)),IF($Z81&lt;=4000,"",IF($Z81&lt;=5200,"",IF($Z81&lt;=5800,"","")))))</f>
        <v/>
      </c>
      <c r="H81" s="39">
        <f>IF($Z81="","",IF($Z81&lt;=2000,IF(INDEX(包装物料出入库明细!$L$4:$L$2003,$Z81-0)=0,"",INDEX(包装物料出入库明细!$L$4:$L$2003,$Z81-0)),IF($Z81&lt;=4000,N(INDEX(周转筐出入库明细!$H$4:$H$2004,$Z81-2000))+N(INDEX(周转筐出入库明细!$I$4:$I$2004,$Z81-2000))+N(INDEX(周转筐出入库明细!$J$4:$J$2004,$Z81-2000))+N(INDEX(周转筐出入库明细!$K$4:$K$2004,$Z81-2000)),IF($Z81&lt;=5200,N(INDEX(客户自备加工筐明细!$F$4:$F$1203,$Z81-4000))+N(INDEX(客户自备加工筐明细!$G$4:$G$1203,$Z81-4000)),IF($Z81&lt;=5800,IF(INDEX(次果筐明细!$G$4:$G$603,$Z81-5200)=0,"",INDEX(次果筐明细!$G$4:$G$603,$Z81-5200)),"")))))</f>
        <v>846</v>
      </c>
      <c r="I81" s="24" t="str">
        <f>IF($Z81="","",IF($Z81&lt;=2000,IF(INDEX(包装物料出入库明细!$G$4:$G$2003,$Z81-0)=0,"",INDEX(包装物料出入库明细!$G$4:$G$2003,$Z81-0)),IF($Z81&lt;=4000,"个",IF($Z81&lt;=5200,"个",IF($Z81&lt;=5800,"个","")))))</f>
        <v>个</v>
      </c>
      <c r="J81" s="30" t="str">
        <f t="shared" si="4"/>
        <v/>
      </c>
      <c r="K81" s="30">
        <f>IF($Z81="","",IF($Z81&lt;=2000,IF(INDEX(包装物料出入库明细!$N$4:$N$2003,$Z81-0)=0,"",INDEX(包装物料出入库明细!$N$4:$N$2003,$Z81-0)),IF($Z81&lt;=4000,IF(INDEX(周转筐出入库明细!$P$4:$P$2004,$Z81-2000)=0,"",INDEX(周转筐出入库明细!$P$4:$P$2004,$Z81-2000)),IF($Z81&lt;=5200,"",IF($Z81&lt;=5800,N(INDEX(次果筐明细!$L$4:$L$603,$Z81-5200))+N(INDEX(次果筐明细!$J$4:$J$603,$Z81-5200)),"")))))</f>
        <v>8460</v>
      </c>
      <c r="L81" s="24" t="str">
        <f>IF($Z81="","",IF($Z81&lt;=2000,IF(INDEX(包装物料出入库明细!$P$4:$P$2003,$Z81-0)=0,"",INDEX(包装物料出入库明细!$P$4:$P$2003,$Z81-0)),IF($Z81&lt;=4000,IF(INDEX(周转筐出入库明细!$Q$4:$Q$2004,$Z81-2000)=0,"",INDEX(周转筐出入库明细!$Q$4:$Q$2004,$Z81-2000)),IF($Z81&lt;=5200,"",IF($Z81&lt;=5800,IF(INDEX(次果筐明细!$M$4:$M$603,$Z81-5200)=0,"",INDEX(次果筐明细!$M$4:$M$603,$Z81-5200)),"")))))</f>
        <v>未付款</v>
      </c>
      <c r="M81" s="37" t="str">
        <f>IF($Z81="","",IF($Z81&lt;=2000,IF(INDEX(包装物料出入库明细!$R$4:$R$2003,$Z81-0)=0,"",INDEX(包装物料出入库明细!$R$4:$R$2003,$Z81-0)),IF($Z81&lt;=4000,IF(INDEX(周转筐出入库明细!$W$4:$W$2004,$Z81-2000)=0,"",INDEX(周转筐出入库明细!$W$4:$W$2004,$Z81-2000)),IF($Z81&lt;=5200,IF(INDEX(客户自备加工筐明细!$L$4:$L$1203,$Z81-4000)=0,"",INDEX(客户自备加工筐明细!$L$4:$L$1203,$Z81-4000)),IF($Z81&lt;=5800,IF(INDEX(次果筐明细!$P$4:$P$603,$Z81-5200)=0,"",INDEX(次果筐明细!$P$4:$P$603,$Z81-5200)),"")))))</f>
        <v>NO:0017203</v>
      </c>
      <c r="N81" s="16" t="str">
        <f>IF($Z81="","",IF($Z81&lt;=2000,"",IF($Z81&lt;=4000,IF(INDEX(周转筐出入库明细!$D$4:$D$2004,$Z81-2000)=0,"",INDEX(周转筐出入库明细!$D$4:$D$2004,$Z81-2000)),IF($Z81&lt;=5200,IF(INDEX(客户自备加工筐明细!$C$4:$C$1203,$Z81-4000)=0,"",INDEX(客户自备加工筐明细!$C$4:$C$1203,$Z81-4000)),IF($Z81&lt;=5800,IF(INDEX(次果筐明细!$D$4:$D$603,$Z81-5200)=0,"",INDEX(次果筐明细!$D$4:$D$603,$Z81-5200)),"")))))</f>
        <v>公司红周转筐</v>
      </c>
      <c r="O81" s="40" t="str">
        <f>IF($Z81="","",IF($Z81&lt;=2000,"",IF($Z81&lt;=4000,IF(N(INDEX(周转筐出入库明细!$J$4:$J$2004,$Z81-2000))+N(INDEX(周转筐出入库明细!$K$4:$K$2004,$Z81-2000))=0,"",N(INDEX(周转筐出入库明细!$J$4:$J$2004,$Z81-2000))+N(INDEX(周转筐出入库明细!$K$4:$K$2004,$Z81-2000))),IF($Z81&lt;=5200,IF(N(INDEX(客户自备加工筐明细!$G$4:$G$1203,$Z81-4000))=0,"",N(INDEX(客户自备加工筐明细!$G$4:$G$1203,$Z81-4000))),IF($Z81&lt;=5800,IF(ISNUMBER(SEARCH("退",INDEX(次果筐明细!$F$4:$F$603,$Z81-5200)&amp;"")),"",IF(N(INDEX(次果筐明细!$G$4:$G$603,$Z81-5200))=0,"",N(INDEX(次果筐明细!$G$4:$G$603,$Z81-5200)))),"")))))</f>
        <v/>
      </c>
      <c r="P81" s="40" t="str">
        <f>IF($Z81="","",IF($Z81&lt;=2000,"",IF($Z81&lt;=4000,IF(N(INDEX(周转筐出入库明细!$I$4:$I$2004,$Z81-2000))=0,"",N(INDEX(周转筐出入库明细!$I$4:$I$2004,$Z81-2000))),IF($Z81&lt;=5200,"",IF($Z81&lt;=5800,IF(ISNUMBER(SEARCH("退",INDEX(次果筐明细!$F$4:$F$603,$Z81-5200)&amp;"")),IF(N(INDEX(次果筐明细!$G$4:$G$603,$Z81-5200))=0,"",N(INDEX(次果筐明细!$G$4:$G$603,$Z81-5200))),""),"")))))</f>
        <v/>
      </c>
      <c r="Q81" s="40">
        <f>IF($Z81="","",IF($Z81&lt;=2000,"",IF($Z81&lt;=4000,IF(N(INDEX(周转筐出入库明细!$H$4:$H$2004,$Z81-2000))=0,"",N(INDEX(周转筐出入库明细!$H$4:$H$2004,$Z81-2000))),IF($Z81&lt;=5200,IF(N(INDEX(客户自备加工筐明细!$F$4:$F$1203,$Z81-4000))=0,"",N(INDEX(客户自备加工筐明细!$F$4:$F$1203,$Z81-4000))),IF($Z81&lt;=5800,"","")))))</f>
        <v>846</v>
      </c>
      <c r="R81" s="16" t="str">
        <f>IF($Z81="","",IF($Z81&lt;=2000,IF(INDEX(包装物料出入库明细!$O$4:$O$2003,$Z81-0)=0,"",INDEX(包装物料出入库明细!$O$4:$O$2003,$Z81-0)),IF($Z81&lt;=4000,IF(INDEX(周转筐出入库明细!$M$4:$M$2004,$Z81-2000)=0,"",INDEX(周转筐出入库明细!$M$4:$M$2004,$Z81-2000)),IF($Z81&lt;=5200,IF(INDEX(客户自备加工筐明细!$H$4:$H$1203,$Z81-4000)=0,"",INDEX(客户自备加工筐明细!$H$4:$H$1203,$Z81-4000)),IF($Z81&lt;=5800,IF(INDEX(次果筐明细!$H$4:$H$603,$Z81-5200)=0,"",INDEX(次果筐明细!$H$4:$H$603,$Z81-5200)),"")))))</f>
        <v>新A*G0554</v>
      </c>
      <c r="S81" s="22" t="str">
        <f t="shared" si="5"/>
        <v>公司筐</v>
      </c>
      <c r="Z81" s="10">
        <f>IFERROR(MATCH(ROW()-3,_自动清单!$CQ$4:$CQ$5803,0),"")</f>
        <v>2045</v>
      </c>
    </row>
    <row r="82" spans="1:26">
      <c r="A82" s="24">
        <f t="shared" si="3"/>
        <v>79</v>
      </c>
      <c r="B82" s="38">
        <f>IF($Z82="","",IF($Z82&lt;=2000,IF(INDEX(包装物料出入库明细!$B$4:$B$2003,$Z82-0)=0,"",INDEX(包装物料出入库明细!$B$4:$B$2003,$Z82-0)),IF($Z82&lt;=4000,IF(INDEX(周转筐出入库明细!$B$4:$B$2004,$Z82-2000)=0,"",INDEX(周转筐出入库明细!$B$4:$B$2004,$Z82-2000)),IF($Z82&lt;=5200,IF(INDEX(客户自备加工筐明细!$B$4:$B$1203,$Z82-4000)=0,"",INDEX(客户自备加工筐明细!$B$4:$B$1203,$Z82-4000)),IF($Z82&lt;=5800,IF(INDEX(次果筐明细!$B$4:$B$603,$Z82-5200)=0,"",INDEX(次果筐明细!$B$4:$B$603,$Z82-5200)),"")))))</f>
        <v>46274</v>
      </c>
      <c r="C82" s="37" t="str">
        <f>IF($Z82="","",IF($Z82&lt;=2000,IF(INDEX(包装物料出入库明细!$D$4:$D$2003,$Z82-0)=0,"",INDEX(包装物料出入库明细!$D$4:$D$2003,$Z82-0)),IF($Z82&lt;=4000,IF(INDEX(周转筐出入库明细!$C$4:$C$2004,$Z82-2000)=0,"",INDEX(周转筐出入库明细!$C$4:$C$2004,$Z82-2000)),IF($Z82&lt;=5200,IF(INDEX(客户自备加工筐明细!$E$4:$E$1203,$Z82-4000)=0,"",INDEX(客户自备加工筐明细!$E$4:$E$1203,$Z82-4000)),IF($Z82&lt;=5800,IF(INDEX(次果筐明细!$C$4:$C$603,$Z82-5200)=0,"",INDEX(次果筐明细!$C$4:$C$603,$Z82-5200)),"")))))</f>
        <v>吐尔洪</v>
      </c>
      <c r="D82" s="37" t="str">
        <f>IF($Z82="","",IF($Z82&lt;=2000,"包装物料－"&amp;INDEX(包装物料出入库明细!$H$4:$H$2003,$Z82-0),IF($Z82&lt;=4000,"周转筐－"&amp;INDEX(周转筐出入库明细!$F$4:$F$2004,$Z82-2000),IF($Z82&lt;=5200,"客户自备筐－"&amp;INDEX(客户自备加工筐明细!$J$4:$J$1203,$Z82-4000),IF($Z82&lt;=5800,"次果筐/托盘－"&amp;INDEX(次果筐明细!$F$4:$F$603,$Z82-5200),"")))))</f>
        <v>周转筐－领用出库</v>
      </c>
      <c r="E82" s="24" t="str">
        <f>IF($Z82="","",IF($Z82&lt;=2000,IF(INDEX(包装物料出入库明细!$C$4:$C$2003,$Z82-0)=0,"",INDEX(包装物料出入库明细!$C$4:$C$2003,$Z82-0)),IF($Z82&lt;=4000,IF(INDEX(周转筐出入库明细!$E$4:$E$2004,$Z82-2000)=0,"",INDEX(周转筐出入库明细!$E$4:$E$2004,$Z82-2000)),IF($Z82&lt;=5200,IF(INDEX(客户自备加工筐明细!$D$4:$D$1203,$Z82-4000)=0,"",INDEX(客户自备加工筐明细!$D$4:$D$1203,$Z82-4000)),IF($Z82&lt;=5800,IF(INDEX(次果筐明细!$E$4:$E$603,$Z82-5200)=0,"",INDEX(次果筐明细!$E$4:$E$603,$Z82-5200)),"")))))</f>
        <v>NO:0001102</v>
      </c>
      <c r="F82" s="24" t="str">
        <f>IF($Z82="","",IF($Z82&lt;=2000,IF(INDEX(包装物料出入库明细!$E$4:$E$2003,$Z82-0)=0,"",INDEX(包装物料出入库明细!$E$4:$E$2003,$Z82-0)),IF($Z82&lt;=4000,IF(INDEX(周转筐出入库明细!$D$4:$D$2004,$Z82-2000)=0,"",INDEX(周转筐出入库明细!$D$4:$D$2004,$Z82-2000)),IF($Z82&lt;=5200,IF(INDEX(客户自备加工筐明细!$C$4:$C$1203,$Z82-4000)=0,"",INDEX(客户自备加工筐明细!$C$4:$C$1203,$Z82-4000)),IF($Z82&lt;=5800,IF(INDEX(次果筐明细!$D$4:$D$603,$Z82-5200)=0,"",INDEX(次果筐明细!$D$4:$D$603,$Z82-5200)),"")))))</f>
        <v>公司红周转筐</v>
      </c>
      <c r="G82" s="24" t="str">
        <f>IF($Z82="","",IF($Z82&lt;=2000,IF(INDEX(包装物料出入库明细!$F$4:$F$2003,$Z82-0)=0,"",INDEX(包装物料出入库明细!$F$4:$F$2003,$Z82-0)),IF($Z82&lt;=4000,"",IF($Z82&lt;=5200,"",IF($Z82&lt;=5800,"","")))))</f>
        <v/>
      </c>
      <c r="H82" s="39">
        <f>IF($Z82="","",IF($Z82&lt;=2000,IF(INDEX(包装物料出入库明细!$L$4:$L$2003,$Z82-0)=0,"",INDEX(包装物料出入库明细!$L$4:$L$2003,$Z82-0)),IF($Z82&lt;=4000,N(INDEX(周转筐出入库明细!$H$4:$H$2004,$Z82-2000))+N(INDEX(周转筐出入库明细!$I$4:$I$2004,$Z82-2000))+N(INDEX(周转筐出入库明细!$J$4:$J$2004,$Z82-2000))+N(INDEX(周转筐出入库明细!$K$4:$K$2004,$Z82-2000)),IF($Z82&lt;=5200,N(INDEX(客户自备加工筐明细!$F$4:$F$1203,$Z82-4000))+N(INDEX(客户自备加工筐明细!$G$4:$G$1203,$Z82-4000)),IF($Z82&lt;=5800,IF(INDEX(次果筐明细!$G$4:$G$603,$Z82-5200)=0,"",INDEX(次果筐明细!$G$4:$G$603,$Z82-5200)),"")))))</f>
        <v>378</v>
      </c>
      <c r="I82" s="24" t="str">
        <f>IF($Z82="","",IF($Z82&lt;=2000,IF(INDEX(包装物料出入库明细!$G$4:$G$2003,$Z82-0)=0,"",INDEX(包装物料出入库明细!$G$4:$G$2003,$Z82-0)),IF($Z82&lt;=4000,"个",IF($Z82&lt;=5200,"个",IF($Z82&lt;=5800,"个","")))))</f>
        <v>个</v>
      </c>
      <c r="J82" s="30" t="str">
        <f t="shared" si="4"/>
        <v/>
      </c>
      <c r="K82" s="30" t="str">
        <f>IF($Z82="","",IF($Z82&lt;=2000,IF(INDEX(包装物料出入库明细!$N$4:$N$2003,$Z82-0)=0,"",INDEX(包装物料出入库明细!$N$4:$N$2003,$Z82-0)),IF($Z82&lt;=4000,IF(INDEX(周转筐出入库明细!$P$4:$P$2004,$Z82-2000)=0,"",INDEX(周转筐出入库明细!$P$4:$P$2004,$Z82-2000)),IF($Z82&lt;=5200,"",IF($Z82&lt;=5800,N(INDEX(次果筐明细!$L$4:$L$603,$Z82-5200))+N(INDEX(次果筐明细!$J$4:$J$603,$Z82-5200)),"")))))</f>
        <v/>
      </c>
      <c r="L82" s="24" t="str">
        <f>IF($Z82="","",IF($Z82&lt;=2000,IF(INDEX(包装物料出入库明细!$P$4:$P$2003,$Z82-0)=0,"",INDEX(包装物料出入库明细!$P$4:$P$2003,$Z82-0)),IF($Z82&lt;=4000,IF(INDEX(周转筐出入库明细!$Q$4:$Q$2004,$Z82-2000)=0,"",INDEX(周转筐出入库明细!$Q$4:$Q$2004,$Z82-2000)),IF($Z82&lt;=5200,"",IF($Z82&lt;=5800,IF(INDEX(次果筐明细!$M$4:$M$603,$Z82-5200)=0,"",INDEX(次果筐明细!$M$4:$M$603,$Z82-5200)),"")))))</f>
        <v/>
      </c>
      <c r="M82" s="37" t="str">
        <f>IF($Z82="","",IF($Z82&lt;=2000,IF(INDEX(包装物料出入库明细!$R$4:$R$2003,$Z82-0)=0,"",INDEX(包装物料出入库明细!$R$4:$R$2003,$Z82-0)),IF($Z82&lt;=4000,IF(INDEX(周转筐出入库明细!$W$4:$W$2004,$Z82-2000)=0,"",INDEX(周转筐出入库明细!$W$4:$W$2004,$Z82-2000)),IF($Z82&lt;=5200,IF(INDEX(客户自备加工筐明细!$L$4:$L$1203,$Z82-4000)=0,"",INDEX(客户自备加工筐明细!$L$4:$L$1203,$Z82-4000)),IF($Z82&lt;=5800,IF(INDEX(次果筐明细!$P$4:$P$603,$Z82-5200)=0,"",INDEX(次果筐明细!$P$4:$P$603,$Z82-5200)),"")))))</f>
        <v/>
      </c>
      <c r="N82" s="16" t="str">
        <f>IF($Z82="","",IF($Z82&lt;=2000,"",IF($Z82&lt;=4000,IF(INDEX(周转筐出入库明细!$D$4:$D$2004,$Z82-2000)=0,"",INDEX(周转筐出入库明细!$D$4:$D$2004,$Z82-2000)),IF($Z82&lt;=5200,IF(INDEX(客户自备加工筐明细!$C$4:$C$1203,$Z82-4000)=0,"",INDEX(客户自备加工筐明细!$C$4:$C$1203,$Z82-4000)),IF($Z82&lt;=5800,IF(INDEX(次果筐明细!$D$4:$D$603,$Z82-5200)=0,"",INDEX(次果筐明细!$D$4:$D$603,$Z82-5200)),"")))))</f>
        <v>公司红周转筐</v>
      </c>
      <c r="O82" s="40">
        <f>IF($Z82="","",IF($Z82&lt;=2000,"",IF($Z82&lt;=4000,IF(N(INDEX(周转筐出入库明细!$J$4:$J$2004,$Z82-2000))+N(INDEX(周转筐出入库明细!$K$4:$K$2004,$Z82-2000))=0,"",N(INDEX(周转筐出入库明细!$J$4:$J$2004,$Z82-2000))+N(INDEX(周转筐出入库明细!$K$4:$K$2004,$Z82-2000))),IF($Z82&lt;=5200,IF(N(INDEX(客户自备加工筐明细!$G$4:$G$1203,$Z82-4000))=0,"",N(INDEX(客户自备加工筐明细!$G$4:$G$1203,$Z82-4000))),IF($Z82&lt;=5800,IF(ISNUMBER(SEARCH("退",INDEX(次果筐明细!$F$4:$F$603,$Z82-5200)&amp;"")),"",IF(N(INDEX(次果筐明细!$G$4:$G$603,$Z82-5200))=0,"",N(INDEX(次果筐明细!$G$4:$G$603,$Z82-5200)))),"")))))</f>
        <v>378</v>
      </c>
      <c r="P82" s="40" t="str">
        <f>IF($Z82="","",IF($Z82&lt;=2000,"",IF($Z82&lt;=4000,IF(N(INDEX(周转筐出入库明细!$I$4:$I$2004,$Z82-2000))=0,"",N(INDEX(周转筐出入库明细!$I$4:$I$2004,$Z82-2000))),IF($Z82&lt;=5200,"",IF($Z82&lt;=5800,IF(ISNUMBER(SEARCH("退",INDEX(次果筐明细!$F$4:$F$603,$Z82-5200)&amp;"")),IF(N(INDEX(次果筐明细!$G$4:$G$603,$Z82-5200))=0,"",N(INDEX(次果筐明细!$G$4:$G$603,$Z82-5200))),""),"")))))</f>
        <v/>
      </c>
      <c r="Q82" s="40" t="str">
        <f>IF($Z82="","",IF($Z82&lt;=2000,"",IF($Z82&lt;=4000,IF(N(INDEX(周转筐出入库明细!$H$4:$H$2004,$Z82-2000))=0,"",N(INDEX(周转筐出入库明细!$H$4:$H$2004,$Z82-2000))),IF($Z82&lt;=5200,IF(N(INDEX(客户自备加工筐明细!$F$4:$F$1203,$Z82-4000))=0,"",N(INDEX(客户自备加工筐明细!$F$4:$F$1203,$Z82-4000))),IF($Z82&lt;=5800,"","")))))</f>
        <v/>
      </c>
      <c r="R82" s="16" t="str">
        <f>IF($Z82="","",IF($Z82&lt;=2000,IF(INDEX(包装物料出入库明细!$O$4:$O$2003,$Z82-0)=0,"",INDEX(包装物料出入库明细!$O$4:$O$2003,$Z82-0)),IF($Z82&lt;=4000,IF(INDEX(周转筐出入库明细!$M$4:$M$2004,$Z82-2000)=0,"",INDEX(周转筐出入库明细!$M$4:$M$2004,$Z82-2000)),IF($Z82&lt;=5200,IF(INDEX(客户自备加工筐明细!$H$4:$H$1203,$Z82-4000)=0,"",INDEX(客户自备加工筐明细!$H$4:$H$1203,$Z82-4000)),IF($Z82&lt;=5800,IF(INDEX(次果筐明细!$H$4:$H$603,$Z82-5200)=0,"",INDEX(次果筐明细!$H$4:$H$603,$Z82-5200)),"")))))</f>
        <v>新N*X8S48</v>
      </c>
      <c r="S82" s="22" t="str">
        <f t="shared" si="5"/>
        <v>公司筐</v>
      </c>
      <c r="Z82" s="10">
        <f>IFERROR(MATCH(ROW()-3,_自动清单!$CQ$4:$CQ$5803,0),"")</f>
        <v>2046</v>
      </c>
    </row>
    <row r="83" spans="1:26">
      <c r="A83" s="24">
        <f t="shared" si="3"/>
        <v>80</v>
      </c>
      <c r="B83" s="38">
        <f>IF($Z83="","",IF($Z83&lt;=2000,IF(INDEX(包装物料出入库明细!$B$4:$B$2003,$Z83-0)=0,"",INDEX(包装物料出入库明细!$B$4:$B$2003,$Z83-0)),IF($Z83&lt;=4000,IF(INDEX(周转筐出入库明细!$B$4:$B$2004,$Z83-2000)=0,"",INDEX(周转筐出入库明细!$B$4:$B$2004,$Z83-2000)),IF($Z83&lt;=5200,IF(INDEX(客户自备加工筐明细!$B$4:$B$1203,$Z83-4000)=0,"",INDEX(客户自备加工筐明细!$B$4:$B$1203,$Z83-4000)),IF($Z83&lt;=5800,IF(INDEX(次果筐明细!$B$4:$B$603,$Z83-5200)=0,"",INDEX(次果筐明细!$B$4:$B$603,$Z83-5200)),"")))))</f>
        <v>46274</v>
      </c>
      <c r="C83" s="37" t="str">
        <f>IF($Z83="","",IF($Z83&lt;=2000,IF(INDEX(包装物料出入库明细!$D$4:$D$2003,$Z83-0)=0,"",INDEX(包装物料出入库明细!$D$4:$D$2003,$Z83-0)),IF($Z83&lt;=4000,IF(INDEX(周转筐出入库明细!$C$4:$C$2004,$Z83-2000)=0,"",INDEX(周转筐出入库明细!$C$4:$C$2004,$Z83-2000)),IF($Z83&lt;=5200,IF(INDEX(客户自备加工筐明细!$E$4:$E$1203,$Z83-4000)=0,"",INDEX(客户自备加工筐明细!$E$4:$E$1203,$Z83-4000)),IF($Z83&lt;=5800,IF(INDEX(次果筐明细!$C$4:$C$603,$Z83-5200)=0,"",INDEX(次果筐明细!$C$4:$C$603,$Z83-5200)),"")))))</f>
        <v>荆建君</v>
      </c>
      <c r="D83" s="37" t="str">
        <f>IF($Z83="","",IF($Z83&lt;=2000,"包装物料－"&amp;INDEX(包装物料出入库明细!$H$4:$H$2003,$Z83-0),IF($Z83&lt;=4000,"周转筐－"&amp;INDEX(周转筐出入库明细!$F$4:$F$2004,$Z83-2000),IF($Z83&lt;=5200,"客户自备筐－"&amp;INDEX(客户自备加工筐明细!$J$4:$J$1203,$Z83-4000),IF($Z83&lt;=5800,"次果筐/托盘－"&amp;INDEX(次果筐明细!$F$4:$F$603,$Z83-5200),"")))))</f>
        <v>周转筐－领用出库</v>
      </c>
      <c r="E83" s="24" t="str">
        <f>IF($Z83="","",IF($Z83&lt;=2000,IF(INDEX(包装物料出入库明细!$C$4:$C$2003,$Z83-0)=0,"",INDEX(包装物料出入库明细!$C$4:$C$2003,$Z83-0)),IF($Z83&lt;=4000,IF(INDEX(周转筐出入库明细!$E$4:$E$2004,$Z83-2000)=0,"",INDEX(周转筐出入库明细!$E$4:$E$2004,$Z83-2000)),IF($Z83&lt;=5200,IF(INDEX(客户自备加工筐明细!$D$4:$D$1203,$Z83-4000)=0,"",INDEX(客户自备加工筐明细!$D$4:$D$1203,$Z83-4000)),IF($Z83&lt;=5800,IF(INDEX(次果筐明细!$E$4:$E$603,$Z83-5200)=0,"",INDEX(次果筐明细!$E$4:$E$603,$Z83-5200)),"")))))</f>
        <v>NO:0001105</v>
      </c>
      <c r="F83" s="24" t="str">
        <f>IF($Z83="","",IF($Z83&lt;=2000,IF(INDEX(包装物料出入库明细!$E$4:$E$2003,$Z83-0)=0,"",INDEX(包装物料出入库明细!$E$4:$E$2003,$Z83-0)),IF($Z83&lt;=4000,IF(INDEX(周转筐出入库明细!$D$4:$D$2004,$Z83-2000)=0,"",INDEX(周转筐出入库明细!$D$4:$D$2004,$Z83-2000)),IF($Z83&lt;=5200,IF(INDEX(客户自备加工筐明细!$C$4:$C$1203,$Z83-4000)=0,"",INDEX(客户自备加工筐明细!$C$4:$C$1203,$Z83-4000)),IF($Z83&lt;=5800,IF(INDEX(次果筐明细!$D$4:$D$603,$Z83-5200)=0,"",INDEX(次果筐明细!$D$4:$D$603,$Z83-5200)),"")))))</f>
        <v>公司红周转筐</v>
      </c>
      <c r="G83" s="24" t="str">
        <f>IF($Z83="","",IF($Z83&lt;=2000,IF(INDEX(包装物料出入库明细!$F$4:$F$2003,$Z83-0)=0,"",INDEX(包装物料出入库明细!$F$4:$F$2003,$Z83-0)),IF($Z83&lt;=4000,"",IF($Z83&lt;=5200,"",IF($Z83&lt;=5800,"","")))))</f>
        <v/>
      </c>
      <c r="H83" s="39">
        <f>IF($Z83="","",IF($Z83&lt;=2000,IF(INDEX(包装物料出入库明细!$L$4:$L$2003,$Z83-0)=0,"",INDEX(包装物料出入库明细!$L$4:$L$2003,$Z83-0)),IF($Z83&lt;=4000,N(INDEX(周转筐出入库明细!$H$4:$H$2004,$Z83-2000))+N(INDEX(周转筐出入库明细!$I$4:$I$2004,$Z83-2000))+N(INDEX(周转筐出入库明细!$J$4:$J$2004,$Z83-2000))+N(INDEX(周转筐出入库明细!$K$4:$K$2004,$Z83-2000)),IF($Z83&lt;=5200,N(INDEX(客户自备加工筐明细!$F$4:$F$1203,$Z83-4000))+N(INDEX(客户自备加工筐明细!$G$4:$G$1203,$Z83-4000)),IF($Z83&lt;=5800,IF(INDEX(次果筐明细!$G$4:$G$603,$Z83-5200)=0,"",INDEX(次果筐明细!$G$4:$G$603,$Z83-5200)),"")))))</f>
        <v>759</v>
      </c>
      <c r="I83" s="24" t="str">
        <f>IF($Z83="","",IF($Z83&lt;=2000,IF(INDEX(包装物料出入库明细!$G$4:$G$2003,$Z83-0)=0,"",INDEX(包装物料出入库明细!$G$4:$G$2003,$Z83-0)),IF($Z83&lt;=4000,"个",IF($Z83&lt;=5200,"个",IF($Z83&lt;=5800,"个","")))))</f>
        <v>个</v>
      </c>
      <c r="J83" s="30" t="str">
        <f t="shared" si="4"/>
        <v/>
      </c>
      <c r="K83" s="30" t="str">
        <f>IF($Z83="","",IF($Z83&lt;=2000,IF(INDEX(包装物料出入库明细!$N$4:$N$2003,$Z83-0)=0,"",INDEX(包装物料出入库明细!$N$4:$N$2003,$Z83-0)),IF($Z83&lt;=4000,IF(INDEX(周转筐出入库明细!$P$4:$P$2004,$Z83-2000)=0,"",INDEX(周转筐出入库明细!$P$4:$P$2004,$Z83-2000)),IF($Z83&lt;=5200,"",IF($Z83&lt;=5800,N(INDEX(次果筐明细!$L$4:$L$603,$Z83-5200))+N(INDEX(次果筐明细!$J$4:$J$603,$Z83-5200)),"")))))</f>
        <v/>
      </c>
      <c r="L83" s="24" t="str">
        <f>IF($Z83="","",IF($Z83&lt;=2000,IF(INDEX(包装物料出入库明细!$P$4:$P$2003,$Z83-0)=0,"",INDEX(包装物料出入库明细!$P$4:$P$2003,$Z83-0)),IF($Z83&lt;=4000,IF(INDEX(周转筐出入库明细!$Q$4:$Q$2004,$Z83-2000)=0,"",INDEX(周转筐出入库明细!$Q$4:$Q$2004,$Z83-2000)),IF($Z83&lt;=5200,"",IF($Z83&lt;=5800,IF(INDEX(次果筐明细!$M$4:$M$603,$Z83-5200)=0,"",INDEX(次果筐明细!$M$4:$M$603,$Z83-5200)),"")))))</f>
        <v/>
      </c>
      <c r="M83" s="37" t="str">
        <f>IF($Z83="","",IF($Z83&lt;=2000,IF(INDEX(包装物料出入库明细!$R$4:$R$2003,$Z83-0)=0,"",INDEX(包装物料出入库明细!$R$4:$R$2003,$Z83-0)),IF($Z83&lt;=4000,IF(INDEX(周转筐出入库明细!$W$4:$W$2004,$Z83-2000)=0,"",INDEX(周转筐出入库明细!$W$4:$W$2004,$Z83-2000)),IF($Z83&lt;=5200,IF(INDEX(客户自备加工筐明细!$L$4:$L$1203,$Z83-4000)=0,"",INDEX(客户自备加工筐明细!$L$4:$L$1203,$Z83-4000)),IF($Z83&lt;=5800,IF(INDEX(次果筐明细!$P$4:$P$603,$Z83-5200)=0,"",INDEX(次果筐明细!$P$4:$P$603,$Z83-5200)),"")))))</f>
        <v/>
      </c>
      <c r="N83" s="16" t="str">
        <f>IF($Z83="","",IF($Z83&lt;=2000,"",IF($Z83&lt;=4000,IF(INDEX(周转筐出入库明细!$D$4:$D$2004,$Z83-2000)=0,"",INDEX(周转筐出入库明细!$D$4:$D$2004,$Z83-2000)),IF($Z83&lt;=5200,IF(INDEX(客户自备加工筐明细!$C$4:$C$1203,$Z83-4000)=0,"",INDEX(客户自备加工筐明细!$C$4:$C$1203,$Z83-4000)),IF($Z83&lt;=5800,IF(INDEX(次果筐明细!$D$4:$D$603,$Z83-5200)=0,"",INDEX(次果筐明细!$D$4:$D$603,$Z83-5200)),"")))))</f>
        <v>公司红周转筐</v>
      </c>
      <c r="O83" s="40">
        <f>IF($Z83="","",IF($Z83&lt;=2000,"",IF($Z83&lt;=4000,IF(N(INDEX(周转筐出入库明细!$J$4:$J$2004,$Z83-2000))+N(INDEX(周转筐出入库明细!$K$4:$K$2004,$Z83-2000))=0,"",N(INDEX(周转筐出入库明细!$J$4:$J$2004,$Z83-2000))+N(INDEX(周转筐出入库明细!$K$4:$K$2004,$Z83-2000))),IF($Z83&lt;=5200,IF(N(INDEX(客户自备加工筐明细!$G$4:$G$1203,$Z83-4000))=0,"",N(INDEX(客户自备加工筐明细!$G$4:$G$1203,$Z83-4000))),IF($Z83&lt;=5800,IF(ISNUMBER(SEARCH("退",INDEX(次果筐明细!$F$4:$F$603,$Z83-5200)&amp;"")),"",IF(N(INDEX(次果筐明细!$G$4:$G$603,$Z83-5200))=0,"",N(INDEX(次果筐明细!$G$4:$G$603,$Z83-5200)))),"")))))</f>
        <v>759</v>
      </c>
      <c r="P83" s="40" t="str">
        <f>IF($Z83="","",IF($Z83&lt;=2000,"",IF($Z83&lt;=4000,IF(N(INDEX(周转筐出入库明细!$I$4:$I$2004,$Z83-2000))=0,"",N(INDEX(周转筐出入库明细!$I$4:$I$2004,$Z83-2000))),IF($Z83&lt;=5200,"",IF($Z83&lt;=5800,IF(ISNUMBER(SEARCH("退",INDEX(次果筐明细!$F$4:$F$603,$Z83-5200)&amp;"")),IF(N(INDEX(次果筐明细!$G$4:$G$603,$Z83-5200))=0,"",N(INDEX(次果筐明细!$G$4:$G$603,$Z83-5200))),""),"")))))</f>
        <v/>
      </c>
      <c r="Q83" s="40" t="str">
        <f>IF($Z83="","",IF($Z83&lt;=2000,"",IF($Z83&lt;=4000,IF(N(INDEX(周转筐出入库明细!$H$4:$H$2004,$Z83-2000))=0,"",N(INDEX(周转筐出入库明细!$H$4:$H$2004,$Z83-2000))),IF($Z83&lt;=5200,IF(N(INDEX(客户自备加工筐明细!$F$4:$F$1203,$Z83-4000))=0,"",N(INDEX(客户自备加工筐明细!$F$4:$F$1203,$Z83-4000))),IF($Z83&lt;=5800,"","")))))</f>
        <v/>
      </c>
      <c r="R83" s="16" t="str">
        <f>IF($Z83="","",IF($Z83&lt;=2000,IF(INDEX(包装物料出入库明细!$O$4:$O$2003,$Z83-0)=0,"",INDEX(包装物料出入库明细!$O$4:$O$2003,$Z83-0)),IF($Z83&lt;=4000,IF(INDEX(周转筐出入库明细!$M$4:$M$2004,$Z83-2000)=0,"",INDEX(周转筐出入库明细!$M$4:$M$2004,$Z83-2000)),IF($Z83&lt;=5200,IF(INDEX(客户自备加工筐明细!$H$4:$H$1203,$Z83-4000)=0,"",INDEX(客户自备加工筐明细!$H$4:$H$1203,$Z83-4000)),IF($Z83&lt;=5800,IF(INDEX(次果筐明细!$H$4:$H$603,$Z83-5200)=0,"",INDEX(次果筐明细!$H$4:$H$603,$Z83-5200)),"")))))</f>
        <v>豫A*2737K</v>
      </c>
      <c r="S83" s="22" t="str">
        <f t="shared" si="5"/>
        <v>公司筐</v>
      </c>
      <c r="Z83" s="10">
        <f>IFERROR(MATCH(ROW()-3,_自动清单!$CQ$4:$CQ$5803,0),"")</f>
        <v>2047</v>
      </c>
    </row>
    <row r="84" spans="1:26">
      <c r="A84" s="24">
        <f t="shared" si="3"/>
        <v>81</v>
      </c>
      <c r="B84" s="38">
        <f>IF($Z84="","",IF($Z84&lt;=2000,IF(INDEX(包装物料出入库明细!$B$4:$B$2003,$Z84-0)=0,"",INDEX(包装物料出入库明细!$B$4:$B$2003,$Z84-0)),IF($Z84&lt;=4000,IF(INDEX(周转筐出入库明细!$B$4:$B$2004,$Z84-2000)=0,"",INDEX(周转筐出入库明细!$B$4:$B$2004,$Z84-2000)),IF($Z84&lt;=5200,IF(INDEX(客户自备加工筐明细!$B$4:$B$1203,$Z84-4000)=0,"",INDEX(客户自备加工筐明细!$B$4:$B$1203,$Z84-4000)),IF($Z84&lt;=5800,IF(INDEX(次果筐明细!$B$4:$B$603,$Z84-5200)=0,"",INDEX(次果筐明细!$B$4:$B$603,$Z84-5200)),"")))))</f>
        <v>46274</v>
      </c>
      <c r="C84" s="37" t="str">
        <f>IF($Z84="","",IF($Z84&lt;=2000,IF(INDEX(包装物料出入库明细!$D$4:$D$2003,$Z84-0)=0,"",INDEX(包装物料出入库明细!$D$4:$D$2003,$Z84-0)),IF($Z84&lt;=4000,IF(INDEX(周转筐出入库明细!$C$4:$C$2004,$Z84-2000)=0,"",INDEX(周转筐出入库明细!$C$4:$C$2004,$Z84-2000)),IF($Z84&lt;=5200,IF(INDEX(客户自备加工筐明细!$E$4:$E$1203,$Z84-4000)=0,"",INDEX(客户自备加工筐明细!$E$4:$E$1203,$Z84-4000)),IF($Z84&lt;=5800,IF(INDEX(次果筐明细!$C$4:$C$603,$Z84-5200)=0,"",INDEX(次果筐明细!$C$4:$C$603,$Z84-5200)),"")))))</f>
        <v>麦麦提</v>
      </c>
      <c r="D84" s="37" t="str">
        <f>IF($Z84="","",IF($Z84&lt;=2000,"包装物料－"&amp;INDEX(包装物料出入库明细!$H$4:$H$2003,$Z84-0),IF($Z84&lt;=4000,"周转筐－"&amp;INDEX(周转筐出入库明细!$F$4:$F$2004,$Z84-2000),IF($Z84&lt;=5200,"客户自备筐－"&amp;INDEX(客户自备加工筐明细!$J$4:$J$1203,$Z84-4000),IF($Z84&lt;=5800,"次果筐/托盘－"&amp;INDEX(次果筐明细!$F$4:$F$603,$Z84-5200),"")))))</f>
        <v>周转筐－领用出库</v>
      </c>
      <c r="E84" s="24" t="str">
        <f>IF($Z84="","",IF($Z84&lt;=2000,IF(INDEX(包装物料出入库明细!$C$4:$C$2003,$Z84-0)=0,"",INDEX(包装物料出入库明细!$C$4:$C$2003,$Z84-0)),IF($Z84&lt;=4000,IF(INDEX(周转筐出入库明细!$E$4:$E$2004,$Z84-2000)=0,"",INDEX(周转筐出入库明细!$E$4:$E$2004,$Z84-2000)),IF($Z84&lt;=5200,IF(INDEX(客户自备加工筐明细!$D$4:$D$1203,$Z84-4000)=0,"",INDEX(客户自备加工筐明细!$D$4:$D$1203,$Z84-4000)),IF($Z84&lt;=5800,IF(INDEX(次果筐明细!$E$4:$E$603,$Z84-5200)=0,"",INDEX(次果筐明细!$E$4:$E$603,$Z84-5200)),"")))))</f>
        <v>NO:0001106</v>
      </c>
      <c r="F84" s="24" t="str">
        <f>IF($Z84="","",IF($Z84&lt;=2000,IF(INDEX(包装物料出入库明细!$E$4:$E$2003,$Z84-0)=0,"",INDEX(包装物料出入库明细!$E$4:$E$2003,$Z84-0)),IF($Z84&lt;=4000,IF(INDEX(周转筐出入库明细!$D$4:$D$2004,$Z84-2000)=0,"",INDEX(周转筐出入库明细!$D$4:$D$2004,$Z84-2000)),IF($Z84&lt;=5200,IF(INDEX(客户自备加工筐明细!$C$4:$C$1203,$Z84-4000)=0,"",INDEX(客户自备加工筐明细!$C$4:$C$1203,$Z84-4000)),IF($Z84&lt;=5800,IF(INDEX(次果筐明细!$D$4:$D$603,$Z84-5200)=0,"",INDEX(次果筐明细!$D$4:$D$603,$Z84-5200)),"")))))</f>
        <v>公司红周转筐</v>
      </c>
      <c r="G84" s="24" t="str">
        <f>IF($Z84="","",IF($Z84&lt;=2000,IF(INDEX(包装物料出入库明细!$F$4:$F$2003,$Z84-0)=0,"",INDEX(包装物料出入库明细!$F$4:$F$2003,$Z84-0)),IF($Z84&lt;=4000,"",IF($Z84&lt;=5200,"",IF($Z84&lt;=5800,"","")))))</f>
        <v/>
      </c>
      <c r="H84" s="39">
        <f>IF($Z84="","",IF($Z84&lt;=2000,IF(INDEX(包装物料出入库明细!$L$4:$L$2003,$Z84-0)=0,"",INDEX(包装物料出入库明细!$L$4:$L$2003,$Z84-0)),IF($Z84&lt;=4000,N(INDEX(周转筐出入库明细!$H$4:$H$2004,$Z84-2000))+N(INDEX(周转筐出入库明细!$I$4:$I$2004,$Z84-2000))+N(INDEX(周转筐出入库明细!$J$4:$J$2004,$Z84-2000))+N(INDEX(周转筐出入库明细!$K$4:$K$2004,$Z84-2000)),IF($Z84&lt;=5200,N(INDEX(客户自备加工筐明细!$F$4:$F$1203,$Z84-4000))+N(INDEX(客户自备加工筐明细!$G$4:$G$1203,$Z84-4000)),IF($Z84&lt;=5800,IF(INDEX(次果筐明细!$G$4:$G$603,$Z84-5200)=0,"",INDEX(次果筐明细!$G$4:$G$603,$Z84-5200)),"")))))</f>
        <v>846</v>
      </c>
      <c r="I84" s="24" t="str">
        <f>IF($Z84="","",IF($Z84&lt;=2000,IF(INDEX(包装物料出入库明细!$G$4:$G$2003,$Z84-0)=0,"",INDEX(包装物料出入库明细!$G$4:$G$2003,$Z84-0)),IF($Z84&lt;=4000,"个",IF($Z84&lt;=5200,"个",IF($Z84&lt;=5800,"个","")))))</f>
        <v>个</v>
      </c>
      <c r="J84" s="30" t="str">
        <f t="shared" si="4"/>
        <v/>
      </c>
      <c r="K84" s="30" t="str">
        <f>IF($Z84="","",IF($Z84&lt;=2000,IF(INDEX(包装物料出入库明细!$N$4:$N$2003,$Z84-0)=0,"",INDEX(包装物料出入库明细!$N$4:$N$2003,$Z84-0)),IF($Z84&lt;=4000,IF(INDEX(周转筐出入库明细!$P$4:$P$2004,$Z84-2000)=0,"",INDEX(周转筐出入库明细!$P$4:$P$2004,$Z84-2000)),IF($Z84&lt;=5200,"",IF($Z84&lt;=5800,N(INDEX(次果筐明细!$L$4:$L$603,$Z84-5200))+N(INDEX(次果筐明细!$J$4:$J$603,$Z84-5200)),"")))))</f>
        <v/>
      </c>
      <c r="L84" s="24" t="str">
        <f>IF($Z84="","",IF($Z84&lt;=2000,IF(INDEX(包装物料出入库明细!$P$4:$P$2003,$Z84-0)=0,"",INDEX(包装物料出入库明细!$P$4:$P$2003,$Z84-0)),IF($Z84&lt;=4000,IF(INDEX(周转筐出入库明细!$Q$4:$Q$2004,$Z84-2000)=0,"",INDEX(周转筐出入库明细!$Q$4:$Q$2004,$Z84-2000)),IF($Z84&lt;=5200,"",IF($Z84&lt;=5800,IF(INDEX(次果筐明细!$M$4:$M$603,$Z84-5200)=0,"",INDEX(次果筐明细!$M$4:$M$603,$Z84-5200)),"")))))</f>
        <v/>
      </c>
      <c r="M84" s="37" t="str">
        <f>IF($Z84="","",IF($Z84&lt;=2000,IF(INDEX(包装物料出入库明细!$R$4:$R$2003,$Z84-0)=0,"",INDEX(包装物料出入库明细!$R$4:$R$2003,$Z84-0)),IF($Z84&lt;=4000,IF(INDEX(周转筐出入库明细!$W$4:$W$2004,$Z84-2000)=0,"",INDEX(周转筐出入库明细!$W$4:$W$2004,$Z84-2000)),IF($Z84&lt;=5200,IF(INDEX(客户自备加工筐明细!$L$4:$L$1203,$Z84-4000)=0,"",INDEX(客户自备加工筐明细!$L$4:$L$1203,$Z84-4000)),IF($Z84&lt;=5800,IF(INDEX(次果筐明细!$P$4:$P$603,$Z84-5200)=0,"",INDEX(次果筐明细!$P$4:$P$603,$Z84-5200)),"")))))</f>
        <v/>
      </c>
      <c r="N84" s="16" t="str">
        <f>IF($Z84="","",IF($Z84&lt;=2000,"",IF($Z84&lt;=4000,IF(INDEX(周转筐出入库明细!$D$4:$D$2004,$Z84-2000)=0,"",INDEX(周转筐出入库明细!$D$4:$D$2004,$Z84-2000)),IF($Z84&lt;=5200,IF(INDEX(客户自备加工筐明细!$C$4:$C$1203,$Z84-4000)=0,"",INDEX(客户自备加工筐明细!$C$4:$C$1203,$Z84-4000)),IF($Z84&lt;=5800,IF(INDEX(次果筐明细!$D$4:$D$603,$Z84-5200)=0,"",INDEX(次果筐明细!$D$4:$D$603,$Z84-5200)),"")))))</f>
        <v>公司红周转筐</v>
      </c>
      <c r="O84" s="40">
        <f>IF($Z84="","",IF($Z84&lt;=2000,"",IF($Z84&lt;=4000,IF(N(INDEX(周转筐出入库明细!$J$4:$J$2004,$Z84-2000))+N(INDEX(周转筐出入库明细!$K$4:$K$2004,$Z84-2000))=0,"",N(INDEX(周转筐出入库明细!$J$4:$J$2004,$Z84-2000))+N(INDEX(周转筐出入库明细!$K$4:$K$2004,$Z84-2000))),IF($Z84&lt;=5200,IF(N(INDEX(客户自备加工筐明细!$G$4:$G$1203,$Z84-4000))=0,"",N(INDEX(客户自备加工筐明细!$G$4:$G$1203,$Z84-4000))),IF($Z84&lt;=5800,IF(ISNUMBER(SEARCH("退",INDEX(次果筐明细!$F$4:$F$603,$Z84-5200)&amp;"")),"",IF(N(INDEX(次果筐明细!$G$4:$G$603,$Z84-5200))=0,"",N(INDEX(次果筐明细!$G$4:$G$603,$Z84-5200)))),"")))))</f>
        <v>846</v>
      </c>
      <c r="P84" s="40" t="str">
        <f>IF($Z84="","",IF($Z84&lt;=2000,"",IF($Z84&lt;=4000,IF(N(INDEX(周转筐出入库明细!$I$4:$I$2004,$Z84-2000))=0,"",N(INDEX(周转筐出入库明细!$I$4:$I$2004,$Z84-2000))),IF($Z84&lt;=5200,"",IF($Z84&lt;=5800,IF(ISNUMBER(SEARCH("退",INDEX(次果筐明细!$F$4:$F$603,$Z84-5200)&amp;"")),IF(N(INDEX(次果筐明细!$G$4:$G$603,$Z84-5200))=0,"",N(INDEX(次果筐明细!$G$4:$G$603,$Z84-5200))),""),"")))))</f>
        <v/>
      </c>
      <c r="Q84" s="40" t="str">
        <f>IF($Z84="","",IF($Z84&lt;=2000,"",IF($Z84&lt;=4000,IF(N(INDEX(周转筐出入库明细!$H$4:$H$2004,$Z84-2000))=0,"",N(INDEX(周转筐出入库明细!$H$4:$H$2004,$Z84-2000))),IF($Z84&lt;=5200,IF(N(INDEX(客户自备加工筐明细!$F$4:$F$1203,$Z84-4000))=0,"",N(INDEX(客户自备加工筐明细!$F$4:$F$1203,$Z84-4000))),IF($Z84&lt;=5800,"","")))))</f>
        <v/>
      </c>
      <c r="R84" s="16" t="str">
        <f>IF($Z84="","",IF($Z84&lt;=2000,IF(INDEX(包装物料出入库明细!$O$4:$O$2003,$Z84-0)=0,"",INDEX(包装物料出入库明细!$O$4:$O$2003,$Z84-0)),IF($Z84&lt;=4000,IF(INDEX(周转筐出入库明细!$M$4:$M$2004,$Z84-2000)=0,"",INDEX(周转筐出入库明细!$M$4:$M$2004,$Z84-2000)),IF($Z84&lt;=5200,IF(INDEX(客户自备加工筐明细!$H$4:$H$1203,$Z84-4000)=0,"",INDEX(客户自备加工筐明细!$H$4:$H$1203,$Z84-4000)),IF($Z84&lt;=5800,IF(INDEX(次果筐明细!$H$4:$H$603,$Z84-5200)=0,"",INDEX(次果筐明细!$H$4:$H$603,$Z84-5200)),"")))))</f>
        <v>新A*G0554</v>
      </c>
      <c r="S84" s="22" t="str">
        <f t="shared" si="5"/>
        <v>公司筐</v>
      </c>
      <c r="Z84" s="10">
        <f>IFERROR(MATCH(ROW()-3,_自动清单!$CQ$4:$CQ$5803,0),"")</f>
        <v>2048</v>
      </c>
    </row>
    <row r="85" spans="1:26">
      <c r="A85" s="24">
        <f t="shared" si="3"/>
        <v>82</v>
      </c>
      <c r="B85" s="38">
        <f>IF($Z85="","",IF($Z85&lt;=2000,IF(INDEX(包装物料出入库明细!$B$4:$B$2003,$Z85-0)=0,"",INDEX(包装物料出入库明细!$B$4:$B$2003,$Z85-0)),IF($Z85&lt;=4000,IF(INDEX(周转筐出入库明细!$B$4:$B$2004,$Z85-2000)=0,"",INDEX(周转筐出入库明细!$B$4:$B$2004,$Z85-2000)),IF($Z85&lt;=5200,IF(INDEX(客户自备加工筐明细!$B$4:$B$1203,$Z85-4000)=0,"",INDEX(客户自备加工筐明细!$B$4:$B$1203,$Z85-4000)),IF($Z85&lt;=5800,IF(INDEX(次果筐明细!$B$4:$B$603,$Z85-5200)=0,"",INDEX(次果筐明细!$B$4:$B$603,$Z85-5200)),"")))))</f>
        <v>46275</v>
      </c>
      <c r="C85" s="37" t="str">
        <f>IF($Z85="","",IF($Z85&lt;=2000,IF(INDEX(包装物料出入库明细!$D$4:$D$2003,$Z85-0)=0,"",INDEX(包装物料出入库明细!$D$4:$D$2003,$Z85-0)),IF($Z85&lt;=4000,IF(INDEX(周转筐出入库明细!$C$4:$C$2004,$Z85-2000)=0,"",INDEX(周转筐出入库明细!$C$4:$C$2004,$Z85-2000)),IF($Z85&lt;=5200,IF(INDEX(客户自备加工筐明细!$E$4:$E$1203,$Z85-4000)=0,"",INDEX(客户自备加工筐明细!$E$4:$E$1203,$Z85-4000)),IF($Z85&lt;=5800,IF(INDEX(次果筐明细!$C$4:$C$603,$Z85-5200)=0,"",INDEX(次果筐明细!$C$4:$C$603,$Z85-5200)),"")))))</f>
        <v>王照雪</v>
      </c>
      <c r="D85" s="37" t="str">
        <f>IF($Z85="","",IF($Z85&lt;=2000,"包装物料－"&amp;INDEX(包装物料出入库明细!$H$4:$H$2003,$Z85-0),IF($Z85&lt;=4000,"周转筐－"&amp;INDEX(周转筐出入库明细!$F$4:$F$2004,$Z85-2000),IF($Z85&lt;=5200,"客户自备筐－"&amp;INDEX(客户自备加工筐明细!$J$4:$J$1203,$Z85-4000),IF($Z85&lt;=5800,"次果筐/托盘－"&amp;INDEX(次果筐明细!$F$4:$F$603,$Z85-5200),"")))))</f>
        <v>周转筐－领用出库</v>
      </c>
      <c r="E85" s="24" t="str">
        <f>IF($Z85="","",IF($Z85&lt;=2000,IF(INDEX(包装物料出入库明细!$C$4:$C$2003,$Z85-0)=0,"",INDEX(包装物料出入库明细!$C$4:$C$2003,$Z85-0)),IF($Z85&lt;=4000,IF(INDEX(周转筐出入库明细!$E$4:$E$2004,$Z85-2000)=0,"",INDEX(周转筐出入库明细!$E$4:$E$2004,$Z85-2000)),IF($Z85&lt;=5200,IF(INDEX(客户自备加工筐明细!$D$4:$D$1203,$Z85-4000)=0,"",INDEX(客户自备加工筐明细!$D$4:$D$1203,$Z85-4000)),IF($Z85&lt;=5800,IF(INDEX(次果筐明细!$E$4:$E$603,$Z85-5200)=0,"",INDEX(次果筐明细!$E$4:$E$603,$Z85-5200)),"")))))</f>
        <v>NO:0001107</v>
      </c>
      <c r="F85" s="24" t="str">
        <f>IF($Z85="","",IF($Z85&lt;=2000,IF(INDEX(包装物料出入库明细!$E$4:$E$2003,$Z85-0)=0,"",INDEX(包装物料出入库明细!$E$4:$E$2003,$Z85-0)),IF($Z85&lt;=4000,IF(INDEX(周转筐出入库明细!$D$4:$D$2004,$Z85-2000)=0,"",INDEX(周转筐出入库明细!$D$4:$D$2004,$Z85-2000)),IF($Z85&lt;=5200,IF(INDEX(客户自备加工筐明细!$C$4:$C$1203,$Z85-4000)=0,"",INDEX(客户自备加工筐明细!$C$4:$C$1203,$Z85-4000)),IF($Z85&lt;=5800,IF(INDEX(次果筐明细!$D$4:$D$603,$Z85-5200)=0,"",INDEX(次果筐明细!$D$4:$D$603,$Z85-5200)),"")))))</f>
        <v>公司一次性筐</v>
      </c>
      <c r="G85" s="24" t="str">
        <f>IF($Z85="","",IF($Z85&lt;=2000,IF(INDEX(包装物料出入库明细!$F$4:$F$2003,$Z85-0)=0,"",INDEX(包装物料出入库明细!$F$4:$F$2003,$Z85-0)),IF($Z85&lt;=4000,"",IF($Z85&lt;=5200,"",IF($Z85&lt;=5800,"","")))))</f>
        <v/>
      </c>
      <c r="H85" s="39">
        <f>IF($Z85="","",IF($Z85&lt;=2000,IF(INDEX(包装物料出入库明细!$L$4:$L$2003,$Z85-0)=0,"",INDEX(包装物料出入库明细!$L$4:$L$2003,$Z85-0)),IF($Z85&lt;=4000,N(INDEX(周转筐出入库明细!$H$4:$H$2004,$Z85-2000))+N(INDEX(周转筐出入库明细!$I$4:$I$2004,$Z85-2000))+N(INDEX(周转筐出入库明细!$J$4:$J$2004,$Z85-2000))+N(INDEX(周转筐出入库明细!$K$4:$K$2004,$Z85-2000)),IF($Z85&lt;=5200,N(INDEX(客户自备加工筐明细!$F$4:$F$1203,$Z85-4000))+N(INDEX(客户自备加工筐明细!$G$4:$G$1203,$Z85-4000)),IF($Z85&lt;=5800,IF(INDEX(次果筐明细!$G$4:$G$603,$Z85-5200)=0,"",INDEX(次果筐明细!$G$4:$G$603,$Z85-5200)),"")))))</f>
        <v>423</v>
      </c>
      <c r="I85" s="24" t="str">
        <f>IF($Z85="","",IF($Z85&lt;=2000,IF(INDEX(包装物料出入库明细!$G$4:$G$2003,$Z85-0)=0,"",INDEX(包装物料出入库明细!$G$4:$G$2003,$Z85-0)),IF($Z85&lt;=4000,"个",IF($Z85&lt;=5200,"个",IF($Z85&lt;=5800,"个","")))))</f>
        <v>个</v>
      </c>
      <c r="J85" s="30" t="str">
        <f t="shared" si="4"/>
        <v/>
      </c>
      <c r="K85" s="30" t="str">
        <f>IF($Z85="","",IF($Z85&lt;=2000,IF(INDEX(包装物料出入库明细!$N$4:$N$2003,$Z85-0)=0,"",INDEX(包装物料出入库明细!$N$4:$N$2003,$Z85-0)),IF($Z85&lt;=4000,IF(INDEX(周转筐出入库明细!$P$4:$P$2004,$Z85-2000)=0,"",INDEX(周转筐出入库明细!$P$4:$P$2004,$Z85-2000)),IF($Z85&lt;=5200,"",IF($Z85&lt;=5800,N(INDEX(次果筐明细!$L$4:$L$603,$Z85-5200))+N(INDEX(次果筐明细!$J$4:$J$603,$Z85-5200)),"")))))</f>
        <v/>
      </c>
      <c r="L85" s="24" t="str">
        <f>IF($Z85="","",IF($Z85&lt;=2000,IF(INDEX(包装物料出入库明细!$P$4:$P$2003,$Z85-0)=0,"",INDEX(包装物料出入库明细!$P$4:$P$2003,$Z85-0)),IF($Z85&lt;=4000,IF(INDEX(周转筐出入库明细!$Q$4:$Q$2004,$Z85-2000)=0,"",INDEX(周转筐出入库明细!$Q$4:$Q$2004,$Z85-2000)),IF($Z85&lt;=5200,"",IF($Z85&lt;=5800,IF(INDEX(次果筐明细!$M$4:$M$603,$Z85-5200)=0,"",INDEX(次果筐明细!$M$4:$M$603,$Z85-5200)),"")))))</f>
        <v/>
      </c>
      <c r="M85" s="37" t="str">
        <f>IF($Z85="","",IF($Z85&lt;=2000,IF(INDEX(包装物料出入库明细!$R$4:$R$2003,$Z85-0)=0,"",INDEX(包装物料出入库明细!$R$4:$R$2003,$Z85-0)),IF($Z85&lt;=4000,IF(INDEX(周转筐出入库明细!$W$4:$W$2004,$Z85-2000)=0,"",INDEX(周转筐出入库明细!$W$4:$W$2004,$Z85-2000)),IF($Z85&lt;=5200,IF(INDEX(客户自备加工筐明细!$L$4:$L$1203,$Z85-4000)=0,"",INDEX(客户自备加工筐明细!$L$4:$L$1203,$Z85-4000)),IF($Z85&lt;=5800,IF(INDEX(次果筐明细!$P$4:$P$603,$Z85-5200)=0,"",INDEX(次果筐明细!$P$4:$P$603,$Z85-5200)),"")))))</f>
        <v/>
      </c>
      <c r="N85" s="16" t="str">
        <f>IF($Z85="","",IF($Z85&lt;=2000,"",IF($Z85&lt;=4000,IF(INDEX(周转筐出入库明细!$D$4:$D$2004,$Z85-2000)=0,"",INDEX(周转筐出入库明细!$D$4:$D$2004,$Z85-2000)),IF($Z85&lt;=5200,IF(INDEX(客户自备加工筐明细!$C$4:$C$1203,$Z85-4000)=0,"",INDEX(客户自备加工筐明细!$C$4:$C$1203,$Z85-4000)),IF($Z85&lt;=5800,IF(INDEX(次果筐明细!$D$4:$D$603,$Z85-5200)=0,"",INDEX(次果筐明细!$D$4:$D$603,$Z85-5200)),"")))))</f>
        <v>公司一次性筐</v>
      </c>
      <c r="O85" s="40">
        <f>IF($Z85="","",IF($Z85&lt;=2000,"",IF($Z85&lt;=4000,IF(N(INDEX(周转筐出入库明细!$J$4:$J$2004,$Z85-2000))+N(INDEX(周转筐出入库明细!$K$4:$K$2004,$Z85-2000))=0,"",N(INDEX(周转筐出入库明细!$J$4:$J$2004,$Z85-2000))+N(INDEX(周转筐出入库明细!$K$4:$K$2004,$Z85-2000))),IF($Z85&lt;=5200,IF(N(INDEX(客户自备加工筐明细!$G$4:$G$1203,$Z85-4000))=0,"",N(INDEX(客户自备加工筐明细!$G$4:$G$1203,$Z85-4000))),IF($Z85&lt;=5800,IF(ISNUMBER(SEARCH("退",INDEX(次果筐明细!$F$4:$F$603,$Z85-5200)&amp;"")),"",IF(N(INDEX(次果筐明细!$G$4:$G$603,$Z85-5200))=0,"",N(INDEX(次果筐明细!$G$4:$G$603,$Z85-5200)))),"")))))</f>
        <v>423</v>
      </c>
      <c r="P85" s="40" t="str">
        <f>IF($Z85="","",IF($Z85&lt;=2000,"",IF($Z85&lt;=4000,IF(N(INDEX(周转筐出入库明细!$I$4:$I$2004,$Z85-2000))=0,"",N(INDEX(周转筐出入库明细!$I$4:$I$2004,$Z85-2000))),IF($Z85&lt;=5200,"",IF($Z85&lt;=5800,IF(ISNUMBER(SEARCH("退",INDEX(次果筐明细!$F$4:$F$603,$Z85-5200)&amp;"")),IF(N(INDEX(次果筐明细!$G$4:$G$603,$Z85-5200))=0,"",N(INDEX(次果筐明细!$G$4:$G$603,$Z85-5200))),""),"")))))</f>
        <v/>
      </c>
      <c r="Q85" s="40" t="str">
        <f>IF($Z85="","",IF($Z85&lt;=2000,"",IF($Z85&lt;=4000,IF(N(INDEX(周转筐出入库明细!$H$4:$H$2004,$Z85-2000))=0,"",N(INDEX(周转筐出入库明细!$H$4:$H$2004,$Z85-2000))),IF($Z85&lt;=5200,IF(N(INDEX(客户自备加工筐明细!$F$4:$F$1203,$Z85-4000))=0,"",N(INDEX(客户自备加工筐明细!$F$4:$F$1203,$Z85-4000))),IF($Z85&lt;=5800,"","")))))</f>
        <v/>
      </c>
      <c r="R85" s="16" t="str">
        <f>IF($Z85="","",IF($Z85&lt;=2000,IF(INDEX(包装物料出入库明细!$O$4:$O$2003,$Z85-0)=0,"",INDEX(包装物料出入库明细!$O$4:$O$2003,$Z85-0)),IF($Z85&lt;=4000,IF(INDEX(周转筐出入库明细!$M$4:$M$2004,$Z85-2000)=0,"",INDEX(周转筐出入库明细!$M$4:$M$2004,$Z85-2000)),IF($Z85&lt;=5200,IF(INDEX(客户自备加工筐明细!$H$4:$H$1203,$Z85-4000)=0,"",INDEX(客户自备加工筐明细!$H$4:$H$1203,$Z85-4000)),IF($Z85&lt;=5800,IF(INDEX(次果筐明细!$H$4:$H$603,$Z85-5200)=0,"",INDEX(次果筐明细!$H$4:$H$603,$Z85-5200)),"")))))</f>
        <v>豫L*88X19</v>
      </c>
      <c r="S85" s="22" t="str">
        <f t="shared" si="5"/>
        <v>公司筐</v>
      </c>
      <c r="Z85" s="10">
        <f>IFERROR(MATCH(ROW()-3,_自动清单!$CQ$4:$CQ$5803,0),"")</f>
        <v>2049</v>
      </c>
    </row>
    <row r="86" spans="1:26">
      <c r="A86" s="24">
        <f t="shared" si="3"/>
        <v>83</v>
      </c>
      <c r="B86" s="38">
        <f>IF($Z86="","",IF($Z86&lt;=2000,IF(INDEX(包装物料出入库明细!$B$4:$B$2003,$Z86-0)=0,"",INDEX(包装物料出入库明细!$B$4:$B$2003,$Z86-0)),IF($Z86&lt;=4000,IF(INDEX(周转筐出入库明细!$B$4:$B$2004,$Z86-2000)=0,"",INDEX(周转筐出入库明细!$B$4:$B$2004,$Z86-2000)),IF($Z86&lt;=5200,IF(INDEX(客户自备加工筐明细!$B$4:$B$1203,$Z86-4000)=0,"",INDEX(客户自备加工筐明细!$B$4:$B$1203,$Z86-4000)),IF($Z86&lt;=5800,IF(INDEX(次果筐明细!$B$4:$B$603,$Z86-5200)=0,"",INDEX(次果筐明细!$B$4:$B$603,$Z86-5200)),"")))))</f>
        <v>46275</v>
      </c>
      <c r="C86" s="37" t="str">
        <f>IF($Z86="","",IF($Z86&lt;=2000,IF(INDEX(包装物料出入库明细!$D$4:$D$2003,$Z86-0)=0,"",INDEX(包装物料出入库明细!$D$4:$D$2003,$Z86-0)),IF($Z86&lt;=4000,IF(INDEX(周转筐出入库明细!$C$4:$C$2004,$Z86-2000)=0,"",INDEX(周转筐出入库明细!$C$4:$C$2004,$Z86-2000)),IF($Z86&lt;=5200,IF(INDEX(客户自备加工筐明细!$E$4:$E$1203,$Z86-4000)=0,"",INDEX(客户自备加工筐明细!$E$4:$E$1203,$Z86-4000)),IF($Z86&lt;=5800,IF(INDEX(次果筐明细!$C$4:$C$603,$Z86-5200)=0,"",INDEX(次果筐明细!$C$4:$C$603,$Z86-5200)),"")))))</f>
        <v>全修塑业</v>
      </c>
      <c r="D86" s="37" t="str">
        <f>IF($Z86="","",IF($Z86&lt;=2000,"包装物料－"&amp;INDEX(包装物料出入库明细!$H$4:$H$2003,$Z86-0),IF($Z86&lt;=4000,"周转筐－"&amp;INDEX(周转筐出入库明细!$F$4:$F$2004,$Z86-2000),IF($Z86&lt;=5200,"客户自备筐－"&amp;INDEX(客户自备加工筐明细!$J$4:$J$1203,$Z86-4000),IF($Z86&lt;=5800,"次果筐/托盘－"&amp;INDEX(次果筐明细!$F$4:$F$603,$Z86-5200),"")))))</f>
        <v>周转筐－采购入库</v>
      </c>
      <c r="E86" s="24" t="str">
        <f>IF($Z86="","",IF($Z86&lt;=2000,IF(INDEX(包装物料出入库明细!$C$4:$C$2003,$Z86-0)=0,"",INDEX(包装物料出入库明细!$C$4:$C$2003,$Z86-0)),IF($Z86&lt;=4000,IF(INDEX(周转筐出入库明细!$E$4:$E$2004,$Z86-2000)=0,"",INDEX(周转筐出入库明细!$E$4:$E$2004,$Z86-2000)),IF($Z86&lt;=5200,IF(INDEX(客户自备加工筐明细!$D$4:$D$1203,$Z86-4000)=0,"",INDEX(客户自备加工筐明细!$D$4:$D$1203,$Z86-4000)),IF($Z86&lt;=5800,IF(INDEX(次果筐明细!$E$4:$E$603,$Z86-5200)=0,"",INDEX(次果筐明细!$E$4:$E$603,$Z86-5200)),"")))))</f>
        <v>NO:0000771</v>
      </c>
      <c r="F86" s="24" t="str">
        <f>IF($Z86="","",IF($Z86&lt;=2000,IF(INDEX(包装物料出入库明细!$E$4:$E$2003,$Z86-0)=0,"",INDEX(包装物料出入库明细!$E$4:$E$2003,$Z86-0)),IF($Z86&lt;=4000,IF(INDEX(周转筐出入库明细!$D$4:$D$2004,$Z86-2000)=0,"",INDEX(周转筐出入库明细!$D$4:$D$2004,$Z86-2000)),IF($Z86&lt;=5200,IF(INDEX(客户自备加工筐明细!$C$4:$C$1203,$Z86-4000)=0,"",INDEX(客户自备加工筐明细!$C$4:$C$1203,$Z86-4000)),IF($Z86&lt;=5800,IF(INDEX(次果筐明细!$D$4:$D$603,$Z86-5200)=0,"",INDEX(次果筐明细!$D$4:$D$603,$Z86-5200)),"")))))</f>
        <v>公司红周转筐</v>
      </c>
      <c r="G86" s="24" t="str">
        <f>IF($Z86="","",IF($Z86&lt;=2000,IF(INDEX(包装物料出入库明细!$F$4:$F$2003,$Z86-0)=0,"",INDEX(包装物料出入库明细!$F$4:$F$2003,$Z86-0)),IF($Z86&lt;=4000,"",IF($Z86&lt;=5200,"",IF($Z86&lt;=5800,"","")))))</f>
        <v/>
      </c>
      <c r="H86" s="39">
        <f>IF($Z86="","",IF($Z86&lt;=2000,IF(INDEX(包装物料出入库明细!$L$4:$L$2003,$Z86-0)=0,"",INDEX(包装物料出入库明细!$L$4:$L$2003,$Z86-0)),IF($Z86&lt;=4000,N(INDEX(周转筐出入库明细!$H$4:$H$2004,$Z86-2000))+N(INDEX(周转筐出入库明细!$I$4:$I$2004,$Z86-2000))+N(INDEX(周转筐出入库明细!$J$4:$J$2004,$Z86-2000))+N(INDEX(周转筐出入库明细!$K$4:$K$2004,$Z86-2000)),IF($Z86&lt;=5200,N(INDEX(客户自备加工筐明细!$F$4:$F$1203,$Z86-4000))+N(INDEX(客户自备加工筐明细!$G$4:$G$1203,$Z86-4000)),IF($Z86&lt;=5800,IF(INDEX(次果筐明细!$G$4:$G$603,$Z86-5200)=0,"",INDEX(次果筐明细!$G$4:$G$603,$Z86-5200)),"")))))</f>
        <v>960</v>
      </c>
      <c r="I86" s="24" t="str">
        <f>IF($Z86="","",IF($Z86&lt;=2000,IF(INDEX(包装物料出入库明细!$G$4:$G$2003,$Z86-0)=0,"",INDEX(包装物料出入库明细!$G$4:$G$2003,$Z86-0)),IF($Z86&lt;=4000,"个",IF($Z86&lt;=5200,"个",IF($Z86&lt;=5800,"个","")))))</f>
        <v>个</v>
      </c>
      <c r="J86" s="30" t="str">
        <f t="shared" si="4"/>
        <v/>
      </c>
      <c r="K86" s="30">
        <f>IF($Z86="","",IF($Z86&lt;=2000,IF(INDEX(包装物料出入库明细!$N$4:$N$2003,$Z86-0)=0,"",INDEX(包装物料出入库明细!$N$4:$N$2003,$Z86-0)),IF($Z86&lt;=4000,IF(INDEX(周转筐出入库明细!$P$4:$P$2004,$Z86-2000)=0,"",INDEX(周转筐出入库明细!$P$4:$P$2004,$Z86-2000)),IF($Z86&lt;=5200,"",IF($Z86&lt;=5800,N(INDEX(次果筐明细!$L$4:$L$603,$Z86-5200))+N(INDEX(次果筐明细!$J$4:$J$603,$Z86-5200)),"")))))</f>
        <v>9600</v>
      </c>
      <c r="L86" s="24" t="str">
        <f>IF($Z86="","",IF($Z86&lt;=2000,IF(INDEX(包装物料出入库明细!$P$4:$P$2003,$Z86-0)=0,"",INDEX(包装物料出入库明细!$P$4:$P$2003,$Z86-0)),IF($Z86&lt;=4000,IF(INDEX(周转筐出入库明细!$Q$4:$Q$2004,$Z86-2000)=0,"",INDEX(周转筐出入库明细!$Q$4:$Q$2004,$Z86-2000)),IF($Z86&lt;=5200,"",IF($Z86&lt;=5800,IF(INDEX(次果筐明细!$M$4:$M$603,$Z86-5200)=0,"",INDEX(次果筐明细!$M$4:$M$603,$Z86-5200)),"")))))</f>
        <v>未付款</v>
      </c>
      <c r="M86" s="37" t="str">
        <f>IF($Z86="","",IF($Z86&lt;=2000,IF(INDEX(包装物料出入库明细!$R$4:$R$2003,$Z86-0)=0,"",INDEX(包装物料出入库明细!$R$4:$R$2003,$Z86-0)),IF($Z86&lt;=4000,IF(INDEX(周转筐出入库明细!$W$4:$W$2004,$Z86-2000)=0,"",INDEX(周转筐出入库明细!$W$4:$W$2004,$Z86-2000)),IF($Z86&lt;=5200,IF(INDEX(客户自备加工筐明细!$L$4:$L$1203,$Z86-4000)=0,"",INDEX(客户自备加工筐明细!$L$4:$L$1203,$Z86-4000)),IF($Z86&lt;=5800,IF(INDEX(次果筐明细!$P$4:$P$603,$Z86-5200)=0,"",INDEX(次果筐明细!$P$4:$P$603,$Z86-5200)),"")))))</f>
        <v>NO:0017204</v>
      </c>
      <c r="N86" s="16" t="str">
        <f>IF($Z86="","",IF($Z86&lt;=2000,"",IF($Z86&lt;=4000,IF(INDEX(周转筐出入库明细!$D$4:$D$2004,$Z86-2000)=0,"",INDEX(周转筐出入库明细!$D$4:$D$2004,$Z86-2000)),IF($Z86&lt;=5200,IF(INDEX(客户自备加工筐明细!$C$4:$C$1203,$Z86-4000)=0,"",INDEX(客户自备加工筐明细!$C$4:$C$1203,$Z86-4000)),IF($Z86&lt;=5800,IF(INDEX(次果筐明细!$D$4:$D$603,$Z86-5200)=0,"",INDEX(次果筐明细!$D$4:$D$603,$Z86-5200)),"")))))</f>
        <v>公司红周转筐</v>
      </c>
      <c r="O86" s="40" t="str">
        <f>IF($Z86="","",IF($Z86&lt;=2000,"",IF($Z86&lt;=4000,IF(N(INDEX(周转筐出入库明细!$J$4:$J$2004,$Z86-2000))+N(INDEX(周转筐出入库明细!$K$4:$K$2004,$Z86-2000))=0,"",N(INDEX(周转筐出入库明细!$J$4:$J$2004,$Z86-2000))+N(INDEX(周转筐出入库明细!$K$4:$K$2004,$Z86-2000))),IF($Z86&lt;=5200,IF(N(INDEX(客户自备加工筐明细!$G$4:$G$1203,$Z86-4000))=0,"",N(INDEX(客户自备加工筐明细!$G$4:$G$1203,$Z86-4000))),IF($Z86&lt;=5800,IF(ISNUMBER(SEARCH("退",INDEX(次果筐明细!$F$4:$F$603,$Z86-5200)&amp;"")),"",IF(N(INDEX(次果筐明细!$G$4:$G$603,$Z86-5200))=0,"",N(INDEX(次果筐明细!$G$4:$G$603,$Z86-5200)))),"")))))</f>
        <v/>
      </c>
      <c r="P86" s="40" t="str">
        <f>IF($Z86="","",IF($Z86&lt;=2000,"",IF($Z86&lt;=4000,IF(N(INDEX(周转筐出入库明细!$I$4:$I$2004,$Z86-2000))=0,"",N(INDEX(周转筐出入库明细!$I$4:$I$2004,$Z86-2000))),IF($Z86&lt;=5200,"",IF($Z86&lt;=5800,IF(ISNUMBER(SEARCH("退",INDEX(次果筐明细!$F$4:$F$603,$Z86-5200)&amp;"")),IF(N(INDEX(次果筐明细!$G$4:$G$603,$Z86-5200))=0,"",N(INDEX(次果筐明细!$G$4:$G$603,$Z86-5200))),""),"")))))</f>
        <v/>
      </c>
      <c r="Q86" s="40">
        <f>IF($Z86="","",IF($Z86&lt;=2000,"",IF($Z86&lt;=4000,IF(N(INDEX(周转筐出入库明细!$H$4:$H$2004,$Z86-2000))=0,"",N(INDEX(周转筐出入库明细!$H$4:$H$2004,$Z86-2000))),IF($Z86&lt;=5200,IF(N(INDEX(客户自备加工筐明细!$F$4:$F$1203,$Z86-4000))=0,"",N(INDEX(客户自备加工筐明细!$F$4:$F$1203,$Z86-4000))),IF($Z86&lt;=5800,"","")))))</f>
        <v>960</v>
      </c>
      <c r="R86" s="16" t="str">
        <f>IF($Z86="","",IF($Z86&lt;=2000,IF(INDEX(包装物料出入库明细!$O$4:$O$2003,$Z86-0)=0,"",INDEX(包装物料出入库明细!$O$4:$O$2003,$Z86-0)),IF($Z86&lt;=4000,IF(INDEX(周转筐出入库明细!$M$4:$M$2004,$Z86-2000)=0,"",INDEX(周转筐出入库明细!$M$4:$M$2004,$Z86-2000)),IF($Z86&lt;=5200,IF(INDEX(客户自备加工筐明细!$H$4:$H$1203,$Z86-4000)=0,"",INDEX(客户自备加工筐明细!$H$4:$H$1203,$Z86-4000)),IF($Z86&lt;=5800,IF(INDEX(次果筐明细!$H$4:$H$603,$Z86-5200)=0,"",INDEX(次果筐明细!$H$4:$H$603,$Z86-5200)),"")))))</f>
        <v>新N*49209</v>
      </c>
      <c r="S86" s="22" t="str">
        <f t="shared" si="5"/>
        <v>公司筐</v>
      </c>
      <c r="Z86" s="10">
        <f>IFERROR(MATCH(ROW()-3,_自动清单!$CQ$4:$CQ$5803,0),"")</f>
        <v>2050</v>
      </c>
    </row>
    <row r="87" spans="1:26">
      <c r="A87" s="24">
        <f t="shared" si="3"/>
        <v>84</v>
      </c>
      <c r="B87" s="38">
        <f>IF($Z87="","",IF($Z87&lt;=2000,IF(INDEX(包装物料出入库明细!$B$4:$B$2003,$Z87-0)=0,"",INDEX(包装物料出入库明细!$B$4:$B$2003,$Z87-0)),IF($Z87&lt;=4000,IF(INDEX(周转筐出入库明细!$B$4:$B$2004,$Z87-2000)=0,"",INDEX(周转筐出入库明细!$B$4:$B$2004,$Z87-2000)),IF($Z87&lt;=5200,IF(INDEX(客户自备加工筐明细!$B$4:$B$1203,$Z87-4000)=0,"",INDEX(客户自备加工筐明细!$B$4:$B$1203,$Z87-4000)),IF($Z87&lt;=5800,IF(INDEX(次果筐明细!$B$4:$B$603,$Z87-5200)=0,"",INDEX(次果筐明细!$B$4:$B$603,$Z87-5200)),"")))))</f>
        <v>46275</v>
      </c>
      <c r="C87" s="37" t="str">
        <f>IF($Z87="","",IF($Z87&lt;=2000,IF(INDEX(包装物料出入库明细!$D$4:$D$2003,$Z87-0)=0,"",INDEX(包装物料出入库明细!$D$4:$D$2003,$Z87-0)),IF($Z87&lt;=4000,IF(INDEX(周转筐出入库明细!$C$4:$C$2004,$Z87-2000)=0,"",INDEX(周转筐出入库明细!$C$4:$C$2004,$Z87-2000)),IF($Z87&lt;=5200,IF(INDEX(客户自备加工筐明细!$E$4:$E$1203,$Z87-4000)=0,"",INDEX(客户自备加工筐明细!$E$4:$E$1203,$Z87-4000)),IF($Z87&lt;=5800,IF(INDEX(次果筐明细!$C$4:$C$603,$Z87-5200)=0,"",INDEX(次果筐明细!$C$4:$C$603,$Z87-5200)),"")))))</f>
        <v>王灵云</v>
      </c>
      <c r="D87" s="37" t="str">
        <f>IF($Z87="","",IF($Z87&lt;=2000,"包装物料－"&amp;INDEX(包装物料出入库明细!$H$4:$H$2003,$Z87-0),IF($Z87&lt;=4000,"周转筐－"&amp;INDEX(周转筐出入库明细!$F$4:$F$2004,$Z87-2000),IF($Z87&lt;=5200,"客户自备筐－"&amp;INDEX(客户自备加工筐明细!$J$4:$J$1203,$Z87-4000),IF($Z87&lt;=5800,"次果筐/托盘－"&amp;INDEX(次果筐明细!$F$4:$F$603,$Z87-5200),"")))))</f>
        <v>周转筐－领用出库</v>
      </c>
      <c r="E87" s="24" t="str">
        <f>IF($Z87="","",IF($Z87&lt;=2000,IF(INDEX(包装物料出入库明细!$C$4:$C$2003,$Z87-0)=0,"",INDEX(包装物料出入库明细!$C$4:$C$2003,$Z87-0)),IF($Z87&lt;=4000,IF(INDEX(周转筐出入库明细!$E$4:$E$2004,$Z87-2000)=0,"",INDEX(周转筐出入库明细!$E$4:$E$2004,$Z87-2000)),IF($Z87&lt;=5200,IF(INDEX(客户自备加工筐明细!$D$4:$D$1203,$Z87-4000)=0,"",INDEX(客户自备加工筐明细!$D$4:$D$1203,$Z87-4000)),IF($Z87&lt;=5800,IF(INDEX(次果筐明细!$E$4:$E$603,$Z87-5200)=0,"",INDEX(次果筐明细!$E$4:$E$603,$Z87-5200)),"")))))</f>
        <v>NO:0001108</v>
      </c>
      <c r="F87" s="24" t="str">
        <f>IF($Z87="","",IF($Z87&lt;=2000,IF(INDEX(包装物料出入库明细!$E$4:$E$2003,$Z87-0)=0,"",INDEX(包装物料出入库明细!$E$4:$E$2003,$Z87-0)),IF($Z87&lt;=4000,IF(INDEX(周转筐出入库明细!$D$4:$D$2004,$Z87-2000)=0,"",INDEX(周转筐出入库明细!$D$4:$D$2004,$Z87-2000)),IF($Z87&lt;=5200,IF(INDEX(客户自备加工筐明细!$C$4:$C$1203,$Z87-4000)=0,"",INDEX(客户自备加工筐明细!$C$4:$C$1203,$Z87-4000)),IF($Z87&lt;=5800,IF(INDEX(次果筐明细!$D$4:$D$603,$Z87-5200)=0,"",INDEX(次果筐明细!$D$4:$D$603,$Z87-5200)),"")))))</f>
        <v>公司红周转筐</v>
      </c>
      <c r="G87" s="24" t="str">
        <f>IF($Z87="","",IF($Z87&lt;=2000,IF(INDEX(包装物料出入库明细!$F$4:$F$2003,$Z87-0)=0,"",INDEX(包装物料出入库明细!$F$4:$F$2003,$Z87-0)),IF($Z87&lt;=4000,"",IF($Z87&lt;=5200,"",IF($Z87&lt;=5800,"","")))))</f>
        <v/>
      </c>
      <c r="H87" s="39">
        <f>IF($Z87="","",IF($Z87&lt;=2000,IF(INDEX(包装物料出入库明细!$L$4:$L$2003,$Z87-0)=0,"",INDEX(包装物料出入库明细!$L$4:$L$2003,$Z87-0)),IF($Z87&lt;=4000,N(INDEX(周转筐出入库明细!$H$4:$H$2004,$Z87-2000))+N(INDEX(周转筐出入库明细!$I$4:$I$2004,$Z87-2000))+N(INDEX(周转筐出入库明细!$J$4:$J$2004,$Z87-2000))+N(INDEX(周转筐出入库明细!$K$4:$K$2004,$Z87-2000)),IF($Z87&lt;=5200,N(INDEX(客户自备加工筐明细!$F$4:$F$1203,$Z87-4000))+N(INDEX(客户自备加工筐明细!$G$4:$G$1203,$Z87-4000)),IF($Z87&lt;=5800,IF(INDEX(次果筐明细!$G$4:$G$603,$Z87-5200)=0,"",INDEX(次果筐明细!$G$4:$G$603,$Z87-5200)),"")))))</f>
        <v>960</v>
      </c>
      <c r="I87" s="24" t="str">
        <f>IF($Z87="","",IF($Z87&lt;=2000,IF(INDEX(包装物料出入库明细!$G$4:$G$2003,$Z87-0)=0,"",INDEX(包装物料出入库明细!$G$4:$G$2003,$Z87-0)),IF($Z87&lt;=4000,"个",IF($Z87&lt;=5200,"个",IF($Z87&lt;=5800,"个","")))))</f>
        <v>个</v>
      </c>
      <c r="J87" s="30" t="str">
        <f t="shared" si="4"/>
        <v/>
      </c>
      <c r="K87" s="30" t="str">
        <f>IF($Z87="","",IF($Z87&lt;=2000,IF(INDEX(包装物料出入库明细!$N$4:$N$2003,$Z87-0)=0,"",INDEX(包装物料出入库明细!$N$4:$N$2003,$Z87-0)),IF($Z87&lt;=4000,IF(INDEX(周转筐出入库明细!$P$4:$P$2004,$Z87-2000)=0,"",INDEX(周转筐出入库明细!$P$4:$P$2004,$Z87-2000)),IF($Z87&lt;=5200,"",IF($Z87&lt;=5800,N(INDEX(次果筐明细!$L$4:$L$603,$Z87-5200))+N(INDEX(次果筐明细!$J$4:$J$603,$Z87-5200)),"")))))</f>
        <v/>
      </c>
      <c r="L87" s="24" t="str">
        <f>IF($Z87="","",IF($Z87&lt;=2000,IF(INDEX(包装物料出入库明细!$P$4:$P$2003,$Z87-0)=0,"",INDEX(包装物料出入库明细!$P$4:$P$2003,$Z87-0)),IF($Z87&lt;=4000,IF(INDEX(周转筐出入库明细!$Q$4:$Q$2004,$Z87-2000)=0,"",INDEX(周转筐出入库明细!$Q$4:$Q$2004,$Z87-2000)),IF($Z87&lt;=5200,"",IF($Z87&lt;=5800,IF(INDEX(次果筐明细!$M$4:$M$603,$Z87-5200)=0,"",INDEX(次果筐明细!$M$4:$M$603,$Z87-5200)),"")))))</f>
        <v/>
      </c>
      <c r="M87" s="37" t="str">
        <f>IF($Z87="","",IF($Z87&lt;=2000,IF(INDEX(包装物料出入库明细!$R$4:$R$2003,$Z87-0)=0,"",INDEX(包装物料出入库明细!$R$4:$R$2003,$Z87-0)),IF($Z87&lt;=4000,IF(INDEX(周转筐出入库明细!$W$4:$W$2004,$Z87-2000)=0,"",INDEX(周转筐出入库明细!$W$4:$W$2004,$Z87-2000)),IF($Z87&lt;=5200,IF(INDEX(客户自备加工筐明细!$L$4:$L$1203,$Z87-4000)=0,"",INDEX(客户自备加工筐明细!$L$4:$L$1203,$Z87-4000)),IF($Z87&lt;=5800,IF(INDEX(次果筐明细!$P$4:$P$603,$Z87-5200)=0,"",INDEX(次果筐明细!$P$4:$P$603,$Z87-5200)),"")))))</f>
        <v/>
      </c>
      <c r="N87" s="16" t="str">
        <f>IF($Z87="","",IF($Z87&lt;=2000,"",IF($Z87&lt;=4000,IF(INDEX(周转筐出入库明细!$D$4:$D$2004,$Z87-2000)=0,"",INDEX(周转筐出入库明细!$D$4:$D$2004,$Z87-2000)),IF($Z87&lt;=5200,IF(INDEX(客户自备加工筐明细!$C$4:$C$1203,$Z87-4000)=0,"",INDEX(客户自备加工筐明细!$C$4:$C$1203,$Z87-4000)),IF($Z87&lt;=5800,IF(INDEX(次果筐明细!$D$4:$D$603,$Z87-5200)=0,"",INDEX(次果筐明细!$D$4:$D$603,$Z87-5200)),"")))))</f>
        <v>公司红周转筐</v>
      </c>
      <c r="O87" s="40">
        <f>IF($Z87="","",IF($Z87&lt;=2000,"",IF($Z87&lt;=4000,IF(N(INDEX(周转筐出入库明细!$J$4:$J$2004,$Z87-2000))+N(INDEX(周转筐出入库明细!$K$4:$K$2004,$Z87-2000))=0,"",N(INDEX(周转筐出入库明细!$J$4:$J$2004,$Z87-2000))+N(INDEX(周转筐出入库明细!$K$4:$K$2004,$Z87-2000))),IF($Z87&lt;=5200,IF(N(INDEX(客户自备加工筐明细!$G$4:$G$1203,$Z87-4000))=0,"",N(INDEX(客户自备加工筐明细!$G$4:$G$1203,$Z87-4000))),IF($Z87&lt;=5800,IF(ISNUMBER(SEARCH("退",INDEX(次果筐明细!$F$4:$F$603,$Z87-5200)&amp;"")),"",IF(N(INDEX(次果筐明细!$G$4:$G$603,$Z87-5200))=0,"",N(INDEX(次果筐明细!$G$4:$G$603,$Z87-5200)))),"")))))</f>
        <v>960</v>
      </c>
      <c r="P87" s="40" t="str">
        <f>IF($Z87="","",IF($Z87&lt;=2000,"",IF($Z87&lt;=4000,IF(N(INDEX(周转筐出入库明细!$I$4:$I$2004,$Z87-2000))=0,"",N(INDEX(周转筐出入库明细!$I$4:$I$2004,$Z87-2000))),IF($Z87&lt;=5200,"",IF($Z87&lt;=5800,IF(ISNUMBER(SEARCH("退",INDEX(次果筐明细!$F$4:$F$603,$Z87-5200)&amp;"")),IF(N(INDEX(次果筐明细!$G$4:$G$603,$Z87-5200))=0,"",N(INDEX(次果筐明细!$G$4:$G$603,$Z87-5200))),""),"")))))</f>
        <v/>
      </c>
      <c r="Q87" s="40" t="str">
        <f>IF($Z87="","",IF($Z87&lt;=2000,"",IF($Z87&lt;=4000,IF(N(INDEX(周转筐出入库明细!$H$4:$H$2004,$Z87-2000))=0,"",N(INDEX(周转筐出入库明细!$H$4:$H$2004,$Z87-2000))),IF($Z87&lt;=5200,IF(N(INDEX(客户自备加工筐明细!$F$4:$F$1203,$Z87-4000))=0,"",N(INDEX(客户自备加工筐明细!$F$4:$F$1203,$Z87-4000))),IF($Z87&lt;=5800,"","")))))</f>
        <v/>
      </c>
      <c r="R87" s="16" t="str">
        <f>IF($Z87="","",IF($Z87&lt;=2000,IF(INDEX(包装物料出入库明细!$O$4:$O$2003,$Z87-0)=0,"",INDEX(包装物料出入库明细!$O$4:$O$2003,$Z87-0)),IF($Z87&lt;=4000,IF(INDEX(周转筐出入库明细!$M$4:$M$2004,$Z87-2000)=0,"",INDEX(周转筐出入库明细!$M$4:$M$2004,$Z87-2000)),IF($Z87&lt;=5200,IF(INDEX(客户自备加工筐明细!$H$4:$H$1203,$Z87-4000)=0,"",INDEX(客户自备加工筐明细!$H$4:$H$1203,$Z87-4000)),IF($Z87&lt;=5800,IF(INDEX(次果筐明细!$H$4:$H$603,$Z87-5200)=0,"",INDEX(次果筐明细!$H$4:$H$603,$Z87-5200)),"")))))</f>
        <v>新N*49209</v>
      </c>
      <c r="S87" s="22" t="str">
        <f t="shared" si="5"/>
        <v>公司筐</v>
      </c>
      <c r="Z87" s="10">
        <f>IFERROR(MATCH(ROW()-3,_自动清单!$CQ$4:$CQ$5803,0),"")</f>
        <v>2051</v>
      </c>
    </row>
    <row r="88" spans="1:26">
      <c r="A88" s="24">
        <f t="shared" si="3"/>
        <v>85</v>
      </c>
      <c r="B88" s="38">
        <f>IF($Z88="","",IF($Z88&lt;=2000,IF(INDEX(包装物料出入库明细!$B$4:$B$2003,$Z88-0)=0,"",INDEX(包装物料出入库明细!$B$4:$B$2003,$Z88-0)),IF($Z88&lt;=4000,IF(INDEX(周转筐出入库明细!$B$4:$B$2004,$Z88-2000)=0,"",INDEX(周转筐出入库明细!$B$4:$B$2004,$Z88-2000)),IF($Z88&lt;=5200,IF(INDEX(客户自备加工筐明细!$B$4:$B$1203,$Z88-4000)=0,"",INDEX(客户自备加工筐明细!$B$4:$B$1203,$Z88-4000)),IF($Z88&lt;=5800,IF(INDEX(次果筐明细!$B$4:$B$603,$Z88-5200)=0,"",INDEX(次果筐明细!$B$4:$B$603,$Z88-5200)),"")))))</f>
        <v>46275</v>
      </c>
      <c r="C88" s="37" t="str">
        <f>IF($Z88="","",IF($Z88&lt;=2000,IF(INDEX(包装物料出入库明细!$D$4:$D$2003,$Z88-0)=0,"",INDEX(包装物料出入库明细!$D$4:$D$2003,$Z88-0)),IF($Z88&lt;=4000,IF(INDEX(周转筐出入库明细!$C$4:$C$2004,$Z88-2000)=0,"",INDEX(周转筐出入库明细!$C$4:$C$2004,$Z88-2000)),IF($Z88&lt;=5200,IF(INDEX(客户自备加工筐明细!$E$4:$E$1203,$Z88-4000)=0,"",INDEX(客户自备加工筐明细!$E$4:$E$1203,$Z88-4000)),IF($Z88&lt;=5800,IF(INDEX(次果筐明细!$C$4:$C$603,$Z88-5200)=0,"",INDEX(次果筐明细!$C$4:$C$603,$Z88-5200)),"")))))</f>
        <v>全修塑业</v>
      </c>
      <c r="D88" s="37" t="str">
        <f>IF($Z88="","",IF($Z88&lt;=2000,"包装物料－"&amp;INDEX(包装物料出入库明细!$H$4:$H$2003,$Z88-0),IF($Z88&lt;=4000,"周转筐－"&amp;INDEX(周转筐出入库明细!$F$4:$F$2004,$Z88-2000),IF($Z88&lt;=5200,"客户自备筐－"&amp;INDEX(客户自备加工筐明细!$J$4:$J$1203,$Z88-4000),IF($Z88&lt;=5800,"次果筐/托盘－"&amp;INDEX(次果筐明细!$F$4:$F$603,$Z88-5200),"")))))</f>
        <v>周转筐－采购入库</v>
      </c>
      <c r="E88" s="24" t="str">
        <f>IF($Z88="","",IF($Z88&lt;=2000,IF(INDEX(包装物料出入库明细!$C$4:$C$2003,$Z88-0)=0,"",INDEX(包装物料出入库明细!$C$4:$C$2003,$Z88-0)),IF($Z88&lt;=4000,IF(INDEX(周转筐出入库明细!$E$4:$E$2004,$Z88-2000)=0,"",INDEX(周转筐出入库明细!$E$4:$E$2004,$Z88-2000)),IF($Z88&lt;=5200,IF(INDEX(客户自备加工筐明细!$D$4:$D$1203,$Z88-4000)=0,"",INDEX(客户自备加工筐明细!$D$4:$D$1203,$Z88-4000)),IF($Z88&lt;=5800,IF(INDEX(次果筐明细!$E$4:$E$603,$Z88-5200)=0,"",INDEX(次果筐明细!$E$4:$E$603,$Z88-5200)),"")))))</f>
        <v>NO:0000774</v>
      </c>
      <c r="F88" s="24" t="str">
        <f>IF($Z88="","",IF($Z88&lt;=2000,IF(INDEX(包装物料出入库明细!$E$4:$E$2003,$Z88-0)=0,"",INDEX(包装物料出入库明细!$E$4:$E$2003,$Z88-0)),IF($Z88&lt;=4000,IF(INDEX(周转筐出入库明细!$D$4:$D$2004,$Z88-2000)=0,"",INDEX(周转筐出入库明细!$D$4:$D$2004,$Z88-2000)),IF($Z88&lt;=5200,IF(INDEX(客户自备加工筐明细!$C$4:$C$1203,$Z88-4000)=0,"",INDEX(客户自备加工筐明细!$C$4:$C$1203,$Z88-4000)),IF($Z88&lt;=5800,IF(INDEX(次果筐明细!$D$4:$D$603,$Z88-5200)=0,"",INDEX(次果筐明细!$D$4:$D$603,$Z88-5200)),"")))))</f>
        <v>公司红周转筐</v>
      </c>
      <c r="G88" s="24" t="str">
        <f>IF($Z88="","",IF($Z88&lt;=2000,IF(INDEX(包装物料出入库明细!$F$4:$F$2003,$Z88-0)=0,"",INDEX(包装物料出入库明细!$F$4:$F$2003,$Z88-0)),IF($Z88&lt;=4000,"",IF($Z88&lt;=5200,"",IF($Z88&lt;=5800,"","")))))</f>
        <v/>
      </c>
      <c r="H88" s="39">
        <f>IF($Z88="","",IF($Z88&lt;=2000,IF(INDEX(包装物料出入库明细!$L$4:$L$2003,$Z88-0)=0,"",INDEX(包装物料出入库明细!$L$4:$L$2003,$Z88-0)),IF($Z88&lt;=4000,N(INDEX(周转筐出入库明细!$H$4:$H$2004,$Z88-2000))+N(INDEX(周转筐出入库明细!$I$4:$I$2004,$Z88-2000))+N(INDEX(周转筐出入库明细!$J$4:$J$2004,$Z88-2000))+N(INDEX(周转筐出入库明细!$K$4:$K$2004,$Z88-2000)),IF($Z88&lt;=5200,N(INDEX(客户自备加工筐明细!$F$4:$F$1203,$Z88-4000))+N(INDEX(客户自备加工筐明细!$G$4:$G$1203,$Z88-4000)),IF($Z88&lt;=5800,IF(INDEX(次果筐明细!$G$4:$G$603,$Z88-5200)=0,"",INDEX(次果筐明细!$G$4:$G$603,$Z88-5200)),"")))))</f>
        <v>369</v>
      </c>
      <c r="I88" s="24" t="str">
        <f>IF($Z88="","",IF($Z88&lt;=2000,IF(INDEX(包装物料出入库明细!$G$4:$G$2003,$Z88-0)=0,"",INDEX(包装物料出入库明细!$G$4:$G$2003,$Z88-0)),IF($Z88&lt;=4000,"个",IF($Z88&lt;=5200,"个",IF($Z88&lt;=5800,"个","")))))</f>
        <v>个</v>
      </c>
      <c r="J88" s="30" t="str">
        <f t="shared" si="4"/>
        <v/>
      </c>
      <c r="K88" s="30">
        <f>IF($Z88="","",IF($Z88&lt;=2000,IF(INDEX(包装物料出入库明细!$N$4:$N$2003,$Z88-0)=0,"",INDEX(包装物料出入库明细!$N$4:$N$2003,$Z88-0)),IF($Z88&lt;=4000,IF(INDEX(周转筐出入库明细!$P$4:$P$2004,$Z88-2000)=0,"",INDEX(周转筐出入库明细!$P$4:$P$2004,$Z88-2000)),IF($Z88&lt;=5200,"",IF($Z88&lt;=5800,N(INDEX(次果筐明细!$L$4:$L$603,$Z88-5200))+N(INDEX(次果筐明细!$J$4:$J$603,$Z88-5200)),"")))))</f>
        <v>3690</v>
      </c>
      <c r="L88" s="24" t="str">
        <f>IF($Z88="","",IF($Z88&lt;=2000,IF(INDEX(包装物料出入库明细!$P$4:$P$2003,$Z88-0)=0,"",INDEX(包装物料出入库明细!$P$4:$P$2003,$Z88-0)),IF($Z88&lt;=4000,IF(INDEX(周转筐出入库明细!$Q$4:$Q$2004,$Z88-2000)=0,"",INDEX(周转筐出入库明细!$Q$4:$Q$2004,$Z88-2000)),IF($Z88&lt;=5200,"",IF($Z88&lt;=5800,IF(INDEX(次果筐明细!$M$4:$M$603,$Z88-5200)=0,"",INDEX(次果筐明细!$M$4:$M$603,$Z88-5200)),"")))))</f>
        <v>未付款</v>
      </c>
      <c r="M88" s="37" t="str">
        <f>IF($Z88="","",IF($Z88&lt;=2000,IF(INDEX(包装物料出入库明细!$R$4:$R$2003,$Z88-0)=0,"",INDEX(包装物料出入库明细!$R$4:$R$2003,$Z88-0)),IF($Z88&lt;=4000,IF(INDEX(周转筐出入库明细!$W$4:$W$2004,$Z88-2000)=0,"",INDEX(周转筐出入库明细!$W$4:$W$2004,$Z88-2000)),IF($Z88&lt;=5200,IF(INDEX(客户自备加工筐明细!$L$4:$L$1203,$Z88-4000)=0,"",INDEX(客户自备加工筐明细!$L$4:$L$1203,$Z88-4000)),IF($Z88&lt;=5800,IF(INDEX(次果筐明细!$P$4:$P$603,$Z88-5200)=0,"",INDEX(次果筐明细!$P$4:$P$603,$Z88-5200)),"")))))</f>
        <v>NO:0017205</v>
      </c>
      <c r="N88" s="16" t="str">
        <f>IF($Z88="","",IF($Z88&lt;=2000,"",IF($Z88&lt;=4000,IF(INDEX(周转筐出入库明细!$D$4:$D$2004,$Z88-2000)=0,"",INDEX(周转筐出入库明细!$D$4:$D$2004,$Z88-2000)),IF($Z88&lt;=5200,IF(INDEX(客户自备加工筐明细!$C$4:$C$1203,$Z88-4000)=0,"",INDEX(客户自备加工筐明细!$C$4:$C$1203,$Z88-4000)),IF($Z88&lt;=5800,IF(INDEX(次果筐明细!$D$4:$D$603,$Z88-5200)=0,"",INDEX(次果筐明细!$D$4:$D$603,$Z88-5200)),"")))))</f>
        <v>公司红周转筐</v>
      </c>
      <c r="O88" s="40" t="str">
        <f>IF($Z88="","",IF($Z88&lt;=2000,"",IF($Z88&lt;=4000,IF(N(INDEX(周转筐出入库明细!$J$4:$J$2004,$Z88-2000))+N(INDEX(周转筐出入库明细!$K$4:$K$2004,$Z88-2000))=0,"",N(INDEX(周转筐出入库明细!$J$4:$J$2004,$Z88-2000))+N(INDEX(周转筐出入库明细!$K$4:$K$2004,$Z88-2000))),IF($Z88&lt;=5200,IF(N(INDEX(客户自备加工筐明细!$G$4:$G$1203,$Z88-4000))=0,"",N(INDEX(客户自备加工筐明细!$G$4:$G$1203,$Z88-4000))),IF($Z88&lt;=5800,IF(ISNUMBER(SEARCH("退",INDEX(次果筐明细!$F$4:$F$603,$Z88-5200)&amp;"")),"",IF(N(INDEX(次果筐明细!$G$4:$G$603,$Z88-5200))=0,"",N(INDEX(次果筐明细!$G$4:$G$603,$Z88-5200)))),"")))))</f>
        <v/>
      </c>
      <c r="P88" s="40" t="str">
        <f>IF($Z88="","",IF($Z88&lt;=2000,"",IF($Z88&lt;=4000,IF(N(INDEX(周转筐出入库明细!$I$4:$I$2004,$Z88-2000))=0,"",N(INDEX(周转筐出入库明细!$I$4:$I$2004,$Z88-2000))),IF($Z88&lt;=5200,"",IF($Z88&lt;=5800,IF(ISNUMBER(SEARCH("退",INDEX(次果筐明细!$F$4:$F$603,$Z88-5200)&amp;"")),IF(N(INDEX(次果筐明细!$G$4:$G$603,$Z88-5200))=0,"",N(INDEX(次果筐明细!$G$4:$G$603,$Z88-5200))),""),"")))))</f>
        <v/>
      </c>
      <c r="Q88" s="40">
        <f>IF($Z88="","",IF($Z88&lt;=2000,"",IF($Z88&lt;=4000,IF(N(INDEX(周转筐出入库明细!$H$4:$H$2004,$Z88-2000))=0,"",N(INDEX(周转筐出入库明细!$H$4:$H$2004,$Z88-2000))),IF($Z88&lt;=5200,IF(N(INDEX(客户自备加工筐明细!$F$4:$F$1203,$Z88-4000))=0,"",N(INDEX(客户自备加工筐明细!$F$4:$F$1203,$Z88-4000))),IF($Z88&lt;=5800,"","")))))</f>
        <v>369</v>
      </c>
      <c r="R88" s="16" t="str">
        <f>IF($Z88="","",IF($Z88&lt;=2000,IF(INDEX(包装物料出入库明细!$O$4:$O$2003,$Z88-0)=0,"",INDEX(包装物料出入库明细!$O$4:$O$2003,$Z88-0)),IF($Z88&lt;=4000,IF(INDEX(周转筐出入库明细!$M$4:$M$2004,$Z88-2000)=0,"",INDEX(周转筐出入库明细!$M$4:$M$2004,$Z88-2000)),IF($Z88&lt;=5200,IF(INDEX(客户自备加工筐明细!$H$4:$H$1203,$Z88-4000)=0,"",INDEX(客户自备加工筐明细!$H$4:$H$1203,$Z88-4000)),IF($Z88&lt;=5800,IF(INDEX(次果筐明细!$H$4:$H$603,$Z88-5200)=0,"",INDEX(次果筐明细!$H$4:$H$603,$Z88-5200)),"")))))</f>
        <v>新N*X8S48</v>
      </c>
      <c r="S88" s="22" t="str">
        <f t="shared" si="5"/>
        <v>公司筐</v>
      </c>
      <c r="Z88" s="10">
        <f>IFERROR(MATCH(ROW()-3,_自动清单!$CQ$4:$CQ$5803,0),"")</f>
        <v>2052</v>
      </c>
    </row>
    <row r="89" spans="1:26">
      <c r="A89" s="24">
        <f t="shared" si="3"/>
        <v>86</v>
      </c>
      <c r="B89" s="38">
        <f>IF($Z89="","",IF($Z89&lt;=2000,IF(INDEX(包装物料出入库明细!$B$4:$B$2003,$Z89-0)=0,"",INDEX(包装物料出入库明细!$B$4:$B$2003,$Z89-0)),IF($Z89&lt;=4000,IF(INDEX(周转筐出入库明细!$B$4:$B$2004,$Z89-2000)=0,"",INDEX(周转筐出入库明细!$B$4:$B$2004,$Z89-2000)),IF($Z89&lt;=5200,IF(INDEX(客户自备加工筐明细!$B$4:$B$1203,$Z89-4000)=0,"",INDEX(客户自备加工筐明细!$B$4:$B$1203,$Z89-4000)),IF($Z89&lt;=5800,IF(INDEX(次果筐明细!$B$4:$B$603,$Z89-5200)=0,"",INDEX(次果筐明细!$B$4:$B$603,$Z89-5200)),"")))))</f>
        <v>46275</v>
      </c>
      <c r="C89" s="37" t="str">
        <f>IF($Z89="","",IF($Z89&lt;=2000,IF(INDEX(包装物料出入库明细!$D$4:$D$2003,$Z89-0)=0,"",INDEX(包装物料出入库明细!$D$4:$D$2003,$Z89-0)),IF($Z89&lt;=4000,IF(INDEX(周转筐出入库明细!$C$4:$C$2004,$Z89-2000)=0,"",INDEX(周转筐出入库明细!$C$4:$C$2004,$Z89-2000)),IF($Z89&lt;=5200,IF(INDEX(客户自备加工筐明细!$E$4:$E$1203,$Z89-4000)=0,"",INDEX(客户自备加工筐明细!$E$4:$E$1203,$Z89-4000)),IF($Z89&lt;=5800,IF(INDEX(次果筐明细!$C$4:$C$603,$Z89-5200)=0,"",INDEX(次果筐明细!$C$4:$C$603,$Z89-5200)),"")))))</f>
        <v>吐尔洪</v>
      </c>
      <c r="D89" s="37" t="str">
        <f>IF($Z89="","",IF($Z89&lt;=2000,"包装物料－"&amp;INDEX(包装物料出入库明细!$H$4:$H$2003,$Z89-0),IF($Z89&lt;=4000,"周转筐－"&amp;INDEX(周转筐出入库明细!$F$4:$F$2004,$Z89-2000),IF($Z89&lt;=5200,"客户自备筐－"&amp;INDEX(客户自备加工筐明细!$J$4:$J$1203,$Z89-4000),IF($Z89&lt;=5800,"次果筐/托盘－"&amp;INDEX(次果筐明细!$F$4:$F$603,$Z89-5200),"")))))</f>
        <v>周转筐－领用出库</v>
      </c>
      <c r="E89" s="24" t="str">
        <f>IF($Z89="","",IF($Z89&lt;=2000,IF(INDEX(包装物料出入库明细!$C$4:$C$2003,$Z89-0)=0,"",INDEX(包装物料出入库明细!$C$4:$C$2003,$Z89-0)),IF($Z89&lt;=4000,IF(INDEX(周转筐出入库明细!$E$4:$E$2004,$Z89-2000)=0,"",INDEX(周转筐出入库明细!$E$4:$E$2004,$Z89-2000)),IF($Z89&lt;=5200,IF(INDEX(客户自备加工筐明细!$D$4:$D$1203,$Z89-4000)=0,"",INDEX(客户自备加工筐明细!$D$4:$D$1203,$Z89-4000)),IF($Z89&lt;=5800,IF(INDEX(次果筐明细!$E$4:$E$603,$Z89-5200)=0,"",INDEX(次果筐明细!$E$4:$E$603,$Z89-5200)),"")))))</f>
        <v>NO:0001110</v>
      </c>
      <c r="F89" s="24" t="str">
        <f>IF($Z89="","",IF($Z89&lt;=2000,IF(INDEX(包装物料出入库明细!$E$4:$E$2003,$Z89-0)=0,"",INDEX(包装物料出入库明细!$E$4:$E$2003,$Z89-0)),IF($Z89&lt;=4000,IF(INDEX(周转筐出入库明细!$D$4:$D$2004,$Z89-2000)=0,"",INDEX(周转筐出入库明细!$D$4:$D$2004,$Z89-2000)),IF($Z89&lt;=5200,IF(INDEX(客户自备加工筐明细!$C$4:$C$1203,$Z89-4000)=0,"",INDEX(客户自备加工筐明细!$C$4:$C$1203,$Z89-4000)),IF($Z89&lt;=5800,IF(INDEX(次果筐明细!$D$4:$D$603,$Z89-5200)=0,"",INDEX(次果筐明细!$D$4:$D$603,$Z89-5200)),"")))))</f>
        <v>公司红周转筐</v>
      </c>
      <c r="G89" s="24" t="str">
        <f>IF($Z89="","",IF($Z89&lt;=2000,IF(INDEX(包装物料出入库明细!$F$4:$F$2003,$Z89-0)=0,"",INDEX(包装物料出入库明细!$F$4:$F$2003,$Z89-0)),IF($Z89&lt;=4000,"",IF($Z89&lt;=5200,"",IF($Z89&lt;=5800,"","")))))</f>
        <v/>
      </c>
      <c r="H89" s="39">
        <f>IF($Z89="","",IF($Z89&lt;=2000,IF(INDEX(包装物料出入库明细!$L$4:$L$2003,$Z89-0)=0,"",INDEX(包装物料出入库明细!$L$4:$L$2003,$Z89-0)),IF($Z89&lt;=4000,N(INDEX(周转筐出入库明细!$H$4:$H$2004,$Z89-2000))+N(INDEX(周转筐出入库明细!$I$4:$I$2004,$Z89-2000))+N(INDEX(周转筐出入库明细!$J$4:$J$2004,$Z89-2000))+N(INDEX(周转筐出入库明细!$K$4:$K$2004,$Z89-2000)),IF($Z89&lt;=5200,N(INDEX(客户自备加工筐明细!$F$4:$F$1203,$Z89-4000))+N(INDEX(客户自备加工筐明细!$G$4:$G$1203,$Z89-4000)),IF($Z89&lt;=5800,IF(INDEX(次果筐明细!$G$4:$G$603,$Z89-5200)=0,"",INDEX(次果筐明细!$G$4:$G$603,$Z89-5200)),"")))))</f>
        <v>369</v>
      </c>
      <c r="I89" s="24" t="str">
        <f>IF($Z89="","",IF($Z89&lt;=2000,IF(INDEX(包装物料出入库明细!$G$4:$G$2003,$Z89-0)=0,"",INDEX(包装物料出入库明细!$G$4:$G$2003,$Z89-0)),IF($Z89&lt;=4000,"个",IF($Z89&lt;=5200,"个",IF($Z89&lt;=5800,"个","")))))</f>
        <v>个</v>
      </c>
      <c r="J89" s="30" t="str">
        <f t="shared" si="4"/>
        <v/>
      </c>
      <c r="K89" s="30" t="str">
        <f>IF($Z89="","",IF($Z89&lt;=2000,IF(INDEX(包装物料出入库明细!$N$4:$N$2003,$Z89-0)=0,"",INDEX(包装物料出入库明细!$N$4:$N$2003,$Z89-0)),IF($Z89&lt;=4000,IF(INDEX(周转筐出入库明细!$P$4:$P$2004,$Z89-2000)=0,"",INDEX(周转筐出入库明细!$P$4:$P$2004,$Z89-2000)),IF($Z89&lt;=5200,"",IF($Z89&lt;=5800,N(INDEX(次果筐明细!$L$4:$L$603,$Z89-5200))+N(INDEX(次果筐明细!$J$4:$J$603,$Z89-5200)),"")))))</f>
        <v/>
      </c>
      <c r="L89" s="24" t="str">
        <f>IF($Z89="","",IF($Z89&lt;=2000,IF(INDEX(包装物料出入库明细!$P$4:$P$2003,$Z89-0)=0,"",INDEX(包装物料出入库明细!$P$4:$P$2003,$Z89-0)),IF($Z89&lt;=4000,IF(INDEX(周转筐出入库明细!$Q$4:$Q$2004,$Z89-2000)=0,"",INDEX(周转筐出入库明细!$Q$4:$Q$2004,$Z89-2000)),IF($Z89&lt;=5200,"",IF($Z89&lt;=5800,IF(INDEX(次果筐明细!$M$4:$M$603,$Z89-5200)=0,"",INDEX(次果筐明细!$M$4:$M$603,$Z89-5200)),"")))))</f>
        <v/>
      </c>
      <c r="M89" s="37" t="str">
        <f>IF($Z89="","",IF($Z89&lt;=2000,IF(INDEX(包装物料出入库明细!$R$4:$R$2003,$Z89-0)=0,"",INDEX(包装物料出入库明细!$R$4:$R$2003,$Z89-0)),IF($Z89&lt;=4000,IF(INDEX(周转筐出入库明细!$W$4:$W$2004,$Z89-2000)=0,"",INDEX(周转筐出入库明细!$W$4:$W$2004,$Z89-2000)),IF($Z89&lt;=5200,IF(INDEX(客户自备加工筐明细!$L$4:$L$1203,$Z89-4000)=0,"",INDEX(客户自备加工筐明细!$L$4:$L$1203,$Z89-4000)),IF($Z89&lt;=5800,IF(INDEX(次果筐明细!$P$4:$P$603,$Z89-5200)=0,"",INDEX(次果筐明细!$P$4:$P$603,$Z89-5200)),"")))))</f>
        <v/>
      </c>
      <c r="N89" s="16" t="str">
        <f>IF($Z89="","",IF($Z89&lt;=2000,"",IF($Z89&lt;=4000,IF(INDEX(周转筐出入库明细!$D$4:$D$2004,$Z89-2000)=0,"",INDEX(周转筐出入库明细!$D$4:$D$2004,$Z89-2000)),IF($Z89&lt;=5200,IF(INDEX(客户自备加工筐明细!$C$4:$C$1203,$Z89-4000)=0,"",INDEX(客户自备加工筐明细!$C$4:$C$1203,$Z89-4000)),IF($Z89&lt;=5800,IF(INDEX(次果筐明细!$D$4:$D$603,$Z89-5200)=0,"",INDEX(次果筐明细!$D$4:$D$603,$Z89-5200)),"")))))</f>
        <v>公司红周转筐</v>
      </c>
      <c r="O89" s="40">
        <f>IF($Z89="","",IF($Z89&lt;=2000,"",IF($Z89&lt;=4000,IF(N(INDEX(周转筐出入库明细!$J$4:$J$2004,$Z89-2000))+N(INDEX(周转筐出入库明细!$K$4:$K$2004,$Z89-2000))=0,"",N(INDEX(周转筐出入库明细!$J$4:$J$2004,$Z89-2000))+N(INDEX(周转筐出入库明细!$K$4:$K$2004,$Z89-2000))),IF($Z89&lt;=5200,IF(N(INDEX(客户自备加工筐明细!$G$4:$G$1203,$Z89-4000))=0,"",N(INDEX(客户自备加工筐明细!$G$4:$G$1203,$Z89-4000))),IF($Z89&lt;=5800,IF(ISNUMBER(SEARCH("退",INDEX(次果筐明细!$F$4:$F$603,$Z89-5200)&amp;"")),"",IF(N(INDEX(次果筐明细!$G$4:$G$603,$Z89-5200))=0,"",N(INDEX(次果筐明细!$G$4:$G$603,$Z89-5200)))),"")))))</f>
        <v>369</v>
      </c>
      <c r="P89" s="40" t="str">
        <f>IF($Z89="","",IF($Z89&lt;=2000,"",IF($Z89&lt;=4000,IF(N(INDEX(周转筐出入库明细!$I$4:$I$2004,$Z89-2000))=0,"",N(INDEX(周转筐出入库明细!$I$4:$I$2004,$Z89-2000))),IF($Z89&lt;=5200,"",IF($Z89&lt;=5800,IF(ISNUMBER(SEARCH("退",INDEX(次果筐明细!$F$4:$F$603,$Z89-5200)&amp;"")),IF(N(INDEX(次果筐明细!$G$4:$G$603,$Z89-5200))=0,"",N(INDEX(次果筐明细!$G$4:$G$603,$Z89-5200))),""),"")))))</f>
        <v/>
      </c>
      <c r="Q89" s="40" t="str">
        <f>IF($Z89="","",IF($Z89&lt;=2000,"",IF($Z89&lt;=4000,IF(N(INDEX(周转筐出入库明细!$H$4:$H$2004,$Z89-2000))=0,"",N(INDEX(周转筐出入库明细!$H$4:$H$2004,$Z89-2000))),IF($Z89&lt;=5200,IF(N(INDEX(客户自备加工筐明细!$F$4:$F$1203,$Z89-4000))=0,"",N(INDEX(客户自备加工筐明细!$F$4:$F$1203,$Z89-4000))),IF($Z89&lt;=5800,"","")))))</f>
        <v/>
      </c>
      <c r="R89" s="16" t="str">
        <f>IF($Z89="","",IF($Z89&lt;=2000,IF(INDEX(包装物料出入库明细!$O$4:$O$2003,$Z89-0)=0,"",INDEX(包装物料出入库明细!$O$4:$O$2003,$Z89-0)),IF($Z89&lt;=4000,IF(INDEX(周转筐出入库明细!$M$4:$M$2004,$Z89-2000)=0,"",INDEX(周转筐出入库明细!$M$4:$M$2004,$Z89-2000)),IF($Z89&lt;=5200,IF(INDEX(客户自备加工筐明细!$H$4:$H$1203,$Z89-4000)=0,"",INDEX(客户自备加工筐明细!$H$4:$H$1203,$Z89-4000)),IF($Z89&lt;=5800,IF(INDEX(次果筐明细!$H$4:$H$603,$Z89-5200)=0,"",INDEX(次果筐明细!$H$4:$H$603,$Z89-5200)),"")))))</f>
        <v>新N*X8S48</v>
      </c>
      <c r="S89" s="22" t="str">
        <f t="shared" si="5"/>
        <v>公司筐</v>
      </c>
      <c r="Z89" s="10">
        <f>IFERROR(MATCH(ROW()-3,_自动清单!$CQ$4:$CQ$5803,0),"")</f>
        <v>2053</v>
      </c>
    </row>
    <row r="90" spans="1:26">
      <c r="A90" s="24">
        <f t="shared" si="3"/>
        <v>87</v>
      </c>
      <c r="B90" s="38">
        <f>IF($Z90="","",IF($Z90&lt;=2000,IF(INDEX(包装物料出入库明细!$B$4:$B$2003,$Z90-0)=0,"",INDEX(包装物料出入库明细!$B$4:$B$2003,$Z90-0)),IF($Z90&lt;=4000,IF(INDEX(周转筐出入库明细!$B$4:$B$2004,$Z90-2000)=0,"",INDEX(周转筐出入库明细!$B$4:$B$2004,$Z90-2000)),IF($Z90&lt;=5200,IF(INDEX(客户自备加工筐明细!$B$4:$B$1203,$Z90-4000)=0,"",INDEX(客户自备加工筐明细!$B$4:$B$1203,$Z90-4000)),IF($Z90&lt;=5800,IF(INDEX(次果筐明细!$B$4:$B$603,$Z90-5200)=0,"",INDEX(次果筐明细!$B$4:$B$603,$Z90-5200)),"")))))</f>
        <v>46276</v>
      </c>
      <c r="C90" s="37" t="str">
        <f>IF($Z90="","",IF($Z90&lt;=2000,IF(INDEX(包装物料出入库明细!$D$4:$D$2003,$Z90-0)=0,"",INDEX(包装物料出入库明细!$D$4:$D$2003,$Z90-0)),IF($Z90&lt;=4000,IF(INDEX(周转筐出入库明细!$C$4:$C$2004,$Z90-2000)=0,"",INDEX(周转筐出入库明细!$C$4:$C$2004,$Z90-2000)),IF($Z90&lt;=5200,IF(INDEX(客户自备加工筐明细!$E$4:$E$1203,$Z90-4000)=0,"",INDEX(客户自备加工筐明细!$E$4:$E$1203,$Z90-4000)),IF($Z90&lt;=5800,IF(INDEX(次果筐明细!$C$4:$C$603,$Z90-5200)=0,"",INDEX(次果筐明细!$C$4:$C$603,$Z90-5200)),"")))))</f>
        <v>全修塑业</v>
      </c>
      <c r="D90" s="37" t="str">
        <f>IF($Z90="","",IF($Z90&lt;=2000,"包装物料－"&amp;INDEX(包装物料出入库明细!$H$4:$H$2003,$Z90-0),IF($Z90&lt;=4000,"周转筐－"&amp;INDEX(周转筐出入库明细!$F$4:$F$2004,$Z90-2000),IF($Z90&lt;=5200,"客户自备筐－"&amp;INDEX(客户自备加工筐明细!$J$4:$J$1203,$Z90-4000),IF($Z90&lt;=5800,"次果筐/托盘－"&amp;INDEX(次果筐明细!$F$4:$F$603,$Z90-5200),"")))))</f>
        <v>周转筐－采购入库</v>
      </c>
      <c r="E90" s="24" t="str">
        <f>IF($Z90="","",IF($Z90&lt;=2000,IF(INDEX(包装物料出入库明细!$C$4:$C$2003,$Z90-0)=0,"",INDEX(包装物料出入库明细!$C$4:$C$2003,$Z90-0)),IF($Z90&lt;=4000,IF(INDEX(周转筐出入库明细!$E$4:$E$2004,$Z90-2000)=0,"",INDEX(周转筐出入库明细!$E$4:$E$2004,$Z90-2000)),IF($Z90&lt;=5200,IF(INDEX(客户自备加工筐明细!$D$4:$D$1203,$Z90-4000)=0,"",INDEX(客户自备加工筐明细!$D$4:$D$1203,$Z90-4000)),IF($Z90&lt;=5800,IF(INDEX(次果筐明细!$E$4:$E$603,$Z90-5200)=0,"",INDEX(次果筐明细!$E$4:$E$603,$Z90-5200)),"")))))</f>
        <v>NO:0000778</v>
      </c>
      <c r="F90" s="24" t="str">
        <f>IF($Z90="","",IF($Z90&lt;=2000,IF(INDEX(包装物料出入库明细!$E$4:$E$2003,$Z90-0)=0,"",INDEX(包装物料出入库明细!$E$4:$E$2003,$Z90-0)),IF($Z90&lt;=4000,IF(INDEX(周转筐出入库明细!$D$4:$D$2004,$Z90-2000)=0,"",INDEX(周转筐出入库明细!$D$4:$D$2004,$Z90-2000)),IF($Z90&lt;=5200,IF(INDEX(客户自备加工筐明细!$C$4:$C$1203,$Z90-4000)=0,"",INDEX(客户自备加工筐明细!$C$4:$C$1203,$Z90-4000)),IF($Z90&lt;=5800,IF(INDEX(次果筐明细!$D$4:$D$603,$Z90-5200)=0,"",INDEX(次果筐明细!$D$4:$D$603,$Z90-5200)),"")))))</f>
        <v>公司红周转筐</v>
      </c>
      <c r="G90" s="24" t="str">
        <f>IF($Z90="","",IF($Z90&lt;=2000,IF(INDEX(包装物料出入库明细!$F$4:$F$2003,$Z90-0)=0,"",INDEX(包装物料出入库明细!$F$4:$F$2003,$Z90-0)),IF($Z90&lt;=4000,"",IF($Z90&lt;=5200,"",IF($Z90&lt;=5800,"","")))))</f>
        <v/>
      </c>
      <c r="H90" s="39">
        <f>IF($Z90="","",IF($Z90&lt;=2000,IF(INDEX(包装物料出入库明细!$L$4:$L$2003,$Z90-0)=0,"",INDEX(包装物料出入库明细!$L$4:$L$2003,$Z90-0)),IF($Z90&lt;=4000,N(INDEX(周转筐出入库明细!$H$4:$H$2004,$Z90-2000))+N(INDEX(周转筐出入库明细!$I$4:$I$2004,$Z90-2000))+N(INDEX(周转筐出入库明细!$J$4:$J$2004,$Z90-2000))+N(INDEX(周转筐出入库明细!$K$4:$K$2004,$Z90-2000)),IF($Z90&lt;=5200,N(INDEX(客户自备加工筐明细!$F$4:$F$1203,$Z90-4000))+N(INDEX(客户自备加工筐明细!$G$4:$G$1203,$Z90-4000)),IF($Z90&lt;=5800,IF(INDEX(次果筐明细!$G$4:$G$603,$Z90-5200)=0,"",INDEX(次果筐明细!$G$4:$G$603,$Z90-5200)),"")))))</f>
        <v>846</v>
      </c>
      <c r="I90" s="24" t="str">
        <f>IF($Z90="","",IF($Z90&lt;=2000,IF(INDEX(包装物料出入库明细!$G$4:$G$2003,$Z90-0)=0,"",INDEX(包装物料出入库明细!$G$4:$G$2003,$Z90-0)),IF($Z90&lt;=4000,"个",IF($Z90&lt;=5200,"个",IF($Z90&lt;=5800,"个","")))))</f>
        <v>个</v>
      </c>
      <c r="J90" s="30" t="str">
        <f t="shared" si="4"/>
        <v/>
      </c>
      <c r="K90" s="30">
        <f>IF($Z90="","",IF($Z90&lt;=2000,IF(INDEX(包装物料出入库明细!$N$4:$N$2003,$Z90-0)=0,"",INDEX(包装物料出入库明细!$N$4:$N$2003,$Z90-0)),IF($Z90&lt;=4000,IF(INDEX(周转筐出入库明细!$P$4:$P$2004,$Z90-2000)=0,"",INDEX(周转筐出入库明细!$P$4:$P$2004,$Z90-2000)),IF($Z90&lt;=5200,"",IF($Z90&lt;=5800,N(INDEX(次果筐明细!$L$4:$L$603,$Z90-5200))+N(INDEX(次果筐明细!$J$4:$J$603,$Z90-5200)),"")))))</f>
        <v>8460</v>
      </c>
      <c r="L90" s="24" t="str">
        <f>IF($Z90="","",IF($Z90&lt;=2000,IF(INDEX(包装物料出入库明细!$P$4:$P$2003,$Z90-0)=0,"",INDEX(包装物料出入库明细!$P$4:$P$2003,$Z90-0)),IF($Z90&lt;=4000,IF(INDEX(周转筐出入库明细!$Q$4:$Q$2004,$Z90-2000)=0,"",INDEX(周转筐出入库明细!$Q$4:$Q$2004,$Z90-2000)),IF($Z90&lt;=5200,"",IF($Z90&lt;=5800,IF(INDEX(次果筐明细!$M$4:$M$603,$Z90-5200)=0,"",INDEX(次果筐明细!$M$4:$M$603,$Z90-5200)),"")))))</f>
        <v>未付款</v>
      </c>
      <c r="M90" s="37" t="str">
        <f>IF($Z90="","",IF($Z90&lt;=2000,IF(INDEX(包装物料出入库明细!$R$4:$R$2003,$Z90-0)=0,"",INDEX(包装物料出入库明细!$R$4:$R$2003,$Z90-0)),IF($Z90&lt;=4000,IF(INDEX(周转筐出入库明细!$W$4:$W$2004,$Z90-2000)=0,"",INDEX(周转筐出入库明细!$W$4:$W$2004,$Z90-2000)),IF($Z90&lt;=5200,IF(INDEX(客户自备加工筐明细!$L$4:$L$1203,$Z90-4000)=0,"",INDEX(客户自备加工筐明细!$L$4:$L$1203,$Z90-4000)),IF($Z90&lt;=5800,IF(INDEX(次果筐明细!$P$4:$P$603,$Z90-5200)=0,"",INDEX(次果筐明细!$P$4:$P$603,$Z90-5200)),"")))))</f>
        <v>NO:0017207</v>
      </c>
      <c r="N90" s="16" t="str">
        <f>IF($Z90="","",IF($Z90&lt;=2000,"",IF($Z90&lt;=4000,IF(INDEX(周转筐出入库明细!$D$4:$D$2004,$Z90-2000)=0,"",INDEX(周转筐出入库明细!$D$4:$D$2004,$Z90-2000)),IF($Z90&lt;=5200,IF(INDEX(客户自备加工筐明细!$C$4:$C$1203,$Z90-4000)=0,"",INDEX(客户自备加工筐明细!$C$4:$C$1203,$Z90-4000)),IF($Z90&lt;=5800,IF(INDEX(次果筐明细!$D$4:$D$603,$Z90-5200)=0,"",INDEX(次果筐明细!$D$4:$D$603,$Z90-5200)),"")))))</f>
        <v>公司红周转筐</v>
      </c>
      <c r="O90" s="40" t="str">
        <f>IF($Z90="","",IF($Z90&lt;=2000,"",IF($Z90&lt;=4000,IF(N(INDEX(周转筐出入库明细!$J$4:$J$2004,$Z90-2000))+N(INDEX(周转筐出入库明细!$K$4:$K$2004,$Z90-2000))=0,"",N(INDEX(周转筐出入库明细!$J$4:$J$2004,$Z90-2000))+N(INDEX(周转筐出入库明细!$K$4:$K$2004,$Z90-2000))),IF($Z90&lt;=5200,IF(N(INDEX(客户自备加工筐明细!$G$4:$G$1203,$Z90-4000))=0,"",N(INDEX(客户自备加工筐明细!$G$4:$G$1203,$Z90-4000))),IF($Z90&lt;=5800,IF(ISNUMBER(SEARCH("退",INDEX(次果筐明细!$F$4:$F$603,$Z90-5200)&amp;"")),"",IF(N(INDEX(次果筐明细!$G$4:$G$603,$Z90-5200))=0,"",N(INDEX(次果筐明细!$G$4:$G$603,$Z90-5200)))),"")))))</f>
        <v/>
      </c>
      <c r="P90" s="40" t="str">
        <f>IF($Z90="","",IF($Z90&lt;=2000,"",IF($Z90&lt;=4000,IF(N(INDEX(周转筐出入库明细!$I$4:$I$2004,$Z90-2000))=0,"",N(INDEX(周转筐出入库明细!$I$4:$I$2004,$Z90-2000))),IF($Z90&lt;=5200,"",IF($Z90&lt;=5800,IF(ISNUMBER(SEARCH("退",INDEX(次果筐明细!$F$4:$F$603,$Z90-5200)&amp;"")),IF(N(INDEX(次果筐明细!$G$4:$G$603,$Z90-5200))=0,"",N(INDEX(次果筐明细!$G$4:$G$603,$Z90-5200))),""),"")))))</f>
        <v/>
      </c>
      <c r="Q90" s="40">
        <f>IF($Z90="","",IF($Z90&lt;=2000,"",IF($Z90&lt;=4000,IF(N(INDEX(周转筐出入库明细!$H$4:$H$2004,$Z90-2000))=0,"",N(INDEX(周转筐出入库明细!$H$4:$H$2004,$Z90-2000))),IF($Z90&lt;=5200,IF(N(INDEX(客户自备加工筐明细!$F$4:$F$1203,$Z90-4000))=0,"",N(INDEX(客户自备加工筐明细!$F$4:$F$1203,$Z90-4000))),IF($Z90&lt;=5800,"","")))))</f>
        <v>846</v>
      </c>
      <c r="R90" s="16" t="str">
        <f>IF($Z90="","",IF($Z90&lt;=2000,IF(INDEX(包装物料出入库明细!$O$4:$O$2003,$Z90-0)=0,"",INDEX(包装物料出入库明细!$O$4:$O$2003,$Z90-0)),IF($Z90&lt;=4000,IF(INDEX(周转筐出入库明细!$M$4:$M$2004,$Z90-2000)=0,"",INDEX(周转筐出入库明细!$M$4:$M$2004,$Z90-2000)),IF($Z90&lt;=5200,IF(INDEX(客户自备加工筐明细!$H$4:$H$1203,$Z90-4000)=0,"",INDEX(客户自备加工筐明细!$H$4:$H$1203,$Z90-4000)),IF($Z90&lt;=5800,IF(INDEX(次果筐明细!$H$4:$H$603,$Z90-5200)=0,"",INDEX(次果筐明细!$H$4:$H$603,$Z90-5200)),"")))))</f>
        <v>新A*G0554</v>
      </c>
      <c r="S90" s="22" t="str">
        <f t="shared" si="5"/>
        <v>公司筐</v>
      </c>
      <c r="Z90" s="10">
        <f>IFERROR(MATCH(ROW()-3,_自动清单!$CQ$4:$CQ$5803,0),"")</f>
        <v>2054</v>
      </c>
    </row>
    <row r="91" spans="1:26">
      <c r="A91" s="24">
        <f t="shared" si="3"/>
        <v>88</v>
      </c>
      <c r="B91" s="38">
        <f>IF($Z91="","",IF($Z91&lt;=2000,IF(INDEX(包装物料出入库明细!$B$4:$B$2003,$Z91-0)=0,"",INDEX(包装物料出入库明细!$B$4:$B$2003,$Z91-0)),IF($Z91&lt;=4000,IF(INDEX(周转筐出入库明细!$B$4:$B$2004,$Z91-2000)=0,"",INDEX(周转筐出入库明细!$B$4:$B$2004,$Z91-2000)),IF($Z91&lt;=5200,IF(INDEX(客户自备加工筐明细!$B$4:$B$1203,$Z91-4000)=0,"",INDEX(客户自备加工筐明细!$B$4:$B$1203,$Z91-4000)),IF($Z91&lt;=5800,IF(INDEX(次果筐明细!$B$4:$B$603,$Z91-5200)=0,"",INDEX(次果筐明细!$B$4:$B$603,$Z91-5200)),"")))))</f>
        <v>46276</v>
      </c>
      <c r="C91" s="37" t="str">
        <f>IF($Z91="","",IF($Z91&lt;=2000,IF(INDEX(包装物料出入库明细!$D$4:$D$2003,$Z91-0)=0,"",INDEX(包装物料出入库明细!$D$4:$D$2003,$Z91-0)),IF($Z91&lt;=4000,IF(INDEX(周转筐出入库明细!$C$4:$C$2004,$Z91-2000)=0,"",INDEX(周转筐出入库明细!$C$4:$C$2004,$Z91-2000)),IF($Z91&lt;=5200,IF(INDEX(客户自备加工筐明细!$E$4:$E$1203,$Z91-4000)=0,"",INDEX(客户自备加工筐明细!$E$4:$E$1203,$Z91-4000)),IF($Z91&lt;=5800,IF(INDEX(次果筐明细!$C$4:$C$603,$Z91-5200)=0,"",INDEX(次果筐明细!$C$4:$C$603,$Z91-5200)),"")))))</f>
        <v>麦麦提</v>
      </c>
      <c r="D91" s="37" t="str">
        <f>IF($Z91="","",IF($Z91&lt;=2000,"包装物料－"&amp;INDEX(包装物料出入库明细!$H$4:$H$2003,$Z91-0),IF($Z91&lt;=4000,"周转筐－"&amp;INDEX(周转筐出入库明细!$F$4:$F$2004,$Z91-2000),IF($Z91&lt;=5200,"客户自备筐－"&amp;INDEX(客户自备加工筐明细!$J$4:$J$1203,$Z91-4000),IF($Z91&lt;=5800,"次果筐/托盘－"&amp;INDEX(次果筐明细!$F$4:$F$603,$Z91-5200),"")))))</f>
        <v>周转筐－领用出库</v>
      </c>
      <c r="E91" s="24" t="str">
        <f>IF($Z91="","",IF($Z91&lt;=2000,IF(INDEX(包装物料出入库明细!$C$4:$C$2003,$Z91-0)=0,"",INDEX(包装物料出入库明细!$C$4:$C$2003,$Z91-0)),IF($Z91&lt;=4000,IF(INDEX(周转筐出入库明细!$E$4:$E$2004,$Z91-2000)=0,"",INDEX(周转筐出入库明细!$E$4:$E$2004,$Z91-2000)),IF($Z91&lt;=5200,IF(INDEX(客户自备加工筐明细!$D$4:$D$1203,$Z91-4000)=0,"",INDEX(客户自备加工筐明细!$D$4:$D$1203,$Z91-4000)),IF($Z91&lt;=5800,IF(INDEX(次果筐明细!$E$4:$E$603,$Z91-5200)=0,"",INDEX(次果筐明细!$E$4:$E$603,$Z91-5200)),"")))))</f>
        <v>NO:0001113</v>
      </c>
      <c r="F91" s="24" t="str">
        <f>IF($Z91="","",IF($Z91&lt;=2000,IF(INDEX(包装物料出入库明细!$E$4:$E$2003,$Z91-0)=0,"",INDEX(包装物料出入库明细!$E$4:$E$2003,$Z91-0)),IF($Z91&lt;=4000,IF(INDEX(周转筐出入库明细!$D$4:$D$2004,$Z91-2000)=0,"",INDEX(周转筐出入库明细!$D$4:$D$2004,$Z91-2000)),IF($Z91&lt;=5200,IF(INDEX(客户自备加工筐明细!$C$4:$C$1203,$Z91-4000)=0,"",INDEX(客户自备加工筐明细!$C$4:$C$1203,$Z91-4000)),IF($Z91&lt;=5800,IF(INDEX(次果筐明细!$D$4:$D$603,$Z91-5200)=0,"",INDEX(次果筐明细!$D$4:$D$603,$Z91-5200)),"")))))</f>
        <v>公司红周转筐</v>
      </c>
      <c r="G91" s="24" t="str">
        <f>IF($Z91="","",IF($Z91&lt;=2000,IF(INDEX(包装物料出入库明细!$F$4:$F$2003,$Z91-0)=0,"",INDEX(包装物料出入库明细!$F$4:$F$2003,$Z91-0)),IF($Z91&lt;=4000,"",IF($Z91&lt;=5200,"",IF($Z91&lt;=5800,"","")))))</f>
        <v/>
      </c>
      <c r="H91" s="39">
        <f>IF($Z91="","",IF($Z91&lt;=2000,IF(INDEX(包装物料出入库明细!$L$4:$L$2003,$Z91-0)=0,"",INDEX(包装物料出入库明细!$L$4:$L$2003,$Z91-0)),IF($Z91&lt;=4000,N(INDEX(周转筐出入库明细!$H$4:$H$2004,$Z91-2000))+N(INDEX(周转筐出入库明细!$I$4:$I$2004,$Z91-2000))+N(INDEX(周转筐出入库明细!$J$4:$J$2004,$Z91-2000))+N(INDEX(周转筐出入库明细!$K$4:$K$2004,$Z91-2000)),IF($Z91&lt;=5200,N(INDEX(客户自备加工筐明细!$F$4:$F$1203,$Z91-4000))+N(INDEX(客户自备加工筐明细!$G$4:$G$1203,$Z91-4000)),IF($Z91&lt;=5800,IF(INDEX(次果筐明细!$G$4:$G$603,$Z91-5200)=0,"",INDEX(次果筐明细!$G$4:$G$603,$Z91-5200)),"")))))</f>
        <v>846</v>
      </c>
      <c r="I91" s="24" t="str">
        <f>IF($Z91="","",IF($Z91&lt;=2000,IF(INDEX(包装物料出入库明细!$G$4:$G$2003,$Z91-0)=0,"",INDEX(包装物料出入库明细!$G$4:$G$2003,$Z91-0)),IF($Z91&lt;=4000,"个",IF($Z91&lt;=5200,"个",IF($Z91&lt;=5800,"个","")))))</f>
        <v>个</v>
      </c>
      <c r="J91" s="30" t="str">
        <f t="shared" si="4"/>
        <v/>
      </c>
      <c r="K91" s="30" t="str">
        <f>IF($Z91="","",IF($Z91&lt;=2000,IF(INDEX(包装物料出入库明细!$N$4:$N$2003,$Z91-0)=0,"",INDEX(包装物料出入库明细!$N$4:$N$2003,$Z91-0)),IF($Z91&lt;=4000,IF(INDEX(周转筐出入库明细!$P$4:$P$2004,$Z91-2000)=0,"",INDEX(周转筐出入库明细!$P$4:$P$2004,$Z91-2000)),IF($Z91&lt;=5200,"",IF($Z91&lt;=5800,N(INDEX(次果筐明细!$L$4:$L$603,$Z91-5200))+N(INDEX(次果筐明细!$J$4:$J$603,$Z91-5200)),"")))))</f>
        <v/>
      </c>
      <c r="L91" s="24" t="str">
        <f>IF($Z91="","",IF($Z91&lt;=2000,IF(INDEX(包装物料出入库明细!$P$4:$P$2003,$Z91-0)=0,"",INDEX(包装物料出入库明细!$P$4:$P$2003,$Z91-0)),IF($Z91&lt;=4000,IF(INDEX(周转筐出入库明细!$Q$4:$Q$2004,$Z91-2000)=0,"",INDEX(周转筐出入库明细!$Q$4:$Q$2004,$Z91-2000)),IF($Z91&lt;=5200,"",IF($Z91&lt;=5800,IF(INDEX(次果筐明细!$M$4:$M$603,$Z91-5200)=0,"",INDEX(次果筐明细!$M$4:$M$603,$Z91-5200)),"")))))</f>
        <v/>
      </c>
      <c r="M91" s="37" t="str">
        <f>IF($Z91="","",IF($Z91&lt;=2000,IF(INDEX(包装物料出入库明细!$R$4:$R$2003,$Z91-0)=0,"",INDEX(包装物料出入库明细!$R$4:$R$2003,$Z91-0)),IF($Z91&lt;=4000,IF(INDEX(周转筐出入库明细!$W$4:$W$2004,$Z91-2000)=0,"",INDEX(周转筐出入库明细!$W$4:$W$2004,$Z91-2000)),IF($Z91&lt;=5200,IF(INDEX(客户自备加工筐明细!$L$4:$L$1203,$Z91-4000)=0,"",INDEX(客户自备加工筐明细!$L$4:$L$1203,$Z91-4000)),IF($Z91&lt;=5800,IF(INDEX(次果筐明细!$P$4:$P$603,$Z91-5200)=0,"",INDEX(次果筐明细!$P$4:$P$603,$Z91-5200)),"")))))</f>
        <v/>
      </c>
      <c r="N91" s="16" t="str">
        <f>IF($Z91="","",IF($Z91&lt;=2000,"",IF($Z91&lt;=4000,IF(INDEX(周转筐出入库明细!$D$4:$D$2004,$Z91-2000)=0,"",INDEX(周转筐出入库明细!$D$4:$D$2004,$Z91-2000)),IF($Z91&lt;=5200,IF(INDEX(客户自备加工筐明细!$C$4:$C$1203,$Z91-4000)=0,"",INDEX(客户自备加工筐明细!$C$4:$C$1203,$Z91-4000)),IF($Z91&lt;=5800,IF(INDEX(次果筐明细!$D$4:$D$603,$Z91-5200)=0,"",INDEX(次果筐明细!$D$4:$D$603,$Z91-5200)),"")))))</f>
        <v>公司红周转筐</v>
      </c>
      <c r="O91" s="40">
        <f>IF($Z91="","",IF($Z91&lt;=2000,"",IF($Z91&lt;=4000,IF(N(INDEX(周转筐出入库明细!$J$4:$J$2004,$Z91-2000))+N(INDEX(周转筐出入库明细!$K$4:$K$2004,$Z91-2000))=0,"",N(INDEX(周转筐出入库明细!$J$4:$J$2004,$Z91-2000))+N(INDEX(周转筐出入库明细!$K$4:$K$2004,$Z91-2000))),IF($Z91&lt;=5200,IF(N(INDEX(客户自备加工筐明细!$G$4:$G$1203,$Z91-4000))=0,"",N(INDEX(客户自备加工筐明细!$G$4:$G$1203,$Z91-4000))),IF($Z91&lt;=5800,IF(ISNUMBER(SEARCH("退",INDEX(次果筐明细!$F$4:$F$603,$Z91-5200)&amp;"")),"",IF(N(INDEX(次果筐明细!$G$4:$G$603,$Z91-5200))=0,"",N(INDEX(次果筐明细!$G$4:$G$603,$Z91-5200)))),"")))))</f>
        <v>846</v>
      </c>
      <c r="P91" s="40" t="str">
        <f>IF($Z91="","",IF($Z91&lt;=2000,"",IF($Z91&lt;=4000,IF(N(INDEX(周转筐出入库明细!$I$4:$I$2004,$Z91-2000))=0,"",N(INDEX(周转筐出入库明细!$I$4:$I$2004,$Z91-2000))),IF($Z91&lt;=5200,"",IF($Z91&lt;=5800,IF(ISNUMBER(SEARCH("退",INDEX(次果筐明细!$F$4:$F$603,$Z91-5200)&amp;"")),IF(N(INDEX(次果筐明细!$G$4:$G$603,$Z91-5200))=0,"",N(INDEX(次果筐明细!$G$4:$G$603,$Z91-5200))),""),"")))))</f>
        <v/>
      </c>
      <c r="Q91" s="40" t="str">
        <f>IF($Z91="","",IF($Z91&lt;=2000,"",IF($Z91&lt;=4000,IF(N(INDEX(周转筐出入库明细!$H$4:$H$2004,$Z91-2000))=0,"",N(INDEX(周转筐出入库明细!$H$4:$H$2004,$Z91-2000))),IF($Z91&lt;=5200,IF(N(INDEX(客户自备加工筐明细!$F$4:$F$1203,$Z91-4000))=0,"",N(INDEX(客户自备加工筐明细!$F$4:$F$1203,$Z91-4000))),IF($Z91&lt;=5800,"","")))))</f>
        <v/>
      </c>
      <c r="R91" s="16" t="str">
        <f>IF($Z91="","",IF($Z91&lt;=2000,IF(INDEX(包装物料出入库明细!$O$4:$O$2003,$Z91-0)=0,"",INDEX(包装物料出入库明细!$O$4:$O$2003,$Z91-0)),IF($Z91&lt;=4000,IF(INDEX(周转筐出入库明细!$M$4:$M$2004,$Z91-2000)=0,"",INDEX(周转筐出入库明细!$M$4:$M$2004,$Z91-2000)),IF($Z91&lt;=5200,IF(INDEX(客户自备加工筐明细!$H$4:$H$1203,$Z91-4000)=0,"",INDEX(客户自备加工筐明细!$H$4:$H$1203,$Z91-4000)),IF($Z91&lt;=5800,IF(INDEX(次果筐明细!$H$4:$H$603,$Z91-5200)=0,"",INDEX(次果筐明细!$H$4:$H$603,$Z91-5200)),"")))))</f>
        <v>新A*G0554</v>
      </c>
      <c r="S91" s="22" t="str">
        <f t="shared" si="5"/>
        <v>公司筐</v>
      </c>
      <c r="Z91" s="10">
        <f>IFERROR(MATCH(ROW()-3,_自动清单!$CQ$4:$CQ$5803,0),"")</f>
        <v>2055</v>
      </c>
    </row>
    <row r="92" spans="1:26">
      <c r="A92" s="24">
        <f t="shared" si="3"/>
        <v>89</v>
      </c>
      <c r="B92" s="38">
        <f>IF($Z92="","",IF($Z92&lt;=2000,IF(INDEX(包装物料出入库明细!$B$4:$B$2003,$Z92-0)=0,"",INDEX(包装物料出入库明细!$B$4:$B$2003,$Z92-0)),IF($Z92&lt;=4000,IF(INDEX(周转筐出入库明细!$B$4:$B$2004,$Z92-2000)=0,"",INDEX(周转筐出入库明细!$B$4:$B$2004,$Z92-2000)),IF($Z92&lt;=5200,IF(INDEX(客户自备加工筐明细!$B$4:$B$1203,$Z92-4000)=0,"",INDEX(客户自备加工筐明细!$B$4:$B$1203,$Z92-4000)),IF($Z92&lt;=5800,IF(INDEX(次果筐明细!$B$4:$B$603,$Z92-5200)=0,"",INDEX(次果筐明细!$B$4:$B$603,$Z92-5200)),"")))))</f>
        <v>46276</v>
      </c>
      <c r="C92" s="37" t="str">
        <f>IF($Z92="","",IF($Z92&lt;=2000,IF(INDEX(包装物料出入库明细!$D$4:$D$2003,$Z92-0)=0,"",INDEX(包装物料出入库明细!$D$4:$D$2003,$Z92-0)),IF($Z92&lt;=4000,IF(INDEX(周转筐出入库明细!$C$4:$C$2004,$Z92-2000)=0,"",INDEX(周转筐出入库明细!$C$4:$C$2004,$Z92-2000)),IF($Z92&lt;=5200,IF(INDEX(客户自备加工筐明细!$E$4:$E$1203,$Z92-4000)=0,"",INDEX(客户自备加工筐明细!$E$4:$E$1203,$Z92-4000)),IF($Z92&lt;=5800,IF(INDEX(次果筐明细!$C$4:$C$603,$Z92-5200)=0,"",INDEX(次果筐明细!$C$4:$C$603,$Z92-5200)),"")))))</f>
        <v>全修塑业</v>
      </c>
      <c r="D92" s="37" t="str">
        <f>IF($Z92="","",IF($Z92&lt;=2000,"包装物料－"&amp;INDEX(包装物料出入库明细!$H$4:$H$2003,$Z92-0),IF($Z92&lt;=4000,"周转筐－"&amp;INDEX(周转筐出入库明细!$F$4:$F$2004,$Z92-2000),IF($Z92&lt;=5200,"客户自备筐－"&amp;INDEX(客户自备加工筐明细!$J$4:$J$1203,$Z92-4000),IF($Z92&lt;=5800,"次果筐/托盘－"&amp;INDEX(次果筐明细!$F$4:$F$603,$Z92-5200),"")))))</f>
        <v>周转筐－采购入库</v>
      </c>
      <c r="E92" s="24" t="str">
        <f>IF($Z92="","",IF($Z92&lt;=2000,IF(INDEX(包装物料出入库明细!$C$4:$C$2003,$Z92-0)=0,"",INDEX(包装物料出入库明细!$C$4:$C$2003,$Z92-0)),IF($Z92&lt;=4000,IF(INDEX(周转筐出入库明细!$E$4:$E$2004,$Z92-2000)=0,"",INDEX(周转筐出入库明细!$E$4:$E$2004,$Z92-2000)),IF($Z92&lt;=5200,IF(INDEX(客户自备加工筐明细!$D$4:$D$1203,$Z92-4000)=0,"",INDEX(客户自备加工筐明细!$D$4:$D$1203,$Z92-4000)),IF($Z92&lt;=5800,IF(INDEX(次果筐明细!$E$4:$E$603,$Z92-5200)=0,"",INDEX(次果筐明细!$E$4:$E$603,$Z92-5200)),"")))))</f>
        <v>NO:0000784</v>
      </c>
      <c r="F92" s="24" t="str">
        <f>IF($Z92="","",IF($Z92&lt;=2000,IF(INDEX(包装物料出入库明细!$E$4:$E$2003,$Z92-0)=0,"",INDEX(包装物料出入库明细!$E$4:$E$2003,$Z92-0)),IF($Z92&lt;=4000,IF(INDEX(周转筐出入库明细!$D$4:$D$2004,$Z92-2000)=0,"",INDEX(周转筐出入库明细!$D$4:$D$2004,$Z92-2000)),IF($Z92&lt;=5200,IF(INDEX(客户自备加工筐明细!$C$4:$C$1203,$Z92-4000)=0,"",INDEX(客户自备加工筐明细!$C$4:$C$1203,$Z92-4000)),IF($Z92&lt;=5800,IF(INDEX(次果筐明细!$D$4:$D$603,$Z92-5200)=0,"",INDEX(次果筐明细!$D$4:$D$603,$Z92-5200)),"")))))</f>
        <v>公司红周转筐</v>
      </c>
      <c r="G92" s="24" t="str">
        <f>IF($Z92="","",IF($Z92&lt;=2000,IF(INDEX(包装物料出入库明细!$F$4:$F$2003,$Z92-0)=0,"",INDEX(包装物料出入库明细!$F$4:$F$2003,$Z92-0)),IF($Z92&lt;=4000,"",IF($Z92&lt;=5200,"",IF($Z92&lt;=5800,"","")))))</f>
        <v/>
      </c>
      <c r="H92" s="39">
        <f>IF($Z92="","",IF($Z92&lt;=2000,IF(INDEX(包装物料出入库明细!$L$4:$L$2003,$Z92-0)=0,"",INDEX(包装物料出入库明细!$L$4:$L$2003,$Z92-0)),IF($Z92&lt;=4000,N(INDEX(周转筐出入库明细!$H$4:$H$2004,$Z92-2000))+N(INDEX(周转筐出入库明细!$I$4:$I$2004,$Z92-2000))+N(INDEX(周转筐出入库明细!$J$4:$J$2004,$Z92-2000))+N(INDEX(周转筐出入库明细!$K$4:$K$2004,$Z92-2000)),IF($Z92&lt;=5200,N(INDEX(客户自备加工筐明细!$F$4:$F$1203,$Z92-4000))+N(INDEX(客户自备加工筐明细!$G$4:$G$1203,$Z92-4000)),IF($Z92&lt;=5800,IF(INDEX(次果筐明细!$G$4:$G$603,$Z92-5200)=0,"",INDEX(次果筐明细!$G$4:$G$603,$Z92-5200)),"")))))</f>
        <v>936</v>
      </c>
      <c r="I92" s="24" t="str">
        <f>IF($Z92="","",IF($Z92&lt;=2000,IF(INDEX(包装物料出入库明细!$G$4:$G$2003,$Z92-0)=0,"",INDEX(包装物料出入库明细!$G$4:$G$2003,$Z92-0)),IF($Z92&lt;=4000,"个",IF($Z92&lt;=5200,"个",IF($Z92&lt;=5800,"个","")))))</f>
        <v>个</v>
      </c>
      <c r="J92" s="30" t="str">
        <f t="shared" si="4"/>
        <v/>
      </c>
      <c r="K92" s="30">
        <f>IF($Z92="","",IF($Z92&lt;=2000,IF(INDEX(包装物料出入库明细!$N$4:$N$2003,$Z92-0)=0,"",INDEX(包装物料出入库明细!$N$4:$N$2003,$Z92-0)),IF($Z92&lt;=4000,IF(INDEX(周转筐出入库明细!$P$4:$P$2004,$Z92-2000)=0,"",INDEX(周转筐出入库明细!$P$4:$P$2004,$Z92-2000)),IF($Z92&lt;=5200,"",IF($Z92&lt;=5800,N(INDEX(次果筐明细!$L$4:$L$603,$Z92-5200))+N(INDEX(次果筐明细!$J$4:$J$603,$Z92-5200)),"")))))</f>
        <v>9360</v>
      </c>
      <c r="L92" s="24" t="str">
        <f>IF($Z92="","",IF($Z92&lt;=2000,IF(INDEX(包装物料出入库明细!$P$4:$P$2003,$Z92-0)=0,"",INDEX(包装物料出入库明细!$P$4:$P$2003,$Z92-0)),IF($Z92&lt;=4000,IF(INDEX(周转筐出入库明细!$Q$4:$Q$2004,$Z92-2000)=0,"",INDEX(周转筐出入库明细!$Q$4:$Q$2004,$Z92-2000)),IF($Z92&lt;=5200,"",IF($Z92&lt;=5800,IF(INDEX(次果筐明细!$M$4:$M$603,$Z92-5200)=0,"",INDEX(次果筐明细!$M$4:$M$603,$Z92-5200)),"")))))</f>
        <v>未付款</v>
      </c>
      <c r="M92" s="37" t="str">
        <f>IF($Z92="","",IF($Z92&lt;=2000,IF(INDEX(包装物料出入库明细!$R$4:$R$2003,$Z92-0)=0,"",INDEX(包装物料出入库明细!$R$4:$R$2003,$Z92-0)),IF($Z92&lt;=4000,IF(INDEX(周转筐出入库明细!$W$4:$W$2004,$Z92-2000)=0,"",INDEX(周转筐出入库明细!$W$4:$W$2004,$Z92-2000)),IF($Z92&lt;=5200,IF(INDEX(客户自备加工筐明细!$L$4:$L$1203,$Z92-4000)=0,"",INDEX(客户自备加工筐明细!$L$4:$L$1203,$Z92-4000)),IF($Z92&lt;=5800,IF(INDEX(次果筐明细!$P$4:$P$603,$Z92-5200)=0,"",INDEX(次果筐明细!$P$4:$P$603,$Z92-5200)),"")))))</f>
        <v>NO:0017209</v>
      </c>
      <c r="N92" s="16" t="str">
        <f>IF($Z92="","",IF($Z92&lt;=2000,"",IF($Z92&lt;=4000,IF(INDEX(周转筐出入库明细!$D$4:$D$2004,$Z92-2000)=0,"",INDEX(周转筐出入库明细!$D$4:$D$2004,$Z92-2000)),IF($Z92&lt;=5200,IF(INDEX(客户自备加工筐明细!$C$4:$C$1203,$Z92-4000)=0,"",INDEX(客户自备加工筐明细!$C$4:$C$1203,$Z92-4000)),IF($Z92&lt;=5800,IF(INDEX(次果筐明细!$D$4:$D$603,$Z92-5200)=0,"",INDEX(次果筐明细!$D$4:$D$603,$Z92-5200)),"")))))</f>
        <v>公司红周转筐</v>
      </c>
      <c r="O92" s="40" t="str">
        <f>IF($Z92="","",IF($Z92&lt;=2000,"",IF($Z92&lt;=4000,IF(N(INDEX(周转筐出入库明细!$J$4:$J$2004,$Z92-2000))+N(INDEX(周转筐出入库明细!$K$4:$K$2004,$Z92-2000))=0,"",N(INDEX(周转筐出入库明细!$J$4:$J$2004,$Z92-2000))+N(INDEX(周转筐出入库明细!$K$4:$K$2004,$Z92-2000))),IF($Z92&lt;=5200,IF(N(INDEX(客户自备加工筐明细!$G$4:$G$1203,$Z92-4000))=0,"",N(INDEX(客户自备加工筐明细!$G$4:$G$1203,$Z92-4000))),IF($Z92&lt;=5800,IF(ISNUMBER(SEARCH("退",INDEX(次果筐明细!$F$4:$F$603,$Z92-5200)&amp;"")),"",IF(N(INDEX(次果筐明细!$G$4:$G$603,$Z92-5200))=0,"",N(INDEX(次果筐明细!$G$4:$G$603,$Z92-5200)))),"")))))</f>
        <v/>
      </c>
      <c r="P92" s="40" t="str">
        <f>IF($Z92="","",IF($Z92&lt;=2000,"",IF($Z92&lt;=4000,IF(N(INDEX(周转筐出入库明细!$I$4:$I$2004,$Z92-2000))=0,"",N(INDEX(周转筐出入库明细!$I$4:$I$2004,$Z92-2000))),IF($Z92&lt;=5200,"",IF($Z92&lt;=5800,IF(ISNUMBER(SEARCH("退",INDEX(次果筐明细!$F$4:$F$603,$Z92-5200)&amp;"")),IF(N(INDEX(次果筐明细!$G$4:$G$603,$Z92-5200))=0,"",N(INDEX(次果筐明细!$G$4:$G$603,$Z92-5200))),""),"")))))</f>
        <v/>
      </c>
      <c r="Q92" s="40">
        <f>IF($Z92="","",IF($Z92&lt;=2000,"",IF($Z92&lt;=4000,IF(N(INDEX(周转筐出入库明细!$H$4:$H$2004,$Z92-2000))=0,"",N(INDEX(周转筐出入库明细!$H$4:$H$2004,$Z92-2000))),IF($Z92&lt;=5200,IF(N(INDEX(客户自备加工筐明细!$F$4:$F$1203,$Z92-4000))=0,"",N(INDEX(客户自备加工筐明细!$F$4:$F$1203,$Z92-4000))),IF($Z92&lt;=5800,"","")))))</f>
        <v>936</v>
      </c>
      <c r="R92" s="16" t="str">
        <f>IF($Z92="","",IF($Z92&lt;=2000,IF(INDEX(包装物料出入库明细!$O$4:$O$2003,$Z92-0)=0,"",INDEX(包装物料出入库明细!$O$4:$O$2003,$Z92-0)),IF($Z92&lt;=4000,IF(INDEX(周转筐出入库明细!$M$4:$M$2004,$Z92-2000)=0,"",INDEX(周转筐出入库明细!$M$4:$M$2004,$Z92-2000)),IF($Z92&lt;=5200,IF(INDEX(客户自备加工筐明细!$H$4:$H$1203,$Z92-4000)=0,"",INDEX(客户自备加工筐明细!$H$4:$H$1203,$Z92-4000)),IF($Z92&lt;=5800,IF(INDEX(次果筐明细!$H$4:$H$603,$Z92-5200)=0,"",INDEX(次果筐明细!$H$4:$H$603,$Z92-5200)),"")))))</f>
        <v>新F*75240</v>
      </c>
      <c r="S92" s="22" t="str">
        <f t="shared" si="5"/>
        <v>公司筐</v>
      </c>
      <c r="Z92" s="10">
        <f>IFERROR(MATCH(ROW()-3,_自动清单!$CQ$4:$CQ$5803,0),"")</f>
        <v>2056</v>
      </c>
    </row>
    <row r="93" spans="1:26">
      <c r="A93" s="24">
        <f t="shared" si="3"/>
        <v>90</v>
      </c>
      <c r="B93" s="38">
        <f>IF($Z93="","",IF($Z93&lt;=2000,IF(INDEX(包装物料出入库明细!$B$4:$B$2003,$Z93-0)=0,"",INDEX(包装物料出入库明细!$B$4:$B$2003,$Z93-0)),IF($Z93&lt;=4000,IF(INDEX(周转筐出入库明细!$B$4:$B$2004,$Z93-2000)=0,"",INDEX(周转筐出入库明细!$B$4:$B$2004,$Z93-2000)),IF($Z93&lt;=5200,IF(INDEX(客户自备加工筐明细!$B$4:$B$1203,$Z93-4000)=0,"",INDEX(客户自备加工筐明细!$B$4:$B$1203,$Z93-4000)),IF($Z93&lt;=5800,IF(INDEX(次果筐明细!$B$4:$B$603,$Z93-5200)=0,"",INDEX(次果筐明细!$B$4:$B$603,$Z93-5200)),"")))))</f>
        <v>46276</v>
      </c>
      <c r="C93" s="37" t="str">
        <f>IF($Z93="","",IF($Z93&lt;=2000,IF(INDEX(包装物料出入库明细!$D$4:$D$2003,$Z93-0)=0,"",INDEX(包装物料出入库明细!$D$4:$D$2003,$Z93-0)),IF($Z93&lt;=4000,IF(INDEX(周转筐出入库明细!$C$4:$C$2004,$Z93-2000)=0,"",INDEX(周转筐出入库明细!$C$4:$C$2004,$Z93-2000)),IF($Z93&lt;=5200,IF(INDEX(客户自备加工筐明细!$E$4:$E$1203,$Z93-4000)=0,"",INDEX(客户自备加工筐明细!$E$4:$E$1203,$Z93-4000)),IF($Z93&lt;=5800,IF(INDEX(次果筐明细!$C$4:$C$603,$Z93-5200)=0,"",INDEX(次果筐明细!$C$4:$C$603,$Z93-5200)),"")))))</f>
        <v>马锦祥</v>
      </c>
      <c r="D93" s="37" t="str">
        <f>IF($Z93="","",IF($Z93&lt;=2000,"包装物料－"&amp;INDEX(包装物料出入库明细!$H$4:$H$2003,$Z93-0),IF($Z93&lt;=4000,"周转筐－"&amp;INDEX(周转筐出入库明细!$F$4:$F$2004,$Z93-2000),IF($Z93&lt;=5200,"客户自备筐－"&amp;INDEX(客户自备加工筐明细!$J$4:$J$1203,$Z93-4000),IF($Z93&lt;=5800,"次果筐/托盘－"&amp;INDEX(次果筐明细!$F$4:$F$603,$Z93-5200),"")))))</f>
        <v>周转筐－领用出库</v>
      </c>
      <c r="E93" s="24" t="str">
        <f>IF($Z93="","",IF($Z93&lt;=2000,IF(INDEX(包装物料出入库明细!$C$4:$C$2003,$Z93-0)=0,"",INDEX(包装物料出入库明细!$C$4:$C$2003,$Z93-0)),IF($Z93&lt;=4000,IF(INDEX(周转筐出入库明细!$E$4:$E$2004,$Z93-2000)=0,"",INDEX(周转筐出入库明细!$E$4:$E$2004,$Z93-2000)),IF($Z93&lt;=5200,IF(INDEX(客户自备加工筐明细!$D$4:$D$1203,$Z93-4000)=0,"",INDEX(客户自备加工筐明细!$D$4:$D$1203,$Z93-4000)),IF($Z93&lt;=5800,IF(INDEX(次果筐明细!$E$4:$E$603,$Z93-5200)=0,"",INDEX(次果筐明细!$E$4:$E$603,$Z93-5200)),"")))))</f>
        <v>NO:0001114</v>
      </c>
      <c r="F93" s="24" t="str">
        <f>IF($Z93="","",IF($Z93&lt;=2000,IF(INDEX(包装物料出入库明细!$E$4:$E$2003,$Z93-0)=0,"",INDEX(包装物料出入库明细!$E$4:$E$2003,$Z93-0)),IF($Z93&lt;=4000,IF(INDEX(周转筐出入库明细!$D$4:$D$2004,$Z93-2000)=0,"",INDEX(周转筐出入库明细!$D$4:$D$2004,$Z93-2000)),IF($Z93&lt;=5200,IF(INDEX(客户自备加工筐明细!$C$4:$C$1203,$Z93-4000)=0,"",INDEX(客户自备加工筐明细!$C$4:$C$1203,$Z93-4000)),IF($Z93&lt;=5800,IF(INDEX(次果筐明细!$D$4:$D$603,$Z93-5200)=0,"",INDEX(次果筐明细!$D$4:$D$603,$Z93-5200)),"")))))</f>
        <v>公司杂周转筐</v>
      </c>
      <c r="G93" s="24" t="str">
        <f>IF($Z93="","",IF($Z93&lt;=2000,IF(INDEX(包装物料出入库明细!$F$4:$F$2003,$Z93-0)=0,"",INDEX(包装物料出入库明细!$F$4:$F$2003,$Z93-0)),IF($Z93&lt;=4000,"",IF($Z93&lt;=5200,"",IF($Z93&lt;=5800,"","")))))</f>
        <v/>
      </c>
      <c r="H93" s="39">
        <f>IF($Z93="","",IF($Z93&lt;=2000,IF(INDEX(包装物料出入库明细!$L$4:$L$2003,$Z93-0)=0,"",INDEX(包装物料出入库明细!$L$4:$L$2003,$Z93-0)),IF($Z93&lt;=4000,N(INDEX(周转筐出入库明细!$H$4:$H$2004,$Z93-2000))+N(INDEX(周转筐出入库明细!$I$4:$I$2004,$Z93-2000))+N(INDEX(周转筐出入库明细!$J$4:$J$2004,$Z93-2000))+N(INDEX(周转筐出入库明细!$K$4:$K$2004,$Z93-2000)),IF($Z93&lt;=5200,N(INDEX(客户自备加工筐明细!$F$4:$F$1203,$Z93-4000))+N(INDEX(客户自备加工筐明细!$G$4:$G$1203,$Z93-4000)),IF($Z93&lt;=5800,IF(INDEX(次果筐明细!$G$4:$G$603,$Z93-5200)=0,"",INDEX(次果筐明细!$G$4:$G$603,$Z93-5200)),"")))))</f>
        <v>588</v>
      </c>
      <c r="I93" s="24" t="str">
        <f>IF($Z93="","",IF($Z93&lt;=2000,IF(INDEX(包装物料出入库明细!$G$4:$G$2003,$Z93-0)=0,"",INDEX(包装物料出入库明细!$G$4:$G$2003,$Z93-0)),IF($Z93&lt;=4000,"个",IF($Z93&lt;=5200,"个",IF($Z93&lt;=5800,"个","")))))</f>
        <v>个</v>
      </c>
      <c r="J93" s="30" t="str">
        <f t="shared" si="4"/>
        <v/>
      </c>
      <c r="K93" s="30" t="str">
        <f>IF($Z93="","",IF($Z93&lt;=2000,IF(INDEX(包装物料出入库明细!$N$4:$N$2003,$Z93-0)=0,"",INDEX(包装物料出入库明细!$N$4:$N$2003,$Z93-0)),IF($Z93&lt;=4000,IF(INDEX(周转筐出入库明细!$P$4:$P$2004,$Z93-2000)=0,"",INDEX(周转筐出入库明细!$P$4:$P$2004,$Z93-2000)),IF($Z93&lt;=5200,"",IF($Z93&lt;=5800,N(INDEX(次果筐明细!$L$4:$L$603,$Z93-5200))+N(INDEX(次果筐明细!$J$4:$J$603,$Z93-5200)),"")))))</f>
        <v/>
      </c>
      <c r="L93" s="24" t="str">
        <f>IF($Z93="","",IF($Z93&lt;=2000,IF(INDEX(包装物料出入库明细!$P$4:$P$2003,$Z93-0)=0,"",INDEX(包装物料出入库明细!$P$4:$P$2003,$Z93-0)),IF($Z93&lt;=4000,IF(INDEX(周转筐出入库明细!$Q$4:$Q$2004,$Z93-2000)=0,"",INDEX(周转筐出入库明细!$Q$4:$Q$2004,$Z93-2000)),IF($Z93&lt;=5200,"",IF($Z93&lt;=5800,IF(INDEX(次果筐明细!$M$4:$M$603,$Z93-5200)=0,"",INDEX(次果筐明细!$M$4:$M$603,$Z93-5200)),"")))))</f>
        <v/>
      </c>
      <c r="M93" s="37" t="str">
        <f>IF($Z93="","",IF($Z93&lt;=2000,IF(INDEX(包装物料出入库明细!$R$4:$R$2003,$Z93-0)=0,"",INDEX(包装物料出入库明细!$R$4:$R$2003,$Z93-0)),IF($Z93&lt;=4000,IF(INDEX(周转筐出入库明细!$W$4:$W$2004,$Z93-2000)=0,"",INDEX(周转筐出入库明细!$W$4:$W$2004,$Z93-2000)),IF($Z93&lt;=5200,IF(INDEX(客户自备加工筐明细!$L$4:$L$1203,$Z93-4000)=0,"",INDEX(客户自备加工筐明细!$L$4:$L$1203,$Z93-4000)),IF($Z93&lt;=5800,IF(INDEX(次果筐明细!$P$4:$P$603,$Z93-5200)=0,"",INDEX(次果筐明细!$P$4:$P$603,$Z93-5200)),"")))))</f>
        <v/>
      </c>
      <c r="N93" s="16" t="str">
        <f>IF($Z93="","",IF($Z93&lt;=2000,"",IF($Z93&lt;=4000,IF(INDEX(周转筐出入库明细!$D$4:$D$2004,$Z93-2000)=0,"",INDEX(周转筐出入库明细!$D$4:$D$2004,$Z93-2000)),IF($Z93&lt;=5200,IF(INDEX(客户自备加工筐明细!$C$4:$C$1203,$Z93-4000)=0,"",INDEX(客户自备加工筐明细!$C$4:$C$1203,$Z93-4000)),IF($Z93&lt;=5800,IF(INDEX(次果筐明细!$D$4:$D$603,$Z93-5200)=0,"",INDEX(次果筐明细!$D$4:$D$603,$Z93-5200)),"")))))</f>
        <v>公司杂周转筐</v>
      </c>
      <c r="O93" s="40">
        <f>IF($Z93="","",IF($Z93&lt;=2000,"",IF($Z93&lt;=4000,IF(N(INDEX(周转筐出入库明细!$J$4:$J$2004,$Z93-2000))+N(INDEX(周转筐出入库明细!$K$4:$K$2004,$Z93-2000))=0,"",N(INDEX(周转筐出入库明细!$J$4:$J$2004,$Z93-2000))+N(INDEX(周转筐出入库明细!$K$4:$K$2004,$Z93-2000))),IF($Z93&lt;=5200,IF(N(INDEX(客户自备加工筐明细!$G$4:$G$1203,$Z93-4000))=0,"",N(INDEX(客户自备加工筐明细!$G$4:$G$1203,$Z93-4000))),IF($Z93&lt;=5800,IF(ISNUMBER(SEARCH("退",INDEX(次果筐明细!$F$4:$F$603,$Z93-5200)&amp;"")),"",IF(N(INDEX(次果筐明细!$G$4:$G$603,$Z93-5200))=0,"",N(INDEX(次果筐明细!$G$4:$G$603,$Z93-5200)))),"")))))</f>
        <v>588</v>
      </c>
      <c r="P93" s="40" t="str">
        <f>IF($Z93="","",IF($Z93&lt;=2000,"",IF($Z93&lt;=4000,IF(N(INDEX(周转筐出入库明细!$I$4:$I$2004,$Z93-2000))=0,"",N(INDEX(周转筐出入库明细!$I$4:$I$2004,$Z93-2000))),IF($Z93&lt;=5200,"",IF($Z93&lt;=5800,IF(ISNUMBER(SEARCH("退",INDEX(次果筐明细!$F$4:$F$603,$Z93-5200)&amp;"")),IF(N(INDEX(次果筐明细!$G$4:$G$603,$Z93-5200))=0,"",N(INDEX(次果筐明细!$G$4:$G$603,$Z93-5200))),""),"")))))</f>
        <v/>
      </c>
      <c r="Q93" s="40" t="str">
        <f>IF($Z93="","",IF($Z93&lt;=2000,"",IF($Z93&lt;=4000,IF(N(INDEX(周转筐出入库明细!$H$4:$H$2004,$Z93-2000))=0,"",N(INDEX(周转筐出入库明细!$H$4:$H$2004,$Z93-2000))),IF($Z93&lt;=5200,IF(N(INDEX(客户自备加工筐明细!$F$4:$F$1203,$Z93-4000))=0,"",N(INDEX(客户自备加工筐明细!$F$4:$F$1203,$Z93-4000))),IF($Z93&lt;=5800,"","")))))</f>
        <v/>
      </c>
      <c r="R93" s="16" t="str">
        <f>IF($Z93="","",IF($Z93&lt;=2000,IF(INDEX(包装物料出入库明细!$O$4:$O$2003,$Z93-0)=0,"",INDEX(包装物料出入库明细!$O$4:$O$2003,$Z93-0)),IF($Z93&lt;=4000,IF(INDEX(周转筐出入库明细!$M$4:$M$2004,$Z93-2000)=0,"",INDEX(周转筐出入库明细!$M$4:$M$2004,$Z93-2000)),IF($Z93&lt;=5200,IF(INDEX(客户自备加工筐明细!$H$4:$H$1203,$Z93-4000)=0,"",INDEX(客户自备加工筐明细!$H$4:$H$1203,$Z93-4000)),IF($Z93&lt;=5800,IF(INDEX(次果筐明细!$H$4:$H$603,$Z93-5200)=0,"",INDEX(次果筐明细!$H$4:$H$603,$Z93-5200)),"")))))</f>
        <v>新N*K7V85</v>
      </c>
      <c r="S93" s="22" t="str">
        <f t="shared" si="5"/>
        <v>公司筐</v>
      </c>
      <c r="Z93" s="10">
        <f>IFERROR(MATCH(ROW()-3,_自动清单!$CQ$4:$CQ$5803,0),"")</f>
        <v>2057</v>
      </c>
    </row>
    <row r="94" spans="1:26">
      <c r="A94" s="24">
        <f t="shared" si="3"/>
        <v>91</v>
      </c>
      <c r="B94" s="38">
        <f>IF($Z94="","",IF($Z94&lt;=2000,IF(INDEX(包装物料出入库明细!$B$4:$B$2003,$Z94-0)=0,"",INDEX(包装物料出入库明细!$B$4:$B$2003,$Z94-0)),IF($Z94&lt;=4000,IF(INDEX(周转筐出入库明细!$B$4:$B$2004,$Z94-2000)=0,"",INDEX(周转筐出入库明细!$B$4:$B$2004,$Z94-2000)),IF($Z94&lt;=5200,IF(INDEX(客户自备加工筐明细!$B$4:$B$1203,$Z94-4000)=0,"",INDEX(客户自备加工筐明细!$B$4:$B$1203,$Z94-4000)),IF($Z94&lt;=5800,IF(INDEX(次果筐明细!$B$4:$B$603,$Z94-5200)=0,"",INDEX(次果筐明细!$B$4:$B$603,$Z94-5200)),"")))))</f>
        <v>46276</v>
      </c>
      <c r="C94" s="37" t="str">
        <f>IF($Z94="","",IF($Z94&lt;=2000,IF(INDEX(包装物料出入库明细!$D$4:$D$2003,$Z94-0)=0,"",INDEX(包装物料出入库明细!$D$4:$D$2003,$Z94-0)),IF($Z94&lt;=4000,IF(INDEX(周转筐出入库明细!$C$4:$C$2004,$Z94-2000)=0,"",INDEX(周转筐出入库明细!$C$4:$C$2004,$Z94-2000)),IF($Z94&lt;=5200,IF(INDEX(客户自备加工筐明细!$E$4:$E$1203,$Z94-4000)=0,"",INDEX(客户自备加工筐明细!$E$4:$E$1203,$Z94-4000)),IF($Z94&lt;=5800,IF(INDEX(次果筐明细!$C$4:$C$603,$Z94-5200)=0,"",INDEX(次果筐明细!$C$4:$C$603,$Z94-5200)),"")))))</f>
        <v>王照雪</v>
      </c>
      <c r="D94" s="37" t="str">
        <f>IF($Z94="","",IF($Z94&lt;=2000,"包装物料－"&amp;INDEX(包装物料出入库明细!$H$4:$H$2003,$Z94-0),IF($Z94&lt;=4000,"周转筐－"&amp;INDEX(周转筐出入库明细!$F$4:$F$2004,$Z94-2000),IF($Z94&lt;=5200,"客户自备筐－"&amp;INDEX(客户自备加工筐明细!$J$4:$J$1203,$Z94-4000),IF($Z94&lt;=5800,"次果筐/托盘－"&amp;INDEX(次果筐明细!$F$4:$F$603,$Z94-5200),"")))))</f>
        <v>周转筐－领用出库</v>
      </c>
      <c r="E94" s="24" t="str">
        <f>IF($Z94="","",IF($Z94&lt;=2000,IF(INDEX(包装物料出入库明细!$C$4:$C$2003,$Z94-0)=0,"",INDEX(包装物料出入库明细!$C$4:$C$2003,$Z94-0)),IF($Z94&lt;=4000,IF(INDEX(周转筐出入库明细!$E$4:$E$2004,$Z94-2000)=0,"",INDEX(周转筐出入库明细!$E$4:$E$2004,$Z94-2000)),IF($Z94&lt;=5200,IF(INDEX(客户自备加工筐明细!$D$4:$D$1203,$Z94-4000)=0,"",INDEX(客户自备加工筐明细!$D$4:$D$1203,$Z94-4000)),IF($Z94&lt;=5800,IF(INDEX(次果筐明细!$E$4:$E$603,$Z94-5200)=0,"",INDEX(次果筐明细!$E$4:$E$603,$Z94-5200)),"")))))</f>
        <v>NO:0001115</v>
      </c>
      <c r="F94" s="24" t="str">
        <f>IF($Z94="","",IF($Z94&lt;=2000,IF(INDEX(包装物料出入库明细!$E$4:$E$2003,$Z94-0)=0,"",INDEX(包装物料出入库明细!$E$4:$E$2003,$Z94-0)),IF($Z94&lt;=4000,IF(INDEX(周转筐出入库明细!$D$4:$D$2004,$Z94-2000)=0,"",INDEX(周转筐出入库明细!$D$4:$D$2004,$Z94-2000)),IF($Z94&lt;=5200,IF(INDEX(客户自备加工筐明细!$C$4:$C$1203,$Z94-4000)=0,"",INDEX(客户自备加工筐明细!$C$4:$C$1203,$Z94-4000)),IF($Z94&lt;=5800,IF(INDEX(次果筐明细!$D$4:$D$603,$Z94-5200)=0,"",INDEX(次果筐明细!$D$4:$D$603,$Z94-5200)),"")))))</f>
        <v>公司杂周转筐</v>
      </c>
      <c r="G94" s="24" t="str">
        <f>IF($Z94="","",IF($Z94&lt;=2000,IF(INDEX(包装物料出入库明细!$F$4:$F$2003,$Z94-0)=0,"",INDEX(包装物料出入库明细!$F$4:$F$2003,$Z94-0)),IF($Z94&lt;=4000,"",IF($Z94&lt;=5200,"",IF($Z94&lt;=5800,"","")))))</f>
        <v/>
      </c>
      <c r="H94" s="39">
        <f>IF($Z94="","",IF($Z94&lt;=2000,IF(INDEX(包装物料出入库明细!$L$4:$L$2003,$Z94-0)=0,"",INDEX(包装物料出入库明细!$L$4:$L$2003,$Z94-0)),IF($Z94&lt;=4000,N(INDEX(周转筐出入库明细!$H$4:$H$2004,$Z94-2000))+N(INDEX(周转筐出入库明细!$I$4:$I$2004,$Z94-2000))+N(INDEX(周转筐出入库明细!$J$4:$J$2004,$Z94-2000))+N(INDEX(周转筐出入库明细!$K$4:$K$2004,$Z94-2000)),IF($Z94&lt;=5200,N(INDEX(客户自备加工筐明细!$F$4:$F$1203,$Z94-4000))+N(INDEX(客户自备加工筐明细!$G$4:$G$1203,$Z94-4000)),IF($Z94&lt;=5800,IF(INDEX(次果筐明细!$G$4:$G$603,$Z94-5200)=0,"",INDEX(次果筐明细!$G$4:$G$603,$Z94-5200)),"")))))</f>
        <v>213</v>
      </c>
      <c r="I94" s="24" t="str">
        <f>IF($Z94="","",IF($Z94&lt;=2000,IF(INDEX(包装物料出入库明细!$G$4:$G$2003,$Z94-0)=0,"",INDEX(包装物料出入库明细!$G$4:$G$2003,$Z94-0)),IF($Z94&lt;=4000,"个",IF($Z94&lt;=5200,"个",IF($Z94&lt;=5800,"个","")))))</f>
        <v>个</v>
      </c>
      <c r="J94" s="30" t="str">
        <f t="shared" si="4"/>
        <v/>
      </c>
      <c r="K94" s="30" t="str">
        <f>IF($Z94="","",IF($Z94&lt;=2000,IF(INDEX(包装物料出入库明细!$N$4:$N$2003,$Z94-0)=0,"",INDEX(包装物料出入库明细!$N$4:$N$2003,$Z94-0)),IF($Z94&lt;=4000,IF(INDEX(周转筐出入库明细!$P$4:$P$2004,$Z94-2000)=0,"",INDEX(周转筐出入库明细!$P$4:$P$2004,$Z94-2000)),IF($Z94&lt;=5200,"",IF($Z94&lt;=5800,N(INDEX(次果筐明细!$L$4:$L$603,$Z94-5200))+N(INDEX(次果筐明细!$J$4:$J$603,$Z94-5200)),"")))))</f>
        <v/>
      </c>
      <c r="L94" s="24" t="str">
        <f>IF($Z94="","",IF($Z94&lt;=2000,IF(INDEX(包装物料出入库明细!$P$4:$P$2003,$Z94-0)=0,"",INDEX(包装物料出入库明细!$P$4:$P$2003,$Z94-0)),IF($Z94&lt;=4000,IF(INDEX(周转筐出入库明细!$Q$4:$Q$2004,$Z94-2000)=0,"",INDEX(周转筐出入库明细!$Q$4:$Q$2004,$Z94-2000)),IF($Z94&lt;=5200,"",IF($Z94&lt;=5800,IF(INDEX(次果筐明细!$M$4:$M$603,$Z94-5200)=0,"",INDEX(次果筐明细!$M$4:$M$603,$Z94-5200)),"")))))</f>
        <v/>
      </c>
      <c r="M94" s="37" t="str">
        <f>IF($Z94="","",IF($Z94&lt;=2000,IF(INDEX(包装物料出入库明细!$R$4:$R$2003,$Z94-0)=0,"",INDEX(包装物料出入库明细!$R$4:$R$2003,$Z94-0)),IF($Z94&lt;=4000,IF(INDEX(周转筐出入库明细!$W$4:$W$2004,$Z94-2000)=0,"",INDEX(周转筐出入库明细!$W$4:$W$2004,$Z94-2000)),IF($Z94&lt;=5200,IF(INDEX(客户自备加工筐明细!$L$4:$L$1203,$Z94-4000)=0,"",INDEX(客户自备加工筐明细!$L$4:$L$1203,$Z94-4000)),IF($Z94&lt;=5800,IF(INDEX(次果筐明细!$P$4:$P$603,$Z94-5200)=0,"",INDEX(次果筐明细!$P$4:$P$603,$Z94-5200)),"")))))</f>
        <v/>
      </c>
      <c r="N94" s="16" t="str">
        <f>IF($Z94="","",IF($Z94&lt;=2000,"",IF($Z94&lt;=4000,IF(INDEX(周转筐出入库明细!$D$4:$D$2004,$Z94-2000)=0,"",INDEX(周转筐出入库明细!$D$4:$D$2004,$Z94-2000)),IF($Z94&lt;=5200,IF(INDEX(客户自备加工筐明细!$C$4:$C$1203,$Z94-4000)=0,"",INDEX(客户自备加工筐明细!$C$4:$C$1203,$Z94-4000)),IF($Z94&lt;=5800,IF(INDEX(次果筐明细!$D$4:$D$603,$Z94-5200)=0,"",INDEX(次果筐明细!$D$4:$D$603,$Z94-5200)),"")))))</f>
        <v>公司杂周转筐</v>
      </c>
      <c r="O94" s="40">
        <f>IF($Z94="","",IF($Z94&lt;=2000,"",IF($Z94&lt;=4000,IF(N(INDEX(周转筐出入库明细!$J$4:$J$2004,$Z94-2000))+N(INDEX(周转筐出入库明细!$K$4:$K$2004,$Z94-2000))=0,"",N(INDEX(周转筐出入库明细!$J$4:$J$2004,$Z94-2000))+N(INDEX(周转筐出入库明细!$K$4:$K$2004,$Z94-2000))),IF($Z94&lt;=5200,IF(N(INDEX(客户自备加工筐明细!$G$4:$G$1203,$Z94-4000))=0,"",N(INDEX(客户自备加工筐明细!$G$4:$G$1203,$Z94-4000))),IF($Z94&lt;=5800,IF(ISNUMBER(SEARCH("退",INDEX(次果筐明细!$F$4:$F$603,$Z94-5200)&amp;"")),"",IF(N(INDEX(次果筐明细!$G$4:$G$603,$Z94-5200))=0,"",N(INDEX(次果筐明细!$G$4:$G$603,$Z94-5200)))),"")))))</f>
        <v>213</v>
      </c>
      <c r="P94" s="40" t="str">
        <f>IF($Z94="","",IF($Z94&lt;=2000,"",IF($Z94&lt;=4000,IF(N(INDEX(周转筐出入库明细!$I$4:$I$2004,$Z94-2000))=0,"",N(INDEX(周转筐出入库明细!$I$4:$I$2004,$Z94-2000))),IF($Z94&lt;=5200,"",IF($Z94&lt;=5800,IF(ISNUMBER(SEARCH("退",INDEX(次果筐明细!$F$4:$F$603,$Z94-5200)&amp;"")),IF(N(INDEX(次果筐明细!$G$4:$G$603,$Z94-5200))=0,"",N(INDEX(次果筐明细!$G$4:$G$603,$Z94-5200))),""),"")))))</f>
        <v/>
      </c>
      <c r="Q94" s="40" t="str">
        <f>IF($Z94="","",IF($Z94&lt;=2000,"",IF($Z94&lt;=4000,IF(N(INDEX(周转筐出入库明细!$H$4:$H$2004,$Z94-2000))=0,"",N(INDEX(周转筐出入库明细!$H$4:$H$2004,$Z94-2000))),IF($Z94&lt;=5200,IF(N(INDEX(客户自备加工筐明细!$F$4:$F$1203,$Z94-4000))=0,"",N(INDEX(客户自备加工筐明细!$F$4:$F$1203,$Z94-4000))),IF($Z94&lt;=5800,"","")))))</f>
        <v/>
      </c>
      <c r="R94" s="16" t="str">
        <f>IF($Z94="","",IF($Z94&lt;=2000,IF(INDEX(包装物料出入库明细!$O$4:$O$2003,$Z94-0)=0,"",INDEX(包装物料出入库明细!$O$4:$O$2003,$Z94-0)),IF($Z94&lt;=4000,IF(INDEX(周转筐出入库明细!$M$4:$M$2004,$Z94-2000)=0,"",INDEX(周转筐出入库明细!$M$4:$M$2004,$Z94-2000)),IF($Z94&lt;=5200,IF(INDEX(客户自备加工筐明细!$H$4:$H$1203,$Z94-4000)=0,"",INDEX(客户自备加工筐明细!$H$4:$H$1203,$Z94-4000)),IF($Z94&lt;=5800,IF(INDEX(次果筐明细!$H$4:$H$603,$Z94-5200)=0,"",INDEX(次果筐明细!$H$4:$H$603,$Z94-5200)),"")))))</f>
        <v>豫L*88X19</v>
      </c>
      <c r="S94" s="22" t="str">
        <f t="shared" si="5"/>
        <v>公司筐</v>
      </c>
      <c r="Z94" s="10">
        <f>IFERROR(MATCH(ROW()-3,_自动清单!$CQ$4:$CQ$5803,0),"")</f>
        <v>2058</v>
      </c>
    </row>
    <row r="95" spans="1:26">
      <c r="A95" s="24">
        <f t="shared" si="3"/>
        <v>92</v>
      </c>
      <c r="B95" s="38">
        <f>IF($Z95="","",IF($Z95&lt;=2000,IF(INDEX(包装物料出入库明细!$B$4:$B$2003,$Z95-0)=0,"",INDEX(包装物料出入库明细!$B$4:$B$2003,$Z95-0)),IF($Z95&lt;=4000,IF(INDEX(周转筐出入库明细!$B$4:$B$2004,$Z95-2000)=0,"",INDEX(周转筐出入库明细!$B$4:$B$2004,$Z95-2000)),IF($Z95&lt;=5200,IF(INDEX(客户自备加工筐明细!$B$4:$B$1203,$Z95-4000)=0,"",INDEX(客户自备加工筐明细!$B$4:$B$1203,$Z95-4000)),IF($Z95&lt;=5800,IF(INDEX(次果筐明细!$B$4:$B$603,$Z95-5200)=0,"",INDEX(次果筐明细!$B$4:$B$603,$Z95-5200)),"")))))</f>
        <v>46276</v>
      </c>
      <c r="C95" s="37" t="str">
        <f>IF($Z95="","",IF($Z95&lt;=2000,IF(INDEX(包装物料出入库明细!$D$4:$D$2003,$Z95-0)=0,"",INDEX(包装物料出入库明细!$D$4:$D$2003,$Z95-0)),IF($Z95&lt;=4000,IF(INDEX(周转筐出入库明细!$C$4:$C$2004,$Z95-2000)=0,"",INDEX(周转筐出入库明细!$C$4:$C$2004,$Z95-2000)),IF($Z95&lt;=5200,IF(INDEX(客户自备加工筐明细!$E$4:$E$1203,$Z95-4000)=0,"",INDEX(客户自备加工筐明细!$E$4:$E$1203,$Z95-4000)),IF($Z95&lt;=5800,IF(INDEX(次果筐明细!$C$4:$C$603,$Z95-5200)=0,"",INDEX(次果筐明细!$C$4:$C$603,$Z95-5200)),"")))))</f>
        <v>王照雪</v>
      </c>
      <c r="D95" s="37" t="str">
        <f>IF($Z95="","",IF($Z95&lt;=2000,"包装物料－"&amp;INDEX(包装物料出入库明细!$H$4:$H$2003,$Z95-0),IF($Z95&lt;=4000,"周转筐－"&amp;INDEX(周转筐出入库明细!$F$4:$F$2004,$Z95-2000),IF($Z95&lt;=5200,"客户自备筐－"&amp;INDEX(客户自备加工筐明细!$J$4:$J$1203,$Z95-4000),IF($Z95&lt;=5800,"次果筐/托盘－"&amp;INDEX(次果筐明细!$F$4:$F$603,$Z95-5200),"")))))</f>
        <v>周转筐－领用出库</v>
      </c>
      <c r="E95" s="24" t="str">
        <f>IF($Z95="","",IF($Z95&lt;=2000,IF(INDEX(包装物料出入库明细!$C$4:$C$2003,$Z95-0)=0,"",INDEX(包装物料出入库明细!$C$4:$C$2003,$Z95-0)),IF($Z95&lt;=4000,IF(INDEX(周转筐出入库明细!$E$4:$E$2004,$Z95-2000)=0,"",INDEX(周转筐出入库明细!$E$4:$E$2004,$Z95-2000)),IF($Z95&lt;=5200,IF(INDEX(客户自备加工筐明细!$D$4:$D$1203,$Z95-4000)=0,"",INDEX(客户自备加工筐明细!$D$4:$D$1203,$Z95-4000)),IF($Z95&lt;=5800,IF(INDEX(次果筐明细!$E$4:$E$603,$Z95-5200)=0,"",INDEX(次果筐明细!$E$4:$E$603,$Z95-5200)),"")))))</f>
        <v>NO:0001116</v>
      </c>
      <c r="F95" s="24" t="str">
        <f>IF($Z95="","",IF($Z95&lt;=2000,IF(INDEX(包装物料出入库明细!$E$4:$E$2003,$Z95-0)=0,"",INDEX(包装物料出入库明细!$E$4:$E$2003,$Z95-0)),IF($Z95&lt;=4000,IF(INDEX(周转筐出入库明细!$D$4:$D$2004,$Z95-2000)=0,"",INDEX(周转筐出入库明细!$D$4:$D$2004,$Z95-2000)),IF($Z95&lt;=5200,IF(INDEX(客户自备加工筐明细!$C$4:$C$1203,$Z95-4000)=0,"",INDEX(客户自备加工筐明细!$C$4:$C$1203,$Z95-4000)),IF($Z95&lt;=5800,IF(INDEX(次果筐明细!$D$4:$D$603,$Z95-5200)=0,"",INDEX(次果筐明细!$D$4:$D$603,$Z95-5200)),"")))))</f>
        <v>公司杂周转筐</v>
      </c>
      <c r="G95" s="24" t="str">
        <f>IF($Z95="","",IF($Z95&lt;=2000,IF(INDEX(包装物料出入库明细!$F$4:$F$2003,$Z95-0)=0,"",INDEX(包装物料出入库明细!$F$4:$F$2003,$Z95-0)),IF($Z95&lt;=4000,"",IF($Z95&lt;=5200,"",IF($Z95&lt;=5800,"","")))))</f>
        <v/>
      </c>
      <c r="H95" s="39">
        <f>IF($Z95="","",IF($Z95&lt;=2000,IF(INDEX(包装物料出入库明细!$L$4:$L$2003,$Z95-0)=0,"",INDEX(包装物料出入库明细!$L$4:$L$2003,$Z95-0)),IF($Z95&lt;=4000,N(INDEX(周转筐出入库明细!$H$4:$H$2004,$Z95-2000))+N(INDEX(周转筐出入库明细!$I$4:$I$2004,$Z95-2000))+N(INDEX(周转筐出入库明细!$J$4:$J$2004,$Z95-2000))+N(INDEX(周转筐出入库明细!$K$4:$K$2004,$Z95-2000)),IF($Z95&lt;=5200,N(INDEX(客户自备加工筐明细!$F$4:$F$1203,$Z95-4000))+N(INDEX(客户自备加工筐明细!$G$4:$G$1203,$Z95-4000)),IF($Z95&lt;=5800,IF(INDEX(次果筐明细!$G$4:$G$603,$Z95-5200)=0,"",INDEX(次果筐明细!$G$4:$G$603,$Z95-5200)),"")))))</f>
        <v>423</v>
      </c>
      <c r="I95" s="24" t="str">
        <f>IF($Z95="","",IF($Z95&lt;=2000,IF(INDEX(包装物料出入库明细!$G$4:$G$2003,$Z95-0)=0,"",INDEX(包装物料出入库明细!$G$4:$G$2003,$Z95-0)),IF($Z95&lt;=4000,"个",IF($Z95&lt;=5200,"个",IF($Z95&lt;=5800,"个","")))))</f>
        <v>个</v>
      </c>
      <c r="J95" s="30" t="str">
        <f t="shared" si="4"/>
        <v/>
      </c>
      <c r="K95" s="30" t="str">
        <f>IF($Z95="","",IF($Z95&lt;=2000,IF(INDEX(包装物料出入库明细!$N$4:$N$2003,$Z95-0)=0,"",INDEX(包装物料出入库明细!$N$4:$N$2003,$Z95-0)),IF($Z95&lt;=4000,IF(INDEX(周转筐出入库明细!$P$4:$P$2004,$Z95-2000)=0,"",INDEX(周转筐出入库明细!$P$4:$P$2004,$Z95-2000)),IF($Z95&lt;=5200,"",IF($Z95&lt;=5800,N(INDEX(次果筐明细!$L$4:$L$603,$Z95-5200))+N(INDEX(次果筐明细!$J$4:$J$603,$Z95-5200)),"")))))</f>
        <v/>
      </c>
      <c r="L95" s="24" t="str">
        <f>IF($Z95="","",IF($Z95&lt;=2000,IF(INDEX(包装物料出入库明细!$P$4:$P$2003,$Z95-0)=0,"",INDEX(包装物料出入库明细!$P$4:$P$2003,$Z95-0)),IF($Z95&lt;=4000,IF(INDEX(周转筐出入库明细!$Q$4:$Q$2004,$Z95-2000)=0,"",INDEX(周转筐出入库明细!$Q$4:$Q$2004,$Z95-2000)),IF($Z95&lt;=5200,"",IF($Z95&lt;=5800,IF(INDEX(次果筐明细!$M$4:$M$603,$Z95-5200)=0,"",INDEX(次果筐明细!$M$4:$M$603,$Z95-5200)),"")))))</f>
        <v/>
      </c>
      <c r="M95" s="37" t="str">
        <f>IF($Z95="","",IF($Z95&lt;=2000,IF(INDEX(包装物料出入库明细!$R$4:$R$2003,$Z95-0)=0,"",INDEX(包装物料出入库明细!$R$4:$R$2003,$Z95-0)),IF($Z95&lt;=4000,IF(INDEX(周转筐出入库明细!$W$4:$W$2004,$Z95-2000)=0,"",INDEX(周转筐出入库明细!$W$4:$W$2004,$Z95-2000)),IF($Z95&lt;=5200,IF(INDEX(客户自备加工筐明细!$L$4:$L$1203,$Z95-4000)=0,"",INDEX(客户自备加工筐明细!$L$4:$L$1203,$Z95-4000)),IF($Z95&lt;=5800,IF(INDEX(次果筐明细!$P$4:$P$603,$Z95-5200)=0,"",INDEX(次果筐明细!$P$4:$P$603,$Z95-5200)),"")))))</f>
        <v/>
      </c>
      <c r="N95" s="16" t="str">
        <f>IF($Z95="","",IF($Z95&lt;=2000,"",IF($Z95&lt;=4000,IF(INDEX(周转筐出入库明细!$D$4:$D$2004,$Z95-2000)=0,"",INDEX(周转筐出入库明细!$D$4:$D$2004,$Z95-2000)),IF($Z95&lt;=5200,IF(INDEX(客户自备加工筐明细!$C$4:$C$1203,$Z95-4000)=0,"",INDEX(客户自备加工筐明细!$C$4:$C$1203,$Z95-4000)),IF($Z95&lt;=5800,IF(INDEX(次果筐明细!$D$4:$D$603,$Z95-5200)=0,"",INDEX(次果筐明细!$D$4:$D$603,$Z95-5200)),"")))))</f>
        <v>公司杂周转筐</v>
      </c>
      <c r="O95" s="40">
        <f>IF($Z95="","",IF($Z95&lt;=2000,"",IF($Z95&lt;=4000,IF(N(INDEX(周转筐出入库明细!$J$4:$J$2004,$Z95-2000))+N(INDEX(周转筐出入库明细!$K$4:$K$2004,$Z95-2000))=0,"",N(INDEX(周转筐出入库明细!$J$4:$J$2004,$Z95-2000))+N(INDEX(周转筐出入库明细!$K$4:$K$2004,$Z95-2000))),IF($Z95&lt;=5200,IF(N(INDEX(客户自备加工筐明细!$G$4:$G$1203,$Z95-4000))=0,"",N(INDEX(客户自备加工筐明细!$G$4:$G$1203,$Z95-4000))),IF($Z95&lt;=5800,IF(ISNUMBER(SEARCH("退",INDEX(次果筐明细!$F$4:$F$603,$Z95-5200)&amp;"")),"",IF(N(INDEX(次果筐明细!$G$4:$G$603,$Z95-5200))=0,"",N(INDEX(次果筐明细!$G$4:$G$603,$Z95-5200)))),"")))))</f>
        <v>423</v>
      </c>
      <c r="P95" s="40" t="str">
        <f>IF($Z95="","",IF($Z95&lt;=2000,"",IF($Z95&lt;=4000,IF(N(INDEX(周转筐出入库明细!$I$4:$I$2004,$Z95-2000))=0,"",N(INDEX(周转筐出入库明细!$I$4:$I$2004,$Z95-2000))),IF($Z95&lt;=5200,"",IF($Z95&lt;=5800,IF(ISNUMBER(SEARCH("退",INDEX(次果筐明细!$F$4:$F$603,$Z95-5200)&amp;"")),IF(N(INDEX(次果筐明细!$G$4:$G$603,$Z95-5200))=0,"",N(INDEX(次果筐明细!$G$4:$G$603,$Z95-5200))),""),"")))))</f>
        <v/>
      </c>
      <c r="Q95" s="40" t="str">
        <f>IF($Z95="","",IF($Z95&lt;=2000,"",IF($Z95&lt;=4000,IF(N(INDEX(周转筐出入库明细!$H$4:$H$2004,$Z95-2000))=0,"",N(INDEX(周转筐出入库明细!$H$4:$H$2004,$Z95-2000))),IF($Z95&lt;=5200,IF(N(INDEX(客户自备加工筐明细!$F$4:$F$1203,$Z95-4000))=0,"",N(INDEX(客户自备加工筐明细!$F$4:$F$1203,$Z95-4000))),IF($Z95&lt;=5800,"","")))))</f>
        <v/>
      </c>
      <c r="R95" s="16" t="str">
        <f>IF($Z95="","",IF($Z95&lt;=2000,IF(INDEX(包装物料出入库明细!$O$4:$O$2003,$Z95-0)=0,"",INDEX(包装物料出入库明细!$O$4:$O$2003,$Z95-0)),IF($Z95&lt;=4000,IF(INDEX(周转筐出入库明细!$M$4:$M$2004,$Z95-2000)=0,"",INDEX(周转筐出入库明细!$M$4:$M$2004,$Z95-2000)),IF($Z95&lt;=5200,IF(INDEX(客户自备加工筐明细!$H$4:$H$1203,$Z95-4000)=0,"",INDEX(客户自备加工筐明细!$H$4:$H$1203,$Z95-4000)),IF($Z95&lt;=5800,IF(INDEX(次果筐明细!$H$4:$H$603,$Z95-5200)=0,"",INDEX(次果筐明细!$H$4:$H$603,$Z95-5200)),"")))))</f>
        <v>豫L*88X19</v>
      </c>
      <c r="S95" s="22" t="str">
        <f t="shared" si="5"/>
        <v>公司筐</v>
      </c>
      <c r="Z95" s="10">
        <f>IFERROR(MATCH(ROW()-3,_自动清单!$CQ$4:$CQ$5803,0),"")</f>
        <v>2059</v>
      </c>
    </row>
    <row r="96" spans="1:26">
      <c r="A96" s="24">
        <f t="shared" si="3"/>
        <v>93</v>
      </c>
      <c r="B96" s="38">
        <f>IF($Z96="","",IF($Z96&lt;=2000,IF(INDEX(包装物料出入库明细!$B$4:$B$2003,$Z96-0)=0,"",INDEX(包装物料出入库明细!$B$4:$B$2003,$Z96-0)),IF($Z96&lt;=4000,IF(INDEX(周转筐出入库明细!$B$4:$B$2004,$Z96-2000)=0,"",INDEX(周转筐出入库明细!$B$4:$B$2004,$Z96-2000)),IF($Z96&lt;=5200,IF(INDEX(客户自备加工筐明细!$B$4:$B$1203,$Z96-4000)=0,"",INDEX(客户自备加工筐明细!$B$4:$B$1203,$Z96-4000)),IF($Z96&lt;=5800,IF(INDEX(次果筐明细!$B$4:$B$603,$Z96-5200)=0,"",INDEX(次果筐明细!$B$4:$B$603,$Z96-5200)),"")))))</f>
        <v>46276</v>
      </c>
      <c r="C96" s="37" t="str">
        <f>IF($Z96="","",IF($Z96&lt;=2000,IF(INDEX(包装物料出入库明细!$D$4:$D$2003,$Z96-0)=0,"",INDEX(包装物料出入库明细!$D$4:$D$2003,$Z96-0)),IF($Z96&lt;=4000,IF(INDEX(周转筐出入库明细!$C$4:$C$2004,$Z96-2000)=0,"",INDEX(周转筐出入库明细!$C$4:$C$2004,$Z96-2000)),IF($Z96&lt;=5200,IF(INDEX(客户自备加工筐明细!$E$4:$E$1203,$Z96-4000)=0,"",INDEX(客户自备加工筐明细!$E$4:$E$1203,$Z96-4000)),IF($Z96&lt;=5800,IF(INDEX(次果筐明细!$C$4:$C$603,$Z96-5200)=0,"",INDEX(次果筐明细!$C$4:$C$603,$Z96-5200)),"")))))</f>
        <v>努尔敦</v>
      </c>
      <c r="D96" s="37" t="str">
        <f>IF($Z96="","",IF($Z96&lt;=2000,"包装物料－"&amp;INDEX(包装物料出入库明细!$H$4:$H$2003,$Z96-0),IF($Z96&lt;=4000,"周转筐－"&amp;INDEX(周转筐出入库明细!$F$4:$F$2004,$Z96-2000),IF($Z96&lt;=5200,"客户自备筐－"&amp;INDEX(客户自备加工筐明细!$J$4:$J$1203,$Z96-4000),IF($Z96&lt;=5800,"次果筐/托盘－"&amp;INDEX(次果筐明细!$F$4:$F$603,$Z96-5200),"")))))</f>
        <v>周转筐－领用出库</v>
      </c>
      <c r="E96" s="24" t="str">
        <f>IF($Z96="","",IF($Z96&lt;=2000,IF(INDEX(包装物料出入库明细!$C$4:$C$2003,$Z96-0)=0,"",INDEX(包装物料出入库明细!$C$4:$C$2003,$Z96-0)),IF($Z96&lt;=4000,IF(INDEX(周转筐出入库明细!$E$4:$E$2004,$Z96-2000)=0,"",INDEX(周转筐出入库明细!$E$4:$E$2004,$Z96-2000)),IF($Z96&lt;=5200,IF(INDEX(客户自备加工筐明细!$D$4:$D$1203,$Z96-4000)=0,"",INDEX(客户自备加工筐明细!$D$4:$D$1203,$Z96-4000)),IF($Z96&lt;=5800,IF(INDEX(次果筐明细!$E$4:$E$603,$Z96-5200)=0,"",INDEX(次果筐明细!$E$4:$E$603,$Z96-5200)),"")))))</f>
        <v>NO:0001118</v>
      </c>
      <c r="F96" s="24" t="str">
        <f>IF($Z96="","",IF($Z96&lt;=2000,IF(INDEX(包装物料出入库明细!$E$4:$E$2003,$Z96-0)=0,"",INDEX(包装物料出入库明细!$E$4:$E$2003,$Z96-0)),IF($Z96&lt;=4000,IF(INDEX(周转筐出入库明细!$D$4:$D$2004,$Z96-2000)=0,"",INDEX(周转筐出入库明细!$D$4:$D$2004,$Z96-2000)),IF($Z96&lt;=5200,IF(INDEX(客户自备加工筐明细!$C$4:$C$1203,$Z96-4000)=0,"",INDEX(客户自备加工筐明细!$C$4:$C$1203,$Z96-4000)),IF($Z96&lt;=5800,IF(INDEX(次果筐明细!$D$4:$D$603,$Z96-5200)=0,"",INDEX(次果筐明细!$D$4:$D$603,$Z96-5200)),"")))))</f>
        <v>公司红周转筐</v>
      </c>
      <c r="G96" s="24" t="str">
        <f>IF($Z96="","",IF($Z96&lt;=2000,IF(INDEX(包装物料出入库明细!$F$4:$F$2003,$Z96-0)=0,"",INDEX(包装物料出入库明细!$F$4:$F$2003,$Z96-0)),IF($Z96&lt;=4000,"",IF($Z96&lt;=5200,"",IF($Z96&lt;=5800,"","")))))</f>
        <v/>
      </c>
      <c r="H96" s="39">
        <f>IF($Z96="","",IF($Z96&lt;=2000,IF(INDEX(包装物料出入库明细!$L$4:$L$2003,$Z96-0)=0,"",INDEX(包装物料出入库明细!$L$4:$L$2003,$Z96-0)),IF($Z96&lt;=4000,N(INDEX(周转筐出入库明细!$H$4:$H$2004,$Z96-2000))+N(INDEX(周转筐出入库明细!$I$4:$I$2004,$Z96-2000))+N(INDEX(周转筐出入库明细!$J$4:$J$2004,$Z96-2000))+N(INDEX(周转筐出入库明细!$K$4:$K$2004,$Z96-2000)),IF($Z96&lt;=5200,N(INDEX(客户自备加工筐明细!$F$4:$F$1203,$Z96-4000))+N(INDEX(客户自备加工筐明细!$G$4:$G$1203,$Z96-4000)),IF($Z96&lt;=5800,IF(INDEX(次果筐明细!$G$4:$G$603,$Z96-5200)=0,"",INDEX(次果筐明细!$G$4:$G$603,$Z96-5200)),"")))))</f>
        <v>936</v>
      </c>
      <c r="I96" s="24" t="str">
        <f>IF($Z96="","",IF($Z96&lt;=2000,IF(INDEX(包装物料出入库明细!$G$4:$G$2003,$Z96-0)=0,"",INDEX(包装物料出入库明细!$G$4:$G$2003,$Z96-0)),IF($Z96&lt;=4000,"个",IF($Z96&lt;=5200,"个",IF($Z96&lt;=5800,"个","")))))</f>
        <v>个</v>
      </c>
      <c r="J96" s="30" t="str">
        <f t="shared" si="4"/>
        <v/>
      </c>
      <c r="K96" s="30" t="str">
        <f>IF($Z96="","",IF($Z96&lt;=2000,IF(INDEX(包装物料出入库明细!$N$4:$N$2003,$Z96-0)=0,"",INDEX(包装物料出入库明细!$N$4:$N$2003,$Z96-0)),IF($Z96&lt;=4000,IF(INDEX(周转筐出入库明细!$P$4:$P$2004,$Z96-2000)=0,"",INDEX(周转筐出入库明细!$P$4:$P$2004,$Z96-2000)),IF($Z96&lt;=5200,"",IF($Z96&lt;=5800,N(INDEX(次果筐明细!$L$4:$L$603,$Z96-5200))+N(INDEX(次果筐明细!$J$4:$J$603,$Z96-5200)),"")))))</f>
        <v/>
      </c>
      <c r="L96" s="24" t="str">
        <f>IF($Z96="","",IF($Z96&lt;=2000,IF(INDEX(包装物料出入库明细!$P$4:$P$2003,$Z96-0)=0,"",INDEX(包装物料出入库明细!$P$4:$P$2003,$Z96-0)),IF($Z96&lt;=4000,IF(INDEX(周转筐出入库明细!$Q$4:$Q$2004,$Z96-2000)=0,"",INDEX(周转筐出入库明细!$Q$4:$Q$2004,$Z96-2000)),IF($Z96&lt;=5200,"",IF($Z96&lt;=5800,IF(INDEX(次果筐明细!$M$4:$M$603,$Z96-5200)=0,"",INDEX(次果筐明细!$M$4:$M$603,$Z96-5200)),"")))))</f>
        <v/>
      </c>
      <c r="M96" s="37" t="str">
        <f>IF($Z96="","",IF($Z96&lt;=2000,IF(INDEX(包装物料出入库明细!$R$4:$R$2003,$Z96-0)=0,"",INDEX(包装物料出入库明细!$R$4:$R$2003,$Z96-0)),IF($Z96&lt;=4000,IF(INDEX(周转筐出入库明细!$W$4:$W$2004,$Z96-2000)=0,"",INDEX(周转筐出入库明细!$W$4:$W$2004,$Z96-2000)),IF($Z96&lt;=5200,IF(INDEX(客户自备加工筐明细!$L$4:$L$1203,$Z96-4000)=0,"",INDEX(客户自备加工筐明细!$L$4:$L$1203,$Z96-4000)),IF($Z96&lt;=5800,IF(INDEX(次果筐明细!$P$4:$P$603,$Z96-5200)=0,"",INDEX(次果筐明细!$P$4:$P$603,$Z96-5200)),"")))))</f>
        <v/>
      </c>
      <c r="N96" s="16" t="str">
        <f>IF($Z96="","",IF($Z96&lt;=2000,"",IF($Z96&lt;=4000,IF(INDEX(周转筐出入库明细!$D$4:$D$2004,$Z96-2000)=0,"",INDEX(周转筐出入库明细!$D$4:$D$2004,$Z96-2000)),IF($Z96&lt;=5200,IF(INDEX(客户自备加工筐明细!$C$4:$C$1203,$Z96-4000)=0,"",INDEX(客户自备加工筐明细!$C$4:$C$1203,$Z96-4000)),IF($Z96&lt;=5800,IF(INDEX(次果筐明细!$D$4:$D$603,$Z96-5200)=0,"",INDEX(次果筐明细!$D$4:$D$603,$Z96-5200)),"")))))</f>
        <v>公司红周转筐</v>
      </c>
      <c r="O96" s="40">
        <f>IF($Z96="","",IF($Z96&lt;=2000,"",IF($Z96&lt;=4000,IF(N(INDEX(周转筐出入库明细!$J$4:$J$2004,$Z96-2000))+N(INDEX(周转筐出入库明细!$K$4:$K$2004,$Z96-2000))=0,"",N(INDEX(周转筐出入库明细!$J$4:$J$2004,$Z96-2000))+N(INDEX(周转筐出入库明细!$K$4:$K$2004,$Z96-2000))),IF($Z96&lt;=5200,IF(N(INDEX(客户自备加工筐明细!$G$4:$G$1203,$Z96-4000))=0,"",N(INDEX(客户自备加工筐明细!$G$4:$G$1203,$Z96-4000))),IF($Z96&lt;=5800,IF(ISNUMBER(SEARCH("退",INDEX(次果筐明细!$F$4:$F$603,$Z96-5200)&amp;"")),"",IF(N(INDEX(次果筐明细!$G$4:$G$603,$Z96-5200))=0,"",N(INDEX(次果筐明细!$G$4:$G$603,$Z96-5200)))),"")))))</f>
        <v>936</v>
      </c>
      <c r="P96" s="40" t="str">
        <f>IF($Z96="","",IF($Z96&lt;=2000,"",IF($Z96&lt;=4000,IF(N(INDEX(周转筐出入库明细!$I$4:$I$2004,$Z96-2000))=0,"",N(INDEX(周转筐出入库明细!$I$4:$I$2004,$Z96-2000))),IF($Z96&lt;=5200,"",IF($Z96&lt;=5800,IF(ISNUMBER(SEARCH("退",INDEX(次果筐明细!$F$4:$F$603,$Z96-5200)&amp;"")),IF(N(INDEX(次果筐明细!$G$4:$G$603,$Z96-5200))=0,"",N(INDEX(次果筐明细!$G$4:$G$603,$Z96-5200))),""),"")))))</f>
        <v/>
      </c>
      <c r="Q96" s="40" t="str">
        <f>IF($Z96="","",IF($Z96&lt;=2000,"",IF($Z96&lt;=4000,IF(N(INDEX(周转筐出入库明细!$H$4:$H$2004,$Z96-2000))=0,"",N(INDEX(周转筐出入库明细!$H$4:$H$2004,$Z96-2000))),IF($Z96&lt;=5200,IF(N(INDEX(客户自备加工筐明细!$F$4:$F$1203,$Z96-4000))=0,"",N(INDEX(客户自备加工筐明细!$F$4:$F$1203,$Z96-4000))),IF($Z96&lt;=5800,"","")))))</f>
        <v/>
      </c>
      <c r="R96" s="16" t="str">
        <f>IF($Z96="","",IF($Z96&lt;=2000,IF(INDEX(包装物料出入库明细!$O$4:$O$2003,$Z96-0)=0,"",INDEX(包装物料出入库明细!$O$4:$O$2003,$Z96-0)),IF($Z96&lt;=4000,IF(INDEX(周转筐出入库明细!$M$4:$M$2004,$Z96-2000)=0,"",INDEX(周转筐出入库明细!$M$4:$M$2004,$Z96-2000)),IF($Z96&lt;=5200,IF(INDEX(客户自备加工筐明细!$H$4:$H$1203,$Z96-4000)=0,"",INDEX(客户自备加工筐明细!$H$4:$H$1203,$Z96-4000)),IF($Z96&lt;=5800,IF(INDEX(次果筐明细!$H$4:$H$603,$Z96-5200)=0,"",INDEX(次果筐明细!$H$4:$H$603,$Z96-5200)),"")))))</f>
        <v>新F*75240</v>
      </c>
      <c r="S96" s="22" t="str">
        <f t="shared" si="5"/>
        <v>公司筐</v>
      </c>
      <c r="Z96" s="10">
        <f>IFERROR(MATCH(ROW()-3,_自动清单!$CQ$4:$CQ$5803,0),"")</f>
        <v>2060</v>
      </c>
    </row>
    <row r="97" spans="1:26">
      <c r="A97" s="24">
        <f t="shared" si="3"/>
        <v>94</v>
      </c>
      <c r="B97" s="38">
        <f>IF($Z97="","",IF($Z97&lt;=2000,IF(INDEX(包装物料出入库明细!$B$4:$B$2003,$Z97-0)=0,"",INDEX(包装物料出入库明细!$B$4:$B$2003,$Z97-0)),IF($Z97&lt;=4000,IF(INDEX(周转筐出入库明细!$B$4:$B$2004,$Z97-2000)=0,"",INDEX(周转筐出入库明细!$B$4:$B$2004,$Z97-2000)),IF($Z97&lt;=5200,IF(INDEX(客户自备加工筐明细!$B$4:$B$1203,$Z97-4000)=0,"",INDEX(客户自备加工筐明细!$B$4:$B$1203,$Z97-4000)),IF($Z97&lt;=5800,IF(INDEX(次果筐明细!$B$4:$B$603,$Z97-5200)=0,"",INDEX(次果筐明细!$B$4:$B$603,$Z97-5200)),"")))))</f>
        <v>46276</v>
      </c>
      <c r="C97" s="37" t="str">
        <f>IF($Z97="","",IF($Z97&lt;=2000,IF(INDEX(包装物料出入库明细!$D$4:$D$2003,$Z97-0)=0,"",INDEX(包装物料出入库明细!$D$4:$D$2003,$Z97-0)),IF($Z97&lt;=4000,IF(INDEX(周转筐出入库明细!$C$4:$C$2004,$Z97-2000)=0,"",INDEX(周转筐出入库明细!$C$4:$C$2004,$Z97-2000)),IF($Z97&lt;=5200,IF(INDEX(客户自备加工筐明细!$E$4:$E$1203,$Z97-4000)=0,"",INDEX(客户自备加工筐明细!$E$4:$E$1203,$Z97-4000)),IF($Z97&lt;=5800,IF(INDEX(次果筐明细!$C$4:$C$603,$Z97-5200)=0,"",INDEX(次果筐明细!$C$4:$C$603,$Z97-5200)),"")))))</f>
        <v>全修塑业</v>
      </c>
      <c r="D97" s="37" t="str">
        <f>IF($Z97="","",IF($Z97&lt;=2000,"包装物料－"&amp;INDEX(包装物料出入库明细!$H$4:$H$2003,$Z97-0),IF($Z97&lt;=4000,"周转筐－"&amp;INDEX(周转筐出入库明细!$F$4:$F$2004,$Z97-2000),IF($Z97&lt;=5200,"客户自备筐－"&amp;INDEX(客户自备加工筐明细!$J$4:$J$1203,$Z97-4000),IF($Z97&lt;=5800,"次果筐/托盘－"&amp;INDEX(次果筐明细!$F$4:$F$603,$Z97-5200),"")))))</f>
        <v>周转筐－采购入库</v>
      </c>
      <c r="E97" s="24" t="str">
        <f>IF($Z97="","",IF($Z97&lt;=2000,IF(INDEX(包装物料出入库明细!$C$4:$C$2003,$Z97-0)=0,"",INDEX(包装物料出入库明细!$C$4:$C$2003,$Z97-0)),IF($Z97&lt;=4000,IF(INDEX(周转筐出入库明细!$E$4:$E$2004,$Z97-2000)=0,"",INDEX(周转筐出入库明细!$E$4:$E$2004,$Z97-2000)),IF($Z97&lt;=5200,IF(INDEX(客户自备加工筐明细!$D$4:$D$1203,$Z97-4000)=0,"",INDEX(客户自备加工筐明细!$D$4:$D$1203,$Z97-4000)),IF($Z97&lt;=5800,IF(INDEX(次果筐明细!$E$4:$E$603,$Z97-5200)=0,"",INDEX(次果筐明细!$E$4:$E$603,$Z97-5200)),"")))))</f>
        <v>NO:0000785</v>
      </c>
      <c r="F97" s="24" t="str">
        <f>IF($Z97="","",IF($Z97&lt;=2000,IF(INDEX(包装物料出入库明细!$E$4:$E$2003,$Z97-0)=0,"",INDEX(包装物料出入库明细!$E$4:$E$2003,$Z97-0)),IF($Z97&lt;=4000,IF(INDEX(周转筐出入库明细!$D$4:$D$2004,$Z97-2000)=0,"",INDEX(周转筐出入库明细!$D$4:$D$2004,$Z97-2000)),IF($Z97&lt;=5200,IF(INDEX(客户自备加工筐明细!$C$4:$C$1203,$Z97-4000)=0,"",INDEX(客户自备加工筐明细!$C$4:$C$1203,$Z97-4000)),IF($Z97&lt;=5800,IF(INDEX(次果筐明细!$D$4:$D$603,$Z97-5200)=0,"",INDEX(次果筐明细!$D$4:$D$603,$Z97-5200)),"")))))</f>
        <v>公司红周转筐</v>
      </c>
      <c r="G97" s="24" t="str">
        <f>IF($Z97="","",IF($Z97&lt;=2000,IF(INDEX(包装物料出入库明细!$F$4:$F$2003,$Z97-0)=0,"",INDEX(包装物料出入库明细!$F$4:$F$2003,$Z97-0)),IF($Z97&lt;=4000,"",IF($Z97&lt;=5200,"",IF($Z97&lt;=5800,"","")))))</f>
        <v/>
      </c>
      <c r="H97" s="39">
        <f>IF($Z97="","",IF($Z97&lt;=2000,IF(INDEX(包装物料出入库明细!$L$4:$L$2003,$Z97-0)=0,"",INDEX(包装物料出入库明细!$L$4:$L$2003,$Z97-0)),IF($Z97&lt;=4000,N(INDEX(周转筐出入库明细!$H$4:$H$2004,$Z97-2000))+N(INDEX(周转筐出入库明细!$I$4:$I$2004,$Z97-2000))+N(INDEX(周转筐出入库明细!$J$4:$J$2004,$Z97-2000))+N(INDEX(周转筐出入库明细!$K$4:$K$2004,$Z97-2000)),IF($Z97&lt;=5200,N(INDEX(客户自备加工筐明细!$F$4:$F$1203,$Z97-4000))+N(INDEX(客户自备加工筐明细!$G$4:$G$1203,$Z97-4000)),IF($Z97&lt;=5800,IF(INDEX(次果筐明细!$G$4:$G$603,$Z97-5200)=0,"",INDEX(次果筐明细!$G$4:$G$603,$Z97-5200)),"")))))</f>
        <v>846</v>
      </c>
      <c r="I97" s="24" t="str">
        <f>IF($Z97="","",IF($Z97&lt;=2000,IF(INDEX(包装物料出入库明细!$G$4:$G$2003,$Z97-0)=0,"",INDEX(包装物料出入库明细!$G$4:$G$2003,$Z97-0)),IF($Z97&lt;=4000,"个",IF($Z97&lt;=5200,"个",IF($Z97&lt;=5800,"个","")))))</f>
        <v>个</v>
      </c>
      <c r="J97" s="30" t="str">
        <f t="shared" si="4"/>
        <v/>
      </c>
      <c r="K97" s="30">
        <f>IF($Z97="","",IF($Z97&lt;=2000,IF(INDEX(包装物料出入库明细!$N$4:$N$2003,$Z97-0)=0,"",INDEX(包装物料出入库明细!$N$4:$N$2003,$Z97-0)),IF($Z97&lt;=4000,IF(INDEX(周转筐出入库明细!$P$4:$P$2004,$Z97-2000)=0,"",INDEX(周转筐出入库明细!$P$4:$P$2004,$Z97-2000)),IF($Z97&lt;=5200,"",IF($Z97&lt;=5800,N(INDEX(次果筐明细!$L$4:$L$603,$Z97-5200))+N(INDEX(次果筐明细!$J$4:$J$603,$Z97-5200)),"")))))</f>
        <v>8460</v>
      </c>
      <c r="L97" s="24" t="str">
        <f>IF($Z97="","",IF($Z97&lt;=2000,IF(INDEX(包装物料出入库明细!$P$4:$P$2003,$Z97-0)=0,"",INDEX(包装物料出入库明细!$P$4:$P$2003,$Z97-0)),IF($Z97&lt;=4000,IF(INDEX(周转筐出入库明细!$Q$4:$Q$2004,$Z97-2000)=0,"",INDEX(周转筐出入库明细!$Q$4:$Q$2004,$Z97-2000)),IF($Z97&lt;=5200,"",IF($Z97&lt;=5800,IF(INDEX(次果筐明细!$M$4:$M$603,$Z97-5200)=0,"",INDEX(次果筐明细!$M$4:$M$603,$Z97-5200)),"")))))</f>
        <v>未付款</v>
      </c>
      <c r="M97" s="37" t="str">
        <f>IF($Z97="","",IF($Z97&lt;=2000,IF(INDEX(包装物料出入库明细!$R$4:$R$2003,$Z97-0)=0,"",INDEX(包装物料出入库明细!$R$4:$R$2003,$Z97-0)),IF($Z97&lt;=4000,IF(INDEX(周转筐出入库明细!$W$4:$W$2004,$Z97-2000)=0,"",INDEX(周转筐出入库明细!$W$4:$W$2004,$Z97-2000)),IF($Z97&lt;=5200,IF(INDEX(客户自备加工筐明细!$L$4:$L$1203,$Z97-4000)=0,"",INDEX(客户自备加工筐明细!$L$4:$L$1203,$Z97-4000)),IF($Z97&lt;=5800,IF(INDEX(次果筐明细!$P$4:$P$603,$Z97-5200)=0,"",INDEX(次果筐明细!$P$4:$P$603,$Z97-5200)),"")))))</f>
        <v>NO:0017211</v>
      </c>
      <c r="N97" s="16" t="str">
        <f>IF($Z97="","",IF($Z97&lt;=2000,"",IF($Z97&lt;=4000,IF(INDEX(周转筐出入库明细!$D$4:$D$2004,$Z97-2000)=0,"",INDEX(周转筐出入库明细!$D$4:$D$2004,$Z97-2000)),IF($Z97&lt;=5200,IF(INDEX(客户自备加工筐明细!$C$4:$C$1203,$Z97-4000)=0,"",INDEX(客户自备加工筐明细!$C$4:$C$1203,$Z97-4000)),IF($Z97&lt;=5800,IF(INDEX(次果筐明细!$D$4:$D$603,$Z97-5200)=0,"",INDEX(次果筐明细!$D$4:$D$603,$Z97-5200)),"")))))</f>
        <v>公司红周转筐</v>
      </c>
      <c r="O97" s="40" t="str">
        <f>IF($Z97="","",IF($Z97&lt;=2000,"",IF($Z97&lt;=4000,IF(N(INDEX(周转筐出入库明细!$J$4:$J$2004,$Z97-2000))+N(INDEX(周转筐出入库明细!$K$4:$K$2004,$Z97-2000))=0,"",N(INDEX(周转筐出入库明细!$J$4:$J$2004,$Z97-2000))+N(INDEX(周转筐出入库明细!$K$4:$K$2004,$Z97-2000))),IF($Z97&lt;=5200,IF(N(INDEX(客户自备加工筐明细!$G$4:$G$1203,$Z97-4000))=0,"",N(INDEX(客户自备加工筐明细!$G$4:$G$1203,$Z97-4000))),IF($Z97&lt;=5800,IF(ISNUMBER(SEARCH("退",INDEX(次果筐明细!$F$4:$F$603,$Z97-5200)&amp;"")),"",IF(N(INDEX(次果筐明细!$G$4:$G$603,$Z97-5200))=0,"",N(INDEX(次果筐明细!$G$4:$G$603,$Z97-5200)))),"")))))</f>
        <v/>
      </c>
      <c r="P97" s="40" t="str">
        <f>IF($Z97="","",IF($Z97&lt;=2000,"",IF($Z97&lt;=4000,IF(N(INDEX(周转筐出入库明细!$I$4:$I$2004,$Z97-2000))=0,"",N(INDEX(周转筐出入库明细!$I$4:$I$2004,$Z97-2000))),IF($Z97&lt;=5200,"",IF($Z97&lt;=5800,IF(ISNUMBER(SEARCH("退",INDEX(次果筐明细!$F$4:$F$603,$Z97-5200)&amp;"")),IF(N(INDEX(次果筐明细!$G$4:$G$603,$Z97-5200))=0,"",N(INDEX(次果筐明细!$G$4:$G$603,$Z97-5200))),""),"")))))</f>
        <v/>
      </c>
      <c r="Q97" s="40">
        <f>IF($Z97="","",IF($Z97&lt;=2000,"",IF($Z97&lt;=4000,IF(N(INDEX(周转筐出入库明细!$H$4:$H$2004,$Z97-2000))=0,"",N(INDEX(周转筐出入库明细!$H$4:$H$2004,$Z97-2000))),IF($Z97&lt;=5200,IF(N(INDEX(客户自备加工筐明细!$F$4:$F$1203,$Z97-4000))=0,"",N(INDEX(客户自备加工筐明细!$F$4:$F$1203,$Z97-4000))),IF($Z97&lt;=5800,"","")))))</f>
        <v>846</v>
      </c>
      <c r="R97" s="16" t="str">
        <f>IF($Z97="","",IF($Z97&lt;=2000,IF(INDEX(包装物料出入库明细!$O$4:$O$2003,$Z97-0)=0,"",INDEX(包装物料出入库明细!$O$4:$O$2003,$Z97-0)),IF($Z97&lt;=4000,IF(INDEX(周转筐出入库明细!$M$4:$M$2004,$Z97-2000)=0,"",INDEX(周转筐出入库明细!$M$4:$M$2004,$Z97-2000)),IF($Z97&lt;=5200,IF(INDEX(客户自备加工筐明细!$H$4:$H$1203,$Z97-4000)=0,"",INDEX(客户自备加工筐明细!$H$4:$H$1203,$Z97-4000)),IF($Z97&lt;=5800,IF(INDEX(次果筐明细!$H$4:$H$603,$Z97-5200)=0,"",INDEX(次果筐明细!$H$4:$H$603,$Z97-5200)),"")))))</f>
        <v>新A*G0554</v>
      </c>
      <c r="S97" s="22" t="str">
        <f t="shared" si="5"/>
        <v>公司筐</v>
      </c>
      <c r="Z97" s="10">
        <f>IFERROR(MATCH(ROW()-3,_自动清单!$CQ$4:$CQ$5803,0),"")</f>
        <v>2061</v>
      </c>
    </row>
    <row r="98" spans="1:26">
      <c r="A98" s="24">
        <f t="shared" si="3"/>
        <v>95</v>
      </c>
      <c r="B98" s="38">
        <f>IF($Z98="","",IF($Z98&lt;=2000,IF(INDEX(包装物料出入库明细!$B$4:$B$2003,$Z98-0)=0,"",INDEX(包装物料出入库明细!$B$4:$B$2003,$Z98-0)),IF($Z98&lt;=4000,IF(INDEX(周转筐出入库明细!$B$4:$B$2004,$Z98-2000)=0,"",INDEX(周转筐出入库明细!$B$4:$B$2004,$Z98-2000)),IF($Z98&lt;=5200,IF(INDEX(客户自备加工筐明细!$B$4:$B$1203,$Z98-4000)=0,"",INDEX(客户自备加工筐明细!$B$4:$B$1203,$Z98-4000)),IF($Z98&lt;=5800,IF(INDEX(次果筐明细!$B$4:$B$603,$Z98-5200)=0,"",INDEX(次果筐明细!$B$4:$B$603,$Z98-5200)),"")))))</f>
        <v>46276</v>
      </c>
      <c r="C98" s="37" t="str">
        <f>IF($Z98="","",IF($Z98&lt;=2000,IF(INDEX(包装物料出入库明细!$D$4:$D$2003,$Z98-0)=0,"",INDEX(包装物料出入库明细!$D$4:$D$2003,$Z98-0)),IF($Z98&lt;=4000,IF(INDEX(周转筐出入库明细!$C$4:$C$2004,$Z98-2000)=0,"",INDEX(周转筐出入库明细!$C$4:$C$2004,$Z98-2000)),IF($Z98&lt;=5200,IF(INDEX(客户自备加工筐明细!$E$4:$E$1203,$Z98-4000)=0,"",INDEX(客户自备加工筐明细!$E$4:$E$1203,$Z98-4000)),IF($Z98&lt;=5800,IF(INDEX(次果筐明细!$C$4:$C$603,$Z98-5200)=0,"",INDEX(次果筐明细!$C$4:$C$603,$Z98-5200)),"")))))</f>
        <v>热合曼</v>
      </c>
      <c r="D98" s="37" t="str">
        <f>IF($Z98="","",IF($Z98&lt;=2000,"包装物料－"&amp;INDEX(包装物料出入库明细!$H$4:$H$2003,$Z98-0),IF($Z98&lt;=4000,"周转筐－"&amp;INDEX(周转筐出入库明细!$F$4:$F$2004,$Z98-2000),IF($Z98&lt;=5200,"客户自备筐－"&amp;INDEX(客户自备加工筐明细!$J$4:$J$1203,$Z98-4000),IF($Z98&lt;=5800,"次果筐/托盘－"&amp;INDEX(次果筐明细!$F$4:$F$603,$Z98-5200),"")))))</f>
        <v>周转筐－领用出库</v>
      </c>
      <c r="E98" s="24" t="str">
        <f>IF($Z98="","",IF($Z98&lt;=2000,IF(INDEX(包装物料出入库明细!$C$4:$C$2003,$Z98-0)=0,"",INDEX(包装物料出入库明细!$C$4:$C$2003,$Z98-0)),IF($Z98&lt;=4000,IF(INDEX(周转筐出入库明细!$E$4:$E$2004,$Z98-2000)=0,"",INDEX(周转筐出入库明细!$E$4:$E$2004,$Z98-2000)),IF($Z98&lt;=5200,IF(INDEX(客户自备加工筐明细!$D$4:$D$1203,$Z98-4000)=0,"",INDEX(客户自备加工筐明细!$D$4:$D$1203,$Z98-4000)),IF($Z98&lt;=5800,IF(INDEX(次果筐明细!$E$4:$E$603,$Z98-5200)=0,"",INDEX(次果筐明细!$E$4:$E$603,$Z98-5200)),"")))))</f>
        <v>NO:0001120</v>
      </c>
      <c r="F98" s="24" t="str">
        <f>IF($Z98="","",IF($Z98&lt;=2000,IF(INDEX(包装物料出入库明细!$E$4:$E$2003,$Z98-0)=0,"",INDEX(包装物料出入库明细!$E$4:$E$2003,$Z98-0)),IF($Z98&lt;=4000,IF(INDEX(周转筐出入库明细!$D$4:$D$2004,$Z98-2000)=0,"",INDEX(周转筐出入库明细!$D$4:$D$2004,$Z98-2000)),IF($Z98&lt;=5200,IF(INDEX(客户自备加工筐明细!$C$4:$C$1203,$Z98-4000)=0,"",INDEX(客户自备加工筐明细!$C$4:$C$1203,$Z98-4000)),IF($Z98&lt;=5800,IF(INDEX(次果筐明细!$D$4:$D$603,$Z98-5200)=0,"",INDEX(次果筐明细!$D$4:$D$603,$Z98-5200)),"")))))</f>
        <v>公司红周转筐</v>
      </c>
      <c r="G98" s="24" t="str">
        <f>IF($Z98="","",IF($Z98&lt;=2000,IF(INDEX(包装物料出入库明细!$F$4:$F$2003,$Z98-0)=0,"",INDEX(包装物料出入库明细!$F$4:$F$2003,$Z98-0)),IF($Z98&lt;=4000,"",IF($Z98&lt;=5200,"",IF($Z98&lt;=5800,"","")))))</f>
        <v/>
      </c>
      <c r="H98" s="39">
        <f>IF($Z98="","",IF($Z98&lt;=2000,IF(INDEX(包装物料出入库明细!$L$4:$L$2003,$Z98-0)=0,"",INDEX(包装物料出入库明细!$L$4:$L$2003,$Z98-0)),IF($Z98&lt;=4000,N(INDEX(周转筐出入库明细!$H$4:$H$2004,$Z98-2000))+N(INDEX(周转筐出入库明细!$I$4:$I$2004,$Z98-2000))+N(INDEX(周转筐出入库明细!$J$4:$J$2004,$Z98-2000))+N(INDEX(周转筐出入库明细!$K$4:$K$2004,$Z98-2000)),IF($Z98&lt;=5200,N(INDEX(客户自备加工筐明细!$F$4:$F$1203,$Z98-4000))+N(INDEX(客户自备加工筐明细!$G$4:$G$1203,$Z98-4000)),IF($Z98&lt;=5800,IF(INDEX(次果筐明细!$G$4:$G$603,$Z98-5200)=0,"",INDEX(次果筐明细!$G$4:$G$603,$Z98-5200)),"")))))</f>
        <v>846</v>
      </c>
      <c r="I98" s="24" t="str">
        <f>IF($Z98="","",IF($Z98&lt;=2000,IF(INDEX(包装物料出入库明细!$G$4:$G$2003,$Z98-0)=0,"",INDEX(包装物料出入库明细!$G$4:$G$2003,$Z98-0)),IF($Z98&lt;=4000,"个",IF($Z98&lt;=5200,"个",IF($Z98&lt;=5800,"个","")))))</f>
        <v>个</v>
      </c>
      <c r="J98" s="30" t="str">
        <f t="shared" si="4"/>
        <v/>
      </c>
      <c r="K98" s="30" t="str">
        <f>IF($Z98="","",IF($Z98&lt;=2000,IF(INDEX(包装物料出入库明细!$N$4:$N$2003,$Z98-0)=0,"",INDEX(包装物料出入库明细!$N$4:$N$2003,$Z98-0)),IF($Z98&lt;=4000,IF(INDEX(周转筐出入库明细!$P$4:$P$2004,$Z98-2000)=0,"",INDEX(周转筐出入库明细!$P$4:$P$2004,$Z98-2000)),IF($Z98&lt;=5200,"",IF($Z98&lt;=5800,N(INDEX(次果筐明细!$L$4:$L$603,$Z98-5200))+N(INDEX(次果筐明细!$J$4:$J$603,$Z98-5200)),"")))))</f>
        <v/>
      </c>
      <c r="L98" s="24" t="str">
        <f>IF($Z98="","",IF($Z98&lt;=2000,IF(INDEX(包装物料出入库明细!$P$4:$P$2003,$Z98-0)=0,"",INDEX(包装物料出入库明细!$P$4:$P$2003,$Z98-0)),IF($Z98&lt;=4000,IF(INDEX(周转筐出入库明细!$Q$4:$Q$2004,$Z98-2000)=0,"",INDEX(周转筐出入库明细!$Q$4:$Q$2004,$Z98-2000)),IF($Z98&lt;=5200,"",IF($Z98&lt;=5800,IF(INDEX(次果筐明细!$M$4:$M$603,$Z98-5200)=0,"",INDEX(次果筐明细!$M$4:$M$603,$Z98-5200)),"")))))</f>
        <v/>
      </c>
      <c r="M98" s="37" t="str">
        <f>IF($Z98="","",IF($Z98&lt;=2000,IF(INDEX(包装物料出入库明细!$R$4:$R$2003,$Z98-0)=0,"",INDEX(包装物料出入库明细!$R$4:$R$2003,$Z98-0)),IF($Z98&lt;=4000,IF(INDEX(周转筐出入库明细!$W$4:$W$2004,$Z98-2000)=0,"",INDEX(周转筐出入库明细!$W$4:$W$2004,$Z98-2000)),IF($Z98&lt;=5200,IF(INDEX(客户自备加工筐明细!$L$4:$L$1203,$Z98-4000)=0,"",INDEX(客户自备加工筐明细!$L$4:$L$1203,$Z98-4000)),IF($Z98&lt;=5800,IF(INDEX(次果筐明细!$P$4:$P$603,$Z98-5200)=0,"",INDEX(次果筐明细!$P$4:$P$603,$Z98-5200)),"")))))</f>
        <v/>
      </c>
      <c r="N98" s="16" t="str">
        <f>IF($Z98="","",IF($Z98&lt;=2000,"",IF($Z98&lt;=4000,IF(INDEX(周转筐出入库明细!$D$4:$D$2004,$Z98-2000)=0,"",INDEX(周转筐出入库明细!$D$4:$D$2004,$Z98-2000)),IF($Z98&lt;=5200,IF(INDEX(客户自备加工筐明细!$C$4:$C$1203,$Z98-4000)=0,"",INDEX(客户自备加工筐明细!$C$4:$C$1203,$Z98-4000)),IF($Z98&lt;=5800,IF(INDEX(次果筐明细!$D$4:$D$603,$Z98-5200)=0,"",INDEX(次果筐明细!$D$4:$D$603,$Z98-5200)),"")))))</f>
        <v>公司红周转筐</v>
      </c>
      <c r="O98" s="40">
        <f>IF($Z98="","",IF($Z98&lt;=2000,"",IF($Z98&lt;=4000,IF(N(INDEX(周转筐出入库明细!$J$4:$J$2004,$Z98-2000))+N(INDEX(周转筐出入库明细!$K$4:$K$2004,$Z98-2000))=0,"",N(INDEX(周转筐出入库明细!$J$4:$J$2004,$Z98-2000))+N(INDEX(周转筐出入库明细!$K$4:$K$2004,$Z98-2000))),IF($Z98&lt;=5200,IF(N(INDEX(客户自备加工筐明细!$G$4:$G$1203,$Z98-4000))=0,"",N(INDEX(客户自备加工筐明细!$G$4:$G$1203,$Z98-4000))),IF($Z98&lt;=5800,IF(ISNUMBER(SEARCH("退",INDEX(次果筐明细!$F$4:$F$603,$Z98-5200)&amp;"")),"",IF(N(INDEX(次果筐明细!$G$4:$G$603,$Z98-5200))=0,"",N(INDEX(次果筐明细!$G$4:$G$603,$Z98-5200)))),"")))))</f>
        <v>846</v>
      </c>
      <c r="P98" s="40" t="str">
        <f>IF($Z98="","",IF($Z98&lt;=2000,"",IF($Z98&lt;=4000,IF(N(INDEX(周转筐出入库明细!$I$4:$I$2004,$Z98-2000))=0,"",N(INDEX(周转筐出入库明细!$I$4:$I$2004,$Z98-2000))),IF($Z98&lt;=5200,"",IF($Z98&lt;=5800,IF(ISNUMBER(SEARCH("退",INDEX(次果筐明细!$F$4:$F$603,$Z98-5200)&amp;"")),IF(N(INDEX(次果筐明细!$G$4:$G$603,$Z98-5200))=0,"",N(INDEX(次果筐明细!$G$4:$G$603,$Z98-5200))),""),"")))))</f>
        <v/>
      </c>
      <c r="Q98" s="40" t="str">
        <f>IF($Z98="","",IF($Z98&lt;=2000,"",IF($Z98&lt;=4000,IF(N(INDEX(周转筐出入库明细!$H$4:$H$2004,$Z98-2000))=0,"",N(INDEX(周转筐出入库明细!$H$4:$H$2004,$Z98-2000))),IF($Z98&lt;=5200,IF(N(INDEX(客户自备加工筐明细!$F$4:$F$1203,$Z98-4000))=0,"",N(INDEX(客户自备加工筐明细!$F$4:$F$1203,$Z98-4000))),IF($Z98&lt;=5800,"","")))))</f>
        <v/>
      </c>
      <c r="R98" s="16" t="str">
        <f>IF($Z98="","",IF($Z98&lt;=2000,IF(INDEX(包装物料出入库明细!$O$4:$O$2003,$Z98-0)=0,"",INDEX(包装物料出入库明细!$O$4:$O$2003,$Z98-0)),IF($Z98&lt;=4000,IF(INDEX(周转筐出入库明细!$M$4:$M$2004,$Z98-2000)=0,"",INDEX(周转筐出入库明细!$M$4:$M$2004,$Z98-2000)),IF($Z98&lt;=5200,IF(INDEX(客户自备加工筐明细!$H$4:$H$1203,$Z98-4000)=0,"",INDEX(客户自备加工筐明细!$H$4:$H$1203,$Z98-4000)),IF($Z98&lt;=5800,IF(INDEX(次果筐明细!$H$4:$H$603,$Z98-5200)=0,"",INDEX(次果筐明细!$H$4:$H$603,$Z98-5200)),"")))))</f>
        <v>新A*G0554</v>
      </c>
      <c r="S98" s="22" t="str">
        <f t="shared" si="5"/>
        <v>公司筐</v>
      </c>
      <c r="Z98" s="10">
        <f>IFERROR(MATCH(ROW()-3,_自动清单!$CQ$4:$CQ$5803,0),"")</f>
        <v>2062</v>
      </c>
    </row>
    <row r="99" spans="1:26">
      <c r="A99" s="24">
        <f t="shared" si="3"/>
        <v>96</v>
      </c>
      <c r="B99" s="38">
        <f>IF($Z99="","",IF($Z99&lt;=2000,IF(INDEX(包装物料出入库明细!$B$4:$B$2003,$Z99-0)=0,"",INDEX(包装物料出入库明细!$B$4:$B$2003,$Z99-0)),IF($Z99&lt;=4000,IF(INDEX(周转筐出入库明细!$B$4:$B$2004,$Z99-2000)=0,"",INDEX(周转筐出入库明细!$B$4:$B$2004,$Z99-2000)),IF($Z99&lt;=5200,IF(INDEX(客户自备加工筐明细!$B$4:$B$1203,$Z99-4000)=0,"",INDEX(客户自备加工筐明细!$B$4:$B$1203,$Z99-4000)),IF($Z99&lt;=5800,IF(INDEX(次果筐明细!$B$4:$B$603,$Z99-5200)=0,"",INDEX(次果筐明细!$B$4:$B$603,$Z99-5200)),"")))))</f>
        <v>46276</v>
      </c>
      <c r="C99" s="37" t="str">
        <f>IF($Z99="","",IF($Z99&lt;=2000,IF(INDEX(包装物料出入库明细!$D$4:$D$2003,$Z99-0)=0,"",INDEX(包装物料出入库明细!$D$4:$D$2003,$Z99-0)),IF($Z99&lt;=4000,IF(INDEX(周转筐出入库明细!$C$4:$C$2004,$Z99-2000)=0,"",INDEX(周转筐出入库明细!$C$4:$C$2004,$Z99-2000)),IF($Z99&lt;=5200,IF(INDEX(客户自备加工筐明细!$E$4:$E$1203,$Z99-4000)=0,"",INDEX(客户自备加工筐明细!$E$4:$E$1203,$Z99-4000)),IF($Z99&lt;=5800,IF(INDEX(次果筐明细!$C$4:$C$603,$Z99-5200)=0,"",INDEX(次果筐明细!$C$4:$C$603,$Z99-5200)),"")))))</f>
        <v>全修塑业</v>
      </c>
      <c r="D99" s="37" t="str">
        <f>IF($Z99="","",IF($Z99&lt;=2000,"包装物料－"&amp;INDEX(包装物料出入库明细!$H$4:$H$2003,$Z99-0),IF($Z99&lt;=4000,"周转筐－"&amp;INDEX(周转筐出入库明细!$F$4:$F$2004,$Z99-2000),IF($Z99&lt;=5200,"客户自备筐－"&amp;INDEX(客户自备加工筐明细!$J$4:$J$1203,$Z99-4000),IF($Z99&lt;=5800,"次果筐/托盘－"&amp;INDEX(次果筐明细!$F$4:$F$603,$Z99-5200),"")))))</f>
        <v>周转筐－采购入库</v>
      </c>
      <c r="E99" s="24" t="str">
        <f>IF($Z99="","",IF($Z99&lt;=2000,IF(INDEX(包装物料出入库明细!$C$4:$C$2003,$Z99-0)=0,"",INDEX(包装物料出入库明细!$C$4:$C$2003,$Z99-0)),IF($Z99&lt;=4000,IF(INDEX(周转筐出入库明细!$E$4:$E$2004,$Z99-2000)=0,"",INDEX(周转筐出入库明细!$E$4:$E$2004,$Z99-2000)),IF($Z99&lt;=5200,IF(INDEX(客户自备加工筐明细!$D$4:$D$1203,$Z99-4000)=0,"",INDEX(客户自备加工筐明细!$D$4:$D$1203,$Z99-4000)),IF($Z99&lt;=5800,IF(INDEX(次果筐明细!$E$4:$E$603,$Z99-5200)=0,"",INDEX(次果筐明细!$E$4:$E$603,$Z99-5200)),"")))))</f>
        <v>NO:0000788</v>
      </c>
      <c r="F99" s="24" t="str">
        <f>IF($Z99="","",IF($Z99&lt;=2000,IF(INDEX(包装物料出入库明细!$E$4:$E$2003,$Z99-0)=0,"",INDEX(包装物料出入库明细!$E$4:$E$2003,$Z99-0)),IF($Z99&lt;=4000,IF(INDEX(周转筐出入库明细!$D$4:$D$2004,$Z99-2000)=0,"",INDEX(周转筐出入库明细!$D$4:$D$2004,$Z99-2000)),IF($Z99&lt;=5200,IF(INDEX(客户自备加工筐明细!$C$4:$C$1203,$Z99-4000)=0,"",INDEX(客户自备加工筐明细!$C$4:$C$1203,$Z99-4000)),IF($Z99&lt;=5800,IF(INDEX(次果筐明细!$D$4:$D$603,$Z99-5200)=0,"",INDEX(次果筐明细!$D$4:$D$603,$Z99-5200)),"")))))</f>
        <v>公司红周转筐</v>
      </c>
      <c r="G99" s="24" t="str">
        <f>IF($Z99="","",IF($Z99&lt;=2000,IF(INDEX(包装物料出入库明细!$F$4:$F$2003,$Z99-0)=0,"",INDEX(包装物料出入库明细!$F$4:$F$2003,$Z99-0)),IF($Z99&lt;=4000,"",IF($Z99&lt;=5200,"",IF($Z99&lt;=5800,"","")))))</f>
        <v/>
      </c>
      <c r="H99" s="39">
        <f>IF($Z99="","",IF($Z99&lt;=2000,IF(INDEX(包装物料出入库明细!$L$4:$L$2003,$Z99-0)=0,"",INDEX(包装物料出入库明细!$L$4:$L$2003,$Z99-0)),IF($Z99&lt;=4000,N(INDEX(周转筐出入库明细!$H$4:$H$2004,$Z99-2000))+N(INDEX(周转筐出入库明细!$I$4:$I$2004,$Z99-2000))+N(INDEX(周转筐出入库明细!$J$4:$J$2004,$Z99-2000))+N(INDEX(周转筐出入库明细!$K$4:$K$2004,$Z99-2000)),IF($Z99&lt;=5200,N(INDEX(客户自备加工筐明细!$F$4:$F$1203,$Z99-4000))+N(INDEX(客户自备加工筐明细!$G$4:$G$1203,$Z99-4000)),IF($Z99&lt;=5800,IF(INDEX(次果筐明细!$G$4:$G$603,$Z99-5200)=0,"",INDEX(次果筐明细!$G$4:$G$603,$Z99-5200)),"")))))</f>
        <v>378</v>
      </c>
      <c r="I99" s="24" t="str">
        <f>IF($Z99="","",IF($Z99&lt;=2000,IF(INDEX(包装物料出入库明细!$G$4:$G$2003,$Z99-0)=0,"",INDEX(包装物料出入库明细!$G$4:$G$2003,$Z99-0)),IF($Z99&lt;=4000,"个",IF($Z99&lt;=5200,"个",IF($Z99&lt;=5800,"个","")))))</f>
        <v>个</v>
      </c>
      <c r="J99" s="30" t="str">
        <f t="shared" si="4"/>
        <v/>
      </c>
      <c r="K99" s="30">
        <f>IF($Z99="","",IF($Z99&lt;=2000,IF(INDEX(包装物料出入库明细!$N$4:$N$2003,$Z99-0)=0,"",INDEX(包装物料出入库明细!$N$4:$N$2003,$Z99-0)),IF($Z99&lt;=4000,IF(INDEX(周转筐出入库明细!$P$4:$P$2004,$Z99-2000)=0,"",INDEX(周转筐出入库明细!$P$4:$P$2004,$Z99-2000)),IF($Z99&lt;=5200,"",IF($Z99&lt;=5800,N(INDEX(次果筐明细!$L$4:$L$603,$Z99-5200))+N(INDEX(次果筐明细!$J$4:$J$603,$Z99-5200)),"")))))</f>
        <v>3780</v>
      </c>
      <c r="L99" s="24" t="str">
        <f>IF($Z99="","",IF($Z99&lt;=2000,IF(INDEX(包装物料出入库明细!$P$4:$P$2003,$Z99-0)=0,"",INDEX(包装物料出入库明细!$P$4:$P$2003,$Z99-0)),IF($Z99&lt;=4000,IF(INDEX(周转筐出入库明细!$Q$4:$Q$2004,$Z99-2000)=0,"",INDEX(周转筐出入库明细!$Q$4:$Q$2004,$Z99-2000)),IF($Z99&lt;=5200,"",IF($Z99&lt;=5800,IF(INDEX(次果筐明细!$M$4:$M$603,$Z99-5200)=0,"",INDEX(次果筐明细!$M$4:$M$603,$Z99-5200)),"")))))</f>
        <v>未付款</v>
      </c>
      <c r="M99" s="37" t="str">
        <f>IF($Z99="","",IF($Z99&lt;=2000,IF(INDEX(包装物料出入库明细!$R$4:$R$2003,$Z99-0)=0,"",INDEX(包装物料出入库明细!$R$4:$R$2003,$Z99-0)),IF($Z99&lt;=4000,IF(INDEX(周转筐出入库明细!$W$4:$W$2004,$Z99-2000)=0,"",INDEX(周转筐出入库明细!$W$4:$W$2004,$Z99-2000)),IF($Z99&lt;=5200,IF(INDEX(客户自备加工筐明细!$L$4:$L$1203,$Z99-4000)=0,"",INDEX(客户自备加工筐明细!$L$4:$L$1203,$Z99-4000)),IF($Z99&lt;=5800,IF(INDEX(次果筐明细!$P$4:$P$603,$Z99-5200)=0,"",INDEX(次果筐明细!$P$4:$P$603,$Z99-5200)),"")))))</f>
        <v>NO:0017212</v>
      </c>
      <c r="N99" s="16" t="str">
        <f>IF($Z99="","",IF($Z99&lt;=2000,"",IF($Z99&lt;=4000,IF(INDEX(周转筐出入库明细!$D$4:$D$2004,$Z99-2000)=0,"",INDEX(周转筐出入库明细!$D$4:$D$2004,$Z99-2000)),IF($Z99&lt;=5200,IF(INDEX(客户自备加工筐明细!$C$4:$C$1203,$Z99-4000)=0,"",INDEX(客户自备加工筐明细!$C$4:$C$1203,$Z99-4000)),IF($Z99&lt;=5800,IF(INDEX(次果筐明细!$D$4:$D$603,$Z99-5200)=0,"",INDEX(次果筐明细!$D$4:$D$603,$Z99-5200)),"")))))</f>
        <v>公司红周转筐</v>
      </c>
      <c r="O99" s="40" t="str">
        <f>IF($Z99="","",IF($Z99&lt;=2000,"",IF($Z99&lt;=4000,IF(N(INDEX(周转筐出入库明细!$J$4:$J$2004,$Z99-2000))+N(INDEX(周转筐出入库明细!$K$4:$K$2004,$Z99-2000))=0,"",N(INDEX(周转筐出入库明细!$J$4:$J$2004,$Z99-2000))+N(INDEX(周转筐出入库明细!$K$4:$K$2004,$Z99-2000))),IF($Z99&lt;=5200,IF(N(INDEX(客户自备加工筐明细!$G$4:$G$1203,$Z99-4000))=0,"",N(INDEX(客户自备加工筐明细!$G$4:$G$1203,$Z99-4000))),IF($Z99&lt;=5800,IF(ISNUMBER(SEARCH("退",INDEX(次果筐明细!$F$4:$F$603,$Z99-5200)&amp;"")),"",IF(N(INDEX(次果筐明细!$G$4:$G$603,$Z99-5200))=0,"",N(INDEX(次果筐明细!$G$4:$G$603,$Z99-5200)))),"")))))</f>
        <v/>
      </c>
      <c r="P99" s="40" t="str">
        <f>IF($Z99="","",IF($Z99&lt;=2000,"",IF($Z99&lt;=4000,IF(N(INDEX(周转筐出入库明细!$I$4:$I$2004,$Z99-2000))=0,"",N(INDEX(周转筐出入库明细!$I$4:$I$2004,$Z99-2000))),IF($Z99&lt;=5200,"",IF($Z99&lt;=5800,IF(ISNUMBER(SEARCH("退",INDEX(次果筐明细!$F$4:$F$603,$Z99-5200)&amp;"")),IF(N(INDEX(次果筐明细!$G$4:$G$603,$Z99-5200))=0,"",N(INDEX(次果筐明细!$G$4:$G$603,$Z99-5200))),""),"")))))</f>
        <v/>
      </c>
      <c r="Q99" s="40">
        <f>IF($Z99="","",IF($Z99&lt;=2000,"",IF($Z99&lt;=4000,IF(N(INDEX(周转筐出入库明细!$H$4:$H$2004,$Z99-2000))=0,"",N(INDEX(周转筐出入库明细!$H$4:$H$2004,$Z99-2000))),IF($Z99&lt;=5200,IF(N(INDEX(客户自备加工筐明细!$F$4:$F$1203,$Z99-4000))=0,"",N(INDEX(客户自备加工筐明细!$F$4:$F$1203,$Z99-4000))),IF($Z99&lt;=5800,"","")))))</f>
        <v>378</v>
      </c>
      <c r="R99" s="16" t="str">
        <f>IF($Z99="","",IF($Z99&lt;=2000,IF(INDEX(包装物料出入库明细!$O$4:$O$2003,$Z99-0)=0,"",INDEX(包装物料出入库明细!$O$4:$O$2003,$Z99-0)),IF($Z99&lt;=4000,IF(INDEX(周转筐出入库明细!$M$4:$M$2004,$Z99-2000)=0,"",INDEX(周转筐出入库明细!$M$4:$M$2004,$Z99-2000)),IF($Z99&lt;=5200,IF(INDEX(客户自备加工筐明细!$H$4:$H$1203,$Z99-4000)=0,"",INDEX(客户自备加工筐明细!$H$4:$H$1203,$Z99-4000)),IF($Z99&lt;=5800,IF(INDEX(次果筐明细!$H$4:$H$603,$Z99-5200)=0,"",INDEX(次果筐明细!$H$4:$H$603,$Z99-5200)),"")))))</f>
        <v>新N*X8S48</v>
      </c>
      <c r="S99" s="22" t="str">
        <f t="shared" si="5"/>
        <v>公司筐</v>
      </c>
      <c r="Z99" s="10">
        <f>IFERROR(MATCH(ROW()-3,_自动清单!$CQ$4:$CQ$5803,0),"")</f>
        <v>2063</v>
      </c>
    </row>
    <row r="100" spans="1:26">
      <c r="A100" s="24">
        <f t="shared" si="3"/>
        <v>97</v>
      </c>
      <c r="B100" s="38">
        <f>IF($Z100="","",IF($Z100&lt;=2000,IF(INDEX(包装物料出入库明细!$B$4:$B$2003,$Z100-0)=0,"",INDEX(包装物料出入库明细!$B$4:$B$2003,$Z100-0)),IF($Z100&lt;=4000,IF(INDEX(周转筐出入库明细!$B$4:$B$2004,$Z100-2000)=0,"",INDEX(周转筐出入库明细!$B$4:$B$2004,$Z100-2000)),IF($Z100&lt;=5200,IF(INDEX(客户自备加工筐明细!$B$4:$B$1203,$Z100-4000)=0,"",INDEX(客户自备加工筐明细!$B$4:$B$1203,$Z100-4000)),IF($Z100&lt;=5800,IF(INDEX(次果筐明细!$B$4:$B$603,$Z100-5200)=0,"",INDEX(次果筐明细!$B$4:$B$603,$Z100-5200)),"")))))</f>
        <v>46276</v>
      </c>
      <c r="C100" s="37" t="str">
        <f>IF($Z100="","",IF($Z100&lt;=2000,IF(INDEX(包装物料出入库明细!$D$4:$D$2003,$Z100-0)=0,"",INDEX(包装物料出入库明细!$D$4:$D$2003,$Z100-0)),IF($Z100&lt;=4000,IF(INDEX(周转筐出入库明细!$C$4:$C$2004,$Z100-2000)=0,"",INDEX(周转筐出入库明细!$C$4:$C$2004,$Z100-2000)),IF($Z100&lt;=5200,IF(INDEX(客户自备加工筐明细!$E$4:$E$1203,$Z100-4000)=0,"",INDEX(客户自备加工筐明细!$E$4:$E$1203,$Z100-4000)),IF($Z100&lt;=5800,IF(INDEX(次果筐明细!$C$4:$C$603,$Z100-5200)=0,"",INDEX(次果筐明细!$C$4:$C$603,$Z100-5200)),"")))))</f>
        <v>吐尔洪</v>
      </c>
      <c r="D100" s="37" t="str">
        <f>IF($Z100="","",IF($Z100&lt;=2000,"包装物料－"&amp;INDEX(包装物料出入库明细!$H$4:$H$2003,$Z100-0),IF($Z100&lt;=4000,"周转筐－"&amp;INDEX(周转筐出入库明细!$F$4:$F$2004,$Z100-2000),IF($Z100&lt;=5200,"客户自备筐－"&amp;INDEX(客户自备加工筐明细!$J$4:$J$1203,$Z100-4000),IF($Z100&lt;=5800,"次果筐/托盘－"&amp;INDEX(次果筐明细!$F$4:$F$603,$Z100-5200),"")))))</f>
        <v>周转筐－领用出库</v>
      </c>
      <c r="E100" s="24" t="str">
        <f>IF($Z100="","",IF($Z100&lt;=2000,IF(INDEX(包装物料出入库明细!$C$4:$C$2003,$Z100-0)=0,"",INDEX(包装物料出入库明细!$C$4:$C$2003,$Z100-0)),IF($Z100&lt;=4000,IF(INDEX(周转筐出入库明细!$E$4:$E$2004,$Z100-2000)=0,"",INDEX(周转筐出入库明细!$E$4:$E$2004,$Z100-2000)),IF($Z100&lt;=5200,IF(INDEX(客户自备加工筐明细!$D$4:$D$1203,$Z100-4000)=0,"",INDEX(客户自备加工筐明细!$D$4:$D$1203,$Z100-4000)),IF($Z100&lt;=5800,IF(INDEX(次果筐明细!$E$4:$E$603,$Z100-5200)=0,"",INDEX(次果筐明细!$E$4:$E$603,$Z100-5200)),"")))))</f>
        <v>NO:0001122</v>
      </c>
      <c r="F100" s="24" t="str">
        <f>IF($Z100="","",IF($Z100&lt;=2000,IF(INDEX(包装物料出入库明细!$E$4:$E$2003,$Z100-0)=0,"",INDEX(包装物料出入库明细!$E$4:$E$2003,$Z100-0)),IF($Z100&lt;=4000,IF(INDEX(周转筐出入库明细!$D$4:$D$2004,$Z100-2000)=0,"",INDEX(周转筐出入库明细!$D$4:$D$2004,$Z100-2000)),IF($Z100&lt;=5200,IF(INDEX(客户自备加工筐明细!$C$4:$C$1203,$Z100-4000)=0,"",INDEX(客户自备加工筐明细!$C$4:$C$1203,$Z100-4000)),IF($Z100&lt;=5800,IF(INDEX(次果筐明细!$D$4:$D$603,$Z100-5200)=0,"",INDEX(次果筐明细!$D$4:$D$603,$Z100-5200)),"")))))</f>
        <v>公司红周转筐</v>
      </c>
      <c r="G100" s="24" t="str">
        <f>IF($Z100="","",IF($Z100&lt;=2000,IF(INDEX(包装物料出入库明细!$F$4:$F$2003,$Z100-0)=0,"",INDEX(包装物料出入库明细!$F$4:$F$2003,$Z100-0)),IF($Z100&lt;=4000,"",IF($Z100&lt;=5200,"",IF($Z100&lt;=5800,"","")))))</f>
        <v/>
      </c>
      <c r="H100" s="39">
        <f>IF($Z100="","",IF($Z100&lt;=2000,IF(INDEX(包装物料出入库明细!$L$4:$L$2003,$Z100-0)=0,"",INDEX(包装物料出入库明细!$L$4:$L$2003,$Z100-0)),IF($Z100&lt;=4000,N(INDEX(周转筐出入库明细!$H$4:$H$2004,$Z100-2000))+N(INDEX(周转筐出入库明细!$I$4:$I$2004,$Z100-2000))+N(INDEX(周转筐出入库明细!$J$4:$J$2004,$Z100-2000))+N(INDEX(周转筐出入库明细!$K$4:$K$2004,$Z100-2000)),IF($Z100&lt;=5200,N(INDEX(客户自备加工筐明细!$F$4:$F$1203,$Z100-4000))+N(INDEX(客户自备加工筐明细!$G$4:$G$1203,$Z100-4000)),IF($Z100&lt;=5800,IF(INDEX(次果筐明细!$G$4:$G$603,$Z100-5200)=0,"",INDEX(次果筐明细!$G$4:$G$603,$Z100-5200)),"")))))</f>
        <v>378</v>
      </c>
      <c r="I100" s="24" t="str">
        <f>IF($Z100="","",IF($Z100&lt;=2000,IF(INDEX(包装物料出入库明细!$G$4:$G$2003,$Z100-0)=0,"",INDEX(包装物料出入库明细!$G$4:$G$2003,$Z100-0)),IF($Z100&lt;=4000,"个",IF($Z100&lt;=5200,"个",IF($Z100&lt;=5800,"个","")))))</f>
        <v>个</v>
      </c>
      <c r="J100" s="30" t="str">
        <f t="shared" si="4"/>
        <v/>
      </c>
      <c r="K100" s="30" t="str">
        <f>IF($Z100="","",IF($Z100&lt;=2000,IF(INDEX(包装物料出入库明细!$N$4:$N$2003,$Z100-0)=0,"",INDEX(包装物料出入库明细!$N$4:$N$2003,$Z100-0)),IF($Z100&lt;=4000,IF(INDEX(周转筐出入库明细!$P$4:$P$2004,$Z100-2000)=0,"",INDEX(周转筐出入库明细!$P$4:$P$2004,$Z100-2000)),IF($Z100&lt;=5200,"",IF($Z100&lt;=5800,N(INDEX(次果筐明细!$L$4:$L$603,$Z100-5200))+N(INDEX(次果筐明细!$J$4:$J$603,$Z100-5200)),"")))))</f>
        <v/>
      </c>
      <c r="L100" s="24" t="str">
        <f>IF($Z100="","",IF($Z100&lt;=2000,IF(INDEX(包装物料出入库明细!$P$4:$P$2003,$Z100-0)=0,"",INDEX(包装物料出入库明细!$P$4:$P$2003,$Z100-0)),IF($Z100&lt;=4000,IF(INDEX(周转筐出入库明细!$Q$4:$Q$2004,$Z100-2000)=0,"",INDEX(周转筐出入库明细!$Q$4:$Q$2004,$Z100-2000)),IF($Z100&lt;=5200,"",IF($Z100&lt;=5800,IF(INDEX(次果筐明细!$M$4:$M$603,$Z100-5200)=0,"",INDEX(次果筐明细!$M$4:$M$603,$Z100-5200)),"")))))</f>
        <v/>
      </c>
      <c r="M100" s="37" t="str">
        <f>IF($Z100="","",IF($Z100&lt;=2000,IF(INDEX(包装物料出入库明细!$R$4:$R$2003,$Z100-0)=0,"",INDEX(包装物料出入库明细!$R$4:$R$2003,$Z100-0)),IF($Z100&lt;=4000,IF(INDEX(周转筐出入库明细!$W$4:$W$2004,$Z100-2000)=0,"",INDEX(周转筐出入库明细!$W$4:$W$2004,$Z100-2000)),IF($Z100&lt;=5200,IF(INDEX(客户自备加工筐明细!$L$4:$L$1203,$Z100-4000)=0,"",INDEX(客户自备加工筐明细!$L$4:$L$1203,$Z100-4000)),IF($Z100&lt;=5800,IF(INDEX(次果筐明细!$P$4:$P$603,$Z100-5200)=0,"",INDEX(次果筐明细!$P$4:$P$603,$Z100-5200)),"")))))</f>
        <v/>
      </c>
      <c r="N100" s="16" t="str">
        <f>IF($Z100="","",IF($Z100&lt;=2000,"",IF($Z100&lt;=4000,IF(INDEX(周转筐出入库明细!$D$4:$D$2004,$Z100-2000)=0,"",INDEX(周转筐出入库明细!$D$4:$D$2004,$Z100-2000)),IF($Z100&lt;=5200,IF(INDEX(客户自备加工筐明细!$C$4:$C$1203,$Z100-4000)=0,"",INDEX(客户自备加工筐明细!$C$4:$C$1203,$Z100-4000)),IF($Z100&lt;=5800,IF(INDEX(次果筐明细!$D$4:$D$603,$Z100-5200)=0,"",INDEX(次果筐明细!$D$4:$D$603,$Z100-5200)),"")))))</f>
        <v>公司红周转筐</v>
      </c>
      <c r="O100" s="40">
        <f>IF($Z100="","",IF($Z100&lt;=2000,"",IF($Z100&lt;=4000,IF(N(INDEX(周转筐出入库明细!$J$4:$J$2004,$Z100-2000))+N(INDEX(周转筐出入库明细!$K$4:$K$2004,$Z100-2000))=0,"",N(INDEX(周转筐出入库明细!$J$4:$J$2004,$Z100-2000))+N(INDEX(周转筐出入库明细!$K$4:$K$2004,$Z100-2000))),IF($Z100&lt;=5200,IF(N(INDEX(客户自备加工筐明细!$G$4:$G$1203,$Z100-4000))=0,"",N(INDEX(客户自备加工筐明细!$G$4:$G$1203,$Z100-4000))),IF($Z100&lt;=5800,IF(ISNUMBER(SEARCH("退",INDEX(次果筐明细!$F$4:$F$603,$Z100-5200)&amp;"")),"",IF(N(INDEX(次果筐明细!$G$4:$G$603,$Z100-5200))=0,"",N(INDEX(次果筐明细!$G$4:$G$603,$Z100-5200)))),"")))))</f>
        <v>378</v>
      </c>
      <c r="P100" s="40" t="str">
        <f>IF($Z100="","",IF($Z100&lt;=2000,"",IF($Z100&lt;=4000,IF(N(INDEX(周转筐出入库明细!$I$4:$I$2004,$Z100-2000))=0,"",N(INDEX(周转筐出入库明细!$I$4:$I$2004,$Z100-2000))),IF($Z100&lt;=5200,"",IF($Z100&lt;=5800,IF(ISNUMBER(SEARCH("退",INDEX(次果筐明细!$F$4:$F$603,$Z100-5200)&amp;"")),IF(N(INDEX(次果筐明细!$G$4:$G$603,$Z100-5200))=0,"",N(INDEX(次果筐明细!$G$4:$G$603,$Z100-5200))),""),"")))))</f>
        <v/>
      </c>
      <c r="Q100" s="40" t="str">
        <f>IF($Z100="","",IF($Z100&lt;=2000,"",IF($Z100&lt;=4000,IF(N(INDEX(周转筐出入库明细!$H$4:$H$2004,$Z100-2000))=0,"",N(INDEX(周转筐出入库明细!$H$4:$H$2004,$Z100-2000))),IF($Z100&lt;=5200,IF(N(INDEX(客户自备加工筐明细!$F$4:$F$1203,$Z100-4000))=0,"",N(INDEX(客户自备加工筐明细!$F$4:$F$1203,$Z100-4000))),IF($Z100&lt;=5800,"","")))))</f>
        <v/>
      </c>
      <c r="R100" s="16" t="str">
        <f>IF($Z100="","",IF($Z100&lt;=2000,IF(INDEX(包装物料出入库明细!$O$4:$O$2003,$Z100-0)=0,"",INDEX(包装物料出入库明细!$O$4:$O$2003,$Z100-0)),IF($Z100&lt;=4000,IF(INDEX(周转筐出入库明细!$M$4:$M$2004,$Z100-2000)=0,"",INDEX(周转筐出入库明细!$M$4:$M$2004,$Z100-2000)),IF($Z100&lt;=5200,IF(INDEX(客户自备加工筐明细!$H$4:$H$1203,$Z100-4000)=0,"",INDEX(客户自备加工筐明细!$H$4:$H$1203,$Z100-4000)),IF($Z100&lt;=5800,IF(INDEX(次果筐明细!$H$4:$H$603,$Z100-5200)=0,"",INDEX(次果筐明细!$H$4:$H$603,$Z100-5200)),"")))))</f>
        <v>新N*X8S48</v>
      </c>
      <c r="S100" s="22" t="str">
        <f t="shared" si="5"/>
        <v>公司筐</v>
      </c>
      <c r="Z100" s="10">
        <f>IFERROR(MATCH(ROW()-3,_自动清单!$CQ$4:$CQ$5803,0),"")</f>
        <v>2064</v>
      </c>
    </row>
    <row r="101" spans="1:26">
      <c r="A101" s="24">
        <f t="shared" si="3"/>
        <v>98</v>
      </c>
      <c r="B101" s="38">
        <f>IF($Z101="","",IF($Z101&lt;=2000,IF(INDEX(包装物料出入库明细!$B$4:$B$2003,$Z101-0)=0,"",INDEX(包装物料出入库明细!$B$4:$B$2003,$Z101-0)),IF($Z101&lt;=4000,IF(INDEX(周转筐出入库明细!$B$4:$B$2004,$Z101-2000)=0,"",INDEX(周转筐出入库明细!$B$4:$B$2004,$Z101-2000)),IF($Z101&lt;=5200,IF(INDEX(客户自备加工筐明细!$B$4:$B$1203,$Z101-4000)=0,"",INDEX(客户自备加工筐明细!$B$4:$B$1203,$Z101-4000)),IF($Z101&lt;=5800,IF(INDEX(次果筐明细!$B$4:$B$603,$Z101-5200)=0,"",INDEX(次果筐明细!$B$4:$B$603,$Z101-5200)),"")))))</f>
        <v>46277</v>
      </c>
      <c r="C101" s="37" t="str">
        <f>IF($Z101="","",IF($Z101&lt;=2000,IF(INDEX(包装物料出入库明细!$D$4:$D$2003,$Z101-0)=0,"",INDEX(包装物料出入库明细!$D$4:$D$2003,$Z101-0)),IF($Z101&lt;=4000,IF(INDEX(周转筐出入库明细!$C$4:$C$2004,$Z101-2000)=0,"",INDEX(周转筐出入库明细!$C$4:$C$2004,$Z101-2000)),IF($Z101&lt;=5200,IF(INDEX(客户自备加工筐明细!$E$4:$E$1203,$Z101-4000)=0,"",INDEX(客户自备加工筐明细!$E$4:$E$1203,$Z101-4000)),IF($Z101&lt;=5800,IF(INDEX(次果筐明细!$C$4:$C$603,$Z101-5200)=0,"",INDEX(次果筐明细!$C$4:$C$603,$Z101-5200)),"")))))</f>
        <v>王照雪</v>
      </c>
      <c r="D101" s="37" t="str">
        <f>IF($Z101="","",IF($Z101&lt;=2000,"包装物料－"&amp;INDEX(包装物料出入库明细!$H$4:$H$2003,$Z101-0),IF($Z101&lt;=4000,"周转筐－"&amp;INDEX(周转筐出入库明细!$F$4:$F$2004,$Z101-2000),IF($Z101&lt;=5200,"客户自备筐－"&amp;INDEX(客户自备加工筐明细!$J$4:$J$1203,$Z101-4000),IF($Z101&lt;=5800,"次果筐/托盘－"&amp;INDEX(次果筐明细!$F$4:$F$603,$Z101-5200),"")))))</f>
        <v>周转筐－退回入库</v>
      </c>
      <c r="E101" s="24" t="str">
        <f>IF($Z101="","",IF($Z101&lt;=2000,IF(INDEX(包装物料出入库明细!$C$4:$C$2003,$Z101-0)=0,"",INDEX(包装物料出入库明细!$C$4:$C$2003,$Z101-0)),IF($Z101&lt;=4000,IF(INDEX(周转筐出入库明细!$E$4:$E$2004,$Z101-2000)=0,"",INDEX(周转筐出入库明细!$E$4:$E$2004,$Z101-2000)),IF($Z101&lt;=5200,IF(INDEX(客户自备加工筐明细!$D$4:$D$1203,$Z101-4000)=0,"",INDEX(客户自备加工筐明细!$D$4:$D$1203,$Z101-4000)),IF($Z101&lt;=5800,IF(INDEX(次果筐明细!$E$4:$E$603,$Z101-5200)=0,"",INDEX(次果筐明细!$E$4:$E$603,$Z101-5200)),"")))))</f>
        <v>NO:0000789</v>
      </c>
      <c r="F101" s="24" t="str">
        <f>IF($Z101="","",IF($Z101&lt;=2000,IF(INDEX(包装物料出入库明细!$E$4:$E$2003,$Z101-0)=0,"",INDEX(包装物料出入库明细!$E$4:$E$2003,$Z101-0)),IF($Z101&lt;=4000,IF(INDEX(周转筐出入库明细!$D$4:$D$2004,$Z101-2000)=0,"",INDEX(周转筐出入库明细!$D$4:$D$2004,$Z101-2000)),IF($Z101&lt;=5200,IF(INDEX(客户自备加工筐明细!$C$4:$C$1203,$Z101-4000)=0,"",INDEX(客户自备加工筐明细!$C$4:$C$1203,$Z101-4000)),IF($Z101&lt;=5800,IF(INDEX(次果筐明细!$D$4:$D$603,$Z101-5200)=0,"",INDEX(次果筐明细!$D$4:$D$603,$Z101-5200)),"")))))</f>
        <v>公司一次性筐</v>
      </c>
      <c r="G101" s="24" t="str">
        <f>IF($Z101="","",IF($Z101&lt;=2000,IF(INDEX(包装物料出入库明细!$F$4:$F$2003,$Z101-0)=0,"",INDEX(包装物料出入库明细!$F$4:$F$2003,$Z101-0)),IF($Z101&lt;=4000,"",IF($Z101&lt;=5200,"",IF($Z101&lt;=5800,"","")))))</f>
        <v/>
      </c>
      <c r="H101" s="39">
        <f>IF($Z101="","",IF($Z101&lt;=2000,IF(INDEX(包装物料出入库明细!$L$4:$L$2003,$Z101-0)=0,"",INDEX(包装物料出入库明细!$L$4:$L$2003,$Z101-0)),IF($Z101&lt;=4000,N(INDEX(周转筐出入库明细!$H$4:$H$2004,$Z101-2000))+N(INDEX(周转筐出入库明细!$I$4:$I$2004,$Z101-2000))+N(INDEX(周转筐出入库明细!$J$4:$J$2004,$Z101-2000))+N(INDEX(周转筐出入库明细!$K$4:$K$2004,$Z101-2000)),IF($Z101&lt;=5200,N(INDEX(客户自备加工筐明细!$F$4:$F$1203,$Z101-4000))+N(INDEX(客户自备加工筐明细!$G$4:$G$1203,$Z101-4000)),IF($Z101&lt;=5800,IF(INDEX(次果筐明细!$G$4:$G$603,$Z101-5200)=0,"",INDEX(次果筐明细!$G$4:$G$603,$Z101-5200)),"")))))</f>
        <v>1</v>
      </c>
      <c r="I101" s="24" t="str">
        <f>IF($Z101="","",IF($Z101&lt;=2000,IF(INDEX(包装物料出入库明细!$G$4:$G$2003,$Z101-0)=0,"",INDEX(包装物料出入库明细!$G$4:$G$2003,$Z101-0)),IF($Z101&lt;=4000,"个",IF($Z101&lt;=5200,"个",IF($Z101&lt;=5800,"个","")))))</f>
        <v>个</v>
      </c>
      <c r="J101" s="30" t="str">
        <f t="shared" si="4"/>
        <v/>
      </c>
      <c r="K101" s="30" t="str">
        <f>IF($Z101="","",IF($Z101&lt;=2000,IF(INDEX(包装物料出入库明细!$N$4:$N$2003,$Z101-0)=0,"",INDEX(包装物料出入库明细!$N$4:$N$2003,$Z101-0)),IF($Z101&lt;=4000,IF(INDEX(周转筐出入库明细!$P$4:$P$2004,$Z101-2000)=0,"",INDEX(周转筐出入库明细!$P$4:$P$2004,$Z101-2000)),IF($Z101&lt;=5200,"",IF($Z101&lt;=5800,N(INDEX(次果筐明细!$L$4:$L$603,$Z101-5200))+N(INDEX(次果筐明细!$J$4:$J$603,$Z101-5200)),"")))))</f>
        <v/>
      </c>
      <c r="L101" s="24" t="str">
        <f>IF($Z101="","",IF($Z101&lt;=2000,IF(INDEX(包装物料出入库明细!$P$4:$P$2003,$Z101-0)=0,"",INDEX(包装物料出入库明细!$P$4:$P$2003,$Z101-0)),IF($Z101&lt;=4000,IF(INDEX(周转筐出入库明细!$Q$4:$Q$2004,$Z101-2000)=0,"",INDEX(周转筐出入库明细!$Q$4:$Q$2004,$Z101-2000)),IF($Z101&lt;=5200,"",IF($Z101&lt;=5800,IF(INDEX(次果筐明细!$M$4:$M$603,$Z101-5200)=0,"",INDEX(次果筐明细!$M$4:$M$603,$Z101-5200)),"")))))</f>
        <v/>
      </c>
      <c r="M101" s="37" t="str">
        <f>IF($Z101="","",IF($Z101&lt;=2000,IF(INDEX(包装物料出入库明细!$R$4:$R$2003,$Z101-0)=0,"",INDEX(包装物料出入库明细!$R$4:$R$2003,$Z101-0)),IF($Z101&lt;=4000,IF(INDEX(周转筐出入库明细!$W$4:$W$2004,$Z101-2000)=0,"",INDEX(周转筐出入库明细!$W$4:$W$2004,$Z101-2000)),IF($Z101&lt;=5200,IF(INDEX(客户自备加工筐明细!$L$4:$L$1203,$Z101-4000)=0,"",INDEX(客户自备加工筐明细!$L$4:$L$1203,$Z101-4000)),IF($Z101&lt;=5800,IF(INDEX(次果筐明细!$P$4:$P$603,$Z101-5200)=0,"",INDEX(次果筐明细!$P$4:$P$603,$Z101-5200)),"")))))</f>
        <v/>
      </c>
      <c r="N101" s="16" t="str">
        <f>IF($Z101="","",IF($Z101&lt;=2000,"",IF($Z101&lt;=4000,IF(INDEX(周转筐出入库明细!$D$4:$D$2004,$Z101-2000)=0,"",INDEX(周转筐出入库明细!$D$4:$D$2004,$Z101-2000)),IF($Z101&lt;=5200,IF(INDEX(客户自备加工筐明细!$C$4:$C$1203,$Z101-4000)=0,"",INDEX(客户自备加工筐明细!$C$4:$C$1203,$Z101-4000)),IF($Z101&lt;=5800,IF(INDEX(次果筐明细!$D$4:$D$603,$Z101-5200)=0,"",INDEX(次果筐明细!$D$4:$D$603,$Z101-5200)),"")))))</f>
        <v>公司一次性筐</v>
      </c>
      <c r="O101" s="40" t="str">
        <f>IF($Z101="","",IF($Z101&lt;=2000,"",IF($Z101&lt;=4000,IF(N(INDEX(周转筐出入库明细!$J$4:$J$2004,$Z101-2000))+N(INDEX(周转筐出入库明细!$K$4:$K$2004,$Z101-2000))=0,"",N(INDEX(周转筐出入库明细!$J$4:$J$2004,$Z101-2000))+N(INDEX(周转筐出入库明细!$K$4:$K$2004,$Z101-2000))),IF($Z101&lt;=5200,IF(N(INDEX(客户自备加工筐明细!$G$4:$G$1203,$Z101-4000))=0,"",N(INDEX(客户自备加工筐明细!$G$4:$G$1203,$Z101-4000))),IF($Z101&lt;=5800,IF(ISNUMBER(SEARCH("退",INDEX(次果筐明细!$F$4:$F$603,$Z101-5200)&amp;"")),"",IF(N(INDEX(次果筐明细!$G$4:$G$603,$Z101-5200))=0,"",N(INDEX(次果筐明细!$G$4:$G$603,$Z101-5200)))),"")))))</f>
        <v/>
      </c>
      <c r="P101" s="40">
        <f>IF($Z101="","",IF($Z101&lt;=2000,"",IF($Z101&lt;=4000,IF(N(INDEX(周转筐出入库明细!$I$4:$I$2004,$Z101-2000))=0,"",N(INDEX(周转筐出入库明细!$I$4:$I$2004,$Z101-2000))),IF($Z101&lt;=5200,"",IF($Z101&lt;=5800,IF(ISNUMBER(SEARCH("退",INDEX(次果筐明细!$F$4:$F$603,$Z101-5200)&amp;"")),IF(N(INDEX(次果筐明细!$G$4:$G$603,$Z101-5200))=0,"",N(INDEX(次果筐明细!$G$4:$G$603,$Z101-5200))),""),"")))))</f>
        <v>1</v>
      </c>
      <c r="Q101" s="40" t="str">
        <f>IF($Z101="","",IF($Z101&lt;=2000,"",IF($Z101&lt;=4000,IF(N(INDEX(周转筐出入库明细!$H$4:$H$2004,$Z101-2000))=0,"",N(INDEX(周转筐出入库明细!$H$4:$H$2004,$Z101-2000))),IF($Z101&lt;=5200,IF(N(INDEX(客户自备加工筐明细!$F$4:$F$1203,$Z101-4000))=0,"",N(INDEX(客户自备加工筐明细!$F$4:$F$1203,$Z101-4000))),IF($Z101&lt;=5800,"","")))))</f>
        <v/>
      </c>
      <c r="R101" s="16" t="str">
        <f>IF($Z101="","",IF($Z101&lt;=2000,IF(INDEX(包装物料出入库明细!$O$4:$O$2003,$Z101-0)=0,"",INDEX(包装物料出入库明细!$O$4:$O$2003,$Z101-0)),IF($Z101&lt;=4000,IF(INDEX(周转筐出入库明细!$M$4:$M$2004,$Z101-2000)=0,"",INDEX(周转筐出入库明细!$M$4:$M$2004,$Z101-2000)),IF($Z101&lt;=5200,IF(INDEX(客户自备加工筐明细!$H$4:$H$1203,$Z101-4000)=0,"",INDEX(客户自备加工筐明细!$H$4:$H$1203,$Z101-4000)),IF($Z101&lt;=5800,IF(INDEX(次果筐明细!$H$4:$H$603,$Z101-5200)=0,"",INDEX(次果筐明细!$H$4:$H$603,$Z101-5200)),"")))))</f>
        <v>豫L*88X19</v>
      </c>
      <c r="S101" s="22" t="str">
        <f t="shared" si="5"/>
        <v>公司筐</v>
      </c>
      <c r="Z101" s="10">
        <f>IFERROR(MATCH(ROW()-3,_自动清单!$CQ$4:$CQ$5803,0),"")</f>
        <v>2065</v>
      </c>
    </row>
    <row r="102" spans="1:26">
      <c r="A102" s="24">
        <f t="shared" si="3"/>
        <v>99</v>
      </c>
      <c r="B102" s="38">
        <f>IF($Z102="","",IF($Z102&lt;=2000,IF(INDEX(包装物料出入库明细!$B$4:$B$2003,$Z102-0)=0,"",INDEX(包装物料出入库明细!$B$4:$B$2003,$Z102-0)),IF($Z102&lt;=4000,IF(INDEX(周转筐出入库明细!$B$4:$B$2004,$Z102-2000)=0,"",INDEX(周转筐出入库明细!$B$4:$B$2004,$Z102-2000)),IF($Z102&lt;=5200,IF(INDEX(客户自备加工筐明细!$B$4:$B$1203,$Z102-4000)=0,"",INDEX(客户自备加工筐明细!$B$4:$B$1203,$Z102-4000)),IF($Z102&lt;=5800,IF(INDEX(次果筐明细!$B$4:$B$603,$Z102-5200)=0,"",INDEX(次果筐明细!$B$4:$B$603,$Z102-5200)),"")))))</f>
        <v>46277</v>
      </c>
      <c r="C102" s="37" t="str">
        <f>IF($Z102="","",IF($Z102&lt;=2000,IF(INDEX(包装物料出入库明细!$D$4:$D$2003,$Z102-0)=0,"",INDEX(包装物料出入库明细!$D$4:$D$2003,$Z102-0)),IF($Z102&lt;=4000,IF(INDEX(周转筐出入库明细!$C$4:$C$2004,$Z102-2000)=0,"",INDEX(周转筐出入库明细!$C$4:$C$2004,$Z102-2000)),IF($Z102&lt;=5200,IF(INDEX(客户自备加工筐明细!$E$4:$E$1203,$Z102-4000)=0,"",INDEX(客户自备加工筐明细!$E$4:$E$1203,$Z102-4000)),IF($Z102&lt;=5800,IF(INDEX(次果筐明细!$C$4:$C$603,$Z102-5200)=0,"",INDEX(次果筐明细!$C$4:$C$603,$Z102-5200)),"")))))</f>
        <v>王照雪</v>
      </c>
      <c r="D102" s="37" t="str">
        <f>IF($Z102="","",IF($Z102&lt;=2000,"包装物料－"&amp;INDEX(包装物料出入库明细!$H$4:$H$2003,$Z102-0),IF($Z102&lt;=4000,"周转筐－"&amp;INDEX(周转筐出入库明细!$F$4:$F$2004,$Z102-2000),IF($Z102&lt;=5200,"客户自备筐－"&amp;INDEX(客户自备加工筐明细!$J$4:$J$1203,$Z102-4000),IF($Z102&lt;=5800,"次果筐/托盘－"&amp;INDEX(次果筐明细!$F$4:$F$603,$Z102-5200),"")))))</f>
        <v>周转筐－退回入库</v>
      </c>
      <c r="E102" s="24" t="str">
        <f>IF($Z102="","",IF($Z102&lt;=2000,IF(INDEX(包装物料出入库明细!$C$4:$C$2003,$Z102-0)=0,"",INDEX(包装物料出入库明细!$C$4:$C$2003,$Z102-0)),IF($Z102&lt;=4000,IF(INDEX(周转筐出入库明细!$E$4:$E$2004,$Z102-2000)=0,"",INDEX(周转筐出入库明细!$E$4:$E$2004,$Z102-2000)),IF($Z102&lt;=5200,IF(INDEX(客户自备加工筐明细!$D$4:$D$1203,$Z102-4000)=0,"",INDEX(客户自备加工筐明细!$D$4:$D$1203,$Z102-4000)),IF($Z102&lt;=5800,IF(INDEX(次果筐明细!$E$4:$E$603,$Z102-5200)=0,"",INDEX(次果筐明细!$E$4:$E$603,$Z102-5200)),"")))))</f>
        <v>NO:0000792</v>
      </c>
      <c r="F102" s="24" t="str">
        <f>IF($Z102="","",IF($Z102&lt;=2000,IF(INDEX(包装物料出入库明细!$E$4:$E$2003,$Z102-0)=0,"",INDEX(包装物料出入库明细!$E$4:$E$2003,$Z102-0)),IF($Z102&lt;=4000,IF(INDEX(周转筐出入库明细!$D$4:$D$2004,$Z102-2000)=0,"",INDEX(周转筐出入库明细!$D$4:$D$2004,$Z102-2000)),IF($Z102&lt;=5200,IF(INDEX(客户自备加工筐明细!$C$4:$C$1203,$Z102-4000)=0,"",INDEX(客户自备加工筐明细!$C$4:$C$1203,$Z102-4000)),IF($Z102&lt;=5800,IF(INDEX(次果筐明细!$D$4:$D$603,$Z102-5200)=0,"",INDEX(次果筐明细!$D$4:$D$603,$Z102-5200)),"")))))</f>
        <v>公司杂周转筐</v>
      </c>
      <c r="G102" s="24" t="str">
        <f>IF($Z102="","",IF($Z102&lt;=2000,IF(INDEX(包装物料出入库明细!$F$4:$F$2003,$Z102-0)=0,"",INDEX(包装物料出入库明细!$F$4:$F$2003,$Z102-0)),IF($Z102&lt;=4000,"",IF($Z102&lt;=5200,"",IF($Z102&lt;=5800,"","")))))</f>
        <v/>
      </c>
      <c r="H102" s="39">
        <f>IF($Z102="","",IF($Z102&lt;=2000,IF(INDEX(包装物料出入库明细!$L$4:$L$2003,$Z102-0)=0,"",INDEX(包装物料出入库明细!$L$4:$L$2003,$Z102-0)),IF($Z102&lt;=4000,N(INDEX(周转筐出入库明细!$H$4:$H$2004,$Z102-2000))+N(INDEX(周转筐出入库明细!$I$4:$I$2004,$Z102-2000))+N(INDEX(周转筐出入库明细!$J$4:$J$2004,$Z102-2000))+N(INDEX(周转筐出入库明细!$K$4:$K$2004,$Z102-2000)),IF($Z102&lt;=5200,N(INDEX(客户自备加工筐明细!$F$4:$F$1203,$Z102-4000))+N(INDEX(客户自备加工筐明细!$G$4:$G$1203,$Z102-4000)),IF($Z102&lt;=5800,IF(INDEX(次果筐明细!$G$4:$G$603,$Z102-5200)=0,"",INDEX(次果筐明细!$G$4:$G$603,$Z102-5200)),"")))))</f>
        <v>45</v>
      </c>
      <c r="I102" s="24" t="str">
        <f>IF($Z102="","",IF($Z102&lt;=2000,IF(INDEX(包装物料出入库明细!$G$4:$G$2003,$Z102-0)=0,"",INDEX(包装物料出入库明细!$G$4:$G$2003,$Z102-0)),IF($Z102&lt;=4000,"个",IF($Z102&lt;=5200,"个",IF($Z102&lt;=5800,"个","")))))</f>
        <v>个</v>
      </c>
      <c r="J102" s="30" t="str">
        <f t="shared" si="4"/>
        <v/>
      </c>
      <c r="K102" s="30" t="str">
        <f>IF($Z102="","",IF($Z102&lt;=2000,IF(INDEX(包装物料出入库明细!$N$4:$N$2003,$Z102-0)=0,"",INDEX(包装物料出入库明细!$N$4:$N$2003,$Z102-0)),IF($Z102&lt;=4000,IF(INDEX(周转筐出入库明细!$P$4:$P$2004,$Z102-2000)=0,"",INDEX(周转筐出入库明细!$P$4:$P$2004,$Z102-2000)),IF($Z102&lt;=5200,"",IF($Z102&lt;=5800,N(INDEX(次果筐明细!$L$4:$L$603,$Z102-5200))+N(INDEX(次果筐明细!$J$4:$J$603,$Z102-5200)),"")))))</f>
        <v/>
      </c>
      <c r="L102" s="24" t="str">
        <f>IF($Z102="","",IF($Z102&lt;=2000,IF(INDEX(包装物料出入库明细!$P$4:$P$2003,$Z102-0)=0,"",INDEX(包装物料出入库明细!$P$4:$P$2003,$Z102-0)),IF($Z102&lt;=4000,IF(INDEX(周转筐出入库明细!$Q$4:$Q$2004,$Z102-2000)=0,"",INDEX(周转筐出入库明细!$Q$4:$Q$2004,$Z102-2000)),IF($Z102&lt;=5200,"",IF($Z102&lt;=5800,IF(INDEX(次果筐明细!$M$4:$M$603,$Z102-5200)=0,"",INDEX(次果筐明细!$M$4:$M$603,$Z102-5200)),"")))))</f>
        <v/>
      </c>
      <c r="M102" s="37" t="str">
        <f>IF($Z102="","",IF($Z102&lt;=2000,IF(INDEX(包装物料出入库明细!$R$4:$R$2003,$Z102-0)=0,"",INDEX(包装物料出入库明细!$R$4:$R$2003,$Z102-0)),IF($Z102&lt;=4000,IF(INDEX(周转筐出入库明细!$W$4:$W$2004,$Z102-2000)=0,"",INDEX(周转筐出入库明细!$W$4:$W$2004,$Z102-2000)),IF($Z102&lt;=5200,IF(INDEX(客户自备加工筐明细!$L$4:$L$1203,$Z102-4000)=0,"",INDEX(客户自备加工筐明细!$L$4:$L$1203,$Z102-4000)),IF($Z102&lt;=5800,IF(INDEX(次果筐明细!$P$4:$P$603,$Z102-5200)=0,"",INDEX(次果筐明细!$P$4:$P$603,$Z102-5200)),"")))))</f>
        <v/>
      </c>
      <c r="N102" s="16" t="str">
        <f>IF($Z102="","",IF($Z102&lt;=2000,"",IF($Z102&lt;=4000,IF(INDEX(周转筐出入库明细!$D$4:$D$2004,$Z102-2000)=0,"",INDEX(周转筐出入库明细!$D$4:$D$2004,$Z102-2000)),IF($Z102&lt;=5200,IF(INDEX(客户自备加工筐明细!$C$4:$C$1203,$Z102-4000)=0,"",INDEX(客户自备加工筐明细!$C$4:$C$1203,$Z102-4000)),IF($Z102&lt;=5800,IF(INDEX(次果筐明细!$D$4:$D$603,$Z102-5200)=0,"",INDEX(次果筐明细!$D$4:$D$603,$Z102-5200)),"")))))</f>
        <v>公司杂周转筐</v>
      </c>
      <c r="O102" s="40" t="str">
        <f>IF($Z102="","",IF($Z102&lt;=2000,"",IF($Z102&lt;=4000,IF(N(INDEX(周转筐出入库明细!$J$4:$J$2004,$Z102-2000))+N(INDEX(周转筐出入库明细!$K$4:$K$2004,$Z102-2000))=0,"",N(INDEX(周转筐出入库明细!$J$4:$J$2004,$Z102-2000))+N(INDEX(周转筐出入库明细!$K$4:$K$2004,$Z102-2000))),IF($Z102&lt;=5200,IF(N(INDEX(客户自备加工筐明细!$G$4:$G$1203,$Z102-4000))=0,"",N(INDEX(客户自备加工筐明细!$G$4:$G$1203,$Z102-4000))),IF($Z102&lt;=5800,IF(ISNUMBER(SEARCH("退",INDEX(次果筐明细!$F$4:$F$603,$Z102-5200)&amp;"")),"",IF(N(INDEX(次果筐明细!$G$4:$G$603,$Z102-5200))=0,"",N(INDEX(次果筐明细!$G$4:$G$603,$Z102-5200)))),"")))))</f>
        <v/>
      </c>
      <c r="P102" s="40">
        <f>IF($Z102="","",IF($Z102&lt;=2000,"",IF($Z102&lt;=4000,IF(N(INDEX(周转筐出入库明细!$I$4:$I$2004,$Z102-2000))=0,"",N(INDEX(周转筐出入库明细!$I$4:$I$2004,$Z102-2000))),IF($Z102&lt;=5200,"",IF($Z102&lt;=5800,IF(ISNUMBER(SEARCH("退",INDEX(次果筐明细!$F$4:$F$603,$Z102-5200)&amp;"")),IF(N(INDEX(次果筐明细!$G$4:$G$603,$Z102-5200))=0,"",N(INDEX(次果筐明细!$G$4:$G$603,$Z102-5200))),""),"")))))</f>
        <v>45</v>
      </c>
      <c r="Q102" s="40" t="str">
        <f>IF($Z102="","",IF($Z102&lt;=2000,"",IF($Z102&lt;=4000,IF(N(INDEX(周转筐出入库明细!$H$4:$H$2004,$Z102-2000))=0,"",N(INDEX(周转筐出入库明细!$H$4:$H$2004,$Z102-2000))),IF($Z102&lt;=5200,IF(N(INDEX(客户自备加工筐明细!$F$4:$F$1203,$Z102-4000))=0,"",N(INDEX(客户自备加工筐明细!$F$4:$F$1203,$Z102-4000))),IF($Z102&lt;=5800,"","")))))</f>
        <v/>
      </c>
      <c r="R102" s="16" t="str">
        <f>IF($Z102="","",IF($Z102&lt;=2000,IF(INDEX(包装物料出入库明细!$O$4:$O$2003,$Z102-0)=0,"",INDEX(包装物料出入库明细!$O$4:$O$2003,$Z102-0)),IF($Z102&lt;=4000,IF(INDEX(周转筐出入库明细!$M$4:$M$2004,$Z102-2000)=0,"",INDEX(周转筐出入库明细!$M$4:$M$2004,$Z102-2000)),IF($Z102&lt;=5200,IF(INDEX(客户自备加工筐明细!$H$4:$H$1203,$Z102-4000)=0,"",INDEX(客户自备加工筐明细!$H$4:$H$1203,$Z102-4000)),IF($Z102&lt;=5800,IF(INDEX(次果筐明细!$H$4:$H$603,$Z102-5200)=0,"",INDEX(次果筐明细!$H$4:$H$603,$Z102-5200)),"")))))</f>
        <v>豫L*88X19</v>
      </c>
      <c r="S102" s="22" t="str">
        <f t="shared" si="5"/>
        <v>公司筐</v>
      </c>
      <c r="Z102" s="10">
        <f>IFERROR(MATCH(ROW()-3,_自动清单!$CQ$4:$CQ$5803,0),"")</f>
        <v>2066</v>
      </c>
    </row>
    <row r="103" spans="1:26">
      <c r="A103" s="24">
        <f t="shared" si="3"/>
        <v>100</v>
      </c>
      <c r="B103" s="38">
        <f>IF($Z103="","",IF($Z103&lt;=2000,IF(INDEX(包装物料出入库明细!$B$4:$B$2003,$Z103-0)=0,"",INDEX(包装物料出入库明细!$B$4:$B$2003,$Z103-0)),IF($Z103&lt;=4000,IF(INDEX(周转筐出入库明细!$B$4:$B$2004,$Z103-2000)=0,"",INDEX(周转筐出入库明细!$B$4:$B$2004,$Z103-2000)),IF($Z103&lt;=5200,IF(INDEX(客户自备加工筐明细!$B$4:$B$1203,$Z103-4000)=0,"",INDEX(客户自备加工筐明细!$B$4:$B$1203,$Z103-4000)),IF($Z103&lt;=5800,IF(INDEX(次果筐明细!$B$4:$B$603,$Z103-5200)=0,"",INDEX(次果筐明细!$B$4:$B$603,$Z103-5200)),"")))))</f>
        <v>46277</v>
      </c>
      <c r="C103" s="37" t="str">
        <f>IF($Z103="","",IF($Z103&lt;=2000,IF(INDEX(包装物料出入库明细!$D$4:$D$2003,$Z103-0)=0,"",INDEX(包装物料出入库明细!$D$4:$D$2003,$Z103-0)),IF($Z103&lt;=4000,IF(INDEX(周转筐出入库明细!$C$4:$C$2004,$Z103-2000)=0,"",INDEX(周转筐出入库明细!$C$4:$C$2004,$Z103-2000)),IF($Z103&lt;=5200,IF(INDEX(客户自备加工筐明细!$E$4:$E$1203,$Z103-4000)=0,"",INDEX(客户自备加工筐明细!$E$4:$E$1203,$Z103-4000)),IF($Z103&lt;=5800,IF(INDEX(次果筐明细!$C$4:$C$603,$Z103-5200)=0,"",INDEX(次果筐明细!$C$4:$C$603,$Z103-5200)),"")))))</f>
        <v>全修塑业</v>
      </c>
      <c r="D103" s="37" t="str">
        <f>IF($Z103="","",IF($Z103&lt;=2000,"包装物料－"&amp;INDEX(包装物料出入库明细!$H$4:$H$2003,$Z103-0),IF($Z103&lt;=4000,"周转筐－"&amp;INDEX(周转筐出入库明细!$F$4:$F$2004,$Z103-2000),IF($Z103&lt;=5200,"客户自备筐－"&amp;INDEX(客户自备加工筐明细!$J$4:$J$1203,$Z103-4000),IF($Z103&lt;=5800,"次果筐/托盘－"&amp;INDEX(次果筐明细!$F$4:$F$603,$Z103-5200),"")))))</f>
        <v>周转筐－采购入库</v>
      </c>
      <c r="E103" s="24" t="str">
        <f>IF($Z103="","",IF($Z103&lt;=2000,IF(INDEX(包装物料出入库明细!$C$4:$C$2003,$Z103-0)=0,"",INDEX(包装物料出入库明细!$C$4:$C$2003,$Z103-0)),IF($Z103&lt;=4000,IF(INDEX(周转筐出入库明细!$E$4:$E$2004,$Z103-2000)=0,"",INDEX(周转筐出入库明细!$E$4:$E$2004,$Z103-2000)),IF($Z103&lt;=5200,IF(INDEX(客户自备加工筐明细!$D$4:$D$1203,$Z103-4000)=0,"",INDEX(客户自备加工筐明细!$D$4:$D$1203,$Z103-4000)),IF($Z103&lt;=5800,IF(INDEX(次果筐明细!$E$4:$E$603,$Z103-5200)=0,"",INDEX(次果筐明细!$E$4:$E$603,$Z103-5200)),"")))))</f>
        <v>NO:0000795</v>
      </c>
      <c r="F103" s="24" t="str">
        <f>IF($Z103="","",IF($Z103&lt;=2000,IF(INDEX(包装物料出入库明细!$E$4:$E$2003,$Z103-0)=0,"",INDEX(包装物料出入库明细!$E$4:$E$2003,$Z103-0)),IF($Z103&lt;=4000,IF(INDEX(周转筐出入库明细!$D$4:$D$2004,$Z103-2000)=0,"",INDEX(周转筐出入库明细!$D$4:$D$2004,$Z103-2000)),IF($Z103&lt;=5200,IF(INDEX(客户自备加工筐明细!$C$4:$C$1203,$Z103-4000)=0,"",INDEX(客户自备加工筐明细!$C$4:$C$1203,$Z103-4000)),IF($Z103&lt;=5800,IF(INDEX(次果筐明细!$D$4:$D$603,$Z103-5200)=0,"",INDEX(次果筐明细!$D$4:$D$603,$Z103-5200)),"")))))</f>
        <v>公司红周转筐</v>
      </c>
      <c r="G103" s="24" t="str">
        <f>IF($Z103="","",IF($Z103&lt;=2000,IF(INDEX(包装物料出入库明细!$F$4:$F$2003,$Z103-0)=0,"",INDEX(包装物料出入库明细!$F$4:$F$2003,$Z103-0)),IF($Z103&lt;=4000,"",IF($Z103&lt;=5200,"",IF($Z103&lt;=5800,"","")))))</f>
        <v/>
      </c>
      <c r="H103" s="39">
        <f>IF($Z103="","",IF($Z103&lt;=2000,IF(INDEX(包装物料出入库明细!$L$4:$L$2003,$Z103-0)=0,"",INDEX(包装物料出入库明细!$L$4:$L$2003,$Z103-0)),IF($Z103&lt;=4000,N(INDEX(周转筐出入库明细!$H$4:$H$2004,$Z103-2000))+N(INDEX(周转筐出入库明细!$I$4:$I$2004,$Z103-2000))+N(INDEX(周转筐出入库明细!$J$4:$J$2004,$Z103-2000))+N(INDEX(周转筐出入库明细!$K$4:$K$2004,$Z103-2000)),IF($Z103&lt;=5200,N(INDEX(客户自备加工筐明细!$F$4:$F$1203,$Z103-4000))+N(INDEX(客户自备加工筐明细!$G$4:$G$1203,$Z103-4000)),IF($Z103&lt;=5800,IF(INDEX(次果筐明细!$G$4:$G$603,$Z103-5200)=0,"",INDEX(次果筐明细!$G$4:$G$603,$Z103-5200)),"")))))</f>
        <v>846</v>
      </c>
      <c r="I103" s="24" t="str">
        <f>IF($Z103="","",IF($Z103&lt;=2000,IF(INDEX(包装物料出入库明细!$G$4:$G$2003,$Z103-0)=0,"",INDEX(包装物料出入库明细!$G$4:$G$2003,$Z103-0)),IF($Z103&lt;=4000,"个",IF($Z103&lt;=5200,"个",IF($Z103&lt;=5800,"个","")))))</f>
        <v>个</v>
      </c>
      <c r="J103" s="30" t="str">
        <f t="shared" si="4"/>
        <v/>
      </c>
      <c r="K103" s="30">
        <f>IF($Z103="","",IF($Z103&lt;=2000,IF(INDEX(包装物料出入库明细!$N$4:$N$2003,$Z103-0)=0,"",INDEX(包装物料出入库明细!$N$4:$N$2003,$Z103-0)),IF($Z103&lt;=4000,IF(INDEX(周转筐出入库明细!$P$4:$P$2004,$Z103-2000)=0,"",INDEX(周转筐出入库明细!$P$4:$P$2004,$Z103-2000)),IF($Z103&lt;=5200,"",IF($Z103&lt;=5800,N(INDEX(次果筐明细!$L$4:$L$603,$Z103-5200))+N(INDEX(次果筐明细!$J$4:$J$603,$Z103-5200)),"")))))</f>
        <v>8460</v>
      </c>
      <c r="L103" s="24" t="str">
        <f>IF($Z103="","",IF($Z103&lt;=2000,IF(INDEX(包装物料出入库明细!$P$4:$P$2003,$Z103-0)=0,"",INDEX(包装物料出入库明细!$P$4:$P$2003,$Z103-0)),IF($Z103&lt;=4000,IF(INDEX(周转筐出入库明细!$Q$4:$Q$2004,$Z103-2000)=0,"",INDEX(周转筐出入库明细!$Q$4:$Q$2004,$Z103-2000)),IF($Z103&lt;=5200,"",IF($Z103&lt;=5800,IF(INDEX(次果筐明细!$M$4:$M$603,$Z103-5200)=0,"",INDEX(次果筐明细!$M$4:$M$603,$Z103-5200)),"")))))</f>
        <v>未付款</v>
      </c>
      <c r="M103" s="37" t="str">
        <f>IF($Z103="","",IF($Z103&lt;=2000,IF(INDEX(包装物料出入库明细!$R$4:$R$2003,$Z103-0)=0,"",INDEX(包装物料出入库明细!$R$4:$R$2003,$Z103-0)),IF($Z103&lt;=4000,IF(INDEX(周转筐出入库明细!$W$4:$W$2004,$Z103-2000)=0,"",INDEX(周转筐出入库明细!$W$4:$W$2004,$Z103-2000)),IF($Z103&lt;=5200,IF(INDEX(客户自备加工筐明细!$L$4:$L$1203,$Z103-4000)=0,"",INDEX(客户自备加工筐明细!$L$4:$L$1203,$Z103-4000)),IF($Z103&lt;=5800,IF(INDEX(次果筐明细!$P$4:$P$603,$Z103-5200)=0,"",INDEX(次果筐明细!$P$4:$P$603,$Z103-5200)),"")))))</f>
        <v>NO:0017213</v>
      </c>
      <c r="N103" s="16" t="str">
        <f>IF($Z103="","",IF($Z103&lt;=2000,"",IF($Z103&lt;=4000,IF(INDEX(周转筐出入库明细!$D$4:$D$2004,$Z103-2000)=0,"",INDEX(周转筐出入库明细!$D$4:$D$2004,$Z103-2000)),IF($Z103&lt;=5200,IF(INDEX(客户自备加工筐明细!$C$4:$C$1203,$Z103-4000)=0,"",INDEX(客户自备加工筐明细!$C$4:$C$1203,$Z103-4000)),IF($Z103&lt;=5800,IF(INDEX(次果筐明细!$D$4:$D$603,$Z103-5200)=0,"",INDEX(次果筐明细!$D$4:$D$603,$Z103-5200)),"")))))</f>
        <v>公司红周转筐</v>
      </c>
      <c r="O103" s="40" t="str">
        <f>IF($Z103="","",IF($Z103&lt;=2000,"",IF($Z103&lt;=4000,IF(N(INDEX(周转筐出入库明细!$J$4:$J$2004,$Z103-2000))+N(INDEX(周转筐出入库明细!$K$4:$K$2004,$Z103-2000))=0,"",N(INDEX(周转筐出入库明细!$J$4:$J$2004,$Z103-2000))+N(INDEX(周转筐出入库明细!$K$4:$K$2004,$Z103-2000))),IF($Z103&lt;=5200,IF(N(INDEX(客户自备加工筐明细!$G$4:$G$1203,$Z103-4000))=0,"",N(INDEX(客户自备加工筐明细!$G$4:$G$1203,$Z103-4000))),IF($Z103&lt;=5800,IF(ISNUMBER(SEARCH("退",INDEX(次果筐明细!$F$4:$F$603,$Z103-5200)&amp;"")),"",IF(N(INDEX(次果筐明细!$G$4:$G$603,$Z103-5200))=0,"",N(INDEX(次果筐明细!$G$4:$G$603,$Z103-5200)))),"")))))</f>
        <v/>
      </c>
      <c r="P103" s="40" t="str">
        <f>IF($Z103="","",IF($Z103&lt;=2000,"",IF($Z103&lt;=4000,IF(N(INDEX(周转筐出入库明细!$I$4:$I$2004,$Z103-2000))=0,"",N(INDEX(周转筐出入库明细!$I$4:$I$2004,$Z103-2000))),IF($Z103&lt;=5200,"",IF($Z103&lt;=5800,IF(ISNUMBER(SEARCH("退",INDEX(次果筐明细!$F$4:$F$603,$Z103-5200)&amp;"")),IF(N(INDEX(次果筐明细!$G$4:$G$603,$Z103-5200))=0,"",N(INDEX(次果筐明细!$G$4:$G$603,$Z103-5200))),""),"")))))</f>
        <v/>
      </c>
      <c r="Q103" s="40">
        <f>IF($Z103="","",IF($Z103&lt;=2000,"",IF($Z103&lt;=4000,IF(N(INDEX(周转筐出入库明细!$H$4:$H$2004,$Z103-2000))=0,"",N(INDEX(周转筐出入库明细!$H$4:$H$2004,$Z103-2000))),IF($Z103&lt;=5200,IF(N(INDEX(客户自备加工筐明细!$F$4:$F$1203,$Z103-4000))=0,"",N(INDEX(客户自备加工筐明细!$F$4:$F$1203,$Z103-4000))),IF($Z103&lt;=5800,"","")))))</f>
        <v>846</v>
      </c>
      <c r="R103" s="16" t="str">
        <f>IF($Z103="","",IF($Z103&lt;=2000,IF(INDEX(包装物料出入库明细!$O$4:$O$2003,$Z103-0)=0,"",INDEX(包装物料出入库明细!$O$4:$O$2003,$Z103-0)),IF($Z103&lt;=4000,IF(INDEX(周转筐出入库明细!$M$4:$M$2004,$Z103-2000)=0,"",INDEX(周转筐出入库明细!$M$4:$M$2004,$Z103-2000)),IF($Z103&lt;=5200,IF(INDEX(客户自备加工筐明细!$H$4:$H$1203,$Z103-4000)=0,"",INDEX(客户自备加工筐明细!$H$4:$H$1203,$Z103-4000)),IF($Z103&lt;=5800,IF(INDEX(次果筐明细!$H$4:$H$603,$Z103-5200)=0,"",INDEX(次果筐明细!$H$4:$H$603,$Z103-5200)),"")))))</f>
        <v>新A*G0554</v>
      </c>
      <c r="S103" s="22" t="str">
        <f t="shared" si="5"/>
        <v>公司筐</v>
      </c>
      <c r="Z103" s="10">
        <f>IFERROR(MATCH(ROW()-3,_自动清单!$CQ$4:$CQ$5803,0),"")</f>
        <v>2067</v>
      </c>
    </row>
    <row r="104" spans="1:26">
      <c r="A104" s="24">
        <f t="shared" si="3"/>
        <v>101</v>
      </c>
      <c r="B104" s="38">
        <f>IF($Z104="","",IF($Z104&lt;=2000,IF(INDEX(包装物料出入库明细!$B$4:$B$2003,$Z104-0)=0,"",INDEX(包装物料出入库明细!$B$4:$B$2003,$Z104-0)),IF($Z104&lt;=4000,IF(INDEX(周转筐出入库明细!$B$4:$B$2004,$Z104-2000)=0,"",INDEX(周转筐出入库明细!$B$4:$B$2004,$Z104-2000)),IF($Z104&lt;=5200,IF(INDEX(客户自备加工筐明细!$B$4:$B$1203,$Z104-4000)=0,"",INDEX(客户自备加工筐明细!$B$4:$B$1203,$Z104-4000)),IF($Z104&lt;=5800,IF(INDEX(次果筐明细!$B$4:$B$603,$Z104-5200)=0,"",INDEX(次果筐明细!$B$4:$B$603,$Z104-5200)),"")))))</f>
        <v>46277</v>
      </c>
      <c r="C104" s="37" t="str">
        <f>IF($Z104="","",IF($Z104&lt;=2000,IF(INDEX(包装物料出入库明细!$D$4:$D$2003,$Z104-0)=0,"",INDEX(包装物料出入库明细!$D$4:$D$2003,$Z104-0)),IF($Z104&lt;=4000,IF(INDEX(周转筐出入库明细!$C$4:$C$2004,$Z104-2000)=0,"",INDEX(周转筐出入库明细!$C$4:$C$2004,$Z104-2000)),IF($Z104&lt;=5200,IF(INDEX(客户自备加工筐明细!$E$4:$E$1203,$Z104-4000)=0,"",INDEX(客户自备加工筐明细!$E$4:$E$1203,$Z104-4000)),IF($Z104&lt;=5800,IF(INDEX(次果筐明细!$C$4:$C$603,$Z104-5200)=0,"",INDEX(次果筐明细!$C$4:$C$603,$Z104-5200)),"")))))</f>
        <v>麦麦提</v>
      </c>
      <c r="D104" s="37" t="str">
        <f>IF($Z104="","",IF($Z104&lt;=2000,"包装物料－"&amp;INDEX(包装物料出入库明细!$H$4:$H$2003,$Z104-0),IF($Z104&lt;=4000,"周转筐－"&amp;INDEX(周转筐出入库明细!$F$4:$F$2004,$Z104-2000),IF($Z104&lt;=5200,"客户自备筐－"&amp;INDEX(客户自备加工筐明细!$J$4:$J$1203,$Z104-4000),IF($Z104&lt;=5800,"次果筐/托盘－"&amp;INDEX(次果筐明细!$F$4:$F$603,$Z104-5200),"")))))</f>
        <v>周转筐－领用出库</v>
      </c>
      <c r="E104" s="24" t="str">
        <f>IF($Z104="","",IF($Z104&lt;=2000,IF(INDEX(包装物料出入库明细!$C$4:$C$2003,$Z104-0)=0,"",INDEX(包装物料出入库明细!$C$4:$C$2003,$Z104-0)),IF($Z104&lt;=4000,IF(INDEX(周转筐出入库明细!$E$4:$E$2004,$Z104-2000)=0,"",INDEX(周转筐出入库明细!$E$4:$E$2004,$Z104-2000)),IF($Z104&lt;=5200,IF(INDEX(客户自备加工筐明细!$D$4:$D$1203,$Z104-4000)=0,"",INDEX(客户自备加工筐明细!$D$4:$D$1203,$Z104-4000)),IF($Z104&lt;=5800,IF(INDEX(次果筐明细!$E$4:$E$603,$Z104-5200)=0,"",INDEX(次果筐明细!$E$4:$E$603,$Z104-5200)),"")))))</f>
        <v>NO:0001125</v>
      </c>
      <c r="F104" s="24" t="str">
        <f>IF($Z104="","",IF($Z104&lt;=2000,IF(INDEX(包装物料出入库明细!$E$4:$E$2003,$Z104-0)=0,"",INDEX(包装物料出入库明细!$E$4:$E$2003,$Z104-0)),IF($Z104&lt;=4000,IF(INDEX(周转筐出入库明细!$D$4:$D$2004,$Z104-2000)=0,"",INDEX(周转筐出入库明细!$D$4:$D$2004,$Z104-2000)),IF($Z104&lt;=5200,IF(INDEX(客户自备加工筐明细!$C$4:$C$1203,$Z104-4000)=0,"",INDEX(客户自备加工筐明细!$C$4:$C$1203,$Z104-4000)),IF($Z104&lt;=5800,IF(INDEX(次果筐明细!$D$4:$D$603,$Z104-5200)=0,"",INDEX(次果筐明细!$D$4:$D$603,$Z104-5200)),"")))))</f>
        <v>公司红周转筐</v>
      </c>
      <c r="G104" s="24" t="str">
        <f>IF($Z104="","",IF($Z104&lt;=2000,IF(INDEX(包装物料出入库明细!$F$4:$F$2003,$Z104-0)=0,"",INDEX(包装物料出入库明细!$F$4:$F$2003,$Z104-0)),IF($Z104&lt;=4000,"",IF($Z104&lt;=5200,"",IF($Z104&lt;=5800,"","")))))</f>
        <v/>
      </c>
      <c r="H104" s="39">
        <f>IF($Z104="","",IF($Z104&lt;=2000,IF(INDEX(包装物料出入库明细!$L$4:$L$2003,$Z104-0)=0,"",INDEX(包装物料出入库明细!$L$4:$L$2003,$Z104-0)),IF($Z104&lt;=4000,N(INDEX(周转筐出入库明细!$H$4:$H$2004,$Z104-2000))+N(INDEX(周转筐出入库明细!$I$4:$I$2004,$Z104-2000))+N(INDEX(周转筐出入库明细!$J$4:$J$2004,$Z104-2000))+N(INDEX(周转筐出入库明细!$K$4:$K$2004,$Z104-2000)),IF($Z104&lt;=5200,N(INDEX(客户自备加工筐明细!$F$4:$F$1203,$Z104-4000))+N(INDEX(客户自备加工筐明细!$G$4:$G$1203,$Z104-4000)),IF($Z104&lt;=5800,IF(INDEX(次果筐明细!$G$4:$G$603,$Z104-5200)=0,"",INDEX(次果筐明细!$G$4:$G$603,$Z104-5200)),"")))))</f>
        <v>846</v>
      </c>
      <c r="I104" s="24" t="str">
        <f>IF($Z104="","",IF($Z104&lt;=2000,IF(INDEX(包装物料出入库明细!$G$4:$G$2003,$Z104-0)=0,"",INDEX(包装物料出入库明细!$G$4:$G$2003,$Z104-0)),IF($Z104&lt;=4000,"个",IF($Z104&lt;=5200,"个",IF($Z104&lt;=5800,"个","")))))</f>
        <v>个</v>
      </c>
      <c r="J104" s="30" t="str">
        <f t="shared" si="4"/>
        <v/>
      </c>
      <c r="K104" s="30" t="str">
        <f>IF($Z104="","",IF($Z104&lt;=2000,IF(INDEX(包装物料出入库明细!$N$4:$N$2003,$Z104-0)=0,"",INDEX(包装物料出入库明细!$N$4:$N$2003,$Z104-0)),IF($Z104&lt;=4000,IF(INDEX(周转筐出入库明细!$P$4:$P$2004,$Z104-2000)=0,"",INDEX(周转筐出入库明细!$P$4:$P$2004,$Z104-2000)),IF($Z104&lt;=5200,"",IF($Z104&lt;=5800,N(INDEX(次果筐明细!$L$4:$L$603,$Z104-5200))+N(INDEX(次果筐明细!$J$4:$J$603,$Z104-5200)),"")))))</f>
        <v/>
      </c>
      <c r="L104" s="24" t="str">
        <f>IF($Z104="","",IF($Z104&lt;=2000,IF(INDEX(包装物料出入库明细!$P$4:$P$2003,$Z104-0)=0,"",INDEX(包装物料出入库明细!$P$4:$P$2003,$Z104-0)),IF($Z104&lt;=4000,IF(INDEX(周转筐出入库明细!$Q$4:$Q$2004,$Z104-2000)=0,"",INDEX(周转筐出入库明细!$Q$4:$Q$2004,$Z104-2000)),IF($Z104&lt;=5200,"",IF($Z104&lt;=5800,IF(INDEX(次果筐明细!$M$4:$M$603,$Z104-5200)=0,"",INDEX(次果筐明细!$M$4:$M$603,$Z104-5200)),"")))))</f>
        <v/>
      </c>
      <c r="M104" s="37" t="str">
        <f>IF($Z104="","",IF($Z104&lt;=2000,IF(INDEX(包装物料出入库明细!$R$4:$R$2003,$Z104-0)=0,"",INDEX(包装物料出入库明细!$R$4:$R$2003,$Z104-0)),IF($Z104&lt;=4000,IF(INDEX(周转筐出入库明细!$W$4:$W$2004,$Z104-2000)=0,"",INDEX(周转筐出入库明细!$W$4:$W$2004,$Z104-2000)),IF($Z104&lt;=5200,IF(INDEX(客户自备加工筐明细!$L$4:$L$1203,$Z104-4000)=0,"",INDEX(客户自备加工筐明细!$L$4:$L$1203,$Z104-4000)),IF($Z104&lt;=5800,IF(INDEX(次果筐明细!$P$4:$P$603,$Z104-5200)=0,"",INDEX(次果筐明细!$P$4:$P$603,$Z104-5200)),"")))))</f>
        <v/>
      </c>
      <c r="N104" s="16" t="str">
        <f>IF($Z104="","",IF($Z104&lt;=2000,"",IF($Z104&lt;=4000,IF(INDEX(周转筐出入库明细!$D$4:$D$2004,$Z104-2000)=0,"",INDEX(周转筐出入库明细!$D$4:$D$2004,$Z104-2000)),IF($Z104&lt;=5200,IF(INDEX(客户自备加工筐明细!$C$4:$C$1203,$Z104-4000)=0,"",INDEX(客户自备加工筐明细!$C$4:$C$1203,$Z104-4000)),IF($Z104&lt;=5800,IF(INDEX(次果筐明细!$D$4:$D$603,$Z104-5200)=0,"",INDEX(次果筐明细!$D$4:$D$603,$Z104-5200)),"")))))</f>
        <v>公司红周转筐</v>
      </c>
      <c r="O104" s="40">
        <f>IF($Z104="","",IF($Z104&lt;=2000,"",IF($Z104&lt;=4000,IF(N(INDEX(周转筐出入库明细!$J$4:$J$2004,$Z104-2000))+N(INDEX(周转筐出入库明细!$K$4:$K$2004,$Z104-2000))=0,"",N(INDEX(周转筐出入库明细!$J$4:$J$2004,$Z104-2000))+N(INDEX(周转筐出入库明细!$K$4:$K$2004,$Z104-2000))),IF($Z104&lt;=5200,IF(N(INDEX(客户自备加工筐明细!$G$4:$G$1203,$Z104-4000))=0,"",N(INDEX(客户自备加工筐明细!$G$4:$G$1203,$Z104-4000))),IF($Z104&lt;=5800,IF(ISNUMBER(SEARCH("退",INDEX(次果筐明细!$F$4:$F$603,$Z104-5200)&amp;"")),"",IF(N(INDEX(次果筐明细!$G$4:$G$603,$Z104-5200))=0,"",N(INDEX(次果筐明细!$G$4:$G$603,$Z104-5200)))),"")))))</f>
        <v>846</v>
      </c>
      <c r="P104" s="40" t="str">
        <f>IF($Z104="","",IF($Z104&lt;=2000,"",IF($Z104&lt;=4000,IF(N(INDEX(周转筐出入库明细!$I$4:$I$2004,$Z104-2000))=0,"",N(INDEX(周转筐出入库明细!$I$4:$I$2004,$Z104-2000))),IF($Z104&lt;=5200,"",IF($Z104&lt;=5800,IF(ISNUMBER(SEARCH("退",INDEX(次果筐明细!$F$4:$F$603,$Z104-5200)&amp;"")),IF(N(INDEX(次果筐明细!$G$4:$G$603,$Z104-5200))=0,"",N(INDEX(次果筐明细!$G$4:$G$603,$Z104-5200))),""),"")))))</f>
        <v/>
      </c>
      <c r="Q104" s="40" t="str">
        <f>IF($Z104="","",IF($Z104&lt;=2000,"",IF($Z104&lt;=4000,IF(N(INDEX(周转筐出入库明细!$H$4:$H$2004,$Z104-2000))=0,"",N(INDEX(周转筐出入库明细!$H$4:$H$2004,$Z104-2000))),IF($Z104&lt;=5200,IF(N(INDEX(客户自备加工筐明细!$F$4:$F$1203,$Z104-4000))=0,"",N(INDEX(客户自备加工筐明细!$F$4:$F$1203,$Z104-4000))),IF($Z104&lt;=5800,"","")))))</f>
        <v/>
      </c>
      <c r="R104" s="16" t="str">
        <f>IF($Z104="","",IF($Z104&lt;=2000,IF(INDEX(包装物料出入库明细!$O$4:$O$2003,$Z104-0)=0,"",INDEX(包装物料出入库明细!$O$4:$O$2003,$Z104-0)),IF($Z104&lt;=4000,IF(INDEX(周转筐出入库明细!$M$4:$M$2004,$Z104-2000)=0,"",INDEX(周转筐出入库明细!$M$4:$M$2004,$Z104-2000)),IF($Z104&lt;=5200,IF(INDEX(客户自备加工筐明细!$H$4:$H$1203,$Z104-4000)=0,"",INDEX(客户自备加工筐明细!$H$4:$H$1203,$Z104-4000)),IF($Z104&lt;=5800,IF(INDEX(次果筐明细!$H$4:$H$603,$Z104-5200)=0,"",INDEX(次果筐明细!$H$4:$H$603,$Z104-5200)),"")))))</f>
        <v>新A*G0555</v>
      </c>
      <c r="S104" s="22" t="str">
        <f t="shared" si="5"/>
        <v>公司筐</v>
      </c>
      <c r="Z104" s="10">
        <f>IFERROR(MATCH(ROW()-3,_自动清单!$CQ$4:$CQ$5803,0),"")</f>
        <v>2068</v>
      </c>
    </row>
    <row r="105" spans="1:26">
      <c r="A105" s="24">
        <f t="shared" si="3"/>
        <v>102</v>
      </c>
      <c r="B105" s="38">
        <f>IF($Z105="","",IF($Z105&lt;=2000,IF(INDEX(包装物料出入库明细!$B$4:$B$2003,$Z105-0)=0,"",INDEX(包装物料出入库明细!$B$4:$B$2003,$Z105-0)),IF($Z105&lt;=4000,IF(INDEX(周转筐出入库明细!$B$4:$B$2004,$Z105-2000)=0,"",INDEX(周转筐出入库明细!$B$4:$B$2004,$Z105-2000)),IF($Z105&lt;=5200,IF(INDEX(客户自备加工筐明细!$B$4:$B$1203,$Z105-4000)=0,"",INDEX(客户自备加工筐明细!$B$4:$B$1203,$Z105-4000)),IF($Z105&lt;=5800,IF(INDEX(次果筐明细!$B$4:$B$603,$Z105-5200)=0,"",INDEX(次果筐明细!$B$4:$B$603,$Z105-5200)),"")))))</f>
        <v>46278</v>
      </c>
      <c r="C105" s="37" t="str">
        <f>IF($Z105="","",IF($Z105&lt;=2000,IF(INDEX(包装物料出入库明细!$D$4:$D$2003,$Z105-0)=0,"",INDEX(包装物料出入库明细!$D$4:$D$2003,$Z105-0)),IF($Z105&lt;=4000,IF(INDEX(周转筐出入库明细!$C$4:$C$2004,$Z105-2000)=0,"",INDEX(周转筐出入库明细!$C$4:$C$2004,$Z105-2000)),IF($Z105&lt;=5200,IF(INDEX(客户自备加工筐明细!$E$4:$E$1203,$Z105-4000)=0,"",INDEX(客户自备加工筐明细!$E$4:$E$1203,$Z105-4000)),IF($Z105&lt;=5800,IF(INDEX(次果筐明细!$C$4:$C$603,$Z105-5200)=0,"",INDEX(次果筐明细!$C$4:$C$603,$Z105-5200)),"")))))</f>
        <v>全修塑业</v>
      </c>
      <c r="D105" s="37" t="str">
        <f>IF($Z105="","",IF($Z105&lt;=2000,"包装物料－"&amp;INDEX(包装物料出入库明细!$H$4:$H$2003,$Z105-0),IF($Z105&lt;=4000,"周转筐－"&amp;INDEX(周转筐出入库明细!$F$4:$F$2004,$Z105-2000),IF($Z105&lt;=5200,"客户自备筐－"&amp;INDEX(客户自备加工筐明细!$J$4:$J$1203,$Z105-4000),IF($Z105&lt;=5800,"次果筐/托盘－"&amp;INDEX(次果筐明细!$F$4:$F$603,$Z105-5200),"")))))</f>
        <v>周转筐－采购入库</v>
      </c>
      <c r="E105" s="24" t="str">
        <f>IF($Z105="","",IF($Z105&lt;=2000,IF(INDEX(包装物料出入库明细!$C$4:$C$2003,$Z105-0)=0,"",INDEX(包装物料出入库明细!$C$4:$C$2003,$Z105-0)),IF($Z105&lt;=4000,IF(INDEX(周转筐出入库明细!$E$4:$E$2004,$Z105-2000)=0,"",INDEX(周转筐出入库明细!$E$4:$E$2004,$Z105-2000)),IF($Z105&lt;=5200,IF(INDEX(客户自备加工筐明细!$D$4:$D$1203,$Z105-4000)=0,"",INDEX(客户自备加工筐明细!$D$4:$D$1203,$Z105-4000)),IF($Z105&lt;=5800,IF(INDEX(次果筐明细!$E$4:$E$603,$Z105-5200)=0,"",INDEX(次果筐明细!$E$4:$E$603,$Z105-5200)),"")))))</f>
        <v>NO:0000798</v>
      </c>
      <c r="F105" s="24" t="str">
        <f>IF($Z105="","",IF($Z105&lt;=2000,IF(INDEX(包装物料出入库明细!$E$4:$E$2003,$Z105-0)=0,"",INDEX(包装物料出入库明细!$E$4:$E$2003,$Z105-0)),IF($Z105&lt;=4000,IF(INDEX(周转筐出入库明细!$D$4:$D$2004,$Z105-2000)=0,"",INDEX(周转筐出入库明细!$D$4:$D$2004,$Z105-2000)),IF($Z105&lt;=5200,IF(INDEX(客户自备加工筐明细!$C$4:$C$1203,$Z105-4000)=0,"",INDEX(客户自备加工筐明细!$C$4:$C$1203,$Z105-4000)),IF($Z105&lt;=5800,IF(INDEX(次果筐明细!$D$4:$D$603,$Z105-5200)=0,"",INDEX(次果筐明细!$D$4:$D$603,$Z105-5200)),"")))))</f>
        <v>公司红周转筐</v>
      </c>
      <c r="G105" s="24" t="str">
        <f>IF($Z105="","",IF($Z105&lt;=2000,IF(INDEX(包装物料出入库明细!$F$4:$F$2003,$Z105-0)=0,"",INDEX(包装物料出入库明细!$F$4:$F$2003,$Z105-0)),IF($Z105&lt;=4000,"",IF($Z105&lt;=5200,"",IF($Z105&lt;=5800,"","")))))</f>
        <v/>
      </c>
      <c r="H105" s="39">
        <f>IF($Z105="","",IF($Z105&lt;=2000,IF(INDEX(包装物料出入库明细!$L$4:$L$2003,$Z105-0)=0,"",INDEX(包装物料出入库明细!$L$4:$L$2003,$Z105-0)),IF($Z105&lt;=4000,N(INDEX(周转筐出入库明细!$H$4:$H$2004,$Z105-2000))+N(INDEX(周转筐出入库明细!$I$4:$I$2004,$Z105-2000))+N(INDEX(周转筐出入库明细!$J$4:$J$2004,$Z105-2000))+N(INDEX(周转筐出入库明细!$K$4:$K$2004,$Z105-2000)),IF($Z105&lt;=5200,N(INDEX(客户自备加工筐明细!$F$4:$F$1203,$Z105-4000))+N(INDEX(客户自备加工筐明细!$G$4:$G$1203,$Z105-4000)),IF($Z105&lt;=5800,IF(INDEX(次果筐明细!$G$4:$G$603,$Z105-5200)=0,"",INDEX(次果筐明细!$G$4:$G$603,$Z105-5200)),"")))))</f>
        <v>960</v>
      </c>
      <c r="I105" s="24" t="str">
        <f>IF($Z105="","",IF($Z105&lt;=2000,IF(INDEX(包装物料出入库明细!$G$4:$G$2003,$Z105-0)=0,"",INDEX(包装物料出入库明细!$G$4:$G$2003,$Z105-0)),IF($Z105&lt;=4000,"个",IF($Z105&lt;=5200,"个",IF($Z105&lt;=5800,"个","")))))</f>
        <v>个</v>
      </c>
      <c r="J105" s="30" t="str">
        <f t="shared" si="4"/>
        <v/>
      </c>
      <c r="K105" s="30">
        <f>IF($Z105="","",IF($Z105&lt;=2000,IF(INDEX(包装物料出入库明细!$N$4:$N$2003,$Z105-0)=0,"",INDEX(包装物料出入库明细!$N$4:$N$2003,$Z105-0)),IF($Z105&lt;=4000,IF(INDEX(周转筐出入库明细!$P$4:$P$2004,$Z105-2000)=0,"",INDEX(周转筐出入库明细!$P$4:$P$2004,$Z105-2000)),IF($Z105&lt;=5200,"",IF($Z105&lt;=5800,N(INDEX(次果筐明细!$L$4:$L$603,$Z105-5200))+N(INDEX(次果筐明细!$J$4:$J$603,$Z105-5200)),"")))))</f>
        <v>9600</v>
      </c>
      <c r="L105" s="24" t="str">
        <f>IF($Z105="","",IF($Z105&lt;=2000,IF(INDEX(包装物料出入库明细!$P$4:$P$2003,$Z105-0)=0,"",INDEX(包装物料出入库明细!$P$4:$P$2003,$Z105-0)),IF($Z105&lt;=4000,IF(INDEX(周转筐出入库明细!$Q$4:$Q$2004,$Z105-2000)=0,"",INDEX(周转筐出入库明细!$Q$4:$Q$2004,$Z105-2000)),IF($Z105&lt;=5200,"",IF($Z105&lt;=5800,IF(INDEX(次果筐明细!$M$4:$M$603,$Z105-5200)=0,"",INDEX(次果筐明细!$M$4:$M$603,$Z105-5200)),"")))))</f>
        <v>未付款</v>
      </c>
      <c r="M105" s="37" t="str">
        <f>IF($Z105="","",IF($Z105&lt;=2000,IF(INDEX(包装物料出入库明细!$R$4:$R$2003,$Z105-0)=0,"",INDEX(包装物料出入库明细!$R$4:$R$2003,$Z105-0)),IF($Z105&lt;=4000,IF(INDEX(周转筐出入库明细!$W$4:$W$2004,$Z105-2000)=0,"",INDEX(周转筐出入库明细!$W$4:$W$2004,$Z105-2000)),IF($Z105&lt;=5200,IF(INDEX(客户自备加工筐明细!$L$4:$L$1203,$Z105-4000)=0,"",INDEX(客户自备加工筐明细!$L$4:$L$1203,$Z105-4000)),IF($Z105&lt;=5800,IF(INDEX(次果筐明细!$P$4:$P$603,$Z105-5200)=0,"",INDEX(次果筐明细!$P$4:$P$603,$Z105-5200)),"")))))</f>
        <v>NO:0017215</v>
      </c>
      <c r="N105" s="16" t="str">
        <f>IF($Z105="","",IF($Z105&lt;=2000,"",IF($Z105&lt;=4000,IF(INDEX(周转筐出入库明细!$D$4:$D$2004,$Z105-2000)=0,"",INDEX(周转筐出入库明细!$D$4:$D$2004,$Z105-2000)),IF($Z105&lt;=5200,IF(INDEX(客户自备加工筐明细!$C$4:$C$1203,$Z105-4000)=0,"",INDEX(客户自备加工筐明细!$C$4:$C$1203,$Z105-4000)),IF($Z105&lt;=5800,IF(INDEX(次果筐明细!$D$4:$D$603,$Z105-5200)=0,"",INDEX(次果筐明细!$D$4:$D$603,$Z105-5200)),"")))))</f>
        <v>公司红周转筐</v>
      </c>
      <c r="O105" s="40" t="str">
        <f>IF($Z105="","",IF($Z105&lt;=2000,"",IF($Z105&lt;=4000,IF(N(INDEX(周转筐出入库明细!$J$4:$J$2004,$Z105-2000))+N(INDEX(周转筐出入库明细!$K$4:$K$2004,$Z105-2000))=0,"",N(INDEX(周转筐出入库明细!$J$4:$J$2004,$Z105-2000))+N(INDEX(周转筐出入库明细!$K$4:$K$2004,$Z105-2000))),IF($Z105&lt;=5200,IF(N(INDEX(客户自备加工筐明细!$G$4:$G$1203,$Z105-4000))=0,"",N(INDEX(客户自备加工筐明细!$G$4:$G$1203,$Z105-4000))),IF($Z105&lt;=5800,IF(ISNUMBER(SEARCH("退",INDEX(次果筐明细!$F$4:$F$603,$Z105-5200)&amp;"")),"",IF(N(INDEX(次果筐明细!$G$4:$G$603,$Z105-5200))=0,"",N(INDEX(次果筐明细!$G$4:$G$603,$Z105-5200)))),"")))))</f>
        <v/>
      </c>
      <c r="P105" s="40" t="str">
        <f>IF($Z105="","",IF($Z105&lt;=2000,"",IF($Z105&lt;=4000,IF(N(INDEX(周转筐出入库明细!$I$4:$I$2004,$Z105-2000))=0,"",N(INDEX(周转筐出入库明细!$I$4:$I$2004,$Z105-2000))),IF($Z105&lt;=5200,"",IF($Z105&lt;=5800,IF(ISNUMBER(SEARCH("退",INDEX(次果筐明细!$F$4:$F$603,$Z105-5200)&amp;"")),IF(N(INDEX(次果筐明细!$G$4:$G$603,$Z105-5200))=0,"",N(INDEX(次果筐明细!$G$4:$G$603,$Z105-5200))),""),"")))))</f>
        <v/>
      </c>
      <c r="Q105" s="40">
        <f>IF($Z105="","",IF($Z105&lt;=2000,"",IF($Z105&lt;=4000,IF(N(INDEX(周转筐出入库明细!$H$4:$H$2004,$Z105-2000))=0,"",N(INDEX(周转筐出入库明细!$H$4:$H$2004,$Z105-2000))),IF($Z105&lt;=5200,IF(N(INDEX(客户自备加工筐明细!$F$4:$F$1203,$Z105-4000))=0,"",N(INDEX(客户自备加工筐明细!$F$4:$F$1203,$Z105-4000))),IF($Z105&lt;=5800,"","")))))</f>
        <v>960</v>
      </c>
      <c r="R105" s="16" t="str">
        <f>IF($Z105="","",IF($Z105&lt;=2000,IF(INDEX(包装物料出入库明细!$O$4:$O$2003,$Z105-0)=0,"",INDEX(包装物料出入库明细!$O$4:$O$2003,$Z105-0)),IF($Z105&lt;=4000,IF(INDEX(周转筐出入库明细!$M$4:$M$2004,$Z105-2000)=0,"",INDEX(周转筐出入库明细!$M$4:$M$2004,$Z105-2000)),IF($Z105&lt;=5200,IF(INDEX(客户自备加工筐明细!$H$4:$H$1203,$Z105-4000)=0,"",INDEX(客户自备加工筐明细!$H$4:$H$1203,$Z105-4000)),IF($Z105&lt;=5800,IF(INDEX(次果筐明细!$H$4:$H$603,$Z105-5200)=0,"",INDEX(次果筐明细!$H$4:$H$603,$Z105-5200)),"")))))</f>
        <v>新N*49209</v>
      </c>
      <c r="S105" s="22" t="str">
        <f t="shared" si="5"/>
        <v>公司筐</v>
      </c>
      <c r="Z105" s="10">
        <f>IFERROR(MATCH(ROW()-3,_自动清单!$CQ$4:$CQ$5803,0),"")</f>
        <v>2069</v>
      </c>
    </row>
    <row r="106" spans="1:26">
      <c r="A106" s="24">
        <f t="shared" si="3"/>
        <v>103</v>
      </c>
      <c r="B106" s="38">
        <f>IF($Z106="","",IF($Z106&lt;=2000,IF(INDEX(包装物料出入库明细!$B$4:$B$2003,$Z106-0)=0,"",INDEX(包装物料出入库明细!$B$4:$B$2003,$Z106-0)),IF($Z106&lt;=4000,IF(INDEX(周转筐出入库明细!$B$4:$B$2004,$Z106-2000)=0,"",INDEX(周转筐出入库明细!$B$4:$B$2004,$Z106-2000)),IF($Z106&lt;=5200,IF(INDEX(客户自备加工筐明细!$B$4:$B$1203,$Z106-4000)=0,"",INDEX(客户自备加工筐明细!$B$4:$B$1203,$Z106-4000)),IF($Z106&lt;=5800,IF(INDEX(次果筐明细!$B$4:$B$603,$Z106-5200)=0,"",INDEX(次果筐明细!$B$4:$B$603,$Z106-5200)),"")))))</f>
        <v>46278</v>
      </c>
      <c r="C106" s="37" t="str">
        <f>IF($Z106="","",IF($Z106&lt;=2000,IF(INDEX(包装物料出入库明细!$D$4:$D$2003,$Z106-0)=0,"",INDEX(包装物料出入库明细!$D$4:$D$2003,$Z106-0)),IF($Z106&lt;=4000,IF(INDEX(周转筐出入库明细!$C$4:$C$2004,$Z106-2000)=0,"",INDEX(周转筐出入库明细!$C$4:$C$2004,$Z106-2000)),IF($Z106&lt;=5200,IF(INDEX(客户自备加工筐明细!$E$4:$E$1203,$Z106-4000)=0,"",INDEX(客户自备加工筐明细!$E$4:$E$1203,$Z106-4000)),IF($Z106&lt;=5800,IF(INDEX(次果筐明细!$C$4:$C$603,$Z106-5200)=0,"",INDEX(次果筐明细!$C$4:$C$603,$Z106-5200)),"")))))</f>
        <v>王照雪</v>
      </c>
      <c r="D106" s="37" t="str">
        <f>IF($Z106="","",IF($Z106&lt;=2000,"包装物料－"&amp;INDEX(包装物料出入库明细!$H$4:$H$2003,$Z106-0),IF($Z106&lt;=4000,"周转筐－"&amp;INDEX(周转筐出入库明细!$F$4:$F$2004,$Z106-2000),IF($Z106&lt;=5200,"客户自备筐－"&amp;INDEX(客户自备加工筐明细!$J$4:$J$1203,$Z106-4000),IF($Z106&lt;=5800,"次果筐/托盘－"&amp;INDEX(次果筐明细!$F$4:$F$603,$Z106-5200),"")))))</f>
        <v>周转筐－领用出库</v>
      </c>
      <c r="E106" s="24" t="str">
        <f>IF($Z106="","",IF($Z106&lt;=2000,IF(INDEX(包装物料出入库明细!$C$4:$C$2003,$Z106-0)=0,"",INDEX(包装物料出入库明细!$C$4:$C$2003,$Z106-0)),IF($Z106&lt;=4000,IF(INDEX(周转筐出入库明细!$E$4:$E$2004,$Z106-2000)=0,"",INDEX(周转筐出入库明细!$E$4:$E$2004,$Z106-2000)),IF($Z106&lt;=5200,IF(INDEX(客户自备加工筐明细!$D$4:$D$1203,$Z106-4000)=0,"",INDEX(客户自备加工筐明细!$D$4:$D$1203,$Z106-4000)),IF($Z106&lt;=5800,IF(INDEX(次果筐明细!$E$4:$E$603,$Z106-5200)=0,"",INDEX(次果筐明细!$E$4:$E$603,$Z106-5200)),"")))))</f>
        <v>NO:0001129</v>
      </c>
      <c r="F106" s="24" t="str">
        <f>IF($Z106="","",IF($Z106&lt;=2000,IF(INDEX(包装物料出入库明细!$E$4:$E$2003,$Z106-0)=0,"",INDEX(包装物料出入库明细!$E$4:$E$2003,$Z106-0)),IF($Z106&lt;=4000,IF(INDEX(周转筐出入库明细!$D$4:$D$2004,$Z106-2000)=0,"",INDEX(周转筐出入库明细!$D$4:$D$2004,$Z106-2000)),IF($Z106&lt;=5200,IF(INDEX(客户自备加工筐明细!$C$4:$C$1203,$Z106-4000)=0,"",INDEX(客户自备加工筐明细!$C$4:$C$1203,$Z106-4000)),IF($Z106&lt;=5800,IF(INDEX(次果筐明细!$D$4:$D$603,$Z106-5200)=0,"",INDEX(次果筐明细!$D$4:$D$603,$Z106-5200)),"")))))</f>
        <v>公司杂周转筐</v>
      </c>
      <c r="G106" s="24" t="str">
        <f>IF($Z106="","",IF($Z106&lt;=2000,IF(INDEX(包装物料出入库明细!$F$4:$F$2003,$Z106-0)=0,"",INDEX(包装物料出入库明细!$F$4:$F$2003,$Z106-0)),IF($Z106&lt;=4000,"",IF($Z106&lt;=5200,"",IF($Z106&lt;=5800,"","")))))</f>
        <v/>
      </c>
      <c r="H106" s="39">
        <f>IF($Z106="","",IF($Z106&lt;=2000,IF(INDEX(包装物料出入库明细!$L$4:$L$2003,$Z106-0)=0,"",INDEX(包装物料出入库明细!$L$4:$L$2003,$Z106-0)),IF($Z106&lt;=4000,N(INDEX(周转筐出入库明细!$H$4:$H$2004,$Z106-2000))+N(INDEX(周转筐出入库明细!$I$4:$I$2004,$Z106-2000))+N(INDEX(周转筐出入库明细!$J$4:$J$2004,$Z106-2000))+N(INDEX(周转筐出入库明细!$K$4:$K$2004,$Z106-2000)),IF($Z106&lt;=5200,N(INDEX(客户自备加工筐明细!$F$4:$F$1203,$Z106-4000))+N(INDEX(客户自备加工筐明细!$G$4:$G$1203,$Z106-4000)),IF($Z106&lt;=5800,IF(INDEX(次果筐明细!$G$4:$G$603,$Z106-5200)=0,"",INDEX(次果筐明细!$G$4:$G$603,$Z106-5200)),"")))))</f>
        <v>423</v>
      </c>
      <c r="I106" s="24" t="str">
        <f>IF($Z106="","",IF($Z106&lt;=2000,IF(INDEX(包装物料出入库明细!$G$4:$G$2003,$Z106-0)=0,"",INDEX(包装物料出入库明细!$G$4:$G$2003,$Z106-0)),IF($Z106&lt;=4000,"个",IF($Z106&lt;=5200,"个",IF($Z106&lt;=5800,"个","")))))</f>
        <v>个</v>
      </c>
      <c r="J106" s="30" t="str">
        <f t="shared" si="4"/>
        <v/>
      </c>
      <c r="K106" s="30" t="str">
        <f>IF($Z106="","",IF($Z106&lt;=2000,IF(INDEX(包装物料出入库明细!$N$4:$N$2003,$Z106-0)=0,"",INDEX(包装物料出入库明细!$N$4:$N$2003,$Z106-0)),IF($Z106&lt;=4000,IF(INDEX(周转筐出入库明细!$P$4:$P$2004,$Z106-2000)=0,"",INDEX(周转筐出入库明细!$P$4:$P$2004,$Z106-2000)),IF($Z106&lt;=5200,"",IF($Z106&lt;=5800,N(INDEX(次果筐明细!$L$4:$L$603,$Z106-5200))+N(INDEX(次果筐明细!$J$4:$J$603,$Z106-5200)),"")))))</f>
        <v/>
      </c>
      <c r="L106" s="24" t="str">
        <f>IF($Z106="","",IF($Z106&lt;=2000,IF(INDEX(包装物料出入库明细!$P$4:$P$2003,$Z106-0)=0,"",INDEX(包装物料出入库明细!$P$4:$P$2003,$Z106-0)),IF($Z106&lt;=4000,IF(INDEX(周转筐出入库明细!$Q$4:$Q$2004,$Z106-2000)=0,"",INDEX(周转筐出入库明细!$Q$4:$Q$2004,$Z106-2000)),IF($Z106&lt;=5200,"",IF($Z106&lt;=5800,IF(INDEX(次果筐明细!$M$4:$M$603,$Z106-5200)=0,"",INDEX(次果筐明细!$M$4:$M$603,$Z106-5200)),"")))))</f>
        <v/>
      </c>
      <c r="M106" s="37" t="str">
        <f>IF($Z106="","",IF($Z106&lt;=2000,IF(INDEX(包装物料出入库明细!$R$4:$R$2003,$Z106-0)=0,"",INDEX(包装物料出入库明细!$R$4:$R$2003,$Z106-0)),IF($Z106&lt;=4000,IF(INDEX(周转筐出入库明细!$W$4:$W$2004,$Z106-2000)=0,"",INDEX(周转筐出入库明细!$W$4:$W$2004,$Z106-2000)),IF($Z106&lt;=5200,IF(INDEX(客户自备加工筐明细!$L$4:$L$1203,$Z106-4000)=0,"",INDEX(客户自备加工筐明细!$L$4:$L$1203,$Z106-4000)),IF($Z106&lt;=5800,IF(INDEX(次果筐明细!$P$4:$P$603,$Z106-5200)=0,"",INDEX(次果筐明细!$P$4:$P$603,$Z106-5200)),"")))))</f>
        <v/>
      </c>
      <c r="N106" s="16" t="str">
        <f>IF($Z106="","",IF($Z106&lt;=2000,"",IF($Z106&lt;=4000,IF(INDEX(周转筐出入库明细!$D$4:$D$2004,$Z106-2000)=0,"",INDEX(周转筐出入库明细!$D$4:$D$2004,$Z106-2000)),IF($Z106&lt;=5200,IF(INDEX(客户自备加工筐明细!$C$4:$C$1203,$Z106-4000)=0,"",INDEX(客户自备加工筐明细!$C$4:$C$1203,$Z106-4000)),IF($Z106&lt;=5800,IF(INDEX(次果筐明细!$D$4:$D$603,$Z106-5200)=0,"",INDEX(次果筐明细!$D$4:$D$603,$Z106-5200)),"")))))</f>
        <v>公司杂周转筐</v>
      </c>
      <c r="O106" s="40">
        <f>IF($Z106="","",IF($Z106&lt;=2000,"",IF($Z106&lt;=4000,IF(N(INDEX(周转筐出入库明细!$J$4:$J$2004,$Z106-2000))+N(INDEX(周转筐出入库明细!$K$4:$K$2004,$Z106-2000))=0,"",N(INDEX(周转筐出入库明细!$J$4:$J$2004,$Z106-2000))+N(INDEX(周转筐出入库明细!$K$4:$K$2004,$Z106-2000))),IF($Z106&lt;=5200,IF(N(INDEX(客户自备加工筐明细!$G$4:$G$1203,$Z106-4000))=0,"",N(INDEX(客户自备加工筐明细!$G$4:$G$1203,$Z106-4000))),IF($Z106&lt;=5800,IF(ISNUMBER(SEARCH("退",INDEX(次果筐明细!$F$4:$F$603,$Z106-5200)&amp;"")),"",IF(N(INDEX(次果筐明细!$G$4:$G$603,$Z106-5200))=0,"",N(INDEX(次果筐明细!$G$4:$G$603,$Z106-5200)))),"")))))</f>
        <v>423</v>
      </c>
      <c r="P106" s="40" t="str">
        <f>IF($Z106="","",IF($Z106&lt;=2000,"",IF($Z106&lt;=4000,IF(N(INDEX(周转筐出入库明细!$I$4:$I$2004,$Z106-2000))=0,"",N(INDEX(周转筐出入库明细!$I$4:$I$2004,$Z106-2000))),IF($Z106&lt;=5200,"",IF($Z106&lt;=5800,IF(ISNUMBER(SEARCH("退",INDEX(次果筐明细!$F$4:$F$603,$Z106-5200)&amp;"")),IF(N(INDEX(次果筐明细!$G$4:$G$603,$Z106-5200))=0,"",N(INDEX(次果筐明细!$G$4:$G$603,$Z106-5200))),""),"")))))</f>
        <v/>
      </c>
      <c r="Q106" s="40" t="str">
        <f>IF($Z106="","",IF($Z106&lt;=2000,"",IF($Z106&lt;=4000,IF(N(INDEX(周转筐出入库明细!$H$4:$H$2004,$Z106-2000))=0,"",N(INDEX(周转筐出入库明细!$H$4:$H$2004,$Z106-2000))),IF($Z106&lt;=5200,IF(N(INDEX(客户自备加工筐明细!$F$4:$F$1203,$Z106-4000))=0,"",N(INDEX(客户自备加工筐明细!$F$4:$F$1203,$Z106-4000))),IF($Z106&lt;=5800,"","")))))</f>
        <v/>
      </c>
      <c r="R106" s="16" t="str">
        <f>IF($Z106="","",IF($Z106&lt;=2000,IF(INDEX(包装物料出入库明细!$O$4:$O$2003,$Z106-0)=0,"",INDEX(包装物料出入库明细!$O$4:$O$2003,$Z106-0)),IF($Z106&lt;=4000,IF(INDEX(周转筐出入库明细!$M$4:$M$2004,$Z106-2000)=0,"",INDEX(周转筐出入库明细!$M$4:$M$2004,$Z106-2000)),IF($Z106&lt;=5200,IF(INDEX(客户自备加工筐明细!$H$4:$H$1203,$Z106-4000)=0,"",INDEX(客户自备加工筐明细!$H$4:$H$1203,$Z106-4000)),IF($Z106&lt;=5800,IF(INDEX(次果筐明细!$H$4:$H$603,$Z106-5200)=0,"",INDEX(次果筐明细!$H$4:$H$603,$Z106-5200)),"")))))</f>
        <v>豫L*88X19</v>
      </c>
      <c r="S106" s="22" t="str">
        <f t="shared" si="5"/>
        <v>公司筐</v>
      </c>
      <c r="Z106" s="10">
        <f>IFERROR(MATCH(ROW()-3,_自动清单!$CQ$4:$CQ$5803,0),"")</f>
        <v>2070</v>
      </c>
    </row>
    <row r="107" spans="1:26">
      <c r="A107" s="24">
        <f t="shared" si="3"/>
        <v>104</v>
      </c>
      <c r="B107" s="38">
        <f>IF($Z107="","",IF($Z107&lt;=2000,IF(INDEX(包装物料出入库明细!$B$4:$B$2003,$Z107-0)=0,"",INDEX(包装物料出入库明细!$B$4:$B$2003,$Z107-0)),IF($Z107&lt;=4000,IF(INDEX(周转筐出入库明细!$B$4:$B$2004,$Z107-2000)=0,"",INDEX(周转筐出入库明细!$B$4:$B$2004,$Z107-2000)),IF($Z107&lt;=5200,IF(INDEX(客户自备加工筐明细!$B$4:$B$1203,$Z107-4000)=0,"",INDEX(客户自备加工筐明细!$B$4:$B$1203,$Z107-4000)),IF($Z107&lt;=5800,IF(INDEX(次果筐明细!$B$4:$B$603,$Z107-5200)=0,"",INDEX(次果筐明细!$B$4:$B$603,$Z107-5200)),"")))))</f>
        <v>46278</v>
      </c>
      <c r="C107" s="37" t="str">
        <f>IF($Z107="","",IF($Z107&lt;=2000,IF(INDEX(包装物料出入库明细!$D$4:$D$2003,$Z107-0)=0,"",INDEX(包装物料出入库明细!$D$4:$D$2003,$Z107-0)),IF($Z107&lt;=4000,IF(INDEX(周转筐出入库明细!$C$4:$C$2004,$Z107-2000)=0,"",INDEX(周转筐出入库明细!$C$4:$C$2004,$Z107-2000)),IF($Z107&lt;=5200,IF(INDEX(客户自备加工筐明细!$E$4:$E$1203,$Z107-4000)=0,"",INDEX(客户自备加工筐明细!$E$4:$E$1203,$Z107-4000)),IF($Z107&lt;=5800,IF(INDEX(次果筐明细!$C$4:$C$603,$Z107-5200)=0,"",INDEX(次果筐明细!$C$4:$C$603,$Z107-5200)),"")))))</f>
        <v>王灵云</v>
      </c>
      <c r="D107" s="37" t="str">
        <f>IF($Z107="","",IF($Z107&lt;=2000,"包装物料－"&amp;INDEX(包装物料出入库明细!$H$4:$H$2003,$Z107-0),IF($Z107&lt;=4000,"周转筐－"&amp;INDEX(周转筐出入库明细!$F$4:$F$2004,$Z107-2000),IF($Z107&lt;=5200,"客户自备筐－"&amp;INDEX(客户自备加工筐明细!$J$4:$J$1203,$Z107-4000),IF($Z107&lt;=5800,"次果筐/托盘－"&amp;INDEX(次果筐明细!$F$4:$F$603,$Z107-5200),"")))))</f>
        <v>周转筐－领用出库</v>
      </c>
      <c r="E107" s="24" t="str">
        <f>IF($Z107="","",IF($Z107&lt;=2000,IF(INDEX(包装物料出入库明细!$C$4:$C$2003,$Z107-0)=0,"",INDEX(包装物料出入库明细!$C$4:$C$2003,$Z107-0)),IF($Z107&lt;=4000,IF(INDEX(周转筐出入库明细!$E$4:$E$2004,$Z107-2000)=0,"",INDEX(周转筐出入库明细!$E$4:$E$2004,$Z107-2000)),IF($Z107&lt;=5200,IF(INDEX(客户自备加工筐明细!$D$4:$D$1203,$Z107-4000)=0,"",INDEX(客户自备加工筐明细!$D$4:$D$1203,$Z107-4000)),IF($Z107&lt;=5800,IF(INDEX(次果筐明细!$E$4:$E$603,$Z107-5200)=0,"",INDEX(次果筐明细!$E$4:$E$603,$Z107-5200)),"")))))</f>
        <v>NO:0001130</v>
      </c>
      <c r="F107" s="24" t="str">
        <f>IF($Z107="","",IF($Z107&lt;=2000,IF(INDEX(包装物料出入库明细!$E$4:$E$2003,$Z107-0)=0,"",INDEX(包装物料出入库明细!$E$4:$E$2003,$Z107-0)),IF($Z107&lt;=4000,IF(INDEX(周转筐出入库明细!$D$4:$D$2004,$Z107-2000)=0,"",INDEX(周转筐出入库明细!$D$4:$D$2004,$Z107-2000)),IF($Z107&lt;=5200,IF(INDEX(客户自备加工筐明细!$C$4:$C$1203,$Z107-4000)=0,"",INDEX(客户自备加工筐明细!$C$4:$C$1203,$Z107-4000)),IF($Z107&lt;=5800,IF(INDEX(次果筐明细!$D$4:$D$603,$Z107-5200)=0,"",INDEX(次果筐明细!$D$4:$D$603,$Z107-5200)),"")))))</f>
        <v>公司红周转筐</v>
      </c>
      <c r="G107" s="24" t="str">
        <f>IF($Z107="","",IF($Z107&lt;=2000,IF(INDEX(包装物料出入库明细!$F$4:$F$2003,$Z107-0)=0,"",INDEX(包装物料出入库明细!$F$4:$F$2003,$Z107-0)),IF($Z107&lt;=4000,"",IF($Z107&lt;=5200,"",IF($Z107&lt;=5800,"","")))))</f>
        <v/>
      </c>
      <c r="H107" s="39">
        <f>IF($Z107="","",IF($Z107&lt;=2000,IF(INDEX(包装物料出入库明细!$L$4:$L$2003,$Z107-0)=0,"",INDEX(包装物料出入库明细!$L$4:$L$2003,$Z107-0)),IF($Z107&lt;=4000,N(INDEX(周转筐出入库明细!$H$4:$H$2004,$Z107-2000))+N(INDEX(周转筐出入库明细!$I$4:$I$2004,$Z107-2000))+N(INDEX(周转筐出入库明细!$J$4:$J$2004,$Z107-2000))+N(INDEX(周转筐出入库明细!$K$4:$K$2004,$Z107-2000)),IF($Z107&lt;=5200,N(INDEX(客户自备加工筐明细!$F$4:$F$1203,$Z107-4000))+N(INDEX(客户自备加工筐明细!$G$4:$G$1203,$Z107-4000)),IF($Z107&lt;=5800,IF(INDEX(次果筐明细!$G$4:$G$603,$Z107-5200)=0,"",INDEX(次果筐明细!$G$4:$G$603,$Z107-5200)),"")))))</f>
        <v>960</v>
      </c>
      <c r="I107" s="24" t="str">
        <f>IF($Z107="","",IF($Z107&lt;=2000,IF(INDEX(包装物料出入库明细!$G$4:$G$2003,$Z107-0)=0,"",INDEX(包装物料出入库明细!$G$4:$G$2003,$Z107-0)),IF($Z107&lt;=4000,"个",IF($Z107&lt;=5200,"个",IF($Z107&lt;=5800,"个","")))))</f>
        <v>个</v>
      </c>
      <c r="J107" s="30" t="str">
        <f t="shared" si="4"/>
        <v/>
      </c>
      <c r="K107" s="30" t="str">
        <f>IF($Z107="","",IF($Z107&lt;=2000,IF(INDEX(包装物料出入库明细!$N$4:$N$2003,$Z107-0)=0,"",INDEX(包装物料出入库明细!$N$4:$N$2003,$Z107-0)),IF($Z107&lt;=4000,IF(INDEX(周转筐出入库明细!$P$4:$P$2004,$Z107-2000)=0,"",INDEX(周转筐出入库明细!$P$4:$P$2004,$Z107-2000)),IF($Z107&lt;=5200,"",IF($Z107&lt;=5800,N(INDEX(次果筐明细!$L$4:$L$603,$Z107-5200))+N(INDEX(次果筐明细!$J$4:$J$603,$Z107-5200)),"")))))</f>
        <v/>
      </c>
      <c r="L107" s="24" t="str">
        <f>IF($Z107="","",IF($Z107&lt;=2000,IF(INDEX(包装物料出入库明细!$P$4:$P$2003,$Z107-0)=0,"",INDEX(包装物料出入库明细!$P$4:$P$2003,$Z107-0)),IF($Z107&lt;=4000,IF(INDEX(周转筐出入库明细!$Q$4:$Q$2004,$Z107-2000)=0,"",INDEX(周转筐出入库明细!$Q$4:$Q$2004,$Z107-2000)),IF($Z107&lt;=5200,"",IF($Z107&lt;=5800,IF(INDEX(次果筐明细!$M$4:$M$603,$Z107-5200)=0,"",INDEX(次果筐明细!$M$4:$M$603,$Z107-5200)),"")))))</f>
        <v/>
      </c>
      <c r="M107" s="37" t="str">
        <f>IF($Z107="","",IF($Z107&lt;=2000,IF(INDEX(包装物料出入库明细!$R$4:$R$2003,$Z107-0)=0,"",INDEX(包装物料出入库明细!$R$4:$R$2003,$Z107-0)),IF($Z107&lt;=4000,IF(INDEX(周转筐出入库明细!$W$4:$W$2004,$Z107-2000)=0,"",INDEX(周转筐出入库明细!$W$4:$W$2004,$Z107-2000)),IF($Z107&lt;=5200,IF(INDEX(客户自备加工筐明细!$L$4:$L$1203,$Z107-4000)=0,"",INDEX(客户自备加工筐明细!$L$4:$L$1203,$Z107-4000)),IF($Z107&lt;=5800,IF(INDEX(次果筐明细!$P$4:$P$603,$Z107-5200)=0,"",INDEX(次果筐明细!$P$4:$P$603,$Z107-5200)),"")))))</f>
        <v/>
      </c>
      <c r="N107" s="16" t="str">
        <f>IF($Z107="","",IF($Z107&lt;=2000,"",IF($Z107&lt;=4000,IF(INDEX(周转筐出入库明细!$D$4:$D$2004,$Z107-2000)=0,"",INDEX(周转筐出入库明细!$D$4:$D$2004,$Z107-2000)),IF($Z107&lt;=5200,IF(INDEX(客户自备加工筐明细!$C$4:$C$1203,$Z107-4000)=0,"",INDEX(客户自备加工筐明细!$C$4:$C$1203,$Z107-4000)),IF($Z107&lt;=5800,IF(INDEX(次果筐明细!$D$4:$D$603,$Z107-5200)=0,"",INDEX(次果筐明细!$D$4:$D$603,$Z107-5200)),"")))))</f>
        <v>公司红周转筐</v>
      </c>
      <c r="O107" s="40">
        <f>IF($Z107="","",IF($Z107&lt;=2000,"",IF($Z107&lt;=4000,IF(N(INDEX(周转筐出入库明细!$J$4:$J$2004,$Z107-2000))+N(INDEX(周转筐出入库明细!$K$4:$K$2004,$Z107-2000))=0,"",N(INDEX(周转筐出入库明细!$J$4:$J$2004,$Z107-2000))+N(INDEX(周转筐出入库明细!$K$4:$K$2004,$Z107-2000))),IF($Z107&lt;=5200,IF(N(INDEX(客户自备加工筐明细!$G$4:$G$1203,$Z107-4000))=0,"",N(INDEX(客户自备加工筐明细!$G$4:$G$1203,$Z107-4000))),IF($Z107&lt;=5800,IF(ISNUMBER(SEARCH("退",INDEX(次果筐明细!$F$4:$F$603,$Z107-5200)&amp;"")),"",IF(N(INDEX(次果筐明细!$G$4:$G$603,$Z107-5200))=0,"",N(INDEX(次果筐明细!$G$4:$G$603,$Z107-5200)))),"")))))</f>
        <v>960</v>
      </c>
      <c r="P107" s="40" t="str">
        <f>IF($Z107="","",IF($Z107&lt;=2000,"",IF($Z107&lt;=4000,IF(N(INDEX(周转筐出入库明细!$I$4:$I$2004,$Z107-2000))=0,"",N(INDEX(周转筐出入库明细!$I$4:$I$2004,$Z107-2000))),IF($Z107&lt;=5200,"",IF($Z107&lt;=5800,IF(ISNUMBER(SEARCH("退",INDEX(次果筐明细!$F$4:$F$603,$Z107-5200)&amp;"")),IF(N(INDEX(次果筐明细!$G$4:$G$603,$Z107-5200))=0,"",N(INDEX(次果筐明细!$G$4:$G$603,$Z107-5200))),""),"")))))</f>
        <v/>
      </c>
      <c r="Q107" s="40" t="str">
        <f>IF($Z107="","",IF($Z107&lt;=2000,"",IF($Z107&lt;=4000,IF(N(INDEX(周转筐出入库明细!$H$4:$H$2004,$Z107-2000))=0,"",N(INDEX(周转筐出入库明细!$H$4:$H$2004,$Z107-2000))),IF($Z107&lt;=5200,IF(N(INDEX(客户自备加工筐明细!$F$4:$F$1203,$Z107-4000))=0,"",N(INDEX(客户自备加工筐明细!$F$4:$F$1203,$Z107-4000))),IF($Z107&lt;=5800,"","")))))</f>
        <v/>
      </c>
      <c r="R107" s="16" t="str">
        <f>IF($Z107="","",IF($Z107&lt;=2000,IF(INDEX(包装物料出入库明细!$O$4:$O$2003,$Z107-0)=0,"",INDEX(包装物料出入库明细!$O$4:$O$2003,$Z107-0)),IF($Z107&lt;=4000,IF(INDEX(周转筐出入库明细!$M$4:$M$2004,$Z107-2000)=0,"",INDEX(周转筐出入库明细!$M$4:$M$2004,$Z107-2000)),IF($Z107&lt;=5200,IF(INDEX(客户自备加工筐明细!$H$4:$H$1203,$Z107-4000)=0,"",INDEX(客户自备加工筐明细!$H$4:$H$1203,$Z107-4000)),IF($Z107&lt;=5800,IF(INDEX(次果筐明细!$H$4:$H$603,$Z107-5200)=0,"",INDEX(次果筐明细!$H$4:$H$603,$Z107-5200)),"")))))</f>
        <v>新N*49209</v>
      </c>
      <c r="S107" s="22" t="str">
        <f t="shared" si="5"/>
        <v>公司筐</v>
      </c>
      <c r="Z107" s="10">
        <f>IFERROR(MATCH(ROW()-3,_自动清单!$CQ$4:$CQ$5803,0),"")</f>
        <v>2071</v>
      </c>
    </row>
    <row r="108" spans="1:26">
      <c r="A108" s="24">
        <f t="shared" si="3"/>
        <v>105</v>
      </c>
      <c r="B108" s="38">
        <f>IF($Z108="","",IF($Z108&lt;=2000,IF(INDEX(包装物料出入库明细!$B$4:$B$2003,$Z108-0)=0,"",INDEX(包装物料出入库明细!$B$4:$B$2003,$Z108-0)),IF($Z108&lt;=4000,IF(INDEX(周转筐出入库明细!$B$4:$B$2004,$Z108-2000)=0,"",INDEX(周转筐出入库明细!$B$4:$B$2004,$Z108-2000)),IF($Z108&lt;=5200,IF(INDEX(客户自备加工筐明细!$B$4:$B$1203,$Z108-4000)=0,"",INDEX(客户自备加工筐明细!$B$4:$B$1203,$Z108-4000)),IF($Z108&lt;=5800,IF(INDEX(次果筐明细!$B$4:$B$603,$Z108-5200)=0,"",INDEX(次果筐明细!$B$4:$B$603,$Z108-5200)),"")))))</f>
        <v>46278</v>
      </c>
      <c r="C108" s="37" t="str">
        <f>IF($Z108="","",IF($Z108&lt;=2000,IF(INDEX(包装物料出入库明细!$D$4:$D$2003,$Z108-0)=0,"",INDEX(包装物料出入库明细!$D$4:$D$2003,$Z108-0)),IF($Z108&lt;=4000,IF(INDEX(周转筐出入库明细!$C$4:$C$2004,$Z108-2000)=0,"",INDEX(周转筐出入库明细!$C$4:$C$2004,$Z108-2000)),IF($Z108&lt;=5200,IF(INDEX(客户自备加工筐明细!$E$4:$E$1203,$Z108-4000)=0,"",INDEX(客户自备加工筐明细!$E$4:$E$1203,$Z108-4000)),IF($Z108&lt;=5800,IF(INDEX(次果筐明细!$C$4:$C$603,$Z108-5200)=0,"",INDEX(次果筐明细!$C$4:$C$603,$Z108-5200)),"")))))</f>
        <v>马锦祥</v>
      </c>
      <c r="D108" s="37" t="str">
        <f>IF($Z108="","",IF($Z108&lt;=2000,"包装物料－"&amp;INDEX(包装物料出入库明细!$H$4:$H$2003,$Z108-0),IF($Z108&lt;=4000,"周转筐－"&amp;INDEX(周转筐出入库明细!$F$4:$F$2004,$Z108-2000),IF($Z108&lt;=5200,"客户自备筐－"&amp;INDEX(客户自备加工筐明细!$J$4:$J$1203,$Z108-4000),IF($Z108&lt;=5800,"次果筐/托盘－"&amp;INDEX(次果筐明细!$F$4:$F$603,$Z108-5200),"")))))</f>
        <v>周转筐－领用出库</v>
      </c>
      <c r="E108" s="24" t="str">
        <f>IF($Z108="","",IF($Z108&lt;=2000,IF(INDEX(包装物料出入库明细!$C$4:$C$2003,$Z108-0)=0,"",INDEX(包装物料出入库明细!$C$4:$C$2003,$Z108-0)),IF($Z108&lt;=4000,IF(INDEX(周转筐出入库明细!$E$4:$E$2004,$Z108-2000)=0,"",INDEX(周转筐出入库明细!$E$4:$E$2004,$Z108-2000)),IF($Z108&lt;=5200,IF(INDEX(客户自备加工筐明细!$D$4:$D$1203,$Z108-4000)=0,"",INDEX(客户自备加工筐明细!$D$4:$D$1203,$Z108-4000)),IF($Z108&lt;=5800,IF(INDEX(次果筐明细!$E$4:$E$603,$Z108-5200)=0,"",INDEX(次果筐明细!$E$4:$E$603,$Z108-5200)),"")))))</f>
        <v>NO:0001131</v>
      </c>
      <c r="F108" s="24" t="str">
        <f>IF($Z108="","",IF($Z108&lt;=2000,IF(INDEX(包装物料出入库明细!$E$4:$E$2003,$Z108-0)=0,"",INDEX(包装物料出入库明细!$E$4:$E$2003,$Z108-0)),IF($Z108&lt;=4000,IF(INDEX(周转筐出入库明细!$D$4:$D$2004,$Z108-2000)=0,"",INDEX(周转筐出入库明细!$D$4:$D$2004,$Z108-2000)),IF($Z108&lt;=5200,IF(INDEX(客户自备加工筐明细!$C$4:$C$1203,$Z108-4000)=0,"",INDEX(客户自备加工筐明细!$C$4:$C$1203,$Z108-4000)),IF($Z108&lt;=5800,IF(INDEX(次果筐明细!$D$4:$D$603,$Z108-5200)=0,"",INDEX(次果筐明细!$D$4:$D$603,$Z108-5200)),"")))))</f>
        <v>公司杂周转筐</v>
      </c>
      <c r="G108" s="24" t="str">
        <f>IF($Z108="","",IF($Z108&lt;=2000,IF(INDEX(包装物料出入库明细!$F$4:$F$2003,$Z108-0)=0,"",INDEX(包装物料出入库明细!$F$4:$F$2003,$Z108-0)),IF($Z108&lt;=4000,"",IF($Z108&lt;=5200,"",IF($Z108&lt;=5800,"","")))))</f>
        <v/>
      </c>
      <c r="H108" s="39">
        <f>IF($Z108="","",IF($Z108&lt;=2000,IF(INDEX(包装物料出入库明细!$L$4:$L$2003,$Z108-0)=0,"",INDEX(包装物料出入库明细!$L$4:$L$2003,$Z108-0)),IF($Z108&lt;=4000,N(INDEX(周转筐出入库明细!$H$4:$H$2004,$Z108-2000))+N(INDEX(周转筐出入库明细!$I$4:$I$2004,$Z108-2000))+N(INDEX(周转筐出入库明细!$J$4:$J$2004,$Z108-2000))+N(INDEX(周转筐出入库明细!$K$4:$K$2004,$Z108-2000)),IF($Z108&lt;=5200,N(INDEX(客户自备加工筐明细!$F$4:$F$1203,$Z108-4000))+N(INDEX(客户自备加工筐明细!$G$4:$G$1203,$Z108-4000)),IF($Z108&lt;=5800,IF(INDEX(次果筐明细!$G$4:$G$603,$Z108-5200)=0,"",INDEX(次果筐明细!$G$4:$G$603,$Z108-5200)),"")))))</f>
        <v>588</v>
      </c>
      <c r="I108" s="24" t="str">
        <f>IF($Z108="","",IF($Z108&lt;=2000,IF(INDEX(包装物料出入库明细!$G$4:$G$2003,$Z108-0)=0,"",INDEX(包装物料出入库明细!$G$4:$G$2003,$Z108-0)),IF($Z108&lt;=4000,"个",IF($Z108&lt;=5200,"个",IF($Z108&lt;=5800,"个","")))))</f>
        <v>个</v>
      </c>
      <c r="J108" s="30" t="str">
        <f t="shared" si="4"/>
        <v/>
      </c>
      <c r="K108" s="30" t="str">
        <f>IF($Z108="","",IF($Z108&lt;=2000,IF(INDEX(包装物料出入库明细!$N$4:$N$2003,$Z108-0)=0,"",INDEX(包装物料出入库明细!$N$4:$N$2003,$Z108-0)),IF($Z108&lt;=4000,IF(INDEX(周转筐出入库明细!$P$4:$P$2004,$Z108-2000)=0,"",INDEX(周转筐出入库明细!$P$4:$P$2004,$Z108-2000)),IF($Z108&lt;=5200,"",IF($Z108&lt;=5800,N(INDEX(次果筐明细!$L$4:$L$603,$Z108-5200))+N(INDEX(次果筐明细!$J$4:$J$603,$Z108-5200)),"")))))</f>
        <v/>
      </c>
      <c r="L108" s="24" t="str">
        <f>IF($Z108="","",IF($Z108&lt;=2000,IF(INDEX(包装物料出入库明细!$P$4:$P$2003,$Z108-0)=0,"",INDEX(包装物料出入库明细!$P$4:$P$2003,$Z108-0)),IF($Z108&lt;=4000,IF(INDEX(周转筐出入库明细!$Q$4:$Q$2004,$Z108-2000)=0,"",INDEX(周转筐出入库明细!$Q$4:$Q$2004,$Z108-2000)),IF($Z108&lt;=5200,"",IF($Z108&lt;=5800,IF(INDEX(次果筐明细!$M$4:$M$603,$Z108-5200)=0,"",INDEX(次果筐明细!$M$4:$M$603,$Z108-5200)),"")))))</f>
        <v/>
      </c>
      <c r="M108" s="37" t="str">
        <f>IF($Z108="","",IF($Z108&lt;=2000,IF(INDEX(包装物料出入库明细!$R$4:$R$2003,$Z108-0)=0,"",INDEX(包装物料出入库明细!$R$4:$R$2003,$Z108-0)),IF($Z108&lt;=4000,IF(INDEX(周转筐出入库明细!$W$4:$W$2004,$Z108-2000)=0,"",INDEX(周转筐出入库明细!$W$4:$W$2004,$Z108-2000)),IF($Z108&lt;=5200,IF(INDEX(客户自备加工筐明细!$L$4:$L$1203,$Z108-4000)=0,"",INDEX(客户自备加工筐明细!$L$4:$L$1203,$Z108-4000)),IF($Z108&lt;=5800,IF(INDEX(次果筐明细!$P$4:$P$603,$Z108-5200)=0,"",INDEX(次果筐明细!$P$4:$P$603,$Z108-5200)),"")))))</f>
        <v/>
      </c>
      <c r="N108" s="16" t="str">
        <f>IF($Z108="","",IF($Z108&lt;=2000,"",IF($Z108&lt;=4000,IF(INDEX(周转筐出入库明细!$D$4:$D$2004,$Z108-2000)=0,"",INDEX(周转筐出入库明细!$D$4:$D$2004,$Z108-2000)),IF($Z108&lt;=5200,IF(INDEX(客户自备加工筐明细!$C$4:$C$1203,$Z108-4000)=0,"",INDEX(客户自备加工筐明细!$C$4:$C$1203,$Z108-4000)),IF($Z108&lt;=5800,IF(INDEX(次果筐明细!$D$4:$D$603,$Z108-5200)=0,"",INDEX(次果筐明细!$D$4:$D$603,$Z108-5200)),"")))))</f>
        <v>公司杂周转筐</v>
      </c>
      <c r="O108" s="40">
        <f>IF($Z108="","",IF($Z108&lt;=2000,"",IF($Z108&lt;=4000,IF(N(INDEX(周转筐出入库明细!$J$4:$J$2004,$Z108-2000))+N(INDEX(周转筐出入库明细!$K$4:$K$2004,$Z108-2000))=0,"",N(INDEX(周转筐出入库明细!$J$4:$J$2004,$Z108-2000))+N(INDEX(周转筐出入库明细!$K$4:$K$2004,$Z108-2000))),IF($Z108&lt;=5200,IF(N(INDEX(客户自备加工筐明细!$G$4:$G$1203,$Z108-4000))=0,"",N(INDEX(客户自备加工筐明细!$G$4:$G$1203,$Z108-4000))),IF($Z108&lt;=5800,IF(ISNUMBER(SEARCH("退",INDEX(次果筐明细!$F$4:$F$603,$Z108-5200)&amp;"")),"",IF(N(INDEX(次果筐明细!$G$4:$G$603,$Z108-5200))=0,"",N(INDEX(次果筐明细!$G$4:$G$603,$Z108-5200)))),"")))))</f>
        <v>588</v>
      </c>
      <c r="P108" s="40" t="str">
        <f>IF($Z108="","",IF($Z108&lt;=2000,"",IF($Z108&lt;=4000,IF(N(INDEX(周转筐出入库明细!$I$4:$I$2004,$Z108-2000))=0,"",N(INDEX(周转筐出入库明细!$I$4:$I$2004,$Z108-2000))),IF($Z108&lt;=5200,"",IF($Z108&lt;=5800,IF(ISNUMBER(SEARCH("退",INDEX(次果筐明细!$F$4:$F$603,$Z108-5200)&amp;"")),IF(N(INDEX(次果筐明细!$G$4:$G$603,$Z108-5200))=0,"",N(INDEX(次果筐明细!$G$4:$G$603,$Z108-5200))),""),"")))))</f>
        <v/>
      </c>
      <c r="Q108" s="40" t="str">
        <f>IF($Z108="","",IF($Z108&lt;=2000,"",IF($Z108&lt;=4000,IF(N(INDEX(周转筐出入库明细!$H$4:$H$2004,$Z108-2000))=0,"",N(INDEX(周转筐出入库明细!$H$4:$H$2004,$Z108-2000))),IF($Z108&lt;=5200,IF(N(INDEX(客户自备加工筐明细!$F$4:$F$1203,$Z108-4000))=0,"",N(INDEX(客户自备加工筐明细!$F$4:$F$1203,$Z108-4000))),IF($Z108&lt;=5800,"","")))))</f>
        <v/>
      </c>
      <c r="R108" s="16" t="str">
        <f>IF($Z108="","",IF($Z108&lt;=2000,IF(INDEX(包装物料出入库明细!$O$4:$O$2003,$Z108-0)=0,"",INDEX(包装物料出入库明细!$O$4:$O$2003,$Z108-0)),IF($Z108&lt;=4000,IF(INDEX(周转筐出入库明细!$M$4:$M$2004,$Z108-2000)=0,"",INDEX(周转筐出入库明细!$M$4:$M$2004,$Z108-2000)),IF($Z108&lt;=5200,IF(INDEX(客户自备加工筐明细!$H$4:$H$1203,$Z108-4000)=0,"",INDEX(客户自备加工筐明细!$H$4:$H$1203,$Z108-4000)),IF($Z108&lt;=5800,IF(INDEX(次果筐明细!$H$4:$H$603,$Z108-5200)=0,"",INDEX(次果筐明细!$H$4:$H$603,$Z108-5200)),"")))))</f>
        <v>新N*K7V85</v>
      </c>
      <c r="S108" s="22" t="str">
        <f t="shared" si="5"/>
        <v>公司筐</v>
      </c>
      <c r="Z108" s="10">
        <f>IFERROR(MATCH(ROW()-3,_自动清单!$CQ$4:$CQ$5803,0),"")</f>
        <v>2072</v>
      </c>
    </row>
    <row r="109" spans="1:26">
      <c r="A109" s="24">
        <f t="shared" si="3"/>
        <v>106</v>
      </c>
      <c r="B109" s="38">
        <f>IF($Z109="","",IF($Z109&lt;=2000,IF(INDEX(包装物料出入库明细!$B$4:$B$2003,$Z109-0)=0,"",INDEX(包装物料出入库明细!$B$4:$B$2003,$Z109-0)),IF($Z109&lt;=4000,IF(INDEX(周转筐出入库明细!$B$4:$B$2004,$Z109-2000)=0,"",INDEX(周转筐出入库明细!$B$4:$B$2004,$Z109-2000)),IF($Z109&lt;=5200,IF(INDEX(客户自备加工筐明细!$B$4:$B$1203,$Z109-4000)=0,"",INDEX(客户自备加工筐明细!$B$4:$B$1203,$Z109-4000)),IF($Z109&lt;=5800,IF(INDEX(次果筐明细!$B$4:$B$603,$Z109-5200)=0,"",INDEX(次果筐明细!$B$4:$B$603,$Z109-5200)),"")))))</f>
        <v>46278</v>
      </c>
      <c r="C109" s="37" t="str">
        <f>IF($Z109="","",IF($Z109&lt;=2000,IF(INDEX(包装物料出入库明细!$D$4:$D$2003,$Z109-0)=0,"",INDEX(包装物料出入库明细!$D$4:$D$2003,$Z109-0)),IF($Z109&lt;=4000,IF(INDEX(周转筐出入库明细!$C$4:$C$2004,$Z109-2000)=0,"",INDEX(周转筐出入库明细!$C$4:$C$2004,$Z109-2000)),IF($Z109&lt;=5200,IF(INDEX(客户自备加工筐明细!$E$4:$E$1203,$Z109-4000)=0,"",INDEX(客户自备加工筐明细!$E$4:$E$1203,$Z109-4000)),IF($Z109&lt;=5800,IF(INDEX(次果筐明细!$C$4:$C$603,$Z109-5200)=0,"",INDEX(次果筐明细!$C$4:$C$603,$Z109-5200)),"")))))</f>
        <v>全修塑业</v>
      </c>
      <c r="D109" s="37" t="str">
        <f>IF($Z109="","",IF($Z109&lt;=2000,"包装物料－"&amp;INDEX(包装物料出入库明细!$H$4:$H$2003,$Z109-0),IF($Z109&lt;=4000,"周转筐－"&amp;INDEX(周转筐出入库明细!$F$4:$F$2004,$Z109-2000),IF($Z109&lt;=5200,"客户自备筐－"&amp;INDEX(客户自备加工筐明细!$J$4:$J$1203,$Z109-4000),IF($Z109&lt;=5800,"次果筐/托盘－"&amp;INDEX(次果筐明细!$F$4:$F$603,$Z109-5200),"")))))</f>
        <v>周转筐－采购入库</v>
      </c>
      <c r="E109" s="24" t="str">
        <f>IF($Z109="","",IF($Z109&lt;=2000,IF(INDEX(包装物料出入库明细!$C$4:$C$2003,$Z109-0)=0,"",INDEX(包装物料出入库明细!$C$4:$C$2003,$Z109-0)),IF($Z109&lt;=4000,IF(INDEX(周转筐出入库明细!$E$4:$E$2004,$Z109-2000)=0,"",INDEX(周转筐出入库明细!$E$4:$E$2004,$Z109-2000)),IF($Z109&lt;=5200,IF(INDEX(客户自备加工筐明细!$D$4:$D$1203,$Z109-4000)=0,"",INDEX(客户自备加工筐明细!$D$4:$D$1203,$Z109-4000)),IF($Z109&lt;=5800,IF(INDEX(次果筐明细!$E$4:$E$603,$Z109-5200)=0,"",INDEX(次果筐明细!$E$4:$E$603,$Z109-5200)),"")))))</f>
        <v>NO:0000853</v>
      </c>
      <c r="F109" s="24" t="str">
        <f>IF($Z109="","",IF($Z109&lt;=2000,IF(INDEX(包装物料出入库明细!$E$4:$E$2003,$Z109-0)=0,"",INDEX(包装物料出入库明细!$E$4:$E$2003,$Z109-0)),IF($Z109&lt;=4000,IF(INDEX(周转筐出入库明细!$D$4:$D$2004,$Z109-2000)=0,"",INDEX(周转筐出入库明细!$D$4:$D$2004,$Z109-2000)),IF($Z109&lt;=5200,IF(INDEX(客户自备加工筐明细!$C$4:$C$1203,$Z109-4000)=0,"",INDEX(客户自备加工筐明细!$C$4:$C$1203,$Z109-4000)),IF($Z109&lt;=5800,IF(INDEX(次果筐明细!$D$4:$D$603,$Z109-5200)=0,"",INDEX(次果筐明细!$D$4:$D$603,$Z109-5200)),"")))))</f>
        <v>公司红周转筐</v>
      </c>
      <c r="G109" s="24" t="str">
        <f>IF($Z109="","",IF($Z109&lt;=2000,IF(INDEX(包装物料出入库明细!$F$4:$F$2003,$Z109-0)=0,"",INDEX(包装物料出入库明细!$F$4:$F$2003,$Z109-0)),IF($Z109&lt;=4000,"",IF($Z109&lt;=5200,"",IF($Z109&lt;=5800,"","")))))</f>
        <v/>
      </c>
      <c r="H109" s="39">
        <f>IF($Z109="","",IF($Z109&lt;=2000,IF(INDEX(包装物料出入库明细!$L$4:$L$2003,$Z109-0)=0,"",INDEX(包装物料出入库明细!$L$4:$L$2003,$Z109-0)),IF($Z109&lt;=4000,N(INDEX(周转筐出入库明细!$H$4:$H$2004,$Z109-2000))+N(INDEX(周转筐出入库明细!$I$4:$I$2004,$Z109-2000))+N(INDEX(周转筐出入库明细!$J$4:$J$2004,$Z109-2000))+N(INDEX(周转筐出入库明细!$K$4:$K$2004,$Z109-2000)),IF($Z109&lt;=5200,N(INDEX(客户自备加工筐明细!$F$4:$F$1203,$Z109-4000))+N(INDEX(客户自备加工筐明细!$G$4:$G$1203,$Z109-4000)),IF($Z109&lt;=5800,IF(INDEX(次果筐明细!$G$4:$G$603,$Z109-5200)=0,"",INDEX(次果筐明细!$G$4:$G$603,$Z109-5200)),"")))))</f>
        <v>960</v>
      </c>
      <c r="I109" s="24" t="str">
        <f>IF($Z109="","",IF($Z109&lt;=2000,IF(INDEX(包装物料出入库明细!$G$4:$G$2003,$Z109-0)=0,"",INDEX(包装物料出入库明细!$G$4:$G$2003,$Z109-0)),IF($Z109&lt;=4000,"个",IF($Z109&lt;=5200,"个",IF($Z109&lt;=5800,"个","")))))</f>
        <v>个</v>
      </c>
      <c r="J109" s="30" t="str">
        <f t="shared" si="4"/>
        <v/>
      </c>
      <c r="K109" s="30">
        <f>IF($Z109="","",IF($Z109&lt;=2000,IF(INDEX(包装物料出入库明细!$N$4:$N$2003,$Z109-0)=0,"",INDEX(包装物料出入库明细!$N$4:$N$2003,$Z109-0)),IF($Z109&lt;=4000,IF(INDEX(周转筐出入库明细!$P$4:$P$2004,$Z109-2000)=0,"",INDEX(周转筐出入库明细!$P$4:$P$2004,$Z109-2000)),IF($Z109&lt;=5200,"",IF($Z109&lt;=5800,N(INDEX(次果筐明细!$L$4:$L$603,$Z109-5200))+N(INDEX(次果筐明细!$J$4:$J$603,$Z109-5200)),"")))))</f>
        <v>9600</v>
      </c>
      <c r="L109" s="24" t="str">
        <f>IF($Z109="","",IF($Z109&lt;=2000,IF(INDEX(包装物料出入库明细!$P$4:$P$2003,$Z109-0)=0,"",INDEX(包装物料出入库明细!$P$4:$P$2003,$Z109-0)),IF($Z109&lt;=4000,IF(INDEX(周转筐出入库明细!$Q$4:$Q$2004,$Z109-2000)=0,"",INDEX(周转筐出入库明细!$Q$4:$Q$2004,$Z109-2000)),IF($Z109&lt;=5200,"",IF($Z109&lt;=5800,IF(INDEX(次果筐明细!$M$4:$M$603,$Z109-5200)=0,"",INDEX(次果筐明细!$M$4:$M$603,$Z109-5200)),"")))))</f>
        <v>未付款</v>
      </c>
      <c r="M109" s="37" t="str">
        <f>IF($Z109="","",IF($Z109&lt;=2000,IF(INDEX(包装物料出入库明细!$R$4:$R$2003,$Z109-0)=0,"",INDEX(包装物料出入库明细!$R$4:$R$2003,$Z109-0)),IF($Z109&lt;=4000,IF(INDEX(周转筐出入库明细!$W$4:$W$2004,$Z109-2000)=0,"",INDEX(周转筐出入库明细!$W$4:$W$2004,$Z109-2000)),IF($Z109&lt;=5200,IF(INDEX(客户自备加工筐明细!$L$4:$L$1203,$Z109-4000)=0,"",INDEX(客户自备加工筐明细!$L$4:$L$1203,$Z109-4000)),IF($Z109&lt;=5800,IF(INDEX(次果筐明细!$P$4:$P$603,$Z109-5200)=0,"",INDEX(次果筐明细!$P$4:$P$603,$Z109-5200)),"")))))</f>
        <v>NO:0017217</v>
      </c>
      <c r="N109" s="16" t="str">
        <f>IF($Z109="","",IF($Z109&lt;=2000,"",IF($Z109&lt;=4000,IF(INDEX(周转筐出入库明细!$D$4:$D$2004,$Z109-2000)=0,"",INDEX(周转筐出入库明细!$D$4:$D$2004,$Z109-2000)),IF($Z109&lt;=5200,IF(INDEX(客户自备加工筐明细!$C$4:$C$1203,$Z109-4000)=0,"",INDEX(客户自备加工筐明细!$C$4:$C$1203,$Z109-4000)),IF($Z109&lt;=5800,IF(INDEX(次果筐明细!$D$4:$D$603,$Z109-5200)=0,"",INDEX(次果筐明细!$D$4:$D$603,$Z109-5200)),"")))))</f>
        <v>公司红周转筐</v>
      </c>
      <c r="O109" s="40" t="str">
        <f>IF($Z109="","",IF($Z109&lt;=2000,"",IF($Z109&lt;=4000,IF(N(INDEX(周转筐出入库明细!$J$4:$J$2004,$Z109-2000))+N(INDEX(周转筐出入库明细!$K$4:$K$2004,$Z109-2000))=0,"",N(INDEX(周转筐出入库明细!$J$4:$J$2004,$Z109-2000))+N(INDEX(周转筐出入库明细!$K$4:$K$2004,$Z109-2000))),IF($Z109&lt;=5200,IF(N(INDEX(客户自备加工筐明细!$G$4:$G$1203,$Z109-4000))=0,"",N(INDEX(客户自备加工筐明细!$G$4:$G$1203,$Z109-4000))),IF($Z109&lt;=5800,IF(ISNUMBER(SEARCH("退",INDEX(次果筐明细!$F$4:$F$603,$Z109-5200)&amp;"")),"",IF(N(INDEX(次果筐明细!$G$4:$G$603,$Z109-5200))=0,"",N(INDEX(次果筐明细!$G$4:$G$603,$Z109-5200)))),"")))))</f>
        <v/>
      </c>
      <c r="P109" s="40" t="str">
        <f>IF($Z109="","",IF($Z109&lt;=2000,"",IF($Z109&lt;=4000,IF(N(INDEX(周转筐出入库明细!$I$4:$I$2004,$Z109-2000))=0,"",N(INDEX(周转筐出入库明细!$I$4:$I$2004,$Z109-2000))),IF($Z109&lt;=5200,"",IF($Z109&lt;=5800,IF(ISNUMBER(SEARCH("退",INDEX(次果筐明细!$F$4:$F$603,$Z109-5200)&amp;"")),IF(N(INDEX(次果筐明细!$G$4:$G$603,$Z109-5200))=0,"",N(INDEX(次果筐明细!$G$4:$G$603,$Z109-5200))),""),"")))))</f>
        <v/>
      </c>
      <c r="Q109" s="40">
        <f>IF($Z109="","",IF($Z109&lt;=2000,"",IF($Z109&lt;=4000,IF(N(INDEX(周转筐出入库明细!$H$4:$H$2004,$Z109-2000))=0,"",N(INDEX(周转筐出入库明细!$H$4:$H$2004,$Z109-2000))),IF($Z109&lt;=5200,IF(N(INDEX(客户自备加工筐明细!$F$4:$F$1203,$Z109-4000))=0,"",N(INDEX(客户自备加工筐明细!$F$4:$F$1203,$Z109-4000))),IF($Z109&lt;=5800,"","")))))</f>
        <v>960</v>
      </c>
      <c r="R109" s="16" t="str">
        <f>IF($Z109="","",IF($Z109&lt;=2000,IF(INDEX(包装物料出入库明细!$O$4:$O$2003,$Z109-0)=0,"",INDEX(包装物料出入库明细!$O$4:$O$2003,$Z109-0)),IF($Z109&lt;=4000,IF(INDEX(周转筐出入库明细!$M$4:$M$2004,$Z109-2000)=0,"",INDEX(周转筐出入库明细!$M$4:$M$2004,$Z109-2000)),IF($Z109&lt;=5200,IF(INDEX(客户自备加工筐明细!$H$4:$H$1203,$Z109-4000)=0,"",INDEX(客户自备加工筐明细!$H$4:$H$1203,$Z109-4000)),IF($Z109&lt;=5800,IF(INDEX(次果筐明细!$H$4:$H$603,$Z109-5200)=0,"",INDEX(次果筐明细!$H$4:$H$603,$Z109-5200)),"")))))</f>
        <v>新N*49209</v>
      </c>
      <c r="S109" s="22" t="str">
        <f t="shared" si="5"/>
        <v>公司筐</v>
      </c>
      <c r="Z109" s="10">
        <f>IFERROR(MATCH(ROW()-3,_自动清单!$CQ$4:$CQ$5803,0),"")</f>
        <v>2073</v>
      </c>
    </row>
    <row r="110" spans="1:26">
      <c r="A110" s="24">
        <f t="shared" si="3"/>
        <v>107</v>
      </c>
      <c r="B110" s="38">
        <f>IF($Z110="","",IF($Z110&lt;=2000,IF(INDEX(包装物料出入库明细!$B$4:$B$2003,$Z110-0)=0,"",INDEX(包装物料出入库明细!$B$4:$B$2003,$Z110-0)),IF($Z110&lt;=4000,IF(INDEX(周转筐出入库明细!$B$4:$B$2004,$Z110-2000)=0,"",INDEX(周转筐出入库明细!$B$4:$B$2004,$Z110-2000)),IF($Z110&lt;=5200,IF(INDEX(客户自备加工筐明细!$B$4:$B$1203,$Z110-4000)=0,"",INDEX(客户自备加工筐明细!$B$4:$B$1203,$Z110-4000)),IF($Z110&lt;=5800,IF(INDEX(次果筐明细!$B$4:$B$603,$Z110-5200)=0,"",INDEX(次果筐明细!$B$4:$B$603,$Z110-5200)),"")))))</f>
        <v>46278</v>
      </c>
      <c r="C110" s="37" t="str">
        <f>IF($Z110="","",IF($Z110&lt;=2000,IF(INDEX(包装物料出入库明细!$D$4:$D$2003,$Z110-0)=0,"",INDEX(包装物料出入库明细!$D$4:$D$2003,$Z110-0)),IF($Z110&lt;=4000,IF(INDEX(周转筐出入库明细!$C$4:$C$2004,$Z110-2000)=0,"",INDEX(周转筐出入库明细!$C$4:$C$2004,$Z110-2000)),IF($Z110&lt;=5200,IF(INDEX(客户自备加工筐明细!$E$4:$E$1203,$Z110-4000)=0,"",INDEX(客户自备加工筐明细!$E$4:$E$1203,$Z110-4000)),IF($Z110&lt;=5800,IF(INDEX(次果筐明细!$C$4:$C$603,$Z110-5200)=0,"",INDEX(次果筐明细!$C$4:$C$603,$Z110-5200)),"")))))</f>
        <v>王灵云</v>
      </c>
      <c r="D110" s="37" t="str">
        <f>IF($Z110="","",IF($Z110&lt;=2000,"包装物料－"&amp;INDEX(包装物料出入库明细!$H$4:$H$2003,$Z110-0),IF($Z110&lt;=4000,"周转筐－"&amp;INDEX(周转筐出入库明细!$F$4:$F$2004,$Z110-2000),IF($Z110&lt;=5200,"客户自备筐－"&amp;INDEX(客户自备加工筐明细!$J$4:$J$1203,$Z110-4000),IF($Z110&lt;=5800,"次果筐/托盘－"&amp;INDEX(次果筐明细!$F$4:$F$603,$Z110-5200),"")))))</f>
        <v>周转筐－领用出库</v>
      </c>
      <c r="E110" s="24" t="str">
        <f>IF($Z110="","",IF($Z110&lt;=2000,IF(INDEX(包装物料出入库明细!$C$4:$C$2003,$Z110-0)=0,"",INDEX(包装物料出入库明细!$C$4:$C$2003,$Z110-0)),IF($Z110&lt;=4000,IF(INDEX(周转筐出入库明细!$E$4:$E$2004,$Z110-2000)=0,"",INDEX(周转筐出入库明细!$E$4:$E$2004,$Z110-2000)),IF($Z110&lt;=5200,IF(INDEX(客户自备加工筐明细!$D$4:$D$1203,$Z110-4000)=0,"",INDEX(客户自备加工筐明细!$D$4:$D$1203,$Z110-4000)),IF($Z110&lt;=5800,IF(INDEX(次果筐明细!$E$4:$E$603,$Z110-5200)=0,"",INDEX(次果筐明细!$E$4:$E$603,$Z110-5200)),"")))))</f>
        <v>NO:0001135</v>
      </c>
      <c r="F110" s="24" t="str">
        <f>IF($Z110="","",IF($Z110&lt;=2000,IF(INDEX(包装物料出入库明细!$E$4:$E$2003,$Z110-0)=0,"",INDEX(包装物料出入库明细!$E$4:$E$2003,$Z110-0)),IF($Z110&lt;=4000,IF(INDEX(周转筐出入库明细!$D$4:$D$2004,$Z110-2000)=0,"",INDEX(周转筐出入库明细!$D$4:$D$2004,$Z110-2000)),IF($Z110&lt;=5200,IF(INDEX(客户自备加工筐明细!$C$4:$C$1203,$Z110-4000)=0,"",INDEX(客户自备加工筐明细!$C$4:$C$1203,$Z110-4000)),IF($Z110&lt;=5800,IF(INDEX(次果筐明细!$D$4:$D$603,$Z110-5200)=0,"",INDEX(次果筐明细!$D$4:$D$603,$Z110-5200)),"")))))</f>
        <v>公司红周转筐</v>
      </c>
      <c r="G110" s="24" t="str">
        <f>IF($Z110="","",IF($Z110&lt;=2000,IF(INDEX(包装物料出入库明细!$F$4:$F$2003,$Z110-0)=0,"",INDEX(包装物料出入库明细!$F$4:$F$2003,$Z110-0)),IF($Z110&lt;=4000,"",IF($Z110&lt;=5200,"",IF($Z110&lt;=5800,"","")))))</f>
        <v/>
      </c>
      <c r="H110" s="39">
        <f>IF($Z110="","",IF($Z110&lt;=2000,IF(INDEX(包装物料出入库明细!$L$4:$L$2003,$Z110-0)=0,"",INDEX(包装物料出入库明细!$L$4:$L$2003,$Z110-0)),IF($Z110&lt;=4000,N(INDEX(周转筐出入库明细!$H$4:$H$2004,$Z110-2000))+N(INDEX(周转筐出入库明细!$I$4:$I$2004,$Z110-2000))+N(INDEX(周转筐出入库明细!$J$4:$J$2004,$Z110-2000))+N(INDEX(周转筐出入库明细!$K$4:$K$2004,$Z110-2000)),IF($Z110&lt;=5200,N(INDEX(客户自备加工筐明细!$F$4:$F$1203,$Z110-4000))+N(INDEX(客户自备加工筐明细!$G$4:$G$1203,$Z110-4000)),IF($Z110&lt;=5800,IF(INDEX(次果筐明细!$G$4:$G$603,$Z110-5200)=0,"",INDEX(次果筐明细!$G$4:$G$603,$Z110-5200)),"")))))</f>
        <v>960</v>
      </c>
      <c r="I110" s="24" t="str">
        <f>IF($Z110="","",IF($Z110&lt;=2000,IF(INDEX(包装物料出入库明细!$G$4:$G$2003,$Z110-0)=0,"",INDEX(包装物料出入库明细!$G$4:$G$2003,$Z110-0)),IF($Z110&lt;=4000,"个",IF($Z110&lt;=5200,"个",IF($Z110&lt;=5800,"个","")))))</f>
        <v>个</v>
      </c>
      <c r="J110" s="30" t="str">
        <f t="shared" si="4"/>
        <v/>
      </c>
      <c r="K110" s="30" t="str">
        <f>IF($Z110="","",IF($Z110&lt;=2000,IF(INDEX(包装物料出入库明细!$N$4:$N$2003,$Z110-0)=0,"",INDEX(包装物料出入库明细!$N$4:$N$2003,$Z110-0)),IF($Z110&lt;=4000,IF(INDEX(周转筐出入库明细!$P$4:$P$2004,$Z110-2000)=0,"",INDEX(周转筐出入库明细!$P$4:$P$2004,$Z110-2000)),IF($Z110&lt;=5200,"",IF($Z110&lt;=5800,N(INDEX(次果筐明细!$L$4:$L$603,$Z110-5200))+N(INDEX(次果筐明细!$J$4:$J$603,$Z110-5200)),"")))))</f>
        <v/>
      </c>
      <c r="L110" s="24" t="str">
        <f>IF($Z110="","",IF($Z110&lt;=2000,IF(INDEX(包装物料出入库明细!$P$4:$P$2003,$Z110-0)=0,"",INDEX(包装物料出入库明细!$P$4:$P$2003,$Z110-0)),IF($Z110&lt;=4000,IF(INDEX(周转筐出入库明细!$Q$4:$Q$2004,$Z110-2000)=0,"",INDEX(周转筐出入库明细!$Q$4:$Q$2004,$Z110-2000)),IF($Z110&lt;=5200,"",IF($Z110&lt;=5800,IF(INDEX(次果筐明细!$M$4:$M$603,$Z110-5200)=0,"",INDEX(次果筐明细!$M$4:$M$603,$Z110-5200)),"")))))</f>
        <v/>
      </c>
      <c r="M110" s="37" t="str">
        <f>IF($Z110="","",IF($Z110&lt;=2000,IF(INDEX(包装物料出入库明细!$R$4:$R$2003,$Z110-0)=0,"",INDEX(包装物料出入库明细!$R$4:$R$2003,$Z110-0)),IF($Z110&lt;=4000,IF(INDEX(周转筐出入库明细!$W$4:$W$2004,$Z110-2000)=0,"",INDEX(周转筐出入库明细!$W$4:$W$2004,$Z110-2000)),IF($Z110&lt;=5200,IF(INDEX(客户自备加工筐明细!$L$4:$L$1203,$Z110-4000)=0,"",INDEX(客户自备加工筐明细!$L$4:$L$1203,$Z110-4000)),IF($Z110&lt;=5800,IF(INDEX(次果筐明细!$P$4:$P$603,$Z110-5200)=0,"",INDEX(次果筐明细!$P$4:$P$603,$Z110-5200)),"")))))</f>
        <v/>
      </c>
      <c r="N110" s="16" t="str">
        <f>IF($Z110="","",IF($Z110&lt;=2000,"",IF($Z110&lt;=4000,IF(INDEX(周转筐出入库明细!$D$4:$D$2004,$Z110-2000)=0,"",INDEX(周转筐出入库明细!$D$4:$D$2004,$Z110-2000)),IF($Z110&lt;=5200,IF(INDEX(客户自备加工筐明细!$C$4:$C$1203,$Z110-4000)=0,"",INDEX(客户自备加工筐明细!$C$4:$C$1203,$Z110-4000)),IF($Z110&lt;=5800,IF(INDEX(次果筐明细!$D$4:$D$603,$Z110-5200)=0,"",INDEX(次果筐明细!$D$4:$D$603,$Z110-5200)),"")))))</f>
        <v>公司红周转筐</v>
      </c>
      <c r="O110" s="40">
        <f>IF($Z110="","",IF($Z110&lt;=2000,"",IF($Z110&lt;=4000,IF(N(INDEX(周转筐出入库明细!$J$4:$J$2004,$Z110-2000))+N(INDEX(周转筐出入库明细!$K$4:$K$2004,$Z110-2000))=0,"",N(INDEX(周转筐出入库明细!$J$4:$J$2004,$Z110-2000))+N(INDEX(周转筐出入库明细!$K$4:$K$2004,$Z110-2000))),IF($Z110&lt;=5200,IF(N(INDEX(客户自备加工筐明细!$G$4:$G$1203,$Z110-4000))=0,"",N(INDEX(客户自备加工筐明细!$G$4:$G$1203,$Z110-4000))),IF($Z110&lt;=5800,IF(ISNUMBER(SEARCH("退",INDEX(次果筐明细!$F$4:$F$603,$Z110-5200)&amp;"")),"",IF(N(INDEX(次果筐明细!$G$4:$G$603,$Z110-5200))=0,"",N(INDEX(次果筐明细!$G$4:$G$603,$Z110-5200)))),"")))))</f>
        <v>960</v>
      </c>
      <c r="P110" s="40" t="str">
        <f>IF($Z110="","",IF($Z110&lt;=2000,"",IF($Z110&lt;=4000,IF(N(INDEX(周转筐出入库明细!$I$4:$I$2004,$Z110-2000))=0,"",N(INDEX(周转筐出入库明细!$I$4:$I$2004,$Z110-2000))),IF($Z110&lt;=5200,"",IF($Z110&lt;=5800,IF(ISNUMBER(SEARCH("退",INDEX(次果筐明细!$F$4:$F$603,$Z110-5200)&amp;"")),IF(N(INDEX(次果筐明细!$G$4:$G$603,$Z110-5200))=0,"",N(INDEX(次果筐明细!$G$4:$G$603,$Z110-5200))),""),"")))))</f>
        <v/>
      </c>
      <c r="Q110" s="40" t="str">
        <f>IF($Z110="","",IF($Z110&lt;=2000,"",IF($Z110&lt;=4000,IF(N(INDEX(周转筐出入库明细!$H$4:$H$2004,$Z110-2000))=0,"",N(INDEX(周转筐出入库明细!$H$4:$H$2004,$Z110-2000))),IF($Z110&lt;=5200,IF(N(INDEX(客户自备加工筐明细!$F$4:$F$1203,$Z110-4000))=0,"",N(INDEX(客户自备加工筐明细!$F$4:$F$1203,$Z110-4000))),IF($Z110&lt;=5800,"","")))))</f>
        <v/>
      </c>
      <c r="R110" s="16" t="str">
        <f>IF($Z110="","",IF($Z110&lt;=2000,IF(INDEX(包装物料出入库明细!$O$4:$O$2003,$Z110-0)=0,"",INDEX(包装物料出入库明细!$O$4:$O$2003,$Z110-0)),IF($Z110&lt;=4000,IF(INDEX(周转筐出入库明细!$M$4:$M$2004,$Z110-2000)=0,"",INDEX(周转筐出入库明细!$M$4:$M$2004,$Z110-2000)),IF($Z110&lt;=5200,IF(INDEX(客户自备加工筐明细!$H$4:$H$1203,$Z110-4000)=0,"",INDEX(客户自备加工筐明细!$H$4:$H$1203,$Z110-4000)),IF($Z110&lt;=5800,IF(INDEX(次果筐明细!$H$4:$H$603,$Z110-5200)=0,"",INDEX(次果筐明细!$H$4:$H$603,$Z110-5200)),"")))))</f>
        <v>新N*49209</v>
      </c>
      <c r="S110" s="22" t="str">
        <f t="shared" si="5"/>
        <v>公司筐</v>
      </c>
      <c r="Z110" s="10">
        <f>IFERROR(MATCH(ROW()-3,_自动清单!$CQ$4:$CQ$5803,0),"")</f>
        <v>2074</v>
      </c>
    </row>
    <row r="111" spans="1:26">
      <c r="A111" s="24">
        <f t="shared" si="3"/>
        <v>108</v>
      </c>
      <c r="B111" s="38">
        <f>IF($Z111="","",IF($Z111&lt;=2000,IF(INDEX(包装物料出入库明细!$B$4:$B$2003,$Z111-0)=0,"",INDEX(包装物料出入库明细!$B$4:$B$2003,$Z111-0)),IF($Z111&lt;=4000,IF(INDEX(周转筐出入库明细!$B$4:$B$2004,$Z111-2000)=0,"",INDEX(周转筐出入库明细!$B$4:$B$2004,$Z111-2000)),IF($Z111&lt;=5200,IF(INDEX(客户自备加工筐明细!$B$4:$B$1203,$Z111-4000)=0,"",INDEX(客户自备加工筐明细!$B$4:$B$1203,$Z111-4000)),IF($Z111&lt;=5800,IF(INDEX(次果筐明细!$B$4:$B$603,$Z111-5200)=0,"",INDEX(次果筐明细!$B$4:$B$603,$Z111-5200)),"")))))</f>
        <v>46278</v>
      </c>
      <c r="C111" s="37" t="str">
        <f>IF($Z111="","",IF($Z111&lt;=2000,IF(INDEX(包装物料出入库明细!$D$4:$D$2003,$Z111-0)=0,"",INDEX(包装物料出入库明细!$D$4:$D$2003,$Z111-0)),IF($Z111&lt;=4000,IF(INDEX(周转筐出入库明细!$C$4:$C$2004,$Z111-2000)=0,"",INDEX(周转筐出入库明细!$C$4:$C$2004,$Z111-2000)),IF($Z111&lt;=5200,IF(INDEX(客户自备加工筐明细!$E$4:$E$1203,$Z111-4000)=0,"",INDEX(客户自备加工筐明细!$E$4:$E$1203,$Z111-4000)),IF($Z111&lt;=5800,IF(INDEX(次果筐明细!$C$4:$C$603,$Z111-5200)=0,"",INDEX(次果筐明细!$C$4:$C$603,$Z111-5200)),"")))))</f>
        <v>王照雪</v>
      </c>
      <c r="D111" s="37" t="str">
        <f>IF($Z111="","",IF($Z111&lt;=2000,"包装物料－"&amp;INDEX(包装物料出入库明细!$H$4:$H$2003,$Z111-0),IF($Z111&lt;=4000,"周转筐－"&amp;INDEX(周转筐出入库明细!$F$4:$F$2004,$Z111-2000),IF($Z111&lt;=5200,"客户自备筐－"&amp;INDEX(客户自备加工筐明细!$J$4:$J$1203,$Z111-4000),IF($Z111&lt;=5800,"次果筐/托盘－"&amp;INDEX(次果筐明细!$F$4:$F$603,$Z111-5200),"")))))</f>
        <v>周转筐－领用出库</v>
      </c>
      <c r="E111" s="24" t="str">
        <f>IF($Z111="","",IF($Z111&lt;=2000,IF(INDEX(包装物料出入库明细!$C$4:$C$2003,$Z111-0)=0,"",INDEX(包装物料出入库明细!$C$4:$C$2003,$Z111-0)),IF($Z111&lt;=4000,IF(INDEX(周转筐出入库明细!$E$4:$E$2004,$Z111-2000)=0,"",INDEX(周转筐出入库明细!$E$4:$E$2004,$Z111-2000)),IF($Z111&lt;=5200,IF(INDEX(客户自备加工筐明细!$D$4:$D$1203,$Z111-4000)=0,"",INDEX(客户自备加工筐明细!$D$4:$D$1203,$Z111-4000)),IF($Z111&lt;=5800,IF(INDEX(次果筐明细!$E$4:$E$603,$Z111-5200)=0,"",INDEX(次果筐明细!$E$4:$E$603,$Z111-5200)),"")))))</f>
        <v>NO:0001137</v>
      </c>
      <c r="F111" s="24" t="str">
        <f>IF($Z111="","",IF($Z111&lt;=2000,IF(INDEX(包装物料出入库明细!$E$4:$E$2003,$Z111-0)=0,"",INDEX(包装物料出入库明细!$E$4:$E$2003,$Z111-0)),IF($Z111&lt;=4000,IF(INDEX(周转筐出入库明细!$D$4:$D$2004,$Z111-2000)=0,"",INDEX(周转筐出入库明细!$D$4:$D$2004,$Z111-2000)),IF($Z111&lt;=5200,IF(INDEX(客户自备加工筐明细!$C$4:$C$1203,$Z111-4000)=0,"",INDEX(客户自备加工筐明细!$C$4:$C$1203,$Z111-4000)),IF($Z111&lt;=5800,IF(INDEX(次果筐明细!$D$4:$D$603,$Z111-5200)=0,"",INDEX(次果筐明细!$D$4:$D$603,$Z111-5200)),"")))))</f>
        <v>公司杂周转筐</v>
      </c>
      <c r="G111" s="24" t="str">
        <f>IF($Z111="","",IF($Z111&lt;=2000,IF(INDEX(包装物料出入库明细!$F$4:$F$2003,$Z111-0)=0,"",INDEX(包装物料出入库明细!$F$4:$F$2003,$Z111-0)),IF($Z111&lt;=4000,"",IF($Z111&lt;=5200,"",IF($Z111&lt;=5800,"","")))))</f>
        <v/>
      </c>
      <c r="H111" s="39">
        <f>IF($Z111="","",IF($Z111&lt;=2000,IF(INDEX(包装物料出入库明细!$L$4:$L$2003,$Z111-0)=0,"",INDEX(包装物料出入库明细!$L$4:$L$2003,$Z111-0)),IF($Z111&lt;=4000,N(INDEX(周转筐出入库明细!$H$4:$H$2004,$Z111-2000))+N(INDEX(周转筐出入库明细!$I$4:$I$2004,$Z111-2000))+N(INDEX(周转筐出入库明细!$J$4:$J$2004,$Z111-2000))+N(INDEX(周转筐出入库明细!$K$4:$K$2004,$Z111-2000)),IF($Z111&lt;=5200,N(INDEX(客户自备加工筐明细!$F$4:$F$1203,$Z111-4000))+N(INDEX(客户自备加工筐明细!$G$4:$G$1203,$Z111-4000)),IF($Z111&lt;=5800,IF(INDEX(次果筐明细!$G$4:$G$603,$Z111-5200)=0,"",INDEX(次果筐明细!$G$4:$G$603,$Z111-5200)),"")))))</f>
        <v>711</v>
      </c>
      <c r="I111" s="24" t="str">
        <f>IF($Z111="","",IF($Z111&lt;=2000,IF(INDEX(包装物料出入库明细!$G$4:$G$2003,$Z111-0)=0,"",INDEX(包装物料出入库明细!$G$4:$G$2003,$Z111-0)),IF($Z111&lt;=4000,"个",IF($Z111&lt;=5200,"个",IF($Z111&lt;=5800,"个","")))))</f>
        <v>个</v>
      </c>
      <c r="J111" s="30" t="str">
        <f t="shared" si="4"/>
        <v/>
      </c>
      <c r="K111" s="30" t="str">
        <f>IF($Z111="","",IF($Z111&lt;=2000,IF(INDEX(包装物料出入库明细!$N$4:$N$2003,$Z111-0)=0,"",INDEX(包装物料出入库明细!$N$4:$N$2003,$Z111-0)),IF($Z111&lt;=4000,IF(INDEX(周转筐出入库明细!$P$4:$P$2004,$Z111-2000)=0,"",INDEX(周转筐出入库明细!$P$4:$P$2004,$Z111-2000)),IF($Z111&lt;=5200,"",IF($Z111&lt;=5800,N(INDEX(次果筐明细!$L$4:$L$603,$Z111-5200))+N(INDEX(次果筐明细!$J$4:$J$603,$Z111-5200)),"")))))</f>
        <v/>
      </c>
      <c r="L111" s="24" t="str">
        <f>IF($Z111="","",IF($Z111&lt;=2000,IF(INDEX(包装物料出入库明细!$P$4:$P$2003,$Z111-0)=0,"",INDEX(包装物料出入库明细!$P$4:$P$2003,$Z111-0)),IF($Z111&lt;=4000,IF(INDEX(周转筐出入库明细!$Q$4:$Q$2004,$Z111-2000)=0,"",INDEX(周转筐出入库明细!$Q$4:$Q$2004,$Z111-2000)),IF($Z111&lt;=5200,"",IF($Z111&lt;=5800,IF(INDEX(次果筐明细!$M$4:$M$603,$Z111-5200)=0,"",INDEX(次果筐明细!$M$4:$M$603,$Z111-5200)),"")))))</f>
        <v/>
      </c>
      <c r="M111" s="37" t="str">
        <f>IF($Z111="","",IF($Z111&lt;=2000,IF(INDEX(包装物料出入库明细!$R$4:$R$2003,$Z111-0)=0,"",INDEX(包装物料出入库明细!$R$4:$R$2003,$Z111-0)),IF($Z111&lt;=4000,IF(INDEX(周转筐出入库明细!$W$4:$W$2004,$Z111-2000)=0,"",INDEX(周转筐出入库明细!$W$4:$W$2004,$Z111-2000)),IF($Z111&lt;=5200,IF(INDEX(客户自备加工筐明细!$L$4:$L$1203,$Z111-4000)=0,"",INDEX(客户自备加工筐明细!$L$4:$L$1203,$Z111-4000)),IF($Z111&lt;=5800,IF(INDEX(次果筐明细!$P$4:$P$603,$Z111-5200)=0,"",INDEX(次果筐明细!$P$4:$P$603,$Z111-5200)),"")))))</f>
        <v>李现东</v>
      </c>
      <c r="N111" s="16" t="str">
        <f>IF($Z111="","",IF($Z111&lt;=2000,"",IF($Z111&lt;=4000,IF(INDEX(周转筐出入库明细!$D$4:$D$2004,$Z111-2000)=0,"",INDEX(周转筐出入库明细!$D$4:$D$2004,$Z111-2000)),IF($Z111&lt;=5200,IF(INDEX(客户自备加工筐明细!$C$4:$C$1203,$Z111-4000)=0,"",INDEX(客户自备加工筐明细!$C$4:$C$1203,$Z111-4000)),IF($Z111&lt;=5800,IF(INDEX(次果筐明细!$D$4:$D$603,$Z111-5200)=0,"",INDEX(次果筐明细!$D$4:$D$603,$Z111-5200)),"")))))</f>
        <v>公司杂周转筐</v>
      </c>
      <c r="O111" s="40">
        <f>IF($Z111="","",IF($Z111&lt;=2000,"",IF($Z111&lt;=4000,IF(N(INDEX(周转筐出入库明细!$J$4:$J$2004,$Z111-2000))+N(INDEX(周转筐出入库明细!$K$4:$K$2004,$Z111-2000))=0,"",N(INDEX(周转筐出入库明细!$J$4:$J$2004,$Z111-2000))+N(INDEX(周转筐出入库明细!$K$4:$K$2004,$Z111-2000))),IF($Z111&lt;=5200,IF(N(INDEX(客户自备加工筐明细!$G$4:$G$1203,$Z111-4000))=0,"",N(INDEX(客户自备加工筐明细!$G$4:$G$1203,$Z111-4000))),IF($Z111&lt;=5800,IF(ISNUMBER(SEARCH("退",INDEX(次果筐明细!$F$4:$F$603,$Z111-5200)&amp;"")),"",IF(N(INDEX(次果筐明细!$G$4:$G$603,$Z111-5200))=0,"",N(INDEX(次果筐明细!$G$4:$G$603,$Z111-5200)))),"")))))</f>
        <v>711</v>
      </c>
      <c r="P111" s="40" t="str">
        <f>IF($Z111="","",IF($Z111&lt;=2000,"",IF($Z111&lt;=4000,IF(N(INDEX(周转筐出入库明细!$I$4:$I$2004,$Z111-2000))=0,"",N(INDEX(周转筐出入库明细!$I$4:$I$2004,$Z111-2000))),IF($Z111&lt;=5200,"",IF($Z111&lt;=5800,IF(ISNUMBER(SEARCH("退",INDEX(次果筐明细!$F$4:$F$603,$Z111-5200)&amp;"")),IF(N(INDEX(次果筐明细!$G$4:$G$603,$Z111-5200))=0,"",N(INDEX(次果筐明细!$G$4:$G$603,$Z111-5200))),""),"")))))</f>
        <v/>
      </c>
      <c r="Q111" s="40" t="str">
        <f>IF($Z111="","",IF($Z111&lt;=2000,"",IF($Z111&lt;=4000,IF(N(INDEX(周转筐出入库明细!$H$4:$H$2004,$Z111-2000))=0,"",N(INDEX(周转筐出入库明细!$H$4:$H$2004,$Z111-2000))),IF($Z111&lt;=5200,IF(N(INDEX(客户自备加工筐明细!$F$4:$F$1203,$Z111-4000))=0,"",N(INDEX(客户自备加工筐明细!$F$4:$F$1203,$Z111-4000))),IF($Z111&lt;=5800,"","")))))</f>
        <v/>
      </c>
      <c r="R111" s="16" t="str">
        <f>IF($Z111="","",IF($Z111&lt;=2000,IF(INDEX(包装物料出入库明细!$O$4:$O$2003,$Z111-0)=0,"",INDEX(包装物料出入库明细!$O$4:$O$2003,$Z111-0)),IF($Z111&lt;=4000,IF(INDEX(周转筐出入库明细!$M$4:$M$2004,$Z111-2000)=0,"",INDEX(周转筐出入库明细!$M$4:$M$2004,$Z111-2000)),IF($Z111&lt;=5200,IF(INDEX(客户自备加工筐明细!$H$4:$H$1203,$Z111-4000)=0,"",INDEX(客户自备加工筐明细!$H$4:$H$1203,$Z111-4000)),IF($Z111&lt;=5800,IF(INDEX(次果筐明细!$H$4:$H$603,$Z111-5200)=0,"",INDEX(次果筐明细!$H$4:$H$603,$Z111-5200)),"")))))</f>
        <v>新N*53045</v>
      </c>
      <c r="S111" s="22" t="str">
        <f t="shared" si="5"/>
        <v>公司筐</v>
      </c>
      <c r="Z111" s="10">
        <f>IFERROR(MATCH(ROW()-3,_自动清单!$CQ$4:$CQ$5803,0),"")</f>
        <v>2075</v>
      </c>
    </row>
    <row r="112" spans="1:26">
      <c r="A112" s="24">
        <f t="shared" si="3"/>
        <v>109</v>
      </c>
      <c r="B112" s="38">
        <f>IF($Z112="","",IF($Z112&lt;=2000,IF(INDEX(包装物料出入库明细!$B$4:$B$2003,$Z112-0)=0,"",INDEX(包装物料出入库明细!$B$4:$B$2003,$Z112-0)),IF($Z112&lt;=4000,IF(INDEX(周转筐出入库明细!$B$4:$B$2004,$Z112-2000)=0,"",INDEX(周转筐出入库明细!$B$4:$B$2004,$Z112-2000)),IF($Z112&lt;=5200,IF(INDEX(客户自备加工筐明细!$B$4:$B$1203,$Z112-4000)=0,"",INDEX(客户自备加工筐明细!$B$4:$B$1203,$Z112-4000)),IF($Z112&lt;=5800,IF(INDEX(次果筐明细!$B$4:$B$603,$Z112-5200)=0,"",INDEX(次果筐明细!$B$4:$B$603,$Z112-5200)),"")))))</f>
        <v>46277</v>
      </c>
      <c r="C112" s="37" t="str">
        <f>IF($Z112="","",IF($Z112&lt;=2000,IF(INDEX(包装物料出入库明细!$D$4:$D$2003,$Z112-0)=0,"",INDEX(包装物料出入库明细!$D$4:$D$2003,$Z112-0)),IF($Z112&lt;=4000,IF(INDEX(周转筐出入库明细!$C$4:$C$2004,$Z112-2000)=0,"",INDEX(周转筐出入库明细!$C$4:$C$2004,$Z112-2000)),IF($Z112&lt;=5200,IF(INDEX(客户自备加工筐明细!$E$4:$E$1203,$Z112-4000)=0,"",INDEX(客户自备加工筐明细!$E$4:$E$1203,$Z112-4000)),IF($Z112&lt;=5800,IF(INDEX(次果筐明细!$C$4:$C$603,$Z112-5200)=0,"",INDEX(次果筐明细!$C$4:$C$603,$Z112-5200)),"")))))</f>
        <v>王照雪</v>
      </c>
      <c r="D112" s="37" t="str">
        <f>IF($Z112="","",IF($Z112&lt;=2000,"包装物料－"&amp;INDEX(包装物料出入库明细!$H$4:$H$2003,$Z112-0),IF($Z112&lt;=4000,"周转筐－"&amp;INDEX(周转筐出入库明细!$F$4:$F$2004,$Z112-2000),IF($Z112&lt;=5200,"客户自备筐－"&amp;INDEX(客户自备加工筐明细!$J$4:$J$1203,$Z112-4000),IF($Z112&lt;=5800,"次果筐/托盘－"&amp;INDEX(次果筐明细!$F$4:$F$603,$Z112-5200),"")))))</f>
        <v>客户自备筐－拉扎伤果</v>
      </c>
      <c r="E112" s="24" t="str">
        <f>IF($Z112="","",IF($Z112&lt;=2000,IF(INDEX(包装物料出入库明细!$C$4:$C$2003,$Z112-0)=0,"",INDEX(包装物料出入库明细!$C$4:$C$2003,$Z112-0)),IF($Z112&lt;=4000,IF(INDEX(周转筐出入库明细!$E$4:$E$2004,$Z112-2000)=0,"",INDEX(周转筐出入库明细!$E$4:$E$2004,$Z112-2000)),IF($Z112&lt;=5200,IF(INDEX(客户自备加工筐明细!$D$4:$D$1203,$Z112-4000)=0,"",INDEX(客户自备加工筐明细!$D$4:$D$1203,$Z112-4000)),IF($Z112&lt;=5800,IF(INDEX(次果筐明细!$E$4:$E$603,$Z112-5200)=0,"",INDEX(次果筐明细!$E$4:$E$603,$Z112-5200)),"")))))</f>
        <v/>
      </c>
      <c r="F112" s="24" t="str">
        <f>IF($Z112="","",IF($Z112&lt;=2000,IF(INDEX(包装物料出入库明细!$E$4:$E$2003,$Z112-0)=0,"",INDEX(包装物料出入库明细!$E$4:$E$2003,$Z112-0)),IF($Z112&lt;=4000,IF(INDEX(周转筐出入库明细!$D$4:$D$2004,$Z112-2000)=0,"",INDEX(周转筐出入库明细!$D$4:$D$2004,$Z112-2000)),IF($Z112&lt;=5200,IF(INDEX(客户自备加工筐明细!$C$4:$C$1203,$Z112-4000)=0,"",INDEX(客户自备加工筐明细!$C$4:$C$1203,$Z112-4000)),IF($Z112&lt;=5800,IF(INDEX(次果筐明细!$D$4:$D$603,$Z112-5200)=0,"",INDEX(次果筐明细!$D$4:$D$603,$Z112-5200)),"")))))</f>
        <v>自备一次性筐</v>
      </c>
      <c r="G112" s="24" t="str">
        <f>IF($Z112="","",IF($Z112&lt;=2000,IF(INDEX(包装物料出入库明细!$F$4:$F$2003,$Z112-0)=0,"",INDEX(包装物料出入库明细!$F$4:$F$2003,$Z112-0)),IF($Z112&lt;=4000,"",IF($Z112&lt;=5200,"",IF($Z112&lt;=5800,"","")))))</f>
        <v/>
      </c>
      <c r="H112" s="39">
        <f>IF($Z112="","",IF($Z112&lt;=2000,IF(INDEX(包装物料出入库明细!$L$4:$L$2003,$Z112-0)=0,"",INDEX(包装物料出入库明细!$L$4:$L$2003,$Z112-0)),IF($Z112&lt;=4000,N(INDEX(周转筐出入库明细!$H$4:$H$2004,$Z112-2000))+N(INDEX(周转筐出入库明细!$I$4:$I$2004,$Z112-2000))+N(INDEX(周转筐出入库明细!$J$4:$J$2004,$Z112-2000))+N(INDEX(周转筐出入库明细!$K$4:$K$2004,$Z112-2000)),IF($Z112&lt;=5200,N(INDEX(客户自备加工筐明细!$F$4:$F$1203,$Z112-4000))+N(INDEX(客户自备加工筐明细!$G$4:$G$1203,$Z112-4000)),IF($Z112&lt;=5800,IF(INDEX(次果筐明细!$G$4:$G$603,$Z112-5200)=0,"",INDEX(次果筐明细!$G$4:$G$603,$Z112-5200)),"")))))</f>
        <v>1012</v>
      </c>
      <c r="I112" s="24" t="str">
        <f>IF($Z112="","",IF($Z112&lt;=2000,IF(INDEX(包装物料出入库明细!$G$4:$G$2003,$Z112-0)=0,"",INDEX(包装物料出入库明细!$G$4:$G$2003,$Z112-0)),IF($Z112&lt;=4000,"个",IF($Z112&lt;=5200,"个",IF($Z112&lt;=5800,"个","")))))</f>
        <v>个</v>
      </c>
      <c r="J112" s="30" t="str">
        <f t="shared" si="4"/>
        <v/>
      </c>
      <c r="K112" s="30" t="str">
        <f>IF($Z112="","",IF($Z112&lt;=2000,IF(INDEX(包装物料出入库明细!$N$4:$N$2003,$Z112-0)=0,"",INDEX(包装物料出入库明细!$N$4:$N$2003,$Z112-0)),IF($Z112&lt;=4000,IF(INDEX(周转筐出入库明细!$P$4:$P$2004,$Z112-2000)=0,"",INDEX(周转筐出入库明细!$P$4:$P$2004,$Z112-2000)),IF($Z112&lt;=5200,"",IF($Z112&lt;=5800,N(INDEX(次果筐明细!$L$4:$L$603,$Z112-5200))+N(INDEX(次果筐明细!$J$4:$J$603,$Z112-5200)),"")))))</f>
        <v/>
      </c>
      <c r="L112" s="24" t="str">
        <f>IF($Z112="","",IF($Z112&lt;=2000,IF(INDEX(包装物料出入库明细!$P$4:$P$2003,$Z112-0)=0,"",INDEX(包装物料出入库明细!$P$4:$P$2003,$Z112-0)),IF($Z112&lt;=4000,IF(INDEX(周转筐出入库明细!$Q$4:$Q$2004,$Z112-2000)=0,"",INDEX(周转筐出入库明细!$Q$4:$Q$2004,$Z112-2000)),IF($Z112&lt;=5200,"",IF($Z112&lt;=5800,IF(INDEX(次果筐明细!$M$4:$M$603,$Z112-5200)=0,"",INDEX(次果筐明细!$M$4:$M$603,$Z112-5200)),"")))))</f>
        <v/>
      </c>
      <c r="M112" s="37" t="str">
        <f>IF($Z112="","",IF($Z112&lt;=2000,IF(INDEX(包装物料出入库明细!$R$4:$R$2003,$Z112-0)=0,"",INDEX(包装物料出入库明细!$R$4:$R$2003,$Z112-0)),IF($Z112&lt;=4000,IF(INDEX(周转筐出入库明细!$W$4:$W$2004,$Z112-2000)=0,"",INDEX(周转筐出入库明细!$W$4:$W$2004,$Z112-2000)),IF($Z112&lt;=5200,IF(INDEX(客户自备加工筐明细!$L$4:$L$1203,$Z112-4000)=0,"",INDEX(客户自备加工筐明细!$L$4:$L$1203,$Z112-4000)),IF($Z112&lt;=5800,IF(INDEX(次果筐明细!$P$4:$P$603,$Z112-5200)=0,"",INDEX(次果筐明细!$P$4:$P$603,$Z112-5200)),"")))))</f>
        <v/>
      </c>
      <c r="N112" s="16" t="str">
        <f>IF($Z112="","",IF($Z112&lt;=2000,"",IF($Z112&lt;=4000,IF(INDEX(周转筐出入库明细!$D$4:$D$2004,$Z112-2000)=0,"",INDEX(周转筐出入库明细!$D$4:$D$2004,$Z112-2000)),IF($Z112&lt;=5200,IF(INDEX(客户自备加工筐明细!$C$4:$C$1203,$Z112-4000)=0,"",INDEX(客户自备加工筐明细!$C$4:$C$1203,$Z112-4000)),IF($Z112&lt;=5800,IF(INDEX(次果筐明细!$D$4:$D$603,$Z112-5200)=0,"",INDEX(次果筐明细!$D$4:$D$603,$Z112-5200)),"")))))</f>
        <v>自备一次性筐</v>
      </c>
      <c r="O112" s="40">
        <f>IF($Z112="","",IF($Z112&lt;=2000,"",IF($Z112&lt;=4000,IF(N(INDEX(周转筐出入库明细!$J$4:$J$2004,$Z112-2000))+N(INDEX(周转筐出入库明细!$K$4:$K$2004,$Z112-2000))=0,"",N(INDEX(周转筐出入库明细!$J$4:$J$2004,$Z112-2000))+N(INDEX(周转筐出入库明细!$K$4:$K$2004,$Z112-2000))),IF($Z112&lt;=5200,IF(N(INDEX(客户自备加工筐明细!$G$4:$G$1203,$Z112-4000))=0,"",N(INDEX(客户自备加工筐明细!$G$4:$G$1203,$Z112-4000))),IF($Z112&lt;=5800,IF(ISNUMBER(SEARCH("退",INDEX(次果筐明细!$F$4:$F$603,$Z112-5200)&amp;"")),"",IF(N(INDEX(次果筐明细!$G$4:$G$603,$Z112-5200))=0,"",N(INDEX(次果筐明细!$G$4:$G$603,$Z112-5200)))),"")))))</f>
        <v>12</v>
      </c>
      <c r="P112" s="40" t="str">
        <f>IF($Z112="","",IF($Z112&lt;=2000,"",IF($Z112&lt;=4000,IF(N(INDEX(周转筐出入库明细!$I$4:$I$2004,$Z112-2000))=0,"",N(INDEX(周转筐出入库明细!$I$4:$I$2004,$Z112-2000))),IF($Z112&lt;=5200,"",IF($Z112&lt;=5800,IF(ISNUMBER(SEARCH("退",INDEX(次果筐明细!$F$4:$F$603,$Z112-5200)&amp;"")),IF(N(INDEX(次果筐明细!$G$4:$G$603,$Z112-5200))=0,"",N(INDEX(次果筐明细!$G$4:$G$603,$Z112-5200))),""),"")))))</f>
        <v/>
      </c>
      <c r="Q112" s="40">
        <f>IF($Z112="","",IF($Z112&lt;=2000,"",IF($Z112&lt;=4000,IF(N(INDEX(周转筐出入库明细!$H$4:$H$2004,$Z112-2000))=0,"",N(INDEX(周转筐出入库明细!$H$4:$H$2004,$Z112-2000))),IF($Z112&lt;=5200,IF(N(INDEX(客户自备加工筐明细!$F$4:$F$1203,$Z112-4000))=0,"",N(INDEX(客户自备加工筐明细!$F$4:$F$1203,$Z112-4000))),IF($Z112&lt;=5800,"","")))))</f>
        <v>1000</v>
      </c>
      <c r="R112" s="16" t="str">
        <f>IF($Z112="","",IF($Z112&lt;=2000,IF(INDEX(包装物料出入库明细!$O$4:$O$2003,$Z112-0)=0,"",INDEX(包装物料出入库明细!$O$4:$O$2003,$Z112-0)),IF($Z112&lt;=4000,IF(INDEX(周转筐出入库明细!$M$4:$M$2004,$Z112-2000)=0,"",INDEX(周转筐出入库明细!$M$4:$M$2004,$Z112-2000)),IF($Z112&lt;=5200,IF(INDEX(客户自备加工筐明细!$H$4:$H$1203,$Z112-4000)=0,"",INDEX(客户自备加工筐明细!$H$4:$H$1203,$Z112-4000)),IF($Z112&lt;=5800,IF(INDEX(次果筐明细!$H$4:$H$603,$Z112-5200)=0,"",INDEX(次果筐明细!$H$4:$H$603,$Z112-5200)),"")))))</f>
        <v/>
      </c>
      <c r="S112" s="22" t="str">
        <f t="shared" si="5"/>
        <v>自备筐</v>
      </c>
      <c r="Z112" s="10">
        <f>IFERROR(MATCH(ROW()-3,_自动清单!$CQ$4:$CQ$5803,0),"")</f>
        <v>4001</v>
      </c>
    </row>
    <row r="113" spans="1:26">
      <c r="A113" s="24" t="str">
        <f t="shared" si="3"/>
        <v/>
      </c>
      <c r="B113" s="38" t="str">
        <f>IF($Z113="","",IF($Z113&lt;=2000,IF(INDEX(包装物料出入库明细!$B$4:$B$2003,$Z113-0)=0,"",INDEX(包装物料出入库明细!$B$4:$B$2003,$Z113-0)),IF($Z113&lt;=4000,IF(INDEX(周转筐出入库明细!$B$4:$B$2004,$Z113-2000)=0,"",INDEX(周转筐出入库明细!$B$4:$B$2004,$Z113-2000)),IF($Z113&lt;=5200,IF(INDEX(客户自备加工筐明细!$B$4:$B$1203,$Z113-4000)=0,"",INDEX(客户自备加工筐明细!$B$4:$B$1203,$Z113-4000)),IF($Z113&lt;=5800,IF(INDEX(次果筐明细!$B$4:$B$603,$Z113-5200)=0,"",INDEX(次果筐明细!$B$4:$B$603,$Z113-5200)),"")))))</f>
        <v/>
      </c>
      <c r="C113" s="37" t="str">
        <f>IF($Z113="","",IF($Z113&lt;=2000,IF(INDEX(包装物料出入库明细!$D$4:$D$2003,$Z113-0)=0,"",INDEX(包装物料出入库明细!$D$4:$D$2003,$Z113-0)),IF($Z113&lt;=4000,IF(INDEX(周转筐出入库明细!$C$4:$C$2004,$Z113-2000)=0,"",INDEX(周转筐出入库明细!$C$4:$C$2004,$Z113-2000)),IF($Z113&lt;=5200,IF(INDEX(客户自备加工筐明细!$E$4:$E$1203,$Z113-4000)=0,"",INDEX(客户自备加工筐明细!$E$4:$E$1203,$Z113-4000)),IF($Z113&lt;=5800,IF(INDEX(次果筐明细!$C$4:$C$603,$Z113-5200)=0,"",INDEX(次果筐明细!$C$4:$C$603,$Z113-5200)),"")))))</f>
        <v>王照雪</v>
      </c>
      <c r="D113" s="37" t="str">
        <f>IF($Z113="","",IF($Z113&lt;=2000,"包装物料－"&amp;INDEX(包装物料出入库明细!$H$4:$H$2003,$Z113-0),IF($Z113&lt;=4000,"周转筐－"&amp;INDEX(周转筐出入库明细!$F$4:$F$2004,$Z113-2000),IF($Z113&lt;=5200,"客户自备筐－"&amp;INDEX(客户自备加工筐明细!$J$4:$J$1203,$Z113-4000),IF($Z113&lt;=5800,"次果筐/托盘－"&amp;INDEX(次果筐明细!$F$4:$F$603,$Z113-5200),"")))))</f>
        <v>次果筐/托盘－领用出库</v>
      </c>
      <c r="E113" s="24" t="str">
        <f>IF($Z113="","",IF($Z113&lt;=2000,IF(INDEX(包装物料出入库明细!$C$4:$C$2003,$Z113-0)=0,"",INDEX(包装物料出入库明细!$C$4:$C$2003,$Z113-0)),IF($Z113&lt;=4000,IF(INDEX(周转筐出入库明细!$E$4:$E$2004,$Z113-2000)=0,"",INDEX(周转筐出入库明细!$E$4:$E$2004,$Z113-2000)),IF($Z113&lt;=5200,IF(INDEX(客户自备加工筐明细!$D$4:$D$1203,$Z113-4000)=0,"",INDEX(客户自备加工筐明细!$D$4:$D$1203,$Z113-4000)),IF($Z113&lt;=5800,IF(INDEX(次果筐明细!$E$4:$E$603,$Z113-5200)=0,"",INDEX(次果筐明细!$E$4:$E$603,$Z113-5200)),"")))))</f>
        <v/>
      </c>
      <c r="F113" s="24" t="str">
        <f>IF($Z113="","",IF($Z113&lt;=2000,IF(INDEX(包装物料出入库明细!$E$4:$E$2003,$Z113-0)=0,"",INDEX(包装物料出入库明细!$E$4:$E$2003,$Z113-0)),IF($Z113&lt;=4000,IF(INDEX(周转筐出入库明细!$D$4:$D$2004,$Z113-2000)=0,"",INDEX(周转筐出入库明细!$D$4:$D$2004,$Z113-2000)),IF($Z113&lt;=5200,IF(INDEX(客户自备加工筐明细!$C$4:$C$1203,$Z113-4000)=0,"",INDEX(客户自备加工筐明细!$C$4:$C$1203,$Z113-4000)),IF($Z113&lt;=5800,IF(INDEX(次果筐明细!$D$4:$D$603,$Z113-5200)=0,"",INDEX(次果筐明细!$D$4:$D$603,$Z113-5200)),"")))))</f>
        <v>公司杂周转筐</v>
      </c>
      <c r="G113" s="24" t="str">
        <f>IF($Z113="","",IF($Z113&lt;=2000,IF(INDEX(包装物料出入库明细!$F$4:$F$2003,$Z113-0)=0,"",INDEX(包装物料出入库明细!$F$4:$F$2003,$Z113-0)),IF($Z113&lt;=4000,"",IF($Z113&lt;=5200,"",IF($Z113&lt;=5800,"","")))))</f>
        <v/>
      </c>
      <c r="H113" s="39" t="str">
        <f>IF($Z113="","",IF($Z113&lt;=2000,IF(INDEX(包装物料出入库明细!$L$4:$L$2003,$Z113-0)=0,"",INDEX(包装物料出入库明细!$L$4:$L$2003,$Z113-0)),IF($Z113&lt;=4000,N(INDEX(周转筐出入库明细!$H$4:$H$2004,$Z113-2000))+N(INDEX(周转筐出入库明细!$I$4:$I$2004,$Z113-2000))+N(INDEX(周转筐出入库明细!$J$4:$J$2004,$Z113-2000))+N(INDEX(周转筐出入库明细!$K$4:$K$2004,$Z113-2000)),IF($Z113&lt;=5200,N(INDEX(客户自备加工筐明细!$F$4:$F$1203,$Z113-4000))+N(INDEX(客户自备加工筐明细!$G$4:$G$1203,$Z113-4000)),IF($Z113&lt;=5800,IF(INDEX(次果筐明细!$G$4:$G$603,$Z113-5200)=0,"",INDEX(次果筐明细!$G$4:$G$603,$Z113-5200)),"")))))</f>
        <v/>
      </c>
      <c r="I113" s="24" t="str">
        <f>IF($Z113="","",IF($Z113&lt;=2000,IF(INDEX(包装物料出入库明细!$G$4:$G$2003,$Z113-0)=0,"",INDEX(包装物料出入库明细!$G$4:$G$2003,$Z113-0)),IF($Z113&lt;=4000,"个",IF($Z113&lt;=5200,"个",IF($Z113&lt;=5800,"个","")))))</f>
        <v>个</v>
      </c>
      <c r="J113" s="30" t="str">
        <f t="shared" si="4"/>
        <v/>
      </c>
      <c r="K113" s="30">
        <f>IF($Z113="","",IF($Z113&lt;=2000,IF(INDEX(包装物料出入库明细!$N$4:$N$2003,$Z113-0)=0,"",INDEX(包装物料出入库明细!$N$4:$N$2003,$Z113-0)),IF($Z113&lt;=4000,IF(INDEX(周转筐出入库明细!$P$4:$P$2004,$Z113-2000)=0,"",INDEX(周转筐出入库明细!$P$4:$P$2004,$Z113-2000)),IF($Z113&lt;=5200,"",IF($Z113&lt;=5800,N(INDEX(次果筐明细!$L$4:$L$603,$Z113-5200))+N(INDEX(次果筐明细!$J$4:$J$603,$Z113-5200)),"")))))</f>
        <v>0</v>
      </c>
      <c r="L113" s="24" t="str">
        <f>IF($Z113="","",IF($Z113&lt;=2000,IF(INDEX(包装物料出入库明细!$P$4:$P$2003,$Z113-0)=0,"",INDEX(包装物料出入库明细!$P$4:$P$2003,$Z113-0)),IF($Z113&lt;=4000,IF(INDEX(周转筐出入库明细!$Q$4:$Q$2004,$Z113-2000)=0,"",INDEX(周转筐出入库明细!$Q$4:$Q$2004,$Z113-2000)),IF($Z113&lt;=5200,"",IF($Z113&lt;=5800,IF(INDEX(次果筐明细!$M$4:$M$603,$Z113-5200)=0,"",INDEX(次果筐明细!$M$4:$M$603,$Z113-5200)),"")))))</f>
        <v/>
      </c>
      <c r="M113" s="37" t="str">
        <f>IF($Z113="","",IF($Z113&lt;=2000,IF(INDEX(包装物料出入库明细!$R$4:$R$2003,$Z113-0)=0,"",INDEX(包装物料出入库明细!$R$4:$R$2003,$Z113-0)),IF($Z113&lt;=4000,IF(INDEX(周转筐出入库明细!$W$4:$W$2004,$Z113-2000)=0,"",INDEX(周转筐出入库明细!$W$4:$W$2004,$Z113-2000)),IF($Z113&lt;=5200,IF(INDEX(客户自备加工筐明细!$L$4:$L$1203,$Z113-4000)=0,"",INDEX(客户自备加工筐明细!$L$4:$L$1203,$Z113-4000)),IF($Z113&lt;=5800,IF(INDEX(次果筐明细!$P$4:$P$603,$Z113-5200)=0,"",INDEX(次果筐明细!$P$4:$P$603,$Z113-5200)),"")))))</f>
        <v/>
      </c>
      <c r="N113" s="16" t="str">
        <f>IF($Z113="","",IF($Z113&lt;=2000,"",IF($Z113&lt;=4000,IF(INDEX(周转筐出入库明细!$D$4:$D$2004,$Z113-2000)=0,"",INDEX(周转筐出入库明细!$D$4:$D$2004,$Z113-2000)),IF($Z113&lt;=5200,IF(INDEX(客户自备加工筐明细!$C$4:$C$1203,$Z113-4000)=0,"",INDEX(客户自备加工筐明细!$C$4:$C$1203,$Z113-4000)),IF($Z113&lt;=5800,IF(INDEX(次果筐明细!$D$4:$D$603,$Z113-5200)=0,"",INDEX(次果筐明细!$D$4:$D$603,$Z113-5200)),"")))))</f>
        <v>公司杂周转筐</v>
      </c>
      <c r="O113" s="40" t="str">
        <f>IF($Z113="","",IF($Z113&lt;=2000,"",IF($Z113&lt;=4000,IF(N(INDEX(周转筐出入库明细!$J$4:$J$2004,$Z113-2000))+N(INDEX(周转筐出入库明细!$K$4:$K$2004,$Z113-2000))=0,"",N(INDEX(周转筐出入库明细!$J$4:$J$2004,$Z113-2000))+N(INDEX(周转筐出入库明细!$K$4:$K$2004,$Z113-2000))),IF($Z113&lt;=5200,IF(N(INDEX(客户自备加工筐明细!$G$4:$G$1203,$Z113-4000))=0,"",N(INDEX(客户自备加工筐明细!$G$4:$G$1203,$Z113-4000))),IF($Z113&lt;=5800,IF(ISNUMBER(SEARCH("退",INDEX(次果筐明细!$F$4:$F$603,$Z113-5200)&amp;"")),"",IF(N(INDEX(次果筐明细!$G$4:$G$603,$Z113-5200))=0,"",N(INDEX(次果筐明细!$G$4:$G$603,$Z113-5200)))),"")))))</f>
        <v/>
      </c>
      <c r="P113" s="40" t="str">
        <f>IF($Z113="","",IF($Z113&lt;=2000,"",IF($Z113&lt;=4000,IF(N(INDEX(周转筐出入库明细!$I$4:$I$2004,$Z113-2000))=0,"",N(INDEX(周转筐出入库明细!$I$4:$I$2004,$Z113-2000))),IF($Z113&lt;=5200,"",IF($Z113&lt;=5800,IF(ISNUMBER(SEARCH("退",INDEX(次果筐明细!$F$4:$F$603,$Z113-5200)&amp;"")),IF(N(INDEX(次果筐明细!$G$4:$G$603,$Z113-5200))=0,"",N(INDEX(次果筐明细!$G$4:$G$603,$Z113-5200))),""),"")))))</f>
        <v/>
      </c>
      <c r="Q113" s="40" t="str">
        <f>IF($Z113="","",IF($Z113&lt;=2000,"",IF($Z113&lt;=4000,IF(N(INDEX(周转筐出入库明细!$H$4:$H$2004,$Z113-2000))=0,"",N(INDEX(周转筐出入库明细!$H$4:$H$2004,$Z113-2000))),IF($Z113&lt;=5200,IF(N(INDEX(客户自备加工筐明细!$F$4:$F$1203,$Z113-4000))=0,"",N(INDEX(客户自备加工筐明细!$F$4:$F$1203,$Z113-4000))),IF($Z113&lt;=5800,"","")))))</f>
        <v/>
      </c>
      <c r="R113" s="16" t="str">
        <f>IF($Z113="","",IF($Z113&lt;=2000,IF(INDEX(包装物料出入库明细!$O$4:$O$2003,$Z113-0)=0,"",INDEX(包装物料出入库明细!$O$4:$O$2003,$Z113-0)),IF($Z113&lt;=4000,IF(INDEX(周转筐出入库明细!$M$4:$M$2004,$Z113-2000)=0,"",INDEX(周转筐出入库明细!$M$4:$M$2004,$Z113-2000)),IF($Z113&lt;=5200,IF(INDEX(客户自备加工筐明细!$H$4:$H$1203,$Z113-4000)=0,"",INDEX(客户自备加工筐明细!$H$4:$H$1203,$Z113-4000)),IF($Z113&lt;=5800,IF(INDEX(次果筐明细!$H$4:$H$603,$Z113-5200)=0,"",INDEX(次果筐明细!$H$4:$H$603,$Z113-5200)),"")))))</f>
        <v/>
      </c>
      <c r="S113" s="22" t="str">
        <f t="shared" si="5"/>
        <v>公司筐</v>
      </c>
      <c r="Z113" s="10">
        <f>IFERROR(MATCH(ROW()-3,_自动清单!$CQ$4:$CQ$5803,0),"")</f>
        <v>5201</v>
      </c>
    </row>
    <row r="114" spans="1:26">
      <c r="A114" s="24" t="str">
        <f t="shared" si="3"/>
        <v/>
      </c>
      <c r="B114" s="38" t="str">
        <f>IF($Z114="","",IF($Z114&lt;=2000,IF(INDEX(包装物料出入库明细!$B$4:$B$2003,$Z114-0)=0,"",INDEX(包装物料出入库明细!$B$4:$B$2003,$Z114-0)),IF($Z114&lt;=4000,IF(INDEX(周转筐出入库明细!$B$4:$B$2004,$Z114-2000)=0,"",INDEX(周转筐出入库明细!$B$4:$B$2004,$Z114-2000)),IF($Z114&lt;=5200,IF(INDEX(客户自备加工筐明细!$B$4:$B$1203,$Z114-4000)=0,"",INDEX(客户自备加工筐明细!$B$4:$B$1203,$Z114-4000)),IF($Z114&lt;=5800,IF(INDEX(次果筐明细!$B$4:$B$603,$Z114-5200)=0,"",INDEX(次果筐明细!$B$4:$B$603,$Z114-5200)),"")))))</f>
        <v/>
      </c>
      <c r="C114" s="37" t="str">
        <f>IF($Z114="","",IF($Z114&lt;=2000,IF(INDEX(包装物料出入库明细!$D$4:$D$2003,$Z114-0)=0,"",INDEX(包装物料出入库明细!$D$4:$D$2003,$Z114-0)),IF($Z114&lt;=4000,IF(INDEX(周转筐出入库明细!$C$4:$C$2004,$Z114-2000)=0,"",INDEX(周转筐出入库明细!$C$4:$C$2004,$Z114-2000)),IF($Z114&lt;=5200,IF(INDEX(客户自备加工筐明细!$E$4:$E$1203,$Z114-4000)=0,"",INDEX(客户自备加工筐明细!$E$4:$E$1203,$Z114-4000)),IF($Z114&lt;=5800,IF(INDEX(次果筐明细!$C$4:$C$603,$Z114-5200)=0,"",INDEX(次果筐明细!$C$4:$C$603,$Z114-5200)),"")))))</f>
        <v/>
      </c>
      <c r="D114" s="37" t="str">
        <f>IF($Z114="","",IF($Z114&lt;=2000,"包装物料－"&amp;INDEX(包装物料出入库明细!$H$4:$H$2003,$Z114-0),IF($Z114&lt;=4000,"周转筐－"&amp;INDEX(周转筐出入库明细!$F$4:$F$2004,$Z114-2000),IF($Z114&lt;=5200,"客户自备筐－"&amp;INDEX(客户自备加工筐明细!$J$4:$J$1203,$Z114-4000),IF($Z114&lt;=5800,"次果筐/托盘－"&amp;INDEX(次果筐明细!$F$4:$F$603,$Z114-5200),"")))))</f>
        <v/>
      </c>
      <c r="E114" s="24" t="str">
        <f>IF($Z114="","",IF($Z114&lt;=2000,IF(INDEX(包装物料出入库明细!$C$4:$C$2003,$Z114-0)=0,"",INDEX(包装物料出入库明细!$C$4:$C$2003,$Z114-0)),IF($Z114&lt;=4000,IF(INDEX(周转筐出入库明细!$E$4:$E$2004,$Z114-2000)=0,"",INDEX(周转筐出入库明细!$E$4:$E$2004,$Z114-2000)),IF($Z114&lt;=5200,IF(INDEX(客户自备加工筐明细!$D$4:$D$1203,$Z114-4000)=0,"",INDEX(客户自备加工筐明细!$D$4:$D$1203,$Z114-4000)),IF($Z114&lt;=5800,IF(INDEX(次果筐明细!$E$4:$E$603,$Z114-5200)=0,"",INDEX(次果筐明细!$E$4:$E$603,$Z114-5200)),"")))))</f>
        <v/>
      </c>
      <c r="F114" s="24" t="str">
        <f>IF($Z114="","",IF($Z114&lt;=2000,IF(INDEX(包装物料出入库明细!$E$4:$E$2003,$Z114-0)=0,"",INDEX(包装物料出入库明细!$E$4:$E$2003,$Z114-0)),IF($Z114&lt;=4000,IF(INDEX(周转筐出入库明细!$D$4:$D$2004,$Z114-2000)=0,"",INDEX(周转筐出入库明细!$D$4:$D$2004,$Z114-2000)),IF($Z114&lt;=5200,IF(INDEX(客户自备加工筐明细!$C$4:$C$1203,$Z114-4000)=0,"",INDEX(客户自备加工筐明细!$C$4:$C$1203,$Z114-4000)),IF($Z114&lt;=5800,IF(INDEX(次果筐明细!$D$4:$D$603,$Z114-5200)=0,"",INDEX(次果筐明细!$D$4:$D$603,$Z114-5200)),"")))))</f>
        <v/>
      </c>
      <c r="G114" s="24" t="str">
        <f>IF($Z114="","",IF($Z114&lt;=2000,IF(INDEX(包装物料出入库明细!$F$4:$F$2003,$Z114-0)=0,"",INDEX(包装物料出入库明细!$F$4:$F$2003,$Z114-0)),IF($Z114&lt;=4000,"",IF($Z114&lt;=5200,"",IF($Z114&lt;=5800,"","")))))</f>
        <v/>
      </c>
      <c r="H114" s="39" t="str">
        <f>IF($Z114="","",IF($Z114&lt;=2000,IF(INDEX(包装物料出入库明细!$L$4:$L$2003,$Z114-0)=0,"",INDEX(包装物料出入库明细!$L$4:$L$2003,$Z114-0)),IF($Z114&lt;=4000,N(INDEX(周转筐出入库明细!$H$4:$H$2004,$Z114-2000))+N(INDEX(周转筐出入库明细!$I$4:$I$2004,$Z114-2000))+N(INDEX(周转筐出入库明细!$J$4:$J$2004,$Z114-2000))+N(INDEX(周转筐出入库明细!$K$4:$K$2004,$Z114-2000)),IF($Z114&lt;=5200,N(INDEX(客户自备加工筐明细!$F$4:$F$1203,$Z114-4000))+N(INDEX(客户自备加工筐明细!$G$4:$G$1203,$Z114-4000)),IF($Z114&lt;=5800,IF(INDEX(次果筐明细!$G$4:$G$603,$Z114-5200)=0,"",INDEX(次果筐明细!$G$4:$G$603,$Z114-5200)),"")))))</f>
        <v/>
      </c>
      <c r="I114" s="24" t="str">
        <f>IF($Z114="","",IF($Z114&lt;=2000,IF(INDEX(包装物料出入库明细!$G$4:$G$2003,$Z114-0)=0,"",INDEX(包装物料出入库明细!$G$4:$G$2003,$Z114-0)),IF($Z114&lt;=4000,"个",IF($Z114&lt;=5200,"个",IF($Z114&lt;=5800,"个","")))))</f>
        <v/>
      </c>
      <c r="J114" s="30" t="str">
        <f t="shared" si="4"/>
        <v/>
      </c>
      <c r="K114" s="30" t="str">
        <f>IF($Z114="","",IF($Z114&lt;=2000,IF(INDEX(包装物料出入库明细!$N$4:$N$2003,$Z114-0)=0,"",INDEX(包装物料出入库明细!$N$4:$N$2003,$Z114-0)),IF($Z114&lt;=4000,IF(INDEX(周转筐出入库明细!$P$4:$P$2004,$Z114-2000)=0,"",INDEX(周转筐出入库明细!$P$4:$P$2004,$Z114-2000)),IF($Z114&lt;=5200,"",IF($Z114&lt;=5800,N(INDEX(次果筐明细!$L$4:$L$603,$Z114-5200))+N(INDEX(次果筐明细!$J$4:$J$603,$Z114-5200)),"")))))</f>
        <v/>
      </c>
      <c r="L114" s="24" t="str">
        <f>IF($Z114="","",IF($Z114&lt;=2000,IF(INDEX(包装物料出入库明细!$P$4:$P$2003,$Z114-0)=0,"",INDEX(包装物料出入库明细!$P$4:$P$2003,$Z114-0)),IF($Z114&lt;=4000,IF(INDEX(周转筐出入库明细!$Q$4:$Q$2004,$Z114-2000)=0,"",INDEX(周转筐出入库明细!$Q$4:$Q$2004,$Z114-2000)),IF($Z114&lt;=5200,"",IF($Z114&lt;=5800,IF(INDEX(次果筐明细!$M$4:$M$603,$Z114-5200)=0,"",INDEX(次果筐明细!$M$4:$M$603,$Z114-5200)),"")))))</f>
        <v/>
      </c>
      <c r="M114" s="37" t="str">
        <f>IF($Z114="","",IF($Z114&lt;=2000,IF(INDEX(包装物料出入库明细!$R$4:$R$2003,$Z114-0)=0,"",INDEX(包装物料出入库明细!$R$4:$R$2003,$Z114-0)),IF($Z114&lt;=4000,IF(INDEX(周转筐出入库明细!$W$4:$W$2004,$Z114-2000)=0,"",INDEX(周转筐出入库明细!$W$4:$W$2004,$Z114-2000)),IF($Z114&lt;=5200,IF(INDEX(客户自备加工筐明细!$L$4:$L$1203,$Z114-4000)=0,"",INDEX(客户自备加工筐明细!$L$4:$L$1203,$Z114-4000)),IF($Z114&lt;=5800,IF(INDEX(次果筐明细!$P$4:$P$603,$Z114-5200)=0,"",INDEX(次果筐明细!$P$4:$P$603,$Z114-5200)),"")))))</f>
        <v/>
      </c>
      <c r="N114" s="16" t="str">
        <f>IF($Z114="","",IF($Z114&lt;=2000,"",IF($Z114&lt;=4000,IF(INDEX(周转筐出入库明细!$D$4:$D$2004,$Z114-2000)=0,"",INDEX(周转筐出入库明细!$D$4:$D$2004,$Z114-2000)),IF($Z114&lt;=5200,IF(INDEX(客户自备加工筐明细!$C$4:$C$1203,$Z114-4000)=0,"",INDEX(客户自备加工筐明细!$C$4:$C$1203,$Z114-4000)),IF($Z114&lt;=5800,IF(INDEX(次果筐明细!$D$4:$D$603,$Z114-5200)=0,"",INDEX(次果筐明细!$D$4:$D$603,$Z114-5200)),"")))))</f>
        <v/>
      </c>
      <c r="O114" s="40" t="str">
        <f>IF($Z114="","",IF($Z114&lt;=2000,"",IF($Z114&lt;=4000,IF(N(INDEX(周转筐出入库明细!$J$4:$J$2004,$Z114-2000))+N(INDEX(周转筐出入库明细!$K$4:$K$2004,$Z114-2000))=0,"",N(INDEX(周转筐出入库明细!$J$4:$J$2004,$Z114-2000))+N(INDEX(周转筐出入库明细!$K$4:$K$2004,$Z114-2000))),IF($Z114&lt;=5200,IF(N(INDEX(客户自备加工筐明细!$G$4:$G$1203,$Z114-4000))=0,"",N(INDEX(客户自备加工筐明细!$G$4:$G$1203,$Z114-4000))),IF($Z114&lt;=5800,IF(ISNUMBER(SEARCH("退",INDEX(次果筐明细!$F$4:$F$603,$Z114-5200)&amp;"")),"",IF(N(INDEX(次果筐明细!$G$4:$G$603,$Z114-5200))=0,"",N(INDEX(次果筐明细!$G$4:$G$603,$Z114-5200)))),"")))))</f>
        <v/>
      </c>
      <c r="P114" s="40" t="str">
        <f>IF($Z114="","",IF($Z114&lt;=2000,"",IF($Z114&lt;=4000,IF(N(INDEX(周转筐出入库明细!$I$4:$I$2004,$Z114-2000))=0,"",N(INDEX(周转筐出入库明细!$I$4:$I$2004,$Z114-2000))),IF($Z114&lt;=5200,"",IF($Z114&lt;=5800,IF(ISNUMBER(SEARCH("退",INDEX(次果筐明细!$F$4:$F$603,$Z114-5200)&amp;"")),IF(N(INDEX(次果筐明细!$G$4:$G$603,$Z114-5200))=0,"",N(INDEX(次果筐明细!$G$4:$G$603,$Z114-5200))),""),"")))))</f>
        <v/>
      </c>
      <c r="Q114" s="40" t="str">
        <f>IF($Z114="","",IF($Z114&lt;=2000,"",IF($Z114&lt;=4000,IF(N(INDEX(周转筐出入库明细!$H$4:$H$2004,$Z114-2000))=0,"",N(INDEX(周转筐出入库明细!$H$4:$H$2004,$Z114-2000))),IF($Z114&lt;=5200,IF(N(INDEX(客户自备加工筐明细!$F$4:$F$1203,$Z114-4000))=0,"",N(INDEX(客户自备加工筐明细!$F$4:$F$1203,$Z114-4000))),IF($Z114&lt;=5800,"","")))))</f>
        <v/>
      </c>
      <c r="R114" s="16" t="str">
        <f>IF($Z114="","",IF($Z114&lt;=2000,IF(INDEX(包装物料出入库明细!$O$4:$O$2003,$Z114-0)=0,"",INDEX(包装物料出入库明细!$O$4:$O$2003,$Z114-0)),IF($Z114&lt;=4000,IF(INDEX(周转筐出入库明细!$M$4:$M$2004,$Z114-2000)=0,"",INDEX(周转筐出入库明细!$M$4:$M$2004,$Z114-2000)),IF($Z114&lt;=5200,IF(INDEX(客户自备加工筐明细!$H$4:$H$1203,$Z114-4000)=0,"",INDEX(客户自备加工筐明细!$H$4:$H$1203,$Z114-4000)),IF($Z114&lt;=5800,IF(INDEX(次果筐明细!$H$4:$H$603,$Z114-5200)=0,"",INDEX(次果筐明细!$H$4:$H$603,$Z114-5200)),"")))))</f>
        <v/>
      </c>
      <c r="S114" s="22" t="str">
        <f t="shared" si="5"/>
        <v/>
      </c>
      <c r="Z114" s="10" t="str">
        <f>IFERROR(MATCH(ROW()-3,_自动清单!$CQ$4:$CQ$5803,0),"")</f>
        <v/>
      </c>
    </row>
    <row r="115" spans="1:26">
      <c r="A115" s="24" t="str">
        <f t="shared" si="3"/>
        <v/>
      </c>
      <c r="B115" s="38" t="str">
        <f>IF($Z115="","",IF($Z115&lt;=2000,IF(INDEX(包装物料出入库明细!$B$4:$B$2003,$Z115-0)=0,"",INDEX(包装物料出入库明细!$B$4:$B$2003,$Z115-0)),IF($Z115&lt;=4000,IF(INDEX(周转筐出入库明细!$B$4:$B$2004,$Z115-2000)=0,"",INDEX(周转筐出入库明细!$B$4:$B$2004,$Z115-2000)),IF($Z115&lt;=5200,IF(INDEX(客户自备加工筐明细!$B$4:$B$1203,$Z115-4000)=0,"",INDEX(客户自备加工筐明细!$B$4:$B$1203,$Z115-4000)),IF($Z115&lt;=5800,IF(INDEX(次果筐明细!$B$4:$B$603,$Z115-5200)=0,"",INDEX(次果筐明细!$B$4:$B$603,$Z115-5200)),"")))))</f>
        <v/>
      </c>
      <c r="C115" s="37" t="str">
        <f>IF($Z115="","",IF($Z115&lt;=2000,IF(INDEX(包装物料出入库明细!$D$4:$D$2003,$Z115-0)=0,"",INDEX(包装物料出入库明细!$D$4:$D$2003,$Z115-0)),IF($Z115&lt;=4000,IF(INDEX(周转筐出入库明细!$C$4:$C$2004,$Z115-2000)=0,"",INDEX(周转筐出入库明细!$C$4:$C$2004,$Z115-2000)),IF($Z115&lt;=5200,IF(INDEX(客户自备加工筐明细!$E$4:$E$1203,$Z115-4000)=0,"",INDEX(客户自备加工筐明细!$E$4:$E$1203,$Z115-4000)),IF($Z115&lt;=5800,IF(INDEX(次果筐明细!$C$4:$C$603,$Z115-5200)=0,"",INDEX(次果筐明细!$C$4:$C$603,$Z115-5200)),"")))))</f>
        <v/>
      </c>
      <c r="D115" s="37" t="str">
        <f>IF($Z115="","",IF($Z115&lt;=2000,"包装物料－"&amp;INDEX(包装物料出入库明细!$H$4:$H$2003,$Z115-0),IF($Z115&lt;=4000,"周转筐－"&amp;INDEX(周转筐出入库明细!$F$4:$F$2004,$Z115-2000),IF($Z115&lt;=5200,"客户自备筐－"&amp;INDEX(客户自备加工筐明细!$J$4:$J$1203,$Z115-4000),IF($Z115&lt;=5800,"次果筐/托盘－"&amp;INDEX(次果筐明细!$F$4:$F$603,$Z115-5200),"")))))</f>
        <v/>
      </c>
      <c r="E115" s="24" t="str">
        <f>IF($Z115="","",IF($Z115&lt;=2000,IF(INDEX(包装物料出入库明细!$C$4:$C$2003,$Z115-0)=0,"",INDEX(包装物料出入库明细!$C$4:$C$2003,$Z115-0)),IF($Z115&lt;=4000,IF(INDEX(周转筐出入库明细!$E$4:$E$2004,$Z115-2000)=0,"",INDEX(周转筐出入库明细!$E$4:$E$2004,$Z115-2000)),IF($Z115&lt;=5200,IF(INDEX(客户自备加工筐明细!$D$4:$D$1203,$Z115-4000)=0,"",INDEX(客户自备加工筐明细!$D$4:$D$1203,$Z115-4000)),IF($Z115&lt;=5800,IF(INDEX(次果筐明细!$E$4:$E$603,$Z115-5200)=0,"",INDEX(次果筐明细!$E$4:$E$603,$Z115-5200)),"")))))</f>
        <v/>
      </c>
      <c r="F115" s="24" t="str">
        <f>IF($Z115="","",IF($Z115&lt;=2000,IF(INDEX(包装物料出入库明细!$E$4:$E$2003,$Z115-0)=0,"",INDEX(包装物料出入库明细!$E$4:$E$2003,$Z115-0)),IF($Z115&lt;=4000,IF(INDEX(周转筐出入库明细!$D$4:$D$2004,$Z115-2000)=0,"",INDEX(周转筐出入库明细!$D$4:$D$2004,$Z115-2000)),IF($Z115&lt;=5200,IF(INDEX(客户自备加工筐明细!$C$4:$C$1203,$Z115-4000)=0,"",INDEX(客户自备加工筐明细!$C$4:$C$1203,$Z115-4000)),IF($Z115&lt;=5800,IF(INDEX(次果筐明细!$D$4:$D$603,$Z115-5200)=0,"",INDEX(次果筐明细!$D$4:$D$603,$Z115-5200)),"")))))</f>
        <v/>
      </c>
      <c r="G115" s="24" t="str">
        <f>IF($Z115="","",IF($Z115&lt;=2000,IF(INDEX(包装物料出入库明细!$F$4:$F$2003,$Z115-0)=0,"",INDEX(包装物料出入库明细!$F$4:$F$2003,$Z115-0)),IF($Z115&lt;=4000,"",IF($Z115&lt;=5200,"",IF($Z115&lt;=5800,"","")))))</f>
        <v/>
      </c>
      <c r="H115" s="39" t="str">
        <f>IF($Z115="","",IF($Z115&lt;=2000,IF(INDEX(包装物料出入库明细!$L$4:$L$2003,$Z115-0)=0,"",INDEX(包装物料出入库明细!$L$4:$L$2003,$Z115-0)),IF($Z115&lt;=4000,N(INDEX(周转筐出入库明细!$H$4:$H$2004,$Z115-2000))+N(INDEX(周转筐出入库明细!$I$4:$I$2004,$Z115-2000))+N(INDEX(周转筐出入库明细!$J$4:$J$2004,$Z115-2000))+N(INDEX(周转筐出入库明细!$K$4:$K$2004,$Z115-2000)),IF($Z115&lt;=5200,N(INDEX(客户自备加工筐明细!$F$4:$F$1203,$Z115-4000))+N(INDEX(客户自备加工筐明细!$G$4:$G$1203,$Z115-4000)),IF($Z115&lt;=5800,IF(INDEX(次果筐明细!$G$4:$G$603,$Z115-5200)=0,"",INDEX(次果筐明细!$G$4:$G$603,$Z115-5200)),"")))))</f>
        <v/>
      </c>
      <c r="I115" s="24" t="str">
        <f>IF($Z115="","",IF($Z115&lt;=2000,IF(INDEX(包装物料出入库明细!$G$4:$G$2003,$Z115-0)=0,"",INDEX(包装物料出入库明细!$G$4:$G$2003,$Z115-0)),IF($Z115&lt;=4000,"个",IF($Z115&lt;=5200,"个",IF($Z115&lt;=5800,"个","")))))</f>
        <v/>
      </c>
      <c r="J115" s="30" t="str">
        <f t="shared" si="4"/>
        <v/>
      </c>
      <c r="K115" s="30" t="str">
        <f>IF($Z115="","",IF($Z115&lt;=2000,IF(INDEX(包装物料出入库明细!$N$4:$N$2003,$Z115-0)=0,"",INDEX(包装物料出入库明细!$N$4:$N$2003,$Z115-0)),IF($Z115&lt;=4000,IF(INDEX(周转筐出入库明细!$P$4:$P$2004,$Z115-2000)=0,"",INDEX(周转筐出入库明细!$P$4:$P$2004,$Z115-2000)),IF($Z115&lt;=5200,"",IF($Z115&lt;=5800,N(INDEX(次果筐明细!$L$4:$L$603,$Z115-5200))+N(INDEX(次果筐明细!$J$4:$J$603,$Z115-5200)),"")))))</f>
        <v/>
      </c>
      <c r="L115" s="24" t="str">
        <f>IF($Z115="","",IF($Z115&lt;=2000,IF(INDEX(包装物料出入库明细!$P$4:$P$2003,$Z115-0)=0,"",INDEX(包装物料出入库明细!$P$4:$P$2003,$Z115-0)),IF($Z115&lt;=4000,IF(INDEX(周转筐出入库明细!$Q$4:$Q$2004,$Z115-2000)=0,"",INDEX(周转筐出入库明细!$Q$4:$Q$2004,$Z115-2000)),IF($Z115&lt;=5200,"",IF($Z115&lt;=5800,IF(INDEX(次果筐明细!$M$4:$M$603,$Z115-5200)=0,"",INDEX(次果筐明细!$M$4:$M$603,$Z115-5200)),"")))))</f>
        <v/>
      </c>
      <c r="M115" s="37" t="str">
        <f>IF($Z115="","",IF($Z115&lt;=2000,IF(INDEX(包装物料出入库明细!$R$4:$R$2003,$Z115-0)=0,"",INDEX(包装物料出入库明细!$R$4:$R$2003,$Z115-0)),IF($Z115&lt;=4000,IF(INDEX(周转筐出入库明细!$W$4:$W$2004,$Z115-2000)=0,"",INDEX(周转筐出入库明细!$W$4:$W$2004,$Z115-2000)),IF($Z115&lt;=5200,IF(INDEX(客户自备加工筐明细!$L$4:$L$1203,$Z115-4000)=0,"",INDEX(客户自备加工筐明细!$L$4:$L$1203,$Z115-4000)),IF($Z115&lt;=5800,IF(INDEX(次果筐明细!$P$4:$P$603,$Z115-5200)=0,"",INDEX(次果筐明细!$P$4:$P$603,$Z115-5200)),"")))))</f>
        <v/>
      </c>
      <c r="N115" s="16" t="str">
        <f>IF($Z115="","",IF($Z115&lt;=2000,"",IF($Z115&lt;=4000,IF(INDEX(周转筐出入库明细!$D$4:$D$2004,$Z115-2000)=0,"",INDEX(周转筐出入库明细!$D$4:$D$2004,$Z115-2000)),IF($Z115&lt;=5200,IF(INDEX(客户自备加工筐明细!$C$4:$C$1203,$Z115-4000)=0,"",INDEX(客户自备加工筐明细!$C$4:$C$1203,$Z115-4000)),IF($Z115&lt;=5800,IF(INDEX(次果筐明细!$D$4:$D$603,$Z115-5200)=0,"",INDEX(次果筐明细!$D$4:$D$603,$Z115-5200)),"")))))</f>
        <v/>
      </c>
      <c r="O115" s="40" t="str">
        <f>IF($Z115="","",IF($Z115&lt;=2000,"",IF($Z115&lt;=4000,IF(N(INDEX(周转筐出入库明细!$J$4:$J$2004,$Z115-2000))+N(INDEX(周转筐出入库明细!$K$4:$K$2004,$Z115-2000))=0,"",N(INDEX(周转筐出入库明细!$J$4:$J$2004,$Z115-2000))+N(INDEX(周转筐出入库明细!$K$4:$K$2004,$Z115-2000))),IF($Z115&lt;=5200,IF(N(INDEX(客户自备加工筐明细!$G$4:$G$1203,$Z115-4000))=0,"",N(INDEX(客户自备加工筐明细!$G$4:$G$1203,$Z115-4000))),IF($Z115&lt;=5800,IF(ISNUMBER(SEARCH("退",INDEX(次果筐明细!$F$4:$F$603,$Z115-5200)&amp;"")),"",IF(N(INDEX(次果筐明细!$G$4:$G$603,$Z115-5200))=0,"",N(INDEX(次果筐明细!$G$4:$G$603,$Z115-5200)))),"")))))</f>
        <v/>
      </c>
      <c r="P115" s="40" t="str">
        <f>IF($Z115="","",IF($Z115&lt;=2000,"",IF($Z115&lt;=4000,IF(N(INDEX(周转筐出入库明细!$I$4:$I$2004,$Z115-2000))=0,"",N(INDEX(周转筐出入库明细!$I$4:$I$2004,$Z115-2000))),IF($Z115&lt;=5200,"",IF($Z115&lt;=5800,IF(ISNUMBER(SEARCH("退",INDEX(次果筐明细!$F$4:$F$603,$Z115-5200)&amp;"")),IF(N(INDEX(次果筐明细!$G$4:$G$603,$Z115-5200))=0,"",N(INDEX(次果筐明细!$G$4:$G$603,$Z115-5200))),""),"")))))</f>
        <v/>
      </c>
      <c r="Q115" s="40" t="str">
        <f>IF($Z115="","",IF($Z115&lt;=2000,"",IF($Z115&lt;=4000,IF(N(INDEX(周转筐出入库明细!$H$4:$H$2004,$Z115-2000))=0,"",N(INDEX(周转筐出入库明细!$H$4:$H$2004,$Z115-2000))),IF($Z115&lt;=5200,IF(N(INDEX(客户自备加工筐明细!$F$4:$F$1203,$Z115-4000))=0,"",N(INDEX(客户自备加工筐明细!$F$4:$F$1203,$Z115-4000))),IF($Z115&lt;=5800,"","")))))</f>
        <v/>
      </c>
      <c r="R115" s="16" t="str">
        <f>IF($Z115="","",IF($Z115&lt;=2000,IF(INDEX(包装物料出入库明细!$O$4:$O$2003,$Z115-0)=0,"",INDEX(包装物料出入库明细!$O$4:$O$2003,$Z115-0)),IF($Z115&lt;=4000,IF(INDEX(周转筐出入库明细!$M$4:$M$2004,$Z115-2000)=0,"",INDEX(周转筐出入库明细!$M$4:$M$2004,$Z115-2000)),IF($Z115&lt;=5200,IF(INDEX(客户自备加工筐明细!$H$4:$H$1203,$Z115-4000)=0,"",INDEX(客户自备加工筐明细!$H$4:$H$1203,$Z115-4000)),IF($Z115&lt;=5800,IF(INDEX(次果筐明细!$H$4:$H$603,$Z115-5200)=0,"",INDEX(次果筐明细!$H$4:$H$603,$Z115-5200)),"")))))</f>
        <v/>
      </c>
      <c r="S115" s="22" t="str">
        <f t="shared" si="5"/>
        <v/>
      </c>
      <c r="Z115" s="10" t="str">
        <f>IFERROR(MATCH(ROW()-3,_自动清单!$CQ$4:$CQ$5803,0),"")</f>
        <v/>
      </c>
    </row>
    <row r="116" spans="1:26">
      <c r="A116" s="24" t="str">
        <f t="shared" si="3"/>
        <v/>
      </c>
      <c r="B116" s="38" t="str">
        <f>IF($Z116="","",IF($Z116&lt;=2000,IF(INDEX(包装物料出入库明细!$B$4:$B$2003,$Z116-0)=0,"",INDEX(包装物料出入库明细!$B$4:$B$2003,$Z116-0)),IF($Z116&lt;=4000,IF(INDEX(周转筐出入库明细!$B$4:$B$2004,$Z116-2000)=0,"",INDEX(周转筐出入库明细!$B$4:$B$2004,$Z116-2000)),IF($Z116&lt;=5200,IF(INDEX(客户自备加工筐明细!$B$4:$B$1203,$Z116-4000)=0,"",INDEX(客户自备加工筐明细!$B$4:$B$1203,$Z116-4000)),IF($Z116&lt;=5800,IF(INDEX(次果筐明细!$B$4:$B$603,$Z116-5200)=0,"",INDEX(次果筐明细!$B$4:$B$603,$Z116-5200)),"")))))</f>
        <v/>
      </c>
      <c r="C116" s="37" t="str">
        <f>IF($Z116="","",IF($Z116&lt;=2000,IF(INDEX(包装物料出入库明细!$D$4:$D$2003,$Z116-0)=0,"",INDEX(包装物料出入库明细!$D$4:$D$2003,$Z116-0)),IF($Z116&lt;=4000,IF(INDEX(周转筐出入库明细!$C$4:$C$2004,$Z116-2000)=0,"",INDEX(周转筐出入库明细!$C$4:$C$2004,$Z116-2000)),IF($Z116&lt;=5200,IF(INDEX(客户自备加工筐明细!$E$4:$E$1203,$Z116-4000)=0,"",INDEX(客户自备加工筐明细!$E$4:$E$1203,$Z116-4000)),IF($Z116&lt;=5800,IF(INDEX(次果筐明细!$C$4:$C$603,$Z116-5200)=0,"",INDEX(次果筐明细!$C$4:$C$603,$Z116-5200)),"")))))</f>
        <v/>
      </c>
      <c r="D116" s="37" t="str">
        <f>IF($Z116="","",IF($Z116&lt;=2000,"包装物料－"&amp;INDEX(包装物料出入库明细!$H$4:$H$2003,$Z116-0),IF($Z116&lt;=4000,"周转筐－"&amp;INDEX(周转筐出入库明细!$F$4:$F$2004,$Z116-2000),IF($Z116&lt;=5200,"客户自备筐－"&amp;INDEX(客户自备加工筐明细!$J$4:$J$1203,$Z116-4000),IF($Z116&lt;=5800,"次果筐/托盘－"&amp;INDEX(次果筐明细!$F$4:$F$603,$Z116-5200),"")))))</f>
        <v/>
      </c>
      <c r="E116" s="24" t="str">
        <f>IF($Z116="","",IF($Z116&lt;=2000,IF(INDEX(包装物料出入库明细!$C$4:$C$2003,$Z116-0)=0,"",INDEX(包装物料出入库明细!$C$4:$C$2003,$Z116-0)),IF($Z116&lt;=4000,IF(INDEX(周转筐出入库明细!$E$4:$E$2004,$Z116-2000)=0,"",INDEX(周转筐出入库明细!$E$4:$E$2004,$Z116-2000)),IF($Z116&lt;=5200,IF(INDEX(客户自备加工筐明细!$D$4:$D$1203,$Z116-4000)=0,"",INDEX(客户自备加工筐明细!$D$4:$D$1203,$Z116-4000)),IF($Z116&lt;=5800,IF(INDEX(次果筐明细!$E$4:$E$603,$Z116-5200)=0,"",INDEX(次果筐明细!$E$4:$E$603,$Z116-5200)),"")))))</f>
        <v/>
      </c>
      <c r="F116" s="24" t="str">
        <f>IF($Z116="","",IF($Z116&lt;=2000,IF(INDEX(包装物料出入库明细!$E$4:$E$2003,$Z116-0)=0,"",INDEX(包装物料出入库明细!$E$4:$E$2003,$Z116-0)),IF($Z116&lt;=4000,IF(INDEX(周转筐出入库明细!$D$4:$D$2004,$Z116-2000)=0,"",INDEX(周转筐出入库明细!$D$4:$D$2004,$Z116-2000)),IF($Z116&lt;=5200,IF(INDEX(客户自备加工筐明细!$C$4:$C$1203,$Z116-4000)=0,"",INDEX(客户自备加工筐明细!$C$4:$C$1203,$Z116-4000)),IF($Z116&lt;=5800,IF(INDEX(次果筐明细!$D$4:$D$603,$Z116-5200)=0,"",INDEX(次果筐明细!$D$4:$D$603,$Z116-5200)),"")))))</f>
        <v/>
      </c>
      <c r="G116" s="24" t="str">
        <f>IF($Z116="","",IF($Z116&lt;=2000,IF(INDEX(包装物料出入库明细!$F$4:$F$2003,$Z116-0)=0,"",INDEX(包装物料出入库明细!$F$4:$F$2003,$Z116-0)),IF($Z116&lt;=4000,"",IF($Z116&lt;=5200,"",IF($Z116&lt;=5800,"","")))))</f>
        <v/>
      </c>
      <c r="H116" s="39" t="str">
        <f>IF($Z116="","",IF($Z116&lt;=2000,IF(INDEX(包装物料出入库明细!$L$4:$L$2003,$Z116-0)=0,"",INDEX(包装物料出入库明细!$L$4:$L$2003,$Z116-0)),IF($Z116&lt;=4000,N(INDEX(周转筐出入库明细!$H$4:$H$2004,$Z116-2000))+N(INDEX(周转筐出入库明细!$I$4:$I$2004,$Z116-2000))+N(INDEX(周转筐出入库明细!$J$4:$J$2004,$Z116-2000))+N(INDEX(周转筐出入库明细!$K$4:$K$2004,$Z116-2000)),IF($Z116&lt;=5200,N(INDEX(客户自备加工筐明细!$F$4:$F$1203,$Z116-4000))+N(INDEX(客户自备加工筐明细!$G$4:$G$1203,$Z116-4000)),IF($Z116&lt;=5800,IF(INDEX(次果筐明细!$G$4:$G$603,$Z116-5200)=0,"",INDEX(次果筐明细!$G$4:$G$603,$Z116-5200)),"")))))</f>
        <v/>
      </c>
      <c r="I116" s="24" t="str">
        <f>IF($Z116="","",IF($Z116&lt;=2000,IF(INDEX(包装物料出入库明细!$G$4:$G$2003,$Z116-0)=0,"",INDEX(包装物料出入库明细!$G$4:$G$2003,$Z116-0)),IF($Z116&lt;=4000,"个",IF($Z116&lt;=5200,"个",IF($Z116&lt;=5800,"个","")))))</f>
        <v/>
      </c>
      <c r="J116" s="30" t="str">
        <f t="shared" si="4"/>
        <v/>
      </c>
      <c r="K116" s="30" t="str">
        <f>IF($Z116="","",IF($Z116&lt;=2000,IF(INDEX(包装物料出入库明细!$N$4:$N$2003,$Z116-0)=0,"",INDEX(包装物料出入库明细!$N$4:$N$2003,$Z116-0)),IF($Z116&lt;=4000,IF(INDEX(周转筐出入库明细!$P$4:$P$2004,$Z116-2000)=0,"",INDEX(周转筐出入库明细!$P$4:$P$2004,$Z116-2000)),IF($Z116&lt;=5200,"",IF($Z116&lt;=5800,N(INDEX(次果筐明细!$L$4:$L$603,$Z116-5200))+N(INDEX(次果筐明细!$J$4:$J$603,$Z116-5200)),"")))))</f>
        <v/>
      </c>
      <c r="L116" s="24" t="str">
        <f>IF($Z116="","",IF($Z116&lt;=2000,IF(INDEX(包装物料出入库明细!$P$4:$P$2003,$Z116-0)=0,"",INDEX(包装物料出入库明细!$P$4:$P$2003,$Z116-0)),IF($Z116&lt;=4000,IF(INDEX(周转筐出入库明细!$Q$4:$Q$2004,$Z116-2000)=0,"",INDEX(周转筐出入库明细!$Q$4:$Q$2004,$Z116-2000)),IF($Z116&lt;=5200,"",IF($Z116&lt;=5800,IF(INDEX(次果筐明细!$M$4:$M$603,$Z116-5200)=0,"",INDEX(次果筐明细!$M$4:$M$603,$Z116-5200)),"")))))</f>
        <v/>
      </c>
      <c r="M116" s="37" t="str">
        <f>IF($Z116="","",IF($Z116&lt;=2000,IF(INDEX(包装物料出入库明细!$R$4:$R$2003,$Z116-0)=0,"",INDEX(包装物料出入库明细!$R$4:$R$2003,$Z116-0)),IF($Z116&lt;=4000,IF(INDEX(周转筐出入库明细!$W$4:$W$2004,$Z116-2000)=0,"",INDEX(周转筐出入库明细!$W$4:$W$2004,$Z116-2000)),IF($Z116&lt;=5200,IF(INDEX(客户自备加工筐明细!$L$4:$L$1203,$Z116-4000)=0,"",INDEX(客户自备加工筐明细!$L$4:$L$1203,$Z116-4000)),IF($Z116&lt;=5800,IF(INDEX(次果筐明细!$P$4:$P$603,$Z116-5200)=0,"",INDEX(次果筐明细!$P$4:$P$603,$Z116-5200)),"")))))</f>
        <v/>
      </c>
      <c r="N116" s="16" t="str">
        <f>IF($Z116="","",IF($Z116&lt;=2000,"",IF($Z116&lt;=4000,IF(INDEX(周转筐出入库明细!$D$4:$D$2004,$Z116-2000)=0,"",INDEX(周转筐出入库明细!$D$4:$D$2004,$Z116-2000)),IF($Z116&lt;=5200,IF(INDEX(客户自备加工筐明细!$C$4:$C$1203,$Z116-4000)=0,"",INDEX(客户自备加工筐明细!$C$4:$C$1203,$Z116-4000)),IF($Z116&lt;=5800,IF(INDEX(次果筐明细!$D$4:$D$603,$Z116-5200)=0,"",INDEX(次果筐明细!$D$4:$D$603,$Z116-5200)),"")))))</f>
        <v/>
      </c>
      <c r="O116" s="40" t="str">
        <f>IF($Z116="","",IF($Z116&lt;=2000,"",IF($Z116&lt;=4000,IF(N(INDEX(周转筐出入库明细!$J$4:$J$2004,$Z116-2000))+N(INDEX(周转筐出入库明细!$K$4:$K$2004,$Z116-2000))=0,"",N(INDEX(周转筐出入库明细!$J$4:$J$2004,$Z116-2000))+N(INDEX(周转筐出入库明细!$K$4:$K$2004,$Z116-2000))),IF($Z116&lt;=5200,IF(N(INDEX(客户自备加工筐明细!$G$4:$G$1203,$Z116-4000))=0,"",N(INDEX(客户自备加工筐明细!$G$4:$G$1203,$Z116-4000))),IF($Z116&lt;=5800,IF(ISNUMBER(SEARCH("退",INDEX(次果筐明细!$F$4:$F$603,$Z116-5200)&amp;"")),"",IF(N(INDEX(次果筐明细!$G$4:$G$603,$Z116-5200))=0,"",N(INDEX(次果筐明细!$G$4:$G$603,$Z116-5200)))),"")))))</f>
        <v/>
      </c>
      <c r="P116" s="40" t="str">
        <f>IF($Z116="","",IF($Z116&lt;=2000,"",IF($Z116&lt;=4000,IF(N(INDEX(周转筐出入库明细!$I$4:$I$2004,$Z116-2000))=0,"",N(INDEX(周转筐出入库明细!$I$4:$I$2004,$Z116-2000))),IF($Z116&lt;=5200,"",IF($Z116&lt;=5800,IF(ISNUMBER(SEARCH("退",INDEX(次果筐明细!$F$4:$F$603,$Z116-5200)&amp;"")),IF(N(INDEX(次果筐明细!$G$4:$G$603,$Z116-5200))=0,"",N(INDEX(次果筐明细!$G$4:$G$603,$Z116-5200))),""),"")))))</f>
        <v/>
      </c>
      <c r="Q116" s="40" t="str">
        <f>IF($Z116="","",IF($Z116&lt;=2000,"",IF($Z116&lt;=4000,IF(N(INDEX(周转筐出入库明细!$H$4:$H$2004,$Z116-2000))=0,"",N(INDEX(周转筐出入库明细!$H$4:$H$2004,$Z116-2000))),IF($Z116&lt;=5200,IF(N(INDEX(客户自备加工筐明细!$F$4:$F$1203,$Z116-4000))=0,"",N(INDEX(客户自备加工筐明细!$F$4:$F$1203,$Z116-4000))),IF($Z116&lt;=5800,"","")))))</f>
        <v/>
      </c>
      <c r="R116" s="16" t="str">
        <f>IF($Z116="","",IF($Z116&lt;=2000,IF(INDEX(包装物料出入库明细!$O$4:$O$2003,$Z116-0)=0,"",INDEX(包装物料出入库明细!$O$4:$O$2003,$Z116-0)),IF($Z116&lt;=4000,IF(INDEX(周转筐出入库明细!$M$4:$M$2004,$Z116-2000)=0,"",INDEX(周转筐出入库明细!$M$4:$M$2004,$Z116-2000)),IF($Z116&lt;=5200,IF(INDEX(客户自备加工筐明细!$H$4:$H$1203,$Z116-4000)=0,"",INDEX(客户自备加工筐明细!$H$4:$H$1203,$Z116-4000)),IF($Z116&lt;=5800,IF(INDEX(次果筐明细!$H$4:$H$603,$Z116-5200)=0,"",INDEX(次果筐明细!$H$4:$H$603,$Z116-5200)),"")))))</f>
        <v/>
      </c>
      <c r="S116" s="22" t="str">
        <f t="shared" si="5"/>
        <v/>
      </c>
      <c r="Z116" s="10" t="str">
        <f>IFERROR(MATCH(ROW()-3,_自动清单!$CQ$4:$CQ$5803,0),"")</f>
        <v/>
      </c>
    </row>
    <row r="117" spans="1:26">
      <c r="A117" s="24" t="str">
        <f t="shared" si="3"/>
        <v/>
      </c>
      <c r="B117" s="38" t="str">
        <f>IF($Z117="","",IF($Z117&lt;=2000,IF(INDEX(包装物料出入库明细!$B$4:$B$2003,$Z117-0)=0,"",INDEX(包装物料出入库明细!$B$4:$B$2003,$Z117-0)),IF($Z117&lt;=4000,IF(INDEX(周转筐出入库明细!$B$4:$B$2004,$Z117-2000)=0,"",INDEX(周转筐出入库明细!$B$4:$B$2004,$Z117-2000)),IF($Z117&lt;=5200,IF(INDEX(客户自备加工筐明细!$B$4:$B$1203,$Z117-4000)=0,"",INDEX(客户自备加工筐明细!$B$4:$B$1203,$Z117-4000)),IF($Z117&lt;=5800,IF(INDEX(次果筐明细!$B$4:$B$603,$Z117-5200)=0,"",INDEX(次果筐明细!$B$4:$B$603,$Z117-5200)),"")))))</f>
        <v/>
      </c>
      <c r="C117" s="37" t="str">
        <f>IF($Z117="","",IF($Z117&lt;=2000,IF(INDEX(包装物料出入库明细!$D$4:$D$2003,$Z117-0)=0,"",INDEX(包装物料出入库明细!$D$4:$D$2003,$Z117-0)),IF($Z117&lt;=4000,IF(INDEX(周转筐出入库明细!$C$4:$C$2004,$Z117-2000)=0,"",INDEX(周转筐出入库明细!$C$4:$C$2004,$Z117-2000)),IF($Z117&lt;=5200,IF(INDEX(客户自备加工筐明细!$E$4:$E$1203,$Z117-4000)=0,"",INDEX(客户自备加工筐明细!$E$4:$E$1203,$Z117-4000)),IF($Z117&lt;=5800,IF(INDEX(次果筐明细!$C$4:$C$603,$Z117-5200)=0,"",INDEX(次果筐明细!$C$4:$C$603,$Z117-5200)),"")))))</f>
        <v/>
      </c>
      <c r="D117" s="37" t="str">
        <f>IF($Z117="","",IF($Z117&lt;=2000,"包装物料－"&amp;INDEX(包装物料出入库明细!$H$4:$H$2003,$Z117-0),IF($Z117&lt;=4000,"周转筐－"&amp;INDEX(周转筐出入库明细!$F$4:$F$2004,$Z117-2000),IF($Z117&lt;=5200,"客户自备筐－"&amp;INDEX(客户自备加工筐明细!$J$4:$J$1203,$Z117-4000),IF($Z117&lt;=5800,"次果筐/托盘－"&amp;INDEX(次果筐明细!$F$4:$F$603,$Z117-5200),"")))))</f>
        <v/>
      </c>
      <c r="E117" s="24" t="str">
        <f>IF($Z117="","",IF($Z117&lt;=2000,IF(INDEX(包装物料出入库明细!$C$4:$C$2003,$Z117-0)=0,"",INDEX(包装物料出入库明细!$C$4:$C$2003,$Z117-0)),IF($Z117&lt;=4000,IF(INDEX(周转筐出入库明细!$E$4:$E$2004,$Z117-2000)=0,"",INDEX(周转筐出入库明细!$E$4:$E$2004,$Z117-2000)),IF($Z117&lt;=5200,IF(INDEX(客户自备加工筐明细!$D$4:$D$1203,$Z117-4000)=0,"",INDEX(客户自备加工筐明细!$D$4:$D$1203,$Z117-4000)),IF($Z117&lt;=5800,IF(INDEX(次果筐明细!$E$4:$E$603,$Z117-5200)=0,"",INDEX(次果筐明细!$E$4:$E$603,$Z117-5200)),"")))))</f>
        <v/>
      </c>
      <c r="F117" s="24" t="str">
        <f>IF($Z117="","",IF($Z117&lt;=2000,IF(INDEX(包装物料出入库明细!$E$4:$E$2003,$Z117-0)=0,"",INDEX(包装物料出入库明细!$E$4:$E$2003,$Z117-0)),IF($Z117&lt;=4000,IF(INDEX(周转筐出入库明细!$D$4:$D$2004,$Z117-2000)=0,"",INDEX(周转筐出入库明细!$D$4:$D$2004,$Z117-2000)),IF($Z117&lt;=5200,IF(INDEX(客户自备加工筐明细!$C$4:$C$1203,$Z117-4000)=0,"",INDEX(客户自备加工筐明细!$C$4:$C$1203,$Z117-4000)),IF($Z117&lt;=5800,IF(INDEX(次果筐明细!$D$4:$D$603,$Z117-5200)=0,"",INDEX(次果筐明细!$D$4:$D$603,$Z117-5200)),"")))))</f>
        <v/>
      </c>
      <c r="G117" s="24" t="str">
        <f>IF($Z117="","",IF($Z117&lt;=2000,IF(INDEX(包装物料出入库明细!$F$4:$F$2003,$Z117-0)=0,"",INDEX(包装物料出入库明细!$F$4:$F$2003,$Z117-0)),IF($Z117&lt;=4000,"",IF($Z117&lt;=5200,"",IF($Z117&lt;=5800,"","")))))</f>
        <v/>
      </c>
      <c r="H117" s="39" t="str">
        <f>IF($Z117="","",IF($Z117&lt;=2000,IF(INDEX(包装物料出入库明细!$L$4:$L$2003,$Z117-0)=0,"",INDEX(包装物料出入库明细!$L$4:$L$2003,$Z117-0)),IF($Z117&lt;=4000,N(INDEX(周转筐出入库明细!$H$4:$H$2004,$Z117-2000))+N(INDEX(周转筐出入库明细!$I$4:$I$2004,$Z117-2000))+N(INDEX(周转筐出入库明细!$J$4:$J$2004,$Z117-2000))+N(INDEX(周转筐出入库明细!$K$4:$K$2004,$Z117-2000)),IF($Z117&lt;=5200,N(INDEX(客户自备加工筐明细!$F$4:$F$1203,$Z117-4000))+N(INDEX(客户自备加工筐明细!$G$4:$G$1203,$Z117-4000)),IF($Z117&lt;=5800,IF(INDEX(次果筐明细!$G$4:$G$603,$Z117-5200)=0,"",INDEX(次果筐明细!$G$4:$G$603,$Z117-5200)),"")))))</f>
        <v/>
      </c>
      <c r="I117" s="24" t="str">
        <f>IF($Z117="","",IF($Z117&lt;=2000,IF(INDEX(包装物料出入库明细!$G$4:$G$2003,$Z117-0)=0,"",INDEX(包装物料出入库明细!$G$4:$G$2003,$Z117-0)),IF($Z117&lt;=4000,"个",IF($Z117&lt;=5200,"个",IF($Z117&lt;=5800,"个","")))))</f>
        <v/>
      </c>
      <c r="J117" s="30" t="str">
        <f t="shared" si="4"/>
        <v/>
      </c>
      <c r="K117" s="30" t="str">
        <f>IF($Z117="","",IF($Z117&lt;=2000,IF(INDEX(包装物料出入库明细!$N$4:$N$2003,$Z117-0)=0,"",INDEX(包装物料出入库明细!$N$4:$N$2003,$Z117-0)),IF($Z117&lt;=4000,IF(INDEX(周转筐出入库明细!$P$4:$P$2004,$Z117-2000)=0,"",INDEX(周转筐出入库明细!$P$4:$P$2004,$Z117-2000)),IF($Z117&lt;=5200,"",IF($Z117&lt;=5800,N(INDEX(次果筐明细!$L$4:$L$603,$Z117-5200))+N(INDEX(次果筐明细!$J$4:$J$603,$Z117-5200)),"")))))</f>
        <v/>
      </c>
      <c r="L117" s="24" t="str">
        <f>IF($Z117="","",IF($Z117&lt;=2000,IF(INDEX(包装物料出入库明细!$P$4:$P$2003,$Z117-0)=0,"",INDEX(包装物料出入库明细!$P$4:$P$2003,$Z117-0)),IF($Z117&lt;=4000,IF(INDEX(周转筐出入库明细!$Q$4:$Q$2004,$Z117-2000)=0,"",INDEX(周转筐出入库明细!$Q$4:$Q$2004,$Z117-2000)),IF($Z117&lt;=5200,"",IF($Z117&lt;=5800,IF(INDEX(次果筐明细!$M$4:$M$603,$Z117-5200)=0,"",INDEX(次果筐明细!$M$4:$M$603,$Z117-5200)),"")))))</f>
        <v/>
      </c>
      <c r="M117" s="37" t="str">
        <f>IF($Z117="","",IF($Z117&lt;=2000,IF(INDEX(包装物料出入库明细!$R$4:$R$2003,$Z117-0)=0,"",INDEX(包装物料出入库明细!$R$4:$R$2003,$Z117-0)),IF($Z117&lt;=4000,IF(INDEX(周转筐出入库明细!$W$4:$W$2004,$Z117-2000)=0,"",INDEX(周转筐出入库明细!$W$4:$W$2004,$Z117-2000)),IF($Z117&lt;=5200,IF(INDEX(客户自备加工筐明细!$L$4:$L$1203,$Z117-4000)=0,"",INDEX(客户自备加工筐明细!$L$4:$L$1203,$Z117-4000)),IF($Z117&lt;=5800,IF(INDEX(次果筐明细!$P$4:$P$603,$Z117-5200)=0,"",INDEX(次果筐明细!$P$4:$P$603,$Z117-5200)),"")))))</f>
        <v/>
      </c>
      <c r="N117" s="16" t="str">
        <f>IF($Z117="","",IF($Z117&lt;=2000,"",IF($Z117&lt;=4000,IF(INDEX(周转筐出入库明细!$D$4:$D$2004,$Z117-2000)=0,"",INDEX(周转筐出入库明细!$D$4:$D$2004,$Z117-2000)),IF($Z117&lt;=5200,IF(INDEX(客户自备加工筐明细!$C$4:$C$1203,$Z117-4000)=0,"",INDEX(客户自备加工筐明细!$C$4:$C$1203,$Z117-4000)),IF($Z117&lt;=5800,IF(INDEX(次果筐明细!$D$4:$D$603,$Z117-5200)=0,"",INDEX(次果筐明细!$D$4:$D$603,$Z117-5200)),"")))))</f>
        <v/>
      </c>
      <c r="O117" s="40" t="str">
        <f>IF($Z117="","",IF($Z117&lt;=2000,"",IF($Z117&lt;=4000,IF(N(INDEX(周转筐出入库明细!$J$4:$J$2004,$Z117-2000))+N(INDEX(周转筐出入库明细!$K$4:$K$2004,$Z117-2000))=0,"",N(INDEX(周转筐出入库明细!$J$4:$J$2004,$Z117-2000))+N(INDEX(周转筐出入库明细!$K$4:$K$2004,$Z117-2000))),IF($Z117&lt;=5200,IF(N(INDEX(客户自备加工筐明细!$G$4:$G$1203,$Z117-4000))=0,"",N(INDEX(客户自备加工筐明细!$G$4:$G$1203,$Z117-4000))),IF($Z117&lt;=5800,IF(ISNUMBER(SEARCH("退",INDEX(次果筐明细!$F$4:$F$603,$Z117-5200)&amp;"")),"",IF(N(INDEX(次果筐明细!$G$4:$G$603,$Z117-5200))=0,"",N(INDEX(次果筐明细!$G$4:$G$603,$Z117-5200)))),"")))))</f>
        <v/>
      </c>
      <c r="P117" s="40" t="str">
        <f>IF($Z117="","",IF($Z117&lt;=2000,"",IF($Z117&lt;=4000,IF(N(INDEX(周转筐出入库明细!$I$4:$I$2004,$Z117-2000))=0,"",N(INDEX(周转筐出入库明细!$I$4:$I$2004,$Z117-2000))),IF($Z117&lt;=5200,"",IF($Z117&lt;=5800,IF(ISNUMBER(SEARCH("退",INDEX(次果筐明细!$F$4:$F$603,$Z117-5200)&amp;"")),IF(N(INDEX(次果筐明细!$G$4:$G$603,$Z117-5200))=0,"",N(INDEX(次果筐明细!$G$4:$G$603,$Z117-5200))),""),"")))))</f>
        <v/>
      </c>
      <c r="Q117" s="40" t="str">
        <f>IF($Z117="","",IF($Z117&lt;=2000,"",IF($Z117&lt;=4000,IF(N(INDEX(周转筐出入库明细!$H$4:$H$2004,$Z117-2000))=0,"",N(INDEX(周转筐出入库明细!$H$4:$H$2004,$Z117-2000))),IF($Z117&lt;=5200,IF(N(INDEX(客户自备加工筐明细!$F$4:$F$1203,$Z117-4000))=0,"",N(INDEX(客户自备加工筐明细!$F$4:$F$1203,$Z117-4000))),IF($Z117&lt;=5800,"","")))))</f>
        <v/>
      </c>
      <c r="R117" s="16" t="str">
        <f>IF($Z117="","",IF($Z117&lt;=2000,IF(INDEX(包装物料出入库明细!$O$4:$O$2003,$Z117-0)=0,"",INDEX(包装物料出入库明细!$O$4:$O$2003,$Z117-0)),IF($Z117&lt;=4000,IF(INDEX(周转筐出入库明细!$M$4:$M$2004,$Z117-2000)=0,"",INDEX(周转筐出入库明细!$M$4:$M$2004,$Z117-2000)),IF($Z117&lt;=5200,IF(INDEX(客户自备加工筐明细!$H$4:$H$1203,$Z117-4000)=0,"",INDEX(客户自备加工筐明细!$H$4:$H$1203,$Z117-4000)),IF($Z117&lt;=5800,IF(INDEX(次果筐明细!$H$4:$H$603,$Z117-5200)=0,"",INDEX(次果筐明细!$H$4:$H$603,$Z117-5200)),"")))))</f>
        <v/>
      </c>
      <c r="S117" s="22" t="str">
        <f t="shared" si="5"/>
        <v/>
      </c>
      <c r="Z117" s="10" t="str">
        <f>IFERROR(MATCH(ROW()-3,_自动清单!$CQ$4:$CQ$5803,0),"")</f>
        <v/>
      </c>
    </row>
    <row r="118" spans="1:26">
      <c r="A118" s="24" t="str">
        <f t="shared" si="3"/>
        <v/>
      </c>
      <c r="B118" s="38" t="str">
        <f>IF($Z118="","",IF($Z118&lt;=2000,IF(INDEX(包装物料出入库明细!$B$4:$B$2003,$Z118-0)=0,"",INDEX(包装物料出入库明细!$B$4:$B$2003,$Z118-0)),IF($Z118&lt;=4000,IF(INDEX(周转筐出入库明细!$B$4:$B$2004,$Z118-2000)=0,"",INDEX(周转筐出入库明细!$B$4:$B$2004,$Z118-2000)),IF($Z118&lt;=5200,IF(INDEX(客户自备加工筐明细!$B$4:$B$1203,$Z118-4000)=0,"",INDEX(客户自备加工筐明细!$B$4:$B$1203,$Z118-4000)),IF($Z118&lt;=5800,IF(INDEX(次果筐明细!$B$4:$B$603,$Z118-5200)=0,"",INDEX(次果筐明细!$B$4:$B$603,$Z118-5200)),"")))))</f>
        <v/>
      </c>
      <c r="C118" s="37" t="str">
        <f>IF($Z118="","",IF($Z118&lt;=2000,IF(INDEX(包装物料出入库明细!$D$4:$D$2003,$Z118-0)=0,"",INDEX(包装物料出入库明细!$D$4:$D$2003,$Z118-0)),IF($Z118&lt;=4000,IF(INDEX(周转筐出入库明细!$C$4:$C$2004,$Z118-2000)=0,"",INDEX(周转筐出入库明细!$C$4:$C$2004,$Z118-2000)),IF($Z118&lt;=5200,IF(INDEX(客户自备加工筐明细!$E$4:$E$1203,$Z118-4000)=0,"",INDEX(客户自备加工筐明细!$E$4:$E$1203,$Z118-4000)),IF($Z118&lt;=5800,IF(INDEX(次果筐明细!$C$4:$C$603,$Z118-5200)=0,"",INDEX(次果筐明细!$C$4:$C$603,$Z118-5200)),"")))))</f>
        <v/>
      </c>
      <c r="D118" s="37" t="str">
        <f>IF($Z118="","",IF($Z118&lt;=2000,"包装物料－"&amp;INDEX(包装物料出入库明细!$H$4:$H$2003,$Z118-0),IF($Z118&lt;=4000,"周转筐－"&amp;INDEX(周转筐出入库明细!$F$4:$F$2004,$Z118-2000),IF($Z118&lt;=5200,"客户自备筐－"&amp;INDEX(客户自备加工筐明细!$J$4:$J$1203,$Z118-4000),IF($Z118&lt;=5800,"次果筐/托盘－"&amp;INDEX(次果筐明细!$F$4:$F$603,$Z118-5200),"")))))</f>
        <v/>
      </c>
      <c r="E118" s="24" t="str">
        <f>IF($Z118="","",IF($Z118&lt;=2000,IF(INDEX(包装物料出入库明细!$C$4:$C$2003,$Z118-0)=0,"",INDEX(包装物料出入库明细!$C$4:$C$2003,$Z118-0)),IF($Z118&lt;=4000,IF(INDEX(周转筐出入库明细!$E$4:$E$2004,$Z118-2000)=0,"",INDEX(周转筐出入库明细!$E$4:$E$2004,$Z118-2000)),IF($Z118&lt;=5200,IF(INDEX(客户自备加工筐明细!$D$4:$D$1203,$Z118-4000)=0,"",INDEX(客户自备加工筐明细!$D$4:$D$1203,$Z118-4000)),IF($Z118&lt;=5800,IF(INDEX(次果筐明细!$E$4:$E$603,$Z118-5200)=0,"",INDEX(次果筐明细!$E$4:$E$603,$Z118-5200)),"")))))</f>
        <v/>
      </c>
      <c r="F118" s="24" t="str">
        <f>IF($Z118="","",IF($Z118&lt;=2000,IF(INDEX(包装物料出入库明细!$E$4:$E$2003,$Z118-0)=0,"",INDEX(包装物料出入库明细!$E$4:$E$2003,$Z118-0)),IF($Z118&lt;=4000,IF(INDEX(周转筐出入库明细!$D$4:$D$2004,$Z118-2000)=0,"",INDEX(周转筐出入库明细!$D$4:$D$2004,$Z118-2000)),IF($Z118&lt;=5200,IF(INDEX(客户自备加工筐明细!$C$4:$C$1203,$Z118-4000)=0,"",INDEX(客户自备加工筐明细!$C$4:$C$1203,$Z118-4000)),IF($Z118&lt;=5800,IF(INDEX(次果筐明细!$D$4:$D$603,$Z118-5200)=0,"",INDEX(次果筐明细!$D$4:$D$603,$Z118-5200)),"")))))</f>
        <v/>
      </c>
      <c r="G118" s="24" t="str">
        <f>IF($Z118="","",IF($Z118&lt;=2000,IF(INDEX(包装物料出入库明细!$F$4:$F$2003,$Z118-0)=0,"",INDEX(包装物料出入库明细!$F$4:$F$2003,$Z118-0)),IF($Z118&lt;=4000,"",IF($Z118&lt;=5200,"",IF($Z118&lt;=5800,"","")))))</f>
        <v/>
      </c>
      <c r="H118" s="39" t="str">
        <f>IF($Z118="","",IF($Z118&lt;=2000,IF(INDEX(包装物料出入库明细!$L$4:$L$2003,$Z118-0)=0,"",INDEX(包装物料出入库明细!$L$4:$L$2003,$Z118-0)),IF($Z118&lt;=4000,N(INDEX(周转筐出入库明细!$H$4:$H$2004,$Z118-2000))+N(INDEX(周转筐出入库明细!$I$4:$I$2004,$Z118-2000))+N(INDEX(周转筐出入库明细!$J$4:$J$2004,$Z118-2000))+N(INDEX(周转筐出入库明细!$K$4:$K$2004,$Z118-2000)),IF($Z118&lt;=5200,N(INDEX(客户自备加工筐明细!$F$4:$F$1203,$Z118-4000))+N(INDEX(客户自备加工筐明细!$G$4:$G$1203,$Z118-4000)),IF($Z118&lt;=5800,IF(INDEX(次果筐明细!$G$4:$G$603,$Z118-5200)=0,"",INDEX(次果筐明细!$G$4:$G$603,$Z118-5200)),"")))))</f>
        <v/>
      </c>
      <c r="I118" s="24" t="str">
        <f>IF($Z118="","",IF($Z118&lt;=2000,IF(INDEX(包装物料出入库明细!$G$4:$G$2003,$Z118-0)=0,"",INDEX(包装物料出入库明细!$G$4:$G$2003,$Z118-0)),IF($Z118&lt;=4000,"个",IF($Z118&lt;=5200,"个",IF($Z118&lt;=5800,"个","")))))</f>
        <v/>
      </c>
      <c r="J118" s="30" t="str">
        <f t="shared" si="4"/>
        <v/>
      </c>
      <c r="K118" s="30" t="str">
        <f>IF($Z118="","",IF($Z118&lt;=2000,IF(INDEX(包装物料出入库明细!$N$4:$N$2003,$Z118-0)=0,"",INDEX(包装物料出入库明细!$N$4:$N$2003,$Z118-0)),IF($Z118&lt;=4000,IF(INDEX(周转筐出入库明细!$P$4:$P$2004,$Z118-2000)=0,"",INDEX(周转筐出入库明细!$P$4:$P$2004,$Z118-2000)),IF($Z118&lt;=5200,"",IF($Z118&lt;=5800,N(INDEX(次果筐明细!$L$4:$L$603,$Z118-5200))+N(INDEX(次果筐明细!$J$4:$J$603,$Z118-5200)),"")))))</f>
        <v/>
      </c>
      <c r="L118" s="24" t="str">
        <f>IF($Z118="","",IF($Z118&lt;=2000,IF(INDEX(包装物料出入库明细!$P$4:$P$2003,$Z118-0)=0,"",INDEX(包装物料出入库明细!$P$4:$P$2003,$Z118-0)),IF($Z118&lt;=4000,IF(INDEX(周转筐出入库明细!$Q$4:$Q$2004,$Z118-2000)=0,"",INDEX(周转筐出入库明细!$Q$4:$Q$2004,$Z118-2000)),IF($Z118&lt;=5200,"",IF($Z118&lt;=5800,IF(INDEX(次果筐明细!$M$4:$M$603,$Z118-5200)=0,"",INDEX(次果筐明细!$M$4:$M$603,$Z118-5200)),"")))))</f>
        <v/>
      </c>
      <c r="M118" s="37" t="str">
        <f>IF($Z118="","",IF($Z118&lt;=2000,IF(INDEX(包装物料出入库明细!$R$4:$R$2003,$Z118-0)=0,"",INDEX(包装物料出入库明细!$R$4:$R$2003,$Z118-0)),IF($Z118&lt;=4000,IF(INDEX(周转筐出入库明细!$W$4:$W$2004,$Z118-2000)=0,"",INDEX(周转筐出入库明细!$W$4:$W$2004,$Z118-2000)),IF($Z118&lt;=5200,IF(INDEX(客户自备加工筐明细!$L$4:$L$1203,$Z118-4000)=0,"",INDEX(客户自备加工筐明细!$L$4:$L$1203,$Z118-4000)),IF($Z118&lt;=5800,IF(INDEX(次果筐明细!$P$4:$P$603,$Z118-5200)=0,"",INDEX(次果筐明细!$P$4:$P$603,$Z118-5200)),"")))))</f>
        <v/>
      </c>
      <c r="N118" s="16" t="str">
        <f>IF($Z118="","",IF($Z118&lt;=2000,"",IF($Z118&lt;=4000,IF(INDEX(周转筐出入库明细!$D$4:$D$2004,$Z118-2000)=0,"",INDEX(周转筐出入库明细!$D$4:$D$2004,$Z118-2000)),IF($Z118&lt;=5200,IF(INDEX(客户自备加工筐明细!$C$4:$C$1203,$Z118-4000)=0,"",INDEX(客户自备加工筐明细!$C$4:$C$1203,$Z118-4000)),IF($Z118&lt;=5800,IF(INDEX(次果筐明细!$D$4:$D$603,$Z118-5200)=0,"",INDEX(次果筐明细!$D$4:$D$603,$Z118-5200)),"")))))</f>
        <v/>
      </c>
      <c r="O118" s="40" t="str">
        <f>IF($Z118="","",IF($Z118&lt;=2000,"",IF($Z118&lt;=4000,IF(N(INDEX(周转筐出入库明细!$J$4:$J$2004,$Z118-2000))+N(INDEX(周转筐出入库明细!$K$4:$K$2004,$Z118-2000))=0,"",N(INDEX(周转筐出入库明细!$J$4:$J$2004,$Z118-2000))+N(INDEX(周转筐出入库明细!$K$4:$K$2004,$Z118-2000))),IF($Z118&lt;=5200,IF(N(INDEX(客户自备加工筐明细!$G$4:$G$1203,$Z118-4000))=0,"",N(INDEX(客户自备加工筐明细!$G$4:$G$1203,$Z118-4000))),IF($Z118&lt;=5800,IF(ISNUMBER(SEARCH("退",INDEX(次果筐明细!$F$4:$F$603,$Z118-5200)&amp;"")),"",IF(N(INDEX(次果筐明细!$G$4:$G$603,$Z118-5200))=0,"",N(INDEX(次果筐明细!$G$4:$G$603,$Z118-5200)))),"")))))</f>
        <v/>
      </c>
      <c r="P118" s="40" t="str">
        <f>IF($Z118="","",IF($Z118&lt;=2000,"",IF($Z118&lt;=4000,IF(N(INDEX(周转筐出入库明细!$I$4:$I$2004,$Z118-2000))=0,"",N(INDEX(周转筐出入库明细!$I$4:$I$2004,$Z118-2000))),IF($Z118&lt;=5200,"",IF($Z118&lt;=5800,IF(ISNUMBER(SEARCH("退",INDEX(次果筐明细!$F$4:$F$603,$Z118-5200)&amp;"")),IF(N(INDEX(次果筐明细!$G$4:$G$603,$Z118-5200))=0,"",N(INDEX(次果筐明细!$G$4:$G$603,$Z118-5200))),""),"")))))</f>
        <v/>
      </c>
      <c r="Q118" s="40" t="str">
        <f>IF($Z118="","",IF($Z118&lt;=2000,"",IF($Z118&lt;=4000,IF(N(INDEX(周转筐出入库明细!$H$4:$H$2004,$Z118-2000))=0,"",N(INDEX(周转筐出入库明细!$H$4:$H$2004,$Z118-2000))),IF($Z118&lt;=5200,IF(N(INDEX(客户自备加工筐明细!$F$4:$F$1203,$Z118-4000))=0,"",N(INDEX(客户自备加工筐明细!$F$4:$F$1203,$Z118-4000))),IF($Z118&lt;=5800,"","")))))</f>
        <v/>
      </c>
      <c r="R118" s="16" t="str">
        <f>IF($Z118="","",IF($Z118&lt;=2000,IF(INDEX(包装物料出入库明细!$O$4:$O$2003,$Z118-0)=0,"",INDEX(包装物料出入库明细!$O$4:$O$2003,$Z118-0)),IF($Z118&lt;=4000,IF(INDEX(周转筐出入库明细!$M$4:$M$2004,$Z118-2000)=0,"",INDEX(周转筐出入库明细!$M$4:$M$2004,$Z118-2000)),IF($Z118&lt;=5200,IF(INDEX(客户自备加工筐明细!$H$4:$H$1203,$Z118-4000)=0,"",INDEX(客户自备加工筐明细!$H$4:$H$1203,$Z118-4000)),IF($Z118&lt;=5800,IF(INDEX(次果筐明细!$H$4:$H$603,$Z118-5200)=0,"",INDEX(次果筐明细!$H$4:$H$603,$Z118-5200)),"")))))</f>
        <v/>
      </c>
      <c r="S118" s="22" t="str">
        <f t="shared" si="5"/>
        <v/>
      </c>
      <c r="Z118" s="10" t="str">
        <f>IFERROR(MATCH(ROW()-3,_自动清单!$CQ$4:$CQ$5803,0),"")</f>
        <v/>
      </c>
    </row>
    <row r="119" spans="1:26">
      <c r="A119" s="24" t="str">
        <f t="shared" si="3"/>
        <v/>
      </c>
      <c r="B119" s="38" t="str">
        <f>IF($Z119="","",IF($Z119&lt;=2000,IF(INDEX(包装物料出入库明细!$B$4:$B$2003,$Z119-0)=0,"",INDEX(包装物料出入库明细!$B$4:$B$2003,$Z119-0)),IF($Z119&lt;=4000,IF(INDEX(周转筐出入库明细!$B$4:$B$2004,$Z119-2000)=0,"",INDEX(周转筐出入库明细!$B$4:$B$2004,$Z119-2000)),IF($Z119&lt;=5200,IF(INDEX(客户自备加工筐明细!$B$4:$B$1203,$Z119-4000)=0,"",INDEX(客户自备加工筐明细!$B$4:$B$1203,$Z119-4000)),IF($Z119&lt;=5800,IF(INDEX(次果筐明细!$B$4:$B$603,$Z119-5200)=0,"",INDEX(次果筐明细!$B$4:$B$603,$Z119-5200)),"")))))</f>
        <v/>
      </c>
      <c r="C119" s="37" t="str">
        <f>IF($Z119="","",IF($Z119&lt;=2000,IF(INDEX(包装物料出入库明细!$D$4:$D$2003,$Z119-0)=0,"",INDEX(包装物料出入库明细!$D$4:$D$2003,$Z119-0)),IF($Z119&lt;=4000,IF(INDEX(周转筐出入库明细!$C$4:$C$2004,$Z119-2000)=0,"",INDEX(周转筐出入库明细!$C$4:$C$2004,$Z119-2000)),IF($Z119&lt;=5200,IF(INDEX(客户自备加工筐明细!$E$4:$E$1203,$Z119-4000)=0,"",INDEX(客户自备加工筐明细!$E$4:$E$1203,$Z119-4000)),IF($Z119&lt;=5800,IF(INDEX(次果筐明细!$C$4:$C$603,$Z119-5200)=0,"",INDEX(次果筐明细!$C$4:$C$603,$Z119-5200)),"")))))</f>
        <v/>
      </c>
      <c r="D119" s="37" t="str">
        <f>IF($Z119="","",IF($Z119&lt;=2000,"包装物料－"&amp;INDEX(包装物料出入库明细!$H$4:$H$2003,$Z119-0),IF($Z119&lt;=4000,"周转筐－"&amp;INDEX(周转筐出入库明细!$F$4:$F$2004,$Z119-2000),IF($Z119&lt;=5200,"客户自备筐－"&amp;INDEX(客户自备加工筐明细!$J$4:$J$1203,$Z119-4000),IF($Z119&lt;=5800,"次果筐/托盘－"&amp;INDEX(次果筐明细!$F$4:$F$603,$Z119-5200),"")))))</f>
        <v/>
      </c>
      <c r="E119" s="24" t="str">
        <f>IF($Z119="","",IF($Z119&lt;=2000,IF(INDEX(包装物料出入库明细!$C$4:$C$2003,$Z119-0)=0,"",INDEX(包装物料出入库明细!$C$4:$C$2003,$Z119-0)),IF($Z119&lt;=4000,IF(INDEX(周转筐出入库明细!$E$4:$E$2004,$Z119-2000)=0,"",INDEX(周转筐出入库明细!$E$4:$E$2004,$Z119-2000)),IF($Z119&lt;=5200,IF(INDEX(客户自备加工筐明细!$D$4:$D$1203,$Z119-4000)=0,"",INDEX(客户自备加工筐明细!$D$4:$D$1203,$Z119-4000)),IF($Z119&lt;=5800,IF(INDEX(次果筐明细!$E$4:$E$603,$Z119-5200)=0,"",INDEX(次果筐明细!$E$4:$E$603,$Z119-5200)),"")))))</f>
        <v/>
      </c>
      <c r="F119" s="24" t="str">
        <f>IF($Z119="","",IF($Z119&lt;=2000,IF(INDEX(包装物料出入库明细!$E$4:$E$2003,$Z119-0)=0,"",INDEX(包装物料出入库明细!$E$4:$E$2003,$Z119-0)),IF($Z119&lt;=4000,IF(INDEX(周转筐出入库明细!$D$4:$D$2004,$Z119-2000)=0,"",INDEX(周转筐出入库明细!$D$4:$D$2004,$Z119-2000)),IF($Z119&lt;=5200,IF(INDEX(客户自备加工筐明细!$C$4:$C$1203,$Z119-4000)=0,"",INDEX(客户自备加工筐明细!$C$4:$C$1203,$Z119-4000)),IF($Z119&lt;=5800,IF(INDEX(次果筐明细!$D$4:$D$603,$Z119-5200)=0,"",INDEX(次果筐明细!$D$4:$D$603,$Z119-5200)),"")))))</f>
        <v/>
      </c>
      <c r="G119" s="24" t="str">
        <f>IF($Z119="","",IF($Z119&lt;=2000,IF(INDEX(包装物料出入库明细!$F$4:$F$2003,$Z119-0)=0,"",INDEX(包装物料出入库明细!$F$4:$F$2003,$Z119-0)),IF($Z119&lt;=4000,"",IF($Z119&lt;=5200,"",IF($Z119&lt;=5800,"","")))))</f>
        <v/>
      </c>
      <c r="H119" s="39" t="str">
        <f>IF($Z119="","",IF($Z119&lt;=2000,IF(INDEX(包装物料出入库明细!$L$4:$L$2003,$Z119-0)=0,"",INDEX(包装物料出入库明细!$L$4:$L$2003,$Z119-0)),IF($Z119&lt;=4000,N(INDEX(周转筐出入库明细!$H$4:$H$2004,$Z119-2000))+N(INDEX(周转筐出入库明细!$I$4:$I$2004,$Z119-2000))+N(INDEX(周转筐出入库明细!$J$4:$J$2004,$Z119-2000))+N(INDEX(周转筐出入库明细!$K$4:$K$2004,$Z119-2000)),IF($Z119&lt;=5200,N(INDEX(客户自备加工筐明细!$F$4:$F$1203,$Z119-4000))+N(INDEX(客户自备加工筐明细!$G$4:$G$1203,$Z119-4000)),IF($Z119&lt;=5800,IF(INDEX(次果筐明细!$G$4:$G$603,$Z119-5200)=0,"",INDEX(次果筐明细!$G$4:$G$603,$Z119-5200)),"")))))</f>
        <v/>
      </c>
      <c r="I119" s="24" t="str">
        <f>IF($Z119="","",IF($Z119&lt;=2000,IF(INDEX(包装物料出入库明细!$G$4:$G$2003,$Z119-0)=0,"",INDEX(包装物料出入库明细!$G$4:$G$2003,$Z119-0)),IF($Z119&lt;=4000,"个",IF($Z119&lt;=5200,"个",IF($Z119&lt;=5800,"个","")))))</f>
        <v/>
      </c>
      <c r="J119" s="30" t="str">
        <f t="shared" si="4"/>
        <v/>
      </c>
      <c r="K119" s="30" t="str">
        <f>IF($Z119="","",IF($Z119&lt;=2000,IF(INDEX(包装物料出入库明细!$N$4:$N$2003,$Z119-0)=0,"",INDEX(包装物料出入库明细!$N$4:$N$2003,$Z119-0)),IF($Z119&lt;=4000,IF(INDEX(周转筐出入库明细!$P$4:$P$2004,$Z119-2000)=0,"",INDEX(周转筐出入库明细!$P$4:$P$2004,$Z119-2000)),IF($Z119&lt;=5200,"",IF($Z119&lt;=5800,N(INDEX(次果筐明细!$L$4:$L$603,$Z119-5200))+N(INDEX(次果筐明细!$J$4:$J$603,$Z119-5200)),"")))))</f>
        <v/>
      </c>
      <c r="L119" s="24" t="str">
        <f>IF($Z119="","",IF($Z119&lt;=2000,IF(INDEX(包装物料出入库明细!$P$4:$P$2003,$Z119-0)=0,"",INDEX(包装物料出入库明细!$P$4:$P$2003,$Z119-0)),IF($Z119&lt;=4000,IF(INDEX(周转筐出入库明细!$Q$4:$Q$2004,$Z119-2000)=0,"",INDEX(周转筐出入库明细!$Q$4:$Q$2004,$Z119-2000)),IF($Z119&lt;=5200,"",IF($Z119&lt;=5800,IF(INDEX(次果筐明细!$M$4:$M$603,$Z119-5200)=0,"",INDEX(次果筐明细!$M$4:$M$603,$Z119-5200)),"")))))</f>
        <v/>
      </c>
      <c r="M119" s="37" t="str">
        <f>IF($Z119="","",IF($Z119&lt;=2000,IF(INDEX(包装物料出入库明细!$R$4:$R$2003,$Z119-0)=0,"",INDEX(包装物料出入库明细!$R$4:$R$2003,$Z119-0)),IF($Z119&lt;=4000,IF(INDEX(周转筐出入库明细!$W$4:$W$2004,$Z119-2000)=0,"",INDEX(周转筐出入库明细!$W$4:$W$2004,$Z119-2000)),IF($Z119&lt;=5200,IF(INDEX(客户自备加工筐明细!$L$4:$L$1203,$Z119-4000)=0,"",INDEX(客户自备加工筐明细!$L$4:$L$1203,$Z119-4000)),IF($Z119&lt;=5800,IF(INDEX(次果筐明细!$P$4:$P$603,$Z119-5200)=0,"",INDEX(次果筐明细!$P$4:$P$603,$Z119-5200)),"")))))</f>
        <v/>
      </c>
      <c r="N119" s="16" t="str">
        <f>IF($Z119="","",IF($Z119&lt;=2000,"",IF($Z119&lt;=4000,IF(INDEX(周转筐出入库明细!$D$4:$D$2004,$Z119-2000)=0,"",INDEX(周转筐出入库明细!$D$4:$D$2004,$Z119-2000)),IF($Z119&lt;=5200,IF(INDEX(客户自备加工筐明细!$C$4:$C$1203,$Z119-4000)=0,"",INDEX(客户自备加工筐明细!$C$4:$C$1203,$Z119-4000)),IF($Z119&lt;=5800,IF(INDEX(次果筐明细!$D$4:$D$603,$Z119-5200)=0,"",INDEX(次果筐明细!$D$4:$D$603,$Z119-5200)),"")))))</f>
        <v/>
      </c>
      <c r="O119" s="40" t="str">
        <f>IF($Z119="","",IF($Z119&lt;=2000,"",IF($Z119&lt;=4000,IF(N(INDEX(周转筐出入库明细!$J$4:$J$2004,$Z119-2000))+N(INDEX(周转筐出入库明细!$K$4:$K$2004,$Z119-2000))=0,"",N(INDEX(周转筐出入库明细!$J$4:$J$2004,$Z119-2000))+N(INDEX(周转筐出入库明细!$K$4:$K$2004,$Z119-2000))),IF($Z119&lt;=5200,IF(N(INDEX(客户自备加工筐明细!$G$4:$G$1203,$Z119-4000))=0,"",N(INDEX(客户自备加工筐明细!$G$4:$G$1203,$Z119-4000))),IF($Z119&lt;=5800,IF(ISNUMBER(SEARCH("退",INDEX(次果筐明细!$F$4:$F$603,$Z119-5200)&amp;"")),"",IF(N(INDEX(次果筐明细!$G$4:$G$603,$Z119-5200))=0,"",N(INDEX(次果筐明细!$G$4:$G$603,$Z119-5200)))),"")))))</f>
        <v/>
      </c>
      <c r="P119" s="40" t="str">
        <f>IF($Z119="","",IF($Z119&lt;=2000,"",IF($Z119&lt;=4000,IF(N(INDEX(周转筐出入库明细!$I$4:$I$2004,$Z119-2000))=0,"",N(INDEX(周转筐出入库明细!$I$4:$I$2004,$Z119-2000))),IF($Z119&lt;=5200,"",IF($Z119&lt;=5800,IF(ISNUMBER(SEARCH("退",INDEX(次果筐明细!$F$4:$F$603,$Z119-5200)&amp;"")),IF(N(INDEX(次果筐明细!$G$4:$G$603,$Z119-5200))=0,"",N(INDEX(次果筐明细!$G$4:$G$603,$Z119-5200))),""),"")))))</f>
        <v/>
      </c>
      <c r="Q119" s="40" t="str">
        <f>IF($Z119="","",IF($Z119&lt;=2000,"",IF($Z119&lt;=4000,IF(N(INDEX(周转筐出入库明细!$H$4:$H$2004,$Z119-2000))=0,"",N(INDEX(周转筐出入库明细!$H$4:$H$2004,$Z119-2000))),IF($Z119&lt;=5200,IF(N(INDEX(客户自备加工筐明细!$F$4:$F$1203,$Z119-4000))=0,"",N(INDEX(客户自备加工筐明细!$F$4:$F$1203,$Z119-4000))),IF($Z119&lt;=5800,"","")))))</f>
        <v/>
      </c>
      <c r="R119" s="16" t="str">
        <f>IF($Z119="","",IF($Z119&lt;=2000,IF(INDEX(包装物料出入库明细!$O$4:$O$2003,$Z119-0)=0,"",INDEX(包装物料出入库明细!$O$4:$O$2003,$Z119-0)),IF($Z119&lt;=4000,IF(INDEX(周转筐出入库明细!$M$4:$M$2004,$Z119-2000)=0,"",INDEX(周转筐出入库明细!$M$4:$M$2004,$Z119-2000)),IF($Z119&lt;=5200,IF(INDEX(客户自备加工筐明细!$H$4:$H$1203,$Z119-4000)=0,"",INDEX(客户自备加工筐明细!$H$4:$H$1203,$Z119-4000)),IF($Z119&lt;=5800,IF(INDEX(次果筐明细!$H$4:$H$603,$Z119-5200)=0,"",INDEX(次果筐明细!$H$4:$H$603,$Z119-5200)),"")))))</f>
        <v/>
      </c>
      <c r="S119" s="22" t="str">
        <f t="shared" si="5"/>
        <v/>
      </c>
      <c r="Z119" s="10" t="str">
        <f>IFERROR(MATCH(ROW()-3,_自动清单!$CQ$4:$CQ$5803,0),"")</f>
        <v/>
      </c>
    </row>
    <row r="120" spans="1:26">
      <c r="A120" s="24" t="str">
        <f t="shared" si="3"/>
        <v/>
      </c>
      <c r="B120" s="38" t="str">
        <f>IF($Z120="","",IF($Z120&lt;=2000,IF(INDEX(包装物料出入库明细!$B$4:$B$2003,$Z120-0)=0,"",INDEX(包装物料出入库明细!$B$4:$B$2003,$Z120-0)),IF($Z120&lt;=4000,IF(INDEX(周转筐出入库明细!$B$4:$B$2004,$Z120-2000)=0,"",INDEX(周转筐出入库明细!$B$4:$B$2004,$Z120-2000)),IF($Z120&lt;=5200,IF(INDEX(客户自备加工筐明细!$B$4:$B$1203,$Z120-4000)=0,"",INDEX(客户自备加工筐明细!$B$4:$B$1203,$Z120-4000)),IF($Z120&lt;=5800,IF(INDEX(次果筐明细!$B$4:$B$603,$Z120-5200)=0,"",INDEX(次果筐明细!$B$4:$B$603,$Z120-5200)),"")))))</f>
        <v/>
      </c>
      <c r="C120" s="37" t="str">
        <f>IF($Z120="","",IF($Z120&lt;=2000,IF(INDEX(包装物料出入库明细!$D$4:$D$2003,$Z120-0)=0,"",INDEX(包装物料出入库明细!$D$4:$D$2003,$Z120-0)),IF($Z120&lt;=4000,IF(INDEX(周转筐出入库明细!$C$4:$C$2004,$Z120-2000)=0,"",INDEX(周转筐出入库明细!$C$4:$C$2004,$Z120-2000)),IF($Z120&lt;=5200,IF(INDEX(客户自备加工筐明细!$E$4:$E$1203,$Z120-4000)=0,"",INDEX(客户自备加工筐明细!$E$4:$E$1203,$Z120-4000)),IF($Z120&lt;=5800,IF(INDEX(次果筐明细!$C$4:$C$603,$Z120-5200)=0,"",INDEX(次果筐明细!$C$4:$C$603,$Z120-5200)),"")))))</f>
        <v/>
      </c>
      <c r="D120" s="37" t="str">
        <f>IF($Z120="","",IF($Z120&lt;=2000,"包装物料－"&amp;INDEX(包装物料出入库明细!$H$4:$H$2003,$Z120-0),IF($Z120&lt;=4000,"周转筐－"&amp;INDEX(周转筐出入库明细!$F$4:$F$2004,$Z120-2000),IF($Z120&lt;=5200,"客户自备筐－"&amp;INDEX(客户自备加工筐明细!$J$4:$J$1203,$Z120-4000),IF($Z120&lt;=5800,"次果筐/托盘－"&amp;INDEX(次果筐明细!$F$4:$F$603,$Z120-5200),"")))))</f>
        <v/>
      </c>
      <c r="E120" s="24" t="str">
        <f>IF($Z120="","",IF($Z120&lt;=2000,IF(INDEX(包装物料出入库明细!$C$4:$C$2003,$Z120-0)=0,"",INDEX(包装物料出入库明细!$C$4:$C$2003,$Z120-0)),IF($Z120&lt;=4000,IF(INDEX(周转筐出入库明细!$E$4:$E$2004,$Z120-2000)=0,"",INDEX(周转筐出入库明细!$E$4:$E$2004,$Z120-2000)),IF($Z120&lt;=5200,IF(INDEX(客户自备加工筐明细!$D$4:$D$1203,$Z120-4000)=0,"",INDEX(客户自备加工筐明细!$D$4:$D$1203,$Z120-4000)),IF($Z120&lt;=5800,IF(INDEX(次果筐明细!$E$4:$E$603,$Z120-5200)=0,"",INDEX(次果筐明细!$E$4:$E$603,$Z120-5200)),"")))))</f>
        <v/>
      </c>
      <c r="F120" s="24" t="str">
        <f>IF($Z120="","",IF($Z120&lt;=2000,IF(INDEX(包装物料出入库明细!$E$4:$E$2003,$Z120-0)=0,"",INDEX(包装物料出入库明细!$E$4:$E$2003,$Z120-0)),IF($Z120&lt;=4000,IF(INDEX(周转筐出入库明细!$D$4:$D$2004,$Z120-2000)=0,"",INDEX(周转筐出入库明细!$D$4:$D$2004,$Z120-2000)),IF($Z120&lt;=5200,IF(INDEX(客户自备加工筐明细!$C$4:$C$1203,$Z120-4000)=0,"",INDEX(客户自备加工筐明细!$C$4:$C$1203,$Z120-4000)),IF($Z120&lt;=5800,IF(INDEX(次果筐明细!$D$4:$D$603,$Z120-5200)=0,"",INDEX(次果筐明细!$D$4:$D$603,$Z120-5200)),"")))))</f>
        <v/>
      </c>
      <c r="G120" s="24" t="str">
        <f>IF($Z120="","",IF($Z120&lt;=2000,IF(INDEX(包装物料出入库明细!$F$4:$F$2003,$Z120-0)=0,"",INDEX(包装物料出入库明细!$F$4:$F$2003,$Z120-0)),IF($Z120&lt;=4000,"",IF($Z120&lt;=5200,"",IF($Z120&lt;=5800,"","")))))</f>
        <v/>
      </c>
      <c r="H120" s="39" t="str">
        <f>IF($Z120="","",IF($Z120&lt;=2000,IF(INDEX(包装物料出入库明细!$L$4:$L$2003,$Z120-0)=0,"",INDEX(包装物料出入库明细!$L$4:$L$2003,$Z120-0)),IF($Z120&lt;=4000,N(INDEX(周转筐出入库明细!$H$4:$H$2004,$Z120-2000))+N(INDEX(周转筐出入库明细!$I$4:$I$2004,$Z120-2000))+N(INDEX(周转筐出入库明细!$J$4:$J$2004,$Z120-2000))+N(INDEX(周转筐出入库明细!$K$4:$K$2004,$Z120-2000)),IF($Z120&lt;=5200,N(INDEX(客户自备加工筐明细!$F$4:$F$1203,$Z120-4000))+N(INDEX(客户自备加工筐明细!$G$4:$G$1203,$Z120-4000)),IF($Z120&lt;=5800,IF(INDEX(次果筐明细!$G$4:$G$603,$Z120-5200)=0,"",INDEX(次果筐明细!$G$4:$G$603,$Z120-5200)),"")))))</f>
        <v/>
      </c>
      <c r="I120" s="24" t="str">
        <f>IF($Z120="","",IF($Z120&lt;=2000,IF(INDEX(包装物料出入库明细!$G$4:$G$2003,$Z120-0)=0,"",INDEX(包装物料出入库明细!$G$4:$G$2003,$Z120-0)),IF($Z120&lt;=4000,"个",IF($Z120&lt;=5200,"个",IF($Z120&lt;=5800,"个","")))))</f>
        <v/>
      </c>
      <c r="J120" s="30" t="str">
        <f t="shared" si="4"/>
        <v/>
      </c>
      <c r="K120" s="30" t="str">
        <f>IF($Z120="","",IF($Z120&lt;=2000,IF(INDEX(包装物料出入库明细!$N$4:$N$2003,$Z120-0)=0,"",INDEX(包装物料出入库明细!$N$4:$N$2003,$Z120-0)),IF($Z120&lt;=4000,IF(INDEX(周转筐出入库明细!$P$4:$P$2004,$Z120-2000)=0,"",INDEX(周转筐出入库明细!$P$4:$P$2004,$Z120-2000)),IF($Z120&lt;=5200,"",IF($Z120&lt;=5800,N(INDEX(次果筐明细!$L$4:$L$603,$Z120-5200))+N(INDEX(次果筐明细!$J$4:$J$603,$Z120-5200)),"")))))</f>
        <v/>
      </c>
      <c r="L120" s="24" t="str">
        <f>IF($Z120="","",IF($Z120&lt;=2000,IF(INDEX(包装物料出入库明细!$P$4:$P$2003,$Z120-0)=0,"",INDEX(包装物料出入库明细!$P$4:$P$2003,$Z120-0)),IF($Z120&lt;=4000,IF(INDEX(周转筐出入库明细!$Q$4:$Q$2004,$Z120-2000)=0,"",INDEX(周转筐出入库明细!$Q$4:$Q$2004,$Z120-2000)),IF($Z120&lt;=5200,"",IF($Z120&lt;=5800,IF(INDEX(次果筐明细!$M$4:$M$603,$Z120-5200)=0,"",INDEX(次果筐明细!$M$4:$M$603,$Z120-5200)),"")))))</f>
        <v/>
      </c>
      <c r="M120" s="37" t="str">
        <f>IF($Z120="","",IF($Z120&lt;=2000,IF(INDEX(包装物料出入库明细!$R$4:$R$2003,$Z120-0)=0,"",INDEX(包装物料出入库明细!$R$4:$R$2003,$Z120-0)),IF($Z120&lt;=4000,IF(INDEX(周转筐出入库明细!$W$4:$W$2004,$Z120-2000)=0,"",INDEX(周转筐出入库明细!$W$4:$W$2004,$Z120-2000)),IF($Z120&lt;=5200,IF(INDEX(客户自备加工筐明细!$L$4:$L$1203,$Z120-4000)=0,"",INDEX(客户自备加工筐明细!$L$4:$L$1203,$Z120-4000)),IF($Z120&lt;=5800,IF(INDEX(次果筐明细!$P$4:$P$603,$Z120-5200)=0,"",INDEX(次果筐明细!$P$4:$P$603,$Z120-5200)),"")))))</f>
        <v/>
      </c>
      <c r="N120" s="16" t="str">
        <f>IF($Z120="","",IF($Z120&lt;=2000,"",IF($Z120&lt;=4000,IF(INDEX(周转筐出入库明细!$D$4:$D$2004,$Z120-2000)=0,"",INDEX(周转筐出入库明细!$D$4:$D$2004,$Z120-2000)),IF($Z120&lt;=5200,IF(INDEX(客户自备加工筐明细!$C$4:$C$1203,$Z120-4000)=0,"",INDEX(客户自备加工筐明细!$C$4:$C$1203,$Z120-4000)),IF($Z120&lt;=5800,IF(INDEX(次果筐明细!$D$4:$D$603,$Z120-5200)=0,"",INDEX(次果筐明细!$D$4:$D$603,$Z120-5200)),"")))))</f>
        <v/>
      </c>
      <c r="O120" s="40" t="str">
        <f>IF($Z120="","",IF($Z120&lt;=2000,"",IF($Z120&lt;=4000,IF(N(INDEX(周转筐出入库明细!$J$4:$J$2004,$Z120-2000))+N(INDEX(周转筐出入库明细!$K$4:$K$2004,$Z120-2000))=0,"",N(INDEX(周转筐出入库明细!$J$4:$J$2004,$Z120-2000))+N(INDEX(周转筐出入库明细!$K$4:$K$2004,$Z120-2000))),IF($Z120&lt;=5200,IF(N(INDEX(客户自备加工筐明细!$G$4:$G$1203,$Z120-4000))=0,"",N(INDEX(客户自备加工筐明细!$G$4:$G$1203,$Z120-4000))),IF($Z120&lt;=5800,IF(ISNUMBER(SEARCH("退",INDEX(次果筐明细!$F$4:$F$603,$Z120-5200)&amp;"")),"",IF(N(INDEX(次果筐明细!$G$4:$G$603,$Z120-5200))=0,"",N(INDEX(次果筐明细!$G$4:$G$603,$Z120-5200)))),"")))))</f>
        <v/>
      </c>
      <c r="P120" s="40" t="str">
        <f>IF($Z120="","",IF($Z120&lt;=2000,"",IF($Z120&lt;=4000,IF(N(INDEX(周转筐出入库明细!$I$4:$I$2004,$Z120-2000))=0,"",N(INDEX(周转筐出入库明细!$I$4:$I$2004,$Z120-2000))),IF($Z120&lt;=5200,"",IF($Z120&lt;=5800,IF(ISNUMBER(SEARCH("退",INDEX(次果筐明细!$F$4:$F$603,$Z120-5200)&amp;"")),IF(N(INDEX(次果筐明细!$G$4:$G$603,$Z120-5200))=0,"",N(INDEX(次果筐明细!$G$4:$G$603,$Z120-5200))),""),"")))))</f>
        <v/>
      </c>
      <c r="Q120" s="40" t="str">
        <f>IF($Z120="","",IF($Z120&lt;=2000,"",IF($Z120&lt;=4000,IF(N(INDEX(周转筐出入库明细!$H$4:$H$2004,$Z120-2000))=0,"",N(INDEX(周转筐出入库明细!$H$4:$H$2004,$Z120-2000))),IF($Z120&lt;=5200,IF(N(INDEX(客户自备加工筐明细!$F$4:$F$1203,$Z120-4000))=0,"",N(INDEX(客户自备加工筐明细!$F$4:$F$1203,$Z120-4000))),IF($Z120&lt;=5800,"","")))))</f>
        <v/>
      </c>
      <c r="R120" s="16" t="str">
        <f>IF($Z120="","",IF($Z120&lt;=2000,IF(INDEX(包装物料出入库明细!$O$4:$O$2003,$Z120-0)=0,"",INDEX(包装物料出入库明细!$O$4:$O$2003,$Z120-0)),IF($Z120&lt;=4000,IF(INDEX(周转筐出入库明细!$M$4:$M$2004,$Z120-2000)=0,"",INDEX(周转筐出入库明细!$M$4:$M$2004,$Z120-2000)),IF($Z120&lt;=5200,IF(INDEX(客户自备加工筐明细!$H$4:$H$1203,$Z120-4000)=0,"",INDEX(客户自备加工筐明细!$H$4:$H$1203,$Z120-4000)),IF($Z120&lt;=5800,IF(INDEX(次果筐明细!$H$4:$H$603,$Z120-5200)=0,"",INDEX(次果筐明细!$H$4:$H$603,$Z120-5200)),"")))))</f>
        <v/>
      </c>
      <c r="S120" s="22" t="str">
        <f t="shared" si="5"/>
        <v/>
      </c>
      <c r="Z120" s="10" t="str">
        <f>IFERROR(MATCH(ROW()-3,_自动清单!$CQ$4:$CQ$5803,0),"")</f>
        <v/>
      </c>
    </row>
    <row r="121" spans="1:26">
      <c r="A121" s="24" t="str">
        <f t="shared" si="3"/>
        <v/>
      </c>
      <c r="B121" s="38" t="str">
        <f>IF($Z121="","",IF($Z121&lt;=2000,IF(INDEX(包装物料出入库明细!$B$4:$B$2003,$Z121-0)=0,"",INDEX(包装物料出入库明细!$B$4:$B$2003,$Z121-0)),IF($Z121&lt;=4000,IF(INDEX(周转筐出入库明细!$B$4:$B$2004,$Z121-2000)=0,"",INDEX(周转筐出入库明细!$B$4:$B$2004,$Z121-2000)),IF($Z121&lt;=5200,IF(INDEX(客户自备加工筐明细!$B$4:$B$1203,$Z121-4000)=0,"",INDEX(客户自备加工筐明细!$B$4:$B$1203,$Z121-4000)),IF($Z121&lt;=5800,IF(INDEX(次果筐明细!$B$4:$B$603,$Z121-5200)=0,"",INDEX(次果筐明细!$B$4:$B$603,$Z121-5200)),"")))))</f>
        <v/>
      </c>
      <c r="C121" s="37" t="str">
        <f>IF($Z121="","",IF($Z121&lt;=2000,IF(INDEX(包装物料出入库明细!$D$4:$D$2003,$Z121-0)=0,"",INDEX(包装物料出入库明细!$D$4:$D$2003,$Z121-0)),IF($Z121&lt;=4000,IF(INDEX(周转筐出入库明细!$C$4:$C$2004,$Z121-2000)=0,"",INDEX(周转筐出入库明细!$C$4:$C$2004,$Z121-2000)),IF($Z121&lt;=5200,IF(INDEX(客户自备加工筐明细!$E$4:$E$1203,$Z121-4000)=0,"",INDEX(客户自备加工筐明细!$E$4:$E$1203,$Z121-4000)),IF($Z121&lt;=5800,IF(INDEX(次果筐明细!$C$4:$C$603,$Z121-5200)=0,"",INDEX(次果筐明细!$C$4:$C$603,$Z121-5200)),"")))))</f>
        <v/>
      </c>
      <c r="D121" s="37" t="str">
        <f>IF($Z121="","",IF($Z121&lt;=2000,"包装物料－"&amp;INDEX(包装物料出入库明细!$H$4:$H$2003,$Z121-0),IF($Z121&lt;=4000,"周转筐－"&amp;INDEX(周转筐出入库明细!$F$4:$F$2004,$Z121-2000),IF($Z121&lt;=5200,"客户自备筐－"&amp;INDEX(客户自备加工筐明细!$J$4:$J$1203,$Z121-4000),IF($Z121&lt;=5800,"次果筐/托盘－"&amp;INDEX(次果筐明细!$F$4:$F$603,$Z121-5200),"")))))</f>
        <v/>
      </c>
      <c r="E121" s="24" t="str">
        <f>IF($Z121="","",IF($Z121&lt;=2000,IF(INDEX(包装物料出入库明细!$C$4:$C$2003,$Z121-0)=0,"",INDEX(包装物料出入库明细!$C$4:$C$2003,$Z121-0)),IF($Z121&lt;=4000,IF(INDEX(周转筐出入库明细!$E$4:$E$2004,$Z121-2000)=0,"",INDEX(周转筐出入库明细!$E$4:$E$2004,$Z121-2000)),IF($Z121&lt;=5200,IF(INDEX(客户自备加工筐明细!$D$4:$D$1203,$Z121-4000)=0,"",INDEX(客户自备加工筐明细!$D$4:$D$1203,$Z121-4000)),IF($Z121&lt;=5800,IF(INDEX(次果筐明细!$E$4:$E$603,$Z121-5200)=0,"",INDEX(次果筐明细!$E$4:$E$603,$Z121-5200)),"")))))</f>
        <v/>
      </c>
      <c r="F121" s="24" t="str">
        <f>IF($Z121="","",IF($Z121&lt;=2000,IF(INDEX(包装物料出入库明细!$E$4:$E$2003,$Z121-0)=0,"",INDEX(包装物料出入库明细!$E$4:$E$2003,$Z121-0)),IF($Z121&lt;=4000,IF(INDEX(周转筐出入库明细!$D$4:$D$2004,$Z121-2000)=0,"",INDEX(周转筐出入库明细!$D$4:$D$2004,$Z121-2000)),IF($Z121&lt;=5200,IF(INDEX(客户自备加工筐明细!$C$4:$C$1203,$Z121-4000)=0,"",INDEX(客户自备加工筐明细!$C$4:$C$1203,$Z121-4000)),IF($Z121&lt;=5800,IF(INDEX(次果筐明细!$D$4:$D$603,$Z121-5200)=0,"",INDEX(次果筐明细!$D$4:$D$603,$Z121-5200)),"")))))</f>
        <v/>
      </c>
      <c r="G121" s="24" t="str">
        <f>IF($Z121="","",IF($Z121&lt;=2000,IF(INDEX(包装物料出入库明细!$F$4:$F$2003,$Z121-0)=0,"",INDEX(包装物料出入库明细!$F$4:$F$2003,$Z121-0)),IF($Z121&lt;=4000,"",IF($Z121&lt;=5200,"",IF($Z121&lt;=5800,"","")))))</f>
        <v/>
      </c>
      <c r="H121" s="39" t="str">
        <f>IF($Z121="","",IF($Z121&lt;=2000,IF(INDEX(包装物料出入库明细!$L$4:$L$2003,$Z121-0)=0,"",INDEX(包装物料出入库明细!$L$4:$L$2003,$Z121-0)),IF($Z121&lt;=4000,N(INDEX(周转筐出入库明细!$H$4:$H$2004,$Z121-2000))+N(INDEX(周转筐出入库明细!$I$4:$I$2004,$Z121-2000))+N(INDEX(周转筐出入库明细!$J$4:$J$2004,$Z121-2000))+N(INDEX(周转筐出入库明细!$K$4:$K$2004,$Z121-2000)),IF($Z121&lt;=5200,N(INDEX(客户自备加工筐明细!$F$4:$F$1203,$Z121-4000))+N(INDEX(客户自备加工筐明细!$G$4:$G$1203,$Z121-4000)),IF($Z121&lt;=5800,IF(INDEX(次果筐明细!$G$4:$G$603,$Z121-5200)=0,"",INDEX(次果筐明细!$G$4:$G$603,$Z121-5200)),"")))))</f>
        <v/>
      </c>
      <c r="I121" s="24" t="str">
        <f>IF($Z121="","",IF($Z121&lt;=2000,IF(INDEX(包装物料出入库明细!$G$4:$G$2003,$Z121-0)=0,"",INDEX(包装物料出入库明细!$G$4:$G$2003,$Z121-0)),IF($Z121&lt;=4000,"个",IF($Z121&lt;=5200,"个",IF($Z121&lt;=5800,"个","")))))</f>
        <v/>
      </c>
      <c r="J121" s="30" t="str">
        <f t="shared" si="4"/>
        <v/>
      </c>
      <c r="K121" s="30" t="str">
        <f>IF($Z121="","",IF($Z121&lt;=2000,IF(INDEX(包装物料出入库明细!$N$4:$N$2003,$Z121-0)=0,"",INDEX(包装物料出入库明细!$N$4:$N$2003,$Z121-0)),IF($Z121&lt;=4000,IF(INDEX(周转筐出入库明细!$P$4:$P$2004,$Z121-2000)=0,"",INDEX(周转筐出入库明细!$P$4:$P$2004,$Z121-2000)),IF($Z121&lt;=5200,"",IF($Z121&lt;=5800,N(INDEX(次果筐明细!$L$4:$L$603,$Z121-5200))+N(INDEX(次果筐明细!$J$4:$J$603,$Z121-5200)),"")))))</f>
        <v/>
      </c>
      <c r="L121" s="24" t="str">
        <f>IF($Z121="","",IF($Z121&lt;=2000,IF(INDEX(包装物料出入库明细!$P$4:$P$2003,$Z121-0)=0,"",INDEX(包装物料出入库明细!$P$4:$P$2003,$Z121-0)),IF($Z121&lt;=4000,IF(INDEX(周转筐出入库明细!$Q$4:$Q$2004,$Z121-2000)=0,"",INDEX(周转筐出入库明细!$Q$4:$Q$2004,$Z121-2000)),IF($Z121&lt;=5200,"",IF($Z121&lt;=5800,IF(INDEX(次果筐明细!$M$4:$M$603,$Z121-5200)=0,"",INDEX(次果筐明细!$M$4:$M$603,$Z121-5200)),"")))))</f>
        <v/>
      </c>
      <c r="M121" s="37" t="str">
        <f>IF($Z121="","",IF($Z121&lt;=2000,IF(INDEX(包装物料出入库明细!$R$4:$R$2003,$Z121-0)=0,"",INDEX(包装物料出入库明细!$R$4:$R$2003,$Z121-0)),IF($Z121&lt;=4000,IF(INDEX(周转筐出入库明细!$W$4:$W$2004,$Z121-2000)=0,"",INDEX(周转筐出入库明细!$W$4:$W$2004,$Z121-2000)),IF($Z121&lt;=5200,IF(INDEX(客户自备加工筐明细!$L$4:$L$1203,$Z121-4000)=0,"",INDEX(客户自备加工筐明细!$L$4:$L$1203,$Z121-4000)),IF($Z121&lt;=5800,IF(INDEX(次果筐明细!$P$4:$P$603,$Z121-5200)=0,"",INDEX(次果筐明细!$P$4:$P$603,$Z121-5200)),"")))))</f>
        <v/>
      </c>
      <c r="N121" s="16" t="str">
        <f>IF($Z121="","",IF($Z121&lt;=2000,"",IF($Z121&lt;=4000,IF(INDEX(周转筐出入库明细!$D$4:$D$2004,$Z121-2000)=0,"",INDEX(周转筐出入库明细!$D$4:$D$2004,$Z121-2000)),IF($Z121&lt;=5200,IF(INDEX(客户自备加工筐明细!$C$4:$C$1203,$Z121-4000)=0,"",INDEX(客户自备加工筐明细!$C$4:$C$1203,$Z121-4000)),IF($Z121&lt;=5800,IF(INDEX(次果筐明细!$D$4:$D$603,$Z121-5200)=0,"",INDEX(次果筐明细!$D$4:$D$603,$Z121-5200)),"")))))</f>
        <v/>
      </c>
      <c r="O121" s="40" t="str">
        <f>IF($Z121="","",IF($Z121&lt;=2000,"",IF($Z121&lt;=4000,IF(N(INDEX(周转筐出入库明细!$J$4:$J$2004,$Z121-2000))+N(INDEX(周转筐出入库明细!$K$4:$K$2004,$Z121-2000))=0,"",N(INDEX(周转筐出入库明细!$J$4:$J$2004,$Z121-2000))+N(INDEX(周转筐出入库明细!$K$4:$K$2004,$Z121-2000))),IF($Z121&lt;=5200,IF(N(INDEX(客户自备加工筐明细!$G$4:$G$1203,$Z121-4000))=0,"",N(INDEX(客户自备加工筐明细!$G$4:$G$1203,$Z121-4000))),IF($Z121&lt;=5800,IF(ISNUMBER(SEARCH("退",INDEX(次果筐明细!$F$4:$F$603,$Z121-5200)&amp;"")),"",IF(N(INDEX(次果筐明细!$G$4:$G$603,$Z121-5200))=0,"",N(INDEX(次果筐明细!$G$4:$G$603,$Z121-5200)))),"")))))</f>
        <v/>
      </c>
      <c r="P121" s="40" t="str">
        <f>IF($Z121="","",IF($Z121&lt;=2000,"",IF($Z121&lt;=4000,IF(N(INDEX(周转筐出入库明细!$I$4:$I$2004,$Z121-2000))=0,"",N(INDEX(周转筐出入库明细!$I$4:$I$2004,$Z121-2000))),IF($Z121&lt;=5200,"",IF($Z121&lt;=5800,IF(ISNUMBER(SEARCH("退",INDEX(次果筐明细!$F$4:$F$603,$Z121-5200)&amp;"")),IF(N(INDEX(次果筐明细!$G$4:$G$603,$Z121-5200))=0,"",N(INDEX(次果筐明细!$G$4:$G$603,$Z121-5200))),""),"")))))</f>
        <v/>
      </c>
      <c r="Q121" s="40" t="str">
        <f>IF($Z121="","",IF($Z121&lt;=2000,"",IF($Z121&lt;=4000,IF(N(INDEX(周转筐出入库明细!$H$4:$H$2004,$Z121-2000))=0,"",N(INDEX(周转筐出入库明细!$H$4:$H$2004,$Z121-2000))),IF($Z121&lt;=5200,IF(N(INDEX(客户自备加工筐明细!$F$4:$F$1203,$Z121-4000))=0,"",N(INDEX(客户自备加工筐明细!$F$4:$F$1203,$Z121-4000))),IF($Z121&lt;=5800,"","")))))</f>
        <v/>
      </c>
      <c r="R121" s="16" t="str">
        <f>IF($Z121="","",IF($Z121&lt;=2000,IF(INDEX(包装物料出入库明细!$O$4:$O$2003,$Z121-0)=0,"",INDEX(包装物料出入库明细!$O$4:$O$2003,$Z121-0)),IF($Z121&lt;=4000,IF(INDEX(周转筐出入库明细!$M$4:$M$2004,$Z121-2000)=0,"",INDEX(周转筐出入库明细!$M$4:$M$2004,$Z121-2000)),IF($Z121&lt;=5200,IF(INDEX(客户自备加工筐明细!$H$4:$H$1203,$Z121-4000)=0,"",INDEX(客户自备加工筐明细!$H$4:$H$1203,$Z121-4000)),IF($Z121&lt;=5800,IF(INDEX(次果筐明细!$H$4:$H$603,$Z121-5200)=0,"",INDEX(次果筐明细!$H$4:$H$603,$Z121-5200)),"")))))</f>
        <v/>
      </c>
      <c r="S121" s="22" t="str">
        <f t="shared" si="5"/>
        <v/>
      </c>
      <c r="Z121" s="10" t="str">
        <f>IFERROR(MATCH(ROW()-3,_自动清单!$CQ$4:$CQ$5803,0),"")</f>
        <v/>
      </c>
    </row>
    <row r="122" spans="1:26">
      <c r="A122" s="24" t="str">
        <f t="shared" si="3"/>
        <v/>
      </c>
      <c r="B122" s="38" t="str">
        <f>IF($Z122="","",IF($Z122&lt;=2000,IF(INDEX(包装物料出入库明细!$B$4:$B$2003,$Z122-0)=0,"",INDEX(包装物料出入库明细!$B$4:$B$2003,$Z122-0)),IF($Z122&lt;=4000,IF(INDEX(周转筐出入库明细!$B$4:$B$2004,$Z122-2000)=0,"",INDEX(周转筐出入库明细!$B$4:$B$2004,$Z122-2000)),IF($Z122&lt;=5200,IF(INDEX(客户自备加工筐明细!$B$4:$B$1203,$Z122-4000)=0,"",INDEX(客户自备加工筐明细!$B$4:$B$1203,$Z122-4000)),IF($Z122&lt;=5800,IF(INDEX(次果筐明细!$B$4:$B$603,$Z122-5200)=0,"",INDEX(次果筐明细!$B$4:$B$603,$Z122-5200)),"")))))</f>
        <v/>
      </c>
      <c r="C122" s="37" t="str">
        <f>IF($Z122="","",IF($Z122&lt;=2000,IF(INDEX(包装物料出入库明细!$D$4:$D$2003,$Z122-0)=0,"",INDEX(包装物料出入库明细!$D$4:$D$2003,$Z122-0)),IF($Z122&lt;=4000,IF(INDEX(周转筐出入库明细!$C$4:$C$2004,$Z122-2000)=0,"",INDEX(周转筐出入库明细!$C$4:$C$2004,$Z122-2000)),IF($Z122&lt;=5200,IF(INDEX(客户自备加工筐明细!$E$4:$E$1203,$Z122-4000)=0,"",INDEX(客户自备加工筐明细!$E$4:$E$1203,$Z122-4000)),IF($Z122&lt;=5800,IF(INDEX(次果筐明细!$C$4:$C$603,$Z122-5200)=0,"",INDEX(次果筐明细!$C$4:$C$603,$Z122-5200)),"")))))</f>
        <v/>
      </c>
      <c r="D122" s="37" t="str">
        <f>IF($Z122="","",IF($Z122&lt;=2000,"包装物料－"&amp;INDEX(包装物料出入库明细!$H$4:$H$2003,$Z122-0),IF($Z122&lt;=4000,"周转筐－"&amp;INDEX(周转筐出入库明细!$F$4:$F$2004,$Z122-2000),IF($Z122&lt;=5200,"客户自备筐－"&amp;INDEX(客户自备加工筐明细!$J$4:$J$1203,$Z122-4000),IF($Z122&lt;=5800,"次果筐/托盘－"&amp;INDEX(次果筐明细!$F$4:$F$603,$Z122-5200),"")))))</f>
        <v/>
      </c>
      <c r="E122" s="24" t="str">
        <f>IF($Z122="","",IF($Z122&lt;=2000,IF(INDEX(包装物料出入库明细!$C$4:$C$2003,$Z122-0)=0,"",INDEX(包装物料出入库明细!$C$4:$C$2003,$Z122-0)),IF($Z122&lt;=4000,IF(INDEX(周转筐出入库明细!$E$4:$E$2004,$Z122-2000)=0,"",INDEX(周转筐出入库明细!$E$4:$E$2004,$Z122-2000)),IF($Z122&lt;=5200,IF(INDEX(客户自备加工筐明细!$D$4:$D$1203,$Z122-4000)=0,"",INDEX(客户自备加工筐明细!$D$4:$D$1203,$Z122-4000)),IF($Z122&lt;=5800,IF(INDEX(次果筐明细!$E$4:$E$603,$Z122-5200)=0,"",INDEX(次果筐明细!$E$4:$E$603,$Z122-5200)),"")))))</f>
        <v/>
      </c>
      <c r="F122" s="24" t="str">
        <f>IF($Z122="","",IF($Z122&lt;=2000,IF(INDEX(包装物料出入库明细!$E$4:$E$2003,$Z122-0)=0,"",INDEX(包装物料出入库明细!$E$4:$E$2003,$Z122-0)),IF($Z122&lt;=4000,IF(INDEX(周转筐出入库明细!$D$4:$D$2004,$Z122-2000)=0,"",INDEX(周转筐出入库明细!$D$4:$D$2004,$Z122-2000)),IF($Z122&lt;=5200,IF(INDEX(客户自备加工筐明细!$C$4:$C$1203,$Z122-4000)=0,"",INDEX(客户自备加工筐明细!$C$4:$C$1203,$Z122-4000)),IF($Z122&lt;=5800,IF(INDEX(次果筐明细!$D$4:$D$603,$Z122-5200)=0,"",INDEX(次果筐明细!$D$4:$D$603,$Z122-5200)),"")))))</f>
        <v/>
      </c>
      <c r="G122" s="24" t="str">
        <f>IF($Z122="","",IF($Z122&lt;=2000,IF(INDEX(包装物料出入库明细!$F$4:$F$2003,$Z122-0)=0,"",INDEX(包装物料出入库明细!$F$4:$F$2003,$Z122-0)),IF($Z122&lt;=4000,"",IF($Z122&lt;=5200,"",IF($Z122&lt;=5800,"","")))))</f>
        <v/>
      </c>
      <c r="H122" s="39" t="str">
        <f>IF($Z122="","",IF($Z122&lt;=2000,IF(INDEX(包装物料出入库明细!$L$4:$L$2003,$Z122-0)=0,"",INDEX(包装物料出入库明细!$L$4:$L$2003,$Z122-0)),IF($Z122&lt;=4000,N(INDEX(周转筐出入库明细!$H$4:$H$2004,$Z122-2000))+N(INDEX(周转筐出入库明细!$I$4:$I$2004,$Z122-2000))+N(INDEX(周转筐出入库明细!$J$4:$J$2004,$Z122-2000))+N(INDEX(周转筐出入库明细!$K$4:$K$2004,$Z122-2000)),IF($Z122&lt;=5200,N(INDEX(客户自备加工筐明细!$F$4:$F$1203,$Z122-4000))+N(INDEX(客户自备加工筐明细!$G$4:$G$1203,$Z122-4000)),IF($Z122&lt;=5800,IF(INDEX(次果筐明细!$G$4:$G$603,$Z122-5200)=0,"",INDEX(次果筐明细!$G$4:$G$603,$Z122-5200)),"")))))</f>
        <v/>
      </c>
      <c r="I122" s="24" t="str">
        <f>IF($Z122="","",IF($Z122&lt;=2000,IF(INDEX(包装物料出入库明细!$G$4:$G$2003,$Z122-0)=0,"",INDEX(包装物料出入库明细!$G$4:$G$2003,$Z122-0)),IF($Z122&lt;=4000,"个",IF($Z122&lt;=5200,"个",IF($Z122&lt;=5800,"个","")))))</f>
        <v/>
      </c>
      <c r="J122" s="30" t="str">
        <f t="shared" si="4"/>
        <v/>
      </c>
      <c r="K122" s="30" t="str">
        <f>IF($Z122="","",IF($Z122&lt;=2000,IF(INDEX(包装物料出入库明细!$N$4:$N$2003,$Z122-0)=0,"",INDEX(包装物料出入库明细!$N$4:$N$2003,$Z122-0)),IF($Z122&lt;=4000,IF(INDEX(周转筐出入库明细!$P$4:$P$2004,$Z122-2000)=0,"",INDEX(周转筐出入库明细!$P$4:$P$2004,$Z122-2000)),IF($Z122&lt;=5200,"",IF($Z122&lt;=5800,N(INDEX(次果筐明细!$L$4:$L$603,$Z122-5200))+N(INDEX(次果筐明细!$J$4:$J$603,$Z122-5200)),"")))))</f>
        <v/>
      </c>
      <c r="L122" s="24" t="str">
        <f>IF($Z122="","",IF($Z122&lt;=2000,IF(INDEX(包装物料出入库明细!$P$4:$P$2003,$Z122-0)=0,"",INDEX(包装物料出入库明细!$P$4:$P$2003,$Z122-0)),IF($Z122&lt;=4000,IF(INDEX(周转筐出入库明细!$Q$4:$Q$2004,$Z122-2000)=0,"",INDEX(周转筐出入库明细!$Q$4:$Q$2004,$Z122-2000)),IF($Z122&lt;=5200,"",IF($Z122&lt;=5800,IF(INDEX(次果筐明细!$M$4:$M$603,$Z122-5200)=0,"",INDEX(次果筐明细!$M$4:$M$603,$Z122-5200)),"")))))</f>
        <v/>
      </c>
      <c r="M122" s="37" t="str">
        <f>IF($Z122="","",IF($Z122&lt;=2000,IF(INDEX(包装物料出入库明细!$R$4:$R$2003,$Z122-0)=0,"",INDEX(包装物料出入库明细!$R$4:$R$2003,$Z122-0)),IF($Z122&lt;=4000,IF(INDEX(周转筐出入库明细!$W$4:$W$2004,$Z122-2000)=0,"",INDEX(周转筐出入库明细!$W$4:$W$2004,$Z122-2000)),IF($Z122&lt;=5200,IF(INDEX(客户自备加工筐明细!$L$4:$L$1203,$Z122-4000)=0,"",INDEX(客户自备加工筐明细!$L$4:$L$1203,$Z122-4000)),IF($Z122&lt;=5800,IF(INDEX(次果筐明细!$P$4:$P$603,$Z122-5200)=0,"",INDEX(次果筐明细!$P$4:$P$603,$Z122-5200)),"")))))</f>
        <v/>
      </c>
      <c r="N122" s="16" t="str">
        <f>IF($Z122="","",IF($Z122&lt;=2000,"",IF($Z122&lt;=4000,IF(INDEX(周转筐出入库明细!$D$4:$D$2004,$Z122-2000)=0,"",INDEX(周转筐出入库明细!$D$4:$D$2004,$Z122-2000)),IF($Z122&lt;=5200,IF(INDEX(客户自备加工筐明细!$C$4:$C$1203,$Z122-4000)=0,"",INDEX(客户自备加工筐明细!$C$4:$C$1203,$Z122-4000)),IF($Z122&lt;=5800,IF(INDEX(次果筐明细!$D$4:$D$603,$Z122-5200)=0,"",INDEX(次果筐明细!$D$4:$D$603,$Z122-5200)),"")))))</f>
        <v/>
      </c>
      <c r="O122" s="40" t="str">
        <f>IF($Z122="","",IF($Z122&lt;=2000,"",IF($Z122&lt;=4000,IF(N(INDEX(周转筐出入库明细!$J$4:$J$2004,$Z122-2000))+N(INDEX(周转筐出入库明细!$K$4:$K$2004,$Z122-2000))=0,"",N(INDEX(周转筐出入库明细!$J$4:$J$2004,$Z122-2000))+N(INDEX(周转筐出入库明细!$K$4:$K$2004,$Z122-2000))),IF($Z122&lt;=5200,IF(N(INDEX(客户自备加工筐明细!$G$4:$G$1203,$Z122-4000))=0,"",N(INDEX(客户自备加工筐明细!$G$4:$G$1203,$Z122-4000))),IF($Z122&lt;=5800,IF(ISNUMBER(SEARCH("退",INDEX(次果筐明细!$F$4:$F$603,$Z122-5200)&amp;"")),"",IF(N(INDEX(次果筐明细!$G$4:$G$603,$Z122-5200))=0,"",N(INDEX(次果筐明细!$G$4:$G$603,$Z122-5200)))),"")))))</f>
        <v/>
      </c>
      <c r="P122" s="40" t="str">
        <f>IF($Z122="","",IF($Z122&lt;=2000,"",IF($Z122&lt;=4000,IF(N(INDEX(周转筐出入库明细!$I$4:$I$2004,$Z122-2000))=0,"",N(INDEX(周转筐出入库明细!$I$4:$I$2004,$Z122-2000))),IF($Z122&lt;=5200,"",IF($Z122&lt;=5800,IF(ISNUMBER(SEARCH("退",INDEX(次果筐明细!$F$4:$F$603,$Z122-5200)&amp;"")),IF(N(INDEX(次果筐明细!$G$4:$G$603,$Z122-5200))=0,"",N(INDEX(次果筐明细!$G$4:$G$603,$Z122-5200))),""),"")))))</f>
        <v/>
      </c>
      <c r="Q122" s="40" t="str">
        <f>IF($Z122="","",IF($Z122&lt;=2000,"",IF($Z122&lt;=4000,IF(N(INDEX(周转筐出入库明细!$H$4:$H$2004,$Z122-2000))=0,"",N(INDEX(周转筐出入库明细!$H$4:$H$2004,$Z122-2000))),IF($Z122&lt;=5200,IF(N(INDEX(客户自备加工筐明细!$F$4:$F$1203,$Z122-4000))=0,"",N(INDEX(客户自备加工筐明细!$F$4:$F$1203,$Z122-4000))),IF($Z122&lt;=5800,"","")))))</f>
        <v/>
      </c>
      <c r="R122" s="16" t="str">
        <f>IF($Z122="","",IF($Z122&lt;=2000,IF(INDEX(包装物料出入库明细!$O$4:$O$2003,$Z122-0)=0,"",INDEX(包装物料出入库明细!$O$4:$O$2003,$Z122-0)),IF($Z122&lt;=4000,IF(INDEX(周转筐出入库明细!$M$4:$M$2004,$Z122-2000)=0,"",INDEX(周转筐出入库明细!$M$4:$M$2004,$Z122-2000)),IF($Z122&lt;=5200,IF(INDEX(客户自备加工筐明细!$H$4:$H$1203,$Z122-4000)=0,"",INDEX(客户自备加工筐明细!$H$4:$H$1203,$Z122-4000)),IF($Z122&lt;=5800,IF(INDEX(次果筐明细!$H$4:$H$603,$Z122-5200)=0,"",INDEX(次果筐明细!$H$4:$H$603,$Z122-5200)),"")))))</f>
        <v/>
      </c>
      <c r="S122" s="22" t="str">
        <f t="shared" si="5"/>
        <v/>
      </c>
      <c r="Z122" s="10" t="str">
        <f>IFERROR(MATCH(ROW()-3,_自动清单!$CQ$4:$CQ$5803,0),"")</f>
        <v/>
      </c>
    </row>
    <row r="123" spans="1:26">
      <c r="A123" s="24" t="str">
        <f t="shared" si="3"/>
        <v/>
      </c>
      <c r="B123" s="38" t="str">
        <f>IF($Z123="","",IF($Z123&lt;=2000,IF(INDEX(包装物料出入库明细!$B$4:$B$2003,$Z123-0)=0,"",INDEX(包装物料出入库明细!$B$4:$B$2003,$Z123-0)),IF($Z123&lt;=4000,IF(INDEX(周转筐出入库明细!$B$4:$B$2004,$Z123-2000)=0,"",INDEX(周转筐出入库明细!$B$4:$B$2004,$Z123-2000)),IF($Z123&lt;=5200,IF(INDEX(客户自备加工筐明细!$B$4:$B$1203,$Z123-4000)=0,"",INDEX(客户自备加工筐明细!$B$4:$B$1203,$Z123-4000)),IF($Z123&lt;=5800,IF(INDEX(次果筐明细!$B$4:$B$603,$Z123-5200)=0,"",INDEX(次果筐明细!$B$4:$B$603,$Z123-5200)),"")))))</f>
        <v/>
      </c>
      <c r="C123" s="37" t="str">
        <f>IF($Z123="","",IF($Z123&lt;=2000,IF(INDEX(包装物料出入库明细!$D$4:$D$2003,$Z123-0)=0,"",INDEX(包装物料出入库明细!$D$4:$D$2003,$Z123-0)),IF($Z123&lt;=4000,IF(INDEX(周转筐出入库明细!$C$4:$C$2004,$Z123-2000)=0,"",INDEX(周转筐出入库明细!$C$4:$C$2004,$Z123-2000)),IF($Z123&lt;=5200,IF(INDEX(客户自备加工筐明细!$E$4:$E$1203,$Z123-4000)=0,"",INDEX(客户自备加工筐明细!$E$4:$E$1203,$Z123-4000)),IF($Z123&lt;=5800,IF(INDEX(次果筐明细!$C$4:$C$603,$Z123-5200)=0,"",INDEX(次果筐明细!$C$4:$C$603,$Z123-5200)),"")))))</f>
        <v/>
      </c>
      <c r="D123" s="37" t="str">
        <f>IF($Z123="","",IF($Z123&lt;=2000,"包装物料－"&amp;INDEX(包装物料出入库明细!$H$4:$H$2003,$Z123-0),IF($Z123&lt;=4000,"周转筐－"&amp;INDEX(周转筐出入库明细!$F$4:$F$2004,$Z123-2000),IF($Z123&lt;=5200,"客户自备筐－"&amp;INDEX(客户自备加工筐明细!$J$4:$J$1203,$Z123-4000),IF($Z123&lt;=5800,"次果筐/托盘－"&amp;INDEX(次果筐明细!$F$4:$F$603,$Z123-5200),"")))))</f>
        <v/>
      </c>
      <c r="E123" s="24" t="str">
        <f>IF($Z123="","",IF($Z123&lt;=2000,IF(INDEX(包装物料出入库明细!$C$4:$C$2003,$Z123-0)=0,"",INDEX(包装物料出入库明细!$C$4:$C$2003,$Z123-0)),IF($Z123&lt;=4000,IF(INDEX(周转筐出入库明细!$E$4:$E$2004,$Z123-2000)=0,"",INDEX(周转筐出入库明细!$E$4:$E$2004,$Z123-2000)),IF($Z123&lt;=5200,IF(INDEX(客户自备加工筐明细!$D$4:$D$1203,$Z123-4000)=0,"",INDEX(客户自备加工筐明细!$D$4:$D$1203,$Z123-4000)),IF($Z123&lt;=5800,IF(INDEX(次果筐明细!$E$4:$E$603,$Z123-5200)=0,"",INDEX(次果筐明细!$E$4:$E$603,$Z123-5200)),"")))))</f>
        <v/>
      </c>
      <c r="F123" s="24" t="str">
        <f>IF($Z123="","",IF($Z123&lt;=2000,IF(INDEX(包装物料出入库明细!$E$4:$E$2003,$Z123-0)=0,"",INDEX(包装物料出入库明细!$E$4:$E$2003,$Z123-0)),IF($Z123&lt;=4000,IF(INDEX(周转筐出入库明细!$D$4:$D$2004,$Z123-2000)=0,"",INDEX(周转筐出入库明细!$D$4:$D$2004,$Z123-2000)),IF($Z123&lt;=5200,IF(INDEX(客户自备加工筐明细!$C$4:$C$1203,$Z123-4000)=0,"",INDEX(客户自备加工筐明细!$C$4:$C$1203,$Z123-4000)),IF($Z123&lt;=5800,IF(INDEX(次果筐明细!$D$4:$D$603,$Z123-5200)=0,"",INDEX(次果筐明细!$D$4:$D$603,$Z123-5200)),"")))))</f>
        <v/>
      </c>
      <c r="G123" s="24" t="str">
        <f>IF($Z123="","",IF($Z123&lt;=2000,IF(INDEX(包装物料出入库明细!$F$4:$F$2003,$Z123-0)=0,"",INDEX(包装物料出入库明细!$F$4:$F$2003,$Z123-0)),IF($Z123&lt;=4000,"",IF($Z123&lt;=5200,"",IF($Z123&lt;=5800,"","")))))</f>
        <v/>
      </c>
      <c r="H123" s="39" t="str">
        <f>IF($Z123="","",IF($Z123&lt;=2000,IF(INDEX(包装物料出入库明细!$L$4:$L$2003,$Z123-0)=0,"",INDEX(包装物料出入库明细!$L$4:$L$2003,$Z123-0)),IF($Z123&lt;=4000,N(INDEX(周转筐出入库明细!$H$4:$H$2004,$Z123-2000))+N(INDEX(周转筐出入库明细!$I$4:$I$2004,$Z123-2000))+N(INDEX(周转筐出入库明细!$J$4:$J$2004,$Z123-2000))+N(INDEX(周转筐出入库明细!$K$4:$K$2004,$Z123-2000)),IF($Z123&lt;=5200,N(INDEX(客户自备加工筐明细!$F$4:$F$1203,$Z123-4000))+N(INDEX(客户自备加工筐明细!$G$4:$G$1203,$Z123-4000)),IF($Z123&lt;=5800,IF(INDEX(次果筐明细!$G$4:$G$603,$Z123-5200)=0,"",INDEX(次果筐明细!$G$4:$G$603,$Z123-5200)),"")))))</f>
        <v/>
      </c>
      <c r="I123" s="24" t="str">
        <f>IF($Z123="","",IF($Z123&lt;=2000,IF(INDEX(包装物料出入库明细!$G$4:$G$2003,$Z123-0)=0,"",INDEX(包装物料出入库明细!$G$4:$G$2003,$Z123-0)),IF($Z123&lt;=4000,"个",IF($Z123&lt;=5200,"个",IF($Z123&lt;=5800,"个","")))))</f>
        <v/>
      </c>
      <c r="J123" s="30" t="str">
        <f t="shared" si="4"/>
        <v/>
      </c>
      <c r="K123" s="30" t="str">
        <f>IF($Z123="","",IF($Z123&lt;=2000,IF(INDEX(包装物料出入库明细!$N$4:$N$2003,$Z123-0)=0,"",INDEX(包装物料出入库明细!$N$4:$N$2003,$Z123-0)),IF($Z123&lt;=4000,IF(INDEX(周转筐出入库明细!$P$4:$P$2004,$Z123-2000)=0,"",INDEX(周转筐出入库明细!$P$4:$P$2004,$Z123-2000)),IF($Z123&lt;=5200,"",IF($Z123&lt;=5800,N(INDEX(次果筐明细!$L$4:$L$603,$Z123-5200))+N(INDEX(次果筐明细!$J$4:$J$603,$Z123-5200)),"")))))</f>
        <v/>
      </c>
      <c r="L123" s="24" t="str">
        <f>IF($Z123="","",IF($Z123&lt;=2000,IF(INDEX(包装物料出入库明细!$P$4:$P$2003,$Z123-0)=0,"",INDEX(包装物料出入库明细!$P$4:$P$2003,$Z123-0)),IF($Z123&lt;=4000,IF(INDEX(周转筐出入库明细!$Q$4:$Q$2004,$Z123-2000)=0,"",INDEX(周转筐出入库明细!$Q$4:$Q$2004,$Z123-2000)),IF($Z123&lt;=5200,"",IF($Z123&lt;=5800,IF(INDEX(次果筐明细!$M$4:$M$603,$Z123-5200)=0,"",INDEX(次果筐明细!$M$4:$M$603,$Z123-5200)),"")))))</f>
        <v/>
      </c>
      <c r="M123" s="37" t="str">
        <f>IF($Z123="","",IF($Z123&lt;=2000,IF(INDEX(包装物料出入库明细!$R$4:$R$2003,$Z123-0)=0,"",INDEX(包装物料出入库明细!$R$4:$R$2003,$Z123-0)),IF($Z123&lt;=4000,IF(INDEX(周转筐出入库明细!$W$4:$W$2004,$Z123-2000)=0,"",INDEX(周转筐出入库明细!$W$4:$W$2004,$Z123-2000)),IF($Z123&lt;=5200,IF(INDEX(客户自备加工筐明细!$L$4:$L$1203,$Z123-4000)=0,"",INDEX(客户自备加工筐明细!$L$4:$L$1203,$Z123-4000)),IF($Z123&lt;=5800,IF(INDEX(次果筐明细!$P$4:$P$603,$Z123-5200)=0,"",INDEX(次果筐明细!$P$4:$P$603,$Z123-5200)),"")))))</f>
        <v/>
      </c>
      <c r="N123" s="16" t="str">
        <f>IF($Z123="","",IF($Z123&lt;=2000,"",IF($Z123&lt;=4000,IF(INDEX(周转筐出入库明细!$D$4:$D$2004,$Z123-2000)=0,"",INDEX(周转筐出入库明细!$D$4:$D$2004,$Z123-2000)),IF($Z123&lt;=5200,IF(INDEX(客户自备加工筐明细!$C$4:$C$1203,$Z123-4000)=0,"",INDEX(客户自备加工筐明细!$C$4:$C$1203,$Z123-4000)),IF($Z123&lt;=5800,IF(INDEX(次果筐明细!$D$4:$D$603,$Z123-5200)=0,"",INDEX(次果筐明细!$D$4:$D$603,$Z123-5200)),"")))))</f>
        <v/>
      </c>
      <c r="O123" s="40" t="str">
        <f>IF($Z123="","",IF($Z123&lt;=2000,"",IF($Z123&lt;=4000,IF(N(INDEX(周转筐出入库明细!$J$4:$J$2004,$Z123-2000))+N(INDEX(周转筐出入库明细!$K$4:$K$2004,$Z123-2000))=0,"",N(INDEX(周转筐出入库明细!$J$4:$J$2004,$Z123-2000))+N(INDEX(周转筐出入库明细!$K$4:$K$2004,$Z123-2000))),IF($Z123&lt;=5200,IF(N(INDEX(客户自备加工筐明细!$G$4:$G$1203,$Z123-4000))=0,"",N(INDEX(客户自备加工筐明细!$G$4:$G$1203,$Z123-4000))),IF($Z123&lt;=5800,IF(ISNUMBER(SEARCH("退",INDEX(次果筐明细!$F$4:$F$603,$Z123-5200)&amp;"")),"",IF(N(INDEX(次果筐明细!$G$4:$G$603,$Z123-5200))=0,"",N(INDEX(次果筐明细!$G$4:$G$603,$Z123-5200)))),"")))))</f>
        <v/>
      </c>
      <c r="P123" s="40" t="str">
        <f>IF($Z123="","",IF($Z123&lt;=2000,"",IF($Z123&lt;=4000,IF(N(INDEX(周转筐出入库明细!$I$4:$I$2004,$Z123-2000))=0,"",N(INDEX(周转筐出入库明细!$I$4:$I$2004,$Z123-2000))),IF($Z123&lt;=5200,"",IF($Z123&lt;=5800,IF(ISNUMBER(SEARCH("退",INDEX(次果筐明细!$F$4:$F$603,$Z123-5200)&amp;"")),IF(N(INDEX(次果筐明细!$G$4:$G$603,$Z123-5200))=0,"",N(INDEX(次果筐明细!$G$4:$G$603,$Z123-5200))),""),"")))))</f>
        <v/>
      </c>
      <c r="Q123" s="40" t="str">
        <f>IF($Z123="","",IF($Z123&lt;=2000,"",IF($Z123&lt;=4000,IF(N(INDEX(周转筐出入库明细!$H$4:$H$2004,$Z123-2000))=0,"",N(INDEX(周转筐出入库明细!$H$4:$H$2004,$Z123-2000))),IF($Z123&lt;=5200,IF(N(INDEX(客户自备加工筐明细!$F$4:$F$1203,$Z123-4000))=0,"",N(INDEX(客户自备加工筐明细!$F$4:$F$1203,$Z123-4000))),IF($Z123&lt;=5800,"","")))))</f>
        <v/>
      </c>
      <c r="R123" s="16" t="str">
        <f>IF($Z123="","",IF($Z123&lt;=2000,IF(INDEX(包装物料出入库明细!$O$4:$O$2003,$Z123-0)=0,"",INDEX(包装物料出入库明细!$O$4:$O$2003,$Z123-0)),IF($Z123&lt;=4000,IF(INDEX(周转筐出入库明细!$M$4:$M$2004,$Z123-2000)=0,"",INDEX(周转筐出入库明细!$M$4:$M$2004,$Z123-2000)),IF($Z123&lt;=5200,IF(INDEX(客户自备加工筐明细!$H$4:$H$1203,$Z123-4000)=0,"",INDEX(客户自备加工筐明细!$H$4:$H$1203,$Z123-4000)),IF($Z123&lt;=5800,IF(INDEX(次果筐明细!$H$4:$H$603,$Z123-5200)=0,"",INDEX(次果筐明细!$H$4:$H$603,$Z123-5200)),"")))))</f>
        <v/>
      </c>
      <c r="S123" s="22" t="str">
        <f t="shared" si="5"/>
        <v/>
      </c>
      <c r="Z123" s="10" t="str">
        <f>IFERROR(MATCH(ROW()-3,_自动清单!$CQ$4:$CQ$5803,0),"")</f>
        <v/>
      </c>
    </row>
    <row r="124" spans="1:26">
      <c r="A124" s="24" t="str">
        <f t="shared" si="3"/>
        <v/>
      </c>
      <c r="B124" s="38" t="str">
        <f>IF($Z124="","",IF($Z124&lt;=2000,IF(INDEX(包装物料出入库明细!$B$4:$B$2003,$Z124-0)=0,"",INDEX(包装物料出入库明细!$B$4:$B$2003,$Z124-0)),IF($Z124&lt;=4000,IF(INDEX(周转筐出入库明细!$B$4:$B$2004,$Z124-2000)=0,"",INDEX(周转筐出入库明细!$B$4:$B$2004,$Z124-2000)),IF($Z124&lt;=5200,IF(INDEX(客户自备加工筐明细!$B$4:$B$1203,$Z124-4000)=0,"",INDEX(客户自备加工筐明细!$B$4:$B$1203,$Z124-4000)),IF($Z124&lt;=5800,IF(INDEX(次果筐明细!$B$4:$B$603,$Z124-5200)=0,"",INDEX(次果筐明细!$B$4:$B$603,$Z124-5200)),"")))))</f>
        <v/>
      </c>
      <c r="C124" s="37" t="str">
        <f>IF($Z124="","",IF($Z124&lt;=2000,IF(INDEX(包装物料出入库明细!$D$4:$D$2003,$Z124-0)=0,"",INDEX(包装物料出入库明细!$D$4:$D$2003,$Z124-0)),IF($Z124&lt;=4000,IF(INDEX(周转筐出入库明细!$C$4:$C$2004,$Z124-2000)=0,"",INDEX(周转筐出入库明细!$C$4:$C$2004,$Z124-2000)),IF($Z124&lt;=5200,IF(INDEX(客户自备加工筐明细!$E$4:$E$1203,$Z124-4000)=0,"",INDEX(客户自备加工筐明细!$E$4:$E$1203,$Z124-4000)),IF($Z124&lt;=5800,IF(INDEX(次果筐明细!$C$4:$C$603,$Z124-5200)=0,"",INDEX(次果筐明细!$C$4:$C$603,$Z124-5200)),"")))))</f>
        <v/>
      </c>
      <c r="D124" s="37" t="str">
        <f>IF($Z124="","",IF($Z124&lt;=2000,"包装物料－"&amp;INDEX(包装物料出入库明细!$H$4:$H$2003,$Z124-0),IF($Z124&lt;=4000,"周转筐－"&amp;INDEX(周转筐出入库明细!$F$4:$F$2004,$Z124-2000),IF($Z124&lt;=5200,"客户自备筐－"&amp;INDEX(客户自备加工筐明细!$J$4:$J$1203,$Z124-4000),IF($Z124&lt;=5800,"次果筐/托盘－"&amp;INDEX(次果筐明细!$F$4:$F$603,$Z124-5200),"")))))</f>
        <v/>
      </c>
      <c r="E124" s="24" t="str">
        <f>IF($Z124="","",IF($Z124&lt;=2000,IF(INDEX(包装物料出入库明细!$C$4:$C$2003,$Z124-0)=0,"",INDEX(包装物料出入库明细!$C$4:$C$2003,$Z124-0)),IF($Z124&lt;=4000,IF(INDEX(周转筐出入库明细!$E$4:$E$2004,$Z124-2000)=0,"",INDEX(周转筐出入库明细!$E$4:$E$2004,$Z124-2000)),IF($Z124&lt;=5200,IF(INDEX(客户自备加工筐明细!$D$4:$D$1203,$Z124-4000)=0,"",INDEX(客户自备加工筐明细!$D$4:$D$1203,$Z124-4000)),IF($Z124&lt;=5800,IF(INDEX(次果筐明细!$E$4:$E$603,$Z124-5200)=0,"",INDEX(次果筐明细!$E$4:$E$603,$Z124-5200)),"")))))</f>
        <v/>
      </c>
      <c r="F124" s="24" t="str">
        <f>IF($Z124="","",IF($Z124&lt;=2000,IF(INDEX(包装物料出入库明细!$E$4:$E$2003,$Z124-0)=0,"",INDEX(包装物料出入库明细!$E$4:$E$2003,$Z124-0)),IF($Z124&lt;=4000,IF(INDEX(周转筐出入库明细!$D$4:$D$2004,$Z124-2000)=0,"",INDEX(周转筐出入库明细!$D$4:$D$2004,$Z124-2000)),IF($Z124&lt;=5200,IF(INDEX(客户自备加工筐明细!$C$4:$C$1203,$Z124-4000)=0,"",INDEX(客户自备加工筐明细!$C$4:$C$1203,$Z124-4000)),IF($Z124&lt;=5800,IF(INDEX(次果筐明细!$D$4:$D$603,$Z124-5200)=0,"",INDEX(次果筐明细!$D$4:$D$603,$Z124-5200)),"")))))</f>
        <v/>
      </c>
      <c r="G124" s="24" t="str">
        <f>IF($Z124="","",IF($Z124&lt;=2000,IF(INDEX(包装物料出入库明细!$F$4:$F$2003,$Z124-0)=0,"",INDEX(包装物料出入库明细!$F$4:$F$2003,$Z124-0)),IF($Z124&lt;=4000,"",IF($Z124&lt;=5200,"",IF($Z124&lt;=5800,"","")))))</f>
        <v/>
      </c>
      <c r="H124" s="39" t="str">
        <f>IF($Z124="","",IF($Z124&lt;=2000,IF(INDEX(包装物料出入库明细!$L$4:$L$2003,$Z124-0)=0,"",INDEX(包装物料出入库明细!$L$4:$L$2003,$Z124-0)),IF($Z124&lt;=4000,N(INDEX(周转筐出入库明细!$H$4:$H$2004,$Z124-2000))+N(INDEX(周转筐出入库明细!$I$4:$I$2004,$Z124-2000))+N(INDEX(周转筐出入库明细!$J$4:$J$2004,$Z124-2000))+N(INDEX(周转筐出入库明细!$K$4:$K$2004,$Z124-2000)),IF($Z124&lt;=5200,N(INDEX(客户自备加工筐明细!$F$4:$F$1203,$Z124-4000))+N(INDEX(客户自备加工筐明细!$G$4:$G$1203,$Z124-4000)),IF($Z124&lt;=5800,IF(INDEX(次果筐明细!$G$4:$G$603,$Z124-5200)=0,"",INDEX(次果筐明细!$G$4:$G$603,$Z124-5200)),"")))))</f>
        <v/>
      </c>
      <c r="I124" s="24" t="str">
        <f>IF($Z124="","",IF($Z124&lt;=2000,IF(INDEX(包装物料出入库明细!$G$4:$G$2003,$Z124-0)=0,"",INDEX(包装物料出入库明细!$G$4:$G$2003,$Z124-0)),IF($Z124&lt;=4000,"个",IF($Z124&lt;=5200,"个",IF($Z124&lt;=5800,"个","")))))</f>
        <v/>
      </c>
      <c r="J124" s="30" t="str">
        <f t="shared" si="4"/>
        <v/>
      </c>
      <c r="K124" s="30" t="str">
        <f>IF($Z124="","",IF($Z124&lt;=2000,IF(INDEX(包装物料出入库明细!$N$4:$N$2003,$Z124-0)=0,"",INDEX(包装物料出入库明细!$N$4:$N$2003,$Z124-0)),IF($Z124&lt;=4000,IF(INDEX(周转筐出入库明细!$P$4:$P$2004,$Z124-2000)=0,"",INDEX(周转筐出入库明细!$P$4:$P$2004,$Z124-2000)),IF($Z124&lt;=5200,"",IF($Z124&lt;=5800,N(INDEX(次果筐明细!$L$4:$L$603,$Z124-5200))+N(INDEX(次果筐明细!$J$4:$J$603,$Z124-5200)),"")))))</f>
        <v/>
      </c>
      <c r="L124" s="24" t="str">
        <f>IF($Z124="","",IF($Z124&lt;=2000,IF(INDEX(包装物料出入库明细!$P$4:$P$2003,$Z124-0)=0,"",INDEX(包装物料出入库明细!$P$4:$P$2003,$Z124-0)),IF($Z124&lt;=4000,IF(INDEX(周转筐出入库明细!$Q$4:$Q$2004,$Z124-2000)=0,"",INDEX(周转筐出入库明细!$Q$4:$Q$2004,$Z124-2000)),IF($Z124&lt;=5200,"",IF($Z124&lt;=5800,IF(INDEX(次果筐明细!$M$4:$M$603,$Z124-5200)=0,"",INDEX(次果筐明细!$M$4:$M$603,$Z124-5200)),"")))))</f>
        <v/>
      </c>
      <c r="M124" s="37" t="str">
        <f>IF($Z124="","",IF($Z124&lt;=2000,IF(INDEX(包装物料出入库明细!$R$4:$R$2003,$Z124-0)=0,"",INDEX(包装物料出入库明细!$R$4:$R$2003,$Z124-0)),IF($Z124&lt;=4000,IF(INDEX(周转筐出入库明细!$W$4:$W$2004,$Z124-2000)=0,"",INDEX(周转筐出入库明细!$W$4:$W$2004,$Z124-2000)),IF($Z124&lt;=5200,IF(INDEX(客户自备加工筐明细!$L$4:$L$1203,$Z124-4000)=0,"",INDEX(客户自备加工筐明细!$L$4:$L$1203,$Z124-4000)),IF($Z124&lt;=5800,IF(INDEX(次果筐明细!$P$4:$P$603,$Z124-5200)=0,"",INDEX(次果筐明细!$P$4:$P$603,$Z124-5200)),"")))))</f>
        <v/>
      </c>
      <c r="N124" s="16" t="str">
        <f>IF($Z124="","",IF($Z124&lt;=2000,"",IF($Z124&lt;=4000,IF(INDEX(周转筐出入库明细!$D$4:$D$2004,$Z124-2000)=0,"",INDEX(周转筐出入库明细!$D$4:$D$2004,$Z124-2000)),IF($Z124&lt;=5200,IF(INDEX(客户自备加工筐明细!$C$4:$C$1203,$Z124-4000)=0,"",INDEX(客户自备加工筐明细!$C$4:$C$1203,$Z124-4000)),IF($Z124&lt;=5800,IF(INDEX(次果筐明细!$D$4:$D$603,$Z124-5200)=0,"",INDEX(次果筐明细!$D$4:$D$603,$Z124-5200)),"")))))</f>
        <v/>
      </c>
      <c r="O124" s="40" t="str">
        <f>IF($Z124="","",IF($Z124&lt;=2000,"",IF($Z124&lt;=4000,IF(N(INDEX(周转筐出入库明细!$J$4:$J$2004,$Z124-2000))+N(INDEX(周转筐出入库明细!$K$4:$K$2004,$Z124-2000))=0,"",N(INDEX(周转筐出入库明细!$J$4:$J$2004,$Z124-2000))+N(INDEX(周转筐出入库明细!$K$4:$K$2004,$Z124-2000))),IF($Z124&lt;=5200,IF(N(INDEX(客户自备加工筐明细!$G$4:$G$1203,$Z124-4000))=0,"",N(INDEX(客户自备加工筐明细!$G$4:$G$1203,$Z124-4000))),IF($Z124&lt;=5800,IF(ISNUMBER(SEARCH("退",INDEX(次果筐明细!$F$4:$F$603,$Z124-5200)&amp;"")),"",IF(N(INDEX(次果筐明细!$G$4:$G$603,$Z124-5200))=0,"",N(INDEX(次果筐明细!$G$4:$G$603,$Z124-5200)))),"")))))</f>
        <v/>
      </c>
      <c r="P124" s="40" t="str">
        <f>IF($Z124="","",IF($Z124&lt;=2000,"",IF($Z124&lt;=4000,IF(N(INDEX(周转筐出入库明细!$I$4:$I$2004,$Z124-2000))=0,"",N(INDEX(周转筐出入库明细!$I$4:$I$2004,$Z124-2000))),IF($Z124&lt;=5200,"",IF($Z124&lt;=5800,IF(ISNUMBER(SEARCH("退",INDEX(次果筐明细!$F$4:$F$603,$Z124-5200)&amp;"")),IF(N(INDEX(次果筐明细!$G$4:$G$603,$Z124-5200))=0,"",N(INDEX(次果筐明细!$G$4:$G$603,$Z124-5200))),""),"")))))</f>
        <v/>
      </c>
      <c r="Q124" s="40" t="str">
        <f>IF($Z124="","",IF($Z124&lt;=2000,"",IF($Z124&lt;=4000,IF(N(INDEX(周转筐出入库明细!$H$4:$H$2004,$Z124-2000))=0,"",N(INDEX(周转筐出入库明细!$H$4:$H$2004,$Z124-2000))),IF($Z124&lt;=5200,IF(N(INDEX(客户自备加工筐明细!$F$4:$F$1203,$Z124-4000))=0,"",N(INDEX(客户自备加工筐明细!$F$4:$F$1203,$Z124-4000))),IF($Z124&lt;=5800,"","")))))</f>
        <v/>
      </c>
      <c r="R124" s="16" t="str">
        <f>IF($Z124="","",IF($Z124&lt;=2000,IF(INDEX(包装物料出入库明细!$O$4:$O$2003,$Z124-0)=0,"",INDEX(包装物料出入库明细!$O$4:$O$2003,$Z124-0)),IF($Z124&lt;=4000,IF(INDEX(周转筐出入库明细!$M$4:$M$2004,$Z124-2000)=0,"",INDEX(周转筐出入库明细!$M$4:$M$2004,$Z124-2000)),IF($Z124&lt;=5200,IF(INDEX(客户自备加工筐明细!$H$4:$H$1203,$Z124-4000)=0,"",INDEX(客户自备加工筐明细!$H$4:$H$1203,$Z124-4000)),IF($Z124&lt;=5800,IF(INDEX(次果筐明细!$H$4:$H$603,$Z124-5200)=0,"",INDEX(次果筐明细!$H$4:$H$603,$Z124-5200)),"")))))</f>
        <v/>
      </c>
      <c r="S124" s="22" t="str">
        <f t="shared" si="5"/>
        <v/>
      </c>
      <c r="Z124" s="10" t="str">
        <f>IFERROR(MATCH(ROW()-3,_自动清单!$CQ$4:$CQ$5803,0),"")</f>
        <v/>
      </c>
    </row>
    <row r="125" spans="1:26">
      <c r="A125" s="24" t="str">
        <f t="shared" si="3"/>
        <v/>
      </c>
      <c r="B125" s="38" t="str">
        <f>IF($Z125="","",IF($Z125&lt;=2000,IF(INDEX(包装物料出入库明细!$B$4:$B$2003,$Z125-0)=0,"",INDEX(包装物料出入库明细!$B$4:$B$2003,$Z125-0)),IF($Z125&lt;=4000,IF(INDEX(周转筐出入库明细!$B$4:$B$2004,$Z125-2000)=0,"",INDEX(周转筐出入库明细!$B$4:$B$2004,$Z125-2000)),IF($Z125&lt;=5200,IF(INDEX(客户自备加工筐明细!$B$4:$B$1203,$Z125-4000)=0,"",INDEX(客户自备加工筐明细!$B$4:$B$1203,$Z125-4000)),IF($Z125&lt;=5800,IF(INDEX(次果筐明细!$B$4:$B$603,$Z125-5200)=0,"",INDEX(次果筐明细!$B$4:$B$603,$Z125-5200)),"")))))</f>
        <v/>
      </c>
      <c r="C125" s="37" t="str">
        <f>IF($Z125="","",IF($Z125&lt;=2000,IF(INDEX(包装物料出入库明细!$D$4:$D$2003,$Z125-0)=0,"",INDEX(包装物料出入库明细!$D$4:$D$2003,$Z125-0)),IF($Z125&lt;=4000,IF(INDEX(周转筐出入库明细!$C$4:$C$2004,$Z125-2000)=0,"",INDEX(周转筐出入库明细!$C$4:$C$2004,$Z125-2000)),IF($Z125&lt;=5200,IF(INDEX(客户自备加工筐明细!$E$4:$E$1203,$Z125-4000)=0,"",INDEX(客户自备加工筐明细!$E$4:$E$1203,$Z125-4000)),IF($Z125&lt;=5800,IF(INDEX(次果筐明细!$C$4:$C$603,$Z125-5200)=0,"",INDEX(次果筐明细!$C$4:$C$603,$Z125-5200)),"")))))</f>
        <v/>
      </c>
      <c r="D125" s="37" t="str">
        <f>IF($Z125="","",IF($Z125&lt;=2000,"包装物料－"&amp;INDEX(包装物料出入库明细!$H$4:$H$2003,$Z125-0),IF($Z125&lt;=4000,"周转筐－"&amp;INDEX(周转筐出入库明细!$F$4:$F$2004,$Z125-2000),IF($Z125&lt;=5200,"客户自备筐－"&amp;INDEX(客户自备加工筐明细!$J$4:$J$1203,$Z125-4000),IF($Z125&lt;=5800,"次果筐/托盘－"&amp;INDEX(次果筐明细!$F$4:$F$603,$Z125-5200),"")))))</f>
        <v/>
      </c>
      <c r="E125" s="24" t="str">
        <f>IF($Z125="","",IF($Z125&lt;=2000,IF(INDEX(包装物料出入库明细!$C$4:$C$2003,$Z125-0)=0,"",INDEX(包装物料出入库明细!$C$4:$C$2003,$Z125-0)),IF($Z125&lt;=4000,IF(INDEX(周转筐出入库明细!$E$4:$E$2004,$Z125-2000)=0,"",INDEX(周转筐出入库明细!$E$4:$E$2004,$Z125-2000)),IF($Z125&lt;=5200,IF(INDEX(客户自备加工筐明细!$D$4:$D$1203,$Z125-4000)=0,"",INDEX(客户自备加工筐明细!$D$4:$D$1203,$Z125-4000)),IF($Z125&lt;=5800,IF(INDEX(次果筐明细!$E$4:$E$603,$Z125-5200)=0,"",INDEX(次果筐明细!$E$4:$E$603,$Z125-5200)),"")))))</f>
        <v/>
      </c>
      <c r="F125" s="24" t="str">
        <f>IF($Z125="","",IF($Z125&lt;=2000,IF(INDEX(包装物料出入库明细!$E$4:$E$2003,$Z125-0)=0,"",INDEX(包装物料出入库明细!$E$4:$E$2003,$Z125-0)),IF($Z125&lt;=4000,IF(INDEX(周转筐出入库明细!$D$4:$D$2004,$Z125-2000)=0,"",INDEX(周转筐出入库明细!$D$4:$D$2004,$Z125-2000)),IF($Z125&lt;=5200,IF(INDEX(客户自备加工筐明细!$C$4:$C$1203,$Z125-4000)=0,"",INDEX(客户自备加工筐明细!$C$4:$C$1203,$Z125-4000)),IF($Z125&lt;=5800,IF(INDEX(次果筐明细!$D$4:$D$603,$Z125-5200)=0,"",INDEX(次果筐明细!$D$4:$D$603,$Z125-5200)),"")))))</f>
        <v/>
      </c>
      <c r="G125" s="24" t="str">
        <f>IF($Z125="","",IF($Z125&lt;=2000,IF(INDEX(包装物料出入库明细!$F$4:$F$2003,$Z125-0)=0,"",INDEX(包装物料出入库明细!$F$4:$F$2003,$Z125-0)),IF($Z125&lt;=4000,"",IF($Z125&lt;=5200,"",IF($Z125&lt;=5800,"","")))))</f>
        <v/>
      </c>
      <c r="H125" s="39" t="str">
        <f>IF($Z125="","",IF($Z125&lt;=2000,IF(INDEX(包装物料出入库明细!$L$4:$L$2003,$Z125-0)=0,"",INDEX(包装物料出入库明细!$L$4:$L$2003,$Z125-0)),IF($Z125&lt;=4000,N(INDEX(周转筐出入库明细!$H$4:$H$2004,$Z125-2000))+N(INDEX(周转筐出入库明细!$I$4:$I$2004,$Z125-2000))+N(INDEX(周转筐出入库明细!$J$4:$J$2004,$Z125-2000))+N(INDEX(周转筐出入库明细!$K$4:$K$2004,$Z125-2000)),IF($Z125&lt;=5200,N(INDEX(客户自备加工筐明细!$F$4:$F$1203,$Z125-4000))+N(INDEX(客户自备加工筐明细!$G$4:$G$1203,$Z125-4000)),IF($Z125&lt;=5800,IF(INDEX(次果筐明细!$G$4:$G$603,$Z125-5200)=0,"",INDEX(次果筐明细!$G$4:$G$603,$Z125-5200)),"")))))</f>
        <v/>
      </c>
      <c r="I125" s="24" t="str">
        <f>IF($Z125="","",IF($Z125&lt;=2000,IF(INDEX(包装物料出入库明细!$G$4:$G$2003,$Z125-0)=0,"",INDEX(包装物料出入库明细!$G$4:$G$2003,$Z125-0)),IF($Z125&lt;=4000,"个",IF($Z125&lt;=5200,"个",IF($Z125&lt;=5800,"个","")))))</f>
        <v/>
      </c>
      <c r="J125" s="30" t="str">
        <f t="shared" si="4"/>
        <v/>
      </c>
      <c r="K125" s="30" t="str">
        <f>IF($Z125="","",IF($Z125&lt;=2000,IF(INDEX(包装物料出入库明细!$N$4:$N$2003,$Z125-0)=0,"",INDEX(包装物料出入库明细!$N$4:$N$2003,$Z125-0)),IF($Z125&lt;=4000,IF(INDEX(周转筐出入库明细!$P$4:$P$2004,$Z125-2000)=0,"",INDEX(周转筐出入库明细!$P$4:$P$2004,$Z125-2000)),IF($Z125&lt;=5200,"",IF($Z125&lt;=5800,N(INDEX(次果筐明细!$L$4:$L$603,$Z125-5200))+N(INDEX(次果筐明细!$J$4:$J$603,$Z125-5200)),"")))))</f>
        <v/>
      </c>
      <c r="L125" s="24" t="str">
        <f>IF($Z125="","",IF($Z125&lt;=2000,IF(INDEX(包装物料出入库明细!$P$4:$P$2003,$Z125-0)=0,"",INDEX(包装物料出入库明细!$P$4:$P$2003,$Z125-0)),IF($Z125&lt;=4000,IF(INDEX(周转筐出入库明细!$Q$4:$Q$2004,$Z125-2000)=0,"",INDEX(周转筐出入库明细!$Q$4:$Q$2004,$Z125-2000)),IF($Z125&lt;=5200,"",IF($Z125&lt;=5800,IF(INDEX(次果筐明细!$M$4:$M$603,$Z125-5200)=0,"",INDEX(次果筐明细!$M$4:$M$603,$Z125-5200)),"")))))</f>
        <v/>
      </c>
      <c r="M125" s="37" t="str">
        <f>IF($Z125="","",IF($Z125&lt;=2000,IF(INDEX(包装物料出入库明细!$R$4:$R$2003,$Z125-0)=0,"",INDEX(包装物料出入库明细!$R$4:$R$2003,$Z125-0)),IF($Z125&lt;=4000,IF(INDEX(周转筐出入库明细!$W$4:$W$2004,$Z125-2000)=0,"",INDEX(周转筐出入库明细!$W$4:$W$2004,$Z125-2000)),IF($Z125&lt;=5200,IF(INDEX(客户自备加工筐明细!$L$4:$L$1203,$Z125-4000)=0,"",INDEX(客户自备加工筐明细!$L$4:$L$1203,$Z125-4000)),IF($Z125&lt;=5800,IF(INDEX(次果筐明细!$P$4:$P$603,$Z125-5200)=0,"",INDEX(次果筐明细!$P$4:$P$603,$Z125-5200)),"")))))</f>
        <v/>
      </c>
      <c r="N125" s="16" t="str">
        <f>IF($Z125="","",IF($Z125&lt;=2000,"",IF($Z125&lt;=4000,IF(INDEX(周转筐出入库明细!$D$4:$D$2004,$Z125-2000)=0,"",INDEX(周转筐出入库明细!$D$4:$D$2004,$Z125-2000)),IF($Z125&lt;=5200,IF(INDEX(客户自备加工筐明细!$C$4:$C$1203,$Z125-4000)=0,"",INDEX(客户自备加工筐明细!$C$4:$C$1203,$Z125-4000)),IF($Z125&lt;=5800,IF(INDEX(次果筐明细!$D$4:$D$603,$Z125-5200)=0,"",INDEX(次果筐明细!$D$4:$D$603,$Z125-5200)),"")))))</f>
        <v/>
      </c>
      <c r="O125" s="40" t="str">
        <f>IF($Z125="","",IF($Z125&lt;=2000,"",IF($Z125&lt;=4000,IF(N(INDEX(周转筐出入库明细!$J$4:$J$2004,$Z125-2000))+N(INDEX(周转筐出入库明细!$K$4:$K$2004,$Z125-2000))=0,"",N(INDEX(周转筐出入库明细!$J$4:$J$2004,$Z125-2000))+N(INDEX(周转筐出入库明细!$K$4:$K$2004,$Z125-2000))),IF($Z125&lt;=5200,IF(N(INDEX(客户自备加工筐明细!$G$4:$G$1203,$Z125-4000))=0,"",N(INDEX(客户自备加工筐明细!$G$4:$G$1203,$Z125-4000))),IF($Z125&lt;=5800,IF(ISNUMBER(SEARCH("退",INDEX(次果筐明细!$F$4:$F$603,$Z125-5200)&amp;"")),"",IF(N(INDEX(次果筐明细!$G$4:$G$603,$Z125-5200))=0,"",N(INDEX(次果筐明细!$G$4:$G$603,$Z125-5200)))),"")))))</f>
        <v/>
      </c>
      <c r="P125" s="40" t="str">
        <f>IF($Z125="","",IF($Z125&lt;=2000,"",IF($Z125&lt;=4000,IF(N(INDEX(周转筐出入库明细!$I$4:$I$2004,$Z125-2000))=0,"",N(INDEX(周转筐出入库明细!$I$4:$I$2004,$Z125-2000))),IF($Z125&lt;=5200,"",IF($Z125&lt;=5800,IF(ISNUMBER(SEARCH("退",INDEX(次果筐明细!$F$4:$F$603,$Z125-5200)&amp;"")),IF(N(INDEX(次果筐明细!$G$4:$G$603,$Z125-5200))=0,"",N(INDEX(次果筐明细!$G$4:$G$603,$Z125-5200))),""),"")))))</f>
        <v/>
      </c>
      <c r="Q125" s="40" t="str">
        <f>IF($Z125="","",IF($Z125&lt;=2000,"",IF($Z125&lt;=4000,IF(N(INDEX(周转筐出入库明细!$H$4:$H$2004,$Z125-2000))=0,"",N(INDEX(周转筐出入库明细!$H$4:$H$2004,$Z125-2000))),IF($Z125&lt;=5200,IF(N(INDEX(客户自备加工筐明细!$F$4:$F$1203,$Z125-4000))=0,"",N(INDEX(客户自备加工筐明细!$F$4:$F$1203,$Z125-4000))),IF($Z125&lt;=5800,"","")))))</f>
        <v/>
      </c>
      <c r="R125" s="16" t="str">
        <f>IF($Z125="","",IF($Z125&lt;=2000,IF(INDEX(包装物料出入库明细!$O$4:$O$2003,$Z125-0)=0,"",INDEX(包装物料出入库明细!$O$4:$O$2003,$Z125-0)),IF($Z125&lt;=4000,IF(INDEX(周转筐出入库明细!$M$4:$M$2004,$Z125-2000)=0,"",INDEX(周转筐出入库明细!$M$4:$M$2004,$Z125-2000)),IF($Z125&lt;=5200,IF(INDEX(客户自备加工筐明细!$H$4:$H$1203,$Z125-4000)=0,"",INDEX(客户自备加工筐明细!$H$4:$H$1203,$Z125-4000)),IF($Z125&lt;=5800,IF(INDEX(次果筐明细!$H$4:$H$603,$Z125-5200)=0,"",INDEX(次果筐明细!$H$4:$H$603,$Z125-5200)),"")))))</f>
        <v/>
      </c>
      <c r="S125" s="22" t="str">
        <f t="shared" si="5"/>
        <v/>
      </c>
      <c r="Z125" s="10" t="str">
        <f>IFERROR(MATCH(ROW()-3,_自动清单!$CQ$4:$CQ$5803,0),"")</f>
        <v/>
      </c>
    </row>
    <row r="126" spans="1:26">
      <c r="A126" s="24" t="str">
        <f t="shared" si="3"/>
        <v/>
      </c>
      <c r="B126" s="38" t="str">
        <f>IF($Z126="","",IF($Z126&lt;=2000,IF(INDEX(包装物料出入库明细!$B$4:$B$2003,$Z126-0)=0,"",INDEX(包装物料出入库明细!$B$4:$B$2003,$Z126-0)),IF($Z126&lt;=4000,IF(INDEX(周转筐出入库明细!$B$4:$B$2004,$Z126-2000)=0,"",INDEX(周转筐出入库明细!$B$4:$B$2004,$Z126-2000)),IF($Z126&lt;=5200,IF(INDEX(客户自备加工筐明细!$B$4:$B$1203,$Z126-4000)=0,"",INDEX(客户自备加工筐明细!$B$4:$B$1203,$Z126-4000)),IF($Z126&lt;=5800,IF(INDEX(次果筐明细!$B$4:$B$603,$Z126-5200)=0,"",INDEX(次果筐明细!$B$4:$B$603,$Z126-5200)),"")))))</f>
        <v/>
      </c>
      <c r="C126" s="37" t="str">
        <f>IF($Z126="","",IF($Z126&lt;=2000,IF(INDEX(包装物料出入库明细!$D$4:$D$2003,$Z126-0)=0,"",INDEX(包装物料出入库明细!$D$4:$D$2003,$Z126-0)),IF($Z126&lt;=4000,IF(INDEX(周转筐出入库明细!$C$4:$C$2004,$Z126-2000)=0,"",INDEX(周转筐出入库明细!$C$4:$C$2004,$Z126-2000)),IF($Z126&lt;=5200,IF(INDEX(客户自备加工筐明细!$E$4:$E$1203,$Z126-4000)=0,"",INDEX(客户自备加工筐明细!$E$4:$E$1203,$Z126-4000)),IF($Z126&lt;=5800,IF(INDEX(次果筐明细!$C$4:$C$603,$Z126-5200)=0,"",INDEX(次果筐明细!$C$4:$C$603,$Z126-5200)),"")))))</f>
        <v/>
      </c>
      <c r="D126" s="37" t="str">
        <f>IF($Z126="","",IF($Z126&lt;=2000,"包装物料－"&amp;INDEX(包装物料出入库明细!$H$4:$H$2003,$Z126-0),IF($Z126&lt;=4000,"周转筐－"&amp;INDEX(周转筐出入库明细!$F$4:$F$2004,$Z126-2000),IF($Z126&lt;=5200,"客户自备筐－"&amp;INDEX(客户自备加工筐明细!$J$4:$J$1203,$Z126-4000),IF($Z126&lt;=5800,"次果筐/托盘－"&amp;INDEX(次果筐明细!$F$4:$F$603,$Z126-5200),"")))))</f>
        <v/>
      </c>
      <c r="E126" s="24" t="str">
        <f>IF($Z126="","",IF($Z126&lt;=2000,IF(INDEX(包装物料出入库明细!$C$4:$C$2003,$Z126-0)=0,"",INDEX(包装物料出入库明细!$C$4:$C$2003,$Z126-0)),IF($Z126&lt;=4000,IF(INDEX(周转筐出入库明细!$E$4:$E$2004,$Z126-2000)=0,"",INDEX(周转筐出入库明细!$E$4:$E$2004,$Z126-2000)),IF($Z126&lt;=5200,IF(INDEX(客户自备加工筐明细!$D$4:$D$1203,$Z126-4000)=0,"",INDEX(客户自备加工筐明细!$D$4:$D$1203,$Z126-4000)),IF($Z126&lt;=5800,IF(INDEX(次果筐明细!$E$4:$E$603,$Z126-5200)=0,"",INDEX(次果筐明细!$E$4:$E$603,$Z126-5200)),"")))))</f>
        <v/>
      </c>
      <c r="F126" s="24" t="str">
        <f>IF($Z126="","",IF($Z126&lt;=2000,IF(INDEX(包装物料出入库明细!$E$4:$E$2003,$Z126-0)=0,"",INDEX(包装物料出入库明细!$E$4:$E$2003,$Z126-0)),IF($Z126&lt;=4000,IF(INDEX(周转筐出入库明细!$D$4:$D$2004,$Z126-2000)=0,"",INDEX(周转筐出入库明细!$D$4:$D$2004,$Z126-2000)),IF($Z126&lt;=5200,IF(INDEX(客户自备加工筐明细!$C$4:$C$1203,$Z126-4000)=0,"",INDEX(客户自备加工筐明细!$C$4:$C$1203,$Z126-4000)),IF($Z126&lt;=5800,IF(INDEX(次果筐明细!$D$4:$D$603,$Z126-5200)=0,"",INDEX(次果筐明细!$D$4:$D$603,$Z126-5200)),"")))))</f>
        <v/>
      </c>
      <c r="G126" s="24" t="str">
        <f>IF($Z126="","",IF($Z126&lt;=2000,IF(INDEX(包装物料出入库明细!$F$4:$F$2003,$Z126-0)=0,"",INDEX(包装物料出入库明细!$F$4:$F$2003,$Z126-0)),IF($Z126&lt;=4000,"",IF($Z126&lt;=5200,"",IF($Z126&lt;=5800,"","")))))</f>
        <v/>
      </c>
      <c r="H126" s="39" t="str">
        <f>IF($Z126="","",IF($Z126&lt;=2000,IF(INDEX(包装物料出入库明细!$L$4:$L$2003,$Z126-0)=0,"",INDEX(包装物料出入库明细!$L$4:$L$2003,$Z126-0)),IF($Z126&lt;=4000,N(INDEX(周转筐出入库明细!$H$4:$H$2004,$Z126-2000))+N(INDEX(周转筐出入库明细!$I$4:$I$2004,$Z126-2000))+N(INDEX(周转筐出入库明细!$J$4:$J$2004,$Z126-2000))+N(INDEX(周转筐出入库明细!$K$4:$K$2004,$Z126-2000)),IF($Z126&lt;=5200,N(INDEX(客户自备加工筐明细!$F$4:$F$1203,$Z126-4000))+N(INDEX(客户自备加工筐明细!$G$4:$G$1203,$Z126-4000)),IF($Z126&lt;=5800,IF(INDEX(次果筐明细!$G$4:$G$603,$Z126-5200)=0,"",INDEX(次果筐明细!$G$4:$G$603,$Z126-5200)),"")))))</f>
        <v/>
      </c>
      <c r="I126" s="24" t="str">
        <f>IF($Z126="","",IF($Z126&lt;=2000,IF(INDEX(包装物料出入库明细!$G$4:$G$2003,$Z126-0)=0,"",INDEX(包装物料出入库明细!$G$4:$G$2003,$Z126-0)),IF($Z126&lt;=4000,"个",IF($Z126&lt;=5200,"个",IF($Z126&lt;=5800,"个","")))))</f>
        <v/>
      </c>
      <c r="J126" s="30" t="str">
        <f t="shared" si="4"/>
        <v/>
      </c>
      <c r="K126" s="30" t="str">
        <f>IF($Z126="","",IF($Z126&lt;=2000,IF(INDEX(包装物料出入库明细!$N$4:$N$2003,$Z126-0)=0,"",INDEX(包装物料出入库明细!$N$4:$N$2003,$Z126-0)),IF($Z126&lt;=4000,IF(INDEX(周转筐出入库明细!$P$4:$P$2004,$Z126-2000)=0,"",INDEX(周转筐出入库明细!$P$4:$P$2004,$Z126-2000)),IF($Z126&lt;=5200,"",IF($Z126&lt;=5800,N(INDEX(次果筐明细!$L$4:$L$603,$Z126-5200))+N(INDEX(次果筐明细!$J$4:$J$603,$Z126-5200)),"")))))</f>
        <v/>
      </c>
      <c r="L126" s="24" t="str">
        <f>IF($Z126="","",IF($Z126&lt;=2000,IF(INDEX(包装物料出入库明细!$P$4:$P$2003,$Z126-0)=0,"",INDEX(包装物料出入库明细!$P$4:$P$2003,$Z126-0)),IF($Z126&lt;=4000,IF(INDEX(周转筐出入库明细!$Q$4:$Q$2004,$Z126-2000)=0,"",INDEX(周转筐出入库明细!$Q$4:$Q$2004,$Z126-2000)),IF($Z126&lt;=5200,"",IF($Z126&lt;=5800,IF(INDEX(次果筐明细!$M$4:$M$603,$Z126-5200)=0,"",INDEX(次果筐明细!$M$4:$M$603,$Z126-5200)),"")))))</f>
        <v/>
      </c>
      <c r="M126" s="37" t="str">
        <f>IF($Z126="","",IF($Z126&lt;=2000,IF(INDEX(包装物料出入库明细!$R$4:$R$2003,$Z126-0)=0,"",INDEX(包装物料出入库明细!$R$4:$R$2003,$Z126-0)),IF($Z126&lt;=4000,IF(INDEX(周转筐出入库明细!$W$4:$W$2004,$Z126-2000)=0,"",INDEX(周转筐出入库明细!$W$4:$W$2004,$Z126-2000)),IF($Z126&lt;=5200,IF(INDEX(客户自备加工筐明细!$L$4:$L$1203,$Z126-4000)=0,"",INDEX(客户自备加工筐明细!$L$4:$L$1203,$Z126-4000)),IF($Z126&lt;=5800,IF(INDEX(次果筐明细!$P$4:$P$603,$Z126-5200)=0,"",INDEX(次果筐明细!$P$4:$P$603,$Z126-5200)),"")))))</f>
        <v/>
      </c>
      <c r="N126" s="16" t="str">
        <f>IF($Z126="","",IF($Z126&lt;=2000,"",IF($Z126&lt;=4000,IF(INDEX(周转筐出入库明细!$D$4:$D$2004,$Z126-2000)=0,"",INDEX(周转筐出入库明细!$D$4:$D$2004,$Z126-2000)),IF($Z126&lt;=5200,IF(INDEX(客户自备加工筐明细!$C$4:$C$1203,$Z126-4000)=0,"",INDEX(客户自备加工筐明细!$C$4:$C$1203,$Z126-4000)),IF($Z126&lt;=5800,IF(INDEX(次果筐明细!$D$4:$D$603,$Z126-5200)=0,"",INDEX(次果筐明细!$D$4:$D$603,$Z126-5200)),"")))))</f>
        <v/>
      </c>
      <c r="O126" s="40" t="str">
        <f>IF($Z126="","",IF($Z126&lt;=2000,"",IF($Z126&lt;=4000,IF(N(INDEX(周转筐出入库明细!$J$4:$J$2004,$Z126-2000))+N(INDEX(周转筐出入库明细!$K$4:$K$2004,$Z126-2000))=0,"",N(INDEX(周转筐出入库明细!$J$4:$J$2004,$Z126-2000))+N(INDEX(周转筐出入库明细!$K$4:$K$2004,$Z126-2000))),IF($Z126&lt;=5200,IF(N(INDEX(客户自备加工筐明细!$G$4:$G$1203,$Z126-4000))=0,"",N(INDEX(客户自备加工筐明细!$G$4:$G$1203,$Z126-4000))),IF($Z126&lt;=5800,IF(ISNUMBER(SEARCH("退",INDEX(次果筐明细!$F$4:$F$603,$Z126-5200)&amp;"")),"",IF(N(INDEX(次果筐明细!$G$4:$G$603,$Z126-5200))=0,"",N(INDEX(次果筐明细!$G$4:$G$603,$Z126-5200)))),"")))))</f>
        <v/>
      </c>
      <c r="P126" s="40" t="str">
        <f>IF($Z126="","",IF($Z126&lt;=2000,"",IF($Z126&lt;=4000,IF(N(INDEX(周转筐出入库明细!$I$4:$I$2004,$Z126-2000))=0,"",N(INDEX(周转筐出入库明细!$I$4:$I$2004,$Z126-2000))),IF($Z126&lt;=5200,"",IF($Z126&lt;=5800,IF(ISNUMBER(SEARCH("退",INDEX(次果筐明细!$F$4:$F$603,$Z126-5200)&amp;"")),IF(N(INDEX(次果筐明细!$G$4:$G$603,$Z126-5200))=0,"",N(INDEX(次果筐明细!$G$4:$G$603,$Z126-5200))),""),"")))))</f>
        <v/>
      </c>
      <c r="Q126" s="40" t="str">
        <f>IF($Z126="","",IF($Z126&lt;=2000,"",IF($Z126&lt;=4000,IF(N(INDEX(周转筐出入库明细!$H$4:$H$2004,$Z126-2000))=0,"",N(INDEX(周转筐出入库明细!$H$4:$H$2004,$Z126-2000))),IF($Z126&lt;=5200,IF(N(INDEX(客户自备加工筐明细!$F$4:$F$1203,$Z126-4000))=0,"",N(INDEX(客户自备加工筐明细!$F$4:$F$1203,$Z126-4000))),IF($Z126&lt;=5800,"","")))))</f>
        <v/>
      </c>
      <c r="R126" s="16" t="str">
        <f>IF($Z126="","",IF($Z126&lt;=2000,IF(INDEX(包装物料出入库明细!$O$4:$O$2003,$Z126-0)=0,"",INDEX(包装物料出入库明细!$O$4:$O$2003,$Z126-0)),IF($Z126&lt;=4000,IF(INDEX(周转筐出入库明细!$M$4:$M$2004,$Z126-2000)=0,"",INDEX(周转筐出入库明细!$M$4:$M$2004,$Z126-2000)),IF($Z126&lt;=5200,IF(INDEX(客户自备加工筐明细!$H$4:$H$1203,$Z126-4000)=0,"",INDEX(客户自备加工筐明细!$H$4:$H$1203,$Z126-4000)),IF($Z126&lt;=5800,IF(INDEX(次果筐明细!$H$4:$H$603,$Z126-5200)=0,"",INDEX(次果筐明细!$H$4:$H$603,$Z126-5200)),"")))))</f>
        <v/>
      </c>
      <c r="S126" s="22" t="str">
        <f t="shared" si="5"/>
        <v/>
      </c>
      <c r="Z126" s="10" t="str">
        <f>IFERROR(MATCH(ROW()-3,_自动清单!$CQ$4:$CQ$5803,0),"")</f>
        <v/>
      </c>
    </row>
    <row r="127" spans="1:26">
      <c r="A127" s="24" t="str">
        <f t="shared" si="3"/>
        <v/>
      </c>
      <c r="B127" s="38" t="str">
        <f>IF($Z127="","",IF($Z127&lt;=2000,IF(INDEX(包装物料出入库明细!$B$4:$B$2003,$Z127-0)=0,"",INDEX(包装物料出入库明细!$B$4:$B$2003,$Z127-0)),IF($Z127&lt;=4000,IF(INDEX(周转筐出入库明细!$B$4:$B$2004,$Z127-2000)=0,"",INDEX(周转筐出入库明细!$B$4:$B$2004,$Z127-2000)),IF($Z127&lt;=5200,IF(INDEX(客户自备加工筐明细!$B$4:$B$1203,$Z127-4000)=0,"",INDEX(客户自备加工筐明细!$B$4:$B$1203,$Z127-4000)),IF($Z127&lt;=5800,IF(INDEX(次果筐明细!$B$4:$B$603,$Z127-5200)=0,"",INDEX(次果筐明细!$B$4:$B$603,$Z127-5200)),"")))))</f>
        <v/>
      </c>
      <c r="C127" s="37" t="str">
        <f>IF($Z127="","",IF($Z127&lt;=2000,IF(INDEX(包装物料出入库明细!$D$4:$D$2003,$Z127-0)=0,"",INDEX(包装物料出入库明细!$D$4:$D$2003,$Z127-0)),IF($Z127&lt;=4000,IF(INDEX(周转筐出入库明细!$C$4:$C$2004,$Z127-2000)=0,"",INDEX(周转筐出入库明细!$C$4:$C$2004,$Z127-2000)),IF($Z127&lt;=5200,IF(INDEX(客户自备加工筐明细!$E$4:$E$1203,$Z127-4000)=0,"",INDEX(客户自备加工筐明细!$E$4:$E$1203,$Z127-4000)),IF($Z127&lt;=5800,IF(INDEX(次果筐明细!$C$4:$C$603,$Z127-5200)=0,"",INDEX(次果筐明细!$C$4:$C$603,$Z127-5200)),"")))))</f>
        <v/>
      </c>
      <c r="D127" s="37" t="str">
        <f>IF($Z127="","",IF($Z127&lt;=2000,"包装物料－"&amp;INDEX(包装物料出入库明细!$H$4:$H$2003,$Z127-0),IF($Z127&lt;=4000,"周转筐－"&amp;INDEX(周转筐出入库明细!$F$4:$F$2004,$Z127-2000),IF($Z127&lt;=5200,"客户自备筐－"&amp;INDEX(客户自备加工筐明细!$J$4:$J$1203,$Z127-4000),IF($Z127&lt;=5800,"次果筐/托盘－"&amp;INDEX(次果筐明细!$F$4:$F$603,$Z127-5200),"")))))</f>
        <v/>
      </c>
      <c r="E127" s="24" t="str">
        <f>IF($Z127="","",IF($Z127&lt;=2000,IF(INDEX(包装物料出入库明细!$C$4:$C$2003,$Z127-0)=0,"",INDEX(包装物料出入库明细!$C$4:$C$2003,$Z127-0)),IF($Z127&lt;=4000,IF(INDEX(周转筐出入库明细!$E$4:$E$2004,$Z127-2000)=0,"",INDEX(周转筐出入库明细!$E$4:$E$2004,$Z127-2000)),IF($Z127&lt;=5200,IF(INDEX(客户自备加工筐明细!$D$4:$D$1203,$Z127-4000)=0,"",INDEX(客户自备加工筐明细!$D$4:$D$1203,$Z127-4000)),IF($Z127&lt;=5800,IF(INDEX(次果筐明细!$E$4:$E$603,$Z127-5200)=0,"",INDEX(次果筐明细!$E$4:$E$603,$Z127-5200)),"")))))</f>
        <v/>
      </c>
      <c r="F127" s="24" t="str">
        <f>IF($Z127="","",IF($Z127&lt;=2000,IF(INDEX(包装物料出入库明细!$E$4:$E$2003,$Z127-0)=0,"",INDEX(包装物料出入库明细!$E$4:$E$2003,$Z127-0)),IF($Z127&lt;=4000,IF(INDEX(周转筐出入库明细!$D$4:$D$2004,$Z127-2000)=0,"",INDEX(周转筐出入库明细!$D$4:$D$2004,$Z127-2000)),IF($Z127&lt;=5200,IF(INDEX(客户自备加工筐明细!$C$4:$C$1203,$Z127-4000)=0,"",INDEX(客户自备加工筐明细!$C$4:$C$1203,$Z127-4000)),IF($Z127&lt;=5800,IF(INDEX(次果筐明细!$D$4:$D$603,$Z127-5200)=0,"",INDEX(次果筐明细!$D$4:$D$603,$Z127-5200)),"")))))</f>
        <v/>
      </c>
      <c r="G127" s="24" t="str">
        <f>IF($Z127="","",IF($Z127&lt;=2000,IF(INDEX(包装物料出入库明细!$F$4:$F$2003,$Z127-0)=0,"",INDEX(包装物料出入库明细!$F$4:$F$2003,$Z127-0)),IF($Z127&lt;=4000,"",IF($Z127&lt;=5200,"",IF($Z127&lt;=5800,"","")))))</f>
        <v/>
      </c>
      <c r="H127" s="39" t="str">
        <f>IF($Z127="","",IF($Z127&lt;=2000,IF(INDEX(包装物料出入库明细!$L$4:$L$2003,$Z127-0)=0,"",INDEX(包装物料出入库明细!$L$4:$L$2003,$Z127-0)),IF($Z127&lt;=4000,N(INDEX(周转筐出入库明细!$H$4:$H$2004,$Z127-2000))+N(INDEX(周转筐出入库明细!$I$4:$I$2004,$Z127-2000))+N(INDEX(周转筐出入库明细!$J$4:$J$2004,$Z127-2000))+N(INDEX(周转筐出入库明细!$K$4:$K$2004,$Z127-2000)),IF($Z127&lt;=5200,N(INDEX(客户自备加工筐明细!$F$4:$F$1203,$Z127-4000))+N(INDEX(客户自备加工筐明细!$G$4:$G$1203,$Z127-4000)),IF($Z127&lt;=5800,IF(INDEX(次果筐明细!$G$4:$G$603,$Z127-5200)=0,"",INDEX(次果筐明细!$G$4:$G$603,$Z127-5200)),"")))))</f>
        <v/>
      </c>
      <c r="I127" s="24" t="str">
        <f>IF($Z127="","",IF($Z127&lt;=2000,IF(INDEX(包装物料出入库明细!$G$4:$G$2003,$Z127-0)=0,"",INDEX(包装物料出入库明细!$G$4:$G$2003,$Z127-0)),IF($Z127&lt;=4000,"个",IF($Z127&lt;=5200,"个",IF($Z127&lt;=5800,"个","")))))</f>
        <v/>
      </c>
      <c r="J127" s="30" t="str">
        <f t="shared" si="4"/>
        <v/>
      </c>
      <c r="K127" s="30" t="str">
        <f>IF($Z127="","",IF($Z127&lt;=2000,IF(INDEX(包装物料出入库明细!$N$4:$N$2003,$Z127-0)=0,"",INDEX(包装物料出入库明细!$N$4:$N$2003,$Z127-0)),IF($Z127&lt;=4000,IF(INDEX(周转筐出入库明细!$P$4:$P$2004,$Z127-2000)=0,"",INDEX(周转筐出入库明细!$P$4:$P$2004,$Z127-2000)),IF($Z127&lt;=5200,"",IF($Z127&lt;=5800,N(INDEX(次果筐明细!$L$4:$L$603,$Z127-5200))+N(INDEX(次果筐明细!$J$4:$J$603,$Z127-5200)),"")))))</f>
        <v/>
      </c>
      <c r="L127" s="24" t="str">
        <f>IF($Z127="","",IF($Z127&lt;=2000,IF(INDEX(包装物料出入库明细!$P$4:$P$2003,$Z127-0)=0,"",INDEX(包装物料出入库明细!$P$4:$P$2003,$Z127-0)),IF($Z127&lt;=4000,IF(INDEX(周转筐出入库明细!$Q$4:$Q$2004,$Z127-2000)=0,"",INDEX(周转筐出入库明细!$Q$4:$Q$2004,$Z127-2000)),IF($Z127&lt;=5200,"",IF($Z127&lt;=5800,IF(INDEX(次果筐明细!$M$4:$M$603,$Z127-5200)=0,"",INDEX(次果筐明细!$M$4:$M$603,$Z127-5200)),"")))))</f>
        <v/>
      </c>
      <c r="M127" s="37" t="str">
        <f>IF($Z127="","",IF($Z127&lt;=2000,IF(INDEX(包装物料出入库明细!$R$4:$R$2003,$Z127-0)=0,"",INDEX(包装物料出入库明细!$R$4:$R$2003,$Z127-0)),IF($Z127&lt;=4000,IF(INDEX(周转筐出入库明细!$W$4:$W$2004,$Z127-2000)=0,"",INDEX(周转筐出入库明细!$W$4:$W$2004,$Z127-2000)),IF($Z127&lt;=5200,IF(INDEX(客户自备加工筐明细!$L$4:$L$1203,$Z127-4000)=0,"",INDEX(客户自备加工筐明细!$L$4:$L$1203,$Z127-4000)),IF($Z127&lt;=5800,IF(INDEX(次果筐明细!$P$4:$P$603,$Z127-5200)=0,"",INDEX(次果筐明细!$P$4:$P$603,$Z127-5200)),"")))))</f>
        <v/>
      </c>
      <c r="N127" s="16" t="str">
        <f>IF($Z127="","",IF($Z127&lt;=2000,"",IF($Z127&lt;=4000,IF(INDEX(周转筐出入库明细!$D$4:$D$2004,$Z127-2000)=0,"",INDEX(周转筐出入库明细!$D$4:$D$2004,$Z127-2000)),IF($Z127&lt;=5200,IF(INDEX(客户自备加工筐明细!$C$4:$C$1203,$Z127-4000)=0,"",INDEX(客户自备加工筐明细!$C$4:$C$1203,$Z127-4000)),IF($Z127&lt;=5800,IF(INDEX(次果筐明细!$D$4:$D$603,$Z127-5200)=0,"",INDEX(次果筐明细!$D$4:$D$603,$Z127-5200)),"")))))</f>
        <v/>
      </c>
      <c r="O127" s="40" t="str">
        <f>IF($Z127="","",IF($Z127&lt;=2000,"",IF($Z127&lt;=4000,IF(N(INDEX(周转筐出入库明细!$J$4:$J$2004,$Z127-2000))+N(INDEX(周转筐出入库明细!$K$4:$K$2004,$Z127-2000))=0,"",N(INDEX(周转筐出入库明细!$J$4:$J$2004,$Z127-2000))+N(INDEX(周转筐出入库明细!$K$4:$K$2004,$Z127-2000))),IF($Z127&lt;=5200,IF(N(INDEX(客户自备加工筐明细!$G$4:$G$1203,$Z127-4000))=0,"",N(INDEX(客户自备加工筐明细!$G$4:$G$1203,$Z127-4000))),IF($Z127&lt;=5800,IF(ISNUMBER(SEARCH("退",INDEX(次果筐明细!$F$4:$F$603,$Z127-5200)&amp;"")),"",IF(N(INDEX(次果筐明细!$G$4:$G$603,$Z127-5200))=0,"",N(INDEX(次果筐明细!$G$4:$G$603,$Z127-5200)))),"")))))</f>
        <v/>
      </c>
      <c r="P127" s="40" t="str">
        <f>IF($Z127="","",IF($Z127&lt;=2000,"",IF($Z127&lt;=4000,IF(N(INDEX(周转筐出入库明细!$I$4:$I$2004,$Z127-2000))=0,"",N(INDEX(周转筐出入库明细!$I$4:$I$2004,$Z127-2000))),IF($Z127&lt;=5200,"",IF($Z127&lt;=5800,IF(ISNUMBER(SEARCH("退",INDEX(次果筐明细!$F$4:$F$603,$Z127-5200)&amp;"")),IF(N(INDEX(次果筐明细!$G$4:$G$603,$Z127-5200))=0,"",N(INDEX(次果筐明细!$G$4:$G$603,$Z127-5200))),""),"")))))</f>
        <v/>
      </c>
      <c r="Q127" s="40" t="str">
        <f>IF($Z127="","",IF($Z127&lt;=2000,"",IF($Z127&lt;=4000,IF(N(INDEX(周转筐出入库明细!$H$4:$H$2004,$Z127-2000))=0,"",N(INDEX(周转筐出入库明细!$H$4:$H$2004,$Z127-2000))),IF($Z127&lt;=5200,IF(N(INDEX(客户自备加工筐明细!$F$4:$F$1203,$Z127-4000))=0,"",N(INDEX(客户自备加工筐明细!$F$4:$F$1203,$Z127-4000))),IF($Z127&lt;=5800,"","")))))</f>
        <v/>
      </c>
      <c r="R127" s="16" t="str">
        <f>IF($Z127="","",IF($Z127&lt;=2000,IF(INDEX(包装物料出入库明细!$O$4:$O$2003,$Z127-0)=0,"",INDEX(包装物料出入库明细!$O$4:$O$2003,$Z127-0)),IF($Z127&lt;=4000,IF(INDEX(周转筐出入库明细!$M$4:$M$2004,$Z127-2000)=0,"",INDEX(周转筐出入库明细!$M$4:$M$2004,$Z127-2000)),IF($Z127&lt;=5200,IF(INDEX(客户自备加工筐明细!$H$4:$H$1203,$Z127-4000)=0,"",INDEX(客户自备加工筐明细!$H$4:$H$1203,$Z127-4000)),IF($Z127&lt;=5800,IF(INDEX(次果筐明细!$H$4:$H$603,$Z127-5200)=0,"",INDEX(次果筐明细!$H$4:$H$603,$Z127-5200)),"")))))</f>
        <v/>
      </c>
      <c r="S127" s="22" t="str">
        <f t="shared" si="5"/>
        <v/>
      </c>
      <c r="Z127" s="10" t="str">
        <f>IFERROR(MATCH(ROW()-3,_自动清单!$CQ$4:$CQ$5803,0),"")</f>
        <v/>
      </c>
    </row>
    <row r="128" spans="1:26">
      <c r="A128" s="24" t="str">
        <f t="shared" si="3"/>
        <v/>
      </c>
      <c r="B128" s="38" t="str">
        <f>IF($Z128="","",IF($Z128&lt;=2000,IF(INDEX(包装物料出入库明细!$B$4:$B$2003,$Z128-0)=0,"",INDEX(包装物料出入库明细!$B$4:$B$2003,$Z128-0)),IF($Z128&lt;=4000,IF(INDEX(周转筐出入库明细!$B$4:$B$2004,$Z128-2000)=0,"",INDEX(周转筐出入库明细!$B$4:$B$2004,$Z128-2000)),IF($Z128&lt;=5200,IF(INDEX(客户自备加工筐明细!$B$4:$B$1203,$Z128-4000)=0,"",INDEX(客户自备加工筐明细!$B$4:$B$1203,$Z128-4000)),IF($Z128&lt;=5800,IF(INDEX(次果筐明细!$B$4:$B$603,$Z128-5200)=0,"",INDEX(次果筐明细!$B$4:$B$603,$Z128-5200)),"")))))</f>
        <v/>
      </c>
      <c r="C128" s="37" t="str">
        <f>IF($Z128="","",IF($Z128&lt;=2000,IF(INDEX(包装物料出入库明细!$D$4:$D$2003,$Z128-0)=0,"",INDEX(包装物料出入库明细!$D$4:$D$2003,$Z128-0)),IF($Z128&lt;=4000,IF(INDEX(周转筐出入库明细!$C$4:$C$2004,$Z128-2000)=0,"",INDEX(周转筐出入库明细!$C$4:$C$2004,$Z128-2000)),IF($Z128&lt;=5200,IF(INDEX(客户自备加工筐明细!$E$4:$E$1203,$Z128-4000)=0,"",INDEX(客户自备加工筐明细!$E$4:$E$1203,$Z128-4000)),IF($Z128&lt;=5800,IF(INDEX(次果筐明细!$C$4:$C$603,$Z128-5200)=0,"",INDEX(次果筐明细!$C$4:$C$603,$Z128-5200)),"")))))</f>
        <v/>
      </c>
      <c r="D128" s="37" t="str">
        <f>IF($Z128="","",IF($Z128&lt;=2000,"包装物料－"&amp;INDEX(包装物料出入库明细!$H$4:$H$2003,$Z128-0),IF($Z128&lt;=4000,"周转筐－"&amp;INDEX(周转筐出入库明细!$F$4:$F$2004,$Z128-2000),IF($Z128&lt;=5200,"客户自备筐－"&amp;INDEX(客户自备加工筐明细!$J$4:$J$1203,$Z128-4000),IF($Z128&lt;=5800,"次果筐/托盘－"&amp;INDEX(次果筐明细!$F$4:$F$603,$Z128-5200),"")))))</f>
        <v/>
      </c>
      <c r="E128" s="24" t="str">
        <f>IF($Z128="","",IF($Z128&lt;=2000,IF(INDEX(包装物料出入库明细!$C$4:$C$2003,$Z128-0)=0,"",INDEX(包装物料出入库明细!$C$4:$C$2003,$Z128-0)),IF($Z128&lt;=4000,IF(INDEX(周转筐出入库明细!$E$4:$E$2004,$Z128-2000)=0,"",INDEX(周转筐出入库明细!$E$4:$E$2004,$Z128-2000)),IF($Z128&lt;=5200,IF(INDEX(客户自备加工筐明细!$D$4:$D$1203,$Z128-4000)=0,"",INDEX(客户自备加工筐明细!$D$4:$D$1203,$Z128-4000)),IF($Z128&lt;=5800,IF(INDEX(次果筐明细!$E$4:$E$603,$Z128-5200)=0,"",INDEX(次果筐明细!$E$4:$E$603,$Z128-5200)),"")))))</f>
        <v/>
      </c>
      <c r="F128" s="24" t="str">
        <f>IF($Z128="","",IF($Z128&lt;=2000,IF(INDEX(包装物料出入库明细!$E$4:$E$2003,$Z128-0)=0,"",INDEX(包装物料出入库明细!$E$4:$E$2003,$Z128-0)),IF($Z128&lt;=4000,IF(INDEX(周转筐出入库明细!$D$4:$D$2004,$Z128-2000)=0,"",INDEX(周转筐出入库明细!$D$4:$D$2004,$Z128-2000)),IF($Z128&lt;=5200,IF(INDEX(客户自备加工筐明细!$C$4:$C$1203,$Z128-4000)=0,"",INDEX(客户自备加工筐明细!$C$4:$C$1203,$Z128-4000)),IF($Z128&lt;=5800,IF(INDEX(次果筐明细!$D$4:$D$603,$Z128-5200)=0,"",INDEX(次果筐明细!$D$4:$D$603,$Z128-5200)),"")))))</f>
        <v/>
      </c>
      <c r="G128" s="24" t="str">
        <f>IF($Z128="","",IF($Z128&lt;=2000,IF(INDEX(包装物料出入库明细!$F$4:$F$2003,$Z128-0)=0,"",INDEX(包装物料出入库明细!$F$4:$F$2003,$Z128-0)),IF($Z128&lt;=4000,"",IF($Z128&lt;=5200,"",IF($Z128&lt;=5800,"","")))))</f>
        <v/>
      </c>
      <c r="H128" s="39" t="str">
        <f>IF($Z128="","",IF($Z128&lt;=2000,IF(INDEX(包装物料出入库明细!$L$4:$L$2003,$Z128-0)=0,"",INDEX(包装物料出入库明细!$L$4:$L$2003,$Z128-0)),IF($Z128&lt;=4000,N(INDEX(周转筐出入库明细!$H$4:$H$2004,$Z128-2000))+N(INDEX(周转筐出入库明细!$I$4:$I$2004,$Z128-2000))+N(INDEX(周转筐出入库明细!$J$4:$J$2004,$Z128-2000))+N(INDEX(周转筐出入库明细!$K$4:$K$2004,$Z128-2000)),IF($Z128&lt;=5200,N(INDEX(客户自备加工筐明细!$F$4:$F$1203,$Z128-4000))+N(INDEX(客户自备加工筐明细!$G$4:$G$1203,$Z128-4000)),IF($Z128&lt;=5800,IF(INDEX(次果筐明细!$G$4:$G$603,$Z128-5200)=0,"",INDEX(次果筐明细!$G$4:$G$603,$Z128-5200)),"")))))</f>
        <v/>
      </c>
      <c r="I128" s="24" t="str">
        <f>IF($Z128="","",IF($Z128&lt;=2000,IF(INDEX(包装物料出入库明细!$G$4:$G$2003,$Z128-0)=0,"",INDEX(包装物料出入库明细!$G$4:$G$2003,$Z128-0)),IF($Z128&lt;=4000,"个",IF($Z128&lt;=5200,"个",IF($Z128&lt;=5800,"个","")))))</f>
        <v/>
      </c>
      <c r="J128" s="30" t="str">
        <f t="shared" si="4"/>
        <v/>
      </c>
      <c r="K128" s="30" t="str">
        <f>IF($Z128="","",IF($Z128&lt;=2000,IF(INDEX(包装物料出入库明细!$N$4:$N$2003,$Z128-0)=0,"",INDEX(包装物料出入库明细!$N$4:$N$2003,$Z128-0)),IF($Z128&lt;=4000,IF(INDEX(周转筐出入库明细!$P$4:$P$2004,$Z128-2000)=0,"",INDEX(周转筐出入库明细!$P$4:$P$2004,$Z128-2000)),IF($Z128&lt;=5200,"",IF($Z128&lt;=5800,N(INDEX(次果筐明细!$L$4:$L$603,$Z128-5200))+N(INDEX(次果筐明细!$J$4:$J$603,$Z128-5200)),"")))))</f>
        <v/>
      </c>
      <c r="L128" s="24" t="str">
        <f>IF($Z128="","",IF($Z128&lt;=2000,IF(INDEX(包装物料出入库明细!$P$4:$P$2003,$Z128-0)=0,"",INDEX(包装物料出入库明细!$P$4:$P$2003,$Z128-0)),IF($Z128&lt;=4000,IF(INDEX(周转筐出入库明细!$Q$4:$Q$2004,$Z128-2000)=0,"",INDEX(周转筐出入库明细!$Q$4:$Q$2004,$Z128-2000)),IF($Z128&lt;=5200,"",IF($Z128&lt;=5800,IF(INDEX(次果筐明细!$M$4:$M$603,$Z128-5200)=0,"",INDEX(次果筐明细!$M$4:$M$603,$Z128-5200)),"")))))</f>
        <v/>
      </c>
      <c r="M128" s="37" t="str">
        <f>IF($Z128="","",IF($Z128&lt;=2000,IF(INDEX(包装物料出入库明细!$R$4:$R$2003,$Z128-0)=0,"",INDEX(包装物料出入库明细!$R$4:$R$2003,$Z128-0)),IF($Z128&lt;=4000,IF(INDEX(周转筐出入库明细!$W$4:$W$2004,$Z128-2000)=0,"",INDEX(周转筐出入库明细!$W$4:$W$2004,$Z128-2000)),IF($Z128&lt;=5200,IF(INDEX(客户自备加工筐明细!$L$4:$L$1203,$Z128-4000)=0,"",INDEX(客户自备加工筐明细!$L$4:$L$1203,$Z128-4000)),IF($Z128&lt;=5800,IF(INDEX(次果筐明细!$P$4:$P$603,$Z128-5200)=0,"",INDEX(次果筐明细!$P$4:$P$603,$Z128-5200)),"")))))</f>
        <v/>
      </c>
      <c r="N128" s="16" t="str">
        <f>IF($Z128="","",IF($Z128&lt;=2000,"",IF($Z128&lt;=4000,IF(INDEX(周转筐出入库明细!$D$4:$D$2004,$Z128-2000)=0,"",INDEX(周转筐出入库明细!$D$4:$D$2004,$Z128-2000)),IF($Z128&lt;=5200,IF(INDEX(客户自备加工筐明细!$C$4:$C$1203,$Z128-4000)=0,"",INDEX(客户自备加工筐明细!$C$4:$C$1203,$Z128-4000)),IF($Z128&lt;=5800,IF(INDEX(次果筐明细!$D$4:$D$603,$Z128-5200)=0,"",INDEX(次果筐明细!$D$4:$D$603,$Z128-5200)),"")))))</f>
        <v/>
      </c>
      <c r="O128" s="40" t="str">
        <f>IF($Z128="","",IF($Z128&lt;=2000,"",IF($Z128&lt;=4000,IF(N(INDEX(周转筐出入库明细!$J$4:$J$2004,$Z128-2000))+N(INDEX(周转筐出入库明细!$K$4:$K$2004,$Z128-2000))=0,"",N(INDEX(周转筐出入库明细!$J$4:$J$2004,$Z128-2000))+N(INDEX(周转筐出入库明细!$K$4:$K$2004,$Z128-2000))),IF($Z128&lt;=5200,IF(N(INDEX(客户自备加工筐明细!$G$4:$G$1203,$Z128-4000))=0,"",N(INDEX(客户自备加工筐明细!$G$4:$G$1203,$Z128-4000))),IF($Z128&lt;=5800,IF(ISNUMBER(SEARCH("退",INDEX(次果筐明细!$F$4:$F$603,$Z128-5200)&amp;"")),"",IF(N(INDEX(次果筐明细!$G$4:$G$603,$Z128-5200))=0,"",N(INDEX(次果筐明细!$G$4:$G$603,$Z128-5200)))),"")))))</f>
        <v/>
      </c>
      <c r="P128" s="40" t="str">
        <f>IF($Z128="","",IF($Z128&lt;=2000,"",IF($Z128&lt;=4000,IF(N(INDEX(周转筐出入库明细!$I$4:$I$2004,$Z128-2000))=0,"",N(INDEX(周转筐出入库明细!$I$4:$I$2004,$Z128-2000))),IF($Z128&lt;=5200,"",IF($Z128&lt;=5800,IF(ISNUMBER(SEARCH("退",INDEX(次果筐明细!$F$4:$F$603,$Z128-5200)&amp;"")),IF(N(INDEX(次果筐明细!$G$4:$G$603,$Z128-5200))=0,"",N(INDEX(次果筐明细!$G$4:$G$603,$Z128-5200))),""),"")))))</f>
        <v/>
      </c>
      <c r="Q128" s="40" t="str">
        <f>IF($Z128="","",IF($Z128&lt;=2000,"",IF($Z128&lt;=4000,IF(N(INDEX(周转筐出入库明细!$H$4:$H$2004,$Z128-2000))=0,"",N(INDEX(周转筐出入库明细!$H$4:$H$2004,$Z128-2000))),IF($Z128&lt;=5200,IF(N(INDEX(客户自备加工筐明细!$F$4:$F$1203,$Z128-4000))=0,"",N(INDEX(客户自备加工筐明细!$F$4:$F$1203,$Z128-4000))),IF($Z128&lt;=5800,"","")))))</f>
        <v/>
      </c>
      <c r="R128" s="16" t="str">
        <f>IF($Z128="","",IF($Z128&lt;=2000,IF(INDEX(包装物料出入库明细!$O$4:$O$2003,$Z128-0)=0,"",INDEX(包装物料出入库明细!$O$4:$O$2003,$Z128-0)),IF($Z128&lt;=4000,IF(INDEX(周转筐出入库明细!$M$4:$M$2004,$Z128-2000)=0,"",INDEX(周转筐出入库明细!$M$4:$M$2004,$Z128-2000)),IF($Z128&lt;=5200,IF(INDEX(客户自备加工筐明细!$H$4:$H$1203,$Z128-4000)=0,"",INDEX(客户自备加工筐明细!$H$4:$H$1203,$Z128-4000)),IF($Z128&lt;=5800,IF(INDEX(次果筐明细!$H$4:$H$603,$Z128-5200)=0,"",INDEX(次果筐明细!$H$4:$H$603,$Z128-5200)),"")))))</f>
        <v/>
      </c>
      <c r="S128" s="22" t="str">
        <f t="shared" si="5"/>
        <v/>
      </c>
      <c r="Z128" s="10" t="str">
        <f>IFERROR(MATCH(ROW()-3,_自动清单!$CQ$4:$CQ$5803,0),"")</f>
        <v/>
      </c>
    </row>
    <row r="129" spans="1:26">
      <c r="A129" s="24" t="str">
        <f t="shared" si="3"/>
        <v/>
      </c>
      <c r="B129" s="38" t="str">
        <f>IF($Z129="","",IF($Z129&lt;=2000,IF(INDEX(包装物料出入库明细!$B$4:$B$2003,$Z129-0)=0,"",INDEX(包装物料出入库明细!$B$4:$B$2003,$Z129-0)),IF($Z129&lt;=4000,IF(INDEX(周转筐出入库明细!$B$4:$B$2004,$Z129-2000)=0,"",INDEX(周转筐出入库明细!$B$4:$B$2004,$Z129-2000)),IF($Z129&lt;=5200,IF(INDEX(客户自备加工筐明细!$B$4:$B$1203,$Z129-4000)=0,"",INDEX(客户自备加工筐明细!$B$4:$B$1203,$Z129-4000)),IF($Z129&lt;=5800,IF(INDEX(次果筐明细!$B$4:$B$603,$Z129-5200)=0,"",INDEX(次果筐明细!$B$4:$B$603,$Z129-5200)),"")))))</f>
        <v/>
      </c>
      <c r="C129" s="37" t="str">
        <f>IF($Z129="","",IF($Z129&lt;=2000,IF(INDEX(包装物料出入库明细!$D$4:$D$2003,$Z129-0)=0,"",INDEX(包装物料出入库明细!$D$4:$D$2003,$Z129-0)),IF($Z129&lt;=4000,IF(INDEX(周转筐出入库明细!$C$4:$C$2004,$Z129-2000)=0,"",INDEX(周转筐出入库明细!$C$4:$C$2004,$Z129-2000)),IF($Z129&lt;=5200,IF(INDEX(客户自备加工筐明细!$E$4:$E$1203,$Z129-4000)=0,"",INDEX(客户自备加工筐明细!$E$4:$E$1203,$Z129-4000)),IF($Z129&lt;=5800,IF(INDEX(次果筐明细!$C$4:$C$603,$Z129-5200)=0,"",INDEX(次果筐明细!$C$4:$C$603,$Z129-5200)),"")))))</f>
        <v/>
      </c>
      <c r="D129" s="37" t="str">
        <f>IF($Z129="","",IF($Z129&lt;=2000,"包装物料－"&amp;INDEX(包装物料出入库明细!$H$4:$H$2003,$Z129-0),IF($Z129&lt;=4000,"周转筐－"&amp;INDEX(周转筐出入库明细!$F$4:$F$2004,$Z129-2000),IF($Z129&lt;=5200,"客户自备筐－"&amp;INDEX(客户自备加工筐明细!$J$4:$J$1203,$Z129-4000),IF($Z129&lt;=5800,"次果筐/托盘－"&amp;INDEX(次果筐明细!$F$4:$F$603,$Z129-5200),"")))))</f>
        <v/>
      </c>
      <c r="E129" s="24" t="str">
        <f>IF($Z129="","",IF($Z129&lt;=2000,IF(INDEX(包装物料出入库明细!$C$4:$C$2003,$Z129-0)=0,"",INDEX(包装物料出入库明细!$C$4:$C$2003,$Z129-0)),IF($Z129&lt;=4000,IF(INDEX(周转筐出入库明细!$E$4:$E$2004,$Z129-2000)=0,"",INDEX(周转筐出入库明细!$E$4:$E$2004,$Z129-2000)),IF($Z129&lt;=5200,IF(INDEX(客户自备加工筐明细!$D$4:$D$1203,$Z129-4000)=0,"",INDEX(客户自备加工筐明细!$D$4:$D$1203,$Z129-4000)),IF($Z129&lt;=5800,IF(INDEX(次果筐明细!$E$4:$E$603,$Z129-5200)=0,"",INDEX(次果筐明细!$E$4:$E$603,$Z129-5200)),"")))))</f>
        <v/>
      </c>
      <c r="F129" s="24" t="str">
        <f>IF($Z129="","",IF($Z129&lt;=2000,IF(INDEX(包装物料出入库明细!$E$4:$E$2003,$Z129-0)=0,"",INDEX(包装物料出入库明细!$E$4:$E$2003,$Z129-0)),IF($Z129&lt;=4000,IF(INDEX(周转筐出入库明细!$D$4:$D$2004,$Z129-2000)=0,"",INDEX(周转筐出入库明细!$D$4:$D$2004,$Z129-2000)),IF($Z129&lt;=5200,IF(INDEX(客户自备加工筐明细!$C$4:$C$1203,$Z129-4000)=0,"",INDEX(客户自备加工筐明细!$C$4:$C$1203,$Z129-4000)),IF($Z129&lt;=5800,IF(INDEX(次果筐明细!$D$4:$D$603,$Z129-5200)=0,"",INDEX(次果筐明细!$D$4:$D$603,$Z129-5200)),"")))))</f>
        <v/>
      </c>
      <c r="G129" s="24" t="str">
        <f>IF($Z129="","",IF($Z129&lt;=2000,IF(INDEX(包装物料出入库明细!$F$4:$F$2003,$Z129-0)=0,"",INDEX(包装物料出入库明细!$F$4:$F$2003,$Z129-0)),IF($Z129&lt;=4000,"",IF($Z129&lt;=5200,"",IF($Z129&lt;=5800,"","")))))</f>
        <v/>
      </c>
      <c r="H129" s="39" t="str">
        <f>IF($Z129="","",IF($Z129&lt;=2000,IF(INDEX(包装物料出入库明细!$L$4:$L$2003,$Z129-0)=0,"",INDEX(包装物料出入库明细!$L$4:$L$2003,$Z129-0)),IF($Z129&lt;=4000,N(INDEX(周转筐出入库明细!$H$4:$H$2004,$Z129-2000))+N(INDEX(周转筐出入库明细!$I$4:$I$2004,$Z129-2000))+N(INDEX(周转筐出入库明细!$J$4:$J$2004,$Z129-2000))+N(INDEX(周转筐出入库明细!$K$4:$K$2004,$Z129-2000)),IF($Z129&lt;=5200,N(INDEX(客户自备加工筐明细!$F$4:$F$1203,$Z129-4000))+N(INDEX(客户自备加工筐明细!$G$4:$G$1203,$Z129-4000)),IF($Z129&lt;=5800,IF(INDEX(次果筐明细!$G$4:$G$603,$Z129-5200)=0,"",INDEX(次果筐明细!$G$4:$G$603,$Z129-5200)),"")))))</f>
        <v/>
      </c>
      <c r="I129" s="24" t="str">
        <f>IF($Z129="","",IF($Z129&lt;=2000,IF(INDEX(包装物料出入库明细!$G$4:$G$2003,$Z129-0)=0,"",INDEX(包装物料出入库明细!$G$4:$G$2003,$Z129-0)),IF($Z129&lt;=4000,"个",IF($Z129&lt;=5200,"个",IF($Z129&lt;=5800,"个","")))))</f>
        <v/>
      </c>
      <c r="J129" s="30" t="str">
        <f t="shared" si="4"/>
        <v/>
      </c>
      <c r="K129" s="30" t="str">
        <f>IF($Z129="","",IF($Z129&lt;=2000,IF(INDEX(包装物料出入库明细!$N$4:$N$2003,$Z129-0)=0,"",INDEX(包装物料出入库明细!$N$4:$N$2003,$Z129-0)),IF($Z129&lt;=4000,IF(INDEX(周转筐出入库明细!$P$4:$P$2004,$Z129-2000)=0,"",INDEX(周转筐出入库明细!$P$4:$P$2004,$Z129-2000)),IF($Z129&lt;=5200,"",IF($Z129&lt;=5800,N(INDEX(次果筐明细!$L$4:$L$603,$Z129-5200))+N(INDEX(次果筐明细!$J$4:$J$603,$Z129-5200)),"")))))</f>
        <v/>
      </c>
      <c r="L129" s="24" t="str">
        <f>IF($Z129="","",IF($Z129&lt;=2000,IF(INDEX(包装物料出入库明细!$P$4:$P$2003,$Z129-0)=0,"",INDEX(包装物料出入库明细!$P$4:$P$2003,$Z129-0)),IF($Z129&lt;=4000,IF(INDEX(周转筐出入库明细!$Q$4:$Q$2004,$Z129-2000)=0,"",INDEX(周转筐出入库明细!$Q$4:$Q$2004,$Z129-2000)),IF($Z129&lt;=5200,"",IF($Z129&lt;=5800,IF(INDEX(次果筐明细!$M$4:$M$603,$Z129-5200)=0,"",INDEX(次果筐明细!$M$4:$M$603,$Z129-5200)),"")))))</f>
        <v/>
      </c>
      <c r="M129" s="37" t="str">
        <f>IF($Z129="","",IF($Z129&lt;=2000,IF(INDEX(包装物料出入库明细!$R$4:$R$2003,$Z129-0)=0,"",INDEX(包装物料出入库明细!$R$4:$R$2003,$Z129-0)),IF($Z129&lt;=4000,IF(INDEX(周转筐出入库明细!$W$4:$W$2004,$Z129-2000)=0,"",INDEX(周转筐出入库明细!$W$4:$W$2004,$Z129-2000)),IF($Z129&lt;=5200,IF(INDEX(客户自备加工筐明细!$L$4:$L$1203,$Z129-4000)=0,"",INDEX(客户自备加工筐明细!$L$4:$L$1203,$Z129-4000)),IF($Z129&lt;=5800,IF(INDEX(次果筐明细!$P$4:$P$603,$Z129-5200)=0,"",INDEX(次果筐明细!$P$4:$P$603,$Z129-5200)),"")))))</f>
        <v/>
      </c>
      <c r="N129" s="16" t="str">
        <f>IF($Z129="","",IF($Z129&lt;=2000,"",IF($Z129&lt;=4000,IF(INDEX(周转筐出入库明细!$D$4:$D$2004,$Z129-2000)=0,"",INDEX(周转筐出入库明细!$D$4:$D$2004,$Z129-2000)),IF($Z129&lt;=5200,IF(INDEX(客户自备加工筐明细!$C$4:$C$1203,$Z129-4000)=0,"",INDEX(客户自备加工筐明细!$C$4:$C$1203,$Z129-4000)),IF($Z129&lt;=5800,IF(INDEX(次果筐明细!$D$4:$D$603,$Z129-5200)=0,"",INDEX(次果筐明细!$D$4:$D$603,$Z129-5200)),"")))))</f>
        <v/>
      </c>
      <c r="O129" s="40" t="str">
        <f>IF($Z129="","",IF($Z129&lt;=2000,"",IF($Z129&lt;=4000,IF(N(INDEX(周转筐出入库明细!$J$4:$J$2004,$Z129-2000))+N(INDEX(周转筐出入库明细!$K$4:$K$2004,$Z129-2000))=0,"",N(INDEX(周转筐出入库明细!$J$4:$J$2004,$Z129-2000))+N(INDEX(周转筐出入库明细!$K$4:$K$2004,$Z129-2000))),IF($Z129&lt;=5200,IF(N(INDEX(客户自备加工筐明细!$G$4:$G$1203,$Z129-4000))=0,"",N(INDEX(客户自备加工筐明细!$G$4:$G$1203,$Z129-4000))),IF($Z129&lt;=5800,IF(ISNUMBER(SEARCH("退",INDEX(次果筐明细!$F$4:$F$603,$Z129-5200)&amp;"")),"",IF(N(INDEX(次果筐明细!$G$4:$G$603,$Z129-5200))=0,"",N(INDEX(次果筐明细!$G$4:$G$603,$Z129-5200)))),"")))))</f>
        <v/>
      </c>
      <c r="P129" s="40" t="str">
        <f>IF($Z129="","",IF($Z129&lt;=2000,"",IF($Z129&lt;=4000,IF(N(INDEX(周转筐出入库明细!$I$4:$I$2004,$Z129-2000))=0,"",N(INDEX(周转筐出入库明细!$I$4:$I$2004,$Z129-2000))),IF($Z129&lt;=5200,"",IF($Z129&lt;=5800,IF(ISNUMBER(SEARCH("退",INDEX(次果筐明细!$F$4:$F$603,$Z129-5200)&amp;"")),IF(N(INDEX(次果筐明细!$G$4:$G$603,$Z129-5200))=0,"",N(INDEX(次果筐明细!$G$4:$G$603,$Z129-5200))),""),"")))))</f>
        <v/>
      </c>
      <c r="Q129" s="40" t="str">
        <f>IF($Z129="","",IF($Z129&lt;=2000,"",IF($Z129&lt;=4000,IF(N(INDEX(周转筐出入库明细!$H$4:$H$2004,$Z129-2000))=0,"",N(INDEX(周转筐出入库明细!$H$4:$H$2004,$Z129-2000))),IF($Z129&lt;=5200,IF(N(INDEX(客户自备加工筐明细!$F$4:$F$1203,$Z129-4000))=0,"",N(INDEX(客户自备加工筐明细!$F$4:$F$1203,$Z129-4000))),IF($Z129&lt;=5800,"","")))))</f>
        <v/>
      </c>
      <c r="R129" s="16" t="str">
        <f>IF($Z129="","",IF($Z129&lt;=2000,IF(INDEX(包装物料出入库明细!$O$4:$O$2003,$Z129-0)=0,"",INDEX(包装物料出入库明细!$O$4:$O$2003,$Z129-0)),IF($Z129&lt;=4000,IF(INDEX(周转筐出入库明细!$M$4:$M$2004,$Z129-2000)=0,"",INDEX(周转筐出入库明细!$M$4:$M$2004,$Z129-2000)),IF($Z129&lt;=5200,IF(INDEX(客户自备加工筐明细!$H$4:$H$1203,$Z129-4000)=0,"",INDEX(客户自备加工筐明细!$H$4:$H$1203,$Z129-4000)),IF($Z129&lt;=5800,IF(INDEX(次果筐明细!$H$4:$H$603,$Z129-5200)=0,"",INDEX(次果筐明细!$H$4:$H$603,$Z129-5200)),"")))))</f>
        <v/>
      </c>
      <c r="S129" s="22" t="str">
        <f t="shared" si="5"/>
        <v/>
      </c>
      <c r="Z129" s="10" t="str">
        <f>IFERROR(MATCH(ROW()-3,_自动清单!$CQ$4:$CQ$5803,0),"")</f>
        <v/>
      </c>
    </row>
    <row r="130" spans="1:26">
      <c r="A130" s="24" t="str">
        <f t="shared" si="3"/>
        <v/>
      </c>
      <c r="B130" s="38" t="str">
        <f>IF($Z130="","",IF($Z130&lt;=2000,IF(INDEX(包装物料出入库明细!$B$4:$B$2003,$Z130-0)=0,"",INDEX(包装物料出入库明细!$B$4:$B$2003,$Z130-0)),IF($Z130&lt;=4000,IF(INDEX(周转筐出入库明细!$B$4:$B$2004,$Z130-2000)=0,"",INDEX(周转筐出入库明细!$B$4:$B$2004,$Z130-2000)),IF($Z130&lt;=5200,IF(INDEX(客户自备加工筐明细!$B$4:$B$1203,$Z130-4000)=0,"",INDEX(客户自备加工筐明细!$B$4:$B$1203,$Z130-4000)),IF($Z130&lt;=5800,IF(INDEX(次果筐明细!$B$4:$B$603,$Z130-5200)=0,"",INDEX(次果筐明细!$B$4:$B$603,$Z130-5200)),"")))))</f>
        <v/>
      </c>
      <c r="C130" s="37" t="str">
        <f>IF($Z130="","",IF($Z130&lt;=2000,IF(INDEX(包装物料出入库明细!$D$4:$D$2003,$Z130-0)=0,"",INDEX(包装物料出入库明细!$D$4:$D$2003,$Z130-0)),IF($Z130&lt;=4000,IF(INDEX(周转筐出入库明细!$C$4:$C$2004,$Z130-2000)=0,"",INDEX(周转筐出入库明细!$C$4:$C$2004,$Z130-2000)),IF($Z130&lt;=5200,IF(INDEX(客户自备加工筐明细!$E$4:$E$1203,$Z130-4000)=0,"",INDEX(客户自备加工筐明细!$E$4:$E$1203,$Z130-4000)),IF($Z130&lt;=5800,IF(INDEX(次果筐明细!$C$4:$C$603,$Z130-5200)=0,"",INDEX(次果筐明细!$C$4:$C$603,$Z130-5200)),"")))))</f>
        <v/>
      </c>
      <c r="D130" s="37" t="str">
        <f>IF($Z130="","",IF($Z130&lt;=2000,"包装物料－"&amp;INDEX(包装物料出入库明细!$H$4:$H$2003,$Z130-0),IF($Z130&lt;=4000,"周转筐－"&amp;INDEX(周转筐出入库明细!$F$4:$F$2004,$Z130-2000),IF($Z130&lt;=5200,"客户自备筐－"&amp;INDEX(客户自备加工筐明细!$J$4:$J$1203,$Z130-4000),IF($Z130&lt;=5800,"次果筐/托盘－"&amp;INDEX(次果筐明细!$F$4:$F$603,$Z130-5200),"")))))</f>
        <v/>
      </c>
      <c r="E130" s="24" t="str">
        <f>IF($Z130="","",IF($Z130&lt;=2000,IF(INDEX(包装物料出入库明细!$C$4:$C$2003,$Z130-0)=0,"",INDEX(包装物料出入库明细!$C$4:$C$2003,$Z130-0)),IF($Z130&lt;=4000,IF(INDEX(周转筐出入库明细!$E$4:$E$2004,$Z130-2000)=0,"",INDEX(周转筐出入库明细!$E$4:$E$2004,$Z130-2000)),IF($Z130&lt;=5200,IF(INDEX(客户自备加工筐明细!$D$4:$D$1203,$Z130-4000)=0,"",INDEX(客户自备加工筐明细!$D$4:$D$1203,$Z130-4000)),IF($Z130&lt;=5800,IF(INDEX(次果筐明细!$E$4:$E$603,$Z130-5200)=0,"",INDEX(次果筐明细!$E$4:$E$603,$Z130-5200)),"")))))</f>
        <v/>
      </c>
      <c r="F130" s="24" t="str">
        <f>IF($Z130="","",IF($Z130&lt;=2000,IF(INDEX(包装物料出入库明细!$E$4:$E$2003,$Z130-0)=0,"",INDEX(包装物料出入库明细!$E$4:$E$2003,$Z130-0)),IF($Z130&lt;=4000,IF(INDEX(周转筐出入库明细!$D$4:$D$2004,$Z130-2000)=0,"",INDEX(周转筐出入库明细!$D$4:$D$2004,$Z130-2000)),IF($Z130&lt;=5200,IF(INDEX(客户自备加工筐明细!$C$4:$C$1203,$Z130-4000)=0,"",INDEX(客户自备加工筐明细!$C$4:$C$1203,$Z130-4000)),IF($Z130&lt;=5800,IF(INDEX(次果筐明细!$D$4:$D$603,$Z130-5200)=0,"",INDEX(次果筐明细!$D$4:$D$603,$Z130-5200)),"")))))</f>
        <v/>
      </c>
      <c r="G130" s="24" t="str">
        <f>IF($Z130="","",IF($Z130&lt;=2000,IF(INDEX(包装物料出入库明细!$F$4:$F$2003,$Z130-0)=0,"",INDEX(包装物料出入库明细!$F$4:$F$2003,$Z130-0)),IF($Z130&lt;=4000,"",IF($Z130&lt;=5200,"",IF($Z130&lt;=5800,"","")))))</f>
        <v/>
      </c>
      <c r="H130" s="39" t="str">
        <f>IF($Z130="","",IF($Z130&lt;=2000,IF(INDEX(包装物料出入库明细!$L$4:$L$2003,$Z130-0)=0,"",INDEX(包装物料出入库明细!$L$4:$L$2003,$Z130-0)),IF($Z130&lt;=4000,N(INDEX(周转筐出入库明细!$H$4:$H$2004,$Z130-2000))+N(INDEX(周转筐出入库明细!$I$4:$I$2004,$Z130-2000))+N(INDEX(周转筐出入库明细!$J$4:$J$2004,$Z130-2000))+N(INDEX(周转筐出入库明细!$K$4:$K$2004,$Z130-2000)),IF($Z130&lt;=5200,N(INDEX(客户自备加工筐明细!$F$4:$F$1203,$Z130-4000))+N(INDEX(客户自备加工筐明细!$G$4:$G$1203,$Z130-4000)),IF($Z130&lt;=5800,IF(INDEX(次果筐明细!$G$4:$G$603,$Z130-5200)=0,"",INDEX(次果筐明细!$G$4:$G$603,$Z130-5200)),"")))))</f>
        <v/>
      </c>
      <c r="I130" s="24" t="str">
        <f>IF($Z130="","",IF($Z130&lt;=2000,IF(INDEX(包装物料出入库明细!$G$4:$G$2003,$Z130-0)=0,"",INDEX(包装物料出入库明细!$G$4:$G$2003,$Z130-0)),IF($Z130&lt;=4000,"个",IF($Z130&lt;=5200,"个",IF($Z130&lt;=5800,"个","")))))</f>
        <v/>
      </c>
      <c r="J130" s="30" t="str">
        <f t="shared" si="4"/>
        <v/>
      </c>
      <c r="K130" s="30" t="str">
        <f>IF($Z130="","",IF($Z130&lt;=2000,IF(INDEX(包装物料出入库明细!$N$4:$N$2003,$Z130-0)=0,"",INDEX(包装物料出入库明细!$N$4:$N$2003,$Z130-0)),IF($Z130&lt;=4000,IF(INDEX(周转筐出入库明细!$P$4:$P$2004,$Z130-2000)=0,"",INDEX(周转筐出入库明细!$P$4:$P$2004,$Z130-2000)),IF($Z130&lt;=5200,"",IF($Z130&lt;=5800,N(INDEX(次果筐明细!$L$4:$L$603,$Z130-5200))+N(INDEX(次果筐明细!$J$4:$J$603,$Z130-5200)),"")))))</f>
        <v/>
      </c>
      <c r="L130" s="24" t="str">
        <f>IF($Z130="","",IF($Z130&lt;=2000,IF(INDEX(包装物料出入库明细!$P$4:$P$2003,$Z130-0)=0,"",INDEX(包装物料出入库明细!$P$4:$P$2003,$Z130-0)),IF($Z130&lt;=4000,IF(INDEX(周转筐出入库明细!$Q$4:$Q$2004,$Z130-2000)=0,"",INDEX(周转筐出入库明细!$Q$4:$Q$2004,$Z130-2000)),IF($Z130&lt;=5200,"",IF($Z130&lt;=5800,IF(INDEX(次果筐明细!$M$4:$M$603,$Z130-5200)=0,"",INDEX(次果筐明细!$M$4:$M$603,$Z130-5200)),"")))))</f>
        <v/>
      </c>
      <c r="M130" s="37" t="str">
        <f>IF($Z130="","",IF($Z130&lt;=2000,IF(INDEX(包装物料出入库明细!$R$4:$R$2003,$Z130-0)=0,"",INDEX(包装物料出入库明细!$R$4:$R$2003,$Z130-0)),IF($Z130&lt;=4000,IF(INDEX(周转筐出入库明细!$W$4:$W$2004,$Z130-2000)=0,"",INDEX(周转筐出入库明细!$W$4:$W$2004,$Z130-2000)),IF($Z130&lt;=5200,IF(INDEX(客户自备加工筐明细!$L$4:$L$1203,$Z130-4000)=0,"",INDEX(客户自备加工筐明细!$L$4:$L$1203,$Z130-4000)),IF($Z130&lt;=5800,IF(INDEX(次果筐明细!$P$4:$P$603,$Z130-5200)=0,"",INDEX(次果筐明细!$P$4:$P$603,$Z130-5200)),"")))))</f>
        <v/>
      </c>
      <c r="N130" s="16" t="str">
        <f>IF($Z130="","",IF($Z130&lt;=2000,"",IF($Z130&lt;=4000,IF(INDEX(周转筐出入库明细!$D$4:$D$2004,$Z130-2000)=0,"",INDEX(周转筐出入库明细!$D$4:$D$2004,$Z130-2000)),IF($Z130&lt;=5200,IF(INDEX(客户自备加工筐明细!$C$4:$C$1203,$Z130-4000)=0,"",INDEX(客户自备加工筐明细!$C$4:$C$1203,$Z130-4000)),IF($Z130&lt;=5800,IF(INDEX(次果筐明细!$D$4:$D$603,$Z130-5200)=0,"",INDEX(次果筐明细!$D$4:$D$603,$Z130-5200)),"")))))</f>
        <v/>
      </c>
      <c r="O130" s="40" t="str">
        <f>IF($Z130="","",IF($Z130&lt;=2000,"",IF($Z130&lt;=4000,IF(N(INDEX(周转筐出入库明细!$J$4:$J$2004,$Z130-2000))+N(INDEX(周转筐出入库明细!$K$4:$K$2004,$Z130-2000))=0,"",N(INDEX(周转筐出入库明细!$J$4:$J$2004,$Z130-2000))+N(INDEX(周转筐出入库明细!$K$4:$K$2004,$Z130-2000))),IF($Z130&lt;=5200,IF(N(INDEX(客户自备加工筐明细!$G$4:$G$1203,$Z130-4000))=0,"",N(INDEX(客户自备加工筐明细!$G$4:$G$1203,$Z130-4000))),IF($Z130&lt;=5800,IF(ISNUMBER(SEARCH("退",INDEX(次果筐明细!$F$4:$F$603,$Z130-5200)&amp;"")),"",IF(N(INDEX(次果筐明细!$G$4:$G$603,$Z130-5200))=0,"",N(INDEX(次果筐明细!$G$4:$G$603,$Z130-5200)))),"")))))</f>
        <v/>
      </c>
      <c r="P130" s="40" t="str">
        <f>IF($Z130="","",IF($Z130&lt;=2000,"",IF($Z130&lt;=4000,IF(N(INDEX(周转筐出入库明细!$I$4:$I$2004,$Z130-2000))=0,"",N(INDEX(周转筐出入库明细!$I$4:$I$2004,$Z130-2000))),IF($Z130&lt;=5200,"",IF($Z130&lt;=5800,IF(ISNUMBER(SEARCH("退",INDEX(次果筐明细!$F$4:$F$603,$Z130-5200)&amp;"")),IF(N(INDEX(次果筐明细!$G$4:$G$603,$Z130-5200))=0,"",N(INDEX(次果筐明细!$G$4:$G$603,$Z130-5200))),""),"")))))</f>
        <v/>
      </c>
      <c r="Q130" s="40" t="str">
        <f>IF($Z130="","",IF($Z130&lt;=2000,"",IF($Z130&lt;=4000,IF(N(INDEX(周转筐出入库明细!$H$4:$H$2004,$Z130-2000))=0,"",N(INDEX(周转筐出入库明细!$H$4:$H$2004,$Z130-2000))),IF($Z130&lt;=5200,IF(N(INDEX(客户自备加工筐明细!$F$4:$F$1203,$Z130-4000))=0,"",N(INDEX(客户自备加工筐明细!$F$4:$F$1203,$Z130-4000))),IF($Z130&lt;=5800,"","")))))</f>
        <v/>
      </c>
      <c r="R130" s="16" t="str">
        <f>IF($Z130="","",IF($Z130&lt;=2000,IF(INDEX(包装物料出入库明细!$O$4:$O$2003,$Z130-0)=0,"",INDEX(包装物料出入库明细!$O$4:$O$2003,$Z130-0)),IF($Z130&lt;=4000,IF(INDEX(周转筐出入库明细!$M$4:$M$2004,$Z130-2000)=0,"",INDEX(周转筐出入库明细!$M$4:$M$2004,$Z130-2000)),IF($Z130&lt;=5200,IF(INDEX(客户自备加工筐明细!$H$4:$H$1203,$Z130-4000)=0,"",INDEX(客户自备加工筐明细!$H$4:$H$1203,$Z130-4000)),IF($Z130&lt;=5800,IF(INDEX(次果筐明细!$H$4:$H$603,$Z130-5200)=0,"",INDEX(次果筐明细!$H$4:$H$603,$Z130-5200)),"")))))</f>
        <v/>
      </c>
      <c r="S130" s="22" t="str">
        <f t="shared" si="5"/>
        <v/>
      </c>
      <c r="Z130" s="10" t="str">
        <f>IFERROR(MATCH(ROW()-3,_自动清单!$CQ$4:$CQ$5803,0),"")</f>
        <v/>
      </c>
    </row>
    <row r="131" spans="1:26">
      <c r="A131" s="24" t="str">
        <f t="shared" si="3"/>
        <v/>
      </c>
      <c r="B131" s="38" t="str">
        <f>IF($Z131="","",IF($Z131&lt;=2000,IF(INDEX(包装物料出入库明细!$B$4:$B$2003,$Z131-0)=0,"",INDEX(包装物料出入库明细!$B$4:$B$2003,$Z131-0)),IF($Z131&lt;=4000,IF(INDEX(周转筐出入库明细!$B$4:$B$2004,$Z131-2000)=0,"",INDEX(周转筐出入库明细!$B$4:$B$2004,$Z131-2000)),IF($Z131&lt;=5200,IF(INDEX(客户自备加工筐明细!$B$4:$B$1203,$Z131-4000)=0,"",INDEX(客户自备加工筐明细!$B$4:$B$1203,$Z131-4000)),IF($Z131&lt;=5800,IF(INDEX(次果筐明细!$B$4:$B$603,$Z131-5200)=0,"",INDEX(次果筐明细!$B$4:$B$603,$Z131-5200)),"")))))</f>
        <v/>
      </c>
      <c r="C131" s="37" t="str">
        <f>IF($Z131="","",IF($Z131&lt;=2000,IF(INDEX(包装物料出入库明细!$D$4:$D$2003,$Z131-0)=0,"",INDEX(包装物料出入库明细!$D$4:$D$2003,$Z131-0)),IF($Z131&lt;=4000,IF(INDEX(周转筐出入库明细!$C$4:$C$2004,$Z131-2000)=0,"",INDEX(周转筐出入库明细!$C$4:$C$2004,$Z131-2000)),IF($Z131&lt;=5200,IF(INDEX(客户自备加工筐明细!$E$4:$E$1203,$Z131-4000)=0,"",INDEX(客户自备加工筐明细!$E$4:$E$1203,$Z131-4000)),IF($Z131&lt;=5800,IF(INDEX(次果筐明细!$C$4:$C$603,$Z131-5200)=0,"",INDEX(次果筐明细!$C$4:$C$603,$Z131-5200)),"")))))</f>
        <v/>
      </c>
      <c r="D131" s="37" t="str">
        <f>IF($Z131="","",IF($Z131&lt;=2000,"包装物料－"&amp;INDEX(包装物料出入库明细!$H$4:$H$2003,$Z131-0),IF($Z131&lt;=4000,"周转筐－"&amp;INDEX(周转筐出入库明细!$F$4:$F$2004,$Z131-2000),IF($Z131&lt;=5200,"客户自备筐－"&amp;INDEX(客户自备加工筐明细!$J$4:$J$1203,$Z131-4000),IF($Z131&lt;=5800,"次果筐/托盘－"&amp;INDEX(次果筐明细!$F$4:$F$603,$Z131-5200),"")))))</f>
        <v/>
      </c>
      <c r="E131" s="24" t="str">
        <f>IF($Z131="","",IF($Z131&lt;=2000,IF(INDEX(包装物料出入库明细!$C$4:$C$2003,$Z131-0)=0,"",INDEX(包装物料出入库明细!$C$4:$C$2003,$Z131-0)),IF($Z131&lt;=4000,IF(INDEX(周转筐出入库明细!$E$4:$E$2004,$Z131-2000)=0,"",INDEX(周转筐出入库明细!$E$4:$E$2004,$Z131-2000)),IF($Z131&lt;=5200,IF(INDEX(客户自备加工筐明细!$D$4:$D$1203,$Z131-4000)=0,"",INDEX(客户自备加工筐明细!$D$4:$D$1203,$Z131-4000)),IF($Z131&lt;=5800,IF(INDEX(次果筐明细!$E$4:$E$603,$Z131-5200)=0,"",INDEX(次果筐明细!$E$4:$E$603,$Z131-5200)),"")))))</f>
        <v/>
      </c>
      <c r="F131" s="24" t="str">
        <f>IF($Z131="","",IF($Z131&lt;=2000,IF(INDEX(包装物料出入库明细!$E$4:$E$2003,$Z131-0)=0,"",INDEX(包装物料出入库明细!$E$4:$E$2003,$Z131-0)),IF($Z131&lt;=4000,IF(INDEX(周转筐出入库明细!$D$4:$D$2004,$Z131-2000)=0,"",INDEX(周转筐出入库明细!$D$4:$D$2004,$Z131-2000)),IF($Z131&lt;=5200,IF(INDEX(客户自备加工筐明细!$C$4:$C$1203,$Z131-4000)=0,"",INDEX(客户自备加工筐明细!$C$4:$C$1203,$Z131-4000)),IF($Z131&lt;=5800,IF(INDEX(次果筐明细!$D$4:$D$603,$Z131-5200)=0,"",INDEX(次果筐明细!$D$4:$D$603,$Z131-5200)),"")))))</f>
        <v/>
      </c>
      <c r="G131" s="24" t="str">
        <f>IF($Z131="","",IF($Z131&lt;=2000,IF(INDEX(包装物料出入库明细!$F$4:$F$2003,$Z131-0)=0,"",INDEX(包装物料出入库明细!$F$4:$F$2003,$Z131-0)),IF($Z131&lt;=4000,"",IF($Z131&lt;=5200,"",IF($Z131&lt;=5800,"","")))))</f>
        <v/>
      </c>
      <c r="H131" s="39" t="str">
        <f>IF($Z131="","",IF($Z131&lt;=2000,IF(INDEX(包装物料出入库明细!$L$4:$L$2003,$Z131-0)=0,"",INDEX(包装物料出入库明细!$L$4:$L$2003,$Z131-0)),IF($Z131&lt;=4000,N(INDEX(周转筐出入库明细!$H$4:$H$2004,$Z131-2000))+N(INDEX(周转筐出入库明细!$I$4:$I$2004,$Z131-2000))+N(INDEX(周转筐出入库明细!$J$4:$J$2004,$Z131-2000))+N(INDEX(周转筐出入库明细!$K$4:$K$2004,$Z131-2000)),IF($Z131&lt;=5200,N(INDEX(客户自备加工筐明细!$F$4:$F$1203,$Z131-4000))+N(INDEX(客户自备加工筐明细!$G$4:$G$1203,$Z131-4000)),IF($Z131&lt;=5800,IF(INDEX(次果筐明细!$G$4:$G$603,$Z131-5200)=0,"",INDEX(次果筐明细!$G$4:$G$603,$Z131-5200)),"")))))</f>
        <v/>
      </c>
      <c r="I131" s="24" t="str">
        <f>IF($Z131="","",IF($Z131&lt;=2000,IF(INDEX(包装物料出入库明细!$G$4:$G$2003,$Z131-0)=0,"",INDEX(包装物料出入库明细!$G$4:$G$2003,$Z131-0)),IF($Z131&lt;=4000,"个",IF($Z131&lt;=5200,"个",IF($Z131&lt;=5800,"个","")))))</f>
        <v/>
      </c>
      <c r="J131" s="30" t="str">
        <f t="shared" si="4"/>
        <v/>
      </c>
      <c r="K131" s="30" t="str">
        <f>IF($Z131="","",IF($Z131&lt;=2000,IF(INDEX(包装物料出入库明细!$N$4:$N$2003,$Z131-0)=0,"",INDEX(包装物料出入库明细!$N$4:$N$2003,$Z131-0)),IF($Z131&lt;=4000,IF(INDEX(周转筐出入库明细!$P$4:$P$2004,$Z131-2000)=0,"",INDEX(周转筐出入库明细!$P$4:$P$2004,$Z131-2000)),IF($Z131&lt;=5200,"",IF($Z131&lt;=5800,N(INDEX(次果筐明细!$L$4:$L$603,$Z131-5200))+N(INDEX(次果筐明细!$J$4:$J$603,$Z131-5200)),"")))))</f>
        <v/>
      </c>
      <c r="L131" s="24" t="str">
        <f>IF($Z131="","",IF($Z131&lt;=2000,IF(INDEX(包装物料出入库明细!$P$4:$P$2003,$Z131-0)=0,"",INDEX(包装物料出入库明细!$P$4:$P$2003,$Z131-0)),IF($Z131&lt;=4000,IF(INDEX(周转筐出入库明细!$Q$4:$Q$2004,$Z131-2000)=0,"",INDEX(周转筐出入库明细!$Q$4:$Q$2004,$Z131-2000)),IF($Z131&lt;=5200,"",IF($Z131&lt;=5800,IF(INDEX(次果筐明细!$M$4:$M$603,$Z131-5200)=0,"",INDEX(次果筐明细!$M$4:$M$603,$Z131-5200)),"")))))</f>
        <v/>
      </c>
      <c r="M131" s="37" t="str">
        <f>IF($Z131="","",IF($Z131&lt;=2000,IF(INDEX(包装物料出入库明细!$R$4:$R$2003,$Z131-0)=0,"",INDEX(包装物料出入库明细!$R$4:$R$2003,$Z131-0)),IF($Z131&lt;=4000,IF(INDEX(周转筐出入库明细!$W$4:$W$2004,$Z131-2000)=0,"",INDEX(周转筐出入库明细!$W$4:$W$2004,$Z131-2000)),IF($Z131&lt;=5200,IF(INDEX(客户自备加工筐明细!$L$4:$L$1203,$Z131-4000)=0,"",INDEX(客户自备加工筐明细!$L$4:$L$1203,$Z131-4000)),IF($Z131&lt;=5800,IF(INDEX(次果筐明细!$P$4:$P$603,$Z131-5200)=0,"",INDEX(次果筐明细!$P$4:$P$603,$Z131-5200)),"")))))</f>
        <v/>
      </c>
      <c r="N131" s="16" t="str">
        <f>IF($Z131="","",IF($Z131&lt;=2000,"",IF($Z131&lt;=4000,IF(INDEX(周转筐出入库明细!$D$4:$D$2004,$Z131-2000)=0,"",INDEX(周转筐出入库明细!$D$4:$D$2004,$Z131-2000)),IF($Z131&lt;=5200,IF(INDEX(客户自备加工筐明细!$C$4:$C$1203,$Z131-4000)=0,"",INDEX(客户自备加工筐明细!$C$4:$C$1203,$Z131-4000)),IF($Z131&lt;=5800,IF(INDEX(次果筐明细!$D$4:$D$603,$Z131-5200)=0,"",INDEX(次果筐明细!$D$4:$D$603,$Z131-5200)),"")))))</f>
        <v/>
      </c>
      <c r="O131" s="40" t="str">
        <f>IF($Z131="","",IF($Z131&lt;=2000,"",IF($Z131&lt;=4000,IF(N(INDEX(周转筐出入库明细!$J$4:$J$2004,$Z131-2000))+N(INDEX(周转筐出入库明细!$K$4:$K$2004,$Z131-2000))=0,"",N(INDEX(周转筐出入库明细!$J$4:$J$2004,$Z131-2000))+N(INDEX(周转筐出入库明细!$K$4:$K$2004,$Z131-2000))),IF($Z131&lt;=5200,IF(N(INDEX(客户自备加工筐明细!$G$4:$G$1203,$Z131-4000))=0,"",N(INDEX(客户自备加工筐明细!$G$4:$G$1203,$Z131-4000))),IF($Z131&lt;=5800,IF(ISNUMBER(SEARCH("退",INDEX(次果筐明细!$F$4:$F$603,$Z131-5200)&amp;"")),"",IF(N(INDEX(次果筐明细!$G$4:$G$603,$Z131-5200))=0,"",N(INDEX(次果筐明细!$G$4:$G$603,$Z131-5200)))),"")))))</f>
        <v/>
      </c>
      <c r="P131" s="40" t="str">
        <f>IF($Z131="","",IF($Z131&lt;=2000,"",IF($Z131&lt;=4000,IF(N(INDEX(周转筐出入库明细!$I$4:$I$2004,$Z131-2000))=0,"",N(INDEX(周转筐出入库明细!$I$4:$I$2004,$Z131-2000))),IF($Z131&lt;=5200,"",IF($Z131&lt;=5800,IF(ISNUMBER(SEARCH("退",INDEX(次果筐明细!$F$4:$F$603,$Z131-5200)&amp;"")),IF(N(INDEX(次果筐明细!$G$4:$G$603,$Z131-5200))=0,"",N(INDEX(次果筐明细!$G$4:$G$603,$Z131-5200))),""),"")))))</f>
        <v/>
      </c>
      <c r="Q131" s="40" t="str">
        <f>IF($Z131="","",IF($Z131&lt;=2000,"",IF($Z131&lt;=4000,IF(N(INDEX(周转筐出入库明细!$H$4:$H$2004,$Z131-2000))=0,"",N(INDEX(周转筐出入库明细!$H$4:$H$2004,$Z131-2000))),IF($Z131&lt;=5200,IF(N(INDEX(客户自备加工筐明细!$F$4:$F$1203,$Z131-4000))=0,"",N(INDEX(客户自备加工筐明细!$F$4:$F$1203,$Z131-4000))),IF($Z131&lt;=5800,"","")))))</f>
        <v/>
      </c>
      <c r="R131" s="16" t="str">
        <f>IF($Z131="","",IF($Z131&lt;=2000,IF(INDEX(包装物料出入库明细!$O$4:$O$2003,$Z131-0)=0,"",INDEX(包装物料出入库明细!$O$4:$O$2003,$Z131-0)),IF($Z131&lt;=4000,IF(INDEX(周转筐出入库明细!$M$4:$M$2004,$Z131-2000)=0,"",INDEX(周转筐出入库明细!$M$4:$M$2004,$Z131-2000)),IF($Z131&lt;=5200,IF(INDEX(客户自备加工筐明细!$H$4:$H$1203,$Z131-4000)=0,"",INDEX(客户自备加工筐明细!$H$4:$H$1203,$Z131-4000)),IF($Z131&lt;=5800,IF(INDEX(次果筐明细!$H$4:$H$603,$Z131-5200)=0,"",INDEX(次果筐明细!$H$4:$H$603,$Z131-5200)),"")))))</f>
        <v/>
      </c>
      <c r="S131" s="22" t="str">
        <f t="shared" si="5"/>
        <v/>
      </c>
      <c r="Z131" s="10" t="str">
        <f>IFERROR(MATCH(ROW()-3,_自动清单!$CQ$4:$CQ$5803,0),"")</f>
        <v/>
      </c>
    </row>
    <row r="132" spans="1:26">
      <c r="A132" s="24" t="str">
        <f t="shared" ref="A132:A195" si="6">IF($B132="","",ROW()-3)</f>
        <v/>
      </c>
      <c r="B132" s="38" t="str">
        <f>IF($Z132="","",IF($Z132&lt;=2000,IF(INDEX(包装物料出入库明细!$B$4:$B$2003,$Z132-0)=0,"",INDEX(包装物料出入库明细!$B$4:$B$2003,$Z132-0)),IF($Z132&lt;=4000,IF(INDEX(周转筐出入库明细!$B$4:$B$2004,$Z132-2000)=0,"",INDEX(周转筐出入库明细!$B$4:$B$2004,$Z132-2000)),IF($Z132&lt;=5200,IF(INDEX(客户自备加工筐明细!$B$4:$B$1203,$Z132-4000)=0,"",INDEX(客户自备加工筐明细!$B$4:$B$1203,$Z132-4000)),IF($Z132&lt;=5800,IF(INDEX(次果筐明细!$B$4:$B$603,$Z132-5200)=0,"",INDEX(次果筐明细!$B$4:$B$603,$Z132-5200)),"")))))</f>
        <v/>
      </c>
      <c r="C132" s="37" t="str">
        <f>IF($Z132="","",IF($Z132&lt;=2000,IF(INDEX(包装物料出入库明细!$D$4:$D$2003,$Z132-0)=0,"",INDEX(包装物料出入库明细!$D$4:$D$2003,$Z132-0)),IF($Z132&lt;=4000,IF(INDEX(周转筐出入库明细!$C$4:$C$2004,$Z132-2000)=0,"",INDEX(周转筐出入库明细!$C$4:$C$2004,$Z132-2000)),IF($Z132&lt;=5200,IF(INDEX(客户自备加工筐明细!$E$4:$E$1203,$Z132-4000)=0,"",INDEX(客户自备加工筐明细!$E$4:$E$1203,$Z132-4000)),IF($Z132&lt;=5800,IF(INDEX(次果筐明细!$C$4:$C$603,$Z132-5200)=0,"",INDEX(次果筐明细!$C$4:$C$603,$Z132-5200)),"")))))</f>
        <v/>
      </c>
      <c r="D132" s="37" t="str">
        <f>IF($Z132="","",IF($Z132&lt;=2000,"包装物料－"&amp;INDEX(包装物料出入库明细!$H$4:$H$2003,$Z132-0),IF($Z132&lt;=4000,"周转筐－"&amp;INDEX(周转筐出入库明细!$F$4:$F$2004,$Z132-2000),IF($Z132&lt;=5200,"客户自备筐－"&amp;INDEX(客户自备加工筐明细!$J$4:$J$1203,$Z132-4000),IF($Z132&lt;=5800,"次果筐/托盘－"&amp;INDEX(次果筐明细!$F$4:$F$603,$Z132-5200),"")))))</f>
        <v/>
      </c>
      <c r="E132" s="24" t="str">
        <f>IF($Z132="","",IF($Z132&lt;=2000,IF(INDEX(包装物料出入库明细!$C$4:$C$2003,$Z132-0)=0,"",INDEX(包装物料出入库明细!$C$4:$C$2003,$Z132-0)),IF($Z132&lt;=4000,IF(INDEX(周转筐出入库明细!$E$4:$E$2004,$Z132-2000)=0,"",INDEX(周转筐出入库明细!$E$4:$E$2004,$Z132-2000)),IF($Z132&lt;=5200,IF(INDEX(客户自备加工筐明细!$D$4:$D$1203,$Z132-4000)=0,"",INDEX(客户自备加工筐明细!$D$4:$D$1203,$Z132-4000)),IF($Z132&lt;=5800,IF(INDEX(次果筐明细!$E$4:$E$603,$Z132-5200)=0,"",INDEX(次果筐明细!$E$4:$E$603,$Z132-5200)),"")))))</f>
        <v/>
      </c>
      <c r="F132" s="24" t="str">
        <f>IF($Z132="","",IF($Z132&lt;=2000,IF(INDEX(包装物料出入库明细!$E$4:$E$2003,$Z132-0)=0,"",INDEX(包装物料出入库明细!$E$4:$E$2003,$Z132-0)),IF($Z132&lt;=4000,IF(INDEX(周转筐出入库明细!$D$4:$D$2004,$Z132-2000)=0,"",INDEX(周转筐出入库明细!$D$4:$D$2004,$Z132-2000)),IF($Z132&lt;=5200,IF(INDEX(客户自备加工筐明细!$C$4:$C$1203,$Z132-4000)=0,"",INDEX(客户自备加工筐明细!$C$4:$C$1203,$Z132-4000)),IF($Z132&lt;=5800,IF(INDEX(次果筐明细!$D$4:$D$603,$Z132-5200)=0,"",INDEX(次果筐明细!$D$4:$D$603,$Z132-5200)),"")))))</f>
        <v/>
      </c>
      <c r="G132" s="24" t="str">
        <f>IF($Z132="","",IF($Z132&lt;=2000,IF(INDEX(包装物料出入库明细!$F$4:$F$2003,$Z132-0)=0,"",INDEX(包装物料出入库明细!$F$4:$F$2003,$Z132-0)),IF($Z132&lt;=4000,"",IF($Z132&lt;=5200,"",IF($Z132&lt;=5800,"","")))))</f>
        <v/>
      </c>
      <c r="H132" s="39" t="str">
        <f>IF($Z132="","",IF($Z132&lt;=2000,IF(INDEX(包装物料出入库明细!$L$4:$L$2003,$Z132-0)=0,"",INDEX(包装物料出入库明细!$L$4:$L$2003,$Z132-0)),IF($Z132&lt;=4000,N(INDEX(周转筐出入库明细!$H$4:$H$2004,$Z132-2000))+N(INDEX(周转筐出入库明细!$I$4:$I$2004,$Z132-2000))+N(INDEX(周转筐出入库明细!$J$4:$J$2004,$Z132-2000))+N(INDEX(周转筐出入库明细!$K$4:$K$2004,$Z132-2000)),IF($Z132&lt;=5200,N(INDEX(客户自备加工筐明细!$F$4:$F$1203,$Z132-4000))+N(INDEX(客户自备加工筐明细!$G$4:$G$1203,$Z132-4000)),IF($Z132&lt;=5800,IF(INDEX(次果筐明细!$G$4:$G$603,$Z132-5200)=0,"",INDEX(次果筐明细!$G$4:$G$603,$Z132-5200)),"")))))</f>
        <v/>
      </c>
      <c r="I132" s="24" t="str">
        <f>IF($Z132="","",IF($Z132&lt;=2000,IF(INDEX(包装物料出入库明细!$G$4:$G$2003,$Z132-0)=0,"",INDEX(包装物料出入库明细!$G$4:$G$2003,$Z132-0)),IF($Z132&lt;=4000,"个",IF($Z132&lt;=5200,"个",IF($Z132&lt;=5800,"个","")))))</f>
        <v/>
      </c>
      <c r="J132" s="30" t="str">
        <f t="shared" ref="J132:J195" si="7">IF($Z132="","",IF($Z132&lt;=2000,"",IF($Z132&lt;=4000,"",IF($Z132&lt;=5200,"",IF($Z132&lt;=5800,"","")))))</f>
        <v/>
      </c>
      <c r="K132" s="30" t="str">
        <f>IF($Z132="","",IF($Z132&lt;=2000,IF(INDEX(包装物料出入库明细!$N$4:$N$2003,$Z132-0)=0,"",INDEX(包装物料出入库明细!$N$4:$N$2003,$Z132-0)),IF($Z132&lt;=4000,IF(INDEX(周转筐出入库明细!$P$4:$P$2004,$Z132-2000)=0,"",INDEX(周转筐出入库明细!$P$4:$P$2004,$Z132-2000)),IF($Z132&lt;=5200,"",IF($Z132&lt;=5800,N(INDEX(次果筐明细!$L$4:$L$603,$Z132-5200))+N(INDEX(次果筐明细!$J$4:$J$603,$Z132-5200)),"")))))</f>
        <v/>
      </c>
      <c r="L132" s="24" t="str">
        <f>IF($Z132="","",IF($Z132&lt;=2000,IF(INDEX(包装物料出入库明细!$P$4:$P$2003,$Z132-0)=0,"",INDEX(包装物料出入库明细!$P$4:$P$2003,$Z132-0)),IF($Z132&lt;=4000,IF(INDEX(周转筐出入库明细!$Q$4:$Q$2004,$Z132-2000)=0,"",INDEX(周转筐出入库明细!$Q$4:$Q$2004,$Z132-2000)),IF($Z132&lt;=5200,"",IF($Z132&lt;=5800,IF(INDEX(次果筐明细!$M$4:$M$603,$Z132-5200)=0,"",INDEX(次果筐明细!$M$4:$M$603,$Z132-5200)),"")))))</f>
        <v/>
      </c>
      <c r="M132" s="37" t="str">
        <f>IF($Z132="","",IF($Z132&lt;=2000,IF(INDEX(包装物料出入库明细!$R$4:$R$2003,$Z132-0)=0,"",INDEX(包装物料出入库明细!$R$4:$R$2003,$Z132-0)),IF($Z132&lt;=4000,IF(INDEX(周转筐出入库明细!$W$4:$W$2004,$Z132-2000)=0,"",INDEX(周转筐出入库明细!$W$4:$W$2004,$Z132-2000)),IF($Z132&lt;=5200,IF(INDEX(客户自备加工筐明细!$L$4:$L$1203,$Z132-4000)=0,"",INDEX(客户自备加工筐明细!$L$4:$L$1203,$Z132-4000)),IF($Z132&lt;=5800,IF(INDEX(次果筐明细!$P$4:$P$603,$Z132-5200)=0,"",INDEX(次果筐明细!$P$4:$P$603,$Z132-5200)),"")))))</f>
        <v/>
      </c>
      <c r="N132" s="16" t="str">
        <f>IF($Z132="","",IF($Z132&lt;=2000,"",IF($Z132&lt;=4000,IF(INDEX(周转筐出入库明细!$D$4:$D$2004,$Z132-2000)=0,"",INDEX(周转筐出入库明细!$D$4:$D$2004,$Z132-2000)),IF($Z132&lt;=5200,IF(INDEX(客户自备加工筐明细!$C$4:$C$1203,$Z132-4000)=0,"",INDEX(客户自备加工筐明细!$C$4:$C$1203,$Z132-4000)),IF($Z132&lt;=5800,IF(INDEX(次果筐明细!$D$4:$D$603,$Z132-5200)=0,"",INDEX(次果筐明细!$D$4:$D$603,$Z132-5200)),"")))))</f>
        <v/>
      </c>
      <c r="O132" s="40" t="str">
        <f>IF($Z132="","",IF($Z132&lt;=2000,"",IF($Z132&lt;=4000,IF(N(INDEX(周转筐出入库明细!$J$4:$J$2004,$Z132-2000))+N(INDEX(周转筐出入库明细!$K$4:$K$2004,$Z132-2000))=0,"",N(INDEX(周转筐出入库明细!$J$4:$J$2004,$Z132-2000))+N(INDEX(周转筐出入库明细!$K$4:$K$2004,$Z132-2000))),IF($Z132&lt;=5200,IF(N(INDEX(客户自备加工筐明细!$G$4:$G$1203,$Z132-4000))=0,"",N(INDEX(客户自备加工筐明细!$G$4:$G$1203,$Z132-4000))),IF($Z132&lt;=5800,IF(ISNUMBER(SEARCH("退",INDEX(次果筐明细!$F$4:$F$603,$Z132-5200)&amp;"")),"",IF(N(INDEX(次果筐明细!$G$4:$G$603,$Z132-5200))=0,"",N(INDEX(次果筐明细!$G$4:$G$603,$Z132-5200)))),"")))))</f>
        <v/>
      </c>
      <c r="P132" s="40" t="str">
        <f>IF($Z132="","",IF($Z132&lt;=2000,"",IF($Z132&lt;=4000,IF(N(INDEX(周转筐出入库明细!$I$4:$I$2004,$Z132-2000))=0,"",N(INDEX(周转筐出入库明细!$I$4:$I$2004,$Z132-2000))),IF($Z132&lt;=5200,"",IF($Z132&lt;=5800,IF(ISNUMBER(SEARCH("退",INDEX(次果筐明细!$F$4:$F$603,$Z132-5200)&amp;"")),IF(N(INDEX(次果筐明细!$G$4:$G$603,$Z132-5200))=0,"",N(INDEX(次果筐明细!$G$4:$G$603,$Z132-5200))),""),"")))))</f>
        <v/>
      </c>
      <c r="Q132" s="40" t="str">
        <f>IF($Z132="","",IF($Z132&lt;=2000,"",IF($Z132&lt;=4000,IF(N(INDEX(周转筐出入库明细!$H$4:$H$2004,$Z132-2000))=0,"",N(INDEX(周转筐出入库明细!$H$4:$H$2004,$Z132-2000))),IF($Z132&lt;=5200,IF(N(INDEX(客户自备加工筐明细!$F$4:$F$1203,$Z132-4000))=0,"",N(INDEX(客户自备加工筐明细!$F$4:$F$1203,$Z132-4000))),IF($Z132&lt;=5800,"","")))))</f>
        <v/>
      </c>
      <c r="R132" s="16" t="str">
        <f>IF($Z132="","",IF($Z132&lt;=2000,IF(INDEX(包装物料出入库明细!$O$4:$O$2003,$Z132-0)=0,"",INDEX(包装物料出入库明细!$O$4:$O$2003,$Z132-0)),IF($Z132&lt;=4000,IF(INDEX(周转筐出入库明细!$M$4:$M$2004,$Z132-2000)=0,"",INDEX(周转筐出入库明细!$M$4:$M$2004,$Z132-2000)),IF($Z132&lt;=5200,IF(INDEX(客户自备加工筐明细!$H$4:$H$1203,$Z132-4000)=0,"",INDEX(客户自备加工筐明细!$H$4:$H$1203,$Z132-4000)),IF($Z132&lt;=5800,IF(INDEX(次果筐明细!$H$4:$H$603,$Z132-5200)=0,"",INDEX(次果筐明细!$H$4:$H$603,$Z132-5200)),"")))))</f>
        <v/>
      </c>
      <c r="S132" s="22" t="str">
        <f t="shared" ref="S132:S195" si="8">IF($N132="","",IF(OR(LEFT($N132,2)="自备",AND($Z132&gt;4000,$Z132&lt;=5200)),"自备筐","公司筐"))</f>
        <v/>
      </c>
      <c r="Z132" s="10" t="str">
        <f>IFERROR(MATCH(ROW()-3,_自动清单!$CQ$4:$CQ$5803,0),"")</f>
        <v/>
      </c>
    </row>
    <row r="133" spans="1:26">
      <c r="A133" s="24" t="str">
        <f t="shared" si="6"/>
        <v/>
      </c>
      <c r="B133" s="38" t="str">
        <f>IF($Z133="","",IF($Z133&lt;=2000,IF(INDEX(包装物料出入库明细!$B$4:$B$2003,$Z133-0)=0,"",INDEX(包装物料出入库明细!$B$4:$B$2003,$Z133-0)),IF($Z133&lt;=4000,IF(INDEX(周转筐出入库明细!$B$4:$B$2004,$Z133-2000)=0,"",INDEX(周转筐出入库明细!$B$4:$B$2004,$Z133-2000)),IF($Z133&lt;=5200,IF(INDEX(客户自备加工筐明细!$B$4:$B$1203,$Z133-4000)=0,"",INDEX(客户自备加工筐明细!$B$4:$B$1203,$Z133-4000)),IF($Z133&lt;=5800,IF(INDEX(次果筐明细!$B$4:$B$603,$Z133-5200)=0,"",INDEX(次果筐明细!$B$4:$B$603,$Z133-5200)),"")))))</f>
        <v/>
      </c>
      <c r="C133" s="37" t="str">
        <f>IF($Z133="","",IF($Z133&lt;=2000,IF(INDEX(包装物料出入库明细!$D$4:$D$2003,$Z133-0)=0,"",INDEX(包装物料出入库明细!$D$4:$D$2003,$Z133-0)),IF($Z133&lt;=4000,IF(INDEX(周转筐出入库明细!$C$4:$C$2004,$Z133-2000)=0,"",INDEX(周转筐出入库明细!$C$4:$C$2004,$Z133-2000)),IF($Z133&lt;=5200,IF(INDEX(客户自备加工筐明细!$E$4:$E$1203,$Z133-4000)=0,"",INDEX(客户自备加工筐明细!$E$4:$E$1203,$Z133-4000)),IF($Z133&lt;=5800,IF(INDEX(次果筐明细!$C$4:$C$603,$Z133-5200)=0,"",INDEX(次果筐明细!$C$4:$C$603,$Z133-5200)),"")))))</f>
        <v/>
      </c>
      <c r="D133" s="37" t="str">
        <f>IF($Z133="","",IF($Z133&lt;=2000,"包装物料－"&amp;INDEX(包装物料出入库明细!$H$4:$H$2003,$Z133-0),IF($Z133&lt;=4000,"周转筐－"&amp;INDEX(周转筐出入库明细!$F$4:$F$2004,$Z133-2000),IF($Z133&lt;=5200,"客户自备筐－"&amp;INDEX(客户自备加工筐明细!$J$4:$J$1203,$Z133-4000),IF($Z133&lt;=5800,"次果筐/托盘－"&amp;INDEX(次果筐明细!$F$4:$F$603,$Z133-5200),"")))))</f>
        <v/>
      </c>
      <c r="E133" s="24" t="str">
        <f>IF($Z133="","",IF($Z133&lt;=2000,IF(INDEX(包装物料出入库明细!$C$4:$C$2003,$Z133-0)=0,"",INDEX(包装物料出入库明细!$C$4:$C$2003,$Z133-0)),IF($Z133&lt;=4000,IF(INDEX(周转筐出入库明细!$E$4:$E$2004,$Z133-2000)=0,"",INDEX(周转筐出入库明细!$E$4:$E$2004,$Z133-2000)),IF($Z133&lt;=5200,IF(INDEX(客户自备加工筐明细!$D$4:$D$1203,$Z133-4000)=0,"",INDEX(客户自备加工筐明细!$D$4:$D$1203,$Z133-4000)),IF($Z133&lt;=5800,IF(INDEX(次果筐明细!$E$4:$E$603,$Z133-5200)=0,"",INDEX(次果筐明细!$E$4:$E$603,$Z133-5200)),"")))))</f>
        <v/>
      </c>
      <c r="F133" s="24" t="str">
        <f>IF($Z133="","",IF($Z133&lt;=2000,IF(INDEX(包装物料出入库明细!$E$4:$E$2003,$Z133-0)=0,"",INDEX(包装物料出入库明细!$E$4:$E$2003,$Z133-0)),IF($Z133&lt;=4000,IF(INDEX(周转筐出入库明细!$D$4:$D$2004,$Z133-2000)=0,"",INDEX(周转筐出入库明细!$D$4:$D$2004,$Z133-2000)),IF($Z133&lt;=5200,IF(INDEX(客户自备加工筐明细!$C$4:$C$1203,$Z133-4000)=0,"",INDEX(客户自备加工筐明细!$C$4:$C$1203,$Z133-4000)),IF($Z133&lt;=5800,IF(INDEX(次果筐明细!$D$4:$D$603,$Z133-5200)=0,"",INDEX(次果筐明细!$D$4:$D$603,$Z133-5200)),"")))))</f>
        <v/>
      </c>
      <c r="G133" s="24" t="str">
        <f>IF($Z133="","",IF($Z133&lt;=2000,IF(INDEX(包装物料出入库明细!$F$4:$F$2003,$Z133-0)=0,"",INDEX(包装物料出入库明细!$F$4:$F$2003,$Z133-0)),IF($Z133&lt;=4000,"",IF($Z133&lt;=5200,"",IF($Z133&lt;=5800,"","")))))</f>
        <v/>
      </c>
      <c r="H133" s="39" t="str">
        <f>IF($Z133="","",IF($Z133&lt;=2000,IF(INDEX(包装物料出入库明细!$L$4:$L$2003,$Z133-0)=0,"",INDEX(包装物料出入库明细!$L$4:$L$2003,$Z133-0)),IF($Z133&lt;=4000,N(INDEX(周转筐出入库明细!$H$4:$H$2004,$Z133-2000))+N(INDEX(周转筐出入库明细!$I$4:$I$2004,$Z133-2000))+N(INDEX(周转筐出入库明细!$J$4:$J$2004,$Z133-2000))+N(INDEX(周转筐出入库明细!$K$4:$K$2004,$Z133-2000)),IF($Z133&lt;=5200,N(INDEX(客户自备加工筐明细!$F$4:$F$1203,$Z133-4000))+N(INDEX(客户自备加工筐明细!$G$4:$G$1203,$Z133-4000)),IF($Z133&lt;=5800,IF(INDEX(次果筐明细!$G$4:$G$603,$Z133-5200)=0,"",INDEX(次果筐明细!$G$4:$G$603,$Z133-5200)),"")))))</f>
        <v/>
      </c>
      <c r="I133" s="24" t="str">
        <f>IF($Z133="","",IF($Z133&lt;=2000,IF(INDEX(包装物料出入库明细!$G$4:$G$2003,$Z133-0)=0,"",INDEX(包装物料出入库明细!$G$4:$G$2003,$Z133-0)),IF($Z133&lt;=4000,"个",IF($Z133&lt;=5200,"个",IF($Z133&lt;=5800,"个","")))))</f>
        <v/>
      </c>
      <c r="J133" s="30" t="str">
        <f t="shared" si="7"/>
        <v/>
      </c>
      <c r="K133" s="30" t="str">
        <f>IF($Z133="","",IF($Z133&lt;=2000,IF(INDEX(包装物料出入库明细!$N$4:$N$2003,$Z133-0)=0,"",INDEX(包装物料出入库明细!$N$4:$N$2003,$Z133-0)),IF($Z133&lt;=4000,IF(INDEX(周转筐出入库明细!$P$4:$P$2004,$Z133-2000)=0,"",INDEX(周转筐出入库明细!$P$4:$P$2004,$Z133-2000)),IF($Z133&lt;=5200,"",IF($Z133&lt;=5800,N(INDEX(次果筐明细!$L$4:$L$603,$Z133-5200))+N(INDEX(次果筐明细!$J$4:$J$603,$Z133-5200)),"")))))</f>
        <v/>
      </c>
      <c r="L133" s="24" t="str">
        <f>IF($Z133="","",IF($Z133&lt;=2000,IF(INDEX(包装物料出入库明细!$P$4:$P$2003,$Z133-0)=0,"",INDEX(包装物料出入库明细!$P$4:$P$2003,$Z133-0)),IF($Z133&lt;=4000,IF(INDEX(周转筐出入库明细!$Q$4:$Q$2004,$Z133-2000)=0,"",INDEX(周转筐出入库明细!$Q$4:$Q$2004,$Z133-2000)),IF($Z133&lt;=5200,"",IF($Z133&lt;=5800,IF(INDEX(次果筐明细!$M$4:$M$603,$Z133-5200)=0,"",INDEX(次果筐明细!$M$4:$M$603,$Z133-5200)),"")))))</f>
        <v/>
      </c>
      <c r="M133" s="37" t="str">
        <f>IF($Z133="","",IF($Z133&lt;=2000,IF(INDEX(包装物料出入库明细!$R$4:$R$2003,$Z133-0)=0,"",INDEX(包装物料出入库明细!$R$4:$R$2003,$Z133-0)),IF($Z133&lt;=4000,IF(INDEX(周转筐出入库明细!$W$4:$W$2004,$Z133-2000)=0,"",INDEX(周转筐出入库明细!$W$4:$W$2004,$Z133-2000)),IF($Z133&lt;=5200,IF(INDEX(客户自备加工筐明细!$L$4:$L$1203,$Z133-4000)=0,"",INDEX(客户自备加工筐明细!$L$4:$L$1203,$Z133-4000)),IF($Z133&lt;=5800,IF(INDEX(次果筐明细!$P$4:$P$603,$Z133-5200)=0,"",INDEX(次果筐明细!$P$4:$P$603,$Z133-5200)),"")))))</f>
        <v/>
      </c>
      <c r="N133" s="16" t="str">
        <f>IF($Z133="","",IF($Z133&lt;=2000,"",IF($Z133&lt;=4000,IF(INDEX(周转筐出入库明细!$D$4:$D$2004,$Z133-2000)=0,"",INDEX(周转筐出入库明细!$D$4:$D$2004,$Z133-2000)),IF($Z133&lt;=5200,IF(INDEX(客户自备加工筐明细!$C$4:$C$1203,$Z133-4000)=0,"",INDEX(客户自备加工筐明细!$C$4:$C$1203,$Z133-4000)),IF($Z133&lt;=5800,IF(INDEX(次果筐明细!$D$4:$D$603,$Z133-5200)=0,"",INDEX(次果筐明细!$D$4:$D$603,$Z133-5200)),"")))))</f>
        <v/>
      </c>
      <c r="O133" s="40" t="str">
        <f>IF($Z133="","",IF($Z133&lt;=2000,"",IF($Z133&lt;=4000,IF(N(INDEX(周转筐出入库明细!$J$4:$J$2004,$Z133-2000))+N(INDEX(周转筐出入库明细!$K$4:$K$2004,$Z133-2000))=0,"",N(INDEX(周转筐出入库明细!$J$4:$J$2004,$Z133-2000))+N(INDEX(周转筐出入库明细!$K$4:$K$2004,$Z133-2000))),IF($Z133&lt;=5200,IF(N(INDEX(客户自备加工筐明细!$G$4:$G$1203,$Z133-4000))=0,"",N(INDEX(客户自备加工筐明细!$G$4:$G$1203,$Z133-4000))),IF($Z133&lt;=5800,IF(ISNUMBER(SEARCH("退",INDEX(次果筐明细!$F$4:$F$603,$Z133-5200)&amp;"")),"",IF(N(INDEX(次果筐明细!$G$4:$G$603,$Z133-5200))=0,"",N(INDEX(次果筐明细!$G$4:$G$603,$Z133-5200)))),"")))))</f>
        <v/>
      </c>
      <c r="P133" s="40" t="str">
        <f>IF($Z133="","",IF($Z133&lt;=2000,"",IF($Z133&lt;=4000,IF(N(INDEX(周转筐出入库明细!$I$4:$I$2004,$Z133-2000))=0,"",N(INDEX(周转筐出入库明细!$I$4:$I$2004,$Z133-2000))),IF($Z133&lt;=5200,"",IF($Z133&lt;=5800,IF(ISNUMBER(SEARCH("退",INDEX(次果筐明细!$F$4:$F$603,$Z133-5200)&amp;"")),IF(N(INDEX(次果筐明细!$G$4:$G$603,$Z133-5200))=0,"",N(INDEX(次果筐明细!$G$4:$G$603,$Z133-5200))),""),"")))))</f>
        <v/>
      </c>
      <c r="Q133" s="40" t="str">
        <f>IF($Z133="","",IF($Z133&lt;=2000,"",IF($Z133&lt;=4000,IF(N(INDEX(周转筐出入库明细!$H$4:$H$2004,$Z133-2000))=0,"",N(INDEX(周转筐出入库明细!$H$4:$H$2004,$Z133-2000))),IF($Z133&lt;=5200,IF(N(INDEX(客户自备加工筐明细!$F$4:$F$1203,$Z133-4000))=0,"",N(INDEX(客户自备加工筐明细!$F$4:$F$1203,$Z133-4000))),IF($Z133&lt;=5800,"","")))))</f>
        <v/>
      </c>
      <c r="R133" s="16" t="str">
        <f>IF($Z133="","",IF($Z133&lt;=2000,IF(INDEX(包装物料出入库明细!$O$4:$O$2003,$Z133-0)=0,"",INDEX(包装物料出入库明细!$O$4:$O$2003,$Z133-0)),IF($Z133&lt;=4000,IF(INDEX(周转筐出入库明细!$M$4:$M$2004,$Z133-2000)=0,"",INDEX(周转筐出入库明细!$M$4:$M$2004,$Z133-2000)),IF($Z133&lt;=5200,IF(INDEX(客户自备加工筐明细!$H$4:$H$1203,$Z133-4000)=0,"",INDEX(客户自备加工筐明细!$H$4:$H$1203,$Z133-4000)),IF($Z133&lt;=5800,IF(INDEX(次果筐明细!$H$4:$H$603,$Z133-5200)=0,"",INDEX(次果筐明细!$H$4:$H$603,$Z133-5200)),"")))))</f>
        <v/>
      </c>
      <c r="S133" s="22" t="str">
        <f t="shared" si="8"/>
        <v/>
      </c>
      <c r="Z133" s="10" t="str">
        <f>IFERROR(MATCH(ROW()-3,_自动清单!$CQ$4:$CQ$5803,0),"")</f>
        <v/>
      </c>
    </row>
    <row r="134" spans="1:26">
      <c r="A134" s="24" t="str">
        <f t="shared" si="6"/>
        <v/>
      </c>
      <c r="B134" s="38" t="str">
        <f>IF($Z134="","",IF($Z134&lt;=2000,IF(INDEX(包装物料出入库明细!$B$4:$B$2003,$Z134-0)=0,"",INDEX(包装物料出入库明细!$B$4:$B$2003,$Z134-0)),IF($Z134&lt;=4000,IF(INDEX(周转筐出入库明细!$B$4:$B$2004,$Z134-2000)=0,"",INDEX(周转筐出入库明细!$B$4:$B$2004,$Z134-2000)),IF($Z134&lt;=5200,IF(INDEX(客户自备加工筐明细!$B$4:$B$1203,$Z134-4000)=0,"",INDEX(客户自备加工筐明细!$B$4:$B$1203,$Z134-4000)),IF($Z134&lt;=5800,IF(INDEX(次果筐明细!$B$4:$B$603,$Z134-5200)=0,"",INDEX(次果筐明细!$B$4:$B$603,$Z134-5200)),"")))))</f>
        <v/>
      </c>
      <c r="C134" s="37" t="str">
        <f>IF($Z134="","",IF($Z134&lt;=2000,IF(INDEX(包装物料出入库明细!$D$4:$D$2003,$Z134-0)=0,"",INDEX(包装物料出入库明细!$D$4:$D$2003,$Z134-0)),IF($Z134&lt;=4000,IF(INDEX(周转筐出入库明细!$C$4:$C$2004,$Z134-2000)=0,"",INDEX(周转筐出入库明细!$C$4:$C$2004,$Z134-2000)),IF($Z134&lt;=5200,IF(INDEX(客户自备加工筐明细!$E$4:$E$1203,$Z134-4000)=0,"",INDEX(客户自备加工筐明细!$E$4:$E$1203,$Z134-4000)),IF($Z134&lt;=5800,IF(INDEX(次果筐明细!$C$4:$C$603,$Z134-5200)=0,"",INDEX(次果筐明细!$C$4:$C$603,$Z134-5200)),"")))))</f>
        <v/>
      </c>
      <c r="D134" s="37" t="str">
        <f>IF($Z134="","",IF($Z134&lt;=2000,"包装物料－"&amp;INDEX(包装物料出入库明细!$H$4:$H$2003,$Z134-0),IF($Z134&lt;=4000,"周转筐－"&amp;INDEX(周转筐出入库明细!$F$4:$F$2004,$Z134-2000),IF($Z134&lt;=5200,"客户自备筐－"&amp;INDEX(客户自备加工筐明细!$J$4:$J$1203,$Z134-4000),IF($Z134&lt;=5800,"次果筐/托盘－"&amp;INDEX(次果筐明细!$F$4:$F$603,$Z134-5200),"")))))</f>
        <v/>
      </c>
      <c r="E134" s="24" t="str">
        <f>IF($Z134="","",IF($Z134&lt;=2000,IF(INDEX(包装物料出入库明细!$C$4:$C$2003,$Z134-0)=0,"",INDEX(包装物料出入库明细!$C$4:$C$2003,$Z134-0)),IF($Z134&lt;=4000,IF(INDEX(周转筐出入库明细!$E$4:$E$2004,$Z134-2000)=0,"",INDEX(周转筐出入库明细!$E$4:$E$2004,$Z134-2000)),IF($Z134&lt;=5200,IF(INDEX(客户自备加工筐明细!$D$4:$D$1203,$Z134-4000)=0,"",INDEX(客户自备加工筐明细!$D$4:$D$1203,$Z134-4000)),IF($Z134&lt;=5800,IF(INDEX(次果筐明细!$E$4:$E$603,$Z134-5200)=0,"",INDEX(次果筐明细!$E$4:$E$603,$Z134-5200)),"")))))</f>
        <v/>
      </c>
      <c r="F134" s="24" t="str">
        <f>IF($Z134="","",IF($Z134&lt;=2000,IF(INDEX(包装物料出入库明细!$E$4:$E$2003,$Z134-0)=0,"",INDEX(包装物料出入库明细!$E$4:$E$2003,$Z134-0)),IF($Z134&lt;=4000,IF(INDEX(周转筐出入库明细!$D$4:$D$2004,$Z134-2000)=0,"",INDEX(周转筐出入库明细!$D$4:$D$2004,$Z134-2000)),IF($Z134&lt;=5200,IF(INDEX(客户自备加工筐明细!$C$4:$C$1203,$Z134-4000)=0,"",INDEX(客户自备加工筐明细!$C$4:$C$1203,$Z134-4000)),IF($Z134&lt;=5800,IF(INDEX(次果筐明细!$D$4:$D$603,$Z134-5200)=0,"",INDEX(次果筐明细!$D$4:$D$603,$Z134-5200)),"")))))</f>
        <v/>
      </c>
      <c r="G134" s="24" t="str">
        <f>IF($Z134="","",IF($Z134&lt;=2000,IF(INDEX(包装物料出入库明细!$F$4:$F$2003,$Z134-0)=0,"",INDEX(包装物料出入库明细!$F$4:$F$2003,$Z134-0)),IF($Z134&lt;=4000,"",IF($Z134&lt;=5200,"",IF($Z134&lt;=5800,"","")))))</f>
        <v/>
      </c>
      <c r="H134" s="39" t="str">
        <f>IF($Z134="","",IF($Z134&lt;=2000,IF(INDEX(包装物料出入库明细!$L$4:$L$2003,$Z134-0)=0,"",INDEX(包装物料出入库明细!$L$4:$L$2003,$Z134-0)),IF($Z134&lt;=4000,N(INDEX(周转筐出入库明细!$H$4:$H$2004,$Z134-2000))+N(INDEX(周转筐出入库明细!$I$4:$I$2004,$Z134-2000))+N(INDEX(周转筐出入库明细!$J$4:$J$2004,$Z134-2000))+N(INDEX(周转筐出入库明细!$K$4:$K$2004,$Z134-2000)),IF($Z134&lt;=5200,N(INDEX(客户自备加工筐明细!$F$4:$F$1203,$Z134-4000))+N(INDEX(客户自备加工筐明细!$G$4:$G$1203,$Z134-4000)),IF($Z134&lt;=5800,IF(INDEX(次果筐明细!$G$4:$G$603,$Z134-5200)=0,"",INDEX(次果筐明细!$G$4:$G$603,$Z134-5200)),"")))))</f>
        <v/>
      </c>
      <c r="I134" s="24" t="str">
        <f>IF($Z134="","",IF($Z134&lt;=2000,IF(INDEX(包装物料出入库明细!$G$4:$G$2003,$Z134-0)=0,"",INDEX(包装物料出入库明细!$G$4:$G$2003,$Z134-0)),IF($Z134&lt;=4000,"个",IF($Z134&lt;=5200,"个",IF($Z134&lt;=5800,"个","")))))</f>
        <v/>
      </c>
      <c r="J134" s="30" t="str">
        <f t="shared" si="7"/>
        <v/>
      </c>
      <c r="K134" s="30" t="str">
        <f>IF($Z134="","",IF($Z134&lt;=2000,IF(INDEX(包装物料出入库明细!$N$4:$N$2003,$Z134-0)=0,"",INDEX(包装物料出入库明细!$N$4:$N$2003,$Z134-0)),IF($Z134&lt;=4000,IF(INDEX(周转筐出入库明细!$P$4:$P$2004,$Z134-2000)=0,"",INDEX(周转筐出入库明细!$P$4:$P$2004,$Z134-2000)),IF($Z134&lt;=5200,"",IF($Z134&lt;=5800,N(INDEX(次果筐明细!$L$4:$L$603,$Z134-5200))+N(INDEX(次果筐明细!$J$4:$J$603,$Z134-5200)),"")))))</f>
        <v/>
      </c>
      <c r="L134" s="24" t="str">
        <f>IF($Z134="","",IF($Z134&lt;=2000,IF(INDEX(包装物料出入库明细!$P$4:$P$2003,$Z134-0)=0,"",INDEX(包装物料出入库明细!$P$4:$P$2003,$Z134-0)),IF($Z134&lt;=4000,IF(INDEX(周转筐出入库明细!$Q$4:$Q$2004,$Z134-2000)=0,"",INDEX(周转筐出入库明细!$Q$4:$Q$2004,$Z134-2000)),IF($Z134&lt;=5200,"",IF($Z134&lt;=5800,IF(INDEX(次果筐明细!$M$4:$M$603,$Z134-5200)=0,"",INDEX(次果筐明细!$M$4:$M$603,$Z134-5200)),"")))))</f>
        <v/>
      </c>
      <c r="M134" s="37" t="str">
        <f>IF($Z134="","",IF($Z134&lt;=2000,IF(INDEX(包装物料出入库明细!$R$4:$R$2003,$Z134-0)=0,"",INDEX(包装物料出入库明细!$R$4:$R$2003,$Z134-0)),IF($Z134&lt;=4000,IF(INDEX(周转筐出入库明细!$W$4:$W$2004,$Z134-2000)=0,"",INDEX(周转筐出入库明细!$W$4:$W$2004,$Z134-2000)),IF($Z134&lt;=5200,IF(INDEX(客户自备加工筐明细!$L$4:$L$1203,$Z134-4000)=0,"",INDEX(客户自备加工筐明细!$L$4:$L$1203,$Z134-4000)),IF($Z134&lt;=5800,IF(INDEX(次果筐明细!$P$4:$P$603,$Z134-5200)=0,"",INDEX(次果筐明细!$P$4:$P$603,$Z134-5200)),"")))))</f>
        <v/>
      </c>
      <c r="N134" s="16" t="str">
        <f>IF($Z134="","",IF($Z134&lt;=2000,"",IF($Z134&lt;=4000,IF(INDEX(周转筐出入库明细!$D$4:$D$2004,$Z134-2000)=0,"",INDEX(周转筐出入库明细!$D$4:$D$2004,$Z134-2000)),IF($Z134&lt;=5200,IF(INDEX(客户自备加工筐明细!$C$4:$C$1203,$Z134-4000)=0,"",INDEX(客户自备加工筐明细!$C$4:$C$1203,$Z134-4000)),IF($Z134&lt;=5800,IF(INDEX(次果筐明细!$D$4:$D$603,$Z134-5200)=0,"",INDEX(次果筐明细!$D$4:$D$603,$Z134-5200)),"")))))</f>
        <v/>
      </c>
      <c r="O134" s="40" t="str">
        <f>IF($Z134="","",IF($Z134&lt;=2000,"",IF($Z134&lt;=4000,IF(N(INDEX(周转筐出入库明细!$J$4:$J$2004,$Z134-2000))+N(INDEX(周转筐出入库明细!$K$4:$K$2004,$Z134-2000))=0,"",N(INDEX(周转筐出入库明细!$J$4:$J$2004,$Z134-2000))+N(INDEX(周转筐出入库明细!$K$4:$K$2004,$Z134-2000))),IF($Z134&lt;=5200,IF(N(INDEX(客户自备加工筐明细!$G$4:$G$1203,$Z134-4000))=0,"",N(INDEX(客户自备加工筐明细!$G$4:$G$1203,$Z134-4000))),IF($Z134&lt;=5800,IF(ISNUMBER(SEARCH("退",INDEX(次果筐明细!$F$4:$F$603,$Z134-5200)&amp;"")),"",IF(N(INDEX(次果筐明细!$G$4:$G$603,$Z134-5200))=0,"",N(INDEX(次果筐明细!$G$4:$G$603,$Z134-5200)))),"")))))</f>
        <v/>
      </c>
      <c r="P134" s="40" t="str">
        <f>IF($Z134="","",IF($Z134&lt;=2000,"",IF($Z134&lt;=4000,IF(N(INDEX(周转筐出入库明细!$I$4:$I$2004,$Z134-2000))=0,"",N(INDEX(周转筐出入库明细!$I$4:$I$2004,$Z134-2000))),IF($Z134&lt;=5200,"",IF($Z134&lt;=5800,IF(ISNUMBER(SEARCH("退",INDEX(次果筐明细!$F$4:$F$603,$Z134-5200)&amp;"")),IF(N(INDEX(次果筐明细!$G$4:$G$603,$Z134-5200))=0,"",N(INDEX(次果筐明细!$G$4:$G$603,$Z134-5200))),""),"")))))</f>
        <v/>
      </c>
      <c r="Q134" s="40" t="str">
        <f>IF($Z134="","",IF($Z134&lt;=2000,"",IF($Z134&lt;=4000,IF(N(INDEX(周转筐出入库明细!$H$4:$H$2004,$Z134-2000))=0,"",N(INDEX(周转筐出入库明细!$H$4:$H$2004,$Z134-2000))),IF($Z134&lt;=5200,IF(N(INDEX(客户自备加工筐明细!$F$4:$F$1203,$Z134-4000))=0,"",N(INDEX(客户自备加工筐明细!$F$4:$F$1203,$Z134-4000))),IF($Z134&lt;=5800,"","")))))</f>
        <v/>
      </c>
      <c r="R134" s="16" t="str">
        <f>IF($Z134="","",IF($Z134&lt;=2000,IF(INDEX(包装物料出入库明细!$O$4:$O$2003,$Z134-0)=0,"",INDEX(包装物料出入库明细!$O$4:$O$2003,$Z134-0)),IF($Z134&lt;=4000,IF(INDEX(周转筐出入库明细!$M$4:$M$2004,$Z134-2000)=0,"",INDEX(周转筐出入库明细!$M$4:$M$2004,$Z134-2000)),IF($Z134&lt;=5200,IF(INDEX(客户自备加工筐明细!$H$4:$H$1203,$Z134-4000)=0,"",INDEX(客户自备加工筐明细!$H$4:$H$1203,$Z134-4000)),IF($Z134&lt;=5800,IF(INDEX(次果筐明细!$H$4:$H$603,$Z134-5200)=0,"",INDEX(次果筐明细!$H$4:$H$603,$Z134-5200)),"")))))</f>
        <v/>
      </c>
      <c r="S134" s="22" t="str">
        <f t="shared" si="8"/>
        <v/>
      </c>
      <c r="Z134" s="10" t="str">
        <f>IFERROR(MATCH(ROW()-3,_自动清单!$CQ$4:$CQ$5803,0),"")</f>
        <v/>
      </c>
    </row>
    <row r="135" spans="1:26">
      <c r="A135" s="24" t="str">
        <f t="shared" si="6"/>
        <v/>
      </c>
      <c r="B135" s="38" t="str">
        <f>IF($Z135="","",IF($Z135&lt;=2000,IF(INDEX(包装物料出入库明细!$B$4:$B$2003,$Z135-0)=0,"",INDEX(包装物料出入库明细!$B$4:$B$2003,$Z135-0)),IF($Z135&lt;=4000,IF(INDEX(周转筐出入库明细!$B$4:$B$2004,$Z135-2000)=0,"",INDEX(周转筐出入库明细!$B$4:$B$2004,$Z135-2000)),IF($Z135&lt;=5200,IF(INDEX(客户自备加工筐明细!$B$4:$B$1203,$Z135-4000)=0,"",INDEX(客户自备加工筐明细!$B$4:$B$1203,$Z135-4000)),IF($Z135&lt;=5800,IF(INDEX(次果筐明细!$B$4:$B$603,$Z135-5200)=0,"",INDEX(次果筐明细!$B$4:$B$603,$Z135-5200)),"")))))</f>
        <v/>
      </c>
      <c r="C135" s="37" t="str">
        <f>IF($Z135="","",IF($Z135&lt;=2000,IF(INDEX(包装物料出入库明细!$D$4:$D$2003,$Z135-0)=0,"",INDEX(包装物料出入库明细!$D$4:$D$2003,$Z135-0)),IF($Z135&lt;=4000,IF(INDEX(周转筐出入库明细!$C$4:$C$2004,$Z135-2000)=0,"",INDEX(周转筐出入库明细!$C$4:$C$2004,$Z135-2000)),IF($Z135&lt;=5200,IF(INDEX(客户自备加工筐明细!$E$4:$E$1203,$Z135-4000)=0,"",INDEX(客户自备加工筐明细!$E$4:$E$1203,$Z135-4000)),IF($Z135&lt;=5800,IF(INDEX(次果筐明细!$C$4:$C$603,$Z135-5200)=0,"",INDEX(次果筐明细!$C$4:$C$603,$Z135-5200)),"")))))</f>
        <v/>
      </c>
      <c r="D135" s="37" t="str">
        <f>IF($Z135="","",IF($Z135&lt;=2000,"包装物料－"&amp;INDEX(包装物料出入库明细!$H$4:$H$2003,$Z135-0),IF($Z135&lt;=4000,"周转筐－"&amp;INDEX(周转筐出入库明细!$F$4:$F$2004,$Z135-2000),IF($Z135&lt;=5200,"客户自备筐－"&amp;INDEX(客户自备加工筐明细!$J$4:$J$1203,$Z135-4000),IF($Z135&lt;=5800,"次果筐/托盘－"&amp;INDEX(次果筐明细!$F$4:$F$603,$Z135-5200),"")))))</f>
        <v/>
      </c>
      <c r="E135" s="24" t="str">
        <f>IF($Z135="","",IF($Z135&lt;=2000,IF(INDEX(包装物料出入库明细!$C$4:$C$2003,$Z135-0)=0,"",INDEX(包装物料出入库明细!$C$4:$C$2003,$Z135-0)),IF($Z135&lt;=4000,IF(INDEX(周转筐出入库明细!$E$4:$E$2004,$Z135-2000)=0,"",INDEX(周转筐出入库明细!$E$4:$E$2004,$Z135-2000)),IF($Z135&lt;=5200,IF(INDEX(客户自备加工筐明细!$D$4:$D$1203,$Z135-4000)=0,"",INDEX(客户自备加工筐明细!$D$4:$D$1203,$Z135-4000)),IF($Z135&lt;=5800,IF(INDEX(次果筐明细!$E$4:$E$603,$Z135-5200)=0,"",INDEX(次果筐明细!$E$4:$E$603,$Z135-5200)),"")))))</f>
        <v/>
      </c>
      <c r="F135" s="24" t="str">
        <f>IF($Z135="","",IF($Z135&lt;=2000,IF(INDEX(包装物料出入库明细!$E$4:$E$2003,$Z135-0)=0,"",INDEX(包装物料出入库明细!$E$4:$E$2003,$Z135-0)),IF($Z135&lt;=4000,IF(INDEX(周转筐出入库明细!$D$4:$D$2004,$Z135-2000)=0,"",INDEX(周转筐出入库明细!$D$4:$D$2004,$Z135-2000)),IF($Z135&lt;=5200,IF(INDEX(客户自备加工筐明细!$C$4:$C$1203,$Z135-4000)=0,"",INDEX(客户自备加工筐明细!$C$4:$C$1203,$Z135-4000)),IF($Z135&lt;=5800,IF(INDEX(次果筐明细!$D$4:$D$603,$Z135-5200)=0,"",INDEX(次果筐明细!$D$4:$D$603,$Z135-5200)),"")))))</f>
        <v/>
      </c>
      <c r="G135" s="24" t="str">
        <f>IF($Z135="","",IF($Z135&lt;=2000,IF(INDEX(包装物料出入库明细!$F$4:$F$2003,$Z135-0)=0,"",INDEX(包装物料出入库明细!$F$4:$F$2003,$Z135-0)),IF($Z135&lt;=4000,"",IF($Z135&lt;=5200,"",IF($Z135&lt;=5800,"","")))))</f>
        <v/>
      </c>
      <c r="H135" s="39" t="str">
        <f>IF($Z135="","",IF($Z135&lt;=2000,IF(INDEX(包装物料出入库明细!$L$4:$L$2003,$Z135-0)=0,"",INDEX(包装物料出入库明细!$L$4:$L$2003,$Z135-0)),IF($Z135&lt;=4000,N(INDEX(周转筐出入库明细!$H$4:$H$2004,$Z135-2000))+N(INDEX(周转筐出入库明细!$I$4:$I$2004,$Z135-2000))+N(INDEX(周转筐出入库明细!$J$4:$J$2004,$Z135-2000))+N(INDEX(周转筐出入库明细!$K$4:$K$2004,$Z135-2000)),IF($Z135&lt;=5200,N(INDEX(客户自备加工筐明细!$F$4:$F$1203,$Z135-4000))+N(INDEX(客户自备加工筐明细!$G$4:$G$1203,$Z135-4000)),IF($Z135&lt;=5800,IF(INDEX(次果筐明细!$G$4:$G$603,$Z135-5200)=0,"",INDEX(次果筐明细!$G$4:$G$603,$Z135-5200)),"")))))</f>
        <v/>
      </c>
      <c r="I135" s="24" t="str">
        <f>IF($Z135="","",IF($Z135&lt;=2000,IF(INDEX(包装物料出入库明细!$G$4:$G$2003,$Z135-0)=0,"",INDEX(包装物料出入库明细!$G$4:$G$2003,$Z135-0)),IF($Z135&lt;=4000,"个",IF($Z135&lt;=5200,"个",IF($Z135&lt;=5800,"个","")))))</f>
        <v/>
      </c>
      <c r="J135" s="30" t="str">
        <f t="shared" si="7"/>
        <v/>
      </c>
      <c r="K135" s="30" t="str">
        <f>IF($Z135="","",IF($Z135&lt;=2000,IF(INDEX(包装物料出入库明细!$N$4:$N$2003,$Z135-0)=0,"",INDEX(包装物料出入库明细!$N$4:$N$2003,$Z135-0)),IF($Z135&lt;=4000,IF(INDEX(周转筐出入库明细!$P$4:$P$2004,$Z135-2000)=0,"",INDEX(周转筐出入库明细!$P$4:$P$2004,$Z135-2000)),IF($Z135&lt;=5200,"",IF($Z135&lt;=5800,N(INDEX(次果筐明细!$L$4:$L$603,$Z135-5200))+N(INDEX(次果筐明细!$J$4:$J$603,$Z135-5200)),"")))))</f>
        <v/>
      </c>
      <c r="L135" s="24" t="str">
        <f>IF($Z135="","",IF($Z135&lt;=2000,IF(INDEX(包装物料出入库明细!$P$4:$P$2003,$Z135-0)=0,"",INDEX(包装物料出入库明细!$P$4:$P$2003,$Z135-0)),IF($Z135&lt;=4000,IF(INDEX(周转筐出入库明细!$Q$4:$Q$2004,$Z135-2000)=0,"",INDEX(周转筐出入库明细!$Q$4:$Q$2004,$Z135-2000)),IF($Z135&lt;=5200,"",IF($Z135&lt;=5800,IF(INDEX(次果筐明细!$M$4:$M$603,$Z135-5200)=0,"",INDEX(次果筐明细!$M$4:$M$603,$Z135-5200)),"")))))</f>
        <v/>
      </c>
      <c r="M135" s="37" t="str">
        <f>IF($Z135="","",IF($Z135&lt;=2000,IF(INDEX(包装物料出入库明细!$R$4:$R$2003,$Z135-0)=0,"",INDEX(包装物料出入库明细!$R$4:$R$2003,$Z135-0)),IF($Z135&lt;=4000,IF(INDEX(周转筐出入库明细!$W$4:$W$2004,$Z135-2000)=0,"",INDEX(周转筐出入库明细!$W$4:$W$2004,$Z135-2000)),IF($Z135&lt;=5200,IF(INDEX(客户自备加工筐明细!$L$4:$L$1203,$Z135-4000)=0,"",INDEX(客户自备加工筐明细!$L$4:$L$1203,$Z135-4000)),IF($Z135&lt;=5800,IF(INDEX(次果筐明细!$P$4:$P$603,$Z135-5200)=0,"",INDEX(次果筐明细!$P$4:$P$603,$Z135-5200)),"")))))</f>
        <v/>
      </c>
      <c r="N135" s="16" t="str">
        <f>IF($Z135="","",IF($Z135&lt;=2000,"",IF($Z135&lt;=4000,IF(INDEX(周转筐出入库明细!$D$4:$D$2004,$Z135-2000)=0,"",INDEX(周转筐出入库明细!$D$4:$D$2004,$Z135-2000)),IF($Z135&lt;=5200,IF(INDEX(客户自备加工筐明细!$C$4:$C$1203,$Z135-4000)=0,"",INDEX(客户自备加工筐明细!$C$4:$C$1203,$Z135-4000)),IF($Z135&lt;=5800,IF(INDEX(次果筐明细!$D$4:$D$603,$Z135-5200)=0,"",INDEX(次果筐明细!$D$4:$D$603,$Z135-5200)),"")))))</f>
        <v/>
      </c>
      <c r="O135" s="40" t="str">
        <f>IF($Z135="","",IF($Z135&lt;=2000,"",IF($Z135&lt;=4000,IF(N(INDEX(周转筐出入库明细!$J$4:$J$2004,$Z135-2000))+N(INDEX(周转筐出入库明细!$K$4:$K$2004,$Z135-2000))=0,"",N(INDEX(周转筐出入库明细!$J$4:$J$2004,$Z135-2000))+N(INDEX(周转筐出入库明细!$K$4:$K$2004,$Z135-2000))),IF($Z135&lt;=5200,IF(N(INDEX(客户自备加工筐明细!$G$4:$G$1203,$Z135-4000))=0,"",N(INDEX(客户自备加工筐明细!$G$4:$G$1203,$Z135-4000))),IF($Z135&lt;=5800,IF(ISNUMBER(SEARCH("退",INDEX(次果筐明细!$F$4:$F$603,$Z135-5200)&amp;"")),"",IF(N(INDEX(次果筐明细!$G$4:$G$603,$Z135-5200))=0,"",N(INDEX(次果筐明细!$G$4:$G$603,$Z135-5200)))),"")))))</f>
        <v/>
      </c>
      <c r="P135" s="40" t="str">
        <f>IF($Z135="","",IF($Z135&lt;=2000,"",IF($Z135&lt;=4000,IF(N(INDEX(周转筐出入库明细!$I$4:$I$2004,$Z135-2000))=0,"",N(INDEX(周转筐出入库明细!$I$4:$I$2004,$Z135-2000))),IF($Z135&lt;=5200,"",IF($Z135&lt;=5800,IF(ISNUMBER(SEARCH("退",INDEX(次果筐明细!$F$4:$F$603,$Z135-5200)&amp;"")),IF(N(INDEX(次果筐明细!$G$4:$G$603,$Z135-5200))=0,"",N(INDEX(次果筐明细!$G$4:$G$603,$Z135-5200))),""),"")))))</f>
        <v/>
      </c>
      <c r="Q135" s="40" t="str">
        <f>IF($Z135="","",IF($Z135&lt;=2000,"",IF($Z135&lt;=4000,IF(N(INDEX(周转筐出入库明细!$H$4:$H$2004,$Z135-2000))=0,"",N(INDEX(周转筐出入库明细!$H$4:$H$2004,$Z135-2000))),IF($Z135&lt;=5200,IF(N(INDEX(客户自备加工筐明细!$F$4:$F$1203,$Z135-4000))=0,"",N(INDEX(客户自备加工筐明细!$F$4:$F$1203,$Z135-4000))),IF($Z135&lt;=5800,"","")))))</f>
        <v/>
      </c>
      <c r="R135" s="16" t="str">
        <f>IF($Z135="","",IF($Z135&lt;=2000,IF(INDEX(包装物料出入库明细!$O$4:$O$2003,$Z135-0)=0,"",INDEX(包装物料出入库明细!$O$4:$O$2003,$Z135-0)),IF($Z135&lt;=4000,IF(INDEX(周转筐出入库明细!$M$4:$M$2004,$Z135-2000)=0,"",INDEX(周转筐出入库明细!$M$4:$M$2004,$Z135-2000)),IF($Z135&lt;=5200,IF(INDEX(客户自备加工筐明细!$H$4:$H$1203,$Z135-4000)=0,"",INDEX(客户自备加工筐明细!$H$4:$H$1203,$Z135-4000)),IF($Z135&lt;=5800,IF(INDEX(次果筐明细!$H$4:$H$603,$Z135-5200)=0,"",INDEX(次果筐明细!$H$4:$H$603,$Z135-5200)),"")))))</f>
        <v/>
      </c>
      <c r="S135" s="22" t="str">
        <f t="shared" si="8"/>
        <v/>
      </c>
      <c r="Z135" s="10" t="str">
        <f>IFERROR(MATCH(ROW()-3,_自动清单!$CQ$4:$CQ$5803,0),"")</f>
        <v/>
      </c>
    </row>
    <row r="136" spans="1:26">
      <c r="A136" s="24" t="str">
        <f t="shared" si="6"/>
        <v/>
      </c>
      <c r="B136" s="38" t="str">
        <f>IF($Z136="","",IF($Z136&lt;=2000,IF(INDEX(包装物料出入库明细!$B$4:$B$2003,$Z136-0)=0,"",INDEX(包装物料出入库明细!$B$4:$B$2003,$Z136-0)),IF($Z136&lt;=4000,IF(INDEX(周转筐出入库明细!$B$4:$B$2004,$Z136-2000)=0,"",INDEX(周转筐出入库明细!$B$4:$B$2004,$Z136-2000)),IF($Z136&lt;=5200,IF(INDEX(客户自备加工筐明细!$B$4:$B$1203,$Z136-4000)=0,"",INDEX(客户自备加工筐明细!$B$4:$B$1203,$Z136-4000)),IF($Z136&lt;=5800,IF(INDEX(次果筐明细!$B$4:$B$603,$Z136-5200)=0,"",INDEX(次果筐明细!$B$4:$B$603,$Z136-5200)),"")))))</f>
        <v/>
      </c>
      <c r="C136" s="37" t="str">
        <f>IF($Z136="","",IF($Z136&lt;=2000,IF(INDEX(包装物料出入库明细!$D$4:$D$2003,$Z136-0)=0,"",INDEX(包装物料出入库明细!$D$4:$D$2003,$Z136-0)),IF($Z136&lt;=4000,IF(INDEX(周转筐出入库明细!$C$4:$C$2004,$Z136-2000)=0,"",INDEX(周转筐出入库明细!$C$4:$C$2004,$Z136-2000)),IF($Z136&lt;=5200,IF(INDEX(客户自备加工筐明细!$E$4:$E$1203,$Z136-4000)=0,"",INDEX(客户自备加工筐明细!$E$4:$E$1203,$Z136-4000)),IF($Z136&lt;=5800,IF(INDEX(次果筐明细!$C$4:$C$603,$Z136-5200)=0,"",INDEX(次果筐明细!$C$4:$C$603,$Z136-5200)),"")))))</f>
        <v/>
      </c>
      <c r="D136" s="37" t="str">
        <f>IF($Z136="","",IF($Z136&lt;=2000,"包装物料－"&amp;INDEX(包装物料出入库明细!$H$4:$H$2003,$Z136-0),IF($Z136&lt;=4000,"周转筐－"&amp;INDEX(周转筐出入库明细!$F$4:$F$2004,$Z136-2000),IF($Z136&lt;=5200,"客户自备筐－"&amp;INDEX(客户自备加工筐明细!$J$4:$J$1203,$Z136-4000),IF($Z136&lt;=5800,"次果筐/托盘－"&amp;INDEX(次果筐明细!$F$4:$F$603,$Z136-5200),"")))))</f>
        <v/>
      </c>
      <c r="E136" s="24" t="str">
        <f>IF($Z136="","",IF($Z136&lt;=2000,IF(INDEX(包装物料出入库明细!$C$4:$C$2003,$Z136-0)=0,"",INDEX(包装物料出入库明细!$C$4:$C$2003,$Z136-0)),IF($Z136&lt;=4000,IF(INDEX(周转筐出入库明细!$E$4:$E$2004,$Z136-2000)=0,"",INDEX(周转筐出入库明细!$E$4:$E$2004,$Z136-2000)),IF($Z136&lt;=5200,IF(INDEX(客户自备加工筐明细!$D$4:$D$1203,$Z136-4000)=0,"",INDEX(客户自备加工筐明细!$D$4:$D$1203,$Z136-4000)),IF($Z136&lt;=5800,IF(INDEX(次果筐明细!$E$4:$E$603,$Z136-5200)=0,"",INDEX(次果筐明细!$E$4:$E$603,$Z136-5200)),"")))))</f>
        <v/>
      </c>
      <c r="F136" s="24" t="str">
        <f>IF($Z136="","",IF($Z136&lt;=2000,IF(INDEX(包装物料出入库明细!$E$4:$E$2003,$Z136-0)=0,"",INDEX(包装物料出入库明细!$E$4:$E$2003,$Z136-0)),IF($Z136&lt;=4000,IF(INDEX(周转筐出入库明细!$D$4:$D$2004,$Z136-2000)=0,"",INDEX(周转筐出入库明细!$D$4:$D$2004,$Z136-2000)),IF($Z136&lt;=5200,IF(INDEX(客户自备加工筐明细!$C$4:$C$1203,$Z136-4000)=0,"",INDEX(客户自备加工筐明细!$C$4:$C$1203,$Z136-4000)),IF($Z136&lt;=5800,IF(INDEX(次果筐明细!$D$4:$D$603,$Z136-5200)=0,"",INDEX(次果筐明细!$D$4:$D$603,$Z136-5200)),"")))))</f>
        <v/>
      </c>
      <c r="G136" s="24" t="str">
        <f>IF($Z136="","",IF($Z136&lt;=2000,IF(INDEX(包装物料出入库明细!$F$4:$F$2003,$Z136-0)=0,"",INDEX(包装物料出入库明细!$F$4:$F$2003,$Z136-0)),IF($Z136&lt;=4000,"",IF($Z136&lt;=5200,"",IF($Z136&lt;=5800,"","")))))</f>
        <v/>
      </c>
      <c r="H136" s="39" t="str">
        <f>IF($Z136="","",IF($Z136&lt;=2000,IF(INDEX(包装物料出入库明细!$L$4:$L$2003,$Z136-0)=0,"",INDEX(包装物料出入库明细!$L$4:$L$2003,$Z136-0)),IF($Z136&lt;=4000,N(INDEX(周转筐出入库明细!$H$4:$H$2004,$Z136-2000))+N(INDEX(周转筐出入库明细!$I$4:$I$2004,$Z136-2000))+N(INDEX(周转筐出入库明细!$J$4:$J$2004,$Z136-2000))+N(INDEX(周转筐出入库明细!$K$4:$K$2004,$Z136-2000)),IF($Z136&lt;=5200,N(INDEX(客户自备加工筐明细!$F$4:$F$1203,$Z136-4000))+N(INDEX(客户自备加工筐明细!$G$4:$G$1203,$Z136-4000)),IF($Z136&lt;=5800,IF(INDEX(次果筐明细!$G$4:$G$603,$Z136-5200)=0,"",INDEX(次果筐明细!$G$4:$G$603,$Z136-5200)),"")))))</f>
        <v/>
      </c>
      <c r="I136" s="24" t="str">
        <f>IF($Z136="","",IF($Z136&lt;=2000,IF(INDEX(包装物料出入库明细!$G$4:$G$2003,$Z136-0)=0,"",INDEX(包装物料出入库明细!$G$4:$G$2003,$Z136-0)),IF($Z136&lt;=4000,"个",IF($Z136&lt;=5200,"个",IF($Z136&lt;=5800,"个","")))))</f>
        <v/>
      </c>
      <c r="J136" s="30" t="str">
        <f t="shared" si="7"/>
        <v/>
      </c>
      <c r="K136" s="30" t="str">
        <f>IF($Z136="","",IF($Z136&lt;=2000,IF(INDEX(包装物料出入库明细!$N$4:$N$2003,$Z136-0)=0,"",INDEX(包装物料出入库明细!$N$4:$N$2003,$Z136-0)),IF($Z136&lt;=4000,IF(INDEX(周转筐出入库明细!$P$4:$P$2004,$Z136-2000)=0,"",INDEX(周转筐出入库明细!$P$4:$P$2004,$Z136-2000)),IF($Z136&lt;=5200,"",IF($Z136&lt;=5800,N(INDEX(次果筐明细!$L$4:$L$603,$Z136-5200))+N(INDEX(次果筐明细!$J$4:$J$603,$Z136-5200)),"")))))</f>
        <v/>
      </c>
      <c r="L136" s="24" t="str">
        <f>IF($Z136="","",IF($Z136&lt;=2000,IF(INDEX(包装物料出入库明细!$P$4:$P$2003,$Z136-0)=0,"",INDEX(包装物料出入库明细!$P$4:$P$2003,$Z136-0)),IF($Z136&lt;=4000,IF(INDEX(周转筐出入库明细!$Q$4:$Q$2004,$Z136-2000)=0,"",INDEX(周转筐出入库明细!$Q$4:$Q$2004,$Z136-2000)),IF($Z136&lt;=5200,"",IF($Z136&lt;=5800,IF(INDEX(次果筐明细!$M$4:$M$603,$Z136-5200)=0,"",INDEX(次果筐明细!$M$4:$M$603,$Z136-5200)),"")))))</f>
        <v/>
      </c>
      <c r="M136" s="37" t="str">
        <f>IF($Z136="","",IF($Z136&lt;=2000,IF(INDEX(包装物料出入库明细!$R$4:$R$2003,$Z136-0)=0,"",INDEX(包装物料出入库明细!$R$4:$R$2003,$Z136-0)),IF($Z136&lt;=4000,IF(INDEX(周转筐出入库明细!$W$4:$W$2004,$Z136-2000)=0,"",INDEX(周转筐出入库明细!$W$4:$W$2004,$Z136-2000)),IF($Z136&lt;=5200,IF(INDEX(客户自备加工筐明细!$L$4:$L$1203,$Z136-4000)=0,"",INDEX(客户自备加工筐明细!$L$4:$L$1203,$Z136-4000)),IF($Z136&lt;=5800,IF(INDEX(次果筐明细!$P$4:$P$603,$Z136-5200)=0,"",INDEX(次果筐明细!$P$4:$P$603,$Z136-5200)),"")))))</f>
        <v/>
      </c>
      <c r="N136" s="16" t="str">
        <f>IF($Z136="","",IF($Z136&lt;=2000,"",IF($Z136&lt;=4000,IF(INDEX(周转筐出入库明细!$D$4:$D$2004,$Z136-2000)=0,"",INDEX(周转筐出入库明细!$D$4:$D$2004,$Z136-2000)),IF($Z136&lt;=5200,IF(INDEX(客户自备加工筐明细!$C$4:$C$1203,$Z136-4000)=0,"",INDEX(客户自备加工筐明细!$C$4:$C$1203,$Z136-4000)),IF($Z136&lt;=5800,IF(INDEX(次果筐明细!$D$4:$D$603,$Z136-5200)=0,"",INDEX(次果筐明细!$D$4:$D$603,$Z136-5200)),"")))))</f>
        <v/>
      </c>
      <c r="O136" s="40" t="str">
        <f>IF($Z136="","",IF($Z136&lt;=2000,"",IF($Z136&lt;=4000,IF(N(INDEX(周转筐出入库明细!$J$4:$J$2004,$Z136-2000))+N(INDEX(周转筐出入库明细!$K$4:$K$2004,$Z136-2000))=0,"",N(INDEX(周转筐出入库明细!$J$4:$J$2004,$Z136-2000))+N(INDEX(周转筐出入库明细!$K$4:$K$2004,$Z136-2000))),IF($Z136&lt;=5200,IF(N(INDEX(客户自备加工筐明细!$G$4:$G$1203,$Z136-4000))=0,"",N(INDEX(客户自备加工筐明细!$G$4:$G$1203,$Z136-4000))),IF($Z136&lt;=5800,IF(ISNUMBER(SEARCH("退",INDEX(次果筐明细!$F$4:$F$603,$Z136-5200)&amp;"")),"",IF(N(INDEX(次果筐明细!$G$4:$G$603,$Z136-5200))=0,"",N(INDEX(次果筐明细!$G$4:$G$603,$Z136-5200)))),"")))))</f>
        <v/>
      </c>
      <c r="P136" s="40" t="str">
        <f>IF($Z136="","",IF($Z136&lt;=2000,"",IF($Z136&lt;=4000,IF(N(INDEX(周转筐出入库明细!$I$4:$I$2004,$Z136-2000))=0,"",N(INDEX(周转筐出入库明细!$I$4:$I$2004,$Z136-2000))),IF($Z136&lt;=5200,"",IF($Z136&lt;=5800,IF(ISNUMBER(SEARCH("退",INDEX(次果筐明细!$F$4:$F$603,$Z136-5200)&amp;"")),IF(N(INDEX(次果筐明细!$G$4:$G$603,$Z136-5200))=0,"",N(INDEX(次果筐明细!$G$4:$G$603,$Z136-5200))),""),"")))))</f>
        <v/>
      </c>
      <c r="Q136" s="40" t="str">
        <f>IF($Z136="","",IF($Z136&lt;=2000,"",IF($Z136&lt;=4000,IF(N(INDEX(周转筐出入库明细!$H$4:$H$2004,$Z136-2000))=0,"",N(INDEX(周转筐出入库明细!$H$4:$H$2004,$Z136-2000))),IF($Z136&lt;=5200,IF(N(INDEX(客户自备加工筐明细!$F$4:$F$1203,$Z136-4000))=0,"",N(INDEX(客户自备加工筐明细!$F$4:$F$1203,$Z136-4000))),IF($Z136&lt;=5800,"","")))))</f>
        <v/>
      </c>
      <c r="R136" s="16" t="str">
        <f>IF($Z136="","",IF($Z136&lt;=2000,IF(INDEX(包装物料出入库明细!$O$4:$O$2003,$Z136-0)=0,"",INDEX(包装物料出入库明细!$O$4:$O$2003,$Z136-0)),IF($Z136&lt;=4000,IF(INDEX(周转筐出入库明细!$M$4:$M$2004,$Z136-2000)=0,"",INDEX(周转筐出入库明细!$M$4:$M$2004,$Z136-2000)),IF($Z136&lt;=5200,IF(INDEX(客户自备加工筐明细!$H$4:$H$1203,$Z136-4000)=0,"",INDEX(客户自备加工筐明细!$H$4:$H$1203,$Z136-4000)),IF($Z136&lt;=5800,IF(INDEX(次果筐明细!$H$4:$H$603,$Z136-5200)=0,"",INDEX(次果筐明细!$H$4:$H$603,$Z136-5200)),"")))))</f>
        <v/>
      </c>
      <c r="S136" s="22" t="str">
        <f t="shared" si="8"/>
        <v/>
      </c>
      <c r="Z136" s="10" t="str">
        <f>IFERROR(MATCH(ROW()-3,_自动清单!$CQ$4:$CQ$5803,0),"")</f>
        <v/>
      </c>
    </row>
    <row r="137" spans="1:26">
      <c r="A137" s="24" t="str">
        <f t="shared" si="6"/>
        <v/>
      </c>
      <c r="B137" s="38" t="str">
        <f>IF($Z137="","",IF($Z137&lt;=2000,IF(INDEX(包装物料出入库明细!$B$4:$B$2003,$Z137-0)=0,"",INDEX(包装物料出入库明细!$B$4:$B$2003,$Z137-0)),IF($Z137&lt;=4000,IF(INDEX(周转筐出入库明细!$B$4:$B$2004,$Z137-2000)=0,"",INDEX(周转筐出入库明细!$B$4:$B$2004,$Z137-2000)),IF($Z137&lt;=5200,IF(INDEX(客户自备加工筐明细!$B$4:$B$1203,$Z137-4000)=0,"",INDEX(客户自备加工筐明细!$B$4:$B$1203,$Z137-4000)),IF($Z137&lt;=5800,IF(INDEX(次果筐明细!$B$4:$B$603,$Z137-5200)=0,"",INDEX(次果筐明细!$B$4:$B$603,$Z137-5200)),"")))))</f>
        <v/>
      </c>
      <c r="C137" s="37" t="str">
        <f>IF($Z137="","",IF($Z137&lt;=2000,IF(INDEX(包装物料出入库明细!$D$4:$D$2003,$Z137-0)=0,"",INDEX(包装物料出入库明细!$D$4:$D$2003,$Z137-0)),IF($Z137&lt;=4000,IF(INDEX(周转筐出入库明细!$C$4:$C$2004,$Z137-2000)=0,"",INDEX(周转筐出入库明细!$C$4:$C$2004,$Z137-2000)),IF($Z137&lt;=5200,IF(INDEX(客户自备加工筐明细!$E$4:$E$1203,$Z137-4000)=0,"",INDEX(客户自备加工筐明细!$E$4:$E$1203,$Z137-4000)),IF($Z137&lt;=5800,IF(INDEX(次果筐明细!$C$4:$C$603,$Z137-5200)=0,"",INDEX(次果筐明细!$C$4:$C$603,$Z137-5200)),"")))))</f>
        <v/>
      </c>
      <c r="D137" s="37" t="str">
        <f>IF($Z137="","",IF($Z137&lt;=2000,"包装物料－"&amp;INDEX(包装物料出入库明细!$H$4:$H$2003,$Z137-0),IF($Z137&lt;=4000,"周转筐－"&amp;INDEX(周转筐出入库明细!$F$4:$F$2004,$Z137-2000),IF($Z137&lt;=5200,"客户自备筐－"&amp;INDEX(客户自备加工筐明细!$J$4:$J$1203,$Z137-4000),IF($Z137&lt;=5800,"次果筐/托盘－"&amp;INDEX(次果筐明细!$F$4:$F$603,$Z137-5200),"")))))</f>
        <v/>
      </c>
      <c r="E137" s="24" t="str">
        <f>IF($Z137="","",IF($Z137&lt;=2000,IF(INDEX(包装物料出入库明细!$C$4:$C$2003,$Z137-0)=0,"",INDEX(包装物料出入库明细!$C$4:$C$2003,$Z137-0)),IF($Z137&lt;=4000,IF(INDEX(周转筐出入库明细!$E$4:$E$2004,$Z137-2000)=0,"",INDEX(周转筐出入库明细!$E$4:$E$2004,$Z137-2000)),IF($Z137&lt;=5200,IF(INDEX(客户自备加工筐明细!$D$4:$D$1203,$Z137-4000)=0,"",INDEX(客户自备加工筐明细!$D$4:$D$1203,$Z137-4000)),IF($Z137&lt;=5800,IF(INDEX(次果筐明细!$E$4:$E$603,$Z137-5200)=0,"",INDEX(次果筐明细!$E$4:$E$603,$Z137-5200)),"")))))</f>
        <v/>
      </c>
      <c r="F137" s="24" t="str">
        <f>IF($Z137="","",IF($Z137&lt;=2000,IF(INDEX(包装物料出入库明细!$E$4:$E$2003,$Z137-0)=0,"",INDEX(包装物料出入库明细!$E$4:$E$2003,$Z137-0)),IF($Z137&lt;=4000,IF(INDEX(周转筐出入库明细!$D$4:$D$2004,$Z137-2000)=0,"",INDEX(周转筐出入库明细!$D$4:$D$2004,$Z137-2000)),IF($Z137&lt;=5200,IF(INDEX(客户自备加工筐明细!$C$4:$C$1203,$Z137-4000)=0,"",INDEX(客户自备加工筐明细!$C$4:$C$1203,$Z137-4000)),IF($Z137&lt;=5800,IF(INDEX(次果筐明细!$D$4:$D$603,$Z137-5200)=0,"",INDEX(次果筐明细!$D$4:$D$603,$Z137-5200)),"")))))</f>
        <v/>
      </c>
      <c r="G137" s="24" t="str">
        <f>IF($Z137="","",IF($Z137&lt;=2000,IF(INDEX(包装物料出入库明细!$F$4:$F$2003,$Z137-0)=0,"",INDEX(包装物料出入库明细!$F$4:$F$2003,$Z137-0)),IF($Z137&lt;=4000,"",IF($Z137&lt;=5200,"",IF($Z137&lt;=5800,"","")))))</f>
        <v/>
      </c>
      <c r="H137" s="39" t="str">
        <f>IF($Z137="","",IF($Z137&lt;=2000,IF(INDEX(包装物料出入库明细!$L$4:$L$2003,$Z137-0)=0,"",INDEX(包装物料出入库明细!$L$4:$L$2003,$Z137-0)),IF($Z137&lt;=4000,N(INDEX(周转筐出入库明细!$H$4:$H$2004,$Z137-2000))+N(INDEX(周转筐出入库明细!$I$4:$I$2004,$Z137-2000))+N(INDEX(周转筐出入库明细!$J$4:$J$2004,$Z137-2000))+N(INDEX(周转筐出入库明细!$K$4:$K$2004,$Z137-2000)),IF($Z137&lt;=5200,N(INDEX(客户自备加工筐明细!$F$4:$F$1203,$Z137-4000))+N(INDEX(客户自备加工筐明细!$G$4:$G$1203,$Z137-4000)),IF($Z137&lt;=5800,IF(INDEX(次果筐明细!$G$4:$G$603,$Z137-5200)=0,"",INDEX(次果筐明细!$G$4:$G$603,$Z137-5200)),"")))))</f>
        <v/>
      </c>
      <c r="I137" s="24" t="str">
        <f>IF($Z137="","",IF($Z137&lt;=2000,IF(INDEX(包装物料出入库明细!$G$4:$G$2003,$Z137-0)=0,"",INDEX(包装物料出入库明细!$G$4:$G$2003,$Z137-0)),IF($Z137&lt;=4000,"个",IF($Z137&lt;=5200,"个",IF($Z137&lt;=5800,"个","")))))</f>
        <v/>
      </c>
      <c r="J137" s="30" t="str">
        <f t="shared" si="7"/>
        <v/>
      </c>
      <c r="K137" s="30" t="str">
        <f>IF($Z137="","",IF($Z137&lt;=2000,IF(INDEX(包装物料出入库明细!$N$4:$N$2003,$Z137-0)=0,"",INDEX(包装物料出入库明细!$N$4:$N$2003,$Z137-0)),IF($Z137&lt;=4000,IF(INDEX(周转筐出入库明细!$P$4:$P$2004,$Z137-2000)=0,"",INDEX(周转筐出入库明细!$P$4:$P$2004,$Z137-2000)),IF($Z137&lt;=5200,"",IF($Z137&lt;=5800,N(INDEX(次果筐明细!$L$4:$L$603,$Z137-5200))+N(INDEX(次果筐明细!$J$4:$J$603,$Z137-5200)),"")))))</f>
        <v/>
      </c>
      <c r="L137" s="24" t="str">
        <f>IF($Z137="","",IF($Z137&lt;=2000,IF(INDEX(包装物料出入库明细!$P$4:$P$2003,$Z137-0)=0,"",INDEX(包装物料出入库明细!$P$4:$P$2003,$Z137-0)),IF($Z137&lt;=4000,IF(INDEX(周转筐出入库明细!$Q$4:$Q$2004,$Z137-2000)=0,"",INDEX(周转筐出入库明细!$Q$4:$Q$2004,$Z137-2000)),IF($Z137&lt;=5200,"",IF($Z137&lt;=5800,IF(INDEX(次果筐明细!$M$4:$M$603,$Z137-5200)=0,"",INDEX(次果筐明细!$M$4:$M$603,$Z137-5200)),"")))))</f>
        <v/>
      </c>
      <c r="M137" s="37" t="str">
        <f>IF($Z137="","",IF($Z137&lt;=2000,IF(INDEX(包装物料出入库明细!$R$4:$R$2003,$Z137-0)=0,"",INDEX(包装物料出入库明细!$R$4:$R$2003,$Z137-0)),IF($Z137&lt;=4000,IF(INDEX(周转筐出入库明细!$W$4:$W$2004,$Z137-2000)=0,"",INDEX(周转筐出入库明细!$W$4:$W$2004,$Z137-2000)),IF($Z137&lt;=5200,IF(INDEX(客户自备加工筐明细!$L$4:$L$1203,$Z137-4000)=0,"",INDEX(客户自备加工筐明细!$L$4:$L$1203,$Z137-4000)),IF($Z137&lt;=5800,IF(INDEX(次果筐明细!$P$4:$P$603,$Z137-5200)=0,"",INDEX(次果筐明细!$P$4:$P$603,$Z137-5200)),"")))))</f>
        <v/>
      </c>
      <c r="N137" s="16" t="str">
        <f>IF($Z137="","",IF($Z137&lt;=2000,"",IF($Z137&lt;=4000,IF(INDEX(周转筐出入库明细!$D$4:$D$2004,$Z137-2000)=0,"",INDEX(周转筐出入库明细!$D$4:$D$2004,$Z137-2000)),IF($Z137&lt;=5200,IF(INDEX(客户自备加工筐明细!$C$4:$C$1203,$Z137-4000)=0,"",INDEX(客户自备加工筐明细!$C$4:$C$1203,$Z137-4000)),IF($Z137&lt;=5800,IF(INDEX(次果筐明细!$D$4:$D$603,$Z137-5200)=0,"",INDEX(次果筐明细!$D$4:$D$603,$Z137-5200)),"")))))</f>
        <v/>
      </c>
      <c r="O137" s="40" t="str">
        <f>IF($Z137="","",IF($Z137&lt;=2000,"",IF($Z137&lt;=4000,IF(N(INDEX(周转筐出入库明细!$J$4:$J$2004,$Z137-2000))+N(INDEX(周转筐出入库明细!$K$4:$K$2004,$Z137-2000))=0,"",N(INDEX(周转筐出入库明细!$J$4:$J$2004,$Z137-2000))+N(INDEX(周转筐出入库明细!$K$4:$K$2004,$Z137-2000))),IF($Z137&lt;=5200,IF(N(INDEX(客户自备加工筐明细!$G$4:$G$1203,$Z137-4000))=0,"",N(INDEX(客户自备加工筐明细!$G$4:$G$1203,$Z137-4000))),IF($Z137&lt;=5800,IF(ISNUMBER(SEARCH("退",INDEX(次果筐明细!$F$4:$F$603,$Z137-5200)&amp;"")),"",IF(N(INDEX(次果筐明细!$G$4:$G$603,$Z137-5200))=0,"",N(INDEX(次果筐明细!$G$4:$G$603,$Z137-5200)))),"")))))</f>
        <v/>
      </c>
      <c r="P137" s="40" t="str">
        <f>IF($Z137="","",IF($Z137&lt;=2000,"",IF($Z137&lt;=4000,IF(N(INDEX(周转筐出入库明细!$I$4:$I$2004,$Z137-2000))=0,"",N(INDEX(周转筐出入库明细!$I$4:$I$2004,$Z137-2000))),IF($Z137&lt;=5200,"",IF($Z137&lt;=5800,IF(ISNUMBER(SEARCH("退",INDEX(次果筐明细!$F$4:$F$603,$Z137-5200)&amp;"")),IF(N(INDEX(次果筐明细!$G$4:$G$603,$Z137-5200))=0,"",N(INDEX(次果筐明细!$G$4:$G$603,$Z137-5200))),""),"")))))</f>
        <v/>
      </c>
      <c r="Q137" s="40" t="str">
        <f>IF($Z137="","",IF($Z137&lt;=2000,"",IF($Z137&lt;=4000,IF(N(INDEX(周转筐出入库明细!$H$4:$H$2004,$Z137-2000))=0,"",N(INDEX(周转筐出入库明细!$H$4:$H$2004,$Z137-2000))),IF($Z137&lt;=5200,IF(N(INDEX(客户自备加工筐明细!$F$4:$F$1203,$Z137-4000))=0,"",N(INDEX(客户自备加工筐明细!$F$4:$F$1203,$Z137-4000))),IF($Z137&lt;=5800,"","")))))</f>
        <v/>
      </c>
      <c r="R137" s="16" t="str">
        <f>IF($Z137="","",IF($Z137&lt;=2000,IF(INDEX(包装物料出入库明细!$O$4:$O$2003,$Z137-0)=0,"",INDEX(包装物料出入库明细!$O$4:$O$2003,$Z137-0)),IF($Z137&lt;=4000,IF(INDEX(周转筐出入库明细!$M$4:$M$2004,$Z137-2000)=0,"",INDEX(周转筐出入库明细!$M$4:$M$2004,$Z137-2000)),IF($Z137&lt;=5200,IF(INDEX(客户自备加工筐明细!$H$4:$H$1203,$Z137-4000)=0,"",INDEX(客户自备加工筐明细!$H$4:$H$1203,$Z137-4000)),IF($Z137&lt;=5800,IF(INDEX(次果筐明细!$H$4:$H$603,$Z137-5200)=0,"",INDEX(次果筐明细!$H$4:$H$603,$Z137-5200)),"")))))</f>
        <v/>
      </c>
      <c r="S137" s="22" t="str">
        <f t="shared" si="8"/>
        <v/>
      </c>
      <c r="Z137" s="10" t="str">
        <f>IFERROR(MATCH(ROW()-3,_自动清单!$CQ$4:$CQ$5803,0),"")</f>
        <v/>
      </c>
    </row>
    <row r="138" spans="1:26">
      <c r="A138" s="24" t="str">
        <f t="shared" si="6"/>
        <v/>
      </c>
      <c r="B138" s="38" t="str">
        <f>IF($Z138="","",IF($Z138&lt;=2000,IF(INDEX(包装物料出入库明细!$B$4:$B$2003,$Z138-0)=0,"",INDEX(包装物料出入库明细!$B$4:$B$2003,$Z138-0)),IF($Z138&lt;=4000,IF(INDEX(周转筐出入库明细!$B$4:$B$2004,$Z138-2000)=0,"",INDEX(周转筐出入库明细!$B$4:$B$2004,$Z138-2000)),IF($Z138&lt;=5200,IF(INDEX(客户自备加工筐明细!$B$4:$B$1203,$Z138-4000)=0,"",INDEX(客户自备加工筐明细!$B$4:$B$1203,$Z138-4000)),IF($Z138&lt;=5800,IF(INDEX(次果筐明细!$B$4:$B$603,$Z138-5200)=0,"",INDEX(次果筐明细!$B$4:$B$603,$Z138-5200)),"")))))</f>
        <v/>
      </c>
      <c r="C138" s="37" t="str">
        <f>IF($Z138="","",IF($Z138&lt;=2000,IF(INDEX(包装物料出入库明细!$D$4:$D$2003,$Z138-0)=0,"",INDEX(包装物料出入库明细!$D$4:$D$2003,$Z138-0)),IF($Z138&lt;=4000,IF(INDEX(周转筐出入库明细!$C$4:$C$2004,$Z138-2000)=0,"",INDEX(周转筐出入库明细!$C$4:$C$2004,$Z138-2000)),IF($Z138&lt;=5200,IF(INDEX(客户自备加工筐明细!$E$4:$E$1203,$Z138-4000)=0,"",INDEX(客户自备加工筐明细!$E$4:$E$1203,$Z138-4000)),IF($Z138&lt;=5800,IF(INDEX(次果筐明细!$C$4:$C$603,$Z138-5200)=0,"",INDEX(次果筐明细!$C$4:$C$603,$Z138-5200)),"")))))</f>
        <v/>
      </c>
      <c r="D138" s="37" t="str">
        <f>IF($Z138="","",IF($Z138&lt;=2000,"包装物料－"&amp;INDEX(包装物料出入库明细!$H$4:$H$2003,$Z138-0),IF($Z138&lt;=4000,"周转筐－"&amp;INDEX(周转筐出入库明细!$F$4:$F$2004,$Z138-2000),IF($Z138&lt;=5200,"客户自备筐－"&amp;INDEX(客户自备加工筐明细!$J$4:$J$1203,$Z138-4000),IF($Z138&lt;=5800,"次果筐/托盘－"&amp;INDEX(次果筐明细!$F$4:$F$603,$Z138-5200),"")))))</f>
        <v/>
      </c>
      <c r="E138" s="24" t="str">
        <f>IF($Z138="","",IF($Z138&lt;=2000,IF(INDEX(包装物料出入库明细!$C$4:$C$2003,$Z138-0)=0,"",INDEX(包装物料出入库明细!$C$4:$C$2003,$Z138-0)),IF($Z138&lt;=4000,IF(INDEX(周转筐出入库明细!$E$4:$E$2004,$Z138-2000)=0,"",INDEX(周转筐出入库明细!$E$4:$E$2004,$Z138-2000)),IF($Z138&lt;=5200,IF(INDEX(客户自备加工筐明细!$D$4:$D$1203,$Z138-4000)=0,"",INDEX(客户自备加工筐明细!$D$4:$D$1203,$Z138-4000)),IF($Z138&lt;=5800,IF(INDEX(次果筐明细!$E$4:$E$603,$Z138-5200)=0,"",INDEX(次果筐明细!$E$4:$E$603,$Z138-5200)),"")))))</f>
        <v/>
      </c>
      <c r="F138" s="24" t="str">
        <f>IF($Z138="","",IF($Z138&lt;=2000,IF(INDEX(包装物料出入库明细!$E$4:$E$2003,$Z138-0)=0,"",INDEX(包装物料出入库明细!$E$4:$E$2003,$Z138-0)),IF($Z138&lt;=4000,IF(INDEX(周转筐出入库明细!$D$4:$D$2004,$Z138-2000)=0,"",INDEX(周转筐出入库明细!$D$4:$D$2004,$Z138-2000)),IF($Z138&lt;=5200,IF(INDEX(客户自备加工筐明细!$C$4:$C$1203,$Z138-4000)=0,"",INDEX(客户自备加工筐明细!$C$4:$C$1203,$Z138-4000)),IF($Z138&lt;=5800,IF(INDEX(次果筐明细!$D$4:$D$603,$Z138-5200)=0,"",INDEX(次果筐明细!$D$4:$D$603,$Z138-5200)),"")))))</f>
        <v/>
      </c>
      <c r="G138" s="24" t="str">
        <f>IF($Z138="","",IF($Z138&lt;=2000,IF(INDEX(包装物料出入库明细!$F$4:$F$2003,$Z138-0)=0,"",INDEX(包装物料出入库明细!$F$4:$F$2003,$Z138-0)),IF($Z138&lt;=4000,"",IF($Z138&lt;=5200,"",IF($Z138&lt;=5800,"","")))))</f>
        <v/>
      </c>
      <c r="H138" s="39" t="str">
        <f>IF($Z138="","",IF($Z138&lt;=2000,IF(INDEX(包装物料出入库明细!$L$4:$L$2003,$Z138-0)=0,"",INDEX(包装物料出入库明细!$L$4:$L$2003,$Z138-0)),IF($Z138&lt;=4000,N(INDEX(周转筐出入库明细!$H$4:$H$2004,$Z138-2000))+N(INDEX(周转筐出入库明细!$I$4:$I$2004,$Z138-2000))+N(INDEX(周转筐出入库明细!$J$4:$J$2004,$Z138-2000))+N(INDEX(周转筐出入库明细!$K$4:$K$2004,$Z138-2000)),IF($Z138&lt;=5200,N(INDEX(客户自备加工筐明细!$F$4:$F$1203,$Z138-4000))+N(INDEX(客户自备加工筐明细!$G$4:$G$1203,$Z138-4000)),IF($Z138&lt;=5800,IF(INDEX(次果筐明细!$G$4:$G$603,$Z138-5200)=0,"",INDEX(次果筐明细!$G$4:$G$603,$Z138-5200)),"")))))</f>
        <v/>
      </c>
      <c r="I138" s="24" t="str">
        <f>IF($Z138="","",IF($Z138&lt;=2000,IF(INDEX(包装物料出入库明细!$G$4:$G$2003,$Z138-0)=0,"",INDEX(包装物料出入库明细!$G$4:$G$2003,$Z138-0)),IF($Z138&lt;=4000,"个",IF($Z138&lt;=5200,"个",IF($Z138&lt;=5800,"个","")))))</f>
        <v/>
      </c>
      <c r="J138" s="30" t="str">
        <f t="shared" si="7"/>
        <v/>
      </c>
      <c r="K138" s="30" t="str">
        <f>IF($Z138="","",IF($Z138&lt;=2000,IF(INDEX(包装物料出入库明细!$N$4:$N$2003,$Z138-0)=0,"",INDEX(包装物料出入库明细!$N$4:$N$2003,$Z138-0)),IF($Z138&lt;=4000,IF(INDEX(周转筐出入库明细!$P$4:$P$2004,$Z138-2000)=0,"",INDEX(周转筐出入库明细!$P$4:$P$2004,$Z138-2000)),IF($Z138&lt;=5200,"",IF($Z138&lt;=5800,N(INDEX(次果筐明细!$L$4:$L$603,$Z138-5200))+N(INDEX(次果筐明细!$J$4:$J$603,$Z138-5200)),"")))))</f>
        <v/>
      </c>
      <c r="L138" s="24" t="str">
        <f>IF($Z138="","",IF($Z138&lt;=2000,IF(INDEX(包装物料出入库明细!$P$4:$P$2003,$Z138-0)=0,"",INDEX(包装物料出入库明细!$P$4:$P$2003,$Z138-0)),IF($Z138&lt;=4000,IF(INDEX(周转筐出入库明细!$Q$4:$Q$2004,$Z138-2000)=0,"",INDEX(周转筐出入库明细!$Q$4:$Q$2004,$Z138-2000)),IF($Z138&lt;=5200,"",IF($Z138&lt;=5800,IF(INDEX(次果筐明细!$M$4:$M$603,$Z138-5200)=0,"",INDEX(次果筐明细!$M$4:$M$603,$Z138-5200)),"")))))</f>
        <v/>
      </c>
      <c r="M138" s="37" t="str">
        <f>IF($Z138="","",IF($Z138&lt;=2000,IF(INDEX(包装物料出入库明细!$R$4:$R$2003,$Z138-0)=0,"",INDEX(包装物料出入库明细!$R$4:$R$2003,$Z138-0)),IF($Z138&lt;=4000,IF(INDEX(周转筐出入库明细!$W$4:$W$2004,$Z138-2000)=0,"",INDEX(周转筐出入库明细!$W$4:$W$2004,$Z138-2000)),IF($Z138&lt;=5200,IF(INDEX(客户自备加工筐明细!$L$4:$L$1203,$Z138-4000)=0,"",INDEX(客户自备加工筐明细!$L$4:$L$1203,$Z138-4000)),IF($Z138&lt;=5800,IF(INDEX(次果筐明细!$P$4:$P$603,$Z138-5200)=0,"",INDEX(次果筐明细!$P$4:$P$603,$Z138-5200)),"")))))</f>
        <v/>
      </c>
      <c r="N138" s="16" t="str">
        <f>IF($Z138="","",IF($Z138&lt;=2000,"",IF($Z138&lt;=4000,IF(INDEX(周转筐出入库明细!$D$4:$D$2004,$Z138-2000)=0,"",INDEX(周转筐出入库明细!$D$4:$D$2004,$Z138-2000)),IF($Z138&lt;=5200,IF(INDEX(客户自备加工筐明细!$C$4:$C$1203,$Z138-4000)=0,"",INDEX(客户自备加工筐明细!$C$4:$C$1203,$Z138-4000)),IF($Z138&lt;=5800,IF(INDEX(次果筐明细!$D$4:$D$603,$Z138-5200)=0,"",INDEX(次果筐明细!$D$4:$D$603,$Z138-5200)),"")))))</f>
        <v/>
      </c>
      <c r="O138" s="40" t="str">
        <f>IF($Z138="","",IF($Z138&lt;=2000,"",IF($Z138&lt;=4000,IF(N(INDEX(周转筐出入库明细!$J$4:$J$2004,$Z138-2000))+N(INDEX(周转筐出入库明细!$K$4:$K$2004,$Z138-2000))=0,"",N(INDEX(周转筐出入库明细!$J$4:$J$2004,$Z138-2000))+N(INDEX(周转筐出入库明细!$K$4:$K$2004,$Z138-2000))),IF($Z138&lt;=5200,IF(N(INDEX(客户自备加工筐明细!$G$4:$G$1203,$Z138-4000))=0,"",N(INDEX(客户自备加工筐明细!$G$4:$G$1203,$Z138-4000))),IF($Z138&lt;=5800,IF(ISNUMBER(SEARCH("退",INDEX(次果筐明细!$F$4:$F$603,$Z138-5200)&amp;"")),"",IF(N(INDEX(次果筐明细!$G$4:$G$603,$Z138-5200))=0,"",N(INDEX(次果筐明细!$G$4:$G$603,$Z138-5200)))),"")))))</f>
        <v/>
      </c>
      <c r="P138" s="40" t="str">
        <f>IF($Z138="","",IF($Z138&lt;=2000,"",IF($Z138&lt;=4000,IF(N(INDEX(周转筐出入库明细!$I$4:$I$2004,$Z138-2000))=0,"",N(INDEX(周转筐出入库明细!$I$4:$I$2004,$Z138-2000))),IF($Z138&lt;=5200,"",IF($Z138&lt;=5800,IF(ISNUMBER(SEARCH("退",INDEX(次果筐明细!$F$4:$F$603,$Z138-5200)&amp;"")),IF(N(INDEX(次果筐明细!$G$4:$G$603,$Z138-5200))=0,"",N(INDEX(次果筐明细!$G$4:$G$603,$Z138-5200))),""),"")))))</f>
        <v/>
      </c>
      <c r="Q138" s="40" t="str">
        <f>IF($Z138="","",IF($Z138&lt;=2000,"",IF($Z138&lt;=4000,IF(N(INDEX(周转筐出入库明细!$H$4:$H$2004,$Z138-2000))=0,"",N(INDEX(周转筐出入库明细!$H$4:$H$2004,$Z138-2000))),IF($Z138&lt;=5200,IF(N(INDEX(客户自备加工筐明细!$F$4:$F$1203,$Z138-4000))=0,"",N(INDEX(客户自备加工筐明细!$F$4:$F$1203,$Z138-4000))),IF($Z138&lt;=5800,"","")))))</f>
        <v/>
      </c>
      <c r="R138" s="16" t="str">
        <f>IF($Z138="","",IF($Z138&lt;=2000,IF(INDEX(包装物料出入库明细!$O$4:$O$2003,$Z138-0)=0,"",INDEX(包装物料出入库明细!$O$4:$O$2003,$Z138-0)),IF($Z138&lt;=4000,IF(INDEX(周转筐出入库明细!$M$4:$M$2004,$Z138-2000)=0,"",INDEX(周转筐出入库明细!$M$4:$M$2004,$Z138-2000)),IF($Z138&lt;=5200,IF(INDEX(客户自备加工筐明细!$H$4:$H$1203,$Z138-4000)=0,"",INDEX(客户自备加工筐明细!$H$4:$H$1203,$Z138-4000)),IF($Z138&lt;=5800,IF(INDEX(次果筐明细!$H$4:$H$603,$Z138-5200)=0,"",INDEX(次果筐明细!$H$4:$H$603,$Z138-5200)),"")))))</f>
        <v/>
      </c>
      <c r="S138" s="22" t="str">
        <f t="shared" si="8"/>
        <v/>
      </c>
      <c r="Z138" s="10" t="str">
        <f>IFERROR(MATCH(ROW()-3,_自动清单!$CQ$4:$CQ$5803,0),"")</f>
        <v/>
      </c>
    </row>
    <row r="139" spans="1:26">
      <c r="A139" s="24" t="str">
        <f t="shared" si="6"/>
        <v/>
      </c>
      <c r="B139" s="38" t="str">
        <f>IF($Z139="","",IF($Z139&lt;=2000,IF(INDEX(包装物料出入库明细!$B$4:$B$2003,$Z139-0)=0,"",INDEX(包装物料出入库明细!$B$4:$B$2003,$Z139-0)),IF($Z139&lt;=4000,IF(INDEX(周转筐出入库明细!$B$4:$B$2004,$Z139-2000)=0,"",INDEX(周转筐出入库明细!$B$4:$B$2004,$Z139-2000)),IF($Z139&lt;=5200,IF(INDEX(客户自备加工筐明细!$B$4:$B$1203,$Z139-4000)=0,"",INDEX(客户自备加工筐明细!$B$4:$B$1203,$Z139-4000)),IF($Z139&lt;=5800,IF(INDEX(次果筐明细!$B$4:$B$603,$Z139-5200)=0,"",INDEX(次果筐明细!$B$4:$B$603,$Z139-5200)),"")))))</f>
        <v/>
      </c>
      <c r="C139" s="37" t="str">
        <f>IF($Z139="","",IF($Z139&lt;=2000,IF(INDEX(包装物料出入库明细!$D$4:$D$2003,$Z139-0)=0,"",INDEX(包装物料出入库明细!$D$4:$D$2003,$Z139-0)),IF($Z139&lt;=4000,IF(INDEX(周转筐出入库明细!$C$4:$C$2004,$Z139-2000)=0,"",INDEX(周转筐出入库明细!$C$4:$C$2004,$Z139-2000)),IF($Z139&lt;=5200,IF(INDEX(客户自备加工筐明细!$E$4:$E$1203,$Z139-4000)=0,"",INDEX(客户自备加工筐明细!$E$4:$E$1203,$Z139-4000)),IF($Z139&lt;=5800,IF(INDEX(次果筐明细!$C$4:$C$603,$Z139-5200)=0,"",INDEX(次果筐明细!$C$4:$C$603,$Z139-5200)),"")))))</f>
        <v/>
      </c>
      <c r="D139" s="37" t="str">
        <f>IF($Z139="","",IF($Z139&lt;=2000,"包装物料－"&amp;INDEX(包装物料出入库明细!$H$4:$H$2003,$Z139-0),IF($Z139&lt;=4000,"周转筐－"&amp;INDEX(周转筐出入库明细!$F$4:$F$2004,$Z139-2000),IF($Z139&lt;=5200,"客户自备筐－"&amp;INDEX(客户自备加工筐明细!$J$4:$J$1203,$Z139-4000),IF($Z139&lt;=5800,"次果筐/托盘－"&amp;INDEX(次果筐明细!$F$4:$F$603,$Z139-5200),"")))))</f>
        <v/>
      </c>
      <c r="E139" s="24" t="str">
        <f>IF($Z139="","",IF($Z139&lt;=2000,IF(INDEX(包装物料出入库明细!$C$4:$C$2003,$Z139-0)=0,"",INDEX(包装物料出入库明细!$C$4:$C$2003,$Z139-0)),IF($Z139&lt;=4000,IF(INDEX(周转筐出入库明细!$E$4:$E$2004,$Z139-2000)=0,"",INDEX(周转筐出入库明细!$E$4:$E$2004,$Z139-2000)),IF($Z139&lt;=5200,IF(INDEX(客户自备加工筐明细!$D$4:$D$1203,$Z139-4000)=0,"",INDEX(客户自备加工筐明细!$D$4:$D$1203,$Z139-4000)),IF($Z139&lt;=5800,IF(INDEX(次果筐明细!$E$4:$E$603,$Z139-5200)=0,"",INDEX(次果筐明细!$E$4:$E$603,$Z139-5200)),"")))))</f>
        <v/>
      </c>
      <c r="F139" s="24" t="str">
        <f>IF($Z139="","",IF($Z139&lt;=2000,IF(INDEX(包装物料出入库明细!$E$4:$E$2003,$Z139-0)=0,"",INDEX(包装物料出入库明细!$E$4:$E$2003,$Z139-0)),IF($Z139&lt;=4000,IF(INDEX(周转筐出入库明细!$D$4:$D$2004,$Z139-2000)=0,"",INDEX(周转筐出入库明细!$D$4:$D$2004,$Z139-2000)),IF($Z139&lt;=5200,IF(INDEX(客户自备加工筐明细!$C$4:$C$1203,$Z139-4000)=0,"",INDEX(客户自备加工筐明细!$C$4:$C$1203,$Z139-4000)),IF($Z139&lt;=5800,IF(INDEX(次果筐明细!$D$4:$D$603,$Z139-5200)=0,"",INDEX(次果筐明细!$D$4:$D$603,$Z139-5200)),"")))))</f>
        <v/>
      </c>
      <c r="G139" s="24" t="str">
        <f>IF($Z139="","",IF($Z139&lt;=2000,IF(INDEX(包装物料出入库明细!$F$4:$F$2003,$Z139-0)=0,"",INDEX(包装物料出入库明细!$F$4:$F$2003,$Z139-0)),IF($Z139&lt;=4000,"",IF($Z139&lt;=5200,"",IF($Z139&lt;=5800,"","")))))</f>
        <v/>
      </c>
      <c r="H139" s="39" t="str">
        <f>IF($Z139="","",IF($Z139&lt;=2000,IF(INDEX(包装物料出入库明细!$L$4:$L$2003,$Z139-0)=0,"",INDEX(包装物料出入库明细!$L$4:$L$2003,$Z139-0)),IF($Z139&lt;=4000,N(INDEX(周转筐出入库明细!$H$4:$H$2004,$Z139-2000))+N(INDEX(周转筐出入库明细!$I$4:$I$2004,$Z139-2000))+N(INDEX(周转筐出入库明细!$J$4:$J$2004,$Z139-2000))+N(INDEX(周转筐出入库明细!$K$4:$K$2004,$Z139-2000)),IF($Z139&lt;=5200,N(INDEX(客户自备加工筐明细!$F$4:$F$1203,$Z139-4000))+N(INDEX(客户自备加工筐明细!$G$4:$G$1203,$Z139-4000)),IF($Z139&lt;=5800,IF(INDEX(次果筐明细!$G$4:$G$603,$Z139-5200)=0,"",INDEX(次果筐明细!$G$4:$G$603,$Z139-5200)),"")))))</f>
        <v/>
      </c>
      <c r="I139" s="24" t="str">
        <f>IF($Z139="","",IF($Z139&lt;=2000,IF(INDEX(包装物料出入库明细!$G$4:$G$2003,$Z139-0)=0,"",INDEX(包装物料出入库明细!$G$4:$G$2003,$Z139-0)),IF($Z139&lt;=4000,"个",IF($Z139&lt;=5200,"个",IF($Z139&lt;=5800,"个","")))))</f>
        <v/>
      </c>
      <c r="J139" s="30" t="str">
        <f t="shared" si="7"/>
        <v/>
      </c>
      <c r="K139" s="30" t="str">
        <f>IF($Z139="","",IF($Z139&lt;=2000,IF(INDEX(包装物料出入库明细!$N$4:$N$2003,$Z139-0)=0,"",INDEX(包装物料出入库明细!$N$4:$N$2003,$Z139-0)),IF($Z139&lt;=4000,IF(INDEX(周转筐出入库明细!$P$4:$P$2004,$Z139-2000)=0,"",INDEX(周转筐出入库明细!$P$4:$P$2004,$Z139-2000)),IF($Z139&lt;=5200,"",IF($Z139&lt;=5800,N(INDEX(次果筐明细!$L$4:$L$603,$Z139-5200))+N(INDEX(次果筐明细!$J$4:$J$603,$Z139-5200)),"")))))</f>
        <v/>
      </c>
      <c r="L139" s="24" t="str">
        <f>IF($Z139="","",IF($Z139&lt;=2000,IF(INDEX(包装物料出入库明细!$P$4:$P$2003,$Z139-0)=0,"",INDEX(包装物料出入库明细!$P$4:$P$2003,$Z139-0)),IF($Z139&lt;=4000,IF(INDEX(周转筐出入库明细!$Q$4:$Q$2004,$Z139-2000)=0,"",INDEX(周转筐出入库明细!$Q$4:$Q$2004,$Z139-2000)),IF($Z139&lt;=5200,"",IF($Z139&lt;=5800,IF(INDEX(次果筐明细!$M$4:$M$603,$Z139-5200)=0,"",INDEX(次果筐明细!$M$4:$M$603,$Z139-5200)),"")))))</f>
        <v/>
      </c>
      <c r="M139" s="37" t="str">
        <f>IF($Z139="","",IF($Z139&lt;=2000,IF(INDEX(包装物料出入库明细!$R$4:$R$2003,$Z139-0)=0,"",INDEX(包装物料出入库明细!$R$4:$R$2003,$Z139-0)),IF($Z139&lt;=4000,IF(INDEX(周转筐出入库明细!$W$4:$W$2004,$Z139-2000)=0,"",INDEX(周转筐出入库明细!$W$4:$W$2004,$Z139-2000)),IF($Z139&lt;=5200,IF(INDEX(客户自备加工筐明细!$L$4:$L$1203,$Z139-4000)=0,"",INDEX(客户自备加工筐明细!$L$4:$L$1203,$Z139-4000)),IF($Z139&lt;=5800,IF(INDEX(次果筐明细!$P$4:$P$603,$Z139-5200)=0,"",INDEX(次果筐明细!$P$4:$P$603,$Z139-5200)),"")))))</f>
        <v/>
      </c>
      <c r="N139" s="16" t="str">
        <f>IF($Z139="","",IF($Z139&lt;=2000,"",IF($Z139&lt;=4000,IF(INDEX(周转筐出入库明细!$D$4:$D$2004,$Z139-2000)=0,"",INDEX(周转筐出入库明细!$D$4:$D$2004,$Z139-2000)),IF($Z139&lt;=5200,IF(INDEX(客户自备加工筐明细!$C$4:$C$1203,$Z139-4000)=0,"",INDEX(客户自备加工筐明细!$C$4:$C$1203,$Z139-4000)),IF($Z139&lt;=5800,IF(INDEX(次果筐明细!$D$4:$D$603,$Z139-5200)=0,"",INDEX(次果筐明细!$D$4:$D$603,$Z139-5200)),"")))))</f>
        <v/>
      </c>
      <c r="O139" s="40" t="str">
        <f>IF($Z139="","",IF($Z139&lt;=2000,"",IF($Z139&lt;=4000,IF(N(INDEX(周转筐出入库明细!$J$4:$J$2004,$Z139-2000))+N(INDEX(周转筐出入库明细!$K$4:$K$2004,$Z139-2000))=0,"",N(INDEX(周转筐出入库明细!$J$4:$J$2004,$Z139-2000))+N(INDEX(周转筐出入库明细!$K$4:$K$2004,$Z139-2000))),IF($Z139&lt;=5200,IF(N(INDEX(客户自备加工筐明细!$G$4:$G$1203,$Z139-4000))=0,"",N(INDEX(客户自备加工筐明细!$G$4:$G$1203,$Z139-4000))),IF($Z139&lt;=5800,IF(ISNUMBER(SEARCH("退",INDEX(次果筐明细!$F$4:$F$603,$Z139-5200)&amp;"")),"",IF(N(INDEX(次果筐明细!$G$4:$G$603,$Z139-5200))=0,"",N(INDEX(次果筐明细!$G$4:$G$603,$Z139-5200)))),"")))))</f>
        <v/>
      </c>
      <c r="P139" s="40" t="str">
        <f>IF($Z139="","",IF($Z139&lt;=2000,"",IF($Z139&lt;=4000,IF(N(INDEX(周转筐出入库明细!$I$4:$I$2004,$Z139-2000))=0,"",N(INDEX(周转筐出入库明细!$I$4:$I$2004,$Z139-2000))),IF($Z139&lt;=5200,"",IF($Z139&lt;=5800,IF(ISNUMBER(SEARCH("退",INDEX(次果筐明细!$F$4:$F$603,$Z139-5200)&amp;"")),IF(N(INDEX(次果筐明细!$G$4:$G$603,$Z139-5200))=0,"",N(INDEX(次果筐明细!$G$4:$G$603,$Z139-5200))),""),"")))))</f>
        <v/>
      </c>
      <c r="Q139" s="40" t="str">
        <f>IF($Z139="","",IF($Z139&lt;=2000,"",IF($Z139&lt;=4000,IF(N(INDEX(周转筐出入库明细!$H$4:$H$2004,$Z139-2000))=0,"",N(INDEX(周转筐出入库明细!$H$4:$H$2004,$Z139-2000))),IF($Z139&lt;=5200,IF(N(INDEX(客户自备加工筐明细!$F$4:$F$1203,$Z139-4000))=0,"",N(INDEX(客户自备加工筐明细!$F$4:$F$1203,$Z139-4000))),IF($Z139&lt;=5800,"","")))))</f>
        <v/>
      </c>
      <c r="R139" s="16" t="str">
        <f>IF($Z139="","",IF($Z139&lt;=2000,IF(INDEX(包装物料出入库明细!$O$4:$O$2003,$Z139-0)=0,"",INDEX(包装物料出入库明细!$O$4:$O$2003,$Z139-0)),IF($Z139&lt;=4000,IF(INDEX(周转筐出入库明细!$M$4:$M$2004,$Z139-2000)=0,"",INDEX(周转筐出入库明细!$M$4:$M$2004,$Z139-2000)),IF($Z139&lt;=5200,IF(INDEX(客户自备加工筐明细!$H$4:$H$1203,$Z139-4000)=0,"",INDEX(客户自备加工筐明细!$H$4:$H$1203,$Z139-4000)),IF($Z139&lt;=5800,IF(INDEX(次果筐明细!$H$4:$H$603,$Z139-5200)=0,"",INDEX(次果筐明细!$H$4:$H$603,$Z139-5200)),"")))))</f>
        <v/>
      </c>
      <c r="S139" s="22" t="str">
        <f t="shared" si="8"/>
        <v/>
      </c>
      <c r="Z139" s="10" t="str">
        <f>IFERROR(MATCH(ROW()-3,_自动清单!$CQ$4:$CQ$5803,0),"")</f>
        <v/>
      </c>
    </row>
    <row r="140" spans="1:26">
      <c r="A140" s="24" t="str">
        <f t="shared" si="6"/>
        <v/>
      </c>
      <c r="B140" s="38" t="str">
        <f>IF($Z140="","",IF($Z140&lt;=2000,IF(INDEX(包装物料出入库明细!$B$4:$B$2003,$Z140-0)=0,"",INDEX(包装物料出入库明细!$B$4:$B$2003,$Z140-0)),IF($Z140&lt;=4000,IF(INDEX(周转筐出入库明细!$B$4:$B$2004,$Z140-2000)=0,"",INDEX(周转筐出入库明细!$B$4:$B$2004,$Z140-2000)),IF($Z140&lt;=5200,IF(INDEX(客户自备加工筐明细!$B$4:$B$1203,$Z140-4000)=0,"",INDEX(客户自备加工筐明细!$B$4:$B$1203,$Z140-4000)),IF($Z140&lt;=5800,IF(INDEX(次果筐明细!$B$4:$B$603,$Z140-5200)=0,"",INDEX(次果筐明细!$B$4:$B$603,$Z140-5200)),"")))))</f>
        <v/>
      </c>
      <c r="C140" s="37" t="str">
        <f>IF($Z140="","",IF($Z140&lt;=2000,IF(INDEX(包装物料出入库明细!$D$4:$D$2003,$Z140-0)=0,"",INDEX(包装物料出入库明细!$D$4:$D$2003,$Z140-0)),IF($Z140&lt;=4000,IF(INDEX(周转筐出入库明细!$C$4:$C$2004,$Z140-2000)=0,"",INDEX(周转筐出入库明细!$C$4:$C$2004,$Z140-2000)),IF($Z140&lt;=5200,IF(INDEX(客户自备加工筐明细!$E$4:$E$1203,$Z140-4000)=0,"",INDEX(客户自备加工筐明细!$E$4:$E$1203,$Z140-4000)),IF($Z140&lt;=5800,IF(INDEX(次果筐明细!$C$4:$C$603,$Z140-5200)=0,"",INDEX(次果筐明细!$C$4:$C$603,$Z140-5200)),"")))))</f>
        <v/>
      </c>
      <c r="D140" s="37" t="str">
        <f>IF($Z140="","",IF($Z140&lt;=2000,"包装物料－"&amp;INDEX(包装物料出入库明细!$H$4:$H$2003,$Z140-0),IF($Z140&lt;=4000,"周转筐－"&amp;INDEX(周转筐出入库明细!$F$4:$F$2004,$Z140-2000),IF($Z140&lt;=5200,"客户自备筐－"&amp;INDEX(客户自备加工筐明细!$J$4:$J$1203,$Z140-4000),IF($Z140&lt;=5800,"次果筐/托盘－"&amp;INDEX(次果筐明细!$F$4:$F$603,$Z140-5200),"")))))</f>
        <v/>
      </c>
      <c r="E140" s="24" t="str">
        <f>IF($Z140="","",IF($Z140&lt;=2000,IF(INDEX(包装物料出入库明细!$C$4:$C$2003,$Z140-0)=0,"",INDEX(包装物料出入库明细!$C$4:$C$2003,$Z140-0)),IF($Z140&lt;=4000,IF(INDEX(周转筐出入库明细!$E$4:$E$2004,$Z140-2000)=0,"",INDEX(周转筐出入库明细!$E$4:$E$2004,$Z140-2000)),IF($Z140&lt;=5200,IF(INDEX(客户自备加工筐明细!$D$4:$D$1203,$Z140-4000)=0,"",INDEX(客户自备加工筐明细!$D$4:$D$1203,$Z140-4000)),IF($Z140&lt;=5800,IF(INDEX(次果筐明细!$E$4:$E$603,$Z140-5200)=0,"",INDEX(次果筐明细!$E$4:$E$603,$Z140-5200)),"")))))</f>
        <v/>
      </c>
      <c r="F140" s="24" t="str">
        <f>IF($Z140="","",IF($Z140&lt;=2000,IF(INDEX(包装物料出入库明细!$E$4:$E$2003,$Z140-0)=0,"",INDEX(包装物料出入库明细!$E$4:$E$2003,$Z140-0)),IF($Z140&lt;=4000,IF(INDEX(周转筐出入库明细!$D$4:$D$2004,$Z140-2000)=0,"",INDEX(周转筐出入库明细!$D$4:$D$2004,$Z140-2000)),IF($Z140&lt;=5200,IF(INDEX(客户自备加工筐明细!$C$4:$C$1203,$Z140-4000)=0,"",INDEX(客户自备加工筐明细!$C$4:$C$1203,$Z140-4000)),IF($Z140&lt;=5800,IF(INDEX(次果筐明细!$D$4:$D$603,$Z140-5200)=0,"",INDEX(次果筐明细!$D$4:$D$603,$Z140-5200)),"")))))</f>
        <v/>
      </c>
      <c r="G140" s="24" t="str">
        <f>IF($Z140="","",IF($Z140&lt;=2000,IF(INDEX(包装物料出入库明细!$F$4:$F$2003,$Z140-0)=0,"",INDEX(包装物料出入库明细!$F$4:$F$2003,$Z140-0)),IF($Z140&lt;=4000,"",IF($Z140&lt;=5200,"",IF($Z140&lt;=5800,"","")))))</f>
        <v/>
      </c>
      <c r="H140" s="39" t="str">
        <f>IF($Z140="","",IF($Z140&lt;=2000,IF(INDEX(包装物料出入库明细!$L$4:$L$2003,$Z140-0)=0,"",INDEX(包装物料出入库明细!$L$4:$L$2003,$Z140-0)),IF($Z140&lt;=4000,N(INDEX(周转筐出入库明细!$H$4:$H$2004,$Z140-2000))+N(INDEX(周转筐出入库明细!$I$4:$I$2004,$Z140-2000))+N(INDEX(周转筐出入库明细!$J$4:$J$2004,$Z140-2000))+N(INDEX(周转筐出入库明细!$K$4:$K$2004,$Z140-2000)),IF($Z140&lt;=5200,N(INDEX(客户自备加工筐明细!$F$4:$F$1203,$Z140-4000))+N(INDEX(客户自备加工筐明细!$G$4:$G$1203,$Z140-4000)),IF($Z140&lt;=5800,IF(INDEX(次果筐明细!$G$4:$G$603,$Z140-5200)=0,"",INDEX(次果筐明细!$G$4:$G$603,$Z140-5200)),"")))))</f>
        <v/>
      </c>
      <c r="I140" s="24" t="str">
        <f>IF($Z140="","",IF($Z140&lt;=2000,IF(INDEX(包装物料出入库明细!$G$4:$G$2003,$Z140-0)=0,"",INDEX(包装物料出入库明细!$G$4:$G$2003,$Z140-0)),IF($Z140&lt;=4000,"个",IF($Z140&lt;=5200,"个",IF($Z140&lt;=5800,"个","")))))</f>
        <v/>
      </c>
      <c r="J140" s="30" t="str">
        <f t="shared" si="7"/>
        <v/>
      </c>
      <c r="K140" s="30" t="str">
        <f>IF($Z140="","",IF($Z140&lt;=2000,IF(INDEX(包装物料出入库明细!$N$4:$N$2003,$Z140-0)=0,"",INDEX(包装物料出入库明细!$N$4:$N$2003,$Z140-0)),IF($Z140&lt;=4000,IF(INDEX(周转筐出入库明细!$P$4:$P$2004,$Z140-2000)=0,"",INDEX(周转筐出入库明细!$P$4:$P$2004,$Z140-2000)),IF($Z140&lt;=5200,"",IF($Z140&lt;=5800,N(INDEX(次果筐明细!$L$4:$L$603,$Z140-5200))+N(INDEX(次果筐明细!$J$4:$J$603,$Z140-5200)),"")))))</f>
        <v/>
      </c>
      <c r="L140" s="24" t="str">
        <f>IF($Z140="","",IF($Z140&lt;=2000,IF(INDEX(包装物料出入库明细!$P$4:$P$2003,$Z140-0)=0,"",INDEX(包装物料出入库明细!$P$4:$P$2003,$Z140-0)),IF($Z140&lt;=4000,IF(INDEX(周转筐出入库明细!$Q$4:$Q$2004,$Z140-2000)=0,"",INDEX(周转筐出入库明细!$Q$4:$Q$2004,$Z140-2000)),IF($Z140&lt;=5200,"",IF($Z140&lt;=5800,IF(INDEX(次果筐明细!$M$4:$M$603,$Z140-5200)=0,"",INDEX(次果筐明细!$M$4:$M$603,$Z140-5200)),"")))))</f>
        <v/>
      </c>
      <c r="M140" s="37" t="str">
        <f>IF($Z140="","",IF($Z140&lt;=2000,IF(INDEX(包装物料出入库明细!$R$4:$R$2003,$Z140-0)=0,"",INDEX(包装物料出入库明细!$R$4:$R$2003,$Z140-0)),IF($Z140&lt;=4000,IF(INDEX(周转筐出入库明细!$W$4:$W$2004,$Z140-2000)=0,"",INDEX(周转筐出入库明细!$W$4:$W$2004,$Z140-2000)),IF($Z140&lt;=5200,IF(INDEX(客户自备加工筐明细!$L$4:$L$1203,$Z140-4000)=0,"",INDEX(客户自备加工筐明细!$L$4:$L$1203,$Z140-4000)),IF($Z140&lt;=5800,IF(INDEX(次果筐明细!$P$4:$P$603,$Z140-5200)=0,"",INDEX(次果筐明细!$P$4:$P$603,$Z140-5200)),"")))))</f>
        <v/>
      </c>
      <c r="N140" s="16" t="str">
        <f>IF($Z140="","",IF($Z140&lt;=2000,"",IF($Z140&lt;=4000,IF(INDEX(周转筐出入库明细!$D$4:$D$2004,$Z140-2000)=0,"",INDEX(周转筐出入库明细!$D$4:$D$2004,$Z140-2000)),IF($Z140&lt;=5200,IF(INDEX(客户自备加工筐明细!$C$4:$C$1203,$Z140-4000)=0,"",INDEX(客户自备加工筐明细!$C$4:$C$1203,$Z140-4000)),IF($Z140&lt;=5800,IF(INDEX(次果筐明细!$D$4:$D$603,$Z140-5200)=0,"",INDEX(次果筐明细!$D$4:$D$603,$Z140-5200)),"")))))</f>
        <v/>
      </c>
      <c r="O140" s="40" t="str">
        <f>IF($Z140="","",IF($Z140&lt;=2000,"",IF($Z140&lt;=4000,IF(N(INDEX(周转筐出入库明细!$J$4:$J$2004,$Z140-2000))+N(INDEX(周转筐出入库明细!$K$4:$K$2004,$Z140-2000))=0,"",N(INDEX(周转筐出入库明细!$J$4:$J$2004,$Z140-2000))+N(INDEX(周转筐出入库明细!$K$4:$K$2004,$Z140-2000))),IF($Z140&lt;=5200,IF(N(INDEX(客户自备加工筐明细!$G$4:$G$1203,$Z140-4000))=0,"",N(INDEX(客户自备加工筐明细!$G$4:$G$1203,$Z140-4000))),IF($Z140&lt;=5800,IF(ISNUMBER(SEARCH("退",INDEX(次果筐明细!$F$4:$F$603,$Z140-5200)&amp;"")),"",IF(N(INDEX(次果筐明细!$G$4:$G$603,$Z140-5200))=0,"",N(INDEX(次果筐明细!$G$4:$G$603,$Z140-5200)))),"")))))</f>
        <v/>
      </c>
      <c r="P140" s="40" t="str">
        <f>IF($Z140="","",IF($Z140&lt;=2000,"",IF($Z140&lt;=4000,IF(N(INDEX(周转筐出入库明细!$I$4:$I$2004,$Z140-2000))=0,"",N(INDEX(周转筐出入库明细!$I$4:$I$2004,$Z140-2000))),IF($Z140&lt;=5200,"",IF($Z140&lt;=5800,IF(ISNUMBER(SEARCH("退",INDEX(次果筐明细!$F$4:$F$603,$Z140-5200)&amp;"")),IF(N(INDEX(次果筐明细!$G$4:$G$603,$Z140-5200))=0,"",N(INDEX(次果筐明细!$G$4:$G$603,$Z140-5200))),""),"")))))</f>
        <v/>
      </c>
      <c r="Q140" s="40" t="str">
        <f>IF($Z140="","",IF($Z140&lt;=2000,"",IF($Z140&lt;=4000,IF(N(INDEX(周转筐出入库明细!$H$4:$H$2004,$Z140-2000))=0,"",N(INDEX(周转筐出入库明细!$H$4:$H$2004,$Z140-2000))),IF($Z140&lt;=5200,IF(N(INDEX(客户自备加工筐明细!$F$4:$F$1203,$Z140-4000))=0,"",N(INDEX(客户自备加工筐明细!$F$4:$F$1203,$Z140-4000))),IF($Z140&lt;=5800,"","")))))</f>
        <v/>
      </c>
      <c r="R140" s="16" t="str">
        <f>IF($Z140="","",IF($Z140&lt;=2000,IF(INDEX(包装物料出入库明细!$O$4:$O$2003,$Z140-0)=0,"",INDEX(包装物料出入库明细!$O$4:$O$2003,$Z140-0)),IF($Z140&lt;=4000,IF(INDEX(周转筐出入库明细!$M$4:$M$2004,$Z140-2000)=0,"",INDEX(周转筐出入库明细!$M$4:$M$2004,$Z140-2000)),IF($Z140&lt;=5200,IF(INDEX(客户自备加工筐明细!$H$4:$H$1203,$Z140-4000)=0,"",INDEX(客户自备加工筐明细!$H$4:$H$1203,$Z140-4000)),IF($Z140&lt;=5800,IF(INDEX(次果筐明细!$H$4:$H$603,$Z140-5200)=0,"",INDEX(次果筐明细!$H$4:$H$603,$Z140-5200)),"")))))</f>
        <v/>
      </c>
      <c r="S140" s="22" t="str">
        <f t="shared" si="8"/>
        <v/>
      </c>
      <c r="Z140" s="10" t="str">
        <f>IFERROR(MATCH(ROW()-3,_自动清单!$CQ$4:$CQ$5803,0),"")</f>
        <v/>
      </c>
    </row>
    <row r="141" spans="1:26">
      <c r="A141" s="24" t="str">
        <f t="shared" si="6"/>
        <v/>
      </c>
      <c r="B141" s="38" t="str">
        <f>IF($Z141="","",IF($Z141&lt;=2000,IF(INDEX(包装物料出入库明细!$B$4:$B$2003,$Z141-0)=0,"",INDEX(包装物料出入库明细!$B$4:$B$2003,$Z141-0)),IF($Z141&lt;=4000,IF(INDEX(周转筐出入库明细!$B$4:$B$2004,$Z141-2000)=0,"",INDEX(周转筐出入库明细!$B$4:$B$2004,$Z141-2000)),IF($Z141&lt;=5200,IF(INDEX(客户自备加工筐明细!$B$4:$B$1203,$Z141-4000)=0,"",INDEX(客户自备加工筐明细!$B$4:$B$1203,$Z141-4000)),IF($Z141&lt;=5800,IF(INDEX(次果筐明细!$B$4:$B$603,$Z141-5200)=0,"",INDEX(次果筐明细!$B$4:$B$603,$Z141-5200)),"")))))</f>
        <v/>
      </c>
      <c r="C141" s="37" t="str">
        <f>IF($Z141="","",IF($Z141&lt;=2000,IF(INDEX(包装物料出入库明细!$D$4:$D$2003,$Z141-0)=0,"",INDEX(包装物料出入库明细!$D$4:$D$2003,$Z141-0)),IF($Z141&lt;=4000,IF(INDEX(周转筐出入库明细!$C$4:$C$2004,$Z141-2000)=0,"",INDEX(周转筐出入库明细!$C$4:$C$2004,$Z141-2000)),IF($Z141&lt;=5200,IF(INDEX(客户自备加工筐明细!$E$4:$E$1203,$Z141-4000)=0,"",INDEX(客户自备加工筐明细!$E$4:$E$1203,$Z141-4000)),IF($Z141&lt;=5800,IF(INDEX(次果筐明细!$C$4:$C$603,$Z141-5200)=0,"",INDEX(次果筐明细!$C$4:$C$603,$Z141-5200)),"")))))</f>
        <v/>
      </c>
      <c r="D141" s="37" t="str">
        <f>IF($Z141="","",IF($Z141&lt;=2000,"包装物料－"&amp;INDEX(包装物料出入库明细!$H$4:$H$2003,$Z141-0),IF($Z141&lt;=4000,"周转筐－"&amp;INDEX(周转筐出入库明细!$F$4:$F$2004,$Z141-2000),IF($Z141&lt;=5200,"客户自备筐－"&amp;INDEX(客户自备加工筐明细!$J$4:$J$1203,$Z141-4000),IF($Z141&lt;=5800,"次果筐/托盘－"&amp;INDEX(次果筐明细!$F$4:$F$603,$Z141-5200),"")))))</f>
        <v/>
      </c>
      <c r="E141" s="24" t="str">
        <f>IF($Z141="","",IF($Z141&lt;=2000,IF(INDEX(包装物料出入库明细!$C$4:$C$2003,$Z141-0)=0,"",INDEX(包装物料出入库明细!$C$4:$C$2003,$Z141-0)),IF($Z141&lt;=4000,IF(INDEX(周转筐出入库明细!$E$4:$E$2004,$Z141-2000)=0,"",INDEX(周转筐出入库明细!$E$4:$E$2004,$Z141-2000)),IF($Z141&lt;=5200,IF(INDEX(客户自备加工筐明细!$D$4:$D$1203,$Z141-4000)=0,"",INDEX(客户自备加工筐明细!$D$4:$D$1203,$Z141-4000)),IF($Z141&lt;=5800,IF(INDEX(次果筐明细!$E$4:$E$603,$Z141-5200)=0,"",INDEX(次果筐明细!$E$4:$E$603,$Z141-5200)),"")))))</f>
        <v/>
      </c>
      <c r="F141" s="24" t="str">
        <f>IF($Z141="","",IF($Z141&lt;=2000,IF(INDEX(包装物料出入库明细!$E$4:$E$2003,$Z141-0)=0,"",INDEX(包装物料出入库明细!$E$4:$E$2003,$Z141-0)),IF($Z141&lt;=4000,IF(INDEX(周转筐出入库明细!$D$4:$D$2004,$Z141-2000)=0,"",INDEX(周转筐出入库明细!$D$4:$D$2004,$Z141-2000)),IF($Z141&lt;=5200,IF(INDEX(客户自备加工筐明细!$C$4:$C$1203,$Z141-4000)=0,"",INDEX(客户自备加工筐明细!$C$4:$C$1203,$Z141-4000)),IF($Z141&lt;=5800,IF(INDEX(次果筐明细!$D$4:$D$603,$Z141-5200)=0,"",INDEX(次果筐明细!$D$4:$D$603,$Z141-5200)),"")))))</f>
        <v/>
      </c>
      <c r="G141" s="24" t="str">
        <f>IF($Z141="","",IF($Z141&lt;=2000,IF(INDEX(包装物料出入库明细!$F$4:$F$2003,$Z141-0)=0,"",INDEX(包装物料出入库明细!$F$4:$F$2003,$Z141-0)),IF($Z141&lt;=4000,"",IF($Z141&lt;=5200,"",IF($Z141&lt;=5800,"","")))))</f>
        <v/>
      </c>
      <c r="H141" s="39" t="str">
        <f>IF($Z141="","",IF($Z141&lt;=2000,IF(INDEX(包装物料出入库明细!$L$4:$L$2003,$Z141-0)=0,"",INDEX(包装物料出入库明细!$L$4:$L$2003,$Z141-0)),IF($Z141&lt;=4000,N(INDEX(周转筐出入库明细!$H$4:$H$2004,$Z141-2000))+N(INDEX(周转筐出入库明细!$I$4:$I$2004,$Z141-2000))+N(INDEX(周转筐出入库明细!$J$4:$J$2004,$Z141-2000))+N(INDEX(周转筐出入库明细!$K$4:$K$2004,$Z141-2000)),IF($Z141&lt;=5200,N(INDEX(客户自备加工筐明细!$F$4:$F$1203,$Z141-4000))+N(INDEX(客户自备加工筐明细!$G$4:$G$1203,$Z141-4000)),IF($Z141&lt;=5800,IF(INDEX(次果筐明细!$G$4:$G$603,$Z141-5200)=0,"",INDEX(次果筐明细!$G$4:$G$603,$Z141-5200)),"")))))</f>
        <v/>
      </c>
      <c r="I141" s="24" t="str">
        <f>IF($Z141="","",IF($Z141&lt;=2000,IF(INDEX(包装物料出入库明细!$G$4:$G$2003,$Z141-0)=0,"",INDEX(包装物料出入库明细!$G$4:$G$2003,$Z141-0)),IF($Z141&lt;=4000,"个",IF($Z141&lt;=5200,"个",IF($Z141&lt;=5800,"个","")))))</f>
        <v/>
      </c>
      <c r="J141" s="30" t="str">
        <f t="shared" si="7"/>
        <v/>
      </c>
      <c r="K141" s="30" t="str">
        <f>IF($Z141="","",IF($Z141&lt;=2000,IF(INDEX(包装物料出入库明细!$N$4:$N$2003,$Z141-0)=0,"",INDEX(包装物料出入库明细!$N$4:$N$2003,$Z141-0)),IF($Z141&lt;=4000,IF(INDEX(周转筐出入库明细!$P$4:$P$2004,$Z141-2000)=0,"",INDEX(周转筐出入库明细!$P$4:$P$2004,$Z141-2000)),IF($Z141&lt;=5200,"",IF($Z141&lt;=5800,N(INDEX(次果筐明细!$L$4:$L$603,$Z141-5200))+N(INDEX(次果筐明细!$J$4:$J$603,$Z141-5200)),"")))))</f>
        <v/>
      </c>
      <c r="L141" s="24" t="str">
        <f>IF($Z141="","",IF($Z141&lt;=2000,IF(INDEX(包装物料出入库明细!$P$4:$P$2003,$Z141-0)=0,"",INDEX(包装物料出入库明细!$P$4:$P$2003,$Z141-0)),IF($Z141&lt;=4000,IF(INDEX(周转筐出入库明细!$Q$4:$Q$2004,$Z141-2000)=0,"",INDEX(周转筐出入库明细!$Q$4:$Q$2004,$Z141-2000)),IF($Z141&lt;=5200,"",IF($Z141&lt;=5800,IF(INDEX(次果筐明细!$M$4:$M$603,$Z141-5200)=0,"",INDEX(次果筐明细!$M$4:$M$603,$Z141-5200)),"")))))</f>
        <v/>
      </c>
      <c r="M141" s="37" t="str">
        <f>IF($Z141="","",IF($Z141&lt;=2000,IF(INDEX(包装物料出入库明细!$R$4:$R$2003,$Z141-0)=0,"",INDEX(包装物料出入库明细!$R$4:$R$2003,$Z141-0)),IF($Z141&lt;=4000,IF(INDEX(周转筐出入库明细!$W$4:$W$2004,$Z141-2000)=0,"",INDEX(周转筐出入库明细!$W$4:$W$2004,$Z141-2000)),IF($Z141&lt;=5200,IF(INDEX(客户自备加工筐明细!$L$4:$L$1203,$Z141-4000)=0,"",INDEX(客户自备加工筐明细!$L$4:$L$1203,$Z141-4000)),IF($Z141&lt;=5800,IF(INDEX(次果筐明细!$P$4:$P$603,$Z141-5200)=0,"",INDEX(次果筐明细!$P$4:$P$603,$Z141-5200)),"")))))</f>
        <v/>
      </c>
      <c r="N141" s="16" t="str">
        <f>IF($Z141="","",IF($Z141&lt;=2000,"",IF($Z141&lt;=4000,IF(INDEX(周转筐出入库明细!$D$4:$D$2004,$Z141-2000)=0,"",INDEX(周转筐出入库明细!$D$4:$D$2004,$Z141-2000)),IF($Z141&lt;=5200,IF(INDEX(客户自备加工筐明细!$C$4:$C$1203,$Z141-4000)=0,"",INDEX(客户自备加工筐明细!$C$4:$C$1203,$Z141-4000)),IF($Z141&lt;=5800,IF(INDEX(次果筐明细!$D$4:$D$603,$Z141-5200)=0,"",INDEX(次果筐明细!$D$4:$D$603,$Z141-5200)),"")))))</f>
        <v/>
      </c>
      <c r="O141" s="40" t="str">
        <f>IF($Z141="","",IF($Z141&lt;=2000,"",IF($Z141&lt;=4000,IF(N(INDEX(周转筐出入库明细!$J$4:$J$2004,$Z141-2000))+N(INDEX(周转筐出入库明细!$K$4:$K$2004,$Z141-2000))=0,"",N(INDEX(周转筐出入库明细!$J$4:$J$2004,$Z141-2000))+N(INDEX(周转筐出入库明细!$K$4:$K$2004,$Z141-2000))),IF($Z141&lt;=5200,IF(N(INDEX(客户自备加工筐明细!$G$4:$G$1203,$Z141-4000))=0,"",N(INDEX(客户自备加工筐明细!$G$4:$G$1203,$Z141-4000))),IF($Z141&lt;=5800,IF(ISNUMBER(SEARCH("退",INDEX(次果筐明细!$F$4:$F$603,$Z141-5200)&amp;"")),"",IF(N(INDEX(次果筐明细!$G$4:$G$603,$Z141-5200))=0,"",N(INDEX(次果筐明细!$G$4:$G$603,$Z141-5200)))),"")))))</f>
        <v/>
      </c>
      <c r="P141" s="40" t="str">
        <f>IF($Z141="","",IF($Z141&lt;=2000,"",IF($Z141&lt;=4000,IF(N(INDEX(周转筐出入库明细!$I$4:$I$2004,$Z141-2000))=0,"",N(INDEX(周转筐出入库明细!$I$4:$I$2004,$Z141-2000))),IF($Z141&lt;=5200,"",IF($Z141&lt;=5800,IF(ISNUMBER(SEARCH("退",INDEX(次果筐明细!$F$4:$F$603,$Z141-5200)&amp;"")),IF(N(INDEX(次果筐明细!$G$4:$G$603,$Z141-5200))=0,"",N(INDEX(次果筐明细!$G$4:$G$603,$Z141-5200))),""),"")))))</f>
        <v/>
      </c>
      <c r="Q141" s="40" t="str">
        <f>IF($Z141="","",IF($Z141&lt;=2000,"",IF($Z141&lt;=4000,IF(N(INDEX(周转筐出入库明细!$H$4:$H$2004,$Z141-2000))=0,"",N(INDEX(周转筐出入库明细!$H$4:$H$2004,$Z141-2000))),IF($Z141&lt;=5200,IF(N(INDEX(客户自备加工筐明细!$F$4:$F$1203,$Z141-4000))=0,"",N(INDEX(客户自备加工筐明细!$F$4:$F$1203,$Z141-4000))),IF($Z141&lt;=5800,"","")))))</f>
        <v/>
      </c>
      <c r="R141" s="16" t="str">
        <f>IF($Z141="","",IF($Z141&lt;=2000,IF(INDEX(包装物料出入库明细!$O$4:$O$2003,$Z141-0)=0,"",INDEX(包装物料出入库明细!$O$4:$O$2003,$Z141-0)),IF($Z141&lt;=4000,IF(INDEX(周转筐出入库明细!$M$4:$M$2004,$Z141-2000)=0,"",INDEX(周转筐出入库明细!$M$4:$M$2004,$Z141-2000)),IF($Z141&lt;=5200,IF(INDEX(客户自备加工筐明细!$H$4:$H$1203,$Z141-4000)=0,"",INDEX(客户自备加工筐明细!$H$4:$H$1203,$Z141-4000)),IF($Z141&lt;=5800,IF(INDEX(次果筐明细!$H$4:$H$603,$Z141-5200)=0,"",INDEX(次果筐明细!$H$4:$H$603,$Z141-5200)),"")))))</f>
        <v/>
      </c>
      <c r="S141" s="22" t="str">
        <f t="shared" si="8"/>
        <v/>
      </c>
      <c r="Z141" s="10" t="str">
        <f>IFERROR(MATCH(ROW()-3,_自动清单!$CQ$4:$CQ$5803,0),"")</f>
        <v/>
      </c>
    </row>
    <row r="142" spans="1:26">
      <c r="A142" s="24" t="str">
        <f t="shared" si="6"/>
        <v/>
      </c>
      <c r="B142" s="38" t="str">
        <f>IF($Z142="","",IF($Z142&lt;=2000,IF(INDEX(包装物料出入库明细!$B$4:$B$2003,$Z142-0)=0,"",INDEX(包装物料出入库明细!$B$4:$B$2003,$Z142-0)),IF($Z142&lt;=4000,IF(INDEX(周转筐出入库明细!$B$4:$B$2004,$Z142-2000)=0,"",INDEX(周转筐出入库明细!$B$4:$B$2004,$Z142-2000)),IF($Z142&lt;=5200,IF(INDEX(客户自备加工筐明细!$B$4:$B$1203,$Z142-4000)=0,"",INDEX(客户自备加工筐明细!$B$4:$B$1203,$Z142-4000)),IF($Z142&lt;=5800,IF(INDEX(次果筐明细!$B$4:$B$603,$Z142-5200)=0,"",INDEX(次果筐明细!$B$4:$B$603,$Z142-5200)),"")))))</f>
        <v/>
      </c>
      <c r="C142" s="37" t="str">
        <f>IF($Z142="","",IF($Z142&lt;=2000,IF(INDEX(包装物料出入库明细!$D$4:$D$2003,$Z142-0)=0,"",INDEX(包装物料出入库明细!$D$4:$D$2003,$Z142-0)),IF($Z142&lt;=4000,IF(INDEX(周转筐出入库明细!$C$4:$C$2004,$Z142-2000)=0,"",INDEX(周转筐出入库明细!$C$4:$C$2004,$Z142-2000)),IF($Z142&lt;=5200,IF(INDEX(客户自备加工筐明细!$E$4:$E$1203,$Z142-4000)=0,"",INDEX(客户自备加工筐明细!$E$4:$E$1203,$Z142-4000)),IF($Z142&lt;=5800,IF(INDEX(次果筐明细!$C$4:$C$603,$Z142-5200)=0,"",INDEX(次果筐明细!$C$4:$C$603,$Z142-5200)),"")))))</f>
        <v/>
      </c>
      <c r="D142" s="37" t="str">
        <f>IF($Z142="","",IF($Z142&lt;=2000,"包装物料－"&amp;INDEX(包装物料出入库明细!$H$4:$H$2003,$Z142-0),IF($Z142&lt;=4000,"周转筐－"&amp;INDEX(周转筐出入库明细!$F$4:$F$2004,$Z142-2000),IF($Z142&lt;=5200,"客户自备筐－"&amp;INDEX(客户自备加工筐明细!$J$4:$J$1203,$Z142-4000),IF($Z142&lt;=5800,"次果筐/托盘－"&amp;INDEX(次果筐明细!$F$4:$F$603,$Z142-5200),"")))))</f>
        <v/>
      </c>
      <c r="E142" s="24" t="str">
        <f>IF($Z142="","",IF($Z142&lt;=2000,IF(INDEX(包装物料出入库明细!$C$4:$C$2003,$Z142-0)=0,"",INDEX(包装物料出入库明细!$C$4:$C$2003,$Z142-0)),IF($Z142&lt;=4000,IF(INDEX(周转筐出入库明细!$E$4:$E$2004,$Z142-2000)=0,"",INDEX(周转筐出入库明细!$E$4:$E$2004,$Z142-2000)),IF($Z142&lt;=5200,IF(INDEX(客户自备加工筐明细!$D$4:$D$1203,$Z142-4000)=0,"",INDEX(客户自备加工筐明细!$D$4:$D$1203,$Z142-4000)),IF($Z142&lt;=5800,IF(INDEX(次果筐明细!$E$4:$E$603,$Z142-5200)=0,"",INDEX(次果筐明细!$E$4:$E$603,$Z142-5200)),"")))))</f>
        <v/>
      </c>
      <c r="F142" s="24" t="str">
        <f>IF($Z142="","",IF($Z142&lt;=2000,IF(INDEX(包装物料出入库明细!$E$4:$E$2003,$Z142-0)=0,"",INDEX(包装物料出入库明细!$E$4:$E$2003,$Z142-0)),IF($Z142&lt;=4000,IF(INDEX(周转筐出入库明细!$D$4:$D$2004,$Z142-2000)=0,"",INDEX(周转筐出入库明细!$D$4:$D$2004,$Z142-2000)),IF($Z142&lt;=5200,IF(INDEX(客户自备加工筐明细!$C$4:$C$1203,$Z142-4000)=0,"",INDEX(客户自备加工筐明细!$C$4:$C$1203,$Z142-4000)),IF($Z142&lt;=5800,IF(INDEX(次果筐明细!$D$4:$D$603,$Z142-5200)=0,"",INDEX(次果筐明细!$D$4:$D$603,$Z142-5200)),"")))))</f>
        <v/>
      </c>
      <c r="G142" s="24" t="str">
        <f>IF($Z142="","",IF($Z142&lt;=2000,IF(INDEX(包装物料出入库明细!$F$4:$F$2003,$Z142-0)=0,"",INDEX(包装物料出入库明细!$F$4:$F$2003,$Z142-0)),IF($Z142&lt;=4000,"",IF($Z142&lt;=5200,"",IF($Z142&lt;=5800,"","")))))</f>
        <v/>
      </c>
      <c r="H142" s="39" t="str">
        <f>IF($Z142="","",IF($Z142&lt;=2000,IF(INDEX(包装物料出入库明细!$L$4:$L$2003,$Z142-0)=0,"",INDEX(包装物料出入库明细!$L$4:$L$2003,$Z142-0)),IF($Z142&lt;=4000,N(INDEX(周转筐出入库明细!$H$4:$H$2004,$Z142-2000))+N(INDEX(周转筐出入库明细!$I$4:$I$2004,$Z142-2000))+N(INDEX(周转筐出入库明细!$J$4:$J$2004,$Z142-2000))+N(INDEX(周转筐出入库明细!$K$4:$K$2004,$Z142-2000)),IF($Z142&lt;=5200,N(INDEX(客户自备加工筐明细!$F$4:$F$1203,$Z142-4000))+N(INDEX(客户自备加工筐明细!$G$4:$G$1203,$Z142-4000)),IF($Z142&lt;=5800,IF(INDEX(次果筐明细!$G$4:$G$603,$Z142-5200)=0,"",INDEX(次果筐明细!$G$4:$G$603,$Z142-5200)),"")))))</f>
        <v/>
      </c>
      <c r="I142" s="24" t="str">
        <f>IF($Z142="","",IF($Z142&lt;=2000,IF(INDEX(包装物料出入库明细!$G$4:$G$2003,$Z142-0)=0,"",INDEX(包装物料出入库明细!$G$4:$G$2003,$Z142-0)),IF($Z142&lt;=4000,"个",IF($Z142&lt;=5200,"个",IF($Z142&lt;=5800,"个","")))))</f>
        <v/>
      </c>
      <c r="J142" s="30" t="str">
        <f t="shared" si="7"/>
        <v/>
      </c>
      <c r="K142" s="30" t="str">
        <f>IF($Z142="","",IF($Z142&lt;=2000,IF(INDEX(包装物料出入库明细!$N$4:$N$2003,$Z142-0)=0,"",INDEX(包装物料出入库明细!$N$4:$N$2003,$Z142-0)),IF($Z142&lt;=4000,IF(INDEX(周转筐出入库明细!$P$4:$P$2004,$Z142-2000)=0,"",INDEX(周转筐出入库明细!$P$4:$P$2004,$Z142-2000)),IF($Z142&lt;=5200,"",IF($Z142&lt;=5800,N(INDEX(次果筐明细!$L$4:$L$603,$Z142-5200))+N(INDEX(次果筐明细!$J$4:$J$603,$Z142-5200)),"")))))</f>
        <v/>
      </c>
      <c r="L142" s="24" t="str">
        <f>IF($Z142="","",IF($Z142&lt;=2000,IF(INDEX(包装物料出入库明细!$P$4:$P$2003,$Z142-0)=0,"",INDEX(包装物料出入库明细!$P$4:$P$2003,$Z142-0)),IF($Z142&lt;=4000,IF(INDEX(周转筐出入库明细!$Q$4:$Q$2004,$Z142-2000)=0,"",INDEX(周转筐出入库明细!$Q$4:$Q$2004,$Z142-2000)),IF($Z142&lt;=5200,"",IF($Z142&lt;=5800,IF(INDEX(次果筐明细!$M$4:$M$603,$Z142-5200)=0,"",INDEX(次果筐明细!$M$4:$M$603,$Z142-5200)),"")))))</f>
        <v/>
      </c>
      <c r="M142" s="37" t="str">
        <f>IF($Z142="","",IF($Z142&lt;=2000,IF(INDEX(包装物料出入库明细!$R$4:$R$2003,$Z142-0)=0,"",INDEX(包装物料出入库明细!$R$4:$R$2003,$Z142-0)),IF($Z142&lt;=4000,IF(INDEX(周转筐出入库明细!$W$4:$W$2004,$Z142-2000)=0,"",INDEX(周转筐出入库明细!$W$4:$W$2004,$Z142-2000)),IF($Z142&lt;=5200,IF(INDEX(客户自备加工筐明细!$L$4:$L$1203,$Z142-4000)=0,"",INDEX(客户自备加工筐明细!$L$4:$L$1203,$Z142-4000)),IF($Z142&lt;=5800,IF(INDEX(次果筐明细!$P$4:$P$603,$Z142-5200)=0,"",INDEX(次果筐明细!$P$4:$P$603,$Z142-5200)),"")))))</f>
        <v/>
      </c>
      <c r="N142" s="16" t="str">
        <f>IF($Z142="","",IF($Z142&lt;=2000,"",IF($Z142&lt;=4000,IF(INDEX(周转筐出入库明细!$D$4:$D$2004,$Z142-2000)=0,"",INDEX(周转筐出入库明细!$D$4:$D$2004,$Z142-2000)),IF($Z142&lt;=5200,IF(INDEX(客户自备加工筐明细!$C$4:$C$1203,$Z142-4000)=0,"",INDEX(客户自备加工筐明细!$C$4:$C$1203,$Z142-4000)),IF($Z142&lt;=5800,IF(INDEX(次果筐明细!$D$4:$D$603,$Z142-5200)=0,"",INDEX(次果筐明细!$D$4:$D$603,$Z142-5200)),"")))))</f>
        <v/>
      </c>
      <c r="O142" s="40" t="str">
        <f>IF($Z142="","",IF($Z142&lt;=2000,"",IF($Z142&lt;=4000,IF(N(INDEX(周转筐出入库明细!$J$4:$J$2004,$Z142-2000))+N(INDEX(周转筐出入库明细!$K$4:$K$2004,$Z142-2000))=0,"",N(INDEX(周转筐出入库明细!$J$4:$J$2004,$Z142-2000))+N(INDEX(周转筐出入库明细!$K$4:$K$2004,$Z142-2000))),IF($Z142&lt;=5200,IF(N(INDEX(客户自备加工筐明细!$G$4:$G$1203,$Z142-4000))=0,"",N(INDEX(客户自备加工筐明细!$G$4:$G$1203,$Z142-4000))),IF($Z142&lt;=5800,IF(ISNUMBER(SEARCH("退",INDEX(次果筐明细!$F$4:$F$603,$Z142-5200)&amp;"")),"",IF(N(INDEX(次果筐明细!$G$4:$G$603,$Z142-5200))=0,"",N(INDEX(次果筐明细!$G$4:$G$603,$Z142-5200)))),"")))))</f>
        <v/>
      </c>
      <c r="P142" s="40" t="str">
        <f>IF($Z142="","",IF($Z142&lt;=2000,"",IF($Z142&lt;=4000,IF(N(INDEX(周转筐出入库明细!$I$4:$I$2004,$Z142-2000))=0,"",N(INDEX(周转筐出入库明细!$I$4:$I$2004,$Z142-2000))),IF($Z142&lt;=5200,"",IF($Z142&lt;=5800,IF(ISNUMBER(SEARCH("退",INDEX(次果筐明细!$F$4:$F$603,$Z142-5200)&amp;"")),IF(N(INDEX(次果筐明细!$G$4:$G$603,$Z142-5200))=0,"",N(INDEX(次果筐明细!$G$4:$G$603,$Z142-5200))),""),"")))))</f>
        <v/>
      </c>
      <c r="Q142" s="40" t="str">
        <f>IF($Z142="","",IF($Z142&lt;=2000,"",IF($Z142&lt;=4000,IF(N(INDEX(周转筐出入库明细!$H$4:$H$2004,$Z142-2000))=0,"",N(INDEX(周转筐出入库明细!$H$4:$H$2004,$Z142-2000))),IF($Z142&lt;=5200,IF(N(INDEX(客户自备加工筐明细!$F$4:$F$1203,$Z142-4000))=0,"",N(INDEX(客户自备加工筐明细!$F$4:$F$1203,$Z142-4000))),IF($Z142&lt;=5800,"","")))))</f>
        <v/>
      </c>
      <c r="R142" s="16" t="str">
        <f>IF($Z142="","",IF($Z142&lt;=2000,IF(INDEX(包装物料出入库明细!$O$4:$O$2003,$Z142-0)=0,"",INDEX(包装物料出入库明细!$O$4:$O$2003,$Z142-0)),IF($Z142&lt;=4000,IF(INDEX(周转筐出入库明细!$M$4:$M$2004,$Z142-2000)=0,"",INDEX(周转筐出入库明细!$M$4:$M$2004,$Z142-2000)),IF($Z142&lt;=5200,IF(INDEX(客户自备加工筐明细!$H$4:$H$1203,$Z142-4000)=0,"",INDEX(客户自备加工筐明细!$H$4:$H$1203,$Z142-4000)),IF($Z142&lt;=5800,IF(INDEX(次果筐明细!$H$4:$H$603,$Z142-5200)=0,"",INDEX(次果筐明细!$H$4:$H$603,$Z142-5200)),"")))))</f>
        <v/>
      </c>
      <c r="S142" s="22" t="str">
        <f t="shared" si="8"/>
        <v/>
      </c>
      <c r="Z142" s="10" t="str">
        <f>IFERROR(MATCH(ROW()-3,_自动清单!$CQ$4:$CQ$5803,0),"")</f>
        <v/>
      </c>
    </row>
    <row r="143" spans="1:26">
      <c r="A143" s="24" t="str">
        <f t="shared" si="6"/>
        <v/>
      </c>
      <c r="B143" s="38" t="str">
        <f>IF($Z143="","",IF($Z143&lt;=2000,IF(INDEX(包装物料出入库明细!$B$4:$B$2003,$Z143-0)=0,"",INDEX(包装物料出入库明细!$B$4:$B$2003,$Z143-0)),IF($Z143&lt;=4000,IF(INDEX(周转筐出入库明细!$B$4:$B$2004,$Z143-2000)=0,"",INDEX(周转筐出入库明细!$B$4:$B$2004,$Z143-2000)),IF($Z143&lt;=5200,IF(INDEX(客户自备加工筐明细!$B$4:$B$1203,$Z143-4000)=0,"",INDEX(客户自备加工筐明细!$B$4:$B$1203,$Z143-4000)),IF($Z143&lt;=5800,IF(INDEX(次果筐明细!$B$4:$B$603,$Z143-5200)=0,"",INDEX(次果筐明细!$B$4:$B$603,$Z143-5200)),"")))))</f>
        <v/>
      </c>
      <c r="C143" s="37" t="str">
        <f>IF($Z143="","",IF($Z143&lt;=2000,IF(INDEX(包装物料出入库明细!$D$4:$D$2003,$Z143-0)=0,"",INDEX(包装物料出入库明细!$D$4:$D$2003,$Z143-0)),IF($Z143&lt;=4000,IF(INDEX(周转筐出入库明细!$C$4:$C$2004,$Z143-2000)=0,"",INDEX(周转筐出入库明细!$C$4:$C$2004,$Z143-2000)),IF($Z143&lt;=5200,IF(INDEX(客户自备加工筐明细!$E$4:$E$1203,$Z143-4000)=0,"",INDEX(客户自备加工筐明细!$E$4:$E$1203,$Z143-4000)),IF($Z143&lt;=5800,IF(INDEX(次果筐明细!$C$4:$C$603,$Z143-5200)=0,"",INDEX(次果筐明细!$C$4:$C$603,$Z143-5200)),"")))))</f>
        <v/>
      </c>
      <c r="D143" s="37" t="str">
        <f>IF($Z143="","",IF($Z143&lt;=2000,"包装物料－"&amp;INDEX(包装物料出入库明细!$H$4:$H$2003,$Z143-0),IF($Z143&lt;=4000,"周转筐－"&amp;INDEX(周转筐出入库明细!$F$4:$F$2004,$Z143-2000),IF($Z143&lt;=5200,"客户自备筐－"&amp;INDEX(客户自备加工筐明细!$J$4:$J$1203,$Z143-4000),IF($Z143&lt;=5800,"次果筐/托盘－"&amp;INDEX(次果筐明细!$F$4:$F$603,$Z143-5200),"")))))</f>
        <v/>
      </c>
      <c r="E143" s="24" t="str">
        <f>IF($Z143="","",IF($Z143&lt;=2000,IF(INDEX(包装物料出入库明细!$C$4:$C$2003,$Z143-0)=0,"",INDEX(包装物料出入库明细!$C$4:$C$2003,$Z143-0)),IF($Z143&lt;=4000,IF(INDEX(周转筐出入库明细!$E$4:$E$2004,$Z143-2000)=0,"",INDEX(周转筐出入库明细!$E$4:$E$2004,$Z143-2000)),IF($Z143&lt;=5200,IF(INDEX(客户自备加工筐明细!$D$4:$D$1203,$Z143-4000)=0,"",INDEX(客户自备加工筐明细!$D$4:$D$1203,$Z143-4000)),IF($Z143&lt;=5800,IF(INDEX(次果筐明细!$E$4:$E$603,$Z143-5200)=0,"",INDEX(次果筐明细!$E$4:$E$603,$Z143-5200)),"")))))</f>
        <v/>
      </c>
      <c r="F143" s="24" t="str">
        <f>IF($Z143="","",IF($Z143&lt;=2000,IF(INDEX(包装物料出入库明细!$E$4:$E$2003,$Z143-0)=0,"",INDEX(包装物料出入库明细!$E$4:$E$2003,$Z143-0)),IF($Z143&lt;=4000,IF(INDEX(周转筐出入库明细!$D$4:$D$2004,$Z143-2000)=0,"",INDEX(周转筐出入库明细!$D$4:$D$2004,$Z143-2000)),IF($Z143&lt;=5200,IF(INDEX(客户自备加工筐明细!$C$4:$C$1203,$Z143-4000)=0,"",INDEX(客户自备加工筐明细!$C$4:$C$1203,$Z143-4000)),IF($Z143&lt;=5800,IF(INDEX(次果筐明细!$D$4:$D$603,$Z143-5200)=0,"",INDEX(次果筐明细!$D$4:$D$603,$Z143-5200)),"")))))</f>
        <v/>
      </c>
      <c r="G143" s="24" t="str">
        <f>IF($Z143="","",IF($Z143&lt;=2000,IF(INDEX(包装物料出入库明细!$F$4:$F$2003,$Z143-0)=0,"",INDEX(包装物料出入库明细!$F$4:$F$2003,$Z143-0)),IF($Z143&lt;=4000,"",IF($Z143&lt;=5200,"",IF($Z143&lt;=5800,"","")))))</f>
        <v/>
      </c>
      <c r="H143" s="39" t="str">
        <f>IF($Z143="","",IF($Z143&lt;=2000,IF(INDEX(包装物料出入库明细!$L$4:$L$2003,$Z143-0)=0,"",INDEX(包装物料出入库明细!$L$4:$L$2003,$Z143-0)),IF($Z143&lt;=4000,N(INDEX(周转筐出入库明细!$H$4:$H$2004,$Z143-2000))+N(INDEX(周转筐出入库明细!$I$4:$I$2004,$Z143-2000))+N(INDEX(周转筐出入库明细!$J$4:$J$2004,$Z143-2000))+N(INDEX(周转筐出入库明细!$K$4:$K$2004,$Z143-2000)),IF($Z143&lt;=5200,N(INDEX(客户自备加工筐明细!$F$4:$F$1203,$Z143-4000))+N(INDEX(客户自备加工筐明细!$G$4:$G$1203,$Z143-4000)),IF($Z143&lt;=5800,IF(INDEX(次果筐明细!$G$4:$G$603,$Z143-5200)=0,"",INDEX(次果筐明细!$G$4:$G$603,$Z143-5200)),"")))))</f>
        <v/>
      </c>
      <c r="I143" s="24" t="str">
        <f>IF($Z143="","",IF($Z143&lt;=2000,IF(INDEX(包装物料出入库明细!$G$4:$G$2003,$Z143-0)=0,"",INDEX(包装物料出入库明细!$G$4:$G$2003,$Z143-0)),IF($Z143&lt;=4000,"个",IF($Z143&lt;=5200,"个",IF($Z143&lt;=5800,"个","")))))</f>
        <v/>
      </c>
      <c r="J143" s="30" t="str">
        <f t="shared" si="7"/>
        <v/>
      </c>
      <c r="K143" s="30" t="str">
        <f>IF($Z143="","",IF($Z143&lt;=2000,IF(INDEX(包装物料出入库明细!$N$4:$N$2003,$Z143-0)=0,"",INDEX(包装物料出入库明细!$N$4:$N$2003,$Z143-0)),IF($Z143&lt;=4000,IF(INDEX(周转筐出入库明细!$P$4:$P$2004,$Z143-2000)=0,"",INDEX(周转筐出入库明细!$P$4:$P$2004,$Z143-2000)),IF($Z143&lt;=5200,"",IF($Z143&lt;=5800,N(INDEX(次果筐明细!$L$4:$L$603,$Z143-5200))+N(INDEX(次果筐明细!$J$4:$J$603,$Z143-5200)),"")))))</f>
        <v/>
      </c>
      <c r="L143" s="24" t="str">
        <f>IF($Z143="","",IF($Z143&lt;=2000,IF(INDEX(包装物料出入库明细!$P$4:$P$2003,$Z143-0)=0,"",INDEX(包装物料出入库明细!$P$4:$P$2003,$Z143-0)),IF($Z143&lt;=4000,IF(INDEX(周转筐出入库明细!$Q$4:$Q$2004,$Z143-2000)=0,"",INDEX(周转筐出入库明细!$Q$4:$Q$2004,$Z143-2000)),IF($Z143&lt;=5200,"",IF($Z143&lt;=5800,IF(INDEX(次果筐明细!$M$4:$M$603,$Z143-5200)=0,"",INDEX(次果筐明细!$M$4:$M$603,$Z143-5200)),"")))))</f>
        <v/>
      </c>
      <c r="M143" s="37" t="str">
        <f>IF($Z143="","",IF($Z143&lt;=2000,IF(INDEX(包装物料出入库明细!$R$4:$R$2003,$Z143-0)=0,"",INDEX(包装物料出入库明细!$R$4:$R$2003,$Z143-0)),IF($Z143&lt;=4000,IF(INDEX(周转筐出入库明细!$W$4:$W$2004,$Z143-2000)=0,"",INDEX(周转筐出入库明细!$W$4:$W$2004,$Z143-2000)),IF($Z143&lt;=5200,IF(INDEX(客户自备加工筐明细!$L$4:$L$1203,$Z143-4000)=0,"",INDEX(客户自备加工筐明细!$L$4:$L$1203,$Z143-4000)),IF($Z143&lt;=5800,IF(INDEX(次果筐明细!$P$4:$P$603,$Z143-5200)=0,"",INDEX(次果筐明细!$P$4:$P$603,$Z143-5200)),"")))))</f>
        <v/>
      </c>
      <c r="N143" s="16" t="str">
        <f>IF($Z143="","",IF($Z143&lt;=2000,"",IF($Z143&lt;=4000,IF(INDEX(周转筐出入库明细!$D$4:$D$2004,$Z143-2000)=0,"",INDEX(周转筐出入库明细!$D$4:$D$2004,$Z143-2000)),IF($Z143&lt;=5200,IF(INDEX(客户自备加工筐明细!$C$4:$C$1203,$Z143-4000)=0,"",INDEX(客户自备加工筐明细!$C$4:$C$1203,$Z143-4000)),IF($Z143&lt;=5800,IF(INDEX(次果筐明细!$D$4:$D$603,$Z143-5200)=0,"",INDEX(次果筐明细!$D$4:$D$603,$Z143-5200)),"")))))</f>
        <v/>
      </c>
      <c r="O143" s="40" t="str">
        <f>IF($Z143="","",IF($Z143&lt;=2000,"",IF($Z143&lt;=4000,IF(N(INDEX(周转筐出入库明细!$J$4:$J$2004,$Z143-2000))+N(INDEX(周转筐出入库明细!$K$4:$K$2004,$Z143-2000))=0,"",N(INDEX(周转筐出入库明细!$J$4:$J$2004,$Z143-2000))+N(INDEX(周转筐出入库明细!$K$4:$K$2004,$Z143-2000))),IF($Z143&lt;=5200,IF(N(INDEX(客户自备加工筐明细!$G$4:$G$1203,$Z143-4000))=0,"",N(INDEX(客户自备加工筐明细!$G$4:$G$1203,$Z143-4000))),IF($Z143&lt;=5800,IF(ISNUMBER(SEARCH("退",INDEX(次果筐明细!$F$4:$F$603,$Z143-5200)&amp;"")),"",IF(N(INDEX(次果筐明细!$G$4:$G$603,$Z143-5200))=0,"",N(INDEX(次果筐明细!$G$4:$G$603,$Z143-5200)))),"")))))</f>
        <v/>
      </c>
      <c r="P143" s="40" t="str">
        <f>IF($Z143="","",IF($Z143&lt;=2000,"",IF($Z143&lt;=4000,IF(N(INDEX(周转筐出入库明细!$I$4:$I$2004,$Z143-2000))=0,"",N(INDEX(周转筐出入库明细!$I$4:$I$2004,$Z143-2000))),IF($Z143&lt;=5200,"",IF($Z143&lt;=5800,IF(ISNUMBER(SEARCH("退",INDEX(次果筐明细!$F$4:$F$603,$Z143-5200)&amp;"")),IF(N(INDEX(次果筐明细!$G$4:$G$603,$Z143-5200))=0,"",N(INDEX(次果筐明细!$G$4:$G$603,$Z143-5200))),""),"")))))</f>
        <v/>
      </c>
      <c r="Q143" s="40" t="str">
        <f>IF($Z143="","",IF($Z143&lt;=2000,"",IF($Z143&lt;=4000,IF(N(INDEX(周转筐出入库明细!$H$4:$H$2004,$Z143-2000))=0,"",N(INDEX(周转筐出入库明细!$H$4:$H$2004,$Z143-2000))),IF($Z143&lt;=5200,IF(N(INDEX(客户自备加工筐明细!$F$4:$F$1203,$Z143-4000))=0,"",N(INDEX(客户自备加工筐明细!$F$4:$F$1203,$Z143-4000))),IF($Z143&lt;=5800,"","")))))</f>
        <v/>
      </c>
      <c r="R143" s="16" t="str">
        <f>IF($Z143="","",IF($Z143&lt;=2000,IF(INDEX(包装物料出入库明细!$O$4:$O$2003,$Z143-0)=0,"",INDEX(包装物料出入库明细!$O$4:$O$2003,$Z143-0)),IF($Z143&lt;=4000,IF(INDEX(周转筐出入库明细!$M$4:$M$2004,$Z143-2000)=0,"",INDEX(周转筐出入库明细!$M$4:$M$2004,$Z143-2000)),IF($Z143&lt;=5200,IF(INDEX(客户自备加工筐明细!$H$4:$H$1203,$Z143-4000)=0,"",INDEX(客户自备加工筐明细!$H$4:$H$1203,$Z143-4000)),IF($Z143&lt;=5800,IF(INDEX(次果筐明细!$H$4:$H$603,$Z143-5200)=0,"",INDEX(次果筐明细!$H$4:$H$603,$Z143-5200)),"")))))</f>
        <v/>
      </c>
      <c r="S143" s="22" t="str">
        <f t="shared" si="8"/>
        <v/>
      </c>
      <c r="Z143" s="10" t="str">
        <f>IFERROR(MATCH(ROW()-3,_自动清单!$CQ$4:$CQ$5803,0),"")</f>
        <v/>
      </c>
    </row>
    <row r="144" spans="1:26">
      <c r="A144" s="24" t="str">
        <f t="shared" si="6"/>
        <v/>
      </c>
      <c r="B144" s="38" t="str">
        <f>IF($Z144="","",IF($Z144&lt;=2000,IF(INDEX(包装物料出入库明细!$B$4:$B$2003,$Z144-0)=0,"",INDEX(包装物料出入库明细!$B$4:$B$2003,$Z144-0)),IF($Z144&lt;=4000,IF(INDEX(周转筐出入库明细!$B$4:$B$2004,$Z144-2000)=0,"",INDEX(周转筐出入库明细!$B$4:$B$2004,$Z144-2000)),IF($Z144&lt;=5200,IF(INDEX(客户自备加工筐明细!$B$4:$B$1203,$Z144-4000)=0,"",INDEX(客户自备加工筐明细!$B$4:$B$1203,$Z144-4000)),IF($Z144&lt;=5800,IF(INDEX(次果筐明细!$B$4:$B$603,$Z144-5200)=0,"",INDEX(次果筐明细!$B$4:$B$603,$Z144-5200)),"")))))</f>
        <v/>
      </c>
      <c r="C144" s="37" t="str">
        <f>IF($Z144="","",IF($Z144&lt;=2000,IF(INDEX(包装物料出入库明细!$D$4:$D$2003,$Z144-0)=0,"",INDEX(包装物料出入库明细!$D$4:$D$2003,$Z144-0)),IF($Z144&lt;=4000,IF(INDEX(周转筐出入库明细!$C$4:$C$2004,$Z144-2000)=0,"",INDEX(周转筐出入库明细!$C$4:$C$2004,$Z144-2000)),IF($Z144&lt;=5200,IF(INDEX(客户自备加工筐明细!$E$4:$E$1203,$Z144-4000)=0,"",INDEX(客户自备加工筐明细!$E$4:$E$1203,$Z144-4000)),IF($Z144&lt;=5800,IF(INDEX(次果筐明细!$C$4:$C$603,$Z144-5200)=0,"",INDEX(次果筐明细!$C$4:$C$603,$Z144-5200)),"")))))</f>
        <v/>
      </c>
      <c r="D144" s="37" t="str">
        <f>IF($Z144="","",IF($Z144&lt;=2000,"包装物料－"&amp;INDEX(包装物料出入库明细!$H$4:$H$2003,$Z144-0),IF($Z144&lt;=4000,"周转筐－"&amp;INDEX(周转筐出入库明细!$F$4:$F$2004,$Z144-2000),IF($Z144&lt;=5200,"客户自备筐－"&amp;INDEX(客户自备加工筐明细!$J$4:$J$1203,$Z144-4000),IF($Z144&lt;=5800,"次果筐/托盘－"&amp;INDEX(次果筐明细!$F$4:$F$603,$Z144-5200),"")))))</f>
        <v/>
      </c>
      <c r="E144" s="24" t="str">
        <f>IF($Z144="","",IF($Z144&lt;=2000,IF(INDEX(包装物料出入库明细!$C$4:$C$2003,$Z144-0)=0,"",INDEX(包装物料出入库明细!$C$4:$C$2003,$Z144-0)),IF($Z144&lt;=4000,IF(INDEX(周转筐出入库明细!$E$4:$E$2004,$Z144-2000)=0,"",INDEX(周转筐出入库明细!$E$4:$E$2004,$Z144-2000)),IF($Z144&lt;=5200,IF(INDEX(客户自备加工筐明细!$D$4:$D$1203,$Z144-4000)=0,"",INDEX(客户自备加工筐明细!$D$4:$D$1203,$Z144-4000)),IF($Z144&lt;=5800,IF(INDEX(次果筐明细!$E$4:$E$603,$Z144-5200)=0,"",INDEX(次果筐明细!$E$4:$E$603,$Z144-5200)),"")))))</f>
        <v/>
      </c>
      <c r="F144" s="24" t="str">
        <f>IF($Z144="","",IF($Z144&lt;=2000,IF(INDEX(包装物料出入库明细!$E$4:$E$2003,$Z144-0)=0,"",INDEX(包装物料出入库明细!$E$4:$E$2003,$Z144-0)),IF($Z144&lt;=4000,IF(INDEX(周转筐出入库明细!$D$4:$D$2004,$Z144-2000)=0,"",INDEX(周转筐出入库明细!$D$4:$D$2004,$Z144-2000)),IF($Z144&lt;=5200,IF(INDEX(客户自备加工筐明细!$C$4:$C$1203,$Z144-4000)=0,"",INDEX(客户自备加工筐明细!$C$4:$C$1203,$Z144-4000)),IF($Z144&lt;=5800,IF(INDEX(次果筐明细!$D$4:$D$603,$Z144-5200)=0,"",INDEX(次果筐明细!$D$4:$D$603,$Z144-5200)),"")))))</f>
        <v/>
      </c>
      <c r="G144" s="24" t="str">
        <f>IF($Z144="","",IF($Z144&lt;=2000,IF(INDEX(包装物料出入库明细!$F$4:$F$2003,$Z144-0)=0,"",INDEX(包装物料出入库明细!$F$4:$F$2003,$Z144-0)),IF($Z144&lt;=4000,"",IF($Z144&lt;=5200,"",IF($Z144&lt;=5800,"","")))))</f>
        <v/>
      </c>
      <c r="H144" s="39" t="str">
        <f>IF($Z144="","",IF($Z144&lt;=2000,IF(INDEX(包装物料出入库明细!$L$4:$L$2003,$Z144-0)=0,"",INDEX(包装物料出入库明细!$L$4:$L$2003,$Z144-0)),IF($Z144&lt;=4000,N(INDEX(周转筐出入库明细!$H$4:$H$2004,$Z144-2000))+N(INDEX(周转筐出入库明细!$I$4:$I$2004,$Z144-2000))+N(INDEX(周转筐出入库明细!$J$4:$J$2004,$Z144-2000))+N(INDEX(周转筐出入库明细!$K$4:$K$2004,$Z144-2000)),IF($Z144&lt;=5200,N(INDEX(客户自备加工筐明细!$F$4:$F$1203,$Z144-4000))+N(INDEX(客户自备加工筐明细!$G$4:$G$1203,$Z144-4000)),IF($Z144&lt;=5800,IF(INDEX(次果筐明细!$G$4:$G$603,$Z144-5200)=0,"",INDEX(次果筐明细!$G$4:$G$603,$Z144-5200)),"")))))</f>
        <v/>
      </c>
      <c r="I144" s="24" t="str">
        <f>IF($Z144="","",IF($Z144&lt;=2000,IF(INDEX(包装物料出入库明细!$G$4:$G$2003,$Z144-0)=0,"",INDEX(包装物料出入库明细!$G$4:$G$2003,$Z144-0)),IF($Z144&lt;=4000,"个",IF($Z144&lt;=5200,"个",IF($Z144&lt;=5800,"个","")))))</f>
        <v/>
      </c>
      <c r="J144" s="30" t="str">
        <f t="shared" si="7"/>
        <v/>
      </c>
      <c r="K144" s="30" t="str">
        <f>IF($Z144="","",IF($Z144&lt;=2000,IF(INDEX(包装物料出入库明细!$N$4:$N$2003,$Z144-0)=0,"",INDEX(包装物料出入库明细!$N$4:$N$2003,$Z144-0)),IF($Z144&lt;=4000,IF(INDEX(周转筐出入库明细!$P$4:$P$2004,$Z144-2000)=0,"",INDEX(周转筐出入库明细!$P$4:$P$2004,$Z144-2000)),IF($Z144&lt;=5200,"",IF($Z144&lt;=5800,N(INDEX(次果筐明细!$L$4:$L$603,$Z144-5200))+N(INDEX(次果筐明细!$J$4:$J$603,$Z144-5200)),"")))))</f>
        <v/>
      </c>
      <c r="L144" s="24" t="str">
        <f>IF($Z144="","",IF($Z144&lt;=2000,IF(INDEX(包装物料出入库明细!$P$4:$P$2003,$Z144-0)=0,"",INDEX(包装物料出入库明细!$P$4:$P$2003,$Z144-0)),IF($Z144&lt;=4000,IF(INDEX(周转筐出入库明细!$Q$4:$Q$2004,$Z144-2000)=0,"",INDEX(周转筐出入库明细!$Q$4:$Q$2004,$Z144-2000)),IF($Z144&lt;=5200,"",IF($Z144&lt;=5800,IF(INDEX(次果筐明细!$M$4:$M$603,$Z144-5200)=0,"",INDEX(次果筐明细!$M$4:$M$603,$Z144-5200)),"")))))</f>
        <v/>
      </c>
      <c r="M144" s="37" t="str">
        <f>IF($Z144="","",IF($Z144&lt;=2000,IF(INDEX(包装物料出入库明细!$R$4:$R$2003,$Z144-0)=0,"",INDEX(包装物料出入库明细!$R$4:$R$2003,$Z144-0)),IF($Z144&lt;=4000,IF(INDEX(周转筐出入库明细!$W$4:$W$2004,$Z144-2000)=0,"",INDEX(周转筐出入库明细!$W$4:$W$2004,$Z144-2000)),IF($Z144&lt;=5200,IF(INDEX(客户自备加工筐明细!$L$4:$L$1203,$Z144-4000)=0,"",INDEX(客户自备加工筐明细!$L$4:$L$1203,$Z144-4000)),IF($Z144&lt;=5800,IF(INDEX(次果筐明细!$P$4:$P$603,$Z144-5200)=0,"",INDEX(次果筐明细!$P$4:$P$603,$Z144-5200)),"")))))</f>
        <v/>
      </c>
      <c r="N144" s="16" t="str">
        <f>IF($Z144="","",IF($Z144&lt;=2000,"",IF($Z144&lt;=4000,IF(INDEX(周转筐出入库明细!$D$4:$D$2004,$Z144-2000)=0,"",INDEX(周转筐出入库明细!$D$4:$D$2004,$Z144-2000)),IF($Z144&lt;=5200,IF(INDEX(客户自备加工筐明细!$C$4:$C$1203,$Z144-4000)=0,"",INDEX(客户自备加工筐明细!$C$4:$C$1203,$Z144-4000)),IF($Z144&lt;=5800,IF(INDEX(次果筐明细!$D$4:$D$603,$Z144-5200)=0,"",INDEX(次果筐明细!$D$4:$D$603,$Z144-5200)),"")))))</f>
        <v/>
      </c>
      <c r="O144" s="40" t="str">
        <f>IF($Z144="","",IF($Z144&lt;=2000,"",IF($Z144&lt;=4000,IF(N(INDEX(周转筐出入库明细!$J$4:$J$2004,$Z144-2000))+N(INDEX(周转筐出入库明细!$K$4:$K$2004,$Z144-2000))=0,"",N(INDEX(周转筐出入库明细!$J$4:$J$2004,$Z144-2000))+N(INDEX(周转筐出入库明细!$K$4:$K$2004,$Z144-2000))),IF($Z144&lt;=5200,IF(N(INDEX(客户自备加工筐明细!$G$4:$G$1203,$Z144-4000))=0,"",N(INDEX(客户自备加工筐明细!$G$4:$G$1203,$Z144-4000))),IF($Z144&lt;=5800,IF(ISNUMBER(SEARCH("退",INDEX(次果筐明细!$F$4:$F$603,$Z144-5200)&amp;"")),"",IF(N(INDEX(次果筐明细!$G$4:$G$603,$Z144-5200))=0,"",N(INDEX(次果筐明细!$G$4:$G$603,$Z144-5200)))),"")))))</f>
        <v/>
      </c>
      <c r="P144" s="40" t="str">
        <f>IF($Z144="","",IF($Z144&lt;=2000,"",IF($Z144&lt;=4000,IF(N(INDEX(周转筐出入库明细!$I$4:$I$2004,$Z144-2000))=0,"",N(INDEX(周转筐出入库明细!$I$4:$I$2004,$Z144-2000))),IF($Z144&lt;=5200,"",IF($Z144&lt;=5800,IF(ISNUMBER(SEARCH("退",INDEX(次果筐明细!$F$4:$F$603,$Z144-5200)&amp;"")),IF(N(INDEX(次果筐明细!$G$4:$G$603,$Z144-5200))=0,"",N(INDEX(次果筐明细!$G$4:$G$603,$Z144-5200))),""),"")))))</f>
        <v/>
      </c>
      <c r="Q144" s="40" t="str">
        <f>IF($Z144="","",IF($Z144&lt;=2000,"",IF($Z144&lt;=4000,IF(N(INDEX(周转筐出入库明细!$H$4:$H$2004,$Z144-2000))=0,"",N(INDEX(周转筐出入库明细!$H$4:$H$2004,$Z144-2000))),IF($Z144&lt;=5200,IF(N(INDEX(客户自备加工筐明细!$F$4:$F$1203,$Z144-4000))=0,"",N(INDEX(客户自备加工筐明细!$F$4:$F$1203,$Z144-4000))),IF($Z144&lt;=5800,"","")))))</f>
        <v/>
      </c>
      <c r="R144" s="16" t="str">
        <f>IF($Z144="","",IF($Z144&lt;=2000,IF(INDEX(包装物料出入库明细!$O$4:$O$2003,$Z144-0)=0,"",INDEX(包装物料出入库明细!$O$4:$O$2003,$Z144-0)),IF($Z144&lt;=4000,IF(INDEX(周转筐出入库明细!$M$4:$M$2004,$Z144-2000)=0,"",INDEX(周转筐出入库明细!$M$4:$M$2004,$Z144-2000)),IF($Z144&lt;=5200,IF(INDEX(客户自备加工筐明细!$H$4:$H$1203,$Z144-4000)=0,"",INDEX(客户自备加工筐明细!$H$4:$H$1203,$Z144-4000)),IF($Z144&lt;=5800,IF(INDEX(次果筐明细!$H$4:$H$603,$Z144-5200)=0,"",INDEX(次果筐明细!$H$4:$H$603,$Z144-5200)),"")))))</f>
        <v/>
      </c>
      <c r="S144" s="22" t="str">
        <f t="shared" si="8"/>
        <v/>
      </c>
      <c r="Z144" s="10" t="str">
        <f>IFERROR(MATCH(ROW()-3,_自动清单!$CQ$4:$CQ$5803,0),"")</f>
        <v/>
      </c>
    </row>
    <row r="145" spans="1:26">
      <c r="A145" s="24" t="str">
        <f t="shared" si="6"/>
        <v/>
      </c>
      <c r="B145" s="38" t="str">
        <f>IF($Z145="","",IF($Z145&lt;=2000,IF(INDEX(包装物料出入库明细!$B$4:$B$2003,$Z145-0)=0,"",INDEX(包装物料出入库明细!$B$4:$B$2003,$Z145-0)),IF($Z145&lt;=4000,IF(INDEX(周转筐出入库明细!$B$4:$B$2004,$Z145-2000)=0,"",INDEX(周转筐出入库明细!$B$4:$B$2004,$Z145-2000)),IF($Z145&lt;=5200,IF(INDEX(客户自备加工筐明细!$B$4:$B$1203,$Z145-4000)=0,"",INDEX(客户自备加工筐明细!$B$4:$B$1203,$Z145-4000)),IF($Z145&lt;=5800,IF(INDEX(次果筐明细!$B$4:$B$603,$Z145-5200)=0,"",INDEX(次果筐明细!$B$4:$B$603,$Z145-5200)),"")))))</f>
        <v/>
      </c>
      <c r="C145" s="37" t="str">
        <f>IF($Z145="","",IF($Z145&lt;=2000,IF(INDEX(包装物料出入库明细!$D$4:$D$2003,$Z145-0)=0,"",INDEX(包装物料出入库明细!$D$4:$D$2003,$Z145-0)),IF($Z145&lt;=4000,IF(INDEX(周转筐出入库明细!$C$4:$C$2004,$Z145-2000)=0,"",INDEX(周转筐出入库明细!$C$4:$C$2004,$Z145-2000)),IF($Z145&lt;=5200,IF(INDEX(客户自备加工筐明细!$E$4:$E$1203,$Z145-4000)=0,"",INDEX(客户自备加工筐明细!$E$4:$E$1203,$Z145-4000)),IF($Z145&lt;=5800,IF(INDEX(次果筐明细!$C$4:$C$603,$Z145-5200)=0,"",INDEX(次果筐明细!$C$4:$C$603,$Z145-5200)),"")))))</f>
        <v/>
      </c>
      <c r="D145" s="37" t="str">
        <f>IF($Z145="","",IF($Z145&lt;=2000,"包装物料－"&amp;INDEX(包装物料出入库明细!$H$4:$H$2003,$Z145-0),IF($Z145&lt;=4000,"周转筐－"&amp;INDEX(周转筐出入库明细!$F$4:$F$2004,$Z145-2000),IF($Z145&lt;=5200,"客户自备筐－"&amp;INDEX(客户自备加工筐明细!$J$4:$J$1203,$Z145-4000),IF($Z145&lt;=5800,"次果筐/托盘－"&amp;INDEX(次果筐明细!$F$4:$F$603,$Z145-5200),"")))))</f>
        <v/>
      </c>
      <c r="E145" s="24" t="str">
        <f>IF($Z145="","",IF($Z145&lt;=2000,IF(INDEX(包装物料出入库明细!$C$4:$C$2003,$Z145-0)=0,"",INDEX(包装物料出入库明细!$C$4:$C$2003,$Z145-0)),IF($Z145&lt;=4000,IF(INDEX(周转筐出入库明细!$E$4:$E$2004,$Z145-2000)=0,"",INDEX(周转筐出入库明细!$E$4:$E$2004,$Z145-2000)),IF($Z145&lt;=5200,IF(INDEX(客户自备加工筐明细!$D$4:$D$1203,$Z145-4000)=0,"",INDEX(客户自备加工筐明细!$D$4:$D$1203,$Z145-4000)),IF($Z145&lt;=5800,IF(INDEX(次果筐明细!$E$4:$E$603,$Z145-5200)=0,"",INDEX(次果筐明细!$E$4:$E$603,$Z145-5200)),"")))))</f>
        <v/>
      </c>
      <c r="F145" s="24" t="str">
        <f>IF($Z145="","",IF($Z145&lt;=2000,IF(INDEX(包装物料出入库明细!$E$4:$E$2003,$Z145-0)=0,"",INDEX(包装物料出入库明细!$E$4:$E$2003,$Z145-0)),IF($Z145&lt;=4000,IF(INDEX(周转筐出入库明细!$D$4:$D$2004,$Z145-2000)=0,"",INDEX(周转筐出入库明细!$D$4:$D$2004,$Z145-2000)),IF($Z145&lt;=5200,IF(INDEX(客户自备加工筐明细!$C$4:$C$1203,$Z145-4000)=0,"",INDEX(客户自备加工筐明细!$C$4:$C$1203,$Z145-4000)),IF($Z145&lt;=5800,IF(INDEX(次果筐明细!$D$4:$D$603,$Z145-5200)=0,"",INDEX(次果筐明细!$D$4:$D$603,$Z145-5200)),"")))))</f>
        <v/>
      </c>
      <c r="G145" s="24" t="str">
        <f>IF($Z145="","",IF($Z145&lt;=2000,IF(INDEX(包装物料出入库明细!$F$4:$F$2003,$Z145-0)=0,"",INDEX(包装物料出入库明细!$F$4:$F$2003,$Z145-0)),IF($Z145&lt;=4000,"",IF($Z145&lt;=5200,"",IF($Z145&lt;=5800,"","")))))</f>
        <v/>
      </c>
      <c r="H145" s="39" t="str">
        <f>IF($Z145="","",IF($Z145&lt;=2000,IF(INDEX(包装物料出入库明细!$L$4:$L$2003,$Z145-0)=0,"",INDEX(包装物料出入库明细!$L$4:$L$2003,$Z145-0)),IF($Z145&lt;=4000,N(INDEX(周转筐出入库明细!$H$4:$H$2004,$Z145-2000))+N(INDEX(周转筐出入库明细!$I$4:$I$2004,$Z145-2000))+N(INDEX(周转筐出入库明细!$J$4:$J$2004,$Z145-2000))+N(INDEX(周转筐出入库明细!$K$4:$K$2004,$Z145-2000)),IF($Z145&lt;=5200,N(INDEX(客户自备加工筐明细!$F$4:$F$1203,$Z145-4000))+N(INDEX(客户自备加工筐明细!$G$4:$G$1203,$Z145-4000)),IF($Z145&lt;=5800,IF(INDEX(次果筐明细!$G$4:$G$603,$Z145-5200)=0,"",INDEX(次果筐明细!$G$4:$G$603,$Z145-5200)),"")))))</f>
        <v/>
      </c>
      <c r="I145" s="24" t="str">
        <f>IF($Z145="","",IF($Z145&lt;=2000,IF(INDEX(包装物料出入库明细!$G$4:$G$2003,$Z145-0)=0,"",INDEX(包装物料出入库明细!$G$4:$G$2003,$Z145-0)),IF($Z145&lt;=4000,"个",IF($Z145&lt;=5200,"个",IF($Z145&lt;=5800,"个","")))))</f>
        <v/>
      </c>
      <c r="J145" s="30" t="str">
        <f t="shared" si="7"/>
        <v/>
      </c>
      <c r="K145" s="30" t="str">
        <f>IF($Z145="","",IF($Z145&lt;=2000,IF(INDEX(包装物料出入库明细!$N$4:$N$2003,$Z145-0)=0,"",INDEX(包装物料出入库明细!$N$4:$N$2003,$Z145-0)),IF($Z145&lt;=4000,IF(INDEX(周转筐出入库明细!$P$4:$P$2004,$Z145-2000)=0,"",INDEX(周转筐出入库明细!$P$4:$P$2004,$Z145-2000)),IF($Z145&lt;=5200,"",IF($Z145&lt;=5800,N(INDEX(次果筐明细!$L$4:$L$603,$Z145-5200))+N(INDEX(次果筐明细!$J$4:$J$603,$Z145-5200)),"")))))</f>
        <v/>
      </c>
      <c r="L145" s="24" t="str">
        <f>IF($Z145="","",IF($Z145&lt;=2000,IF(INDEX(包装物料出入库明细!$P$4:$P$2003,$Z145-0)=0,"",INDEX(包装物料出入库明细!$P$4:$P$2003,$Z145-0)),IF($Z145&lt;=4000,IF(INDEX(周转筐出入库明细!$Q$4:$Q$2004,$Z145-2000)=0,"",INDEX(周转筐出入库明细!$Q$4:$Q$2004,$Z145-2000)),IF($Z145&lt;=5200,"",IF($Z145&lt;=5800,IF(INDEX(次果筐明细!$M$4:$M$603,$Z145-5200)=0,"",INDEX(次果筐明细!$M$4:$M$603,$Z145-5200)),"")))))</f>
        <v/>
      </c>
      <c r="M145" s="37" t="str">
        <f>IF($Z145="","",IF($Z145&lt;=2000,IF(INDEX(包装物料出入库明细!$R$4:$R$2003,$Z145-0)=0,"",INDEX(包装物料出入库明细!$R$4:$R$2003,$Z145-0)),IF($Z145&lt;=4000,IF(INDEX(周转筐出入库明细!$W$4:$W$2004,$Z145-2000)=0,"",INDEX(周转筐出入库明细!$W$4:$W$2004,$Z145-2000)),IF($Z145&lt;=5200,IF(INDEX(客户自备加工筐明细!$L$4:$L$1203,$Z145-4000)=0,"",INDEX(客户自备加工筐明细!$L$4:$L$1203,$Z145-4000)),IF($Z145&lt;=5800,IF(INDEX(次果筐明细!$P$4:$P$603,$Z145-5200)=0,"",INDEX(次果筐明细!$P$4:$P$603,$Z145-5200)),"")))))</f>
        <v/>
      </c>
      <c r="N145" s="16" t="str">
        <f>IF($Z145="","",IF($Z145&lt;=2000,"",IF($Z145&lt;=4000,IF(INDEX(周转筐出入库明细!$D$4:$D$2004,$Z145-2000)=0,"",INDEX(周转筐出入库明细!$D$4:$D$2004,$Z145-2000)),IF($Z145&lt;=5200,IF(INDEX(客户自备加工筐明细!$C$4:$C$1203,$Z145-4000)=0,"",INDEX(客户自备加工筐明细!$C$4:$C$1203,$Z145-4000)),IF($Z145&lt;=5800,IF(INDEX(次果筐明细!$D$4:$D$603,$Z145-5200)=0,"",INDEX(次果筐明细!$D$4:$D$603,$Z145-5200)),"")))))</f>
        <v/>
      </c>
      <c r="O145" s="40" t="str">
        <f>IF($Z145="","",IF($Z145&lt;=2000,"",IF($Z145&lt;=4000,IF(N(INDEX(周转筐出入库明细!$J$4:$J$2004,$Z145-2000))+N(INDEX(周转筐出入库明细!$K$4:$K$2004,$Z145-2000))=0,"",N(INDEX(周转筐出入库明细!$J$4:$J$2004,$Z145-2000))+N(INDEX(周转筐出入库明细!$K$4:$K$2004,$Z145-2000))),IF($Z145&lt;=5200,IF(N(INDEX(客户自备加工筐明细!$G$4:$G$1203,$Z145-4000))=0,"",N(INDEX(客户自备加工筐明细!$G$4:$G$1203,$Z145-4000))),IF($Z145&lt;=5800,IF(ISNUMBER(SEARCH("退",INDEX(次果筐明细!$F$4:$F$603,$Z145-5200)&amp;"")),"",IF(N(INDEX(次果筐明细!$G$4:$G$603,$Z145-5200))=0,"",N(INDEX(次果筐明细!$G$4:$G$603,$Z145-5200)))),"")))))</f>
        <v/>
      </c>
      <c r="P145" s="40" t="str">
        <f>IF($Z145="","",IF($Z145&lt;=2000,"",IF($Z145&lt;=4000,IF(N(INDEX(周转筐出入库明细!$I$4:$I$2004,$Z145-2000))=0,"",N(INDEX(周转筐出入库明细!$I$4:$I$2004,$Z145-2000))),IF($Z145&lt;=5200,"",IF($Z145&lt;=5800,IF(ISNUMBER(SEARCH("退",INDEX(次果筐明细!$F$4:$F$603,$Z145-5200)&amp;"")),IF(N(INDEX(次果筐明细!$G$4:$G$603,$Z145-5200))=0,"",N(INDEX(次果筐明细!$G$4:$G$603,$Z145-5200))),""),"")))))</f>
        <v/>
      </c>
      <c r="Q145" s="40" t="str">
        <f>IF($Z145="","",IF($Z145&lt;=2000,"",IF($Z145&lt;=4000,IF(N(INDEX(周转筐出入库明细!$H$4:$H$2004,$Z145-2000))=0,"",N(INDEX(周转筐出入库明细!$H$4:$H$2004,$Z145-2000))),IF($Z145&lt;=5200,IF(N(INDEX(客户自备加工筐明细!$F$4:$F$1203,$Z145-4000))=0,"",N(INDEX(客户自备加工筐明细!$F$4:$F$1203,$Z145-4000))),IF($Z145&lt;=5800,"","")))))</f>
        <v/>
      </c>
      <c r="R145" s="16" t="str">
        <f>IF($Z145="","",IF($Z145&lt;=2000,IF(INDEX(包装物料出入库明细!$O$4:$O$2003,$Z145-0)=0,"",INDEX(包装物料出入库明细!$O$4:$O$2003,$Z145-0)),IF($Z145&lt;=4000,IF(INDEX(周转筐出入库明细!$M$4:$M$2004,$Z145-2000)=0,"",INDEX(周转筐出入库明细!$M$4:$M$2004,$Z145-2000)),IF($Z145&lt;=5200,IF(INDEX(客户自备加工筐明细!$H$4:$H$1203,$Z145-4000)=0,"",INDEX(客户自备加工筐明细!$H$4:$H$1203,$Z145-4000)),IF($Z145&lt;=5800,IF(INDEX(次果筐明细!$H$4:$H$603,$Z145-5200)=0,"",INDEX(次果筐明细!$H$4:$H$603,$Z145-5200)),"")))))</f>
        <v/>
      </c>
      <c r="S145" s="22" t="str">
        <f t="shared" si="8"/>
        <v/>
      </c>
      <c r="Z145" s="10" t="str">
        <f>IFERROR(MATCH(ROW()-3,_自动清单!$CQ$4:$CQ$5803,0),"")</f>
        <v/>
      </c>
    </row>
    <row r="146" spans="1:26">
      <c r="A146" s="24" t="str">
        <f t="shared" si="6"/>
        <v/>
      </c>
      <c r="B146" s="38" t="str">
        <f>IF($Z146="","",IF($Z146&lt;=2000,IF(INDEX(包装物料出入库明细!$B$4:$B$2003,$Z146-0)=0,"",INDEX(包装物料出入库明细!$B$4:$B$2003,$Z146-0)),IF($Z146&lt;=4000,IF(INDEX(周转筐出入库明细!$B$4:$B$2004,$Z146-2000)=0,"",INDEX(周转筐出入库明细!$B$4:$B$2004,$Z146-2000)),IF($Z146&lt;=5200,IF(INDEX(客户自备加工筐明细!$B$4:$B$1203,$Z146-4000)=0,"",INDEX(客户自备加工筐明细!$B$4:$B$1203,$Z146-4000)),IF($Z146&lt;=5800,IF(INDEX(次果筐明细!$B$4:$B$603,$Z146-5200)=0,"",INDEX(次果筐明细!$B$4:$B$603,$Z146-5200)),"")))))</f>
        <v/>
      </c>
      <c r="C146" s="37" t="str">
        <f>IF($Z146="","",IF($Z146&lt;=2000,IF(INDEX(包装物料出入库明细!$D$4:$D$2003,$Z146-0)=0,"",INDEX(包装物料出入库明细!$D$4:$D$2003,$Z146-0)),IF($Z146&lt;=4000,IF(INDEX(周转筐出入库明细!$C$4:$C$2004,$Z146-2000)=0,"",INDEX(周转筐出入库明细!$C$4:$C$2004,$Z146-2000)),IF($Z146&lt;=5200,IF(INDEX(客户自备加工筐明细!$E$4:$E$1203,$Z146-4000)=0,"",INDEX(客户自备加工筐明细!$E$4:$E$1203,$Z146-4000)),IF($Z146&lt;=5800,IF(INDEX(次果筐明细!$C$4:$C$603,$Z146-5200)=0,"",INDEX(次果筐明细!$C$4:$C$603,$Z146-5200)),"")))))</f>
        <v/>
      </c>
      <c r="D146" s="37" t="str">
        <f>IF($Z146="","",IF($Z146&lt;=2000,"包装物料－"&amp;INDEX(包装物料出入库明细!$H$4:$H$2003,$Z146-0),IF($Z146&lt;=4000,"周转筐－"&amp;INDEX(周转筐出入库明细!$F$4:$F$2004,$Z146-2000),IF($Z146&lt;=5200,"客户自备筐－"&amp;INDEX(客户自备加工筐明细!$J$4:$J$1203,$Z146-4000),IF($Z146&lt;=5800,"次果筐/托盘－"&amp;INDEX(次果筐明细!$F$4:$F$603,$Z146-5200),"")))))</f>
        <v/>
      </c>
      <c r="E146" s="24" t="str">
        <f>IF($Z146="","",IF($Z146&lt;=2000,IF(INDEX(包装物料出入库明细!$C$4:$C$2003,$Z146-0)=0,"",INDEX(包装物料出入库明细!$C$4:$C$2003,$Z146-0)),IF($Z146&lt;=4000,IF(INDEX(周转筐出入库明细!$E$4:$E$2004,$Z146-2000)=0,"",INDEX(周转筐出入库明细!$E$4:$E$2004,$Z146-2000)),IF($Z146&lt;=5200,IF(INDEX(客户自备加工筐明细!$D$4:$D$1203,$Z146-4000)=0,"",INDEX(客户自备加工筐明细!$D$4:$D$1203,$Z146-4000)),IF($Z146&lt;=5800,IF(INDEX(次果筐明细!$E$4:$E$603,$Z146-5200)=0,"",INDEX(次果筐明细!$E$4:$E$603,$Z146-5200)),"")))))</f>
        <v/>
      </c>
      <c r="F146" s="24" t="str">
        <f>IF($Z146="","",IF($Z146&lt;=2000,IF(INDEX(包装物料出入库明细!$E$4:$E$2003,$Z146-0)=0,"",INDEX(包装物料出入库明细!$E$4:$E$2003,$Z146-0)),IF($Z146&lt;=4000,IF(INDEX(周转筐出入库明细!$D$4:$D$2004,$Z146-2000)=0,"",INDEX(周转筐出入库明细!$D$4:$D$2004,$Z146-2000)),IF($Z146&lt;=5200,IF(INDEX(客户自备加工筐明细!$C$4:$C$1203,$Z146-4000)=0,"",INDEX(客户自备加工筐明细!$C$4:$C$1203,$Z146-4000)),IF($Z146&lt;=5800,IF(INDEX(次果筐明细!$D$4:$D$603,$Z146-5200)=0,"",INDEX(次果筐明细!$D$4:$D$603,$Z146-5200)),"")))))</f>
        <v/>
      </c>
      <c r="G146" s="24" t="str">
        <f>IF($Z146="","",IF($Z146&lt;=2000,IF(INDEX(包装物料出入库明细!$F$4:$F$2003,$Z146-0)=0,"",INDEX(包装物料出入库明细!$F$4:$F$2003,$Z146-0)),IF($Z146&lt;=4000,"",IF($Z146&lt;=5200,"",IF($Z146&lt;=5800,"","")))))</f>
        <v/>
      </c>
      <c r="H146" s="39" t="str">
        <f>IF($Z146="","",IF($Z146&lt;=2000,IF(INDEX(包装物料出入库明细!$L$4:$L$2003,$Z146-0)=0,"",INDEX(包装物料出入库明细!$L$4:$L$2003,$Z146-0)),IF($Z146&lt;=4000,N(INDEX(周转筐出入库明细!$H$4:$H$2004,$Z146-2000))+N(INDEX(周转筐出入库明细!$I$4:$I$2004,$Z146-2000))+N(INDEX(周转筐出入库明细!$J$4:$J$2004,$Z146-2000))+N(INDEX(周转筐出入库明细!$K$4:$K$2004,$Z146-2000)),IF($Z146&lt;=5200,N(INDEX(客户自备加工筐明细!$F$4:$F$1203,$Z146-4000))+N(INDEX(客户自备加工筐明细!$G$4:$G$1203,$Z146-4000)),IF($Z146&lt;=5800,IF(INDEX(次果筐明细!$G$4:$G$603,$Z146-5200)=0,"",INDEX(次果筐明细!$G$4:$G$603,$Z146-5200)),"")))))</f>
        <v/>
      </c>
      <c r="I146" s="24" t="str">
        <f>IF($Z146="","",IF($Z146&lt;=2000,IF(INDEX(包装物料出入库明细!$G$4:$G$2003,$Z146-0)=0,"",INDEX(包装物料出入库明细!$G$4:$G$2003,$Z146-0)),IF($Z146&lt;=4000,"个",IF($Z146&lt;=5200,"个",IF($Z146&lt;=5800,"个","")))))</f>
        <v/>
      </c>
      <c r="J146" s="30" t="str">
        <f t="shared" si="7"/>
        <v/>
      </c>
      <c r="K146" s="30" t="str">
        <f>IF($Z146="","",IF($Z146&lt;=2000,IF(INDEX(包装物料出入库明细!$N$4:$N$2003,$Z146-0)=0,"",INDEX(包装物料出入库明细!$N$4:$N$2003,$Z146-0)),IF($Z146&lt;=4000,IF(INDEX(周转筐出入库明细!$P$4:$P$2004,$Z146-2000)=0,"",INDEX(周转筐出入库明细!$P$4:$P$2004,$Z146-2000)),IF($Z146&lt;=5200,"",IF($Z146&lt;=5800,N(INDEX(次果筐明细!$L$4:$L$603,$Z146-5200))+N(INDEX(次果筐明细!$J$4:$J$603,$Z146-5200)),"")))))</f>
        <v/>
      </c>
      <c r="L146" s="24" t="str">
        <f>IF($Z146="","",IF($Z146&lt;=2000,IF(INDEX(包装物料出入库明细!$P$4:$P$2003,$Z146-0)=0,"",INDEX(包装物料出入库明细!$P$4:$P$2003,$Z146-0)),IF($Z146&lt;=4000,IF(INDEX(周转筐出入库明细!$Q$4:$Q$2004,$Z146-2000)=0,"",INDEX(周转筐出入库明细!$Q$4:$Q$2004,$Z146-2000)),IF($Z146&lt;=5200,"",IF($Z146&lt;=5800,IF(INDEX(次果筐明细!$M$4:$M$603,$Z146-5200)=0,"",INDEX(次果筐明细!$M$4:$M$603,$Z146-5200)),"")))))</f>
        <v/>
      </c>
      <c r="M146" s="37" t="str">
        <f>IF($Z146="","",IF($Z146&lt;=2000,IF(INDEX(包装物料出入库明细!$R$4:$R$2003,$Z146-0)=0,"",INDEX(包装物料出入库明细!$R$4:$R$2003,$Z146-0)),IF($Z146&lt;=4000,IF(INDEX(周转筐出入库明细!$W$4:$W$2004,$Z146-2000)=0,"",INDEX(周转筐出入库明细!$W$4:$W$2004,$Z146-2000)),IF($Z146&lt;=5200,IF(INDEX(客户自备加工筐明细!$L$4:$L$1203,$Z146-4000)=0,"",INDEX(客户自备加工筐明细!$L$4:$L$1203,$Z146-4000)),IF($Z146&lt;=5800,IF(INDEX(次果筐明细!$P$4:$P$603,$Z146-5200)=0,"",INDEX(次果筐明细!$P$4:$P$603,$Z146-5200)),"")))))</f>
        <v/>
      </c>
      <c r="N146" s="16" t="str">
        <f>IF($Z146="","",IF($Z146&lt;=2000,"",IF($Z146&lt;=4000,IF(INDEX(周转筐出入库明细!$D$4:$D$2004,$Z146-2000)=0,"",INDEX(周转筐出入库明细!$D$4:$D$2004,$Z146-2000)),IF($Z146&lt;=5200,IF(INDEX(客户自备加工筐明细!$C$4:$C$1203,$Z146-4000)=0,"",INDEX(客户自备加工筐明细!$C$4:$C$1203,$Z146-4000)),IF($Z146&lt;=5800,IF(INDEX(次果筐明细!$D$4:$D$603,$Z146-5200)=0,"",INDEX(次果筐明细!$D$4:$D$603,$Z146-5200)),"")))))</f>
        <v/>
      </c>
      <c r="O146" s="40" t="str">
        <f>IF($Z146="","",IF($Z146&lt;=2000,"",IF($Z146&lt;=4000,IF(N(INDEX(周转筐出入库明细!$J$4:$J$2004,$Z146-2000))+N(INDEX(周转筐出入库明细!$K$4:$K$2004,$Z146-2000))=0,"",N(INDEX(周转筐出入库明细!$J$4:$J$2004,$Z146-2000))+N(INDEX(周转筐出入库明细!$K$4:$K$2004,$Z146-2000))),IF($Z146&lt;=5200,IF(N(INDEX(客户自备加工筐明细!$G$4:$G$1203,$Z146-4000))=0,"",N(INDEX(客户自备加工筐明细!$G$4:$G$1203,$Z146-4000))),IF($Z146&lt;=5800,IF(ISNUMBER(SEARCH("退",INDEX(次果筐明细!$F$4:$F$603,$Z146-5200)&amp;"")),"",IF(N(INDEX(次果筐明细!$G$4:$G$603,$Z146-5200))=0,"",N(INDEX(次果筐明细!$G$4:$G$603,$Z146-5200)))),"")))))</f>
        <v/>
      </c>
      <c r="P146" s="40" t="str">
        <f>IF($Z146="","",IF($Z146&lt;=2000,"",IF($Z146&lt;=4000,IF(N(INDEX(周转筐出入库明细!$I$4:$I$2004,$Z146-2000))=0,"",N(INDEX(周转筐出入库明细!$I$4:$I$2004,$Z146-2000))),IF($Z146&lt;=5200,"",IF($Z146&lt;=5800,IF(ISNUMBER(SEARCH("退",INDEX(次果筐明细!$F$4:$F$603,$Z146-5200)&amp;"")),IF(N(INDEX(次果筐明细!$G$4:$G$603,$Z146-5200))=0,"",N(INDEX(次果筐明细!$G$4:$G$603,$Z146-5200))),""),"")))))</f>
        <v/>
      </c>
      <c r="Q146" s="40" t="str">
        <f>IF($Z146="","",IF($Z146&lt;=2000,"",IF($Z146&lt;=4000,IF(N(INDEX(周转筐出入库明细!$H$4:$H$2004,$Z146-2000))=0,"",N(INDEX(周转筐出入库明细!$H$4:$H$2004,$Z146-2000))),IF($Z146&lt;=5200,IF(N(INDEX(客户自备加工筐明细!$F$4:$F$1203,$Z146-4000))=0,"",N(INDEX(客户自备加工筐明细!$F$4:$F$1203,$Z146-4000))),IF($Z146&lt;=5800,"","")))))</f>
        <v/>
      </c>
      <c r="R146" s="16" t="str">
        <f>IF($Z146="","",IF($Z146&lt;=2000,IF(INDEX(包装物料出入库明细!$O$4:$O$2003,$Z146-0)=0,"",INDEX(包装物料出入库明细!$O$4:$O$2003,$Z146-0)),IF($Z146&lt;=4000,IF(INDEX(周转筐出入库明细!$M$4:$M$2004,$Z146-2000)=0,"",INDEX(周转筐出入库明细!$M$4:$M$2004,$Z146-2000)),IF($Z146&lt;=5200,IF(INDEX(客户自备加工筐明细!$H$4:$H$1203,$Z146-4000)=0,"",INDEX(客户自备加工筐明细!$H$4:$H$1203,$Z146-4000)),IF($Z146&lt;=5800,IF(INDEX(次果筐明细!$H$4:$H$603,$Z146-5200)=0,"",INDEX(次果筐明细!$H$4:$H$603,$Z146-5200)),"")))))</f>
        <v/>
      </c>
      <c r="S146" s="22" t="str">
        <f t="shared" si="8"/>
        <v/>
      </c>
      <c r="Z146" s="10" t="str">
        <f>IFERROR(MATCH(ROW()-3,_自动清单!$CQ$4:$CQ$5803,0),"")</f>
        <v/>
      </c>
    </row>
    <row r="147" spans="1:26">
      <c r="A147" s="24" t="str">
        <f t="shared" si="6"/>
        <v/>
      </c>
      <c r="B147" s="38" t="str">
        <f>IF($Z147="","",IF($Z147&lt;=2000,IF(INDEX(包装物料出入库明细!$B$4:$B$2003,$Z147-0)=0,"",INDEX(包装物料出入库明细!$B$4:$B$2003,$Z147-0)),IF($Z147&lt;=4000,IF(INDEX(周转筐出入库明细!$B$4:$B$2004,$Z147-2000)=0,"",INDEX(周转筐出入库明细!$B$4:$B$2004,$Z147-2000)),IF($Z147&lt;=5200,IF(INDEX(客户自备加工筐明细!$B$4:$B$1203,$Z147-4000)=0,"",INDEX(客户自备加工筐明细!$B$4:$B$1203,$Z147-4000)),IF($Z147&lt;=5800,IF(INDEX(次果筐明细!$B$4:$B$603,$Z147-5200)=0,"",INDEX(次果筐明细!$B$4:$B$603,$Z147-5200)),"")))))</f>
        <v/>
      </c>
      <c r="C147" s="37" t="str">
        <f>IF($Z147="","",IF($Z147&lt;=2000,IF(INDEX(包装物料出入库明细!$D$4:$D$2003,$Z147-0)=0,"",INDEX(包装物料出入库明细!$D$4:$D$2003,$Z147-0)),IF($Z147&lt;=4000,IF(INDEX(周转筐出入库明细!$C$4:$C$2004,$Z147-2000)=0,"",INDEX(周转筐出入库明细!$C$4:$C$2004,$Z147-2000)),IF($Z147&lt;=5200,IF(INDEX(客户自备加工筐明细!$E$4:$E$1203,$Z147-4000)=0,"",INDEX(客户自备加工筐明细!$E$4:$E$1203,$Z147-4000)),IF($Z147&lt;=5800,IF(INDEX(次果筐明细!$C$4:$C$603,$Z147-5200)=0,"",INDEX(次果筐明细!$C$4:$C$603,$Z147-5200)),"")))))</f>
        <v/>
      </c>
      <c r="D147" s="37" t="str">
        <f>IF($Z147="","",IF($Z147&lt;=2000,"包装物料－"&amp;INDEX(包装物料出入库明细!$H$4:$H$2003,$Z147-0),IF($Z147&lt;=4000,"周转筐－"&amp;INDEX(周转筐出入库明细!$F$4:$F$2004,$Z147-2000),IF($Z147&lt;=5200,"客户自备筐－"&amp;INDEX(客户自备加工筐明细!$J$4:$J$1203,$Z147-4000),IF($Z147&lt;=5800,"次果筐/托盘－"&amp;INDEX(次果筐明细!$F$4:$F$603,$Z147-5200),"")))))</f>
        <v/>
      </c>
      <c r="E147" s="24" t="str">
        <f>IF($Z147="","",IF($Z147&lt;=2000,IF(INDEX(包装物料出入库明细!$C$4:$C$2003,$Z147-0)=0,"",INDEX(包装物料出入库明细!$C$4:$C$2003,$Z147-0)),IF($Z147&lt;=4000,IF(INDEX(周转筐出入库明细!$E$4:$E$2004,$Z147-2000)=0,"",INDEX(周转筐出入库明细!$E$4:$E$2004,$Z147-2000)),IF($Z147&lt;=5200,IF(INDEX(客户自备加工筐明细!$D$4:$D$1203,$Z147-4000)=0,"",INDEX(客户自备加工筐明细!$D$4:$D$1203,$Z147-4000)),IF($Z147&lt;=5800,IF(INDEX(次果筐明细!$E$4:$E$603,$Z147-5200)=0,"",INDEX(次果筐明细!$E$4:$E$603,$Z147-5200)),"")))))</f>
        <v/>
      </c>
      <c r="F147" s="24" t="str">
        <f>IF($Z147="","",IF($Z147&lt;=2000,IF(INDEX(包装物料出入库明细!$E$4:$E$2003,$Z147-0)=0,"",INDEX(包装物料出入库明细!$E$4:$E$2003,$Z147-0)),IF($Z147&lt;=4000,IF(INDEX(周转筐出入库明细!$D$4:$D$2004,$Z147-2000)=0,"",INDEX(周转筐出入库明细!$D$4:$D$2004,$Z147-2000)),IF($Z147&lt;=5200,IF(INDEX(客户自备加工筐明细!$C$4:$C$1203,$Z147-4000)=0,"",INDEX(客户自备加工筐明细!$C$4:$C$1203,$Z147-4000)),IF($Z147&lt;=5800,IF(INDEX(次果筐明细!$D$4:$D$603,$Z147-5200)=0,"",INDEX(次果筐明细!$D$4:$D$603,$Z147-5200)),"")))))</f>
        <v/>
      </c>
      <c r="G147" s="24" t="str">
        <f>IF($Z147="","",IF($Z147&lt;=2000,IF(INDEX(包装物料出入库明细!$F$4:$F$2003,$Z147-0)=0,"",INDEX(包装物料出入库明细!$F$4:$F$2003,$Z147-0)),IF($Z147&lt;=4000,"",IF($Z147&lt;=5200,"",IF($Z147&lt;=5800,"","")))))</f>
        <v/>
      </c>
      <c r="H147" s="39" t="str">
        <f>IF($Z147="","",IF($Z147&lt;=2000,IF(INDEX(包装物料出入库明细!$L$4:$L$2003,$Z147-0)=0,"",INDEX(包装物料出入库明细!$L$4:$L$2003,$Z147-0)),IF($Z147&lt;=4000,N(INDEX(周转筐出入库明细!$H$4:$H$2004,$Z147-2000))+N(INDEX(周转筐出入库明细!$I$4:$I$2004,$Z147-2000))+N(INDEX(周转筐出入库明细!$J$4:$J$2004,$Z147-2000))+N(INDEX(周转筐出入库明细!$K$4:$K$2004,$Z147-2000)),IF($Z147&lt;=5200,N(INDEX(客户自备加工筐明细!$F$4:$F$1203,$Z147-4000))+N(INDEX(客户自备加工筐明细!$G$4:$G$1203,$Z147-4000)),IF($Z147&lt;=5800,IF(INDEX(次果筐明细!$G$4:$G$603,$Z147-5200)=0,"",INDEX(次果筐明细!$G$4:$G$603,$Z147-5200)),"")))))</f>
        <v/>
      </c>
      <c r="I147" s="24" t="str">
        <f>IF($Z147="","",IF($Z147&lt;=2000,IF(INDEX(包装物料出入库明细!$G$4:$G$2003,$Z147-0)=0,"",INDEX(包装物料出入库明细!$G$4:$G$2003,$Z147-0)),IF($Z147&lt;=4000,"个",IF($Z147&lt;=5200,"个",IF($Z147&lt;=5800,"个","")))))</f>
        <v/>
      </c>
      <c r="J147" s="30" t="str">
        <f t="shared" si="7"/>
        <v/>
      </c>
      <c r="K147" s="30" t="str">
        <f>IF($Z147="","",IF($Z147&lt;=2000,IF(INDEX(包装物料出入库明细!$N$4:$N$2003,$Z147-0)=0,"",INDEX(包装物料出入库明细!$N$4:$N$2003,$Z147-0)),IF($Z147&lt;=4000,IF(INDEX(周转筐出入库明细!$P$4:$P$2004,$Z147-2000)=0,"",INDEX(周转筐出入库明细!$P$4:$P$2004,$Z147-2000)),IF($Z147&lt;=5200,"",IF($Z147&lt;=5800,N(INDEX(次果筐明细!$L$4:$L$603,$Z147-5200))+N(INDEX(次果筐明细!$J$4:$J$603,$Z147-5200)),"")))))</f>
        <v/>
      </c>
      <c r="L147" s="24" t="str">
        <f>IF($Z147="","",IF($Z147&lt;=2000,IF(INDEX(包装物料出入库明细!$P$4:$P$2003,$Z147-0)=0,"",INDEX(包装物料出入库明细!$P$4:$P$2003,$Z147-0)),IF($Z147&lt;=4000,IF(INDEX(周转筐出入库明细!$Q$4:$Q$2004,$Z147-2000)=0,"",INDEX(周转筐出入库明细!$Q$4:$Q$2004,$Z147-2000)),IF($Z147&lt;=5200,"",IF($Z147&lt;=5800,IF(INDEX(次果筐明细!$M$4:$M$603,$Z147-5200)=0,"",INDEX(次果筐明细!$M$4:$M$603,$Z147-5200)),"")))))</f>
        <v/>
      </c>
      <c r="M147" s="37" t="str">
        <f>IF($Z147="","",IF($Z147&lt;=2000,IF(INDEX(包装物料出入库明细!$R$4:$R$2003,$Z147-0)=0,"",INDEX(包装物料出入库明细!$R$4:$R$2003,$Z147-0)),IF($Z147&lt;=4000,IF(INDEX(周转筐出入库明细!$W$4:$W$2004,$Z147-2000)=0,"",INDEX(周转筐出入库明细!$W$4:$W$2004,$Z147-2000)),IF($Z147&lt;=5200,IF(INDEX(客户自备加工筐明细!$L$4:$L$1203,$Z147-4000)=0,"",INDEX(客户自备加工筐明细!$L$4:$L$1203,$Z147-4000)),IF($Z147&lt;=5800,IF(INDEX(次果筐明细!$P$4:$P$603,$Z147-5200)=0,"",INDEX(次果筐明细!$P$4:$P$603,$Z147-5200)),"")))))</f>
        <v/>
      </c>
      <c r="N147" s="16" t="str">
        <f>IF($Z147="","",IF($Z147&lt;=2000,"",IF($Z147&lt;=4000,IF(INDEX(周转筐出入库明细!$D$4:$D$2004,$Z147-2000)=0,"",INDEX(周转筐出入库明细!$D$4:$D$2004,$Z147-2000)),IF($Z147&lt;=5200,IF(INDEX(客户自备加工筐明细!$C$4:$C$1203,$Z147-4000)=0,"",INDEX(客户自备加工筐明细!$C$4:$C$1203,$Z147-4000)),IF($Z147&lt;=5800,IF(INDEX(次果筐明细!$D$4:$D$603,$Z147-5200)=0,"",INDEX(次果筐明细!$D$4:$D$603,$Z147-5200)),"")))))</f>
        <v/>
      </c>
      <c r="O147" s="40" t="str">
        <f>IF($Z147="","",IF($Z147&lt;=2000,"",IF($Z147&lt;=4000,IF(N(INDEX(周转筐出入库明细!$J$4:$J$2004,$Z147-2000))+N(INDEX(周转筐出入库明细!$K$4:$K$2004,$Z147-2000))=0,"",N(INDEX(周转筐出入库明细!$J$4:$J$2004,$Z147-2000))+N(INDEX(周转筐出入库明细!$K$4:$K$2004,$Z147-2000))),IF($Z147&lt;=5200,IF(N(INDEX(客户自备加工筐明细!$G$4:$G$1203,$Z147-4000))=0,"",N(INDEX(客户自备加工筐明细!$G$4:$G$1203,$Z147-4000))),IF($Z147&lt;=5800,IF(ISNUMBER(SEARCH("退",INDEX(次果筐明细!$F$4:$F$603,$Z147-5200)&amp;"")),"",IF(N(INDEX(次果筐明细!$G$4:$G$603,$Z147-5200))=0,"",N(INDEX(次果筐明细!$G$4:$G$603,$Z147-5200)))),"")))))</f>
        <v/>
      </c>
      <c r="P147" s="40" t="str">
        <f>IF($Z147="","",IF($Z147&lt;=2000,"",IF($Z147&lt;=4000,IF(N(INDEX(周转筐出入库明细!$I$4:$I$2004,$Z147-2000))=0,"",N(INDEX(周转筐出入库明细!$I$4:$I$2004,$Z147-2000))),IF($Z147&lt;=5200,"",IF($Z147&lt;=5800,IF(ISNUMBER(SEARCH("退",INDEX(次果筐明细!$F$4:$F$603,$Z147-5200)&amp;"")),IF(N(INDEX(次果筐明细!$G$4:$G$603,$Z147-5200))=0,"",N(INDEX(次果筐明细!$G$4:$G$603,$Z147-5200))),""),"")))))</f>
        <v/>
      </c>
      <c r="Q147" s="40" t="str">
        <f>IF($Z147="","",IF($Z147&lt;=2000,"",IF($Z147&lt;=4000,IF(N(INDEX(周转筐出入库明细!$H$4:$H$2004,$Z147-2000))=0,"",N(INDEX(周转筐出入库明细!$H$4:$H$2004,$Z147-2000))),IF($Z147&lt;=5200,IF(N(INDEX(客户自备加工筐明细!$F$4:$F$1203,$Z147-4000))=0,"",N(INDEX(客户自备加工筐明细!$F$4:$F$1203,$Z147-4000))),IF($Z147&lt;=5800,"","")))))</f>
        <v/>
      </c>
      <c r="R147" s="16" t="str">
        <f>IF($Z147="","",IF($Z147&lt;=2000,IF(INDEX(包装物料出入库明细!$O$4:$O$2003,$Z147-0)=0,"",INDEX(包装物料出入库明细!$O$4:$O$2003,$Z147-0)),IF($Z147&lt;=4000,IF(INDEX(周转筐出入库明细!$M$4:$M$2004,$Z147-2000)=0,"",INDEX(周转筐出入库明细!$M$4:$M$2004,$Z147-2000)),IF($Z147&lt;=5200,IF(INDEX(客户自备加工筐明细!$H$4:$H$1203,$Z147-4000)=0,"",INDEX(客户自备加工筐明细!$H$4:$H$1203,$Z147-4000)),IF($Z147&lt;=5800,IF(INDEX(次果筐明细!$H$4:$H$603,$Z147-5200)=0,"",INDEX(次果筐明细!$H$4:$H$603,$Z147-5200)),"")))))</f>
        <v/>
      </c>
      <c r="S147" s="22" t="str">
        <f t="shared" si="8"/>
        <v/>
      </c>
      <c r="Z147" s="10" t="str">
        <f>IFERROR(MATCH(ROW()-3,_自动清单!$CQ$4:$CQ$5803,0),"")</f>
        <v/>
      </c>
    </row>
    <row r="148" spans="1:26">
      <c r="A148" s="24" t="str">
        <f t="shared" si="6"/>
        <v/>
      </c>
      <c r="B148" s="38" t="str">
        <f>IF($Z148="","",IF($Z148&lt;=2000,IF(INDEX(包装物料出入库明细!$B$4:$B$2003,$Z148-0)=0,"",INDEX(包装物料出入库明细!$B$4:$B$2003,$Z148-0)),IF($Z148&lt;=4000,IF(INDEX(周转筐出入库明细!$B$4:$B$2004,$Z148-2000)=0,"",INDEX(周转筐出入库明细!$B$4:$B$2004,$Z148-2000)),IF($Z148&lt;=5200,IF(INDEX(客户自备加工筐明细!$B$4:$B$1203,$Z148-4000)=0,"",INDEX(客户自备加工筐明细!$B$4:$B$1203,$Z148-4000)),IF($Z148&lt;=5800,IF(INDEX(次果筐明细!$B$4:$B$603,$Z148-5200)=0,"",INDEX(次果筐明细!$B$4:$B$603,$Z148-5200)),"")))))</f>
        <v/>
      </c>
      <c r="C148" s="37" t="str">
        <f>IF($Z148="","",IF($Z148&lt;=2000,IF(INDEX(包装物料出入库明细!$D$4:$D$2003,$Z148-0)=0,"",INDEX(包装物料出入库明细!$D$4:$D$2003,$Z148-0)),IF($Z148&lt;=4000,IF(INDEX(周转筐出入库明细!$C$4:$C$2004,$Z148-2000)=0,"",INDEX(周转筐出入库明细!$C$4:$C$2004,$Z148-2000)),IF($Z148&lt;=5200,IF(INDEX(客户自备加工筐明细!$E$4:$E$1203,$Z148-4000)=0,"",INDEX(客户自备加工筐明细!$E$4:$E$1203,$Z148-4000)),IF($Z148&lt;=5800,IF(INDEX(次果筐明细!$C$4:$C$603,$Z148-5200)=0,"",INDEX(次果筐明细!$C$4:$C$603,$Z148-5200)),"")))))</f>
        <v/>
      </c>
      <c r="D148" s="37" t="str">
        <f>IF($Z148="","",IF($Z148&lt;=2000,"包装物料－"&amp;INDEX(包装物料出入库明细!$H$4:$H$2003,$Z148-0),IF($Z148&lt;=4000,"周转筐－"&amp;INDEX(周转筐出入库明细!$F$4:$F$2004,$Z148-2000),IF($Z148&lt;=5200,"客户自备筐－"&amp;INDEX(客户自备加工筐明细!$J$4:$J$1203,$Z148-4000),IF($Z148&lt;=5800,"次果筐/托盘－"&amp;INDEX(次果筐明细!$F$4:$F$603,$Z148-5200),"")))))</f>
        <v/>
      </c>
      <c r="E148" s="24" t="str">
        <f>IF($Z148="","",IF($Z148&lt;=2000,IF(INDEX(包装物料出入库明细!$C$4:$C$2003,$Z148-0)=0,"",INDEX(包装物料出入库明细!$C$4:$C$2003,$Z148-0)),IF($Z148&lt;=4000,IF(INDEX(周转筐出入库明细!$E$4:$E$2004,$Z148-2000)=0,"",INDEX(周转筐出入库明细!$E$4:$E$2004,$Z148-2000)),IF($Z148&lt;=5200,IF(INDEX(客户自备加工筐明细!$D$4:$D$1203,$Z148-4000)=0,"",INDEX(客户自备加工筐明细!$D$4:$D$1203,$Z148-4000)),IF($Z148&lt;=5800,IF(INDEX(次果筐明细!$E$4:$E$603,$Z148-5200)=0,"",INDEX(次果筐明细!$E$4:$E$603,$Z148-5200)),"")))))</f>
        <v/>
      </c>
      <c r="F148" s="24" t="str">
        <f>IF($Z148="","",IF($Z148&lt;=2000,IF(INDEX(包装物料出入库明细!$E$4:$E$2003,$Z148-0)=0,"",INDEX(包装物料出入库明细!$E$4:$E$2003,$Z148-0)),IF($Z148&lt;=4000,IF(INDEX(周转筐出入库明细!$D$4:$D$2004,$Z148-2000)=0,"",INDEX(周转筐出入库明细!$D$4:$D$2004,$Z148-2000)),IF($Z148&lt;=5200,IF(INDEX(客户自备加工筐明细!$C$4:$C$1203,$Z148-4000)=0,"",INDEX(客户自备加工筐明细!$C$4:$C$1203,$Z148-4000)),IF($Z148&lt;=5800,IF(INDEX(次果筐明细!$D$4:$D$603,$Z148-5200)=0,"",INDEX(次果筐明细!$D$4:$D$603,$Z148-5200)),"")))))</f>
        <v/>
      </c>
      <c r="G148" s="24" t="str">
        <f>IF($Z148="","",IF($Z148&lt;=2000,IF(INDEX(包装物料出入库明细!$F$4:$F$2003,$Z148-0)=0,"",INDEX(包装物料出入库明细!$F$4:$F$2003,$Z148-0)),IF($Z148&lt;=4000,"",IF($Z148&lt;=5200,"",IF($Z148&lt;=5800,"","")))))</f>
        <v/>
      </c>
      <c r="H148" s="39" t="str">
        <f>IF($Z148="","",IF($Z148&lt;=2000,IF(INDEX(包装物料出入库明细!$L$4:$L$2003,$Z148-0)=0,"",INDEX(包装物料出入库明细!$L$4:$L$2003,$Z148-0)),IF($Z148&lt;=4000,N(INDEX(周转筐出入库明细!$H$4:$H$2004,$Z148-2000))+N(INDEX(周转筐出入库明细!$I$4:$I$2004,$Z148-2000))+N(INDEX(周转筐出入库明细!$J$4:$J$2004,$Z148-2000))+N(INDEX(周转筐出入库明细!$K$4:$K$2004,$Z148-2000)),IF($Z148&lt;=5200,N(INDEX(客户自备加工筐明细!$F$4:$F$1203,$Z148-4000))+N(INDEX(客户自备加工筐明细!$G$4:$G$1203,$Z148-4000)),IF($Z148&lt;=5800,IF(INDEX(次果筐明细!$G$4:$G$603,$Z148-5200)=0,"",INDEX(次果筐明细!$G$4:$G$603,$Z148-5200)),"")))))</f>
        <v/>
      </c>
      <c r="I148" s="24" t="str">
        <f>IF($Z148="","",IF($Z148&lt;=2000,IF(INDEX(包装物料出入库明细!$G$4:$G$2003,$Z148-0)=0,"",INDEX(包装物料出入库明细!$G$4:$G$2003,$Z148-0)),IF($Z148&lt;=4000,"个",IF($Z148&lt;=5200,"个",IF($Z148&lt;=5800,"个","")))))</f>
        <v/>
      </c>
      <c r="J148" s="30" t="str">
        <f t="shared" si="7"/>
        <v/>
      </c>
      <c r="K148" s="30" t="str">
        <f>IF($Z148="","",IF($Z148&lt;=2000,IF(INDEX(包装物料出入库明细!$N$4:$N$2003,$Z148-0)=0,"",INDEX(包装物料出入库明细!$N$4:$N$2003,$Z148-0)),IF($Z148&lt;=4000,IF(INDEX(周转筐出入库明细!$P$4:$P$2004,$Z148-2000)=0,"",INDEX(周转筐出入库明细!$P$4:$P$2004,$Z148-2000)),IF($Z148&lt;=5200,"",IF($Z148&lt;=5800,N(INDEX(次果筐明细!$L$4:$L$603,$Z148-5200))+N(INDEX(次果筐明细!$J$4:$J$603,$Z148-5200)),"")))))</f>
        <v/>
      </c>
      <c r="L148" s="24" t="str">
        <f>IF($Z148="","",IF($Z148&lt;=2000,IF(INDEX(包装物料出入库明细!$P$4:$P$2003,$Z148-0)=0,"",INDEX(包装物料出入库明细!$P$4:$P$2003,$Z148-0)),IF($Z148&lt;=4000,IF(INDEX(周转筐出入库明细!$Q$4:$Q$2004,$Z148-2000)=0,"",INDEX(周转筐出入库明细!$Q$4:$Q$2004,$Z148-2000)),IF($Z148&lt;=5200,"",IF($Z148&lt;=5800,IF(INDEX(次果筐明细!$M$4:$M$603,$Z148-5200)=0,"",INDEX(次果筐明细!$M$4:$M$603,$Z148-5200)),"")))))</f>
        <v/>
      </c>
      <c r="M148" s="37" t="str">
        <f>IF($Z148="","",IF($Z148&lt;=2000,IF(INDEX(包装物料出入库明细!$R$4:$R$2003,$Z148-0)=0,"",INDEX(包装物料出入库明细!$R$4:$R$2003,$Z148-0)),IF($Z148&lt;=4000,IF(INDEX(周转筐出入库明细!$W$4:$W$2004,$Z148-2000)=0,"",INDEX(周转筐出入库明细!$W$4:$W$2004,$Z148-2000)),IF($Z148&lt;=5200,IF(INDEX(客户自备加工筐明细!$L$4:$L$1203,$Z148-4000)=0,"",INDEX(客户自备加工筐明细!$L$4:$L$1203,$Z148-4000)),IF($Z148&lt;=5800,IF(INDEX(次果筐明细!$P$4:$P$603,$Z148-5200)=0,"",INDEX(次果筐明细!$P$4:$P$603,$Z148-5200)),"")))))</f>
        <v/>
      </c>
      <c r="N148" s="16" t="str">
        <f>IF($Z148="","",IF($Z148&lt;=2000,"",IF($Z148&lt;=4000,IF(INDEX(周转筐出入库明细!$D$4:$D$2004,$Z148-2000)=0,"",INDEX(周转筐出入库明细!$D$4:$D$2004,$Z148-2000)),IF($Z148&lt;=5200,IF(INDEX(客户自备加工筐明细!$C$4:$C$1203,$Z148-4000)=0,"",INDEX(客户自备加工筐明细!$C$4:$C$1203,$Z148-4000)),IF($Z148&lt;=5800,IF(INDEX(次果筐明细!$D$4:$D$603,$Z148-5200)=0,"",INDEX(次果筐明细!$D$4:$D$603,$Z148-5200)),"")))))</f>
        <v/>
      </c>
      <c r="O148" s="40" t="str">
        <f>IF($Z148="","",IF($Z148&lt;=2000,"",IF($Z148&lt;=4000,IF(N(INDEX(周转筐出入库明细!$J$4:$J$2004,$Z148-2000))+N(INDEX(周转筐出入库明细!$K$4:$K$2004,$Z148-2000))=0,"",N(INDEX(周转筐出入库明细!$J$4:$J$2004,$Z148-2000))+N(INDEX(周转筐出入库明细!$K$4:$K$2004,$Z148-2000))),IF($Z148&lt;=5200,IF(N(INDEX(客户自备加工筐明细!$G$4:$G$1203,$Z148-4000))=0,"",N(INDEX(客户自备加工筐明细!$G$4:$G$1203,$Z148-4000))),IF($Z148&lt;=5800,IF(ISNUMBER(SEARCH("退",INDEX(次果筐明细!$F$4:$F$603,$Z148-5200)&amp;"")),"",IF(N(INDEX(次果筐明细!$G$4:$G$603,$Z148-5200))=0,"",N(INDEX(次果筐明细!$G$4:$G$603,$Z148-5200)))),"")))))</f>
        <v/>
      </c>
      <c r="P148" s="40" t="str">
        <f>IF($Z148="","",IF($Z148&lt;=2000,"",IF($Z148&lt;=4000,IF(N(INDEX(周转筐出入库明细!$I$4:$I$2004,$Z148-2000))=0,"",N(INDEX(周转筐出入库明细!$I$4:$I$2004,$Z148-2000))),IF($Z148&lt;=5200,"",IF($Z148&lt;=5800,IF(ISNUMBER(SEARCH("退",INDEX(次果筐明细!$F$4:$F$603,$Z148-5200)&amp;"")),IF(N(INDEX(次果筐明细!$G$4:$G$603,$Z148-5200))=0,"",N(INDEX(次果筐明细!$G$4:$G$603,$Z148-5200))),""),"")))))</f>
        <v/>
      </c>
      <c r="Q148" s="40" t="str">
        <f>IF($Z148="","",IF($Z148&lt;=2000,"",IF($Z148&lt;=4000,IF(N(INDEX(周转筐出入库明细!$H$4:$H$2004,$Z148-2000))=0,"",N(INDEX(周转筐出入库明细!$H$4:$H$2004,$Z148-2000))),IF($Z148&lt;=5200,IF(N(INDEX(客户自备加工筐明细!$F$4:$F$1203,$Z148-4000))=0,"",N(INDEX(客户自备加工筐明细!$F$4:$F$1203,$Z148-4000))),IF($Z148&lt;=5800,"","")))))</f>
        <v/>
      </c>
      <c r="R148" s="16" t="str">
        <f>IF($Z148="","",IF($Z148&lt;=2000,IF(INDEX(包装物料出入库明细!$O$4:$O$2003,$Z148-0)=0,"",INDEX(包装物料出入库明细!$O$4:$O$2003,$Z148-0)),IF($Z148&lt;=4000,IF(INDEX(周转筐出入库明细!$M$4:$M$2004,$Z148-2000)=0,"",INDEX(周转筐出入库明细!$M$4:$M$2004,$Z148-2000)),IF($Z148&lt;=5200,IF(INDEX(客户自备加工筐明细!$H$4:$H$1203,$Z148-4000)=0,"",INDEX(客户自备加工筐明细!$H$4:$H$1203,$Z148-4000)),IF($Z148&lt;=5800,IF(INDEX(次果筐明细!$H$4:$H$603,$Z148-5200)=0,"",INDEX(次果筐明细!$H$4:$H$603,$Z148-5200)),"")))))</f>
        <v/>
      </c>
      <c r="S148" s="22" t="str">
        <f t="shared" si="8"/>
        <v/>
      </c>
      <c r="Z148" s="10" t="str">
        <f>IFERROR(MATCH(ROW()-3,_自动清单!$CQ$4:$CQ$5803,0),"")</f>
        <v/>
      </c>
    </row>
    <row r="149" spans="1:26">
      <c r="A149" s="24" t="str">
        <f t="shared" si="6"/>
        <v/>
      </c>
      <c r="B149" s="38" t="str">
        <f>IF($Z149="","",IF($Z149&lt;=2000,IF(INDEX(包装物料出入库明细!$B$4:$B$2003,$Z149-0)=0,"",INDEX(包装物料出入库明细!$B$4:$B$2003,$Z149-0)),IF($Z149&lt;=4000,IF(INDEX(周转筐出入库明细!$B$4:$B$2004,$Z149-2000)=0,"",INDEX(周转筐出入库明细!$B$4:$B$2004,$Z149-2000)),IF($Z149&lt;=5200,IF(INDEX(客户自备加工筐明细!$B$4:$B$1203,$Z149-4000)=0,"",INDEX(客户自备加工筐明细!$B$4:$B$1203,$Z149-4000)),IF($Z149&lt;=5800,IF(INDEX(次果筐明细!$B$4:$B$603,$Z149-5200)=0,"",INDEX(次果筐明细!$B$4:$B$603,$Z149-5200)),"")))))</f>
        <v/>
      </c>
      <c r="C149" s="37" t="str">
        <f>IF($Z149="","",IF($Z149&lt;=2000,IF(INDEX(包装物料出入库明细!$D$4:$D$2003,$Z149-0)=0,"",INDEX(包装物料出入库明细!$D$4:$D$2003,$Z149-0)),IF($Z149&lt;=4000,IF(INDEX(周转筐出入库明细!$C$4:$C$2004,$Z149-2000)=0,"",INDEX(周转筐出入库明细!$C$4:$C$2004,$Z149-2000)),IF($Z149&lt;=5200,IF(INDEX(客户自备加工筐明细!$E$4:$E$1203,$Z149-4000)=0,"",INDEX(客户自备加工筐明细!$E$4:$E$1203,$Z149-4000)),IF($Z149&lt;=5800,IF(INDEX(次果筐明细!$C$4:$C$603,$Z149-5200)=0,"",INDEX(次果筐明细!$C$4:$C$603,$Z149-5200)),"")))))</f>
        <v/>
      </c>
      <c r="D149" s="37" t="str">
        <f>IF($Z149="","",IF($Z149&lt;=2000,"包装物料－"&amp;INDEX(包装物料出入库明细!$H$4:$H$2003,$Z149-0),IF($Z149&lt;=4000,"周转筐－"&amp;INDEX(周转筐出入库明细!$F$4:$F$2004,$Z149-2000),IF($Z149&lt;=5200,"客户自备筐－"&amp;INDEX(客户自备加工筐明细!$J$4:$J$1203,$Z149-4000),IF($Z149&lt;=5800,"次果筐/托盘－"&amp;INDEX(次果筐明细!$F$4:$F$603,$Z149-5200),"")))))</f>
        <v/>
      </c>
      <c r="E149" s="24" t="str">
        <f>IF($Z149="","",IF($Z149&lt;=2000,IF(INDEX(包装物料出入库明细!$C$4:$C$2003,$Z149-0)=0,"",INDEX(包装物料出入库明细!$C$4:$C$2003,$Z149-0)),IF($Z149&lt;=4000,IF(INDEX(周转筐出入库明细!$E$4:$E$2004,$Z149-2000)=0,"",INDEX(周转筐出入库明细!$E$4:$E$2004,$Z149-2000)),IF($Z149&lt;=5200,IF(INDEX(客户自备加工筐明细!$D$4:$D$1203,$Z149-4000)=0,"",INDEX(客户自备加工筐明细!$D$4:$D$1203,$Z149-4000)),IF($Z149&lt;=5800,IF(INDEX(次果筐明细!$E$4:$E$603,$Z149-5200)=0,"",INDEX(次果筐明细!$E$4:$E$603,$Z149-5200)),"")))))</f>
        <v/>
      </c>
      <c r="F149" s="24" t="str">
        <f>IF($Z149="","",IF($Z149&lt;=2000,IF(INDEX(包装物料出入库明细!$E$4:$E$2003,$Z149-0)=0,"",INDEX(包装物料出入库明细!$E$4:$E$2003,$Z149-0)),IF($Z149&lt;=4000,IF(INDEX(周转筐出入库明细!$D$4:$D$2004,$Z149-2000)=0,"",INDEX(周转筐出入库明细!$D$4:$D$2004,$Z149-2000)),IF($Z149&lt;=5200,IF(INDEX(客户自备加工筐明细!$C$4:$C$1203,$Z149-4000)=0,"",INDEX(客户自备加工筐明细!$C$4:$C$1203,$Z149-4000)),IF($Z149&lt;=5800,IF(INDEX(次果筐明细!$D$4:$D$603,$Z149-5200)=0,"",INDEX(次果筐明细!$D$4:$D$603,$Z149-5200)),"")))))</f>
        <v/>
      </c>
      <c r="G149" s="24" t="str">
        <f>IF($Z149="","",IF($Z149&lt;=2000,IF(INDEX(包装物料出入库明细!$F$4:$F$2003,$Z149-0)=0,"",INDEX(包装物料出入库明细!$F$4:$F$2003,$Z149-0)),IF($Z149&lt;=4000,"",IF($Z149&lt;=5200,"",IF($Z149&lt;=5800,"","")))))</f>
        <v/>
      </c>
      <c r="H149" s="39" t="str">
        <f>IF($Z149="","",IF($Z149&lt;=2000,IF(INDEX(包装物料出入库明细!$L$4:$L$2003,$Z149-0)=0,"",INDEX(包装物料出入库明细!$L$4:$L$2003,$Z149-0)),IF($Z149&lt;=4000,N(INDEX(周转筐出入库明细!$H$4:$H$2004,$Z149-2000))+N(INDEX(周转筐出入库明细!$I$4:$I$2004,$Z149-2000))+N(INDEX(周转筐出入库明细!$J$4:$J$2004,$Z149-2000))+N(INDEX(周转筐出入库明细!$K$4:$K$2004,$Z149-2000)),IF($Z149&lt;=5200,N(INDEX(客户自备加工筐明细!$F$4:$F$1203,$Z149-4000))+N(INDEX(客户自备加工筐明细!$G$4:$G$1203,$Z149-4000)),IF($Z149&lt;=5800,IF(INDEX(次果筐明细!$G$4:$G$603,$Z149-5200)=0,"",INDEX(次果筐明细!$G$4:$G$603,$Z149-5200)),"")))))</f>
        <v/>
      </c>
      <c r="I149" s="24" t="str">
        <f>IF($Z149="","",IF($Z149&lt;=2000,IF(INDEX(包装物料出入库明细!$G$4:$G$2003,$Z149-0)=0,"",INDEX(包装物料出入库明细!$G$4:$G$2003,$Z149-0)),IF($Z149&lt;=4000,"个",IF($Z149&lt;=5200,"个",IF($Z149&lt;=5800,"个","")))))</f>
        <v/>
      </c>
      <c r="J149" s="30" t="str">
        <f t="shared" si="7"/>
        <v/>
      </c>
      <c r="K149" s="30" t="str">
        <f>IF($Z149="","",IF($Z149&lt;=2000,IF(INDEX(包装物料出入库明细!$N$4:$N$2003,$Z149-0)=0,"",INDEX(包装物料出入库明细!$N$4:$N$2003,$Z149-0)),IF($Z149&lt;=4000,IF(INDEX(周转筐出入库明细!$P$4:$P$2004,$Z149-2000)=0,"",INDEX(周转筐出入库明细!$P$4:$P$2004,$Z149-2000)),IF($Z149&lt;=5200,"",IF($Z149&lt;=5800,N(INDEX(次果筐明细!$L$4:$L$603,$Z149-5200))+N(INDEX(次果筐明细!$J$4:$J$603,$Z149-5200)),"")))))</f>
        <v/>
      </c>
      <c r="L149" s="24" t="str">
        <f>IF($Z149="","",IF($Z149&lt;=2000,IF(INDEX(包装物料出入库明细!$P$4:$P$2003,$Z149-0)=0,"",INDEX(包装物料出入库明细!$P$4:$P$2003,$Z149-0)),IF($Z149&lt;=4000,IF(INDEX(周转筐出入库明细!$Q$4:$Q$2004,$Z149-2000)=0,"",INDEX(周转筐出入库明细!$Q$4:$Q$2004,$Z149-2000)),IF($Z149&lt;=5200,"",IF($Z149&lt;=5800,IF(INDEX(次果筐明细!$M$4:$M$603,$Z149-5200)=0,"",INDEX(次果筐明细!$M$4:$M$603,$Z149-5200)),"")))))</f>
        <v/>
      </c>
      <c r="M149" s="37" t="str">
        <f>IF($Z149="","",IF($Z149&lt;=2000,IF(INDEX(包装物料出入库明细!$R$4:$R$2003,$Z149-0)=0,"",INDEX(包装物料出入库明细!$R$4:$R$2003,$Z149-0)),IF($Z149&lt;=4000,IF(INDEX(周转筐出入库明细!$W$4:$W$2004,$Z149-2000)=0,"",INDEX(周转筐出入库明细!$W$4:$W$2004,$Z149-2000)),IF($Z149&lt;=5200,IF(INDEX(客户自备加工筐明细!$L$4:$L$1203,$Z149-4000)=0,"",INDEX(客户自备加工筐明细!$L$4:$L$1203,$Z149-4000)),IF($Z149&lt;=5800,IF(INDEX(次果筐明细!$P$4:$P$603,$Z149-5200)=0,"",INDEX(次果筐明细!$P$4:$P$603,$Z149-5200)),"")))))</f>
        <v/>
      </c>
      <c r="N149" s="16" t="str">
        <f>IF($Z149="","",IF($Z149&lt;=2000,"",IF($Z149&lt;=4000,IF(INDEX(周转筐出入库明细!$D$4:$D$2004,$Z149-2000)=0,"",INDEX(周转筐出入库明细!$D$4:$D$2004,$Z149-2000)),IF($Z149&lt;=5200,IF(INDEX(客户自备加工筐明细!$C$4:$C$1203,$Z149-4000)=0,"",INDEX(客户自备加工筐明细!$C$4:$C$1203,$Z149-4000)),IF($Z149&lt;=5800,IF(INDEX(次果筐明细!$D$4:$D$603,$Z149-5200)=0,"",INDEX(次果筐明细!$D$4:$D$603,$Z149-5200)),"")))))</f>
        <v/>
      </c>
      <c r="O149" s="40" t="str">
        <f>IF($Z149="","",IF($Z149&lt;=2000,"",IF($Z149&lt;=4000,IF(N(INDEX(周转筐出入库明细!$J$4:$J$2004,$Z149-2000))+N(INDEX(周转筐出入库明细!$K$4:$K$2004,$Z149-2000))=0,"",N(INDEX(周转筐出入库明细!$J$4:$J$2004,$Z149-2000))+N(INDEX(周转筐出入库明细!$K$4:$K$2004,$Z149-2000))),IF($Z149&lt;=5200,IF(N(INDEX(客户自备加工筐明细!$G$4:$G$1203,$Z149-4000))=0,"",N(INDEX(客户自备加工筐明细!$G$4:$G$1203,$Z149-4000))),IF($Z149&lt;=5800,IF(ISNUMBER(SEARCH("退",INDEX(次果筐明细!$F$4:$F$603,$Z149-5200)&amp;"")),"",IF(N(INDEX(次果筐明细!$G$4:$G$603,$Z149-5200))=0,"",N(INDEX(次果筐明细!$G$4:$G$603,$Z149-5200)))),"")))))</f>
        <v/>
      </c>
      <c r="P149" s="40" t="str">
        <f>IF($Z149="","",IF($Z149&lt;=2000,"",IF($Z149&lt;=4000,IF(N(INDEX(周转筐出入库明细!$I$4:$I$2004,$Z149-2000))=0,"",N(INDEX(周转筐出入库明细!$I$4:$I$2004,$Z149-2000))),IF($Z149&lt;=5200,"",IF($Z149&lt;=5800,IF(ISNUMBER(SEARCH("退",INDEX(次果筐明细!$F$4:$F$603,$Z149-5200)&amp;"")),IF(N(INDEX(次果筐明细!$G$4:$G$603,$Z149-5200))=0,"",N(INDEX(次果筐明细!$G$4:$G$603,$Z149-5200))),""),"")))))</f>
        <v/>
      </c>
      <c r="Q149" s="40" t="str">
        <f>IF($Z149="","",IF($Z149&lt;=2000,"",IF($Z149&lt;=4000,IF(N(INDEX(周转筐出入库明细!$H$4:$H$2004,$Z149-2000))=0,"",N(INDEX(周转筐出入库明细!$H$4:$H$2004,$Z149-2000))),IF($Z149&lt;=5200,IF(N(INDEX(客户自备加工筐明细!$F$4:$F$1203,$Z149-4000))=0,"",N(INDEX(客户自备加工筐明细!$F$4:$F$1203,$Z149-4000))),IF($Z149&lt;=5800,"","")))))</f>
        <v/>
      </c>
      <c r="R149" s="16" t="str">
        <f>IF($Z149="","",IF($Z149&lt;=2000,IF(INDEX(包装物料出入库明细!$O$4:$O$2003,$Z149-0)=0,"",INDEX(包装物料出入库明细!$O$4:$O$2003,$Z149-0)),IF($Z149&lt;=4000,IF(INDEX(周转筐出入库明细!$M$4:$M$2004,$Z149-2000)=0,"",INDEX(周转筐出入库明细!$M$4:$M$2004,$Z149-2000)),IF($Z149&lt;=5200,IF(INDEX(客户自备加工筐明细!$H$4:$H$1203,$Z149-4000)=0,"",INDEX(客户自备加工筐明细!$H$4:$H$1203,$Z149-4000)),IF($Z149&lt;=5800,IF(INDEX(次果筐明细!$H$4:$H$603,$Z149-5200)=0,"",INDEX(次果筐明细!$H$4:$H$603,$Z149-5200)),"")))))</f>
        <v/>
      </c>
      <c r="S149" s="22" t="str">
        <f t="shared" si="8"/>
        <v/>
      </c>
      <c r="Z149" s="10" t="str">
        <f>IFERROR(MATCH(ROW()-3,_自动清单!$CQ$4:$CQ$5803,0),"")</f>
        <v/>
      </c>
    </row>
    <row r="150" spans="1:26">
      <c r="A150" s="24" t="str">
        <f t="shared" si="6"/>
        <v/>
      </c>
      <c r="B150" s="38" t="str">
        <f>IF($Z150="","",IF($Z150&lt;=2000,IF(INDEX(包装物料出入库明细!$B$4:$B$2003,$Z150-0)=0,"",INDEX(包装物料出入库明细!$B$4:$B$2003,$Z150-0)),IF($Z150&lt;=4000,IF(INDEX(周转筐出入库明细!$B$4:$B$2004,$Z150-2000)=0,"",INDEX(周转筐出入库明细!$B$4:$B$2004,$Z150-2000)),IF($Z150&lt;=5200,IF(INDEX(客户自备加工筐明细!$B$4:$B$1203,$Z150-4000)=0,"",INDEX(客户自备加工筐明细!$B$4:$B$1203,$Z150-4000)),IF($Z150&lt;=5800,IF(INDEX(次果筐明细!$B$4:$B$603,$Z150-5200)=0,"",INDEX(次果筐明细!$B$4:$B$603,$Z150-5200)),"")))))</f>
        <v/>
      </c>
      <c r="C150" s="37" t="str">
        <f>IF($Z150="","",IF($Z150&lt;=2000,IF(INDEX(包装物料出入库明细!$D$4:$D$2003,$Z150-0)=0,"",INDEX(包装物料出入库明细!$D$4:$D$2003,$Z150-0)),IF($Z150&lt;=4000,IF(INDEX(周转筐出入库明细!$C$4:$C$2004,$Z150-2000)=0,"",INDEX(周转筐出入库明细!$C$4:$C$2004,$Z150-2000)),IF($Z150&lt;=5200,IF(INDEX(客户自备加工筐明细!$E$4:$E$1203,$Z150-4000)=0,"",INDEX(客户自备加工筐明细!$E$4:$E$1203,$Z150-4000)),IF($Z150&lt;=5800,IF(INDEX(次果筐明细!$C$4:$C$603,$Z150-5200)=0,"",INDEX(次果筐明细!$C$4:$C$603,$Z150-5200)),"")))))</f>
        <v/>
      </c>
      <c r="D150" s="37" t="str">
        <f>IF($Z150="","",IF($Z150&lt;=2000,"包装物料－"&amp;INDEX(包装物料出入库明细!$H$4:$H$2003,$Z150-0),IF($Z150&lt;=4000,"周转筐－"&amp;INDEX(周转筐出入库明细!$F$4:$F$2004,$Z150-2000),IF($Z150&lt;=5200,"客户自备筐－"&amp;INDEX(客户自备加工筐明细!$J$4:$J$1203,$Z150-4000),IF($Z150&lt;=5800,"次果筐/托盘－"&amp;INDEX(次果筐明细!$F$4:$F$603,$Z150-5200),"")))))</f>
        <v/>
      </c>
      <c r="E150" s="24" t="str">
        <f>IF($Z150="","",IF($Z150&lt;=2000,IF(INDEX(包装物料出入库明细!$C$4:$C$2003,$Z150-0)=0,"",INDEX(包装物料出入库明细!$C$4:$C$2003,$Z150-0)),IF($Z150&lt;=4000,IF(INDEX(周转筐出入库明细!$E$4:$E$2004,$Z150-2000)=0,"",INDEX(周转筐出入库明细!$E$4:$E$2004,$Z150-2000)),IF($Z150&lt;=5200,IF(INDEX(客户自备加工筐明细!$D$4:$D$1203,$Z150-4000)=0,"",INDEX(客户自备加工筐明细!$D$4:$D$1203,$Z150-4000)),IF($Z150&lt;=5800,IF(INDEX(次果筐明细!$E$4:$E$603,$Z150-5200)=0,"",INDEX(次果筐明细!$E$4:$E$603,$Z150-5200)),"")))))</f>
        <v/>
      </c>
      <c r="F150" s="24" t="str">
        <f>IF($Z150="","",IF($Z150&lt;=2000,IF(INDEX(包装物料出入库明细!$E$4:$E$2003,$Z150-0)=0,"",INDEX(包装物料出入库明细!$E$4:$E$2003,$Z150-0)),IF($Z150&lt;=4000,IF(INDEX(周转筐出入库明细!$D$4:$D$2004,$Z150-2000)=0,"",INDEX(周转筐出入库明细!$D$4:$D$2004,$Z150-2000)),IF($Z150&lt;=5200,IF(INDEX(客户自备加工筐明细!$C$4:$C$1203,$Z150-4000)=0,"",INDEX(客户自备加工筐明细!$C$4:$C$1203,$Z150-4000)),IF($Z150&lt;=5800,IF(INDEX(次果筐明细!$D$4:$D$603,$Z150-5200)=0,"",INDEX(次果筐明细!$D$4:$D$603,$Z150-5200)),"")))))</f>
        <v/>
      </c>
      <c r="G150" s="24" t="str">
        <f>IF($Z150="","",IF($Z150&lt;=2000,IF(INDEX(包装物料出入库明细!$F$4:$F$2003,$Z150-0)=0,"",INDEX(包装物料出入库明细!$F$4:$F$2003,$Z150-0)),IF($Z150&lt;=4000,"",IF($Z150&lt;=5200,"",IF($Z150&lt;=5800,"","")))))</f>
        <v/>
      </c>
      <c r="H150" s="39" t="str">
        <f>IF($Z150="","",IF($Z150&lt;=2000,IF(INDEX(包装物料出入库明细!$L$4:$L$2003,$Z150-0)=0,"",INDEX(包装物料出入库明细!$L$4:$L$2003,$Z150-0)),IF($Z150&lt;=4000,N(INDEX(周转筐出入库明细!$H$4:$H$2004,$Z150-2000))+N(INDEX(周转筐出入库明细!$I$4:$I$2004,$Z150-2000))+N(INDEX(周转筐出入库明细!$J$4:$J$2004,$Z150-2000))+N(INDEX(周转筐出入库明细!$K$4:$K$2004,$Z150-2000)),IF($Z150&lt;=5200,N(INDEX(客户自备加工筐明细!$F$4:$F$1203,$Z150-4000))+N(INDEX(客户自备加工筐明细!$G$4:$G$1203,$Z150-4000)),IF($Z150&lt;=5800,IF(INDEX(次果筐明细!$G$4:$G$603,$Z150-5200)=0,"",INDEX(次果筐明细!$G$4:$G$603,$Z150-5200)),"")))))</f>
        <v/>
      </c>
      <c r="I150" s="24" t="str">
        <f>IF($Z150="","",IF($Z150&lt;=2000,IF(INDEX(包装物料出入库明细!$G$4:$G$2003,$Z150-0)=0,"",INDEX(包装物料出入库明细!$G$4:$G$2003,$Z150-0)),IF($Z150&lt;=4000,"个",IF($Z150&lt;=5200,"个",IF($Z150&lt;=5800,"个","")))))</f>
        <v/>
      </c>
      <c r="J150" s="30" t="str">
        <f t="shared" si="7"/>
        <v/>
      </c>
      <c r="K150" s="30" t="str">
        <f>IF($Z150="","",IF($Z150&lt;=2000,IF(INDEX(包装物料出入库明细!$N$4:$N$2003,$Z150-0)=0,"",INDEX(包装物料出入库明细!$N$4:$N$2003,$Z150-0)),IF($Z150&lt;=4000,IF(INDEX(周转筐出入库明细!$P$4:$P$2004,$Z150-2000)=0,"",INDEX(周转筐出入库明细!$P$4:$P$2004,$Z150-2000)),IF($Z150&lt;=5200,"",IF($Z150&lt;=5800,N(INDEX(次果筐明细!$L$4:$L$603,$Z150-5200))+N(INDEX(次果筐明细!$J$4:$J$603,$Z150-5200)),"")))))</f>
        <v/>
      </c>
      <c r="L150" s="24" t="str">
        <f>IF($Z150="","",IF($Z150&lt;=2000,IF(INDEX(包装物料出入库明细!$P$4:$P$2003,$Z150-0)=0,"",INDEX(包装物料出入库明细!$P$4:$P$2003,$Z150-0)),IF($Z150&lt;=4000,IF(INDEX(周转筐出入库明细!$Q$4:$Q$2004,$Z150-2000)=0,"",INDEX(周转筐出入库明细!$Q$4:$Q$2004,$Z150-2000)),IF($Z150&lt;=5200,"",IF($Z150&lt;=5800,IF(INDEX(次果筐明细!$M$4:$M$603,$Z150-5200)=0,"",INDEX(次果筐明细!$M$4:$M$603,$Z150-5200)),"")))))</f>
        <v/>
      </c>
      <c r="M150" s="37" t="str">
        <f>IF($Z150="","",IF($Z150&lt;=2000,IF(INDEX(包装物料出入库明细!$R$4:$R$2003,$Z150-0)=0,"",INDEX(包装物料出入库明细!$R$4:$R$2003,$Z150-0)),IF($Z150&lt;=4000,IF(INDEX(周转筐出入库明细!$W$4:$W$2004,$Z150-2000)=0,"",INDEX(周转筐出入库明细!$W$4:$W$2004,$Z150-2000)),IF($Z150&lt;=5200,IF(INDEX(客户自备加工筐明细!$L$4:$L$1203,$Z150-4000)=0,"",INDEX(客户自备加工筐明细!$L$4:$L$1203,$Z150-4000)),IF($Z150&lt;=5800,IF(INDEX(次果筐明细!$P$4:$P$603,$Z150-5200)=0,"",INDEX(次果筐明细!$P$4:$P$603,$Z150-5200)),"")))))</f>
        <v/>
      </c>
      <c r="N150" s="16" t="str">
        <f>IF($Z150="","",IF($Z150&lt;=2000,"",IF($Z150&lt;=4000,IF(INDEX(周转筐出入库明细!$D$4:$D$2004,$Z150-2000)=0,"",INDEX(周转筐出入库明细!$D$4:$D$2004,$Z150-2000)),IF($Z150&lt;=5200,IF(INDEX(客户自备加工筐明细!$C$4:$C$1203,$Z150-4000)=0,"",INDEX(客户自备加工筐明细!$C$4:$C$1203,$Z150-4000)),IF($Z150&lt;=5800,IF(INDEX(次果筐明细!$D$4:$D$603,$Z150-5200)=0,"",INDEX(次果筐明细!$D$4:$D$603,$Z150-5200)),"")))))</f>
        <v/>
      </c>
      <c r="O150" s="40" t="str">
        <f>IF($Z150="","",IF($Z150&lt;=2000,"",IF($Z150&lt;=4000,IF(N(INDEX(周转筐出入库明细!$J$4:$J$2004,$Z150-2000))+N(INDEX(周转筐出入库明细!$K$4:$K$2004,$Z150-2000))=0,"",N(INDEX(周转筐出入库明细!$J$4:$J$2004,$Z150-2000))+N(INDEX(周转筐出入库明细!$K$4:$K$2004,$Z150-2000))),IF($Z150&lt;=5200,IF(N(INDEX(客户自备加工筐明细!$G$4:$G$1203,$Z150-4000))=0,"",N(INDEX(客户自备加工筐明细!$G$4:$G$1203,$Z150-4000))),IF($Z150&lt;=5800,IF(ISNUMBER(SEARCH("退",INDEX(次果筐明细!$F$4:$F$603,$Z150-5200)&amp;"")),"",IF(N(INDEX(次果筐明细!$G$4:$G$603,$Z150-5200))=0,"",N(INDEX(次果筐明细!$G$4:$G$603,$Z150-5200)))),"")))))</f>
        <v/>
      </c>
      <c r="P150" s="40" t="str">
        <f>IF($Z150="","",IF($Z150&lt;=2000,"",IF($Z150&lt;=4000,IF(N(INDEX(周转筐出入库明细!$I$4:$I$2004,$Z150-2000))=0,"",N(INDEX(周转筐出入库明细!$I$4:$I$2004,$Z150-2000))),IF($Z150&lt;=5200,"",IF($Z150&lt;=5800,IF(ISNUMBER(SEARCH("退",INDEX(次果筐明细!$F$4:$F$603,$Z150-5200)&amp;"")),IF(N(INDEX(次果筐明细!$G$4:$G$603,$Z150-5200))=0,"",N(INDEX(次果筐明细!$G$4:$G$603,$Z150-5200))),""),"")))))</f>
        <v/>
      </c>
      <c r="Q150" s="40" t="str">
        <f>IF($Z150="","",IF($Z150&lt;=2000,"",IF($Z150&lt;=4000,IF(N(INDEX(周转筐出入库明细!$H$4:$H$2004,$Z150-2000))=0,"",N(INDEX(周转筐出入库明细!$H$4:$H$2004,$Z150-2000))),IF($Z150&lt;=5200,IF(N(INDEX(客户自备加工筐明细!$F$4:$F$1203,$Z150-4000))=0,"",N(INDEX(客户自备加工筐明细!$F$4:$F$1203,$Z150-4000))),IF($Z150&lt;=5800,"","")))))</f>
        <v/>
      </c>
      <c r="R150" s="16" t="str">
        <f>IF($Z150="","",IF($Z150&lt;=2000,IF(INDEX(包装物料出入库明细!$O$4:$O$2003,$Z150-0)=0,"",INDEX(包装物料出入库明细!$O$4:$O$2003,$Z150-0)),IF($Z150&lt;=4000,IF(INDEX(周转筐出入库明细!$M$4:$M$2004,$Z150-2000)=0,"",INDEX(周转筐出入库明细!$M$4:$M$2004,$Z150-2000)),IF($Z150&lt;=5200,IF(INDEX(客户自备加工筐明细!$H$4:$H$1203,$Z150-4000)=0,"",INDEX(客户自备加工筐明细!$H$4:$H$1203,$Z150-4000)),IF($Z150&lt;=5800,IF(INDEX(次果筐明细!$H$4:$H$603,$Z150-5200)=0,"",INDEX(次果筐明细!$H$4:$H$603,$Z150-5200)),"")))))</f>
        <v/>
      </c>
      <c r="S150" s="22" t="str">
        <f t="shared" si="8"/>
        <v/>
      </c>
      <c r="Z150" s="10" t="str">
        <f>IFERROR(MATCH(ROW()-3,_自动清单!$CQ$4:$CQ$5803,0),"")</f>
        <v/>
      </c>
    </row>
    <row r="151" spans="1:26">
      <c r="A151" s="24" t="str">
        <f t="shared" si="6"/>
        <v/>
      </c>
      <c r="B151" s="38" t="str">
        <f>IF($Z151="","",IF($Z151&lt;=2000,IF(INDEX(包装物料出入库明细!$B$4:$B$2003,$Z151-0)=0,"",INDEX(包装物料出入库明细!$B$4:$B$2003,$Z151-0)),IF($Z151&lt;=4000,IF(INDEX(周转筐出入库明细!$B$4:$B$2004,$Z151-2000)=0,"",INDEX(周转筐出入库明细!$B$4:$B$2004,$Z151-2000)),IF($Z151&lt;=5200,IF(INDEX(客户自备加工筐明细!$B$4:$B$1203,$Z151-4000)=0,"",INDEX(客户自备加工筐明细!$B$4:$B$1203,$Z151-4000)),IF($Z151&lt;=5800,IF(INDEX(次果筐明细!$B$4:$B$603,$Z151-5200)=0,"",INDEX(次果筐明细!$B$4:$B$603,$Z151-5200)),"")))))</f>
        <v/>
      </c>
      <c r="C151" s="37" t="str">
        <f>IF($Z151="","",IF($Z151&lt;=2000,IF(INDEX(包装物料出入库明细!$D$4:$D$2003,$Z151-0)=0,"",INDEX(包装物料出入库明细!$D$4:$D$2003,$Z151-0)),IF($Z151&lt;=4000,IF(INDEX(周转筐出入库明细!$C$4:$C$2004,$Z151-2000)=0,"",INDEX(周转筐出入库明细!$C$4:$C$2004,$Z151-2000)),IF($Z151&lt;=5200,IF(INDEX(客户自备加工筐明细!$E$4:$E$1203,$Z151-4000)=0,"",INDEX(客户自备加工筐明细!$E$4:$E$1203,$Z151-4000)),IF($Z151&lt;=5800,IF(INDEX(次果筐明细!$C$4:$C$603,$Z151-5200)=0,"",INDEX(次果筐明细!$C$4:$C$603,$Z151-5200)),"")))))</f>
        <v/>
      </c>
      <c r="D151" s="37" t="str">
        <f>IF($Z151="","",IF($Z151&lt;=2000,"包装物料－"&amp;INDEX(包装物料出入库明细!$H$4:$H$2003,$Z151-0),IF($Z151&lt;=4000,"周转筐－"&amp;INDEX(周转筐出入库明细!$F$4:$F$2004,$Z151-2000),IF($Z151&lt;=5200,"客户自备筐－"&amp;INDEX(客户自备加工筐明细!$J$4:$J$1203,$Z151-4000),IF($Z151&lt;=5800,"次果筐/托盘－"&amp;INDEX(次果筐明细!$F$4:$F$603,$Z151-5200),"")))))</f>
        <v/>
      </c>
      <c r="E151" s="24" t="str">
        <f>IF($Z151="","",IF($Z151&lt;=2000,IF(INDEX(包装物料出入库明细!$C$4:$C$2003,$Z151-0)=0,"",INDEX(包装物料出入库明细!$C$4:$C$2003,$Z151-0)),IF($Z151&lt;=4000,IF(INDEX(周转筐出入库明细!$E$4:$E$2004,$Z151-2000)=0,"",INDEX(周转筐出入库明细!$E$4:$E$2004,$Z151-2000)),IF($Z151&lt;=5200,IF(INDEX(客户自备加工筐明细!$D$4:$D$1203,$Z151-4000)=0,"",INDEX(客户自备加工筐明细!$D$4:$D$1203,$Z151-4000)),IF($Z151&lt;=5800,IF(INDEX(次果筐明细!$E$4:$E$603,$Z151-5200)=0,"",INDEX(次果筐明细!$E$4:$E$603,$Z151-5200)),"")))))</f>
        <v/>
      </c>
      <c r="F151" s="24" t="str">
        <f>IF($Z151="","",IF($Z151&lt;=2000,IF(INDEX(包装物料出入库明细!$E$4:$E$2003,$Z151-0)=0,"",INDEX(包装物料出入库明细!$E$4:$E$2003,$Z151-0)),IF($Z151&lt;=4000,IF(INDEX(周转筐出入库明细!$D$4:$D$2004,$Z151-2000)=0,"",INDEX(周转筐出入库明细!$D$4:$D$2004,$Z151-2000)),IF($Z151&lt;=5200,IF(INDEX(客户自备加工筐明细!$C$4:$C$1203,$Z151-4000)=0,"",INDEX(客户自备加工筐明细!$C$4:$C$1203,$Z151-4000)),IF($Z151&lt;=5800,IF(INDEX(次果筐明细!$D$4:$D$603,$Z151-5200)=0,"",INDEX(次果筐明细!$D$4:$D$603,$Z151-5200)),"")))))</f>
        <v/>
      </c>
      <c r="G151" s="24" t="str">
        <f>IF($Z151="","",IF($Z151&lt;=2000,IF(INDEX(包装物料出入库明细!$F$4:$F$2003,$Z151-0)=0,"",INDEX(包装物料出入库明细!$F$4:$F$2003,$Z151-0)),IF($Z151&lt;=4000,"",IF($Z151&lt;=5200,"",IF($Z151&lt;=5800,"","")))))</f>
        <v/>
      </c>
      <c r="H151" s="39" t="str">
        <f>IF($Z151="","",IF($Z151&lt;=2000,IF(INDEX(包装物料出入库明细!$L$4:$L$2003,$Z151-0)=0,"",INDEX(包装物料出入库明细!$L$4:$L$2003,$Z151-0)),IF($Z151&lt;=4000,N(INDEX(周转筐出入库明细!$H$4:$H$2004,$Z151-2000))+N(INDEX(周转筐出入库明细!$I$4:$I$2004,$Z151-2000))+N(INDEX(周转筐出入库明细!$J$4:$J$2004,$Z151-2000))+N(INDEX(周转筐出入库明细!$K$4:$K$2004,$Z151-2000)),IF($Z151&lt;=5200,N(INDEX(客户自备加工筐明细!$F$4:$F$1203,$Z151-4000))+N(INDEX(客户自备加工筐明细!$G$4:$G$1203,$Z151-4000)),IF($Z151&lt;=5800,IF(INDEX(次果筐明细!$G$4:$G$603,$Z151-5200)=0,"",INDEX(次果筐明细!$G$4:$G$603,$Z151-5200)),"")))))</f>
        <v/>
      </c>
      <c r="I151" s="24" t="str">
        <f>IF($Z151="","",IF($Z151&lt;=2000,IF(INDEX(包装物料出入库明细!$G$4:$G$2003,$Z151-0)=0,"",INDEX(包装物料出入库明细!$G$4:$G$2003,$Z151-0)),IF($Z151&lt;=4000,"个",IF($Z151&lt;=5200,"个",IF($Z151&lt;=5800,"个","")))))</f>
        <v/>
      </c>
      <c r="J151" s="30" t="str">
        <f t="shared" si="7"/>
        <v/>
      </c>
      <c r="K151" s="30" t="str">
        <f>IF($Z151="","",IF($Z151&lt;=2000,IF(INDEX(包装物料出入库明细!$N$4:$N$2003,$Z151-0)=0,"",INDEX(包装物料出入库明细!$N$4:$N$2003,$Z151-0)),IF($Z151&lt;=4000,IF(INDEX(周转筐出入库明细!$P$4:$P$2004,$Z151-2000)=0,"",INDEX(周转筐出入库明细!$P$4:$P$2004,$Z151-2000)),IF($Z151&lt;=5200,"",IF($Z151&lt;=5800,N(INDEX(次果筐明细!$L$4:$L$603,$Z151-5200))+N(INDEX(次果筐明细!$J$4:$J$603,$Z151-5200)),"")))))</f>
        <v/>
      </c>
      <c r="L151" s="24" t="str">
        <f>IF($Z151="","",IF($Z151&lt;=2000,IF(INDEX(包装物料出入库明细!$P$4:$P$2003,$Z151-0)=0,"",INDEX(包装物料出入库明细!$P$4:$P$2003,$Z151-0)),IF($Z151&lt;=4000,IF(INDEX(周转筐出入库明细!$Q$4:$Q$2004,$Z151-2000)=0,"",INDEX(周转筐出入库明细!$Q$4:$Q$2004,$Z151-2000)),IF($Z151&lt;=5200,"",IF($Z151&lt;=5800,IF(INDEX(次果筐明细!$M$4:$M$603,$Z151-5200)=0,"",INDEX(次果筐明细!$M$4:$M$603,$Z151-5200)),"")))))</f>
        <v/>
      </c>
      <c r="M151" s="37" t="str">
        <f>IF($Z151="","",IF($Z151&lt;=2000,IF(INDEX(包装物料出入库明细!$R$4:$R$2003,$Z151-0)=0,"",INDEX(包装物料出入库明细!$R$4:$R$2003,$Z151-0)),IF($Z151&lt;=4000,IF(INDEX(周转筐出入库明细!$W$4:$W$2004,$Z151-2000)=0,"",INDEX(周转筐出入库明细!$W$4:$W$2004,$Z151-2000)),IF($Z151&lt;=5200,IF(INDEX(客户自备加工筐明细!$L$4:$L$1203,$Z151-4000)=0,"",INDEX(客户自备加工筐明细!$L$4:$L$1203,$Z151-4000)),IF($Z151&lt;=5800,IF(INDEX(次果筐明细!$P$4:$P$603,$Z151-5200)=0,"",INDEX(次果筐明细!$P$4:$P$603,$Z151-5200)),"")))))</f>
        <v/>
      </c>
      <c r="N151" s="16" t="str">
        <f>IF($Z151="","",IF($Z151&lt;=2000,"",IF($Z151&lt;=4000,IF(INDEX(周转筐出入库明细!$D$4:$D$2004,$Z151-2000)=0,"",INDEX(周转筐出入库明细!$D$4:$D$2004,$Z151-2000)),IF($Z151&lt;=5200,IF(INDEX(客户自备加工筐明细!$C$4:$C$1203,$Z151-4000)=0,"",INDEX(客户自备加工筐明细!$C$4:$C$1203,$Z151-4000)),IF($Z151&lt;=5800,IF(INDEX(次果筐明细!$D$4:$D$603,$Z151-5200)=0,"",INDEX(次果筐明细!$D$4:$D$603,$Z151-5200)),"")))))</f>
        <v/>
      </c>
      <c r="O151" s="40" t="str">
        <f>IF($Z151="","",IF($Z151&lt;=2000,"",IF($Z151&lt;=4000,IF(N(INDEX(周转筐出入库明细!$J$4:$J$2004,$Z151-2000))+N(INDEX(周转筐出入库明细!$K$4:$K$2004,$Z151-2000))=0,"",N(INDEX(周转筐出入库明细!$J$4:$J$2004,$Z151-2000))+N(INDEX(周转筐出入库明细!$K$4:$K$2004,$Z151-2000))),IF($Z151&lt;=5200,IF(N(INDEX(客户自备加工筐明细!$G$4:$G$1203,$Z151-4000))=0,"",N(INDEX(客户自备加工筐明细!$G$4:$G$1203,$Z151-4000))),IF($Z151&lt;=5800,IF(ISNUMBER(SEARCH("退",INDEX(次果筐明细!$F$4:$F$603,$Z151-5200)&amp;"")),"",IF(N(INDEX(次果筐明细!$G$4:$G$603,$Z151-5200))=0,"",N(INDEX(次果筐明细!$G$4:$G$603,$Z151-5200)))),"")))))</f>
        <v/>
      </c>
      <c r="P151" s="40" t="str">
        <f>IF($Z151="","",IF($Z151&lt;=2000,"",IF($Z151&lt;=4000,IF(N(INDEX(周转筐出入库明细!$I$4:$I$2004,$Z151-2000))=0,"",N(INDEX(周转筐出入库明细!$I$4:$I$2004,$Z151-2000))),IF($Z151&lt;=5200,"",IF($Z151&lt;=5800,IF(ISNUMBER(SEARCH("退",INDEX(次果筐明细!$F$4:$F$603,$Z151-5200)&amp;"")),IF(N(INDEX(次果筐明细!$G$4:$G$603,$Z151-5200))=0,"",N(INDEX(次果筐明细!$G$4:$G$603,$Z151-5200))),""),"")))))</f>
        <v/>
      </c>
      <c r="Q151" s="40" t="str">
        <f>IF($Z151="","",IF($Z151&lt;=2000,"",IF($Z151&lt;=4000,IF(N(INDEX(周转筐出入库明细!$H$4:$H$2004,$Z151-2000))=0,"",N(INDEX(周转筐出入库明细!$H$4:$H$2004,$Z151-2000))),IF($Z151&lt;=5200,IF(N(INDEX(客户自备加工筐明细!$F$4:$F$1203,$Z151-4000))=0,"",N(INDEX(客户自备加工筐明细!$F$4:$F$1203,$Z151-4000))),IF($Z151&lt;=5800,"","")))))</f>
        <v/>
      </c>
      <c r="R151" s="16" t="str">
        <f>IF($Z151="","",IF($Z151&lt;=2000,IF(INDEX(包装物料出入库明细!$O$4:$O$2003,$Z151-0)=0,"",INDEX(包装物料出入库明细!$O$4:$O$2003,$Z151-0)),IF($Z151&lt;=4000,IF(INDEX(周转筐出入库明细!$M$4:$M$2004,$Z151-2000)=0,"",INDEX(周转筐出入库明细!$M$4:$M$2004,$Z151-2000)),IF($Z151&lt;=5200,IF(INDEX(客户自备加工筐明细!$H$4:$H$1203,$Z151-4000)=0,"",INDEX(客户自备加工筐明细!$H$4:$H$1203,$Z151-4000)),IF($Z151&lt;=5800,IF(INDEX(次果筐明细!$H$4:$H$603,$Z151-5200)=0,"",INDEX(次果筐明细!$H$4:$H$603,$Z151-5200)),"")))))</f>
        <v/>
      </c>
      <c r="S151" s="22" t="str">
        <f t="shared" si="8"/>
        <v/>
      </c>
      <c r="Z151" s="10" t="str">
        <f>IFERROR(MATCH(ROW()-3,_自动清单!$CQ$4:$CQ$5803,0),"")</f>
        <v/>
      </c>
    </row>
    <row r="152" spans="1:26">
      <c r="A152" s="24" t="str">
        <f t="shared" si="6"/>
        <v/>
      </c>
      <c r="B152" s="38" t="str">
        <f>IF($Z152="","",IF($Z152&lt;=2000,IF(INDEX(包装物料出入库明细!$B$4:$B$2003,$Z152-0)=0,"",INDEX(包装物料出入库明细!$B$4:$B$2003,$Z152-0)),IF($Z152&lt;=4000,IF(INDEX(周转筐出入库明细!$B$4:$B$2004,$Z152-2000)=0,"",INDEX(周转筐出入库明细!$B$4:$B$2004,$Z152-2000)),IF($Z152&lt;=5200,IF(INDEX(客户自备加工筐明细!$B$4:$B$1203,$Z152-4000)=0,"",INDEX(客户自备加工筐明细!$B$4:$B$1203,$Z152-4000)),IF($Z152&lt;=5800,IF(INDEX(次果筐明细!$B$4:$B$603,$Z152-5200)=0,"",INDEX(次果筐明细!$B$4:$B$603,$Z152-5200)),"")))))</f>
        <v/>
      </c>
      <c r="C152" s="37" t="str">
        <f>IF($Z152="","",IF($Z152&lt;=2000,IF(INDEX(包装物料出入库明细!$D$4:$D$2003,$Z152-0)=0,"",INDEX(包装物料出入库明细!$D$4:$D$2003,$Z152-0)),IF($Z152&lt;=4000,IF(INDEX(周转筐出入库明细!$C$4:$C$2004,$Z152-2000)=0,"",INDEX(周转筐出入库明细!$C$4:$C$2004,$Z152-2000)),IF($Z152&lt;=5200,IF(INDEX(客户自备加工筐明细!$E$4:$E$1203,$Z152-4000)=0,"",INDEX(客户自备加工筐明细!$E$4:$E$1203,$Z152-4000)),IF($Z152&lt;=5800,IF(INDEX(次果筐明细!$C$4:$C$603,$Z152-5200)=0,"",INDEX(次果筐明细!$C$4:$C$603,$Z152-5200)),"")))))</f>
        <v/>
      </c>
      <c r="D152" s="37" t="str">
        <f>IF($Z152="","",IF($Z152&lt;=2000,"包装物料－"&amp;INDEX(包装物料出入库明细!$H$4:$H$2003,$Z152-0),IF($Z152&lt;=4000,"周转筐－"&amp;INDEX(周转筐出入库明细!$F$4:$F$2004,$Z152-2000),IF($Z152&lt;=5200,"客户自备筐－"&amp;INDEX(客户自备加工筐明细!$J$4:$J$1203,$Z152-4000),IF($Z152&lt;=5800,"次果筐/托盘－"&amp;INDEX(次果筐明细!$F$4:$F$603,$Z152-5200),"")))))</f>
        <v/>
      </c>
      <c r="E152" s="24" t="str">
        <f>IF($Z152="","",IF($Z152&lt;=2000,IF(INDEX(包装物料出入库明细!$C$4:$C$2003,$Z152-0)=0,"",INDEX(包装物料出入库明细!$C$4:$C$2003,$Z152-0)),IF($Z152&lt;=4000,IF(INDEX(周转筐出入库明细!$E$4:$E$2004,$Z152-2000)=0,"",INDEX(周转筐出入库明细!$E$4:$E$2004,$Z152-2000)),IF($Z152&lt;=5200,IF(INDEX(客户自备加工筐明细!$D$4:$D$1203,$Z152-4000)=0,"",INDEX(客户自备加工筐明细!$D$4:$D$1203,$Z152-4000)),IF($Z152&lt;=5800,IF(INDEX(次果筐明细!$E$4:$E$603,$Z152-5200)=0,"",INDEX(次果筐明细!$E$4:$E$603,$Z152-5200)),"")))))</f>
        <v/>
      </c>
      <c r="F152" s="24" t="str">
        <f>IF($Z152="","",IF($Z152&lt;=2000,IF(INDEX(包装物料出入库明细!$E$4:$E$2003,$Z152-0)=0,"",INDEX(包装物料出入库明细!$E$4:$E$2003,$Z152-0)),IF($Z152&lt;=4000,IF(INDEX(周转筐出入库明细!$D$4:$D$2004,$Z152-2000)=0,"",INDEX(周转筐出入库明细!$D$4:$D$2004,$Z152-2000)),IF($Z152&lt;=5200,IF(INDEX(客户自备加工筐明细!$C$4:$C$1203,$Z152-4000)=0,"",INDEX(客户自备加工筐明细!$C$4:$C$1203,$Z152-4000)),IF($Z152&lt;=5800,IF(INDEX(次果筐明细!$D$4:$D$603,$Z152-5200)=0,"",INDEX(次果筐明细!$D$4:$D$603,$Z152-5200)),"")))))</f>
        <v/>
      </c>
      <c r="G152" s="24" t="str">
        <f>IF($Z152="","",IF($Z152&lt;=2000,IF(INDEX(包装物料出入库明细!$F$4:$F$2003,$Z152-0)=0,"",INDEX(包装物料出入库明细!$F$4:$F$2003,$Z152-0)),IF($Z152&lt;=4000,"",IF($Z152&lt;=5200,"",IF($Z152&lt;=5800,"","")))))</f>
        <v/>
      </c>
      <c r="H152" s="39" t="str">
        <f>IF($Z152="","",IF($Z152&lt;=2000,IF(INDEX(包装物料出入库明细!$L$4:$L$2003,$Z152-0)=0,"",INDEX(包装物料出入库明细!$L$4:$L$2003,$Z152-0)),IF($Z152&lt;=4000,N(INDEX(周转筐出入库明细!$H$4:$H$2004,$Z152-2000))+N(INDEX(周转筐出入库明细!$I$4:$I$2004,$Z152-2000))+N(INDEX(周转筐出入库明细!$J$4:$J$2004,$Z152-2000))+N(INDEX(周转筐出入库明细!$K$4:$K$2004,$Z152-2000)),IF($Z152&lt;=5200,N(INDEX(客户自备加工筐明细!$F$4:$F$1203,$Z152-4000))+N(INDEX(客户自备加工筐明细!$G$4:$G$1203,$Z152-4000)),IF($Z152&lt;=5800,IF(INDEX(次果筐明细!$G$4:$G$603,$Z152-5200)=0,"",INDEX(次果筐明细!$G$4:$G$603,$Z152-5200)),"")))))</f>
        <v/>
      </c>
      <c r="I152" s="24" t="str">
        <f>IF($Z152="","",IF($Z152&lt;=2000,IF(INDEX(包装物料出入库明细!$G$4:$G$2003,$Z152-0)=0,"",INDEX(包装物料出入库明细!$G$4:$G$2003,$Z152-0)),IF($Z152&lt;=4000,"个",IF($Z152&lt;=5200,"个",IF($Z152&lt;=5800,"个","")))))</f>
        <v/>
      </c>
      <c r="J152" s="30" t="str">
        <f t="shared" si="7"/>
        <v/>
      </c>
      <c r="K152" s="30" t="str">
        <f>IF($Z152="","",IF($Z152&lt;=2000,IF(INDEX(包装物料出入库明细!$N$4:$N$2003,$Z152-0)=0,"",INDEX(包装物料出入库明细!$N$4:$N$2003,$Z152-0)),IF($Z152&lt;=4000,IF(INDEX(周转筐出入库明细!$P$4:$P$2004,$Z152-2000)=0,"",INDEX(周转筐出入库明细!$P$4:$P$2004,$Z152-2000)),IF($Z152&lt;=5200,"",IF($Z152&lt;=5800,N(INDEX(次果筐明细!$L$4:$L$603,$Z152-5200))+N(INDEX(次果筐明细!$J$4:$J$603,$Z152-5200)),"")))))</f>
        <v/>
      </c>
      <c r="L152" s="24" t="str">
        <f>IF($Z152="","",IF($Z152&lt;=2000,IF(INDEX(包装物料出入库明细!$P$4:$P$2003,$Z152-0)=0,"",INDEX(包装物料出入库明细!$P$4:$P$2003,$Z152-0)),IF($Z152&lt;=4000,IF(INDEX(周转筐出入库明细!$Q$4:$Q$2004,$Z152-2000)=0,"",INDEX(周转筐出入库明细!$Q$4:$Q$2004,$Z152-2000)),IF($Z152&lt;=5200,"",IF($Z152&lt;=5800,IF(INDEX(次果筐明细!$M$4:$M$603,$Z152-5200)=0,"",INDEX(次果筐明细!$M$4:$M$603,$Z152-5200)),"")))))</f>
        <v/>
      </c>
      <c r="M152" s="37" t="str">
        <f>IF($Z152="","",IF($Z152&lt;=2000,IF(INDEX(包装物料出入库明细!$R$4:$R$2003,$Z152-0)=0,"",INDEX(包装物料出入库明细!$R$4:$R$2003,$Z152-0)),IF($Z152&lt;=4000,IF(INDEX(周转筐出入库明细!$W$4:$W$2004,$Z152-2000)=0,"",INDEX(周转筐出入库明细!$W$4:$W$2004,$Z152-2000)),IF($Z152&lt;=5200,IF(INDEX(客户自备加工筐明细!$L$4:$L$1203,$Z152-4000)=0,"",INDEX(客户自备加工筐明细!$L$4:$L$1203,$Z152-4000)),IF($Z152&lt;=5800,IF(INDEX(次果筐明细!$P$4:$P$603,$Z152-5200)=0,"",INDEX(次果筐明细!$P$4:$P$603,$Z152-5200)),"")))))</f>
        <v/>
      </c>
      <c r="N152" s="16" t="str">
        <f>IF($Z152="","",IF($Z152&lt;=2000,"",IF($Z152&lt;=4000,IF(INDEX(周转筐出入库明细!$D$4:$D$2004,$Z152-2000)=0,"",INDEX(周转筐出入库明细!$D$4:$D$2004,$Z152-2000)),IF($Z152&lt;=5200,IF(INDEX(客户自备加工筐明细!$C$4:$C$1203,$Z152-4000)=0,"",INDEX(客户自备加工筐明细!$C$4:$C$1203,$Z152-4000)),IF($Z152&lt;=5800,IF(INDEX(次果筐明细!$D$4:$D$603,$Z152-5200)=0,"",INDEX(次果筐明细!$D$4:$D$603,$Z152-5200)),"")))))</f>
        <v/>
      </c>
      <c r="O152" s="40" t="str">
        <f>IF($Z152="","",IF($Z152&lt;=2000,"",IF($Z152&lt;=4000,IF(N(INDEX(周转筐出入库明细!$J$4:$J$2004,$Z152-2000))+N(INDEX(周转筐出入库明细!$K$4:$K$2004,$Z152-2000))=0,"",N(INDEX(周转筐出入库明细!$J$4:$J$2004,$Z152-2000))+N(INDEX(周转筐出入库明细!$K$4:$K$2004,$Z152-2000))),IF($Z152&lt;=5200,IF(N(INDEX(客户自备加工筐明细!$G$4:$G$1203,$Z152-4000))=0,"",N(INDEX(客户自备加工筐明细!$G$4:$G$1203,$Z152-4000))),IF($Z152&lt;=5800,IF(ISNUMBER(SEARCH("退",INDEX(次果筐明细!$F$4:$F$603,$Z152-5200)&amp;"")),"",IF(N(INDEX(次果筐明细!$G$4:$G$603,$Z152-5200))=0,"",N(INDEX(次果筐明细!$G$4:$G$603,$Z152-5200)))),"")))))</f>
        <v/>
      </c>
      <c r="P152" s="40" t="str">
        <f>IF($Z152="","",IF($Z152&lt;=2000,"",IF($Z152&lt;=4000,IF(N(INDEX(周转筐出入库明细!$I$4:$I$2004,$Z152-2000))=0,"",N(INDEX(周转筐出入库明细!$I$4:$I$2004,$Z152-2000))),IF($Z152&lt;=5200,"",IF($Z152&lt;=5800,IF(ISNUMBER(SEARCH("退",INDEX(次果筐明细!$F$4:$F$603,$Z152-5200)&amp;"")),IF(N(INDEX(次果筐明细!$G$4:$G$603,$Z152-5200))=0,"",N(INDEX(次果筐明细!$G$4:$G$603,$Z152-5200))),""),"")))))</f>
        <v/>
      </c>
      <c r="Q152" s="40" t="str">
        <f>IF($Z152="","",IF($Z152&lt;=2000,"",IF($Z152&lt;=4000,IF(N(INDEX(周转筐出入库明细!$H$4:$H$2004,$Z152-2000))=0,"",N(INDEX(周转筐出入库明细!$H$4:$H$2004,$Z152-2000))),IF($Z152&lt;=5200,IF(N(INDEX(客户自备加工筐明细!$F$4:$F$1203,$Z152-4000))=0,"",N(INDEX(客户自备加工筐明细!$F$4:$F$1203,$Z152-4000))),IF($Z152&lt;=5800,"","")))))</f>
        <v/>
      </c>
      <c r="R152" s="16" t="str">
        <f>IF($Z152="","",IF($Z152&lt;=2000,IF(INDEX(包装物料出入库明细!$O$4:$O$2003,$Z152-0)=0,"",INDEX(包装物料出入库明细!$O$4:$O$2003,$Z152-0)),IF($Z152&lt;=4000,IF(INDEX(周转筐出入库明细!$M$4:$M$2004,$Z152-2000)=0,"",INDEX(周转筐出入库明细!$M$4:$M$2004,$Z152-2000)),IF($Z152&lt;=5200,IF(INDEX(客户自备加工筐明细!$H$4:$H$1203,$Z152-4000)=0,"",INDEX(客户自备加工筐明细!$H$4:$H$1203,$Z152-4000)),IF($Z152&lt;=5800,IF(INDEX(次果筐明细!$H$4:$H$603,$Z152-5200)=0,"",INDEX(次果筐明细!$H$4:$H$603,$Z152-5200)),"")))))</f>
        <v/>
      </c>
      <c r="S152" s="22" t="str">
        <f t="shared" si="8"/>
        <v/>
      </c>
      <c r="Z152" s="10" t="str">
        <f>IFERROR(MATCH(ROW()-3,_自动清单!$CQ$4:$CQ$5803,0),"")</f>
        <v/>
      </c>
    </row>
    <row r="153" spans="1:26">
      <c r="A153" s="24" t="str">
        <f t="shared" si="6"/>
        <v/>
      </c>
      <c r="B153" s="38" t="str">
        <f>IF($Z153="","",IF($Z153&lt;=2000,IF(INDEX(包装物料出入库明细!$B$4:$B$2003,$Z153-0)=0,"",INDEX(包装物料出入库明细!$B$4:$B$2003,$Z153-0)),IF($Z153&lt;=4000,IF(INDEX(周转筐出入库明细!$B$4:$B$2004,$Z153-2000)=0,"",INDEX(周转筐出入库明细!$B$4:$B$2004,$Z153-2000)),IF($Z153&lt;=5200,IF(INDEX(客户自备加工筐明细!$B$4:$B$1203,$Z153-4000)=0,"",INDEX(客户自备加工筐明细!$B$4:$B$1203,$Z153-4000)),IF($Z153&lt;=5800,IF(INDEX(次果筐明细!$B$4:$B$603,$Z153-5200)=0,"",INDEX(次果筐明细!$B$4:$B$603,$Z153-5200)),"")))))</f>
        <v/>
      </c>
      <c r="C153" s="37" t="str">
        <f>IF($Z153="","",IF($Z153&lt;=2000,IF(INDEX(包装物料出入库明细!$D$4:$D$2003,$Z153-0)=0,"",INDEX(包装物料出入库明细!$D$4:$D$2003,$Z153-0)),IF($Z153&lt;=4000,IF(INDEX(周转筐出入库明细!$C$4:$C$2004,$Z153-2000)=0,"",INDEX(周转筐出入库明细!$C$4:$C$2004,$Z153-2000)),IF($Z153&lt;=5200,IF(INDEX(客户自备加工筐明细!$E$4:$E$1203,$Z153-4000)=0,"",INDEX(客户自备加工筐明细!$E$4:$E$1203,$Z153-4000)),IF($Z153&lt;=5800,IF(INDEX(次果筐明细!$C$4:$C$603,$Z153-5200)=0,"",INDEX(次果筐明细!$C$4:$C$603,$Z153-5200)),"")))))</f>
        <v/>
      </c>
      <c r="D153" s="37" t="str">
        <f>IF($Z153="","",IF($Z153&lt;=2000,"包装物料－"&amp;INDEX(包装物料出入库明细!$H$4:$H$2003,$Z153-0),IF($Z153&lt;=4000,"周转筐－"&amp;INDEX(周转筐出入库明细!$F$4:$F$2004,$Z153-2000),IF($Z153&lt;=5200,"客户自备筐－"&amp;INDEX(客户自备加工筐明细!$J$4:$J$1203,$Z153-4000),IF($Z153&lt;=5800,"次果筐/托盘－"&amp;INDEX(次果筐明细!$F$4:$F$603,$Z153-5200),"")))))</f>
        <v/>
      </c>
      <c r="E153" s="24" t="str">
        <f>IF($Z153="","",IF($Z153&lt;=2000,IF(INDEX(包装物料出入库明细!$C$4:$C$2003,$Z153-0)=0,"",INDEX(包装物料出入库明细!$C$4:$C$2003,$Z153-0)),IF($Z153&lt;=4000,IF(INDEX(周转筐出入库明细!$E$4:$E$2004,$Z153-2000)=0,"",INDEX(周转筐出入库明细!$E$4:$E$2004,$Z153-2000)),IF($Z153&lt;=5200,IF(INDEX(客户自备加工筐明细!$D$4:$D$1203,$Z153-4000)=0,"",INDEX(客户自备加工筐明细!$D$4:$D$1203,$Z153-4000)),IF($Z153&lt;=5800,IF(INDEX(次果筐明细!$E$4:$E$603,$Z153-5200)=0,"",INDEX(次果筐明细!$E$4:$E$603,$Z153-5200)),"")))))</f>
        <v/>
      </c>
      <c r="F153" s="24" t="str">
        <f>IF($Z153="","",IF($Z153&lt;=2000,IF(INDEX(包装物料出入库明细!$E$4:$E$2003,$Z153-0)=0,"",INDEX(包装物料出入库明细!$E$4:$E$2003,$Z153-0)),IF($Z153&lt;=4000,IF(INDEX(周转筐出入库明细!$D$4:$D$2004,$Z153-2000)=0,"",INDEX(周转筐出入库明细!$D$4:$D$2004,$Z153-2000)),IF($Z153&lt;=5200,IF(INDEX(客户自备加工筐明细!$C$4:$C$1203,$Z153-4000)=0,"",INDEX(客户自备加工筐明细!$C$4:$C$1203,$Z153-4000)),IF($Z153&lt;=5800,IF(INDEX(次果筐明细!$D$4:$D$603,$Z153-5200)=0,"",INDEX(次果筐明细!$D$4:$D$603,$Z153-5200)),"")))))</f>
        <v/>
      </c>
      <c r="G153" s="24" t="str">
        <f>IF($Z153="","",IF($Z153&lt;=2000,IF(INDEX(包装物料出入库明细!$F$4:$F$2003,$Z153-0)=0,"",INDEX(包装物料出入库明细!$F$4:$F$2003,$Z153-0)),IF($Z153&lt;=4000,"",IF($Z153&lt;=5200,"",IF($Z153&lt;=5800,"","")))))</f>
        <v/>
      </c>
      <c r="H153" s="39" t="str">
        <f>IF($Z153="","",IF($Z153&lt;=2000,IF(INDEX(包装物料出入库明细!$L$4:$L$2003,$Z153-0)=0,"",INDEX(包装物料出入库明细!$L$4:$L$2003,$Z153-0)),IF($Z153&lt;=4000,N(INDEX(周转筐出入库明细!$H$4:$H$2004,$Z153-2000))+N(INDEX(周转筐出入库明细!$I$4:$I$2004,$Z153-2000))+N(INDEX(周转筐出入库明细!$J$4:$J$2004,$Z153-2000))+N(INDEX(周转筐出入库明细!$K$4:$K$2004,$Z153-2000)),IF($Z153&lt;=5200,N(INDEX(客户自备加工筐明细!$F$4:$F$1203,$Z153-4000))+N(INDEX(客户自备加工筐明细!$G$4:$G$1203,$Z153-4000)),IF($Z153&lt;=5800,IF(INDEX(次果筐明细!$G$4:$G$603,$Z153-5200)=0,"",INDEX(次果筐明细!$G$4:$G$603,$Z153-5200)),"")))))</f>
        <v/>
      </c>
      <c r="I153" s="24" t="str">
        <f>IF($Z153="","",IF($Z153&lt;=2000,IF(INDEX(包装物料出入库明细!$G$4:$G$2003,$Z153-0)=0,"",INDEX(包装物料出入库明细!$G$4:$G$2003,$Z153-0)),IF($Z153&lt;=4000,"个",IF($Z153&lt;=5200,"个",IF($Z153&lt;=5800,"个","")))))</f>
        <v/>
      </c>
      <c r="J153" s="30" t="str">
        <f t="shared" si="7"/>
        <v/>
      </c>
      <c r="K153" s="30" t="str">
        <f>IF($Z153="","",IF($Z153&lt;=2000,IF(INDEX(包装物料出入库明细!$N$4:$N$2003,$Z153-0)=0,"",INDEX(包装物料出入库明细!$N$4:$N$2003,$Z153-0)),IF($Z153&lt;=4000,IF(INDEX(周转筐出入库明细!$P$4:$P$2004,$Z153-2000)=0,"",INDEX(周转筐出入库明细!$P$4:$P$2004,$Z153-2000)),IF($Z153&lt;=5200,"",IF($Z153&lt;=5800,N(INDEX(次果筐明细!$L$4:$L$603,$Z153-5200))+N(INDEX(次果筐明细!$J$4:$J$603,$Z153-5200)),"")))))</f>
        <v/>
      </c>
      <c r="L153" s="24" t="str">
        <f>IF($Z153="","",IF($Z153&lt;=2000,IF(INDEX(包装物料出入库明细!$P$4:$P$2003,$Z153-0)=0,"",INDEX(包装物料出入库明细!$P$4:$P$2003,$Z153-0)),IF($Z153&lt;=4000,IF(INDEX(周转筐出入库明细!$Q$4:$Q$2004,$Z153-2000)=0,"",INDEX(周转筐出入库明细!$Q$4:$Q$2004,$Z153-2000)),IF($Z153&lt;=5200,"",IF($Z153&lt;=5800,IF(INDEX(次果筐明细!$M$4:$M$603,$Z153-5200)=0,"",INDEX(次果筐明细!$M$4:$M$603,$Z153-5200)),"")))))</f>
        <v/>
      </c>
      <c r="M153" s="37" t="str">
        <f>IF($Z153="","",IF($Z153&lt;=2000,IF(INDEX(包装物料出入库明细!$R$4:$R$2003,$Z153-0)=0,"",INDEX(包装物料出入库明细!$R$4:$R$2003,$Z153-0)),IF($Z153&lt;=4000,IF(INDEX(周转筐出入库明细!$W$4:$W$2004,$Z153-2000)=0,"",INDEX(周转筐出入库明细!$W$4:$W$2004,$Z153-2000)),IF($Z153&lt;=5200,IF(INDEX(客户自备加工筐明细!$L$4:$L$1203,$Z153-4000)=0,"",INDEX(客户自备加工筐明细!$L$4:$L$1203,$Z153-4000)),IF($Z153&lt;=5800,IF(INDEX(次果筐明细!$P$4:$P$603,$Z153-5200)=0,"",INDEX(次果筐明细!$P$4:$P$603,$Z153-5200)),"")))))</f>
        <v/>
      </c>
      <c r="N153" s="16" t="str">
        <f>IF($Z153="","",IF($Z153&lt;=2000,"",IF($Z153&lt;=4000,IF(INDEX(周转筐出入库明细!$D$4:$D$2004,$Z153-2000)=0,"",INDEX(周转筐出入库明细!$D$4:$D$2004,$Z153-2000)),IF($Z153&lt;=5200,IF(INDEX(客户自备加工筐明细!$C$4:$C$1203,$Z153-4000)=0,"",INDEX(客户自备加工筐明细!$C$4:$C$1203,$Z153-4000)),IF($Z153&lt;=5800,IF(INDEX(次果筐明细!$D$4:$D$603,$Z153-5200)=0,"",INDEX(次果筐明细!$D$4:$D$603,$Z153-5200)),"")))))</f>
        <v/>
      </c>
      <c r="O153" s="40" t="str">
        <f>IF($Z153="","",IF($Z153&lt;=2000,"",IF($Z153&lt;=4000,IF(N(INDEX(周转筐出入库明细!$J$4:$J$2004,$Z153-2000))+N(INDEX(周转筐出入库明细!$K$4:$K$2004,$Z153-2000))=0,"",N(INDEX(周转筐出入库明细!$J$4:$J$2004,$Z153-2000))+N(INDEX(周转筐出入库明细!$K$4:$K$2004,$Z153-2000))),IF($Z153&lt;=5200,IF(N(INDEX(客户自备加工筐明细!$G$4:$G$1203,$Z153-4000))=0,"",N(INDEX(客户自备加工筐明细!$G$4:$G$1203,$Z153-4000))),IF($Z153&lt;=5800,IF(ISNUMBER(SEARCH("退",INDEX(次果筐明细!$F$4:$F$603,$Z153-5200)&amp;"")),"",IF(N(INDEX(次果筐明细!$G$4:$G$603,$Z153-5200))=0,"",N(INDEX(次果筐明细!$G$4:$G$603,$Z153-5200)))),"")))))</f>
        <v/>
      </c>
      <c r="P153" s="40" t="str">
        <f>IF($Z153="","",IF($Z153&lt;=2000,"",IF($Z153&lt;=4000,IF(N(INDEX(周转筐出入库明细!$I$4:$I$2004,$Z153-2000))=0,"",N(INDEX(周转筐出入库明细!$I$4:$I$2004,$Z153-2000))),IF($Z153&lt;=5200,"",IF($Z153&lt;=5800,IF(ISNUMBER(SEARCH("退",INDEX(次果筐明细!$F$4:$F$603,$Z153-5200)&amp;"")),IF(N(INDEX(次果筐明细!$G$4:$G$603,$Z153-5200))=0,"",N(INDEX(次果筐明细!$G$4:$G$603,$Z153-5200))),""),"")))))</f>
        <v/>
      </c>
      <c r="Q153" s="40" t="str">
        <f>IF($Z153="","",IF($Z153&lt;=2000,"",IF($Z153&lt;=4000,IF(N(INDEX(周转筐出入库明细!$H$4:$H$2004,$Z153-2000))=0,"",N(INDEX(周转筐出入库明细!$H$4:$H$2004,$Z153-2000))),IF($Z153&lt;=5200,IF(N(INDEX(客户自备加工筐明细!$F$4:$F$1203,$Z153-4000))=0,"",N(INDEX(客户自备加工筐明细!$F$4:$F$1203,$Z153-4000))),IF($Z153&lt;=5800,"","")))))</f>
        <v/>
      </c>
      <c r="R153" s="16" t="str">
        <f>IF($Z153="","",IF($Z153&lt;=2000,IF(INDEX(包装物料出入库明细!$O$4:$O$2003,$Z153-0)=0,"",INDEX(包装物料出入库明细!$O$4:$O$2003,$Z153-0)),IF($Z153&lt;=4000,IF(INDEX(周转筐出入库明细!$M$4:$M$2004,$Z153-2000)=0,"",INDEX(周转筐出入库明细!$M$4:$M$2004,$Z153-2000)),IF($Z153&lt;=5200,IF(INDEX(客户自备加工筐明细!$H$4:$H$1203,$Z153-4000)=0,"",INDEX(客户自备加工筐明细!$H$4:$H$1203,$Z153-4000)),IF($Z153&lt;=5800,IF(INDEX(次果筐明细!$H$4:$H$603,$Z153-5200)=0,"",INDEX(次果筐明细!$H$4:$H$603,$Z153-5200)),"")))))</f>
        <v/>
      </c>
      <c r="S153" s="22" t="str">
        <f t="shared" si="8"/>
        <v/>
      </c>
      <c r="Z153" s="10" t="str">
        <f>IFERROR(MATCH(ROW()-3,_自动清单!$CQ$4:$CQ$5803,0),"")</f>
        <v/>
      </c>
    </row>
    <row r="154" spans="1:26">
      <c r="A154" s="24" t="str">
        <f t="shared" si="6"/>
        <v/>
      </c>
      <c r="B154" s="38" t="str">
        <f>IF($Z154="","",IF($Z154&lt;=2000,IF(INDEX(包装物料出入库明细!$B$4:$B$2003,$Z154-0)=0,"",INDEX(包装物料出入库明细!$B$4:$B$2003,$Z154-0)),IF($Z154&lt;=4000,IF(INDEX(周转筐出入库明细!$B$4:$B$2004,$Z154-2000)=0,"",INDEX(周转筐出入库明细!$B$4:$B$2004,$Z154-2000)),IF($Z154&lt;=5200,IF(INDEX(客户自备加工筐明细!$B$4:$B$1203,$Z154-4000)=0,"",INDEX(客户自备加工筐明细!$B$4:$B$1203,$Z154-4000)),IF($Z154&lt;=5800,IF(INDEX(次果筐明细!$B$4:$B$603,$Z154-5200)=0,"",INDEX(次果筐明细!$B$4:$B$603,$Z154-5200)),"")))))</f>
        <v/>
      </c>
      <c r="C154" s="37" t="str">
        <f>IF($Z154="","",IF($Z154&lt;=2000,IF(INDEX(包装物料出入库明细!$D$4:$D$2003,$Z154-0)=0,"",INDEX(包装物料出入库明细!$D$4:$D$2003,$Z154-0)),IF($Z154&lt;=4000,IF(INDEX(周转筐出入库明细!$C$4:$C$2004,$Z154-2000)=0,"",INDEX(周转筐出入库明细!$C$4:$C$2004,$Z154-2000)),IF($Z154&lt;=5200,IF(INDEX(客户自备加工筐明细!$E$4:$E$1203,$Z154-4000)=0,"",INDEX(客户自备加工筐明细!$E$4:$E$1203,$Z154-4000)),IF($Z154&lt;=5800,IF(INDEX(次果筐明细!$C$4:$C$603,$Z154-5200)=0,"",INDEX(次果筐明细!$C$4:$C$603,$Z154-5200)),"")))))</f>
        <v/>
      </c>
      <c r="D154" s="37" t="str">
        <f>IF($Z154="","",IF($Z154&lt;=2000,"包装物料－"&amp;INDEX(包装物料出入库明细!$H$4:$H$2003,$Z154-0),IF($Z154&lt;=4000,"周转筐－"&amp;INDEX(周转筐出入库明细!$F$4:$F$2004,$Z154-2000),IF($Z154&lt;=5200,"客户自备筐－"&amp;INDEX(客户自备加工筐明细!$J$4:$J$1203,$Z154-4000),IF($Z154&lt;=5800,"次果筐/托盘－"&amp;INDEX(次果筐明细!$F$4:$F$603,$Z154-5200),"")))))</f>
        <v/>
      </c>
      <c r="E154" s="24" t="str">
        <f>IF($Z154="","",IF($Z154&lt;=2000,IF(INDEX(包装物料出入库明细!$C$4:$C$2003,$Z154-0)=0,"",INDEX(包装物料出入库明细!$C$4:$C$2003,$Z154-0)),IF($Z154&lt;=4000,IF(INDEX(周转筐出入库明细!$E$4:$E$2004,$Z154-2000)=0,"",INDEX(周转筐出入库明细!$E$4:$E$2004,$Z154-2000)),IF($Z154&lt;=5200,IF(INDEX(客户自备加工筐明细!$D$4:$D$1203,$Z154-4000)=0,"",INDEX(客户自备加工筐明细!$D$4:$D$1203,$Z154-4000)),IF($Z154&lt;=5800,IF(INDEX(次果筐明细!$E$4:$E$603,$Z154-5200)=0,"",INDEX(次果筐明细!$E$4:$E$603,$Z154-5200)),"")))))</f>
        <v/>
      </c>
      <c r="F154" s="24" t="str">
        <f>IF($Z154="","",IF($Z154&lt;=2000,IF(INDEX(包装物料出入库明细!$E$4:$E$2003,$Z154-0)=0,"",INDEX(包装物料出入库明细!$E$4:$E$2003,$Z154-0)),IF($Z154&lt;=4000,IF(INDEX(周转筐出入库明细!$D$4:$D$2004,$Z154-2000)=0,"",INDEX(周转筐出入库明细!$D$4:$D$2004,$Z154-2000)),IF($Z154&lt;=5200,IF(INDEX(客户自备加工筐明细!$C$4:$C$1203,$Z154-4000)=0,"",INDEX(客户自备加工筐明细!$C$4:$C$1203,$Z154-4000)),IF($Z154&lt;=5800,IF(INDEX(次果筐明细!$D$4:$D$603,$Z154-5200)=0,"",INDEX(次果筐明细!$D$4:$D$603,$Z154-5200)),"")))))</f>
        <v/>
      </c>
      <c r="G154" s="24" t="str">
        <f>IF($Z154="","",IF($Z154&lt;=2000,IF(INDEX(包装物料出入库明细!$F$4:$F$2003,$Z154-0)=0,"",INDEX(包装物料出入库明细!$F$4:$F$2003,$Z154-0)),IF($Z154&lt;=4000,"",IF($Z154&lt;=5200,"",IF($Z154&lt;=5800,"","")))))</f>
        <v/>
      </c>
      <c r="H154" s="39" t="str">
        <f>IF($Z154="","",IF($Z154&lt;=2000,IF(INDEX(包装物料出入库明细!$L$4:$L$2003,$Z154-0)=0,"",INDEX(包装物料出入库明细!$L$4:$L$2003,$Z154-0)),IF($Z154&lt;=4000,N(INDEX(周转筐出入库明细!$H$4:$H$2004,$Z154-2000))+N(INDEX(周转筐出入库明细!$I$4:$I$2004,$Z154-2000))+N(INDEX(周转筐出入库明细!$J$4:$J$2004,$Z154-2000))+N(INDEX(周转筐出入库明细!$K$4:$K$2004,$Z154-2000)),IF($Z154&lt;=5200,N(INDEX(客户自备加工筐明细!$F$4:$F$1203,$Z154-4000))+N(INDEX(客户自备加工筐明细!$G$4:$G$1203,$Z154-4000)),IF($Z154&lt;=5800,IF(INDEX(次果筐明细!$G$4:$G$603,$Z154-5200)=0,"",INDEX(次果筐明细!$G$4:$G$603,$Z154-5200)),"")))))</f>
        <v/>
      </c>
      <c r="I154" s="24" t="str">
        <f>IF($Z154="","",IF($Z154&lt;=2000,IF(INDEX(包装物料出入库明细!$G$4:$G$2003,$Z154-0)=0,"",INDEX(包装物料出入库明细!$G$4:$G$2003,$Z154-0)),IF($Z154&lt;=4000,"个",IF($Z154&lt;=5200,"个",IF($Z154&lt;=5800,"个","")))))</f>
        <v/>
      </c>
      <c r="J154" s="30" t="str">
        <f t="shared" si="7"/>
        <v/>
      </c>
      <c r="K154" s="30" t="str">
        <f>IF($Z154="","",IF($Z154&lt;=2000,IF(INDEX(包装物料出入库明细!$N$4:$N$2003,$Z154-0)=0,"",INDEX(包装物料出入库明细!$N$4:$N$2003,$Z154-0)),IF($Z154&lt;=4000,IF(INDEX(周转筐出入库明细!$P$4:$P$2004,$Z154-2000)=0,"",INDEX(周转筐出入库明细!$P$4:$P$2004,$Z154-2000)),IF($Z154&lt;=5200,"",IF($Z154&lt;=5800,N(INDEX(次果筐明细!$L$4:$L$603,$Z154-5200))+N(INDEX(次果筐明细!$J$4:$J$603,$Z154-5200)),"")))))</f>
        <v/>
      </c>
      <c r="L154" s="24" t="str">
        <f>IF($Z154="","",IF($Z154&lt;=2000,IF(INDEX(包装物料出入库明细!$P$4:$P$2003,$Z154-0)=0,"",INDEX(包装物料出入库明细!$P$4:$P$2003,$Z154-0)),IF($Z154&lt;=4000,IF(INDEX(周转筐出入库明细!$Q$4:$Q$2004,$Z154-2000)=0,"",INDEX(周转筐出入库明细!$Q$4:$Q$2004,$Z154-2000)),IF($Z154&lt;=5200,"",IF($Z154&lt;=5800,IF(INDEX(次果筐明细!$M$4:$M$603,$Z154-5200)=0,"",INDEX(次果筐明细!$M$4:$M$603,$Z154-5200)),"")))))</f>
        <v/>
      </c>
      <c r="M154" s="37" t="str">
        <f>IF($Z154="","",IF($Z154&lt;=2000,IF(INDEX(包装物料出入库明细!$R$4:$R$2003,$Z154-0)=0,"",INDEX(包装物料出入库明细!$R$4:$R$2003,$Z154-0)),IF($Z154&lt;=4000,IF(INDEX(周转筐出入库明细!$W$4:$W$2004,$Z154-2000)=0,"",INDEX(周转筐出入库明细!$W$4:$W$2004,$Z154-2000)),IF($Z154&lt;=5200,IF(INDEX(客户自备加工筐明细!$L$4:$L$1203,$Z154-4000)=0,"",INDEX(客户自备加工筐明细!$L$4:$L$1203,$Z154-4000)),IF($Z154&lt;=5800,IF(INDEX(次果筐明细!$P$4:$P$603,$Z154-5200)=0,"",INDEX(次果筐明细!$P$4:$P$603,$Z154-5200)),"")))))</f>
        <v/>
      </c>
      <c r="N154" s="16" t="str">
        <f>IF($Z154="","",IF($Z154&lt;=2000,"",IF($Z154&lt;=4000,IF(INDEX(周转筐出入库明细!$D$4:$D$2004,$Z154-2000)=0,"",INDEX(周转筐出入库明细!$D$4:$D$2004,$Z154-2000)),IF($Z154&lt;=5200,IF(INDEX(客户自备加工筐明细!$C$4:$C$1203,$Z154-4000)=0,"",INDEX(客户自备加工筐明细!$C$4:$C$1203,$Z154-4000)),IF($Z154&lt;=5800,IF(INDEX(次果筐明细!$D$4:$D$603,$Z154-5200)=0,"",INDEX(次果筐明细!$D$4:$D$603,$Z154-5200)),"")))))</f>
        <v/>
      </c>
      <c r="O154" s="40" t="str">
        <f>IF($Z154="","",IF($Z154&lt;=2000,"",IF($Z154&lt;=4000,IF(N(INDEX(周转筐出入库明细!$J$4:$J$2004,$Z154-2000))+N(INDEX(周转筐出入库明细!$K$4:$K$2004,$Z154-2000))=0,"",N(INDEX(周转筐出入库明细!$J$4:$J$2004,$Z154-2000))+N(INDEX(周转筐出入库明细!$K$4:$K$2004,$Z154-2000))),IF($Z154&lt;=5200,IF(N(INDEX(客户自备加工筐明细!$G$4:$G$1203,$Z154-4000))=0,"",N(INDEX(客户自备加工筐明细!$G$4:$G$1203,$Z154-4000))),IF($Z154&lt;=5800,IF(ISNUMBER(SEARCH("退",INDEX(次果筐明细!$F$4:$F$603,$Z154-5200)&amp;"")),"",IF(N(INDEX(次果筐明细!$G$4:$G$603,$Z154-5200))=0,"",N(INDEX(次果筐明细!$G$4:$G$603,$Z154-5200)))),"")))))</f>
        <v/>
      </c>
      <c r="P154" s="40" t="str">
        <f>IF($Z154="","",IF($Z154&lt;=2000,"",IF($Z154&lt;=4000,IF(N(INDEX(周转筐出入库明细!$I$4:$I$2004,$Z154-2000))=0,"",N(INDEX(周转筐出入库明细!$I$4:$I$2004,$Z154-2000))),IF($Z154&lt;=5200,"",IF($Z154&lt;=5800,IF(ISNUMBER(SEARCH("退",INDEX(次果筐明细!$F$4:$F$603,$Z154-5200)&amp;"")),IF(N(INDEX(次果筐明细!$G$4:$G$603,$Z154-5200))=0,"",N(INDEX(次果筐明细!$G$4:$G$603,$Z154-5200))),""),"")))))</f>
        <v/>
      </c>
      <c r="Q154" s="40" t="str">
        <f>IF($Z154="","",IF($Z154&lt;=2000,"",IF($Z154&lt;=4000,IF(N(INDEX(周转筐出入库明细!$H$4:$H$2004,$Z154-2000))=0,"",N(INDEX(周转筐出入库明细!$H$4:$H$2004,$Z154-2000))),IF($Z154&lt;=5200,IF(N(INDEX(客户自备加工筐明细!$F$4:$F$1203,$Z154-4000))=0,"",N(INDEX(客户自备加工筐明细!$F$4:$F$1203,$Z154-4000))),IF($Z154&lt;=5800,"","")))))</f>
        <v/>
      </c>
      <c r="R154" s="16" t="str">
        <f>IF($Z154="","",IF($Z154&lt;=2000,IF(INDEX(包装物料出入库明细!$O$4:$O$2003,$Z154-0)=0,"",INDEX(包装物料出入库明细!$O$4:$O$2003,$Z154-0)),IF($Z154&lt;=4000,IF(INDEX(周转筐出入库明细!$M$4:$M$2004,$Z154-2000)=0,"",INDEX(周转筐出入库明细!$M$4:$M$2004,$Z154-2000)),IF($Z154&lt;=5200,IF(INDEX(客户自备加工筐明细!$H$4:$H$1203,$Z154-4000)=0,"",INDEX(客户自备加工筐明细!$H$4:$H$1203,$Z154-4000)),IF($Z154&lt;=5800,IF(INDEX(次果筐明细!$H$4:$H$603,$Z154-5200)=0,"",INDEX(次果筐明细!$H$4:$H$603,$Z154-5200)),"")))))</f>
        <v/>
      </c>
      <c r="S154" s="22" t="str">
        <f t="shared" si="8"/>
        <v/>
      </c>
      <c r="Z154" s="10" t="str">
        <f>IFERROR(MATCH(ROW()-3,_自动清单!$CQ$4:$CQ$5803,0),"")</f>
        <v/>
      </c>
    </row>
    <row r="155" spans="1:26">
      <c r="A155" s="24" t="str">
        <f t="shared" si="6"/>
        <v/>
      </c>
      <c r="B155" s="38" t="str">
        <f>IF($Z155="","",IF($Z155&lt;=2000,IF(INDEX(包装物料出入库明细!$B$4:$B$2003,$Z155-0)=0,"",INDEX(包装物料出入库明细!$B$4:$B$2003,$Z155-0)),IF($Z155&lt;=4000,IF(INDEX(周转筐出入库明细!$B$4:$B$2004,$Z155-2000)=0,"",INDEX(周转筐出入库明细!$B$4:$B$2004,$Z155-2000)),IF($Z155&lt;=5200,IF(INDEX(客户自备加工筐明细!$B$4:$B$1203,$Z155-4000)=0,"",INDEX(客户自备加工筐明细!$B$4:$B$1203,$Z155-4000)),IF($Z155&lt;=5800,IF(INDEX(次果筐明细!$B$4:$B$603,$Z155-5200)=0,"",INDEX(次果筐明细!$B$4:$B$603,$Z155-5200)),"")))))</f>
        <v/>
      </c>
      <c r="C155" s="37" t="str">
        <f>IF($Z155="","",IF($Z155&lt;=2000,IF(INDEX(包装物料出入库明细!$D$4:$D$2003,$Z155-0)=0,"",INDEX(包装物料出入库明细!$D$4:$D$2003,$Z155-0)),IF($Z155&lt;=4000,IF(INDEX(周转筐出入库明细!$C$4:$C$2004,$Z155-2000)=0,"",INDEX(周转筐出入库明细!$C$4:$C$2004,$Z155-2000)),IF($Z155&lt;=5200,IF(INDEX(客户自备加工筐明细!$E$4:$E$1203,$Z155-4000)=0,"",INDEX(客户自备加工筐明细!$E$4:$E$1203,$Z155-4000)),IF($Z155&lt;=5800,IF(INDEX(次果筐明细!$C$4:$C$603,$Z155-5200)=0,"",INDEX(次果筐明细!$C$4:$C$603,$Z155-5200)),"")))))</f>
        <v/>
      </c>
      <c r="D155" s="37" t="str">
        <f>IF($Z155="","",IF($Z155&lt;=2000,"包装物料－"&amp;INDEX(包装物料出入库明细!$H$4:$H$2003,$Z155-0),IF($Z155&lt;=4000,"周转筐－"&amp;INDEX(周转筐出入库明细!$F$4:$F$2004,$Z155-2000),IF($Z155&lt;=5200,"客户自备筐－"&amp;INDEX(客户自备加工筐明细!$J$4:$J$1203,$Z155-4000),IF($Z155&lt;=5800,"次果筐/托盘－"&amp;INDEX(次果筐明细!$F$4:$F$603,$Z155-5200),"")))))</f>
        <v/>
      </c>
      <c r="E155" s="24" t="str">
        <f>IF($Z155="","",IF($Z155&lt;=2000,IF(INDEX(包装物料出入库明细!$C$4:$C$2003,$Z155-0)=0,"",INDEX(包装物料出入库明细!$C$4:$C$2003,$Z155-0)),IF($Z155&lt;=4000,IF(INDEX(周转筐出入库明细!$E$4:$E$2004,$Z155-2000)=0,"",INDEX(周转筐出入库明细!$E$4:$E$2004,$Z155-2000)),IF($Z155&lt;=5200,IF(INDEX(客户自备加工筐明细!$D$4:$D$1203,$Z155-4000)=0,"",INDEX(客户自备加工筐明细!$D$4:$D$1203,$Z155-4000)),IF($Z155&lt;=5800,IF(INDEX(次果筐明细!$E$4:$E$603,$Z155-5200)=0,"",INDEX(次果筐明细!$E$4:$E$603,$Z155-5200)),"")))))</f>
        <v/>
      </c>
      <c r="F155" s="24" t="str">
        <f>IF($Z155="","",IF($Z155&lt;=2000,IF(INDEX(包装物料出入库明细!$E$4:$E$2003,$Z155-0)=0,"",INDEX(包装物料出入库明细!$E$4:$E$2003,$Z155-0)),IF($Z155&lt;=4000,IF(INDEX(周转筐出入库明细!$D$4:$D$2004,$Z155-2000)=0,"",INDEX(周转筐出入库明细!$D$4:$D$2004,$Z155-2000)),IF($Z155&lt;=5200,IF(INDEX(客户自备加工筐明细!$C$4:$C$1203,$Z155-4000)=0,"",INDEX(客户自备加工筐明细!$C$4:$C$1203,$Z155-4000)),IF($Z155&lt;=5800,IF(INDEX(次果筐明细!$D$4:$D$603,$Z155-5200)=0,"",INDEX(次果筐明细!$D$4:$D$603,$Z155-5200)),"")))))</f>
        <v/>
      </c>
      <c r="G155" s="24" t="str">
        <f>IF($Z155="","",IF($Z155&lt;=2000,IF(INDEX(包装物料出入库明细!$F$4:$F$2003,$Z155-0)=0,"",INDEX(包装物料出入库明细!$F$4:$F$2003,$Z155-0)),IF($Z155&lt;=4000,"",IF($Z155&lt;=5200,"",IF($Z155&lt;=5800,"","")))))</f>
        <v/>
      </c>
      <c r="H155" s="39" t="str">
        <f>IF($Z155="","",IF($Z155&lt;=2000,IF(INDEX(包装物料出入库明细!$L$4:$L$2003,$Z155-0)=0,"",INDEX(包装物料出入库明细!$L$4:$L$2003,$Z155-0)),IF($Z155&lt;=4000,N(INDEX(周转筐出入库明细!$H$4:$H$2004,$Z155-2000))+N(INDEX(周转筐出入库明细!$I$4:$I$2004,$Z155-2000))+N(INDEX(周转筐出入库明细!$J$4:$J$2004,$Z155-2000))+N(INDEX(周转筐出入库明细!$K$4:$K$2004,$Z155-2000)),IF($Z155&lt;=5200,N(INDEX(客户自备加工筐明细!$F$4:$F$1203,$Z155-4000))+N(INDEX(客户自备加工筐明细!$G$4:$G$1203,$Z155-4000)),IF($Z155&lt;=5800,IF(INDEX(次果筐明细!$G$4:$G$603,$Z155-5200)=0,"",INDEX(次果筐明细!$G$4:$G$603,$Z155-5200)),"")))))</f>
        <v/>
      </c>
      <c r="I155" s="24" t="str">
        <f>IF($Z155="","",IF($Z155&lt;=2000,IF(INDEX(包装物料出入库明细!$G$4:$G$2003,$Z155-0)=0,"",INDEX(包装物料出入库明细!$G$4:$G$2003,$Z155-0)),IF($Z155&lt;=4000,"个",IF($Z155&lt;=5200,"个",IF($Z155&lt;=5800,"个","")))))</f>
        <v/>
      </c>
      <c r="J155" s="30" t="str">
        <f t="shared" si="7"/>
        <v/>
      </c>
      <c r="K155" s="30" t="str">
        <f>IF($Z155="","",IF($Z155&lt;=2000,IF(INDEX(包装物料出入库明细!$N$4:$N$2003,$Z155-0)=0,"",INDEX(包装物料出入库明细!$N$4:$N$2003,$Z155-0)),IF($Z155&lt;=4000,IF(INDEX(周转筐出入库明细!$P$4:$P$2004,$Z155-2000)=0,"",INDEX(周转筐出入库明细!$P$4:$P$2004,$Z155-2000)),IF($Z155&lt;=5200,"",IF($Z155&lt;=5800,N(INDEX(次果筐明细!$L$4:$L$603,$Z155-5200))+N(INDEX(次果筐明细!$J$4:$J$603,$Z155-5200)),"")))))</f>
        <v/>
      </c>
      <c r="L155" s="24" t="str">
        <f>IF($Z155="","",IF($Z155&lt;=2000,IF(INDEX(包装物料出入库明细!$P$4:$P$2003,$Z155-0)=0,"",INDEX(包装物料出入库明细!$P$4:$P$2003,$Z155-0)),IF($Z155&lt;=4000,IF(INDEX(周转筐出入库明细!$Q$4:$Q$2004,$Z155-2000)=0,"",INDEX(周转筐出入库明细!$Q$4:$Q$2004,$Z155-2000)),IF($Z155&lt;=5200,"",IF($Z155&lt;=5800,IF(INDEX(次果筐明细!$M$4:$M$603,$Z155-5200)=0,"",INDEX(次果筐明细!$M$4:$M$603,$Z155-5200)),"")))))</f>
        <v/>
      </c>
      <c r="M155" s="37" t="str">
        <f>IF($Z155="","",IF($Z155&lt;=2000,IF(INDEX(包装物料出入库明细!$R$4:$R$2003,$Z155-0)=0,"",INDEX(包装物料出入库明细!$R$4:$R$2003,$Z155-0)),IF($Z155&lt;=4000,IF(INDEX(周转筐出入库明细!$W$4:$W$2004,$Z155-2000)=0,"",INDEX(周转筐出入库明细!$W$4:$W$2004,$Z155-2000)),IF($Z155&lt;=5200,IF(INDEX(客户自备加工筐明细!$L$4:$L$1203,$Z155-4000)=0,"",INDEX(客户自备加工筐明细!$L$4:$L$1203,$Z155-4000)),IF($Z155&lt;=5800,IF(INDEX(次果筐明细!$P$4:$P$603,$Z155-5200)=0,"",INDEX(次果筐明细!$P$4:$P$603,$Z155-5200)),"")))))</f>
        <v/>
      </c>
      <c r="N155" s="16" t="str">
        <f>IF($Z155="","",IF($Z155&lt;=2000,"",IF($Z155&lt;=4000,IF(INDEX(周转筐出入库明细!$D$4:$D$2004,$Z155-2000)=0,"",INDEX(周转筐出入库明细!$D$4:$D$2004,$Z155-2000)),IF($Z155&lt;=5200,IF(INDEX(客户自备加工筐明细!$C$4:$C$1203,$Z155-4000)=0,"",INDEX(客户自备加工筐明细!$C$4:$C$1203,$Z155-4000)),IF($Z155&lt;=5800,IF(INDEX(次果筐明细!$D$4:$D$603,$Z155-5200)=0,"",INDEX(次果筐明细!$D$4:$D$603,$Z155-5200)),"")))))</f>
        <v/>
      </c>
      <c r="O155" s="40" t="str">
        <f>IF($Z155="","",IF($Z155&lt;=2000,"",IF($Z155&lt;=4000,IF(N(INDEX(周转筐出入库明细!$J$4:$J$2004,$Z155-2000))+N(INDEX(周转筐出入库明细!$K$4:$K$2004,$Z155-2000))=0,"",N(INDEX(周转筐出入库明细!$J$4:$J$2004,$Z155-2000))+N(INDEX(周转筐出入库明细!$K$4:$K$2004,$Z155-2000))),IF($Z155&lt;=5200,IF(N(INDEX(客户自备加工筐明细!$G$4:$G$1203,$Z155-4000))=0,"",N(INDEX(客户自备加工筐明细!$G$4:$G$1203,$Z155-4000))),IF($Z155&lt;=5800,IF(ISNUMBER(SEARCH("退",INDEX(次果筐明细!$F$4:$F$603,$Z155-5200)&amp;"")),"",IF(N(INDEX(次果筐明细!$G$4:$G$603,$Z155-5200))=0,"",N(INDEX(次果筐明细!$G$4:$G$603,$Z155-5200)))),"")))))</f>
        <v/>
      </c>
      <c r="P155" s="40" t="str">
        <f>IF($Z155="","",IF($Z155&lt;=2000,"",IF($Z155&lt;=4000,IF(N(INDEX(周转筐出入库明细!$I$4:$I$2004,$Z155-2000))=0,"",N(INDEX(周转筐出入库明细!$I$4:$I$2004,$Z155-2000))),IF($Z155&lt;=5200,"",IF($Z155&lt;=5800,IF(ISNUMBER(SEARCH("退",INDEX(次果筐明细!$F$4:$F$603,$Z155-5200)&amp;"")),IF(N(INDEX(次果筐明细!$G$4:$G$603,$Z155-5200))=0,"",N(INDEX(次果筐明细!$G$4:$G$603,$Z155-5200))),""),"")))))</f>
        <v/>
      </c>
      <c r="Q155" s="40" t="str">
        <f>IF($Z155="","",IF($Z155&lt;=2000,"",IF($Z155&lt;=4000,IF(N(INDEX(周转筐出入库明细!$H$4:$H$2004,$Z155-2000))=0,"",N(INDEX(周转筐出入库明细!$H$4:$H$2004,$Z155-2000))),IF($Z155&lt;=5200,IF(N(INDEX(客户自备加工筐明细!$F$4:$F$1203,$Z155-4000))=0,"",N(INDEX(客户自备加工筐明细!$F$4:$F$1203,$Z155-4000))),IF($Z155&lt;=5800,"","")))))</f>
        <v/>
      </c>
      <c r="R155" s="16" t="str">
        <f>IF($Z155="","",IF($Z155&lt;=2000,IF(INDEX(包装物料出入库明细!$O$4:$O$2003,$Z155-0)=0,"",INDEX(包装物料出入库明细!$O$4:$O$2003,$Z155-0)),IF($Z155&lt;=4000,IF(INDEX(周转筐出入库明细!$M$4:$M$2004,$Z155-2000)=0,"",INDEX(周转筐出入库明细!$M$4:$M$2004,$Z155-2000)),IF($Z155&lt;=5200,IF(INDEX(客户自备加工筐明细!$H$4:$H$1203,$Z155-4000)=0,"",INDEX(客户自备加工筐明细!$H$4:$H$1203,$Z155-4000)),IF($Z155&lt;=5800,IF(INDEX(次果筐明细!$H$4:$H$603,$Z155-5200)=0,"",INDEX(次果筐明细!$H$4:$H$603,$Z155-5200)),"")))))</f>
        <v/>
      </c>
      <c r="S155" s="22" t="str">
        <f t="shared" si="8"/>
        <v/>
      </c>
      <c r="Z155" s="10" t="str">
        <f>IFERROR(MATCH(ROW()-3,_自动清单!$CQ$4:$CQ$5803,0),"")</f>
        <v/>
      </c>
    </row>
    <row r="156" spans="1:26">
      <c r="A156" s="24" t="str">
        <f t="shared" si="6"/>
        <v/>
      </c>
      <c r="B156" s="38" t="str">
        <f>IF($Z156="","",IF($Z156&lt;=2000,IF(INDEX(包装物料出入库明细!$B$4:$B$2003,$Z156-0)=0,"",INDEX(包装物料出入库明细!$B$4:$B$2003,$Z156-0)),IF($Z156&lt;=4000,IF(INDEX(周转筐出入库明细!$B$4:$B$2004,$Z156-2000)=0,"",INDEX(周转筐出入库明细!$B$4:$B$2004,$Z156-2000)),IF($Z156&lt;=5200,IF(INDEX(客户自备加工筐明细!$B$4:$B$1203,$Z156-4000)=0,"",INDEX(客户自备加工筐明细!$B$4:$B$1203,$Z156-4000)),IF($Z156&lt;=5800,IF(INDEX(次果筐明细!$B$4:$B$603,$Z156-5200)=0,"",INDEX(次果筐明细!$B$4:$B$603,$Z156-5200)),"")))))</f>
        <v/>
      </c>
      <c r="C156" s="37" t="str">
        <f>IF($Z156="","",IF($Z156&lt;=2000,IF(INDEX(包装物料出入库明细!$D$4:$D$2003,$Z156-0)=0,"",INDEX(包装物料出入库明细!$D$4:$D$2003,$Z156-0)),IF($Z156&lt;=4000,IF(INDEX(周转筐出入库明细!$C$4:$C$2004,$Z156-2000)=0,"",INDEX(周转筐出入库明细!$C$4:$C$2004,$Z156-2000)),IF($Z156&lt;=5200,IF(INDEX(客户自备加工筐明细!$E$4:$E$1203,$Z156-4000)=0,"",INDEX(客户自备加工筐明细!$E$4:$E$1203,$Z156-4000)),IF($Z156&lt;=5800,IF(INDEX(次果筐明细!$C$4:$C$603,$Z156-5200)=0,"",INDEX(次果筐明细!$C$4:$C$603,$Z156-5200)),"")))))</f>
        <v/>
      </c>
      <c r="D156" s="37" t="str">
        <f>IF($Z156="","",IF($Z156&lt;=2000,"包装物料－"&amp;INDEX(包装物料出入库明细!$H$4:$H$2003,$Z156-0),IF($Z156&lt;=4000,"周转筐－"&amp;INDEX(周转筐出入库明细!$F$4:$F$2004,$Z156-2000),IF($Z156&lt;=5200,"客户自备筐－"&amp;INDEX(客户自备加工筐明细!$J$4:$J$1203,$Z156-4000),IF($Z156&lt;=5800,"次果筐/托盘－"&amp;INDEX(次果筐明细!$F$4:$F$603,$Z156-5200),"")))))</f>
        <v/>
      </c>
      <c r="E156" s="24" t="str">
        <f>IF($Z156="","",IF($Z156&lt;=2000,IF(INDEX(包装物料出入库明细!$C$4:$C$2003,$Z156-0)=0,"",INDEX(包装物料出入库明细!$C$4:$C$2003,$Z156-0)),IF($Z156&lt;=4000,IF(INDEX(周转筐出入库明细!$E$4:$E$2004,$Z156-2000)=0,"",INDEX(周转筐出入库明细!$E$4:$E$2004,$Z156-2000)),IF($Z156&lt;=5200,IF(INDEX(客户自备加工筐明细!$D$4:$D$1203,$Z156-4000)=0,"",INDEX(客户自备加工筐明细!$D$4:$D$1203,$Z156-4000)),IF($Z156&lt;=5800,IF(INDEX(次果筐明细!$E$4:$E$603,$Z156-5200)=0,"",INDEX(次果筐明细!$E$4:$E$603,$Z156-5200)),"")))))</f>
        <v/>
      </c>
      <c r="F156" s="24" t="str">
        <f>IF($Z156="","",IF($Z156&lt;=2000,IF(INDEX(包装物料出入库明细!$E$4:$E$2003,$Z156-0)=0,"",INDEX(包装物料出入库明细!$E$4:$E$2003,$Z156-0)),IF($Z156&lt;=4000,IF(INDEX(周转筐出入库明细!$D$4:$D$2004,$Z156-2000)=0,"",INDEX(周转筐出入库明细!$D$4:$D$2004,$Z156-2000)),IF($Z156&lt;=5200,IF(INDEX(客户自备加工筐明细!$C$4:$C$1203,$Z156-4000)=0,"",INDEX(客户自备加工筐明细!$C$4:$C$1203,$Z156-4000)),IF($Z156&lt;=5800,IF(INDEX(次果筐明细!$D$4:$D$603,$Z156-5200)=0,"",INDEX(次果筐明细!$D$4:$D$603,$Z156-5200)),"")))))</f>
        <v/>
      </c>
      <c r="G156" s="24" t="str">
        <f>IF($Z156="","",IF($Z156&lt;=2000,IF(INDEX(包装物料出入库明细!$F$4:$F$2003,$Z156-0)=0,"",INDEX(包装物料出入库明细!$F$4:$F$2003,$Z156-0)),IF($Z156&lt;=4000,"",IF($Z156&lt;=5200,"",IF($Z156&lt;=5800,"","")))))</f>
        <v/>
      </c>
      <c r="H156" s="39" t="str">
        <f>IF($Z156="","",IF($Z156&lt;=2000,IF(INDEX(包装物料出入库明细!$L$4:$L$2003,$Z156-0)=0,"",INDEX(包装物料出入库明细!$L$4:$L$2003,$Z156-0)),IF($Z156&lt;=4000,N(INDEX(周转筐出入库明细!$H$4:$H$2004,$Z156-2000))+N(INDEX(周转筐出入库明细!$I$4:$I$2004,$Z156-2000))+N(INDEX(周转筐出入库明细!$J$4:$J$2004,$Z156-2000))+N(INDEX(周转筐出入库明细!$K$4:$K$2004,$Z156-2000)),IF($Z156&lt;=5200,N(INDEX(客户自备加工筐明细!$F$4:$F$1203,$Z156-4000))+N(INDEX(客户自备加工筐明细!$G$4:$G$1203,$Z156-4000)),IF($Z156&lt;=5800,IF(INDEX(次果筐明细!$G$4:$G$603,$Z156-5200)=0,"",INDEX(次果筐明细!$G$4:$G$603,$Z156-5200)),"")))))</f>
        <v/>
      </c>
      <c r="I156" s="24" t="str">
        <f>IF($Z156="","",IF($Z156&lt;=2000,IF(INDEX(包装物料出入库明细!$G$4:$G$2003,$Z156-0)=0,"",INDEX(包装物料出入库明细!$G$4:$G$2003,$Z156-0)),IF($Z156&lt;=4000,"个",IF($Z156&lt;=5200,"个",IF($Z156&lt;=5800,"个","")))))</f>
        <v/>
      </c>
      <c r="J156" s="30" t="str">
        <f t="shared" si="7"/>
        <v/>
      </c>
      <c r="K156" s="30" t="str">
        <f>IF($Z156="","",IF($Z156&lt;=2000,IF(INDEX(包装物料出入库明细!$N$4:$N$2003,$Z156-0)=0,"",INDEX(包装物料出入库明细!$N$4:$N$2003,$Z156-0)),IF($Z156&lt;=4000,IF(INDEX(周转筐出入库明细!$P$4:$P$2004,$Z156-2000)=0,"",INDEX(周转筐出入库明细!$P$4:$P$2004,$Z156-2000)),IF($Z156&lt;=5200,"",IF($Z156&lt;=5800,N(INDEX(次果筐明细!$L$4:$L$603,$Z156-5200))+N(INDEX(次果筐明细!$J$4:$J$603,$Z156-5200)),"")))))</f>
        <v/>
      </c>
      <c r="L156" s="24" t="str">
        <f>IF($Z156="","",IF($Z156&lt;=2000,IF(INDEX(包装物料出入库明细!$P$4:$P$2003,$Z156-0)=0,"",INDEX(包装物料出入库明细!$P$4:$P$2003,$Z156-0)),IF($Z156&lt;=4000,IF(INDEX(周转筐出入库明细!$Q$4:$Q$2004,$Z156-2000)=0,"",INDEX(周转筐出入库明细!$Q$4:$Q$2004,$Z156-2000)),IF($Z156&lt;=5200,"",IF($Z156&lt;=5800,IF(INDEX(次果筐明细!$M$4:$M$603,$Z156-5200)=0,"",INDEX(次果筐明细!$M$4:$M$603,$Z156-5200)),"")))))</f>
        <v/>
      </c>
      <c r="M156" s="37" t="str">
        <f>IF($Z156="","",IF($Z156&lt;=2000,IF(INDEX(包装物料出入库明细!$R$4:$R$2003,$Z156-0)=0,"",INDEX(包装物料出入库明细!$R$4:$R$2003,$Z156-0)),IF($Z156&lt;=4000,IF(INDEX(周转筐出入库明细!$W$4:$W$2004,$Z156-2000)=0,"",INDEX(周转筐出入库明细!$W$4:$W$2004,$Z156-2000)),IF($Z156&lt;=5200,IF(INDEX(客户自备加工筐明细!$L$4:$L$1203,$Z156-4000)=0,"",INDEX(客户自备加工筐明细!$L$4:$L$1203,$Z156-4000)),IF($Z156&lt;=5800,IF(INDEX(次果筐明细!$P$4:$P$603,$Z156-5200)=0,"",INDEX(次果筐明细!$P$4:$P$603,$Z156-5200)),"")))))</f>
        <v/>
      </c>
      <c r="N156" s="16" t="str">
        <f>IF($Z156="","",IF($Z156&lt;=2000,"",IF($Z156&lt;=4000,IF(INDEX(周转筐出入库明细!$D$4:$D$2004,$Z156-2000)=0,"",INDEX(周转筐出入库明细!$D$4:$D$2004,$Z156-2000)),IF($Z156&lt;=5200,IF(INDEX(客户自备加工筐明细!$C$4:$C$1203,$Z156-4000)=0,"",INDEX(客户自备加工筐明细!$C$4:$C$1203,$Z156-4000)),IF($Z156&lt;=5800,IF(INDEX(次果筐明细!$D$4:$D$603,$Z156-5200)=0,"",INDEX(次果筐明细!$D$4:$D$603,$Z156-5200)),"")))))</f>
        <v/>
      </c>
      <c r="O156" s="40" t="str">
        <f>IF($Z156="","",IF($Z156&lt;=2000,"",IF($Z156&lt;=4000,IF(N(INDEX(周转筐出入库明细!$J$4:$J$2004,$Z156-2000))+N(INDEX(周转筐出入库明细!$K$4:$K$2004,$Z156-2000))=0,"",N(INDEX(周转筐出入库明细!$J$4:$J$2004,$Z156-2000))+N(INDEX(周转筐出入库明细!$K$4:$K$2004,$Z156-2000))),IF($Z156&lt;=5200,IF(N(INDEX(客户自备加工筐明细!$G$4:$G$1203,$Z156-4000))=0,"",N(INDEX(客户自备加工筐明细!$G$4:$G$1203,$Z156-4000))),IF($Z156&lt;=5800,IF(ISNUMBER(SEARCH("退",INDEX(次果筐明细!$F$4:$F$603,$Z156-5200)&amp;"")),"",IF(N(INDEX(次果筐明细!$G$4:$G$603,$Z156-5200))=0,"",N(INDEX(次果筐明细!$G$4:$G$603,$Z156-5200)))),"")))))</f>
        <v/>
      </c>
      <c r="P156" s="40" t="str">
        <f>IF($Z156="","",IF($Z156&lt;=2000,"",IF($Z156&lt;=4000,IF(N(INDEX(周转筐出入库明细!$I$4:$I$2004,$Z156-2000))=0,"",N(INDEX(周转筐出入库明细!$I$4:$I$2004,$Z156-2000))),IF($Z156&lt;=5200,"",IF($Z156&lt;=5800,IF(ISNUMBER(SEARCH("退",INDEX(次果筐明细!$F$4:$F$603,$Z156-5200)&amp;"")),IF(N(INDEX(次果筐明细!$G$4:$G$603,$Z156-5200))=0,"",N(INDEX(次果筐明细!$G$4:$G$603,$Z156-5200))),""),"")))))</f>
        <v/>
      </c>
      <c r="Q156" s="40" t="str">
        <f>IF($Z156="","",IF($Z156&lt;=2000,"",IF($Z156&lt;=4000,IF(N(INDEX(周转筐出入库明细!$H$4:$H$2004,$Z156-2000))=0,"",N(INDEX(周转筐出入库明细!$H$4:$H$2004,$Z156-2000))),IF($Z156&lt;=5200,IF(N(INDEX(客户自备加工筐明细!$F$4:$F$1203,$Z156-4000))=0,"",N(INDEX(客户自备加工筐明细!$F$4:$F$1203,$Z156-4000))),IF($Z156&lt;=5800,"","")))))</f>
        <v/>
      </c>
      <c r="R156" s="16" t="str">
        <f>IF($Z156="","",IF($Z156&lt;=2000,IF(INDEX(包装物料出入库明细!$O$4:$O$2003,$Z156-0)=0,"",INDEX(包装物料出入库明细!$O$4:$O$2003,$Z156-0)),IF($Z156&lt;=4000,IF(INDEX(周转筐出入库明细!$M$4:$M$2004,$Z156-2000)=0,"",INDEX(周转筐出入库明细!$M$4:$M$2004,$Z156-2000)),IF($Z156&lt;=5200,IF(INDEX(客户自备加工筐明细!$H$4:$H$1203,$Z156-4000)=0,"",INDEX(客户自备加工筐明细!$H$4:$H$1203,$Z156-4000)),IF($Z156&lt;=5800,IF(INDEX(次果筐明细!$H$4:$H$603,$Z156-5200)=0,"",INDEX(次果筐明细!$H$4:$H$603,$Z156-5200)),"")))))</f>
        <v/>
      </c>
      <c r="S156" s="22" t="str">
        <f t="shared" si="8"/>
        <v/>
      </c>
      <c r="Z156" s="10" t="str">
        <f>IFERROR(MATCH(ROW()-3,_自动清单!$CQ$4:$CQ$5803,0),"")</f>
        <v/>
      </c>
    </row>
    <row r="157" spans="1:26">
      <c r="A157" s="24" t="str">
        <f t="shared" si="6"/>
        <v/>
      </c>
      <c r="B157" s="38" t="str">
        <f>IF($Z157="","",IF($Z157&lt;=2000,IF(INDEX(包装物料出入库明细!$B$4:$B$2003,$Z157-0)=0,"",INDEX(包装物料出入库明细!$B$4:$B$2003,$Z157-0)),IF($Z157&lt;=4000,IF(INDEX(周转筐出入库明细!$B$4:$B$2004,$Z157-2000)=0,"",INDEX(周转筐出入库明细!$B$4:$B$2004,$Z157-2000)),IF($Z157&lt;=5200,IF(INDEX(客户自备加工筐明细!$B$4:$B$1203,$Z157-4000)=0,"",INDEX(客户自备加工筐明细!$B$4:$B$1203,$Z157-4000)),IF($Z157&lt;=5800,IF(INDEX(次果筐明细!$B$4:$B$603,$Z157-5200)=0,"",INDEX(次果筐明细!$B$4:$B$603,$Z157-5200)),"")))))</f>
        <v/>
      </c>
      <c r="C157" s="37" t="str">
        <f>IF($Z157="","",IF($Z157&lt;=2000,IF(INDEX(包装物料出入库明细!$D$4:$D$2003,$Z157-0)=0,"",INDEX(包装物料出入库明细!$D$4:$D$2003,$Z157-0)),IF($Z157&lt;=4000,IF(INDEX(周转筐出入库明细!$C$4:$C$2004,$Z157-2000)=0,"",INDEX(周转筐出入库明细!$C$4:$C$2004,$Z157-2000)),IF($Z157&lt;=5200,IF(INDEX(客户自备加工筐明细!$E$4:$E$1203,$Z157-4000)=0,"",INDEX(客户自备加工筐明细!$E$4:$E$1203,$Z157-4000)),IF($Z157&lt;=5800,IF(INDEX(次果筐明细!$C$4:$C$603,$Z157-5200)=0,"",INDEX(次果筐明细!$C$4:$C$603,$Z157-5200)),"")))))</f>
        <v/>
      </c>
      <c r="D157" s="37" t="str">
        <f>IF($Z157="","",IF($Z157&lt;=2000,"包装物料－"&amp;INDEX(包装物料出入库明细!$H$4:$H$2003,$Z157-0),IF($Z157&lt;=4000,"周转筐－"&amp;INDEX(周转筐出入库明细!$F$4:$F$2004,$Z157-2000),IF($Z157&lt;=5200,"客户自备筐－"&amp;INDEX(客户自备加工筐明细!$J$4:$J$1203,$Z157-4000),IF($Z157&lt;=5800,"次果筐/托盘－"&amp;INDEX(次果筐明细!$F$4:$F$603,$Z157-5200),"")))))</f>
        <v/>
      </c>
      <c r="E157" s="24" t="str">
        <f>IF($Z157="","",IF($Z157&lt;=2000,IF(INDEX(包装物料出入库明细!$C$4:$C$2003,$Z157-0)=0,"",INDEX(包装物料出入库明细!$C$4:$C$2003,$Z157-0)),IF($Z157&lt;=4000,IF(INDEX(周转筐出入库明细!$E$4:$E$2004,$Z157-2000)=0,"",INDEX(周转筐出入库明细!$E$4:$E$2004,$Z157-2000)),IF($Z157&lt;=5200,IF(INDEX(客户自备加工筐明细!$D$4:$D$1203,$Z157-4000)=0,"",INDEX(客户自备加工筐明细!$D$4:$D$1203,$Z157-4000)),IF($Z157&lt;=5800,IF(INDEX(次果筐明细!$E$4:$E$603,$Z157-5200)=0,"",INDEX(次果筐明细!$E$4:$E$603,$Z157-5200)),"")))))</f>
        <v/>
      </c>
      <c r="F157" s="24" t="str">
        <f>IF($Z157="","",IF($Z157&lt;=2000,IF(INDEX(包装物料出入库明细!$E$4:$E$2003,$Z157-0)=0,"",INDEX(包装物料出入库明细!$E$4:$E$2003,$Z157-0)),IF($Z157&lt;=4000,IF(INDEX(周转筐出入库明细!$D$4:$D$2004,$Z157-2000)=0,"",INDEX(周转筐出入库明细!$D$4:$D$2004,$Z157-2000)),IF($Z157&lt;=5200,IF(INDEX(客户自备加工筐明细!$C$4:$C$1203,$Z157-4000)=0,"",INDEX(客户自备加工筐明细!$C$4:$C$1203,$Z157-4000)),IF($Z157&lt;=5800,IF(INDEX(次果筐明细!$D$4:$D$603,$Z157-5200)=0,"",INDEX(次果筐明细!$D$4:$D$603,$Z157-5200)),"")))))</f>
        <v/>
      </c>
      <c r="G157" s="24" t="str">
        <f>IF($Z157="","",IF($Z157&lt;=2000,IF(INDEX(包装物料出入库明细!$F$4:$F$2003,$Z157-0)=0,"",INDEX(包装物料出入库明细!$F$4:$F$2003,$Z157-0)),IF($Z157&lt;=4000,"",IF($Z157&lt;=5200,"",IF($Z157&lt;=5800,"","")))))</f>
        <v/>
      </c>
      <c r="H157" s="39" t="str">
        <f>IF($Z157="","",IF($Z157&lt;=2000,IF(INDEX(包装物料出入库明细!$L$4:$L$2003,$Z157-0)=0,"",INDEX(包装物料出入库明细!$L$4:$L$2003,$Z157-0)),IF($Z157&lt;=4000,N(INDEX(周转筐出入库明细!$H$4:$H$2004,$Z157-2000))+N(INDEX(周转筐出入库明细!$I$4:$I$2004,$Z157-2000))+N(INDEX(周转筐出入库明细!$J$4:$J$2004,$Z157-2000))+N(INDEX(周转筐出入库明细!$K$4:$K$2004,$Z157-2000)),IF($Z157&lt;=5200,N(INDEX(客户自备加工筐明细!$F$4:$F$1203,$Z157-4000))+N(INDEX(客户自备加工筐明细!$G$4:$G$1203,$Z157-4000)),IF($Z157&lt;=5800,IF(INDEX(次果筐明细!$G$4:$G$603,$Z157-5200)=0,"",INDEX(次果筐明细!$G$4:$G$603,$Z157-5200)),"")))))</f>
        <v/>
      </c>
      <c r="I157" s="24" t="str">
        <f>IF($Z157="","",IF($Z157&lt;=2000,IF(INDEX(包装物料出入库明细!$G$4:$G$2003,$Z157-0)=0,"",INDEX(包装物料出入库明细!$G$4:$G$2003,$Z157-0)),IF($Z157&lt;=4000,"个",IF($Z157&lt;=5200,"个",IF($Z157&lt;=5800,"个","")))))</f>
        <v/>
      </c>
      <c r="J157" s="30" t="str">
        <f t="shared" si="7"/>
        <v/>
      </c>
      <c r="K157" s="30" t="str">
        <f>IF($Z157="","",IF($Z157&lt;=2000,IF(INDEX(包装物料出入库明细!$N$4:$N$2003,$Z157-0)=0,"",INDEX(包装物料出入库明细!$N$4:$N$2003,$Z157-0)),IF($Z157&lt;=4000,IF(INDEX(周转筐出入库明细!$P$4:$P$2004,$Z157-2000)=0,"",INDEX(周转筐出入库明细!$P$4:$P$2004,$Z157-2000)),IF($Z157&lt;=5200,"",IF($Z157&lt;=5800,N(INDEX(次果筐明细!$L$4:$L$603,$Z157-5200))+N(INDEX(次果筐明细!$J$4:$J$603,$Z157-5200)),"")))))</f>
        <v/>
      </c>
      <c r="L157" s="24" t="str">
        <f>IF($Z157="","",IF($Z157&lt;=2000,IF(INDEX(包装物料出入库明细!$P$4:$P$2003,$Z157-0)=0,"",INDEX(包装物料出入库明细!$P$4:$P$2003,$Z157-0)),IF($Z157&lt;=4000,IF(INDEX(周转筐出入库明细!$Q$4:$Q$2004,$Z157-2000)=0,"",INDEX(周转筐出入库明细!$Q$4:$Q$2004,$Z157-2000)),IF($Z157&lt;=5200,"",IF($Z157&lt;=5800,IF(INDEX(次果筐明细!$M$4:$M$603,$Z157-5200)=0,"",INDEX(次果筐明细!$M$4:$M$603,$Z157-5200)),"")))))</f>
        <v/>
      </c>
      <c r="M157" s="37" t="str">
        <f>IF($Z157="","",IF($Z157&lt;=2000,IF(INDEX(包装物料出入库明细!$R$4:$R$2003,$Z157-0)=0,"",INDEX(包装物料出入库明细!$R$4:$R$2003,$Z157-0)),IF($Z157&lt;=4000,IF(INDEX(周转筐出入库明细!$W$4:$W$2004,$Z157-2000)=0,"",INDEX(周转筐出入库明细!$W$4:$W$2004,$Z157-2000)),IF($Z157&lt;=5200,IF(INDEX(客户自备加工筐明细!$L$4:$L$1203,$Z157-4000)=0,"",INDEX(客户自备加工筐明细!$L$4:$L$1203,$Z157-4000)),IF($Z157&lt;=5800,IF(INDEX(次果筐明细!$P$4:$P$603,$Z157-5200)=0,"",INDEX(次果筐明细!$P$4:$P$603,$Z157-5200)),"")))))</f>
        <v/>
      </c>
      <c r="N157" s="16" t="str">
        <f>IF($Z157="","",IF($Z157&lt;=2000,"",IF($Z157&lt;=4000,IF(INDEX(周转筐出入库明细!$D$4:$D$2004,$Z157-2000)=0,"",INDEX(周转筐出入库明细!$D$4:$D$2004,$Z157-2000)),IF($Z157&lt;=5200,IF(INDEX(客户自备加工筐明细!$C$4:$C$1203,$Z157-4000)=0,"",INDEX(客户自备加工筐明细!$C$4:$C$1203,$Z157-4000)),IF($Z157&lt;=5800,IF(INDEX(次果筐明细!$D$4:$D$603,$Z157-5200)=0,"",INDEX(次果筐明细!$D$4:$D$603,$Z157-5200)),"")))))</f>
        <v/>
      </c>
      <c r="O157" s="40" t="str">
        <f>IF($Z157="","",IF($Z157&lt;=2000,"",IF($Z157&lt;=4000,IF(N(INDEX(周转筐出入库明细!$J$4:$J$2004,$Z157-2000))+N(INDEX(周转筐出入库明细!$K$4:$K$2004,$Z157-2000))=0,"",N(INDEX(周转筐出入库明细!$J$4:$J$2004,$Z157-2000))+N(INDEX(周转筐出入库明细!$K$4:$K$2004,$Z157-2000))),IF($Z157&lt;=5200,IF(N(INDEX(客户自备加工筐明细!$G$4:$G$1203,$Z157-4000))=0,"",N(INDEX(客户自备加工筐明细!$G$4:$G$1203,$Z157-4000))),IF($Z157&lt;=5800,IF(ISNUMBER(SEARCH("退",INDEX(次果筐明细!$F$4:$F$603,$Z157-5200)&amp;"")),"",IF(N(INDEX(次果筐明细!$G$4:$G$603,$Z157-5200))=0,"",N(INDEX(次果筐明细!$G$4:$G$603,$Z157-5200)))),"")))))</f>
        <v/>
      </c>
      <c r="P157" s="40" t="str">
        <f>IF($Z157="","",IF($Z157&lt;=2000,"",IF($Z157&lt;=4000,IF(N(INDEX(周转筐出入库明细!$I$4:$I$2004,$Z157-2000))=0,"",N(INDEX(周转筐出入库明细!$I$4:$I$2004,$Z157-2000))),IF($Z157&lt;=5200,"",IF($Z157&lt;=5800,IF(ISNUMBER(SEARCH("退",INDEX(次果筐明细!$F$4:$F$603,$Z157-5200)&amp;"")),IF(N(INDEX(次果筐明细!$G$4:$G$603,$Z157-5200))=0,"",N(INDEX(次果筐明细!$G$4:$G$603,$Z157-5200))),""),"")))))</f>
        <v/>
      </c>
      <c r="Q157" s="40" t="str">
        <f>IF($Z157="","",IF($Z157&lt;=2000,"",IF($Z157&lt;=4000,IF(N(INDEX(周转筐出入库明细!$H$4:$H$2004,$Z157-2000))=0,"",N(INDEX(周转筐出入库明细!$H$4:$H$2004,$Z157-2000))),IF($Z157&lt;=5200,IF(N(INDEX(客户自备加工筐明细!$F$4:$F$1203,$Z157-4000))=0,"",N(INDEX(客户自备加工筐明细!$F$4:$F$1203,$Z157-4000))),IF($Z157&lt;=5800,"","")))))</f>
        <v/>
      </c>
      <c r="R157" s="16" t="str">
        <f>IF($Z157="","",IF($Z157&lt;=2000,IF(INDEX(包装物料出入库明细!$O$4:$O$2003,$Z157-0)=0,"",INDEX(包装物料出入库明细!$O$4:$O$2003,$Z157-0)),IF($Z157&lt;=4000,IF(INDEX(周转筐出入库明细!$M$4:$M$2004,$Z157-2000)=0,"",INDEX(周转筐出入库明细!$M$4:$M$2004,$Z157-2000)),IF($Z157&lt;=5200,IF(INDEX(客户自备加工筐明细!$H$4:$H$1203,$Z157-4000)=0,"",INDEX(客户自备加工筐明细!$H$4:$H$1203,$Z157-4000)),IF($Z157&lt;=5800,IF(INDEX(次果筐明细!$H$4:$H$603,$Z157-5200)=0,"",INDEX(次果筐明细!$H$4:$H$603,$Z157-5200)),"")))))</f>
        <v/>
      </c>
      <c r="S157" s="22" t="str">
        <f t="shared" si="8"/>
        <v/>
      </c>
      <c r="Z157" s="10" t="str">
        <f>IFERROR(MATCH(ROW()-3,_自动清单!$CQ$4:$CQ$5803,0),"")</f>
        <v/>
      </c>
    </row>
    <row r="158" spans="1:26">
      <c r="A158" s="24" t="str">
        <f t="shared" si="6"/>
        <v/>
      </c>
      <c r="B158" s="38" t="str">
        <f>IF($Z158="","",IF($Z158&lt;=2000,IF(INDEX(包装物料出入库明细!$B$4:$B$2003,$Z158-0)=0,"",INDEX(包装物料出入库明细!$B$4:$B$2003,$Z158-0)),IF($Z158&lt;=4000,IF(INDEX(周转筐出入库明细!$B$4:$B$2004,$Z158-2000)=0,"",INDEX(周转筐出入库明细!$B$4:$B$2004,$Z158-2000)),IF($Z158&lt;=5200,IF(INDEX(客户自备加工筐明细!$B$4:$B$1203,$Z158-4000)=0,"",INDEX(客户自备加工筐明细!$B$4:$B$1203,$Z158-4000)),IF($Z158&lt;=5800,IF(INDEX(次果筐明细!$B$4:$B$603,$Z158-5200)=0,"",INDEX(次果筐明细!$B$4:$B$603,$Z158-5200)),"")))))</f>
        <v/>
      </c>
      <c r="C158" s="37" t="str">
        <f>IF($Z158="","",IF($Z158&lt;=2000,IF(INDEX(包装物料出入库明细!$D$4:$D$2003,$Z158-0)=0,"",INDEX(包装物料出入库明细!$D$4:$D$2003,$Z158-0)),IF($Z158&lt;=4000,IF(INDEX(周转筐出入库明细!$C$4:$C$2004,$Z158-2000)=0,"",INDEX(周转筐出入库明细!$C$4:$C$2004,$Z158-2000)),IF($Z158&lt;=5200,IF(INDEX(客户自备加工筐明细!$E$4:$E$1203,$Z158-4000)=0,"",INDEX(客户自备加工筐明细!$E$4:$E$1203,$Z158-4000)),IF($Z158&lt;=5800,IF(INDEX(次果筐明细!$C$4:$C$603,$Z158-5200)=0,"",INDEX(次果筐明细!$C$4:$C$603,$Z158-5200)),"")))))</f>
        <v/>
      </c>
      <c r="D158" s="37" t="str">
        <f>IF($Z158="","",IF($Z158&lt;=2000,"包装物料－"&amp;INDEX(包装物料出入库明细!$H$4:$H$2003,$Z158-0),IF($Z158&lt;=4000,"周转筐－"&amp;INDEX(周转筐出入库明细!$F$4:$F$2004,$Z158-2000),IF($Z158&lt;=5200,"客户自备筐－"&amp;INDEX(客户自备加工筐明细!$J$4:$J$1203,$Z158-4000),IF($Z158&lt;=5800,"次果筐/托盘－"&amp;INDEX(次果筐明细!$F$4:$F$603,$Z158-5200),"")))))</f>
        <v/>
      </c>
      <c r="E158" s="24" t="str">
        <f>IF($Z158="","",IF($Z158&lt;=2000,IF(INDEX(包装物料出入库明细!$C$4:$C$2003,$Z158-0)=0,"",INDEX(包装物料出入库明细!$C$4:$C$2003,$Z158-0)),IF($Z158&lt;=4000,IF(INDEX(周转筐出入库明细!$E$4:$E$2004,$Z158-2000)=0,"",INDEX(周转筐出入库明细!$E$4:$E$2004,$Z158-2000)),IF($Z158&lt;=5200,IF(INDEX(客户自备加工筐明细!$D$4:$D$1203,$Z158-4000)=0,"",INDEX(客户自备加工筐明细!$D$4:$D$1203,$Z158-4000)),IF($Z158&lt;=5800,IF(INDEX(次果筐明细!$E$4:$E$603,$Z158-5200)=0,"",INDEX(次果筐明细!$E$4:$E$603,$Z158-5200)),"")))))</f>
        <v/>
      </c>
      <c r="F158" s="24" t="str">
        <f>IF($Z158="","",IF($Z158&lt;=2000,IF(INDEX(包装物料出入库明细!$E$4:$E$2003,$Z158-0)=0,"",INDEX(包装物料出入库明细!$E$4:$E$2003,$Z158-0)),IF($Z158&lt;=4000,IF(INDEX(周转筐出入库明细!$D$4:$D$2004,$Z158-2000)=0,"",INDEX(周转筐出入库明细!$D$4:$D$2004,$Z158-2000)),IF($Z158&lt;=5200,IF(INDEX(客户自备加工筐明细!$C$4:$C$1203,$Z158-4000)=0,"",INDEX(客户自备加工筐明细!$C$4:$C$1203,$Z158-4000)),IF($Z158&lt;=5800,IF(INDEX(次果筐明细!$D$4:$D$603,$Z158-5200)=0,"",INDEX(次果筐明细!$D$4:$D$603,$Z158-5200)),"")))))</f>
        <v/>
      </c>
      <c r="G158" s="24" t="str">
        <f>IF($Z158="","",IF($Z158&lt;=2000,IF(INDEX(包装物料出入库明细!$F$4:$F$2003,$Z158-0)=0,"",INDEX(包装物料出入库明细!$F$4:$F$2003,$Z158-0)),IF($Z158&lt;=4000,"",IF($Z158&lt;=5200,"",IF($Z158&lt;=5800,"","")))))</f>
        <v/>
      </c>
      <c r="H158" s="39" t="str">
        <f>IF($Z158="","",IF($Z158&lt;=2000,IF(INDEX(包装物料出入库明细!$L$4:$L$2003,$Z158-0)=0,"",INDEX(包装物料出入库明细!$L$4:$L$2003,$Z158-0)),IF($Z158&lt;=4000,N(INDEX(周转筐出入库明细!$H$4:$H$2004,$Z158-2000))+N(INDEX(周转筐出入库明细!$I$4:$I$2004,$Z158-2000))+N(INDEX(周转筐出入库明细!$J$4:$J$2004,$Z158-2000))+N(INDEX(周转筐出入库明细!$K$4:$K$2004,$Z158-2000)),IF($Z158&lt;=5200,N(INDEX(客户自备加工筐明细!$F$4:$F$1203,$Z158-4000))+N(INDEX(客户自备加工筐明细!$G$4:$G$1203,$Z158-4000)),IF($Z158&lt;=5800,IF(INDEX(次果筐明细!$G$4:$G$603,$Z158-5200)=0,"",INDEX(次果筐明细!$G$4:$G$603,$Z158-5200)),"")))))</f>
        <v/>
      </c>
      <c r="I158" s="24" t="str">
        <f>IF($Z158="","",IF($Z158&lt;=2000,IF(INDEX(包装物料出入库明细!$G$4:$G$2003,$Z158-0)=0,"",INDEX(包装物料出入库明细!$G$4:$G$2003,$Z158-0)),IF($Z158&lt;=4000,"个",IF($Z158&lt;=5200,"个",IF($Z158&lt;=5800,"个","")))))</f>
        <v/>
      </c>
      <c r="J158" s="30" t="str">
        <f t="shared" si="7"/>
        <v/>
      </c>
      <c r="K158" s="30" t="str">
        <f>IF($Z158="","",IF($Z158&lt;=2000,IF(INDEX(包装物料出入库明细!$N$4:$N$2003,$Z158-0)=0,"",INDEX(包装物料出入库明细!$N$4:$N$2003,$Z158-0)),IF($Z158&lt;=4000,IF(INDEX(周转筐出入库明细!$P$4:$P$2004,$Z158-2000)=0,"",INDEX(周转筐出入库明细!$P$4:$P$2004,$Z158-2000)),IF($Z158&lt;=5200,"",IF($Z158&lt;=5800,N(INDEX(次果筐明细!$L$4:$L$603,$Z158-5200))+N(INDEX(次果筐明细!$J$4:$J$603,$Z158-5200)),"")))))</f>
        <v/>
      </c>
      <c r="L158" s="24" t="str">
        <f>IF($Z158="","",IF($Z158&lt;=2000,IF(INDEX(包装物料出入库明细!$P$4:$P$2003,$Z158-0)=0,"",INDEX(包装物料出入库明细!$P$4:$P$2003,$Z158-0)),IF($Z158&lt;=4000,IF(INDEX(周转筐出入库明细!$Q$4:$Q$2004,$Z158-2000)=0,"",INDEX(周转筐出入库明细!$Q$4:$Q$2004,$Z158-2000)),IF($Z158&lt;=5200,"",IF($Z158&lt;=5800,IF(INDEX(次果筐明细!$M$4:$M$603,$Z158-5200)=0,"",INDEX(次果筐明细!$M$4:$M$603,$Z158-5200)),"")))))</f>
        <v/>
      </c>
      <c r="M158" s="37" t="str">
        <f>IF($Z158="","",IF($Z158&lt;=2000,IF(INDEX(包装物料出入库明细!$R$4:$R$2003,$Z158-0)=0,"",INDEX(包装物料出入库明细!$R$4:$R$2003,$Z158-0)),IF($Z158&lt;=4000,IF(INDEX(周转筐出入库明细!$W$4:$W$2004,$Z158-2000)=0,"",INDEX(周转筐出入库明细!$W$4:$W$2004,$Z158-2000)),IF($Z158&lt;=5200,IF(INDEX(客户自备加工筐明细!$L$4:$L$1203,$Z158-4000)=0,"",INDEX(客户自备加工筐明细!$L$4:$L$1203,$Z158-4000)),IF($Z158&lt;=5800,IF(INDEX(次果筐明细!$P$4:$P$603,$Z158-5200)=0,"",INDEX(次果筐明细!$P$4:$P$603,$Z158-5200)),"")))))</f>
        <v/>
      </c>
      <c r="N158" s="16" t="str">
        <f>IF($Z158="","",IF($Z158&lt;=2000,"",IF($Z158&lt;=4000,IF(INDEX(周转筐出入库明细!$D$4:$D$2004,$Z158-2000)=0,"",INDEX(周转筐出入库明细!$D$4:$D$2004,$Z158-2000)),IF($Z158&lt;=5200,IF(INDEX(客户自备加工筐明细!$C$4:$C$1203,$Z158-4000)=0,"",INDEX(客户自备加工筐明细!$C$4:$C$1203,$Z158-4000)),IF($Z158&lt;=5800,IF(INDEX(次果筐明细!$D$4:$D$603,$Z158-5200)=0,"",INDEX(次果筐明细!$D$4:$D$603,$Z158-5200)),"")))))</f>
        <v/>
      </c>
      <c r="O158" s="40" t="str">
        <f>IF($Z158="","",IF($Z158&lt;=2000,"",IF($Z158&lt;=4000,IF(N(INDEX(周转筐出入库明细!$J$4:$J$2004,$Z158-2000))+N(INDEX(周转筐出入库明细!$K$4:$K$2004,$Z158-2000))=0,"",N(INDEX(周转筐出入库明细!$J$4:$J$2004,$Z158-2000))+N(INDEX(周转筐出入库明细!$K$4:$K$2004,$Z158-2000))),IF($Z158&lt;=5200,IF(N(INDEX(客户自备加工筐明细!$G$4:$G$1203,$Z158-4000))=0,"",N(INDEX(客户自备加工筐明细!$G$4:$G$1203,$Z158-4000))),IF($Z158&lt;=5800,IF(ISNUMBER(SEARCH("退",INDEX(次果筐明细!$F$4:$F$603,$Z158-5200)&amp;"")),"",IF(N(INDEX(次果筐明细!$G$4:$G$603,$Z158-5200))=0,"",N(INDEX(次果筐明细!$G$4:$G$603,$Z158-5200)))),"")))))</f>
        <v/>
      </c>
      <c r="P158" s="40" t="str">
        <f>IF($Z158="","",IF($Z158&lt;=2000,"",IF($Z158&lt;=4000,IF(N(INDEX(周转筐出入库明细!$I$4:$I$2004,$Z158-2000))=0,"",N(INDEX(周转筐出入库明细!$I$4:$I$2004,$Z158-2000))),IF($Z158&lt;=5200,"",IF($Z158&lt;=5800,IF(ISNUMBER(SEARCH("退",INDEX(次果筐明细!$F$4:$F$603,$Z158-5200)&amp;"")),IF(N(INDEX(次果筐明细!$G$4:$G$603,$Z158-5200))=0,"",N(INDEX(次果筐明细!$G$4:$G$603,$Z158-5200))),""),"")))))</f>
        <v/>
      </c>
      <c r="Q158" s="40" t="str">
        <f>IF($Z158="","",IF($Z158&lt;=2000,"",IF($Z158&lt;=4000,IF(N(INDEX(周转筐出入库明细!$H$4:$H$2004,$Z158-2000))=0,"",N(INDEX(周转筐出入库明细!$H$4:$H$2004,$Z158-2000))),IF($Z158&lt;=5200,IF(N(INDEX(客户自备加工筐明细!$F$4:$F$1203,$Z158-4000))=0,"",N(INDEX(客户自备加工筐明细!$F$4:$F$1203,$Z158-4000))),IF($Z158&lt;=5800,"","")))))</f>
        <v/>
      </c>
      <c r="R158" s="16" t="str">
        <f>IF($Z158="","",IF($Z158&lt;=2000,IF(INDEX(包装物料出入库明细!$O$4:$O$2003,$Z158-0)=0,"",INDEX(包装物料出入库明细!$O$4:$O$2003,$Z158-0)),IF($Z158&lt;=4000,IF(INDEX(周转筐出入库明细!$M$4:$M$2004,$Z158-2000)=0,"",INDEX(周转筐出入库明细!$M$4:$M$2004,$Z158-2000)),IF($Z158&lt;=5200,IF(INDEX(客户自备加工筐明细!$H$4:$H$1203,$Z158-4000)=0,"",INDEX(客户自备加工筐明细!$H$4:$H$1203,$Z158-4000)),IF($Z158&lt;=5800,IF(INDEX(次果筐明细!$H$4:$H$603,$Z158-5200)=0,"",INDEX(次果筐明细!$H$4:$H$603,$Z158-5200)),"")))))</f>
        <v/>
      </c>
      <c r="S158" s="22" t="str">
        <f t="shared" si="8"/>
        <v/>
      </c>
      <c r="Z158" s="10" t="str">
        <f>IFERROR(MATCH(ROW()-3,_自动清单!$CQ$4:$CQ$5803,0),"")</f>
        <v/>
      </c>
    </row>
    <row r="159" spans="1:26">
      <c r="A159" s="24" t="str">
        <f t="shared" si="6"/>
        <v/>
      </c>
      <c r="B159" s="38" t="str">
        <f>IF($Z159="","",IF($Z159&lt;=2000,IF(INDEX(包装物料出入库明细!$B$4:$B$2003,$Z159-0)=0,"",INDEX(包装物料出入库明细!$B$4:$B$2003,$Z159-0)),IF($Z159&lt;=4000,IF(INDEX(周转筐出入库明细!$B$4:$B$2004,$Z159-2000)=0,"",INDEX(周转筐出入库明细!$B$4:$B$2004,$Z159-2000)),IF($Z159&lt;=5200,IF(INDEX(客户自备加工筐明细!$B$4:$B$1203,$Z159-4000)=0,"",INDEX(客户自备加工筐明细!$B$4:$B$1203,$Z159-4000)),IF($Z159&lt;=5800,IF(INDEX(次果筐明细!$B$4:$B$603,$Z159-5200)=0,"",INDEX(次果筐明细!$B$4:$B$603,$Z159-5200)),"")))))</f>
        <v/>
      </c>
      <c r="C159" s="37" t="str">
        <f>IF($Z159="","",IF($Z159&lt;=2000,IF(INDEX(包装物料出入库明细!$D$4:$D$2003,$Z159-0)=0,"",INDEX(包装物料出入库明细!$D$4:$D$2003,$Z159-0)),IF($Z159&lt;=4000,IF(INDEX(周转筐出入库明细!$C$4:$C$2004,$Z159-2000)=0,"",INDEX(周转筐出入库明细!$C$4:$C$2004,$Z159-2000)),IF($Z159&lt;=5200,IF(INDEX(客户自备加工筐明细!$E$4:$E$1203,$Z159-4000)=0,"",INDEX(客户自备加工筐明细!$E$4:$E$1203,$Z159-4000)),IF($Z159&lt;=5800,IF(INDEX(次果筐明细!$C$4:$C$603,$Z159-5200)=0,"",INDEX(次果筐明细!$C$4:$C$603,$Z159-5200)),"")))))</f>
        <v/>
      </c>
      <c r="D159" s="37" t="str">
        <f>IF($Z159="","",IF($Z159&lt;=2000,"包装物料－"&amp;INDEX(包装物料出入库明细!$H$4:$H$2003,$Z159-0),IF($Z159&lt;=4000,"周转筐－"&amp;INDEX(周转筐出入库明细!$F$4:$F$2004,$Z159-2000),IF($Z159&lt;=5200,"客户自备筐－"&amp;INDEX(客户自备加工筐明细!$J$4:$J$1203,$Z159-4000),IF($Z159&lt;=5800,"次果筐/托盘－"&amp;INDEX(次果筐明细!$F$4:$F$603,$Z159-5200),"")))))</f>
        <v/>
      </c>
      <c r="E159" s="24" t="str">
        <f>IF($Z159="","",IF($Z159&lt;=2000,IF(INDEX(包装物料出入库明细!$C$4:$C$2003,$Z159-0)=0,"",INDEX(包装物料出入库明细!$C$4:$C$2003,$Z159-0)),IF($Z159&lt;=4000,IF(INDEX(周转筐出入库明细!$E$4:$E$2004,$Z159-2000)=0,"",INDEX(周转筐出入库明细!$E$4:$E$2004,$Z159-2000)),IF($Z159&lt;=5200,IF(INDEX(客户自备加工筐明细!$D$4:$D$1203,$Z159-4000)=0,"",INDEX(客户自备加工筐明细!$D$4:$D$1203,$Z159-4000)),IF($Z159&lt;=5800,IF(INDEX(次果筐明细!$E$4:$E$603,$Z159-5200)=0,"",INDEX(次果筐明细!$E$4:$E$603,$Z159-5200)),"")))))</f>
        <v/>
      </c>
      <c r="F159" s="24" t="str">
        <f>IF($Z159="","",IF($Z159&lt;=2000,IF(INDEX(包装物料出入库明细!$E$4:$E$2003,$Z159-0)=0,"",INDEX(包装物料出入库明细!$E$4:$E$2003,$Z159-0)),IF($Z159&lt;=4000,IF(INDEX(周转筐出入库明细!$D$4:$D$2004,$Z159-2000)=0,"",INDEX(周转筐出入库明细!$D$4:$D$2004,$Z159-2000)),IF($Z159&lt;=5200,IF(INDEX(客户自备加工筐明细!$C$4:$C$1203,$Z159-4000)=0,"",INDEX(客户自备加工筐明细!$C$4:$C$1203,$Z159-4000)),IF($Z159&lt;=5800,IF(INDEX(次果筐明细!$D$4:$D$603,$Z159-5200)=0,"",INDEX(次果筐明细!$D$4:$D$603,$Z159-5200)),"")))))</f>
        <v/>
      </c>
      <c r="G159" s="24" t="str">
        <f>IF($Z159="","",IF($Z159&lt;=2000,IF(INDEX(包装物料出入库明细!$F$4:$F$2003,$Z159-0)=0,"",INDEX(包装物料出入库明细!$F$4:$F$2003,$Z159-0)),IF($Z159&lt;=4000,"",IF($Z159&lt;=5200,"",IF($Z159&lt;=5800,"","")))))</f>
        <v/>
      </c>
      <c r="H159" s="39" t="str">
        <f>IF($Z159="","",IF($Z159&lt;=2000,IF(INDEX(包装物料出入库明细!$L$4:$L$2003,$Z159-0)=0,"",INDEX(包装物料出入库明细!$L$4:$L$2003,$Z159-0)),IF($Z159&lt;=4000,N(INDEX(周转筐出入库明细!$H$4:$H$2004,$Z159-2000))+N(INDEX(周转筐出入库明细!$I$4:$I$2004,$Z159-2000))+N(INDEX(周转筐出入库明细!$J$4:$J$2004,$Z159-2000))+N(INDEX(周转筐出入库明细!$K$4:$K$2004,$Z159-2000)),IF($Z159&lt;=5200,N(INDEX(客户自备加工筐明细!$F$4:$F$1203,$Z159-4000))+N(INDEX(客户自备加工筐明细!$G$4:$G$1203,$Z159-4000)),IF($Z159&lt;=5800,IF(INDEX(次果筐明细!$G$4:$G$603,$Z159-5200)=0,"",INDEX(次果筐明细!$G$4:$G$603,$Z159-5200)),"")))))</f>
        <v/>
      </c>
      <c r="I159" s="24" t="str">
        <f>IF($Z159="","",IF($Z159&lt;=2000,IF(INDEX(包装物料出入库明细!$G$4:$G$2003,$Z159-0)=0,"",INDEX(包装物料出入库明细!$G$4:$G$2003,$Z159-0)),IF($Z159&lt;=4000,"个",IF($Z159&lt;=5200,"个",IF($Z159&lt;=5800,"个","")))))</f>
        <v/>
      </c>
      <c r="J159" s="30" t="str">
        <f t="shared" si="7"/>
        <v/>
      </c>
      <c r="K159" s="30" t="str">
        <f>IF($Z159="","",IF($Z159&lt;=2000,IF(INDEX(包装物料出入库明细!$N$4:$N$2003,$Z159-0)=0,"",INDEX(包装物料出入库明细!$N$4:$N$2003,$Z159-0)),IF($Z159&lt;=4000,IF(INDEX(周转筐出入库明细!$P$4:$P$2004,$Z159-2000)=0,"",INDEX(周转筐出入库明细!$P$4:$P$2004,$Z159-2000)),IF($Z159&lt;=5200,"",IF($Z159&lt;=5800,N(INDEX(次果筐明细!$L$4:$L$603,$Z159-5200))+N(INDEX(次果筐明细!$J$4:$J$603,$Z159-5200)),"")))))</f>
        <v/>
      </c>
      <c r="L159" s="24" t="str">
        <f>IF($Z159="","",IF($Z159&lt;=2000,IF(INDEX(包装物料出入库明细!$P$4:$P$2003,$Z159-0)=0,"",INDEX(包装物料出入库明细!$P$4:$P$2003,$Z159-0)),IF($Z159&lt;=4000,IF(INDEX(周转筐出入库明细!$Q$4:$Q$2004,$Z159-2000)=0,"",INDEX(周转筐出入库明细!$Q$4:$Q$2004,$Z159-2000)),IF($Z159&lt;=5200,"",IF($Z159&lt;=5800,IF(INDEX(次果筐明细!$M$4:$M$603,$Z159-5200)=0,"",INDEX(次果筐明细!$M$4:$M$603,$Z159-5200)),"")))))</f>
        <v/>
      </c>
      <c r="M159" s="37" t="str">
        <f>IF($Z159="","",IF($Z159&lt;=2000,IF(INDEX(包装物料出入库明细!$R$4:$R$2003,$Z159-0)=0,"",INDEX(包装物料出入库明细!$R$4:$R$2003,$Z159-0)),IF($Z159&lt;=4000,IF(INDEX(周转筐出入库明细!$W$4:$W$2004,$Z159-2000)=0,"",INDEX(周转筐出入库明细!$W$4:$W$2004,$Z159-2000)),IF($Z159&lt;=5200,IF(INDEX(客户自备加工筐明细!$L$4:$L$1203,$Z159-4000)=0,"",INDEX(客户自备加工筐明细!$L$4:$L$1203,$Z159-4000)),IF($Z159&lt;=5800,IF(INDEX(次果筐明细!$P$4:$P$603,$Z159-5200)=0,"",INDEX(次果筐明细!$P$4:$P$603,$Z159-5200)),"")))))</f>
        <v/>
      </c>
      <c r="N159" s="16" t="str">
        <f>IF($Z159="","",IF($Z159&lt;=2000,"",IF($Z159&lt;=4000,IF(INDEX(周转筐出入库明细!$D$4:$D$2004,$Z159-2000)=0,"",INDEX(周转筐出入库明细!$D$4:$D$2004,$Z159-2000)),IF($Z159&lt;=5200,IF(INDEX(客户自备加工筐明细!$C$4:$C$1203,$Z159-4000)=0,"",INDEX(客户自备加工筐明细!$C$4:$C$1203,$Z159-4000)),IF($Z159&lt;=5800,IF(INDEX(次果筐明细!$D$4:$D$603,$Z159-5200)=0,"",INDEX(次果筐明细!$D$4:$D$603,$Z159-5200)),"")))))</f>
        <v/>
      </c>
      <c r="O159" s="40" t="str">
        <f>IF($Z159="","",IF($Z159&lt;=2000,"",IF($Z159&lt;=4000,IF(N(INDEX(周转筐出入库明细!$J$4:$J$2004,$Z159-2000))+N(INDEX(周转筐出入库明细!$K$4:$K$2004,$Z159-2000))=0,"",N(INDEX(周转筐出入库明细!$J$4:$J$2004,$Z159-2000))+N(INDEX(周转筐出入库明细!$K$4:$K$2004,$Z159-2000))),IF($Z159&lt;=5200,IF(N(INDEX(客户自备加工筐明细!$G$4:$G$1203,$Z159-4000))=0,"",N(INDEX(客户自备加工筐明细!$G$4:$G$1203,$Z159-4000))),IF($Z159&lt;=5800,IF(ISNUMBER(SEARCH("退",INDEX(次果筐明细!$F$4:$F$603,$Z159-5200)&amp;"")),"",IF(N(INDEX(次果筐明细!$G$4:$G$603,$Z159-5200))=0,"",N(INDEX(次果筐明细!$G$4:$G$603,$Z159-5200)))),"")))))</f>
        <v/>
      </c>
      <c r="P159" s="40" t="str">
        <f>IF($Z159="","",IF($Z159&lt;=2000,"",IF($Z159&lt;=4000,IF(N(INDEX(周转筐出入库明细!$I$4:$I$2004,$Z159-2000))=0,"",N(INDEX(周转筐出入库明细!$I$4:$I$2004,$Z159-2000))),IF($Z159&lt;=5200,"",IF($Z159&lt;=5800,IF(ISNUMBER(SEARCH("退",INDEX(次果筐明细!$F$4:$F$603,$Z159-5200)&amp;"")),IF(N(INDEX(次果筐明细!$G$4:$G$603,$Z159-5200))=0,"",N(INDEX(次果筐明细!$G$4:$G$603,$Z159-5200))),""),"")))))</f>
        <v/>
      </c>
      <c r="Q159" s="40" t="str">
        <f>IF($Z159="","",IF($Z159&lt;=2000,"",IF($Z159&lt;=4000,IF(N(INDEX(周转筐出入库明细!$H$4:$H$2004,$Z159-2000))=0,"",N(INDEX(周转筐出入库明细!$H$4:$H$2004,$Z159-2000))),IF($Z159&lt;=5200,IF(N(INDEX(客户自备加工筐明细!$F$4:$F$1203,$Z159-4000))=0,"",N(INDEX(客户自备加工筐明细!$F$4:$F$1203,$Z159-4000))),IF($Z159&lt;=5800,"","")))))</f>
        <v/>
      </c>
      <c r="R159" s="16" t="str">
        <f>IF($Z159="","",IF($Z159&lt;=2000,IF(INDEX(包装物料出入库明细!$O$4:$O$2003,$Z159-0)=0,"",INDEX(包装物料出入库明细!$O$4:$O$2003,$Z159-0)),IF($Z159&lt;=4000,IF(INDEX(周转筐出入库明细!$M$4:$M$2004,$Z159-2000)=0,"",INDEX(周转筐出入库明细!$M$4:$M$2004,$Z159-2000)),IF($Z159&lt;=5200,IF(INDEX(客户自备加工筐明细!$H$4:$H$1203,$Z159-4000)=0,"",INDEX(客户自备加工筐明细!$H$4:$H$1203,$Z159-4000)),IF($Z159&lt;=5800,IF(INDEX(次果筐明细!$H$4:$H$603,$Z159-5200)=0,"",INDEX(次果筐明细!$H$4:$H$603,$Z159-5200)),"")))))</f>
        <v/>
      </c>
      <c r="S159" s="22" t="str">
        <f t="shared" si="8"/>
        <v/>
      </c>
      <c r="Z159" s="10" t="str">
        <f>IFERROR(MATCH(ROW()-3,_自动清单!$CQ$4:$CQ$5803,0),"")</f>
        <v/>
      </c>
    </row>
    <row r="160" spans="1:26">
      <c r="A160" s="24" t="str">
        <f t="shared" si="6"/>
        <v/>
      </c>
      <c r="B160" s="38" t="str">
        <f>IF($Z160="","",IF($Z160&lt;=2000,IF(INDEX(包装物料出入库明细!$B$4:$B$2003,$Z160-0)=0,"",INDEX(包装物料出入库明细!$B$4:$B$2003,$Z160-0)),IF($Z160&lt;=4000,IF(INDEX(周转筐出入库明细!$B$4:$B$2004,$Z160-2000)=0,"",INDEX(周转筐出入库明细!$B$4:$B$2004,$Z160-2000)),IF($Z160&lt;=5200,IF(INDEX(客户自备加工筐明细!$B$4:$B$1203,$Z160-4000)=0,"",INDEX(客户自备加工筐明细!$B$4:$B$1203,$Z160-4000)),IF($Z160&lt;=5800,IF(INDEX(次果筐明细!$B$4:$B$603,$Z160-5200)=0,"",INDEX(次果筐明细!$B$4:$B$603,$Z160-5200)),"")))))</f>
        <v/>
      </c>
      <c r="C160" s="37" t="str">
        <f>IF($Z160="","",IF($Z160&lt;=2000,IF(INDEX(包装物料出入库明细!$D$4:$D$2003,$Z160-0)=0,"",INDEX(包装物料出入库明细!$D$4:$D$2003,$Z160-0)),IF($Z160&lt;=4000,IF(INDEX(周转筐出入库明细!$C$4:$C$2004,$Z160-2000)=0,"",INDEX(周转筐出入库明细!$C$4:$C$2004,$Z160-2000)),IF($Z160&lt;=5200,IF(INDEX(客户自备加工筐明细!$E$4:$E$1203,$Z160-4000)=0,"",INDEX(客户自备加工筐明细!$E$4:$E$1203,$Z160-4000)),IF($Z160&lt;=5800,IF(INDEX(次果筐明细!$C$4:$C$603,$Z160-5200)=0,"",INDEX(次果筐明细!$C$4:$C$603,$Z160-5200)),"")))))</f>
        <v/>
      </c>
      <c r="D160" s="37" t="str">
        <f>IF($Z160="","",IF($Z160&lt;=2000,"包装物料－"&amp;INDEX(包装物料出入库明细!$H$4:$H$2003,$Z160-0),IF($Z160&lt;=4000,"周转筐－"&amp;INDEX(周转筐出入库明细!$F$4:$F$2004,$Z160-2000),IF($Z160&lt;=5200,"客户自备筐－"&amp;INDEX(客户自备加工筐明细!$J$4:$J$1203,$Z160-4000),IF($Z160&lt;=5800,"次果筐/托盘－"&amp;INDEX(次果筐明细!$F$4:$F$603,$Z160-5200),"")))))</f>
        <v/>
      </c>
      <c r="E160" s="24" t="str">
        <f>IF($Z160="","",IF($Z160&lt;=2000,IF(INDEX(包装物料出入库明细!$C$4:$C$2003,$Z160-0)=0,"",INDEX(包装物料出入库明细!$C$4:$C$2003,$Z160-0)),IF($Z160&lt;=4000,IF(INDEX(周转筐出入库明细!$E$4:$E$2004,$Z160-2000)=0,"",INDEX(周转筐出入库明细!$E$4:$E$2004,$Z160-2000)),IF($Z160&lt;=5200,IF(INDEX(客户自备加工筐明细!$D$4:$D$1203,$Z160-4000)=0,"",INDEX(客户自备加工筐明细!$D$4:$D$1203,$Z160-4000)),IF($Z160&lt;=5800,IF(INDEX(次果筐明细!$E$4:$E$603,$Z160-5200)=0,"",INDEX(次果筐明细!$E$4:$E$603,$Z160-5200)),"")))))</f>
        <v/>
      </c>
      <c r="F160" s="24" t="str">
        <f>IF($Z160="","",IF($Z160&lt;=2000,IF(INDEX(包装物料出入库明细!$E$4:$E$2003,$Z160-0)=0,"",INDEX(包装物料出入库明细!$E$4:$E$2003,$Z160-0)),IF($Z160&lt;=4000,IF(INDEX(周转筐出入库明细!$D$4:$D$2004,$Z160-2000)=0,"",INDEX(周转筐出入库明细!$D$4:$D$2004,$Z160-2000)),IF($Z160&lt;=5200,IF(INDEX(客户自备加工筐明细!$C$4:$C$1203,$Z160-4000)=0,"",INDEX(客户自备加工筐明细!$C$4:$C$1203,$Z160-4000)),IF($Z160&lt;=5800,IF(INDEX(次果筐明细!$D$4:$D$603,$Z160-5200)=0,"",INDEX(次果筐明细!$D$4:$D$603,$Z160-5200)),"")))))</f>
        <v/>
      </c>
      <c r="G160" s="24" t="str">
        <f>IF($Z160="","",IF($Z160&lt;=2000,IF(INDEX(包装物料出入库明细!$F$4:$F$2003,$Z160-0)=0,"",INDEX(包装物料出入库明细!$F$4:$F$2003,$Z160-0)),IF($Z160&lt;=4000,"",IF($Z160&lt;=5200,"",IF($Z160&lt;=5800,"","")))))</f>
        <v/>
      </c>
      <c r="H160" s="39" t="str">
        <f>IF($Z160="","",IF($Z160&lt;=2000,IF(INDEX(包装物料出入库明细!$L$4:$L$2003,$Z160-0)=0,"",INDEX(包装物料出入库明细!$L$4:$L$2003,$Z160-0)),IF($Z160&lt;=4000,N(INDEX(周转筐出入库明细!$H$4:$H$2004,$Z160-2000))+N(INDEX(周转筐出入库明细!$I$4:$I$2004,$Z160-2000))+N(INDEX(周转筐出入库明细!$J$4:$J$2004,$Z160-2000))+N(INDEX(周转筐出入库明细!$K$4:$K$2004,$Z160-2000)),IF($Z160&lt;=5200,N(INDEX(客户自备加工筐明细!$F$4:$F$1203,$Z160-4000))+N(INDEX(客户自备加工筐明细!$G$4:$G$1203,$Z160-4000)),IF($Z160&lt;=5800,IF(INDEX(次果筐明细!$G$4:$G$603,$Z160-5200)=0,"",INDEX(次果筐明细!$G$4:$G$603,$Z160-5200)),"")))))</f>
        <v/>
      </c>
      <c r="I160" s="24" t="str">
        <f>IF($Z160="","",IF($Z160&lt;=2000,IF(INDEX(包装物料出入库明细!$G$4:$G$2003,$Z160-0)=0,"",INDEX(包装物料出入库明细!$G$4:$G$2003,$Z160-0)),IF($Z160&lt;=4000,"个",IF($Z160&lt;=5200,"个",IF($Z160&lt;=5800,"个","")))))</f>
        <v/>
      </c>
      <c r="J160" s="30" t="str">
        <f t="shared" si="7"/>
        <v/>
      </c>
      <c r="K160" s="30" t="str">
        <f>IF($Z160="","",IF($Z160&lt;=2000,IF(INDEX(包装物料出入库明细!$N$4:$N$2003,$Z160-0)=0,"",INDEX(包装物料出入库明细!$N$4:$N$2003,$Z160-0)),IF($Z160&lt;=4000,IF(INDEX(周转筐出入库明细!$P$4:$P$2004,$Z160-2000)=0,"",INDEX(周转筐出入库明细!$P$4:$P$2004,$Z160-2000)),IF($Z160&lt;=5200,"",IF($Z160&lt;=5800,N(INDEX(次果筐明细!$L$4:$L$603,$Z160-5200))+N(INDEX(次果筐明细!$J$4:$J$603,$Z160-5200)),"")))))</f>
        <v/>
      </c>
      <c r="L160" s="24" t="str">
        <f>IF($Z160="","",IF($Z160&lt;=2000,IF(INDEX(包装物料出入库明细!$P$4:$P$2003,$Z160-0)=0,"",INDEX(包装物料出入库明细!$P$4:$P$2003,$Z160-0)),IF($Z160&lt;=4000,IF(INDEX(周转筐出入库明细!$Q$4:$Q$2004,$Z160-2000)=0,"",INDEX(周转筐出入库明细!$Q$4:$Q$2004,$Z160-2000)),IF($Z160&lt;=5200,"",IF($Z160&lt;=5800,IF(INDEX(次果筐明细!$M$4:$M$603,$Z160-5200)=0,"",INDEX(次果筐明细!$M$4:$M$603,$Z160-5200)),"")))))</f>
        <v/>
      </c>
      <c r="M160" s="37" t="str">
        <f>IF($Z160="","",IF($Z160&lt;=2000,IF(INDEX(包装物料出入库明细!$R$4:$R$2003,$Z160-0)=0,"",INDEX(包装物料出入库明细!$R$4:$R$2003,$Z160-0)),IF($Z160&lt;=4000,IF(INDEX(周转筐出入库明细!$W$4:$W$2004,$Z160-2000)=0,"",INDEX(周转筐出入库明细!$W$4:$W$2004,$Z160-2000)),IF($Z160&lt;=5200,IF(INDEX(客户自备加工筐明细!$L$4:$L$1203,$Z160-4000)=0,"",INDEX(客户自备加工筐明细!$L$4:$L$1203,$Z160-4000)),IF($Z160&lt;=5800,IF(INDEX(次果筐明细!$P$4:$P$603,$Z160-5200)=0,"",INDEX(次果筐明细!$P$4:$P$603,$Z160-5200)),"")))))</f>
        <v/>
      </c>
      <c r="N160" s="16" t="str">
        <f>IF($Z160="","",IF($Z160&lt;=2000,"",IF($Z160&lt;=4000,IF(INDEX(周转筐出入库明细!$D$4:$D$2004,$Z160-2000)=0,"",INDEX(周转筐出入库明细!$D$4:$D$2004,$Z160-2000)),IF($Z160&lt;=5200,IF(INDEX(客户自备加工筐明细!$C$4:$C$1203,$Z160-4000)=0,"",INDEX(客户自备加工筐明细!$C$4:$C$1203,$Z160-4000)),IF($Z160&lt;=5800,IF(INDEX(次果筐明细!$D$4:$D$603,$Z160-5200)=0,"",INDEX(次果筐明细!$D$4:$D$603,$Z160-5200)),"")))))</f>
        <v/>
      </c>
      <c r="O160" s="40" t="str">
        <f>IF($Z160="","",IF($Z160&lt;=2000,"",IF($Z160&lt;=4000,IF(N(INDEX(周转筐出入库明细!$J$4:$J$2004,$Z160-2000))+N(INDEX(周转筐出入库明细!$K$4:$K$2004,$Z160-2000))=0,"",N(INDEX(周转筐出入库明细!$J$4:$J$2004,$Z160-2000))+N(INDEX(周转筐出入库明细!$K$4:$K$2004,$Z160-2000))),IF($Z160&lt;=5200,IF(N(INDEX(客户自备加工筐明细!$G$4:$G$1203,$Z160-4000))=0,"",N(INDEX(客户自备加工筐明细!$G$4:$G$1203,$Z160-4000))),IF($Z160&lt;=5800,IF(ISNUMBER(SEARCH("退",INDEX(次果筐明细!$F$4:$F$603,$Z160-5200)&amp;"")),"",IF(N(INDEX(次果筐明细!$G$4:$G$603,$Z160-5200))=0,"",N(INDEX(次果筐明细!$G$4:$G$603,$Z160-5200)))),"")))))</f>
        <v/>
      </c>
      <c r="P160" s="40" t="str">
        <f>IF($Z160="","",IF($Z160&lt;=2000,"",IF($Z160&lt;=4000,IF(N(INDEX(周转筐出入库明细!$I$4:$I$2004,$Z160-2000))=0,"",N(INDEX(周转筐出入库明细!$I$4:$I$2004,$Z160-2000))),IF($Z160&lt;=5200,"",IF($Z160&lt;=5800,IF(ISNUMBER(SEARCH("退",INDEX(次果筐明细!$F$4:$F$603,$Z160-5200)&amp;"")),IF(N(INDEX(次果筐明细!$G$4:$G$603,$Z160-5200))=0,"",N(INDEX(次果筐明细!$G$4:$G$603,$Z160-5200))),""),"")))))</f>
        <v/>
      </c>
      <c r="Q160" s="40" t="str">
        <f>IF($Z160="","",IF($Z160&lt;=2000,"",IF($Z160&lt;=4000,IF(N(INDEX(周转筐出入库明细!$H$4:$H$2004,$Z160-2000))=0,"",N(INDEX(周转筐出入库明细!$H$4:$H$2004,$Z160-2000))),IF($Z160&lt;=5200,IF(N(INDEX(客户自备加工筐明细!$F$4:$F$1203,$Z160-4000))=0,"",N(INDEX(客户自备加工筐明细!$F$4:$F$1203,$Z160-4000))),IF($Z160&lt;=5800,"","")))))</f>
        <v/>
      </c>
      <c r="R160" s="16" t="str">
        <f>IF($Z160="","",IF($Z160&lt;=2000,IF(INDEX(包装物料出入库明细!$O$4:$O$2003,$Z160-0)=0,"",INDEX(包装物料出入库明细!$O$4:$O$2003,$Z160-0)),IF($Z160&lt;=4000,IF(INDEX(周转筐出入库明细!$M$4:$M$2004,$Z160-2000)=0,"",INDEX(周转筐出入库明细!$M$4:$M$2004,$Z160-2000)),IF($Z160&lt;=5200,IF(INDEX(客户自备加工筐明细!$H$4:$H$1203,$Z160-4000)=0,"",INDEX(客户自备加工筐明细!$H$4:$H$1203,$Z160-4000)),IF($Z160&lt;=5800,IF(INDEX(次果筐明细!$H$4:$H$603,$Z160-5200)=0,"",INDEX(次果筐明细!$H$4:$H$603,$Z160-5200)),"")))))</f>
        <v/>
      </c>
      <c r="S160" s="22" t="str">
        <f t="shared" si="8"/>
        <v/>
      </c>
      <c r="Z160" s="10" t="str">
        <f>IFERROR(MATCH(ROW()-3,_自动清单!$CQ$4:$CQ$5803,0),"")</f>
        <v/>
      </c>
    </row>
    <row r="161" spans="1:26">
      <c r="A161" s="24" t="str">
        <f t="shared" si="6"/>
        <v/>
      </c>
      <c r="B161" s="38" t="str">
        <f>IF($Z161="","",IF($Z161&lt;=2000,IF(INDEX(包装物料出入库明细!$B$4:$B$2003,$Z161-0)=0,"",INDEX(包装物料出入库明细!$B$4:$B$2003,$Z161-0)),IF($Z161&lt;=4000,IF(INDEX(周转筐出入库明细!$B$4:$B$2004,$Z161-2000)=0,"",INDEX(周转筐出入库明细!$B$4:$B$2004,$Z161-2000)),IF($Z161&lt;=5200,IF(INDEX(客户自备加工筐明细!$B$4:$B$1203,$Z161-4000)=0,"",INDEX(客户自备加工筐明细!$B$4:$B$1203,$Z161-4000)),IF($Z161&lt;=5800,IF(INDEX(次果筐明细!$B$4:$B$603,$Z161-5200)=0,"",INDEX(次果筐明细!$B$4:$B$603,$Z161-5200)),"")))))</f>
        <v/>
      </c>
      <c r="C161" s="37" t="str">
        <f>IF($Z161="","",IF($Z161&lt;=2000,IF(INDEX(包装物料出入库明细!$D$4:$D$2003,$Z161-0)=0,"",INDEX(包装物料出入库明细!$D$4:$D$2003,$Z161-0)),IF($Z161&lt;=4000,IF(INDEX(周转筐出入库明细!$C$4:$C$2004,$Z161-2000)=0,"",INDEX(周转筐出入库明细!$C$4:$C$2004,$Z161-2000)),IF($Z161&lt;=5200,IF(INDEX(客户自备加工筐明细!$E$4:$E$1203,$Z161-4000)=0,"",INDEX(客户自备加工筐明细!$E$4:$E$1203,$Z161-4000)),IF($Z161&lt;=5800,IF(INDEX(次果筐明细!$C$4:$C$603,$Z161-5200)=0,"",INDEX(次果筐明细!$C$4:$C$603,$Z161-5200)),"")))))</f>
        <v/>
      </c>
      <c r="D161" s="37" t="str">
        <f>IF($Z161="","",IF($Z161&lt;=2000,"包装物料－"&amp;INDEX(包装物料出入库明细!$H$4:$H$2003,$Z161-0),IF($Z161&lt;=4000,"周转筐－"&amp;INDEX(周转筐出入库明细!$F$4:$F$2004,$Z161-2000),IF($Z161&lt;=5200,"客户自备筐－"&amp;INDEX(客户自备加工筐明细!$J$4:$J$1203,$Z161-4000),IF($Z161&lt;=5800,"次果筐/托盘－"&amp;INDEX(次果筐明细!$F$4:$F$603,$Z161-5200),"")))))</f>
        <v/>
      </c>
      <c r="E161" s="24" t="str">
        <f>IF($Z161="","",IF($Z161&lt;=2000,IF(INDEX(包装物料出入库明细!$C$4:$C$2003,$Z161-0)=0,"",INDEX(包装物料出入库明细!$C$4:$C$2003,$Z161-0)),IF($Z161&lt;=4000,IF(INDEX(周转筐出入库明细!$E$4:$E$2004,$Z161-2000)=0,"",INDEX(周转筐出入库明细!$E$4:$E$2004,$Z161-2000)),IF($Z161&lt;=5200,IF(INDEX(客户自备加工筐明细!$D$4:$D$1203,$Z161-4000)=0,"",INDEX(客户自备加工筐明细!$D$4:$D$1203,$Z161-4000)),IF($Z161&lt;=5800,IF(INDEX(次果筐明细!$E$4:$E$603,$Z161-5200)=0,"",INDEX(次果筐明细!$E$4:$E$603,$Z161-5200)),"")))))</f>
        <v/>
      </c>
      <c r="F161" s="24" t="str">
        <f>IF($Z161="","",IF($Z161&lt;=2000,IF(INDEX(包装物料出入库明细!$E$4:$E$2003,$Z161-0)=0,"",INDEX(包装物料出入库明细!$E$4:$E$2003,$Z161-0)),IF($Z161&lt;=4000,IF(INDEX(周转筐出入库明细!$D$4:$D$2004,$Z161-2000)=0,"",INDEX(周转筐出入库明细!$D$4:$D$2004,$Z161-2000)),IF($Z161&lt;=5200,IF(INDEX(客户自备加工筐明细!$C$4:$C$1203,$Z161-4000)=0,"",INDEX(客户自备加工筐明细!$C$4:$C$1203,$Z161-4000)),IF($Z161&lt;=5800,IF(INDEX(次果筐明细!$D$4:$D$603,$Z161-5200)=0,"",INDEX(次果筐明细!$D$4:$D$603,$Z161-5200)),"")))))</f>
        <v/>
      </c>
      <c r="G161" s="24" t="str">
        <f>IF($Z161="","",IF($Z161&lt;=2000,IF(INDEX(包装物料出入库明细!$F$4:$F$2003,$Z161-0)=0,"",INDEX(包装物料出入库明细!$F$4:$F$2003,$Z161-0)),IF($Z161&lt;=4000,"",IF($Z161&lt;=5200,"",IF($Z161&lt;=5800,"","")))))</f>
        <v/>
      </c>
      <c r="H161" s="39" t="str">
        <f>IF($Z161="","",IF($Z161&lt;=2000,IF(INDEX(包装物料出入库明细!$L$4:$L$2003,$Z161-0)=0,"",INDEX(包装物料出入库明细!$L$4:$L$2003,$Z161-0)),IF($Z161&lt;=4000,N(INDEX(周转筐出入库明细!$H$4:$H$2004,$Z161-2000))+N(INDEX(周转筐出入库明细!$I$4:$I$2004,$Z161-2000))+N(INDEX(周转筐出入库明细!$J$4:$J$2004,$Z161-2000))+N(INDEX(周转筐出入库明细!$K$4:$K$2004,$Z161-2000)),IF($Z161&lt;=5200,N(INDEX(客户自备加工筐明细!$F$4:$F$1203,$Z161-4000))+N(INDEX(客户自备加工筐明细!$G$4:$G$1203,$Z161-4000)),IF($Z161&lt;=5800,IF(INDEX(次果筐明细!$G$4:$G$603,$Z161-5200)=0,"",INDEX(次果筐明细!$G$4:$G$603,$Z161-5200)),"")))))</f>
        <v/>
      </c>
      <c r="I161" s="24" t="str">
        <f>IF($Z161="","",IF($Z161&lt;=2000,IF(INDEX(包装物料出入库明细!$G$4:$G$2003,$Z161-0)=0,"",INDEX(包装物料出入库明细!$G$4:$G$2003,$Z161-0)),IF($Z161&lt;=4000,"个",IF($Z161&lt;=5200,"个",IF($Z161&lt;=5800,"个","")))))</f>
        <v/>
      </c>
      <c r="J161" s="30" t="str">
        <f t="shared" si="7"/>
        <v/>
      </c>
      <c r="K161" s="30" t="str">
        <f>IF($Z161="","",IF($Z161&lt;=2000,IF(INDEX(包装物料出入库明细!$N$4:$N$2003,$Z161-0)=0,"",INDEX(包装物料出入库明细!$N$4:$N$2003,$Z161-0)),IF($Z161&lt;=4000,IF(INDEX(周转筐出入库明细!$P$4:$P$2004,$Z161-2000)=0,"",INDEX(周转筐出入库明细!$P$4:$P$2004,$Z161-2000)),IF($Z161&lt;=5200,"",IF($Z161&lt;=5800,N(INDEX(次果筐明细!$L$4:$L$603,$Z161-5200))+N(INDEX(次果筐明细!$J$4:$J$603,$Z161-5200)),"")))))</f>
        <v/>
      </c>
      <c r="L161" s="24" t="str">
        <f>IF($Z161="","",IF($Z161&lt;=2000,IF(INDEX(包装物料出入库明细!$P$4:$P$2003,$Z161-0)=0,"",INDEX(包装物料出入库明细!$P$4:$P$2003,$Z161-0)),IF($Z161&lt;=4000,IF(INDEX(周转筐出入库明细!$Q$4:$Q$2004,$Z161-2000)=0,"",INDEX(周转筐出入库明细!$Q$4:$Q$2004,$Z161-2000)),IF($Z161&lt;=5200,"",IF($Z161&lt;=5800,IF(INDEX(次果筐明细!$M$4:$M$603,$Z161-5200)=0,"",INDEX(次果筐明细!$M$4:$M$603,$Z161-5200)),"")))))</f>
        <v/>
      </c>
      <c r="M161" s="37" t="str">
        <f>IF($Z161="","",IF($Z161&lt;=2000,IF(INDEX(包装物料出入库明细!$R$4:$R$2003,$Z161-0)=0,"",INDEX(包装物料出入库明细!$R$4:$R$2003,$Z161-0)),IF($Z161&lt;=4000,IF(INDEX(周转筐出入库明细!$W$4:$W$2004,$Z161-2000)=0,"",INDEX(周转筐出入库明细!$W$4:$W$2004,$Z161-2000)),IF($Z161&lt;=5200,IF(INDEX(客户自备加工筐明细!$L$4:$L$1203,$Z161-4000)=0,"",INDEX(客户自备加工筐明细!$L$4:$L$1203,$Z161-4000)),IF($Z161&lt;=5800,IF(INDEX(次果筐明细!$P$4:$P$603,$Z161-5200)=0,"",INDEX(次果筐明细!$P$4:$P$603,$Z161-5200)),"")))))</f>
        <v/>
      </c>
      <c r="N161" s="16" t="str">
        <f>IF($Z161="","",IF($Z161&lt;=2000,"",IF($Z161&lt;=4000,IF(INDEX(周转筐出入库明细!$D$4:$D$2004,$Z161-2000)=0,"",INDEX(周转筐出入库明细!$D$4:$D$2004,$Z161-2000)),IF($Z161&lt;=5200,IF(INDEX(客户自备加工筐明细!$C$4:$C$1203,$Z161-4000)=0,"",INDEX(客户自备加工筐明细!$C$4:$C$1203,$Z161-4000)),IF($Z161&lt;=5800,IF(INDEX(次果筐明细!$D$4:$D$603,$Z161-5200)=0,"",INDEX(次果筐明细!$D$4:$D$603,$Z161-5200)),"")))))</f>
        <v/>
      </c>
      <c r="O161" s="40" t="str">
        <f>IF($Z161="","",IF($Z161&lt;=2000,"",IF($Z161&lt;=4000,IF(N(INDEX(周转筐出入库明细!$J$4:$J$2004,$Z161-2000))+N(INDEX(周转筐出入库明细!$K$4:$K$2004,$Z161-2000))=0,"",N(INDEX(周转筐出入库明细!$J$4:$J$2004,$Z161-2000))+N(INDEX(周转筐出入库明细!$K$4:$K$2004,$Z161-2000))),IF($Z161&lt;=5200,IF(N(INDEX(客户自备加工筐明细!$G$4:$G$1203,$Z161-4000))=0,"",N(INDEX(客户自备加工筐明细!$G$4:$G$1203,$Z161-4000))),IF($Z161&lt;=5800,IF(ISNUMBER(SEARCH("退",INDEX(次果筐明细!$F$4:$F$603,$Z161-5200)&amp;"")),"",IF(N(INDEX(次果筐明细!$G$4:$G$603,$Z161-5200))=0,"",N(INDEX(次果筐明细!$G$4:$G$603,$Z161-5200)))),"")))))</f>
        <v/>
      </c>
      <c r="P161" s="40" t="str">
        <f>IF($Z161="","",IF($Z161&lt;=2000,"",IF($Z161&lt;=4000,IF(N(INDEX(周转筐出入库明细!$I$4:$I$2004,$Z161-2000))=0,"",N(INDEX(周转筐出入库明细!$I$4:$I$2004,$Z161-2000))),IF($Z161&lt;=5200,"",IF($Z161&lt;=5800,IF(ISNUMBER(SEARCH("退",INDEX(次果筐明细!$F$4:$F$603,$Z161-5200)&amp;"")),IF(N(INDEX(次果筐明细!$G$4:$G$603,$Z161-5200))=0,"",N(INDEX(次果筐明细!$G$4:$G$603,$Z161-5200))),""),"")))))</f>
        <v/>
      </c>
      <c r="Q161" s="40" t="str">
        <f>IF($Z161="","",IF($Z161&lt;=2000,"",IF($Z161&lt;=4000,IF(N(INDEX(周转筐出入库明细!$H$4:$H$2004,$Z161-2000))=0,"",N(INDEX(周转筐出入库明细!$H$4:$H$2004,$Z161-2000))),IF($Z161&lt;=5200,IF(N(INDEX(客户自备加工筐明细!$F$4:$F$1203,$Z161-4000))=0,"",N(INDEX(客户自备加工筐明细!$F$4:$F$1203,$Z161-4000))),IF($Z161&lt;=5800,"","")))))</f>
        <v/>
      </c>
      <c r="R161" s="16" t="str">
        <f>IF($Z161="","",IF($Z161&lt;=2000,IF(INDEX(包装物料出入库明细!$O$4:$O$2003,$Z161-0)=0,"",INDEX(包装物料出入库明细!$O$4:$O$2003,$Z161-0)),IF($Z161&lt;=4000,IF(INDEX(周转筐出入库明细!$M$4:$M$2004,$Z161-2000)=0,"",INDEX(周转筐出入库明细!$M$4:$M$2004,$Z161-2000)),IF($Z161&lt;=5200,IF(INDEX(客户自备加工筐明细!$H$4:$H$1203,$Z161-4000)=0,"",INDEX(客户自备加工筐明细!$H$4:$H$1203,$Z161-4000)),IF($Z161&lt;=5800,IF(INDEX(次果筐明细!$H$4:$H$603,$Z161-5200)=0,"",INDEX(次果筐明细!$H$4:$H$603,$Z161-5200)),"")))))</f>
        <v/>
      </c>
      <c r="S161" s="22" t="str">
        <f t="shared" si="8"/>
        <v/>
      </c>
      <c r="Z161" s="10" t="str">
        <f>IFERROR(MATCH(ROW()-3,_自动清单!$CQ$4:$CQ$5803,0),"")</f>
        <v/>
      </c>
    </row>
    <row r="162" spans="1:26">
      <c r="A162" s="24" t="str">
        <f t="shared" si="6"/>
        <v/>
      </c>
      <c r="B162" s="38" t="str">
        <f>IF($Z162="","",IF($Z162&lt;=2000,IF(INDEX(包装物料出入库明细!$B$4:$B$2003,$Z162-0)=0,"",INDEX(包装物料出入库明细!$B$4:$B$2003,$Z162-0)),IF($Z162&lt;=4000,IF(INDEX(周转筐出入库明细!$B$4:$B$2004,$Z162-2000)=0,"",INDEX(周转筐出入库明细!$B$4:$B$2004,$Z162-2000)),IF($Z162&lt;=5200,IF(INDEX(客户自备加工筐明细!$B$4:$B$1203,$Z162-4000)=0,"",INDEX(客户自备加工筐明细!$B$4:$B$1203,$Z162-4000)),IF($Z162&lt;=5800,IF(INDEX(次果筐明细!$B$4:$B$603,$Z162-5200)=0,"",INDEX(次果筐明细!$B$4:$B$603,$Z162-5200)),"")))))</f>
        <v/>
      </c>
      <c r="C162" s="37" t="str">
        <f>IF($Z162="","",IF($Z162&lt;=2000,IF(INDEX(包装物料出入库明细!$D$4:$D$2003,$Z162-0)=0,"",INDEX(包装物料出入库明细!$D$4:$D$2003,$Z162-0)),IF($Z162&lt;=4000,IF(INDEX(周转筐出入库明细!$C$4:$C$2004,$Z162-2000)=0,"",INDEX(周转筐出入库明细!$C$4:$C$2004,$Z162-2000)),IF($Z162&lt;=5200,IF(INDEX(客户自备加工筐明细!$E$4:$E$1203,$Z162-4000)=0,"",INDEX(客户自备加工筐明细!$E$4:$E$1203,$Z162-4000)),IF($Z162&lt;=5800,IF(INDEX(次果筐明细!$C$4:$C$603,$Z162-5200)=0,"",INDEX(次果筐明细!$C$4:$C$603,$Z162-5200)),"")))))</f>
        <v/>
      </c>
      <c r="D162" s="37" t="str">
        <f>IF($Z162="","",IF($Z162&lt;=2000,"包装物料－"&amp;INDEX(包装物料出入库明细!$H$4:$H$2003,$Z162-0),IF($Z162&lt;=4000,"周转筐－"&amp;INDEX(周转筐出入库明细!$F$4:$F$2004,$Z162-2000),IF($Z162&lt;=5200,"客户自备筐－"&amp;INDEX(客户自备加工筐明细!$J$4:$J$1203,$Z162-4000),IF($Z162&lt;=5800,"次果筐/托盘－"&amp;INDEX(次果筐明细!$F$4:$F$603,$Z162-5200),"")))))</f>
        <v/>
      </c>
      <c r="E162" s="24" t="str">
        <f>IF($Z162="","",IF($Z162&lt;=2000,IF(INDEX(包装物料出入库明细!$C$4:$C$2003,$Z162-0)=0,"",INDEX(包装物料出入库明细!$C$4:$C$2003,$Z162-0)),IF($Z162&lt;=4000,IF(INDEX(周转筐出入库明细!$E$4:$E$2004,$Z162-2000)=0,"",INDEX(周转筐出入库明细!$E$4:$E$2004,$Z162-2000)),IF($Z162&lt;=5200,IF(INDEX(客户自备加工筐明细!$D$4:$D$1203,$Z162-4000)=0,"",INDEX(客户自备加工筐明细!$D$4:$D$1203,$Z162-4000)),IF($Z162&lt;=5800,IF(INDEX(次果筐明细!$E$4:$E$603,$Z162-5200)=0,"",INDEX(次果筐明细!$E$4:$E$603,$Z162-5200)),"")))))</f>
        <v/>
      </c>
      <c r="F162" s="24" t="str">
        <f>IF($Z162="","",IF($Z162&lt;=2000,IF(INDEX(包装物料出入库明细!$E$4:$E$2003,$Z162-0)=0,"",INDEX(包装物料出入库明细!$E$4:$E$2003,$Z162-0)),IF($Z162&lt;=4000,IF(INDEX(周转筐出入库明细!$D$4:$D$2004,$Z162-2000)=0,"",INDEX(周转筐出入库明细!$D$4:$D$2004,$Z162-2000)),IF($Z162&lt;=5200,IF(INDEX(客户自备加工筐明细!$C$4:$C$1203,$Z162-4000)=0,"",INDEX(客户自备加工筐明细!$C$4:$C$1203,$Z162-4000)),IF($Z162&lt;=5800,IF(INDEX(次果筐明细!$D$4:$D$603,$Z162-5200)=0,"",INDEX(次果筐明细!$D$4:$D$603,$Z162-5200)),"")))))</f>
        <v/>
      </c>
      <c r="G162" s="24" t="str">
        <f>IF($Z162="","",IF($Z162&lt;=2000,IF(INDEX(包装物料出入库明细!$F$4:$F$2003,$Z162-0)=0,"",INDEX(包装物料出入库明细!$F$4:$F$2003,$Z162-0)),IF($Z162&lt;=4000,"",IF($Z162&lt;=5200,"",IF($Z162&lt;=5800,"","")))))</f>
        <v/>
      </c>
      <c r="H162" s="39" t="str">
        <f>IF($Z162="","",IF($Z162&lt;=2000,IF(INDEX(包装物料出入库明细!$L$4:$L$2003,$Z162-0)=0,"",INDEX(包装物料出入库明细!$L$4:$L$2003,$Z162-0)),IF($Z162&lt;=4000,N(INDEX(周转筐出入库明细!$H$4:$H$2004,$Z162-2000))+N(INDEX(周转筐出入库明细!$I$4:$I$2004,$Z162-2000))+N(INDEX(周转筐出入库明细!$J$4:$J$2004,$Z162-2000))+N(INDEX(周转筐出入库明细!$K$4:$K$2004,$Z162-2000)),IF($Z162&lt;=5200,N(INDEX(客户自备加工筐明细!$F$4:$F$1203,$Z162-4000))+N(INDEX(客户自备加工筐明细!$G$4:$G$1203,$Z162-4000)),IF($Z162&lt;=5800,IF(INDEX(次果筐明细!$G$4:$G$603,$Z162-5200)=0,"",INDEX(次果筐明细!$G$4:$G$603,$Z162-5200)),"")))))</f>
        <v/>
      </c>
      <c r="I162" s="24" t="str">
        <f>IF($Z162="","",IF($Z162&lt;=2000,IF(INDEX(包装物料出入库明细!$G$4:$G$2003,$Z162-0)=0,"",INDEX(包装物料出入库明细!$G$4:$G$2003,$Z162-0)),IF($Z162&lt;=4000,"个",IF($Z162&lt;=5200,"个",IF($Z162&lt;=5800,"个","")))))</f>
        <v/>
      </c>
      <c r="J162" s="30" t="str">
        <f t="shared" si="7"/>
        <v/>
      </c>
      <c r="K162" s="30" t="str">
        <f>IF($Z162="","",IF($Z162&lt;=2000,IF(INDEX(包装物料出入库明细!$N$4:$N$2003,$Z162-0)=0,"",INDEX(包装物料出入库明细!$N$4:$N$2003,$Z162-0)),IF($Z162&lt;=4000,IF(INDEX(周转筐出入库明细!$P$4:$P$2004,$Z162-2000)=0,"",INDEX(周转筐出入库明细!$P$4:$P$2004,$Z162-2000)),IF($Z162&lt;=5200,"",IF($Z162&lt;=5800,N(INDEX(次果筐明细!$L$4:$L$603,$Z162-5200))+N(INDEX(次果筐明细!$J$4:$J$603,$Z162-5200)),"")))))</f>
        <v/>
      </c>
      <c r="L162" s="24" t="str">
        <f>IF($Z162="","",IF($Z162&lt;=2000,IF(INDEX(包装物料出入库明细!$P$4:$P$2003,$Z162-0)=0,"",INDEX(包装物料出入库明细!$P$4:$P$2003,$Z162-0)),IF($Z162&lt;=4000,IF(INDEX(周转筐出入库明细!$Q$4:$Q$2004,$Z162-2000)=0,"",INDEX(周转筐出入库明细!$Q$4:$Q$2004,$Z162-2000)),IF($Z162&lt;=5200,"",IF($Z162&lt;=5800,IF(INDEX(次果筐明细!$M$4:$M$603,$Z162-5200)=0,"",INDEX(次果筐明细!$M$4:$M$603,$Z162-5200)),"")))))</f>
        <v/>
      </c>
      <c r="M162" s="37" t="str">
        <f>IF($Z162="","",IF($Z162&lt;=2000,IF(INDEX(包装物料出入库明细!$R$4:$R$2003,$Z162-0)=0,"",INDEX(包装物料出入库明细!$R$4:$R$2003,$Z162-0)),IF($Z162&lt;=4000,IF(INDEX(周转筐出入库明细!$W$4:$W$2004,$Z162-2000)=0,"",INDEX(周转筐出入库明细!$W$4:$W$2004,$Z162-2000)),IF($Z162&lt;=5200,IF(INDEX(客户自备加工筐明细!$L$4:$L$1203,$Z162-4000)=0,"",INDEX(客户自备加工筐明细!$L$4:$L$1203,$Z162-4000)),IF($Z162&lt;=5800,IF(INDEX(次果筐明细!$P$4:$P$603,$Z162-5200)=0,"",INDEX(次果筐明细!$P$4:$P$603,$Z162-5200)),"")))))</f>
        <v/>
      </c>
      <c r="N162" s="16" t="str">
        <f>IF($Z162="","",IF($Z162&lt;=2000,"",IF($Z162&lt;=4000,IF(INDEX(周转筐出入库明细!$D$4:$D$2004,$Z162-2000)=0,"",INDEX(周转筐出入库明细!$D$4:$D$2004,$Z162-2000)),IF($Z162&lt;=5200,IF(INDEX(客户自备加工筐明细!$C$4:$C$1203,$Z162-4000)=0,"",INDEX(客户自备加工筐明细!$C$4:$C$1203,$Z162-4000)),IF($Z162&lt;=5800,IF(INDEX(次果筐明细!$D$4:$D$603,$Z162-5200)=0,"",INDEX(次果筐明细!$D$4:$D$603,$Z162-5200)),"")))))</f>
        <v/>
      </c>
      <c r="O162" s="40" t="str">
        <f>IF($Z162="","",IF($Z162&lt;=2000,"",IF($Z162&lt;=4000,IF(N(INDEX(周转筐出入库明细!$J$4:$J$2004,$Z162-2000))+N(INDEX(周转筐出入库明细!$K$4:$K$2004,$Z162-2000))=0,"",N(INDEX(周转筐出入库明细!$J$4:$J$2004,$Z162-2000))+N(INDEX(周转筐出入库明细!$K$4:$K$2004,$Z162-2000))),IF($Z162&lt;=5200,IF(N(INDEX(客户自备加工筐明细!$G$4:$G$1203,$Z162-4000))=0,"",N(INDEX(客户自备加工筐明细!$G$4:$G$1203,$Z162-4000))),IF($Z162&lt;=5800,IF(ISNUMBER(SEARCH("退",INDEX(次果筐明细!$F$4:$F$603,$Z162-5200)&amp;"")),"",IF(N(INDEX(次果筐明细!$G$4:$G$603,$Z162-5200))=0,"",N(INDEX(次果筐明细!$G$4:$G$603,$Z162-5200)))),"")))))</f>
        <v/>
      </c>
      <c r="P162" s="40" t="str">
        <f>IF($Z162="","",IF($Z162&lt;=2000,"",IF($Z162&lt;=4000,IF(N(INDEX(周转筐出入库明细!$I$4:$I$2004,$Z162-2000))=0,"",N(INDEX(周转筐出入库明细!$I$4:$I$2004,$Z162-2000))),IF($Z162&lt;=5200,"",IF($Z162&lt;=5800,IF(ISNUMBER(SEARCH("退",INDEX(次果筐明细!$F$4:$F$603,$Z162-5200)&amp;"")),IF(N(INDEX(次果筐明细!$G$4:$G$603,$Z162-5200))=0,"",N(INDEX(次果筐明细!$G$4:$G$603,$Z162-5200))),""),"")))))</f>
        <v/>
      </c>
      <c r="Q162" s="40" t="str">
        <f>IF($Z162="","",IF($Z162&lt;=2000,"",IF($Z162&lt;=4000,IF(N(INDEX(周转筐出入库明细!$H$4:$H$2004,$Z162-2000))=0,"",N(INDEX(周转筐出入库明细!$H$4:$H$2004,$Z162-2000))),IF($Z162&lt;=5200,IF(N(INDEX(客户自备加工筐明细!$F$4:$F$1203,$Z162-4000))=0,"",N(INDEX(客户自备加工筐明细!$F$4:$F$1203,$Z162-4000))),IF($Z162&lt;=5800,"","")))))</f>
        <v/>
      </c>
      <c r="R162" s="16" t="str">
        <f>IF($Z162="","",IF($Z162&lt;=2000,IF(INDEX(包装物料出入库明细!$O$4:$O$2003,$Z162-0)=0,"",INDEX(包装物料出入库明细!$O$4:$O$2003,$Z162-0)),IF($Z162&lt;=4000,IF(INDEX(周转筐出入库明细!$M$4:$M$2004,$Z162-2000)=0,"",INDEX(周转筐出入库明细!$M$4:$M$2004,$Z162-2000)),IF($Z162&lt;=5200,IF(INDEX(客户自备加工筐明细!$H$4:$H$1203,$Z162-4000)=0,"",INDEX(客户自备加工筐明细!$H$4:$H$1203,$Z162-4000)),IF($Z162&lt;=5800,IF(INDEX(次果筐明细!$H$4:$H$603,$Z162-5200)=0,"",INDEX(次果筐明细!$H$4:$H$603,$Z162-5200)),"")))))</f>
        <v/>
      </c>
      <c r="S162" s="22" t="str">
        <f t="shared" si="8"/>
        <v/>
      </c>
      <c r="Z162" s="10" t="str">
        <f>IFERROR(MATCH(ROW()-3,_自动清单!$CQ$4:$CQ$5803,0),"")</f>
        <v/>
      </c>
    </row>
    <row r="163" spans="1:26">
      <c r="A163" s="24" t="str">
        <f t="shared" si="6"/>
        <v/>
      </c>
      <c r="B163" s="38" t="str">
        <f>IF($Z163="","",IF($Z163&lt;=2000,IF(INDEX(包装物料出入库明细!$B$4:$B$2003,$Z163-0)=0,"",INDEX(包装物料出入库明细!$B$4:$B$2003,$Z163-0)),IF($Z163&lt;=4000,IF(INDEX(周转筐出入库明细!$B$4:$B$2004,$Z163-2000)=0,"",INDEX(周转筐出入库明细!$B$4:$B$2004,$Z163-2000)),IF($Z163&lt;=5200,IF(INDEX(客户自备加工筐明细!$B$4:$B$1203,$Z163-4000)=0,"",INDEX(客户自备加工筐明细!$B$4:$B$1203,$Z163-4000)),IF($Z163&lt;=5800,IF(INDEX(次果筐明细!$B$4:$B$603,$Z163-5200)=0,"",INDEX(次果筐明细!$B$4:$B$603,$Z163-5200)),"")))))</f>
        <v/>
      </c>
      <c r="C163" s="37" t="str">
        <f>IF($Z163="","",IF($Z163&lt;=2000,IF(INDEX(包装物料出入库明细!$D$4:$D$2003,$Z163-0)=0,"",INDEX(包装物料出入库明细!$D$4:$D$2003,$Z163-0)),IF($Z163&lt;=4000,IF(INDEX(周转筐出入库明细!$C$4:$C$2004,$Z163-2000)=0,"",INDEX(周转筐出入库明细!$C$4:$C$2004,$Z163-2000)),IF($Z163&lt;=5200,IF(INDEX(客户自备加工筐明细!$E$4:$E$1203,$Z163-4000)=0,"",INDEX(客户自备加工筐明细!$E$4:$E$1203,$Z163-4000)),IF($Z163&lt;=5800,IF(INDEX(次果筐明细!$C$4:$C$603,$Z163-5200)=0,"",INDEX(次果筐明细!$C$4:$C$603,$Z163-5200)),"")))))</f>
        <v/>
      </c>
      <c r="D163" s="37" t="str">
        <f>IF($Z163="","",IF($Z163&lt;=2000,"包装物料－"&amp;INDEX(包装物料出入库明细!$H$4:$H$2003,$Z163-0),IF($Z163&lt;=4000,"周转筐－"&amp;INDEX(周转筐出入库明细!$F$4:$F$2004,$Z163-2000),IF($Z163&lt;=5200,"客户自备筐－"&amp;INDEX(客户自备加工筐明细!$J$4:$J$1203,$Z163-4000),IF($Z163&lt;=5800,"次果筐/托盘－"&amp;INDEX(次果筐明细!$F$4:$F$603,$Z163-5200),"")))))</f>
        <v/>
      </c>
      <c r="E163" s="24" t="str">
        <f>IF($Z163="","",IF($Z163&lt;=2000,IF(INDEX(包装物料出入库明细!$C$4:$C$2003,$Z163-0)=0,"",INDEX(包装物料出入库明细!$C$4:$C$2003,$Z163-0)),IF($Z163&lt;=4000,IF(INDEX(周转筐出入库明细!$E$4:$E$2004,$Z163-2000)=0,"",INDEX(周转筐出入库明细!$E$4:$E$2004,$Z163-2000)),IF($Z163&lt;=5200,IF(INDEX(客户自备加工筐明细!$D$4:$D$1203,$Z163-4000)=0,"",INDEX(客户自备加工筐明细!$D$4:$D$1203,$Z163-4000)),IF($Z163&lt;=5800,IF(INDEX(次果筐明细!$E$4:$E$603,$Z163-5200)=0,"",INDEX(次果筐明细!$E$4:$E$603,$Z163-5200)),"")))))</f>
        <v/>
      </c>
      <c r="F163" s="24" t="str">
        <f>IF($Z163="","",IF($Z163&lt;=2000,IF(INDEX(包装物料出入库明细!$E$4:$E$2003,$Z163-0)=0,"",INDEX(包装物料出入库明细!$E$4:$E$2003,$Z163-0)),IF($Z163&lt;=4000,IF(INDEX(周转筐出入库明细!$D$4:$D$2004,$Z163-2000)=0,"",INDEX(周转筐出入库明细!$D$4:$D$2004,$Z163-2000)),IF($Z163&lt;=5200,IF(INDEX(客户自备加工筐明细!$C$4:$C$1203,$Z163-4000)=0,"",INDEX(客户自备加工筐明细!$C$4:$C$1203,$Z163-4000)),IF($Z163&lt;=5800,IF(INDEX(次果筐明细!$D$4:$D$603,$Z163-5200)=0,"",INDEX(次果筐明细!$D$4:$D$603,$Z163-5200)),"")))))</f>
        <v/>
      </c>
      <c r="G163" s="24" t="str">
        <f>IF($Z163="","",IF($Z163&lt;=2000,IF(INDEX(包装物料出入库明细!$F$4:$F$2003,$Z163-0)=0,"",INDEX(包装物料出入库明细!$F$4:$F$2003,$Z163-0)),IF($Z163&lt;=4000,"",IF($Z163&lt;=5200,"",IF($Z163&lt;=5800,"","")))))</f>
        <v/>
      </c>
      <c r="H163" s="39" t="str">
        <f>IF($Z163="","",IF($Z163&lt;=2000,IF(INDEX(包装物料出入库明细!$L$4:$L$2003,$Z163-0)=0,"",INDEX(包装物料出入库明细!$L$4:$L$2003,$Z163-0)),IF($Z163&lt;=4000,N(INDEX(周转筐出入库明细!$H$4:$H$2004,$Z163-2000))+N(INDEX(周转筐出入库明细!$I$4:$I$2004,$Z163-2000))+N(INDEX(周转筐出入库明细!$J$4:$J$2004,$Z163-2000))+N(INDEX(周转筐出入库明细!$K$4:$K$2004,$Z163-2000)),IF($Z163&lt;=5200,N(INDEX(客户自备加工筐明细!$F$4:$F$1203,$Z163-4000))+N(INDEX(客户自备加工筐明细!$G$4:$G$1203,$Z163-4000)),IF($Z163&lt;=5800,IF(INDEX(次果筐明细!$G$4:$G$603,$Z163-5200)=0,"",INDEX(次果筐明细!$G$4:$G$603,$Z163-5200)),"")))))</f>
        <v/>
      </c>
      <c r="I163" s="24" t="str">
        <f>IF($Z163="","",IF($Z163&lt;=2000,IF(INDEX(包装物料出入库明细!$G$4:$G$2003,$Z163-0)=0,"",INDEX(包装物料出入库明细!$G$4:$G$2003,$Z163-0)),IF($Z163&lt;=4000,"个",IF($Z163&lt;=5200,"个",IF($Z163&lt;=5800,"个","")))))</f>
        <v/>
      </c>
      <c r="J163" s="30" t="str">
        <f t="shared" si="7"/>
        <v/>
      </c>
      <c r="K163" s="30" t="str">
        <f>IF($Z163="","",IF($Z163&lt;=2000,IF(INDEX(包装物料出入库明细!$N$4:$N$2003,$Z163-0)=0,"",INDEX(包装物料出入库明细!$N$4:$N$2003,$Z163-0)),IF($Z163&lt;=4000,IF(INDEX(周转筐出入库明细!$P$4:$P$2004,$Z163-2000)=0,"",INDEX(周转筐出入库明细!$P$4:$P$2004,$Z163-2000)),IF($Z163&lt;=5200,"",IF($Z163&lt;=5800,N(INDEX(次果筐明细!$L$4:$L$603,$Z163-5200))+N(INDEX(次果筐明细!$J$4:$J$603,$Z163-5200)),"")))))</f>
        <v/>
      </c>
      <c r="L163" s="24" t="str">
        <f>IF($Z163="","",IF($Z163&lt;=2000,IF(INDEX(包装物料出入库明细!$P$4:$P$2003,$Z163-0)=0,"",INDEX(包装物料出入库明细!$P$4:$P$2003,$Z163-0)),IF($Z163&lt;=4000,IF(INDEX(周转筐出入库明细!$Q$4:$Q$2004,$Z163-2000)=0,"",INDEX(周转筐出入库明细!$Q$4:$Q$2004,$Z163-2000)),IF($Z163&lt;=5200,"",IF($Z163&lt;=5800,IF(INDEX(次果筐明细!$M$4:$M$603,$Z163-5200)=0,"",INDEX(次果筐明细!$M$4:$M$603,$Z163-5200)),"")))))</f>
        <v/>
      </c>
      <c r="M163" s="37" t="str">
        <f>IF($Z163="","",IF($Z163&lt;=2000,IF(INDEX(包装物料出入库明细!$R$4:$R$2003,$Z163-0)=0,"",INDEX(包装物料出入库明细!$R$4:$R$2003,$Z163-0)),IF($Z163&lt;=4000,IF(INDEX(周转筐出入库明细!$W$4:$W$2004,$Z163-2000)=0,"",INDEX(周转筐出入库明细!$W$4:$W$2004,$Z163-2000)),IF($Z163&lt;=5200,IF(INDEX(客户自备加工筐明细!$L$4:$L$1203,$Z163-4000)=0,"",INDEX(客户自备加工筐明细!$L$4:$L$1203,$Z163-4000)),IF($Z163&lt;=5800,IF(INDEX(次果筐明细!$P$4:$P$603,$Z163-5200)=0,"",INDEX(次果筐明细!$P$4:$P$603,$Z163-5200)),"")))))</f>
        <v/>
      </c>
      <c r="N163" s="16" t="str">
        <f>IF($Z163="","",IF($Z163&lt;=2000,"",IF($Z163&lt;=4000,IF(INDEX(周转筐出入库明细!$D$4:$D$2004,$Z163-2000)=0,"",INDEX(周转筐出入库明细!$D$4:$D$2004,$Z163-2000)),IF($Z163&lt;=5200,IF(INDEX(客户自备加工筐明细!$C$4:$C$1203,$Z163-4000)=0,"",INDEX(客户自备加工筐明细!$C$4:$C$1203,$Z163-4000)),IF($Z163&lt;=5800,IF(INDEX(次果筐明细!$D$4:$D$603,$Z163-5200)=0,"",INDEX(次果筐明细!$D$4:$D$603,$Z163-5200)),"")))))</f>
        <v/>
      </c>
      <c r="O163" s="40" t="str">
        <f>IF($Z163="","",IF($Z163&lt;=2000,"",IF($Z163&lt;=4000,IF(N(INDEX(周转筐出入库明细!$J$4:$J$2004,$Z163-2000))+N(INDEX(周转筐出入库明细!$K$4:$K$2004,$Z163-2000))=0,"",N(INDEX(周转筐出入库明细!$J$4:$J$2004,$Z163-2000))+N(INDEX(周转筐出入库明细!$K$4:$K$2004,$Z163-2000))),IF($Z163&lt;=5200,IF(N(INDEX(客户自备加工筐明细!$G$4:$G$1203,$Z163-4000))=0,"",N(INDEX(客户自备加工筐明细!$G$4:$G$1203,$Z163-4000))),IF($Z163&lt;=5800,IF(ISNUMBER(SEARCH("退",INDEX(次果筐明细!$F$4:$F$603,$Z163-5200)&amp;"")),"",IF(N(INDEX(次果筐明细!$G$4:$G$603,$Z163-5200))=0,"",N(INDEX(次果筐明细!$G$4:$G$603,$Z163-5200)))),"")))))</f>
        <v/>
      </c>
      <c r="P163" s="40" t="str">
        <f>IF($Z163="","",IF($Z163&lt;=2000,"",IF($Z163&lt;=4000,IF(N(INDEX(周转筐出入库明细!$I$4:$I$2004,$Z163-2000))=0,"",N(INDEX(周转筐出入库明细!$I$4:$I$2004,$Z163-2000))),IF($Z163&lt;=5200,"",IF($Z163&lt;=5800,IF(ISNUMBER(SEARCH("退",INDEX(次果筐明细!$F$4:$F$603,$Z163-5200)&amp;"")),IF(N(INDEX(次果筐明细!$G$4:$G$603,$Z163-5200))=0,"",N(INDEX(次果筐明细!$G$4:$G$603,$Z163-5200))),""),"")))))</f>
        <v/>
      </c>
      <c r="Q163" s="40" t="str">
        <f>IF($Z163="","",IF($Z163&lt;=2000,"",IF($Z163&lt;=4000,IF(N(INDEX(周转筐出入库明细!$H$4:$H$2004,$Z163-2000))=0,"",N(INDEX(周转筐出入库明细!$H$4:$H$2004,$Z163-2000))),IF($Z163&lt;=5200,IF(N(INDEX(客户自备加工筐明细!$F$4:$F$1203,$Z163-4000))=0,"",N(INDEX(客户自备加工筐明细!$F$4:$F$1203,$Z163-4000))),IF($Z163&lt;=5800,"","")))))</f>
        <v/>
      </c>
      <c r="R163" s="16" t="str">
        <f>IF($Z163="","",IF($Z163&lt;=2000,IF(INDEX(包装物料出入库明细!$O$4:$O$2003,$Z163-0)=0,"",INDEX(包装物料出入库明细!$O$4:$O$2003,$Z163-0)),IF($Z163&lt;=4000,IF(INDEX(周转筐出入库明细!$M$4:$M$2004,$Z163-2000)=0,"",INDEX(周转筐出入库明细!$M$4:$M$2004,$Z163-2000)),IF($Z163&lt;=5200,IF(INDEX(客户自备加工筐明细!$H$4:$H$1203,$Z163-4000)=0,"",INDEX(客户自备加工筐明细!$H$4:$H$1203,$Z163-4000)),IF($Z163&lt;=5800,IF(INDEX(次果筐明细!$H$4:$H$603,$Z163-5200)=0,"",INDEX(次果筐明细!$H$4:$H$603,$Z163-5200)),"")))))</f>
        <v/>
      </c>
      <c r="S163" s="22" t="str">
        <f t="shared" si="8"/>
        <v/>
      </c>
      <c r="Z163" s="10" t="str">
        <f>IFERROR(MATCH(ROW()-3,_自动清单!$CQ$4:$CQ$5803,0),"")</f>
        <v/>
      </c>
    </row>
    <row r="164" spans="1:26">
      <c r="A164" s="24" t="str">
        <f t="shared" si="6"/>
        <v/>
      </c>
      <c r="B164" s="38" t="str">
        <f>IF($Z164="","",IF($Z164&lt;=2000,IF(INDEX(包装物料出入库明细!$B$4:$B$2003,$Z164-0)=0,"",INDEX(包装物料出入库明细!$B$4:$B$2003,$Z164-0)),IF($Z164&lt;=4000,IF(INDEX(周转筐出入库明细!$B$4:$B$2004,$Z164-2000)=0,"",INDEX(周转筐出入库明细!$B$4:$B$2004,$Z164-2000)),IF($Z164&lt;=5200,IF(INDEX(客户自备加工筐明细!$B$4:$B$1203,$Z164-4000)=0,"",INDEX(客户自备加工筐明细!$B$4:$B$1203,$Z164-4000)),IF($Z164&lt;=5800,IF(INDEX(次果筐明细!$B$4:$B$603,$Z164-5200)=0,"",INDEX(次果筐明细!$B$4:$B$603,$Z164-5200)),"")))))</f>
        <v/>
      </c>
      <c r="C164" s="37" t="str">
        <f>IF($Z164="","",IF($Z164&lt;=2000,IF(INDEX(包装物料出入库明细!$D$4:$D$2003,$Z164-0)=0,"",INDEX(包装物料出入库明细!$D$4:$D$2003,$Z164-0)),IF($Z164&lt;=4000,IF(INDEX(周转筐出入库明细!$C$4:$C$2004,$Z164-2000)=0,"",INDEX(周转筐出入库明细!$C$4:$C$2004,$Z164-2000)),IF($Z164&lt;=5200,IF(INDEX(客户自备加工筐明细!$E$4:$E$1203,$Z164-4000)=0,"",INDEX(客户自备加工筐明细!$E$4:$E$1203,$Z164-4000)),IF($Z164&lt;=5800,IF(INDEX(次果筐明细!$C$4:$C$603,$Z164-5200)=0,"",INDEX(次果筐明细!$C$4:$C$603,$Z164-5200)),"")))))</f>
        <v/>
      </c>
      <c r="D164" s="37" t="str">
        <f>IF($Z164="","",IF($Z164&lt;=2000,"包装物料－"&amp;INDEX(包装物料出入库明细!$H$4:$H$2003,$Z164-0),IF($Z164&lt;=4000,"周转筐－"&amp;INDEX(周转筐出入库明细!$F$4:$F$2004,$Z164-2000),IF($Z164&lt;=5200,"客户自备筐－"&amp;INDEX(客户自备加工筐明细!$J$4:$J$1203,$Z164-4000),IF($Z164&lt;=5800,"次果筐/托盘－"&amp;INDEX(次果筐明细!$F$4:$F$603,$Z164-5200),"")))))</f>
        <v/>
      </c>
      <c r="E164" s="24" t="str">
        <f>IF($Z164="","",IF($Z164&lt;=2000,IF(INDEX(包装物料出入库明细!$C$4:$C$2003,$Z164-0)=0,"",INDEX(包装物料出入库明细!$C$4:$C$2003,$Z164-0)),IF($Z164&lt;=4000,IF(INDEX(周转筐出入库明细!$E$4:$E$2004,$Z164-2000)=0,"",INDEX(周转筐出入库明细!$E$4:$E$2004,$Z164-2000)),IF($Z164&lt;=5200,IF(INDEX(客户自备加工筐明细!$D$4:$D$1203,$Z164-4000)=0,"",INDEX(客户自备加工筐明细!$D$4:$D$1203,$Z164-4000)),IF($Z164&lt;=5800,IF(INDEX(次果筐明细!$E$4:$E$603,$Z164-5200)=0,"",INDEX(次果筐明细!$E$4:$E$603,$Z164-5200)),"")))))</f>
        <v/>
      </c>
      <c r="F164" s="24" t="str">
        <f>IF($Z164="","",IF($Z164&lt;=2000,IF(INDEX(包装物料出入库明细!$E$4:$E$2003,$Z164-0)=0,"",INDEX(包装物料出入库明细!$E$4:$E$2003,$Z164-0)),IF($Z164&lt;=4000,IF(INDEX(周转筐出入库明细!$D$4:$D$2004,$Z164-2000)=0,"",INDEX(周转筐出入库明细!$D$4:$D$2004,$Z164-2000)),IF($Z164&lt;=5200,IF(INDEX(客户自备加工筐明细!$C$4:$C$1203,$Z164-4000)=0,"",INDEX(客户自备加工筐明细!$C$4:$C$1203,$Z164-4000)),IF($Z164&lt;=5800,IF(INDEX(次果筐明细!$D$4:$D$603,$Z164-5200)=0,"",INDEX(次果筐明细!$D$4:$D$603,$Z164-5200)),"")))))</f>
        <v/>
      </c>
      <c r="G164" s="24" t="str">
        <f>IF($Z164="","",IF($Z164&lt;=2000,IF(INDEX(包装物料出入库明细!$F$4:$F$2003,$Z164-0)=0,"",INDEX(包装物料出入库明细!$F$4:$F$2003,$Z164-0)),IF($Z164&lt;=4000,"",IF($Z164&lt;=5200,"",IF($Z164&lt;=5800,"","")))))</f>
        <v/>
      </c>
      <c r="H164" s="39" t="str">
        <f>IF($Z164="","",IF($Z164&lt;=2000,IF(INDEX(包装物料出入库明细!$L$4:$L$2003,$Z164-0)=0,"",INDEX(包装物料出入库明细!$L$4:$L$2003,$Z164-0)),IF($Z164&lt;=4000,N(INDEX(周转筐出入库明细!$H$4:$H$2004,$Z164-2000))+N(INDEX(周转筐出入库明细!$I$4:$I$2004,$Z164-2000))+N(INDEX(周转筐出入库明细!$J$4:$J$2004,$Z164-2000))+N(INDEX(周转筐出入库明细!$K$4:$K$2004,$Z164-2000)),IF($Z164&lt;=5200,N(INDEX(客户自备加工筐明细!$F$4:$F$1203,$Z164-4000))+N(INDEX(客户自备加工筐明细!$G$4:$G$1203,$Z164-4000)),IF($Z164&lt;=5800,IF(INDEX(次果筐明细!$G$4:$G$603,$Z164-5200)=0,"",INDEX(次果筐明细!$G$4:$G$603,$Z164-5200)),"")))))</f>
        <v/>
      </c>
      <c r="I164" s="24" t="str">
        <f>IF($Z164="","",IF($Z164&lt;=2000,IF(INDEX(包装物料出入库明细!$G$4:$G$2003,$Z164-0)=0,"",INDEX(包装物料出入库明细!$G$4:$G$2003,$Z164-0)),IF($Z164&lt;=4000,"个",IF($Z164&lt;=5200,"个",IF($Z164&lt;=5800,"个","")))))</f>
        <v/>
      </c>
      <c r="J164" s="30" t="str">
        <f t="shared" si="7"/>
        <v/>
      </c>
      <c r="K164" s="30" t="str">
        <f>IF($Z164="","",IF($Z164&lt;=2000,IF(INDEX(包装物料出入库明细!$N$4:$N$2003,$Z164-0)=0,"",INDEX(包装物料出入库明细!$N$4:$N$2003,$Z164-0)),IF($Z164&lt;=4000,IF(INDEX(周转筐出入库明细!$P$4:$P$2004,$Z164-2000)=0,"",INDEX(周转筐出入库明细!$P$4:$P$2004,$Z164-2000)),IF($Z164&lt;=5200,"",IF($Z164&lt;=5800,N(INDEX(次果筐明细!$L$4:$L$603,$Z164-5200))+N(INDEX(次果筐明细!$J$4:$J$603,$Z164-5200)),"")))))</f>
        <v/>
      </c>
      <c r="L164" s="24" t="str">
        <f>IF($Z164="","",IF($Z164&lt;=2000,IF(INDEX(包装物料出入库明细!$P$4:$P$2003,$Z164-0)=0,"",INDEX(包装物料出入库明细!$P$4:$P$2003,$Z164-0)),IF($Z164&lt;=4000,IF(INDEX(周转筐出入库明细!$Q$4:$Q$2004,$Z164-2000)=0,"",INDEX(周转筐出入库明细!$Q$4:$Q$2004,$Z164-2000)),IF($Z164&lt;=5200,"",IF($Z164&lt;=5800,IF(INDEX(次果筐明细!$M$4:$M$603,$Z164-5200)=0,"",INDEX(次果筐明细!$M$4:$M$603,$Z164-5200)),"")))))</f>
        <v/>
      </c>
      <c r="M164" s="37" t="str">
        <f>IF($Z164="","",IF($Z164&lt;=2000,IF(INDEX(包装物料出入库明细!$R$4:$R$2003,$Z164-0)=0,"",INDEX(包装物料出入库明细!$R$4:$R$2003,$Z164-0)),IF($Z164&lt;=4000,IF(INDEX(周转筐出入库明细!$W$4:$W$2004,$Z164-2000)=0,"",INDEX(周转筐出入库明细!$W$4:$W$2004,$Z164-2000)),IF($Z164&lt;=5200,IF(INDEX(客户自备加工筐明细!$L$4:$L$1203,$Z164-4000)=0,"",INDEX(客户自备加工筐明细!$L$4:$L$1203,$Z164-4000)),IF($Z164&lt;=5800,IF(INDEX(次果筐明细!$P$4:$P$603,$Z164-5200)=0,"",INDEX(次果筐明细!$P$4:$P$603,$Z164-5200)),"")))))</f>
        <v/>
      </c>
      <c r="N164" s="16" t="str">
        <f>IF($Z164="","",IF($Z164&lt;=2000,"",IF($Z164&lt;=4000,IF(INDEX(周转筐出入库明细!$D$4:$D$2004,$Z164-2000)=0,"",INDEX(周转筐出入库明细!$D$4:$D$2004,$Z164-2000)),IF($Z164&lt;=5200,IF(INDEX(客户自备加工筐明细!$C$4:$C$1203,$Z164-4000)=0,"",INDEX(客户自备加工筐明细!$C$4:$C$1203,$Z164-4000)),IF($Z164&lt;=5800,IF(INDEX(次果筐明细!$D$4:$D$603,$Z164-5200)=0,"",INDEX(次果筐明细!$D$4:$D$603,$Z164-5200)),"")))))</f>
        <v/>
      </c>
      <c r="O164" s="40" t="str">
        <f>IF($Z164="","",IF($Z164&lt;=2000,"",IF($Z164&lt;=4000,IF(N(INDEX(周转筐出入库明细!$J$4:$J$2004,$Z164-2000))+N(INDEX(周转筐出入库明细!$K$4:$K$2004,$Z164-2000))=0,"",N(INDEX(周转筐出入库明细!$J$4:$J$2004,$Z164-2000))+N(INDEX(周转筐出入库明细!$K$4:$K$2004,$Z164-2000))),IF($Z164&lt;=5200,IF(N(INDEX(客户自备加工筐明细!$G$4:$G$1203,$Z164-4000))=0,"",N(INDEX(客户自备加工筐明细!$G$4:$G$1203,$Z164-4000))),IF($Z164&lt;=5800,IF(ISNUMBER(SEARCH("退",INDEX(次果筐明细!$F$4:$F$603,$Z164-5200)&amp;"")),"",IF(N(INDEX(次果筐明细!$G$4:$G$603,$Z164-5200))=0,"",N(INDEX(次果筐明细!$G$4:$G$603,$Z164-5200)))),"")))))</f>
        <v/>
      </c>
      <c r="P164" s="40" t="str">
        <f>IF($Z164="","",IF($Z164&lt;=2000,"",IF($Z164&lt;=4000,IF(N(INDEX(周转筐出入库明细!$I$4:$I$2004,$Z164-2000))=0,"",N(INDEX(周转筐出入库明细!$I$4:$I$2004,$Z164-2000))),IF($Z164&lt;=5200,"",IF($Z164&lt;=5800,IF(ISNUMBER(SEARCH("退",INDEX(次果筐明细!$F$4:$F$603,$Z164-5200)&amp;"")),IF(N(INDEX(次果筐明细!$G$4:$G$603,$Z164-5200))=0,"",N(INDEX(次果筐明细!$G$4:$G$603,$Z164-5200))),""),"")))))</f>
        <v/>
      </c>
      <c r="Q164" s="40" t="str">
        <f>IF($Z164="","",IF($Z164&lt;=2000,"",IF($Z164&lt;=4000,IF(N(INDEX(周转筐出入库明细!$H$4:$H$2004,$Z164-2000))=0,"",N(INDEX(周转筐出入库明细!$H$4:$H$2004,$Z164-2000))),IF($Z164&lt;=5200,IF(N(INDEX(客户自备加工筐明细!$F$4:$F$1203,$Z164-4000))=0,"",N(INDEX(客户自备加工筐明细!$F$4:$F$1203,$Z164-4000))),IF($Z164&lt;=5800,"","")))))</f>
        <v/>
      </c>
      <c r="R164" s="16" t="str">
        <f>IF($Z164="","",IF($Z164&lt;=2000,IF(INDEX(包装物料出入库明细!$O$4:$O$2003,$Z164-0)=0,"",INDEX(包装物料出入库明细!$O$4:$O$2003,$Z164-0)),IF($Z164&lt;=4000,IF(INDEX(周转筐出入库明细!$M$4:$M$2004,$Z164-2000)=0,"",INDEX(周转筐出入库明细!$M$4:$M$2004,$Z164-2000)),IF($Z164&lt;=5200,IF(INDEX(客户自备加工筐明细!$H$4:$H$1203,$Z164-4000)=0,"",INDEX(客户自备加工筐明细!$H$4:$H$1203,$Z164-4000)),IF($Z164&lt;=5800,IF(INDEX(次果筐明细!$H$4:$H$603,$Z164-5200)=0,"",INDEX(次果筐明细!$H$4:$H$603,$Z164-5200)),"")))))</f>
        <v/>
      </c>
      <c r="S164" s="22" t="str">
        <f t="shared" si="8"/>
        <v/>
      </c>
      <c r="Z164" s="10" t="str">
        <f>IFERROR(MATCH(ROW()-3,_自动清单!$CQ$4:$CQ$5803,0),"")</f>
        <v/>
      </c>
    </row>
    <row r="165" spans="1:26">
      <c r="A165" s="24" t="str">
        <f t="shared" si="6"/>
        <v/>
      </c>
      <c r="B165" s="38" t="str">
        <f>IF($Z165="","",IF($Z165&lt;=2000,IF(INDEX(包装物料出入库明细!$B$4:$B$2003,$Z165-0)=0,"",INDEX(包装物料出入库明细!$B$4:$B$2003,$Z165-0)),IF($Z165&lt;=4000,IF(INDEX(周转筐出入库明细!$B$4:$B$2004,$Z165-2000)=0,"",INDEX(周转筐出入库明细!$B$4:$B$2004,$Z165-2000)),IF($Z165&lt;=5200,IF(INDEX(客户自备加工筐明细!$B$4:$B$1203,$Z165-4000)=0,"",INDEX(客户自备加工筐明细!$B$4:$B$1203,$Z165-4000)),IF($Z165&lt;=5800,IF(INDEX(次果筐明细!$B$4:$B$603,$Z165-5200)=0,"",INDEX(次果筐明细!$B$4:$B$603,$Z165-5200)),"")))))</f>
        <v/>
      </c>
      <c r="C165" s="37" t="str">
        <f>IF($Z165="","",IF($Z165&lt;=2000,IF(INDEX(包装物料出入库明细!$D$4:$D$2003,$Z165-0)=0,"",INDEX(包装物料出入库明细!$D$4:$D$2003,$Z165-0)),IF($Z165&lt;=4000,IF(INDEX(周转筐出入库明细!$C$4:$C$2004,$Z165-2000)=0,"",INDEX(周转筐出入库明细!$C$4:$C$2004,$Z165-2000)),IF($Z165&lt;=5200,IF(INDEX(客户自备加工筐明细!$E$4:$E$1203,$Z165-4000)=0,"",INDEX(客户自备加工筐明细!$E$4:$E$1203,$Z165-4000)),IF($Z165&lt;=5800,IF(INDEX(次果筐明细!$C$4:$C$603,$Z165-5200)=0,"",INDEX(次果筐明细!$C$4:$C$603,$Z165-5200)),"")))))</f>
        <v/>
      </c>
      <c r="D165" s="37" t="str">
        <f>IF($Z165="","",IF($Z165&lt;=2000,"包装物料－"&amp;INDEX(包装物料出入库明细!$H$4:$H$2003,$Z165-0),IF($Z165&lt;=4000,"周转筐－"&amp;INDEX(周转筐出入库明细!$F$4:$F$2004,$Z165-2000),IF($Z165&lt;=5200,"客户自备筐－"&amp;INDEX(客户自备加工筐明细!$J$4:$J$1203,$Z165-4000),IF($Z165&lt;=5800,"次果筐/托盘－"&amp;INDEX(次果筐明细!$F$4:$F$603,$Z165-5200),"")))))</f>
        <v/>
      </c>
      <c r="E165" s="24" t="str">
        <f>IF($Z165="","",IF($Z165&lt;=2000,IF(INDEX(包装物料出入库明细!$C$4:$C$2003,$Z165-0)=0,"",INDEX(包装物料出入库明细!$C$4:$C$2003,$Z165-0)),IF($Z165&lt;=4000,IF(INDEX(周转筐出入库明细!$E$4:$E$2004,$Z165-2000)=0,"",INDEX(周转筐出入库明细!$E$4:$E$2004,$Z165-2000)),IF($Z165&lt;=5200,IF(INDEX(客户自备加工筐明细!$D$4:$D$1203,$Z165-4000)=0,"",INDEX(客户自备加工筐明细!$D$4:$D$1203,$Z165-4000)),IF($Z165&lt;=5800,IF(INDEX(次果筐明细!$E$4:$E$603,$Z165-5200)=0,"",INDEX(次果筐明细!$E$4:$E$603,$Z165-5200)),"")))))</f>
        <v/>
      </c>
      <c r="F165" s="24" t="str">
        <f>IF($Z165="","",IF($Z165&lt;=2000,IF(INDEX(包装物料出入库明细!$E$4:$E$2003,$Z165-0)=0,"",INDEX(包装物料出入库明细!$E$4:$E$2003,$Z165-0)),IF($Z165&lt;=4000,IF(INDEX(周转筐出入库明细!$D$4:$D$2004,$Z165-2000)=0,"",INDEX(周转筐出入库明细!$D$4:$D$2004,$Z165-2000)),IF($Z165&lt;=5200,IF(INDEX(客户自备加工筐明细!$C$4:$C$1203,$Z165-4000)=0,"",INDEX(客户自备加工筐明细!$C$4:$C$1203,$Z165-4000)),IF($Z165&lt;=5800,IF(INDEX(次果筐明细!$D$4:$D$603,$Z165-5200)=0,"",INDEX(次果筐明细!$D$4:$D$603,$Z165-5200)),"")))))</f>
        <v/>
      </c>
      <c r="G165" s="24" t="str">
        <f>IF($Z165="","",IF($Z165&lt;=2000,IF(INDEX(包装物料出入库明细!$F$4:$F$2003,$Z165-0)=0,"",INDEX(包装物料出入库明细!$F$4:$F$2003,$Z165-0)),IF($Z165&lt;=4000,"",IF($Z165&lt;=5200,"",IF($Z165&lt;=5800,"","")))))</f>
        <v/>
      </c>
      <c r="H165" s="39" t="str">
        <f>IF($Z165="","",IF($Z165&lt;=2000,IF(INDEX(包装物料出入库明细!$L$4:$L$2003,$Z165-0)=0,"",INDEX(包装物料出入库明细!$L$4:$L$2003,$Z165-0)),IF($Z165&lt;=4000,N(INDEX(周转筐出入库明细!$H$4:$H$2004,$Z165-2000))+N(INDEX(周转筐出入库明细!$I$4:$I$2004,$Z165-2000))+N(INDEX(周转筐出入库明细!$J$4:$J$2004,$Z165-2000))+N(INDEX(周转筐出入库明细!$K$4:$K$2004,$Z165-2000)),IF($Z165&lt;=5200,N(INDEX(客户自备加工筐明细!$F$4:$F$1203,$Z165-4000))+N(INDEX(客户自备加工筐明细!$G$4:$G$1203,$Z165-4000)),IF($Z165&lt;=5800,IF(INDEX(次果筐明细!$G$4:$G$603,$Z165-5200)=0,"",INDEX(次果筐明细!$G$4:$G$603,$Z165-5200)),"")))))</f>
        <v/>
      </c>
      <c r="I165" s="24" t="str">
        <f>IF($Z165="","",IF($Z165&lt;=2000,IF(INDEX(包装物料出入库明细!$G$4:$G$2003,$Z165-0)=0,"",INDEX(包装物料出入库明细!$G$4:$G$2003,$Z165-0)),IF($Z165&lt;=4000,"个",IF($Z165&lt;=5200,"个",IF($Z165&lt;=5800,"个","")))))</f>
        <v/>
      </c>
      <c r="J165" s="30" t="str">
        <f t="shared" si="7"/>
        <v/>
      </c>
      <c r="K165" s="30" t="str">
        <f>IF($Z165="","",IF($Z165&lt;=2000,IF(INDEX(包装物料出入库明细!$N$4:$N$2003,$Z165-0)=0,"",INDEX(包装物料出入库明细!$N$4:$N$2003,$Z165-0)),IF($Z165&lt;=4000,IF(INDEX(周转筐出入库明细!$P$4:$P$2004,$Z165-2000)=0,"",INDEX(周转筐出入库明细!$P$4:$P$2004,$Z165-2000)),IF($Z165&lt;=5200,"",IF($Z165&lt;=5800,N(INDEX(次果筐明细!$L$4:$L$603,$Z165-5200))+N(INDEX(次果筐明细!$J$4:$J$603,$Z165-5200)),"")))))</f>
        <v/>
      </c>
      <c r="L165" s="24" t="str">
        <f>IF($Z165="","",IF($Z165&lt;=2000,IF(INDEX(包装物料出入库明细!$P$4:$P$2003,$Z165-0)=0,"",INDEX(包装物料出入库明细!$P$4:$P$2003,$Z165-0)),IF($Z165&lt;=4000,IF(INDEX(周转筐出入库明细!$Q$4:$Q$2004,$Z165-2000)=0,"",INDEX(周转筐出入库明细!$Q$4:$Q$2004,$Z165-2000)),IF($Z165&lt;=5200,"",IF($Z165&lt;=5800,IF(INDEX(次果筐明细!$M$4:$M$603,$Z165-5200)=0,"",INDEX(次果筐明细!$M$4:$M$603,$Z165-5200)),"")))))</f>
        <v/>
      </c>
      <c r="M165" s="37" t="str">
        <f>IF($Z165="","",IF($Z165&lt;=2000,IF(INDEX(包装物料出入库明细!$R$4:$R$2003,$Z165-0)=0,"",INDEX(包装物料出入库明细!$R$4:$R$2003,$Z165-0)),IF($Z165&lt;=4000,IF(INDEX(周转筐出入库明细!$W$4:$W$2004,$Z165-2000)=0,"",INDEX(周转筐出入库明细!$W$4:$W$2004,$Z165-2000)),IF($Z165&lt;=5200,IF(INDEX(客户自备加工筐明细!$L$4:$L$1203,$Z165-4000)=0,"",INDEX(客户自备加工筐明细!$L$4:$L$1203,$Z165-4000)),IF($Z165&lt;=5800,IF(INDEX(次果筐明细!$P$4:$P$603,$Z165-5200)=0,"",INDEX(次果筐明细!$P$4:$P$603,$Z165-5200)),"")))))</f>
        <v/>
      </c>
      <c r="N165" s="16" t="str">
        <f>IF($Z165="","",IF($Z165&lt;=2000,"",IF($Z165&lt;=4000,IF(INDEX(周转筐出入库明细!$D$4:$D$2004,$Z165-2000)=0,"",INDEX(周转筐出入库明细!$D$4:$D$2004,$Z165-2000)),IF($Z165&lt;=5200,IF(INDEX(客户自备加工筐明细!$C$4:$C$1203,$Z165-4000)=0,"",INDEX(客户自备加工筐明细!$C$4:$C$1203,$Z165-4000)),IF($Z165&lt;=5800,IF(INDEX(次果筐明细!$D$4:$D$603,$Z165-5200)=0,"",INDEX(次果筐明细!$D$4:$D$603,$Z165-5200)),"")))))</f>
        <v/>
      </c>
      <c r="O165" s="40" t="str">
        <f>IF($Z165="","",IF($Z165&lt;=2000,"",IF($Z165&lt;=4000,IF(N(INDEX(周转筐出入库明细!$J$4:$J$2004,$Z165-2000))+N(INDEX(周转筐出入库明细!$K$4:$K$2004,$Z165-2000))=0,"",N(INDEX(周转筐出入库明细!$J$4:$J$2004,$Z165-2000))+N(INDEX(周转筐出入库明细!$K$4:$K$2004,$Z165-2000))),IF($Z165&lt;=5200,IF(N(INDEX(客户自备加工筐明细!$G$4:$G$1203,$Z165-4000))=0,"",N(INDEX(客户自备加工筐明细!$G$4:$G$1203,$Z165-4000))),IF($Z165&lt;=5800,IF(ISNUMBER(SEARCH("退",INDEX(次果筐明细!$F$4:$F$603,$Z165-5200)&amp;"")),"",IF(N(INDEX(次果筐明细!$G$4:$G$603,$Z165-5200))=0,"",N(INDEX(次果筐明细!$G$4:$G$603,$Z165-5200)))),"")))))</f>
        <v/>
      </c>
      <c r="P165" s="40" t="str">
        <f>IF($Z165="","",IF($Z165&lt;=2000,"",IF($Z165&lt;=4000,IF(N(INDEX(周转筐出入库明细!$I$4:$I$2004,$Z165-2000))=0,"",N(INDEX(周转筐出入库明细!$I$4:$I$2004,$Z165-2000))),IF($Z165&lt;=5200,"",IF($Z165&lt;=5800,IF(ISNUMBER(SEARCH("退",INDEX(次果筐明细!$F$4:$F$603,$Z165-5200)&amp;"")),IF(N(INDEX(次果筐明细!$G$4:$G$603,$Z165-5200))=0,"",N(INDEX(次果筐明细!$G$4:$G$603,$Z165-5200))),""),"")))))</f>
        <v/>
      </c>
      <c r="Q165" s="40" t="str">
        <f>IF($Z165="","",IF($Z165&lt;=2000,"",IF($Z165&lt;=4000,IF(N(INDEX(周转筐出入库明细!$H$4:$H$2004,$Z165-2000))=0,"",N(INDEX(周转筐出入库明细!$H$4:$H$2004,$Z165-2000))),IF($Z165&lt;=5200,IF(N(INDEX(客户自备加工筐明细!$F$4:$F$1203,$Z165-4000))=0,"",N(INDEX(客户自备加工筐明细!$F$4:$F$1203,$Z165-4000))),IF($Z165&lt;=5800,"","")))))</f>
        <v/>
      </c>
      <c r="R165" s="16" t="str">
        <f>IF($Z165="","",IF($Z165&lt;=2000,IF(INDEX(包装物料出入库明细!$O$4:$O$2003,$Z165-0)=0,"",INDEX(包装物料出入库明细!$O$4:$O$2003,$Z165-0)),IF($Z165&lt;=4000,IF(INDEX(周转筐出入库明细!$M$4:$M$2004,$Z165-2000)=0,"",INDEX(周转筐出入库明细!$M$4:$M$2004,$Z165-2000)),IF($Z165&lt;=5200,IF(INDEX(客户自备加工筐明细!$H$4:$H$1203,$Z165-4000)=0,"",INDEX(客户自备加工筐明细!$H$4:$H$1203,$Z165-4000)),IF($Z165&lt;=5800,IF(INDEX(次果筐明细!$H$4:$H$603,$Z165-5200)=0,"",INDEX(次果筐明细!$H$4:$H$603,$Z165-5200)),"")))))</f>
        <v/>
      </c>
      <c r="S165" s="22" t="str">
        <f t="shared" si="8"/>
        <v/>
      </c>
      <c r="Z165" s="10" t="str">
        <f>IFERROR(MATCH(ROW()-3,_自动清单!$CQ$4:$CQ$5803,0),"")</f>
        <v/>
      </c>
    </row>
    <row r="166" spans="1:26">
      <c r="A166" s="24" t="str">
        <f t="shared" si="6"/>
        <v/>
      </c>
      <c r="B166" s="38" t="str">
        <f>IF($Z166="","",IF($Z166&lt;=2000,IF(INDEX(包装物料出入库明细!$B$4:$B$2003,$Z166-0)=0,"",INDEX(包装物料出入库明细!$B$4:$B$2003,$Z166-0)),IF($Z166&lt;=4000,IF(INDEX(周转筐出入库明细!$B$4:$B$2004,$Z166-2000)=0,"",INDEX(周转筐出入库明细!$B$4:$B$2004,$Z166-2000)),IF($Z166&lt;=5200,IF(INDEX(客户自备加工筐明细!$B$4:$B$1203,$Z166-4000)=0,"",INDEX(客户自备加工筐明细!$B$4:$B$1203,$Z166-4000)),IF($Z166&lt;=5800,IF(INDEX(次果筐明细!$B$4:$B$603,$Z166-5200)=0,"",INDEX(次果筐明细!$B$4:$B$603,$Z166-5200)),"")))))</f>
        <v/>
      </c>
      <c r="C166" s="37" t="str">
        <f>IF($Z166="","",IF($Z166&lt;=2000,IF(INDEX(包装物料出入库明细!$D$4:$D$2003,$Z166-0)=0,"",INDEX(包装物料出入库明细!$D$4:$D$2003,$Z166-0)),IF($Z166&lt;=4000,IF(INDEX(周转筐出入库明细!$C$4:$C$2004,$Z166-2000)=0,"",INDEX(周转筐出入库明细!$C$4:$C$2004,$Z166-2000)),IF($Z166&lt;=5200,IF(INDEX(客户自备加工筐明细!$E$4:$E$1203,$Z166-4000)=0,"",INDEX(客户自备加工筐明细!$E$4:$E$1203,$Z166-4000)),IF($Z166&lt;=5800,IF(INDEX(次果筐明细!$C$4:$C$603,$Z166-5200)=0,"",INDEX(次果筐明细!$C$4:$C$603,$Z166-5200)),"")))))</f>
        <v/>
      </c>
      <c r="D166" s="37" t="str">
        <f>IF($Z166="","",IF($Z166&lt;=2000,"包装物料－"&amp;INDEX(包装物料出入库明细!$H$4:$H$2003,$Z166-0),IF($Z166&lt;=4000,"周转筐－"&amp;INDEX(周转筐出入库明细!$F$4:$F$2004,$Z166-2000),IF($Z166&lt;=5200,"客户自备筐－"&amp;INDEX(客户自备加工筐明细!$J$4:$J$1203,$Z166-4000),IF($Z166&lt;=5800,"次果筐/托盘－"&amp;INDEX(次果筐明细!$F$4:$F$603,$Z166-5200),"")))))</f>
        <v/>
      </c>
      <c r="E166" s="24" t="str">
        <f>IF($Z166="","",IF($Z166&lt;=2000,IF(INDEX(包装物料出入库明细!$C$4:$C$2003,$Z166-0)=0,"",INDEX(包装物料出入库明细!$C$4:$C$2003,$Z166-0)),IF($Z166&lt;=4000,IF(INDEX(周转筐出入库明细!$E$4:$E$2004,$Z166-2000)=0,"",INDEX(周转筐出入库明细!$E$4:$E$2004,$Z166-2000)),IF($Z166&lt;=5200,IF(INDEX(客户自备加工筐明细!$D$4:$D$1203,$Z166-4000)=0,"",INDEX(客户自备加工筐明细!$D$4:$D$1203,$Z166-4000)),IF($Z166&lt;=5800,IF(INDEX(次果筐明细!$E$4:$E$603,$Z166-5200)=0,"",INDEX(次果筐明细!$E$4:$E$603,$Z166-5200)),"")))))</f>
        <v/>
      </c>
      <c r="F166" s="24" t="str">
        <f>IF($Z166="","",IF($Z166&lt;=2000,IF(INDEX(包装物料出入库明细!$E$4:$E$2003,$Z166-0)=0,"",INDEX(包装物料出入库明细!$E$4:$E$2003,$Z166-0)),IF($Z166&lt;=4000,IF(INDEX(周转筐出入库明细!$D$4:$D$2004,$Z166-2000)=0,"",INDEX(周转筐出入库明细!$D$4:$D$2004,$Z166-2000)),IF($Z166&lt;=5200,IF(INDEX(客户自备加工筐明细!$C$4:$C$1203,$Z166-4000)=0,"",INDEX(客户自备加工筐明细!$C$4:$C$1203,$Z166-4000)),IF($Z166&lt;=5800,IF(INDEX(次果筐明细!$D$4:$D$603,$Z166-5200)=0,"",INDEX(次果筐明细!$D$4:$D$603,$Z166-5200)),"")))))</f>
        <v/>
      </c>
      <c r="G166" s="24" t="str">
        <f>IF($Z166="","",IF($Z166&lt;=2000,IF(INDEX(包装物料出入库明细!$F$4:$F$2003,$Z166-0)=0,"",INDEX(包装物料出入库明细!$F$4:$F$2003,$Z166-0)),IF($Z166&lt;=4000,"",IF($Z166&lt;=5200,"",IF($Z166&lt;=5800,"","")))))</f>
        <v/>
      </c>
      <c r="H166" s="39" t="str">
        <f>IF($Z166="","",IF($Z166&lt;=2000,IF(INDEX(包装物料出入库明细!$L$4:$L$2003,$Z166-0)=0,"",INDEX(包装物料出入库明细!$L$4:$L$2003,$Z166-0)),IF($Z166&lt;=4000,N(INDEX(周转筐出入库明细!$H$4:$H$2004,$Z166-2000))+N(INDEX(周转筐出入库明细!$I$4:$I$2004,$Z166-2000))+N(INDEX(周转筐出入库明细!$J$4:$J$2004,$Z166-2000))+N(INDEX(周转筐出入库明细!$K$4:$K$2004,$Z166-2000)),IF($Z166&lt;=5200,N(INDEX(客户自备加工筐明细!$F$4:$F$1203,$Z166-4000))+N(INDEX(客户自备加工筐明细!$G$4:$G$1203,$Z166-4000)),IF($Z166&lt;=5800,IF(INDEX(次果筐明细!$G$4:$G$603,$Z166-5200)=0,"",INDEX(次果筐明细!$G$4:$G$603,$Z166-5200)),"")))))</f>
        <v/>
      </c>
      <c r="I166" s="24" t="str">
        <f>IF($Z166="","",IF($Z166&lt;=2000,IF(INDEX(包装物料出入库明细!$G$4:$G$2003,$Z166-0)=0,"",INDEX(包装物料出入库明细!$G$4:$G$2003,$Z166-0)),IF($Z166&lt;=4000,"个",IF($Z166&lt;=5200,"个",IF($Z166&lt;=5800,"个","")))))</f>
        <v/>
      </c>
      <c r="J166" s="30" t="str">
        <f t="shared" si="7"/>
        <v/>
      </c>
      <c r="K166" s="30" t="str">
        <f>IF($Z166="","",IF($Z166&lt;=2000,IF(INDEX(包装物料出入库明细!$N$4:$N$2003,$Z166-0)=0,"",INDEX(包装物料出入库明细!$N$4:$N$2003,$Z166-0)),IF($Z166&lt;=4000,IF(INDEX(周转筐出入库明细!$P$4:$P$2004,$Z166-2000)=0,"",INDEX(周转筐出入库明细!$P$4:$P$2004,$Z166-2000)),IF($Z166&lt;=5200,"",IF($Z166&lt;=5800,N(INDEX(次果筐明细!$L$4:$L$603,$Z166-5200))+N(INDEX(次果筐明细!$J$4:$J$603,$Z166-5200)),"")))))</f>
        <v/>
      </c>
      <c r="L166" s="24" t="str">
        <f>IF($Z166="","",IF($Z166&lt;=2000,IF(INDEX(包装物料出入库明细!$P$4:$P$2003,$Z166-0)=0,"",INDEX(包装物料出入库明细!$P$4:$P$2003,$Z166-0)),IF($Z166&lt;=4000,IF(INDEX(周转筐出入库明细!$Q$4:$Q$2004,$Z166-2000)=0,"",INDEX(周转筐出入库明细!$Q$4:$Q$2004,$Z166-2000)),IF($Z166&lt;=5200,"",IF($Z166&lt;=5800,IF(INDEX(次果筐明细!$M$4:$M$603,$Z166-5200)=0,"",INDEX(次果筐明细!$M$4:$M$603,$Z166-5200)),"")))))</f>
        <v/>
      </c>
      <c r="M166" s="37" t="str">
        <f>IF($Z166="","",IF($Z166&lt;=2000,IF(INDEX(包装物料出入库明细!$R$4:$R$2003,$Z166-0)=0,"",INDEX(包装物料出入库明细!$R$4:$R$2003,$Z166-0)),IF($Z166&lt;=4000,IF(INDEX(周转筐出入库明细!$W$4:$W$2004,$Z166-2000)=0,"",INDEX(周转筐出入库明细!$W$4:$W$2004,$Z166-2000)),IF($Z166&lt;=5200,IF(INDEX(客户自备加工筐明细!$L$4:$L$1203,$Z166-4000)=0,"",INDEX(客户自备加工筐明细!$L$4:$L$1203,$Z166-4000)),IF($Z166&lt;=5800,IF(INDEX(次果筐明细!$P$4:$P$603,$Z166-5200)=0,"",INDEX(次果筐明细!$P$4:$P$603,$Z166-5200)),"")))))</f>
        <v/>
      </c>
      <c r="N166" s="16" t="str">
        <f>IF($Z166="","",IF($Z166&lt;=2000,"",IF($Z166&lt;=4000,IF(INDEX(周转筐出入库明细!$D$4:$D$2004,$Z166-2000)=0,"",INDEX(周转筐出入库明细!$D$4:$D$2004,$Z166-2000)),IF($Z166&lt;=5200,IF(INDEX(客户自备加工筐明细!$C$4:$C$1203,$Z166-4000)=0,"",INDEX(客户自备加工筐明细!$C$4:$C$1203,$Z166-4000)),IF($Z166&lt;=5800,IF(INDEX(次果筐明细!$D$4:$D$603,$Z166-5200)=0,"",INDEX(次果筐明细!$D$4:$D$603,$Z166-5200)),"")))))</f>
        <v/>
      </c>
      <c r="O166" s="40" t="str">
        <f>IF($Z166="","",IF($Z166&lt;=2000,"",IF($Z166&lt;=4000,IF(N(INDEX(周转筐出入库明细!$J$4:$J$2004,$Z166-2000))+N(INDEX(周转筐出入库明细!$K$4:$K$2004,$Z166-2000))=0,"",N(INDEX(周转筐出入库明细!$J$4:$J$2004,$Z166-2000))+N(INDEX(周转筐出入库明细!$K$4:$K$2004,$Z166-2000))),IF($Z166&lt;=5200,IF(N(INDEX(客户自备加工筐明细!$G$4:$G$1203,$Z166-4000))=0,"",N(INDEX(客户自备加工筐明细!$G$4:$G$1203,$Z166-4000))),IF($Z166&lt;=5800,IF(ISNUMBER(SEARCH("退",INDEX(次果筐明细!$F$4:$F$603,$Z166-5200)&amp;"")),"",IF(N(INDEX(次果筐明细!$G$4:$G$603,$Z166-5200))=0,"",N(INDEX(次果筐明细!$G$4:$G$603,$Z166-5200)))),"")))))</f>
        <v/>
      </c>
      <c r="P166" s="40" t="str">
        <f>IF($Z166="","",IF($Z166&lt;=2000,"",IF($Z166&lt;=4000,IF(N(INDEX(周转筐出入库明细!$I$4:$I$2004,$Z166-2000))=0,"",N(INDEX(周转筐出入库明细!$I$4:$I$2004,$Z166-2000))),IF($Z166&lt;=5200,"",IF($Z166&lt;=5800,IF(ISNUMBER(SEARCH("退",INDEX(次果筐明细!$F$4:$F$603,$Z166-5200)&amp;"")),IF(N(INDEX(次果筐明细!$G$4:$G$603,$Z166-5200))=0,"",N(INDEX(次果筐明细!$G$4:$G$603,$Z166-5200))),""),"")))))</f>
        <v/>
      </c>
      <c r="Q166" s="40" t="str">
        <f>IF($Z166="","",IF($Z166&lt;=2000,"",IF($Z166&lt;=4000,IF(N(INDEX(周转筐出入库明细!$H$4:$H$2004,$Z166-2000))=0,"",N(INDEX(周转筐出入库明细!$H$4:$H$2004,$Z166-2000))),IF($Z166&lt;=5200,IF(N(INDEX(客户自备加工筐明细!$F$4:$F$1203,$Z166-4000))=0,"",N(INDEX(客户自备加工筐明细!$F$4:$F$1203,$Z166-4000))),IF($Z166&lt;=5800,"","")))))</f>
        <v/>
      </c>
      <c r="R166" s="16" t="str">
        <f>IF($Z166="","",IF($Z166&lt;=2000,IF(INDEX(包装物料出入库明细!$O$4:$O$2003,$Z166-0)=0,"",INDEX(包装物料出入库明细!$O$4:$O$2003,$Z166-0)),IF($Z166&lt;=4000,IF(INDEX(周转筐出入库明细!$M$4:$M$2004,$Z166-2000)=0,"",INDEX(周转筐出入库明细!$M$4:$M$2004,$Z166-2000)),IF($Z166&lt;=5200,IF(INDEX(客户自备加工筐明细!$H$4:$H$1203,$Z166-4000)=0,"",INDEX(客户自备加工筐明细!$H$4:$H$1203,$Z166-4000)),IF($Z166&lt;=5800,IF(INDEX(次果筐明细!$H$4:$H$603,$Z166-5200)=0,"",INDEX(次果筐明细!$H$4:$H$603,$Z166-5200)),"")))))</f>
        <v/>
      </c>
      <c r="S166" s="22" t="str">
        <f t="shared" si="8"/>
        <v/>
      </c>
      <c r="Z166" s="10" t="str">
        <f>IFERROR(MATCH(ROW()-3,_自动清单!$CQ$4:$CQ$5803,0),"")</f>
        <v/>
      </c>
    </row>
    <row r="167" spans="1:26">
      <c r="A167" s="24" t="str">
        <f t="shared" si="6"/>
        <v/>
      </c>
      <c r="B167" s="38" t="str">
        <f>IF($Z167="","",IF($Z167&lt;=2000,IF(INDEX(包装物料出入库明细!$B$4:$B$2003,$Z167-0)=0,"",INDEX(包装物料出入库明细!$B$4:$B$2003,$Z167-0)),IF($Z167&lt;=4000,IF(INDEX(周转筐出入库明细!$B$4:$B$2004,$Z167-2000)=0,"",INDEX(周转筐出入库明细!$B$4:$B$2004,$Z167-2000)),IF($Z167&lt;=5200,IF(INDEX(客户自备加工筐明细!$B$4:$B$1203,$Z167-4000)=0,"",INDEX(客户自备加工筐明细!$B$4:$B$1203,$Z167-4000)),IF($Z167&lt;=5800,IF(INDEX(次果筐明细!$B$4:$B$603,$Z167-5200)=0,"",INDEX(次果筐明细!$B$4:$B$603,$Z167-5200)),"")))))</f>
        <v/>
      </c>
      <c r="C167" s="37" t="str">
        <f>IF($Z167="","",IF($Z167&lt;=2000,IF(INDEX(包装物料出入库明细!$D$4:$D$2003,$Z167-0)=0,"",INDEX(包装物料出入库明细!$D$4:$D$2003,$Z167-0)),IF($Z167&lt;=4000,IF(INDEX(周转筐出入库明细!$C$4:$C$2004,$Z167-2000)=0,"",INDEX(周转筐出入库明细!$C$4:$C$2004,$Z167-2000)),IF($Z167&lt;=5200,IF(INDEX(客户自备加工筐明细!$E$4:$E$1203,$Z167-4000)=0,"",INDEX(客户自备加工筐明细!$E$4:$E$1203,$Z167-4000)),IF($Z167&lt;=5800,IF(INDEX(次果筐明细!$C$4:$C$603,$Z167-5200)=0,"",INDEX(次果筐明细!$C$4:$C$603,$Z167-5200)),"")))))</f>
        <v/>
      </c>
      <c r="D167" s="37" t="str">
        <f>IF($Z167="","",IF($Z167&lt;=2000,"包装物料－"&amp;INDEX(包装物料出入库明细!$H$4:$H$2003,$Z167-0),IF($Z167&lt;=4000,"周转筐－"&amp;INDEX(周转筐出入库明细!$F$4:$F$2004,$Z167-2000),IF($Z167&lt;=5200,"客户自备筐－"&amp;INDEX(客户自备加工筐明细!$J$4:$J$1203,$Z167-4000),IF($Z167&lt;=5800,"次果筐/托盘－"&amp;INDEX(次果筐明细!$F$4:$F$603,$Z167-5200),"")))))</f>
        <v/>
      </c>
      <c r="E167" s="24" t="str">
        <f>IF($Z167="","",IF($Z167&lt;=2000,IF(INDEX(包装物料出入库明细!$C$4:$C$2003,$Z167-0)=0,"",INDEX(包装物料出入库明细!$C$4:$C$2003,$Z167-0)),IF($Z167&lt;=4000,IF(INDEX(周转筐出入库明细!$E$4:$E$2004,$Z167-2000)=0,"",INDEX(周转筐出入库明细!$E$4:$E$2004,$Z167-2000)),IF($Z167&lt;=5200,IF(INDEX(客户自备加工筐明细!$D$4:$D$1203,$Z167-4000)=0,"",INDEX(客户自备加工筐明细!$D$4:$D$1203,$Z167-4000)),IF($Z167&lt;=5800,IF(INDEX(次果筐明细!$E$4:$E$603,$Z167-5200)=0,"",INDEX(次果筐明细!$E$4:$E$603,$Z167-5200)),"")))))</f>
        <v/>
      </c>
      <c r="F167" s="24" t="str">
        <f>IF($Z167="","",IF($Z167&lt;=2000,IF(INDEX(包装物料出入库明细!$E$4:$E$2003,$Z167-0)=0,"",INDEX(包装物料出入库明细!$E$4:$E$2003,$Z167-0)),IF($Z167&lt;=4000,IF(INDEX(周转筐出入库明细!$D$4:$D$2004,$Z167-2000)=0,"",INDEX(周转筐出入库明细!$D$4:$D$2004,$Z167-2000)),IF($Z167&lt;=5200,IF(INDEX(客户自备加工筐明细!$C$4:$C$1203,$Z167-4000)=0,"",INDEX(客户自备加工筐明细!$C$4:$C$1203,$Z167-4000)),IF($Z167&lt;=5800,IF(INDEX(次果筐明细!$D$4:$D$603,$Z167-5200)=0,"",INDEX(次果筐明细!$D$4:$D$603,$Z167-5200)),"")))))</f>
        <v/>
      </c>
      <c r="G167" s="24" t="str">
        <f>IF($Z167="","",IF($Z167&lt;=2000,IF(INDEX(包装物料出入库明细!$F$4:$F$2003,$Z167-0)=0,"",INDEX(包装物料出入库明细!$F$4:$F$2003,$Z167-0)),IF($Z167&lt;=4000,"",IF($Z167&lt;=5200,"",IF($Z167&lt;=5800,"","")))))</f>
        <v/>
      </c>
      <c r="H167" s="39" t="str">
        <f>IF($Z167="","",IF($Z167&lt;=2000,IF(INDEX(包装物料出入库明细!$L$4:$L$2003,$Z167-0)=0,"",INDEX(包装物料出入库明细!$L$4:$L$2003,$Z167-0)),IF($Z167&lt;=4000,N(INDEX(周转筐出入库明细!$H$4:$H$2004,$Z167-2000))+N(INDEX(周转筐出入库明细!$I$4:$I$2004,$Z167-2000))+N(INDEX(周转筐出入库明细!$J$4:$J$2004,$Z167-2000))+N(INDEX(周转筐出入库明细!$K$4:$K$2004,$Z167-2000)),IF($Z167&lt;=5200,N(INDEX(客户自备加工筐明细!$F$4:$F$1203,$Z167-4000))+N(INDEX(客户自备加工筐明细!$G$4:$G$1203,$Z167-4000)),IF($Z167&lt;=5800,IF(INDEX(次果筐明细!$G$4:$G$603,$Z167-5200)=0,"",INDEX(次果筐明细!$G$4:$G$603,$Z167-5200)),"")))))</f>
        <v/>
      </c>
      <c r="I167" s="24" t="str">
        <f>IF($Z167="","",IF($Z167&lt;=2000,IF(INDEX(包装物料出入库明细!$G$4:$G$2003,$Z167-0)=0,"",INDEX(包装物料出入库明细!$G$4:$G$2003,$Z167-0)),IF($Z167&lt;=4000,"个",IF($Z167&lt;=5200,"个",IF($Z167&lt;=5800,"个","")))))</f>
        <v/>
      </c>
      <c r="J167" s="30" t="str">
        <f t="shared" si="7"/>
        <v/>
      </c>
      <c r="K167" s="30" t="str">
        <f>IF($Z167="","",IF($Z167&lt;=2000,IF(INDEX(包装物料出入库明细!$N$4:$N$2003,$Z167-0)=0,"",INDEX(包装物料出入库明细!$N$4:$N$2003,$Z167-0)),IF($Z167&lt;=4000,IF(INDEX(周转筐出入库明细!$P$4:$P$2004,$Z167-2000)=0,"",INDEX(周转筐出入库明细!$P$4:$P$2004,$Z167-2000)),IF($Z167&lt;=5200,"",IF($Z167&lt;=5800,N(INDEX(次果筐明细!$L$4:$L$603,$Z167-5200))+N(INDEX(次果筐明细!$J$4:$J$603,$Z167-5200)),"")))))</f>
        <v/>
      </c>
      <c r="L167" s="24" t="str">
        <f>IF($Z167="","",IF($Z167&lt;=2000,IF(INDEX(包装物料出入库明细!$P$4:$P$2003,$Z167-0)=0,"",INDEX(包装物料出入库明细!$P$4:$P$2003,$Z167-0)),IF($Z167&lt;=4000,IF(INDEX(周转筐出入库明细!$Q$4:$Q$2004,$Z167-2000)=0,"",INDEX(周转筐出入库明细!$Q$4:$Q$2004,$Z167-2000)),IF($Z167&lt;=5200,"",IF($Z167&lt;=5800,IF(INDEX(次果筐明细!$M$4:$M$603,$Z167-5200)=0,"",INDEX(次果筐明细!$M$4:$M$603,$Z167-5200)),"")))))</f>
        <v/>
      </c>
      <c r="M167" s="37" t="str">
        <f>IF($Z167="","",IF($Z167&lt;=2000,IF(INDEX(包装物料出入库明细!$R$4:$R$2003,$Z167-0)=0,"",INDEX(包装物料出入库明细!$R$4:$R$2003,$Z167-0)),IF($Z167&lt;=4000,IF(INDEX(周转筐出入库明细!$W$4:$W$2004,$Z167-2000)=0,"",INDEX(周转筐出入库明细!$W$4:$W$2004,$Z167-2000)),IF($Z167&lt;=5200,IF(INDEX(客户自备加工筐明细!$L$4:$L$1203,$Z167-4000)=0,"",INDEX(客户自备加工筐明细!$L$4:$L$1203,$Z167-4000)),IF($Z167&lt;=5800,IF(INDEX(次果筐明细!$P$4:$P$603,$Z167-5200)=0,"",INDEX(次果筐明细!$P$4:$P$603,$Z167-5200)),"")))))</f>
        <v/>
      </c>
      <c r="N167" s="16" t="str">
        <f>IF($Z167="","",IF($Z167&lt;=2000,"",IF($Z167&lt;=4000,IF(INDEX(周转筐出入库明细!$D$4:$D$2004,$Z167-2000)=0,"",INDEX(周转筐出入库明细!$D$4:$D$2004,$Z167-2000)),IF($Z167&lt;=5200,IF(INDEX(客户自备加工筐明细!$C$4:$C$1203,$Z167-4000)=0,"",INDEX(客户自备加工筐明细!$C$4:$C$1203,$Z167-4000)),IF($Z167&lt;=5800,IF(INDEX(次果筐明细!$D$4:$D$603,$Z167-5200)=0,"",INDEX(次果筐明细!$D$4:$D$603,$Z167-5200)),"")))))</f>
        <v/>
      </c>
      <c r="O167" s="40" t="str">
        <f>IF($Z167="","",IF($Z167&lt;=2000,"",IF($Z167&lt;=4000,IF(N(INDEX(周转筐出入库明细!$J$4:$J$2004,$Z167-2000))+N(INDEX(周转筐出入库明细!$K$4:$K$2004,$Z167-2000))=0,"",N(INDEX(周转筐出入库明细!$J$4:$J$2004,$Z167-2000))+N(INDEX(周转筐出入库明细!$K$4:$K$2004,$Z167-2000))),IF($Z167&lt;=5200,IF(N(INDEX(客户自备加工筐明细!$G$4:$G$1203,$Z167-4000))=0,"",N(INDEX(客户自备加工筐明细!$G$4:$G$1203,$Z167-4000))),IF($Z167&lt;=5800,IF(ISNUMBER(SEARCH("退",INDEX(次果筐明细!$F$4:$F$603,$Z167-5200)&amp;"")),"",IF(N(INDEX(次果筐明细!$G$4:$G$603,$Z167-5200))=0,"",N(INDEX(次果筐明细!$G$4:$G$603,$Z167-5200)))),"")))))</f>
        <v/>
      </c>
      <c r="P167" s="40" t="str">
        <f>IF($Z167="","",IF($Z167&lt;=2000,"",IF($Z167&lt;=4000,IF(N(INDEX(周转筐出入库明细!$I$4:$I$2004,$Z167-2000))=0,"",N(INDEX(周转筐出入库明细!$I$4:$I$2004,$Z167-2000))),IF($Z167&lt;=5200,"",IF($Z167&lt;=5800,IF(ISNUMBER(SEARCH("退",INDEX(次果筐明细!$F$4:$F$603,$Z167-5200)&amp;"")),IF(N(INDEX(次果筐明细!$G$4:$G$603,$Z167-5200))=0,"",N(INDEX(次果筐明细!$G$4:$G$603,$Z167-5200))),""),"")))))</f>
        <v/>
      </c>
      <c r="Q167" s="40" t="str">
        <f>IF($Z167="","",IF($Z167&lt;=2000,"",IF($Z167&lt;=4000,IF(N(INDEX(周转筐出入库明细!$H$4:$H$2004,$Z167-2000))=0,"",N(INDEX(周转筐出入库明细!$H$4:$H$2004,$Z167-2000))),IF($Z167&lt;=5200,IF(N(INDEX(客户自备加工筐明细!$F$4:$F$1203,$Z167-4000))=0,"",N(INDEX(客户自备加工筐明细!$F$4:$F$1203,$Z167-4000))),IF($Z167&lt;=5800,"","")))))</f>
        <v/>
      </c>
      <c r="R167" s="16" t="str">
        <f>IF($Z167="","",IF($Z167&lt;=2000,IF(INDEX(包装物料出入库明细!$O$4:$O$2003,$Z167-0)=0,"",INDEX(包装物料出入库明细!$O$4:$O$2003,$Z167-0)),IF($Z167&lt;=4000,IF(INDEX(周转筐出入库明细!$M$4:$M$2004,$Z167-2000)=0,"",INDEX(周转筐出入库明细!$M$4:$M$2004,$Z167-2000)),IF($Z167&lt;=5200,IF(INDEX(客户自备加工筐明细!$H$4:$H$1203,$Z167-4000)=0,"",INDEX(客户自备加工筐明细!$H$4:$H$1203,$Z167-4000)),IF($Z167&lt;=5800,IF(INDEX(次果筐明细!$H$4:$H$603,$Z167-5200)=0,"",INDEX(次果筐明细!$H$4:$H$603,$Z167-5200)),"")))))</f>
        <v/>
      </c>
      <c r="S167" s="22" t="str">
        <f t="shared" si="8"/>
        <v/>
      </c>
      <c r="Z167" s="10" t="str">
        <f>IFERROR(MATCH(ROW()-3,_自动清单!$CQ$4:$CQ$5803,0),"")</f>
        <v/>
      </c>
    </row>
    <row r="168" spans="1:26">
      <c r="A168" s="24" t="str">
        <f t="shared" si="6"/>
        <v/>
      </c>
      <c r="B168" s="38" t="str">
        <f>IF($Z168="","",IF($Z168&lt;=2000,IF(INDEX(包装物料出入库明细!$B$4:$B$2003,$Z168-0)=0,"",INDEX(包装物料出入库明细!$B$4:$B$2003,$Z168-0)),IF($Z168&lt;=4000,IF(INDEX(周转筐出入库明细!$B$4:$B$2004,$Z168-2000)=0,"",INDEX(周转筐出入库明细!$B$4:$B$2004,$Z168-2000)),IF($Z168&lt;=5200,IF(INDEX(客户自备加工筐明细!$B$4:$B$1203,$Z168-4000)=0,"",INDEX(客户自备加工筐明细!$B$4:$B$1203,$Z168-4000)),IF($Z168&lt;=5800,IF(INDEX(次果筐明细!$B$4:$B$603,$Z168-5200)=0,"",INDEX(次果筐明细!$B$4:$B$603,$Z168-5200)),"")))))</f>
        <v/>
      </c>
      <c r="C168" s="37" t="str">
        <f>IF($Z168="","",IF($Z168&lt;=2000,IF(INDEX(包装物料出入库明细!$D$4:$D$2003,$Z168-0)=0,"",INDEX(包装物料出入库明细!$D$4:$D$2003,$Z168-0)),IF($Z168&lt;=4000,IF(INDEX(周转筐出入库明细!$C$4:$C$2004,$Z168-2000)=0,"",INDEX(周转筐出入库明细!$C$4:$C$2004,$Z168-2000)),IF($Z168&lt;=5200,IF(INDEX(客户自备加工筐明细!$E$4:$E$1203,$Z168-4000)=0,"",INDEX(客户自备加工筐明细!$E$4:$E$1203,$Z168-4000)),IF($Z168&lt;=5800,IF(INDEX(次果筐明细!$C$4:$C$603,$Z168-5200)=0,"",INDEX(次果筐明细!$C$4:$C$603,$Z168-5200)),"")))))</f>
        <v/>
      </c>
      <c r="D168" s="37" t="str">
        <f>IF($Z168="","",IF($Z168&lt;=2000,"包装物料－"&amp;INDEX(包装物料出入库明细!$H$4:$H$2003,$Z168-0),IF($Z168&lt;=4000,"周转筐－"&amp;INDEX(周转筐出入库明细!$F$4:$F$2004,$Z168-2000),IF($Z168&lt;=5200,"客户自备筐－"&amp;INDEX(客户自备加工筐明细!$J$4:$J$1203,$Z168-4000),IF($Z168&lt;=5800,"次果筐/托盘－"&amp;INDEX(次果筐明细!$F$4:$F$603,$Z168-5200),"")))))</f>
        <v/>
      </c>
      <c r="E168" s="24" t="str">
        <f>IF($Z168="","",IF($Z168&lt;=2000,IF(INDEX(包装物料出入库明细!$C$4:$C$2003,$Z168-0)=0,"",INDEX(包装物料出入库明细!$C$4:$C$2003,$Z168-0)),IF($Z168&lt;=4000,IF(INDEX(周转筐出入库明细!$E$4:$E$2004,$Z168-2000)=0,"",INDEX(周转筐出入库明细!$E$4:$E$2004,$Z168-2000)),IF($Z168&lt;=5200,IF(INDEX(客户自备加工筐明细!$D$4:$D$1203,$Z168-4000)=0,"",INDEX(客户自备加工筐明细!$D$4:$D$1203,$Z168-4000)),IF($Z168&lt;=5800,IF(INDEX(次果筐明细!$E$4:$E$603,$Z168-5200)=0,"",INDEX(次果筐明细!$E$4:$E$603,$Z168-5200)),"")))))</f>
        <v/>
      </c>
      <c r="F168" s="24" t="str">
        <f>IF($Z168="","",IF($Z168&lt;=2000,IF(INDEX(包装物料出入库明细!$E$4:$E$2003,$Z168-0)=0,"",INDEX(包装物料出入库明细!$E$4:$E$2003,$Z168-0)),IF($Z168&lt;=4000,IF(INDEX(周转筐出入库明细!$D$4:$D$2004,$Z168-2000)=0,"",INDEX(周转筐出入库明细!$D$4:$D$2004,$Z168-2000)),IF($Z168&lt;=5200,IF(INDEX(客户自备加工筐明细!$C$4:$C$1203,$Z168-4000)=0,"",INDEX(客户自备加工筐明细!$C$4:$C$1203,$Z168-4000)),IF($Z168&lt;=5800,IF(INDEX(次果筐明细!$D$4:$D$603,$Z168-5200)=0,"",INDEX(次果筐明细!$D$4:$D$603,$Z168-5200)),"")))))</f>
        <v/>
      </c>
      <c r="G168" s="24" t="str">
        <f>IF($Z168="","",IF($Z168&lt;=2000,IF(INDEX(包装物料出入库明细!$F$4:$F$2003,$Z168-0)=0,"",INDEX(包装物料出入库明细!$F$4:$F$2003,$Z168-0)),IF($Z168&lt;=4000,"",IF($Z168&lt;=5200,"",IF($Z168&lt;=5800,"","")))))</f>
        <v/>
      </c>
      <c r="H168" s="39" t="str">
        <f>IF($Z168="","",IF($Z168&lt;=2000,IF(INDEX(包装物料出入库明细!$L$4:$L$2003,$Z168-0)=0,"",INDEX(包装物料出入库明细!$L$4:$L$2003,$Z168-0)),IF($Z168&lt;=4000,N(INDEX(周转筐出入库明细!$H$4:$H$2004,$Z168-2000))+N(INDEX(周转筐出入库明细!$I$4:$I$2004,$Z168-2000))+N(INDEX(周转筐出入库明细!$J$4:$J$2004,$Z168-2000))+N(INDEX(周转筐出入库明细!$K$4:$K$2004,$Z168-2000)),IF($Z168&lt;=5200,N(INDEX(客户自备加工筐明细!$F$4:$F$1203,$Z168-4000))+N(INDEX(客户自备加工筐明细!$G$4:$G$1203,$Z168-4000)),IF($Z168&lt;=5800,IF(INDEX(次果筐明细!$G$4:$G$603,$Z168-5200)=0,"",INDEX(次果筐明细!$G$4:$G$603,$Z168-5200)),"")))))</f>
        <v/>
      </c>
      <c r="I168" s="24" t="str">
        <f>IF($Z168="","",IF($Z168&lt;=2000,IF(INDEX(包装物料出入库明细!$G$4:$G$2003,$Z168-0)=0,"",INDEX(包装物料出入库明细!$G$4:$G$2003,$Z168-0)),IF($Z168&lt;=4000,"个",IF($Z168&lt;=5200,"个",IF($Z168&lt;=5800,"个","")))))</f>
        <v/>
      </c>
      <c r="J168" s="30" t="str">
        <f t="shared" si="7"/>
        <v/>
      </c>
      <c r="K168" s="30" t="str">
        <f>IF($Z168="","",IF($Z168&lt;=2000,IF(INDEX(包装物料出入库明细!$N$4:$N$2003,$Z168-0)=0,"",INDEX(包装物料出入库明细!$N$4:$N$2003,$Z168-0)),IF($Z168&lt;=4000,IF(INDEX(周转筐出入库明细!$P$4:$P$2004,$Z168-2000)=0,"",INDEX(周转筐出入库明细!$P$4:$P$2004,$Z168-2000)),IF($Z168&lt;=5200,"",IF($Z168&lt;=5800,N(INDEX(次果筐明细!$L$4:$L$603,$Z168-5200))+N(INDEX(次果筐明细!$J$4:$J$603,$Z168-5200)),"")))))</f>
        <v/>
      </c>
      <c r="L168" s="24" t="str">
        <f>IF($Z168="","",IF($Z168&lt;=2000,IF(INDEX(包装物料出入库明细!$P$4:$P$2003,$Z168-0)=0,"",INDEX(包装物料出入库明细!$P$4:$P$2003,$Z168-0)),IF($Z168&lt;=4000,IF(INDEX(周转筐出入库明细!$Q$4:$Q$2004,$Z168-2000)=0,"",INDEX(周转筐出入库明细!$Q$4:$Q$2004,$Z168-2000)),IF($Z168&lt;=5200,"",IF($Z168&lt;=5800,IF(INDEX(次果筐明细!$M$4:$M$603,$Z168-5200)=0,"",INDEX(次果筐明细!$M$4:$M$603,$Z168-5200)),"")))))</f>
        <v/>
      </c>
      <c r="M168" s="37" t="str">
        <f>IF($Z168="","",IF($Z168&lt;=2000,IF(INDEX(包装物料出入库明细!$R$4:$R$2003,$Z168-0)=0,"",INDEX(包装物料出入库明细!$R$4:$R$2003,$Z168-0)),IF($Z168&lt;=4000,IF(INDEX(周转筐出入库明细!$W$4:$W$2004,$Z168-2000)=0,"",INDEX(周转筐出入库明细!$W$4:$W$2004,$Z168-2000)),IF($Z168&lt;=5200,IF(INDEX(客户自备加工筐明细!$L$4:$L$1203,$Z168-4000)=0,"",INDEX(客户自备加工筐明细!$L$4:$L$1203,$Z168-4000)),IF($Z168&lt;=5800,IF(INDEX(次果筐明细!$P$4:$P$603,$Z168-5200)=0,"",INDEX(次果筐明细!$P$4:$P$603,$Z168-5200)),"")))))</f>
        <v/>
      </c>
      <c r="N168" s="16" t="str">
        <f>IF($Z168="","",IF($Z168&lt;=2000,"",IF($Z168&lt;=4000,IF(INDEX(周转筐出入库明细!$D$4:$D$2004,$Z168-2000)=0,"",INDEX(周转筐出入库明细!$D$4:$D$2004,$Z168-2000)),IF($Z168&lt;=5200,IF(INDEX(客户自备加工筐明细!$C$4:$C$1203,$Z168-4000)=0,"",INDEX(客户自备加工筐明细!$C$4:$C$1203,$Z168-4000)),IF($Z168&lt;=5800,IF(INDEX(次果筐明细!$D$4:$D$603,$Z168-5200)=0,"",INDEX(次果筐明细!$D$4:$D$603,$Z168-5200)),"")))))</f>
        <v/>
      </c>
      <c r="O168" s="40" t="str">
        <f>IF($Z168="","",IF($Z168&lt;=2000,"",IF($Z168&lt;=4000,IF(N(INDEX(周转筐出入库明细!$J$4:$J$2004,$Z168-2000))+N(INDEX(周转筐出入库明细!$K$4:$K$2004,$Z168-2000))=0,"",N(INDEX(周转筐出入库明细!$J$4:$J$2004,$Z168-2000))+N(INDEX(周转筐出入库明细!$K$4:$K$2004,$Z168-2000))),IF($Z168&lt;=5200,IF(N(INDEX(客户自备加工筐明细!$G$4:$G$1203,$Z168-4000))=0,"",N(INDEX(客户自备加工筐明细!$G$4:$G$1203,$Z168-4000))),IF($Z168&lt;=5800,IF(ISNUMBER(SEARCH("退",INDEX(次果筐明细!$F$4:$F$603,$Z168-5200)&amp;"")),"",IF(N(INDEX(次果筐明细!$G$4:$G$603,$Z168-5200))=0,"",N(INDEX(次果筐明细!$G$4:$G$603,$Z168-5200)))),"")))))</f>
        <v/>
      </c>
      <c r="P168" s="40" t="str">
        <f>IF($Z168="","",IF($Z168&lt;=2000,"",IF($Z168&lt;=4000,IF(N(INDEX(周转筐出入库明细!$I$4:$I$2004,$Z168-2000))=0,"",N(INDEX(周转筐出入库明细!$I$4:$I$2004,$Z168-2000))),IF($Z168&lt;=5200,"",IF($Z168&lt;=5800,IF(ISNUMBER(SEARCH("退",INDEX(次果筐明细!$F$4:$F$603,$Z168-5200)&amp;"")),IF(N(INDEX(次果筐明细!$G$4:$G$603,$Z168-5200))=0,"",N(INDEX(次果筐明细!$G$4:$G$603,$Z168-5200))),""),"")))))</f>
        <v/>
      </c>
      <c r="Q168" s="40" t="str">
        <f>IF($Z168="","",IF($Z168&lt;=2000,"",IF($Z168&lt;=4000,IF(N(INDEX(周转筐出入库明细!$H$4:$H$2004,$Z168-2000))=0,"",N(INDEX(周转筐出入库明细!$H$4:$H$2004,$Z168-2000))),IF($Z168&lt;=5200,IF(N(INDEX(客户自备加工筐明细!$F$4:$F$1203,$Z168-4000))=0,"",N(INDEX(客户自备加工筐明细!$F$4:$F$1203,$Z168-4000))),IF($Z168&lt;=5800,"","")))))</f>
        <v/>
      </c>
      <c r="R168" s="16" t="str">
        <f>IF($Z168="","",IF($Z168&lt;=2000,IF(INDEX(包装物料出入库明细!$O$4:$O$2003,$Z168-0)=0,"",INDEX(包装物料出入库明细!$O$4:$O$2003,$Z168-0)),IF($Z168&lt;=4000,IF(INDEX(周转筐出入库明细!$M$4:$M$2004,$Z168-2000)=0,"",INDEX(周转筐出入库明细!$M$4:$M$2004,$Z168-2000)),IF($Z168&lt;=5200,IF(INDEX(客户自备加工筐明细!$H$4:$H$1203,$Z168-4000)=0,"",INDEX(客户自备加工筐明细!$H$4:$H$1203,$Z168-4000)),IF($Z168&lt;=5800,IF(INDEX(次果筐明细!$H$4:$H$603,$Z168-5200)=0,"",INDEX(次果筐明细!$H$4:$H$603,$Z168-5200)),"")))))</f>
        <v/>
      </c>
      <c r="S168" s="22" t="str">
        <f t="shared" si="8"/>
        <v/>
      </c>
      <c r="Z168" s="10" t="str">
        <f>IFERROR(MATCH(ROW()-3,_自动清单!$CQ$4:$CQ$5803,0),"")</f>
        <v/>
      </c>
    </row>
    <row r="169" spans="1:26">
      <c r="A169" s="24" t="str">
        <f t="shared" si="6"/>
        <v/>
      </c>
      <c r="B169" s="38" t="str">
        <f>IF($Z169="","",IF($Z169&lt;=2000,IF(INDEX(包装物料出入库明细!$B$4:$B$2003,$Z169-0)=0,"",INDEX(包装物料出入库明细!$B$4:$B$2003,$Z169-0)),IF($Z169&lt;=4000,IF(INDEX(周转筐出入库明细!$B$4:$B$2004,$Z169-2000)=0,"",INDEX(周转筐出入库明细!$B$4:$B$2004,$Z169-2000)),IF($Z169&lt;=5200,IF(INDEX(客户自备加工筐明细!$B$4:$B$1203,$Z169-4000)=0,"",INDEX(客户自备加工筐明细!$B$4:$B$1203,$Z169-4000)),IF($Z169&lt;=5800,IF(INDEX(次果筐明细!$B$4:$B$603,$Z169-5200)=0,"",INDEX(次果筐明细!$B$4:$B$603,$Z169-5200)),"")))))</f>
        <v/>
      </c>
      <c r="C169" s="37" t="str">
        <f>IF($Z169="","",IF($Z169&lt;=2000,IF(INDEX(包装物料出入库明细!$D$4:$D$2003,$Z169-0)=0,"",INDEX(包装物料出入库明细!$D$4:$D$2003,$Z169-0)),IF($Z169&lt;=4000,IF(INDEX(周转筐出入库明细!$C$4:$C$2004,$Z169-2000)=0,"",INDEX(周转筐出入库明细!$C$4:$C$2004,$Z169-2000)),IF($Z169&lt;=5200,IF(INDEX(客户自备加工筐明细!$E$4:$E$1203,$Z169-4000)=0,"",INDEX(客户自备加工筐明细!$E$4:$E$1203,$Z169-4000)),IF($Z169&lt;=5800,IF(INDEX(次果筐明细!$C$4:$C$603,$Z169-5200)=0,"",INDEX(次果筐明细!$C$4:$C$603,$Z169-5200)),"")))))</f>
        <v/>
      </c>
      <c r="D169" s="37" t="str">
        <f>IF($Z169="","",IF($Z169&lt;=2000,"包装物料－"&amp;INDEX(包装物料出入库明细!$H$4:$H$2003,$Z169-0),IF($Z169&lt;=4000,"周转筐－"&amp;INDEX(周转筐出入库明细!$F$4:$F$2004,$Z169-2000),IF($Z169&lt;=5200,"客户自备筐－"&amp;INDEX(客户自备加工筐明细!$J$4:$J$1203,$Z169-4000),IF($Z169&lt;=5800,"次果筐/托盘－"&amp;INDEX(次果筐明细!$F$4:$F$603,$Z169-5200),"")))))</f>
        <v/>
      </c>
      <c r="E169" s="24" t="str">
        <f>IF($Z169="","",IF($Z169&lt;=2000,IF(INDEX(包装物料出入库明细!$C$4:$C$2003,$Z169-0)=0,"",INDEX(包装物料出入库明细!$C$4:$C$2003,$Z169-0)),IF($Z169&lt;=4000,IF(INDEX(周转筐出入库明细!$E$4:$E$2004,$Z169-2000)=0,"",INDEX(周转筐出入库明细!$E$4:$E$2004,$Z169-2000)),IF($Z169&lt;=5200,IF(INDEX(客户自备加工筐明细!$D$4:$D$1203,$Z169-4000)=0,"",INDEX(客户自备加工筐明细!$D$4:$D$1203,$Z169-4000)),IF($Z169&lt;=5800,IF(INDEX(次果筐明细!$E$4:$E$603,$Z169-5200)=0,"",INDEX(次果筐明细!$E$4:$E$603,$Z169-5200)),"")))))</f>
        <v/>
      </c>
      <c r="F169" s="24" t="str">
        <f>IF($Z169="","",IF($Z169&lt;=2000,IF(INDEX(包装物料出入库明细!$E$4:$E$2003,$Z169-0)=0,"",INDEX(包装物料出入库明细!$E$4:$E$2003,$Z169-0)),IF($Z169&lt;=4000,IF(INDEX(周转筐出入库明细!$D$4:$D$2004,$Z169-2000)=0,"",INDEX(周转筐出入库明细!$D$4:$D$2004,$Z169-2000)),IF($Z169&lt;=5200,IF(INDEX(客户自备加工筐明细!$C$4:$C$1203,$Z169-4000)=0,"",INDEX(客户自备加工筐明细!$C$4:$C$1203,$Z169-4000)),IF($Z169&lt;=5800,IF(INDEX(次果筐明细!$D$4:$D$603,$Z169-5200)=0,"",INDEX(次果筐明细!$D$4:$D$603,$Z169-5200)),"")))))</f>
        <v/>
      </c>
      <c r="G169" s="24" t="str">
        <f>IF($Z169="","",IF($Z169&lt;=2000,IF(INDEX(包装物料出入库明细!$F$4:$F$2003,$Z169-0)=0,"",INDEX(包装物料出入库明细!$F$4:$F$2003,$Z169-0)),IF($Z169&lt;=4000,"",IF($Z169&lt;=5200,"",IF($Z169&lt;=5800,"","")))))</f>
        <v/>
      </c>
      <c r="H169" s="39" t="str">
        <f>IF($Z169="","",IF($Z169&lt;=2000,IF(INDEX(包装物料出入库明细!$L$4:$L$2003,$Z169-0)=0,"",INDEX(包装物料出入库明细!$L$4:$L$2003,$Z169-0)),IF($Z169&lt;=4000,N(INDEX(周转筐出入库明细!$H$4:$H$2004,$Z169-2000))+N(INDEX(周转筐出入库明细!$I$4:$I$2004,$Z169-2000))+N(INDEX(周转筐出入库明细!$J$4:$J$2004,$Z169-2000))+N(INDEX(周转筐出入库明细!$K$4:$K$2004,$Z169-2000)),IF($Z169&lt;=5200,N(INDEX(客户自备加工筐明细!$F$4:$F$1203,$Z169-4000))+N(INDEX(客户自备加工筐明细!$G$4:$G$1203,$Z169-4000)),IF($Z169&lt;=5800,IF(INDEX(次果筐明细!$G$4:$G$603,$Z169-5200)=0,"",INDEX(次果筐明细!$G$4:$G$603,$Z169-5200)),"")))))</f>
        <v/>
      </c>
      <c r="I169" s="24" t="str">
        <f>IF($Z169="","",IF($Z169&lt;=2000,IF(INDEX(包装物料出入库明细!$G$4:$G$2003,$Z169-0)=0,"",INDEX(包装物料出入库明细!$G$4:$G$2003,$Z169-0)),IF($Z169&lt;=4000,"个",IF($Z169&lt;=5200,"个",IF($Z169&lt;=5800,"个","")))))</f>
        <v/>
      </c>
      <c r="J169" s="30" t="str">
        <f t="shared" si="7"/>
        <v/>
      </c>
      <c r="K169" s="30" t="str">
        <f>IF($Z169="","",IF($Z169&lt;=2000,IF(INDEX(包装物料出入库明细!$N$4:$N$2003,$Z169-0)=0,"",INDEX(包装物料出入库明细!$N$4:$N$2003,$Z169-0)),IF($Z169&lt;=4000,IF(INDEX(周转筐出入库明细!$P$4:$P$2004,$Z169-2000)=0,"",INDEX(周转筐出入库明细!$P$4:$P$2004,$Z169-2000)),IF($Z169&lt;=5200,"",IF($Z169&lt;=5800,N(INDEX(次果筐明细!$L$4:$L$603,$Z169-5200))+N(INDEX(次果筐明细!$J$4:$J$603,$Z169-5200)),"")))))</f>
        <v/>
      </c>
      <c r="L169" s="24" t="str">
        <f>IF($Z169="","",IF($Z169&lt;=2000,IF(INDEX(包装物料出入库明细!$P$4:$P$2003,$Z169-0)=0,"",INDEX(包装物料出入库明细!$P$4:$P$2003,$Z169-0)),IF($Z169&lt;=4000,IF(INDEX(周转筐出入库明细!$Q$4:$Q$2004,$Z169-2000)=0,"",INDEX(周转筐出入库明细!$Q$4:$Q$2004,$Z169-2000)),IF($Z169&lt;=5200,"",IF($Z169&lt;=5800,IF(INDEX(次果筐明细!$M$4:$M$603,$Z169-5200)=0,"",INDEX(次果筐明细!$M$4:$M$603,$Z169-5200)),"")))))</f>
        <v/>
      </c>
      <c r="M169" s="37" t="str">
        <f>IF($Z169="","",IF($Z169&lt;=2000,IF(INDEX(包装物料出入库明细!$R$4:$R$2003,$Z169-0)=0,"",INDEX(包装物料出入库明细!$R$4:$R$2003,$Z169-0)),IF($Z169&lt;=4000,IF(INDEX(周转筐出入库明细!$W$4:$W$2004,$Z169-2000)=0,"",INDEX(周转筐出入库明细!$W$4:$W$2004,$Z169-2000)),IF($Z169&lt;=5200,IF(INDEX(客户自备加工筐明细!$L$4:$L$1203,$Z169-4000)=0,"",INDEX(客户自备加工筐明细!$L$4:$L$1203,$Z169-4000)),IF($Z169&lt;=5800,IF(INDEX(次果筐明细!$P$4:$P$603,$Z169-5200)=0,"",INDEX(次果筐明细!$P$4:$P$603,$Z169-5200)),"")))))</f>
        <v/>
      </c>
      <c r="N169" s="16" t="str">
        <f>IF($Z169="","",IF($Z169&lt;=2000,"",IF($Z169&lt;=4000,IF(INDEX(周转筐出入库明细!$D$4:$D$2004,$Z169-2000)=0,"",INDEX(周转筐出入库明细!$D$4:$D$2004,$Z169-2000)),IF($Z169&lt;=5200,IF(INDEX(客户自备加工筐明细!$C$4:$C$1203,$Z169-4000)=0,"",INDEX(客户自备加工筐明细!$C$4:$C$1203,$Z169-4000)),IF($Z169&lt;=5800,IF(INDEX(次果筐明细!$D$4:$D$603,$Z169-5200)=0,"",INDEX(次果筐明细!$D$4:$D$603,$Z169-5200)),"")))))</f>
        <v/>
      </c>
      <c r="O169" s="40" t="str">
        <f>IF($Z169="","",IF($Z169&lt;=2000,"",IF($Z169&lt;=4000,IF(N(INDEX(周转筐出入库明细!$J$4:$J$2004,$Z169-2000))+N(INDEX(周转筐出入库明细!$K$4:$K$2004,$Z169-2000))=0,"",N(INDEX(周转筐出入库明细!$J$4:$J$2004,$Z169-2000))+N(INDEX(周转筐出入库明细!$K$4:$K$2004,$Z169-2000))),IF($Z169&lt;=5200,IF(N(INDEX(客户自备加工筐明细!$G$4:$G$1203,$Z169-4000))=0,"",N(INDEX(客户自备加工筐明细!$G$4:$G$1203,$Z169-4000))),IF($Z169&lt;=5800,IF(ISNUMBER(SEARCH("退",INDEX(次果筐明细!$F$4:$F$603,$Z169-5200)&amp;"")),"",IF(N(INDEX(次果筐明细!$G$4:$G$603,$Z169-5200))=0,"",N(INDEX(次果筐明细!$G$4:$G$603,$Z169-5200)))),"")))))</f>
        <v/>
      </c>
      <c r="P169" s="40" t="str">
        <f>IF($Z169="","",IF($Z169&lt;=2000,"",IF($Z169&lt;=4000,IF(N(INDEX(周转筐出入库明细!$I$4:$I$2004,$Z169-2000))=0,"",N(INDEX(周转筐出入库明细!$I$4:$I$2004,$Z169-2000))),IF($Z169&lt;=5200,"",IF($Z169&lt;=5800,IF(ISNUMBER(SEARCH("退",INDEX(次果筐明细!$F$4:$F$603,$Z169-5200)&amp;"")),IF(N(INDEX(次果筐明细!$G$4:$G$603,$Z169-5200))=0,"",N(INDEX(次果筐明细!$G$4:$G$603,$Z169-5200))),""),"")))))</f>
        <v/>
      </c>
      <c r="Q169" s="40" t="str">
        <f>IF($Z169="","",IF($Z169&lt;=2000,"",IF($Z169&lt;=4000,IF(N(INDEX(周转筐出入库明细!$H$4:$H$2004,$Z169-2000))=0,"",N(INDEX(周转筐出入库明细!$H$4:$H$2004,$Z169-2000))),IF($Z169&lt;=5200,IF(N(INDEX(客户自备加工筐明细!$F$4:$F$1203,$Z169-4000))=0,"",N(INDEX(客户自备加工筐明细!$F$4:$F$1203,$Z169-4000))),IF($Z169&lt;=5800,"","")))))</f>
        <v/>
      </c>
      <c r="R169" s="16" t="str">
        <f>IF($Z169="","",IF($Z169&lt;=2000,IF(INDEX(包装物料出入库明细!$O$4:$O$2003,$Z169-0)=0,"",INDEX(包装物料出入库明细!$O$4:$O$2003,$Z169-0)),IF($Z169&lt;=4000,IF(INDEX(周转筐出入库明细!$M$4:$M$2004,$Z169-2000)=0,"",INDEX(周转筐出入库明细!$M$4:$M$2004,$Z169-2000)),IF($Z169&lt;=5200,IF(INDEX(客户自备加工筐明细!$H$4:$H$1203,$Z169-4000)=0,"",INDEX(客户自备加工筐明细!$H$4:$H$1203,$Z169-4000)),IF($Z169&lt;=5800,IF(INDEX(次果筐明细!$H$4:$H$603,$Z169-5200)=0,"",INDEX(次果筐明细!$H$4:$H$603,$Z169-5200)),"")))))</f>
        <v/>
      </c>
      <c r="S169" s="22" t="str">
        <f t="shared" si="8"/>
        <v/>
      </c>
      <c r="Z169" s="10" t="str">
        <f>IFERROR(MATCH(ROW()-3,_自动清单!$CQ$4:$CQ$5803,0),"")</f>
        <v/>
      </c>
    </row>
    <row r="170" spans="1:26">
      <c r="A170" s="24" t="str">
        <f t="shared" si="6"/>
        <v/>
      </c>
      <c r="B170" s="38" t="str">
        <f>IF($Z170="","",IF($Z170&lt;=2000,IF(INDEX(包装物料出入库明细!$B$4:$B$2003,$Z170-0)=0,"",INDEX(包装物料出入库明细!$B$4:$B$2003,$Z170-0)),IF($Z170&lt;=4000,IF(INDEX(周转筐出入库明细!$B$4:$B$2004,$Z170-2000)=0,"",INDEX(周转筐出入库明细!$B$4:$B$2004,$Z170-2000)),IF($Z170&lt;=5200,IF(INDEX(客户自备加工筐明细!$B$4:$B$1203,$Z170-4000)=0,"",INDEX(客户自备加工筐明细!$B$4:$B$1203,$Z170-4000)),IF($Z170&lt;=5800,IF(INDEX(次果筐明细!$B$4:$B$603,$Z170-5200)=0,"",INDEX(次果筐明细!$B$4:$B$603,$Z170-5200)),"")))))</f>
        <v/>
      </c>
      <c r="C170" s="37" t="str">
        <f>IF($Z170="","",IF($Z170&lt;=2000,IF(INDEX(包装物料出入库明细!$D$4:$D$2003,$Z170-0)=0,"",INDEX(包装物料出入库明细!$D$4:$D$2003,$Z170-0)),IF($Z170&lt;=4000,IF(INDEX(周转筐出入库明细!$C$4:$C$2004,$Z170-2000)=0,"",INDEX(周转筐出入库明细!$C$4:$C$2004,$Z170-2000)),IF($Z170&lt;=5200,IF(INDEX(客户自备加工筐明细!$E$4:$E$1203,$Z170-4000)=0,"",INDEX(客户自备加工筐明细!$E$4:$E$1203,$Z170-4000)),IF($Z170&lt;=5800,IF(INDEX(次果筐明细!$C$4:$C$603,$Z170-5200)=0,"",INDEX(次果筐明细!$C$4:$C$603,$Z170-5200)),"")))))</f>
        <v/>
      </c>
      <c r="D170" s="37" t="str">
        <f>IF($Z170="","",IF($Z170&lt;=2000,"包装物料－"&amp;INDEX(包装物料出入库明细!$H$4:$H$2003,$Z170-0),IF($Z170&lt;=4000,"周转筐－"&amp;INDEX(周转筐出入库明细!$F$4:$F$2004,$Z170-2000),IF($Z170&lt;=5200,"客户自备筐－"&amp;INDEX(客户自备加工筐明细!$J$4:$J$1203,$Z170-4000),IF($Z170&lt;=5800,"次果筐/托盘－"&amp;INDEX(次果筐明细!$F$4:$F$603,$Z170-5200),"")))))</f>
        <v/>
      </c>
      <c r="E170" s="24" t="str">
        <f>IF($Z170="","",IF($Z170&lt;=2000,IF(INDEX(包装物料出入库明细!$C$4:$C$2003,$Z170-0)=0,"",INDEX(包装物料出入库明细!$C$4:$C$2003,$Z170-0)),IF($Z170&lt;=4000,IF(INDEX(周转筐出入库明细!$E$4:$E$2004,$Z170-2000)=0,"",INDEX(周转筐出入库明细!$E$4:$E$2004,$Z170-2000)),IF($Z170&lt;=5200,IF(INDEX(客户自备加工筐明细!$D$4:$D$1203,$Z170-4000)=0,"",INDEX(客户自备加工筐明细!$D$4:$D$1203,$Z170-4000)),IF($Z170&lt;=5800,IF(INDEX(次果筐明细!$E$4:$E$603,$Z170-5200)=0,"",INDEX(次果筐明细!$E$4:$E$603,$Z170-5200)),"")))))</f>
        <v/>
      </c>
      <c r="F170" s="24" t="str">
        <f>IF($Z170="","",IF($Z170&lt;=2000,IF(INDEX(包装物料出入库明细!$E$4:$E$2003,$Z170-0)=0,"",INDEX(包装物料出入库明细!$E$4:$E$2003,$Z170-0)),IF($Z170&lt;=4000,IF(INDEX(周转筐出入库明细!$D$4:$D$2004,$Z170-2000)=0,"",INDEX(周转筐出入库明细!$D$4:$D$2004,$Z170-2000)),IF($Z170&lt;=5200,IF(INDEX(客户自备加工筐明细!$C$4:$C$1203,$Z170-4000)=0,"",INDEX(客户自备加工筐明细!$C$4:$C$1203,$Z170-4000)),IF($Z170&lt;=5800,IF(INDEX(次果筐明细!$D$4:$D$603,$Z170-5200)=0,"",INDEX(次果筐明细!$D$4:$D$603,$Z170-5200)),"")))))</f>
        <v/>
      </c>
      <c r="G170" s="24" t="str">
        <f>IF($Z170="","",IF($Z170&lt;=2000,IF(INDEX(包装物料出入库明细!$F$4:$F$2003,$Z170-0)=0,"",INDEX(包装物料出入库明细!$F$4:$F$2003,$Z170-0)),IF($Z170&lt;=4000,"",IF($Z170&lt;=5200,"",IF($Z170&lt;=5800,"","")))))</f>
        <v/>
      </c>
      <c r="H170" s="39" t="str">
        <f>IF($Z170="","",IF($Z170&lt;=2000,IF(INDEX(包装物料出入库明细!$L$4:$L$2003,$Z170-0)=0,"",INDEX(包装物料出入库明细!$L$4:$L$2003,$Z170-0)),IF($Z170&lt;=4000,N(INDEX(周转筐出入库明细!$H$4:$H$2004,$Z170-2000))+N(INDEX(周转筐出入库明细!$I$4:$I$2004,$Z170-2000))+N(INDEX(周转筐出入库明细!$J$4:$J$2004,$Z170-2000))+N(INDEX(周转筐出入库明细!$K$4:$K$2004,$Z170-2000)),IF($Z170&lt;=5200,N(INDEX(客户自备加工筐明细!$F$4:$F$1203,$Z170-4000))+N(INDEX(客户自备加工筐明细!$G$4:$G$1203,$Z170-4000)),IF($Z170&lt;=5800,IF(INDEX(次果筐明细!$G$4:$G$603,$Z170-5200)=0,"",INDEX(次果筐明细!$G$4:$G$603,$Z170-5200)),"")))))</f>
        <v/>
      </c>
      <c r="I170" s="24" t="str">
        <f>IF($Z170="","",IF($Z170&lt;=2000,IF(INDEX(包装物料出入库明细!$G$4:$G$2003,$Z170-0)=0,"",INDEX(包装物料出入库明细!$G$4:$G$2003,$Z170-0)),IF($Z170&lt;=4000,"个",IF($Z170&lt;=5200,"个",IF($Z170&lt;=5800,"个","")))))</f>
        <v/>
      </c>
      <c r="J170" s="30" t="str">
        <f t="shared" si="7"/>
        <v/>
      </c>
      <c r="K170" s="30" t="str">
        <f>IF($Z170="","",IF($Z170&lt;=2000,IF(INDEX(包装物料出入库明细!$N$4:$N$2003,$Z170-0)=0,"",INDEX(包装物料出入库明细!$N$4:$N$2003,$Z170-0)),IF($Z170&lt;=4000,IF(INDEX(周转筐出入库明细!$P$4:$P$2004,$Z170-2000)=0,"",INDEX(周转筐出入库明细!$P$4:$P$2004,$Z170-2000)),IF($Z170&lt;=5200,"",IF($Z170&lt;=5800,N(INDEX(次果筐明细!$L$4:$L$603,$Z170-5200))+N(INDEX(次果筐明细!$J$4:$J$603,$Z170-5200)),"")))))</f>
        <v/>
      </c>
      <c r="L170" s="24" t="str">
        <f>IF($Z170="","",IF($Z170&lt;=2000,IF(INDEX(包装物料出入库明细!$P$4:$P$2003,$Z170-0)=0,"",INDEX(包装物料出入库明细!$P$4:$P$2003,$Z170-0)),IF($Z170&lt;=4000,IF(INDEX(周转筐出入库明细!$Q$4:$Q$2004,$Z170-2000)=0,"",INDEX(周转筐出入库明细!$Q$4:$Q$2004,$Z170-2000)),IF($Z170&lt;=5200,"",IF($Z170&lt;=5800,IF(INDEX(次果筐明细!$M$4:$M$603,$Z170-5200)=0,"",INDEX(次果筐明细!$M$4:$M$603,$Z170-5200)),"")))))</f>
        <v/>
      </c>
      <c r="M170" s="37" t="str">
        <f>IF($Z170="","",IF($Z170&lt;=2000,IF(INDEX(包装物料出入库明细!$R$4:$R$2003,$Z170-0)=0,"",INDEX(包装物料出入库明细!$R$4:$R$2003,$Z170-0)),IF($Z170&lt;=4000,IF(INDEX(周转筐出入库明细!$W$4:$W$2004,$Z170-2000)=0,"",INDEX(周转筐出入库明细!$W$4:$W$2004,$Z170-2000)),IF($Z170&lt;=5200,IF(INDEX(客户自备加工筐明细!$L$4:$L$1203,$Z170-4000)=0,"",INDEX(客户自备加工筐明细!$L$4:$L$1203,$Z170-4000)),IF($Z170&lt;=5800,IF(INDEX(次果筐明细!$P$4:$P$603,$Z170-5200)=0,"",INDEX(次果筐明细!$P$4:$P$603,$Z170-5200)),"")))))</f>
        <v/>
      </c>
      <c r="N170" s="16" t="str">
        <f>IF($Z170="","",IF($Z170&lt;=2000,"",IF($Z170&lt;=4000,IF(INDEX(周转筐出入库明细!$D$4:$D$2004,$Z170-2000)=0,"",INDEX(周转筐出入库明细!$D$4:$D$2004,$Z170-2000)),IF($Z170&lt;=5200,IF(INDEX(客户自备加工筐明细!$C$4:$C$1203,$Z170-4000)=0,"",INDEX(客户自备加工筐明细!$C$4:$C$1203,$Z170-4000)),IF($Z170&lt;=5800,IF(INDEX(次果筐明细!$D$4:$D$603,$Z170-5200)=0,"",INDEX(次果筐明细!$D$4:$D$603,$Z170-5200)),"")))))</f>
        <v/>
      </c>
      <c r="O170" s="40" t="str">
        <f>IF($Z170="","",IF($Z170&lt;=2000,"",IF($Z170&lt;=4000,IF(N(INDEX(周转筐出入库明细!$J$4:$J$2004,$Z170-2000))+N(INDEX(周转筐出入库明细!$K$4:$K$2004,$Z170-2000))=0,"",N(INDEX(周转筐出入库明细!$J$4:$J$2004,$Z170-2000))+N(INDEX(周转筐出入库明细!$K$4:$K$2004,$Z170-2000))),IF($Z170&lt;=5200,IF(N(INDEX(客户自备加工筐明细!$G$4:$G$1203,$Z170-4000))=0,"",N(INDEX(客户自备加工筐明细!$G$4:$G$1203,$Z170-4000))),IF($Z170&lt;=5800,IF(ISNUMBER(SEARCH("退",INDEX(次果筐明细!$F$4:$F$603,$Z170-5200)&amp;"")),"",IF(N(INDEX(次果筐明细!$G$4:$G$603,$Z170-5200))=0,"",N(INDEX(次果筐明细!$G$4:$G$603,$Z170-5200)))),"")))))</f>
        <v/>
      </c>
      <c r="P170" s="40" t="str">
        <f>IF($Z170="","",IF($Z170&lt;=2000,"",IF($Z170&lt;=4000,IF(N(INDEX(周转筐出入库明细!$I$4:$I$2004,$Z170-2000))=0,"",N(INDEX(周转筐出入库明细!$I$4:$I$2004,$Z170-2000))),IF($Z170&lt;=5200,"",IF($Z170&lt;=5800,IF(ISNUMBER(SEARCH("退",INDEX(次果筐明细!$F$4:$F$603,$Z170-5200)&amp;"")),IF(N(INDEX(次果筐明细!$G$4:$G$603,$Z170-5200))=0,"",N(INDEX(次果筐明细!$G$4:$G$603,$Z170-5200))),""),"")))))</f>
        <v/>
      </c>
      <c r="Q170" s="40" t="str">
        <f>IF($Z170="","",IF($Z170&lt;=2000,"",IF($Z170&lt;=4000,IF(N(INDEX(周转筐出入库明细!$H$4:$H$2004,$Z170-2000))=0,"",N(INDEX(周转筐出入库明细!$H$4:$H$2004,$Z170-2000))),IF($Z170&lt;=5200,IF(N(INDEX(客户自备加工筐明细!$F$4:$F$1203,$Z170-4000))=0,"",N(INDEX(客户自备加工筐明细!$F$4:$F$1203,$Z170-4000))),IF($Z170&lt;=5800,"","")))))</f>
        <v/>
      </c>
      <c r="R170" s="16" t="str">
        <f>IF($Z170="","",IF($Z170&lt;=2000,IF(INDEX(包装物料出入库明细!$O$4:$O$2003,$Z170-0)=0,"",INDEX(包装物料出入库明细!$O$4:$O$2003,$Z170-0)),IF($Z170&lt;=4000,IF(INDEX(周转筐出入库明细!$M$4:$M$2004,$Z170-2000)=0,"",INDEX(周转筐出入库明细!$M$4:$M$2004,$Z170-2000)),IF($Z170&lt;=5200,IF(INDEX(客户自备加工筐明细!$H$4:$H$1203,$Z170-4000)=0,"",INDEX(客户自备加工筐明细!$H$4:$H$1203,$Z170-4000)),IF($Z170&lt;=5800,IF(INDEX(次果筐明细!$H$4:$H$603,$Z170-5200)=0,"",INDEX(次果筐明细!$H$4:$H$603,$Z170-5200)),"")))))</f>
        <v/>
      </c>
      <c r="S170" s="22" t="str">
        <f t="shared" si="8"/>
        <v/>
      </c>
      <c r="Z170" s="10" t="str">
        <f>IFERROR(MATCH(ROW()-3,_自动清单!$CQ$4:$CQ$5803,0),"")</f>
        <v/>
      </c>
    </row>
    <row r="171" spans="1:26">
      <c r="A171" s="24" t="str">
        <f t="shared" si="6"/>
        <v/>
      </c>
      <c r="B171" s="38" t="str">
        <f>IF($Z171="","",IF($Z171&lt;=2000,IF(INDEX(包装物料出入库明细!$B$4:$B$2003,$Z171-0)=0,"",INDEX(包装物料出入库明细!$B$4:$B$2003,$Z171-0)),IF($Z171&lt;=4000,IF(INDEX(周转筐出入库明细!$B$4:$B$2004,$Z171-2000)=0,"",INDEX(周转筐出入库明细!$B$4:$B$2004,$Z171-2000)),IF($Z171&lt;=5200,IF(INDEX(客户自备加工筐明细!$B$4:$B$1203,$Z171-4000)=0,"",INDEX(客户自备加工筐明细!$B$4:$B$1203,$Z171-4000)),IF($Z171&lt;=5800,IF(INDEX(次果筐明细!$B$4:$B$603,$Z171-5200)=0,"",INDEX(次果筐明细!$B$4:$B$603,$Z171-5200)),"")))))</f>
        <v/>
      </c>
      <c r="C171" s="37" t="str">
        <f>IF($Z171="","",IF($Z171&lt;=2000,IF(INDEX(包装物料出入库明细!$D$4:$D$2003,$Z171-0)=0,"",INDEX(包装物料出入库明细!$D$4:$D$2003,$Z171-0)),IF($Z171&lt;=4000,IF(INDEX(周转筐出入库明细!$C$4:$C$2004,$Z171-2000)=0,"",INDEX(周转筐出入库明细!$C$4:$C$2004,$Z171-2000)),IF($Z171&lt;=5200,IF(INDEX(客户自备加工筐明细!$E$4:$E$1203,$Z171-4000)=0,"",INDEX(客户自备加工筐明细!$E$4:$E$1203,$Z171-4000)),IF($Z171&lt;=5800,IF(INDEX(次果筐明细!$C$4:$C$603,$Z171-5200)=0,"",INDEX(次果筐明细!$C$4:$C$603,$Z171-5200)),"")))))</f>
        <v/>
      </c>
      <c r="D171" s="37" t="str">
        <f>IF($Z171="","",IF($Z171&lt;=2000,"包装物料－"&amp;INDEX(包装物料出入库明细!$H$4:$H$2003,$Z171-0),IF($Z171&lt;=4000,"周转筐－"&amp;INDEX(周转筐出入库明细!$F$4:$F$2004,$Z171-2000),IF($Z171&lt;=5200,"客户自备筐－"&amp;INDEX(客户自备加工筐明细!$J$4:$J$1203,$Z171-4000),IF($Z171&lt;=5800,"次果筐/托盘－"&amp;INDEX(次果筐明细!$F$4:$F$603,$Z171-5200),"")))))</f>
        <v/>
      </c>
      <c r="E171" s="24" t="str">
        <f>IF($Z171="","",IF($Z171&lt;=2000,IF(INDEX(包装物料出入库明细!$C$4:$C$2003,$Z171-0)=0,"",INDEX(包装物料出入库明细!$C$4:$C$2003,$Z171-0)),IF($Z171&lt;=4000,IF(INDEX(周转筐出入库明细!$E$4:$E$2004,$Z171-2000)=0,"",INDEX(周转筐出入库明细!$E$4:$E$2004,$Z171-2000)),IF($Z171&lt;=5200,IF(INDEX(客户自备加工筐明细!$D$4:$D$1203,$Z171-4000)=0,"",INDEX(客户自备加工筐明细!$D$4:$D$1203,$Z171-4000)),IF($Z171&lt;=5800,IF(INDEX(次果筐明细!$E$4:$E$603,$Z171-5200)=0,"",INDEX(次果筐明细!$E$4:$E$603,$Z171-5200)),"")))))</f>
        <v/>
      </c>
      <c r="F171" s="24" t="str">
        <f>IF($Z171="","",IF($Z171&lt;=2000,IF(INDEX(包装物料出入库明细!$E$4:$E$2003,$Z171-0)=0,"",INDEX(包装物料出入库明细!$E$4:$E$2003,$Z171-0)),IF($Z171&lt;=4000,IF(INDEX(周转筐出入库明细!$D$4:$D$2004,$Z171-2000)=0,"",INDEX(周转筐出入库明细!$D$4:$D$2004,$Z171-2000)),IF($Z171&lt;=5200,IF(INDEX(客户自备加工筐明细!$C$4:$C$1203,$Z171-4000)=0,"",INDEX(客户自备加工筐明细!$C$4:$C$1203,$Z171-4000)),IF($Z171&lt;=5800,IF(INDEX(次果筐明细!$D$4:$D$603,$Z171-5200)=0,"",INDEX(次果筐明细!$D$4:$D$603,$Z171-5200)),"")))))</f>
        <v/>
      </c>
      <c r="G171" s="24" t="str">
        <f>IF($Z171="","",IF($Z171&lt;=2000,IF(INDEX(包装物料出入库明细!$F$4:$F$2003,$Z171-0)=0,"",INDEX(包装物料出入库明细!$F$4:$F$2003,$Z171-0)),IF($Z171&lt;=4000,"",IF($Z171&lt;=5200,"",IF($Z171&lt;=5800,"","")))))</f>
        <v/>
      </c>
      <c r="H171" s="39" t="str">
        <f>IF($Z171="","",IF($Z171&lt;=2000,IF(INDEX(包装物料出入库明细!$L$4:$L$2003,$Z171-0)=0,"",INDEX(包装物料出入库明细!$L$4:$L$2003,$Z171-0)),IF($Z171&lt;=4000,N(INDEX(周转筐出入库明细!$H$4:$H$2004,$Z171-2000))+N(INDEX(周转筐出入库明细!$I$4:$I$2004,$Z171-2000))+N(INDEX(周转筐出入库明细!$J$4:$J$2004,$Z171-2000))+N(INDEX(周转筐出入库明细!$K$4:$K$2004,$Z171-2000)),IF($Z171&lt;=5200,N(INDEX(客户自备加工筐明细!$F$4:$F$1203,$Z171-4000))+N(INDEX(客户自备加工筐明细!$G$4:$G$1203,$Z171-4000)),IF($Z171&lt;=5800,IF(INDEX(次果筐明细!$G$4:$G$603,$Z171-5200)=0,"",INDEX(次果筐明细!$G$4:$G$603,$Z171-5200)),"")))))</f>
        <v/>
      </c>
      <c r="I171" s="24" t="str">
        <f>IF($Z171="","",IF($Z171&lt;=2000,IF(INDEX(包装物料出入库明细!$G$4:$G$2003,$Z171-0)=0,"",INDEX(包装物料出入库明细!$G$4:$G$2003,$Z171-0)),IF($Z171&lt;=4000,"个",IF($Z171&lt;=5200,"个",IF($Z171&lt;=5800,"个","")))))</f>
        <v/>
      </c>
      <c r="J171" s="30" t="str">
        <f t="shared" si="7"/>
        <v/>
      </c>
      <c r="K171" s="30" t="str">
        <f>IF($Z171="","",IF($Z171&lt;=2000,IF(INDEX(包装物料出入库明细!$N$4:$N$2003,$Z171-0)=0,"",INDEX(包装物料出入库明细!$N$4:$N$2003,$Z171-0)),IF($Z171&lt;=4000,IF(INDEX(周转筐出入库明细!$P$4:$P$2004,$Z171-2000)=0,"",INDEX(周转筐出入库明细!$P$4:$P$2004,$Z171-2000)),IF($Z171&lt;=5200,"",IF($Z171&lt;=5800,N(INDEX(次果筐明细!$L$4:$L$603,$Z171-5200))+N(INDEX(次果筐明细!$J$4:$J$603,$Z171-5200)),"")))))</f>
        <v/>
      </c>
      <c r="L171" s="24" t="str">
        <f>IF($Z171="","",IF($Z171&lt;=2000,IF(INDEX(包装物料出入库明细!$P$4:$P$2003,$Z171-0)=0,"",INDEX(包装物料出入库明细!$P$4:$P$2003,$Z171-0)),IF($Z171&lt;=4000,IF(INDEX(周转筐出入库明细!$Q$4:$Q$2004,$Z171-2000)=0,"",INDEX(周转筐出入库明细!$Q$4:$Q$2004,$Z171-2000)),IF($Z171&lt;=5200,"",IF($Z171&lt;=5800,IF(INDEX(次果筐明细!$M$4:$M$603,$Z171-5200)=0,"",INDEX(次果筐明细!$M$4:$M$603,$Z171-5200)),"")))))</f>
        <v/>
      </c>
      <c r="M171" s="37" t="str">
        <f>IF($Z171="","",IF($Z171&lt;=2000,IF(INDEX(包装物料出入库明细!$R$4:$R$2003,$Z171-0)=0,"",INDEX(包装物料出入库明细!$R$4:$R$2003,$Z171-0)),IF($Z171&lt;=4000,IF(INDEX(周转筐出入库明细!$W$4:$W$2004,$Z171-2000)=0,"",INDEX(周转筐出入库明细!$W$4:$W$2004,$Z171-2000)),IF($Z171&lt;=5200,IF(INDEX(客户自备加工筐明细!$L$4:$L$1203,$Z171-4000)=0,"",INDEX(客户自备加工筐明细!$L$4:$L$1203,$Z171-4000)),IF($Z171&lt;=5800,IF(INDEX(次果筐明细!$P$4:$P$603,$Z171-5200)=0,"",INDEX(次果筐明细!$P$4:$P$603,$Z171-5200)),"")))))</f>
        <v/>
      </c>
      <c r="N171" s="16" t="str">
        <f>IF($Z171="","",IF($Z171&lt;=2000,"",IF($Z171&lt;=4000,IF(INDEX(周转筐出入库明细!$D$4:$D$2004,$Z171-2000)=0,"",INDEX(周转筐出入库明细!$D$4:$D$2004,$Z171-2000)),IF($Z171&lt;=5200,IF(INDEX(客户自备加工筐明细!$C$4:$C$1203,$Z171-4000)=0,"",INDEX(客户自备加工筐明细!$C$4:$C$1203,$Z171-4000)),IF($Z171&lt;=5800,IF(INDEX(次果筐明细!$D$4:$D$603,$Z171-5200)=0,"",INDEX(次果筐明细!$D$4:$D$603,$Z171-5200)),"")))))</f>
        <v/>
      </c>
      <c r="O171" s="40" t="str">
        <f>IF($Z171="","",IF($Z171&lt;=2000,"",IF($Z171&lt;=4000,IF(N(INDEX(周转筐出入库明细!$J$4:$J$2004,$Z171-2000))+N(INDEX(周转筐出入库明细!$K$4:$K$2004,$Z171-2000))=0,"",N(INDEX(周转筐出入库明细!$J$4:$J$2004,$Z171-2000))+N(INDEX(周转筐出入库明细!$K$4:$K$2004,$Z171-2000))),IF($Z171&lt;=5200,IF(N(INDEX(客户自备加工筐明细!$G$4:$G$1203,$Z171-4000))=0,"",N(INDEX(客户自备加工筐明细!$G$4:$G$1203,$Z171-4000))),IF($Z171&lt;=5800,IF(ISNUMBER(SEARCH("退",INDEX(次果筐明细!$F$4:$F$603,$Z171-5200)&amp;"")),"",IF(N(INDEX(次果筐明细!$G$4:$G$603,$Z171-5200))=0,"",N(INDEX(次果筐明细!$G$4:$G$603,$Z171-5200)))),"")))))</f>
        <v/>
      </c>
      <c r="P171" s="40" t="str">
        <f>IF($Z171="","",IF($Z171&lt;=2000,"",IF($Z171&lt;=4000,IF(N(INDEX(周转筐出入库明细!$I$4:$I$2004,$Z171-2000))=0,"",N(INDEX(周转筐出入库明细!$I$4:$I$2004,$Z171-2000))),IF($Z171&lt;=5200,"",IF($Z171&lt;=5800,IF(ISNUMBER(SEARCH("退",INDEX(次果筐明细!$F$4:$F$603,$Z171-5200)&amp;"")),IF(N(INDEX(次果筐明细!$G$4:$G$603,$Z171-5200))=0,"",N(INDEX(次果筐明细!$G$4:$G$603,$Z171-5200))),""),"")))))</f>
        <v/>
      </c>
      <c r="Q171" s="40" t="str">
        <f>IF($Z171="","",IF($Z171&lt;=2000,"",IF($Z171&lt;=4000,IF(N(INDEX(周转筐出入库明细!$H$4:$H$2004,$Z171-2000))=0,"",N(INDEX(周转筐出入库明细!$H$4:$H$2004,$Z171-2000))),IF($Z171&lt;=5200,IF(N(INDEX(客户自备加工筐明细!$F$4:$F$1203,$Z171-4000))=0,"",N(INDEX(客户自备加工筐明细!$F$4:$F$1203,$Z171-4000))),IF($Z171&lt;=5800,"","")))))</f>
        <v/>
      </c>
      <c r="R171" s="16" t="str">
        <f>IF($Z171="","",IF($Z171&lt;=2000,IF(INDEX(包装物料出入库明细!$O$4:$O$2003,$Z171-0)=0,"",INDEX(包装物料出入库明细!$O$4:$O$2003,$Z171-0)),IF($Z171&lt;=4000,IF(INDEX(周转筐出入库明细!$M$4:$M$2004,$Z171-2000)=0,"",INDEX(周转筐出入库明细!$M$4:$M$2004,$Z171-2000)),IF($Z171&lt;=5200,IF(INDEX(客户自备加工筐明细!$H$4:$H$1203,$Z171-4000)=0,"",INDEX(客户自备加工筐明细!$H$4:$H$1203,$Z171-4000)),IF($Z171&lt;=5800,IF(INDEX(次果筐明细!$H$4:$H$603,$Z171-5200)=0,"",INDEX(次果筐明细!$H$4:$H$603,$Z171-5200)),"")))))</f>
        <v/>
      </c>
      <c r="S171" s="22" t="str">
        <f t="shared" si="8"/>
        <v/>
      </c>
      <c r="Z171" s="10" t="str">
        <f>IFERROR(MATCH(ROW()-3,_自动清单!$CQ$4:$CQ$5803,0),"")</f>
        <v/>
      </c>
    </row>
    <row r="172" spans="1:26">
      <c r="A172" s="24" t="str">
        <f t="shared" si="6"/>
        <v/>
      </c>
      <c r="B172" s="38" t="str">
        <f>IF($Z172="","",IF($Z172&lt;=2000,IF(INDEX(包装物料出入库明细!$B$4:$B$2003,$Z172-0)=0,"",INDEX(包装物料出入库明细!$B$4:$B$2003,$Z172-0)),IF($Z172&lt;=4000,IF(INDEX(周转筐出入库明细!$B$4:$B$2004,$Z172-2000)=0,"",INDEX(周转筐出入库明细!$B$4:$B$2004,$Z172-2000)),IF($Z172&lt;=5200,IF(INDEX(客户自备加工筐明细!$B$4:$B$1203,$Z172-4000)=0,"",INDEX(客户自备加工筐明细!$B$4:$B$1203,$Z172-4000)),IF($Z172&lt;=5800,IF(INDEX(次果筐明细!$B$4:$B$603,$Z172-5200)=0,"",INDEX(次果筐明细!$B$4:$B$603,$Z172-5200)),"")))))</f>
        <v/>
      </c>
      <c r="C172" s="37" t="str">
        <f>IF($Z172="","",IF($Z172&lt;=2000,IF(INDEX(包装物料出入库明细!$D$4:$D$2003,$Z172-0)=0,"",INDEX(包装物料出入库明细!$D$4:$D$2003,$Z172-0)),IF($Z172&lt;=4000,IF(INDEX(周转筐出入库明细!$C$4:$C$2004,$Z172-2000)=0,"",INDEX(周转筐出入库明细!$C$4:$C$2004,$Z172-2000)),IF($Z172&lt;=5200,IF(INDEX(客户自备加工筐明细!$E$4:$E$1203,$Z172-4000)=0,"",INDEX(客户自备加工筐明细!$E$4:$E$1203,$Z172-4000)),IF($Z172&lt;=5800,IF(INDEX(次果筐明细!$C$4:$C$603,$Z172-5200)=0,"",INDEX(次果筐明细!$C$4:$C$603,$Z172-5200)),"")))))</f>
        <v/>
      </c>
      <c r="D172" s="37" t="str">
        <f>IF($Z172="","",IF($Z172&lt;=2000,"包装物料－"&amp;INDEX(包装物料出入库明细!$H$4:$H$2003,$Z172-0),IF($Z172&lt;=4000,"周转筐－"&amp;INDEX(周转筐出入库明细!$F$4:$F$2004,$Z172-2000),IF($Z172&lt;=5200,"客户自备筐－"&amp;INDEX(客户自备加工筐明细!$J$4:$J$1203,$Z172-4000),IF($Z172&lt;=5800,"次果筐/托盘－"&amp;INDEX(次果筐明细!$F$4:$F$603,$Z172-5200),"")))))</f>
        <v/>
      </c>
      <c r="E172" s="24" t="str">
        <f>IF($Z172="","",IF($Z172&lt;=2000,IF(INDEX(包装物料出入库明细!$C$4:$C$2003,$Z172-0)=0,"",INDEX(包装物料出入库明细!$C$4:$C$2003,$Z172-0)),IF($Z172&lt;=4000,IF(INDEX(周转筐出入库明细!$E$4:$E$2004,$Z172-2000)=0,"",INDEX(周转筐出入库明细!$E$4:$E$2004,$Z172-2000)),IF($Z172&lt;=5200,IF(INDEX(客户自备加工筐明细!$D$4:$D$1203,$Z172-4000)=0,"",INDEX(客户自备加工筐明细!$D$4:$D$1203,$Z172-4000)),IF($Z172&lt;=5800,IF(INDEX(次果筐明细!$E$4:$E$603,$Z172-5200)=0,"",INDEX(次果筐明细!$E$4:$E$603,$Z172-5200)),"")))))</f>
        <v/>
      </c>
      <c r="F172" s="24" t="str">
        <f>IF($Z172="","",IF($Z172&lt;=2000,IF(INDEX(包装物料出入库明细!$E$4:$E$2003,$Z172-0)=0,"",INDEX(包装物料出入库明细!$E$4:$E$2003,$Z172-0)),IF($Z172&lt;=4000,IF(INDEX(周转筐出入库明细!$D$4:$D$2004,$Z172-2000)=0,"",INDEX(周转筐出入库明细!$D$4:$D$2004,$Z172-2000)),IF($Z172&lt;=5200,IF(INDEX(客户自备加工筐明细!$C$4:$C$1203,$Z172-4000)=0,"",INDEX(客户自备加工筐明细!$C$4:$C$1203,$Z172-4000)),IF($Z172&lt;=5800,IF(INDEX(次果筐明细!$D$4:$D$603,$Z172-5200)=0,"",INDEX(次果筐明细!$D$4:$D$603,$Z172-5200)),"")))))</f>
        <v/>
      </c>
      <c r="G172" s="24" t="str">
        <f>IF($Z172="","",IF($Z172&lt;=2000,IF(INDEX(包装物料出入库明细!$F$4:$F$2003,$Z172-0)=0,"",INDEX(包装物料出入库明细!$F$4:$F$2003,$Z172-0)),IF($Z172&lt;=4000,"",IF($Z172&lt;=5200,"",IF($Z172&lt;=5800,"","")))))</f>
        <v/>
      </c>
      <c r="H172" s="39" t="str">
        <f>IF($Z172="","",IF($Z172&lt;=2000,IF(INDEX(包装物料出入库明细!$L$4:$L$2003,$Z172-0)=0,"",INDEX(包装物料出入库明细!$L$4:$L$2003,$Z172-0)),IF($Z172&lt;=4000,N(INDEX(周转筐出入库明细!$H$4:$H$2004,$Z172-2000))+N(INDEX(周转筐出入库明细!$I$4:$I$2004,$Z172-2000))+N(INDEX(周转筐出入库明细!$J$4:$J$2004,$Z172-2000))+N(INDEX(周转筐出入库明细!$K$4:$K$2004,$Z172-2000)),IF($Z172&lt;=5200,N(INDEX(客户自备加工筐明细!$F$4:$F$1203,$Z172-4000))+N(INDEX(客户自备加工筐明细!$G$4:$G$1203,$Z172-4000)),IF($Z172&lt;=5800,IF(INDEX(次果筐明细!$G$4:$G$603,$Z172-5200)=0,"",INDEX(次果筐明细!$G$4:$G$603,$Z172-5200)),"")))))</f>
        <v/>
      </c>
      <c r="I172" s="24" t="str">
        <f>IF($Z172="","",IF($Z172&lt;=2000,IF(INDEX(包装物料出入库明细!$G$4:$G$2003,$Z172-0)=0,"",INDEX(包装物料出入库明细!$G$4:$G$2003,$Z172-0)),IF($Z172&lt;=4000,"个",IF($Z172&lt;=5200,"个",IF($Z172&lt;=5800,"个","")))))</f>
        <v/>
      </c>
      <c r="J172" s="30" t="str">
        <f t="shared" si="7"/>
        <v/>
      </c>
      <c r="K172" s="30" t="str">
        <f>IF($Z172="","",IF($Z172&lt;=2000,IF(INDEX(包装物料出入库明细!$N$4:$N$2003,$Z172-0)=0,"",INDEX(包装物料出入库明细!$N$4:$N$2003,$Z172-0)),IF($Z172&lt;=4000,IF(INDEX(周转筐出入库明细!$P$4:$P$2004,$Z172-2000)=0,"",INDEX(周转筐出入库明细!$P$4:$P$2004,$Z172-2000)),IF($Z172&lt;=5200,"",IF($Z172&lt;=5800,N(INDEX(次果筐明细!$L$4:$L$603,$Z172-5200))+N(INDEX(次果筐明细!$J$4:$J$603,$Z172-5200)),"")))))</f>
        <v/>
      </c>
      <c r="L172" s="24" t="str">
        <f>IF($Z172="","",IF($Z172&lt;=2000,IF(INDEX(包装物料出入库明细!$P$4:$P$2003,$Z172-0)=0,"",INDEX(包装物料出入库明细!$P$4:$P$2003,$Z172-0)),IF($Z172&lt;=4000,IF(INDEX(周转筐出入库明细!$Q$4:$Q$2004,$Z172-2000)=0,"",INDEX(周转筐出入库明细!$Q$4:$Q$2004,$Z172-2000)),IF($Z172&lt;=5200,"",IF($Z172&lt;=5800,IF(INDEX(次果筐明细!$M$4:$M$603,$Z172-5200)=0,"",INDEX(次果筐明细!$M$4:$M$603,$Z172-5200)),"")))))</f>
        <v/>
      </c>
      <c r="M172" s="37" t="str">
        <f>IF($Z172="","",IF($Z172&lt;=2000,IF(INDEX(包装物料出入库明细!$R$4:$R$2003,$Z172-0)=0,"",INDEX(包装物料出入库明细!$R$4:$R$2003,$Z172-0)),IF($Z172&lt;=4000,IF(INDEX(周转筐出入库明细!$W$4:$W$2004,$Z172-2000)=0,"",INDEX(周转筐出入库明细!$W$4:$W$2004,$Z172-2000)),IF($Z172&lt;=5200,IF(INDEX(客户自备加工筐明细!$L$4:$L$1203,$Z172-4000)=0,"",INDEX(客户自备加工筐明细!$L$4:$L$1203,$Z172-4000)),IF($Z172&lt;=5800,IF(INDEX(次果筐明细!$P$4:$P$603,$Z172-5200)=0,"",INDEX(次果筐明细!$P$4:$P$603,$Z172-5200)),"")))))</f>
        <v/>
      </c>
      <c r="N172" s="16" t="str">
        <f>IF($Z172="","",IF($Z172&lt;=2000,"",IF($Z172&lt;=4000,IF(INDEX(周转筐出入库明细!$D$4:$D$2004,$Z172-2000)=0,"",INDEX(周转筐出入库明细!$D$4:$D$2004,$Z172-2000)),IF($Z172&lt;=5200,IF(INDEX(客户自备加工筐明细!$C$4:$C$1203,$Z172-4000)=0,"",INDEX(客户自备加工筐明细!$C$4:$C$1203,$Z172-4000)),IF($Z172&lt;=5800,IF(INDEX(次果筐明细!$D$4:$D$603,$Z172-5200)=0,"",INDEX(次果筐明细!$D$4:$D$603,$Z172-5200)),"")))))</f>
        <v/>
      </c>
      <c r="O172" s="40" t="str">
        <f>IF($Z172="","",IF($Z172&lt;=2000,"",IF($Z172&lt;=4000,IF(N(INDEX(周转筐出入库明细!$J$4:$J$2004,$Z172-2000))+N(INDEX(周转筐出入库明细!$K$4:$K$2004,$Z172-2000))=0,"",N(INDEX(周转筐出入库明细!$J$4:$J$2004,$Z172-2000))+N(INDEX(周转筐出入库明细!$K$4:$K$2004,$Z172-2000))),IF($Z172&lt;=5200,IF(N(INDEX(客户自备加工筐明细!$G$4:$G$1203,$Z172-4000))=0,"",N(INDEX(客户自备加工筐明细!$G$4:$G$1203,$Z172-4000))),IF($Z172&lt;=5800,IF(ISNUMBER(SEARCH("退",INDEX(次果筐明细!$F$4:$F$603,$Z172-5200)&amp;"")),"",IF(N(INDEX(次果筐明细!$G$4:$G$603,$Z172-5200))=0,"",N(INDEX(次果筐明细!$G$4:$G$603,$Z172-5200)))),"")))))</f>
        <v/>
      </c>
      <c r="P172" s="40" t="str">
        <f>IF($Z172="","",IF($Z172&lt;=2000,"",IF($Z172&lt;=4000,IF(N(INDEX(周转筐出入库明细!$I$4:$I$2004,$Z172-2000))=0,"",N(INDEX(周转筐出入库明细!$I$4:$I$2004,$Z172-2000))),IF($Z172&lt;=5200,"",IF($Z172&lt;=5800,IF(ISNUMBER(SEARCH("退",INDEX(次果筐明细!$F$4:$F$603,$Z172-5200)&amp;"")),IF(N(INDEX(次果筐明细!$G$4:$G$603,$Z172-5200))=0,"",N(INDEX(次果筐明细!$G$4:$G$603,$Z172-5200))),""),"")))))</f>
        <v/>
      </c>
      <c r="Q172" s="40" t="str">
        <f>IF($Z172="","",IF($Z172&lt;=2000,"",IF($Z172&lt;=4000,IF(N(INDEX(周转筐出入库明细!$H$4:$H$2004,$Z172-2000))=0,"",N(INDEX(周转筐出入库明细!$H$4:$H$2004,$Z172-2000))),IF($Z172&lt;=5200,IF(N(INDEX(客户自备加工筐明细!$F$4:$F$1203,$Z172-4000))=0,"",N(INDEX(客户自备加工筐明细!$F$4:$F$1203,$Z172-4000))),IF($Z172&lt;=5800,"","")))))</f>
        <v/>
      </c>
      <c r="R172" s="16" t="str">
        <f>IF($Z172="","",IF($Z172&lt;=2000,IF(INDEX(包装物料出入库明细!$O$4:$O$2003,$Z172-0)=0,"",INDEX(包装物料出入库明细!$O$4:$O$2003,$Z172-0)),IF($Z172&lt;=4000,IF(INDEX(周转筐出入库明细!$M$4:$M$2004,$Z172-2000)=0,"",INDEX(周转筐出入库明细!$M$4:$M$2004,$Z172-2000)),IF($Z172&lt;=5200,IF(INDEX(客户自备加工筐明细!$H$4:$H$1203,$Z172-4000)=0,"",INDEX(客户自备加工筐明细!$H$4:$H$1203,$Z172-4000)),IF($Z172&lt;=5800,IF(INDEX(次果筐明细!$H$4:$H$603,$Z172-5200)=0,"",INDEX(次果筐明细!$H$4:$H$603,$Z172-5200)),"")))))</f>
        <v/>
      </c>
      <c r="S172" s="22" t="str">
        <f t="shared" si="8"/>
        <v/>
      </c>
      <c r="Z172" s="10" t="str">
        <f>IFERROR(MATCH(ROW()-3,_自动清单!$CQ$4:$CQ$5803,0),"")</f>
        <v/>
      </c>
    </row>
    <row r="173" spans="1:26">
      <c r="A173" s="24" t="str">
        <f t="shared" si="6"/>
        <v/>
      </c>
      <c r="B173" s="38" t="str">
        <f>IF($Z173="","",IF($Z173&lt;=2000,IF(INDEX(包装物料出入库明细!$B$4:$B$2003,$Z173-0)=0,"",INDEX(包装物料出入库明细!$B$4:$B$2003,$Z173-0)),IF($Z173&lt;=4000,IF(INDEX(周转筐出入库明细!$B$4:$B$2004,$Z173-2000)=0,"",INDEX(周转筐出入库明细!$B$4:$B$2004,$Z173-2000)),IF($Z173&lt;=5200,IF(INDEX(客户自备加工筐明细!$B$4:$B$1203,$Z173-4000)=0,"",INDEX(客户自备加工筐明细!$B$4:$B$1203,$Z173-4000)),IF($Z173&lt;=5800,IF(INDEX(次果筐明细!$B$4:$B$603,$Z173-5200)=0,"",INDEX(次果筐明细!$B$4:$B$603,$Z173-5200)),"")))))</f>
        <v/>
      </c>
      <c r="C173" s="37" t="str">
        <f>IF($Z173="","",IF($Z173&lt;=2000,IF(INDEX(包装物料出入库明细!$D$4:$D$2003,$Z173-0)=0,"",INDEX(包装物料出入库明细!$D$4:$D$2003,$Z173-0)),IF($Z173&lt;=4000,IF(INDEX(周转筐出入库明细!$C$4:$C$2004,$Z173-2000)=0,"",INDEX(周转筐出入库明细!$C$4:$C$2004,$Z173-2000)),IF($Z173&lt;=5200,IF(INDEX(客户自备加工筐明细!$E$4:$E$1203,$Z173-4000)=0,"",INDEX(客户自备加工筐明细!$E$4:$E$1203,$Z173-4000)),IF($Z173&lt;=5800,IF(INDEX(次果筐明细!$C$4:$C$603,$Z173-5200)=0,"",INDEX(次果筐明细!$C$4:$C$603,$Z173-5200)),"")))))</f>
        <v/>
      </c>
      <c r="D173" s="37" t="str">
        <f>IF($Z173="","",IF($Z173&lt;=2000,"包装物料－"&amp;INDEX(包装物料出入库明细!$H$4:$H$2003,$Z173-0),IF($Z173&lt;=4000,"周转筐－"&amp;INDEX(周转筐出入库明细!$F$4:$F$2004,$Z173-2000),IF($Z173&lt;=5200,"客户自备筐－"&amp;INDEX(客户自备加工筐明细!$J$4:$J$1203,$Z173-4000),IF($Z173&lt;=5800,"次果筐/托盘－"&amp;INDEX(次果筐明细!$F$4:$F$603,$Z173-5200),"")))))</f>
        <v/>
      </c>
      <c r="E173" s="24" t="str">
        <f>IF($Z173="","",IF($Z173&lt;=2000,IF(INDEX(包装物料出入库明细!$C$4:$C$2003,$Z173-0)=0,"",INDEX(包装物料出入库明细!$C$4:$C$2003,$Z173-0)),IF($Z173&lt;=4000,IF(INDEX(周转筐出入库明细!$E$4:$E$2004,$Z173-2000)=0,"",INDEX(周转筐出入库明细!$E$4:$E$2004,$Z173-2000)),IF($Z173&lt;=5200,IF(INDEX(客户自备加工筐明细!$D$4:$D$1203,$Z173-4000)=0,"",INDEX(客户自备加工筐明细!$D$4:$D$1203,$Z173-4000)),IF($Z173&lt;=5800,IF(INDEX(次果筐明细!$E$4:$E$603,$Z173-5200)=0,"",INDEX(次果筐明细!$E$4:$E$603,$Z173-5200)),"")))))</f>
        <v/>
      </c>
      <c r="F173" s="24" t="str">
        <f>IF($Z173="","",IF($Z173&lt;=2000,IF(INDEX(包装物料出入库明细!$E$4:$E$2003,$Z173-0)=0,"",INDEX(包装物料出入库明细!$E$4:$E$2003,$Z173-0)),IF($Z173&lt;=4000,IF(INDEX(周转筐出入库明细!$D$4:$D$2004,$Z173-2000)=0,"",INDEX(周转筐出入库明细!$D$4:$D$2004,$Z173-2000)),IF($Z173&lt;=5200,IF(INDEX(客户自备加工筐明细!$C$4:$C$1203,$Z173-4000)=0,"",INDEX(客户自备加工筐明细!$C$4:$C$1203,$Z173-4000)),IF($Z173&lt;=5800,IF(INDEX(次果筐明细!$D$4:$D$603,$Z173-5200)=0,"",INDEX(次果筐明细!$D$4:$D$603,$Z173-5200)),"")))))</f>
        <v/>
      </c>
      <c r="G173" s="24" t="str">
        <f>IF($Z173="","",IF($Z173&lt;=2000,IF(INDEX(包装物料出入库明细!$F$4:$F$2003,$Z173-0)=0,"",INDEX(包装物料出入库明细!$F$4:$F$2003,$Z173-0)),IF($Z173&lt;=4000,"",IF($Z173&lt;=5200,"",IF($Z173&lt;=5800,"","")))))</f>
        <v/>
      </c>
      <c r="H173" s="39" t="str">
        <f>IF($Z173="","",IF($Z173&lt;=2000,IF(INDEX(包装物料出入库明细!$L$4:$L$2003,$Z173-0)=0,"",INDEX(包装物料出入库明细!$L$4:$L$2003,$Z173-0)),IF($Z173&lt;=4000,N(INDEX(周转筐出入库明细!$H$4:$H$2004,$Z173-2000))+N(INDEX(周转筐出入库明细!$I$4:$I$2004,$Z173-2000))+N(INDEX(周转筐出入库明细!$J$4:$J$2004,$Z173-2000))+N(INDEX(周转筐出入库明细!$K$4:$K$2004,$Z173-2000)),IF($Z173&lt;=5200,N(INDEX(客户自备加工筐明细!$F$4:$F$1203,$Z173-4000))+N(INDEX(客户自备加工筐明细!$G$4:$G$1203,$Z173-4000)),IF($Z173&lt;=5800,IF(INDEX(次果筐明细!$G$4:$G$603,$Z173-5200)=0,"",INDEX(次果筐明细!$G$4:$G$603,$Z173-5200)),"")))))</f>
        <v/>
      </c>
      <c r="I173" s="24" t="str">
        <f>IF($Z173="","",IF($Z173&lt;=2000,IF(INDEX(包装物料出入库明细!$G$4:$G$2003,$Z173-0)=0,"",INDEX(包装物料出入库明细!$G$4:$G$2003,$Z173-0)),IF($Z173&lt;=4000,"个",IF($Z173&lt;=5200,"个",IF($Z173&lt;=5800,"个","")))))</f>
        <v/>
      </c>
      <c r="J173" s="30" t="str">
        <f t="shared" si="7"/>
        <v/>
      </c>
      <c r="K173" s="30" t="str">
        <f>IF($Z173="","",IF($Z173&lt;=2000,IF(INDEX(包装物料出入库明细!$N$4:$N$2003,$Z173-0)=0,"",INDEX(包装物料出入库明细!$N$4:$N$2003,$Z173-0)),IF($Z173&lt;=4000,IF(INDEX(周转筐出入库明细!$P$4:$P$2004,$Z173-2000)=0,"",INDEX(周转筐出入库明细!$P$4:$P$2004,$Z173-2000)),IF($Z173&lt;=5200,"",IF($Z173&lt;=5800,N(INDEX(次果筐明细!$L$4:$L$603,$Z173-5200))+N(INDEX(次果筐明细!$J$4:$J$603,$Z173-5200)),"")))))</f>
        <v/>
      </c>
      <c r="L173" s="24" t="str">
        <f>IF($Z173="","",IF($Z173&lt;=2000,IF(INDEX(包装物料出入库明细!$P$4:$P$2003,$Z173-0)=0,"",INDEX(包装物料出入库明细!$P$4:$P$2003,$Z173-0)),IF($Z173&lt;=4000,IF(INDEX(周转筐出入库明细!$Q$4:$Q$2004,$Z173-2000)=0,"",INDEX(周转筐出入库明细!$Q$4:$Q$2004,$Z173-2000)),IF($Z173&lt;=5200,"",IF($Z173&lt;=5800,IF(INDEX(次果筐明细!$M$4:$M$603,$Z173-5200)=0,"",INDEX(次果筐明细!$M$4:$M$603,$Z173-5200)),"")))))</f>
        <v/>
      </c>
      <c r="M173" s="37" t="str">
        <f>IF($Z173="","",IF($Z173&lt;=2000,IF(INDEX(包装物料出入库明细!$R$4:$R$2003,$Z173-0)=0,"",INDEX(包装物料出入库明细!$R$4:$R$2003,$Z173-0)),IF($Z173&lt;=4000,IF(INDEX(周转筐出入库明细!$W$4:$W$2004,$Z173-2000)=0,"",INDEX(周转筐出入库明细!$W$4:$W$2004,$Z173-2000)),IF($Z173&lt;=5200,IF(INDEX(客户自备加工筐明细!$L$4:$L$1203,$Z173-4000)=0,"",INDEX(客户自备加工筐明细!$L$4:$L$1203,$Z173-4000)),IF($Z173&lt;=5800,IF(INDEX(次果筐明细!$P$4:$P$603,$Z173-5200)=0,"",INDEX(次果筐明细!$P$4:$P$603,$Z173-5200)),"")))))</f>
        <v/>
      </c>
      <c r="N173" s="16" t="str">
        <f>IF($Z173="","",IF($Z173&lt;=2000,"",IF($Z173&lt;=4000,IF(INDEX(周转筐出入库明细!$D$4:$D$2004,$Z173-2000)=0,"",INDEX(周转筐出入库明细!$D$4:$D$2004,$Z173-2000)),IF($Z173&lt;=5200,IF(INDEX(客户自备加工筐明细!$C$4:$C$1203,$Z173-4000)=0,"",INDEX(客户自备加工筐明细!$C$4:$C$1203,$Z173-4000)),IF($Z173&lt;=5800,IF(INDEX(次果筐明细!$D$4:$D$603,$Z173-5200)=0,"",INDEX(次果筐明细!$D$4:$D$603,$Z173-5200)),"")))))</f>
        <v/>
      </c>
      <c r="O173" s="40" t="str">
        <f>IF($Z173="","",IF($Z173&lt;=2000,"",IF($Z173&lt;=4000,IF(N(INDEX(周转筐出入库明细!$J$4:$J$2004,$Z173-2000))+N(INDEX(周转筐出入库明细!$K$4:$K$2004,$Z173-2000))=0,"",N(INDEX(周转筐出入库明细!$J$4:$J$2004,$Z173-2000))+N(INDEX(周转筐出入库明细!$K$4:$K$2004,$Z173-2000))),IF($Z173&lt;=5200,IF(N(INDEX(客户自备加工筐明细!$G$4:$G$1203,$Z173-4000))=0,"",N(INDEX(客户自备加工筐明细!$G$4:$G$1203,$Z173-4000))),IF($Z173&lt;=5800,IF(ISNUMBER(SEARCH("退",INDEX(次果筐明细!$F$4:$F$603,$Z173-5200)&amp;"")),"",IF(N(INDEX(次果筐明细!$G$4:$G$603,$Z173-5200))=0,"",N(INDEX(次果筐明细!$G$4:$G$603,$Z173-5200)))),"")))))</f>
        <v/>
      </c>
      <c r="P173" s="40" t="str">
        <f>IF($Z173="","",IF($Z173&lt;=2000,"",IF($Z173&lt;=4000,IF(N(INDEX(周转筐出入库明细!$I$4:$I$2004,$Z173-2000))=0,"",N(INDEX(周转筐出入库明细!$I$4:$I$2004,$Z173-2000))),IF($Z173&lt;=5200,"",IF($Z173&lt;=5800,IF(ISNUMBER(SEARCH("退",INDEX(次果筐明细!$F$4:$F$603,$Z173-5200)&amp;"")),IF(N(INDEX(次果筐明细!$G$4:$G$603,$Z173-5200))=0,"",N(INDEX(次果筐明细!$G$4:$G$603,$Z173-5200))),""),"")))))</f>
        <v/>
      </c>
      <c r="Q173" s="40" t="str">
        <f>IF($Z173="","",IF($Z173&lt;=2000,"",IF($Z173&lt;=4000,IF(N(INDEX(周转筐出入库明细!$H$4:$H$2004,$Z173-2000))=0,"",N(INDEX(周转筐出入库明细!$H$4:$H$2004,$Z173-2000))),IF($Z173&lt;=5200,IF(N(INDEX(客户自备加工筐明细!$F$4:$F$1203,$Z173-4000))=0,"",N(INDEX(客户自备加工筐明细!$F$4:$F$1203,$Z173-4000))),IF($Z173&lt;=5800,"","")))))</f>
        <v/>
      </c>
      <c r="R173" s="16" t="str">
        <f>IF($Z173="","",IF($Z173&lt;=2000,IF(INDEX(包装物料出入库明细!$O$4:$O$2003,$Z173-0)=0,"",INDEX(包装物料出入库明细!$O$4:$O$2003,$Z173-0)),IF($Z173&lt;=4000,IF(INDEX(周转筐出入库明细!$M$4:$M$2004,$Z173-2000)=0,"",INDEX(周转筐出入库明细!$M$4:$M$2004,$Z173-2000)),IF($Z173&lt;=5200,IF(INDEX(客户自备加工筐明细!$H$4:$H$1203,$Z173-4000)=0,"",INDEX(客户自备加工筐明细!$H$4:$H$1203,$Z173-4000)),IF($Z173&lt;=5800,IF(INDEX(次果筐明细!$H$4:$H$603,$Z173-5200)=0,"",INDEX(次果筐明细!$H$4:$H$603,$Z173-5200)),"")))))</f>
        <v/>
      </c>
      <c r="S173" s="22" t="str">
        <f t="shared" si="8"/>
        <v/>
      </c>
      <c r="Z173" s="10" t="str">
        <f>IFERROR(MATCH(ROW()-3,_自动清单!$CQ$4:$CQ$5803,0),"")</f>
        <v/>
      </c>
    </row>
    <row r="174" spans="1:26">
      <c r="A174" s="24" t="str">
        <f t="shared" si="6"/>
        <v/>
      </c>
      <c r="B174" s="38" t="str">
        <f>IF($Z174="","",IF($Z174&lt;=2000,IF(INDEX(包装物料出入库明细!$B$4:$B$2003,$Z174-0)=0,"",INDEX(包装物料出入库明细!$B$4:$B$2003,$Z174-0)),IF($Z174&lt;=4000,IF(INDEX(周转筐出入库明细!$B$4:$B$2004,$Z174-2000)=0,"",INDEX(周转筐出入库明细!$B$4:$B$2004,$Z174-2000)),IF($Z174&lt;=5200,IF(INDEX(客户自备加工筐明细!$B$4:$B$1203,$Z174-4000)=0,"",INDEX(客户自备加工筐明细!$B$4:$B$1203,$Z174-4000)),IF($Z174&lt;=5800,IF(INDEX(次果筐明细!$B$4:$B$603,$Z174-5200)=0,"",INDEX(次果筐明细!$B$4:$B$603,$Z174-5200)),"")))))</f>
        <v/>
      </c>
      <c r="C174" s="37" t="str">
        <f>IF($Z174="","",IF($Z174&lt;=2000,IF(INDEX(包装物料出入库明细!$D$4:$D$2003,$Z174-0)=0,"",INDEX(包装物料出入库明细!$D$4:$D$2003,$Z174-0)),IF($Z174&lt;=4000,IF(INDEX(周转筐出入库明细!$C$4:$C$2004,$Z174-2000)=0,"",INDEX(周转筐出入库明细!$C$4:$C$2004,$Z174-2000)),IF($Z174&lt;=5200,IF(INDEX(客户自备加工筐明细!$E$4:$E$1203,$Z174-4000)=0,"",INDEX(客户自备加工筐明细!$E$4:$E$1203,$Z174-4000)),IF($Z174&lt;=5800,IF(INDEX(次果筐明细!$C$4:$C$603,$Z174-5200)=0,"",INDEX(次果筐明细!$C$4:$C$603,$Z174-5200)),"")))))</f>
        <v/>
      </c>
      <c r="D174" s="37" t="str">
        <f>IF($Z174="","",IF($Z174&lt;=2000,"包装物料－"&amp;INDEX(包装物料出入库明细!$H$4:$H$2003,$Z174-0),IF($Z174&lt;=4000,"周转筐－"&amp;INDEX(周转筐出入库明细!$F$4:$F$2004,$Z174-2000),IF($Z174&lt;=5200,"客户自备筐－"&amp;INDEX(客户自备加工筐明细!$J$4:$J$1203,$Z174-4000),IF($Z174&lt;=5800,"次果筐/托盘－"&amp;INDEX(次果筐明细!$F$4:$F$603,$Z174-5200),"")))))</f>
        <v/>
      </c>
      <c r="E174" s="24" t="str">
        <f>IF($Z174="","",IF($Z174&lt;=2000,IF(INDEX(包装物料出入库明细!$C$4:$C$2003,$Z174-0)=0,"",INDEX(包装物料出入库明细!$C$4:$C$2003,$Z174-0)),IF($Z174&lt;=4000,IF(INDEX(周转筐出入库明细!$E$4:$E$2004,$Z174-2000)=0,"",INDEX(周转筐出入库明细!$E$4:$E$2004,$Z174-2000)),IF($Z174&lt;=5200,IF(INDEX(客户自备加工筐明细!$D$4:$D$1203,$Z174-4000)=0,"",INDEX(客户自备加工筐明细!$D$4:$D$1203,$Z174-4000)),IF($Z174&lt;=5800,IF(INDEX(次果筐明细!$E$4:$E$603,$Z174-5200)=0,"",INDEX(次果筐明细!$E$4:$E$603,$Z174-5200)),"")))))</f>
        <v/>
      </c>
      <c r="F174" s="24" t="str">
        <f>IF($Z174="","",IF($Z174&lt;=2000,IF(INDEX(包装物料出入库明细!$E$4:$E$2003,$Z174-0)=0,"",INDEX(包装物料出入库明细!$E$4:$E$2003,$Z174-0)),IF($Z174&lt;=4000,IF(INDEX(周转筐出入库明细!$D$4:$D$2004,$Z174-2000)=0,"",INDEX(周转筐出入库明细!$D$4:$D$2004,$Z174-2000)),IF($Z174&lt;=5200,IF(INDEX(客户自备加工筐明细!$C$4:$C$1203,$Z174-4000)=0,"",INDEX(客户自备加工筐明细!$C$4:$C$1203,$Z174-4000)),IF($Z174&lt;=5800,IF(INDEX(次果筐明细!$D$4:$D$603,$Z174-5200)=0,"",INDEX(次果筐明细!$D$4:$D$603,$Z174-5200)),"")))))</f>
        <v/>
      </c>
      <c r="G174" s="24" t="str">
        <f>IF($Z174="","",IF($Z174&lt;=2000,IF(INDEX(包装物料出入库明细!$F$4:$F$2003,$Z174-0)=0,"",INDEX(包装物料出入库明细!$F$4:$F$2003,$Z174-0)),IF($Z174&lt;=4000,"",IF($Z174&lt;=5200,"",IF($Z174&lt;=5800,"","")))))</f>
        <v/>
      </c>
      <c r="H174" s="39" t="str">
        <f>IF($Z174="","",IF($Z174&lt;=2000,IF(INDEX(包装物料出入库明细!$L$4:$L$2003,$Z174-0)=0,"",INDEX(包装物料出入库明细!$L$4:$L$2003,$Z174-0)),IF($Z174&lt;=4000,N(INDEX(周转筐出入库明细!$H$4:$H$2004,$Z174-2000))+N(INDEX(周转筐出入库明细!$I$4:$I$2004,$Z174-2000))+N(INDEX(周转筐出入库明细!$J$4:$J$2004,$Z174-2000))+N(INDEX(周转筐出入库明细!$K$4:$K$2004,$Z174-2000)),IF($Z174&lt;=5200,N(INDEX(客户自备加工筐明细!$F$4:$F$1203,$Z174-4000))+N(INDEX(客户自备加工筐明细!$G$4:$G$1203,$Z174-4000)),IF($Z174&lt;=5800,IF(INDEX(次果筐明细!$G$4:$G$603,$Z174-5200)=0,"",INDEX(次果筐明细!$G$4:$G$603,$Z174-5200)),"")))))</f>
        <v/>
      </c>
      <c r="I174" s="24" t="str">
        <f>IF($Z174="","",IF($Z174&lt;=2000,IF(INDEX(包装物料出入库明细!$G$4:$G$2003,$Z174-0)=0,"",INDEX(包装物料出入库明细!$G$4:$G$2003,$Z174-0)),IF($Z174&lt;=4000,"个",IF($Z174&lt;=5200,"个",IF($Z174&lt;=5800,"个","")))))</f>
        <v/>
      </c>
      <c r="J174" s="30" t="str">
        <f t="shared" si="7"/>
        <v/>
      </c>
      <c r="K174" s="30" t="str">
        <f>IF($Z174="","",IF($Z174&lt;=2000,IF(INDEX(包装物料出入库明细!$N$4:$N$2003,$Z174-0)=0,"",INDEX(包装物料出入库明细!$N$4:$N$2003,$Z174-0)),IF($Z174&lt;=4000,IF(INDEX(周转筐出入库明细!$P$4:$P$2004,$Z174-2000)=0,"",INDEX(周转筐出入库明细!$P$4:$P$2004,$Z174-2000)),IF($Z174&lt;=5200,"",IF($Z174&lt;=5800,N(INDEX(次果筐明细!$L$4:$L$603,$Z174-5200))+N(INDEX(次果筐明细!$J$4:$J$603,$Z174-5200)),"")))))</f>
        <v/>
      </c>
      <c r="L174" s="24" t="str">
        <f>IF($Z174="","",IF($Z174&lt;=2000,IF(INDEX(包装物料出入库明细!$P$4:$P$2003,$Z174-0)=0,"",INDEX(包装物料出入库明细!$P$4:$P$2003,$Z174-0)),IF($Z174&lt;=4000,IF(INDEX(周转筐出入库明细!$Q$4:$Q$2004,$Z174-2000)=0,"",INDEX(周转筐出入库明细!$Q$4:$Q$2004,$Z174-2000)),IF($Z174&lt;=5200,"",IF($Z174&lt;=5800,IF(INDEX(次果筐明细!$M$4:$M$603,$Z174-5200)=0,"",INDEX(次果筐明细!$M$4:$M$603,$Z174-5200)),"")))))</f>
        <v/>
      </c>
      <c r="M174" s="37" t="str">
        <f>IF($Z174="","",IF($Z174&lt;=2000,IF(INDEX(包装物料出入库明细!$R$4:$R$2003,$Z174-0)=0,"",INDEX(包装物料出入库明细!$R$4:$R$2003,$Z174-0)),IF($Z174&lt;=4000,IF(INDEX(周转筐出入库明细!$W$4:$W$2004,$Z174-2000)=0,"",INDEX(周转筐出入库明细!$W$4:$W$2004,$Z174-2000)),IF($Z174&lt;=5200,IF(INDEX(客户自备加工筐明细!$L$4:$L$1203,$Z174-4000)=0,"",INDEX(客户自备加工筐明细!$L$4:$L$1203,$Z174-4000)),IF($Z174&lt;=5800,IF(INDEX(次果筐明细!$P$4:$P$603,$Z174-5200)=0,"",INDEX(次果筐明细!$P$4:$P$603,$Z174-5200)),"")))))</f>
        <v/>
      </c>
      <c r="N174" s="16" t="str">
        <f>IF($Z174="","",IF($Z174&lt;=2000,"",IF($Z174&lt;=4000,IF(INDEX(周转筐出入库明细!$D$4:$D$2004,$Z174-2000)=0,"",INDEX(周转筐出入库明细!$D$4:$D$2004,$Z174-2000)),IF($Z174&lt;=5200,IF(INDEX(客户自备加工筐明细!$C$4:$C$1203,$Z174-4000)=0,"",INDEX(客户自备加工筐明细!$C$4:$C$1203,$Z174-4000)),IF($Z174&lt;=5800,IF(INDEX(次果筐明细!$D$4:$D$603,$Z174-5200)=0,"",INDEX(次果筐明细!$D$4:$D$603,$Z174-5200)),"")))))</f>
        <v/>
      </c>
      <c r="O174" s="40" t="str">
        <f>IF($Z174="","",IF($Z174&lt;=2000,"",IF($Z174&lt;=4000,IF(N(INDEX(周转筐出入库明细!$J$4:$J$2004,$Z174-2000))+N(INDEX(周转筐出入库明细!$K$4:$K$2004,$Z174-2000))=0,"",N(INDEX(周转筐出入库明细!$J$4:$J$2004,$Z174-2000))+N(INDEX(周转筐出入库明细!$K$4:$K$2004,$Z174-2000))),IF($Z174&lt;=5200,IF(N(INDEX(客户自备加工筐明细!$G$4:$G$1203,$Z174-4000))=0,"",N(INDEX(客户自备加工筐明细!$G$4:$G$1203,$Z174-4000))),IF($Z174&lt;=5800,IF(ISNUMBER(SEARCH("退",INDEX(次果筐明细!$F$4:$F$603,$Z174-5200)&amp;"")),"",IF(N(INDEX(次果筐明细!$G$4:$G$603,$Z174-5200))=0,"",N(INDEX(次果筐明细!$G$4:$G$603,$Z174-5200)))),"")))))</f>
        <v/>
      </c>
      <c r="P174" s="40" t="str">
        <f>IF($Z174="","",IF($Z174&lt;=2000,"",IF($Z174&lt;=4000,IF(N(INDEX(周转筐出入库明细!$I$4:$I$2004,$Z174-2000))=0,"",N(INDEX(周转筐出入库明细!$I$4:$I$2004,$Z174-2000))),IF($Z174&lt;=5200,"",IF($Z174&lt;=5800,IF(ISNUMBER(SEARCH("退",INDEX(次果筐明细!$F$4:$F$603,$Z174-5200)&amp;"")),IF(N(INDEX(次果筐明细!$G$4:$G$603,$Z174-5200))=0,"",N(INDEX(次果筐明细!$G$4:$G$603,$Z174-5200))),""),"")))))</f>
        <v/>
      </c>
      <c r="Q174" s="40" t="str">
        <f>IF($Z174="","",IF($Z174&lt;=2000,"",IF($Z174&lt;=4000,IF(N(INDEX(周转筐出入库明细!$H$4:$H$2004,$Z174-2000))=0,"",N(INDEX(周转筐出入库明细!$H$4:$H$2004,$Z174-2000))),IF($Z174&lt;=5200,IF(N(INDEX(客户自备加工筐明细!$F$4:$F$1203,$Z174-4000))=0,"",N(INDEX(客户自备加工筐明细!$F$4:$F$1203,$Z174-4000))),IF($Z174&lt;=5800,"","")))))</f>
        <v/>
      </c>
      <c r="R174" s="16" t="str">
        <f>IF($Z174="","",IF($Z174&lt;=2000,IF(INDEX(包装物料出入库明细!$O$4:$O$2003,$Z174-0)=0,"",INDEX(包装物料出入库明细!$O$4:$O$2003,$Z174-0)),IF($Z174&lt;=4000,IF(INDEX(周转筐出入库明细!$M$4:$M$2004,$Z174-2000)=0,"",INDEX(周转筐出入库明细!$M$4:$M$2004,$Z174-2000)),IF($Z174&lt;=5200,IF(INDEX(客户自备加工筐明细!$H$4:$H$1203,$Z174-4000)=0,"",INDEX(客户自备加工筐明细!$H$4:$H$1203,$Z174-4000)),IF($Z174&lt;=5800,IF(INDEX(次果筐明细!$H$4:$H$603,$Z174-5200)=0,"",INDEX(次果筐明细!$H$4:$H$603,$Z174-5200)),"")))))</f>
        <v/>
      </c>
      <c r="S174" s="22" t="str">
        <f t="shared" si="8"/>
        <v/>
      </c>
      <c r="Z174" s="10" t="str">
        <f>IFERROR(MATCH(ROW()-3,_自动清单!$CQ$4:$CQ$5803,0),"")</f>
        <v/>
      </c>
    </row>
    <row r="175" spans="1:26">
      <c r="A175" s="24" t="str">
        <f t="shared" si="6"/>
        <v/>
      </c>
      <c r="B175" s="38" t="str">
        <f>IF($Z175="","",IF($Z175&lt;=2000,IF(INDEX(包装物料出入库明细!$B$4:$B$2003,$Z175-0)=0,"",INDEX(包装物料出入库明细!$B$4:$B$2003,$Z175-0)),IF($Z175&lt;=4000,IF(INDEX(周转筐出入库明细!$B$4:$B$2004,$Z175-2000)=0,"",INDEX(周转筐出入库明细!$B$4:$B$2004,$Z175-2000)),IF($Z175&lt;=5200,IF(INDEX(客户自备加工筐明细!$B$4:$B$1203,$Z175-4000)=0,"",INDEX(客户自备加工筐明细!$B$4:$B$1203,$Z175-4000)),IF($Z175&lt;=5800,IF(INDEX(次果筐明细!$B$4:$B$603,$Z175-5200)=0,"",INDEX(次果筐明细!$B$4:$B$603,$Z175-5200)),"")))))</f>
        <v/>
      </c>
      <c r="C175" s="37" t="str">
        <f>IF($Z175="","",IF($Z175&lt;=2000,IF(INDEX(包装物料出入库明细!$D$4:$D$2003,$Z175-0)=0,"",INDEX(包装物料出入库明细!$D$4:$D$2003,$Z175-0)),IF($Z175&lt;=4000,IF(INDEX(周转筐出入库明细!$C$4:$C$2004,$Z175-2000)=0,"",INDEX(周转筐出入库明细!$C$4:$C$2004,$Z175-2000)),IF($Z175&lt;=5200,IF(INDEX(客户自备加工筐明细!$E$4:$E$1203,$Z175-4000)=0,"",INDEX(客户自备加工筐明细!$E$4:$E$1203,$Z175-4000)),IF($Z175&lt;=5800,IF(INDEX(次果筐明细!$C$4:$C$603,$Z175-5200)=0,"",INDEX(次果筐明细!$C$4:$C$603,$Z175-5200)),"")))))</f>
        <v/>
      </c>
      <c r="D175" s="37" t="str">
        <f>IF($Z175="","",IF($Z175&lt;=2000,"包装物料－"&amp;INDEX(包装物料出入库明细!$H$4:$H$2003,$Z175-0),IF($Z175&lt;=4000,"周转筐－"&amp;INDEX(周转筐出入库明细!$F$4:$F$2004,$Z175-2000),IF($Z175&lt;=5200,"客户自备筐－"&amp;INDEX(客户自备加工筐明细!$J$4:$J$1203,$Z175-4000),IF($Z175&lt;=5800,"次果筐/托盘－"&amp;INDEX(次果筐明细!$F$4:$F$603,$Z175-5200),"")))))</f>
        <v/>
      </c>
      <c r="E175" s="24" t="str">
        <f>IF($Z175="","",IF($Z175&lt;=2000,IF(INDEX(包装物料出入库明细!$C$4:$C$2003,$Z175-0)=0,"",INDEX(包装物料出入库明细!$C$4:$C$2003,$Z175-0)),IF($Z175&lt;=4000,IF(INDEX(周转筐出入库明细!$E$4:$E$2004,$Z175-2000)=0,"",INDEX(周转筐出入库明细!$E$4:$E$2004,$Z175-2000)),IF($Z175&lt;=5200,IF(INDEX(客户自备加工筐明细!$D$4:$D$1203,$Z175-4000)=0,"",INDEX(客户自备加工筐明细!$D$4:$D$1203,$Z175-4000)),IF($Z175&lt;=5800,IF(INDEX(次果筐明细!$E$4:$E$603,$Z175-5200)=0,"",INDEX(次果筐明细!$E$4:$E$603,$Z175-5200)),"")))))</f>
        <v/>
      </c>
      <c r="F175" s="24" t="str">
        <f>IF($Z175="","",IF($Z175&lt;=2000,IF(INDEX(包装物料出入库明细!$E$4:$E$2003,$Z175-0)=0,"",INDEX(包装物料出入库明细!$E$4:$E$2003,$Z175-0)),IF($Z175&lt;=4000,IF(INDEX(周转筐出入库明细!$D$4:$D$2004,$Z175-2000)=0,"",INDEX(周转筐出入库明细!$D$4:$D$2004,$Z175-2000)),IF($Z175&lt;=5200,IF(INDEX(客户自备加工筐明细!$C$4:$C$1203,$Z175-4000)=0,"",INDEX(客户自备加工筐明细!$C$4:$C$1203,$Z175-4000)),IF($Z175&lt;=5800,IF(INDEX(次果筐明细!$D$4:$D$603,$Z175-5200)=0,"",INDEX(次果筐明细!$D$4:$D$603,$Z175-5200)),"")))))</f>
        <v/>
      </c>
      <c r="G175" s="24" t="str">
        <f>IF($Z175="","",IF($Z175&lt;=2000,IF(INDEX(包装物料出入库明细!$F$4:$F$2003,$Z175-0)=0,"",INDEX(包装物料出入库明细!$F$4:$F$2003,$Z175-0)),IF($Z175&lt;=4000,"",IF($Z175&lt;=5200,"",IF($Z175&lt;=5800,"","")))))</f>
        <v/>
      </c>
      <c r="H175" s="39" t="str">
        <f>IF($Z175="","",IF($Z175&lt;=2000,IF(INDEX(包装物料出入库明细!$L$4:$L$2003,$Z175-0)=0,"",INDEX(包装物料出入库明细!$L$4:$L$2003,$Z175-0)),IF($Z175&lt;=4000,N(INDEX(周转筐出入库明细!$H$4:$H$2004,$Z175-2000))+N(INDEX(周转筐出入库明细!$I$4:$I$2004,$Z175-2000))+N(INDEX(周转筐出入库明细!$J$4:$J$2004,$Z175-2000))+N(INDEX(周转筐出入库明细!$K$4:$K$2004,$Z175-2000)),IF($Z175&lt;=5200,N(INDEX(客户自备加工筐明细!$F$4:$F$1203,$Z175-4000))+N(INDEX(客户自备加工筐明细!$G$4:$G$1203,$Z175-4000)),IF($Z175&lt;=5800,IF(INDEX(次果筐明细!$G$4:$G$603,$Z175-5200)=0,"",INDEX(次果筐明细!$G$4:$G$603,$Z175-5200)),"")))))</f>
        <v/>
      </c>
      <c r="I175" s="24" t="str">
        <f>IF($Z175="","",IF($Z175&lt;=2000,IF(INDEX(包装物料出入库明细!$G$4:$G$2003,$Z175-0)=0,"",INDEX(包装物料出入库明细!$G$4:$G$2003,$Z175-0)),IF($Z175&lt;=4000,"个",IF($Z175&lt;=5200,"个",IF($Z175&lt;=5800,"个","")))))</f>
        <v/>
      </c>
      <c r="J175" s="30" t="str">
        <f t="shared" si="7"/>
        <v/>
      </c>
      <c r="K175" s="30" t="str">
        <f>IF($Z175="","",IF($Z175&lt;=2000,IF(INDEX(包装物料出入库明细!$N$4:$N$2003,$Z175-0)=0,"",INDEX(包装物料出入库明细!$N$4:$N$2003,$Z175-0)),IF($Z175&lt;=4000,IF(INDEX(周转筐出入库明细!$P$4:$P$2004,$Z175-2000)=0,"",INDEX(周转筐出入库明细!$P$4:$P$2004,$Z175-2000)),IF($Z175&lt;=5200,"",IF($Z175&lt;=5800,N(INDEX(次果筐明细!$L$4:$L$603,$Z175-5200))+N(INDEX(次果筐明细!$J$4:$J$603,$Z175-5200)),"")))))</f>
        <v/>
      </c>
      <c r="L175" s="24" t="str">
        <f>IF($Z175="","",IF($Z175&lt;=2000,IF(INDEX(包装物料出入库明细!$P$4:$P$2003,$Z175-0)=0,"",INDEX(包装物料出入库明细!$P$4:$P$2003,$Z175-0)),IF($Z175&lt;=4000,IF(INDEX(周转筐出入库明细!$Q$4:$Q$2004,$Z175-2000)=0,"",INDEX(周转筐出入库明细!$Q$4:$Q$2004,$Z175-2000)),IF($Z175&lt;=5200,"",IF($Z175&lt;=5800,IF(INDEX(次果筐明细!$M$4:$M$603,$Z175-5200)=0,"",INDEX(次果筐明细!$M$4:$M$603,$Z175-5200)),"")))))</f>
        <v/>
      </c>
      <c r="M175" s="37" t="str">
        <f>IF($Z175="","",IF($Z175&lt;=2000,IF(INDEX(包装物料出入库明细!$R$4:$R$2003,$Z175-0)=0,"",INDEX(包装物料出入库明细!$R$4:$R$2003,$Z175-0)),IF($Z175&lt;=4000,IF(INDEX(周转筐出入库明细!$W$4:$W$2004,$Z175-2000)=0,"",INDEX(周转筐出入库明细!$W$4:$W$2004,$Z175-2000)),IF($Z175&lt;=5200,IF(INDEX(客户自备加工筐明细!$L$4:$L$1203,$Z175-4000)=0,"",INDEX(客户自备加工筐明细!$L$4:$L$1203,$Z175-4000)),IF($Z175&lt;=5800,IF(INDEX(次果筐明细!$P$4:$P$603,$Z175-5200)=0,"",INDEX(次果筐明细!$P$4:$P$603,$Z175-5200)),"")))))</f>
        <v/>
      </c>
      <c r="N175" s="16" t="str">
        <f>IF($Z175="","",IF($Z175&lt;=2000,"",IF($Z175&lt;=4000,IF(INDEX(周转筐出入库明细!$D$4:$D$2004,$Z175-2000)=0,"",INDEX(周转筐出入库明细!$D$4:$D$2004,$Z175-2000)),IF($Z175&lt;=5200,IF(INDEX(客户自备加工筐明细!$C$4:$C$1203,$Z175-4000)=0,"",INDEX(客户自备加工筐明细!$C$4:$C$1203,$Z175-4000)),IF($Z175&lt;=5800,IF(INDEX(次果筐明细!$D$4:$D$603,$Z175-5200)=0,"",INDEX(次果筐明细!$D$4:$D$603,$Z175-5200)),"")))))</f>
        <v/>
      </c>
      <c r="O175" s="40" t="str">
        <f>IF($Z175="","",IF($Z175&lt;=2000,"",IF($Z175&lt;=4000,IF(N(INDEX(周转筐出入库明细!$J$4:$J$2004,$Z175-2000))+N(INDEX(周转筐出入库明细!$K$4:$K$2004,$Z175-2000))=0,"",N(INDEX(周转筐出入库明细!$J$4:$J$2004,$Z175-2000))+N(INDEX(周转筐出入库明细!$K$4:$K$2004,$Z175-2000))),IF($Z175&lt;=5200,IF(N(INDEX(客户自备加工筐明细!$G$4:$G$1203,$Z175-4000))=0,"",N(INDEX(客户自备加工筐明细!$G$4:$G$1203,$Z175-4000))),IF($Z175&lt;=5800,IF(ISNUMBER(SEARCH("退",INDEX(次果筐明细!$F$4:$F$603,$Z175-5200)&amp;"")),"",IF(N(INDEX(次果筐明细!$G$4:$G$603,$Z175-5200))=0,"",N(INDEX(次果筐明细!$G$4:$G$603,$Z175-5200)))),"")))))</f>
        <v/>
      </c>
      <c r="P175" s="40" t="str">
        <f>IF($Z175="","",IF($Z175&lt;=2000,"",IF($Z175&lt;=4000,IF(N(INDEX(周转筐出入库明细!$I$4:$I$2004,$Z175-2000))=0,"",N(INDEX(周转筐出入库明细!$I$4:$I$2004,$Z175-2000))),IF($Z175&lt;=5200,"",IF($Z175&lt;=5800,IF(ISNUMBER(SEARCH("退",INDEX(次果筐明细!$F$4:$F$603,$Z175-5200)&amp;"")),IF(N(INDEX(次果筐明细!$G$4:$G$603,$Z175-5200))=0,"",N(INDEX(次果筐明细!$G$4:$G$603,$Z175-5200))),""),"")))))</f>
        <v/>
      </c>
      <c r="Q175" s="40" t="str">
        <f>IF($Z175="","",IF($Z175&lt;=2000,"",IF($Z175&lt;=4000,IF(N(INDEX(周转筐出入库明细!$H$4:$H$2004,$Z175-2000))=0,"",N(INDEX(周转筐出入库明细!$H$4:$H$2004,$Z175-2000))),IF($Z175&lt;=5200,IF(N(INDEX(客户自备加工筐明细!$F$4:$F$1203,$Z175-4000))=0,"",N(INDEX(客户自备加工筐明细!$F$4:$F$1203,$Z175-4000))),IF($Z175&lt;=5800,"","")))))</f>
        <v/>
      </c>
      <c r="R175" s="16" t="str">
        <f>IF($Z175="","",IF($Z175&lt;=2000,IF(INDEX(包装物料出入库明细!$O$4:$O$2003,$Z175-0)=0,"",INDEX(包装物料出入库明细!$O$4:$O$2003,$Z175-0)),IF($Z175&lt;=4000,IF(INDEX(周转筐出入库明细!$M$4:$M$2004,$Z175-2000)=0,"",INDEX(周转筐出入库明细!$M$4:$M$2004,$Z175-2000)),IF($Z175&lt;=5200,IF(INDEX(客户自备加工筐明细!$H$4:$H$1203,$Z175-4000)=0,"",INDEX(客户自备加工筐明细!$H$4:$H$1203,$Z175-4000)),IF($Z175&lt;=5800,IF(INDEX(次果筐明细!$H$4:$H$603,$Z175-5200)=0,"",INDEX(次果筐明细!$H$4:$H$603,$Z175-5200)),"")))))</f>
        <v/>
      </c>
      <c r="S175" s="22" t="str">
        <f t="shared" si="8"/>
        <v/>
      </c>
      <c r="Z175" s="10" t="str">
        <f>IFERROR(MATCH(ROW()-3,_自动清单!$CQ$4:$CQ$5803,0),"")</f>
        <v/>
      </c>
    </row>
    <row r="176" spans="1:26">
      <c r="A176" s="24" t="str">
        <f t="shared" si="6"/>
        <v/>
      </c>
      <c r="B176" s="38" t="str">
        <f>IF($Z176="","",IF($Z176&lt;=2000,IF(INDEX(包装物料出入库明细!$B$4:$B$2003,$Z176-0)=0,"",INDEX(包装物料出入库明细!$B$4:$B$2003,$Z176-0)),IF($Z176&lt;=4000,IF(INDEX(周转筐出入库明细!$B$4:$B$2004,$Z176-2000)=0,"",INDEX(周转筐出入库明细!$B$4:$B$2004,$Z176-2000)),IF($Z176&lt;=5200,IF(INDEX(客户自备加工筐明细!$B$4:$B$1203,$Z176-4000)=0,"",INDEX(客户自备加工筐明细!$B$4:$B$1203,$Z176-4000)),IF($Z176&lt;=5800,IF(INDEX(次果筐明细!$B$4:$B$603,$Z176-5200)=0,"",INDEX(次果筐明细!$B$4:$B$603,$Z176-5200)),"")))))</f>
        <v/>
      </c>
      <c r="C176" s="37" t="str">
        <f>IF($Z176="","",IF($Z176&lt;=2000,IF(INDEX(包装物料出入库明细!$D$4:$D$2003,$Z176-0)=0,"",INDEX(包装物料出入库明细!$D$4:$D$2003,$Z176-0)),IF($Z176&lt;=4000,IF(INDEX(周转筐出入库明细!$C$4:$C$2004,$Z176-2000)=0,"",INDEX(周转筐出入库明细!$C$4:$C$2004,$Z176-2000)),IF($Z176&lt;=5200,IF(INDEX(客户自备加工筐明细!$E$4:$E$1203,$Z176-4000)=0,"",INDEX(客户自备加工筐明细!$E$4:$E$1203,$Z176-4000)),IF($Z176&lt;=5800,IF(INDEX(次果筐明细!$C$4:$C$603,$Z176-5200)=0,"",INDEX(次果筐明细!$C$4:$C$603,$Z176-5200)),"")))))</f>
        <v/>
      </c>
      <c r="D176" s="37" t="str">
        <f>IF($Z176="","",IF($Z176&lt;=2000,"包装物料－"&amp;INDEX(包装物料出入库明细!$H$4:$H$2003,$Z176-0),IF($Z176&lt;=4000,"周转筐－"&amp;INDEX(周转筐出入库明细!$F$4:$F$2004,$Z176-2000),IF($Z176&lt;=5200,"客户自备筐－"&amp;INDEX(客户自备加工筐明细!$J$4:$J$1203,$Z176-4000),IF($Z176&lt;=5800,"次果筐/托盘－"&amp;INDEX(次果筐明细!$F$4:$F$603,$Z176-5200),"")))))</f>
        <v/>
      </c>
      <c r="E176" s="24" t="str">
        <f>IF($Z176="","",IF($Z176&lt;=2000,IF(INDEX(包装物料出入库明细!$C$4:$C$2003,$Z176-0)=0,"",INDEX(包装物料出入库明细!$C$4:$C$2003,$Z176-0)),IF($Z176&lt;=4000,IF(INDEX(周转筐出入库明细!$E$4:$E$2004,$Z176-2000)=0,"",INDEX(周转筐出入库明细!$E$4:$E$2004,$Z176-2000)),IF($Z176&lt;=5200,IF(INDEX(客户自备加工筐明细!$D$4:$D$1203,$Z176-4000)=0,"",INDEX(客户自备加工筐明细!$D$4:$D$1203,$Z176-4000)),IF($Z176&lt;=5800,IF(INDEX(次果筐明细!$E$4:$E$603,$Z176-5200)=0,"",INDEX(次果筐明细!$E$4:$E$603,$Z176-5200)),"")))))</f>
        <v/>
      </c>
      <c r="F176" s="24" t="str">
        <f>IF($Z176="","",IF($Z176&lt;=2000,IF(INDEX(包装物料出入库明细!$E$4:$E$2003,$Z176-0)=0,"",INDEX(包装物料出入库明细!$E$4:$E$2003,$Z176-0)),IF($Z176&lt;=4000,IF(INDEX(周转筐出入库明细!$D$4:$D$2004,$Z176-2000)=0,"",INDEX(周转筐出入库明细!$D$4:$D$2004,$Z176-2000)),IF($Z176&lt;=5200,IF(INDEX(客户自备加工筐明细!$C$4:$C$1203,$Z176-4000)=0,"",INDEX(客户自备加工筐明细!$C$4:$C$1203,$Z176-4000)),IF($Z176&lt;=5800,IF(INDEX(次果筐明细!$D$4:$D$603,$Z176-5200)=0,"",INDEX(次果筐明细!$D$4:$D$603,$Z176-5200)),"")))))</f>
        <v/>
      </c>
      <c r="G176" s="24" t="str">
        <f>IF($Z176="","",IF($Z176&lt;=2000,IF(INDEX(包装物料出入库明细!$F$4:$F$2003,$Z176-0)=0,"",INDEX(包装物料出入库明细!$F$4:$F$2003,$Z176-0)),IF($Z176&lt;=4000,"",IF($Z176&lt;=5200,"",IF($Z176&lt;=5800,"","")))))</f>
        <v/>
      </c>
      <c r="H176" s="39" t="str">
        <f>IF($Z176="","",IF($Z176&lt;=2000,IF(INDEX(包装物料出入库明细!$L$4:$L$2003,$Z176-0)=0,"",INDEX(包装物料出入库明细!$L$4:$L$2003,$Z176-0)),IF($Z176&lt;=4000,N(INDEX(周转筐出入库明细!$H$4:$H$2004,$Z176-2000))+N(INDEX(周转筐出入库明细!$I$4:$I$2004,$Z176-2000))+N(INDEX(周转筐出入库明细!$J$4:$J$2004,$Z176-2000))+N(INDEX(周转筐出入库明细!$K$4:$K$2004,$Z176-2000)),IF($Z176&lt;=5200,N(INDEX(客户自备加工筐明细!$F$4:$F$1203,$Z176-4000))+N(INDEX(客户自备加工筐明细!$G$4:$G$1203,$Z176-4000)),IF($Z176&lt;=5800,IF(INDEX(次果筐明细!$G$4:$G$603,$Z176-5200)=0,"",INDEX(次果筐明细!$G$4:$G$603,$Z176-5200)),"")))))</f>
        <v/>
      </c>
      <c r="I176" s="24" t="str">
        <f>IF($Z176="","",IF($Z176&lt;=2000,IF(INDEX(包装物料出入库明细!$G$4:$G$2003,$Z176-0)=0,"",INDEX(包装物料出入库明细!$G$4:$G$2003,$Z176-0)),IF($Z176&lt;=4000,"个",IF($Z176&lt;=5200,"个",IF($Z176&lt;=5800,"个","")))))</f>
        <v/>
      </c>
      <c r="J176" s="30" t="str">
        <f t="shared" si="7"/>
        <v/>
      </c>
      <c r="K176" s="30" t="str">
        <f>IF($Z176="","",IF($Z176&lt;=2000,IF(INDEX(包装物料出入库明细!$N$4:$N$2003,$Z176-0)=0,"",INDEX(包装物料出入库明细!$N$4:$N$2003,$Z176-0)),IF($Z176&lt;=4000,IF(INDEX(周转筐出入库明细!$P$4:$P$2004,$Z176-2000)=0,"",INDEX(周转筐出入库明细!$P$4:$P$2004,$Z176-2000)),IF($Z176&lt;=5200,"",IF($Z176&lt;=5800,N(INDEX(次果筐明细!$L$4:$L$603,$Z176-5200))+N(INDEX(次果筐明细!$J$4:$J$603,$Z176-5200)),"")))))</f>
        <v/>
      </c>
      <c r="L176" s="24" t="str">
        <f>IF($Z176="","",IF($Z176&lt;=2000,IF(INDEX(包装物料出入库明细!$P$4:$P$2003,$Z176-0)=0,"",INDEX(包装物料出入库明细!$P$4:$P$2003,$Z176-0)),IF($Z176&lt;=4000,IF(INDEX(周转筐出入库明细!$Q$4:$Q$2004,$Z176-2000)=0,"",INDEX(周转筐出入库明细!$Q$4:$Q$2004,$Z176-2000)),IF($Z176&lt;=5200,"",IF($Z176&lt;=5800,IF(INDEX(次果筐明细!$M$4:$M$603,$Z176-5200)=0,"",INDEX(次果筐明细!$M$4:$M$603,$Z176-5200)),"")))))</f>
        <v/>
      </c>
      <c r="M176" s="37" t="str">
        <f>IF($Z176="","",IF($Z176&lt;=2000,IF(INDEX(包装物料出入库明细!$R$4:$R$2003,$Z176-0)=0,"",INDEX(包装物料出入库明细!$R$4:$R$2003,$Z176-0)),IF($Z176&lt;=4000,IF(INDEX(周转筐出入库明细!$W$4:$W$2004,$Z176-2000)=0,"",INDEX(周转筐出入库明细!$W$4:$W$2004,$Z176-2000)),IF($Z176&lt;=5200,IF(INDEX(客户自备加工筐明细!$L$4:$L$1203,$Z176-4000)=0,"",INDEX(客户自备加工筐明细!$L$4:$L$1203,$Z176-4000)),IF($Z176&lt;=5800,IF(INDEX(次果筐明细!$P$4:$P$603,$Z176-5200)=0,"",INDEX(次果筐明细!$P$4:$P$603,$Z176-5200)),"")))))</f>
        <v/>
      </c>
      <c r="N176" s="16" t="str">
        <f>IF($Z176="","",IF($Z176&lt;=2000,"",IF($Z176&lt;=4000,IF(INDEX(周转筐出入库明细!$D$4:$D$2004,$Z176-2000)=0,"",INDEX(周转筐出入库明细!$D$4:$D$2004,$Z176-2000)),IF($Z176&lt;=5200,IF(INDEX(客户自备加工筐明细!$C$4:$C$1203,$Z176-4000)=0,"",INDEX(客户自备加工筐明细!$C$4:$C$1203,$Z176-4000)),IF($Z176&lt;=5800,IF(INDEX(次果筐明细!$D$4:$D$603,$Z176-5200)=0,"",INDEX(次果筐明细!$D$4:$D$603,$Z176-5200)),"")))))</f>
        <v/>
      </c>
      <c r="O176" s="40" t="str">
        <f>IF($Z176="","",IF($Z176&lt;=2000,"",IF($Z176&lt;=4000,IF(N(INDEX(周转筐出入库明细!$J$4:$J$2004,$Z176-2000))+N(INDEX(周转筐出入库明细!$K$4:$K$2004,$Z176-2000))=0,"",N(INDEX(周转筐出入库明细!$J$4:$J$2004,$Z176-2000))+N(INDEX(周转筐出入库明细!$K$4:$K$2004,$Z176-2000))),IF($Z176&lt;=5200,IF(N(INDEX(客户自备加工筐明细!$G$4:$G$1203,$Z176-4000))=0,"",N(INDEX(客户自备加工筐明细!$G$4:$G$1203,$Z176-4000))),IF($Z176&lt;=5800,IF(ISNUMBER(SEARCH("退",INDEX(次果筐明细!$F$4:$F$603,$Z176-5200)&amp;"")),"",IF(N(INDEX(次果筐明细!$G$4:$G$603,$Z176-5200))=0,"",N(INDEX(次果筐明细!$G$4:$G$603,$Z176-5200)))),"")))))</f>
        <v/>
      </c>
      <c r="P176" s="40" t="str">
        <f>IF($Z176="","",IF($Z176&lt;=2000,"",IF($Z176&lt;=4000,IF(N(INDEX(周转筐出入库明细!$I$4:$I$2004,$Z176-2000))=0,"",N(INDEX(周转筐出入库明细!$I$4:$I$2004,$Z176-2000))),IF($Z176&lt;=5200,"",IF($Z176&lt;=5800,IF(ISNUMBER(SEARCH("退",INDEX(次果筐明细!$F$4:$F$603,$Z176-5200)&amp;"")),IF(N(INDEX(次果筐明细!$G$4:$G$603,$Z176-5200))=0,"",N(INDEX(次果筐明细!$G$4:$G$603,$Z176-5200))),""),"")))))</f>
        <v/>
      </c>
      <c r="Q176" s="40" t="str">
        <f>IF($Z176="","",IF($Z176&lt;=2000,"",IF($Z176&lt;=4000,IF(N(INDEX(周转筐出入库明细!$H$4:$H$2004,$Z176-2000))=0,"",N(INDEX(周转筐出入库明细!$H$4:$H$2004,$Z176-2000))),IF($Z176&lt;=5200,IF(N(INDEX(客户自备加工筐明细!$F$4:$F$1203,$Z176-4000))=0,"",N(INDEX(客户自备加工筐明细!$F$4:$F$1203,$Z176-4000))),IF($Z176&lt;=5800,"","")))))</f>
        <v/>
      </c>
      <c r="R176" s="16" t="str">
        <f>IF($Z176="","",IF($Z176&lt;=2000,IF(INDEX(包装物料出入库明细!$O$4:$O$2003,$Z176-0)=0,"",INDEX(包装物料出入库明细!$O$4:$O$2003,$Z176-0)),IF($Z176&lt;=4000,IF(INDEX(周转筐出入库明细!$M$4:$M$2004,$Z176-2000)=0,"",INDEX(周转筐出入库明细!$M$4:$M$2004,$Z176-2000)),IF($Z176&lt;=5200,IF(INDEX(客户自备加工筐明细!$H$4:$H$1203,$Z176-4000)=0,"",INDEX(客户自备加工筐明细!$H$4:$H$1203,$Z176-4000)),IF($Z176&lt;=5800,IF(INDEX(次果筐明细!$H$4:$H$603,$Z176-5200)=0,"",INDEX(次果筐明细!$H$4:$H$603,$Z176-5200)),"")))))</f>
        <v/>
      </c>
      <c r="S176" s="22" t="str">
        <f t="shared" si="8"/>
        <v/>
      </c>
      <c r="Z176" s="10" t="str">
        <f>IFERROR(MATCH(ROW()-3,_自动清单!$CQ$4:$CQ$5803,0),"")</f>
        <v/>
      </c>
    </row>
    <row r="177" spans="1:26">
      <c r="A177" s="24" t="str">
        <f t="shared" si="6"/>
        <v/>
      </c>
      <c r="B177" s="38" t="str">
        <f>IF($Z177="","",IF($Z177&lt;=2000,IF(INDEX(包装物料出入库明细!$B$4:$B$2003,$Z177-0)=0,"",INDEX(包装物料出入库明细!$B$4:$B$2003,$Z177-0)),IF($Z177&lt;=4000,IF(INDEX(周转筐出入库明细!$B$4:$B$2004,$Z177-2000)=0,"",INDEX(周转筐出入库明细!$B$4:$B$2004,$Z177-2000)),IF($Z177&lt;=5200,IF(INDEX(客户自备加工筐明细!$B$4:$B$1203,$Z177-4000)=0,"",INDEX(客户自备加工筐明细!$B$4:$B$1203,$Z177-4000)),IF($Z177&lt;=5800,IF(INDEX(次果筐明细!$B$4:$B$603,$Z177-5200)=0,"",INDEX(次果筐明细!$B$4:$B$603,$Z177-5200)),"")))))</f>
        <v/>
      </c>
      <c r="C177" s="37" t="str">
        <f>IF($Z177="","",IF($Z177&lt;=2000,IF(INDEX(包装物料出入库明细!$D$4:$D$2003,$Z177-0)=0,"",INDEX(包装物料出入库明细!$D$4:$D$2003,$Z177-0)),IF($Z177&lt;=4000,IF(INDEX(周转筐出入库明细!$C$4:$C$2004,$Z177-2000)=0,"",INDEX(周转筐出入库明细!$C$4:$C$2004,$Z177-2000)),IF($Z177&lt;=5200,IF(INDEX(客户自备加工筐明细!$E$4:$E$1203,$Z177-4000)=0,"",INDEX(客户自备加工筐明细!$E$4:$E$1203,$Z177-4000)),IF($Z177&lt;=5800,IF(INDEX(次果筐明细!$C$4:$C$603,$Z177-5200)=0,"",INDEX(次果筐明细!$C$4:$C$603,$Z177-5200)),"")))))</f>
        <v/>
      </c>
      <c r="D177" s="37" t="str">
        <f>IF($Z177="","",IF($Z177&lt;=2000,"包装物料－"&amp;INDEX(包装物料出入库明细!$H$4:$H$2003,$Z177-0),IF($Z177&lt;=4000,"周转筐－"&amp;INDEX(周转筐出入库明细!$F$4:$F$2004,$Z177-2000),IF($Z177&lt;=5200,"客户自备筐－"&amp;INDEX(客户自备加工筐明细!$J$4:$J$1203,$Z177-4000),IF($Z177&lt;=5800,"次果筐/托盘－"&amp;INDEX(次果筐明细!$F$4:$F$603,$Z177-5200),"")))))</f>
        <v/>
      </c>
      <c r="E177" s="24" t="str">
        <f>IF($Z177="","",IF($Z177&lt;=2000,IF(INDEX(包装物料出入库明细!$C$4:$C$2003,$Z177-0)=0,"",INDEX(包装物料出入库明细!$C$4:$C$2003,$Z177-0)),IF($Z177&lt;=4000,IF(INDEX(周转筐出入库明细!$E$4:$E$2004,$Z177-2000)=0,"",INDEX(周转筐出入库明细!$E$4:$E$2004,$Z177-2000)),IF($Z177&lt;=5200,IF(INDEX(客户自备加工筐明细!$D$4:$D$1203,$Z177-4000)=0,"",INDEX(客户自备加工筐明细!$D$4:$D$1203,$Z177-4000)),IF($Z177&lt;=5800,IF(INDEX(次果筐明细!$E$4:$E$603,$Z177-5200)=0,"",INDEX(次果筐明细!$E$4:$E$603,$Z177-5200)),"")))))</f>
        <v/>
      </c>
      <c r="F177" s="24" t="str">
        <f>IF($Z177="","",IF($Z177&lt;=2000,IF(INDEX(包装物料出入库明细!$E$4:$E$2003,$Z177-0)=0,"",INDEX(包装物料出入库明细!$E$4:$E$2003,$Z177-0)),IF($Z177&lt;=4000,IF(INDEX(周转筐出入库明细!$D$4:$D$2004,$Z177-2000)=0,"",INDEX(周转筐出入库明细!$D$4:$D$2004,$Z177-2000)),IF($Z177&lt;=5200,IF(INDEX(客户自备加工筐明细!$C$4:$C$1203,$Z177-4000)=0,"",INDEX(客户自备加工筐明细!$C$4:$C$1203,$Z177-4000)),IF($Z177&lt;=5800,IF(INDEX(次果筐明细!$D$4:$D$603,$Z177-5200)=0,"",INDEX(次果筐明细!$D$4:$D$603,$Z177-5200)),"")))))</f>
        <v/>
      </c>
      <c r="G177" s="24" t="str">
        <f>IF($Z177="","",IF($Z177&lt;=2000,IF(INDEX(包装物料出入库明细!$F$4:$F$2003,$Z177-0)=0,"",INDEX(包装物料出入库明细!$F$4:$F$2003,$Z177-0)),IF($Z177&lt;=4000,"",IF($Z177&lt;=5200,"",IF($Z177&lt;=5800,"","")))))</f>
        <v/>
      </c>
      <c r="H177" s="39" t="str">
        <f>IF($Z177="","",IF($Z177&lt;=2000,IF(INDEX(包装物料出入库明细!$L$4:$L$2003,$Z177-0)=0,"",INDEX(包装物料出入库明细!$L$4:$L$2003,$Z177-0)),IF($Z177&lt;=4000,N(INDEX(周转筐出入库明细!$H$4:$H$2004,$Z177-2000))+N(INDEX(周转筐出入库明细!$I$4:$I$2004,$Z177-2000))+N(INDEX(周转筐出入库明细!$J$4:$J$2004,$Z177-2000))+N(INDEX(周转筐出入库明细!$K$4:$K$2004,$Z177-2000)),IF($Z177&lt;=5200,N(INDEX(客户自备加工筐明细!$F$4:$F$1203,$Z177-4000))+N(INDEX(客户自备加工筐明细!$G$4:$G$1203,$Z177-4000)),IF($Z177&lt;=5800,IF(INDEX(次果筐明细!$G$4:$G$603,$Z177-5200)=0,"",INDEX(次果筐明细!$G$4:$G$603,$Z177-5200)),"")))))</f>
        <v/>
      </c>
      <c r="I177" s="24" t="str">
        <f>IF($Z177="","",IF($Z177&lt;=2000,IF(INDEX(包装物料出入库明细!$G$4:$G$2003,$Z177-0)=0,"",INDEX(包装物料出入库明细!$G$4:$G$2003,$Z177-0)),IF($Z177&lt;=4000,"个",IF($Z177&lt;=5200,"个",IF($Z177&lt;=5800,"个","")))))</f>
        <v/>
      </c>
      <c r="J177" s="30" t="str">
        <f t="shared" si="7"/>
        <v/>
      </c>
      <c r="K177" s="30" t="str">
        <f>IF($Z177="","",IF($Z177&lt;=2000,IF(INDEX(包装物料出入库明细!$N$4:$N$2003,$Z177-0)=0,"",INDEX(包装物料出入库明细!$N$4:$N$2003,$Z177-0)),IF($Z177&lt;=4000,IF(INDEX(周转筐出入库明细!$P$4:$P$2004,$Z177-2000)=0,"",INDEX(周转筐出入库明细!$P$4:$P$2004,$Z177-2000)),IF($Z177&lt;=5200,"",IF($Z177&lt;=5800,N(INDEX(次果筐明细!$L$4:$L$603,$Z177-5200))+N(INDEX(次果筐明细!$J$4:$J$603,$Z177-5200)),"")))))</f>
        <v/>
      </c>
      <c r="L177" s="24" t="str">
        <f>IF($Z177="","",IF($Z177&lt;=2000,IF(INDEX(包装物料出入库明细!$P$4:$P$2003,$Z177-0)=0,"",INDEX(包装物料出入库明细!$P$4:$P$2003,$Z177-0)),IF($Z177&lt;=4000,IF(INDEX(周转筐出入库明细!$Q$4:$Q$2004,$Z177-2000)=0,"",INDEX(周转筐出入库明细!$Q$4:$Q$2004,$Z177-2000)),IF($Z177&lt;=5200,"",IF($Z177&lt;=5800,IF(INDEX(次果筐明细!$M$4:$M$603,$Z177-5200)=0,"",INDEX(次果筐明细!$M$4:$M$603,$Z177-5200)),"")))))</f>
        <v/>
      </c>
      <c r="M177" s="37" t="str">
        <f>IF($Z177="","",IF($Z177&lt;=2000,IF(INDEX(包装物料出入库明细!$R$4:$R$2003,$Z177-0)=0,"",INDEX(包装物料出入库明细!$R$4:$R$2003,$Z177-0)),IF($Z177&lt;=4000,IF(INDEX(周转筐出入库明细!$W$4:$W$2004,$Z177-2000)=0,"",INDEX(周转筐出入库明细!$W$4:$W$2004,$Z177-2000)),IF($Z177&lt;=5200,IF(INDEX(客户自备加工筐明细!$L$4:$L$1203,$Z177-4000)=0,"",INDEX(客户自备加工筐明细!$L$4:$L$1203,$Z177-4000)),IF($Z177&lt;=5800,IF(INDEX(次果筐明细!$P$4:$P$603,$Z177-5200)=0,"",INDEX(次果筐明细!$P$4:$P$603,$Z177-5200)),"")))))</f>
        <v/>
      </c>
      <c r="N177" s="16" t="str">
        <f>IF($Z177="","",IF($Z177&lt;=2000,"",IF($Z177&lt;=4000,IF(INDEX(周转筐出入库明细!$D$4:$D$2004,$Z177-2000)=0,"",INDEX(周转筐出入库明细!$D$4:$D$2004,$Z177-2000)),IF($Z177&lt;=5200,IF(INDEX(客户自备加工筐明细!$C$4:$C$1203,$Z177-4000)=0,"",INDEX(客户自备加工筐明细!$C$4:$C$1203,$Z177-4000)),IF($Z177&lt;=5800,IF(INDEX(次果筐明细!$D$4:$D$603,$Z177-5200)=0,"",INDEX(次果筐明细!$D$4:$D$603,$Z177-5200)),"")))))</f>
        <v/>
      </c>
      <c r="O177" s="40" t="str">
        <f>IF($Z177="","",IF($Z177&lt;=2000,"",IF($Z177&lt;=4000,IF(N(INDEX(周转筐出入库明细!$J$4:$J$2004,$Z177-2000))+N(INDEX(周转筐出入库明细!$K$4:$K$2004,$Z177-2000))=0,"",N(INDEX(周转筐出入库明细!$J$4:$J$2004,$Z177-2000))+N(INDEX(周转筐出入库明细!$K$4:$K$2004,$Z177-2000))),IF($Z177&lt;=5200,IF(N(INDEX(客户自备加工筐明细!$G$4:$G$1203,$Z177-4000))=0,"",N(INDEX(客户自备加工筐明细!$G$4:$G$1203,$Z177-4000))),IF($Z177&lt;=5800,IF(ISNUMBER(SEARCH("退",INDEX(次果筐明细!$F$4:$F$603,$Z177-5200)&amp;"")),"",IF(N(INDEX(次果筐明细!$G$4:$G$603,$Z177-5200))=0,"",N(INDEX(次果筐明细!$G$4:$G$603,$Z177-5200)))),"")))))</f>
        <v/>
      </c>
      <c r="P177" s="40" t="str">
        <f>IF($Z177="","",IF($Z177&lt;=2000,"",IF($Z177&lt;=4000,IF(N(INDEX(周转筐出入库明细!$I$4:$I$2004,$Z177-2000))=0,"",N(INDEX(周转筐出入库明细!$I$4:$I$2004,$Z177-2000))),IF($Z177&lt;=5200,"",IF($Z177&lt;=5800,IF(ISNUMBER(SEARCH("退",INDEX(次果筐明细!$F$4:$F$603,$Z177-5200)&amp;"")),IF(N(INDEX(次果筐明细!$G$4:$G$603,$Z177-5200))=0,"",N(INDEX(次果筐明细!$G$4:$G$603,$Z177-5200))),""),"")))))</f>
        <v/>
      </c>
      <c r="Q177" s="40" t="str">
        <f>IF($Z177="","",IF($Z177&lt;=2000,"",IF($Z177&lt;=4000,IF(N(INDEX(周转筐出入库明细!$H$4:$H$2004,$Z177-2000))=0,"",N(INDEX(周转筐出入库明细!$H$4:$H$2004,$Z177-2000))),IF($Z177&lt;=5200,IF(N(INDEX(客户自备加工筐明细!$F$4:$F$1203,$Z177-4000))=0,"",N(INDEX(客户自备加工筐明细!$F$4:$F$1203,$Z177-4000))),IF($Z177&lt;=5800,"","")))))</f>
        <v/>
      </c>
      <c r="R177" s="16" t="str">
        <f>IF($Z177="","",IF($Z177&lt;=2000,IF(INDEX(包装物料出入库明细!$O$4:$O$2003,$Z177-0)=0,"",INDEX(包装物料出入库明细!$O$4:$O$2003,$Z177-0)),IF($Z177&lt;=4000,IF(INDEX(周转筐出入库明细!$M$4:$M$2004,$Z177-2000)=0,"",INDEX(周转筐出入库明细!$M$4:$M$2004,$Z177-2000)),IF($Z177&lt;=5200,IF(INDEX(客户自备加工筐明细!$H$4:$H$1203,$Z177-4000)=0,"",INDEX(客户自备加工筐明细!$H$4:$H$1203,$Z177-4000)),IF($Z177&lt;=5800,IF(INDEX(次果筐明细!$H$4:$H$603,$Z177-5200)=0,"",INDEX(次果筐明细!$H$4:$H$603,$Z177-5200)),"")))))</f>
        <v/>
      </c>
      <c r="S177" s="22" t="str">
        <f t="shared" si="8"/>
        <v/>
      </c>
      <c r="Z177" s="10" t="str">
        <f>IFERROR(MATCH(ROW()-3,_自动清单!$CQ$4:$CQ$5803,0),"")</f>
        <v/>
      </c>
    </row>
    <row r="178" spans="1:26">
      <c r="A178" s="24" t="str">
        <f t="shared" si="6"/>
        <v/>
      </c>
      <c r="B178" s="38" t="str">
        <f>IF($Z178="","",IF($Z178&lt;=2000,IF(INDEX(包装物料出入库明细!$B$4:$B$2003,$Z178-0)=0,"",INDEX(包装物料出入库明细!$B$4:$B$2003,$Z178-0)),IF($Z178&lt;=4000,IF(INDEX(周转筐出入库明细!$B$4:$B$2004,$Z178-2000)=0,"",INDEX(周转筐出入库明细!$B$4:$B$2004,$Z178-2000)),IF($Z178&lt;=5200,IF(INDEX(客户自备加工筐明细!$B$4:$B$1203,$Z178-4000)=0,"",INDEX(客户自备加工筐明细!$B$4:$B$1203,$Z178-4000)),IF($Z178&lt;=5800,IF(INDEX(次果筐明细!$B$4:$B$603,$Z178-5200)=0,"",INDEX(次果筐明细!$B$4:$B$603,$Z178-5200)),"")))))</f>
        <v/>
      </c>
      <c r="C178" s="37" t="str">
        <f>IF($Z178="","",IF($Z178&lt;=2000,IF(INDEX(包装物料出入库明细!$D$4:$D$2003,$Z178-0)=0,"",INDEX(包装物料出入库明细!$D$4:$D$2003,$Z178-0)),IF($Z178&lt;=4000,IF(INDEX(周转筐出入库明细!$C$4:$C$2004,$Z178-2000)=0,"",INDEX(周转筐出入库明细!$C$4:$C$2004,$Z178-2000)),IF($Z178&lt;=5200,IF(INDEX(客户自备加工筐明细!$E$4:$E$1203,$Z178-4000)=0,"",INDEX(客户自备加工筐明细!$E$4:$E$1203,$Z178-4000)),IF($Z178&lt;=5800,IF(INDEX(次果筐明细!$C$4:$C$603,$Z178-5200)=0,"",INDEX(次果筐明细!$C$4:$C$603,$Z178-5200)),"")))))</f>
        <v/>
      </c>
      <c r="D178" s="37" t="str">
        <f>IF($Z178="","",IF($Z178&lt;=2000,"包装物料－"&amp;INDEX(包装物料出入库明细!$H$4:$H$2003,$Z178-0),IF($Z178&lt;=4000,"周转筐－"&amp;INDEX(周转筐出入库明细!$F$4:$F$2004,$Z178-2000),IF($Z178&lt;=5200,"客户自备筐－"&amp;INDEX(客户自备加工筐明细!$J$4:$J$1203,$Z178-4000),IF($Z178&lt;=5800,"次果筐/托盘－"&amp;INDEX(次果筐明细!$F$4:$F$603,$Z178-5200),"")))))</f>
        <v/>
      </c>
      <c r="E178" s="24" t="str">
        <f>IF($Z178="","",IF($Z178&lt;=2000,IF(INDEX(包装物料出入库明细!$C$4:$C$2003,$Z178-0)=0,"",INDEX(包装物料出入库明细!$C$4:$C$2003,$Z178-0)),IF($Z178&lt;=4000,IF(INDEX(周转筐出入库明细!$E$4:$E$2004,$Z178-2000)=0,"",INDEX(周转筐出入库明细!$E$4:$E$2004,$Z178-2000)),IF($Z178&lt;=5200,IF(INDEX(客户自备加工筐明细!$D$4:$D$1203,$Z178-4000)=0,"",INDEX(客户自备加工筐明细!$D$4:$D$1203,$Z178-4000)),IF($Z178&lt;=5800,IF(INDEX(次果筐明细!$E$4:$E$603,$Z178-5200)=0,"",INDEX(次果筐明细!$E$4:$E$603,$Z178-5200)),"")))))</f>
        <v/>
      </c>
      <c r="F178" s="24" t="str">
        <f>IF($Z178="","",IF($Z178&lt;=2000,IF(INDEX(包装物料出入库明细!$E$4:$E$2003,$Z178-0)=0,"",INDEX(包装物料出入库明细!$E$4:$E$2003,$Z178-0)),IF($Z178&lt;=4000,IF(INDEX(周转筐出入库明细!$D$4:$D$2004,$Z178-2000)=0,"",INDEX(周转筐出入库明细!$D$4:$D$2004,$Z178-2000)),IF($Z178&lt;=5200,IF(INDEX(客户自备加工筐明细!$C$4:$C$1203,$Z178-4000)=0,"",INDEX(客户自备加工筐明细!$C$4:$C$1203,$Z178-4000)),IF($Z178&lt;=5800,IF(INDEX(次果筐明细!$D$4:$D$603,$Z178-5200)=0,"",INDEX(次果筐明细!$D$4:$D$603,$Z178-5200)),"")))))</f>
        <v/>
      </c>
      <c r="G178" s="24" t="str">
        <f>IF($Z178="","",IF($Z178&lt;=2000,IF(INDEX(包装物料出入库明细!$F$4:$F$2003,$Z178-0)=0,"",INDEX(包装物料出入库明细!$F$4:$F$2003,$Z178-0)),IF($Z178&lt;=4000,"",IF($Z178&lt;=5200,"",IF($Z178&lt;=5800,"","")))))</f>
        <v/>
      </c>
      <c r="H178" s="39" t="str">
        <f>IF($Z178="","",IF($Z178&lt;=2000,IF(INDEX(包装物料出入库明细!$L$4:$L$2003,$Z178-0)=0,"",INDEX(包装物料出入库明细!$L$4:$L$2003,$Z178-0)),IF($Z178&lt;=4000,N(INDEX(周转筐出入库明细!$H$4:$H$2004,$Z178-2000))+N(INDEX(周转筐出入库明细!$I$4:$I$2004,$Z178-2000))+N(INDEX(周转筐出入库明细!$J$4:$J$2004,$Z178-2000))+N(INDEX(周转筐出入库明细!$K$4:$K$2004,$Z178-2000)),IF($Z178&lt;=5200,N(INDEX(客户自备加工筐明细!$F$4:$F$1203,$Z178-4000))+N(INDEX(客户自备加工筐明细!$G$4:$G$1203,$Z178-4000)),IF($Z178&lt;=5800,IF(INDEX(次果筐明细!$G$4:$G$603,$Z178-5200)=0,"",INDEX(次果筐明细!$G$4:$G$603,$Z178-5200)),"")))))</f>
        <v/>
      </c>
      <c r="I178" s="24" t="str">
        <f>IF($Z178="","",IF($Z178&lt;=2000,IF(INDEX(包装物料出入库明细!$G$4:$G$2003,$Z178-0)=0,"",INDEX(包装物料出入库明细!$G$4:$G$2003,$Z178-0)),IF($Z178&lt;=4000,"个",IF($Z178&lt;=5200,"个",IF($Z178&lt;=5800,"个","")))))</f>
        <v/>
      </c>
      <c r="J178" s="30" t="str">
        <f t="shared" si="7"/>
        <v/>
      </c>
      <c r="K178" s="30" t="str">
        <f>IF($Z178="","",IF($Z178&lt;=2000,IF(INDEX(包装物料出入库明细!$N$4:$N$2003,$Z178-0)=0,"",INDEX(包装物料出入库明细!$N$4:$N$2003,$Z178-0)),IF($Z178&lt;=4000,IF(INDEX(周转筐出入库明细!$P$4:$P$2004,$Z178-2000)=0,"",INDEX(周转筐出入库明细!$P$4:$P$2004,$Z178-2000)),IF($Z178&lt;=5200,"",IF($Z178&lt;=5800,N(INDEX(次果筐明细!$L$4:$L$603,$Z178-5200))+N(INDEX(次果筐明细!$J$4:$J$603,$Z178-5200)),"")))))</f>
        <v/>
      </c>
      <c r="L178" s="24" t="str">
        <f>IF($Z178="","",IF($Z178&lt;=2000,IF(INDEX(包装物料出入库明细!$P$4:$P$2003,$Z178-0)=0,"",INDEX(包装物料出入库明细!$P$4:$P$2003,$Z178-0)),IF($Z178&lt;=4000,IF(INDEX(周转筐出入库明细!$Q$4:$Q$2004,$Z178-2000)=0,"",INDEX(周转筐出入库明细!$Q$4:$Q$2004,$Z178-2000)),IF($Z178&lt;=5200,"",IF($Z178&lt;=5800,IF(INDEX(次果筐明细!$M$4:$M$603,$Z178-5200)=0,"",INDEX(次果筐明细!$M$4:$M$603,$Z178-5200)),"")))))</f>
        <v/>
      </c>
      <c r="M178" s="37" t="str">
        <f>IF($Z178="","",IF($Z178&lt;=2000,IF(INDEX(包装物料出入库明细!$R$4:$R$2003,$Z178-0)=0,"",INDEX(包装物料出入库明细!$R$4:$R$2003,$Z178-0)),IF($Z178&lt;=4000,IF(INDEX(周转筐出入库明细!$W$4:$W$2004,$Z178-2000)=0,"",INDEX(周转筐出入库明细!$W$4:$W$2004,$Z178-2000)),IF($Z178&lt;=5200,IF(INDEX(客户自备加工筐明细!$L$4:$L$1203,$Z178-4000)=0,"",INDEX(客户自备加工筐明细!$L$4:$L$1203,$Z178-4000)),IF($Z178&lt;=5800,IF(INDEX(次果筐明细!$P$4:$P$603,$Z178-5200)=0,"",INDEX(次果筐明细!$P$4:$P$603,$Z178-5200)),"")))))</f>
        <v/>
      </c>
      <c r="N178" s="16" t="str">
        <f>IF($Z178="","",IF($Z178&lt;=2000,"",IF($Z178&lt;=4000,IF(INDEX(周转筐出入库明细!$D$4:$D$2004,$Z178-2000)=0,"",INDEX(周转筐出入库明细!$D$4:$D$2004,$Z178-2000)),IF($Z178&lt;=5200,IF(INDEX(客户自备加工筐明细!$C$4:$C$1203,$Z178-4000)=0,"",INDEX(客户自备加工筐明细!$C$4:$C$1203,$Z178-4000)),IF($Z178&lt;=5800,IF(INDEX(次果筐明细!$D$4:$D$603,$Z178-5200)=0,"",INDEX(次果筐明细!$D$4:$D$603,$Z178-5200)),"")))))</f>
        <v/>
      </c>
      <c r="O178" s="40" t="str">
        <f>IF($Z178="","",IF($Z178&lt;=2000,"",IF($Z178&lt;=4000,IF(N(INDEX(周转筐出入库明细!$J$4:$J$2004,$Z178-2000))+N(INDEX(周转筐出入库明细!$K$4:$K$2004,$Z178-2000))=0,"",N(INDEX(周转筐出入库明细!$J$4:$J$2004,$Z178-2000))+N(INDEX(周转筐出入库明细!$K$4:$K$2004,$Z178-2000))),IF($Z178&lt;=5200,IF(N(INDEX(客户自备加工筐明细!$G$4:$G$1203,$Z178-4000))=0,"",N(INDEX(客户自备加工筐明细!$G$4:$G$1203,$Z178-4000))),IF($Z178&lt;=5800,IF(ISNUMBER(SEARCH("退",INDEX(次果筐明细!$F$4:$F$603,$Z178-5200)&amp;"")),"",IF(N(INDEX(次果筐明细!$G$4:$G$603,$Z178-5200))=0,"",N(INDEX(次果筐明细!$G$4:$G$603,$Z178-5200)))),"")))))</f>
        <v/>
      </c>
      <c r="P178" s="40" t="str">
        <f>IF($Z178="","",IF($Z178&lt;=2000,"",IF($Z178&lt;=4000,IF(N(INDEX(周转筐出入库明细!$I$4:$I$2004,$Z178-2000))=0,"",N(INDEX(周转筐出入库明细!$I$4:$I$2004,$Z178-2000))),IF($Z178&lt;=5200,"",IF($Z178&lt;=5800,IF(ISNUMBER(SEARCH("退",INDEX(次果筐明细!$F$4:$F$603,$Z178-5200)&amp;"")),IF(N(INDEX(次果筐明细!$G$4:$G$603,$Z178-5200))=0,"",N(INDEX(次果筐明细!$G$4:$G$603,$Z178-5200))),""),"")))))</f>
        <v/>
      </c>
      <c r="Q178" s="40" t="str">
        <f>IF($Z178="","",IF($Z178&lt;=2000,"",IF($Z178&lt;=4000,IF(N(INDEX(周转筐出入库明细!$H$4:$H$2004,$Z178-2000))=0,"",N(INDEX(周转筐出入库明细!$H$4:$H$2004,$Z178-2000))),IF($Z178&lt;=5200,IF(N(INDEX(客户自备加工筐明细!$F$4:$F$1203,$Z178-4000))=0,"",N(INDEX(客户自备加工筐明细!$F$4:$F$1203,$Z178-4000))),IF($Z178&lt;=5800,"","")))))</f>
        <v/>
      </c>
      <c r="R178" s="16" t="str">
        <f>IF($Z178="","",IF($Z178&lt;=2000,IF(INDEX(包装物料出入库明细!$O$4:$O$2003,$Z178-0)=0,"",INDEX(包装物料出入库明细!$O$4:$O$2003,$Z178-0)),IF($Z178&lt;=4000,IF(INDEX(周转筐出入库明细!$M$4:$M$2004,$Z178-2000)=0,"",INDEX(周转筐出入库明细!$M$4:$M$2004,$Z178-2000)),IF($Z178&lt;=5200,IF(INDEX(客户自备加工筐明细!$H$4:$H$1203,$Z178-4000)=0,"",INDEX(客户自备加工筐明细!$H$4:$H$1203,$Z178-4000)),IF($Z178&lt;=5800,IF(INDEX(次果筐明细!$H$4:$H$603,$Z178-5200)=0,"",INDEX(次果筐明细!$H$4:$H$603,$Z178-5200)),"")))))</f>
        <v/>
      </c>
      <c r="S178" s="22" t="str">
        <f t="shared" si="8"/>
        <v/>
      </c>
      <c r="Z178" s="10" t="str">
        <f>IFERROR(MATCH(ROW()-3,_自动清单!$CQ$4:$CQ$5803,0),"")</f>
        <v/>
      </c>
    </row>
    <row r="179" spans="1:26">
      <c r="A179" s="24" t="str">
        <f t="shared" si="6"/>
        <v/>
      </c>
      <c r="B179" s="38" t="str">
        <f>IF($Z179="","",IF($Z179&lt;=2000,IF(INDEX(包装物料出入库明细!$B$4:$B$2003,$Z179-0)=0,"",INDEX(包装物料出入库明细!$B$4:$B$2003,$Z179-0)),IF($Z179&lt;=4000,IF(INDEX(周转筐出入库明细!$B$4:$B$2004,$Z179-2000)=0,"",INDEX(周转筐出入库明细!$B$4:$B$2004,$Z179-2000)),IF($Z179&lt;=5200,IF(INDEX(客户自备加工筐明细!$B$4:$B$1203,$Z179-4000)=0,"",INDEX(客户自备加工筐明细!$B$4:$B$1203,$Z179-4000)),IF($Z179&lt;=5800,IF(INDEX(次果筐明细!$B$4:$B$603,$Z179-5200)=0,"",INDEX(次果筐明细!$B$4:$B$603,$Z179-5200)),"")))))</f>
        <v/>
      </c>
      <c r="C179" s="37" t="str">
        <f>IF($Z179="","",IF($Z179&lt;=2000,IF(INDEX(包装物料出入库明细!$D$4:$D$2003,$Z179-0)=0,"",INDEX(包装物料出入库明细!$D$4:$D$2003,$Z179-0)),IF($Z179&lt;=4000,IF(INDEX(周转筐出入库明细!$C$4:$C$2004,$Z179-2000)=0,"",INDEX(周转筐出入库明细!$C$4:$C$2004,$Z179-2000)),IF($Z179&lt;=5200,IF(INDEX(客户自备加工筐明细!$E$4:$E$1203,$Z179-4000)=0,"",INDEX(客户自备加工筐明细!$E$4:$E$1203,$Z179-4000)),IF($Z179&lt;=5800,IF(INDEX(次果筐明细!$C$4:$C$603,$Z179-5200)=0,"",INDEX(次果筐明细!$C$4:$C$603,$Z179-5200)),"")))))</f>
        <v/>
      </c>
      <c r="D179" s="37" t="str">
        <f>IF($Z179="","",IF($Z179&lt;=2000,"包装物料－"&amp;INDEX(包装物料出入库明细!$H$4:$H$2003,$Z179-0),IF($Z179&lt;=4000,"周转筐－"&amp;INDEX(周转筐出入库明细!$F$4:$F$2004,$Z179-2000),IF($Z179&lt;=5200,"客户自备筐－"&amp;INDEX(客户自备加工筐明细!$J$4:$J$1203,$Z179-4000),IF($Z179&lt;=5800,"次果筐/托盘－"&amp;INDEX(次果筐明细!$F$4:$F$603,$Z179-5200),"")))))</f>
        <v/>
      </c>
      <c r="E179" s="24" t="str">
        <f>IF($Z179="","",IF($Z179&lt;=2000,IF(INDEX(包装物料出入库明细!$C$4:$C$2003,$Z179-0)=0,"",INDEX(包装物料出入库明细!$C$4:$C$2003,$Z179-0)),IF($Z179&lt;=4000,IF(INDEX(周转筐出入库明细!$E$4:$E$2004,$Z179-2000)=0,"",INDEX(周转筐出入库明细!$E$4:$E$2004,$Z179-2000)),IF($Z179&lt;=5200,IF(INDEX(客户自备加工筐明细!$D$4:$D$1203,$Z179-4000)=0,"",INDEX(客户自备加工筐明细!$D$4:$D$1203,$Z179-4000)),IF($Z179&lt;=5800,IF(INDEX(次果筐明细!$E$4:$E$603,$Z179-5200)=0,"",INDEX(次果筐明细!$E$4:$E$603,$Z179-5200)),"")))))</f>
        <v/>
      </c>
      <c r="F179" s="24" t="str">
        <f>IF($Z179="","",IF($Z179&lt;=2000,IF(INDEX(包装物料出入库明细!$E$4:$E$2003,$Z179-0)=0,"",INDEX(包装物料出入库明细!$E$4:$E$2003,$Z179-0)),IF($Z179&lt;=4000,IF(INDEX(周转筐出入库明细!$D$4:$D$2004,$Z179-2000)=0,"",INDEX(周转筐出入库明细!$D$4:$D$2004,$Z179-2000)),IF($Z179&lt;=5200,IF(INDEX(客户自备加工筐明细!$C$4:$C$1203,$Z179-4000)=0,"",INDEX(客户自备加工筐明细!$C$4:$C$1203,$Z179-4000)),IF($Z179&lt;=5800,IF(INDEX(次果筐明细!$D$4:$D$603,$Z179-5200)=0,"",INDEX(次果筐明细!$D$4:$D$603,$Z179-5200)),"")))))</f>
        <v/>
      </c>
      <c r="G179" s="24" t="str">
        <f>IF($Z179="","",IF($Z179&lt;=2000,IF(INDEX(包装物料出入库明细!$F$4:$F$2003,$Z179-0)=0,"",INDEX(包装物料出入库明细!$F$4:$F$2003,$Z179-0)),IF($Z179&lt;=4000,"",IF($Z179&lt;=5200,"",IF($Z179&lt;=5800,"","")))))</f>
        <v/>
      </c>
      <c r="H179" s="39" t="str">
        <f>IF($Z179="","",IF($Z179&lt;=2000,IF(INDEX(包装物料出入库明细!$L$4:$L$2003,$Z179-0)=0,"",INDEX(包装物料出入库明细!$L$4:$L$2003,$Z179-0)),IF($Z179&lt;=4000,N(INDEX(周转筐出入库明细!$H$4:$H$2004,$Z179-2000))+N(INDEX(周转筐出入库明细!$I$4:$I$2004,$Z179-2000))+N(INDEX(周转筐出入库明细!$J$4:$J$2004,$Z179-2000))+N(INDEX(周转筐出入库明细!$K$4:$K$2004,$Z179-2000)),IF($Z179&lt;=5200,N(INDEX(客户自备加工筐明细!$F$4:$F$1203,$Z179-4000))+N(INDEX(客户自备加工筐明细!$G$4:$G$1203,$Z179-4000)),IF($Z179&lt;=5800,IF(INDEX(次果筐明细!$G$4:$G$603,$Z179-5200)=0,"",INDEX(次果筐明细!$G$4:$G$603,$Z179-5200)),"")))))</f>
        <v/>
      </c>
      <c r="I179" s="24" t="str">
        <f>IF($Z179="","",IF($Z179&lt;=2000,IF(INDEX(包装物料出入库明细!$G$4:$G$2003,$Z179-0)=0,"",INDEX(包装物料出入库明细!$G$4:$G$2003,$Z179-0)),IF($Z179&lt;=4000,"个",IF($Z179&lt;=5200,"个",IF($Z179&lt;=5800,"个","")))))</f>
        <v/>
      </c>
      <c r="J179" s="30" t="str">
        <f t="shared" si="7"/>
        <v/>
      </c>
      <c r="K179" s="30" t="str">
        <f>IF($Z179="","",IF($Z179&lt;=2000,IF(INDEX(包装物料出入库明细!$N$4:$N$2003,$Z179-0)=0,"",INDEX(包装物料出入库明细!$N$4:$N$2003,$Z179-0)),IF($Z179&lt;=4000,IF(INDEX(周转筐出入库明细!$P$4:$P$2004,$Z179-2000)=0,"",INDEX(周转筐出入库明细!$P$4:$P$2004,$Z179-2000)),IF($Z179&lt;=5200,"",IF($Z179&lt;=5800,N(INDEX(次果筐明细!$L$4:$L$603,$Z179-5200))+N(INDEX(次果筐明细!$J$4:$J$603,$Z179-5200)),"")))))</f>
        <v/>
      </c>
      <c r="L179" s="24" t="str">
        <f>IF($Z179="","",IF($Z179&lt;=2000,IF(INDEX(包装物料出入库明细!$P$4:$P$2003,$Z179-0)=0,"",INDEX(包装物料出入库明细!$P$4:$P$2003,$Z179-0)),IF($Z179&lt;=4000,IF(INDEX(周转筐出入库明细!$Q$4:$Q$2004,$Z179-2000)=0,"",INDEX(周转筐出入库明细!$Q$4:$Q$2004,$Z179-2000)),IF($Z179&lt;=5200,"",IF($Z179&lt;=5800,IF(INDEX(次果筐明细!$M$4:$M$603,$Z179-5200)=0,"",INDEX(次果筐明细!$M$4:$M$603,$Z179-5200)),"")))))</f>
        <v/>
      </c>
      <c r="M179" s="37" t="str">
        <f>IF($Z179="","",IF($Z179&lt;=2000,IF(INDEX(包装物料出入库明细!$R$4:$R$2003,$Z179-0)=0,"",INDEX(包装物料出入库明细!$R$4:$R$2003,$Z179-0)),IF($Z179&lt;=4000,IF(INDEX(周转筐出入库明细!$W$4:$W$2004,$Z179-2000)=0,"",INDEX(周转筐出入库明细!$W$4:$W$2004,$Z179-2000)),IF($Z179&lt;=5200,IF(INDEX(客户自备加工筐明细!$L$4:$L$1203,$Z179-4000)=0,"",INDEX(客户自备加工筐明细!$L$4:$L$1203,$Z179-4000)),IF($Z179&lt;=5800,IF(INDEX(次果筐明细!$P$4:$P$603,$Z179-5200)=0,"",INDEX(次果筐明细!$P$4:$P$603,$Z179-5200)),"")))))</f>
        <v/>
      </c>
      <c r="N179" s="16" t="str">
        <f>IF($Z179="","",IF($Z179&lt;=2000,"",IF($Z179&lt;=4000,IF(INDEX(周转筐出入库明细!$D$4:$D$2004,$Z179-2000)=0,"",INDEX(周转筐出入库明细!$D$4:$D$2004,$Z179-2000)),IF($Z179&lt;=5200,IF(INDEX(客户自备加工筐明细!$C$4:$C$1203,$Z179-4000)=0,"",INDEX(客户自备加工筐明细!$C$4:$C$1203,$Z179-4000)),IF($Z179&lt;=5800,IF(INDEX(次果筐明细!$D$4:$D$603,$Z179-5200)=0,"",INDEX(次果筐明细!$D$4:$D$603,$Z179-5200)),"")))))</f>
        <v/>
      </c>
      <c r="O179" s="40" t="str">
        <f>IF($Z179="","",IF($Z179&lt;=2000,"",IF($Z179&lt;=4000,IF(N(INDEX(周转筐出入库明细!$J$4:$J$2004,$Z179-2000))+N(INDEX(周转筐出入库明细!$K$4:$K$2004,$Z179-2000))=0,"",N(INDEX(周转筐出入库明细!$J$4:$J$2004,$Z179-2000))+N(INDEX(周转筐出入库明细!$K$4:$K$2004,$Z179-2000))),IF($Z179&lt;=5200,IF(N(INDEX(客户自备加工筐明细!$G$4:$G$1203,$Z179-4000))=0,"",N(INDEX(客户自备加工筐明细!$G$4:$G$1203,$Z179-4000))),IF($Z179&lt;=5800,IF(ISNUMBER(SEARCH("退",INDEX(次果筐明细!$F$4:$F$603,$Z179-5200)&amp;"")),"",IF(N(INDEX(次果筐明细!$G$4:$G$603,$Z179-5200))=0,"",N(INDEX(次果筐明细!$G$4:$G$603,$Z179-5200)))),"")))))</f>
        <v/>
      </c>
      <c r="P179" s="40" t="str">
        <f>IF($Z179="","",IF($Z179&lt;=2000,"",IF($Z179&lt;=4000,IF(N(INDEX(周转筐出入库明细!$I$4:$I$2004,$Z179-2000))=0,"",N(INDEX(周转筐出入库明细!$I$4:$I$2004,$Z179-2000))),IF($Z179&lt;=5200,"",IF($Z179&lt;=5800,IF(ISNUMBER(SEARCH("退",INDEX(次果筐明细!$F$4:$F$603,$Z179-5200)&amp;"")),IF(N(INDEX(次果筐明细!$G$4:$G$603,$Z179-5200))=0,"",N(INDEX(次果筐明细!$G$4:$G$603,$Z179-5200))),""),"")))))</f>
        <v/>
      </c>
      <c r="Q179" s="40" t="str">
        <f>IF($Z179="","",IF($Z179&lt;=2000,"",IF($Z179&lt;=4000,IF(N(INDEX(周转筐出入库明细!$H$4:$H$2004,$Z179-2000))=0,"",N(INDEX(周转筐出入库明细!$H$4:$H$2004,$Z179-2000))),IF($Z179&lt;=5200,IF(N(INDEX(客户自备加工筐明细!$F$4:$F$1203,$Z179-4000))=0,"",N(INDEX(客户自备加工筐明细!$F$4:$F$1203,$Z179-4000))),IF($Z179&lt;=5800,"","")))))</f>
        <v/>
      </c>
      <c r="R179" s="16" t="str">
        <f>IF($Z179="","",IF($Z179&lt;=2000,IF(INDEX(包装物料出入库明细!$O$4:$O$2003,$Z179-0)=0,"",INDEX(包装物料出入库明细!$O$4:$O$2003,$Z179-0)),IF($Z179&lt;=4000,IF(INDEX(周转筐出入库明细!$M$4:$M$2004,$Z179-2000)=0,"",INDEX(周转筐出入库明细!$M$4:$M$2004,$Z179-2000)),IF($Z179&lt;=5200,IF(INDEX(客户自备加工筐明细!$H$4:$H$1203,$Z179-4000)=0,"",INDEX(客户自备加工筐明细!$H$4:$H$1203,$Z179-4000)),IF($Z179&lt;=5800,IF(INDEX(次果筐明细!$H$4:$H$603,$Z179-5200)=0,"",INDEX(次果筐明细!$H$4:$H$603,$Z179-5200)),"")))))</f>
        <v/>
      </c>
      <c r="S179" s="22" t="str">
        <f t="shared" si="8"/>
        <v/>
      </c>
      <c r="Z179" s="10" t="str">
        <f>IFERROR(MATCH(ROW()-3,_自动清单!$CQ$4:$CQ$5803,0),"")</f>
        <v/>
      </c>
    </row>
    <row r="180" spans="1:26">
      <c r="A180" s="24" t="str">
        <f t="shared" si="6"/>
        <v/>
      </c>
      <c r="B180" s="38" t="str">
        <f>IF($Z180="","",IF($Z180&lt;=2000,IF(INDEX(包装物料出入库明细!$B$4:$B$2003,$Z180-0)=0,"",INDEX(包装物料出入库明细!$B$4:$B$2003,$Z180-0)),IF($Z180&lt;=4000,IF(INDEX(周转筐出入库明细!$B$4:$B$2004,$Z180-2000)=0,"",INDEX(周转筐出入库明细!$B$4:$B$2004,$Z180-2000)),IF($Z180&lt;=5200,IF(INDEX(客户自备加工筐明细!$B$4:$B$1203,$Z180-4000)=0,"",INDEX(客户自备加工筐明细!$B$4:$B$1203,$Z180-4000)),IF($Z180&lt;=5800,IF(INDEX(次果筐明细!$B$4:$B$603,$Z180-5200)=0,"",INDEX(次果筐明细!$B$4:$B$603,$Z180-5200)),"")))))</f>
        <v/>
      </c>
      <c r="C180" s="37" t="str">
        <f>IF($Z180="","",IF($Z180&lt;=2000,IF(INDEX(包装物料出入库明细!$D$4:$D$2003,$Z180-0)=0,"",INDEX(包装物料出入库明细!$D$4:$D$2003,$Z180-0)),IF($Z180&lt;=4000,IF(INDEX(周转筐出入库明细!$C$4:$C$2004,$Z180-2000)=0,"",INDEX(周转筐出入库明细!$C$4:$C$2004,$Z180-2000)),IF($Z180&lt;=5200,IF(INDEX(客户自备加工筐明细!$E$4:$E$1203,$Z180-4000)=0,"",INDEX(客户自备加工筐明细!$E$4:$E$1203,$Z180-4000)),IF($Z180&lt;=5800,IF(INDEX(次果筐明细!$C$4:$C$603,$Z180-5200)=0,"",INDEX(次果筐明细!$C$4:$C$603,$Z180-5200)),"")))))</f>
        <v/>
      </c>
      <c r="D180" s="37" t="str">
        <f>IF($Z180="","",IF($Z180&lt;=2000,"包装物料－"&amp;INDEX(包装物料出入库明细!$H$4:$H$2003,$Z180-0),IF($Z180&lt;=4000,"周转筐－"&amp;INDEX(周转筐出入库明细!$F$4:$F$2004,$Z180-2000),IF($Z180&lt;=5200,"客户自备筐－"&amp;INDEX(客户自备加工筐明细!$J$4:$J$1203,$Z180-4000),IF($Z180&lt;=5800,"次果筐/托盘－"&amp;INDEX(次果筐明细!$F$4:$F$603,$Z180-5200),"")))))</f>
        <v/>
      </c>
      <c r="E180" s="24" t="str">
        <f>IF($Z180="","",IF($Z180&lt;=2000,IF(INDEX(包装物料出入库明细!$C$4:$C$2003,$Z180-0)=0,"",INDEX(包装物料出入库明细!$C$4:$C$2003,$Z180-0)),IF($Z180&lt;=4000,IF(INDEX(周转筐出入库明细!$E$4:$E$2004,$Z180-2000)=0,"",INDEX(周转筐出入库明细!$E$4:$E$2004,$Z180-2000)),IF($Z180&lt;=5200,IF(INDEX(客户自备加工筐明细!$D$4:$D$1203,$Z180-4000)=0,"",INDEX(客户自备加工筐明细!$D$4:$D$1203,$Z180-4000)),IF($Z180&lt;=5800,IF(INDEX(次果筐明细!$E$4:$E$603,$Z180-5200)=0,"",INDEX(次果筐明细!$E$4:$E$603,$Z180-5200)),"")))))</f>
        <v/>
      </c>
      <c r="F180" s="24" t="str">
        <f>IF($Z180="","",IF($Z180&lt;=2000,IF(INDEX(包装物料出入库明细!$E$4:$E$2003,$Z180-0)=0,"",INDEX(包装物料出入库明细!$E$4:$E$2003,$Z180-0)),IF($Z180&lt;=4000,IF(INDEX(周转筐出入库明细!$D$4:$D$2004,$Z180-2000)=0,"",INDEX(周转筐出入库明细!$D$4:$D$2004,$Z180-2000)),IF($Z180&lt;=5200,IF(INDEX(客户自备加工筐明细!$C$4:$C$1203,$Z180-4000)=0,"",INDEX(客户自备加工筐明细!$C$4:$C$1203,$Z180-4000)),IF($Z180&lt;=5800,IF(INDEX(次果筐明细!$D$4:$D$603,$Z180-5200)=0,"",INDEX(次果筐明细!$D$4:$D$603,$Z180-5200)),"")))))</f>
        <v/>
      </c>
      <c r="G180" s="24" t="str">
        <f>IF($Z180="","",IF($Z180&lt;=2000,IF(INDEX(包装物料出入库明细!$F$4:$F$2003,$Z180-0)=0,"",INDEX(包装物料出入库明细!$F$4:$F$2003,$Z180-0)),IF($Z180&lt;=4000,"",IF($Z180&lt;=5200,"",IF($Z180&lt;=5800,"","")))))</f>
        <v/>
      </c>
      <c r="H180" s="39" t="str">
        <f>IF($Z180="","",IF($Z180&lt;=2000,IF(INDEX(包装物料出入库明细!$L$4:$L$2003,$Z180-0)=0,"",INDEX(包装物料出入库明细!$L$4:$L$2003,$Z180-0)),IF($Z180&lt;=4000,N(INDEX(周转筐出入库明细!$H$4:$H$2004,$Z180-2000))+N(INDEX(周转筐出入库明细!$I$4:$I$2004,$Z180-2000))+N(INDEX(周转筐出入库明细!$J$4:$J$2004,$Z180-2000))+N(INDEX(周转筐出入库明细!$K$4:$K$2004,$Z180-2000)),IF($Z180&lt;=5200,N(INDEX(客户自备加工筐明细!$F$4:$F$1203,$Z180-4000))+N(INDEX(客户自备加工筐明细!$G$4:$G$1203,$Z180-4000)),IF($Z180&lt;=5800,IF(INDEX(次果筐明细!$G$4:$G$603,$Z180-5200)=0,"",INDEX(次果筐明细!$G$4:$G$603,$Z180-5200)),"")))))</f>
        <v/>
      </c>
      <c r="I180" s="24" t="str">
        <f>IF($Z180="","",IF($Z180&lt;=2000,IF(INDEX(包装物料出入库明细!$G$4:$G$2003,$Z180-0)=0,"",INDEX(包装物料出入库明细!$G$4:$G$2003,$Z180-0)),IF($Z180&lt;=4000,"个",IF($Z180&lt;=5200,"个",IF($Z180&lt;=5800,"个","")))))</f>
        <v/>
      </c>
      <c r="J180" s="30" t="str">
        <f t="shared" si="7"/>
        <v/>
      </c>
      <c r="K180" s="30" t="str">
        <f>IF($Z180="","",IF($Z180&lt;=2000,IF(INDEX(包装物料出入库明细!$N$4:$N$2003,$Z180-0)=0,"",INDEX(包装物料出入库明细!$N$4:$N$2003,$Z180-0)),IF($Z180&lt;=4000,IF(INDEX(周转筐出入库明细!$P$4:$P$2004,$Z180-2000)=0,"",INDEX(周转筐出入库明细!$P$4:$P$2004,$Z180-2000)),IF($Z180&lt;=5200,"",IF($Z180&lt;=5800,N(INDEX(次果筐明细!$L$4:$L$603,$Z180-5200))+N(INDEX(次果筐明细!$J$4:$J$603,$Z180-5200)),"")))))</f>
        <v/>
      </c>
      <c r="L180" s="24" t="str">
        <f>IF($Z180="","",IF($Z180&lt;=2000,IF(INDEX(包装物料出入库明细!$P$4:$P$2003,$Z180-0)=0,"",INDEX(包装物料出入库明细!$P$4:$P$2003,$Z180-0)),IF($Z180&lt;=4000,IF(INDEX(周转筐出入库明细!$Q$4:$Q$2004,$Z180-2000)=0,"",INDEX(周转筐出入库明细!$Q$4:$Q$2004,$Z180-2000)),IF($Z180&lt;=5200,"",IF($Z180&lt;=5800,IF(INDEX(次果筐明细!$M$4:$M$603,$Z180-5200)=0,"",INDEX(次果筐明细!$M$4:$M$603,$Z180-5200)),"")))))</f>
        <v/>
      </c>
      <c r="M180" s="37" t="str">
        <f>IF($Z180="","",IF($Z180&lt;=2000,IF(INDEX(包装物料出入库明细!$R$4:$R$2003,$Z180-0)=0,"",INDEX(包装物料出入库明细!$R$4:$R$2003,$Z180-0)),IF($Z180&lt;=4000,IF(INDEX(周转筐出入库明细!$W$4:$W$2004,$Z180-2000)=0,"",INDEX(周转筐出入库明细!$W$4:$W$2004,$Z180-2000)),IF($Z180&lt;=5200,IF(INDEX(客户自备加工筐明细!$L$4:$L$1203,$Z180-4000)=0,"",INDEX(客户自备加工筐明细!$L$4:$L$1203,$Z180-4000)),IF($Z180&lt;=5800,IF(INDEX(次果筐明细!$P$4:$P$603,$Z180-5200)=0,"",INDEX(次果筐明细!$P$4:$P$603,$Z180-5200)),"")))))</f>
        <v/>
      </c>
      <c r="N180" s="16" t="str">
        <f>IF($Z180="","",IF($Z180&lt;=2000,"",IF($Z180&lt;=4000,IF(INDEX(周转筐出入库明细!$D$4:$D$2004,$Z180-2000)=0,"",INDEX(周转筐出入库明细!$D$4:$D$2004,$Z180-2000)),IF($Z180&lt;=5200,IF(INDEX(客户自备加工筐明细!$C$4:$C$1203,$Z180-4000)=0,"",INDEX(客户自备加工筐明细!$C$4:$C$1203,$Z180-4000)),IF($Z180&lt;=5800,IF(INDEX(次果筐明细!$D$4:$D$603,$Z180-5200)=0,"",INDEX(次果筐明细!$D$4:$D$603,$Z180-5200)),"")))))</f>
        <v/>
      </c>
      <c r="O180" s="40" t="str">
        <f>IF($Z180="","",IF($Z180&lt;=2000,"",IF($Z180&lt;=4000,IF(N(INDEX(周转筐出入库明细!$J$4:$J$2004,$Z180-2000))+N(INDEX(周转筐出入库明细!$K$4:$K$2004,$Z180-2000))=0,"",N(INDEX(周转筐出入库明细!$J$4:$J$2004,$Z180-2000))+N(INDEX(周转筐出入库明细!$K$4:$K$2004,$Z180-2000))),IF($Z180&lt;=5200,IF(N(INDEX(客户自备加工筐明细!$G$4:$G$1203,$Z180-4000))=0,"",N(INDEX(客户自备加工筐明细!$G$4:$G$1203,$Z180-4000))),IF($Z180&lt;=5800,IF(ISNUMBER(SEARCH("退",INDEX(次果筐明细!$F$4:$F$603,$Z180-5200)&amp;"")),"",IF(N(INDEX(次果筐明细!$G$4:$G$603,$Z180-5200))=0,"",N(INDEX(次果筐明细!$G$4:$G$603,$Z180-5200)))),"")))))</f>
        <v/>
      </c>
      <c r="P180" s="40" t="str">
        <f>IF($Z180="","",IF($Z180&lt;=2000,"",IF($Z180&lt;=4000,IF(N(INDEX(周转筐出入库明细!$I$4:$I$2004,$Z180-2000))=0,"",N(INDEX(周转筐出入库明细!$I$4:$I$2004,$Z180-2000))),IF($Z180&lt;=5200,"",IF($Z180&lt;=5800,IF(ISNUMBER(SEARCH("退",INDEX(次果筐明细!$F$4:$F$603,$Z180-5200)&amp;"")),IF(N(INDEX(次果筐明细!$G$4:$G$603,$Z180-5200))=0,"",N(INDEX(次果筐明细!$G$4:$G$603,$Z180-5200))),""),"")))))</f>
        <v/>
      </c>
      <c r="Q180" s="40" t="str">
        <f>IF($Z180="","",IF($Z180&lt;=2000,"",IF($Z180&lt;=4000,IF(N(INDEX(周转筐出入库明细!$H$4:$H$2004,$Z180-2000))=0,"",N(INDEX(周转筐出入库明细!$H$4:$H$2004,$Z180-2000))),IF($Z180&lt;=5200,IF(N(INDEX(客户自备加工筐明细!$F$4:$F$1203,$Z180-4000))=0,"",N(INDEX(客户自备加工筐明细!$F$4:$F$1203,$Z180-4000))),IF($Z180&lt;=5800,"","")))))</f>
        <v/>
      </c>
      <c r="R180" s="16" t="str">
        <f>IF($Z180="","",IF($Z180&lt;=2000,IF(INDEX(包装物料出入库明细!$O$4:$O$2003,$Z180-0)=0,"",INDEX(包装物料出入库明细!$O$4:$O$2003,$Z180-0)),IF($Z180&lt;=4000,IF(INDEX(周转筐出入库明细!$M$4:$M$2004,$Z180-2000)=0,"",INDEX(周转筐出入库明细!$M$4:$M$2004,$Z180-2000)),IF($Z180&lt;=5200,IF(INDEX(客户自备加工筐明细!$H$4:$H$1203,$Z180-4000)=0,"",INDEX(客户自备加工筐明细!$H$4:$H$1203,$Z180-4000)),IF($Z180&lt;=5800,IF(INDEX(次果筐明细!$H$4:$H$603,$Z180-5200)=0,"",INDEX(次果筐明细!$H$4:$H$603,$Z180-5200)),"")))))</f>
        <v/>
      </c>
      <c r="S180" s="22" t="str">
        <f t="shared" si="8"/>
        <v/>
      </c>
      <c r="Z180" s="10" t="str">
        <f>IFERROR(MATCH(ROW()-3,_自动清单!$CQ$4:$CQ$5803,0),"")</f>
        <v/>
      </c>
    </row>
    <row r="181" spans="1:26">
      <c r="A181" s="24" t="str">
        <f t="shared" si="6"/>
        <v/>
      </c>
      <c r="B181" s="38" t="str">
        <f>IF($Z181="","",IF($Z181&lt;=2000,IF(INDEX(包装物料出入库明细!$B$4:$B$2003,$Z181-0)=0,"",INDEX(包装物料出入库明细!$B$4:$B$2003,$Z181-0)),IF($Z181&lt;=4000,IF(INDEX(周转筐出入库明细!$B$4:$B$2004,$Z181-2000)=0,"",INDEX(周转筐出入库明细!$B$4:$B$2004,$Z181-2000)),IF($Z181&lt;=5200,IF(INDEX(客户自备加工筐明细!$B$4:$B$1203,$Z181-4000)=0,"",INDEX(客户自备加工筐明细!$B$4:$B$1203,$Z181-4000)),IF($Z181&lt;=5800,IF(INDEX(次果筐明细!$B$4:$B$603,$Z181-5200)=0,"",INDEX(次果筐明细!$B$4:$B$603,$Z181-5200)),"")))))</f>
        <v/>
      </c>
      <c r="C181" s="37" t="str">
        <f>IF($Z181="","",IF($Z181&lt;=2000,IF(INDEX(包装物料出入库明细!$D$4:$D$2003,$Z181-0)=0,"",INDEX(包装物料出入库明细!$D$4:$D$2003,$Z181-0)),IF($Z181&lt;=4000,IF(INDEX(周转筐出入库明细!$C$4:$C$2004,$Z181-2000)=0,"",INDEX(周转筐出入库明细!$C$4:$C$2004,$Z181-2000)),IF($Z181&lt;=5200,IF(INDEX(客户自备加工筐明细!$E$4:$E$1203,$Z181-4000)=0,"",INDEX(客户自备加工筐明细!$E$4:$E$1203,$Z181-4000)),IF($Z181&lt;=5800,IF(INDEX(次果筐明细!$C$4:$C$603,$Z181-5200)=0,"",INDEX(次果筐明细!$C$4:$C$603,$Z181-5200)),"")))))</f>
        <v/>
      </c>
      <c r="D181" s="37" t="str">
        <f>IF($Z181="","",IF($Z181&lt;=2000,"包装物料－"&amp;INDEX(包装物料出入库明细!$H$4:$H$2003,$Z181-0),IF($Z181&lt;=4000,"周转筐－"&amp;INDEX(周转筐出入库明细!$F$4:$F$2004,$Z181-2000),IF($Z181&lt;=5200,"客户自备筐－"&amp;INDEX(客户自备加工筐明细!$J$4:$J$1203,$Z181-4000),IF($Z181&lt;=5800,"次果筐/托盘－"&amp;INDEX(次果筐明细!$F$4:$F$603,$Z181-5200),"")))))</f>
        <v/>
      </c>
      <c r="E181" s="24" t="str">
        <f>IF($Z181="","",IF($Z181&lt;=2000,IF(INDEX(包装物料出入库明细!$C$4:$C$2003,$Z181-0)=0,"",INDEX(包装物料出入库明细!$C$4:$C$2003,$Z181-0)),IF($Z181&lt;=4000,IF(INDEX(周转筐出入库明细!$E$4:$E$2004,$Z181-2000)=0,"",INDEX(周转筐出入库明细!$E$4:$E$2004,$Z181-2000)),IF($Z181&lt;=5200,IF(INDEX(客户自备加工筐明细!$D$4:$D$1203,$Z181-4000)=0,"",INDEX(客户自备加工筐明细!$D$4:$D$1203,$Z181-4000)),IF($Z181&lt;=5800,IF(INDEX(次果筐明细!$E$4:$E$603,$Z181-5200)=0,"",INDEX(次果筐明细!$E$4:$E$603,$Z181-5200)),"")))))</f>
        <v/>
      </c>
      <c r="F181" s="24" t="str">
        <f>IF($Z181="","",IF($Z181&lt;=2000,IF(INDEX(包装物料出入库明细!$E$4:$E$2003,$Z181-0)=0,"",INDEX(包装物料出入库明细!$E$4:$E$2003,$Z181-0)),IF($Z181&lt;=4000,IF(INDEX(周转筐出入库明细!$D$4:$D$2004,$Z181-2000)=0,"",INDEX(周转筐出入库明细!$D$4:$D$2004,$Z181-2000)),IF($Z181&lt;=5200,IF(INDEX(客户自备加工筐明细!$C$4:$C$1203,$Z181-4000)=0,"",INDEX(客户自备加工筐明细!$C$4:$C$1203,$Z181-4000)),IF($Z181&lt;=5800,IF(INDEX(次果筐明细!$D$4:$D$603,$Z181-5200)=0,"",INDEX(次果筐明细!$D$4:$D$603,$Z181-5200)),"")))))</f>
        <v/>
      </c>
      <c r="G181" s="24" t="str">
        <f>IF($Z181="","",IF($Z181&lt;=2000,IF(INDEX(包装物料出入库明细!$F$4:$F$2003,$Z181-0)=0,"",INDEX(包装物料出入库明细!$F$4:$F$2003,$Z181-0)),IF($Z181&lt;=4000,"",IF($Z181&lt;=5200,"",IF($Z181&lt;=5800,"","")))))</f>
        <v/>
      </c>
      <c r="H181" s="39" t="str">
        <f>IF($Z181="","",IF($Z181&lt;=2000,IF(INDEX(包装物料出入库明细!$L$4:$L$2003,$Z181-0)=0,"",INDEX(包装物料出入库明细!$L$4:$L$2003,$Z181-0)),IF($Z181&lt;=4000,N(INDEX(周转筐出入库明细!$H$4:$H$2004,$Z181-2000))+N(INDEX(周转筐出入库明细!$I$4:$I$2004,$Z181-2000))+N(INDEX(周转筐出入库明细!$J$4:$J$2004,$Z181-2000))+N(INDEX(周转筐出入库明细!$K$4:$K$2004,$Z181-2000)),IF($Z181&lt;=5200,N(INDEX(客户自备加工筐明细!$F$4:$F$1203,$Z181-4000))+N(INDEX(客户自备加工筐明细!$G$4:$G$1203,$Z181-4000)),IF($Z181&lt;=5800,IF(INDEX(次果筐明细!$G$4:$G$603,$Z181-5200)=0,"",INDEX(次果筐明细!$G$4:$G$603,$Z181-5200)),"")))))</f>
        <v/>
      </c>
      <c r="I181" s="24" t="str">
        <f>IF($Z181="","",IF($Z181&lt;=2000,IF(INDEX(包装物料出入库明细!$G$4:$G$2003,$Z181-0)=0,"",INDEX(包装物料出入库明细!$G$4:$G$2003,$Z181-0)),IF($Z181&lt;=4000,"个",IF($Z181&lt;=5200,"个",IF($Z181&lt;=5800,"个","")))))</f>
        <v/>
      </c>
      <c r="J181" s="30" t="str">
        <f t="shared" si="7"/>
        <v/>
      </c>
      <c r="K181" s="30" t="str">
        <f>IF($Z181="","",IF($Z181&lt;=2000,IF(INDEX(包装物料出入库明细!$N$4:$N$2003,$Z181-0)=0,"",INDEX(包装物料出入库明细!$N$4:$N$2003,$Z181-0)),IF($Z181&lt;=4000,IF(INDEX(周转筐出入库明细!$P$4:$P$2004,$Z181-2000)=0,"",INDEX(周转筐出入库明细!$P$4:$P$2004,$Z181-2000)),IF($Z181&lt;=5200,"",IF($Z181&lt;=5800,N(INDEX(次果筐明细!$L$4:$L$603,$Z181-5200))+N(INDEX(次果筐明细!$J$4:$J$603,$Z181-5200)),"")))))</f>
        <v/>
      </c>
      <c r="L181" s="24" t="str">
        <f>IF($Z181="","",IF($Z181&lt;=2000,IF(INDEX(包装物料出入库明细!$P$4:$P$2003,$Z181-0)=0,"",INDEX(包装物料出入库明细!$P$4:$P$2003,$Z181-0)),IF($Z181&lt;=4000,IF(INDEX(周转筐出入库明细!$Q$4:$Q$2004,$Z181-2000)=0,"",INDEX(周转筐出入库明细!$Q$4:$Q$2004,$Z181-2000)),IF($Z181&lt;=5200,"",IF($Z181&lt;=5800,IF(INDEX(次果筐明细!$M$4:$M$603,$Z181-5200)=0,"",INDEX(次果筐明细!$M$4:$M$603,$Z181-5200)),"")))))</f>
        <v/>
      </c>
      <c r="M181" s="37" t="str">
        <f>IF($Z181="","",IF($Z181&lt;=2000,IF(INDEX(包装物料出入库明细!$R$4:$R$2003,$Z181-0)=0,"",INDEX(包装物料出入库明细!$R$4:$R$2003,$Z181-0)),IF($Z181&lt;=4000,IF(INDEX(周转筐出入库明细!$W$4:$W$2004,$Z181-2000)=0,"",INDEX(周转筐出入库明细!$W$4:$W$2004,$Z181-2000)),IF($Z181&lt;=5200,IF(INDEX(客户自备加工筐明细!$L$4:$L$1203,$Z181-4000)=0,"",INDEX(客户自备加工筐明细!$L$4:$L$1203,$Z181-4000)),IF($Z181&lt;=5800,IF(INDEX(次果筐明细!$P$4:$P$603,$Z181-5200)=0,"",INDEX(次果筐明细!$P$4:$P$603,$Z181-5200)),"")))))</f>
        <v/>
      </c>
      <c r="N181" s="16" t="str">
        <f>IF($Z181="","",IF($Z181&lt;=2000,"",IF($Z181&lt;=4000,IF(INDEX(周转筐出入库明细!$D$4:$D$2004,$Z181-2000)=0,"",INDEX(周转筐出入库明细!$D$4:$D$2004,$Z181-2000)),IF($Z181&lt;=5200,IF(INDEX(客户自备加工筐明细!$C$4:$C$1203,$Z181-4000)=0,"",INDEX(客户自备加工筐明细!$C$4:$C$1203,$Z181-4000)),IF($Z181&lt;=5800,IF(INDEX(次果筐明细!$D$4:$D$603,$Z181-5200)=0,"",INDEX(次果筐明细!$D$4:$D$603,$Z181-5200)),"")))))</f>
        <v/>
      </c>
      <c r="O181" s="40" t="str">
        <f>IF($Z181="","",IF($Z181&lt;=2000,"",IF($Z181&lt;=4000,IF(N(INDEX(周转筐出入库明细!$J$4:$J$2004,$Z181-2000))+N(INDEX(周转筐出入库明细!$K$4:$K$2004,$Z181-2000))=0,"",N(INDEX(周转筐出入库明细!$J$4:$J$2004,$Z181-2000))+N(INDEX(周转筐出入库明细!$K$4:$K$2004,$Z181-2000))),IF($Z181&lt;=5200,IF(N(INDEX(客户自备加工筐明细!$G$4:$G$1203,$Z181-4000))=0,"",N(INDEX(客户自备加工筐明细!$G$4:$G$1203,$Z181-4000))),IF($Z181&lt;=5800,IF(ISNUMBER(SEARCH("退",INDEX(次果筐明细!$F$4:$F$603,$Z181-5200)&amp;"")),"",IF(N(INDEX(次果筐明细!$G$4:$G$603,$Z181-5200))=0,"",N(INDEX(次果筐明细!$G$4:$G$603,$Z181-5200)))),"")))))</f>
        <v/>
      </c>
      <c r="P181" s="40" t="str">
        <f>IF($Z181="","",IF($Z181&lt;=2000,"",IF($Z181&lt;=4000,IF(N(INDEX(周转筐出入库明细!$I$4:$I$2004,$Z181-2000))=0,"",N(INDEX(周转筐出入库明细!$I$4:$I$2004,$Z181-2000))),IF($Z181&lt;=5200,"",IF($Z181&lt;=5800,IF(ISNUMBER(SEARCH("退",INDEX(次果筐明细!$F$4:$F$603,$Z181-5200)&amp;"")),IF(N(INDEX(次果筐明细!$G$4:$G$603,$Z181-5200))=0,"",N(INDEX(次果筐明细!$G$4:$G$603,$Z181-5200))),""),"")))))</f>
        <v/>
      </c>
      <c r="Q181" s="40" t="str">
        <f>IF($Z181="","",IF($Z181&lt;=2000,"",IF($Z181&lt;=4000,IF(N(INDEX(周转筐出入库明细!$H$4:$H$2004,$Z181-2000))=0,"",N(INDEX(周转筐出入库明细!$H$4:$H$2004,$Z181-2000))),IF($Z181&lt;=5200,IF(N(INDEX(客户自备加工筐明细!$F$4:$F$1203,$Z181-4000))=0,"",N(INDEX(客户自备加工筐明细!$F$4:$F$1203,$Z181-4000))),IF($Z181&lt;=5800,"","")))))</f>
        <v/>
      </c>
      <c r="R181" s="16" t="str">
        <f>IF($Z181="","",IF($Z181&lt;=2000,IF(INDEX(包装物料出入库明细!$O$4:$O$2003,$Z181-0)=0,"",INDEX(包装物料出入库明细!$O$4:$O$2003,$Z181-0)),IF($Z181&lt;=4000,IF(INDEX(周转筐出入库明细!$M$4:$M$2004,$Z181-2000)=0,"",INDEX(周转筐出入库明细!$M$4:$M$2004,$Z181-2000)),IF($Z181&lt;=5200,IF(INDEX(客户自备加工筐明细!$H$4:$H$1203,$Z181-4000)=0,"",INDEX(客户自备加工筐明细!$H$4:$H$1203,$Z181-4000)),IF($Z181&lt;=5800,IF(INDEX(次果筐明细!$H$4:$H$603,$Z181-5200)=0,"",INDEX(次果筐明细!$H$4:$H$603,$Z181-5200)),"")))))</f>
        <v/>
      </c>
      <c r="S181" s="22" t="str">
        <f t="shared" si="8"/>
        <v/>
      </c>
      <c r="Z181" s="10" t="str">
        <f>IFERROR(MATCH(ROW()-3,_自动清单!$CQ$4:$CQ$5803,0),"")</f>
        <v/>
      </c>
    </row>
    <row r="182" spans="1:26">
      <c r="A182" s="24" t="str">
        <f t="shared" si="6"/>
        <v/>
      </c>
      <c r="B182" s="38" t="str">
        <f>IF($Z182="","",IF($Z182&lt;=2000,IF(INDEX(包装物料出入库明细!$B$4:$B$2003,$Z182-0)=0,"",INDEX(包装物料出入库明细!$B$4:$B$2003,$Z182-0)),IF($Z182&lt;=4000,IF(INDEX(周转筐出入库明细!$B$4:$B$2004,$Z182-2000)=0,"",INDEX(周转筐出入库明细!$B$4:$B$2004,$Z182-2000)),IF($Z182&lt;=5200,IF(INDEX(客户自备加工筐明细!$B$4:$B$1203,$Z182-4000)=0,"",INDEX(客户自备加工筐明细!$B$4:$B$1203,$Z182-4000)),IF($Z182&lt;=5800,IF(INDEX(次果筐明细!$B$4:$B$603,$Z182-5200)=0,"",INDEX(次果筐明细!$B$4:$B$603,$Z182-5200)),"")))))</f>
        <v/>
      </c>
      <c r="C182" s="37" t="str">
        <f>IF($Z182="","",IF($Z182&lt;=2000,IF(INDEX(包装物料出入库明细!$D$4:$D$2003,$Z182-0)=0,"",INDEX(包装物料出入库明细!$D$4:$D$2003,$Z182-0)),IF($Z182&lt;=4000,IF(INDEX(周转筐出入库明细!$C$4:$C$2004,$Z182-2000)=0,"",INDEX(周转筐出入库明细!$C$4:$C$2004,$Z182-2000)),IF($Z182&lt;=5200,IF(INDEX(客户自备加工筐明细!$E$4:$E$1203,$Z182-4000)=0,"",INDEX(客户自备加工筐明细!$E$4:$E$1203,$Z182-4000)),IF($Z182&lt;=5800,IF(INDEX(次果筐明细!$C$4:$C$603,$Z182-5200)=0,"",INDEX(次果筐明细!$C$4:$C$603,$Z182-5200)),"")))))</f>
        <v/>
      </c>
      <c r="D182" s="37" t="str">
        <f>IF($Z182="","",IF($Z182&lt;=2000,"包装物料－"&amp;INDEX(包装物料出入库明细!$H$4:$H$2003,$Z182-0),IF($Z182&lt;=4000,"周转筐－"&amp;INDEX(周转筐出入库明细!$F$4:$F$2004,$Z182-2000),IF($Z182&lt;=5200,"客户自备筐－"&amp;INDEX(客户自备加工筐明细!$J$4:$J$1203,$Z182-4000),IF($Z182&lt;=5800,"次果筐/托盘－"&amp;INDEX(次果筐明细!$F$4:$F$603,$Z182-5200),"")))))</f>
        <v/>
      </c>
      <c r="E182" s="24" t="str">
        <f>IF($Z182="","",IF($Z182&lt;=2000,IF(INDEX(包装物料出入库明细!$C$4:$C$2003,$Z182-0)=0,"",INDEX(包装物料出入库明细!$C$4:$C$2003,$Z182-0)),IF($Z182&lt;=4000,IF(INDEX(周转筐出入库明细!$E$4:$E$2004,$Z182-2000)=0,"",INDEX(周转筐出入库明细!$E$4:$E$2004,$Z182-2000)),IF($Z182&lt;=5200,IF(INDEX(客户自备加工筐明细!$D$4:$D$1203,$Z182-4000)=0,"",INDEX(客户自备加工筐明细!$D$4:$D$1203,$Z182-4000)),IF($Z182&lt;=5800,IF(INDEX(次果筐明细!$E$4:$E$603,$Z182-5200)=0,"",INDEX(次果筐明细!$E$4:$E$603,$Z182-5200)),"")))))</f>
        <v/>
      </c>
      <c r="F182" s="24" t="str">
        <f>IF($Z182="","",IF($Z182&lt;=2000,IF(INDEX(包装物料出入库明细!$E$4:$E$2003,$Z182-0)=0,"",INDEX(包装物料出入库明细!$E$4:$E$2003,$Z182-0)),IF($Z182&lt;=4000,IF(INDEX(周转筐出入库明细!$D$4:$D$2004,$Z182-2000)=0,"",INDEX(周转筐出入库明细!$D$4:$D$2004,$Z182-2000)),IF($Z182&lt;=5200,IF(INDEX(客户自备加工筐明细!$C$4:$C$1203,$Z182-4000)=0,"",INDEX(客户自备加工筐明细!$C$4:$C$1203,$Z182-4000)),IF($Z182&lt;=5800,IF(INDEX(次果筐明细!$D$4:$D$603,$Z182-5200)=0,"",INDEX(次果筐明细!$D$4:$D$603,$Z182-5200)),"")))))</f>
        <v/>
      </c>
      <c r="G182" s="24" t="str">
        <f>IF($Z182="","",IF($Z182&lt;=2000,IF(INDEX(包装物料出入库明细!$F$4:$F$2003,$Z182-0)=0,"",INDEX(包装物料出入库明细!$F$4:$F$2003,$Z182-0)),IF($Z182&lt;=4000,"",IF($Z182&lt;=5200,"",IF($Z182&lt;=5800,"","")))))</f>
        <v/>
      </c>
      <c r="H182" s="39" t="str">
        <f>IF($Z182="","",IF($Z182&lt;=2000,IF(INDEX(包装物料出入库明细!$L$4:$L$2003,$Z182-0)=0,"",INDEX(包装物料出入库明细!$L$4:$L$2003,$Z182-0)),IF($Z182&lt;=4000,N(INDEX(周转筐出入库明细!$H$4:$H$2004,$Z182-2000))+N(INDEX(周转筐出入库明细!$I$4:$I$2004,$Z182-2000))+N(INDEX(周转筐出入库明细!$J$4:$J$2004,$Z182-2000))+N(INDEX(周转筐出入库明细!$K$4:$K$2004,$Z182-2000)),IF($Z182&lt;=5200,N(INDEX(客户自备加工筐明细!$F$4:$F$1203,$Z182-4000))+N(INDEX(客户自备加工筐明细!$G$4:$G$1203,$Z182-4000)),IF($Z182&lt;=5800,IF(INDEX(次果筐明细!$G$4:$G$603,$Z182-5200)=0,"",INDEX(次果筐明细!$G$4:$G$603,$Z182-5200)),"")))))</f>
        <v/>
      </c>
      <c r="I182" s="24" t="str">
        <f>IF($Z182="","",IF($Z182&lt;=2000,IF(INDEX(包装物料出入库明细!$G$4:$G$2003,$Z182-0)=0,"",INDEX(包装物料出入库明细!$G$4:$G$2003,$Z182-0)),IF($Z182&lt;=4000,"个",IF($Z182&lt;=5200,"个",IF($Z182&lt;=5800,"个","")))))</f>
        <v/>
      </c>
      <c r="J182" s="30" t="str">
        <f t="shared" si="7"/>
        <v/>
      </c>
      <c r="K182" s="30" t="str">
        <f>IF($Z182="","",IF($Z182&lt;=2000,IF(INDEX(包装物料出入库明细!$N$4:$N$2003,$Z182-0)=0,"",INDEX(包装物料出入库明细!$N$4:$N$2003,$Z182-0)),IF($Z182&lt;=4000,IF(INDEX(周转筐出入库明细!$P$4:$P$2004,$Z182-2000)=0,"",INDEX(周转筐出入库明细!$P$4:$P$2004,$Z182-2000)),IF($Z182&lt;=5200,"",IF($Z182&lt;=5800,N(INDEX(次果筐明细!$L$4:$L$603,$Z182-5200))+N(INDEX(次果筐明细!$J$4:$J$603,$Z182-5200)),"")))))</f>
        <v/>
      </c>
      <c r="L182" s="24" t="str">
        <f>IF($Z182="","",IF($Z182&lt;=2000,IF(INDEX(包装物料出入库明细!$P$4:$P$2003,$Z182-0)=0,"",INDEX(包装物料出入库明细!$P$4:$P$2003,$Z182-0)),IF($Z182&lt;=4000,IF(INDEX(周转筐出入库明细!$Q$4:$Q$2004,$Z182-2000)=0,"",INDEX(周转筐出入库明细!$Q$4:$Q$2004,$Z182-2000)),IF($Z182&lt;=5200,"",IF($Z182&lt;=5800,IF(INDEX(次果筐明细!$M$4:$M$603,$Z182-5200)=0,"",INDEX(次果筐明细!$M$4:$M$603,$Z182-5200)),"")))))</f>
        <v/>
      </c>
      <c r="M182" s="37" t="str">
        <f>IF($Z182="","",IF($Z182&lt;=2000,IF(INDEX(包装物料出入库明细!$R$4:$R$2003,$Z182-0)=0,"",INDEX(包装物料出入库明细!$R$4:$R$2003,$Z182-0)),IF($Z182&lt;=4000,IF(INDEX(周转筐出入库明细!$W$4:$W$2004,$Z182-2000)=0,"",INDEX(周转筐出入库明细!$W$4:$W$2004,$Z182-2000)),IF($Z182&lt;=5200,IF(INDEX(客户自备加工筐明细!$L$4:$L$1203,$Z182-4000)=0,"",INDEX(客户自备加工筐明细!$L$4:$L$1203,$Z182-4000)),IF($Z182&lt;=5800,IF(INDEX(次果筐明细!$P$4:$P$603,$Z182-5200)=0,"",INDEX(次果筐明细!$P$4:$P$603,$Z182-5200)),"")))))</f>
        <v/>
      </c>
      <c r="N182" s="16" t="str">
        <f>IF($Z182="","",IF($Z182&lt;=2000,"",IF($Z182&lt;=4000,IF(INDEX(周转筐出入库明细!$D$4:$D$2004,$Z182-2000)=0,"",INDEX(周转筐出入库明细!$D$4:$D$2004,$Z182-2000)),IF($Z182&lt;=5200,IF(INDEX(客户自备加工筐明细!$C$4:$C$1203,$Z182-4000)=0,"",INDEX(客户自备加工筐明细!$C$4:$C$1203,$Z182-4000)),IF($Z182&lt;=5800,IF(INDEX(次果筐明细!$D$4:$D$603,$Z182-5200)=0,"",INDEX(次果筐明细!$D$4:$D$603,$Z182-5200)),"")))))</f>
        <v/>
      </c>
      <c r="O182" s="40" t="str">
        <f>IF($Z182="","",IF($Z182&lt;=2000,"",IF($Z182&lt;=4000,IF(N(INDEX(周转筐出入库明细!$J$4:$J$2004,$Z182-2000))+N(INDEX(周转筐出入库明细!$K$4:$K$2004,$Z182-2000))=0,"",N(INDEX(周转筐出入库明细!$J$4:$J$2004,$Z182-2000))+N(INDEX(周转筐出入库明细!$K$4:$K$2004,$Z182-2000))),IF($Z182&lt;=5200,IF(N(INDEX(客户自备加工筐明细!$G$4:$G$1203,$Z182-4000))=0,"",N(INDEX(客户自备加工筐明细!$G$4:$G$1203,$Z182-4000))),IF($Z182&lt;=5800,IF(ISNUMBER(SEARCH("退",INDEX(次果筐明细!$F$4:$F$603,$Z182-5200)&amp;"")),"",IF(N(INDEX(次果筐明细!$G$4:$G$603,$Z182-5200))=0,"",N(INDEX(次果筐明细!$G$4:$G$603,$Z182-5200)))),"")))))</f>
        <v/>
      </c>
      <c r="P182" s="40" t="str">
        <f>IF($Z182="","",IF($Z182&lt;=2000,"",IF($Z182&lt;=4000,IF(N(INDEX(周转筐出入库明细!$I$4:$I$2004,$Z182-2000))=0,"",N(INDEX(周转筐出入库明细!$I$4:$I$2004,$Z182-2000))),IF($Z182&lt;=5200,"",IF($Z182&lt;=5800,IF(ISNUMBER(SEARCH("退",INDEX(次果筐明细!$F$4:$F$603,$Z182-5200)&amp;"")),IF(N(INDEX(次果筐明细!$G$4:$G$603,$Z182-5200))=0,"",N(INDEX(次果筐明细!$G$4:$G$603,$Z182-5200))),""),"")))))</f>
        <v/>
      </c>
      <c r="Q182" s="40" t="str">
        <f>IF($Z182="","",IF($Z182&lt;=2000,"",IF($Z182&lt;=4000,IF(N(INDEX(周转筐出入库明细!$H$4:$H$2004,$Z182-2000))=0,"",N(INDEX(周转筐出入库明细!$H$4:$H$2004,$Z182-2000))),IF($Z182&lt;=5200,IF(N(INDEX(客户自备加工筐明细!$F$4:$F$1203,$Z182-4000))=0,"",N(INDEX(客户自备加工筐明细!$F$4:$F$1203,$Z182-4000))),IF($Z182&lt;=5800,"","")))))</f>
        <v/>
      </c>
      <c r="R182" s="16" t="str">
        <f>IF($Z182="","",IF($Z182&lt;=2000,IF(INDEX(包装物料出入库明细!$O$4:$O$2003,$Z182-0)=0,"",INDEX(包装物料出入库明细!$O$4:$O$2003,$Z182-0)),IF($Z182&lt;=4000,IF(INDEX(周转筐出入库明细!$M$4:$M$2004,$Z182-2000)=0,"",INDEX(周转筐出入库明细!$M$4:$M$2004,$Z182-2000)),IF($Z182&lt;=5200,IF(INDEX(客户自备加工筐明细!$H$4:$H$1203,$Z182-4000)=0,"",INDEX(客户自备加工筐明细!$H$4:$H$1203,$Z182-4000)),IF($Z182&lt;=5800,IF(INDEX(次果筐明细!$H$4:$H$603,$Z182-5200)=0,"",INDEX(次果筐明细!$H$4:$H$603,$Z182-5200)),"")))))</f>
        <v/>
      </c>
      <c r="S182" s="22" t="str">
        <f t="shared" si="8"/>
        <v/>
      </c>
      <c r="Z182" s="10" t="str">
        <f>IFERROR(MATCH(ROW()-3,_自动清单!$CQ$4:$CQ$5803,0),"")</f>
        <v/>
      </c>
    </row>
    <row r="183" spans="1:26">
      <c r="A183" s="24" t="str">
        <f t="shared" si="6"/>
        <v/>
      </c>
      <c r="B183" s="38" t="str">
        <f>IF($Z183="","",IF($Z183&lt;=2000,IF(INDEX(包装物料出入库明细!$B$4:$B$2003,$Z183-0)=0,"",INDEX(包装物料出入库明细!$B$4:$B$2003,$Z183-0)),IF($Z183&lt;=4000,IF(INDEX(周转筐出入库明细!$B$4:$B$2004,$Z183-2000)=0,"",INDEX(周转筐出入库明细!$B$4:$B$2004,$Z183-2000)),IF($Z183&lt;=5200,IF(INDEX(客户自备加工筐明细!$B$4:$B$1203,$Z183-4000)=0,"",INDEX(客户自备加工筐明细!$B$4:$B$1203,$Z183-4000)),IF($Z183&lt;=5800,IF(INDEX(次果筐明细!$B$4:$B$603,$Z183-5200)=0,"",INDEX(次果筐明细!$B$4:$B$603,$Z183-5200)),"")))))</f>
        <v/>
      </c>
      <c r="C183" s="37" t="str">
        <f>IF($Z183="","",IF($Z183&lt;=2000,IF(INDEX(包装物料出入库明细!$D$4:$D$2003,$Z183-0)=0,"",INDEX(包装物料出入库明细!$D$4:$D$2003,$Z183-0)),IF($Z183&lt;=4000,IF(INDEX(周转筐出入库明细!$C$4:$C$2004,$Z183-2000)=0,"",INDEX(周转筐出入库明细!$C$4:$C$2004,$Z183-2000)),IF($Z183&lt;=5200,IF(INDEX(客户自备加工筐明细!$E$4:$E$1203,$Z183-4000)=0,"",INDEX(客户自备加工筐明细!$E$4:$E$1203,$Z183-4000)),IF($Z183&lt;=5800,IF(INDEX(次果筐明细!$C$4:$C$603,$Z183-5200)=0,"",INDEX(次果筐明细!$C$4:$C$603,$Z183-5200)),"")))))</f>
        <v/>
      </c>
      <c r="D183" s="37" t="str">
        <f>IF($Z183="","",IF($Z183&lt;=2000,"包装物料－"&amp;INDEX(包装物料出入库明细!$H$4:$H$2003,$Z183-0),IF($Z183&lt;=4000,"周转筐－"&amp;INDEX(周转筐出入库明细!$F$4:$F$2004,$Z183-2000),IF($Z183&lt;=5200,"客户自备筐－"&amp;INDEX(客户自备加工筐明细!$J$4:$J$1203,$Z183-4000),IF($Z183&lt;=5800,"次果筐/托盘－"&amp;INDEX(次果筐明细!$F$4:$F$603,$Z183-5200),"")))))</f>
        <v/>
      </c>
      <c r="E183" s="24" t="str">
        <f>IF($Z183="","",IF($Z183&lt;=2000,IF(INDEX(包装物料出入库明细!$C$4:$C$2003,$Z183-0)=0,"",INDEX(包装物料出入库明细!$C$4:$C$2003,$Z183-0)),IF($Z183&lt;=4000,IF(INDEX(周转筐出入库明细!$E$4:$E$2004,$Z183-2000)=0,"",INDEX(周转筐出入库明细!$E$4:$E$2004,$Z183-2000)),IF($Z183&lt;=5200,IF(INDEX(客户自备加工筐明细!$D$4:$D$1203,$Z183-4000)=0,"",INDEX(客户自备加工筐明细!$D$4:$D$1203,$Z183-4000)),IF($Z183&lt;=5800,IF(INDEX(次果筐明细!$E$4:$E$603,$Z183-5200)=0,"",INDEX(次果筐明细!$E$4:$E$603,$Z183-5200)),"")))))</f>
        <v/>
      </c>
      <c r="F183" s="24" t="str">
        <f>IF($Z183="","",IF($Z183&lt;=2000,IF(INDEX(包装物料出入库明细!$E$4:$E$2003,$Z183-0)=0,"",INDEX(包装物料出入库明细!$E$4:$E$2003,$Z183-0)),IF($Z183&lt;=4000,IF(INDEX(周转筐出入库明细!$D$4:$D$2004,$Z183-2000)=0,"",INDEX(周转筐出入库明细!$D$4:$D$2004,$Z183-2000)),IF($Z183&lt;=5200,IF(INDEX(客户自备加工筐明细!$C$4:$C$1203,$Z183-4000)=0,"",INDEX(客户自备加工筐明细!$C$4:$C$1203,$Z183-4000)),IF($Z183&lt;=5800,IF(INDEX(次果筐明细!$D$4:$D$603,$Z183-5200)=0,"",INDEX(次果筐明细!$D$4:$D$603,$Z183-5200)),"")))))</f>
        <v/>
      </c>
      <c r="G183" s="24" t="str">
        <f>IF($Z183="","",IF($Z183&lt;=2000,IF(INDEX(包装物料出入库明细!$F$4:$F$2003,$Z183-0)=0,"",INDEX(包装物料出入库明细!$F$4:$F$2003,$Z183-0)),IF($Z183&lt;=4000,"",IF($Z183&lt;=5200,"",IF($Z183&lt;=5800,"","")))))</f>
        <v/>
      </c>
      <c r="H183" s="39" t="str">
        <f>IF($Z183="","",IF($Z183&lt;=2000,IF(INDEX(包装物料出入库明细!$L$4:$L$2003,$Z183-0)=0,"",INDEX(包装物料出入库明细!$L$4:$L$2003,$Z183-0)),IF($Z183&lt;=4000,N(INDEX(周转筐出入库明细!$H$4:$H$2004,$Z183-2000))+N(INDEX(周转筐出入库明细!$I$4:$I$2004,$Z183-2000))+N(INDEX(周转筐出入库明细!$J$4:$J$2004,$Z183-2000))+N(INDEX(周转筐出入库明细!$K$4:$K$2004,$Z183-2000)),IF($Z183&lt;=5200,N(INDEX(客户自备加工筐明细!$F$4:$F$1203,$Z183-4000))+N(INDEX(客户自备加工筐明细!$G$4:$G$1203,$Z183-4000)),IF($Z183&lt;=5800,IF(INDEX(次果筐明细!$G$4:$G$603,$Z183-5200)=0,"",INDEX(次果筐明细!$G$4:$G$603,$Z183-5200)),"")))))</f>
        <v/>
      </c>
      <c r="I183" s="24" t="str">
        <f>IF($Z183="","",IF($Z183&lt;=2000,IF(INDEX(包装物料出入库明细!$G$4:$G$2003,$Z183-0)=0,"",INDEX(包装物料出入库明细!$G$4:$G$2003,$Z183-0)),IF($Z183&lt;=4000,"个",IF($Z183&lt;=5200,"个",IF($Z183&lt;=5800,"个","")))))</f>
        <v/>
      </c>
      <c r="J183" s="30" t="str">
        <f t="shared" si="7"/>
        <v/>
      </c>
      <c r="K183" s="30" t="str">
        <f>IF($Z183="","",IF($Z183&lt;=2000,IF(INDEX(包装物料出入库明细!$N$4:$N$2003,$Z183-0)=0,"",INDEX(包装物料出入库明细!$N$4:$N$2003,$Z183-0)),IF($Z183&lt;=4000,IF(INDEX(周转筐出入库明细!$P$4:$P$2004,$Z183-2000)=0,"",INDEX(周转筐出入库明细!$P$4:$P$2004,$Z183-2000)),IF($Z183&lt;=5200,"",IF($Z183&lt;=5800,N(INDEX(次果筐明细!$L$4:$L$603,$Z183-5200))+N(INDEX(次果筐明细!$J$4:$J$603,$Z183-5200)),"")))))</f>
        <v/>
      </c>
      <c r="L183" s="24" t="str">
        <f>IF($Z183="","",IF($Z183&lt;=2000,IF(INDEX(包装物料出入库明细!$P$4:$P$2003,$Z183-0)=0,"",INDEX(包装物料出入库明细!$P$4:$P$2003,$Z183-0)),IF($Z183&lt;=4000,IF(INDEX(周转筐出入库明细!$Q$4:$Q$2004,$Z183-2000)=0,"",INDEX(周转筐出入库明细!$Q$4:$Q$2004,$Z183-2000)),IF($Z183&lt;=5200,"",IF($Z183&lt;=5800,IF(INDEX(次果筐明细!$M$4:$M$603,$Z183-5200)=0,"",INDEX(次果筐明细!$M$4:$M$603,$Z183-5200)),"")))))</f>
        <v/>
      </c>
      <c r="M183" s="37" t="str">
        <f>IF($Z183="","",IF($Z183&lt;=2000,IF(INDEX(包装物料出入库明细!$R$4:$R$2003,$Z183-0)=0,"",INDEX(包装物料出入库明细!$R$4:$R$2003,$Z183-0)),IF($Z183&lt;=4000,IF(INDEX(周转筐出入库明细!$W$4:$W$2004,$Z183-2000)=0,"",INDEX(周转筐出入库明细!$W$4:$W$2004,$Z183-2000)),IF($Z183&lt;=5200,IF(INDEX(客户自备加工筐明细!$L$4:$L$1203,$Z183-4000)=0,"",INDEX(客户自备加工筐明细!$L$4:$L$1203,$Z183-4000)),IF($Z183&lt;=5800,IF(INDEX(次果筐明细!$P$4:$P$603,$Z183-5200)=0,"",INDEX(次果筐明细!$P$4:$P$603,$Z183-5200)),"")))))</f>
        <v/>
      </c>
      <c r="N183" s="16" t="str">
        <f>IF($Z183="","",IF($Z183&lt;=2000,"",IF($Z183&lt;=4000,IF(INDEX(周转筐出入库明细!$D$4:$D$2004,$Z183-2000)=0,"",INDEX(周转筐出入库明细!$D$4:$D$2004,$Z183-2000)),IF($Z183&lt;=5200,IF(INDEX(客户自备加工筐明细!$C$4:$C$1203,$Z183-4000)=0,"",INDEX(客户自备加工筐明细!$C$4:$C$1203,$Z183-4000)),IF($Z183&lt;=5800,IF(INDEX(次果筐明细!$D$4:$D$603,$Z183-5200)=0,"",INDEX(次果筐明细!$D$4:$D$603,$Z183-5200)),"")))))</f>
        <v/>
      </c>
      <c r="O183" s="40" t="str">
        <f>IF($Z183="","",IF($Z183&lt;=2000,"",IF($Z183&lt;=4000,IF(N(INDEX(周转筐出入库明细!$J$4:$J$2004,$Z183-2000))+N(INDEX(周转筐出入库明细!$K$4:$K$2004,$Z183-2000))=0,"",N(INDEX(周转筐出入库明细!$J$4:$J$2004,$Z183-2000))+N(INDEX(周转筐出入库明细!$K$4:$K$2004,$Z183-2000))),IF($Z183&lt;=5200,IF(N(INDEX(客户自备加工筐明细!$G$4:$G$1203,$Z183-4000))=0,"",N(INDEX(客户自备加工筐明细!$G$4:$G$1203,$Z183-4000))),IF($Z183&lt;=5800,IF(ISNUMBER(SEARCH("退",INDEX(次果筐明细!$F$4:$F$603,$Z183-5200)&amp;"")),"",IF(N(INDEX(次果筐明细!$G$4:$G$603,$Z183-5200))=0,"",N(INDEX(次果筐明细!$G$4:$G$603,$Z183-5200)))),"")))))</f>
        <v/>
      </c>
      <c r="P183" s="40" t="str">
        <f>IF($Z183="","",IF($Z183&lt;=2000,"",IF($Z183&lt;=4000,IF(N(INDEX(周转筐出入库明细!$I$4:$I$2004,$Z183-2000))=0,"",N(INDEX(周转筐出入库明细!$I$4:$I$2004,$Z183-2000))),IF($Z183&lt;=5200,"",IF($Z183&lt;=5800,IF(ISNUMBER(SEARCH("退",INDEX(次果筐明细!$F$4:$F$603,$Z183-5200)&amp;"")),IF(N(INDEX(次果筐明细!$G$4:$G$603,$Z183-5200))=0,"",N(INDEX(次果筐明细!$G$4:$G$603,$Z183-5200))),""),"")))))</f>
        <v/>
      </c>
      <c r="Q183" s="40" t="str">
        <f>IF($Z183="","",IF($Z183&lt;=2000,"",IF($Z183&lt;=4000,IF(N(INDEX(周转筐出入库明细!$H$4:$H$2004,$Z183-2000))=0,"",N(INDEX(周转筐出入库明细!$H$4:$H$2004,$Z183-2000))),IF($Z183&lt;=5200,IF(N(INDEX(客户自备加工筐明细!$F$4:$F$1203,$Z183-4000))=0,"",N(INDEX(客户自备加工筐明细!$F$4:$F$1203,$Z183-4000))),IF($Z183&lt;=5800,"","")))))</f>
        <v/>
      </c>
      <c r="R183" s="16" t="str">
        <f>IF($Z183="","",IF($Z183&lt;=2000,IF(INDEX(包装物料出入库明细!$O$4:$O$2003,$Z183-0)=0,"",INDEX(包装物料出入库明细!$O$4:$O$2003,$Z183-0)),IF($Z183&lt;=4000,IF(INDEX(周转筐出入库明细!$M$4:$M$2004,$Z183-2000)=0,"",INDEX(周转筐出入库明细!$M$4:$M$2004,$Z183-2000)),IF($Z183&lt;=5200,IF(INDEX(客户自备加工筐明细!$H$4:$H$1203,$Z183-4000)=0,"",INDEX(客户自备加工筐明细!$H$4:$H$1203,$Z183-4000)),IF($Z183&lt;=5800,IF(INDEX(次果筐明细!$H$4:$H$603,$Z183-5200)=0,"",INDEX(次果筐明细!$H$4:$H$603,$Z183-5200)),"")))))</f>
        <v/>
      </c>
      <c r="S183" s="22" t="str">
        <f t="shared" si="8"/>
        <v/>
      </c>
      <c r="Z183" s="10" t="str">
        <f>IFERROR(MATCH(ROW()-3,_自动清单!$CQ$4:$CQ$5803,0),"")</f>
        <v/>
      </c>
    </row>
    <row r="184" spans="1:26">
      <c r="A184" s="24" t="str">
        <f t="shared" si="6"/>
        <v/>
      </c>
      <c r="B184" s="38" t="str">
        <f>IF($Z184="","",IF($Z184&lt;=2000,IF(INDEX(包装物料出入库明细!$B$4:$B$2003,$Z184-0)=0,"",INDEX(包装物料出入库明细!$B$4:$B$2003,$Z184-0)),IF($Z184&lt;=4000,IF(INDEX(周转筐出入库明细!$B$4:$B$2004,$Z184-2000)=0,"",INDEX(周转筐出入库明细!$B$4:$B$2004,$Z184-2000)),IF($Z184&lt;=5200,IF(INDEX(客户自备加工筐明细!$B$4:$B$1203,$Z184-4000)=0,"",INDEX(客户自备加工筐明细!$B$4:$B$1203,$Z184-4000)),IF($Z184&lt;=5800,IF(INDEX(次果筐明细!$B$4:$B$603,$Z184-5200)=0,"",INDEX(次果筐明细!$B$4:$B$603,$Z184-5200)),"")))))</f>
        <v/>
      </c>
      <c r="C184" s="37" t="str">
        <f>IF($Z184="","",IF($Z184&lt;=2000,IF(INDEX(包装物料出入库明细!$D$4:$D$2003,$Z184-0)=0,"",INDEX(包装物料出入库明细!$D$4:$D$2003,$Z184-0)),IF($Z184&lt;=4000,IF(INDEX(周转筐出入库明细!$C$4:$C$2004,$Z184-2000)=0,"",INDEX(周转筐出入库明细!$C$4:$C$2004,$Z184-2000)),IF($Z184&lt;=5200,IF(INDEX(客户自备加工筐明细!$E$4:$E$1203,$Z184-4000)=0,"",INDEX(客户自备加工筐明细!$E$4:$E$1203,$Z184-4000)),IF($Z184&lt;=5800,IF(INDEX(次果筐明细!$C$4:$C$603,$Z184-5200)=0,"",INDEX(次果筐明细!$C$4:$C$603,$Z184-5200)),"")))))</f>
        <v/>
      </c>
      <c r="D184" s="37" t="str">
        <f>IF($Z184="","",IF($Z184&lt;=2000,"包装物料－"&amp;INDEX(包装物料出入库明细!$H$4:$H$2003,$Z184-0),IF($Z184&lt;=4000,"周转筐－"&amp;INDEX(周转筐出入库明细!$F$4:$F$2004,$Z184-2000),IF($Z184&lt;=5200,"客户自备筐－"&amp;INDEX(客户自备加工筐明细!$J$4:$J$1203,$Z184-4000),IF($Z184&lt;=5800,"次果筐/托盘－"&amp;INDEX(次果筐明细!$F$4:$F$603,$Z184-5200),"")))))</f>
        <v/>
      </c>
      <c r="E184" s="24" t="str">
        <f>IF($Z184="","",IF($Z184&lt;=2000,IF(INDEX(包装物料出入库明细!$C$4:$C$2003,$Z184-0)=0,"",INDEX(包装物料出入库明细!$C$4:$C$2003,$Z184-0)),IF($Z184&lt;=4000,IF(INDEX(周转筐出入库明细!$E$4:$E$2004,$Z184-2000)=0,"",INDEX(周转筐出入库明细!$E$4:$E$2004,$Z184-2000)),IF($Z184&lt;=5200,IF(INDEX(客户自备加工筐明细!$D$4:$D$1203,$Z184-4000)=0,"",INDEX(客户自备加工筐明细!$D$4:$D$1203,$Z184-4000)),IF($Z184&lt;=5800,IF(INDEX(次果筐明细!$E$4:$E$603,$Z184-5200)=0,"",INDEX(次果筐明细!$E$4:$E$603,$Z184-5200)),"")))))</f>
        <v/>
      </c>
      <c r="F184" s="24" t="str">
        <f>IF($Z184="","",IF($Z184&lt;=2000,IF(INDEX(包装物料出入库明细!$E$4:$E$2003,$Z184-0)=0,"",INDEX(包装物料出入库明细!$E$4:$E$2003,$Z184-0)),IF($Z184&lt;=4000,IF(INDEX(周转筐出入库明细!$D$4:$D$2004,$Z184-2000)=0,"",INDEX(周转筐出入库明细!$D$4:$D$2004,$Z184-2000)),IF($Z184&lt;=5200,IF(INDEX(客户自备加工筐明细!$C$4:$C$1203,$Z184-4000)=0,"",INDEX(客户自备加工筐明细!$C$4:$C$1203,$Z184-4000)),IF($Z184&lt;=5800,IF(INDEX(次果筐明细!$D$4:$D$603,$Z184-5200)=0,"",INDEX(次果筐明细!$D$4:$D$603,$Z184-5200)),"")))))</f>
        <v/>
      </c>
      <c r="G184" s="24" t="str">
        <f>IF($Z184="","",IF($Z184&lt;=2000,IF(INDEX(包装物料出入库明细!$F$4:$F$2003,$Z184-0)=0,"",INDEX(包装物料出入库明细!$F$4:$F$2003,$Z184-0)),IF($Z184&lt;=4000,"",IF($Z184&lt;=5200,"",IF($Z184&lt;=5800,"","")))))</f>
        <v/>
      </c>
      <c r="H184" s="39" t="str">
        <f>IF($Z184="","",IF($Z184&lt;=2000,IF(INDEX(包装物料出入库明细!$L$4:$L$2003,$Z184-0)=0,"",INDEX(包装物料出入库明细!$L$4:$L$2003,$Z184-0)),IF($Z184&lt;=4000,N(INDEX(周转筐出入库明细!$H$4:$H$2004,$Z184-2000))+N(INDEX(周转筐出入库明细!$I$4:$I$2004,$Z184-2000))+N(INDEX(周转筐出入库明细!$J$4:$J$2004,$Z184-2000))+N(INDEX(周转筐出入库明细!$K$4:$K$2004,$Z184-2000)),IF($Z184&lt;=5200,N(INDEX(客户自备加工筐明细!$F$4:$F$1203,$Z184-4000))+N(INDEX(客户自备加工筐明细!$G$4:$G$1203,$Z184-4000)),IF($Z184&lt;=5800,IF(INDEX(次果筐明细!$G$4:$G$603,$Z184-5200)=0,"",INDEX(次果筐明细!$G$4:$G$603,$Z184-5200)),"")))))</f>
        <v/>
      </c>
      <c r="I184" s="24" t="str">
        <f>IF($Z184="","",IF($Z184&lt;=2000,IF(INDEX(包装物料出入库明细!$G$4:$G$2003,$Z184-0)=0,"",INDEX(包装物料出入库明细!$G$4:$G$2003,$Z184-0)),IF($Z184&lt;=4000,"个",IF($Z184&lt;=5200,"个",IF($Z184&lt;=5800,"个","")))))</f>
        <v/>
      </c>
      <c r="J184" s="30" t="str">
        <f t="shared" si="7"/>
        <v/>
      </c>
      <c r="K184" s="30" t="str">
        <f>IF($Z184="","",IF($Z184&lt;=2000,IF(INDEX(包装物料出入库明细!$N$4:$N$2003,$Z184-0)=0,"",INDEX(包装物料出入库明细!$N$4:$N$2003,$Z184-0)),IF($Z184&lt;=4000,IF(INDEX(周转筐出入库明细!$P$4:$P$2004,$Z184-2000)=0,"",INDEX(周转筐出入库明细!$P$4:$P$2004,$Z184-2000)),IF($Z184&lt;=5200,"",IF($Z184&lt;=5800,N(INDEX(次果筐明细!$L$4:$L$603,$Z184-5200))+N(INDEX(次果筐明细!$J$4:$J$603,$Z184-5200)),"")))))</f>
        <v/>
      </c>
      <c r="L184" s="24" t="str">
        <f>IF($Z184="","",IF($Z184&lt;=2000,IF(INDEX(包装物料出入库明细!$P$4:$P$2003,$Z184-0)=0,"",INDEX(包装物料出入库明细!$P$4:$P$2003,$Z184-0)),IF($Z184&lt;=4000,IF(INDEX(周转筐出入库明细!$Q$4:$Q$2004,$Z184-2000)=0,"",INDEX(周转筐出入库明细!$Q$4:$Q$2004,$Z184-2000)),IF($Z184&lt;=5200,"",IF($Z184&lt;=5800,IF(INDEX(次果筐明细!$M$4:$M$603,$Z184-5200)=0,"",INDEX(次果筐明细!$M$4:$M$603,$Z184-5200)),"")))))</f>
        <v/>
      </c>
      <c r="M184" s="37" t="str">
        <f>IF($Z184="","",IF($Z184&lt;=2000,IF(INDEX(包装物料出入库明细!$R$4:$R$2003,$Z184-0)=0,"",INDEX(包装物料出入库明细!$R$4:$R$2003,$Z184-0)),IF($Z184&lt;=4000,IF(INDEX(周转筐出入库明细!$W$4:$W$2004,$Z184-2000)=0,"",INDEX(周转筐出入库明细!$W$4:$W$2004,$Z184-2000)),IF($Z184&lt;=5200,IF(INDEX(客户自备加工筐明细!$L$4:$L$1203,$Z184-4000)=0,"",INDEX(客户自备加工筐明细!$L$4:$L$1203,$Z184-4000)),IF($Z184&lt;=5800,IF(INDEX(次果筐明细!$P$4:$P$603,$Z184-5200)=0,"",INDEX(次果筐明细!$P$4:$P$603,$Z184-5200)),"")))))</f>
        <v/>
      </c>
      <c r="N184" s="16" t="str">
        <f>IF($Z184="","",IF($Z184&lt;=2000,"",IF($Z184&lt;=4000,IF(INDEX(周转筐出入库明细!$D$4:$D$2004,$Z184-2000)=0,"",INDEX(周转筐出入库明细!$D$4:$D$2004,$Z184-2000)),IF($Z184&lt;=5200,IF(INDEX(客户自备加工筐明细!$C$4:$C$1203,$Z184-4000)=0,"",INDEX(客户自备加工筐明细!$C$4:$C$1203,$Z184-4000)),IF($Z184&lt;=5800,IF(INDEX(次果筐明细!$D$4:$D$603,$Z184-5200)=0,"",INDEX(次果筐明细!$D$4:$D$603,$Z184-5200)),"")))))</f>
        <v/>
      </c>
      <c r="O184" s="40" t="str">
        <f>IF($Z184="","",IF($Z184&lt;=2000,"",IF($Z184&lt;=4000,IF(N(INDEX(周转筐出入库明细!$J$4:$J$2004,$Z184-2000))+N(INDEX(周转筐出入库明细!$K$4:$K$2004,$Z184-2000))=0,"",N(INDEX(周转筐出入库明细!$J$4:$J$2004,$Z184-2000))+N(INDEX(周转筐出入库明细!$K$4:$K$2004,$Z184-2000))),IF($Z184&lt;=5200,IF(N(INDEX(客户自备加工筐明细!$G$4:$G$1203,$Z184-4000))=0,"",N(INDEX(客户自备加工筐明细!$G$4:$G$1203,$Z184-4000))),IF($Z184&lt;=5800,IF(ISNUMBER(SEARCH("退",INDEX(次果筐明细!$F$4:$F$603,$Z184-5200)&amp;"")),"",IF(N(INDEX(次果筐明细!$G$4:$G$603,$Z184-5200))=0,"",N(INDEX(次果筐明细!$G$4:$G$603,$Z184-5200)))),"")))))</f>
        <v/>
      </c>
      <c r="P184" s="40" t="str">
        <f>IF($Z184="","",IF($Z184&lt;=2000,"",IF($Z184&lt;=4000,IF(N(INDEX(周转筐出入库明细!$I$4:$I$2004,$Z184-2000))=0,"",N(INDEX(周转筐出入库明细!$I$4:$I$2004,$Z184-2000))),IF($Z184&lt;=5200,"",IF($Z184&lt;=5800,IF(ISNUMBER(SEARCH("退",INDEX(次果筐明细!$F$4:$F$603,$Z184-5200)&amp;"")),IF(N(INDEX(次果筐明细!$G$4:$G$603,$Z184-5200))=0,"",N(INDEX(次果筐明细!$G$4:$G$603,$Z184-5200))),""),"")))))</f>
        <v/>
      </c>
      <c r="Q184" s="40" t="str">
        <f>IF($Z184="","",IF($Z184&lt;=2000,"",IF($Z184&lt;=4000,IF(N(INDEX(周转筐出入库明细!$H$4:$H$2004,$Z184-2000))=0,"",N(INDEX(周转筐出入库明细!$H$4:$H$2004,$Z184-2000))),IF($Z184&lt;=5200,IF(N(INDEX(客户自备加工筐明细!$F$4:$F$1203,$Z184-4000))=0,"",N(INDEX(客户自备加工筐明细!$F$4:$F$1203,$Z184-4000))),IF($Z184&lt;=5800,"","")))))</f>
        <v/>
      </c>
      <c r="R184" s="16" t="str">
        <f>IF($Z184="","",IF($Z184&lt;=2000,IF(INDEX(包装物料出入库明细!$O$4:$O$2003,$Z184-0)=0,"",INDEX(包装物料出入库明细!$O$4:$O$2003,$Z184-0)),IF($Z184&lt;=4000,IF(INDEX(周转筐出入库明细!$M$4:$M$2004,$Z184-2000)=0,"",INDEX(周转筐出入库明细!$M$4:$M$2004,$Z184-2000)),IF($Z184&lt;=5200,IF(INDEX(客户自备加工筐明细!$H$4:$H$1203,$Z184-4000)=0,"",INDEX(客户自备加工筐明细!$H$4:$H$1203,$Z184-4000)),IF($Z184&lt;=5800,IF(INDEX(次果筐明细!$H$4:$H$603,$Z184-5200)=0,"",INDEX(次果筐明细!$H$4:$H$603,$Z184-5200)),"")))))</f>
        <v/>
      </c>
      <c r="S184" s="22" t="str">
        <f t="shared" si="8"/>
        <v/>
      </c>
      <c r="Z184" s="10" t="str">
        <f>IFERROR(MATCH(ROW()-3,_自动清单!$CQ$4:$CQ$5803,0),"")</f>
        <v/>
      </c>
    </row>
    <row r="185" spans="1:26">
      <c r="A185" s="24" t="str">
        <f t="shared" si="6"/>
        <v/>
      </c>
      <c r="B185" s="38" t="str">
        <f>IF($Z185="","",IF($Z185&lt;=2000,IF(INDEX(包装物料出入库明细!$B$4:$B$2003,$Z185-0)=0,"",INDEX(包装物料出入库明细!$B$4:$B$2003,$Z185-0)),IF($Z185&lt;=4000,IF(INDEX(周转筐出入库明细!$B$4:$B$2004,$Z185-2000)=0,"",INDEX(周转筐出入库明细!$B$4:$B$2004,$Z185-2000)),IF($Z185&lt;=5200,IF(INDEX(客户自备加工筐明细!$B$4:$B$1203,$Z185-4000)=0,"",INDEX(客户自备加工筐明细!$B$4:$B$1203,$Z185-4000)),IF($Z185&lt;=5800,IF(INDEX(次果筐明细!$B$4:$B$603,$Z185-5200)=0,"",INDEX(次果筐明细!$B$4:$B$603,$Z185-5200)),"")))))</f>
        <v/>
      </c>
      <c r="C185" s="37" t="str">
        <f>IF($Z185="","",IF($Z185&lt;=2000,IF(INDEX(包装物料出入库明细!$D$4:$D$2003,$Z185-0)=0,"",INDEX(包装物料出入库明细!$D$4:$D$2003,$Z185-0)),IF($Z185&lt;=4000,IF(INDEX(周转筐出入库明细!$C$4:$C$2004,$Z185-2000)=0,"",INDEX(周转筐出入库明细!$C$4:$C$2004,$Z185-2000)),IF($Z185&lt;=5200,IF(INDEX(客户自备加工筐明细!$E$4:$E$1203,$Z185-4000)=0,"",INDEX(客户自备加工筐明细!$E$4:$E$1203,$Z185-4000)),IF($Z185&lt;=5800,IF(INDEX(次果筐明细!$C$4:$C$603,$Z185-5200)=0,"",INDEX(次果筐明细!$C$4:$C$603,$Z185-5200)),"")))))</f>
        <v/>
      </c>
      <c r="D185" s="37" t="str">
        <f>IF($Z185="","",IF($Z185&lt;=2000,"包装物料－"&amp;INDEX(包装物料出入库明细!$H$4:$H$2003,$Z185-0),IF($Z185&lt;=4000,"周转筐－"&amp;INDEX(周转筐出入库明细!$F$4:$F$2004,$Z185-2000),IF($Z185&lt;=5200,"客户自备筐－"&amp;INDEX(客户自备加工筐明细!$J$4:$J$1203,$Z185-4000),IF($Z185&lt;=5800,"次果筐/托盘－"&amp;INDEX(次果筐明细!$F$4:$F$603,$Z185-5200),"")))))</f>
        <v/>
      </c>
      <c r="E185" s="24" t="str">
        <f>IF($Z185="","",IF($Z185&lt;=2000,IF(INDEX(包装物料出入库明细!$C$4:$C$2003,$Z185-0)=0,"",INDEX(包装物料出入库明细!$C$4:$C$2003,$Z185-0)),IF($Z185&lt;=4000,IF(INDEX(周转筐出入库明细!$E$4:$E$2004,$Z185-2000)=0,"",INDEX(周转筐出入库明细!$E$4:$E$2004,$Z185-2000)),IF($Z185&lt;=5200,IF(INDEX(客户自备加工筐明细!$D$4:$D$1203,$Z185-4000)=0,"",INDEX(客户自备加工筐明细!$D$4:$D$1203,$Z185-4000)),IF($Z185&lt;=5800,IF(INDEX(次果筐明细!$E$4:$E$603,$Z185-5200)=0,"",INDEX(次果筐明细!$E$4:$E$603,$Z185-5200)),"")))))</f>
        <v/>
      </c>
      <c r="F185" s="24" t="str">
        <f>IF($Z185="","",IF($Z185&lt;=2000,IF(INDEX(包装物料出入库明细!$E$4:$E$2003,$Z185-0)=0,"",INDEX(包装物料出入库明细!$E$4:$E$2003,$Z185-0)),IF($Z185&lt;=4000,IF(INDEX(周转筐出入库明细!$D$4:$D$2004,$Z185-2000)=0,"",INDEX(周转筐出入库明细!$D$4:$D$2004,$Z185-2000)),IF($Z185&lt;=5200,IF(INDEX(客户自备加工筐明细!$C$4:$C$1203,$Z185-4000)=0,"",INDEX(客户自备加工筐明细!$C$4:$C$1203,$Z185-4000)),IF($Z185&lt;=5800,IF(INDEX(次果筐明细!$D$4:$D$603,$Z185-5200)=0,"",INDEX(次果筐明细!$D$4:$D$603,$Z185-5200)),"")))))</f>
        <v/>
      </c>
      <c r="G185" s="24" t="str">
        <f>IF($Z185="","",IF($Z185&lt;=2000,IF(INDEX(包装物料出入库明细!$F$4:$F$2003,$Z185-0)=0,"",INDEX(包装物料出入库明细!$F$4:$F$2003,$Z185-0)),IF($Z185&lt;=4000,"",IF($Z185&lt;=5200,"",IF($Z185&lt;=5800,"","")))))</f>
        <v/>
      </c>
      <c r="H185" s="39" t="str">
        <f>IF($Z185="","",IF($Z185&lt;=2000,IF(INDEX(包装物料出入库明细!$L$4:$L$2003,$Z185-0)=0,"",INDEX(包装物料出入库明细!$L$4:$L$2003,$Z185-0)),IF($Z185&lt;=4000,N(INDEX(周转筐出入库明细!$H$4:$H$2004,$Z185-2000))+N(INDEX(周转筐出入库明细!$I$4:$I$2004,$Z185-2000))+N(INDEX(周转筐出入库明细!$J$4:$J$2004,$Z185-2000))+N(INDEX(周转筐出入库明细!$K$4:$K$2004,$Z185-2000)),IF($Z185&lt;=5200,N(INDEX(客户自备加工筐明细!$F$4:$F$1203,$Z185-4000))+N(INDEX(客户自备加工筐明细!$G$4:$G$1203,$Z185-4000)),IF($Z185&lt;=5800,IF(INDEX(次果筐明细!$G$4:$G$603,$Z185-5200)=0,"",INDEX(次果筐明细!$G$4:$G$603,$Z185-5200)),"")))))</f>
        <v/>
      </c>
      <c r="I185" s="24" t="str">
        <f>IF($Z185="","",IF($Z185&lt;=2000,IF(INDEX(包装物料出入库明细!$G$4:$G$2003,$Z185-0)=0,"",INDEX(包装物料出入库明细!$G$4:$G$2003,$Z185-0)),IF($Z185&lt;=4000,"个",IF($Z185&lt;=5200,"个",IF($Z185&lt;=5800,"个","")))))</f>
        <v/>
      </c>
      <c r="J185" s="30" t="str">
        <f t="shared" si="7"/>
        <v/>
      </c>
      <c r="K185" s="30" t="str">
        <f>IF($Z185="","",IF($Z185&lt;=2000,IF(INDEX(包装物料出入库明细!$N$4:$N$2003,$Z185-0)=0,"",INDEX(包装物料出入库明细!$N$4:$N$2003,$Z185-0)),IF($Z185&lt;=4000,IF(INDEX(周转筐出入库明细!$P$4:$P$2004,$Z185-2000)=0,"",INDEX(周转筐出入库明细!$P$4:$P$2004,$Z185-2000)),IF($Z185&lt;=5200,"",IF($Z185&lt;=5800,N(INDEX(次果筐明细!$L$4:$L$603,$Z185-5200))+N(INDEX(次果筐明细!$J$4:$J$603,$Z185-5200)),"")))))</f>
        <v/>
      </c>
      <c r="L185" s="24" t="str">
        <f>IF($Z185="","",IF($Z185&lt;=2000,IF(INDEX(包装物料出入库明细!$P$4:$P$2003,$Z185-0)=0,"",INDEX(包装物料出入库明细!$P$4:$P$2003,$Z185-0)),IF($Z185&lt;=4000,IF(INDEX(周转筐出入库明细!$Q$4:$Q$2004,$Z185-2000)=0,"",INDEX(周转筐出入库明细!$Q$4:$Q$2004,$Z185-2000)),IF($Z185&lt;=5200,"",IF($Z185&lt;=5800,IF(INDEX(次果筐明细!$M$4:$M$603,$Z185-5200)=0,"",INDEX(次果筐明细!$M$4:$M$603,$Z185-5200)),"")))))</f>
        <v/>
      </c>
      <c r="M185" s="37" t="str">
        <f>IF($Z185="","",IF($Z185&lt;=2000,IF(INDEX(包装物料出入库明细!$R$4:$R$2003,$Z185-0)=0,"",INDEX(包装物料出入库明细!$R$4:$R$2003,$Z185-0)),IF($Z185&lt;=4000,IF(INDEX(周转筐出入库明细!$W$4:$W$2004,$Z185-2000)=0,"",INDEX(周转筐出入库明细!$W$4:$W$2004,$Z185-2000)),IF($Z185&lt;=5200,IF(INDEX(客户自备加工筐明细!$L$4:$L$1203,$Z185-4000)=0,"",INDEX(客户自备加工筐明细!$L$4:$L$1203,$Z185-4000)),IF($Z185&lt;=5800,IF(INDEX(次果筐明细!$P$4:$P$603,$Z185-5200)=0,"",INDEX(次果筐明细!$P$4:$P$603,$Z185-5200)),"")))))</f>
        <v/>
      </c>
      <c r="N185" s="16" t="str">
        <f>IF($Z185="","",IF($Z185&lt;=2000,"",IF($Z185&lt;=4000,IF(INDEX(周转筐出入库明细!$D$4:$D$2004,$Z185-2000)=0,"",INDEX(周转筐出入库明细!$D$4:$D$2004,$Z185-2000)),IF($Z185&lt;=5200,IF(INDEX(客户自备加工筐明细!$C$4:$C$1203,$Z185-4000)=0,"",INDEX(客户自备加工筐明细!$C$4:$C$1203,$Z185-4000)),IF($Z185&lt;=5800,IF(INDEX(次果筐明细!$D$4:$D$603,$Z185-5200)=0,"",INDEX(次果筐明细!$D$4:$D$603,$Z185-5200)),"")))))</f>
        <v/>
      </c>
      <c r="O185" s="40" t="str">
        <f>IF($Z185="","",IF($Z185&lt;=2000,"",IF($Z185&lt;=4000,IF(N(INDEX(周转筐出入库明细!$J$4:$J$2004,$Z185-2000))+N(INDEX(周转筐出入库明细!$K$4:$K$2004,$Z185-2000))=0,"",N(INDEX(周转筐出入库明细!$J$4:$J$2004,$Z185-2000))+N(INDEX(周转筐出入库明细!$K$4:$K$2004,$Z185-2000))),IF($Z185&lt;=5200,IF(N(INDEX(客户自备加工筐明细!$G$4:$G$1203,$Z185-4000))=0,"",N(INDEX(客户自备加工筐明细!$G$4:$G$1203,$Z185-4000))),IF($Z185&lt;=5800,IF(ISNUMBER(SEARCH("退",INDEX(次果筐明细!$F$4:$F$603,$Z185-5200)&amp;"")),"",IF(N(INDEX(次果筐明细!$G$4:$G$603,$Z185-5200))=0,"",N(INDEX(次果筐明细!$G$4:$G$603,$Z185-5200)))),"")))))</f>
        <v/>
      </c>
      <c r="P185" s="40" t="str">
        <f>IF($Z185="","",IF($Z185&lt;=2000,"",IF($Z185&lt;=4000,IF(N(INDEX(周转筐出入库明细!$I$4:$I$2004,$Z185-2000))=0,"",N(INDEX(周转筐出入库明细!$I$4:$I$2004,$Z185-2000))),IF($Z185&lt;=5200,"",IF($Z185&lt;=5800,IF(ISNUMBER(SEARCH("退",INDEX(次果筐明细!$F$4:$F$603,$Z185-5200)&amp;"")),IF(N(INDEX(次果筐明细!$G$4:$G$603,$Z185-5200))=0,"",N(INDEX(次果筐明细!$G$4:$G$603,$Z185-5200))),""),"")))))</f>
        <v/>
      </c>
      <c r="Q185" s="40" t="str">
        <f>IF($Z185="","",IF($Z185&lt;=2000,"",IF($Z185&lt;=4000,IF(N(INDEX(周转筐出入库明细!$H$4:$H$2004,$Z185-2000))=0,"",N(INDEX(周转筐出入库明细!$H$4:$H$2004,$Z185-2000))),IF($Z185&lt;=5200,IF(N(INDEX(客户自备加工筐明细!$F$4:$F$1203,$Z185-4000))=0,"",N(INDEX(客户自备加工筐明细!$F$4:$F$1203,$Z185-4000))),IF($Z185&lt;=5800,"","")))))</f>
        <v/>
      </c>
      <c r="R185" s="16" t="str">
        <f>IF($Z185="","",IF($Z185&lt;=2000,IF(INDEX(包装物料出入库明细!$O$4:$O$2003,$Z185-0)=0,"",INDEX(包装物料出入库明细!$O$4:$O$2003,$Z185-0)),IF($Z185&lt;=4000,IF(INDEX(周转筐出入库明细!$M$4:$M$2004,$Z185-2000)=0,"",INDEX(周转筐出入库明细!$M$4:$M$2004,$Z185-2000)),IF($Z185&lt;=5200,IF(INDEX(客户自备加工筐明细!$H$4:$H$1203,$Z185-4000)=0,"",INDEX(客户自备加工筐明细!$H$4:$H$1203,$Z185-4000)),IF($Z185&lt;=5800,IF(INDEX(次果筐明细!$H$4:$H$603,$Z185-5200)=0,"",INDEX(次果筐明细!$H$4:$H$603,$Z185-5200)),"")))))</f>
        <v/>
      </c>
      <c r="S185" s="22" t="str">
        <f t="shared" si="8"/>
        <v/>
      </c>
      <c r="Z185" s="10" t="str">
        <f>IFERROR(MATCH(ROW()-3,_自动清单!$CQ$4:$CQ$5803,0),"")</f>
        <v/>
      </c>
    </row>
    <row r="186" spans="1:26">
      <c r="A186" s="24" t="str">
        <f t="shared" si="6"/>
        <v/>
      </c>
      <c r="B186" s="38" t="str">
        <f>IF($Z186="","",IF($Z186&lt;=2000,IF(INDEX(包装物料出入库明细!$B$4:$B$2003,$Z186-0)=0,"",INDEX(包装物料出入库明细!$B$4:$B$2003,$Z186-0)),IF($Z186&lt;=4000,IF(INDEX(周转筐出入库明细!$B$4:$B$2004,$Z186-2000)=0,"",INDEX(周转筐出入库明细!$B$4:$B$2004,$Z186-2000)),IF($Z186&lt;=5200,IF(INDEX(客户自备加工筐明细!$B$4:$B$1203,$Z186-4000)=0,"",INDEX(客户自备加工筐明细!$B$4:$B$1203,$Z186-4000)),IF($Z186&lt;=5800,IF(INDEX(次果筐明细!$B$4:$B$603,$Z186-5200)=0,"",INDEX(次果筐明细!$B$4:$B$603,$Z186-5200)),"")))))</f>
        <v/>
      </c>
      <c r="C186" s="37" t="str">
        <f>IF($Z186="","",IF($Z186&lt;=2000,IF(INDEX(包装物料出入库明细!$D$4:$D$2003,$Z186-0)=0,"",INDEX(包装物料出入库明细!$D$4:$D$2003,$Z186-0)),IF($Z186&lt;=4000,IF(INDEX(周转筐出入库明细!$C$4:$C$2004,$Z186-2000)=0,"",INDEX(周转筐出入库明细!$C$4:$C$2004,$Z186-2000)),IF($Z186&lt;=5200,IF(INDEX(客户自备加工筐明细!$E$4:$E$1203,$Z186-4000)=0,"",INDEX(客户自备加工筐明细!$E$4:$E$1203,$Z186-4000)),IF($Z186&lt;=5800,IF(INDEX(次果筐明细!$C$4:$C$603,$Z186-5200)=0,"",INDEX(次果筐明细!$C$4:$C$603,$Z186-5200)),"")))))</f>
        <v/>
      </c>
      <c r="D186" s="37" t="str">
        <f>IF($Z186="","",IF($Z186&lt;=2000,"包装物料－"&amp;INDEX(包装物料出入库明细!$H$4:$H$2003,$Z186-0),IF($Z186&lt;=4000,"周转筐－"&amp;INDEX(周转筐出入库明细!$F$4:$F$2004,$Z186-2000),IF($Z186&lt;=5200,"客户自备筐－"&amp;INDEX(客户自备加工筐明细!$J$4:$J$1203,$Z186-4000),IF($Z186&lt;=5800,"次果筐/托盘－"&amp;INDEX(次果筐明细!$F$4:$F$603,$Z186-5200),"")))))</f>
        <v/>
      </c>
      <c r="E186" s="24" t="str">
        <f>IF($Z186="","",IF($Z186&lt;=2000,IF(INDEX(包装物料出入库明细!$C$4:$C$2003,$Z186-0)=0,"",INDEX(包装物料出入库明细!$C$4:$C$2003,$Z186-0)),IF($Z186&lt;=4000,IF(INDEX(周转筐出入库明细!$E$4:$E$2004,$Z186-2000)=0,"",INDEX(周转筐出入库明细!$E$4:$E$2004,$Z186-2000)),IF($Z186&lt;=5200,IF(INDEX(客户自备加工筐明细!$D$4:$D$1203,$Z186-4000)=0,"",INDEX(客户自备加工筐明细!$D$4:$D$1203,$Z186-4000)),IF($Z186&lt;=5800,IF(INDEX(次果筐明细!$E$4:$E$603,$Z186-5200)=0,"",INDEX(次果筐明细!$E$4:$E$603,$Z186-5200)),"")))))</f>
        <v/>
      </c>
      <c r="F186" s="24" t="str">
        <f>IF($Z186="","",IF($Z186&lt;=2000,IF(INDEX(包装物料出入库明细!$E$4:$E$2003,$Z186-0)=0,"",INDEX(包装物料出入库明细!$E$4:$E$2003,$Z186-0)),IF($Z186&lt;=4000,IF(INDEX(周转筐出入库明细!$D$4:$D$2004,$Z186-2000)=0,"",INDEX(周转筐出入库明细!$D$4:$D$2004,$Z186-2000)),IF($Z186&lt;=5200,IF(INDEX(客户自备加工筐明细!$C$4:$C$1203,$Z186-4000)=0,"",INDEX(客户自备加工筐明细!$C$4:$C$1203,$Z186-4000)),IF($Z186&lt;=5800,IF(INDEX(次果筐明细!$D$4:$D$603,$Z186-5200)=0,"",INDEX(次果筐明细!$D$4:$D$603,$Z186-5200)),"")))))</f>
        <v/>
      </c>
      <c r="G186" s="24" t="str">
        <f>IF($Z186="","",IF($Z186&lt;=2000,IF(INDEX(包装物料出入库明细!$F$4:$F$2003,$Z186-0)=0,"",INDEX(包装物料出入库明细!$F$4:$F$2003,$Z186-0)),IF($Z186&lt;=4000,"",IF($Z186&lt;=5200,"",IF($Z186&lt;=5800,"","")))))</f>
        <v/>
      </c>
      <c r="H186" s="39" t="str">
        <f>IF($Z186="","",IF($Z186&lt;=2000,IF(INDEX(包装物料出入库明细!$L$4:$L$2003,$Z186-0)=0,"",INDEX(包装物料出入库明细!$L$4:$L$2003,$Z186-0)),IF($Z186&lt;=4000,N(INDEX(周转筐出入库明细!$H$4:$H$2004,$Z186-2000))+N(INDEX(周转筐出入库明细!$I$4:$I$2004,$Z186-2000))+N(INDEX(周转筐出入库明细!$J$4:$J$2004,$Z186-2000))+N(INDEX(周转筐出入库明细!$K$4:$K$2004,$Z186-2000)),IF($Z186&lt;=5200,N(INDEX(客户自备加工筐明细!$F$4:$F$1203,$Z186-4000))+N(INDEX(客户自备加工筐明细!$G$4:$G$1203,$Z186-4000)),IF($Z186&lt;=5800,IF(INDEX(次果筐明细!$G$4:$G$603,$Z186-5200)=0,"",INDEX(次果筐明细!$G$4:$G$603,$Z186-5200)),"")))))</f>
        <v/>
      </c>
      <c r="I186" s="24" t="str">
        <f>IF($Z186="","",IF($Z186&lt;=2000,IF(INDEX(包装物料出入库明细!$G$4:$G$2003,$Z186-0)=0,"",INDEX(包装物料出入库明细!$G$4:$G$2003,$Z186-0)),IF($Z186&lt;=4000,"个",IF($Z186&lt;=5200,"个",IF($Z186&lt;=5800,"个","")))))</f>
        <v/>
      </c>
      <c r="J186" s="30" t="str">
        <f t="shared" si="7"/>
        <v/>
      </c>
      <c r="K186" s="30" t="str">
        <f>IF($Z186="","",IF($Z186&lt;=2000,IF(INDEX(包装物料出入库明细!$N$4:$N$2003,$Z186-0)=0,"",INDEX(包装物料出入库明细!$N$4:$N$2003,$Z186-0)),IF($Z186&lt;=4000,IF(INDEX(周转筐出入库明细!$P$4:$P$2004,$Z186-2000)=0,"",INDEX(周转筐出入库明细!$P$4:$P$2004,$Z186-2000)),IF($Z186&lt;=5200,"",IF($Z186&lt;=5800,N(INDEX(次果筐明细!$L$4:$L$603,$Z186-5200))+N(INDEX(次果筐明细!$J$4:$J$603,$Z186-5200)),"")))))</f>
        <v/>
      </c>
      <c r="L186" s="24" t="str">
        <f>IF($Z186="","",IF($Z186&lt;=2000,IF(INDEX(包装物料出入库明细!$P$4:$P$2003,$Z186-0)=0,"",INDEX(包装物料出入库明细!$P$4:$P$2003,$Z186-0)),IF($Z186&lt;=4000,IF(INDEX(周转筐出入库明细!$Q$4:$Q$2004,$Z186-2000)=0,"",INDEX(周转筐出入库明细!$Q$4:$Q$2004,$Z186-2000)),IF($Z186&lt;=5200,"",IF($Z186&lt;=5800,IF(INDEX(次果筐明细!$M$4:$M$603,$Z186-5200)=0,"",INDEX(次果筐明细!$M$4:$M$603,$Z186-5200)),"")))))</f>
        <v/>
      </c>
      <c r="M186" s="37" t="str">
        <f>IF($Z186="","",IF($Z186&lt;=2000,IF(INDEX(包装物料出入库明细!$R$4:$R$2003,$Z186-0)=0,"",INDEX(包装物料出入库明细!$R$4:$R$2003,$Z186-0)),IF($Z186&lt;=4000,IF(INDEX(周转筐出入库明细!$W$4:$W$2004,$Z186-2000)=0,"",INDEX(周转筐出入库明细!$W$4:$W$2004,$Z186-2000)),IF($Z186&lt;=5200,IF(INDEX(客户自备加工筐明细!$L$4:$L$1203,$Z186-4000)=0,"",INDEX(客户自备加工筐明细!$L$4:$L$1203,$Z186-4000)),IF($Z186&lt;=5800,IF(INDEX(次果筐明细!$P$4:$P$603,$Z186-5200)=0,"",INDEX(次果筐明细!$P$4:$P$603,$Z186-5200)),"")))))</f>
        <v/>
      </c>
      <c r="N186" s="16" t="str">
        <f>IF($Z186="","",IF($Z186&lt;=2000,"",IF($Z186&lt;=4000,IF(INDEX(周转筐出入库明细!$D$4:$D$2004,$Z186-2000)=0,"",INDEX(周转筐出入库明细!$D$4:$D$2004,$Z186-2000)),IF($Z186&lt;=5200,IF(INDEX(客户自备加工筐明细!$C$4:$C$1203,$Z186-4000)=0,"",INDEX(客户自备加工筐明细!$C$4:$C$1203,$Z186-4000)),IF($Z186&lt;=5800,IF(INDEX(次果筐明细!$D$4:$D$603,$Z186-5200)=0,"",INDEX(次果筐明细!$D$4:$D$603,$Z186-5200)),"")))))</f>
        <v/>
      </c>
      <c r="O186" s="40" t="str">
        <f>IF($Z186="","",IF($Z186&lt;=2000,"",IF($Z186&lt;=4000,IF(N(INDEX(周转筐出入库明细!$J$4:$J$2004,$Z186-2000))+N(INDEX(周转筐出入库明细!$K$4:$K$2004,$Z186-2000))=0,"",N(INDEX(周转筐出入库明细!$J$4:$J$2004,$Z186-2000))+N(INDEX(周转筐出入库明细!$K$4:$K$2004,$Z186-2000))),IF($Z186&lt;=5200,IF(N(INDEX(客户自备加工筐明细!$G$4:$G$1203,$Z186-4000))=0,"",N(INDEX(客户自备加工筐明细!$G$4:$G$1203,$Z186-4000))),IF($Z186&lt;=5800,IF(ISNUMBER(SEARCH("退",INDEX(次果筐明细!$F$4:$F$603,$Z186-5200)&amp;"")),"",IF(N(INDEX(次果筐明细!$G$4:$G$603,$Z186-5200))=0,"",N(INDEX(次果筐明细!$G$4:$G$603,$Z186-5200)))),"")))))</f>
        <v/>
      </c>
      <c r="P186" s="40" t="str">
        <f>IF($Z186="","",IF($Z186&lt;=2000,"",IF($Z186&lt;=4000,IF(N(INDEX(周转筐出入库明细!$I$4:$I$2004,$Z186-2000))=0,"",N(INDEX(周转筐出入库明细!$I$4:$I$2004,$Z186-2000))),IF($Z186&lt;=5200,"",IF($Z186&lt;=5800,IF(ISNUMBER(SEARCH("退",INDEX(次果筐明细!$F$4:$F$603,$Z186-5200)&amp;"")),IF(N(INDEX(次果筐明细!$G$4:$G$603,$Z186-5200))=0,"",N(INDEX(次果筐明细!$G$4:$G$603,$Z186-5200))),""),"")))))</f>
        <v/>
      </c>
      <c r="Q186" s="40" t="str">
        <f>IF($Z186="","",IF($Z186&lt;=2000,"",IF($Z186&lt;=4000,IF(N(INDEX(周转筐出入库明细!$H$4:$H$2004,$Z186-2000))=0,"",N(INDEX(周转筐出入库明细!$H$4:$H$2004,$Z186-2000))),IF($Z186&lt;=5200,IF(N(INDEX(客户自备加工筐明细!$F$4:$F$1203,$Z186-4000))=0,"",N(INDEX(客户自备加工筐明细!$F$4:$F$1203,$Z186-4000))),IF($Z186&lt;=5800,"","")))))</f>
        <v/>
      </c>
      <c r="R186" s="16" t="str">
        <f>IF($Z186="","",IF($Z186&lt;=2000,IF(INDEX(包装物料出入库明细!$O$4:$O$2003,$Z186-0)=0,"",INDEX(包装物料出入库明细!$O$4:$O$2003,$Z186-0)),IF($Z186&lt;=4000,IF(INDEX(周转筐出入库明细!$M$4:$M$2004,$Z186-2000)=0,"",INDEX(周转筐出入库明细!$M$4:$M$2004,$Z186-2000)),IF($Z186&lt;=5200,IF(INDEX(客户自备加工筐明细!$H$4:$H$1203,$Z186-4000)=0,"",INDEX(客户自备加工筐明细!$H$4:$H$1203,$Z186-4000)),IF($Z186&lt;=5800,IF(INDEX(次果筐明细!$H$4:$H$603,$Z186-5200)=0,"",INDEX(次果筐明细!$H$4:$H$603,$Z186-5200)),"")))))</f>
        <v/>
      </c>
      <c r="S186" s="22" t="str">
        <f t="shared" si="8"/>
        <v/>
      </c>
      <c r="Z186" s="10" t="str">
        <f>IFERROR(MATCH(ROW()-3,_自动清单!$CQ$4:$CQ$5803,0),"")</f>
        <v/>
      </c>
    </row>
    <row r="187" spans="1:26">
      <c r="A187" s="24" t="str">
        <f t="shared" si="6"/>
        <v/>
      </c>
      <c r="B187" s="38" t="str">
        <f>IF($Z187="","",IF($Z187&lt;=2000,IF(INDEX(包装物料出入库明细!$B$4:$B$2003,$Z187-0)=0,"",INDEX(包装物料出入库明细!$B$4:$B$2003,$Z187-0)),IF($Z187&lt;=4000,IF(INDEX(周转筐出入库明细!$B$4:$B$2004,$Z187-2000)=0,"",INDEX(周转筐出入库明细!$B$4:$B$2004,$Z187-2000)),IF($Z187&lt;=5200,IF(INDEX(客户自备加工筐明细!$B$4:$B$1203,$Z187-4000)=0,"",INDEX(客户自备加工筐明细!$B$4:$B$1203,$Z187-4000)),IF($Z187&lt;=5800,IF(INDEX(次果筐明细!$B$4:$B$603,$Z187-5200)=0,"",INDEX(次果筐明细!$B$4:$B$603,$Z187-5200)),"")))))</f>
        <v/>
      </c>
      <c r="C187" s="37" t="str">
        <f>IF($Z187="","",IF($Z187&lt;=2000,IF(INDEX(包装物料出入库明细!$D$4:$D$2003,$Z187-0)=0,"",INDEX(包装物料出入库明细!$D$4:$D$2003,$Z187-0)),IF($Z187&lt;=4000,IF(INDEX(周转筐出入库明细!$C$4:$C$2004,$Z187-2000)=0,"",INDEX(周转筐出入库明细!$C$4:$C$2004,$Z187-2000)),IF($Z187&lt;=5200,IF(INDEX(客户自备加工筐明细!$E$4:$E$1203,$Z187-4000)=0,"",INDEX(客户自备加工筐明细!$E$4:$E$1203,$Z187-4000)),IF($Z187&lt;=5800,IF(INDEX(次果筐明细!$C$4:$C$603,$Z187-5200)=0,"",INDEX(次果筐明细!$C$4:$C$603,$Z187-5200)),"")))))</f>
        <v/>
      </c>
      <c r="D187" s="37" t="str">
        <f>IF($Z187="","",IF($Z187&lt;=2000,"包装物料－"&amp;INDEX(包装物料出入库明细!$H$4:$H$2003,$Z187-0),IF($Z187&lt;=4000,"周转筐－"&amp;INDEX(周转筐出入库明细!$F$4:$F$2004,$Z187-2000),IF($Z187&lt;=5200,"客户自备筐－"&amp;INDEX(客户自备加工筐明细!$J$4:$J$1203,$Z187-4000),IF($Z187&lt;=5800,"次果筐/托盘－"&amp;INDEX(次果筐明细!$F$4:$F$603,$Z187-5200),"")))))</f>
        <v/>
      </c>
      <c r="E187" s="24" t="str">
        <f>IF($Z187="","",IF($Z187&lt;=2000,IF(INDEX(包装物料出入库明细!$C$4:$C$2003,$Z187-0)=0,"",INDEX(包装物料出入库明细!$C$4:$C$2003,$Z187-0)),IF($Z187&lt;=4000,IF(INDEX(周转筐出入库明细!$E$4:$E$2004,$Z187-2000)=0,"",INDEX(周转筐出入库明细!$E$4:$E$2004,$Z187-2000)),IF($Z187&lt;=5200,IF(INDEX(客户自备加工筐明细!$D$4:$D$1203,$Z187-4000)=0,"",INDEX(客户自备加工筐明细!$D$4:$D$1203,$Z187-4000)),IF($Z187&lt;=5800,IF(INDEX(次果筐明细!$E$4:$E$603,$Z187-5200)=0,"",INDEX(次果筐明细!$E$4:$E$603,$Z187-5200)),"")))))</f>
        <v/>
      </c>
      <c r="F187" s="24" t="str">
        <f>IF($Z187="","",IF($Z187&lt;=2000,IF(INDEX(包装物料出入库明细!$E$4:$E$2003,$Z187-0)=0,"",INDEX(包装物料出入库明细!$E$4:$E$2003,$Z187-0)),IF($Z187&lt;=4000,IF(INDEX(周转筐出入库明细!$D$4:$D$2004,$Z187-2000)=0,"",INDEX(周转筐出入库明细!$D$4:$D$2004,$Z187-2000)),IF($Z187&lt;=5200,IF(INDEX(客户自备加工筐明细!$C$4:$C$1203,$Z187-4000)=0,"",INDEX(客户自备加工筐明细!$C$4:$C$1203,$Z187-4000)),IF($Z187&lt;=5800,IF(INDEX(次果筐明细!$D$4:$D$603,$Z187-5200)=0,"",INDEX(次果筐明细!$D$4:$D$603,$Z187-5200)),"")))))</f>
        <v/>
      </c>
      <c r="G187" s="24" t="str">
        <f>IF($Z187="","",IF($Z187&lt;=2000,IF(INDEX(包装物料出入库明细!$F$4:$F$2003,$Z187-0)=0,"",INDEX(包装物料出入库明细!$F$4:$F$2003,$Z187-0)),IF($Z187&lt;=4000,"",IF($Z187&lt;=5200,"",IF($Z187&lt;=5800,"","")))))</f>
        <v/>
      </c>
      <c r="H187" s="39" t="str">
        <f>IF($Z187="","",IF($Z187&lt;=2000,IF(INDEX(包装物料出入库明细!$L$4:$L$2003,$Z187-0)=0,"",INDEX(包装物料出入库明细!$L$4:$L$2003,$Z187-0)),IF($Z187&lt;=4000,N(INDEX(周转筐出入库明细!$H$4:$H$2004,$Z187-2000))+N(INDEX(周转筐出入库明细!$I$4:$I$2004,$Z187-2000))+N(INDEX(周转筐出入库明细!$J$4:$J$2004,$Z187-2000))+N(INDEX(周转筐出入库明细!$K$4:$K$2004,$Z187-2000)),IF($Z187&lt;=5200,N(INDEX(客户自备加工筐明细!$F$4:$F$1203,$Z187-4000))+N(INDEX(客户自备加工筐明细!$G$4:$G$1203,$Z187-4000)),IF($Z187&lt;=5800,IF(INDEX(次果筐明细!$G$4:$G$603,$Z187-5200)=0,"",INDEX(次果筐明细!$G$4:$G$603,$Z187-5200)),"")))))</f>
        <v/>
      </c>
      <c r="I187" s="24" t="str">
        <f>IF($Z187="","",IF($Z187&lt;=2000,IF(INDEX(包装物料出入库明细!$G$4:$G$2003,$Z187-0)=0,"",INDEX(包装物料出入库明细!$G$4:$G$2003,$Z187-0)),IF($Z187&lt;=4000,"个",IF($Z187&lt;=5200,"个",IF($Z187&lt;=5800,"个","")))))</f>
        <v/>
      </c>
      <c r="J187" s="30" t="str">
        <f t="shared" si="7"/>
        <v/>
      </c>
      <c r="K187" s="30" t="str">
        <f>IF($Z187="","",IF($Z187&lt;=2000,IF(INDEX(包装物料出入库明细!$N$4:$N$2003,$Z187-0)=0,"",INDEX(包装物料出入库明细!$N$4:$N$2003,$Z187-0)),IF($Z187&lt;=4000,IF(INDEX(周转筐出入库明细!$P$4:$P$2004,$Z187-2000)=0,"",INDEX(周转筐出入库明细!$P$4:$P$2004,$Z187-2000)),IF($Z187&lt;=5200,"",IF($Z187&lt;=5800,N(INDEX(次果筐明细!$L$4:$L$603,$Z187-5200))+N(INDEX(次果筐明细!$J$4:$J$603,$Z187-5200)),"")))))</f>
        <v/>
      </c>
      <c r="L187" s="24" t="str">
        <f>IF($Z187="","",IF($Z187&lt;=2000,IF(INDEX(包装物料出入库明细!$P$4:$P$2003,$Z187-0)=0,"",INDEX(包装物料出入库明细!$P$4:$P$2003,$Z187-0)),IF($Z187&lt;=4000,IF(INDEX(周转筐出入库明细!$Q$4:$Q$2004,$Z187-2000)=0,"",INDEX(周转筐出入库明细!$Q$4:$Q$2004,$Z187-2000)),IF($Z187&lt;=5200,"",IF($Z187&lt;=5800,IF(INDEX(次果筐明细!$M$4:$M$603,$Z187-5200)=0,"",INDEX(次果筐明细!$M$4:$M$603,$Z187-5200)),"")))))</f>
        <v/>
      </c>
      <c r="M187" s="37" t="str">
        <f>IF($Z187="","",IF($Z187&lt;=2000,IF(INDEX(包装物料出入库明细!$R$4:$R$2003,$Z187-0)=0,"",INDEX(包装物料出入库明细!$R$4:$R$2003,$Z187-0)),IF($Z187&lt;=4000,IF(INDEX(周转筐出入库明细!$W$4:$W$2004,$Z187-2000)=0,"",INDEX(周转筐出入库明细!$W$4:$W$2004,$Z187-2000)),IF($Z187&lt;=5200,IF(INDEX(客户自备加工筐明细!$L$4:$L$1203,$Z187-4000)=0,"",INDEX(客户自备加工筐明细!$L$4:$L$1203,$Z187-4000)),IF($Z187&lt;=5800,IF(INDEX(次果筐明细!$P$4:$P$603,$Z187-5200)=0,"",INDEX(次果筐明细!$P$4:$P$603,$Z187-5200)),"")))))</f>
        <v/>
      </c>
      <c r="N187" s="16" t="str">
        <f>IF($Z187="","",IF($Z187&lt;=2000,"",IF($Z187&lt;=4000,IF(INDEX(周转筐出入库明细!$D$4:$D$2004,$Z187-2000)=0,"",INDEX(周转筐出入库明细!$D$4:$D$2004,$Z187-2000)),IF($Z187&lt;=5200,IF(INDEX(客户自备加工筐明细!$C$4:$C$1203,$Z187-4000)=0,"",INDEX(客户自备加工筐明细!$C$4:$C$1203,$Z187-4000)),IF($Z187&lt;=5800,IF(INDEX(次果筐明细!$D$4:$D$603,$Z187-5200)=0,"",INDEX(次果筐明细!$D$4:$D$603,$Z187-5200)),"")))))</f>
        <v/>
      </c>
      <c r="O187" s="40" t="str">
        <f>IF($Z187="","",IF($Z187&lt;=2000,"",IF($Z187&lt;=4000,IF(N(INDEX(周转筐出入库明细!$J$4:$J$2004,$Z187-2000))+N(INDEX(周转筐出入库明细!$K$4:$K$2004,$Z187-2000))=0,"",N(INDEX(周转筐出入库明细!$J$4:$J$2004,$Z187-2000))+N(INDEX(周转筐出入库明细!$K$4:$K$2004,$Z187-2000))),IF($Z187&lt;=5200,IF(N(INDEX(客户自备加工筐明细!$G$4:$G$1203,$Z187-4000))=0,"",N(INDEX(客户自备加工筐明细!$G$4:$G$1203,$Z187-4000))),IF($Z187&lt;=5800,IF(ISNUMBER(SEARCH("退",INDEX(次果筐明细!$F$4:$F$603,$Z187-5200)&amp;"")),"",IF(N(INDEX(次果筐明细!$G$4:$G$603,$Z187-5200))=0,"",N(INDEX(次果筐明细!$G$4:$G$603,$Z187-5200)))),"")))))</f>
        <v/>
      </c>
      <c r="P187" s="40" t="str">
        <f>IF($Z187="","",IF($Z187&lt;=2000,"",IF($Z187&lt;=4000,IF(N(INDEX(周转筐出入库明细!$I$4:$I$2004,$Z187-2000))=0,"",N(INDEX(周转筐出入库明细!$I$4:$I$2004,$Z187-2000))),IF($Z187&lt;=5200,"",IF($Z187&lt;=5800,IF(ISNUMBER(SEARCH("退",INDEX(次果筐明细!$F$4:$F$603,$Z187-5200)&amp;"")),IF(N(INDEX(次果筐明细!$G$4:$G$603,$Z187-5200))=0,"",N(INDEX(次果筐明细!$G$4:$G$603,$Z187-5200))),""),"")))))</f>
        <v/>
      </c>
      <c r="Q187" s="40" t="str">
        <f>IF($Z187="","",IF($Z187&lt;=2000,"",IF($Z187&lt;=4000,IF(N(INDEX(周转筐出入库明细!$H$4:$H$2004,$Z187-2000))=0,"",N(INDEX(周转筐出入库明细!$H$4:$H$2004,$Z187-2000))),IF($Z187&lt;=5200,IF(N(INDEX(客户自备加工筐明细!$F$4:$F$1203,$Z187-4000))=0,"",N(INDEX(客户自备加工筐明细!$F$4:$F$1203,$Z187-4000))),IF($Z187&lt;=5800,"","")))))</f>
        <v/>
      </c>
      <c r="R187" s="16" t="str">
        <f>IF($Z187="","",IF($Z187&lt;=2000,IF(INDEX(包装物料出入库明细!$O$4:$O$2003,$Z187-0)=0,"",INDEX(包装物料出入库明细!$O$4:$O$2003,$Z187-0)),IF($Z187&lt;=4000,IF(INDEX(周转筐出入库明细!$M$4:$M$2004,$Z187-2000)=0,"",INDEX(周转筐出入库明细!$M$4:$M$2004,$Z187-2000)),IF($Z187&lt;=5200,IF(INDEX(客户自备加工筐明细!$H$4:$H$1203,$Z187-4000)=0,"",INDEX(客户自备加工筐明细!$H$4:$H$1203,$Z187-4000)),IF($Z187&lt;=5800,IF(INDEX(次果筐明细!$H$4:$H$603,$Z187-5200)=0,"",INDEX(次果筐明细!$H$4:$H$603,$Z187-5200)),"")))))</f>
        <v/>
      </c>
      <c r="S187" s="22" t="str">
        <f t="shared" si="8"/>
        <v/>
      </c>
      <c r="Z187" s="10" t="str">
        <f>IFERROR(MATCH(ROW()-3,_自动清单!$CQ$4:$CQ$5803,0),"")</f>
        <v/>
      </c>
    </row>
    <row r="188" spans="1:26">
      <c r="A188" s="24" t="str">
        <f t="shared" si="6"/>
        <v/>
      </c>
      <c r="B188" s="38" t="str">
        <f>IF($Z188="","",IF($Z188&lt;=2000,IF(INDEX(包装物料出入库明细!$B$4:$B$2003,$Z188-0)=0,"",INDEX(包装物料出入库明细!$B$4:$B$2003,$Z188-0)),IF($Z188&lt;=4000,IF(INDEX(周转筐出入库明细!$B$4:$B$2004,$Z188-2000)=0,"",INDEX(周转筐出入库明细!$B$4:$B$2004,$Z188-2000)),IF($Z188&lt;=5200,IF(INDEX(客户自备加工筐明细!$B$4:$B$1203,$Z188-4000)=0,"",INDEX(客户自备加工筐明细!$B$4:$B$1203,$Z188-4000)),IF($Z188&lt;=5800,IF(INDEX(次果筐明细!$B$4:$B$603,$Z188-5200)=0,"",INDEX(次果筐明细!$B$4:$B$603,$Z188-5200)),"")))))</f>
        <v/>
      </c>
      <c r="C188" s="37" t="str">
        <f>IF($Z188="","",IF($Z188&lt;=2000,IF(INDEX(包装物料出入库明细!$D$4:$D$2003,$Z188-0)=0,"",INDEX(包装物料出入库明细!$D$4:$D$2003,$Z188-0)),IF($Z188&lt;=4000,IF(INDEX(周转筐出入库明细!$C$4:$C$2004,$Z188-2000)=0,"",INDEX(周转筐出入库明细!$C$4:$C$2004,$Z188-2000)),IF($Z188&lt;=5200,IF(INDEX(客户自备加工筐明细!$E$4:$E$1203,$Z188-4000)=0,"",INDEX(客户自备加工筐明细!$E$4:$E$1203,$Z188-4000)),IF($Z188&lt;=5800,IF(INDEX(次果筐明细!$C$4:$C$603,$Z188-5200)=0,"",INDEX(次果筐明细!$C$4:$C$603,$Z188-5200)),"")))))</f>
        <v/>
      </c>
      <c r="D188" s="37" t="str">
        <f>IF($Z188="","",IF($Z188&lt;=2000,"包装物料－"&amp;INDEX(包装物料出入库明细!$H$4:$H$2003,$Z188-0),IF($Z188&lt;=4000,"周转筐－"&amp;INDEX(周转筐出入库明细!$F$4:$F$2004,$Z188-2000),IF($Z188&lt;=5200,"客户自备筐－"&amp;INDEX(客户自备加工筐明细!$J$4:$J$1203,$Z188-4000),IF($Z188&lt;=5800,"次果筐/托盘－"&amp;INDEX(次果筐明细!$F$4:$F$603,$Z188-5200),"")))))</f>
        <v/>
      </c>
      <c r="E188" s="24" t="str">
        <f>IF($Z188="","",IF($Z188&lt;=2000,IF(INDEX(包装物料出入库明细!$C$4:$C$2003,$Z188-0)=0,"",INDEX(包装物料出入库明细!$C$4:$C$2003,$Z188-0)),IF($Z188&lt;=4000,IF(INDEX(周转筐出入库明细!$E$4:$E$2004,$Z188-2000)=0,"",INDEX(周转筐出入库明细!$E$4:$E$2004,$Z188-2000)),IF($Z188&lt;=5200,IF(INDEX(客户自备加工筐明细!$D$4:$D$1203,$Z188-4000)=0,"",INDEX(客户自备加工筐明细!$D$4:$D$1203,$Z188-4000)),IF($Z188&lt;=5800,IF(INDEX(次果筐明细!$E$4:$E$603,$Z188-5200)=0,"",INDEX(次果筐明细!$E$4:$E$603,$Z188-5200)),"")))))</f>
        <v/>
      </c>
      <c r="F188" s="24" t="str">
        <f>IF($Z188="","",IF($Z188&lt;=2000,IF(INDEX(包装物料出入库明细!$E$4:$E$2003,$Z188-0)=0,"",INDEX(包装物料出入库明细!$E$4:$E$2003,$Z188-0)),IF($Z188&lt;=4000,IF(INDEX(周转筐出入库明细!$D$4:$D$2004,$Z188-2000)=0,"",INDEX(周转筐出入库明细!$D$4:$D$2004,$Z188-2000)),IF($Z188&lt;=5200,IF(INDEX(客户自备加工筐明细!$C$4:$C$1203,$Z188-4000)=0,"",INDEX(客户自备加工筐明细!$C$4:$C$1203,$Z188-4000)),IF($Z188&lt;=5800,IF(INDEX(次果筐明细!$D$4:$D$603,$Z188-5200)=0,"",INDEX(次果筐明细!$D$4:$D$603,$Z188-5200)),"")))))</f>
        <v/>
      </c>
      <c r="G188" s="24" t="str">
        <f>IF($Z188="","",IF($Z188&lt;=2000,IF(INDEX(包装物料出入库明细!$F$4:$F$2003,$Z188-0)=0,"",INDEX(包装物料出入库明细!$F$4:$F$2003,$Z188-0)),IF($Z188&lt;=4000,"",IF($Z188&lt;=5200,"",IF($Z188&lt;=5800,"","")))))</f>
        <v/>
      </c>
      <c r="H188" s="39" t="str">
        <f>IF($Z188="","",IF($Z188&lt;=2000,IF(INDEX(包装物料出入库明细!$L$4:$L$2003,$Z188-0)=0,"",INDEX(包装物料出入库明细!$L$4:$L$2003,$Z188-0)),IF($Z188&lt;=4000,N(INDEX(周转筐出入库明细!$H$4:$H$2004,$Z188-2000))+N(INDEX(周转筐出入库明细!$I$4:$I$2004,$Z188-2000))+N(INDEX(周转筐出入库明细!$J$4:$J$2004,$Z188-2000))+N(INDEX(周转筐出入库明细!$K$4:$K$2004,$Z188-2000)),IF($Z188&lt;=5200,N(INDEX(客户自备加工筐明细!$F$4:$F$1203,$Z188-4000))+N(INDEX(客户自备加工筐明细!$G$4:$G$1203,$Z188-4000)),IF($Z188&lt;=5800,IF(INDEX(次果筐明细!$G$4:$G$603,$Z188-5200)=0,"",INDEX(次果筐明细!$G$4:$G$603,$Z188-5200)),"")))))</f>
        <v/>
      </c>
      <c r="I188" s="24" t="str">
        <f>IF($Z188="","",IF($Z188&lt;=2000,IF(INDEX(包装物料出入库明细!$G$4:$G$2003,$Z188-0)=0,"",INDEX(包装物料出入库明细!$G$4:$G$2003,$Z188-0)),IF($Z188&lt;=4000,"个",IF($Z188&lt;=5200,"个",IF($Z188&lt;=5800,"个","")))))</f>
        <v/>
      </c>
      <c r="J188" s="30" t="str">
        <f t="shared" si="7"/>
        <v/>
      </c>
      <c r="K188" s="30" t="str">
        <f>IF($Z188="","",IF($Z188&lt;=2000,IF(INDEX(包装物料出入库明细!$N$4:$N$2003,$Z188-0)=0,"",INDEX(包装物料出入库明细!$N$4:$N$2003,$Z188-0)),IF($Z188&lt;=4000,IF(INDEX(周转筐出入库明细!$P$4:$P$2004,$Z188-2000)=0,"",INDEX(周转筐出入库明细!$P$4:$P$2004,$Z188-2000)),IF($Z188&lt;=5200,"",IF($Z188&lt;=5800,N(INDEX(次果筐明细!$L$4:$L$603,$Z188-5200))+N(INDEX(次果筐明细!$J$4:$J$603,$Z188-5200)),"")))))</f>
        <v/>
      </c>
      <c r="L188" s="24" t="str">
        <f>IF($Z188="","",IF($Z188&lt;=2000,IF(INDEX(包装物料出入库明细!$P$4:$P$2003,$Z188-0)=0,"",INDEX(包装物料出入库明细!$P$4:$P$2003,$Z188-0)),IF($Z188&lt;=4000,IF(INDEX(周转筐出入库明细!$Q$4:$Q$2004,$Z188-2000)=0,"",INDEX(周转筐出入库明细!$Q$4:$Q$2004,$Z188-2000)),IF($Z188&lt;=5200,"",IF($Z188&lt;=5800,IF(INDEX(次果筐明细!$M$4:$M$603,$Z188-5200)=0,"",INDEX(次果筐明细!$M$4:$M$603,$Z188-5200)),"")))))</f>
        <v/>
      </c>
      <c r="M188" s="37" t="str">
        <f>IF($Z188="","",IF($Z188&lt;=2000,IF(INDEX(包装物料出入库明细!$R$4:$R$2003,$Z188-0)=0,"",INDEX(包装物料出入库明细!$R$4:$R$2003,$Z188-0)),IF($Z188&lt;=4000,IF(INDEX(周转筐出入库明细!$W$4:$W$2004,$Z188-2000)=0,"",INDEX(周转筐出入库明细!$W$4:$W$2004,$Z188-2000)),IF($Z188&lt;=5200,IF(INDEX(客户自备加工筐明细!$L$4:$L$1203,$Z188-4000)=0,"",INDEX(客户自备加工筐明细!$L$4:$L$1203,$Z188-4000)),IF($Z188&lt;=5800,IF(INDEX(次果筐明细!$P$4:$P$603,$Z188-5200)=0,"",INDEX(次果筐明细!$P$4:$P$603,$Z188-5200)),"")))))</f>
        <v/>
      </c>
      <c r="N188" s="16" t="str">
        <f>IF($Z188="","",IF($Z188&lt;=2000,"",IF($Z188&lt;=4000,IF(INDEX(周转筐出入库明细!$D$4:$D$2004,$Z188-2000)=0,"",INDEX(周转筐出入库明细!$D$4:$D$2004,$Z188-2000)),IF($Z188&lt;=5200,IF(INDEX(客户自备加工筐明细!$C$4:$C$1203,$Z188-4000)=0,"",INDEX(客户自备加工筐明细!$C$4:$C$1203,$Z188-4000)),IF($Z188&lt;=5800,IF(INDEX(次果筐明细!$D$4:$D$603,$Z188-5200)=0,"",INDEX(次果筐明细!$D$4:$D$603,$Z188-5200)),"")))))</f>
        <v/>
      </c>
      <c r="O188" s="40" t="str">
        <f>IF($Z188="","",IF($Z188&lt;=2000,"",IF($Z188&lt;=4000,IF(N(INDEX(周转筐出入库明细!$J$4:$J$2004,$Z188-2000))+N(INDEX(周转筐出入库明细!$K$4:$K$2004,$Z188-2000))=0,"",N(INDEX(周转筐出入库明细!$J$4:$J$2004,$Z188-2000))+N(INDEX(周转筐出入库明细!$K$4:$K$2004,$Z188-2000))),IF($Z188&lt;=5200,IF(N(INDEX(客户自备加工筐明细!$G$4:$G$1203,$Z188-4000))=0,"",N(INDEX(客户自备加工筐明细!$G$4:$G$1203,$Z188-4000))),IF($Z188&lt;=5800,IF(ISNUMBER(SEARCH("退",INDEX(次果筐明细!$F$4:$F$603,$Z188-5200)&amp;"")),"",IF(N(INDEX(次果筐明细!$G$4:$G$603,$Z188-5200))=0,"",N(INDEX(次果筐明细!$G$4:$G$603,$Z188-5200)))),"")))))</f>
        <v/>
      </c>
      <c r="P188" s="40" t="str">
        <f>IF($Z188="","",IF($Z188&lt;=2000,"",IF($Z188&lt;=4000,IF(N(INDEX(周转筐出入库明细!$I$4:$I$2004,$Z188-2000))=0,"",N(INDEX(周转筐出入库明细!$I$4:$I$2004,$Z188-2000))),IF($Z188&lt;=5200,"",IF($Z188&lt;=5800,IF(ISNUMBER(SEARCH("退",INDEX(次果筐明细!$F$4:$F$603,$Z188-5200)&amp;"")),IF(N(INDEX(次果筐明细!$G$4:$G$603,$Z188-5200))=0,"",N(INDEX(次果筐明细!$G$4:$G$603,$Z188-5200))),""),"")))))</f>
        <v/>
      </c>
      <c r="Q188" s="40" t="str">
        <f>IF($Z188="","",IF($Z188&lt;=2000,"",IF($Z188&lt;=4000,IF(N(INDEX(周转筐出入库明细!$H$4:$H$2004,$Z188-2000))=0,"",N(INDEX(周转筐出入库明细!$H$4:$H$2004,$Z188-2000))),IF($Z188&lt;=5200,IF(N(INDEX(客户自备加工筐明细!$F$4:$F$1203,$Z188-4000))=0,"",N(INDEX(客户自备加工筐明细!$F$4:$F$1203,$Z188-4000))),IF($Z188&lt;=5800,"","")))))</f>
        <v/>
      </c>
      <c r="R188" s="16" t="str">
        <f>IF($Z188="","",IF($Z188&lt;=2000,IF(INDEX(包装物料出入库明细!$O$4:$O$2003,$Z188-0)=0,"",INDEX(包装物料出入库明细!$O$4:$O$2003,$Z188-0)),IF($Z188&lt;=4000,IF(INDEX(周转筐出入库明细!$M$4:$M$2004,$Z188-2000)=0,"",INDEX(周转筐出入库明细!$M$4:$M$2004,$Z188-2000)),IF($Z188&lt;=5200,IF(INDEX(客户自备加工筐明细!$H$4:$H$1203,$Z188-4000)=0,"",INDEX(客户自备加工筐明细!$H$4:$H$1203,$Z188-4000)),IF($Z188&lt;=5800,IF(INDEX(次果筐明细!$H$4:$H$603,$Z188-5200)=0,"",INDEX(次果筐明细!$H$4:$H$603,$Z188-5200)),"")))))</f>
        <v/>
      </c>
      <c r="S188" s="22" t="str">
        <f t="shared" si="8"/>
        <v/>
      </c>
      <c r="Z188" s="10" t="str">
        <f>IFERROR(MATCH(ROW()-3,_自动清单!$CQ$4:$CQ$5803,0),"")</f>
        <v/>
      </c>
    </row>
    <row r="189" spans="1:26">
      <c r="A189" s="24" t="str">
        <f t="shared" si="6"/>
        <v/>
      </c>
      <c r="B189" s="38" t="str">
        <f>IF($Z189="","",IF($Z189&lt;=2000,IF(INDEX(包装物料出入库明细!$B$4:$B$2003,$Z189-0)=0,"",INDEX(包装物料出入库明细!$B$4:$B$2003,$Z189-0)),IF($Z189&lt;=4000,IF(INDEX(周转筐出入库明细!$B$4:$B$2004,$Z189-2000)=0,"",INDEX(周转筐出入库明细!$B$4:$B$2004,$Z189-2000)),IF($Z189&lt;=5200,IF(INDEX(客户自备加工筐明细!$B$4:$B$1203,$Z189-4000)=0,"",INDEX(客户自备加工筐明细!$B$4:$B$1203,$Z189-4000)),IF($Z189&lt;=5800,IF(INDEX(次果筐明细!$B$4:$B$603,$Z189-5200)=0,"",INDEX(次果筐明细!$B$4:$B$603,$Z189-5200)),"")))))</f>
        <v/>
      </c>
      <c r="C189" s="37" t="str">
        <f>IF($Z189="","",IF($Z189&lt;=2000,IF(INDEX(包装物料出入库明细!$D$4:$D$2003,$Z189-0)=0,"",INDEX(包装物料出入库明细!$D$4:$D$2003,$Z189-0)),IF($Z189&lt;=4000,IF(INDEX(周转筐出入库明细!$C$4:$C$2004,$Z189-2000)=0,"",INDEX(周转筐出入库明细!$C$4:$C$2004,$Z189-2000)),IF($Z189&lt;=5200,IF(INDEX(客户自备加工筐明细!$E$4:$E$1203,$Z189-4000)=0,"",INDEX(客户自备加工筐明细!$E$4:$E$1203,$Z189-4000)),IF($Z189&lt;=5800,IF(INDEX(次果筐明细!$C$4:$C$603,$Z189-5200)=0,"",INDEX(次果筐明细!$C$4:$C$603,$Z189-5200)),"")))))</f>
        <v/>
      </c>
      <c r="D189" s="37" t="str">
        <f>IF($Z189="","",IF($Z189&lt;=2000,"包装物料－"&amp;INDEX(包装物料出入库明细!$H$4:$H$2003,$Z189-0),IF($Z189&lt;=4000,"周转筐－"&amp;INDEX(周转筐出入库明细!$F$4:$F$2004,$Z189-2000),IF($Z189&lt;=5200,"客户自备筐－"&amp;INDEX(客户自备加工筐明细!$J$4:$J$1203,$Z189-4000),IF($Z189&lt;=5800,"次果筐/托盘－"&amp;INDEX(次果筐明细!$F$4:$F$603,$Z189-5200),"")))))</f>
        <v/>
      </c>
      <c r="E189" s="24" t="str">
        <f>IF($Z189="","",IF($Z189&lt;=2000,IF(INDEX(包装物料出入库明细!$C$4:$C$2003,$Z189-0)=0,"",INDEX(包装物料出入库明细!$C$4:$C$2003,$Z189-0)),IF($Z189&lt;=4000,IF(INDEX(周转筐出入库明细!$E$4:$E$2004,$Z189-2000)=0,"",INDEX(周转筐出入库明细!$E$4:$E$2004,$Z189-2000)),IF($Z189&lt;=5200,IF(INDEX(客户自备加工筐明细!$D$4:$D$1203,$Z189-4000)=0,"",INDEX(客户自备加工筐明细!$D$4:$D$1203,$Z189-4000)),IF($Z189&lt;=5800,IF(INDEX(次果筐明细!$E$4:$E$603,$Z189-5200)=0,"",INDEX(次果筐明细!$E$4:$E$603,$Z189-5200)),"")))))</f>
        <v/>
      </c>
      <c r="F189" s="24" t="str">
        <f>IF($Z189="","",IF($Z189&lt;=2000,IF(INDEX(包装物料出入库明细!$E$4:$E$2003,$Z189-0)=0,"",INDEX(包装物料出入库明细!$E$4:$E$2003,$Z189-0)),IF($Z189&lt;=4000,IF(INDEX(周转筐出入库明细!$D$4:$D$2004,$Z189-2000)=0,"",INDEX(周转筐出入库明细!$D$4:$D$2004,$Z189-2000)),IF($Z189&lt;=5200,IF(INDEX(客户自备加工筐明细!$C$4:$C$1203,$Z189-4000)=0,"",INDEX(客户自备加工筐明细!$C$4:$C$1203,$Z189-4000)),IF($Z189&lt;=5800,IF(INDEX(次果筐明细!$D$4:$D$603,$Z189-5200)=0,"",INDEX(次果筐明细!$D$4:$D$603,$Z189-5200)),"")))))</f>
        <v/>
      </c>
      <c r="G189" s="24" t="str">
        <f>IF($Z189="","",IF($Z189&lt;=2000,IF(INDEX(包装物料出入库明细!$F$4:$F$2003,$Z189-0)=0,"",INDEX(包装物料出入库明细!$F$4:$F$2003,$Z189-0)),IF($Z189&lt;=4000,"",IF($Z189&lt;=5200,"",IF($Z189&lt;=5800,"","")))))</f>
        <v/>
      </c>
      <c r="H189" s="39" t="str">
        <f>IF($Z189="","",IF($Z189&lt;=2000,IF(INDEX(包装物料出入库明细!$L$4:$L$2003,$Z189-0)=0,"",INDEX(包装物料出入库明细!$L$4:$L$2003,$Z189-0)),IF($Z189&lt;=4000,N(INDEX(周转筐出入库明细!$H$4:$H$2004,$Z189-2000))+N(INDEX(周转筐出入库明细!$I$4:$I$2004,$Z189-2000))+N(INDEX(周转筐出入库明细!$J$4:$J$2004,$Z189-2000))+N(INDEX(周转筐出入库明细!$K$4:$K$2004,$Z189-2000)),IF($Z189&lt;=5200,N(INDEX(客户自备加工筐明细!$F$4:$F$1203,$Z189-4000))+N(INDEX(客户自备加工筐明细!$G$4:$G$1203,$Z189-4000)),IF($Z189&lt;=5800,IF(INDEX(次果筐明细!$G$4:$G$603,$Z189-5200)=0,"",INDEX(次果筐明细!$G$4:$G$603,$Z189-5200)),"")))))</f>
        <v/>
      </c>
      <c r="I189" s="24" t="str">
        <f>IF($Z189="","",IF($Z189&lt;=2000,IF(INDEX(包装物料出入库明细!$G$4:$G$2003,$Z189-0)=0,"",INDEX(包装物料出入库明细!$G$4:$G$2003,$Z189-0)),IF($Z189&lt;=4000,"个",IF($Z189&lt;=5200,"个",IF($Z189&lt;=5800,"个","")))))</f>
        <v/>
      </c>
      <c r="J189" s="30" t="str">
        <f t="shared" si="7"/>
        <v/>
      </c>
      <c r="K189" s="30" t="str">
        <f>IF($Z189="","",IF($Z189&lt;=2000,IF(INDEX(包装物料出入库明细!$N$4:$N$2003,$Z189-0)=0,"",INDEX(包装物料出入库明细!$N$4:$N$2003,$Z189-0)),IF($Z189&lt;=4000,IF(INDEX(周转筐出入库明细!$P$4:$P$2004,$Z189-2000)=0,"",INDEX(周转筐出入库明细!$P$4:$P$2004,$Z189-2000)),IF($Z189&lt;=5200,"",IF($Z189&lt;=5800,N(INDEX(次果筐明细!$L$4:$L$603,$Z189-5200))+N(INDEX(次果筐明细!$J$4:$J$603,$Z189-5200)),"")))))</f>
        <v/>
      </c>
      <c r="L189" s="24" t="str">
        <f>IF($Z189="","",IF($Z189&lt;=2000,IF(INDEX(包装物料出入库明细!$P$4:$P$2003,$Z189-0)=0,"",INDEX(包装物料出入库明细!$P$4:$P$2003,$Z189-0)),IF($Z189&lt;=4000,IF(INDEX(周转筐出入库明细!$Q$4:$Q$2004,$Z189-2000)=0,"",INDEX(周转筐出入库明细!$Q$4:$Q$2004,$Z189-2000)),IF($Z189&lt;=5200,"",IF($Z189&lt;=5800,IF(INDEX(次果筐明细!$M$4:$M$603,$Z189-5200)=0,"",INDEX(次果筐明细!$M$4:$M$603,$Z189-5200)),"")))))</f>
        <v/>
      </c>
      <c r="M189" s="37" t="str">
        <f>IF($Z189="","",IF($Z189&lt;=2000,IF(INDEX(包装物料出入库明细!$R$4:$R$2003,$Z189-0)=0,"",INDEX(包装物料出入库明细!$R$4:$R$2003,$Z189-0)),IF($Z189&lt;=4000,IF(INDEX(周转筐出入库明细!$W$4:$W$2004,$Z189-2000)=0,"",INDEX(周转筐出入库明细!$W$4:$W$2004,$Z189-2000)),IF($Z189&lt;=5200,IF(INDEX(客户自备加工筐明细!$L$4:$L$1203,$Z189-4000)=0,"",INDEX(客户自备加工筐明细!$L$4:$L$1203,$Z189-4000)),IF($Z189&lt;=5800,IF(INDEX(次果筐明细!$P$4:$P$603,$Z189-5200)=0,"",INDEX(次果筐明细!$P$4:$P$603,$Z189-5200)),"")))))</f>
        <v/>
      </c>
      <c r="N189" s="16" t="str">
        <f>IF($Z189="","",IF($Z189&lt;=2000,"",IF($Z189&lt;=4000,IF(INDEX(周转筐出入库明细!$D$4:$D$2004,$Z189-2000)=0,"",INDEX(周转筐出入库明细!$D$4:$D$2004,$Z189-2000)),IF($Z189&lt;=5200,IF(INDEX(客户自备加工筐明细!$C$4:$C$1203,$Z189-4000)=0,"",INDEX(客户自备加工筐明细!$C$4:$C$1203,$Z189-4000)),IF($Z189&lt;=5800,IF(INDEX(次果筐明细!$D$4:$D$603,$Z189-5200)=0,"",INDEX(次果筐明细!$D$4:$D$603,$Z189-5200)),"")))))</f>
        <v/>
      </c>
      <c r="O189" s="40" t="str">
        <f>IF($Z189="","",IF($Z189&lt;=2000,"",IF($Z189&lt;=4000,IF(N(INDEX(周转筐出入库明细!$J$4:$J$2004,$Z189-2000))+N(INDEX(周转筐出入库明细!$K$4:$K$2004,$Z189-2000))=0,"",N(INDEX(周转筐出入库明细!$J$4:$J$2004,$Z189-2000))+N(INDEX(周转筐出入库明细!$K$4:$K$2004,$Z189-2000))),IF($Z189&lt;=5200,IF(N(INDEX(客户自备加工筐明细!$G$4:$G$1203,$Z189-4000))=0,"",N(INDEX(客户自备加工筐明细!$G$4:$G$1203,$Z189-4000))),IF($Z189&lt;=5800,IF(ISNUMBER(SEARCH("退",INDEX(次果筐明细!$F$4:$F$603,$Z189-5200)&amp;"")),"",IF(N(INDEX(次果筐明细!$G$4:$G$603,$Z189-5200))=0,"",N(INDEX(次果筐明细!$G$4:$G$603,$Z189-5200)))),"")))))</f>
        <v/>
      </c>
      <c r="P189" s="40" t="str">
        <f>IF($Z189="","",IF($Z189&lt;=2000,"",IF($Z189&lt;=4000,IF(N(INDEX(周转筐出入库明细!$I$4:$I$2004,$Z189-2000))=0,"",N(INDEX(周转筐出入库明细!$I$4:$I$2004,$Z189-2000))),IF($Z189&lt;=5200,"",IF($Z189&lt;=5800,IF(ISNUMBER(SEARCH("退",INDEX(次果筐明细!$F$4:$F$603,$Z189-5200)&amp;"")),IF(N(INDEX(次果筐明细!$G$4:$G$603,$Z189-5200))=0,"",N(INDEX(次果筐明细!$G$4:$G$603,$Z189-5200))),""),"")))))</f>
        <v/>
      </c>
      <c r="Q189" s="40" t="str">
        <f>IF($Z189="","",IF($Z189&lt;=2000,"",IF($Z189&lt;=4000,IF(N(INDEX(周转筐出入库明细!$H$4:$H$2004,$Z189-2000))=0,"",N(INDEX(周转筐出入库明细!$H$4:$H$2004,$Z189-2000))),IF($Z189&lt;=5200,IF(N(INDEX(客户自备加工筐明细!$F$4:$F$1203,$Z189-4000))=0,"",N(INDEX(客户自备加工筐明细!$F$4:$F$1203,$Z189-4000))),IF($Z189&lt;=5800,"","")))))</f>
        <v/>
      </c>
      <c r="R189" s="16" t="str">
        <f>IF($Z189="","",IF($Z189&lt;=2000,IF(INDEX(包装物料出入库明细!$O$4:$O$2003,$Z189-0)=0,"",INDEX(包装物料出入库明细!$O$4:$O$2003,$Z189-0)),IF($Z189&lt;=4000,IF(INDEX(周转筐出入库明细!$M$4:$M$2004,$Z189-2000)=0,"",INDEX(周转筐出入库明细!$M$4:$M$2004,$Z189-2000)),IF($Z189&lt;=5200,IF(INDEX(客户自备加工筐明细!$H$4:$H$1203,$Z189-4000)=0,"",INDEX(客户自备加工筐明细!$H$4:$H$1203,$Z189-4000)),IF($Z189&lt;=5800,IF(INDEX(次果筐明细!$H$4:$H$603,$Z189-5200)=0,"",INDEX(次果筐明细!$H$4:$H$603,$Z189-5200)),"")))))</f>
        <v/>
      </c>
      <c r="S189" s="22" t="str">
        <f t="shared" si="8"/>
        <v/>
      </c>
      <c r="Z189" s="10" t="str">
        <f>IFERROR(MATCH(ROW()-3,_自动清单!$CQ$4:$CQ$5803,0),"")</f>
        <v/>
      </c>
    </row>
    <row r="190" spans="1:26">
      <c r="A190" s="24" t="str">
        <f t="shared" si="6"/>
        <v/>
      </c>
      <c r="B190" s="38" t="str">
        <f>IF($Z190="","",IF($Z190&lt;=2000,IF(INDEX(包装物料出入库明细!$B$4:$B$2003,$Z190-0)=0,"",INDEX(包装物料出入库明细!$B$4:$B$2003,$Z190-0)),IF($Z190&lt;=4000,IF(INDEX(周转筐出入库明细!$B$4:$B$2004,$Z190-2000)=0,"",INDEX(周转筐出入库明细!$B$4:$B$2004,$Z190-2000)),IF($Z190&lt;=5200,IF(INDEX(客户自备加工筐明细!$B$4:$B$1203,$Z190-4000)=0,"",INDEX(客户自备加工筐明细!$B$4:$B$1203,$Z190-4000)),IF($Z190&lt;=5800,IF(INDEX(次果筐明细!$B$4:$B$603,$Z190-5200)=0,"",INDEX(次果筐明细!$B$4:$B$603,$Z190-5200)),"")))))</f>
        <v/>
      </c>
      <c r="C190" s="37" t="str">
        <f>IF($Z190="","",IF($Z190&lt;=2000,IF(INDEX(包装物料出入库明细!$D$4:$D$2003,$Z190-0)=0,"",INDEX(包装物料出入库明细!$D$4:$D$2003,$Z190-0)),IF($Z190&lt;=4000,IF(INDEX(周转筐出入库明细!$C$4:$C$2004,$Z190-2000)=0,"",INDEX(周转筐出入库明细!$C$4:$C$2004,$Z190-2000)),IF($Z190&lt;=5200,IF(INDEX(客户自备加工筐明细!$E$4:$E$1203,$Z190-4000)=0,"",INDEX(客户自备加工筐明细!$E$4:$E$1203,$Z190-4000)),IF($Z190&lt;=5800,IF(INDEX(次果筐明细!$C$4:$C$603,$Z190-5200)=0,"",INDEX(次果筐明细!$C$4:$C$603,$Z190-5200)),"")))))</f>
        <v/>
      </c>
      <c r="D190" s="37" t="str">
        <f>IF($Z190="","",IF($Z190&lt;=2000,"包装物料－"&amp;INDEX(包装物料出入库明细!$H$4:$H$2003,$Z190-0),IF($Z190&lt;=4000,"周转筐－"&amp;INDEX(周转筐出入库明细!$F$4:$F$2004,$Z190-2000),IF($Z190&lt;=5200,"客户自备筐－"&amp;INDEX(客户自备加工筐明细!$J$4:$J$1203,$Z190-4000),IF($Z190&lt;=5800,"次果筐/托盘－"&amp;INDEX(次果筐明细!$F$4:$F$603,$Z190-5200),"")))))</f>
        <v/>
      </c>
      <c r="E190" s="24" t="str">
        <f>IF($Z190="","",IF($Z190&lt;=2000,IF(INDEX(包装物料出入库明细!$C$4:$C$2003,$Z190-0)=0,"",INDEX(包装物料出入库明细!$C$4:$C$2003,$Z190-0)),IF($Z190&lt;=4000,IF(INDEX(周转筐出入库明细!$E$4:$E$2004,$Z190-2000)=0,"",INDEX(周转筐出入库明细!$E$4:$E$2004,$Z190-2000)),IF($Z190&lt;=5200,IF(INDEX(客户自备加工筐明细!$D$4:$D$1203,$Z190-4000)=0,"",INDEX(客户自备加工筐明细!$D$4:$D$1203,$Z190-4000)),IF($Z190&lt;=5800,IF(INDEX(次果筐明细!$E$4:$E$603,$Z190-5200)=0,"",INDEX(次果筐明细!$E$4:$E$603,$Z190-5200)),"")))))</f>
        <v/>
      </c>
      <c r="F190" s="24" t="str">
        <f>IF($Z190="","",IF($Z190&lt;=2000,IF(INDEX(包装物料出入库明细!$E$4:$E$2003,$Z190-0)=0,"",INDEX(包装物料出入库明细!$E$4:$E$2003,$Z190-0)),IF($Z190&lt;=4000,IF(INDEX(周转筐出入库明细!$D$4:$D$2004,$Z190-2000)=0,"",INDEX(周转筐出入库明细!$D$4:$D$2004,$Z190-2000)),IF($Z190&lt;=5200,IF(INDEX(客户自备加工筐明细!$C$4:$C$1203,$Z190-4000)=0,"",INDEX(客户自备加工筐明细!$C$4:$C$1203,$Z190-4000)),IF($Z190&lt;=5800,IF(INDEX(次果筐明细!$D$4:$D$603,$Z190-5200)=0,"",INDEX(次果筐明细!$D$4:$D$603,$Z190-5200)),"")))))</f>
        <v/>
      </c>
      <c r="G190" s="24" t="str">
        <f>IF($Z190="","",IF($Z190&lt;=2000,IF(INDEX(包装物料出入库明细!$F$4:$F$2003,$Z190-0)=0,"",INDEX(包装物料出入库明细!$F$4:$F$2003,$Z190-0)),IF($Z190&lt;=4000,"",IF($Z190&lt;=5200,"",IF($Z190&lt;=5800,"","")))))</f>
        <v/>
      </c>
      <c r="H190" s="39" t="str">
        <f>IF($Z190="","",IF($Z190&lt;=2000,IF(INDEX(包装物料出入库明细!$L$4:$L$2003,$Z190-0)=0,"",INDEX(包装物料出入库明细!$L$4:$L$2003,$Z190-0)),IF($Z190&lt;=4000,N(INDEX(周转筐出入库明细!$H$4:$H$2004,$Z190-2000))+N(INDEX(周转筐出入库明细!$I$4:$I$2004,$Z190-2000))+N(INDEX(周转筐出入库明细!$J$4:$J$2004,$Z190-2000))+N(INDEX(周转筐出入库明细!$K$4:$K$2004,$Z190-2000)),IF($Z190&lt;=5200,N(INDEX(客户自备加工筐明细!$F$4:$F$1203,$Z190-4000))+N(INDEX(客户自备加工筐明细!$G$4:$G$1203,$Z190-4000)),IF($Z190&lt;=5800,IF(INDEX(次果筐明细!$G$4:$G$603,$Z190-5200)=0,"",INDEX(次果筐明细!$G$4:$G$603,$Z190-5200)),"")))))</f>
        <v/>
      </c>
      <c r="I190" s="24" t="str">
        <f>IF($Z190="","",IF($Z190&lt;=2000,IF(INDEX(包装物料出入库明细!$G$4:$G$2003,$Z190-0)=0,"",INDEX(包装物料出入库明细!$G$4:$G$2003,$Z190-0)),IF($Z190&lt;=4000,"个",IF($Z190&lt;=5200,"个",IF($Z190&lt;=5800,"个","")))))</f>
        <v/>
      </c>
      <c r="J190" s="30" t="str">
        <f t="shared" si="7"/>
        <v/>
      </c>
      <c r="K190" s="30" t="str">
        <f>IF($Z190="","",IF($Z190&lt;=2000,IF(INDEX(包装物料出入库明细!$N$4:$N$2003,$Z190-0)=0,"",INDEX(包装物料出入库明细!$N$4:$N$2003,$Z190-0)),IF($Z190&lt;=4000,IF(INDEX(周转筐出入库明细!$P$4:$P$2004,$Z190-2000)=0,"",INDEX(周转筐出入库明细!$P$4:$P$2004,$Z190-2000)),IF($Z190&lt;=5200,"",IF($Z190&lt;=5800,N(INDEX(次果筐明细!$L$4:$L$603,$Z190-5200))+N(INDEX(次果筐明细!$J$4:$J$603,$Z190-5200)),"")))))</f>
        <v/>
      </c>
      <c r="L190" s="24" t="str">
        <f>IF($Z190="","",IF($Z190&lt;=2000,IF(INDEX(包装物料出入库明细!$P$4:$P$2003,$Z190-0)=0,"",INDEX(包装物料出入库明细!$P$4:$P$2003,$Z190-0)),IF($Z190&lt;=4000,IF(INDEX(周转筐出入库明细!$Q$4:$Q$2004,$Z190-2000)=0,"",INDEX(周转筐出入库明细!$Q$4:$Q$2004,$Z190-2000)),IF($Z190&lt;=5200,"",IF($Z190&lt;=5800,IF(INDEX(次果筐明细!$M$4:$M$603,$Z190-5200)=0,"",INDEX(次果筐明细!$M$4:$M$603,$Z190-5200)),"")))))</f>
        <v/>
      </c>
      <c r="M190" s="37" t="str">
        <f>IF($Z190="","",IF($Z190&lt;=2000,IF(INDEX(包装物料出入库明细!$R$4:$R$2003,$Z190-0)=0,"",INDEX(包装物料出入库明细!$R$4:$R$2003,$Z190-0)),IF($Z190&lt;=4000,IF(INDEX(周转筐出入库明细!$W$4:$W$2004,$Z190-2000)=0,"",INDEX(周转筐出入库明细!$W$4:$W$2004,$Z190-2000)),IF($Z190&lt;=5200,IF(INDEX(客户自备加工筐明细!$L$4:$L$1203,$Z190-4000)=0,"",INDEX(客户自备加工筐明细!$L$4:$L$1203,$Z190-4000)),IF($Z190&lt;=5800,IF(INDEX(次果筐明细!$P$4:$P$603,$Z190-5200)=0,"",INDEX(次果筐明细!$P$4:$P$603,$Z190-5200)),"")))))</f>
        <v/>
      </c>
      <c r="N190" s="16" t="str">
        <f>IF($Z190="","",IF($Z190&lt;=2000,"",IF($Z190&lt;=4000,IF(INDEX(周转筐出入库明细!$D$4:$D$2004,$Z190-2000)=0,"",INDEX(周转筐出入库明细!$D$4:$D$2004,$Z190-2000)),IF($Z190&lt;=5200,IF(INDEX(客户自备加工筐明细!$C$4:$C$1203,$Z190-4000)=0,"",INDEX(客户自备加工筐明细!$C$4:$C$1203,$Z190-4000)),IF($Z190&lt;=5800,IF(INDEX(次果筐明细!$D$4:$D$603,$Z190-5200)=0,"",INDEX(次果筐明细!$D$4:$D$603,$Z190-5200)),"")))))</f>
        <v/>
      </c>
      <c r="O190" s="40" t="str">
        <f>IF($Z190="","",IF($Z190&lt;=2000,"",IF($Z190&lt;=4000,IF(N(INDEX(周转筐出入库明细!$J$4:$J$2004,$Z190-2000))+N(INDEX(周转筐出入库明细!$K$4:$K$2004,$Z190-2000))=0,"",N(INDEX(周转筐出入库明细!$J$4:$J$2004,$Z190-2000))+N(INDEX(周转筐出入库明细!$K$4:$K$2004,$Z190-2000))),IF($Z190&lt;=5200,IF(N(INDEX(客户自备加工筐明细!$G$4:$G$1203,$Z190-4000))=0,"",N(INDEX(客户自备加工筐明细!$G$4:$G$1203,$Z190-4000))),IF($Z190&lt;=5800,IF(ISNUMBER(SEARCH("退",INDEX(次果筐明细!$F$4:$F$603,$Z190-5200)&amp;"")),"",IF(N(INDEX(次果筐明细!$G$4:$G$603,$Z190-5200))=0,"",N(INDEX(次果筐明细!$G$4:$G$603,$Z190-5200)))),"")))))</f>
        <v/>
      </c>
      <c r="P190" s="40" t="str">
        <f>IF($Z190="","",IF($Z190&lt;=2000,"",IF($Z190&lt;=4000,IF(N(INDEX(周转筐出入库明细!$I$4:$I$2004,$Z190-2000))=0,"",N(INDEX(周转筐出入库明细!$I$4:$I$2004,$Z190-2000))),IF($Z190&lt;=5200,"",IF($Z190&lt;=5800,IF(ISNUMBER(SEARCH("退",INDEX(次果筐明细!$F$4:$F$603,$Z190-5200)&amp;"")),IF(N(INDEX(次果筐明细!$G$4:$G$603,$Z190-5200))=0,"",N(INDEX(次果筐明细!$G$4:$G$603,$Z190-5200))),""),"")))))</f>
        <v/>
      </c>
      <c r="Q190" s="40" t="str">
        <f>IF($Z190="","",IF($Z190&lt;=2000,"",IF($Z190&lt;=4000,IF(N(INDEX(周转筐出入库明细!$H$4:$H$2004,$Z190-2000))=0,"",N(INDEX(周转筐出入库明细!$H$4:$H$2004,$Z190-2000))),IF($Z190&lt;=5200,IF(N(INDEX(客户自备加工筐明细!$F$4:$F$1203,$Z190-4000))=0,"",N(INDEX(客户自备加工筐明细!$F$4:$F$1203,$Z190-4000))),IF($Z190&lt;=5800,"","")))))</f>
        <v/>
      </c>
      <c r="R190" s="16" t="str">
        <f>IF($Z190="","",IF($Z190&lt;=2000,IF(INDEX(包装物料出入库明细!$O$4:$O$2003,$Z190-0)=0,"",INDEX(包装物料出入库明细!$O$4:$O$2003,$Z190-0)),IF($Z190&lt;=4000,IF(INDEX(周转筐出入库明细!$M$4:$M$2004,$Z190-2000)=0,"",INDEX(周转筐出入库明细!$M$4:$M$2004,$Z190-2000)),IF($Z190&lt;=5200,IF(INDEX(客户自备加工筐明细!$H$4:$H$1203,$Z190-4000)=0,"",INDEX(客户自备加工筐明细!$H$4:$H$1203,$Z190-4000)),IF($Z190&lt;=5800,IF(INDEX(次果筐明细!$H$4:$H$603,$Z190-5200)=0,"",INDEX(次果筐明细!$H$4:$H$603,$Z190-5200)),"")))))</f>
        <v/>
      </c>
      <c r="S190" s="22" t="str">
        <f t="shared" si="8"/>
        <v/>
      </c>
      <c r="Z190" s="10" t="str">
        <f>IFERROR(MATCH(ROW()-3,_自动清单!$CQ$4:$CQ$5803,0),"")</f>
        <v/>
      </c>
    </row>
    <row r="191" spans="1:26">
      <c r="A191" s="24" t="str">
        <f t="shared" si="6"/>
        <v/>
      </c>
      <c r="B191" s="38" t="str">
        <f>IF($Z191="","",IF($Z191&lt;=2000,IF(INDEX(包装物料出入库明细!$B$4:$B$2003,$Z191-0)=0,"",INDEX(包装物料出入库明细!$B$4:$B$2003,$Z191-0)),IF($Z191&lt;=4000,IF(INDEX(周转筐出入库明细!$B$4:$B$2004,$Z191-2000)=0,"",INDEX(周转筐出入库明细!$B$4:$B$2004,$Z191-2000)),IF($Z191&lt;=5200,IF(INDEX(客户自备加工筐明细!$B$4:$B$1203,$Z191-4000)=0,"",INDEX(客户自备加工筐明细!$B$4:$B$1203,$Z191-4000)),IF($Z191&lt;=5800,IF(INDEX(次果筐明细!$B$4:$B$603,$Z191-5200)=0,"",INDEX(次果筐明细!$B$4:$B$603,$Z191-5200)),"")))))</f>
        <v/>
      </c>
      <c r="C191" s="37" t="str">
        <f>IF($Z191="","",IF($Z191&lt;=2000,IF(INDEX(包装物料出入库明细!$D$4:$D$2003,$Z191-0)=0,"",INDEX(包装物料出入库明细!$D$4:$D$2003,$Z191-0)),IF($Z191&lt;=4000,IF(INDEX(周转筐出入库明细!$C$4:$C$2004,$Z191-2000)=0,"",INDEX(周转筐出入库明细!$C$4:$C$2004,$Z191-2000)),IF($Z191&lt;=5200,IF(INDEX(客户自备加工筐明细!$E$4:$E$1203,$Z191-4000)=0,"",INDEX(客户自备加工筐明细!$E$4:$E$1203,$Z191-4000)),IF($Z191&lt;=5800,IF(INDEX(次果筐明细!$C$4:$C$603,$Z191-5200)=0,"",INDEX(次果筐明细!$C$4:$C$603,$Z191-5200)),"")))))</f>
        <v/>
      </c>
      <c r="D191" s="37" t="str">
        <f>IF($Z191="","",IF($Z191&lt;=2000,"包装物料－"&amp;INDEX(包装物料出入库明细!$H$4:$H$2003,$Z191-0),IF($Z191&lt;=4000,"周转筐－"&amp;INDEX(周转筐出入库明细!$F$4:$F$2004,$Z191-2000),IF($Z191&lt;=5200,"客户自备筐－"&amp;INDEX(客户自备加工筐明细!$J$4:$J$1203,$Z191-4000),IF($Z191&lt;=5800,"次果筐/托盘－"&amp;INDEX(次果筐明细!$F$4:$F$603,$Z191-5200),"")))))</f>
        <v/>
      </c>
      <c r="E191" s="24" t="str">
        <f>IF($Z191="","",IF($Z191&lt;=2000,IF(INDEX(包装物料出入库明细!$C$4:$C$2003,$Z191-0)=0,"",INDEX(包装物料出入库明细!$C$4:$C$2003,$Z191-0)),IF($Z191&lt;=4000,IF(INDEX(周转筐出入库明细!$E$4:$E$2004,$Z191-2000)=0,"",INDEX(周转筐出入库明细!$E$4:$E$2004,$Z191-2000)),IF($Z191&lt;=5200,IF(INDEX(客户自备加工筐明细!$D$4:$D$1203,$Z191-4000)=0,"",INDEX(客户自备加工筐明细!$D$4:$D$1203,$Z191-4000)),IF($Z191&lt;=5800,IF(INDEX(次果筐明细!$E$4:$E$603,$Z191-5200)=0,"",INDEX(次果筐明细!$E$4:$E$603,$Z191-5200)),"")))))</f>
        <v/>
      </c>
      <c r="F191" s="24" t="str">
        <f>IF($Z191="","",IF($Z191&lt;=2000,IF(INDEX(包装物料出入库明细!$E$4:$E$2003,$Z191-0)=0,"",INDEX(包装物料出入库明细!$E$4:$E$2003,$Z191-0)),IF($Z191&lt;=4000,IF(INDEX(周转筐出入库明细!$D$4:$D$2004,$Z191-2000)=0,"",INDEX(周转筐出入库明细!$D$4:$D$2004,$Z191-2000)),IF($Z191&lt;=5200,IF(INDEX(客户自备加工筐明细!$C$4:$C$1203,$Z191-4000)=0,"",INDEX(客户自备加工筐明细!$C$4:$C$1203,$Z191-4000)),IF($Z191&lt;=5800,IF(INDEX(次果筐明细!$D$4:$D$603,$Z191-5200)=0,"",INDEX(次果筐明细!$D$4:$D$603,$Z191-5200)),"")))))</f>
        <v/>
      </c>
      <c r="G191" s="24" t="str">
        <f>IF($Z191="","",IF($Z191&lt;=2000,IF(INDEX(包装物料出入库明细!$F$4:$F$2003,$Z191-0)=0,"",INDEX(包装物料出入库明细!$F$4:$F$2003,$Z191-0)),IF($Z191&lt;=4000,"",IF($Z191&lt;=5200,"",IF($Z191&lt;=5800,"","")))))</f>
        <v/>
      </c>
      <c r="H191" s="39" t="str">
        <f>IF($Z191="","",IF($Z191&lt;=2000,IF(INDEX(包装物料出入库明细!$L$4:$L$2003,$Z191-0)=0,"",INDEX(包装物料出入库明细!$L$4:$L$2003,$Z191-0)),IF($Z191&lt;=4000,N(INDEX(周转筐出入库明细!$H$4:$H$2004,$Z191-2000))+N(INDEX(周转筐出入库明细!$I$4:$I$2004,$Z191-2000))+N(INDEX(周转筐出入库明细!$J$4:$J$2004,$Z191-2000))+N(INDEX(周转筐出入库明细!$K$4:$K$2004,$Z191-2000)),IF($Z191&lt;=5200,N(INDEX(客户自备加工筐明细!$F$4:$F$1203,$Z191-4000))+N(INDEX(客户自备加工筐明细!$G$4:$G$1203,$Z191-4000)),IF($Z191&lt;=5800,IF(INDEX(次果筐明细!$G$4:$G$603,$Z191-5200)=0,"",INDEX(次果筐明细!$G$4:$G$603,$Z191-5200)),"")))))</f>
        <v/>
      </c>
      <c r="I191" s="24" t="str">
        <f>IF($Z191="","",IF($Z191&lt;=2000,IF(INDEX(包装物料出入库明细!$G$4:$G$2003,$Z191-0)=0,"",INDEX(包装物料出入库明细!$G$4:$G$2003,$Z191-0)),IF($Z191&lt;=4000,"个",IF($Z191&lt;=5200,"个",IF($Z191&lt;=5800,"个","")))))</f>
        <v/>
      </c>
      <c r="J191" s="30" t="str">
        <f t="shared" si="7"/>
        <v/>
      </c>
      <c r="K191" s="30" t="str">
        <f>IF($Z191="","",IF($Z191&lt;=2000,IF(INDEX(包装物料出入库明细!$N$4:$N$2003,$Z191-0)=0,"",INDEX(包装物料出入库明细!$N$4:$N$2003,$Z191-0)),IF($Z191&lt;=4000,IF(INDEX(周转筐出入库明细!$P$4:$P$2004,$Z191-2000)=0,"",INDEX(周转筐出入库明细!$P$4:$P$2004,$Z191-2000)),IF($Z191&lt;=5200,"",IF($Z191&lt;=5800,N(INDEX(次果筐明细!$L$4:$L$603,$Z191-5200))+N(INDEX(次果筐明细!$J$4:$J$603,$Z191-5200)),"")))))</f>
        <v/>
      </c>
      <c r="L191" s="24" t="str">
        <f>IF($Z191="","",IF($Z191&lt;=2000,IF(INDEX(包装物料出入库明细!$P$4:$P$2003,$Z191-0)=0,"",INDEX(包装物料出入库明细!$P$4:$P$2003,$Z191-0)),IF($Z191&lt;=4000,IF(INDEX(周转筐出入库明细!$Q$4:$Q$2004,$Z191-2000)=0,"",INDEX(周转筐出入库明细!$Q$4:$Q$2004,$Z191-2000)),IF($Z191&lt;=5200,"",IF($Z191&lt;=5800,IF(INDEX(次果筐明细!$M$4:$M$603,$Z191-5200)=0,"",INDEX(次果筐明细!$M$4:$M$603,$Z191-5200)),"")))))</f>
        <v/>
      </c>
      <c r="M191" s="37" t="str">
        <f>IF($Z191="","",IF($Z191&lt;=2000,IF(INDEX(包装物料出入库明细!$R$4:$R$2003,$Z191-0)=0,"",INDEX(包装物料出入库明细!$R$4:$R$2003,$Z191-0)),IF($Z191&lt;=4000,IF(INDEX(周转筐出入库明细!$W$4:$W$2004,$Z191-2000)=0,"",INDEX(周转筐出入库明细!$W$4:$W$2004,$Z191-2000)),IF($Z191&lt;=5200,IF(INDEX(客户自备加工筐明细!$L$4:$L$1203,$Z191-4000)=0,"",INDEX(客户自备加工筐明细!$L$4:$L$1203,$Z191-4000)),IF($Z191&lt;=5800,IF(INDEX(次果筐明细!$P$4:$P$603,$Z191-5200)=0,"",INDEX(次果筐明细!$P$4:$P$603,$Z191-5200)),"")))))</f>
        <v/>
      </c>
      <c r="N191" s="16" t="str">
        <f>IF($Z191="","",IF($Z191&lt;=2000,"",IF($Z191&lt;=4000,IF(INDEX(周转筐出入库明细!$D$4:$D$2004,$Z191-2000)=0,"",INDEX(周转筐出入库明细!$D$4:$D$2004,$Z191-2000)),IF($Z191&lt;=5200,IF(INDEX(客户自备加工筐明细!$C$4:$C$1203,$Z191-4000)=0,"",INDEX(客户自备加工筐明细!$C$4:$C$1203,$Z191-4000)),IF($Z191&lt;=5800,IF(INDEX(次果筐明细!$D$4:$D$603,$Z191-5200)=0,"",INDEX(次果筐明细!$D$4:$D$603,$Z191-5200)),"")))))</f>
        <v/>
      </c>
      <c r="O191" s="40" t="str">
        <f>IF($Z191="","",IF($Z191&lt;=2000,"",IF($Z191&lt;=4000,IF(N(INDEX(周转筐出入库明细!$J$4:$J$2004,$Z191-2000))+N(INDEX(周转筐出入库明细!$K$4:$K$2004,$Z191-2000))=0,"",N(INDEX(周转筐出入库明细!$J$4:$J$2004,$Z191-2000))+N(INDEX(周转筐出入库明细!$K$4:$K$2004,$Z191-2000))),IF($Z191&lt;=5200,IF(N(INDEX(客户自备加工筐明细!$G$4:$G$1203,$Z191-4000))=0,"",N(INDEX(客户自备加工筐明细!$G$4:$G$1203,$Z191-4000))),IF($Z191&lt;=5800,IF(ISNUMBER(SEARCH("退",INDEX(次果筐明细!$F$4:$F$603,$Z191-5200)&amp;"")),"",IF(N(INDEX(次果筐明细!$G$4:$G$603,$Z191-5200))=0,"",N(INDEX(次果筐明细!$G$4:$G$603,$Z191-5200)))),"")))))</f>
        <v/>
      </c>
      <c r="P191" s="40" t="str">
        <f>IF($Z191="","",IF($Z191&lt;=2000,"",IF($Z191&lt;=4000,IF(N(INDEX(周转筐出入库明细!$I$4:$I$2004,$Z191-2000))=0,"",N(INDEX(周转筐出入库明细!$I$4:$I$2004,$Z191-2000))),IF($Z191&lt;=5200,"",IF($Z191&lt;=5800,IF(ISNUMBER(SEARCH("退",INDEX(次果筐明细!$F$4:$F$603,$Z191-5200)&amp;"")),IF(N(INDEX(次果筐明细!$G$4:$G$603,$Z191-5200))=0,"",N(INDEX(次果筐明细!$G$4:$G$603,$Z191-5200))),""),"")))))</f>
        <v/>
      </c>
      <c r="Q191" s="40" t="str">
        <f>IF($Z191="","",IF($Z191&lt;=2000,"",IF($Z191&lt;=4000,IF(N(INDEX(周转筐出入库明细!$H$4:$H$2004,$Z191-2000))=0,"",N(INDEX(周转筐出入库明细!$H$4:$H$2004,$Z191-2000))),IF($Z191&lt;=5200,IF(N(INDEX(客户自备加工筐明细!$F$4:$F$1203,$Z191-4000))=0,"",N(INDEX(客户自备加工筐明细!$F$4:$F$1203,$Z191-4000))),IF($Z191&lt;=5800,"","")))))</f>
        <v/>
      </c>
      <c r="R191" s="16" t="str">
        <f>IF($Z191="","",IF($Z191&lt;=2000,IF(INDEX(包装物料出入库明细!$O$4:$O$2003,$Z191-0)=0,"",INDEX(包装物料出入库明细!$O$4:$O$2003,$Z191-0)),IF($Z191&lt;=4000,IF(INDEX(周转筐出入库明细!$M$4:$M$2004,$Z191-2000)=0,"",INDEX(周转筐出入库明细!$M$4:$M$2004,$Z191-2000)),IF($Z191&lt;=5200,IF(INDEX(客户自备加工筐明细!$H$4:$H$1203,$Z191-4000)=0,"",INDEX(客户自备加工筐明细!$H$4:$H$1203,$Z191-4000)),IF($Z191&lt;=5800,IF(INDEX(次果筐明细!$H$4:$H$603,$Z191-5200)=0,"",INDEX(次果筐明细!$H$4:$H$603,$Z191-5200)),"")))))</f>
        <v/>
      </c>
      <c r="S191" s="22" t="str">
        <f t="shared" si="8"/>
        <v/>
      </c>
      <c r="Z191" s="10" t="str">
        <f>IFERROR(MATCH(ROW()-3,_自动清单!$CQ$4:$CQ$5803,0),"")</f>
        <v/>
      </c>
    </row>
    <row r="192" spans="1:26">
      <c r="A192" s="24" t="str">
        <f t="shared" si="6"/>
        <v/>
      </c>
      <c r="B192" s="38" t="str">
        <f>IF($Z192="","",IF($Z192&lt;=2000,IF(INDEX(包装物料出入库明细!$B$4:$B$2003,$Z192-0)=0,"",INDEX(包装物料出入库明细!$B$4:$B$2003,$Z192-0)),IF($Z192&lt;=4000,IF(INDEX(周转筐出入库明细!$B$4:$B$2004,$Z192-2000)=0,"",INDEX(周转筐出入库明细!$B$4:$B$2004,$Z192-2000)),IF($Z192&lt;=5200,IF(INDEX(客户自备加工筐明细!$B$4:$B$1203,$Z192-4000)=0,"",INDEX(客户自备加工筐明细!$B$4:$B$1203,$Z192-4000)),IF($Z192&lt;=5800,IF(INDEX(次果筐明细!$B$4:$B$603,$Z192-5200)=0,"",INDEX(次果筐明细!$B$4:$B$603,$Z192-5200)),"")))))</f>
        <v/>
      </c>
      <c r="C192" s="37" t="str">
        <f>IF($Z192="","",IF($Z192&lt;=2000,IF(INDEX(包装物料出入库明细!$D$4:$D$2003,$Z192-0)=0,"",INDEX(包装物料出入库明细!$D$4:$D$2003,$Z192-0)),IF($Z192&lt;=4000,IF(INDEX(周转筐出入库明细!$C$4:$C$2004,$Z192-2000)=0,"",INDEX(周转筐出入库明细!$C$4:$C$2004,$Z192-2000)),IF($Z192&lt;=5200,IF(INDEX(客户自备加工筐明细!$E$4:$E$1203,$Z192-4000)=0,"",INDEX(客户自备加工筐明细!$E$4:$E$1203,$Z192-4000)),IF($Z192&lt;=5800,IF(INDEX(次果筐明细!$C$4:$C$603,$Z192-5200)=0,"",INDEX(次果筐明细!$C$4:$C$603,$Z192-5200)),"")))))</f>
        <v/>
      </c>
      <c r="D192" s="37" t="str">
        <f>IF($Z192="","",IF($Z192&lt;=2000,"包装物料－"&amp;INDEX(包装物料出入库明细!$H$4:$H$2003,$Z192-0),IF($Z192&lt;=4000,"周转筐－"&amp;INDEX(周转筐出入库明细!$F$4:$F$2004,$Z192-2000),IF($Z192&lt;=5200,"客户自备筐－"&amp;INDEX(客户自备加工筐明细!$J$4:$J$1203,$Z192-4000),IF($Z192&lt;=5800,"次果筐/托盘－"&amp;INDEX(次果筐明细!$F$4:$F$603,$Z192-5200),"")))))</f>
        <v/>
      </c>
      <c r="E192" s="24" t="str">
        <f>IF($Z192="","",IF($Z192&lt;=2000,IF(INDEX(包装物料出入库明细!$C$4:$C$2003,$Z192-0)=0,"",INDEX(包装物料出入库明细!$C$4:$C$2003,$Z192-0)),IF($Z192&lt;=4000,IF(INDEX(周转筐出入库明细!$E$4:$E$2004,$Z192-2000)=0,"",INDEX(周转筐出入库明细!$E$4:$E$2004,$Z192-2000)),IF($Z192&lt;=5200,IF(INDEX(客户自备加工筐明细!$D$4:$D$1203,$Z192-4000)=0,"",INDEX(客户自备加工筐明细!$D$4:$D$1203,$Z192-4000)),IF($Z192&lt;=5800,IF(INDEX(次果筐明细!$E$4:$E$603,$Z192-5200)=0,"",INDEX(次果筐明细!$E$4:$E$603,$Z192-5200)),"")))))</f>
        <v/>
      </c>
      <c r="F192" s="24" t="str">
        <f>IF($Z192="","",IF($Z192&lt;=2000,IF(INDEX(包装物料出入库明细!$E$4:$E$2003,$Z192-0)=0,"",INDEX(包装物料出入库明细!$E$4:$E$2003,$Z192-0)),IF($Z192&lt;=4000,IF(INDEX(周转筐出入库明细!$D$4:$D$2004,$Z192-2000)=0,"",INDEX(周转筐出入库明细!$D$4:$D$2004,$Z192-2000)),IF($Z192&lt;=5200,IF(INDEX(客户自备加工筐明细!$C$4:$C$1203,$Z192-4000)=0,"",INDEX(客户自备加工筐明细!$C$4:$C$1203,$Z192-4000)),IF($Z192&lt;=5800,IF(INDEX(次果筐明细!$D$4:$D$603,$Z192-5200)=0,"",INDEX(次果筐明细!$D$4:$D$603,$Z192-5200)),"")))))</f>
        <v/>
      </c>
      <c r="G192" s="24" t="str">
        <f>IF($Z192="","",IF($Z192&lt;=2000,IF(INDEX(包装物料出入库明细!$F$4:$F$2003,$Z192-0)=0,"",INDEX(包装物料出入库明细!$F$4:$F$2003,$Z192-0)),IF($Z192&lt;=4000,"",IF($Z192&lt;=5200,"",IF($Z192&lt;=5800,"","")))))</f>
        <v/>
      </c>
      <c r="H192" s="39" t="str">
        <f>IF($Z192="","",IF($Z192&lt;=2000,IF(INDEX(包装物料出入库明细!$L$4:$L$2003,$Z192-0)=0,"",INDEX(包装物料出入库明细!$L$4:$L$2003,$Z192-0)),IF($Z192&lt;=4000,N(INDEX(周转筐出入库明细!$H$4:$H$2004,$Z192-2000))+N(INDEX(周转筐出入库明细!$I$4:$I$2004,$Z192-2000))+N(INDEX(周转筐出入库明细!$J$4:$J$2004,$Z192-2000))+N(INDEX(周转筐出入库明细!$K$4:$K$2004,$Z192-2000)),IF($Z192&lt;=5200,N(INDEX(客户自备加工筐明细!$F$4:$F$1203,$Z192-4000))+N(INDEX(客户自备加工筐明细!$G$4:$G$1203,$Z192-4000)),IF($Z192&lt;=5800,IF(INDEX(次果筐明细!$G$4:$G$603,$Z192-5200)=0,"",INDEX(次果筐明细!$G$4:$G$603,$Z192-5200)),"")))))</f>
        <v/>
      </c>
      <c r="I192" s="24" t="str">
        <f>IF($Z192="","",IF($Z192&lt;=2000,IF(INDEX(包装物料出入库明细!$G$4:$G$2003,$Z192-0)=0,"",INDEX(包装物料出入库明细!$G$4:$G$2003,$Z192-0)),IF($Z192&lt;=4000,"个",IF($Z192&lt;=5200,"个",IF($Z192&lt;=5800,"个","")))))</f>
        <v/>
      </c>
      <c r="J192" s="30" t="str">
        <f t="shared" si="7"/>
        <v/>
      </c>
      <c r="K192" s="30" t="str">
        <f>IF($Z192="","",IF($Z192&lt;=2000,IF(INDEX(包装物料出入库明细!$N$4:$N$2003,$Z192-0)=0,"",INDEX(包装物料出入库明细!$N$4:$N$2003,$Z192-0)),IF($Z192&lt;=4000,IF(INDEX(周转筐出入库明细!$P$4:$P$2004,$Z192-2000)=0,"",INDEX(周转筐出入库明细!$P$4:$P$2004,$Z192-2000)),IF($Z192&lt;=5200,"",IF($Z192&lt;=5800,N(INDEX(次果筐明细!$L$4:$L$603,$Z192-5200))+N(INDEX(次果筐明细!$J$4:$J$603,$Z192-5200)),"")))))</f>
        <v/>
      </c>
      <c r="L192" s="24" t="str">
        <f>IF($Z192="","",IF($Z192&lt;=2000,IF(INDEX(包装物料出入库明细!$P$4:$P$2003,$Z192-0)=0,"",INDEX(包装物料出入库明细!$P$4:$P$2003,$Z192-0)),IF($Z192&lt;=4000,IF(INDEX(周转筐出入库明细!$Q$4:$Q$2004,$Z192-2000)=0,"",INDEX(周转筐出入库明细!$Q$4:$Q$2004,$Z192-2000)),IF($Z192&lt;=5200,"",IF($Z192&lt;=5800,IF(INDEX(次果筐明细!$M$4:$M$603,$Z192-5200)=0,"",INDEX(次果筐明细!$M$4:$M$603,$Z192-5200)),"")))))</f>
        <v/>
      </c>
      <c r="M192" s="37" t="str">
        <f>IF($Z192="","",IF($Z192&lt;=2000,IF(INDEX(包装物料出入库明细!$R$4:$R$2003,$Z192-0)=0,"",INDEX(包装物料出入库明细!$R$4:$R$2003,$Z192-0)),IF($Z192&lt;=4000,IF(INDEX(周转筐出入库明细!$W$4:$W$2004,$Z192-2000)=0,"",INDEX(周转筐出入库明细!$W$4:$W$2004,$Z192-2000)),IF($Z192&lt;=5200,IF(INDEX(客户自备加工筐明细!$L$4:$L$1203,$Z192-4000)=0,"",INDEX(客户自备加工筐明细!$L$4:$L$1203,$Z192-4000)),IF($Z192&lt;=5800,IF(INDEX(次果筐明细!$P$4:$P$603,$Z192-5200)=0,"",INDEX(次果筐明细!$P$4:$P$603,$Z192-5200)),"")))))</f>
        <v/>
      </c>
      <c r="N192" s="16" t="str">
        <f>IF($Z192="","",IF($Z192&lt;=2000,"",IF($Z192&lt;=4000,IF(INDEX(周转筐出入库明细!$D$4:$D$2004,$Z192-2000)=0,"",INDEX(周转筐出入库明细!$D$4:$D$2004,$Z192-2000)),IF($Z192&lt;=5200,IF(INDEX(客户自备加工筐明细!$C$4:$C$1203,$Z192-4000)=0,"",INDEX(客户自备加工筐明细!$C$4:$C$1203,$Z192-4000)),IF($Z192&lt;=5800,IF(INDEX(次果筐明细!$D$4:$D$603,$Z192-5200)=0,"",INDEX(次果筐明细!$D$4:$D$603,$Z192-5200)),"")))))</f>
        <v/>
      </c>
      <c r="O192" s="40" t="str">
        <f>IF($Z192="","",IF($Z192&lt;=2000,"",IF($Z192&lt;=4000,IF(N(INDEX(周转筐出入库明细!$J$4:$J$2004,$Z192-2000))+N(INDEX(周转筐出入库明细!$K$4:$K$2004,$Z192-2000))=0,"",N(INDEX(周转筐出入库明细!$J$4:$J$2004,$Z192-2000))+N(INDEX(周转筐出入库明细!$K$4:$K$2004,$Z192-2000))),IF($Z192&lt;=5200,IF(N(INDEX(客户自备加工筐明细!$G$4:$G$1203,$Z192-4000))=0,"",N(INDEX(客户自备加工筐明细!$G$4:$G$1203,$Z192-4000))),IF($Z192&lt;=5800,IF(ISNUMBER(SEARCH("退",INDEX(次果筐明细!$F$4:$F$603,$Z192-5200)&amp;"")),"",IF(N(INDEX(次果筐明细!$G$4:$G$603,$Z192-5200))=0,"",N(INDEX(次果筐明细!$G$4:$G$603,$Z192-5200)))),"")))))</f>
        <v/>
      </c>
      <c r="P192" s="40" t="str">
        <f>IF($Z192="","",IF($Z192&lt;=2000,"",IF($Z192&lt;=4000,IF(N(INDEX(周转筐出入库明细!$I$4:$I$2004,$Z192-2000))=0,"",N(INDEX(周转筐出入库明细!$I$4:$I$2004,$Z192-2000))),IF($Z192&lt;=5200,"",IF($Z192&lt;=5800,IF(ISNUMBER(SEARCH("退",INDEX(次果筐明细!$F$4:$F$603,$Z192-5200)&amp;"")),IF(N(INDEX(次果筐明细!$G$4:$G$603,$Z192-5200))=0,"",N(INDEX(次果筐明细!$G$4:$G$603,$Z192-5200))),""),"")))))</f>
        <v/>
      </c>
      <c r="Q192" s="40" t="str">
        <f>IF($Z192="","",IF($Z192&lt;=2000,"",IF($Z192&lt;=4000,IF(N(INDEX(周转筐出入库明细!$H$4:$H$2004,$Z192-2000))=0,"",N(INDEX(周转筐出入库明细!$H$4:$H$2004,$Z192-2000))),IF($Z192&lt;=5200,IF(N(INDEX(客户自备加工筐明细!$F$4:$F$1203,$Z192-4000))=0,"",N(INDEX(客户自备加工筐明细!$F$4:$F$1203,$Z192-4000))),IF($Z192&lt;=5800,"","")))))</f>
        <v/>
      </c>
      <c r="R192" s="16" t="str">
        <f>IF($Z192="","",IF($Z192&lt;=2000,IF(INDEX(包装物料出入库明细!$O$4:$O$2003,$Z192-0)=0,"",INDEX(包装物料出入库明细!$O$4:$O$2003,$Z192-0)),IF($Z192&lt;=4000,IF(INDEX(周转筐出入库明细!$M$4:$M$2004,$Z192-2000)=0,"",INDEX(周转筐出入库明细!$M$4:$M$2004,$Z192-2000)),IF($Z192&lt;=5200,IF(INDEX(客户自备加工筐明细!$H$4:$H$1203,$Z192-4000)=0,"",INDEX(客户自备加工筐明细!$H$4:$H$1203,$Z192-4000)),IF($Z192&lt;=5800,IF(INDEX(次果筐明细!$H$4:$H$603,$Z192-5200)=0,"",INDEX(次果筐明细!$H$4:$H$603,$Z192-5200)),"")))))</f>
        <v/>
      </c>
      <c r="S192" s="22" t="str">
        <f t="shared" si="8"/>
        <v/>
      </c>
      <c r="Z192" s="10" t="str">
        <f>IFERROR(MATCH(ROW()-3,_自动清单!$CQ$4:$CQ$5803,0),"")</f>
        <v/>
      </c>
    </row>
    <row r="193" spans="1:26">
      <c r="A193" s="24" t="str">
        <f t="shared" si="6"/>
        <v/>
      </c>
      <c r="B193" s="38" t="str">
        <f>IF($Z193="","",IF($Z193&lt;=2000,IF(INDEX(包装物料出入库明细!$B$4:$B$2003,$Z193-0)=0,"",INDEX(包装物料出入库明细!$B$4:$B$2003,$Z193-0)),IF($Z193&lt;=4000,IF(INDEX(周转筐出入库明细!$B$4:$B$2004,$Z193-2000)=0,"",INDEX(周转筐出入库明细!$B$4:$B$2004,$Z193-2000)),IF($Z193&lt;=5200,IF(INDEX(客户自备加工筐明细!$B$4:$B$1203,$Z193-4000)=0,"",INDEX(客户自备加工筐明细!$B$4:$B$1203,$Z193-4000)),IF($Z193&lt;=5800,IF(INDEX(次果筐明细!$B$4:$B$603,$Z193-5200)=0,"",INDEX(次果筐明细!$B$4:$B$603,$Z193-5200)),"")))))</f>
        <v/>
      </c>
      <c r="C193" s="37" t="str">
        <f>IF($Z193="","",IF($Z193&lt;=2000,IF(INDEX(包装物料出入库明细!$D$4:$D$2003,$Z193-0)=0,"",INDEX(包装物料出入库明细!$D$4:$D$2003,$Z193-0)),IF($Z193&lt;=4000,IF(INDEX(周转筐出入库明细!$C$4:$C$2004,$Z193-2000)=0,"",INDEX(周转筐出入库明细!$C$4:$C$2004,$Z193-2000)),IF($Z193&lt;=5200,IF(INDEX(客户自备加工筐明细!$E$4:$E$1203,$Z193-4000)=0,"",INDEX(客户自备加工筐明细!$E$4:$E$1203,$Z193-4000)),IF($Z193&lt;=5800,IF(INDEX(次果筐明细!$C$4:$C$603,$Z193-5200)=0,"",INDEX(次果筐明细!$C$4:$C$603,$Z193-5200)),"")))))</f>
        <v/>
      </c>
      <c r="D193" s="37" t="str">
        <f>IF($Z193="","",IF($Z193&lt;=2000,"包装物料－"&amp;INDEX(包装物料出入库明细!$H$4:$H$2003,$Z193-0),IF($Z193&lt;=4000,"周转筐－"&amp;INDEX(周转筐出入库明细!$F$4:$F$2004,$Z193-2000),IF($Z193&lt;=5200,"客户自备筐－"&amp;INDEX(客户自备加工筐明细!$J$4:$J$1203,$Z193-4000),IF($Z193&lt;=5800,"次果筐/托盘－"&amp;INDEX(次果筐明细!$F$4:$F$603,$Z193-5200),"")))))</f>
        <v/>
      </c>
      <c r="E193" s="24" t="str">
        <f>IF($Z193="","",IF($Z193&lt;=2000,IF(INDEX(包装物料出入库明细!$C$4:$C$2003,$Z193-0)=0,"",INDEX(包装物料出入库明细!$C$4:$C$2003,$Z193-0)),IF($Z193&lt;=4000,IF(INDEX(周转筐出入库明细!$E$4:$E$2004,$Z193-2000)=0,"",INDEX(周转筐出入库明细!$E$4:$E$2004,$Z193-2000)),IF($Z193&lt;=5200,IF(INDEX(客户自备加工筐明细!$D$4:$D$1203,$Z193-4000)=0,"",INDEX(客户自备加工筐明细!$D$4:$D$1203,$Z193-4000)),IF($Z193&lt;=5800,IF(INDEX(次果筐明细!$E$4:$E$603,$Z193-5200)=0,"",INDEX(次果筐明细!$E$4:$E$603,$Z193-5200)),"")))))</f>
        <v/>
      </c>
      <c r="F193" s="24" t="str">
        <f>IF($Z193="","",IF($Z193&lt;=2000,IF(INDEX(包装物料出入库明细!$E$4:$E$2003,$Z193-0)=0,"",INDEX(包装物料出入库明细!$E$4:$E$2003,$Z193-0)),IF($Z193&lt;=4000,IF(INDEX(周转筐出入库明细!$D$4:$D$2004,$Z193-2000)=0,"",INDEX(周转筐出入库明细!$D$4:$D$2004,$Z193-2000)),IF($Z193&lt;=5200,IF(INDEX(客户自备加工筐明细!$C$4:$C$1203,$Z193-4000)=0,"",INDEX(客户自备加工筐明细!$C$4:$C$1203,$Z193-4000)),IF($Z193&lt;=5800,IF(INDEX(次果筐明细!$D$4:$D$603,$Z193-5200)=0,"",INDEX(次果筐明细!$D$4:$D$603,$Z193-5200)),"")))))</f>
        <v/>
      </c>
      <c r="G193" s="24" t="str">
        <f>IF($Z193="","",IF($Z193&lt;=2000,IF(INDEX(包装物料出入库明细!$F$4:$F$2003,$Z193-0)=0,"",INDEX(包装物料出入库明细!$F$4:$F$2003,$Z193-0)),IF($Z193&lt;=4000,"",IF($Z193&lt;=5200,"",IF($Z193&lt;=5800,"","")))))</f>
        <v/>
      </c>
      <c r="H193" s="39" t="str">
        <f>IF($Z193="","",IF($Z193&lt;=2000,IF(INDEX(包装物料出入库明细!$L$4:$L$2003,$Z193-0)=0,"",INDEX(包装物料出入库明细!$L$4:$L$2003,$Z193-0)),IF($Z193&lt;=4000,N(INDEX(周转筐出入库明细!$H$4:$H$2004,$Z193-2000))+N(INDEX(周转筐出入库明细!$I$4:$I$2004,$Z193-2000))+N(INDEX(周转筐出入库明细!$J$4:$J$2004,$Z193-2000))+N(INDEX(周转筐出入库明细!$K$4:$K$2004,$Z193-2000)),IF($Z193&lt;=5200,N(INDEX(客户自备加工筐明细!$F$4:$F$1203,$Z193-4000))+N(INDEX(客户自备加工筐明细!$G$4:$G$1203,$Z193-4000)),IF($Z193&lt;=5800,IF(INDEX(次果筐明细!$G$4:$G$603,$Z193-5200)=0,"",INDEX(次果筐明细!$G$4:$G$603,$Z193-5200)),"")))))</f>
        <v/>
      </c>
      <c r="I193" s="24" t="str">
        <f>IF($Z193="","",IF($Z193&lt;=2000,IF(INDEX(包装物料出入库明细!$G$4:$G$2003,$Z193-0)=0,"",INDEX(包装物料出入库明细!$G$4:$G$2003,$Z193-0)),IF($Z193&lt;=4000,"个",IF($Z193&lt;=5200,"个",IF($Z193&lt;=5800,"个","")))))</f>
        <v/>
      </c>
      <c r="J193" s="30" t="str">
        <f t="shared" si="7"/>
        <v/>
      </c>
      <c r="K193" s="30" t="str">
        <f>IF($Z193="","",IF($Z193&lt;=2000,IF(INDEX(包装物料出入库明细!$N$4:$N$2003,$Z193-0)=0,"",INDEX(包装物料出入库明细!$N$4:$N$2003,$Z193-0)),IF($Z193&lt;=4000,IF(INDEX(周转筐出入库明细!$P$4:$P$2004,$Z193-2000)=0,"",INDEX(周转筐出入库明细!$P$4:$P$2004,$Z193-2000)),IF($Z193&lt;=5200,"",IF($Z193&lt;=5800,N(INDEX(次果筐明细!$L$4:$L$603,$Z193-5200))+N(INDEX(次果筐明细!$J$4:$J$603,$Z193-5200)),"")))))</f>
        <v/>
      </c>
      <c r="L193" s="24" t="str">
        <f>IF($Z193="","",IF($Z193&lt;=2000,IF(INDEX(包装物料出入库明细!$P$4:$P$2003,$Z193-0)=0,"",INDEX(包装物料出入库明细!$P$4:$P$2003,$Z193-0)),IF($Z193&lt;=4000,IF(INDEX(周转筐出入库明细!$Q$4:$Q$2004,$Z193-2000)=0,"",INDEX(周转筐出入库明细!$Q$4:$Q$2004,$Z193-2000)),IF($Z193&lt;=5200,"",IF($Z193&lt;=5800,IF(INDEX(次果筐明细!$M$4:$M$603,$Z193-5200)=0,"",INDEX(次果筐明细!$M$4:$M$603,$Z193-5200)),"")))))</f>
        <v/>
      </c>
      <c r="M193" s="37" t="str">
        <f>IF($Z193="","",IF($Z193&lt;=2000,IF(INDEX(包装物料出入库明细!$R$4:$R$2003,$Z193-0)=0,"",INDEX(包装物料出入库明细!$R$4:$R$2003,$Z193-0)),IF($Z193&lt;=4000,IF(INDEX(周转筐出入库明细!$W$4:$W$2004,$Z193-2000)=0,"",INDEX(周转筐出入库明细!$W$4:$W$2004,$Z193-2000)),IF($Z193&lt;=5200,IF(INDEX(客户自备加工筐明细!$L$4:$L$1203,$Z193-4000)=0,"",INDEX(客户自备加工筐明细!$L$4:$L$1203,$Z193-4000)),IF($Z193&lt;=5800,IF(INDEX(次果筐明细!$P$4:$P$603,$Z193-5200)=0,"",INDEX(次果筐明细!$P$4:$P$603,$Z193-5200)),"")))))</f>
        <v/>
      </c>
      <c r="N193" s="16" t="str">
        <f>IF($Z193="","",IF($Z193&lt;=2000,"",IF($Z193&lt;=4000,IF(INDEX(周转筐出入库明细!$D$4:$D$2004,$Z193-2000)=0,"",INDEX(周转筐出入库明细!$D$4:$D$2004,$Z193-2000)),IF($Z193&lt;=5200,IF(INDEX(客户自备加工筐明细!$C$4:$C$1203,$Z193-4000)=0,"",INDEX(客户自备加工筐明细!$C$4:$C$1203,$Z193-4000)),IF($Z193&lt;=5800,IF(INDEX(次果筐明细!$D$4:$D$603,$Z193-5200)=0,"",INDEX(次果筐明细!$D$4:$D$603,$Z193-5200)),"")))))</f>
        <v/>
      </c>
      <c r="O193" s="40" t="str">
        <f>IF($Z193="","",IF($Z193&lt;=2000,"",IF($Z193&lt;=4000,IF(N(INDEX(周转筐出入库明细!$J$4:$J$2004,$Z193-2000))+N(INDEX(周转筐出入库明细!$K$4:$K$2004,$Z193-2000))=0,"",N(INDEX(周转筐出入库明细!$J$4:$J$2004,$Z193-2000))+N(INDEX(周转筐出入库明细!$K$4:$K$2004,$Z193-2000))),IF($Z193&lt;=5200,IF(N(INDEX(客户自备加工筐明细!$G$4:$G$1203,$Z193-4000))=0,"",N(INDEX(客户自备加工筐明细!$G$4:$G$1203,$Z193-4000))),IF($Z193&lt;=5800,IF(ISNUMBER(SEARCH("退",INDEX(次果筐明细!$F$4:$F$603,$Z193-5200)&amp;"")),"",IF(N(INDEX(次果筐明细!$G$4:$G$603,$Z193-5200))=0,"",N(INDEX(次果筐明细!$G$4:$G$603,$Z193-5200)))),"")))))</f>
        <v/>
      </c>
      <c r="P193" s="40" t="str">
        <f>IF($Z193="","",IF($Z193&lt;=2000,"",IF($Z193&lt;=4000,IF(N(INDEX(周转筐出入库明细!$I$4:$I$2004,$Z193-2000))=0,"",N(INDEX(周转筐出入库明细!$I$4:$I$2004,$Z193-2000))),IF($Z193&lt;=5200,"",IF($Z193&lt;=5800,IF(ISNUMBER(SEARCH("退",INDEX(次果筐明细!$F$4:$F$603,$Z193-5200)&amp;"")),IF(N(INDEX(次果筐明细!$G$4:$G$603,$Z193-5200))=0,"",N(INDEX(次果筐明细!$G$4:$G$603,$Z193-5200))),""),"")))))</f>
        <v/>
      </c>
      <c r="Q193" s="40" t="str">
        <f>IF($Z193="","",IF($Z193&lt;=2000,"",IF($Z193&lt;=4000,IF(N(INDEX(周转筐出入库明细!$H$4:$H$2004,$Z193-2000))=0,"",N(INDEX(周转筐出入库明细!$H$4:$H$2004,$Z193-2000))),IF($Z193&lt;=5200,IF(N(INDEX(客户自备加工筐明细!$F$4:$F$1203,$Z193-4000))=0,"",N(INDEX(客户自备加工筐明细!$F$4:$F$1203,$Z193-4000))),IF($Z193&lt;=5800,"","")))))</f>
        <v/>
      </c>
      <c r="R193" s="16" t="str">
        <f>IF($Z193="","",IF($Z193&lt;=2000,IF(INDEX(包装物料出入库明细!$O$4:$O$2003,$Z193-0)=0,"",INDEX(包装物料出入库明细!$O$4:$O$2003,$Z193-0)),IF($Z193&lt;=4000,IF(INDEX(周转筐出入库明细!$M$4:$M$2004,$Z193-2000)=0,"",INDEX(周转筐出入库明细!$M$4:$M$2004,$Z193-2000)),IF($Z193&lt;=5200,IF(INDEX(客户自备加工筐明细!$H$4:$H$1203,$Z193-4000)=0,"",INDEX(客户自备加工筐明细!$H$4:$H$1203,$Z193-4000)),IF($Z193&lt;=5800,IF(INDEX(次果筐明细!$H$4:$H$603,$Z193-5200)=0,"",INDEX(次果筐明细!$H$4:$H$603,$Z193-5200)),"")))))</f>
        <v/>
      </c>
      <c r="S193" s="22" t="str">
        <f t="shared" si="8"/>
        <v/>
      </c>
      <c r="Z193" s="10" t="str">
        <f>IFERROR(MATCH(ROW()-3,_自动清单!$CQ$4:$CQ$5803,0),"")</f>
        <v/>
      </c>
    </row>
    <row r="194" spans="1:26">
      <c r="A194" s="24" t="str">
        <f t="shared" si="6"/>
        <v/>
      </c>
      <c r="B194" s="38" t="str">
        <f>IF($Z194="","",IF($Z194&lt;=2000,IF(INDEX(包装物料出入库明细!$B$4:$B$2003,$Z194-0)=0,"",INDEX(包装物料出入库明细!$B$4:$B$2003,$Z194-0)),IF($Z194&lt;=4000,IF(INDEX(周转筐出入库明细!$B$4:$B$2004,$Z194-2000)=0,"",INDEX(周转筐出入库明细!$B$4:$B$2004,$Z194-2000)),IF($Z194&lt;=5200,IF(INDEX(客户自备加工筐明细!$B$4:$B$1203,$Z194-4000)=0,"",INDEX(客户自备加工筐明细!$B$4:$B$1203,$Z194-4000)),IF($Z194&lt;=5800,IF(INDEX(次果筐明细!$B$4:$B$603,$Z194-5200)=0,"",INDEX(次果筐明细!$B$4:$B$603,$Z194-5200)),"")))))</f>
        <v/>
      </c>
      <c r="C194" s="37" t="str">
        <f>IF($Z194="","",IF($Z194&lt;=2000,IF(INDEX(包装物料出入库明细!$D$4:$D$2003,$Z194-0)=0,"",INDEX(包装物料出入库明细!$D$4:$D$2003,$Z194-0)),IF($Z194&lt;=4000,IF(INDEX(周转筐出入库明细!$C$4:$C$2004,$Z194-2000)=0,"",INDEX(周转筐出入库明细!$C$4:$C$2004,$Z194-2000)),IF($Z194&lt;=5200,IF(INDEX(客户自备加工筐明细!$E$4:$E$1203,$Z194-4000)=0,"",INDEX(客户自备加工筐明细!$E$4:$E$1203,$Z194-4000)),IF($Z194&lt;=5800,IF(INDEX(次果筐明细!$C$4:$C$603,$Z194-5200)=0,"",INDEX(次果筐明细!$C$4:$C$603,$Z194-5200)),"")))))</f>
        <v/>
      </c>
      <c r="D194" s="37" t="str">
        <f>IF($Z194="","",IF($Z194&lt;=2000,"包装物料－"&amp;INDEX(包装物料出入库明细!$H$4:$H$2003,$Z194-0),IF($Z194&lt;=4000,"周转筐－"&amp;INDEX(周转筐出入库明细!$F$4:$F$2004,$Z194-2000),IF($Z194&lt;=5200,"客户自备筐－"&amp;INDEX(客户自备加工筐明细!$J$4:$J$1203,$Z194-4000),IF($Z194&lt;=5800,"次果筐/托盘－"&amp;INDEX(次果筐明细!$F$4:$F$603,$Z194-5200),"")))))</f>
        <v/>
      </c>
      <c r="E194" s="24" t="str">
        <f>IF($Z194="","",IF($Z194&lt;=2000,IF(INDEX(包装物料出入库明细!$C$4:$C$2003,$Z194-0)=0,"",INDEX(包装物料出入库明细!$C$4:$C$2003,$Z194-0)),IF($Z194&lt;=4000,IF(INDEX(周转筐出入库明细!$E$4:$E$2004,$Z194-2000)=0,"",INDEX(周转筐出入库明细!$E$4:$E$2004,$Z194-2000)),IF($Z194&lt;=5200,IF(INDEX(客户自备加工筐明细!$D$4:$D$1203,$Z194-4000)=0,"",INDEX(客户自备加工筐明细!$D$4:$D$1203,$Z194-4000)),IF($Z194&lt;=5800,IF(INDEX(次果筐明细!$E$4:$E$603,$Z194-5200)=0,"",INDEX(次果筐明细!$E$4:$E$603,$Z194-5200)),"")))))</f>
        <v/>
      </c>
      <c r="F194" s="24" t="str">
        <f>IF($Z194="","",IF($Z194&lt;=2000,IF(INDEX(包装物料出入库明细!$E$4:$E$2003,$Z194-0)=0,"",INDEX(包装物料出入库明细!$E$4:$E$2003,$Z194-0)),IF($Z194&lt;=4000,IF(INDEX(周转筐出入库明细!$D$4:$D$2004,$Z194-2000)=0,"",INDEX(周转筐出入库明细!$D$4:$D$2004,$Z194-2000)),IF($Z194&lt;=5200,IF(INDEX(客户自备加工筐明细!$C$4:$C$1203,$Z194-4000)=0,"",INDEX(客户自备加工筐明细!$C$4:$C$1203,$Z194-4000)),IF($Z194&lt;=5800,IF(INDEX(次果筐明细!$D$4:$D$603,$Z194-5200)=0,"",INDEX(次果筐明细!$D$4:$D$603,$Z194-5200)),"")))))</f>
        <v/>
      </c>
      <c r="G194" s="24" t="str">
        <f>IF($Z194="","",IF($Z194&lt;=2000,IF(INDEX(包装物料出入库明细!$F$4:$F$2003,$Z194-0)=0,"",INDEX(包装物料出入库明细!$F$4:$F$2003,$Z194-0)),IF($Z194&lt;=4000,"",IF($Z194&lt;=5200,"",IF($Z194&lt;=5800,"","")))))</f>
        <v/>
      </c>
      <c r="H194" s="39" t="str">
        <f>IF($Z194="","",IF($Z194&lt;=2000,IF(INDEX(包装物料出入库明细!$L$4:$L$2003,$Z194-0)=0,"",INDEX(包装物料出入库明细!$L$4:$L$2003,$Z194-0)),IF($Z194&lt;=4000,N(INDEX(周转筐出入库明细!$H$4:$H$2004,$Z194-2000))+N(INDEX(周转筐出入库明细!$I$4:$I$2004,$Z194-2000))+N(INDEX(周转筐出入库明细!$J$4:$J$2004,$Z194-2000))+N(INDEX(周转筐出入库明细!$K$4:$K$2004,$Z194-2000)),IF($Z194&lt;=5200,N(INDEX(客户自备加工筐明细!$F$4:$F$1203,$Z194-4000))+N(INDEX(客户自备加工筐明细!$G$4:$G$1203,$Z194-4000)),IF($Z194&lt;=5800,IF(INDEX(次果筐明细!$G$4:$G$603,$Z194-5200)=0,"",INDEX(次果筐明细!$G$4:$G$603,$Z194-5200)),"")))))</f>
        <v/>
      </c>
      <c r="I194" s="24" t="str">
        <f>IF($Z194="","",IF($Z194&lt;=2000,IF(INDEX(包装物料出入库明细!$G$4:$G$2003,$Z194-0)=0,"",INDEX(包装物料出入库明细!$G$4:$G$2003,$Z194-0)),IF($Z194&lt;=4000,"个",IF($Z194&lt;=5200,"个",IF($Z194&lt;=5800,"个","")))))</f>
        <v/>
      </c>
      <c r="J194" s="30" t="str">
        <f t="shared" si="7"/>
        <v/>
      </c>
      <c r="K194" s="30" t="str">
        <f>IF($Z194="","",IF($Z194&lt;=2000,IF(INDEX(包装物料出入库明细!$N$4:$N$2003,$Z194-0)=0,"",INDEX(包装物料出入库明细!$N$4:$N$2003,$Z194-0)),IF($Z194&lt;=4000,IF(INDEX(周转筐出入库明细!$P$4:$P$2004,$Z194-2000)=0,"",INDEX(周转筐出入库明细!$P$4:$P$2004,$Z194-2000)),IF($Z194&lt;=5200,"",IF($Z194&lt;=5800,N(INDEX(次果筐明细!$L$4:$L$603,$Z194-5200))+N(INDEX(次果筐明细!$J$4:$J$603,$Z194-5200)),"")))))</f>
        <v/>
      </c>
      <c r="L194" s="24" t="str">
        <f>IF($Z194="","",IF($Z194&lt;=2000,IF(INDEX(包装物料出入库明细!$P$4:$P$2003,$Z194-0)=0,"",INDEX(包装物料出入库明细!$P$4:$P$2003,$Z194-0)),IF($Z194&lt;=4000,IF(INDEX(周转筐出入库明细!$Q$4:$Q$2004,$Z194-2000)=0,"",INDEX(周转筐出入库明细!$Q$4:$Q$2004,$Z194-2000)),IF($Z194&lt;=5200,"",IF($Z194&lt;=5800,IF(INDEX(次果筐明细!$M$4:$M$603,$Z194-5200)=0,"",INDEX(次果筐明细!$M$4:$M$603,$Z194-5200)),"")))))</f>
        <v/>
      </c>
      <c r="M194" s="37" t="str">
        <f>IF($Z194="","",IF($Z194&lt;=2000,IF(INDEX(包装物料出入库明细!$R$4:$R$2003,$Z194-0)=0,"",INDEX(包装物料出入库明细!$R$4:$R$2003,$Z194-0)),IF($Z194&lt;=4000,IF(INDEX(周转筐出入库明细!$W$4:$W$2004,$Z194-2000)=0,"",INDEX(周转筐出入库明细!$W$4:$W$2004,$Z194-2000)),IF($Z194&lt;=5200,IF(INDEX(客户自备加工筐明细!$L$4:$L$1203,$Z194-4000)=0,"",INDEX(客户自备加工筐明细!$L$4:$L$1203,$Z194-4000)),IF($Z194&lt;=5800,IF(INDEX(次果筐明细!$P$4:$P$603,$Z194-5200)=0,"",INDEX(次果筐明细!$P$4:$P$603,$Z194-5200)),"")))))</f>
        <v/>
      </c>
      <c r="N194" s="16" t="str">
        <f>IF($Z194="","",IF($Z194&lt;=2000,"",IF($Z194&lt;=4000,IF(INDEX(周转筐出入库明细!$D$4:$D$2004,$Z194-2000)=0,"",INDEX(周转筐出入库明细!$D$4:$D$2004,$Z194-2000)),IF($Z194&lt;=5200,IF(INDEX(客户自备加工筐明细!$C$4:$C$1203,$Z194-4000)=0,"",INDEX(客户自备加工筐明细!$C$4:$C$1203,$Z194-4000)),IF($Z194&lt;=5800,IF(INDEX(次果筐明细!$D$4:$D$603,$Z194-5200)=0,"",INDEX(次果筐明细!$D$4:$D$603,$Z194-5200)),"")))))</f>
        <v/>
      </c>
      <c r="O194" s="40" t="str">
        <f>IF($Z194="","",IF($Z194&lt;=2000,"",IF($Z194&lt;=4000,IF(N(INDEX(周转筐出入库明细!$J$4:$J$2004,$Z194-2000))+N(INDEX(周转筐出入库明细!$K$4:$K$2004,$Z194-2000))=0,"",N(INDEX(周转筐出入库明细!$J$4:$J$2004,$Z194-2000))+N(INDEX(周转筐出入库明细!$K$4:$K$2004,$Z194-2000))),IF($Z194&lt;=5200,IF(N(INDEX(客户自备加工筐明细!$G$4:$G$1203,$Z194-4000))=0,"",N(INDEX(客户自备加工筐明细!$G$4:$G$1203,$Z194-4000))),IF($Z194&lt;=5800,IF(ISNUMBER(SEARCH("退",INDEX(次果筐明细!$F$4:$F$603,$Z194-5200)&amp;"")),"",IF(N(INDEX(次果筐明细!$G$4:$G$603,$Z194-5200))=0,"",N(INDEX(次果筐明细!$G$4:$G$603,$Z194-5200)))),"")))))</f>
        <v/>
      </c>
      <c r="P194" s="40" t="str">
        <f>IF($Z194="","",IF($Z194&lt;=2000,"",IF($Z194&lt;=4000,IF(N(INDEX(周转筐出入库明细!$I$4:$I$2004,$Z194-2000))=0,"",N(INDEX(周转筐出入库明细!$I$4:$I$2004,$Z194-2000))),IF($Z194&lt;=5200,"",IF($Z194&lt;=5800,IF(ISNUMBER(SEARCH("退",INDEX(次果筐明细!$F$4:$F$603,$Z194-5200)&amp;"")),IF(N(INDEX(次果筐明细!$G$4:$G$603,$Z194-5200))=0,"",N(INDEX(次果筐明细!$G$4:$G$603,$Z194-5200))),""),"")))))</f>
        <v/>
      </c>
      <c r="Q194" s="40" t="str">
        <f>IF($Z194="","",IF($Z194&lt;=2000,"",IF($Z194&lt;=4000,IF(N(INDEX(周转筐出入库明细!$H$4:$H$2004,$Z194-2000))=0,"",N(INDEX(周转筐出入库明细!$H$4:$H$2004,$Z194-2000))),IF($Z194&lt;=5200,IF(N(INDEX(客户自备加工筐明细!$F$4:$F$1203,$Z194-4000))=0,"",N(INDEX(客户自备加工筐明细!$F$4:$F$1203,$Z194-4000))),IF($Z194&lt;=5800,"","")))))</f>
        <v/>
      </c>
      <c r="R194" s="16" t="str">
        <f>IF($Z194="","",IF($Z194&lt;=2000,IF(INDEX(包装物料出入库明细!$O$4:$O$2003,$Z194-0)=0,"",INDEX(包装物料出入库明细!$O$4:$O$2003,$Z194-0)),IF($Z194&lt;=4000,IF(INDEX(周转筐出入库明细!$M$4:$M$2004,$Z194-2000)=0,"",INDEX(周转筐出入库明细!$M$4:$M$2004,$Z194-2000)),IF($Z194&lt;=5200,IF(INDEX(客户自备加工筐明细!$H$4:$H$1203,$Z194-4000)=0,"",INDEX(客户自备加工筐明细!$H$4:$H$1203,$Z194-4000)),IF($Z194&lt;=5800,IF(INDEX(次果筐明细!$H$4:$H$603,$Z194-5200)=0,"",INDEX(次果筐明细!$H$4:$H$603,$Z194-5200)),"")))))</f>
        <v/>
      </c>
      <c r="S194" s="22" t="str">
        <f t="shared" si="8"/>
        <v/>
      </c>
      <c r="Z194" s="10" t="str">
        <f>IFERROR(MATCH(ROW()-3,_自动清单!$CQ$4:$CQ$5803,0),"")</f>
        <v/>
      </c>
    </row>
    <row r="195" spans="1:26">
      <c r="A195" s="24" t="str">
        <f t="shared" si="6"/>
        <v/>
      </c>
      <c r="B195" s="38" t="str">
        <f>IF($Z195="","",IF($Z195&lt;=2000,IF(INDEX(包装物料出入库明细!$B$4:$B$2003,$Z195-0)=0,"",INDEX(包装物料出入库明细!$B$4:$B$2003,$Z195-0)),IF($Z195&lt;=4000,IF(INDEX(周转筐出入库明细!$B$4:$B$2004,$Z195-2000)=0,"",INDEX(周转筐出入库明细!$B$4:$B$2004,$Z195-2000)),IF($Z195&lt;=5200,IF(INDEX(客户自备加工筐明细!$B$4:$B$1203,$Z195-4000)=0,"",INDEX(客户自备加工筐明细!$B$4:$B$1203,$Z195-4000)),IF($Z195&lt;=5800,IF(INDEX(次果筐明细!$B$4:$B$603,$Z195-5200)=0,"",INDEX(次果筐明细!$B$4:$B$603,$Z195-5200)),"")))))</f>
        <v/>
      </c>
      <c r="C195" s="37" t="str">
        <f>IF($Z195="","",IF($Z195&lt;=2000,IF(INDEX(包装物料出入库明细!$D$4:$D$2003,$Z195-0)=0,"",INDEX(包装物料出入库明细!$D$4:$D$2003,$Z195-0)),IF($Z195&lt;=4000,IF(INDEX(周转筐出入库明细!$C$4:$C$2004,$Z195-2000)=0,"",INDEX(周转筐出入库明细!$C$4:$C$2004,$Z195-2000)),IF($Z195&lt;=5200,IF(INDEX(客户自备加工筐明细!$E$4:$E$1203,$Z195-4000)=0,"",INDEX(客户自备加工筐明细!$E$4:$E$1203,$Z195-4000)),IF($Z195&lt;=5800,IF(INDEX(次果筐明细!$C$4:$C$603,$Z195-5200)=0,"",INDEX(次果筐明细!$C$4:$C$603,$Z195-5200)),"")))))</f>
        <v/>
      </c>
      <c r="D195" s="37" t="str">
        <f>IF($Z195="","",IF($Z195&lt;=2000,"包装物料－"&amp;INDEX(包装物料出入库明细!$H$4:$H$2003,$Z195-0),IF($Z195&lt;=4000,"周转筐－"&amp;INDEX(周转筐出入库明细!$F$4:$F$2004,$Z195-2000),IF($Z195&lt;=5200,"客户自备筐－"&amp;INDEX(客户自备加工筐明细!$J$4:$J$1203,$Z195-4000),IF($Z195&lt;=5800,"次果筐/托盘－"&amp;INDEX(次果筐明细!$F$4:$F$603,$Z195-5200),"")))))</f>
        <v/>
      </c>
      <c r="E195" s="24" t="str">
        <f>IF($Z195="","",IF($Z195&lt;=2000,IF(INDEX(包装物料出入库明细!$C$4:$C$2003,$Z195-0)=0,"",INDEX(包装物料出入库明细!$C$4:$C$2003,$Z195-0)),IF($Z195&lt;=4000,IF(INDEX(周转筐出入库明细!$E$4:$E$2004,$Z195-2000)=0,"",INDEX(周转筐出入库明细!$E$4:$E$2004,$Z195-2000)),IF($Z195&lt;=5200,IF(INDEX(客户自备加工筐明细!$D$4:$D$1203,$Z195-4000)=0,"",INDEX(客户自备加工筐明细!$D$4:$D$1203,$Z195-4000)),IF($Z195&lt;=5800,IF(INDEX(次果筐明细!$E$4:$E$603,$Z195-5200)=0,"",INDEX(次果筐明细!$E$4:$E$603,$Z195-5200)),"")))))</f>
        <v/>
      </c>
      <c r="F195" s="24" t="str">
        <f>IF($Z195="","",IF($Z195&lt;=2000,IF(INDEX(包装物料出入库明细!$E$4:$E$2003,$Z195-0)=0,"",INDEX(包装物料出入库明细!$E$4:$E$2003,$Z195-0)),IF($Z195&lt;=4000,IF(INDEX(周转筐出入库明细!$D$4:$D$2004,$Z195-2000)=0,"",INDEX(周转筐出入库明细!$D$4:$D$2004,$Z195-2000)),IF($Z195&lt;=5200,IF(INDEX(客户自备加工筐明细!$C$4:$C$1203,$Z195-4000)=0,"",INDEX(客户自备加工筐明细!$C$4:$C$1203,$Z195-4000)),IF($Z195&lt;=5800,IF(INDEX(次果筐明细!$D$4:$D$603,$Z195-5200)=0,"",INDEX(次果筐明细!$D$4:$D$603,$Z195-5200)),"")))))</f>
        <v/>
      </c>
      <c r="G195" s="24" t="str">
        <f>IF($Z195="","",IF($Z195&lt;=2000,IF(INDEX(包装物料出入库明细!$F$4:$F$2003,$Z195-0)=0,"",INDEX(包装物料出入库明细!$F$4:$F$2003,$Z195-0)),IF($Z195&lt;=4000,"",IF($Z195&lt;=5200,"",IF($Z195&lt;=5800,"","")))))</f>
        <v/>
      </c>
      <c r="H195" s="39" t="str">
        <f>IF($Z195="","",IF($Z195&lt;=2000,IF(INDEX(包装物料出入库明细!$L$4:$L$2003,$Z195-0)=0,"",INDEX(包装物料出入库明细!$L$4:$L$2003,$Z195-0)),IF($Z195&lt;=4000,N(INDEX(周转筐出入库明细!$H$4:$H$2004,$Z195-2000))+N(INDEX(周转筐出入库明细!$I$4:$I$2004,$Z195-2000))+N(INDEX(周转筐出入库明细!$J$4:$J$2004,$Z195-2000))+N(INDEX(周转筐出入库明细!$K$4:$K$2004,$Z195-2000)),IF($Z195&lt;=5200,N(INDEX(客户自备加工筐明细!$F$4:$F$1203,$Z195-4000))+N(INDEX(客户自备加工筐明细!$G$4:$G$1203,$Z195-4000)),IF($Z195&lt;=5800,IF(INDEX(次果筐明细!$G$4:$G$603,$Z195-5200)=0,"",INDEX(次果筐明细!$G$4:$G$603,$Z195-5200)),"")))))</f>
        <v/>
      </c>
      <c r="I195" s="24" t="str">
        <f>IF($Z195="","",IF($Z195&lt;=2000,IF(INDEX(包装物料出入库明细!$G$4:$G$2003,$Z195-0)=0,"",INDEX(包装物料出入库明细!$G$4:$G$2003,$Z195-0)),IF($Z195&lt;=4000,"个",IF($Z195&lt;=5200,"个",IF($Z195&lt;=5800,"个","")))))</f>
        <v/>
      </c>
      <c r="J195" s="30" t="str">
        <f t="shared" si="7"/>
        <v/>
      </c>
      <c r="K195" s="30" t="str">
        <f>IF($Z195="","",IF($Z195&lt;=2000,IF(INDEX(包装物料出入库明细!$N$4:$N$2003,$Z195-0)=0,"",INDEX(包装物料出入库明细!$N$4:$N$2003,$Z195-0)),IF($Z195&lt;=4000,IF(INDEX(周转筐出入库明细!$P$4:$P$2004,$Z195-2000)=0,"",INDEX(周转筐出入库明细!$P$4:$P$2004,$Z195-2000)),IF($Z195&lt;=5200,"",IF($Z195&lt;=5800,N(INDEX(次果筐明细!$L$4:$L$603,$Z195-5200))+N(INDEX(次果筐明细!$J$4:$J$603,$Z195-5200)),"")))))</f>
        <v/>
      </c>
      <c r="L195" s="24" t="str">
        <f>IF($Z195="","",IF($Z195&lt;=2000,IF(INDEX(包装物料出入库明细!$P$4:$P$2003,$Z195-0)=0,"",INDEX(包装物料出入库明细!$P$4:$P$2003,$Z195-0)),IF($Z195&lt;=4000,IF(INDEX(周转筐出入库明细!$Q$4:$Q$2004,$Z195-2000)=0,"",INDEX(周转筐出入库明细!$Q$4:$Q$2004,$Z195-2000)),IF($Z195&lt;=5200,"",IF($Z195&lt;=5800,IF(INDEX(次果筐明细!$M$4:$M$603,$Z195-5200)=0,"",INDEX(次果筐明细!$M$4:$M$603,$Z195-5200)),"")))))</f>
        <v/>
      </c>
      <c r="M195" s="37" t="str">
        <f>IF($Z195="","",IF($Z195&lt;=2000,IF(INDEX(包装物料出入库明细!$R$4:$R$2003,$Z195-0)=0,"",INDEX(包装物料出入库明细!$R$4:$R$2003,$Z195-0)),IF($Z195&lt;=4000,IF(INDEX(周转筐出入库明细!$W$4:$W$2004,$Z195-2000)=0,"",INDEX(周转筐出入库明细!$W$4:$W$2004,$Z195-2000)),IF($Z195&lt;=5200,IF(INDEX(客户自备加工筐明细!$L$4:$L$1203,$Z195-4000)=0,"",INDEX(客户自备加工筐明细!$L$4:$L$1203,$Z195-4000)),IF($Z195&lt;=5800,IF(INDEX(次果筐明细!$P$4:$P$603,$Z195-5200)=0,"",INDEX(次果筐明细!$P$4:$P$603,$Z195-5200)),"")))))</f>
        <v/>
      </c>
      <c r="N195" s="16" t="str">
        <f>IF($Z195="","",IF($Z195&lt;=2000,"",IF($Z195&lt;=4000,IF(INDEX(周转筐出入库明细!$D$4:$D$2004,$Z195-2000)=0,"",INDEX(周转筐出入库明细!$D$4:$D$2004,$Z195-2000)),IF($Z195&lt;=5200,IF(INDEX(客户自备加工筐明细!$C$4:$C$1203,$Z195-4000)=0,"",INDEX(客户自备加工筐明细!$C$4:$C$1203,$Z195-4000)),IF($Z195&lt;=5800,IF(INDEX(次果筐明细!$D$4:$D$603,$Z195-5200)=0,"",INDEX(次果筐明细!$D$4:$D$603,$Z195-5200)),"")))))</f>
        <v/>
      </c>
      <c r="O195" s="40" t="str">
        <f>IF($Z195="","",IF($Z195&lt;=2000,"",IF($Z195&lt;=4000,IF(N(INDEX(周转筐出入库明细!$J$4:$J$2004,$Z195-2000))+N(INDEX(周转筐出入库明细!$K$4:$K$2004,$Z195-2000))=0,"",N(INDEX(周转筐出入库明细!$J$4:$J$2004,$Z195-2000))+N(INDEX(周转筐出入库明细!$K$4:$K$2004,$Z195-2000))),IF($Z195&lt;=5200,IF(N(INDEX(客户自备加工筐明细!$G$4:$G$1203,$Z195-4000))=0,"",N(INDEX(客户自备加工筐明细!$G$4:$G$1203,$Z195-4000))),IF($Z195&lt;=5800,IF(ISNUMBER(SEARCH("退",INDEX(次果筐明细!$F$4:$F$603,$Z195-5200)&amp;"")),"",IF(N(INDEX(次果筐明细!$G$4:$G$603,$Z195-5200))=0,"",N(INDEX(次果筐明细!$G$4:$G$603,$Z195-5200)))),"")))))</f>
        <v/>
      </c>
      <c r="P195" s="40" t="str">
        <f>IF($Z195="","",IF($Z195&lt;=2000,"",IF($Z195&lt;=4000,IF(N(INDEX(周转筐出入库明细!$I$4:$I$2004,$Z195-2000))=0,"",N(INDEX(周转筐出入库明细!$I$4:$I$2004,$Z195-2000))),IF($Z195&lt;=5200,"",IF($Z195&lt;=5800,IF(ISNUMBER(SEARCH("退",INDEX(次果筐明细!$F$4:$F$603,$Z195-5200)&amp;"")),IF(N(INDEX(次果筐明细!$G$4:$G$603,$Z195-5200))=0,"",N(INDEX(次果筐明细!$G$4:$G$603,$Z195-5200))),""),"")))))</f>
        <v/>
      </c>
      <c r="Q195" s="40" t="str">
        <f>IF($Z195="","",IF($Z195&lt;=2000,"",IF($Z195&lt;=4000,IF(N(INDEX(周转筐出入库明细!$H$4:$H$2004,$Z195-2000))=0,"",N(INDEX(周转筐出入库明细!$H$4:$H$2004,$Z195-2000))),IF($Z195&lt;=5200,IF(N(INDEX(客户自备加工筐明细!$F$4:$F$1203,$Z195-4000))=0,"",N(INDEX(客户自备加工筐明细!$F$4:$F$1203,$Z195-4000))),IF($Z195&lt;=5800,"","")))))</f>
        <v/>
      </c>
      <c r="R195" s="16" t="str">
        <f>IF($Z195="","",IF($Z195&lt;=2000,IF(INDEX(包装物料出入库明细!$O$4:$O$2003,$Z195-0)=0,"",INDEX(包装物料出入库明细!$O$4:$O$2003,$Z195-0)),IF($Z195&lt;=4000,IF(INDEX(周转筐出入库明细!$M$4:$M$2004,$Z195-2000)=0,"",INDEX(周转筐出入库明细!$M$4:$M$2004,$Z195-2000)),IF($Z195&lt;=5200,IF(INDEX(客户自备加工筐明细!$H$4:$H$1203,$Z195-4000)=0,"",INDEX(客户自备加工筐明细!$H$4:$H$1203,$Z195-4000)),IF($Z195&lt;=5800,IF(INDEX(次果筐明细!$H$4:$H$603,$Z195-5200)=0,"",INDEX(次果筐明细!$H$4:$H$603,$Z195-5200)),"")))))</f>
        <v/>
      </c>
      <c r="S195" s="22" t="str">
        <f t="shared" si="8"/>
        <v/>
      </c>
      <c r="Z195" s="10" t="str">
        <f>IFERROR(MATCH(ROW()-3,_自动清单!$CQ$4:$CQ$5803,0),"")</f>
        <v/>
      </c>
    </row>
    <row r="196" spans="1:26">
      <c r="A196" s="24" t="str">
        <f t="shared" ref="A196:A259" si="9">IF($B196="","",ROW()-3)</f>
        <v/>
      </c>
      <c r="B196" s="38" t="str">
        <f>IF($Z196="","",IF($Z196&lt;=2000,IF(INDEX(包装物料出入库明细!$B$4:$B$2003,$Z196-0)=0,"",INDEX(包装物料出入库明细!$B$4:$B$2003,$Z196-0)),IF($Z196&lt;=4000,IF(INDEX(周转筐出入库明细!$B$4:$B$2004,$Z196-2000)=0,"",INDEX(周转筐出入库明细!$B$4:$B$2004,$Z196-2000)),IF($Z196&lt;=5200,IF(INDEX(客户自备加工筐明细!$B$4:$B$1203,$Z196-4000)=0,"",INDEX(客户自备加工筐明细!$B$4:$B$1203,$Z196-4000)),IF($Z196&lt;=5800,IF(INDEX(次果筐明细!$B$4:$B$603,$Z196-5200)=0,"",INDEX(次果筐明细!$B$4:$B$603,$Z196-5200)),"")))))</f>
        <v/>
      </c>
      <c r="C196" s="37" t="str">
        <f>IF($Z196="","",IF($Z196&lt;=2000,IF(INDEX(包装物料出入库明细!$D$4:$D$2003,$Z196-0)=0,"",INDEX(包装物料出入库明细!$D$4:$D$2003,$Z196-0)),IF($Z196&lt;=4000,IF(INDEX(周转筐出入库明细!$C$4:$C$2004,$Z196-2000)=0,"",INDEX(周转筐出入库明细!$C$4:$C$2004,$Z196-2000)),IF($Z196&lt;=5200,IF(INDEX(客户自备加工筐明细!$E$4:$E$1203,$Z196-4000)=0,"",INDEX(客户自备加工筐明细!$E$4:$E$1203,$Z196-4000)),IF($Z196&lt;=5800,IF(INDEX(次果筐明细!$C$4:$C$603,$Z196-5200)=0,"",INDEX(次果筐明细!$C$4:$C$603,$Z196-5200)),"")))))</f>
        <v/>
      </c>
      <c r="D196" s="37" t="str">
        <f>IF($Z196="","",IF($Z196&lt;=2000,"包装物料－"&amp;INDEX(包装物料出入库明细!$H$4:$H$2003,$Z196-0),IF($Z196&lt;=4000,"周转筐－"&amp;INDEX(周转筐出入库明细!$F$4:$F$2004,$Z196-2000),IF($Z196&lt;=5200,"客户自备筐－"&amp;INDEX(客户自备加工筐明细!$J$4:$J$1203,$Z196-4000),IF($Z196&lt;=5800,"次果筐/托盘－"&amp;INDEX(次果筐明细!$F$4:$F$603,$Z196-5200),"")))))</f>
        <v/>
      </c>
      <c r="E196" s="24" t="str">
        <f>IF($Z196="","",IF($Z196&lt;=2000,IF(INDEX(包装物料出入库明细!$C$4:$C$2003,$Z196-0)=0,"",INDEX(包装物料出入库明细!$C$4:$C$2003,$Z196-0)),IF($Z196&lt;=4000,IF(INDEX(周转筐出入库明细!$E$4:$E$2004,$Z196-2000)=0,"",INDEX(周转筐出入库明细!$E$4:$E$2004,$Z196-2000)),IF($Z196&lt;=5200,IF(INDEX(客户自备加工筐明细!$D$4:$D$1203,$Z196-4000)=0,"",INDEX(客户自备加工筐明细!$D$4:$D$1203,$Z196-4000)),IF($Z196&lt;=5800,IF(INDEX(次果筐明细!$E$4:$E$603,$Z196-5200)=0,"",INDEX(次果筐明细!$E$4:$E$603,$Z196-5200)),"")))))</f>
        <v/>
      </c>
      <c r="F196" s="24" t="str">
        <f>IF($Z196="","",IF($Z196&lt;=2000,IF(INDEX(包装物料出入库明细!$E$4:$E$2003,$Z196-0)=0,"",INDEX(包装物料出入库明细!$E$4:$E$2003,$Z196-0)),IF($Z196&lt;=4000,IF(INDEX(周转筐出入库明细!$D$4:$D$2004,$Z196-2000)=0,"",INDEX(周转筐出入库明细!$D$4:$D$2004,$Z196-2000)),IF($Z196&lt;=5200,IF(INDEX(客户自备加工筐明细!$C$4:$C$1203,$Z196-4000)=0,"",INDEX(客户自备加工筐明细!$C$4:$C$1203,$Z196-4000)),IF($Z196&lt;=5800,IF(INDEX(次果筐明细!$D$4:$D$603,$Z196-5200)=0,"",INDEX(次果筐明细!$D$4:$D$603,$Z196-5200)),"")))))</f>
        <v/>
      </c>
      <c r="G196" s="24" t="str">
        <f>IF($Z196="","",IF($Z196&lt;=2000,IF(INDEX(包装物料出入库明细!$F$4:$F$2003,$Z196-0)=0,"",INDEX(包装物料出入库明细!$F$4:$F$2003,$Z196-0)),IF($Z196&lt;=4000,"",IF($Z196&lt;=5200,"",IF($Z196&lt;=5800,"","")))))</f>
        <v/>
      </c>
      <c r="H196" s="39" t="str">
        <f>IF($Z196="","",IF($Z196&lt;=2000,IF(INDEX(包装物料出入库明细!$L$4:$L$2003,$Z196-0)=0,"",INDEX(包装物料出入库明细!$L$4:$L$2003,$Z196-0)),IF($Z196&lt;=4000,N(INDEX(周转筐出入库明细!$H$4:$H$2004,$Z196-2000))+N(INDEX(周转筐出入库明细!$I$4:$I$2004,$Z196-2000))+N(INDEX(周转筐出入库明细!$J$4:$J$2004,$Z196-2000))+N(INDEX(周转筐出入库明细!$K$4:$K$2004,$Z196-2000)),IF($Z196&lt;=5200,N(INDEX(客户自备加工筐明细!$F$4:$F$1203,$Z196-4000))+N(INDEX(客户自备加工筐明细!$G$4:$G$1203,$Z196-4000)),IF($Z196&lt;=5800,IF(INDEX(次果筐明细!$G$4:$G$603,$Z196-5200)=0,"",INDEX(次果筐明细!$G$4:$G$603,$Z196-5200)),"")))))</f>
        <v/>
      </c>
      <c r="I196" s="24" t="str">
        <f>IF($Z196="","",IF($Z196&lt;=2000,IF(INDEX(包装物料出入库明细!$G$4:$G$2003,$Z196-0)=0,"",INDEX(包装物料出入库明细!$G$4:$G$2003,$Z196-0)),IF($Z196&lt;=4000,"个",IF($Z196&lt;=5200,"个",IF($Z196&lt;=5800,"个","")))))</f>
        <v/>
      </c>
      <c r="J196" s="30" t="str">
        <f t="shared" ref="J196:J259" si="10">IF($Z196="","",IF($Z196&lt;=2000,"",IF($Z196&lt;=4000,"",IF($Z196&lt;=5200,"",IF($Z196&lt;=5800,"","")))))</f>
        <v/>
      </c>
      <c r="K196" s="30" t="str">
        <f>IF($Z196="","",IF($Z196&lt;=2000,IF(INDEX(包装物料出入库明细!$N$4:$N$2003,$Z196-0)=0,"",INDEX(包装物料出入库明细!$N$4:$N$2003,$Z196-0)),IF($Z196&lt;=4000,IF(INDEX(周转筐出入库明细!$P$4:$P$2004,$Z196-2000)=0,"",INDEX(周转筐出入库明细!$P$4:$P$2004,$Z196-2000)),IF($Z196&lt;=5200,"",IF($Z196&lt;=5800,N(INDEX(次果筐明细!$L$4:$L$603,$Z196-5200))+N(INDEX(次果筐明细!$J$4:$J$603,$Z196-5200)),"")))))</f>
        <v/>
      </c>
      <c r="L196" s="24" t="str">
        <f>IF($Z196="","",IF($Z196&lt;=2000,IF(INDEX(包装物料出入库明细!$P$4:$P$2003,$Z196-0)=0,"",INDEX(包装物料出入库明细!$P$4:$P$2003,$Z196-0)),IF($Z196&lt;=4000,IF(INDEX(周转筐出入库明细!$Q$4:$Q$2004,$Z196-2000)=0,"",INDEX(周转筐出入库明细!$Q$4:$Q$2004,$Z196-2000)),IF($Z196&lt;=5200,"",IF($Z196&lt;=5800,IF(INDEX(次果筐明细!$M$4:$M$603,$Z196-5200)=0,"",INDEX(次果筐明细!$M$4:$M$603,$Z196-5200)),"")))))</f>
        <v/>
      </c>
      <c r="M196" s="37" t="str">
        <f>IF($Z196="","",IF($Z196&lt;=2000,IF(INDEX(包装物料出入库明细!$R$4:$R$2003,$Z196-0)=0,"",INDEX(包装物料出入库明细!$R$4:$R$2003,$Z196-0)),IF($Z196&lt;=4000,IF(INDEX(周转筐出入库明细!$W$4:$W$2004,$Z196-2000)=0,"",INDEX(周转筐出入库明细!$W$4:$W$2004,$Z196-2000)),IF($Z196&lt;=5200,IF(INDEX(客户自备加工筐明细!$L$4:$L$1203,$Z196-4000)=0,"",INDEX(客户自备加工筐明细!$L$4:$L$1203,$Z196-4000)),IF($Z196&lt;=5800,IF(INDEX(次果筐明细!$P$4:$P$603,$Z196-5200)=0,"",INDEX(次果筐明细!$P$4:$P$603,$Z196-5200)),"")))))</f>
        <v/>
      </c>
      <c r="N196" s="16" t="str">
        <f>IF($Z196="","",IF($Z196&lt;=2000,"",IF($Z196&lt;=4000,IF(INDEX(周转筐出入库明细!$D$4:$D$2004,$Z196-2000)=0,"",INDEX(周转筐出入库明细!$D$4:$D$2004,$Z196-2000)),IF($Z196&lt;=5200,IF(INDEX(客户自备加工筐明细!$C$4:$C$1203,$Z196-4000)=0,"",INDEX(客户自备加工筐明细!$C$4:$C$1203,$Z196-4000)),IF($Z196&lt;=5800,IF(INDEX(次果筐明细!$D$4:$D$603,$Z196-5200)=0,"",INDEX(次果筐明细!$D$4:$D$603,$Z196-5200)),"")))))</f>
        <v/>
      </c>
      <c r="O196" s="40" t="str">
        <f>IF($Z196="","",IF($Z196&lt;=2000,"",IF($Z196&lt;=4000,IF(N(INDEX(周转筐出入库明细!$J$4:$J$2004,$Z196-2000))+N(INDEX(周转筐出入库明细!$K$4:$K$2004,$Z196-2000))=0,"",N(INDEX(周转筐出入库明细!$J$4:$J$2004,$Z196-2000))+N(INDEX(周转筐出入库明细!$K$4:$K$2004,$Z196-2000))),IF($Z196&lt;=5200,IF(N(INDEX(客户自备加工筐明细!$G$4:$G$1203,$Z196-4000))=0,"",N(INDEX(客户自备加工筐明细!$G$4:$G$1203,$Z196-4000))),IF($Z196&lt;=5800,IF(ISNUMBER(SEARCH("退",INDEX(次果筐明细!$F$4:$F$603,$Z196-5200)&amp;"")),"",IF(N(INDEX(次果筐明细!$G$4:$G$603,$Z196-5200))=0,"",N(INDEX(次果筐明细!$G$4:$G$603,$Z196-5200)))),"")))))</f>
        <v/>
      </c>
      <c r="P196" s="40" t="str">
        <f>IF($Z196="","",IF($Z196&lt;=2000,"",IF($Z196&lt;=4000,IF(N(INDEX(周转筐出入库明细!$I$4:$I$2004,$Z196-2000))=0,"",N(INDEX(周转筐出入库明细!$I$4:$I$2004,$Z196-2000))),IF($Z196&lt;=5200,"",IF($Z196&lt;=5800,IF(ISNUMBER(SEARCH("退",INDEX(次果筐明细!$F$4:$F$603,$Z196-5200)&amp;"")),IF(N(INDEX(次果筐明细!$G$4:$G$603,$Z196-5200))=0,"",N(INDEX(次果筐明细!$G$4:$G$603,$Z196-5200))),""),"")))))</f>
        <v/>
      </c>
      <c r="Q196" s="40" t="str">
        <f>IF($Z196="","",IF($Z196&lt;=2000,"",IF($Z196&lt;=4000,IF(N(INDEX(周转筐出入库明细!$H$4:$H$2004,$Z196-2000))=0,"",N(INDEX(周转筐出入库明细!$H$4:$H$2004,$Z196-2000))),IF($Z196&lt;=5200,IF(N(INDEX(客户自备加工筐明细!$F$4:$F$1203,$Z196-4000))=0,"",N(INDEX(客户自备加工筐明细!$F$4:$F$1203,$Z196-4000))),IF($Z196&lt;=5800,"","")))))</f>
        <v/>
      </c>
      <c r="R196" s="16" t="str">
        <f>IF($Z196="","",IF($Z196&lt;=2000,IF(INDEX(包装物料出入库明细!$O$4:$O$2003,$Z196-0)=0,"",INDEX(包装物料出入库明细!$O$4:$O$2003,$Z196-0)),IF($Z196&lt;=4000,IF(INDEX(周转筐出入库明细!$M$4:$M$2004,$Z196-2000)=0,"",INDEX(周转筐出入库明细!$M$4:$M$2004,$Z196-2000)),IF($Z196&lt;=5200,IF(INDEX(客户自备加工筐明细!$H$4:$H$1203,$Z196-4000)=0,"",INDEX(客户自备加工筐明细!$H$4:$H$1203,$Z196-4000)),IF($Z196&lt;=5800,IF(INDEX(次果筐明细!$H$4:$H$603,$Z196-5200)=0,"",INDEX(次果筐明细!$H$4:$H$603,$Z196-5200)),"")))))</f>
        <v/>
      </c>
      <c r="S196" s="22" t="str">
        <f t="shared" ref="S196:S259" si="11">IF($N196="","",IF(OR(LEFT($N196,2)="自备",AND($Z196&gt;4000,$Z196&lt;=5200)),"自备筐","公司筐"))</f>
        <v/>
      </c>
      <c r="Z196" s="10" t="str">
        <f>IFERROR(MATCH(ROW()-3,_自动清单!$CQ$4:$CQ$5803,0),"")</f>
        <v/>
      </c>
    </row>
    <row r="197" spans="1:26">
      <c r="A197" s="24" t="str">
        <f t="shared" si="9"/>
        <v/>
      </c>
      <c r="B197" s="38" t="str">
        <f>IF($Z197="","",IF($Z197&lt;=2000,IF(INDEX(包装物料出入库明细!$B$4:$B$2003,$Z197-0)=0,"",INDEX(包装物料出入库明细!$B$4:$B$2003,$Z197-0)),IF($Z197&lt;=4000,IF(INDEX(周转筐出入库明细!$B$4:$B$2004,$Z197-2000)=0,"",INDEX(周转筐出入库明细!$B$4:$B$2004,$Z197-2000)),IF($Z197&lt;=5200,IF(INDEX(客户自备加工筐明细!$B$4:$B$1203,$Z197-4000)=0,"",INDEX(客户自备加工筐明细!$B$4:$B$1203,$Z197-4000)),IF($Z197&lt;=5800,IF(INDEX(次果筐明细!$B$4:$B$603,$Z197-5200)=0,"",INDEX(次果筐明细!$B$4:$B$603,$Z197-5200)),"")))))</f>
        <v/>
      </c>
      <c r="C197" s="37" t="str">
        <f>IF($Z197="","",IF($Z197&lt;=2000,IF(INDEX(包装物料出入库明细!$D$4:$D$2003,$Z197-0)=0,"",INDEX(包装物料出入库明细!$D$4:$D$2003,$Z197-0)),IF($Z197&lt;=4000,IF(INDEX(周转筐出入库明细!$C$4:$C$2004,$Z197-2000)=0,"",INDEX(周转筐出入库明细!$C$4:$C$2004,$Z197-2000)),IF($Z197&lt;=5200,IF(INDEX(客户自备加工筐明细!$E$4:$E$1203,$Z197-4000)=0,"",INDEX(客户自备加工筐明细!$E$4:$E$1203,$Z197-4000)),IF($Z197&lt;=5800,IF(INDEX(次果筐明细!$C$4:$C$603,$Z197-5200)=0,"",INDEX(次果筐明细!$C$4:$C$603,$Z197-5200)),"")))))</f>
        <v/>
      </c>
      <c r="D197" s="37" t="str">
        <f>IF($Z197="","",IF($Z197&lt;=2000,"包装物料－"&amp;INDEX(包装物料出入库明细!$H$4:$H$2003,$Z197-0),IF($Z197&lt;=4000,"周转筐－"&amp;INDEX(周转筐出入库明细!$F$4:$F$2004,$Z197-2000),IF($Z197&lt;=5200,"客户自备筐－"&amp;INDEX(客户自备加工筐明细!$J$4:$J$1203,$Z197-4000),IF($Z197&lt;=5800,"次果筐/托盘－"&amp;INDEX(次果筐明细!$F$4:$F$603,$Z197-5200),"")))))</f>
        <v/>
      </c>
      <c r="E197" s="24" t="str">
        <f>IF($Z197="","",IF($Z197&lt;=2000,IF(INDEX(包装物料出入库明细!$C$4:$C$2003,$Z197-0)=0,"",INDEX(包装物料出入库明细!$C$4:$C$2003,$Z197-0)),IF($Z197&lt;=4000,IF(INDEX(周转筐出入库明细!$E$4:$E$2004,$Z197-2000)=0,"",INDEX(周转筐出入库明细!$E$4:$E$2004,$Z197-2000)),IF($Z197&lt;=5200,IF(INDEX(客户自备加工筐明细!$D$4:$D$1203,$Z197-4000)=0,"",INDEX(客户自备加工筐明细!$D$4:$D$1203,$Z197-4000)),IF($Z197&lt;=5800,IF(INDEX(次果筐明细!$E$4:$E$603,$Z197-5200)=0,"",INDEX(次果筐明细!$E$4:$E$603,$Z197-5200)),"")))))</f>
        <v/>
      </c>
      <c r="F197" s="24" t="str">
        <f>IF($Z197="","",IF($Z197&lt;=2000,IF(INDEX(包装物料出入库明细!$E$4:$E$2003,$Z197-0)=0,"",INDEX(包装物料出入库明细!$E$4:$E$2003,$Z197-0)),IF($Z197&lt;=4000,IF(INDEX(周转筐出入库明细!$D$4:$D$2004,$Z197-2000)=0,"",INDEX(周转筐出入库明细!$D$4:$D$2004,$Z197-2000)),IF($Z197&lt;=5200,IF(INDEX(客户自备加工筐明细!$C$4:$C$1203,$Z197-4000)=0,"",INDEX(客户自备加工筐明细!$C$4:$C$1203,$Z197-4000)),IF($Z197&lt;=5800,IF(INDEX(次果筐明细!$D$4:$D$603,$Z197-5200)=0,"",INDEX(次果筐明细!$D$4:$D$603,$Z197-5200)),"")))))</f>
        <v/>
      </c>
      <c r="G197" s="24" t="str">
        <f>IF($Z197="","",IF($Z197&lt;=2000,IF(INDEX(包装物料出入库明细!$F$4:$F$2003,$Z197-0)=0,"",INDEX(包装物料出入库明细!$F$4:$F$2003,$Z197-0)),IF($Z197&lt;=4000,"",IF($Z197&lt;=5200,"",IF($Z197&lt;=5800,"","")))))</f>
        <v/>
      </c>
      <c r="H197" s="39" t="str">
        <f>IF($Z197="","",IF($Z197&lt;=2000,IF(INDEX(包装物料出入库明细!$L$4:$L$2003,$Z197-0)=0,"",INDEX(包装物料出入库明细!$L$4:$L$2003,$Z197-0)),IF($Z197&lt;=4000,N(INDEX(周转筐出入库明细!$H$4:$H$2004,$Z197-2000))+N(INDEX(周转筐出入库明细!$I$4:$I$2004,$Z197-2000))+N(INDEX(周转筐出入库明细!$J$4:$J$2004,$Z197-2000))+N(INDEX(周转筐出入库明细!$K$4:$K$2004,$Z197-2000)),IF($Z197&lt;=5200,N(INDEX(客户自备加工筐明细!$F$4:$F$1203,$Z197-4000))+N(INDEX(客户自备加工筐明细!$G$4:$G$1203,$Z197-4000)),IF($Z197&lt;=5800,IF(INDEX(次果筐明细!$G$4:$G$603,$Z197-5200)=0,"",INDEX(次果筐明细!$G$4:$G$603,$Z197-5200)),"")))))</f>
        <v/>
      </c>
      <c r="I197" s="24" t="str">
        <f>IF($Z197="","",IF($Z197&lt;=2000,IF(INDEX(包装物料出入库明细!$G$4:$G$2003,$Z197-0)=0,"",INDEX(包装物料出入库明细!$G$4:$G$2003,$Z197-0)),IF($Z197&lt;=4000,"个",IF($Z197&lt;=5200,"个",IF($Z197&lt;=5800,"个","")))))</f>
        <v/>
      </c>
      <c r="J197" s="30" t="str">
        <f t="shared" si="10"/>
        <v/>
      </c>
      <c r="K197" s="30" t="str">
        <f>IF($Z197="","",IF($Z197&lt;=2000,IF(INDEX(包装物料出入库明细!$N$4:$N$2003,$Z197-0)=0,"",INDEX(包装物料出入库明细!$N$4:$N$2003,$Z197-0)),IF($Z197&lt;=4000,IF(INDEX(周转筐出入库明细!$P$4:$P$2004,$Z197-2000)=0,"",INDEX(周转筐出入库明细!$P$4:$P$2004,$Z197-2000)),IF($Z197&lt;=5200,"",IF($Z197&lt;=5800,N(INDEX(次果筐明细!$L$4:$L$603,$Z197-5200))+N(INDEX(次果筐明细!$J$4:$J$603,$Z197-5200)),"")))))</f>
        <v/>
      </c>
      <c r="L197" s="24" t="str">
        <f>IF($Z197="","",IF($Z197&lt;=2000,IF(INDEX(包装物料出入库明细!$P$4:$P$2003,$Z197-0)=0,"",INDEX(包装物料出入库明细!$P$4:$P$2003,$Z197-0)),IF($Z197&lt;=4000,IF(INDEX(周转筐出入库明细!$Q$4:$Q$2004,$Z197-2000)=0,"",INDEX(周转筐出入库明细!$Q$4:$Q$2004,$Z197-2000)),IF($Z197&lt;=5200,"",IF($Z197&lt;=5800,IF(INDEX(次果筐明细!$M$4:$M$603,$Z197-5200)=0,"",INDEX(次果筐明细!$M$4:$M$603,$Z197-5200)),"")))))</f>
        <v/>
      </c>
      <c r="M197" s="37" t="str">
        <f>IF($Z197="","",IF($Z197&lt;=2000,IF(INDEX(包装物料出入库明细!$R$4:$R$2003,$Z197-0)=0,"",INDEX(包装物料出入库明细!$R$4:$R$2003,$Z197-0)),IF($Z197&lt;=4000,IF(INDEX(周转筐出入库明细!$W$4:$W$2004,$Z197-2000)=0,"",INDEX(周转筐出入库明细!$W$4:$W$2004,$Z197-2000)),IF($Z197&lt;=5200,IF(INDEX(客户自备加工筐明细!$L$4:$L$1203,$Z197-4000)=0,"",INDEX(客户自备加工筐明细!$L$4:$L$1203,$Z197-4000)),IF($Z197&lt;=5800,IF(INDEX(次果筐明细!$P$4:$P$603,$Z197-5200)=0,"",INDEX(次果筐明细!$P$4:$P$603,$Z197-5200)),"")))))</f>
        <v/>
      </c>
      <c r="N197" s="16" t="str">
        <f>IF($Z197="","",IF($Z197&lt;=2000,"",IF($Z197&lt;=4000,IF(INDEX(周转筐出入库明细!$D$4:$D$2004,$Z197-2000)=0,"",INDEX(周转筐出入库明细!$D$4:$D$2004,$Z197-2000)),IF($Z197&lt;=5200,IF(INDEX(客户自备加工筐明细!$C$4:$C$1203,$Z197-4000)=0,"",INDEX(客户自备加工筐明细!$C$4:$C$1203,$Z197-4000)),IF($Z197&lt;=5800,IF(INDEX(次果筐明细!$D$4:$D$603,$Z197-5200)=0,"",INDEX(次果筐明细!$D$4:$D$603,$Z197-5200)),"")))))</f>
        <v/>
      </c>
      <c r="O197" s="40" t="str">
        <f>IF($Z197="","",IF($Z197&lt;=2000,"",IF($Z197&lt;=4000,IF(N(INDEX(周转筐出入库明细!$J$4:$J$2004,$Z197-2000))+N(INDEX(周转筐出入库明细!$K$4:$K$2004,$Z197-2000))=0,"",N(INDEX(周转筐出入库明细!$J$4:$J$2004,$Z197-2000))+N(INDEX(周转筐出入库明细!$K$4:$K$2004,$Z197-2000))),IF($Z197&lt;=5200,IF(N(INDEX(客户自备加工筐明细!$G$4:$G$1203,$Z197-4000))=0,"",N(INDEX(客户自备加工筐明细!$G$4:$G$1203,$Z197-4000))),IF($Z197&lt;=5800,IF(ISNUMBER(SEARCH("退",INDEX(次果筐明细!$F$4:$F$603,$Z197-5200)&amp;"")),"",IF(N(INDEX(次果筐明细!$G$4:$G$603,$Z197-5200))=0,"",N(INDEX(次果筐明细!$G$4:$G$603,$Z197-5200)))),"")))))</f>
        <v/>
      </c>
      <c r="P197" s="40" t="str">
        <f>IF($Z197="","",IF($Z197&lt;=2000,"",IF($Z197&lt;=4000,IF(N(INDEX(周转筐出入库明细!$I$4:$I$2004,$Z197-2000))=0,"",N(INDEX(周转筐出入库明细!$I$4:$I$2004,$Z197-2000))),IF($Z197&lt;=5200,"",IF($Z197&lt;=5800,IF(ISNUMBER(SEARCH("退",INDEX(次果筐明细!$F$4:$F$603,$Z197-5200)&amp;"")),IF(N(INDEX(次果筐明细!$G$4:$G$603,$Z197-5200))=0,"",N(INDEX(次果筐明细!$G$4:$G$603,$Z197-5200))),""),"")))))</f>
        <v/>
      </c>
      <c r="Q197" s="40" t="str">
        <f>IF($Z197="","",IF($Z197&lt;=2000,"",IF($Z197&lt;=4000,IF(N(INDEX(周转筐出入库明细!$H$4:$H$2004,$Z197-2000))=0,"",N(INDEX(周转筐出入库明细!$H$4:$H$2004,$Z197-2000))),IF($Z197&lt;=5200,IF(N(INDEX(客户自备加工筐明细!$F$4:$F$1203,$Z197-4000))=0,"",N(INDEX(客户自备加工筐明细!$F$4:$F$1203,$Z197-4000))),IF($Z197&lt;=5800,"","")))))</f>
        <v/>
      </c>
      <c r="R197" s="16" t="str">
        <f>IF($Z197="","",IF($Z197&lt;=2000,IF(INDEX(包装物料出入库明细!$O$4:$O$2003,$Z197-0)=0,"",INDEX(包装物料出入库明细!$O$4:$O$2003,$Z197-0)),IF($Z197&lt;=4000,IF(INDEX(周转筐出入库明细!$M$4:$M$2004,$Z197-2000)=0,"",INDEX(周转筐出入库明细!$M$4:$M$2004,$Z197-2000)),IF($Z197&lt;=5200,IF(INDEX(客户自备加工筐明细!$H$4:$H$1203,$Z197-4000)=0,"",INDEX(客户自备加工筐明细!$H$4:$H$1203,$Z197-4000)),IF($Z197&lt;=5800,IF(INDEX(次果筐明细!$H$4:$H$603,$Z197-5200)=0,"",INDEX(次果筐明细!$H$4:$H$603,$Z197-5200)),"")))))</f>
        <v/>
      </c>
      <c r="S197" s="22" t="str">
        <f t="shared" si="11"/>
        <v/>
      </c>
      <c r="Z197" s="10" t="str">
        <f>IFERROR(MATCH(ROW()-3,_自动清单!$CQ$4:$CQ$5803,0),"")</f>
        <v/>
      </c>
    </row>
    <row r="198" spans="1:26">
      <c r="A198" s="24" t="str">
        <f t="shared" si="9"/>
        <v/>
      </c>
      <c r="B198" s="38" t="str">
        <f>IF($Z198="","",IF($Z198&lt;=2000,IF(INDEX(包装物料出入库明细!$B$4:$B$2003,$Z198-0)=0,"",INDEX(包装物料出入库明细!$B$4:$B$2003,$Z198-0)),IF($Z198&lt;=4000,IF(INDEX(周转筐出入库明细!$B$4:$B$2004,$Z198-2000)=0,"",INDEX(周转筐出入库明细!$B$4:$B$2004,$Z198-2000)),IF($Z198&lt;=5200,IF(INDEX(客户自备加工筐明细!$B$4:$B$1203,$Z198-4000)=0,"",INDEX(客户自备加工筐明细!$B$4:$B$1203,$Z198-4000)),IF($Z198&lt;=5800,IF(INDEX(次果筐明细!$B$4:$B$603,$Z198-5200)=0,"",INDEX(次果筐明细!$B$4:$B$603,$Z198-5200)),"")))))</f>
        <v/>
      </c>
      <c r="C198" s="37" t="str">
        <f>IF($Z198="","",IF($Z198&lt;=2000,IF(INDEX(包装物料出入库明细!$D$4:$D$2003,$Z198-0)=0,"",INDEX(包装物料出入库明细!$D$4:$D$2003,$Z198-0)),IF($Z198&lt;=4000,IF(INDEX(周转筐出入库明细!$C$4:$C$2004,$Z198-2000)=0,"",INDEX(周转筐出入库明细!$C$4:$C$2004,$Z198-2000)),IF($Z198&lt;=5200,IF(INDEX(客户自备加工筐明细!$E$4:$E$1203,$Z198-4000)=0,"",INDEX(客户自备加工筐明细!$E$4:$E$1203,$Z198-4000)),IF($Z198&lt;=5800,IF(INDEX(次果筐明细!$C$4:$C$603,$Z198-5200)=0,"",INDEX(次果筐明细!$C$4:$C$603,$Z198-5200)),"")))))</f>
        <v/>
      </c>
      <c r="D198" s="37" t="str">
        <f>IF($Z198="","",IF($Z198&lt;=2000,"包装物料－"&amp;INDEX(包装物料出入库明细!$H$4:$H$2003,$Z198-0),IF($Z198&lt;=4000,"周转筐－"&amp;INDEX(周转筐出入库明细!$F$4:$F$2004,$Z198-2000),IF($Z198&lt;=5200,"客户自备筐－"&amp;INDEX(客户自备加工筐明细!$J$4:$J$1203,$Z198-4000),IF($Z198&lt;=5800,"次果筐/托盘－"&amp;INDEX(次果筐明细!$F$4:$F$603,$Z198-5200),"")))))</f>
        <v/>
      </c>
      <c r="E198" s="24" t="str">
        <f>IF($Z198="","",IF($Z198&lt;=2000,IF(INDEX(包装物料出入库明细!$C$4:$C$2003,$Z198-0)=0,"",INDEX(包装物料出入库明细!$C$4:$C$2003,$Z198-0)),IF($Z198&lt;=4000,IF(INDEX(周转筐出入库明细!$E$4:$E$2004,$Z198-2000)=0,"",INDEX(周转筐出入库明细!$E$4:$E$2004,$Z198-2000)),IF($Z198&lt;=5200,IF(INDEX(客户自备加工筐明细!$D$4:$D$1203,$Z198-4000)=0,"",INDEX(客户自备加工筐明细!$D$4:$D$1203,$Z198-4000)),IF($Z198&lt;=5800,IF(INDEX(次果筐明细!$E$4:$E$603,$Z198-5200)=0,"",INDEX(次果筐明细!$E$4:$E$603,$Z198-5200)),"")))))</f>
        <v/>
      </c>
      <c r="F198" s="24" t="str">
        <f>IF($Z198="","",IF($Z198&lt;=2000,IF(INDEX(包装物料出入库明细!$E$4:$E$2003,$Z198-0)=0,"",INDEX(包装物料出入库明细!$E$4:$E$2003,$Z198-0)),IF($Z198&lt;=4000,IF(INDEX(周转筐出入库明细!$D$4:$D$2004,$Z198-2000)=0,"",INDEX(周转筐出入库明细!$D$4:$D$2004,$Z198-2000)),IF($Z198&lt;=5200,IF(INDEX(客户自备加工筐明细!$C$4:$C$1203,$Z198-4000)=0,"",INDEX(客户自备加工筐明细!$C$4:$C$1203,$Z198-4000)),IF($Z198&lt;=5800,IF(INDEX(次果筐明细!$D$4:$D$603,$Z198-5200)=0,"",INDEX(次果筐明细!$D$4:$D$603,$Z198-5200)),"")))))</f>
        <v/>
      </c>
      <c r="G198" s="24" t="str">
        <f>IF($Z198="","",IF($Z198&lt;=2000,IF(INDEX(包装物料出入库明细!$F$4:$F$2003,$Z198-0)=0,"",INDEX(包装物料出入库明细!$F$4:$F$2003,$Z198-0)),IF($Z198&lt;=4000,"",IF($Z198&lt;=5200,"",IF($Z198&lt;=5800,"","")))))</f>
        <v/>
      </c>
      <c r="H198" s="39" t="str">
        <f>IF($Z198="","",IF($Z198&lt;=2000,IF(INDEX(包装物料出入库明细!$L$4:$L$2003,$Z198-0)=0,"",INDEX(包装物料出入库明细!$L$4:$L$2003,$Z198-0)),IF($Z198&lt;=4000,N(INDEX(周转筐出入库明细!$H$4:$H$2004,$Z198-2000))+N(INDEX(周转筐出入库明细!$I$4:$I$2004,$Z198-2000))+N(INDEX(周转筐出入库明细!$J$4:$J$2004,$Z198-2000))+N(INDEX(周转筐出入库明细!$K$4:$K$2004,$Z198-2000)),IF($Z198&lt;=5200,N(INDEX(客户自备加工筐明细!$F$4:$F$1203,$Z198-4000))+N(INDEX(客户自备加工筐明细!$G$4:$G$1203,$Z198-4000)),IF($Z198&lt;=5800,IF(INDEX(次果筐明细!$G$4:$G$603,$Z198-5200)=0,"",INDEX(次果筐明细!$G$4:$G$603,$Z198-5200)),"")))))</f>
        <v/>
      </c>
      <c r="I198" s="24" t="str">
        <f>IF($Z198="","",IF($Z198&lt;=2000,IF(INDEX(包装物料出入库明细!$G$4:$G$2003,$Z198-0)=0,"",INDEX(包装物料出入库明细!$G$4:$G$2003,$Z198-0)),IF($Z198&lt;=4000,"个",IF($Z198&lt;=5200,"个",IF($Z198&lt;=5800,"个","")))))</f>
        <v/>
      </c>
      <c r="J198" s="30" t="str">
        <f t="shared" si="10"/>
        <v/>
      </c>
      <c r="K198" s="30" t="str">
        <f>IF($Z198="","",IF($Z198&lt;=2000,IF(INDEX(包装物料出入库明细!$N$4:$N$2003,$Z198-0)=0,"",INDEX(包装物料出入库明细!$N$4:$N$2003,$Z198-0)),IF($Z198&lt;=4000,IF(INDEX(周转筐出入库明细!$P$4:$P$2004,$Z198-2000)=0,"",INDEX(周转筐出入库明细!$P$4:$P$2004,$Z198-2000)),IF($Z198&lt;=5200,"",IF($Z198&lt;=5800,N(INDEX(次果筐明细!$L$4:$L$603,$Z198-5200))+N(INDEX(次果筐明细!$J$4:$J$603,$Z198-5200)),"")))))</f>
        <v/>
      </c>
      <c r="L198" s="24" t="str">
        <f>IF($Z198="","",IF($Z198&lt;=2000,IF(INDEX(包装物料出入库明细!$P$4:$P$2003,$Z198-0)=0,"",INDEX(包装物料出入库明细!$P$4:$P$2003,$Z198-0)),IF($Z198&lt;=4000,IF(INDEX(周转筐出入库明细!$Q$4:$Q$2004,$Z198-2000)=0,"",INDEX(周转筐出入库明细!$Q$4:$Q$2004,$Z198-2000)),IF($Z198&lt;=5200,"",IF($Z198&lt;=5800,IF(INDEX(次果筐明细!$M$4:$M$603,$Z198-5200)=0,"",INDEX(次果筐明细!$M$4:$M$603,$Z198-5200)),"")))))</f>
        <v/>
      </c>
      <c r="M198" s="37" t="str">
        <f>IF($Z198="","",IF($Z198&lt;=2000,IF(INDEX(包装物料出入库明细!$R$4:$R$2003,$Z198-0)=0,"",INDEX(包装物料出入库明细!$R$4:$R$2003,$Z198-0)),IF($Z198&lt;=4000,IF(INDEX(周转筐出入库明细!$W$4:$W$2004,$Z198-2000)=0,"",INDEX(周转筐出入库明细!$W$4:$W$2004,$Z198-2000)),IF($Z198&lt;=5200,IF(INDEX(客户自备加工筐明细!$L$4:$L$1203,$Z198-4000)=0,"",INDEX(客户自备加工筐明细!$L$4:$L$1203,$Z198-4000)),IF($Z198&lt;=5800,IF(INDEX(次果筐明细!$P$4:$P$603,$Z198-5200)=0,"",INDEX(次果筐明细!$P$4:$P$603,$Z198-5200)),"")))))</f>
        <v/>
      </c>
      <c r="N198" s="16" t="str">
        <f>IF($Z198="","",IF($Z198&lt;=2000,"",IF($Z198&lt;=4000,IF(INDEX(周转筐出入库明细!$D$4:$D$2004,$Z198-2000)=0,"",INDEX(周转筐出入库明细!$D$4:$D$2004,$Z198-2000)),IF($Z198&lt;=5200,IF(INDEX(客户自备加工筐明细!$C$4:$C$1203,$Z198-4000)=0,"",INDEX(客户自备加工筐明细!$C$4:$C$1203,$Z198-4000)),IF($Z198&lt;=5800,IF(INDEX(次果筐明细!$D$4:$D$603,$Z198-5200)=0,"",INDEX(次果筐明细!$D$4:$D$603,$Z198-5200)),"")))))</f>
        <v/>
      </c>
      <c r="O198" s="40" t="str">
        <f>IF($Z198="","",IF($Z198&lt;=2000,"",IF($Z198&lt;=4000,IF(N(INDEX(周转筐出入库明细!$J$4:$J$2004,$Z198-2000))+N(INDEX(周转筐出入库明细!$K$4:$K$2004,$Z198-2000))=0,"",N(INDEX(周转筐出入库明细!$J$4:$J$2004,$Z198-2000))+N(INDEX(周转筐出入库明细!$K$4:$K$2004,$Z198-2000))),IF($Z198&lt;=5200,IF(N(INDEX(客户自备加工筐明细!$G$4:$G$1203,$Z198-4000))=0,"",N(INDEX(客户自备加工筐明细!$G$4:$G$1203,$Z198-4000))),IF($Z198&lt;=5800,IF(ISNUMBER(SEARCH("退",INDEX(次果筐明细!$F$4:$F$603,$Z198-5200)&amp;"")),"",IF(N(INDEX(次果筐明细!$G$4:$G$603,$Z198-5200))=0,"",N(INDEX(次果筐明细!$G$4:$G$603,$Z198-5200)))),"")))))</f>
        <v/>
      </c>
      <c r="P198" s="40" t="str">
        <f>IF($Z198="","",IF($Z198&lt;=2000,"",IF($Z198&lt;=4000,IF(N(INDEX(周转筐出入库明细!$I$4:$I$2004,$Z198-2000))=0,"",N(INDEX(周转筐出入库明细!$I$4:$I$2004,$Z198-2000))),IF($Z198&lt;=5200,"",IF($Z198&lt;=5800,IF(ISNUMBER(SEARCH("退",INDEX(次果筐明细!$F$4:$F$603,$Z198-5200)&amp;"")),IF(N(INDEX(次果筐明细!$G$4:$G$603,$Z198-5200))=0,"",N(INDEX(次果筐明细!$G$4:$G$603,$Z198-5200))),""),"")))))</f>
        <v/>
      </c>
      <c r="Q198" s="40" t="str">
        <f>IF($Z198="","",IF($Z198&lt;=2000,"",IF($Z198&lt;=4000,IF(N(INDEX(周转筐出入库明细!$H$4:$H$2004,$Z198-2000))=0,"",N(INDEX(周转筐出入库明细!$H$4:$H$2004,$Z198-2000))),IF($Z198&lt;=5200,IF(N(INDEX(客户自备加工筐明细!$F$4:$F$1203,$Z198-4000))=0,"",N(INDEX(客户自备加工筐明细!$F$4:$F$1203,$Z198-4000))),IF($Z198&lt;=5800,"","")))))</f>
        <v/>
      </c>
      <c r="R198" s="16" t="str">
        <f>IF($Z198="","",IF($Z198&lt;=2000,IF(INDEX(包装物料出入库明细!$O$4:$O$2003,$Z198-0)=0,"",INDEX(包装物料出入库明细!$O$4:$O$2003,$Z198-0)),IF($Z198&lt;=4000,IF(INDEX(周转筐出入库明细!$M$4:$M$2004,$Z198-2000)=0,"",INDEX(周转筐出入库明细!$M$4:$M$2004,$Z198-2000)),IF($Z198&lt;=5200,IF(INDEX(客户自备加工筐明细!$H$4:$H$1203,$Z198-4000)=0,"",INDEX(客户自备加工筐明细!$H$4:$H$1203,$Z198-4000)),IF($Z198&lt;=5800,IF(INDEX(次果筐明细!$H$4:$H$603,$Z198-5200)=0,"",INDEX(次果筐明细!$H$4:$H$603,$Z198-5200)),"")))))</f>
        <v/>
      </c>
      <c r="S198" s="22" t="str">
        <f t="shared" si="11"/>
        <v/>
      </c>
      <c r="Z198" s="10" t="str">
        <f>IFERROR(MATCH(ROW()-3,_自动清单!$CQ$4:$CQ$5803,0),"")</f>
        <v/>
      </c>
    </row>
    <row r="199" spans="1:26">
      <c r="A199" s="24" t="str">
        <f t="shared" si="9"/>
        <v/>
      </c>
      <c r="B199" s="38" t="str">
        <f>IF($Z199="","",IF($Z199&lt;=2000,IF(INDEX(包装物料出入库明细!$B$4:$B$2003,$Z199-0)=0,"",INDEX(包装物料出入库明细!$B$4:$B$2003,$Z199-0)),IF($Z199&lt;=4000,IF(INDEX(周转筐出入库明细!$B$4:$B$2004,$Z199-2000)=0,"",INDEX(周转筐出入库明细!$B$4:$B$2004,$Z199-2000)),IF($Z199&lt;=5200,IF(INDEX(客户自备加工筐明细!$B$4:$B$1203,$Z199-4000)=0,"",INDEX(客户自备加工筐明细!$B$4:$B$1203,$Z199-4000)),IF($Z199&lt;=5800,IF(INDEX(次果筐明细!$B$4:$B$603,$Z199-5200)=0,"",INDEX(次果筐明细!$B$4:$B$603,$Z199-5200)),"")))))</f>
        <v/>
      </c>
      <c r="C199" s="37" t="str">
        <f>IF($Z199="","",IF($Z199&lt;=2000,IF(INDEX(包装物料出入库明细!$D$4:$D$2003,$Z199-0)=0,"",INDEX(包装物料出入库明细!$D$4:$D$2003,$Z199-0)),IF($Z199&lt;=4000,IF(INDEX(周转筐出入库明细!$C$4:$C$2004,$Z199-2000)=0,"",INDEX(周转筐出入库明细!$C$4:$C$2004,$Z199-2000)),IF($Z199&lt;=5200,IF(INDEX(客户自备加工筐明细!$E$4:$E$1203,$Z199-4000)=0,"",INDEX(客户自备加工筐明细!$E$4:$E$1203,$Z199-4000)),IF($Z199&lt;=5800,IF(INDEX(次果筐明细!$C$4:$C$603,$Z199-5200)=0,"",INDEX(次果筐明细!$C$4:$C$603,$Z199-5200)),"")))))</f>
        <v/>
      </c>
      <c r="D199" s="37" t="str">
        <f>IF($Z199="","",IF($Z199&lt;=2000,"包装物料－"&amp;INDEX(包装物料出入库明细!$H$4:$H$2003,$Z199-0),IF($Z199&lt;=4000,"周转筐－"&amp;INDEX(周转筐出入库明细!$F$4:$F$2004,$Z199-2000),IF($Z199&lt;=5200,"客户自备筐－"&amp;INDEX(客户自备加工筐明细!$J$4:$J$1203,$Z199-4000),IF($Z199&lt;=5800,"次果筐/托盘－"&amp;INDEX(次果筐明细!$F$4:$F$603,$Z199-5200),"")))))</f>
        <v/>
      </c>
      <c r="E199" s="24" t="str">
        <f>IF($Z199="","",IF($Z199&lt;=2000,IF(INDEX(包装物料出入库明细!$C$4:$C$2003,$Z199-0)=0,"",INDEX(包装物料出入库明细!$C$4:$C$2003,$Z199-0)),IF($Z199&lt;=4000,IF(INDEX(周转筐出入库明细!$E$4:$E$2004,$Z199-2000)=0,"",INDEX(周转筐出入库明细!$E$4:$E$2004,$Z199-2000)),IF($Z199&lt;=5200,IF(INDEX(客户自备加工筐明细!$D$4:$D$1203,$Z199-4000)=0,"",INDEX(客户自备加工筐明细!$D$4:$D$1203,$Z199-4000)),IF($Z199&lt;=5800,IF(INDEX(次果筐明细!$E$4:$E$603,$Z199-5200)=0,"",INDEX(次果筐明细!$E$4:$E$603,$Z199-5200)),"")))))</f>
        <v/>
      </c>
      <c r="F199" s="24" t="str">
        <f>IF($Z199="","",IF($Z199&lt;=2000,IF(INDEX(包装物料出入库明细!$E$4:$E$2003,$Z199-0)=0,"",INDEX(包装物料出入库明细!$E$4:$E$2003,$Z199-0)),IF($Z199&lt;=4000,IF(INDEX(周转筐出入库明细!$D$4:$D$2004,$Z199-2000)=0,"",INDEX(周转筐出入库明细!$D$4:$D$2004,$Z199-2000)),IF($Z199&lt;=5200,IF(INDEX(客户自备加工筐明细!$C$4:$C$1203,$Z199-4000)=0,"",INDEX(客户自备加工筐明细!$C$4:$C$1203,$Z199-4000)),IF($Z199&lt;=5800,IF(INDEX(次果筐明细!$D$4:$D$603,$Z199-5200)=0,"",INDEX(次果筐明细!$D$4:$D$603,$Z199-5200)),"")))))</f>
        <v/>
      </c>
      <c r="G199" s="24" t="str">
        <f>IF($Z199="","",IF($Z199&lt;=2000,IF(INDEX(包装物料出入库明细!$F$4:$F$2003,$Z199-0)=0,"",INDEX(包装物料出入库明细!$F$4:$F$2003,$Z199-0)),IF($Z199&lt;=4000,"",IF($Z199&lt;=5200,"",IF($Z199&lt;=5800,"","")))))</f>
        <v/>
      </c>
      <c r="H199" s="39" t="str">
        <f>IF($Z199="","",IF($Z199&lt;=2000,IF(INDEX(包装物料出入库明细!$L$4:$L$2003,$Z199-0)=0,"",INDEX(包装物料出入库明细!$L$4:$L$2003,$Z199-0)),IF($Z199&lt;=4000,N(INDEX(周转筐出入库明细!$H$4:$H$2004,$Z199-2000))+N(INDEX(周转筐出入库明细!$I$4:$I$2004,$Z199-2000))+N(INDEX(周转筐出入库明细!$J$4:$J$2004,$Z199-2000))+N(INDEX(周转筐出入库明细!$K$4:$K$2004,$Z199-2000)),IF($Z199&lt;=5200,N(INDEX(客户自备加工筐明细!$F$4:$F$1203,$Z199-4000))+N(INDEX(客户自备加工筐明细!$G$4:$G$1203,$Z199-4000)),IF($Z199&lt;=5800,IF(INDEX(次果筐明细!$G$4:$G$603,$Z199-5200)=0,"",INDEX(次果筐明细!$G$4:$G$603,$Z199-5200)),"")))))</f>
        <v/>
      </c>
      <c r="I199" s="24" t="str">
        <f>IF($Z199="","",IF($Z199&lt;=2000,IF(INDEX(包装物料出入库明细!$G$4:$G$2003,$Z199-0)=0,"",INDEX(包装物料出入库明细!$G$4:$G$2003,$Z199-0)),IF($Z199&lt;=4000,"个",IF($Z199&lt;=5200,"个",IF($Z199&lt;=5800,"个","")))))</f>
        <v/>
      </c>
      <c r="J199" s="30" t="str">
        <f t="shared" si="10"/>
        <v/>
      </c>
      <c r="K199" s="30" t="str">
        <f>IF($Z199="","",IF($Z199&lt;=2000,IF(INDEX(包装物料出入库明细!$N$4:$N$2003,$Z199-0)=0,"",INDEX(包装物料出入库明细!$N$4:$N$2003,$Z199-0)),IF($Z199&lt;=4000,IF(INDEX(周转筐出入库明细!$P$4:$P$2004,$Z199-2000)=0,"",INDEX(周转筐出入库明细!$P$4:$P$2004,$Z199-2000)),IF($Z199&lt;=5200,"",IF($Z199&lt;=5800,N(INDEX(次果筐明细!$L$4:$L$603,$Z199-5200))+N(INDEX(次果筐明细!$J$4:$J$603,$Z199-5200)),"")))))</f>
        <v/>
      </c>
      <c r="L199" s="24" t="str">
        <f>IF($Z199="","",IF($Z199&lt;=2000,IF(INDEX(包装物料出入库明细!$P$4:$P$2003,$Z199-0)=0,"",INDEX(包装物料出入库明细!$P$4:$P$2003,$Z199-0)),IF($Z199&lt;=4000,IF(INDEX(周转筐出入库明细!$Q$4:$Q$2004,$Z199-2000)=0,"",INDEX(周转筐出入库明细!$Q$4:$Q$2004,$Z199-2000)),IF($Z199&lt;=5200,"",IF($Z199&lt;=5800,IF(INDEX(次果筐明细!$M$4:$M$603,$Z199-5200)=0,"",INDEX(次果筐明细!$M$4:$M$603,$Z199-5200)),"")))))</f>
        <v/>
      </c>
      <c r="M199" s="37" t="str">
        <f>IF($Z199="","",IF($Z199&lt;=2000,IF(INDEX(包装物料出入库明细!$R$4:$R$2003,$Z199-0)=0,"",INDEX(包装物料出入库明细!$R$4:$R$2003,$Z199-0)),IF($Z199&lt;=4000,IF(INDEX(周转筐出入库明细!$W$4:$W$2004,$Z199-2000)=0,"",INDEX(周转筐出入库明细!$W$4:$W$2004,$Z199-2000)),IF($Z199&lt;=5200,IF(INDEX(客户自备加工筐明细!$L$4:$L$1203,$Z199-4000)=0,"",INDEX(客户自备加工筐明细!$L$4:$L$1203,$Z199-4000)),IF($Z199&lt;=5800,IF(INDEX(次果筐明细!$P$4:$P$603,$Z199-5200)=0,"",INDEX(次果筐明细!$P$4:$P$603,$Z199-5200)),"")))))</f>
        <v/>
      </c>
      <c r="N199" s="16" t="str">
        <f>IF($Z199="","",IF($Z199&lt;=2000,"",IF($Z199&lt;=4000,IF(INDEX(周转筐出入库明细!$D$4:$D$2004,$Z199-2000)=0,"",INDEX(周转筐出入库明细!$D$4:$D$2004,$Z199-2000)),IF($Z199&lt;=5200,IF(INDEX(客户自备加工筐明细!$C$4:$C$1203,$Z199-4000)=0,"",INDEX(客户自备加工筐明细!$C$4:$C$1203,$Z199-4000)),IF($Z199&lt;=5800,IF(INDEX(次果筐明细!$D$4:$D$603,$Z199-5200)=0,"",INDEX(次果筐明细!$D$4:$D$603,$Z199-5200)),"")))))</f>
        <v/>
      </c>
      <c r="O199" s="40" t="str">
        <f>IF($Z199="","",IF($Z199&lt;=2000,"",IF($Z199&lt;=4000,IF(N(INDEX(周转筐出入库明细!$J$4:$J$2004,$Z199-2000))+N(INDEX(周转筐出入库明细!$K$4:$K$2004,$Z199-2000))=0,"",N(INDEX(周转筐出入库明细!$J$4:$J$2004,$Z199-2000))+N(INDEX(周转筐出入库明细!$K$4:$K$2004,$Z199-2000))),IF($Z199&lt;=5200,IF(N(INDEX(客户自备加工筐明细!$G$4:$G$1203,$Z199-4000))=0,"",N(INDEX(客户自备加工筐明细!$G$4:$G$1203,$Z199-4000))),IF($Z199&lt;=5800,IF(ISNUMBER(SEARCH("退",INDEX(次果筐明细!$F$4:$F$603,$Z199-5200)&amp;"")),"",IF(N(INDEX(次果筐明细!$G$4:$G$603,$Z199-5200))=0,"",N(INDEX(次果筐明细!$G$4:$G$603,$Z199-5200)))),"")))))</f>
        <v/>
      </c>
      <c r="P199" s="40" t="str">
        <f>IF($Z199="","",IF($Z199&lt;=2000,"",IF($Z199&lt;=4000,IF(N(INDEX(周转筐出入库明细!$I$4:$I$2004,$Z199-2000))=0,"",N(INDEX(周转筐出入库明细!$I$4:$I$2004,$Z199-2000))),IF($Z199&lt;=5200,"",IF($Z199&lt;=5800,IF(ISNUMBER(SEARCH("退",INDEX(次果筐明细!$F$4:$F$603,$Z199-5200)&amp;"")),IF(N(INDEX(次果筐明细!$G$4:$G$603,$Z199-5200))=0,"",N(INDEX(次果筐明细!$G$4:$G$603,$Z199-5200))),""),"")))))</f>
        <v/>
      </c>
      <c r="Q199" s="40" t="str">
        <f>IF($Z199="","",IF($Z199&lt;=2000,"",IF($Z199&lt;=4000,IF(N(INDEX(周转筐出入库明细!$H$4:$H$2004,$Z199-2000))=0,"",N(INDEX(周转筐出入库明细!$H$4:$H$2004,$Z199-2000))),IF($Z199&lt;=5200,IF(N(INDEX(客户自备加工筐明细!$F$4:$F$1203,$Z199-4000))=0,"",N(INDEX(客户自备加工筐明细!$F$4:$F$1203,$Z199-4000))),IF($Z199&lt;=5800,"","")))))</f>
        <v/>
      </c>
      <c r="R199" s="16" t="str">
        <f>IF($Z199="","",IF($Z199&lt;=2000,IF(INDEX(包装物料出入库明细!$O$4:$O$2003,$Z199-0)=0,"",INDEX(包装物料出入库明细!$O$4:$O$2003,$Z199-0)),IF($Z199&lt;=4000,IF(INDEX(周转筐出入库明细!$M$4:$M$2004,$Z199-2000)=0,"",INDEX(周转筐出入库明细!$M$4:$M$2004,$Z199-2000)),IF($Z199&lt;=5200,IF(INDEX(客户自备加工筐明细!$H$4:$H$1203,$Z199-4000)=0,"",INDEX(客户自备加工筐明细!$H$4:$H$1203,$Z199-4000)),IF($Z199&lt;=5800,IF(INDEX(次果筐明细!$H$4:$H$603,$Z199-5200)=0,"",INDEX(次果筐明细!$H$4:$H$603,$Z199-5200)),"")))))</f>
        <v/>
      </c>
      <c r="S199" s="22" t="str">
        <f t="shared" si="11"/>
        <v/>
      </c>
      <c r="Z199" s="10" t="str">
        <f>IFERROR(MATCH(ROW()-3,_自动清单!$CQ$4:$CQ$5803,0),"")</f>
        <v/>
      </c>
    </row>
    <row r="200" spans="1:26">
      <c r="A200" s="24" t="str">
        <f t="shared" si="9"/>
        <v/>
      </c>
      <c r="B200" s="38" t="str">
        <f>IF($Z200="","",IF($Z200&lt;=2000,IF(INDEX(包装物料出入库明细!$B$4:$B$2003,$Z200-0)=0,"",INDEX(包装物料出入库明细!$B$4:$B$2003,$Z200-0)),IF($Z200&lt;=4000,IF(INDEX(周转筐出入库明细!$B$4:$B$2004,$Z200-2000)=0,"",INDEX(周转筐出入库明细!$B$4:$B$2004,$Z200-2000)),IF($Z200&lt;=5200,IF(INDEX(客户自备加工筐明细!$B$4:$B$1203,$Z200-4000)=0,"",INDEX(客户自备加工筐明细!$B$4:$B$1203,$Z200-4000)),IF($Z200&lt;=5800,IF(INDEX(次果筐明细!$B$4:$B$603,$Z200-5200)=0,"",INDEX(次果筐明细!$B$4:$B$603,$Z200-5200)),"")))))</f>
        <v/>
      </c>
      <c r="C200" s="37" t="str">
        <f>IF($Z200="","",IF($Z200&lt;=2000,IF(INDEX(包装物料出入库明细!$D$4:$D$2003,$Z200-0)=0,"",INDEX(包装物料出入库明细!$D$4:$D$2003,$Z200-0)),IF($Z200&lt;=4000,IF(INDEX(周转筐出入库明细!$C$4:$C$2004,$Z200-2000)=0,"",INDEX(周转筐出入库明细!$C$4:$C$2004,$Z200-2000)),IF($Z200&lt;=5200,IF(INDEX(客户自备加工筐明细!$E$4:$E$1203,$Z200-4000)=0,"",INDEX(客户自备加工筐明细!$E$4:$E$1203,$Z200-4000)),IF($Z200&lt;=5800,IF(INDEX(次果筐明细!$C$4:$C$603,$Z200-5200)=0,"",INDEX(次果筐明细!$C$4:$C$603,$Z200-5200)),"")))))</f>
        <v/>
      </c>
      <c r="D200" s="37" t="str">
        <f>IF($Z200="","",IF($Z200&lt;=2000,"包装物料－"&amp;INDEX(包装物料出入库明细!$H$4:$H$2003,$Z200-0),IF($Z200&lt;=4000,"周转筐－"&amp;INDEX(周转筐出入库明细!$F$4:$F$2004,$Z200-2000),IF($Z200&lt;=5200,"客户自备筐－"&amp;INDEX(客户自备加工筐明细!$J$4:$J$1203,$Z200-4000),IF($Z200&lt;=5800,"次果筐/托盘－"&amp;INDEX(次果筐明细!$F$4:$F$603,$Z200-5200),"")))))</f>
        <v/>
      </c>
      <c r="E200" s="24" t="str">
        <f>IF($Z200="","",IF($Z200&lt;=2000,IF(INDEX(包装物料出入库明细!$C$4:$C$2003,$Z200-0)=0,"",INDEX(包装物料出入库明细!$C$4:$C$2003,$Z200-0)),IF($Z200&lt;=4000,IF(INDEX(周转筐出入库明细!$E$4:$E$2004,$Z200-2000)=0,"",INDEX(周转筐出入库明细!$E$4:$E$2004,$Z200-2000)),IF($Z200&lt;=5200,IF(INDEX(客户自备加工筐明细!$D$4:$D$1203,$Z200-4000)=0,"",INDEX(客户自备加工筐明细!$D$4:$D$1203,$Z200-4000)),IF($Z200&lt;=5800,IF(INDEX(次果筐明细!$E$4:$E$603,$Z200-5200)=0,"",INDEX(次果筐明细!$E$4:$E$603,$Z200-5200)),"")))))</f>
        <v/>
      </c>
      <c r="F200" s="24" t="str">
        <f>IF($Z200="","",IF($Z200&lt;=2000,IF(INDEX(包装物料出入库明细!$E$4:$E$2003,$Z200-0)=0,"",INDEX(包装物料出入库明细!$E$4:$E$2003,$Z200-0)),IF($Z200&lt;=4000,IF(INDEX(周转筐出入库明细!$D$4:$D$2004,$Z200-2000)=0,"",INDEX(周转筐出入库明细!$D$4:$D$2004,$Z200-2000)),IF($Z200&lt;=5200,IF(INDEX(客户自备加工筐明细!$C$4:$C$1203,$Z200-4000)=0,"",INDEX(客户自备加工筐明细!$C$4:$C$1203,$Z200-4000)),IF($Z200&lt;=5800,IF(INDEX(次果筐明细!$D$4:$D$603,$Z200-5200)=0,"",INDEX(次果筐明细!$D$4:$D$603,$Z200-5200)),"")))))</f>
        <v/>
      </c>
      <c r="G200" s="24" t="str">
        <f>IF($Z200="","",IF($Z200&lt;=2000,IF(INDEX(包装物料出入库明细!$F$4:$F$2003,$Z200-0)=0,"",INDEX(包装物料出入库明细!$F$4:$F$2003,$Z200-0)),IF($Z200&lt;=4000,"",IF($Z200&lt;=5200,"",IF($Z200&lt;=5800,"","")))))</f>
        <v/>
      </c>
      <c r="H200" s="39" t="str">
        <f>IF($Z200="","",IF($Z200&lt;=2000,IF(INDEX(包装物料出入库明细!$L$4:$L$2003,$Z200-0)=0,"",INDEX(包装物料出入库明细!$L$4:$L$2003,$Z200-0)),IF($Z200&lt;=4000,N(INDEX(周转筐出入库明细!$H$4:$H$2004,$Z200-2000))+N(INDEX(周转筐出入库明细!$I$4:$I$2004,$Z200-2000))+N(INDEX(周转筐出入库明细!$J$4:$J$2004,$Z200-2000))+N(INDEX(周转筐出入库明细!$K$4:$K$2004,$Z200-2000)),IF($Z200&lt;=5200,N(INDEX(客户自备加工筐明细!$F$4:$F$1203,$Z200-4000))+N(INDEX(客户自备加工筐明细!$G$4:$G$1203,$Z200-4000)),IF($Z200&lt;=5800,IF(INDEX(次果筐明细!$G$4:$G$603,$Z200-5200)=0,"",INDEX(次果筐明细!$G$4:$G$603,$Z200-5200)),"")))))</f>
        <v/>
      </c>
      <c r="I200" s="24" t="str">
        <f>IF($Z200="","",IF($Z200&lt;=2000,IF(INDEX(包装物料出入库明细!$G$4:$G$2003,$Z200-0)=0,"",INDEX(包装物料出入库明细!$G$4:$G$2003,$Z200-0)),IF($Z200&lt;=4000,"个",IF($Z200&lt;=5200,"个",IF($Z200&lt;=5800,"个","")))))</f>
        <v/>
      </c>
      <c r="J200" s="30" t="str">
        <f t="shared" si="10"/>
        <v/>
      </c>
      <c r="K200" s="30" t="str">
        <f>IF($Z200="","",IF($Z200&lt;=2000,IF(INDEX(包装物料出入库明细!$N$4:$N$2003,$Z200-0)=0,"",INDEX(包装物料出入库明细!$N$4:$N$2003,$Z200-0)),IF($Z200&lt;=4000,IF(INDEX(周转筐出入库明细!$P$4:$P$2004,$Z200-2000)=0,"",INDEX(周转筐出入库明细!$P$4:$P$2004,$Z200-2000)),IF($Z200&lt;=5200,"",IF($Z200&lt;=5800,N(INDEX(次果筐明细!$L$4:$L$603,$Z200-5200))+N(INDEX(次果筐明细!$J$4:$J$603,$Z200-5200)),"")))))</f>
        <v/>
      </c>
      <c r="L200" s="24" t="str">
        <f>IF($Z200="","",IF($Z200&lt;=2000,IF(INDEX(包装物料出入库明细!$P$4:$P$2003,$Z200-0)=0,"",INDEX(包装物料出入库明细!$P$4:$P$2003,$Z200-0)),IF($Z200&lt;=4000,IF(INDEX(周转筐出入库明细!$Q$4:$Q$2004,$Z200-2000)=0,"",INDEX(周转筐出入库明细!$Q$4:$Q$2004,$Z200-2000)),IF($Z200&lt;=5200,"",IF($Z200&lt;=5800,IF(INDEX(次果筐明细!$M$4:$M$603,$Z200-5200)=0,"",INDEX(次果筐明细!$M$4:$M$603,$Z200-5200)),"")))))</f>
        <v/>
      </c>
      <c r="M200" s="37" t="str">
        <f>IF($Z200="","",IF($Z200&lt;=2000,IF(INDEX(包装物料出入库明细!$R$4:$R$2003,$Z200-0)=0,"",INDEX(包装物料出入库明细!$R$4:$R$2003,$Z200-0)),IF($Z200&lt;=4000,IF(INDEX(周转筐出入库明细!$W$4:$W$2004,$Z200-2000)=0,"",INDEX(周转筐出入库明细!$W$4:$W$2004,$Z200-2000)),IF($Z200&lt;=5200,IF(INDEX(客户自备加工筐明细!$L$4:$L$1203,$Z200-4000)=0,"",INDEX(客户自备加工筐明细!$L$4:$L$1203,$Z200-4000)),IF($Z200&lt;=5800,IF(INDEX(次果筐明细!$P$4:$P$603,$Z200-5200)=0,"",INDEX(次果筐明细!$P$4:$P$603,$Z200-5200)),"")))))</f>
        <v/>
      </c>
      <c r="N200" s="16" t="str">
        <f>IF($Z200="","",IF($Z200&lt;=2000,"",IF($Z200&lt;=4000,IF(INDEX(周转筐出入库明细!$D$4:$D$2004,$Z200-2000)=0,"",INDEX(周转筐出入库明细!$D$4:$D$2004,$Z200-2000)),IF($Z200&lt;=5200,IF(INDEX(客户自备加工筐明细!$C$4:$C$1203,$Z200-4000)=0,"",INDEX(客户自备加工筐明细!$C$4:$C$1203,$Z200-4000)),IF($Z200&lt;=5800,IF(INDEX(次果筐明细!$D$4:$D$603,$Z200-5200)=0,"",INDEX(次果筐明细!$D$4:$D$603,$Z200-5200)),"")))))</f>
        <v/>
      </c>
      <c r="O200" s="40" t="str">
        <f>IF($Z200="","",IF($Z200&lt;=2000,"",IF($Z200&lt;=4000,IF(N(INDEX(周转筐出入库明细!$J$4:$J$2004,$Z200-2000))+N(INDEX(周转筐出入库明细!$K$4:$K$2004,$Z200-2000))=0,"",N(INDEX(周转筐出入库明细!$J$4:$J$2004,$Z200-2000))+N(INDEX(周转筐出入库明细!$K$4:$K$2004,$Z200-2000))),IF($Z200&lt;=5200,IF(N(INDEX(客户自备加工筐明细!$G$4:$G$1203,$Z200-4000))=0,"",N(INDEX(客户自备加工筐明细!$G$4:$G$1203,$Z200-4000))),IF($Z200&lt;=5800,IF(ISNUMBER(SEARCH("退",INDEX(次果筐明细!$F$4:$F$603,$Z200-5200)&amp;"")),"",IF(N(INDEX(次果筐明细!$G$4:$G$603,$Z200-5200))=0,"",N(INDEX(次果筐明细!$G$4:$G$603,$Z200-5200)))),"")))))</f>
        <v/>
      </c>
      <c r="P200" s="40" t="str">
        <f>IF($Z200="","",IF($Z200&lt;=2000,"",IF($Z200&lt;=4000,IF(N(INDEX(周转筐出入库明细!$I$4:$I$2004,$Z200-2000))=0,"",N(INDEX(周转筐出入库明细!$I$4:$I$2004,$Z200-2000))),IF($Z200&lt;=5200,"",IF($Z200&lt;=5800,IF(ISNUMBER(SEARCH("退",INDEX(次果筐明细!$F$4:$F$603,$Z200-5200)&amp;"")),IF(N(INDEX(次果筐明细!$G$4:$G$603,$Z200-5200))=0,"",N(INDEX(次果筐明细!$G$4:$G$603,$Z200-5200))),""),"")))))</f>
        <v/>
      </c>
      <c r="Q200" s="40" t="str">
        <f>IF($Z200="","",IF($Z200&lt;=2000,"",IF($Z200&lt;=4000,IF(N(INDEX(周转筐出入库明细!$H$4:$H$2004,$Z200-2000))=0,"",N(INDEX(周转筐出入库明细!$H$4:$H$2004,$Z200-2000))),IF($Z200&lt;=5200,IF(N(INDEX(客户自备加工筐明细!$F$4:$F$1203,$Z200-4000))=0,"",N(INDEX(客户自备加工筐明细!$F$4:$F$1203,$Z200-4000))),IF($Z200&lt;=5800,"","")))))</f>
        <v/>
      </c>
      <c r="R200" s="16" t="str">
        <f>IF($Z200="","",IF($Z200&lt;=2000,IF(INDEX(包装物料出入库明细!$O$4:$O$2003,$Z200-0)=0,"",INDEX(包装物料出入库明细!$O$4:$O$2003,$Z200-0)),IF($Z200&lt;=4000,IF(INDEX(周转筐出入库明细!$M$4:$M$2004,$Z200-2000)=0,"",INDEX(周转筐出入库明细!$M$4:$M$2004,$Z200-2000)),IF($Z200&lt;=5200,IF(INDEX(客户自备加工筐明细!$H$4:$H$1203,$Z200-4000)=0,"",INDEX(客户自备加工筐明细!$H$4:$H$1203,$Z200-4000)),IF($Z200&lt;=5800,IF(INDEX(次果筐明细!$H$4:$H$603,$Z200-5200)=0,"",INDEX(次果筐明细!$H$4:$H$603,$Z200-5200)),"")))))</f>
        <v/>
      </c>
      <c r="S200" s="22" t="str">
        <f t="shared" si="11"/>
        <v/>
      </c>
      <c r="Z200" s="10" t="str">
        <f>IFERROR(MATCH(ROW()-3,_自动清单!$CQ$4:$CQ$5803,0),"")</f>
        <v/>
      </c>
    </row>
    <row r="201" spans="1:26">
      <c r="A201" s="24" t="str">
        <f t="shared" si="9"/>
        <v/>
      </c>
      <c r="B201" s="38" t="str">
        <f>IF($Z201="","",IF($Z201&lt;=2000,IF(INDEX(包装物料出入库明细!$B$4:$B$2003,$Z201-0)=0,"",INDEX(包装物料出入库明细!$B$4:$B$2003,$Z201-0)),IF($Z201&lt;=4000,IF(INDEX(周转筐出入库明细!$B$4:$B$2004,$Z201-2000)=0,"",INDEX(周转筐出入库明细!$B$4:$B$2004,$Z201-2000)),IF($Z201&lt;=5200,IF(INDEX(客户自备加工筐明细!$B$4:$B$1203,$Z201-4000)=0,"",INDEX(客户自备加工筐明细!$B$4:$B$1203,$Z201-4000)),IF($Z201&lt;=5800,IF(INDEX(次果筐明细!$B$4:$B$603,$Z201-5200)=0,"",INDEX(次果筐明细!$B$4:$B$603,$Z201-5200)),"")))))</f>
        <v/>
      </c>
      <c r="C201" s="37" t="str">
        <f>IF($Z201="","",IF($Z201&lt;=2000,IF(INDEX(包装物料出入库明细!$D$4:$D$2003,$Z201-0)=0,"",INDEX(包装物料出入库明细!$D$4:$D$2003,$Z201-0)),IF($Z201&lt;=4000,IF(INDEX(周转筐出入库明细!$C$4:$C$2004,$Z201-2000)=0,"",INDEX(周转筐出入库明细!$C$4:$C$2004,$Z201-2000)),IF($Z201&lt;=5200,IF(INDEX(客户自备加工筐明细!$E$4:$E$1203,$Z201-4000)=0,"",INDEX(客户自备加工筐明细!$E$4:$E$1203,$Z201-4000)),IF($Z201&lt;=5800,IF(INDEX(次果筐明细!$C$4:$C$603,$Z201-5200)=0,"",INDEX(次果筐明细!$C$4:$C$603,$Z201-5200)),"")))))</f>
        <v/>
      </c>
      <c r="D201" s="37" t="str">
        <f>IF($Z201="","",IF($Z201&lt;=2000,"包装物料－"&amp;INDEX(包装物料出入库明细!$H$4:$H$2003,$Z201-0),IF($Z201&lt;=4000,"周转筐－"&amp;INDEX(周转筐出入库明细!$F$4:$F$2004,$Z201-2000),IF($Z201&lt;=5200,"客户自备筐－"&amp;INDEX(客户自备加工筐明细!$J$4:$J$1203,$Z201-4000),IF($Z201&lt;=5800,"次果筐/托盘－"&amp;INDEX(次果筐明细!$F$4:$F$603,$Z201-5200),"")))))</f>
        <v/>
      </c>
      <c r="E201" s="24" t="str">
        <f>IF($Z201="","",IF($Z201&lt;=2000,IF(INDEX(包装物料出入库明细!$C$4:$C$2003,$Z201-0)=0,"",INDEX(包装物料出入库明细!$C$4:$C$2003,$Z201-0)),IF($Z201&lt;=4000,IF(INDEX(周转筐出入库明细!$E$4:$E$2004,$Z201-2000)=0,"",INDEX(周转筐出入库明细!$E$4:$E$2004,$Z201-2000)),IF($Z201&lt;=5200,IF(INDEX(客户自备加工筐明细!$D$4:$D$1203,$Z201-4000)=0,"",INDEX(客户自备加工筐明细!$D$4:$D$1203,$Z201-4000)),IF($Z201&lt;=5800,IF(INDEX(次果筐明细!$E$4:$E$603,$Z201-5200)=0,"",INDEX(次果筐明细!$E$4:$E$603,$Z201-5200)),"")))))</f>
        <v/>
      </c>
      <c r="F201" s="24" t="str">
        <f>IF($Z201="","",IF($Z201&lt;=2000,IF(INDEX(包装物料出入库明细!$E$4:$E$2003,$Z201-0)=0,"",INDEX(包装物料出入库明细!$E$4:$E$2003,$Z201-0)),IF($Z201&lt;=4000,IF(INDEX(周转筐出入库明细!$D$4:$D$2004,$Z201-2000)=0,"",INDEX(周转筐出入库明细!$D$4:$D$2004,$Z201-2000)),IF($Z201&lt;=5200,IF(INDEX(客户自备加工筐明细!$C$4:$C$1203,$Z201-4000)=0,"",INDEX(客户自备加工筐明细!$C$4:$C$1203,$Z201-4000)),IF($Z201&lt;=5800,IF(INDEX(次果筐明细!$D$4:$D$603,$Z201-5200)=0,"",INDEX(次果筐明细!$D$4:$D$603,$Z201-5200)),"")))))</f>
        <v/>
      </c>
      <c r="G201" s="24" t="str">
        <f>IF($Z201="","",IF($Z201&lt;=2000,IF(INDEX(包装物料出入库明细!$F$4:$F$2003,$Z201-0)=0,"",INDEX(包装物料出入库明细!$F$4:$F$2003,$Z201-0)),IF($Z201&lt;=4000,"",IF($Z201&lt;=5200,"",IF($Z201&lt;=5800,"","")))))</f>
        <v/>
      </c>
      <c r="H201" s="39" t="str">
        <f>IF($Z201="","",IF($Z201&lt;=2000,IF(INDEX(包装物料出入库明细!$L$4:$L$2003,$Z201-0)=0,"",INDEX(包装物料出入库明细!$L$4:$L$2003,$Z201-0)),IF($Z201&lt;=4000,N(INDEX(周转筐出入库明细!$H$4:$H$2004,$Z201-2000))+N(INDEX(周转筐出入库明细!$I$4:$I$2004,$Z201-2000))+N(INDEX(周转筐出入库明细!$J$4:$J$2004,$Z201-2000))+N(INDEX(周转筐出入库明细!$K$4:$K$2004,$Z201-2000)),IF($Z201&lt;=5200,N(INDEX(客户自备加工筐明细!$F$4:$F$1203,$Z201-4000))+N(INDEX(客户自备加工筐明细!$G$4:$G$1203,$Z201-4000)),IF($Z201&lt;=5800,IF(INDEX(次果筐明细!$G$4:$G$603,$Z201-5200)=0,"",INDEX(次果筐明细!$G$4:$G$603,$Z201-5200)),"")))))</f>
        <v/>
      </c>
      <c r="I201" s="24" t="str">
        <f>IF($Z201="","",IF($Z201&lt;=2000,IF(INDEX(包装物料出入库明细!$G$4:$G$2003,$Z201-0)=0,"",INDEX(包装物料出入库明细!$G$4:$G$2003,$Z201-0)),IF($Z201&lt;=4000,"个",IF($Z201&lt;=5200,"个",IF($Z201&lt;=5800,"个","")))))</f>
        <v/>
      </c>
      <c r="J201" s="30" t="str">
        <f t="shared" si="10"/>
        <v/>
      </c>
      <c r="K201" s="30" t="str">
        <f>IF($Z201="","",IF($Z201&lt;=2000,IF(INDEX(包装物料出入库明细!$N$4:$N$2003,$Z201-0)=0,"",INDEX(包装物料出入库明细!$N$4:$N$2003,$Z201-0)),IF($Z201&lt;=4000,IF(INDEX(周转筐出入库明细!$P$4:$P$2004,$Z201-2000)=0,"",INDEX(周转筐出入库明细!$P$4:$P$2004,$Z201-2000)),IF($Z201&lt;=5200,"",IF($Z201&lt;=5800,N(INDEX(次果筐明细!$L$4:$L$603,$Z201-5200))+N(INDEX(次果筐明细!$J$4:$J$603,$Z201-5200)),"")))))</f>
        <v/>
      </c>
      <c r="L201" s="24" t="str">
        <f>IF($Z201="","",IF($Z201&lt;=2000,IF(INDEX(包装物料出入库明细!$P$4:$P$2003,$Z201-0)=0,"",INDEX(包装物料出入库明细!$P$4:$P$2003,$Z201-0)),IF($Z201&lt;=4000,IF(INDEX(周转筐出入库明细!$Q$4:$Q$2004,$Z201-2000)=0,"",INDEX(周转筐出入库明细!$Q$4:$Q$2004,$Z201-2000)),IF($Z201&lt;=5200,"",IF($Z201&lt;=5800,IF(INDEX(次果筐明细!$M$4:$M$603,$Z201-5200)=0,"",INDEX(次果筐明细!$M$4:$M$603,$Z201-5200)),"")))))</f>
        <v/>
      </c>
      <c r="M201" s="37" t="str">
        <f>IF($Z201="","",IF($Z201&lt;=2000,IF(INDEX(包装物料出入库明细!$R$4:$R$2003,$Z201-0)=0,"",INDEX(包装物料出入库明细!$R$4:$R$2003,$Z201-0)),IF($Z201&lt;=4000,IF(INDEX(周转筐出入库明细!$W$4:$W$2004,$Z201-2000)=0,"",INDEX(周转筐出入库明细!$W$4:$W$2004,$Z201-2000)),IF($Z201&lt;=5200,IF(INDEX(客户自备加工筐明细!$L$4:$L$1203,$Z201-4000)=0,"",INDEX(客户自备加工筐明细!$L$4:$L$1203,$Z201-4000)),IF($Z201&lt;=5800,IF(INDEX(次果筐明细!$P$4:$P$603,$Z201-5200)=0,"",INDEX(次果筐明细!$P$4:$P$603,$Z201-5200)),"")))))</f>
        <v/>
      </c>
      <c r="N201" s="16" t="str">
        <f>IF($Z201="","",IF($Z201&lt;=2000,"",IF($Z201&lt;=4000,IF(INDEX(周转筐出入库明细!$D$4:$D$2004,$Z201-2000)=0,"",INDEX(周转筐出入库明细!$D$4:$D$2004,$Z201-2000)),IF($Z201&lt;=5200,IF(INDEX(客户自备加工筐明细!$C$4:$C$1203,$Z201-4000)=0,"",INDEX(客户自备加工筐明细!$C$4:$C$1203,$Z201-4000)),IF($Z201&lt;=5800,IF(INDEX(次果筐明细!$D$4:$D$603,$Z201-5200)=0,"",INDEX(次果筐明细!$D$4:$D$603,$Z201-5200)),"")))))</f>
        <v/>
      </c>
      <c r="O201" s="40" t="str">
        <f>IF($Z201="","",IF($Z201&lt;=2000,"",IF($Z201&lt;=4000,IF(N(INDEX(周转筐出入库明细!$J$4:$J$2004,$Z201-2000))+N(INDEX(周转筐出入库明细!$K$4:$K$2004,$Z201-2000))=0,"",N(INDEX(周转筐出入库明细!$J$4:$J$2004,$Z201-2000))+N(INDEX(周转筐出入库明细!$K$4:$K$2004,$Z201-2000))),IF($Z201&lt;=5200,IF(N(INDEX(客户自备加工筐明细!$G$4:$G$1203,$Z201-4000))=0,"",N(INDEX(客户自备加工筐明细!$G$4:$G$1203,$Z201-4000))),IF($Z201&lt;=5800,IF(ISNUMBER(SEARCH("退",INDEX(次果筐明细!$F$4:$F$603,$Z201-5200)&amp;"")),"",IF(N(INDEX(次果筐明细!$G$4:$G$603,$Z201-5200))=0,"",N(INDEX(次果筐明细!$G$4:$G$603,$Z201-5200)))),"")))))</f>
        <v/>
      </c>
      <c r="P201" s="40" t="str">
        <f>IF($Z201="","",IF($Z201&lt;=2000,"",IF($Z201&lt;=4000,IF(N(INDEX(周转筐出入库明细!$I$4:$I$2004,$Z201-2000))=0,"",N(INDEX(周转筐出入库明细!$I$4:$I$2004,$Z201-2000))),IF($Z201&lt;=5200,"",IF($Z201&lt;=5800,IF(ISNUMBER(SEARCH("退",INDEX(次果筐明细!$F$4:$F$603,$Z201-5200)&amp;"")),IF(N(INDEX(次果筐明细!$G$4:$G$603,$Z201-5200))=0,"",N(INDEX(次果筐明细!$G$4:$G$603,$Z201-5200))),""),"")))))</f>
        <v/>
      </c>
      <c r="Q201" s="40" t="str">
        <f>IF($Z201="","",IF($Z201&lt;=2000,"",IF($Z201&lt;=4000,IF(N(INDEX(周转筐出入库明细!$H$4:$H$2004,$Z201-2000))=0,"",N(INDEX(周转筐出入库明细!$H$4:$H$2004,$Z201-2000))),IF($Z201&lt;=5200,IF(N(INDEX(客户自备加工筐明细!$F$4:$F$1203,$Z201-4000))=0,"",N(INDEX(客户自备加工筐明细!$F$4:$F$1203,$Z201-4000))),IF($Z201&lt;=5800,"","")))))</f>
        <v/>
      </c>
      <c r="R201" s="16" t="str">
        <f>IF($Z201="","",IF($Z201&lt;=2000,IF(INDEX(包装物料出入库明细!$O$4:$O$2003,$Z201-0)=0,"",INDEX(包装物料出入库明细!$O$4:$O$2003,$Z201-0)),IF($Z201&lt;=4000,IF(INDEX(周转筐出入库明细!$M$4:$M$2004,$Z201-2000)=0,"",INDEX(周转筐出入库明细!$M$4:$M$2004,$Z201-2000)),IF($Z201&lt;=5200,IF(INDEX(客户自备加工筐明细!$H$4:$H$1203,$Z201-4000)=0,"",INDEX(客户自备加工筐明细!$H$4:$H$1203,$Z201-4000)),IF($Z201&lt;=5800,IF(INDEX(次果筐明细!$H$4:$H$603,$Z201-5200)=0,"",INDEX(次果筐明细!$H$4:$H$603,$Z201-5200)),"")))))</f>
        <v/>
      </c>
      <c r="S201" s="22" t="str">
        <f t="shared" si="11"/>
        <v/>
      </c>
      <c r="Z201" s="10" t="str">
        <f>IFERROR(MATCH(ROW()-3,_自动清单!$CQ$4:$CQ$5803,0),"")</f>
        <v/>
      </c>
    </row>
    <row r="202" spans="1:26">
      <c r="A202" s="24" t="str">
        <f t="shared" si="9"/>
        <v/>
      </c>
      <c r="B202" s="38" t="str">
        <f>IF($Z202="","",IF($Z202&lt;=2000,IF(INDEX(包装物料出入库明细!$B$4:$B$2003,$Z202-0)=0,"",INDEX(包装物料出入库明细!$B$4:$B$2003,$Z202-0)),IF($Z202&lt;=4000,IF(INDEX(周转筐出入库明细!$B$4:$B$2004,$Z202-2000)=0,"",INDEX(周转筐出入库明细!$B$4:$B$2004,$Z202-2000)),IF($Z202&lt;=5200,IF(INDEX(客户自备加工筐明细!$B$4:$B$1203,$Z202-4000)=0,"",INDEX(客户自备加工筐明细!$B$4:$B$1203,$Z202-4000)),IF($Z202&lt;=5800,IF(INDEX(次果筐明细!$B$4:$B$603,$Z202-5200)=0,"",INDEX(次果筐明细!$B$4:$B$603,$Z202-5200)),"")))))</f>
        <v/>
      </c>
      <c r="C202" s="37" t="str">
        <f>IF($Z202="","",IF($Z202&lt;=2000,IF(INDEX(包装物料出入库明细!$D$4:$D$2003,$Z202-0)=0,"",INDEX(包装物料出入库明细!$D$4:$D$2003,$Z202-0)),IF($Z202&lt;=4000,IF(INDEX(周转筐出入库明细!$C$4:$C$2004,$Z202-2000)=0,"",INDEX(周转筐出入库明细!$C$4:$C$2004,$Z202-2000)),IF($Z202&lt;=5200,IF(INDEX(客户自备加工筐明细!$E$4:$E$1203,$Z202-4000)=0,"",INDEX(客户自备加工筐明细!$E$4:$E$1203,$Z202-4000)),IF($Z202&lt;=5800,IF(INDEX(次果筐明细!$C$4:$C$603,$Z202-5200)=0,"",INDEX(次果筐明细!$C$4:$C$603,$Z202-5200)),"")))))</f>
        <v/>
      </c>
      <c r="D202" s="37" t="str">
        <f>IF($Z202="","",IF($Z202&lt;=2000,"包装物料－"&amp;INDEX(包装物料出入库明细!$H$4:$H$2003,$Z202-0),IF($Z202&lt;=4000,"周转筐－"&amp;INDEX(周转筐出入库明细!$F$4:$F$2004,$Z202-2000),IF($Z202&lt;=5200,"客户自备筐－"&amp;INDEX(客户自备加工筐明细!$J$4:$J$1203,$Z202-4000),IF($Z202&lt;=5800,"次果筐/托盘－"&amp;INDEX(次果筐明细!$F$4:$F$603,$Z202-5200),"")))))</f>
        <v/>
      </c>
      <c r="E202" s="24" t="str">
        <f>IF($Z202="","",IF($Z202&lt;=2000,IF(INDEX(包装物料出入库明细!$C$4:$C$2003,$Z202-0)=0,"",INDEX(包装物料出入库明细!$C$4:$C$2003,$Z202-0)),IF($Z202&lt;=4000,IF(INDEX(周转筐出入库明细!$E$4:$E$2004,$Z202-2000)=0,"",INDEX(周转筐出入库明细!$E$4:$E$2004,$Z202-2000)),IF($Z202&lt;=5200,IF(INDEX(客户自备加工筐明细!$D$4:$D$1203,$Z202-4000)=0,"",INDEX(客户自备加工筐明细!$D$4:$D$1203,$Z202-4000)),IF($Z202&lt;=5800,IF(INDEX(次果筐明细!$E$4:$E$603,$Z202-5200)=0,"",INDEX(次果筐明细!$E$4:$E$603,$Z202-5200)),"")))))</f>
        <v/>
      </c>
      <c r="F202" s="24" t="str">
        <f>IF($Z202="","",IF($Z202&lt;=2000,IF(INDEX(包装物料出入库明细!$E$4:$E$2003,$Z202-0)=0,"",INDEX(包装物料出入库明细!$E$4:$E$2003,$Z202-0)),IF($Z202&lt;=4000,IF(INDEX(周转筐出入库明细!$D$4:$D$2004,$Z202-2000)=0,"",INDEX(周转筐出入库明细!$D$4:$D$2004,$Z202-2000)),IF($Z202&lt;=5200,IF(INDEX(客户自备加工筐明细!$C$4:$C$1203,$Z202-4000)=0,"",INDEX(客户自备加工筐明细!$C$4:$C$1203,$Z202-4000)),IF($Z202&lt;=5800,IF(INDEX(次果筐明细!$D$4:$D$603,$Z202-5200)=0,"",INDEX(次果筐明细!$D$4:$D$603,$Z202-5200)),"")))))</f>
        <v/>
      </c>
      <c r="G202" s="24" t="str">
        <f>IF($Z202="","",IF($Z202&lt;=2000,IF(INDEX(包装物料出入库明细!$F$4:$F$2003,$Z202-0)=0,"",INDEX(包装物料出入库明细!$F$4:$F$2003,$Z202-0)),IF($Z202&lt;=4000,"",IF($Z202&lt;=5200,"",IF($Z202&lt;=5800,"","")))))</f>
        <v/>
      </c>
      <c r="H202" s="39" t="str">
        <f>IF($Z202="","",IF($Z202&lt;=2000,IF(INDEX(包装物料出入库明细!$L$4:$L$2003,$Z202-0)=0,"",INDEX(包装物料出入库明细!$L$4:$L$2003,$Z202-0)),IF($Z202&lt;=4000,N(INDEX(周转筐出入库明细!$H$4:$H$2004,$Z202-2000))+N(INDEX(周转筐出入库明细!$I$4:$I$2004,$Z202-2000))+N(INDEX(周转筐出入库明细!$J$4:$J$2004,$Z202-2000))+N(INDEX(周转筐出入库明细!$K$4:$K$2004,$Z202-2000)),IF($Z202&lt;=5200,N(INDEX(客户自备加工筐明细!$F$4:$F$1203,$Z202-4000))+N(INDEX(客户自备加工筐明细!$G$4:$G$1203,$Z202-4000)),IF($Z202&lt;=5800,IF(INDEX(次果筐明细!$G$4:$G$603,$Z202-5200)=0,"",INDEX(次果筐明细!$G$4:$G$603,$Z202-5200)),"")))))</f>
        <v/>
      </c>
      <c r="I202" s="24" t="str">
        <f>IF($Z202="","",IF($Z202&lt;=2000,IF(INDEX(包装物料出入库明细!$G$4:$G$2003,$Z202-0)=0,"",INDEX(包装物料出入库明细!$G$4:$G$2003,$Z202-0)),IF($Z202&lt;=4000,"个",IF($Z202&lt;=5200,"个",IF($Z202&lt;=5800,"个","")))))</f>
        <v/>
      </c>
      <c r="J202" s="30" t="str">
        <f t="shared" si="10"/>
        <v/>
      </c>
      <c r="K202" s="30" t="str">
        <f>IF($Z202="","",IF($Z202&lt;=2000,IF(INDEX(包装物料出入库明细!$N$4:$N$2003,$Z202-0)=0,"",INDEX(包装物料出入库明细!$N$4:$N$2003,$Z202-0)),IF($Z202&lt;=4000,IF(INDEX(周转筐出入库明细!$P$4:$P$2004,$Z202-2000)=0,"",INDEX(周转筐出入库明细!$P$4:$P$2004,$Z202-2000)),IF($Z202&lt;=5200,"",IF($Z202&lt;=5800,N(INDEX(次果筐明细!$L$4:$L$603,$Z202-5200))+N(INDEX(次果筐明细!$J$4:$J$603,$Z202-5200)),"")))))</f>
        <v/>
      </c>
      <c r="L202" s="24" t="str">
        <f>IF($Z202="","",IF($Z202&lt;=2000,IF(INDEX(包装物料出入库明细!$P$4:$P$2003,$Z202-0)=0,"",INDEX(包装物料出入库明细!$P$4:$P$2003,$Z202-0)),IF($Z202&lt;=4000,IF(INDEX(周转筐出入库明细!$Q$4:$Q$2004,$Z202-2000)=0,"",INDEX(周转筐出入库明细!$Q$4:$Q$2004,$Z202-2000)),IF($Z202&lt;=5200,"",IF($Z202&lt;=5800,IF(INDEX(次果筐明细!$M$4:$M$603,$Z202-5200)=0,"",INDEX(次果筐明细!$M$4:$M$603,$Z202-5200)),"")))))</f>
        <v/>
      </c>
      <c r="M202" s="37" t="str">
        <f>IF($Z202="","",IF($Z202&lt;=2000,IF(INDEX(包装物料出入库明细!$R$4:$R$2003,$Z202-0)=0,"",INDEX(包装物料出入库明细!$R$4:$R$2003,$Z202-0)),IF($Z202&lt;=4000,IF(INDEX(周转筐出入库明细!$W$4:$W$2004,$Z202-2000)=0,"",INDEX(周转筐出入库明细!$W$4:$W$2004,$Z202-2000)),IF($Z202&lt;=5200,IF(INDEX(客户自备加工筐明细!$L$4:$L$1203,$Z202-4000)=0,"",INDEX(客户自备加工筐明细!$L$4:$L$1203,$Z202-4000)),IF($Z202&lt;=5800,IF(INDEX(次果筐明细!$P$4:$P$603,$Z202-5200)=0,"",INDEX(次果筐明细!$P$4:$P$603,$Z202-5200)),"")))))</f>
        <v/>
      </c>
      <c r="N202" s="16" t="str">
        <f>IF($Z202="","",IF($Z202&lt;=2000,"",IF($Z202&lt;=4000,IF(INDEX(周转筐出入库明细!$D$4:$D$2004,$Z202-2000)=0,"",INDEX(周转筐出入库明细!$D$4:$D$2004,$Z202-2000)),IF($Z202&lt;=5200,IF(INDEX(客户自备加工筐明细!$C$4:$C$1203,$Z202-4000)=0,"",INDEX(客户自备加工筐明细!$C$4:$C$1203,$Z202-4000)),IF($Z202&lt;=5800,IF(INDEX(次果筐明细!$D$4:$D$603,$Z202-5200)=0,"",INDEX(次果筐明细!$D$4:$D$603,$Z202-5200)),"")))))</f>
        <v/>
      </c>
      <c r="O202" s="40" t="str">
        <f>IF($Z202="","",IF($Z202&lt;=2000,"",IF($Z202&lt;=4000,IF(N(INDEX(周转筐出入库明细!$J$4:$J$2004,$Z202-2000))+N(INDEX(周转筐出入库明细!$K$4:$K$2004,$Z202-2000))=0,"",N(INDEX(周转筐出入库明细!$J$4:$J$2004,$Z202-2000))+N(INDEX(周转筐出入库明细!$K$4:$K$2004,$Z202-2000))),IF($Z202&lt;=5200,IF(N(INDEX(客户自备加工筐明细!$G$4:$G$1203,$Z202-4000))=0,"",N(INDEX(客户自备加工筐明细!$G$4:$G$1203,$Z202-4000))),IF($Z202&lt;=5800,IF(ISNUMBER(SEARCH("退",INDEX(次果筐明细!$F$4:$F$603,$Z202-5200)&amp;"")),"",IF(N(INDEX(次果筐明细!$G$4:$G$603,$Z202-5200))=0,"",N(INDEX(次果筐明细!$G$4:$G$603,$Z202-5200)))),"")))))</f>
        <v/>
      </c>
      <c r="P202" s="40" t="str">
        <f>IF($Z202="","",IF($Z202&lt;=2000,"",IF($Z202&lt;=4000,IF(N(INDEX(周转筐出入库明细!$I$4:$I$2004,$Z202-2000))=0,"",N(INDEX(周转筐出入库明细!$I$4:$I$2004,$Z202-2000))),IF($Z202&lt;=5200,"",IF($Z202&lt;=5800,IF(ISNUMBER(SEARCH("退",INDEX(次果筐明细!$F$4:$F$603,$Z202-5200)&amp;"")),IF(N(INDEX(次果筐明细!$G$4:$G$603,$Z202-5200))=0,"",N(INDEX(次果筐明细!$G$4:$G$603,$Z202-5200))),""),"")))))</f>
        <v/>
      </c>
      <c r="Q202" s="40" t="str">
        <f>IF($Z202="","",IF($Z202&lt;=2000,"",IF($Z202&lt;=4000,IF(N(INDEX(周转筐出入库明细!$H$4:$H$2004,$Z202-2000))=0,"",N(INDEX(周转筐出入库明细!$H$4:$H$2004,$Z202-2000))),IF($Z202&lt;=5200,IF(N(INDEX(客户自备加工筐明细!$F$4:$F$1203,$Z202-4000))=0,"",N(INDEX(客户自备加工筐明细!$F$4:$F$1203,$Z202-4000))),IF($Z202&lt;=5800,"","")))))</f>
        <v/>
      </c>
      <c r="R202" s="16" t="str">
        <f>IF($Z202="","",IF($Z202&lt;=2000,IF(INDEX(包装物料出入库明细!$O$4:$O$2003,$Z202-0)=0,"",INDEX(包装物料出入库明细!$O$4:$O$2003,$Z202-0)),IF($Z202&lt;=4000,IF(INDEX(周转筐出入库明细!$M$4:$M$2004,$Z202-2000)=0,"",INDEX(周转筐出入库明细!$M$4:$M$2004,$Z202-2000)),IF($Z202&lt;=5200,IF(INDEX(客户自备加工筐明细!$H$4:$H$1203,$Z202-4000)=0,"",INDEX(客户自备加工筐明细!$H$4:$H$1203,$Z202-4000)),IF($Z202&lt;=5800,IF(INDEX(次果筐明细!$H$4:$H$603,$Z202-5200)=0,"",INDEX(次果筐明细!$H$4:$H$603,$Z202-5200)),"")))))</f>
        <v/>
      </c>
      <c r="S202" s="22" t="str">
        <f t="shared" si="11"/>
        <v/>
      </c>
      <c r="Z202" s="10" t="str">
        <f>IFERROR(MATCH(ROW()-3,_自动清单!$CQ$4:$CQ$5803,0),"")</f>
        <v/>
      </c>
    </row>
    <row r="203" spans="1:26">
      <c r="A203" s="24" t="str">
        <f t="shared" si="9"/>
        <v/>
      </c>
      <c r="B203" s="38" t="str">
        <f>IF($Z203="","",IF($Z203&lt;=2000,IF(INDEX(包装物料出入库明细!$B$4:$B$2003,$Z203-0)=0,"",INDEX(包装物料出入库明细!$B$4:$B$2003,$Z203-0)),IF($Z203&lt;=4000,IF(INDEX(周转筐出入库明细!$B$4:$B$2004,$Z203-2000)=0,"",INDEX(周转筐出入库明细!$B$4:$B$2004,$Z203-2000)),IF($Z203&lt;=5200,IF(INDEX(客户自备加工筐明细!$B$4:$B$1203,$Z203-4000)=0,"",INDEX(客户自备加工筐明细!$B$4:$B$1203,$Z203-4000)),IF($Z203&lt;=5800,IF(INDEX(次果筐明细!$B$4:$B$603,$Z203-5200)=0,"",INDEX(次果筐明细!$B$4:$B$603,$Z203-5200)),"")))))</f>
        <v/>
      </c>
      <c r="C203" s="37" t="str">
        <f>IF($Z203="","",IF($Z203&lt;=2000,IF(INDEX(包装物料出入库明细!$D$4:$D$2003,$Z203-0)=0,"",INDEX(包装物料出入库明细!$D$4:$D$2003,$Z203-0)),IF($Z203&lt;=4000,IF(INDEX(周转筐出入库明细!$C$4:$C$2004,$Z203-2000)=0,"",INDEX(周转筐出入库明细!$C$4:$C$2004,$Z203-2000)),IF($Z203&lt;=5200,IF(INDEX(客户自备加工筐明细!$E$4:$E$1203,$Z203-4000)=0,"",INDEX(客户自备加工筐明细!$E$4:$E$1203,$Z203-4000)),IF($Z203&lt;=5800,IF(INDEX(次果筐明细!$C$4:$C$603,$Z203-5200)=0,"",INDEX(次果筐明细!$C$4:$C$603,$Z203-5200)),"")))))</f>
        <v/>
      </c>
      <c r="D203" s="37" t="str">
        <f>IF($Z203="","",IF($Z203&lt;=2000,"包装物料－"&amp;INDEX(包装物料出入库明细!$H$4:$H$2003,$Z203-0),IF($Z203&lt;=4000,"周转筐－"&amp;INDEX(周转筐出入库明细!$F$4:$F$2004,$Z203-2000),IF($Z203&lt;=5200,"客户自备筐－"&amp;INDEX(客户自备加工筐明细!$J$4:$J$1203,$Z203-4000),IF($Z203&lt;=5800,"次果筐/托盘－"&amp;INDEX(次果筐明细!$F$4:$F$603,$Z203-5200),"")))))</f>
        <v/>
      </c>
      <c r="E203" s="24" t="str">
        <f>IF($Z203="","",IF($Z203&lt;=2000,IF(INDEX(包装物料出入库明细!$C$4:$C$2003,$Z203-0)=0,"",INDEX(包装物料出入库明细!$C$4:$C$2003,$Z203-0)),IF($Z203&lt;=4000,IF(INDEX(周转筐出入库明细!$E$4:$E$2004,$Z203-2000)=0,"",INDEX(周转筐出入库明细!$E$4:$E$2004,$Z203-2000)),IF($Z203&lt;=5200,IF(INDEX(客户自备加工筐明细!$D$4:$D$1203,$Z203-4000)=0,"",INDEX(客户自备加工筐明细!$D$4:$D$1203,$Z203-4000)),IF($Z203&lt;=5800,IF(INDEX(次果筐明细!$E$4:$E$603,$Z203-5200)=0,"",INDEX(次果筐明细!$E$4:$E$603,$Z203-5200)),"")))))</f>
        <v/>
      </c>
      <c r="F203" s="24" t="str">
        <f>IF($Z203="","",IF($Z203&lt;=2000,IF(INDEX(包装物料出入库明细!$E$4:$E$2003,$Z203-0)=0,"",INDEX(包装物料出入库明细!$E$4:$E$2003,$Z203-0)),IF($Z203&lt;=4000,IF(INDEX(周转筐出入库明细!$D$4:$D$2004,$Z203-2000)=0,"",INDEX(周转筐出入库明细!$D$4:$D$2004,$Z203-2000)),IF($Z203&lt;=5200,IF(INDEX(客户自备加工筐明细!$C$4:$C$1203,$Z203-4000)=0,"",INDEX(客户自备加工筐明细!$C$4:$C$1203,$Z203-4000)),IF($Z203&lt;=5800,IF(INDEX(次果筐明细!$D$4:$D$603,$Z203-5200)=0,"",INDEX(次果筐明细!$D$4:$D$603,$Z203-5200)),"")))))</f>
        <v/>
      </c>
      <c r="G203" s="24" t="str">
        <f>IF($Z203="","",IF($Z203&lt;=2000,IF(INDEX(包装物料出入库明细!$F$4:$F$2003,$Z203-0)=0,"",INDEX(包装物料出入库明细!$F$4:$F$2003,$Z203-0)),IF($Z203&lt;=4000,"",IF($Z203&lt;=5200,"",IF($Z203&lt;=5800,"","")))))</f>
        <v/>
      </c>
      <c r="H203" s="39" t="str">
        <f>IF($Z203="","",IF($Z203&lt;=2000,IF(INDEX(包装物料出入库明细!$L$4:$L$2003,$Z203-0)=0,"",INDEX(包装物料出入库明细!$L$4:$L$2003,$Z203-0)),IF($Z203&lt;=4000,N(INDEX(周转筐出入库明细!$H$4:$H$2004,$Z203-2000))+N(INDEX(周转筐出入库明细!$I$4:$I$2004,$Z203-2000))+N(INDEX(周转筐出入库明细!$J$4:$J$2004,$Z203-2000))+N(INDEX(周转筐出入库明细!$K$4:$K$2004,$Z203-2000)),IF($Z203&lt;=5200,N(INDEX(客户自备加工筐明细!$F$4:$F$1203,$Z203-4000))+N(INDEX(客户自备加工筐明细!$G$4:$G$1203,$Z203-4000)),IF($Z203&lt;=5800,IF(INDEX(次果筐明细!$G$4:$G$603,$Z203-5200)=0,"",INDEX(次果筐明细!$G$4:$G$603,$Z203-5200)),"")))))</f>
        <v/>
      </c>
      <c r="I203" s="24" t="str">
        <f>IF($Z203="","",IF($Z203&lt;=2000,IF(INDEX(包装物料出入库明细!$G$4:$G$2003,$Z203-0)=0,"",INDEX(包装物料出入库明细!$G$4:$G$2003,$Z203-0)),IF($Z203&lt;=4000,"个",IF($Z203&lt;=5200,"个",IF($Z203&lt;=5800,"个","")))))</f>
        <v/>
      </c>
      <c r="J203" s="30" t="str">
        <f t="shared" si="10"/>
        <v/>
      </c>
      <c r="K203" s="30" t="str">
        <f>IF($Z203="","",IF($Z203&lt;=2000,IF(INDEX(包装物料出入库明细!$N$4:$N$2003,$Z203-0)=0,"",INDEX(包装物料出入库明细!$N$4:$N$2003,$Z203-0)),IF($Z203&lt;=4000,IF(INDEX(周转筐出入库明细!$P$4:$P$2004,$Z203-2000)=0,"",INDEX(周转筐出入库明细!$P$4:$P$2004,$Z203-2000)),IF($Z203&lt;=5200,"",IF($Z203&lt;=5800,N(INDEX(次果筐明细!$L$4:$L$603,$Z203-5200))+N(INDEX(次果筐明细!$J$4:$J$603,$Z203-5200)),"")))))</f>
        <v/>
      </c>
      <c r="L203" s="24" t="str">
        <f>IF($Z203="","",IF($Z203&lt;=2000,IF(INDEX(包装物料出入库明细!$P$4:$P$2003,$Z203-0)=0,"",INDEX(包装物料出入库明细!$P$4:$P$2003,$Z203-0)),IF($Z203&lt;=4000,IF(INDEX(周转筐出入库明细!$Q$4:$Q$2004,$Z203-2000)=0,"",INDEX(周转筐出入库明细!$Q$4:$Q$2004,$Z203-2000)),IF($Z203&lt;=5200,"",IF($Z203&lt;=5800,IF(INDEX(次果筐明细!$M$4:$M$603,$Z203-5200)=0,"",INDEX(次果筐明细!$M$4:$M$603,$Z203-5200)),"")))))</f>
        <v/>
      </c>
      <c r="M203" s="37" t="str">
        <f>IF($Z203="","",IF($Z203&lt;=2000,IF(INDEX(包装物料出入库明细!$R$4:$R$2003,$Z203-0)=0,"",INDEX(包装物料出入库明细!$R$4:$R$2003,$Z203-0)),IF($Z203&lt;=4000,IF(INDEX(周转筐出入库明细!$W$4:$W$2004,$Z203-2000)=0,"",INDEX(周转筐出入库明细!$W$4:$W$2004,$Z203-2000)),IF($Z203&lt;=5200,IF(INDEX(客户自备加工筐明细!$L$4:$L$1203,$Z203-4000)=0,"",INDEX(客户自备加工筐明细!$L$4:$L$1203,$Z203-4000)),IF($Z203&lt;=5800,IF(INDEX(次果筐明细!$P$4:$P$603,$Z203-5200)=0,"",INDEX(次果筐明细!$P$4:$P$603,$Z203-5200)),"")))))</f>
        <v/>
      </c>
      <c r="N203" s="16" t="str">
        <f>IF($Z203="","",IF($Z203&lt;=2000,"",IF($Z203&lt;=4000,IF(INDEX(周转筐出入库明细!$D$4:$D$2004,$Z203-2000)=0,"",INDEX(周转筐出入库明细!$D$4:$D$2004,$Z203-2000)),IF($Z203&lt;=5200,IF(INDEX(客户自备加工筐明细!$C$4:$C$1203,$Z203-4000)=0,"",INDEX(客户自备加工筐明细!$C$4:$C$1203,$Z203-4000)),IF($Z203&lt;=5800,IF(INDEX(次果筐明细!$D$4:$D$603,$Z203-5200)=0,"",INDEX(次果筐明细!$D$4:$D$603,$Z203-5200)),"")))))</f>
        <v/>
      </c>
      <c r="O203" s="40" t="str">
        <f>IF($Z203="","",IF($Z203&lt;=2000,"",IF($Z203&lt;=4000,IF(N(INDEX(周转筐出入库明细!$J$4:$J$2004,$Z203-2000))+N(INDEX(周转筐出入库明细!$K$4:$K$2004,$Z203-2000))=0,"",N(INDEX(周转筐出入库明细!$J$4:$J$2004,$Z203-2000))+N(INDEX(周转筐出入库明细!$K$4:$K$2004,$Z203-2000))),IF($Z203&lt;=5200,IF(N(INDEX(客户自备加工筐明细!$G$4:$G$1203,$Z203-4000))=0,"",N(INDEX(客户自备加工筐明细!$G$4:$G$1203,$Z203-4000))),IF($Z203&lt;=5800,IF(ISNUMBER(SEARCH("退",INDEX(次果筐明细!$F$4:$F$603,$Z203-5200)&amp;"")),"",IF(N(INDEX(次果筐明细!$G$4:$G$603,$Z203-5200))=0,"",N(INDEX(次果筐明细!$G$4:$G$603,$Z203-5200)))),"")))))</f>
        <v/>
      </c>
      <c r="P203" s="40" t="str">
        <f>IF($Z203="","",IF($Z203&lt;=2000,"",IF($Z203&lt;=4000,IF(N(INDEX(周转筐出入库明细!$I$4:$I$2004,$Z203-2000))=0,"",N(INDEX(周转筐出入库明细!$I$4:$I$2004,$Z203-2000))),IF($Z203&lt;=5200,"",IF($Z203&lt;=5800,IF(ISNUMBER(SEARCH("退",INDEX(次果筐明细!$F$4:$F$603,$Z203-5200)&amp;"")),IF(N(INDEX(次果筐明细!$G$4:$G$603,$Z203-5200))=0,"",N(INDEX(次果筐明细!$G$4:$G$603,$Z203-5200))),""),"")))))</f>
        <v/>
      </c>
      <c r="Q203" s="40" t="str">
        <f>IF($Z203="","",IF($Z203&lt;=2000,"",IF($Z203&lt;=4000,IF(N(INDEX(周转筐出入库明细!$H$4:$H$2004,$Z203-2000))=0,"",N(INDEX(周转筐出入库明细!$H$4:$H$2004,$Z203-2000))),IF($Z203&lt;=5200,IF(N(INDEX(客户自备加工筐明细!$F$4:$F$1203,$Z203-4000))=0,"",N(INDEX(客户自备加工筐明细!$F$4:$F$1203,$Z203-4000))),IF($Z203&lt;=5800,"","")))))</f>
        <v/>
      </c>
      <c r="R203" s="16" t="str">
        <f>IF($Z203="","",IF($Z203&lt;=2000,IF(INDEX(包装物料出入库明细!$O$4:$O$2003,$Z203-0)=0,"",INDEX(包装物料出入库明细!$O$4:$O$2003,$Z203-0)),IF($Z203&lt;=4000,IF(INDEX(周转筐出入库明细!$M$4:$M$2004,$Z203-2000)=0,"",INDEX(周转筐出入库明细!$M$4:$M$2004,$Z203-2000)),IF($Z203&lt;=5200,IF(INDEX(客户自备加工筐明细!$H$4:$H$1203,$Z203-4000)=0,"",INDEX(客户自备加工筐明细!$H$4:$H$1203,$Z203-4000)),IF($Z203&lt;=5800,IF(INDEX(次果筐明细!$H$4:$H$603,$Z203-5200)=0,"",INDEX(次果筐明细!$H$4:$H$603,$Z203-5200)),"")))))</f>
        <v/>
      </c>
      <c r="S203" s="22" t="str">
        <f t="shared" si="11"/>
        <v/>
      </c>
      <c r="Z203" s="10" t="str">
        <f>IFERROR(MATCH(ROW()-3,_自动清单!$CQ$4:$CQ$5803,0),"")</f>
        <v/>
      </c>
    </row>
    <row r="204" spans="1:26">
      <c r="A204" s="24" t="str">
        <f t="shared" si="9"/>
        <v/>
      </c>
      <c r="B204" s="38" t="str">
        <f>IF($Z204="","",IF($Z204&lt;=2000,IF(INDEX(包装物料出入库明细!$B$4:$B$2003,$Z204-0)=0,"",INDEX(包装物料出入库明细!$B$4:$B$2003,$Z204-0)),IF($Z204&lt;=4000,IF(INDEX(周转筐出入库明细!$B$4:$B$2004,$Z204-2000)=0,"",INDEX(周转筐出入库明细!$B$4:$B$2004,$Z204-2000)),IF($Z204&lt;=5200,IF(INDEX(客户自备加工筐明细!$B$4:$B$1203,$Z204-4000)=0,"",INDEX(客户自备加工筐明细!$B$4:$B$1203,$Z204-4000)),IF($Z204&lt;=5800,IF(INDEX(次果筐明细!$B$4:$B$603,$Z204-5200)=0,"",INDEX(次果筐明细!$B$4:$B$603,$Z204-5200)),"")))))</f>
        <v/>
      </c>
      <c r="C204" s="37" t="str">
        <f>IF($Z204="","",IF($Z204&lt;=2000,IF(INDEX(包装物料出入库明细!$D$4:$D$2003,$Z204-0)=0,"",INDEX(包装物料出入库明细!$D$4:$D$2003,$Z204-0)),IF($Z204&lt;=4000,IF(INDEX(周转筐出入库明细!$C$4:$C$2004,$Z204-2000)=0,"",INDEX(周转筐出入库明细!$C$4:$C$2004,$Z204-2000)),IF($Z204&lt;=5200,IF(INDEX(客户自备加工筐明细!$E$4:$E$1203,$Z204-4000)=0,"",INDEX(客户自备加工筐明细!$E$4:$E$1203,$Z204-4000)),IF($Z204&lt;=5800,IF(INDEX(次果筐明细!$C$4:$C$603,$Z204-5200)=0,"",INDEX(次果筐明细!$C$4:$C$603,$Z204-5200)),"")))))</f>
        <v/>
      </c>
      <c r="D204" s="37" t="str">
        <f>IF($Z204="","",IF($Z204&lt;=2000,"包装物料－"&amp;INDEX(包装物料出入库明细!$H$4:$H$2003,$Z204-0),IF($Z204&lt;=4000,"周转筐－"&amp;INDEX(周转筐出入库明细!$F$4:$F$2004,$Z204-2000),IF($Z204&lt;=5200,"客户自备筐－"&amp;INDEX(客户自备加工筐明细!$J$4:$J$1203,$Z204-4000),IF($Z204&lt;=5800,"次果筐/托盘－"&amp;INDEX(次果筐明细!$F$4:$F$603,$Z204-5200),"")))))</f>
        <v/>
      </c>
      <c r="E204" s="24" t="str">
        <f>IF($Z204="","",IF($Z204&lt;=2000,IF(INDEX(包装物料出入库明细!$C$4:$C$2003,$Z204-0)=0,"",INDEX(包装物料出入库明细!$C$4:$C$2003,$Z204-0)),IF($Z204&lt;=4000,IF(INDEX(周转筐出入库明细!$E$4:$E$2004,$Z204-2000)=0,"",INDEX(周转筐出入库明细!$E$4:$E$2004,$Z204-2000)),IF($Z204&lt;=5200,IF(INDEX(客户自备加工筐明细!$D$4:$D$1203,$Z204-4000)=0,"",INDEX(客户自备加工筐明细!$D$4:$D$1203,$Z204-4000)),IF($Z204&lt;=5800,IF(INDEX(次果筐明细!$E$4:$E$603,$Z204-5200)=0,"",INDEX(次果筐明细!$E$4:$E$603,$Z204-5200)),"")))))</f>
        <v/>
      </c>
      <c r="F204" s="24" t="str">
        <f>IF($Z204="","",IF($Z204&lt;=2000,IF(INDEX(包装物料出入库明细!$E$4:$E$2003,$Z204-0)=0,"",INDEX(包装物料出入库明细!$E$4:$E$2003,$Z204-0)),IF($Z204&lt;=4000,IF(INDEX(周转筐出入库明细!$D$4:$D$2004,$Z204-2000)=0,"",INDEX(周转筐出入库明细!$D$4:$D$2004,$Z204-2000)),IF($Z204&lt;=5200,IF(INDEX(客户自备加工筐明细!$C$4:$C$1203,$Z204-4000)=0,"",INDEX(客户自备加工筐明细!$C$4:$C$1203,$Z204-4000)),IF($Z204&lt;=5800,IF(INDEX(次果筐明细!$D$4:$D$603,$Z204-5200)=0,"",INDEX(次果筐明细!$D$4:$D$603,$Z204-5200)),"")))))</f>
        <v/>
      </c>
      <c r="G204" s="24" t="str">
        <f>IF($Z204="","",IF($Z204&lt;=2000,IF(INDEX(包装物料出入库明细!$F$4:$F$2003,$Z204-0)=0,"",INDEX(包装物料出入库明细!$F$4:$F$2003,$Z204-0)),IF($Z204&lt;=4000,"",IF($Z204&lt;=5200,"",IF($Z204&lt;=5800,"","")))))</f>
        <v/>
      </c>
      <c r="H204" s="39" t="str">
        <f>IF($Z204="","",IF($Z204&lt;=2000,IF(INDEX(包装物料出入库明细!$L$4:$L$2003,$Z204-0)=0,"",INDEX(包装物料出入库明细!$L$4:$L$2003,$Z204-0)),IF($Z204&lt;=4000,N(INDEX(周转筐出入库明细!$H$4:$H$2004,$Z204-2000))+N(INDEX(周转筐出入库明细!$I$4:$I$2004,$Z204-2000))+N(INDEX(周转筐出入库明细!$J$4:$J$2004,$Z204-2000))+N(INDEX(周转筐出入库明细!$K$4:$K$2004,$Z204-2000)),IF($Z204&lt;=5200,N(INDEX(客户自备加工筐明细!$F$4:$F$1203,$Z204-4000))+N(INDEX(客户自备加工筐明细!$G$4:$G$1203,$Z204-4000)),IF($Z204&lt;=5800,IF(INDEX(次果筐明细!$G$4:$G$603,$Z204-5200)=0,"",INDEX(次果筐明细!$G$4:$G$603,$Z204-5200)),"")))))</f>
        <v/>
      </c>
      <c r="I204" s="24" t="str">
        <f>IF($Z204="","",IF($Z204&lt;=2000,IF(INDEX(包装物料出入库明细!$G$4:$G$2003,$Z204-0)=0,"",INDEX(包装物料出入库明细!$G$4:$G$2003,$Z204-0)),IF($Z204&lt;=4000,"个",IF($Z204&lt;=5200,"个",IF($Z204&lt;=5800,"个","")))))</f>
        <v/>
      </c>
      <c r="J204" s="30" t="str">
        <f t="shared" si="10"/>
        <v/>
      </c>
      <c r="K204" s="30" t="str">
        <f>IF($Z204="","",IF($Z204&lt;=2000,IF(INDEX(包装物料出入库明细!$N$4:$N$2003,$Z204-0)=0,"",INDEX(包装物料出入库明细!$N$4:$N$2003,$Z204-0)),IF($Z204&lt;=4000,IF(INDEX(周转筐出入库明细!$P$4:$P$2004,$Z204-2000)=0,"",INDEX(周转筐出入库明细!$P$4:$P$2004,$Z204-2000)),IF($Z204&lt;=5200,"",IF($Z204&lt;=5800,N(INDEX(次果筐明细!$L$4:$L$603,$Z204-5200))+N(INDEX(次果筐明细!$J$4:$J$603,$Z204-5200)),"")))))</f>
        <v/>
      </c>
      <c r="L204" s="24" t="str">
        <f>IF($Z204="","",IF($Z204&lt;=2000,IF(INDEX(包装物料出入库明细!$P$4:$P$2003,$Z204-0)=0,"",INDEX(包装物料出入库明细!$P$4:$P$2003,$Z204-0)),IF($Z204&lt;=4000,IF(INDEX(周转筐出入库明细!$Q$4:$Q$2004,$Z204-2000)=0,"",INDEX(周转筐出入库明细!$Q$4:$Q$2004,$Z204-2000)),IF($Z204&lt;=5200,"",IF($Z204&lt;=5800,IF(INDEX(次果筐明细!$M$4:$M$603,$Z204-5200)=0,"",INDEX(次果筐明细!$M$4:$M$603,$Z204-5200)),"")))))</f>
        <v/>
      </c>
      <c r="M204" s="37" t="str">
        <f>IF($Z204="","",IF($Z204&lt;=2000,IF(INDEX(包装物料出入库明细!$R$4:$R$2003,$Z204-0)=0,"",INDEX(包装物料出入库明细!$R$4:$R$2003,$Z204-0)),IF($Z204&lt;=4000,IF(INDEX(周转筐出入库明细!$W$4:$W$2004,$Z204-2000)=0,"",INDEX(周转筐出入库明细!$W$4:$W$2004,$Z204-2000)),IF($Z204&lt;=5200,IF(INDEX(客户自备加工筐明细!$L$4:$L$1203,$Z204-4000)=0,"",INDEX(客户自备加工筐明细!$L$4:$L$1203,$Z204-4000)),IF($Z204&lt;=5800,IF(INDEX(次果筐明细!$P$4:$P$603,$Z204-5200)=0,"",INDEX(次果筐明细!$P$4:$P$603,$Z204-5200)),"")))))</f>
        <v/>
      </c>
      <c r="N204" s="16" t="str">
        <f>IF($Z204="","",IF($Z204&lt;=2000,"",IF($Z204&lt;=4000,IF(INDEX(周转筐出入库明细!$D$4:$D$2004,$Z204-2000)=0,"",INDEX(周转筐出入库明细!$D$4:$D$2004,$Z204-2000)),IF($Z204&lt;=5200,IF(INDEX(客户自备加工筐明细!$C$4:$C$1203,$Z204-4000)=0,"",INDEX(客户自备加工筐明细!$C$4:$C$1203,$Z204-4000)),IF($Z204&lt;=5800,IF(INDEX(次果筐明细!$D$4:$D$603,$Z204-5200)=0,"",INDEX(次果筐明细!$D$4:$D$603,$Z204-5200)),"")))))</f>
        <v/>
      </c>
      <c r="O204" s="40" t="str">
        <f>IF($Z204="","",IF($Z204&lt;=2000,"",IF($Z204&lt;=4000,IF(N(INDEX(周转筐出入库明细!$J$4:$J$2004,$Z204-2000))+N(INDEX(周转筐出入库明细!$K$4:$K$2004,$Z204-2000))=0,"",N(INDEX(周转筐出入库明细!$J$4:$J$2004,$Z204-2000))+N(INDEX(周转筐出入库明细!$K$4:$K$2004,$Z204-2000))),IF($Z204&lt;=5200,IF(N(INDEX(客户自备加工筐明细!$G$4:$G$1203,$Z204-4000))=0,"",N(INDEX(客户自备加工筐明细!$G$4:$G$1203,$Z204-4000))),IF($Z204&lt;=5800,IF(ISNUMBER(SEARCH("退",INDEX(次果筐明细!$F$4:$F$603,$Z204-5200)&amp;"")),"",IF(N(INDEX(次果筐明细!$G$4:$G$603,$Z204-5200))=0,"",N(INDEX(次果筐明细!$G$4:$G$603,$Z204-5200)))),"")))))</f>
        <v/>
      </c>
      <c r="P204" s="40" t="str">
        <f>IF($Z204="","",IF($Z204&lt;=2000,"",IF($Z204&lt;=4000,IF(N(INDEX(周转筐出入库明细!$I$4:$I$2004,$Z204-2000))=0,"",N(INDEX(周转筐出入库明细!$I$4:$I$2004,$Z204-2000))),IF($Z204&lt;=5200,"",IF($Z204&lt;=5800,IF(ISNUMBER(SEARCH("退",INDEX(次果筐明细!$F$4:$F$603,$Z204-5200)&amp;"")),IF(N(INDEX(次果筐明细!$G$4:$G$603,$Z204-5200))=0,"",N(INDEX(次果筐明细!$G$4:$G$603,$Z204-5200))),""),"")))))</f>
        <v/>
      </c>
      <c r="Q204" s="40" t="str">
        <f>IF($Z204="","",IF($Z204&lt;=2000,"",IF($Z204&lt;=4000,IF(N(INDEX(周转筐出入库明细!$H$4:$H$2004,$Z204-2000))=0,"",N(INDEX(周转筐出入库明细!$H$4:$H$2004,$Z204-2000))),IF($Z204&lt;=5200,IF(N(INDEX(客户自备加工筐明细!$F$4:$F$1203,$Z204-4000))=0,"",N(INDEX(客户自备加工筐明细!$F$4:$F$1203,$Z204-4000))),IF($Z204&lt;=5800,"","")))))</f>
        <v/>
      </c>
      <c r="R204" s="16" t="str">
        <f>IF($Z204="","",IF($Z204&lt;=2000,IF(INDEX(包装物料出入库明细!$O$4:$O$2003,$Z204-0)=0,"",INDEX(包装物料出入库明细!$O$4:$O$2003,$Z204-0)),IF($Z204&lt;=4000,IF(INDEX(周转筐出入库明细!$M$4:$M$2004,$Z204-2000)=0,"",INDEX(周转筐出入库明细!$M$4:$M$2004,$Z204-2000)),IF($Z204&lt;=5200,IF(INDEX(客户自备加工筐明细!$H$4:$H$1203,$Z204-4000)=0,"",INDEX(客户自备加工筐明细!$H$4:$H$1203,$Z204-4000)),IF($Z204&lt;=5800,IF(INDEX(次果筐明细!$H$4:$H$603,$Z204-5200)=0,"",INDEX(次果筐明细!$H$4:$H$603,$Z204-5200)),"")))))</f>
        <v/>
      </c>
      <c r="S204" s="22" t="str">
        <f t="shared" si="11"/>
        <v/>
      </c>
      <c r="Z204" s="10" t="str">
        <f>IFERROR(MATCH(ROW()-3,_自动清单!$CQ$4:$CQ$5803,0),"")</f>
        <v/>
      </c>
    </row>
    <row r="205" spans="1:26">
      <c r="A205" s="24" t="str">
        <f t="shared" si="9"/>
        <v/>
      </c>
      <c r="B205" s="38" t="str">
        <f>IF($Z205="","",IF($Z205&lt;=2000,IF(INDEX(包装物料出入库明细!$B$4:$B$2003,$Z205-0)=0,"",INDEX(包装物料出入库明细!$B$4:$B$2003,$Z205-0)),IF($Z205&lt;=4000,IF(INDEX(周转筐出入库明细!$B$4:$B$2004,$Z205-2000)=0,"",INDEX(周转筐出入库明细!$B$4:$B$2004,$Z205-2000)),IF($Z205&lt;=5200,IF(INDEX(客户自备加工筐明细!$B$4:$B$1203,$Z205-4000)=0,"",INDEX(客户自备加工筐明细!$B$4:$B$1203,$Z205-4000)),IF($Z205&lt;=5800,IF(INDEX(次果筐明细!$B$4:$B$603,$Z205-5200)=0,"",INDEX(次果筐明细!$B$4:$B$603,$Z205-5200)),"")))))</f>
        <v/>
      </c>
      <c r="C205" s="37" t="str">
        <f>IF($Z205="","",IF($Z205&lt;=2000,IF(INDEX(包装物料出入库明细!$D$4:$D$2003,$Z205-0)=0,"",INDEX(包装物料出入库明细!$D$4:$D$2003,$Z205-0)),IF($Z205&lt;=4000,IF(INDEX(周转筐出入库明细!$C$4:$C$2004,$Z205-2000)=0,"",INDEX(周转筐出入库明细!$C$4:$C$2004,$Z205-2000)),IF($Z205&lt;=5200,IF(INDEX(客户自备加工筐明细!$E$4:$E$1203,$Z205-4000)=0,"",INDEX(客户自备加工筐明细!$E$4:$E$1203,$Z205-4000)),IF($Z205&lt;=5800,IF(INDEX(次果筐明细!$C$4:$C$603,$Z205-5200)=0,"",INDEX(次果筐明细!$C$4:$C$603,$Z205-5200)),"")))))</f>
        <v/>
      </c>
      <c r="D205" s="37" t="str">
        <f>IF($Z205="","",IF($Z205&lt;=2000,"包装物料－"&amp;INDEX(包装物料出入库明细!$H$4:$H$2003,$Z205-0),IF($Z205&lt;=4000,"周转筐－"&amp;INDEX(周转筐出入库明细!$F$4:$F$2004,$Z205-2000),IF($Z205&lt;=5200,"客户自备筐－"&amp;INDEX(客户自备加工筐明细!$J$4:$J$1203,$Z205-4000),IF($Z205&lt;=5800,"次果筐/托盘－"&amp;INDEX(次果筐明细!$F$4:$F$603,$Z205-5200),"")))))</f>
        <v/>
      </c>
      <c r="E205" s="24" t="str">
        <f>IF($Z205="","",IF($Z205&lt;=2000,IF(INDEX(包装物料出入库明细!$C$4:$C$2003,$Z205-0)=0,"",INDEX(包装物料出入库明细!$C$4:$C$2003,$Z205-0)),IF($Z205&lt;=4000,IF(INDEX(周转筐出入库明细!$E$4:$E$2004,$Z205-2000)=0,"",INDEX(周转筐出入库明细!$E$4:$E$2004,$Z205-2000)),IF($Z205&lt;=5200,IF(INDEX(客户自备加工筐明细!$D$4:$D$1203,$Z205-4000)=0,"",INDEX(客户自备加工筐明细!$D$4:$D$1203,$Z205-4000)),IF($Z205&lt;=5800,IF(INDEX(次果筐明细!$E$4:$E$603,$Z205-5200)=0,"",INDEX(次果筐明细!$E$4:$E$603,$Z205-5200)),"")))))</f>
        <v/>
      </c>
      <c r="F205" s="24" t="str">
        <f>IF($Z205="","",IF($Z205&lt;=2000,IF(INDEX(包装物料出入库明细!$E$4:$E$2003,$Z205-0)=0,"",INDEX(包装物料出入库明细!$E$4:$E$2003,$Z205-0)),IF($Z205&lt;=4000,IF(INDEX(周转筐出入库明细!$D$4:$D$2004,$Z205-2000)=0,"",INDEX(周转筐出入库明细!$D$4:$D$2004,$Z205-2000)),IF($Z205&lt;=5200,IF(INDEX(客户自备加工筐明细!$C$4:$C$1203,$Z205-4000)=0,"",INDEX(客户自备加工筐明细!$C$4:$C$1203,$Z205-4000)),IF($Z205&lt;=5800,IF(INDEX(次果筐明细!$D$4:$D$603,$Z205-5200)=0,"",INDEX(次果筐明细!$D$4:$D$603,$Z205-5200)),"")))))</f>
        <v/>
      </c>
      <c r="G205" s="24" t="str">
        <f>IF($Z205="","",IF($Z205&lt;=2000,IF(INDEX(包装物料出入库明细!$F$4:$F$2003,$Z205-0)=0,"",INDEX(包装物料出入库明细!$F$4:$F$2003,$Z205-0)),IF($Z205&lt;=4000,"",IF($Z205&lt;=5200,"",IF($Z205&lt;=5800,"","")))))</f>
        <v/>
      </c>
      <c r="H205" s="39" t="str">
        <f>IF($Z205="","",IF($Z205&lt;=2000,IF(INDEX(包装物料出入库明细!$L$4:$L$2003,$Z205-0)=0,"",INDEX(包装物料出入库明细!$L$4:$L$2003,$Z205-0)),IF($Z205&lt;=4000,N(INDEX(周转筐出入库明细!$H$4:$H$2004,$Z205-2000))+N(INDEX(周转筐出入库明细!$I$4:$I$2004,$Z205-2000))+N(INDEX(周转筐出入库明细!$J$4:$J$2004,$Z205-2000))+N(INDEX(周转筐出入库明细!$K$4:$K$2004,$Z205-2000)),IF($Z205&lt;=5200,N(INDEX(客户自备加工筐明细!$F$4:$F$1203,$Z205-4000))+N(INDEX(客户自备加工筐明细!$G$4:$G$1203,$Z205-4000)),IF($Z205&lt;=5800,IF(INDEX(次果筐明细!$G$4:$G$603,$Z205-5200)=0,"",INDEX(次果筐明细!$G$4:$G$603,$Z205-5200)),"")))))</f>
        <v/>
      </c>
      <c r="I205" s="24" t="str">
        <f>IF($Z205="","",IF($Z205&lt;=2000,IF(INDEX(包装物料出入库明细!$G$4:$G$2003,$Z205-0)=0,"",INDEX(包装物料出入库明细!$G$4:$G$2003,$Z205-0)),IF($Z205&lt;=4000,"个",IF($Z205&lt;=5200,"个",IF($Z205&lt;=5800,"个","")))))</f>
        <v/>
      </c>
      <c r="J205" s="30" t="str">
        <f t="shared" si="10"/>
        <v/>
      </c>
      <c r="K205" s="30" t="str">
        <f>IF($Z205="","",IF($Z205&lt;=2000,IF(INDEX(包装物料出入库明细!$N$4:$N$2003,$Z205-0)=0,"",INDEX(包装物料出入库明细!$N$4:$N$2003,$Z205-0)),IF($Z205&lt;=4000,IF(INDEX(周转筐出入库明细!$P$4:$P$2004,$Z205-2000)=0,"",INDEX(周转筐出入库明细!$P$4:$P$2004,$Z205-2000)),IF($Z205&lt;=5200,"",IF($Z205&lt;=5800,N(INDEX(次果筐明细!$L$4:$L$603,$Z205-5200))+N(INDEX(次果筐明细!$J$4:$J$603,$Z205-5200)),"")))))</f>
        <v/>
      </c>
      <c r="L205" s="24" t="str">
        <f>IF($Z205="","",IF($Z205&lt;=2000,IF(INDEX(包装物料出入库明细!$P$4:$P$2003,$Z205-0)=0,"",INDEX(包装物料出入库明细!$P$4:$P$2003,$Z205-0)),IF($Z205&lt;=4000,IF(INDEX(周转筐出入库明细!$Q$4:$Q$2004,$Z205-2000)=0,"",INDEX(周转筐出入库明细!$Q$4:$Q$2004,$Z205-2000)),IF($Z205&lt;=5200,"",IF($Z205&lt;=5800,IF(INDEX(次果筐明细!$M$4:$M$603,$Z205-5200)=0,"",INDEX(次果筐明细!$M$4:$M$603,$Z205-5200)),"")))))</f>
        <v/>
      </c>
      <c r="M205" s="37" t="str">
        <f>IF($Z205="","",IF($Z205&lt;=2000,IF(INDEX(包装物料出入库明细!$R$4:$R$2003,$Z205-0)=0,"",INDEX(包装物料出入库明细!$R$4:$R$2003,$Z205-0)),IF($Z205&lt;=4000,IF(INDEX(周转筐出入库明细!$W$4:$W$2004,$Z205-2000)=0,"",INDEX(周转筐出入库明细!$W$4:$W$2004,$Z205-2000)),IF($Z205&lt;=5200,IF(INDEX(客户自备加工筐明细!$L$4:$L$1203,$Z205-4000)=0,"",INDEX(客户自备加工筐明细!$L$4:$L$1203,$Z205-4000)),IF($Z205&lt;=5800,IF(INDEX(次果筐明细!$P$4:$P$603,$Z205-5200)=0,"",INDEX(次果筐明细!$P$4:$P$603,$Z205-5200)),"")))))</f>
        <v/>
      </c>
      <c r="N205" s="16" t="str">
        <f>IF($Z205="","",IF($Z205&lt;=2000,"",IF($Z205&lt;=4000,IF(INDEX(周转筐出入库明细!$D$4:$D$2004,$Z205-2000)=0,"",INDEX(周转筐出入库明细!$D$4:$D$2004,$Z205-2000)),IF($Z205&lt;=5200,IF(INDEX(客户自备加工筐明细!$C$4:$C$1203,$Z205-4000)=0,"",INDEX(客户自备加工筐明细!$C$4:$C$1203,$Z205-4000)),IF($Z205&lt;=5800,IF(INDEX(次果筐明细!$D$4:$D$603,$Z205-5200)=0,"",INDEX(次果筐明细!$D$4:$D$603,$Z205-5200)),"")))))</f>
        <v/>
      </c>
      <c r="O205" s="40" t="str">
        <f>IF($Z205="","",IF($Z205&lt;=2000,"",IF($Z205&lt;=4000,IF(N(INDEX(周转筐出入库明细!$J$4:$J$2004,$Z205-2000))+N(INDEX(周转筐出入库明细!$K$4:$K$2004,$Z205-2000))=0,"",N(INDEX(周转筐出入库明细!$J$4:$J$2004,$Z205-2000))+N(INDEX(周转筐出入库明细!$K$4:$K$2004,$Z205-2000))),IF($Z205&lt;=5200,IF(N(INDEX(客户自备加工筐明细!$G$4:$G$1203,$Z205-4000))=0,"",N(INDEX(客户自备加工筐明细!$G$4:$G$1203,$Z205-4000))),IF($Z205&lt;=5800,IF(ISNUMBER(SEARCH("退",INDEX(次果筐明细!$F$4:$F$603,$Z205-5200)&amp;"")),"",IF(N(INDEX(次果筐明细!$G$4:$G$603,$Z205-5200))=0,"",N(INDEX(次果筐明细!$G$4:$G$603,$Z205-5200)))),"")))))</f>
        <v/>
      </c>
      <c r="P205" s="40" t="str">
        <f>IF($Z205="","",IF($Z205&lt;=2000,"",IF($Z205&lt;=4000,IF(N(INDEX(周转筐出入库明细!$I$4:$I$2004,$Z205-2000))=0,"",N(INDEX(周转筐出入库明细!$I$4:$I$2004,$Z205-2000))),IF($Z205&lt;=5200,"",IF($Z205&lt;=5800,IF(ISNUMBER(SEARCH("退",INDEX(次果筐明细!$F$4:$F$603,$Z205-5200)&amp;"")),IF(N(INDEX(次果筐明细!$G$4:$G$603,$Z205-5200))=0,"",N(INDEX(次果筐明细!$G$4:$G$603,$Z205-5200))),""),"")))))</f>
        <v/>
      </c>
      <c r="Q205" s="40" t="str">
        <f>IF($Z205="","",IF($Z205&lt;=2000,"",IF($Z205&lt;=4000,IF(N(INDEX(周转筐出入库明细!$H$4:$H$2004,$Z205-2000))=0,"",N(INDEX(周转筐出入库明细!$H$4:$H$2004,$Z205-2000))),IF($Z205&lt;=5200,IF(N(INDEX(客户自备加工筐明细!$F$4:$F$1203,$Z205-4000))=0,"",N(INDEX(客户自备加工筐明细!$F$4:$F$1203,$Z205-4000))),IF($Z205&lt;=5800,"","")))))</f>
        <v/>
      </c>
      <c r="R205" s="16" t="str">
        <f>IF($Z205="","",IF($Z205&lt;=2000,IF(INDEX(包装物料出入库明细!$O$4:$O$2003,$Z205-0)=0,"",INDEX(包装物料出入库明细!$O$4:$O$2003,$Z205-0)),IF($Z205&lt;=4000,IF(INDEX(周转筐出入库明细!$M$4:$M$2004,$Z205-2000)=0,"",INDEX(周转筐出入库明细!$M$4:$M$2004,$Z205-2000)),IF($Z205&lt;=5200,IF(INDEX(客户自备加工筐明细!$H$4:$H$1203,$Z205-4000)=0,"",INDEX(客户自备加工筐明细!$H$4:$H$1203,$Z205-4000)),IF($Z205&lt;=5800,IF(INDEX(次果筐明细!$H$4:$H$603,$Z205-5200)=0,"",INDEX(次果筐明细!$H$4:$H$603,$Z205-5200)),"")))))</f>
        <v/>
      </c>
      <c r="S205" s="22" t="str">
        <f t="shared" si="11"/>
        <v/>
      </c>
      <c r="Z205" s="10" t="str">
        <f>IFERROR(MATCH(ROW()-3,_自动清单!$CQ$4:$CQ$5803,0),"")</f>
        <v/>
      </c>
    </row>
    <row r="206" spans="1:26">
      <c r="A206" s="24" t="str">
        <f t="shared" si="9"/>
        <v/>
      </c>
      <c r="B206" s="38" t="str">
        <f>IF($Z206="","",IF($Z206&lt;=2000,IF(INDEX(包装物料出入库明细!$B$4:$B$2003,$Z206-0)=0,"",INDEX(包装物料出入库明细!$B$4:$B$2003,$Z206-0)),IF($Z206&lt;=4000,IF(INDEX(周转筐出入库明细!$B$4:$B$2004,$Z206-2000)=0,"",INDEX(周转筐出入库明细!$B$4:$B$2004,$Z206-2000)),IF($Z206&lt;=5200,IF(INDEX(客户自备加工筐明细!$B$4:$B$1203,$Z206-4000)=0,"",INDEX(客户自备加工筐明细!$B$4:$B$1203,$Z206-4000)),IF($Z206&lt;=5800,IF(INDEX(次果筐明细!$B$4:$B$603,$Z206-5200)=0,"",INDEX(次果筐明细!$B$4:$B$603,$Z206-5200)),"")))))</f>
        <v/>
      </c>
      <c r="C206" s="37" t="str">
        <f>IF($Z206="","",IF($Z206&lt;=2000,IF(INDEX(包装物料出入库明细!$D$4:$D$2003,$Z206-0)=0,"",INDEX(包装物料出入库明细!$D$4:$D$2003,$Z206-0)),IF($Z206&lt;=4000,IF(INDEX(周转筐出入库明细!$C$4:$C$2004,$Z206-2000)=0,"",INDEX(周转筐出入库明细!$C$4:$C$2004,$Z206-2000)),IF($Z206&lt;=5200,IF(INDEX(客户自备加工筐明细!$E$4:$E$1203,$Z206-4000)=0,"",INDEX(客户自备加工筐明细!$E$4:$E$1203,$Z206-4000)),IF($Z206&lt;=5800,IF(INDEX(次果筐明细!$C$4:$C$603,$Z206-5200)=0,"",INDEX(次果筐明细!$C$4:$C$603,$Z206-5200)),"")))))</f>
        <v/>
      </c>
      <c r="D206" s="37" t="str">
        <f>IF($Z206="","",IF($Z206&lt;=2000,"包装物料－"&amp;INDEX(包装物料出入库明细!$H$4:$H$2003,$Z206-0),IF($Z206&lt;=4000,"周转筐－"&amp;INDEX(周转筐出入库明细!$F$4:$F$2004,$Z206-2000),IF($Z206&lt;=5200,"客户自备筐－"&amp;INDEX(客户自备加工筐明细!$J$4:$J$1203,$Z206-4000),IF($Z206&lt;=5800,"次果筐/托盘－"&amp;INDEX(次果筐明细!$F$4:$F$603,$Z206-5200),"")))))</f>
        <v/>
      </c>
      <c r="E206" s="24" t="str">
        <f>IF($Z206="","",IF($Z206&lt;=2000,IF(INDEX(包装物料出入库明细!$C$4:$C$2003,$Z206-0)=0,"",INDEX(包装物料出入库明细!$C$4:$C$2003,$Z206-0)),IF($Z206&lt;=4000,IF(INDEX(周转筐出入库明细!$E$4:$E$2004,$Z206-2000)=0,"",INDEX(周转筐出入库明细!$E$4:$E$2004,$Z206-2000)),IF($Z206&lt;=5200,IF(INDEX(客户自备加工筐明细!$D$4:$D$1203,$Z206-4000)=0,"",INDEX(客户自备加工筐明细!$D$4:$D$1203,$Z206-4000)),IF($Z206&lt;=5800,IF(INDEX(次果筐明细!$E$4:$E$603,$Z206-5200)=0,"",INDEX(次果筐明细!$E$4:$E$603,$Z206-5200)),"")))))</f>
        <v/>
      </c>
      <c r="F206" s="24" t="str">
        <f>IF($Z206="","",IF($Z206&lt;=2000,IF(INDEX(包装物料出入库明细!$E$4:$E$2003,$Z206-0)=0,"",INDEX(包装物料出入库明细!$E$4:$E$2003,$Z206-0)),IF($Z206&lt;=4000,IF(INDEX(周转筐出入库明细!$D$4:$D$2004,$Z206-2000)=0,"",INDEX(周转筐出入库明细!$D$4:$D$2004,$Z206-2000)),IF($Z206&lt;=5200,IF(INDEX(客户自备加工筐明细!$C$4:$C$1203,$Z206-4000)=0,"",INDEX(客户自备加工筐明细!$C$4:$C$1203,$Z206-4000)),IF($Z206&lt;=5800,IF(INDEX(次果筐明细!$D$4:$D$603,$Z206-5200)=0,"",INDEX(次果筐明细!$D$4:$D$603,$Z206-5200)),"")))))</f>
        <v/>
      </c>
      <c r="G206" s="24" t="str">
        <f>IF($Z206="","",IF($Z206&lt;=2000,IF(INDEX(包装物料出入库明细!$F$4:$F$2003,$Z206-0)=0,"",INDEX(包装物料出入库明细!$F$4:$F$2003,$Z206-0)),IF($Z206&lt;=4000,"",IF($Z206&lt;=5200,"",IF($Z206&lt;=5800,"","")))))</f>
        <v/>
      </c>
      <c r="H206" s="39" t="str">
        <f>IF($Z206="","",IF($Z206&lt;=2000,IF(INDEX(包装物料出入库明细!$L$4:$L$2003,$Z206-0)=0,"",INDEX(包装物料出入库明细!$L$4:$L$2003,$Z206-0)),IF($Z206&lt;=4000,N(INDEX(周转筐出入库明细!$H$4:$H$2004,$Z206-2000))+N(INDEX(周转筐出入库明细!$I$4:$I$2004,$Z206-2000))+N(INDEX(周转筐出入库明细!$J$4:$J$2004,$Z206-2000))+N(INDEX(周转筐出入库明细!$K$4:$K$2004,$Z206-2000)),IF($Z206&lt;=5200,N(INDEX(客户自备加工筐明细!$F$4:$F$1203,$Z206-4000))+N(INDEX(客户自备加工筐明细!$G$4:$G$1203,$Z206-4000)),IF($Z206&lt;=5800,IF(INDEX(次果筐明细!$G$4:$G$603,$Z206-5200)=0,"",INDEX(次果筐明细!$G$4:$G$603,$Z206-5200)),"")))))</f>
        <v/>
      </c>
      <c r="I206" s="24" t="str">
        <f>IF($Z206="","",IF($Z206&lt;=2000,IF(INDEX(包装物料出入库明细!$G$4:$G$2003,$Z206-0)=0,"",INDEX(包装物料出入库明细!$G$4:$G$2003,$Z206-0)),IF($Z206&lt;=4000,"个",IF($Z206&lt;=5200,"个",IF($Z206&lt;=5800,"个","")))))</f>
        <v/>
      </c>
      <c r="J206" s="30" t="str">
        <f t="shared" si="10"/>
        <v/>
      </c>
      <c r="K206" s="30" t="str">
        <f>IF($Z206="","",IF($Z206&lt;=2000,IF(INDEX(包装物料出入库明细!$N$4:$N$2003,$Z206-0)=0,"",INDEX(包装物料出入库明细!$N$4:$N$2003,$Z206-0)),IF($Z206&lt;=4000,IF(INDEX(周转筐出入库明细!$P$4:$P$2004,$Z206-2000)=0,"",INDEX(周转筐出入库明细!$P$4:$P$2004,$Z206-2000)),IF($Z206&lt;=5200,"",IF($Z206&lt;=5800,N(INDEX(次果筐明细!$L$4:$L$603,$Z206-5200))+N(INDEX(次果筐明细!$J$4:$J$603,$Z206-5200)),"")))))</f>
        <v/>
      </c>
      <c r="L206" s="24" t="str">
        <f>IF($Z206="","",IF($Z206&lt;=2000,IF(INDEX(包装物料出入库明细!$P$4:$P$2003,$Z206-0)=0,"",INDEX(包装物料出入库明细!$P$4:$P$2003,$Z206-0)),IF($Z206&lt;=4000,IF(INDEX(周转筐出入库明细!$Q$4:$Q$2004,$Z206-2000)=0,"",INDEX(周转筐出入库明细!$Q$4:$Q$2004,$Z206-2000)),IF($Z206&lt;=5200,"",IF($Z206&lt;=5800,IF(INDEX(次果筐明细!$M$4:$M$603,$Z206-5200)=0,"",INDEX(次果筐明细!$M$4:$M$603,$Z206-5200)),"")))))</f>
        <v/>
      </c>
      <c r="M206" s="37" t="str">
        <f>IF($Z206="","",IF($Z206&lt;=2000,IF(INDEX(包装物料出入库明细!$R$4:$R$2003,$Z206-0)=0,"",INDEX(包装物料出入库明细!$R$4:$R$2003,$Z206-0)),IF($Z206&lt;=4000,IF(INDEX(周转筐出入库明细!$W$4:$W$2004,$Z206-2000)=0,"",INDEX(周转筐出入库明细!$W$4:$W$2004,$Z206-2000)),IF($Z206&lt;=5200,IF(INDEX(客户自备加工筐明细!$L$4:$L$1203,$Z206-4000)=0,"",INDEX(客户自备加工筐明细!$L$4:$L$1203,$Z206-4000)),IF($Z206&lt;=5800,IF(INDEX(次果筐明细!$P$4:$P$603,$Z206-5200)=0,"",INDEX(次果筐明细!$P$4:$P$603,$Z206-5200)),"")))))</f>
        <v/>
      </c>
      <c r="N206" s="16" t="str">
        <f>IF($Z206="","",IF($Z206&lt;=2000,"",IF($Z206&lt;=4000,IF(INDEX(周转筐出入库明细!$D$4:$D$2004,$Z206-2000)=0,"",INDEX(周转筐出入库明细!$D$4:$D$2004,$Z206-2000)),IF($Z206&lt;=5200,IF(INDEX(客户自备加工筐明细!$C$4:$C$1203,$Z206-4000)=0,"",INDEX(客户自备加工筐明细!$C$4:$C$1203,$Z206-4000)),IF($Z206&lt;=5800,IF(INDEX(次果筐明细!$D$4:$D$603,$Z206-5200)=0,"",INDEX(次果筐明细!$D$4:$D$603,$Z206-5200)),"")))))</f>
        <v/>
      </c>
      <c r="O206" s="40" t="str">
        <f>IF($Z206="","",IF($Z206&lt;=2000,"",IF($Z206&lt;=4000,IF(N(INDEX(周转筐出入库明细!$J$4:$J$2004,$Z206-2000))+N(INDEX(周转筐出入库明细!$K$4:$K$2004,$Z206-2000))=0,"",N(INDEX(周转筐出入库明细!$J$4:$J$2004,$Z206-2000))+N(INDEX(周转筐出入库明细!$K$4:$K$2004,$Z206-2000))),IF($Z206&lt;=5200,IF(N(INDEX(客户自备加工筐明细!$G$4:$G$1203,$Z206-4000))=0,"",N(INDEX(客户自备加工筐明细!$G$4:$G$1203,$Z206-4000))),IF($Z206&lt;=5800,IF(ISNUMBER(SEARCH("退",INDEX(次果筐明细!$F$4:$F$603,$Z206-5200)&amp;"")),"",IF(N(INDEX(次果筐明细!$G$4:$G$603,$Z206-5200))=0,"",N(INDEX(次果筐明细!$G$4:$G$603,$Z206-5200)))),"")))))</f>
        <v/>
      </c>
      <c r="P206" s="40" t="str">
        <f>IF($Z206="","",IF($Z206&lt;=2000,"",IF($Z206&lt;=4000,IF(N(INDEX(周转筐出入库明细!$I$4:$I$2004,$Z206-2000))=0,"",N(INDEX(周转筐出入库明细!$I$4:$I$2004,$Z206-2000))),IF($Z206&lt;=5200,"",IF($Z206&lt;=5800,IF(ISNUMBER(SEARCH("退",INDEX(次果筐明细!$F$4:$F$603,$Z206-5200)&amp;"")),IF(N(INDEX(次果筐明细!$G$4:$G$603,$Z206-5200))=0,"",N(INDEX(次果筐明细!$G$4:$G$603,$Z206-5200))),""),"")))))</f>
        <v/>
      </c>
      <c r="Q206" s="40" t="str">
        <f>IF($Z206="","",IF($Z206&lt;=2000,"",IF($Z206&lt;=4000,IF(N(INDEX(周转筐出入库明细!$H$4:$H$2004,$Z206-2000))=0,"",N(INDEX(周转筐出入库明细!$H$4:$H$2004,$Z206-2000))),IF($Z206&lt;=5200,IF(N(INDEX(客户自备加工筐明细!$F$4:$F$1203,$Z206-4000))=0,"",N(INDEX(客户自备加工筐明细!$F$4:$F$1203,$Z206-4000))),IF($Z206&lt;=5800,"","")))))</f>
        <v/>
      </c>
      <c r="R206" s="16" t="str">
        <f>IF($Z206="","",IF($Z206&lt;=2000,IF(INDEX(包装物料出入库明细!$O$4:$O$2003,$Z206-0)=0,"",INDEX(包装物料出入库明细!$O$4:$O$2003,$Z206-0)),IF($Z206&lt;=4000,IF(INDEX(周转筐出入库明细!$M$4:$M$2004,$Z206-2000)=0,"",INDEX(周转筐出入库明细!$M$4:$M$2004,$Z206-2000)),IF($Z206&lt;=5200,IF(INDEX(客户自备加工筐明细!$H$4:$H$1203,$Z206-4000)=0,"",INDEX(客户自备加工筐明细!$H$4:$H$1203,$Z206-4000)),IF($Z206&lt;=5800,IF(INDEX(次果筐明细!$H$4:$H$603,$Z206-5200)=0,"",INDEX(次果筐明细!$H$4:$H$603,$Z206-5200)),"")))))</f>
        <v/>
      </c>
      <c r="S206" s="22" t="str">
        <f t="shared" si="11"/>
        <v/>
      </c>
      <c r="Z206" s="10" t="str">
        <f>IFERROR(MATCH(ROW()-3,_自动清单!$CQ$4:$CQ$5803,0),"")</f>
        <v/>
      </c>
    </row>
    <row r="207" spans="1:26">
      <c r="A207" s="24" t="str">
        <f t="shared" si="9"/>
        <v/>
      </c>
      <c r="B207" s="38" t="str">
        <f>IF($Z207="","",IF($Z207&lt;=2000,IF(INDEX(包装物料出入库明细!$B$4:$B$2003,$Z207-0)=0,"",INDEX(包装物料出入库明细!$B$4:$B$2003,$Z207-0)),IF($Z207&lt;=4000,IF(INDEX(周转筐出入库明细!$B$4:$B$2004,$Z207-2000)=0,"",INDEX(周转筐出入库明细!$B$4:$B$2004,$Z207-2000)),IF($Z207&lt;=5200,IF(INDEX(客户自备加工筐明细!$B$4:$B$1203,$Z207-4000)=0,"",INDEX(客户自备加工筐明细!$B$4:$B$1203,$Z207-4000)),IF($Z207&lt;=5800,IF(INDEX(次果筐明细!$B$4:$B$603,$Z207-5200)=0,"",INDEX(次果筐明细!$B$4:$B$603,$Z207-5200)),"")))))</f>
        <v/>
      </c>
      <c r="C207" s="37" t="str">
        <f>IF($Z207="","",IF($Z207&lt;=2000,IF(INDEX(包装物料出入库明细!$D$4:$D$2003,$Z207-0)=0,"",INDEX(包装物料出入库明细!$D$4:$D$2003,$Z207-0)),IF($Z207&lt;=4000,IF(INDEX(周转筐出入库明细!$C$4:$C$2004,$Z207-2000)=0,"",INDEX(周转筐出入库明细!$C$4:$C$2004,$Z207-2000)),IF($Z207&lt;=5200,IF(INDEX(客户自备加工筐明细!$E$4:$E$1203,$Z207-4000)=0,"",INDEX(客户自备加工筐明细!$E$4:$E$1203,$Z207-4000)),IF($Z207&lt;=5800,IF(INDEX(次果筐明细!$C$4:$C$603,$Z207-5200)=0,"",INDEX(次果筐明细!$C$4:$C$603,$Z207-5200)),"")))))</f>
        <v/>
      </c>
      <c r="D207" s="37" t="str">
        <f>IF($Z207="","",IF($Z207&lt;=2000,"包装物料－"&amp;INDEX(包装物料出入库明细!$H$4:$H$2003,$Z207-0),IF($Z207&lt;=4000,"周转筐－"&amp;INDEX(周转筐出入库明细!$F$4:$F$2004,$Z207-2000),IF($Z207&lt;=5200,"客户自备筐－"&amp;INDEX(客户自备加工筐明细!$J$4:$J$1203,$Z207-4000),IF($Z207&lt;=5800,"次果筐/托盘－"&amp;INDEX(次果筐明细!$F$4:$F$603,$Z207-5200),"")))))</f>
        <v/>
      </c>
      <c r="E207" s="24" t="str">
        <f>IF($Z207="","",IF($Z207&lt;=2000,IF(INDEX(包装物料出入库明细!$C$4:$C$2003,$Z207-0)=0,"",INDEX(包装物料出入库明细!$C$4:$C$2003,$Z207-0)),IF($Z207&lt;=4000,IF(INDEX(周转筐出入库明细!$E$4:$E$2004,$Z207-2000)=0,"",INDEX(周转筐出入库明细!$E$4:$E$2004,$Z207-2000)),IF($Z207&lt;=5200,IF(INDEX(客户自备加工筐明细!$D$4:$D$1203,$Z207-4000)=0,"",INDEX(客户自备加工筐明细!$D$4:$D$1203,$Z207-4000)),IF($Z207&lt;=5800,IF(INDEX(次果筐明细!$E$4:$E$603,$Z207-5200)=0,"",INDEX(次果筐明细!$E$4:$E$603,$Z207-5200)),"")))))</f>
        <v/>
      </c>
      <c r="F207" s="24" t="str">
        <f>IF($Z207="","",IF($Z207&lt;=2000,IF(INDEX(包装物料出入库明细!$E$4:$E$2003,$Z207-0)=0,"",INDEX(包装物料出入库明细!$E$4:$E$2003,$Z207-0)),IF($Z207&lt;=4000,IF(INDEX(周转筐出入库明细!$D$4:$D$2004,$Z207-2000)=0,"",INDEX(周转筐出入库明细!$D$4:$D$2004,$Z207-2000)),IF($Z207&lt;=5200,IF(INDEX(客户自备加工筐明细!$C$4:$C$1203,$Z207-4000)=0,"",INDEX(客户自备加工筐明细!$C$4:$C$1203,$Z207-4000)),IF($Z207&lt;=5800,IF(INDEX(次果筐明细!$D$4:$D$603,$Z207-5200)=0,"",INDEX(次果筐明细!$D$4:$D$603,$Z207-5200)),"")))))</f>
        <v/>
      </c>
      <c r="G207" s="24" t="str">
        <f>IF($Z207="","",IF($Z207&lt;=2000,IF(INDEX(包装物料出入库明细!$F$4:$F$2003,$Z207-0)=0,"",INDEX(包装物料出入库明细!$F$4:$F$2003,$Z207-0)),IF($Z207&lt;=4000,"",IF($Z207&lt;=5200,"",IF($Z207&lt;=5800,"","")))))</f>
        <v/>
      </c>
      <c r="H207" s="39" t="str">
        <f>IF($Z207="","",IF($Z207&lt;=2000,IF(INDEX(包装物料出入库明细!$L$4:$L$2003,$Z207-0)=0,"",INDEX(包装物料出入库明细!$L$4:$L$2003,$Z207-0)),IF($Z207&lt;=4000,N(INDEX(周转筐出入库明细!$H$4:$H$2004,$Z207-2000))+N(INDEX(周转筐出入库明细!$I$4:$I$2004,$Z207-2000))+N(INDEX(周转筐出入库明细!$J$4:$J$2004,$Z207-2000))+N(INDEX(周转筐出入库明细!$K$4:$K$2004,$Z207-2000)),IF($Z207&lt;=5200,N(INDEX(客户自备加工筐明细!$F$4:$F$1203,$Z207-4000))+N(INDEX(客户自备加工筐明细!$G$4:$G$1203,$Z207-4000)),IF($Z207&lt;=5800,IF(INDEX(次果筐明细!$G$4:$G$603,$Z207-5200)=0,"",INDEX(次果筐明细!$G$4:$G$603,$Z207-5200)),"")))))</f>
        <v/>
      </c>
      <c r="I207" s="24" t="str">
        <f>IF($Z207="","",IF($Z207&lt;=2000,IF(INDEX(包装物料出入库明细!$G$4:$G$2003,$Z207-0)=0,"",INDEX(包装物料出入库明细!$G$4:$G$2003,$Z207-0)),IF($Z207&lt;=4000,"个",IF($Z207&lt;=5200,"个",IF($Z207&lt;=5800,"个","")))))</f>
        <v/>
      </c>
      <c r="J207" s="30" t="str">
        <f t="shared" si="10"/>
        <v/>
      </c>
      <c r="K207" s="30" t="str">
        <f>IF($Z207="","",IF($Z207&lt;=2000,IF(INDEX(包装物料出入库明细!$N$4:$N$2003,$Z207-0)=0,"",INDEX(包装物料出入库明细!$N$4:$N$2003,$Z207-0)),IF($Z207&lt;=4000,IF(INDEX(周转筐出入库明细!$P$4:$P$2004,$Z207-2000)=0,"",INDEX(周转筐出入库明细!$P$4:$P$2004,$Z207-2000)),IF($Z207&lt;=5200,"",IF($Z207&lt;=5800,N(INDEX(次果筐明细!$L$4:$L$603,$Z207-5200))+N(INDEX(次果筐明细!$J$4:$J$603,$Z207-5200)),"")))))</f>
        <v/>
      </c>
      <c r="L207" s="24" t="str">
        <f>IF($Z207="","",IF($Z207&lt;=2000,IF(INDEX(包装物料出入库明细!$P$4:$P$2003,$Z207-0)=0,"",INDEX(包装物料出入库明细!$P$4:$P$2003,$Z207-0)),IF($Z207&lt;=4000,IF(INDEX(周转筐出入库明细!$Q$4:$Q$2004,$Z207-2000)=0,"",INDEX(周转筐出入库明细!$Q$4:$Q$2004,$Z207-2000)),IF($Z207&lt;=5200,"",IF($Z207&lt;=5800,IF(INDEX(次果筐明细!$M$4:$M$603,$Z207-5200)=0,"",INDEX(次果筐明细!$M$4:$M$603,$Z207-5200)),"")))))</f>
        <v/>
      </c>
      <c r="M207" s="37" t="str">
        <f>IF($Z207="","",IF($Z207&lt;=2000,IF(INDEX(包装物料出入库明细!$R$4:$R$2003,$Z207-0)=0,"",INDEX(包装物料出入库明细!$R$4:$R$2003,$Z207-0)),IF($Z207&lt;=4000,IF(INDEX(周转筐出入库明细!$W$4:$W$2004,$Z207-2000)=0,"",INDEX(周转筐出入库明细!$W$4:$W$2004,$Z207-2000)),IF($Z207&lt;=5200,IF(INDEX(客户自备加工筐明细!$L$4:$L$1203,$Z207-4000)=0,"",INDEX(客户自备加工筐明细!$L$4:$L$1203,$Z207-4000)),IF($Z207&lt;=5800,IF(INDEX(次果筐明细!$P$4:$P$603,$Z207-5200)=0,"",INDEX(次果筐明细!$P$4:$P$603,$Z207-5200)),"")))))</f>
        <v/>
      </c>
      <c r="N207" s="16" t="str">
        <f>IF($Z207="","",IF($Z207&lt;=2000,"",IF($Z207&lt;=4000,IF(INDEX(周转筐出入库明细!$D$4:$D$2004,$Z207-2000)=0,"",INDEX(周转筐出入库明细!$D$4:$D$2004,$Z207-2000)),IF($Z207&lt;=5200,IF(INDEX(客户自备加工筐明细!$C$4:$C$1203,$Z207-4000)=0,"",INDEX(客户自备加工筐明细!$C$4:$C$1203,$Z207-4000)),IF($Z207&lt;=5800,IF(INDEX(次果筐明细!$D$4:$D$603,$Z207-5200)=0,"",INDEX(次果筐明细!$D$4:$D$603,$Z207-5200)),"")))))</f>
        <v/>
      </c>
      <c r="O207" s="40" t="str">
        <f>IF($Z207="","",IF($Z207&lt;=2000,"",IF($Z207&lt;=4000,IF(N(INDEX(周转筐出入库明细!$J$4:$J$2004,$Z207-2000))+N(INDEX(周转筐出入库明细!$K$4:$K$2004,$Z207-2000))=0,"",N(INDEX(周转筐出入库明细!$J$4:$J$2004,$Z207-2000))+N(INDEX(周转筐出入库明细!$K$4:$K$2004,$Z207-2000))),IF($Z207&lt;=5200,IF(N(INDEX(客户自备加工筐明细!$G$4:$G$1203,$Z207-4000))=0,"",N(INDEX(客户自备加工筐明细!$G$4:$G$1203,$Z207-4000))),IF($Z207&lt;=5800,IF(ISNUMBER(SEARCH("退",INDEX(次果筐明细!$F$4:$F$603,$Z207-5200)&amp;"")),"",IF(N(INDEX(次果筐明细!$G$4:$G$603,$Z207-5200))=0,"",N(INDEX(次果筐明细!$G$4:$G$603,$Z207-5200)))),"")))))</f>
        <v/>
      </c>
      <c r="P207" s="40" t="str">
        <f>IF($Z207="","",IF($Z207&lt;=2000,"",IF($Z207&lt;=4000,IF(N(INDEX(周转筐出入库明细!$I$4:$I$2004,$Z207-2000))=0,"",N(INDEX(周转筐出入库明细!$I$4:$I$2004,$Z207-2000))),IF($Z207&lt;=5200,"",IF($Z207&lt;=5800,IF(ISNUMBER(SEARCH("退",INDEX(次果筐明细!$F$4:$F$603,$Z207-5200)&amp;"")),IF(N(INDEX(次果筐明细!$G$4:$G$603,$Z207-5200))=0,"",N(INDEX(次果筐明细!$G$4:$G$603,$Z207-5200))),""),"")))))</f>
        <v/>
      </c>
      <c r="Q207" s="40" t="str">
        <f>IF($Z207="","",IF($Z207&lt;=2000,"",IF($Z207&lt;=4000,IF(N(INDEX(周转筐出入库明细!$H$4:$H$2004,$Z207-2000))=0,"",N(INDEX(周转筐出入库明细!$H$4:$H$2004,$Z207-2000))),IF($Z207&lt;=5200,IF(N(INDEX(客户自备加工筐明细!$F$4:$F$1203,$Z207-4000))=0,"",N(INDEX(客户自备加工筐明细!$F$4:$F$1203,$Z207-4000))),IF($Z207&lt;=5800,"","")))))</f>
        <v/>
      </c>
      <c r="R207" s="16" t="str">
        <f>IF($Z207="","",IF($Z207&lt;=2000,IF(INDEX(包装物料出入库明细!$O$4:$O$2003,$Z207-0)=0,"",INDEX(包装物料出入库明细!$O$4:$O$2003,$Z207-0)),IF($Z207&lt;=4000,IF(INDEX(周转筐出入库明细!$M$4:$M$2004,$Z207-2000)=0,"",INDEX(周转筐出入库明细!$M$4:$M$2004,$Z207-2000)),IF($Z207&lt;=5200,IF(INDEX(客户自备加工筐明细!$H$4:$H$1203,$Z207-4000)=0,"",INDEX(客户自备加工筐明细!$H$4:$H$1203,$Z207-4000)),IF($Z207&lt;=5800,IF(INDEX(次果筐明细!$H$4:$H$603,$Z207-5200)=0,"",INDEX(次果筐明细!$H$4:$H$603,$Z207-5200)),"")))))</f>
        <v/>
      </c>
      <c r="S207" s="22" t="str">
        <f t="shared" si="11"/>
        <v/>
      </c>
      <c r="Z207" s="10" t="str">
        <f>IFERROR(MATCH(ROW()-3,_自动清单!$CQ$4:$CQ$5803,0),"")</f>
        <v/>
      </c>
    </row>
    <row r="208" spans="1:26">
      <c r="A208" s="24" t="str">
        <f t="shared" si="9"/>
        <v/>
      </c>
      <c r="B208" s="38" t="str">
        <f>IF($Z208="","",IF($Z208&lt;=2000,IF(INDEX(包装物料出入库明细!$B$4:$B$2003,$Z208-0)=0,"",INDEX(包装物料出入库明细!$B$4:$B$2003,$Z208-0)),IF($Z208&lt;=4000,IF(INDEX(周转筐出入库明细!$B$4:$B$2004,$Z208-2000)=0,"",INDEX(周转筐出入库明细!$B$4:$B$2004,$Z208-2000)),IF($Z208&lt;=5200,IF(INDEX(客户自备加工筐明细!$B$4:$B$1203,$Z208-4000)=0,"",INDEX(客户自备加工筐明细!$B$4:$B$1203,$Z208-4000)),IF($Z208&lt;=5800,IF(INDEX(次果筐明细!$B$4:$B$603,$Z208-5200)=0,"",INDEX(次果筐明细!$B$4:$B$603,$Z208-5200)),"")))))</f>
        <v/>
      </c>
      <c r="C208" s="37" t="str">
        <f>IF($Z208="","",IF($Z208&lt;=2000,IF(INDEX(包装物料出入库明细!$D$4:$D$2003,$Z208-0)=0,"",INDEX(包装物料出入库明细!$D$4:$D$2003,$Z208-0)),IF($Z208&lt;=4000,IF(INDEX(周转筐出入库明细!$C$4:$C$2004,$Z208-2000)=0,"",INDEX(周转筐出入库明细!$C$4:$C$2004,$Z208-2000)),IF($Z208&lt;=5200,IF(INDEX(客户自备加工筐明细!$E$4:$E$1203,$Z208-4000)=0,"",INDEX(客户自备加工筐明细!$E$4:$E$1203,$Z208-4000)),IF($Z208&lt;=5800,IF(INDEX(次果筐明细!$C$4:$C$603,$Z208-5200)=0,"",INDEX(次果筐明细!$C$4:$C$603,$Z208-5200)),"")))))</f>
        <v/>
      </c>
      <c r="D208" s="37" t="str">
        <f>IF($Z208="","",IF($Z208&lt;=2000,"包装物料－"&amp;INDEX(包装物料出入库明细!$H$4:$H$2003,$Z208-0),IF($Z208&lt;=4000,"周转筐－"&amp;INDEX(周转筐出入库明细!$F$4:$F$2004,$Z208-2000),IF($Z208&lt;=5200,"客户自备筐－"&amp;INDEX(客户自备加工筐明细!$J$4:$J$1203,$Z208-4000),IF($Z208&lt;=5800,"次果筐/托盘－"&amp;INDEX(次果筐明细!$F$4:$F$603,$Z208-5200),"")))))</f>
        <v/>
      </c>
      <c r="E208" s="24" t="str">
        <f>IF($Z208="","",IF($Z208&lt;=2000,IF(INDEX(包装物料出入库明细!$C$4:$C$2003,$Z208-0)=0,"",INDEX(包装物料出入库明细!$C$4:$C$2003,$Z208-0)),IF($Z208&lt;=4000,IF(INDEX(周转筐出入库明细!$E$4:$E$2004,$Z208-2000)=0,"",INDEX(周转筐出入库明细!$E$4:$E$2004,$Z208-2000)),IF($Z208&lt;=5200,IF(INDEX(客户自备加工筐明细!$D$4:$D$1203,$Z208-4000)=0,"",INDEX(客户自备加工筐明细!$D$4:$D$1203,$Z208-4000)),IF($Z208&lt;=5800,IF(INDEX(次果筐明细!$E$4:$E$603,$Z208-5200)=0,"",INDEX(次果筐明细!$E$4:$E$603,$Z208-5200)),"")))))</f>
        <v/>
      </c>
      <c r="F208" s="24" t="str">
        <f>IF($Z208="","",IF($Z208&lt;=2000,IF(INDEX(包装物料出入库明细!$E$4:$E$2003,$Z208-0)=0,"",INDEX(包装物料出入库明细!$E$4:$E$2003,$Z208-0)),IF($Z208&lt;=4000,IF(INDEX(周转筐出入库明细!$D$4:$D$2004,$Z208-2000)=0,"",INDEX(周转筐出入库明细!$D$4:$D$2004,$Z208-2000)),IF($Z208&lt;=5200,IF(INDEX(客户自备加工筐明细!$C$4:$C$1203,$Z208-4000)=0,"",INDEX(客户自备加工筐明细!$C$4:$C$1203,$Z208-4000)),IF($Z208&lt;=5800,IF(INDEX(次果筐明细!$D$4:$D$603,$Z208-5200)=0,"",INDEX(次果筐明细!$D$4:$D$603,$Z208-5200)),"")))))</f>
        <v/>
      </c>
      <c r="G208" s="24" t="str">
        <f>IF($Z208="","",IF($Z208&lt;=2000,IF(INDEX(包装物料出入库明细!$F$4:$F$2003,$Z208-0)=0,"",INDEX(包装物料出入库明细!$F$4:$F$2003,$Z208-0)),IF($Z208&lt;=4000,"",IF($Z208&lt;=5200,"",IF($Z208&lt;=5800,"","")))))</f>
        <v/>
      </c>
      <c r="H208" s="39" t="str">
        <f>IF($Z208="","",IF($Z208&lt;=2000,IF(INDEX(包装物料出入库明细!$L$4:$L$2003,$Z208-0)=0,"",INDEX(包装物料出入库明细!$L$4:$L$2003,$Z208-0)),IF($Z208&lt;=4000,N(INDEX(周转筐出入库明细!$H$4:$H$2004,$Z208-2000))+N(INDEX(周转筐出入库明细!$I$4:$I$2004,$Z208-2000))+N(INDEX(周转筐出入库明细!$J$4:$J$2004,$Z208-2000))+N(INDEX(周转筐出入库明细!$K$4:$K$2004,$Z208-2000)),IF($Z208&lt;=5200,N(INDEX(客户自备加工筐明细!$F$4:$F$1203,$Z208-4000))+N(INDEX(客户自备加工筐明细!$G$4:$G$1203,$Z208-4000)),IF($Z208&lt;=5800,IF(INDEX(次果筐明细!$G$4:$G$603,$Z208-5200)=0,"",INDEX(次果筐明细!$G$4:$G$603,$Z208-5200)),"")))))</f>
        <v/>
      </c>
      <c r="I208" s="24" t="str">
        <f>IF($Z208="","",IF($Z208&lt;=2000,IF(INDEX(包装物料出入库明细!$G$4:$G$2003,$Z208-0)=0,"",INDEX(包装物料出入库明细!$G$4:$G$2003,$Z208-0)),IF($Z208&lt;=4000,"个",IF($Z208&lt;=5200,"个",IF($Z208&lt;=5800,"个","")))))</f>
        <v/>
      </c>
      <c r="J208" s="30" t="str">
        <f t="shared" si="10"/>
        <v/>
      </c>
      <c r="K208" s="30" t="str">
        <f>IF($Z208="","",IF($Z208&lt;=2000,IF(INDEX(包装物料出入库明细!$N$4:$N$2003,$Z208-0)=0,"",INDEX(包装物料出入库明细!$N$4:$N$2003,$Z208-0)),IF($Z208&lt;=4000,IF(INDEX(周转筐出入库明细!$P$4:$P$2004,$Z208-2000)=0,"",INDEX(周转筐出入库明细!$P$4:$P$2004,$Z208-2000)),IF($Z208&lt;=5200,"",IF($Z208&lt;=5800,N(INDEX(次果筐明细!$L$4:$L$603,$Z208-5200))+N(INDEX(次果筐明细!$J$4:$J$603,$Z208-5200)),"")))))</f>
        <v/>
      </c>
      <c r="L208" s="24" t="str">
        <f>IF($Z208="","",IF($Z208&lt;=2000,IF(INDEX(包装物料出入库明细!$P$4:$P$2003,$Z208-0)=0,"",INDEX(包装物料出入库明细!$P$4:$P$2003,$Z208-0)),IF($Z208&lt;=4000,IF(INDEX(周转筐出入库明细!$Q$4:$Q$2004,$Z208-2000)=0,"",INDEX(周转筐出入库明细!$Q$4:$Q$2004,$Z208-2000)),IF($Z208&lt;=5200,"",IF($Z208&lt;=5800,IF(INDEX(次果筐明细!$M$4:$M$603,$Z208-5200)=0,"",INDEX(次果筐明细!$M$4:$M$603,$Z208-5200)),"")))))</f>
        <v/>
      </c>
      <c r="M208" s="37" t="str">
        <f>IF($Z208="","",IF($Z208&lt;=2000,IF(INDEX(包装物料出入库明细!$R$4:$R$2003,$Z208-0)=0,"",INDEX(包装物料出入库明细!$R$4:$R$2003,$Z208-0)),IF($Z208&lt;=4000,IF(INDEX(周转筐出入库明细!$W$4:$W$2004,$Z208-2000)=0,"",INDEX(周转筐出入库明细!$W$4:$W$2004,$Z208-2000)),IF($Z208&lt;=5200,IF(INDEX(客户自备加工筐明细!$L$4:$L$1203,$Z208-4000)=0,"",INDEX(客户自备加工筐明细!$L$4:$L$1203,$Z208-4000)),IF($Z208&lt;=5800,IF(INDEX(次果筐明细!$P$4:$P$603,$Z208-5200)=0,"",INDEX(次果筐明细!$P$4:$P$603,$Z208-5200)),"")))))</f>
        <v/>
      </c>
      <c r="N208" s="16" t="str">
        <f>IF($Z208="","",IF($Z208&lt;=2000,"",IF($Z208&lt;=4000,IF(INDEX(周转筐出入库明细!$D$4:$D$2004,$Z208-2000)=0,"",INDEX(周转筐出入库明细!$D$4:$D$2004,$Z208-2000)),IF($Z208&lt;=5200,IF(INDEX(客户自备加工筐明细!$C$4:$C$1203,$Z208-4000)=0,"",INDEX(客户自备加工筐明细!$C$4:$C$1203,$Z208-4000)),IF($Z208&lt;=5800,IF(INDEX(次果筐明细!$D$4:$D$603,$Z208-5200)=0,"",INDEX(次果筐明细!$D$4:$D$603,$Z208-5200)),"")))))</f>
        <v/>
      </c>
      <c r="O208" s="40" t="str">
        <f>IF($Z208="","",IF($Z208&lt;=2000,"",IF($Z208&lt;=4000,IF(N(INDEX(周转筐出入库明细!$J$4:$J$2004,$Z208-2000))+N(INDEX(周转筐出入库明细!$K$4:$K$2004,$Z208-2000))=0,"",N(INDEX(周转筐出入库明细!$J$4:$J$2004,$Z208-2000))+N(INDEX(周转筐出入库明细!$K$4:$K$2004,$Z208-2000))),IF($Z208&lt;=5200,IF(N(INDEX(客户自备加工筐明细!$G$4:$G$1203,$Z208-4000))=0,"",N(INDEX(客户自备加工筐明细!$G$4:$G$1203,$Z208-4000))),IF($Z208&lt;=5800,IF(ISNUMBER(SEARCH("退",INDEX(次果筐明细!$F$4:$F$603,$Z208-5200)&amp;"")),"",IF(N(INDEX(次果筐明细!$G$4:$G$603,$Z208-5200))=0,"",N(INDEX(次果筐明细!$G$4:$G$603,$Z208-5200)))),"")))))</f>
        <v/>
      </c>
      <c r="P208" s="40" t="str">
        <f>IF($Z208="","",IF($Z208&lt;=2000,"",IF($Z208&lt;=4000,IF(N(INDEX(周转筐出入库明细!$I$4:$I$2004,$Z208-2000))=0,"",N(INDEX(周转筐出入库明细!$I$4:$I$2004,$Z208-2000))),IF($Z208&lt;=5200,"",IF($Z208&lt;=5800,IF(ISNUMBER(SEARCH("退",INDEX(次果筐明细!$F$4:$F$603,$Z208-5200)&amp;"")),IF(N(INDEX(次果筐明细!$G$4:$G$603,$Z208-5200))=0,"",N(INDEX(次果筐明细!$G$4:$G$603,$Z208-5200))),""),"")))))</f>
        <v/>
      </c>
      <c r="Q208" s="40" t="str">
        <f>IF($Z208="","",IF($Z208&lt;=2000,"",IF($Z208&lt;=4000,IF(N(INDEX(周转筐出入库明细!$H$4:$H$2004,$Z208-2000))=0,"",N(INDEX(周转筐出入库明细!$H$4:$H$2004,$Z208-2000))),IF($Z208&lt;=5200,IF(N(INDEX(客户自备加工筐明细!$F$4:$F$1203,$Z208-4000))=0,"",N(INDEX(客户自备加工筐明细!$F$4:$F$1203,$Z208-4000))),IF($Z208&lt;=5800,"","")))))</f>
        <v/>
      </c>
      <c r="R208" s="16" t="str">
        <f>IF($Z208="","",IF($Z208&lt;=2000,IF(INDEX(包装物料出入库明细!$O$4:$O$2003,$Z208-0)=0,"",INDEX(包装物料出入库明细!$O$4:$O$2003,$Z208-0)),IF($Z208&lt;=4000,IF(INDEX(周转筐出入库明细!$M$4:$M$2004,$Z208-2000)=0,"",INDEX(周转筐出入库明细!$M$4:$M$2004,$Z208-2000)),IF($Z208&lt;=5200,IF(INDEX(客户自备加工筐明细!$H$4:$H$1203,$Z208-4000)=0,"",INDEX(客户自备加工筐明细!$H$4:$H$1203,$Z208-4000)),IF($Z208&lt;=5800,IF(INDEX(次果筐明细!$H$4:$H$603,$Z208-5200)=0,"",INDEX(次果筐明细!$H$4:$H$603,$Z208-5200)),"")))))</f>
        <v/>
      </c>
      <c r="S208" s="22" t="str">
        <f t="shared" si="11"/>
        <v/>
      </c>
      <c r="Z208" s="10" t="str">
        <f>IFERROR(MATCH(ROW()-3,_自动清单!$CQ$4:$CQ$5803,0),"")</f>
        <v/>
      </c>
    </row>
    <row r="209" spans="1:26">
      <c r="A209" s="24" t="str">
        <f t="shared" si="9"/>
        <v/>
      </c>
      <c r="B209" s="38" t="str">
        <f>IF($Z209="","",IF($Z209&lt;=2000,IF(INDEX(包装物料出入库明细!$B$4:$B$2003,$Z209-0)=0,"",INDEX(包装物料出入库明细!$B$4:$B$2003,$Z209-0)),IF($Z209&lt;=4000,IF(INDEX(周转筐出入库明细!$B$4:$B$2004,$Z209-2000)=0,"",INDEX(周转筐出入库明细!$B$4:$B$2004,$Z209-2000)),IF($Z209&lt;=5200,IF(INDEX(客户自备加工筐明细!$B$4:$B$1203,$Z209-4000)=0,"",INDEX(客户自备加工筐明细!$B$4:$B$1203,$Z209-4000)),IF($Z209&lt;=5800,IF(INDEX(次果筐明细!$B$4:$B$603,$Z209-5200)=0,"",INDEX(次果筐明细!$B$4:$B$603,$Z209-5200)),"")))))</f>
        <v/>
      </c>
      <c r="C209" s="37" t="str">
        <f>IF($Z209="","",IF($Z209&lt;=2000,IF(INDEX(包装物料出入库明细!$D$4:$D$2003,$Z209-0)=0,"",INDEX(包装物料出入库明细!$D$4:$D$2003,$Z209-0)),IF($Z209&lt;=4000,IF(INDEX(周转筐出入库明细!$C$4:$C$2004,$Z209-2000)=0,"",INDEX(周转筐出入库明细!$C$4:$C$2004,$Z209-2000)),IF($Z209&lt;=5200,IF(INDEX(客户自备加工筐明细!$E$4:$E$1203,$Z209-4000)=0,"",INDEX(客户自备加工筐明细!$E$4:$E$1203,$Z209-4000)),IF($Z209&lt;=5800,IF(INDEX(次果筐明细!$C$4:$C$603,$Z209-5200)=0,"",INDEX(次果筐明细!$C$4:$C$603,$Z209-5200)),"")))))</f>
        <v/>
      </c>
      <c r="D209" s="37" t="str">
        <f>IF($Z209="","",IF($Z209&lt;=2000,"包装物料－"&amp;INDEX(包装物料出入库明细!$H$4:$H$2003,$Z209-0),IF($Z209&lt;=4000,"周转筐－"&amp;INDEX(周转筐出入库明细!$F$4:$F$2004,$Z209-2000),IF($Z209&lt;=5200,"客户自备筐－"&amp;INDEX(客户自备加工筐明细!$J$4:$J$1203,$Z209-4000),IF($Z209&lt;=5800,"次果筐/托盘－"&amp;INDEX(次果筐明细!$F$4:$F$603,$Z209-5200),"")))))</f>
        <v/>
      </c>
      <c r="E209" s="24" t="str">
        <f>IF($Z209="","",IF($Z209&lt;=2000,IF(INDEX(包装物料出入库明细!$C$4:$C$2003,$Z209-0)=0,"",INDEX(包装物料出入库明细!$C$4:$C$2003,$Z209-0)),IF($Z209&lt;=4000,IF(INDEX(周转筐出入库明细!$E$4:$E$2004,$Z209-2000)=0,"",INDEX(周转筐出入库明细!$E$4:$E$2004,$Z209-2000)),IF($Z209&lt;=5200,IF(INDEX(客户自备加工筐明细!$D$4:$D$1203,$Z209-4000)=0,"",INDEX(客户自备加工筐明细!$D$4:$D$1203,$Z209-4000)),IF($Z209&lt;=5800,IF(INDEX(次果筐明细!$E$4:$E$603,$Z209-5200)=0,"",INDEX(次果筐明细!$E$4:$E$603,$Z209-5200)),"")))))</f>
        <v/>
      </c>
      <c r="F209" s="24" t="str">
        <f>IF($Z209="","",IF($Z209&lt;=2000,IF(INDEX(包装物料出入库明细!$E$4:$E$2003,$Z209-0)=0,"",INDEX(包装物料出入库明细!$E$4:$E$2003,$Z209-0)),IF($Z209&lt;=4000,IF(INDEX(周转筐出入库明细!$D$4:$D$2004,$Z209-2000)=0,"",INDEX(周转筐出入库明细!$D$4:$D$2004,$Z209-2000)),IF($Z209&lt;=5200,IF(INDEX(客户自备加工筐明细!$C$4:$C$1203,$Z209-4000)=0,"",INDEX(客户自备加工筐明细!$C$4:$C$1203,$Z209-4000)),IF($Z209&lt;=5800,IF(INDEX(次果筐明细!$D$4:$D$603,$Z209-5200)=0,"",INDEX(次果筐明细!$D$4:$D$603,$Z209-5200)),"")))))</f>
        <v/>
      </c>
      <c r="G209" s="24" t="str">
        <f>IF($Z209="","",IF($Z209&lt;=2000,IF(INDEX(包装物料出入库明细!$F$4:$F$2003,$Z209-0)=0,"",INDEX(包装物料出入库明细!$F$4:$F$2003,$Z209-0)),IF($Z209&lt;=4000,"",IF($Z209&lt;=5200,"",IF($Z209&lt;=5800,"","")))))</f>
        <v/>
      </c>
      <c r="H209" s="39" t="str">
        <f>IF($Z209="","",IF($Z209&lt;=2000,IF(INDEX(包装物料出入库明细!$L$4:$L$2003,$Z209-0)=0,"",INDEX(包装物料出入库明细!$L$4:$L$2003,$Z209-0)),IF($Z209&lt;=4000,N(INDEX(周转筐出入库明细!$H$4:$H$2004,$Z209-2000))+N(INDEX(周转筐出入库明细!$I$4:$I$2004,$Z209-2000))+N(INDEX(周转筐出入库明细!$J$4:$J$2004,$Z209-2000))+N(INDEX(周转筐出入库明细!$K$4:$K$2004,$Z209-2000)),IF($Z209&lt;=5200,N(INDEX(客户自备加工筐明细!$F$4:$F$1203,$Z209-4000))+N(INDEX(客户自备加工筐明细!$G$4:$G$1203,$Z209-4000)),IF($Z209&lt;=5800,IF(INDEX(次果筐明细!$G$4:$G$603,$Z209-5200)=0,"",INDEX(次果筐明细!$G$4:$G$603,$Z209-5200)),"")))))</f>
        <v/>
      </c>
      <c r="I209" s="24" t="str">
        <f>IF($Z209="","",IF($Z209&lt;=2000,IF(INDEX(包装物料出入库明细!$G$4:$G$2003,$Z209-0)=0,"",INDEX(包装物料出入库明细!$G$4:$G$2003,$Z209-0)),IF($Z209&lt;=4000,"个",IF($Z209&lt;=5200,"个",IF($Z209&lt;=5800,"个","")))))</f>
        <v/>
      </c>
      <c r="J209" s="30" t="str">
        <f t="shared" si="10"/>
        <v/>
      </c>
      <c r="K209" s="30" t="str">
        <f>IF($Z209="","",IF($Z209&lt;=2000,IF(INDEX(包装物料出入库明细!$N$4:$N$2003,$Z209-0)=0,"",INDEX(包装物料出入库明细!$N$4:$N$2003,$Z209-0)),IF($Z209&lt;=4000,IF(INDEX(周转筐出入库明细!$P$4:$P$2004,$Z209-2000)=0,"",INDEX(周转筐出入库明细!$P$4:$P$2004,$Z209-2000)),IF($Z209&lt;=5200,"",IF($Z209&lt;=5800,N(INDEX(次果筐明细!$L$4:$L$603,$Z209-5200))+N(INDEX(次果筐明细!$J$4:$J$603,$Z209-5200)),"")))))</f>
        <v/>
      </c>
      <c r="L209" s="24" t="str">
        <f>IF($Z209="","",IF($Z209&lt;=2000,IF(INDEX(包装物料出入库明细!$P$4:$P$2003,$Z209-0)=0,"",INDEX(包装物料出入库明细!$P$4:$P$2003,$Z209-0)),IF($Z209&lt;=4000,IF(INDEX(周转筐出入库明细!$Q$4:$Q$2004,$Z209-2000)=0,"",INDEX(周转筐出入库明细!$Q$4:$Q$2004,$Z209-2000)),IF($Z209&lt;=5200,"",IF($Z209&lt;=5800,IF(INDEX(次果筐明细!$M$4:$M$603,$Z209-5200)=0,"",INDEX(次果筐明细!$M$4:$M$603,$Z209-5200)),"")))))</f>
        <v/>
      </c>
      <c r="M209" s="37" t="str">
        <f>IF($Z209="","",IF($Z209&lt;=2000,IF(INDEX(包装物料出入库明细!$R$4:$R$2003,$Z209-0)=0,"",INDEX(包装物料出入库明细!$R$4:$R$2003,$Z209-0)),IF($Z209&lt;=4000,IF(INDEX(周转筐出入库明细!$W$4:$W$2004,$Z209-2000)=0,"",INDEX(周转筐出入库明细!$W$4:$W$2004,$Z209-2000)),IF($Z209&lt;=5200,IF(INDEX(客户自备加工筐明细!$L$4:$L$1203,$Z209-4000)=0,"",INDEX(客户自备加工筐明细!$L$4:$L$1203,$Z209-4000)),IF($Z209&lt;=5800,IF(INDEX(次果筐明细!$P$4:$P$603,$Z209-5200)=0,"",INDEX(次果筐明细!$P$4:$P$603,$Z209-5200)),"")))))</f>
        <v/>
      </c>
      <c r="N209" s="16" t="str">
        <f>IF($Z209="","",IF($Z209&lt;=2000,"",IF($Z209&lt;=4000,IF(INDEX(周转筐出入库明细!$D$4:$D$2004,$Z209-2000)=0,"",INDEX(周转筐出入库明细!$D$4:$D$2004,$Z209-2000)),IF($Z209&lt;=5200,IF(INDEX(客户自备加工筐明细!$C$4:$C$1203,$Z209-4000)=0,"",INDEX(客户自备加工筐明细!$C$4:$C$1203,$Z209-4000)),IF($Z209&lt;=5800,IF(INDEX(次果筐明细!$D$4:$D$603,$Z209-5200)=0,"",INDEX(次果筐明细!$D$4:$D$603,$Z209-5200)),"")))))</f>
        <v/>
      </c>
      <c r="O209" s="40" t="str">
        <f>IF($Z209="","",IF($Z209&lt;=2000,"",IF($Z209&lt;=4000,IF(N(INDEX(周转筐出入库明细!$J$4:$J$2004,$Z209-2000))+N(INDEX(周转筐出入库明细!$K$4:$K$2004,$Z209-2000))=0,"",N(INDEX(周转筐出入库明细!$J$4:$J$2004,$Z209-2000))+N(INDEX(周转筐出入库明细!$K$4:$K$2004,$Z209-2000))),IF($Z209&lt;=5200,IF(N(INDEX(客户自备加工筐明细!$G$4:$G$1203,$Z209-4000))=0,"",N(INDEX(客户自备加工筐明细!$G$4:$G$1203,$Z209-4000))),IF($Z209&lt;=5800,IF(ISNUMBER(SEARCH("退",INDEX(次果筐明细!$F$4:$F$603,$Z209-5200)&amp;"")),"",IF(N(INDEX(次果筐明细!$G$4:$G$603,$Z209-5200))=0,"",N(INDEX(次果筐明细!$G$4:$G$603,$Z209-5200)))),"")))))</f>
        <v/>
      </c>
      <c r="P209" s="40" t="str">
        <f>IF($Z209="","",IF($Z209&lt;=2000,"",IF($Z209&lt;=4000,IF(N(INDEX(周转筐出入库明细!$I$4:$I$2004,$Z209-2000))=0,"",N(INDEX(周转筐出入库明细!$I$4:$I$2004,$Z209-2000))),IF($Z209&lt;=5200,"",IF($Z209&lt;=5800,IF(ISNUMBER(SEARCH("退",INDEX(次果筐明细!$F$4:$F$603,$Z209-5200)&amp;"")),IF(N(INDEX(次果筐明细!$G$4:$G$603,$Z209-5200))=0,"",N(INDEX(次果筐明细!$G$4:$G$603,$Z209-5200))),""),"")))))</f>
        <v/>
      </c>
      <c r="Q209" s="40" t="str">
        <f>IF($Z209="","",IF($Z209&lt;=2000,"",IF($Z209&lt;=4000,IF(N(INDEX(周转筐出入库明细!$H$4:$H$2004,$Z209-2000))=0,"",N(INDEX(周转筐出入库明细!$H$4:$H$2004,$Z209-2000))),IF($Z209&lt;=5200,IF(N(INDEX(客户自备加工筐明细!$F$4:$F$1203,$Z209-4000))=0,"",N(INDEX(客户自备加工筐明细!$F$4:$F$1203,$Z209-4000))),IF($Z209&lt;=5800,"","")))))</f>
        <v/>
      </c>
      <c r="R209" s="16" t="str">
        <f>IF($Z209="","",IF($Z209&lt;=2000,IF(INDEX(包装物料出入库明细!$O$4:$O$2003,$Z209-0)=0,"",INDEX(包装物料出入库明细!$O$4:$O$2003,$Z209-0)),IF($Z209&lt;=4000,IF(INDEX(周转筐出入库明细!$M$4:$M$2004,$Z209-2000)=0,"",INDEX(周转筐出入库明细!$M$4:$M$2004,$Z209-2000)),IF($Z209&lt;=5200,IF(INDEX(客户自备加工筐明细!$H$4:$H$1203,$Z209-4000)=0,"",INDEX(客户自备加工筐明细!$H$4:$H$1203,$Z209-4000)),IF($Z209&lt;=5800,IF(INDEX(次果筐明细!$H$4:$H$603,$Z209-5200)=0,"",INDEX(次果筐明细!$H$4:$H$603,$Z209-5200)),"")))))</f>
        <v/>
      </c>
      <c r="S209" s="22" t="str">
        <f t="shared" si="11"/>
        <v/>
      </c>
      <c r="Z209" s="10" t="str">
        <f>IFERROR(MATCH(ROW()-3,_自动清单!$CQ$4:$CQ$5803,0),"")</f>
        <v/>
      </c>
    </row>
    <row r="210" spans="1:26">
      <c r="A210" s="24" t="str">
        <f t="shared" si="9"/>
        <v/>
      </c>
      <c r="B210" s="38" t="str">
        <f>IF($Z210="","",IF($Z210&lt;=2000,IF(INDEX(包装物料出入库明细!$B$4:$B$2003,$Z210-0)=0,"",INDEX(包装物料出入库明细!$B$4:$B$2003,$Z210-0)),IF($Z210&lt;=4000,IF(INDEX(周转筐出入库明细!$B$4:$B$2004,$Z210-2000)=0,"",INDEX(周转筐出入库明细!$B$4:$B$2004,$Z210-2000)),IF($Z210&lt;=5200,IF(INDEX(客户自备加工筐明细!$B$4:$B$1203,$Z210-4000)=0,"",INDEX(客户自备加工筐明细!$B$4:$B$1203,$Z210-4000)),IF($Z210&lt;=5800,IF(INDEX(次果筐明细!$B$4:$B$603,$Z210-5200)=0,"",INDEX(次果筐明细!$B$4:$B$603,$Z210-5200)),"")))))</f>
        <v/>
      </c>
      <c r="C210" s="37" t="str">
        <f>IF($Z210="","",IF($Z210&lt;=2000,IF(INDEX(包装物料出入库明细!$D$4:$D$2003,$Z210-0)=0,"",INDEX(包装物料出入库明细!$D$4:$D$2003,$Z210-0)),IF($Z210&lt;=4000,IF(INDEX(周转筐出入库明细!$C$4:$C$2004,$Z210-2000)=0,"",INDEX(周转筐出入库明细!$C$4:$C$2004,$Z210-2000)),IF($Z210&lt;=5200,IF(INDEX(客户自备加工筐明细!$E$4:$E$1203,$Z210-4000)=0,"",INDEX(客户自备加工筐明细!$E$4:$E$1203,$Z210-4000)),IF($Z210&lt;=5800,IF(INDEX(次果筐明细!$C$4:$C$603,$Z210-5200)=0,"",INDEX(次果筐明细!$C$4:$C$603,$Z210-5200)),"")))))</f>
        <v/>
      </c>
      <c r="D210" s="37" t="str">
        <f>IF($Z210="","",IF($Z210&lt;=2000,"包装物料－"&amp;INDEX(包装物料出入库明细!$H$4:$H$2003,$Z210-0),IF($Z210&lt;=4000,"周转筐－"&amp;INDEX(周转筐出入库明细!$F$4:$F$2004,$Z210-2000),IF($Z210&lt;=5200,"客户自备筐－"&amp;INDEX(客户自备加工筐明细!$J$4:$J$1203,$Z210-4000),IF($Z210&lt;=5800,"次果筐/托盘－"&amp;INDEX(次果筐明细!$F$4:$F$603,$Z210-5200),"")))))</f>
        <v/>
      </c>
      <c r="E210" s="24" t="str">
        <f>IF($Z210="","",IF($Z210&lt;=2000,IF(INDEX(包装物料出入库明细!$C$4:$C$2003,$Z210-0)=0,"",INDEX(包装物料出入库明细!$C$4:$C$2003,$Z210-0)),IF($Z210&lt;=4000,IF(INDEX(周转筐出入库明细!$E$4:$E$2004,$Z210-2000)=0,"",INDEX(周转筐出入库明细!$E$4:$E$2004,$Z210-2000)),IF($Z210&lt;=5200,IF(INDEX(客户自备加工筐明细!$D$4:$D$1203,$Z210-4000)=0,"",INDEX(客户自备加工筐明细!$D$4:$D$1203,$Z210-4000)),IF($Z210&lt;=5800,IF(INDEX(次果筐明细!$E$4:$E$603,$Z210-5200)=0,"",INDEX(次果筐明细!$E$4:$E$603,$Z210-5200)),"")))))</f>
        <v/>
      </c>
      <c r="F210" s="24" t="str">
        <f>IF($Z210="","",IF($Z210&lt;=2000,IF(INDEX(包装物料出入库明细!$E$4:$E$2003,$Z210-0)=0,"",INDEX(包装物料出入库明细!$E$4:$E$2003,$Z210-0)),IF($Z210&lt;=4000,IF(INDEX(周转筐出入库明细!$D$4:$D$2004,$Z210-2000)=0,"",INDEX(周转筐出入库明细!$D$4:$D$2004,$Z210-2000)),IF($Z210&lt;=5200,IF(INDEX(客户自备加工筐明细!$C$4:$C$1203,$Z210-4000)=0,"",INDEX(客户自备加工筐明细!$C$4:$C$1203,$Z210-4000)),IF($Z210&lt;=5800,IF(INDEX(次果筐明细!$D$4:$D$603,$Z210-5200)=0,"",INDEX(次果筐明细!$D$4:$D$603,$Z210-5200)),"")))))</f>
        <v/>
      </c>
      <c r="G210" s="24" t="str">
        <f>IF($Z210="","",IF($Z210&lt;=2000,IF(INDEX(包装物料出入库明细!$F$4:$F$2003,$Z210-0)=0,"",INDEX(包装物料出入库明细!$F$4:$F$2003,$Z210-0)),IF($Z210&lt;=4000,"",IF($Z210&lt;=5200,"",IF($Z210&lt;=5800,"","")))))</f>
        <v/>
      </c>
      <c r="H210" s="39" t="str">
        <f>IF($Z210="","",IF($Z210&lt;=2000,IF(INDEX(包装物料出入库明细!$L$4:$L$2003,$Z210-0)=0,"",INDEX(包装物料出入库明细!$L$4:$L$2003,$Z210-0)),IF($Z210&lt;=4000,N(INDEX(周转筐出入库明细!$H$4:$H$2004,$Z210-2000))+N(INDEX(周转筐出入库明细!$I$4:$I$2004,$Z210-2000))+N(INDEX(周转筐出入库明细!$J$4:$J$2004,$Z210-2000))+N(INDEX(周转筐出入库明细!$K$4:$K$2004,$Z210-2000)),IF($Z210&lt;=5200,N(INDEX(客户自备加工筐明细!$F$4:$F$1203,$Z210-4000))+N(INDEX(客户自备加工筐明细!$G$4:$G$1203,$Z210-4000)),IF($Z210&lt;=5800,IF(INDEX(次果筐明细!$G$4:$G$603,$Z210-5200)=0,"",INDEX(次果筐明细!$G$4:$G$603,$Z210-5200)),"")))))</f>
        <v/>
      </c>
      <c r="I210" s="24" t="str">
        <f>IF($Z210="","",IF($Z210&lt;=2000,IF(INDEX(包装物料出入库明细!$G$4:$G$2003,$Z210-0)=0,"",INDEX(包装物料出入库明细!$G$4:$G$2003,$Z210-0)),IF($Z210&lt;=4000,"个",IF($Z210&lt;=5200,"个",IF($Z210&lt;=5800,"个","")))))</f>
        <v/>
      </c>
      <c r="J210" s="30" t="str">
        <f t="shared" si="10"/>
        <v/>
      </c>
      <c r="K210" s="30" t="str">
        <f>IF($Z210="","",IF($Z210&lt;=2000,IF(INDEX(包装物料出入库明细!$N$4:$N$2003,$Z210-0)=0,"",INDEX(包装物料出入库明细!$N$4:$N$2003,$Z210-0)),IF($Z210&lt;=4000,IF(INDEX(周转筐出入库明细!$P$4:$P$2004,$Z210-2000)=0,"",INDEX(周转筐出入库明细!$P$4:$P$2004,$Z210-2000)),IF($Z210&lt;=5200,"",IF($Z210&lt;=5800,N(INDEX(次果筐明细!$L$4:$L$603,$Z210-5200))+N(INDEX(次果筐明细!$J$4:$J$603,$Z210-5200)),"")))))</f>
        <v/>
      </c>
      <c r="L210" s="24" t="str">
        <f>IF($Z210="","",IF($Z210&lt;=2000,IF(INDEX(包装物料出入库明细!$P$4:$P$2003,$Z210-0)=0,"",INDEX(包装物料出入库明细!$P$4:$P$2003,$Z210-0)),IF($Z210&lt;=4000,IF(INDEX(周转筐出入库明细!$Q$4:$Q$2004,$Z210-2000)=0,"",INDEX(周转筐出入库明细!$Q$4:$Q$2004,$Z210-2000)),IF($Z210&lt;=5200,"",IF($Z210&lt;=5800,IF(INDEX(次果筐明细!$M$4:$M$603,$Z210-5200)=0,"",INDEX(次果筐明细!$M$4:$M$603,$Z210-5200)),"")))))</f>
        <v/>
      </c>
      <c r="M210" s="37" t="str">
        <f>IF($Z210="","",IF($Z210&lt;=2000,IF(INDEX(包装物料出入库明细!$R$4:$R$2003,$Z210-0)=0,"",INDEX(包装物料出入库明细!$R$4:$R$2003,$Z210-0)),IF($Z210&lt;=4000,IF(INDEX(周转筐出入库明细!$W$4:$W$2004,$Z210-2000)=0,"",INDEX(周转筐出入库明细!$W$4:$W$2004,$Z210-2000)),IF($Z210&lt;=5200,IF(INDEX(客户自备加工筐明细!$L$4:$L$1203,$Z210-4000)=0,"",INDEX(客户自备加工筐明细!$L$4:$L$1203,$Z210-4000)),IF($Z210&lt;=5800,IF(INDEX(次果筐明细!$P$4:$P$603,$Z210-5200)=0,"",INDEX(次果筐明细!$P$4:$P$603,$Z210-5200)),"")))))</f>
        <v/>
      </c>
      <c r="N210" s="16" t="str">
        <f>IF($Z210="","",IF($Z210&lt;=2000,"",IF($Z210&lt;=4000,IF(INDEX(周转筐出入库明细!$D$4:$D$2004,$Z210-2000)=0,"",INDEX(周转筐出入库明细!$D$4:$D$2004,$Z210-2000)),IF($Z210&lt;=5200,IF(INDEX(客户自备加工筐明细!$C$4:$C$1203,$Z210-4000)=0,"",INDEX(客户自备加工筐明细!$C$4:$C$1203,$Z210-4000)),IF($Z210&lt;=5800,IF(INDEX(次果筐明细!$D$4:$D$603,$Z210-5200)=0,"",INDEX(次果筐明细!$D$4:$D$603,$Z210-5200)),"")))))</f>
        <v/>
      </c>
      <c r="O210" s="40" t="str">
        <f>IF($Z210="","",IF($Z210&lt;=2000,"",IF($Z210&lt;=4000,IF(N(INDEX(周转筐出入库明细!$J$4:$J$2004,$Z210-2000))+N(INDEX(周转筐出入库明细!$K$4:$K$2004,$Z210-2000))=0,"",N(INDEX(周转筐出入库明细!$J$4:$J$2004,$Z210-2000))+N(INDEX(周转筐出入库明细!$K$4:$K$2004,$Z210-2000))),IF($Z210&lt;=5200,IF(N(INDEX(客户自备加工筐明细!$G$4:$G$1203,$Z210-4000))=0,"",N(INDEX(客户自备加工筐明细!$G$4:$G$1203,$Z210-4000))),IF($Z210&lt;=5800,IF(ISNUMBER(SEARCH("退",INDEX(次果筐明细!$F$4:$F$603,$Z210-5200)&amp;"")),"",IF(N(INDEX(次果筐明细!$G$4:$G$603,$Z210-5200))=0,"",N(INDEX(次果筐明细!$G$4:$G$603,$Z210-5200)))),"")))))</f>
        <v/>
      </c>
      <c r="P210" s="40" t="str">
        <f>IF($Z210="","",IF($Z210&lt;=2000,"",IF($Z210&lt;=4000,IF(N(INDEX(周转筐出入库明细!$I$4:$I$2004,$Z210-2000))=0,"",N(INDEX(周转筐出入库明细!$I$4:$I$2004,$Z210-2000))),IF($Z210&lt;=5200,"",IF($Z210&lt;=5800,IF(ISNUMBER(SEARCH("退",INDEX(次果筐明细!$F$4:$F$603,$Z210-5200)&amp;"")),IF(N(INDEX(次果筐明细!$G$4:$G$603,$Z210-5200))=0,"",N(INDEX(次果筐明细!$G$4:$G$603,$Z210-5200))),""),"")))))</f>
        <v/>
      </c>
      <c r="Q210" s="40" t="str">
        <f>IF($Z210="","",IF($Z210&lt;=2000,"",IF($Z210&lt;=4000,IF(N(INDEX(周转筐出入库明细!$H$4:$H$2004,$Z210-2000))=0,"",N(INDEX(周转筐出入库明细!$H$4:$H$2004,$Z210-2000))),IF($Z210&lt;=5200,IF(N(INDEX(客户自备加工筐明细!$F$4:$F$1203,$Z210-4000))=0,"",N(INDEX(客户自备加工筐明细!$F$4:$F$1203,$Z210-4000))),IF($Z210&lt;=5800,"","")))))</f>
        <v/>
      </c>
      <c r="R210" s="16" t="str">
        <f>IF($Z210="","",IF($Z210&lt;=2000,IF(INDEX(包装物料出入库明细!$O$4:$O$2003,$Z210-0)=0,"",INDEX(包装物料出入库明细!$O$4:$O$2003,$Z210-0)),IF($Z210&lt;=4000,IF(INDEX(周转筐出入库明细!$M$4:$M$2004,$Z210-2000)=0,"",INDEX(周转筐出入库明细!$M$4:$M$2004,$Z210-2000)),IF($Z210&lt;=5200,IF(INDEX(客户自备加工筐明细!$H$4:$H$1203,$Z210-4000)=0,"",INDEX(客户自备加工筐明细!$H$4:$H$1203,$Z210-4000)),IF($Z210&lt;=5800,IF(INDEX(次果筐明细!$H$4:$H$603,$Z210-5200)=0,"",INDEX(次果筐明细!$H$4:$H$603,$Z210-5200)),"")))))</f>
        <v/>
      </c>
      <c r="S210" s="22" t="str">
        <f t="shared" si="11"/>
        <v/>
      </c>
      <c r="Z210" s="10" t="str">
        <f>IFERROR(MATCH(ROW()-3,_自动清单!$CQ$4:$CQ$5803,0),"")</f>
        <v/>
      </c>
    </row>
    <row r="211" spans="1:26">
      <c r="A211" s="24" t="str">
        <f t="shared" si="9"/>
        <v/>
      </c>
      <c r="B211" s="38" t="str">
        <f>IF($Z211="","",IF($Z211&lt;=2000,IF(INDEX(包装物料出入库明细!$B$4:$B$2003,$Z211-0)=0,"",INDEX(包装物料出入库明细!$B$4:$B$2003,$Z211-0)),IF($Z211&lt;=4000,IF(INDEX(周转筐出入库明细!$B$4:$B$2004,$Z211-2000)=0,"",INDEX(周转筐出入库明细!$B$4:$B$2004,$Z211-2000)),IF($Z211&lt;=5200,IF(INDEX(客户自备加工筐明细!$B$4:$B$1203,$Z211-4000)=0,"",INDEX(客户自备加工筐明细!$B$4:$B$1203,$Z211-4000)),IF($Z211&lt;=5800,IF(INDEX(次果筐明细!$B$4:$B$603,$Z211-5200)=0,"",INDEX(次果筐明细!$B$4:$B$603,$Z211-5200)),"")))))</f>
        <v/>
      </c>
      <c r="C211" s="37" t="str">
        <f>IF($Z211="","",IF($Z211&lt;=2000,IF(INDEX(包装物料出入库明细!$D$4:$D$2003,$Z211-0)=0,"",INDEX(包装物料出入库明细!$D$4:$D$2003,$Z211-0)),IF($Z211&lt;=4000,IF(INDEX(周转筐出入库明细!$C$4:$C$2004,$Z211-2000)=0,"",INDEX(周转筐出入库明细!$C$4:$C$2004,$Z211-2000)),IF($Z211&lt;=5200,IF(INDEX(客户自备加工筐明细!$E$4:$E$1203,$Z211-4000)=0,"",INDEX(客户自备加工筐明细!$E$4:$E$1203,$Z211-4000)),IF($Z211&lt;=5800,IF(INDEX(次果筐明细!$C$4:$C$603,$Z211-5200)=0,"",INDEX(次果筐明细!$C$4:$C$603,$Z211-5200)),"")))))</f>
        <v/>
      </c>
      <c r="D211" s="37" t="str">
        <f>IF($Z211="","",IF($Z211&lt;=2000,"包装物料－"&amp;INDEX(包装物料出入库明细!$H$4:$H$2003,$Z211-0),IF($Z211&lt;=4000,"周转筐－"&amp;INDEX(周转筐出入库明细!$F$4:$F$2004,$Z211-2000),IF($Z211&lt;=5200,"客户自备筐－"&amp;INDEX(客户自备加工筐明细!$J$4:$J$1203,$Z211-4000),IF($Z211&lt;=5800,"次果筐/托盘－"&amp;INDEX(次果筐明细!$F$4:$F$603,$Z211-5200),"")))))</f>
        <v/>
      </c>
      <c r="E211" s="24" t="str">
        <f>IF($Z211="","",IF($Z211&lt;=2000,IF(INDEX(包装物料出入库明细!$C$4:$C$2003,$Z211-0)=0,"",INDEX(包装物料出入库明细!$C$4:$C$2003,$Z211-0)),IF($Z211&lt;=4000,IF(INDEX(周转筐出入库明细!$E$4:$E$2004,$Z211-2000)=0,"",INDEX(周转筐出入库明细!$E$4:$E$2004,$Z211-2000)),IF($Z211&lt;=5200,IF(INDEX(客户自备加工筐明细!$D$4:$D$1203,$Z211-4000)=0,"",INDEX(客户自备加工筐明细!$D$4:$D$1203,$Z211-4000)),IF($Z211&lt;=5800,IF(INDEX(次果筐明细!$E$4:$E$603,$Z211-5200)=0,"",INDEX(次果筐明细!$E$4:$E$603,$Z211-5200)),"")))))</f>
        <v/>
      </c>
      <c r="F211" s="24" t="str">
        <f>IF($Z211="","",IF($Z211&lt;=2000,IF(INDEX(包装物料出入库明细!$E$4:$E$2003,$Z211-0)=0,"",INDEX(包装物料出入库明细!$E$4:$E$2003,$Z211-0)),IF($Z211&lt;=4000,IF(INDEX(周转筐出入库明细!$D$4:$D$2004,$Z211-2000)=0,"",INDEX(周转筐出入库明细!$D$4:$D$2004,$Z211-2000)),IF($Z211&lt;=5200,IF(INDEX(客户自备加工筐明细!$C$4:$C$1203,$Z211-4000)=0,"",INDEX(客户自备加工筐明细!$C$4:$C$1203,$Z211-4000)),IF($Z211&lt;=5800,IF(INDEX(次果筐明细!$D$4:$D$603,$Z211-5200)=0,"",INDEX(次果筐明细!$D$4:$D$603,$Z211-5200)),"")))))</f>
        <v/>
      </c>
      <c r="G211" s="24" t="str">
        <f>IF($Z211="","",IF($Z211&lt;=2000,IF(INDEX(包装物料出入库明细!$F$4:$F$2003,$Z211-0)=0,"",INDEX(包装物料出入库明细!$F$4:$F$2003,$Z211-0)),IF($Z211&lt;=4000,"",IF($Z211&lt;=5200,"",IF($Z211&lt;=5800,"","")))))</f>
        <v/>
      </c>
      <c r="H211" s="39" t="str">
        <f>IF($Z211="","",IF($Z211&lt;=2000,IF(INDEX(包装物料出入库明细!$L$4:$L$2003,$Z211-0)=0,"",INDEX(包装物料出入库明细!$L$4:$L$2003,$Z211-0)),IF($Z211&lt;=4000,N(INDEX(周转筐出入库明细!$H$4:$H$2004,$Z211-2000))+N(INDEX(周转筐出入库明细!$I$4:$I$2004,$Z211-2000))+N(INDEX(周转筐出入库明细!$J$4:$J$2004,$Z211-2000))+N(INDEX(周转筐出入库明细!$K$4:$K$2004,$Z211-2000)),IF($Z211&lt;=5200,N(INDEX(客户自备加工筐明细!$F$4:$F$1203,$Z211-4000))+N(INDEX(客户自备加工筐明细!$G$4:$G$1203,$Z211-4000)),IF($Z211&lt;=5800,IF(INDEX(次果筐明细!$G$4:$G$603,$Z211-5200)=0,"",INDEX(次果筐明细!$G$4:$G$603,$Z211-5200)),"")))))</f>
        <v/>
      </c>
      <c r="I211" s="24" t="str">
        <f>IF($Z211="","",IF($Z211&lt;=2000,IF(INDEX(包装物料出入库明细!$G$4:$G$2003,$Z211-0)=0,"",INDEX(包装物料出入库明细!$G$4:$G$2003,$Z211-0)),IF($Z211&lt;=4000,"个",IF($Z211&lt;=5200,"个",IF($Z211&lt;=5800,"个","")))))</f>
        <v/>
      </c>
      <c r="J211" s="30" t="str">
        <f t="shared" si="10"/>
        <v/>
      </c>
      <c r="K211" s="30" t="str">
        <f>IF($Z211="","",IF($Z211&lt;=2000,IF(INDEX(包装物料出入库明细!$N$4:$N$2003,$Z211-0)=0,"",INDEX(包装物料出入库明细!$N$4:$N$2003,$Z211-0)),IF($Z211&lt;=4000,IF(INDEX(周转筐出入库明细!$P$4:$P$2004,$Z211-2000)=0,"",INDEX(周转筐出入库明细!$P$4:$P$2004,$Z211-2000)),IF($Z211&lt;=5200,"",IF($Z211&lt;=5800,N(INDEX(次果筐明细!$L$4:$L$603,$Z211-5200))+N(INDEX(次果筐明细!$J$4:$J$603,$Z211-5200)),"")))))</f>
        <v/>
      </c>
      <c r="L211" s="24" t="str">
        <f>IF($Z211="","",IF($Z211&lt;=2000,IF(INDEX(包装物料出入库明细!$P$4:$P$2003,$Z211-0)=0,"",INDEX(包装物料出入库明细!$P$4:$P$2003,$Z211-0)),IF($Z211&lt;=4000,IF(INDEX(周转筐出入库明细!$Q$4:$Q$2004,$Z211-2000)=0,"",INDEX(周转筐出入库明细!$Q$4:$Q$2004,$Z211-2000)),IF($Z211&lt;=5200,"",IF($Z211&lt;=5800,IF(INDEX(次果筐明细!$M$4:$M$603,$Z211-5200)=0,"",INDEX(次果筐明细!$M$4:$M$603,$Z211-5200)),"")))))</f>
        <v/>
      </c>
      <c r="M211" s="37" t="str">
        <f>IF($Z211="","",IF($Z211&lt;=2000,IF(INDEX(包装物料出入库明细!$R$4:$R$2003,$Z211-0)=0,"",INDEX(包装物料出入库明细!$R$4:$R$2003,$Z211-0)),IF($Z211&lt;=4000,IF(INDEX(周转筐出入库明细!$W$4:$W$2004,$Z211-2000)=0,"",INDEX(周转筐出入库明细!$W$4:$W$2004,$Z211-2000)),IF($Z211&lt;=5200,IF(INDEX(客户自备加工筐明细!$L$4:$L$1203,$Z211-4000)=0,"",INDEX(客户自备加工筐明细!$L$4:$L$1203,$Z211-4000)),IF($Z211&lt;=5800,IF(INDEX(次果筐明细!$P$4:$P$603,$Z211-5200)=0,"",INDEX(次果筐明细!$P$4:$P$603,$Z211-5200)),"")))))</f>
        <v/>
      </c>
      <c r="N211" s="16" t="str">
        <f>IF($Z211="","",IF($Z211&lt;=2000,"",IF($Z211&lt;=4000,IF(INDEX(周转筐出入库明细!$D$4:$D$2004,$Z211-2000)=0,"",INDEX(周转筐出入库明细!$D$4:$D$2004,$Z211-2000)),IF($Z211&lt;=5200,IF(INDEX(客户自备加工筐明细!$C$4:$C$1203,$Z211-4000)=0,"",INDEX(客户自备加工筐明细!$C$4:$C$1203,$Z211-4000)),IF($Z211&lt;=5800,IF(INDEX(次果筐明细!$D$4:$D$603,$Z211-5200)=0,"",INDEX(次果筐明细!$D$4:$D$603,$Z211-5200)),"")))))</f>
        <v/>
      </c>
      <c r="O211" s="40" t="str">
        <f>IF($Z211="","",IF($Z211&lt;=2000,"",IF($Z211&lt;=4000,IF(N(INDEX(周转筐出入库明细!$J$4:$J$2004,$Z211-2000))+N(INDEX(周转筐出入库明细!$K$4:$K$2004,$Z211-2000))=0,"",N(INDEX(周转筐出入库明细!$J$4:$J$2004,$Z211-2000))+N(INDEX(周转筐出入库明细!$K$4:$K$2004,$Z211-2000))),IF($Z211&lt;=5200,IF(N(INDEX(客户自备加工筐明细!$G$4:$G$1203,$Z211-4000))=0,"",N(INDEX(客户自备加工筐明细!$G$4:$G$1203,$Z211-4000))),IF($Z211&lt;=5800,IF(ISNUMBER(SEARCH("退",INDEX(次果筐明细!$F$4:$F$603,$Z211-5200)&amp;"")),"",IF(N(INDEX(次果筐明细!$G$4:$G$603,$Z211-5200))=0,"",N(INDEX(次果筐明细!$G$4:$G$603,$Z211-5200)))),"")))))</f>
        <v/>
      </c>
      <c r="P211" s="40" t="str">
        <f>IF($Z211="","",IF($Z211&lt;=2000,"",IF($Z211&lt;=4000,IF(N(INDEX(周转筐出入库明细!$I$4:$I$2004,$Z211-2000))=0,"",N(INDEX(周转筐出入库明细!$I$4:$I$2004,$Z211-2000))),IF($Z211&lt;=5200,"",IF($Z211&lt;=5800,IF(ISNUMBER(SEARCH("退",INDEX(次果筐明细!$F$4:$F$603,$Z211-5200)&amp;"")),IF(N(INDEX(次果筐明细!$G$4:$G$603,$Z211-5200))=0,"",N(INDEX(次果筐明细!$G$4:$G$603,$Z211-5200))),""),"")))))</f>
        <v/>
      </c>
      <c r="Q211" s="40" t="str">
        <f>IF($Z211="","",IF($Z211&lt;=2000,"",IF($Z211&lt;=4000,IF(N(INDEX(周转筐出入库明细!$H$4:$H$2004,$Z211-2000))=0,"",N(INDEX(周转筐出入库明细!$H$4:$H$2004,$Z211-2000))),IF($Z211&lt;=5200,IF(N(INDEX(客户自备加工筐明细!$F$4:$F$1203,$Z211-4000))=0,"",N(INDEX(客户自备加工筐明细!$F$4:$F$1203,$Z211-4000))),IF($Z211&lt;=5800,"","")))))</f>
        <v/>
      </c>
      <c r="R211" s="16" t="str">
        <f>IF($Z211="","",IF($Z211&lt;=2000,IF(INDEX(包装物料出入库明细!$O$4:$O$2003,$Z211-0)=0,"",INDEX(包装物料出入库明细!$O$4:$O$2003,$Z211-0)),IF($Z211&lt;=4000,IF(INDEX(周转筐出入库明细!$M$4:$M$2004,$Z211-2000)=0,"",INDEX(周转筐出入库明细!$M$4:$M$2004,$Z211-2000)),IF($Z211&lt;=5200,IF(INDEX(客户自备加工筐明细!$H$4:$H$1203,$Z211-4000)=0,"",INDEX(客户自备加工筐明细!$H$4:$H$1203,$Z211-4000)),IF($Z211&lt;=5800,IF(INDEX(次果筐明细!$H$4:$H$603,$Z211-5200)=0,"",INDEX(次果筐明细!$H$4:$H$603,$Z211-5200)),"")))))</f>
        <v/>
      </c>
      <c r="S211" s="22" t="str">
        <f t="shared" si="11"/>
        <v/>
      </c>
      <c r="Z211" s="10" t="str">
        <f>IFERROR(MATCH(ROW()-3,_自动清单!$CQ$4:$CQ$5803,0),"")</f>
        <v/>
      </c>
    </row>
    <row r="212" spans="1:26">
      <c r="A212" s="24" t="str">
        <f t="shared" si="9"/>
        <v/>
      </c>
      <c r="B212" s="38" t="str">
        <f>IF($Z212="","",IF($Z212&lt;=2000,IF(INDEX(包装物料出入库明细!$B$4:$B$2003,$Z212-0)=0,"",INDEX(包装物料出入库明细!$B$4:$B$2003,$Z212-0)),IF($Z212&lt;=4000,IF(INDEX(周转筐出入库明细!$B$4:$B$2004,$Z212-2000)=0,"",INDEX(周转筐出入库明细!$B$4:$B$2004,$Z212-2000)),IF($Z212&lt;=5200,IF(INDEX(客户自备加工筐明细!$B$4:$B$1203,$Z212-4000)=0,"",INDEX(客户自备加工筐明细!$B$4:$B$1203,$Z212-4000)),IF($Z212&lt;=5800,IF(INDEX(次果筐明细!$B$4:$B$603,$Z212-5200)=0,"",INDEX(次果筐明细!$B$4:$B$603,$Z212-5200)),"")))))</f>
        <v/>
      </c>
      <c r="C212" s="37" t="str">
        <f>IF($Z212="","",IF($Z212&lt;=2000,IF(INDEX(包装物料出入库明细!$D$4:$D$2003,$Z212-0)=0,"",INDEX(包装物料出入库明细!$D$4:$D$2003,$Z212-0)),IF($Z212&lt;=4000,IF(INDEX(周转筐出入库明细!$C$4:$C$2004,$Z212-2000)=0,"",INDEX(周转筐出入库明细!$C$4:$C$2004,$Z212-2000)),IF($Z212&lt;=5200,IF(INDEX(客户自备加工筐明细!$E$4:$E$1203,$Z212-4000)=0,"",INDEX(客户自备加工筐明细!$E$4:$E$1203,$Z212-4000)),IF($Z212&lt;=5800,IF(INDEX(次果筐明细!$C$4:$C$603,$Z212-5200)=0,"",INDEX(次果筐明细!$C$4:$C$603,$Z212-5200)),"")))))</f>
        <v/>
      </c>
      <c r="D212" s="37" t="str">
        <f>IF($Z212="","",IF($Z212&lt;=2000,"包装物料－"&amp;INDEX(包装物料出入库明细!$H$4:$H$2003,$Z212-0),IF($Z212&lt;=4000,"周转筐－"&amp;INDEX(周转筐出入库明细!$F$4:$F$2004,$Z212-2000),IF($Z212&lt;=5200,"客户自备筐－"&amp;INDEX(客户自备加工筐明细!$J$4:$J$1203,$Z212-4000),IF($Z212&lt;=5800,"次果筐/托盘－"&amp;INDEX(次果筐明细!$F$4:$F$603,$Z212-5200),"")))))</f>
        <v/>
      </c>
      <c r="E212" s="24" t="str">
        <f>IF($Z212="","",IF($Z212&lt;=2000,IF(INDEX(包装物料出入库明细!$C$4:$C$2003,$Z212-0)=0,"",INDEX(包装物料出入库明细!$C$4:$C$2003,$Z212-0)),IF($Z212&lt;=4000,IF(INDEX(周转筐出入库明细!$E$4:$E$2004,$Z212-2000)=0,"",INDEX(周转筐出入库明细!$E$4:$E$2004,$Z212-2000)),IF($Z212&lt;=5200,IF(INDEX(客户自备加工筐明细!$D$4:$D$1203,$Z212-4000)=0,"",INDEX(客户自备加工筐明细!$D$4:$D$1203,$Z212-4000)),IF($Z212&lt;=5800,IF(INDEX(次果筐明细!$E$4:$E$603,$Z212-5200)=0,"",INDEX(次果筐明细!$E$4:$E$603,$Z212-5200)),"")))))</f>
        <v/>
      </c>
      <c r="F212" s="24" t="str">
        <f>IF($Z212="","",IF($Z212&lt;=2000,IF(INDEX(包装物料出入库明细!$E$4:$E$2003,$Z212-0)=0,"",INDEX(包装物料出入库明细!$E$4:$E$2003,$Z212-0)),IF($Z212&lt;=4000,IF(INDEX(周转筐出入库明细!$D$4:$D$2004,$Z212-2000)=0,"",INDEX(周转筐出入库明细!$D$4:$D$2004,$Z212-2000)),IF($Z212&lt;=5200,IF(INDEX(客户自备加工筐明细!$C$4:$C$1203,$Z212-4000)=0,"",INDEX(客户自备加工筐明细!$C$4:$C$1203,$Z212-4000)),IF($Z212&lt;=5800,IF(INDEX(次果筐明细!$D$4:$D$603,$Z212-5200)=0,"",INDEX(次果筐明细!$D$4:$D$603,$Z212-5200)),"")))))</f>
        <v/>
      </c>
      <c r="G212" s="24" t="str">
        <f>IF($Z212="","",IF($Z212&lt;=2000,IF(INDEX(包装物料出入库明细!$F$4:$F$2003,$Z212-0)=0,"",INDEX(包装物料出入库明细!$F$4:$F$2003,$Z212-0)),IF($Z212&lt;=4000,"",IF($Z212&lt;=5200,"",IF($Z212&lt;=5800,"","")))))</f>
        <v/>
      </c>
      <c r="H212" s="39" t="str">
        <f>IF($Z212="","",IF($Z212&lt;=2000,IF(INDEX(包装物料出入库明细!$L$4:$L$2003,$Z212-0)=0,"",INDEX(包装物料出入库明细!$L$4:$L$2003,$Z212-0)),IF($Z212&lt;=4000,N(INDEX(周转筐出入库明细!$H$4:$H$2004,$Z212-2000))+N(INDEX(周转筐出入库明细!$I$4:$I$2004,$Z212-2000))+N(INDEX(周转筐出入库明细!$J$4:$J$2004,$Z212-2000))+N(INDEX(周转筐出入库明细!$K$4:$K$2004,$Z212-2000)),IF($Z212&lt;=5200,N(INDEX(客户自备加工筐明细!$F$4:$F$1203,$Z212-4000))+N(INDEX(客户自备加工筐明细!$G$4:$G$1203,$Z212-4000)),IF($Z212&lt;=5800,IF(INDEX(次果筐明细!$G$4:$G$603,$Z212-5200)=0,"",INDEX(次果筐明细!$G$4:$G$603,$Z212-5200)),"")))))</f>
        <v/>
      </c>
      <c r="I212" s="24" t="str">
        <f>IF($Z212="","",IF($Z212&lt;=2000,IF(INDEX(包装物料出入库明细!$G$4:$G$2003,$Z212-0)=0,"",INDEX(包装物料出入库明细!$G$4:$G$2003,$Z212-0)),IF($Z212&lt;=4000,"个",IF($Z212&lt;=5200,"个",IF($Z212&lt;=5800,"个","")))))</f>
        <v/>
      </c>
      <c r="J212" s="30" t="str">
        <f t="shared" si="10"/>
        <v/>
      </c>
      <c r="K212" s="30" t="str">
        <f>IF($Z212="","",IF($Z212&lt;=2000,IF(INDEX(包装物料出入库明细!$N$4:$N$2003,$Z212-0)=0,"",INDEX(包装物料出入库明细!$N$4:$N$2003,$Z212-0)),IF($Z212&lt;=4000,IF(INDEX(周转筐出入库明细!$P$4:$P$2004,$Z212-2000)=0,"",INDEX(周转筐出入库明细!$P$4:$P$2004,$Z212-2000)),IF($Z212&lt;=5200,"",IF($Z212&lt;=5800,N(INDEX(次果筐明细!$L$4:$L$603,$Z212-5200))+N(INDEX(次果筐明细!$J$4:$J$603,$Z212-5200)),"")))))</f>
        <v/>
      </c>
      <c r="L212" s="24" t="str">
        <f>IF($Z212="","",IF($Z212&lt;=2000,IF(INDEX(包装物料出入库明细!$P$4:$P$2003,$Z212-0)=0,"",INDEX(包装物料出入库明细!$P$4:$P$2003,$Z212-0)),IF($Z212&lt;=4000,IF(INDEX(周转筐出入库明细!$Q$4:$Q$2004,$Z212-2000)=0,"",INDEX(周转筐出入库明细!$Q$4:$Q$2004,$Z212-2000)),IF($Z212&lt;=5200,"",IF($Z212&lt;=5800,IF(INDEX(次果筐明细!$M$4:$M$603,$Z212-5200)=0,"",INDEX(次果筐明细!$M$4:$M$603,$Z212-5200)),"")))))</f>
        <v/>
      </c>
      <c r="M212" s="37" t="str">
        <f>IF($Z212="","",IF($Z212&lt;=2000,IF(INDEX(包装物料出入库明细!$R$4:$R$2003,$Z212-0)=0,"",INDEX(包装物料出入库明细!$R$4:$R$2003,$Z212-0)),IF($Z212&lt;=4000,IF(INDEX(周转筐出入库明细!$W$4:$W$2004,$Z212-2000)=0,"",INDEX(周转筐出入库明细!$W$4:$W$2004,$Z212-2000)),IF($Z212&lt;=5200,IF(INDEX(客户自备加工筐明细!$L$4:$L$1203,$Z212-4000)=0,"",INDEX(客户自备加工筐明细!$L$4:$L$1203,$Z212-4000)),IF($Z212&lt;=5800,IF(INDEX(次果筐明细!$P$4:$P$603,$Z212-5200)=0,"",INDEX(次果筐明细!$P$4:$P$603,$Z212-5200)),"")))))</f>
        <v/>
      </c>
      <c r="N212" s="16" t="str">
        <f>IF($Z212="","",IF($Z212&lt;=2000,"",IF($Z212&lt;=4000,IF(INDEX(周转筐出入库明细!$D$4:$D$2004,$Z212-2000)=0,"",INDEX(周转筐出入库明细!$D$4:$D$2004,$Z212-2000)),IF($Z212&lt;=5200,IF(INDEX(客户自备加工筐明细!$C$4:$C$1203,$Z212-4000)=0,"",INDEX(客户自备加工筐明细!$C$4:$C$1203,$Z212-4000)),IF($Z212&lt;=5800,IF(INDEX(次果筐明细!$D$4:$D$603,$Z212-5200)=0,"",INDEX(次果筐明细!$D$4:$D$603,$Z212-5200)),"")))))</f>
        <v/>
      </c>
      <c r="O212" s="40" t="str">
        <f>IF($Z212="","",IF($Z212&lt;=2000,"",IF($Z212&lt;=4000,IF(N(INDEX(周转筐出入库明细!$J$4:$J$2004,$Z212-2000))+N(INDEX(周转筐出入库明细!$K$4:$K$2004,$Z212-2000))=0,"",N(INDEX(周转筐出入库明细!$J$4:$J$2004,$Z212-2000))+N(INDEX(周转筐出入库明细!$K$4:$K$2004,$Z212-2000))),IF($Z212&lt;=5200,IF(N(INDEX(客户自备加工筐明细!$G$4:$G$1203,$Z212-4000))=0,"",N(INDEX(客户自备加工筐明细!$G$4:$G$1203,$Z212-4000))),IF($Z212&lt;=5800,IF(ISNUMBER(SEARCH("退",INDEX(次果筐明细!$F$4:$F$603,$Z212-5200)&amp;"")),"",IF(N(INDEX(次果筐明细!$G$4:$G$603,$Z212-5200))=0,"",N(INDEX(次果筐明细!$G$4:$G$603,$Z212-5200)))),"")))))</f>
        <v/>
      </c>
      <c r="P212" s="40" t="str">
        <f>IF($Z212="","",IF($Z212&lt;=2000,"",IF($Z212&lt;=4000,IF(N(INDEX(周转筐出入库明细!$I$4:$I$2004,$Z212-2000))=0,"",N(INDEX(周转筐出入库明细!$I$4:$I$2004,$Z212-2000))),IF($Z212&lt;=5200,"",IF($Z212&lt;=5800,IF(ISNUMBER(SEARCH("退",INDEX(次果筐明细!$F$4:$F$603,$Z212-5200)&amp;"")),IF(N(INDEX(次果筐明细!$G$4:$G$603,$Z212-5200))=0,"",N(INDEX(次果筐明细!$G$4:$G$603,$Z212-5200))),""),"")))))</f>
        <v/>
      </c>
      <c r="Q212" s="40" t="str">
        <f>IF($Z212="","",IF($Z212&lt;=2000,"",IF($Z212&lt;=4000,IF(N(INDEX(周转筐出入库明细!$H$4:$H$2004,$Z212-2000))=0,"",N(INDEX(周转筐出入库明细!$H$4:$H$2004,$Z212-2000))),IF($Z212&lt;=5200,IF(N(INDEX(客户自备加工筐明细!$F$4:$F$1203,$Z212-4000))=0,"",N(INDEX(客户自备加工筐明细!$F$4:$F$1203,$Z212-4000))),IF($Z212&lt;=5800,"","")))))</f>
        <v/>
      </c>
      <c r="R212" s="16" t="str">
        <f>IF($Z212="","",IF($Z212&lt;=2000,IF(INDEX(包装物料出入库明细!$O$4:$O$2003,$Z212-0)=0,"",INDEX(包装物料出入库明细!$O$4:$O$2003,$Z212-0)),IF($Z212&lt;=4000,IF(INDEX(周转筐出入库明细!$M$4:$M$2004,$Z212-2000)=0,"",INDEX(周转筐出入库明细!$M$4:$M$2004,$Z212-2000)),IF($Z212&lt;=5200,IF(INDEX(客户自备加工筐明细!$H$4:$H$1203,$Z212-4000)=0,"",INDEX(客户自备加工筐明细!$H$4:$H$1203,$Z212-4000)),IF($Z212&lt;=5800,IF(INDEX(次果筐明细!$H$4:$H$603,$Z212-5200)=0,"",INDEX(次果筐明细!$H$4:$H$603,$Z212-5200)),"")))))</f>
        <v/>
      </c>
      <c r="S212" s="22" t="str">
        <f t="shared" si="11"/>
        <v/>
      </c>
      <c r="Z212" s="10" t="str">
        <f>IFERROR(MATCH(ROW()-3,_自动清单!$CQ$4:$CQ$5803,0),"")</f>
        <v/>
      </c>
    </row>
    <row r="213" spans="1:26">
      <c r="A213" s="24" t="str">
        <f t="shared" si="9"/>
        <v/>
      </c>
      <c r="B213" s="38" t="str">
        <f>IF($Z213="","",IF($Z213&lt;=2000,IF(INDEX(包装物料出入库明细!$B$4:$B$2003,$Z213-0)=0,"",INDEX(包装物料出入库明细!$B$4:$B$2003,$Z213-0)),IF($Z213&lt;=4000,IF(INDEX(周转筐出入库明细!$B$4:$B$2004,$Z213-2000)=0,"",INDEX(周转筐出入库明细!$B$4:$B$2004,$Z213-2000)),IF($Z213&lt;=5200,IF(INDEX(客户自备加工筐明细!$B$4:$B$1203,$Z213-4000)=0,"",INDEX(客户自备加工筐明细!$B$4:$B$1203,$Z213-4000)),IF($Z213&lt;=5800,IF(INDEX(次果筐明细!$B$4:$B$603,$Z213-5200)=0,"",INDEX(次果筐明细!$B$4:$B$603,$Z213-5200)),"")))))</f>
        <v/>
      </c>
      <c r="C213" s="37" t="str">
        <f>IF($Z213="","",IF($Z213&lt;=2000,IF(INDEX(包装物料出入库明细!$D$4:$D$2003,$Z213-0)=0,"",INDEX(包装物料出入库明细!$D$4:$D$2003,$Z213-0)),IF($Z213&lt;=4000,IF(INDEX(周转筐出入库明细!$C$4:$C$2004,$Z213-2000)=0,"",INDEX(周转筐出入库明细!$C$4:$C$2004,$Z213-2000)),IF($Z213&lt;=5200,IF(INDEX(客户自备加工筐明细!$E$4:$E$1203,$Z213-4000)=0,"",INDEX(客户自备加工筐明细!$E$4:$E$1203,$Z213-4000)),IF($Z213&lt;=5800,IF(INDEX(次果筐明细!$C$4:$C$603,$Z213-5200)=0,"",INDEX(次果筐明细!$C$4:$C$603,$Z213-5200)),"")))))</f>
        <v/>
      </c>
      <c r="D213" s="37" t="str">
        <f>IF($Z213="","",IF($Z213&lt;=2000,"包装物料－"&amp;INDEX(包装物料出入库明细!$H$4:$H$2003,$Z213-0),IF($Z213&lt;=4000,"周转筐－"&amp;INDEX(周转筐出入库明细!$F$4:$F$2004,$Z213-2000),IF($Z213&lt;=5200,"客户自备筐－"&amp;INDEX(客户自备加工筐明细!$J$4:$J$1203,$Z213-4000),IF($Z213&lt;=5800,"次果筐/托盘－"&amp;INDEX(次果筐明细!$F$4:$F$603,$Z213-5200),"")))))</f>
        <v/>
      </c>
      <c r="E213" s="24" t="str">
        <f>IF($Z213="","",IF($Z213&lt;=2000,IF(INDEX(包装物料出入库明细!$C$4:$C$2003,$Z213-0)=0,"",INDEX(包装物料出入库明细!$C$4:$C$2003,$Z213-0)),IF($Z213&lt;=4000,IF(INDEX(周转筐出入库明细!$E$4:$E$2004,$Z213-2000)=0,"",INDEX(周转筐出入库明细!$E$4:$E$2004,$Z213-2000)),IF($Z213&lt;=5200,IF(INDEX(客户自备加工筐明细!$D$4:$D$1203,$Z213-4000)=0,"",INDEX(客户自备加工筐明细!$D$4:$D$1203,$Z213-4000)),IF($Z213&lt;=5800,IF(INDEX(次果筐明细!$E$4:$E$603,$Z213-5200)=0,"",INDEX(次果筐明细!$E$4:$E$603,$Z213-5200)),"")))))</f>
        <v/>
      </c>
      <c r="F213" s="24" t="str">
        <f>IF($Z213="","",IF($Z213&lt;=2000,IF(INDEX(包装物料出入库明细!$E$4:$E$2003,$Z213-0)=0,"",INDEX(包装物料出入库明细!$E$4:$E$2003,$Z213-0)),IF($Z213&lt;=4000,IF(INDEX(周转筐出入库明细!$D$4:$D$2004,$Z213-2000)=0,"",INDEX(周转筐出入库明细!$D$4:$D$2004,$Z213-2000)),IF($Z213&lt;=5200,IF(INDEX(客户自备加工筐明细!$C$4:$C$1203,$Z213-4000)=0,"",INDEX(客户自备加工筐明细!$C$4:$C$1203,$Z213-4000)),IF($Z213&lt;=5800,IF(INDEX(次果筐明细!$D$4:$D$603,$Z213-5200)=0,"",INDEX(次果筐明细!$D$4:$D$603,$Z213-5200)),"")))))</f>
        <v/>
      </c>
      <c r="G213" s="24" t="str">
        <f>IF($Z213="","",IF($Z213&lt;=2000,IF(INDEX(包装物料出入库明细!$F$4:$F$2003,$Z213-0)=0,"",INDEX(包装物料出入库明细!$F$4:$F$2003,$Z213-0)),IF($Z213&lt;=4000,"",IF($Z213&lt;=5200,"",IF($Z213&lt;=5800,"","")))))</f>
        <v/>
      </c>
      <c r="H213" s="39" t="str">
        <f>IF($Z213="","",IF($Z213&lt;=2000,IF(INDEX(包装物料出入库明细!$L$4:$L$2003,$Z213-0)=0,"",INDEX(包装物料出入库明细!$L$4:$L$2003,$Z213-0)),IF($Z213&lt;=4000,N(INDEX(周转筐出入库明细!$H$4:$H$2004,$Z213-2000))+N(INDEX(周转筐出入库明细!$I$4:$I$2004,$Z213-2000))+N(INDEX(周转筐出入库明细!$J$4:$J$2004,$Z213-2000))+N(INDEX(周转筐出入库明细!$K$4:$K$2004,$Z213-2000)),IF($Z213&lt;=5200,N(INDEX(客户自备加工筐明细!$F$4:$F$1203,$Z213-4000))+N(INDEX(客户自备加工筐明细!$G$4:$G$1203,$Z213-4000)),IF($Z213&lt;=5800,IF(INDEX(次果筐明细!$G$4:$G$603,$Z213-5200)=0,"",INDEX(次果筐明细!$G$4:$G$603,$Z213-5200)),"")))))</f>
        <v/>
      </c>
      <c r="I213" s="24" t="str">
        <f>IF($Z213="","",IF($Z213&lt;=2000,IF(INDEX(包装物料出入库明细!$G$4:$G$2003,$Z213-0)=0,"",INDEX(包装物料出入库明细!$G$4:$G$2003,$Z213-0)),IF($Z213&lt;=4000,"个",IF($Z213&lt;=5200,"个",IF($Z213&lt;=5800,"个","")))))</f>
        <v/>
      </c>
      <c r="J213" s="30" t="str">
        <f t="shared" si="10"/>
        <v/>
      </c>
      <c r="K213" s="30" t="str">
        <f>IF($Z213="","",IF($Z213&lt;=2000,IF(INDEX(包装物料出入库明细!$N$4:$N$2003,$Z213-0)=0,"",INDEX(包装物料出入库明细!$N$4:$N$2003,$Z213-0)),IF($Z213&lt;=4000,IF(INDEX(周转筐出入库明细!$P$4:$P$2004,$Z213-2000)=0,"",INDEX(周转筐出入库明细!$P$4:$P$2004,$Z213-2000)),IF($Z213&lt;=5200,"",IF($Z213&lt;=5800,N(INDEX(次果筐明细!$L$4:$L$603,$Z213-5200))+N(INDEX(次果筐明细!$J$4:$J$603,$Z213-5200)),"")))))</f>
        <v/>
      </c>
      <c r="L213" s="24" t="str">
        <f>IF($Z213="","",IF($Z213&lt;=2000,IF(INDEX(包装物料出入库明细!$P$4:$P$2003,$Z213-0)=0,"",INDEX(包装物料出入库明细!$P$4:$P$2003,$Z213-0)),IF($Z213&lt;=4000,IF(INDEX(周转筐出入库明细!$Q$4:$Q$2004,$Z213-2000)=0,"",INDEX(周转筐出入库明细!$Q$4:$Q$2004,$Z213-2000)),IF($Z213&lt;=5200,"",IF($Z213&lt;=5800,IF(INDEX(次果筐明细!$M$4:$M$603,$Z213-5200)=0,"",INDEX(次果筐明细!$M$4:$M$603,$Z213-5200)),"")))))</f>
        <v/>
      </c>
      <c r="M213" s="37" t="str">
        <f>IF($Z213="","",IF($Z213&lt;=2000,IF(INDEX(包装物料出入库明细!$R$4:$R$2003,$Z213-0)=0,"",INDEX(包装物料出入库明细!$R$4:$R$2003,$Z213-0)),IF($Z213&lt;=4000,IF(INDEX(周转筐出入库明细!$W$4:$W$2004,$Z213-2000)=0,"",INDEX(周转筐出入库明细!$W$4:$W$2004,$Z213-2000)),IF($Z213&lt;=5200,IF(INDEX(客户自备加工筐明细!$L$4:$L$1203,$Z213-4000)=0,"",INDEX(客户自备加工筐明细!$L$4:$L$1203,$Z213-4000)),IF($Z213&lt;=5800,IF(INDEX(次果筐明细!$P$4:$P$603,$Z213-5200)=0,"",INDEX(次果筐明细!$P$4:$P$603,$Z213-5200)),"")))))</f>
        <v/>
      </c>
      <c r="N213" s="16" t="str">
        <f>IF($Z213="","",IF($Z213&lt;=2000,"",IF($Z213&lt;=4000,IF(INDEX(周转筐出入库明细!$D$4:$D$2004,$Z213-2000)=0,"",INDEX(周转筐出入库明细!$D$4:$D$2004,$Z213-2000)),IF($Z213&lt;=5200,IF(INDEX(客户自备加工筐明细!$C$4:$C$1203,$Z213-4000)=0,"",INDEX(客户自备加工筐明细!$C$4:$C$1203,$Z213-4000)),IF($Z213&lt;=5800,IF(INDEX(次果筐明细!$D$4:$D$603,$Z213-5200)=0,"",INDEX(次果筐明细!$D$4:$D$603,$Z213-5200)),"")))))</f>
        <v/>
      </c>
      <c r="O213" s="40" t="str">
        <f>IF($Z213="","",IF($Z213&lt;=2000,"",IF($Z213&lt;=4000,IF(N(INDEX(周转筐出入库明细!$J$4:$J$2004,$Z213-2000))+N(INDEX(周转筐出入库明细!$K$4:$K$2004,$Z213-2000))=0,"",N(INDEX(周转筐出入库明细!$J$4:$J$2004,$Z213-2000))+N(INDEX(周转筐出入库明细!$K$4:$K$2004,$Z213-2000))),IF($Z213&lt;=5200,IF(N(INDEX(客户自备加工筐明细!$G$4:$G$1203,$Z213-4000))=0,"",N(INDEX(客户自备加工筐明细!$G$4:$G$1203,$Z213-4000))),IF($Z213&lt;=5800,IF(ISNUMBER(SEARCH("退",INDEX(次果筐明细!$F$4:$F$603,$Z213-5200)&amp;"")),"",IF(N(INDEX(次果筐明细!$G$4:$G$603,$Z213-5200))=0,"",N(INDEX(次果筐明细!$G$4:$G$603,$Z213-5200)))),"")))))</f>
        <v/>
      </c>
      <c r="P213" s="40" t="str">
        <f>IF($Z213="","",IF($Z213&lt;=2000,"",IF($Z213&lt;=4000,IF(N(INDEX(周转筐出入库明细!$I$4:$I$2004,$Z213-2000))=0,"",N(INDEX(周转筐出入库明细!$I$4:$I$2004,$Z213-2000))),IF($Z213&lt;=5200,"",IF($Z213&lt;=5800,IF(ISNUMBER(SEARCH("退",INDEX(次果筐明细!$F$4:$F$603,$Z213-5200)&amp;"")),IF(N(INDEX(次果筐明细!$G$4:$G$603,$Z213-5200))=0,"",N(INDEX(次果筐明细!$G$4:$G$603,$Z213-5200))),""),"")))))</f>
        <v/>
      </c>
      <c r="Q213" s="40" t="str">
        <f>IF($Z213="","",IF($Z213&lt;=2000,"",IF($Z213&lt;=4000,IF(N(INDEX(周转筐出入库明细!$H$4:$H$2004,$Z213-2000))=0,"",N(INDEX(周转筐出入库明细!$H$4:$H$2004,$Z213-2000))),IF($Z213&lt;=5200,IF(N(INDEX(客户自备加工筐明细!$F$4:$F$1203,$Z213-4000))=0,"",N(INDEX(客户自备加工筐明细!$F$4:$F$1203,$Z213-4000))),IF($Z213&lt;=5800,"","")))))</f>
        <v/>
      </c>
      <c r="R213" s="16" t="str">
        <f>IF($Z213="","",IF($Z213&lt;=2000,IF(INDEX(包装物料出入库明细!$O$4:$O$2003,$Z213-0)=0,"",INDEX(包装物料出入库明细!$O$4:$O$2003,$Z213-0)),IF($Z213&lt;=4000,IF(INDEX(周转筐出入库明细!$M$4:$M$2004,$Z213-2000)=0,"",INDEX(周转筐出入库明细!$M$4:$M$2004,$Z213-2000)),IF($Z213&lt;=5200,IF(INDEX(客户自备加工筐明细!$H$4:$H$1203,$Z213-4000)=0,"",INDEX(客户自备加工筐明细!$H$4:$H$1203,$Z213-4000)),IF($Z213&lt;=5800,IF(INDEX(次果筐明细!$H$4:$H$603,$Z213-5200)=0,"",INDEX(次果筐明细!$H$4:$H$603,$Z213-5200)),"")))))</f>
        <v/>
      </c>
      <c r="S213" s="22" t="str">
        <f t="shared" si="11"/>
        <v/>
      </c>
      <c r="Z213" s="10" t="str">
        <f>IFERROR(MATCH(ROW()-3,_自动清单!$CQ$4:$CQ$5803,0),"")</f>
        <v/>
      </c>
    </row>
    <row r="214" spans="1:26">
      <c r="A214" s="24" t="str">
        <f t="shared" si="9"/>
        <v/>
      </c>
      <c r="B214" s="38" t="str">
        <f>IF($Z214="","",IF($Z214&lt;=2000,IF(INDEX(包装物料出入库明细!$B$4:$B$2003,$Z214-0)=0,"",INDEX(包装物料出入库明细!$B$4:$B$2003,$Z214-0)),IF($Z214&lt;=4000,IF(INDEX(周转筐出入库明细!$B$4:$B$2004,$Z214-2000)=0,"",INDEX(周转筐出入库明细!$B$4:$B$2004,$Z214-2000)),IF($Z214&lt;=5200,IF(INDEX(客户自备加工筐明细!$B$4:$B$1203,$Z214-4000)=0,"",INDEX(客户自备加工筐明细!$B$4:$B$1203,$Z214-4000)),IF($Z214&lt;=5800,IF(INDEX(次果筐明细!$B$4:$B$603,$Z214-5200)=0,"",INDEX(次果筐明细!$B$4:$B$603,$Z214-5200)),"")))))</f>
        <v/>
      </c>
      <c r="C214" s="37" t="str">
        <f>IF($Z214="","",IF($Z214&lt;=2000,IF(INDEX(包装物料出入库明细!$D$4:$D$2003,$Z214-0)=0,"",INDEX(包装物料出入库明细!$D$4:$D$2003,$Z214-0)),IF($Z214&lt;=4000,IF(INDEX(周转筐出入库明细!$C$4:$C$2004,$Z214-2000)=0,"",INDEX(周转筐出入库明细!$C$4:$C$2004,$Z214-2000)),IF($Z214&lt;=5200,IF(INDEX(客户自备加工筐明细!$E$4:$E$1203,$Z214-4000)=0,"",INDEX(客户自备加工筐明细!$E$4:$E$1203,$Z214-4000)),IF($Z214&lt;=5800,IF(INDEX(次果筐明细!$C$4:$C$603,$Z214-5200)=0,"",INDEX(次果筐明细!$C$4:$C$603,$Z214-5200)),"")))))</f>
        <v/>
      </c>
      <c r="D214" s="37" t="str">
        <f>IF($Z214="","",IF($Z214&lt;=2000,"包装物料－"&amp;INDEX(包装物料出入库明细!$H$4:$H$2003,$Z214-0),IF($Z214&lt;=4000,"周转筐－"&amp;INDEX(周转筐出入库明细!$F$4:$F$2004,$Z214-2000),IF($Z214&lt;=5200,"客户自备筐－"&amp;INDEX(客户自备加工筐明细!$J$4:$J$1203,$Z214-4000),IF($Z214&lt;=5800,"次果筐/托盘－"&amp;INDEX(次果筐明细!$F$4:$F$603,$Z214-5200),"")))))</f>
        <v/>
      </c>
      <c r="E214" s="24" t="str">
        <f>IF($Z214="","",IF($Z214&lt;=2000,IF(INDEX(包装物料出入库明细!$C$4:$C$2003,$Z214-0)=0,"",INDEX(包装物料出入库明细!$C$4:$C$2003,$Z214-0)),IF($Z214&lt;=4000,IF(INDEX(周转筐出入库明细!$E$4:$E$2004,$Z214-2000)=0,"",INDEX(周转筐出入库明细!$E$4:$E$2004,$Z214-2000)),IF($Z214&lt;=5200,IF(INDEX(客户自备加工筐明细!$D$4:$D$1203,$Z214-4000)=0,"",INDEX(客户自备加工筐明细!$D$4:$D$1203,$Z214-4000)),IF($Z214&lt;=5800,IF(INDEX(次果筐明细!$E$4:$E$603,$Z214-5200)=0,"",INDEX(次果筐明细!$E$4:$E$603,$Z214-5200)),"")))))</f>
        <v/>
      </c>
      <c r="F214" s="24" t="str">
        <f>IF($Z214="","",IF($Z214&lt;=2000,IF(INDEX(包装物料出入库明细!$E$4:$E$2003,$Z214-0)=0,"",INDEX(包装物料出入库明细!$E$4:$E$2003,$Z214-0)),IF($Z214&lt;=4000,IF(INDEX(周转筐出入库明细!$D$4:$D$2004,$Z214-2000)=0,"",INDEX(周转筐出入库明细!$D$4:$D$2004,$Z214-2000)),IF($Z214&lt;=5200,IF(INDEX(客户自备加工筐明细!$C$4:$C$1203,$Z214-4000)=0,"",INDEX(客户自备加工筐明细!$C$4:$C$1203,$Z214-4000)),IF($Z214&lt;=5800,IF(INDEX(次果筐明细!$D$4:$D$603,$Z214-5200)=0,"",INDEX(次果筐明细!$D$4:$D$603,$Z214-5200)),"")))))</f>
        <v/>
      </c>
      <c r="G214" s="24" t="str">
        <f>IF($Z214="","",IF($Z214&lt;=2000,IF(INDEX(包装物料出入库明细!$F$4:$F$2003,$Z214-0)=0,"",INDEX(包装物料出入库明细!$F$4:$F$2003,$Z214-0)),IF($Z214&lt;=4000,"",IF($Z214&lt;=5200,"",IF($Z214&lt;=5800,"","")))))</f>
        <v/>
      </c>
      <c r="H214" s="39" t="str">
        <f>IF($Z214="","",IF($Z214&lt;=2000,IF(INDEX(包装物料出入库明细!$L$4:$L$2003,$Z214-0)=0,"",INDEX(包装物料出入库明细!$L$4:$L$2003,$Z214-0)),IF($Z214&lt;=4000,N(INDEX(周转筐出入库明细!$H$4:$H$2004,$Z214-2000))+N(INDEX(周转筐出入库明细!$I$4:$I$2004,$Z214-2000))+N(INDEX(周转筐出入库明细!$J$4:$J$2004,$Z214-2000))+N(INDEX(周转筐出入库明细!$K$4:$K$2004,$Z214-2000)),IF($Z214&lt;=5200,N(INDEX(客户自备加工筐明细!$F$4:$F$1203,$Z214-4000))+N(INDEX(客户自备加工筐明细!$G$4:$G$1203,$Z214-4000)),IF($Z214&lt;=5800,IF(INDEX(次果筐明细!$G$4:$G$603,$Z214-5200)=0,"",INDEX(次果筐明细!$G$4:$G$603,$Z214-5200)),"")))))</f>
        <v/>
      </c>
      <c r="I214" s="24" t="str">
        <f>IF($Z214="","",IF($Z214&lt;=2000,IF(INDEX(包装物料出入库明细!$G$4:$G$2003,$Z214-0)=0,"",INDEX(包装物料出入库明细!$G$4:$G$2003,$Z214-0)),IF($Z214&lt;=4000,"个",IF($Z214&lt;=5200,"个",IF($Z214&lt;=5800,"个","")))))</f>
        <v/>
      </c>
      <c r="J214" s="30" t="str">
        <f t="shared" si="10"/>
        <v/>
      </c>
      <c r="K214" s="30" t="str">
        <f>IF($Z214="","",IF($Z214&lt;=2000,IF(INDEX(包装物料出入库明细!$N$4:$N$2003,$Z214-0)=0,"",INDEX(包装物料出入库明细!$N$4:$N$2003,$Z214-0)),IF($Z214&lt;=4000,IF(INDEX(周转筐出入库明细!$P$4:$P$2004,$Z214-2000)=0,"",INDEX(周转筐出入库明细!$P$4:$P$2004,$Z214-2000)),IF($Z214&lt;=5200,"",IF($Z214&lt;=5800,N(INDEX(次果筐明细!$L$4:$L$603,$Z214-5200))+N(INDEX(次果筐明细!$J$4:$J$603,$Z214-5200)),"")))))</f>
        <v/>
      </c>
      <c r="L214" s="24" t="str">
        <f>IF($Z214="","",IF($Z214&lt;=2000,IF(INDEX(包装物料出入库明细!$P$4:$P$2003,$Z214-0)=0,"",INDEX(包装物料出入库明细!$P$4:$P$2003,$Z214-0)),IF($Z214&lt;=4000,IF(INDEX(周转筐出入库明细!$Q$4:$Q$2004,$Z214-2000)=0,"",INDEX(周转筐出入库明细!$Q$4:$Q$2004,$Z214-2000)),IF($Z214&lt;=5200,"",IF($Z214&lt;=5800,IF(INDEX(次果筐明细!$M$4:$M$603,$Z214-5200)=0,"",INDEX(次果筐明细!$M$4:$M$603,$Z214-5200)),"")))))</f>
        <v/>
      </c>
      <c r="M214" s="37" t="str">
        <f>IF($Z214="","",IF($Z214&lt;=2000,IF(INDEX(包装物料出入库明细!$R$4:$R$2003,$Z214-0)=0,"",INDEX(包装物料出入库明细!$R$4:$R$2003,$Z214-0)),IF($Z214&lt;=4000,IF(INDEX(周转筐出入库明细!$W$4:$W$2004,$Z214-2000)=0,"",INDEX(周转筐出入库明细!$W$4:$W$2004,$Z214-2000)),IF($Z214&lt;=5200,IF(INDEX(客户自备加工筐明细!$L$4:$L$1203,$Z214-4000)=0,"",INDEX(客户自备加工筐明细!$L$4:$L$1203,$Z214-4000)),IF($Z214&lt;=5800,IF(INDEX(次果筐明细!$P$4:$P$603,$Z214-5200)=0,"",INDEX(次果筐明细!$P$4:$P$603,$Z214-5200)),"")))))</f>
        <v/>
      </c>
      <c r="N214" s="16" t="str">
        <f>IF($Z214="","",IF($Z214&lt;=2000,"",IF($Z214&lt;=4000,IF(INDEX(周转筐出入库明细!$D$4:$D$2004,$Z214-2000)=0,"",INDEX(周转筐出入库明细!$D$4:$D$2004,$Z214-2000)),IF($Z214&lt;=5200,IF(INDEX(客户自备加工筐明细!$C$4:$C$1203,$Z214-4000)=0,"",INDEX(客户自备加工筐明细!$C$4:$C$1203,$Z214-4000)),IF($Z214&lt;=5800,IF(INDEX(次果筐明细!$D$4:$D$603,$Z214-5200)=0,"",INDEX(次果筐明细!$D$4:$D$603,$Z214-5200)),"")))))</f>
        <v/>
      </c>
      <c r="O214" s="40" t="str">
        <f>IF($Z214="","",IF($Z214&lt;=2000,"",IF($Z214&lt;=4000,IF(N(INDEX(周转筐出入库明细!$J$4:$J$2004,$Z214-2000))+N(INDEX(周转筐出入库明细!$K$4:$K$2004,$Z214-2000))=0,"",N(INDEX(周转筐出入库明细!$J$4:$J$2004,$Z214-2000))+N(INDEX(周转筐出入库明细!$K$4:$K$2004,$Z214-2000))),IF($Z214&lt;=5200,IF(N(INDEX(客户自备加工筐明细!$G$4:$G$1203,$Z214-4000))=0,"",N(INDEX(客户自备加工筐明细!$G$4:$G$1203,$Z214-4000))),IF($Z214&lt;=5800,IF(ISNUMBER(SEARCH("退",INDEX(次果筐明细!$F$4:$F$603,$Z214-5200)&amp;"")),"",IF(N(INDEX(次果筐明细!$G$4:$G$603,$Z214-5200))=0,"",N(INDEX(次果筐明细!$G$4:$G$603,$Z214-5200)))),"")))))</f>
        <v/>
      </c>
      <c r="P214" s="40" t="str">
        <f>IF($Z214="","",IF($Z214&lt;=2000,"",IF($Z214&lt;=4000,IF(N(INDEX(周转筐出入库明细!$I$4:$I$2004,$Z214-2000))=0,"",N(INDEX(周转筐出入库明细!$I$4:$I$2004,$Z214-2000))),IF($Z214&lt;=5200,"",IF($Z214&lt;=5800,IF(ISNUMBER(SEARCH("退",INDEX(次果筐明细!$F$4:$F$603,$Z214-5200)&amp;"")),IF(N(INDEX(次果筐明细!$G$4:$G$603,$Z214-5200))=0,"",N(INDEX(次果筐明细!$G$4:$G$603,$Z214-5200))),""),"")))))</f>
        <v/>
      </c>
      <c r="Q214" s="40" t="str">
        <f>IF($Z214="","",IF($Z214&lt;=2000,"",IF($Z214&lt;=4000,IF(N(INDEX(周转筐出入库明细!$H$4:$H$2004,$Z214-2000))=0,"",N(INDEX(周转筐出入库明细!$H$4:$H$2004,$Z214-2000))),IF($Z214&lt;=5200,IF(N(INDEX(客户自备加工筐明细!$F$4:$F$1203,$Z214-4000))=0,"",N(INDEX(客户自备加工筐明细!$F$4:$F$1203,$Z214-4000))),IF($Z214&lt;=5800,"","")))))</f>
        <v/>
      </c>
      <c r="R214" s="16" t="str">
        <f>IF($Z214="","",IF($Z214&lt;=2000,IF(INDEX(包装物料出入库明细!$O$4:$O$2003,$Z214-0)=0,"",INDEX(包装物料出入库明细!$O$4:$O$2003,$Z214-0)),IF($Z214&lt;=4000,IF(INDEX(周转筐出入库明细!$M$4:$M$2004,$Z214-2000)=0,"",INDEX(周转筐出入库明细!$M$4:$M$2004,$Z214-2000)),IF($Z214&lt;=5200,IF(INDEX(客户自备加工筐明细!$H$4:$H$1203,$Z214-4000)=0,"",INDEX(客户自备加工筐明细!$H$4:$H$1203,$Z214-4000)),IF($Z214&lt;=5800,IF(INDEX(次果筐明细!$H$4:$H$603,$Z214-5200)=0,"",INDEX(次果筐明细!$H$4:$H$603,$Z214-5200)),"")))))</f>
        <v/>
      </c>
      <c r="S214" s="22" t="str">
        <f t="shared" si="11"/>
        <v/>
      </c>
      <c r="Z214" s="10" t="str">
        <f>IFERROR(MATCH(ROW()-3,_自动清单!$CQ$4:$CQ$5803,0),"")</f>
        <v/>
      </c>
    </row>
    <row r="215" spans="1:26">
      <c r="A215" s="24" t="str">
        <f t="shared" si="9"/>
        <v/>
      </c>
      <c r="B215" s="38" t="str">
        <f>IF($Z215="","",IF($Z215&lt;=2000,IF(INDEX(包装物料出入库明细!$B$4:$B$2003,$Z215-0)=0,"",INDEX(包装物料出入库明细!$B$4:$B$2003,$Z215-0)),IF($Z215&lt;=4000,IF(INDEX(周转筐出入库明细!$B$4:$B$2004,$Z215-2000)=0,"",INDEX(周转筐出入库明细!$B$4:$B$2004,$Z215-2000)),IF($Z215&lt;=5200,IF(INDEX(客户自备加工筐明细!$B$4:$B$1203,$Z215-4000)=0,"",INDEX(客户自备加工筐明细!$B$4:$B$1203,$Z215-4000)),IF($Z215&lt;=5800,IF(INDEX(次果筐明细!$B$4:$B$603,$Z215-5200)=0,"",INDEX(次果筐明细!$B$4:$B$603,$Z215-5200)),"")))))</f>
        <v/>
      </c>
      <c r="C215" s="37" t="str">
        <f>IF($Z215="","",IF($Z215&lt;=2000,IF(INDEX(包装物料出入库明细!$D$4:$D$2003,$Z215-0)=0,"",INDEX(包装物料出入库明细!$D$4:$D$2003,$Z215-0)),IF($Z215&lt;=4000,IF(INDEX(周转筐出入库明细!$C$4:$C$2004,$Z215-2000)=0,"",INDEX(周转筐出入库明细!$C$4:$C$2004,$Z215-2000)),IF($Z215&lt;=5200,IF(INDEX(客户自备加工筐明细!$E$4:$E$1203,$Z215-4000)=0,"",INDEX(客户自备加工筐明细!$E$4:$E$1203,$Z215-4000)),IF($Z215&lt;=5800,IF(INDEX(次果筐明细!$C$4:$C$603,$Z215-5200)=0,"",INDEX(次果筐明细!$C$4:$C$603,$Z215-5200)),"")))))</f>
        <v/>
      </c>
      <c r="D215" s="37" t="str">
        <f>IF($Z215="","",IF($Z215&lt;=2000,"包装物料－"&amp;INDEX(包装物料出入库明细!$H$4:$H$2003,$Z215-0),IF($Z215&lt;=4000,"周转筐－"&amp;INDEX(周转筐出入库明细!$F$4:$F$2004,$Z215-2000),IF($Z215&lt;=5200,"客户自备筐－"&amp;INDEX(客户自备加工筐明细!$J$4:$J$1203,$Z215-4000),IF($Z215&lt;=5800,"次果筐/托盘－"&amp;INDEX(次果筐明细!$F$4:$F$603,$Z215-5200),"")))))</f>
        <v/>
      </c>
      <c r="E215" s="24" t="str">
        <f>IF($Z215="","",IF($Z215&lt;=2000,IF(INDEX(包装物料出入库明细!$C$4:$C$2003,$Z215-0)=0,"",INDEX(包装物料出入库明细!$C$4:$C$2003,$Z215-0)),IF($Z215&lt;=4000,IF(INDEX(周转筐出入库明细!$E$4:$E$2004,$Z215-2000)=0,"",INDEX(周转筐出入库明细!$E$4:$E$2004,$Z215-2000)),IF($Z215&lt;=5200,IF(INDEX(客户自备加工筐明细!$D$4:$D$1203,$Z215-4000)=0,"",INDEX(客户自备加工筐明细!$D$4:$D$1203,$Z215-4000)),IF($Z215&lt;=5800,IF(INDEX(次果筐明细!$E$4:$E$603,$Z215-5200)=0,"",INDEX(次果筐明细!$E$4:$E$603,$Z215-5200)),"")))))</f>
        <v/>
      </c>
      <c r="F215" s="24" t="str">
        <f>IF($Z215="","",IF($Z215&lt;=2000,IF(INDEX(包装物料出入库明细!$E$4:$E$2003,$Z215-0)=0,"",INDEX(包装物料出入库明细!$E$4:$E$2003,$Z215-0)),IF($Z215&lt;=4000,IF(INDEX(周转筐出入库明细!$D$4:$D$2004,$Z215-2000)=0,"",INDEX(周转筐出入库明细!$D$4:$D$2004,$Z215-2000)),IF($Z215&lt;=5200,IF(INDEX(客户自备加工筐明细!$C$4:$C$1203,$Z215-4000)=0,"",INDEX(客户自备加工筐明细!$C$4:$C$1203,$Z215-4000)),IF($Z215&lt;=5800,IF(INDEX(次果筐明细!$D$4:$D$603,$Z215-5200)=0,"",INDEX(次果筐明细!$D$4:$D$603,$Z215-5200)),"")))))</f>
        <v/>
      </c>
      <c r="G215" s="24" t="str">
        <f>IF($Z215="","",IF($Z215&lt;=2000,IF(INDEX(包装物料出入库明细!$F$4:$F$2003,$Z215-0)=0,"",INDEX(包装物料出入库明细!$F$4:$F$2003,$Z215-0)),IF($Z215&lt;=4000,"",IF($Z215&lt;=5200,"",IF($Z215&lt;=5800,"","")))))</f>
        <v/>
      </c>
      <c r="H215" s="39" t="str">
        <f>IF($Z215="","",IF($Z215&lt;=2000,IF(INDEX(包装物料出入库明细!$L$4:$L$2003,$Z215-0)=0,"",INDEX(包装物料出入库明细!$L$4:$L$2003,$Z215-0)),IF($Z215&lt;=4000,N(INDEX(周转筐出入库明细!$H$4:$H$2004,$Z215-2000))+N(INDEX(周转筐出入库明细!$I$4:$I$2004,$Z215-2000))+N(INDEX(周转筐出入库明细!$J$4:$J$2004,$Z215-2000))+N(INDEX(周转筐出入库明细!$K$4:$K$2004,$Z215-2000)),IF($Z215&lt;=5200,N(INDEX(客户自备加工筐明细!$F$4:$F$1203,$Z215-4000))+N(INDEX(客户自备加工筐明细!$G$4:$G$1203,$Z215-4000)),IF($Z215&lt;=5800,IF(INDEX(次果筐明细!$G$4:$G$603,$Z215-5200)=0,"",INDEX(次果筐明细!$G$4:$G$603,$Z215-5200)),"")))))</f>
        <v/>
      </c>
      <c r="I215" s="24" t="str">
        <f>IF($Z215="","",IF($Z215&lt;=2000,IF(INDEX(包装物料出入库明细!$G$4:$G$2003,$Z215-0)=0,"",INDEX(包装物料出入库明细!$G$4:$G$2003,$Z215-0)),IF($Z215&lt;=4000,"个",IF($Z215&lt;=5200,"个",IF($Z215&lt;=5800,"个","")))))</f>
        <v/>
      </c>
      <c r="J215" s="30" t="str">
        <f t="shared" si="10"/>
        <v/>
      </c>
      <c r="K215" s="30" t="str">
        <f>IF($Z215="","",IF($Z215&lt;=2000,IF(INDEX(包装物料出入库明细!$N$4:$N$2003,$Z215-0)=0,"",INDEX(包装物料出入库明细!$N$4:$N$2003,$Z215-0)),IF($Z215&lt;=4000,IF(INDEX(周转筐出入库明细!$P$4:$P$2004,$Z215-2000)=0,"",INDEX(周转筐出入库明细!$P$4:$P$2004,$Z215-2000)),IF($Z215&lt;=5200,"",IF($Z215&lt;=5800,N(INDEX(次果筐明细!$L$4:$L$603,$Z215-5200))+N(INDEX(次果筐明细!$J$4:$J$603,$Z215-5200)),"")))))</f>
        <v/>
      </c>
      <c r="L215" s="24" t="str">
        <f>IF($Z215="","",IF($Z215&lt;=2000,IF(INDEX(包装物料出入库明细!$P$4:$P$2003,$Z215-0)=0,"",INDEX(包装物料出入库明细!$P$4:$P$2003,$Z215-0)),IF($Z215&lt;=4000,IF(INDEX(周转筐出入库明细!$Q$4:$Q$2004,$Z215-2000)=0,"",INDEX(周转筐出入库明细!$Q$4:$Q$2004,$Z215-2000)),IF($Z215&lt;=5200,"",IF($Z215&lt;=5800,IF(INDEX(次果筐明细!$M$4:$M$603,$Z215-5200)=0,"",INDEX(次果筐明细!$M$4:$M$603,$Z215-5200)),"")))))</f>
        <v/>
      </c>
      <c r="M215" s="37" t="str">
        <f>IF($Z215="","",IF($Z215&lt;=2000,IF(INDEX(包装物料出入库明细!$R$4:$R$2003,$Z215-0)=0,"",INDEX(包装物料出入库明细!$R$4:$R$2003,$Z215-0)),IF($Z215&lt;=4000,IF(INDEX(周转筐出入库明细!$W$4:$W$2004,$Z215-2000)=0,"",INDEX(周转筐出入库明细!$W$4:$W$2004,$Z215-2000)),IF($Z215&lt;=5200,IF(INDEX(客户自备加工筐明细!$L$4:$L$1203,$Z215-4000)=0,"",INDEX(客户自备加工筐明细!$L$4:$L$1203,$Z215-4000)),IF($Z215&lt;=5800,IF(INDEX(次果筐明细!$P$4:$P$603,$Z215-5200)=0,"",INDEX(次果筐明细!$P$4:$P$603,$Z215-5200)),"")))))</f>
        <v/>
      </c>
      <c r="N215" s="16" t="str">
        <f>IF($Z215="","",IF($Z215&lt;=2000,"",IF($Z215&lt;=4000,IF(INDEX(周转筐出入库明细!$D$4:$D$2004,$Z215-2000)=0,"",INDEX(周转筐出入库明细!$D$4:$D$2004,$Z215-2000)),IF($Z215&lt;=5200,IF(INDEX(客户自备加工筐明细!$C$4:$C$1203,$Z215-4000)=0,"",INDEX(客户自备加工筐明细!$C$4:$C$1203,$Z215-4000)),IF($Z215&lt;=5800,IF(INDEX(次果筐明细!$D$4:$D$603,$Z215-5200)=0,"",INDEX(次果筐明细!$D$4:$D$603,$Z215-5200)),"")))))</f>
        <v/>
      </c>
      <c r="O215" s="40" t="str">
        <f>IF($Z215="","",IF($Z215&lt;=2000,"",IF($Z215&lt;=4000,IF(N(INDEX(周转筐出入库明细!$J$4:$J$2004,$Z215-2000))+N(INDEX(周转筐出入库明细!$K$4:$K$2004,$Z215-2000))=0,"",N(INDEX(周转筐出入库明细!$J$4:$J$2004,$Z215-2000))+N(INDEX(周转筐出入库明细!$K$4:$K$2004,$Z215-2000))),IF($Z215&lt;=5200,IF(N(INDEX(客户自备加工筐明细!$G$4:$G$1203,$Z215-4000))=0,"",N(INDEX(客户自备加工筐明细!$G$4:$G$1203,$Z215-4000))),IF($Z215&lt;=5800,IF(ISNUMBER(SEARCH("退",INDEX(次果筐明细!$F$4:$F$603,$Z215-5200)&amp;"")),"",IF(N(INDEX(次果筐明细!$G$4:$G$603,$Z215-5200))=0,"",N(INDEX(次果筐明细!$G$4:$G$603,$Z215-5200)))),"")))))</f>
        <v/>
      </c>
      <c r="P215" s="40" t="str">
        <f>IF($Z215="","",IF($Z215&lt;=2000,"",IF($Z215&lt;=4000,IF(N(INDEX(周转筐出入库明细!$I$4:$I$2004,$Z215-2000))=0,"",N(INDEX(周转筐出入库明细!$I$4:$I$2004,$Z215-2000))),IF($Z215&lt;=5200,"",IF($Z215&lt;=5800,IF(ISNUMBER(SEARCH("退",INDEX(次果筐明细!$F$4:$F$603,$Z215-5200)&amp;"")),IF(N(INDEX(次果筐明细!$G$4:$G$603,$Z215-5200))=0,"",N(INDEX(次果筐明细!$G$4:$G$603,$Z215-5200))),""),"")))))</f>
        <v/>
      </c>
      <c r="Q215" s="40" t="str">
        <f>IF($Z215="","",IF($Z215&lt;=2000,"",IF($Z215&lt;=4000,IF(N(INDEX(周转筐出入库明细!$H$4:$H$2004,$Z215-2000))=0,"",N(INDEX(周转筐出入库明细!$H$4:$H$2004,$Z215-2000))),IF($Z215&lt;=5200,IF(N(INDEX(客户自备加工筐明细!$F$4:$F$1203,$Z215-4000))=0,"",N(INDEX(客户自备加工筐明细!$F$4:$F$1203,$Z215-4000))),IF($Z215&lt;=5800,"","")))))</f>
        <v/>
      </c>
      <c r="R215" s="16" t="str">
        <f>IF($Z215="","",IF($Z215&lt;=2000,IF(INDEX(包装物料出入库明细!$O$4:$O$2003,$Z215-0)=0,"",INDEX(包装物料出入库明细!$O$4:$O$2003,$Z215-0)),IF($Z215&lt;=4000,IF(INDEX(周转筐出入库明细!$M$4:$M$2004,$Z215-2000)=0,"",INDEX(周转筐出入库明细!$M$4:$M$2004,$Z215-2000)),IF($Z215&lt;=5200,IF(INDEX(客户自备加工筐明细!$H$4:$H$1203,$Z215-4000)=0,"",INDEX(客户自备加工筐明细!$H$4:$H$1203,$Z215-4000)),IF($Z215&lt;=5800,IF(INDEX(次果筐明细!$H$4:$H$603,$Z215-5200)=0,"",INDEX(次果筐明细!$H$4:$H$603,$Z215-5200)),"")))))</f>
        <v/>
      </c>
      <c r="S215" s="22" t="str">
        <f t="shared" si="11"/>
        <v/>
      </c>
      <c r="Z215" s="10" t="str">
        <f>IFERROR(MATCH(ROW()-3,_自动清单!$CQ$4:$CQ$5803,0),"")</f>
        <v/>
      </c>
    </row>
    <row r="216" spans="1:26">
      <c r="A216" s="24" t="str">
        <f t="shared" si="9"/>
        <v/>
      </c>
      <c r="B216" s="38" t="str">
        <f>IF($Z216="","",IF($Z216&lt;=2000,IF(INDEX(包装物料出入库明细!$B$4:$B$2003,$Z216-0)=0,"",INDEX(包装物料出入库明细!$B$4:$B$2003,$Z216-0)),IF($Z216&lt;=4000,IF(INDEX(周转筐出入库明细!$B$4:$B$2004,$Z216-2000)=0,"",INDEX(周转筐出入库明细!$B$4:$B$2004,$Z216-2000)),IF($Z216&lt;=5200,IF(INDEX(客户自备加工筐明细!$B$4:$B$1203,$Z216-4000)=0,"",INDEX(客户自备加工筐明细!$B$4:$B$1203,$Z216-4000)),IF($Z216&lt;=5800,IF(INDEX(次果筐明细!$B$4:$B$603,$Z216-5200)=0,"",INDEX(次果筐明细!$B$4:$B$603,$Z216-5200)),"")))))</f>
        <v/>
      </c>
      <c r="C216" s="37" t="str">
        <f>IF($Z216="","",IF($Z216&lt;=2000,IF(INDEX(包装物料出入库明细!$D$4:$D$2003,$Z216-0)=0,"",INDEX(包装物料出入库明细!$D$4:$D$2003,$Z216-0)),IF($Z216&lt;=4000,IF(INDEX(周转筐出入库明细!$C$4:$C$2004,$Z216-2000)=0,"",INDEX(周转筐出入库明细!$C$4:$C$2004,$Z216-2000)),IF($Z216&lt;=5200,IF(INDEX(客户自备加工筐明细!$E$4:$E$1203,$Z216-4000)=0,"",INDEX(客户自备加工筐明细!$E$4:$E$1203,$Z216-4000)),IF($Z216&lt;=5800,IF(INDEX(次果筐明细!$C$4:$C$603,$Z216-5200)=0,"",INDEX(次果筐明细!$C$4:$C$603,$Z216-5200)),"")))))</f>
        <v/>
      </c>
      <c r="D216" s="37" t="str">
        <f>IF($Z216="","",IF($Z216&lt;=2000,"包装物料－"&amp;INDEX(包装物料出入库明细!$H$4:$H$2003,$Z216-0),IF($Z216&lt;=4000,"周转筐－"&amp;INDEX(周转筐出入库明细!$F$4:$F$2004,$Z216-2000),IF($Z216&lt;=5200,"客户自备筐－"&amp;INDEX(客户自备加工筐明细!$J$4:$J$1203,$Z216-4000),IF($Z216&lt;=5800,"次果筐/托盘－"&amp;INDEX(次果筐明细!$F$4:$F$603,$Z216-5200),"")))))</f>
        <v/>
      </c>
      <c r="E216" s="24" t="str">
        <f>IF($Z216="","",IF($Z216&lt;=2000,IF(INDEX(包装物料出入库明细!$C$4:$C$2003,$Z216-0)=0,"",INDEX(包装物料出入库明细!$C$4:$C$2003,$Z216-0)),IF($Z216&lt;=4000,IF(INDEX(周转筐出入库明细!$E$4:$E$2004,$Z216-2000)=0,"",INDEX(周转筐出入库明细!$E$4:$E$2004,$Z216-2000)),IF($Z216&lt;=5200,IF(INDEX(客户自备加工筐明细!$D$4:$D$1203,$Z216-4000)=0,"",INDEX(客户自备加工筐明细!$D$4:$D$1203,$Z216-4000)),IF($Z216&lt;=5800,IF(INDEX(次果筐明细!$E$4:$E$603,$Z216-5200)=0,"",INDEX(次果筐明细!$E$4:$E$603,$Z216-5200)),"")))))</f>
        <v/>
      </c>
      <c r="F216" s="24" t="str">
        <f>IF($Z216="","",IF($Z216&lt;=2000,IF(INDEX(包装物料出入库明细!$E$4:$E$2003,$Z216-0)=0,"",INDEX(包装物料出入库明细!$E$4:$E$2003,$Z216-0)),IF($Z216&lt;=4000,IF(INDEX(周转筐出入库明细!$D$4:$D$2004,$Z216-2000)=0,"",INDEX(周转筐出入库明细!$D$4:$D$2004,$Z216-2000)),IF($Z216&lt;=5200,IF(INDEX(客户自备加工筐明细!$C$4:$C$1203,$Z216-4000)=0,"",INDEX(客户自备加工筐明细!$C$4:$C$1203,$Z216-4000)),IF($Z216&lt;=5800,IF(INDEX(次果筐明细!$D$4:$D$603,$Z216-5200)=0,"",INDEX(次果筐明细!$D$4:$D$603,$Z216-5200)),"")))))</f>
        <v/>
      </c>
      <c r="G216" s="24" t="str">
        <f>IF($Z216="","",IF($Z216&lt;=2000,IF(INDEX(包装物料出入库明细!$F$4:$F$2003,$Z216-0)=0,"",INDEX(包装物料出入库明细!$F$4:$F$2003,$Z216-0)),IF($Z216&lt;=4000,"",IF($Z216&lt;=5200,"",IF($Z216&lt;=5800,"","")))))</f>
        <v/>
      </c>
      <c r="H216" s="39" t="str">
        <f>IF($Z216="","",IF($Z216&lt;=2000,IF(INDEX(包装物料出入库明细!$L$4:$L$2003,$Z216-0)=0,"",INDEX(包装物料出入库明细!$L$4:$L$2003,$Z216-0)),IF($Z216&lt;=4000,N(INDEX(周转筐出入库明细!$H$4:$H$2004,$Z216-2000))+N(INDEX(周转筐出入库明细!$I$4:$I$2004,$Z216-2000))+N(INDEX(周转筐出入库明细!$J$4:$J$2004,$Z216-2000))+N(INDEX(周转筐出入库明细!$K$4:$K$2004,$Z216-2000)),IF($Z216&lt;=5200,N(INDEX(客户自备加工筐明细!$F$4:$F$1203,$Z216-4000))+N(INDEX(客户自备加工筐明细!$G$4:$G$1203,$Z216-4000)),IF($Z216&lt;=5800,IF(INDEX(次果筐明细!$G$4:$G$603,$Z216-5200)=0,"",INDEX(次果筐明细!$G$4:$G$603,$Z216-5200)),"")))))</f>
        <v/>
      </c>
      <c r="I216" s="24" t="str">
        <f>IF($Z216="","",IF($Z216&lt;=2000,IF(INDEX(包装物料出入库明细!$G$4:$G$2003,$Z216-0)=0,"",INDEX(包装物料出入库明细!$G$4:$G$2003,$Z216-0)),IF($Z216&lt;=4000,"个",IF($Z216&lt;=5200,"个",IF($Z216&lt;=5800,"个","")))))</f>
        <v/>
      </c>
      <c r="J216" s="30" t="str">
        <f t="shared" si="10"/>
        <v/>
      </c>
      <c r="K216" s="30" t="str">
        <f>IF($Z216="","",IF($Z216&lt;=2000,IF(INDEX(包装物料出入库明细!$N$4:$N$2003,$Z216-0)=0,"",INDEX(包装物料出入库明细!$N$4:$N$2003,$Z216-0)),IF($Z216&lt;=4000,IF(INDEX(周转筐出入库明细!$P$4:$P$2004,$Z216-2000)=0,"",INDEX(周转筐出入库明细!$P$4:$P$2004,$Z216-2000)),IF($Z216&lt;=5200,"",IF($Z216&lt;=5800,N(INDEX(次果筐明细!$L$4:$L$603,$Z216-5200))+N(INDEX(次果筐明细!$J$4:$J$603,$Z216-5200)),"")))))</f>
        <v/>
      </c>
      <c r="L216" s="24" t="str">
        <f>IF($Z216="","",IF($Z216&lt;=2000,IF(INDEX(包装物料出入库明细!$P$4:$P$2003,$Z216-0)=0,"",INDEX(包装物料出入库明细!$P$4:$P$2003,$Z216-0)),IF($Z216&lt;=4000,IF(INDEX(周转筐出入库明细!$Q$4:$Q$2004,$Z216-2000)=0,"",INDEX(周转筐出入库明细!$Q$4:$Q$2004,$Z216-2000)),IF($Z216&lt;=5200,"",IF($Z216&lt;=5800,IF(INDEX(次果筐明细!$M$4:$M$603,$Z216-5200)=0,"",INDEX(次果筐明细!$M$4:$M$603,$Z216-5200)),"")))))</f>
        <v/>
      </c>
      <c r="M216" s="37" t="str">
        <f>IF($Z216="","",IF($Z216&lt;=2000,IF(INDEX(包装物料出入库明细!$R$4:$R$2003,$Z216-0)=0,"",INDEX(包装物料出入库明细!$R$4:$R$2003,$Z216-0)),IF($Z216&lt;=4000,IF(INDEX(周转筐出入库明细!$W$4:$W$2004,$Z216-2000)=0,"",INDEX(周转筐出入库明细!$W$4:$W$2004,$Z216-2000)),IF($Z216&lt;=5200,IF(INDEX(客户自备加工筐明细!$L$4:$L$1203,$Z216-4000)=0,"",INDEX(客户自备加工筐明细!$L$4:$L$1203,$Z216-4000)),IF($Z216&lt;=5800,IF(INDEX(次果筐明细!$P$4:$P$603,$Z216-5200)=0,"",INDEX(次果筐明细!$P$4:$P$603,$Z216-5200)),"")))))</f>
        <v/>
      </c>
      <c r="N216" s="16" t="str">
        <f>IF($Z216="","",IF($Z216&lt;=2000,"",IF($Z216&lt;=4000,IF(INDEX(周转筐出入库明细!$D$4:$D$2004,$Z216-2000)=0,"",INDEX(周转筐出入库明细!$D$4:$D$2004,$Z216-2000)),IF($Z216&lt;=5200,IF(INDEX(客户自备加工筐明细!$C$4:$C$1203,$Z216-4000)=0,"",INDEX(客户自备加工筐明细!$C$4:$C$1203,$Z216-4000)),IF($Z216&lt;=5800,IF(INDEX(次果筐明细!$D$4:$D$603,$Z216-5200)=0,"",INDEX(次果筐明细!$D$4:$D$603,$Z216-5200)),"")))))</f>
        <v/>
      </c>
      <c r="O216" s="40" t="str">
        <f>IF($Z216="","",IF($Z216&lt;=2000,"",IF($Z216&lt;=4000,IF(N(INDEX(周转筐出入库明细!$J$4:$J$2004,$Z216-2000))+N(INDEX(周转筐出入库明细!$K$4:$K$2004,$Z216-2000))=0,"",N(INDEX(周转筐出入库明细!$J$4:$J$2004,$Z216-2000))+N(INDEX(周转筐出入库明细!$K$4:$K$2004,$Z216-2000))),IF($Z216&lt;=5200,IF(N(INDEX(客户自备加工筐明细!$G$4:$G$1203,$Z216-4000))=0,"",N(INDEX(客户自备加工筐明细!$G$4:$G$1203,$Z216-4000))),IF($Z216&lt;=5800,IF(ISNUMBER(SEARCH("退",INDEX(次果筐明细!$F$4:$F$603,$Z216-5200)&amp;"")),"",IF(N(INDEX(次果筐明细!$G$4:$G$603,$Z216-5200))=0,"",N(INDEX(次果筐明细!$G$4:$G$603,$Z216-5200)))),"")))))</f>
        <v/>
      </c>
      <c r="P216" s="40" t="str">
        <f>IF($Z216="","",IF($Z216&lt;=2000,"",IF($Z216&lt;=4000,IF(N(INDEX(周转筐出入库明细!$I$4:$I$2004,$Z216-2000))=0,"",N(INDEX(周转筐出入库明细!$I$4:$I$2004,$Z216-2000))),IF($Z216&lt;=5200,"",IF($Z216&lt;=5800,IF(ISNUMBER(SEARCH("退",INDEX(次果筐明细!$F$4:$F$603,$Z216-5200)&amp;"")),IF(N(INDEX(次果筐明细!$G$4:$G$603,$Z216-5200))=0,"",N(INDEX(次果筐明细!$G$4:$G$603,$Z216-5200))),""),"")))))</f>
        <v/>
      </c>
      <c r="Q216" s="40" t="str">
        <f>IF($Z216="","",IF($Z216&lt;=2000,"",IF($Z216&lt;=4000,IF(N(INDEX(周转筐出入库明细!$H$4:$H$2004,$Z216-2000))=0,"",N(INDEX(周转筐出入库明细!$H$4:$H$2004,$Z216-2000))),IF($Z216&lt;=5200,IF(N(INDEX(客户自备加工筐明细!$F$4:$F$1203,$Z216-4000))=0,"",N(INDEX(客户自备加工筐明细!$F$4:$F$1203,$Z216-4000))),IF($Z216&lt;=5800,"","")))))</f>
        <v/>
      </c>
      <c r="R216" s="16" t="str">
        <f>IF($Z216="","",IF($Z216&lt;=2000,IF(INDEX(包装物料出入库明细!$O$4:$O$2003,$Z216-0)=0,"",INDEX(包装物料出入库明细!$O$4:$O$2003,$Z216-0)),IF($Z216&lt;=4000,IF(INDEX(周转筐出入库明细!$M$4:$M$2004,$Z216-2000)=0,"",INDEX(周转筐出入库明细!$M$4:$M$2004,$Z216-2000)),IF($Z216&lt;=5200,IF(INDEX(客户自备加工筐明细!$H$4:$H$1203,$Z216-4000)=0,"",INDEX(客户自备加工筐明细!$H$4:$H$1203,$Z216-4000)),IF($Z216&lt;=5800,IF(INDEX(次果筐明细!$H$4:$H$603,$Z216-5200)=0,"",INDEX(次果筐明细!$H$4:$H$603,$Z216-5200)),"")))))</f>
        <v/>
      </c>
      <c r="S216" s="22" t="str">
        <f t="shared" si="11"/>
        <v/>
      </c>
      <c r="Z216" s="10" t="str">
        <f>IFERROR(MATCH(ROW()-3,_自动清单!$CQ$4:$CQ$5803,0),"")</f>
        <v/>
      </c>
    </row>
    <row r="217" spans="1:26">
      <c r="A217" s="24" t="str">
        <f t="shared" si="9"/>
        <v/>
      </c>
      <c r="B217" s="38" t="str">
        <f>IF($Z217="","",IF($Z217&lt;=2000,IF(INDEX(包装物料出入库明细!$B$4:$B$2003,$Z217-0)=0,"",INDEX(包装物料出入库明细!$B$4:$B$2003,$Z217-0)),IF($Z217&lt;=4000,IF(INDEX(周转筐出入库明细!$B$4:$B$2004,$Z217-2000)=0,"",INDEX(周转筐出入库明细!$B$4:$B$2004,$Z217-2000)),IF($Z217&lt;=5200,IF(INDEX(客户自备加工筐明细!$B$4:$B$1203,$Z217-4000)=0,"",INDEX(客户自备加工筐明细!$B$4:$B$1203,$Z217-4000)),IF($Z217&lt;=5800,IF(INDEX(次果筐明细!$B$4:$B$603,$Z217-5200)=0,"",INDEX(次果筐明细!$B$4:$B$603,$Z217-5200)),"")))))</f>
        <v/>
      </c>
      <c r="C217" s="37" t="str">
        <f>IF($Z217="","",IF($Z217&lt;=2000,IF(INDEX(包装物料出入库明细!$D$4:$D$2003,$Z217-0)=0,"",INDEX(包装物料出入库明细!$D$4:$D$2003,$Z217-0)),IF($Z217&lt;=4000,IF(INDEX(周转筐出入库明细!$C$4:$C$2004,$Z217-2000)=0,"",INDEX(周转筐出入库明细!$C$4:$C$2004,$Z217-2000)),IF($Z217&lt;=5200,IF(INDEX(客户自备加工筐明细!$E$4:$E$1203,$Z217-4000)=0,"",INDEX(客户自备加工筐明细!$E$4:$E$1203,$Z217-4000)),IF($Z217&lt;=5800,IF(INDEX(次果筐明细!$C$4:$C$603,$Z217-5200)=0,"",INDEX(次果筐明细!$C$4:$C$603,$Z217-5200)),"")))))</f>
        <v/>
      </c>
      <c r="D217" s="37" t="str">
        <f>IF($Z217="","",IF($Z217&lt;=2000,"包装物料－"&amp;INDEX(包装物料出入库明细!$H$4:$H$2003,$Z217-0),IF($Z217&lt;=4000,"周转筐－"&amp;INDEX(周转筐出入库明细!$F$4:$F$2004,$Z217-2000),IF($Z217&lt;=5200,"客户自备筐－"&amp;INDEX(客户自备加工筐明细!$J$4:$J$1203,$Z217-4000),IF($Z217&lt;=5800,"次果筐/托盘－"&amp;INDEX(次果筐明细!$F$4:$F$603,$Z217-5200),"")))))</f>
        <v/>
      </c>
      <c r="E217" s="24" t="str">
        <f>IF($Z217="","",IF($Z217&lt;=2000,IF(INDEX(包装物料出入库明细!$C$4:$C$2003,$Z217-0)=0,"",INDEX(包装物料出入库明细!$C$4:$C$2003,$Z217-0)),IF($Z217&lt;=4000,IF(INDEX(周转筐出入库明细!$E$4:$E$2004,$Z217-2000)=0,"",INDEX(周转筐出入库明细!$E$4:$E$2004,$Z217-2000)),IF($Z217&lt;=5200,IF(INDEX(客户自备加工筐明细!$D$4:$D$1203,$Z217-4000)=0,"",INDEX(客户自备加工筐明细!$D$4:$D$1203,$Z217-4000)),IF($Z217&lt;=5800,IF(INDEX(次果筐明细!$E$4:$E$603,$Z217-5200)=0,"",INDEX(次果筐明细!$E$4:$E$603,$Z217-5200)),"")))))</f>
        <v/>
      </c>
      <c r="F217" s="24" t="str">
        <f>IF($Z217="","",IF($Z217&lt;=2000,IF(INDEX(包装物料出入库明细!$E$4:$E$2003,$Z217-0)=0,"",INDEX(包装物料出入库明细!$E$4:$E$2003,$Z217-0)),IF($Z217&lt;=4000,IF(INDEX(周转筐出入库明细!$D$4:$D$2004,$Z217-2000)=0,"",INDEX(周转筐出入库明细!$D$4:$D$2004,$Z217-2000)),IF($Z217&lt;=5200,IF(INDEX(客户自备加工筐明细!$C$4:$C$1203,$Z217-4000)=0,"",INDEX(客户自备加工筐明细!$C$4:$C$1203,$Z217-4000)),IF($Z217&lt;=5800,IF(INDEX(次果筐明细!$D$4:$D$603,$Z217-5200)=0,"",INDEX(次果筐明细!$D$4:$D$603,$Z217-5200)),"")))))</f>
        <v/>
      </c>
      <c r="G217" s="24" t="str">
        <f>IF($Z217="","",IF($Z217&lt;=2000,IF(INDEX(包装物料出入库明细!$F$4:$F$2003,$Z217-0)=0,"",INDEX(包装物料出入库明细!$F$4:$F$2003,$Z217-0)),IF($Z217&lt;=4000,"",IF($Z217&lt;=5200,"",IF($Z217&lt;=5800,"","")))))</f>
        <v/>
      </c>
      <c r="H217" s="39" t="str">
        <f>IF($Z217="","",IF($Z217&lt;=2000,IF(INDEX(包装物料出入库明细!$L$4:$L$2003,$Z217-0)=0,"",INDEX(包装物料出入库明细!$L$4:$L$2003,$Z217-0)),IF($Z217&lt;=4000,N(INDEX(周转筐出入库明细!$H$4:$H$2004,$Z217-2000))+N(INDEX(周转筐出入库明细!$I$4:$I$2004,$Z217-2000))+N(INDEX(周转筐出入库明细!$J$4:$J$2004,$Z217-2000))+N(INDEX(周转筐出入库明细!$K$4:$K$2004,$Z217-2000)),IF($Z217&lt;=5200,N(INDEX(客户自备加工筐明细!$F$4:$F$1203,$Z217-4000))+N(INDEX(客户自备加工筐明细!$G$4:$G$1203,$Z217-4000)),IF($Z217&lt;=5800,IF(INDEX(次果筐明细!$G$4:$G$603,$Z217-5200)=0,"",INDEX(次果筐明细!$G$4:$G$603,$Z217-5200)),"")))))</f>
        <v/>
      </c>
      <c r="I217" s="24" t="str">
        <f>IF($Z217="","",IF($Z217&lt;=2000,IF(INDEX(包装物料出入库明细!$G$4:$G$2003,$Z217-0)=0,"",INDEX(包装物料出入库明细!$G$4:$G$2003,$Z217-0)),IF($Z217&lt;=4000,"个",IF($Z217&lt;=5200,"个",IF($Z217&lt;=5800,"个","")))))</f>
        <v/>
      </c>
      <c r="J217" s="30" t="str">
        <f t="shared" si="10"/>
        <v/>
      </c>
      <c r="K217" s="30" t="str">
        <f>IF($Z217="","",IF($Z217&lt;=2000,IF(INDEX(包装物料出入库明细!$N$4:$N$2003,$Z217-0)=0,"",INDEX(包装物料出入库明细!$N$4:$N$2003,$Z217-0)),IF($Z217&lt;=4000,IF(INDEX(周转筐出入库明细!$P$4:$P$2004,$Z217-2000)=0,"",INDEX(周转筐出入库明细!$P$4:$P$2004,$Z217-2000)),IF($Z217&lt;=5200,"",IF($Z217&lt;=5800,N(INDEX(次果筐明细!$L$4:$L$603,$Z217-5200))+N(INDEX(次果筐明细!$J$4:$J$603,$Z217-5200)),"")))))</f>
        <v/>
      </c>
      <c r="L217" s="24" t="str">
        <f>IF($Z217="","",IF($Z217&lt;=2000,IF(INDEX(包装物料出入库明细!$P$4:$P$2003,$Z217-0)=0,"",INDEX(包装物料出入库明细!$P$4:$P$2003,$Z217-0)),IF($Z217&lt;=4000,IF(INDEX(周转筐出入库明细!$Q$4:$Q$2004,$Z217-2000)=0,"",INDEX(周转筐出入库明细!$Q$4:$Q$2004,$Z217-2000)),IF($Z217&lt;=5200,"",IF($Z217&lt;=5800,IF(INDEX(次果筐明细!$M$4:$M$603,$Z217-5200)=0,"",INDEX(次果筐明细!$M$4:$M$603,$Z217-5200)),"")))))</f>
        <v/>
      </c>
      <c r="M217" s="37" t="str">
        <f>IF($Z217="","",IF($Z217&lt;=2000,IF(INDEX(包装物料出入库明细!$R$4:$R$2003,$Z217-0)=0,"",INDEX(包装物料出入库明细!$R$4:$R$2003,$Z217-0)),IF($Z217&lt;=4000,IF(INDEX(周转筐出入库明细!$W$4:$W$2004,$Z217-2000)=0,"",INDEX(周转筐出入库明细!$W$4:$W$2004,$Z217-2000)),IF($Z217&lt;=5200,IF(INDEX(客户自备加工筐明细!$L$4:$L$1203,$Z217-4000)=0,"",INDEX(客户自备加工筐明细!$L$4:$L$1203,$Z217-4000)),IF($Z217&lt;=5800,IF(INDEX(次果筐明细!$P$4:$P$603,$Z217-5200)=0,"",INDEX(次果筐明细!$P$4:$P$603,$Z217-5200)),"")))))</f>
        <v/>
      </c>
      <c r="N217" s="16" t="str">
        <f>IF($Z217="","",IF($Z217&lt;=2000,"",IF($Z217&lt;=4000,IF(INDEX(周转筐出入库明细!$D$4:$D$2004,$Z217-2000)=0,"",INDEX(周转筐出入库明细!$D$4:$D$2004,$Z217-2000)),IF($Z217&lt;=5200,IF(INDEX(客户自备加工筐明细!$C$4:$C$1203,$Z217-4000)=0,"",INDEX(客户自备加工筐明细!$C$4:$C$1203,$Z217-4000)),IF($Z217&lt;=5800,IF(INDEX(次果筐明细!$D$4:$D$603,$Z217-5200)=0,"",INDEX(次果筐明细!$D$4:$D$603,$Z217-5200)),"")))))</f>
        <v/>
      </c>
      <c r="O217" s="40" t="str">
        <f>IF($Z217="","",IF($Z217&lt;=2000,"",IF($Z217&lt;=4000,IF(N(INDEX(周转筐出入库明细!$J$4:$J$2004,$Z217-2000))+N(INDEX(周转筐出入库明细!$K$4:$K$2004,$Z217-2000))=0,"",N(INDEX(周转筐出入库明细!$J$4:$J$2004,$Z217-2000))+N(INDEX(周转筐出入库明细!$K$4:$K$2004,$Z217-2000))),IF($Z217&lt;=5200,IF(N(INDEX(客户自备加工筐明细!$G$4:$G$1203,$Z217-4000))=0,"",N(INDEX(客户自备加工筐明细!$G$4:$G$1203,$Z217-4000))),IF($Z217&lt;=5800,IF(ISNUMBER(SEARCH("退",INDEX(次果筐明细!$F$4:$F$603,$Z217-5200)&amp;"")),"",IF(N(INDEX(次果筐明细!$G$4:$G$603,$Z217-5200))=0,"",N(INDEX(次果筐明细!$G$4:$G$603,$Z217-5200)))),"")))))</f>
        <v/>
      </c>
      <c r="P217" s="40" t="str">
        <f>IF($Z217="","",IF($Z217&lt;=2000,"",IF($Z217&lt;=4000,IF(N(INDEX(周转筐出入库明细!$I$4:$I$2004,$Z217-2000))=0,"",N(INDEX(周转筐出入库明细!$I$4:$I$2004,$Z217-2000))),IF($Z217&lt;=5200,"",IF($Z217&lt;=5800,IF(ISNUMBER(SEARCH("退",INDEX(次果筐明细!$F$4:$F$603,$Z217-5200)&amp;"")),IF(N(INDEX(次果筐明细!$G$4:$G$603,$Z217-5200))=0,"",N(INDEX(次果筐明细!$G$4:$G$603,$Z217-5200))),""),"")))))</f>
        <v/>
      </c>
      <c r="Q217" s="40" t="str">
        <f>IF($Z217="","",IF($Z217&lt;=2000,"",IF($Z217&lt;=4000,IF(N(INDEX(周转筐出入库明细!$H$4:$H$2004,$Z217-2000))=0,"",N(INDEX(周转筐出入库明细!$H$4:$H$2004,$Z217-2000))),IF($Z217&lt;=5200,IF(N(INDEX(客户自备加工筐明细!$F$4:$F$1203,$Z217-4000))=0,"",N(INDEX(客户自备加工筐明细!$F$4:$F$1203,$Z217-4000))),IF($Z217&lt;=5800,"","")))))</f>
        <v/>
      </c>
      <c r="R217" s="16" t="str">
        <f>IF($Z217="","",IF($Z217&lt;=2000,IF(INDEX(包装物料出入库明细!$O$4:$O$2003,$Z217-0)=0,"",INDEX(包装物料出入库明细!$O$4:$O$2003,$Z217-0)),IF($Z217&lt;=4000,IF(INDEX(周转筐出入库明细!$M$4:$M$2004,$Z217-2000)=0,"",INDEX(周转筐出入库明细!$M$4:$M$2004,$Z217-2000)),IF($Z217&lt;=5200,IF(INDEX(客户自备加工筐明细!$H$4:$H$1203,$Z217-4000)=0,"",INDEX(客户自备加工筐明细!$H$4:$H$1203,$Z217-4000)),IF($Z217&lt;=5800,IF(INDEX(次果筐明细!$H$4:$H$603,$Z217-5200)=0,"",INDEX(次果筐明细!$H$4:$H$603,$Z217-5200)),"")))))</f>
        <v/>
      </c>
      <c r="S217" s="22" t="str">
        <f t="shared" si="11"/>
        <v/>
      </c>
      <c r="Z217" s="10" t="str">
        <f>IFERROR(MATCH(ROW()-3,_自动清单!$CQ$4:$CQ$5803,0),"")</f>
        <v/>
      </c>
    </row>
    <row r="218" spans="1:26">
      <c r="A218" s="24" t="str">
        <f t="shared" si="9"/>
        <v/>
      </c>
      <c r="B218" s="38" t="str">
        <f>IF($Z218="","",IF($Z218&lt;=2000,IF(INDEX(包装物料出入库明细!$B$4:$B$2003,$Z218-0)=0,"",INDEX(包装物料出入库明细!$B$4:$B$2003,$Z218-0)),IF($Z218&lt;=4000,IF(INDEX(周转筐出入库明细!$B$4:$B$2004,$Z218-2000)=0,"",INDEX(周转筐出入库明细!$B$4:$B$2004,$Z218-2000)),IF($Z218&lt;=5200,IF(INDEX(客户自备加工筐明细!$B$4:$B$1203,$Z218-4000)=0,"",INDEX(客户自备加工筐明细!$B$4:$B$1203,$Z218-4000)),IF($Z218&lt;=5800,IF(INDEX(次果筐明细!$B$4:$B$603,$Z218-5200)=0,"",INDEX(次果筐明细!$B$4:$B$603,$Z218-5200)),"")))))</f>
        <v/>
      </c>
      <c r="C218" s="37" t="str">
        <f>IF($Z218="","",IF($Z218&lt;=2000,IF(INDEX(包装物料出入库明细!$D$4:$D$2003,$Z218-0)=0,"",INDEX(包装物料出入库明细!$D$4:$D$2003,$Z218-0)),IF($Z218&lt;=4000,IF(INDEX(周转筐出入库明细!$C$4:$C$2004,$Z218-2000)=0,"",INDEX(周转筐出入库明细!$C$4:$C$2004,$Z218-2000)),IF($Z218&lt;=5200,IF(INDEX(客户自备加工筐明细!$E$4:$E$1203,$Z218-4000)=0,"",INDEX(客户自备加工筐明细!$E$4:$E$1203,$Z218-4000)),IF($Z218&lt;=5800,IF(INDEX(次果筐明细!$C$4:$C$603,$Z218-5200)=0,"",INDEX(次果筐明细!$C$4:$C$603,$Z218-5200)),"")))))</f>
        <v/>
      </c>
      <c r="D218" s="37" t="str">
        <f>IF($Z218="","",IF($Z218&lt;=2000,"包装物料－"&amp;INDEX(包装物料出入库明细!$H$4:$H$2003,$Z218-0),IF($Z218&lt;=4000,"周转筐－"&amp;INDEX(周转筐出入库明细!$F$4:$F$2004,$Z218-2000),IF($Z218&lt;=5200,"客户自备筐－"&amp;INDEX(客户自备加工筐明细!$J$4:$J$1203,$Z218-4000),IF($Z218&lt;=5800,"次果筐/托盘－"&amp;INDEX(次果筐明细!$F$4:$F$603,$Z218-5200),"")))))</f>
        <v/>
      </c>
      <c r="E218" s="24" t="str">
        <f>IF($Z218="","",IF($Z218&lt;=2000,IF(INDEX(包装物料出入库明细!$C$4:$C$2003,$Z218-0)=0,"",INDEX(包装物料出入库明细!$C$4:$C$2003,$Z218-0)),IF($Z218&lt;=4000,IF(INDEX(周转筐出入库明细!$E$4:$E$2004,$Z218-2000)=0,"",INDEX(周转筐出入库明细!$E$4:$E$2004,$Z218-2000)),IF($Z218&lt;=5200,IF(INDEX(客户自备加工筐明细!$D$4:$D$1203,$Z218-4000)=0,"",INDEX(客户自备加工筐明细!$D$4:$D$1203,$Z218-4000)),IF($Z218&lt;=5800,IF(INDEX(次果筐明细!$E$4:$E$603,$Z218-5200)=0,"",INDEX(次果筐明细!$E$4:$E$603,$Z218-5200)),"")))))</f>
        <v/>
      </c>
      <c r="F218" s="24" t="str">
        <f>IF($Z218="","",IF($Z218&lt;=2000,IF(INDEX(包装物料出入库明细!$E$4:$E$2003,$Z218-0)=0,"",INDEX(包装物料出入库明细!$E$4:$E$2003,$Z218-0)),IF($Z218&lt;=4000,IF(INDEX(周转筐出入库明细!$D$4:$D$2004,$Z218-2000)=0,"",INDEX(周转筐出入库明细!$D$4:$D$2004,$Z218-2000)),IF($Z218&lt;=5200,IF(INDEX(客户自备加工筐明细!$C$4:$C$1203,$Z218-4000)=0,"",INDEX(客户自备加工筐明细!$C$4:$C$1203,$Z218-4000)),IF($Z218&lt;=5800,IF(INDEX(次果筐明细!$D$4:$D$603,$Z218-5200)=0,"",INDEX(次果筐明细!$D$4:$D$603,$Z218-5200)),"")))))</f>
        <v/>
      </c>
      <c r="G218" s="24" t="str">
        <f>IF($Z218="","",IF($Z218&lt;=2000,IF(INDEX(包装物料出入库明细!$F$4:$F$2003,$Z218-0)=0,"",INDEX(包装物料出入库明细!$F$4:$F$2003,$Z218-0)),IF($Z218&lt;=4000,"",IF($Z218&lt;=5200,"",IF($Z218&lt;=5800,"","")))))</f>
        <v/>
      </c>
      <c r="H218" s="39" t="str">
        <f>IF($Z218="","",IF($Z218&lt;=2000,IF(INDEX(包装物料出入库明细!$L$4:$L$2003,$Z218-0)=0,"",INDEX(包装物料出入库明细!$L$4:$L$2003,$Z218-0)),IF($Z218&lt;=4000,N(INDEX(周转筐出入库明细!$H$4:$H$2004,$Z218-2000))+N(INDEX(周转筐出入库明细!$I$4:$I$2004,$Z218-2000))+N(INDEX(周转筐出入库明细!$J$4:$J$2004,$Z218-2000))+N(INDEX(周转筐出入库明细!$K$4:$K$2004,$Z218-2000)),IF($Z218&lt;=5200,N(INDEX(客户自备加工筐明细!$F$4:$F$1203,$Z218-4000))+N(INDEX(客户自备加工筐明细!$G$4:$G$1203,$Z218-4000)),IF($Z218&lt;=5800,IF(INDEX(次果筐明细!$G$4:$G$603,$Z218-5200)=0,"",INDEX(次果筐明细!$G$4:$G$603,$Z218-5200)),"")))))</f>
        <v/>
      </c>
      <c r="I218" s="24" t="str">
        <f>IF($Z218="","",IF($Z218&lt;=2000,IF(INDEX(包装物料出入库明细!$G$4:$G$2003,$Z218-0)=0,"",INDEX(包装物料出入库明细!$G$4:$G$2003,$Z218-0)),IF($Z218&lt;=4000,"个",IF($Z218&lt;=5200,"个",IF($Z218&lt;=5800,"个","")))))</f>
        <v/>
      </c>
      <c r="J218" s="30" t="str">
        <f t="shared" si="10"/>
        <v/>
      </c>
      <c r="K218" s="30" t="str">
        <f>IF($Z218="","",IF($Z218&lt;=2000,IF(INDEX(包装物料出入库明细!$N$4:$N$2003,$Z218-0)=0,"",INDEX(包装物料出入库明细!$N$4:$N$2003,$Z218-0)),IF($Z218&lt;=4000,IF(INDEX(周转筐出入库明细!$P$4:$P$2004,$Z218-2000)=0,"",INDEX(周转筐出入库明细!$P$4:$P$2004,$Z218-2000)),IF($Z218&lt;=5200,"",IF($Z218&lt;=5800,N(INDEX(次果筐明细!$L$4:$L$603,$Z218-5200))+N(INDEX(次果筐明细!$J$4:$J$603,$Z218-5200)),"")))))</f>
        <v/>
      </c>
      <c r="L218" s="24" t="str">
        <f>IF($Z218="","",IF($Z218&lt;=2000,IF(INDEX(包装物料出入库明细!$P$4:$P$2003,$Z218-0)=0,"",INDEX(包装物料出入库明细!$P$4:$P$2003,$Z218-0)),IF($Z218&lt;=4000,IF(INDEX(周转筐出入库明细!$Q$4:$Q$2004,$Z218-2000)=0,"",INDEX(周转筐出入库明细!$Q$4:$Q$2004,$Z218-2000)),IF($Z218&lt;=5200,"",IF($Z218&lt;=5800,IF(INDEX(次果筐明细!$M$4:$M$603,$Z218-5200)=0,"",INDEX(次果筐明细!$M$4:$M$603,$Z218-5200)),"")))))</f>
        <v/>
      </c>
      <c r="M218" s="37" t="str">
        <f>IF($Z218="","",IF($Z218&lt;=2000,IF(INDEX(包装物料出入库明细!$R$4:$R$2003,$Z218-0)=0,"",INDEX(包装物料出入库明细!$R$4:$R$2003,$Z218-0)),IF($Z218&lt;=4000,IF(INDEX(周转筐出入库明细!$W$4:$W$2004,$Z218-2000)=0,"",INDEX(周转筐出入库明细!$W$4:$W$2004,$Z218-2000)),IF($Z218&lt;=5200,IF(INDEX(客户自备加工筐明细!$L$4:$L$1203,$Z218-4000)=0,"",INDEX(客户自备加工筐明细!$L$4:$L$1203,$Z218-4000)),IF($Z218&lt;=5800,IF(INDEX(次果筐明细!$P$4:$P$603,$Z218-5200)=0,"",INDEX(次果筐明细!$P$4:$P$603,$Z218-5200)),"")))))</f>
        <v/>
      </c>
      <c r="N218" s="16" t="str">
        <f>IF($Z218="","",IF($Z218&lt;=2000,"",IF($Z218&lt;=4000,IF(INDEX(周转筐出入库明细!$D$4:$D$2004,$Z218-2000)=0,"",INDEX(周转筐出入库明细!$D$4:$D$2004,$Z218-2000)),IF($Z218&lt;=5200,IF(INDEX(客户自备加工筐明细!$C$4:$C$1203,$Z218-4000)=0,"",INDEX(客户自备加工筐明细!$C$4:$C$1203,$Z218-4000)),IF($Z218&lt;=5800,IF(INDEX(次果筐明细!$D$4:$D$603,$Z218-5200)=0,"",INDEX(次果筐明细!$D$4:$D$603,$Z218-5200)),"")))))</f>
        <v/>
      </c>
      <c r="O218" s="40" t="str">
        <f>IF($Z218="","",IF($Z218&lt;=2000,"",IF($Z218&lt;=4000,IF(N(INDEX(周转筐出入库明细!$J$4:$J$2004,$Z218-2000))+N(INDEX(周转筐出入库明细!$K$4:$K$2004,$Z218-2000))=0,"",N(INDEX(周转筐出入库明细!$J$4:$J$2004,$Z218-2000))+N(INDEX(周转筐出入库明细!$K$4:$K$2004,$Z218-2000))),IF($Z218&lt;=5200,IF(N(INDEX(客户自备加工筐明细!$G$4:$G$1203,$Z218-4000))=0,"",N(INDEX(客户自备加工筐明细!$G$4:$G$1203,$Z218-4000))),IF($Z218&lt;=5800,IF(ISNUMBER(SEARCH("退",INDEX(次果筐明细!$F$4:$F$603,$Z218-5200)&amp;"")),"",IF(N(INDEX(次果筐明细!$G$4:$G$603,$Z218-5200))=0,"",N(INDEX(次果筐明细!$G$4:$G$603,$Z218-5200)))),"")))))</f>
        <v/>
      </c>
      <c r="P218" s="40" t="str">
        <f>IF($Z218="","",IF($Z218&lt;=2000,"",IF($Z218&lt;=4000,IF(N(INDEX(周转筐出入库明细!$I$4:$I$2004,$Z218-2000))=0,"",N(INDEX(周转筐出入库明细!$I$4:$I$2004,$Z218-2000))),IF($Z218&lt;=5200,"",IF($Z218&lt;=5800,IF(ISNUMBER(SEARCH("退",INDEX(次果筐明细!$F$4:$F$603,$Z218-5200)&amp;"")),IF(N(INDEX(次果筐明细!$G$4:$G$603,$Z218-5200))=0,"",N(INDEX(次果筐明细!$G$4:$G$603,$Z218-5200))),""),"")))))</f>
        <v/>
      </c>
      <c r="Q218" s="40" t="str">
        <f>IF($Z218="","",IF($Z218&lt;=2000,"",IF($Z218&lt;=4000,IF(N(INDEX(周转筐出入库明细!$H$4:$H$2004,$Z218-2000))=0,"",N(INDEX(周转筐出入库明细!$H$4:$H$2004,$Z218-2000))),IF($Z218&lt;=5200,IF(N(INDEX(客户自备加工筐明细!$F$4:$F$1203,$Z218-4000))=0,"",N(INDEX(客户自备加工筐明细!$F$4:$F$1203,$Z218-4000))),IF($Z218&lt;=5800,"","")))))</f>
        <v/>
      </c>
      <c r="R218" s="16" t="str">
        <f>IF($Z218="","",IF($Z218&lt;=2000,IF(INDEX(包装物料出入库明细!$O$4:$O$2003,$Z218-0)=0,"",INDEX(包装物料出入库明细!$O$4:$O$2003,$Z218-0)),IF($Z218&lt;=4000,IF(INDEX(周转筐出入库明细!$M$4:$M$2004,$Z218-2000)=0,"",INDEX(周转筐出入库明细!$M$4:$M$2004,$Z218-2000)),IF($Z218&lt;=5200,IF(INDEX(客户自备加工筐明细!$H$4:$H$1203,$Z218-4000)=0,"",INDEX(客户自备加工筐明细!$H$4:$H$1203,$Z218-4000)),IF($Z218&lt;=5800,IF(INDEX(次果筐明细!$H$4:$H$603,$Z218-5200)=0,"",INDEX(次果筐明细!$H$4:$H$603,$Z218-5200)),"")))))</f>
        <v/>
      </c>
      <c r="S218" s="22" t="str">
        <f t="shared" si="11"/>
        <v/>
      </c>
      <c r="Z218" s="10" t="str">
        <f>IFERROR(MATCH(ROW()-3,_自动清单!$CQ$4:$CQ$5803,0),"")</f>
        <v/>
      </c>
    </row>
    <row r="219" spans="1:26">
      <c r="A219" s="24" t="str">
        <f t="shared" si="9"/>
        <v/>
      </c>
      <c r="B219" s="38" t="str">
        <f>IF($Z219="","",IF($Z219&lt;=2000,IF(INDEX(包装物料出入库明细!$B$4:$B$2003,$Z219-0)=0,"",INDEX(包装物料出入库明细!$B$4:$B$2003,$Z219-0)),IF($Z219&lt;=4000,IF(INDEX(周转筐出入库明细!$B$4:$B$2004,$Z219-2000)=0,"",INDEX(周转筐出入库明细!$B$4:$B$2004,$Z219-2000)),IF($Z219&lt;=5200,IF(INDEX(客户自备加工筐明细!$B$4:$B$1203,$Z219-4000)=0,"",INDEX(客户自备加工筐明细!$B$4:$B$1203,$Z219-4000)),IF($Z219&lt;=5800,IF(INDEX(次果筐明细!$B$4:$B$603,$Z219-5200)=0,"",INDEX(次果筐明细!$B$4:$B$603,$Z219-5200)),"")))))</f>
        <v/>
      </c>
      <c r="C219" s="37" t="str">
        <f>IF($Z219="","",IF($Z219&lt;=2000,IF(INDEX(包装物料出入库明细!$D$4:$D$2003,$Z219-0)=0,"",INDEX(包装物料出入库明细!$D$4:$D$2003,$Z219-0)),IF($Z219&lt;=4000,IF(INDEX(周转筐出入库明细!$C$4:$C$2004,$Z219-2000)=0,"",INDEX(周转筐出入库明细!$C$4:$C$2004,$Z219-2000)),IF($Z219&lt;=5200,IF(INDEX(客户自备加工筐明细!$E$4:$E$1203,$Z219-4000)=0,"",INDEX(客户自备加工筐明细!$E$4:$E$1203,$Z219-4000)),IF($Z219&lt;=5800,IF(INDEX(次果筐明细!$C$4:$C$603,$Z219-5200)=0,"",INDEX(次果筐明细!$C$4:$C$603,$Z219-5200)),"")))))</f>
        <v/>
      </c>
      <c r="D219" s="37" t="str">
        <f>IF($Z219="","",IF($Z219&lt;=2000,"包装物料－"&amp;INDEX(包装物料出入库明细!$H$4:$H$2003,$Z219-0),IF($Z219&lt;=4000,"周转筐－"&amp;INDEX(周转筐出入库明细!$F$4:$F$2004,$Z219-2000),IF($Z219&lt;=5200,"客户自备筐－"&amp;INDEX(客户自备加工筐明细!$J$4:$J$1203,$Z219-4000),IF($Z219&lt;=5800,"次果筐/托盘－"&amp;INDEX(次果筐明细!$F$4:$F$603,$Z219-5200),"")))))</f>
        <v/>
      </c>
      <c r="E219" s="24" t="str">
        <f>IF($Z219="","",IF($Z219&lt;=2000,IF(INDEX(包装物料出入库明细!$C$4:$C$2003,$Z219-0)=0,"",INDEX(包装物料出入库明细!$C$4:$C$2003,$Z219-0)),IF($Z219&lt;=4000,IF(INDEX(周转筐出入库明细!$E$4:$E$2004,$Z219-2000)=0,"",INDEX(周转筐出入库明细!$E$4:$E$2004,$Z219-2000)),IF($Z219&lt;=5200,IF(INDEX(客户自备加工筐明细!$D$4:$D$1203,$Z219-4000)=0,"",INDEX(客户自备加工筐明细!$D$4:$D$1203,$Z219-4000)),IF($Z219&lt;=5800,IF(INDEX(次果筐明细!$E$4:$E$603,$Z219-5200)=0,"",INDEX(次果筐明细!$E$4:$E$603,$Z219-5200)),"")))))</f>
        <v/>
      </c>
      <c r="F219" s="24" t="str">
        <f>IF($Z219="","",IF($Z219&lt;=2000,IF(INDEX(包装物料出入库明细!$E$4:$E$2003,$Z219-0)=0,"",INDEX(包装物料出入库明细!$E$4:$E$2003,$Z219-0)),IF($Z219&lt;=4000,IF(INDEX(周转筐出入库明细!$D$4:$D$2004,$Z219-2000)=0,"",INDEX(周转筐出入库明细!$D$4:$D$2004,$Z219-2000)),IF($Z219&lt;=5200,IF(INDEX(客户自备加工筐明细!$C$4:$C$1203,$Z219-4000)=0,"",INDEX(客户自备加工筐明细!$C$4:$C$1203,$Z219-4000)),IF($Z219&lt;=5800,IF(INDEX(次果筐明细!$D$4:$D$603,$Z219-5200)=0,"",INDEX(次果筐明细!$D$4:$D$603,$Z219-5200)),"")))))</f>
        <v/>
      </c>
      <c r="G219" s="24" t="str">
        <f>IF($Z219="","",IF($Z219&lt;=2000,IF(INDEX(包装物料出入库明细!$F$4:$F$2003,$Z219-0)=0,"",INDEX(包装物料出入库明细!$F$4:$F$2003,$Z219-0)),IF($Z219&lt;=4000,"",IF($Z219&lt;=5200,"",IF($Z219&lt;=5800,"","")))))</f>
        <v/>
      </c>
      <c r="H219" s="39" t="str">
        <f>IF($Z219="","",IF($Z219&lt;=2000,IF(INDEX(包装物料出入库明细!$L$4:$L$2003,$Z219-0)=0,"",INDEX(包装物料出入库明细!$L$4:$L$2003,$Z219-0)),IF($Z219&lt;=4000,N(INDEX(周转筐出入库明细!$H$4:$H$2004,$Z219-2000))+N(INDEX(周转筐出入库明细!$I$4:$I$2004,$Z219-2000))+N(INDEX(周转筐出入库明细!$J$4:$J$2004,$Z219-2000))+N(INDEX(周转筐出入库明细!$K$4:$K$2004,$Z219-2000)),IF($Z219&lt;=5200,N(INDEX(客户自备加工筐明细!$F$4:$F$1203,$Z219-4000))+N(INDEX(客户自备加工筐明细!$G$4:$G$1203,$Z219-4000)),IF($Z219&lt;=5800,IF(INDEX(次果筐明细!$G$4:$G$603,$Z219-5200)=0,"",INDEX(次果筐明细!$G$4:$G$603,$Z219-5200)),"")))))</f>
        <v/>
      </c>
      <c r="I219" s="24" t="str">
        <f>IF($Z219="","",IF($Z219&lt;=2000,IF(INDEX(包装物料出入库明细!$G$4:$G$2003,$Z219-0)=0,"",INDEX(包装物料出入库明细!$G$4:$G$2003,$Z219-0)),IF($Z219&lt;=4000,"个",IF($Z219&lt;=5200,"个",IF($Z219&lt;=5800,"个","")))))</f>
        <v/>
      </c>
      <c r="J219" s="30" t="str">
        <f t="shared" si="10"/>
        <v/>
      </c>
      <c r="K219" s="30" t="str">
        <f>IF($Z219="","",IF($Z219&lt;=2000,IF(INDEX(包装物料出入库明细!$N$4:$N$2003,$Z219-0)=0,"",INDEX(包装物料出入库明细!$N$4:$N$2003,$Z219-0)),IF($Z219&lt;=4000,IF(INDEX(周转筐出入库明细!$P$4:$P$2004,$Z219-2000)=0,"",INDEX(周转筐出入库明细!$P$4:$P$2004,$Z219-2000)),IF($Z219&lt;=5200,"",IF($Z219&lt;=5800,N(INDEX(次果筐明细!$L$4:$L$603,$Z219-5200))+N(INDEX(次果筐明细!$J$4:$J$603,$Z219-5200)),"")))))</f>
        <v/>
      </c>
      <c r="L219" s="24" t="str">
        <f>IF($Z219="","",IF($Z219&lt;=2000,IF(INDEX(包装物料出入库明细!$P$4:$P$2003,$Z219-0)=0,"",INDEX(包装物料出入库明细!$P$4:$P$2003,$Z219-0)),IF($Z219&lt;=4000,IF(INDEX(周转筐出入库明细!$Q$4:$Q$2004,$Z219-2000)=0,"",INDEX(周转筐出入库明细!$Q$4:$Q$2004,$Z219-2000)),IF($Z219&lt;=5200,"",IF($Z219&lt;=5800,IF(INDEX(次果筐明细!$M$4:$M$603,$Z219-5200)=0,"",INDEX(次果筐明细!$M$4:$M$603,$Z219-5200)),"")))))</f>
        <v/>
      </c>
      <c r="M219" s="37" t="str">
        <f>IF($Z219="","",IF($Z219&lt;=2000,IF(INDEX(包装物料出入库明细!$R$4:$R$2003,$Z219-0)=0,"",INDEX(包装物料出入库明细!$R$4:$R$2003,$Z219-0)),IF($Z219&lt;=4000,IF(INDEX(周转筐出入库明细!$W$4:$W$2004,$Z219-2000)=0,"",INDEX(周转筐出入库明细!$W$4:$W$2004,$Z219-2000)),IF($Z219&lt;=5200,IF(INDEX(客户自备加工筐明细!$L$4:$L$1203,$Z219-4000)=0,"",INDEX(客户自备加工筐明细!$L$4:$L$1203,$Z219-4000)),IF($Z219&lt;=5800,IF(INDEX(次果筐明细!$P$4:$P$603,$Z219-5200)=0,"",INDEX(次果筐明细!$P$4:$P$603,$Z219-5200)),"")))))</f>
        <v/>
      </c>
      <c r="N219" s="16" t="str">
        <f>IF($Z219="","",IF($Z219&lt;=2000,"",IF($Z219&lt;=4000,IF(INDEX(周转筐出入库明细!$D$4:$D$2004,$Z219-2000)=0,"",INDEX(周转筐出入库明细!$D$4:$D$2004,$Z219-2000)),IF($Z219&lt;=5200,IF(INDEX(客户自备加工筐明细!$C$4:$C$1203,$Z219-4000)=0,"",INDEX(客户自备加工筐明细!$C$4:$C$1203,$Z219-4000)),IF($Z219&lt;=5800,IF(INDEX(次果筐明细!$D$4:$D$603,$Z219-5200)=0,"",INDEX(次果筐明细!$D$4:$D$603,$Z219-5200)),"")))))</f>
        <v/>
      </c>
      <c r="O219" s="40" t="str">
        <f>IF($Z219="","",IF($Z219&lt;=2000,"",IF($Z219&lt;=4000,IF(N(INDEX(周转筐出入库明细!$J$4:$J$2004,$Z219-2000))+N(INDEX(周转筐出入库明细!$K$4:$K$2004,$Z219-2000))=0,"",N(INDEX(周转筐出入库明细!$J$4:$J$2004,$Z219-2000))+N(INDEX(周转筐出入库明细!$K$4:$K$2004,$Z219-2000))),IF($Z219&lt;=5200,IF(N(INDEX(客户自备加工筐明细!$G$4:$G$1203,$Z219-4000))=0,"",N(INDEX(客户自备加工筐明细!$G$4:$G$1203,$Z219-4000))),IF($Z219&lt;=5800,IF(ISNUMBER(SEARCH("退",INDEX(次果筐明细!$F$4:$F$603,$Z219-5200)&amp;"")),"",IF(N(INDEX(次果筐明细!$G$4:$G$603,$Z219-5200))=0,"",N(INDEX(次果筐明细!$G$4:$G$603,$Z219-5200)))),"")))))</f>
        <v/>
      </c>
      <c r="P219" s="40" t="str">
        <f>IF($Z219="","",IF($Z219&lt;=2000,"",IF($Z219&lt;=4000,IF(N(INDEX(周转筐出入库明细!$I$4:$I$2004,$Z219-2000))=0,"",N(INDEX(周转筐出入库明细!$I$4:$I$2004,$Z219-2000))),IF($Z219&lt;=5200,"",IF($Z219&lt;=5800,IF(ISNUMBER(SEARCH("退",INDEX(次果筐明细!$F$4:$F$603,$Z219-5200)&amp;"")),IF(N(INDEX(次果筐明细!$G$4:$G$603,$Z219-5200))=0,"",N(INDEX(次果筐明细!$G$4:$G$603,$Z219-5200))),""),"")))))</f>
        <v/>
      </c>
      <c r="Q219" s="40" t="str">
        <f>IF($Z219="","",IF($Z219&lt;=2000,"",IF($Z219&lt;=4000,IF(N(INDEX(周转筐出入库明细!$H$4:$H$2004,$Z219-2000))=0,"",N(INDEX(周转筐出入库明细!$H$4:$H$2004,$Z219-2000))),IF($Z219&lt;=5200,IF(N(INDEX(客户自备加工筐明细!$F$4:$F$1203,$Z219-4000))=0,"",N(INDEX(客户自备加工筐明细!$F$4:$F$1203,$Z219-4000))),IF($Z219&lt;=5800,"","")))))</f>
        <v/>
      </c>
      <c r="R219" s="16" t="str">
        <f>IF($Z219="","",IF($Z219&lt;=2000,IF(INDEX(包装物料出入库明细!$O$4:$O$2003,$Z219-0)=0,"",INDEX(包装物料出入库明细!$O$4:$O$2003,$Z219-0)),IF($Z219&lt;=4000,IF(INDEX(周转筐出入库明细!$M$4:$M$2004,$Z219-2000)=0,"",INDEX(周转筐出入库明细!$M$4:$M$2004,$Z219-2000)),IF($Z219&lt;=5200,IF(INDEX(客户自备加工筐明细!$H$4:$H$1203,$Z219-4000)=0,"",INDEX(客户自备加工筐明细!$H$4:$H$1203,$Z219-4000)),IF($Z219&lt;=5800,IF(INDEX(次果筐明细!$H$4:$H$603,$Z219-5200)=0,"",INDEX(次果筐明细!$H$4:$H$603,$Z219-5200)),"")))))</f>
        <v/>
      </c>
      <c r="S219" s="22" t="str">
        <f t="shared" si="11"/>
        <v/>
      </c>
      <c r="Z219" s="10" t="str">
        <f>IFERROR(MATCH(ROW()-3,_自动清单!$CQ$4:$CQ$5803,0),"")</f>
        <v/>
      </c>
    </row>
    <row r="220" spans="1:26">
      <c r="A220" s="24" t="str">
        <f t="shared" si="9"/>
        <v/>
      </c>
      <c r="B220" s="38" t="str">
        <f>IF($Z220="","",IF($Z220&lt;=2000,IF(INDEX(包装物料出入库明细!$B$4:$B$2003,$Z220-0)=0,"",INDEX(包装物料出入库明细!$B$4:$B$2003,$Z220-0)),IF($Z220&lt;=4000,IF(INDEX(周转筐出入库明细!$B$4:$B$2004,$Z220-2000)=0,"",INDEX(周转筐出入库明细!$B$4:$B$2004,$Z220-2000)),IF($Z220&lt;=5200,IF(INDEX(客户自备加工筐明细!$B$4:$B$1203,$Z220-4000)=0,"",INDEX(客户自备加工筐明细!$B$4:$B$1203,$Z220-4000)),IF($Z220&lt;=5800,IF(INDEX(次果筐明细!$B$4:$B$603,$Z220-5200)=0,"",INDEX(次果筐明细!$B$4:$B$603,$Z220-5200)),"")))))</f>
        <v/>
      </c>
      <c r="C220" s="37" t="str">
        <f>IF($Z220="","",IF($Z220&lt;=2000,IF(INDEX(包装物料出入库明细!$D$4:$D$2003,$Z220-0)=0,"",INDEX(包装物料出入库明细!$D$4:$D$2003,$Z220-0)),IF($Z220&lt;=4000,IF(INDEX(周转筐出入库明细!$C$4:$C$2004,$Z220-2000)=0,"",INDEX(周转筐出入库明细!$C$4:$C$2004,$Z220-2000)),IF($Z220&lt;=5200,IF(INDEX(客户自备加工筐明细!$E$4:$E$1203,$Z220-4000)=0,"",INDEX(客户自备加工筐明细!$E$4:$E$1203,$Z220-4000)),IF($Z220&lt;=5800,IF(INDEX(次果筐明细!$C$4:$C$603,$Z220-5200)=0,"",INDEX(次果筐明细!$C$4:$C$603,$Z220-5200)),"")))))</f>
        <v/>
      </c>
      <c r="D220" s="37" t="str">
        <f>IF($Z220="","",IF($Z220&lt;=2000,"包装物料－"&amp;INDEX(包装物料出入库明细!$H$4:$H$2003,$Z220-0),IF($Z220&lt;=4000,"周转筐－"&amp;INDEX(周转筐出入库明细!$F$4:$F$2004,$Z220-2000),IF($Z220&lt;=5200,"客户自备筐－"&amp;INDEX(客户自备加工筐明细!$J$4:$J$1203,$Z220-4000),IF($Z220&lt;=5800,"次果筐/托盘－"&amp;INDEX(次果筐明细!$F$4:$F$603,$Z220-5200),"")))))</f>
        <v/>
      </c>
      <c r="E220" s="24" t="str">
        <f>IF($Z220="","",IF($Z220&lt;=2000,IF(INDEX(包装物料出入库明细!$C$4:$C$2003,$Z220-0)=0,"",INDEX(包装物料出入库明细!$C$4:$C$2003,$Z220-0)),IF($Z220&lt;=4000,IF(INDEX(周转筐出入库明细!$E$4:$E$2004,$Z220-2000)=0,"",INDEX(周转筐出入库明细!$E$4:$E$2004,$Z220-2000)),IF($Z220&lt;=5200,IF(INDEX(客户自备加工筐明细!$D$4:$D$1203,$Z220-4000)=0,"",INDEX(客户自备加工筐明细!$D$4:$D$1203,$Z220-4000)),IF($Z220&lt;=5800,IF(INDEX(次果筐明细!$E$4:$E$603,$Z220-5200)=0,"",INDEX(次果筐明细!$E$4:$E$603,$Z220-5200)),"")))))</f>
        <v/>
      </c>
      <c r="F220" s="24" t="str">
        <f>IF($Z220="","",IF($Z220&lt;=2000,IF(INDEX(包装物料出入库明细!$E$4:$E$2003,$Z220-0)=0,"",INDEX(包装物料出入库明细!$E$4:$E$2003,$Z220-0)),IF($Z220&lt;=4000,IF(INDEX(周转筐出入库明细!$D$4:$D$2004,$Z220-2000)=0,"",INDEX(周转筐出入库明细!$D$4:$D$2004,$Z220-2000)),IF($Z220&lt;=5200,IF(INDEX(客户自备加工筐明细!$C$4:$C$1203,$Z220-4000)=0,"",INDEX(客户自备加工筐明细!$C$4:$C$1203,$Z220-4000)),IF($Z220&lt;=5800,IF(INDEX(次果筐明细!$D$4:$D$603,$Z220-5200)=0,"",INDEX(次果筐明细!$D$4:$D$603,$Z220-5200)),"")))))</f>
        <v/>
      </c>
      <c r="G220" s="24" t="str">
        <f>IF($Z220="","",IF($Z220&lt;=2000,IF(INDEX(包装物料出入库明细!$F$4:$F$2003,$Z220-0)=0,"",INDEX(包装物料出入库明细!$F$4:$F$2003,$Z220-0)),IF($Z220&lt;=4000,"",IF($Z220&lt;=5200,"",IF($Z220&lt;=5800,"","")))))</f>
        <v/>
      </c>
      <c r="H220" s="39" t="str">
        <f>IF($Z220="","",IF($Z220&lt;=2000,IF(INDEX(包装物料出入库明细!$L$4:$L$2003,$Z220-0)=0,"",INDEX(包装物料出入库明细!$L$4:$L$2003,$Z220-0)),IF($Z220&lt;=4000,N(INDEX(周转筐出入库明细!$H$4:$H$2004,$Z220-2000))+N(INDEX(周转筐出入库明细!$I$4:$I$2004,$Z220-2000))+N(INDEX(周转筐出入库明细!$J$4:$J$2004,$Z220-2000))+N(INDEX(周转筐出入库明细!$K$4:$K$2004,$Z220-2000)),IF($Z220&lt;=5200,N(INDEX(客户自备加工筐明细!$F$4:$F$1203,$Z220-4000))+N(INDEX(客户自备加工筐明细!$G$4:$G$1203,$Z220-4000)),IF($Z220&lt;=5800,IF(INDEX(次果筐明细!$G$4:$G$603,$Z220-5200)=0,"",INDEX(次果筐明细!$G$4:$G$603,$Z220-5200)),"")))))</f>
        <v/>
      </c>
      <c r="I220" s="24" t="str">
        <f>IF($Z220="","",IF($Z220&lt;=2000,IF(INDEX(包装物料出入库明细!$G$4:$G$2003,$Z220-0)=0,"",INDEX(包装物料出入库明细!$G$4:$G$2003,$Z220-0)),IF($Z220&lt;=4000,"个",IF($Z220&lt;=5200,"个",IF($Z220&lt;=5800,"个","")))))</f>
        <v/>
      </c>
      <c r="J220" s="30" t="str">
        <f t="shared" si="10"/>
        <v/>
      </c>
      <c r="K220" s="30" t="str">
        <f>IF($Z220="","",IF($Z220&lt;=2000,IF(INDEX(包装物料出入库明细!$N$4:$N$2003,$Z220-0)=0,"",INDEX(包装物料出入库明细!$N$4:$N$2003,$Z220-0)),IF($Z220&lt;=4000,IF(INDEX(周转筐出入库明细!$P$4:$P$2004,$Z220-2000)=0,"",INDEX(周转筐出入库明细!$P$4:$P$2004,$Z220-2000)),IF($Z220&lt;=5200,"",IF($Z220&lt;=5800,N(INDEX(次果筐明细!$L$4:$L$603,$Z220-5200))+N(INDEX(次果筐明细!$J$4:$J$603,$Z220-5200)),"")))))</f>
        <v/>
      </c>
      <c r="L220" s="24" t="str">
        <f>IF($Z220="","",IF($Z220&lt;=2000,IF(INDEX(包装物料出入库明细!$P$4:$P$2003,$Z220-0)=0,"",INDEX(包装物料出入库明细!$P$4:$P$2003,$Z220-0)),IF($Z220&lt;=4000,IF(INDEX(周转筐出入库明细!$Q$4:$Q$2004,$Z220-2000)=0,"",INDEX(周转筐出入库明细!$Q$4:$Q$2004,$Z220-2000)),IF($Z220&lt;=5200,"",IF($Z220&lt;=5800,IF(INDEX(次果筐明细!$M$4:$M$603,$Z220-5200)=0,"",INDEX(次果筐明细!$M$4:$M$603,$Z220-5200)),"")))))</f>
        <v/>
      </c>
      <c r="M220" s="37" t="str">
        <f>IF($Z220="","",IF($Z220&lt;=2000,IF(INDEX(包装物料出入库明细!$R$4:$R$2003,$Z220-0)=0,"",INDEX(包装物料出入库明细!$R$4:$R$2003,$Z220-0)),IF($Z220&lt;=4000,IF(INDEX(周转筐出入库明细!$W$4:$W$2004,$Z220-2000)=0,"",INDEX(周转筐出入库明细!$W$4:$W$2004,$Z220-2000)),IF($Z220&lt;=5200,IF(INDEX(客户自备加工筐明细!$L$4:$L$1203,$Z220-4000)=0,"",INDEX(客户自备加工筐明细!$L$4:$L$1203,$Z220-4000)),IF($Z220&lt;=5800,IF(INDEX(次果筐明细!$P$4:$P$603,$Z220-5200)=0,"",INDEX(次果筐明细!$P$4:$P$603,$Z220-5200)),"")))))</f>
        <v/>
      </c>
      <c r="N220" s="16" t="str">
        <f>IF($Z220="","",IF($Z220&lt;=2000,"",IF($Z220&lt;=4000,IF(INDEX(周转筐出入库明细!$D$4:$D$2004,$Z220-2000)=0,"",INDEX(周转筐出入库明细!$D$4:$D$2004,$Z220-2000)),IF($Z220&lt;=5200,IF(INDEX(客户自备加工筐明细!$C$4:$C$1203,$Z220-4000)=0,"",INDEX(客户自备加工筐明细!$C$4:$C$1203,$Z220-4000)),IF($Z220&lt;=5800,IF(INDEX(次果筐明细!$D$4:$D$603,$Z220-5200)=0,"",INDEX(次果筐明细!$D$4:$D$603,$Z220-5200)),"")))))</f>
        <v/>
      </c>
      <c r="O220" s="40" t="str">
        <f>IF($Z220="","",IF($Z220&lt;=2000,"",IF($Z220&lt;=4000,IF(N(INDEX(周转筐出入库明细!$J$4:$J$2004,$Z220-2000))+N(INDEX(周转筐出入库明细!$K$4:$K$2004,$Z220-2000))=0,"",N(INDEX(周转筐出入库明细!$J$4:$J$2004,$Z220-2000))+N(INDEX(周转筐出入库明细!$K$4:$K$2004,$Z220-2000))),IF($Z220&lt;=5200,IF(N(INDEX(客户自备加工筐明细!$G$4:$G$1203,$Z220-4000))=0,"",N(INDEX(客户自备加工筐明细!$G$4:$G$1203,$Z220-4000))),IF($Z220&lt;=5800,IF(ISNUMBER(SEARCH("退",INDEX(次果筐明细!$F$4:$F$603,$Z220-5200)&amp;"")),"",IF(N(INDEX(次果筐明细!$G$4:$G$603,$Z220-5200))=0,"",N(INDEX(次果筐明细!$G$4:$G$603,$Z220-5200)))),"")))))</f>
        <v/>
      </c>
      <c r="P220" s="40" t="str">
        <f>IF($Z220="","",IF($Z220&lt;=2000,"",IF($Z220&lt;=4000,IF(N(INDEX(周转筐出入库明细!$I$4:$I$2004,$Z220-2000))=0,"",N(INDEX(周转筐出入库明细!$I$4:$I$2004,$Z220-2000))),IF($Z220&lt;=5200,"",IF($Z220&lt;=5800,IF(ISNUMBER(SEARCH("退",INDEX(次果筐明细!$F$4:$F$603,$Z220-5200)&amp;"")),IF(N(INDEX(次果筐明细!$G$4:$G$603,$Z220-5200))=0,"",N(INDEX(次果筐明细!$G$4:$G$603,$Z220-5200))),""),"")))))</f>
        <v/>
      </c>
      <c r="Q220" s="40" t="str">
        <f>IF($Z220="","",IF($Z220&lt;=2000,"",IF($Z220&lt;=4000,IF(N(INDEX(周转筐出入库明细!$H$4:$H$2004,$Z220-2000))=0,"",N(INDEX(周转筐出入库明细!$H$4:$H$2004,$Z220-2000))),IF($Z220&lt;=5200,IF(N(INDEX(客户自备加工筐明细!$F$4:$F$1203,$Z220-4000))=0,"",N(INDEX(客户自备加工筐明细!$F$4:$F$1203,$Z220-4000))),IF($Z220&lt;=5800,"","")))))</f>
        <v/>
      </c>
      <c r="R220" s="16" t="str">
        <f>IF($Z220="","",IF($Z220&lt;=2000,IF(INDEX(包装物料出入库明细!$O$4:$O$2003,$Z220-0)=0,"",INDEX(包装物料出入库明细!$O$4:$O$2003,$Z220-0)),IF($Z220&lt;=4000,IF(INDEX(周转筐出入库明细!$M$4:$M$2004,$Z220-2000)=0,"",INDEX(周转筐出入库明细!$M$4:$M$2004,$Z220-2000)),IF($Z220&lt;=5200,IF(INDEX(客户自备加工筐明细!$H$4:$H$1203,$Z220-4000)=0,"",INDEX(客户自备加工筐明细!$H$4:$H$1203,$Z220-4000)),IF($Z220&lt;=5800,IF(INDEX(次果筐明细!$H$4:$H$603,$Z220-5200)=0,"",INDEX(次果筐明细!$H$4:$H$603,$Z220-5200)),"")))))</f>
        <v/>
      </c>
      <c r="S220" s="22" t="str">
        <f t="shared" si="11"/>
        <v/>
      </c>
      <c r="Z220" s="10" t="str">
        <f>IFERROR(MATCH(ROW()-3,_自动清单!$CQ$4:$CQ$5803,0),"")</f>
        <v/>
      </c>
    </row>
    <row r="221" spans="1:26">
      <c r="A221" s="24" t="str">
        <f t="shared" si="9"/>
        <v/>
      </c>
      <c r="B221" s="38" t="str">
        <f>IF($Z221="","",IF($Z221&lt;=2000,IF(INDEX(包装物料出入库明细!$B$4:$B$2003,$Z221-0)=0,"",INDEX(包装物料出入库明细!$B$4:$B$2003,$Z221-0)),IF($Z221&lt;=4000,IF(INDEX(周转筐出入库明细!$B$4:$B$2004,$Z221-2000)=0,"",INDEX(周转筐出入库明细!$B$4:$B$2004,$Z221-2000)),IF($Z221&lt;=5200,IF(INDEX(客户自备加工筐明细!$B$4:$B$1203,$Z221-4000)=0,"",INDEX(客户自备加工筐明细!$B$4:$B$1203,$Z221-4000)),IF($Z221&lt;=5800,IF(INDEX(次果筐明细!$B$4:$B$603,$Z221-5200)=0,"",INDEX(次果筐明细!$B$4:$B$603,$Z221-5200)),"")))))</f>
        <v/>
      </c>
      <c r="C221" s="37" t="str">
        <f>IF($Z221="","",IF($Z221&lt;=2000,IF(INDEX(包装物料出入库明细!$D$4:$D$2003,$Z221-0)=0,"",INDEX(包装物料出入库明细!$D$4:$D$2003,$Z221-0)),IF($Z221&lt;=4000,IF(INDEX(周转筐出入库明细!$C$4:$C$2004,$Z221-2000)=0,"",INDEX(周转筐出入库明细!$C$4:$C$2004,$Z221-2000)),IF($Z221&lt;=5200,IF(INDEX(客户自备加工筐明细!$E$4:$E$1203,$Z221-4000)=0,"",INDEX(客户自备加工筐明细!$E$4:$E$1203,$Z221-4000)),IF($Z221&lt;=5800,IF(INDEX(次果筐明细!$C$4:$C$603,$Z221-5200)=0,"",INDEX(次果筐明细!$C$4:$C$603,$Z221-5200)),"")))))</f>
        <v/>
      </c>
      <c r="D221" s="37" t="str">
        <f>IF($Z221="","",IF($Z221&lt;=2000,"包装物料－"&amp;INDEX(包装物料出入库明细!$H$4:$H$2003,$Z221-0),IF($Z221&lt;=4000,"周转筐－"&amp;INDEX(周转筐出入库明细!$F$4:$F$2004,$Z221-2000),IF($Z221&lt;=5200,"客户自备筐－"&amp;INDEX(客户自备加工筐明细!$J$4:$J$1203,$Z221-4000),IF($Z221&lt;=5800,"次果筐/托盘－"&amp;INDEX(次果筐明细!$F$4:$F$603,$Z221-5200),"")))))</f>
        <v/>
      </c>
      <c r="E221" s="24" t="str">
        <f>IF($Z221="","",IF($Z221&lt;=2000,IF(INDEX(包装物料出入库明细!$C$4:$C$2003,$Z221-0)=0,"",INDEX(包装物料出入库明细!$C$4:$C$2003,$Z221-0)),IF($Z221&lt;=4000,IF(INDEX(周转筐出入库明细!$E$4:$E$2004,$Z221-2000)=0,"",INDEX(周转筐出入库明细!$E$4:$E$2004,$Z221-2000)),IF($Z221&lt;=5200,IF(INDEX(客户自备加工筐明细!$D$4:$D$1203,$Z221-4000)=0,"",INDEX(客户自备加工筐明细!$D$4:$D$1203,$Z221-4000)),IF($Z221&lt;=5800,IF(INDEX(次果筐明细!$E$4:$E$603,$Z221-5200)=0,"",INDEX(次果筐明细!$E$4:$E$603,$Z221-5200)),"")))))</f>
        <v/>
      </c>
      <c r="F221" s="24" t="str">
        <f>IF($Z221="","",IF($Z221&lt;=2000,IF(INDEX(包装物料出入库明细!$E$4:$E$2003,$Z221-0)=0,"",INDEX(包装物料出入库明细!$E$4:$E$2003,$Z221-0)),IF($Z221&lt;=4000,IF(INDEX(周转筐出入库明细!$D$4:$D$2004,$Z221-2000)=0,"",INDEX(周转筐出入库明细!$D$4:$D$2004,$Z221-2000)),IF($Z221&lt;=5200,IF(INDEX(客户自备加工筐明细!$C$4:$C$1203,$Z221-4000)=0,"",INDEX(客户自备加工筐明细!$C$4:$C$1203,$Z221-4000)),IF($Z221&lt;=5800,IF(INDEX(次果筐明细!$D$4:$D$603,$Z221-5200)=0,"",INDEX(次果筐明细!$D$4:$D$603,$Z221-5200)),"")))))</f>
        <v/>
      </c>
      <c r="G221" s="24" t="str">
        <f>IF($Z221="","",IF($Z221&lt;=2000,IF(INDEX(包装物料出入库明细!$F$4:$F$2003,$Z221-0)=0,"",INDEX(包装物料出入库明细!$F$4:$F$2003,$Z221-0)),IF($Z221&lt;=4000,"",IF($Z221&lt;=5200,"",IF($Z221&lt;=5800,"","")))))</f>
        <v/>
      </c>
      <c r="H221" s="39" t="str">
        <f>IF($Z221="","",IF($Z221&lt;=2000,IF(INDEX(包装物料出入库明细!$L$4:$L$2003,$Z221-0)=0,"",INDEX(包装物料出入库明细!$L$4:$L$2003,$Z221-0)),IF($Z221&lt;=4000,N(INDEX(周转筐出入库明细!$H$4:$H$2004,$Z221-2000))+N(INDEX(周转筐出入库明细!$I$4:$I$2004,$Z221-2000))+N(INDEX(周转筐出入库明细!$J$4:$J$2004,$Z221-2000))+N(INDEX(周转筐出入库明细!$K$4:$K$2004,$Z221-2000)),IF($Z221&lt;=5200,N(INDEX(客户自备加工筐明细!$F$4:$F$1203,$Z221-4000))+N(INDEX(客户自备加工筐明细!$G$4:$G$1203,$Z221-4000)),IF($Z221&lt;=5800,IF(INDEX(次果筐明细!$G$4:$G$603,$Z221-5200)=0,"",INDEX(次果筐明细!$G$4:$G$603,$Z221-5200)),"")))))</f>
        <v/>
      </c>
      <c r="I221" s="24" t="str">
        <f>IF($Z221="","",IF($Z221&lt;=2000,IF(INDEX(包装物料出入库明细!$G$4:$G$2003,$Z221-0)=0,"",INDEX(包装物料出入库明细!$G$4:$G$2003,$Z221-0)),IF($Z221&lt;=4000,"个",IF($Z221&lt;=5200,"个",IF($Z221&lt;=5800,"个","")))))</f>
        <v/>
      </c>
      <c r="J221" s="30" t="str">
        <f t="shared" si="10"/>
        <v/>
      </c>
      <c r="K221" s="30" t="str">
        <f>IF($Z221="","",IF($Z221&lt;=2000,IF(INDEX(包装物料出入库明细!$N$4:$N$2003,$Z221-0)=0,"",INDEX(包装物料出入库明细!$N$4:$N$2003,$Z221-0)),IF($Z221&lt;=4000,IF(INDEX(周转筐出入库明细!$P$4:$P$2004,$Z221-2000)=0,"",INDEX(周转筐出入库明细!$P$4:$P$2004,$Z221-2000)),IF($Z221&lt;=5200,"",IF($Z221&lt;=5800,N(INDEX(次果筐明细!$L$4:$L$603,$Z221-5200))+N(INDEX(次果筐明细!$J$4:$J$603,$Z221-5200)),"")))))</f>
        <v/>
      </c>
      <c r="L221" s="24" t="str">
        <f>IF($Z221="","",IF($Z221&lt;=2000,IF(INDEX(包装物料出入库明细!$P$4:$P$2003,$Z221-0)=0,"",INDEX(包装物料出入库明细!$P$4:$P$2003,$Z221-0)),IF($Z221&lt;=4000,IF(INDEX(周转筐出入库明细!$Q$4:$Q$2004,$Z221-2000)=0,"",INDEX(周转筐出入库明细!$Q$4:$Q$2004,$Z221-2000)),IF($Z221&lt;=5200,"",IF($Z221&lt;=5800,IF(INDEX(次果筐明细!$M$4:$M$603,$Z221-5200)=0,"",INDEX(次果筐明细!$M$4:$M$603,$Z221-5200)),"")))))</f>
        <v/>
      </c>
      <c r="M221" s="37" t="str">
        <f>IF($Z221="","",IF($Z221&lt;=2000,IF(INDEX(包装物料出入库明细!$R$4:$R$2003,$Z221-0)=0,"",INDEX(包装物料出入库明细!$R$4:$R$2003,$Z221-0)),IF($Z221&lt;=4000,IF(INDEX(周转筐出入库明细!$W$4:$W$2004,$Z221-2000)=0,"",INDEX(周转筐出入库明细!$W$4:$W$2004,$Z221-2000)),IF($Z221&lt;=5200,IF(INDEX(客户自备加工筐明细!$L$4:$L$1203,$Z221-4000)=0,"",INDEX(客户自备加工筐明细!$L$4:$L$1203,$Z221-4000)),IF($Z221&lt;=5800,IF(INDEX(次果筐明细!$P$4:$P$603,$Z221-5200)=0,"",INDEX(次果筐明细!$P$4:$P$603,$Z221-5200)),"")))))</f>
        <v/>
      </c>
      <c r="N221" s="16" t="str">
        <f>IF($Z221="","",IF($Z221&lt;=2000,"",IF($Z221&lt;=4000,IF(INDEX(周转筐出入库明细!$D$4:$D$2004,$Z221-2000)=0,"",INDEX(周转筐出入库明细!$D$4:$D$2004,$Z221-2000)),IF($Z221&lt;=5200,IF(INDEX(客户自备加工筐明细!$C$4:$C$1203,$Z221-4000)=0,"",INDEX(客户自备加工筐明细!$C$4:$C$1203,$Z221-4000)),IF($Z221&lt;=5800,IF(INDEX(次果筐明细!$D$4:$D$603,$Z221-5200)=0,"",INDEX(次果筐明细!$D$4:$D$603,$Z221-5200)),"")))))</f>
        <v/>
      </c>
      <c r="O221" s="40" t="str">
        <f>IF($Z221="","",IF($Z221&lt;=2000,"",IF($Z221&lt;=4000,IF(N(INDEX(周转筐出入库明细!$J$4:$J$2004,$Z221-2000))+N(INDEX(周转筐出入库明细!$K$4:$K$2004,$Z221-2000))=0,"",N(INDEX(周转筐出入库明细!$J$4:$J$2004,$Z221-2000))+N(INDEX(周转筐出入库明细!$K$4:$K$2004,$Z221-2000))),IF($Z221&lt;=5200,IF(N(INDEX(客户自备加工筐明细!$G$4:$G$1203,$Z221-4000))=0,"",N(INDEX(客户自备加工筐明细!$G$4:$G$1203,$Z221-4000))),IF($Z221&lt;=5800,IF(ISNUMBER(SEARCH("退",INDEX(次果筐明细!$F$4:$F$603,$Z221-5200)&amp;"")),"",IF(N(INDEX(次果筐明细!$G$4:$G$603,$Z221-5200))=0,"",N(INDEX(次果筐明细!$G$4:$G$603,$Z221-5200)))),"")))))</f>
        <v/>
      </c>
      <c r="P221" s="40" t="str">
        <f>IF($Z221="","",IF($Z221&lt;=2000,"",IF($Z221&lt;=4000,IF(N(INDEX(周转筐出入库明细!$I$4:$I$2004,$Z221-2000))=0,"",N(INDEX(周转筐出入库明细!$I$4:$I$2004,$Z221-2000))),IF($Z221&lt;=5200,"",IF($Z221&lt;=5800,IF(ISNUMBER(SEARCH("退",INDEX(次果筐明细!$F$4:$F$603,$Z221-5200)&amp;"")),IF(N(INDEX(次果筐明细!$G$4:$G$603,$Z221-5200))=0,"",N(INDEX(次果筐明细!$G$4:$G$603,$Z221-5200))),""),"")))))</f>
        <v/>
      </c>
      <c r="Q221" s="40" t="str">
        <f>IF($Z221="","",IF($Z221&lt;=2000,"",IF($Z221&lt;=4000,IF(N(INDEX(周转筐出入库明细!$H$4:$H$2004,$Z221-2000))=0,"",N(INDEX(周转筐出入库明细!$H$4:$H$2004,$Z221-2000))),IF($Z221&lt;=5200,IF(N(INDEX(客户自备加工筐明细!$F$4:$F$1203,$Z221-4000))=0,"",N(INDEX(客户自备加工筐明细!$F$4:$F$1203,$Z221-4000))),IF($Z221&lt;=5800,"","")))))</f>
        <v/>
      </c>
      <c r="R221" s="16" t="str">
        <f>IF($Z221="","",IF($Z221&lt;=2000,IF(INDEX(包装物料出入库明细!$O$4:$O$2003,$Z221-0)=0,"",INDEX(包装物料出入库明细!$O$4:$O$2003,$Z221-0)),IF($Z221&lt;=4000,IF(INDEX(周转筐出入库明细!$M$4:$M$2004,$Z221-2000)=0,"",INDEX(周转筐出入库明细!$M$4:$M$2004,$Z221-2000)),IF($Z221&lt;=5200,IF(INDEX(客户自备加工筐明细!$H$4:$H$1203,$Z221-4000)=0,"",INDEX(客户自备加工筐明细!$H$4:$H$1203,$Z221-4000)),IF($Z221&lt;=5800,IF(INDEX(次果筐明细!$H$4:$H$603,$Z221-5200)=0,"",INDEX(次果筐明细!$H$4:$H$603,$Z221-5200)),"")))))</f>
        <v/>
      </c>
      <c r="S221" s="22" t="str">
        <f t="shared" si="11"/>
        <v/>
      </c>
      <c r="Z221" s="10" t="str">
        <f>IFERROR(MATCH(ROW()-3,_自动清单!$CQ$4:$CQ$5803,0),"")</f>
        <v/>
      </c>
    </row>
    <row r="222" spans="1:26">
      <c r="A222" s="24" t="str">
        <f t="shared" si="9"/>
        <v/>
      </c>
      <c r="B222" s="38" t="str">
        <f>IF($Z222="","",IF($Z222&lt;=2000,IF(INDEX(包装物料出入库明细!$B$4:$B$2003,$Z222-0)=0,"",INDEX(包装物料出入库明细!$B$4:$B$2003,$Z222-0)),IF($Z222&lt;=4000,IF(INDEX(周转筐出入库明细!$B$4:$B$2004,$Z222-2000)=0,"",INDEX(周转筐出入库明细!$B$4:$B$2004,$Z222-2000)),IF($Z222&lt;=5200,IF(INDEX(客户自备加工筐明细!$B$4:$B$1203,$Z222-4000)=0,"",INDEX(客户自备加工筐明细!$B$4:$B$1203,$Z222-4000)),IF($Z222&lt;=5800,IF(INDEX(次果筐明细!$B$4:$B$603,$Z222-5200)=0,"",INDEX(次果筐明细!$B$4:$B$603,$Z222-5200)),"")))))</f>
        <v/>
      </c>
      <c r="C222" s="37" t="str">
        <f>IF($Z222="","",IF($Z222&lt;=2000,IF(INDEX(包装物料出入库明细!$D$4:$D$2003,$Z222-0)=0,"",INDEX(包装物料出入库明细!$D$4:$D$2003,$Z222-0)),IF($Z222&lt;=4000,IF(INDEX(周转筐出入库明细!$C$4:$C$2004,$Z222-2000)=0,"",INDEX(周转筐出入库明细!$C$4:$C$2004,$Z222-2000)),IF($Z222&lt;=5200,IF(INDEX(客户自备加工筐明细!$E$4:$E$1203,$Z222-4000)=0,"",INDEX(客户自备加工筐明细!$E$4:$E$1203,$Z222-4000)),IF($Z222&lt;=5800,IF(INDEX(次果筐明细!$C$4:$C$603,$Z222-5200)=0,"",INDEX(次果筐明细!$C$4:$C$603,$Z222-5200)),"")))))</f>
        <v/>
      </c>
      <c r="D222" s="37" t="str">
        <f>IF($Z222="","",IF($Z222&lt;=2000,"包装物料－"&amp;INDEX(包装物料出入库明细!$H$4:$H$2003,$Z222-0),IF($Z222&lt;=4000,"周转筐－"&amp;INDEX(周转筐出入库明细!$F$4:$F$2004,$Z222-2000),IF($Z222&lt;=5200,"客户自备筐－"&amp;INDEX(客户自备加工筐明细!$J$4:$J$1203,$Z222-4000),IF($Z222&lt;=5800,"次果筐/托盘－"&amp;INDEX(次果筐明细!$F$4:$F$603,$Z222-5200),"")))))</f>
        <v/>
      </c>
      <c r="E222" s="24" t="str">
        <f>IF($Z222="","",IF($Z222&lt;=2000,IF(INDEX(包装物料出入库明细!$C$4:$C$2003,$Z222-0)=0,"",INDEX(包装物料出入库明细!$C$4:$C$2003,$Z222-0)),IF($Z222&lt;=4000,IF(INDEX(周转筐出入库明细!$E$4:$E$2004,$Z222-2000)=0,"",INDEX(周转筐出入库明细!$E$4:$E$2004,$Z222-2000)),IF($Z222&lt;=5200,IF(INDEX(客户自备加工筐明细!$D$4:$D$1203,$Z222-4000)=0,"",INDEX(客户自备加工筐明细!$D$4:$D$1203,$Z222-4000)),IF($Z222&lt;=5800,IF(INDEX(次果筐明细!$E$4:$E$603,$Z222-5200)=0,"",INDEX(次果筐明细!$E$4:$E$603,$Z222-5200)),"")))))</f>
        <v/>
      </c>
      <c r="F222" s="24" t="str">
        <f>IF($Z222="","",IF($Z222&lt;=2000,IF(INDEX(包装物料出入库明细!$E$4:$E$2003,$Z222-0)=0,"",INDEX(包装物料出入库明细!$E$4:$E$2003,$Z222-0)),IF($Z222&lt;=4000,IF(INDEX(周转筐出入库明细!$D$4:$D$2004,$Z222-2000)=0,"",INDEX(周转筐出入库明细!$D$4:$D$2004,$Z222-2000)),IF($Z222&lt;=5200,IF(INDEX(客户自备加工筐明细!$C$4:$C$1203,$Z222-4000)=0,"",INDEX(客户自备加工筐明细!$C$4:$C$1203,$Z222-4000)),IF($Z222&lt;=5800,IF(INDEX(次果筐明细!$D$4:$D$603,$Z222-5200)=0,"",INDEX(次果筐明细!$D$4:$D$603,$Z222-5200)),"")))))</f>
        <v/>
      </c>
      <c r="G222" s="24" t="str">
        <f>IF($Z222="","",IF($Z222&lt;=2000,IF(INDEX(包装物料出入库明细!$F$4:$F$2003,$Z222-0)=0,"",INDEX(包装物料出入库明细!$F$4:$F$2003,$Z222-0)),IF($Z222&lt;=4000,"",IF($Z222&lt;=5200,"",IF($Z222&lt;=5800,"","")))))</f>
        <v/>
      </c>
      <c r="H222" s="39" t="str">
        <f>IF($Z222="","",IF($Z222&lt;=2000,IF(INDEX(包装物料出入库明细!$L$4:$L$2003,$Z222-0)=0,"",INDEX(包装物料出入库明细!$L$4:$L$2003,$Z222-0)),IF($Z222&lt;=4000,N(INDEX(周转筐出入库明细!$H$4:$H$2004,$Z222-2000))+N(INDEX(周转筐出入库明细!$I$4:$I$2004,$Z222-2000))+N(INDEX(周转筐出入库明细!$J$4:$J$2004,$Z222-2000))+N(INDEX(周转筐出入库明细!$K$4:$K$2004,$Z222-2000)),IF($Z222&lt;=5200,N(INDEX(客户自备加工筐明细!$F$4:$F$1203,$Z222-4000))+N(INDEX(客户自备加工筐明细!$G$4:$G$1203,$Z222-4000)),IF($Z222&lt;=5800,IF(INDEX(次果筐明细!$G$4:$G$603,$Z222-5200)=0,"",INDEX(次果筐明细!$G$4:$G$603,$Z222-5200)),"")))))</f>
        <v/>
      </c>
      <c r="I222" s="24" t="str">
        <f>IF($Z222="","",IF($Z222&lt;=2000,IF(INDEX(包装物料出入库明细!$G$4:$G$2003,$Z222-0)=0,"",INDEX(包装物料出入库明细!$G$4:$G$2003,$Z222-0)),IF($Z222&lt;=4000,"个",IF($Z222&lt;=5200,"个",IF($Z222&lt;=5800,"个","")))))</f>
        <v/>
      </c>
      <c r="J222" s="30" t="str">
        <f t="shared" si="10"/>
        <v/>
      </c>
      <c r="K222" s="30" t="str">
        <f>IF($Z222="","",IF($Z222&lt;=2000,IF(INDEX(包装物料出入库明细!$N$4:$N$2003,$Z222-0)=0,"",INDEX(包装物料出入库明细!$N$4:$N$2003,$Z222-0)),IF($Z222&lt;=4000,IF(INDEX(周转筐出入库明细!$P$4:$P$2004,$Z222-2000)=0,"",INDEX(周转筐出入库明细!$P$4:$P$2004,$Z222-2000)),IF($Z222&lt;=5200,"",IF($Z222&lt;=5800,N(INDEX(次果筐明细!$L$4:$L$603,$Z222-5200))+N(INDEX(次果筐明细!$J$4:$J$603,$Z222-5200)),"")))))</f>
        <v/>
      </c>
      <c r="L222" s="24" t="str">
        <f>IF($Z222="","",IF($Z222&lt;=2000,IF(INDEX(包装物料出入库明细!$P$4:$P$2003,$Z222-0)=0,"",INDEX(包装物料出入库明细!$P$4:$P$2003,$Z222-0)),IF($Z222&lt;=4000,IF(INDEX(周转筐出入库明细!$Q$4:$Q$2004,$Z222-2000)=0,"",INDEX(周转筐出入库明细!$Q$4:$Q$2004,$Z222-2000)),IF($Z222&lt;=5200,"",IF($Z222&lt;=5800,IF(INDEX(次果筐明细!$M$4:$M$603,$Z222-5200)=0,"",INDEX(次果筐明细!$M$4:$M$603,$Z222-5200)),"")))))</f>
        <v/>
      </c>
      <c r="M222" s="37" t="str">
        <f>IF($Z222="","",IF($Z222&lt;=2000,IF(INDEX(包装物料出入库明细!$R$4:$R$2003,$Z222-0)=0,"",INDEX(包装物料出入库明细!$R$4:$R$2003,$Z222-0)),IF($Z222&lt;=4000,IF(INDEX(周转筐出入库明细!$W$4:$W$2004,$Z222-2000)=0,"",INDEX(周转筐出入库明细!$W$4:$W$2004,$Z222-2000)),IF($Z222&lt;=5200,IF(INDEX(客户自备加工筐明细!$L$4:$L$1203,$Z222-4000)=0,"",INDEX(客户自备加工筐明细!$L$4:$L$1203,$Z222-4000)),IF($Z222&lt;=5800,IF(INDEX(次果筐明细!$P$4:$P$603,$Z222-5200)=0,"",INDEX(次果筐明细!$P$4:$P$603,$Z222-5200)),"")))))</f>
        <v/>
      </c>
      <c r="N222" s="16" t="str">
        <f>IF($Z222="","",IF($Z222&lt;=2000,"",IF($Z222&lt;=4000,IF(INDEX(周转筐出入库明细!$D$4:$D$2004,$Z222-2000)=0,"",INDEX(周转筐出入库明细!$D$4:$D$2004,$Z222-2000)),IF($Z222&lt;=5200,IF(INDEX(客户自备加工筐明细!$C$4:$C$1203,$Z222-4000)=0,"",INDEX(客户自备加工筐明细!$C$4:$C$1203,$Z222-4000)),IF($Z222&lt;=5800,IF(INDEX(次果筐明细!$D$4:$D$603,$Z222-5200)=0,"",INDEX(次果筐明细!$D$4:$D$603,$Z222-5200)),"")))))</f>
        <v/>
      </c>
      <c r="O222" s="40" t="str">
        <f>IF($Z222="","",IF($Z222&lt;=2000,"",IF($Z222&lt;=4000,IF(N(INDEX(周转筐出入库明细!$J$4:$J$2004,$Z222-2000))+N(INDEX(周转筐出入库明细!$K$4:$K$2004,$Z222-2000))=0,"",N(INDEX(周转筐出入库明细!$J$4:$J$2004,$Z222-2000))+N(INDEX(周转筐出入库明细!$K$4:$K$2004,$Z222-2000))),IF($Z222&lt;=5200,IF(N(INDEX(客户自备加工筐明细!$G$4:$G$1203,$Z222-4000))=0,"",N(INDEX(客户自备加工筐明细!$G$4:$G$1203,$Z222-4000))),IF($Z222&lt;=5800,IF(ISNUMBER(SEARCH("退",INDEX(次果筐明细!$F$4:$F$603,$Z222-5200)&amp;"")),"",IF(N(INDEX(次果筐明细!$G$4:$G$603,$Z222-5200))=0,"",N(INDEX(次果筐明细!$G$4:$G$603,$Z222-5200)))),"")))))</f>
        <v/>
      </c>
      <c r="P222" s="40" t="str">
        <f>IF($Z222="","",IF($Z222&lt;=2000,"",IF($Z222&lt;=4000,IF(N(INDEX(周转筐出入库明细!$I$4:$I$2004,$Z222-2000))=0,"",N(INDEX(周转筐出入库明细!$I$4:$I$2004,$Z222-2000))),IF($Z222&lt;=5200,"",IF($Z222&lt;=5800,IF(ISNUMBER(SEARCH("退",INDEX(次果筐明细!$F$4:$F$603,$Z222-5200)&amp;"")),IF(N(INDEX(次果筐明细!$G$4:$G$603,$Z222-5200))=0,"",N(INDEX(次果筐明细!$G$4:$G$603,$Z222-5200))),""),"")))))</f>
        <v/>
      </c>
      <c r="Q222" s="40" t="str">
        <f>IF($Z222="","",IF($Z222&lt;=2000,"",IF($Z222&lt;=4000,IF(N(INDEX(周转筐出入库明细!$H$4:$H$2004,$Z222-2000))=0,"",N(INDEX(周转筐出入库明细!$H$4:$H$2004,$Z222-2000))),IF($Z222&lt;=5200,IF(N(INDEX(客户自备加工筐明细!$F$4:$F$1203,$Z222-4000))=0,"",N(INDEX(客户自备加工筐明细!$F$4:$F$1203,$Z222-4000))),IF($Z222&lt;=5800,"","")))))</f>
        <v/>
      </c>
      <c r="R222" s="16" t="str">
        <f>IF($Z222="","",IF($Z222&lt;=2000,IF(INDEX(包装物料出入库明细!$O$4:$O$2003,$Z222-0)=0,"",INDEX(包装物料出入库明细!$O$4:$O$2003,$Z222-0)),IF($Z222&lt;=4000,IF(INDEX(周转筐出入库明细!$M$4:$M$2004,$Z222-2000)=0,"",INDEX(周转筐出入库明细!$M$4:$M$2004,$Z222-2000)),IF($Z222&lt;=5200,IF(INDEX(客户自备加工筐明细!$H$4:$H$1203,$Z222-4000)=0,"",INDEX(客户自备加工筐明细!$H$4:$H$1203,$Z222-4000)),IF($Z222&lt;=5800,IF(INDEX(次果筐明细!$H$4:$H$603,$Z222-5200)=0,"",INDEX(次果筐明细!$H$4:$H$603,$Z222-5200)),"")))))</f>
        <v/>
      </c>
      <c r="S222" s="22" t="str">
        <f t="shared" si="11"/>
        <v/>
      </c>
      <c r="Z222" s="10" t="str">
        <f>IFERROR(MATCH(ROW()-3,_自动清单!$CQ$4:$CQ$5803,0),"")</f>
        <v/>
      </c>
    </row>
    <row r="223" spans="1:26">
      <c r="A223" s="24" t="str">
        <f t="shared" si="9"/>
        <v/>
      </c>
      <c r="B223" s="38" t="str">
        <f>IF($Z223="","",IF($Z223&lt;=2000,IF(INDEX(包装物料出入库明细!$B$4:$B$2003,$Z223-0)=0,"",INDEX(包装物料出入库明细!$B$4:$B$2003,$Z223-0)),IF($Z223&lt;=4000,IF(INDEX(周转筐出入库明细!$B$4:$B$2004,$Z223-2000)=0,"",INDEX(周转筐出入库明细!$B$4:$B$2004,$Z223-2000)),IF($Z223&lt;=5200,IF(INDEX(客户自备加工筐明细!$B$4:$B$1203,$Z223-4000)=0,"",INDEX(客户自备加工筐明细!$B$4:$B$1203,$Z223-4000)),IF($Z223&lt;=5800,IF(INDEX(次果筐明细!$B$4:$B$603,$Z223-5200)=0,"",INDEX(次果筐明细!$B$4:$B$603,$Z223-5200)),"")))))</f>
        <v/>
      </c>
      <c r="C223" s="37" t="str">
        <f>IF($Z223="","",IF($Z223&lt;=2000,IF(INDEX(包装物料出入库明细!$D$4:$D$2003,$Z223-0)=0,"",INDEX(包装物料出入库明细!$D$4:$D$2003,$Z223-0)),IF($Z223&lt;=4000,IF(INDEX(周转筐出入库明细!$C$4:$C$2004,$Z223-2000)=0,"",INDEX(周转筐出入库明细!$C$4:$C$2004,$Z223-2000)),IF($Z223&lt;=5200,IF(INDEX(客户自备加工筐明细!$E$4:$E$1203,$Z223-4000)=0,"",INDEX(客户自备加工筐明细!$E$4:$E$1203,$Z223-4000)),IF($Z223&lt;=5800,IF(INDEX(次果筐明细!$C$4:$C$603,$Z223-5200)=0,"",INDEX(次果筐明细!$C$4:$C$603,$Z223-5200)),"")))))</f>
        <v/>
      </c>
      <c r="D223" s="37" t="str">
        <f>IF($Z223="","",IF($Z223&lt;=2000,"包装物料－"&amp;INDEX(包装物料出入库明细!$H$4:$H$2003,$Z223-0),IF($Z223&lt;=4000,"周转筐－"&amp;INDEX(周转筐出入库明细!$F$4:$F$2004,$Z223-2000),IF($Z223&lt;=5200,"客户自备筐－"&amp;INDEX(客户自备加工筐明细!$J$4:$J$1203,$Z223-4000),IF($Z223&lt;=5800,"次果筐/托盘－"&amp;INDEX(次果筐明细!$F$4:$F$603,$Z223-5200),"")))))</f>
        <v/>
      </c>
      <c r="E223" s="24" t="str">
        <f>IF($Z223="","",IF($Z223&lt;=2000,IF(INDEX(包装物料出入库明细!$C$4:$C$2003,$Z223-0)=0,"",INDEX(包装物料出入库明细!$C$4:$C$2003,$Z223-0)),IF($Z223&lt;=4000,IF(INDEX(周转筐出入库明细!$E$4:$E$2004,$Z223-2000)=0,"",INDEX(周转筐出入库明细!$E$4:$E$2004,$Z223-2000)),IF($Z223&lt;=5200,IF(INDEX(客户自备加工筐明细!$D$4:$D$1203,$Z223-4000)=0,"",INDEX(客户自备加工筐明细!$D$4:$D$1203,$Z223-4000)),IF($Z223&lt;=5800,IF(INDEX(次果筐明细!$E$4:$E$603,$Z223-5200)=0,"",INDEX(次果筐明细!$E$4:$E$603,$Z223-5200)),"")))))</f>
        <v/>
      </c>
      <c r="F223" s="24" t="str">
        <f>IF($Z223="","",IF($Z223&lt;=2000,IF(INDEX(包装物料出入库明细!$E$4:$E$2003,$Z223-0)=0,"",INDEX(包装物料出入库明细!$E$4:$E$2003,$Z223-0)),IF($Z223&lt;=4000,IF(INDEX(周转筐出入库明细!$D$4:$D$2004,$Z223-2000)=0,"",INDEX(周转筐出入库明细!$D$4:$D$2004,$Z223-2000)),IF($Z223&lt;=5200,IF(INDEX(客户自备加工筐明细!$C$4:$C$1203,$Z223-4000)=0,"",INDEX(客户自备加工筐明细!$C$4:$C$1203,$Z223-4000)),IF($Z223&lt;=5800,IF(INDEX(次果筐明细!$D$4:$D$603,$Z223-5200)=0,"",INDEX(次果筐明细!$D$4:$D$603,$Z223-5200)),"")))))</f>
        <v/>
      </c>
      <c r="G223" s="24" t="str">
        <f>IF($Z223="","",IF($Z223&lt;=2000,IF(INDEX(包装物料出入库明细!$F$4:$F$2003,$Z223-0)=0,"",INDEX(包装物料出入库明细!$F$4:$F$2003,$Z223-0)),IF($Z223&lt;=4000,"",IF($Z223&lt;=5200,"",IF($Z223&lt;=5800,"","")))))</f>
        <v/>
      </c>
      <c r="H223" s="39" t="str">
        <f>IF($Z223="","",IF($Z223&lt;=2000,IF(INDEX(包装物料出入库明细!$L$4:$L$2003,$Z223-0)=0,"",INDEX(包装物料出入库明细!$L$4:$L$2003,$Z223-0)),IF($Z223&lt;=4000,N(INDEX(周转筐出入库明细!$H$4:$H$2004,$Z223-2000))+N(INDEX(周转筐出入库明细!$I$4:$I$2004,$Z223-2000))+N(INDEX(周转筐出入库明细!$J$4:$J$2004,$Z223-2000))+N(INDEX(周转筐出入库明细!$K$4:$K$2004,$Z223-2000)),IF($Z223&lt;=5200,N(INDEX(客户自备加工筐明细!$F$4:$F$1203,$Z223-4000))+N(INDEX(客户自备加工筐明细!$G$4:$G$1203,$Z223-4000)),IF($Z223&lt;=5800,IF(INDEX(次果筐明细!$G$4:$G$603,$Z223-5200)=0,"",INDEX(次果筐明细!$G$4:$G$603,$Z223-5200)),"")))))</f>
        <v/>
      </c>
      <c r="I223" s="24" t="str">
        <f>IF($Z223="","",IF($Z223&lt;=2000,IF(INDEX(包装物料出入库明细!$G$4:$G$2003,$Z223-0)=0,"",INDEX(包装物料出入库明细!$G$4:$G$2003,$Z223-0)),IF($Z223&lt;=4000,"个",IF($Z223&lt;=5200,"个",IF($Z223&lt;=5800,"个","")))))</f>
        <v/>
      </c>
      <c r="J223" s="30" t="str">
        <f t="shared" si="10"/>
        <v/>
      </c>
      <c r="K223" s="30" t="str">
        <f>IF($Z223="","",IF($Z223&lt;=2000,IF(INDEX(包装物料出入库明细!$N$4:$N$2003,$Z223-0)=0,"",INDEX(包装物料出入库明细!$N$4:$N$2003,$Z223-0)),IF($Z223&lt;=4000,IF(INDEX(周转筐出入库明细!$P$4:$P$2004,$Z223-2000)=0,"",INDEX(周转筐出入库明细!$P$4:$P$2004,$Z223-2000)),IF($Z223&lt;=5200,"",IF($Z223&lt;=5800,N(INDEX(次果筐明细!$L$4:$L$603,$Z223-5200))+N(INDEX(次果筐明细!$J$4:$J$603,$Z223-5200)),"")))))</f>
        <v/>
      </c>
      <c r="L223" s="24" t="str">
        <f>IF($Z223="","",IF($Z223&lt;=2000,IF(INDEX(包装物料出入库明细!$P$4:$P$2003,$Z223-0)=0,"",INDEX(包装物料出入库明细!$P$4:$P$2003,$Z223-0)),IF($Z223&lt;=4000,IF(INDEX(周转筐出入库明细!$Q$4:$Q$2004,$Z223-2000)=0,"",INDEX(周转筐出入库明细!$Q$4:$Q$2004,$Z223-2000)),IF($Z223&lt;=5200,"",IF($Z223&lt;=5800,IF(INDEX(次果筐明细!$M$4:$M$603,$Z223-5200)=0,"",INDEX(次果筐明细!$M$4:$M$603,$Z223-5200)),"")))))</f>
        <v/>
      </c>
      <c r="M223" s="37" t="str">
        <f>IF($Z223="","",IF($Z223&lt;=2000,IF(INDEX(包装物料出入库明细!$R$4:$R$2003,$Z223-0)=0,"",INDEX(包装物料出入库明细!$R$4:$R$2003,$Z223-0)),IF($Z223&lt;=4000,IF(INDEX(周转筐出入库明细!$W$4:$W$2004,$Z223-2000)=0,"",INDEX(周转筐出入库明细!$W$4:$W$2004,$Z223-2000)),IF($Z223&lt;=5200,IF(INDEX(客户自备加工筐明细!$L$4:$L$1203,$Z223-4000)=0,"",INDEX(客户自备加工筐明细!$L$4:$L$1203,$Z223-4000)),IF($Z223&lt;=5800,IF(INDEX(次果筐明细!$P$4:$P$603,$Z223-5200)=0,"",INDEX(次果筐明细!$P$4:$P$603,$Z223-5200)),"")))))</f>
        <v/>
      </c>
      <c r="N223" s="16" t="str">
        <f>IF($Z223="","",IF($Z223&lt;=2000,"",IF($Z223&lt;=4000,IF(INDEX(周转筐出入库明细!$D$4:$D$2004,$Z223-2000)=0,"",INDEX(周转筐出入库明细!$D$4:$D$2004,$Z223-2000)),IF($Z223&lt;=5200,IF(INDEX(客户自备加工筐明细!$C$4:$C$1203,$Z223-4000)=0,"",INDEX(客户自备加工筐明细!$C$4:$C$1203,$Z223-4000)),IF($Z223&lt;=5800,IF(INDEX(次果筐明细!$D$4:$D$603,$Z223-5200)=0,"",INDEX(次果筐明细!$D$4:$D$603,$Z223-5200)),"")))))</f>
        <v/>
      </c>
      <c r="O223" s="40" t="str">
        <f>IF($Z223="","",IF($Z223&lt;=2000,"",IF($Z223&lt;=4000,IF(N(INDEX(周转筐出入库明细!$J$4:$J$2004,$Z223-2000))+N(INDEX(周转筐出入库明细!$K$4:$K$2004,$Z223-2000))=0,"",N(INDEX(周转筐出入库明细!$J$4:$J$2004,$Z223-2000))+N(INDEX(周转筐出入库明细!$K$4:$K$2004,$Z223-2000))),IF($Z223&lt;=5200,IF(N(INDEX(客户自备加工筐明细!$G$4:$G$1203,$Z223-4000))=0,"",N(INDEX(客户自备加工筐明细!$G$4:$G$1203,$Z223-4000))),IF($Z223&lt;=5800,IF(ISNUMBER(SEARCH("退",INDEX(次果筐明细!$F$4:$F$603,$Z223-5200)&amp;"")),"",IF(N(INDEX(次果筐明细!$G$4:$G$603,$Z223-5200))=0,"",N(INDEX(次果筐明细!$G$4:$G$603,$Z223-5200)))),"")))))</f>
        <v/>
      </c>
      <c r="P223" s="40" t="str">
        <f>IF($Z223="","",IF($Z223&lt;=2000,"",IF($Z223&lt;=4000,IF(N(INDEX(周转筐出入库明细!$I$4:$I$2004,$Z223-2000))=0,"",N(INDEX(周转筐出入库明细!$I$4:$I$2004,$Z223-2000))),IF($Z223&lt;=5200,"",IF($Z223&lt;=5800,IF(ISNUMBER(SEARCH("退",INDEX(次果筐明细!$F$4:$F$603,$Z223-5200)&amp;"")),IF(N(INDEX(次果筐明细!$G$4:$G$603,$Z223-5200))=0,"",N(INDEX(次果筐明细!$G$4:$G$603,$Z223-5200))),""),"")))))</f>
        <v/>
      </c>
      <c r="Q223" s="40" t="str">
        <f>IF($Z223="","",IF($Z223&lt;=2000,"",IF($Z223&lt;=4000,IF(N(INDEX(周转筐出入库明细!$H$4:$H$2004,$Z223-2000))=0,"",N(INDEX(周转筐出入库明细!$H$4:$H$2004,$Z223-2000))),IF($Z223&lt;=5200,IF(N(INDEX(客户自备加工筐明细!$F$4:$F$1203,$Z223-4000))=0,"",N(INDEX(客户自备加工筐明细!$F$4:$F$1203,$Z223-4000))),IF($Z223&lt;=5800,"","")))))</f>
        <v/>
      </c>
      <c r="R223" s="16" t="str">
        <f>IF($Z223="","",IF($Z223&lt;=2000,IF(INDEX(包装物料出入库明细!$O$4:$O$2003,$Z223-0)=0,"",INDEX(包装物料出入库明细!$O$4:$O$2003,$Z223-0)),IF($Z223&lt;=4000,IF(INDEX(周转筐出入库明细!$M$4:$M$2004,$Z223-2000)=0,"",INDEX(周转筐出入库明细!$M$4:$M$2004,$Z223-2000)),IF($Z223&lt;=5200,IF(INDEX(客户自备加工筐明细!$H$4:$H$1203,$Z223-4000)=0,"",INDEX(客户自备加工筐明细!$H$4:$H$1203,$Z223-4000)),IF($Z223&lt;=5800,IF(INDEX(次果筐明细!$H$4:$H$603,$Z223-5200)=0,"",INDEX(次果筐明细!$H$4:$H$603,$Z223-5200)),"")))))</f>
        <v/>
      </c>
      <c r="S223" s="22" t="str">
        <f t="shared" si="11"/>
        <v/>
      </c>
      <c r="Z223" s="10" t="str">
        <f>IFERROR(MATCH(ROW()-3,_自动清单!$CQ$4:$CQ$5803,0),"")</f>
        <v/>
      </c>
    </row>
    <row r="224" spans="1:26">
      <c r="A224" s="24" t="str">
        <f t="shared" si="9"/>
        <v/>
      </c>
      <c r="B224" s="38" t="str">
        <f>IF($Z224="","",IF($Z224&lt;=2000,IF(INDEX(包装物料出入库明细!$B$4:$B$2003,$Z224-0)=0,"",INDEX(包装物料出入库明细!$B$4:$B$2003,$Z224-0)),IF($Z224&lt;=4000,IF(INDEX(周转筐出入库明细!$B$4:$B$2004,$Z224-2000)=0,"",INDEX(周转筐出入库明细!$B$4:$B$2004,$Z224-2000)),IF($Z224&lt;=5200,IF(INDEX(客户自备加工筐明细!$B$4:$B$1203,$Z224-4000)=0,"",INDEX(客户自备加工筐明细!$B$4:$B$1203,$Z224-4000)),IF($Z224&lt;=5800,IF(INDEX(次果筐明细!$B$4:$B$603,$Z224-5200)=0,"",INDEX(次果筐明细!$B$4:$B$603,$Z224-5200)),"")))))</f>
        <v/>
      </c>
      <c r="C224" s="37" t="str">
        <f>IF($Z224="","",IF($Z224&lt;=2000,IF(INDEX(包装物料出入库明细!$D$4:$D$2003,$Z224-0)=0,"",INDEX(包装物料出入库明细!$D$4:$D$2003,$Z224-0)),IF($Z224&lt;=4000,IF(INDEX(周转筐出入库明细!$C$4:$C$2004,$Z224-2000)=0,"",INDEX(周转筐出入库明细!$C$4:$C$2004,$Z224-2000)),IF($Z224&lt;=5200,IF(INDEX(客户自备加工筐明细!$E$4:$E$1203,$Z224-4000)=0,"",INDEX(客户自备加工筐明细!$E$4:$E$1203,$Z224-4000)),IF($Z224&lt;=5800,IF(INDEX(次果筐明细!$C$4:$C$603,$Z224-5200)=0,"",INDEX(次果筐明细!$C$4:$C$603,$Z224-5200)),"")))))</f>
        <v/>
      </c>
      <c r="D224" s="37" t="str">
        <f>IF($Z224="","",IF($Z224&lt;=2000,"包装物料－"&amp;INDEX(包装物料出入库明细!$H$4:$H$2003,$Z224-0),IF($Z224&lt;=4000,"周转筐－"&amp;INDEX(周转筐出入库明细!$F$4:$F$2004,$Z224-2000),IF($Z224&lt;=5200,"客户自备筐－"&amp;INDEX(客户自备加工筐明细!$J$4:$J$1203,$Z224-4000),IF($Z224&lt;=5800,"次果筐/托盘－"&amp;INDEX(次果筐明细!$F$4:$F$603,$Z224-5200),"")))))</f>
        <v/>
      </c>
      <c r="E224" s="24" t="str">
        <f>IF($Z224="","",IF($Z224&lt;=2000,IF(INDEX(包装物料出入库明细!$C$4:$C$2003,$Z224-0)=0,"",INDEX(包装物料出入库明细!$C$4:$C$2003,$Z224-0)),IF($Z224&lt;=4000,IF(INDEX(周转筐出入库明细!$E$4:$E$2004,$Z224-2000)=0,"",INDEX(周转筐出入库明细!$E$4:$E$2004,$Z224-2000)),IF($Z224&lt;=5200,IF(INDEX(客户自备加工筐明细!$D$4:$D$1203,$Z224-4000)=0,"",INDEX(客户自备加工筐明细!$D$4:$D$1203,$Z224-4000)),IF($Z224&lt;=5800,IF(INDEX(次果筐明细!$E$4:$E$603,$Z224-5200)=0,"",INDEX(次果筐明细!$E$4:$E$603,$Z224-5200)),"")))))</f>
        <v/>
      </c>
      <c r="F224" s="24" t="str">
        <f>IF($Z224="","",IF($Z224&lt;=2000,IF(INDEX(包装物料出入库明细!$E$4:$E$2003,$Z224-0)=0,"",INDEX(包装物料出入库明细!$E$4:$E$2003,$Z224-0)),IF($Z224&lt;=4000,IF(INDEX(周转筐出入库明细!$D$4:$D$2004,$Z224-2000)=0,"",INDEX(周转筐出入库明细!$D$4:$D$2004,$Z224-2000)),IF($Z224&lt;=5200,IF(INDEX(客户自备加工筐明细!$C$4:$C$1203,$Z224-4000)=0,"",INDEX(客户自备加工筐明细!$C$4:$C$1203,$Z224-4000)),IF($Z224&lt;=5800,IF(INDEX(次果筐明细!$D$4:$D$603,$Z224-5200)=0,"",INDEX(次果筐明细!$D$4:$D$603,$Z224-5200)),"")))))</f>
        <v/>
      </c>
      <c r="G224" s="24" t="str">
        <f>IF($Z224="","",IF($Z224&lt;=2000,IF(INDEX(包装物料出入库明细!$F$4:$F$2003,$Z224-0)=0,"",INDEX(包装物料出入库明细!$F$4:$F$2003,$Z224-0)),IF($Z224&lt;=4000,"",IF($Z224&lt;=5200,"",IF($Z224&lt;=5800,"","")))))</f>
        <v/>
      </c>
      <c r="H224" s="39" t="str">
        <f>IF($Z224="","",IF($Z224&lt;=2000,IF(INDEX(包装物料出入库明细!$L$4:$L$2003,$Z224-0)=0,"",INDEX(包装物料出入库明细!$L$4:$L$2003,$Z224-0)),IF($Z224&lt;=4000,N(INDEX(周转筐出入库明细!$H$4:$H$2004,$Z224-2000))+N(INDEX(周转筐出入库明细!$I$4:$I$2004,$Z224-2000))+N(INDEX(周转筐出入库明细!$J$4:$J$2004,$Z224-2000))+N(INDEX(周转筐出入库明细!$K$4:$K$2004,$Z224-2000)),IF($Z224&lt;=5200,N(INDEX(客户自备加工筐明细!$F$4:$F$1203,$Z224-4000))+N(INDEX(客户自备加工筐明细!$G$4:$G$1203,$Z224-4000)),IF($Z224&lt;=5800,IF(INDEX(次果筐明细!$G$4:$G$603,$Z224-5200)=0,"",INDEX(次果筐明细!$G$4:$G$603,$Z224-5200)),"")))))</f>
        <v/>
      </c>
      <c r="I224" s="24" t="str">
        <f>IF($Z224="","",IF($Z224&lt;=2000,IF(INDEX(包装物料出入库明细!$G$4:$G$2003,$Z224-0)=0,"",INDEX(包装物料出入库明细!$G$4:$G$2003,$Z224-0)),IF($Z224&lt;=4000,"个",IF($Z224&lt;=5200,"个",IF($Z224&lt;=5800,"个","")))))</f>
        <v/>
      </c>
      <c r="J224" s="30" t="str">
        <f t="shared" si="10"/>
        <v/>
      </c>
      <c r="K224" s="30" t="str">
        <f>IF($Z224="","",IF($Z224&lt;=2000,IF(INDEX(包装物料出入库明细!$N$4:$N$2003,$Z224-0)=0,"",INDEX(包装物料出入库明细!$N$4:$N$2003,$Z224-0)),IF($Z224&lt;=4000,IF(INDEX(周转筐出入库明细!$P$4:$P$2004,$Z224-2000)=0,"",INDEX(周转筐出入库明细!$P$4:$P$2004,$Z224-2000)),IF($Z224&lt;=5200,"",IF($Z224&lt;=5800,N(INDEX(次果筐明细!$L$4:$L$603,$Z224-5200))+N(INDEX(次果筐明细!$J$4:$J$603,$Z224-5200)),"")))))</f>
        <v/>
      </c>
      <c r="L224" s="24" t="str">
        <f>IF($Z224="","",IF($Z224&lt;=2000,IF(INDEX(包装物料出入库明细!$P$4:$P$2003,$Z224-0)=0,"",INDEX(包装物料出入库明细!$P$4:$P$2003,$Z224-0)),IF($Z224&lt;=4000,IF(INDEX(周转筐出入库明细!$Q$4:$Q$2004,$Z224-2000)=0,"",INDEX(周转筐出入库明细!$Q$4:$Q$2004,$Z224-2000)),IF($Z224&lt;=5200,"",IF($Z224&lt;=5800,IF(INDEX(次果筐明细!$M$4:$M$603,$Z224-5200)=0,"",INDEX(次果筐明细!$M$4:$M$603,$Z224-5200)),"")))))</f>
        <v/>
      </c>
      <c r="M224" s="37" t="str">
        <f>IF($Z224="","",IF($Z224&lt;=2000,IF(INDEX(包装物料出入库明细!$R$4:$R$2003,$Z224-0)=0,"",INDEX(包装物料出入库明细!$R$4:$R$2003,$Z224-0)),IF($Z224&lt;=4000,IF(INDEX(周转筐出入库明细!$W$4:$W$2004,$Z224-2000)=0,"",INDEX(周转筐出入库明细!$W$4:$W$2004,$Z224-2000)),IF($Z224&lt;=5200,IF(INDEX(客户自备加工筐明细!$L$4:$L$1203,$Z224-4000)=0,"",INDEX(客户自备加工筐明细!$L$4:$L$1203,$Z224-4000)),IF($Z224&lt;=5800,IF(INDEX(次果筐明细!$P$4:$P$603,$Z224-5200)=0,"",INDEX(次果筐明细!$P$4:$P$603,$Z224-5200)),"")))))</f>
        <v/>
      </c>
      <c r="N224" s="16" t="str">
        <f>IF($Z224="","",IF($Z224&lt;=2000,"",IF($Z224&lt;=4000,IF(INDEX(周转筐出入库明细!$D$4:$D$2004,$Z224-2000)=0,"",INDEX(周转筐出入库明细!$D$4:$D$2004,$Z224-2000)),IF($Z224&lt;=5200,IF(INDEX(客户自备加工筐明细!$C$4:$C$1203,$Z224-4000)=0,"",INDEX(客户自备加工筐明细!$C$4:$C$1203,$Z224-4000)),IF($Z224&lt;=5800,IF(INDEX(次果筐明细!$D$4:$D$603,$Z224-5200)=0,"",INDEX(次果筐明细!$D$4:$D$603,$Z224-5200)),"")))))</f>
        <v/>
      </c>
      <c r="O224" s="40" t="str">
        <f>IF($Z224="","",IF($Z224&lt;=2000,"",IF($Z224&lt;=4000,IF(N(INDEX(周转筐出入库明细!$J$4:$J$2004,$Z224-2000))+N(INDEX(周转筐出入库明细!$K$4:$K$2004,$Z224-2000))=0,"",N(INDEX(周转筐出入库明细!$J$4:$J$2004,$Z224-2000))+N(INDEX(周转筐出入库明细!$K$4:$K$2004,$Z224-2000))),IF($Z224&lt;=5200,IF(N(INDEX(客户自备加工筐明细!$G$4:$G$1203,$Z224-4000))=0,"",N(INDEX(客户自备加工筐明细!$G$4:$G$1203,$Z224-4000))),IF($Z224&lt;=5800,IF(ISNUMBER(SEARCH("退",INDEX(次果筐明细!$F$4:$F$603,$Z224-5200)&amp;"")),"",IF(N(INDEX(次果筐明细!$G$4:$G$603,$Z224-5200))=0,"",N(INDEX(次果筐明细!$G$4:$G$603,$Z224-5200)))),"")))))</f>
        <v/>
      </c>
      <c r="P224" s="40" t="str">
        <f>IF($Z224="","",IF($Z224&lt;=2000,"",IF($Z224&lt;=4000,IF(N(INDEX(周转筐出入库明细!$I$4:$I$2004,$Z224-2000))=0,"",N(INDEX(周转筐出入库明细!$I$4:$I$2004,$Z224-2000))),IF($Z224&lt;=5200,"",IF($Z224&lt;=5800,IF(ISNUMBER(SEARCH("退",INDEX(次果筐明细!$F$4:$F$603,$Z224-5200)&amp;"")),IF(N(INDEX(次果筐明细!$G$4:$G$603,$Z224-5200))=0,"",N(INDEX(次果筐明细!$G$4:$G$603,$Z224-5200))),""),"")))))</f>
        <v/>
      </c>
      <c r="Q224" s="40" t="str">
        <f>IF($Z224="","",IF($Z224&lt;=2000,"",IF($Z224&lt;=4000,IF(N(INDEX(周转筐出入库明细!$H$4:$H$2004,$Z224-2000))=0,"",N(INDEX(周转筐出入库明细!$H$4:$H$2004,$Z224-2000))),IF($Z224&lt;=5200,IF(N(INDEX(客户自备加工筐明细!$F$4:$F$1203,$Z224-4000))=0,"",N(INDEX(客户自备加工筐明细!$F$4:$F$1203,$Z224-4000))),IF($Z224&lt;=5800,"","")))))</f>
        <v/>
      </c>
      <c r="R224" s="16" t="str">
        <f>IF($Z224="","",IF($Z224&lt;=2000,IF(INDEX(包装物料出入库明细!$O$4:$O$2003,$Z224-0)=0,"",INDEX(包装物料出入库明细!$O$4:$O$2003,$Z224-0)),IF($Z224&lt;=4000,IF(INDEX(周转筐出入库明细!$M$4:$M$2004,$Z224-2000)=0,"",INDEX(周转筐出入库明细!$M$4:$M$2004,$Z224-2000)),IF($Z224&lt;=5200,IF(INDEX(客户自备加工筐明细!$H$4:$H$1203,$Z224-4000)=0,"",INDEX(客户自备加工筐明细!$H$4:$H$1203,$Z224-4000)),IF($Z224&lt;=5800,IF(INDEX(次果筐明细!$H$4:$H$603,$Z224-5200)=0,"",INDEX(次果筐明细!$H$4:$H$603,$Z224-5200)),"")))))</f>
        <v/>
      </c>
      <c r="S224" s="22" t="str">
        <f t="shared" si="11"/>
        <v/>
      </c>
      <c r="Z224" s="10" t="str">
        <f>IFERROR(MATCH(ROW()-3,_自动清单!$CQ$4:$CQ$5803,0),"")</f>
        <v/>
      </c>
    </row>
    <row r="225" spans="1:26">
      <c r="A225" s="24" t="str">
        <f t="shared" si="9"/>
        <v/>
      </c>
      <c r="B225" s="38" t="str">
        <f>IF($Z225="","",IF($Z225&lt;=2000,IF(INDEX(包装物料出入库明细!$B$4:$B$2003,$Z225-0)=0,"",INDEX(包装物料出入库明细!$B$4:$B$2003,$Z225-0)),IF($Z225&lt;=4000,IF(INDEX(周转筐出入库明细!$B$4:$B$2004,$Z225-2000)=0,"",INDEX(周转筐出入库明细!$B$4:$B$2004,$Z225-2000)),IF($Z225&lt;=5200,IF(INDEX(客户自备加工筐明细!$B$4:$B$1203,$Z225-4000)=0,"",INDEX(客户自备加工筐明细!$B$4:$B$1203,$Z225-4000)),IF($Z225&lt;=5800,IF(INDEX(次果筐明细!$B$4:$B$603,$Z225-5200)=0,"",INDEX(次果筐明细!$B$4:$B$603,$Z225-5200)),"")))))</f>
        <v/>
      </c>
      <c r="C225" s="37" t="str">
        <f>IF($Z225="","",IF($Z225&lt;=2000,IF(INDEX(包装物料出入库明细!$D$4:$D$2003,$Z225-0)=0,"",INDEX(包装物料出入库明细!$D$4:$D$2003,$Z225-0)),IF($Z225&lt;=4000,IF(INDEX(周转筐出入库明细!$C$4:$C$2004,$Z225-2000)=0,"",INDEX(周转筐出入库明细!$C$4:$C$2004,$Z225-2000)),IF($Z225&lt;=5200,IF(INDEX(客户自备加工筐明细!$E$4:$E$1203,$Z225-4000)=0,"",INDEX(客户自备加工筐明细!$E$4:$E$1203,$Z225-4000)),IF($Z225&lt;=5800,IF(INDEX(次果筐明细!$C$4:$C$603,$Z225-5200)=0,"",INDEX(次果筐明细!$C$4:$C$603,$Z225-5200)),"")))))</f>
        <v/>
      </c>
      <c r="D225" s="37" t="str">
        <f>IF($Z225="","",IF($Z225&lt;=2000,"包装物料－"&amp;INDEX(包装物料出入库明细!$H$4:$H$2003,$Z225-0),IF($Z225&lt;=4000,"周转筐－"&amp;INDEX(周转筐出入库明细!$F$4:$F$2004,$Z225-2000),IF($Z225&lt;=5200,"客户自备筐－"&amp;INDEX(客户自备加工筐明细!$J$4:$J$1203,$Z225-4000),IF($Z225&lt;=5800,"次果筐/托盘－"&amp;INDEX(次果筐明细!$F$4:$F$603,$Z225-5200),"")))))</f>
        <v/>
      </c>
      <c r="E225" s="24" t="str">
        <f>IF($Z225="","",IF($Z225&lt;=2000,IF(INDEX(包装物料出入库明细!$C$4:$C$2003,$Z225-0)=0,"",INDEX(包装物料出入库明细!$C$4:$C$2003,$Z225-0)),IF($Z225&lt;=4000,IF(INDEX(周转筐出入库明细!$E$4:$E$2004,$Z225-2000)=0,"",INDEX(周转筐出入库明细!$E$4:$E$2004,$Z225-2000)),IF($Z225&lt;=5200,IF(INDEX(客户自备加工筐明细!$D$4:$D$1203,$Z225-4000)=0,"",INDEX(客户自备加工筐明细!$D$4:$D$1203,$Z225-4000)),IF($Z225&lt;=5800,IF(INDEX(次果筐明细!$E$4:$E$603,$Z225-5200)=0,"",INDEX(次果筐明细!$E$4:$E$603,$Z225-5200)),"")))))</f>
        <v/>
      </c>
      <c r="F225" s="24" t="str">
        <f>IF($Z225="","",IF($Z225&lt;=2000,IF(INDEX(包装物料出入库明细!$E$4:$E$2003,$Z225-0)=0,"",INDEX(包装物料出入库明细!$E$4:$E$2003,$Z225-0)),IF($Z225&lt;=4000,IF(INDEX(周转筐出入库明细!$D$4:$D$2004,$Z225-2000)=0,"",INDEX(周转筐出入库明细!$D$4:$D$2004,$Z225-2000)),IF($Z225&lt;=5200,IF(INDEX(客户自备加工筐明细!$C$4:$C$1203,$Z225-4000)=0,"",INDEX(客户自备加工筐明细!$C$4:$C$1203,$Z225-4000)),IF($Z225&lt;=5800,IF(INDEX(次果筐明细!$D$4:$D$603,$Z225-5200)=0,"",INDEX(次果筐明细!$D$4:$D$603,$Z225-5200)),"")))))</f>
        <v/>
      </c>
      <c r="G225" s="24" t="str">
        <f>IF($Z225="","",IF($Z225&lt;=2000,IF(INDEX(包装物料出入库明细!$F$4:$F$2003,$Z225-0)=0,"",INDEX(包装物料出入库明细!$F$4:$F$2003,$Z225-0)),IF($Z225&lt;=4000,"",IF($Z225&lt;=5200,"",IF($Z225&lt;=5800,"","")))))</f>
        <v/>
      </c>
      <c r="H225" s="39" t="str">
        <f>IF($Z225="","",IF($Z225&lt;=2000,IF(INDEX(包装物料出入库明细!$L$4:$L$2003,$Z225-0)=0,"",INDEX(包装物料出入库明细!$L$4:$L$2003,$Z225-0)),IF($Z225&lt;=4000,N(INDEX(周转筐出入库明细!$H$4:$H$2004,$Z225-2000))+N(INDEX(周转筐出入库明细!$I$4:$I$2004,$Z225-2000))+N(INDEX(周转筐出入库明细!$J$4:$J$2004,$Z225-2000))+N(INDEX(周转筐出入库明细!$K$4:$K$2004,$Z225-2000)),IF($Z225&lt;=5200,N(INDEX(客户自备加工筐明细!$F$4:$F$1203,$Z225-4000))+N(INDEX(客户自备加工筐明细!$G$4:$G$1203,$Z225-4000)),IF($Z225&lt;=5800,IF(INDEX(次果筐明细!$G$4:$G$603,$Z225-5200)=0,"",INDEX(次果筐明细!$G$4:$G$603,$Z225-5200)),"")))))</f>
        <v/>
      </c>
      <c r="I225" s="24" t="str">
        <f>IF($Z225="","",IF($Z225&lt;=2000,IF(INDEX(包装物料出入库明细!$G$4:$G$2003,$Z225-0)=0,"",INDEX(包装物料出入库明细!$G$4:$G$2003,$Z225-0)),IF($Z225&lt;=4000,"个",IF($Z225&lt;=5200,"个",IF($Z225&lt;=5800,"个","")))))</f>
        <v/>
      </c>
      <c r="J225" s="30" t="str">
        <f t="shared" si="10"/>
        <v/>
      </c>
      <c r="K225" s="30" t="str">
        <f>IF($Z225="","",IF($Z225&lt;=2000,IF(INDEX(包装物料出入库明细!$N$4:$N$2003,$Z225-0)=0,"",INDEX(包装物料出入库明细!$N$4:$N$2003,$Z225-0)),IF($Z225&lt;=4000,IF(INDEX(周转筐出入库明细!$P$4:$P$2004,$Z225-2000)=0,"",INDEX(周转筐出入库明细!$P$4:$P$2004,$Z225-2000)),IF($Z225&lt;=5200,"",IF($Z225&lt;=5800,N(INDEX(次果筐明细!$L$4:$L$603,$Z225-5200))+N(INDEX(次果筐明细!$J$4:$J$603,$Z225-5200)),"")))))</f>
        <v/>
      </c>
      <c r="L225" s="24" t="str">
        <f>IF($Z225="","",IF($Z225&lt;=2000,IF(INDEX(包装物料出入库明细!$P$4:$P$2003,$Z225-0)=0,"",INDEX(包装物料出入库明细!$P$4:$P$2003,$Z225-0)),IF($Z225&lt;=4000,IF(INDEX(周转筐出入库明细!$Q$4:$Q$2004,$Z225-2000)=0,"",INDEX(周转筐出入库明细!$Q$4:$Q$2004,$Z225-2000)),IF($Z225&lt;=5200,"",IF($Z225&lt;=5800,IF(INDEX(次果筐明细!$M$4:$M$603,$Z225-5200)=0,"",INDEX(次果筐明细!$M$4:$M$603,$Z225-5200)),"")))))</f>
        <v/>
      </c>
      <c r="M225" s="37" t="str">
        <f>IF($Z225="","",IF($Z225&lt;=2000,IF(INDEX(包装物料出入库明细!$R$4:$R$2003,$Z225-0)=0,"",INDEX(包装物料出入库明细!$R$4:$R$2003,$Z225-0)),IF($Z225&lt;=4000,IF(INDEX(周转筐出入库明细!$W$4:$W$2004,$Z225-2000)=0,"",INDEX(周转筐出入库明细!$W$4:$W$2004,$Z225-2000)),IF($Z225&lt;=5200,IF(INDEX(客户自备加工筐明细!$L$4:$L$1203,$Z225-4000)=0,"",INDEX(客户自备加工筐明细!$L$4:$L$1203,$Z225-4000)),IF($Z225&lt;=5800,IF(INDEX(次果筐明细!$P$4:$P$603,$Z225-5200)=0,"",INDEX(次果筐明细!$P$4:$P$603,$Z225-5200)),"")))))</f>
        <v/>
      </c>
      <c r="N225" s="16" t="str">
        <f>IF($Z225="","",IF($Z225&lt;=2000,"",IF($Z225&lt;=4000,IF(INDEX(周转筐出入库明细!$D$4:$D$2004,$Z225-2000)=0,"",INDEX(周转筐出入库明细!$D$4:$D$2004,$Z225-2000)),IF($Z225&lt;=5200,IF(INDEX(客户自备加工筐明细!$C$4:$C$1203,$Z225-4000)=0,"",INDEX(客户自备加工筐明细!$C$4:$C$1203,$Z225-4000)),IF($Z225&lt;=5800,IF(INDEX(次果筐明细!$D$4:$D$603,$Z225-5200)=0,"",INDEX(次果筐明细!$D$4:$D$603,$Z225-5200)),"")))))</f>
        <v/>
      </c>
      <c r="O225" s="40" t="str">
        <f>IF($Z225="","",IF($Z225&lt;=2000,"",IF($Z225&lt;=4000,IF(N(INDEX(周转筐出入库明细!$J$4:$J$2004,$Z225-2000))+N(INDEX(周转筐出入库明细!$K$4:$K$2004,$Z225-2000))=0,"",N(INDEX(周转筐出入库明细!$J$4:$J$2004,$Z225-2000))+N(INDEX(周转筐出入库明细!$K$4:$K$2004,$Z225-2000))),IF($Z225&lt;=5200,IF(N(INDEX(客户自备加工筐明细!$G$4:$G$1203,$Z225-4000))=0,"",N(INDEX(客户自备加工筐明细!$G$4:$G$1203,$Z225-4000))),IF($Z225&lt;=5800,IF(ISNUMBER(SEARCH("退",INDEX(次果筐明细!$F$4:$F$603,$Z225-5200)&amp;"")),"",IF(N(INDEX(次果筐明细!$G$4:$G$603,$Z225-5200))=0,"",N(INDEX(次果筐明细!$G$4:$G$603,$Z225-5200)))),"")))))</f>
        <v/>
      </c>
      <c r="P225" s="40" t="str">
        <f>IF($Z225="","",IF($Z225&lt;=2000,"",IF($Z225&lt;=4000,IF(N(INDEX(周转筐出入库明细!$I$4:$I$2004,$Z225-2000))=0,"",N(INDEX(周转筐出入库明细!$I$4:$I$2004,$Z225-2000))),IF($Z225&lt;=5200,"",IF($Z225&lt;=5800,IF(ISNUMBER(SEARCH("退",INDEX(次果筐明细!$F$4:$F$603,$Z225-5200)&amp;"")),IF(N(INDEX(次果筐明细!$G$4:$G$603,$Z225-5200))=0,"",N(INDEX(次果筐明细!$G$4:$G$603,$Z225-5200))),""),"")))))</f>
        <v/>
      </c>
      <c r="Q225" s="40" t="str">
        <f>IF($Z225="","",IF($Z225&lt;=2000,"",IF($Z225&lt;=4000,IF(N(INDEX(周转筐出入库明细!$H$4:$H$2004,$Z225-2000))=0,"",N(INDEX(周转筐出入库明细!$H$4:$H$2004,$Z225-2000))),IF($Z225&lt;=5200,IF(N(INDEX(客户自备加工筐明细!$F$4:$F$1203,$Z225-4000))=0,"",N(INDEX(客户自备加工筐明细!$F$4:$F$1203,$Z225-4000))),IF($Z225&lt;=5800,"","")))))</f>
        <v/>
      </c>
      <c r="R225" s="16" t="str">
        <f>IF($Z225="","",IF($Z225&lt;=2000,IF(INDEX(包装物料出入库明细!$O$4:$O$2003,$Z225-0)=0,"",INDEX(包装物料出入库明细!$O$4:$O$2003,$Z225-0)),IF($Z225&lt;=4000,IF(INDEX(周转筐出入库明细!$M$4:$M$2004,$Z225-2000)=0,"",INDEX(周转筐出入库明细!$M$4:$M$2004,$Z225-2000)),IF($Z225&lt;=5200,IF(INDEX(客户自备加工筐明细!$H$4:$H$1203,$Z225-4000)=0,"",INDEX(客户自备加工筐明细!$H$4:$H$1203,$Z225-4000)),IF($Z225&lt;=5800,IF(INDEX(次果筐明细!$H$4:$H$603,$Z225-5200)=0,"",INDEX(次果筐明细!$H$4:$H$603,$Z225-5200)),"")))))</f>
        <v/>
      </c>
      <c r="S225" s="22" t="str">
        <f t="shared" si="11"/>
        <v/>
      </c>
      <c r="Z225" s="10" t="str">
        <f>IFERROR(MATCH(ROW()-3,_自动清单!$CQ$4:$CQ$5803,0),"")</f>
        <v/>
      </c>
    </row>
    <row r="226" spans="1:26">
      <c r="A226" s="24" t="str">
        <f t="shared" si="9"/>
        <v/>
      </c>
      <c r="B226" s="38" t="str">
        <f>IF($Z226="","",IF($Z226&lt;=2000,IF(INDEX(包装物料出入库明细!$B$4:$B$2003,$Z226-0)=0,"",INDEX(包装物料出入库明细!$B$4:$B$2003,$Z226-0)),IF($Z226&lt;=4000,IF(INDEX(周转筐出入库明细!$B$4:$B$2004,$Z226-2000)=0,"",INDEX(周转筐出入库明细!$B$4:$B$2004,$Z226-2000)),IF($Z226&lt;=5200,IF(INDEX(客户自备加工筐明细!$B$4:$B$1203,$Z226-4000)=0,"",INDEX(客户自备加工筐明细!$B$4:$B$1203,$Z226-4000)),IF($Z226&lt;=5800,IF(INDEX(次果筐明细!$B$4:$B$603,$Z226-5200)=0,"",INDEX(次果筐明细!$B$4:$B$603,$Z226-5200)),"")))))</f>
        <v/>
      </c>
      <c r="C226" s="37" t="str">
        <f>IF($Z226="","",IF($Z226&lt;=2000,IF(INDEX(包装物料出入库明细!$D$4:$D$2003,$Z226-0)=0,"",INDEX(包装物料出入库明细!$D$4:$D$2003,$Z226-0)),IF($Z226&lt;=4000,IF(INDEX(周转筐出入库明细!$C$4:$C$2004,$Z226-2000)=0,"",INDEX(周转筐出入库明细!$C$4:$C$2004,$Z226-2000)),IF($Z226&lt;=5200,IF(INDEX(客户自备加工筐明细!$E$4:$E$1203,$Z226-4000)=0,"",INDEX(客户自备加工筐明细!$E$4:$E$1203,$Z226-4000)),IF($Z226&lt;=5800,IF(INDEX(次果筐明细!$C$4:$C$603,$Z226-5200)=0,"",INDEX(次果筐明细!$C$4:$C$603,$Z226-5200)),"")))))</f>
        <v/>
      </c>
      <c r="D226" s="37" t="str">
        <f>IF($Z226="","",IF($Z226&lt;=2000,"包装物料－"&amp;INDEX(包装物料出入库明细!$H$4:$H$2003,$Z226-0),IF($Z226&lt;=4000,"周转筐－"&amp;INDEX(周转筐出入库明细!$F$4:$F$2004,$Z226-2000),IF($Z226&lt;=5200,"客户自备筐－"&amp;INDEX(客户自备加工筐明细!$J$4:$J$1203,$Z226-4000),IF($Z226&lt;=5800,"次果筐/托盘－"&amp;INDEX(次果筐明细!$F$4:$F$603,$Z226-5200),"")))))</f>
        <v/>
      </c>
      <c r="E226" s="24" t="str">
        <f>IF($Z226="","",IF($Z226&lt;=2000,IF(INDEX(包装物料出入库明细!$C$4:$C$2003,$Z226-0)=0,"",INDEX(包装物料出入库明细!$C$4:$C$2003,$Z226-0)),IF($Z226&lt;=4000,IF(INDEX(周转筐出入库明细!$E$4:$E$2004,$Z226-2000)=0,"",INDEX(周转筐出入库明细!$E$4:$E$2004,$Z226-2000)),IF($Z226&lt;=5200,IF(INDEX(客户自备加工筐明细!$D$4:$D$1203,$Z226-4000)=0,"",INDEX(客户自备加工筐明细!$D$4:$D$1203,$Z226-4000)),IF($Z226&lt;=5800,IF(INDEX(次果筐明细!$E$4:$E$603,$Z226-5200)=0,"",INDEX(次果筐明细!$E$4:$E$603,$Z226-5200)),"")))))</f>
        <v/>
      </c>
      <c r="F226" s="24" t="str">
        <f>IF($Z226="","",IF($Z226&lt;=2000,IF(INDEX(包装物料出入库明细!$E$4:$E$2003,$Z226-0)=0,"",INDEX(包装物料出入库明细!$E$4:$E$2003,$Z226-0)),IF($Z226&lt;=4000,IF(INDEX(周转筐出入库明细!$D$4:$D$2004,$Z226-2000)=0,"",INDEX(周转筐出入库明细!$D$4:$D$2004,$Z226-2000)),IF($Z226&lt;=5200,IF(INDEX(客户自备加工筐明细!$C$4:$C$1203,$Z226-4000)=0,"",INDEX(客户自备加工筐明细!$C$4:$C$1203,$Z226-4000)),IF($Z226&lt;=5800,IF(INDEX(次果筐明细!$D$4:$D$603,$Z226-5200)=0,"",INDEX(次果筐明细!$D$4:$D$603,$Z226-5200)),"")))))</f>
        <v/>
      </c>
      <c r="G226" s="24" t="str">
        <f>IF($Z226="","",IF($Z226&lt;=2000,IF(INDEX(包装物料出入库明细!$F$4:$F$2003,$Z226-0)=0,"",INDEX(包装物料出入库明细!$F$4:$F$2003,$Z226-0)),IF($Z226&lt;=4000,"",IF($Z226&lt;=5200,"",IF($Z226&lt;=5800,"","")))))</f>
        <v/>
      </c>
      <c r="H226" s="39" t="str">
        <f>IF($Z226="","",IF($Z226&lt;=2000,IF(INDEX(包装物料出入库明细!$L$4:$L$2003,$Z226-0)=0,"",INDEX(包装物料出入库明细!$L$4:$L$2003,$Z226-0)),IF($Z226&lt;=4000,N(INDEX(周转筐出入库明细!$H$4:$H$2004,$Z226-2000))+N(INDEX(周转筐出入库明细!$I$4:$I$2004,$Z226-2000))+N(INDEX(周转筐出入库明细!$J$4:$J$2004,$Z226-2000))+N(INDEX(周转筐出入库明细!$K$4:$K$2004,$Z226-2000)),IF($Z226&lt;=5200,N(INDEX(客户自备加工筐明细!$F$4:$F$1203,$Z226-4000))+N(INDEX(客户自备加工筐明细!$G$4:$G$1203,$Z226-4000)),IF($Z226&lt;=5800,IF(INDEX(次果筐明细!$G$4:$G$603,$Z226-5200)=0,"",INDEX(次果筐明细!$G$4:$G$603,$Z226-5200)),"")))))</f>
        <v/>
      </c>
      <c r="I226" s="24" t="str">
        <f>IF($Z226="","",IF($Z226&lt;=2000,IF(INDEX(包装物料出入库明细!$G$4:$G$2003,$Z226-0)=0,"",INDEX(包装物料出入库明细!$G$4:$G$2003,$Z226-0)),IF($Z226&lt;=4000,"个",IF($Z226&lt;=5200,"个",IF($Z226&lt;=5800,"个","")))))</f>
        <v/>
      </c>
      <c r="J226" s="30" t="str">
        <f t="shared" si="10"/>
        <v/>
      </c>
      <c r="K226" s="30" t="str">
        <f>IF($Z226="","",IF($Z226&lt;=2000,IF(INDEX(包装物料出入库明细!$N$4:$N$2003,$Z226-0)=0,"",INDEX(包装物料出入库明细!$N$4:$N$2003,$Z226-0)),IF($Z226&lt;=4000,IF(INDEX(周转筐出入库明细!$P$4:$P$2004,$Z226-2000)=0,"",INDEX(周转筐出入库明细!$P$4:$P$2004,$Z226-2000)),IF($Z226&lt;=5200,"",IF($Z226&lt;=5800,N(INDEX(次果筐明细!$L$4:$L$603,$Z226-5200))+N(INDEX(次果筐明细!$J$4:$J$603,$Z226-5200)),"")))))</f>
        <v/>
      </c>
      <c r="L226" s="24" t="str">
        <f>IF($Z226="","",IF($Z226&lt;=2000,IF(INDEX(包装物料出入库明细!$P$4:$P$2003,$Z226-0)=0,"",INDEX(包装物料出入库明细!$P$4:$P$2003,$Z226-0)),IF($Z226&lt;=4000,IF(INDEX(周转筐出入库明细!$Q$4:$Q$2004,$Z226-2000)=0,"",INDEX(周转筐出入库明细!$Q$4:$Q$2004,$Z226-2000)),IF($Z226&lt;=5200,"",IF($Z226&lt;=5800,IF(INDEX(次果筐明细!$M$4:$M$603,$Z226-5200)=0,"",INDEX(次果筐明细!$M$4:$M$603,$Z226-5200)),"")))))</f>
        <v/>
      </c>
      <c r="M226" s="37" t="str">
        <f>IF($Z226="","",IF($Z226&lt;=2000,IF(INDEX(包装物料出入库明细!$R$4:$R$2003,$Z226-0)=0,"",INDEX(包装物料出入库明细!$R$4:$R$2003,$Z226-0)),IF($Z226&lt;=4000,IF(INDEX(周转筐出入库明细!$W$4:$W$2004,$Z226-2000)=0,"",INDEX(周转筐出入库明细!$W$4:$W$2004,$Z226-2000)),IF($Z226&lt;=5200,IF(INDEX(客户自备加工筐明细!$L$4:$L$1203,$Z226-4000)=0,"",INDEX(客户自备加工筐明细!$L$4:$L$1203,$Z226-4000)),IF($Z226&lt;=5800,IF(INDEX(次果筐明细!$P$4:$P$603,$Z226-5200)=0,"",INDEX(次果筐明细!$P$4:$P$603,$Z226-5200)),"")))))</f>
        <v/>
      </c>
      <c r="N226" s="16" t="str">
        <f>IF($Z226="","",IF($Z226&lt;=2000,"",IF($Z226&lt;=4000,IF(INDEX(周转筐出入库明细!$D$4:$D$2004,$Z226-2000)=0,"",INDEX(周转筐出入库明细!$D$4:$D$2004,$Z226-2000)),IF($Z226&lt;=5200,IF(INDEX(客户自备加工筐明细!$C$4:$C$1203,$Z226-4000)=0,"",INDEX(客户自备加工筐明细!$C$4:$C$1203,$Z226-4000)),IF($Z226&lt;=5800,IF(INDEX(次果筐明细!$D$4:$D$603,$Z226-5200)=0,"",INDEX(次果筐明细!$D$4:$D$603,$Z226-5200)),"")))))</f>
        <v/>
      </c>
      <c r="O226" s="40" t="str">
        <f>IF($Z226="","",IF($Z226&lt;=2000,"",IF($Z226&lt;=4000,IF(N(INDEX(周转筐出入库明细!$J$4:$J$2004,$Z226-2000))+N(INDEX(周转筐出入库明细!$K$4:$K$2004,$Z226-2000))=0,"",N(INDEX(周转筐出入库明细!$J$4:$J$2004,$Z226-2000))+N(INDEX(周转筐出入库明细!$K$4:$K$2004,$Z226-2000))),IF($Z226&lt;=5200,IF(N(INDEX(客户自备加工筐明细!$G$4:$G$1203,$Z226-4000))=0,"",N(INDEX(客户自备加工筐明细!$G$4:$G$1203,$Z226-4000))),IF($Z226&lt;=5800,IF(ISNUMBER(SEARCH("退",INDEX(次果筐明细!$F$4:$F$603,$Z226-5200)&amp;"")),"",IF(N(INDEX(次果筐明细!$G$4:$G$603,$Z226-5200))=0,"",N(INDEX(次果筐明细!$G$4:$G$603,$Z226-5200)))),"")))))</f>
        <v/>
      </c>
      <c r="P226" s="40" t="str">
        <f>IF($Z226="","",IF($Z226&lt;=2000,"",IF($Z226&lt;=4000,IF(N(INDEX(周转筐出入库明细!$I$4:$I$2004,$Z226-2000))=0,"",N(INDEX(周转筐出入库明细!$I$4:$I$2004,$Z226-2000))),IF($Z226&lt;=5200,"",IF($Z226&lt;=5800,IF(ISNUMBER(SEARCH("退",INDEX(次果筐明细!$F$4:$F$603,$Z226-5200)&amp;"")),IF(N(INDEX(次果筐明细!$G$4:$G$603,$Z226-5200))=0,"",N(INDEX(次果筐明细!$G$4:$G$603,$Z226-5200))),""),"")))))</f>
        <v/>
      </c>
      <c r="Q226" s="40" t="str">
        <f>IF($Z226="","",IF($Z226&lt;=2000,"",IF($Z226&lt;=4000,IF(N(INDEX(周转筐出入库明细!$H$4:$H$2004,$Z226-2000))=0,"",N(INDEX(周转筐出入库明细!$H$4:$H$2004,$Z226-2000))),IF($Z226&lt;=5200,IF(N(INDEX(客户自备加工筐明细!$F$4:$F$1203,$Z226-4000))=0,"",N(INDEX(客户自备加工筐明细!$F$4:$F$1203,$Z226-4000))),IF($Z226&lt;=5800,"","")))))</f>
        <v/>
      </c>
      <c r="R226" s="16" t="str">
        <f>IF($Z226="","",IF($Z226&lt;=2000,IF(INDEX(包装物料出入库明细!$O$4:$O$2003,$Z226-0)=0,"",INDEX(包装物料出入库明细!$O$4:$O$2003,$Z226-0)),IF($Z226&lt;=4000,IF(INDEX(周转筐出入库明细!$M$4:$M$2004,$Z226-2000)=0,"",INDEX(周转筐出入库明细!$M$4:$M$2004,$Z226-2000)),IF($Z226&lt;=5200,IF(INDEX(客户自备加工筐明细!$H$4:$H$1203,$Z226-4000)=0,"",INDEX(客户自备加工筐明细!$H$4:$H$1203,$Z226-4000)),IF($Z226&lt;=5800,IF(INDEX(次果筐明细!$H$4:$H$603,$Z226-5200)=0,"",INDEX(次果筐明细!$H$4:$H$603,$Z226-5200)),"")))))</f>
        <v/>
      </c>
      <c r="S226" s="22" t="str">
        <f t="shared" si="11"/>
        <v/>
      </c>
      <c r="Z226" s="10" t="str">
        <f>IFERROR(MATCH(ROW()-3,_自动清单!$CQ$4:$CQ$5803,0),"")</f>
        <v/>
      </c>
    </row>
    <row r="227" spans="1:26">
      <c r="A227" s="24" t="str">
        <f t="shared" si="9"/>
        <v/>
      </c>
      <c r="B227" s="38" t="str">
        <f>IF($Z227="","",IF($Z227&lt;=2000,IF(INDEX(包装物料出入库明细!$B$4:$B$2003,$Z227-0)=0,"",INDEX(包装物料出入库明细!$B$4:$B$2003,$Z227-0)),IF($Z227&lt;=4000,IF(INDEX(周转筐出入库明细!$B$4:$B$2004,$Z227-2000)=0,"",INDEX(周转筐出入库明细!$B$4:$B$2004,$Z227-2000)),IF($Z227&lt;=5200,IF(INDEX(客户自备加工筐明细!$B$4:$B$1203,$Z227-4000)=0,"",INDEX(客户自备加工筐明细!$B$4:$B$1203,$Z227-4000)),IF($Z227&lt;=5800,IF(INDEX(次果筐明细!$B$4:$B$603,$Z227-5200)=0,"",INDEX(次果筐明细!$B$4:$B$603,$Z227-5200)),"")))))</f>
        <v/>
      </c>
      <c r="C227" s="37" t="str">
        <f>IF($Z227="","",IF($Z227&lt;=2000,IF(INDEX(包装物料出入库明细!$D$4:$D$2003,$Z227-0)=0,"",INDEX(包装物料出入库明细!$D$4:$D$2003,$Z227-0)),IF($Z227&lt;=4000,IF(INDEX(周转筐出入库明细!$C$4:$C$2004,$Z227-2000)=0,"",INDEX(周转筐出入库明细!$C$4:$C$2004,$Z227-2000)),IF($Z227&lt;=5200,IF(INDEX(客户自备加工筐明细!$E$4:$E$1203,$Z227-4000)=0,"",INDEX(客户自备加工筐明细!$E$4:$E$1203,$Z227-4000)),IF($Z227&lt;=5800,IF(INDEX(次果筐明细!$C$4:$C$603,$Z227-5200)=0,"",INDEX(次果筐明细!$C$4:$C$603,$Z227-5200)),"")))))</f>
        <v/>
      </c>
      <c r="D227" s="37" t="str">
        <f>IF($Z227="","",IF($Z227&lt;=2000,"包装物料－"&amp;INDEX(包装物料出入库明细!$H$4:$H$2003,$Z227-0),IF($Z227&lt;=4000,"周转筐－"&amp;INDEX(周转筐出入库明细!$F$4:$F$2004,$Z227-2000),IF($Z227&lt;=5200,"客户自备筐－"&amp;INDEX(客户自备加工筐明细!$J$4:$J$1203,$Z227-4000),IF($Z227&lt;=5800,"次果筐/托盘－"&amp;INDEX(次果筐明细!$F$4:$F$603,$Z227-5200),"")))))</f>
        <v/>
      </c>
      <c r="E227" s="24" t="str">
        <f>IF($Z227="","",IF($Z227&lt;=2000,IF(INDEX(包装物料出入库明细!$C$4:$C$2003,$Z227-0)=0,"",INDEX(包装物料出入库明细!$C$4:$C$2003,$Z227-0)),IF($Z227&lt;=4000,IF(INDEX(周转筐出入库明细!$E$4:$E$2004,$Z227-2000)=0,"",INDEX(周转筐出入库明细!$E$4:$E$2004,$Z227-2000)),IF($Z227&lt;=5200,IF(INDEX(客户自备加工筐明细!$D$4:$D$1203,$Z227-4000)=0,"",INDEX(客户自备加工筐明细!$D$4:$D$1203,$Z227-4000)),IF($Z227&lt;=5800,IF(INDEX(次果筐明细!$E$4:$E$603,$Z227-5200)=0,"",INDEX(次果筐明细!$E$4:$E$603,$Z227-5200)),"")))))</f>
        <v/>
      </c>
      <c r="F227" s="24" t="str">
        <f>IF($Z227="","",IF($Z227&lt;=2000,IF(INDEX(包装物料出入库明细!$E$4:$E$2003,$Z227-0)=0,"",INDEX(包装物料出入库明细!$E$4:$E$2003,$Z227-0)),IF($Z227&lt;=4000,IF(INDEX(周转筐出入库明细!$D$4:$D$2004,$Z227-2000)=0,"",INDEX(周转筐出入库明细!$D$4:$D$2004,$Z227-2000)),IF($Z227&lt;=5200,IF(INDEX(客户自备加工筐明细!$C$4:$C$1203,$Z227-4000)=0,"",INDEX(客户自备加工筐明细!$C$4:$C$1203,$Z227-4000)),IF($Z227&lt;=5800,IF(INDEX(次果筐明细!$D$4:$D$603,$Z227-5200)=0,"",INDEX(次果筐明细!$D$4:$D$603,$Z227-5200)),"")))))</f>
        <v/>
      </c>
      <c r="G227" s="24" t="str">
        <f>IF($Z227="","",IF($Z227&lt;=2000,IF(INDEX(包装物料出入库明细!$F$4:$F$2003,$Z227-0)=0,"",INDEX(包装物料出入库明细!$F$4:$F$2003,$Z227-0)),IF($Z227&lt;=4000,"",IF($Z227&lt;=5200,"",IF($Z227&lt;=5800,"","")))))</f>
        <v/>
      </c>
      <c r="H227" s="39" t="str">
        <f>IF($Z227="","",IF($Z227&lt;=2000,IF(INDEX(包装物料出入库明细!$L$4:$L$2003,$Z227-0)=0,"",INDEX(包装物料出入库明细!$L$4:$L$2003,$Z227-0)),IF($Z227&lt;=4000,N(INDEX(周转筐出入库明细!$H$4:$H$2004,$Z227-2000))+N(INDEX(周转筐出入库明细!$I$4:$I$2004,$Z227-2000))+N(INDEX(周转筐出入库明细!$J$4:$J$2004,$Z227-2000))+N(INDEX(周转筐出入库明细!$K$4:$K$2004,$Z227-2000)),IF($Z227&lt;=5200,N(INDEX(客户自备加工筐明细!$F$4:$F$1203,$Z227-4000))+N(INDEX(客户自备加工筐明细!$G$4:$G$1203,$Z227-4000)),IF($Z227&lt;=5800,IF(INDEX(次果筐明细!$G$4:$G$603,$Z227-5200)=0,"",INDEX(次果筐明细!$G$4:$G$603,$Z227-5200)),"")))))</f>
        <v/>
      </c>
      <c r="I227" s="24" t="str">
        <f>IF($Z227="","",IF($Z227&lt;=2000,IF(INDEX(包装物料出入库明细!$G$4:$G$2003,$Z227-0)=0,"",INDEX(包装物料出入库明细!$G$4:$G$2003,$Z227-0)),IF($Z227&lt;=4000,"个",IF($Z227&lt;=5200,"个",IF($Z227&lt;=5800,"个","")))))</f>
        <v/>
      </c>
      <c r="J227" s="30" t="str">
        <f t="shared" si="10"/>
        <v/>
      </c>
      <c r="K227" s="30" t="str">
        <f>IF($Z227="","",IF($Z227&lt;=2000,IF(INDEX(包装物料出入库明细!$N$4:$N$2003,$Z227-0)=0,"",INDEX(包装物料出入库明细!$N$4:$N$2003,$Z227-0)),IF($Z227&lt;=4000,IF(INDEX(周转筐出入库明细!$P$4:$P$2004,$Z227-2000)=0,"",INDEX(周转筐出入库明细!$P$4:$P$2004,$Z227-2000)),IF($Z227&lt;=5200,"",IF($Z227&lt;=5800,N(INDEX(次果筐明细!$L$4:$L$603,$Z227-5200))+N(INDEX(次果筐明细!$J$4:$J$603,$Z227-5200)),"")))))</f>
        <v/>
      </c>
      <c r="L227" s="24" t="str">
        <f>IF($Z227="","",IF($Z227&lt;=2000,IF(INDEX(包装物料出入库明细!$P$4:$P$2003,$Z227-0)=0,"",INDEX(包装物料出入库明细!$P$4:$P$2003,$Z227-0)),IF($Z227&lt;=4000,IF(INDEX(周转筐出入库明细!$Q$4:$Q$2004,$Z227-2000)=0,"",INDEX(周转筐出入库明细!$Q$4:$Q$2004,$Z227-2000)),IF($Z227&lt;=5200,"",IF($Z227&lt;=5800,IF(INDEX(次果筐明细!$M$4:$M$603,$Z227-5200)=0,"",INDEX(次果筐明细!$M$4:$M$603,$Z227-5200)),"")))))</f>
        <v/>
      </c>
      <c r="M227" s="37" t="str">
        <f>IF($Z227="","",IF($Z227&lt;=2000,IF(INDEX(包装物料出入库明细!$R$4:$R$2003,$Z227-0)=0,"",INDEX(包装物料出入库明细!$R$4:$R$2003,$Z227-0)),IF($Z227&lt;=4000,IF(INDEX(周转筐出入库明细!$W$4:$W$2004,$Z227-2000)=0,"",INDEX(周转筐出入库明细!$W$4:$W$2004,$Z227-2000)),IF($Z227&lt;=5200,IF(INDEX(客户自备加工筐明细!$L$4:$L$1203,$Z227-4000)=0,"",INDEX(客户自备加工筐明细!$L$4:$L$1203,$Z227-4000)),IF($Z227&lt;=5800,IF(INDEX(次果筐明细!$P$4:$P$603,$Z227-5200)=0,"",INDEX(次果筐明细!$P$4:$P$603,$Z227-5200)),"")))))</f>
        <v/>
      </c>
      <c r="N227" s="16" t="str">
        <f>IF($Z227="","",IF($Z227&lt;=2000,"",IF($Z227&lt;=4000,IF(INDEX(周转筐出入库明细!$D$4:$D$2004,$Z227-2000)=0,"",INDEX(周转筐出入库明细!$D$4:$D$2004,$Z227-2000)),IF($Z227&lt;=5200,IF(INDEX(客户自备加工筐明细!$C$4:$C$1203,$Z227-4000)=0,"",INDEX(客户自备加工筐明细!$C$4:$C$1203,$Z227-4000)),IF($Z227&lt;=5800,IF(INDEX(次果筐明细!$D$4:$D$603,$Z227-5200)=0,"",INDEX(次果筐明细!$D$4:$D$603,$Z227-5200)),"")))))</f>
        <v/>
      </c>
      <c r="O227" s="40" t="str">
        <f>IF($Z227="","",IF($Z227&lt;=2000,"",IF($Z227&lt;=4000,IF(N(INDEX(周转筐出入库明细!$J$4:$J$2004,$Z227-2000))+N(INDEX(周转筐出入库明细!$K$4:$K$2004,$Z227-2000))=0,"",N(INDEX(周转筐出入库明细!$J$4:$J$2004,$Z227-2000))+N(INDEX(周转筐出入库明细!$K$4:$K$2004,$Z227-2000))),IF($Z227&lt;=5200,IF(N(INDEX(客户自备加工筐明细!$G$4:$G$1203,$Z227-4000))=0,"",N(INDEX(客户自备加工筐明细!$G$4:$G$1203,$Z227-4000))),IF($Z227&lt;=5800,IF(ISNUMBER(SEARCH("退",INDEX(次果筐明细!$F$4:$F$603,$Z227-5200)&amp;"")),"",IF(N(INDEX(次果筐明细!$G$4:$G$603,$Z227-5200))=0,"",N(INDEX(次果筐明细!$G$4:$G$603,$Z227-5200)))),"")))))</f>
        <v/>
      </c>
      <c r="P227" s="40" t="str">
        <f>IF($Z227="","",IF($Z227&lt;=2000,"",IF($Z227&lt;=4000,IF(N(INDEX(周转筐出入库明细!$I$4:$I$2004,$Z227-2000))=0,"",N(INDEX(周转筐出入库明细!$I$4:$I$2004,$Z227-2000))),IF($Z227&lt;=5200,"",IF($Z227&lt;=5800,IF(ISNUMBER(SEARCH("退",INDEX(次果筐明细!$F$4:$F$603,$Z227-5200)&amp;"")),IF(N(INDEX(次果筐明细!$G$4:$G$603,$Z227-5200))=0,"",N(INDEX(次果筐明细!$G$4:$G$603,$Z227-5200))),""),"")))))</f>
        <v/>
      </c>
      <c r="Q227" s="40" t="str">
        <f>IF($Z227="","",IF($Z227&lt;=2000,"",IF($Z227&lt;=4000,IF(N(INDEX(周转筐出入库明细!$H$4:$H$2004,$Z227-2000))=0,"",N(INDEX(周转筐出入库明细!$H$4:$H$2004,$Z227-2000))),IF($Z227&lt;=5200,IF(N(INDEX(客户自备加工筐明细!$F$4:$F$1203,$Z227-4000))=0,"",N(INDEX(客户自备加工筐明细!$F$4:$F$1203,$Z227-4000))),IF($Z227&lt;=5800,"","")))))</f>
        <v/>
      </c>
      <c r="R227" s="16" t="str">
        <f>IF($Z227="","",IF($Z227&lt;=2000,IF(INDEX(包装物料出入库明细!$O$4:$O$2003,$Z227-0)=0,"",INDEX(包装物料出入库明细!$O$4:$O$2003,$Z227-0)),IF($Z227&lt;=4000,IF(INDEX(周转筐出入库明细!$M$4:$M$2004,$Z227-2000)=0,"",INDEX(周转筐出入库明细!$M$4:$M$2004,$Z227-2000)),IF($Z227&lt;=5200,IF(INDEX(客户自备加工筐明细!$H$4:$H$1203,$Z227-4000)=0,"",INDEX(客户自备加工筐明细!$H$4:$H$1203,$Z227-4000)),IF($Z227&lt;=5800,IF(INDEX(次果筐明细!$H$4:$H$603,$Z227-5200)=0,"",INDEX(次果筐明细!$H$4:$H$603,$Z227-5200)),"")))))</f>
        <v/>
      </c>
      <c r="S227" s="22" t="str">
        <f t="shared" si="11"/>
        <v/>
      </c>
      <c r="Z227" s="10" t="str">
        <f>IFERROR(MATCH(ROW()-3,_自动清单!$CQ$4:$CQ$5803,0),"")</f>
        <v/>
      </c>
    </row>
    <row r="228" spans="1:26">
      <c r="A228" s="24" t="str">
        <f t="shared" si="9"/>
        <v/>
      </c>
      <c r="B228" s="38" t="str">
        <f>IF($Z228="","",IF($Z228&lt;=2000,IF(INDEX(包装物料出入库明细!$B$4:$B$2003,$Z228-0)=0,"",INDEX(包装物料出入库明细!$B$4:$B$2003,$Z228-0)),IF($Z228&lt;=4000,IF(INDEX(周转筐出入库明细!$B$4:$B$2004,$Z228-2000)=0,"",INDEX(周转筐出入库明细!$B$4:$B$2004,$Z228-2000)),IF($Z228&lt;=5200,IF(INDEX(客户自备加工筐明细!$B$4:$B$1203,$Z228-4000)=0,"",INDEX(客户自备加工筐明细!$B$4:$B$1203,$Z228-4000)),IF($Z228&lt;=5800,IF(INDEX(次果筐明细!$B$4:$B$603,$Z228-5200)=0,"",INDEX(次果筐明细!$B$4:$B$603,$Z228-5200)),"")))))</f>
        <v/>
      </c>
      <c r="C228" s="37" t="str">
        <f>IF($Z228="","",IF($Z228&lt;=2000,IF(INDEX(包装物料出入库明细!$D$4:$D$2003,$Z228-0)=0,"",INDEX(包装物料出入库明细!$D$4:$D$2003,$Z228-0)),IF($Z228&lt;=4000,IF(INDEX(周转筐出入库明细!$C$4:$C$2004,$Z228-2000)=0,"",INDEX(周转筐出入库明细!$C$4:$C$2004,$Z228-2000)),IF($Z228&lt;=5200,IF(INDEX(客户自备加工筐明细!$E$4:$E$1203,$Z228-4000)=0,"",INDEX(客户自备加工筐明细!$E$4:$E$1203,$Z228-4000)),IF($Z228&lt;=5800,IF(INDEX(次果筐明细!$C$4:$C$603,$Z228-5200)=0,"",INDEX(次果筐明细!$C$4:$C$603,$Z228-5200)),"")))))</f>
        <v/>
      </c>
      <c r="D228" s="37" t="str">
        <f>IF($Z228="","",IF($Z228&lt;=2000,"包装物料－"&amp;INDEX(包装物料出入库明细!$H$4:$H$2003,$Z228-0),IF($Z228&lt;=4000,"周转筐－"&amp;INDEX(周转筐出入库明细!$F$4:$F$2004,$Z228-2000),IF($Z228&lt;=5200,"客户自备筐－"&amp;INDEX(客户自备加工筐明细!$J$4:$J$1203,$Z228-4000),IF($Z228&lt;=5800,"次果筐/托盘－"&amp;INDEX(次果筐明细!$F$4:$F$603,$Z228-5200),"")))))</f>
        <v/>
      </c>
      <c r="E228" s="24" t="str">
        <f>IF($Z228="","",IF($Z228&lt;=2000,IF(INDEX(包装物料出入库明细!$C$4:$C$2003,$Z228-0)=0,"",INDEX(包装物料出入库明细!$C$4:$C$2003,$Z228-0)),IF($Z228&lt;=4000,IF(INDEX(周转筐出入库明细!$E$4:$E$2004,$Z228-2000)=0,"",INDEX(周转筐出入库明细!$E$4:$E$2004,$Z228-2000)),IF($Z228&lt;=5200,IF(INDEX(客户自备加工筐明细!$D$4:$D$1203,$Z228-4000)=0,"",INDEX(客户自备加工筐明细!$D$4:$D$1203,$Z228-4000)),IF($Z228&lt;=5800,IF(INDEX(次果筐明细!$E$4:$E$603,$Z228-5200)=0,"",INDEX(次果筐明细!$E$4:$E$603,$Z228-5200)),"")))))</f>
        <v/>
      </c>
      <c r="F228" s="24" t="str">
        <f>IF($Z228="","",IF($Z228&lt;=2000,IF(INDEX(包装物料出入库明细!$E$4:$E$2003,$Z228-0)=0,"",INDEX(包装物料出入库明细!$E$4:$E$2003,$Z228-0)),IF($Z228&lt;=4000,IF(INDEX(周转筐出入库明细!$D$4:$D$2004,$Z228-2000)=0,"",INDEX(周转筐出入库明细!$D$4:$D$2004,$Z228-2000)),IF($Z228&lt;=5200,IF(INDEX(客户自备加工筐明细!$C$4:$C$1203,$Z228-4000)=0,"",INDEX(客户自备加工筐明细!$C$4:$C$1203,$Z228-4000)),IF($Z228&lt;=5800,IF(INDEX(次果筐明细!$D$4:$D$603,$Z228-5200)=0,"",INDEX(次果筐明细!$D$4:$D$603,$Z228-5200)),"")))))</f>
        <v/>
      </c>
      <c r="G228" s="24" t="str">
        <f>IF($Z228="","",IF($Z228&lt;=2000,IF(INDEX(包装物料出入库明细!$F$4:$F$2003,$Z228-0)=0,"",INDEX(包装物料出入库明细!$F$4:$F$2003,$Z228-0)),IF($Z228&lt;=4000,"",IF($Z228&lt;=5200,"",IF($Z228&lt;=5800,"","")))))</f>
        <v/>
      </c>
      <c r="H228" s="39" t="str">
        <f>IF($Z228="","",IF($Z228&lt;=2000,IF(INDEX(包装物料出入库明细!$L$4:$L$2003,$Z228-0)=0,"",INDEX(包装物料出入库明细!$L$4:$L$2003,$Z228-0)),IF($Z228&lt;=4000,N(INDEX(周转筐出入库明细!$H$4:$H$2004,$Z228-2000))+N(INDEX(周转筐出入库明细!$I$4:$I$2004,$Z228-2000))+N(INDEX(周转筐出入库明细!$J$4:$J$2004,$Z228-2000))+N(INDEX(周转筐出入库明细!$K$4:$K$2004,$Z228-2000)),IF($Z228&lt;=5200,N(INDEX(客户自备加工筐明细!$F$4:$F$1203,$Z228-4000))+N(INDEX(客户自备加工筐明细!$G$4:$G$1203,$Z228-4000)),IF($Z228&lt;=5800,IF(INDEX(次果筐明细!$G$4:$G$603,$Z228-5200)=0,"",INDEX(次果筐明细!$G$4:$G$603,$Z228-5200)),"")))))</f>
        <v/>
      </c>
      <c r="I228" s="24" t="str">
        <f>IF($Z228="","",IF($Z228&lt;=2000,IF(INDEX(包装物料出入库明细!$G$4:$G$2003,$Z228-0)=0,"",INDEX(包装物料出入库明细!$G$4:$G$2003,$Z228-0)),IF($Z228&lt;=4000,"个",IF($Z228&lt;=5200,"个",IF($Z228&lt;=5800,"个","")))))</f>
        <v/>
      </c>
      <c r="J228" s="30" t="str">
        <f t="shared" si="10"/>
        <v/>
      </c>
      <c r="K228" s="30" t="str">
        <f>IF($Z228="","",IF($Z228&lt;=2000,IF(INDEX(包装物料出入库明细!$N$4:$N$2003,$Z228-0)=0,"",INDEX(包装物料出入库明细!$N$4:$N$2003,$Z228-0)),IF($Z228&lt;=4000,IF(INDEX(周转筐出入库明细!$P$4:$P$2004,$Z228-2000)=0,"",INDEX(周转筐出入库明细!$P$4:$P$2004,$Z228-2000)),IF($Z228&lt;=5200,"",IF($Z228&lt;=5800,N(INDEX(次果筐明细!$L$4:$L$603,$Z228-5200))+N(INDEX(次果筐明细!$J$4:$J$603,$Z228-5200)),"")))))</f>
        <v/>
      </c>
      <c r="L228" s="24" t="str">
        <f>IF($Z228="","",IF($Z228&lt;=2000,IF(INDEX(包装物料出入库明细!$P$4:$P$2003,$Z228-0)=0,"",INDEX(包装物料出入库明细!$P$4:$P$2003,$Z228-0)),IF($Z228&lt;=4000,IF(INDEX(周转筐出入库明细!$Q$4:$Q$2004,$Z228-2000)=0,"",INDEX(周转筐出入库明细!$Q$4:$Q$2004,$Z228-2000)),IF($Z228&lt;=5200,"",IF($Z228&lt;=5800,IF(INDEX(次果筐明细!$M$4:$M$603,$Z228-5200)=0,"",INDEX(次果筐明细!$M$4:$M$603,$Z228-5200)),"")))))</f>
        <v/>
      </c>
      <c r="M228" s="37" t="str">
        <f>IF($Z228="","",IF($Z228&lt;=2000,IF(INDEX(包装物料出入库明细!$R$4:$R$2003,$Z228-0)=0,"",INDEX(包装物料出入库明细!$R$4:$R$2003,$Z228-0)),IF($Z228&lt;=4000,IF(INDEX(周转筐出入库明细!$W$4:$W$2004,$Z228-2000)=0,"",INDEX(周转筐出入库明细!$W$4:$W$2004,$Z228-2000)),IF($Z228&lt;=5200,IF(INDEX(客户自备加工筐明细!$L$4:$L$1203,$Z228-4000)=0,"",INDEX(客户自备加工筐明细!$L$4:$L$1203,$Z228-4000)),IF($Z228&lt;=5800,IF(INDEX(次果筐明细!$P$4:$P$603,$Z228-5200)=0,"",INDEX(次果筐明细!$P$4:$P$603,$Z228-5200)),"")))))</f>
        <v/>
      </c>
      <c r="N228" s="16" t="str">
        <f>IF($Z228="","",IF($Z228&lt;=2000,"",IF($Z228&lt;=4000,IF(INDEX(周转筐出入库明细!$D$4:$D$2004,$Z228-2000)=0,"",INDEX(周转筐出入库明细!$D$4:$D$2004,$Z228-2000)),IF($Z228&lt;=5200,IF(INDEX(客户自备加工筐明细!$C$4:$C$1203,$Z228-4000)=0,"",INDEX(客户自备加工筐明细!$C$4:$C$1203,$Z228-4000)),IF($Z228&lt;=5800,IF(INDEX(次果筐明细!$D$4:$D$603,$Z228-5200)=0,"",INDEX(次果筐明细!$D$4:$D$603,$Z228-5200)),"")))))</f>
        <v/>
      </c>
      <c r="O228" s="40" t="str">
        <f>IF($Z228="","",IF($Z228&lt;=2000,"",IF($Z228&lt;=4000,IF(N(INDEX(周转筐出入库明细!$J$4:$J$2004,$Z228-2000))+N(INDEX(周转筐出入库明细!$K$4:$K$2004,$Z228-2000))=0,"",N(INDEX(周转筐出入库明细!$J$4:$J$2004,$Z228-2000))+N(INDEX(周转筐出入库明细!$K$4:$K$2004,$Z228-2000))),IF($Z228&lt;=5200,IF(N(INDEX(客户自备加工筐明细!$G$4:$G$1203,$Z228-4000))=0,"",N(INDEX(客户自备加工筐明细!$G$4:$G$1203,$Z228-4000))),IF($Z228&lt;=5800,IF(ISNUMBER(SEARCH("退",INDEX(次果筐明细!$F$4:$F$603,$Z228-5200)&amp;"")),"",IF(N(INDEX(次果筐明细!$G$4:$G$603,$Z228-5200))=0,"",N(INDEX(次果筐明细!$G$4:$G$603,$Z228-5200)))),"")))))</f>
        <v/>
      </c>
      <c r="P228" s="40" t="str">
        <f>IF($Z228="","",IF($Z228&lt;=2000,"",IF($Z228&lt;=4000,IF(N(INDEX(周转筐出入库明细!$I$4:$I$2004,$Z228-2000))=0,"",N(INDEX(周转筐出入库明细!$I$4:$I$2004,$Z228-2000))),IF($Z228&lt;=5200,"",IF($Z228&lt;=5800,IF(ISNUMBER(SEARCH("退",INDEX(次果筐明细!$F$4:$F$603,$Z228-5200)&amp;"")),IF(N(INDEX(次果筐明细!$G$4:$G$603,$Z228-5200))=0,"",N(INDEX(次果筐明细!$G$4:$G$603,$Z228-5200))),""),"")))))</f>
        <v/>
      </c>
      <c r="Q228" s="40" t="str">
        <f>IF($Z228="","",IF($Z228&lt;=2000,"",IF($Z228&lt;=4000,IF(N(INDEX(周转筐出入库明细!$H$4:$H$2004,$Z228-2000))=0,"",N(INDEX(周转筐出入库明细!$H$4:$H$2004,$Z228-2000))),IF($Z228&lt;=5200,IF(N(INDEX(客户自备加工筐明细!$F$4:$F$1203,$Z228-4000))=0,"",N(INDEX(客户自备加工筐明细!$F$4:$F$1203,$Z228-4000))),IF($Z228&lt;=5800,"","")))))</f>
        <v/>
      </c>
      <c r="R228" s="16" t="str">
        <f>IF($Z228="","",IF($Z228&lt;=2000,IF(INDEX(包装物料出入库明细!$O$4:$O$2003,$Z228-0)=0,"",INDEX(包装物料出入库明细!$O$4:$O$2003,$Z228-0)),IF($Z228&lt;=4000,IF(INDEX(周转筐出入库明细!$M$4:$M$2004,$Z228-2000)=0,"",INDEX(周转筐出入库明细!$M$4:$M$2004,$Z228-2000)),IF($Z228&lt;=5200,IF(INDEX(客户自备加工筐明细!$H$4:$H$1203,$Z228-4000)=0,"",INDEX(客户自备加工筐明细!$H$4:$H$1203,$Z228-4000)),IF($Z228&lt;=5800,IF(INDEX(次果筐明细!$H$4:$H$603,$Z228-5200)=0,"",INDEX(次果筐明细!$H$4:$H$603,$Z228-5200)),"")))))</f>
        <v/>
      </c>
      <c r="S228" s="22" t="str">
        <f t="shared" si="11"/>
        <v/>
      </c>
      <c r="Z228" s="10" t="str">
        <f>IFERROR(MATCH(ROW()-3,_自动清单!$CQ$4:$CQ$5803,0),"")</f>
        <v/>
      </c>
    </row>
    <row r="229" spans="1:26">
      <c r="A229" s="24" t="str">
        <f t="shared" si="9"/>
        <v/>
      </c>
      <c r="B229" s="38" t="str">
        <f>IF($Z229="","",IF($Z229&lt;=2000,IF(INDEX(包装物料出入库明细!$B$4:$B$2003,$Z229-0)=0,"",INDEX(包装物料出入库明细!$B$4:$B$2003,$Z229-0)),IF($Z229&lt;=4000,IF(INDEX(周转筐出入库明细!$B$4:$B$2004,$Z229-2000)=0,"",INDEX(周转筐出入库明细!$B$4:$B$2004,$Z229-2000)),IF($Z229&lt;=5200,IF(INDEX(客户自备加工筐明细!$B$4:$B$1203,$Z229-4000)=0,"",INDEX(客户自备加工筐明细!$B$4:$B$1203,$Z229-4000)),IF($Z229&lt;=5800,IF(INDEX(次果筐明细!$B$4:$B$603,$Z229-5200)=0,"",INDEX(次果筐明细!$B$4:$B$603,$Z229-5200)),"")))))</f>
        <v/>
      </c>
      <c r="C229" s="37" t="str">
        <f>IF($Z229="","",IF($Z229&lt;=2000,IF(INDEX(包装物料出入库明细!$D$4:$D$2003,$Z229-0)=0,"",INDEX(包装物料出入库明细!$D$4:$D$2003,$Z229-0)),IF($Z229&lt;=4000,IF(INDEX(周转筐出入库明细!$C$4:$C$2004,$Z229-2000)=0,"",INDEX(周转筐出入库明细!$C$4:$C$2004,$Z229-2000)),IF($Z229&lt;=5200,IF(INDEX(客户自备加工筐明细!$E$4:$E$1203,$Z229-4000)=0,"",INDEX(客户自备加工筐明细!$E$4:$E$1203,$Z229-4000)),IF($Z229&lt;=5800,IF(INDEX(次果筐明细!$C$4:$C$603,$Z229-5200)=0,"",INDEX(次果筐明细!$C$4:$C$603,$Z229-5200)),"")))))</f>
        <v/>
      </c>
      <c r="D229" s="37" t="str">
        <f>IF($Z229="","",IF($Z229&lt;=2000,"包装物料－"&amp;INDEX(包装物料出入库明细!$H$4:$H$2003,$Z229-0),IF($Z229&lt;=4000,"周转筐－"&amp;INDEX(周转筐出入库明细!$F$4:$F$2004,$Z229-2000),IF($Z229&lt;=5200,"客户自备筐－"&amp;INDEX(客户自备加工筐明细!$J$4:$J$1203,$Z229-4000),IF($Z229&lt;=5800,"次果筐/托盘－"&amp;INDEX(次果筐明细!$F$4:$F$603,$Z229-5200),"")))))</f>
        <v/>
      </c>
      <c r="E229" s="24" t="str">
        <f>IF($Z229="","",IF($Z229&lt;=2000,IF(INDEX(包装物料出入库明细!$C$4:$C$2003,$Z229-0)=0,"",INDEX(包装物料出入库明细!$C$4:$C$2003,$Z229-0)),IF($Z229&lt;=4000,IF(INDEX(周转筐出入库明细!$E$4:$E$2004,$Z229-2000)=0,"",INDEX(周转筐出入库明细!$E$4:$E$2004,$Z229-2000)),IF($Z229&lt;=5200,IF(INDEX(客户自备加工筐明细!$D$4:$D$1203,$Z229-4000)=0,"",INDEX(客户自备加工筐明细!$D$4:$D$1203,$Z229-4000)),IF($Z229&lt;=5800,IF(INDEX(次果筐明细!$E$4:$E$603,$Z229-5200)=0,"",INDEX(次果筐明细!$E$4:$E$603,$Z229-5200)),"")))))</f>
        <v/>
      </c>
      <c r="F229" s="24" t="str">
        <f>IF($Z229="","",IF($Z229&lt;=2000,IF(INDEX(包装物料出入库明细!$E$4:$E$2003,$Z229-0)=0,"",INDEX(包装物料出入库明细!$E$4:$E$2003,$Z229-0)),IF($Z229&lt;=4000,IF(INDEX(周转筐出入库明细!$D$4:$D$2004,$Z229-2000)=0,"",INDEX(周转筐出入库明细!$D$4:$D$2004,$Z229-2000)),IF($Z229&lt;=5200,IF(INDEX(客户自备加工筐明细!$C$4:$C$1203,$Z229-4000)=0,"",INDEX(客户自备加工筐明细!$C$4:$C$1203,$Z229-4000)),IF($Z229&lt;=5800,IF(INDEX(次果筐明细!$D$4:$D$603,$Z229-5200)=0,"",INDEX(次果筐明细!$D$4:$D$603,$Z229-5200)),"")))))</f>
        <v/>
      </c>
      <c r="G229" s="24" t="str">
        <f>IF($Z229="","",IF($Z229&lt;=2000,IF(INDEX(包装物料出入库明细!$F$4:$F$2003,$Z229-0)=0,"",INDEX(包装物料出入库明细!$F$4:$F$2003,$Z229-0)),IF($Z229&lt;=4000,"",IF($Z229&lt;=5200,"",IF($Z229&lt;=5800,"","")))))</f>
        <v/>
      </c>
      <c r="H229" s="39" t="str">
        <f>IF($Z229="","",IF($Z229&lt;=2000,IF(INDEX(包装物料出入库明细!$L$4:$L$2003,$Z229-0)=0,"",INDEX(包装物料出入库明细!$L$4:$L$2003,$Z229-0)),IF($Z229&lt;=4000,N(INDEX(周转筐出入库明细!$H$4:$H$2004,$Z229-2000))+N(INDEX(周转筐出入库明细!$I$4:$I$2004,$Z229-2000))+N(INDEX(周转筐出入库明细!$J$4:$J$2004,$Z229-2000))+N(INDEX(周转筐出入库明细!$K$4:$K$2004,$Z229-2000)),IF($Z229&lt;=5200,N(INDEX(客户自备加工筐明细!$F$4:$F$1203,$Z229-4000))+N(INDEX(客户自备加工筐明细!$G$4:$G$1203,$Z229-4000)),IF($Z229&lt;=5800,IF(INDEX(次果筐明细!$G$4:$G$603,$Z229-5200)=0,"",INDEX(次果筐明细!$G$4:$G$603,$Z229-5200)),"")))))</f>
        <v/>
      </c>
      <c r="I229" s="24" t="str">
        <f>IF($Z229="","",IF($Z229&lt;=2000,IF(INDEX(包装物料出入库明细!$G$4:$G$2003,$Z229-0)=0,"",INDEX(包装物料出入库明细!$G$4:$G$2003,$Z229-0)),IF($Z229&lt;=4000,"个",IF($Z229&lt;=5200,"个",IF($Z229&lt;=5800,"个","")))))</f>
        <v/>
      </c>
      <c r="J229" s="30" t="str">
        <f t="shared" si="10"/>
        <v/>
      </c>
      <c r="K229" s="30" t="str">
        <f>IF($Z229="","",IF($Z229&lt;=2000,IF(INDEX(包装物料出入库明细!$N$4:$N$2003,$Z229-0)=0,"",INDEX(包装物料出入库明细!$N$4:$N$2003,$Z229-0)),IF($Z229&lt;=4000,IF(INDEX(周转筐出入库明细!$P$4:$P$2004,$Z229-2000)=0,"",INDEX(周转筐出入库明细!$P$4:$P$2004,$Z229-2000)),IF($Z229&lt;=5200,"",IF($Z229&lt;=5800,N(INDEX(次果筐明细!$L$4:$L$603,$Z229-5200))+N(INDEX(次果筐明细!$J$4:$J$603,$Z229-5200)),"")))))</f>
        <v/>
      </c>
      <c r="L229" s="24" t="str">
        <f>IF($Z229="","",IF($Z229&lt;=2000,IF(INDEX(包装物料出入库明细!$P$4:$P$2003,$Z229-0)=0,"",INDEX(包装物料出入库明细!$P$4:$P$2003,$Z229-0)),IF($Z229&lt;=4000,IF(INDEX(周转筐出入库明细!$Q$4:$Q$2004,$Z229-2000)=0,"",INDEX(周转筐出入库明细!$Q$4:$Q$2004,$Z229-2000)),IF($Z229&lt;=5200,"",IF($Z229&lt;=5800,IF(INDEX(次果筐明细!$M$4:$M$603,$Z229-5200)=0,"",INDEX(次果筐明细!$M$4:$M$603,$Z229-5200)),"")))))</f>
        <v/>
      </c>
      <c r="M229" s="37" t="str">
        <f>IF($Z229="","",IF($Z229&lt;=2000,IF(INDEX(包装物料出入库明细!$R$4:$R$2003,$Z229-0)=0,"",INDEX(包装物料出入库明细!$R$4:$R$2003,$Z229-0)),IF($Z229&lt;=4000,IF(INDEX(周转筐出入库明细!$W$4:$W$2004,$Z229-2000)=0,"",INDEX(周转筐出入库明细!$W$4:$W$2004,$Z229-2000)),IF($Z229&lt;=5200,IF(INDEX(客户自备加工筐明细!$L$4:$L$1203,$Z229-4000)=0,"",INDEX(客户自备加工筐明细!$L$4:$L$1203,$Z229-4000)),IF($Z229&lt;=5800,IF(INDEX(次果筐明细!$P$4:$P$603,$Z229-5200)=0,"",INDEX(次果筐明细!$P$4:$P$603,$Z229-5200)),"")))))</f>
        <v/>
      </c>
      <c r="N229" s="16" t="str">
        <f>IF($Z229="","",IF($Z229&lt;=2000,"",IF($Z229&lt;=4000,IF(INDEX(周转筐出入库明细!$D$4:$D$2004,$Z229-2000)=0,"",INDEX(周转筐出入库明细!$D$4:$D$2004,$Z229-2000)),IF($Z229&lt;=5200,IF(INDEX(客户自备加工筐明细!$C$4:$C$1203,$Z229-4000)=0,"",INDEX(客户自备加工筐明细!$C$4:$C$1203,$Z229-4000)),IF($Z229&lt;=5800,IF(INDEX(次果筐明细!$D$4:$D$603,$Z229-5200)=0,"",INDEX(次果筐明细!$D$4:$D$603,$Z229-5200)),"")))))</f>
        <v/>
      </c>
      <c r="O229" s="40" t="str">
        <f>IF($Z229="","",IF($Z229&lt;=2000,"",IF($Z229&lt;=4000,IF(N(INDEX(周转筐出入库明细!$J$4:$J$2004,$Z229-2000))+N(INDEX(周转筐出入库明细!$K$4:$K$2004,$Z229-2000))=0,"",N(INDEX(周转筐出入库明细!$J$4:$J$2004,$Z229-2000))+N(INDEX(周转筐出入库明细!$K$4:$K$2004,$Z229-2000))),IF($Z229&lt;=5200,IF(N(INDEX(客户自备加工筐明细!$G$4:$G$1203,$Z229-4000))=0,"",N(INDEX(客户自备加工筐明细!$G$4:$G$1203,$Z229-4000))),IF($Z229&lt;=5800,IF(ISNUMBER(SEARCH("退",INDEX(次果筐明细!$F$4:$F$603,$Z229-5200)&amp;"")),"",IF(N(INDEX(次果筐明细!$G$4:$G$603,$Z229-5200))=0,"",N(INDEX(次果筐明细!$G$4:$G$603,$Z229-5200)))),"")))))</f>
        <v/>
      </c>
      <c r="P229" s="40" t="str">
        <f>IF($Z229="","",IF($Z229&lt;=2000,"",IF($Z229&lt;=4000,IF(N(INDEX(周转筐出入库明细!$I$4:$I$2004,$Z229-2000))=0,"",N(INDEX(周转筐出入库明细!$I$4:$I$2004,$Z229-2000))),IF($Z229&lt;=5200,"",IF($Z229&lt;=5800,IF(ISNUMBER(SEARCH("退",INDEX(次果筐明细!$F$4:$F$603,$Z229-5200)&amp;"")),IF(N(INDEX(次果筐明细!$G$4:$G$603,$Z229-5200))=0,"",N(INDEX(次果筐明细!$G$4:$G$603,$Z229-5200))),""),"")))))</f>
        <v/>
      </c>
      <c r="Q229" s="40" t="str">
        <f>IF($Z229="","",IF($Z229&lt;=2000,"",IF($Z229&lt;=4000,IF(N(INDEX(周转筐出入库明细!$H$4:$H$2004,$Z229-2000))=0,"",N(INDEX(周转筐出入库明细!$H$4:$H$2004,$Z229-2000))),IF($Z229&lt;=5200,IF(N(INDEX(客户自备加工筐明细!$F$4:$F$1203,$Z229-4000))=0,"",N(INDEX(客户自备加工筐明细!$F$4:$F$1203,$Z229-4000))),IF($Z229&lt;=5800,"","")))))</f>
        <v/>
      </c>
      <c r="R229" s="16" t="str">
        <f>IF($Z229="","",IF($Z229&lt;=2000,IF(INDEX(包装物料出入库明细!$O$4:$O$2003,$Z229-0)=0,"",INDEX(包装物料出入库明细!$O$4:$O$2003,$Z229-0)),IF($Z229&lt;=4000,IF(INDEX(周转筐出入库明细!$M$4:$M$2004,$Z229-2000)=0,"",INDEX(周转筐出入库明细!$M$4:$M$2004,$Z229-2000)),IF($Z229&lt;=5200,IF(INDEX(客户自备加工筐明细!$H$4:$H$1203,$Z229-4000)=0,"",INDEX(客户自备加工筐明细!$H$4:$H$1203,$Z229-4000)),IF($Z229&lt;=5800,IF(INDEX(次果筐明细!$H$4:$H$603,$Z229-5200)=0,"",INDEX(次果筐明细!$H$4:$H$603,$Z229-5200)),"")))))</f>
        <v/>
      </c>
      <c r="S229" s="22" t="str">
        <f t="shared" si="11"/>
        <v/>
      </c>
      <c r="Z229" s="10" t="str">
        <f>IFERROR(MATCH(ROW()-3,_自动清单!$CQ$4:$CQ$5803,0),"")</f>
        <v/>
      </c>
    </row>
    <row r="230" spans="1:26">
      <c r="A230" s="24" t="str">
        <f t="shared" si="9"/>
        <v/>
      </c>
      <c r="B230" s="38" t="str">
        <f>IF($Z230="","",IF($Z230&lt;=2000,IF(INDEX(包装物料出入库明细!$B$4:$B$2003,$Z230-0)=0,"",INDEX(包装物料出入库明细!$B$4:$B$2003,$Z230-0)),IF($Z230&lt;=4000,IF(INDEX(周转筐出入库明细!$B$4:$B$2004,$Z230-2000)=0,"",INDEX(周转筐出入库明细!$B$4:$B$2004,$Z230-2000)),IF($Z230&lt;=5200,IF(INDEX(客户自备加工筐明细!$B$4:$B$1203,$Z230-4000)=0,"",INDEX(客户自备加工筐明细!$B$4:$B$1203,$Z230-4000)),IF($Z230&lt;=5800,IF(INDEX(次果筐明细!$B$4:$B$603,$Z230-5200)=0,"",INDEX(次果筐明细!$B$4:$B$603,$Z230-5200)),"")))))</f>
        <v/>
      </c>
      <c r="C230" s="37" t="str">
        <f>IF($Z230="","",IF($Z230&lt;=2000,IF(INDEX(包装物料出入库明细!$D$4:$D$2003,$Z230-0)=0,"",INDEX(包装物料出入库明细!$D$4:$D$2003,$Z230-0)),IF($Z230&lt;=4000,IF(INDEX(周转筐出入库明细!$C$4:$C$2004,$Z230-2000)=0,"",INDEX(周转筐出入库明细!$C$4:$C$2004,$Z230-2000)),IF($Z230&lt;=5200,IF(INDEX(客户自备加工筐明细!$E$4:$E$1203,$Z230-4000)=0,"",INDEX(客户自备加工筐明细!$E$4:$E$1203,$Z230-4000)),IF($Z230&lt;=5800,IF(INDEX(次果筐明细!$C$4:$C$603,$Z230-5200)=0,"",INDEX(次果筐明细!$C$4:$C$603,$Z230-5200)),"")))))</f>
        <v/>
      </c>
      <c r="D230" s="37" t="str">
        <f>IF($Z230="","",IF($Z230&lt;=2000,"包装物料－"&amp;INDEX(包装物料出入库明细!$H$4:$H$2003,$Z230-0),IF($Z230&lt;=4000,"周转筐－"&amp;INDEX(周转筐出入库明细!$F$4:$F$2004,$Z230-2000),IF($Z230&lt;=5200,"客户自备筐－"&amp;INDEX(客户自备加工筐明细!$J$4:$J$1203,$Z230-4000),IF($Z230&lt;=5800,"次果筐/托盘－"&amp;INDEX(次果筐明细!$F$4:$F$603,$Z230-5200),"")))))</f>
        <v/>
      </c>
      <c r="E230" s="24" t="str">
        <f>IF($Z230="","",IF($Z230&lt;=2000,IF(INDEX(包装物料出入库明细!$C$4:$C$2003,$Z230-0)=0,"",INDEX(包装物料出入库明细!$C$4:$C$2003,$Z230-0)),IF($Z230&lt;=4000,IF(INDEX(周转筐出入库明细!$E$4:$E$2004,$Z230-2000)=0,"",INDEX(周转筐出入库明细!$E$4:$E$2004,$Z230-2000)),IF($Z230&lt;=5200,IF(INDEX(客户自备加工筐明细!$D$4:$D$1203,$Z230-4000)=0,"",INDEX(客户自备加工筐明细!$D$4:$D$1203,$Z230-4000)),IF($Z230&lt;=5800,IF(INDEX(次果筐明细!$E$4:$E$603,$Z230-5200)=0,"",INDEX(次果筐明细!$E$4:$E$603,$Z230-5200)),"")))))</f>
        <v/>
      </c>
      <c r="F230" s="24" t="str">
        <f>IF($Z230="","",IF($Z230&lt;=2000,IF(INDEX(包装物料出入库明细!$E$4:$E$2003,$Z230-0)=0,"",INDEX(包装物料出入库明细!$E$4:$E$2003,$Z230-0)),IF($Z230&lt;=4000,IF(INDEX(周转筐出入库明细!$D$4:$D$2004,$Z230-2000)=0,"",INDEX(周转筐出入库明细!$D$4:$D$2004,$Z230-2000)),IF($Z230&lt;=5200,IF(INDEX(客户自备加工筐明细!$C$4:$C$1203,$Z230-4000)=0,"",INDEX(客户自备加工筐明细!$C$4:$C$1203,$Z230-4000)),IF($Z230&lt;=5800,IF(INDEX(次果筐明细!$D$4:$D$603,$Z230-5200)=0,"",INDEX(次果筐明细!$D$4:$D$603,$Z230-5200)),"")))))</f>
        <v/>
      </c>
      <c r="G230" s="24" t="str">
        <f>IF($Z230="","",IF($Z230&lt;=2000,IF(INDEX(包装物料出入库明细!$F$4:$F$2003,$Z230-0)=0,"",INDEX(包装物料出入库明细!$F$4:$F$2003,$Z230-0)),IF($Z230&lt;=4000,"",IF($Z230&lt;=5200,"",IF($Z230&lt;=5800,"","")))))</f>
        <v/>
      </c>
      <c r="H230" s="39" t="str">
        <f>IF($Z230="","",IF($Z230&lt;=2000,IF(INDEX(包装物料出入库明细!$L$4:$L$2003,$Z230-0)=0,"",INDEX(包装物料出入库明细!$L$4:$L$2003,$Z230-0)),IF($Z230&lt;=4000,N(INDEX(周转筐出入库明细!$H$4:$H$2004,$Z230-2000))+N(INDEX(周转筐出入库明细!$I$4:$I$2004,$Z230-2000))+N(INDEX(周转筐出入库明细!$J$4:$J$2004,$Z230-2000))+N(INDEX(周转筐出入库明细!$K$4:$K$2004,$Z230-2000)),IF($Z230&lt;=5200,N(INDEX(客户自备加工筐明细!$F$4:$F$1203,$Z230-4000))+N(INDEX(客户自备加工筐明细!$G$4:$G$1203,$Z230-4000)),IF($Z230&lt;=5800,IF(INDEX(次果筐明细!$G$4:$G$603,$Z230-5200)=0,"",INDEX(次果筐明细!$G$4:$G$603,$Z230-5200)),"")))))</f>
        <v/>
      </c>
      <c r="I230" s="24" t="str">
        <f>IF($Z230="","",IF($Z230&lt;=2000,IF(INDEX(包装物料出入库明细!$G$4:$G$2003,$Z230-0)=0,"",INDEX(包装物料出入库明细!$G$4:$G$2003,$Z230-0)),IF($Z230&lt;=4000,"个",IF($Z230&lt;=5200,"个",IF($Z230&lt;=5800,"个","")))))</f>
        <v/>
      </c>
      <c r="J230" s="30" t="str">
        <f t="shared" si="10"/>
        <v/>
      </c>
      <c r="K230" s="30" t="str">
        <f>IF($Z230="","",IF($Z230&lt;=2000,IF(INDEX(包装物料出入库明细!$N$4:$N$2003,$Z230-0)=0,"",INDEX(包装物料出入库明细!$N$4:$N$2003,$Z230-0)),IF($Z230&lt;=4000,IF(INDEX(周转筐出入库明细!$P$4:$P$2004,$Z230-2000)=0,"",INDEX(周转筐出入库明细!$P$4:$P$2004,$Z230-2000)),IF($Z230&lt;=5200,"",IF($Z230&lt;=5800,N(INDEX(次果筐明细!$L$4:$L$603,$Z230-5200))+N(INDEX(次果筐明细!$J$4:$J$603,$Z230-5200)),"")))))</f>
        <v/>
      </c>
      <c r="L230" s="24" t="str">
        <f>IF($Z230="","",IF($Z230&lt;=2000,IF(INDEX(包装物料出入库明细!$P$4:$P$2003,$Z230-0)=0,"",INDEX(包装物料出入库明细!$P$4:$P$2003,$Z230-0)),IF($Z230&lt;=4000,IF(INDEX(周转筐出入库明细!$Q$4:$Q$2004,$Z230-2000)=0,"",INDEX(周转筐出入库明细!$Q$4:$Q$2004,$Z230-2000)),IF($Z230&lt;=5200,"",IF($Z230&lt;=5800,IF(INDEX(次果筐明细!$M$4:$M$603,$Z230-5200)=0,"",INDEX(次果筐明细!$M$4:$M$603,$Z230-5200)),"")))))</f>
        <v/>
      </c>
      <c r="M230" s="37" t="str">
        <f>IF($Z230="","",IF($Z230&lt;=2000,IF(INDEX(包装物料出入库明细!$R$4:$R$2003,$Z230-0)=0,"",INDEX(包装物料出入库明细!$R$4:$R$2003,$Z230-0)),IF($Z230&lt;=4000,IF(INDEX(周转筐出入库明细!$W$4:$W$2004,$Z230-2000)=0,"",INDEX(周转筐出入库明细!$W$4:$W$2004,$Z230-2000)),IF($Z230&lt;=5200,IF(INDEX(客户自备加工筐明细!$L$4:$L$1203,$Z230-4000)=0,"",INDEX(客户自备加工筐明细!$L$4:$L$1203,$Z230-4000)),IF($Z230&lt;=5800,IF(INDEX(次果筐明细!$P$4:$P$603,$Z230-5200)=0,"",INDEX(次果筐明细!$P$4:$P$603,$Z230-5200)),"")))))</f>
        <v/>
      </c>
      <c r="N230" s="16" t="str">
        <f>IF($Z230="","",IF($Z230&lt;=2000,"",IF($Z230&lt;=4000,IF(INDEX(周转筐出入库明细!$D$4:$D$2004,$Z230-2000)=0,"",INDEX(周转筐出入库明细!$D$4:$D$2004,$Z230-2000)),IF($Z230&lt;=5200,IF(INDEX(客户自备加工筐明细!$C$4:$C$1203,$Z230-4000)=0,"",INDEX(客户自备加工筐明细!$C$4:$C$1203,$Z230-4000)),IF($Z230&lt;=5800,IF(INDEX(次果筐明细!$D$4:$D$603,$Z230-5200)=0,"",INDEX(次果筐明细!$D$4:$D$603,$Z230-5200)),"")))))</f>
        <v/>
      </c>
      <c r="O230" s="40" t="str">
        <f>IF($Z230="","",IF($Z230&lt;=2000,"",IF($Z230&lt;=4000,IF(N(INDEX(周转筐出入库明细!$J$4:$J$2004,$Z230-2000))+N(INDEX(周转筐出入库明细!$K$4:$K$2004,$Z230-2000))=0,"",N(INDEX(周转筐出入库明细!$J$4:$J$2004,$Z230-2000))+N(INDEX(周转筐出入库明细!$K$4:$K$2004,$Z230-2000))),IF($Z230&lt;=5200,IF(N(INDEX(客户自备加工筐明细!$G$4:$G$1203,$Z230-4000))=0,"",N(INDEX(客户自备加工筐明细!$G$4:$G$1203,$Z230-4000))),IF($Z230&lt;=5800,IF(ISNUMBER(SEARCH("退",INDEX(次果筐明细!$F$4:$F$603,$Z230-5200)&amp;"")),"",IF(N(INDEX(次果筐明细!$G$4:$G$603,$Z230-5200))=0,"",N(INDEX(次果筐明细!$G$4:$G$603,$Z230-5200)))),"")))))</f>
        <v/>
      </c>
      <c r="P230" s="40" t="str">
        <f>IF($Z230="","",IF($Z230&lt;=2000,"",IF($Z230&lt;=4000,IF(N(INDEX(周转筐出入库明细!$I$4:$I$2004,$Z230-2000))=0,"",N(INDEX(周转筐出入库明细!$I$4:$I$2004,$Z230-2000))),IF($Z230&lt;=5200,"",IF($Z230&lt;=5800,IF(ISNUMBER(SEARCH("退",INDEX(次果筐明细!$F$4:$F$603,$Z230-5200)&amp;"")),IF(N(INDEX(次果筐明细!$G$4:$G$603,$Z230-5200))=0,"",N(INDEX(次果筐明细!$G$4:$G$603,$Z230-5200))),""),"")))))</f>
        <v/>
      </c>
      <c r="Q230" s="40" t="str">
        <f>IF($Z230="","",IF($Z230&lt;=2000,"",IF($Z230&lt;=4000,IF(N(INDEX(周转筐出入库明细!$H$4:$H$2004,$Z230-2000))=0,"",N(INDEX(周转筐出入库明细!$H$4:$H$2004,$Z230-2000))),IF($Z230&lt;=5200,IF(N(INDEX(客户自备加工筐明细!$F$4:$F$1203,$Z230-4000))=0,"",N(INDEX(客户自备加工筐明细!$F$4:$F$1203,$Z230-4000))),IF($Z230&lt;=5800,"","")))))</f>
        <v/>
      </c>
      <c r="R230" s="16" t="str">
        <f>IF($Z230="","",IF($Z230&lt;=2000,IF(INDEX(包装物料出入库明细!$O$4:$O$2003,$Z230-0)=0,"",INDEX(包装物料出入库明细!$O$4:$O$2003,$Z230-0)),IF($Z230&lt;=4000,IF(INDEX(周转筐出入库明细!$M$4:$M$2004,$Z230-2000)=0,"",INDEX(周转筐出入库明细!$M$4:$M$2004,$Z230-2000)),IF($Z230&lt;=5200,IF(INDEX(客户自备加工筐明细!$H$4:$H$1203,$Z230-4000)=0,"",INDEX(客户自备加工筐明细!$H$4:$H$1203,$Z230-4000)),IF($Z230&lt;=5800,IF(INDEX(次果筐明细!$H$4:$H$603,$Z230-5200)=0,"",INDEX(次果筐明细!$H$4:$H$603,$Z230-5200)),"")))))</f>
        <v/>
      </c>
      <c r="S230" s="22" t="str">
        <f t="shared" si="11"/>
        <v/>
      </c>
      <c r="Z230" s="10" t="str">
        <f>IFERROR(MATCH(ROW()-3,_自动清单!$CQ$4:$CQ$5803,0),"")</f>
        <v/>
      </c>
    </row>
    <row r="231" spans="1:26">
      <c r="A231" s="24" t="str">
        <f t="shared" si="9"/>
        <v/>
      </c>
      <c r="B231" s="38" t="str">
        <f>IF($Z231="","",IF($Z231&lt;=2000,IF(INDEX(包装物料出入库明细!$B$4:$B$2003,$Z231-0)=0,"",INDEX(包装物料出入库明细!$B$4:$B$2003,$Z231-0)),IF($Z231&lt;=4000,IF(INDEX(周转筐出入库明细!$B$4:$B$2004,$Z231-2000)=0,"",INDEX(周转筐出入库明细!$B$4:$B$2004,$Z231-2000)),IF($Z231&lt;=5200,IF(INDEX(客户自备加工筐明细!$B$4:$B$1203,$Z231-4000)=0,"",INDEX(客户自备加工筐明细!$B$4:$B$1203,$Z231-4000)),IF($Z231&lt;=5800,IF(INDEX(次果筐明细!$B$4:$B$603,$Z231-5200)=0,"",INDEX(次果筐明细!$B$4:$B$603,$Z231-5200)),"")))))</f>
        <v/>
      </c>
      <c r="C231" s="37" t="str">
        <f>IF($Z231="","",IF($Z231&lt;=2000,IF(INDEX(包装物料出入库明细!$D$4:$D$2003,$Z231-0)=0,"",INDEX(包装物料出入库明细!$D$4:$D$2003,$Z231-0)),IF($Z231&lt;=4000,IF(INDEX(周转筐出入库明细!$C$4:$C$2004,$Z231-2000)=0,"",INDEX(周转筐出入库明细!$C$4:$C$2004,$Z231-2000)),IF($Z231&lt;=5200,IF(INDEX(客户自备加工筐明细!$E$4:$E$1203,$Z231-4000)=0,"",INDEX(客户自备加工筐明细!$E$4:$E$1203,$Z231-4000)),IF($Z231&lt;=5800,IF(INDEX(次果筐明细!$C$4:$C$603,$Z231-5200)=0,"",INDEX(次果筐明细!$C$4:$C$603,$Z231-5200)),"")))))</f>
        <v/>
      </c>
      <c r="D231" s="37" t="str">
        <f>IF($Z231="","",IF($Z231&lt;=2000,"包装物料－"&amp;INDEX(包装物料出入库明细!$H$4:$H$2003,$Z231-0),IF($Z231&lt;=4000,"周转筐－"&amp;INDEX(周转筐出入库明细!$F$4:$F$2004,$Z231-2000),IF($Z231&lt;=5200,"客户自备筐－"&amp;INDEX(客户自备加工筐明细!$J$4:$J$1203,$Z231-4000),IF($Z231&lt;=5800,"次果筐/托盘－"&amp;INDEX(次果筐明细!$F$4:$F$603,$Z231-5200),"")))))</f>
        <v/>
      </c>
      <c r="E231" s="24" t="str">
        <f>IF($Z231="","",IF($Z231&lt;=2000,IF(INDEX(包装物料出入库明细!$C$4:$C$2003,$Z231-0)=0,"",INDEX(包装物料出入库明细!$C$4:$C$2003,$Z231-0)),IF($Z231&lt;=4000,IF(INDEX(周转筐出入库明细!$E$4:$E$2004,$Z231-2000)=0,"",INDEX(周转筐出入库明细!$E$4:$E$2004,$Z231-2000)),IF($Z231&lt;=5200,IF(INDEX(客户自备加工筐明细!$D$4:$D$1203,$Z231-4000)=0,"",INDEX(客户自备加工筐明细!$D$4:$D$1203,$Z231-4000)),IF($Z231&lt;=5800,IF(INDEX(次果筐明细!$E$4:$E$603,$Z231-5200)=0,"",INDEX(次果筐明细!$E$4:$E$603,$Z231-5200)),"")))))</f>
        <v/>
      </c>
      <c r="F231" s="24" t="str">
        <f>IF($Z231="","",IF($Z231&lt;=2000,IF(INDEX(包装物料出入库明细!$E$4:$E$2003,$Z231-0)=0,"",INDEX(包装物料出入库明细!$E$4:$E$2003,$Z231-0)),IF($Z231&lt;=4000,IF(INDEX(周转筐出入库明细!$D$4:$D$2004,$Z231-2000)=0,"",INDEX(周转筐出入库明细!$D$4:$D$2004,$Z231-2000)),IF($Z231&lt;=5200,IF(INDEX(客户自备加工筐明细!$C$4:$C$1203,$Z231-4000)=0,"",INDEX(客户自备加工筐明细!$C$4:$C$1203,$Z231-4000)),IF($Z231&lt;=5800,IF(INDEX(次果筐明细!$D$4:$D$603,$Z231-5200)=0,"",INDEX(次果筐明细!$D$4:$D$603,$Z231-5200)),"")))))</f>
        <v/>
      </c>
      <c r="G231" s="24" t="str">
        <f>IF($Z231="","",IF($Z231&lt;=2000,IF(INDEX(包装物料出入库明细!$F$4:$F$2003,$Z231-0)=0,"",INDEX(包装物料出入库明细!$F$4:$F$2003,$Z231-0)),IF($Z231&lt;=4000,"",IF($Z231&lt;=5200,"",IF($Z231&lt;=5800,"","")))))</f>
        <v/>
      </c>
      <c r="H231" s="39" t="str">
        <f>IF($Z231="","",IF($Z231&lt;=2000,IF(INDEX(包装物料出入库明细!$L$4:$L$2003,$Z231-0)=0,"",INDEX(包装物料出入库明细!$L$4:$L$2003,$Z231-0)),IF($Z231&lt;=4000,N(INDEX(周转筐出入库明细!$H$4:$H$2004,$Z231-2000))+N(INDEX(周转筐出入库明细!$I$4:$I$2004,$Z231-2000))+N(INDEX(周转筐出入库明细!$J$4:$J$2004,$Z231-2000))+N(INDEX(周转筐出入库明细!$K$4:$K$2004,$Z231-2000)),IF($Z231&lt;=5200,N(INDEX(客户自备加工筐明细!$F$4:$F$1203,$Z231-4000))+N(INDEX(客户自备加工筐明细!$G$4:$G$1203,$Z231-4000)),IF($Z231&lt;=5800,IF(INDEX(次果筐明细!$G$4:$G$603,$Z231-5200)=0,"",INDEX(次果筐明细!$G$4:$G$603,$Z231-5200)),"")))))</f>
        <v/>
      </c>
      <c r="I231" s="24" t="str">
        <f>IF($Z231="","",IF($Z231&lt;=2000,IF(INDEX(包装物料出入库明细!$G$4:$G$2003,$Z231-0)=0,"",INDEX(包装物料出入库明细!$G$4:$G$2003,$Z231-0)),IF($Z231&lt;=4000,"个",IF($Z231&lt;=5200,"个",IF($Z231&lt;=5800,"个","")))))</f>
        <v/>
      </c>
      <c r="J231" s="30" t="str">
        <f t="shared" si="10"/>
        <v/>
      </c>
      <c r="K231" s="30" t="str">
        <f>IF($Z231="","",IF($Z231&lt;=2000,IF(INDEX(包装物料出入库明细!$N$4:$N$2003,$Z231-0)=0,"",INDEX(包装物料出入库明细!$N$4:$N$2003,$Z231-0)),IF($Z231&lt;=4000,IF(INDEX(周转筐出入库明细!$P$4:$P$2004,$Z231-2000)=0,"",INDEX(周转筐出入库明细!$P$4:$P$2004,$Z231-2000)),IF($Z231&lt;=5200,"",IF($Z231&lt;=5800,N(INDEX(次果筐明细!$L$4:$L$603,$Z231-5200))+N(INDEX(次果筐明细!$J$4:$J$603,$Z231-5200)),"")))))</f>
        <v/>
      </c>
      <c r="L231" s="24" t="str">
        <f>IF($Z231="","",IF($Z231&lt;=2000,IF(INDEX(包装物料出入库明细!$P$4:$P$2003,$Z231-0)=0,"",INDEX(包装物料出入库明细!$P$4:$P$2003,$Z231-0)),IF($Z231&lt;=4000,IF(INDEX(周转筐出入库明细!$Q$4:$Q$2004,$Z231-2000)=0,"",INDEX(周转筐出入库明细!$Q$4:$Q$2004,$Z231-2000)),IF($Z231&lt;=5200,"",IF($Z231&lt;=5800,IF(INDEX(次果筐明细!$M$4:$M$603,$Z231-5200)=0,"",INDEX(次果筐明细!$M$4:$M$603,$Z231-5200)),"")))))</f>
        <v/>
      </c>
      <c r="M231" s="37" t="str">
        <f>IF($Z231="","",IF($Z231&lt;=2000,IF(INDEX(包装物料出入库明细!$R$4:$R$2003,$Z231-0)=0,"",INDEX(包装物料出入库明细!$R$4:$R$2003,$Z231-0)),IF($Z231&lt;=4000,IF(INDEX(周转筐出入库明细!$W$4:$W$2004,$Z231-2000)=0,"",INDEX(周转筐出入库明细!$W$4:$W$2004,$Z231-2000)),IF($Z231&lt;=5200,IF(INDEX(客户自备加工筐明细!$L$4:$L$1203,$Z231-4000)=0,"",INDEX(客户自备加工筐明细!$L$4:$L$1203,$Z231-4000)),IF($Z231&lt;=5800,IF(INDEX(次果筐明细!$P$4:$P$603,$Z231-5200)=0,"",INDEX(次果筐明细!$P$4:$P$603,$Z231-5200)),"")))))</f>
        <v/>
      </c>
      <c r="N231" s="16" t="str">
        <f>IF($Z231="","",IF($Z231&lt;=2000,"",IF($Z231&lt;=4000,IF(INDEX(周转筐出入库明细!$D$4:$D$2004,$Z231-2000)=0,"",INDEX(周转筐出入库明细!$D$4:$D$2004,$Z231-2000)),IF($Z231&lt;=5200,IF(INDEX(客户自备加工筐明细!$C$4:$C$1203,$Z231-4000)=0,"",INDEX(客户自备加工筐明细!$C$4:$C$1203,$Z231-4000)),IF($Z231&lt;=5800,IF(INDEX(次果筐明细!$D$4:$D$603,$Z231-5200)=0,"",INDEX(次果筐明细!$D$4:$D$603,$Z231-5200)),"")))))</f>
        <v/>
      </c>
      <c r="O231" s="40" t="str">
        <f>IF($Z231="","",IF($Z231&lt;=2000,"",IF($Z231&lt;=4000,IF(N(INDEX(周转筐出入库明细!$J$4:$J$2004,$Z231-2000))+N(INDEX(周转筐出入库明细!$K$4:$K$2004,$Z231-2000))=0,"",N(INDEX(周转筐出入库明细!$J$4:$J$2004,$Z231-2000))+N(INDEX(周转筐出入库明细!$K$4:$K$2004,$Z231-2000))),IF($Z231&lt;=5200,IF(N(INDEX(客户自备加工筐明细!$G$4:$G$1203,$Z231-4000))=0,"",N(INDEX(客户自备加工筐明细!$G$4:$G$1203,$Z231-4000))),IF($Z231&lt;=5800,IF(ISNUMBER(SEARCH("退",INDEX(次果筐明细!$F$4:$F$603,$Z231-5200)&amp;"")),"",IF(N(INDEX(次果筐明细!$G$4:$G$603,$Z231-5200))=0,"",N(INDEX(次果筐明细!$G$4:$G$603,$Z231-5200)))),"")))))</f>
        <v/>
      </c>
      <c r="P231" s="40" t="str">
        <f>IF($Z231="","",IF($Z231&lt;=2000,"",IF($Z231&lt;=4000,IF(N(INDEX(周转筐出入库明细!$I$4:$I$2004,$Z231-2000))=0,"",N(INDEX(周转筐出入库明细!$I$4:$I$2004,$Z231-2000))),IF($Z231&lt;=5200,"",IF($Z231&lt;=5800,IF(ISNUMBER(SEARCH("退",INDEX(次果筐明细!$F$4:$F$603,$Z231-5200)&amp;"")),IF(N(INDEX(次果筐明细!$G$4:$G$603,$Z231-5200))=0,"",N(INDEX(次果筐明细!$G$4:$G$603,$Z231-5200))),""),"")))))</f>
        <v/>
      </c>
      <c r="Q231" s="40" t="str">
        <f>IF($Z231="","",IF($Z231&lt;=2000,"",IF($Z231&lt;=4000,IF(N(INDEX(周转筐出入库明细!$H$4:$H$2004,$Z231-2000))=0,"",N(INDEX(周转筐出入库明细!$H$4:$H$2004,$Z231-2000))),IF($Z231&lt;=5200,IF(N(INDEX(客户自备加工筐明细!$F$4:$F$1203,$Z231-4000))=0,"",N(INDEX(客户自备加工筐明细!$F$4:$F$1203,$Z231-4000))),IF($Z231&lt;=5800,"","")))))</f>
        <v/>
      </c>
      <c r="R231" s="16" t="str">
        <f>IF($Z231="","",IF($Z231&lt;=2000,IF(INDEX(包装物料出入库明细!$O$4:$O$2003,$Z231-0)=0,"",INDEX(包装物料出入库明细!$O$4:$O$2003,$Z231-0)),IF($Z231&lt;=4000,IF(INDEX(周转筐出入库明细!$M$4:$M$2004,$Z231-2000)=0,"",INDEX(周转筐出入库明细!$M$4:$M$2004,$Z231-2000)),IF($Z231&lt;=5200,IF(INDEX(客户自备加工筐明细!$H$4:$H$1203,$Z231-4000)=0,"",INDEX(客户自备加工筐明细!$H$4:$H$1203,$Z231-4000)),IF($Z231&lt;=5800,IF(INDEX(次果筐明细!$H$4:$H$603,$Z231-5200)=0,"",INDEX(次果筐明细!$H$4:$H$603,$Z231-5200)),"")))))</f>
        <v/>
      </c>
      <c r="S231" s="22" t="str">
        <f t="shared" si="11"/>
        <v/>
      </c>
      <c r="Z231" s="10" t="str">
        <f>IFERROR(MATCH(ROW()-3,_自动清单!$CQ$4:$CQ$5803,0),"")</f>
        <v/>
      </c>
    </row>
    <row r="232" spans="1:26">
      <c r="A232" s="24" t="str">
        <f t="shared" si="9"/>
        <v/>
      </c>
      <c r="B232" s="38" t="str">
        <f>IF($Z232="","",IF($Z232&lt;=2000,IF(INDEX(包装物料出入库明细!$B$4:$B$2003,$Z232-0)=0,"",INDEX(包装物料出入库明细!$B$4:$B$2003,$Z232-0)),IF($Z232&lt;=4000,IF(INDEX(周转筐出入库明细!$B$4:$B$2004,$Z232-2000)=0,"",INDEX(周转筐出入库明细!$B$4:$B$2004,$Z232-2000)),IF($Z232&lt;=5200,IF(INDEX(客户自备加工筐明细!$B$4:$B$1203,$Z232-4000)=0,"",INDEX(客户自备加工筐明细!$B$4:$B$1203,$Z232-4000)),IF($Z232&lt;=5800,IF(INDEX(次果筐明细!$B$4:$B$603,$Z232-5200)=0,"",INDEX(次果筐明细!$B$4:$B$603,$Z232-5200)),"")))))</f>
        <v/>
      </c>
      <c r="C232" s="37" t="str">
        <f>IF($Z232="","",IF($Z232&lt;=2000,IF(INDEX(包装物料出入库明细!$D$4:$D$2003,$Z232-0)=0,"",INDEX(包装物料出入库明细!$D$4:$D$2003,$Z232-0)),IF($Z232&lt;=4000,IF(INDEX(周转筐出入库明细!$C$4:$C$2004,$Z232-2000)=0,"",INDEX(周转筐出入库明细!$C$4:$C$2004,$Z232-2000)),IF($Z232&lt;=5200,IF(INDEX(客户自备加工筐明细!$E$4:$E$1203,$Z232-4000)=0,"",INDEX(客户自备加工筐明细!$E$4:$E$1203,$Z232-4000)),IF($Z232&lt;=5800,IF(INDEX(次果筐明细!$C$4:$C$603,$Z232-5200)=0,"",INDEX(次果筐明细!$C$4:$C$603,$Z232-5200)),"")))))</f>
        <v/>
      </c>
      <c r="D232" s="37" t="str">
        <f>IF($Z232="","",IF($Z232&lt;=2000,"包装物料－"&amp;INDEX(包装物料出入库明细!$H$4:$H$2003,$Z232-0),IF($Z232&lt;=4000,"周转筐－"&amp;INDEX(周转筐出入库明细!$F$4:$F$2004,$Z232-2000),IF($Z232&lt;=5200,"客户自备筐－"&amp;INDEX(客户自备加工筐明细!$J$4:$J$1203,$Z232-4000),IF($Z232&lt;=5800,"次果筐/托盘－"&amp;INDEX(次果筐明细!$F$4:$F$603,$Z232-5200),"")))))</f>
        <v/>
      </c>
      <c r="E232" s="24" t="str">
        <f>IF($Z232="","",IF($Z232&lt;=2000,IF(INDEX(包装物料出入库明细!$C$4:$C$2003,$Z232-0)=0,"",INDEX(包装物料出入库明细!$C$4:$C$2003,$Z232-0)),IF($Z232&lt;=4000,IF(INDEX(周转筐出入库明细!$E$4:$E$2004,$Z232-2000)=0,"",INDEX(周转筐出入库明细!$E$4:$E$2004,$Z232-2000)),IF($Z232&lt;=5200,IF(INDEX(客户自备加工筐明细!$D$4:$D$1203,$Z232-4000)=0,"",INDEX(客户自备加工筐明细!$D$4:$D$1203,$Z232-4000)),IF($Z232&lt;=5800,IF(INDEX(次果筐明细!$E$4:$E$603,$Z232-5200)=0,"",INDEX(次果筐明细!$E$4:$E$603,$Z232-5200)),"")))))</f>
        <v/>
      </c>
      <c r="F232" s="24" t="str">
        <f>IF($Z232="","",IF($Z232&lt;=2000,IF(INDEX(包装物料出入库明细!$E$4:$E$2003,$Z232-0)=0,"",INDEX(包装物料出入库明细!$E$4:$E$2003,$Z232-0)),IF($Z232&lt;=4000,IF(INDEX(周转筐出入库明细!$D$4:$D$2004,$Z232-2000)=0,"",INDEX(周转筐出入库明细!$D$4:$D$2004,$Z232-2000)),IF($Z232&lt;=5200,IF(INDEX(客户自备加工筐明细!$C$4:$C$1203,$Z232-4000)=0,"",INDEX(客户自备加工筐明细!$C$4:$C$1203,$Z232-4000)),IF($Z232&lt;=5800,IF(INDEX(次果筐明细!$D$4:$D$603,$Z232-5200)=0,"",INDEX(次果筐明细!$D$4:$D$603,$Z232-5200)),"")))))</f>
        <v/>
      </c>
      <c r="G232" s="24" t="str">
        <f>IF($Z232="","",IF($Z232&lt;=2000,IF(INDEX(包装物料出入库明细!$F$4:$F$2003,$Z232-0)=0,"",INDEX(包装物料出入库明细!$F$4:$F$2003,$Z232-0)),IF($Z232&lt;=4000,"",IF($Z232&lt;=5200,"",IF($Z232&lt;=5800,"","")))))</f>
        <v/>
      </c>
      <c r="H232" s="39" t="str">
        <f>IF($Z232="","",IF($Z232&lt;=2000,IF(INDEX(包装物料出入库明细!$L$4:$L$2003,$Z232-0)=0,"",INDEX(包装物料出入库明细!$L$4:$L$2003,$Z232-0)),IF($Z232&lt;=4000,N(INDEX(周转筐出入库明细!$H$4:$H$2004,$Z232-2000))+N(INDEX(周转筐出入库明细!$I$4:$I$2004,$Z232-2000))+N(INDEX(周转筐出入库明细!$J$4:$J$2004,$Z232-2000))+N(INDEX(周转筐出入库明细!$K$4:$K$2004,$Z232-2000)),IF($Z232&lt;=5200,N(INDEX(客户自备加工筐明细!$F$4:$F$1203,$Z232-4000))+N(INDEX(客户自备加工筐明细!$G$4:$G$1203,$Z232-4000)),IF($Z232&lt;=5800,IF(INDEX(次果筐明细!$G$4:$G$603,$Z232-5200)=0,"",INDEX(次果筐明细!$G$4:$G$603,$Z232-5200)),"")))))</f>
        <v/>
      </c>
      <c r="I232" s="24" t="str">
        <f>IF($Z232="","",IF($Z232&lt;=2000,IF(INDEX(包装物料出入库明细!$G$4:$G$2003,$Z232-0)=0,"",INDEX(包装物料出入库明细!$G$4:$G$2003,$Z232-0)),IF($Z232&lt;=4000,"个",IF($Z232&lt;=5200,"个",IF($Z232&lt;=5800,"个","")))))</f>
        <v/>
      </c>
      <c r="J232" s="30" t="str">
        <f t="shared" si="10"/>
        <v/>
      </c>
      <c r="K232" s="30" t="str">
        <f>IF($Z232="","",IF($Z232&lt;=2000,IF(INDEX(包装物料出入库明细!$N$4:$N$2003,$Z232-0)=0,"",INDEX(包装物料出入库明细!$N$4:$N$2003,$Z232-0)),IF($Z232&lt;=4000,IF(INDEX(周转筐出入库明细!$P$4:$P$2004,$Z232-2000)=0,"",INDEX(周转筐出入库明细!$P$4:$P$2004,$Z232-2000)),IF($Z232&lt;=5200,"",IF($Z232&lt;=5800,N(INDEX(次果筐明细!$L$4:$L$603,$Z232-5200))+N(INDEX(次果筐明细!$J$4:$J$603,$Z232-5200)),"")))))</f>
        <v/>
      </c>
      <c r="L232" s="24" t="str">
        <f>IF($Z232="","",IF($Z232&lt;=2000,IF(INDEX(包装物料出入库明细!$P$4:$P$2003,$Z232-0)=0,"",INDEX(包装物料出入库明细!$P$4:$P$2003,$Z232-0)),IF($Z232&lt;=4000,IF(INDEX(周转筐出入库明细!$Q$4:$Q$2004,$Z232-2000)=0,"",INDEX(周转筐出入库明细!$Q$4:$Q$2004,$Z232-2000)),IF($Z232&lt;=5200,"",IF($Z232&lt;=5800,IF(INDEX(次果筐明细!$M$4:$M$603,$Z232-5200)=0,"",INDEX(次果筐明细!$M$4:$M$603,$Z232-5200)),"")))))</f>
        <v/>
      </c>
      <c r="M232" s="37" t="str">
        <f>IF($Z232="","",IF($Z232&lt;=2000,IF(INDEX(包装物料出入库明细!$R$4:$R$2003,$Z232-0)=0,"",INDEX(包装物料出入库明细!$R$4:$R$2003,$Z232-0)),IF($Z232&lt;=4000,IF(INDEX(周转筐出入库明细!$W$4:$W$2004,$Z232-2000)=0,"",INDEX(周转筐出入库明细!$W$4:$W$2004,$Z232-2000)),IF($Z232&lt;=5200,IF(INDEX(客户自备加工筐明细!$L$4:$L$1203,$Z232-4000)=0,"",INDEX(客户自备加工筐明细!$L$4:$L$1203,$Z232-4000)),IF($Z232&lt;=5800,IF(INDEX(次果筐明细!$P$4:$P$603,$Z232-5200)=0,"",INDEX(次果筐明细!$P$4:$P$603,$Z232-5200)),"")))))</f>
        <v/>
      </c>
      <c r="N232" s="16" t="str">
        <f>IF($Z232="","",IF($Z232&lt;=2000,"",IF($Z232&lt;=4000,IF(INDEX(周转筐出入库明细!$D$4:$D$2004,$Z232-2000)=0,"",INDEX(周转筐出入库明细!$D$4:$D$2004,$Z232-2000)),IF($Z232&lt;=5200,IF(INDEX(客户自备加工筐明细!$C$4:$C$1203,$Z232-4000)=0,"",INDEX(客户自备加工筐明细!$C$4:$C$1203,$Z232-4000)),IF($Z232&lt;=5800,IF(INDEX(次果筐明细!$D$4:$D$603,$Z232-5200)=0,"",INDEX(次果筐明细!$D$4:$D$603,$Z232-5200)),"")))))</f>
        <v/>
      </c>
      <c r="O232" s="40" t="str">
        <f>IF($Z232="","",IF($Z232&lt;=2000,"",IF($Z232&lt;=4000,IF(N(INDEX(周转筐出入库明细!$J$4:$J$2004,$Z232-2000))+N(INDEX(周转筐出入库明细!$K$4:$K$2004,$Z232-2000))=0,"",N(INDEX(周转筐出入库明细!$J$4:$J$2004,$Z232-2000))+N(INDEX(周转筐出入库明细!$K$4:$K$2004,$Z232-2000))),IF($Z232&lt;=5200,IF(N(INDEX(客户自备加工筐明细!$G$4:$G$1203,$Z232-4000))=0,"",N(INDEX(客户自备加工筐明细!$G$4:$G$1203,$Z232-4000))),IF($Z232&lt;=5800,IF(ISNUMBER(SEARCH("退",INDEX(次果筐明细!$F$4:$F$603,$Z232-5200)&amp;"")),"",IF(N(INDEX(次果筐明细!$G$4:$G$603,$Z232-5200))=0,"",N(INDEX(次果筐明细!$G$4:$G$603,$Z232-5200)))),"")))))</f>
        <v/>
      </c>
      <c r="P232" s="40" t="str">
        <f>IF($Z232="","",IF($Z232&lt;=2000,"",IF($Z232&lt;=4000,IF(N(INDEX(周转筐出入库明细!$I$4:$I$2004,$Z232-2000))=0,"",N(INDEX(周转筐出入库明细!$I$4:$I$2004,$Z232-2000))),IF($Z232&lt;=5200,"",IF($Z232&lt;=5800,IF(ISNUMBER(SEARCH("退",INDEX(次果筐明细!$F$4:$F$603,$Z232-5200)&amp;"")),IF(N(INDEX(次果筐明细!$G$4:$G$603,$Z232-5200))=0,"",N(INDEX(次果筐明细!$G$4:$G$603,$Z232-5200))),""),"")))))</f>
        <v/>
      </c>
      <c r="Q232" s="40" t="str">
        <f>IF($Z232="","",IF($Z232&lt;=2000,"",IF($Z232&lt;=4000,IF(N(INDEX(周转筐出入库明细!$H$4:$H$2004,$Z232-2000))=0,"",N(INDEX(周转筐出入库明细!$H$4:$H$2004,$Z232-2000))),IF($Z232&lt;=5200,IF(N(INDEX(客户自备加工筐明细!$F$4:$F$1203,$Z232-4000))=0,"",N(INDEX(客户自备加工筐明细!$F$4:$F$1203,$Z232-4000))),IF($Z232&lt;=5800,"","")))))</f>
        <v/>
      </c>
      <c r="R232" s="16" t="str">
        <f>IF($Z232="","",IF($Z232&lt;=2000,IF(INDEX(包装物料出入库明细!$O$4:$O$2003,$Z232-0)=0,"",INDEX(包装物料出入库明细!$O$4:$O$2003,$Z232-0)),IF($Z232&lt;=4000,IF(INDEX(周转筐出入库明细!$M$4:$M$2004,$Z232-2000)=0,"",INDEX(周转筐出入库明细!$M$4:$M$2004,$Z232-2000)),IF($Z232&lt;=5200,IF(INDEX(客户自备加工筐明细!$H$4:$H$1203,$Z232-4000)=0,"",INDEX(客户自备加工筐明细!$H$4:$H$1203,$Z232-4000)),IF($Z232&lt;=5800,IF(INDEX(次果筐明细!$H$4:$H$603,$Z232-5200)=0,"",INDEX(次果筐明细!$H$4:$H$603,$Z232-5200)),"")))))</f>
        <v/>
      </c>
      <c r="S232" s="22" t="str">
        <f t="shared" si="11"/>
        <v/>
      </c>
      <c r="Z232" s="10" t="str">
        <f>IFERROR(MATCH(ROW()-3,_自动清单!$CQ$4:$CQ$5803,0),"")</f>
        <v/>
      </c>
    </row>
    <row r="233" spans="1:26">
      <c r="A233" s="24" t="str">
        <f t="shared" si="9"/>
        <v/>
      </c>
      <c r="B233" s="38" t="str">
        <f>IF($Z233="","",IF($Z233&lt;=2000,IF(INDEX(包装物料出入库明细!$B$4:$B$2003,$Z233-0)=0,"",INDEX(包装物料出入库明细!$B$4:$B$2003,$Z233-0)),IF($Z233&lt;=4000,IF(INDEX(周转筐出入库明细!$B$4:$B$2004,$Z233-2000)=0,"",INDEX(周转筐出入库明细!$B$4:$B$2004,$Z233-2000)),IF($Z233&lt;=5200,IF(INDEX(客户自备加工筐明细!$B$4:$B$1203,$Z233-4000)=0,"",INDEX(客户自备加工筐明细!$B$4:$B$1203,$Z233-4000)),IF($Z233&lt;=5800,IF(INDEX(次果筐明细!$B$4:$B$603,$Z233-5200)=0,"",INDEX(次果筐明细!$B$4:$B$603,$Z233-5200)),"")))))</f>
        <v/>
      </c>
      <c r="C233" s="37" t="str">
        <f>IF($Z233="","",IF($Z233&lt;=2000,IF(INDEX(包装物料出入库明细!$D$4:$D$2003,$Z233-0)=0,"",INDEX(包装物料出入库明细!$D$4:$D$2003,$Z233-0)),IF($Z233&lt;=4000,IF(INDEX(周转筐出入库明细!$C$4:$C$2004,$Z233-2000)=0,"",INDEX(周转筐出入库明细!$C$4:$C$2004,$Z233-2000)),IF($Z233&lt;=5200,IF(INDEX(客户自备加工筐明细!$E$4:$E$1203,$Z233-4000)=0,"",INDEX(客户自备加工筐明细!$E$4:$E$1203,$Z233-4000)),IF($Z233&lt;=5800,IF(INDEX(次果筐明细!$C$4:$C$603,$Z233-5200)=0,"",INDEX(次果筐明细!$C$4:$C$603,$Z233-5200)),"")))))</f>
        <v/>
      </c>
      <c r="D233" s="37" t="str">
        <f>IF($Z233="","",IF($Z233&lt;=2000,"包装物料－"&amp;INDEX(包装物料出入库明细!$H$4:$H$2003,$Z233-0),IF($Z233&lt;=4000,"周转筐－"&amp;INDEX(周转筐出入库明细!$F$4:$F$2004,$Z233-2000),IF($Z233&lt;=5200,"客户自备筐－"&amp;INDEX(客户自备加工筐明细!$J$4:$J$1203,$Z233-4000),IF($Z233&lt;=5800,"次果筐/托盘－"&amp;INDEX(次果筐明细!$F$4:$F$603,$Z233-5200),"")))))</f>
        <v/>
      </c>
      <c r="E233" s="24" t="str">
        <f>IF($Z233="","",IF($Z233&lt;=2000,IF(INDEX(包装物料出入库明细!$C$4:$C$2003,$Z233-0)=0,"",INDEX(包装物料出入库明细!$C$4:$C$2003,$Z233-0)),IF($Z233&lt;=4000,IF(INDEX(周转筐出入库明细!$E$4:$E$2004,$Z233-2000)=0,"",INDEX(周转筐出入库明细!$E$4:$E$2004,$Z233-2000)),IF($Z233&lt;=5200,IF(INDEX(客户自备加工筐明细!$D$4:$D$1203,$Z233-4000)=0,"",INDEX(客户自备加工筐明细!$D$4:$D$1203,$Z233-4000)),IF($Z233&lt;=5800,IF(INDEX(次果筐明细!$E$4:$E$603,$Z233-5200)=0,"",INDEX(次果筐明细!$E$4:$E$603,$Z233-5200)),"")))))</f>
        <v/>
      </c>
      <c r="F233" s="24" t="str">
        <f>IF($Z233="","",IF($Z233&lt;=2000,IF(INDEX(包装物料出入库明细!$E$4:$E$2003,$Z233-0)=0,"",INDEX(包装物料出入库明细!$E$4:$E$2003,$Z233-0)),IF($Z233&lt;=4000,IF(INDEX(周转筐出入库明细!$D$4:$D$2004,$Z233-2000)=0,"",INDEX(周转筐出入库明细!$D$4:$D$2004,$Z233-2000)),IF($Z233&lt;=5200,IF(INDEX(客户自备加工筐明细!$C$4:$C$1203,$Z233-4000)=0,"",INDEX(客户自备加工筐明细!$C$4:$C$1203,$Z233-4000)),IF($Z233&lt;=5800,IF(INDEX(次果筐明细!$D$4:$D$603,$Z233-5200)=0,"",INDEX(次果筐明细!$D$4:$D$603,$Z233-5200)),"")))))</f>
        <v/>
      </c>
      <c r="G233" s="24" t="str">
        <f>IF($Z233="","",IF($Z233&lt;=2000,IF(INDEX(包装物料出入库明细!$F$4:$F$2003,$Z233-0)=0,"",INDEX(包装物料出入库明细!$F$4:$F$2003,$Z233-0)),IF($Z233&lt;=4000,"",IF($Z233&lt;=5200,"",IF($Z233&lt;=5800,"","")))))</f>
        <v/>
      </c>
      <c r="H233" s="39" t="str">
        <f>IF($Z233="","",IF($Z233&lt;=2000,IF(INDEX(包装物料出入库明细!$L$4:$L$2003,$Z233-0)=0,"",INDEX(包装物料出入库明细!$L$4:$L$2003,$Z233-0)),IF($Z233&lt;=4000,N(INDEX(周转筐出入库明细!$H$4:$H$2004,$Z233-2000))+N(INDEX(周转筐出入库明细!$I$4:$I$2004,$Z233-2000))+N(INDEX(周转筐出入库明细!$J$4:$J$2004,$Z233-2000))+N(INDEX(周转筐出入库明细!$K$4:$K$2004,$Z233-2000)),IF($Z233&lt;=5200,N(INDEX(客户自备加工筐明细!$F$4:$F$1203,$Z233-4000))+N(INDEX(客户自备加工筐明细!$G$4:$G$1203,$Z233-4000)),IF($Z233&lt;=5800,IF(INDEX(次果筐明细!$G$4:$G$603,$Z233-5200)=0,"",INDEX(次果筐明细!$G$4:$G$603,$Z233-5200)),"")))))</f>
        <v/>
      </c>
      <c r="I233" s="24" t="str">
        <f>IF($Z233="","",IF($Z233&lt;=2000,IF(INDEX(包装物料出入库明细!$G$4:$G$2003,$Z233-0)=0,"",INDEX(包装物料出入库明细!$G$4:$G$2003,$Z233-0)),IF($Z233&lt;=4000,"个",IF($Z233&lt;=5200,"个",IF($Z233&lt;=5800,"个","")))))</f>
        <v/>
      </c>
      <c r="J233" s="30" t="str">
        <f t="shared" si="10"/>
        <v/>
      </c>
      <c r="K233" s="30" t="str">
        <f>IF($Z233="","",IF($Z233&lt;=2000,IF(INDEX(包装物料出入库明细!$N$4:$N$2003,$Z233-0)=0,"",INDEX(包装物料出入库明细!$N$4:$N$2003,$Z233-0)),IF($Z233&lt;=4000,IF(INDEX(周转筐出入库明细!$P$4:$P$2004,$Z233-2000)=0,"",INDEX(周转筐出入库明细!$P$4:$P$2004,$Z233-2000)),IF($Z233&lt;=5200,"",IF($Z233&lt;=5800,N(INDEX(次果筐明细!$L$4:$L$603,$Z233-5200))+N(INDEX(次果筐明细!$J$4:$J$603,$Z233-5200)),"")))))</f>
        <v/>
      </c>
      <c r="L233" s="24" t="str">
        <f>IF($Z233="","",IF($Z233&lt;=2000,IF(INDEX(包装物料出入库明细!$P$4:$P$2003,$Z233-0)=0,"",INDEX(包装物料出入库明细!$P$4:$P$2003,$Z233-0)),IF($Z233&lt;=4000,IF(INDEX(周转筐出入库明细!$Q$4:$Q$2004,$Z233-2000)=0,"",INDEX(周转筐出入库明细!$Q$4:$Q$2004,$Z233-2000)),IF($Z233&lt;=5200,"",IF($Z233&lt;=5800,IF(INDEX(次果筐明细!$M$4:$M$603,$Z233-5200)=0,"",INDEX(次果筐明细!$M$4:$M$603,$Z233-5200)),"")))))</f>
        <v/>
      </c>
      <c r="M233" s="37" t="str">
        <f>IF($Z233="","",IF($Z233&lt;=2000,IF(INDEX(包装物料出入库明细!$R$4:$R$2003,$Z233-0)=0,"",INDEX(包装物料出入库明细!$R$4:$R$2003,$Z233-0)),IF($Z233&lt;=4000,IF(INDEX(周转筐出入库明细!$W$4:$W$2004,$Z233-2000)=0,"",INDEX(周转筐出入库明细!$W$4:$W$2004,$Z233-2000)),IF($Z233&lt;=5200,IF(INDEX(客户自备加工筐明细!$L$4:$L$1203,$Z233-4000)=0,"",INDEX(客户自备加工筐明细!$L$4:$L$1203,$Z233-4000)),IF($Z233&lt;=5800,IF(INDEX(次果筐明细!$P$4:$P$603,$Z233-5200)=0,"",INDEX(次果筐明细!$P$4:$P$603,$Z233-5200)),"")))))</f>
        <v/>
      </c>
      <c r="N233" s="16" t="str">
        <f>IF($Z233="","",IF($Z233&lt;=2000,"",IF($Z233&lt;=4000,IF(INDEX(周转筐出入库明细!$D$4:$D$2004,$Z233-2000)=0,"",INDEX(周转筐出入库明细!$D$4:$D$2004,$Z233-2000)),IF($Z233&lt;=5200,IF(INDEX(客户自备加工筐明细!$C$4:$C$1203,$Z233-4000)=0,"",INDEX(客户自备加工筐明细!$C$4:$C$1203,$Z233-4000)),IF($Z233&lt;=5800,IF(INDEX(次果筐明细!$D$4:$D$603,$Z233-5200)=0,"",INDEX(次果筐明细!$D$4:$D$603,$Z233-5200)),"")))))</f>
        <v/>
      </c>
      <c r="O233" s="40" t="str">
        <f>IF($Z233="","",IF($Z233&lt;=2000,"",IF($Z233&lt;=4000,IF(N(INDEX(周转筐出入库明细!$J$4:$J$2004,$Z233-2000))+N(INDEX(周转筐出入库明细!$K$4:$K$2004,$Z233-2000))=0,"",N(INDEX(周转筐出入库明细!$J$4:$J$2004,$Z233-2000))+N(INDEX(周转筐出入库明细!$K$4:$K$2004,$Z233-2000))),IF($Z233&lt;=5200,IF(N(INDEX(客户自备加工筐明细!$G$4:$G$1203,$Z233-4000))=0,"",N(INDEX(客户自备加工筐明细!$G$4:$G$1203,$Z233-4000))),IF($Z233&lt;=5800,IF(ISNUMBER(SEARCH("退",INDEX(次果筐明细!$F$4:$F$603,$Z233-5200)&amp;"")),"",IF(N(INDEX(次果筐明细!$G$4:$G$603,$Z233-5200))=0,"",N(INDEX(次果筐明细!$G$4:$G$603,$Z233-5200)))),"")))))</f>
        <v/>
      </c>
      <c r="P233" s="40" t="str">
        <f>IF($Z233="","",IF($Z233&lt;=2000,"",IF($Z233&lt;=4000,IF(N(INDEX(周转筐出入库明细!$I$4:$I$2004,$Z233-2000))=0,"",N(INDEX(周转筐出入库明细!$I$4:$I$2004,$Z233-2000))),IF($Z233&lt;=5200,"",IF($Z233&lt;=5800,IF(ISNUMBER(SEARCH("退",INDEX(次果筐明细!$F$4:$F$603,$Z233-5200)&amp;"")),IF(N(INDEX(次果筐明细!$G$4:$G$603,$Z233-5200))=0,"",N(INDEX(次果筐明细!$G$4:$G$603,$Z233-5200))),""),"")))))</f>
        <v/>
      </c>
      <c r="Q233" s="40" t="str">
        <f>IF($Z233="","",IF($Z233&lt;=2000,"",IF($Z233&lt;=4000,IF(N(INDEX(周转筐出入库明细!$H$4:$H$2004,$Z233-2000))=0,"",N(INDEX(周转筐出入库明细!$H$4:$H$2004,$Z233-2000))),IF($Z233&lt;=5200,IF(N(INDEX(客户自备加工筐明细!$F$4:$F$1203,$Z233-4000))=0,"",N(INDEX(客户自备加工筐明细!$F$4:$F$1203,$Z233-4000))),IF($Z233&lt;=5800,"","")))))</f>
        <v/>
      </c>
      <c r="R233" s="16" t="str">
        <f>IF($Z233="","",IF($Z233&lt;=2000,IF(INDEX(包装物料出入库明细!$O$4:$O$2003,$Z233-0)=0,"",INDEX(包装物料出入库明细!$O$4:$O$2003,$Z233-0)),IF($Z233&lt;=4000,IF(INDEX(周转筐出入库明细!$M$4:$M$2004,$Z233-2000)=0,"",INDEX(周转筐出入库明细!$M$4:$M$2004,$Z233-2000)),IF($Z233&lt;=5200,IF(INDEX(客户自备加工筐明细!$H$4:$H$1203,$Z233-4000)=0,"",INDEX(客户自备加工筐明细!$H$4:$H$1203,$Z233-4000)),IF($Z233&lt;=5800,IF(INDEX(次果筐明细!$H$4:$H$603,$Z233-5200)=0,"",INDEX(次果筐明细!$H$4:$H$603,$Z233-5200)),"")))))</f>
        <v/>
      </c>
      <c r="S233" s="22" t="str">
        <f t="shared" si="11"/>
        <v/>
      </c>
      <c r="Z233" s="10" t="str">
        <f>IFERROR(MATCH(ROW()-3,_自动清单!$CQ$4:$CQ$5803,0),"")</f>
        <v/>
      </c>
    </row>
    <row r="234" spans="1:26">
      <c r="A234" s="24" t="str">
        <f t="shared" si="9"/>
        <v/>
      </c>
      <c r="B234" s="38" t="str">
        <f>IF($Z234="","",IF($Z234&lt;=2000,IF(INDEX(包装物料出入库明细!$B$4:$B$2003,$Z234-0)=0,"",INDEX(包装物料出入库明细!$B$4:$B$2003,$Z234-0)),IF($Z234&lt;=4000,IF(INDEX(周转筐出入库明细!$B$4:$B$2004,$Z234-2000)=0,"",INDEX(周转筐出入库明细!$B$4:$B$2004,$Z234-2000)),IF($Z234&lt;=5200,IF(INDEX(客户自备加工筐明细!$B$4:$B$1203,$Z234-4000)=0,"",INDEX(客户自备加工筐明细!$B$4:$B$1203,$Z234-4000)),IF($Z234&lt;=5800,IF(INDEX(次果筐明细!$B$4:$B$603,$Z234-5200)=0,"",INDEX(次果筐明细!$B$4:$B$603,$Z234-5200)),"")))))</f>
        <v/>
      </c>
      <c r="C234" s="37" t="str">
        <f>IF($Z234="","",IF($Z234&lt;=2000,IF(INDEX(包装物料出入库明细!$D$4:$D$2003,$Z234-0)=0,"",INDEX(包装物料出入库明细!$D$4:$D$2003,$Z234-0)),IF($Z234&lt;=4000,IF(INDEX(周转筐出入库明细!$C$4:$C$2004,$Z234-2000)=0,"",INDEX(周转筐出入库明细!$C$4:$C$2004,$Z234-2000)),IF($Z234&lt;=5200,IF(INDEX(客户自备加工筐明细!$E$4:$E$1203,$Z234-4000)=0,"",INDEX(客户自备加工筐明细!$E$4:$E$1203,$Z234-4000)),IF($Z234&lt;=5800,IF(INDEX(次果筐明细!$C$4:$C$603,$Z234-5200)=0,"",INDEX(次果筐明细!$C$4:$C$603,$Z234-5200)),"")))))</f>
        <v/>
      </c>
      <c r="D234" s="37" t="str">
        <f>IF($Z234="","",IF($Z234&lt;=2000,"包装物料－"&amp;INDEX(包装物料出入库明细!$H$4:$H$2003,$Z234-0),IF($Z234&lt;=4000,"周转筐－"&amp;INDEX(周转筐出入库明细!$F$4:$F$2004,$Z234-2000),IF($Z234&lt;=5200,"客户自备筐－"&amp;INDEX(客户自备加工筐明细!$J$4:$J$1203,$Z234-4000),IF($Z234&lt;=5800,"次果筐/托盘－"&amp;INDEX(次果筐明细!$F$4:$F$603,$Z234-5200),"")))))</f>
        <v/>
      </c>
      <c r="E234" s="24" t="str">
        <f>IF($Z234="","",IF($Z234&lt;=2000,IF(INDEX(包装物料出入库明细!$C$4:$C$2003,$Z234-0)=0,"",INDEX(包装物料出入库明细!$C$4:$C$2003,$Z234-0)),IF($Z234&lt;=4000,IF(INDEX(周转筐出入库明细!$E$4:$E$2004,$Z234-2000)=0,"",INDEX(周转筐出入库明细!$E$4:$E$2004,$Z234-2000)),IF($Z234&lt;=5200,IF(INDEX(客户自备加工筐明细!$D$4:$D$1203,$Z234-4000)=0,"",INDEX(客户自备加工筐明细!$D$4:$D$1203,$Z234-4000)),IF($Z234&lt;=5800,IF(INDEX(次果筐明细!$E$4:$E$603,$Z234-5200)=0,"",INDEX(次果筐明细!$E$4:$E$603,$Z234-5200)),"")))))</f>
        <v/>
      </c>
      <c r="F234" s="24" t="str">
        <f>IF($Z234="","",IF($Z234&lt;=2000,IF(INDEX(包装物料出入库明细!$E$4:$E$2003,$Z234-0)=0,"",INDEX(包装物料出入库明细!$E$4:$E$2003,$Z234-0)),IF($Z234&lt;=4000,IF(INDEX(周转筐出入库明细!$D$4:$D$2004,$Z234-2000)=0,"",INDEX(周转筐出入库明细!$D$4:$D$2004,$Z234-2000)),IF($Z234&lt;=5200,IF(INDEX(客户自备加工筐明细!$C$4:$C$1203,$Z234-4000)=0,"",INDEX(客户自备加工筐明细!$C$4:$C$1203,$Z234-4000)),IF($Z234&lt;=5800,IF(INDEX(次果筐明细!$D$4:$D$603,$Z234-5200)=0,"",INDEX(次果筐明细!$D$4:$D$603,$Z234-5200)),"")))))</f>
        <v/>
      </c>
      <c r="G234" s="24" t="str">
        <f>IF($Z234="","",IF($Z234&lt;=2000,IF(INDEX(包装物料出入库明细!$F$4:$F$2003,$Z234-0)=0,"",INDEX(包装物料出入库明细!$F$4:$F$2003,$Z234-0)),IF($Z234&lt;=4000,"",IF($Z234&lt;=5200,"",IF($Z234&lt;=5800,"","")))))</f>
        <v/>
      </c>
      <c r="H234" s="39" t="str">
        <f>IF($Z234="","",IF($Z234&lt;=2000,IF(INDEX(包装物料出入库明细!$L$4:$L$2003,$Z234-0)=0,"",INDEX(包装物料出入库明细!$L$4:$L$2003,$Z234-0)),IF($Z234&lt;=4000,N(INDEX(周转筐出入库明细!$H$4:$H$2004,$Z234-2000))+N(INDEX(周转筐出入库明细!$I$4:$I$2004,$Z234-2000))+N(INDEX(周转筐出入库明细!$J$4:$J$2004,$Z234-2000))+N(INDEX(周转筐出入库明细!$K$4:$K$2004,$Z234-2000)),IF($Z234&lt;=5200,N(INDEX(客户自备加工筐明细!$F$4:$F$1203,$Z234-4000))+N(INDEX(客户自备加工筐明细!$G$4:$G$1203,$Z234-4000)),IF($Z234&lt;=5800,IF(INDEX(次果筐明细!$G$4:$G$603,$Z234-5200)=0,"",INDEX(次果筐明细!$G$4:$G$603,$Z234-5200)),"")))))</f>
        <v/>
      </c>
      <c r="I234" s="24" t="str">
        <f>IF($Z234="","",IF($Z234&lt;=2000,IF(INDEX(包装物料出入库明细!$G$4:$G$2003,$Z234-0)=0,"",INDEX(包装物料出入库明细!$G$4:$G$2003,$Z234-0)),IF($Z234&lt;=4000,"个",IF($Z234&lt;=5200,"个",IF($Z234&lt;=5800,"个","")))))</f>
        <v/>
      </c>
      <c r="J234" s="30" t="str">
        <f t="shared" si="10"/>
        <v/>
      </c>
      <c r="K234" s="30" t="str">
        <f>IF($Z234="","",IF($Z234&lt;=2000,IF(INDEX(包装物料出入库明细!$N$4:$N$2003,$Z234-0)=0,"",INDEX(包装物料出入库明细!$N$4:$N$2003,$Z234-0)),IF($Z234&lt;=4000,IF(INDEX(周转筐出入库明细!$P$4:$P$2004,$Z234-2000)=0,"",INDEX(周转筐出入库明细!$P$4:$P$2004,$Z234-2000)),IF($Z234&lt;=5200,"",IF($Z234&lt;=5800,N(INDEX(次果筐明细!$L$4:$L$603,$Z234-5200))+N(INDEX(次果筐明细!$J$4:$J$603,$Z234-5200)),"")))))</f>
        <v/>
      </c>
      <c r="L234" s="24" t="str">
        <f>IF($Z234="","",IF($Z234&lt;=2000,IF(INDEX(包装物料出入库明细!$P$4:$P$2003,$Z234-0)=0,"",INDEX(包装物料出入库明细!$P$4:$P$2003,$Z234-0)),IF($Z234&lt;=4000,IF(INDEX(周转筐出入库明细!$Q$4:$Q$2004,$Z234-2000)=0,"",INDEX(周转筐出入库明细!$Q$4:$Q$2004,$Z234-2000)),IF($Z234&lt;=5200,"",IF($Z234&lt;=5800,IF(INDEX(次果筐明细!$M$4:$M$603,$Z234-5200)=0,"",INDEX(次果筐明细!$M$4:$M$603,$Z234-5200)),"")))))</f>
        <v/>
      </c>
      <c r="M234" s="37" t="str">
        <f>IF($Z234="","",IF($Z234&lt;=2000,IF(INDEX(包装物料出入库明细!$R$4:$R$2003,$Z234-0)=0,"",INDEX(包装物料出入库明细!$R$4:$R$2003,$Z234-0)),IF($Z234&lt;=4000,IF(INDEX(周转筐出入库明细!$W$4:$W$2004,$Z234-2000)=0,"",INDEX(周转筐出入库明细!$W$4:$W$2004,$Z234-2000)),IF($Z234&lt;=5200,IF(INDEX(客户自备加工筐明细!$L$4:$L$1203,$Z234-4000)=0,"",INDEX(客户自备加工筐明细!$L$4:$L$1203,$Z234-4000)),IF($Z234&lt;=5800,IF(INDEX(次果筐明细!$P$4:$P$603,$Z234-5200)=0,"",INDEX(次果筐明细!$P$4:$P$603,$Z234-5200)),"")))))</f>
        <v/>
      </c>
      <c r="N234" s="16" t="str">
        <f>IF($Z234="","",IF($Z234&lt;=2000,"",IF($Z234&lt;=4000,IF(INDEX(周转筐出入库明细!$D$4:$D$2004,$Z234-2000)=0,"",INDEX(周转筐出入库明细!$D$4:$D$2004,$Z234-2000)),IF($Z234&lt;=5200,IF(INDEX(客户自备加工筐明细!$C$4:$C$1203,$Z234-4000)=0,"",INDEX(客户自备加工筐明细!$C$4:$C$1203,$Z234-4000)),IF($Z234&lt;=5800,IF(INDEX(次果筐明细!$D$4:$D$603,$Z234-5200)=0,"",INDEX(次果筐明细!$D$4:$D$603,$Z234-5200)),"")))))</f>
        <v/>
      </c>
      <c r="O234" s="40" t="str">
        <f>IF($Z234="","",IF($Z234&lt;=2000,"",IF($Z234&lt;=4000,IF(N(INDEX(周转筐出入库明细!$J$4:$J$2004,$Z234-2000))+N(INDEX(周转筐出入库明细!$K$4:$K$2004,$Z234-2000))=0,"",N(INDEX(周转筐出入库明细!$J$4:$J$2004,$Z234-2000))+N(INDEX(周转筐出入库明细!$K$4:$K$2004,$Z234-2000))),IF($Z234&lt;=5200,IF(N(INDEX(客户自备加工筐明细!$G$4:$G$1203,$Z234-4000))=0,"",N(INDEX(客户自备加工筐明细!$G$4:$G$1203,$Z234-4000))),IF($Z234&lt;=5800,IF(ISNUMBER(SEARCH("退",INDEX(次果筐明细!$F$4:$F$603,$Z234-5200)&amp;"")),"",IF(N(INDEX(次果筐明细!$G$4:$G$603,$Z234-5200))=0,"",N(INDEX(次果筐明细!$G$4:$G$603,$Z234-5200)))),"")))))</f>
        <v/>
      </c>
      <c r="P234" s="40" t="str">
        <f>IF($Z234="","",IF($Z234&lt;=2000,"",IF($Z234&lt;=4000,IF(N(INDEX(周转筐出入库明细!$I$4:$I$2004,$Z234-2000))=0,"",N(INDEX(周转筐出入库明细!$I$4:$I$2004,$Z234-2000))),IF($Z234&lt;=5200,"",IF($Z234&lt;=5800,IF(ISNUMBER(SEARCH("退",INDEX(次果筐明细!$F$4:$F$603,$Z234-5200)&amp;"")),IF(N(INDEX(次果筐明细!$G$4:$G$603,$Z234-5200))=0,"",N(INDEX(次果筐明细!$G$4:$G$603,$Z234-5200))),""),"")))))</f>
        <v/>
      </c>
      <c r="Q234" s="40" t="str">
        <f>IF($Z234="","",IF($Z234&lt;=2000,"",IF($Z234&lt;=4000,IF(N(INDEX(周转筐出入库明细!$H$4:$H$2004,$Z234-2000))=0,"",N(INDEX(周转筐出入库明细!$H$4:$H$2004,$Z234-2000))),IF($Z234&lt;=5200,IF(N(INDEX(客户自备加工筐明细!$F$4:$F$1203,$Z234-4000))=0,"",N(INDEX(客户自备加工筐明细!$F$4:$F$1203,$Z234-4000))),IF($Z234&lt;=5800,"","")))))</f>
        <v/>
      </c>
      <c r="R234" s="16" t="str">
        <f>IF($Z234="","",IF($Z234&lt;=2000,IF(INDEX(包装物料出入库明细!$O$4:$O$2003,$Z234-0)=0,"",INDEX(包装物料出入库明细!$O$4:$O$2003,$Z234-0)),IF($Z234&lt;=4000,IF(INDEX(周转筐出入库明细!$M$4:$M$2004,$Z234-2000)=0,"",INDEX(周转筐出入库明细!$M$4:$M$2004,$Z234-2000)),IF($Z234&lt;=5200,IF(INDEX(客户自备加工筐明细!$H$4:$H$1203,$Z234-4000)=0,"",INDEX(客户自备加工筐明细!$H$4:$H$1203,$Z234-4000)),IF($Z234&lt;=5800,IF(INDEX(次果筐明细!$H$4:$H$603,$Z234-5200)=0,"",INDEX(次果筐明细!$H$4:$H$603,$Z234-5200)),"")))))</f>
        <v/>
      </c>
      <c r="S234" s="22" t="str">
        <f t="shared" si="11"/>
        <v/>
      </c>
      <c r="Z234" s="10" t="str">
        <f>IFERROR(MATCH(ROW()-3,_自动清单!$CQ$4:$CQ$5803,0),"")</f>
        <v/>
      </c>
    </row>
    <row r="235" spans="1:26">
      <c r="A235" s="24" t="str">
        <f t="shared" si="9"/>
        <v/>
      </c>
      <c r="B235" s="38" t="str">
        <f>IF($Z235="","",IF($Z235&lt;=2000,IF(INDEX(包装物料出入库明细!$B$4:$B$2003,$Z235-0)=0,"",INDEX(包装物料出入库明细!$B$4:$B$2003,$Z235-0)),IF($Z235&lt;=4000,IF(INDEX(周转筐出入库明细!$B$4:$B$2004,$Z235-2000)=0,"",INDEX(周转筐出入库明细!$B$4:$B$2004,$Z235-2000)),IF($Z235&lt;=5200,IF(INDEX(客户自备加工筐明细!$B$4:$B$1203,$Z235-4000)=0,"",INDEX(客户自备加工筐明细!$B$4:$B$1203,$Z235-4000)),IF($Z235&lt;=5800,IF(INDEX(次果筐明细!$B$4:$B$603,$Z235-5200)=0,"",INDEX(次果筐明细!$B$4:$B$603,$Z235-5200)),"")))))</f>
        <v/>
      </c>
      <c r="C235" s="37" t="str">
        <f>IF($Z235="","",IF($Z235&lt;=2000,IF(INDEX(包装物料出入库明细!$D$4:$D$2003,$Z235-0)=0,"",INDEX(包装物料出入库明细!$D$4:$D$2003,$Z235-0)),IF($Z235&lt;=4000,IF(INDEX(周转筐出入库明细!$C$4:$C$2004,$Z235-2000)=0,"",INDEX(周转筐出入库明细!$C$4:$C$2004,$Z235-2000)),IF($Z235&lt;=5200,IF(INDEX(客户自备加工筐明细!$E$4:$E$1203,$Z235-4000)=0,"",INDEX(客户自备加工筐明细!$E$4:$E$1203,$Z235-4000)),IF($Z235&lt;=5800,IF(INDEX(次果筐明细!$C$4:$C$603,$Z235-5200)=0,"",INDEX(次果筐明细!$C$4:$C$603,$Z235-5200)),"")))))</f>
        <v/>
      </c>
      <c r="D235" s="37" t="str">
        <f>IF($Z235="","",IF($Z235&lt;=2000,"包装物料－"&amp;INDEX(包装物料出入库明细!$H$4:$H$2003,$Z235-0),IF($Z235&lt;=4000,"周转筐－"&amp;INDEX(周转筐出入库明细!$F$4:$F$2004,$Z235-2000),IF($Z235&lt;=5200,"客户自备筐－"&amp;INDEX(客户自备加工筐明细!$J$4:$J$1203,$Z235-4000),IF($Z235&lt;=5800,"次果筐/托盘－"&amp;INDEX(次果筐明细!$F$4:$F$603,$Z235-5200),"")))))</f>
        <v/>
      </c>
      <c r="E235" s="24" t="str">
        <f>IF($Z235="","",IF($Z235&lt;=2000,IF(INDEX(包装物料出入库明细!$C$4:$C$2003,$Z235-0)=0,"",INDEX(包装物料出入库明细!$C$4:$C$2003,$Z235-0)),IF($Z235&lt;=4000,IF(INDEX(周转筐出入库明细!$E$4:$E$2004,$Z235-2000)=0,"",INDEX(周转筐出入库明细!$E$4:$E$2004,$Z235-2000)),IF($Z235&lt;=5200,IF(INDEX(客户自备加工筐明细!$D$4:$D$1203,$Z235-4000)=0,"",INDEX(客户自备加工筐明细!$D$4:$D$1203,$Z235-4000)),IF($Z235&lt;=5800,IF(INDEX(次果筐明细!$E$4:$E$603,$Z235-5200)=0,"",INDEX(次果筐明细!$E$4:$E$603,$Z235-5200)),"")))))</f>
        <v/>
      </c>
      <c r="F235" s="24" t="str">
        <f>IF($Z235="","",IF($Z235&lt;=2000,IF(INDEX(包装物料出入库明细!$E$4:$E$2003,$Z235-0)=0,"",INDEX(包装物料出入库明细!$E$4:$E$2003,$Z235-0)),IF($Z235&lt;=4000,IF(INDEX(周转筐出入库明细!$D$4:$D$2004,$Z235-2000)=0,"",INDEX(周转筐出入库明细!$D$4:$D$2004,$Z235-2000)),IF($Z235&lt;=5200,IF(INDEX(客户自备加工筐明细!$C$4:$C$1203,$Z235-4000)=0,"",INDEX(客户自备加工筐明细!$C$4:$C$1203,$Z235-4000)),IF($Z235&lt;=5800,IF(INDEX(次果筐明细!$D$4:$D$603,$Z235-5200)=0,"",INDEX(次果筐明细!$D$4:$D$603,$Z235-5200)),"")))))</f>
        <v/>
      </c>
      <c r="G235" s="24" t="str">
        <f>IF($Z235="","",IF($Z235&lt;=2000,IF(INDEX(包装物料出入库明细!$F$4:$F$2003,$Z235-0)=0,"",INDEX(包装物料出入库明细!$F$4:$F$2003,$Z235-0)),IF($Z235&lt;=4000,"",IF($Z235&lt;=5200,"",IF($Z235&lt;=5800,"","")))))</f>
        <v/>
      </c>
      <c r="H235" s="39" t="str">
        <f>IF($Z235="","",IF($Z235&lt;=2000,IF(INDEX(包装物料出入库明细!$L$4:$L$2003,$Z235-0)=0,"",INDEX(包装物料出入库明细!$L$4:$L$2003,$Z235-0)),IF($Z235&lt;=4000,N(INDEX(周转筐出入库明细!$H$4:$H$2004,$Z235-2000))+N(INDEX(周转筐出入库明细!$I$4:$I$2004,$Z235-2000))+N(INDEX(周转筐出入库明细!$J$4:$J$2004,$Z235-2000))+N(INDEX(周转筐出入库明细!$K$4:$K$2004,$Z235-2000)),IF($Z235&lt;=5200,N(INDEX(客户自备加工筐明细!$F$4:$F$1203,$Z235-4000))+N(INDEX(客户自备加工筐明细!$G$4:$G$1203,$Z235-4000)),IF($Z235&lt;=5800,IF(INDEX(次果筐明细!$G$4:$G$603,$Z235-5200)=0,"",INDEX(次果筐明细!$G$4:$G$603,$Z235-5200)),"")))))</f>
        <v/>
      </c>
      <c r="I235" s="24" t="str">
        <f>IF($Z235="","",IF($Z235&lt;=2000,IF(INDEX(包装物料出入库明细!$G$4:$G$2003,$Z235-0)=0,"",INDEX(包装物料出入库明细!$G$4:$G$2003,$Z235-0)),IF($Z235&lt;=4000,"个",IF($Z235&lt;=5200,"个",IF($Z235&lt;=5800,"个","")))))</f>
        <v/>
      </c>
      <c r="J235" s="30" t="str">
        <f t="shared" si="10"/>
        <v/>
      </c>
      <c r="K235" s="30" t="str">
        <f>IF($Z235="","",IF($Z235&lt;=2000,IF(INDEX(包装物料出入库明细!$N$4:$N$2003,$Z235-0)=0,"",INDEX(包装物料出入库明细!$N$4:$N$2003,$Z235-0)),IF($Z235&lt;=4000,IF(INDEX(周转筐出入库明细!$P$4:$P$2004,$Z235-2000)=0,"",INDEX(周转筐出入库明细!$P$4:$P$2004,$Z235-2000)),IF($Z235&lt;=5200,"",IF($Z235&lt;=5800,N(INDEX(次果筐明细!$L$4:$L$603,$Z235-5200))+N(INDEX(次果筐明细!$J$4:$J$603,$Z235-5200)),"")))))</f>
        <v/>
      </c>
      <c r="L235" s="24" t="str">
        <f>IF($Z235="","",IF($Z235&lt;=2000,IF(INDEX(包装物料出入库明细!$P$4:$P$2003,$Z235-0)=0,"",INDEX(包装物料出入库明细!$P$4:$P$2003,$Z235-0)),IF($Z235&lt;=4000,IF(INDEX(周转筐出入库明细!$Q$4:$Q$2004,$Z235-2000)=0,"",INDEX(周转筐出入库明细!$Q$4:$Q$2004,$Z235-2000)),IF($Z235&lt;=5200,"",IF($Z235&lt;=5800,IF(INDEX(次果筐明细!$M$4:$M$603,$Z235-5200)=0,"",INDEX(次果筐明细!$M$4:$M$603,$Z235-5200)),"")))))</f>
        <v/>
      </c>
      <c r="M235" s="37" t="str">
        <f>IF($Z235="","",IF($Z235&lt;=2000,IF(INDEX(包装物料出入库明细!$R$4:$R$2003,$Z235-0)=0,"",INDEX(包装物料出入库明细!$R$4:$R$2003,$Z235-0)),IF($Z235&lt;=4000,IF(INDEX(周转筐出入库明细!$W$4:$W$2004,$Z235-2000)=0,"",INDEX(周转筐出入库明细!$W$4:$W$2004,$Z235-2000)),IF($Z235&lt;=5200,IF(INDEX(客户自备加工筐明细!$L$4:$L$1203,$Z235-4000)=0,"",INDEX(客户自备加工筐明细!$L$4:$L$1203,$Z235-4000)),IF($Z235&lt;=5800,IF(INDEX(次果筐明细!$P$4:$P$603,$Z235-5200)=0,"",INDEX(次果筐明细!$P$4:$P$603,$Z235-5200)),"")))))</f>
        <v/>
      </c>
      <c r="N235" s="16" t="str">
        <f>IF($Z235="","",IF($Z235&lt;=2000,"",IF($Z235&lt;=4000,IF(INDEX(周转筐出入库明细!$D$4:$D$2004,$Z235-2000)=0,"",INDEX(周转筐出入库明细!$D$4:$D$2004,$Z235-2000)),IF($Z235&lt;=5200,IF(INDEX(客户自备加工筐明细!$C$4:$C$1203,$Z235-4000)=0,"",INDEX(客户自备加工筐明细!$C$4:$C$1203,$Z235-4000)),IF($Z235&lt;=5800,IF(INDEX(次果筐明细!$D$4:$D$603,$Z235-5200)=0,"",INDEX(次果筐明细!$D$4:$D$603,$Z235-5200)),"")))))</f>
        <v/>
      </c>
      <c r="O235" s="40" t="str">
        <f>IF($Z235="","",IF($Z235&lt;=2000,"",IF($Z235&lt;=4000,IF(N(INDEX(周转筐出入库明细!$J$4:$J$2004,$Z235-2000))+N(INDEX(周转筐出入库明细!$K$4:$K$2004,$Z235-2000))=0,"",N(INDEX(周转筐出入库明细!$J$4:$J$2004,$Z235-2000))+N(INDEX(周转筐出入库明细!$K$4:$K$2004,$Z235-2000))),IF($Z235&lt;=5200,IF(N(INDEX(客户自备加工筐明细!$G$4:$G$1203,$Z235-4000))=0,"",N(INDEX(客户自备加工筐明细!$G$4:$G$1203,$Z235-4000))),IF($Z235&lt;=5800,IF(ISNUMBER(SEARCH("退",INDEX(次果筐明细!$F$4:$F$603,$Z235-5200)&amp;"")),"",IF(N(INDEX(次果筐明细!$G$4:$G$603,$Z235-5200))=0,"",N(INDEX(次果筐明细!$G$4:$G$603,$Z235-5200)))),"")))))</f>
        <v/>
      </c>
      <c r="P235" s="40" t="str">
        <f>IF($Z235="","",IF($Z235&lt;=2000,"",IF($Z235&lt;=4000,IF(N(INDEX(周转筐出入库明细!$I$4:$I$2004,$Z235-2000))=0,"",N(INDEX(周转筐出入库明细!$I$4:$I$2004,$Z235-2000))),IF($Z235&lt;=5200,"",IF($Z235&lt;=5800,IF(ISNUMBER(SEARCH("退",INDEX(次果筐明细!$F$4:$F$603,$Z235-5200)&amp;"")),IF(N(INDEX(次果筐明细!$G$4:$G$603,$Z235-5200))=0,"",N(INDEX(次果筐明细!$G$4:$G$603,$Z235-5200))),""),"")))))</f>
        <v/>
      </c>
      <c r="Q235" s="40" t="str">
        <f>IF($Z235="","",IF($Z235&lt;=2000,"",IF($Z235&lt;=4000,IF(N(INDEX(周转筐出入库明细!$H$4:$H$2004,$Z235-2000))=0,"",N(INDEX(周转筐出入库明细!$H$4:$H$2004,$Z235-2000))),IF($Z235&lt;=5200,IF(N(INDEX(客户自备加工筐明细!$F$4:$F$1203,$Z235-4000))=0,"",N(INDEX(客户自备加工筐明细!$F$4:$F$1203,$Z235-4000))),IF($Z235&lt;=5800,"","")))))</f>
        <v/>
      </c>
      <c r="R235" s="16" t="str">
        <f>IF($Z235="","",IF($Z235&lt;=2000,IF(INDEX(包装物料出入库明细!$O$4:$O$2003,$Z235-0)=0,"",INDEX(包装物料出入库明细!$O$4:$O$2003,$Z235-0)),IF($Z235&lt;=4000,IF(INDEX(周转筐出入库明细!$M$4:$M$2004,$Z235-2000)=0,"",INDEX(周转筐出入库明细!$M$4:$M$2004,$Z235-2000)),IF($Z235&lt;=5200,IF(INDEX(客户自备加工筐明细!$H$4:$H$1203,$Z235-4000)=0,"",INDEX(客户自备加工筐明细!$H$4:$H$1203,$Z235-4000)),IF($Z235&lt;=5800,IF(INDEX(次果筐明细!$H$4:$H$603,$Z235-5200)=0,"",INDEX(次果筐明细!$H$4:$H$603,$Z235-5200)),"")))))</f>
        <v/>
      </c>
      <c r="S235" s="22" t="str">
        <f t="shared" si="11"/>
        <v/>
      </c>
      <c r="Z235" s="10" t="str">
        <f>IFERROR(MATCH(ROW()-3,_自动清单!$CQ$4:$CQ$5803,0),"")</f>
        <v/>
      </c>
    </row>
    <row r="236" spans="1:26">
      <c r="A236" s="24" t="str">
        <f t="shared" si="9"/>
        <v/>
      </c>
      <c r="B236" s="38" t="str">
        <f>IF($Z236="","",IF($Z236&lt;=2000,IF(INDEX(包装物料出入库明细!$B$4:$B$2003,$Z236-0)=0,"",INDEX(包装物料出入库明细!$B$4:$B$2003,$Z236-0)),IF($Z236&lt;=4000,IF(INDEX(周转筐出入库明细!$B$4:$B$2004,$Z236-2000)=0,"",INDEX(周转筐出入库明细!$B$4:$B$2004,$Z236-2000)),IF($Z236&lt;=5200,IF(INDEX(客户自备加工筐明细!$B$4:$B$1203,$Z236-4000)=0,"",INDEX(客户自备加工筐明细!$B$4:$B$1203,$Z236-4000)),IF($Z236&lt;=5800,IF(INDEX(次果筐明细!$B$4:$B$603,$Z236-5200)=0,"",INDEX(次果筐明细!$B$4:$B$603,$Z236-5200)),"")))))</f>
        <v/>
      </c>
      <c r="C236" s="37" t="str">
        <f>IF($Z236="","",IF($Z236&lt;=2000,IF(INDEX(包装物料出入库明细!$D$4:$D$2003,$Z236-0)=0,"",INDEX(包装物料出入库明细!$D$4:$D$2003,$Z236-0)),IF($Z236&lt;=4000,IF(INDEX(周转筐出入库明细!$C$4:$C$2004,$Z236-2000)=0,"",INDEX(周转筐出入库明细!$C$4:$C$2004,$Z236-2000)),IF($Z236&lt;=5200,IF(INDEX(客户自备加工筐明细!$E$4:$E$1203,$Z236-4000)=0,"",INDEX(客户自备加工筐明细!$E$4:$E$1203,$Z236-4000)),IF($Z236&lt;=5800,IF(INDEX(次果筐明细!$C$4:$C$603,$Z236-5200)=0,"",INDEX(次果筐明细!$C$4:$C$603,$Z236-5200)),"")))))</f>
        <v/>
      </c>
      <c r="D236" s="37" t="str">
        <f>IF($Z236="","",IF($Z236&lt;=2000,"包装物料－"&amp;INDEX(包装物料出入库明细!$H$4:$H$2003,$Z236-0),IF($Z236&lt;=4000,"周转筐－"&amp;INDEX(周转筐出入库明细!$F$4:$F$2004,$Z236-2000),IF($Z236&lt;=5200,"客户自备筐－"&amp;INDEX(客户自备加工筐明细!$J$4:$J$1203,$Z236-4000),IF($Z236&lt;=5800,"次果筐/托盘－"&amp;INDEX(次果筐明细!$F$4:$F$603,$Z236-5200),"")))))</f>
        <v/>
      </c>
      <c r="E236" s="24" t="str">
        <f>IF($Z236="","",IF($Z236&lt;=2000,IF(INDEX(包装物料出入库明细!$C$4:$C$2003,$Z236-0)=0,"",INDEX(包装物料出入库明细!$C$4:$C$2003,$Z236-0)),IF($Z236&lt;=4000,IF(INDEX(周转筐出入库明细!$E$4:$E$2004,$Z236-2000)=0,"",INDEX(周转筐出入库明细!$E$4:$E$2004,$Z236-2000)),IF($Z236&lt;=5200,IF(INDEX(客户自备加工筐明细!$D$4:$D$1203,$Z236-4000)=0,"",INDEX(客户自备加工筐明细!$D$4:$D$1203,$Z236-4000)),IF($Z236&lt;=5800,IF(INDEX(次果筐明细!$E$4:$E$603,$Z236-5200)=0,"",INDEX(次果筐明细!$E$4:$E$603,$Z236-5200)),"")))))</f>
        <v/>
      </c>
      <c r="F236" s="24" t="str">
        <f>IF($Z236="","",IF($Z236&lt;=2000,IF(INDEX(包装物料出入库明细!$E$4:$E$2003,$Z236-0)=0,"",INDEX(包装物料出入库明细!$E$4:$E$2003,$Z236-0)),IF($Z236&lt;=4000,IF(INDEX(周转筐出入库明细!$D$4:$D$2004,$Z236-2000)=0,"",INDEX(周转筐出入库明细!$D$4:$D$2004,$Z236-2000)),IF($Z236&lt;=5200,IF(INDEX(客户自备加工筐明细!$C$4:$C$1203,$Z236-4000)=0,"",INDEX(客户自备加工筐明细!$C$4:$C$1203,$Z236-4000)),IF($Z236&lt;=5800,IF(INDEX(次果筐明细!$D$4:$D$603,$Z236-5200)=0,"",INDEX(次果筐明细!$D$4:$D$603,$Z236-5200)),"")))))</f>
        <v/>
      </c>
      <c r="G236" s="24" t="str">
        <f>IF($Z236="","",IF($Z236&lt;=2000,IF(INDEX(包装物料出入库明细!$F$4:$F$2003,$Z236-0)=0,"",INDEX(包装物料出入库明细!$F$4:$F$2003,$Z236-0)),IF($Z236&lt;=4000,"",IF($Z236&lt;=5200,"",IF($Z236&lt;=5800,"","")))))</f>
        <v/>
      </c>
      <c r="H236" s="39" t="str">
        <f>IF($Z236="","",IF($Z236&lt;=2000,IF(INDEX(包装物料出入库明细!$L$4:$L$2003,$Z236-0)=0,"",INDEX(包装物料出入库明细!$L$4:$L$2003,$Z236-0)),IF($Z236&lt;=4000,N(INDEX(周转筐出入库明细!$H$4:$H$2004,$Z236-2000))+N(INDEX(周转筐出入库明细!$I$4:$I$2004,$Z236-2000))+N(INDEX(周转筐出入库明细!$J$4:$J$2004,$Z236-2000))+N(INDEX(周转筐出入库明细!$K$4:$K$2004,$Z236-2000)),IF($Z236&lt;=5200,N(INDEX(客户自备加工筐明细!$F$4:$F$1203,$Z236-4000))+N(INDEX(客户自备加工筐明细!$G$4:$G$1203,$Z236-4000)),IF($Z236&lt;=5800,IF(INDEX(次果筐明细!$G$4:$G$603,$Z236-5200)=0,"",INDEX(次果筐明细!$G$4:$G$603,$Z236-5200)),"")))))</f>
        <v/>
      </c>
      <c r="I236" s="24" t="str">
        <f>IF($Z236="","",IF($Z236&lt;=2000,IF(INDEX(包装物料出入库明细!$G$4:$G$2003,$Z236-0)=0,"",INDEX(包装物料出入库明细!$G$4:$G$2003,$Z236-0)),IF($Z236&lt;=4000,"个",IF($Z236&lt;=5200,"个",IF($Z236&lt;=5800,"个","")))))</f>
        <v/>
      </c>
      <c r="J236" s="30" t="str">
        <f t="shared" si="10"/>
        <v/>
      </c>
      <c r="K236" s="30" t="str">
        <f>IF($Z236="","",IF($Z236&lt;=2000,IF(INDEX(包装物料出入库明细!$N$4:$N$2003,$Z236-0)=0,"",INDEX(包装物料出入库明细!$N$4:$N$2003,$Z236-0)),IF($Z236&lt;=4000,IF(INDEX(周转筐出入库明细!$P$4:$P$2004,$Z236-2000)=0,"",INDEX(周转筐出入库明细!$P$4:$P$2004,$Z236-2000)),IF($Z236&lt;=5200,"",IF($Z236&lt;=5800,N(INDEX(次果筐明细!$L$4:$L$603,$Z236-5200))+N(INDEX(次果筐明细!$J$4:$J$603,$Z236-5200)),"")))))</f>
        <v/>
      </c>
      <c r="L236" s="24" t="str">
        <f>IF($Z236="","",IF($Z236&lt;=2000,IF(INDEX(包装物料出入库明细!$P$4:$P$2003,$Z236-0)=0,"",INDEX(包装物料出入库明细!$P$4:$P$2003,$Z236-0)),IF($Z236&lt;=4000,IF(INDEX(周转筐出入库明细!$Q$4:$Q$2004,$Z236-2000)=0,"",INDEX(周转筐出入库明细!$Q$4:$Q$2004,$Z236-2000)),IF($Z236&lt;=5200,"",IF($Z236&lt;=5800,IF(INDEX(次果筐明细!$M$4:$M$603,$Z236-5200)=0,"",INDEX(次果筐明细!$M$4:$M$603,$Z236-5200)),"")))))</f>
        <v/>
      </c>
      <c r="M236" s="37" t="str">
        <f>IF($Z236="","",IF($Z236&lt;=2000,IF(INDEX(包装物料出入库明细!$R$4:$R$2003,$Z236-0)=0,"",INDEX(包装物料出入库明细!$R$4:$R$2003,$Z236-0)),IF($Z236&lt;=4000,IF(INDEX(周转筐出入库明细!$W$4:$W$2004,$Z236-2000)=0,"",INDEX(周转筐出入库明细!$W$4:$W$2004,$Z236-2000)),IF($Z236&lt;=5200,IF(INDEX(客户自备加工筐明细!$L$4:$L$1203,$Z236-4000)=0,"",INDEX(客户自备加工筐明细!$L$4:$L$1203,$Z236-4000)),IF($Z236&lt;=5800,IF(INDEX(次果筐明细!$P$4:$P$603,$Z236-5200)=0,"",INDEX(次果筐明细!$P$4:$P$603,$Z236-5200)),"")))))</f>
        <v/>
      </c>
      <c r="N236" s="16" t="str">
        <f>IF($Z236="","",IF($Z236&lt;=2000,"",IF($Z236&lt;=4000,IF(INDEX(周转筐出入库明细!$D$4:$D$2004,$Z236-2000)=0,"",INDEX(周转筐出入库明细!$D$4:$D$2004,$Z236-2000)),IF($Z236&lt;=5200,IF(INDEX(客户自备加工筐明细!$C$4:$C$1203,$Z236-4000)=0,"",INDEX(客户自备加工筐明细!$C$4:$C$1203,$Z236-4000)),IF($Z236&lt;=5800,IF(INDEX(次果筐明细!$D$4:$D$603,$Z236-5200)=0,"",INDEX(次果筐明细!$D$4:$D$603,$Z236-5200)),"")))))</f>
        <v/>
      </c>
      <c r="O236" s="40" t="str">
        <f>IF($Z236="","",IF($Z236&lt;=2000,"",IF($Z236&lt;=4000,IF(N(INDEX(周转筐出入库明细!$J$4:$J$2004,$Z236-2000))+N(INDEX(周转筐出入库明细!$K$4:$K$2004,$Z236-2000))=0,"",N(INDEX(周转筐出入库明细!$J$4:$J$2004,$Z236-2000))+N(INDEX(周转筐出入库明细!$K$4:$K$2004,$Z236-2000))),IF($Z236&lt;=5200,IF(N(INDEX(客户自备加工筐明细!$G$4:$G$1203,$Z236-4000))=0,"",N(INDEX(客户自备加工筐明细!$G$4:$G$1203,$Z236-4000))),IF($Z236&lt;=5800,IF(ISNUMBER(SEARCH("退",INDEX(次果筐明细!$F$4:$F$603,$Z236-5200)&amp;"")),"",IF(N(INDEX(次果筐明细!$G$4:$G$603,$Z236-5200))=0,"",N(INDEX(次果筐明细!$G$4:$G$603,$Z236-5200)))),"")))))</f>
        <v/>
      </c>
      <c r="P236" s="40" t="str">
        <f>IF($Z236="","",IF($Z236&lt;=2000,"",IF($Z236&lt;=4000,IF(N(INDEX(周转筐出入库明细!$I$4:$I$2004,$Z236-2000))=0,"",N(INDEX(周转筐出入库明细!$I$4:$I$2004,$Z236-2000))),IF($Z236&lt;=5200,"",IF($Z236&lt;=5800,IF(ISNUMBER(SEARCH("退",INDEX(次果筐明细!$F$4:$F$603,$Z236-5200)&amp;"")),IF(N(INDEX(次果筐明细!$G$4:$G$603,$Z236-5200))=0,"",N(INDEX(次果筐明细!$G$4:$G$603,$Z236-5200))),""),"")))))</f>
        <v/>
      </c>
      <c r="Q236" s="40" t="str">
        <f>IF($Z236="","",IF($Z236&lt;=2000,"",IF($Z236&lt;=4000,IF(N(INDEX(周转筐出入库明细!$H$4:$H$2004,$Z236-2000))=0,"",N(INDEX(周转筐出入库明细!$H$4:$H$2004,$Z236-2000))),IF($Z236&lt;=5200,IF(N(INDEX(客户自备加工筐明细!$F$4:$F$1203,$Z236-4000))=0,"",N(INDEX(客户自备加工筐明细!$F$4:$F$1203,$Z236-4000))),IF($Z236&lt;=5800,"","")))))</f>
        <v/>
      </c>
      <c r="R236" s="16" t="str">
        <f>IF($Z236="","",IF($Z236&lt;=2000,IF(INDEX(包装物料出入库明细!$O$4:$O$2003,$Z236-0)=0,"",INDEX(包装物料出入库明细!$O$4:$O$2003,$Z236-0)),IF($Z236&lt;=4000,IF(INDEX(周转筐出入库明细!$M$4:$M$2004,$Z236-2000)=0,"",INDEX(周转筐出入库明细!$M$4:$M$2004,$Z236-2000)),IF($Z236&lt;=5200,IF(INDEX(客户自备加工筐明细!$H$4:$H$1203,$Z236-4000)=0,"",INDEX(客户自备加工筐明细!$H$4:$H$1203,$Z236-4000)),IF($Z236&lt;=5800,IF(INDEX(次果筐明细!$H$4:$H$603,$Z236-5200)=0,"",INDEX(次果筐明细!$H$4:$H$603,$Z236-5200)),"")))))</f>
        <v/>
      </c>
      <c r="S236" s="22" t="str">
        <f t="shared" si="11"/>
        <v/>
      </c>
      <c r="Z236" s="10" t="str">
        <f>IFERROR(MATCH(ROW()-3,_自动清单!$CQ$4:$CQ$5803,0),"")</f>
        <v/>
      </c>
    </row>
    <row r="237" spans="1:26">
      <c r="A237" s="24" t="str">
        <f t="shared" si="9"/>
        <v/>
      </c>
      <c r="B237" s="38" t="str">
        <f>IF($Z237="","",IF($Z237&lt;=2000,IF(INDEX(包装物料出入库明细!$B$4:$B$2003,$Z237-0)=0,"",INDEX(包装物料出入库明细!$B$4:$B$2003,$Z237-0)),IF($Z237&lt;=4000,IF(INDEX(周转筐出入库明细!$B$4:$B$2004,$Z237-2000)=0,"",INDEX(周转筐出入库明细!$B$4:$B$2004,$Z237-2000)),IF($Z237&lt;=5200,IF(INDEX(客户自备加工筐明细!$B$4:$B$1203,$Z237-4000)=0,"",INDEX(客户自备加工筐明细!$B$4:$B$1203,$Z237-4000)),IF($Z237&lt;=5800,IF(INDEX(次果筐明细!$B$4:$B$603,$Z237-5200)=0,"",INDEX(次果筐明细!$B$4:$B$603,$Z237-5200)),"")))))</f>
        <v/>
      </c>
      <c r="C237" s="37" t="str">
        <f>IF($Z237="","",IF($Z237&lt;=2000,IF(INDEX(包装物料出入库明细!$D$4:$D$2003,$Z237-0)=0,"",INDEX(包装物料出入库明细!$D$4:$D$2003,$Z237-0)),IF($Z237&lt;=4000,IF(INDEX(周转筐出入库明细!$C$4:$C$2004,$Z237-2000)=0,"",INDEX(周转筐出入库明细!$C$4:$C$2004,$Z237-2000)),IF($Z237&lt;=5200,IF(INDEX(客户自备加工筐明细!$E$4:$E$1203,$Z237-4000)=0,"",INDEX(客户自备加工筐明细!$E$4:$E$1203,$Z237-4000)),IF($Z237&lt;=5800,IF(INDEX(次果筐明细!$C$4:$C$603,$Z237-5200)=0,"",INDEX(次果筐明细!$C$4:$C$603,$Z237-5200)),"")))))</f>
        <v/>
      </c>
      <c r="D237" s="37" t="str">
        <f>IF($Z237="","",IF($Z237&lt;=2000,"包装物料－"&amp;INDEX(包装物料出入库明细!$H$4:$H$2003,$Z237-0),IF($Z237&lt;=4000,"周转筐－"&amp;INDEX(周转筐出入库明细!$F$4:$F$2004,$Z237-2000),IF($Z237&lt;=5200,"客户自备筐－"&amp;INDEX(客户自备加工筐明细!$J$4:$J$1203,$Z237-4000),IF($Z237&lt;=5800,"次果筐/托盘－"&amp;INDEX(次果筐明细!$F$4:$F$603,$Z237-5200),"")))))</f>
        <v/>
      </c>
      <c r="E237" s="24" t="str">
        <f>IF($Z237="","",IF($Z237&lt;=2000,IF(INDEX(包装物料出入库明细!$C$4:$C$2003,$Z237-0)=0,"",INDEX(包装物料出入库明细!$C$4:$C$2003,$Z237-0)),IF($Z237&lt;=4000,IF(INDEX(周转筐出入库明细!$E$4:$E$2004,$Z237-2000)=0,"",INDEX(周转筐出入库明细!$E$4:$E$2004,$Z237-2000)),IF($Z237&lt;=5200,IF(INDEX(客户自备加工筐明细!$D$4:$D$1203,$Z237-4000)=0,"",INDEX(客户自备加工筐明细!$D$4:$D$1203,$Z237-4000)),IF($Z237&lt;=5800,IF(INDEX(次果筐明细!$E$4:$E$603,$Z237-5200)=0,"",INDEX(次果筐明细!$E$4:$E$603,$Z237-5200)),"")))))</f>
        <v/>
      </c>
      <c r="F237" s="24" t="str">
        <f>IF($Z237="","",IF($Z237&lt;=2000,IF(INDEX(包装物料出入库明细!$E$4:$E$2003,$Z237-0)=0,"",INDEX(包装物料出入库明细!$E$4:$E$2003,$Z237-0)),IF($Z237&lt;=4000,IF(INDEX(周转筐出入库明细!$D$4:$D$2004,$Z237-2000)=0,"",INDEX(周转筐出入库明细!$D$4:$D$2004,$Z237-2000)),IF($Z237&lt;=5200,IF(INDEX(客户自备加工筐明细!$C$4:$C$1203,$Z237-4000)=0,"",INDEX(客户自备加工筐明细!$C$4:$C$1203,$Z237-4000)),IF($Z237&lt;=5800,IF(INDEX(次果筐明细!$D$4:$D$603,$Z237-5200)=0,"",INDEX(次果筐明细!$D$4:$D$603,$Z237-5200)),"")))))</f>
        <v/>
      </c>
      <c r="G237" s="24" t="str">
        <f>IF($Z237="","",IF($Z237&lt;=2000,IF(INDEX(包装物料出入库明细!$F$4:$F$2003,$Z237-0)=0,"",INDEX(包装物料出入库明细!$F$4:$F$2003,$Z237-0)),IF($Z237&lt;=4000,"",IF($Z237&lt;=5200,"",IF($Z237&lt;=5800,"","")))))</f>
        <v/>
      </c>
      <c r="H237" s="39" t="str">
        <f>IF($Z237="","",IF($Z237&lt;=2000,IF(INDEX(包装物料出入库明细!$L$4:$L$2003,$Z237-0)=0,"",INDEX(包装物料出入库明细!$L$4:$L$2003,$Z237-0)),IF($Z237&lt;=4000,N(INDEX(周转筐出入库明细!$H$4:$H$2004,$Z237-2000))+N(INDEX(周转筐出入库明细!$I$4:$I$2004,$Z237-2000))+N(INDEX(周转筐出入库明细!$J$4:$J$2004,$Z237-2000))+N(INDEX(周转筐出入库明细!$K$4:$K$2004,$Z237-2000)),IF($Z237&lt;=5200,N(INDEX(客户自备加工筐明细!$F$4:$F$1203,$Z237-4000))+N(INDEX(客户自备加工筐明细!$G$4:$G$1203,$Z237-4000)),IF($Z237&lt;=5800,IF(INDEX(次果筐明细!$G$4:$G$603,$Z237-5200)=0,"",INDEX(次果筐明细!$G$4:$G$603,$Z237-5200)),"")))))</f>
        <v/>
      </c>
      <c r="I237" s="24" t="str">
        <f>IF($Z237="","",IF($Z237&lt;=2000,IF(INDEX(包装物料出入库明细!$G$4:$G$2003,$Z237-0)=0,"",INDEX(包装物料出入库明细!$G$4:$G$2003,$Z237-0)),IF($Z237&lt;=4000,"个",IF($Z237&lt;=5200,"个",IF($Z237&lt;=5800,"个","")))))</f>
        <v/>
      </c>
      <c r="J237" s="30" t="str">
        <f t="shared" si="10"/>
        <v/>
      </c>
      <c r="K237" s="30" t="str">
        <f>IF($Z237="","",IF($Z237&lt;=2000,IF(INDEX(包装物料出入库明细!$N$4:$N$2003,$Z237-0)=0,"",INDEX(包装物料出入库明细!$N$4:$N$2003,$Z237-0)),IF($Z237&lt;=4000,IF(INDEX(周转筐出入库明细!$P$4:$P$2004,$Z237-2000)=0,"",INDEX(周转筐出入库明细!$P$4:$P$2004,$Z237-2000)),IF($Z237&lt;=5200,"",IF($Z237&lt;=5800,N(INDEX(次果筐明细!$L$4:$L$603,$Z237-5200))+N(INDEX(次果筐明细!$J$4:$J$603,$Z237-5200)),"")))))</f>
        <v/>
      </c>
      <c r="L237" s="24" t="str">
        <f>IF($Z237="","",IF($Z237&lt;=2000,IF(INDEX(包装物料出入库明细!$P$4:$P$2003,$Z237-0)=0,"",INDEX(包装物料出入库明细!$P$4:$P$2003,$Z237-0)),IF($Z237&lt;=4000,IF(INDEX(周转筐出入库明细!$Q$4:$Q$2004,$Z237-2000)=0,"",INDEX(周转筐出入库明细!$Q$4:$Q$2004,$Z237-2000)),IF($Z237&lt;=5200,"",IF($Z237&lt;=5800,IF(INDEX(次果筐明细!$M$4:$M$603,$Z237-5200)=0,"",INDEX(次果筐明细!$M$4:$M$603,$Z237-5200)),"")))))</f>
        <v/>
      </c>
      <c r="M237" s="37" t="str">
        <f>IF($Z237="","",IF($Z237&lt;=2000,IF(INDEX(包装物料出入库明细!$R$4:$R$2003,$Z237-0)=0,"",INDEX(包装物料出入库明细!$R$4:$R$2003,$Z237-0)),IF($Z237&lt;=4000,IF(INDEX(周转筐出入库明细!$W$4:$W$2004,$Z237-2000)=0,"",INDEX(周转筐出入库明细!$W$4:$W$2004,$Z237-2000)),IF($Z237&lt;=5200,IF(INDEX(客户自备加工筐明细!$L$4:$L$1203,$Z237-4000)=0,"",INDEX(客户自备加工筐明细!$L$4:$L$1203,$Z237-4000)),IF($Z237&lt;=5800,IF(INDEX(次果筐明细!$P$4:$P$603,$Z237-5200)=0,"",INDEX(次果筐明细!$P$4:$P$603,$Z237-5200)),"")))))</f>
        <v/>
      </c>
      <c r="N237" s="16" t="str">
        <f>IF($Z237="","",IF($Z237&lt;=2000,"",IF($Z237&lt;=4000,IF(INDEX(周转筐出入库明细!$D$4:$D$2004,$Z237-2000)=0,"",INDEX(周转筐出入库明细!$D$4:$D$2004,$Z237-2000)),IF($Z237&lt;=5200,IF(INDEX(客户自备加工筐明细!$C$4:$C$1203,$Z237-4000)=0,"",INDEX(客户自备加工筐明细!$C$4:$C$1203,$Z237-4000)),IF($Z237&lt;=5800,IF(INDEX(次果筐明细!$D$4:$D$603,$Z237-5200)=0,"",INDEX(次果筐明细!$D$4:$D$603,$Z237-5200)),"")))))</f>
        <v/>
      </c>
      <c r="O237" s="40" t="str">
        <f>IF($Z237="","",IF($Z237&lt;=2000,"",IF($Z237&lt;=4000,IF(N(INDEX(周转筐出入库明细!$J$4:$J$2004,$Z237-2000))+N(INDEX(周转筐出入库明细!$K$4:$K$2004,$Z237-2000))=0,"",N(INDEX(周转筐出入库明细!$J$4:$J$2004,$Z237-2000))+N(INDEX(周转筐出入库明细!$K$4:$K$2004,$Z237-2000))),IF($Z237&lt;=5200,IF(N(INDEX(客户自备加工筐明细!$G$4:$G$1203,$Z237-4000))=0,"",N(INDEX(客户自备加工筐明细!$G$4:$G$1203,$Z237-4000))),IF($Z237&lt;=5800,IF(ISNUMBER(SEARCH("退",INDEX(次果筐明细!$F$4:$F$603,$Z237-5200)&amp;"")),"",IF(N(INDEX(次果筐明细!$G$4:$G$603,$Z237-5200))=0,"",N(INDEX(次果筐明细!$G$4:$G$603,$Z237-5200)))),"")))))</f>
        <v/>
      </c>
      <c r="P237" s="40" t="str">
        <f>IF($Z237="","",IF($Z237&lt;=2000,"",IF($Z237&lt;=4000,IF(N(INDEX(周转筐出入库明细!$I$4:$I$2004,$Z237-2000))=0,"",N(INDEX(周转筐出入库明细!$I$4:$I$2004,$Z237-2000))),IF($Z237&lt;=5200,"",IF($Z237&lt;=5800,IF(ISNUMBER(SEARCH("退",INDEX(次果筐明细!$F$4:$F$603,$Z237-5200)&amp;"")),IF(N(INDEX(次果筐明细!$G$4:$G$603,$Z237-5200))=0,"",N(INDEX(次果筐明细!$G$4:$G$603,$Z237-5200))),""),"")))))</f>
        <v/>
      </c>
      <c r="Q237" s="40" t="str">
        <f>IF($Z237="","",IF($Z237&lt;=2000,"",IF($Z237&lt;=4000,IF(N(INDEX(周转筐出入库明细!$H$4:$H$2004,$Z237-2000))=0,"",N(INDEX(周转筐出入库明细!$H$4:$H$2004,$Z237-2000))),IF($Z237&lt;=5200,IF(N(INDEX(客户自备加工筐明细!$F$4:$F$1203,$Z237-4000))=0,"",N(INDEX(客户自备加工筐明细!$F$4:$F$1203,$Z237-4000))),IF($Z237&lt;=5800,"","")))))</f>
        <v/>
      </c>
      <c r="R237" s="16" t="str">
        <f>IF($Z237="","",IF($Z237&lt;=2000,IF(INDEX(包装物料出入库明细!$O$4:$O$2003,$Z237-0)=0,"",INDEX(包装物料出入库明细!$O$4:$O$2003,$Z237-0)),IF($Z237&lt;=4000,IF(INDEX(周转筐出入库明细!$M$4:$M$2004,$Z237-2000)=0,"",INDEX(周转筐出入库明细!$M$4:$M$2004,$Z237-2000)),IF($Z237&lt;=5200,IF(INDEX(客户自备加工筐明细!$H$4:$H$1203,$Z237-4000)=0,"",INDEX(客户自备加工筐明细!$H$4:$H$1203,$Z237-4000)),IF($Z237&lt;=5800,IF(INDEX(次果筐明细!$H$4:$H$603,$Z237-5200)=0,"",INDEX(次果筐明细!$H$4:$H$603,$Z237-5200)),"")))))</f>
        <v/>
      </c>
      <c r="S237" s="22" t="str">
        <f t="shared" si="11"/>
        <v/>
      </c>
      <c r="Z237" s="10" t="str">
        <f>IFERROR(MATCH(ROW()-3,_自动清单!$CQ$4:$CQ$5803,0),"")</f>
        <v/>
      </c>
    </row>
    <row r="238" spans="1:26">
      <c r="A238" s="24" t="str">
        <f t="shared" si="9"/>
        <v/>
      </c>
      <c r="B238" s="38" t="str">
        <f>IF($Z238="","",IF($Z238&lt;=2000,IF(INDEX(包装物料出入库明细!$B$4:$B$2003,$Z238-0)=0,"",INDEX(包装物料出入库明细!$B$4:$B$2003,$Z238-0)),IF($Z238&lt;=4000,IF(INDEX(周转筐出入库明细!$B$4:$B$2004,$Z238-2000)=0,"",INDEX(周转筐出入库明细!$B$4:$B$2004,$Z238-2000)),IF($Z238&lt;=5200,IF(INDEX(客户自备加工筐明细!$B$4:$B$1203,$Z238-4000)=0,"",INDEX(客户自备加工筐明细!$B$4:$B$1203,$Z238-4000)),IF($Z238&lt;=5800,IF(INDEX(次果筐明细!$B$4:$B$603,$Z238-5200)=0,"",INDEX(次果筐明细!$B$4:$B$603,$Z238-5200)),"")))))</f>
        <v/>
      </c>
      <c r="C238" s="37" t="str">
        <f>IF($Z238="","",IF($Z238&lt;=2000,IF(INDEX(包装物料出入库明细!$D$4:$D$2003,$Z238-0)=0,"",INDEX(包装物料出入库明细!$D$4:$D$2003,$Z238-0)),IF($Z238&lt;=4000,IF(INDEX(周转筐出入库明细!$C$4:$C$2004,$Z238-2000)=0,"",INDEX(周转筐出入库明细!$C$4:$C$2004,$Z238-2000)),IF($Z238&lt;=5200,IF(INDEX(客户自备加工筐明细!$E$4:$E$1203,$Z238-4000)=0,"",INDEX(客户自备加工筐明细!$E$4:$E$1203,$Z238-4000)),IF($Z238&lt;=5800,IF(INDEX(次果筐明细!$C$4:$C$603,$Z238-5200)=0,"",INDEX(次果筐明细!$C$4:$C$603,$Z238-5200)),"")))))</f>
        <v/>
      </c>
      <c r="D238" s="37" t="str">
        <f>IF($Z238="","",IF($Z238&lt;=2000,"包装物料－"&amp;INDEX(包装物料出入库明细!$H$4:$H$2003,$Z238-0),IF($Z238&lt;=4000,"周转筐－"&amp;INDEX(周转筐出入库明细!$F$4:$F$2004,$Z238-2000),IF($Z238&lt;=5200,"客户自备筐－"&amp;INDEX(客户自备加工筐明细!$J$4:$J$1203,$Z238-4000),IF($Z238&lt;=5800,"次果筐/托盘－"&amp;INDEX(次果筐明细!$F$4:$F$603,$Z238-5200),"")))))</f>
        <v/>
      </c>
      <c r="E238" s="24" t="str">
        <f>IF($Z238="","",IF($Z238&lt;=2000,IF(INDEX(包装物料出入库明细!$C$4:$C$2003,$Z238-0)=0,"",INDEX(包装物料出入库明细!$C$4:$C$2003,$Z238-0)),IF($Z238&lt;=4000,IF(INDEX(周转筐出入库明细!$E$4:$E$2004,$Z238-2000)=0,"",INDEX(周转筐出入库明细!$E$4:$E$2004,$Z238-2000)),IF($Z238&lt;=5200,IF(INDEX(客户自备加工筐明细!$D$4:$D$1203,$Z238-4000)=0,"",INDEX(客户自备加工筐明细!$D$4:$D$1203,$Z238-4000)),IF($Z238&lt;=5800,IF(INDEX(次果筐明细!$E$4:$E$603,$Z238-5200)=0,"",INDEX(次果筐明细!$E$4:$E$603,$Z238-5200)),"")))))</f>
        <v/>
      </c>
      <c r="F238" s="24" t="str">
        <f>IF($Z238="","",IF($Z238&lt;=2000,IF(INDEX(包装物料出入库明细!$E$4:$E$2003,$Z238-0)=0,"",INDEX(包装物料出入库明细!$E$4:$E$2003,$Z238-0)),IF($Z238&lt;=4000,IF(INDEX(周转筐出入库明细!$D$4:$D$2004,$Z238-2000)=0,"",INDEX(周转筐出入库明细!$D$4:$D$2004,$Z238-2000)),IF($Z238&lt;=5200,IF(INDEX(客户自备加工筐明细!$C$4:$C$1203,$Z238-4000)=0,"",INDEX(客户自备加工筐明细!$C$4:$C$1203,$Z238-4000)),IF($Z238&lt;=5800,IF(INDEX(次果筐明细!$D$4:$D$603,$Z238-5200)=0,"",INDEX(次果筐明细!$D$4:$D$603,$Z238-5200)),"")))))</f>
        <v/>
      </c>
      <c r="G238" s="24" t="str">
        <f>IF($Z238="","",IF($Z238&lt;=2000,IF(INDEX(包装物料出入库明细!$F$4:$F$2003,$Z238-0)=0,"",INDEX(包装物料出入库明细!$F$4:$F$2003,$Z238-0)),IF($Z238&lt;=4000,"",IF($Z238&lt;=5200,"",IF($Z238&lt;=5800,"","")))))</f>
        <v/>
      </c>
      <c r="H238" s="39" t="str">
        <f>IF($Z238="","",IF($Z238&lt;=2000,IF(INDEX(包装物料出入库明细!$L$4:$L$2003,$Z238-0)=0,"",INDEX(包装物料出入库明细!$L$4:$L$2003,$Z238-0)),IF($Z238&lt;=4000,N(INDEX(周转筐出入库明细!$H$4:$H$2004,$Z238-2000))+N(INDEX(周转筐出入库明细!$I$4:$I$2004,$Z238-2000))+N(INDEX(周转筐出入库明细!$J$4:$J$2004,$Z238-2000))+N(INDEX(周转筐出入库明细!$K$4:$K$2004,$Z238-2000)),IF($Z238&lt;=5200,N(INDEX(客户自备加工筐明细!$F$4:$F$1203,$Z238-4000))+N(INDEX(客户自备加工筐明细!$G$4:$G$1203,$Z238-4000)),IF($Z238&lt;=5800,IF(INDEX(次果筐明细!$G$4:$G$603,$Z238-5200)=0,"",INDEX(次果筐明细!$G$4:$G$603,$Z238-5200)),"")))))</f>
        <v/>
      </c>
      <c r="I238" s="24" t="str">
        <f>IF($Z238="","",IF($Z238&lt;=2000,IF(INDEX(包装物料出入库明细!$G$4:$G$2003,$Z238-0)=0,"",INDEX(包装物料出入库明细!$G$4:$G$2003,$Z238-0)),IF($Z238&lt;=4000,"个",IF($Z238&lt;=5200,"个",IF($Z238&lt;=5800,"个","")))))</f>
        <v/>
      </c>
      <c r="J238" s="30" t="str">
        <f t="shared" si="10"/>
        <v/>
      </c>
      <c r="K238" s="30" t="str">
        <f>IF($Z238="","",IF($Z238&lt;=2000,IF(INDEX(包装物料出入库明细!$N$4:$N$2003,$Z238-0)=0,"",INDEX(包装物料出入库明细!$N$4:$N$2003,$Z238-0)),IF($Z238&lt;=4000,IF(INDEX(周转筐出入库明细!$P$4:$P$2004,$Z238-2000)=0,"",INDEX(周转筐出入库明细!$P$4:$P$2004,$Z238-2000)),IF($Z238&lt;=5200,"",IF($Z238&lt;=5800,N(INDEX(次果筐明细!$L$4:$L$603,$Z238-5200))+N(INDEX(次果筐明细!$J$4:$J$603,$Z238-5200)),"")))))</f>
        <v/>
      </c>
      <c r="L238" s="24" t="str">
        <f>IF($Z238="","",IF($Z238&lt;=2000,IF(INDEX(包装物料出入库明细!$P$4:$P$2003,$Z238-0)=0,"",INDEX(包装物料出入库明细!$P$4:$P$2003,$Z238-0)),IF($Z238&lt;=4000,IF(INDEX(周转筐出入库明细!$Q$4:$Q$2004,$Z238-2000)=0,"",INDEX(周转筐出入库明细!$Q$4:$Q$2004,$Z238-2000)),IF($Z238&lt;=5200,"",IF($Z238&lt;=5800,IF(INDEX(次果筐明细!$M$4:$M$603,$Z238-5200)=0,"",INDEX(次果筐明细!$M$4:$M$603,$Z238-5200)),"")))))</f>
        <v/>
      </c>
      <c r="M238" s="37" t="str">
        <f>IF($Z238="","",IF($Z238&lt;=2000,IF(INDEX(包装物料出入库明细!$R$4:$R$2003,$Z238-0)=0,"",INDEX(包装物料出入库明细!$R$4:$R$2003,$Z238-0)),IF($Z238&lt;=4000,IF(INDEX(周转筐出入库明细!$W$4:$W$2004,$Z238-2000)=0,"",INDEX(周转筐出入库明细!$W$4:$W$2004,$Z238-2000)),IF($Z238&lt;=5200,IF(INDEX(客户自备加工筐明细!$L$4:$L$1203,$Z238-4000)=0,"",INDEX(客户自备加工筐明细!$L$4:$L$1203,$Z238-4000)),IF($Z238&lt;=5800,IF(INDEX(次果筐明细!$P$4:$P$603,$Z238-5200)=0,"",INDEX(次果筐明细!$P$4:$P$603,$Z238-5200)),"")))))</f>
        <v/>
      </c>
      <c r="N238" s="16" t="str">
        <f>IF($Z238="","",IF($Z238&lt;=2000,"",IF($Z238&lt;=4000,IF(INDEX(周转筐出入库明细!$D$4:$D$2004,$Z238-2000)=0,"",INDEX(周转筐出入库明细!$D$4:$D$2004,$Z238-2000)),IF($Z238&lt;=5200,IF(INDEX(客户自备加工筐明细!$C$4:$C$1203,$Z238-4000)=0,"",INDEX(客户自备加工筐明细!$C$4:$C$1203,$Z238-4000)),IF($Z238&lt;=5800,IF(INDEX(次果筐明细!$D$4:$D$603,$Z238-5200)=0,"",INDEX(次果筐明细!$D$4:$D$603,$Z238-5200)),"")))))</f>
        <v/>
      </c>
      <c r="O238" s="40" t="str">
        <f>IF($Z238="","",IF($Z238&lt;=2000,"",IF($Z238&lt;=4000,IF(N(INDEX(周转筐出入库明细!$J$4:$J$2004,$Z238-2000))+N(INDEX(周转筐出入库明细!$K$4:$K$2004,$Z238-2000))=0,"",N(INDEX(周转筐出入库明细!$J$4:$J$2004,$Z238-2000))+N(INDEX(周转筐出入库明细!$K$4:$K$2004,$Z238-2000))),IF($Z238&lt;=5200,IF(N(INDEX(客户自备加工筐明细!$G$4:$G$1203,$Z238-4000))=0,"",N(INDEX(客户自备加工筐明细!$G$4:$G$1203,$Z238-4000))),IF($Z238&lt;=5800,IF(ISNUMBER(SEARCH("退",INDEX(次果筐明细!$F$4:$F$603,$Z238-5200)&amp;"")),"",IF(N(INDEX(次果筐明细!$G$4:$G$603,$Z238-5200))=0,"",N(INDEX(次果筐明细!$G$4:$G$603,$Z238-5200)))),"")))))</f>
        <v/>
      </c>
      <c r="P238" s="40" t="str">
        <f>IF($Z238="","",IF($Z238&lt;=2000,"",IF($Z238&lt;=4000,IF(N(INDEX(周转筐出入库明细!$I$4:$I$2004,$Z238-2000))=0,"",N(INDEX(周转筐出入库明细!$I$4:$I$2004,$Z238-2000))),IF($Z238&lt;=5200,"",IF($Z238&lt;=5800,IF(ISNUMBER(SEARCH("退",INDEX(次果筐明细!$F$4:$F$603,$Z238-5200)&amp;"")),IF(N(INDEX(次果筐明细!$G$4:$G$603,$Z238-5200))=0,"",N(INDEX(次果筐明细!$G$4:$G$603,$Z238-5200))),""),"")))))</f>
        <v/>
      </c>
      <c r="Q238" s="40" t="str">
        <f>IF($Z238="","",IF($Z238&lt;=2000,"",IF($Z238&lt;=4000,IF(N(INDEX(周转筐出入库明细!$H$4:$H$2004,$Z238-2000))=0,"",N(INDEX(周转筐出入库明细!$H$4:$H$2004,$Z238-2000))),IF($Z238&lt;=5200,IF(N(INDEX(客户自备加工筐明细!$F$4:$F$1203,$Z238-4000))=0,"",N(INDEX(客户自备加工筐明细!$F$4:$F$1203,$Z238-4000))),IF($Z238&lt;=5800,"","")))))</f>
        <v/>
      </c>
      <c r="R238" s="16" t="str">
        <f>IF($Z238="","",IF($Z238&lt;=2000,IF(INDEX(包装物料出入库明细!$O$4:$O$2003,$Z238-0)=0,"",INDEX(包装物料出入库明细!$O$4:$O$2003,$Z238-0)),IF($Z238&lt;=4000,IF(INDEX(周转筐出入库明细!$M$4:$M$2004,$Z238-2000)=0,"",INDEX(周转筐出入库明细!$M$4:$M$2004,$Z238-2000)),IF($Z238&lt;=5200,IF(INDEX(客户自备加工筐明细!$H$4:$H$1203,$Z238-4000)=0,"",INDEX(客户自备加工筐明细!$H$4:$H$1203,$Z238-4000)),IF($Z238&lt;=5800,IF(INDEX(次果筐明细!$H$4:$H$603,$Z238-5200)=0,"",INDEX(次果筐明细!$H$4:$H$603,$Z238-5200)),"")))))</f>
        <v/>
      </c>
      <c r="S238" s="22" t="str">
        <f t="shared" si="11"/>
        <v/>
      </c>
      <c r="Z238" s="10" t="str">
        <f>IFERROR(MATCH(ROW()-3,_自动清单!$CQ$4:$CQ$5803,0),"")</f>
        <v/>
      </c>
    </row>
    <row r="239" spans="1:26">
      <c r="A239" s="24" t="str">
        <f t="shared" si="9"/>
        <v/>
      </c>
      <c r="B239" s="38" t="str">
        <f>IF($Z239="","",IF($Z239&lt;=2000,IF(INDEX(包装物料出入库明细!$B$4:$B$2003,$Z239-0)=0,"",INDEX(包装物料出入库明细!$B$4:$B$2003,$Z239-0)),IF($Z239&lt;=4000,IF(INDEX(周转筐出入库明细!$B$4:$B$2004,$Z239-2000)=0,"",INDEX(周转筐出入库明细!$B$4:$B$2004,$Z239-2000)),IF($Z239&lt;=5200,IF(INDEX(客户自备加工筐明细!$B$4:$B$1203,$Z239-4000)=0,"",INDEX(客户自备加工筐明细!$B$4:$B$1203,$Z239-4000)),IF($Z239&lt;=5800,IF(INDEX(次果筐明细!$B$4:$B$603,$Z239-5200)=0,"",INDEX(次果筐明细!$B$4:$B$603,$Z239-5200)),"")))))</f>
        <v/>
      </c>
      <c r="C239" s="37" t="str">
        <f>IF($Z239="","",IF($Z239&lt;=2000,IF(INDEX(包装物料出入库明细!$D$4:$D$2003,$Z239-0)=0,"",INDEX(包装物料出入库明细!$D$4:$D$2003,$Z239-0)),IF($Z239&lt;=4000,IF(INDEX(周转筐出入库明细!$C$4:$C$2004,$Z239-2000)=0,"",INDEX(周转筐出入库明细!$C$4:$C$2004,$Z239-2000)),IF($Z239&lt;=5200,IF(INDEX(客户自备加工筐明细!$E$4:$E$1203,$Z239-4000)=0,"",INDEX(客户自备加工筐明细!$E$4:$E$1203,$Z239-4000)),IF($Z239&lt;=5800,IF(INDEX(次果筐明细!$C$4:$C$603,$Z239-5200)=0,"",INDEX(次果筐明细!$C$4:$C$603,$Z239-5200)),"")))))</f>
        <v/>
      </c>
      <c r="D239" s="37" t="str">
        <f>IF($Z239="","",IF($Z239&lt;=2000,"包装物料－"&amp;INDEX(包装物料出入库明细!$H$4:$H$2003,$Z239-0),IF($Z239&lt;=4000,"周转筐－"&amp;INDEX(周转筐出入库明细!$F$4:$F$2004,$Z239-2000),IF($Z239&lt;=5200,"客户自备筐－"&amp;INDEX(客户自备加工筐明细!$J$4:$J$1203,$Z239-4000),IF($Z239&lt;=5800,"次果筐/托盘－"&amp;INDEX(次果筐明细!$F$4:$F$603,$Z239-5200),"")))))</f>
        <v/>
      </c>
      <c r="E239" s="24" t="str">
        <f>IF($Z239="","",IF($Z239&lt;=2000,IF(INDEX(包装物料出入库明细!$C$4:$C$2003,$Z239-0)=0,"",INDEX(包装物料出入库明细!$C$4:$C$2003,$Z239-0)),IF($Z239&lt;=4000,IF(INDEX(周转筐出入库明细!$E$4:$E$2004,$Z239-2000)=0,"",INDEX(周转筐出入库明细!$E$4:$E$2004,$Z239-2000)),IF($Z239&lt;=5200,IF(INDEX(客户自备加工筐明细!$D$4:$D$1203,$Z239-4000)=0,"",INDEX(客户自备加工筐明细!$D$4:$D$1203,$Z239-4000)),IF($Z239&lt;=5800,IF(INDEX(次果筐明细!$E$4:$E$603,$Z239-5200)=0,"",INDEX(次果筐明细!$E$4:$E$603,$Z239-5200)),"")))))</f>
        <v/>
      </c>
      <c r="F239" s="24" t="str">
        <f>IF($Z239="","",IF($Z239&lt;=2000,IF(INDEX(包装物料出入库明细!$E$4:$E$2003,$Z239-0)=0,"",INDEX(包装物料出入库明细!$E$4:$E$2003,$Z239-0)),IF($Z239&lt;=4000,IF(INDEX(周转筐出入库明细!$D$4:$D$2004,$Z239-2000)=0,"",INDEX(周转筐出入库明细!$D$4:$D$2004,$Z239-2000)),IF($Z239&lt;=5200,IF(INDEX(客户自备加工筐明细!$C$4:$C$1203,$Z239-4000)=0,"",INDEX(客户自备加工筐明细!$C$4:$C$1203,$Z239-4000)),IF($Z239&lt;=5800,IF(INDEX(次果筐明细!$D$4:$D$603,$Z239-5200)=0,"",INDEX(次果筐明细!$D$4:$D$603,$Z239-5200)),"")))))</f>
        <v/>
      </c>
      <c r="G239" s="24" t="str">
        <f>IF($Z239="","",IF($Z239&lt;=2000,IF(INDEX(包装物料出入库明细!$F$4:$F$2003,$Z239-0)=0,"",INDEX(包装物料出入库明细!$F$4:$F$2003,$Z239-0)),IF($Z239&lt;=4000,"",IF($Z239&lt;=5200,"",IF($Z239&lt;=5800,"","")))))</f>
        <v/>
      </c>
      <c r="H239" s="39" t="str">
        <f>IF($Z239="","",IF($Z239&lt;=2000,IF(INDEX(包装物料出入库明细!$L$4:$L$2003,$Z239-0)=0,"",INDEX(包装物料出入库明细!$L$4:$L$2003,$Z239-0)),IF($Z239&lt;=4000,N(INDEX(周转筐出入库明细!$H$4:$H$2004,$Z239-2000))+N(INDEX(周转筐出入库明细!$I$4:$I$2004,$Z239-2000))+N(INDEX(周转筐出入库明细!$J$4:$J$2004,$Z239-2000))+N(INDEX(周转筐出入库明细!$K$4:$K$2004,$Z239-2000)),IF($Z239&lt;=5200,N(INDEX(客户自备加工筐明细!$F$4:$F$1203,$Z239-4000))+N(INDEX(客户自备加工筐明细!$G$4:$G$1203,$Z239-4000)),IF($Z239&lt;=5800,IF(INDEX(次果筐明细!$G$4:$G$603,$Z239-5200)=0,"",INDEX(次果筐明细!$G$4:$G$603,$Z239-5200)),"")))))</f>
        <v/>
      </c>
      <c r="I239" s="24" t="str">
        <f>IF($Z239="","",IF($Z239&lt;=2000,IF(INDEX(包装物料出入库明细!$G$4:$G$2003,$Z239-0)=0,"",INDEX(包装物料出入库明细!$G$4:$G$2003,$Z239-0)),IF($Z239&lt;=4000,"个",IF($Z239&lt;=5200,"个",IF($Z239&lt;=5800,"个","")))))</f>
        <v/>
      </c>
      <c r="J239" s="30" t="str">
        <f t="shared" si="10"/>
        <v/>
      </c>
      <c r="K239" s="30" t="str">
        <f>IF($Z239="","",IF($Z239&lt;=2000,IF(INDEX(包装物料出入库明细!$N$4:$N$2003,$Z239-0)=0,"",INDEX(包装物料出入库明细!$N$4:$N$2003,$Z239-0)),IF($Z239&lt;=4000,IF(INDEX(周转筐出入库明细!$P$4:$P$2004,$Z239-2000)=0,"",INDEX(周转筐出入库明细!$P$4:$P$2004,$Z239-2000)),IF($Z239&lt;=5200,"",IF($Z239&lt;=5800,N(INDEX(次果筐明细!$L$4:$L$603,$Z239-5200))+N(INDEX(次果筐明细!$J$4:$J$603,$Z239-5200)),"")))))</f>
        <v/>
      </c>
      <c r="L239" s="24" t="str">
        <f>IF($Z239="","",IF($Z239&lt;=2000,IF(INDEX(包装物料出入库明细!$P$4:$P$2003,$Z239-0)=0,"",INDEX(包装物料出入库明细!$P$4:$P$2003,$Z239-0)),IF($Z239&lt;=4000,IF(INDEX(周转筐出入库明细!$Q$4:$Q$2004,$Z239-2000)=0,"",INDEX(周转筐出入库明细!$Q$4:$Q$2004,$Z239-2000)),IF($Z239&lt;=5200,"",IF($Z239&lt;=5800,IF(INDEX(次果筐明细!$M$4:$M$603,$Z239-5200)=0,"",INDEX(次果筐明细!$M$4:$M$603,$Z239-5200)),"")))))</f>
        <v/>
      </c>
      <c r="M239" s="37" t="str">
        <f>IF($Z239="","",IF($Z239&lt;=2000,IF(INDEX(包装物料出入库明细!$R$4:$R$2003,$Z239-0)=0,"",INDEX(包装物料出入库明细!$R$4:$R$2003,$Z239-0)),IF($Z239&lt;=4000,IF(INDEX(周转筐出入库明细!$W$4:$W$2004,$Z239-2000)=0,"",INDEX(周转筐出入库明细!$W$4:$W$2004,$Z239-2000)),IF($Z239&lt;=5200,IF(INDEX(客户自备加工筐明细!$L$4:$L$1203,$Z239-4000)=0,"",INDEX(客户自备加工筐明细!$L$4:$L$1203,$Z239-4000)),IF($Z239&lt;=5800,IF(INDEX(次果筐明细!$P$4:$P$603,$Z239-5200)=0,"",INDEX(次果筐明细!$P$4:$P$603,$Z239-5200)),"")))))</f>
        <v/>
      </c>
      <c r="N239" s="16" t="str">
        <f>IF($Z239="","",IF($Z239&lt;=2000,"",IF($Z239&lt;=4000,IF(INDEX(周转筐出入库明细!$D$4:$D$2004,$Z239-2000)=0,"",INDEX(周转筐出入库明细!$D$4:$D$2004,$Z239-2000)),IF($Z239&lt;=5200,IF(INDEX(客户自备加工筐明细!$C$4:$C$1203,$Z239-4000)=0,"",INDEX(客户自备加工筐明细!$C$4:$C$1203,$Z239-4000)),IF($Z239&lt;=5800,IF(INDEX(次果筐明细!$D$4:$D$603,$Z239-5200)=0,"",INDEX(次果筐明细!$D$4:$D$603,$Z239-5200)),"")))))</f>
        <v/>
      </c>
      <c r="O239" s="40" t="str">
        <f>IF($Z239="","",IF($Z239&lt;=2000,"",IF($Z239&lt;=4000,IF(N(INDEX(周转筐出入库明细!$J$4:$J$2004,$Z239-2000))+N(INDEX(周转筐出入库明细!$K$4:$K$2004,$Z239-2000))=0,"",N(INDEX(周转筐出入库明细!$J$4:$J$2004,$Z239-2000))+N(INDEX(周转筐出入库明细!$K$4:$K$2004,$Z239-2000))),IF($Z239&lt;=5200,IF(N(INDEX(客户自备加工筐明细!$G$4:$G$1203,$Z239-4000))=0,"",N(INDEX(客户自备加工筐明细!$G$4:$G$1203,$Z239-4000))),IF($Z239&lt;=5800,IF(ISNUMBER(SEARCH("退",INDEX(次果筐明细!$F$4:$F$603,$Z239-5200)&amp;"")),"",IF(N(INDEX(次果筐明细!$G$4:$G$603,$Z239-5200))=0,"",N(INDEX(次果筐明细!$G$4:$G$603,$Z239-5200)))),"")))))</f>
        <v/>
      </c>
      <c r="P239" s="40" t="str">
        <f>IF($Z239="","",IF($Z239&lt;=2000,"",IF($Z239&lt;=4000,IF(N(INDEX(周转筐出入库明细!$I$4:$I$2004,$Z239-2000))=0,"",N(INDEX(周转筐出入库明细!$I$4:$I$2004,$Z239-2000))),IF($Z239&lt;=5200,"",IF($Z239&lt;=5800,IF(ISNUMBER(SEARCH("退",INDEX(次果筐明细!$F$4:$F$603,$Z239-5200)&amp;"")),IF(N(INDEX(次果筐明细!$G$4:$G$603,$Z239-5200))=0,"",N(INDEX(次果筐明细!$G$4:$G$603,$Z239-5200))),""),"")))))</f>
        <v/>
      </c>
      <c r="Q239" s="40" t="str">
        <f>IF($Z239="","",IF($Z239&lt;=2000,"",IF($Z239&lt;=4000,IF(N(INDEX(周转筐出入库明细!$H$4:$H$2004,$Z239-2000))=0,"",N(INDEX(周转筐出入库明细!$H$4:$H$2004,$Z239-2000))),IF($Z239&lt;=5200,IF(N(INDEX(客户自备加工筐明细!$F$4:$F$1203,$Z239-4000))=0,"",N(INDEX(客户自备加工筐明细!$F$4:$F$1203,$Z239-4000))),IF($Z239&lt;=5800,"","")))))</f>
        <v/>
      </c>
      <c r="R239" s="16" t="str">
        <f>IF($Z239="","",IF($Z239&lt;=2000,IF(INDEX(包装物料出入库明细!$O$4:$O$2003,$Z239-0)=0,"",INDEX(包装物料出入库明细!$O$4:$O$2003,$Z239-0)),IF($Z239&lt;=4000,IF(INDEX(周转筐出入库明细!$M$4:$M$2004,$Z239-2000)=0,"",INDEX(周转筐出入库明细!$M$4:$M$2004,$Z239-2000)),IF($Z239&lt;=5200,IF(INDEX(客户自备加工筐明细!$H$4:$H$1203,$Z239-4000)=0,"",INDEX(客户自备加工筐明细!$H$4:$H$1203,$Z239-4000)),IF($Z239&lt;=5800,IF(INDEX(次果筐明细!$H$4:$H$603,$Z239-5200)=0,"",INDEX(次果筐明细!$H$4:$H$603,$Z239-5200)),"")))))</f>
        <v/>
      </c>
      <c r="S239" s="22" t="str">
        <f t="shared" si="11"/>
        <v/>
      </c>
      <c r="Z239" s="10" t="str">
        <f>IFERROR(MATCH(ROW()-3,_自动清单!$CQ$4:$CQ$5803,0),"")</f>
        <v/>
      </c>
    </row>
    <row r="240" spans="1:26">
      <c r="A240" s="24" t="str">
        <f t="shared" si="9"/>
        <v/>
      </c>
      <c r="B240" s="38" t="str">
        <f>IF($Z240="","",IF($Z240&lt;=2000,IF(INDEX(包装物料出入库明细!$B$4:$B$2003,$Z240-0)=0,"",INDEX(包装物料出入库明细!$B$4:$B$2003,$Z240-0)),IF($Z240&lt;=4000,IF(INDEX(周转筐出入库明细!$B$4:$B$2004,$Z240-2000)=0,"",INDEX(周转筐出入库明细!$B$4:$B$2004,$Z240-2000)),IF($Z240&lt;=5200,IF(INDEX(客户自备加工筐明细!$B$4:$B$1203,$Z240-4000)=0,"",INDEX(客户自备加工筐明细!$B$4:$B$1203,$Z240-4000)),IF($Z240&lt;=5800,IF(INDEX(次果筐明细!$B$4:$B$603,$Z240-5200)=0,"",INDEX(次果筐明细!$B$4:$B$603,$Z240-5200)),"")))))</f>
        <v/>
      </c>
      <c r="C240" s="37" t="str">
        <f>IF($Z240="","",IF($Z240&lt;=2000,IF(INDEX(包装物料出入库明细!$D$4:$D$2003,$Z240-0)=0,"",INDEX(包装物料出入库明细!$D$4:$D$2003,$Z240-0)),IF($Z240&lt;=4000,IF(INDEX(周转筐出入库明细!$C$4:$C$2004,$Z240-2000)=0,"",INDEX(周转筐出入库明细!$C$4:$C$2004,$Z240-2000)),IF($Z240&lt;=5200,IF(INDEX(客户自备加工筐明细!$E$4:$E$1203,$Z240-4000)=0,"",INDEX(客户自备加工筐明细!$E$4:$E$1203,$Z240-4000)),IF($Z240&lt;=5800,IF(INDEX(次果筐明细!$C$4:$C$603,$Z240-5200)=0,"",INDEX(次果筐明细!$C$4:$C$603,$Z240-5200)),"")))))</f>
        <v/>
      </c>
      <c r="D240" s="37" t="str">
        <f>IF($Z240="","",IF($Z240&lt;=2000,"包装物料－"&amp;INDEX(包装物料出入库明细!$H$4:$H$2003,$Z240-0),IF($Z240&lt;=4000,"周转筐－"&amp;INDEX(周转筐出入库明细!$F$4:$F$2004,$Z240-2000),IF($Z240&lt;=5200,"客户自备筐－"&amp;INDEX(客户自备加工筐明细!$J$4:$J$1203,$Z240-4000),IF($Z240&lt;=5800,"次果筐/托盘－"&amp;INDEX(次果筐明细!$F$4:$F$603,$Z240-5200),"")))))</f>
        <v/>
      </c>
      <c r="E240" s="24" t="str">
        <f>IF($Z240="","",IF($Z240&lt;=2000,IF(INDEX(包装物料出入库明细!$C$4:$C$2003,$Z240-0)=0,"",INDEX(包装物料出入库明细!$C$4:$C$2003,$Z240-0)),IF($Z240&lt;=4000,IF(INDEX(周转筐出入库明细!$E$4:$E$2004,$Z240-2000)=0,"",INDEX(周转筐出入库明细!$E$4:$E$2004,$Z240-2000)),IF($Z240&lt;=5200,IF(INDEX(客户自备加工筐明细!$D$4:$D$1203,$Z240-4000)=0,"",INDEX(客户自备加工筐明细!$D$4:$D$1203,$Z240-4000)),IF($Z240&lt;=5800,IF(INDEX(次果筐明细!$E$4:$E$603,$Z240-5200)=0,"",INDEX(次果筐明细!$E$4:$E$603,$Z240-5200)),"")))))</f>
        <v/>
      </c>
      <c r="F240" s="24" t="str">
        <f>IF($Z240="","",IF($Z240&lt;=2000,IF(INDEX(包装物料出入库明细!$E$4:$E$2003,$Z240-0)=0,"",INDEX(包装物料出入库明细!$E$4:$E$2003,$Z240-0)),IF($Z240&lt;=4000,IF(INDEX(周转筐出入库明细!$D$4:$D$2004,$Z240-2000)=0,"",INDEX(周转筐出入库明细!$D$4:$D$2004,$Z240-2000)),IF($Z240&lt;=5200,IF(INDEX(客户自备加工筐明细!$C$4:$C$1203,$Z240-4000)=0,"",INDEX(客户自备加工筐明细!$C$4:$C$1203,$Z240-4000)),IF($Z240&lt;=5800,IF(INDEX(次果筐明细!$D$4:$D$603,$Z240-5200)=0,"",INDEX(次果筐明细!$D$4:$D$603,$Z240-5200)),"")))))</f>
        <v/>
      </c>
      <c r="G240" s="24" t="str">
        <f>IF($Z240="","",IF($Z240&lt;=2000,IF(INDEX(包装物料出入库明细!$F$4:$F$2003,$Z240-0)=0,"",INDEX(包装物料出入库明细!$F$4:$F$2003,$Z240-0)),IF($Z240&lt;=4000,"",IF($Z240&lt;=5200,"",IF($Z240&lt;=5800,"","")))))</f>
        <v/>
      </c>
      <c r="H240" s="39" t="str">
        <f>IF($Z240="","",IF($Z240&lt;=2000,IF(INDEX(包装物料出入库明细!$L$4:$L$2003,$Z240-0)=0,"",INDEX(包装物料出入库明细!$L$4:$L$2003,$Z240-0)),IF($Z240&lt;=4000,N(INDEX(周转筐出入库明细!$H$4:$H$2004,$Z240-2000))+N(INDEX(周转筐出入库明细!$I$4:$I$2004,$Z240-2000))+N(INDEX(周转筐出入库明细!$J$4:$J$2004,$Z240-2000))+N(INDEX(周转筐出入库明细!$K$4:$K$2004,$Z240-2000)),IF($Z240&lt;=5200,N(INDEX(客户自备加工筐明细!$F$4:$F$1203,$Z240-4000))+N(INDEX(客户自备加工筐明细!$G$4:$G$1203,$Z240-4000)),IF($Z240&lt;=5800,IF(INDEX(次果筐明细!$G$4:$G$603,$Z240-5200)=0,"",INDEX(次果筐明细!$G$4:$G$603,$Z240-5200)),"")))))</f>
        <v/>
      </c>
      <c r="I240" s="24" t="str">
        <f>IF($Z240="","",IF($Z240&lt;=2000,IF(INDEX(包装物料出入库明细!$G$4:$G$2003,$Z240-0)=0,"",INDEX(包装物料出入库明细!$G$4:$G$2003,$Z240-0)),IF($Z240&lt;=4000,"个",IF($Z240&lt;=5200,"个",IF($Z240&lt;=5800,"个","")))))</f>
        <v/>
      </c>
      <c r="J240" s="30" t="str">
        <f t="shared" si="10"/>
        <v/>
      </c>
      <c r="K240" s="30" t="str">
        <f>IF($Z240="","",IF($Z240&lt;=2000,IF(INDEX(包装物料出入库明细!$N$4:$N$2003,$Z240-0)=0,"",INDEX(包装物料出入库明细!$N$4:$N$2003,$Z240-0)),IF($Z240&lt;=4000,IF(INDEX(周转筐出入库明细!$P$4:$P$2004,$Z240-2000)=0,"",INDEX(周转筐出入库明细!$P$4:$P$2004,$Z240-2000)),IF($Z240&lt;=5200,"",IF($Z240&lt;=5800,N(INDEX(次果筐明细!$L$4:$L$603,$Z240-5200))+N(INDEX(次果筐明细!$J$4:$J$603,$Z240-5200)),"")))))</f>
        <v/>
      </c>
      <c r="L240" s="24" t="str">
        <f>IF($Z240="","",IF($Z240&lt;=2000,IF(INDEX(包装物料出入库明细!$P$4:$P$2003,$Z240-0)=0,"",INDEX(包装物料出入库明细!$P$4:$P$2003,$Z240-0)),IF($Z240&lt;=4000,IF(INDEX(周转筐出入库明细!$Q$4:$Q$2004,$Z240-2000)=0,"",INDEX(周转筐出入库明细!$Q$4:$Q$2004,$Z240-2000)),IF($Z240&lt;=5200,"",IF($Z240&lt;=5800,IF(INDEX(次果筐明细!$M$4:$M$603,$Z240-5200)=0,"",INDEX(次果筐明细!$M$4:$M$603,$Z240-5200)),"")))))</f>
        <v/>
      </c>
      <c r="M240" s="37" t="str">
        <f>IF($Z240="","",IF($Z240&lt;=2000,IF(INDEX(包装物料出入库明细!$R$4:$R$2003,$Z240-0)=0,"",INDEX(包装物料出入库明细!$R$4:$R$2003,$Z240-0)),IF($Z240&lt;=4000,IF(INDEX(周转筐出入库明细!$W$4:$W$2004,$Z240-2000)=0,"",INDEX(周转筐出入库明细!$W$4:$W$2004,$Z240-2000)),IF($Z240&lt;=5200,IF(INDEX(客户自备加工筐明细!$L$4:$L$1203,$Z240-4000)=0,"",INDEX(客户自备加工筐明细!$L$4:$L$1203,$Z240-4000)),IF($Z240&lt;=5800,IF(INDEX(次果筐明细!$P$4:$P$603,$Z240-5200)=0,"",INDEX(次果筐明细!$P$4:$P$603,$Z240-5200)),"")))))</f>
        <v/>
      </c>
      <c r="N240" s="16" t="str">
        <f>IF($Z240="","",IF($Z240&lt;=2000,"",IF($Z240&lt;=4000,IF(INDEX(周转筐出入库明细!$D$4:$D$2004,$Z240-2000)=0,"",INDEX(周转筐出入库明细!$D$4:$D$2004,$Z240-2000)),IF($Z240&lt;=5200,IF(INDEX(客户自备加工筐明细!$C$4:$C$1203,$Z240-4000)=0,"",INDEX(客户自备加工筐明细!$C$4:$C$1203,$Z240-4000)),IF($Z240&lt;=5800,IF(INDEX(次果筐明细!$D$4:$D$603,$Z240-5200)=0,"",INDEX(次果筐明细!$D$4:$D$603,$Z240-5200)),"")))))</f>
        <v/>
      </c>
      <c r="O240" s="40" t="str">
        <f>IF($Z240="","",IF($Z240&lt;=2000,"",IF($Z240&lt;=4000,IF(N(INDEX(周转筐出入库明细!$J$4:$J$2004,$Z240-2000))+N(INDEX(周转筐出入库明细!$K$4:$K$2004,$Z240-2000))=0,"",N(INDEX(周转筐出入库明细!$J$4:$J$2004,$Z240-2000))+N(INDEX(周转筐出入库明细!$K$4:$K$2004,$Z240-2000))),IF($Z240&lt;=5200,IF(N(INDEX(客户自备加工筐明细!$G$4:$G$1203,$Z240-4000))=0,"",N(INDEX(客户自备加工筐明细!$G$4:$G$1203,$Z240-4000))),IF($Z240&lt;=5800,IF(ISNUMBER(SEARCH("退",INDEX(次果筐明细!$F$4:$F$603,$Z240-5200)&amp;"")),"",IF(N(INDEX(次果筐明细!$G$4:$G$603,$Z240-5200))=0,"",N(INDEX(次果筐明细!$G$4:$G$603,$Z240-5200)))),"")))))</f>
        <v/>
      </c>
      <c r="P240" s="40" t="str">
        <f>IF($Z240="","",IF($Z240&lt;=2000,"",IF($Z240&lt;=4000,IF(N(INDEX(周转筐出入库明细!$I$4:$I$2004,$Z240-2000))=0,"",N(INDEX(周转筐出入库明细!$I$4:$I$2004,$Z240-2000))),IF($Z240&lt;=5200,"",IF($Z240&lt;=5800,IF(ISNUMBER(SEARCH("退",INDEX(次果筐明细!$F$4:$F$603,$Z240-5200)&amp;"")),IF(N(INDEX(次果筐明细!$G$4:$G$603,$Z240-5200))=0,"",N(INDEX(次果筐明细!$G$4:$G$603,$Z240-5200))),""),"")))))</f>
        <v/>
      </c>
      <c r="Q240" s="40" t="str">
        <f>IF($Z240="","",IF($Z240&lt;=2000,"",IF($Z240&lt;=4000,IF(N(INDEX(周转筐出入库明细!$H$4:$H$2004,$Z240-2000))=0,"",N(INDEX(周转筐出入库明细!$H$4:$H$2004,$Z240-2000))),IF($Z240&lt;=5200,IF(N(INDEX(客户自备加工筐明细!$F$4:$F$1203,$Z240-4000))=0,"",N(INDEX(客户自备加工筐明细!$F$4:$F$1203,$Z240-4000))),IF($Z240&lt;=5800,"","")))))</f>
        <v/>
      </c>
      <c r="R240" s="16" t="str">
        <f>IF($Z240="","",IF($Z240&lt;=2000,IF(INDEX(包装物料出入库明细!$O$4:$O$2003,$Z240-0)=0,"",INDEX(包装物料出入库明细!$O$4:$O$2003,$Z240-0)),IF($Z240&lt;=4000,IF(INDEX(周转筐出入库明细!$M$4:$M$2004,$Z240-2000)=0,"",INDEX(周转筐出入库明细!$M$4:$M$2004,$Z240-2000)),IF($Z240&lt;=5200,IF(INDEX(客户自备加工筐明细!$H$4:$H$1203,$Z240-4000)=0,"",INDEX(客户自备加工筐明细!$H$4:$H$1203,$Z240-4000)),IF($Z240&lt;=5800,IF(INDEX(次果筐明细!$H$4:$H$603,$Z240-5200)=0,"",INDEX(次果筐明细!$H$4:$H$603,$Z240-5200)),"")))))</f>
        <v/>
      </c>
      <c r="S240" s="22" t="str">
        <f t="shared" si="11"/>
        <v/>
      </c>
      <c r="Z240" s="10" t="str">
        <f>IFERROR(MATCH(ROW()-3,_自动清单!$CQ$4:$CQ$5803,0),"")</f>
        <v/>
      </c>
    </row>
    <row r="241" spans="1:26">
      <c r="A241" s="24" t="str">
        <f t="shared" si="9"/>
        <v/>
      </c>
      <c r="B241" s="38" t="str">
        <f>IF($Z241="","",IF($Z241&lt;=2000,IF(INDEX(包装物料出入库明细!$B$4:$B$2003,$Z241-0)=0,"",INDEX(包装物料出入库明细!$B$4:$B$2003,$Z241-0)),IF($Z241&lt;=4000,IF(INDEX(周转筐出入库明细!$B$4:$B$2004,$Z241-2000)=0,"",INDEX(周转筐出入库明细!$B$4:$B$2004,$Z241-2000)),IF($Z241&lt;=5200,IF(INDEX(客户自备加工筐明细!$B$4:$B$1203,$Z241-4000)=0,"",INDEX(客户自备加工筐明细!$B$4:$B$1203,$Z241-4000)),IF($Z241&lt;=5800,IF(INDEX(次果筐明细!$B$4:$B$603,$Z241-5200)=0,"",INDEX(次果筐明细!$B$4:$B$603,$Z241-5200)),"")))))</f>
        <v/>
      </c>
      <c r="C241" s="37" t="str">
        <f>IF($Z241="","",IF($Z241&lt;=2000,IF(INDEX(包装物料出入库明细!$D$4:$D$2003,$Z241-0)=0,"",INDEX(包装物料出入库明细!$D$4:$D$2003,$Z241-0)),IF($Z241&lt;=4000,IF(INDEX(周转筐出入库明细!$C$4:$C$2004,$Z241-2000)=0,"",INDEX(周转筐出入库明细!$C$4:$C$2004,$Z241-2000)),IF($Z241&lt;=5200,IF(INDEX(客户自备加工筐明细!$E$4:$E$1203,$Z241-4000)=0,"",INDEX(客户自备加工筐明细!$E$4:$E$1203,$Z241-4000)),IF($Z241&lt;=5800,IF(INDEX(次果筐明细!$C$4:$C$603,$Z241-5200)=0,"",INDEX(次果筐明细!$C$4:$C$603,$Z241-5200)),"")))))</f>
        <v/>
      </c>
      <c r="D241" s="37" t="str">
        <f>IF($Z241="","",IF($Z241&lt;=2000,"包装物料－"&amp;INDEX(包装物料出入库明细!$H$4:$H$2003,$Z241-0),IF($Z241&lt;=4000,"周转筐－"&amp;INDEX(周转筐出入库明细!$F$4:$F$2004,$Z241-2000),IF($Z241&lt;=5200,"客户自备筐－"&amp;INDEX(客户自备加工筐明细!$J$4:$J$1203,$Z241-4000),IF($Z241&lt;=5800,"次果筐/托盘－"&amp;INDEX(次果筐明细!$F$4:$F$603,$Z241-5200),"")))))</f>
        <v/>
      </c>
      <c r="E241" s="24" t="str">
        <f>IF($Z241="","",IF($Z241&lt;=2000,IF(INDEX(包装物料出入库明细!$C$4:$C$2003,$Z241-0)=0,"",INDEX(包装物料出入库明细!$C$4:$C$2003,$Z241-0)),IF($Z241&lt;=4000,IF(INDEX(周转筐出入库明细!$E$4:$E$2004,$Z241-2000)=0,"",INDEX(周转筐出入库明细!$E$4:$E$2004,$Z241-2000)),IF($Z241&lt;=5200,IF(INDEX(客户自备加工筐明细!$D$4:$D$1203,$Z241-4000)=0,"",INDEX(客户自备加工筐明细!$D$4:$D$1203,$Z241-4000)),IF($Z241&lt;=5800,IF(INDEX(次果筐明细!$E$4:$E$603,$Z241-5200)=0,"",INDEX(次果筐明细!$E$4:$E$603,$Z241-5200)),"")))))</f>
        <v/>
      </c>
      <c r="F241" s="24" t="str">
        <f>IF($Z241="","",IF($Z241&lt;=2000,IF(INDEX(包装物料出入库明细!$E$4:$E$2003,$Z241-0)=0,"",INDEX(包装物料出入库明细!$E$4:$E$2003,$Z241-0)),IF($Z241&lt;=4000,IF(INDEX(周转筐出入库明细!$D$4:$D$2004,$Z241-2000)=0,"",INDEX(周转筐出入库明细!$D$4:$D$2004,$Z241-2000)),IF($Z241&lt;=5200,IF(INDEX(客户自备加工筐明细!$C$4:$C$1203,$Z241-4000)=0,"",INDEX(客户自备加工筐明细!$C$4:$C$1203,$Z241-4000)),IF($Z241&lt;=5800,IF(INDEX(次果筐明细!$D$4:$D$603,$Z241-5200)=0,"",INDEX(次果筐明细!$D$4:$D$603,$Z241-5200)),"")))))</f>
        <v/>
      </c>
      <c r="G241" s="24" t="str">
        <f>IF($Z241="","",IF($Z241&lt;=2000,IF(INDEX(包装物料出入库明细!$F$4:$F$2003,$Z241-0)=0,"",INDEX(包装物料出入库明细!$F$4:$F$2003,$Z241-0)),IF($Z241&lt;=4000,"",IF($Z241&lt;=5200,"",IF($Z241&lt;=5800,"","")))))</f>
        <v/>
      </c>
      <c r="H241" s="39" t="str">
        <f>IF($Z241="","",IF($Z241&lt;=2000,IF(INDEX(包装物料出入库明细!$L$4:$L$2003,$Z241-0)=0,"",INDEX(包装物料出入库明细!$L$4:$L$2003,$Z241-0)),IF($Z241&lt;=4000,N(INDEX(周转筐出入库明细!$H$4:$H$2004,$Z241-2000))+N(INDEX(周转筐出入库明细!$I$4:$I$2004,$Z241-2000))+N(INDEX(周转筐出入库明细!$J$4:$J$2004,$Z241-2000))+N(INDEX(周转筐出入库明细!$K$4:$K$2004,$Z241-2000)),IF($Z241&lt;=5200,N(INDEX(客户自备加工筐明细!$F$4:$F$1203,$Z241-4000))+N(INDEX(客户自备加工筐明细!$G$4:$G$1203,$Z241-4000)),IF($Z241&lt;=5800,IF(INDEX(次果筐明细!$G$4:$G$603,$Z241-5200)=0,"",INDEX(次果筐明细!$G$4:$G$603,$Z241-5200)),"")))))</f>
        <v/>
      </c>
      <c r="I241" s="24" t="str">
        <f>IF($Z241="","",IF($Z241&lt;=2000,IF(INDEX(包装物料出入库明细!$G$4:$G$2003,$Z241-0)=0,"",INDEX(包装物料出入库明细!$G$4:$G$2003,$Z241-0)),IF($Z241&lt;=4000,"个",IF($Z241&lt;=5200,"个",IF($Z241&lt;=5800,"个","")))))</f>
        <v/>
      </c>
      <c r="J241" s="30" t="str">
        <f t="shared" si="10"/>
        <v/>
      </c>
      <c r="K241" s="30" t="str">
        <f>IF($Z241="","",IF($Z241&lt;=2000,IF(INDEX(包装物料出入库明细!$N$4:$N$2003,$Z241-0)=0,"",INDEX(包装物料出入库明细!$N$4:$N$2003,$Z241-0)),IF($Z241&lt;=4000,IF(INDEX(周转筐出入库明细!$P$4:$P$2004,$Z241-2000)=0,"",INDEX(周转筐出入库明细!$P$4:$P$2004,$Z241-2000)),IF($Z241&lt;=5200,"",IF($Z241&lt;=5800,N(INDEX(次果筐明细!$L$4:$L$603,$Z241-5200))+N(INDEX(次果筐明细!$J$4:$J$603,$Z241-5200)),"")))))</f>
        <v/>
      </c>
      <c r="L241" s="24" t="str">
        <f>IF($Z241="","",IF($Z241&lt;=2000,IF(INDEX(包装物料出入库明细!$P$4:$P$2003,$Z241-0)=0,"",INDEX(包装物料出入库明细!$P$4:$P$2003,$Z241-0)),IF($Z241&lt;=4000,IF(INDEX(周转筐出入库明细!$Q$4:$Q$2004,$Z241-2000)=0,"",INDEX(周转筐出入库明细!$Q$4:$Q$2004,$Z241-2000)),IF($Z241&lt;=5200,"",IF($Z241&lt;=5800,IF(INDEX(次果筐明细!$M$4:$M$603,$Z241-5200)=0,"",INDEX(次果筐明细!$M$4:$M$603,$Z241-5200)),"")))))</f>
        <v/>
      </c>
      <c r="M241" s="37" t="str">
        <f>IF($Z241="","",IF($Z241&lt;=2000,IF(INDEX(包装物料出入库明细!$R$4:$R$2003,$Z241-0)=0,"",INDEX(包装物料出入库明细!$R$4:$R$2003,$Z241-0)),IF($Z241&lt;=4000,IF(INDEX(周转筐出入库明细!$W$4:$W$2004,$Z241-2000)=0,"",INDEX(周转筐出入库明细!$W$4:$W$2004,$Z241-2000)),IF($Z241&lt;=5200,IF(INDEX(客户自备加工筐明细!$L$4:$L$1203,$Z241-4000)=0,"",INDEX(客户自备加工筐明细!$L$4:$L$1203,$Z241-4000)),IF($Z241&lt;=5800,IF(INDEX(次果筐明细!$P$4:$P$603,$Z241-5200)=0,"",INDEX(次果筐明细!$P$4:$P$603,$Z241-5200)),"")))))</f>
        <v/>
      </c>
      <c r="N241" s="16" t="str">
        <f>IF($Z241="","",IF($Z241&lt;=2000,"",IF($Z241&lt;=4000,IF(INDEX(周转筐出入库明细!$D$4:$D$2004,$Z241-2000)=0,"",INDEX(周转筐出入库明细!$D$4:$D$2004,$Z241-2000)),IF($Z241&lt;=5200,IF(INDEX(客户自备加工筐明细!$C$4:$C$1203,$Z241-4000)=0,"",INDEX(客户自备加工筐明细!$C$4:$C$1203,$Z241-4000)),IF($Z241&lt;=5800,IF(INDEX(次果筐明细!$D$4:$D$603,$Z241-5200)=0,"",INDEX(次果筐明细!$D$4:$D$603,$Z241-5200)),"")))))</f>
        <v/>
      </c>
      <c r="O241" s="40" t="str">
        <f>IF($Z241="","",IF($Z241&lt;=2000,"",IF($Z241&lt;=4000,IF(N(INDEX(周转筐出入库明细!$J$4:$J$2004,$Z241-2000))+N(INDEX(周转筐出入库明细!$K$4:$K$2004,$Z241-2000))=0,"",N(INDEX(周转筐出入库明细!$J$4:$J$2004,$Z241-2000))+N(INDEX(周转筐出入库明细!$K$4:$K$2004,$Z241-2000))),IF($Z241&lt;=5200,IF(N(INDEX(客户自备加工筐明细!$G$4:$G$1203,$Z241-4000))=0,"",N(INDEX(客户自备加工筐明细!$G$4:$G$1203,$Z241-4000))),IF($Z241&lt;=5800,IF(ISNUMBER(SEARCH("退",INDEX(次果筐明细!$F$4:$F$603,$Z241-5200)&amp;"")),"",IF(N(INDEX(次果筐明细!$G$4:$G$603,$Z241-5200))=0,"",N(INDEX(次果筐明细!$G$4:$G$603,$Z241-5200)))),"")))))</f>
        <v/>
      </c>
      <c r="P241" s="40" t="str">
        <f>IF($Z241="","",IF($Z241&lt;=2000,"",IF($Z241&lt;=4000,IF(N(INDEX(周转筐出入库明细!$I$4:$I$2004,$Z241-2000))=0,"",N(INDEX(周转筐出入库明细!$I$4:$I$2004,$Z241-2000))),IF($Z241&lt;=5200,"",IF($Z241&lt;=5800,IF(ISNUMBER(SEARCH("退",INDEX(次果筐明细!$F$4:$F$603,$Z241-5200)&amp;"")),IF(N(INDEX(次果筐明细!$G$4:$G$603,$Z241-5200))=0,"",N(INDEX(次果筐明细!$G$4:$G$603,$Z241-5200))),""),"")))))</f>
        <v/>
      </c>
      <c r="Q241" s="40" t="str">
        <f>IF($Z241="","",IF($Z241&lt;=2000,"",IF($Z241&lt;=4000,IF(N(INDEX(周转筐出入库明细!$H$4:$H$2004,$Z241-2000))=0,"",N(INDEX(周转筐出入库明细!$H$4:$H$2004,$Z241-2000))),IF($Z241&lt;=5200,IF(N(INDEX(客户自备加工筐明细!$F$4:$F$1203,$Z241-4000))=0,"",N(INDEX(客户自备加工筐明细!$F$4:$F$1203,$Z241-4000))),IF($Z241&lt;=5800,"","")))))</f>
        <v/>
      </c>
      <c r="R241" s="16" t="str">
        <f>IF($Z241="","",IF($Z241&lt;=2000,IF(INDEX(包装物料出入库明细!$O$4:$O$2003,$Z241-0)=0,"",INDEX(包装物料出入库明细!$O$4:$O$2003,$Z241-0)),IF($Z241&lt;=4000,IF(INDEX(周转筐出入库明细!$M$4:$M$2004,$Z241-2000)=0,"",INDEX(周转筐出入库明细!$M$4:$M$2004,$Z241-2000)),IF($Z241&lt;=5200,IF(INDEX(客户自备加工筐明细!$H$4:$H$1203,$Z241-4000)=0,"",INDEX(客户自备加工筐明细!$H$4:$H$1203,$Z241-4000)),IF($Z241&lt;=5800,IF(INDEX(次果筐明细!$H$4:$H$603,$Z241-5200)=0,"",INDEX(次果筐明细!$H$4:$H$603,$Z241-5200)),"")))))</f>
        <v/>
      </c>
      <c r="S241" s="22" t="str">
        <f t="shared" si="11"/>
        <v/>
      </c>
      <c r="Z241" s="10" t="str">
        <f>IFERROR(MATCH(ROW()-3,_自动清单!$CQ$4:$CQ$5803,0),"")</f>
        <v/>
      </c>
    </row>
    <row r="242" spans="1:26">
      <c r="A242" s="24" t="str">
        <f t="shared" si="9"/>
        <v/>
      </c>
      <c r="B242" s="38" t="str">
        <f>IF($Z242="","",IF($Z242&lt;=2000,IF(INDEX(包装物料出入库明细!$B$4:$B$2003,$Z242-0)=0,"",INDEX(包装物料出入库明细!$B$4:$B$2003,$Z242-0)),IF($Z242&lt;=4000,IF(INDEX(周转筐出入库明细!$B$4:$B$2004,$Z242-2000)=0,"",INDEX(周转筐出入库明细!$B$4:$B$2004,$Z242-2000)),IF($Z242&lt;=5200,IF(INDEX(客户自备加工筐明细!$B$4:$B$1203,$Z242-4000)=0,"",INDEX(客户自备加工筐明细!$B$4:$B$1203,$Z242-4000)),IF($Z242&lt;=5800,IF(INDEX(次果筐明细!$B$4:$B$603,$Z242-5200)=0,"",INDEX(次果筐明细!$B$4:$B$603,$Z242-5200)),"")))))</f>
        <v/>
      </c>
      <c r="C242" s="37" t="str">
        <f>IF($Z242="","",IF($Z242&lt;=2000,IF(INDEX(包装物料出入库明细!$D$4:$D$2003,$Z242-0)=0,"",INDEX(包装物料出入库明细!$D$4:$D$2003,$Z242-0)),IF($Z242&lt;=4000,IF(INDEX(周转筐出入库明细!$C$4:$C$2004,$Z242-2000)=0,"",INDEX(周转筐出入库明细!$C$4:$C$2004,$Z242-2000)),IF($Z242&lt;=5200,IF(INDEX(客户自备加工筐明细!$E$4:$E$1203,$Z242-4000)=0,"",INDEX(客户自备加工筐明细!$E$4:$E$1203,$Z242-4000)),IF($Z242&lt;=5800,IF(INDEX(次果筐明细!$C$4:$C$603,$Z242-5200)=0,"",INDEX(次果筐明细!$C$4:$C$603,$Z242-5200)),"")))))</f>
        <v/>
      </c>
      <c r="D242" s="37" t="str">
        <f>IF($Z242="","",IF($Z242&lt;=2000,"包装物料－"&amp;INDEX(包装物料出入库明细!$H$4:$H$2003,$Z242-0),IF($Z242&lt;=4000,"周转筐－"&amp;INDEX(周转筐出入库明细!$F$4:$F$2004,$Z242-2000),IF($Z242&lt;=5200,"客户自备筐－"&amp;INDEX(客户自备加工筐明细!$J$4:$J$1203,$Z242-4000),IF($Z242&lt;=5800,"次果筐/托盘－"&amp;INDEX(次果筐明细!$F$4:$F$603,$Z242-5200),"")))))</f>
        <v/>
      </c>
      <c r="E242" s="24" t="str">
        <f>IF($Z242="","",IF($Z242&lt;=2000,IF(INDEX(包装物料出入库明细!$C$4:$C$2003,$Z242-0)=0,"",INDEX(包装物料出入库明细!$C$4:$C$2003,$Z242-0)),IF($Z242&lt;=4000,IF(INDEX(周转筐出入库明细!$E$4:$E$2004,$Z242-2000)=0,"",INDEX(周转筐出入库明细!$E$4:$E$2004,$Z242-2000)),IF($Z242&lt;=5200,IF(INDEX(客户自备加工筐明细!$D$4:$D$1203,$Z242-4000)=0,"",INDEX(客户自备加工筐明细!$D$4:$D$1203,$Z242-4000)),IF($Z242&lt;=5800,IF(INDEX(次果筐明细!$E$4:$E$603,$Z242-5200)=0,"",INDEX(次果筐明细!$E$4:$E$603,$Z242-5200)),"")))))</f>
        <v/>
      </c>
      <c r="F242" s="24" t="str">
        <f>IF($Z242="","",IF($Z242&lt;=2000,IF(INDEX(包装物料出入库明细!$E$4:$E$2003,$Z242-0)=0,"",INDEX(包装物料出入库明细!$E$4:$E$2003,$Z242-0)),IF($Z242&lt;=4000,IF(INDEX(周转筐出入库明细!$D$4:$D$2004,$Z242-2000)=0,"",INDEX(周转筐出入库明细!$D$4:$D$2004,$Z242-2000)),IF($Z242&lt;=5200,IF(INDEX(客户自备加工筐明细!$C$4:$C$1203,$Z242-4000)=0,"",INDEX(客户自备加工筐明细!$C$4:$C$1203,$Z242-4000)),IF($Z242&lt;=5800,IF(INDEX(次果筐明细!$D$4:$D$603,$Z242-5200)=0,"",INDEX(次果筐明细!$D$4:$D$603,$Z242-5200)),"")))))</f>
        <v/>
      </c>
      <c r="G242" s="24" t="str">
        <f>IF($Z242="","",IF($Z242&lt;=2000,IF(INDEX(包装物料出入库明细!$F$4:$F$2003,$Z242-0)=0,"",INDEX(包装物料出入库明细!$F$4:$F$2003,$Z242-0)),IF($Z242&lt;=4000,"",IF($Z242&lt;=5200,"",IF($Z242&lt;=5800,"","")))))</f>
        <v/>
      </c>
      <c r="H242" s="39" t="str">
        <f>IF($Z242="","",IF($Z242&lt;=2000,IF(INDEX(包装物料出入库明细!$L$4:$L$2003,$Z242-0)=0,"",INDEX(包装物料出入库明细!$L$4:$L$2003,$Z242-0)),IF($Z242&lt;=4000,N(INDEX(周转筐出入库明细!$H$4:$H$2004,$Z242-2000))+N(INDEX(周转筐出入库明细!$I$4:$I$2004,$Z242-2000))+N(INDEX(周转筐出入库明细!$J$4:$J$2004,$Z242-2000))+N(INDEX(周转筐出入库明细!$K$4:$K$2004,$Z242-2000)),IF($Z242&lt;=5200,N(INDEX(客户自备加工筐明细!$F$4:$F$1203,$Z242-4000))+N(INDEX(客户自备加工筐明细!$G$4:$G$1203,$Z242-4000)),IF($Z242&lt;=5800,IF(INDEX(次果筐明细!$G$4:$G$603,$Z242-5200)=0,"",INDEX(次果筐明细!$G$4:$G$603,$Z242-5200)),"")))))</f>
        <v/>
      </c>
      <c r="I242" s="24" t="str">
        <f>IF($Z242="","",IF($Z242&lt;=2000,IF(INDEX(包装物料出入库明细!$G$4:$G$2003,$Z242-0)=0,"",INDEX(包装物料出入库明细!$G$4:$G$2003,$Z242-0)),IF($Z242&lt;=4000,"个",IF($Z242&lt;=5200,"个",IF($Z242&lt;=5800,"个","")))))</f>
        <v/>
      </c>
      <c r="J242" s="30" t="str">
        <f t="shared" si="10"/>
        <v/>
      </c>
      <c r="K242" s="30" t="str">
        <f>IF($Z242="","",IF($Z242&lt;=2000,IF(INDEX(包装物料出入库明细!$N$4:$N$2003,$Z242-0)=0,"",INDEX(包装物料出入库明细!$N$4:$N$2003,$Z242-0)),IF($Z242&lt;=4000,IF(INDEX(周转筐出入库明细!$P$4:$P$2004,$Z242-2000)=0,"",INDEX(周转筐出入库明细!$P$4:$P$2004,$Z242-2000)),IF($Z242&lt;=5200,"",IF($Z242&lt;=5800,N(INDEX(次果筐明细!$L$4:$L$603,$Z242-5200))+N(INDEX(次果筐明细!$J$4:$J$603,$Z242-5200)),"")))))</f>
        <v/>
      </c>
      <c r="L242" s="24" t="str">
        <f>IF($Z242="","",IF($Z242&lt;=2000,IF(INDEX(包装物料出入库明细!$P$4:$P$2003,$Z242-0)=0,"",INDEX(包装物料出入库明细!$P$4:$P$2003,$Z242-0)),IF($Z242&lt;=4000,IF(INDEX(周转筐出入库明细!$Q$4:$Q$2004,$Z242-2000)=0,"",INDEX(周转筐出入库明细!$Q$4:$Q$2004,$Z242-2000)),IF($Z242&lt;=5200,"",IF($Z242&lt;=5800,IF(INDEX(次果筐明细!$M$4:$M$603,$Z242-5200)=0,"",INDEX(次果筐明细!$M$4:$M$603,$Z242-5200)),"")))))</f>
        <v/>
      </c>
      <c r="M242" s="37" t="str">
        <f>IF($Z242="","",IF($Z242&lt;=2000,IF(INDEX(包装物料出入库明细!$R$4:$R$2003,$Z242-0)=0,"",INDEX(包装物料出入库明细!$R$4:$R$2003,$Z242-0)),IF($Z242&lt;=4000,IF(INDEX(周转筐出入库明细!$W$4:$W$2004,$Z242-2000)=0,"",INDEX(周转筐出入库明细!$W$4:$W$2004,$Z242-2000)),IF($Z242&lt;=5200,IF(INDEX(客户自备加工筐明细!$L$4:$L$1203,$Z242-4000)=0,"",INDEX(客户自备加工筐明细!$L$4:$L$1203,$Z242-4000)),IF($Z242&lt;=5800,IF(INDEX(次果筐明细!$P$4:$P$603,$Z242-5200)=0,"",INDEX(次果筐明细!$P$4:$P$603,$Z242-5200)),"")))))</f>
        <v/>
      </c>
      <c r="N242" s="16" t="str">
        <f>IF($Z242="","",IF($Z242&lt;=2000,"",IF($Z242&lt;=4000,IF(INDEX(周转筐出入库明细!$D$4:$D$2004,$Z242-2000)=0,"",INDEX(周转筐出入库明细!$D$4:$D$2004,$Z242-2000)),IF($Z242&lt;=5200,IF(INDEX(客户自备加工筐明细!$C$4:$C$1203,$Z242-4000)=0,"",INDEX(客户自备加工筐明细!$C$4:$C$1203,$Z242-4000)),IF($Z242&lt;=5800,IF(INDEX(次果筐明细!$D$4:$D$603,$Z242-5200)=0,"",INDEX(次果筐明细!$D$4:$D$603,$Z242-5200)),"")))))</f>
        <v/>
      </c>
      <c r="O242" s="40" t="str">
        <f>IF($Z242="","",IF($Z242&lt;=2000,"",IF($Z242&lt;=4000,IF(N(INDEX(周转筐出入库明细!$J$4:$J$2004,$Z242-2000))+N(INDEX(周转筐出入库明细!$K$4:$K$2004,$Z242-2000))=0,"",N(INDEX(周转筐出入库明细!$J$4:$J$2004,$Z242-2000))+N(INDEX(周转筐出入库明细!$K$4:$K$2004,$Z242-2000))),IF($Z242&lt;=5200,IF(N(INDEX(客户自备加工筐明细!$G$4:$G$1203,$Z242-4000))=0,"",N(INDEX(客户自备加工筐明细!$G$4:$G$1203,$Z242-4000))),IF($Z242&lt;=5800,IF(ISNUMBER(SEARCH("退",INDEX(次果筐明细!$F$4:$F$603,$Z242-5200)&amp;"")),"",IF(N(INDEX(次果筐明细!$G$4:$G$603,$Z242-5200))=0,"",N(INDEX(次果筐明细!$G$4:$G$603,$Z242-5200)))),"")))))</f>
        <v/>
      </c>
      <c r="P242" s="40" t="str">
        <f>IF($Z242="","",IF($Z242&lt;=2000,"",IF($Z242&lt;=4000,IF(N(INDEX(周转筐出入库明细!$I$4:$I$2004,$Z242-2000))=0,"",N(INDEX(周转筐出入库明细!$I$4:$I$2004,$Z242-2000))),IF($Z242&lt;=5200,"",IF($Z242&lt;=5800,IF(ISNUMBER(SEARCH("退",INDEX(次果筐明细!$F$4:$F$603,$Z242-5200)&amp;"")),IF(N(INDEX(次果筐明细!$G$4:$G$603,$Z242-5200))=0,"",N(INDEX(次果筐明细!$G$4:$G$603,$Z242-5200))),""),"")))))</f>
        <v/>
      </c>
      <c r="Q242" s="40" t="str">
        <f>IF($Z242="","",IF($Z242&lt;=2000,"",IF($Z242&lt;=4000,IF(N(INDEX(周转筐出入库明细!$H$4:$H$2004,$Z242-2000))=0,"",N(INDEX(周转筐出入库明细!$H$4:$H$2004,$Z242-2000))),IF($Z242&lt;=5200,IF(N(INDEX(客户自备加工筐明细!$F$4:$F$1203,$Z242-4000))=0,"",N(INDEX(客户自备加工筐明细!$F$4:$F$1203,$Z242-4000))),IF($Z242&lt;=5800,"","")))))</f>
        <v/>
      </c>
      <c r="R242" s="16" t="str">
        <f>IF($Z242="","",IF($Z242&lt;=2000,IF(INDEX(包装物料出入库明细!$O$4:$O$2003,$Z242-0)=0,"",INDEX(包装物料出入库明细!$O$4:$O$2003,$Z242-0)),IF($Z242&lt;=4000,IF(INDEX(周转筐出入库明细!$M$4:$M$2004,$Z242-2000)=0,"",INDEX(周转筐出入库明细!$M$4:$M$2004,$Z242-2000)),IF($Z242&lt;=5200,IF(INDEX(客户自备加工筐明细!$H$4:$H$1203,$Z242-4000)=0,"",INDEX(客户自备加工筐明细!$H$4:$H$1203,$Z242-4000)),IF($Z242&lt;=5800,IF(INDEX(次果筐明细!$H$4:$H$603,$Z242-5200)=0,"",INDEX(次果筐明细!$H$4:$H$603,$Z242-5200)),"")))))</f>
        <v/>
      </c>
      <c r="S242" s="22" t="str">
        <f t="shared" si="11"/>
        <v/>
      </c>
      <c r="Z242" s="10" t="str">
        <f>IFERROR(MATCH(ROW()-3,_自动清单!$CQ$4:$CQ$5803,0),"")</f>
        <v/>
      </c>
    </row>
    <row r="243" spans="1:26">
      <c r="A243" s="24" t="str">
        <f t="shared" si="9"/>
        <v/>
      </c>
      <c r="B243" s="38" t="str">
        <f>IF($Z243="","",IF($Z243&lt;=2000,IF(INDEX(包装物料出入库明细!$B$4:$B$2003,$Z243-0)=0,"",INDEX(包装物料出入库明细!$B$4:$B$2003,$Z243-0)),IF($Z243&lt;=4000,IF(INDEX(周转筐出入库明细!$B$4:$B$2004,$Z243-2000)=0,"",INDEX(周转筐出入库明细!$B$4:$B$2004,$Z243-2000)),IF($Z243&lt;=5200,IF(INDEX(客户自备加工筐明细!$B$4:$B$1203,$Z243-4000)=0,"",INDEX(客户自备加工筐明细!$B$4:$B$1203,$Z243-4000)),IF($Z243&lt;=5800,IF(INDEX(次果筐明细!$B$4:$B$603,$Z243-5200)=0,"",INDEX(次果筐明细!$B$4:$B$603,$Z243-5200)),"")))))</f>
        <v/>
      </c>
      <c r="C243" s="37" t="str">
        <f>IF($Z243="","",IF($Z243&lt;=2000,IF(INDEX(包装物料出入库明细!$D$4:$D$2003,$Z243-0)=0,"",INDEX(包装物料出入库明细!$D$4:$D$2003,$Z243-0)),IF($Z243&lt;=4000,IF(INDEX(周转筐出入库明细!$C$4:$C$2004,$Z243-2000)=0,"",INDEX(周转筐出入库明细!$C$4:$C$2004,$Z243-2000)),IF($Z243&lt;=5200,IF(INDEX(客户自备加工筐明细!$E$4:$E$1203,$Z243-4000)=0,"",INDEX(客户自备加工筐明细!$E$4:$E$1203,$Z243-4000)),IF($Z243&lt;=5800,IF(INDEX(次果筐明细!$C$4:$C$603,$Z243-5200)=0,"",INDEX(次果筐明细!$C$4:$C$603,$Z243-5200)),"")))))</f>
        <v/>
      </c>
      <c r="D243" s="37" t="str">
        <f>IF($Z243="","",IF($Z243&lt;=2000,"包装物料－"&amp;INDEX(包装物料出入库明细!$H$4:$H$2003,$Z243-0),IF($Z243&lt;=4000,"周转筐－"&amp;INDEX(周转筐出入库明细!$F$4:$F$2004,$Z243-2000),IF($Z243&lt;=5200,"客户自备筐－"&amp;INDEX(客户自备加工筐明细!$J$4:$J$1203,$Z243-4000),IF($Z243&lt;=5800,"次果筐/托盘－"&amp;INDEX(次果筐明细!$F$4:$F$603,$Z243-5200),"")))))</f>
        <v/>
      </c>
      <c r="E243" s="24" t="str">
        <f>IF($Z243="","",IF($Z243&lt;=2000,IF(INDEX(包装物料出入库明细!$C$4:$C$2003,$Z243-0)=0,"",INDEX(包装物料出入库明细!$C$4:$C$2003,$Z243-0)),IF($Z243&lt;=4000,IF(INDEX(周转筐出入库明细!$E$4:$E$2004,$Z243-2000)=0,"",INDEX(周转筐出入库明细!$E$4:$E$2004,$Z243-2000)),IF($Z243&lt;=5200,IF(INDEX(客户自备加工筐明细!$D$4:$D$1203,$Z243-4000)=0,"",INDEX(客户自备加工筐明细!$D$4:$D$1203,$Z243-4000)),IF($Z243&lt;=5800,IF(INDEX(次果筐明细!$E$4:$E$603,$Z243-5200)=0,"",INDEX(次果筐明细!$E$4:$E$603,$Z243-5200)),"")))))</f>
        <v/>
      </c>
      <c r="F243" s="24" t="str">
        <f>IF($Z243="","",IF($Z243&lt;=2000,IF(INDEX(包装物料出入库明细!$E$4:$E$2003,$Z243-0)=0,"",INDEX(包装物料出入库明细!$E$4:$E$2003,$Z243-0)),IF($Z243&lt;=4000,IF(INDEX(周转筐出入库明细!$D$4:$D$2004,$Z243-2000)=0,"",INDEX(周转筐出入库明细!$D$4:$D$2004,$Z243-2000)),IF($Z243&lt;=5200,IF(INDEX(客户自备加工筐明细!$C$4:$C$1203,$Z243-4000)=0,"",INDEX(客户自备加工筐明细!$C$4:$C$1203,$Z243-4000)),IF($Z243&lt;=5800,IF(INDEX(次果筐明细!$D$4:$D$603,$Z243-5200)=0,"",INDEX(次果筐明细!$D$4:$D$603,$Z243-5200)),"")))))</f>
        <v/>
      </c>
      <c r="G243" s="24" t="str">
        <f>IF($Z243="","",IF($Z243&lt;=2000,IF(INDEX(包装物料出入库明细!$F$4:$F$2003,$Z243-0)=0,"",INDEX(包装物料出入库明细!$F$4:$F$2003,$Z243-0)),IF($Z243&lt;=4000,"",IF($Z243&lt;=5200,"",IF($Z243&lt;=5800,"","")))))</f>
        <v/>
      </c>
      <c r="H243" s="39" t="str">
        <f>IF($Z243="","",IF($Z243&lt;=2000,IF(INDEX(包装物料出入库明细!$L$4:$L$2003,$Z243-0)=0,"",INDEX(包装物料出入库明细!$L$4:$L$2003,$Z243-0)),IF($Z243&lt;=4000,N(INDEX(周转筐出入库明细!$H$4:$H$2004,$Z243-2000))+N(INDEX(周转筐出入库明细!$I$4:$I$2004,$Z243-2000))+N(INDEX(周转筐出入库明细!$J$4:$J$2004,$Z243-2000))+N(INDEX(周转筐出入库明细!$K$4:$K$2004,$Z243-2000)),IF($Z243&lt;=5200,N(INDEX(客户自备加工筐明细!$F$4:$F$1203,$Z243-4000))+N(INDEX(客户自备加工筐明细!$G$4:$G$1203,$Z243-4000)),IF($Z243&lt;=5800,IF(INDEX(次果筐明细!$G$4:$G$603,$Z243-5200)=0,"",INDEX(次果筐明细!$G$4:$G$603,$Z243-5200)),"")))))</f>
        <v/>
      </c>
      <c r="I243" s="24" t="str">
        <f>IF($Z243="","",IF($Z243&lt;=2000,IF(INDEX(包装物料出入库明细!$G$4:$G$2003,$Z243-0)=0,"",INDEX(包装物料出入库明细!$G$4:$G$2003,$Z243-0)),IF($Z243&lt;=4000,"个",IF($Z243&lt;=5200,"个",IF($Z243&lt;=5800,"个","")))))</f>
        <v/>
      </c>
      <c r="J243" s="30" t="str">
        <f t="shared" si="10"/>
        <v/>
      </c>
      <c r="K243" s="30" t="str">
        <f>IF($Z243="","",IF($Z243&lt;=2000,IF(INDEX(包装物料出入库明细!$N$4:$N$2003,$Z243-0)=0,"",INDEX(包装物料出入库明细!$N$4:$N$2003,$Z243-0)),IF($Z243&lt;=4000,IF(INDEX(周转筐出入库明细!$P$4:$P$2004,$Z243-2000)=0,"",INDEX(周转筐出入库明细!$P$4:$P$2004,$Z243-2000)),IF($Z243&lt;=5200,"",IF($Z243&lt;=5800,N(INDEX(次果筐明细!$L$4:$L$603,$Z243-5200))+N(INDEX(次果筐明细!$J$4:$J$603,$Z243-5200)),"")))))</f>
        <v/>
      </c>
      <c r="L243" s="24" t="str">
        <f>IF($Z243="","",IF($Z243&lt;=2000,IF(INDEX(包装物料出入库明细!$P$4:$P$2003,$Z243-0)=0,"",INDEX(包装物料出入库明细!$P$4:$P$2003,$Z243-0)),IF($Z243&lt;=4000,IF(INDEX(周转筐出入库明细!$Q$4:$Q$2004,$Z243-2000)=0,"",INDEX(周转筐出入库明细!$Q$4:$Q$2004,$Z243-2000)),IF($Z243&lt;=5200,"",IF($Z243&lt;=5800,IF(INDEX(次果筐明细!$M$4:$M$603,$Z243-5200)=0,"",INDEX(次果筐明细!$M$4:$M$603,$Z243-5200)),"")))))</f>
        <v/>
      </c>
      <c r="M243" s="37" t="str">
        <f>IF($Z243="","",IF($Z243&lt;=2000,IF(INDEX(包装物料出入库明细!$R$4:$R$2003,$Z243-0)=0,"",INDEX(包装物料出入库明细!$R$4:$R$2003,$Z243-0)),IF($Z243&lt;=4000,IF(INDEX(周转筐出入库明细!$W$4:$W$2004,$Z243-2000)=0,"",INDEX(周转筐出入库明细!$W$4:$W$2004,$Z243-2000)),IF($Z243&lt;=5200,IF(INDEX(客户自备加工筐明细!$L$4:$L$1203,$Z243-4000)=0,"",INDEX(客户自备加工筐明细!$L$4:$L$1203,$Z243-4000)),IF($Z243&lt;=5800,IF(INDEX(次果筐明细!$P$4:$P$603,$Z243-5200)=0,"",INDEX(次果筐明细!$P$4:$P$603,$Z243-5200)),"")))))</f>
        <v/>
      </c>
      <c r="N243" s="16" t="str">
        <f>IF($Z243="","",IF($Z243&lt;=2000,"",IF($Z243&lt;=4000,IF(INDEX(周转筐出入库明细!$D$4:$D$2004,$Z243-2000)=0,"",INDEX(周转筐出入库明细!$D$4:$D$2004,$Z243-2000)),IF($Z243&lt;=5200,IF(INDEX(客户自备加工筐明细!$C$4:$C$1203,$Z243-4000)=0,"",INDEX(客户自备加工筐明细!$C$4:$C$1203,$Z243-4000)),IF($Z243&lt;=5800,IF(INDEX(次果筐明细!$D$4:$D$603,$Z243-5200)=0,"",INDEX(次果筐明细!$D$4:$D$603,$Z243-5200)),"")))))</f>
        <v/>
      </c>
      <c r="O243" s="40" t="str">
        <f>IF($Z243="","",IF($Z243&lt;=2000,"",IF($Z243&lt;=4000,IF(N(INDEX(周转筐出入库明细!$J$4:$J$2004,$Z243-2000))+N(INDEX(周转筐出入库明细!$K$4:$K$2004,$Z243-2000))=0,"",N(INDEX(周转筐出入库明细!$J$4:$J$2004,$Z243-2000))+N(INDEX(周转筐出入库明细!$K$4:$K$2004,$Z243-2000))),IF($Z243&lt;=5200,IF(N(INDEX(客户自备加工筐明细!$G$4:$G$1203,$Z243-4000))=0,"",N(INDEX(客户自备加工筐明细!$G$4:$G$1203,$Z243-4000))),IF($Z243&lt;=5800,IF(ISNUMBER(SEARCH("退",INDEX(次果筐明细!$F$4:$F$603,$Z243-5200)&amp;"")),"",IF(N(INDEX(次果筐明细!$G$4:$G$603,$Z243-5200))=0,"",N(INDEX(次果筐明细!$G$4:$G$603,$Z243-5200)))),"")))))</f>
        <v/>
      </c>
      <c r="P243" s="40" t="str">
        <f>IF($Z243="","",IF($Z243&lt;=2000,"",IF($Z243&lt;=4000,IF(N(INDEX(周转筐出入库明细!$I$4:$I$2004,$Z243-2000))=0,"",N(INDEX(周转筐出入库明细!$I$4:$I$2004,$Z243-2000))),IF($Z243&lt;=5200,"",IF($Z243&lt;=5800,IF(ISNUMBER(SEARCH("退",INDEX(次果筐明细!$F$4:$F$603,$Z243-5200)&amp;"")),IF(N(INDEX(次果筐明细!$G$4:$G$603,$Z243-5200))=0,"",N(INDEX(次果筐明细!$G$4:$G$603,$Z243-5200))),""),"")))))</f>
        <v/>
      </c>
      <c r="Q243" s="40" t="str">
        <f>IF($Z243="","",IF($Z243&lt;=2000,"",IF($Z243&lt;=4000,IF(N(INDEX(周转筐出入库明细!$H$4:$H$2004,$Z243-2000))=0,"",N(INDEX(周转筐出入库明细!$H$4:$H$2004,$Z243-2000))),IF($Z243&lt;=5200,IF(N(INDEX(客户自备加工筐明细!$F$4:$F$1203,$Z243-4000))=0,"",N(INDEX(客户自备加工筐明细!$F$4:$F$1203,$Z243-4000))),IF($Z243&lt;=5800,"","")))))</f>
        <v/>
      </c>
      <c r="R243" s="16" t="str">
        <f>IF($Z243="","",IF($Z243&lt;=2000,IF(INDEX(包装物料出入库明细!$O$4:$O$2003,$Z243-0)=0,"",INDEX(包装物料出入库明细!$O$4:$O$2003,$Z243-0)),IF($Z243&lt;=4000,IF(INDEX(周转筐出入库明细!$M$4:$M$2004,$Z243-2000)=0,"",INDEX(周转筐出入库明细!$M$4:$M$2004,$Z243-2000)),IF($Z243&lt;=5200,IF(INDEX(客户自备加工筐明细!$H$4:$H$1203,$Z243-4000)=0,"",INDEX(客户自备加工筐明细!$H$4:$H$1203,$Z243-4000)),IF($Z243&lt;=5800,IF(INDEX(次果筐明细!$H$4:$H$603,$Z243-5200)=0,"",INDEX(次果筐明细!$H$4:$H$603,$Z243-5200)),"")))))</f>
        <v/>
      </c>
      <c r="S243" s="22" t="str">
        <f t="shared" si="11"/>
        <v/>
      </c>
      <c r="Z243" s="10" t="str">
        <f>IFERROR(MATCH(ROW()-3,_自动清单!$CQ$4:$CQ$5803,0),"")</f>
        <v/>
      </c>
    </row>
    <row r="244" spans="1:26">
      <c r="A244" s="24" t="str">
        <f t="shared" si="9"/>
        <v/>
      </c>
      <c r="B244" s="38" t="str">
        <f>IF($Z244="","",IF($Z244&lt;=2000,IF(INDEX(包装物料出入库明细!$B$4:$B$2003,$Z244-0)=0,"",INDEX(包装物料出入库明细!$B$4:$B$2003,$Z244-0)),IF($Z244&lt;=4000,IF(INDEX(周转筐出入库明细!$B$4:$B$2004,$Z244-2000)=0,"",INDEX(周转筐出入库明细!$B$4:$B$2004,$Z244-2000)),IF($Z244&lt;=5200,IF(INDEX(客户自备加工筐明细!$B$4:$B$1203,$Z244-4000)=0,"",INDEX(客户自备加工筐明细!$B$4:$B$1203,$Z244-4000)),IF($Z244&lt;=5800,IF(INDEX(次果筐明细!$B$4:$B$603,$Z244-5200)=0,"",INDEX(次果筐明细!$B$4:$B$603,$Z244-5200)),"")))))</f>
        <v/>
      </c>
      <c r="C244" s="37" t="str">
        <f>IF($Z244="","",IF($Z244&lt;=2000,IF(INDEX(包装物料出入库明细!$D$4:$D$2003,$Z244-0)=0,"",INDEX(包装物料出入库明细!$D$4:$D$2003,$Z244-0)),IF($Z244&lt;=4000,IF(INDEX(周转筐出入库明细!$C$4:$C$2004,$Z244-2000)=0,"",INDEX(周转筐出入库明细!$C$4:$C$2004,$Z244-2000)),IF($Z244&lt;=5200,IF(INDEX(客户自备加工筐明细!$E$4:$E$1203,$Z244-4000)=0,"",INDEX(客户自备加工筐明细!$E$4:$E$1203,$Z244-4000)),IF($Z244&lt;=5800,IF(INDEX(次果筐明细!$C$4:$C$603,$Z244-5200)=0,"",INDEX(次果筐明细!$C$4:$C$603,$Z244-5200)),"")))))</f>
        <v/>
      </c>
      <c r="D244" s="37" t="str">
        <f>IF($Z244="","",IF($Z244&lt;=2000,"包装物料－"&amp;INDEX(包装物料出入库明细!$H$4:$H$2003,$Z244-0),IF($Z244&lt;=4000,"周转筐－"&amp;INDEX(周转筐出入库明细!$F$4:$F$2004,$Z244-2000),IF($Z244&lt;=5200,"客户自备筐－"&amp;INDEX(客户自备加工筐明细!$J$4:$J$1203,$Z244-4000),IF($Z244&lt;=5800,"次果筐/托盘－"&amp;INDEX(次果筐明细!$F$4:$F$603,$Z244-5200),"")))))</f>
        <v/>
      </c>
      <c r="E244" s="24" t="str">
        <f>IF($Z244="","",IF($Z244&lt;=2000,IF(INDEX(包装物料出入库明细!$C$4:$C$2003,$Z244-0)=0,"",INDEX(包装物料出入库明细!$C$4:$C$2003,$Z244-0)),IF($Z244&lt;=4000,IF(INDEX(周转筐出入库明细!$E$4:$E$2004,$Z244-2000)=0,"",INDEX(周转筐出入库明细!$E$4:$E$2004,$Z244-2000)),IF($Z244&lt;=5200,IF(INDEX(客户自备加工筐明细!$D$4:$D$1203,$Z244-4000)=0,"",INDEX(客户自备加工筐明细!$D$4:$D$1203,$Z244-4000)),IF($Z244&lt;=5800,IF(INDEX(次果筐明细!$E$4:$E$603,$Z244-5200)=0,"",INDEX(次果筐明细!$E$4:$E$603,$Z244-5200)),"")))))</f>
        <v/>
      </c>
      <c r="F244" s="24" t="str">
        <f>IF($Z244="","",IF($Z244&lt;=2000,IF(INDEX(包装物料出入库明细!$E$4:$E$2003,$Z244-0)=0,"",INDEX(包装物料出入库明细!$E$4:$E$2003,$Z244-0)),IF($Z244&lt;=4000,IF(INDEX(周转筐出入库明细!$D$4:$D$2004,$Z244-2000)=0,"",INDEX(周转筐出入库明细!$D$4:$D$2004,$Z244-2000)),IF($Z244&lt;=5200,IF(INDEX(客户自备加工筐明细!$C$4:$C$1203,$Z244-4000)=0,"",INDEX(客户自备加工筐明细!$C$4:$C$1203,$Z244-4000)),IF($Z244&lt;=5800,IF(INDEX(次果筐明细!$D$4:$D$603,$Z244-5200)=0,"",INDEX(次果筐明细!$D$4:$D$603,$Z244-5200)),"")))))</f>
        <v/>
      </c>
      <c r="G244" s="24" t="str">
        <f>IF($Z244="","",IF($Z244&lt;=2000,IF(INDEX(包装物料出入库明细!$F$4:$F$2003,$Z244-0)=0,"",INDEX(包装物料出入库明细!$F$4:$F$2003,$Z244-0)),IF($Z244&lt;=4000,"",IF($Z244&lt;=5200,"",IF($Z244&lt;=5800,"","")))))</f>
        <v/>
      </c>
      <c r="H244" s="39" t="str">
        <f>IF($Z244="","",IF($Z244&lt;=2000,IF(INDEX(包装物料出入库明细!$L$4:$L$2003,$Z244-0)=0,"",INDEX(包装物料出入库明细!$L$4:$L$2003,$Z244-0)),IF($Z244&lt;=4000,N(INDEX(周转筐出入库明细!$H$4:$H$2004,$Z244-2000))+N(INDEX(周转筐出入库明细!$I$4:$I$2004,$Z244-2000))+N(INDEX(周转筐出入库明细!$J$4:$J$2004,$Z244-2000))+N(INDEX(周转筐出入库明细!$K$4:$K$2004,$Z244-2000)),IF($Z244&lt;=5200,N(INDEX(客户自备加工筐明细!$F$4:$F$1203,$Z244-4000))+N(INDEX(客户自备加工筐明细!$G$4:$G$1203,$Z244-4000)),IF($Z244&lt;=5800,IF(INDEX(次果筐明细!$G$4:$G$603,$Z244-5200)=0,"",INDEX(次果筐明细!$G$4:$G$603,$Z244-5200)),"")))))</f>
        <v/>
      </c>
      <c r="I244" s="24" t="str">
        <f>IF($Z244="","",IF($Z244&lt;=2000,IF(INDEX(包装物料出入库明细!$G$4:$G$2003,$Z244-0)=0,"",INDEX(包装物料出入库明细!$G$4:$G$2003,$Z244-0)),IF($Z244&lt;=4000,"个",IF($Z244&lt;=5200,"个",IF($Z244&lt;=5800,"个","")))))</f>
        <v/>
      </c>
      <c r="J244" s="30" t="str">
        <f t="shared" si="10"/>
        <v/>
      </c>
      <c r="K244" s="30" t="str">
        <f>IF($Z244="","",IF($Z244&lt;=2000,IF(INDEX(包装物料出入库明细!$N$4:$N$2003,$Z244-0)=0,"",INDEX(包装物料出入库明细!$N$4:$N$2003,$Z244-0)),IF($Z244&lt;=4000,IF(INDEX(周转筐出入库明细!$P$4:$P$2004,$Z244-2000)=0,"",INDEX(周转筐出入库明细!$P$4:$P$2004,$Z244-2000)),IF($Z244&lt;=5200,"",IF($Z244&lt;=5800,N(INDEX(次果筐明细!$L$4:$L$603,$Z244-5200))+N(INDEX(次果筐明细!$J$4:$J$603,$Z244-5200)),"")))))</f>
        <v/>
      </c>
      <c r="L244" s="24" t="str">
        <f>IF($Z244="","",IF($Z244&lt;=2000,IF(INDEX(包装物料出入库明细!$P$4:$P$2003,$Z244-0)=0,"",INDEX(包装物料出入库明细!$P$4:$P$2003,$Z244-0)),IF($Z244&lt;=4000,IF(INDEX(周转筐出入库明细!$Q$4:$Q$2004,$Z244-2000)=0,"",INDEX(周转筐出入库明细!$Q$4:$Q$2004,$Z244-2000)),IF($Z244&lt;=5200,"",IF($Z244&lt;=5800,IF(INDEX(次果筐明细!$M$4:$M$603,$Z244-5200)=0,"",INDEX(次果筐明细!$M$4:$M$603,$Z244-5200)),"")))))</f>
        <v/>
      </c>
      <c r="M244" s="37" t="str">
        <f>IF($Z244="","",IF($Z244&lt;=2000,IF(INDEX(包装物料出入库明细!$R$4:$R$2003,$Z244-0)=0,"",INDEX(包装物料出入库明细!$R$4:$R$2003,$Z244-0)),IF($Z244&lt;=4000,IF(INDEX(周转筐出入库明细!$W$4:$W$2004,$Z244-2000)=0,"",INDEX(周转筐出入库明细!$W$4:$W$2004,$Z244-2000)),IF($Z244&lt;=5200,IF(INDEX(客户自备加工筐明细!$L$4:$L$1203,$Z244-4000)=0,"",INDEX(客户自备加工筐明细!$L$4:$L$1203,$Z244-4000)),IF($Z244&lt;=5800,IF(INDEX(次果筐明细!$P$4:$P$603,$Z244-5200)=0,"",INDEX(次果筐明细!$P$4:$P$603,$Z244-5200)),"")))))</f>
        <v/>
      </c>
      <c r="N244" s="16" t="str">
        <f>IF($Z244="","",IF($Z244&lt;=2000,"",IF($Z244&lt;=4000,IF(INDEX(周转筐出入库明细!$D$4:$D$2004,$Z244-2000)=0,"",INDEX(周转筐出入库明细!$D$4:$D$2004,$Z244-2000)),IF($Z244&lt;=5200,IF(INDEX(客户自备加工筐明细!$C$4:$C$1203,$Z244-4000)=0,"",INDEX(客户自备加工筐明细!$C$4:$C$1203,$Z244-4000)),IF($Z244&lt;=5800,IF(INDEX(次果筐明细!$D$4:$D$603,$Z244-5200)=0,"",INDEX(次果筐明细!$D$4:$D$603,$Z244-5200)),"")))))</f>
        <v/>
      </c>
      <c r="O244" s="40" t="str">
        <f>IF($Z244="","",IF($Z244&lt;=2000,"",IF($Z244&lt;=4000,IF(N(INDEX(周转筐出入库明细!$J$4:$J$2004,$Z244-2000))+N(INDEX(周转筐出入库明细!$K$4:$K$2004,$Z244-2000))=0,"",N(INDEX(周转筐出入库明细!$J$4:$J$2004,$Z244-2000))+N(INDEX(周转筐出入库明细!$K$4:$K$2004,$Z244-2000))),IF($Z244&lt;=5200,IF(N(INDEX(客户自备加工筐明细!$G$4:$G$1203,$Z244-4000))=0,"",N(INDEX(客户自备加工筐明细!$G$4:$G$1203,$Z244-4000))),IF($Z244&lt;=5800,IF(ISNUMBER(SEARCH("退",INDEX(次果筐明细!$F$4:$F$603,$Z244-5200)&amp;"")),"",IF(N(INDEX(次果筐明细!$G$4:$G$603,$Z244-5200))=0,"",N(INDEX(次果筐明细!$G$4:$G$603,$Z244-5200)))),"")))))</f>
        <v/>
      </c>
      <c r="P244" s="40" t="str">
        <f>IF($Z244="","",IF($Z244&lt;=2000,"",IF($Z244&lt;=4000,IF(N(INDEX(周转筐出入库明细!$I$4:$I$2004,$Z244-2000))=0,"",N(INDEX(周转筐出入库明细!$I$4:$I$2004,$Z244-2000))),IF($Z244&lt;=5200,"",IF($Z244&lt;=5800,IF(ISNUMBER(SEARCH("退",INDEX(次果筐明细!$F$4:$F$603,$Z244-5200)&amp;"")),IF(N(INDEX(次果筐明细!$G$4:$G$603,$Z244-5200))=0,"",N(INDEX(次果筐明细!$G$4:$G$603,$Z244-5200))),""),"")))))</f>
        <v/>
      </c>
      <c r="Q244" s="40" t="str">
        <f>IF($Z244="","",IF($Z244&lt;=2000,"",IF($Z244&lt;=4000,IF(N(INDEX(周转筐出入库明细!$H$4:$H$2004,$Z244-2000))=0,"",N(INDEX(周转筐出入库明细!$H$4:$H$2004,$Z244-2000))),IF($Z244&lt;=5200,IF(N(INDEX(客户自备加工筐明细!$F$4:$F$1203,$Z244-4000))=0,"",N(INDEX(客户自备加工筐明细!$F$4:$F$1203,$Z244-4000))),IF($Z244&lt;=5800,"","")))))</f>
        <v/>
      </c>
      <c r="R244" s="16" t="str">
        <f>IF($Z244="","",IF($Z244&lt;=2000,IF(INDEX(包装物料出入库明细!$O$4:$O$2003,$Z244-0)=0,"",INDEX(包装物料出入库明细!$O$4:$O$2003,$Z244-0)),IF($Z244&lt;=4000,IF(INDEX(周转筐出入库明细!$M$4:$M$2004,$Z244-2000)=0,"",INDEX(周转筐出入库明细!$M$4:$M$2004,$Z244-2000)),IF($Z244&lt;=5200,IF(INDEX(客户自备加工筐明细!$H$4:$H$1203,$Z244-4000)=0,"",INDEX(客户自备加工筐明细!$H$4:$H$1203,$Z244-4000)),IF($Z244&lt;=5800,IF(INDEX(次果筐明细!$H$4:$H$603,$Z244-5200)=0,"",INDEX(次果筐明细!$H$4:$H$603,$Z244-5200)),"")))))</f>
        <v/>
      </c>
      <c r="S244" s="22" t="str">
        <f t="shared" si="11"/>
        <v/>
      </c>
      <c r="Z244" s="10" t="str">
        <f>IFERROR(MATCH(ROW()-3,_自动清单!$CQ$4:$CQ$5803,0),"")</f>
        <v/>
      </c>
    </row>
    <row r="245" spans="1:26">
      <c r="A245" s="24" t="str">
        <f t="shared" si="9"/>
        <v/>
      </c>
      <c r="B245" s="38" t="str">
        <f>IF($Z245="","",IF($Z245&lt;=2000,IF(INDEX(包装物料出入库明细!$B$4:$B$2003,$Z245-0)=0,"",INDEX(包装物料出入库明细!$B$4:$B$2003,$Z245-0)),IF($Z245&lt;=4000,IF(INDEX(周转筐出入库明细!$B$4:$B$2004,$Z245-2000)=0,"",INDEX(周转筐出入库明细!$B$4:$B$2004,$Z245-2000)),IF($Z245&lt;=5200,IF(INDEX(客户自备加工筐明细!$B$4:$B$1203,$Z245-4000)=0,"",INDEX(客户自备加工筐明细!$B$4:$B$1203,$Z245-4000)),IF($Z245&lt;=5800,IF(INDEX(次果筐明细!$B$4:$B$603,$Z245-5200)=0,"",INDEX(次果筐明细!$B$4:$B$603,$Z245-5200)),"")))))</f>
        <v/>
      </c>
      <c r="C245" s="37" t="str">
        <f>IF($Z245="","",IF($Z245&lt;=2000,IF(INDEX(包装物料出入库明细!$D$4:$D$2003,$Z245-0)=0,"",INDEX(包装物料出入库明细!$D$4:$D$2003,$Z245-0)),IF($Z245&lt;=4000,IF(INDEX(周转筐出入库明细!$C$4:$C$2004,$Z245-2000)=0,"",INDEX(周转筐出入库明细!$C$4:$C$2004,$Z245-2000)),IF($Z245&lt;=5200,IF(INDEX(客户自备加工筐明细!$E$4:$E$1203,$Z245-4000)=0,"",INDEX(客户自备加工筐明细!$E$4:$E$1203,$Z245-4000)),IF($Z245&lt;=5800,IF(INDEX(次果筐明细!$C$4:$C$603,$Z245-5200)=0,"",INDEX(次果筐明细!$C$4:$C$603,$Z245-5200)),"")))))</f>
        <v/>
      </c>
      <c r="D245" s="37" t="str">
        <f>IF($Z245="","",IF($Z245&lt;=2000,"包装物料－"&amp;INDEX(包装物料出入库明细!$H$4:$H$2003,$Z245-0),IF($Z245&lt;=4000,"周转筐－"&amp;INDEX(周转筐出入库明细!$F$4:$F$2004,$Z245-2000),IF($Z245&lt;=5200,"客户自备筐－"&amp;INDEX(客户自备加工筐明细!$J$4:$J$1203,$Z245-4000),IF($Z245&lt;=5800,"次果筐/托盘－"&amp;INDEX(次果筐明细!$F$4:$F$603,$Z245-5200),"")))))</f>
        <v/>
      </c>
      <c r="E245" s="24" t="str">
        <f>IF($Z245="","",IF($Z245&lt;=2000,IF(INDEX(包装物料出入库明细!$C$4:$C$2003,$Z245-0)=0,"",INDEX(包装物料出入库明细!$C$4:$C$2003,$Z245-0)),IF($Z245&lt;=4000,IF(INDEX(周转筐出入库明细!$E$4:$E$2004,$Z245-2000)=0,"",INDEX(周转筐出入库明细!$E$4:$E$2004,$Z245-2000)),IF($Z245&lt;=5200,IF(INDEX(客户自备加工筐明细!$D$4:$D$1203,$Z245-4000)=0,"",INDEX(客户自备加工筐明细!$D$4:$D$1203,$Z245-4000)),IF($Z245&lt;=5800,IF(INDEX(次果筐明细!$E$4:$E$603,$Z245-5200)=0,"",INDEX(次果筐明细!$E$4:$E$603,$Z245-5200)),"")))))</f>
        <v/>
      </c>
      <c r="F245" s="24" t="str">
        <f>IF($Z245="","",IF($Z245&lt;=2000,IF(INDEX(包装物料出入库明细!$E$4:$E$2003,$Z245-0)=0,"",INDEX(包装物料出入库明细!$E$4:$E$2003,$Z245-0)),IF($Z245&lt;=4000,IF(INDEX(周转筐出入库明细!$D$4:$D$2004,$Z245-2000)=0,"",INDEX(周转筐出入库明细!$D$4:$D$2004,$Z245-2000)),IF($Z245&lt;=5200,IF(INDEX(客户自备加工筐明细!$C$4:$C$1203,$Z245-4000)=0,"",INDEX(客户自备加工筐明细!$C$4:$C$1203,$Z245-4000)),IF($Z245&lt;=5800,IF(INDEX(次果筐明细!$D$4:$D$603,$Z245-5200)=0,"",INDEX(次果筐明细!$D$4:$D$603,$Z245-5200)),"")))))</f>
        <v/>
      </c>
      <c r="G245" s="24" t="str">
        <f>IF($Z245="","",IF($Z245&lt;=2000,IF(INDEX(包装物料出入库明细!$F$4:$F$2003,$Z245-0)=0,"",INDEX(包装物料出入库明细!$F$4:$F$2003,$Z245-0)),IF($Z245&lt;=4000,"",IF($Z245&lt;=5200,"",IF($Z245&lt;=5800,"","")))))</f>
        <v/>
      </c>
      <c r="H245" s="39" t="str">
        <f>IF($Z245="","",IF($Z245&lt;=2000,IF(INDEX(包装物料出入库明细!$L$4:$L$2003,$Z245-0)=0,"",INDEX(包装物料出入库明细!$L$4:$L$2003,$Z245-0)),IF($Z245&lt;=4000,N(INDEX(周转筐出入库明细!$H$4:$H$2004,$Z245-2000))+N(INDEX(周转筐出入库明细!$I$4:$I$2004,$Z245-2000))+N(INDEX(周转筐出入库明细!$J$4:$J$2004,$Z245-2000))+N(INDEX(周转筐出入库明细!$K$4:$K$2004,$Z245-2000)),IF($Z245&lt;=5200,N(INDEX(客户自备加工筐明细!$F$4:$F$1203,$Z245-4000))+N(INDEX(客户自备加工筐明细!$G$4:$G$1203,$Z245-4000)),IF($Z245&lt;=5800,IF(INDEX(次果筐明细!$G$4:$G$603,$Z245-5200)=0,"",INDEX(次果筐明细!$G$4:$G$603,$Z245-5200)),"")))))</f>
        <v/>
      </c>
      <c r="I245" s="24" t="str">
        <f>IF($Z245="","",IF($Z245&lt;=2000,IF(INDEX(包装物料出入库明细!$G$4:$G$2003,$Z245-0)=0,"",INDEX(包装物料出入库明细!$G$4:$G$2003,$Z245-0)),IF($Z245&lt;=4000,"个",IF($Z245&lt;=5200,"个",IF($Z245&lt;=5800,"个","")))))</f>
        <v/>
      </c>
      <c r="J245" s="30" t="str">
        <f t="shared" si="10"/>
        <v/>
      </c>
      <c r="K245" s="30" t="str">
        <f>IF($Z245="","",IF($Z245&lt;=2000,IF(INDEX(包装物料出入库明细!$N$4:$N$2003,$Z245-0)=0,"",INDEX(包装物料出入库明细!$N$4:$N$2003,$Z245-0)),IF($Z245&lt;=4000,IF(INDEX(周转筐出入库明细!$P$4:$P$2004,$Z245-2000)=0,"",INDEX(周转筐出入库明细!$P$4:$P$2004,$Z245-2000)),IF($Z245&lt;=5200,"",IF($Z245&lt;=5800,N(INDEX(次果筐明细!$L$4:$L$603,$Z245-5200))+N(INDEX(次果筐明细!$J$4:$J$603,$Z245-5200)),"")))))</f>
        <v/>
      </c>
      <c r="L245" s="24" t="str">
        <f>IF($Z245="","",IF($Z245&lt;=2000,IF(INDEX(包装物料出入库明细!$P$4:$P$2003,$Z245-0)=0,"",INDEX(包装物料出入库明细!$P$4:$P$2003,$Z245-0)),IF($Z245&lt;=4000,IF(INDEX(周转筐出入库明细!$Q$4:$Q$2004,$Z245-2000)=0,"",INDEX(周转筐出入库明细!$Q$4:$Q$2004,$Z245-2000)),IF($Z245&lt;=5200,"",IF($Z245&lt;=5800,IF(INDEX(次果筐明细!$M$4:$M$603,$Z245-5200)=0,"",INDEX(次果筐明细!$M$4:$M$603,$Z245-5200)),"")))))</f>
        <v/>
      </c>
      <c r="M245" s="37" t="str">
        <f>IF($Z245="","",IF($Z245&lt;=2000,IF(INDEX(包装物料出入库明细!$R$4:$R$2003,$Z245-0)=0,"",INDEX(包装物料出入库明细!$R$4:$R$2003,$Z245-0)),IF($Z245&lt;=4000,IF(INDEX(周转筐出入库明细!$W$4:$W$2004,$Z245-2000)=0,"",INDEX(周转筐出入库明细!$W$4:$W$2004,$Z245-2000)),IF($Z245&lt;=5200,IF(INDEX(客户自备加工筐明细!$L$4:$L$1203,$Z245-4000)=0,"",INDEX(客户自备加工筐明细!$L$4:$L$1203,$Z245-4000)),IF($Z245&lt;=5800,IF(INDEX(次果筐明细!$P$4:$P$603,$Z245-5200)=0,"",INDEX(次果筐明细!$P$4:$P$603,$Z245-5200)),"")))))</f>
        <v/>
      </c>
      <c r="N245" s="16" t="str">
        <f>IF($Z245="","",IF($Z245&lt;=2000,"",IF($Z245&lt;=4000,IF(INDEX(周转筐出入库明细!$D$4:$D$2004,$Z245-2000)=0,"",INDEX(周转筐出入库明细!$D$4:$D$2004,$Z245-2000)),IF($Z245&lt;=5200,IF(INDEX(客户自备加工筐明细!$C$4:$C$1203,$Z245-4000)=0,"",INDEX(客户自备加工筐明细!$C$4:$C$1203,$Z245-4000)),IF($Z245&lt;=5800,IF(INDEX(次果筐明细!$D$4:$D$603,$Z245-5200)=0,"",INDEX(次果筐明细!$D$4:$D$603,$Z245-5200)),"")))))</f>
        <v/>
      </c>
      <c r="O245" s="40" t="str">
        <f>IF($Z245="","",IF($Z245&lt;=2000,"",IF($Z245&lt;=4000,IF(N(INDEX(周转筐出入库明细!$J$4:$J$2004,$Z245-2000))+N(INDEX(周转筐出入库明细!$K$4:$K$2004,$Z245-2000))=0,"",N(INDEX(周转筐出入库明细!$J$4:$J$2004,$Z245-2000))+N(INDEX(周转筐出入库明细!$K$4:$K$2004,$Z245-2000))),IF($Z245&lt;=5200,IF(N(INDEX(客户自备加工筐明细!$G$4:$G$1203,$Z245-4000))=0,"",N(INDEX(客户自备加工筐明细!$G$4:$G$1203,$Z245-4000))),IF($Z245&lt;=5800,IF(ISNUMBER(SEARCH("退",INDEX(次果筐明细!$F$4:$F$603,$Z245-5200)&amp;"")),"",IF(N(INDEX(次果筐明细!$G$4:$G$603,$Z245-5200))=0,"",N(INDEX(次果筐明细!$G$4:$G$603,$Z245-5200)))),"")))))</f>
        <v/>
      </c>
      <c r="P245" s="40" t="str">
        <f>IF($Z245="","",IF($Z245&lt;=2000,"",IF($Z245&lt;=4000,IF(N(INDEX(周转筐出入库明细!$I$4:$I$2004,$Z245-2000))=0,"",N(INDEX(周转筐出入库明细!$I$4:$I$2004,$Z245-2000))),IF($Z245&lt;=5200,"",IF($Z245&lt;=5800,IF(ISNUMBER(SEARCH("退",INDEX(次果筐明细!$F$4:$F$603,$Z245-5200)&amp;"")),IF(N(INDEX(次果筐明细!$G$4:$G$603,$Z245-5200))=0,"",N(INDEX(次果筐明细!$G$4:$G$603,$Z245-5200))),""),"")))))</f>
        <v/>
      </c>
      <c r="Q245" s="40" t="str">
        <f>IF($Z245="","",IF($Z245&lt;=2000,"",IF($Z245&lt;=4000,IF(N(INDEX(周转筐出入库明细!$H$4:$H$2004,$Z245-2000))=0,"",N(INDEX(周转筐出入库明细!$H$4:$H$2004,$Z245-2000))),IF($Z245&lt;=5200,IF(N(INDEX(客户自备加工筐明细!$F$4:$F$1203,$Z245-4000))=0,"",N(INDEX(客户自备加工筐明细!$F$4:$F$1203,$Z245-4000))),IF($Z245&lt;=5800,"","")))))</f>
        <v/>
      </c>
      <c r="R245" s="16" t="str">
        <f>IF($Z245="","",IF($Z245&lt;=2000,IF(INDEX(包装物料出入库明细!$O$4:$O$2003,$Z245-0)=0,"",INDEX(包装物料出入库明细!$O$4:$O$2003,$Z245-0)),IF($Z245&lt;=4000,IF(INDEX(周转筐出入库明细!$M$4:$M$2004,$Z245-2000)=0,"",INDEX(周转筐出入库明细!$M$4:$M$2004,$Z245-2000)),IF($Z245&lt;=5200,IF(INDEX(客户自备加工筐明细!$H$4:$H$1203,$Z245-4000)=0,"",INDEX(客户自备加工筐明细!$H$4:$H$1203,$Z245-4000)),IF($Z245&lt;=5800,IF(INDEX(次果筐明细!$H$4:$H$603,$Z245-5200)=0,"",INDEX(次果筐明细!$H$4:$H$603,$Z245-5200)),"")))))</f>
        <v/>
      </c>
      <c r="S245" s="22" t="str">
        <f t="shared" si="11"/>
        <v/>
      </c>
      <c r="Z245" s="10" t="str">
        <f>IFERROR(MATCH(ROW()-3,_自动清单!$CQ$4:$CQ$5803,0),"")</f>
        <v/>
      </c>
    </row>
    <row r="246" spans="1:26">
      <c r="A246" s="24" t="str">
        <f t="shared" si="9"/>
        <v/>
      </c>
      <c r="B246" s="38" t="str">
        <f>IF($Z246="","",IF($Z246&lt;=2000,IF(INDEX(包装物料出入库明细!$B$4:$B$2003,$Z246-0)=0,"",INDEX(包装物料出入库明细!$B$4:$B$2003,$Z246-0)),IF($Z246&lt;=4000,IF(INDEX(周转筐出入库明细!$B$4:$B$2004,$Z246-2000)=0,"",INDEX(周转筐出入库明细!$B$4:$B$2004,$Z246-2000)),IF($Z246&lt;=5200,IF(INDEX(客户自备加工筐明细!$B$4:$B$1203,$Z246-4000)=0,"",INDEX(客户自备加工筐明细!$B$4:$B$1203,$Z246-4000)),IF($Z246&lt;=5800,IF(INDEX(次果筐明细!$B$4:$B$603,$Z246-5200)=0,"",INDEX(次果筐明细!$B$4:$B$603,$Z246-5200)),"")))))</f>
        <v/>
      </c>
      <c r="C246" s="37" t="str">
        <f>IF($Z246="","",IF($Z246&lt;=2000,IF(INDEX(包装物料出入库明细!$D$4:$D$2003,$Z246-0)=0,"",INDEX(包装物料出入库明细!$D$4:$D$2003,$Z246-0)),IF($Z246&lt;=4000,IF(INDEX(周转筐出入库明细!$C$4:$C$2004,$Z246-2000)=0,"",INDEX(周转筐出入库明细!$C$4:$C$2004,$Z246-2000)),IF($Z246&lt;=5200,IF(INDEX(客户自备加工筐明细!$E$4:$E$1203,$Z246-4000)=0,"",INDEX(客户自备加工筐明细!$E$4:$E$1203,$Z246-4000)),IF($Z246&lt;=5800,IF(INDEX(次果筐明细!$C$4:$C$603,$Z246-5200)=0,"",INDEX(次果筐明细!$C$4:$C$603,$Z246-5200)),"")))))</f>
        <v/>
      </c>
      <c r="D246" s="37" t="str">
        <f>IF($Z246="","",IF($Z246&lt;=2000,"包装物料－"&amp;INDEX(包装物料出入库明细!$H$4:$H$2003,$Z246-0),IF($Z246&lt;=4000,"周转筐－"&amp;INDEX(周转筐出入库明细!$F$4:$F$2004,$Z246-2000),IF($Z246&lt;=5200,"客户自备筐－"&amp;INDEX(客户自备加工筐明细!$J$4:$J$1203,$Z246-4000),IF($Z246&lt;=5800,"次果筐/托盘－"&amp;INDEX(次果筐明细!$F$4:$F$603,$Z246-5200),"")))))</f>
        <v/>
      </c>
      <c r="E246" s="24" t="str">
        <f>IF($Z246="","",IF($Z246&lt;=2000,IF(INDEX(包装物料出入库明细!$C$4:$C$2003,$Z246-0)=0,"",INDEX(包装物料出入库明细!$C$4:$C$2003,$Z246-0)),IF($Z246&lt;=4000,IF(INDEX(周转筐出入库明细!$E$4:$E$2004,$Z246-2000)=0,"",INDEX(周转筐出入库明细!$E$4:$E$2004,$Z246-2000)),IF($Z246&lt;=5200,IF(INDEX(客户自备加工筐明细!$D$4:$D$1203,$Z246-4000)=0,"",INDEX(客户自备加工筐明细!$D$4:$D$1203,$Z246-4000)),IF($Z246&lt;=5800,IF(INDEX(次果筐明细!$E$4:$E$603,$Z246-5200)=0,"",INDEX(次果筐明细!$E$4:$E$603,$Z246-5200)),"")))))</f>
        <v/>
      </c>
      <c r="F246" s="24" t="str">
        <f>IF($Z246="","",IF($Z246&lt;=2000,IF(INDEX(包装物料出入库明细!$E$4:$E$2003,$Z246-0)=0,"",INDEX(包装物料出入库明细!$E$4:$E$2003,$Z246-0)),IF($Z246&lt;=4000,IF(INDEX(周转筐出入库明细!$D$4:$D$2004,$Z246-2000)=0,"",INDEX(周转筐出入库明细!$D$4:$D$2004,$Z246-2000)),IF($Z246&lt;=5200,IF(INDEX(客户自备加工筐明细!$C$4:$C$1203,$Z246-4000)=0,"",INDEX(客户自备加工筐明细!$C$4:$C$1203,$Z246-4000)),IF($Z246&lt;=5800,IF(INDEX(次果筐明细!$D$4:$D$603,$Z246-5200)=0,"",INDEX(次果筐明细!$D$4:$D$603,$Z246-5200)),"")))))</f>
        <v/>
      </c>
      <c r="G246" s="24" t="str">
        <f>IF($Z246="","",IF($Z246&lt;=2000,IF(INDEX(包装物料出入库明细!$F$4:$F$2003,$Z246-0)=0,"",INDEX(包装物料出入库明细!$F$4:$F$2003,$Z246-0)),IF($Z246&lt;=4000,"",IF($Z246&lt;=5200,"",IF($Z246&lt;=5800,"","")))))</f>
        <v/>
      </c>
      <c r="H246" s="39" t="str">
        <f>IF($Z246="","",IF($Z246&lt;=2000,IF(INDEX(包装物料出入库明细!$L$4:$L$2003,$Z246-0)=0,"",INDEX(包装物料出入库明细!$L$4:$L$2003,$Z246-0)),IF($Z246&lt;=4000,N(INDEX(周转筐出入库明细!$H$4:$H$2004,$Z246-2000))+N(INDEX(周转筐出入库明细!$I$4:$I$2004,$Z246-2000))+N(INDEX(周转筐出入库明细!$J$4:$J$2004,$Z246-2000))+N(INDEX(周转筐出入库明细!$K$4:$K$2004,$Z246-2000)),IF($Z246&lt;=5200,N(INDEX(客户自备加工筐明细!$F$4:$F$1203,$Z246-4000))+N(INDEX(客户自备加工筐明细!$G$4:$G$1203,$Z246-4000)),IF($Z246&lt;=5800,IF(INDEX(次果筐明细!$G$4:$G$603,$Z246-5200)=0,"",INDEX(次果筐明细!$G$4:$G$603,$Z246-5200)),"")))))</f>
        <v/>
      </c>
      <c r="I246" s="24" t="str">
        <f>IF($Z246="","",IF($Z246&lt;=2000,IF(INDEX(包装物料出入库明细!$G$4:$G$2003,$Z246-0)=0,"",INDEX(包装物料出入库明细!$G$4:$G$2003,$Z246-0)),IF($Z246&lt;=4000,"个",IF($Z246&lt;=5200,"个",IF($Z246&lt;=5800,"个","")))))</f>
        <v/>
      </c>
      <c r="J246" s="30" t="str">
        <f t="shared" si="10"/>
        <v/>
      </c>
      <c r="K246" s="30" t="str">
        <f>IF($Z246="","",IF($Z246&lt;=2000,IF(INDEX(包装物料出入库明细!$N$4:$N$2003,$Z246-0)=0,"",INDEX(包装物料出入库明细!$N$4:$N$2003,$Z246-0)),IF($Z246&lt;=4000,IF(INDEX(周转筐出入库明细!$P$4:$P$2004,$Z246-2000)=0,"",INDEX(周转筐出入库明细!$P$4:$P$2004,$Z246-2000)),IF($Z246&lt;=5200,"",IF($Z246&lt;=5800,N(INDEX(次果筐明细!$L$4:$L$603,$Z246-5200))+N(INDEX(次果筐明细!$J$4:$J$603,$Z246-5200)),"")))))</f>
        <v/>
      </c>
      <c r="L246" s="24" t="str">
        <f>IF($Z246="","",IF($Z246&lt;=2000,IF(INDEX(包装物料出入库明细!$P$4:$P$2003,$Z246-0)=0,"",INDEX(包装物料出入库明细!$P$4:$P$2003,$Z246-0)),IF($Z246&lt;=4000,IF(INDEX(周转筐出入库明细!$Q$4:$Q$2004,$Z246-2000)=0,"",INDEX(周转筐出入库明细!$Q$4:$Q$2004,$Z246-2000)),IF($Z246&lt;=5200,"",IF($Z246&lt;=5800,IF(INDEX(次果筐明细!$M$4:$M$603,$Z246-5200)=0,"",INDEX(次果筐明细!$M$4:$M$603,$Z246-5200)),"")))))</f>
        <v/>
      </c>
      <c r="M246" s="37" t="str">
        <f>IF($Z246="","",IF($Z246&lt;=2000,IF(INDEX(包装物料出入库明细!$R$4:$R$2003,$Z246-0)=0,"",INDEX(包装物料出入库明细!$R$4:$R$2003,$Z246-0)),IF($Z246&lt;=4000,IF(INDEX(周转筐出入库明细!$W$4:$W$2004,$Z246-2000)=0,"",INDEX(周转筐出入库明细!$W$4:$W$2004,$Z246-2000)),IF($Z246&lt;=5200,IF(INDEX(客户自备加工筐明细!$L$4:$L$1203,$Z246-4000)=0,"",INDEX(客户自备加工筐明细!$L$4:$L$1203,$Z246-4000)),IF($Z246&lt;=5800,IF(INDEX(次果筐明细!$P$4:$P$603,$Z246-5200)=0,"",INDEX(次果筐明细!$P$4:$P$603,$Z246-5200)),"")))))</f>
        <v/>
      </c>
      <c r="N246" s="16" t="str">
        <f>IF($Z246="","",IF($Z246&lt;=2000,"",IF($Z246&lt;=4000,IF(INDEX(周转筐出入库明细!$D$4:$D$2004,$Z246-2000)=0,"",INDEX(周转筐出入库明细!$D$4:$D$2004,$Z246-2000)),IF($Z246&lt;=5200,IF(INDEX(客户自备加工筐明细!$C$4:$C$1203,$Z246-4000)=0,"",INDEX(客户自备加工筐明细!$C$4:$C$1203,$Z246-4000)),IF($Z246&lt;=5800,IF(INDEX(次果筐明细!$D$4:$D$603,$Z246-5200)=0,"",INDEX(次果筐明细!$D$4:$D$603,$Z246-5200)),"")))))</f>
        <v/>
      </c>
      <c r="O246" s="40" t="str">
        <f>IF($Z246="","",IF($Z246&lt;=2000,"",IF($Z246&lt;=4000,IF(N(INDEX(周转筐出入库明细!$J$4:$J$2004,$Z246-2000))+N(INDEX(周转筐出入库明细!$K$4:$K$2004,$Z246-2000))=0,"",N(INDEX(周转筐出入库明细!$J$4:$J$2004,$Z246-2000))+N(INDEX(周转筐出入库明细!$K$4:$K$2004,$Z246-2000))),IF($Z246&lt;=5200,IF(N(INDEX(客户自备加工筐明细!$G$4:$G$1203,$Z246-4000))=0,"",N(INDEX(客户自备加工筐明细!$G$4:$G$1203,$Z246-4000))),IF($Z246&lt;=5800,IF(ISNUMBER(SEARCH("退",INDEX(次果筐明细!$F$4:$F$603,$Z246-5200)&amp;"")),"",IF(N(INDEX(次果筐明细!$G$4:$G$603,$Z246-5200))=0,"",N(INDEX(次果筐明细!$G$4:$G$603,$Z246-5200)))),"")))))</f>
        <v/>
      </c>
      <c r="P246" s="40" t="str">
        <f>IF($Z246="","",IF($Z246&lt;=2000,"",IF($Z246&lt;=4000,IF(N(INDEX(周转筐出入库明细!$I$4:$I$2004,$Z246-2000))=0,"",N(INDEX(周转筐出入库明细!$I$4:$I$2004,$Z246-2000))),IF($Z246&lt;=5200,"",IF($Z246&lt;=5800,IF(ISNUMBER(SEARCH("退",INDEX(次果筐明细!$F$4:$F$603,$Z246-5200)&amp;"")),IF(N(INDEX(次果筐明细!$G$4:$G$603,$Z246-5200))=0,"",N(INDEX(次果筐明细!$G$4:$G$603,$Z246-5200))),""),"")))))</f>
        <v/>
      </c>
      <c r="Q246" s="40" t="str">
        <f>IF($Z246="","",IF($Z246&lt;=2000,"",IF($Z246&lt;=4000,IF(N(INDEX(周转筐出入库明细!$H$4:$H$2004,$Z246-2000))=0,"",N(INDEX(周转筐出入库明细!$H$4:$H$2004,$Z246-2000))),IF($Z246&lt;=5200,IF(N(INDEX(客户自备加工筐明细!$F$4:$F$1203,$Z246-4000))=0,"",N(INDEX(客户自备加工筐明细!$F$4:$F$1203,$Z246-4000))),IF($Z246&lt;=5800,"","")))))</f>
        <v/>
      </c>
      <c r="R246" s="16" t="str">
        <f>IF($Z246="","",IF($Z246&lt;=2000,IF(INDEX(包装物料出入库明细!$O$4:$O$2003,$Z246-0)=0,"",INDEX(包装物料出入库明细!$O$4:$O$2003,$Z246-0)),IF($Z246&lt;=4000,IF(INDEX(周转筐出入库明细!$M$4:$M$2004,$Z246-2000)=0,"",INDEX(周转筐出入库明细!$M$4:$M$2004,$Z246-2000)),IF($Z246&lt;=5200,IF(INDEX(客户自备加工筐明细!$H$4:$H$1203,$Z246-4000)=0,"",INDEX(客户自备加工筐明细!$H$4:$H$1203,$Z246-4000)),IF($Z246&lt;=5800,IF(INDEX(次果筐明细!$H$4:$H$603,$Z246-5200)=0,"",INDEX(次果筐明细!$H$4:$H$603,$Z246-5200)),"")))))</f>
        <v/>
      </c>
      <c r="S246" s="22" t="str">
        <f t="shared" si="11"/>
        <v/>
      </c>
      <c r="Z246" s="10" t="str">
        <f>IFERROR(MATCH(ROW()-3,_自动清单!$CQ$4:$CQ$5803,0),"")</f>
        <v/>
      </c>
    </row>
    <row r="247" spans="1:26">
      <c r="A247" s="24" t="str">
        <f t="shared" si="9"/>
        <v/>
      </c>
      <c r="B247" s="38" t="str">
        <f>IF($Z247="","",IF($Z247&lt;=2000,IF(INDEX(包装物料出入库明细!$B$4:$B$2003,$Z247-0)=0,"",INDEX(包装物料出入库明细!$B$4:$B$2003,$Z247-0)),IF($Z247&lt;=4000,IF(INDEX(周转筐出入库明细!$B$4:$B$2004,$Z247-2000)=0,"",INDEX(周转筐出入库明细!$B$4:$B$2004,$Z247-2000)),IF($Z247&lt;=5200,IF(INDEX(客户自备加工筐明细!$B$4:$B$1203,$Z247-4000)=0,"",INDEX(客户自备加工筐明细!$B$4:$B$1203,$Z247-4000)),IF($Z247&lt;=5800,IF(INDEX(次果筐明细!$B$4:$B$603,$Z247-5200)=0,"",INDEX(次果筐明细!$B$4:$B$603,$Z247-5200)),"")))))</f>
        <v/>
      </c>
      <c r="C247" s="37" t="str">
        <f>IF($Z247="","",IF($Z247&lt;=2000,IF(INDEX(包装物料出入库明细!$D$4:$D$2003,$Z247-0)=0,"",INDEX(包装物料出入库明细!$D$4:$D$2003,$Z247-0)),IF($Z247&lt;=4000,IF(INDEX(周转筐出入库明细!$C$4:$C$2004,$Z247-2000)=0,"",INDEX(周转筐出入库明细!$C$4:$C$2004,$Z247-2000)),IF($Z247&lt;=5200,IF(INDEX(客户自备加工筐明细!$E$4:$E$1203,$Z247-4000)=0,"",INDEX(客户自备加工筐明细!$E$4:$E$1203,$Z247-4000)),IF($Z247&lt;=5800,IF(INDEX(次果筐明细!$C$4:$C$603,$Z247-5200)=0,"",INDEX(次果筐明细!$C$4:$C$603,$Z247-5200)),"")))))</f>
        <v/>
      </c>
      <c r="D247" s="37" t="str">
        <f>IF($Z247="","",IF($Z247&lt;=2000,"包装物料－"&amp;INDEX(包装物料出入库明细!$H$4:$H$2003,$Z247-0),IF($Z247&lt;=4000,"周转筐－"&amp;INDEX(周转筐出入库明细!$F$4:$F$2004,$Z247-2000),IF($Z247&lt;=5200,"客户自备筐－"&amp;INDEX(客户自备加工筐明细!$J$4:$J$1203,$Z247-4000),IF($Z247&lt;=5800,"次果筐/托盘－"&amp;INDEX(次果筐明细!$F$4:$F$603,$Z247-5200),"")))))</f>
        <v/>
      </c>
      <c r="E247" s="24" t="str">
        <f>IF($Z247="","",IF($Z247&lt;=2000,IF(INDEX(包装物料出入库明细!$C$4:$C$2003,$Z247-0)=0,"",INDEX(包装物料出入库明细!$C$4:$C$2003,$Z247-0)),IF($Z247&lt;=4000,IF(INDEX(周转筐出入库明细!$E$4:$E$2004,$Z247-2000)=0,"",INDEX(周转筐出入库明细!$E$4:$E$2004,$Z247-2000)),IF($Z247&lt;=5200,IF(INDEX(客户自备加工筐明细!$D$4:$D$1203,$Z247-4000)=0,"",INDEX(客户自备加工筐明细!$D$4:$D$1203,$Z247-4000)),IF($Z247&lt;=5800,IF(INDEX(次果筐明细!$E$4:$E$603,$Z247-5200)=0,"",INDEX(次果筐明细!$E$4:$E$603,$Z247-5200)),"")))))</f>
        <v/>
      </c>
      <c r="F247" s="24" t="str">
        <f>IF($Z247="","",IF($Z247&lt;=2000,IF(INDEX(包装物料出入库明细!$E$4:$E$2003,$Z247-0)=0,"",INDEX(包装物料出入库明细!$E$4:$E$2003,$Z247-0)),IF($Z247&lt;=4000,IF(INDEX(周转筐出入库明细!$D$4:$D$2004,$Z247-2000)=0,"",INDEX(周转筐出入库明细!$D$4:$D$2004,$Z247-2000)),IF($Z247&lt;=5200,IF(INDEX(客户自备加工筐明细!$C$4:$C$1203,$Z247-4000)=0,"",INDEX(客户自备加工筐明细!$C$4:$C$1203,$Z247-4000)),IF($Z247&lt;=5800,IF(INDEX(次果筐明细!$D$4:$D$603,$Z247-5200)=0,"",INDEX(次果筐明细!$D$4:$D$603,$Z247-5200)),"")))))</f>
        <v/>
      </c>
      <c r="G247" s="24" t="str">
        <f>IF($Z247="","",IF($Z247&lt;=2000,IF(INDEX(包装物料出入库明细!$F$4:$F$2003,$Z247-0)=0,"",INDEX(包装物料出入库明细!$F$4:$F$2003,$Z247-0)),IF($Z247&lt;=4000,"",IF($Z247&lt;=5200,"",IF($Z247&lt;=5800,"","")))))</f>
        <v/>
      </c>
      <c r="H247" s="39" t="str">
        <f>IF($Z247="","",IF($Z247&lt;=2000,IF(INDEX(包装物料出入库明细!$L$4:$L$2003,$Z247-0)=0,"",INDEX(包装物料出入库明细!$L$4:$L$2003,$Z247-0)),IF($Z247&lt;=4000,N(INDEX(周转筐出入库明细!$H$4:$H$2004,$Z247-2000))+N(INDEX(周转筐出入库明细!$I$4:$I$2004,$Z247-2000))+N(INDEX(周转筐出入库明细!$J$4:$J$2004,$Z247-2000))+N(INDEX(周转筐出入库明细!$K$4:$K$2004,$Z247-2000)),IF($Z247&lt;=5200,N(INDEX(客户自备加工筐明细!$F$4:$F$1203,$Z247-4000))+N(INDEX(客户自备加工筐明细!$G$4:$G$1203,$Z247-4000)),IF($Z247&lt;=5800,IF(INDEX(次果筐明细!$G$4:$G$603,$Z247-5200)=0,"",INDEX(次果筐明细!$G$4:$G$603,$Z247-5200)),"")))))</f>
        <v/>
      </c>
      <c r="I247" s="24" t="str">
        <f>IF($Z247="","",IF($Z247&lt;=2000,IF(INDEX(包装物料出入库明细!$G$4:$G$2003,$Z247-0)=0,"",INDEX(包装物料出入库明细!$G$4:$G$2003,$Z247-0)),IF($Z247&lt;=4000,"个",IF($Z247&lt;=5200,"个",IF($Z247&lt;=5800,"个","")))))</f>
        <v/>
      </c>
      <c r="J247" s="30" t="str">
        <f t="shared" si="10"/>
        <v/>
      </c>
      <c r="K247" s="30" t="str">
        <f>IF($Z247="","",IF($Z247&lt;=2000,IF(INDEX(包装物料出入库明细!$N$4:$N$2003,$Z247-0)=0,"",INDEX(包装物料出入库明细!$N$4:$N$2003,$Z247-0)),IF($Z247&lt;=4000,IF(INDEX(周转筐出入库明细!$P$4:$P$2004,$Z247-2000)=0,"",INDEX(周转筐出入库明细!$P$4:$P$2004,$Z247-2000)),IF($Z247&lt;=5200,"",IF($Z247&lt;=5800,N(INDEX(次果筐明细!$L$4:$L$603,$Z247-5200))+N(INDEX(次果筐明细!$J$4:$J$603,$Z247-5200)),"")))))</f>
        <v/>
      </c>
      <c r="L247" s="24" t="str">
        <f>IF($Z247="","",IF($Z247&lt;=2000,IF(INDEX(包装物料出入库明细!$P$4:$P$2003,$Z247-0)=0,"",INDEX(包装物料出入库明细!$P$4:$P$2003,$Z247-0)),IF($Z247&lt;=4000,IF(INDEX(周转筐出入库明细!$Q$4:$Q$2004,$Z247-2000)=0,"",INDEX(周转筐出入库明细!$Q$4:$Q$2004,$Z247-2000)),IF($Z247&lt;=5200,"",IF($Z247&lt;=5800,IF(INDEX(次果筐明细!$M$4:$M$603,$Z247-5200)=0,"",INDEX(次果筐明细!$M$4:$M$603,$Z247-5200)),"")))))</f>
        <v/>
      </c>
      <c r="M247" s="37" t="str">
        <f>IF($Z247="","",IF($Z247&lt;=2000,IF(INDEX(包装物料出入库明细!$R$4:$R$2003,$Z247-0)=0,"",INDEX(包装物料出入库明细!$R$4:$R$2003,$Z247-0)),IF($Z247&lt;=4000,IF(INDEX(周转筐出入库明细!$W$4:$W$2004,$Z247-2000)=0,"",INDEX(周转筐出入库明细!$W$4:$W$2004,$Z247-2000)),IF($Z247&lt;=5200,IF(INDEX(客户自备加工筐明细!$L$4:$L$1203,$Z247-4000)=0,"",INDEX(客户自备加工筐明细!$L$4:$L$1203,$Z247-4000)),IF($Z247&lt;=5800,IF(INDEX(次果筐明细!$P$4:$P$603,$Z247-5200)=0,"",INDEX(次果筐明细!$P$4:$P$603,$Z247-5200)),"")))))</f>
        <v/>
      </c>
      <c r="N247" s="16" t="str">
        <f>IF($Z247="","",IF($Z247&lt;=2000,"",IF($Z247&lt;=4000,IF(INDEX(周转筐出入库明细!$D$4:$D$2004,$Z247-2000)=0,"",INDEX(周转筐出入库明细!$D$4:$D$2004,$Z247-2000)),IF($Z247&lt;=5200,IF(INDEX(客户自备加工筐明细!$C$4:$C$1203,$Z247-4000)=0,"",INDEX(客户自备加工筐明细!$C$4:$C$1203,$Z247-4000)),IF($Z247&lt;=5800,IF(INDEX(次果筐明细!$D$4:$D$603,$Z247-5200)=0,"",INDEX(次果筐明细!$D$4:$D$603,$Z247-5200)),"")))))</f>
        <v/>
      </c>
      <c r="O247" s="40" t="str">
        <f>IF($Z247="","",IF($Z247&lt;=2000,"",IF($Z247&lt;=4000,IF(N(INDEX(周转筐出入库明细!$J$4:$J$2004,$Z247-2000))+N(INDEX(周转筐出入库明细!$K$4:$K$2004,$Z247-2000))=0,"",N(INDEX(周转筐出入库明细!$J$4:$J$2004,$Z247-2000))+N(INDEX(周转筐出入库明细!$K$4:$K$2004,$Z247-2000))),IF($Z247&lt;=5200,IF(N(INDEX(客户自备加工筐明细!$G$4:$G$1203,$Z247-4000))=0,"",N(INDEX(客户自备加工筐明细!$G$4:$G$1203,$Z247-4000))),IF($Z247&lt;=5800,IF(ISNUMBER(SEARCH("退",INDEX(次果筐明细!$F$4:$F$603,$Z247-5200)&amp;"")),"",IF(N(INDEX(次果筐明细!$G$4:$G$603,$Z247-5200))=0,"",N(INDEX(次果筐明细!$G$4:$G$603,$Z247-5200)))),"")))))</f>
        <v/>
      </c>
      <c r="P247" s="40" t="str">
        <f>IF($Z247="","",IF($Z247&lt;=2000,"",IF($Z247&lt;=4000,IF(N(INDEX(周转筐出入库明细!$I$4:$I$2004,$Z247-2000))=0,"",N(INDEX(周转筐出入库明细!$I$4:$I$2004,$Z247-2000))),IF($Z247&lt;=5200,"",IF($Z247&lt;=5800,IF(ISNUMBER(SEARCH("退",INDEX(次果筐明细!$F$4:$F$603,$Z247-5200)&amp;"")),IF(N(INDEX(次果筐明细!$G$4:$G$603,$Z247-5200))=0,"",N(INDEX(次果筐明细!$G$4:$G$603,$Z247-5200))),""),"")))))</f>
        <v/>
      </c>
      <c r="Q247" s="40" t="str">
        <f>IF($Z247="","",IF($Z247&lt;=2000,"",IF($Z247&lt;=4000,IF(N(INDEX(周转筐出入库明细!$H$4:$H$2004,$Z247-2000))=0,"",N(INDEX(周转筐出入库明细!$H$4:$H$2004,$Z247-2000))),IF($Z247&lt;=5200,IF(N(INDEX(客户自备加工筐明细!$F$4:$F$1203,$Z247-4000))=0,"",N(INDEX(客户自备加工筐明细!$F$4:$F$1203,$Z247-4000))),IF($Z247&lt;=5800,"","")))))</f>
        <v/>
      </c>
      <c r="R247" s="16" t="str">
        <f>IF($Z247="","",IF($Z247&lt;=2000,IF(INDEX(包装物料出入库明细!$O$4:$O$2003,$Z247-0)=0,"",INDEX(包装物料出入库明细!$O$4:$O$2003,$Z247-0)),IF($Z247&lt;=4000,IF(INDEX(周转筐出入库明细!$M$4:$M$2004,$Z247-2000)=0,"",INDEX(周转筐出入库明细!$M$4:$M$2004,$Z247-2000)),IF($Z247&lt;=5200,IF(INDEX(客户自备加工筐明细!$H$4:$H$1203,$Z247-4000)=0,"",INDEX(客户自备加工筐明细!$H$4:$H$1203,$Z247-4000)),IF($Z247&lt;=5800,IF(INDEX(次果筐明细!$H$4:$H$603,$Z247-5200)=0,"",INDEX(次果筐明细!$H$4:$H$603,$Z247-5200)),"")))))</f>
        <v/>
      </c>
      <c r="S247" s="22" t="str">
        <f t="shared" si="11"/>
        <v/>
      </c>
      <c r="Z247" s="10" t="str">
        <f>IFERROR(MATCH(ROW()-3,_自动清单!$CQ$4:$CQ$5803,0),"")</f>
        <v/>
      </c>
    </row>
    <row r="248" spans="1:26">
      <c r="A248" s="24" t="str">
        <f t="shared" si="9"/>
        <v/>
      </c>
      <c r="B248" s="38" t="str">
        <f>IF($Z248="","",IF($Z248&lt;=2000,IF(INDEX(包装物料出入库明细!$B$4:$B$2003,$Z248-0)=0,"",INDEX(包装物料出入库明细!$B$4:$B$2003,$Z248-0)),IF($Z248&lt;=4000,IF(INDEX(周转筐出入库明细!$B$4:$B$2004,$Z248-2000)=0,"",INDEX(周转筐出入库明细!$B$4:$B$2004,$Z248-2000)),IF($Z248&lt;=5200,IF(INDEX(客户自备加工筐明细!$B$4:$B$1203,$Z248-4000)=0,"",INDEX(客户自备加工筐明细!$B$4:$B$1203,$Z248-4000)),IF($Z248&lt;=5800,IF(INDEX(次果筐明细!$B$4:$B$603,$Z248-5200)=0,"",INDEX(次果筐明细!$B$4:$B$603,$Z248-5200)),"")))))</f>
        <v/>
      </c>
      <c r="C248" s="37" t="str">
        <f>IF($Z248="","",IF($Z248&lt;=2000,IF(INDEX(包装物料出入库明细!$D$4:$D$2003,$Z248-0)=0,"",INDEX(包装物料出入库明细!$D$4:$D$2003,$Z248-0)),IF($Z248&lt;=4000,IF(INDEX(周转筐出入库明细!$C$4:$C$2004,$Z248-2000)=0,"",INDEX(周转筐出入库明细!$C$4:$C$2004,$Z248-2000)),IF($Z248&lt;=5200,IF(INDEX(客户自备加工筐明细!$E$4:$E$1203,$Z248-4000)=0,"",INDEX(客户自备加工筐明细!$E$4:$E$1203,$Z248-4000)),IF($Z248&lt;=5800,IF(INDEX(次果筐明细!$C$4:$C$603,$Z248-5200)=0,"",INDEX(次果筐明细!$C$4:$C$603,$Z248-5200)),"")))))</f>
        <v/>
      </c>
      <c r="D248" s="37" t="str">
        <f>IF($Z248="","",IF($Z248&lt;=2000,"包装物料－"&amp;INDEX(包装物料出入库明细!$H$4:$H$2003,$Z248-0),IF($Z248&lt;=4000,"周转筐－"&amp;INDEX(周转筐出入库明细!$F$4:$F$2004,$Z248-2000),IF($Z248&lt;=5200,"客户自备筐－"&amp;INDEX(客户自备加工筐明细!$J$4:$J$1203,$Z248-4000),IF($Z248&lt;=5800,"次果筐/托盘－"&amp;INDEX(次果筐明细!$F$4:$F$603,$Z248-5200),"")))))</f>
        <v/>
      </c>
      <c r="E248" s="24" t="str">
        <f>IF($Z248="","",IF($Z248&lt;=2000,IF(INDEX(包装物料出入库明细!$C$4:$C$2003,$Z248-0)=0,"",INDEX(包装物料出入库明细!$C$4:$C$2003,$Z248-0)),IF($Z248&lt;=4000,IF(INDEX(周转筐出入库明细!$E$4:$E$2004,$Z248-2000)=0,"",INDEX(周转筐出入库明细!$E$4:$E$2004,$Z248-2000)),IF($Z248&lt;=5200,IF(INDEX(客户自备加工筐明细!$D$4:$D$1203,$Z248-4000)=0,"",INDEX(客户自备加工筐明细!$D$4:$D$1203,$Z248-4000)),IF($Z248&lt;=5800,IF(INDEX(次果筐明细!$E$4:$E$603,$Z248-5200)=0,"",INDEX(次果筐明细!$E$4:$E$603,$Z248-5200)),"")))))</f>
        <v/>
      </c>
      <c r="F248" s="24" t="str">
        <f>IF($Z248="","",IF($Z248&lt;=2000,IF(INDEX(包装物料出入库明细!$E$4:$E$2003,$Z248-0)=0,"",INDEX(包装物料出入库明细!$E$4:$E$2003,$Z248-0)),IF($Z248&lt;=4000,IF(INDEX(周转筐出入库明细!$D$4:$D$2004,$Z248-2000)=0,"",INDEX(周转筐出入库明细!$D$4:$D$2004,$Z248-2000)),IF($Z248&lt;=5200,IF(INDEX(客户自备加工筐明细!$C$4:$C$1203,$Z248-4000)=0,"",INDEX(客户自备加工筐明细!$C$4:$C$1203,$Z248-4000)),IF($Z248&lt;=5800,IF(INDEX(次果筐明细!$D$4:$D$603,$Z248-5200)=0,"",INDEX(次果筐明细!$D$4:$D$603,$Z248-5200)),"")))))</f>
        <v/>
      </c>
      <c r="G248" s="24" t="str">
        <f>IF($Z248="","",IF($Z248&lt;=2000,IF(INDEX(包装物料出入库明细!$F$4:$F$2003,$Z248-0)=0,"",INDEX(包装物料出入库明细!$F$4:$F$2003,$Z248-0)),IF($Z248&lt;=4000,"",IF($Z248&lt;=5200,"",IF($Z248&lt;=5800,"","")))))</f>
        <v/>
      </c>
      <c r="H248" s="39" t="str">
        <f>IF($Z248="","",IF($Z248&lt;=2000,IF(INDEX(包装物料出入库明细!$L$4:$L$2003,$Z248-0)=0,"",INDEX(包装物料出入库明细!$L$4:$L$2003,$Z248-0)),IF($Z248&lt;=4000,N(INDEX(周转筐出入库明细!$H$4:$H$2004,$Z248-2000))+N(INDEX(周转筐出入库明细!$I$4:$I$2004,$Z248-2000))+N(INDEX(周转筐出入库明细!$J$4:$J$2004,$Z248-2000))+N(INDEX(周转筐出入库明细!$K$4:$K$2004,$Z248-2000)),IF($Z248&lt;=5200,N(INDEX(客户自备加工筐明细!$F$4:$F$1203,$Z248-4000))+N(INDEX(客户自备加工筐明细!$G$4:$G$1203,$Z248-4000)),IF($Z248&lt;=5800,IF(INDEX(次果筐明细!$G$4:$G$603,$Z248-5200)=0,"",INDEX(次果筐明细!$G$4:$G$603,$Z248-5200)),"")))))</f>
        <v/>
      </c>
      <c r="I248" s="24" t="str">
        <f>IF($Z248="","",IF($Z248&lt;=2000,IF(INDEX(包装物料出入库明细!$G$4:$G$2003,$Z248-0)=0,"",INDEX(包装物料出入库明细!$G$4:$G$2003,$Z248-0)),IF($Z248&lt;=4000,"个",IF($Z248&lt;=5200,"个",IF($Z248&lt;=5800,"个","")))))</f>
        <v/>
      </c>
      <c r="J248" s="30" t="str">
        <f t="shared" si="10"/>
        <v/>
      </c>
      <c r="K248" s="30" t="str">
        <f>IF($Z248="","",IF($Z248&lt;=2000,IF(INDEX(包装物料出入库明细!$N$4:$N$2003,$Z248-0)=0,"",INDEX(包装物料出入库明细!$N$4:$N$2003,$Z248-0)),IF($Z248&lt;=4000,IF(INDEX(周转筐出入库明细!$P$4:$P$2004,$Z248-2000)=0,"",INDEX(周转筐出入库明细!$P$4:$P$2004,$Z248-2000)),IF($Z248&lt;=5200,"",IF($Z248&lt;=5800,N(INDEX(次果筐明细!$L$4:$L$603,$Z248-5200))+N(INDEX(次果筐明细!$J$4:$J$603,$Z248-5200)),"")))))</f>
        <v/>
      </c>
      <c r="L248" s="24" t="str">
        <f>IF($Z248="","",IF($Z248&lt;=2000,IF(INDEX(包装物料出入库明细!$P$4:$P$2003,$Z248-0)=0,"",INDEX(包装物料出入库明细!$P$4:$P$2003,$Z248-0)),IF($Z248&lt;=4000,IF(INDEX(周转筐出入库明细!$Q$4:$Q$2004,$Z248-2000)=0,"",INDEX(周转筐出入库明细!$Q$4:$Q$2004,$Z248-2000)),IF($Z248&lt;=5200,"",IF($Z248&lt;=5800,IF(INDEX(次果筐明细!$M$4:$M$603,$Z248-5200)=0,"",INDEX(次果筐明细!$M$4:$M$603,$Z248-5200)),"")))))</f>
        <v/>
      </c>
      <c r="M248" s="37" t="str">
        <f>IF($Z248="","",IF($Z248&lt;=2000,IF(INDEX(包装物料出入库明细!$R$4:$R$2003,$Z248-0)=0,"",INDEX(包装物料出入库明细!$R$4:$R$2003,$Z248-0)),IF($Z248&lt;=4000,IF(INDEX(周转筐出入库明细!$W$4:$W$2004,$Z248-2000)=0,"",INDEX(周转筐出入库明细!$W$4:$W$2004,$Z248-2000)),IF($Z248&lt;=5200,IF(INDEX(客户自备加工筐明细!$L$4:$L$1203,$Z248-4000)=0,"",INDEX(客户自备加工筐明细!$L$4:$L$1203,$Z248-4000)),IF($Z248&lt;=5800,IF(INDEX(次果筐明细!$P$4:$P$603,$Z248-5200)=0,"",INDEX(次果筐明细!$P$4:$P$603,$Z248-5200)),"")))))</f>
        <v/>
      </c>
      <c r="N248" s="16" t="str">
        <f>IF($Z248="","",IF($Z248&lt;=2000,"",IF($Z248&lt;=4000,IF(INDEX(周转筐出入库明细!$D$4:$D$2004,$Z248-2000)=0,"",INDEX(周转筐出入库明细!$D$4:$D$2004,$Z248-2000)),IF($Z248&lt;=5200,IF(INDEX(客户自备加工筐明细!$C$4:$C$1203,$Z248-4000)=0,"",INDEX(客户自备加工筐明细!$C$4:$C$1203,$Z248-4000)),IF($Z248&lt;=5800,IF(INDEX(次果筐明细!$D$4:$D$603,$Z248-5200)=0,"",INDEX(次果筐明细!$D$4:$D$603,$Z248-5200)),"")))))</f>
        <v/>
      </c>
      <c r="O248" s="40" t="str">
        <f>IF($Z248="","",IF($Z248&lt;=2000,"",IF($Z248&lt;=4000,IF(N(INDEX(周转筐出入库明细!$J$4:$J$2004,$Z248-2000))+N(INDEX(周转筐出入库明细!$K$4:$K$2004,$Z248-2000))=0,"",N(INDEX(周转筐出入库明细!$J$4:$J$2004,$Z248-2000))+N(INDEX(周转筐出入库明细!$K$4:$K$2004,$Z248-2000))),IF($Z248&lt;=5200,IF(N(INDEX(客户自备加工筐明细!$G$4:$G$1203,$Z248-4000))=0,"",N(INDEX(客户自备加工筐明细!$G$4:$G$1203,$Z248-4000))),IF($Z248&lt;=5800,IF(ISNUMBER(SEARCH("退",INDEX(次果筐明细!$F$4:$F$603,$Z248-5200)&amp;"")),"",IF(N(INDEX(次果筐明细!$G$4:$G$603,$Z248-5200))=0,"",N(INDEX(次果筐明细!$G$4:$G$603,$Z248-5200)))),"")))))</f>
        <v/>
      </c>
      <c r="P248" s="40" t="str">
        <f>IF($Z248="","",IF($Z248&lt;=2000,"",IF($Z248&lt;=4000,IF(N(INDEX(周转筐出入库明细!$I$4:$I$2004,$Z248-2000))=0,"",N(INDEX(周转筐出入库明细!$I$4:$I$2004,$Z248-2000))),IF($Z248&lt;=5200,"",IF($Z248&lt;=5800,IF(ISNUMBER(SEARCH("退",INDEX(次果筐明细!$F$4:$F$603,$Z248-5200)&amp;"")),IF(N(INDEX(次果筐明细!$G$4:$G$603,$Z248-5200))=0,"",N(INDEX(次果筐明细!$G$4:$G$603,$Z248-5200))),""),"")))))</f>
        <v/>
      </c>
      <c r="Q248" s="40" t="str">
        <f>IF($Z248="","",IF($Z248&lt;=2000,"",IF($Z248&lt;=4000,IF(N(INDEX(周转筐出入库明细!$H$4:$H$2004,$Z248-2000))=0,"",N(INDEX(周转筐出入库明细!$H$4:$H$2004,$Z248-2000))),IF($Z248&lt;=5200,IF(N(INDEX(客户自备加工筐明细!$F$4:$F$1203,$Z248-4000))=0,"",N(INDEX(客户自备加工筐明细!$F$4:$F$1203,$Z248-4000))),IF($Z248&lt;=5800,"","")))))</f>
        <v/>
      </c>
      <c r="R248" s="16" t="str">
        <f>IF($Z248="","",IF($Z248&lt;=2000,IF(INDEX(包装物料出入库明细!$O$4:$O$2003,$Z248-0)=0,"",INDEX(包装物料出入库明细!$O$4:$O$2003,$Z248-0)),IF($Z248&lt;=4000,IF(INDEX(周转筐出入库明细!$M$4:$M$2004,$Z248-2000)=0,"",INDEX(周转筐出入库明细!$M$4:$M$2004,$Z248-2000)),IF($Z248&lt;=5200,IF(INDEX(客户自备加工筐明细!$H$4:$H$1203,$Z248-4000)=0,"",INDEX(客户自备加工筐明细!$H$4:$H$1203,$Z248-4000)),IF($Z248&lt;=5800,IF(INDEX(次果筐明细!$H$4:$H$603,$Z248-5200)=0,"",INDEX(次果筐明细!$H$4:$H$603,$Z248-5200)),"")))))</f>
        <v/>
      </c>
      <c r="S248" s="22" t="str">
        <f t="shared" si="11"/>
        <v/>
      </c>
      <c r="Z248" s="10" t="str">
        <f>IFERROR(MATCH(ROW()-3,_自动清单!$CQ$4:$CQ$5803,0),"")</f>
        <v/>
      </c>
    </row>
    <row r="249" spans="1:26">
      <c r="A249" s="24" t="str">
        <f t="shared" si="9"/>
        <v/>
      </c>
      <c r="B249" s="38" t="str">
        <f>IF($Z249="","",IF($Z249&lt;=2000,IF(INDEX(包装物料出入库明细!$B$4:$B$2003,$Z249-0)=0,"",INDEX(包装物料出入库明细!$B$4:$B$2003,$Z249-0)),IF($Z249&lt;=4000,IF(INDEX(周转筐出入库明细!$B$4:$B$2004,$Z249-2000)=0,"",INDEX(周转筐出入库明细!$B$4:$B$2004,$Z249-2000)),IF($Z249&lt;=5200,IF(INDEX(客户自备加工筐明细!$B$4:$B$1203,$Z249-4000)=0,"",INDEX(客户自备加工筐明细!$B$4:$B$1203,$Z249-4000)),IF($Z249&lt;=5800,IF(INDEX(次果筐明细!$B$4:$B$603,$Z249-5200)=0,"",INDEX(次果筐明细!$B$4:$B$603,$Z249-5200)),"")))))</f>
        <v/>
      </c>
      <c r="C249" s="37" t="str">
        <f>IF($Z249="","",IF($Z249&lt;=2000,IF(INDEX(包装物料出入库明细!$D$4:$D$2003,$Z249-0)=0,"",INDEX(包装物料出入库明细!$D$4:$D$2003,$Z249-0)),IF($Z249&lt;=4000,IF(INDEX(周转筐出入库明细!$C$4:$C$2004,$Z249-2000)=0,"",INDEX(周转筐出入库明细!$C$4:$C$2004,$Z249-2000)),IF($Z249&lt;=5200,IF(INDEX(客户自备加工筐明细!$E$4:$E$1203,$Z249-4000)=0,"",INDEX(客户自备加工筐明细!$E$4:$E$1203,$Z249-4000)),IF($Z249&lt;=5800,IF(INDEX(次果筐明细!$C$4:$C$603,$Z249-5200)=0,"",INDEX(次果筐明细!$C$4:$C$603,$Z249-5200)),"")))))</f>
        <v/>
      </c>
      <c r="D249" s="37" t="str">
        <f>IF($Z249="","",IF($Z249&lt;=2000,"包装物料－"&amp;INDEX(包装物料出入库明细!$H$4:$H$2003,$Z249-0),IF($Z249&lt;=4000,"周转筐－"&amp;INDEX(周转筐出入库明细!$F$4:$F$2004,$Z249-2000),IF($Z249&lt;=5200,"客户自备筐－"&amp;INDEX(客户自备加工筐明细!$J$4:$J$1203,$Z249-4000),IF($Z249&lt;=5800,"次果筐/托盘－"&amp;INDEX(次果筐明细!$F$4:$F$603,$Z249-5200),"")))))</f>
        <v/>
      </c>
      <c r="E249" s="24" t="str">
        <f>IF($Z249="","",IF($Z249&lt;=2000,IF(INDEX(包装物料出入库明细!$C$4:$C$2003,$Z249-0)=0,"",INDEX(包装物料出入库明细!$C$4:$C$2003,$Z249-0)),IF($Z249&lt;=4000,IF(INDEX(周转筐出入库明细!$E$4:$E$2004,$Z249-2000)=0,"",INDEX(周转筐出入库明细!$E$4:$E$2004,$Z249-2000)),IF($Z249&lt;=5200,IF(INDEX(客户自备加工筐明细!$D$4:$D$1203,$Z249-4000)=0,"",INDEX(客户自备加工筐明细!$D$4:$D$1203,$Z249-4000)),IF($Z249&lt;=5800,IF(INDEX(次果筐明细!$E$4:$E$603,$Z249-5200)=0,"",INDEX(次果筐明细!$E$4:$E$603,$Z249-5200)),"")))))</f>
        <v/>
      </c>
      <c r="F249" s="24" t="str">
        <f>IF($Z249="","",IF($Z249&lt;=2000,IF(INDEX(包装物料出入库明细!$E$4:$E$2003,$Z249-0)=0,"",INDEX(包装物料出入库明细!$E$4:$E$2003,$Z249-0)),IF($Z249&lt;=4000,IF(INDEX(周转筐出入库明细!$D$4:$D$2004,$Z249-2000)=0,"",INDEX(周转筐出入库明细!$D$4:$D$2004,$Z249-2000)),IF($Z249&lt;=5200,IF(INDEX(客户自备加工筐明细!$C$4:$C$1203,$Z249-4000)=0,"",INDEX(客户自备加工筐明细!$C$4:$C$1203,$Z249-4000)),IF($Z249&lt;=5800,IF(INDEX(次果筐明细!$D$4:$D$603,$Z249-5200)=0,"",INDEX(次果筐明细!$D$4:$D$603,$Z249-5200)),"")))))</f>
        <v/>
      </c>
      <c r="G249" s="24" t="str">
        <f>IF($Z249="","",IF($Z249&lt;=2000,IF(INDEX(包装物料出入库明细!$F$4:$F$2003,$Z249-0)=0,"",INDEX(包装物料出入库明细!$F$4:$F$2003,$Z249-0)),IF($Z249&lt;=4000,"",IF($Z249&lt;=5200,"",IF($Z249&lt;=5800,"","")))))</f>
        <v/>
      </c>
      <c r="H249" s="39" t="str">
        <f>IF($Z249="","",IF($Z249&lt;=2000,IF(INDEX(包装物料出入库明细!$L$4:$L$2003,$Z249-0)=0,"",INDEX(包装物料出入库明细!$L$4:$L$2003,$Z249-0)),IF($Z249&lt;=4000,N(INDEX(周转筐出入库明细!$H$4:$H$2004,$Z249-2000))+N(INDEX(周转筐出入库明细!$I$4:$I$2004,$Z249-2000))+N(INDEX(周转筐出入库明细!$J$4:$J$2004,$Z249-2000))+N(INDEX(周转筐出入库明细!$K$4:$K$2004,$Z249-2000)),IF($Z249&lt;=5200,N(INDEX(客户自备加工筐明细!$F$4:$F$1203,$Z249-4000))+N(INDEX(客户自备加工筐明细!$G$4:$G$1203,$Z249-4000)),IF($Z249&lt;=5800,IF(INDEX(次果筐明细!$G$4:$G$603,$Z249-5200)=0,"",INDEX(次果筐明细!$G$4:$G$603,$Z249-5200)),"")))))</f>
        <v/>
      </c>
      <c r="I249" s="24" t="str">
        <f>IF($Z249="","",IF($Z249&lt;=2000,IF(INDEX(包装物料出入库明细!$G$4:$G$2003,$Z249-0)=0,"",INDEX(包装物料出入库明细!$G$4:$G$2003,$Z249-0)),IF($Z249&lt;=4000,"个",IF($Z249&lt;=5200,"个",IF($Z249&lt;=5800,"个","")))))</f>
        <v/>
      </c>
      <c r="J249" s="30" t="str">
        <f t="shared" si="10"/>
        <v/>
      </c>
      <c r="K249" s="30" t="str">
        <f>IF($Z249="","",IF($Z249&lt;=2000,IF(INDEX(包装物料出入库明细!$N$4:$N$2003,$Z249-0)=0,"",INDEX(包装物料出入库明细!$N$4:$N$2003,$Z249-0)),IF($Z249&lt;=4000,IF(INDEX(周转筐出入库明细!$P$4:$P$2004,$Z249-2000)=0,"",INDEX(周转筐出入库明细!$P$4:$P$2004,$Z249-2000)),IF($Z249&lt;=5200,"",IF($Z249&lt;=5800,N(INDEX(次果筐明细!$L$4:$L$603,$Z249-5200))+N(INDEX(次果筐明细!$J$4:$J$603,$Z249-5200)),"")))))</f>
        <v/>
      </c>
      <c r="L249" s="24" t="str">
        <f>IF($Z249="","",IF($Z249&lt;=2000,IF(INDEX(包装物料出入库明细!$P$4:$P$2003,$Z249-0)=0,"",INDEX(包装物料出入库明细!$P$4:$P$2003,$Z249-0)),IF($Z249&lt;=4000,IF(INDEX(周转筐出入库明细!$Q$4:$Q$2004,$Z249-2000)=0,"",INDEX(周转筐出入库明细!$Q$4:$Q$2004,$Z249-2000)),IF($Z249&lt;=5200,"",IF($Z249&lt;=5800,IF(INDEX(次果筐明细!$M$4:$M$603,$Z249-5200)=0,"",INDEX(次果筐明细!$M$4:$M$603,$Z249-5200)),"")))))</f>
        <v/>
      </c>
      <c r="M249" s="37" t="str">
        <f>IF($Z249="","",IF($Z249&lt;=2000,IF(INDEX(包装物料出入库明细!$R$4:$R$2003,$Z249-0)=0,"",INDEX(包装物料出入库明细!$R$4:$R$2003,$Z249-0)),IF($Z249&lt;=4000,IF(INDEX(周转筐出入库明细!$W$4:$W$2004,$Z249-2000)=0,"",INDEX(周转筐出入库明细!$W$4:$W$2004,$Z249-2000)),IF($Z249&lt;=5200,IF(INDEX(客户自备加工筐明细!$L$4:$L$1203,$Z249-4000)=0,"",INDEX(客户自备加工筐明细!$L$4:$L$1203,$Z249-4000)),IF($Z249&lt;=5800,IF(INDEX(次果筐明细!$P$4:$P$603,$Z249-5200)=0,"",INDEX(次果筐明细!$P$4:$P$603,$Z249-5200)),"")))))</f>
        <v/>
      </c>
      <c r="N249" s="16" t="str">
        <f>IF($Z249="","",IF($Z249&lt;=2000,"",IF($Z249&lt;=4000,IF(INDEX(周转筐出入库明细!$D$4:$D$2004,$Z249-2000)=0,"",INDEX(周转筐出入库明细!$D$4:$D$2004,$Z249-2000)),IF($Z249&lt;=5200,IF(INDEX(客户自备加工筐明细!$C$4:$C$1203,$Z249-4000)=0,"",INDEX(客户自备加工筐明细!$C$4:$C$1203,$Z249-4000)),IF($Z249&lt;=5800,IF(INDEX(次果筐明细!$D$4:$D$603,$Z249-5200)=0,"",INDEX(次果筐明细!$D$4:$D$603,$Z249-5200)),"")))))</f>
        <v/>
      </c>
      <c r="O249" s="40" t="str">
        <f>IF($Z249="","",IF($Z249&lt;=2000,"",IF($Z249&lt;=4000,IF(N(INDEX(周转筐出入库明细!$J$4:$J$2004,$Z249-2000))+N(INDEX(周转筐出入库明细!$K$4:$K$2004,$Z249-2000))=0,"",N(INDEX(周转筐出入库明细!$J$4:$J$2004,$Z249-2000))+N(INDEX(周转筐出入库明细!$K$4:$K$2004,$Z249-2000))),IF($Z249&lt;=5200,IF(N(INDEX(客户自备加工筐明细!$G$4:$G$1203,$Z249-4000))=0,"",N(INDEX(客户自备加工筐明细!$G$4:$G$1203,$Z249-4000))),IF($Z249&lt;=5800,IF(ISNUMBER(SEARCH("退",INDEX(次果筐明细!$F$4:$F$603,$Z249-5200)&amp;"")),"",IF(N(INDEX(次果筐明细!$G$4:$G$603,$Z249-5200))=0,"",N(INDEX(次果筐明细!$G$4:$G$603,$Z249-5200)))),"")))))</f>
        <v/>
      </c>
      <c r="P249" s="40" t="str">
        <f>IF($Z249="","",IF($Z249&lt;=2000,"",IF($Z249&lt;=4000,IF(N(INDEX(周转筐出入库明细!$I$4:$I$2004,$Z249-2000))=0,"",N(INDEX(周转筐出入库明细!$I$4:$I$2004,$Z249-2000))),IF($Z249&lt;=5200,"",IF($Z249&lt;=5800,IF(ISNUMBER(SEARCH("退",INDEX(次果筐明细!$F$4:$F$603,$Z249-5200)&amp;"")),IF(N(INDEX(次果筐明细!$G$4:$G$603,$Z249-5200))=0,"",N(INDEX(次果筐明细!$G$4:$G$603,$Z249-5200))),""),"")))))</f>
        <v/>
      </c>
      <c r="Q249" s="40" t="str">
        <f>IF($Z249="","",IF($Z249&lt;=2000,"",IF($Z249&lt;=4000,IF(N(INDEX(周转筐出入库明细!$H$4:$H$2004,$Z249-2000))=0,"",N(INDEX(周转筐出入库明细!$H$4:$H$2004,$Z249-2000))),IF($Z249&lt;=5200,IF(N(INDEX(客户自备加工筐明细!$F$4:$F$1203,$Z249-4000))=0,"",N(INDEX(客户自备加工筐明细!$F$4:$F$1203,$Z249-4000))),IF($Z249&lt;=5800,"","")))))</f>
        <v/>
      </c>
      <c r="R249" s="16" t="str">
        <f>IF($Z249="","",IF($Z249&lt;=2000,IF(INDEX(包装物料出入库明细!$O$4:$O$2003,$Z249-0)=0,"",INDEX(包装物料出入库明细!$O$4:$O$2003,$Z249-0)),IF($Z249&lt;=4000,IF(INDEX(周转筐出入库明细!$M$4:$M$2004,$Z249-2000)=0,"",INDEX(周转筐出入库明细!$M$4:$M$2004,$Z249-2000)),IF($Z249&lt;=5200,IF(INDEX(客户自备加工筐明细!$H$4:$H$1203,$Z249-4000)=0,"",INDEX(客户自备加工筐明细!$H$4:$H$1203,$Z249-4000)),IF($Z249&lt;=5800,IF(INDEX(次果筐明细!$H$4:$H$603,$Z249-5200)=0,"",INDEX(次果筐明细!$H$4:$H$603,$Z249-5200)),"")))))</f>
        <v/>
      </c>
      <c r="S249" s="22" t="str">
        <f t="shared" si="11"/>
        <v/>
      </c>
      <c r="Z249" s="10" t="str">
        <f>IFERROR(MATCH(ROW()-3,_自动清单!$CQ$4:$CQ$5803,0),"")</f>
        <v/>
      </c>
    </row>
    <row r="250" spans="1:26">
      <c r="A250" s="24" t="str">
        <f t="shared" si="9"/>
        <v/>
      </c>
      <c r="B250" s="38" t="str">
        <f>IF($Z250="","",IF($Z250&lt;=2000,IF(INDEX(包装物料出入库明细!$B$4:$B$2003,$Z250-0)=0,"",INDEX(包装物料出入库明细!$B$4:$B$2003,$Z250-0)),IF($Z250&lt;=4000,IF(INDEX(周转筐出入库明细!$B$4:$B$2004,$Z250-2000)=0,"",INDEX(周转筐出入库明细!$B$4:$B$2004,$Z250-2000)),IF($Z250&lt;=5200,IF(INDEX(客户自备加工筐明细!$B$4:$B$1203,$Z250-4000)=0,"",INDEX(客户自备加工筐明细!$B$4:$B$1203,$Z250-4000)),IF($Z250&lt;=5800,IF(INDEX(次果筐明细!$B$4:$B$603,$Z250-5200)=0,"",INDEX(次果筐明细!$B$4:$B$603,$Z250-5200)),"")))))</f>
        <v/>
      </c>
      <c r="C250" s="37" t="str">
        <f>IF($Z250="","",IF($Z250&lt;=2000,IF(INDEX(包装物料出入库明细!$D$4:$D$2003,$Z250-0)=0,"",INDEX(包装物料出入库明细!$D$4:$D$2003,$Z250-0)),IF($Z250&lt;=4000,IF(INDEX(周转筐出入库明细!$C$4:$C$2004,$Z250-2000)=0,"",INDEX(周转筐出入库明细!$C$4:$C$2004,$Z250-2000)),IF($Z250&lt;=5200,IF(INDEX(客户自备加工筐明细!$E$4:$E$1203,$Z250-4000)=0,"",INDEX(客户自备加工筐明细!$E$4:$E$1203,$Z250-4000)),IF($Z250&lt;=5800,IF(INDEX(次果筐明细!$C$4:$C$603,$Z250-5200)=0,"",INDEX(次果筐明细!$C$4:$C$603,$Z250-5200)),"")))))</f>
        <v/>
      </c>
      <c r="D250" s="37" t="str">
        <f>IF($Z250="","",IF($Z250&lt;=2000,"包装物料－"&amp;INDEX(包装物料出入库明细!$H$4:$H$2003,$Z250-0),IF($Z250&lt;=4000,"周转筐－"&amp;INDEX(周转筐出入库明细!$F$4:$F$2004,$Z250-2000),IF($Z250&lt;=5200,"客户自备筐－"&amp;INDEX(客户自备加工筐明细!$J$4:$J$1203,$Z250-4000),IF($Z250&lt;=5800,"次果筐/托盘－"&amp;INDEX(次果筐明细!$F$4:$F$603,$Z250-5200),"")))))</f>
        <v/>
      </c>
      <c r="E250" s="24" t="str">
        <f>IF($Z250="","",IF($Z250&lt;=2000,IF(INDEX(包装物料出入库明细!$C$4:$C$2003,$Z250-0)=0,"",INDEX(包装物料出入库明细!$C$4:$C$2003,$Z250-0)),IF($Z250&lt;=4000,IF(INDEX(周转筐出入库明细!$E$4:$E$2004,$Z250-2000)=0,"",INDEX(周转筐出入库明细!$E$4:$E$2004,$Z250-2000)),IF($Z250&lt;=5200,IF(INDEX(客户自备加工筐明细!$D$4:$D$1203,$Z250-4000)=0,"",INDEX(客户自备加工筐明细!$D$4:$D$1203,$Z250-4000)),IF($Z250&lt;=5800,IF(INDEX(次果筐明细!$E$4:$E$603,$Z250-5200)=0,"",INDEX(次果筐明细!$E$4:$E$603,$Z250-5200)),"")))))</f>
        <v/>
      </c>
      <c r="F250" s="24" t="str">
        <f>IF($Z250="","",IF($Z250&lt;=2000,IF(INDEX(包装物料出入库明细!$E$4:$E$2003,$Z250-0)=0,"",INDEX(包装物料出入库明细!$E$4:$E$2003,$Z250-0)),IF($Z250&lt;=4000,IF(INDEX(周转筐出入库明细!$D$4:$D$2004,$Z250-2000)=0,"",INDEX(周转筐出入库明细!$D$4:$D$2004,$Z250-2000)),IF($Z250&lt;=5200,IF(INDEX(客户自备加工筐明细!$C$4:$C$1203,$Z250-4000)=0,"",INDEX(客户自备加工筐明细!$C$4:$C$1203,$Z250-4000)),IF($Z250&lt;=5800,IF(INDEX(次果筐明细!$D$4:$D$603,$Z250-5200)=0,"",INDEX(次果筐明细!$D$4:$D$603,$Z250-5200)),"")))))</f>
        <v/>
      </c>
      <c r="G250" s="24" t="str">
        <f>IF($Z250="","",IF($Z250&lt;=2000,IF(INDEX(包装物料出入库明细!$F$4:$F$2003,$Z250-0)=0,"",INDEX(包装物料出入库明细!$F$4:$F$2003,$Z250-0)),IF($Z250&lt;=4000,"",IF($Z250&lt;=5200,"",IF($Z250&lt;=5800,"","")))))</f>
        <v/>
      </c>
      <c r="H250" s="39" t="str">
        <f>IF($Z250="","",IF($Z250&lt;=2000,IF(INDEX(包装物料出入库明细!$L$4:$L$2003,$Z250-0)=0,"",INDEX(包装物料出入库明细!$L$4:$L$2003,$Z250-0)),IF($Z250&lt;=4000,N(INDEX(周转筐出入库明细!$H$4:$H$2004,$Z250-2000))+N(INDEX(周转筐出入库明细!$I$4:$I$2004,$Z250-2000))+N(INDEX(周转筐出入库明细!$J$4:$J$2004,$Z250-2000))+N(INDEX(周转筐出入库明细!$K$4:$K$2004,$Z250-2000)),IF($Z250&lt;=5200,N(INDEX(客户自备加工筐明细!$F$4:$F$1203,$Z250-4000))+N(INDEX(客户自备加工筐明细!$G$4:$G$1203,$Z250-4000)),IF($Z250&lt;=5800,IF(INDEX(次果筐明细!$G$4:$G$603,$Z250-5200)=0,"",INDEX(次果筐明细!$G$4:$G$603,$Z250-5200)),"")))))</f>
        <v/>
      </c>
      <c r="I250" s="24" t="str">
        <f>IF($Z250="","",IF($Z250&lt;=2000,IF(INDEX(包装物料出入库明细!$G$4:$G$2003,$Z250-0)=0,"",INDEX(包装物料出入库明细!$G$4:$G$2003,$Z250-0)),IF($Z250&lt;=4000,"个",IF($Z250&lt;=5200,"个",IF($Z250&lt;=5800,"个","")))))</f>
        <v/>
      </c>
      <c r="J250" s="30" t="str">
        <f t="shared" si="10"/>
        <v/>
      </c>
      <c r="K250" s="30" t="str">
        <f>IF($Z250="","",IF($Z250&lt;=2000,IF(INDEX(包装物料出入库明细!$N$4:$N$2003,$Z250-0)=0,"",INDEX(包装物料出入库明细!$N$4:$N$2003,$Z250-0)),IF($Z250&lt;=4000,IF(INDEX(周转筐出入库明细!$P$4:$P$2004,$Z250-2000)=0,"",INDEX(周转筐出入库明细!$P$4:$P$2004,$Z250-2000)),IF($Z250&lt;=5200,"",IF($Z250&lt;=5800,N(INDEX(次果筐明细!$L$4:$L$603,$Z250-5200))+N(INDEX(次果筐明细!$J$4:$J$603,$Z250-5200)),"")))))</f>
        <v/>
      </c>
      <c r="L250" s="24" t="str">
        <f>IF($Z250="","",IF($Z250&lt;=2000,IF(INDEX(包装物料出入库明细!$P$4:$P$2003,$Z250-0)=0,"",INDEX(包装物料出入库明细!$P$4:$P$2003,$Z250-0)),IF($Z250&lt;=4000,IF(INDEX(周转筐出入库明细!$Q$4:$Q$2004,$Z250-2000)=0,"",INDEX(周转筐出入库明细!$Q$4:$Q$2004,$Z250-2000)),IF($Z250&lt;=5200,"",IF($Z250&lt;=5800,IF(INDEX(次果筐明细!$M$4:$M$603,$Z250-5200)=0,"",INDEX(次果筐明细!$M$4:$M$603,$Z250-5200)),"")))))</f>
        <v/>
      </c>
      <c r="M250" s="37" t="str">
        <f>IF($Z250="","",IF($Z250&lt;=2000,IF(INDEX(包装物料出入库明细!$R$4:$R$2003,$Z250-0)=0,"",INDEX(包装物料出入库明细!$R$4:$R$2003,$Z250-0)),IF($Z250&lt;=4000,IF(INDEX(周转筐出入库明细!$W$4:$W$2004,$Z250-2000)=0,"",INDEX(周转筐出入库明细!$W$4:$W$2004,$Z250-2000)),IF($Z250&lt;=5200,IF(INDEX(客户自备加工筐明细!$L$4:$L$1203,$Z250-4000)=0,"",INDEX(客户自备加工筐明细!$L$4:$L$1203,$Z250-4000)),IF($Z250&lt;=5800,IF(INDEX(次果筐明细!$P$4:$P$603,$Z250-5200)=0,"",INDEX(次果筐明细!$P$4:$P$603,$Z250-5200)),"")))))</f>
        <v/>
      </c>
      <c r="N250" s="16" t="str">
        <f>IF($Z250="","",IF($Z250&lt;=2000,"",IF($Z250&lt;=4000,IF(INDEX(周转筐出入库明细!$D$4:$D$2004,$Z250-2000)=0,"",INDEX(周转筐出入库明细!$D$4:$D$2004,$Z250-2000)),IF($Z250&lt;=5200,IF(INDEX(客户自备加工筐明细!$C$4:$C$1203,$Z250-4000)=0,"",INDEX(客户自备加工筐明细!$C$4:$C$1203,$Z250-4000)),IF($Z250&lt;=5800,IF(INDEX(次果筐明细!$D$4:$D$603,$Z250-5200)=0,"",INDEX(次果筐明细!$D$4:$D$603,$Z250-5200)),"")))))</f>
        <v/>
      </c>
      <c r="O250" s="40" t="str">
        <f>IF($Z250="","",IF($Z250&lt;=2000,"",IF($Z250&lt;=4000,IF(N(INDEX(周转筐出入库明细!$J$4:$J$2004,$Z250-2000))+N(INDEX(周转筐出入库明细!$K$4:$K$2004,$Z250-2000))=0,"",N(INDEX(周转筐出入库明细!$J$4:$J$2004,$Z250-2000))+N(INDEX(周转筐出入库明细!$K$4:$K$2004,$Z250-2000))),IF($Z250&lt;=5200,IF(N(INDEX(客户自备加工筐明细!$G$4:$G$1203,$Z250-4000))=0,"",N(INDEX(客户自备加工筐明细!$G$4:$G$1203,$Z250-4000))),IF($Z250&lt;=5800,IF(ISNUMBER(SEARCH("退",INDEX(次果筐明细!$F$4:$F$603,$Z250-5200)&amp;"")),"",IF(N(INDEX(次果筐明细!$G$4:$G$603,$Z250-5200))=0,"",N(INDEX(次果筐明细!$G$4:$G$603,$Z250-5200)))),"")))))</f>
        <v/>
      </c>
      <c r="P250" s="40" t="str">
        <f>IF($Z250="","",IF($Z250&lt;=2000,"",IF($Z250&lt;=4000,IF(N(INDEX(周转筐出入库明细!$I$4:$I$2004,$Z250-2000))=0,"",N(INDEX(周转筐出入库明细!$I$4:$I$2004,$Z250-2000))),IF($Z250&lt;=5200,"",IF($Z250&lt;=5800,IF(ISNUMBER(SEARCH("退",INDEX(次果筐明细!$F$4:$F$603,$Z250-5200)&amp;"")),IF(N(INDEX(次果筐明细!$G$4:$G$603,$Z250-5200))=0,"",N(INDEX(次果筐明细!$G$4:$G$603,$Z250-5200))),""),"")))))</f>
        <v/>
      </c>
      <c r="Q250" s="40" t="str">
        <f>IF($Z250="","",IF($Z250&lt;=2000,"",IF($Z250&lt;=4000,IF(N(INDEX(周转筐出入库明细!$H$4:$H$2004,$Z250-2000))=0,"",N(INDEX(周转筐出入库明细!$H$4:$H$2004,$Z250-2000))),IF($Z250&lt;=5200,IF(N(INDEX(客户自备加工筐明细!$F$4:$F$1203,$Z250-4000))=0,"",N(INDEX(客户自备加工筐明细!$F$4:$F$1203,$Z250-4000))),IF($Z250&lt;=5800,"","")))))</f>
        <v/>
      </c>
      <c r="R250" s="16" t="str">
        <f>IF($Z250="","",IF($Z250&lt;=2000,IF(INDEX(包装物料出入库明细!$O$4:$O$2003,$Z250-0)=0,"",INDEX(包装物料出入库明细!$O$4:$O$2003,$Z250-0)),IF($Z250&lt;=4000,IF(INDEX(周转筐出入库明细!$M$4:$M$2004,$Z250-2000)=0,"",INDEX(周转筐出入库明细!$M$4:$M$2004,$Z250-2000)),IF($Z250&lt;=5200,IF(INDEX(客户自备加工筐明细!$H$4:$H$1203,$Z250-4000)=0,"",INDEX(客户自备加工筐明细!$H$4:$H$1203,$Z250-4000)),IF($Z250&lt;=5800,IF(INDEX(次果筐明细!$H$4:$H$603,$Z250-5200)=0,"",INDEX(次果筐明细!$H$4:$H$603,$Z250-5200)),"")))))</f>
        <v/>
      </c>
      <c r="S250" s="22" t="str">
        <f t="shared" si="11"/>
        <v/>
      </c>
      <c r="Z250" s="10" t="str">
        <f>IFERROR(MATCH(ROW()-3,_自动清单!$CQ$4:$CQ$5803,0),"")</f>
        <v/>
      </c>
    </row>
    <row r="251" spans="1:26">
      <c r="A251" s="24" t="str">
        <f t="shared" si="9"/>
        <v/>
      </c>
      <c r="B251" s="38" t="str">
        <f>IF($Z251="","",IF($Z251&lt;=2000,IF(INDEX(包装物料出入库明细!$B$4:$B$2003,$Z251-0)=0,"",INDEX(包装物料出入库明细!$B$4:$B$2003,$Z251-0)),IF($Z251&lt;=4000,IF(INDEX(周转筐出入库明细!$B$4:$B$2004,$Z251-2000)=0,"",INDEX(周转筐出入库明细!$B$4:$B$2004,$Z251-2000)),IF($Z251&lt;=5200,IF(INDEX(客户自备加工筐明细!$B$4:$B$1203,$Z251-4000)=0,"",INDEX(客户自备加工筐明细!$B$4:$B$1203,$Z251-4000)),IF($Z251&lt;=5800,IF(INDEX(次果筐明细!$B$4:$B$603,$Z251-5200)=0,"",INDEX(次果筐明细!$B$4:$B$603,$Z251-5200)),"")))))</f>
        <v/>
      </c>
      <c r="C251" s="37" t="str">
        <f>IF($Z251="","",IF($Z251&lt;=2000,IF(INDEX(包装物料出入库明细!$D$4:$D$2003,$Z251-0)=0,"",INDEX(包装物料出入库明细!$D$4:$D$2003,$Z251-0)),IF($Z251&lt;=4000,IF(INDEX(周转筐出入库明细!$C$4:$C$2004,$Z251-2000)=0,"",INDEX(周转筐出入库明细!$C$4:$C$2004,$Z251-2000)),IF($Z251&lt;=5200,IF(INDEX(客户自备加工筐明细!$E$4:$E$1203,$Z251-4000)=0,"",INDEX(客户自备加工筐明细!$E$4:$E$1203,$Z251-4000)),IF($Z251&lt;=5800,IF(INDEX(次果筐明细!$C$4:$C$603,$Z251-5200)=0,"",INDEX(次果筐明细!$C$4:$C$603,$Z251-5200)),"")))))</f>
        <v/>
      </c>
      <c r="D251" s="37" t="str">
        <f>IF($Z251="","",IF($Z251&lt;=2000,"包装物料－"&amp;INDEX(包装物料出入库明细!$H$4:$H$2003,$Z251-0),IF($Z251&lt;=4000,"周转筐－"&amp;INDEX(周转筐出入库明细!$F$4:$F$2004,$Z251-2000),IF($Z251&lt;=5200,"客户自备筐－"&amp;INDEX(客户自备加工筐明细!$J$4:$J$1203,$Z251-4000),IF($Z251&lt;=5800,"次果筐/托盘－"&amp;INDEX(次果筐明细!$F$4:$F$603,$Z251-5200),"")))))</f>
        <v/>
      </c>
      <c r="E251" s="24" t="str">
        <f>IF($Z251="","",IF($Z251&lt;=2000,IF(INDEX(包装物料出入库明细!$C$4:$C$2003,$Z251-0)=0,"",INDEX(包装物料出入库明细!$C$4:$C$2003,$Z251-0)),IF($Z251&lt;=4000,IF(INDEX(周转筐出入库明细!$E$4:$E$2004,$Z251-2000)=0,"",INDEX(周转筐出入库明细!$E$4:$E$2004,$Z251-2000)),IF($Z251&lt;=5200,IF(INDEX(客户自备加工筐明细!$D$4:$D$1203,$Z251-4000)=0,"",INDEX(客户自备加工筐明细!$D$4:$D$1203,$Z251-4000)),IF($Z251&lt;=5800,IF(INDEX(次果筐明细!$E$4:$E$603,$Z251-5200)=0,"",INDEX(次果筐明细!$E$4:$E$603,$Z251-5200)),"")))))</f>
        <v/>
      </c>
      <c r="F251" s="24" t="str">
        <f>IF($Z251="","",IF($Z251&lt;=2000,IF(INDEX(包装物料出入库明细!$E$4:$E$2003,$Z251-0)=0,"",INDEX(包装物料出入库明细!$E$4:$E$2003,$Z251-0)),IF($Z251&lt;=4000,IF(INDEX(周转筐出入库明细!$D$4:$D$2004,$Z251-2000)=0,"",INDEX(周转筐出入库明细!$D$4:$D$2004,$Z251-2000)),IF($Z251&lt;=5200,IF(INDEX(客户自备加工筐明细!$C$4:$C$1203,$Z251-4000)=0,"",INDEX(客户自备加工筐明细!$C$4:$C$1203,$Z251-4000)),IF($Z251&lt;=5800,IF(INDEX(次果筐明细!$D$4:$D$603,$Z251-5200)=0,"",INDEX(次果筐明细!$D$4:$D$603,$Z251-5200)),"")))))</f>
        <v/>
      </c>
      <c r="G251" s="24" t="str">
        <f>IF($Z251="","",IF($Z251&lt;=2000,IF(INDEX(包装物料出入库明细!$F$4:$F$2003,$Z251-0)=0,"",INDEX(包装物料出入库明细!$F$4:$F$2003,$Z251-0)),IF($Z251&lt;=4000,"",IF($Z251&lt;=5200,"",IF($Z251&lt;=5800,"","")))))</f>
        <v/>
      </c>
      <c r="H251" s="39" t="str">
        <f>IF($Z251="","",IF($Z251&lt;=2000,IF(INDEX(包装物料出入库明细!$L$4:$L$2003,$Z251-0)=0,"",INDEX(包装物料出入库明细!$L$4:$L$2003,$Z251-0)),IF($Z251&lt;=4000,N(INDEX(周转筐出入库明细!$H$4:$H$2004,$Z251-2000))+N(INDEX(周转筐出入库明细!$I$4:$I$2004,$Z251-2000))+N(INDEX(周转筐出入库明细!$J$4:$J$2004,$Z251-2000))+N(INDEX(周转筐出入库明细!$K$4:$K$2004,$Z251-2000)),IF($Z251&lt;=5200,N(INDEX(客户自备加工筐明细!$F$4:$F$1203,$Z251-4000))+N(INDEX(客户自备加工筐明细!$G$4:$G$1203,$Z251-4000)),IF($Z251&lt;=5800,IF(INDEX(次果筐明细!$G$4:$G$603,$Z251-5200)=0,"",INDEX(次果筐明细!$G$4:$G$603,$Z251-5200)),"")))))</f>
        <v/>
      </c>
      <c r="I251" s="24" t="str">
        <f>IF($Z251="","",IF($Z251&lt;=2000,IF(INDEX(包装物料出入库明细!$G$4:$G$2003,$Z251-0)=0,"",INDEX(包装物料出入库明细!$G$4:$G$2003,$Z251-0)),IF($Z251&lt;=4000,"个",IF($Z251&lt;=5200,"个",IF($Z251&lt;=5800,"个","")))))</f>
        <v/>
      </c>
      <c r="J251" s="30" t="str">
        <f t="shared" si="10"/>
        <v/>
      </c>
      <c r="K251" s="30" t="str">
        <f>IF($Z251="","",IF($Z251&lt;=2000,IF(INDEX(包装物料出入库明细!$N$4:$N$2003,$Z251-0)=0,"",INDEX(包装物料出入库明细!$N$4:$N$2003,$Z251-0)),IF($Z251&lt;=4000,IF(INDEX(周转筐出入库明细!$P$4:$P$2004,$Z251-2000)=0,"",INDEX(周转筐出入库明细!$P$4:$P$2004,$Z251-2000)),IF($Z251&lt;=5200,"",IF($Z251&lt;=5800,N(INDEX(次果筐明细!$L$4:$L$603,$Z251-5200))+N(INDEX(次果筐明细!$J$4:$J$603,$Z251-5200)),"")))))</f>
        <v/>
      </c>
      <c r="L251" s="24" t="str">
        <f>IF($Z251="","",IF($Z251&lt;=2000,IF(INDEX(包装物料出入库明细!$P$4:$P$2003,$Z251-0)=0,"",INDEX(包装物料出入库明细!$P$4:$P$2003,$Z251-0)),IF($Z251&lt;=4000,IF(INDEX(周转筐出入库明细!$Q$4:$Q$2004,$Z251-2000)=0,"",INDEX(周转筐出入库明细!$Q$4:$Q$2004,$Z251-2000)),IF($Z251&lt;=5200,"",IF($Z251&lt;=5800,IF(INDEX(次果筐明细!$M$4:$M$603,$Z251-5200)=0,"",INDEX(次果筐明细!$M$4:$M$603,$Z251-5200)),"")))))</f>
        <v/>
      </c>
      <c r="M251" s="37" t="str">
        <f>IF($Z251="","",IF($Z251&lt;=2000,IF(INDEX(包装物料出入库明细!$R$4:$R$2003,$Z251-0)=0,"",INDEX(包装物料出入库明细!$R$4:$R$2003,$Z251-0)),IF($Z251&lt;=4000,IF(INDEX(周转筐出入库明细!$W$4:$W$2004,$Z251-2000)=0,"",INDEX(周转筐出入库明细!$W$4:$W$2004,$Z251-2000)),IF($Z251&lt;=5200,IF(INDEX(客户自备加工筐明细!$L$4:$L$1203,$Z251-4000)=0,"",INDEX(客户自备加工筐明细!$L$4:$L$1203,$Z251-4000)),IF($Z251&lt;=5800,IF(INDEX(次果筐明细!$P$4:$P$603,$Z251-5200)=0,"",INDEX(次果筐明细!$P$4:$P$603,$Z251-5200)),"")))))</f>
        <v/>
      </c>
      <c r="N251" s="16" t="str">
        <f>IF($Z251="","",IF($Z251&lt;=2000,"",IF($Z251&lt;=4000,IF(INDEX(周转筐出入库明细!$D$4:$D$2004,$Z251-2000)=0,"",INDEX(周转筐出入库明细!$D$4:$D$2004,$Z251-2000)),IF($Z251&lt;=5200,IF(INDEX(客户自备加工筐明细!$C$4:$C$1203,$Z251-4000)=0,"",INDEX(客户自备加工筐明细!$C$4:$C$1203,$Z251-4000)),IF($Z251&lt;=5800,IF(INDEX(次果筐明细!$D$4:$D$603,$Z251-5200)=0,"",INDEX(次果筐明细!$D$4:$D$603,$Z251-5200)),"")))))</f>
        <v/>
      </c>
      <c r="O251" s="40" t="str">
        <f>IF($Z251="","",IF($Z251&lt;=2000,"",IF($Z251&lt;=4000,IF(N(INDEX(周转筐出入库明细!$J$4:$J$2004,$Z251-2000))+N(INDEX(周转筐出入库明细!$K$4:$K$2004,$Z251-2000))=0,"",N(INDEX(周转筐出入库明细!$J$4:$J$2004,$Z251-2000))+N(INDEX(周转筐出入库明细!$K$4:$K$2004,$Z251-2000))),IF($Z251&lt;=5200,IF(N(INDEX(客户自备加工筐明细!$G$4:$G$1203,$Z251-4000))=0,"",N(INDEX(客户自备加工筐明细!$G$4:$G$1203,$Z251-4000))),IF($Z251&lt;=5800,IF(ISNUMBER(SEARCH("退",INDEX(次果筐明细!$F$4:$F$603,$Z251-5200)&amp;"")),"",IF(N(INDEX(次果筐明细!$G$4:$G$603,$Z251-5200))=0,"",N(INDEX(次果筐明细!$G$4:$G$603,$Z251-5200)))),"")))))</f>
        <v/>
      </c>
      <c r="P251" s="40" t="str">
        <f>IF($Z251="","",IF($Z251&lt;=2000,"",IF($Z251&lt;=4000,IF(N(INDEX(周转筐出入库明细!$I$4:$I$2004,$Z251-2000))=0,"",N(INDEX(周转筐出入库明细!$I$4:$I$2004,$Z251-2000))),IF($Z251&lt;=5200,"",IF($Z251&lt;=5800,IF(ISNUMBER(SEARCH("退",INDEX(次果筐明细!$F$4:$F$603,$Z251-5200)&amp;"")),IF(N(INDEX(次果筐明细!$G$4:$G$603,$Z251-5200))=0,"",N(INDEX(次果筐明细!$G$4:$G$603,$Z251-5200))),""),"")))))</f>
        <v/>
      </c>
      <c r="Q251" s="40" t="str">
        <f>IF($Z251="","",IF($Z251&lt;=2000,"",IF($Z251&lt;=4000,IF(N(INDEX(周转筐出入库明细!$H$4:$H$2004,$Z251-2000))=0,"",N(INDEX(周转筐出入库明细!$H$4:$H$2004,$Z251-2000))),IF($Z251&lt;=5200,IF(N(INDEX(客户自备加工筐明细!$F$4:$F$1203,$Z251-4000))=0,"",N(INDEX(客户自备加工筐明细!$F$4:$F$1203,$Z251-4000))),IF($Z251&lt;=5800,"","")))))</f>
        <v/>
      </c>
      <c r="R251" s="16" t="str">
        <f>IF($Z251="","",IF($Z251&lt;=2000,IF(INDEX(包装物料出入库明细!$O$4:$O$2003,$Z251-0)=0,"",INDEX(包装物料出入库明细!$O$4:$O$2003,$Z251-0)),IF($Z251&lt;=4000,IF(INDEX(周转筐出入库明细!$M$4:$M$2004,$Z251-2000)=0,"",INDEX(周转筐出入库明细!$M$4:$M$2004,$Z251-2000)),IF($Z251&lt;=5200,IF(INDEX(客户自备加工筐明细!$H$4:$H$1203,$Z251-4000)=0,"",INDEX(客户自备加工筐明细!$H$4:$H$1203,$Z251-4000)),IF($Z251&lt;=5800,IF(INDEX(次果筐明细!$H$4:$H$603,$Z251-5200)=0,"",INDEX(次果筐明细!$H$4:$H$603,$Z251-5200)),"")))))</f>
        <v/>
      </c>
      <c r="S251" s="22" t="str">
        <f t="shared" si="11"/>
        <v/>
      </c>
      <c r="Z251" s="10" t="str">
        <f>IFERROR(MATCH(ROW()-3,_自动清单!$CQ$4:$CQ$5803,0),"")</f>
        <v/>
      </c>
    </row>
    <row r="252" spans="1:26">
      <c r="A252" s="24" t="str">
        <f t="shared" si="9"/>
        <v/>
      </c>
      <c r="B252" s="38" t="str">
        <f>IF($Z252="","",IF($Z252&lt;=2000,IF(INDEX(包装物料出入库明细!$B$4:$B$2003,$Z252-0)=0,"",INDEX(包装物料出入库明细!$B$4:$B$2003,$Z252-0)),IF($Z252&lt;=4000,IF(INDEX(周转筐出入库明细!$B$4:$B$2004,$Z252-2000)=0,"",INDEX(周转筐出入库明细!$B$4:$B$2004,$Z252-2000)),IF($Z252&lt;=5200,IF(INDEX(客户自备加工筐明细!$B$4:$B$1203,$Z252-4000)=0,"",INDEX(客户自备加工筐明细!$B$4:$B$1203,$Z252-4000)),IF($Z252&lt;=5800,IF(INDEX(次果筐明细!$B$4:$B$603,$Z252-5200)=0,"",INDEX(次果筐明细!$B$4:$B$603,$Z252-5200)),"")))))</f>
        <v/>
      </c>
      <c r="C252" s="37" t="str">
        <f>IF($Z252="","",IF($Z252&lt;=2000,IF(INDEX(包装物料出入库明细!$D$4:$D$2003,$Z252-0)=0,"",INDEX(包装物料出入库明细!$D$4:$D$2003,$Z252-0)),IF($Z252&lt;=4000,IF(INDEX(周转筐出入库明细!$C$4:$C$2004,$Z252-2000)=0,"",INDEX(周转筐出入库明细!$C$4:$C$2004,$Z252-2000)),IF($Z252&lt;=5200,IF(INDEX(客户自备加工筐明细!$E$4:$E$1203,$Z252-4000)=0,"",INDEX(客户自备加工筐明细!$E$4:$E$1203,$Z252-4000)),IF($Z252&lt;=5800,IF(INDEX(次果筐明细!$C$4:$C$603,$Z252-5200)=0,"",INDEX(次果筐明细!$C$4:$C$603,$Z252-5200)),"")))))</f>
        <v/>
      </c>
      <c r="D252" s="37" t="str">
        <f>IF($Z252="","",IF($Z252&lt;=2000,"包装物料－"&amp;INDEX(包装物料出入库明细!$H$4:$H$2003,$Z252-0),IF($Z252&lt;=4000,"周转筐－"&amp;INDEX(周转筐出入库明细!$F$4:$F$2004,$Z252-2000),IF($Z252&lt;=5200,"客户自备筐－"&amp;INDEX(客户自备加工筐明细!$J$4:$J$1203,$Z252-4000),IF($Z252&lt;=5800,"次果筐/托盘－"&amp;INDEX(次果筐明细!$F$4:$F$603,$Z252-5200),"")))))</f>
        <v/>
      </c>
      <c r="E252" s="24" t="str">
        <f>IF($Z252="","",IF($Z252&lt;=2000,IF(INDEX(包装物料出入库明细!$C$4:$C$2003,$Z252-0)=0,"",INDEX(包装物料出入库明细!$C$4:$C$2003,$Z252-0)),IF($Z252&lt;=4000,IF(INDEX(周转筐出入库明细!$E$4:$E$2004,$Z252-2000)=0,"",INDEX(周转筐出入库明细!$E$4:$E$2004,$Z252-2000)),IF($Z252&lt;=5200,IF(INDEX(客户自备加工筐明细!$D$4:$D$1203,$Z252-4000)=0,"",INDEX(客户自备加工筐明细!$D$4:$D$1203,$Z252-4000)),IF($Z252&lt;=5800,IF(INDEX(次果筐明细!$E$4:$E$603,$Z252-5200)=0,"",INDEX(次果筐明细!$E$4:$E$603,$Z252-5200)),"")))))</f>
        <v/>
      </c>
      <c r="F252" s="24" t="str">
        <f>IF($Z252="","",IF($Z252&lt;=2000,IF(INDEX(包装物料出入库明细!$E$4:$E$2003,$Z252-0)=0,"",INDEX(包装物料出入库明细!$E$4:$E$2003,$Z252-0)),IF($Z252&lt;=4000,IF(INDEX(周转筐出入库明细!$D$4:$D$2004,$Z252-2000)=0,"",INDEX(周转筐出入库明细!$D$4:$D$2004,$Z252-2000)),IF($Z252&lt;=5200,IF(INDEX(客户自备加工筐明细!$C$4:$C$1203,$Z252-4000)=0,"",INDEX(客户自备加工筐明细!$C$4:$C$1203,$Z252-4000)),IF($Z252&lt;=5800,IF(INDEX(次果筐明细!$D$4:$D$603,$Z252-5200)=0,"",INDEX(次果筐明细!$D$4:$D$603,$Z252-5200)),"")))))</f>
        <v/>
      </c>
      <c r="G252" s="24" t="str">
        <f>IF($Z252="","",IF($Z252&lt;=2000,IF(INDEX(包装物料出入库明细!$F$4:$F$2003,$Z252-0)=0,"",INDEX(包装物料出入库明细!$F$4:$F$2003,$Z252-0)),IF($Z252&lt;=4000,"",IF($Z252&lt;=5200,"",IF($Z252&lt;=5800,"","")))))</f>
        <v/>
      </c>
      <c r="H252" s="39" t="str">
        <f>IF($Z252="","",IF($Z252&lt;=2000,IF(INDEX(包装物料出入库明细!$L$4:$L$2003,$Z252-0)=0,"",INDEX(包装物料出入库明细!$L$4:$L$2003,$Z252-0)),IF($Z252&lt;=4000,N(INDEX(周转筐出入库明细!$H$4:$H$2004,$Z252-2000))+N(INDEX(周转筐出入库明细!$I$4:$I$2004,$Z252-2000))+N(INDEX(周转筐出入库明细!$J$4:$J$2004,$Z252-2000))+N(INDEX(周转筐出入库明细!$K$4:$K$2004,$Z252-2000)),IF($Z252&lt;=5200,N(INDEX(客户自备加工筐明细!$F$4:$F$1203,$Z252-4000))+N(INDEX(客户自备加工筐明细!$G$4:$G$1203,$Z252-4000)),IF($Z252&lt;=5800,IF(INDEX(次果筐明细!$G$4:$G$603,$Z252-5200)=0,"",INDEX(次果筐明细!$G$4:$G$603,$Z252-5200)),"")))))</f>
        <v/>
      </c>
      <c r="I252" s="24" t="str">
        <f>IF($Z252="","",IF($Z252&lt;=2000,IF(INDEX(包装物料出入库明细!$G$4:$G$2003,$Z252-0)=0,"",INDEX(包装物料出入库明细!$G$4:$G$2003,$Z252-0)),IF($Z252&lt;=4000,"个",IF($Z252&lt;=5200,"个",IF($Z252&lt;=5800,"个","")))))</f>
        <v/>
      </c>
      <c r="J252" s="30" t="str">
        <f t="shared" si="10"/>
        <v/>
      </c>
      <c r="K252" s="30" t="str">
        <f>IF($Z252="","",IF($Z252&lt;=2000,IF(INDEX(包装物料出入库明细!$N$4:$N$2003,$Z252-0)=0,"",INDEX(包装物料出入库明细!$N$4:$N$2003,$Z252-0)),IF($Z252&lt;=4000,IF(INDEX(周转筐出入库明细!$P$4:$P$2004,$Z252-2000)=0,"",INDEX(周转筐出入库明细!$P$4:$P$2004,$Z252-2000)),IF($Z252&lt;=5200,"",IF($Z252&lt;=5800,N(INDEX(次果筐明细!$L$4:$L$603,$Z252-5200))+N(INDEX(次果筐明细!$J$4:$J$603,$Z252-5200)),"")))))</f>
        <v/>
      </c>
      <c r="L252" s="24" t="str">
        <f>IF($Z252="","",IF($Z252&lt;=2000,IF(INDEX(包装物料出入库明细!$P$4:$P$2003,$Z252-0)=0,"",INDEX(包装物料出入库明细!$P$4:$P$2003,$Z252-0)),IF($Z252&lt;=4000,IF(INDEX(周转筐出入库明细!$Q$4:$Q$2004,$Z252-2000)=0,"",INDEX(周转筐出入库明细!$Q$4:$Q$2004,$Z252-2000)),IF($Z252&lt;=5200,"",IF($Z252&lt;=5800,IF(INDEX(次果筐明细!$M$4:$M$603,$Z252-5200)=0,"",INDEX(次果筐明细!$M$4:$M$603,$Z252-5200)),"")))))</f>
        <v/>
      </c>
      <c r="M252" s="37" t="str">
        <f>IF($Z252="","",IF($Z252&lt;=2000,IF(INDEX(包装物料出入库明细!$R$4:$R$2003,$Z252-0)=0,"",INDEX(包装物料出入库明细!$R$4:$R$2003,$Z252-0)),IF($Z252&lt;=4000,IF(INDEX(周转筐出入库明细!$W$4:$W$2004,$Z252-2000)=0,"",INDEX(周转筐出入库明细!$W$4:$W$2004,$Z252-2000)),IF($Z252&lt;=5200,IF(INDEX(客户自备加工筐明细!$L$4:$L$1203,$Z252-4000)=0,"",INDEX(客户自备加工筐明细!$L$4:$L$1203,$Z252-4000)),IF($Z252&lt;=5800,IF(INDEX(次果筐明细!$P$4:$P$603,$Z252-5200)=0,"",INDEX(次果筐明细!$P$4:$P$603,$Z252-5200)),"")))))</f>
        <v/>
      </c>
      <c r="N252" s="16" t="str">
        <f>IF($Z252="","",IF($Z252&lt;=2000,"",IF($Z252&lt;=4000,IF(INDEX(周转筐出入库明细!$D$4:$D$2004,$Z252-2000)=0,"",INDEX(周转筐出入库明细!$D$4:$D$2004,$Z252-2000)),IF($Z252&lt;=5200,IF(INDEX(客户自备加工筐明细!$C$4:$C$1203,$Z252-4000)=0,"",INDEX(客户自备加工筐明细!$C$4:$C$1203,$Z252-4000)),IF($Z252&lt;=5800,IF(INDEX(次果筐明细!$D$4:$D$603,$Z252-5200)=0,"",INDEX(次果筐明细!$D$4:$D$603,$Z252-5200)),"")))))</f>
        <v/>
      </c>
      <c r="O252" s="40" t="str">
        <f>IF($Z252="","",IF($Z252&lt;=2000,"",IF($Z252&lt;=4000,IF(N(INDEX(周转筐出入库明细!$J$4:$J$2004,$Z252-2000))+N(INDEX(周转筐出入库明细!$K$4:$K$2004,$Z252-2000))=0,"",N(INDEX(周转筐出入库明细!$J$4:$J$2004,$Z252-2000))+N(INDEX(周转筐出入库明细!$K$4:$K$2004,$Z252-2000))),IF($Z252&lt;=5200,IF(N(INDEX(客户自备加工筐明细!$G$4:$G$1203,$Z252-4000))=0,"",N(INDEX(客户自备加工筐明细!$G$4:$G$1203,$Z252-4000))),IF($Z252&lt;=5800,IF(ISNUMBER(SEARCH("退",INDEX(次果筐明细!$F$4:$F$603,$Z252-5200)&amp;"")),"",IF(N(INDEX(次果筐明细!$G$4:$G$603,$Z252-5200))=0,"",N(INDEX(次果筐明细!$G$4:$G$603,$Z252-5200)))),"")))))</f>
        <v/>
      </c>
      <c r="P252" s="40" t="str">
        <f>IF($Z252="","",IF($Z252&lt;=2000,"",IF($Z252&lt;=4000,IF(N(INDEX(周转筐出入库明细!$I$4:$I$2004,$Z252-2000))=0,"",N(INDEX(周转筐出入库明细!$I$4:$I$2004,$Z252-2000))),IF($Z252&lt;=5200,"",IF($Z252&lt;=5800,IF(ISNUMBER(SEARCH("退",INDEX(次果筐明细!$F$4:$F$603,$Z252-5200)&amp;"")),IF(N(INDEX(次果筐明细!$G$4:$G$603,$Z252-5200))=0,"",N(INDEX(次果筐明细!$G$4:$G$603,$Z252-5200))),""),"")))))</f>
        <v/>
      </c>
      <c r="Q252" s="40" t="str">
        <f>IF($Z252="","",IF($Z252&lt;=2000,"",IF($Z252&lt;=4000,IF(N(INDEX(周转筐出入库明细!$H$4:$H$2004,$Z252-2000))=0,"",N(INDEX(周转筐出入库明细!$H$4:$H$2004,$Z252-2000))),IF($Z252&lt;=5200,IF(N(INDEX(客户自备加工筐明细!$F$4:$F$1203,$Z252-4000))=0,"",N(INDEX(客户自备加工筐明细!$F$4:$F$1203,$Z252-4000))),IF($Z252&lt;=5800,"","")))))</f>
        <v/>
      </c>
      <c r="R252" s="16" t="str">
        <f>IF($Z252="","",IF($Z252&lt;=2000,IF(INDEX(包装物料出入库明细!$O$4:$O$2003,$Z252-0)=0,"",INDEX(包装物料出入库明细!$O$4:$O$2003,$Z252-0)),IF($Z252&lt;=4000,IF(INDEX(周转筐出入库明细!$M$4:$M$2004,$Z252-2000)=0,"",INDEX(周转筐出入库明细!$M$4:$M$2004,$Z252-2000)),IF($Z252&lt;=5200,IF(INDEX(客户自备加工筐明细!$H$4:$H$1203,$Z252-4000)=0,"",INDEX(客户自备加工筐明细!$H$4:$H$1203,$Z252-4000)),IF($Z252&lt;=5800,IF(INDEX(次果筐明细!$H$4:$H$603,$Z252-5200)=0,"",INDEX(次果筐明细!$H$4:$H$603,$Z252-5200)),"")))))</f>
        <v/>
      </c>
      <c r="S252" s="22" t="str">
        <f t="shared" si="11"/>
        <v/>
      </c>
      <c r="Z252" s="10" t="str">
        <f>IFERROR(MATCH(ROW()-3,_自动清单!$CQ$4:$CQ$5803,0),"")</f>
        <v/>
      </c>
    </row>
    <row r="253" spans="1:26">
      <c r="A253" s="24" t="str">
        <f t="shared" si="9"/>
        <v/>
      </c>
      <c r="B253" s="38" t="str">
        <f>IF($Z253="","",IF($Z253&lt;=2000,IF(INDEX(包装物料出入库明细!$B$4:$B$2003,$Z253-0)=0,"",INDEX(包装物料出入库明细!$B$4:$B$2003,$Z253-0)),IF($Z253&lt;=4000,IF(INDEX(周转筐出入库明细!$B$4:$B$2004,$Z253-2000)=0,"",INDEX(周转筐出入库明细!$B$4:$B$2004,$Z253-2000)),IF($Z253&lt;=5200,IF(INDEX(客户自备加工筐明细!$B$4:$B$1203,$Z253-4000)=0,"",INDEX(客户自备加工筐明细!$B$4:$B$1203,$Z253-4000)),IF($Z253&lt;=5800,IF(INDEX(次果筐明细!$B$4:$B$603,$Z253-5200)=0,"",INDEX(次果筐明细!$B$4:$B$603,$Z253-5200)),"")))))</f>
        <v/>
      </c>
      <c r="C253" s="37" t="str">
        <f>IF($Z253="","",IF($Z253&lt;=2000,IF(INDEX(包装物料出入库明细!$D$4:$D$2003,$Z253-0)=0,"",INDEX(包装物料出入库明细!$D$4:$D$2003,$Z253-0)),IF($Z253&lt;=4000,IF(INDEX(周转筐出入库明细!$C$4:$C$2004,$Z253-2000)=0,"",INDEX(周转筐出入库明细!$C$4:$C$2004,$Z253-2000)),IF($Z253&lt;=5200,IF(INDEX(客户自备加工筐明细!$E$4:$E$1203,$Z253-4000)=0,"",INDEX(客户自备加工筐明细!$E$4:$E$1203,$Z253-4000)),IF($Z253&lt;=5800,IF(INDEX(次果筐明细!$C$4:$C$603,$Z253-5200)=0,"",INDEX(次果筐明细!$C$4:$C$603,$Z253-5200)),"")))))</f>
        <v/>
      </c>
      <c r="D253" s="37" t="str">
        <f>IF($Z253="","",IF($Z253&lt;=2000,"包装物料－"&amp;INDEX(包装物料出入库明细!$H$4:$H$2003,$Z253-0),IF($Z253&lt;=4000,"周转筐－"&amp;INDEX(周转筐出入库明细!$F$4:$F$2004,$Z253-2000),IF($Z253&lt;=5200,"客户自备筐－"&amp;INDEX(客户自备加工筐明细!$J$4:$J$1203,$Z253-4000),IF($Z253&lt;=5800,"次果筐/托盘－"&amp;INDEX(次果筐明细!$F$4:$F$603,$Z253-5200),"")))))</f>
        <v/>
      </c>
      <c r="E253" s="24" t="str">
        <f>IF($Z253="","",IF($Z253&lt;=2000,IF(INDEX(包装物料出入库明细!$C$4:$C$2003,$Z253-0)=0,"",INDEX(包装物料出入库明细!$C$4:$C$2003,$Z253-0)),IF($Z253&lt;=4000,IF(INDEX(周转筐出入库明细!$E$4:$E$2004,$Z253-2000)=0,"",INDEX(周转筐出入库明细!$E$4:$E$2004,$Z253-2000)),IF($Z253&lt;=5200,IF(INDEX(客户自备加工筐明细!$D$4:$D$1203,$Z253-4000)=0,"",INDEX(客户自备加工筐明细!$D$4:$D$1203,$Z253-4000)),IF($Z253&lt;=5800,IF(INDEX(次果筐明细!$E$4:$E$603,$Z253-5200)=0,"",INDEX(次果筐明细!$E$4:$E$603,$Z253-5200)),"")))))</f>
        <v/>
      </c>
      <c r="F253" s="24" t="str">
        <f>IF($Z253="","",IF($Z253&lt;=2000,IF(INDEX(包装物料出入库明细!$E$4:$E$2003,$Z253-0)=0,"",INDEX(包装物料出入库明细!$E$4:$E$2003,$Z253-0)),IF($Z253&lt;=4000,IF(INDEX(周转筐出入库明细!$D$4:$D$2004,$Z253-2000)=0,"",INDEX(周转筐出入库明细!$D$4:$D$2004,$Z253-2000)),IF($Z253&lt;=5200,IF(INDEX(客户自备加工筐明细!$C$4:$C$1203,$Z253-4000)=0,"",INDEX(客户自备加工筐明细!$C$4:$C$1203,$Z253-4000)),IF($Z253&lt;=5800,IF(INDEX(次果筐明细!$D$4:$D$603,$Z253-5200)=0,"",INDEX(次果筐明细!$D$4:$D$603,$Z253-5200)),"")))))</f>
        <v/>
      </c>
      <c r="G253" s="24" t="str">
        <f>IF($Z253="","",IF($Z253&lt;=2000,IF(INDEX(包装物料出入库明细!$F$4:$F$2003,$Z253-0)=0,"",INDEX(包装物料出入库明细!$F$4:$F$2003,$Z253-0)),IF($Z253&lt;=4000,"",IF($Z253&lt;=5200,"",IF($Z253&lt;=5800,"","")))))</f>
        <v/>
      </c>
      <c r="H253" s="39" t="str">
        <f>IF($Z253="","",IF($Z253&lt;=2000,IF(INDEX(包装物料出入库明细!$L$4:$L$2003,$Z253-0)=0,"",INDEX(包装物料出入库明细!$L$4:$L$2003,$Z253-0)),IF($Z253&lt;=4000,N(INDEX(周转筐出入库明细!$H$4:$H$2004,$Z253-2000))+N(INDEX(周转筐出入库明细!$I$4:$I$2004,$Z253-2000))+N(INDEX(周转筐出入库明细!$J$4:$J$2004,$Z253-2000))+N(INDEX(周转筐出入库明细!$K$4:$K$2004,$Z253-2000)),IF($Z253&lt;=5200,N(INDEX(客户自备加工筐明细!$F$4:$F$1203,$Z253-4000))+N(INDEX(客户自备加工筐明细!$G$4:$G$1203,$Z253-4000)),IF($Z253&lt;=5800,IF(INDEX(次果筐明细!$G$4:$G$603,$Z253-5200)=0,"",INDEX(次果筐明细!$G$4:$G$603,$Z253-5200)),"")))))</f>
        <v/>
      </c>
      <c r="I253" s="24" t="str">
        <f>IF($Z253="","",IF($Z253&lt;=2000,IF(INDEX(包装物料出入库明细!$G$4:$G$2003,$Z253-0)=0,"",INDEX(包装物料出入库明细!$G$4:$G$2003,$Z253-0)),IF($Z253&lt;=4000,"个",IF($Z253&lt;=5200,"个",IF($Z253&lt;=5800,"个","")))))</f>
        <v/>
      </c>
      <c r="J253" s="30" t="str">
        <f t="shared" si="10"/>
        <v/>
      </c>
      <c r="K253" s="30" t="str">
        <f>IF($Z253="","",IF($Z253&lt;=2000,IF(INDEX(包装物料出入库明细!$N$4:$N$2003,$Z253-0)=0,"",INDEX(包装物料出入库明细!$N$4:$N$2003,$Z253-0)),IF($Z253&lt;=4000,IF(INDEX(周转筐出入库明细!$P$4:$P$2004,$Z253-2000)=0,"",INDEX(周转筐出入库明细!$P$4:$P$2004,$Z253-2000)),IF($Z253&lt;=5200,"",IF($Z253&lt;=5800,N(INDEX(次果筐明细!$L$4:$L$603,$Z253-5200))+N(INDEX(次果筐明细!$J$4:$J$603,$Z253-5200)),"")))))</f>
        <v/>
      </c>
      <c r="L253" s="24" t="str">
        <f>IF($Z253="","",IF($Z253&lt;=2000,IF(INDEX(包装物料出入库明细!$P$4:$P$2003,$Z253-0)=0,"",INDEX(包装物料出入库明细!$P$4:$P$2003,$Z253-0)),IF($Z253&lt;=4000,IF(INDEX(周转筐出入库明细!$Q$4:$Q$2004,$Z253-2000)=0,"",INDEX(周转筐出入库明细!$Q$4:$Q$2004,$Z253-2000)),IF($Z253&lt;=5200,"",IF($Z253&lt;=5800,IF(INDEX(次果筐明细!$M$4:$M$603,$Z253-5200)=0,"",INDEX(次果筐明细!$M$4:$M$603,$Z253-5200)),"")))))</f>
        <v/>
      </c>
      <c r="M253" s="37" t="str">
        <f>IF($Z253="","",IF($Z253&lt;=2000,IF(INDEX(包装物料出入库明细!$R$4:$R$2003,$Z253-0)=0,"",INDEX(包装物料出入库明细!$R$4:$R$2003,$Z253-0)),IF($Z253&lt;=4000,IF(INDEX(周转筐出入库明细!$W$4:$W$2004,$Z253-2000)=0,"",INDEX(周转筐出入库明细!$W$4:$W$2004,$Z253-2000)),IF($Z253&lt;=5200,IF(INDEX(客户自备加工筐明细!$L$4:$L$1203,$Z253-4000)=0,"",INDEX(客户自备加工筐明细!$L$4:$L$1203,$Z253-4000)),IF($Z253&lt;=5800,IF(INDEX(次果筐明细!$P$4:$P$603,$Z253-5200)=0,"",INDEX(次果筐明细!$P$4:$P$603,$Z253-5200)),"")))))</f>
        <v/>
      </c>
      <c r="N253" s="16" t="str">
        <f>IF($Z253="","",IF($Z253&lt;=2000,"",IF($Z253&lt;=4000,IF(INDEX(周转筐出入库明细!$D$4:$D$2004,$Z253-2000)=0,"",INDEX(周转筐出入库明细!$D$4:$D$2004,$Z253-2000)),IF($Z253&lt;=5200,IF(INDEX(客户自备加工筐明细!$C$4:$C$1203,$Z253-4000)=0,"",INDEX(客户自备加工筐明细!$C$4:$C$1203,$Z253-4000)),IF($Z253&lt;=5800,IF(INDEX(次果筐明细!$D$4:$D$603,$Z253-5200)=0,"",INDEX(次果筐明细!$D$4:$D$603,$Z253-5200)),"")))))</f>
        <v/>
      </c>
      <c r="O253" s="40" t="str">
        <f>IF($Z253="","",IF($Z253&lt;=2000,"",IF($Z253&lt;=4000,IF(N(INDEX(周转筐出入库明细!$J$4:$J$2004,$Z253-2000))+N(INDEX(周转筐出入库明细!$K$4:$K$2004,$Z253-2000))=0,"",N(INDEX(周转筐出入库明细!$J$4:$J$2004,$Z253-2000))+N(INDEX(周转筐出入库明细!$K$4:$K$2004,$Z253-2000))),IF($Z253&lt;=5200,IF(N(INDEX(客户自备加工筐明细!$G$4:$G$1203,$Z253-4000))=0,"",N(INDEX(客户自备加工筐明细!$G$4:$G$1203,$Z253-4000))),IF($Z253&lt;=5800,IF(ISNUMBER(SEARCH("退",INDEX(次果筐明细!$F$4:$F$603,$Z253-5200)&amp;"")),"",IF(N(INDEX(次果筐明细!$G$4:$G$603,$Z253-5200))=0,"",N(INDEX(次果筐明细!$G$4:$G$603,$Z253-5200)))),"")))))</f>
        <v/>
      </c>
      <c r="P253" s="40" t="str">
        <f>IF($Z253="","",IF($Z253&lt;=2000,"",IF($Z253&lt;=4000,IF(N(INDEX(周转筐出入库明细!$I$4:$I$2004,$Z253-2000))=0,"",N(INDEX(周转筐出入库明细!$I$4:$I$2004,$Z253-2000))),IF($Z253&lt;=5200,"",IF($Z253&lt;=5800,IF(ISNUMBER(SEARCH("退",INDEX(次果筐明细!$F$4:$F$603,$Z253-5200)&amp;"")),IF(N(INDEX(次果筐明细!$G$4:$G$603,$Z253-5200))=0,"",N(INDEX(次果筐明细!$G$4:$G$603,$Z253-5200))),""),"")))))</f>
        <v/>
      </c>
      <c r="Q253" s="40" t="str">
        <f>IF($Z253="","",IF($Z253&lt;=2000,"",IF($Z253&lt;=4000,IF(N(INDEX(周转筐出入库明细!$H$4:$H$2004,$Z253-2000))=0,"",N(INDEX(周转筐出入库明细!$H$4:$H$2004,$Z253-2000))),IF($Z253&lt;=5200,IF(N(INDEX(客户自备加工筐明细!$F$4:$F$1203,$Z253-4000))=0,"",N(INDEX(客户自备加工筐明细!$F$4:$F$1203,$Z253-4000))),IF($Z253&lt;=5800,"","")))))</f>
        <v/>
      </c>
      <c r="R253" s="16" t="str">
        <f>IF($Z253="","",IF($Z253&lt;=2000,IF(INDEX(包装物料出入库明细!$O$4:$O$2003,$Z253-0)=0,"",INDEX(包装物料出入库明细!$O$4:$O$2003,$Z253-0)),IF($Z253&lt;=4000,IF(INDEX(周转筐出入库明细!$M$4:$M$2004,$Z253-2000)=0,"",INDEX(周转筐出入库明细!$M$4:$M$2004,$Z253-2000)),IF($Z253&lt;=5200,IF(INDEX(客户自备加工筐明细!$H$4:$H$1203,$Z253-4000)=0,"",INDEX(客户自备加工筐明细!$H$4:$H$1203,$Z253-4000)),IF($Z253&lt;=5800,IF(INDEX(次果筐明细!$H$4:$H$603,$Z253-5200)=0,"",INDEX(次果筐明细!$H$4:$H$603,$Z253-5200)),"")))))</f>
        <v/>
      </c>
      <c r="S253" s="22" t="str">
        <f t="shared" si="11"/>
        <v/>
      </c>
      <c r="Z253" s="10" t="str">
        <f>IFERROR(MATCH(ROW()-3,_自动清单!$CQ$4:$CQ$5803,0),"")</f>
        <v/>
      </c>
    </row>
    <row r="254" spans="1:26">
      <c r="A254" s="24" t="str">
        <f t="shared" si="9"/>
        <v/>
      </c>
      <c r="B254" s="38" t="str">
        <f>IF($Z254="","",IF($Z254&lt;=2000,IF(INDEX(包装物料出入库明细!$B$4:$B$2003,$Z254-0)=0,"",INDEX(包装物料出入库明细!$B$4:$B$2003,$Z254-0)),IF($Z254&lt;=4000,IF(INDEX(周转筐出入库明细!$B$4:$B$2004,$Z254-2000)=0,"",INDEX(周转筐出入库明细!$B$4:$B$2004,$Z254-2000)),IF($Z254&lt;=5200,IF(INDEX(客户自备加工筐明细!$B$4:$B$1203,$Z254-4000)=0,"",INDEX(客户自备加工筐明细!$B$4:$B$1203,$Z254-4000)),IF($Z254&lt;=5800,IF(INDEX(次果筐明细!$B$4:$B$603,$Z254-5200)=0,"",INDEX(次果筐明细!$B$4:$B$603,$Z254-5200)),"")))))</f>
        <v/>
      </c>
      <c r="C254" s="37" t="str">
        <f>IF($Z254="","",IF($Z254&lt;=2000,IF(INDEX(包装物料出入库明细!$D$4:$D$2003,$Z254-0)=0,"",INDEX(包装物料出入库明细!$D$4:$D$2003,$Z254-0)),IF($Z254&lt;=4000,IF(INDEX(周转筐出入库明细!$C$4:$C$2004,$Z254-2000)=0,"",INDEX(周转筐出入库明细!$C$4:$C$2004,$Z254-2000)),IF($Z254&lt;=5200,IF(INDEX(客户自备加工筐明细!$E$4:$E$1203,$Z254-4000)=0,"",INDEX(客户自备加工筐明细!$E$4:$E$1203,$Z254-4000)),IF($Z254&lt;=5800,IF(INDEX(次果筐明细!$C$4:$C$603,$Z254-5200)=0,"",INDEX(次果筐明细!$C$4:$C$603,$Z254-5200)),"")))))</f>
        <v/>
      </c>
      <c r="D254" s="37" t="str">
        <f>IF($Z254="","",IF($Z254&lt;=2000,"包装物料－"&amp;INDEX(包装物料出入库明细!$H$4:$H$2003,$Z254-0),IF($Z254&lt;=4000,"周转筐－"&amp;INDEX(周转筐出入库明细!$F$4:$F$2004,$Z254-2000),IF($Z254&lt;=5200,"客户自备筐－"&amp;INDEX(客户自备加工筐明细!$J$4:$J$1203,$Z254-4000),IF($Z254&lt;=5800,"次果筐/托盘－"&amp;INDEX(次果筐明细!$F$4:$F$603,$Z254-5200),"")))))</f>
        <v/>
      </c>
      <c r="E254" s="24" t="str">
        <f>IF($Z254="","",IF($Z254&lt;=2000,IF(INDEX(包装物料出入库明细!$C$4:$C$2003,$Z254-0)=0,"",INDEX(包装物料出入库明细!$C$4:$C$2003,$Z254-0)),IF($Z254&lt;=4000,IF(INDEX(周转筐出入库明细!$E$4:$E$2004,$Z254-2000)=0,"",INDEX(周转筐出入库明细!$E$4:$E$2004,$Z254-2000)),IF($Z254&lt;=5200,IF(INDEX(客户自备加工筐明细!$D$4:$D$1203,$Z254-4000)=0,"",INDEX(客户自备加工筐明细!$D$4:$D$1203,$Z254-4000)),IF($Z254&lt;=5800,IF(INDEX(次果筐明细!$E$4:$E$603,$Z254-5200)=0,"",INDEX(次果筐明细!$E$4:$E$603,$Z254-5200)),"")))))</f>
        <v/>
      </c>
      <c r="F254" s="24" t="str">
        <f>IF($Z254="","",IF($Z254&lt;=2000,IF(INDEX(包装物料出入库明细!$E$4:$E$2003,$Z254-0)=0,"",INDEX(包装物料出入库明细!$E$4:$E$2003,$Z254-0)),IF($Z254&lt;=4000,IF(INDEX(周转筐出入库明细!$D$4:$D$2004,$Z254-2000)=0,"",INDEX(周转筐出入库明细!$D$4:$D$2004,$Z254-2000)),IF($Z254&lt;=5200,IF(INDEX(客户自备加工筐明细!$C$4:$C$1203,$Z254-4000)=0,"",INDEX(客户自备加工筐明细!$C$4:$C$1203,$Z254-4000)),IF($Z254&lt;=5800,IF(INDEX(次果筐明细!$D$4:$D$603,$Z254-5200)=0,"",INDEX(次果筐明细!$D$4:$D$603,$Z254-5200)),"")))))</f>
        <v/>
      </c>
      <c r="G254" s="24" t="str">
        <f>IF($Z254="","",IF($Z254&lt;=2000,IF(INDEX(包装物料出入库明细!$F$4:$F$2003,$Z254-0)=0,"",INDEX(包装物料出入库明细!$F$4:$F$2003,$Z254-0)),IF($Z254&lt;=4000,"",IF($Z254&lt;=5200,"",IF($Z254&lt;=5800,"","")))))</f>
        <v/>
      </c>
      <c r="H254" s="39" t="str">
        <f>IF($Z254="","",IF($Z254&lt;=2000,IF(INDEX(包装物料出入库明细!$L$4:$L$2003,$Z254-0)=0,"",INDEX(包装物料出入库明细!$L$4:$L$2003,$Z254-0)),IF($Z254&lt;=4000,N(INDEX(周转筐出入库明细!$H$4:$H$2004,$Z254-2000))+N(INDEX(周转筐出入库明细!$I$4:$I$2004,$Z254-2000))+N(INDEX(周转筐出入库明细!$J$4:$J$2004,$Z254-2000))+N(INDEX(周转筐出入库明细!$K$4:$K$2004,$Z254-2000)),IF($Z254&lt;=5200,N(INDEX(客户自备加工筐明细!$F$4:$F$1203,$Z254-4000))+N(INDEX(客户自备加工筐明细!$G$4:$G$1203,$Z254-4000)),IF($Z254&lt;=5800,IF(INDEX(次果筐明细!$G$4:$G$603,$Z254-5200)=0,"",INDEX(次果筐明细!$G$4:$G$603,$Z254-5200)),"")))))</f>
        <v/>
      </c>
      <c r="I254" s="24" t="str">
        <f>IF($Z254="","",IF($Z254&lt;=2000,IF(INDEX(包装物料出入库明细!$G$4:$G$2003,$Z254-0)=0,"",INDEX(包装物料出入库明细!$G$4:$G$2003,$Z254-0)),IF($Z254&lt;=4000,"个",IF($Z254&lt;=5200,"个",IF($Z254&lt;=5800,"个","")))))</f>
        <v/>
      </c>
      <c r="J254" s="30" t="str">
        <f t="shared" si="10"/>
        <v/>
      </c>
      <c r="K254" s="30" t="str">
        <f>IF($Z254="","",IF($Z254&lt;=2000,IF(INDEX(包装物料出入库明细!$N$4:$N$2003,$Z254-0)=0,"",INDEX(包装物料出入库明细!$N$4:$N$2003,$Z254-0)),IF($Z254&lt;=4000,IF(INDEX(周转筐出入库明细!$P$4:$P$2004,$Z254-2000)=0,"",INDEX(周转筐出入库明细!$P$4:$P$2004,$Z254-2000)),IF($Z254&lt;=5200,"",IF($Z254&lt;=5800,N(INDEX(次果筐明细!$L$4:$L$603,$Z254-5200))+N(INDEX(次果筐明细!$J$4:$J$603,$Z254-5200)),"")))))</f>
        <v/>
      </c>
      <c r="L254" s="24" t="str">
        <f>IF($Z254="","",IF($Z254&lt;=2000,IF(INDEX(包装物料出入库明细!$P$4:$P$2003,$Z254-0)=0,"",INDEX(包装物料出入库明细!$P$4:$P$2003,$Z254-0)),IF($Z254&lt;=4000,IF(INDEX(周转筐出入库明细!$Q$4:$Q$2004,$Z254-2000)=0,"",INDEX(周转筐出入库明细!$Q$4:$Q$2004,$Z254-2000)),IF($Z254&lt;=5200,"",IF($Z254&lt;=5800,IF(INDEX(次果筐明细!$M$4:$M$603,$Z254-5200)=0,"",INDEX(次果筐明细!$M$4:$M$603,$Z254-5200)),"")))))</f>
        <v/>
      </c>
      <c r="M254" s="37" t="str">
        <f>IF($Z254="","",IF($Z254&lt;=2000,IF(INDEX(包装物料出入库明细!$R$4:$R$2003,$Z254-0)=0,"",INDEX(包装物料出入库明细!$R$4:$R$2003,$Z254-0)),IF($Z254&lt;=4000,IF(INDEX(周转筐出入库明细!$W$4:$W$2004,$Z254-2000)=0,"",INDEX(周转筐出入库明细!$W$4:$W$2004,$Z254-2000)),IF($Z254&lt;=5200,IF(INDEX(客户自备加工筐明细!$L$4:$L$1203,$Z254-4000)=0,"",INDEX(客户自备加工筐明细!$L$4:$L$1203,$Z254-4000)),IF($Z254&lt;=5800,IF(INDEX(次果筐明细!$P$4:$P$603,$Z254-5200)=0,"",INDEX(次果筐明细!$P$4:$P$603,$Z254-5200)),"")))))</f>
        <v/>
      </c>
      <c r="N254" s="16" t="str">
        <f>IF($Z254="","",IF($Z254&lt;=2000,"",IF($Z254&lt;=4000,IF(INDEX(周转筐出入库明细!$D$4:$D$2004,$Z254-2000)=0,"",INDEX(周转筐出入库明细!$D$4:$D$2004,$Z254-2000)),IF($Z254&lt;=5200,IF(INDEX(客户自备加工筐明细!$C$4:$C$1203,$Z254-4000)=0,"",INDEX(客户自备加工筐明细!$C$4:$C$1203,$Z254-4000)),IF($Z254&lt;=5800,IF(INDEX(次果筐明细!$D$4:$D$603,$Z254-5200)=0,"",INDEX(次果筐明细!$D$4:$D$603,$Z254-5200)),"")))))</f>
        <v/>
      </c>
      <c r="O254" s="40" t="str">
        <f>IF($Z254="","",IF($Z254&lt;=2000,"",IF($Z254&lt;=4000,IF(N(INDEX(周转筐出入库明细!$J$4:$J$2004,$Z254-2000))+N(INDEX(周转筐出入库明细!$K$4:$K$2004,$Z254-2000))=0,"",N(INDEX(周转筐出入库明细!$J$4:$J$2004,$Z254-2000))+N(INDEX(周转筐出入库明细!$K$4:$K$2004,$Z254-2000))),IF($Z254&lt;=5200,IF(N(INDEX(客户自备加工筐明细!$G$4:$G$1203,$Z254-4000))=0,"",N(INDEX(客户自备加工筐明细!$G$4:$G$1203,$Z254-4000))),IF($Z254&lt;=5800,IF(ISNUMBER(SEARCH("退",INDEX(次果筐明细!$F$4:$F$603,$Z254-5200)&amp;"")),"",IF(N(INDEX(次果筐明细!$G$4:$G$603,$Z254-5200))=0,"",N(INDEX(次果筐明细!$G$4:$G$603,$Z254-5200)))),"")))))</f>
        <v/>
      </c>
      <c r="P254" s="40" t="str">
        <f>IF($Z254="","",IF($Z254&lt;=2000,"",IF($Z254&lt;=4000,IF(N(INDEX(周转筐出入库明细!$I$4:$I$2004,$Z254-2000))=0,"",N(INDEX(周转筐出入库明细!$I$4:$I$2004,$Z254-2000))),IF($Z254&lt;=5200,"",IF($Z254&lt;=5800,IF(ISNUMBER(SEARCH("退",INDEX(次果筐明细!$F$4:$F$603,$Z254-5200)&amp;"")),IF(N(INDEX(次果筐明细!$G$4:$G$603,$Z254-5200))=0,"",N(INDEX(次果筐明细!$G$4:$G$603,$Z254-5200))),""),"")))))</f>
        <v/>
      </c>
      <c r="Q254" s="40" t="str">
        <f>IF($Z254="","",IF($Z254&lt;=2000,"",IF($Z254&lt;=4000,IF(N(INDEX(周转筐出入库明细!$H$4:$H$2004,$Z254-2000))=0,"",N(INDEX(周转筐出入库明细!$H$4:$H$2004,$Z254-2000))),IF($Z254&lt;=5200,IF(N(INDEX(客户自备加工筐明细!$F$4:$F$1203,$Z254-4000))=0,"",N(INDEX(客户自备加工筐明细!$F$4:$F$1203,$Z254-4000))),IF($Z254&lt;=5800,"","")))))</f>
        <v/>
      </c>
      <c r="R254" s="16" t="str">
        <f>IF($Z254="","",IF($Z254&lt;=2000,IF(INDEX(包装物料出入库明细!$O$4:$O$2003,$Z254-0)=0,"",INDEX(包装物料出入库明细!$O$4:$O$2003,$Z254-0)),IF($Z254&lt;=4000,IF(INDEX(周转筐出入库明细!$M$4:$M$2004,$Z254-2000)=0,"",INDEX(周转筐出入库明细!$M$4:$M$2004,$Z254-2000)),IF($Z254&lt;=5200,IF(INDEX(客户自备加工筐明细!$H$4:$H$1203,$Z254-4000)=0,"",INDEX(客户自备加工筐明细!$H$4:$H$1203,$Z254-4000)),IF($Z254&lt;=5800,IF(INDEX(次果筐明细!$H$4:$H$603,$Z254-5200)=0,"",INDEX(次果筐明细!$H$4:$H$603,$Z254-5200)),"")))))</f>
        <v/>
      </c>
      <c r="S254" s="22" t="str">
        <f t="shared" si="11"/>
        <v/>
      </c>
      <c r="Z254" s="10" t="str">
        <f>IFERROR(MATCH(ROW()-3,_自动清单!$CQ$4:$CQ$5803,0),"")</f>
        <v/>
      </c>
    </row>
    <row r="255" spans="1:26">
      <c r="A255" s="24" t="str">
        <f t="shared" si="9"/>
        <v/>
      </c>
      <c r="B255" s="38" t="str">
        <f>IF($Z255="","",IF($Z255&lt;=2000,IF(INDEX(包装物料出入库明细!$B$4:$B$2003,$Z255-0)=0,"",INDEX(包装物料出入库明细!$B$4:$B$2003,$Z255-0)),IF($Z255&lt;=4000,IF(INDEX(周转筐出入库明细!$B$4:$B$2004,$Z255-2000)=0,"",INDEX(周转筐出入库明细!$B$4:$B$2004,$Z255-2000)),IF($Z255&lt;=5200,IF(INDEX(客户自备加工筐明细!$B$4:$B$1203,$Z255-4000)=0,"",INDEX(客户自备加工筐明细!$B$4:$B$1203,$Z255-4000)),IF($Z255&lt;=5800,IF(INDEX(次果筐明细!$B$4:$B$603,$Z255-5200)=0,"",INDEX(次果筐明细!$B$4:$B$603,$Z255-5200)),"")))))</f>
        <v/>
      </c>
      <c r="C255" s="37" t="str">
        <f>IF($Z255="","",IF($Z255&lt;=2000,IF(INDEX(包装物料出入库明细!$D$4:$D$2003,$Z255-0)=0,"",INDEX(包装物料出入库明细!$D$4:$D$2003,$Z255-0)),IF($Z255&lt;=4000,IF(INDEX(周转筐出入库明细!$C$4:$C$2004,$Z255-2000)=0,"",INDEX(周转筐出入库明细!$C$4:$C$2004,$Z255-2000)),IF($Z255&lt;=5200,IF(INDEX(客户自备加工筐明细!$E$4:$E$1203,$Z255-4000)=0,"",INDEX(客户自备加工筐明细!$E$4:$E$1203,$Z255-4000)),IF($Z255&lt;=5800,IF(INDEX(次果筐明细!$C$4:$C$603,$Z255-5200)=0,"",INDEX(次果筐明细!$C$4:$C$603,$Z255-5200)),"")))))</f>
        <v/>
      </c>
      <c r="D255" s="37" t="str">
        <f>IF($Z255="","",IF($Z255&lt;=2000,"包装物料－"&amp;INDEX(包装物料出入库明细!$H$4:$H$2003,$Z255-0),IF($Z255&lt;=4000,"周转筐－"&amp;INDEX(周转筐出入库明细!$F$4:$F$2004,$Z255-2000),IF($Z255&lt;=5200,"客户自备筐－"&amp;INDEX(客户自备加工筐明细!$J$4:$J$1203,$Z255-4000),IF($Z255&lt;=5800,"次果筐/托盘－"&amp;INDEX(次果筐明细!$F$4:$F$603,$Z255-5200),"")))))</f>
        <v/>
      </c>
      <c r="E255" s="24" t="str">
        <f>IF($Z255="","",IF($Z255&lt;=2000,IF(INDEX(包装物料出入库明细!$C$4:$C$2003,$Z255-0)=0,"",INDEX(包装物料出入库明细!$C$4:$C$2003,$Z255-0)),IF($Z255&lt;=4000,IF(INDEX(周转筐出入库明细!$E$4:$E$2004,$Z255-2000)=0,"",INDEX(周转筐出入库明细!$E$4:$E$2004,$Z255-2000)),IF($Z255&lt;=5200,IF(INDEX(客户自备加工筐明细!$D$4:$D$1203,$Z255-4000)=0,"",INDEX(客户自备加工筐明细!$D$4:$D$1203,$Z255-4000)),IF($Z255&lt;=5800,IF(INDEX(次果筐明细!$E$4:$E$603,$Z255-5200)=0,"",INDEX(次果筐明细!$E$4:$E$603,$Z255-5200)),"")))))</f>
        <v/>
      </c>
      <c r="F255" s="24" t="str">
        <f>IF($Z255="","",IF($Z255&lt;=2000,IF(INDEX(包装物料出入库明细!$E$4:$E$2003,$Z255-0)=0,"",INDEX(包装物料出入库明细!$E$4:$E$2003,$Z255-0)),IF($Z255&lt;=4000,IF(INDEX(周转筐出入库明细!$D$4:$D$2004,$Z255-2000)=0,"",INDEX(周转筐出入库明细!$D$4:$D$2004,$Z255-2000)),IF($Z255&lt;=5200,IF(INDEX(客户自备加工筐明细!$C$4:$C$1203,$Z255-4000)=0,"",INDEX(客户自备加工筐明细!$C$4:$C$1203,$Z255-4000)),IF($Z255&lt;=5800,IF(INDEX(次果筐明细!$D$4:$D$603,$Z255-5200)=0,"",INDEX(次果筐明细!$D$4:$D$603,$Z255-5200)),"")))))</f>
        <v/>
      </c>
      <c r="G255" s="24" t="str">
        <f>IF($Z255="","",IF($Z255&lt;=2000,IF(INDEX(包装物料出入库明细!$F$4:$F$2003,$Z255-0)=0,"",INDEX(包装物料出入库明细!$F$4:$F$2003,$Z255-0)),IF($Z255&lt;=4000,"",IF($Z255&lt;=5200,"",IF($Z255&lt;=5800,"","")))))</f>
        <v/>
      </c>
      <c r="H255" s="39" t="str">
        <f>IF($Z255="","",IF($Z255&lt;=2000,IF(INDEX(包装物料出入库明细!$L$4:$L$2003,$Z255-0)=0,"",INDEX(包装物料出入库明细!$L$4:$L$2003,$Z255-0)),IF($Z255&lt;=4000,N(INDEX(周转筐出入库明细!$H$4:$H$2004,$Z255-2000))+N(INDEX(周转筐出入库明细!$I$4:$I$2004,$Z255-2000))+N(INDEX(周转筐出入库明细!$J$4:$J$2004,$Z255-2000))+N(INDEX(周转筐出入库明细!$K$4:$K$2004,$Z255-2000)),IF($Z255&lt;=5200,N(INDEX(客户自备加工筐明细!$F$4:$F$1203,$Z255-4000))+N(INDEX(客户自备加工筐明细!$G$4:$G$1203,$Z255-4000)),IF($Z255&lt;=5800,IF(INDEX(次果筐明细!$G$4:$G$603,$Z255-5200)=0,"",INDEX(次果筐明细!$G$4:$G$603,$Z255-5200)),"")))))</f>
        <v/>
      </c>
      <c r="I255" s="24" t="str">
        <f>IF($Z255="","",IF($Z255&lt;=2000,IF(INDEX(包装物料出入库明细!$G$4:$G$2003,$Z255-0)=0,"",INDEX(包装物料出入库明细!$G$4:$G$2003,$Z255-0)),IF($Z255&lt;=4000,"个",IF($Z255&lt;=5200,"个",IF($Z255&lt;=5800,"个","")))))</f>
        <v/>
      </c>
      <c r="J255" s="30" t="str">
        <f t="shared" si="10"/>
        <v/>
      </c>
      <c r="K255" s="30" t="str">
        <f>IF($Z255="","",IF($Z255&lt;=2000,IF(INDEX(包装物料出入库明细!$N$4:$N$2003,$Z255-0)=0,"",INDEX(包装物料出入库明细!$N$4:$N$2003,$Z255-0)),IF($Z255&lt;=4000,IF(INDEX(周转筐出入库明细!$P$4:$P$2004,$Z255-2000)=0,"",INDEX(周转筐出入库明细!$P$4:$P$2004,$Z255-2000)),IF($Z255&lt;=5200,"",IF($Z255&lt;=5800,N(INDEX(次果筐明细!$L$4:$L$603,$Z255-5200))+N(INDEX(次果筐明细!$J$4:$J$603,$Z255-5200)),"")))))</f>
        <v/>
      </c>
      <c r="L255" s="24" t="str">
        <f>IF($Z255="","",IF($Z255&lt;=2000,IF(INDEX(包装物料出入库明细!$P$4:$P$2003,$Z255-0)=0,"",INDEX(包装物料出入库明细!$P$4:$P$2003,$Z255-0)),IF($Z255&lt;=4000,IF(INDEX(周转筐出入库明细!$Q$4:$Q$2004,$Z255-2000)=0,"",INDEX(周转筐出入库明细!$Q$4:$Q$2004,$Z255-2000)),IF($Z255&lt;=5200,"",IF($Z255&lt;=5800,IF(INDEX(次果筐明细!$M$4:$M$603,$Z255-5200)=0,"",INDEX(次果筐明细!$M$4:$M$603,$Z255-5200)),"")))))</f>
        <v/>
      </c>
      <c r="M255" s="37" t="str">
        <f>IF($Z255="","",IF($Z255&lt;=2000,IF(INDEX(包装物料出入库明细!$R$4:$R$2003,$Z255-0)=0,"",INDEX(包装物料出入库明细!$R$4:$R$2003,$Z255-0)),IF($Z255&lt;=4000,IF(INDEX(周转筐出入库明细!$W$4:$W$2004,$Z255-2000)=0,"",INDEX(周转筐出入库明细!$W$4:$W$2004,$Z255-2000)),IF($Z255&lt;=5200,IF(INDEX(客户自备加工筐明细!$L$4:$L$1203,$Z255-4000)=0,"",INDEX(客户自备加工筐明细!$L$4:$L$1203,$Z255-4000)),IF($Z255&lt;=5800,IF(INDEX(次果筐明细!$P$4:$P$603,$Z255-5200)=0,"",INDEX(次果筐明细!$P$4:$P$603,$Z255-5200)),"")))))</f>
        <v/>
      </c>
      <c r="N255" s="16" t="str">
        <f>IF($Z255="","",IF($Z255&lt;=2000,"",IF($Z255&lt;=4000,IF(INDEX(周转筐出入库明细!$D$4:$D$2004,$Z255-2000)=0,"",INDEX(周转筐出入库明细!$D$4:$D$2004,$Z255-2000)),IF($Z255&lt;=5200,IF(INDEX(客户自备加工筐明细!$C$4:$C$1203,$Z255-4000)=0,"",INDEX(客户自备加工筐明细!$C$4:$C$1203,$Z255-4000)),IF($Z255&lt;=5800,IF(INDEX(次果筐明细!$D$4:$D$603,$Z255-5200)=0,"",INDEX(次果筐明细!$D$4:$D$603,$Z255-5200)),"")))))</f>
        <v/>
      </c>
      <c r="O255" s="40" t="str">
        <f>IF($Z255="","",IF($Z255&lt;=2000,"",IF($Z255&lt;=4000,IF(N(INDEX(周转筐出入库明细!$J$4:$J$2004,$Z255-2000))+N(INDEX(周转筐出入库明细!$K$4:$K$2004,$Z255-2000))=0,"",N(INDEX(周转筐出入库明细!$J$4:$J$2004,$Z255-2000))+N(INDEX(周转筐出入库明细!$K$4:$K$2004,$Z255-2000))),IF($Z255&lt;=5200,IF(N(INDEX(客户自备加工筐明细!$G$4:$G$1203,$Z255-4000))=0,"",N(INDEX(客户自备加工筐明细!$G$4:$G$1203,$Z255-4000))),IF($Z255&lt;=5800,IF(ISNUMBER(SEARCH("退",INDEX(次果筐明细!$F$4:$F$603,$Z255-5200)&amp;"")),"",IF(N(INDEX(次果筐明细!$G$4:$G$603,$Z255-5200))=0,"",N(INDEX(次果筐明细!$G$4:$G$603,$Z255-5200)))),"")))))</f>
        <v/>
      </c>
      <c r="P255" s="40" t="str">
        <f>IF($Z255="","",IF($Z255&lt;=2000,"",IF($Z255&lt;=4000,IF(N(INDEX(周转筐出入库明细!$I$4:$I$2004,$Z255-2000))=0,"",N(INDEX(周转筐出入库明细!$I$4:$I$2004,$Z255-2000))),IF($Z255&lt;=5200,"",IF($Z255&lt;=5800,IF(ISNUMBER(SEARCH("退",INDEX(次果筐明细!$F$4:$F$603,$Z255-5200)&amp;"")),IF(N(INDEX(次果筐明细!$G$4:$G$603,$Z255-5200))=0,"",N(INDEX(次果筐明细!$G$4:$G$603,$Z255-5200))),""),"")))))</f>
        <v/>
      </c>
      <c r="Q255" s="40" t="str">
        <f>IF($Z255="","",IF($Z255&lt;=2000,"",IF($Z255&lt;=4000,IF(N(INDEX(周转筐出入库明细!$H$4:$H$2004,$Z255-2000))=0,"",N(INDEX(周转筐出入库明细!$H$4:$H$2004,$Z255-2000))),IF($Z255&lt;=5200,IF(N(INDEX(客户自备加工筐明细!$F$4:$F$1203,$Z255-4000))=0,"",N(INDEX(客户自备加工筐明细!$F$4:$F$1203,$Z255-4000))),IF($Z255&lt;=5800,"","")))))</f>
        <v/>
      </c>
      <c r="R255" s="16" t="str">
        <f>IF($Z255="","",IF($Z255&lt;=2000,IF(INDEX(包装物料出入库明细!$O$4:$O$2003,$Z255-0)=0,"",INDEX(包装物料出入库明细!$O$4:$O$2003,$Z255-0)),IF($Z255&lt;=4000,IF(INDEX(周转筐出入库明细!$M$4:$M$2004,$Z255-2000)=0,"",INDEX(周转筐出入库明细!$M$4:$M$2004,$Z255-2000)),IF($Z255&lt;=5200,IF(INDEX(客户自备加工筐明细!$H$4:$H$1203,$Z255-4000)=0,"",INDEX(客户自备加工筐明细!$H$4:$H$1203,$Z255-4000)),IF($Z255&lt;=5800,IF(INDEX(次果筐明细!$H$4:$H$603,$Z255-5200)=0,"",INDEX(次果筐明细!$H$4:$H$603,$Z255-5200)),"")))))</f>
        <v/>
      </c>
      <c r="S255" s="22" t="str">
        <f t="shared" si="11"/>
        <v/>
      </c>
      <c r="Z255" s="10" t="str">
        <f>IFERROR(MATCH(ROW()-3,_自动清单!$CQ$4:$CQ$5803,0),"")</f>
        <v/>
      </c>
    </row>
    <row r="256" spans="1:26">
      <c r="A256" s="24" t="str">
        <f t="shared" si="9"/>
        <v/>
      </c>
      <c r="B256" s="38" t="str">
        <f>IF($Z256="","",IF($Z256&lt;=2000,IF(INDEX(包装物料出入库明细!$B$4:$B$2003,$Z256-0)=0,"",INDEX(包装物料出入库明细!$B$4:$B$2003,$Z256-0)),IF($Z256&lt;=4000,IF(INDEX(周转筐出入库明细!$B$4:$B$2004,$Z256-2000)=0,"",INDEX(周转筐出入库明细!$B$4:$B$2004,$Z256-2000)),IF($Z256&lt;=5200,IF(INDEX(客户自备加工筐明细!$B$4:$B$1203,$Z256-4000)=0,"",INDEX(客户自备加工筐明细!$B$4:$B$1203,$Z256-4000)),IF($Z256&lt;=5800,IF(INDEX(次果筐明细!$B$4:$B$603,$Z256-5200)=0,"",INDEX(次果筐明细!$B$4:$B$603,$Z256-5200)),"")))))</f>
        <v/>
      </c>
      <c r="C256" s="37" t="str">
        <f>IF($Z256="","",IF($Z256&lt;=2000,IF(INDEX(包装物料出入库明细!$D$4:$D$2003,$Z256-0)=0,"",INDEX(包装物料出入库明细!$D$4:$D$2003,$Z256-0)),IF($Z256&lt;=4000,IF(INDEX(周转筐出入库明细!$C$4:$C$2004,$Z256-2000)=0,"",INDEX(周转筐出入库明细!$C$4:$C$2004,$Z256-2000)),IF($Z256&lt;=5200,IF(INDEX(客户自备加工筐明细!$E$4:$E$1203,$Z256-4000)=0,"",INDEX(客户自备加工筐明细!$E$4:$E$1203,$Z256-4000)),IF($Z256&lt;=5800,IF(INDEX(次果筐明细!$C$4:$C$603,$Z256-5200)=0,"",INDEX(次果筐明细!$C$4:$C$603,$Z256-5200)),"")))))</f>
        <v/>
      </c>
      <c r="D256" s="37" t="str">
        <f>IF($Z256="","",IF($Z256&lt;=2000,"包装物料－"&amp;INDEX(包装物料出入库明细!$H$4:$H$2003,$Z256-0),IF($Z256&lt;=4000,"周转筐－"&amp;INDEX(周转筐出入库明细!$F$4:$F$2004,$Z256-2000),IF($Z256&lt;=5200,"客户自备筐－"&amp;INDEX(客户自备加工筐明细!$J$4:$J$1203,$Z256-4000),IF($Z256&lt;=5800,"次果筐/托盘－"&amp;INDEX(次果筐明细!$F$4:$F$603,$Z256-5200),"")))))</f>
        <v/>
      </c>
      <c r="E256" s="24" t="str">
        <f>IF($Z256="","",IF($Z256&lt;=2000,IF(INDEX(包装物料出入库明细!$C$4:$C$2003,$Z256-0)=0,"",INDEX(包装物料出入库明细!$C$4:$C$2003,$Z256-0)),IF($Z256&lt;=4000,IF(INDEX(周转筐出入库明细!$E$4:$E$2004,$Z256-2000)=0,"",INDEX(周转筐出入库明细!$E$4:$E$2004,$Z256-2000)),IF($Z256&lt;=5200,IF(INDEX(客户自备加工筐明细!$D$4:$D$1203,$Z256-4000)=0,"",INDEX(客户自备加工筐明细!$D$4:$D$1203,$Z256-4000)),IF($Z256&lt;=5800,IF(INDEX(次果筐明细!$E$4:$E$603,$Z256-5200)=0,"",INDEX(次果筐明细!$E$4:$E$603,$Z256-5200)),"")))))</f>
        <v/>
      </c>
      <c r="F256" s="24" t="str">
        <f>IF($Z256="","",IF($Z256&lt;=2000,IF(INDEX(包装物料出入库明细!$E$4:$E$2003,$Z256-0)=0,"",INDEX(包装物料出入库明细!$E$4:$E$2003,$Z256-0)),IF($Z256&lt;=4000,IF(INDEX(周转筐出入库明细!$D$4:$D$2004,$Z256-2000)=0,"",INDEX(周转筐出入库明细!$D$4:$D$2004,$Z256-2000)),IF($Z256&lt;=5200,IF(INDEX(客户自备加工筐明细!$C$4:$C$1203,$Z256-4000)=0,"",INDEX(客户自备加工筐明细!$C$4:$C$1203,$Z256-4000)),IF($Z256&lt;=5800,IF(INDEX(次果筐明细!$D$4:$D$603,$Z256-5200)=0,"",INDEX(次果筐明细!$D$4:$D$603,$Z256-5200)),"")))))</f>
        <v/>
      </c>
      <c r="G256" s="24" t="str">
        <f>IF($Z256="","",IF($Z256&lt;=2000,IF(INDEX(包装物料出入库明细!$F$4:$F$2003,$Z256-0)=0,"",INDEX(包装物料出入库明细!$F$4:$F$2003,$Z256-0)),IF($Z256&lt;=4000,"",IF($Z256&lt;=5200,"",IF($Z256&lt;=5800,"","")))))</f>
        <v/>
      </c>
      <c r="H256" s="39" t="str">
        <f>IF($Z256="","",IF($Z256&lt;=2000,IF(INDEX(包装物料出入库明细!$L$4:$L$2003,$Z256-0)=0,"",INDEX(包装物料出入库明细!$L$4:$L$2003,$Z256-0)),IF($Z256&lt;=4000,N(INDEX(周转筐出入库明细!$H$4:$H$2004,$Z256-2000))+N(INDEX(周转筐出入库明细!$I$4:$I$2004,$Z256-2000))+N(INDEX(周转筐出入库明细!$J$4:$J$2004,$Z256-2000))+N(INDEX(周转筐出入库明细!$K$4:$K$2004,$Z256-2000)),IF($Z256&lt;=5200,N(INDEX(客户自备加工筐明细!$F$4:$F$1203,$Z256-4000))+N(INDEX(客户自备加工筐明细!$G$4:$G$1203,$Z256-4000)),IF($Z256&lt;=5800,IF(INDEX(次果筐明细!$G$4:$G$603,$Z256-5200)=0,"",INDEX(次果筐明细!$G$4:$G$603,$Z256-5200)),"")))))</f>
        <v/>
      </c>
      <c r="I256" s="24" t="str">
        <f>IF($Z256="","",IF($Z256&lt;=2000,IF(INDEX(包装物料出入库明细!$G$4:$G$2003,$Z256-0)=0,"",INDEX(包装物料出入库明细!$G$4:$G$2003,$Z256-0)),IF($Z256&lt;=4000,"个",IF($Z256&lt;=5200,"个",IF($Z256&lt;=5800,"个","")))))</f>
        <v/>
      </c>
      <c r="J256" s="30" t="str">
        <f t="shared" si="10"/>
        <v/>
      </c>
      <c r="K256" s="30" t="str">
        <f>IF($Z256="","",IF($Z256&lt;=2000,IF(INDEX(包装物料出入库明细!$N$4:$N$2003,$Z256-0)=0,"",INDEX(包装物料出入库明细!$N$4:$N$2003,$Z256-0)),IF($Z256&lt;=4000,IF(INDEX(周转筐出入库明细!$P$4:$P$2004,$Z256-2000)=0,"",INDEX(周转筐出入库明细!$P$4:$P$2004,$Z256-2000)),IF($Z256&lt;=5200,"",IF($Z256&lt;=5800,N(INDEX(次果筐明细!$L$4:$L$603,$Z256-5200))+N(INDEX(次果筐明细!$J$4:$J$603,$Z256-5200)),"")))))</f>
        <v/>
      </c>
      <c r="L256" s="24" t="str">
        <f>IF($Z256="","",IF($Z256&lt;=2000,IF(INDEX(包装物料出入库明细!$P$4:$P$2003,$Z256-0)=0,"",INDEX(包装物料出入库明细!$P$4:$P$2003,$Z256-0)),IF($Z256&lt;=4000,IF(INDEX(周转筐出入库明细!$Q$4:$Q$2004,$Z256-2000)=0,"",INDEX(周转筐出入库明细!$Q$4:$Q$2004,$Z256-2000)),IF($Z256&lt;=5200,"",IF($Z256&lt;=5800,IF(INDEX(次果筐明细!$M$4:$M$603,$Z256-5200)=0,"",INDEX(次果筐明细!$M$4:$M$603,$Z256-5200)),"")))))</f>
        <v/>
      </c>
      <c r="M256" s="37" t="str">
        <f>IF($Z256="","",IF($Z256&lt;=2000,IF(INDEX(包装物料出入库明细!$R$4:$R$2003,$Z256-0)=0,"",INDEX(包装物料出入库明细!$R$4:$R$2003,$Z256-0)),IF($Z256&lt;=4000,IF(INDEX(周转筐出入库明细!$W$4:$W$2004,$Z256-2000)=0,"",INDEX(周转筐出入库明细!$W$4:$W$2004,$Z256-2000)),IF($Z256&lt;=5200,IF(INDEX(客户自备加工筐明细!$L$4:$L$1203,$Z256-4000)=0,"",INDEX(客户自备加工筐明细!$L$4:$L$1203,$Z256-4000)),IF($Z256&lt;=5800,IF(INDEX(次果筐明细!$P$4:$P$603,$Z256-5200)=0,"",INDEX(次果筐明细!$P$4:$P$603,$Z256-5200)),"")))))</f>
        <v/>
      </c>
      <c r="N256" s="16" t="str">
        <f>IF($Z256="","",IF($Z256&lt;=2000,"",IF($Z256&lt;=4000,IF(INDEX(周转筐出入库明细!$D$4:$D$2004,$Z256-2000)=0,"",INDEX(周转筐出入库明细!$D$4:$D$2004,$Z256-2000)),IF($Z256&lt;=5200,IF(INDEX(客户自备加工筐明细!$C$4:$C$1203,$Z256-4000)=0,"",INDEX(客户自备加工筐明细!$C$4:$C$1203,$Z256-4000)),IF($Z256&lt;=5800,IF(INDEX(次果筐明细!$D$4:$D$603,$Z256-5200)=0,"",INDEX(次果筐明细!$D$4:$D$603,$Z256-5200)),"")))))</f>
        <v/>
      </c>
      <c r="O256" s="40" t="str">
        <f>IF($Z256="","",IF($Z256&lt;=2000,"",IF($Z256&lt;=4000,IF(N(INDEX(周转筐出入库明细!$J$4:$J$2004,$Z256-2000))+N(INDEX(周转筐出入库明细!$K$4:$K$2004,$Z256-2000))=0,"",N(INDEX(周转筐出入库明细!$J$4:$J$2004,$Z256-2000))+N(INDEX(周转筐出入库明细!$K$4:$K$2004,$Z256-2000))),IF($Z256&lt;=5200,IF(N(INDEX(客户自备加工筐明细!$G$4:$G$1203,$Z256-4000))=0,"",N(INDEX(客户自备加工筐明细!$G$4:$G$1203,$Z256-4000))),IF($Z256&lt;=5800,IF(ISNUMBER(SEARCH("退",INDEX(次果筐明细!$F$4:$F$603,$Z256-5200)&amp;"")),"",IF(N(INDEX(次果筐明细!$G$4:$G$603,$Z256-5200))=0,"",N(INDEX(次果筐明细!$G$4:$G$603,$Z256-5200)))),"")))))</f>
        <v/>
      </c>
      <c r="P256" s="40" t="str">
        <f>IF($Z256="","",IF($Z256&lt;=2000,"",IF($Z256&lt;=4000,IF(N(INDEX(周转筐出入库明细!$I$4:$I$2004,$Z256-2000))=0,"",N(INDEX(周转筐出入库明细!$I$4:$I$2004,$Z256-2000))),IF($Z256&lt;=5200,"",IF($Z256&lt;=5800,IF(ISNUMBER(SEARCH("退",INDEX(次果筐明细!$F$4:$F$603,$Z256-5200)&amp;"")),IF(N(INDEX(次果筐明细!$G$4:$G$603,$Z256-5200))=0,"",N(INDEX(次果筐明细!$G$4:$G$603,$Z256-5200))),""),"")))))</f>
        <v/>
      </c>
      <c r="Q256" s="40" t="str">
        <f>IF($Z256="","",IF($Z256&lt;=2000,"",IF($Z256&lt;=4000,IF(N(INDEX(周转筐出入库明细!$H$4:$H$2004,$Z256-2000))=0,"",N(INDEX(周转筐出入库明细!$H$4:$H$2004,$Z256-2000))),IF($Z256&lt;=5200,IF(N(INDEX(客户自备加工筐明细!$F$4:$F$1203,$Z256-4000))=0,"",N(INDEX(客户自备加工筐明细!$F$4:$F$1203,$Z256-4000))),IF($Z256&lt;=5800,"","")))))</f>
        <v/>
      </c>
      <c r="R256" s="16" t="str">
        <f>IF($Z256="","",IF($Z256&lt;=2000,IF(INDEX(包装物料出入库明细!$O$4:$O$2003,$Z256-0)=0,"",INDEX(包装物料出入库明细!$O$4:$O$2003,$Z256-0)),IF($Z256&lt;=4000,IF(INDEX(周转筐出入库明细!$M$4:$M$2004,$Z256-2000)=0,"",INDEX(周转筐出入库明细!$M$4:$M$2004,$Z256-2000)),IF($Z256&lt;=5200,IF(INDEX(客户自备加工筐明细!$H$4:$H$1203,$Z256-4000)=0,"",INDEX(客户自备加工筐明细!$H$4:$H$1203,$Z256-4000)),IF($Z256&lt;=5800,IF(INDEX(次果筐明细!$H$4:$H$603,$Z256-5200)=0,"",INDEX(次果筐明细!$H$4:$H$603,$Z256-5200)),"")))))</f>
        <v/>
      </c>
      <c r="S256" s="22" t="str">
        <f t="shared" si="11"/>
        <v/>
      </c>
      <c r="Z256" s="10" t="str">
        <f>IFERROR(MATCH(ROW()-3,_自动清单!$CQ$4:$CQ$5803,0),"")</f>
        <v/>
      </c>
    </row>
    <row r="257" spans="1:26">
      <c r="A257" s="24" t="str">
        <f t="shared" si="9"/>
        <v/>
      </c>
      <c r="B257" s="38" t="str">
        <f>IF($Z257="","",IF($Z257&lt;=2000,IF(INDEX(包装物料出入库明细!$B$4:$B$2003,$Z257-0)=0,"",INDEX(包装物料出入库明细!$B$4:$B$2003,$Z257-0)),IF($Z257&lt;=4000,IF(INDEX(周转筐出入库明细!$B$4:$B$2004,$Z257-2000)=0,"",INDEX(周转筐出入库明细!$B$4:$B$2004,$Z257-2000)),IF($Z257&lt;=5200,IF(INDEX(客户自备加工筐明细!$B$4:$B$1203,$Z257-4000)=0,"",INDEX(客户自备加工筐明细!$B$4:$B$1203,$Z257-4000)),IF($Z257&lt;=5800,IF(INDEX(次果筐明细!$B$4:$B$603,$Z257-5200)=0,"",INDEX(次果筐明细!$B$4:$B$603,$Z257-5200)),"")))))</f>
        <v/>
      </c>
      <c r="C257" s="37" t="str">
        <f>IF($Z257="","",IF($Z257&lt;=2000,IF(INDEX(包装物料出入库明细!$D$4:$D$2003,$Z257-0)=0,"",INDEX(包装物料出入库明细!$D$4:$D$2003,$Z257-0)),IF($Z257&lt;=4000,IF(INDEX(周转筐出入库明细!$C$4:$C$2004,$Z257-2000)=0,"",INDEX(周转筐出入库明细!$C$4:$C$2004,$Z257-2000)),IF($Z257&lt;=5200,IF(INDEX(客户自备加工筐明细!$E$4:$E$1203,$Z257-4000)=0,"",INDEX(客户自备加工筐明细!$E$4:$E$1203,$Z257-4000)),IF($Z257&lt;=5800,IF(INDEX(次果筐明细!$C$4:$C$603,$Z257-5200)=0,"",INDEX(次果筐明细!$C$4:$C$603,$Z257-5200)),"")))))</f>
        <v/>
      </c>
      <c r="D257" s="37" t="str">
        <f>IF($Z257="","",IF($Z257&lt;=2000,"包装物料－"&amp;INDEX(包装物料出入库明细!$H$4:$H$2003,$Z257-0),IF($Z257&lt;=4000,"周转筐－"&amp;INDEX(周转筐出入库明细!$F$4:$F$2004,$Z257-2000),IF($Z257&lt;=5200,"客户自备筐－"&amp;INDEX(客户自备加工筐明细!$J$4:$J$1203,$Z257-4000),IF($Z257&lt;=5800,"次果筐/托盘－"&amp;INDEX(次果筐明细!$F$4:$F$603,$Z257-5200),"")))))</f>
        <v/>
      </c>
      <c r="E257" s="24" t="str">
        <f>IF($Z257="","",IF($Z257&lt;=2000,IF(INDEX(包装物料出入库明细!$C$4:$C$2003,$Z257-0)=0,"",INDEX(包装物料出入库明细!$C$4:$C$2003,$Z257-0)),IF($Z257&lt;=4000,IF(INDEX(周转筐出入库明细!$E$4:$E$2004,$Z257-2000)=0,"",INDEX(周转筐出入库明细!$E$4:$E$2004,$Z257-2000)),IF($Z257&lt;=5200,IF(INDEX(客户自备加工筐明细!$D$4:$D$1203,$Z257-4000)=0,"",INDEX(客户自备加工筐明细!$D$4:$D$1203,$Z257-4000)),IF($Z257&lt;=5800,IF(INDEX(次果筐明细!$E$4:$E$603,$Z257-5200)=0,"",INDEX(次果筐明细!$E$4:$E$603,$Z257-5200)),"")))))</f>
        <v/>
      </c>
      <c r="F257" s="24" t="str">
        <f>IF($Z257="","",IF($Z257&lt;=2000,IF(INDEX(包装物料出入库明细!$E$4:$E$2003,$Z257-0)=0,"",INDEX(包装物料出入库明细!$E$4:$E$2003,$Z257-0)),IF($Z257&lt;=4000,IF(INDEX(周转筐出入库明细!$D$4:$D$2004,$Z257-2000)=0,"",INDEX(周转筐出入库明细!$D$4:$D$2004,$Z257-2000)),IF($Z257&lt;=5200,IF(INDEX(客户自备加工筐明细!$C$4:$C$1203,$Z257-4000)=0,"",INDEX(客户自备加工筐明细!$C$4:$C$1203,$Z257-4000)),IF($Z257&lt;=5800,IF(INDEX(次果筐明细!$D$4:$D$603,$Z257-5200)=0,"",INDEX(次果筐明细!$D$4:$D$603,$Z257-5200)),"")))))</f>
        <v/>
      </c>
      <c r="G257" s="24" t="str">
        <f>IF($Z257="","",IF($Z257&lt;=2000,IF(INDEX(包装物料出入库明细!$F$4:$F$2003,$Z257-0)=0,"",INDEX(包装物料出入库明细!$F$4:$F$2003,$Z257-0)),IF($Z257&lt;=4000,"",IF($Z257&lt;=5200,"",IF($Z257&lt;=5800,"","")))))</f>
        <v/>
      </c>
      <c r="H257" s="39" t="str">
        <f>IF($Z257="","",IF($Z257&lt;=2000,IF(INDEX(包装物料出入库明细!$L$4:$L$2003,$Z257-0)=0,"",INDEX(包装物料出入库明细!$L$4:$L$2003,$Z257-0)),IF($Z257&lt;=4000,N(INDEX(周转筐出入库明细!$H$4:$H$2004,$Z257-2000))+N(INDEX(周转筐出入库明细!$I$4:$I$2004,$Z257-2000))+N(INDEX(周转筐出入库明细!$J$4:$J$2004,$Z257-2000))+N(INDEX(周转筐出入库明细!$K$4:$K$2004,$Z257-2000)),IF($Z257&lt;=5200,N(INDEX(客户自备加工筐明细!$F$4:$F$1203,$Z257-4000))+N(INDEX(客户自备加工筐明细!$G$4:$G$1203,$Z257-4000)),IF($Z257&lt;=5800,IF(INDEX(次果筐明细!$G$4:$G$603,$Z257-5200)=0,"",INDEX(次果筐明细!$G$4:$G$603,$Z257-5200)),"")))))</f>
        <v/>
      </c>
      <c r="I257" s="24" t="str">
        <f>IF($Z257="","",IF($Z257&lt;=2000,IF(INDEX(包装物料出入库明细!$G$4:$G$2003,$Z257-0)=0,"",INDEX(包装物料出入库明细!$G$4:$G$2003,$Z257-0)),IF($Z257&lt;=4000,"个",IF($Z257&lt;=5200,"个",IF($Z257&lt;=5800,"个","")))))</f>
        <v/>
      </c>
      <c r="J257" s="30" t="str">
        <f t="shared" si="10"/>
        <v/>
      </c>
      <c r="K257" s="30" t="str">
        <f>IF($Z257="","",IF($Z257&lt;=2000,IF(INDEX(包装物料出入库明细!$N$4:$N$2003,$Z257-0)=0,"",INDEX(包装物料出入库明细!$N$4:$N$2003,$Z257-0)),IF($Z257&lt;=4000,IF(INDEX(周转筐出入库明细!$P$4:$P$2004,$Z257-2000)=0,"",INDEX(周转筐出入库明细!$P$4:$P$2004,$Z257-2000)),IF($Z257&lt;=5200,"",IF($Z257&lt;=5800,N(INDEX(次果筐明细!$L$4:$L$603,$Z257-5200))+N(INDEX(次果筐明细!$J$4:$J$603,$Z257-5200)),"")))))</f>
        <v/>
      </c>
      <c r="L257" s="24" t="str">
        <f>IF($Z257="","",IF($Z257&lt;=2000,IF(INDEX(包装物料出入库明细!$P$4:$P$2003,$Z257-0)=0,"",INDEX(包装物料出入库明细!$P$4:$P$2003,$Z257-0)),IF($Z257&lt;=4000,IF(INDEX(周转筐出入库明细!$Q$4:$Q$2004,$Z257-2000)=0,"",INDEX(周转筐出入库明细!$Q$4:$Q$2004,$Z257-2000)),IF($Z257&lt;=5200,"",IF($Z257&lt;=5800,IF(INDEX(次果筐明细!$M$4:$M$603,$Z257-5200)=0,"",INDEX(次果筐明细!$M$4:$M$603,$Z257-5200)),"")))))</f>
        <v/>
      </c>
      <c r="M257" s="37" t="str">
        <f>IF($Z257="","",IF($Z257&lt;=2000,IF(INDEX(包装物料出入库明细!$R$4:$R$2003,$Z257-0)=0,"",INDEX(包装物料出入库明细!$R$4:$R$2003,$Z257-0)),IF($Z257&lt;=4000,IF(INDEX(周转筐出入库明细!$W$4:$W$2004,$Z257-2000)=0,"",INDEX(周转筐出入库明细!$W$4:$W$2004,$Z257-2000)),IF($Z257&lt;=5200,IF(INDEX(客户自备加工筐明细!$L$4:$L$1203,$Z257-4000)=0,"",INDEX(客户自备加工筐明细!$L$4:$L$1203,$Z257-4000)),IF($Z257&lt;=5800,IF(INDEX(次果筐明细!$P$4:$P$603,$Z257-5200)=0,"",INDEX(次果筐明细!$P$4:$P$603,$Z257-5200)),"")))))</f>
        <v/>
      </c>
      <c r="N257" s="16" t="str">
        <f>IF($Z257="","",IF($Z257&lt;=2000,"",IF($Z257&lt;=4000,IF(INDEX(周转筐出入库明细!$D$4:$D$2004,$Z257-2000)=0,"",INDEX(周转筐出入库明细!$D$4:$D$2004,$Z257-2000)),IF($Z257&lt;=5200,IF(INDEX(客户自备加工筐明细!$C$4:$C$1203,$Z257-4000)=0,"",INDEX(客户自备加工筐明细!$C$4:$C$1203,$Z257-4000)),IF($Z257&lt;=5800,IF(INDEX(次果筐明细!$D$4:$D$603,$Z257-5200)=0,"",INDEX(次果筐明细!$D$4:$D$603,$Z257-5200)),"")))))</f>
        <v/>
      </c>
      <c r="O257" s="40" t="str">
        <f>IF($Z257="","",IF($Z257&lt;=2000,"",IF($Z257&lt;=4000,IF(N(INDEX(周转筐出入库明细!$J$4:$J$2004,$Z257-2000))+N(INDEX(周转筐出入库明细!$K$4:$K$2004,$Z257-2000))=0,"",N(INDEX(周转筐出入库明细!$J$4:$J$2004,$Z257-2000))+N(INDEX(周转筐出入库明细!$K$4:$K$2004,$Z257-2000))),IF($Z257&lt;=5200,IF(N(INDEX(客户自备加工筐明细!$G$4:$G$1203,$Z257-4000))=0,"",N(INDEX(客户自备加工筐明细!$G$4:$G$1203,$Z257-4000))),IF($Z257&lt;=5800,IF(ISNUMBER(SEARCH("退",INDEX(次果筐明细!$F$4:$F$603,$Z257-5200)&amp;"")),"",IF(N(INDEX(次果筐明细!$G$4:$G$603,$Z257-5200))=0,"",N(INDEX(次果筐明细!$G$4:$G$603,$Z257-5200)))),"")))))</f>
        <v/>
      </c>
      <c r="P257" s="40" t="str">
        <f>IF($Z257="","",IF($Z257&lt;=2000,"",IF($Z257&lt;=4000,IF(N(INDEX(周转筐出入库明细!$I$4:$I$2004,$Z257-2000))=0,"",N(INDEX(周转筐出入库明细!$I$4:$I$2004,$Z257-2000))),IF($Z257&lt;=5200,"",IF($Z257&lt;=5800,IF(ISNUMBER(SEARCH("退",INDEX(次果筐明细!$F$4:$F$603,$Z257-5200)&amp;"")),IF(N(INDEX(次果筐明细!$G$4:$G$603,$Z257-5200))=0,"",N(INDEX(次果筐明细!$G$4:$G$603,$Z257-5200))),""),"")))))</f>
        <v/>
      </c>
      <c r="Q257" s="40" t="str">
        <f>IF($Z257="","",IF($Z257&lt;=2000,"",IF($Z257&lt;=4000,IF(N(INDEX(周转筐出入库明细!$H$4:$H$2004,$Z257-2000))=0,"",N(INDEX(周转筐出入库明细!$H$4:$H$2004,$Z257-2000))),IF($Z257&lt;=5200,IF(N(INDEX(客户自备加工筐明细!$F$4:$F$1203,$Z257-4000))=0,"",N(INDEX(客户自备加工筐明细!$F$4:$F$1203,$Z257-4000))),IF($Z257&lt;=5800,"","")))))</f>
        <v/>
      </c>
      <c r="R257" s="16" t="str">
        <f>IF($Z257="","",IF($Z257&lt;=2000,IF(INDEX(包装物料出入库明细!$O$4:$O$2003,$Z257-0)=0,"",INDEX(包装物料出入库明细!$O$4:$O$2003,$Z257-0)),IF($Z257&lt;=4000,IF(INDEX(周转筐出入库明细!$M$4:$M$2004,$Z257-2000)=0,"",INDEX(周转筐出入库明细!$M$4:$M$2004,$Z257-2000)),IF($Z257&lt;=5200,IF(INDEX(客户自备加工筐明细!$H$4:$H$1203,$Z257-4000)=0,"",INDEX(客户自备加工筐明细!$H$4:$H$1203,$Z257-4000)),IF($Z257&lt;=5800,IF(INDEX(次果筐明细!$H$4:$H$603,$Z257-5200)=0,"",INDEX(次果筐明细!$H$4:$H$603,$Z257-5200)),"")))))</f>
        <v/>
      </c>
      <c r="S257" s="22" t="str">
        <f t="shared" si="11"/>
        <v/>
      </c>
      <c r="Z257" s="10" t="str">
        <f>IFERROR(MATCH(ROW()-3,_自动清单!$CQ$4:$CQ$5803,0),"")</f>
        <v/>
      </c>
    </row>
    <row r="258" spans="1:26">
      <c r="A258" s="24" t="str">
        <f t="shared" si="9"/>
        <v/>
      </c>
      <c r="B258" s="38" t="str">
        <f>IF($Z258="","",IF($Z258&lt;=2000,IF(INDEX(包装物料出入库明细!$B$4:$B$2003,$Z258-0)=0,"",INDEX(包装物料出入库明细!$B$4:$B$2003,$Z258-0)),IF($Z258&lt;=4000,IF(INDEX(周转筐出入库明细!$B$4:$B$2004,$Z258-2000)=0,"",INDEX(周转筐出入库明细!$B$4:$B$2004,$Z258-2000)),IF($Z258&lt;=5200,IF(INDEX(客户自备加工筐明细!$B$4:$B$1203,$Z258-4000)=0,"",INDEX(客户自备加工筐明细!$B$4:$B$1203,$Z258-4000)),IF($Z258&lt;=5800,IF(INDEX(次果筐明细!$B$4:$B$603,$Z258-5200)=0,"",INDEX(次果筐明细!$B$4:$B$603,$Z258-5200)),"")))))</f>
        <v/>
      </c>
      <c r="C258" s="37" t="str">
        <f>IF($Z258="","",IF($Z258&lt;=2000,IF(INDEX(包装物料出入库明细!$D$4:$D$2003,$Z258-0)=0,"",INDEX(包装物料出入库明细!$D$4:$D$2003,$Z258-0)),IF($Z258&lt;=4000,IF(INDEX(周转筐出入库明细!$C$4:$C$2004,$Z258-2000)=0,"",INDEX(周转筐出入库明细!$C$4:$C$2004,$Z258-2000)),IF($Z258&lt;=5200,IF(INDEX(客户自备加工筐明细!$E$4:$E$1203,$Z258-4000)=0,"",INDEX(客户自备加工筐明细!$E$4:$E$1203,$Z258-4000)),IF($Z258&lt;=5800,IF(INDEX(次果筐明细!$C$4:$C$603,$Z258-5200)=0,"",INDEX(次果筐明细!$C$4:$C$603,$Z258-5200)),"")))))</f>
        <v/>
      </c>
      <c r="D258" s="37" t="str">
        <f>IF($Z258="","",IF($Z258&lt;=2000,"包装物料－"&amp;INDEX(包装物料出入库明细!$H$4:$H$2003,$Z258-0),IF($Z258&lt;=4000,"周转筐－"&amp;INDEX(周转筐出入库明细!$F$4:$F$2004,$Z258-2000),IF($Z258&lt;=5200,"客户自备筐－"&amp;INDEX(客户自备加工筐明细!$J$4:$J$1203,$Z258-4000),IF($Z258&lt;=5800,"次果筐/托盘－"&amp;INDEX(次果筐明细!$F$4:$F$603,$Z258-5200),"")))))</f>
        <v/>
      </c>
      <c r="E258" s="24" t="str">
        <f>IF($Z258="","",IF($Z258&lt;=2000,IF(INDEX(包装物料出入库明细!$C$4:$C$2003,$Z258-0)=0,"",INDEX(包装物料出入库明细!$C$4:$C$2003,$Z258-0)),IF($Z258&lt;=4000,IF(INDEX(周转筐出入库明细!$E$4:$E$2004,$Z258-2000)=0,"",INDEX(周转筐出入库明细!$E$4:$E$2004,$Z258-2000)),IF($Z258&lt;=5200,IF(INDEX(客户自备加工筐明细!$D$4:$D$1203,$Z258-4000)=0,"",INDEX(客户自备加工筐明细!$D$4:$D$1203,$Z258-4000)),IF($Z258&lt;=5800,IF(INDEX(次果筐明细!$E$4:$E$603,$Z258-5200)=0,"",INDEX(次果筐明细!$E$4:$E$603,$Z258-5200)),"")))))</f>
        <v/>
      </c>
      <c r="F258" s="24" t="str">
        <f>IF($Z258="","",IF($Z258&lt;=2000,IF(INDEX(包装物料出入库明细!$E$4:$E$2003,$Z258-0)=0,"",INDEX(包装物料出入库明细!$E$4:$E$2003,$Z258-0)),IF($Z258&lt;=4000,IF(INDEX(周转筐出入库明细!$D$4:$D$2004,$Z258-2000)=0,"",INDEX(周转筐出入库明细!$D$4:$D$2004,$Z258-2000)),IF($Z258&lt;=5200,IF(INDEX(客户自备加工筐明细!$C$4:$C$1203,$Z258-4000)=0,"",INDEX(客户自备加工筐明细!$C$4:$C$1203,$Z258-4000)),IF($Z258&lt;=5800,IF(INDEX(次果筐明细!$D$4:$D$603,$Z258-5200)=0,"",INDEX(次果筐明细!$D$4:$D$603,$Z258-5200)),"")))))</f>
        <v/>
      </c>
      <c r="G258" s="24" t="str">
        <f>IF($Z258="","",IF($Z258&lt;=2000,IF(INDEX(包装物料出入库明细!$F$4:$F$2003,$Z258-0)=0,"",INDEX(包装物料出入库明细!$F$4:$F$2003,$Z258-0)),IF($Z258&lt;=4000,"",IF($Z258&lt;=5200,"",IF($Z258&lt;=5800,"","")))))</f>
        <v/>
      </c>
      <c r="H258" s="39" t="str">
        <f>IF($Z258="","",IF($Z258&lt;=2000,IF(INDEX(包装物料出入库明细!$L$4:$L$2003,$Z258-0)=0,"",INDEX(包装物料出入库明细!$L$4:$L$2003,$Z258-0)),IF($Z258&lt;=4000,N(INDEX(周转筐出入库明细!$H$4:$H$2004,$Z258-2000))+N(INDEX(周转筐出入库明细!$I$4:$I$2004,$Z258-2000))+N(INDEX(周转筐出入库明细!$J$4:$J$2004,$Z258-2000))+N(INDEX(周转筐出入库明细!$K$4:$K$2004,$Z258-2000)),IF($Z258&lt;=5200,N(INDEX(客户自备加工筐明细!$F$4:$F$1203,$Z258-4000))+N(INDEX(客户自备加工筐明细!$G$4:$G$1203,$Z258-4000)),IF($Z258&lt;=5800,IF(INDEX(次果筐明细!$G$4:$G$603,$Z258-5200)=0,"",INDEX(次果筐明细!$G$4:$G$603,$Z258-5200)),"")))))</f>
        <v/>
      </c>
      <c r="I258" s="24" t="str">
        <f>IF($Z258="","",IF($Z258&lt;=2000,IF(INDEX(包装物料出入库明细!$G$4:$G$2003,$Z258-0)=0,"",INDEX(包装物料出入库明细!$G$4:$G$2003,$Z258-0)),IF($Z258&lt;=4000,"个",IF($Z258&lt;=5200,"个",IF($Z258&lt;=5800,"个","")))))</f>
        <v/>
      </c>
      <c r="J258" s="30" t="str">
        <f t="shared" si="10"/>
        <v/>
      </c>
      <c r="K258" s="30" t="str">
        <f>IF($Z258="","",IF($Z258&lt;=2000,IF(INDEX(包装物料出入库明细!$N$4:$N$2003,$Z258-0)=0,"",INDEX(包装物料出入库明细!$N$4:$N$2003,$Z258-0)),IF($Z258&lt;=4000,IF(INDEX(周转筐出入库明细!$P$4:$P$2004,$Z258-2000)=0,"",INDEX(周转筐出入库明细!$P$4:$P$2004,$Z258-2000)),IF($Z258&lt;=5200,"",IF($Z258&lt;=5800,N(INDEX(次果筐明细!$L$4:$L$603,$Z258-5200))+N(INDEX(次果筐明细!$J$4:$J$603,$Z258-5200)),"")))))</f>
        <v/>
      </c>
      <c r="L258" s="24" t="str">
        <f>IF($Z258="","",IF($Z258&lt;=2000,IF(INDEX(包装物料出入库明细!$P$4:$P$2003,$Z258-0)=0,"",INDEX(包装物料出入库明细!$P$4:$P$2003,$Z258-0)),IF($Z258&lt;=4000,IF(INDEX(周转筐出入库明细!$Q$4:$Q$2004,$Z258-2000)=0,"",INDEX(周转筐出入库明细!$Q$4:$Q$2004,$Z258-2000)),IF($Z258&lt;=5200,"",IF($Z258&lt;=5800,IF(INDEX(次果筐明细!$M$4:$M$603,$Z258-5200)=0,"",INDEX(次果筐明细!$M$4:$M$603,$Z258-5200)),"")))))</f>
        <v/>
      </c>
      <c r="M258" s="37" t="str">
        <f>IF($Z258="","",IF($Z258&lt;=2000,IF(INDEX(包装物料出入库明细!$R$4:$R$2003,$Z258-0)=0,"",INDEX(包装物料出入库明细!$R$4:$R$2003,$Z258-0)),IF($Z258&lt;=4000,IF(INDEX(周转筐出入库明细!$W$4:$W$2004,$Z258-2000)=0,"",INDEX(周转筐出入库明细!$W$4:$W$2004,$Z258-2000)),IF($Z258&lt;=5200,IF(INDEX(客户自备加工筐明细!$L$4:$L$1203,$Z258-4000)=0,"",INDEX(客户自备加工筐明细!$L$4:$L$1203,$Z258-4000)),IF($Z258&lt;=5800,IF(INDEX(次果筐明细!$P$4:$P$603,$Z258-5200)=0,"",INDEX(次果筐明细!$P$4:$P$603,$Z258-5200)),"")))))</f>
        <v/>
      </c>
      <c r="N258" s="16" t="str">
        <f>IF($Z258="","",IF($Z258&lt;=2000,"",IF($Z258&lt;=4000,IF(INDEX(周转筐出入库明细!$D$4:$D$2004,$Z258-2000)=0,"",INDEX(周转筐出入库明细!$D$4:$D$2004,$Z258-2000)),IF($Z258&lt;=5200,IF(INDEX(客户自备加工筐明细!$C$4:$C$1203,$Z258-4000)=0,"",INDEX(客户自备加工筐明细!$C$4:$C$1203,$Z258-4000)),IF($Z258&lt;=5800,IF(INDEX(次果筐明细!$D$4:$D$603,$Z258-5200)=0,"",INDEX(次果筐明细!$D$4:$D$603,$Z258-5200)),"")))))</f>
        <v/>
      </c>
      <c r="O258" s="40" t="str">
        <f>IF($Z258="","",IF($Z258&lt;=2000,"",IF($Z258&lt;=4000,IF(N(INDEX(周转筐出入库明细!$J$4:$J$2004,$Z258-2000))+N(INDEX(周转筐出入库明细!$K$4:$K$2004,$Z258-2000))=0,"",N(INDEX(周转筐出入库明细!$J$4:$J$2004,$Z258-2000))+N(INDEX(周转筐出入库明细!$K$4:$K$2004,$Z258-2000))),IF($Z258&lt;=5200,IF(N(INDEX(客户自备加工筐明细!$G$4:$G$1203,$Z258-4000))=0,"",N(INDEX(客户自备加工筐明细!$G$4:$G$1203,$Z258-4000))),IF($Z258&lt;=5800,IF(ISNUMBER(SEARCH("退",INDEX(次果筐明细!$F$4:$F$603,$Z258-5200)&amp;"")),"",IF(N(INDEX(次果筐明细!$G$4:$G$603,$Z258-5200))=0,"",N(INDEX(次果筐明细!$G$4:$G$603,$Z258-5200)))),"")))))</f>
        <v/>
      </c>
      <c r="P258" s="40" t="str">
        <f>IF($Z258="","",IF($Z258&lt;=2000,"",IF($Z258&lt;=4000,IF(N(INDEX(周转筐出入库明细!$I$4:$I$2004,$Z258-2000))=0,"",N(INDEX(周转筐出入库明细!$I$4:$I$2004,$Z258-2000))),IF($Z258&lt;=5200,"",IF($Z258&lt;=5800,IF(ISNUMBER(SEARCH("退",INDEX(次果筐明细!$F$4:$F$603,$Z258-5200)&amp;"")),IF(N(INDEX(次果筐明细!$G$4:$G$603,$Z258-5200))=0,"",N(INDEX(次果筐明细!$G$4:$G$603,$Z258-5200))),""),"")))))</f>
        <v/>
      </c>
      <c r="Q258" s="40" t="str">
        <f>IF($Z258="","",IF($Z258&lt;=2000,"",IF($Z258&lt;=4000,IF(N(INDEX(周转筐出入库明细!$H$4:$H$2004,$Z258-2000))=0,"",N(INDEX(周转筐出入库明细!$H$4:$H$2004,$Z258-2000))),IF($Z258&lt;=5200,IF(N(INDEX(客户自备加工筐明细!$F$4:$F$1203,$Z258-4000))=0,"",N(INDEX(客户自备加工筐明细!$F$4:$F$1203,$Z258-4000))),IF($Z258&lt;=5800,"","")))))</f>
        <v/>
      </c>
      <c r="R258" s="16" t="str">
        <f>IF($Z258="","",IF($Z258&lt;=2000,IF(INDEX(包装物料出入库明细!$O$4:$O$2003,$Z258-0)=0,"",INDEX(包装物料出入库明细!$O$4:$O$2003,$Z258-0)),IF($Z258&lt;=4000,IF(INDEX(周转筐出入库明细!$M$4:$M$2004,$Z258-2000)=0,"",INDEX(周转筐出入库明细!$M$4:$M$2004,$Z258-2000)),IF($Z258&lt;=5200,IF(INDEX(客户自备加工筐明细!$H$4:$H$1203,$Z258-4000)=0,"",INDEX(客户自备加工筐明细!$H$4:$H$1203,$Z258-4000)),IF($Z258&lt;=5800,IF(INDEX(次果筐明细!$H$4:$H$603,$Z258-5200)=0,"",INDEX(次果筐明细!$H$4:$H$603,$Z258-5200)),"")))))</f>
        <v/>
      </c>
      <c r="S258" s="22" t="str">
        <f t="shared" si="11"/>
        <v/>
      </c>
      <c r="Z258" s="10" t="str">
        <f>IFERROR(MATCH(ROW()-3,_自动清单!$CQ$4:$CQ$5803,0),"")</f>
        <v/>
      </c>
    </row>
    <row r="259" spans="1:26">
      <c r="A259" s="24" t="str">
        <f t="shared" si="9"/>
        <v/>
      </c>
      <c r="B259" s="38" t="str">
        <f>IF($Z259="","",IF($Z259&lt;=2000,IF(INDEX(包装物料出入库明细!$B$4:$B$2003,$Z259-0)=0,"",INDEX(包装物料出入库明细!$B$4:$B$2003,$Z259-0)),IF($Z259&lt;=4000,IF(INDEX(周转筐出入库明细!$B$4:$B$2004,$Z259-2000)=0,"",INDEX(周转筐出入库明细!$B$4:$B$2004,$Z259-2000)),IF($Z259&lt;=5200,IF(INDEX(客户自备加工筐明细!$B$4:$B$1203,$Z259-4000)=0,"",INDEX(客户自备加工筐明细!$B$4:$B$1203,$Z259-4000)),IF($Z259&lt;=5800,IF(INDEX(次果筐明细!$B$4:$B$603,$Z259-5200)=0,"",INDEX(次果筐明细!$B$4:$B$603,$Z259-5200)),"")))))</f>
        <v/>
      </c>
      <c r="C259" s="37" t="str">
        <f>IF($Z259="","",IF($Z259&lt;=2000,IF(INDEX(包装物料出入库明细!$D$4:$D$2003,$Z259-0)=0,"",INDEX(包装物料出入库明细!$D$4:$D$2003,$Z259-0)),IF($Z259&lt;=4000,IF(INDEX(周转筐出入库明细!$C$4:$C$2004,$Z259-2000)=0,"",INDEX(周转筐出入库明细!$C$4:$C$2004,$Z259-2000)),IF($Z259&lt;=5200,IF(INDEX(客户自备加工筐明细!$E$4:$E$1203,$Z259-4000)=0,"",INDEX(客户自备加工筐明细!$E$4:$E$1203,$Z259-4000)),IF($Z259&lt;=5800,IF(INDEX(次果筐明细!$C$4:$C$603,$Z259-5200)=0,"",INDEX(次果筐明细!$C$4:$C$603,$Z259-5200)),"")))))</f>
        <v/>
      </c>
      <c r="D259" s="37" t="str">
        <f>IF($Z259="","",IF($Z259&lt;=2000,"包装物料－"&amp;INDEX(包装物料出入库明细!$H$4:$H$2003,$Z259-0),IF($Z259&lt;=4000,"周转筐－"&amp;INDEX(周转筐出入库明细!$F$4:$F$2004,$Z259-2000),IF($Z259&lt;=5200,"客户自备筐－"&amp;INDEX(客户自备加工筐明细!$J$4:$J$1203,$Z259-4000),IF($Z259&lt;=5800,"次果筐/托盘－"&amp;INDEX(次果筐明细!$F$4:$F$603,$Z259-5200),"")))))</f>
        <v/>
      </c>
      <c r="E259" s="24" t="str">
        <f>IF($Z259="","",IF($Z259&lt;=2000,IF(INDEX(包装物料出入库明细!$C$4:$C$2003,$Z259-0)=0,"",INDEX(包装物料出入库明细!$C$4:$C$2003,$Z259-0)),IF($Z259&lt;=4000,IF(INDEX(周转筐出入库明细!$E$4:$E$2004,$Z259-2000)=0,"",INDEX(周转筐出入库明细!$E$4:$E$2004,$Z259-2000)),IF($Z259&lt;=5200,IF(INDEX(客户自备加工筐明细!$D$4:$D$1203,$Z259-4000)=0,"",INDEX(客户自备加工筐明细!$D$4:$D$1203,$Z259-4000)),IF($Z259&lt;=5800,IF(INDEX(次果筐明细!$E$4:$E$603,$Z259-5200)=0,"",INDEX(次果筐明细!$E$4:$E$603,$Z259-5200)),"")))))</f>
        <v/>
      </c>
      <c r="F259" s="24" t="str">
        <f>IF($Z259="","",IF($Z259&lt;=2000,IF(INDEX(包装物料出入库明细!$E$4:$E$2003,$Z259-0)=0,"",INDEX(包装物料出入库明细!$E$4:$E$2003,$Z259-0)),IF($Z259&lt;=4000,IF(INDEX(周转筐出入库明细!$D$4:$D$2004,$Z259-2000)=0,"",INDEX(周转筐出入库明细!$D$4:$D$2004,$Z259-2000)),IF($Z259&lt;=5200,IF(INDEX(客户自备加工筐明细!$C$4:$C$1203,$Z259-4000)=0,"",INDEX(客户自备加工筐明细!$C$4:$C$1203,$Z259-4000)),IF($Z259&lt;=5800,IF(INDEX(次果筐明细!$D$4:$D$603,$Z259-5200)=0,"",INDEX(次果筐明细!$D$4:$D$603,$Z259-5200)),"")))))</f>
        <v/>
      </c>
      <c r="G259" s="24" t="str">
        <f>IF($Z259="","",IF($Z259&lt;=2000,IF(INDEX(包装物料出入库明细!$F$4:$F$2003,$Z259-0)=0,"",INDEX(包装物料出入库明细!$F$4:$F$2003,$Z259-0)),IF($Z259&lt;=4000,"",IF($Z259&lt;=5200,"",IF($Z259&lt;=5800,"","")))))</f>
        <v/>
      </c>
      <c r="H259" s="39" t="str">
        <f>IF($Z259="","",IF($Z259&lt;=2000,IF(INDEX(包装物料出入库明细!$L$4:$L$2003,$Z259-0)=0,"",INDEX(包装物料出入库明细!$L$4:$L$2003,$Z259-0)),IF($Z259&lt;=4000,N(INDEX(周转筐出入库明细!$H$4:$H$2004,$Z259-2000))+N(INDEX(周转筐出入库明细!$I$4:$I$2004,$Z259-2000))+N(INDEX(周转筐出入库明细!$J$4:$J$2004,$Z259-2000))+N(INDEX(周转筐出入库明细!$K$4:$K$2004,$Z259-2000)),IF($Z259&lt;=5200,N(INDEX(客户自备加工筐明细!$F$4:$F$1203,$Z259-4000))+N(INDEX(客户自备加工筐明细!$G$4:$G$1203,$Z259-4000)),IF($Z259&lt;=5800,IF(INDEX(次果筐明细!$G$4:$G$603,$Z259-5200)=0,"",INDEX(次果筐明细!$G$4:$G$603,$Z259-5200)),"")))))</f>
        <v/>
      </c>
      <c r="I259" s="24" t="str">
        <f>IF($Z259="","",IF($Z259&lt;=2000,IF(INDEX(包装物料出入库明细!$G$4:$G$2003,$Z259-0)=0,"",INDEX(包装物料出入库明细!$G$4:$G$2003,$Z259-0)),IF($Z259&lt;=4000,"个",IF($Z259&lt;=5200,"个",IF($Z259&lt;=5800,"个","")))))</f>
        <v/>
      </c>
      <c r="J259" s="30" t="str">
        <f t="shared" si="10"/>
        <v/>
      </c>
      <c r="K259" s="30" t="str">
        <f>IF($Z259="","",IF($Z259&lt;=2000,IF(INDEX(包装物料出入库明细!$N$4:$N$2003,$Z259-0)=0,"",INDEX(包装物料出入库明细!$N$4:$N$2003,$Z259-0)),IF($Z259&lt;=4000,IF(INDEX(周转筐出入库明细!$P$4:$P$2004,$Z259-2000)=0,"",INDEX(周转筐出入库明细!$P$4:$P$2004,$Z259-2000)),IF($Z259&lt;=5200,"",IF($Z259&lt;=5800,N(INDEX(次果筐明细!$L$4:$L$603,$Z259-5200))+N(INDEX(次果筐明细!$J$4:$J$603,$Z259-5200)),"")))))</f>
        <v/>
      </c>
      <c r="L259" s="24" t="str">
        <f>IF($Z259="","",IF($Z259&lt;=2000,IF(INDEX(包装物料出入库明细!$P$4:$P$2003,$Z259-0)=0,"",INDEX(包装物料出入库明细!$P$4:$P$2003,$Z259-0)),IF($Z259&lt;=4000,IF(INDEX(周转筐出入库明细!$Q$4:$Q$2004,$Z259-2000)=0,"",INDEX(周转筐出入库明细!$Q$4:$Q$2004,$Z259-2000)),IF($Z259&lt;=5200,"",IF($Z259&lt;=5800,IF(INDEX(次果筐明细!$M$4:$M$603,$Z259-5200)=0,"",INDEX(次果筐明细!$M$4:$M$603,$Z259-5200)),"")))))</f>
        <v/>
      </c>
      <c r="M259" s="37" t="str">
        <f>IF($Z259="","",IF($Z259&lt;=2000,IF(INDEX(包装物料出入库明细!$R$4:$R$2003,$Z259-0)=0,"",INDEX(包装物料出入库明细!$R$4:$R$2003,$Z259-0)),IF($Z259&lt;=4000,IF(INDEX(周转筐出入库明细!$W$4:$W$2004,$Z259-2000)=0,"",INDEX(周转筐出入库明细!$W$4:$W$2004,$Z259-2000)),IF($Z259&lt;=5200,IF(INDEX(客户自备加工筐明细!$L$4:$L$1203,$Z259-4000)=0,"",INDEX(客户自备加工筐明细!$L$4:$L$1203,$Z259-4000)),IF($Z259&lt;=5800,IF(INDEX(次果筐明细!$P$4:$P$603,$Z259-5200)=0,"",INDEX(次果筐明细!$P$4:$P$603,$Z259-5200)),"")))))</f>
        <v/>
      </c>
      <c r="N259" s="16" t="str">
        <f>IF($Z259="","",IF($Z259&lt;=2000,"",IF($Z259&lt;=4000,IF(INDEX(周转筐出入库明细!$D$4:$D$2004,$Z259-2000)=0,"",INDEX(周转筐出入库明细!$D$4:$D$2004,$Z259-2000)),IF($Z259&lt;=5200,IF(INDEX(客户自备加工筐明细!$C$4:$C$1203,$Z259-4000)=0,"",INDEX(客户自备加工筐明细!$C$4:$C$1203,$Z259-4000)),IF($Z259&lt;=5800,IF(INDEX(次果筐明细!$D$4:$D$603,$Z259-5200)=0,"",INDEX(次果筐明细!$D$4:$D$603,$Z259-5200)),"")))))</f>
        <v/>
      </c>
      <c r="O259" s="40" t="str">
        <f>IF($Z259="","",IF($Z259&lt;=2000,"",IF($Z259&lt;=4000,IF(N(INDEX(周转筐出入库明细!$J$4:$J$2004,$Z259-2000))+N(INDEX(周转筐出入库明细!$K$4:$K$2004,$Z259-2000))=0,"",N(INDEX(周转筐出入库明细!$J$4:$J$2004,$Z259-2000))+N(INDEX(周转筐出入库明细!$K$4:$K$2004,$Z259-2000))),IF($Z259&lt;=5200,IF(N(INDEX(客户自备加工筐明细!$G$4:$G$1203,$Z259-4000))=0,"",N(INDEX(客户自备加工筐明细!$G$4:$G$1203,$Z259-4000))),IF($Z259&lt;=5800,IF(ISNUMBER(SEARCH("退",INDEX(次果筐明细!$F$4:$F$603,$Z259-5200)&amp;"")),"",IF(N(INDEX(次果筐明细!$G$4:$G$603,$Z259-5200))=0,"",N(INDEX(次果筐明细!$G$4:$G$603,$Z259-5200)))),"")))))</f>
        <v/>
      </c>
      <c r="P259" s="40" t="str">
        <f>IF($Z259="","",IF($Z259&lt;=2000,"",IF($Z259&lt;=4000,IF(N(INDEX(周转筐出入库明细!$I$4:$I$2004,$Z259-2000))=0,"",N(INDEX(周转筐出入库明细!$I$4:$I$2004,$Z259-2000))),IF($Z259&lt;=5200,"",IF($Z259&lt;=5800,IF(ISNUMBER(SEARCH("退",INDEX(次果筐明细!$F$4:$F$603,$Z259-5200)&amp;"")),IF(N(INDEX(次果筐明细!$G$4:$G$603,$Z259-5200))=0,"",N(INDEX(次果筐明细!$G$4:$G$603,$Z259-5200))),""),"")))))</f>
        <v/>
      </c>
      <c r="Q259" s="40" t="str">
        <f>IF($Z259="","",IF($Z259&lt;=2000,"",IF($Z259&lt;=4000,IF(N(INDEX(周转筐出入库明细!$H$4:$H$2004,$Z259-2000))=0,"",N(INDEX(周转筐出入库明细!$H$4:$H$2004,$Z259-2000))),IF($Z259&lt;=5200,IF(N(INDEX(客户自备加工筐明细!$F$4:$F$1203,$Z259-4000))=0,"",N(INDEX(客户自备加工筐明细!$F$4:$F$1203,$Z259-4000))),IF($Z259&lt;=5800,"","")))))</f>
        <v/>
      </c>
      <c r="R259" s="16" t="str">
        <f>IF($Z259="","",IF($Z259&lt;=2000,IF(INDEX(包装物料出入库明细!$O$4:$O$2003,$Z259-0)=0,"",INDEX(包装物料出入库明细!$O$4:$O$2003,$Z259-0)),IF($Z259&lt;=4000,IF(INDEX(周转筐出入库明细!$M$4:$M$2004,$Z259-2000)=0,"",INDEX(周转筐出入库明细!$M$4:$M$2004,$Z259-2000)),IF($Z259&lt;=5200,IF(INDEX(客户自备加工筐明细!$H$4:$H$1203,$Z259-4000)=0,"",INDEX(客户自备加工筐明细!$H$4:$H$1203,$Z259-4000)),IF($Z259&lt;=5800,IF(INDEX(次果筐明细!$H$4:$H$603,$Z259-5200)=0,"",INDEX(次果筐明细!$H$4:$H$603,$Z259-5200)),"")))))</f>
        <v/>
      </c>
      <c r="S259" s="22" t="str">
        <f t="shared" si="11"/>
        <v/>
      </c>
      <c r="Z259" s="10" t="str">
        <f>IFERROR(MATCH(ROW()-3,_自动清单!$CQ$4:$CQ$5803,0),"")</f>
        <v/>
      </c>
    </row>
    <row r="260" spans="1:26">
      <c r="A260" s="24" t="str">
        <f t="shared" ref="A260:A323" si="12">IF($B260="","",ROW()-3)</f>
        <v/>
      </c>
      <c r="B260" s="38" t="str">
        <f>IF($Z260="","",IF($Z260&lt;=2000,IF(INDEX(包装物料出入库明细!$B$4:$B$2003,$Z260-0)=0,"",INDEX(包装物料出入库明细!$B$4:$B$2003,$Z260-0)),IF($Z260&lt;=4000,IF(INDEX(周转筐出入库明细!$B$4:$B$2004,$Z260-2000)=0,"",INDEX(周转筐出入库明细!$B$4:$B$2004,$Z260-2000)),IF($Z260&lt;=5200,IF(INDEX(客户自备加工筐明细!$B$4:$B$1203,$Z260-4000)=0,"",INDEX(客户自备加工筐明细!$B$4:$B$1203,$Z260-4000)),IF($Z260&lt;=5800,IF(INDEX(次果筐明细!$B$4:$B$603,$Z260-5200)=0,"",INDEX(次果筐明细!$B$4:$B$603,$Z260-5200)),"")))))</f>
        <v/>
      </c>
      <c r="C260" s="37" t="str">
        <f>IF($Z260="","",IF($Z260&lt;=2000,IF(INDEX(包装物料出入库明细!$D$4:$D$2003,$Z260-0)=0,"",INDEX(包装物料出入库明细!$D$4:$D$2003,$Z260-0)),IF($Z260&lt;=4000,IF(INDEX(周转筐出入库明细!$C$4:$C$2004,$Z260-2000)=0,"",INDEX(周转筐出入库明细!$C$4:$C$2004,$Z260-2000)),IF($Z260&lt;=5200,IF(INDEX(客户自备加工筐明细!$E$4:$E$1203,$Z260-4000)=0,"",INDEX(客户自备加工筐明细!$E$4:$E$1203,$Z260-4000)),IF($Z260&lt;=5800,IF(INDEX(次果筐明细!$C$4:$C$603,$Z260-5200)=0,"",INDEX(次果筐明细!$C$4:$C$603,$Z260-5200)),"")))))</f>
        <v/>
      </c>
      <c r="D260" s="37" t="str">
        <f>IF($Z260="","",IF($Z260&lt;=2000,"包装物料－"&amp;INDEX(包装物料出入库明细!$H$4:$H$2003,$Z260-0),IF($Z260&lt;=4000,"周转筐－"&amp;INDEX(周转筐出入库明细!$F$4:$F$2004,$Z260-2000),IF($Z260&lt;=5200,"客户自备筐－"&amp;INDEX(客户自备加工筐明细!$J$4:$J$1203,$Z260-4000),IF($Z260&lt;=5800,"次果筐/托盘－"&amp;INDEX(次果筐明细!$F$4:$F$603,$Z260-5200),"")))))</f>
        <v/>
      </c>
      <c r="E260" s="24" t="str">
        <f>IF($Z260="","",IF($Z260&lt;=2000,IF(INDEX(包装物料出入库明细!$C$4:$C$2003,$Z260-0)=0,"",INDEX(包装物料出入库明细!$C$4:$C$2003,$Z260-0)),IF($Z260&lt;=4000,IF(INDEX(周转筐出入库明细!$E$4:$E$2004,$Z260-2000)=0,"",INDEX(周转筐出入库明细!$E$4:$E$2004,$Z260-2000)),IF($Z260&lt;=5200,IF(INDEX(客户自备加工筐明细!$D$4:$D$1203,$Z260-4000)=0,"",INDEX(客户自备加工筐明细!$D$4:$D$1203,$Z260-4000)),IF($Z260&lt;=5800,IF(INDEX(次果筐明细!$E$4:$E$603,$Z260-5200)=0,"",INDEX(次果筐明细!$E$4:$E$603,$Z260-5200)),"")))))</f>
        <v/>
      </c>
      <c r="F260" s="24" t="str">
        <f>IF($Z260="","",IF($Z260&lt;=2000,IF(INDEX(包装物料出入库明细!$E$4:$E$2003,$Z260-0)=0,"",INDEX(包装物料出入库明细!$E$4:$E$2003,$Z260-0)),IF($Z260&lt;=4000,IF(INDEX(周转筐出入库明细!$D$4:$D$2004,$Z260-2000)=0,"",INDEX(周转筐出入库明细!$D$4:$D$2004,$Z260-2000)),IF($Z260&lt;=5200,IF(INDEX(客户自备加工筐明细!$C$4:$C$1203,$Z260-4000)=0,"",INDEX(客户自备加工筐明细!$C$4:$C$1203,$Z260-4000)),IF($Z260&lt;=5800,IF(INDEX(次果筐明细!$D$4:$D$603,$Z260-5200)=0,"",INDEX(次果筐明细!$D$4:$D$603,$Z260-5200)),"")))))</f>
        <v/>
      </c>
      <c r="G260" s="24" t="str">
        <f>IF($Z260="","",IF($Z260&lt;=2000,IF(INDEX(包装物料出入库明细!$F$4:$F$2003,$Z260-0)=0,"",INDEX(包装物料出入库明细!$F$4:$F$2003,$Z260-0)),IF($Z260&lt;=4000,"",IF($Z260&lt;=5200,"",IF($Z260&lt;=5800,"","")))))</f>
        <v/>
      </c>
      <c r="H260" s="39" t="str">
        <f>IF($Z260="","",IF($Z260&lt;=2000,IF(INDEX(包装物料出入库明细!$L$4:$L$2003,$Z260-0)=0,"",INDEX(包装物料出入库明细!$L$4:$L$2003,$Z260-0)),IF($Z260&lt;=4000,N(INDEX(周转筐出入库明细!$H$4:$H$2004,$Z260-2000))+N(INDEX(周转筐出入库明细!$I$4:$I$2004,$Z260-2000))+N(INDEX(周转筐出入库明细!$J$4:$J$2004,$Z260-2000))+N(INDEX(周转筐出入库明细!$K$4:$K$2004,$Z260-2000)),IF($Z260&lt;=5200,N(INDEX(客户自备加工筐明细!$F$4:$F$1203,$Z260-4000))+N(INDEX(客户自备加工筐明细!$G$4:$G$1203,$Z260-4000)),IF($Z260&lt;=5800,IF(INDEX(次果筐明细!$G$4:$G$603,$Z260-5200)=0,"",INDEX(次果筐明细!$G$4:$G$603,$Z260-5200)),"")))))</f>
        <v/>
      </c>
      <c r="I260" s="24" t="str">
        <f>IF($Z260="","",IF($Z260&lt;=2000,IF(INDEX(包装物料出入库明细!$G$4:$G$2003,$Z260-0)=0,"",INDEX(包装物料出入库明细!$G$4:$G$2003,$Z260-0)),IF($Z260&lt;=4000,"个",IF($Z260&lt;=5200,"个",IF($Z260&lt;=5800,"个","")))))</f>
        <v/>
      </c>
      <c r="J260" s="30" t="str">
        <f t="shared" ref="J260:J323" si="13">IF($Z260="","",IF($Z260&lt;=2000,"",IF($Z260&lt;=4000,"",IF($Z260&lt;=5200,"",IF($Z260&lt;=5800,"","")))))</f>
        <v/>
      </c>
      <c r="K260" s="30" t="str">
        <f>IF($Z260="","",IF($Z260&lt;=2000,IF(INDEX(包装物料出入库明细!$N$4:$N$2003,$Z260-0)=0,"",INDEX(包装物料出入库明细!$N$4:$N$2003,$Z260-0)),IF($Z260&lt;=4000,IF(INDEX(周转筐出入库明细!$P$4:$P$2004,$Z260-2000)=0,"",INDEX(周转筐出入库明细!$P$4:$P$2004,$Z260-2000)),IF($Z260&lt;=5200,"",IF($Z260&lt;=5800,N(INDEX(次果筐明细!$L$4:$L$603,$Z260-5200))+N(INDEX(次果筐明细!$J$4:$J$603,$Z260-5200)),"")))))</f>
        <v/>
      </c>
      <c r="L260" s="24" t="str">
        <f>IF($Z260="","",IF($Z260&lt;=2000,IF(INDEX(包装物料出入库明细!$P$4:$P$2003,$Z260-0)=0,"",INDEX(包装物料出入库明细!$P$4:$P$2003,$Z260-0)),IF($Z260&lt;=4000,IF(INDEX(周转筐出入库明细!$Q$4:$Q$2004,$Z260-2000)=0,"",INDEX(周转筐出入库明细!$Q$4:$Q$2004,$Z260-2000)),IF($Z260&lt;=5200,"",IF($Z260&lt;=5800,IF(INDEX(次果筐明细!$M$4:$M$603,$Z260-5200)=0,"",INDEX(次果筐明细!$M$4:$M$603,$Z260-5200)),"")))))</f>
        <v/>
      </c>
      <c r="M260" s="37" t="str">
        <f>IF($Z260="","",IF($Z260&lt;=2000,IF(INDEX(包装物料出入库明细!$R$4:$R$2003,$Z260-0)=0,"",INDEX(包装物料出入库明细!$R$4:$R$2003,$Z260-0)),IF($Z260&lt;=4000,IF(INDEX(周转筐出入库明细!$W$4:$W$2004,$Z260-2000)=0,"",INDEX(周转筐出入库明细!$W$4:$W$2004,$Z260-2000)),IF($Z260&lt;=5200,IF(INDEX(客户自备加工筐明细!$L$4:$L$1203,$Z260-4000)=0,"",INDEX(客户自备加工筐明细!$L$4:$L$1203,$Z260-4000)),IF($Z260&lt;=5800,IF(INDEX(次果筐明细!$P$4:$P$603,$Z260-5200)=0,"",INDEX(次果筐明细!$P$4:$P$603,$Z260-5200)),"")))))</f>
        <v/>
      </c>
      <c r="N260" s="16" t="str">
        <f>IF($Z260="","",IF($Z260&lt;=2000,"",IF($Z260&lt;=4000,IF(INDEX(周转筐出入库明细!$D$4:$D$2004,$Z260-2000)=0,"",INDEX(周转筐出入库明细!$D$4:$D$2004,$Z260-2000)),IF($Z260&lt;=5200,IF(INDEX(客户自备加工筐明细!$C$4:$C$1203,$Z260-4000)=0,"",INDEX(客户自备加工筐明细!$C$4:$C$1203,$Z260-4000)),IF($Z260&lt;=5800,IF(INDEX(次果筐明细!$D$4:$D$603,$Z260-5200)=0,"",INDEX(次果筐明细!$D$4:$D$603,$Z260-5200)),"")))))</f>
        <v/>
      </c>
      <c r="O260" s="40" t="str">
        <f>IF($Z260="","",IF($Z260&lt;=2000,"",IF($Z260&lt;=4000,IF(N(INDEX(周转筐出入库明细!$J$4:$J$2004,$Z260-2000))+N(INDEX(周转筐出入库明细!$K$4:$K$2004,$Z260-2000))=0,"",N(INDEX(周转筐出入库明细!$J$4:$J$2004,$Z260-2000))+N(INDEX(周转筐出入库明细!$K$4:$K$2004,$Z260-2000))),IF($Z260&lt;=5200,IF(N(INDEX(客户自备加工筐明细!$G$4:$G$1203,$Z260-4000))=0,"",N(INDEX(客户自备加工筐明细!$G$4:$G$1203,$Z260-4000))),IF($Z260&lt;=5800,IF(ISNUMBER(SEARCH("退",INDEX(次果筐明细!$F$4:$F$603,$Z260-5200)&amp;"")),"",IF(N(INDEX(次果筐明细!$G$4:$G$603,$Z260-5200))=0,"",N(INDEX(次果筐明细!$G$4:$G$603,$Z260-5200)))),"")))))</f>
        <v/>
      </c>
      <c r="P260" s="40" t="str">
        <f>IF($Z260="","",IF($Z260&lt;=2000,"",IF($Z260&lt;=4000,IF(N(INDEX(周转筐出入库明细!$I$4:$I$2004,$Z260-2000))=0,"",N(INDEX(周转筐出入库明细!$I$4:$I$2004,$Z260-2000))),IF($Z260&lt;=5200,"",IF($Z260&lt;=5800,IF(ISNUMBER(SEARCH("退",INDEX(次果筐明细!$F$4:$F$603,$Z260-5200)&amp;"")),IF(N(INDEX(次果筐明细!$G$4:$G$603,$Z260-5200))=0,"",N(INDEX(次果筐明细!$G$4:$G$603,$Z260-5200))),""),"")))))</f>
        <v/>
      </c>
      <c r="Q260" s="40" t="str">
        <f>IF($Z260="","",IF($Z260&lt;=2000,"",IF($Z260&lt;=4000,IF(N(INDEX(周转筐出入库明细!$H$4:$H$2004,$Z260-2000))=0,"",N(INDEX(周转筐出入库明细!$H$4:$H$2004,$Z260-2000))),IF($Z260&lt;=5200,IF(N(INDEX(客户自备加工筐明细!$F$4:$F$1203,$Z260-4000))=0,"",N(INDEX(客户自备加工筐明细!$F$4:$F$1203,$Z260-4000))),IF($Z260&lt;=5800,"","")))))</f>
        <v/>
      </c>
      <c r="R260" s="16" t="str">
        <f>IF($Z260="","",IF($Z260&lt;=2000,IF(INDEX(包装物料出入库明细!$O$4:$O$2003,$Z260-0)=0,"",INDEX(包装物料出入库明细!$O$4:$O$2003,$Z260-0)),IF($Z260&lt;=4000,IF(INDEX(周转筐出入库明细!$M$4:$M$2004,$Z260-2000)=0,"",INDEX(周转筐出入库明细!$M$4:$M$2004,$Z260-2000)),IF($Z260&lt;=5200,IF(INDEX(客户自备加工筐明细!$H$4:$H$1203,$Z260-4000)=0,"",INDEX(客户自备加工筐明细!$H$4:$H$1203,$Z260-4000)),IF($Z260&lt;=5800,IF(INDEX(次果筐明细!$H$4:$H$603,$Z260-5200)=0,"",INDEX(次果筐明细!$H$4:$H$603,$Z260-5200)),"")))))</f>
        <v/>
      </c>
      <c r="S260" s="22" t="str">
        <f t="shared" ref="S260:S323" si="14">IF($N260="","",IF(OR(LEFT($N260,2)="自备",AND($Z260&gt;4000,$Z260&lt;=5200)),"自备筐","公司筐"))</f>
        <v/>
      </c>
      <c r="Z260" s="10" t="str">
        <f>IFERROR(MATCH(ROW()-3,_自动清单!$CQ$4:$CQ$5803,0),"")</f>
        <v/>
      </c>
    </row>
    <row r="261" spans="1:26">
      <c r="A261" s="24" t="str">
        <f t="shared" si="12"/>
        <v/>
      </c>
      <c r="B261" s="38" t="str">
        <f>IF($Z261="","",IF($Z261&lt;=2000,IF(INDEX(包装物料出入库明细!$B$4:$B$2003,$Z261-0)=0,"",INDEX(包装物料出入库明细!$B$4:$B$2003,$Z261-0)),IF($Z261&lt;=4000,IF(INDEX(周转筐出入库明细!$B$4:$B$2004,$Z261-2000)=0,"",INDEX(周转筐出入库明细!$B$4:$B$2004,$Z261-2000)),IF($Z261&lt;=5200,IF(INDEX(客户自备加工筐明细!$B$4:$B$1203,$Z261-4000)=0,"",INDEX(客户自备加工筐明细!$B$4:$B$1203,$Z261-4000)),IF($Z261&lt;=5800,IF(INDEX(次果筐明细!$B$4:$B$603,$Z261-5200)=0,"",INDEX(次果筐明细!$B$4:$B$603,$Z261-5200)),"")))))</f>
        <v/>
      </c>
      <c r="C261" s="37" t="str">
        <f>IF($Z261="","",IF($Z261&lt;=2000,IF(INDEX(包装物料出入库明细!$D$4:$D$2003,$Z261-0)=0,"",INDEX(包装物料出入库明细!$D$4:$D$2003,$Z261-0)),IF($Z261&lt;=4000,IF(INDEX(周转筐出入库明细!$C$4:$C$2004,$Z261-2000)=0,"",INDEX(周转筐出入库明细!$C$4:$C$2004,$Z261-2000)),IF($Z261&lt;=5200,IF(INDEX(客户自备加工筐明细!$E$4:$E$1203,$Z261-4000)=0,"",INDEX(客户自备加工筐明细!$E$4:$E$1203,$Z261-4000)),IF($Z261&lt;=5800,IF(INDEX(次果筐明细!$C$4:$C$603,$Z261-5200)=0,"",INDEX(次果筐明细!$C$4:$C$603,$Z261-5200)),"")))))</f>
        <v/>
      </c>
      <c r="D261" s="37" t="str">
        <f>IF($Z261="","",IF($Z261&lt;=2000,"包装物料－"&amp;INDEX(包装物料出入库明细!$H$4:$H$2003,$Z261-0),IF($Z261&lt;=4000,"周转筐－"&amp;INDEX(周转筐出入库明细!$F$4:$F$2004,$Z261-2000),IF($Z261&lt;=5200,"客户自备筐－"&amp;INDEX(客户自备加工筐明细!$J$4:$J$1203,$Z261-4000),IF($Z261&lt;=5800,"次果筐/托盘－"&amp;INDEX(次果筐明细!$F$4:$F$603,$Z261-5200),"")))))</f>
        <v/>
      </c>
      <c r="E261" s="24" t="str">
        <f>IF($Z261="","",IF($Z261&lt;=2000,IF(INDEX(包装物料出入库明细!$C$4:$C$2003,$Z261-0)=0,"",INDEX(包装物料出入库明细!$C$4:$C$2003,$Z261-0)),IF($Z261&lt;=4000,IF(INDEX(周转筐出入库明细!$E$4:$E$2004,$Z261-2000)=0,"",INDEX(周转筐出入库明细!$E$4:$E$2004,$Z261-2000)),IF($Z261&lt;=5200,IF(INDEX(客户自备加工筐明细!$D$4:$D$1203,$Z261-4000)=0,"",INDEX(客户自备加工筐明细!$D$4:$D$1203,$Z261-4000)),IF($Z261&lt;=5800,IF(INDEX(次果筐明细!$E$4:$E$603,$Z261-5200)=0,"",INDEX(次果筐明细!$E$4:$E$603,$Z261-5200)),"")))))</f>
        <v/>
      </c>
      <c r="F261" s="24" t="str">
        <f>IF($Z261="","",IF($Z261&lt;=2000,IF(INDEX(包装物料出入库明细!$E$4:$E$2003,$Z261-0)=0,"",INDEX(包装物料出入库明细!$E$4:$E$2003,$Z261-0)),IF($Z261&lt;=4000,IF(INDEX(周转筐出入库明细!$D$4:$D$2004,$Z261-2000)=0,"",INDEX(周转筐出入库明细!$D$4:$D$2004,$Z261-2000)),IF($Z261&lt;=5200,IF(INDEX(客户自备加工筐明细!$C$4:$C$1203,$Z261-4000)=0,"",INDEX(客户自备加工筐明细!$C$4:$C$1203,$Z261-4000)),IF($Z261&lt;=5800,IF(INDEX(次果筐明细!$D$4:$D$603,$Z261-5200)=0,"",INDEX(次果筐明细!$D$4:$D$603,$Z261-5200)),"")))))</f>
        <v/>
      </c>
      <c r="G261" s="24" t="str">
        <f>IF($Z261="","",IF($Z261&lt;=2000,IF(INDEX(包装物料出入库明细!$F$4:$F$2003,$Z261-0)=0,"",INDEX(包装物料出入库明细!$F$4:$F$2003,$Z261-0)),IF($Z261&lt;=4000,"",IF($Z261&lt;=5200,"",IF($Z261&lt;=5800,"","")))))</f>
        <v/>
      </c>
      <c r="H261" s="39" t="str">
        <f>IF($Z261="","",IF($Z261&lt;=2000,IF(INDEX(包装物料出入库明细!$L$4:$L$2003,$Z261-0)=0,"",INDEX(包装物料出入库明细!$L$4:$L$2003,$Z261-0)),IF($Z261&lt;=4000,N(INDEX(周转筐出入库明细!$H$4:$H$2004,$Z261-2000))+N(INDEX(周转筐出入库明细!$I$4:$I$2004,$Z261-2000))+N(INDEX(周转筐出入库明细!$J$4:$J$2004,$Z261-2000))+N(INDEX(周转筐出入库明细!$K$4:$K$2004,$Z261-2000)),IF($Z261&lt;=5200,N(INDEX(客户自备加工筐明细!$F$4:$F$1203,$Z261-4000))+N(INDEX(客户自备加工筐明细!$G$4:$G$1203,$Z261-4000)),IF($Z261&lt;=5800,IF(INDEX(次果筐明细!$G$4:$G$603,$Z261-5200)=0,"",INDEX(次果筐明细!$G$4:$G$603,$Z261-5200)),"")))))</f>
        <v/>
      </c>
      <c r="I261" s="24" t="str">
        <f>IF($Z261="","",IF($Z261&lt;=2000,IF(INDEX(包装物料出入库明细!$G$4:$G$2003,$Z261-0)=0,"",INDEX(包装物料出入库明细!$G$4:$G$2003,$Z261-0)),IF($Z261&lt;=4000,"个",IF($Z261&lt;=5200,"个",IF($Z261&lt;=5800,"个","")))))</f>
        <v/>
      </c>
      <c r="J261" s="30" t="str">
        <f t="shared" si="13"/>
        <v/>
      </c>
      <c r="K261" s="30" t="str">
        <f>IF($Z261="","",IF($Z261&lt;=2000,IF(INDEX(包装物料出入库明细!$N$4:$N$2003,$Z261-0)=0,"",INDEX(包装物料出入库明细!$N$4:$N$2003,$Z261-0)),IF($Z261&lt;=4000,IF(INDEX(周转筐出入库明细!$P$4:$P$2004,$Z261-2000)=0,"",INDEX(周转筐出入库明细!$P$4:$P$2004,$Z261-2000)),IF($Z261&lt;=5200,"",IF($Z261&lt;=5800,N(INDEX(次果筐明细!$L$4:$L$603,$Z261-5200))+N(INDEX(次果筐明细!$J$4:$J$603,$Z261-5200)),"")))))</f>
        <v/>
      </c>
      <c r="L261" s="24" t="str">
        <f>IF($Z261="","",IF($Z261&lt;=2000,IF(INDEX(包装物料出入库明细!$P$4:$P$2003,$Z261-0)=0,"",INDEX(包装物料出入库明细!$P$4:$P$2003,$Z261-0)),IF($Z261&lt;=4000,IF(INDEX(周转筐出入库明细!$Q$4:$Q$2004,$Z261-2000)=0,"",INDEX(周转筐出入库明细!$Q$4:$Q$2004,$Z261-2000)),IF($Z261&lt;=5200,"",IF($Z261&lt;=5800,IF(INDEX(次果筐明细!$M$4:$M$603,$Z261-5200)=0,"",INDEX(次果筐明细!$M$4:$M$603,$Z261-5200)),"")))))</f>
        <v/>
      </c>
      <c r="M261" s="37" t="str">
        <f>IF($Z261="","",IF($Z261&lt;=2000,IF(INDEX(包装物料出入库明细!$R$4:$R$2003,$Z261-0)=0,"",INDEX(包装物料出入库明细!$R$4:$R$2003,$Z261-0)),IF($Z261&lt;=4000,IF(INDEX(周转筐出入库明细!$W$4:$W$2004,$Z261-2000)=0,"",INDEX(周转筐出入库明细!$W$4:$W$2004,$Z261-2000)),IF($Z261&lt;=5200,IF(INDEX(客户自备加工筐明细!$L$4:$L$1203,$Z261-4000)=0,"",INDEX(客户自备加工筐明细!$L$4:$L$1203,$Z261-4000)),IF($Z261&lt;=5800,IF(INDEX(次果筐明细!$P$4:$P$603,$Z261-5200)=0,"",INDEX(次果筐明细!$P$4:$P$603,$Z261-5200)),"")))))</f>
        <v/>
      </c>
      <c r="N261" s="16" t="str">
        <f>IF($Z261="","",IF($Z261&lt;=2000,"",IF($Z261&lt;=4000,IF(INDEX(周转筐出入库明细!$D$4:$D$2004,$Z261-2000)=0,"",INDEX(周转筐出入库明细!$D$4:$D$2004,$Z261-2000)),IF($Z261&lt;=5200,IF(INDEX(客户自备加工筐明细!$C$4:$C$1203,$Z261-4000)=0,"",INDEX(客户自备加工筐明细!$C$4:$C$1203,$Z261-4000)),IF($Z261&lt;=5800,IF(INDEX(次果筐明细!$D$4:$D$603,$Z261-5200)=0,"",INDEX(次果筐明细!$D$4:$D$603,$Z261-5200)),"")))))</f>
        <v/>
      </c>
      <c r="O261" s="40" t="str">
        <f>IF($Z261="","",IF($Z261&lt;=2000,"",IF($Z261&lt;=4000,IF(N(INDEX(周转筐出入库明细!$J$4:$J$2004,$Z261-2000))+N(INDEX(周转筐出入库明细!$K$4:$K$2004,$Z261-2000))=0,"",N(INDEX(周转筐出入库明细!$J$4:$J$2004,$Z261-2000))+N(INDEX(周转筐出入库明细!$K$4:$K$2004,$Z261-2000))),IF($Z261&lt;=5200,IF(N(INDEX(客户自备加工筐明细!$G$4:$G$1203,$Z261-4000))=0,"",N(INDEX(客户自备加工筐明细!$G$4:$G$1203,$Z261-4000))),IF($Z261&lt;=5800,IF(ISNUMBER(SEARCH("退",INDEX(次果筐明细!$F$4:$F$603,$Z261-5200)&amp;"")),"",IF(N(INDEX(次果筐明细!$G$4:$G$603,$Z261-5200))=0,"",N(INDEX(次果筐明细!$G$4:$G$603,$Z261-5200)))),"")))))</f>
        <v/>
      </c>
      <c r="P261" s="40" t="str">
        <f>IF($Z261="","",IF($Z261&lt;=2000,"",IF($Z261&lt;=4000,IF(N(INDEX(周转筐出入库明细!$I$4:$I$2004,$Z261-2000))=0,"",N(INDEX(周转筐出入库明细!$I$4:$I$2004,$Z261-2000))),IF($Z261&lt;=5200,"",IF($Z261&lt;=5800,IF(ISNUMBER(SEARCH("退",INDEX(次果筐明细!$F$4:$F$603,$Z261-5200)&amp;"")),IF(N(INDEX(次果筐明细!$G$4:$G$603,$Z261-5200))=0,"",N(INDEX(次果筐明细!$G$4:$G$603,$Z261-5200))),""),"")))))</f>
        <v/>
      </c>
      <c r="Q261" s="40" t="str">
        <f>IF($Z261="","",IF($Z261&lt;=2000,"",IF($Z261&lt;=4000,IF(N(INDEX(周转筐出入库明细!$H$4:$H$2004,$Z261-2000))=0,"",N(INDEX(周转筐出入库明细!$H$4:$H$2004,$Z261-2000))),IF($Z261&lt;=5200,IF(N(INDEX(客户自备加工筐明细!$F$4:$F$1203,$Z261-4000))=0,"",N(INDEX(客户自备加工筐明细!$F$4:$F$1203,$Z261-4000))),IF($Z261&lt;=5800,"","")))))</f>
        <v/>
      </c>
      <c r="R261" s="16" t="str">
        <f>IF($Z261="","",IF($Z261&lt;=2000,IF(INDEX(包装物料出入库明细!$O$4:$O$2003,$Z261-0)=0,"",INDEX(包装物料出入库明细!$O$4:$O$2003,$Z261-0)),IF($Z261&lt;=4000,IF(INDEX(周转筐出入库明细!$M$4:$M$2004,$Z261-2000)=0,"",INDEX(周转筐出入库明细!$M$4:$M$2004,$Z261-2000)),IF($Z261&lt;=5200,IF(INDEX(客户自备加工筐明细!$H$4:$H$1203,$Z261-4000)=0,"",INDEX(客户自备加工筐明细!$H$4:$H$1203,$Z261-4000)),IF($Z261&lt;=5800,IF(INDEX(次果筐明细!$H$4:$H$603,$Z261-5200)=0,"",INDEX(次果筐明细!$H$4:$H$603,$Z261-5200)),"")))))</f>
        <v/>
      </c>
      <c r="S261" s="22" t="str">
        <f t="shared" si="14"/>
        <v/>
      </c>
      <c r="Z261" s="10" t="str">
        <f>IFERROR(MATCH(ROW()-3,_自动清单!$CQ$4:$CQ$5803,0),"")</f>
        <v/>
      </c>
    </row>
    <row r="262" spans="1:26">
      <c r="A262" s="24" t="str">
        <f t="shared" si="12"/>
        <v/>
      </c>
      <c r="B262" s="38" t="str">
        <f>IF($Z262="","",IF($Z262&lt;=2000,IF(INDEX(包装物料出入库明细!$B$4:$B$2003,$Z262-0)=0,"",INDEX(包装物料出入库明细!$B$4:$B$2003,$Z262-0)),IF($Z262&lt;=4000,IF(INDEX(周转筐出入库明细!$B$4:$B$2004,$Z262-2000)=0,"",INDEX(周转筐出入库明细!$B$4:$B$2004,$Z262-2000)),IF($Z262&lt;=5200,IF(INDEX(客户自备加工筐明细!$B$4:$B$1203,$Z262-4000)=0,"",INDEX(客户自备加工筐明细!$B$4:$B$1203,$Z262-4000)),IF($Z262&lt;=5800,IF(INDEX(次果筐明细!$B$4:$B$603,$Z262-5200)=0,"",INDEX(次果筐明细!$B$4:$B$603,$Z262-5200)),"")))))</f>
        <v/>
      </c>
      <c r="C262" s="37" t="str">
        <f>IF($Z262="","",IF($Z262&lt;=2000,IF(INDEX(包装物料出入库明细!$D$4:$D$2003,$Z262-0)=0,"",INDEX(包装物料出入库明细!$D$4:$D$2003,$Z262-0)),IF($Z262&lt;=4000,IF(INDEX(周转筐出入库明细!$C$4:$C$2004,$Z262-2000)=0,"",INDEX(周转筐出入库明细!$C$4:$C$2004,$Z262-2000)),IF($Z262&lt;=5200,IF(INDEX(客户自备加工筐明细!$E$4:$E$1203,$Z262-4000)=0,"",INDEX(客户自备加工筐明细!$E$4:$E$1203,$Z262-4000)),IF($Z262&lt;=5800,IF(INDEX(次果筐明细!$C$4:$C$603,$Z262-5200)=0,"",INDEX(次果筐明细!$C$4:$C$603,$Z262-5200)),"")))))</f>
        <v/>
      </c>
      <c r="D262" s="37" t="str">
        <f>IF($Z262="","",IF($Z262&lt;=2000,"包装物料－"&amp;INDEX(包装物料出入库明细!$H$4:$H$2003,$Z262-0),IF($Z262&lt;=4000,"周转筐－"&amp;INDEX(周转筐出入库明细!$F$4:$F$2004,$Z262-2000),IF($Z262&lt;=5200,"客户自备筐－"&amp;INDEX(客户自备加工筐明细!$J$4:$J$1203,$Z262-4000),IF($Z262&lt;=5800,"次果筐/托盘－"&amp;INDEX(次果筐明细!$F$4:$F$603,$Z262-5200),"")))))</f>
        <v/>
      </c>
      <c r="E262" s="24" t="str">
        <f>IF($Z262="","",IF($Z262&lt;=2000,IF(INDEX(包装物料出入库明细!$C$4:$C$2003,$Z262-0)=0,"",INDEX(包装物料出入库明细!$C$4:$C$2003,$Z262-0)),IF($Z262&lt;=4000,IF(INDEX(周转筐出入库明细!$E$4:$E$2004,$Z262-2000)=0,"",INDEX(周转筐出入库明细!$E$4:$E$2004,$Z262-2000)),IF($Z262&lt;=5200,IF(INDEX(客户自备加工筐明细!$D$4:$D$1203,$Z262-4000)=0,"",INDEX(客户自备加工筐明细!$D$4:$D$1203,$Z262-4000)),IF($Z262&lt;=5800,IF(INDEX(次果筐明细!$E$4:$E$603,$Z262-5200)=0,"",INDEX(次果筐明细!$E$4:$E$603,$Z262-5200)),"")))))</f>
        <v/>
      </c>
      <c r="F262" s="24" t="str">
        <f>IF($Z262="","",IF($Z262&lt;=2000,IF(INDEX(包装物料出入库明细!$E$4:$E$2003,$Z262-0)=0,"",INDEX(包装物料出入库明细!$E$4:$E$2003,$Z262-0)),IF($Z262&lt;=4000,IF(INDEX(周转筐出入库明细!$D$4:$D$2004,$Z262-2000)=0,"",INDEX(周转筐出入库明细!$D$4:$D$2004,$Z262-2000)),IF($Z262&lt;=5200,IF(INDEX(客户自备加工筐明细!$C$4:$C$1203,$Z262-4000)=0,"",INDEX(客户自备加工筐明细!$C$4:$C$1203,$Z262-4000)),IF($Z262&lt;=5800,IF(INDEX(次果筐明细!$D$4:$D$603,$Z262-5200)=0,"",INDEX(次果筐明细!$D$4:$D$603,$Z262-5200)),"")))))</f>
        <v/>
      </c>
      <c r="G262" s="24" t="str">
        <f>IF($Z262="","",IF($Z262&lt;=2000,IF(INDEX(包装物料出入库明细!$F$4:$F$2003,$Z262-0)=0,"",INDEX(包装物料出入库明细!$F$4:$F$2003,$Z262-0)),IF($Z262&lt;=4000,"",IF($Z262&lt;=5200,"",IF($Z262&lt;=5800,"","")))))</f>
        <v/>
      </c>
      <c r="H262" s="39" t="str">
        <f>IF($Z262="","",IF($Z262&lt;=2000,IF(INDEX(包装物料出入库明细!$L$4:$L$2003,$Z262-0)=0,"",INDEX(包装物料出入库明细!$L$4:$L$2003,$Z262-0)),IF($Z262&lt;=4000,N(INDEX(周转筐出入库明细!$H$4:$H$2004,$Z262-2000))+N(INDEX(周转筐出入库明细!$I$4:$I$2004,$Z262-2000))+N(INDEX(周转筐出入库明细!$J$4:$J$2004,$Z262-2000))+N(INDEX(周转筐出入库明细!$K$4:$K$2004,$Z262-2000)),IF($Z262&lt;=5200,N(INDEX(客户自备加工筐明细!$F$4:$F$1203,$Z262-4000))+N(INDEX(客户自备加工筐明细!$G$4:$G$1203,$Z262-4000)),IF($Z262&lt;=5800,IF(INDEX(次果筐明细!$G$4:$G$603,$Z262-5200)=0,"",INDEX(次果筐明细!$G$4:$G$603,$Z262-5200)),"")))))</f>
        <v/>
      </c>
      <c r="I262" s="24" t="str">
        <f>IF($Z262="","",IF($Z262&lt;=2000,IF(INDEX(包装物料出入库明细!$G$4:$G$2003,$Z262-0)=0,"",INDEX(包装物料出入库明细!$G$4:$G$2003,$Z262-0)),IF($Z262&lt;=4000,"个",IF($Z262&lt;=5200,"个",IF($Z262&lt;=5800,"个","")))))</f>
        <v/>
      </c>
      <c r="J262" s="30" t="str">
        <f t="shared" si="13"/>
        <v/>
      </c>
      <c r="K262" s="30" t="str">
        <f>IF($Z262="","",IF($Z262&lt;=2000,IF(INDEX(包装物料出入库明细!$N$4:$N$2003,$Z262-0)=0,"",INDEX(包装物料出入库明细!$N$4:$N$2003,$Z262-0)),IF($Z262&lt;=4000,IF(INDEX(周转筐出入库明细!$P$4:$P$2004,$Z262-2000)=0,"",INDEX(周转筐出入库明细!$P$4:$P$2004,$Z262-2000)),IF($Z262&lt;=5200,"",IF($Z262&lt;=5800,N(INDEX(次果筐明细!$L$4:$L$603,$Z262-5200))+N(INDEX(次果筐明细!$J$4:$J$603,$Z262-5200)),"")))))</f>
        <v/>
      </c>
      <c r="L262" s="24" t="str">
        <f>IF($Z262="","",IF($Z262&lt;=2000,IF(INDEX(包装物料出入库明细!$P$4:$P$2003,$Z262-0)=0,"",INDEX(包装物料出入库明细!$P$4:$P$2003,$Z262-0)),IF($Z262&lt;=4000,IF(INDEX(周转筐出入库明细!$Q$4:$Q$2004,$Z262-2000)=0,"",INDEX(周转筐出入库明细!$Q$4:$Q$2004,$Z262-2000)),IF($Z262&lt;=5200,"",IF($Z262&lt;=5800,IF(INDEX(次果筐明细!$M$4:$M$603,$Z262-5200)=0,"",INDEX(次果筐明细!$M$4:$M$603,$Z262-5200)),"")))))</f>
        <v/>
      </c>
      <c r="M262" s="37" t="str">
        <f>IF($Z262="","",IF($Z262&lt;=2000,IF(INDEX(包装物料出入库明细!$R$4:$R$2003,$Z262-0)=0,"",INDEX(包装物料出入库明细!$R$4:$R$2003,$Z262-0)),IF($Z262&lt;=4000,IF(INDEX(周转筐出入库明细!$W$4:$W$2004,$Z262-2000)=0,"",INDEX(周转筐出入库明细!$W$4:$W$2004,$Z262-2000)),IF($Z262&lt;=5200,IF(INDEX(客户自备加工筐明细!$L$4:$L$1203,$Z262-4000)=0,"",INDEX(客户自备加工筐明细!$L$4:$L$1203,$Z262-4000)),IF($Z262&lt;=5800,IF(INDEX(次果筐明细!$P$4:$P$603,$Z262-5200)=0,"",INDEX(次果筐明细!$P$4:$P$603,$Z262-5200)),"")))))</f>
        <v/>
      </c>
      <c r="N262" s="16" t="str">
        <f>IF($Z262="","",IF($Z262&lt;=2000,"",IF($Z262&lt;=4000,IF(INDEX(周转筐出入库明细!$D$4:$D$2004,$Z262-2000)=0,"",INDEX(周转筐出入库明细!$D$4:$D$2004,$Z262-2000)),IF($Z262&lt;=5200,IF(INDEX(客户自备加工筐明细!$C$4:$C$1203,$Z262-4000)=0,"",INDEX(客户自备加工筐明细!$C$4:$C$1203,$Z262-4000)),IF($Z262&lt;=5800,IF(INDEX(次果筐明细!$D$4:$D$603,$Z262-5200)=0,"",INDEX(次果筐明细!$D$4:$D$603,$Z262-5200)),"")))))</f>
        <v/>
      </c>
      <c r="O262" s="40" t="str">
        <f>IF($Z262="","",IF($Z262&lt;=2000,"",IF($Z262&lt;=4000,IF(N(INDEX(周转筐出入库明细!$J$4:$J$2004,$Z262-2000))+N(INDEX(周转筐出入库明细!$K$4:$K$2004,$Z262-2000))=0,"",N(INDEX(周转筐出入库明细!$J$4:$J$2004,$Z262-2000))+N(INDEX(周转筐出入库明细!$K$4:$K$2004,$Z262-2000))),IF($Z262&lt;=5200,IF(N(INDEX(客户自备加工筐明细!$G$4:$G$1203,$Z262-4000))=0,"",N(INDEX(客户自备加工筐明细!$G$4:$G$1203,$Z262-4000))),IF($Z262&lt;=5800,IF(ISNUMBER(SEARCH("退",INDEX(次果筐明细!$F$4:$F$603,$Z262-5200)&amp;"")),"",IF(N(INDEX(次果筐明细!$G$4:$G$603,$Z262-5200))=0,"",N(INDEX(次果筐明细!$G$4:$G$603,$Z262-5200)))),"")))))</f>
        <v/>
      </c>
      <c r="P262" s="40" t="str">
        <f>IF($Z262="","",IF($Z262&lt;=2000,"",IF($Z262&lt;=4000,IF(N(INDEX(周转筐出入库明细!$I$4:$I$2004,$Z262-2000))=0,"",N(INDEX(周转筐出入库明细!$I$4:$I$2004,$Z262-2000))),IF($Z262&lt;=5200,"",IF($Z262&lt;=5800,IF(ISNUMBER(SEARCH("退",INDEX(次果筐明细!$F$4:$F$603,$Z262-5200)&amp;"")),IF(N(INDEX(次果筐明细!$G$4:$G$603,$Z262-5200))=0,"",N(INDEX(次果筐明细!$G$4:$G$603,$Z262-5200))),""),"")))))</f>
        <v/>
      </c>
      <c r="Q262" s="40" t="str">
        <f>IF($Z262="","",IF($Z262&lt;=2000,"",IF($Z262&lt;=4000,IF(N(INDEX(周转筐出入库明细!$H$4:$H$2004,$Z262-2000))=0,"",N(INDEX(周转筐出入库明细!$H$4:$H$2004,$Z262-2000))),IF($Z262&lt;=5200,IF(N(INDEX(客户自备加工筐明细!$F$4:$F$1203,$Z262-4000))=0,"",N(INDEX(客户自备加工筐明细!$F$4:$F$1203,$Z262-4000))),IF($Z262&lt;=5800,"","")))))</f>
        <v/>
      </c>
      <c r="R262" s="16" t="str">
        <f>IF($Z262="","",IF($Z262&lt;=2000,IF(INDEX(包装物料出入库明细!$O$4:$O$2003,$Z262-0)=0,"",INDEX(包装物料出入库明细!$O$4:$O$2003,$Z262-0)),IF($Z262&lt;=4000,IF(INDEX(周转筐出入库明细!$M$4:$M$2004,$Z262-2000)=0,"",INDEX(周转筐出入库明细!$M$4:$M$2004,$Z262-2000)),IF($Z262&lt;=5200,IF(INDEX(客户自备加工筐明细!$H$4:$H$1203,$Z262-4000)=0,"",INDEX(客户自备加工筐明细!$H$4:$H$1203,$Z262-4000)),IF($Z262&lt;=5800,IF(INDEX(次果筐明细!$H$4:$H$603,$Z262-5200)=0,"",INDEX(次果筐明细!$H$4:$H$603,$Z262-5200)),"")))))</f>
        <v/>
      </c>
      <c r="S262" s="22" t="str">
        <f t="shared" si="14"/>
        <v/>
      </c>
      <c r="Z262" s="10" t="str">
        <f>IFERROR(MATCH(ROW()-3,_自动清单!$CQ$4:$CQ$5803,0),"")</f>
        <v/>
      </c>
    </row>
    <row r="263" spans="1:26">
      <c r="A263" s="24" t="str">
        <f t="shared" si="12"/>
        <v/>
      </c>
      <c r="B263" s="38" t="str">
        <f>IF($Z263="","",IF($Z263&lt;=2000,IF(INDEX(包装物料出入库明细!$B$4:$B$2003,$Z263-0)=0,"",INDEX(包装物料出入库明细!$B$4:$B$2003,$Z263-0)),IF($Z263&lt;=4000,IF(INDEX(周转筐出入库明细!$B$4:$B$2004,$Z263-2000)=0,"",INDEX(周转筐出入库明细!$B$4:$B$2004,$Z263-2000)),IF($Z263&lt;=5200,IF(INDEX(客户自备加工筐明细!$B$4:$B$1203,$Z263-4000)=0,"",INDEX(客户自备加工筐明细!$B$4:$B$1203,$Z263-4000)),IF($Z263&lt;=5800,IF(INDEX(次果筐明细!$B$4:$B$603,$Z263-5200)=0,"",INDEX(次果筐明细!$B$4:$B$603,$Z263-5200)),"")))))</f>
        <v/>
      </c>
      <c r="C263" s="37" t="str">
        <f>IF($Z263="","",IF($Z263&lt;=2000,IF(INDEX(包装物料出入库明细!$D$4:$D$2003,$Z263-0)=0,"",INDEX(包装物料出入库明细!$D$4:$D$2003,$Z263-0)),IF($Z263&lt;=4000,IF(INDEX(周转筐出入库明细!$C$4:$C$2004,$Z263-2000)=0,"",INDEX(周转筐出入库明细!$C$4:$C$2004,$Z263-2000)),IF($Z263&lt;=5200,IF(INDEX(客户自备加工筐明细!$E$4:$E$1203,$Z263-4000)=0,"",INDEX(客户自备加工筐明细!$E$4:$E$1203,$Z263-4000)),IF($Z263&lt;=5800,IF(INDEX(次果筐明细!$C$4:$C$603,$Z263-5200)=0,"",INDEX(次果筐明细!$C$4:$C$603,$Z263-5200)),"")))))</f>
        <v/>
      </c>
      <c r="D263" s="37" t="str">
        <f>IF($Z263="","",IF($Z263&lt;=2000,"包装物料－"&amp;INDEX(包装物料出入库明细!$H$4:$H$2003,$Z263-0),IF($Z263&lt;=4000,"周转筐－"&amp;INDEX(周转筐出入库明细!$F$4:$F$2004,$Z263-2000),IF($Z263&lt;=5200,"客户自备筐－"&amp;INDEX(客户自备加工筐明细!$J$4:$J$1203,$Z263-4000),IF($Z263&lt;=5800,"次果筐/托盘－"&amp;INDEX(次果筐明细!$F$4:$F$603,$Z263-5200),"")))))</f>
        <v/>
      </c>
      <c r="E263" s="24" t="str">
        <f>IF($Z263="","",IF($Z263&lt;=2000,IF(INDEX(包装物料出入库明细!$C$4:$C$2003,$Z263-0)=0,"",INDEX(包装物料出入库明细!$C$4:$C$2003,$Z263-0)),IF($Z263&lt;=4000,IF(INDEX(周转筐出入库明细!$E$4:$E$2004,$Z263-2000)=0,"",INDEX(周转筐出入库明细!$E$4:$E$2004,$Z263-2000)),IF($Z263&lt;=5200,IF(INDEX(客户自备加工筐明细!$D$4:$D$1203,$Z263-4000)=0,"",INDEX(客户自备加工筐明细!$D$4:$D$1203,$Z263-4000)),IF($Z263&lt;=5800,IF(INDEX(次果筐明细!$E$4:$E$603,$Z263-5200)=0,"",INDEX(次果筐明细!$E$4:$E$603,$Z263-5200)),"")))))</f>
        <v/>
      </c>
      <c r="F263" s="24" t="str">
        <f>IF($Z263="","",IF($Z263&lt;=2000,IF(INDEX(包装物料出入库明细!$E$4:$E$2003,$Z263-0)=0,"",INDEX(包装物料出入库明细!$E$4:$E$2003,$Z263-0)),IF($Z263&lt;=4000,IF(INDEX(周转筐出入库明细!$D$4:$D$2004,$Z263-2000)=0,"",INDEX(周转筐出入库明细!$D$4:$D$2004,$Z263-2000)),IF($Z263&lt;=5200,IF(INDEX(客户自备加工筐明细!$C$4:$C$1203,$Z263-4000)=0,"",INDEX(客户自备加工筐明细!$C$4:$C$1203,$Z263-4000)),IF($Z263&lt;=5800,IF(INDEX(次果筐明细!$D$4:$D$603,$Z263-5200)=0,"",INDEX(次果筐明细!$D$4:$D$603,$Z263-5200)),"")))))</f>
        <v/>
      </c>
      <c r="G263" s="24" t="str">
        <f>IF($Z263="","",IF($Z263&lt;=2000,IF(INDEX(包装物料出入库明细!$F$4:$F$2003,$Z263-0)=0,"",INDEX(包装物料出入库明细!$F$4:$F$2003,$Z263-0)),IF($Z263&lt;=4000,"",IF($Z263&lt;=5200,"",IF($Z263&lt;=5800,"","")))))</f>
        <v/>
      </c>
      <c r="H263" s="39" t="str">
        <f>IF($Z263="","",IF($Z263&lt;=2000,IF(INDEX(包装物料出入库明细!$L$4:$L$2003,$Z263-0)=0,"",INDEX(包装物料出入库明细!$L$4:$L$2003,$Z263-0)),IF($Z263&lt;=4000,N(INDEX(周转筐出入库明细!$H$4:$H$2004,$Z263-2000))+N(INDEX(周转筐出入库明细!$I$4:$I$2004,$Z263-2000))+N(INDEX(周转筐出入库明细!$J$4:$J$2004,$Z263-2000))+N(INDEX(周转筐出入库明细!$K$4:$K$2004,$Z263-2000)),IF($Z263&lt;=5200,N(INDEX(客户自备加工筐明细!$F$4:$F$1203,$Z263-4000))+N(INDEX(客户自备加工筐明细!$G$4:$G$1203,$Z263-4000)),IF($Z263&lt;=5800,IF(INDEX(次果筐明细!$G$4:$G$603,$Z263-5200)=0,"",INDEX(次果筐明细!$G$4:$G$603,$Z263-5200)),"")))))</f>
        <v/>
      </c>
      <c r="I263" s="24" t="str">
        <f>IF($Z263="","",IF($Z263&lt;=2000,IF(INDEX(包装物料出入库明细!$G$4:$G$2003,$Z263-0)=0,"",INDEX(包装物料出入库明细!$G$4:$G$2003,$Z263-0)),IF($Z263&lt;=4000,"个",IF($Z263&lt;=5200,"个",IF($Z263&lt;=5800,"个","")))))</f>
        <v/>
      </c>
      <c r="J263" s="30" t="str">
        <f t="shared" si="13"/>
        <v/>
      </c>
      <c r="K263" s="30" t="str">
        <f>IF($Z263="","",IF($Z263&lt;=2000,IF(INDEX(包装物料出入库明细!$N$4:$N$2003,$Z263-0)=0,"",INDEX(包装物料出入库明细!$N$4:$N$2003,$Z263-0)),IF($Z263&lt;=4000,IF(INDEX(周转筐出入库明细!$P$4:$P$2004,$Z263-2000)=0,"",INDEX(周转筐出入库明细!$P$4:$P$2004,$Z263-2000)),IF($Z263&lt;=5200,"",IF($Z263&lt;=5800,N(INDEX(次果筐明细!$L$4:$L$603,$Z263-5200))+N(INDEX(次果筐明细!$J$4:$J$603,$Z263-5200)),"")))))</f>
        <v/>
      </c>
      <c r="L263" s="24" t="str">
        <f>IF($Z263="","",IF($Z263&lt;=2000,IF(INDEX(包装物料出入库明细!$P$4:$P$2003,$Z263-0)=0,"",INDEX(包装物料出入库明细!$P$4:$P$2003,$Z263-0)),IF($Z263&lt;=4000,IF(INDEX(周转筐出入库明细!$Q$4:$Q$2004,$Z263-2000)=0,"",INDEX(周转筐出入库明细!$Q$4:$Q$2004,$Z263-2000)),IF($Z263&lt;=5200,"",IF($Z263&lt;=5800,IF(INDEX(次果筐明细!$M$4:$M$603,$Z263-5200)=0,"",INDEX(次果筐明细!$M$4:$M$603,$Z263-5200)),"")))))</f>
        <v/>
      </c>
      <c r="M263" s="37" t="str">
        <f>IF($Z263="","",IF($Z263&lt;=2000,IF(INDEX(包装物料出入库明细!$R$4:$R$2003,$Z263-0)=0,"",INDEX(包装物料出入库明细!$R$4:$R$2003,$Z263-0)),IF($Z263&lt;=4000,IF(INDEX(周转筐出入库明细!$W$4:$W$2004,$Z263-2000)=0,"",INDEX(周转筐出入库明细!$W$4:$W$2004,$Z263-2000)),IF($Z263&lt;=5200,IF(INDEX(客户自备加工筐明细!$L$4:$L$1203,$Z263-4000)=0,"",INDEX(客户自备加工筐明细!$L$4:$L$1203,$Z263-4000)),IF($Z263&lt;=5800,IF(INDEX(次果筐明细!$P$4:$P$603,$Z263-5200)=0,"",INDEX(次果筐明细!$P$4:$P$603,$Z263-5200)),"")))))</f>
        <v/>
      </c>
      <c r="N263" s="16" t="str">
        <f>IF($Z263="","",IF($Z263&lt;=2000,"",IF($Z263&lt;=4000,IF(INDEX(周转筐出入库明细!$D$4:$D$2004,$Z263-2000)=0,"",INDEX(周转筐出入库明细!$D$4:$D$2004,$Z263-2000)),IF($Z263&lt;=5200,IF(INDEX(客户自备加工筐明细!$C$4:$C$1203,$Z263-4000)=0,"",INDEX(客户自备加工筐明细!$C$4:$C$1203,$Z263-4000)),IF($Z263&lt;=5800,IF(INDEX(次果筐明细!$D$4:$D$603,$Z263-5200)=0,"",INDEX(次果筐明细!$D$4:$D$603,$Z263-5200)),"")))))</f>
        <v/>
      </c>
      <c r="O263" s="40" t="str">
        <f>IF($Z263="","",IF($Z263&lt;=2000,"",IF($Z263&lt;=4000,IF(N(INDEX(周转筐出入库明细!$J$4:$J$2004,$Z263-2000))+N(INDEX(周转筐出入库明细!$K$4:$K$2004,$Z263-2000))=0,"",N(INDEX(周转筐出入库明细!$J$4:$J$2004,$Z263-2000))+N(INDEX(周转筐出入库明细!$K$4:$K$2004,$Z263-2000))),IF($Z263&lt;=5200,IF(N(INDEX(客户自备加工筐明细!$G$4:$G$1203,$Z263-4000))=0,"",N(INDEX(客户自备加工筐明细!$G$4:$G$1203,$Z263-4000))),IF($Z263&lt;=5800,IF(ISNUMBER(SEARCH("退",INDEX(次果筐明细!$F$4:$F$603,$Z263-5200)&amp;"")),"",IF(N(INDEX(次果筐明细!$G$4:$G$603,$Z263-5200))=0,"",N(INDEX(次果筐明细!$G$4:$G$603,$Z263-5200)))),"")))))</f>
        <v/>
      </c>
      <c r="P263" s="40" t="str">
        <f>IF($Z263="","",IF($Z263&lt;=2000,"",IF($Z263&lt;=4000,IF(N(INDEX(周转筐出入库明细!$I$4:$I$2004,$Z263-2000))=0,"",N(INDEX(周转筐出入库明细!$I$4:$I$2004,$Z263-2000))),IF($Z263&lt;=5200,"",IF($Z263&lt;=5800,IF(ISNUMBER(SEARCH("退",INDEX(次果筐明细!$F$4:$F$603,$Z263-5200)&amp;"")),IF(N(INDEX(次果筐明细!$G$4:$G$603,$Z263-5200))=0,"",N(INDEX(次果筐明细!$G$4:$G$603,$Z263-5200))),""),"")))))</f>
        <v/>
      </c>
      <c r="Q263" s="40" t="str">
        <f>IF($Z263="","",IF($Z263&lt;=2000,"",IF($Z263&lt;=4000,IF(N(INDEX(周转筐出入库明细!$H$4:$H$2004,$Z263-2000))=0,"",N(INDEX(周转筐出入库明细!$H$4:$H$2004,$Z263-2000))),IF($Z263&lt;=5200,IF(N(INDEX(客户自备加工筐明细!$F$4:$F$1203,$Z263-4000))=0,"",N(INDEX(客户自备加工筐明细!$F$4:$F$1203,$Z263-4000))),IF($Z263&lt;=5800,"","")))))</f>
        <v/>
      </c>
      <c r="R263" s="16" t="str">
        <f>IF($Z263="","",IF($Z263&lt;=2000,IF(INDEX(包装物料出入库明细!$O$4:$O$2003,$Z263-0)=0,"",INDEX(包装物料出入库明细!$O$4:$O$2003,$Z263-0)),IF($Z263&lt;=4000,IF(INDEX(周转筐出入库明细!$M$4:$M$2004,$Z263-2000)=0,"",INDEX(周转筐出入库明细!$M$4:$M$2004,$Z263-2000)),IF($Z263&lt;=5200,IF(INDEX(客户自备加工筐明细!$H$4:$H$1203,$Z263-4000)=0,"",INDEX(客户自备加工筐明细!$H$4:$H$1203,$Z263-4000)),IF($Z263&lt;=5800,IF(INDEX(次果筐明细!$H$4:$H$603,$Z263-5200)=0,"",INDEX(次果筐明细!$H$4:$H$603,$Z263-5200)),"")))))</f>
        <v/>
      </c>
      <c r="S263" s="22" t="str">
        <f t="shared" si="14"/>
        <v/>
      </c>
      <c r="Z263" s="10" t="str">
        <f>IFERROR(MATCH(ROW()-3,_自动清单!$CQ$4:$CQ$5803,0),"")</f>
        <v/>
      </c>
    </row>
    <row r="264" spans="1:26">
      <c r="A264" s="24" t="str">
        <f t="shared" si="12"/>
        <v/>
      </c>
      <c r="B264" s="38" t="str">
        <f>IF($Z264="","",IF($Z264&lt;=2000,IF(INDEX(包装物料出入库明细!$B$4:$B$2003,$Z264-0)=0,"",INDEX(包装物料出入库明细!$B$4:$B$2003,$Z264-0)),IF($Z264&lt;=4000,IF(INDEX(周转筐出入库明细!$B$4:$B$2004,$Z264-2000)=0,"",INDEX(周转筐出入库明细!$B$4:$B$2004,$Z264-2000)),IF($Z264&lt;=5200,IF(INDEX(客户自备加工筐明细!$B$4:$B$1203,$Z264-4000)=0,"",INDEX(客户自备加工筐明细!$B$4:$B$1203,$Z264-4000)),IF($Z264&lt;=5800,IF(INDEX(次果筐明细!$B$4:$B$603,$Z264-5200)=0,"",INDEX(次果筐明细!$B$4:$B$603,$Z264-5200)),"")))))</f>
        <v/>
      </c>
      <c r="C264" s="37" t="str">
        <f>IF($Z264="","",IF($Z264&lt;=2000,IF(INDEX(包装物料出入库明细!$D$4:$D$2003,$Z264-0)=0,"",INDEX(包装物料出入库明细!$D$4:$D$2003,$Z264-0)),IF($Z264&lt;=4000,IF(INDEX(周转筐出入库明细!$C$4:$C$2004,$Z264-2000)=0,"",INDEX(周转筐出入库明细!$C$4:$C$2004,$Z264-2000)),IF($Z264&lt;=5200,IF(INDEX(客户自备加工筐明细!$E$4:$E$1203,$Z264-4000)=0,"",INDEX(客户自备加工筐明细!$E$4:$E$1203,$Z264-4000)),IF($Z264&lt;=5800,IF(INDEX(次果筐明细!$C$4:$C$603,$Z264-5200)=0,"",INDEX(次果筐明细!$C$4:$C$603,$Z264-5200)),"")))))</f>
        <v/>
      </c>
      <c r="D264" s="37" t="str">
        <f>IF($Z264="","",IF($Z264&lt;=2000,"包装物料－"&amp;INDEX(包装物料出入库明细!$H$4:$H$2003,$Z264-0),IF($Z264&lt;=4000,"周转筐－"&amp;INDEX(周转筐出入库明细!$F$4:$F$2004,$Z264-2000),IF($Z264&lt;=5200,"客户自备筐－"&amp;INDEX(客户自备加工筐明细!$J$4:$J$1203,$Z264-4000),IF($Z264&lt;=5800,"次果筐/托盘－"&amp;INDEX(次果筐明细!$F$4:$F$603,$Z264-5200),"")))))</f>
        <v/>
      </c>
      <c r="E264" s="24" t="str">
        <f>IF($Z264="","",IF($Z264&lt;=2000,IF(INDEX(包装物料出入库明细!$C$4:$C$2003,$Z264-0)=0,"",INDEX(包装物料出入库明细!$C$4:$C$2003,$Z264-0)),IF($Z264&lt;=4000,IF(INDEX(周转筐出入库明细!$E$4:$E$2004,$Z264-2000)=0,"",INDEX(周转筐出入库明细!$E$4:$E$2004,$Z264-2000)),IF($Z264&lt;=5200,IF(INDEX(客户自备加工筐明细!$D$4:$D$1203,$Z264-4000)=0,"",INDEX(客户自备加工筐明细!$D$4:$D$1203,$Z264-4000)),IF($Z264&lt;=5800,IF(INDEX(次果筐明细!$E$4:$E$603,$Z264-5200)=0,"",INDEX(次果筐明细!$E$4:$E$603,$Z264-5200)),"")))))</f>
        <v/>
      </c>
      <c r="F264" s="24" t="str">
        <f>IF($Z264="","",IF($Z264&lt;=2000,IF(INDEX(包装物料出入库明细!$E$4:$E$2003,$Z264-0)=0,"",INDEX(包装物料出入库明细!$E$4:$E$2003,$Z264-0)),IF($Z264&lt;=4000,IF(INDEX(周转筐出入库明细!$D$4:$D$2004,$Z264-2000)=0,"",INDEX(周转筐出入库明细!$D$4:$D$2004,$Z264-2000)),IF($Z264&lt;=5200,IF(INDEX(客户自备加工筐明细!$C$4:$C$1203,$Z264-4000)=0,"",INDEX(客户自备加工筐明细!$C$4:$C$1203,$Z264-4000)),IF($Z264&lt;=5800,IF(INDEX(次果筐明细!$D$4:$D$603,$Z264-5200)=0,"",INDEX(次果筐明细!$D$4:$D$603,$Z264-5200)),"")))))</f>
        <v/>
      </c>
      <c r="G264" s="24" t="str">
        <f>IF($Z264="","",IF($Z264&lt;=2000,IF(INDEX(包装物料出入库明细!$F$4:$F$2003,$Z264-0)=0,"",INDEX(包装物料出入库明细!$F$4:$F$2003,$Z264-0)),IF($Z264&lt;=4000,"",IF($Z264&lt;=5200,"",IF($Z264&lt;=5800,"","")))))</f>
        <v/>
      </c>
      <c r="H264" s="39" t="str">
        <f>IF($Z264="","",IF($Z264&lt;=2000,IF(INDEX(包装物料出入库明细!$L$4:$L$2003,$Z264-0)=0,"",INDEX(包装物料出入库明细!$L$4:$L$2003,$Z264-0)),IF($Z264&lt;=4000,N(INDEX(周转筐出入库明细!$H$4:$H$2004,$Z264-2000))+N(INDEX(周转筐出入库明细!$I$4:$I$2004,$Z264-2000))+N(INDEX(周转筐出入库明细!$J$4:$J$2004,$Z264-2000))+N(INDEX(周转筐出入库明细!$K$4:$K$2004,$Z264-2000)),IF($Z264&lt;=5200,N(INDEX(客户自备加工筐明细!$F$4:$F$1203,$Z264-4000))+N(INDEX(客户自备加工筐明细!$G$4:$G$1203,$Z264-4000)),IF($Z264&lt;=5800,IF(INDEX(次果筐明细!$G$4:$G$603,$Z264-5200)=0,"",INDEX(次果筐明细!$G$4:$G$603,$Z264-5200)),"")))))</f>
        <v/>
      </c>
      <c r="I264" s="24" t="str">
        <f>IF($Z264="","",IF($Z264&lt;=2000,IF(INDEX(包装物料出入库明细!$G$4:$G$2003,$Z264-0)=0,"",INDEX(包装物料出入库明细!$G$4:$G$2003,$Z264-0)),IF($Z264&lt;=4000,"个",IF($Z264&lt;=5200,"个",IF($Z264&lt;=5800,"个","")))))</f>
        <v/>
      </c>
      <c r="J264" s="30" t="str">
        <f t="shared" si="13"/>
        <v/>
      </c>
      <c r="K264" s="30" t="str">
        <f>IF($Z264="","",IF($Z264&lt;=2000,IF(INDEX(包装物料出入库明细!$N$4:$N$2003,$Z264-0)=0,"",INDEX(包装物料出入库明细!$N$4:$N$2003,$Z264-0)),IF($Z264&lt;=4000,IF(INDEX(周转筐出入库明细!$P$4:$P$2004,$Z264-2000)=0,"",INDEX(周转筐出入库明细!$P$4:$P$2004,$Z264-2000)),IF($Z264&lt;=5200,"",IF($Z264&lt;=5800,N(INDEX(次果筐明细!$L$4:$L$603,$Z264-5200))+N(INDEX(次果筐明细!$J$4:$J$603,$Z264-5200)),"")))))</f>
        <v/>
      </c>
      <c r="L264" s="24" t="str">
        <f>IF($Z264="","",IF($Z264&lt;=2000,IF(INDEX(包装物料出入库明细!$P$4:$P$2003,$Z264-0)=0,"",INDEX(包装物料出入库明细!$P$4:$P$2003,$Z264-0)),IF($Z264&lt;=4000,IF(INDEX(周转筐出入库明细!$Q$4:$Q$2004,$Z264-2000)=0,"",INDEX(周转筐出入库明细!$Q$4:$Q$2004,$Z264-2000)),IF($Z264&lt;=5200,"",IF($Z264&lt;=5800,IF(INDEX(次果筐明细!$M$4:$M$603,$Z264-5200)=0,"",INDEX(次果筐明细!$M$4:$M$603,$Z264-5200)),"")))))</f>
        <v/>
      </c>
      <c r="M264" s="37" t="str">
        <f>IF($Z264="","",IF($Z264&lt;=2000,IF(INDEX(包装物料出入库明细!$R$4:$R$2003,$Z264-0)=0,"",INDEX(包装物料出入库明细!$R$4:$R$2003,$Z264-0)),IF($Z264&lt;=4000,IF(INDEX(周转筐出入库明细!$W$4:$W$2004,$Z264-2000)=0,"",INDEX(周转筐出入库明细!$W$4:$W$2004,$Z264-2000)),IF($Z264&lt;=5200,IF(INDEX(客户自备加工筐明细!$L$4:$L$1203,$Z264-4000)=0,"",INDEX(客户自备加工筐明细!$L$4:$L$1203,$Z264-4000)),IF($Z264&lt;=5800,IF(INDEX(次果筐明细!$P$4:$P$603,$Z264-5200)=0,"",INDEX(次果筐明细!$P$4:$P$603,$Z264-5200)),"")))))</f>
        <v/>
      </c>
      <c r="N264" s="16" t="str">
        <f>IF($Z264="","",IF($Z264&lt;=2000,"",IF($Z264&lt;=4000,IF(INDEX(周转筐出入库明细!$D$4:$D$2004,$Z264-2000)=0,"",INDEX(周转筐出入库明细!$D$4:$D$2004,$Z264-2000)),IF($Z264&lt;=5200,IF(INDEX(客户自备加工筐明细!$C$4:$C$1203,$Z264-4000)=0,"",INDEX(客户自备加工筐明细!$C$4:$C$1203,$Z264-4000)),IF($Z264&lt;=5800,IF(INDEX(次果筐明细!$D$4:$D$603,$Z264-5200)=0,"",INDEX(次果筐明细!$D$4:$D$603,$Z264-5200)),"")))))</f>
        <v/>
      </c>
      <c r="O264" s="40" t="str">
        <f>IF($Z264="","",IF($Z264&lt;=2000,"",IF($Z264&lt;=4000,IF(N(INDEX(周转筐出入库明细!$J$4:$J$2004,$Z264-2000))+N(INDEX(周转筐出入库明细!$K$4:$K$2004,$Z264-2000))=0,"",N(INDEX(周转筐出入库明细!$J$4:$J$2004,$Z264-2000))+N(INDEX(周转筐出入库明细!$K$4:$K$2004,$Z264-2000))),IF($Z264&lt;=5200,IF(N(INDEX(客户自备加工筐明细!$G$4:$G$1203,$Z264-4000))=0,"",N(INDEX(客户自备加工筐明细!$G$4:$G$1203,$Z264-4000))),IF($Z264&lt;=5800,IF(ISNUMBER(SEARCH("退",INDEX(次果筐明细!$F$4:$F$603,$Z264-5200)&amp;"")),"",IF(N(INDEX(次果筐明细!$G$4:$G$603,$Z264-5200))=0,"",N(INDEX(次果筐明细!$G$4:$G$603,$Z264-5200)))),"")))))</f>
        <v/>
      </c>
      <c r="P264" s="40" t="str">
        <f>IF($Z264="","",IF($Z264&lt;=2000,"",IF($Z264&lt;=4000,IF(N(INDEX(周转筐出入库明细!$I$4:$I$2004,$Z264-2000))=0,"",N(INDEX(周转筐出入库明细!$I$4:$I$2004,$Z264-2000))),IF($Z264&lt;=5200,"",IF($Z264&lt;=5800,IF(ISNUMBER(SEARCH("退",INDEX(次果筐明细!$F$4:$F$603,$Z264-5200)&amp;"")),IF(N(INDEX(次果筐明细!$G$4:$G$603,$Z264-5200))=0,"",N(INDEX(次果筐明细!$G$4:$G$603,$Z264-5200))),""),"")))))</f>
        <v/>
      </c>
      <c r="Q264" s="40" t="str">
        <f>IF($Z264="","",IF($Z264&lt;=2000,"",IF($Z264&lt;=4000,IF(N(INDEX(周转筐出入库明细!$H$4:$H$2004,$Z264-2000))=0,"",N(INDEX(周转筐出入库明细!$H$4:$H$2004,$Z264-2000))),IF($Z264&lt;=5200,IF(N(INDEX(客户自备加工筐明细!$F$4:$F$1203,$Z264-4000))=0,"",N(INDEX(客户自备加工筐明细!$F$4:$F$1203,$Z264-4000))),IF($Z264&lt;=5800,"","")))))</f>
        <v/>
      </c>
      <c r="R264" s="16" t="str">
        <f>IF($Z264="","",IF($Z264&lt;=2000,IF(INDEX(包装物料出入库明细!$O$4:$O$2003,$Z264-0)=0,"",INDEX(包装物料出入库明细!$O$4:$O$2003,$Z264-0)),IF($Z264&lt;=4000,IF(INDEX(周转筐出入库明细!$M$4:$M$2004,$Z264-2000)=0,"",INDEX(周转筐出入库明细!$M$4:$M$2004,$Z264-2000)),IF($Z264&lt;=5200,IF(INDEX(客户自备加工筐明细!$H$4:$H$1203,$Z264-4000)=0,"",INDEX(客户自备加工筐明细!$H$4:$H$1203,$Z264-4000)),IF($Z264&lt;=5800,IF(INDEX(次果筐明细!$H$4:$H$603,$Z264-5200)=0,"",INDEX(次果筐明细!$H$4:$H$603,$Z264-5200)),"")))))</f>
        <v/>
      </c>
      <c r="S264" s="22" t="str">
        <f t="shared" si="14"/>
        <v/>
      </c>
      <c r="Z264" s="10" t="str">
        <f>IFERROR(MATCH(ROW()-3,_自动清单!$CQ$4:$CQ$5803,0),"")</f>
        <v/>
      </c>
    </row>
    <row r="265" spans="1:26">
      <c r="A265" s="24" t="str">
        <f t="shared" si="12"/>
        <v/>
      </c>
      <c r="B265" s="38" t="str">
        <f>IF($Z265="","",IF($Z265&lt;=2000,IF(INDEX(包装物料出入库明细!$B$4:$B$2003,$Z265-0)=0,"",INDEX(包装物料出入库明细!$B$4:$B$2003,$Z265-0)),IF($Z265&lt;=4000,IF(INDEX(周转筐出入库明细!$B$4:$B$2004,$Z265-2000)=0,"",INDEX(周转筐出入库明细!$B$4:$B$2004,$Z265-2000)),IF($Z265&lt;=5200,IF(INDEX(客户自备加工筐明细!$B$4:$B$1203,$Z265-4000)=0,"",INDEX(客户自备加工筐明细!$B$4:$B$1203,$Z265-4000)),IF($Z265&lt;=5800,IF(INDEX(次果筐明细!$B$4:$B$603,$Z265-5200)=0,"",INDEX(次果筐明细!$B$4:$B$603,$Z265-5200)),"")))))</f>
        <v/>
      </c>
      <c r="C265" s="37" t="str">
        <f>IF($Z265="","",IF($Z265&lt;=2000,IF(INDEX(包装物料出入库明细!$D$4:$D$2003,$Z265-0)=0,"",INDEX(包装物料出入库明细!$D$4:$D$2003,$Z265-0)),IF($Z265&lt;=4000,IF(INDEX(周转筐出入库明细!$C$4:$C$2004,$Z265-2000)=0,"",INDEX(周转筐出入库明细!$C$4:$C$2004,$Z265-2000)),IF($Z265&lt;=5200,IF(INDEX(客户自备加工筐明细!$E$4:$E$1203,$Z265-4000)=0,"",INDEX(客户自备加工筐明细!$E$4:$E$1203,$Z265-4000)),IF($Z265&lt;=5800,IF(INDEX(次果筐明细!$C$4:$C$603,$Z265-5200)=0,"",INDEX(次果筐明细!$C$4:$C$603,$Z265-5200)),"")))))</f>
        <v/>
      </c>
      <c r="D265" s="37" t="str">
        <f>IF($Z265="","",IF($Z265&lt;=2000,"包装物料－"&amp;INDEX(包装物料出入库明细!$H$4:$H$2003,$Z265-0),IF($Z265&lt;=4000,"周转筐－"&amp;INDEX(周转筐出入库明细!$F$4:$F$2004,$Z265-2000),IF($Z265&lt;=5200,"客户自备筐－"&amp;INDEX(客户自备加工筐明细!$J$4:$J$1203,$Z265-4000),IF($Z265&lt;=5800,"次果筐/托盘－"&amp;INDEX(次果筐明细!$F$4:$F$603,$Z265-5200),"")))))</f>
        <v/>
      </c>
      <c r="E265" s="24" t="str">
        <f>IF($Z265="","",IF($Z265&lt;=2000,IF(INDEX(包装物料出入库明细!$C$4:$C$2003,$Z265-0)=0,"",INDEX(包装物料出入库明细!$C$4:$C$2003,$Z265-0)),IF($Z265&lt;=4000,IF(INDEX(周转筐出入库明细!$E$4:$E$2004,$Z265-2000)=0,"",INDEX(周转筐出入库明细!$E$4:$E$2004,$Z265-2000)),IF($Z265&lt;=5200,IF(INDEX(客户自备加工筐明细!$D$4:$D$1203,$Z265-4000)=0,"",INDEX(客户自备加工筐明细!$D$4:$D$1203,$Z265-4000)),IF($Z265&lt;=5800,IF(INDEX(次果筐明细!$E$4:$E$603,$Z265-5200)=0,"",INDEX(次果筐明细!$E$4:$E$603,$Z265-5200)),"")))))</f>
        <v/>
      </c>
      <c r="F265" s="24" t="str">
        <f>IF($Z265="","",IF($Z265&lt;=2000,IF(INDEX(包装物料出入库明细!$E$4:$E$2003,$Z265-0)=0,"",INDEX(包装物料出入库明细!$E$4:$E$2003,$Z265-0)),IF($Z265&lt;=4000,IF(INDEX(周转筐出入库明细!$D$4:$D$2004,$Z265-2000)=0,"",INDEX(周转筐出入库明细!$D$4:$D$2004,$Z265-2000)),IF($Z265&lt;=5200,IF(INDEX(客户自备加工筐明细!$C$4:$C$1203,$Z265-4000)=0,"",INDEX(客户自备加工筐明细!$C$4:$C$1203,$Z265-4000)),IF($Z265&lt;=5800,IF(INDEX(次果筐明细!$D$4:$D$603,$Z265-5200)=0,"",INDEX(次果筐明细!$D$4:$D$603,$Z265-5200)),"")))))</f>
        <v/>
      </c>
      <c r="G265" s="24" t="str">
        <f>IF($Z265="","",IF($Z265&lt;=2000,IF(INDEX(包装物料出入库明细!$F$4:$F$2003,$Z265-0)=0,"",INDEX(包装物料出入库明细!$F$4:$F$2003,$Z265-0)),IF($Z265&lt;=4000,"",IF($Z265&lt;=5200,"",IF($Z265&lt;=5800,"","")))))</f>
        <v/>
      </c>
      <c r="H265" s="39" t="str">
        <f>IF($Z265="","",IF($Z265&lt;=2000,IF(INDEX(包装物料出入库明细!$L$4:$L$2003,$Z265-0)=0,"",INDEX(包装物料出入库明细!$L$4:$L$2003,$Z265-0)),IF($Z265&lt;=4000,N(INDEX(周转筐出入库明细!$H$4:$H$2004,$Z265-2000))+N(INDEX(周转筐出入库明细!$I$4:$I$2004,$Z265-2000))+N(INDEX(周转筐出入库明细!$J$4:$J$2004,$Z265-2000))+N(INDEX(周转筐出入库明细!$K$4:$K$2004,$Z265-2000)),IF($Z265&lt;=5200,N(INDEX(客户自备加工筐明细!$F$4:$F$1203,$Z265-4000))+N(INDEX(客户自备加工筐明细!$G$4:$G$1203,$Z265-4000)),IF($Z265&lt;=5800,IF(INDEX(次果筐明细!$G$4:$G$603,$Z265-5200)=0,"",INDEX(次果筐明细!$G$4:$G$603,$Z265-5200)),"")))))</f>
        <v/>
      </c>
      <c r="I265" s="24" t="str">
        <f>IF($Z265="","",IF($Z265&lt;=2000,IF(INDEX(包装物料出入库明细!$G$4:$G$2003,$Z265-0)=0,"",INDEX(包装物料出入库明细!$G$4:$G$2003,$Z265-0)),IF($Z265&lt;=4000,"个",IF($Z265&lt;=5200,"个",IF($Z265&lt;=5800,"个","")))))</f>
        <v/>
      </c>
      <c r="J265" s="30" t="str">
        <f t="shared" si="13"/>
        <v/>
      </c>
      <c r="K265" s="30" t="str">
        <f>IF($Z265="","",IF($Z265&lt;=2000,IF(INDEX(包装物料出入库明细!$N$4:$N$2003,$Z265-0)=0,"",INDEX(包装物料出入库明细!$N$4:$N$2003,$Z265-0)),IF($Z265&lt;=4000,IF(INDEX(周转筐出入库明细!$P$4:$P$2004,$Z265-2000)=0,"",INDEX(周转筐出入库明细!$P$4:$P$2004,$Z265-2000)),IF($Z265&lt;=5200,"",IF($Z265&lt;=5800,N(INDEX(次果筐明细!$L$4:$L$603,$Z265-5200))+N(INDEX(次果筐明细!$J$4:$J$603,$Z265-5200)),"")))))</f>
        <v/>
      </c>
      <c r="L265" s="24" t="str">
        <f>IF($Z265="","",IF($Z265&lt;=2000,IF(INDEX(包装物料出入库明细!$P$4:$P$2003,$Z265-0)=0,"",INDEX(包装物料出入库明细!$P$4:$P$2003,$Z265-0)),IF($Z265&lt;=4000,IF(INDEX(周转筐出入库明细!$Q$4:$Q$2004,$Z265-2000)=0,"",INDEX(周转筐出入库明细!$Q$4:$Q$2004,$Z265-2000)),IF($Z265&lt;=5200,"",IF($Z265&lt;=5800,IF(INDEX(次果筐明细!$M$4:$M$603,$Z265-5200)=0,"",INDEX(次果筐明细!$M$4:$M$603,$Z265-5200)),"")))))</f>
        <v/>
      </c>
      <c r="M265" s="37" t="str">
        <f>IF($Z265="","",IF($Z265&lt;=2000,IF(INDEX(包装物料出入库明细!$R$4:$R$2003,$Z265-0)=0,"",INDEX(包装物料出入库明细!$R$4:$R$2003,$Z265-0)),IF($Z265&lt;=4000,IF(INDEX(周转筐出入库明细!$W$4:$W$2004,$Z265-2000)=0,"",INDEX(周转筐出入库明细!$W$4:$W$2004,$Z265-2000)),IF($Z265&lt;=5200,IF(INDEX(客户自备加工筐明细!$L$4:$L$1203,$Z265-4000)=0,"",INDEX(客户自备加工筐明细!$L$4:$L$1203,$Z265-4000)),IF($Z265&lt;=5800,IF(INDEX(次果筐明细!$P$4:$P$603,$Z265-5200)=0,"",INDEX(次果筐明细!$P$4:$P$603,$Z265-5200)),"")))))</f>
        <v/>
      </c>
      <c r="N265" s="16" t="str">
        <f>IF($Z265="","",IF($Z265&lt;=2000,"",IF($Z265&lt;=4000,IF(INDEX(周转筐出入库明细!$D$4:$D$2004,$Z265-2000)=0,"",INDEX(周转筐出入库明细!$D$4:$D$2004,$Z265-2000)),IF($Z265&lt;=5200,IF(INDEX(客户自备加工筐明细!$C$4:$C$1203,$Z265-4000)=0,"",INDEX(客户自备加工筐明细!$C$4:$C$1203,$Z265-4000)),IF($Z265&lt;=5800,IF(INDEX(次果筐明细!$D$4:$D$603,$Z265-5200)=0,"",INDEX(次果筐明细!$D$4:$D$603,$Z265-5200)),"")))))</f>
        <v/>
      </c>
      <c r="O265" s="40" t="str">
        <f>IF($Z265="","",IF($Z265&lt;=2000,"",IF($Z265&lt;=4000,IF(N(INDEX(周转筐出入库明细!$J$4:$J$2004,$Z265-2000))+N(INDEX(周转筐出入库明细!$K$4:$K$2004,$Z265-2000))=0,"",N(INDEX(周转筐出入库明细!$J$4:$J$2004,$Z265-2000))+N(INDEX(周转筐出入库明细!$K$4:$K$2004,$Z265-2000))),IF($Z265&lt;=5200,IF(N(INDEX(客户自备加工筐明细!$G$4:$G$1203,$Z265-4000))=0,"",N(INDEX(客户自备加工筐明细!$G$4:$G$1203,$Z265-4000))),IF($Z265&lt;=5800,IF(ISNUMBER(SEARCH("退",INDEX(次果筐明细!$F$4:$F$603,$Z265-5200)&amp;"")),"",IF(N(INDEX(次果筐明细!$G$4:$G$603,$Z265-5200))=0,"",N(INDEX(次果筐明细!$G$4:$G$603,$Z265-5200)))),"")))))</f>
        <v/>
      </c>
      <c r="P265" s="40" t="str">
        <f>IF($Z265="","",IF($Z265&lt;=2000,"",IF($Z265&lt;=4000,IF(N(INDEX(周转筐出入库明细!$I$4:$I$2004,$Z265-2000))=0,"",N(INDEX(周转筐出入库明细!$I$4:$I$2004,$Z265-2000))),IF($Z265&lt;=5200,"",IF($Z265&lt;=5800,IF(ISNUMBER(SEARCH("退",INDEX(次果筐明细!$F$4:$F$603,$Z265-5200)&amp;"")),IF(N(INDEX(次果筐明细!$G$4:$G$603,$Z265-5200))=0,"",N(INDEX(次果筐明细!$G$4:$G$603,$Z265-5200))),""),"")))))</f>
        <v/>
      </c>
      <c r="Q265" s="40" t="str">
        <f>IF($Z265="","",IF($Z265&lt;=2000,"",IF($Z265&lt;=4000,IF(N(INDEX(周转筐出入库明细!$H$4:$H$2004,$Z265-2000))=0,"",N(INDEX(周转筐出入库明细!$H$4:$H$2004,$Z265-2000))),IF($Z265&lt;=5200,IF(N(INDEX(客户自备加工筐明细!$F$4:$F$1203,$Z265-4000))=0,"",N(INDEX(客户自备加工筐明细!$F$4:$F$1203,$Z265-4000))),IF($Z265&lt;=5800,"","")))))</f>
        <v/>
      </c>
      <c r="R265" s="16" t="str">
        <f>IF($Z265="","",IF($Z265&lt;=2000,IF(INDEX(包装物料出入库明细!$O$4:$O$2003,$Z265-0)=0,"",INDEX(包装物料出入库明细!$O$4:$O$2003,$Z265-0)),IF($Z265&lt;=4000,IF(INDEX(周转筐出入库明细!$M$4:$M$2004,$Z265-2000)=0,"",INDEX(周转筐出入库明细!$M$4:$M$2004,$Z265-2000)),IF($Z265&lt;=5200,IF(INDEX(客户自备加工筐明细!$H$4:$H$1203,$Z265-4000)=0,"",INDEX(客户自备加工筐明细!$H$4:$H$1203,$Z265-4000)),IF($Z265&lt;=5800,IF(INDEX(次果筐明细!$H$4:$H$603,$Z265-5200)=0,"",INDEX(次果筐明细!$H$4:$H$603,$Z265-5200)),"")))))</f>
        <v/>
      </c>
      <c r="S265" s="22" t="str">
        <f t="shared" si="14"/>
        <v/>
      </c>
      <c r="Z265" s="10" t="str">
        <f>IFERROR(MATCH(ROW()-3,_自动清单!$CQ$4:$CQ$5803,0),"")</f>
        <v/>
      </c>
    </row>
    <row r="266" spans="1:26">
      <c r="A266" s="24" t="str">
        <f t="shared" si="12"/>
        <v/>
      </c>
      <c r="B266" s="38" t="str">
        <f>IF($Z266="","",IF($Z266&lt;=2000,IF(INDEX(包装物料出入库明细!$B$4:$B$2003,$Z266-0)=0,"",INDEX(包装物料出入库明细!$B$4:$B$2003,$Z266-0)),IF($Z266&lt;=4000,IF(INDEX(周转筐出入库明细!$B$4:$B$2004,$Z266-2000)=0,"",INDEX(周转筐出入库明细!$B$4:$B$2004,$Z266-2000)),IF($Z266&lt;=5200,IF(INDEX(客户自备加工筐明细!$B$4:$B$1203,$Z266-4000)=0,"",INDEX(客户自备加工筐明细!$B$4:$B$1203,$Z266-4000)),IF($Z266&lt;=5800,IF(INDEX(次果筐明细!$B$4:$B$603,$Z266-5200)=0,"",INDEX(次果筐明细!$B$4:$B$603,$Z266-5200)),"")))))</f>
        <v/>
      </c>
      <c r="C266" s="37" t="str">
        <f>IF($Z266="","",IF($Z266&lt;=2000,IF(INDEX(包装物料出入库明细!$D$4:$D$2003,$Z266-0)=0,"",INDEX(包装物料出入库明细!$D$4:$D$2003,$Z266-0)),IF($Z266&lt;=4000,IF(INDEX(周转筐出入库明细!$C$4:$C$2004,$Z266-2000)=0,"",INDEX(周转筐出入库明细!$C$4:$C$2004,$Z266-2000)),IF($Z266&lt;=5200,IF(INDEX(客户自备加工筐明细!$E$4:$E$1203,$Z266-4000)=0,"",INDEX(客户自备加工筐明细!$E$4:$E$1203,$Z266-4000)),IF($Z266&lt;=5800,IF(INDEX(次果筐明细!$C$4:$C$603,$Z266-5200)=0,"",INDEX(次果筐明细!$C$4:$C$603,$Z266-5200)),"")))))</f>
        <v/>
      </c>
      <c r="D266" s="37" t="str">
        <f>IF($Z266="","",IF($Z266&lt;=2000,"包装物料－"&amp;INDEX(包装物料出入库明细!$H$4:$H$2003,$Z266-0),IF($Z266&lt;=4000,"周转筐－"&amp;INDEX(周转筐出入库明细!$F$4:$F$2004,$Z266-2000),IF($Z266&lt;=5200,"客户自备筐－"&amp;INDEX(客户自备加工筐明细!$J$4:$J$1203,$Z266-4000),IF($Z266&lt;=5800,"次果筐/托盘－"&amp;INDEX(次果筐明细!$F$4:$F$603,$Z266-5200),"")))))</f>
        <v/>
      </c>
      <c r="E266" s="24" t="str">
        <f>IF($Z266="","",IF($Z266&lt;=2000,IF(INDEX(包装物料出入库明细!$C$4:$C$2003,$Z266-0)=0,"",INDEX(包装物料出入库明细!$C$4:$C$2003,$Z266-0)),IF($Z266&lt;=4000,IF(INDEX(周转筐出入库明细!$E$4:$E$2004,$Z266-2000)=0,"",INDEX(周转筐出入库明细!$E$4:$E$2004,$Z266-2000)),IF($Z266&lt;=5200,IF(INDEX(客户自备加工筐明细!$D$4:$D$1203,$Z266-4000)=0,"",INDEX(客户自备加工筐明细!$D$4:$D$1203,$Z266-4000)),IF($Z266&lt;=5800,IF(INDEX(次果筐明细!$E$4:$E$603,$Z266-5200)=0,"",INDEX(次果筐明细!$E$4:$E$603,$Z266-5200)),"")))))</f>
        <v/>
      </c>
      <c r="F266" s="24" t="str">
        <f>IF($Z266="","",IF($Z266&lt;=2000,IF(INDEX(包装物料出入库明细!$E$4:$E$2003,$Z266-0)=0,"",INDEX(包装物料出入库明细!$E$4:$E$2003,$Z266-0)),IF($Z266&lt;=4000,IF(INDEX(周转筐出入库明细!$D$4:$D$2004,$Z266-2000)=0,"",INDEX(周转筐出入库明细!$D$4:$D$2004,$Z266-2000)),IF($Z266&lt;=5200,IF(INDEX(客户自备加工筐明细!$C$4:$C$1203,$Z266-4000)=0,"",INDEX(客户自备加工筐明细!$C$4:$C$1203,$Z266-4000)),IF($Z266&lt;=5800,IF(INDEX(次果筐明细!$D$4:$D$603,$Z266-5200)=0,"",INDEX(次果筐明细!$D$4:$D$603,$Z266-5200)),"")))))</f>
        <v/>
      </c>
      <c r="G266" s="24" t="str">
        <f>IF($Z266="","",IF($Z266&lt;=2000,IF(INDEX(包装物料出入库明细!$F$4:$F$2003,$Z266-0)=0,"",INDEX(包装物料出入库明细!$F$4:$F$2003,$Z266-0)),IF($Z266&lt;=4000,"",IF($Z266&lt;=5200,"",IF($Z266&lt;=5800,"","")))))</f>
        <v/>
      </c>
      <c r="H266" s="39" t="str">
        <f>IF($Z266="","",IF($Z266&lt;=2000,IF(INDEX(包装物料出入库明细!$L$4:$L$2003,$Z266-0)=0,"",INDEX(包装物料出入库明细!$L$4:$L$2003,$Z266-0)),IF($Z266&lt;=4000,N(INDEX(周转筐出入库明细!$H$4:$H$2004,$Z266-2000))+N(INDEX(周转筐出入库明细!$I$4:$I$2004,$Z266-2000))+N(INDEX(周转筐出入库明细!$J$4:$J$2004,$Z266-2000))+N(INDEX(周转筐出入库明细!$K$4:$K$2004,$Z266-2000)),IF($Z266&lt;=5200,N(INDEX(客户自备加工筐明细!$F$4:$F$1203,$Z266-4000))+N(INDEX(客户自备加工筐明细!$G$4:$G$1203,$Z266-4000)),IF($Z266&lt;=5800,IF(INDEX(次果筐明细!$G$4:$G$603,$Z266-5200)=0,"",INDEX(次果筐明细!$G$4:$G$603,$Z266-5200)),"")))))</f>
        <v/>
      </c>
      <c r="I266" s="24" t="str">
        <f>IF($Z266="","",IF($Z266&lt;=2000,IF(INDEX(包装物料出入库明细!$G$4:$G$2003,$Z266-0)=0,"",INDEX(包装物料出入库明细!$G$4:$G$2003,$Z266-0)),IF($Z266&lt;=4000,"个",IF($Z266&lt;=5200,"个",IF($Z266&lt;=5800,"个","")))))</f>
        <v/>
      </c>
      <c r="J266" s="30" t="str">
        <f t="shared" si="13"/>
        <v/>
      </c>
      <c r="K266" s="30" t="str">
        <f>IF($Z266="","",IF($Z266&lt;=2000,IF(INDEX(包装物料出入库明细!$N$4:$N$2003,$Z266-0)=0,"",INDEX(包装物料出入库明细!$N$4:$N$2003,$Z266-0)),IF($Z266&lt;=4000,IF(INDEX(周转筐出入库明细!$P$4:$P$2004,$Z266-2000)=0,"",INDEX(周转筐出入库明细!$P$4:$P$2004,$Z266-2000)),IF($Z266&lt;=5200,"",IF($Z266&lt;=5800,N(INDEX(次果筐明细!$L$4:$L$603,$Z266-5200))+N(INDEX(次果筐明细!$J$4:$J$603,$Z266-5200)),"")))))</f>
        <v/>
      </c>
      <c r="L266" s="24" t="str">
        <f>IF($Z266="","",IF($Z266&lt;=2000,IF(INDEX(包装物料出入库明细!$P$4:$P$2003,$Z266-0)=0,"",INDEX(包装物料出入库明细!$P$4:$P$2003,$Z266-0)),IF($Z266&lt;=4000,IF(INDEX(周转筐出入库明细!$Q$4:$Q$2004,$Z266-2000)=0,"",INDEX(周转筐出入库明细!$Q$4:$Q$2004,$Z266-2000)),IF($Z266&lt;=5200,"",IF($Z266&lt;=5800,IF(INDEX(次果筐明细!$M$4:$M$603,$Z266-5200)=0,"",INDEX(次果筐明细!$M$4:$M$603,$Z266-5200)),"")))))</f>
        <v/>
      </c>
      <c r="M266" s="37" t="str">
        <f>IF($Z266="","",IF($Z266&lt;=2000,IF(INDEX(包装物料出入库明细!$R$4:$R$2003,$Z266-0)=0,"",INDEX(包装物料出入库明细!$R$4:$R$2003,$Z266-0)),IF($Z266&lt;=4000,IF(INDEX(周转筐出入库明细!$W$4:$W$2004,$Z266-2000)=0,"",INDEX(周转筐出入库明细!$W$4:$W$2004,$Z266-2000)),IF($Z266&lt;=5200,IF(INDEX(客户自备加工筐明细!$L$4:$L$1203,$Z266-4000)=0,"",INDEX(客户自备加工筐明细!$L$4:$L$1203,$Z266-4000)),IF($Z266&lt;=5800,IF(INDEX(次果筐明细!$P$4:$P$603,$Z266-5200)=0,"",INDEX(次果筐明细!$P$4:$P$603,$Z266-5200)),"")))))</f>
        <v/>
      </c>
      <c r="N266" s="16" t="str">
        <f>IF($Z266="","",IF($Z266&lt;=2000,"",IF($Z266&lt;=4000,IF(INDEX(周转筐出入库明细!$D$4:$D$2004,$Z266-2000)=0,"",INDEX(周转筐出入库明细!$D$4:$D$2004,$Z266-2000)),IF($Z266&lt;=5200,IF(INDEX(客户自备加工筐明细!$C$4:$C$1203,$Z266-4000)=0,"",INDEX(客户自备加工筐明细!$C$4:$C$1203,$Z266-4000)),IF($Z266&lt;=5800,IF(INDEX(次果筐明细!$D$4:$D$603,$Z266-5200)=0,"",INDEX(次果筐明细!$D$4:$D$603,$Z266-5200)),"")))))</f>
        <v/>
      </c>
      <c r="O266" s="40" t="str">
        <f>IF($Z266="","",IF($Z266&lt;=2000,"",IF($Z266&lt;=4000,IF(N(INDEX(周转筐出入库明细!$J$4:$J$2004,$Z266-2000))+N(INDEX(周转筐出入库明细!$K$4:$K$2004,$Z266-2000))=0,"",N(INDEX(周转筐出入库明细!$J$4:$J$2004,$Z266-2000))+N(INDEX(周转筐出入库明细!$K$4:$K$2004,$Z266-2000))),IF($Z266&lt;=5200,IF(N(INDEX(客户自备加工筐明细!$G$4:$G$1203,$Z266-4000))=0,"",N(INDEX(客户自备加工筐明细!$G$4:$G$1203,$Z266-4000))),IF($Z266&lt;=5800,IF(ISNUMBER(SEARCH("退",INDEX(次果筐明细!$F$4:$F$603,$Z266-5200)&amp;"")),"",IF(N(INDEX(次果筐明细!$G$4:$G$603,$Z266-5200))=0,"",N(INDEX(次果筐明细!$G$4:$G$603,$Z266-5200)))),"")))))</f>
        <v/>
      </c>
      <c r="P266" s="40" t="str">
        <f>IF($Z266="","",IF($Z266&lt;=2000,"",IF($Z266&lt;=4000,IF(N(INDEX(周转筐出入库明细!$I$4:$I$2004,$Z266-2000))=0,"",N(INDEX(周转筐出入库明细!$I$4:$I$2004,$Z266-2000))),IF($Z266&lt;=5200,"",IF($Z266&lt;=5800,IF(ISNUMBER(SEARCH("退",INDEX(次果筐明细!$F$4:$F$603,$Z266-5200)&amp;"")),IF(N(INDEX(次果筐明细!$G$4:$G$603,$Z266-5200))=0,"",N(INDEX(次果筐明细!$G$4:$G$603,$Z266-5200))),""),"")))))</f>
        <v/>
      </c>
      <c r="Q266" s="40" t="str">
        <f>IF($Z266="","",IF($Z266&lt;=2000,"",IF($Z266&lt;=4000,IF(N(INDEX(周转筐出入库明细!$H$4:$H$2004,$Z266-2000))=0,"",N(INDEX(周转筐出入库明细!$H$4:$H$2004,$Z266-2000))),IF($Z266&lt;=5200,IF(N(INDEX(客户自备加工筐明细!$F$4:$F$1203,$Z266-4000))=0,"",N(INDEX(客户自备加工筐明细!$F$4:$F$1203,$Z266-4000))),IF($Z266&lt;=5800,"","")))))</f>
        <v/>
      </c>
      <c r="R266" s="16" t="str">
        <f>IF($Z266="","",IF($Z266&lt;=2000,IF(INDEX(包装物料出入库明细!$O$4:$O$2003,$Z266-0)=0,"",INDEX(包装物料出入库明细!$O$4:$O$2003,$Z266-0)),IF($Z266&lt;=4000,IF(INDEX(周转筐出入库明细!$M$4:$M$2004,$Z266-2000)=0,"",INDEX(周转筐出入库明细!$M$4:$M$2004,$Z266-2000)),IF($Z266&lt;=5200,IF(INDEX(客户自备加工筐明细!$H$4:$H$1203,$Z266-4000)=0,"",INDEX(客户自备加工筐明细!$H$4:$H$1203,$Z266-4000)),IF($Z266&lt;=5800,IF(INDEX(次果筐明细!$H$4:$H$603,$Z266-5200)=0,"",INDEX(次果筐明细!$H$4:$H$603,$Z266-5200)),"")))))</f>
        <v/>
      </c>
      <c r="S266" s="22" t="str">
        <f t="shared" si="14"/>
        <v/>
      </c>
      <c r="Z266" s="10" t="str">
        <f>IFERROR(MATCH(ROW()-3,_自动清单!$CQ$4:$CQ$5803,0),"")</f>
        <v/>
      </c>
    </row>
    <row r="267" spans="1:26">
      <c r="A267" s="24" t="str">
        <f t="shared" si="12"/>
        <v/>
      </c>
      <c r="B267" s="38" t="str">
        <f>IF($Z267="","",IF($Z267&lt;=2000,IF(INDEX(包装物料出入库明细!$B$4:$B$2003,$Z267-0)=0,"",INDEX(包装物料出入库明细!$B$4:$B$2003,$Z267-0)),IF($Z267&lt;=4000,IF(INDEX(周转筐出入库明细!$B$4:$B$2004,$Z267-2000)=0,"",INDEX(周转筐出入库明细!$B$4:$B$2004,$Z267-2000)),IF($Z267&lt;=5200,IF(INDEX(客户自备加工筐明细!$B$4:$B$1203,$Z267-4000)=0,"",INDEX(客户自备加工筐明细!$B$4:$B$1203,$Z267-4000)),IF($Z267&lt;=5800,IF(INDEX(次果筐明细!$B$4:$B$603,$Z267-5200)=0,"",INDEX(次果筐明细!$B$4:$B$603,$Z267-5200)),"")))))</f>
        <v/>
      </c>
      <c r="C267" s="37" t="str">
        <f>IF($Z267="","",IF($Z267&lt;=2000,IF(INDEX(包装物料出入库明细!$D$4:$D$2003,$Z267-0)=0,"",INDEX(包装物料出入库明细!$D$4:$D$2003,$Z267-0)),IF($Z267&lt;=4000,IF(INDEX(周转筐出入库明细!$C$4:$C$2004,$Z267-2000)=0,"",INDEX(周转筐出入库明细!$C$4:$C$2004,$Z267-2000)),IF($Z267&lt;=5200,IF(INDEX(客户自备加工筐明细!$E$4:$E$1203,$Z267-4000)=0,"",INDEX(客户自备加工筐明细!$E$4:$E$1203,$Z267-4000)),IF($Z267&lt;=5800,IF(INDEX(次果筐明细!$C$4:$C$603,$Z267-5200)=0,"",INDEX(次果筐明细!$C$4:$C$603,$Z267-5200)),"")))))</f>
        <v/>
      </c>
      <c r="D267" s="37" t="str">
        <f>IF($Z267="","",IF($Z267&lt;=2000,"包装物料－"&amp;INDEX(包装物料出入库明细!$H$4:$H$2003,$Z267-0),IF($Z267&lt;=4000,"周转筐－"&amp;INDEX(周转筐出入库明细!$F$4:$F$2004,$Z267-2000),IF($Z267&lt;=5200,"客户自备筐－"&amp;INDEX(客户自备加工筐明细!$J$4:$J$1203,$Z267-4000),IF($Z267&lt;=5800,"次果筐/托盘－"&amp;INDEX(次果筐明细!$F$4:$F$603,$Z267-5200),"")))))</f>
        <v/>
      </c>
      <c r="E267" s="24" t="str">
        <f>IF($Z267="","",IF($Z267&lt;=2000,IF(INDEX(包装物料出入库明细!$C$4:$C$2003,$Z267-0)=0,"",INDEX(包装物料出入库明细!$C$4:$C$2003,$Z267-0)),IF($Z267&lt;=4000,IF(INDEX(周转筐出入库明细!$E$4:$E$2004,$Z267-2000)=0,"",INDEX(周转筐出入库明细!$E$4:$E$2004,$Z267-2000)),IF($Z267&lt;=5200,IF(INDEX(客户自备加工筐明细!$D$4:$D$1203,$Z267-4000)=0,"",INDEX(客户自备加工筐明细!$D$4:$D$1203,$Z267-4000)),IF($Z267&lt;=5800,IF(INDEX(次果筐明细!$E$4:$E$603,$Z267-5200)=0,"",INDEX(次果筐明细!$E$4:$E$603,$Z267-5200)),"")))))</f>
        <v/>
      </c>
      <c r="F267" s="24" t="str">
        <f>IF($Z267="","",IF($Z267&lt;=2000,IF(INDEX(包装物料出入库明细!$E$4:$E$2003,$Z267-0)=0,"",INDEX(包装物料出入库明细!$E$4:$E$2003,$Z267-0)),IF($Z267&lt;=4000,IF(INDEX(周转筐出入库明细!$D$4:$D$2004,$Z267-2000)=0,"",INDEX(周转筐出入库明细!$D$4:$D$2004,$Z267-2000)),IF($Z267&lt;=5200,IF(INDEX(客户自备加工筐明细!$C$4:$C$1203,$Z267-4000)=0,"",INDEX(客户自备加工筐明细!$C$4:$C$1203,$Z267-4000)),IF($Z267&lt;=5800,IF(INDEX(次果筐明细!$D$4:$D$603,$Z267-5200)=0,"",INDEX(次果筐明细!$D$4:$D$603,$Z267-5200)),"")))))</f>
        <v/>
      </c>
      <c r="G267" s="24" t="str">
        <f>IF($Z267="","",IF($Z267&lt;=2000,IF(INDEX(包装物料出入库明细!$F$4:$F$2003,$Z267-0)=0,"",INDEX(包装物料出入库明细!$F$4:$F$2003,$Z267-0)),IF($Z267&lt;=4000,"",IF($Z267&lt;=5200,"",IF($Z267&lt;=5800,"","")))))</f>
        <v/>
      </c>
      <c r="H267" s="39" t="str">
        <f>IF($Z267="","",IF($Z267&lt;=2000,IF(INDEX(包装物料出入库明细!$L$4:$L$2003,$Z267-0)=0,"",INDEX(包装物料出入库明细!$L$4:$L$2003,$Z267-0)),IF($Z267&lt;=4000,N(INDEX(周转筐出入库明细!$H$4:$H$2004,$Z267-2000))+N(INDEX(周转筐出入库明细!$I$4:$I$2004,$Z267-2000))+N(INDEX(周转筐出入库明细!$J$4:$J$2004,$Z267-2000))+N(INDEX(周转筐出入库明细!$K$4:$K$2004,$Z267-2000)),IF($Z267&lt;=5200,N(INDEX(客户自备加工筐明细!$F$4:$F$1203,$Z267-4000))+N(INDEX(客户自备加工筐明细!$G$4:$G$1203,$Z267-4000)),IF($Z267&lt;=5800,IF(INDEX(次果筐明细!$G$4:$G$603,$Z267-5200)=0,"",INDEX(次果筐明细!$G$4:$G$603,$Z267-5200)),"")))))</f>
        <v/>
      </c>
      <c r="I267" s="24" t="str">
        <f>IF($Z267="","",IF($Z267&lt;=2000,IF(INDEX(包装物料出入库明细!$G$4:$G$2003,$Z267-0)=0,"",INDEX(包装物料出入库明细!$G$4:$G$2003,$Z267-0)),IF($Z267&lt;=4000,"个",IF($Z267&lt;=5200,"个",IF($Z267&lt;=5800,"个","")))))</f>
        <v/>
      </c>
      <c r="J267" s="30" t="str">
        <f t="shared" si="13"/>
        <v/>
      </c>
      <c r="K267" s="30" t="str">
        <f>IF($Z267="","",IF($Z267&lt;=2000,IF(INDEX(包装物料出入库明细!$N$4:$N$2003,$Z267-0)=0,"",INDEX(包装物料出入库明细!$N$4:$N$2003,$Z267-0)),IF($Z267&lt;=4000,IF(INDEX(周转筐出入库明细!$P$4:$P$2004,$Z267-2000)=0,"",INDEX(周转筐出入库明细!$P$4:$P$2004,$Z267-2000)),IF($Z267&lt;=5200,"",IF($Z267&lt;=5800,N(INDEX(次果筐明细!$L$4:$L$603,$Z267-5200))+N(INDEX(次果筐明细!$J$4:$J$603,$Z267-5200)),"")))))</f>
        <v/>
      </c>
      <c r="L267" s="24" t="str">
        <f>IF($Z267="","",IF($Z267&lt;=2000,IF(INDEX(包装物料出入库明细!$P$4:$P$2003,$Z267-0)=0,"",INDEX(包装物料出入库明细!$P$4:$P$2003,$Z267-0)),IF($Z267&lt;=4000,IF(INDEX(周转筐出入库明细!$Q$4:$Q$2004,$Z267-2000)=0,"",INDEX(周转筐出入库明细!$Q$4:$Q$2004,$Z267-2000)),IF($Z267&lt;=5200,"",IF($Z267&lt;=5800,IF(INDEX(次果筐明细!$M$4:$M$603,$Z267-5200)=0,"",INDEX(次果筐明细!$M$4:$M$603,$Z267-5200)),"")))))</f>
        <v/>
      </c>
      <c r="M267" s="37" t="str">
        <f>IF($Z267="","",IF($Z267&lt;=2000,IF(INDEX(包装物料出入库明细!$R$4:$R$2003,$Z267-0)=0,"",INDEX(包装物料出入库明细!$R$4:$R$2003,$Z267-0)),IF($Z267&lt;=4000,IF(INDEX(周转筐出入库明细!$W$4:$W$2004,$Z267-2000)=0,"",INDEX(周转筐出入库明细!$W$4:$W$2004,$Z267-2000)),IF($Z267&lt;=5200,IF(INDEX(客户自备加工筐明细!$L$4:$L$1203,$Z267-4000)=0,"",INDEX(客户自备加工筐明细!$L$4:$L$1203,$Z267-4000)),IF($Z267&lt;=5800,IF(INDEX(次果筐明细!$P$4:$P$603,$Z267-5200)=0,"",INDEX(次果筐明细!$P$4:$P$603,$Z267-5200)),"")))))</f>
        <v/>
      </c>
      <c r="N267" s="16" t="str">
        <f>IF($Z267="","",IF($Z267&lt;=2000,"",IF($Z267&lt;=4000,IF(INDEX(周转筐出入库明细!$D$4:$D$2004,$Z267-2000)=0,"",INDEX(周转筐出入库明细!$D$4:$D$2004,$Z267-2000)),IF($Z267&lt;=5200,IF(INDEX(客户自备加工筐明细!$C$4:$C$1203,$Z267-4000)=0,"",INDEX(客户自备加工筐明细!$C$4:$C$1203,$Z267-4000)),IF($Z267&lt;=5800,IF(INDEX(次果筐明细!$D$4:$D$603,$Z267-5200)=0,"",INDEX(次果筐明细!$D$4:$D$603,$Z267-5200)),"")))))</f>
        <v/>
      </c>
      <c r="O267" s="40" t="str">
        <f>IF($Z267="","",IF($Z267&lt;=2000,"",IF($Z267&lt;=4000,IF(N(INDEX(周转筐出入库明细!$J$4:$J$2004,$Z267-2000))+N(INDEX(周转筐出入库明细!$K$4:$K$2004,$Z267-2000))=0,"",N(INDEX(周转筐出入库明细!$J$4:$J$2004,$Z267-2000))+N(INDEX(周转筐出入库明细!$K$4:$K$2004,$Z267-2000))),IF($Z267&lt;=5200,IF(N(INDEX(客户自备加工筐明细!$G$4:$G$1203,$Z267-4000))=0,"",N(INDEX(客户自备加工筐明细!$G$4:$G$1203,$Z267-4000))),IF($Z267&lt;=5800,IF(ISNUMBER(SEARCH("退",INDEX(次果筐明细!$F$4:$F$603,$Z267-5200)&amp;"")),"",IF(N(INDEX(次果筐明细!$G$4:$G$603,$Z267-5200))=0,"",N(INDEX(次果筐明细!$G$4:$G$603,$Z267-5200)))),"")))))</f>
        <v/>
      </c>
      <c r="P267" s="40" t="str">
        <f>IF($Z267="","",IF($Z267&lt;=2000,"",IF($Z267&lt;=4000,IF(N(INDEX(周转筐出入库明细!$I$4:$I$2004,$Z267-2000))=0,"",N(INDEX(周转筐出入库明细!$I$4:$I$2004,$Z267-2000))),IF($Z267&lt;=5200,"",IF($Z267&lt;=5800,IF(ISNUMBER(SEARCH("退",INDEX(次果筐明细!$F$4:$F$603,$Z267-5200)&amp;"")),IF(N(INDEX(次果筐明细!$G$4:$G$603,$Z267-5200))=0,"",N(INDEX(次果筐明细!$G$4:$G$603,$Z267-5200))),""),"")))))</f>
        <v/>
      </c>
      <c r="Q267" s="40" t="str">
        <f>IF($Z267="","",IF($Z267&lt;=2000,"",IF($Z267&lt;=4000,IF(N(INDEX(周转筐出入库明细!$H$4:$H$2004,$Z267-2000))=0,"",N(INDEX(周转筐出入库明细!$H$4:$H$2004,$Z267-2000))),IF($Z267&lt;=5200,IF(N(INDEX(客户自备加工筐明细!$F$4:$F$1203,$Z267-4000))=0,"",N(INDEX(客户自备加工筐明细!$F$4:$F$1203,$Z267-4000))),IF($Z267&lt;=5800,"","")))))</f>
        <v/>
      </c>
      <c r="R267" s="16" t="str">
        <f>IF($Z267="","",IF($Z267&lt;=2000,IF(INDEX(包装物料出入库明细!$O$4:$O$2003,$Z267-0)=0,"",INDEX(包装物料出入库明细!$O$4:$O$2003,$Z267-0)),IF($Z267&lt;=4000,IF(INDEX(周转筐出入库明细!$M$4:$M$2004,$Z267-2000)=0,"",INDEX(周转筐出入库明细!$M$4:$M$2004,$Z267-2000)),IF($Z267&lt;=5200,IF(INDEX(客户自备加工筐明细!$H$4:$H$1203,$Z267-4000)=0,"",INDEX(客户自备加工筐明细!$H$4:$H$1203,$Z267-4000)),IF($Z267&lt;=5800,IF(INDEX(次果筐明细!$H$4:$H$603,$Z267-5200)=0,"",INDEX(次果筐明细!$H$4:$H$603,$Z267-5200)),"")))))</f>
        <v/>
      </c>
      <c r="S267" s="22" t="str">
        <f t="shared" si="14"/>
        <v/>
      </c>
      <c r="Z267" s="10" t="str">
        <f>IFERROR(MATCH(ROW()-3,_自动清单!$CQ$4:$CQ$5803,0),"")</f>
        <v/>
      </c>
    </row>
    <row r="268" spans="1:26">
      <c r="A268" s="24" t="str">
        <f t="shared" si="12"/>
        <v/>
      </c>
      <c r="B268" s="38" t="str">
        <f>IF($Z268="","",IF($Z268&lt;=2000,IF(INDEX(包装物料出入库明细!$B$4:$B$2003,$Z268-0)=0,"",INDEX(包装物料出入库明细!$B$4:$B$2003,$Z268-0)),IF($Z268&lt;=4000,IF(INDEX(周转筐出入库明细!$B$4:$B$2004,$Z268-2000)=0,"",INDEX(周转筐出入库明细!$B$4:$B$2004,$Z268-2000)),IF($Z268&lt;=5200,IF(INDEX(客户自备加工筐明细!$B$4:$B$1203,$Z268-4000)=0,"",INDEX(客户自备加工筐明细!$B$4:$B$1203,$Z268-4000)),IF($Z268&lt;=5800,IF(INDEX(次果筐明细!$B$4:$B$603,$Z268-5200)=0,"",INDEX(次果筐明细!$B$4:$B$603,$Z268-5200)),"")))))</f>
        <v/>
      </c>
      <c r="C268" s="37" t="str">
        <f>IF($Z268="","",IF($Z268&lt;=2000,IF(INDEX(包装物料出入库明细!$D$4:$D$2003,$Z268-0)=0,"",INDEX(包装物料出入库明细!$D$4:$D$2003,$Z268-0)),IF($Z268&lt;=4000,IF(INDEX(周转筐出入库明细!$C$4:$C$2004,$Z268-2000)=0,"",INDEX(周转筐出入库明细!$C$4:$C$2004,$Z268-2000)),IF($Z268&lt;=5200,IF(INDEX(客户自备加工筐明细!$E$4:$E$1203,$Z268-4000)=0,"",INDEX(客户自备加工筐明细!$E$4:$E$1203,$Z268-4000)),IF($Z268&lt;=5800,IF(INDEX(次果筐明细!$C$4:$C$603,$Z268-5200)=0,"",INDEX(次果筐明细!$C$4:$C$603,$Z268-5200)),"")))))</f>
        <v/>
      </c>
      <c r="D268" s="37" t="str">
        <f>IF($Z268="","",IF($Z268&lt;=2000,"包装物料－"&amp;INDEX(包装物料出入库明细!$H$4:$H$2003,$Z268-0),IF($Z268&lt;=4000,"周转筐－"&amp;INDEX(周转筐出入库明细!$F$4:$F$2004,$Z268-2000),IF($Z268&lt;=5200,"客户自备筐－"&amp;INDEX(客户自备加工筐明细!$J$4:$J$1203,$Z268-4000),IF($Z268&lt;=5800,"次果筐/托盘－"&amp;INDEX(次果筐明细!$F$4:$F$603,$Z268-5200),"")))))</f>
        <v/>
      </c>
      <c r="E268" s="24" t="str">
        <f>IF($Z268="","",IF($Z268&lt;=2000,IF(INDEX(包装物料出入库明细!$C$4:$C$2003,$Z268-0)=0,"",INDEX(包装物料出入库明细!$C$4:$C$2003,$Z268-0)),IF($Z268&lt;=4000,IF(INDEX(周转筐出入库明细!$E$4:$E$2004,$Z268-2000)=0,"",INDEX(周转筐出入库明细!$E$4:$E$2004,$Z268-2000)),IF($Z268&lt;=5200,IF(INDEX(客户自备加工筐明细!$D$4:$D$1203,$Z268-4000)=0,"",INDEX(客户自备加工筐明细!$D$4:$D$1203,$Z268-4000)),IF($Z268&lt;=5800,IF(INDEX(次果筐明细!$E$4:$E$603,$Z268-5200)=0,"",INDEX(次果筐明细!$E$4:$E$603,$Z268-5200)),"")))))</f>
        <v/>
      </c>
      <c r="F268" s="24" t="str">
        <f>IF($Z268="","",IF($Z268&lt;=2000,IF(INDEX(包装物料出入库明细!$E$4:$E$2003,$Z268-0)=0,"",INDEX(包装物料出入库明细!$E$4:$E$2003,$Z268-0)),IF($Z268&lt;=4000,IF(INDEX(周转筐出入库明细!$D$4:$D$2004,$Z268-2000)=0,"",INDEX(周转筐出入库明细!$D$4:$D$2004,$Z268-2000)),IF($Z268&lt;=5200,IF(INDEX(客户自备加工筐明细!$C$4:$C$1203,$Z268-4000)=0,"",INDEX(客户自备加工筐明细!$C$4:$C$1203,$Z268-4000)),IF($Z268&lt;=5800,IF(INDEX(次果筐明细!$D$4:$D$603,$Z268-5200)=0,"",INDEX(次果筐明细!$D$4:$D$603,$Z268-5200)),"")))))</f>
        <v/>
      </c>
      <c r="G268" s="24" t="str">
        <f>IF($Z268="","",IF($Z268&lt;=2000,IF(INDEX(包装物料出入库明细!$F$4:$F$2003,$Z268-0)=0,"",INDEX(包装物料出入库明细!$F$4:$F$2003,$Z268-0)),IF($Z268&lt;=4000,"",IF($Z268&lt;=5200,"",IF($Z268&lt;=5800,"","")))))</f>
        <v/>
      </c>
      <c r="H268" s="39" t="str">
        <f>IF($Z268="","",IF($Z268&lt;=2000,IF(INDEX(包装物料出入库明细!$L$4:$L$2003,$Z268-0)=0,"",INDEX(包装物料出入库明细!$L$4:$L$2003,$Z268-0)),IF($Z268&lt;=4000,N(INDEX(周转筐出入库明细!$H$4:$H$2004,$Z268-2000))+N(INDEX(周转筐出入库明细!$I$4:$I$2004,$Z268-2000))+N(INDEX(周转筐出入库明细!$J$4:$J$2004,$Z268-2000))+N(INDEX(周转筐出入库明细!$K$4:$K$2004,$Z268-2000)),IF($Z268&lt;=5200,N(INDEX(客户自备加工筐明细!$F$4:$F$1203,$Z268-4000))+N(INDEX(客户自备加工筐明细!$G$4:$G$1203,$Z268-4000)),IF($Z268&lt;=5800,IF(INDEX(次果筐明细!$G$4:$G$603,$Z268-5200)=0,"",INDEX(次果筐明细!$G$4:$G$603,$Z268-5200)),"")))))</f>
        <v/>
      </c>
      <c r="I268" s="24" t="str">
        <f>IF($Z268="","",IF($Z268&lt;=2000,IF(INDEX(包装物料出入库明细!$G$4:$G$2003,$Z268-0)=0,"",INDEX(包装物料出入库明细!$G$4:$G$2003,$Z268-0)),IF($Z268&lt;=4000,"个",IF($Z268&lt;=5200,"个",IF($Z268&lt;=5800,"个","")))))</f>
        <v/>
      </c>
      <c r="J268" s="30" t="str">
        <f t="shared" si="13"/>
        <v/>
      </c>
      <c r="K268" s="30" t="str">
        <f>IF($Z268="","",IF($Z268&lt;=2000,IF(INDEX(包装物料出入库明细!$N$4:$N$2003,$Z268-0)=0,"",INDEX(包装物料出入库明细!$N$4:$N$2003,$Z268-0)),IF($Z268&lt;=4000,IF(INDEX(周转筐出入库明细!$P$4:$P$2004,$Z268-2000)=0,"",INDEX(周转筐出入库明细!$P$4:$P$2004,$Z268-2000)),IF($Z268&lt;=5200,"",IF($Z268&lt;=5800,N(INDEX(次果筐明细!$L$4:$L$603,$Z268-5200))+N(INDEX(次果筐明细!$J$4:$J$603,$Z268-5200)),"")))))</f>
        <v/>
      </c>
      <c r="L268" s="24" t="str">
        <f>IF($Z268="","",IF($Z268&lt;=2000,IF(INDEX(包装物料出入库明细!$P$4:$P$2003,$Z268-0)=0,"",INDEX(包装物料出入库明细!$P$4:$P$2003,$Z268-0)),IF($Z268&lt;=4000,IF(INDEX(周转筐出入库明细!$Q$4:$Q$2004,$Z268-2000)=0,"",INDEX(周转筐出入库明细!$Q$4:$Q$2004,$Z268-2000)),IF($Z268&lt;=5200,"",IF($Z268&lt;=5800,IF(INDEX(次果筐明细!$M$4:$M$603,$Z268-5200)=0,"",INDEX(次果筐明细!$M$4:$M$603,$Z268-5200)),"")))))</f>
        <v/>
      </c>
      <c r="M268" s="37" t="str">
        <f>IF($Z268="","",IF($Z268&lt;=2000,IF(INDEX(包装物料出入库明细!$R$4:$R$2003,$Z268-0)=0,"",INDEX(包装物料出入库明细!$R$4:$R$2003,$Z268-0)),IF($Z268&lt;=4000,IF(INDEX(周转筐出入库明细!$W$4:$W$2004,$Z268-2000)=0,"",INDEX(周转筐出入库明细!$W$4:$W$2004,$Z268-2000)),IF($Z268&lt;=5200,IF(INDEX(客户自备加工筐明细!$L$4:$L$1203,$Z268-4000)=0,"",INDEX(客户自备加工筐明细!$L$4:$L$1203,$Z268-4000)),IF($Z268&lt;=5800,IF(INDEX(次果筐明细!$P$4:$P$603,$Z268-5200)=0,"",INDEX(次果筐明细!$P$4:$P$603,$Z268-5200)),"")))))</f>
        <v/>
      </c>
      <c r="N268" s="16" t="str">
        <f>IF($Z268="","",IF($Z268&lt;=2000,"",IF($Z268&lt;=4000,IF(INDEX(周转筐出入库明细!$D$4:$D$2004,$Z268-2000)=0,"",INDEX(周转筐出入库明细!$D$4:$D$2004,$Z268-2000)),IF($Z268&lt;=5200,IF(INDEX(客户自备加工筐明细!$C$4:$C$1203,$Z268-4000)=0,"",INDEX(客户自备加工筐明细!$C$4:$C$1203,$Z268-4000)),IF($Z268&lt;=5800,IF(INDEX(次果筐明细!$D$4:$D$603,$Z268-5200)=0,"",INDEX(次果筐明细!$D$4:$D$603,$Z268-5200)),"")))))</f>
        <v/>
      </c>
      <c r="O268" s="40" t="str">
        <f>IF($Z268="","",IF($Z268&lt;=2000,"",IF($Z268&lt;=4000,IF(N(INDEX(周转筐出入库明细!$J$4:$J$2004,$Z268-2000))+N(INDEX(周转筐出入库明细!$K$4:$K$2004,$Z268-2000))=0,"",N(INDEX(周转筐出入库明细!$J$4:$J$2004,$Z268-2000))+N(INDEX(周转筐出入库明细!$K$4:$K$2004,$Z268-2000))),IF($Z268&lt;=5200,IF(N(INDEX(客户自备加工筐明细!$G$4:$G$1203,$Z268-4000))=0,"",N(INDEX(客户自备加工筐明细!$G$4:$G$1203,$Z268-4000))),IF($Z268&lt;=5800,IF(ISNUMBER(SEARCH("退",INDEX(次果筐明细!$F$4:$F$603,$Z268-5200)&amp;"")),"",IF(N(INDEX(次果筐明细!$G$4:$G$603,$Z268-5200))=0,"",N(INDEX(次果筐明细!$G$4:$G$603,$Z268-5200)))),"")))))</f>
        <v/>
      </c>
      <c r="P268" s="40" t="str">
        <f>IF($Z268="","",IF($Z268&lt;=2000,"",IF($Z268&lt;=4000,IF(N(INDEX(周转筐出入库明细!$I$4:$I$2004,$Z268-2000))=0,"",N(INDEX(周转筐出入库明细!$I$4:$I$2004,$Z268-2000))),IF($Z268&lt;=5200,"",IF($Z268&lt;=5800,IF(ISNUMBER(SEARCH("退",INDEX(次果筐明细!$F$4:$F$603,$Z268-5200)&amp;"")),IF(N(INDEX(次果筐明细!$G$4:$G$603,$Z268-5200))=0,"",N(INDEX(次果筐明细!$G$4:$G$603,$Z268-5200))),""),"")))))</f>
        <v/>
      </c>
      <c r="Q268" s="40" t="str">
        <f>IF($Z268="","",IF($Z268&lt;=2000,"",IF($Z268&lt;=4000,IF(N(INDEX(周转筐出入库明细!$H$4:$H$2004,$Z268-2000))=0,"",N(INDEX(周转筐出入库明细!$H$4:$H$2004,$Z268-2000))),IF($Z268&lt;=5200,IF(N(INDEX(客户自备加工筐明细!$F$4:$F$1203,$Z268-4000))=0,"",N(INDEX(客户自备加工筐明细!$F$4:$F$1203,$Z268-4000))),IF($Z268&lt;=5800,"","")))))</f>
        <v/>
      </c>
      <c r="R268" s="16" t="str">
        <f>IF($Z268="","",IF($Z268&lt;=2000,IF(INDEX(包装物料出入库明细!$O$4:$O$2003,$Z268-0)=0,"",INDEX(包装物料出入库明细!$O$4:$O$2003,$Z268-0)),IF($Z268&lt;=4000,IF(INDEX(周转筐出入库明细!$M$4:$M$2004,$Z268-2000)=0,"",INDEX(周转筐出入库明细!$M$4:$M$2004,$Z268-2000)),IF($Z268&lt;=5200,IF(INDEX(客户自备加工筐明细!$H$4:$H$1203,$Z268-4000)=0,"",INDEX(客户自备加工筐明细!$H$4:$H$1203,$Z268-4000)),IF($Z268&lt;=5800,IF(INDEX(次果筐明细!$H$4:$H$603,$Z268-5200)=0,"",INDEX(次果筐明细!$H$4:$H$603,$Z268-5200)),"")))))</f>
        <v/>
      </c>
      <c r="S268" s="22" t="str">
        <f t="shared" si="14"/>
        <v/>
      </c>
      <c r="Z268" s="10" t="str">
        <f>IFERROR(MATCH(ROW()-3,_自动清单!$CQ$4:$CQ$5803,0),"")</f>
        <v/>
      </c>
    </row>
    <row r="269" spans="1:26">
      <c r="A269" s="24" t="str">
        <f t="shared" si="12"/>
        <v/>
      </c>
      <c r="B269" s="38" t="str">
        <f>IF($Z269="","",IF($Z269&lt;=2000,IF(INDEX(包装物料出入库明细!$B$4:$B$2003,$Z269-0)=0,"",INDEX(包装物料出入库明细!$B$4:$B$2003,$Z269-0)),IF($Z269&lt;=4000,IF(INDEX(周转筐出入库明细!$B$4:$B$2004,$Z269-2000)=0,"",INDEX(周转筐出入库明细!$B$4:$B$2004,$Z269-2000)),IF($Z269&lt;=5200,IF(INDEX(客户自备加工筐明细!$B$4:$B$1203,$Z269-4000)=0,"",INDEX(客户自备加工筐明细!$B$4:$B$1203,$Z269-4000)),IF($Z269&lt;=5800,IF(INDEX(次果筐明细!$B$4:$B$603,$Z269-5200)=0,"",INDEX(次果筐明细!$B$4:$B$603,$Z269-5200)),"")))))</f>
        <v/>
      </c>
      <c r="C269" s="37" t="str">
        <f>IF($Z269="","",IF($Z269&lt;=2000,IF(INDEX(包装物料出入库明细!$D$4:$D$2003,$Z269-0)=0,"",INDEX(包装物料出入库明细!$D$4:$D$2003,$Z269-0)),IF($Z269&lt;=4000,IF(INDEX(周转筐出入库明细!$C$4:$C$2004,$Z269-2000)=0,"",INDEX(周转筐出入库明细!$C$4:$C$2004,$Z269-2000)),IF($Z269&lt;=5200,IF(INDEX(客户自备加工筐明细!$E$4:$E$1203,$Z269-4000)=0,"",INDEX(客户自备加工筐明细!$E$4:$E$1203,$Z269-4000)),IF($Z269&lt;=5800,IF(INDEX(次果筐明细!$C$4:$C$603,$Z269-5200)=0,"",INDEX(次果筐明细!$C$4:$C$603,$Z269-5200)),"")))))</f>
        <v/>
      </c>
      <c r="D269" s="37" t="str">
        <f>IF($Z269="","",IF($Z269&lt;=2000,"包装物料－"&amp;INDEX(包装物料出入库明细!$H$4:$H$2003,$Z269-0),IF($Z269&lt;=4000,"周转筐－"&amp;INDEX(周转筐出入库明细!$F$4:$F$2004,$Z269-2000),IF($Z269&lt;=5200,"客户自备筐－"&amp;INDEX(客户自备加工筐明细!$J$4:$J$1203,$Z269-4000),IF($Z269&lt;=5800,"次果筐/托盘－"&amp;INDEX(次果筐明细!$F$4:$F$603,$Z269-5200),"")))))</f>
        <v/>
      </c>
      <c r="E269" s="24" t="str">
        <f>IF($Z269="","",IF($Z269&lt;=2000,IF(INDEX(包装物料出入库明细!$C$4:$C$2003,$Z269-0)=0,"",INDEX(包装物料出入库明细!$C$4:$C$2003,$Z269-0)),IF($Z269&lt;=4000,IF(INDEX(周转筐出入库明细!$E$4:$E$2004,$Z269-2000)=0,"",INDEX(周转筐出入库明细!$E$4:$E$2004,$Z269-2000)),IF($Z269&lt;=5200,IF(INDEX(客户自备加工筐明细!$D$4:$D$1203,$Z269-4000)=0,"",INDEX(客户自备加工筐明细!$D$4:$D$1203,$Z269-4000)),IF($Z269&lt;=5800,IF(INDEX(次果筐明细!$E$4:$E$603,$Z269-5200)=0,"",INDEX(次果筐明细!$E$4:$E$603,$Z269-5200)),"")))))</f>
        <v/>
      </c>
      <c r="F269" s="24" t="str">
        <f>IF($Z269="","",IF($Z269&lt;=2000,IF(INDEX(包装物料出入库明细!$E$4:$E$2003,$Z269-0)=0,"",INDEX(包装物料出入库明细!$E$4:$E$2003,$Z269-0)),IF($Z269&lt;=4000,IF(INDEX(周转筐出入库明细!$D$4:$D$2004,$Z269-2000)=0,"",INDEX(周转筐出入库明细!$D$4:$D$2004,$Z269-2000)),IF($Z269&lt;=5200,IF(INDEX(客户自备加工筐明细!$C$4:$C$1203,$Z269-4000)=0,"",INDEX(客户自备加工筐明细!$C$4:$C$1203,$Z269-4000)),IF($Z269&lt;=5800,IF(INDEX(次果筐明细!$D$4:$D$603,$Z269-5200)=0,"",INDEX(次果筐明细!$D$4:$D$603,$Z269-5200)),"")))))</f>
        <v/>
      </c>
      <c r="G269" s="24" t="str">
        <f>IF($Z269="","",IF($Z269&lt;=2000,IF(INDEX(包装物料出入库明细!$F$4:$F$2003,$Z269-0)=0,"",INDEX(包装物料出入库明细!$F$4:$F$2003,$Z269-0)),IF($Z269&lt;=4000,"",IF($Z269&lt;=5200,"",IF($Z269&lt;=5800,"","")))))</f>
        <v/>
      </c>
      <c r="H269" s="39" t="str">
        <f>IF($Z269="","",IF($Z269&lt;=2000,IF(INDEX(包装物料出入库明细!$L$4:$L$2003,$Z269-0)=0,"",INDEX(包装物料出入库明细!$L$4:$L$2003,$Z269-0)),IF($Z269&lt;=4000,N(INDEX(周转筐出入库明细!$H$4:$H$2004,$Z269-2000))+N(INDEX(周转筐出入库明细!$I$4:$I$2004,$Z269-2000))+N(INDEX(周转筐出入库明细!$J$4:$J$2004,$Z269-2000))+N(INDEX(周转筐出入库明细!$K$4:$K$2004,$Z269-2000)),IF($Z269&lt;=5200,N(INDEX(客户自备加工筐明细!$F$4:$F$1203,$Z269-4000))+N(INDEX(客户自备加工筐明细!$G$4:$G$1203,$Z269-4000)),IF($Z269&lt;=5800,IF(INDEX(次果筐明细!$G$4:$G$603,$Z269-5200)=0,"",INDEX(次果筐明细!$G$4:$G$603,$Z269-5200)),"")))))</f>
        <v/>
      </c>
      <c r="I269" s="24" t="str">
        <f>IF($Z269="","",IF($Z269&lt;=2000,IF(INDEX(包装物料出入库明细!$G$4:$G$2003,$Z269-0)=0,"",INDEX(包装物料出入库明细!$G$4:$G$2003,$Z269-0)),IF($Z269&lt;=4000,"个",IF($Z269&lt;=5200,"个",IF($Z269&lt;=5800,"个","")))))</f>
        <v/>
      </c>
      <c r="J269" s="30" t="str">
        <f t="shared" si="13"/>
        <v/>
      </c>
      <c r="K269" s="30" t="str">
        <f>IF($Z269="","",IF($Z269&lt;=2000,IF(INDEX(包装物料出入库明细!$N$4:$N$2003,$Z269-0)=0,"",INDEX(包装物料出入库明细!$N$4:$N$2003,$Z269-0)),IF($Z269&lt;=4000,IF(INDEX(周转筐出入库明细!$P$4:$P$2004,$Z269-2000)=0,"",INDEX(周转筐出入库明细!$P$4:$P$2004,$Z269-2000)),IF($Z269&lt;=5200,"",IF($Z269&lt;=5800,N(INDEX(次果筐明细!$L$4:$L$603,$Z269-5200))+N(INDEX(次果筐明细!$J$4:$J$603,$Z269-5200)),"")))))</f>
        <v/>
      </c>
      <c r="L269" s="24" t="str">
        <f>IF($Z269="","",IF($Z269&lt;=2000,IF(INDEX(包装物料出入库明细!$P$4:$P$2003,$Z269-0)=0,"",INDEX(包装物料出入库明细!$P$4:$P$2003,$Z269-0)),IF($Z269&lt;=4000,IF(INDEX(周转筐出入库明细!$Q$4:$Q$2004,$Z269-2000)=0,"",INDEX(周转筐出入库明细!$Q$4:$Q$2004,$Z269-2000)),IF($Z269&lt;=5200,"",IF($Z269&lt;=5800,IF(INDEX(次果筐明细!$M$4:$M$603,$Z269-5200)=0,"",INDEX(次果筐明细!$M$4:$M$603,$Z269-5200)),"")))))</f>
        <v/>
      </c>
      <c r="M269" s="37" t="str">
        <f>IF($Z269="","",IF($Z269&lt;=2000,IF(INDEX(包装物料出入库明细!$R$4:$R$2003,$Z269-0)=0,"",INDEX(包装物料出入库明细!$R$4:$R$2003,$Z269-0)),IF($Z269&lt;=4000,IF(INDEX(周转筐出入库明细!$W$4:$W$2004,$Z269-2000)=0,"",INDEX(周转筐出入库明细!$W$4:$W$2004,$Z269-2000)),IF($Z269&lt;=5200,IF(INDEX(客户自备加工筐明细!$L$4:$L$1203,$Z269-4000)=0,"",INDEX(客户自备加工筐明细!$L$4:$L$1203,$Z269-4000)),IF($Z269&lt;=5800,IF(INDEX(次果筐明细!$P$4:$P$603,$Z269-5200)=0,"",INDEX(次果筐明细!$P$4:$P$603,$Z269-5200)),"")))))</f>
        <v/>
      </c>
      <c r="N269" s="16" t="str">
        <f>IF($Z269="","",IF($Z269&lt;=2000,"",IF($Z269&lt;=4000,IF(INDEX(周转筐出入库明细!$D$4:$D$2004,$Z269-2000)=0,"",INDEX(周转筐出入库明细!$D$4:$D$2004,$Z269-2000)),IF($Z269&lt;=5200,IF(INDEX(客户自备加工筐明细!$C$4:$C$1203,$Z269-4000)=0,"",INDEX(客户自备加工筐明细!$C$4:$C$1203,$Z269-4000)),IF($Z269&lt;=5800,IF(INDEX(次果筐明细!$D$4:$D$603,$Z269-5200)=0,"",INDEX(次果筐明细!$D$4:$D$603,$Z269-5200)),"")))))</f>
        <v/>
      </c>
      <c r="O269" s="40" t="str">
        <f>IF($Z269="","",IF($Z269&lt;=2000,"",IF($Z269&lt;=4000,IF(N(INDEX(周转筐出入库明细!$J$4:$J$2004,$Z269-2000))+N(INDEX(周转筐出入库明细!$K$4:$K$2004,$Z269-2000))=0,"",N(INDEX(周转筐出入库明细!$J$4:$J$2004,$Z269-2000))+N(INDEX(周转筐出入库明细!$K$4:$K$2004,$Z269-2000))),IF($Z269&lt;=5200,IF(N(INDEX(客户自备加工筐明细!$G$4:$G$1203,$Z269-4000))=0,"",N(INDEX(客户自备加工筐明细!$G$4:$G$1203,$Z269-4000))),IF($Z269&lt;=5800,IF(ISNUMBER(SEARCH("退",INDEX(次果筐明细!$F$4:$F$603,$Z269-5200)&amp;"")),"",IF(N(INDEX(次果筐明细!$G$4:$G$603,$Z269-5200))=0,"",N(INDEX(次果筐明细!$G$4:$G$603,$Z269-5200)))),"")))))</f>
        <v/>
      </c>
      <c r="P269" s="40" t="str">
        <f>IF($Z269="","",IF($Z269&lt;=2000,"",IF($Z269&lt;=4000,IF(N(INDEX(周转筐出入库明细!$I$4:$I$2004,$Z269-2000))=0,"",N(INDEX(周转筐出入库明细!$I$4:$I$2004,$Z269-2000))),IF($Z269&lt;=5200,"",IF($Z269&lt;=5800,IF(ISNUMBER(SEARCH("退",INDEX(次果筐明细!$F$4:$F$603,$Z269-5200)&amp;"")),IF(N(INDEX(次果筐明细!$G$4:$G$603,$Z269-5200))=0,"",N(INDEX(次果筐明细!$G$4:$G$603,$Z269-5200))),""),"")))))</f>
        <v/>
      </c>
      <c r="Q269" s="40" t="str">
        <f>IF($Z269="","",IF($Z269&lt;=2000,"",IF($Z269&lt;=4000,IF(N(INDEX(周转筐出入库明细!$H$4:$H$2004,$Z269-2000))=0,"",N(INDEX(周转筐出入库明细!$H$4:$H$2004,$Z269-2000))),IF($Z269&lt;=5200,IF(N(INDEX(客户自备加工筐明细!$F$4:$F$1203,$Z269-4000))=0,"",N(INDEX(客户自备加工筐明细!$F$4:$F$1203,$Z269-4000))),IF($Z269&lt;=5800,"","")))))</f>
        <v/>
      </c>
      <c r="R269" s="16" t="str">
        <f>IF($Z269="","",IF($Z269&lt;=2000,IF(INDEX(包装物料出入库明细!$O$4:$O$2003,$Z269-0)=0,"",INDEX(包装物料出入库明细!$O$4:$O$2003,$Z269-0)),IF($Z269&lt;=4000,IF(INDEX(周转筐出入库明细!$M$4:$M$2004,$Z269-2000)=0,"",INDEX(周转筐出入库明细!$M$4:$M$2004,$Z269-2000)),IF($Z269&lt;=5200,IF(INDEX(客户自备加工筐明细!$H$4:$H$1203,$Z269-4000)=0,"",INDEX(客户自备加工筐明细!$H$4:$H$1203,$Z269-4000)),IF($Z269&lt;=5800,IF(INDEX(次果筐明细!$H$4:$H$603,$Z269-5200)=0,"",INDEX(次果筐明细!$H$4:$H$603,$Z269-5200)),"")))))</f>
        <v/>
      </c>
      <c r="S269" s="22" t="str">
        <f t="shared" si="14"/>
        <v/>
      </c>
      <c r="Z269" s="10" t="str">
        <f>IFERROR(MATCH(ROW()-3,_自动清单!$CQ$4:$CQ$5803,0),"")</f>
        <v/>
      </c>
    </row>
    <row r="270" spans="1:26">
      <c r="A270" s="24" t="str">
        <f t="shared" si="12"/>
        <v/>
      </c>
      <c r="B270" s="38" t="str">
        <f>IF($Z270="","",IF($Z270&lt;=2000,IF(INDEX(包装物料出入库明细!$B$4:$B$2003,$Z270-0)=0,"",INDEX(包装物料出入库明细!$B$4:$B$2003,$Z270-0)),IF($Z270&lt;=4000,IF(INDEX(周转筐出入库明细!$B$4:$B$2004,$Z270-2000)=0,"",INDEX(周转筐出入库明细!$B$4:$B$2004,$Z270-2000)),IF($Z270&lt;=5200,IF(INDEX(客户自备加工筐明细!$B$4:$B$1203,$Z270-4000)=0,"",INDEX(客户自备加工筐明细!$B$4:$B$1203,$Z270-4000)),IF($Z270&lt;=5800,IF(INDEX(次果筐明细!$B$4:$B$603,$Z270-5200)=0,"",INDEX(次果筐明细!$B$4:$B$603,$Z270-5200)),"")))))</f>
        <v/>
      </c>
      <c r="C270" s="37" t="str">
        <f>IF($Z270="","",IF($Z270&lt;=2000,IF(INDEX(包装物料出入库明细!$D$4:$D$2003,$Z270-0)=0,"",INDEX(包装物料出入库明细!$D$4:$D$2003,$Z270-0)),IF($Z270&lt;=4000,IF(INDEX(周转筐出入库明细!$C$4:$C$2004,$Z270-2000)=0,"",INDEX(周转筐出入库明细!$C$4:$C$2004,$Z270-2000)),IF($Z270&lt;=5200,IF(INDEX(客户自备加工筐明细!$E$4:$E$1203,$Z270-4000)=0,"",INDEX(客户自备加工筐明细!$E$4:$E$1203,$Z270-4000)),IF($Z270&lt;=5800,IF(INDEX(次果筐明细!$C$4:$C$603,$Z270-5200)=0,"",INDEX(次果筐明细!$C$4:$C$603,$Z270-5200)),"")))))</f>
        <v/>
      </c>
      <c r="D270" s="37" t="str">
        <f>IF($Z270="","",IF($Z270&lt;=2000,"包装物料－"&amp;INDEX(包装物料出入库明细!$H$4:$H$2003,$Z270-0),IF($Z270&lt;=4000,"周转筐－"&amp;INDEX(周转筐出入库明细!$F$4:$F$2004,$Z270-2000),IF($Z270&lt;=5200,"客户自备筐－"&amp;INDEX(客户自备加工筐明细!$J$4:$J$1203,$Z270-4000),IF($Z270&lt;=5800,"次果筐/托盘－"&amp;INDEX(次果筐明细!$F$4:$F$603,$Z270-5200),"")))))</f>
        <v/>
      </c>
      <c r="E270" s="24" t="str">
        <f>IF($Z270="","",IF($Z270&lt;=2000,IF(INDEX(包装物料出入库明细!$C$4:$C$2003,$Z270-0)=0,"",INDEX(包装物料出入库明细!$C$4:$C$2003,$Z270-0)),IF($Z270&lt;=4000,IF(INDEX(周转筐出入库明细!$E$4:$E$2004,$Z270-2000)=0,"",INDEX(周转筐出入库明细!$E$4:$E$2004,$Z270-2000)),IF($Z270&lt;=5200,IF(INDEX(客户自备加工筐明细!$D$4:$D$1203,$Z270-4000)=0,"",INDEX(客户自备加工筐明细!$D$4:$D$1203,$Z270-4000)),IF($Z270&lt;=5800,IF(INDEX(次果筐明细!$E$4:$E$603,$Z270-5200)=0,"",INDEX(次果筐明细!$E$4:$E$603,$Z270-5200)),"")))))</f>
        <v/>
      </c>
      <c r="F270" s="24" t="str">
        <f>IF($Z270="","",IF($Z270&lt;=2000,IF(INDEX(包装物料出入库明细!$E$4:$E$2003,$Z270-0)=0,"",INDEX(包装物料出入库明细!$E$4:$E$2003,$Z270-0)),IF($Z270&lt;=4000,IF(INDEX(周转筐出入库明细!$D$4:$D$2004,$Z270-2000)=0,"",INDEX(周转筐出入库明细!$D$4:$D$2004,$Z270-2000)),IF($Z270&lt;=5200,IF(INDEX(客户自备加工筐明细!$C$4:$C$1203,$Z270-4000)=0,"",INDEX(客户自备加工筐明细!$C$4:$C$1203,$Z270-4000)),IF($Z270&lt;=5800,IF(INDEX(次果筐明细!$D$4:$D$603,$Z270-5200)=0,"",INDEX(次果筐明细!$D$4:$D$603,$Z270-5200)),"")))))</f>
        <v/>
      </c>
      <c r="G270" s="24" t="str">
        <f>IF($Z270="","",IF($Z270&lt;=2000,IF(INDEX(包装物料出入库明细!$F$4:$F$2003,$Z270-0)=0,"",INDEX(包装物料出入库明细!$F$4:$F$2003,$Z270-0)),IF($Z270&lt;=4000,"",IF($Z270&lt;=5200,"",IF($Z270&lt;=5800,"","")))))</f>
        <v/>
      </c>
      <c r="H270" s="39" t="str">
        <f>IF($Z270="","",IF($Z270&lt;=2000,IF(INDEX(包装物料出入库明细!$L$4:$L$2003,$Z270-0)=0,"",INDEX(包装物料出入库明细!$L$4:$L$2003,$Z270-0)),IF($Z270&lt;=4000,N(INDEX(周转筐出入库明细!$H$4:$H$2004,$Z270-2000))+N(INDEX(周转筐出入库明细!$I$4:$I$2004,$Z270-2000))+N(INDEX(周转筐出入库明细!$J$4:$J$2004,$Z270-2000))+N(INDEX(周转筐出入库明细!$K$4:$K$2004,$Z270-2000)),IF($Z270&lt;=5200,N(INDEX(客户自备加工筐明细!$F$4:$F$1203,$Z270-4000))+N(INDEX(客户自备加工筐明细!$G$4:$G$1203,$Z270-4000)),IF($Z270&lt;=5800,IF(INDEX(次果筐明细!$G$4:$G$603,$Z270-5200)=0,"",INDEX(次果筐明细!$G$4:$G$603,$Z270-5200)),"")))))</f>
        <v/>
      </c>
      <c r="I270" s="24" t="str">
        <f>IF($Z270="","",IF($Z270&lt;=2000,IF(INDEX(包装物料出入库明细!$G$4:$G$2003,$Z270-0)=0,"",INDEX(包装物料出入库明细!$G$4:$G$2003,$Z270-0)),IF($Z270&lt;=4000,"个",IF($Z270&lt;=5200,"个",IF($Z270&lt;=5800,"个","")))))</f>
        <v/>
      </c>
      <c r="J270" s="30" t="str">
        <f t="shared" si="13"/>
        <v/>
      </c>
      <c r="K270" s="30" t="str">
        <f>IF($Z270="","",IF($Z270&lt;=2000,IF(INDEX(包装物料出入库明细!$N$4:$N$2003,$Z270-0)=0,"",INDEX(包装物料出入库明细!$N$4:$N$2003,$Z270-0)),IF($Z270&lt;=4000,IF(INDEX(周转筐出入库明细!$P$4:$P$2004,$Z270-2000)=0,"",INDEX(周转筐出入库明细!$P$4:$P$2004,$Z270-2000)),IF($Z270&lt;=5200,"",IF($Z270&lt;=5800,N(INDEX(次果筐明细!$L$4:$L$603,$Z270-5200))+N(INDEX(次果筐明细!$J$4:$J$603,$Z270-5200)),"")))))</f>
        <v/>
      </c>
      <c r="L270" s="24" t="str">
        <f>IF($Z270="","",IF($Z270&lt;=2000,IF(INDEX(包装物料出入库明细!$P$4:$P$2003,$Z270-0)=0,"",INDEX(包装物料出入库明细!$P$4:$P$2003,$Z270-0)),IF($Z270&lt;=4000,IF(INDEX(周转筐出入库明细!$Q$4:$Q$2004,$Z270-2000)=0,"",INDEX(周转筐出入库明细!$Q$4:$Q$2004,$Z270-2000)),IF($Z270&lt;=5200,"",IF($Z270&lt;=5800,IF(INDEX(次果筐明细!$M$4:$M$603,$Z270-5200)=0,"",INDEX(次果筐明细!$M$4:$M$603,$Z270-5200)),"")))))</f>
        <v/>
      </c>
      <c r="M270" s="37" t="str">
        <f>IF($Z270="","",IF($Z270&lt;=2000,IF(INDEX(包装物料出入库明细!$R$4:$R$2003,$Z270-0)=0,"",INDEX(包装物料出入库明细!$R$4:$R$2003,$Z270-0)),IF($Z270&lt;=4000,IF(INDEX(周转筐出入库明细!$W$4:$W$2004,$Z270-2000)=0,"",INDEX(周转筐出入库明细!$W$4:$W$2004,$Z270-2000)),IF($Z270&lt;=5200,IF(INDEX(客户自备加工筐明细!$L$4:$L$1203,$Z270-4000)=0,"",INDEX(客户自备加工筐明细!$L$4:$L$1203,$Z270-4000)),IF($Z270&lt;=5800,IF(INDEX(次果筐明细!$P$4:$P$603,$Z270-5200)=0,"",INDEX(次果筐明细!$P$4:$P$603,$Z270-5200)),"")))))</f>
        <v/>
      </c>
      <c r="N270" s="16" t="str">
        <f>IF($Z270="","",IF($Z270&lt;=2000,"",IF($Z270&lt;=4000,IF(INDEX(周转筐出入库明细!$D$4:$D$2004,$Z270-2000)=0,"",INDEX(周转筐出入库明细!$D$4:$D$2004,$Z270-2000)),IF($Z270&lt;=5200,IF(INDEX(客户自备加工筐明细!$C$4:$C$1203,$Z270-4000)=0,"",INDEX(客户自备加工筐明细!$C$4:$C$1203,$Z270-4000)),IF($Z270&lt;=5800,IF(INDEX(次果筐明细!$D$4:$D$603,$Z270-5200)=0,"",INDEX(次果筐明细!$D$4:$D$603,$Z270-5200)),"")))))</f>
        <v/>
      </c>
      <c r="O270" s="40" t="str">
        <f>IF($Z270="","",IF($Z270&lt;=2000,"",IF($Z270&lt;=4000,IF(N(INDEX(周转筐出入库明细!$J$4:$J$2004,$Z270-2000))+N(INDEX(周转筐出入库明细!$K$4:$K$2004,$Z270-2000))=0,"",N(INDEX(周转筐出入库明细!$J$4:$J$2004,$Z270-2000))+N(INDEX(周转筐出入库明细!$K$4:$K$2004,$Z270-2000))),IF($Z270&lt;=5200,IF(N(INDEX(客户自备加工筐明细!$G$4:$G$1203,$Z270-4000))=0,"",N(INDEX(客户自备加工筐明细!$G$4:$G$1203,$Z270-4000))),IF($Z270&lt;=5800,IF(ISNUMBER(SEARCH("退",INDEX(次果筐明细!$F$4:$F$603,$Z270-5200)&amp;"")),"",IF(N(INDEX(次果筐明细!$G$4:$G$603,$Z270-5200))=0,"",N(INDEX(次果筐明细!$G$4:$G$603,$Z270-5200)))),"")))))</f>
        <v/>
      </c>
      <c r="P270" s="40" t="str">
        <f>IF($Z270="","",IF($Z270&lt;=2000,"",IF($Z270&lt;=4000,IF(N(INDEX(周转筐出入库明细!$I$4:$I$2004,$Z270-2000))=0,"",N(INDEX(周转筐出入库明细!$I$4:$I$2004,$Z270-2000))),IF($Z270&lt;=5200,"",IF($Z270&lt;=5800,IF(ISNUMBER(SEARCH("退",INDEX(次果筐明细!$F$4:$F$603,$Z270-5200)&amp;"")),IF(N(INDEX(次果筐明细!$G$4:$G$603,$Z270-5200))=0,"",N(INDEX(次果筐明细!$G$4:$G$603,$Z270-5200))),""),"")))))</f>
        <v/>
      </c>
      <c r="Q270" s="40" t="str">
        <f>IF($Z270="","",IF($Z270&lt;=2000,"",IF($Z270&lt;=4000,IF(N(INDEX(周转筐出入库明细!$H$4:$H$2004,$Z270-2000))=0,"",N(INDEX(周转筐出入库明细!$H$4:$H$2004,$Z270-2000))),IF($Z270&lt;=5200,IF(N(INDEX(客户自备加工筐明细!$F$4:$F$1203,$Z270-4000))=0,"",N(INDEX(客户自备加工筐明细!$F$4:$F$1203,$Z270-4000))),IF($Z270&lt;=5800,"","")))))</f>
        <v/>
      </c>
      <c r="R270" s="16" t="str">
        <f>IF($Z270="","",IF($Z270&lt;=2000,IF(INDEX(包装物料出入库明细!$O$4:$O$2003,$Z270-0)=0,"",INDEX(包装物料出入库明细!$O$4:$O$2003,$Z270-0)),IF($Z270&lt;=4000,IF(INDEX(周转筐出入库明细!$M$4:$M$2004,$Z270-2000)=0,"",INDEX(周转筐出入库明细!$M$4:$M$2004,$Z270-2000)),IF($Z270&lt;=5200,IF(INDEX(客户自备加工筐明细!$H$4:$H$1203,$Z270-4000)=0,"",INDEX(客户自备加工筐明细!$H$4:$H$1203,$Z270-4000)),IF($Z270&lt;=5800,IF(INDEX(次果筐明细!$H$4:$H$603,$Z270-5200)=0,"",INDEX(次果筐明细!$H$4:$H$603,$Z270-5200)),"")))))</f>
        <v/>
      </c>
      <c r="S270" s="22" t="str">
        <f t="shared" si="14"/>
        <v/>
      </c>
      <c r="Z270" s="10" t="str">
        <f>IFERROR(MATCH(ROW()-3,_自动清单!$CQ$4:$CQ$5803,0),"")</f>
        <v/>
      </c>
    </row>
    <row r="271" spans="1:26">
      <c r="A271" s="24" t="str">
        <f t="shared" si="12"/>
        <v/>
      </c>
      <c r="B271" s="38" t="str">
        <f>IF($Z271="","",IF($Z271&lt;=2000,IF(INDEX(包装物料出入库明细!$B$4:$B$2003,$Z271-0)=0,"",INDEX(包装物料出入库明细!$B$4:$B$2003,$Z271-0)),IF($Z271&lt;=4000,IF(INDEX(周转筐出入库明细!$B$4:$B$2004,$Z271-2000)=0,"",INDEX(周转筐出入库明细!$B$4:$B$2004,$Z271-2000)),IF($Z271&lt;=5200,IF(INDEX(客户自备加工筐明细!$B$4:$B$1203,$Z271-4000)=0,"",INDEX(客户自备加工筐明细!$B$4:$B$1203,$Z271-4000)),IF($Z271&lt;=5800,IF(INDEX(次果筐明细!$B$4:$B$603,$Z271-5200)=0,"",INDEX(次果筐明细!$B$4:$B$603,$Z271-5200)),"")))))</f>
        <v/>
      </c>
      <c r="C271" s="37" t="str">
        <f>IF($Z271="","",IF($Z271&lt;=2000,IF(INDEX(包装物料出入库明细!$D$4:$D$2003,$Z271-0)=0,"",INDEX(包装物料出入库明细!$D$4:$D$2003,$Z271-0)),IF($Z271&lt;=4000,IF(INDEX(周转筐出入库明细!$C$4:$C$2004,$Z271-2000)=0,"",INDEX(周转筐出入库明细!$C$4:$C$2004,$Z271-2000)),IF($Z271&lt;=5200,IF(INDEX(客户自备加工筐明细!$E$4:$E$1203,$Z271-4000)=0,"",INDEX(客户自备加工筐明细!$E$4:$E$1203,$Z271-4000)),IF($Z271&lt;=5800,IF(INDEX(次果筐明细!$C$4:$C$603,$Z271-5200)=0,"",INDEX(次果筐明细!$C$4:$C$603,$Z271-5200)),"")))))</f>
        <v/>
      </c>
      <c r="D271" s="37" t="str">
        <f>IF($Z271="","",IF($Z271&lt;=2000,"包装物料－"&amp;INDEX(包装物料出入库明细!$H$4:$H$2003,$Z271-0),IF($Z271&lt;=4000,"周转筐－"&amp;INDEX(周转筐出入库明细!$F$4:$F$2004,$Z271-2000),IF($Z271&lt;=5200,"客户自备筐－"&amp;INDEX(客户自备加工筐明细!$J$4:$J$1203,$Z271-4000),IF($Z271&lt;=5800,"次果筐/托盘－"&amp;INDEX(次果筐明细!$F$4:$F$603,$Z271-5200),"")))))</f>
        <v/>
      </c>
      <c r="E271" s="24" t="str">
        <f>IF($Z271="","",IF($Z271&lt;=2000,IF(INDEX(包装物料出入库明细!$C$4:$C$2003,$Z271-0)=0,"",INDEX(包装物料出入库明细!$C$4:$C$2003,$Z271-0)),IF($Z271&lt;=4000,IF(INDEX(周转筐出入库明细!$E$4:$E$2004,$Z271-2000)=0,"",INDEX(周转筐出入库明细!$E$4:$E$2004,$Z271-2000)),IF($Z271&lt;=5200,IF(INDEX(客户自备加工筐明细!$D$4:$D$1203,$Z271-4000)=0,"",INDEX(客户自备加工筐明细!$D$4:$D$1203,$Z271-4000)),IF($Z271&lt;=5800,IF(INDEX(次果筐明细!$E$4:$E$603,$Z271-5200)=0,"",INDEX(次果筐明细!$E$4:$E$603,$Z271-5200)),"")))))</f>
        <v/>
      </c>
      <c r="F271" s="24" t="str">
        <f>IF($Z271="","",IF($Z271&lt;=2000,IF(INDEX(包装物料出入库明细!$E$4:$E$2003,$Z271-0)=0,"",INDEX(包装物料出入库明细!$E$4:$E$2003,$Z271-0)),IF($Z271&lt;=4000,IF(INDEX(周转筐出入库明细!$D$4:$D$2004,$Z271-2000)=0,"",INDEX(周转筐出入库明细!$D$4:$D$2004,$Z271-2000)),IF($Z271&lt;=5200,IF(INDEX(客户自备加工筐明细!$C$4:$C$1203,$Z271-4000)=0,"",INDEX(客户自备加工筐明细!$C$4:$C$1203,$Z271-4000)),IF($Z271&lt;=5800,IF(INDEX(次果筐明细!$D$4:$D$603,$Z271-5200)=0,"",INDEX(次果筐明细!$D$4:$D$603,$Z271-5200)),"")))))</f>
        <v/>
      </c>
      <c r="G271" s="24" t="str">
        <f>IF($Z271="","",IF($Z271&lt;=2000,IF(INDEX(包装物料出入库明细!$F$4:$F$2003,$Z271-0)=0,"",INDEX(包装物料出入库明细!$F$4:$F$2003,$Z271-0)),IF($Z271&lt;=4000,"",IF($Z271&lt;=5200,"",IF($Z271&lt;=5800,"","")))))</f>
        <v/>
      </c>
      <c r="H271" s="39" t="str">
        <f>IF($Z271="","",IF($Z271&lt;=2000,IF(INDEX(包装物料出入库明细!$L$4:$L$2003,$Z271-0)=0,"",INDEX(包装物料出入库明细!$L$4:$L$2003,$Z271-0)),IF($Z271&lt;=4000,N(INDEX(周转筐出入库明细!$H$4:$H$2004,$Z271-2000))+N(INDEX(周转筐出入库明细!$I$4:$I$2004,$Z271-2000))+N(INDEX(周转筐出入库明细!$J$4:$J$2004,$Z271-2000))+N(INDEX(周转筐出入库明细!$K$4:$K$2004,$Z271-2000)),IF($Z271&lt;=5200,N(INDEX(客户自备加工筐明细!$F$4:$F$1203,$Z271-4000))+N(INDEX(客户自备加工筐明细!$G$4:$G$1203,$Z271-4000)),IF($Z271&lt;=5800,IF(INDEX(次果筐明细!$G$4:$G$603,$Z271-5200)=0,"",INDEX(次果筐明细!$G$4:$G$603,$Z271-5200)),"")))))</f>
        <v/>
      </c>
      <c r="I271" s="24" t="str">
        <f>IF($Z271="","",IF($Z271&lt;=2000,IF(INDEX(包装物料出入库明细!$G$4:$G$2003,$Z271-0)=0,"",INDEX(包装物料出入库明细!$G$4:$G$2003,$Z271-0)),IF($Z271&lt;=4000,"个",IF($Z271&lt;=5200,"个",IF($Z271&lt;=5800,"个","")))))</f>
        <v/>
      </c>
      <c r="J271" s="30" t="str">
        <f t="shared" si="13"/>
        <v/>
      </c>
      <c r="K271" s="30" t="str">
        <f>IF($Z271="","",IF($Z271&lt;=2000,IF(INDEX(包装物料出入库明细!$N$4:$N$2003,$Z271-0)=0,"",INDEX(包装物料出入库明细!$N$4:$N$2003,$Z271-0)),IF($Z271&lt;=4000,IF(INDEX(周转筐出入库明细!$P$4:$P$2004,$Z271-2000)=0,"",INDEX(周转筐出入库明细!$P$4:$P$2004,$Z271-2000)),IF($Z271&lt;=5200,"",IF($Z271&lt;=5800,N(INDEX(次果筐明细!$L$4:$L$603,$Z271-5200))+N(INDEX(次果筐明细!$J$4:$J$603,$Z271-5200)),"")))))</f>
        <v/>
      </c>
      <c r="L271" s="24" t="str">
        <f>IF($Z271="","",IF($Z271&lt;=2000,IF(INDEX(包装物料出入库明细!$P$4:$P$2003,$Z271-0)=0,"",INDEX(包装物料出入库明细!$P$4:$P$2003,$Z271-0)),IF($Z271&lt;=4000,IF(INDEX(周转筐出入库明细!$Q$4:$Q$2004,$Z271-2000)=0,"",INDEX(周转筐出入库明细!$Q$4:$Q$2004,$Z271-2000)),IF($Z271&lt;=5200,"",IF($Z271&lt;=5800,IF(INDEX(次果筐明细!$M$4:$M$603,$Z271-5200)=0,"",INDEX(次果筐明细!$M$4:$M$603,$Z271-5200)),"")))))</f>
        <v/>
      </c>
      <c r="M271" s="37" t="str">
        <f>IF($Z271="","",IF($Z271&lt;=2000,IF(INDEX(包装物料出入库明细!$R$4:$R$2003,$Z271-0)=0,"",INDEX(包装物料出入库明细!$R$4:$R$2003,$Z271-0)),IF($Z271&lt;=4000,IF(INDEX(周转筐出入库明细!$W$4:$W$2004,$Z271-2000)=0,"",INDEX(周转筐出入库明细!$W$4:$W$2004,$Z271-2000)),IF($Z271&lt;=5200,IF(INDEX(客户自备加工筐明细!$L$4:$L$1203,$Z271-4000)=0,"",INDEX(客户自备加工筐明细!$L$4:$L$1203,$Z271-4000)),IF($Z271&lt;=5800,IF(INDEX(次果筐明细!$P$4:$P$603,$Z271-5200)=0,"",INDEX(次果筐明细!$P$4:$P$603,$Z271-5200)),"")))))</f>
        <v/>
      </c>
      <c r="N271" s="16" t="str">
        <f>IF($Z271="","",IF($Z271&lt;=2000,"",IF($Z271&lt;=4000,IF(INDEX(周转筐出入库明细!$D$4:$D$2004,$Z271-2000)=0,"",INDEX(周转筐出入库明细!$D$4:$D$2004,$Z271-2000)),IF($Z271&lt;=5200,IF(INDEX(客户自备加工筐明细!$C$4:$C$1203,$Z271-4000)=0,"",INDEX(客户自备加工筐明细!$C$4:$C$1203,$Z271-4000)),IF($Z271&lt;=5800,IF(INDEX(次果筐明细!$D$4:$D$603,$Z271-5200)=0,"",INDEX(次果筐明细!$D$4:$D$603,$Z271-5200)),"")))))</f>
        <v/>
      </c>
      <c r="O271" s="40" t="str">
        <f>IF($Z271="","",IF($Z271&lt;=2000,"",IF($Z271&lt;=4000,IF(N(INDEX(周转筐出入库明细!$J$4:$J$2004,$Z271-2000))+N(INDEX(周转筐出入库明细!$K$4:$K$2004,$Z271-2000))=0,"",N(INDEX(周转筐出入库明细!$J$4:$J$2004,$Z271-2000))+N(INDEX(周转筐出入库明细!$K$4:$K$2004,$Z271-2000))),IF($Z271&lt;=5200,IF(N(INDEX(客户自备加工筐明细!$G$4:$G$1203,$Z271-4000))=0,"",N(INDEX(客户自备加工筐明细!$G$4:$G$1203,$Z271-4000))),IF($Z271&lt;=5800,IF(ISNUMBER(SEARCH("退",INDEX(次果筐明细!$F$4:$F$603,$Z271-5200)&amp;"")),"",IF(N(INDEX(次果筐明细!$G$4:$G$603,$Z271-5200))=0,"",N(INDEX(次果筐明细!$G$4:$G$603,$Z271-5200)))),"")))))</f>
        <v/>
      </c>
      <c r="P271" s="40" t="str">
        <f>IF($Z271="","",IF($Z271&lt;=2000,"",IF($Z271&lt;=4000,IF(N(INDEX(周转筐出入库明细!$I$4:$I$2004,$Z271-2000))=0,"",N(INDEX(周转筐出入库明细!$I$4:$I$2004,$Z271-2000))),IF($Z271&lt;=5200,"",IF($Z271&lt;=5800,IF(ISNUMBER(SEARCH("退",INDEX(次果筐明细!$F$4:$F$603,$Z271-5200)&amp;"")),IF(N(INDEX(次果筐明细!$G$4:$G$603,$Z271-5200))=0,"",N(INDEX(次果筐明细!$G$4:$G$603,$Z271-5200))),""),"")))))</f>
        <v/>
      </c>
      <c r="Q271" s="40" t="str">
        <f>IF($Z271="","",IF($Z271&lt;=2000,"",IF($Z271&lt;=4000,IF(N(INDEX(周转筐出入库明细!$H$4:$H$2004,$Z271-2000))=0,"",N(INDEX(周转筐出入库明细!$H$4:$H$2004,$Z271-2000))),IF($Z271&lt;=5200,IF(N(INDEX(客户自备加工筐明细!$F$4:$F$1203,$Z271-4000))=0,"",N(INDEX(客户自备加工筐明细!$F$4:$F$1203,$Z271-4000))),IF($Z271&lt;=5800,"","")))))</f>
        <v/>
      </c>
      <c r="R271" s="16" t="str">
        <f>IF($Z271="","",IF($Z271&lt;=2000,IF(INDEX(包装物料出入库明细!$O$4:$O$2003,$Z271-0)=0,"",INDEX(包装物料出入库明细!$O$4:$O$2003,$Z271-0)),IF($Z271&lt;=4000,IF(INDEX(周转筐出入库明细!$M$4:$M$2004,$Z271-2000)=0,"",INDEX(周转筐出入库明细!$M$4:$M$2004,$Z271-2000)),IF($Z271&lt;=5200,IF(INDEX(客户自备加工筐明细!$H$4:$H$1203,$Z271-4000)=0,"",INDEX(客户自备加工筐明细!$H$4:$H$1203,$Z271-4000)),IF($Z271&lt;=5800,IF(INDEX(次果筐明细!$H$4:$H$603,$Z271-5200)=0,"",INDEX(次果筐明细!$H$4:$H$603,$Z271-5200)),"")))))</f>
        <v/>
      </c>
      <c r="S271" s="22" t="str">
        <f t="shared" si="14"/>
        <v/>
      </c>
      <c r="Z271" s="10" t="str">
        <f>IFERROR(MATCH(ROW()-3,_自动清单!$CQ$4:$CQ$5803,0),"")</f>
        <v/>
      </c>
    </row>
    <row r="272" spans="1:26">
      <c r="A272" s="24" t="str">
        <f t="shared" si="12"/>
        <v/>
      </c>
      <c r="B272" s="38" t="str">
        <f>IF($Z272="","",IF($Z272&lt;=2000,IF(INDEX(包装物料出入库明细!$B$4:$B$2003,$Z272-0)=0,"",INDEX(包装物料出入库明细!$B$4:$B$2003,$Z272-0)),IF($Z272&lt;=4000,IF(INDEX(周转筐出入库明细!$B$4:$B$2004,$Z272-2000)=0,"",INDEX(周转筐出入库明细!$B$4:$B$2004,$Z272-2000)),IF($Z272&lt;=5200,IF(INDEX(客户自备加工筐明细!$B$4:$B$1203,$Z272-4000)=0,"",INDEX(客户自备加工筐明细!$B$4:$B$1203,$Z272-4000)),IF($Z272&lt;=5800,IF(INDEX(次果筐明细!$B$4:$B$603,$Z272-5200)=0,"",INDEX(次果筐明细!$B$4:$B$603,$Z272-5200)),"")))))</f>
        <v/>
      </c>
      <c r="C272" s="37" t="str">
        <f>IF($Z272="","",IF($Z272&lt;=2000,IF(INDEX(包装物料出入库明细!$D$4:$D$2003,$Z272-0)=0,"",INDEX(包装物料出入库明细!$D$4:$D$2003,$Z272-0)),IF($Z272&lt;=4000,IF(INDEX(周转筐出入库明细!$C$4:$C$2004,$Z272-2000)=0,"",INDEX(周转筐出入库明细!$C$4:$C$2004,$Z272-2000)),IF($Z272&lt;=5200,IF(INDEX(客户自备加工筐明细!$E$4:$E$1203,$Z272-4000)=0,"",INDEX(客户自备加工筐明细!$E$4:$E$1203,$Z272-4000)),IF($Z272&lt;=5800,IF(INDEX(次果筐明细!$C$4:$C$603,$Z272-5200)=0,"",INDEX(次果筐明细!$C$4:$C$603,$Z272-5200)),"")))))</f>
        <v/>
      </c>
      <c r="D272" s="37" t="str">
        <f>IF($Z272="","",IF($Z272&lt;=2000,"包装物料－"&amp;INDEX(包装物料出入库明细!$H$4:$H$2003,$Z272-0),IF($Z272&lt;=4000,"周转筐－"&amp;INDEX(周转筐出入库明细!$F$4:$F$2004,$Z272-2000),IF($Z272&lt;=5200,"客户自备筐－"&amp;INDEX(客户自备加工筐明细!$J$4:$J$1203,$Z272-4000),IF($Z272&lt;=5800,"次果筐/托盘－"&amp;INDEX(次果筐明细!$F$4:$F$603,$Z272-5200),"")))))</f>
        <v/>
      </c>
      <c r="E272" s="24" t="str">
        <f>IF($Z272="","",IF($Z272&lt;=2000,IF(INDEX(包装物料出入库明细!$C$4:$C$2003,$Z272-0)=0,"",INDEX(包装物料出入库明细!$C$4:$C$2003,$Z272-0)),IF($Z272&lt;=4000,IF(INDEX(周转筐出入库明细!$E$4:$E$2004,$Z272-2000)=0,"",INDEX(周转筐出入库明细!$E$4:$E$2004,$Z272-2000)),IF($Z272&lt;=5200,IF(INDEX(客户自备加工筐明细!$D$4:$D$1203,$Z272-4000)=0,"",INDEX(客户自备加工筐明细!$D$4:$D$1203,$Z272-4000)),IF($Z272&lt;=5800,IF(INDEX(次果筐明细!$E$4:$E$603,$Z272-5200)=0,"",INDEX(次果筐明细!$E$4:$E$603,$Z272-5200)),"")))))</f>
        <v/>
      </c>
      <c r="F272" s="24" t="str">
        <f>IF($Z272="","",IF($Z272&lt;=2000,IF(INDEX(包装物料出入库明细!$E$4:$E$2003,$Z272-0)=0,"",INDEX(包装物料出入库明细!$E$4:$E$2003,$Z272-0)),IF($Z272&lt;=4000,IF(INDEX(周转筐出入库明细!$D$4:$D$2004,$Z272-2000)=0,"",INDEX(周转筐出入库明细!$D$4:$D$2004,$Z272-2000)),IF($Z272&lt;=5200,IF(INDEX(客户自备加工筐明细!$C$4:$C$1203,$Z272-4000)=0,"",INDEX(客户自备加工筐明细!$C$4:$C$1203,$Z272-4000)),IF($Z272&lt;=5800,IF(INDEX(次果筐明细!$D$4:$D$603,$Z272-5200)=0,"",INDEX(次果筐明细!$D$4:$D$603,$Z272-5200)),"")))))</f>
        <v/>
      </c>
      <c r="G272" s="24" t="str">
        <f>IF($Z272="","",IF($Z272&lt;=2000,IF(INDEX(包装物料出入库明细!$F$4:$F$2003,$Z272-0)=0,"",INDEX(包装物料出入库明细!$F$4:$F$2003,$Z272-0)),IF($Z272&lt;=4000,"",IF($Z272&lt;=5200,"",IF($Z272&lt;=5800,"","")))))</f>
        <v/>
      </c>
      <c r="H272" s="39" t="str">
        <f>IF($Z272="","",IF($Z272&lt;=2000,IF(INDEX(包装物料出入库明细!$L$4:$L$2003,$Z272-0)=0,"",INDEX(包装物料出入库明细!$L$4:$L$2003,$Z272-0)),IF($Z272&lt;=4000,N(INDEX(周转筐出入库明细!$H$4:$H$2004,$Z272-2000))+N(INDEX(周转筐出入库明细!$I$4:$I$2004,$Z272-2000))+N(INDEX(周转筐出入库明细!$J$4:$J$2004,$Z272-2000))+N(INDEX(周转筐出入库明细!$K$4:$K$2004,$Z272-2000)),IF($Z272&lt;=5200,N(INDEX(客户自备加工筐明细!$F$4:$F$1203,$Z272-4000))+N(INDEX(客户自备加工筐明细!$G$4:$G$1203,$Z272-4000)),IF($Z272&lt;=5800,IF(INDEX(次果筐明细!$G$4:$G$603,$Z272-5200)=0,"",INDEX(次果筐明细!$G$4:$G$603,$Z272-5200)),"")))))</f>
        <v/>
      </c>
      <c r="I272" s="24" t="str">
        <f>IF($Z272="","",IF($Z272&lt;=2000,IF(INDEX(包装物料出入库明细!$G$4:$G$2003,$Z272-0)=0,"",INDEX(包装物料出入库明细!$G$4:$G$2003,$Z272-0)),IF($Z272&lt;=4000,"个",IF($Z272&lt;=5200,"个",IF($Z272&lt;=5800,"个","")))))</f>
        <v/>
      </c>
      <c r="J272" s="30" t="str">
        <f t="shared" si="13"/>
        <v/>
      </c>
      <c r="K272" s="30" t="str">
        <f>IF($Z272="","",IF($Z272&lt;=2000,IF(INDEX(包装物料出入库明细!$N$4:$N$2003,$Z272-0)=0,"",INDEX(包装物料出入库明细!$N$4:$N$2003,$Z272-0)),IF($Z272&lt;=4000,IF(INDEX(周转筐出入库明细!$P$4:$P$2004,$Z272-2000)=0,"",INDEX(周转筐出入库明细!$P$4:$P$2004,$Z272-2000)),IF($Z272&lt;=5200,"",IF($Z272&lt;=5800,N(INDEX(次果筐明细!$L$4:$L$603,$Z272-5200))+N(INDEX(次果筐明细!$J$4:$J$603,$Z272-5200)),"")))))</f>
        <v/>
      </c>
      <c r="L272" s="24" t="str">
        <f>IF($Z272="","",IF($Z272&lt;=2000,IF(INDEX(包装物料出入库明细!$P$4:$P$2003,$Z272-0)=0,"",INDEX(包装物料出入库明细!$P$4:$P$2003,$Z272-0)),IF($Z272&lt;=4000,IF(INDEX(周转筐出入库明细!$Q$4:$Q$2004,$Z272-2000)=0,"",INDEX(周转筐出入库明细!$Q$4:$Q$2004,$Z272-2000)),IF($Z272&lt;=5200,"",IF($Z272&lt;=5800,IF(INDEX(次果筐明细!$M$4:$M$603,$Z272-5200)=0,"",INDEX(次果筐明细!$M$4:$M$603,$Z272-5200)),"")))))</f>
        <v/>
      </c>
      <c r="M272" s="37" t="str">
        <f>IF($Z272="","",IF($Z272&lt;=2000,IF(INDEX(包装物料出入库明细!$R$4:$R$2003,$Z272-0)=0,"",INDEX(包装物料出入库明细!$R$4:$R$2003,$Z272-0)),IF($Z272&lt;=4000,IF(INDEX(周转筐出入库明细!$W$4:$W$2004,$Z272-2000)=0,"",INDEX(周转筐出入库明细!$W$4:$W$2004,$Z272-2000)),IF($Z272&lt;=5200,IF(INDEX(客户自备加工筐明细!$L$4:$L$1203,$Z272-4000)=0,"",INDEX(客户自备加工筐明细!$L$4:$L$1203,$Z272-4000)),IF($Z272&lt;=5800,IF(INDEX(次果筐明细!$P$4:$P$603,$Z272-5200)=0,"",INDEX(次果筐明细!$P$4:$P$603,$Z272-5200)),"")))))</f>
        <v/>
      </c>
      <c r="N272" s="16" t="str">
        <f>IF($Z272="","",IF($Z272&lt;=2000,"",IF($Z272&lt;=4000,IF(INDEX(周转筐出入库明细!$D$4:$D$2004,$Z272-2000)=0,"",INDEX(周转筐出入库明细!$D$4:$D$2004,$Z272-2000)),IF($Z272&lt;=5200,IF(INDEX(客户自备加工筐明细!$C$4:$C$1203,$Z272-4000)=0,"",INDEX(客户自备加工筐明细!$C$4:$C$1203,$Z272-4000)),IF($Z272&lt;=5800,IF(INDEX(次果筐明细!$D$4:$D$603,$Z272-5200)=0,"",INDEX(次果筐明细!$D$4:$D$603,$Z272-5200)),"")))))</f>
        <v/>
      </c>
      <c r="O272" s="40" t="str">
        <f>IF($Z272="","",IF($Z272&lt;=2000,"",IF($Z272&lt;=4000,IF(N(INDEX(周转筐出入库明细!$J$4:$J$2004,$Z272-2000))+N(INDEX(周转筐出入库明细!$K$4:$K$2004,$Z272-2000))=0,"",N(INDEX(周转筐出入库明细!$J$4:$J$2004,$Z272-2000))+N(INDEX(周转筐出入库明细!$K$4:$K$2004,$Z272-2000))),IF($Z272&lt;=5200,IF(N(INDEX(客户自备加工筐明细!$G$4:$G$1203,$Z272-4000))=0,"",N(INDEX(客户自备加工筐明细!$G$4:$G$1203,$Z272-4000))),IF($Z272&lt;=5800,IF(ISNUMBER(SEARCH("退",INDEX(次果筐明细!$F$4:$F$603,$Z272-5200)&amp;"")),"",IF(N(INDEX(次果筐明细!$G$4:$G$603,$Z272-5200))=0,"",N(INDEX(次果筐明细!$G$4:$G$603,$Z272-5200)))),"")))))</f>
        <v/>
      </c>
      <c r="P272" s="40" t="str">
        <f>IF($Z272="","",IF($Z272&lt;=2000,"",IF($Z272&lt;=4000,IF(N(INDEX(周转筐出入库明细!$I$4:$I$2004,$Z272-2000))=0,"",N(INDEX(周转筐出入库明细!$I$4:$I$2004,$Z272-2000))),IF($Z272&lt;=5200,"",IF($Z272&lt;=5800,IF(ISNUMBER(SEARCH("退",INDEX(次果筐明细!$F$4:$F$603,$Z272-5200)&amp;"")),IF(N(INDEX(次果筐明细!$G$4:$G$603,$Z272-5200))=0,"",N(INDEX(次果筐明细!$G$4:$G$603,$Z272-5200))),""),"")))))</f>
        <v/>
      </c>
      <c r="Q272" s="40" t="str">
        <f>IF($Z272="","",IF($Z272&lt;=2000,"",IF($Z272&lt;=4000,IF(N(INDEX(周转筐出入库明细!$H$4:$H$2004,$Z272-2000))=0,"",N(INDEX(周转筐出入库明细!$H$4:$H$2004,$Z272-2000))),IF($Z272&lt;=5200,IF(N(INDEX(客户自备加工筐明细!$F$4:$F$1203,$Z272-4000))=0,"",N(INDEX(客户自备加工筐明细!$F$4:$F$1203,$Z272-4000))),IF($Z272&lt;=5800,"","")))))</f>
        <v/>
      </c>
      <c r="R272" s="16" t="str">
        <f>IF($Z272="","",IF($Z272&lt;=2000,IF(INDEX(包装物料出入库明细!$O$4:$O$2003,$Z272-0)=0,"",INDEX(包装物料出入库明细!$O$4:$O$2003,$Z272-0)),IF($Z272&lt;=4000,IF(INDEX(周转筐出入库明细!$M$4:$M$2004,$Z272-2000)=0,"",INDEX(周转筐出入库明细!$M$4:$M$2004,$Z272-2000)),IF($Z272&lt;=5200,IF(INDEX(客户自备加工筐明细!$H$4:$H$1203,$Z272-4000)=0,"",INDEX(客户自备加工筐明细!$H$4:$H$1203,$Z272-4000)),IF($Z272&lt;=5800,IF(INDEX(次果筐明细!$H$4:$H$603,$Z272-5200)=0,"",INDEX(次果筐明细!$H$4:$H$603,$Z272-5200)),"")))))</f>
        <v/>
      </c>
      <c r="S272" s="22" t="str">
        <f t="shared" si="14"/>
        <v/>
      </c>
      <c r="Z272" s="10" t="str">
        <f>IFERROR(MATCH(ROW()-3,_自动清单!$CQ$4:$CQ$5803,0),"")</f>
        <v/>
      </c>
    </row>
    <row r="273" spans="1:26">
      <c r="A273" s="24" t="str">
        <f t="shared" si="12"/>
        <v/>
      </c>
      <c r="B273" s="38" t="str">
        <f>IF($Z273="","",IF($Z273&lt;=2000,IF(INDEX(包装物料出入库明细!$B$4:$B$2003,$Z273-0)=0,"",INDEX(包装物料出入库明细!$B$4:$B$2003,$Z273-0)),IF($Z273&lt;=4000,IF(INDEX(周转筐出入库明细!$B$4:$B$2004,$Z273-2000)=0,"",INDEX(周转筐出入库明细!$B$4:$B$2004,$Z273-2000)),IF($Z273&lt;=5200,IF(INDEX(客户自备加工筐明细!$B$4:$B$1203,$Z273-4000)=0,"",INDEX(客户自备加工筐明细!$B$4:$B$1203,$Z273-4000)),IF($Z273&lt;=5800,IF(INDEX(次果筐明细!$B$4:$B$603,$Z273-5200)=0,"",INDEX(次果筐明细!$B$4:$B$603,$Z273-5200)),"")))))</f>
        <v/>
      </c>
      <c r="C273" s="37" t="str">
        <f>IF($Z273="","",IF($Z273&lt;=2000,IF(INDEX(包装物料出入库明细!$D$4:$D$2003,$Z273-0)=0,"",INDEX(包装物料出入库明细!$D$4:$D$2003,$Z273-0)),IF($Z273&lt;=4000,IF(INDEX(周转筐出入库明细!$C$4:$C$2004,$Z273-2000)=0,"",INDEX(周转筐出入库明细!$C$4:$C$2004,$Z273-2000)),IF($Z273&lt;=5200,IF(INDEX(客户自备加工筐明细!$E$4:$E$1203,$Z273-4000)=0,"",INDEX(客户自备加工筐明细!$E$4:$E$1203,$Z273-4000)),IF($Z273&lt;=5800,IF(INDEX(次果筐明细!$C$4:$C$603,$Z273-5200)=0,"",INDEX(次果筐明细!$C$4:$C$603,$Z273-5200)),"")))))</f>
        <v/>
      </c>
      <c r="D273" s="37" t="str">
        <f>IF($Z273="","",IF($Z273&lt;=2000,"包装物料－"&amp;INDEX(包装物料出入库明细!$H$4:$H$2003,$Z273-0),IF($Z273&lt;=4000,"周转筐－"&amp;INDEX(周转筐出入库明细!$F$4:$F$2004,$Z273-2000),IF($Z273&lt;=5200,"客户自备筐－"&amp;INDEX(客户自备加工筐明细!$J$4:$J$1203,$Z273-4000),IF($Z273&lt;=5800,"次果筐/托盘－"&amp;INDEX(次果筐明细!$F$4:$F$603,$Z273-5200),"")))))</f>
        <v/>
      </c>
      <c r="E273" s="24" t="str">
        <f>IF($Z273="","",IF($Z273&lt;=2000,IF(INDEX(包装物料出入库明细!$C$4:$C$2003,$Z273-0)=0,"",INDEX(包装物料出入库明细!$C$4:$C$2003,$Z273-0)),IF($Z273&lt;=4000,IF(INDEX(周转筐出入库明细!$E$4:$E$2004,$Z273-2000)=0,"",INDEX(周转筐出入库明细!$E$4:$E$2004,$Z273-2000)),IF($Z273&lt;=5200,IF(INDEX(客户自备加工筐明细!$D$4:$D$1203,$Z273-4000)=0,"",INDEX(客户自备加工筐明细!$D$4:$D$1203,$Z273-4000)),IF($Z273&lt;=5800,IF(INDEX(次果筐明细!$E$4:$E$603,$Z273-5200)=0,"",INDEX(次果筐明细!$E$4:$E$603,$Z273-5200)),"")))))</f>
        <v/>
      </c>
      <c r="F273" s="24" t="str">
        <f>IF($Z273="","",IF($Z273&lt;=2000,IF(INDEX(包装物料出入库明细!$E$4:$E$2003,$Z273-0)=0,"",INDEX(包装物料出入库明细!$E$4:$E$2003,$Z273-0)),IF($Z273&lt;=4000,IF(INDEX(周转筐出入库明细!$D$4:$D$2004,$Z273-2000)=0,"",INDEX(周转筐出入库明细!$D$4:$D$2004,$Z273-2000)),IF($Z273&lt;=5200,IF(INDEX(客户自备加工筐明细!$C$4:$C$1203,$Z273-4000)=0,"",INDEX(客户自备加工筐明细!$C$4:$C$1203,$Z273-4000)),IF($Z273&lt;=5800,IF(INDEX(次果筐明细!$D$4:$D$603,$Z273-5200)=0,"",INDEX(次果筐明细!$D$4:$D$603,$Z273-5200)),"")))))</f>
        <v/>
      </c>
      <c r="G273" s="24" t="str">
        <f>IF($Z273="","",IF($Z273&lt;=2000,IF(INDEX(包装物料出入库明细!$F$4:$F$2003,$Z273-0)=0,"",INDEX(包装物料出入库明细!$F$4:$F$2003,$Z273-0)),IF($Z273&lt;=4000,"",IF($Z273&lt;=5200,"",IF($Z273&lt;=5800,"","")))))</f>
        <v/>
      </c>
      <c r="H273" s="39" t="str">
        <f>IF($Z273="","",IF($Z273&lt;=2000,IF(INDEX(包装物料出入库明细!$L$4:$L$2003,$Z273-0)=0,"",INDEX(包装物料出入库明细!$L$4:$L$2003,$Z273-0)),IF($Z273&lt;=4000,N(INDEX(周转筐出入库明细!$H$4:$H$2004,$Z273-2000))+N(INDEX(周转筐出入库明细!$I$4:$I$2004,$Z273-2000))+N(INDEX(周转筐出入库明细!$J$4:$J$2004,$Z273-2000))+N(INDEX(周转筐出入库明细!$K$4:$K$2004,$Z273-2000)),IF($Z273&lt;=5200,N(INDEX(客户自备加工筐明细!$F$4:$F$1203,$Z273-4000))+N(INDEX(客户自备加工筐明细!$G$4:$G$1203,$Z273-4000)),IF($Z273&lt;=5800,IF(INDEX(次果筐明细!$G$4:$G$603,$Z273-5200)=0,"",INDEX(次果筐明细!$G$4:$G$603,$Z273-5200)),"")))))</f>
        <v/>
      </c>
      <c r="I273" s="24" t="str">
        <f>IF($Z273="","",IF($Z273&lt;=2000,IF(INDEX(包装物料出入库明细!$G$4:$G$2003,$Z273-0)=0,"",INDEX(包装物料出入库明细!$G$4:$G$2003,$Z273-0)),IF($Z273&lt;=4000,"个",IF($Z273&lt;=5200,"个",IF($Z273&lt;=5800,"个","")))))</f>
        <v/>
      </c>
      <c r="J273" s="30" t="str">
        <f t="shared" si="13"/>
        <v/>
      </c>
      <c r="K273" s="30" t="str">
        <f>IF($Z273="","",IF($Z273&lt;=2000,IF(INDEX(包装物料出入库明细!$N$4:$N$2003,$Z273-0)=0,"",INDEX(包装物料出入库明细!$N$4:$N$2003,$Z273-0)),IF($Z273&lt;=4000,IF(INDEX(周转筐出入库明细!$P$4:$P$2004,$Z273-2000)=0,"",INDEX(周转筐出入库明细!$P$4:$P$2004,$Z273-2000)),IF($Z273&lt;=5200,"",IF($Z273&lt;=5800,N(INDEX(次果筐明细!$L$4:$L$603,$Z273-5200))+N(INDEX(次果筐明细!$J$4:$J$603,$Z273-5200)),"")))))</f>
        <v/>
      </c>
      <c r="L273" s="24" t="str">
        <f>IF($Z273="","",IF($Z273&lt;=2000,IF(INDEX(包装物料出入库明细!$P$4:$P$2003,$Z273-0)=0,"",INDEX(包装物料出入库明细!$P$4:$P$2003,$Z273-0)),IF($Z273&lt;=4000,IF(INDEX(周转筐出入库明细!$Q$4:$Q$2004,$Z273-2000)=0,"",INDEX(周转筐出入库明细!$Q$4:$Q$2004,$Z273-2000)),IF($Z273&lt;=5200,"",IF($Z273&lt;=5800,IF(INDEX(次果筐明细!$M$4:$M$603,$Z273-5200)=0,"",INDEX(次果筐明细!$M$4:$M$603,$Z273-5200)),"")))))</f>
        <v/>
      </c>
      <c r="M273" s="37" t="str">
        <f>IF($Z273="","",IF($Z273&lt;=2000,IF(INDEX(包装物料出入库明细!$R$4:$R$2003,$Z273-0)=0,"",INDEX(包装物料出入库明细!$R$4:$R$2003,$Z273-0)),IF($Z273&lt;=4000,IF(INDEX(周转筐出入库明细!$W$4:$W$2004,$Z273-2000)=0,"",INDEX(周转筐出入库明细!$W$4:$W$2004,$Z273-2000)),IF($Z273&lt;=5200,IF(INDEX(客户自备加工筐明细!$L$4:$L$1203,$Z273-4000)=0,"",INDEX(客户自备加工筐明细!$L$4:$L$1203,$Z273-4000)),IF($Z273&lt;=5800,IF(INDEX(次果筐明细!$P$4:$P$603,$Z273-5200)=0,"",INDEX(次果筐明细!$P$4:$P$603,$Z273-5200)),"")))))</f>
        <v/>
      </c>
      <c r="N273" s="16" t="str">
        <f>IF($Z273="","",IF($Z273&lt;=2000,"",IF($Z273&lt;=4000,IF(INDEX(周转筐出入库明细!$D$4:$D$2004,$Z273-2000)=0,"",INDEX(周转筐出入库明细!$D$4:$D$2004,$Z273-2000)),IF($Z273&lt;=5200,IF(INDEX(客户自备加工筐明细!$C$4:$C$1203,$Z273-4000)=0,"",INDEX(客户自备加工筐明细!$C$4:$C$1203,$Z273-4000)),IF($Z273&lt;=5800,IF(INDEX(次果筐明细!$D$4:$D$603,$Z273-5200)=0,"",INDEX(次果筐明细!$D$4:$D$603,$Z273-5200)),"")))))</f>
        <v/>
      </c>
      <c r="O273" s="40" t="str">
        <f>IF($Z273="","",IF($Z273&lt;=2000,"",IF($Z273&lt;=4000,IF(N(INDEX(周转筐出入库明细!$J$4:$J$2004,$Z273-2000))+N(INDEX(周转筐出入库明细!$K$4:$K$2004,$Z273-2000))=0,"",N(INDEX(周转筐出入库明细!$J$4:$J$2004,$Z273-2000))+N(INDEX(周转筐出入库明细!$K$4:$K$2004,$Z273-2000))),IF($Z273&lt;=5200,IF(N(INDEX(客户自备加工筐明细!$G$4:$G$1203,$Z273-4000))=0,"",N(INDEX(客户自备加工筐明细!$G$4:$G$1203,$Z273-4000))),IF($Z273&lt;=5800,IF(ISNUMBER(SEARCH("退",INDEX(次果筐明细!$F$4:$F$603,$Z273-5200)&amp;"")),"",IF(N(INDEX(次果筐明细!$G$4:$G$603,$Z273-5200))=0,"",N(INDEX(次果筐明细!$G$4:$G$603,$Z273-5200)))),"")))))</f>
        <v/>
      </c>
      <c r="P273" s="40" t="str">
        <f>IF($Z273="","",IF($Z273&lt;=2000,"",IF($Z273&lt;=4000,IF(N(INDEX(周转筐出入库明细!$I$4:$I$2004,$Z273-2000))=0,"",N(INDEX(周转筐出入库明细!$I$4:$I$2004,$Z273-2000))),IF($Z273&lt;=5200,"",IF($Z273&lt;=5800,IF(ISNUMBER(SEARCH("退",INDEX(次果筐明细!$F$4:$F$603,$Z273-5200)&amp;"")),IF(N(INDEX(次果筐明细!$G$4:$G$603,$Z273-5200))=0,"",N(INDEX(次果筐明细!$G$4:$G$603,$Z273-5200))),""),"")))))</f>
        <v/>
      </c>
      <c r="Q273" s="40" t="str">
        <f>IF($Z273="","",IF($Z273&lt;=2000,"",IF($Z273&lt;=4000,IF(N(INDEX(周转筐出入库明细!$H$4:$H$2004,$Z273-2000))=0,"",N(INDEX(周转筐出入库明细!$H$4:$H$2004,$Z273-2000))),IF($Z273&lt;=5200,IF(N(INDEX(客户自备加工筐明细!$F$4:$F$1203,$Z273-4000))=0,"",N(INDEX(客户自备加工筐明细!$F$4:$F$1203,$Z273-4000))),IF($Z273&lt;=5800,"","")))))</f>
        <v/>
      </c>
      <c r="R273" s="16" t="str">
        <f>IF($Z273="","",IF($Z273&lt;=2000,IF(INDEX(包装物料出入库明细!$O$4:$O$2003,$Z273-0)=0,"",INDEX(包装物料出入库明细!$O$4:$O$2003,$Z273-0)),IF($Z273&lt;=4000,IF(INDEX(周转筐出入库明细!$M$4:$M$2004,$Z273-2000)=0,"",INDEX(周转筐出入库明细!$M$4:$M$2004,$Z273-2000)),IF($Z273&lt;=5200,IF(INDEX(客户自备加工筐明细!$H$4:$H$1203,$Z273-4000)=0,"",INDEX(客户自备加工筐明细!$H$4:$H$1203,$Z273-4000)),IF($Z273&lt;=5800,IF(INDEX(次果筐明细!$H$4:$H$603,$Z273-5200)=0,"",INDEX(次果筐明细!$H$4:$H$603,$Z273-5200)),"")))))</f>
        <v/>
      </c>
      <c r="S273" s="22" t="str">
        <f t="shared" si="14"/>
        <v/>
      </c>
      <c r="Z273" s="10" t="str">
        <f>IFERROR(MATCH(ROW()-3,_自动清单!$CQ$4:$CQ$5803,0),"")</f>
        <v/>
      </c>
    </row>
    <row r="274" spans="1:26">
      <c r="A274" s="24" t="str">
        <f t="shared" si="12"/>
        <v/>
      </c>
      <c r="B274" s="38" t="str">
        <f>IF($Z274="","",IF($Z274&lt;=2000,IF(INDEX(包装物料出入库明细!$B$4:$B$2003,$Z274-0)=0,"",INDEX(包装物料出入库明细!$B$4:$B$2003,$Z274-0)),IF($Z274&lt;=4000,IF(INDEX(周转筐出入库明细!$B$4:$B$2004,$Z274-2000)=0,"",INDEX(周转筐出入库明细!$B$4:$B$2004,$Z274-2000)),IF($Z274&lt;=5200,IF(INDEX(客户自备加工筐明细!$B$4:$B$1203,$Z274-4000)=0,"",INDEX(客户自备加工筐明细!$B$4:$B$1203,$Z274-4000)),IF($Z274&lt;=5800,IF(INDEX(次果筐明细!$B$4:$B$603,$Z274-5200)=0,"",INDEX(次果筐明细!$B$4:$B$603,$Z274-5200)),"")))))</f>
        <v/>
      </c>
      <c r="C274" s="37" t="str">
        <f>IF($Z274="","",IF($Z274&lt;=2000,IF(INDEX(包装物料出入库明细!$D$4:$D$2003,$Z274-0)=0,"",INDEX(包装物料出入库明细!$D$4:$D$2003,$Z274-0)),IF($Z274&lt;=4000,IF(INDEX(周转筐出入库明细!$C$4:$C$2004,$Z274-2000)=0,"",INDEX(周转筐出入库明细!$C$4:$C$2004,$Z274-2000)),IF($Z274&lt;=5200,IF(INDEX(客户自备加工筐明细!$E$4:$E$1203,$Z274-4000)=0,"",INDEX(客户自备加工筐明细!$E$4:$E$1203,$Z274-4000)),IF($Z274&lt;=5800,IF(INDEX(次果筐明细!$C$4:$C$603,$Z274-5200)=0,"",INDEX(次果筐明细!$C$4:$C$603,$Z274-5200)),"")))))</f>
        <v/>
      </c>
      <c r="D274" s="37" t="str">
        <f>IF($Z274="","",IF($Z274&lt;=2000,"包装物料－"&amp;INDEX(包装物料出入库明细!$H$4:$H$2003,$Z274-0),IF($Z274&lt;=4000,"周转筐－"&amp;INDEX(周转筐出入库明细!$F$4:$F$2004,$Z274-2000),IF($Z274&lt;=5200,"客户自备筐－"&amp;INDEX(客户自备加工筐明细!$J$4:$J$1203,$Z274-4000),IF($Z274&lt;=5800,"次果筐/托盘－"&amp;INDEX(次果筐明细!$F$4:$F$603,$Z274-5200),"")))))</f>
        <v/>
      </c>
      <c r="E274" s="24" t="str">
        <f>IF($Z274="","",IF($Z274&lt;=2000,IF(INDEX(包装物料出入库明细!$C$4:$C$2003,$Z274-0)=0,"",INDEX(包装物料出入库明细!$C$4:$C$2003,$Z274-0)),IF($Z274&lt;=4000,IF(INDEX(周转筐出入库明细!$E$4:$E$2004,$Z274-2000)=0,"",INDEX(周转筐出入库明细!$E$4:$E$2004,$Z274-2000)),IF($Z274&lt;=5200,IF(INDEX(客户自备加工筐明细!$D$4:$D$1203,$Z274-4000)=0,"",INDEX(客户自备加工筐明细!$D$4:$D$1203,$Z274-4000)),IF($Z274&lt;=5800,IF(INDEX(次果筐明细!$E$4:$E$603,$Z274-5200)=0,"",INDEX(次果筐明细!$E$4:$E$603,$Z274-5200)),"")))))</f>
        <v/>
      </c>
      <c r="F274" s="24" t="str">
        <f>IF($Z274="","",IF($Z274&lt;=2000,IF(INDEX(包装物料出入库明细!$E$4:$E$2003,$Z274-0)=0,"",INDEX(包装物料出入库明细!$E$4:$E$2003,$Z274-0)),IF($Z274&lt;=4000,IF(INDEX(周转筐出入库明细!$D$4:$D$2004,$Z274-2000)=0,"",INDEX(周转筐出入库明细!$D$4:$D$2004,$Z274-2000)),IF($Z274&lt;=5200,IF(INDEX(客户自备加工筐明细!$C$4:$C$1203,$Z274-4000)=0,"",INDEX(客户自备加工筐明细!$C$4:$C$1203,$Z274-4000)),IF($Z274&lt;=5800,IF(INDEX(次果筐明细!$D$4:$D$603,$Z274-5200)=0,"",INDEX(次果筐明细!$D$4:$D$603,$Z274-5200)),"")))))</f>
        <v/>
      </c>
      <c r="G274" s="24" t="str">
        <f>IF($Z274="","",IF($Z274&lt;=2000,IF(INDEX(包装物料出入库明细!$F$4:$F$2003,$Z274-0)=0,"",INDEX(包装物料出入库明细!$F$4:$F$2003,$Z274-0)),IF($Z274&lt;=4000,"",IF($Z274&lt;=5200,"",IF($Z274&lt;=5800,"","")))))</f>
        <v/>
      </c>
      <c r="H274" s="39" t="str">
        <f>IF($Z274="","",IF($Z274&lt;=2000,IF(INDEX(包装物料出入库明细!$L$4:$L$2003,$Z274-0)=0,"",INDEX(包装物料出入库明细!$L$4:$L$2003,$Z274-0)),IF($Z274&lt;=4000,N(INDEX(周转筐出入库明细!$H$4:$H$2004,$Z274-2000))+N(INDEX(周转筐出入库明细!$I$4:$I$2004,$Z274-2000))+N(INDEX(周转筐出入库明细!$J$4:$J$2004,$Z274-2000))+N(INDEX(周转筐出入库明细!$K$4:$K$2004,$Z274-2000)),IF($Z274&lt;=5200,N(INDEX(客户自备加工筐明细!$F$4:$F$1203,$Z274-4000))+N(INDEX(客户自备加工筐明细!$G$4:$G$1203,$Z274-4000)),IF($Z274&lt;=5800,IF(INDEX(次果筐明细!$G$4:$G$603,$Z274-5200)=0,"",INDEX(次果筐明细!$G$4:$G$603,$Z274-5200)),"")))))</f>
        <v/>
      </c>
      <c r="I274" s="24" t="str">
        <f>IF($Z274="","",IF($Z274&lt;=2000,IF(INDEX(包装物料出入库明细!$G$4:$G$2003,$Z274-0)=0,"",INDEX(包装物料出入库明细!$G$4:$G$2003,$Z274-0)),IF($Z274&lt;=4000,"个",IF($Z274&lt;=5200,"个",IF($Z274&lt;=5800,"个","")))))</f>
        <v/>
      </c>
      <c r="J274" s="30" t="str">
        <f t="shared" si="13"/>
        <v/>
      </c>
      <c r="K274" s="30" t="str">
        <f>IF($Z274="","",IF($Z274&lt;=2000,IF(INDEX(包装物料出入库明细!$N$4:$N$2003,$Z274-0)=0,"",INDEX(包装物料出入库明细!$N$4:$N$2003,$Z274-0)),IF($Z274&lt;=4000,IF(INDEX(周转筐出入库明细!$P$4:$P$2004,$Z274-2000)=0,"",INDEX(周转筐出入库明细!$P$4:$P$2004,$Z274-2000)),IF($Z274&lt;=5200,"",IF($Z274&lt;=5800,N(INDEX(次果筐明细!$L$4:$L$603,$Z274-5200))+N(INDEX(次果筐明细!$J$4:$J$603,$Z274-5200)),"")))))</f>
        <v/>
      </c>
      <c r="L274" s="24" t="str">
        <f>IF($Z274="","",IF($Z274&lt;=2000,IF(INDEX(包装物料出入库明细!$P$4:$P$2003,$Z274-0)=0,"",INDEX(包装物料出入库明细!$P$4:$P$2003,$Z274-0)),IF($Z274&lt;=4000,IF(INDEX(周转筐出入库明细!$Q$4:$Q$2004,$Z274-2000)=0,"",INDEX(周转筐出入库明细!$Q$4:$Q$2004,$Z274-2000)),IF($Z274&lt;=5200,"",IF($Z274&lt;=5800,IF(INDEX(次果筐明细!$M$4:$M$603,$Z274-5200)=0,"",INDEX(次果筐明细!$M$4:$M$603,$Z274-5200)),"")))))</f>
        <v/>
      </c>
      <c r="M274" s="37" t="str">
        <f>IF($Z274="","",IF($Z274&lt;=2000,IF(INDEX(包装物料出入库明细!$R$4:$R$2003,$Z274-0)=0,"",INDEX(包装物料出入库明细!$R$4:$R$2003,$Z274-0)),IF($Z274&lt;=4000,IF(INDEX(周转筐出入库明细!$W$4:$W$2004,$Z274-2000)=0,"",INDEX(周转筐出入库明细!$W$4:$W$2004,$Z274-2000)),IF($Z274&lt;=5200,IF(INDEX(客户自备加工筐明细!$L$4:$L$1203,$Z274-4000)=0,"",INDEX(客户自备加工筐明细!$L$4:$L$1203,$Z274-4000)),IF($Z274&lt;=5800,IF(INDEX(次果筐明细!$P$4:$P$603,$Z274-5200)=0,"",INDEX(次果筐明细!$P$4:$P$603,$Z274-5200)),"")))))</f>
        <v/>
      </c>
      <c r="N274" s="16" t="str">
        <f>IF($Z274="","",IF($Z274&lt;=2000,"",IF($Z274&lt;=4000,IF(INDEX(周转筐出入库明细!$D$4:$D$2004,$Z274-2000)=0,"",INDEX(周转筐出入库明细!$D$4:$D$2004,$Z274-2000)),IF($Z274&lt;=5200,IF(INDEX(客户自备加工筐明细!$C$4:$C$1203,$Z274-4000)=0,"",INDEX(客户自备加工筐明细!$C$4:$C$1203,$Z274-4000)),IF($Z274&lt;=5800,IF(INDEX(次果筐明细!$D$4:$D$603,$Z274-5200)=0,"",INDEX(次果筐明细!$D$4:$D$603,$Z274-5200)),"")))))</f>
        <v/>
      </c>
      <c r="O274" s="40" t="str">
        <f>IF($Z274="","",IF($Z274&lt;=2000,"",IF($Z274&lt;=4000,IF(N(INDEX(周转筐出入库明细!$J$4:$J$2004,$Z274-2000))+N(INDEX(周转筐出入库明细!$K$4:$K$2004,$Z274-2000))=0,"",N(INDEX(周转筐出入库明细!$J$4:$J$2004,$Z274-2000))+N(INDEX(周转筐出入库明细!$K$4:$K$2004,$Z274-2000))),IF($Z274&lt;=5200,IF(N(INDEX(客户自备加工筐明细!$G$4:$G$1203,$Z274-4000))=0,"",N(INDEX(客户自备加工筐明细!$G$4:$G$1203,$Z274-4000))),IF($Z274&lt;=5800,IF(ISNUMBER(SEARCH("退",INDEX(次果筐明细!$F$4:$F$603,$Z274-5200)&amp;"")),"",IF(N(INDEX(次果筐明细!$G$4:$G$603,$Z274-5200))=0,"",N(INDEX(次果筐明细!$G$4:$G$603,$Z274-5200)))),"")))))</f>
        <v/>
      </c>
      <c r="P274" s="40" t="str">
        <f>IF($Z274="","",IF($Z274&lt;=2000,"",IF($Z274&lt;=4000,IF(N(INDEX(周转筐出入库明细!$I$4:$I$2004,$Z274-2000))=0,"",N(INDEX(周转筐出入库明细!$I$4:$I$2004,$Z274-2000))),IF($Z274&lt;=5200,"",IF($Z274&lt;=5800,IF(ISNUMBER(SEARCH("退",INDEX(次果筐明细!$F$4:$F$603,$Z274-5200)&amp;"")),IF(N(INDEX(次果筐明细!$G$4:$G$603,$Z274-5200))=0,"",N(INDEX(次果筐明细!$G$4:$G$603,$Z274-5200))),""),"")))))</f>
        <v/>
      </c>
      <c r="Q274" s="40" t="str">
        <f>IF($Z274="","",IF($Z274&lt;=2000,"",IF($Z274&lt;=4000,IF(N(INDEX(周转筐出入库明细!$H$4:$H$2004,$Z274-2000))=0,"",N(INDEX(周转筐出入库明细!$H$4:$H$2004,$Z274-2000))),IF($Z274&lt;=5200,IF(N(INDEX(客户自备加工筐明细!$F$4:$F$1203,$Z274-4000))=0,"",N(INDEX(客户自备加工筐明细!$F$4:$F$1203,$Z274-4000))),IF($Z274&lt;=5800,"","")))))</f>
        <v/>
      </c>
      <c r="R274" s="16" t="str">
        <f>IF($Z274="","",IF($Z274&lt;=2000,IF(INDEX(包装物料出入库明细!$O$4:$O$2003,$Z274-0)=0,"",INDEX(包装物料出入库明细!$O$4:$O$2003,$Z274-0)),IF($Z274&lt;=4000,IF(INDEX(周转筐出入库明细!$M$4:$M$2004,$Z274-2000)=0,"",INDEX(周转筐出入库明细!$M$4:$M$2004,$Z274-2000)),IF($Z274&lt;=5200,IF(INDEX(客户自备加工筐明细!$H$4:$H$1203,$Z274-4000)=0,"",INDEX(客户自备加工筐明细!$H$4:$H$1203,$Z274-4000)),IF($Z274&lt;=5800,IF(INDEX(次果筐明细!$H$4:$H$603,$Z274-5200)=0,"",INDEX(次果筐明细!$H$4:$H$603,$Z274-5200)),"")))))</f>
        <v/>
      </c>
      <c r="S274" s="22" t="str">
        <f t="shared" si="14"/>
        <v/>
      </c>
      <c r="Z274" s="10" t="str">
        <f>IFERROR(MATCH(ROW()-3,_自动清单!$CQ$4:$CQ$5803,0),"")</f>
        <v/>
      </c>
    </row>
    <row r="275" spans="1:26">
      <c r="A275" s="24" t="str">
        <f t="shared" si="12"/>
        <v/>
      </c>
      <c r="B275" s="38" t="str">
        <f>IF($Z275="","",IF($Z275&lt;=2000,IF(INDEX(包装物料出入库明细!$B$4:$B$2003,$Z275-0)=0,"",INDEX(包装物料出入库明细!$B$4:$B$2003,$Z275-0)),IF($Z275&lt;=4000,IF(INDEX(周转筐出入库明细!$B$4:$B$2004,$Z275-2000)=0,"",INDEX(周转筐出入库明细!$B$4:$B$2004,$Z275-2000)),IF($Z275&lt;=5200,IF(INDEX(客户自备加工筐明细!$B$4:$B$1203,$Z275-4000)=0,"",INDEX(客户自备加工筐明细!$B$4:$B$1203,$Z275-4000)),IF($Z275&lt;=5800,IF(INDEX(次果筐明细!$B$4:$B$603,$Z275-5200)=0,"",INDEX(次果筐明细!$B$4:$B$603,$Z275-5200)),"")))))</f>
        <v/>
      </c>
      <c r="C275" s="37" t="str">
        <f>IF($Z275="","",IF($Z275&lt;=2000,IF(INDEX(包装物料出入库明细!$D$4:$D$2003,$Z275-0)=0,"",INDEX(包装物料出入库明细!$D$4:$D$2003,$Z275-0)),IF($Z275&lt;=4000,IF(INDEX(周转筐出入库明细!$C$4:$C$2004,$Z275-2000)=0,"",INDEX(周转筐出入库明细!$C$4:$C$2004,$Z275-2000)),IF($Z275&lt;=5200,IF(INDEX(客户自备加工筐明细!$E$4:$E$1203,$Z275-4000)=0,"",INDEX(客户自备加工筐明细!$E$4:$E$1203,$Z275-4000)),IF($Z275&lt;=5800,IF(INDEX(次果筐明细!$C$4:$C$603,$Z275-5200)=0,"",INDEX(次果筐明细!$C$4:$C$603,$Z275-5200)),"")))))</f>
        <v/>
      </c>
      <c r="D275" s="37" t="str">
        <f>IF($Z275="","",IF($Z275&lt;=2000,"包装物料－"&amp;INDEX(包装物料出入库明细!$H$4:$H$2003,$Z275-0),IF($Z275&lt;=4000,"周转筐－"&amp;INDEX(周转筐出入库明细!$F$4:$F$2004,$Z275-2000),IF($Z275&lt;=5200,"客户自备筐－"&amp;INDEX(客户自备加工筐明细!$J$4:$J$1203,$Z275-4000),IF($Z275&lt;=5800,"次果筐/托盘－"&amp;INDEX(次果筐明细!$F$4:$F$603,$Z275-5200),"")))))</f>
        <v/>
      </c>
      <c r="E275" s="24" t="str">
        <f>IF($Z275="","",IF($Z275&lt;=2000,IF(INDEX(包装物料出入库明细!$C$4:$C$2003,$Z275-0)=0,"",INDEX(包装物料出入库明细!$C$4:$C$2003,$Z275-0)),IF($Z275&lt;=4000,IF(INDEX(周转筐出入库明细!$E$4:$E$2004,$Z275-2000)=0,"",INDEX(周转筐出入库明细!$E$4:$E$2004,$Z275-2000)),IF($Z275&lt;=5200,IF(INDEX(客户自备加工筐明细!$D$4:$D$1203,$Z275-4000)=0,"",INDEX(客户自备加工筐明细!$D$4:$D$1203,$Z275-4000)),IF($Z275&lt;=5800,IF(INDEX(次果筐明细!$E$4:$E$603,$Z275-5200)=0,"",INDEX(次果筐明细!$E$4:$E$603,$Z275-5200)),"")))))</f>
        <v/>
      </c>
      <c r="F275" s="24" t="str">
        <f>IF($Z275="","",IF($Z275&lt;=2000,IF(INDEX(包装物料出入库明细!$E$4:$E$2003,$Z275-0)=0,"",INDEX(包装物料出入库明细!$E$4:$E$2003,$Z275-0)),IF($Z275&lt;=4000,IF(INDEX(周转筐出入库明细!$D$4:$D$2004,$Z275-2000)=0,"",INDEX(周转筐出入库明细!$D$4:$D$2004,$Z275-2000)),IF($Z275&lt;=5200,IF(INDEX(客户自备加工筐明细!$C$4:$C$1203,$Z275-4000)=0,"",INDEX(客户自备加工筐明细!$C$4:$C$1203,$Z275-4000)),IF($Z275&lt;=5800,IF(INDEX(次果筐明细!$D$4:$D$603,$Z275-5200)=0,"",INDEX(次果筐明细!$D$4:$D$603,$Z275-5200)),"")))))</f>
        <v/>
      </c>
      <c r="G275" s="24" t="str">
        <f>IF($Z275="","",IF($Z275&lt;=2000,IF(INDEX(包装物料出入库明细!$F$4:$F$2003,$Z275-0)=0,"",INDEX(包装物料出入库明细!$F$4:$F$2003,$Z275-0)),IF($Z275&lt;=4000,"",IF($Z275&lt;=5200,"",IF($Z275&lt;=5800,"","")))))</f>
        <v/>
      </c>
      <c r="H275" s="39" t="str">
        <f>IF($Z275="","",IF($Z275&lt;=2000,IF(INDEX(包装物料出入库明细!$L$4:$L$2003,$Z275-0)=0,"",INDEX(包装物料出入库明细!$L$4:$L$2003,$Z275-0)),IF($Z275&lt;=4000,N(INDEX(周转筐出入库明细!$H$4:$H$2004,$Z275-2000))+N(INDEX(周转筐出入库明细!$I$4:$I$2004,$Z275-2000))+N(INDEX(周转筐出入库明细!$J$4:$J$2004,$Z275-2000))+N(INDEX(周转筐出入库明细!$K$4:$K$2004,$Z275-2000)),IF($Z275&lt;=5200,N(INDEX(客户自备加工筐明细!$F$4:$F$1203,$Z275-4000))+N(INDEX(客户自备加工筐明细!$G$4:$G$1203,$Z275-4000)),IF($Z275&lt;=5800,IF(INDEX(次果筐明细!$G$4:$G$603,$Z275-5200)=0,"",INDEX(次果筐明细!$G$4:$G$603,$Z275-5200)),"")))))</f>
        <v/>
      </c>
      <c r="I275" s="24" t="str">
        <f>IF($Z275="","",IF($Z275&lt;=2000,IF(INDEX(包装物料出入库明细!$G$4:$G$2003,$Z275-0)=0,"",INDEX(包装物料出入库明细!$G$4:$G$2003,$Z275-0)),IF($Z275&lt;=4000,"个",IF($Z275&lt;=5200,"个",IF($Z275&lt;=5800,"个","")))))</f>
        <v/>
      </c>
      <c r="J275" s="30" t="str">
        <f t="shared" si="13"/>
        <v/>
      </c>
      <c r="K275" s="30" t="str">
        <f>IF($Z275="","",IF($Z275&lt;=2000,IF(INDEX(包装物料出入库明细!$N$4:$N$2003,$Z275-0)=0,"",INDEX(包装物料出入库明细!$N$4:$N$2003,$Z275-0)),IF($Z275&lt;=4000,IF(INDEX(周转筐出入库明细!$P$4:$P$2004,$Z275-2000)=0,"",INDEX(周转筐出入库明细!$P$4:$P$2004,$Z275-2000)),IF($Z275&lt;=5200,"",IF($Z275&lt;=5800,N(INDEX(次果筐明细!$L$4:$L$603,$Z275-5200))+N(INDEX(次果筐明细!$J$4:$J$603,$Z275-5200)),"")))))</f>
        <v/>
      </c>
      <c r="L275" s="24" t="str">
        <f>IF($Z275="","",IF($Z275&lt;=2000,IF(INDEX(包装物料出入库明细!$P$4:$P$2003,$Z275-0)=0,"",INDEX(包装物料出入库明细!$P$4:$P$2003,$Z275-0)),IF($Z275&lt;=4000,IF(INDEX(周转筐出入库明细!$Q$4:$Q$2004,$Z275-2000)=0,"",INDEX(周转筐出入库明细!$Q$4:$Q$2004,$Z275-2000)),IF($Z275&lt;=5200,"",IF($Z275&lt;=5800,IF(INDEX(次果筐明细!$M$4:$M$603,$Z275-5200)=0,"",INDEX(次果筐明细!$M$4:$M$603,$Z275-5200)),"")))))</f>
        <v/>
      </c>
      <c r="M275" s="37" t="str">
        <f>IF($Z275="","",IF($Z275&lt;=2000,IF(INDEX(包装物料出入库明细!$R$4:$R$2003,$Z275-0)=0,"",INDEX(包装物料出入库明细!$R$4:$R$2003,$Z275-0)),IF($Z275&lt;=4000,IF(INDEX(周转筐出入库明细!$W$4:$W$2004,$Z275-2000)=0,"",INDEX(周转筐出入库明细!$W$4:$W$2004,$Z275-2000)),IF($Z275&lt;=5200,IF(INDEX(客户自备加工筐明细!$L$4:$L$1203,$Z275-4000)=0,"",INDEX(客户自备加工筐明细!$L$4:$L$1203,$Z275-4000)),IF($Z275&lt;=5800,IF(INDEX(次果筐明细!$P$4:$P$603,$Z275-5200)=0,"",INDEX(次果筐明细!$P$4:$P$603,$Z275-5200)),"")))))</f>
        <v/>
      </c>
      <c r="N275" s="16" t="str">
        <f>IF($Z275="","",IF($Z275&lt;=2000,"",IF($Z275&lt;=4000,IF(INDEX(周转筐出入库明细!$D$4:$D$2004,$Z275-2000)=0,"",INDEX(周转筐出入库明细!$D$4:$D$2004,$Z275-2000)),IF($Z275&lt;=5200,IF(INDEX(客户自备加工筐明细!$C$4:$C$1203,$Z275-4000)=0,"",INDEX(客户自备加工筐明细!$C$4:$C$1203,$Z275-4000)),IF($Z275&lt;=5800,IF(INDEX(次果筐明细!$D$4:$D$603,$Z275-5200)=0,"",INDEX(次果筐明细!$D$4:$D$603,$Z275-5200)),"")))))</f>
        <v/>
      </c>
      <c r="O275" s="40" t="str">
        <f>IF($Z275="","",IF($Z275&lt;=2000,"",IF($Z275&lt;=4000,IF(N(INDEX(周转筐出入库明细!$J$4:$J$2004,$Z275-2000))+N(INDEX(周转筐出入库明细!$K$4:$K$2004,$Z275-2000))=0,"",N(INDEX(周转筐出入库明细!$J$4:$J$2004,$Z275-2000))+N(INDEX(周转筐出入库明细!$K$4:$K$2004,$Z275-2000))),IF($Z275&lt;=5200,IF(N(INDEX(客户自备加工筐明细!$G$4:$G$1203,$Z275-4000))=0,"",N(INDEX(客户自备加工筐明细!$G$4:$G$1203,$Z275-4000))),IF($Z275&lt;=5800,IF(ISNUMBER(SEARCH("退",INDEX(次果筐明细!$F$4:$F$603,$Z275-5200)&amp;"")),"",IF(N(INDEX(次果筐明细!$G$4:$G$603,$Z275-5200))=0,"",N(INDEX(次果筐明细!$G$4:$G$603,$Z275-5200)))),"")))))</f>
        <v/>
      </c>
      <c r="P275" s="40" t="str">
        <f>IF($Z275="","",IF($Z275&lt;=2000,"",IF($Z275&lt;=4000,IF(N(INDEX(周转筐出入库明细!$I$4:$I$2004,$Z275-2000))=0,"",N(INDEX(周转筐出入库明细!$I$4:$I$2004,$Z275-2000))),IF($Z275&lt;=5200,"",IF($Z275&lt;=5800,IF(ISNUMBER(SEARCH("退",INDEX(次果筐明细!$F$4:$F$603,$Z275-5200)&amp;"")),IF(N(INDEX(次果筐明细!$G$4:$G$603,$Z275-5200))=0,"",N(INDEX(次果筐明细!$G$4:$G$603,$Z275-5200))),""),"")))))</f>
        <v/>
      </c>
      <c r="Q275" s="40" t="str">
        <f>IF($Z275="","",IF($Z275&lt;=2000,"",IF($Z275&lt;=4000,IF(N(INDEX(周转筐出入库明细!$H$4:$H$2004,$Z275-2000))=0,"",N(INDEX(周转筐出入库明细!$H$4:$H$2004,$Z275-2000))),IF($Z275&lt;=5200,IF(N(INDEX(客户自备加工筐明细!$F$4:$F$1203,$Z275-4000))=0,"",N(INDEX(客户自备加工筐明细!$F$4:$F$1203,$Z275-4000))),IF($Z275&lt;=5800,"","")))))</f>
        <v/>
      </c>
      <c r="R275" s="16" t="str">
        <f>IF($Z275="","",IF($Z275&lt;=2000,IF(INDEX(包装物料出入库明细!$O$4:$O$2003,$Z275-0)=0,"",INDEX(包装物料出入库明细!$O$4:$O$2003,$Z275-0)),IF($Z275&lt;=4000,IF(INDEX(周转筐出入库明细!$M$4:$M$2004,$Z275-2000)=0,"",INDEX(周转筐出入库明细!$M$4:$M$2004,$Z275-2000)),IF($Z275&lt;=5200,IF(INDEX(客户自备加工筐明细!$H$4:$H$1203,$Z275-4000)=0,"",INDEX(客户自备加工筐明细!$H$4:$H$1203,$Z275-4000)),IF($Z275&lt;=5800,IF(INDEX(次果筐明细!$H$4:$H$603,$Z275-5200)=0,"",INDEX(次果筐明细!$H$4:$H$603,$Z275-5200)),"")))))</f>
        <v/>
      </c>
      <c r="S275" s="22" t="str">
        <f t="shared" si="14"/>
        <v/>
      </c>
      <c r="Z275" s="10" t="str">
        <f>IFERROR(MATCH(ROW()-3,_自动清单!$CQ$4:$CQ$5803,0),"")</f>
        <v/>
      </c>
    </row>
    <row r="276" spans="1:26">
      <c r="A276" s="24" t="str">
        <f t="shared" si="12"/>
        <v/>
      </c>
      <c r="B276" s="38" t="str">
        <f>IF($Z276="","",IF($Z276&lt;=2000,IF(INDEX(包装物料出入库明细!$B$4:$B$2003,$Z276-0)=0,"",INDEX(包装物料出入库明细!$B$4:$B$2003,$Z276-0)),IF($Z276&lt;=4000,IF(INDEX(周转筐出入库明细!$B$4:$B$2004,$Z276-2000)=0,"",INDEX(周转筐出入库明细!$B$4:$B$2004,$Z276-2000)),IF($Z276&lt;=5200,IF(INDEX(客户自备加工筐明细!$B$4:$B$1203,$Z276-4000)=0,"",INDEX(客户自备加工筐明细!$B$4:$B$1203,$Z276-4000)),IF($Z276&lt;=5800,IF(INDEX(次果筐明细!$B$4:$B$603,$Z276-5200)=0,"",INDEX(次果筐明细!$B$4:$B$603,$Z276-5200)),"")))))</f>
        <v/>
      </c>
      <c r="C276" s="37" t="str">
        <f>IF($Z276="","",IF($Z276&lt;=2000,IF(INDEX(包装物料出入库明细!$D$4:$D$2003,$Z276-0)=0,"",INDEX(包装物料出入库明细!$D$4:$D$2003,$Z276-0)),IF($Z276&lt;=4000,IF(INDEX(周转筐出入库明细!$C$4:$C$2004,$Z276-2000)=0,"",INDEX(周转筐出入库明细!$C$4:$C$2004,$Z276-2000)),IF($Z276&lt;=5200,IF(INDEX(客户自备加工筐明细!$E$4:$E$1203,$Z276-4000)=0,"",INDEX(客户自备加工筐明细!$E$4:$E$1203,$Z276-4000)),IF($Z276&lt;=5800,IF(INDEX(次果筐明细!$C$4:$C$603,$Z276-5200)=0,"",INDEX(次果筐明细!$C$4:$C$603,$Z276-5200)),"")))))</f>
        <v/>
      </c>
      <c r="D276" s="37" t="str">
        <f>IF($Z276="","",IF($Z276&lt;=2000,"包装物料－"&amp;INDEX(包装物料出入库明细!$H$4:$H$2003,$Z276-0),IF($Z276&lt;=4000,"周转筐－"&amp;INDEX(周转筐出入库明细!$F$4:$F$2004,$Z276-2000),IF($Z276&lt;=5200,"客户自备筐－"&amp;INDEX(客户自备加工筐明细!$J$4:$J$1203,$Z276-4000),IF($Z276&lt;=5800,"次果筐/托盘－"&amp;INDEX(次果筐明细!$F$4:$F$603,$Z276-5200),"")))))</f>
        <v/>
      </c>
      <c r="E276" s="24" t="str">
        <f>IF($Z276="","",IF($Z276&lt;=2000,IF(INDEX(包装物料出入库明细!$C$4:$C$2003,$Z276-0)=0,"",INDEX(包装物料出入库明细!$C$4:$C$2003,$Z276-0)),IF($Z276&lt;=4000,IF(INDEX(周转筐出入库明细!$E$4:$E$2004,$Z276-2000)=0,"",INDEX(周转筐出入库明细!$E$4:$E$2004,$Z276-2000)),IF($Z276&lt;=5200,IF(INDEX(客户自备加工筐明细!$D$4:$D$1203,$Z276-4000)=0,"",INDEX(客户自备加工筐明细!$D$4:$D$1203,$Z276-4000)),IF($Z276&lt;=5800,IF(INDEX(次果筐明细!$E$4:$E$603,$Z276-5200)=0,"",INDEX(次果筐明细!$E$4:$E$603,$Z276-5200)),"")))))</f>
        <v/>
      </c>
      <c r="F276" s="24" t="str">
        <f>IF($Z276="","",IF($Z276&lt;=2000,IF(INDEX(包装物料出入库明细!$E$4:$E$2003,$Z276-0)=0,"",INDEX(包装物料出入库明细!$E$4:$E$2003,$Z276-0)),IF($Z276&lt;=4000,IF(INDEX(周转筐出入库明细!$D$4:$D$2004,$Z276-2000)=0,"",INDEX(周转筐出入库明细!$D$4:$D$2004,$Z276-2000)),IF($Z276&lt;=5200,IF(INDEX(客户自备加工筐明细!$C$4:$C$1203,$Z276-4000)=0,"",INDEX(客户自备加工筐明细!$C$4:$C$1203,$Z276-4000)),IF($Z276&lt;=5800,IF(INDEX(次果筐明细!$D$4:$D$603,$Z276-5200)=0,"",INDEX(次果筐明细!$D$4:$D$603,$Z276-5200)),"")))))</f>
        <v/>
      </c>
      <c r="G276" s="24" t="str">
        <f>IF($Z276="","",IF($Z276&lt;=2000,IF(INDEX(包装物料出入库明细!$F$4:$F$2003,$Z276-0)=0,"",INDEX(包装物料出入库明细!$F$4:$F$2003,$Z276-0)),IF($Z276&lt;=4000,"",IF($Z276&lt;=5200,"",IF($Z276&lt;=5800,"","")))))</f>
        <v/>
      </c>
      <c r="H276" s="39" t="str">
        <f>IF($Z276="","",IF($Z276&lt;=2000,IF(INDEX(包装物料出入库明细!$L$4:$L$2003,$Z276-0)=0,"",INDEX(包装物料出入库明细!$L$4:$L$2003,$Z276-0)),IF($Z276&lt;=4000,N(INDEX(周转筐出入库明细!$H$4:$H$2004,$Z276-2000))+N(INDEX(周转筐出入库明细!$I$4:$I$2004,$Z276-2000))+N(INDEX(周转筐出入库明细!$J$4:$J$2004,$Z276-2000))+N(INDEX(周转筐出入库明细!$K$4:$K$2004,$Z276-2000)),IF($Z276&lt;=5200,N(INDEX(客户自备加工筐明细!$F$4:$F$1203,$Z276-4000))+N(INDEX(客户自备加工筐明细!$G$4:$G$1203,$Z276-4000)),IF($Z276&lt;=5800,IF(INDEX(次果筐明细!$G$4:$G$603,$Z276-5200)=0,"",INDEX(次果筐明细!$G$4:$G$603,$Z276-5200)),"")))))</f>
        <v/>
      </c>
      <c r="I276" s="24" t="str">
        <f>IF($Z276="","",IF($Z276&lt;=2000,IF(INDEX(包装物料出入库明细!$G$4:$G$2003,$Z276-0)=0,"",INDEX(包装物料出入库明细!$G$4:$G$2003,$Z276-0)),IF($Z276&lt;=4000,"个",IF($Z276&lt;=5200,"个",IF($Z276&lt;=5800,"个","")))))</f>
        <v/>
      </c>
      <c r="J276" s="30" t="str">
        <f t="shared" si="13"/>
        <v/>
      </c>
      <c r="K276" s="30" t="str">
        <f>IF($Z276="","",IF($Z276&lt;=2000,IF(INDEX(包装物料出入库明细!$N$4:$N$2003,$Z276-0)=0,"",INDEX(包装物料出入库明细!$N$4:$N$2003,$Z276-0)),IF($Z276&lt;=4000,IF(INDEX(周转筐出入库明细!$P$4:$P$2004,$Z276-2000)=0,"",INDEX(周转筐出入库明细!$P$4:$P$2004,$Z276-2000)),IF($Z276&lt;=5200,"",IF($Z276&lt;=5800,N(INDEX(次果筐明细!$L$4:$L$603,$Z276-5200))+N(INDEX(次果筐明细!$J$4:$J$603,$Z276-5200)),"")))))</f>
        <v/>
      </c>
      <c r="L276" s="24" t="str">
        <f>IF($Z276="","",IF($Z276&lt;=2000,IF(INDEX(包装物料出入库明细!$P$4:$P$2003,$Z276-0)=0,"",INDEX(包装物料出入库明细!$P$4:$P$2003,$Z276-0)),IF($Z276&lt;=4000,IF(INDEX(周转筐出入库明细!$Q$4:$Q$2004,$Z276-2000)=0,"",INDEX(周转筐出入库明细!$Q$4:$Q$2004,$Z276-2000)),IF($Z276&lt;=5200,"",IF($Z276&lt;=5800,IF(INDEX(次果筐明细!$M$4:$M$603,$Z276-5200)=0,"",INDEX(次果筐明细!$M$4:$M$603,$Z276-5200)),"")))))</f>
        <v/>
      </c>
      <c r="M276" s="37" t="str">
        <f>IF($Z276="","",IF($Z276&lt;=2000,IF(INDEX(包装物料出入库明细!$R$4:$R$2003,$Z276-0)=0,"",INDEX(包装物料出入库明细!$R$4:$R$2003,$Z276-0)),IF($Z276&lt;=4000,IF(INDEX(周转筐出入库明细!$W$4:$W$2004,$Z276-2000)=0,"",INDEX(周转筐出入库明细!$W$4:$W$2004,$Z276-2000)),IF($Z276&lt;=5200,IF(INDEX(客户自备加工筐明细!$L$4:$L$1203,$Z276-4000)=0,"",INDEX(客户自备加工筐明细!$L$4:$L$1203,$Z276-4000)),IF($Z276&lt;=5800,IF(INDEX(次果筐明细!$P$4:$P$603,$Z276-5200)=0,"",INDEX(次果筐明细!$P$4:$P$603,$Z276-5200)),"")))))</f>
        <v/>
      </c>
      <c r="N276" s="16" t="str">
        <f>IF($Z276="","",IF($Z276&lt;=2000,"",IF($Z276&lt;=4000,IF(INDEX(周转筐出入库明细!$D$4:$D$2004,$Z276-2000)=0,"",INDEX(周转筐出入库明细!$D$4:$D$2004,$Z276-2000)),IF($Z276&lt;=5200,IF(INDEX(客户自备加工筐明细!$C$4:$C$1203,$Z276-4000)=0,"",INDEX(客户自备加工筐明细!$C$4:$C$1203,$Z276-4000)),IF($Z276&lt;=5800,IF(INDEX(次果筐明细!$D$4:$D$603,$Z276-5200)=0,"",INDEX(次果筐明细!$D$4:$D$603,$Z276-5200)),"")))))</f>
        <v/>
      </c>
      <c r="O276" s="40" t="str">
        <f>IF($Z276="","",IF($Z276&lt;=2000,"",IF($Z276&lt;=4000,IF(N(INDEX(周转筐出入库明细!$J$4:$J$2004,$Z276-2000))+N(INDEX(周转筐出入库明细!$K$4:$K$2004,$Z276-2000))=0,"",N(INDEX(周转筐出入库明细!$J$4:$J$2004,$Z276-2000))+N(INDEX(周转筐出入库明细!$K$4:$K$2004,$Z276-2000))),IF($Z276&lt;=5200,IF(N(INDEX(客户自备加工筐明细!$G$4:$G$1203,$Z276-4000))=0,"",N(INDEX(客户自备加工筐明细!$G$4:$G$1203,$Z276-4000))),IF($Z276&lt;=5800,IF(ISNUMBER(SEARCH("退",INDEX(次果筐明细!$F$4:$F$603,$Z276-5200)&amp;"")),"",IF(N(INDEX(次果筐明细!$G$4:$G$603,$Z276-5200))=0,"",N(INDEX(次果筐明细!$G$4:$G$603,$Z276-5200)))),"")))))</f>
        <v/>
      </c>
      <c r="P276" s="40" t="str">
        <f>IF($Z276="","",IF($Z276&lt;=2000,"",IF($Z276&lt;=4000,IF(N(INDEX(周转筐出入库明细!$I$4:$I$2004,$Z276-2000))=0,"",N(INDEX(周转筐出入库明细!$I$4:$I$2004,$Z276-2000))),IF($Z276&lt;=5200,"",IF($Z276&lt;=5800,IF(ISNUMBER(SEARCH("退",INDEX(次果筐明细!$F$4:$F$603,$Z276-5200)&amp;"")),IF(N(INDEX(次果筐明细!$G$4:$G$603,$Z276-5200))=0,"",N(INDEX(次果筐明细!$G$4:$G$603,$Z276-5200))),""),"")))))</f>
        <v/>
      </c>
      <c r="Q276" s="40" t="str">
        <f>IF($Z276="","",IF($Z276&lt;=2000,"",IF($Z276&lt;=4000,IF(N(INDEX(周转筐出入库明细!$H$4:$H$2004,$Z276-2000))=0,"",N(INDEX(周转筐出入库明细!$H$4:$H$2004,$Z276-2000))),IF($Z276&lt;=5200,IF(N(INDEX(客户自备加工筐明细!$F$4:$F$1203,$Z276-4000))=0,"",N(INDEX(客户自备加工筐明细!$F$4:$F$1203,$Z276-4000))),IF($Z276&lt;=5800,"","")))))</f>
        <v/>
      </c>
      <c r="R276" s="16" t="str">
        <f>IF($Z276="","",IF($Z276&lt;=2000,IF(INDEX(包装物料出入库明细!$O$4:$O$2003,$Z276-0)=0,"",INDEX(包装物料出入库明细!$O$4:$O$2003,$Z276-0)),IF($Z276&lt;=4000,IF(INDEX(周转筐出入库明细!$M$4:$M$2004,$Z276-2000)=0,"",INDEX(周转筐出入库明细!$M$4:$M$2004,$Z276-2000)),IF($Z276&lt;=5200,IF(INDEX(客户自备加工筐明细!$H$4:$H$1203,$Z276-4000)=0,"",INDEX(客户自备加工筐明细!$H$4:$H$1203,$Z276-4000)),IF($Z276&lt;=5800,IF(INDEX(次果筐明细!$H$4:$H$603,$Z276-5200)=0,"",INDEX(次果筐明细!$H$4:$H$603,$Z276-5200)),"")))))</f>
        <v/>
      </c>
      <c r="S276" s="22" t="str">
        <f t="shared" si="14"/>
        <v/>
      </c>
      <c r="Z276" s="10" t="str">
        <f>IFERROR(MATCH(ROW()-3,_自动清单!$CQ$4:$CQ$5803,0),"")</f>
        <v/>
      </c>
    </row>
    <row r="277" spans="1:26">
      <c r="A277" s="24" t="str">
        <f t="shared" si="12"/>
        <v/>
      </c>
      <c r="B277" s="38" t="str">
        <f>IF($Z277="","",IF($Z277&lt;=2000,IF(INDEX(包装物料出入库明细!$B$4:$B$2003,$Z277-0)=0,"",INDEX(包装物料出入库明细!$B$4:$B$2003,$Z277-0)),IF($Z277&lt;=4000,IF(INDEX(周转筐出入库明细!$B$4:$B$2004,$Z277-2000)=0,"",INDEX(周转筐出入库明细!$B$4:$B$2004,$Z277-2000)),IF($Z277&lt;=5200,IF(INDEX(客户自备加工筐明细!$B$4:$B$1203,$Z277-4000)=0,"",INDEX(客户自备加工筐明细!$B$4:$B$1203,$Z277-4000)),IF($Z277&lt;=5800,IF(INDEX(次果筐明细!$B$4:$B$603,$Z277-5200)=0,"",INDEX(次果筐明细!$B$4:$B$603,$Z277-5200)),"")))))</f>
        <v/>
      </c>
      <c r="C277" s="37" t="str">
        <f>IF($Z277="","",IF($Z277&lt;=2000,IF(INDEX(包装物料出入库明细!$D$4:$D$2003,$Z277-0)=0,"",INDEX(包装物料出入库明细!$D$4:$D$2003,$Z277-0)),IF($Z277&lt;=4000,IF(INDEX(周转筐出入库明细!$C$4:$C$2004,$Z277-2000)=0,"",INDEX(周转筐出入库明细!$C$4:$C$2004,$Z277-2000)),IF($Z277&lt;=5200,IF(INDEX(客户自备加工筐明细!$E$4:$E$1203,$Z277-4000)=0,"",INDEX(客户自备加工筐明细!$E$4:$E$1203,$Z277-4000)),IF($Z277&lt;=5800,IF(INDEX(次果筐明细!$C$4:$C$603,$Z277-5200)=0,"",INDEX(次果筐明细!$C$4:$C$603,$Z277-5200)),"")))))</f>
        <v/>
      </c>
      <c r="D277" s="37" t="str">
        <f>IF($Z277="","",IF($Z277&lt;=2000,"包装物料－"&amp;INDEX(包装物料出入库明细!$H$4:$H$2003,$Z277-0),IF($Z277&lt;=4000,"周转筐－"&amp;INDEX(周转筐出入库明细!$F$4:$F$2004,$Z277-2000),IF($Z277&lt;=5200,"客户自备筐－"&amp;INDEX(客户自备加工筐明细!$J$4:$J$1203,$Z277-4000),IF($Z277&lt;=5800,"次果筐/托盘－"&amp;INDEX(次果筐明细!$F$4:$F$603,$Z277-5200),"")))))</f>
        <v/>
      </c>
      <c r="E277" s="24" t="str">
        <f>IF($Z277="","",IF($Z277&lt;=2000,IF(INDEX(包装物料出入库明细!$C$4:$C$2003,$Z277-0)=0,"",INDEX(包装物料出入库明细!$C$4:$C$2003,$Z277-0)),IF($Z277&lt;=4000,IF(INDEX(周转筐出入库明细!$E$4:$E$2004,$Z277-2000)=0,"",INDEX(周转筐出入库明细!$E$4:$E$2004,$Z277-2000)),IF($Z277&lt;=5200,IF(INDEX(客户自备加工筐明细!$D$4:$D$1203,$Z277-4000)=0,"",INDEX(客户自备加工筐明细!$D$4:$D$1203,$Z277-4000)),IF($Z277&lt;=5800,IF(INDEX(次果筐明细!$E$4:$E$603,$Z277-5200)=0,"",INDEX(次果筐明细!$E$4:$E$603,$Z277-5200)),"")))))</f>
        <v/>
      </c>
      <c r="F277" s="24" t="str">
        <f>IF($Z277="","",IF($Z277&lt;=2000,IF(INDEX(包装物料出入库明细!$E$4:$E$2003,$Z277-0)=0,"",INDEX(包装物料出入库明细!$E$4:$E$2003,$Z277-0)),IF($Z277&lt;=4000,IF(INDEX(周转筐出入库明细!$D$4:$D$2004,$Z277-2000)=0,"",INDEX(周转筐出入库明细!$D$4:$D$2004,$Z277-2000)),IF($Z277&lt;=5200,IF(INDEX(客户自备加工筐明细!$C$4:$C$1203,$Z277-4000)=0,"",INDEX(客户自备加工筐明细!$C$4:$C$1203,$Z277-4000)),IF($Z277&lt;=5800,IF(INDEX(次果筐明细!$D$4:$D$603,$Z277-5200)=0,"",INDEX(次果筐明细!$D$4:$D$603,$Z277-5200)),"")))))</f>
        <v/>
      </c>
      <c r="G277" s="24" t="str">
        <f>IF($Z277="","",IF($Z277&lt;=2000,IF(INDEX(包装物料出入库明细!$F$4:$F$2003,$Z277-0)=0,"",INDEX(包装物料出入库明细!$F$4:$F$2003,$Z277-0)),IF($Z277&lt;=4000,"",IF($Z277&lt;=5200,"",IF($Z277&lt;=5800,"","")))))</f>
        <v/>
      </c>
      <c r="H277" s="39" t="str">
        <f>IF($Z277="","",IF($Z277&lt;=2000,IF(INDEX(包装物料出入库明细!$L$4:$L$2003,$Z277-0)=0,"",INDEX(包装物料出入库明细!$L$4:$L$2003,$Z277-0)),IF($Z277&lt;=4000,N(INDEX(周转筐出入库明细!$H$4:$H$2004,$Z277-2000))+N(INDEX(周转筐出入库明细!$I$4:$I$2004,$Z277-2000))+N(INDEX(周转筐出入库明细!$J$4:$J$2004,$Z277-2000))+N(INDEX(周转筐出入库明细!$K$4:$K$2004,$Z277-2000)),IF($Z277&lt;=5200,N(INDEX(客户自备加工筐明细!$F$4:$F$1203,$Z277-4000))+N(INDEX(客户自备加工筐明细!$G$4:$G$1203,$Z277-4000)),IF($Z277&lt;=5800,IF(INDEX(次果筐明细!$G$4:$G$603,$Z277-5200)=0,"",INDEX(次果筐明细!$G$4:$G$603,$Z277-5200)),"")))))</f>
        <v/>
      </c>
      <c r="I277" s="24" t="str">
        <f>IF($Z277="","",IF($Z277&lt;=2000,IF(INDEX(包装物料出入库明细!$G$4:$G$2003,$Z277-0)=0,"",INDEX(包装物料出入库明细!$G$4:$G$2003,$Z277-0)),IF($Z277&lt;=4000,"个",IF($Z277&lt;=5200,"个",IF($Z277&lt;=5800,"个","")))))</f>
        <v/>
      </c>
      <c r="J277" s="30" t="str">
        <f t="shared" si="13"/>
        <v/>
      </c>
      <c r="K277" s="30" t="str">
        <f>IF($Z277="","",IF($Z277&lt;=2000,IF(INDEX(包装物料出入库明细!$N$4:$N$2003,$Z277-0)=0,"",INDEX(包装物料出入库明细!$N$4:$N$2003,$Z277-0)),IF($Z277&lt;=4000,IF(INDEX(周转筐出入库明细!$P$4:$P$2004,$Z277-2000)=0,"",INDEX(周转筐出入库明细!$P$4:$P$2004,$Z277-2000)),IF($Z277&lt;=5200,"",IF($Z277&lt;=5800,N(INDEX(次果筐明细!$L$4:$L$603,$Z277-5200))+N(INDEX(次果筐明细!$J$4:$J$603,$Z277-5200)),"")))))</f>
        <v/>
      </c>
      <c r="L277" s="24" t="str">
        <f>IF($Z277="","",IF($Z277&lt;=2000,IF(INDEX(包装物料出入库明细!$P$4:$P$2003,$Z277-0)=0,"",INDEX(包装物料出入库明细!$P$4:$P$2003,$Z277-0)),IF($Z277&lt;=4000,IF(INDEX(周转筐出入库明细!$Q$4:$Q$2004,$Z277-2000)=0,"",INDEX(周转筐出入库明细!$Q$4:$Q$2004,$Z277-2000)),IF($Z277&lt;=5200,"",IF($Z277&lt;=5800,IF(INDEX(次果筐明细!$M$4:$M$603,$Z277-5200)=0,"",INDEX(次果筐明细!$M$4:$M$603,$Z277-5200)),"")))))</f>
        <v/>
      </c>
      <c r="M277" s="37" t="str">
        <f>IF($Z277="","",IF($Z277&lt;=2000,IF(INDEX(包装物料出入库明细!$R$4:$R$2003,$Z277-0)=0,"",INDEX(包装物料出入库明细!$R$4:$R$2003,$Z277-0)),IF($Z277&lt;=4000,IF(INDEX(周转筐出入库明细!$W$4:$W$2004,$Z277-2000)=0,"",INDEX(周转筐出入库明细!$W$4:$W$2004,$Z277-2000)),IF($Z277&lt;=5200,IF(INDEX(客户自备加工筐明细!$L$4:$L$1203,$Z277-4000)=0,"",INDEX(客户自备加工筐明细!$L$4:$L$1203,$Z277-4000)),IF($Z277&lt;=5800,IF(INDEX(次果筐明细!$P$4:$P$603,$Z277-5200)=0,"",INDEX(次果筐明细!$P$4:$P$603,$Z277-5200)),"")))))</f>
        <v/>
      </c>
      <c r="N277" s="16" t="str">
        <f>IF($Z277="","",IF($Z277&lt;=2000,"",IF($Z277&lt;=4000,IF(INDEX(周转筐出入库明细!$D$4:$D$2004,$Z277-2000)=0,"",INDEX(周转筐出入库明细!$D$4:$D$2004,$Z277-2000)),IF($Z277&lt;=5200,IF(INDEX(客户自备加工筐明细!$C$4:$C$1203,$Z277-4000)=0,"",INDEX(客户自备加工筐明细!$C$4:$C$1203,$Z277-4000)),IF($Z277&lt;=5800,IF(INDEX(次果筐明细!$D$4:$D$603,$Z277-5200)=0,"",INDEX(次果筐明细!$D$4:$D$603,$Z277-5200)),"")))))</f>
        <v/>
      </c>
      <c r="O277" s="40" t="str">
        <f>IF($Z277="","",IF($Z277&lt;=2000,"",IF($Z277&lt;=4000,IF(N(INDEX(周转筐出入库明细!$J$4:$J$2004,$Z277-2000))+N(INDEX(周转筐出入库明细!$K$4:$K$2004,$Z277-2000))=0,"",N(INDEX(周转筐出入库明细!$J$4:$J$2004,$Z277-2000))+N(INDEX(周转筐出入库明细!$K$4:$K$2004,$Z277-2000))),IF($Z277&lt;=5200,IF(N(INDEX(客户自备加工筐明细!$G$4:$G$1203,$Z277-4000))=0,"",N(INDEX(客户自备加工筐明细!$G$4:$G$1203,$Z277-4000))),IF($Z277&lt;=5800,IF(ISNUMBER(SEARCH("退",INDEX(次果筐明细!$F$4:$F$603,$Z277-5200)&amp;"")),"",IF(N(INDEX(次果筐明细!$G$4:$G$603,$Z277-5200))=0,"",N(INDEX(次果筐明细!$G$4:$G$603,$Z277-5200)))),"")))))</f>
        <v/>
      </c>
      <c r="P277" s="40" t="str">
        <f>IF($Z277="","",IF($Z277&lt;=2000,"",IF($Z277&lt;=4000,IF(N(INDEX(周转筐出入库明细!$I$4:$I$2004,$Z277-2000))=0,"",N(INDEX(周转筐出入库明细!$I$4:$I$2004,$Z277-2000))),IF($Z277&lt;=5200,"",IF($Z277&lt;=5800,IF(ISNUMBER(SEARCH("退",INDEX(次果筐明细!$F$4:$F$603,$Z277-5200)&amp;"")),IF(N(INDEX(次果筐明细!$G$4:$G$603,$Z277-5200))=0,"",N(INDEX(次果筐明细!$G$4:$G$603,$Z277-5200))),""),"")))))</f>
        <v/>
      </c>
      <c r="Q277" s="40" t="str">
        <f>IF($Z277="","",IF($Z277&lt;=2000,"",IF($Z277&lt;=4000,IF(N(INDEX(周转筐出入库明细!$H$4:$H$2004,$Z277-2000))=0,"",N(INDEX(周转筐出入库明细!$H$4:$H$2004,$Z277-2000))),IF($Z277&lt;=5200,IF(N(INDEX(客户自备加工筐明细!$F$4:$F$1203,$Z277-4000))=0,"",N(INDEX(客户自备加工筐明细!$F$4:$F$1203,$Z277-4000))),IF($Z277&lt;=5800,"","")))))</f>
        <v/>
      </c>
      <c r="R277" s="16" t="str">
        <f>IF($Z277="","",IF($Z277&lt;=2000,IF(INDEX(包装物料出入库明细!$O$4:$O$2003,$Z277-0)=0,"",INDEX(包装物料出入库明细!$O$4:$O$2003,$Z277-0)),IF($Z277&lt;=4000,IF(INDEX(周转筐出入库明细!$M$4:$M$2004,$Z277-2000)=0,"",INDEX(周转筐出入库明细!$M$4:$M$2004,$Z277-2000)),IF($Z277&lt;=5200,IF(INDEX(客户自备加工筐明细!$H$4:$H$1203,$Z277-4000)=0,"",INDEX(客户自备加工筐明细!$H$4:$H$1203,$Z277-4000)),IF($Z277&lt;=5800,IF(INDEX(次果筐明细!$H$4:$H$603,$Z277-5200)=0,"",INDEX(次果筐明细!$H$4:$H$603,$Z277-5200)),"")))))</f>
        <v/>
      </c>
      <c r="S277" s="22" t="str">
        <f t="shared" si="14"/>
        <v/>
      </c>
      <c r="Z277" s="10" t="str">
        <f>IFERROR(MATCH(ROW()-3,_自动清单!$CQ$4:$CQ$5803,0),"")</f>
        <v/>
      </c>
    </row>
    <row r="278" spans="1:26">
      <c r="A278" s="24" t="str">
        <f t="shared" si="12"/>
        <v/>
      </c>
      <c r="B278" s="38" t="str">
        <f>IF($Z278="","",IF($Z278&lt;=2000,IF(INDEX(包装物料出入库明细!$B$4:$B$2003,$Z278-0)=0,"",INDEX(包装物料出入库明细!$B$4:$B$2003,$Z278-0)),IF($Z278&lt;=4000,IF(INDEX(周转筐出入库明细!$B$4:$B$2004,$Z278-2000)=0,"",INDEX(周转筐出入库明细!$B$4:$B$2004,$Z278-2000)),IF($Z278&lt;=5200,IF(INDEX(客户自备加工筐明细!$B$4:$B$1203,$Z278-4000)=0,"",INDEX(客户自备加工筐明细!$B$4:$B$1203,$Z278-4000)),IF($Z278&lt;=5800,IF(INDEX(次果筐明细!$B$4:$B$603,$Z278-5200)=0,"",INDEX(次果筐明细!$B$4:$B$603,$Z278-5200)),"")))))</f>
        <v/>
      </c>
      <c r="C278" s="37" t="str">
        <f>IF($Z278="","",IF($Z278&lt;=2000,IF(INDEX(包装物料出入库明细!$D$4:$D$2003,$Z278-0)=0,"",INDEX(包装物料出入库明细!$D$4:$D$2003,$Z278-0)),IF($Z278&lt;=4000,IF(INDEX(周转筐出入库明细!$C$4:$C$2004,$Z278-2000)=0,"",INDEX(周转筐出入库明细!$C$4:$C$2004,$Z278-2000)),IF($Z278&lt;=5200,IF(INDEX(客户自备加工筐明细!$E$4:$E$1203,$Z278-4000)=0,"",INDEX(客户自备加工筐明细!$E$4:$E$1203,$Z278-4000)),IF($Z278&lt;=5800,IF(INDEX(次果筐明细!$C$4:$C$603,$Z278-5200)=0,"",INDEX(次果筐明细!$C$4:$C$603,$Z278-5200)),"")))))</f>
        <v/>
      </c>
      <c r="D278" s="37" t="str">
        <f>IF($Z278="","",IF($Z278&lt;=2000,"包装物料－"&amp;INDEX(包装物料出入库明细!$H$4:$H$2003,$Z278-0),IF($Z278&lt;=4000,"周转筐－"&amp;INDEX(周转筐出入库明细!$F$4:$F$2004,$Z278-2000),IF($Z278&lt;=5200,"客户自备筐－"&amp;INDEX(客户自备加工筐明细!$J$4:$J$1203,$Z278-4000),IF($Z278&lt;=5800,"次果筐/托盘－"&amp;INDEX(次果筐明细!$F$4:$F$603,$Z278-5200),"")))))</f>
        <v/>
      </c>
      <c r="E278" s="24" t="str">
        <f>IF($Z278="","",IF($Z278&lt;=2000,IF(INDEX(包装物料出入库明细!$C$4:$C$2003,$Z278-0)=0,"",INDEX(包装物料出入库明细!$C$4:$C$2003,$Z278-0)),IF($Z278&lt;=4000,IF(INDEX(周转筐出入库明细!$E$4:$E$2004,$Z278-2000)=0,"",INDEX(周转筐出入库明细!$E$4:$E$2004,$Z278-2000)),IF($Z278&lt;=5200,IF(INDEX(客户自备加工筐明细!$D$4:$D$1203,$Z278-4000)=0,"",INDEX(客户自备加工筐明细!$D$4:$D$1203,$Z278-4000)),IF($Z278&lt;=5800,IF(INDEX(次果筐明细!$E$4:$E$603,$Z278-5200)=0,"",INDEX(次果筐明细!$E$4:$E$603,$Z278-5200)),"")))))</f>
        <v/>
      </c>
      <c r="F278" s="24" t="str">
        <f>IF($Z278="","",IF($Z278&lt;=2000,IF(INDEX(包装物料出入库明细!$E$4:$E$2003,$Z278-0)=0,"",INDEX(包装物料出入库明细!$E$4:$E$2003,$Z278-0)),IF($Z278&lt;=4000,IF(INDEX(周转筐出入库明细!$D$4:$D$2004,$Z278-2000)=0,"",INDEX(周转筐出入库明细!$D$4:$D$2004,$Z278-2000)),IF($Z278&lt;=5200,IF(INDEX(客户自备加工筐明细!$C$4:$C$1203,$Z278-4000)=0,"",INDEX(客户自备加工筐明细!$C$4:$C$1203,$Z278-4000)),IF($Z278&lt;=5800,IF(INDEX(次果筐明细!$D$4:$D$603,$Z278-5200)=0,"",INDEX(次果筐明细!$D$4:$D$603,$Z278-5200)),"")))))</f>
        <v/>
      </c>
      <c r="G278" s="24" t="str">
        <f>IF($Z278="","",IF($Z278&lt;=2000,IF(INDEX(包装物料出入库明细!$F$4:$F$2003,$Z278-0)=0,"",INDEX(包装物料出入库明细!$F$4:$F$2003,$Z278-0)),IF($Z278&lt;=4000,"",IF($Z278&lt;=5200,"",IF($Z278&lt;=5800,"","")))))</f>
        <v/>
      </c>
      <c r="H278" s="39" t="str">
        <f>IF($Z278="","",IF($Z278&lt;=2000,IF(INDEX(包装物料出入库明细!$L$4:$L$2003,$Z278-0)=0,"",INDEX(包装物料出入库明细!$L$4:$L$2003,$Z278-0)),IF($Z278&lt;=4000,N(INDEX(周转筐出入库明细!$H$4:$H$2004,$Z278-2000))+N(INDEX(周转筐出入库明细!$I$4:$I$2004,$Z278-2000))+N(INDEX(周转筐出入库明细!$J$4:$J$2004,$Z278-2000))+N(INDEX(周转筐出入库明细!$K$4:$K$2004,$Z278-2000)),IF($Z278&lt;=5200,N(INDEX(客户自备加工筐明细!$F$4:$F$1203,$Z278-4000))+N(INDEX(客户自备加工筐明细!$G$4:$G$1203,$Z278-4000)),IF($Z278&lt;=5800,IF(INDEX(次果筐明细!$G$4:$G$603,$Z278-5200)=0,"",INDEX(次果筐明细!$G$4:$G$603,$Z278-5200)),"")))))</f>
        <v/>
      </c>
      <c r="I278" s="24" t="str">
        <f>IF($Z278="","",IF($Z278&lt;=2000,IF(INDEX(包装物料出入库明细!$G$4:$G$2003,$Z278-0)=0,"",INDEX(包装物料出入库明细!$G$4:$G$2003,$Z278-0)),IF($Z278&lt;=4000,"个",IF($Z278&lt;=5200,"个",IF($Z278&lt;=5800,"个","")))))</f>
        <v/>
      </c>
      <c r="J278" s="30" t="str">
        <f t="shared" si="13"/>
        <v/>
      </c>
      <c r="K278" s="30" t="str">
        <f>IF($Z278="","",IF($Z278&lt;=2000,IF(INDEX(包装物料出入库明细!$N$4:$N$2003,$Z278-0)=0,"",INDEX(包装物料出入库明细!$N$4:$N$2003,$Z278-0)),IF($Z278&lt;=4000,IF(INDEX(周转筐出入库明细!$P$4:$P$2004,$Z278-2000)=0,"",INDEX(周转筐出入库明细!$P$4:$P$2004,$Z278-2000)),IF($Z278&lt;=5200,"",IF($Z278&lt;=5800,N(INDEX(次果筐明细!$L$4:$L$603,$Z278-5200))+N(INDEX(次果筐明细!$J$4:$J$603,$Z278-5200)),"")))))</f>
        <v/>
      </c>
      <c r="L278" s="24" t="str">
        <f>IF($Z278="","",IF($Z278&lt;=2000,IF(INDEX(包装物料出入库明细!$P$4:$P$2003,$Z278-0)=0,"",INDEX(包装物料出入库明细!$P$4:$P$2003,$Z278-0)),IF($Z278&lt;=4000,IF(INDEX(周转筐出入库明细!$Q$4:$Q$2004,$Z278-2000)=0,"",INDEX(周转筐出入库明细!$Q$4:$Q$2004,$Z278-2000)),IF($Z278&lt;=5200,"",IF($Z278&lt;=5800,IF(INDEX(次果筐明细!$M$4:$M$603,$Z278-5200)=0,"",INDEX(次果筐明细!$M$4:$M$603,$Z278-5200)),"")))))</f>
        <v/>
      </c>
      <c r="M278" s="37" t="str">
        <f>IF($Z278="","",IF($Z278&lt;=2000,IF(INDEX(包装物料出入库明细!$R$4:$R$2003,$Z278-0)=0,"",INDEX(包装物料出入库明细!$R$4:$R$2003,$Z278-0)),IF($Z278&lt;=4000,IF(INDEX(周转筐出入库明细!$W$4:$W$2004,$Z278-2000)=0,"",INDEX(周转筐出入库明细!$W$4:$W$2004,$Z278-2000)),IF($Z278&lt;=5200,IF(INDEX(客户自备加工筐明细!$L$4:$L$1203,$Z278-4000)=0,"",INDEX(客户自备加工筐明细!$L$4:$L$1203,$Z278-4000)),IF($Z278&lt;=5800,IF(INDEX(次果筐明细!$P$4:$P$603,$Z278-5200)=0,"",INDEX(次果筐明细!$P$4:$P$603,$Z278-5200)),"")))))</f>
        <v/>
      </c>
      <c r="N278" s="16" t="str">
        <f>IF($Z278="","",IF($Z278&lt;=2000,"",IF($Z278&lt;=4000,IF(INDEX(周转筐出入库明细!$D$4:$D$2004,$Z278-2000)=0,"",INDEX(周转筐出入库明细!$D$4:$D$2004,$Z278-2000)),IF($Z278&lt;=5200,IF(INDEX(客户自备加工筐明细!$C$4:$C$1203,$Z278-4000)=0,"",INDEX(客户自备加工筐明细!$C$4:$C$1203,$Z278-4000)),IF($Z278&lt;=5800,IF(INDEX(次果筐明细!$D$4:$D$603,$Z278-5200)=0,"",INDEX(次果筐明细!$D$4:$D$603,$Z278-5200)),"")))))</f>
        <v/>
      </c>
      <c r="O278" s="40" t="str">
        <f>IF($Z278="","",IF($Z278&lt;=2000,"",IF($Z278&lt;=4000,IF(N(INDEX(周转筐出入库明细!$J$4:$J$2004,$Z278-2000))+N(INDEX(周转筐出入库明细!$K$4:$K$2004,$Z278-2000))=0,"",N(INDEX(周转筐出入库明细!$J$4:$J$2004,$Z278-2000))+N(INDEX(周转筐出入库明细!$K$4:$K$2004,$Z278-2000))),IF($Z278&lt;=5200,IF(N(INDEX(客户自备加工筐明细!$G$4:$G$1203,$Z278-4000))=0,"",N(INDEX(客户自备加工筐明细!$G$4:$G$1203,$Z278-4000))),IF($Z278&lt;=5800,IF(ISNUMBER(SEARCH("退",INDEX(次果筐明细!$F$4:$F$603,$Z278-5200)&amp;"")),"",IF(N(INDEX(次果筐明细!$G$4:$G$603,$Z278-5200))=0,"",N(INDEX(次果筐明细!$G$4:$G$603,$Z278-5200)))),"")))))</f>
        <v/>
      </c>
      <c r="P278" s="40" t="str">
        <f>IF($Z278="","",IF($Z278&lt;=2000,"",IF($Z278&lt;=4000,IF(N(INDEX(周转筐出入库明细!$I$4:$I$2004,$Z278-2000))=0,"",N(INDEX(周转筐出入库明细!$I$4:$I$2004,$Z278-2000))),IF($Z278&lt;=5200,"",IF($Z278&lt;=5800,IF(ISNUMBER(SEARCH("退",INDEX(次果筐明细!$F$4:$F$603,$Z278-5200)&amp;"")),IF(N(INDEX(次果筐明细!$G$4:$G$603,$Z278-5200))=0,"",N(INDEX(次果筐明细!$G$4:$G$603,$Z278-5200))),""),"")))))</f>
        <v/>
      </c>
      <c r="Q278" s="40" t="str">
        <f>IF($Z278="","",IF($Z278&lt;=2000,"",IF($Z278&lt;=4000,IF(N(INDEX(周转筐出入库明细!$H$4:$H$2004,$Z278-2000))=0,"",N(INDEX(周转筐出入库明细!$H$4:$H$2004,$Z278-2000))),IF($Z278&lt;=5200,IF(N(INDEX(客户自备加工筐明细!$F$4:$F$1203,$Z278-4000))=0,"",N(INDEX(客户自备加工筐明细!$F$4:$F$1203,$Z278-4000))),IF($Z278&lt;=5800,"","")))))</f>
        <v/>
      </c>
      <c r="R278" s="16" t="str">
        <f>IF($Z278="","",IF($Z278&lt;=2000,IF(INDEX(包装物料出入库明细!$O$4:$O$2003,$Z278-0)=0,"",INDEX(包装物料出入库明细!$O$4:$O$2003,$Z278-0)),IF($Z278&lt;=4000,IF(INDEX(周转筐出入库明细!$M$4:$M$2004,$Z278-2000)=0,"",INDEX(周转筐出入库明细!$M$4:$M$2004,$Z278-2000)),IF($Z278&lt;=5200,IF(INDEX(客户自备加工筐明细!$H$4:$H$1203,$Z278-4000)=0,"",INDEX(客户自备加工筐明细!$H$4:$H$1203,$Z278-4000)),IF($Z278&lt;=5800,IF(INDEX(次果筐明细!$H$4:$H$603,$Z278-5200)=0,"",INDEX(次果筐明细!$H$4:$H$603,$Z278-5200)),"")))))</f>
        <v/>
      </c>
      <c r="S278" s="22" t="str">
        <f t="shared" si="14"/>
        <v/>
      </c>
      <c r="Z278" s="10" t="str">
        <f>IFERROR(MATCH(ROW()-3,_自动清单!$CQ$4:$CQ$5803,0),"")</f>
        <v/>
      </c>
    </row>
    <row r="279" spans="1:26">
      <c r="A279" s="24" t="str">
        <f t="shared" si="12"/>
        <v/>
      </c>
      <c r="B279" s="38" t="str">
        <f>IF($Z279="","",IF($Z279&lt;=2000,IF(INDEX(包装物料出入库明细!$B$4:$B$2003,$Z279-0)=0,"",INDEX(包装物料出入库明细!$B$4:$B$2003,$Z279-0)),IF($Z279&lt;=4000,IF(INDEX(周转筐出入库明细!$B$4:$B$2004,$Z279-2000)=0,"",INDEX(周转筐出入库明细!$B$4:$B$2004,$Z279-2000)),IF($Z279&lt;=5200,IF(INDEX(客户自备加工筐明细!$B$4:$B$1203,$Z279-4000)=0,"",INDEX(客户自备加工筐明细!$B$4:$B$1203,$Z279-4000)),IF($Z279&lt;=5800,IF(INDEX(次果筐明细!$B$4:$B$603,$Z279-5200)=0,"",INDEX(次果筐明细!$B$4:$B$603,$Z279-5200)),"")))))</f>
        <v/>
      </c>
      <c r="C279" s="37" t="str">
        <f>IF($Z279="","",IF($Z279&lt;=2000,IF(INDEX(包装物料出入库明细!$D$4:$D$2003,$Z279-0)=0,"",INDEX(包装物料出入库明细!$D$4:$D$2003,$Z279-0)),IF($Z279&lt;=4000,IF(INDEX(周转筐出入库明细!$C$4:$C$2004,$Z279-2000)=0,"",INDEX(周转筐出入库明细!$C$4:$C$2004,$Z279-2000)),IF($Z279&lt;=5200,IF(INDEX(客户自备加工筐明细!$E$4:$E$1203,$Z279-4000)=0,"",INDEX(客户自备加工筐明细!$E$4:$E$1203,$Z279-4000)),IF($Z279&lt;=5800,IF(INDEX(次果筐明细!$C$4:$C$603,$Z279-5200)=0,"",INDEX(次果筐明细!$C$4:$C$603,$Z279-5200)),"")))))</f>
        <v/>
      </c>
      <c r="D279" s="37" t="str">
        <f>IF($Z279="","",IF($Z279&lt;=2000,"包装物料－"&amp;INDEX(包装物料出入库明细!$H$4:$H$2003,$Z279-0),IF($Z279&lt;=4000,"周转筐－"&amp;INDEX(周转筐出入库明细!$F$4:$F$2004,$Z279-2000),IF($Z279&lt;=5200,"客户自备筐－"&amp;INDEX(客户自备加工筐明细!$J$4:$J$1203,$Z279-4000),IF($Z279&lt;=5800,"次果筐/托盘－"&amp;INDEX(次果筐明细!$F$4:$F$603,$Z279-5200),"")))))</f>
        <v/>
      </c>
      <c r="E279" s="24" t="str">
        <f>IF($Z279="","",IF($Z279&lt;=2000,IF(INDEX(包装物料出入库明细!$C$4:$C$2003,$Z279-0)=0,"",INDEX(包装物料出入库明细!$C$4:$C$2003,$Z279-0)),IF($Z279&lt;=4000,IF(INDEX(周转筐出入库明细!$E$4:$E$2004,$Z279-2000)=0,"",INDEX(周转筐出入库明细!$E$4:$E$2004,$Z279-2000)),IF($Z279&lt;=5200,IF(INDEX(客户自备加工筐明细!$D$4:$D$1203,$Z279-4000)=0,"",INDEX(客户自备加工筐明细!$D$4:$D$1203,$Z279-4000)),IF($Z279&lt;=5800,IF(INDEX(次果筐明细!$E$4:$E$603,$Z279-5200)=0,"",INDEX(次果筐明细!$E$4:$E$603,$Z279-5200)),"")))))</f>
        <v/>
      </c>
      <c r="F279" s="24" t="str">
        <f>IF($Z279="","",IF($Z279&lt;=2000,IF(INDEX(包装物料出入库明细!$E$4:$E$2003,$Z279-0)=0,"",INDEX(包装物料出入库明细!$E$4:$E$2003,$Z279-0)),IF($Z279&lt;=4000,IF(INDEX(周转筐出入库明细!$D$4:$D$2004,$Z279-2000)=0,"",INDEX(周转筐出入库明细!$D$4:$D$2004,$Z279-2000)),IF($Z279&lt;=5200,IF(INDEX(客户自备加工筐明细!$C$4:$C$1203,$Z279-4000)=0,"",INDEX(客户自备加工筐明细!$C$4:$C$1203,$Z279-4000)),IF($Z279&lt;=5800,IF(INDEX(次果筐明细!$D$4:$D$603,$Z279-5200)=0,"",INDEX(次果筐明细!$D$4:$D$603,$Z279-5200)),"")))))</f>
        <v/>
      </c>
      <c r="G279" s="24" t="str">
        <f>IF($Z279="","",IF($Z279&lt;=2000,IF(INDEX(包装物料出入库明细!$F$4:$F$2003,$Z279-0)=0,"",INDEX(包装物料出入库明细!$F$4:$F$2003,$Z279-0)),IF($Z279&lt;=4000,"",IF($Z279&lt;=5200,"",IF($Z279&lt;=5800,"","")))))</f>
        <v/>
      </c>
      <c r="H279" s="39" t="str">
        <f>IF($Z279="","",IF($Z279&lt;=2000,IF(INDEX(包装物料出入库明细!$L$4:$L$2003,$Z279-0)=0,"",INDEX(包装物料出入库明细!$L$4:$L$2003,$Z279-0)),IF($Z279&lt;=4000,N(INDEX(周转筐出入库明细!$H$4:$H$2004,$Z279-2000))+N(INDEX(周转筐出入库明细!$I$4:$I$2004,$Z279-2000))+N(INDEX(周转筐出入库明细!$J$4:$J$2004,$Z279-2000))+N(INDEX(周转筐出入库明细!$K$4:$K$2004,$Z279-2000)),IF($Z279&lt;=5200,N(INDEX(客户自备加工筐明细!$F$4:$F$1203,$Z279-4000))+N(INDEX(客户自备加工筐明细!$G$4:$G$1203,$Z279-4000)),IF($Z279&lt;=5800,IF(INDEX(次果筐明细!$G$4:$G$603,$Z279-5200)=0,"",INDEX(次果筐明细!$G$4:$G$603,$Z279-5200)),"")))))</f>
        <v/>
      </c>
      <c r="I279" s="24" t="str">
        <f>IF($Z279="","",IF($Z279&lt;=2000,IF(INDEX(包装物料出入库明细!$G$4:$G$2003,$Z279-0)=0,"",INDEX(包装物料出入库明细!$G$4:$G$2003,$Z279-0)),IF($Z279&lt;=4000,"个",IF($Z279&lt;=5200,"个",IF($Z279&lt;=5800,"个","")))))</f>
        <v/>
      </c>
      <c r="J279" s="30" t="str">
        <f t="shared" si="13"/>
        <v/>
      </c>
      <c r="K279" s="30" t="str">
        <f>IF($Z279="","",IF($Z279&lt;=2000,IF(INDEX(包装物料出入库明细!$N$4:$N$2003,$Z279-0)=0,"",INDEX(包装物料出入库明细!$N$4:$N$2003,$Z279-0)),IF($Z279&lt;=4000,IF(INDEX(周转筐出入库明细!$P$4:$P$2004,$Z279-2000)=0,"",INDEX(周转筐出入库明细!$P$4:$P$2004,$Z279-2000)),IF($Z279&lt;=5200,"",IF($Z279&lt;=5800,N(INDEX(次果筐明细!$L$4:$L$603,$Z279-5200))+N(INDEX(次果筐明细!$J$4:$J$603,$Z279-5200)),"")))))</f>
        <v/>
      </c>
      <c r="L279" s="24" t="str">
        <f>IF($Z279="","",IF($Z279&lt;=2000,IF(INDEX(包装物料出入库明细!$P$4:$P$2003,$Z279-0)=0,"",INDEX(包装物料出入库明细!$P$4:$P$2003,$Z279-0)),IF($Z279&lt;=4000,IF(INDEX(周转筐出入库明细!$Q$4:$Q$2004,$Z279-2000)=0,"",INDEX(周转筐出入库明细!$Q$4:$Q$2004,$Z279-2000)),IF($Z279&lt;=5200,"",IF($Z279&lt;=5800,IF(INDEX(次果筐明细!$M$4:$M$603,$Z279-5200)=0,"",INDEX(次果筐明细!$M$4:$M$603,$Z279-5200)),"")))))</f>
        <v/>
      </c>
      <c r="M279" s="37" t="str">
        <f>IF($Z279="","",IF($Z279&lt;=2000,IF(INDEX(包装物料出入库明细!$R$4:$R$2003,$Z279-0)=0,"",INDEX(包装物料出入库明细!$R$4:$R$2003,$Z279-0)),IF($Z279&lt;=4000,IF(INDEX(周转筐出入库明细!$W$4:$W$2004,$Z279-2000)=0,"",INDEX(周转筐出入库明细!$W$4:$W$2004,$Z279-2000)),IF($Z279&lt;=5200,IF(INDEX(客户自备加工筐明细!$L$4:$L$1203,$Z279-4000)=0,"",INDEX(客户自备加工筐明细!$L$4:$L$1203,$Z279-4000)),IF($Z279&lt;=5800,IF(INDEX(次果筐明细!$P$4:$P$603,$Z279-5200)=0,"",INDEX(次果筐明细!$P$4:$P$603,$Z279-5200)),"")))))</f>
        <v/>
      </c>
      <c r="N279" s="16" t="str">
        <f>IF($Z279="","",IF($Z279&lt;=2000,"",IF($Z279&lt;=4000,IF(INDEX(周转筐出入库明细!$D$4:$D$2004,$Z279-2000)=0,"",INDEX(周转筐出入库明细!$D$4:$D$2004,$Z279-2000)),IF($Z279&lt;=5200,IF(INDEX(客户自备加工筐明细!$C$4:$C$1203,$Z279-4000)=0,"",INDEX(客户自备加工筐明细!$C$4:$C$1203,$Z279-4000)),IF($Z279&lt;=5800,IF(INDEX(次果筐明细!$D$4:$D$603,$Z279-5200)=0,"",INDEX(次果筐明细!$D$4:$D$603,$Z279-5200)),"")))))</f>
        <v/>
      </c>
      <c r="O279" s="40" t="str">
        <f>IF($Z279="","",IF($Z279&lt;=2000,"",IF($Z279&lt;=4000,IF(N(INDEX(周转筐出入库明细!$J$4:$J$2004,$Z279-2000))+N(INDEX(周转筐出入库明细!$K$4:$K$2004,$Z279-2000))=0,"",N(INDEX(周转筐出入库明细!$J$4:$J$2004,$Z279-2000))+N(INDEX(周转筐出入库明细!$K$4:$K$2004,$Z279-2000))),IF($Z279&lt;=5200,IF(N(INDEX(客户自备加工筐明细!$G$4:$G$1203,$Z279-4000))=0,"",N(INDEX(客户自备加工筐明细!$G$4:$G$1203,$Z279-4000))),IF($Z279&lt;=5800,IF(ISNUMBER(SEARCH("退",INDEX(次果筐明细!$F$4:$F$603,$Z279-5200)&amp;"")),"",IF(N(INDEX(次果筐明细!$G$4:$G$603,$Z279-5200))=0,"",N(INDEX(次果筐明细!$G$4:$G$603,$Z279-5200)))),"")))))</f>
        <v/>
      </c>
      <c r="P279" s="40" t="str">
        <f>IF($Z279="","",IF($Z279&lt;=2000,"",IF($Z279&lt;=4000,IF(N(INDEX(周转筐出入库明细!$I$4:$I$2004,$Z279-2000))=0,"",N(INDEX(周转筐出入库明细!$I$4:$I$2004,$Z279-2000))),IF($Z279&lt;=5200,"",IF($Z279&lt;=5800,IF(ISNUMBER(SEARCH("退",INDEX(次果筐明细!$F$4:$F$603,$Z279-5200)&amp;"")),IF(N(INDEX(次果筐明细!$G$4:$G$603,$Z279-5200))=0,"",N(INDEX(次果筐明细!$G$4:$G$603,$Z279-5200))),""),"")))))</f>
        <v/>
      </c>
      <c r="Q279" s="40" t="str">
        <f>IF($Z279="","",IF($Z279&lt;=2000,"",IF($Z279&lt;=4000,IF(N(INDEX(周转筐出入库明细!$H$4:$H$2004,$Z279-2000))=0,"",N(INDEX(周转筐出入库明细!$H$4:$H$2004,$Z279-2000))),IF($Z279&lt;=5200,IF(N(INDEX(客户自备加工筐明细!$F$4:$F$1203,$Z279-4000))=0,"",N(INDEX(客户自备加工筐明细!$F$4:$F$1203,$Z279-4000))),IF($Z279&lt;=5800,"","")))))</f>
        <v/>
      </c>
      <c r="R279" s="16" t="str">
        <f>IF($Z279="","",IF($Z279&lt;=2000,IF(INDEX(包装物料出入库明细!$O$4:$O$2003,$Z279-0)=0,"",INDEX(包装物料出入库明细!$O$4:$O$2003,$Z279-0)),IF($Z279&lt;=4000,IF(INDEX(周转筐出入库明细!$M$4:$M$2004,$Z279-2000)=0,"",INDEX(周转筐出入库明细!$M$4:$M$2004,$Z279-2000)),IF($Z279&lt;=5200,IF(INDEX(客户自备加工筐明细!$H$4:$H$1203,$Z279-4000)=0,"",INDEX(客户自备加工筐明细!$H$4:$H$1203,$Z279-4000)),IF($Z279&lt;=5800,IF(INDEX(次果筐明细!$H$4:$H$603,$Z279-5200)=0,"",INDEX(次果筐明细!$H$4:$H$603,$Z279-5200)),"")))))</f>
        <v/>
      </c>
      <c r="S279" s="22" t="str">
        <f t="shared" si="14"/>
        <v/>
      </c>
      <c r="Z279" s="10" t="str">
        <f>IFERROR(MATCH(ROW()-3,_自动清单!$CQ$4:$CQ$5803,0),"")</f>
        <v/>
      </c>
    </row>
    <row r="280" spans="1:26">
      <c r="A280" s="24" t="str">
        <f t="shared" si="12"/>
        <v/>
      </c>
      <c r="B280" s="38" t="str">
        <f>IF($Z280="","",IF($Z280&lt;=2000,IF(INDEX(包装物料出入库明细!$B$4:$B$2003,$Z280-0)=0,"",INDEX(包装物料出入库明细!$B$4:$B$2003,$Z280-0)),IF($Z280&lt;=4000,IF(INDEX(周转筐出入库明细!$B$4:$B$2004,$Z280-2000)=0,"",INDEX(周转筐出入库明细!$B$4:$B$2004,$Z280-2000)),IF($Z280&lt;=5200,IF(INDEX(客户自备加工筐明细!$B$4:$B$1203,$Z280-4000)=0,"",INDEX(客户自备加工筐明细!$B$4:$B$1203,$Z280-4000)),IF($Z280&lt;=5800,IF(INDEX(次果筐明细!$B$4:$B$603,$Z280-5200)=0,"",INDEX(次果筐明细!$B$4:$B$603,$Z280-5200)),"")))))</f>
        <v/>
      </c>
      <c r="C280" s="37" t="str">
        <f>IF($Z280="","",IF($Z280&lt;=2000,IF(INDEX(包装物料出入库明细!$D$4:$D$2003,$Z280-0)=0,"",INDEX(包装物料出入库明细!$D$4:$D$2003,$Z280-0)),IF($Z280&lt;=4000,IF(INDEX(周转筐出入库明细!$C$4:$C$2004,$Z280-2000)=0,"",INDEX(周转筐出入库明细!$C$4:$C$2004,$Z280-2000)),IF($Z280&lt;=5200,IF(INDEX(客户自备加工筐明细!$E$4:$E$1203,$Z280-4000)=0,"",INDEX(客户自备加工筐明细!$E$4:$E$1203,$Z280-4000)),IF($Z280&lt;=5800,IF(INDEX(次果筐明细!$C$4:$C$603,$Z280-5200)=0,"",INDEX(次果筐明细!$C$4:$C$603,$Z280-5200)),"")))))</f>
        <v/>
      </c>
      <c r="D280" s="37" t="str">
        <f>IF($Z280="","",IF($Z280&lt;=2000,"包装物料－"&amp;INDEX(包装物料出入库明细!$H$4:$H$2003,$Z280-0),IF($Z280&lt;=4000,"周转筐－"&amp;INDEX(周转筐出入库明细!$F$4:$F$2004,$Z280-2000),IF($Z280&lt;=5200,"客户自备筐－"&amp;INDEX(客户自备加工筐明细!$J$4:$J$1203,$Z280-4000),IF($Z280&lt;=5800,"次果筐/托盘－"&amp;INDEX(次果筐明细!$F$4:$F$603,$Z280-5200),"")))))</f>
        <v/>
      </c>
      <c r="E280" s="24" t="str">
        <f>IF($Z280="","",IF($Z280&lt;=2000,IF(INDEX(包装物料出入库明细!$C$4:$C$2003,$Z280-0)=0,"",INDEX(包装物料出入库明细!$C$4:$C$2003,$Z280-0)),IF($Z280&lt;=4000,IF(INDEX(周转筐出入库明细!$E$4:$E$2004,$Z280-2000)=0,"",INDEX(周转筐出入库明细!$E$4:$E$2004,$Z280-2000)),IF($Z280&lt;=5200,IF(INDEX(客户自备加工筐明细!$D$4:$D$1203,$Z280-4000)=0,"",INDEX(客户自备加工筐明细!$D$4:$D$1203,$Z280-4000)),IF($Z280&lt;=5800,IF(INDEX(次果筐明细!$E$4:$E$603,$Z280-5200)=0,"",INDEX(次果筐明细!$E$4:$E$603,$Z280-5200)),"")))))</f>
        <v/>
      </c>
      <c r="F280" s="24" t="str">
        <f>IF($Z280="","",IF($Z280&lt;=2000,IF(INDEX(包装物料出入库明细!$E$4:$E$2003,$Z280-0)=0,"",INDEX(包装物料出入库明细!$E$4:$E$2003,$Z280-0)),IF($Z280&lt;=4000,IF(INDEX(周转筐出入库明细!$D$4:$D$2004,$Z280-2000)=0,"",INDEX(周转筐出入库明细!$D$4:$D$2004,$Z280-2000)),IF($Z280&lt;=5200,IF(INDEX(客户自备加工筐明细!$C$4:$C$1203,$Z280-4000)=0,"",INDEX(客户自备加工筐明细!$C$4:$C$1203,$Z280-4000)),IF($Z280&lt;=5800,IF(INDEX(次果筐明细!$D$4:$D$603,$Z280-5200)=0,"",INDEX(次果筐明细!$D$4:$D$603,$Z280-5200)),"")))))</f>
        <v/>
      </c>
      <c r="G280" s="24" t="str">
        <f>IF($Z280="","",IF($Z280&lt;=2000,IF(INDEX(包装物料出入库明细!$F$4:$F$2003,$Z280-0)=0,"",INDEX(包装物料出入库明细!$F$4:$F$2003,$Z280-0)),IF($Z280&lt;=4000,"",IF($Z280&lt;=5200,"",IF($Z280&lt;=5800,"","")))))</f>
        <v/>
      </c>
      <c r="H280" s="39" t="str">
        <f>IF($Z280="","",IF($Z280&lt;=2000,IF(INDEX(包装物料出入库明细!$L$4:$L$2003,$Z280-0)=0,"",INDEX(包装物料出入库明细!$L$4:$L$2003,$Z280-0)),IF($Z280&lt;=4000,N(INDEX(周转筐出入库明细!$H$4:$H$2004,$Z280-2000))+N(INDEX(周转筐出入库明细!$I$4:$I$2004,$Z280-2000))+N(INDEX(周转筐出入库明细!$J$4:$J$2004,$Z280-2000))+N(INDEX(周转筐出入库明细!$K$4:$K$2004,$Z280-2000)),IF($Z280&lt;=5200,N(INDEX(客户自备加工筐明细!$F$4:$F$1203,$Z280-4000))+N(INDEX(客户自备加工筐明细!$G$4:$G$1203,$Z280-4000)),IF($Z280&lt;=5800,IF(INDEX(次果筐明细!$G$4:$G$603,$Z280-5200)=0,"",INDEX(次果筐明细!$G$4:$G$603,$Z280-5200)),"")))))</f>
        <v/>
      </c>
      <c r="I280" s="24" t="str">
        <f>IF($Z280="","",IF($Z280&lt;=2000,IF(INDEX(包装物料出入库明细!$G$4:$G$2003,$Z280-0)=0,"",INDEX(包装物料出入库明细!$G$4:$G$2003,$Z280-0)),IF($Z280&lt;=4000,"个",IF($Z280&lt;=5200,"个",IF($Z280&lt;=5800,"个","")))))</f>
        <v/>
      </c>
      <c r="J280" s="30" t="str">
        <f t="shared" si="13"/>
        <v/>
      </c>
      <c r="K280" s="30" t="str">
        <f>IF($Z280="","",IF($Z280&lt;=2000,IF(INDEX(包装物料出入库明细!$N$4:$N$2003,$Z280-0)=0,"",INDEX(包装物料出入库明细!$N$4:$N$2003,$Z280-0)),IF($Z280&lt;=4000,IF(INDEX(周转筐出入库明细!$P$4:$P$2004,$Z280-2000)=0,"",INDEX(周转筐出入库明细!$P$4:$P$2004,$Z280-2000)),IF($Z280&lt;=5200,"",IF($Z280&lt;=5800,N(INDEX(次果筐明细!$L$4:$L$603,$Z280-5200))+N(INDEX(次果筐明细!$J$4:$J$603,$Z280-5200)),"")))))</f>
        <v/>
      </c>
      <c r="L280" s="24" t="str">
        <f>IF($Z280="","",IF($Z280&lt;=2000,IF(INDEX(包装物料出入库明细!$P$4:$P$2003,$Z280-0)=0,"",INDEX(包装物料出入库明细!$P$4:$P$2003,$Z280-0)),IF($Z280&lt;=4000,IF(INDEX(周转筐出入库明细!$Q$4:$Q$2004,$Z280-2000)=0,"",INDEX(周转筐出入库明细!$Q$4:$Q$2004,$Z280-2000)),IF($Z280&lt;=5200,"",IF($Z280&lt;=5800,IF(INDEX(次果筐明细!$M$4:$M$603,$Z280-5200)=0,"",INDEX(次果筐明细!$M$4:$M$603,$Z280-5200)),"")))))</f>
        <v/>
      </c>
      <c r="M280" s="37" t="str">
        <f>IF($Z280="","",IF($Z280&lt;=2000,IF(INDEX(包装物料出入库明细!$R$4:$R$2003,$Z280-0)=0,"",INDEX(包装物料出入库明细!$R$4:$R$2003,$Z280-0)),IF($Z280&lt;=4000,IF(INDEX(周转筐出入库明细!$W$4:$W$2004,$Z280-2000)=0,"",INDEX(周转筐出入库明细!$W$4:$W$2004,$Z280-2000)),IF($Z280&lt;=5200,IF(INDEX(客户自备加工筐明细!$L$4:$L$1203,$Z280-4000)=0,"",INDEX(客户自备加工筐明细!$L$4:$L$1203,$Z280-4000)),IF($Z280&lt;=5800,IF(INDEX(次果筐明细!$P$4:$P$603,$Z280-5200)=0,"",INDEX(次果筐明细!$P$4:$P$603,$Z280-5200)),"")))))</f>
        <v/>
      </c>
      <c r="N280" s="16" t="str">
        <f>IF($Z280="","",IF($Z280&lt;=2000,"",IF($Z280&lt;=4000,IF(INDEX(周转筐出入库明细!$D$4:$D$2004,$Z280-2000)=0,"",INDEX(周转筐出入库明细!$D$4:$D$2004,$Z280-2000)),IF($Z280&lt;=5200,IF(INDEX(客户自备加工筐明细!$C$4:$C$1203,$Z280-4000)=0,"",INDEX(客户自备加工筐明细!$C$4:$C$1203,$Z280-4000)),IF($Z280&lt;=5800,IF(INDEX(次果筐明细!$D$4:$D$603,$Z280-5200)=0,"",INDEX(次果筐明细!$D$4:$D$603,$Z280-5200)),"")))))</f>
        <v/>
      </c>
      <c r="O280" s="40" t="str">
        <f>IF($Z280="","",IF($Z280&lt;=2000,"",IF($Z280&lt;=4000,IF(N(INDEX(周转筐出入库明细!$J$4:$J$2004,$Z280-2000))+N(INDEX(周转筐出入库明细!$K$4:$K$2004,$Z280-2000))=0,"",N(INDEX(周转筐出入库明细!$J$4:$J$2004,$Z280-2000))+N(INDEX(周转筐出入库明细!$K$4:$K$2004,$Z280-2000))),IF($Z280&lt;=5200,IF(N(INDEX(客户自备加工筐明细!$G$4:$G$1203,$Z280-4000))=0,"",N(INDEX(客户自备加工筐明细!$G$4:$G$1203,$Z280-4000))),IF($Z280&lt;=5800,IF(ISNUMBER(SEARCH("退",INDEX(次果筐明细!$F$4:$F$603,$Z280-5200)&amp;"")),"",IF(N(INDEX(次果筐明细!$G$4:$G$603,$Z280-5200))=0,"",N(INDEX(次果筐明细!$G$4:$G$603,$Z280-5200)))),"")))))</f>
        <v/>
      </c>
      <c r="P280" s="40" t="str">
        <f>IF($Z280="","",IF($Z280&lt;=2000,"",IF($Z280&lt;=4000,IF(N(INDEX(周转筐出入库明细!$I$4:$I$2004,$Z280-2000))=0,"",N(INDEX(周转筐出入库明细!$I$4:$I$2004,$Z280-2000))),IF($Z280&lt;=5200,"",IF($Z280&lt;=5800,IF(ISNUMBER(SEARCH("退",INDEX(次果筐明细!$F$4:$F$603,$Z280-5200)&amp;"")),IF(N(INDEX(次果筐明细!$G$4:$G$603,$Z280-5200))=0,"",N(INDEX(次果筐明细!$G$4:$G$603,$Z280-5200))),""),"")))))</f>
        <v/>
      </c>
      <c r="Q280" s="40" t="str">
        <f>IF($Z280="","",IF($Z280&lt;=2000,"",IF($Z280&lt;=4000,IF(N(INDEX(周转筐出入库明细!$H$4:$H$2004,$Z280-2000))=0,"",N(INDEX(周转筐出入库明细!$H$4:$H$2004,$Z280-2000))),IF($Z280&lt;=5200,IF(N(INDEX(客户自备加工筐明细!$F$4:$F$1203,$Z280-4000))=0,"",N(INDEX(客户自备加工筐明细!$F$4:$F$1203,$Z280-4000))),IF($Z280&lt;=5800,"","")))))</f>
        <v/>
      </c>
      <c r="R280" s="16" t="str">
        <f>IF($Z280="","",IF($Z280&lt;=2000,IF(INDEX(包装物料出入库明细!$O$4:$O$2003,$Z280-0)=0,"",INDEX(包装物料出入库明细!$O$4:$O$2003,$Z280-0)),IF($Z280&lt;=4000,IF(INDEX(周转筐出入库明细!$M$4:$M$2004,$Z280-2000)=0,"",INDEX(周转筐出入库明细!$M$4:$M$2004,$Z280-2000)),IF($Z280&lt;=5200,IF(INDEX(客户自备加工筐明细!$H$4:$H$1203,$Z280-4000)=0,"",INDEX(客户自备加工筐明细!$H$4:$H$1203,$Z280-4000)),IF($Z280&lt;=5800,IF(INDEX(次果筐明细!$H$4:$H$603,$Z280-5200)=0,"",INDEX(次果筐明细!$H$4:$H$603,$Z280-5200)),"")))))</f>
        <v/>
      </c>
      <c r="S280" s="22" t="str">
        <f t="shared" si="14"/>
        <v/>
      </c>
      <c r="Z280" s="10" t="str">
        <f>IFERROR(MATCH(ROW()-3,_自动清单!$CQ$4:$CQ$5803,0),"")</f>
        <v/>
      </c>
    </row>
    <row r="281" spans="1:26">
      <c r="A281" s="24" t="str">
        <f t="shared" si="12"/>
        <v/>
      </c>
      <c r="B281" s="38" t="str">
        <f>IF($Z281="","",IF($Z281&lt;=2000,IF(INDEX(包装物料出入库明细!$B$4:$B$2003,$Z281-0)=0,"",INDEX(包装物料出入库明细!$B$4:$B$2003,$Z281-0)),IF($Z281&lt;=4000,IF(INDEX(周转筐出入库明细!$B$4:$B$2004,$Z281-2000)=0,"",INDEX(周转筐出入库明细!$B$4:$B$2004,$Z281-2000)),IF($Z281&lt;=5200,IF(INDEX(客户自备加工筐明细!$B$4:$B$1203,$Z281-4000)=0,"",INDEX(客户自备加工筐明细!$B$4:$B$1203,$Z281-4000)),IF($Z281&lt;=5800,IF(INDEX(次果筐明细!$B$4:$B$603,$Z281-5200)=0,"",INDEX(次果筐明细!$B$4:$B$603,$Z281-5200)),"")))))</f>
        <v/>
      </c>
      <c r="C281" s="37" t="str">
        <f>IF($Z281="","",IF($Z281&lt;=2000,IF(INDEX(包装物料出入库明细!$D$4:$D$2003,$Z281-0)=0,"",INDEX(包装物料出入库明细!$D$4:$D$2003,$Z281-0)),IF($Z281&lt;=4000,IF(INDEX(周转筐出入库明细!$C$4:$C$2004,$Z281-2000)=0,"",INDEX(周转筐出入库明细!$C$4:$C$2004,$Z281-2000)),IF($Z281&lt;=5200,IF(INDEX(客户自备加工筐明细!$E$4:$E$1203,$Z281-4000)=0,"",INDEX(客户自备加工筐明细!$E$4:$E$1203,$Z281-4000)),IF($Z281&lt;=5800,IF(INDEX(次果筐明细!$C$4:$C$603,$Z281-5200)=0,"",INDEX(次果筐明细!$C$4:$C$603,$Z281-5200)),"")))))</f>
        <v/>
      </c>
      <c r="D281" s="37" t="str">
        <f>IF($Z281="","",IF($Z281&lt;=2000,"包装物料－"&amp;INDEX(包装物料出入库明细!$H$4:$H$2003,$Z281-0),IF($Z281&lt;=4000,"周转筐－"&amp;INDEX(周转筐出入库明细!$F$4:$F$2004,$Z281-2000),IF($Z281&lt;=5200,"客户自备筐－"&amp;INDEX(客户自备加工筐明细!$J$4:$J$1203,$Z281-4000),IF($Z281&lt;=5800,"次果筐/托盘－"&amp;INDEX(次果筐明细!$F$4:$F$603,$Z281-5200),"")))))</f>
        <v/>
      </c>
      <c r="E281" s="24" t="str">
        <f>IF($Z281="","",IF($Z281&lt;=2000,IF(INDEX(包装物料出入库明细!$C$4:$C$2003,$Z281-0)=0,"",INDEX(包装物料出入库明细!$C$4:$C$2003,$Z281-0)),IF($Z281&lt;=4000,IF(INDEX(周转筐出入库明细!$E$4:$E$2004,$Z281-2000)=0,"",INDEX(周转筐出入库明细!$E$4:$E$2004,$Z281-2000)),IF($Z281&lt;=5200,IF(INDEX(客户自备加工筐明细!$D$4:$D$1203,$Z281-4000)=0,"",INDEX(客户自备加工筐明细!$D$4:$D$1203,$Z281-4000)),IF($Z281&lt;=5800,IF(INDEX(次果筐明细!$E$4:$E$603,$Z281-5200)=0,"",INDEX(次果筐明细!$E$4:$E$603,$Z281-5200)),"")))))</f>
        <v/>
      </c>
      <c r="F281" s="24" t="str">
        <f>IF($Z281="","",IF($Z281&lt;=2000,IF(INDEX(包装物料出入库明细!$E$4:$E$2003,$Z281-0)=0,"",INDEX(包装物料出入库明细!$E$4:$E$2003,$Z281-0)),IF($Z281&lt;=4000,IF(INDEX(周转筐出入库明细!$D$4:$D$2004,$Z281-2000)=0,"",INDEX(周转筐出入库明细!$D$4:$D$2004,$Z281-2000)),IF($Z281&lt;=5200,IF(INDEX(客户自备加工筐明细!$C$4:$C$1203,$Z281-4000)=0,"",INDEX(客户自备加工筐明细!$C$4:$C$1203,$Z281-4000)),IF($Z281&lt;=5800,IF(INDEX(次果筐明细!$D$4:$D$603,$Z281-5200)=0,"",INDEX(次果筐明细!$D$4:$D$603,$Z281-5200)),"")))))</f>
        <v/>
      </c>
      <c r="G281" s="24" t="str">
        <f>IF($Z281="","",IF($Z281&lt;=2000,IF(INDEX(包装物料出入库明细!$F$4:$F$2003,$Z281-0)=0,"",INDEX(包装物料出入库明细!$F$4:$F$2003,$Z281-0)),IF($Z281&lt;=4000,"",IF($Z281&lt;=5200,"",IF($Z281&lt;=5800,"","")))))</f>
        <v/>
      </c>
      <c r="H281" s="39" t="str">
        <f>IF($Z281="","",IF($Z281&lt;=2000,IF(INDEX(包装物料出入库明细!$L$4:$L$2003,$Z281-0)=0,"",INDEX(包装物料出入库明细!$L$4:$L$2003,$Z281-0)),IF($Z281&lt;=4000,N(INDEX(周转筐出入库明细!$H$4:$H$2004,$Z281-2000))+N(INDEX(周转筐出入库明细!$I$4:$I$2004,$Z281-2000))+N(INDEX(周转筐出入库明细!$J$4:$J$2004,$Z281-2000))+N(INDEX(周转筐出入库明细!$K$4:$K$2004,$Z281-2000)),IF($Z281&lt;=5200,N(INDEX(客户自备加工筐明细!$F$4:$F$1203,$Z281-4000))+N(INDEX(客户自备加工筐明细!$G$4:$G$1203,$Z281-4000)),IF($Z281&lt;=5800,IF(INDEX(次果筐明细!$G$4:$G$603,$Z281-5200)=0,"",INDEX(次果筐明细!$G$4:$G$603,$Z281-5200)),"")))))</f>
        <v/>
      </c>
      <c r="I281" s="24" t="str">
        <f>IF($Z281="","",IF($Z281&lt;=2000,IF(INDEX(包装物料出入库明细!$G$4:$G$2003,$Z281-0)=0,"",INDEX(包装物料出入库明细!$G$4:$G$2003,$Z281-0)),IF($Z281&lt;=4000,"个",IF($Z281&lt;=5200,"个",IF($Z281&lt;=5800,"个","")))))</f>
        <v/>
      </c>
      <c r="J281" s="30" t="str">
        <f t="shared" si="13"/>
        <v/>
      </c>
      <c r="K281" s="30" t="str">
        <f>IF($Z281="","",IF($Z281&lt;=2000,IF(INDEX(包装物料出入库明细!$N$4:$N$2003,$Z281-0)=0,"",INDEX(包装物料出入库明细!$N$4:$N$2003,$Z281-0)),IF($Z281&lt;=4000,IF(INDEX(周转筐出入库明细!$P$4:$P$2004,$Z281-2000)=0,"",INDEX(周转筐出入库明细!$P$4:$P$2004,$Z281-2000)),IF($Z281&lt;=5200,"",IF($Z281&lt;=5800,N(INDEX(次果筐明细!$L$4:$L$603,$Z281-5200))+N(INDEX(次果筐明细!$J$4:$J$603,$Z281-5200)),"")))))</f>
        <v/>
      </c>
      <c r="L281" s="24" t="str">
        <f>IF($Z281="","",IF($Z281&lt;=2000,IF(INDEX(包装物料出入库明细!$P$4:$P$2003,$Z281-0)=0,"",INDEX(包装物料出入库明细!$P$4:$P$2003,$Z281-0)),IF($Z281&lt;=4000,IF(INDEX(周转筐出入库明细!$Q$4:$Q$2004,$Z281-2000)=0,"",INDEX(周转筐出入库明细!$Q$4:$Q$2004,$Z281-2000)),IF($Z281&lt;=5200,"",IF($Z281&lt;=5800,IF(INDEX(次果筐明细!$M$4:$M$603,$Z281-5200)=0,"",INDEX(次果筐明细!$M$4:$M$603,$Z281-5200)),"")))))</f>
        <v/>
      </c>
      <c r="M281" s="37" t="str">
        <f>IF($Z281="","",IF($Z281&lt;=2000,IF(INDEX(包装物料出入库明细!$R$4:$R$2003,$Z281-0)=0,"",INDEX(包装物料出入库明细!$R$4:$R$2003,$Z281-0)),IF($Z281&lt;=4000,IF(INDEX(周转筐出入库明细!$W$4:$W$2004,$Z281-2000)=0,"",INDEX(周转筐出入库明细!$W$4:$W$2004,$Z281-2000)),IF($Z281&lt;=5200,IF(INDEX(客户自备加工筐明细!$L$4:$L$1203,$Z281-4000)=0,"",INDEX(客户自备加工筐明细!$L$4:$L$1203,$Z281-4000)),IF($Z281&lt;=5800,IF(INDEX(次果筐明细!$P$4:$P$603,$Z281-5200)=0,"",INDEX(次果筐明细!$P$4:$P$603,$Z281-5200)),"")))))</f>
        <v/>
      </c>
      <c r="N281" s="16" t="str">
        <f>IF($Z281="","",IF($Z281&lt;=2000,"",IF($Z281&lt;=4000,IF(INDEX(周转筐出入库明细!$D$4:$D$2004,$Z281-2000)=0,"",INDEX(周转筐出入库明细!$D$4:$D$2004,$Z281-2000)),IF($Z281&lt;=5200,IF(INDEX(客户自备加工筐明细!$C$4:$C$1203,$Z281-4000)=0,"",INDEX(客户自备加工筐明细!$C$4:$C$1203,$Z281-4000)),IF($Z281&lt;=5800,IF(INDEX(次果筐明细!$D$4:$D$603,$Z281-5200)=0,"",INDEX(次果筐明细!$D$4:$D$603,$Z281-5200)),"")))))</f>
        <v/>
      </c>
      <c r="O281" s="40" t="str">
        <f>IF($Z281="","",IF($Z281&lt;=2000,"",IF($Z281&lt;=4000,IF(N(INDEX(周转筐出入库明细!$J$4:$J$2004,$Z281-2000))+N(INDEX(周转筐出入库明细!$K$4:$K$2004,$Z281-2000))=0,"",N(INDEX(周转筐出入库明细!$J$4:$J$2004,$Z281-2000))+N(INDEX(周转筐出入库明细!$K$4:$K$2004,$Z281-2000))),IF($Z281&lt;=5200,IF(N(INDEX(客户自备加工筐明细!$G$4:$G$1203,$Z281-4000))=0,"",N(INDEX(客户自备加工筐明细!$G$4:$G$1203,$Z281-4000))),IF($Z281&lt;=5800,IF(ISNUMBER(SEARCH("退",INDEX(次果筐明细!$F$4:$F$603,$Z281-5200)&amp;"")),"",IF(N(INDEX(次果筐明细!$G$4:$G$603,$Z281-5200))=0,"",N(INDEX(次果筐明细!$G$4:$G$603,$Z281-5200)))),"")))))</f>
        <v/>
      </c>
      <c r="P281" s="40" t="str">
        <f>IF($Z281="","",IF($Z281&lt;=2000,"",IF($Z281&lt;=4000,IF(N(INDEX(周转筐出入库明细!$I$4:$I$2004,$Z281-2000))=0,"",N(INDEX(周转筐出入库明细!$I$4:$I$2004,$Z281-2000))),IF($Z281&lt;=5200,"",IF($Z281&lt;=5800,IF(ISNUMBER(SEARCH("退",INDEX(次果筐明细!$F$4:$F$603,$Z281-5200)&amp;"")),IF(N(INDEX(次果筐明细!$G$4:$G$603,$Z281-5200))=0,"",N(INDEX(次果筐明细!$G$4:$G$603,$Z281-5200))),""),"")))))</f>
        <v/>
      </c>
      <c r="Q281" s="40" t="str">
        <f>IF($Z281="","",IF($Z281&lt;=2000,"",IF($Z281&lt;=4000,IF(N(INDEX(周转筐出入库明细!$H$4:$H$2004,$Z281-2000))=0,"",N(INDEX(周转筐出入库明细!$H$4:$H$2004,$Z281-2000))),IF($Z281&lt;=5200,IF(N(INDEX(客户自备加工筐明细!$F$4:$F$1203,$Z281-4000))=0,"",N(INDEX(客户自备加工筐明细!$F$4:$F$1203,$Z281-4000))),IF($Z281&lt;=5800,"","")))))</f>
        <v/>
      </c>
      <c r="R281" s="16" t="str">
        <f>IF($Z281="","",IF($Z281&lt;=2000,IF(INDEX(包装物料出入库明细!$O$4:$O$2003,$Z281-0)=0,"",INDEX(包装物料出入库明细!$O$4:$O$2003,$Z281-0)),IF($Z281&lt;=4000,IF(INDEX(周转筐出入库明细!$M$4:$M$2004,$Z281-2000)=0,"",INDEX(周转筐出入库明细!$M$4:$M$2004,$Z281-2000)),IF($Z281&lt;=5200,IF(INDEX(客户自备加工筐明细!$H$4:$H$1203,$Z281-4000)=0,"",INDEX(客户自备加工筐明细!$H$4:$H$1203,$Z281-4000)),IF($Z281&lt;=5800,IF(INDEX(次果筐明细!$H$4:$H$603,$Z281-5200)=0,"",INDEX(次果筐明细!$H$4:$H$603,$Z281-5200)),"")))))</f>
        <v/>
      </c>
      <c r="S281" s="22" t="str">
        <f t="shared" si="14"/>
        <v/>
      </c>
      <c r="Z281" s="10" t="str">
        <f>IFERROR(MATCH(ROW()-3,_自动清单!$CQ$4:$CQ$5803,0),"")</f>
        <v/>
      </c>
    </row>
    <row r="282" spans="1:26">
      <c r="A282" s="24" t="str">
        <f t="shared" si="12"/>
        <v/>
      </c>
      <c r="B282" s="38" t="str">
        <f>IF($Z282="","",IF($Z282&lt;=2000,IF(INDEX(包装物料出入库明细!$B$4:$B$2003,$Z282-0)=0,"",INDEX(包装物料出入库明细!$B$4:$B$2003,$Z282-0)),IF($Z282&lt;=4000,IF(INDEX(周转筐出入库明细!$B$4:$B$2004,$Z282-2000)=0,"",INDEX(周转筐出入库明细!$B$4:$B$2004,$Z282-2000)),IF($Z282&lt;=5200,IF(INDEX(客户自备加工筐明细!$B$4:$B$1203,$Z282-4000)=0,"",INDEX(客户自备加工筐明细!$B$4:$B$1203,$Z282-4000)),IF($Z282&lt;=5800,IF(INDEX(次果筐明细!$B$4:$B$603,$Z282-5200)=0,"",INDEX(次果筐明细!$B$4:$B$603,$Z282-5200)),"")))))</f>
        <v/>
      </c>
      <c r="C282" s="37" t="str">
        <f>IF($Z282="","",IF($Z282&lt;=2000,IF(INDEX(包装物料出入库明细!$D$4:$D$2003,$Z282-0)=0,"",INDEX(包装物料出入库明细!$D$4:$D$2003,$Z282-0)),IF($Z282&lt;=4000,IF(INDEX(周转筐出入库明细!$C$4:$C$2004,$Z282-2000)=0,"",INDEX(周转筐出入库明细!$C$4:$C$2004,$Z282-2000)),IF($Z282&lt;=5200,IF(INDEX(客户自备加工筐明细!$E$4:$E$1203,$Z282-4000)=0,"",INDEX(客户自备加工筐明细!$E$4:$E$1203,$Z282-4000)),IF($Z282&lt;=5800,IF(INDEX(次果筐明细!$C$4:$C$603,$Z282-5200)=0,"",INDEX(次果筐明细!$C$4:$C$603,$Z282-5200)),"")))))</f>
        <v/>
      </c>
      <c r="D282" s="37" t="str">
        <f>IF($Z282="","",IF($Z282&lt;=2000,"包装物料－"&amp;INDEX(包装物料出入库明细!$H$4:$H$2003,$Z282-0),IF($Z282&lt;=4000,"周转筐－"&amp;INDEX(周转筐出入库明细!$F$4:$F$2004,$Z282-2000),IF($Z282&lt;=5200,"客户自备筐－"&amp;INDEX(客户自备加工筐明细!$J$4:$J$1203,$Z282-4000),IF($Z282&lt;=5800,"次果筐/托盘－"&amp;INDEX(次果筐明细!$F$4:$F$603,$Z282-5200),"")))))</f>
        <v/>
      </c>
      <c r="E282" s="24" t="str">
        <f>IF($Z282="","",IF($Z282&lt;=2000,IF(INDEX(包装物料出入库明细!$C$4:$C$2003,$Z282-0)=0,"",INDEX(包装物料出入库明细!$C$4:$C$2003,$Z282-0)),IF($Z282&lt;=4000,IF(INDEX(周转筐出入库明细!$E$4:$E$2004,$Z282-2000)=0,"",INDEX(周转筐出入库明细!$E$4:$E$2004,$Z282-2000)),IF($Z282&lt;=5200,IF(INDEX(客户自备加工筐明细!$D$4:$D$1203,$Z282-4000)=0,"",INDEX(客户自备加工筐明细!$D$4:$D$1203,$Z282-4000)),IF($Z282&lt;=5800,IF(INDEX(次果筐明细!$E$4:$E$603,$Z282-5200)=0,"",INDEX(次果筐明细!$E$4:$E$603,$Z282-5200)),"")))))</f>
        <v/>
      </c>
      <c r="F282" s="24" t="str">
        <f>IF($Z282="","",IF($Z282&lt;=2000,IF(INDEX(包装物料出入库明细!$E$4:$E$2003,$Z282-0)=0,"",INDEX(包装物料出入库明细!$E$4:$E$2003,$Z282-0)),IF($Z282&lt;=4000,IF(INDEX(周转筐出入库明细!$D$4:$D$2004,$Z282-2000)=0,"",INDEX(周转筐出入库明细!$D$4:$D$2004,$Z282-2000)),IF($Z282&lt;=5200,IF(INDEX(客户自备加工筐明细!$C$4:$C$1203,$Z282-4000)=0,"",INDEX(客户自备加工筐明细!$C$4:$C$1203,$Z282-4000)),IF($Z282&lt;=5800,IF(INDEX(次果筐明细!$D$4:$D$603,$Z282-5200)=0,"",INDEX(次果筐明细!$D$4:$D$603,$Z282-5200)),"")))))</f>
        <v/>
      </c>
      <c r="G282" s="24" t="str">
        <f>IF($Z282="","",IF($Z282&lt;=2000,IF(INDEX(包装物料出入库明细!$F$4:$F$2003,$Z282-0)=0,"",INDEX(包装物料出入库明细!$F$4:$F$2003,$Z282-0)),IF($Z282&lt;=4000,"",IF($Z282&lt;=5200,"",IF($Z282&lt;=5800,"","")))))</f>
        <v/>
      </c>
      <c r="H282" s="39" t="str">
        <f>IF($Z282="","",IF($Z282&lt;=2000,IF(INDEX(包装物料出入库明细!$L$4:$L$2003,$Z282-0)=0,"",INDEX(包装物料出入库明细!$L$4:$L$2003,$Z282-0)),IF($Z282&lt;=4000,N(INDEX(周转筐出入库明细!$H$4:$H$2004,$Z282-2000))+N(INDEX(周转筐出入库明细!$I$4:$I$2004,$Z282-2000))+N(INDEX(周转筐出入库明细!$J$4:$J$2004,$Z282-2000))+N(INDEX(周转筐出入库明细!$K$4:$K$2004,$Z282-2000)),IF($Z282&lt;=5200,N(INDEX(客户自备加工筐明细!$F$4:$F$1203,$Z282-4000))+N(INDEX(客户自备加工筐明细!$G$4:$G$1203,$Z282-4000)),IF($Z282&lt;=5800,IF(INDEX(次果筐明细!$G$4:$G$603,$Z282-5200)=0,"",INDEX(次果筐明细!$G$4:$G$603,$Z282-5200)),"")))))</f>
        <v/>
      </c>
      <c r="I282" s="24" t="str">
        <f>IF($Z282="","",IF($Z282&lt;=2000,IF(INDEX(包装物料出入库明细!$G$4:$G$2003,$Z282-0)=0,"",INDEX(包装物料出入库明细!$G$4:$G$2003,$Z282-0)),IF($Z282&lt;=4000,"个",IF($Z282&lt;=5200,"个",IF($Z282&lt;=5800,"个","")))))</f>
        <v/>
      </c>
      <c r="J282" s="30" t="str">
        <f t="shared" si="13"/>
        <v/>
      </c>
      <c r="K282" s="30" t="str">
        <f>IF($Z282="","",IF($Z282&lt;=2000,IF(INDEX(包装物料出入库明细!$N$4:$N$2003,$Z282-0)=0,"",INDEX(包装物料出入库明细!$N$4:$N$2003,$Z282-0)),IF($Z282&lt;=4000,IF(INDEX(周转筐出入库明细!$P$4:$P$2004,$Z282-2000)=0,"",INDEX(周转筐出入库明细!$P$4:$P$2004,$Z282-2000)),IF($Z282&lt;=5200,"",IF($Z282&lt;=5800,N(INDEX(次果筐明细!$L$4:$L$603,$Z282-5200))+N(INDEX(次果筐明细!$J$4:$J$603,$Z282-5200)),"")))))</f>
        <v/>
      </c>
      <c r="L282" s="24" t="str">
        <f>IF($Z282="","",IF($Z282&lt;=2000,IF(INDEX(包装物料出入库明细!$P$4:$P$2003,$Z282-0)=0,"",INDEX(包装物料出入库明细!$P$4:$P$2003,$Z282-0)),IF($Z282&lt;=4000,IF(INDEX(周转筐出入库明细!$Q$4:$Q$2004,$Z282-2000)=0,"",INDEX(周转筐出入库明细!$Q$4:$Q$2004,$Z282-2000)),IF($Z282&lt;=5200,"",IF($Z282&lt;=5800,IF(INDEX(次果筐明细!$M$4:$M$603,$Z282-5200)=0,"",INDEX(次果筐明细!$M$4:$M$603,$Z282-5200)),"")))))</f>
        <v/>
      </c>
      <c r="M282" s="37" t="str">
        <f>IF($Z282="","",IF($Z282&lt;=2000,IF(INDEX(包装物料出入库明细!$R$4:$R$2003,$Z282-0)=0,"",INDEX(包装物料出入库明细!$R$4:$R$2003,$Z282-0)),IF($Z282&lt;=4000,IF(INDEX(周转筐出入库明细!$W$4:$W$2004,$Z282-2000)=0,"",INDEX(周转筐出入库明细!$W$4:$W$2004,$Z282-2000)),IF($Z282&lt;=5200,IF(INDEX(客户自备加工筐明细!$L$4:$L$1203,$Z282-4000)=0,"",INDEX(客户自备加工筐明细!$L$4:$L$1203,$Z282-4000)),IF($Z282&lt;=5800,IF(INDEX(次果筐明细!$P$4:$P$603,$Z282-5200)=0,"",INDEX(次果筐明细!$P$4:$P$603,$Z282-5200)),"")))))</f>
        <v/>
      </c>
      <c r="N282" s="16" t="str">
        <f>IF($Z282="","",IF($Z282&lt;=2000,"",IF($Z282&lt;=4000,IF(INDEX(周转筐出入库明细!$D$4:$D$2004,$Z282-2000)=0,"",INDEX(周转筐出入库明细!$D$4:$D$2004,$Z282-2000)),IF($Z282&lt;=5200,IF(INDEX(客户自备加工筐明细!$C$4:$C$1203,$Z282-4000)=0,"",INDEX(客户自备加工筐明细!$C$4:$C$1203,$Z282-4000)),IF($Z282&lt;=5800,IF(INDEX(次果筐明细!$D$4:$D$603,$Z282-5200)=0,"",INDEX(次果筐明细!$D$4:$D$603,$Z282-5200)),"")))))</f>
        <v/>
      </c>
      <c r="O282" s="40" t="str">
        <f>IF($Z282="","",IF($Z282&lt;=2000,"",IF($Z282&lt;=4000,IF(N(INDEX(周转筐出入库明细!$J$4:$J$2004,$Z282-2000))+N(INDEX(周转筐出入库明细!$K$4:$K$2004,$Z282-2000))=0,"",N(INDEX(周转筐出入库明细!$J$4:$J$2004,$Z282-2000))+N(INDEX(周转筐出入库明细!$K$4:$K$2004,$Z282-2000))),IF($Z282&lt;=5200,IF(N(INDEX(客户自备加工筐明细!$G$4:$G$1203,$Z282-4000))=0,"",N(INDEX(客户自备加工筐明细!$G$4:$G$1203,$Z282-4000))),IF($Z282&lt;=5800,IF(ISNUMBER(SEARCH("退",INDEX(次果筐明细!$F$4:$F$603,$Z282-5200)&amp;"")),"",IF(N(INDEX(次果筐明细!$G$4:$G$603,$Z282-5200))=0,"",N(INDEX(次果筐明细!$G$4:$G$603,$Z282-5200)))),"")))))</f>
        <v/>
      </c>
      <c r="P282" s="40" t="str">
        <f>IF($Z282="","",IF($Z282&lt;=2000,"",IF($Z282&lt;=4000,IF(N(INDEX(周转筐出入库明细!$I$4:$I$2004,$Z282-2000))=0,"",N(INDEX(周转筐出入库明细!$I$4:$I$2004,$Z282-2000))),IF($Z282&lt;=5200,"",IF($Z282&lt;=5800,IF(ISNUMBER(SEARCH("退",INDEX(次果筐明细!$F$4:$F$603,$Z282-5200)&amp;"")),IF(N(INDEX(次果筐明细!$G$4:$G$603,$Z282-5200))=0,"",N(INDEX(次果筐明细!$G$4:$G$603,$Z282-5200))),""),"")))))</f>
        <v/>
      </c>
      <c r="Q282" s="40" t="str">
        <f>IF($Z282="","",IF($Z282&lt;=2000,"",IF($Z282&lt;=4000,IF(N(INDEX(周转筐出入库明细!$H$4:$H$2004,$Z282-2000))=0,"",N(INDEX(周转筐出入库明细!$H$4:$H$2004,$Z282-2000))),IF($Z282&lt;=5200,IF(N(INDEX(客户自备加工筐明细!$F$4:$F$1203,$Z282-4000))=0,"",N(INDEX(客户自备加工筐明细!$F$4:$F$1203,$Z282-4000))),IF($Z282&lt;=5800,"","")))))</f>
        <v/>
      </c>
      <c r="R282" s="16" t="str">
        <f>IF($Z282="","",IF($Z282&lt;=2000,IF(INDEX(包装物料出入库明细!$O$4:$O$2003,$Z282-0)=0,"",INDEX(包装物料出入库明细!$O$4:$O$2003,$Z282-0)),IF($Z282&lt;=4000,IF(INDEX(周转筐出入库明细!$M$4:$M$2004,$Z282-2000)=0,"",INDEX(周转筐出入库明细!$M$4:$M$2004,$Z282-2000)),IF($Z282&lt;=5200,IF(INDEX(客户自备加工筐明细!$H$4:$H$1203,$Z282-4000)=0,"",INDEX(客户自备加工筐明细!$H$4:$H$1203,$Z282-4000)),IF($Z282&lt;=5800,IF(INDEX(次果筐明细!$H$4:$H$603,$Z282-5200)=0,"",INDEX(次果筐明细!$H$4:$H$603,$Z282-5200)),"")))))</f>
        <v/>
      </c>
      <c r="S282" s="22" t="str">
        <f t="shared" si="14"/>
        <v/>
      </c>
      <c r="Z282" s="10" t="str">
        <f>IFERROR(MATCH(ROW()-3,_自动清单!$CQ$4:$CQ$5803,0),"")</f>
        <v/>
      </c>
    </row>
    <row r="283" spans="1:26">
      <c r="A283" s="24" t="str">
        <f t="shared" si="12"/>
        <v/>
      </c>
      <c r="B283" s="38" t="str">
        <f>IF($Z283="","",IF($Z283&lt;=2000,IF(INDEX(包装物料出入库明细!$B$4:$B$2003,$Z283-0)=0,"",INDEX(包装物料出入库明细!$B$4:$B$2003,$Z283-0)),IF($Z283&lt;=4000,IF(INDEX(周转筐出入库明细!$B$4:$B$2004,$Z283-2000)=0,"",INDEX(周转筐出入库明细!$B$4:$B$2004,$Z283-2000)),IF($Z283&lt;=5200,IF(INDEX(客户自备加工筐明细!$B$4:$B$1203,$Z283-4000)=0,"",INDEX(客户自备加工筐明细!$B$4:$B$1203,$Z283-4000)),IF($Z283&lt;=5800,IF(INDEX(次果筐明细!$B$4:$B$603,$Z283-5200)=0,"",INDEX(次果筐明细!$B$4:$B$603,$Z283-5200)),"")))))</f>
        <v/>
      </c>
      <c r="C283" s="37" t="str">
        <f>IF($Z283="","",IF($Z283&lt;=2000,IF(INDEX(包装物料出入库明细!$D$4:$D$2003,$Z283-0)=0,"",INDEX(包装物料出入库明细!$D$4:$D$2003,$Z283-0)),IF($Z283&lt;=4000,IF(INDEX(周转筐出入库明细!$C$4:$C$2004,$Z283-2000)=0,"",INDEX(周转筐出入库明细!$C$4:$C$2004,$Z283-2000)),IF($Z283&lt;=5200,IF(INDEX(客户自备加工筐明细!$E$4:$E$1203,$Z283-4000)=0,"",INDEX(客户自备加工筐明细!$E$4:$E$1203,$Z283-4000)),IF($Z283&lt;=5800,IF(INDEX(次果筐明细!$C$4:$C$603,$Z283-5200)=0,"",INDEX(次果筐明细!$C$4:$C$603,$Z283-5200)),"")))))</f>
        <v/>
      </c>
      <c r="D283" s="37" t="str">
        <f>IF($Z283="","",IF($Z283&lt;=2000,"包装物料－"&amp;INDEX(包装物料出入库明细!$H$4:$H$2003,$Z283-0),IF($Z283&lt;=4000,"周转筐－"&amp;INDEX(周转筐出入库明细!$F$4:$F$2004,$Z283-2000),IF($Z283&lt;=5200,"客户自备筐－"&amp;INDEX(客户自备加工筐明细!$J$4:$J$1203,$Z283-4000),IF($Z283&lt;=5800,"次果筐/托盘－"&amp;INDEX(次果筐明细!$F$4:$F$603,$Z283-5200),"")))))</f>
        <v/>
      </c>
      <c r="E283" s="24" t="str">
        <f>IF($Z283="","",IF($Z283&lt;=2000,IF(INDEX(包装物料出入库明细!$C$4:$C$2003,$Z283-0)=0,"",INDEX(包装物料出入库明细!$C$4:$C$2003,$Z283-0)),IF($Z283&lt;=4000,IF(INDEX(周转筐出入库明细!$E$4:$E$2004,$Z283-2000)=0,"",INDEX(周转筐出入库明细!$E$4:$E$2004,$Z283-2000)),IF($Z283&lt;=5200,IF(INDEX(客户自备加工筐明细!$D$4:$D$1203,$Z283-4000)=0,"",INDEX(客户自备加工筐明细!$D$4:$D$1203,$Z283-4000)),IF($Z283&lt;=5800,IF(INDEX(次果筐明细!$E$4:$E$603,$Z283-5200)=0,"",INDEX(次果筐明细!$E$4:$E$603,$Z283-5200)),"")))))</f>
        <v/>
      </c>
      <c r="F283" s="24" t="str">
        <f>IF($Z283="","",IF($Z283&lt;=2000,IF(INDEX(包装物料出入库明细!$E$4:$E$2003,$Z283-0)=0,"",INDEX(包装物料出入库明细!$E$4:$E$2003,$Z283-0)),IF($Z283&lt;=4000,IF(INDEX(周转筐出入库明细!$D$4:$D$2004,$Z283-2000)=0,"",INDEX(周转筐出入库明细!$D$4:$D$2004,$Z283-2000)),IF($Z283&lt;=5200,IF(INDEX(客户自备加工筐明细!$C$4:$C$1203,$Z283-4000)=0,"",INDEX(客户自备加工筐明细!$C$4:$C$1203,$Z283-4000)),IF($Z283&lt;=5800,IF(INDEX(次果筐明细!$D$4:$D$603,$Z283-5200)=0,"",INDEX(次果筐明细!$D$4:$D$603,$Z283-5200)),"")))))</f>
        <v/>
      </c>
      <c r="G283" s="24" t="str">
        <f>IF($Z283="","",IF($Z283&lt;=2000,IF(INDEX(包装物料出入库明细!$F$4:$F$2003,$Z283-0)=0,"",INDEX(包装物料出入库明细!$F$4:$F$2003,$Z283-0)),IF($Z283&lt;=4000,"",IF($Z283&lt;=5200,"",IF($Z283&lt;=5800,"","")))))</f>
        <v/>
      </c>
      <c r="H283" s="39" t="str">
        <f>IF($Z283="","",IF($Z283&lt;=2000,IF(INDEX(包装物料出入库明细!$L$4:$L$2003,$Z283-0)=0,"",INDEX(包装物料出入库明细!$L$4:$L$2003,$Z283-0)),IF($Z283&lt;=4000,N(INDEX(周转筐出入库明细!$H$4:$H$2004,$Z283-2000))+N(INDEX(周转筐出入库明细!$I$4:$I$2004,$Z283-2000))+N(INDEX(周转筐出入库明细!$J$4:$J$2004,$Z283-2000))+N(INDEX(周转筐出入库明细!$K$4:$K$2004,$Z283-2000)),IF($Z283&lt;=5200,N(INDEX(客户自备加工筐明细!$F$4:$F$1203,$Z283-4000))+N(INDEX(客户自备加工筐明细!$G$4:$G$1203,$Z283-4000)),IF($Z283&lt;=5800,IF(INDEX(次果筐明细!$G$4:$G$603,$Z283-5200)=0,"",INDEX(次果筐明细!$G$4:$G$603,$Z283-5200)),"")))))</f>
        <v/>
      </c>
      <c r="I283" s="24" t="str">
        <f>IF($Z283="","",IF($Z283&lt;=2000,IF(INDEX(包装物料出入库明细!$G$4:$G$2003,$Z283-0)=0,"",INDEX(包装物料出入库明细!$G$4:$G$2003,$Z283-0)),IF($Z283&lt;=4000,"个",IF($Z283&lt;=5200,"个",IF($Z283&lt;=5800,"个","")))))</f>
        <v/>
      </c>
      <c r="J283" s="30" t="str">
        <f t="shared" si="13"/>
        <v/>
      </c>
      <c r="K283" s="30" t="str">
        <f>IF($Z283="","",IF($Z283&lt;=2000,IF(INDEX(包装物料出入库明细!$N$4:$N$2003,$Z283-0)=0,"",INDEX(包装物料出入库明细!$N$4:$N$2003,$Z283-0)),IF($Z283&lt;=4000,IF(INDEX(周转筐出入库明细!$P$4:$P$2004,$Z283-2000)=0,"",INDEX(周转筐出入库明细!$P$4:$P$2004,$Z283-2000)),IF($Z283&lt;=5200,"",IF($Z283&lt;=5800,N(INDEX(次果筐明细!$L$4:$L$603,$Z283-5200))+N(INDEX(次果筐明细!$J$4:$J$603,$Z283-5200)),"")))))</f>
        <v/>
      </c>
      <c r="L283" s="24" t="str">
        <f>IF($Z283="","",IF($Z283&lt;=2000,IF(INDEX(包装物料出入库明细!$P$4:$P$2003,$Z283-0)=0,"",INDEX(包装物料出入库明细!$P$4:$P$2003,$Z283-0)),IF($Z283&lt;=4000,IF(INDEX(周转筐出入库明细!$Q$4:$Q$2004,$Z283-2000)=0,"",INDEX(周转筐出入库明细!$Q$4:$Q$2004,$Z283-2000)),IF($Z283&lt;=5200,"",IF($Z283&lt;=5800,IF(INDEX(次果筐明细!$M$4:$M$603,$Z283-5200)=0,"",INDEX(次果筐明细!$M$4:$M$603,$Z283-5200)),"")))))</f>
        <v/>
      </c>
      <c r="M283" s="37" t="str">
        <f>IF($Z283="","",IF($Z283&lt;=2000,IF(INDEX(包装物料出入库明细!$R$4:$R$2003,$Z283-0)=0,"",INDEX(包装物料出入库明细!$R$4:$R$2003,$Z283-0)),IF($Z283&lt;=4000,IF(INDEX(周转筐出入库明细!$W$4:$W$2004,$Z283-2000)=0,"",INDEX(周转筐出入库明细!$W$4:$W$2004,$Z283-2000)),IF($Z283&lt;=5200,IF(INDEX(客户自备加工筐明细!$L$4:$L$1203,$Z283-4000)=0,"",INDEX(客户自备加工筐明细!$L$4:$L$1203,$Z283-4000)),IF($Z283&lt;=5800,IF(INDEX(次果筐明细!$P$4:$P$603,$Z283-5200)=0,"",INDEX(次果筐明细!$P$4:$P$603,$Z283-5200)),"")))))</f>
        <v/>
      </c>
      <c r="N283" s="16" t="str">
        <f>IF($Z283="","",IF($Z283&lt;=2000,"",IF($Z283&lt;=4000,IF(INDEX(周转筐出入库明细!$D$4:$D$2004,$Z283-2000)=0,"",INDEX(周转筐出入库明细!$D$4:$D$2004,$Z283-2000)),IF($Z283&lt;=5200,IF(INDEX(客户自备加工筐明细!$C$4:$C$1203,$Z283-4000)=0,"",INDEX(客户自备加工筐明细!$C$4:$C$1203,$Z283-4000)),IF($Z283&lt;=5800,IF(INDEX(次果筐明细!$D$4:$D$603,$Z283-5200)=0,"",INDEX(次果筐明细!$D$4:$D$603,$Z283-5200)),"")))))</f>
        <v/>
      </c>
      <c r="O283" s="40" t="str">
        <f>IF($Z283="","",IF($Z283&lt;=2000,"",IF($Z283&lt;=4000,IF(N(INDEX(周转筐出入库明细!$J$4:$J$2004,$Z283-2000))+N(INDEX(周转筐出入库明细!$K$4:$K$2004,$Z283-2000))=0,"",N(INDEX(周转筐出入库明细!$J$4:$J$2004,$Z283-2000))+N(INDEX(周转筐出入库明细!$K$4:$K$2004,$Z283-2000))),IF($Z283&lt;=5200,IF(N(INDEX(客户自备加工筐明细!$G$4:$G$1203,$Z283-4000))=0,"",N(INDEX(客户自备加工筐明细!$G$4:$G$1203,$Z283-4000))),IF($Z283&lt;=5800,IF(ISNUMBER(SEARCH("退",INDEX(次果筐明细!$F$4:$F$603,$Z283-5200)&amp;"")),"",IF(N(INDEX(次果筐明细!$G$4:$G$603,$Z283-5200))=0,"",N(INDEX(次果筐明细!$G$4:$G$603,$Z283-5200)))),"")))))</f>
        <v/>
      </c>
      <c r="P283" s="40" t="str">
        <f>IF($Z283="","",IF($Z283&lt;=2000,"",IF($Z283&lt;=4000,IF(N(INDEX(周转筐出入库明细!$I$4:$I$2004,$Z283-2000))=0,"",N(INDEX(周转筐出入库明细!$I$4:$I$2004,$Z283-2000))),IF($Z283&lt;=5200,"",IF($Z283&lt;=5800,IF(ISNUMBER(SEARCH("退",INDEX(次果筐明细!$F$4:$F$603,$Z283-5200)&amp;"")),IF(N(INDEX(次果筐明细!$G$4:$G$603,$Z283-5200))=0,"",N(INDEX(次果筐明细!$G$4:$G$603,$Z283-5200))),""),"")))))</f>
        <v/>
      </c>
      <c r="Q283" s="40" t="str">
        <f>IF($Z283="","",IF($Z283&lt;=2000,"",IF($Z283&lt;=4000,IF(N(INDEX(周转筐出入库明细!$H$4:$H$2004,$Z283-2000))=0,"",N(INDEX(周转筐出入库明细!$H$4:$H$2004,$Z283-2000))),IF($Z283&lt;=5200,IF(N(INDEX(客户自备加工筐明细!$F$4:$F$1203,$Z283-4000))=0,"",N(INDEX(客户自备加工筐明细!$F$4:$F$1203,$Z283-4000))),IF($Z283&lt;=5800,"","")))))</f>
        <v/>
      </c>
      <c r="R283" s="16" t="str">
        <f>IF($Z283="","",IF($Z283&lt;=2000,IF(INDEX(包装物料出入库明细!$O$4:$O$2003,$Z283-0)=0,"",INDEX(包装物料出入库明细!$O$4:$O$2003,$Z283-0)),IF($Z283&lt;=4000,IF(INDEX(周转筐出入库明细!$M$4:$M$2004,$Z283-2000)=0,"",INDEX(周转筐出入库明细!$M$4:$M$2004,$Z283-2000)),IF($Z283&lt;=5200,IF(INDEX(客户自备加工筐明细!$H$4:$H$1203,$Z283-4000)=0,"",INDEX(客户自备加工筐明细!$H$4:$H$1203,$Z283-4000)),IF($Z283&lt;=5800,IF(INDEX(次果筐明细!$H$4:$H$603,$Z283-5200)=0,"",INDEX(次果筐明细!$H$4:$H$603,$Z283-5200)),"")))))</f>
        <v/>
      </c>
      <c r="S283" s="22" t="str">
        <f t="shared" si="14"/>
        <v/>
      </c>
      <c r="Z283" s="10" t="str">
        <f>IFERROR(MATCH(ROW()-3,_自动清单!$CQ$4:$CQ$5803,0),"")</f>
        <v/>
      </c>
    </row>
    <row r="284" spans="1:26">
      <c r="A284" s="24" t="str">
        <f t="shared" si="12"/>
        <v/>
      </c>
      <c r="B284" s="38" t="str">
        <f>IF($Z284="","",IF($Z284&lt;=2000,IF(INDEX(包装物料出入库明细!$B$4:$B$2003,$Z284-0)=0,"",INDEX(包装物料出入库明细!$B$4:$B$2003,$Z284-0)),IF($Z284&lt;=4000,IF(INDEX(周转筐出入库明细!$B$4:$B$2004,$Z284-2000)=0,"",INDEX(周转筐出入库明细!$B$4:$B$2004,$Z284-2000)),IF($Z284&lt;=5200,IF(INDEX(客户自备加工筐明细!$B$4:$B$1203,$Z284-4000)=0,"",INDEX(客户自备加工筐明细!$B$4:$B$1203,$Z284-4000)),IF($Z284&lt;=5800,IF(INDEX(次果筐明细!$B$4:$B$603,$Z284-5200)=0,"",INDEX(次果筐明细!$B$4:$B$603,$Z284-5200)),"")))))</f>
        <v/>
      </c>
      <c r="C284" s="37" t="str">
        <f>IF($Z284="","",IF($Z284&lt;=2000,IF(INDEX(包装物料出入库明细!$D$4:$D$2003,$Z284-0)=0,"",INDEX(包装物料出入库明细!$D$4:$D$2003,$Z284-0)),IF($Z284&lt;=4000,IF(INDEX(周转筐出入库明细!$C$4:$C$2004,$Z284-2000)=0,"",INDEX(周转筐出入库明细!$C$4:$C$2004,$Z284-2000)),IF($Z284&lt;=5200,IF(INDEX(客户自备加工筐明细!$E$4:$E$1203,$Z284-4000)=0,"",INDEX(客户自备加工筐明细!$E$4:$E$1203,$Z284-4000)),IF($Z284&lt;=5800,IF(INDEX(次果筐明细!$C$4:$C$603,$Z284-5200)=0,"",INDEX(次果筐明细!$C$4:$C$603,$Z284-5200)),"")))))</f>
        <v/>
      </c>
      <c r="D284" s="37" t="str">
        <f>IF($Z284="","",IF($Z284&lt;=2000,"包装物料－"&amp;INDEX(包装物料出入库明细!$H$4:$H$2003,$Z284-0),IF($Z284&lt;=4000,"周转筐－"&amp;INDEX(周转筐出入库明细!$F$4:$F$2004,$Z284-2000),IF($Z284&lt;=5200,"客户自备筐－"&amp;INDEX(客户自备加工筐明细!$J$4:$J$1203,$Z284-4000),IF($Z284&lt;=5800,"次果筐/托盘－"&amp;INDEX(次果筐明细!$F$4:$F$603,$Z284-5200),"")))))</f>
        <v/>
      </c>
      <c r="E284" s="24" t="str">
        <f>IF($Z284="","",IF($Z284&lt;=2000,IF(INDEX(包装物料出入库明细!$C$4:$C$2003,$Z284-0)=0,"",INDEX(包装物料出入库明细!$C$4:$C$2003,$Z284-0)),IF($Z284&lt;=4000,IF(INDEX(周转筐出入库明细!$E$4:$E$2004,$Z284-2000)=0,"",INDEX(周转筐出入库明细!$E$4:$E$2004,$Z284-2000)),IF($Z284&lt;=5200,IF(INDEX(客户自备加工筐明细!$D$4:$D$1203,$Z284-4000)=0,"",INDEX(客户自备加工筐明细!$D$4:$D$1203,$Z284-4000)),IF($Z284&lt;=5800,IF(INDEX(次果筐明细!$E$4:$E$603,$Z284-5200)=0,"",INDEX(次果筐明细!$E$4:$E$603,$Z284-5200)),"")))))</f>
        <v/>
      </c>
      <c r="F284" s="24" t="str">
        <f>IF($Z284="","",IF($Z284&lt;=2000,IF(INDEX(包装物料出入库明细!$E$4:$E$2003,$Z284-0)=0,"",INDEX(包装物料出入库明细!$E$4:$E$2003,$Z284-0)),IF($Z284&lt;=4000,IF(INDEX(周转筐出入库明细!$D$4:$D$2004,$Z284-2000)=0,"",INDEX(周转筐出入库明细!$D$4:$D$2004,$Z284-2000)),IF($Z284&lt;=5200,IF(INDEX(客户自备加工筐明细!$C$4:$C$1203,$Z284-4000)=0,"",INDEX(客户自备加工筐明细!$C$4:$C$1203,$Z284-4000)),IF($Z284&lt;=5800,IF(INDEX(次果筐明细!$D$4:$D$603,$Z284-5200)=0,"",INDEX(次果筐明细!$D$4:$D$603,$Z284-5200)),"")))))</f>
        <v/>
      </c>
      <c r="G284" s="24" t="str">
        <f>IF($Z284="","",IF($Z284&lt;=2000,IF(INDEX(包装物料出入库明细!$F$4:$F$2003,$Z284-0)=0,"",INDEX(包装物料出入库明细!$F$4:$F$2003,$Z284-0)),IF($Z284&lt;=4000,"",IF($Z284&lt;=5200,"",IF($Z284&lt;=5800,"","")))))</f>
        <v/>
      </c>
      <c r="H284" s="39" t="str">
        <f>IF($Z284="","",IF($Z284&lt;=2000,IF(INDEX(包装物料出入库明细!$L$4:$L$2003,$Z284-0)=0,"",INDEX(包装物料出入库明细!$L$4:$L$2003,$Z284-0)),IF($Z284&lt;=4000,N(INDEX(周转筐出入库明细!$H$4:$H$2004,$Z284-2000))+N(INDEX(周转筐出入库明细!$I$4:$I$2004,$Z284-2000))+N(INDEX(周转筐出入库明细!$J$4:$J$2004,$Z284-2000))+N(INDEX(周转筐出入库明细!$K$4:$K$2004,$Z284-2000)),IF($Z284&lt;=5200,N(INDEX(客户自备加工筐明细!$F$4:$F$1203,$Z284-4000))+N(INDEX(客户自备加工筐明细!$G$4:$G$1203,$Z284-4000)),IF($Z284&lt;=5800,IF(INDEX(次果筐明细!$G$4:$G$603,$Z284-5200)=0,"",INDEX(次果筐明细!$G$4:$G$603,$Z284-5200)),"")))))</f>
        <v/>
      </c>
      <c r="I284" s="24" t="str">
        <f>IF($Z284="","",IF($Z284&lt;=2000,IF(INDEX(包装物料出入库明细!$G$4:$G$2003,$Z284-0)=0,"",INDEX(包装物料出入库明细!$G$4:$G$2003,$Z284-0)),IF($Z284&lt;=4000,"个",IF($Z284&lt;=5200,"个",IF($Z284&lt;=5800,"个","")))))</f>
        <v/>
      </c>
      <c r="J284" s="30" t="str">
        <f t="shared" si="13"/>
        <v/>
      </c>
      <c r="K284" s="30" t="str">
        <f>IF($Z284="","",IF($Z284&lt;=2000,IF(INDEX(包装物料出入库明细!$N$4:$N$2003,$Z284-0)=0,"",INDEX(包装物料出入库明细!$N$4:$N$2003,$Z284-0)),IF($Z284&lt;=4000,IF(INDEX(周转筐出入库明细!$P$4:$P$2004,$Z284-2000)=0,"",INDEX(周转筐出入库明细!$P$4:$P$2004,$Z284-2000)),IF($Z284&lt;=5200,"",IF($Z284&lt;=5800,N(INDEX(次果筐明细!$L$4:$L$603,$Z284-5200))+N(INDEX(次果筐明细!$J$4:$J$603,$Z284-5200)),"")))))</f>
        <v/>
      </c>
      <c r="L284" s="24" t="str">
        <f>IF($Z284="","",IF($Z284&lt;=2000,IF(INDEX(包装物料出入库明细!$P$4:$P$2003,$Z284-0)=0,"",INDEX(包装物料出入库明细!$P$4:$P$2003,$Z284-0)),IF($Z284&lt;=4000,IF(INDEX(周转筐出入库明细!$Q$4:$Q$2004,$Z284-2000)=0,"",INDEX(周转筐出入库明细!$Q$4:$Q$2004,$Z284-2000)),IF($Z284&lt;=5200,"",IF($Z284&lt;=5800,IF(INDEX(次果筐明细!$M$4:$M$603,$Z284-5200)=0,"",INDEX(次果筐明细!$M$4:$M$603,$Z284-5200)),"")))))</f>
        <v/>
      </c>
      <c r="M284" s="37" t="str">
        <f>IF($Z284="","",IF($Z284&lt;=2000,IF(INDEX(包装物料出入库明细!$R$4:$R$2003,$Z284-0)=0,"",INDEX(包装物料出入库明细!$R$4:$R$2003,$Z284-0)),IF($Z284&lt;=4000,IF(INDEX(周转筐出入库明细!$W$4:$W$2004,$Z284-2000)=0,"",INDEX(周转筐出入库明细!$W$4:$W$2004,$Z284-2000)),IF($Z284&lt;=5200,IF(INDEX(客户自备加工筐明细!$L$4:$L$1203,$Z284-4000)=0,"",INDEX(客户自备加工筐明细!$L$4:$L$1203,$Z284-4000)),IF($Z284&lt;=5800,IF(INDEX(次果筐明细!$P$4:$P$603,$Z284-5200)=0,"",INDEX(次果筐明细!$P$4:$P$603,$Z284-5200)),"")))))</f>
        <v/>
      </c>
      <c r="N284" s="16" t="str">
        <f>IF($Z284="","",IF($Z284&lt;=2000,"",IF($Z284&lt;=4000,IF(INDEX(周转筐出入库明细!$D$4:$D$2004,$Z284-2000)=0,"",INDEX(周转筐出入库明细!$D$4:$D$2004,$Z284-2000)),IF($Z284&lt;=5200,IF(INDEX(客户自备加工筐明细!$C$4:$C$1203,$Z284-4000)=0,"",INDEX(客户自备加工筐明细!$C$4:$C$1203,$Z284-4000)),IF($Z284&lt;=5800,IF(INDEX(次果筐明细!$D$4:$D$603,$Z284-5200)=0,"",INDEX(次果筐明细!$D$4:$D$603,$Z284-5200)),"")))))</f>
        <v/>
      </c>
      <c r="O284" s="40" t="str">
        <f>IF($Z284="","",IF($Z284&lt;=2000,"",IF($Z284&lt;=4000,IF(N(INDEX(周转筐出入库明细!$J$4:$J$2004,$Z284-2000))+N(INDEX(周转筐出入库明细!$K$4:$K$2004,$Z284-2000))=0,"",N(INDEX(周转筐出入库明细!$J$4:$J$2004,$Z284-2000))+N(INDEX(周转筐出入库明细!$K$4:$K$2004,$Z284-2000))),IF($Z284&lt;=5200,IF(N(INDEX(客户自备加工筐明细!$G$4:$G$1203,$Z284-4000))=0,"",N(INDEX(客户自备加工筐明细!$G$4:$G$1203,$Z284-4000))),IF($Z284&lt;=5800,IF(ISNUMBER(SEARCH("退",INDEX(次果筐明细!$F$4:$F$603,$Z284-5200)&amp;"")),"",IF(N(INDEX(次果筐明细!$G$4:$G$603,$Z284-5200))=0,"",N(INDEX(次果筐明细!$G$4:$G$603,$Z284-5200)))),"")))))</f>
        <v/>
      </c>
      <c r="P284" s="40" t="str">
        <f>IF($Z284="","",IF($Z284&lt;=2000,"",IF($Z284&lt;=4000,IF(N(INDEX(周转筐出入库明细!$I$4:$I$2004,$Z284-2000))=0,"",N(INDEX(周转筐出入库明细!$I$4:$I$2004,$Z284-2000))),IF($Z284&lt;=5200,"",IF($Z284&lt;=5800,IF(ISNUMBER(SEARCH("退",INDEX(次果筐明细!$F$4:$F$603,$Z284-5200)&amp;"")),IF(N(INDEX(次果筐明细!$G$4:$G$603,$Z284-5200))=0,"",N(INDEX(次果筐明细!$G$4:$G$603,$Z284-5200))),""),"")))))</f>
        <v/>
      </c>
      <c r="Q284" s="40" t="str">
        <f>IF($Z284="","",IF($Z284&lt;=2000,"",IF($Z284&lt;=4000,IF(N(INDEX(周转筐出入库明细!$H$4:$H$2004,$Z284-2000))=0,"",N(INDEX(周转筐出入库明细!$H$4:$H$2004,$Z284-2000))),IF($Z284&lt;=5200,IF(N(INDEX(客户自备加工筐明细!$F$4:$F$1203,$Z284-4000))=0,"",N(INDEX(客户自备加工筐明细!$F$4:$F$1203,$Z284-4000))),IF($Z284&lt;=5800,"","")))))</f>
        <v/>
      </c>
      <c r="R284" s="16" t="str">
        <f>IF($Z284="","",IF($Z284&lt;=2000,IF(INDEX(包装物料出入库明细!$O$4:$O$2003,$Z284-0)=0,"",INDEX(包装物料出入库明细!$O$4:$O$2003,$Z284-0)),IF($Z284&lt;=4000,IF(INDEX(周转筐出入库明细!$M$4:$M$2004,$Z284-2000)=0,"",INDEX(周转筐出入库明细!$M$4:$M$2004,$Z284-2000)),IF($Z284&lt;=5200,IF(INDEX(客户自备加工筐明细!$H$4:$H$1203,$Z284-4000)=0,"",INDEX(客户自备加工筐明细!$H$4:$H$1203,$Z284-4000)),IF($Z284&lt;=5800,IF(INDEX(次果筐明细!$H$4:$H$603,$Z284-5200)=0,"",INDEX(次果筐明细!$H$4:$H$603,$Z284-5200)),"")))))</f>
        <v/>
      </c>
      <c r="S284" s="22" t="str">
        <f t="shared" si="14"/>
        <v/>
      </c>
      <c r="Z284" s="10" t="str">
        <f>IFERROR(MATCH(ROW()-3,_自动清单!$CQ$4:$CQ$5803,0),"")</f>
        <v/>
      </c>
    </row>
    <row r="285" spans="1:26">
      <c r="A285" s="24" t="str">
        <f t="shared" si="12"/>
        <v/>
      </c>
      <c r="B285" s="38" t="str">
        <f>IF($Z285="","",IF($Z285&lt;=2000,IF(INDEX(包装物料出入库明细!$B$4:$B$2003,$Z285-0)=0,"",INDEX(包装物料出入库明细!$B$4:$B$2003,$Z285-0)),IF($Z285&lt;=4000,IF(INDEX(周转筐出入库明细!$B$4:$B$2004,$Z285-2000)=0,"",INDEX(周转筐出入库明细!$B$4:$B$2004,$Z285-2000)),IF($Z285&lt;=5200,IF(INDEX(客户自备加工筐明细!$B$4:$B$1203,$Z285-4000)=0,"",INDEX(客户自备加工筐明细!$B$4:$B$1203,$Z285-4000)),IF($Z285&lt;=5800,IF(INDEX(次果筐明细!$B$4:$B$603,$Z285-5200)=0,"",INDEX(次果筐明细!$B$4:$B$603,$Z285-5200)),"")))))</f>
        <v/>
      </c>
      <c r="C285" s="37" t="str">
        <f>IF($Z285="","",IF($Z285&lt;=2000,IF(INDEX(包装物料出入库明细!$D$4:$D$2003,$Z285-0)=0,"",INDEX(包装物料出入库明细!$D$4:$D$2003,$Z285-0)),IF($Z285&lt;=4000,IF(INDEX(周转筐出入库明细!$C$4:$C$2004,$Z285-2000)=0,"",INDEX(周转筐出入库明细!$C$4:$C$2004,$Z285-2000)),IF($Z285&lt;=5200,IF(INDEX(客户自备加工筐明细!$E$4:$E$1203,$Z285-4000)=0,"",INDEX(客户自备加工筐明细!$E$4:$E$1203,$Z285-4000)),IF($Z285&lt;=5800,IF(INDEX(次果筐明细!$C$4:$C$603,$Z285-5200)=0,"",INDEX(次果筐明细!$C$4:$C$603,$Z285-5200)),"")))))</f>
        <v/>
      </c>
      <c r="D285" s="37" t="str">
        <f>IF($Z285="","",IF($Z285&lt;=2000,"包装物料－"&amp;INDEX(包装物料出入库明细!$H$4:$H$2003,$Z285-0),IF($Z285&lt;=4000,"周转筐－"&amp;INDEX(周转筐出入库明细!$F$4:$F$2004,$Z285-2000),IF($Z285&lt;=5200,"客户自备筐－"&amp;INDEX(客户自备加工筐明细!$J$4:$J$1203,$Z285-4000),IF($Z285&lt;=5800,"次果筐/托盘－"&amp;INDEX(次果筐明细!$F$4:$F$603,$Z285-5200),"")))))</f>
        <v/>
      </c>
      <c r="E285" s="24" t="str">
        <f>IF($Z285="","",IF($Z285&lt;=2000,IF(INDEX(包装物料出入库明细!$C$4:$C$2003,$Z285-0)=0,"",INDEX(包装物料出入库明细!$C$4:$C$2003,$Z285-0)),IF($Z285&lt;=4000,IF(INDEX(周转筐出入库明细!$E$4:$E$2004,$Z285-2000)=0,"",INDEX(周转筐出入库明细!$E$4:$E$2004,$Z285-2000)),IF($Z285&lt;=5200,IF(INDEX(客户自备加工筐明细!$D$4:$D$1203,$Z285-4000)=0,"",INDEX(客户自备加工筐明细!$D$4:$D$1203,$Z285-4000)),IF($Z285&lt;=5800,IF(INDEX(次果筐明细!$E$4:$E$603,$Z285-5200)=0,"",INDEX(次果筐明细!$E$4:$E$603,$Z285-5200)),"")))))</f>
        <v/>
      </c>
      <c r="F285" s="24" t="str">
        <f>IF($Z285="","",IF($Z285&lt;=2000,IF(INDEX(包装物料出入库明细!$E$4:$E$2003,$Z285-0)=0,"",INDEX(包装物料出入库明细!$E$4:$E$2003,$Z285-0)),IF($Z285&lt;=4000,IF(INDEX(周转筐出入库明细!$D$4:$D$2004,$Z285-2000)=0,"",INDEX(周转筐出入库明细!$D$4:$D$2004,$Z285-2000)),IF($Z285&lt;=5200,IF(INDEX(客户自备加工筐明细!$C$4:$C$1203,$Z285-4000)=0,"",INDEX(客户自备加工筐明细!$C$4:$C$1203,$Z285-4000)),IF($Z285&lt;=5800,IF(INDEX(次果筐明细!$D$4:$D$603,$Z285-5200)=0,"",INDEX(次果筐明细!$D$4:$D$603,$Z285-5200)),"")))))</f>
        <v/>
      </c>
      <c r="G285" s="24" t="str">
        <f>IF($Z285="","",IF($Z285&lt;=2000,IF(INDEX(包装物料出入库明细!$F$4:$F$2003,$Z285-0)=0,"",INDEX(包装物料出入库明细!$F$4:$F$2003,$Z285-0)),IF($Z285&lt;=4000,"",IF($Z285&lt;=5200,"",IF($Z285&lt;=5800,"","")))))</f>
        <v/>
      </c>
      <c r="H285" s="39" t="str">
        <f>IF($Z285="","",IF($Z285&lt;=2000,IF(INDEX(包装物料出入库明细!$L$4:$L$2003,$Z285-0)=0,"",INDEX(包装物料出入库明细!$L$4:$L$2003,$Z285-0)),IF($Z285&lt;=4000,N(INDEX(周转筐出入库明细!$H$4:$H$2004,$Z285-2000))+N(INDEX(周转筐出入库明细!$I$4:$I$2004,$Z285-2000))+N(INDEX(周转筐出入库明细!$J$4:$J$2004,$Z285-2000))+N(INDEX(周转筐出入库明细!$K$4:$K$2004,$Z285-2000)),IF($Z285&lt;=5200,N(INDEX(客户自备加工筐明细!$F$4:$F$1203,$Z285-4000))+N(INDEX(客户自备加工筐明细!$G$4:$G$1203,$Z285-4000)),IF($Z285&lt;=5800,IF(INDEX(次果筐明细!$G$4:$G$603,$Z285-5200)=0,"",INDEX(次果筐明细!$G$4:$G$603,$Z285-5200)),"")))))</f>
        <v/>
      </c>
      <c r="I285" s="24" t="str">
        <f>IF($Z285="","",IF($Z285&lt;=2000,IF(INDEX(包装物料出入库明细!$G$4:$G$2003,$Z285-0)=0,"",INDEX(包装物料出入库明细!$G$4:$G$2003,$Z285-0)),IF($Z285&lt;=4000,"个",IF($Z285&lt;=5200,"个",IF($Z285&lt;=5800,"个","")))))</f>
        <v/>
      </c>
      <c r="J285" s="30" t="str">
        <f t="shared" si="13"/>
        <v/>
      </c>
      <c r="K285" s="30" t="str">
        <f>IF($Z285="","",IF($Z285&lt;=2000,IF(INDEX(包装物料出入库明细!$N$4:$N$2003,$Z285-0)=0,"",INDEX(包装物料出入库明细!$N$4:$N$2003,$Z285-0)),IF($Z285&lt;=4000,IF(INDEX(周转筐出入库明细!$P$4:$P$2004,$Z285-2000)=0,"",INDEX(周转筐出入库明细!$P$4:$P$2004,$Z285-2000)),IF($Z285&lt;=5200,"",IF($Z285&lt;=5800,N(INDEX(次果筐明细!$L$4:$L$603,$Z285-5200))+N(INDEX(次果筐明细!$J$4:$J$603,$Z285-5200)),"")))))</f>
        <v/>
      </c>
      <c r="L285" s="24" t="str">
        <f>IF($Z285="","",IF($Z285&lt;=2000,IF(INDEX(包装物料出入库明细!$P$4:$P$2003,$Z285-0)=0,"",INDEX(包装物料出入库明细!$P$4:$P$2003,$Z285-0)),IF($Z285&lt;=4000,IF(INDEX(周转筐出入库明细!$Q$4:$Q$2004,$Z285-2000)=0,"",INDEX(周转筐出入库明细!$Q$4:$Q$2004,$Z285-2000)),IF($Z285&lt;=5200,"",IF($Z285&lt;=5800,IF(INDEX(次果筐明细!$M$4:$M$603,$Z285-5200)=0,"",INDEX(次果筐明细!$M$4:$M$603,$Z285-5200)),"")))))</f>
        <v/>
      </c>
      <c r="M285" s="37" t="str">
        <f>IF($Z285="","",IF($Z285&lt;=2000,IF(INDEX(包装物料出入库明细!$R$4:$R$2003,$Z285-0)=0,"",INDEX(包装物料出入库明细!$R$4:$R$2003,$Z285-0)),IF($Z285&lt;=4000,IF(INDEX(周转筐出入库明细!$W$4:$W$2004,$Z285-2000)=0,"",INDEX(周转筐出入库明细!$W$4:$W$2004,$Z285-2000)),IF($Z285&lt;=5200,IF(INDEX(客户自备加工筐明细!$L$4:$L$1203,$Z285-4000)=0,"",INDEX(客户自备加工筐明细!$L$4:$L$1203,$Z285-4000)),IF($Z285&lt;=5800,IF(INDEX(次果筐明细!$P$4:$P$603,$Z285-5200)=0,"",INDEX(次果筐明细!$P$4:$P$603,$Z285-5200)),"")))))</f>
        <v/>
      </c>
      <c r="N285" s="16" t="str">
        <f>IF($Z285="","",IF($Z285&lt;=2000,"",IF($Z285&lt;=4000,IF(INDEX(周转筐出入库明细!$D$4:$D$2004,$Z285-2000)=0,"",INDEX(周转筐出入库明细!$D$4:$D$2004,$Z285-2000)),IF($Z285&lt;=5200,IF(INDEX(客户自备加工筐明细!$C$4:$C$1203,$Z285-4000)=0,"",INDEX(客户自备加工筐明细!$C$4:$C$1203,$Z285-4000)),IF($Z285&lt;=5800,IF(INDEX(次果筐明细!$D$4:$D$603,$Z285-5200)=0,"",INDEX(次果筐明细!$D$4:$D$603,$Z285-5200)),"")))))</f>
        <v/>
      </c>
      <c r="O285" s="40" t="str">
        <f>IF($Z285="","",IF($Z285&lt;=2000,"",IF($Z285&lt;=4000,IF(N(INDEX(周转筐出入库明细!$J$4:$J$2004,$Z285-2000))+N(INDEX(周转筐出入库明细!$K$4:$K$2004,$Z285-2000))=0,"",N(INDEX(周转筐出入库明细!$J$4:$J$2004,$Z285-2000))+N(INDEX(周转筐出入库明细!$K$4:$K$2004,$Z285-2000))),IF($Z285&lt;=5200,IF(N(INDEX(客户自备加工筐明细!$G$4:$G$1203,$Z285-4000))=0,"",N(INDEX(客户自备加工筐明细!$G$4:$G$1203,$Z285-4000))),IF($Z285&lt;=5800,IF(ISNUMBER(SEARCH("退",INDEX(次果筐明细!$F$4:$F$603,$Z285-5200)&amp;"")),"",IF(N(INDEX(次果筐明细!$G$4:$G$603,$Z285-5200))=0,"",N(INDEX(次果筐明细!$G$4:$G$603,$Z285-5200)))),"")))))</f>
        <v/>
      </c>
      <c r="P285" s="40" t="str">
        <f>IF($Z285="","",IF($Z285&lt;=2000,"",IF($Z285&lt;=4000,IF(N(INDEX(周转筐出入库明细!$I$4:$I$2004,$Z285-2000))=0,"",N(INDEX(周转筐出入库明细!$I$4:$I$2004,$Z285-2000))),IF($Z285&lt;=5200,"",IF($Z285&lt;=5800,IF(ISNUMBER(SEARCH("退",INDEX(次果筐明细!$F$4:$F$603,$Z285-5200)&amp;"")),IF(N(INDEX(次果筐明细!$G$4:$G$603,$Z285-5200))=0,"",N(INDEX(次果筐明细!$G$4:$G$603,$Z285-5200))),""),"")))))</f>
        <v/>
      </c>
      <c r="Q285" s="40" t="str">
        <f>IF($Z285="","",IF($Z285&lt;=2000,"",IF($Z285&lt;=4000,IF(N(INDEX(周转筐出入库明细!$H$4:$H$2004,$Z285-2000))=0,"",N(INDEX(周转筐出入库明细!$H$4:$H$2004,$Z285-2000))),IF($Z285&lt;=5200,IF(N(INDEX(客户自备加工筐明细!$F$4:$F$1203,$Z285-4000))=0,"",N(INDEX(客户自备加工筐明细!$F$4:$F$1203,$Z285-4000))),IF($Z285&lt;=5800,"","")))))</f>
        <v/>
      </c>
      <c r="R285" s="16" t="str">
        <f>IF($Z285="","",IF($Z285&lt;=2000,IF(INDEX(包装物料出入库明细!$O$4:$O$2003,$Z285-0)=0,"",INDEX(包装物料出入库明细!$O$4:$O$2003,$Z285-0)),IF($Z285&lt;=4000,IF(INDEX(周转筐出入库明细!$M$4:$M$2004,$Z285-2000)=0,"",INDEX(周转筐出入库明细!$M$4:$M$2004,$Z285-2000)),IF($Z285&lt;=5200,IF(INDEX(客户自备加工筐明细!$H$4:$H$1203,$Z285-4000)=0,"",INDEX(客户自备加工筐明细!$H$4:$H$1203,$Z285-4000)),IF($Z285&lt;=5800,IF(INDEX(次果筐明细!$H$4:$H$603,$Z285-5200)=0,"",INDEX(次果筐明细!$H$4:$H$603,$Z285-5200)),"")))))</f>
        <v/>
      </c>
      <c r="S285" s="22" t="str">
        <f t="shared" si="14"/>
        <v/>
      </c>
      <c r="Z285" s="10" t="str">
        <f>IFERROR(MATCH(ROW()-3,_自动清单!$CQ$4:$CQ$5803,0),"")</f>
        <v/>
      </c>
    </row>
    <row r="286" spans="1:26">
      <c r="A286" s="24" t="str">
        <f t="shared" si="12"/>
        <v/>
      </c>
      <c r="B286" s="38" t="str">
        <f>IF($Z286="","",IF($Z286&lt;=2000,IF(INDEX(包装物料出入库明细!$B$4:$B$2003,$Z286-0)=0,"",INDEX(包装物料出入库明细!$B$4:$B$2003,$Z286-0)),IF($Z286&lt;=4000,IF(INDEX(周转筐出入库明细!$B$4:$B$2004,$Z286-2000)=0,"",INDEX(周转筐出入库明细!$B$4:$B$2004,$Z286-2000)),IF($Z286&lt;=5200,IF(INDEX(客户自备加工筐明细!$B$4:$B$1203,$Z286-4000)=0,"",INDEX(客户自备加工筐明细!$B$4:$B$1203,$Z286-4000)),IF($Z286&lt;=5800,IF(INDEX(次果筐明细!$B$4:$B$603,$Z286-5200)=0,"",INDEX(次果筐明细!$B$4:$B$603,$Z286-5200)),"")))))</f>
        <v/>
      </c>
      <c r="C286" s="37" t="str">
        <f>IF($Z286="","",IF($Z286&lt;=2000,IF(INDEX(包装物料出入库明细!$D$4:$D$2003,$Z286-0)=0,"",INDEX(包装物料出入库明细!$D$4:$D$2003,$Z286-0)),IF($Z286&lt;=4000,IF(INDEX(周转筐出入库明细!$C$4:$C$2004,$Z286-2000)=0,"",INDEX(周转筐出入库明细!$C$4:$C$2004,$Z286-2000)),IF($Z286&lt;=5200,IF(INDEX(客户自备加工筐明细!$E$4:$E$1203,$Z286-4000)=0,"",INDEX(客户自备加工筐明细!$E$4:$E$1203,$Z286-4000)),IF($Z286&lt;=5800,IF(INDEX(次果筐明细!$C$4:$C$603,$Z286-5200)=0,"",INDEX(次果筐明细!$C$4:$C$603,$Z286-5200)),"")))))</f>
        <v/>
      </c>
      <c r="D286" s="37" t="str">
        <f>IF($Z286="","",IF($Z286&lt;=2000,"包装物料－"&amp;INDEX(包装物料出入库明细!$H$4:$H$2003,$Z286-0),IF($Z286&lt;=4000,"周转筐－"&amp;INDEX(周转筐出入库明细!$F$4:$F$2004,$Z286-2000),IF($Z286&lt;=5200,"客户自备筐－"&amp;INDEX(客户自备加工筐明细!$J$4:$J$1203,$Z286-4000),IF($Z286&lt;=5800,"次果筐/托盘－"&amp;INDEX(次果筐明细!$F$4:$F$603,$Z286-5200),"")))))</f>
        <v/>
      </c>
      <c r="E286" s="24" t="str">
        <f>IF($Z286="","",IF($Z286&lt;=2000,IF(INDEX(包装物料出入库明细!$C$4:$C$2003,$Z286-0)=0,"",INDEX(包装物料出入库明细!$C$4:$C$2003,$Z286-0)),IF($Z286&lt;=4000,IF(INDEX(周转筐出入库明细!$E$4:$E$2004,$Z286-2000)=0,"",INDEX(周转筐出入库明细!$E$4:$E$2004,$Z286-2000)),IF($Z286&lt;=5200,IF(INDEX(客户自备加工筐明细!$D$4:$D$1203,$Z286-4000)=0,"",INDEX(客户自备加工筐明细!$D$4:$D$1203,$Z286-4000)),IF($Z286&lt;=5800,IF(INDEX(次果筐明细!$E$4:$E$603,$Z286-5200)=0,"",INDEX(次果筐明细!$E$4:$E$603,$Z286-5200)),"")))))</f>
        <v/>
      </c>
      <c r="F286" s="24" t="str">
        <f>IF($Z286="","",IF($Z286&lt;=2000,IF(INDEX(包装物料出入库明细!$E$4:$E$2003,$Z286-0)=0,"",INDEX(包装物料出入库明细!$E$4:$E$2003,$Z286-0)),IF($Z286&lt;=4000,IF(INDEX(周转筐出入库明细!$D$4:$D$2004,$Z286-2000)=0,"",INDEX(周转筐出入库明细!$D$4:$D$2004,$Z286-2000)),IF($Z286&lt;=5200,IF(INDEX(客户自备加工筐明细!$C$4:$C$1203,$Z286-4000)=0,"",INDEX(客户自备加工筐明细!$C$4:$C$1203,$Z286-4000)),IF($Z286&lt;=5800,IF(INDEX(次果筐明细!$D$4:$D$603,$Z286-5200)=0,"",INDEX(次果筐明细!$D$4:$D$603,$Z286-5200)),"")))))</f>
        <v/>
      </c>
      <c r="G286" s="24" t="str">
        <f>IF($Z286="","",IF($Z286&lt;=2000,IF(INDEX(包装物料出入库明细!$F$4:$F$2003,$Z286-0)=0,"",INDEX(包装物料出入库明细!$F$4:$F$2003,$Z286-0)),IF($Z286&lt;=4000,"",IF($Z286&lt;=5200,"",IF($Z286&lt;=5800,"","")))))</f>
        <v/>
      </c>
      <c r="H286" s="39" t="str">
        <f>IF($Z286="","",IF($Z286&lt;=2000,IF(INDEX(包装物料出入库明细!$L$4:$L$2003,$Z286-0)=0,"",INDEX(包装物料出入库明细!$L$4:$L$2003,$Z286-0)),IF($Z286&lt;=4000,N(INDEX(周转筐出入库明细!$H$4:$H$2004,$Z286-2000))+N(INDEX(周转筐出入库明细!$I$4:$I$2004,$Z286-2000))+N(INDEX(周转筐出入库明细!$J$4:$J$2004,$Z286-2000))+N(INDEX(周转筐出入库明细!$K$4:$K$2004,$Z286-2000)),IF($Z286&lt;=5200,N(INDEX(客户自备加工筐明细!$F$4:$F$1203,$Z286-4000))+N(INDEX(客户自备加工筐明细!$G$4:$G$1203,$Z286-4000)),IF($Z286&lt;=5800,IF(INDEX(次果筐明细!$G$4:$G$603,$Z286-5200)=0,"",INDEX(次果筐明细!$G$4:$G$603,$Z286-5200)),"")))))</f>
        <v/>
      </c>
      <c r="I286" s="24" t="str">
        <f>IF($Z286="","",IF($Z286&lt;=2000,IF(INDEX(包装物料出入库明细!$G$4:$G$2003,$Z286-0)=0,"",INDEX(包装物料出入库明细!$G$4:$G$2003,$Z286-0)),IF($Z286&lt;=4000,"个",IF($Z286&lt;=5200,"个",IF($Z286&lt;=5800,"个","")))))</f>
        <v/>
      </c>
      <c r="J286" s="30" t="str">
        <f t="shared" si="13"/>
        <v/>
      </c>
      <c r="K286" s="30" t="str">
        <f>IF($Z286="","",IF($Z286&lt;=2000,IF(INDEX(包装物料出入库明细!$N$4:$N$2003,$Z286-0)=0,"",INDEX(包装物料出入库明细!$N$4:$N$2003,$Z286-0)),IF($Z286&lt;=4000,IF(INDEX(周转筐出入库明细!$P$4:$P$2004,$Z286-2000)=0,"",INDEX(周转筐出入库明细!$P$4:$P$2004,$Z286-2000)),IF($Z286&lt;=5200,"",IF($Z286&lt;=5800,N(INDEX(次果筐明细!$L$4:$L$603,$Z286-5200))+N(INDEX(次果筐明细!$J$4:$J$603,$Z286-5200)),"")))))</f>
        <v/>
      </c>
      <c r="L286" s="24" t="str">
        <f>IF($Z286="","",IF($Z286&lt;=2000,IF(INDEX(包装物料出入库明细!$P$4:$P$2003,$Z286-0)=0,"",INDEX(包装物料出入库明细!$P$4:$P$2003,$Z286-0)),IF($Z286&lt;=4000,IF(INDEX(周转筐出入库明细!$Q$4:$Q$2004,$Z286-2000)=0,"",INDEX(周转筐出入库明细!$Q$4:$Q$2004,$Z286-2000)),IF($Z286&lt;=5200,"",IF($Z286&lt;=5800,IF(INDEX(次果筐明细!$M$4:$M$603,$Z286-5200)=0,"",INDEX(次果筐明细!$M$4:$M$603,$Z286-5200)),"")))))</f>
        <v/>
      </c>
      <c r="M286" s="37" t="str">
        <f>IF($Z286="","",IF($Z286&lt;=2000,IF(INDEX(包装物料出入库明细!$R$4:$R$2003,$Z286-0)=0,"",INDEX(包装物料出入库明细!$R$4:$R$2003,$Z286-0)),IF($Z286&lt;=4000,IF(INDEX(周转筐出入库明细!$W$4:$W$2004,$Z286-2000)=0,"",INDEX(周转筐出入库明细!$W$4:$W$2004,$Z286-2000)),IF($Z286&lt;=5200,IF(INDEX(客户自备加工筐明细!$L$4:$L$1203,$Z286-4000)=0,"",INDEX(客户自备加工筐明细!$L$4:$L$1203,$Z286-4000)),IF($Z286&lt;=5800,IF(INDEX(次果筐明细!$P$4:$P$603,$Z286-5200)=0,"",INDEX(次果筐明细!$P$4:$P$603,$Z286-5200)),"")))))</f>
        <v/>
      </c>
      <c r="N286" s="16" t="str">
        <f>IF($Z286="","",IF($Z286&lt;=2000,"",IF($Z286&lt;=4000,IF(INDEX(周转筐出入库明细!$D$4:$D$2004,$Z286-2000)=0,"",INDEX(周转筐出入库明细!$D$4:$D$2004,$Z286-2000)),IF($Z286&lt;=5200,IF(INDEX(客户自备加工筐明细!$C$4:$C$1203,$Z286-4000)=0,"",INDEX(客户自备加工筐明细!$C$4:$C$1203,$Z286-4000)),IF($Z286&lt;=5800,IF(INDEX(次果筐明细!$D$4:$D$603,$Z286-5200)=0,"",INDEX(次果筐明细!$D$4:$D$603,$Z286-5200)),"")))))</f>
        <v/>
      </c>
      <c r="O286" s="40" t="str">
        <f>IF($Z286="","",IF($Z286&lt;=2000,"",IF($Z286&lt;=4000,IF(N(INDEX(周转筐出入库明细!$J$4:$J$2004,$Z286-2000))+N(INDEX(周转筐出入库明细!$K$4:$K$2004,$Z286-2000))=0,"",N(INDEX(周转筐出入库明细!$J$4:$J$2004,$Z286-2000))+N(INDEX(周转筐出入库明细!$K$4:$K$2004,$Z286-2000))),IF($Z286&lt;=5200,IF(N(INDEX(客户自备加工筐明细!$G$4:$G$1203,$Z286-4000))=0,"",N(INDEX(客户自备加工筐明细!$G$4:$G$1203,$Z286-4000))),IF($Z286&lt;=5800,IF(ISNUMBER(SEARCH("退",INDEX(次果筐明细!$F$4:$F$603,$Z286-5200)&amp;"")),"",IF(N(INDEX(次果筐明细!$G$4:$G$603,$Z286-5200))=0,"",N(INDEX(次果筐明细!$G$4:$G$603,$Z286-5200)))),"")))))</f>
        <v/>
      </c>
      <c r="P286" s="40" t="str">
        <f>IF($Z286="","",IF($Z286&lt;=2000,"",IF($Z286&lt;=4000,IF(N(INDEX(周转筐出入库明细!$I$4:$I$2004,$Z286-2000))=0,"",N(INDEX(周转筐出入库明细!$I$4:$I$2004,$Z286-2000))),IF($Z286&lt;=5200,"",IF($Z286&lt;=5800,IF(ISNUMBER(SEARCH("退",INDEX(次果筐明细!$F$4:$F$603,$Z286-5200)&amp;"")),IF(N(INDEX(次果筐明细!$G$4:$G$603,$Z286-5200))=0,"",N(INDEX(次果筐明细!$G$4:$G$603,$Z286-5200))),""),"")))))</f>
        <v/>
      </c>
      <c r="Q286" s="40" t="str">
        <f>IF($Z286="","",IF($Z286&lt;=2000,"",IF($Z286&lt;=4000,IF(N(INDEX(周转筐出入库明细!$H$4:$H$2004,$Z286-2000))=0,"",N(INDEX(周转筐出入库明细!$H$4:$H$2004,$Z286-2000))),IF($Z286&lt;=5200,IF(N(INDEX(客户自备加工筐明细!$F$4:$F$1203,$Z286-4000))=0,"",N(INDEX(客户自备加工筐明细!$F$4:$F$1203,$Z286-4000))),IF($Z286&lt;=5800,"","")))))</f>
        <v/>
      </c>
      <c r="R286" s="16" t="str">
        <f>IF($Z286="","",IF($Z286&lt;=2000,IF(INDEX(包装物料出入库明细!$O$4:$O$2003,$Z286-0)=0,"",INDEX(包装物料出入库明细!$O$4:$O$2003,$Z286-0)),IF($Z286&lt;=4000,IF(INDEX(周转筐出入库明细!$M$4:$M$2004,$Z286-2000)=0,"",INDEX(周转筐出入库明细!$M$4:$M$2004,$Z286-2000)),IF($Z286&lt;=5200,IF(INDEX(客户自备加工筐明细!$H$4:$H$1203,$Z286-4000)=0,"",INDEX(客户自备加工筐明细!$H$4:$H$1203,$Z286-4000)),IF($Z286&lt;=5800,IF(INDEX(次果筐明细!$H$4:$H$603,$Z286-5200)=0,"",INDEX(次果筐明细!$H$4:$H$603,$Z286-5200)),"")))))</f>
        <v/>
      </c>
      <c r="S286" s="22" t="str">
        <f t="shared" si="14"/>
        <v/>
      </c>
      <c r="Z286" s="10" t="str">
        <f>IFERROR(MATCH(ROW()-3,_自动清单!$CQ$4:$CQ$5803,0),"")</f>
        <v/>
      </c>
    </row>
    <row r="287" spans="1:26">
      <c r="A287" s="24" t="str">
        <f t="shared" si="12"/>
        <v/>
      </c>
      <c r="B287" s="38" t="str">
        <f>IF($Z287="","",IF($Z287&lt;=2000,IF(INDEX(包装物料出入库明细!$B$4:$B$2003,$Z287-0)=0,"",INDEX(包装物料出入库明细!$B$4:$B$2003,$Z287-0)),IF($Z287&lt;=4000,IF(INDEX(周转筐出入库明细!$B$4:$B$2004,$Z287-2000)=0,"",INDEX(周转筐出入库明细!$B$4:$B$2004,$Z287-2000)),IF($Z287&lt;=5200,IF(INDEX(客户自备加工筐明细!$B$4:$B$1203,$Z287-4000)=0,"",INDEX(客户自备加工筐明细!$B$4:$B$1203,$Z287-4000)),IF($Z287&lt;=5800,IF(INDEX(次果筐明细!$B$4:$B$603,$Z287-5200)=0,"",INDEX(次果筐明细!$B$4:$B$603,$Z287-5200)),"")))))</f>
        <v/>
      </c>
      <c r="C287" s="37" t="str">
        <f>IF($Z287="","",IF($Z287&lt;=2000,IF(INDEX(包装物料出入库明细!$D$4:$D$2003,$Z287-0)=0,"",INDEX(包装物料出入库明细!$D$4:$D$2003,$Z287-0)),IF($Z287&lt;=4000,IF(INDEX(周转筐出入库明细!$C$4:$C$2004,$Z287-2000)=0,"",INDEX(周转筐出入库明细!$C$4:$C$2004,$Z287-2000)),IF($Z287&lt;=5200,IF(INDEX(客户自备加工筐明细!$E$4:$E$1203,$Z287-4000)=0,"",INDEX(客户自备加工筐明细!$E$4:$E$1203,$Z287-4000)),IF($Z287&lt;=5800,IF(INDEX(次果筐明细!$C$4:$C$603,$Z287-5200)=0,"",INDEX(次果筐明细!$C$4:$C$603,$Z287-5200)),"")))))</f>
        <v/>
      </c>
      <c r="D287" s="37" t="str">
        <f>IF($Z287="","",IF($Z287&lt;=2000,"包装物料－"&amp;INDEX(包装物料出入库明细!$H$4:$H$2003,$Z287-0),IF($Z287&lt;=4000,"周转筐－"&amp;INDEX(周转筐出入库明细!$F$4:$F$2004,$Z287-2000),IF($Z287&lt;=5200,"客户自备筐－"&amp;INDEX(客户自备加工筐明细!$J$4:$J$1203,$Z287-4000),IF($Z287&lt;=5800,"次果筐/托盘－"&amp;INDEX(次果筐明细!$F$4:$F$603,$Z287-5200),"")))))</f>
        <v/>
      </c>
      <c r="E287" s="24" t="str">
        <f>IF($Z287="","",IF($Z287&lt;=2000,IF(INDEX(包装物料出入库明细!$C$4:$C$2003,$Z287-0)=0,"",INDEX(包装物料出入库明细!$C$4:$C$2003,$Z287-0)),IF($Z287&lt;=4000,IF(INDEX(周转筐出入库明细!$E$4:$E$2004,$Z287-2000)=0,"",INDEX(周转筐出入库明细!$E$4:$E$2004,$Z287-2000)),IF($Z287&lt;=5200,IF(INDEX(客户自备加工筐明细!$D$4:$D$1203,$Z287-4000)=0,"",INDEX(客户自备加工筐明细!$D$4:$D$1203,$Z287-4000)),IF($Z287&lt;=5800,IF(INDEX(次果筐明细!$E$4:$E$603,$Z287-5200)=0,"",INDEX(次果筐明细!$E$4:$E$603,$Z287-5200)),"")))))</f>
        <v/>
      </c>
      <c r="F287" s="24" t="str">
        <f>IF($Z287="","",IF($Z287&lt;=2000,IF(INDEX(包装物料出入库明细!$E$4:$E$2003,$Z287-0)=0,"",INDEX(包装物料出入库明细!$E$4:$E$2003,$Z287-0)),IF($Z287&lt;=4000,IF(INDEX(周转筐出入库明细!$D$4:$D$2004,$Z287-2000)=0,"",INDEX(周转筐出入库明细!$D$4:$D$2004,$Z287-2000)),IF($Z287&lt;=5200,IF(INDEX(客户自备加工筐明细!$C$4:$C$1203,$Z287-4000)=0,"",INDEX(客户自备加工筐明细!$C$4:$C$1203,$Z287-4000)),IF($Z287&lt;=5800,IF(INDEX(次果筐明细!$D$4:$D$603,$Z287-5200)=0,"",INDEX(次果筐明细!$D$4:$D$603,$Z287-5200)),"")))))</f>
        <v/>
      </c>
      <c r="G287" s="24" t="str">
        <f>IF($Z287="","",IF($Z287&lt;=2000,IF(INDEX(包装物料出入库明细!$F$4:$F$2003,$Z287-0)=0,"",INDEX(包装物料出入库明细!$F$4:$F$2003,$Z287-0)),IF($Z287&lt;=4000,"",IF($Z287&lt;=5200,"",IF($Z287&lt;=5800,"","")))))</f>
        <v/>
      </c>
      <c r="H287" s="39" t="str">
        <f>IF($Z287="","",IF($Z287&lt;=2000,IF(INDEX(包装物料出入库明细!$L$4:$L$2003,$Z287-0)=0,"",INDEX(包装物料出入库明细!$L$4:$L$2003,$Z287-0)),IF($Z287&lt;=4000,N(INDEX(周转筐出入库明细!$H$4:$H$2004,$Z287-2000))+N(INDEX(周转筐出入库明细!$I$4:$I$2004,$Z287-2000))+N(INDEX(周转筐出入库明细!$J$4:$J$2004,$Z287-2000))+N(INDEX(周转筐出入库明细!$K$4:$K$2004,$Z287-2000)),IF($Z287&lt;=5200,N(INDEX(客户自备加工筐明细!$F$4:$F$1203,$Z287-4000))+N(INDEX(客户自备加工筐明细!$G$4:$G$1203,$Z287-4000)),IF($Z287&lt;=5800,IF(INDEX(次果筐明细!$G$4:$G$603,$Z287-5200)=0,"",INDEX(次果筐明细!$G$4:$G$603,$Z287-5200)),"")))))</f>
        <v/>
      </c>
      <c r="I287" s="24" t="str">
        <f>IF($Z287="","",IF($Z287&lt;=2000,IF(INDEX(包装物料出入库明细!$G$4:$G$2003,$Z287-0)=0,"",INDEX(包装物料出入库明细!$G$4:$G$2003,$Z287-0)),IF($Z287&lt;=4000,"个",IF($Z287&lt;=5200,"个",IF($Z287&lt;=5800,"个","")))))</f>
        <v/>
      </c>
      <c r="J287" s="30" t="str">
        <f t="shared" si="13"/>
        <v/>
      </c>
      <c r="K287" s="30" t="str">
        <f>IF($Z287="","",IF($Z287&lt;=2000,IF(INDEX(包装物料出入库明细!$N$4:$N$2003,$Z287-0)=0,"",INDEX(包装物料出入库明细!$N$4:$N$2003,$Z287-0)),IF($Z287&lt;=4000,IF(INDEX(周转筐出入库明细!$P$4:$P$2004,$Z287-2000)=0,"",INDEX(周转筐出入库明细!$P$4:$P$2004,$Z287-2000)),IF($Z287&lt;=5200,"",IF($Z287&lt;=5800,N(INDEX(次果筐明细!$L$4:$L$603,$Z287-5200))+N(INDEX(次果筐明细!$J$4:$J$603,$Z287-5200)),"")))))</f>
        <v/>
      </c>
      <c r="L287" s="24" t="str">
        <f>IF($Z287="","",IF($Z287&lt;=2000,IF(INDEX(包装物料出入库明细!$P$4:$P$2003,$Z287-0)=0,"",INDEX(包装物料出入库明细!$P$4:$P$2003,$Z287-0)),IF($Z287&lt;=4000,IF(INDEX(周转筐出入库明细!$Q$4:$Q$2004,$Z287-2000)=0,"",INDEX(周转筐出入库明细!$Q$4:$Q$2004,$Z287-2000)),IF($Z287&lt;=5200,"",IF($Z287&lt;=5800,IF(INDEX(次果筐明细!$M$4:$M$603,$Z287-5200)=0,"",INDEX(次果筐明细!$M$4:$M$603,$Z287-5200)),"")))))</f>
        <v/>
      </c>
      <c r="M287" s="37" t="str">
        <f>IF($Z287="","",IF($Z287&lt;=2000,IF(INDEX(包装物料出入库明细!$R$4:$R$2003,$Z287-0)=0,"",INDEX(包装物料出入库明细!$R$4:$R$2003,$Z287-0)),IF($Z287&lt;=4000,IF(INDEX(周转筐出入库明细!$W$4:$W$2004,$Z287-2000)=0,"",INDEX(周转筐出入库明细!$W$4:$W$2004,$Z287-2000)),IF($Z287&lt;=5200,IF(INDEX(客户自备加工筐明细!$L$4:$L$1203,$Z287-4000)=0,"",INDEX(客户自备加工筐明细!$L$4:$L$1203,$Z287-4000)),IF($Z287&lt;=5800,IF(INDEX(次果筐明细!$P$4:$P$603,$Z287-5200)=0,"",INDEX(次果筐明细!$P$4:$P$603,$Z287-5200)),"")))))</f>
        <v/>
      </c>
      <c r="N287" s="16" t="str">
        <f>IF($Z287="","",IF($Z287&lt;=2000,"",IF($Z287&lt;=4000,IF(INDEX(周转筐出入库明细!$D$4:$D$2004,$Z287-2000)=0,"",INDEX(周转筐出入库明细!$D$4:$D$2004,$Z287-2000)),IF($Z287&lt;=5200,IF(INDEX(客户自备加工筐明细!$C$4:$C$1203,$Z287-4000)=0,"",INDEX(客户自备加工筐明细!$C$4:$C$1203,$Z287-4000)),IF($Z287&lt;=5800,IF(INDEX(次果筐明细!$D$4:$D$603,$Z287-5200)=0,"",INDEX(次果筐明细!$D$4:$D$603,$Z287-5200)),"")))))</f>
        <v/>
      </c>
      <c r="O287" s="40" t="str">
        <f>IF($Z287="","",IF($Z287&lt;=2000,"",IF($Z287&lt;=4000,IF(N(INDEX(周转筐出入库明细!$J$4:$J$2004,$Z287-2000))+N(INDEX(周转筐出入库明细!$K$4:$K$2004,$Z287-2000))=0,"",N(INDEX(周转筐出入库明细!$J$4:$J$2004,$Z287-2000))+N(INDEX(周转筐出入库明细!$K$4:$K$2004,$Z287-2000))),IF($Z287&lt;=5200,IF(N(INDEX(客户自备加工筐明细!$G$4:$G$1203,$Z287-4000))=0,"",N(INDEX(客户自备加工筐明细!$G$4:$G$1203,$Z287-4000))),IF($Z287&lt;=5800,IF(ISNUMBER(SEARCH("退",INDEX(次果筐明细!$F$4:$F$603,$Z287-5200)&amp;"")),"",IF(N(INDEX(次果筐明细!$G$4:$G$603,$Z287-5200))=0,"",N(INDEX(次果筐明细!$G$4:$G$603,$Z287-5200)))),"")))))</f>
        <v/>
      </c>
      <c r="P287" s="40" t="str">
        <f>IF($Z287="","",IF($Z287&lt;=2000,"",IF($Z287&lt;=4000,IF(N(INDEX(周转筐出入库明细!$I$4:$I$2004,$Z287-2000))=0,"",N(INDEX(周转筐出入库明细!$I$4:$I$2004,$Z287-2000))),IF($Z287&lt;=5200,"",IF($Z287&lt;=5800,IF(ISNUMBER(SEARCH("退",INDEX(次果筐明细!$F$4:$F$603,$Z287-5200)&amp;"")),IF(N(INDEX(次果筐明细!$G$4:$G$603,$Z287-5200))=0,"",N(INDEX(次果筐明细!$G$4:$G$603,$Z287-5200))),""),"")))))</f>
        <v/>
      </c>
      <c r="Q287" s="40" t="str">
        <f>IF($Z287="","",IF($Z287&lt;=2000,"",IF($Z287&lt;=4000,IF(N(INDEX(周转筐出入库明细!$H$4:$H$2004,$Z287-2000))=0,"",N(INDEX(周转筐出入库明细!$H$4:$H$2004,$Z287-2000))),IF($Z287&lt;=5200,IF(N(INDEX(客户自备加工筐明细!$F$4:$F$1203,$Z287-4000))=0,"",N(INDEX(客户自备加工筐明细!$F$4:$F$1203,$Z287-4000))),IF($Z287&lt;=5800,"","")))))</f>
        <v/>
      </c>
      <c r="R287" s="16" t="str">
        <f>IF($Z287="","",IF($Z287&lt;=2000,IF(INDEX(包装物料出入库明细!$O$4:$O$2003,$Z287-0)=0,"",INDEX(包装物料出入库明细!$O$4:$O$2003,$Z287-0)),IF($Z287&lt;=4000,IF(INDEX(周转筐出入库明细!$M$4:$M$2004,$Z287-2000)=0,"",INDEX(周转筐出入库明细!$M$4:$M$2004,$Z287-2000)),IF($Z287&lt;=5200,IF(INDEX(客户自备加工筐明细!$H$4:$H$1203,$Z287-4000)=0,"",INDEX(客户自备加工筐明细!$H$4:$H$1203,$Z287-4000)),IF($Z287&lt;=5800,IF(INDEX(次果筐明细!$H$4:$H$603,$Z287-5200)=0,"",INDEX(次果筐明细!$H$4:$H$603,$Z287-5200)),"")))))</f>
        <v/>
      </c>
      <c r="S287" s="22" t="str">
        <f t="shared" si="14"/>
        <v/>
      </c>
      <c r="Z287" s="10" t="str">
        <f>IFERROR(MATCH(ROW()-3,_自动清单!$CQ$4:$CQ$5803,0),"")</f>
        <v/>
      </c>
    </row>
    <row r="288" spans="1:26">
      <c r="A288" s="24" t="str">
        <f t="shared" si="12"/>
        <v/>
      </c>
      <c r="B288" s="38" t="str">
        <f>IF($Z288="","",IF($Z288&lt;=2000,IF(INDEX(包装物料出入库明细!$B$4:$B$2003,$Z288-0)=0,"",INDEX(包装物料出入库明细!$B$4:$B$2003,$Z288-0)),IF($Z288&lt;=4000,IF(INDEX(周转筐出入库明细!$B$4:$B$2004,$Z288-2000)=0,"",INDEX(周转筐出入库明细!$B$4:$B$2004,$Z288-2000)),IF($Z288&lt;=5200,IF(INDEX(客户自备加工筐明细!$B$4:$B$1203,$Z288-4000)=0,"",INDEX(客户自备加工筐明细!$B$4:$B$1203,$Z288-4000)),IF($Z288&lt;=5800,IF(INDEX(次果筐明细!$B$4:$B$603,$Z288-5200)=0,"",INDEX(次果筐明细!$B$4:$B$603,$Z288-5200)),"")))))</f>
        <v/>
      </c>
      <c r="C288" s="37" t="str">
        <f>IF($Z288="","",IF($Z288&lt;=2000,IF(INDEX(包装物料出入库明细!$D$4:$D$2003,$Z288-0)=0,"",INDEX(包装物料出入库明细!$D$4:$D$2003,$Z288-0)),IF($Z288&lt;=4000,IF(INDEX(周转筐出入库明细!$C$4:$C$2004,$Z288-2000)=0,"",INDEX(周转筐出入库明细!$C$4:$C$2004,$Z288-2000)),IF($Z288&lt;=5200,IF(INDEX(客户自备加工筐明细!$E$4:$E$1203,$Z288-4000)=0,"",INDEX(客户自备加工筐明细!$E$4:$E$1203,$Z288-4000)),IF($Z288&lt;=5800,IF(INDEX(次果筐明细!$C$4:$C$603,$Z288-5200)=0,"",INDEX(次果筐明细!$C$4:$C$603,$Z288-5200)),"")))))</f>
        <v/>
      </c>
      <c r="D288" s="37" t="str">
        <f>IF($Z288="","",IF($Z288&lt;=2000,"包装物料－"&amp;INDEX(包装物料出入库明细!$H$4:$H$2003,$Z288-0),IF($Z288&lt;=4000,"周转筐－"&amp;INDEX(周转筐出入库明细!$F$4:$F$2004,$Z288-2000),IF($Z288&lt;=5200,"客户自备筐－"&amp;INDEX(客户自备加工筐明细!$J$4:$J$1203,$Z288-4000),IF($Z288&lt;=5800,"次果筐/托盘－"&amp;INDEX(次果筐明细!$F$4:$F$603,$Z288-5200),"")))))</f>
        <v/>
      </c>
      <c r="E288" s="24" t="str">
        <f>IF($Z288="","",IF($Z288&lt;=2000,IF(INDEX(包装物料出入库明细!$C$4:$C$2003,$Z288-0)=0,"",INDEX(包装物料出入库明细!$C$4:$C$2003,$Z288-0)),IF($Z288&lt;=4000,IF(INDEX(周转筐出入库明细!$E$4:$E$2004,$Z288-2000)=0,"",INDEX(周转筐出入库明细!$E$4:$E$2004,$Z288-2000)),IF($Z288&lt;=5200,IF(INDEX(客户自备加工筐明细!$D$4:$D$1203,$Z288-4000)=0,"",INDEX(客户自备加工筐明细!$D$4:$D$1203,$Z288-4000)),IF($Z288&lt;=5800,IF(INDEX(次果筐明细!$E$4:$E$603,$Z288-5200)=0,"",INDEX(次果筐明细!$E$4:$E$603,$Z288-5200)),"")))))</f>
        <v/>
      </c>
      <c r="F288" s="24" t="str">
        <f>IF($Z288="","",IF($Z288&lt;=2000,IF(INDEX(包装物料出入库明细!$E$4:$E$2003,$Z288-0)=0,"",INDEX(包装物料出入库明细!$E$4:$E$2003,$Z288-0)),IF($Z288&lt;=4000,IF(INDEX(周转筐出入库明细!$D$4:$D$2004,$Z288-2000)=0,"",INDEX(周转筐出入库明细!$D$4:$D$2004,$Z288-2000)),IF($Z288&lt;=5200,IF(INDEX(客户自备加工筐明细!$C$4:$C$1203,$Z288-4000)=0,"",INDEX(客户自备加工筐明细!$C$4:$C$1203,$Z288-4000)),IF($Z288&lt;=5800,IF(INDEX(次果筐明细!$D$4:$D$603,$Z288-5200)=0,"",INDEX(次果筐明细!$D$4:$D$603,$Z288-5200)),"")))))</f>
        <v/>
      </c>
      <c r="G288" s="24" t="str">
        <f>IF($Z288="","",IF($Z288&lt;=2000,IF(INDEX(包装物料出入库明细!$F$4:$F$2003,$Z288-0)=0,"",INDEX(包装物料出入库明细!$F$4:$F$2003,$Z288-0)),IF($Z288&lt;=4000,"",IF($Z288&lt;=5200,"",IF($Z288&lt;=5800,"","")))))</f>
        <v/>
      </c>
      <c r="H288" s="39" t="str">
        <f>IF($Z288="","",IF($Z288&lt;=2000,IF(INDEX(包装物料出入库明细!$L$4:$L$2003,$Z288-0)=0,"",INDEX(包装物料出入库明细!$L$4:$L$2003,$Z288-0)),IF($Z288&lt;=4000,N(INDEX(周转筐出入库明细!$H$4:$H$2004,$Z288-2000))+N(INDEX(周转筐出入库明细!$I$4:$I$2004,$Z288-2000))+N(INDEX(周转筐出入库明细!$J$4:$J$2004,$Z288-2000))+N(INDEX(周转筐出入库明细!$K$4:$K$2004,$Z288-2000)),IF($Z288&lt;=5200,N(INDEX(客户自备加工筐明细!$F$4:$F$1203,$Z288-4000))+N(INDEX(客户自备加工筐明细!$G$4:$G$1203,$Z288-4000)),IF($Z288&lt;=5800,IF(INDEX(次果筐明细!$G$4:$G$603,$Z288-5200)=0,"",INDEX(次果筐明细!$G$4:$G$603,$Z288-5200)),"")))))</f>
        <v/>
      </c>
      <c r="I288" s="24" t="str">
        <f>IF($Z288="","",IF($Z288&lt;=2000,IF(INDEX(包装物料出入库明细!$G$4:$G$2003,$Z288-0)=0,"",INDEX(包装物料出入库明细!$G$4:$G$2003,$Z288-0)),IF($Z288&lt;=4000,"个",IF($Z288&lt;=5200,"个",IF($Z288&lt;=5800,"个","")))))</f>
        <v/>
      </c>
      <c r="J288" s="30" t="str">
        <f t="shared" si="13"/>
        <v/>
      </c>
      <c r="K288" s="30" t="str">
        <f>IF($Z288="","",IF($Z288&lt;=2000,IF(INDEX(包装物料出入库明细!$N$4:$N$2003,$Z288-0)=0,"",INDEX(包装物料出入库明细!$N$4:$N$2003,$Z288-0)),IF($Z288&lt;=4000,IF(INDEX(周转筐出入库明细!$P$4:$P$2004,$Z288-2000)=0,"",INDEX(周转筐出入库明细!$P$4:$P$2004,$Z288-2000)),IF($Z288&lt;=5200,"",IF($Z288&lt;=5800,N(INDEX(次果筐明细!$L$4:$L$603,$Z288-5200))+N(INDEX(次果筐明细!$J$4:$J$603,$Z288-5200)),"")))))</f>
        <v/>
      </c>
      <c r="L288" s="24" t="str">
        <f>IF($Z288="","",IF($Z288&lt;=2000,IF(INDEX(包装物料出入库明细!$P$4:$P$2003,$Z288-0)=0,"",INDEX(包装物料出入库明细!$P$4:$P$2003,$Z288-0)),IF($Z288&lt;=4000,IF(INDEX(周转筐出入库明细!$Q$4:$Q$2004,$Z288-2000)=0,"",INDEX(周转筐出入库明细!$Q$4:$Q$2004,$Z288-2000)),IF($Z288&lt;=5200,"",IF($Z288&lt;=5800,IF(INDEX(次果筐明细!$M$4:$M$603,$Z288-5200)=0,"",INDEX(次果筐明细!$M$4:$M$603,$Z288-5200)),"")))))</f>
        <v/>
      </c>
      <c r="M288" s="37" t="str">
        <f>IF($Z288="","",IF($Z288&lt;=2000,IF(INDEX(包装物料出入库明细!$R$4:$R$2003,$Z288-0)=0,"",INDEX(包装物料出入库明细!$R$4:$R$2003,$Z288-0)),IF($Z288&lt;=4000,IF(INDEX(周转筐出入库明细!$W$4:$W$2004,$Z288-2000)=0,"",INDEX(周转筐出入库明细!$W$4:$W$2004,$Z288-2000)),IF($Z288&lt;=5200,IF(INDEX(客户自备加工筐明细!$L$4:$L$1203,$Z288-4000)=0,"",INDEX(客户自备加工筐明细!$L$4:$L$1203,$Z288-4000)),IF($Z288&lt;=5800,IF(INDEX(次果筐明细!$P$4:$P$603,$Z288-5200)=0,"",INDEX(次果筐明细!$P$4:$P$603,$Z288-5200)),"")))))</f>
        <v/>
      </c>
      <c r="N288" s="16" t="str">
        <f>IF($Z288="","",IF($Z288&lt;=2000,"",IF($Z288&lt;=4000,IF(INDEX(周转筐出入库明细!$D$4:$D$2004,$Z288-2000)=0,"",INDEX(周转筐出入库明细!$D$4:$D$2004,$Z288-2000)),IF($Z288&lt;=5200,IF(INDEX(客户自备加工筐明细!$C$4:$C$1203,$Z288-4000)=0,"",INDEX(客户自备加工筐明细!$C$4:$C$1203,$Z288-4000)),IF($Z288&lt;=5800,IF(INDEX(次果筐明细!$D$4:$D$603,$Z288-5200)=0,"",INDEX(次果筐明细!$D$4:$D$603,$Z288-5200)),"")))))</f>
        <v/>
      </c>
      <c r="O288" s="40" t="str">
        <f>IF($Z288="","",IF($Z288&lt;=2000,"",IF($Z288&lt;=4000,IF(N(INDEX(周转筐出入库明细!$J$4:$J$2004,$Z288-2000))+N(INDEX(周转筐出入库明细!$K$4:$K$2004,$Z288-2000))=0,"",N(INDEX(周转筐出入库明细!$J$4:$J$2004,$Z288-2000))+N(INDEX(周转筐出入库明细!$K$4:$K$2004,$Z288-2000))),IF($Z288&lt;=5200,IF(N(INDEX(客户自备加工筐明细!$G$4:$G$1203,$Z288-4000))=0,"",N(INDEX(客户自备加工筐明细!$G$4:$G$1203,$Z288-4000))),IF($Z288&lt;=5800,IF(ISNUMBER(SEARCH("退",INDEX(次果筐明细!$F$4:$F$603,$Z288-5200)&amp;"")),"",IF(N(INDEX(次果筐明细!$G$4:$G$603,$Z288-5200))=0,"",N(INDEX(次果筐明细!$G$4:$G$603,$Z288-5200)))),"")))))</f>
        <v/>
      </c>
      <c r="P288" s="40" t="str">
        <f>IF($Z288="","",IF($Z288&lt;=2000,"",IF($Z288&lt;=4000,IF(N(INDEX(周转筐出入库明细!$I$4:$I$2004,$Z288-2000))=0,"",N(INDEX(周转筐出入库明细!$I$4:$I$2004,$Z288-2000))),IF($Z288&lt;=5200,"",IF($Z288&lt;=5800,IF(ISNUMBER(SEARCH("退",INDEX(次果筐明细!$F$4:$F$603,$Z288-5200)&amp;"")),IF(N(INDEX(次果筐明细!$G$4:$G$603,$Z288-5200))=0,"",N(INDEX(次果筐明细!$G$4:$G$603,$Z288-5200))),""),"")))))</f>
        <v/>
      </c>
      <c r="Q288" s="40" t="str">
        <f>IF($Z288="","",IF($Z288&lt;=2000,"",IF($Z288&lt;=4000,IF(N(INDEX(周转筐出入库明细!$H$4:$H$2004,$Z288-2000))=0,"",N(INDEX(周转筐出入库明细!$H$4:$H$2004,$Z288-2000))),IF($Z288&lt;=5200,IF(N(INDEX(客户自备加工筐明细!$F$4:$F$1203,$Z288-4000))=0,"",N(INDEX(客户自备加工筐明细!$F$4:$F$1203,$Z288-4000))),IF($Z288&lt;=5800,"","")))))</f>
        <v/>
      </c>
      <c r="R288" s="16" t="str">
        <f>IF($Z288="","",IF($Z288&lt;=2000,IF(INDEX(包装物料出入库明细!$O$4:$O$2003,$Z288-0)=0,"",INDEX(包装物料出入库明细!$O$4:$O$2003,$Z288-0)),IF($Z288&lt;=4000,IF(INDEX(周转筐出入库明细!$M$4:$M$2004,$Z288-2000)=0,"",INDEX(周转筐出入库明细!$M$4:$M$2004,$Z288-2000)),IF($Z288&lt;=5200,IF(INDEX(客户自备加工筐明细!$H$4:$H$1203,$Z288-4000)=0,"",INDEX(客户自备加工筐明细!$H$4:$H$1203,$Z288-4000)),IF($Z288&lt;=5800,IF(INDEX(次果筐明细!$H$4:$H$603,$Z288-5200)=0,"",INDEX(次果筐明细!$H$4:$H$603,$Z288-5200)),"")))))</f>
        <v/>
      </c>
      <c r="S288" s="22" t="str">
        <f t="shared" si="14"/>
        <v/>
      </c>
      <c r="Z288" s="10" t="str">
        <f>IFERROR(MATCH(ROW()-3,_自动清单!$CQ$4:$CQ$5803,0),"")</f>
        <v/>
      </c>
    </row>
    <row r="289" spans="1:26">
      <c r="A289" s="24" t="str">
        <f t="shared" si="12"/>
        <v/>
      </c>
      <c r="B289" s="38" t="str">
        <f>IF($Z289="","",IF($Z289&lt;=2000,IF(INDEX(包装物料出入库明细!$B$4:$B$2003,$Z289-0)=0,"",INDEX(包装物料出入库明细!$B$4:$B$2003,$Z289-0)),IF($Z289&lt;=4000,IF(INDEX(周转筐出入库明细!$B$4:$B$2004,$Z289-2000)=0,"",INDEX(周转筐出入库明细!$B$4:$B$2004,$Z289-2000)),IF($Z289&lt;=5200,IF(INDEX(客户自备加工筐明细!$B$4:$B$1203,$Z289-4000)=0,"",INDEX(客户自备加工筐明细!$B$4:$B$1203,$Z289-4000)),IF($Z289&lt;=5800,IF(INDEX(次果筐明细!$B$4:$B$603,$Z289-5200)=0,"",INDEX(次果筐明细!$B$4:$B$603,$Z289-5200)),"")))))</f>
        <v/>
      </c>
      <c r="C289" s="37" t="str">
        <f>IF($Z289="","",IF($Z289&lt;=2000,IF(INDEX(包装物料出入库明细!$D$4:$D$2003,$Z289-0)=0,"",INDEX(包装物料出入库明细!$D$4:$D$2003,$Z289-0)),IF($Z289&lt;=4000,IF(INDEX(周转筐出入库明细!$C$4:$C$2004,$Z289-2000)=0,"",INDEX(周转筐出入库明细!$C$4:$C$2004,$Z289-2000)),IF($Z289&lt;=5200,IF(INDEX(客户自备加工筐明细!$E$4:$E$1203,$Z289-4000)=0,"",INDEX(客户自备加工筐明细!$E$4:$E$1203,$Z289-4000)),IF($Z289&lt;=5800,IF(INDEX(次果筐明细!$C$4:$C$603,$Z289-5200)=0,"",INDEX(次果筐明细!$C$4:$C$603,$Z289-5200)),"")))))</f>
        <v/>
      </c>
      <c r="D289" s="37" t="str">
        <f>IF($Z289="","",IF($Z289&lt;=2000,"包装物料－"&amp;INDEX(包装物料出入库明细!$H$4:$H$2003,$Z289-0),IF($Z289&lt;=4000,"周转筐－"&amp;INDEX(周转筐出入库明细!$F$4:$F$2004,$Z289-2000),IF($Z289&lt;=5200,"客户自备筐－"&amp;INDEX(客户自备加工筐明细!$J$4:$J$1203,$Z289-4000),IF($Z289&lt;=5800,"次果筐/托盘－"&amp;INDEX(次果筐明细!$F$4:$F$603,$Z289-5200),"")))))</f>
        <v/>
      </c>
      <c r="E289" s="24" t="str">
        <f>IF($Z289="","",IF($Z289&lt;=2000,IF(INDEX(包装物料出入库明细!$C$4:$C$2003,$Z289-0)=0,"",INDEX(包装物料出入库明细!$C$4:$C$2003,$Z289-0)),IF($Z289&lt;=4000,IF(INDEX(周转筐出入库明细!$E$4:$E$2004,$Z289-2000)=0,"",INDEX(周转筐出入库明细!$E$4:$E$2004,$Z289-2000)),IF($Z289&lt;=5200,IF(INDEX(客户自备加工筐明细!$D$4:$D$1203,$Z289-4000)=0,"",INDEX(客户自备加工筐明细!$D$4:$D$1203,$Z289-4000)),IF($Z289&lt;=5800,IF(INDEX(次果筐明细!$E$4:$E$603,$Z289-5200)=0,"",INDEX(次果筐明细!$E$4:$E$603,$Z289-5200)),"")))))</f>
        <v/>
      </c>
      <c r="F289" s="24" t="str">
        <f>IF($Z289="","",IF($Z289&lt;=2000,IF(INDEX(包装物料出入库明细!$E$4:$E$2003,$Z289-0)=0,"",INDEX(包装物料出入库明细!$E$4:$E$2003,$Z289-0)),IF($Z289&lt;=4000,IF(INDEX(周转筐出入库明细!$D$4:$D$2004,$Z289-2000)=0,"",INDEX(周转筐出入库明细!$D$4:$D$2004,$Z289-2000)),IF($Z289&lt;=5200,IF(INDEX(客户自备加工筐明细!$C$4:$C$1203,$Z289-4000)=0,"",INDEX(客户自备加工筐明细!$C$4:$C$1203,$Z289-4000)),IF($Z289&lt;=5800,IF(INDEX(次果筐明细!$D$4:$D$603,$Z289-5200)=0,"",INDEX(次果筐明细!$D$4:$D$603,$Z289-5200)),"")))))</f>
        <v/>
      </c>
      <c r="G289" s="24" t="str">
        <f>IF($Z289="","",IF($Z289&lt;=2000,IF(INDEX(包装物料出入库明细!$F$4:$F$2003,$Z289-0)=0,"",INDEX(包装物料出入库明细!$F$4:$F$2003,$Z289-0)),IF($Z289&lt;=4000,"",IF($Z289&lt;=5200,"",IF($Z289&lt;=5800,"","")))))</f>
        <v/>
      </c>
      <c r="H289" s="39" t="str">
        <f>IF($Z289="","",IF($Z289&lt;=2000,IF(INDEX(包装物料出入库明细!$L$4:$L$2003,$Z289-0)=0,"",INDEX(包装物料出入库明细!$L$4:$L$2003,$Z289-0)),IF($Z289&lt;=4000,N(INDEX(周转筐出入库明细!$H$4:$H$2004,$Z289-2000))+N(INDEX(周转筐出入库明细!$I$4:$I$2004,$Z289-2000))+N(INDEX(周转筐出入库明细!$J$4:$J$2004,$Z289-2000))+N(INDEX(周转筐出入库明细!$K$4:$K$2004,$Z289-2000)),IF($Z289&lt;=5200,N(INDEX(客户自备加工筐明细!$F$4:$F$1203,$Z289-4000))+N(INDEX(客户自备加工筐明细!$G$4:$G$1203,$Z289-4000)),IF($Z289&lt;=5800,IF(INDEX(次果筐明细!$G$4:$G$603,$Z289-5200)=0,"",INDEX(次果筐明细!$G$4:$G$603,$Z289-5200)),"")))))</f>
        <v/>
      </c>
      <c r="I289" s="24" t="str">
        <f>IF($Z289="","",IF($Z289&lt;=2000,IF(INDEX(包装物料出入库明细!$G$4:$G$2003,$Z289-0)=0,"",INDEX(包装物料出入库明细!$G$4:$G$2003,$Z289-0)),IF($Z289&lt;=4000,"个",IF($Z289&lt;=5200,"个",IF($Z289&lt;=5800,"个","")))))</f>
        <v/>
      </c>
      <c r="J289" s="30" t="str">
        <f t="shared" si="13"/>
        <v/>
      </c>
      <c r="K289" s="30" t="str">
        <f>IF($Z289="","",IF($Z289&lt;=2000,IF(INDEX(包装物料出入库明细!$N$4:$N$2003,$Z289-0)=0,"",INDEX(包装物料出入库明细!$N$4:$N$2003,$Z289-0)),IF($Z289&lt;=4000,IF(INDEX(周转筐出入库明细!$P$4:$P$2004,$Z289-2000)=0,"",INDEX(周转筐出入库明细!$P$4:$P$2004,$Z289-2000)),IF($Z289&lt;=5200,"",IF($Z289&lt;=5800,N(INDEX(次果筐明细!$L$4:$L$603,$Z289-5200))+N(INDEX(次果筐明细!$J$4:$J$603,$Z289-5200)),"")))))</f>
        <v/>
      </c>
      <c r="L289" s="24" t="str">
        <f>IF($Z289="","",IF($Z289&lt;=2000,IF(INDEX(包装物料出入库明细!$P$4:$P$2003,$Z289-0)=0,"",INDEX(包装物料出入库明细!$P$4:$P$2003,$Z289-0)),IF($Z289&lt;=4000,IF(INDEX(周转筐出入库明细!$Q$4:$Q$2004,$Z289-2000)=0,"",INDEX(周转筐出入库明细!$Q$4:$Q$2004,$Z289-2000)),IF($Z289&lt;=5200,"",IF($Z289&lt;=5800,IF(INDEX(次果筐明细!$M$4:$M$603,$Z289-5200)=0,"",INDEX(次果筐明细!$M$4:$M$603,$Z289-5200)),"")))))</f>
        <v/>
      </c>
      <c r="M289" s="37" t="str">
        <f>IF($Z289="","",IF($Z289&lt;=2000,IF(INDEX(包装物料出入库明细!$R$4:$R$2003,$Z289-0)=0,"",INDEX(包装物料出入库明细!$R$4:$R$2003,$Z289-0)),IF($Z289&lt;=4000,IF(INDEX(周转筐出入库明细!$W$4:$W$2004,$Z289-2000)=0,"",INDEX(周转筐出入库明细!$W$4:$W$2004,$Z289-2000)),IF($Z289&lt;=5200,IF(INDEX(客户自备加工筐明细!$L$4:$L$1203,$Z289-4000)=0,"",INDEX(客户自备加工筐明细!$L$4:$L$1203,$Z289-4000)),IF($Z289&lt;=5800,IF(INDEX(次果筐明细!$P$4:$P$603,$Z289-5200)=0,"",INDEX(次果筐明细!$P$4:$P$603,$Z289-5200)),"")))))</f>
        <v/>
      </c>
      <c r="N289" s="16" t="str">
        <f>IF($Z289="","",IF($Z289&lt;=2000,"",IF($Z289&lt;=4000,IF(INDEX(周转筐出入库明细!$D$4:$D$2004,$Z289-2000)=0,"",INDEX(周转筐出入库明细!$D$4:$D$2004,$Z289-2000)),IF($Z289&lt;=5200,IF(INDEX(客户自备加工筐明细!$C$4:$C$1203,$Z289-4000)=0,"",INDEX(客户自备加工筐明细!$C$4:$C$1203,$Z289-4000)),IF($Z289&lt;=5800,IF(INDEX(次果筐明细!$D$4:$D$603,$Z289-5200)=0,"",INDEX(次果筐明细!$D$4:$D$603,$Z289-5200)),"")))))</f>
        <v/>
      </c>
      <c r="O289" s="40" t="str">
        <f>IF($Z289="","",IF($Z289&lt;=2000,"",IF($Z289&lt;=4000,IF(N(INDEX(周转筐出入库明细!$J$4:$J$2004,$Z289-2000))+N(INDEX(周转筐出入库明细!$K$4:$K$2004,$Z289-2000))=0,"",N(INDEX(周转筐出入库明细!$J$4:$J$2004,$Z289-2000))+N(INDEX(周转筐出入库明细!$K$4:$K$2004,$Z289-2000))),IF($Z289&lt;=5200,IF(N(INDEX(客户自备加工筐明细!$G$4:$G$1203,$Z289-4000))=0,"",N(INDEX(客户自备加工筐明细!$G$4:$G$1203,$Z289-4000))),IF($Z289&lt;=5800,IF(ISNUMBER(SEARCH("退",INDEX(次果筐明细!$F$4:$F$603,$Z289-5200)&amp;"")),"",IF(N(INDEX(次果筐明细!$G$4:$G$603,$Z289-5200))=0,"",N(INDEX(次果筐明细!$G$4:$G$603,$Z289-5200)))),"")))))</f>
        <v/>
      </c>
      <c r="P289" s="40" t="str">
        <f>IF($Z289="","",IF($Z289&lt;=2000,"",IF($Z289&lt;=4000,IF(N(INDEX(周转筐出入库明细!$I$4:$I$2004,$Z289-2000))=0,"",N(INDEX(周转筐出入库明细!$I$4:$I$2004,$Z289-2000))),IF($Z289&lt;=5200,"",IF($Z289&lt;=5800,IF(ISNUMBER(SEARCH("退",INDEX(次果筐明细!$F$4:$F$603,$Z289-5200)&amp;"")),IF(N(INDEX(次果筐明细!$G$4:$G$603,$Z289-5200))=0,"",N(INDEX(次果筐明细!$G$4:$G$603,$Z289-5200))),""),"")))))</f>
        <v/>
      </c>
      <c r="Q289" s="40" t="str">
        <f>IF($Z289="","",IF($Z289&lt;=2000,"",IF($Z289&lt;=4000,IF(N(INDEX(周转筐出入库明细!$H$4:$H$2004,$Z289-2000))=0,"",N(INDEX(周转筐出入库明细!$H$4:$H$2004,$Z289-2000))),IF($Z289&lt;=5200,IF(N(INDEX(客户自备加工筐明细!$F$4:$F$1203,$Z289-4000))=0,"",N(INDEX(客户自备加工筐明细!$F$4:$F$1203,$Z289-4000))),IF($Z289&lt;=5800,"","")))))</f>
        <v/>
      </c>
      <c r="R289" s="16" t="str">
        <f>IF($Z289="","",IF($Z289&lt;=2000,IF(INDEX(包装物料出入库明细!$O$4:$O$2003,$Z289-0)=0,"",INDEX(包装物料出入库明细!$O$4:$O$2003,$Z289-0)),IF($Z289&lt;=4000,IF(INDEX(周转筐出入库明细!$M$4:$M$2004,$Z289-2000)=0,"",INDEX(周转筐出入库明细!$M$4:$M$2004,$Z289-2000)),IF($Z289&lt;=5200,IF(INDEX(客户自备加工筐明细!$H$4:$H$1203,$Z289-4000)=0,"",INDEX(客户自备加工筐明细!$H$4:$H$1203,$Z289-4000)),IF($Z289&lt;=5800,IF(INDEX(次果筐明细!$H$4:$H$603,$Z289-5200)=0,"",INDEX(次果筐明细!$H$4:$H$603,$Z289-5200)),"")))))</f>
        <v/>
      </c>
      <c r="S289" s="22" t="str">
        <f t="shared" si="14"/>
        <v/>
      </c>
      <c r="Z289" s="10" t="str">
        <f>IFERROR(MATCH(ROW()-3,_自动清单!$CQ$4:$CQ$5803,0),"")</f>
        <v/>
      </c>
    </row>
    <row r="290" spans="1:26">
      <c r="A290" s="24" t="str">
        <f t="shared" si="12"/>
        <v/>
      </c>
      <c r="B290" s="38" t="str">
        <f>IF($Z290="","",IF($Z290&lt;=2000,IF(INDEX(包装物料出入库明细!$B$4:$B$2003,$Z290-0)=0,"",INDEX(包装物料出入库明细!$B$4:$B$2003,$Z290-0)),IF($Z290&lt;=4000,IF(INDEX(周转筐出入库明细!$B$4:$B$2004,$Z290-2000)=0,"",INDEX(周转筐出入库明细!$B$4:$B$2004,$Z290-2000)),IF($Z290&lt;=5200,IF(INDEX(客户自备加工筐明细!$B$4:$B$1203,$Z290-4000)=0,"",INDEX(客户自备加工筐明细!$B$4:$B$1203,$Z290-4000)),IF($Z290&lt;=5800,IF(INDEX(次果筐明细!$B$4:$B$603,$Z290-5200)=0,"",INDEX(次果筐明细!$B$4:$B$603,$Z290-5200)),"")))))</f>
        <v/>
      </c>
      <c r="C290" s="37" t="str">
        <f>IF($Z290="","",IF($Z290&lt;=2000,IF(INDEX(包装物料出入库明细!$D$4:$D$2003,$Z290-0)=0,"",INDEX(包装物料出入库明细!$D$4:$D$2003,$Z290-0)),IF($Z290&lt;=4000,IF(INDEX(周转筐出入库明细!$C$4:$C$2004,$Z290-2000)=0,"",INDEX(周转筐出入库明细!$C$4:$C$2004,$Z290-2000)),IF($Z290&lt;=5200,IF(INDEX(客户自备加工筐明细!$E$4:$E$1203,$Z290-4000)=0,"",INDEX(客户自备加工筐明细!$E$4:$E$1203,$Z290-4000)),IF($Z290&lt;=5800,IF(INDEX(次果筐明细!$C$4:$C$603,$Z290-5200)=0,"",INDEX(次果筐明细!$C$4:$C$603,$Z290-5200)),"")))))</f>
        <v/>
      </c>
      <c r="D290" s="37" t="str">
        <f>IF($Z290="","",IF($Z290&lt;=2000,"包装物料－"&amp;INDEX(包装物料出入库明细!$H$4:$H$2003,$Z290-0),IF($Z290&lt;=4000,"周转筐－"&amp;INDEX(周转筐出入库明细!$F$4:$F$2004,$Z290-2000),IF($Z290&lt;=5200,"客户自备筐－"&amp;INDEX(客户自备加工筐明细!$J$4:$J$1203,$Z290-4000),IF($Z290&lt;=5800,"次果筐/托盘－"&amp;INDEX(次果筐明细!$F$4:$F$603,$Z290-5200),"")))))</f>
        <v/>
      </c>
      <c r="E290" s="24" t="str">
        <f>IF($Z290="","",IF($Z290&lt;=2000,IF(INDEX(包装物料出入库明细!$C$4:$C$2003,$Z290-0)=0,"",INDEX(包装物料出入库明细!$C$4:$C$2003,$Z290-0)),IF($Z290&lt;=4000,IF(INDEX(周转筐出入库明细!$E$4:$E$2004,$Z290-2000)=0,"",INDEX(周转筐出入库明细!$E$4:$E$2004,$Z290-2000)),IF($Z290&lt;=5200,IF(INDEX(客户自备加工筐明细!$D$4:$D$1203,$Z290-4000)=0,"",INDEX(客户自备加工筐明细!$D$4:$D$1203,$Z290-4000)),IF($Z290&lt;=5800,IF(INDEX(次果筐明细!$E$4:$E$603,$Z290-5200)=0,"",INDEX(次果筐明细!$E$4:$E$603,$Z290-5200)),"")))))</f>
        <v/>
      </c>
      <c r="F290" s="24" t="str">
        <f>IF($Z290="","",IF($Z290&lt;=2000,IF(INDEX(包装物料出入库明细!$E$4:$E$2003,$Z290-0)=0,"",INDEX(包装物料出入库明细!$E$4:$E$2003,$Z290-0)),IF($Z290&lt;=4000,IF(INDEX(周转筐出入库明细!$D$4:$D$2004,$Z290-2000)=0,"",INDEX(周转筐出入库明细!$D$4:$D$2004,$Z290-2000)),IF($Z290&lt;=5200,IF(INDEX(客户自备加工筐明细!$C$4:$C$1203,$Z290-4000)=0,"",INDEX(客户自备加工筐明细!$C$4:$C$1203,$Z290-4000)),IF($Z290&lt;=5800,IF(INDEX(次果筐明细!$D$4:$D$603,$Z290-5200)=0,"",INDEX(次果筐明细!$D$4:$D$603,$Z290-5200)),"")))))</f>
        <v/>
      </c>
      <c r="G290" s="24" t="str">
        <f>IF($Z290="","",IF($Z290&lt;=2000,IF(INDEX(包装物料出入库明细!$F$4:$F$2003,$Z290-0)=0,"",INDEX(包装物料出入库明细!$F$4:$F$2003,$Z290-0)),IF($Z290&lt;=4000,"",IF($Z290&lt;=5200,"",IF($Z290&lt;=5800,"","")))))</f>
        <v/>
      </c>
      <c r="H290" s="39" t="str">
        <f>IF($Z290="","",IF($Z290&lt;=2000,IF(INDEX(包装物料出入库明细!$L$4:$L$2003,$Z290-0)=0,"",INDEX(包装物料出入库明细!$L$4:$L$2003,$Z290-0)),IF($Z290&lt;=4000,N(INDEX(周转筐出入库明细!$H$4:$H$2004,$Z290-2000))+N(INDEX(周转筐出入库明细!$I$4:$I$2004,$Z290-2000))+N(INDEX(周转筐出入库明细!$J$4:$J$2004,$Z290-2000))+N(INDEX(周转筐出入库明细!$K$4:$K$2004,$Z290-2000)),IF($Z290&lt;=5200,N(INDEX(客户自备加工筐明细!$F$4:$F$1203,$Z290-4000))+N(INDEX(客户自备加工筐明细!$G$4:$G$1203,$Z290-4000)),IF($Z290&lt;=5800,IF(INDEX(次果筐明细!$G$4:$G$603,$Z290-5200)=0,"",INDEX(次果筐明细!$G$4:$G$603,$Z290-5200)),"")))))</f>
        <v/>
      </c>
      <c r="I290" s="24" t="str">
        <f>IF($Z290="","",IF($Z290&lt;=2000,IF(INDEX(包装物料出入库明细!$G$4:$G$2003,$Z290-0)=0,"",INDEX(包装物料出入库明细!$G$4:$G$2003,$Z290-0)),IF($Z290&lt;=4000,"个",IF($Z290&lt;=5200,"个",IF($Z290&lt;=5800,"个","")))))</f>
        <v/>
      </c>
      <c r="J290" s="30" t="str">
        <f t="shared" si="13"/>
        <v/>
      </c>
      <c r="K290" s="30" t="str">
        <f>IF($Z290="","",IF($Z290&lt;=2000,IF(INDEX(包装物料出入库明细!$N$4:$N$2003,$Z290-0)=0,"",INDEX(包装物料出入库明细!$N$4:$N$2003,$Z290-0)),IF($Z290&lt;=4000,IF(INDEX(周转筐出入库明细!$P$4:$P$2004,$Z290-2000)=0,"",INDEX(周转筐出入库明细!$P$4:$P$2004,$Z290-2000)),IF($Z290&lt;=5200,"",IF($Z290&lt;=5800,N(INDEX(次果筐明细!$L$4:$L$603,$Z290-5200))+N(INDEX(次果筐明细!$J$4:$J$603,$Z290-5200)),"")))))</f>
        <v/>
      </c>
      <c r="L290" s="24" t="str">
        <f>IF($Z290="","",IF($Z290&lt;=2000,IF(INDEX(包装物料出入库明细!$P$4:$P$2003,$Z290-0)=0,"",INDEX(包装物料出入库明细!$P$4:$P$2003,$Z290-0)),IF($Z290&lt;=4000,IF(INDEX(周转筐出入库明细!$Q$4:$Q$2004,$Z290-2000)=0,"",INDEX(周转筐出入库明细!$Q$4:$Q$2004,$Z290-2000)),IF($Z290&lt;=5200,"",IF($Z290&lt;=5800,IF(INDEX(次果筐明细!$M$4:$M$603,$Z290-5200)=0,"",INDEX(次果筐明细!$M$4:$M$603,$Z290-5200)),"")))))</f>
        <v/>
      </c>
      <c r="M290" s="37" t="str">
        <f>IF($Z290="","",IF($Z290&lt;=2000,IF(INDEX(包装物料出入库明细!$R$4:$R$2003,$Z290-0)=0,"",INDEX(包装物料出入库明细!$R$4:$R$2003,$Z290-0)),IF($Z290&lt;=4000,IF(INDEX(周转筐出入库明细!$W$4:$W$2004,$Z290-2000)=0,"",INDEX(周转筐出入库明细!$W$4:$W$2004,$Z290-2000)),IF($Z290&lt;=5200,IF(INDEX(客户自备加工筐明细!$L$4:$L$1203,$Z290-4000)=0,"",INDEX(客户自备加工筐明细!$L$4:$L$1203,$Z290-4000)),IF($Z290&lt;=5800,IF(INDEX(次果筐明细!$P$4:$P$603,$Z290-5200)=0,"",INDEX(次果筐明细!$P$4:$P$603,$Z290-5200)),"")))))</f>
        <v/>
      </c>
      <c r="N290" s="16" t="str">
        <f>IF($Z290="","",IF($Z290&lt;=2000,"",IF($Z290&lt;=4000,IF(INDEX(周转筐出入库明细!$D$4:$D$2004,$Z290-2000)=0,"",INDEX(周转筐出入库明细!$D$4:$D$2004,$Z290-2000)),IF($Z290&lt;=5200,IF(INDEX(客户自备加工筐明细!$C$4:$C$1203,$Z290-4000)=0,"",INDEX(客户自备加工筐明细!$C$4:$C$1203,$Z290-4000)),IF($Z290&lt;=5800,IF(INDEX(次果筐明细!$D$4:$D$603,$Z290-5200)=0,"",INDEX(次果筐明细!$D$4:$D$603,$Z290-5200)),"")))))</f>
        <v/>
      </c>
      <c r="O290" s="40" t="str">
        <f>IF($Z290="","",IF($Z290&lt;=2000,"",IF($Z290&lt;=4000,IF(N(INDEX(周转筐出入库明细!$J$4:$J$2004,$Z290-2000))+N(INDEX(周转筐出入库明细!$K$4:$K$2004,$Z290-2000))=0,"",N(INDEX(周转筐出入库明细!$J$4:$J$2004,$Z290-2000))+N(INDEX(周转筐出入库明细!$K$4:$K$2004,$Z290-2000))),IF($Z290&lt;=5200,IF(N(INDEX(客户自备加工筐明细!$G$4:$G$1203,$Z290-4000))=0,"",N(INDEX(客户自备加工筐明细!$G$4:$G$1203,$Z290-4000))),IF($Z290&lt;=5800,IF(ISNUMBER(SEARCH("退",INDEX(次果筐明细!$F$4:$F$603,$Z290-5200)&amp;"")),"",IF(N(INDEX(次果筐明细!$G$4:$G$603,$Z290-5200))=0,"",N(INDEX(次果筐明细!$G$4:$G$603,$Z290-5200)))),"")))))</f>
        <v/>
      </c>
      <c r="P290" s="40" t="str">
        <f>IF($Z290="","",IF($Z290&lt;=2000,"",IF($Z290&lt;=4000,IF(N(INDEX(周转筐出入库明细!$I$4:$I$2004,$Z290-2000))=0,"",N(INDEX(周转筐出入库明细!$I$4:$I$2004,$Z290-2000))),IF($Z290&lt;=5200,"",IF($Z290&lt;=5800,IF(ISNUMBER(SEARCH("退",INDEX(次果筐明细!$F$4:$F$603,$Z290-5200)&amp;"")),IF(N(INDEX(次果筐明细!$G$4:$G$603,$Z290-5200))=0,"",N(INDEX(次果筐明细!$G$4:$G$603,$Z290-5200))),""),"")))))</f>
        <v/>
      </c>
      <c r="Q290" s="40" t="str">
        <f>IF($Z290="","",IF($Z290&lt;=2000,"",IF($Z290&lt;=4000,IF(N(INDEX(周转筐出入库明细!$H$4:$H$2004,$Z290-2000))=0,"",N(INDEX(周转筐出入库明细!$H$4:$H$2004,$Z290-2000))),IF($Z290&lt;=5200,IF(N(INDEX(客户自备加工筐明细!$F$4:$F$1203,$Z290-4000))=0,"",N(INDEX(客户自备加工筐明细!$F$4:$F$1203,$Z290-4000))),IF($Z290&lt;=5800,"","")))))</f>
        <v/>
      </c>
      <c r="R290" s="16" t="str">
        <f>IF($Z290="","",IF($Z290&lt;=2000,IF(INDEX(包装物料出入库明细!$O$4:$O$2003,$Z290-0)=0,"",INDEX(包装物料出入库明细!$O$4:$O$2003,$Z290-0)),IF($Z290&lt;=4000,IF(INDEX(周转筐出入库明细!$M$4:$M$2004,$Z290-2000)=0,"",INDEX(周转筐出入库明细!$M$4:$M$2004,$Z290-2000)),IF($Z290&lt;=5200,IF(INDEX(客户自备加工筐明细!$H$4:$H$1203,$Z290-4000)=0,"",INDEX(客户自备加工筐明细!$H$4:$H$1203,$Z290-4000)),IF($Z290&lt;=5800,IF(INDEX(次果筐明细!$H$4:$H$603,$Z290-5200)=0,"",INDEX(次果筐明细!$H$4:$H$603,$Z290-5200)),"")))))</f>
        <v/>
      </c>
      <c r="S290" s="22" t="str">
        <f t="shared" si="14"/>
        <v/>
      </c>
      <c r="Z290" s="10" t="str">
        <f>IFERROR(MATCH(ROW()-3,_自动清单!$CQ$4:$CQ$5803,0),"")</f>
        <v/>
      </c>
    </row>
    <row r="291" spans="1:26">
      <c r="A291" s="24" t="str">
        <f t="shared" si="12"/>
        <v/>
      </c>
      <c r="B291" s="38" t="str">
        <f>IF($Z291="","",IF($Z291&lt;=2000,IF(INDEX(包装物料出入库明细!$B$4:$B$2003,$Z291-0)=0,"",INDEX(包装物料出入库明细!$B$4:$B$2003,$Z291-0)),IF($Z291&lt;=4000,IF(INDEX(周转筐出入库明细!$B$4:$B$2004,$Z291-2000)=0,"",INDEX(周转筐出入库明细!$B$4:$B$2004,$Z291-2000)),IF($Z291&lt;=5200,IF(INDEX(客户自备加工筐明细!$B$4:$B$1203,$Z291-4000)=0,"",INDEX(客户自备加工筐明细!$B$4:$B$1203,$Z291-4000)),IF($Z291&lt;=5800,IF(INDEX(次果筐明细!$B$4:$B$603,$Z291-5200)=0,"",INDEX(次果筐明细!$B$4:$B$603,$Z291-5200)),"")))))</f>
        <v/>
      </c>
      <c r="C291" s="37" t="str">
        <f>IF($Z291="","",IF($Z291&lt;=2000,IF(INDEX(包装物料出入库明细!$D$4:$D$2003,$Z291-0)=0,"",INDEX(包装物料出入库明细!$D$4:$D$2003,$Z291-0)),IF($Z291&lt;=4000,IF(INDEX(周转筐出入库明细!$C$4:$C$2004,$Z291-2000)=0,"",INDEX(周转筐出入库明细!$C$4:$C$2004,$Z291-2000)),IF($Z291&lt;=5200,IF(INDEX(客户自备加工筐明细!$E$4:$E$1203,$Z291-4000)=0,"",INDEX(客户自备加工筐明细!$E$4:$E$1203,$Z291-4000)),IF($Z291&lt;=5800,IF(INDEX(次果筐明细!$C$4:$C$603,$Z291-5200)=0,"",INDEX(次果筐明细!$C$4:$C$603,$Z291-5200)),"")))))</f>
        <v/>
      </c>
      <c r="D291" s="37" t="str">
        <f>IF($Z291="","",IF($Z291&lt;=2000,"包装物料－"&amp;INDEX(包装物料出入库明细!$H$4:$H$2003,$Z291-0),IF($Z291&lt;=4000,"周转筐－"&amp;INDEX(周转筐出入库明细!$F$4:$F$2004,$Z291-2000),IF($Z291&lt;=5200,"客户自备筐－"&amp;INDEX(客户自备加工筐明细!$J$4:$J$1203,$Z291-4000),IF($Z291&lt;=5800,"次果筐/托盘－"&amp;INDEX(次果筐明细!$F$4:$F$603,$Z291-5200),"")))))</f>
        <v/>
      </c>
      <c r="E291" s="24" t="str">
        <f>IF($Z291="","",IF($Z291&lt;=2000,IF(INDEX(包装物料出入库明细!$C$4:$C$2003,$Z291-0)=0,"",INDEX(包装物料出入库明细!$C$4:$C$2003,$Z291-0)),IF($Z291&lt;=4000,IF(INDEX(周转筐出入库明细!$E$4:$E$2004,$Z291-2000)=0,"",INDEX(周转筐出入库明细!$E$4:$E$2004,$Z291-2000)),IF($Z291&lt;=5200,IF(INDEX(客户自备加工筐明细!$D$4:$D$1203,$Z291-4000)=0,"",INDEX(客户自备加工筐明细!$D$4:$D$1203,$Z291-4000)),IF($Z291&lt;=5800,IF(INDEX(次果筐明细!$E$4:$E$603,$Z291-5200)=0,"",INDEX(次果筐明细!$E$4:$E$603,$Z291-5200)),"")))))</f>
        <v/>
      </c>
      <c r="F291" s="24" t="str">
        <f>IF($Z291="","",IF($Z291&lt;=2000,IF(INDEX(包装物料出入库明细!$E$4:$E$2003,$Z291-0)=0,"",INDEX(包装物料出入库明细!$E$4:$E$2003,$Z291-0)),IF($Z291&lt;=4000,IF(INDEX(周转筐出入库明细!$D$4:$D$2004,$Z291-2000)=0,"",INDEX(周转筐出入库明细!$D$4:$D$2004,$Z291-2000)),IF($Z291&lt;=5200,IF(INDEX(客户自备加工筐明细!$C$4:$C$1203,$Z291-4000)=0,"",INDEX(客户自备加工筐明细!$C$4:$C$1203,$Z291-4000)),IF($Z291&lt;=5800,IF(INDEX(次果筐明细!$D$4:$D$603,$Z291-5200)=0,"",INDEX(次果筐明细!$D$4:$D$603,$Z291-5200)),"")))))</f>
        <v/>
      </c>
      <c r="G291" s="24" t="str">
        <f>IF($Z291="","",IF($Z291&lt;=2000,IF(INDEX(包装物料出入库明细!$F$4:$F$2003,$Z291-0)=0,"",INDEX(包装物料出入库明细!$F$4:$F$2003,$Z291-0)),IF($Z291&lt;=4000,"",IF($Z291&lt;=5200,"",IF($Z291&lt;=5800,"","")))))</f>
        <v/>
      </c>
      <c r="H291" s="39" t="str">
        <f>IF($Z291="","",IF($Z291&lt;=2000,IF(INDEX(包装物料出入库明细!$L$4:$L$2003,$Z291-0)=0,"",INDEX(包装物料出入库明细!$L$4:$L$2003,$Z291-0)),IF($Z291&lt;=4000,N(INDEX(周转筐出入库明细!$H$4:$H$2004,$Z291-2000))+N(INDEX(周转筐出入库明细!$I$4:$I$2004,$Z291-2000))+N(INDEX(周转筐出入库明细!$J$4:$J$2004,$Z291-2000))+N(INDEX(周转筐出入库明细!$K$4:$K$2004,$Z291-2000)),IF($Z291&lt;=5200,N(INDEX(客户自备加工筐明细!$F$4:$F$1203,$Z291-4000))+N(INDEX(客户自备加工筐明细!$G$4:$G$1203,$Z291-4000)),IF($Z291&lt;=5800,IF(INDEX(次果筐明细!$G$4:$G$603,$Z291-5200)=0,"",INDEX(次果筐明细!$G$4:$G$603,$Z291-5200)),"")))))</f>
        <v/>
      </c>
      <c r="I291" s="24" t="str">
        <f>IF($Z291="","",IF($Z291&lt;=2000,IF(INDEX(包装物料出入库明细!$G$4:$G$2003,$Z291-0)=0,"",INDEX(包装物料出入库明细!$G$4:$G$2003,$Z291-0)),IF($Z291&lt;=4000,"个",IF($Z291&lt;=5200,"个",IF($Z291&lt;=5800,"个","")))))</f>
        <v/>
      </c>
      <c r="J291" s="30" t="str">
        <f t="shared" si="13"/>
        <v/>
      </c>
      <c r="K291" s="30" t="str">
        <f>IF($Z291="","",IF($Z291&lt;=2000,IF(INDEX(包装物料出入库明细!$N$4:$N$2003,$Z291-0)=0,"",INDEX(包装物料出入库明细!$N$4:$N$2003,$Z291-0)),IF($Z291&lt;=4000,IF(INDEX(周转筐出入库明细!$P$4:$P$2004,$Z291-2000)=0,"",INDEX(周转筐出入库明细!$P$4:$P$2004,$Z291-2000)),IF($Z291&lt;=5200,"",IF($Z291&lt;=5800,N(INDEX(次果筐明细!$L$4:$L$603,$Z291-5200))+N(INDEX(次果筐明细!$J$4:$J$603,$Z291-5200)),"")))))</f>
        <v/>
      </c>
      <c r="L291" s="24" t="str">
        <f>IF($Z291="","",IF($Z291&lt;=2000,IF(INDEX(包装物料出入库明细!$P$4:$P$2003,$Z291-0)=0,"",INDEX(包装物料出入库明细!$P$4:$P$2003,$Z291-0)),IF($Z291&lt;=4000,IF(INDEX(周转筐出入库明细!$Q$4:$Q$2004,$Z291-2000)=0,"",INDEX(周转筐出入库明细!$Q$4:$Q$2004,$Z291-2000)),IF($Z291&lt;=5200,"",IF($Z291&lt;=5800,IF(INDEX(次果筐明细!$M$4:$M$603,$Z291-5200)=0,"",INDEX(次果筐明细!$M$4:$M$603,$Z291-5200)),"")))))</f>
        <v/>
      </c>
      <c r="M291" s="37" t="str">
        <f>IF($Z291="","",IF($Z291&lt;=2000,IF(INDEX(包装物料出入库明细!$R$4:$R$2003,$Z291-0)=0,"",INDEX(包装物料出入库明细!$R$4:$R$2003,$Z291-0)),IF($Z291&lt;=4000,IF(INDEX(周转筐出入库明细!$W$4:$W$2004,$Z291-2000)=0,"",INDEX(周转筐出入库明细!$W$4:$W$2004,$Z291-2000)),IF($Z291&lt;=5200,IF(INDEX(客户自备加工筐明细!$L$4:$L$1203,$Z291-4000)=0,"",INDEX(客户自备加工筐明细!$L$4:$L$1203,$Z291-4000)),IF($Z291&lt;=5800,IF(INDEX(次果筐明细!$P$4:$P$603,$Z291-5200)=0,"",INDEX(次果筐明细!$P$4:$P$603,$Z291-5200)),"")))))</f>
        <v/>
      </c>
      <c r="N291" s="16" t="str">
        <f>IF($Z291="","",IF($Z291&lt;=2000,"",IF($Z291&lt;=4000,IF(INDEX(周转筐出入库明细!$D$4:$D$2004,$Z291-2000)=0,"",INDEX(周转筐出入库明细!$D$4:$D$2004,$Z291-2000)),IF($Z291&lt;=5200,IF(INDEX(客户自备加工筐明细!$C$4:$C$1203,$Z291-4000)=0,"",INDEX(客户自备加工筐明细!$C$4:$C$1203,$Z291-4000)),IF($Z291&lt;=5800,IF(INDEX(次果筐明细!$D$4:$D$603,$Z291-5200)=0,"",INDEX(次果筐明细!$D$4:$D$603,$Z291-5200)),"")))))</f>
        <v/>
      </c>
      <c r="O291" s="40" t="str">
        <f>IF($Z291="","",IF($Z291&lt;=2000,"",IF($Z291&lt;=4000,IF(N(INDEX(周转筐出入库明细!$J$4:$J$2004,$Z291-2000))+N(INDEX(周转筐出入库明细!$K$4:$K$2004,$Z291-2000))=0,"",N(INDEX(周转筐出入库明细!$J$4:$J$2004,$Z291-2000))+N(INDEX(周转筐出入库明细!$K$4:$K$2004,$Z291-2000))),IF($Z291&lt;=5200,IF(N(INDEX(客户自备加工筐明细!$G$4:$G$1203,$Z291-4000))=0,"",N(INDEX(客户自备加工筐明细!$G$4:$G$1203,$Z291-4000))),IF($Z291&lt;=5800,IF(ISNUMBER(SEARCH("退",INDEX(次果筐明细!$F$4:$F$603,$Z291-5200)&amp;"")),"",IF(N(INDEX(次果筐明细!$G$4:$G$603,$Z291-5200))=0,"",N(INDEX(次果筐明细!$G$4:$G$603,$Z291-5200)))),"")))))</f>
        <v/>
      </c>
      <c r="P291" s="40" t="str">
        <f>IF($Z291="","",IF($Z291&lt;=2000,"",IF($Z291&lt;=4000,IF(N(INDEX(周转筐出入库明细!$I$4:$I$2004,$Z291-2000))=0,"",N(INDEX(周转筐出入库明细!$I$4:$I$2004,$Z291-2000))),IF($Z291&lt;=5200,"",IF($Z291&lt;=5800,IF(ISNUMBER(SEARCH("退",INDEX(次果筐明细!$F$4:$F$603,$Z291-5200)&amp;"")),IF(N(INDEX(次果筐明细!$G$4:$G$603,$Z291-5200))=0,"",N(INDEX(次果筐明细!$G$4:$G$603,$Z291-5200))),""),"")))))</f>
        <v/>
      </c>
      <c r="Q291" s="40" t="str">
        <f>IF($Z291="","",IF($Z291&lt;=2000,"",IF($Z291&lt;=4000,IF(N(INDEX(周转筐出入库明细!$H$4:$H$2004,$Z291-2000))=0,"",N(INDEX(周转筐出入库明细!$H$4:$H$2004,$Z291-2000))),IF($Z291&lt;=5200,IF(N(INDEX(客户自备加工筐明细!$F$4:$F$1203,$Z291-4000))=0,"",N(INDEX(客户自备加工筐明细!$F$4:$F$1203,$Z291-4000))),IF($Z291&lt;=5800,"","")))))</f>
        <v/>
      </c>
      <c r="R291" s="16" t="str">
        <f>IF($Z291="","",IF($Z291&lt;=2000,IF(INDEX(包装物料出入库明细!$O$4:$O$2003,$Z291-0)=0,"",INDEX(包装物料出入库明细!$O$4:$O$2003,$Z291-0)),IF($Z291&lt;=4000,IF(INDEX(周转筐出入库明细!$M$4:$M$2004,$Z291-2000)=0,"",INDEX(周转筐出入库明细!$M$4:$M$2004,$Z291-2000)),IF($Z291&lt;=5200,IF(INDEX(客户自备加工筐明细!$H$4:$H$1203,$Z291-4000)=0,"",INDEX(客户自备加工筐明细!$H$4:$H$1203,$Z291-4000)),IF($Z291&lt;=5800,IF(INDEX(次果筐明细!$H$4:$H$603,$Z291-5200)=0,"",INDEX(次果筐明细!$H$4:$H$603,$Z291-5200)),"")))))</f>
        <v/>
      </c>
      <c r="S291" s="22" t="str">
        <f t="shared" si="14"/>
        <v/>
      </c>
      <c r="Z291" s="10" t="str">
        <f>IFERROR(MATCH(ROW()-3,_自动清单!$CQ$4:$CQ$5803,0),"")</f>
        <v/>
      </c>
    </row>
    <row r="292" spans="1:26">
      <c r="A292" s="24" t="str">
        <f t="shared" si="12"/>
        <v/>
      </c>
      <c r="B292" s="38" t="str">
        <f>IF($Z292="","",IF($Z292&lt;=2000,IF(INDEX(包装物料出入库明细!$B$4:$B$2003,$Z292-0)=0,"",INDEX(包装物料出入库明细!$B$4:$B$2003,$Z292-0)),IF($Z292&lt;=4000,IF(INDEX(周转筐出入库明细!$B$4:$B$2004,$Z292-2000)=0,"",INDEX(周转筐出入库明细!$B$4:$B$2004,$Z292-2000)),IF($Z292&lt;=5200,IF(INDEX(客户自备加工筐明细!$B$4:$B$1203,$Z292-4000)=0,"",INDEX(客户自备加工筐明细!$B$4:$B$1203,$Z292-4000)),IF($Z292&lt;=5800,IF(INDEX(次果筐明细!$B$4:$B$603,$Z292-5200)=0,"",INDEX(次果筐明细!$B$4:$B$603,$Z292-5200)),"")))))</f>
        <v/>
      </c>
      <c r="C292" s="37" t="str">
        <f>IF($Z292="","",IF($Z292&lt;=2000,IF(INDEX(包装物料出入库明细!$D$4:$D$2003,$Z292-0)=0,"",INDEX(包装物料出入库明细!$D$4:$D$2003,$Z292-0)),IF($Z292&lt;=4000,IF(INDEX(周转筐出入库明细!$C$4:$C$2004,$Z292-2000)=0,"",INDEX(周转筐出入库明细!$C$4:$C$2004,$Z292-2000)),IF($Z292&lt;=5200,IF(INDEX(客户自备加工筐明细!$E$4:$E$1203,$Z292-4000)=0,"",INDEX(客户自备加工筐明细!$E$4:$E$1203,$Z292-4000)),IF($Z292&lt;=5800,IF(INDEX(次果筐明细!$C$4:$C$603,$Z292-5200)=0,"",INDEX(次果筐明细!$C$4:$C$603,$Z292-5200)),"")))))</f>
        <v/>
      </c>
      <c r="D292" s="37" t="str">
        <f>IF($Z292="","",IF($Z292&lt;=2000,"包装物料－"&amp;INDEX(包装物料出入库明细!$H$4:$H$2003,$Z292-0),IF($Z292&lt;=4000,"周转筐－"&amp;INDEX(周转筐出入库明细!$F$4:$F$2004,$Z292-2000),IF($Z292&lt;=5200,"客户自备筐－"&amp;INDEX(客户自备加工筐明细!$J$4:$J$1203,$Z292-4000),IF($Z292&lt;=5800,"次果筐/托盘－"&amp;INDEX(次果筐明细!$F$4:$F$603,$Z292-5200),"")))))</f>
        <v/>
      </c>
      <c r="E292" s="24" t="str">
        <f>IF($Z292="","",IF($Z292&lt;=2000,IF(INDEX(包装物料出入库明细!$C$4:$C$2003,$Z292-0)=0,"",INDEX(包装物料出入库明细!$C$4:$C$2003,$Z292-0)),IF($Z292&lt;=4000,IF(INDEX(周转筐出入库明细!$E$4:$E$2004,$Z292-2000)=0,"",INDEX(周转筐出入库明细!$E$4:$E$2004,$Z292-2000)),IF($Z292&lt;=5200,IF(INDEX(客户自备加工筐明细!$D$4:$D$1203,$Z292-4000)=0,"",INDEX(客户自备加工筐明细!$D$4:$D$1203,$Z292-4000)),IF($Z292&lt;=5800,IF(INDEX(次果筐明细!$E$4:$E$603,$Z292-5200)=0,"",INDEX(次果筐明细!$E$4:$E$603,$Z292-5200)),"")))))</f>
        <v/>
      </c>
      <c r="F292" s="24" t="str">
        <f>IF($Z292="","",IF($Z292&lt;=2000,IF(INDEX(包装物料出入库明细!$E$4:$E$2003,$Z292-0)=0,"",INDEX(包装物料出入库明细!$E$4:$E$2003,$Z292-0)),IF($Z292&lt;=4000,IF(INDEX(周转筐出入库明细!$D$4:$D$2004,$Z292-2000)=0,"",INDEX(周转筐出入库明细!$D$4:$D$2004,$Z292-2000)),IF($Z292&lt;=5200,IF(INDEX(客户自备加工筐明细!$C$4:$C$1203,$Z292-4000)=0,"",INDEX(客户自备加工筐明细!$C$4:$C$1203,$Z292-4000)),IF($Z292&lt;=5800,IF(INDEX(次果筐明细!$D$4:$D$603,$Z292-5200)=0,"",INDEX(次果筐明细!$D$4:$D$603,$Z292-5200)),"")))))</f>
        <v/>
      </c>
      <c r="G292" s="24" t="str">
        <f>IF($Z292="","",IF($Z292&lt;=2000,IF(INDEX(包装物料出入库明细!$F$4:$F$2003,$Z292-0)=0,"",INDEX(包装物料出入库明细!$F$4:$F$2003,$Z292-0)),IF($Z292&lt;=4000,"",IF($Z292&lt;=5200,"",IF($Z292&lt;=5800,"","")))))</f>
        <v/>
      </c>
      <c r="H292" s="39" t="str">
        <f>IF($Z292="","",IF($Z292&lt;=2000,IF(INDEX(包装物料出入库明细!$L$4:$L$2003,$Z292-0)=0,"",INDEX(包装物料出入库明细!$L$4:$L$2003,$Z292-0)),IF($Z292&lt;=4000,N(INDEX(周转筐出入库明细!$H$4:$H$2004,$Z292-2000))+N(INDEX(周转筐出入库明细!$I$4:$I$2004,$Z292-2000))+N(INDEX(周转筐出入库明细!$J$4:$J$2004,$Z292-2000))+N(INDEX(周转筐出入库明细!$K$4:$K$2004,$Z292-2000)),IF($Z292&lt;=5200,N(INDEX(客户自备加工筐明细!$F$4:$F$1203,$Z292-4000))+N(INDEX(客户自备加工筐明细!$G$4:$G$1203,$Z292-4000)),IF($Z292&lt;=5800,IF(INDEX(次果筐明细!$G$4:$G$603,$Z292-5200)=0,"",INDEX(次果筐明细!$G$4:$G$603,$Z292-5200)),"")))))</f>
        <v/>
      </c>
      <c r="I292" s="24" t="str">
        <f>IF($Z292="","",IF($Z292&lt;=2000,IF(INDEX(包装物料出入库明细!$G$4:$G$2003,$Z292-0)=0,"",INDEX(包装物料出入库明细!$G$4:$G$2003,$Z292-0)),IF($Z292&lt;=4000,"个",IF($Z292&lt;=5200,"个",IF($Z292&lt;=5800,"个","")))))</f>
        <v/>
      </c>
      <c r="J292" s="30" t="str">
        <f t="shared" si="13"/>
        <v/>
      </c>
      <c r="K292" s="30" t="str">
        <f>IF($Z292="","",IF($Z292&lt;=2000,IF(INDEX(包装物料出入库明细!$N$4:$N$2003,$Z292-0)=0,"",INDEX(包装物料出入库明细!$N$4:$N$2003,$Z292-0)),IF($Z292&lt;=4000,IF(INDEX(周转筐出入库明细!$P$4:$P$2004,$Z292-2000)=0,"",INDEX(周转筐出入库明细!$P$4:$P$2004,$Z292-2000)),IF($Z292&lt;=5200,"",IF($Z292&lt;=5800,N(INDEX(次果筐明细!$L$4:$L$603,$Z292-5200))+N(INDEX(次果筐明细!$J$4:$J$603,$Z292-5200)),"")))))</f>
        <v/>
      </c>
      <c r="L292" s="24" t="str">
        <f>IF($Z292="","",IF($Z292&lt;=2000,IF(INDEX(包装物料出入库明细!$P$4:$P$2003,$Z292-0)=0,"",INDEX(包装物料出入库明细!$P$4:$P$2003,$Z292-0)),IF($Z292&lt;=4000,IF(INDEX(周转筐出入库明细!$Q$4:$Q$2004,$Z292-2000)=0,"",INDEX(周转筐出入库明细!$Q$4:$Q$2004,$Z292-2000)),IF($Z292&lt;=5200,"",IF($Z292&lt;=5800,IF(INDEX(次果筐明细!$M$4:$M$603,$Z292-5200)=0,"",INDEX(次果筐明细!$M$4:$M$603,$Z292-5200)),"")))))</f>
        <v/>
      </c>
      <c r="M292" s="37" t="str">
        <f>IF($Z292="","",IF($Z292&lt;=2000,IF(INDEX(包装物料出入库明细!$R$4:$R$2003,$Z292-0)=0,"",INDEX(包装物料出入库明细!$R$4:$R$2003,$Z292-0)),IF($Z292&lt;=4000,IF(INDEX(周转筐出入库明细!$W$4:$W$2004,$Z292-2000)=0,"",INDEX(周转筐出入库明细!$W$4:$W$2004,$Z292-2000)),IF($Z292&lt;=5200,IF(INDEX(客户自备加工筐明细!$L$4:$L$1203,$Z292-4000)=0,"",INDEX(客户自备加工筐明细!$L$4:$L$1203,$Z292-4000)),IF($Z292&lt;=5800,IF(INDEX(次果筐明细!$P$4:$P$603,$Z292-5200)=0,"",INDEX(次果筐明细!$P$4:$P$603,$Z292-5200)),"")))))</f>
        <v/>
      </c>
      <c r="N292" s="16" t="str">
        <f>IF($Z292="","",IF($Z292&lt;=2000,"",IF($Z292&lt;=4000,IF(INDEX(周转筐出入库明细!$D$4:$D$2004,$Z292-2000)=0,"",INDEX(周转筐出入库明细!$D$4:$D$2004,$Z292-2000)),IF($Z292&lt;=5200,IF(INDEX(客户自备加工筐明细!$C$4:$C$1203,$Z292-4000)=0,"",INDEX(客户自备加工筐明细!$C$4:$C$1203,$Z292-4000)),IF($Z292&lt;=5800,IF(INDEX(次果筐明细!$D$4:$D$603,$Z292-5200)=0,"",INDEX(次果筐明细!$D$4:$D$603,$Z292-5200)),"")))))</f>
        <v/>
      </c>
      <c r="O292" s="40" t="str">
        <f>IF($Z292="","",IF($Z292&lt;=2000,"",IF($Z292&lt;=4000,IF(N(INDEX(周转筐出入库明细!$J$4:$J$2004,$Z292-2000))+N(INDEX(周转筐出入库明细!$K$4:$K$2004,$Z292-2000))=0,"",N(INDEX(周转筐出入库明细!$J$4:$J$2004,$Z292-2000))+N(INDEX(周转筐出入库明细!$K$4:$K$2004,$Z292-2000))),IF($Z292&lt;=5200,IF(N(INDEX(客户自备加工筐明细!$G$4:$G$1203,$Z292-4000))=0,"",N(INDEX(客户自备加工筐明细!$G$4:$G$1203,$Z292-4000))),IF($Z292&lt;=5800,IF(ISNUMBER(SEARCH("退",INDEX(次果筐明细!$F$4:$F$603,$Z292-5200)&amp;"")),"",IF(N(INDEX(次果筐明细!$G$4:$G$603,$Z292-5200))=0,"",N(INDEX(次果筐明细!$G$4:$G$603,$Z292-5200)))),"")))))</f>
        <v/>
      </c>
      <c r="P292" s="40" t="str">
        <f>IF($Z292="","",IF($Z292&lt;=2000,"",IF($Z292&lt;=4000,IF(N(INDEX(周转筐出入库明细!$I$4:$I$2004,$Z292-2000))=0,"",N(INDEX(周转筐出入库明细!$I$4:$I$2004,$Z292-2000))),IF($Z292&lt;=5200,"",IF($Z292&lt;=5800,IF(ISNUMBER(SEARCH("退",INDEX(次果筐明细!$F$4:$F$603,$Z292-5200)&amp;"")),IF(N(INDEX(次果筐明细!$G$4:$G$603,$Z292-5200))=0,"",N(INDEX(次果筐明细!$G$4:$G$603,$Z292-5200))),""),"")))))</f>
        <v/>
      </c>
      <c r="Q292" s="40" t="str">
        <f>IF($Z292="","",IF($Z292&lt;=2000,"",IF($Z292&lt;=4000,IF(N(INDEX(周转筐出入库明细!$H$4:$H$2004,$Z292-2000))=0,"",N(INDEX(周转筐出入库明细!$H$4:$H$2004,$Z292-2000))),IF($Z292&lt;=5200,IF(N(INDEX(客户自备加工筐明细!$F$4:$F$1203,$Z292-4000))=0,"",N(INDEX(客户自备加工筐明细!$F$4:$F$1203,$Z292-4000))),IF($Z292&lt;=5800,"","")))))</f>
        <v/>
      </c>
      <c r="R292" s="16" t="str">
        <f>IF($Z292="","",IF($Z292&lt;=2000,IF(INDEX(包装物料出入库明细!$O$4:$O$2003,$Z292-0)=0,"",INDEX(包装物料出入库明细!$O$4:$O$2003,$Z292-0)),IF($Z292&lt;=4000,IF(INDEX(周转筐出入库明细!$M$4:$M$2004,$Z292-2000)=0,"",INDEX(周转筐出入库明细!$M$4:$M$2004,$Z292-2000)),IF($Z292&lt;=5200,IF(INDEX(客户自备加工筐明细!$H$4:$H$1203,$Z292-4000)=0,"",INDEX(客户自备加工筐明细!$H$4:$H$1203,$Z292-4000)),IF($Z292&lt;=5800,IF(INDEX(次果筐明细!$H$4:$H$603,$Z292-5200)=0,"",INDEX(次果筐明细!$H$4:$H$603,$Z292-5200)),"")))))</f>
        <v/>
      </c>
      <c r="S292" s="22" t="str">
        <f t="shared" si="14"/>
        <v/>
      </c>
      <c r="Z292" s="10" t="str">
        <f>IFERROR(MATCH(ROW()-3,_自动清单!$CQ$4:$CQ$5803,0),"")</f>
        <v/>
      </c>
    </row>
    <row r="293" spans="1:26">
      <c r="A293" s="24" t="str">
        <f t="shared" si="12"/>
        <v/>
      </c>
      <c r="B293" s="38" t="str">
        <f>IF($Z293="","",IF($Z293&lt;=2000,IF(INDEX(包装物料出入库明细!$B$4:$B$2003,$Z293-0)=0,"",INDEX(包装物料出入库明细!$B$4:$B$2003,$Z293-0)),IF($Z293&lt;=4000,IF(INDEX(周转筐出入库明细!$B$4:$B$2004,$Z293-2000)=0,"",INDEX(周转筐出入库明细!$B$4:$B$2004,$Z293-2000)),IF($Z293&lt;=5200,IF(INDEX(客户自备加工筐明细!$B$4:$B$1203,$Z293-4000)=0,"",INDEX(客户自备加工筐明细!$B$4:$B$1203,$Z293-4000)),IF($Z293&lt;=5800,IF(INDEX(次果筐明细!$B$4:$B$603,$Z293-5200)=0,"",INDEX(次果筐明细!$B$4:$B$603,$Z293-5200)),"")))))</f>
        <v/>
      </c>
      <c r="C293" s="37" t="str">
        <f>IF($Z293="","",IF($Z293&lt;=2000,IF(INDEX(包装物料出入库明细!$D$4:$D$2003,$Z293-0)=0,"",INDEX(包装物料出入库明细!$D$4:$D$2003,$Z293-0)),IF($Z293&lt;=4000,IF(INDEX(周转筐出入库明细!$C$4:$C$2004,$Z293-2000)=0,"",INDEX(周转筐出入库明细!$C$4:$C$2004,$Z293-2000)),IF($Z293&lt;=5200,IF(INDEX(客户自备加工筐明细!$E$4:$E$1203,$Z293-4000)=0,"",INDEX(客户自备加工筐明细!$E$4:$E$1203,$Z293-4000)),IF($Z293&lt;=5800,IF(INDEX(次果筐明细!$C$4:$C$603,$Z293-5200)=0,"",INDEX(次果筐明细!$C$4:$C$603,$Z293-5200)),"")))))</f>
        <v/>
      </c>
      <c r="D293" s="37" t="str">
        <f>IF($Z293="","",IF($Z293&lt;=2000,"包装物料－"&amp;INDEX(包装物料出入库明细!$H$4:$H$2003,$Z293-0),IF($Z293&lt;=4000,"周转筐－"&amp;INDEX(周转筐出入库明细!$F$4:$F$2004,$Z293-2000),IF($Z293&lt;=5200,"客户自备筐－"&amp;INDEX(客户自备加工筐明细!$J$4:$J$1203,$Z293-4000),IF($Z293&lt;=5800,"次果筐/托盘－"&amp;INDEX(次果筐明细!$F$4:$F$603,$Z293-5200),"")))))</f>
        <v/>
      </c>
      <c r="E293" s="24" t="str">
        <f>IF($Z293="","",IF($Z293&lt;=2000,IF(INDEX(包装物料出入库明细!$C$4:$C$2003,$Z293-0)=0,"",INDEX(包装物料出入库明细!$C$4:$C$2003,$Z293-0)),IF($Z293&lt;=4000,IF(INDEX(周转筐出入库明细!$E$4:$E$2004,$Z293-2000)=0,"",INDEX(周转筐出入库明细!$E$4:$E$2004,$Z293-2000)),IF($Z293&lt;=5200,IF(INDEX(客户自备加工筐明细!$D$4:$D$1203,$Z293-4000)=0,"",INDEX(客户自备加工筐明细!$D$4:$D$1203,$Z293-4000)),IF($Z293&lt;=5800,IF(INDEX(次果筐明细!$E$4:$E$603,$Z293-5200)=0,"",INDEX(次果筐明细!$E$4:$E$603,$Z293-5200)),"")))))</f>
        <v/>
      </c>
      <c r="F293" s="24" t="str">
        <f>IF($Z293="","",IF($Z293&lt;=2000,IF(INDEX(包装物料出入库明细!$E$4:$E$2003,$Z293-0)=0,"",INDEX(包装物料出入库明细!$E$4:$E$2003,$Z293-0)),IF($Z293&lt;=4000,IF(INDEX(周转筐出入库明细!$D$4:$D$2004,$Z293-2000)=0,"",INDEX(周转筐出入库明细!$D$4:$D$2004,$Z293-2000)),IF($Z293&lt;=5200,IF(INDEX(客户自备加工筐明细!$C$4:$C$1203,$Z293-4000)=0,"",INDEX(客户自备加工筐明细!$C$4:$C$1203,$Z293-4000)),IF($Z293&lt;=5800,IF(INDEX(次果筐明细!$D$4:$D$603,$Z293-5200)=0,"",INDEX(次果筐明细!$D$4:$D$603,$Z293-5200)),"")))))</f>
        <v/>
      </c>
      <c r="G293" s="24" t="str">
        <f>IF($Z293="","",IF($Z293&lt;=2000,IF(INDEX(包装物料出入库明细!$F$4:$F$2003,$Z293-0)=0,"",INDEX(包装物料出入库明细!$F$4:$F$2003,$Z293-0)),IF($Z293&lt;=4000,"",IF($Z293&lt;=5200,"",IF($Z293&lt;=5800,"","")))))</f>
        <v/>
      </c>
      <c r="H293" s="39" t="str">
        <f>IF($Z293="","",IF($Z293&lt;=2000,IF(INDEX(包装物料出入库明细!$L$4:$L$2003,$Z293-0)=0,"",INDEX(包装物料出入库明细!$L$4:$L$2003,$Z293-0)),IF($Z293&lt;=4000,N(INDEX(周转筐出入库明细!$H$4:$H$2004,$Z293-2000))+N(INDEX(周转筐出入库明细!$I$4:$I$2004,$Z293-2000))+N(INDEX(周转筐出入库明细!$J$4:$J$2004,$Z293-2000))+N(INDEX(周转筐出入库明细!$K$4:$K$2004,$Z293-2000)),IF($Z293&lt;=5200,N(INDEX(客户自备加工筐明细!$F$4:$F$1203,$Z293-4000))+N(INDEX(客户自备加工筐明细!$G$4:$G$1203,$Z293-4000)),IF($Z293&lt;=5800,IF(INDEX(次果筐明细!$G$4:$G$603,$Z293-5200)=0,"",INDEX(次果筐明细!$G$4:$G$603,$Z293-5200)),"")))))</f>
        <v/>
      </c>
      <c r="I293" s="24" t="str">
        <f>IF($Z293="","",IF($Z293&lt;=2000,IF(INDEX(包装物料出入库明细!$G$4:$G$2003,$Z293-0)=0,"",INDEX(包装物料出入库明细!$G$4:$G$2003,$Z293-0)),IF($Z293&lt;=4000,"个",IF($Z293&lt;=5200,"个",IF($Z293&lt;=5800,"个","")))))</f>
        <v/>
      </c>
      <c r="J293" s="30" t="str">
        <f t="shared" si="13"/>
        <v/>
      </c>
      <c r="K293" s="30" t="str">
        <f>IF($Z293="","",IF($Z293&lt;=2000,IF(INDEX(包装物料出入库明细!$N$4:$N$2003,$Z293-0)=0,"",INDEX(包装物料出入库明细!$N$4:$N$2003,$Z293-0)),IF($Z293&lt;=4000,IF(INDEX(周转筐出入库明细!$P$4:$P$2004,$Z293-2000)=0,"",INDEX(周转筐出入库明细!$P$4:$P$2004,$Z293-2000)),IF($Z293&lt;=5200,"",IF($Z293&lt;=5800,N(INDEX(次果筐明细!$L$4:$L$603,$Z293-5200))+N(INDEX(次果筐明细!$J$4:$J$603,$Z293-5200)),"")))))</f>
        <v/>
      </c>
      <c r="L293" s="24" t="str">
        <f>IF($Z293="","",IF($Z293&lt;=2000,IF(INDEX(包装物料出入库明细!$P$4:$P$2003,$Z293-0)=0,"",INDEX(包装物料出入库明细!$P$4:$P$2003,$Z293-0)),IF($Z293&lt;=4000,IF(INDEX(周转筐出入库明细!$Q$4:$Q$2004,$Z293-2000)=0,"",INDEX(周转筐出入库明细!$Q$4:$Q$2004,$Z293-2000)),IF($Z293&lt;=5200,"",IF($Z293&lt;=5800,IF(INDEX(次果筐明细!$M$4:$M$603,$Z293-5200)=0,"",INDEX(次果筐明细!$M$4:$M$603,$Z293-5200)),"")))))</f>
        <v/>
      </c>
      <c r="M293" s="37" t="str">
        <f>IF($Z293="","",IF($Z293&lt;=2000,IF(INDEX(包装物料出入库明细!$R$4:$R$2003,$Z293-0)=0,"",INDEX(包装物料出入库明细!$R$4:$R$2003,$Z293-0)),IF($Z293&lt;=4000,IF(INDEX(周转筐出入库明细!$W$4:$W$2004,$Z293-2000)=0,"",INDEX(周转筐出入库明细!$W$4:$W$2004,$Z293-2000)),IF($Z293&lt;=5200,IF(INDEX(客户自备加工筐明细!$L$4:$L$1203,$Z293-4000)=0,"",INDEX(客户自备加工筐明细!$L$4:$L$1203,$Z293-4000)),IF($Z293&lt;=5800,IF(INDEX(次果筐明细!$P$4:$P$603,$Z293-5200)=0,"",INDEX(次果筐明细!$P$4:$P$603,$Z293-5200)),"")))))</f>
        <v/>
      </c>
      <c r="N293" s="16" t="str">
        <f>IF($Z293="","",IF($Z293&lt;=2000,"",IF($Z293&lt;=4000,IF(INDEX(周转筐出入库明细!$D$4:$D$2004,$Z293-2000)=0,"",INDEX(周转筐出入库明细!$D$4:$D$2004,$Z293-2000)),IF($Z293&lt;=5200,IF(INDEX(客户自备加工筐明细!$C$4:$C$1203,$Z293-4000)=0,"",INDEX(客户自备加工筐明细!$C$4:$C$1203,$Z293-4000)),IF($Z293&lt;=5800,IF(INDEX(次果筐明细!$D$4:$D$603,$Z293-5200)=0,"",INDEX(次果筐明细!$D$4:$D$603,$Z293-5200)),"")))))</f>
        <v/>
      </c>
      <c r="O293" s="40" t="str">
        <f>IF($Z293="","",IF($Z293&lt;=2000,"",IF($Z293&lt;=4000,IF(N(INDEX(周转筐出入库明细!$J$4:$J$2004,$Z293-2000))+N(INDEX(周转筐出入库明细!$K$4:$K$2004,$Z293-2000))=0,"",N(INDEX(周转筐出入库明细!$J$4:$J$2004,$Z293-2000))+N(INDEX(周转筐出入库明细!$K$4:$K$2004,$Z293-2000))),IF($Z293&lt;=5200,IF(N(INDEX(客户自备加工筐明细!$G$4:$G$1203,$Z293-4000))=0,"",N(INDEX(客户自备加工筐明细!$G$4:$G$1203,$Z293-4000))),IF($Z293&lt;=5800,IF(ISNUMBER(SEARCH("退",INDEX(次果筐明细!$F$4:$F$603,$Z293-5200)&amp;"")),"",IF(N(INDEX(次果筐明细!$G$4:$G$603,$Z293-5200))=0,"",N(INDEX(次果筐明细!$G$4:$G$603,$Z293-5200)))),"")))))</f>
        <v/>
      </c>
      <c r="P293" s="40" t="str">
        <f>IF($Z293="","",IF($Z293&lt;=2000,"",IF($Z293&lt;=4000,IF(N(INDEX(周转筐出入库明细!$I$4:$I$2004,$Z293-2000))=0,"",N(INDEX(周转筐出入库明细!$I$4:$I$2004,$Z293-2000))),IF($Z293&lt;=5200,"",IF($Z293&lt;=5800,IF(ISNUMBER(SEARCH("退",INDEX(次果筐明细!$F$4:$F$603,$Z293-5200)&amp;"")),IF(N(INDEX(次果筐明细!$G$4:$G$603,$Z293-5200))=0,"",N(INDEX(次果筐明细!$G$4:$G$603,$Z293-5200))),""),"")))))</f>
        <v/>
      </c>
      <c r="Q293" s="40" t="str">
        <f>IF($Z293="","",IF($Z293&lt;=2000,"",IF($Z293&lt;=4000,IF(N(INDEX(周转筐出入库明细!$H$4:$H$2004,$Z293-2000))=0,"",N(INDEX(周转筐出入库明细!$H$4:$H$2004,$Z293-2000))),IF($Z293&lt;=5200,IF(N(INDEX(客户自备加工筐明细!$F$4:$F$1203,$Z293-4000))=0,"",N(INDEX(客户自备加工筐明细!$F$4:$F$1203,$Z293-4000))),IF($Z293&lt;=5800,"","")))))</f>
        <v/>
      </c>
      <c r="R293" s="16" t="str">
        <f>IF($Z293="","",IF($Z293&lt;=2000,IF(INDEX(包装物料出入库明细!$O$4:$O$2003,$Z293-0)=0,"",INDEX(包装物料出入库明细!$O$4:$O$2003,$Z293-0)),IF($Z293&lt;=4000,IF(INDEX(周转筐出入库明细!$M$4:$M$2004,$Z293-2000)=0,"",INDEX(周转筐出入库明细!$M$4:$M$2004,$Z293-2000)),IF($Z293&lt;=5200,IF(INDEX(客户自备加工筐明细!$H$4:$H$1203,$Z293-4000)=0,"",INDEX(客户自备加工筐明细!$H$4:$H$1203,$Z293-4000)),IF($Z293&lt;=5800,IF(INDEX(次果筐明细!$H$4:$H$603,$Z293-5200)=0,"",INDEX(次果筐明细!$H$4:$H$603,$Z293-5200)),"")))))</f>
        <v/>
      </c>
      <c r="S293" s="22" t="str">
        <f t="shared" si="14"/>
        <v/>
      </c>
      <c r="Z293" s="10" t="str">
        <f>IFERROR(MATCH(ROW()-3,_自动清单!$CQ$4:$CQ$5803,0),"")</f>
        <v/>
      </c>
    </row>
    <row r="294" spans="1:26">
      <c r="A294" s="24" t="str">
        <f t="shared" si="12"/>
        <v/>
      </c>
      <c r="B294" s="38" t="str">
        <f>IF($Z294="","",IF($Z294&lt;=2000,IF(INDEX(包装物料出入库明细!$B$4:$B$2003,$Z294-0)=0,"",INDEX(包装物料出入库明细!$B$4:$B$2003,$Z294-0)),IF($Z294&lt;=4000,IF(INDEX(周转筐出入库明细!$B$4:$B$2004,$Z294-2000)=0,"",INDEX(周转筐出入库明细!$B$4:$B$2004,$Z294-2000)),IF($Z294&lt;=5200,IF(INDEX(客户自备加工筐明细!$B$4:$B$1203,$Z294-4000)=0,"",INDEX(客户自备加工筐明细!$B$4:$B$1203,$Z294-4000)),IF($Z294&lt;=5800,IF(INDEX(次果筐明细!$B$4:$B$603,$Z294-5200)=0,"",INDEX(次果筐明细!$B$4:$B$603,$Z294-5200)),"")))))</f>
        <v/>
      </c>
      <c r="C294" s="37" t="str">
        <f>IF($Z294="","",IF($Z294&lt;=2000,IF(INDEX(包装物料出入库明细!$D$4:$D$2003,$Z294-0)=0,"",INDEX(包装物料出入库明细!$D$4:$D$2003,$Z294-0)),IF($Z294&lt;=4000,IF(INDEX(周转筐出入库明细!$C$4:$C$2004,$Z294-2000)=0,"",INDEX(周转筐出入库明细!$C$4:$C$2004,$Z294-2000)),IF($Z294&lt;=5200,IF(INDEX(客户自备加工筐明细!$E$4:$E$1203,$Z294-4000)=0,"",INDEX(客户自备加工筐明细!$E$4:$E$1203,$Z294-4000)),IF($Z294&lt;=5800,IF(INDEX(次果筐明细!$C$4:$C$603,$Z294-5200)=0,"",INDEX(次果筐明细!$C$4:$C$603,$Z294-5200)),"")))))</f>
        <v/>
      </c>
      <c r="D294" s="37" t="str">
        <f>IF($Z294="","",IF($Z294&lt;=2000,"包装物料－"&amp;INDEX(包装物料出入库明细!$H$4:$H$2003,$Z294-0),IF($Z294&lt;=4000,"周转筐－"&amp;INDEX(周转筐出入库明细!$F$4:$F$2004,$Z294-2000),IF($Z294&lt;=5200,"客户自备筐－"&amp;INDEX(客户自备加工筐明细!$J$4:$J$1203,$Z294-4000),IF($Z294&lt;=5800,"次果筐/托盘－"&amp;INDEX(次果筐明细!$F$4:$F$603,$Z294-5200),"")))))</f>
        <v/>
      </c>
      <c r="E294" s="24" t="str">
        <f>IF($Z294="","",IF($Z294&lt;=2000,IF(INDEX(包装物料出入库明细!$C$4:$C$2003,$Z294-0)=0,"",INDEX(包装物料出入库明细!$C$4:$C$2003,$Z294-0)),IF($Z294&lt;=4000,IF(INDEX(周转筐出入库明细!$E$4:$E$2004,$Z294-2000)=0,"",INDEX(周转筐出入库明细!$E$4:$E$2004,$Z294-2000)),IF($Z294&lt;=5200,IF(INDEX(客户自备加工筐明细!$D$4:$D$1203,$Z294-4000)=0,"",INDEX(客户自备加工筐明细!$D$4:$D$1203,$Z294-4000)),IF($Z294&lt;=5800,IF(INDEX(次果筐明细!$E$4:$E$603,$Z294-5200)=0,"",INDEX(次果筐明细!$E$4:$E$603,$Z294-5200)),"")))))</f>
        <v/>
      </c>
      <c r="F294" s="24" t="str">
        <f>IF($Z294="","",IF($Z294&lt;=2000,IF(INDEX(包装物料出入库明细!$E$4:$E$2003,$Z294-0)=0,"",INDEX(包装物料出入库明细!$E$4:$E$2003,$Z294-0)),IF($Z294&lt;=4000,IF(INDEX(周转筐出入库明细!$D$4:$D$2004,$Z294-2000)=0,"",INDEX(周转筐出入库明细!$D$4:$D$2004,$Z294-2000)),IF($Z294&lt;=5200,IF(INDEX(客户自备加工筐明细!$C$4:$C$1203,$Z294-4000)=0,"",INDEX(客户自备加工筐明细!$C$4:$C$1203,$Z294-4000)),IF($Z294&lt;=5800,IF(INDEX(次果筐明细!$D$4:$D$603,$Z294-5200)=0,"",INDEX(次果筐明细!$D$4:$D$603,$Z294-5200)),"")))))</f>
        <v/>
      </c>
      <c r="G294" s="24" t="str">
        <f>IF($Z294="","",IF($Z294&lt;=2000,IF(INDEX(包装物料出入库明细!$F$4:$F$2003,$Z294-0)=0,"",INDEX(包装物料出入库明细!$F$4:$F$2003,$Z294-0)),IF($Z294&lt;=4000,"",IF($Z294&lt;=5200,"",IF($Z294&lt;=5800,"","")))))</f>
        <v/>
      </c>
      <c r="H294" s="39" t="str">
        <f>IF($Z294="","",IF($Z294&lt;=2000,IF(INDEX(包装物料出入库明细!$L$4:$L$2003,$Z294-0)=0,"",INDEX(包装物料出入库明细!$L$4:$L$2003,$Z294-0)),IF($Z294&lt;=4000,N(INDEX(周转筐出入库明细!$H$4:$H$2004,$Z294-2000))+N(INDEX(周转筐出入库明细!$I$4:$I$2004,$Z294-2000))+N(INDEX(周转筐出入库明细!$J$4:$J$2004,$Z294-2000))+N(INDEX(周转筐出入库明细!$K$4:$K$2004,$Z294-2000)),IF($Z294&lt;=5200,N(INDEX(客户自备加工筐明细!$F$4:$F$1203,$Z294-4000))+N(INDEX(客户自备加工筐明细!$G$4:$G$1203,$Z294-4000)),IF($Z294&lt;=5800,IF(INDEX(次果筐明细!$G$4:$G$603,$Z294-5200)=0,"",INDEX(次果筐明细!$G$4:$G$603,$Z294-5200)),"")))))</f>
        <v/>
      </c>
      <c r="I294" s="24" t="str">
        <f>IF($Z294="","",IF($Z294&lt;=2000,IF(INDEX(包装物料出入库明细!$G$4:$G$2003,$Z294-0)=0,"",INDEX(包装物料出入库明细!$G$4:$G$2003,$Z294-0)),IF($Z294&lt;=4000,"个",IF($Z294&lt;=5200,"个",IF($Z294&lt;=5800,"个","")))))</f>
        <v/>
      </c>
      <c r="J294" s="30" t="str">
        <f t="shared" si="13"/>
        <v/>
      </c>
      <c r="K294" s="30" t="str">
        <f>IF($Z294="","",IF($Z294&lt;=2000,IF(INDEX(包装物料出入库明细!$N$4:$N$2003,$Z294-0)=0,"",INDEX(包装物料出入库明细!$N$4:$N$2003,$Z294-0)),IF($Z294&lt;=4000,IF(INDEX(周转筐出入库明细!$P$4:$P$2004,$Z294-2000)=0,"",INDEX(周转筐出入库明细!$P$4:$P$2004,$Z294-2000)),IF($Z294&lt;=5200,"",IF($Z294&lt;=5800,N(INDEX(次果筐明细!$L$4:$L$603,$Z294-5200))+N(INDEX(次果筐明细!$J$4:$J$603,$Z294-5200)),"")))))</f>
        <v/>
      </c>
      <c r="L294" s="24" t="str">
        <f>IF($Z294="","",IF($Z294&lt;=2000,IF(INDEX(包装物料出入库明细!$P$4:$P$2003,$Z294-0)=0,"",INDEX(包装物料出入库明细!$P$4:$P$2003,$Z294-0)),IF($Z294&lt;=4000,IF(INDEX(周转筐出入库明细!$Q$4:$Q$2004,$Z294-2000)=0,"",INDEX(周转筐出入库明细!$Q$4:$Q$2004,$Z294-2000)),IF($Z294&lt;=5200,"",IF($Z294&lt;=5800,IF(INDEX(次果筐明细!$M$4:$M$603,$Z294-5200)=0,"",INDEX(次果筐明细!$M$4:$M$603,$Z294-5200)),"")))))</f>
        <v/>
      </c>
      <c r="M294" s="37" t="str">
        <f>IF($Z294="","",IF($Z294&lt;=2000,IF(INDEX(包装物料出入库明细!$R$4:$R$2003,$Z294-0)=0,"",INDEX(包装物料出入库明细!$R$4:$R$2003,$Z294-0)),IF($Z294&lt;=4000,IF(INDEX(周转筐出入库明细!$W$4:$W$2004,$Z294-2000)=0,"",INDEX(周转筐出入库明细!$W$4:$W$2004,$Z294-2000)),IF($Z294&lt;=5200,IF(INDEX(客户自备加工筐明细!$L$4:$L$1203,$Z294-4000)=0,"",INDEX(客户自备加工筐明细!$L$4:$L$1203,$Z294-4000)),IF($Z294&lt;=5800,IF(INDEX(次果筐明细!$P$4:$P$603,$Z294-5200)=0,"",INDEX(次果筐明细!$P$4:$P$603,$Z294-5200)),"")))))</f>
        <v/>
      </c>
      <c r="N294" s="16" t="str">
        <f>IF($Z294="","",IF($Z294&lt;=2000,"",IF($Z294&lt;=4000,IF(INDEX(周转筐出入库明细!$D$4:$D$2004,$Z294-2000)=0,"",INDEX(周转筐出入库明细!$D$4:$D$2004,$Z294-2000)),IF($Z294&lt;=5200,IF(INDEX(客户自备加工筐明细!$C$4:$C$1203,$Z294-4000)=0,"",INDEX(客户自备加工筐明细!$C$4:$C$1203,$Z294-4000)),IF($Z294&lt;=5800,IF(INDEX(次果筐明细!$D$4:$D$603,$Z294-5200)=0,"",INDEX(次果筐明细!$D$4:$D$603,$Z294-5200)),"")))))</f>
        <v/>
      </c>
      <c r="O294" s="40" t="str">
        <f>IF($Z294="","",IF($Z294&lt;=2000,"",IF($Z294&lt;=4000,IF(N(INDEX(周转筐出入库明细!$J$4:$J$2004,$Z294-2000))+N(INDEX(周转筐出入库明细!$K$4:$K$2004,$Z294-2000))=0,"",N(INDEX(周转筐出入库明细!$J$4:$J$2004,$Z294-2000))+N(INDEX(周转筐出入库明细!$K$4:$K$2004,$Z294-2000))),IF($Z294&lt;=5200,IF(N(INDEX(客户自备加工筐明细!$G$4:$G$1203,$Z294-4000))=0,"",N(INDEX(客户自备加工筐明细!$G$4:$G$1203,$Z294-4000))),IF($Z294&lt;=5800,IF(ISNUMBER(SEARCH("退",INDEX(次果筐明细!$F$4:$F$603,$Z294-5200)&amp;"")),"",IF(N(INDEX(次果筐明细!$G$4:$G$603,$Z294-5200))=0,"",N(INDEX(次果筐明细!$G$4:$G$603,$Z294-5200)))),"")))))</f>
        <v/>
      </c>
      <c r="P294" s="40" t="str">
        <f>IF($Z294="","",IF($Z294&lt;=2000,"",IF($Z294&lt;=4000,IF(N(INDEX(周转筐出入库明细!$I$4:$I$2004,$Z294-2000))=0,"",N(INDEX(周转筐出入库明细!$I$4:$I$2004,$Z294-2000))),IF($Z294&lt;=5200,"",IF($Z294&lt;=5800,IF(ISNUMBER(SEARCH("退",INDEX(次果筐明细!$F$4:$F$603,$Z294-5200)&amp;"")),IF(N(INDEX(次果筐明细!$G$4:$G$603,$Z294-5200))=0,"",N(INDEX(次果筐明细!$G$4:$G$603,$Z294-5200))),""),"")))))</f>
        <v/>
      </c>
      <c r="Q294" s="40" t="str">
        <f>IF($Z294="","",IF($Z294&lt;=2000,"",IF($Z294&lt;=4000,IF(N(INDEX(周转筐出入库明细!$H$4:$H$2004,$Z294-2000))=0,"",N(INDEX(周转筐出入库明细!$H$4:$H$2004,$Z294-2000))),IF($Z294&lt;=5200,IF(N(INDEX(客户自备加工筐明细!$F$4:$F$1203,$Z294-4000))=0,"",N(INDEX(客户自备加工筐明细!$F$4:$F$1203,$Z294-4000))),IF($Z294&lt;=5800,"","")))))</f>
        <v/>
      </c>
      <c r="R294" s="16" t="str">
        <f>IF($Z294="","",IF($Z294&lt;=2000,IF(INDEX(包装物料出入库明细!$O$4:$O$2003,$Z294-0)=0,"",INDEX(包装物料出入库明细!$O$4:$O$2003,$Z294-0)),IF($Z294&lt;=4000,IF(INDEX(周转筐出入库明细!$M$4:$M$2004,$Z294-2000)=0,"",INDEX(周转筐出入库明细!$M$4:$M$2004,$Z294-2000)),IF($Z294&lt;=5200,IF(INDEX(客户自备加工筐明细!$H$4:$H$1203,$Z294-4000)=0,"",INDEX(客户自备加工筐明细!$H$4:$H$1203,$Z294-4000)),IF($Z294&lt;=5800,IF(INDEX(次果筐明细!$H$4:$H$603,$Z294-5200)=0,"",INDEX(次果筐明细!$H$4:$H$603,$Z294-5200)),"")))))</f>
        <v/>
      </c>
      <c r="S294" s="22" t="str">
        <f t="shared" si="14"/>
        <v/>
      </c>
      <c r="Z294" s="10" t="str">
        <f>IFERROR(MATCH(ROW()-3,_自动清单!$CQ$4:$CQ$5803,0),"")</f>
        <v/>
      </c>
    </row>
    <row r="295" spans="1:26">
      <c r="A295" s="24" t="str">
        <f t="shared" si="12"/>
        <v/>
      </c>
      <c r="B295" s="38" t="str">
        <f>IF($Z295="","",IF($Z295&lt;=2000,IF(INDEX(包装物料出入库明细!$B$4:$B$2003,$Z295-0)=0,"",INDEX(包装物料出入库明细!$B$4:$B$2003,$Z295-0)),IF($Z295&lt;=4000,IF(INDEX(周转筐出入库明细!$B$4:$B$2004,$Z295-2000)=0,"",INDEX(周转筐出入库明细!$B$4:$B$2004,$Z295-2000)),IF($Z295&lt;=5200,IF(INDEX(客户自备加工筐明细!$B$4:$B$1203,$Z295-4000)=0,"",INDEX(客户自备加工筐明细!$B$4:$B$1203,$Z295-4000)),IF($Z295&lt;=5800,IF(INDEX(次果筐明细!$B$4:$B$603,$Z295-5200)=0,"",INDEX(次果筐明细!$B$4:$B$603,$Z295-5200)),"")))))</f>
        <v/>
      </c>
      <c r="C295" s="37" t="str">
        <f>IF($Z295="","",IF($Z295&lt;=2000,IF(INDEX(包装物料出入库明细!$D$4:$D$2003,$Z295-0)=0,"",INDEX(包装物料出入库明细!$D$4:$D$2003,$Z295-0)),IF($Z295&lt;=4000,IF(INDEX(周转筐出入库明细!$C$4:$C$2004,$Z295-2000)=0,"",INDEX(周转筐出入库明细!$C$4:$C$2004,$Z295-2000)),IF($Z295&lt;=5200,IF(INDEX(客户自备加工筐明细!$E$4:$E$1203,$Z295-4000)=0,"",INDEX(客户自备加工筐明细!$E$4:$E$1203,$Z295-4000)),IF($Z295&lt;=5800,IF(INDEX(次果筐明细!$C$4:$C$603,$Z295-5200)=0,"",INDEX(次果筐明细!$C$4:$C$603,$Z295-5200)),"")))))</f>
        <v/>
      </c>
      <c r="D295" s="37" t="str">
        <f>IF($Z295="","",IF($Z295&lt;=2000,"包装物料－"&amp;INDEX(包装物料出入库明细!$H$4:$H$2003,$Z295-0),IF($Z295&lt;=4000,"周转筐－"&amp;INDEX(周转筐出入库明细!$F$4:$F$2004,$Z295-2000),IF($Z295&lt;=5200,"客户自备筐－"&amp;INDEX(客户自备加工筐明细!$J$4:$J$1203,$Z295-4000),IF($Z295&lt;=5800,"次果筐/托盘－"&amp;INDEX(次果筐明细!$F$4:$F$603,$Z295-5200),"")))))</f>
        <v/>
      </c>
      <c r="E295" s="24" t="str">
        <f>IF($Z295="","",IF($Z295&lt;=2000,IF(INDEX(包装物料出入库明细!$C$4:$C$2003,$Z295-0)=0,"",INDEX(包装物料出入库明细!$C$4:$C$2003,$Z295-0)),IF($Z295&lt;=4000,IF(INDEX(周转筐出入库明细!$E$4:$E$2004,$Z295-2000)=0,"",INDEX(周转筐出入库明细!$E$4:$E$2004,$Z295-2000)),IF($Z295&lt;=5200,IF(INDEX(客户自备加工筐明细!$D$4:$D$1203,$Z295-4000)=0,"",INDEX(客户自备加工筐明细!$D$4:$D$1203,$Z295-4000)),IF($Z295&lt;=5800,IF(INDEX(次果筐明细!$E$4:$E$603,$Z295-5200)=0,"",INDEX(次果筐明细!$E$4:$E$603,$Z295-5200)),"")))))</f>
        <v/>
      </c>
      <c r="F295" s="24" t="str">
        <f>IF($Z295="","",IF($Z295&lt;=2000,IF(INDEX(包装物料出入库明细!$E$4:$E$2003,$Z295-0)=0,"",INDEX(包装物料出入库明细!$E$4:$E$2003,$Z295-0)),IF($Z295&lt;=4000,IF(INDEX(周转筐出入库明细!$D$4:$D$2004,$Z295-2000)=0,"",INDEX(周转筐出入库明细!$D$4:$D$2004,$Z295-2000)),IF($Z295&lt;=5200,IF(INDEX(客户自备加工筐明细!$C$4:$C$1203,$Z295-4000)=0,"",INDEX(客户自备加工筐明细!$C$4:$C$1203,$Z295-4000)),IF($Z295&lt;=5800,IF(INDEX(次果筐明细!$D$4:$D$603,$Z295-5200)=0,"",INDEX(次果筐明细!$D$4:$D$603,$Z295-5200)),"")))))</f>
        <v/>
      </c>
      <c r="G295" s="24" t="str">
        <f>IF($Z295="","",IF($Z295&lt;=2000,IF(INDEX(包装物料出入库明细!$F$4:$F$2003,$Z295-0)=0,"",INDEX(包装物料出入库明细!$F$4:$F$2003,$Z295-0)),IF($Z295&lt;=4000,"",IF($Z295&lt;=5200,"",IF($Z295&lt;=5800,"","")))))</f>
        <v/>
      </c>
      <c r="H295" s="39" t="str">
        <f>IF($Z295="","",IF($Z295&lt;=2000,IF(INDEX(包装物料出入库明细!$L$4:$L$2003,$Z295-0)=0,"",INDEX(包装物料出入库明细!$L$4:$L$2003,$Z295-0)),IF($Z295&lt;=4000,N(INDEX(周转筐出入库明细!$H$4:$H$2004,$Z295-2000))+N(INDEX(周转筐出入库明细!$I$4:$I$2004,$Z295-2000))+N(INDEX(周转筐出入库明细!$J$4:$J$2004,$Z295-2000))+N(INDEX(周转筐出入库明细!$K$4:$K$2004,$Z295-2000)),IF($Z295&lt;=5200,N(INDEX(客户自备加工筐明细!$F$4:$F$1203,$Z295-4000))+N(INDEX(客户自备加工筐明细!$G$4:$G$1203,$Z295-4000)),IF($Z295&lt;=5800,IF(INDEX(次果筐明细!$G$4:$G$603,$Z295-5200)=0,"",INDEX(次果筐明细!$G$4:$G$603,$Z295-5200)),"")))))</f>
        <v/>
      </c>
      <c r="I295" s="24" t="str">
        <f>IF($Z295="","",IF($Z295&lt;=2000,IF(INDEX(包装物料出入库明细!$G$4:$G$2003,$Z295-0)=0,"",INDEX(包装物料出入库明细!$G$4:$G$2003,$Z295-0)),IF($Z295&lt;=4000,"个",IF($Z295&lt;=5200,"个",IF($Z295&lt;=5800,"个","")))))</f>
        <v/>
      </c>
      <c r="J295" s="30" t="str">
        <f t="shared" si="13"/>
        <v/>
      </c>
      <c r="K295" s="30" t="str">
        <f>IF($Z295="","",IF($Z295&lt;=2000,IF(INDEX(包装物料出入库明细!$N$4:$N$2003,$Z295-0)=0,"",INDEX(包装物料出入库明细!$N$4:$N$2003,$Z295-0)),IF($Z295&lt;=4000,IF(INDEX(周转筐出入库明细!$P$4:$P$2004,$Z295-2000)=0,"",INDEX(周转筐出入库明细!$P$4:$P$2004,$Z295-2000)),IF($Z295&lt;=5200,"",IF($Z295&lt;=5800,N(INDEX(次果筐明细!$L$4:$L$603,$Z295-5200))+N(INDEX(次果筐明细!$J$4:$J$603,$Z295-5200)),"")))))</f>
        <v/>
      </c>
      <c r="L295" s="24" t="str">
        <f>IF($Z295="","",IF($Z295&lt;=2000,IF(INDEX(包装物料出入库明细!$P$4:$P$2003,$Z295-0)=0,"",INDEX(包装物料出入库明细!$P$4:$P$2003,$Z295-0)),IF($Z295&lt;=4000,IF(INDEX(周转筐出入库明细!$Q$4:$Q$2004,$Z295-2000)=0,"",INDEX(周转筐出入库明细!$Q$4:$Q$2004,$Z295-2000)),IF($Z295&lt;=5200,"",IF($Z295&lt;=5800,IF(INDEX(次果筐明细!$M$4:$M$603,$Z295-5200)=0,"",INDEX(次果筐明细!$M$4:$M$603,$Z295-5200)),"")))))</f>
        <v/>
      </c>
      <c r="M295" s="37" t="str">
        <f>IF($Z295="","",IF($Z295&lt;=2000,IF(INDEX(包装物料出入库明细!$R$4:$R$2003,$Z295-0)=0,"",INDEX(包装物料出入库明细!$R$4:$R$2003,$Z295-0)),IF($Z295&lt;=4000,IF(INDEX(周转筐出入库明细!$W$4:$W$2004,$Z295-2000)=0,"",INDEX(周转筐出入库明细!$W$4:$W$2004,$Z295-2000)),IF($Z295&lt;=5200,IF(INDEX(客户自备加工筐明细!$L$4:$L$1203,$Z295-4000)=0,"",INDEX(客户自备加工筐明细!$L$4:$L$1203,$Z295-4000)),IF($Z295&lt;=5800,IF(INDEX(次果筐明细!$P$4:$P$603,$Z295-5200)=0,"",INDEX(次果筐明细!$P$4:$P$603,$Z295-5200)),"")))))</f>
        <v/>
      </c>
      <c r="N295" s="16" t="str">
        <f>IF($Z295="","",IF($Z295&lt;=2000,"",IF($Z295&lt;=4000,IF(INDEX(周转筐出入库明细!$D$4:$D$2004,$Z295-2000)=0,"",INDEX(周转筐出入库明细!$D$4:$D$2004,$Z295-2000)),IF($Z295&lt;=5200,IF(INDEX(客户自备加工筐明细!$C$4:$C$1203,$Z295-4000)=0,"",INDEX(客户自备加工筐明细!$C$4:$C$1203,$Z295-4000)),IF($Z295&lt;=5800,IF(INDEX(次果筐明细!$D$4:$D$603,$Z295-5200)=0,"",INDEX(次果筐明细!$D$4:$D$603,$Z295-5200)),"")))))</f>
        <v/>
      </c>
      <c r="O295" s="40" t="str">
        <f>IF($Z295="","",IF($Z295&lt;=2000,"",IF($Z295&lt;=4000,IF(N(INDEX(周转筐出入库明细!$J$4:$J$2004,$Z295-2000))+N(INDEX(周转筐出入库明细!$K$4:$K$2004,$Z295-2000))=0,"",N(INDEX(周转筐出入库明细!$J$4:$J$2004,$Z295-2000))+N(INDEX(周转筐出入库明细!$K$4:$K$2004,$Z295-2000))),IF($Z295&lt;=5200,IF(N(INDEX(客户自备加工筐明细!$G$4:$G$1203,$Z295-4000))=0,"",N(INDEX(客户自备加工筐明细!$G$4:$G$1203,$Z295-4000))),IF($Z295&lt;=5800,IF(ISNUMBER(SEARCH("退",INDEX(次果筐明细!$F$4:$F$603,$Z295-5200)&amp;"")),"",IF(N(INDEX(次果筐明细!$G$4:$G$603,$Z295-5200))=0,"",N(INDEX(次果筐明细!$G$4:$G$603,$Z295-5200)))),"")))))</f>
        <v/>
      </c>
      <c r="P295" s="40" t="str">
        <f>IF($Z295="","",IF($Z295&lt;=2000,"",IF($Z295&lt;=4000,IF(N(INDEX(周转筐出入库明细!$I$4:$I$2004,$Z295-2000))=0,"",N(INDEX(周转筐出入库明细!$I$4:$I$2004,$Z295-2000))),IF($Z295&lt;=5200,"",IF($Z295&lt;=5800,IF(ISNUMBER(SEARCH("退",INDEX(次果筐明细!$F$4:$F$603,$Z295-5200)&amp;"")),IF(N(INDEX(次果筐明细!$G$4:$G$603,$Z295-5200))=0,"",N(INDEX(次果筐明细!$G$4:$G$603,$Z295-5200))),""),"")))))</f>
        <v/>
      </c>
      <c r="Q295" s="40" t="str">
        <f>IF($Z295="","",IF($Z295&lt;=2000,"",IF($Z295&lt;=4000,IF(N(INDEX(周转筐出入库明细!$H$4:$H$2004,$Z295-2000))=0,"",N(INDEX(周转筐出入库明细!$H$4:$H$2004,$Z295-2000))),IF($Z295&lt;=5200,IF(N(INDEX(客户自备加工筐明细!$F$4:$F$1203,$Z295-4000))=0,"",N(INDEX(客户自备加工筐明细!$F$4:$F$1203,$Z295-4000))),IF($Z295&lt;=5800,"","")))))</f>
        <v/>
      </c>
      <c r="R295" s="16" t="str">
        <f>IF($Z295="","",IF($Z295&lt;=2000,IF(INDEX(包装物料出入库明细!$O$4:$O$2003,$Z295-0)=0,"",INDEX(包装物料出入库明细!$O$4:$O$2003,$Z295-0)),IF($Z295&lt;=4000,IF(INDEX(周转筐出入库明细!$M$4:$M$2004,$Z295-2000)=0,"",INDEX(周转筐出入库明细!$M$4:$M$2004,$Z295-2000)),IF($Z295&lt;=5200,IF(INDEX(客户自备加工筐明细!$H$4:$H$1203,$Z295-4000)=0,"",INDEX(客户自备加工筐明细!$H$4:$H$1203,$Z295-4000)),IF($Z295&lt;=5800,IF(INDEX(次果筐明细!$H$4:$H$603,$Z295-5200)=0,"",INDEX(次果筐明细!$H$4:$H$603,$Z295-5200)),"")))))</f>
        <v/>
      </c>
      <c r="S295" s="22" t="str">
        <f t="shared" si="14"/>
        <v/>
      </c>
      <c r="Z295" s="10" t="str">
        <f>IFERROR(MATCH(ROW()-3,_自动清单!$CQ$4:$CQ$5803,0),"")</f>
        <v/>
      </c>
    </row>
    <row r="296" spans="1:26">
      <c r="A296" s="24" t="str">
        <f t="shared" si="12"/>
        <v/>
      </c>
      <c r="B296" s="38" t="str">
        <f>IF($Z296="","",IF($Z296&lt;=2000,IF(INDEX(包装物料出入库明细!$B$4:$B$2003,$Z296-0)=0,"",INDEX(包装物料出入库明细!$B$4:$B$2003,$Z296-0)),IF($Z296&lt;=4000,IF(INDEX(周转筐出入库明细!$B$4:$B$2004,$Z296-2000)=0,"",INDEX(周转筐出入库明细!$B$4:$B$2004,$Z296-2000)),IF($Z296&lt;=5200,IF(INDEX(客户自备加工筐明细!$B$4:$B$1203,$Z296-4000)=0,"",INDEX(客户自备加工筐明细!$B$4:$B$1203,$Z296-4000)),IF($Z296&lt;=5800,IF(INDEX(次果筐明细!$B$4:$B$603,$Z296-5200)=0,"",INDEX(次果筐明细!$B$4:$B$603,$Z296-5200)),"")))))</f>
        <v/>
      </c>
      <c r="C296" s="37" t="str">
        <f>IF($Z296="","",IF($Z296&lt;=2000,IF(INDEX(包装物料出入库明细!$D$4:$D$2003,$Z296-0)=0,"",INDEX(包装物料出入库明细!$D$4:$D$2003,$Z296-0)),IF($Z296&lt;=4000,IF(INDEX(周转筐出入库明细!$C$4:$C$2004,$Z296-2000)=0,"",INDEX(周转筐出入库明细!$C$4:$C$2004,$Z296-2000)),IF($Z296&lt;=5200,IF(INDEX(客户自备加工筐明细!$E$4:$E$1203,$Z296-4000)=0,"",INDEX(客户自备加工筐明细!$E$4:$E$1203,$Z296-4000)),IF($Z296&lt;=5800,IF(INDEX(次果筐明细!$C$4:$C$603,$Z296-5200)=0,"",INDEX(次果筐明细!$C$4:$C$603,$Z296-5200)),"")))))</f>
        <v/>
      </c>
      <c r="D296" s="37" t="str">
        <f>IF($Z296="","",IF($Z296&lt;=2000,"包装物料－"&amp;INDEX(包装物料出入库明细!$H$4:$H$2003,$Z296-0),IF($Z296&lt;=4000,"周转筐－"&amp;INDEX(周转筐出入库明细!$F$4:$F$2004,$Z296-2000),IF($Z296&lt;=5200,"客户自备筐－"&amp;INDEX(客户自备加工筐明细!$J$4:$J$1203,$Z296-4000),IF($Z296&lt;=5800,"次果筐/托盘－"&amp;INDEX(次果筐明细!$F$4:$F$603,$Z296-5200),"")))))</f>
        <v/>
      </c>
      <c r="E296" s="24" t="str">
        <f>IF($Z296="","",IF($Z296&lt;=2000,IF(INDEX(包装物料出入库明细!$C$4:$C$2003,$Z296-0)=0,"",INDEX(包装物料出入库明细!$C$4:$C$2003,$Z296-0)),IF($Z296&lt;=4000,IF(INDEX(周转筐出入库明细!$E$4:$E$2004,$Z296-2000)=0,"",INDEX(周转筐出入库明细!$E$4:$E$2004,$Z296-2000)),IF($Z296&lt;=5200,IF(INDEX(客户自备加工筐明细!$D$4:$D$1203,$Z296-4000)=0,"",INDEX(客户自备加工筐明细!$D$4:$D$1203,$Z296-4000)),IF($Z296&lt;=5800,IF(INDEX(次果筐明细!$E$4:$E$603,$Z296-5200)=0,"",INDEX(次果筐明细!$E$4:$E$603,$Z296-5200)),"")))))</f>
        <v/>
      </c>
      <c r="F296" s="24" t="str">
        <f>IF($Z296="","",IF($Z296&lt;=2000,IF(INDEX(包装物料出入库明细!$E$4:$E$2003,$Z296-0)=0,"",INDEX(包装物料出入库明细!$E$4:$E$2003,$Z296-0)),IF($Z296&lt;=4000,IF(INDEX(周转筐出入库明细!$D$4:$D$2004,$Z296-2000)=0,"",INDEX(周转筐出入库明细!$D$4:$D$2004,$Z296-2000)),IF($Z296&lt;=5200,IF(INDEX(客户自备加工筐明细!$C$4:$C$1203,$Z296-4000)=0,"",INDEX(客户自备加工筐明细!$C$4:$C$1203,$Z296-4000)),IF($Z296&lt;=5800,IF(INDEX(次果筐明细!$D$4:$D$603,$Z296-5200)=0,"",INDEX(次果筐明细!$D$4:$D$603,$Z296-5200)),"")))))</f>
        <v/>
      </c>
      <c r="G296" s="24" t="str">
        <f>IF($Z296="","",IF($Z296&lt;=2000,IF(INDEX(包装物料出入库明细!$F$4:$F$2003,$Z296-0)=0,"",INDEX(包装物料出入库明细!$F$4:$F$2003,$Z296-0)),IF($Z296&lt;=4000,"",IF($Z296&lt;=5200,"",IF($Z296&lt;=5800,"","")))))</f>
        <v/>
      </c>
      <c r="H296" s="39" t="str">
        <f>IF($Z296="","",IF($Z296&lt;=2000,IF(INDEX(包装物料出入库明细!$L$4:$L$2003,$Z296-0)=0,"",INDEX(包装物料出入库明细!$L$4:$L$2003,$Z296-0)),IF($Z296&lt;=4000,N(INDEX(周转筐出入库明细!$H$4:$H$2004,$Z296-2000))+N(INDEX(周转筐出入库明细!$I$4:$I$2004,$Z296-2000))+N(INDEX(周转筐出入库明细!$J$4:$J$2004,$Z296-2000))+N(INDEX(周转筐出入库明细!$K$4:$K$2004,$Z296-2000)),IF($Z296&lt;=5200,N(INDEX(客户自备加工筐明细!$F$4:$F$1203,$Z296-4000))+N(INDEX(客户自备加工筐明细!$G$4:$G$1203,$Z296-4000)),IF($Z296&lt;=5800,IF(INDEX(次果筐明细!$G$4:$G$603,$Z296-5200)=0,"",INDEX(次果筐明细!$G$4:$G$603,$Z296-5200)),"")))))</f>
        <v/>
      </c>
      <c r="I296" s="24" t="str">
        <f>IF($Z296="","",IF($Z296&lt;=2000,IF(INDEX(包装物料出入库明细!$G$4:$G$2003,$Z296-0)=0,"",INDEX(包装物料出入库明细!$G$4:$G$2003,$Z296-0)),IF($Z296&lt;=4000,"个",IF($Z296&lt;=5200,"个",IF($Z296&lt;=5800,"个","")))))</f>
        <v/>
      </c>
      <c r="J296" s="30" t="str">
        <f t="shared" si="13"/>
        <v/>
      </c>
      <c r="K296" s="30" t="str">
        <f>IF($Z296="","",IF($Z296&lt;=2000,IF(INDEX(包装物料出入库明细!$N$4:$N$2003,$Z296-0)=0,"",INDEX(包装物料出入库明细!$N$4:$N$2003,$Z296-0)),IF($Z296&lt;=4000,IF(INDEX(周转筐出入库明细!$P$4:$P$2004,$Z296-2000)=0,"",INDEX(周转筐出入库明细!$P$4:$P$2004,$Z296-2000)),IF($Z296&lt;=5200,"",IF($Z296&lt;=5800,N(INDEX(次果筐明细!$L$4:$L$603,$Z296-5200))+N(INDEX(次果筐明细!$J$4:$J$603,$Z296-5200)),"")))))</f>
        <v/>
      </c>
      <c r="L296" s="24" t="str">
        <f>IF($Z296="","",IF($Z296&lt;=2000,IF(INDEX(包装物料出入库明细!$P$4:$P$2003,$Z296-0)=0,"",INDEX(包装物料出入库明细!$P$4:$P$2003,$Z296-0)),IF($Z296&lt;=4000,IF(INDEX(周转筐出入库明细!$Q$4:$Q$2004,$Z296-2000)=0,"",INDEX(周转筐出入库明细!$Q$4:$Q$2004,$Z296-2000)),IF($Z296&lt;=5200,"",IF($Z296&lt;=5800,IF(INDEX(次果筐明细!$M$4:$M$603,$Z296-5200)=0,"",INDEX(次果筐明细!$M$4:$M$603,$Z296-5200)),"")))))</f>
        <v/>
      </c>
      <c r="M296" s="37" t="str">
        <f>IF($Z296="","",IF($Z296&lt;=2000,IF(INDEX(包装物料出入库明细!$R$4:$R$2003,$Z296-0)=0,"",INDEX(包装物料出入库明细!$R$4:$R$2003,$Z296-0)),IF($Z296&lt;=4000,IF(INDEX(周转筐出入库明细!$W$4:$W$2004,$Z296-2000)=0,"",INDEX(周转筐出入库明细!$W$4:$W$2004,$Z296-2000)),IF($Z296&lt;=5200,IF(INDEX(客户自备加工筐明细!$L$4:$L$1203,$Z296-4000)=0,"",INDEX(客户自备加工筐明细!$L$4:$L$1203,$Z296-4000)),IF($Z296&lt;=5800,IF(INDEX(次果筐明细!$P$4:$P$603,$Z296-5200)=0,"",INDEX(次果筐明细!$P$4:$P$603,$Z296-5200)),"")))))</f>
        <v/>
      </c>
      <c r="N296" s="16" t="str">
        <f>IF($Z296="","",IF($Z296&lt;=2000,"",IF($Z296&lt;=4000,IF(INDEX(周转筐出入库明细!$D$4:$D$2004,$Z296-2000)=0,"",INDEX(周转筐出入库明细!$D$4:$D$2004,$Z296-2000)),IF($Z296&lt;=5200,IF(INDEX(客户自备加工筐明细!$C$4:$C$1203,$Z296-4000)=0,"",INDEX(客户自备加工筐明细!$C$4:$C$1203,$Z296-4000)),IF($Z296&lt;=5800,IF(INDEX(次果筐明细!$D$4:$D$603,$Z296-5200)=0,"",INDEX(次果筐明细!$D$4:$D$603,$Z296-5200)),"")))))</f>
        <v/>
      </c>
      <c r="O296" s="40" t="str">
        <f>IF($Z296="","",IF($Z296&lt;=2000,"",IF($Z296&lt;=4000,IF(N(INDEX(周转筐出入库明细!$J$4:$J$2004,$Z296-2000))+N(INDEX(周转筐出入库明细!$K$4:$K$2004,$Z296-2000))=0,"",N(INDEX(周转筐出入库明细!$J$4:$J$2004,$Z296-2000))+N(INDEX(周转筐出入库明细!$K$4:$K$2004,$Z296-2000))),IF($Z296&lt;=5200,IF(N(INDEX(客户自备加工筐明细!$G$4:$G$1203,$Z296-4000))=0,"",N(INDEX(客户自备加工筐明细!$G$4:$G$1203,$Z296-4000))),IF($Z296&lt;=5800,IF(ISNUMBER(SEARCH("退",INDEX(次果筐明细!$F$4:$F$603,$Z296-5200)&amp;"")),"",IF(N(INDEX(次果筐明细!$G$4:$G$603,$Z296-5200))=0,"",N(INDEX(次果筐明细!$G$4:$G$603,$Z296-5200)))),"")))))</f>
        <v/>
      </c>
      <c r="P296" s="40" t="str">
        <f>IF($Z296="","",IF($Z296&lt;=2000,"",IF($Z296&lt;=4000,IF(N(INDEX(周转筐出入库明细!$I$4:$I$2004,$Z296-2000))=0,"",N(INDEX(周转筐出入库明细!$I$4:$I$2004,$Z296-2000))),IF($Z296&lt;=5200,"",IF($Z296&lt;=5800,IF(ISNUMBER(SEARCH("退",INDEX(次果筐明细!$F$4:$F$603,$Z296-5200)&amp;"")),IF(N(INDEX(次果筐明细!$G$4:$G$603,$Z296-5200))=0,"",N(INDEX(次果筐明细!$G$4:$G$603,$Z296-5200))),""),"")))))</f>
        <v/>
      </c>
      <c r="Q296" s="40" t="str">
        <f>IF($Z296="","",IF($Z296&lt;=2000,"",IF($Z296&lt;=4000,IF(N(INDEX(周转筐出入库明细!$H$4:$H$2004,$Z296-2000))=0,"",N(INDEX(周转筐出入库明细!$H$4:$H$2004,$Z296-2000))),IF($Z296&lt;=5200,IF(N(INDEX(客户自备加工筐明细!$F$4:$F$1203,$Z296-4000))=0,"",N(INDEX(客户自备加工筐明细!$F$4:$F$1203,$Z296-4000))),IF($Z296&lt;=5800,"","")))))</f>
        <v/>
      </c>
      <c r="R296" s="16" t="str">
        <f>IF($Z296="","",IF($Z296&lt;=2000,IF(INDEX(包装物料出入库明细!$O$4:$O$2003,$Z296-0)=0,"",INDEX(包装物料出入库明细!$O$4:$O$2003,$Z296-0)),IF($Z296&lt;=4000,IF(INDEX(周转筐出入库明细!$M$4:$M$2004,$Z296-2000)=0,"",INDEX(周转筐出入库明细!$M$4:$M$2004,$Z296-2000)),IF($Z296&lt;=5200,IF(INDEX(客户自备加工筐明细!$H$4:$H$1203,$Z296-4000)=0,"",INDEX(客户自备加工筐明细!$H$4:$H$1203,$Z296-4000)),IF($Z296&lt;=5800,IF(INDEX(次果筐明细!$H$4:$H$603,$Z296-5200)=0,"",INDEX(次果筐明细!$H$4:$H$603,$Z296-5200)),"")))))</f>
        <v/>
      </c>
      <c r="S296" s="22" t="str">
        <f t="shared" si="14"/>
        <v/>
      </c>
      <c r="Z296" s="10" t="str">
        <f>IFERROR(MATCH(ROW()-3,_自动清单!$CQ$4:$CQ$5803,0),"")</f>
        <v/>
      </c>
    </row>
    <row r="297" spans="1:26">
      <c r="A297" s="24" t="str">
        <f t="shared" si="12"/>
        <v/>
      </c>
      <c r="B297" s="38" t="str">
        <f>IF($Z297="","",IF($Z297&lt;=2000,IF(INDEX(包装物料出入库明细!$B$4:$B$2003,$Z297-0)=0,"",INDEX(包装物料出入库明细!$B$4:$B$2003,$Z297-0)),IF($Z297&lt;=4000,IF(INDEX(周转筐出入库明细!$B$4:$B$2004,$Z297-2000)=0,"",INDEX(周转筐出入库明细!$B$4:$B$2004,$Z297-2000)),IF($Z297&lt;=5200,IF(INDEX(客户自备加工筐明细!$B$4:$B$1203,$Z297-4000)=0,"",INDEX(客户自备加工筐明细!$B$4:$B$1203,$Z297-4000)),IF($Z297&lt;=5800,IF(INDEX(次果筐明细!$B$4:$B$603,$Z297-5200)=0,"",INDEX(次果筐明细!$B$4:$B$603,$Z297-5200)),"")))))</f>
        <v/>
      </c>
      <c r="C297" s="37" t="str">
        <f>IF($Z297="","",IF($Z297&lt;=2000,IF(INDEX(包装物料出入库明细!$D$4:$D$2003,$Z297-0)=0,"",INDEX(包装物料出入库明细!$D$4:$D$2003,$Z297-0)),IF($Z297&lt;=4000,IF(INDEX(周转筐出入库明细!$C$4:$C$2004,$Z297-2000)=0,"",INDEX(周转筐出入库明细!$C$4:$C$2004,$Z297-2000)),IF($Z297&lt;=5200,IF(INDEX(客户自备加工筐明细!$E$4:$E$1203,$Z297-4000)=0,"",INDEX(客户自备加工筐明细!$E$4:$E$1203,$Z297-4000)),IF($Z297&lt;=5800,IF(INDEX(次果筐明细!$C$4:$C$603,$Z297-5200)=0,"",INDEX(次果筐明细!$C$4:$C$603,$Z297-5200)),"")))))</f>
        <v/>
      </c>
      <c r="D297" s="37" t="str">
        <f>IF($Z297="","",IF($Z297&lt;=2000,"包装物料－"&amp;INDEX(包装物料出入库明细!$H$4:$H$2003,$Z297-0),IF($Z297&lt;=4000,"周转筐－"&amp;INDEX(周转筐出入库明细!$F$4:$F$2004,$Z297-2000),IF($Z297&lt;=5200,"客户自备筐－"&amp;INDEX(客户自备加工筐明细!$J$4:$J$1203,$Z297-4000),IF($Z297&lt;=5800,"次果筐/托盘－"&amp;INDEX(次果筐明细!$F$4:$F$603,$Z297-5200),"")))))</f>
        <v/>
      </c>
      <c r="E297" s="24" t="str">
        <f>IF($Z297="","",IF($Z297&lt;=2000,IF(INDEX(包装物料出入库明细!$C$4:$C$2003,$Z297-0)=0,"",INDEX(包装物料出入库明细!$C$4:$C$2003,$Z297-0)),IF($Z297&lt;=4000,IF(INDEX(周转筐出入库明细!$E$4:$E$2004,$Z297-2000)=0,"",INDEX(周转筐出入库明细!$E$4:$E$2004,$Z297-2000)),IF($Z297&lt;=5200,IF(INDEX(客户自备加工筐明细!$D$4:$D$1203,$Z297-4000)=0,"",INDEX(客户自备加工筐明细!$D$4:$D$1203,$Z297-4000)),IF($Z297&lt;=5800,IF(INDEX(次果筐明细!$E$4:$E$603,$Z297-5200)=0,"",INDEX(次果筐明细!$E$4:$E$603,$Z297-5200)),"")))))</f>
        <v/>
      </c>
      <c r="F297" s="24" t="str">
        <f>IF($Z297="","",IF($Z297&lt;=2000,IF(INDEX(包装物料出入库明细!$E$4:$E$2003,$Z297-0)=0,"",INDEX(包装物料出入库明细!$E$4:$E$2003,$Z297-0)),IF($Z297&lt;=4000,IF(INDEX(周转筐出入库明细!$D$4:$D$2004,$Z297-2000)=0,"",INDEX(周转筐出入库明细!$D$4:$D$2004,$Z297-2000)),IF($Z297&lt;=5200,IF(INDEX(客户自备加工筐明细!$C$4:$C$1203,$Z297-4000)=0,"",INDEX(客户自备加工筐明细!$C$4:$C$1203,$Z297-4000)),IF($Z297&lt;=5800,IF(INDEX(次果筐明细!$D$4:$D$603,$Z297-5200)=0,"",INDEX(次果筐明细!$D$4:$D$603,$Z297-5200)),"")))))</f>
        <v/>
      </c>
      <c r="G297" s="24" t="str">
        <f>IF($Z297="","",IF($Z297&lt;=2000,IF(INDEX(包装物料出入库明细!$F$4:$F$2003,$Z297-0)=0,"",INDEX(包装物料出入库明细!$F$4:$F$2003,$Z297-0)),IF($Z297&lt;=4000,"",IF($Z297&lt;=5200,"",IF($Z297&lt;=5800,"","")))))</f>
        <v/>
      </c>
      <c r="H297" s="39" t="str">
        <f>IF($Z297="","",IF($Z297&lt;=2000,IF(INDEX(包装物料出入库明细!$L$4:$L$2003,$Z297-0)=0,"",INDEX(包装物料出入库明细!$L$4:$L$2003,$Z297-0)),IF($Z297&lt;=4000,N(INDEX(周转筐出入库明细!$H$4:$H$2004,$Z297-2000))+N(INDEX(周转筐出入库明细!$I$4:$I$2004,$Z297-2000))+N(INDEX(周转筐出入库明细!$J$4:$J$2004,$Z297-2000))+N(INDEX(周转筐出入库明细!$K$4:$K$2004,$Z297-2000)),IF($Z297&lt;=5200,N(INDEX(客户自备加工筐明细!$F$4:$F$1203,$Z297-4000))+N(INDEX(客户自备加工筐明细!$G$4:$G$1203,$Z297-4000)),IF($Z297&lt;=5800,IF(INDEX(次果筐明细!$G$4:$G$603,$Z297-5200)=0,"",INDEX(次果筐明细!$G$4:$G$603,$Z297-5200)),"")))))</f>
        <v/>
      </c>
      <c r="I297" s="24" t="str">
        <f>IF($Z297="","",IF($Z297&lt;=2000,IF(INDEX(包装物料出入库明细!$G$4:$G$2003,$Z297-0)=0,"",INDEX(包装物料出入库明细!$G$4:$G$2003,$Z297-0)),IF($Z297&lt;=4000,"个",IF($Z297&lt;=5200,"个",IF($Z297&lt;=5800,"个","")))))</f>
        <v/>
      </c>
      <c r="J297" s="30" t="str">
        <f t="shared" si="13"/>
        <v/>
      </c>
      <c r="K297" s="30" t="str">
        <f>IF($Z297="","",IF($Z297&lt;=2000,IF(INDEX(包装物料出入库明细!$N$4:$N$2003,$Z297-0)=0,"",INDEX(包装物料出入库明细!$N$4:$N$2003,$Z297-0)),IF($Z297&lt;=4000,IF(INDEX(周转筐出入库明细!$P$4:$P$2004,$Z297-2000)=0,"",INDEX(周转筐出入库明细!$P$4:$P$2004,$Z297-2000)),IF($Z297&lt;=5200,"",IF($Z297&lt;=5800,N(INDEX(次果筐明细!$L$4:$L$603,$Z297-5200))+N(INDEX(次果筐明细!$J$4:$J$603,$Z297-5200)),"")))))</f>
        <v/>
      </c>
      <c r="L297" s="24" t="str">
        <f>IF($Z297="","",IF($Z297&lt;=2000,IF(INDEX(包装物料出入库明细!$P$4:$P$2003,$Z297-0)=0,"",INDEX(包装物料出入库明细!$P$4:$P$2003,$Z297-0)),IF($Z297&lt;=4000,IF(INDEX(周转筐出入库明细!$Q$4:$Q$2004,$Z297-2000)=0,"",INDEX(周转筐出入库明细!$Q$4:$Q$2004,$Z297-2000)),IF($Z297&lt;=5200,"",IF($Z297&lt;=5800,IF(INDEX(次果筐明细!$M$4:$M$603,$Z297-5200)=0,"",INDEX(次果筐明细!$M$4:$M$603,$Z297-5200)),"")))))</f>
        <v/>
      </c>
      <c r="M297" s="37" t="str">
        <f>IF($Z297="","",IF($Z297&lt;=2000,IF(INDEX(包装物料出入库明细!$R$4:$R$2003,$Z297-0)=0,"",INDEX(包装物料出入库明细!$R$4:$R$2003,$Z297-0)),IF($Z297&lt;=4000,IF(INDEX(周转筐出入库明细!$W$4:$W$2004,$Z297-2000)=0,"",INDEX(周转筐出入库明细!$W$4:$W$2004,$Z297-2000)),IF($Z297&lt;=5200,IF(INDEX(客户自备加工筐明细!$L$4:$L$1203,$Z297-4000)=0,"",INDEX(客户自备加工筐明细!$L$4:$L$1203,$Z297-4000)),IF($Z297&lt;=5800,IF(INDEX(次果筐明细!$P$4:$P$603,$Z297-5200)=0,"",INDEX(次果筐明细!$P$4:$P$603,$Z297-5200)),"")))))</f>
        <v/>
      </c>
      <c r="N297" s="16" t="str">
        <f>IF($Z297="","",IF($Z297&lt;=2000,"",IF($Z297&lt;=4000,IF(INDEX(周转筐出入库明细!$D$4:$D$2004,$Z297-2000)=0,"",INDEX(周转筐出入库明细!$D$4:$D$2004,$Z297-2000)),IF($Z297&lt;=5200,IF(INDEX(客户自备加工筐明细!$C$4:$C$1203,$Z297-4000)=0,"",INDEX(客户自备加工筐明细!$C$4:$C$1203,$Z297-4000)),IF($Z297&lt;=5800,IF(INDEX(次果筐明细!$D$4:$D$603,$Z297-5200)=0,"",INDEX(次果筐明细!$D$4:$D$603,$Z297-5200)),"")))))</f>
        <v/>
      </c>
      <c r="O297" s="40" t="str">
        <f>IF($Z297="","",IF($Z297&lt;=2000,"",IF($Z297&lt;=4000,IF(N(INDEX(周转筐出入库明细!$J$4:$J$2004,$Z297-2000))+N(INDEX(周转筐出入库明细!$K$4:$K$2004,$Z297-2000))=0,"",N(INDEX(周转筐出入库明细!$J$4:$J$2004,$Z297-2000))+N(INDEX(周转筐出入库明细!$K$4:$K$2004,$Z297-2000))),IF($Z297&lt;=5200,IF(N(INDEX(客户自备加工筐明细!$G$4:$G$1203,$Z297-4000))=0,"",N(INDEX(客户自备加工筐明细!$G$4:$G$1203,$Z297-4000))),IF($Z297&lt;=5800,IF(ISNUMBER(SEARCH("退",INDEX(次果筐明细!$F$4:$F$603,$Z297-5200)&amp;"")),"",IF(N(INDEX(次果筐明细!$G$4:$G$603,$Z297-5200))=0,"",N(INDEX(次果筐明细!$G$4:$G$603,$Z297-5200)))),"")))))</f>
        <v/>
      </c>
      <c r="P297" s="40" t="str">
        <f>IF($Z297="","",IF($Z297&lt;=2000,"",IF($Z297&lt;=4000,IF(N(INDEX(周转筐出入库明细!$I$4:$I$2004,$Z297-2000))=0,"",N(INDEX(周转筐出入库明细!$I$4:$I$2004,$Z297-2000))),IF($Z297&lt;=5200,"",IF($Z297&lt;=5800,IF(ISNUMBER(SEARCH("退",INDEX(次果筐明细!$F$4:$F$603,$Z297-5200)&amp;"")),IF(N(INDEX(次果筐明细!$G$4:$G$603,$Z297-5200))=0,"",N(INDEX(次果筐明细!$G$4:$G$603,$Z297-5200))),""),"")))))</f>
        <v/>
      </c>
      <c r="Q297" s="40" t="str">
        <f>IF($Z297="","",IF($Z297&lt;=2000,"",IF($Z297&lt;=4000,IF(N(INDEX(周转筐出入库明细!$H$4:$H$2004,$Z297-2000))=0,"",N(INDEX(周转筐出入库明细!$H$4:$H$2004,$Z297-2000))),IF($Z297&lt;=5200,IF(N(INDEX(客户自备加工筐明细!$F$4:$F$1203,$Z297-4000))=0,"",N(INDEX(客户自备加工筐明细!$F$4:$F$1203,$Z297-4000))),IF($Z297&lt;=5800,"","")))))</f>
        <v/>
      </c>
      <c r="R297" s="16" t="str">
        <f>IF($Z297="","",IF($Z297&lt;=2000,IF(INDEX(包装物料出入库明细!$O$4:$O$2003,$Z297-0)=0,"",INDEX(包装物料出入库明细!$O$4:$O$2003,$Z297-0)),IF($Z297&lt;=4000,IF(INDEX(周转筐出入库明细!$M$4:$M$2004,$Z297-2000)=0,"",INDEX(周转筐出入库明细!$M$4:$M$2004,$Z297-2000)),IF($Z297&lt;=5200,IF(INDEX(客户自备加工筐明细!$H$4:$H$1203,$Z297-4000)=0,"",INDEX(客户自备加工筐明细!$H$4:$H$1203,$Z297-4000)),IF($Z297&lt;=5800,IF(INDEX(次果筐明细!$H$4:$H$603,$Z297-5200)=0,"",INDEX(次果筐明细!$H$4:$H$603,$Z297-5200)),"")))))</f>
        <v/>
      </c>
      <c r="S297" s="22" t="str">
        <f t="shared" si="14"/>
        <v/>
      </c>
      <c r="Z297" s="10" t="str">
        <f>IFERROR(MATCH(ROW()-3,_自动清单!$CQ$4:$CQ$5803,0),"")</f>
        <v/>
      </c>
    </row>
    <row r="298" spans="1:26">
      <c r="A298" s="24" t="str">
        <f t="shared" si="12"/>
        <v/>
      </c>
      <c r="B298" s="38" t="str">
        <f>IF($Z298="","",IF($Z298&lt;=2000,IF(INDEX(包装物料出入库明细!$B$4:$B$2003,$Z298-0)=0,"",INDEX(包装物料出入库明细!$B$4:$B$2003,$Z298-0)),IF($Z298&lt;=4000,IF(INDEX(周转筐出入库明细!$B$4:$B$2004,$Z298-2000)=0,"",INDEX(周转筐出入库明细!$B$4:$B$2004,$Z298-2000)),IF($Z298&lt;=5200,IF(INDEX(客户自备加工筐明细!$B$4:$B$1203,$Z298-4000)=0,"",INDEX(客户自备加工筐明细!$B$4:$B$1203,$Z298-4000)),IF($Z298&lt;=5800,IF(INDEX(次果筐明细!$B$4:$B$603,$Z298-5200)=0,"",INDEX(次果筐明细!$B$4:$B$603,$Z298-5200)),"")))))</f>
        <v/>
      </c>
      <c r="C298" s="37" t="str">
        <f>IF($Z298="","",IF($Z298&lt;=2000,IF(INDEX(包装物料出入库明细!$D$4:$D$2003,$Z298-0)=0,"",INDEX(包装物料出入库明细!$D$4:$D$2003,$Z298-0)),IF($Z298&lt;=4000,IF(INDEX(周转筐出入库明细!$C$4:$C$2004,$Z298-2000)=0,"",INDEX(周转筐出入库明细!$C$4:$C$2004,$Z298-2000)),IF($Z298&lt;=5200,IF(INDEX(客户自备加工筐明细!$E$4:$E$1203,$Z298-4000)=0,"",INDEX(客户自备加工筐明细!$E$4:$E$1203,$Z298-4000)),IF($Z298&lt;=5800,IF(INDEX(次果筐明细!$C$4:$C$603,$Z298-5200)=0,"",INDEX(次果筐明细!$C$4:$C$603,$Z298-5200)),"")))))</f>
        <v/>
      </c>
      <c r="D298" s="37" t="str">
        <f>IF($Z298="","",IF($Z298&lt;=2000,"包装物料－"&amp;INDEX(包装物料出入库明细!$H$4:$H$2003,$Z298-0),IF($Z298&lt;=4000,"周转筐－"&amp;INDEX(周转筐出入库明细!$F$4:$F$2004,$Z298-2000),IF($Z298&lt;=5200,"客户自备筐－"&amp;INDEX(客户自备加工筐明细!$J$4:$J$1203,$Z298-4000),IF($Z298&lt;=5800,"次果筐/托盘－"&amp;INDEX(次果筐明细!$F$4:$F$603,$Z298-5200),"")))))</f>
        <v/>
      </c>
      <c r="E298" s="24" t="str">
        <f>IF($Z298="","",IF($Z298&lt;=2000,IF(INDEX(包装物料出入库明细!$C$4:$C$2003,$Z298-0)=0,"",INDEX(包装物料出入库明细!$C$4:$C$2003,$Z298-0)),IF($Z298&lt;=4000,IF(INDEX(周转筐出入库明细!$E$4:$E$2004,$Z298-2000)=0,"",INDEX(周转筐出入库明细!$E$4:$E$2004,$Z298-2000)),IF($Z298&lt;=5200,IF(INDEX(客户自备加工筐明细!$D$4:$D$1203,$Z298-4000)=0,"",INDEX(客户自备加工筐明细!$D$4:$D$1203,$Z298-4000)),IF($Z298&lt;=5800,IF(INDEX(次果筐明细!$E$4:$E$603,$Z298-5200)=0,"",INDEX(次果筐明细!$E$4:$E$603,$Z298-5200)),"")))))</f>
        <v/>
      </c>
      <c r="F298" s="24" t="str">
        <f>IF($Z298="","",IF($Z298&lt;=2000,IF(INDEX(包装物料出入库明细!$E$4:$E$2003,$Z298-0)=0,"",INDEX(包装物料出入库明细!$E$4:$E$2003,$Z298-0)),IF($Z298&lt;=4000,IF(INDEX(周转筐出入库明细!$D$4:$D$2004,$Z298-2000)=0,"",INDEX(周转筐出入库明细!$D$4:$D$2004,$Z298-2000)),IF($Z298&lt;=5200,IF(INDEX(客户自备加工筐明细!$C$4:$C$1203,$Z298-4000)=0,"",INDEX(客户自备加工筐明细!$C$4:$C$1203,$Z298-4000)),IF($Z298&lt;=5800,IF(INDEX(次果筐明细!$D$4:$D$603,$Z298-5200)=0,"",INDEX(次果筐明细!$D$4:$D$603,$Z298-5200)),"")))))</f>
        <v/>
      </c>
      <c r="G298" s="24" t="str">
        <f>IF($Z298="","",IF($Z298&lt;=2000,IF(INDEX(包装物料出入库明细!$F$4:$F$2003,$Z298-0)=0,"",INDEX(包装物料出入库明细!$F$4:$F$2003,$Z298-0)),IF($Z298&lt;=4000,"",IF($Z298&lt;=5200,"",IF($Z298&lt;=5800,"","")))))</f>
        <v/>
      </c>
      <c r="H298" s="39" t="str">
        <f>IF($Z298="","",IF($Z298&lt;=2000,IF(INDEX(包装物料出入库明细!$L$4:$L$2003,$Z298-0)=0,"",INDEX(包装物料出入库明细!$L$4:$L$2003,$Z298-0)),IF($Z298&lt;=4000,N(INDEX(周转筐出入库明细!$H$4:$H$2004,$Z298-2000))+N(INDEX(周转筐出入库明细!$I$4:$I$2004,$Z298-2000))+N(INDEX(周转筐出入库明细!$J$4:$J$2004,$Z298-2000))+N(INDEX(周转筐出入库明细!$K$4:$K$2004,$Z298-2000)),IF($Z298&lt;=5200,N(INDEX(客户自备加工筐明细!$F$4:$F$1203,$Z298-4000))+N(INDEX(客户自备加工筐明细!$G$4:$G$1203,$Z298-4000)),IF($Z298&lt;=5800,IF(INDEX(次果筐明细!$G$4:$G$603,$Z298-5200)=0,"",INDEX(次果筐明细!$G$4:$G$603,$Z298-5200)),"")))))</f>
        <v/>
      </c>
      <c r="I298" s="24" t="str">
        <f>IF($Z298="","",IF($Z298&lt;=2000,IF(INDEX(包装物料出入库明细!$G$4:$G$2003,$Z298-0)=0,"",INDEX(包装物料出入库明细!$G$4:$G$2003,$Z298-0)),IF($Z298&lt;=4000,"个",IF($Z298&lt;=5200,"个",IF($Z298&lt;=5800,"个","")))))</f>
        <v/>
      </c>
      <c r="J298" s="30" t="str">
        <f t="shared" si="13"/>
        <v/>
      </c>
      <c r="K298" s="30" t="str">
        <f>IF($Z298="","",IF($Z298&lt;=2000,IF(INDEX(包装物料出入库明细!$N$4:$N$2003,$Z298-0)=0,"",INDEX(包装物料出入库明细!$N$4:$N$2003,$Z298-0)),IF($Z298&lt;=4000,IF(INDEX(周转筐出入库明细!$P$4:$P$2004,$Z298-2000)=0,"",INDEX(周转筐出入库明细!$P$4:$P$2004,$Z298-2000)),IF($Z298&lt;=5200,"",IF($Z298&lt;=5800,N(INDEX(次果筐明细!$L$4:$L$603,$Z298-5200))+N(INDEX(次果筐明细!$J$4:$J$603,$Z298-5200)),"")))))</f>
        <v/>
      </c>
      <c r="L298" s="24" t="str">
        <f>IF($Z298="","",IF($Z298&lt;=2000,IF(INDEX(包装物料出入库明细!$P$4:$P$2003,$Z298-0)=0,"",INDEX(包装物料出入库明细!$P$4:$P$2003,$Z298-0)),IF($Z298&lt;=4000,IF(INDEX(周转筐出入库明细!$Q$4:$Q$2004,$Z298-2000)=0,"",INDEX(周转筐出入库明细!$Q$4:$Q$2004,$Z298-2000)),IF($Z298&lt;=5200,"",IF($Z298&lt;=5800,IF(INDEX(次果筐明细!$M$4:$M$603,$Z298-5200)=0,"",INDEX(次果筐明细!$M$4:$M$603,$Z298-5200)),"")))))</f>
        <v/>
      </c>
      <c r="M298" s="37" t="str">
        <f>IF($Z298="","",IF($Z298&lt;=2000,IF(INDEX(包装物料出入库明细!$R$4:$R$2003,$Z298-0)=0,"",INDEX(包装物料出入库明细!$R$4:$R$2003,$Z298-0)),IF($Z298&lt;=4000,IF(INDEX(周转筐出入库明细!$W$4:$W$2004,$Z298-2000)=0,"",INDEX(周转筐出入库明细!$W$4:$W$2004,$Z298-2000)),IF($Z298&lt;=5200,IF(INDEX(客户自备加工筐明细!$L$4:$L$1203,$Z298-4000)=0,"",INDEX(客户自备加工筐明细!$L$4:$L$1203,$Z298-4000)),IF($Z298&lt;=5800,IF(INDEX(次果筐明细!$P$4:$P$603,$Z298-5200)=0,"",INDEX(次果筐明细!$P$4:$P$603,$Z298-5200)),"")))))</f>
        <v/>
      </c>
      <c r="N298" s="16" t="str">
        <f>IF($Z298="","",IF($Z298&lt;=2000,"",IF($Z298&lt;=4000,IF(INDEX(周转筐出入库明细!$D$4:$D$2004,$Z298-2000)=0,"",INDEX(周转筐出入库明细!$D$4:$D$2004,$Z298-2000)),IF($Z298&lt;=5200,IF(INDEX(客户自备加工筐明细!$C$4:$C$1203,$Z298-4000)=0,"",INDEX(客户自备加工筐明细!$C$4:$C$1203,$Z298-4000)),IF($Z298&lt;=5800,IF(INDEX(次果筐明细!$D$4:$D$603,$Z298-5200)=0,"",INDEX(次果筐明细!$D$4:$D$603,$Z298-5200)),"")))))</f>
        <v/>
      </c>
      <c r="O298" s="40" t="str">
        <f>IF($Z298="","",IF($Z298&lt;=2000,"",IF($Z298&lt;=4000,IF(N(INDEX(周转筐出入库明细!$J$4:$J$2004,$Z298-2000))+N(INDEX(周转筐出入库明细!$K$4:$K$2004,$Z298-2000))=0,"",N(INDEX(周转筐出入库明细!$J$4:$J$2004,$Z298-2000))+N(INDEX(周转筐出入库明细!$K$4:$K$2004,$Z298-2000))),IF($Z298&lt;=5200,IF(N(INDEX(客户自备加工筐明细!$G$4:$G$1203,$Z298-4000))=0,"",N(INDEX(客户自备加工筐明细!$G$4:$G$1203,$Z298-4000))),IF($Z298&lt;=5800,IF(ISNUMBER(SEARCH("退",INDEX(次果筐明细!$F$4:$F$603,$Z298-5200)&amp;"")),"",IF(N(INDEX(次果筐明细!$G$4:$G$603,$Z298-5200))=0,"",N(INDEX(次果筐明细!$G$4:$G$603,$Z298-5200)))),"")))))</f>
        <v/>
      </c>
      <c r="P298" s="40" t="str">
        <f>IF($Z298="","",IF($Z298&lt;=2000,"",IF($Z298&lt;=4000,IF(N(INDEX(周转筐出入库明细!$I$4:$I$2004,$Z298-2000))=0,"",N(INDEX(周转筐出入库明细!$I$4:$I$2004,$Z298-2000))),IF($Z298&lt;=5200,"",IF($Z298&lt;=5800,IF(ISNUMBER(SEARCH("退",INDEX(次果筐明细!$F$4:$F$603,$Z298-5200)&amp;"")),IF(N(INDEX(次果筐明细!$G$4:$G$603,$Z298-5200))=0,"",N(INDEX(次果筐明细!$G$4:$G$603,$Z298-5200))),""),"")))))</f>
        <v/>
      </c>
      <c r="Q298" s="40" t="str">
        <f>IF($Z298="","",IF($Z298&lt;=2000,"",IF($Z298&lt;=4000,IF(N(INDEX(周转筐出入库明细!$H$4:$H$2004,$Z298-2000))=0,"",N(INDEX(周转筐出入库明细!$H$4:$H$2004,$Z298-2000))),IF($Z298&lt;=5200,IF(N(INDEX(客户自备加工筐明细!$F$4:$F$1203,$Z298-4000))=0,"",N(INDEX(客户自备加工筐明细!$F$4:$F$1203,$Z298-4000))),IF($Z298&lt;=5800,"","")))))</f>
        <v/>
      </c>
      <c r="R298" s="16" t="str">
        <f>IF($Z298="","",IF($Z298&lt;=2000,IF(INDEX(包装物料出入库明细!$O$4:$O$2003,$Z298-0)=0,"",INDEX(包装物料出入库明细!$O$4:$O$2003,$Z298-0)),IF($Z298&lt;=4000,IF(INDEX(周转筐出入库明细!$M$4:$M$2004,$Z298-2000)=0,"",INDEX(周转筐出入库明细!$M$4:$M$2004,$Z298-2000)),IF($Z298&lt;=5200,IF(INDEX(客户自备加工筐明细!$H$4:$H$1203,$Z298-4000)=0,"",INDEX(客户自备加工筐明细!$H$4:$H$1203,$Z298-4000)),IF($Z298&lt;=5800,IF(INDEX(次果筐明细!$H$4:$H$603,$Z298-5200)=0,"",INDEX(次果筐明细!$H$4:$H$603,$Z298-5200)),"")))))</f>
        <v/>
      </c>
      <c r="S298" s="22" t="str">
        <f t="shared" si="14"/>
        <v/>
      </c>
      <c r="Z298" s="10" t="str">
        <f>IFERROR(MATCH(ROW()-3,_自动清单!$CQ$4:$CQ$5803,0),"")</f>
        <v/>
      </c>
    </row>
    <row r="299" spans="1:26">
      <c r="A299" s="24" t="str">
        <f t="shared" si="12"/>
        <v/>
      </c>
      <c r="B299" s="38" t="str">
        <f>IF($Z299="","",IF($Z299&lt;=2000,IF(INDEX(包装物料出入库明细!$B$4:$B$2003,$Z299-0)=0,"",INDEX(包装物料出入库明细!$B$4:$B$2003,$Z299-0)),IF($Z299&lt;=4000,IF(INDEX(周转筐出入库明细!$B$4:$B$2004,$Z299-2000)=0,"",INDEX(周转筐出入库明细!$B$4:$B$2004,$Z299-2000)),IF($Z299&lt;=5200,IF(INDEX(客户自备加工筐明细!$B$4:$B$1203,$Z299-4000)=0,"",INDEX(客户自备加工筐明细!$B$4:$B$1203,$Z299-4000)),IF($Z299&lt;=5800,IF(INDEX(次果筐明细!$B$4:$B$603,$Z299-5200)=0,"",INDEX(次果筐明细!$B$4:$B$603,$Z299-5200)),"")))))</f>
        <v/>
      </c>
      <c r="C299" s="37" t="str">
        <f>IF($Z299="","",IF($Z299&lt;=2000,IF(INDEX(包装物料出入库明细!$D$4:$D$2003,$Z299-0)=0,"",INDEX(包装物料出入库明细!$D$4:$D$2003,$Z299-0)),IF($Z299&lt;=4000,IF(INDEX(周转筐出入库明细!$C$4:$C$2004,$Z299-2000)=0,"",INDEX(周转筐出入库明细!$C$4:$C$2004,$Z299-2000)),IF($Z299&lt;=5200,IF(INDEX(客户自备加工筐明细!$E$4:$E$1203,$Z299-4000)=0,"",INDEX(客户自备加工筐明细!$E$4:$E$1203,$Z299-4000)),IF($Z299&lt;=5800,IF(INDEX(次果筐明细!$C$4:$C$603,$Z299-5200)=0,"",INDEX(次果筐明细!$C$4:$C$603,$Z299-5200)),"")))))</f>
        <v/>
      </c>
      <c r="D299" s="37" t="str">
        <f>IF($Z299="","",IF($Z299&lt;=2000,"包装物料－"&amp;INDEX(包装物料出入库明细!$H$4:$H$2003,$Z299-0),IF($Z299&lt;=4000,"周转筐－"&amp;INDEX(周转筐出入库明细!$F$4:$F$2004,$Z299-2000),IF($Z299&lt;=5200,"客户自备筐－"&amp;INDEX(客户自备加工筐明细!$J$4:$J$1203,$Z299-4000),IF($Z299&lt;=5800,"次果筐/托盘－"&amp;INDEX(次果筐明细!$F$4:$F$603,$Z299-5200),"")))))</f>
        <v/>
      </c>
      <c r="E299" s="24" t="str">
        <f>IF($Z299="","",IF($Z299&lt;=2000,IF(INDEX(包装物料出入库明细!$C$4:$C$2003,$Z299-0)=0,"",INDEX(包装物料出入库明细!$C$4:$C$2003,$Z299-0)),IF($Z299&lt;=4000,IF(INDEX(周转筐出入库明细!$E$4:$E$2004,$Z299-2000)=0,"",INDEX(周转筐出入库明细!$E$4:$E$2004,$Z299-2000)),IF($Z299&lt;=5200,IF(INDEX(客户自备加工筐明细!$D$4:$D$1203,$Z299-4000)=0,"",INDEX(客户自备加工筐明细!$D$4:$D$1203,$Z299-4000)),IF($Z299&lt;=5800,IF(INDEX(次果筐明细!$E$4:$E$603,$Z299-5200)=0,"",INDEX(次果筐明细!$E$4:$E$603,$Z299-5200)),"")))))</f>
        <v/>
      </c>
      <c r="F299" s="24" t="str">
        <f>IF($Z299="","",IF($Z299&lt;=2000,IF(INDEX(包装物料出入库明细!$E$4:$E$2003,$Z299-0)=0,"",INDEX(包装物料出入库明细!$E$4:$E$2003,$Z299-0)),IF($Z299&lt;=4000,IF(INDEX(周转筐出入库明细!$D$4:$D$2004,$Z299-2000)=0,"",INDEX(周转筐出入库明细!$D$4:$D$2004,$Z299-2000)),IF($Z299&lt;=5200,IF(INDEX(客户自备加工筐明细!$C$4:$C$1203,$Z299-4000)=0,"",INDEX(客户自备加工筐明细!$C$4:$C$1203,$Z299-4000)),IF($Z299&lt;=5800,IF(INDEX(次果筐明细!$D$4:$D$603,$Z299-5200)=0,"",INDEX(次果筐明细!$D$4:$D$603,$Z299-5200)),"")))))</f>
        <v/>
      </c>
      <c r="G299" s="24" t="str">
        <f>IF($Z299="","",IF($Z299&lt;=2000,IF(INDEX(包装物料出入库明细!$F$4:$F$2003,$Z299-0)=0,"",INDEX(包装物料出入库明细!$F$4:$F$2003,$Z299-0)),IF($Z299&lt;=4000,"",IF($Z299&lt;=5200,"",IF($Z299&lt;=5800,"","")))))</f>
        <v/>
      </c>
      <c r="H299" s="39" t="str">
        <f>IF($Z299="","",IF($Z299&lt;=2000,IF(INDEX(包装物料出入库明细!$L$4:$L$2003,$Z299-0)=0,"",INDEX(包装物料出入库明细!$L$4:$L$2003,$Z299-0)),IF($Z299&lt;=4000,N(INDEX(周转筐出入库明细!$H$4:$H$2004,$Z299-2000))+N(INDEX(周转筐出入库明细!$I$4:$I$2004,$Z299-2000))+N(INDEX(周转筐出入库明细!$J$4:$J$2004,$Z299-2000))+N(INDEX(周转筐出入库明细!$K$4:$K$2004,$Z299-2000)),IF($Z299&lt;=5200,N(INDEX(客户自备加工筐明细!$F$4:$F$1203,$Z299-4000))+N(INDEX(客户自备加工筐明细!$G$4:$G$1203,$Z299-4000)),IF($Z299&lt;=5800,IF(INDEX(次果筐明细!$G$4:$G$603,$Z299-5200)=0,"",INDEX(次果筐明细!$G$4:$G$603,$Z299-5200)),"")))))</f>
        <v/>
      </c>
      <c r="I299" s="24" t="str">
        <f>IF($Z299="","",IF($Z299&lt;=2000,IF(INDEX(包装物料出入库明细!$G$4:$G$2003,$Z299-0)=0,"",INDEX(包装物料出入库明细!$G$4:$G$2003,$Z299-0)),IF($Z299&lt;=4000,"个",IF($Z299&lt;=5200,"个",IF($Z299&lt;=5800,"个","")))))</f>
        <v/>
      </c>
      <c r="J299" s="30" t="str">
        <f t="shared" si="13"/>
        <v/>
      </c>
      <c r="K299" s="30" t="str">
        <f>IF($Z299="","",IF($Z299&lt;=2000,IF(INDEX(包装物料出入库明细!$N$4:$N$2003,$Z299-0)=0,"",INDEX(包装物料出入库明细!$N$4:$N$2003,$Z299-0)),IF($Z299&lt;=4000,IF(INDEX(周转筐出入库明细!$P$4:$P$2004,$Z299-2000)=0,"",INDEX(周转筐出入库明细!$P$4:$P$2004,$Z299-2000)),IF($Z299&lt;=5200,"",IF($Z299&lt;=5800,N(INDEX(次果筐明细!$L$4:$L$603,$Z299-5200))+N(INDEX(次果筐明细!$J$4:$J$603,$Z299-5200)),"")))))</f>
        <v/>
      </c>
      <c r="L299" s="24" t="str">
        <f>IF($Z299="","",IF($Z299&lt;=2000,IF(INDEX(包装物料出入库明细!$P$4:$P$2003,$Z299-0)=0,"",INDEX(包装物料出入库明细!$P$4:$P$2003,$Z299-0)),IF($Z299&lt;=4000,IF(INDEX(周转筐出入库明细!$Q$4:$Q$2004,$Z299-2000)=0,"",INDEX(周转筐出入库明细!$Q$4:$Q$2004,$Z299-2000)),IF($Z299&lt;=5200,"",IF($Z299&lt;=5800,IF(INDEX(次果筐明细!$M$4:$M$603,$Z299-5200)=0,"",INDEX(次果筐明细!$M$4:$M$603,$Z299-5200)),"")))))</f>
        <v/>
      </c>
      <c r="M299" s="37" t="str">
        <f>IF($Z299="","",IF($Z299&lt;=2000,IF(INDEX(包装物料出入库明细!$R$4:$R$2003,$Z299-0)=0,"",INDEX(包装物料出入库明细!$R$4:$R$2003,$Z299-0)),IF($Z299&lt;=4000,IF(INDEX(周转筐出入库明细!$W$4:$W$2004,$Z299-2000)=0,"",INDEX(周转筐出入库明细!$W$4:$W$2004,$Z299-2000)),IF($Z299&lt;=5200,IF(INDEX(客户自备加工筐明细!$L$4:$L$1203,$Z299-4000)=0,"",INDEX(客户自备加工筐明细!$L$4:$L$1203,$Z299-4000)),IF($Z299&lt;=5800,IF(INDEX(次果筐明细!$P$4:$P$603,$Z299-5200)=0,"",INDEX(次果筐明细!$P$4:$P$603,$Z299-5200)),"")))))</f>
        <v/>
      </c>
      <c r="N299" s="16" t="str">
        <f>IF($Z299="","",IF($Z299&lt;=2000,"",IF($Z299&lt;=4000,IF(INDEX(周转筐出入库明细!$D$4:$D$2004,$Z299-2000)=0,"",INDEX(周转筐出入库明细!$D$4:$D$2004,$Z299-2000)),IF($Z299&lt;=5200,IF(INDEX(客户自备加工筐明细!$C$4:$C$1203,$Z299-4000)=0,"",INDEX(客户自备加工筐明细!$C$4:$C$1203,$Z299-4000)),IF($Z299&lt;=5800,IF(INDEX(次果筐明细!$D$4:$D$603,$Z299-5200)=0,"",INDEX(次果筐明细!$D$4:$D$603,$Z299-5200)),"")))))</f>
        <v/>
      </c>
      <c r="O299" s="40" t="str">
        <f>IF($Z299="","",IF($Z299&lt;=2000,"",IF($Z299&lt;=4000,IF(N(INDEX(周转筐出入库明细!$J$4:$J$2004,$Z299-2000))+N(INDEX(周转筐出入库明细!$K$4:$K$2004,$Z299-2000))=0,"",N(INDEX(周转筐出入库明细!$J$4:$J$2004,$Z299-2000))+N(INDEX(周转筐出入库明细!$K$4:$K$2004,$Z299-2000))),IF($Z299&lt;=5200,IF(N(INDEX(客户自备加工筐明细!$G$4:$G$1203,$Z299-4000))=0,"",N(INDEX(客户自备加工筐明细!$G$4:$G$1203,$Z299-4000))),IF($Z299&lt;=5800,IF(ISNUMBER(SEARCH("退",INDEX(次果筐明细!$F$4:$F$603,$Z299-5200)&amp;"")),"",IF(N(INDEX(次果筐明细!$G$4:$G$603,$Z299-5200))=0,"",N(INDEX(次果筐明细!$G$4:$G$603,$Z299-5200)))),"")))))</f>
        <v/>
      </c>
      <c r="P299" s="40" t="str">
        <f>IF($Z299="","",IF($Z299&lt;=2000,"",IF($Z299&lt;=4000,IF(N(INDEX(周转筐出入库明细!$I$4:$I$2004,$Z299-2000))=0,"",N(INDEX(周转筐出入库明细!$I$4:$I$2004,$Z299-2000))),IF($Z299&lt;=5200,"",IF($Z299&lt;=5800,IF(ISNUMBER(SEARCH("退",INDEX(次果筐明细!$F$4:$F$603,$Z299-5200)&amp;"")),IF(N(INDEX(次果筐明细!$G$4:$G$603,$Z299-5200))=0,"",N(INDEX(次果筐明细!$G$4:$G$603,$Z299-5200))),""),"")))))</f>
        <v/>
      </c>
      <c r="Q299" s="40" t="str">
        <f>IF($Z299="","",IF($Z299&lt;=2000,"",IF($Z299&lt;=4000,IF(N(INDEX(周转筐出入库明细!$H$4:$H$2004,$Z299-2000))=0,"",N(INDEX(周转筐出入库明细!$H$4:$H$2004,$Z299-2000))),IF($Z299&lt;=5200,IF(N(INDEX(客户自备加工筐明细!$F$4:$F$1203,$Z299-4000))=0,"",N(INDEX(客户自备加工筐明细!$F$4:$F$1203,$Z299-4000))),IF($Z299&lt;=5800,"","")))))</f>
        <v/>
      </c>
      <c r="R299" s="16" t="str">
        <f>IF($Z299="","",IF($Z299&lt;=2000,IF(INDEX(包装物料出入库明细!$O$4:$O$2003,$Z299-0)=0,"",INDEX(包装物料出入库明细!$O$4:$O$2003,$Z299-0)),IF($Z299&lt;=4000,IF(INDEX(周转筐出入库明细!$M$4:$M$2004,$Z299-2000)=0,"",INDEX(周转筐出入库明细!$M$4:$M$2004,$Z299-2000)),IF($Z299&lt;=5200,IF(INDEX(客户自备加工筐明细!$H$4:$H$1203,$Z299-4000)=0,"",INDEX(客户自备加工筐明细!$H$4:$H$1203,$Z299-4000)),IF($Z299&lt;=5800,IF(INDEX(次果筐明细!$H$4:$H$603,$Z299-5200)=0,"",INDEX(次果筐明细!$H$4:$H$603,$Z299-5200)),"")))))</f>
        <v/>
      </c>
      <c r="S299" s="22" t="str">
        <f t="shared" si="14"/>
        <v/>
      </c>
      <c r="Z299" s="10" t="str">
        <f>IFERROR(MATCH(ROW()-3,_自动清单!$CQ$4:$CQ$5803,0),"")</f>
        <v/>
      </c>
    </row>
    <row r="300" spans="1:26">
      <c r="A300" s="24" t="str">
        <f t="shared" si="12"/>
        <v/>
      </c>
      <c r="B300" s="38" t="str">
        <f>IF($Z300="","",IF($Z300&lt;=2000,IF(INDEX(包装物料出入库明细!$B$4:$B$2003,$Z300-0)=0,"",INDEX(包装物料出入库明细!$B$4:$B$2003,$Z300-0)),IF($Z300&lt;=4000,IF(INDEX(周转筐出入库明细!$B$4:$B$2004,$Z300-2000)=0,"",INDEX(周转筐出入库明细!$B$4:$B$2004,$Z300-2000)),IF($Z300&lt;=5200,IF(INDEX(客户自备加工筐明细!$B$4:$B$1203,$Z300-4000)=0,"",INDEX(客户自备加工筐明细!$B$4:$B$1203,$Z300-4000)),IF($Z300&lt;=5800,IF(INDEX(次果筐明细!$B$4:$B$603,$Z300-5200)=0,"",INDEX(次果筐明细!$B$4:$B$603,$Z300-5200)),"")))))</f>
        <v/>
      </c>
      <c r="C300" s="37" t="str">
        <f>IF($Z300="","",IF($Z300&lt;=2000,IF(INDEX(包装物料出入库明细!$D$4:$D$2003,$Z300-0)=0,"",INDEX(包装物料出入库明细!$D$4:$D$2003,$Z300-0)),IF($Z300&lt;=4000,IF(INDEX(周转筐出入库明细!$C$4:$C$2004,$Z300-2000)=0,"",INDEX(周转筐出入库明细!$C$4:$C$2004,$Z300-2000)),IF($Z300&lt;=5200,IF(INDEX(客户自备加工筐明细!$E$4:$E$1203,$Z300-4000)=0,"",INDEX(客户自备加工筐明细!$E$4:$E$1203,$Z300-4000)),IF($Z300&lt;=5800,IF(INDEX(次果筐明细!$C$4:$C$603,$Z300-5200)=0,"",INDEX(次果筐明细!$C$4:$C$603,$Z300-5200)),"")))))</f>
        <v/>
      </c>
      <c r="D300" s="37" t="str">
        <f>IF($Z300="","",IF($Z300&lt;=2000,"包装物料－"&amp;INDEX(包装物料出入库明细!$H$4:$H$2003,$Z300-0),IF($Z300&lt;=4000,"周转筐－"&amp;INDEX(周转筐出入库明细!$F$4:$F$2004,$Z300-2000),IF($Z300&lt;=5200,"客户自备筐－"&amp;INDEX(客户自备加工筐明细!$J$4:$J$1203,$Z300-4000),IF($Z300&lt;=5800,"次果筐/托盘－"&amp;INDEX(次果筐明细!$F$4:$F$603,$Z300-5200),"")))))</f>
        <v/>
      </c>
      <c r="E300" s="24" t="str">
        <f>IF($Z300="","",IF($Z300&lt;=2000,IF(INDEX(包装物料出入库明细!$C$4:$C$2003,$Z300-0)=0,"",INDEX(包装物料出入库明细!$C$4:$C$2003,$Z300-0)),IF($Z300&lt;=4000,IF(INDEX(周转筐出入库明细!$E$4:$E$2004,$Z300-2000)=0,"",INDEX(周转筐出入库明细!$E$4:$E$2004,$Z300-2000)),IF($Z300&lt;=5200,IF(INDEX(客户自备加工筐明细!$D$4:$D$1203,$Z300-4000)=0,"",INDEX(客户自备加工筐明细!$D$4:$D$1203,$Z300-4000)),IF($Z300&lt;=5800,IF(INDEX(次果筐明细!$E$4:$E$603,$Z300-5200)=0,"",INDEX(次果筐明细!$E$4:$E$603,$Z300-5200)),"")))))</f>
        <v/>
      </c>
      <c r="F300" s="24" t="str">
        <f>IF($Z300="","",IF($Z300&lt;=2000,IF(INDEX(包装物料出入库明细!$E$4:$E$2003,$Z300-0)=0,"",INDEX(包装物料出入库明细!$E$4:$E$2003,$Z300-0)),IF($Z300&lt;=4000,IF(INDEX(周转筐出入库明细!$D$4:$D$2004,$Z300-2000)=0,"",INDEX(周转筐出入库明细!$D$4:$D$2004,$Z300-2000)),IF($Z300&lt;=5200,IF(INDEX(客户自备加工筐明细!$C$4:$C$1203,$Z300-4000)=0,"",INDEX(客户自备加工筐明细!$C$4:$C$1203,$Z300-4000)),IF($Z300&lt;=5800,IF(INDEX(次果筐明细!$D$4:$D$603,$Z300-5200)=0,"",INDEX(次果筐明细!$D$4:$D$603,$Z300-5200)),"")))))</f>
        <v/>
      </c>
      <c r="G300" s="24" t="str">
        <f>IF($Z300="","",IF($Z300&lt;=2000,IF(INDEX(包装物料出入库明细!$F$4:$F$2003,$Z300-0)=0,"",INDEX(包装物料出入库明细!$F$4:$F$2003,$Z300-0)),IF($Z300&lt;=4000,"",IF($Z300&lt;=5200,"",IF($Z300&lt;=5800,"","")))))</f>
        <v/>
      </c>
      <c r="H300" s="39" t="str">
        <f>IF($Z300="","",IF($Z300&lt;=2000,IF(INDEX(包装物料出入库明细!$L$4:$L$2003,$Z300-0)=0,"",INDEX(包装物料出入库明细!$L$4:$L$2003,$Z300-0)),IF($Z300&lt;=4000,N(INDEX(周转筐出入库明细!$H$4:$H$2004,$Z300-2000))+N(INDEX(周转筐出入库明细!$I$4:$I$2004,$Z300-2000))+N(INDEX(周转筐出入库明细!$J$4:$J$2004,$Z300-2000))+N(INDEX(周转筐出入库明细!$K$4:$K$2004,$Z300-2000)),IF($Z300&lt;=5200,N(INDEX(客户自备加工筐明细!$F$4:$F$1203,$Z300-4000))+N(INDEX(客户自备加工筐明细!$G$4:$G$1203,$Z300-4000)),IF($Z300&lt;=5800,IF(INDEX(次果筐明细!$G$4:$G$603,$Z300-5200)=0,"",INDEX(次果筐明细!$G$4:$G$603,$Z300-5200)),"")))))</f>
        <v/>
      </c>
      <c r="I300" s="24" t="str">
        <f>IF($Z300="","",IF($Z300&lt;=2000,IF(INDEX(包装物料出入库明细!$G$4:$G$2003,$Z300-0)=0,"",INDEX(包装物料出入库明细!$G$4:$G$2003,$Z300-0)),IF($Z300&lt;=4000,"个",IF($Z300&lt;=5200,"个",IF($Z300&lt;=5800,"个","")))))</f>
        <v/>
      </c>
      <c r="J300" s="30" t="str">
        <f t="shared" si="13"/>
        <v/>
      </c>
      <c r="K300" s="30" t="str">
        <f>IF($Z300="","",IF($Z300&lt;=2000,IF(INDEX(包装物料出入库明细!$N$4:$N$2003,$Z300-0)=0,"",INDEX(包装物料出入库明细!$N$4:$N$2003,$Z300-0)),IF($Z300&lt;=4000,IF(INDEX(周转筐出入库明细!$P$4:$P$2004,$Z300-2000)=0,"",INDEX(周转筐出入库明细!$P$4:$P$2004,$Z300-2000)),IF($Z300&lt;=5200,"",IF($Z300&lt;=5800,N(INDEX(次果筐明细!$L$4:$L$603,$Z300-5200))+N(INDEX(次果筐明细!$J$4:$J$603,$Z300-5200)),"")))))</f>
        <v/>
      </c>
      <c r="L300" s="24" t="str">
        <f>IF($Z300="","",IF($Z300&lt;=2000,IF(INDEX(包装物料出入库明细!$P$4:$P$2003,$Z300-0)=0,"",INDEX(包装物料出入库明细!$P$4:$P$2003,$Z300-0)),IF($Z300&lt;=4000,IF(INDEX(周转筐出入库明细!$Q$4:$Q$2004,$Z300-2000)=0,"",INDEX(周转筐出入库明细!$Q$4:$Q$2004,$Z300-2000)),IF($Z300&lt;=5200,"",IF($Z300&lt;=5800,IF(INDEX(次果筐明细!$M$4:$M$603,$Z300-5200)=0,"",INDEX(次果筐明细!$M$4:$M$603,$Z300-5200)),"")))))</f>
        <v/>
      </c>
      <c r="M300" s="37" t="str">
        <f>IF($Z300="","",IF($Z300&lt;=2000,IF(INDEX(包装物料出入库明细!$R$4:$R$2003,$Z300-0)=0,"",INDEX(包装物料出入库明细!$R$4:$R$2003,$Z300-0)),IF($Z300&lt;=4000,IF(INDEX(周转筐出入库明细!$W$4:$W$2004,$Z300-2000)=0,"",INDEX(周转筐出入库明细!$W$4:$W$2004,$Z300-2000)),IF($Z300&lt;=5200,IF(INDEX(客户自备加工筐明细!$L$4:$L$1203,$Z300-4000)=0,"",INDEX(客户自备加工筐明细!$L$4:$L$1203,$Z300-4000)),IF($Z300&lt;=5800,IF(INDEX(次果筐明细!$P$4:$P$603,$Z300-5200)=0,"",INDEX(次果筐明细!$P$4:$P$603,$Z300-5200)),"")))))</f>
        <v/>
      </c>
      <c r="N300" s="16" t="str">
        <f>IF($Z300="","",IF($Z300&lt;=2000,"",IF($Z300&lt;=4000,IF(INDEX(周转筐出入库明细!$D$4:$D$2004,$Z300-2000)=0,"",INDEX(周转筐出入库明细!$D$4:$D$2004,$Z300-2000)),IF($Z300&lt;=5200,IF(INDEX(客户自备加工筐明细!$C$4:$C$1203,$Z300-4000)=0,"",INDEX(客户自备加工筐明细!$C$4:$C$1203,$Z300-4000)),IF($Z300&lt;=5800,IF(INDEX(次果筐明细!$D$4:$D$603,$Z300-5200)=0,"",INDEX(次果筐明细!$D$4:$D$603,$Z300-5200)),"")))))</f>
        <v/>
      </c>
      <c r="O300" s="40" t="str">
        <f>IF($Z300="","",IF($Z300&lt;=2000,"",IF($Z300&lt;=4000,IF(N(INDEX(周转筐出入库明细!$J$4:$J$2004,$Z300-2000))+N(INDEX(周转筐出入库明细!$K$4:$K$2004,$Z300-2000))=0,"",N(INDEX(周转筐出入库明细!$J$4:$J$2004,$Z300-2000))+N(INDEX(周转筐出入库明细!$K$4:$K$2004,$Z300-2000))),IF($Z300&lt;=5200,IF(N(INDEX(客户自备加工筐明细!$G$4:$G$1203,$Z300-4000))=0,"",N(INDEX(客户自备加工筐明细!$G$4:$G$1203,$Z300-4000))),IF($Z300&lt;=5800,IF(ISNUMBER(SEARCH("退",INDEX(次果筐明细!$F$4:$F$603,$Z300-5200)&amp;"")),"",IF(N(INDEX(次果筐明细!$G$4:$G$603,$Z300-5200))=0,"",N(INDEX(次果筐明细!$G$4:$G$603,$Z300-5200)))),"")))))</f>
        <v/>
      </c>
      <c r="P300" s="40" t="str">
        <f>IF($Z300="","",IF($Z300&lt;=2000,"",IF($Z300&lt;=4000,IF(N(INDEX(周转筐出入库明细!$I$4:$I$2004,$Z300-2000))=0,"",N(INDEX(周转筐出入库明细!$I$4:$I$2004,$Z300-2000))),IF($Z300&lt;=5200,"",IF($Z300&lt;=5800,IF(ISNUMBER(SEARCH("退",INDEX(次果筐明细!$F$4:$F$603,$Z300-5200)&amp;"")),IF(N(INDEX(次果筐明细!$G$4:$G$603,$Z300-5200))=0,"",N(INDEX(次果筐明细!$G$4:$G$603,$Z300-5200))),""),"")))))</f>
        <v/>
      </c>
      <c r="Q300" s="40" t="str">
        <f>IF($Z300="","",IF($Z300&lt;=2000,"",IF($Z300&lt;=4000,IF(N(INDEX(周转筐出入库明细!$H$4:$H$2004,$Z300-2000))=0,"",N(INDEX(周转筐出入库明细!$H$4:$H$2004,$Z300-2000))),IF($Z300&lt;=5200,IF(N(INDEX(客户自备加工筐明细!$F$4:$F$1203,$Z300-4000))=0,"",N(INDEX(客户自备加工筐明细!$F$4:$F$1203,$Z300-4000))),IF($Z300&lt;=5800,"","")))))</f>
        <v/>
      </c>
      <c r="R300" s="16" t="str">
        <f>IF($Z300="","",IF($Z300&lt;=2000,IF(INDEX(包装物料出入库明细!$O$4:$O$2003,$Z300-0)=0,"",INDEX(包装物料出入库明细!$O$4:$O$2003,$Z300-0)),IF($Z300&lt;=4000,IF(INDEX(周转筐出入库明细!$M$4:$M$2004,$Z300-2000)=0,"",INDEX(周转筐出入库明细!$M$4:$M$2004,$Z300-2000)),IF($Z300&lt;=5200,IF(INDEX(客户自备加工筐明细!$H$4:$H$1203,$Z300-4000)=0,"",INDEX(客户自备加工筐明细!$H$4:$H$1203,$Z300-4000)),IF($Z300&lt;=5800,IF(INDEX(次果筐明细!$H$4:$H$603,$Z300-5200)=0,"",INDEX(次果筐明细!$H$4:$H$603,$Z300-5200)),"")))))</f>
        <v/>
      </c>
      <c r="S300" s="22" t="str">
        <f t="shared" si="14"/>
        <v/>
      </c>
      <c r="Z300" s="10" t="str">
        <f>IFERROR(MATCH(ROW()-3,_自动清单!$CQ$4:$CQ$5803,0),"")</f>
        <v/>
      </c>
    </row>
    <row r="301" spans="1:26">
      <c r="A301" s="24" t="str">
        <f t="shared" si="12"/>
        <v/>
      </c>
      <c r="B301" s="38" t="str">
        <f>IF($Z301="","",IF($Z301&lt;=2000,IF(INDEX(包装物料出入库明细!$B$4:$B$2003,$Z301-0)=0,"",INDEX(包装物料出入库明细!$B$4:$B$2003,$Z301-0)),IF($Z301&lt;=4000,IF(INDEX(周转筐出入库明细!$B$4:$B$2004,$Z301-2000)=0,"",INDEX(周转筐出入库明细!$B$4:$B$2004,$Z301-2000)),IF($Z301&lt;=5200,IF(INDEX(客户自备加工筐明细!$B$4:$B$1203,$Z301-4000)=0,"",INDEX(客户自备加工筐明细!$B$4:$B$1203,$Z301-4000)),IF($Z301&lt;=5800,IF(INDEX(次果筐明细!$B$4:$B$603,$Z301-5200)=0,"",INDEX(次果筐明细!$B$4:$B$603,$Z301-5200)),"")))))</f>
        <v/>
      </c>
      <c r="C301" s="37" t="str">
        <f>IF($Z301="","",IF($Z301&lt;=2000,IF(INDEX(包装物料出入库明细!$D$4:$D$2003,$Z301-0)=0,"",INDEX(包装物料出入库明细!$D$4:$D$2003,$Z301-0)),IF($Z301&lt;=4000,IF(INDEX(周转筐出入库明细!$C$4:$C$2004,$Z301-2000)=0,"",INDEX(周转筐出入库明细!$C$4:$C$2004,$Z301-2000)),IF($Z301&lt;=5200,IF(INDEX(客户自备加工筐明细!$E$4:$E$1203,$Z301-4000)=0,"",INDEX(客户自备加工筐明细!$E$4:$E$1203,$Z301-4000)),IF($Z301&lt;=5800,IF(INDEX(次果筐明细!$C$4:$C$603,$Z301-5200)=0,"",INDEX(次果筐明细!$C$4:$C$603,$Z301-5200)),"")))))</f>
        <v/>
      </c>
      <c r="D301" s="37" t="str">
        <f>IF($Z301="","",IF($Z301&lt;=2000,"包装物料－"&amp;INDEX(包装物料出入库明细!$H$4:$H$2003,$Z301-0),IF($Z301&lt;=4000,"周转筐－"&amp;INDEX(周转筐出入库明细!$F$4:$F$2004,$Z301-2000),IF($Z301&lt;=5200,"客户自备筐－"&amp;INDEX(客户自备加工筐明细!$J$4:$J$1203,$Z301-4000),IF($Z301&lt;=5800,"次果筐/托盘－"&amp;INDEX(次果筐明细!$F$4:$F$603,$Z301-5200),"")))))</f>
        <v/>
      </c>
      <c r="E301" s="24" t="str">
        <f>IF($Z301="","",IF($Z301&lt;=2000,IF(INDEX(包装物料出入库明细!$C$4:$C$2003,$Z301-0)=0,"",INDEX(包装物料出入库明细!$C$4:$C$2003,$Z301-0)),IF($Z301&lt;=4000,IF(INDEX(周转筐出入库明细!$E$4:$E$2004,$Z301-2000)=0,"",INDEX(周转筐出入库明细!$E$4:$E$2004,$Z301-2000)),IF($Z301&lt;=5200,IF(INDEX(客户自备加工筐明细!$D$4:$D$1203,$Z301-4000)=0,"",INDEX(客户自备加工筐明细!$D$4:$D$1203,$Z301-4000)),IF($Z301&lt;=5800,IF(INDEX(次果筐明细!$E$4:$E$603,$Z301-5200)=0,"",INDEX(次果筐明细!$E$4:$E$603,$Z301-5200)),"")))))</f>
        <v/>
      </c>
      <c r="F301" s="24" t="str">
        <f>IF($Z301="","",IF($Z301&lt;=2000,IF(INDEX(包装物料出入库明细!$E$4:$E$2003,$Z301-0)=0,"",INDEX(包装物料出入库明细!$E$4:$E$2003,$Z301-0)),IF($Z301&lt;=4000,IF(INDEX(周转筐出入库明细!$D$4:$D$2004,$Z301-2000)=0,"",INDEX(周转筐出入库明细!$D$4:$D$2004,$Z301-2000)),IF($Z301&lt;=5200,IF(INDEX(客户自备加工筐明细!$C$4:$C$1203,$Z301-4000)=0,"",INDEX(客户自备加工筐明细!$C$4:$C$1203,$Z301-4000)),IF($Z301&lt;=5800,IF(INDEX(次果筐明细!$D$4:$D$603,$Z301-5200)=0,"",INDEX(次果筐明细!$D$4:$D$603,$Z301-5200)),"")))))</f>
        <v/>
      </c>
      <c r="G301" s="24" t="str">
        <f>IF($Z301="","",IF($Z301&lt;=2000,IF(INDEX(包装物料出入库明细!$F$4:$F$2003,$Z301-0)=0,"",INDEX(包装物料出入库明细!$F$4:$F$2003,$Z301-0)),IF($Z301&lt;=4000,"",IF($Z301&lt;=5200,"",IF($Z301&lt;=5800,"","")))))</f>
        <v/>
      </c>
      <c r="H301" s="39" t="str">
        <f>IF($Z301="","",IF($Z301&lt;=2000,IF(INDEX(包装物料出入库明细!$L$4:$L$2003,$Z301-0)=0,"",INDEX(包装物料出入库明细!$L$4:$L$2003,$Z301-0)),IF($Z301&lt;=4000,N(INDEX(周转筐出入库明细!$H$4:$H$2004,$Z301-2000))+N(INDEX(周转筐出入库明细!$I$4:$I$2004,$Z301-2000))+N(INDEX(周转筐出入库明细!$J$4:$J$2004,$Z301-2000))+N(INDEX(周转筐出入库明细!$K$4:$K$2004,$Z301-2000)),IF($Z301&lt;=5200,N(INDEX(客户自备加工筐明细!$F$4:$F$1203,$Z301-4000))+N(INDEX(客户自备加工筐明细!$G$4:$G$1203,$Z301-4000)),IF($Z301&lt;=5800,IF(INDEX(次果筐明细!$G$4:$G$603,$Z301-5200)=0,"",INDEX(次果筐明细!$G$4:$G$603,$Z301-5200)),"")))))</f>
        <v/>
      </c>
      <c r="I301" s="24" t="str">
        <f>IF($Z301="","",IF($Z301&lt;=2000,IF(INDEX(包装物料出入库明细!$G$4:$G$2003,$Z301-0)=0,"",INDEX(包装物料出入库明细!$G$4:$G$2003,$Z301-0)),IF($Z301&lt;=4000,"个",IF($Z301&lt;=5200,"个",IF($Z301&lt;=5800,"个","")))))</f>
        <v/>
      </c>
      <c r="J301" s="30" t="str">
        <f t="shared" si="13"/>
        <v/>
      </c>
      <c r="K301" s="30" t="str">
        <f>IF($Z301="","",IF($Z301&lt;=2000,IF(INDEX(包装物料出入库明细!$N$4:$N$2003,$Z301-0)=0,"",INDEX(包装物料出入库明细!$N$4:$N$2003,$Z301-0)),IF($Z301&lt;=4000,IF(INDEX(周转筐出入库明细!$P$4:$P$2004,$Z301-2000)=0,"",INDEX(周转筐出入库明细!$P$4:$P$2004,$Z301-2000)),IF($Z301&lt;=5200,"",IF($Z301&lt;=5800,N(INDEX(次果筐明细!$L$4:$L$603,$Z301-5200))+N(INDEX(次果筐明细!$J$4:$J$603,$Z301-5200)),"")))))</f>
        <v/>
      </c>
      <c r="L301" s="24" t="str">
        <f>IF($Z301="","",IF($Z301&lt;=2000,IF(INDEX(包装物料出入库明细!$P$4:$P$2003,$Z301-0)=0,"",INDEX(包装物料出入库明细!$P$4:$P$2003,$Z301-0)),IF($Z301&lt;=4000,IF(INDEX(周转筐出入库明细!$Q$4:$Q$2004,$Z301-2000)=0,"",INDEX(周转筐出入库明细!$Q$4:$Q$2004,$Z301-2000)),IF($Z301&lt;=5200,"",IF($Z301&lt;=5800,IF(INDEX(次果筐明细!$M$4:$M$603,$Z301-5200)=0,"",INDEX(次果筐明细!$M$4:$M$603,$Z301-5200)),"")))))</f>
        <v/>
      </c>
      <c r="M301" s="37" t="str">
        <f>IF($Z301="","",IF($Z301&lt;=2000,IF(INDEX(包装物料出入库明细!$R$4:$R$2003,$Z301-0)=0,"",INDEX(包装物料出入库明细!$R$4:$R$2003,$Z301-0)),IF($Z301&lt;=4000,IF(INDEX(周转筐出入库明细!$W$4:$W$2004,$Z301-2000)=0,"",INDEX(周转筐出入库明细!$W$4:$W$2004,$Z301-2000)),IF($Z301&lt;=5200,IF(INDEX(客户自备加工筐明细!$L$4:$L$1203,$Z301-4000)=0,"",INDEX(客户自备加工筐明细!$L$4:$L$1203,$Z301-4000)),IF($Z301&lt;=5800,IF(INDEX(次果筐明细!$P$4:$P$603,$Z301-5200)=0,"",INDEX(次果筐明细!$P$4:$P$603,$Z301-5200)),"")))))</f>
        <v/>
      </c>
      <c r="N301" s="16" t="str">
        <f>IF($Z301="","",IF($Z301&lt;=2000,"",IF($Z301&lt;=4000,IF(INDEX(周转筐出入库明细!$D$4:$D$2004,$Z301-2000)=0,"",INDEX(周转筐出入库明细!$D$4:$D$2004,$Z301-2000)),IF($Z301&lt;=5200,IF(INDEX(客户自备加工筐明细!$C$4:$C$1203,$Z301-4000)=0,"",INDEX(客户自备加工筐明细!$C$4:$C$1203,$Z301-4000)),IF($Z301&lt;=5800,IF(INDEX(次果筐明细!$D$4:$D$603,$Z301-5200)=0,"",INDEX(次果筐明细!$D$4:$D$603,$Z301-5200)),"")))))</f>
        <v/>
      </c>
      <c r="O301" s="40" t="str">
        <f>IF($Z301="","",IF($Z301&lt;=2000,"",IF($Z301&lt;=4000,IF(N(INDEX(周转筐出入库明细!$J$4:$J$2004,$Z301-2000))+N(INDEX(周转筐出入库明细!$K$4:$K$2004,$Z301-2000))=0,"",N(INDEX(周转筐出入库明细!$J$4:$J$2004,$Z301-2000))+N(INDEX(周转筐出入库明细!$K$4:$K$2004,$Z301-2000))),IF($Z301&lt;=5200,IF(N(INDEX(客户自备加工筐明细!$G$4:$G$1203,$Z301-4000))=0,"",N(INDEX(客户自备加工筐明细!$G$4:$G$1203,$Z301-4000))),IF($Z301&lt;=5800,IF(ISNUMBER(SEARCH("退",INDEX(次果筐明细!$F$4:$F$603,$Z301-5200)&amp;"")),"",IF(N(INDEX(次果筐明细!$G$4:$G$603,$Z301-5200))=0,"",N(INDEX(次果筐明细!$G$4:$G$603,$Z301-5200)))),"")))))</f>
        <v/>
      </c>
      <c r="P301" s="40" t="str">
        <f>IF($Z301="","",IF($Z301&lt;=2000,"",IF($Z301&lt;=4000,IF(N(INDEX(周转筐出入库明细!$I$4:$I$2004,$Z301-2000))=0,"",N(INDEX(周转筐出入库明细!$I$4:$I$2004,$Z301-2000))),IF($Z301&lt;=5200,"",IF($Z301&lt;=5800,IF(ISNUMBER(SEARCH("退",INDEX(次果筐明细!$F$4:$F$603,$Z301-5200)&amp;"")),IF(N(INDEX(次果筐明细!$G$4:$G$603,$Z301-5200))=0,"",N(INDEX(次果筐明细!$G$4:$G$603,$Z301-5200))),""),"")))))</f>
        <v/>
      </c>
      <c r="Q301" s="40" t="str">
        <f>IF($Z301="","",IF($Z301&lt;=2000,"",IF($Z301&lt;=4000,IF(N(INDEX(周转筐出入库明细!$H$4:$H$2004,$Z301-2000))=0,"",N(INDEX(周转筐出入库明细!$H$4:$H$2004,$Z301-2000))),IF($Z301&lt;=5200,IF(N(INDEX(客户自备加工筐明细!$F$4:$F$1203,$Z301-4000))=0,"",N(INDEX(客户自备加工筐明细!$F$4:$F$1203,$Z301-4000))),IF($Z301&lt;=5800,"","")))))</f>
        <v/>
      </c>
      <c r="R301" s="16" t="str">
        <f>IF($Z301="","",IF($Z301&lt;=2000,IF(INDEX(包装物料出入库明细!$O$4:$O$2003,$Z301-0)=0,"",INDEX(包装物料出入库明细!$O$4:$O$2003,$Z301-0)),IF($Z301&lt;=4000,IF(INDEX(周转筐出入库明细!$M$4:$M$2004,$Z301-2000)=0,"",INDEX(周转筐出入库明细!$M$4:$M$2004,$Z301-2000)),IF($Z301&lt;=5200,IF(INDEX(客户自备加工筐明细!$H$4:$H$1203,$Z301-4000)=0,"",INDEX(客户自备加工筐明细!$H$4:$H$1203,$Z301-4000)),IF($Z301&lt;=5800,IF(INDEX(次果筐明细!$H$4:$H$603,$Z301-5200)=0,"",INDEX(次果筐明细!$H$4:$H$603,$Z301-5200)),"")))))</f>
        <v/>
      </c>
      <c r="S301" s="22" t="str">
        <f t="shared" si="14"/>
        <v/>
      </c>
      <c r="Z301" s="10" t="str">
        <f>IFERROR(MATCH(ROW()-3,_自动清单!$CQ$4:$CQ$5803,0),"")</f>
        <v/>
      </c>
    </row>
    <row r="302" spans="1:26">
      <c r="A302" s="24" t="str">
        <f t="shared" si="12"/>
        <v/>
      </c>
      <c r="B302" s="38" t="str">
        <f>IF($Z302="","",IF($Z302&lt;=2000,IF(INDEX(包装物料出入库明细!$B$4:$B$2003,$Z302-0)=0,"",INDEX(包装物料出入库明细!$B$4:$B$2003,$Z302-0)),IF($Z302&lt;=4000,IF(INDEX(周转筐出入库明细!$B$4:$B$2004,$Z302-2000)=0,"",INDEX(周转筐出入库明细!$B$4:$B$2004,$Z302-2000)),IF($Z302&lt;=5200,IF(INDEX(客户自备加工筐明细!$B$4:$B$1203,$Z302-4000)=0,"",INDEX(客户自备加工筐明细!$B$4:$B$1203,$Z302-4000)),IF($Z302&lt;=5800,IF(INDEX(次果筐明细!$B$4:$B$603,$Z302-5200)=0,"",INDEX(次果筐明细!$B$4:$B$603,$Z302-5200)),"")))))</f>
        <v/>
      </c>
      <c r="C302" s="37" t="str">
        <f>IF($Z302="","",IF($Z302&lt;=2000,IF(INDEX(包装物料出入库明细!$D$4:$D$2003,$Z302-0)=0,"",INDEX(包装物料出入库明细!$D$4:$D$2003,$Z302-0)),IF($Z302&lt;=4000,IF(INDEX(周转筐出入库明细!$C$4:$C$2004,$Z302-2000)=0,"",INDEX(周转筐出入库明细!$C$4:$C$2004,$Z302-2000)),IF($Z302&lt;=5200,IF(INDEX(客户自备加工筐明细!$E$4:$E$1203,$Z302-4000)=0,"",INDEX(客户自备加工筐明细!$E$4:$E$1203,$Z302-4000)),IF($Z302&lt;=5800,IF(INDEX(次果筐明细!$C$4:$C$603,$Z302-5200)=0,"",INDEX(次果筐明细!$C$4:$C$603,$Z302-5200)),"")))))</f>
        <v/>
      </c>
      <c r="D302" s="37" t="str">
        <f>IF($Z302="","",IF($Z302&lt;=2000,"包装物料－"&amp;INDEX(包装物料出入库明细!$H$4:$H$2003,$Z302-0),IF($Z302&lt;=4000,"周转筐－"&amp;INDEX(周转筐出入库明细!$F$4:$F$2004,$Z302-2000),IF($Z302&lt;=5200,"客户自备筐－"&amp;INDEX(客户自备加工筐明细!$J$4:$J$1203,$Z302-4000),IF($Z302&lt;=5800,"次果筐/托盘－"&amp;INDEX(次果筐明细!$F$4:$F$603,$Z302-5200),"")))))</f>
        <v/>
      </c>
      <c r="E302" s="24" t="str">
        <f>IF($Z302="","",IF($Z302&lt;=2000,IF(INDEX(包装物料出入库明细!$C$4:$C$2003,$Z302-0)=0,"",INDEX(包装物料出入库明细!$C$4:$C$2003,$Z302-0)),IF($Z302&lt;=4000,IF(INDEX(周转筐出入库明细!$E$4:$E$2004,$Z302-2000)=0,"",INDEX(周转筐出入库明细!$E$4:$E$2004,$Z302-2000)),IF($Z302&lt;=5200,IF(INDEX(客户自备加工筐明细!$D$4:$D$1203,$Z302-4000)=0,"",INDEX(客户自备加工筐明细!$D$4:$D$1203,$Z302-4000)),IF($Z302&lt;=5800,IF(INDEX(次果筐明细!$E$4:$E$603,$Z302-5200)=0,"",INDEX(次果筐明细!$E$4:$E$603,$Z302-5200)),"")))))</f>
        <v/>
      </c>
      <c r="F302" s="24" t="str">
        <f>IF($Z302="","",IF($Z302&lt;=2000,IF(INDEX(包装物料出入库明细!$E$4:$E$2003,$Z302-0)=0,"",INDEX(包装物料出入库明细!$E$4:$E$2003,$Z302-0)),IF($Z302&lt;=4000,IF(INDEX(周转筐出入库明细!$D$4:$D$2004,$Z302-2000)=0,"",INDEX(周转筐出入库明细!$D$4:$D$2004,$Z302-2000)),IF($Z302&lt;=5200,IF(INDEX(客户自备加工筐明细!$C$4:$C$1203,$Z302-4000)=0,"",INDEX(客户自备加工筐明细!$C$4:$C$1203,$Z302-4000)),IF($Z302&lt;=5800,IF(INDEX(次果筐明细!$D$4:$D$603,$Z302-5200)=0,"",INDEX(次果筐明细!$D$4:$D$603,$Z302-5200)),"")))))</f>
        <v/>
      </c>
      <c r="G302" s="24" t="str">
        <f>IF($Z302="","",IF($Z302&lt;=2000,IF(INDEX(包装物料出入库明细!$F$4:$F$2003,$Z302-0)=0,"",INDEX(包装物料出入库明细!$F$4:$F$2003,$Z302-0)),IF($Z302&lt;=4000,"",IF($Z302&lt;=5200,"",IF($Z302&lt;=5800,"","")))))</f>
        <v/>
      </c>
      <c r="H302" s="39" t="str">
        <f>IF($Z302="","",IF($Z302&lt;=2000,IF(INDEX(包装物料出入库明细!$L$4:$L$2003,$Z302-0)=0,"",INDEX(包装物料出入库明细!$L$4:$L$2003,$Z302-0)),IF($Z302&lt;=4000,N(INDEX(周转筐出入库明细!$H$4:$H$2004,$Z302-2000))+N(INDEX(周转筐出入库明细!$I$4:$I$2004,$Z302-2000))+N(INDEX(周转筐出入库明细!$J$4:$J$2004,$Z302-2000))+N(INDEX(周转筐出入库明细!$K$4:$K$2004,$Z302-2000)),IF($Z302&lt;=5200,N(INDEX(客户自备加工筐明细!$F$4:$F$1203,$Z302-4000))+N(INDEX(客户自备加工筐明细!$G$4:$G$1203,$Z302-4000)),IF($Z302&lt;=5800,IF(INDEX(次果筐明细!$G$4:$G$603,$Z302-5200)=0,"",INDEX(次果筐明细!$G$4:$G$603,$Z302-5200)),"")))))</f>
        <v/>
      </c>
      <c r="I302" s="24" t="str">
        <f>IF($Z302="","",IF($Z302&lt;=2000,IF(INDEX(包装物料出入库明细!$G$4:$G$2003,$Z302-0)=0,"",INDEX(包装物料出入库明细!$G$4:$G$2003,$Z302-0)),IF($Z302&lt;=4000,"个",IF($Z302&lt;=5200,"个",IF($Z302&lt;=5800,"个","")))))</f>
        <v/>
      </c>
      <c r="J302" s="30" t="str">
        <f t="shared" si="13"/>
        <v/>
      </c>
      <c r="K302" s="30" t="str">
        <f>IF($Z302="","",IF($Z302&lt;=2000,IF(INDEX(包装物料出入库明细!$N$4:$N$2003,$Z302-0)=0,"",INDEX(包装物料出入库明细!$N$4:$N$2003,$Z302-0)),IF($Z302&lt;=4000,IF(INDEX(周转筐出入库明细!$P$4:$P$2004,$Z302-2000)=0,"",INDEX(周转筐出入库明细!$P$4:$P$2004,$Z302-2000)),IF($Z302&lt;=5200,"",IF($Z302&lt;=5800,N(INDEX(次果筐明细!$L$4:$L$603,$Z302-5200))+N(INDEX(次果筐明细!$J$4:$J$603,$Z302-5200)),"")))))</f>
        <v/>
      </c>
      <c r="L302" s="24" t="str">
        <f>IF($Z302="","",IF($Z302&lt;=2000,IF(INDEX(包装物料出入库明细!$P$4:$P$2003,$Z302-0)=0,"",INDEX(包装物料出入库明细!$P$4:$P$2003,$Z302-0)),IF($Z302&lt;=4000,IF(INDEX(周转筐出入库明细!$Q$4:$Q$2004,$Z302-2000)=0,"",INDEX(周转筐出入库明细!$Q$4:$Q$2004,$Z302-2000)),IF($Z302&lt;=5200,"",IF($Z302&lt;=5800,IF(INDEX(次果筐明细!$M$4:$M$603,$Z302-5200)=0,"",INDEX(次果筐明细!$M$4:$M$603,$Z302-5200)),"")))))</f>
        <v/>
      </c>
      <c r="M302" s="37" t="str">
        <f>IF($Z302="","",IF($Z302&lt;=2000,IF(INDEX(包装物料出入库明细!$R$4:$R$2003,$Z302-0)=0,"",INDEX(包装物料出入库明细!$R$4:$R$2003,$Z302-0)),IF($Z302&lt;=4000,IF(INDEX(周转筐出入库明细!$W$4:$W$2004,$Z302-2000)=0,"",INDEX(周转筐出入库明细!$W$4:$W$2004,$Z302-2000)),IF($Z302&lt;=5200,IF(INDEX(客户自备加工筐明细!$L$4:$L$1203,$Z302-4000)=0,"",INDEX(客户自备加工筐明细!$L$4:$L$1203,$Z302-4000)),IF($Z302&lt;=5800,IF(INDEX(次果筐明细!$P$4:$P$603,$Z302-5200)=0,"",INDEX(次果筐明细!$P$4:$P$603,$Z302-5200)),"")))))</f>
        <v/>
      </c>
      <c r="N302" s="16" t="str">
        <f>IF($Z302="","",IF($Z302&lt;=2000,"",IF($Z302&lt;=4000,IF(INDEX(周转筐出入库明细!$D$4:$D$2004,$Z302-2000)=0,"",INDEX(周转筐出入库明细!$D$4:$D$2004,$Z302-2000)),IF($Z302&lt;=5200,IF(INDEX(客户自备加工筐明细!$C$4:$C$1203,$Z302-4000)=0,"",INDEX(客户自备加工筐明细!$C$4:$C$1203,$Z302-4000)),IF($Z302&lt;=5800,IF(INDEX(次果筐明细!$D$4:$D$603,$Z302-5200)=0,"",INDEX(次果筐明细!$D$4:$D$603,$Z302-5200)),"")))))</f>
        <v/>
      </c>
      <c r="O302" s="40" t="str">
        <f>IF($Z302="","",IF($Z302&lt;=2000,"",IF($Z302&lt;=4000,IF(N(INDEX(周转筐出入库明细!$J$4:$J$2004,$Z302-2000))+N(INDEX(周转筐出入库明细!$K$4:$K$2004,$Z302-2000))=0,"",N(INDEX(周转筐出入库明细!$J$4:$J$2004,$Z302-2000))+N(INDEX(周转筐出入库明细!$K$4:$K$2004,$Z302-2000))),IF($Z302&lt;=5200,IF(N(INDEX(客户自备加工筐明细!$G$4:$G$1203,$Z302-4000))=0,"",N(INDEX(客户自备加工筐明细!$G$4:$G$1203,$Z302-4000))),IF($Z302&lt;=5800,IF(ISNUMBER(SEARCH("退",INDEX(次果筐明细!$F$4:$F$603,$Z302-5200)&amp;"")),"",IF(N(INDEX(次果筐明细!$G$4:$G$603,$Z302-5200))=0,"",N(INDEX(次果筐明细!$G$4:$G$603,$Z302-5200)))),"")))))</f>
        <v/>
      </c>
      <c r="P302" s="40" t="str">
        <f>IF($Z302="","",IF($Z302&lt;=2000,"",IF($Z302&lt;=4000,IF(N(INDEX(周转筐出入库明细!$I$4:$I$2004,$Z302-2000))=0,"",N(INDEX(周转筐出入库明细!$I$4:$I$2004,$Z302-2000))),IF($Z302&lt;=5200,"",IF($Z302&lt;=5800,IF(ISNUMBER(SEARCH("退",INDEX(次果筐明细!$F$4:$F$603,$Z302-5200)&amp;"")),IF(N(INDEX(次果筐明细!$G$4:$G$603,$Z302-5200))=0,"",N(INDEX(次果筐明细!$G$4:$G$603,$Z302-5200))),""),"")))))</f>
        <v/>
      </c>
      <c r="Q302" s="40" t="str">
        <f>IF($Z302="","",IF($Z302&lt;=2000,"",IF($Z302&lt;=4000,IF(N(INDEX(周转筐出入库明细!$H$4:$H$2004,$Z302-2000))=0,"",N(INDEX(周转筐出入库明细!$H$4:$H$2004,$Z302-2000))),IF($Z302&lt;=5200,IF(N(INDEX(客户自备加工筐明细!$F$4:$F$1203,$Z302-4000))=0,"",N(INDEX(客户自备加工筐明细!$F$4:$F$1203,$Z302-4000))),IF($Z302&lt;=5800,"","")))))</f>
        <v/>
      </c>
      <c r="R302" s="16" t="str">
        <f>IF($Z302="","",IF($Z302&lt;=2000,IF(INDEX(包装物料出入库明细!$O$4:$O$2003,$Z302-0)=0,"",INDEX(包装物料出入库明细!$O$4:$O$2003,$Z302-0)),IF($Z302&lt;=4000,IF(INDEX(周转筐出入库明细!$M$4:$M$2004,$Z302-2000)=0,"",INDEX(周转筐出入库明细!$M$4:$M$2004,$Z302-2000)),IF($Z302&lt;=5200,IF(INDEX(客户自备加工筐明细!$H$4:$H$1203,$Z302-4000)=0,"",INDEX(客户自备加工筐明细!$H$4:$H$1203,$Z302-4000)),IF($Z302&lt;=5800,IF(INDEX(次果筐明细!$H$4:$H$603,$Z302-5200)=0,"",INDEX(次果筐明细!$H$4:$H$603,$Z302-5200)),"")))))</f>
        <v/>
      </c>
      <c r="S302" s="22" t="str">
        <f t="shared" si="14"/>
        <v/>
      </c>
      <c r="Z302" s="10" t="str">
        <f>IFERROR(MATCH(ROW()-3,_自动清单!$CQ$4:$CQ$5803,0),"")</f>
        <v/>
      </c>
    </row>
    <row r="303" spans="1:26">
      <c r="A303" s="24" t="str">
        <f t="shared" si="12"/>
        <v/>
      </c>
      <c r="B303" s="38" t="str">
        <f>IF($Z303="","",IF($Z303&lt;=2000,IF(INDEX(包装物料出入库明细!$B$4:$B$2003,$Z303-0)=0,"",INDEX(包装物料出入库明细!$B$4:$B$2003,$Z303-0)),IF($Z303&lt;=4000,IF(INDEX(周转筐出入库明细!$B$4:$B$2004,$Z303-2000)=0,"",INDEX(周转筐出入库明细!$B$4:$B$2004,$Z303-2000)),IF($Z303&lt;=5200,IF(INDEX(客户自备加工筐明细!$B$4:$B$1203,$Z303-4000)=0,"",INDEX(客户自备加工筐明细!$B$4:$B$1203,$Z303-4000)),IF($Z303&lt;=5800,IF(INDEX(次果筐明细!$B$4:$B$603,$Z303-5200)=0,"",INDEX(次果筐明细!$B$4:$B$603,$Z303-5200)),"")))))</f>
        <v/>
      </c>
      <c r="C303" s="37" t="str">
        <f>IF($Z303="","",IF($Z303&lt;=2000,IF(INDEX(包装物料出入库明细!$D$4:$D$2003,$Z303-0)=0,"",INDEX(包装物料出入库明细!$D$4:$D$2003,$Z303-0)),IF($Z303&lt;=4000,IF(INDEX(周转筐出入库明细!$C$4:$C$2004,$Z303-2000)=0,"",INDEX(周转筐出入库明细!$C$4:$C$2004,$Z303-2000)),IF($Z303&lt;=5200,IF(INDEX(客户自备加工筐明细!$E$4:$E$1203,$Z303-4000)=0,"",INDEX(客户自备加工筐明细!$E$4:$E$1203,$Z303-4000)),IF($Z303&lt;=5800,IF(INDEX(次果筐明细!$C$4:$C$603,$Z303-5200)=0,"",INDEX(次果筐明细!$C$4:$C$603,$Z303-5200)),"")))))</f>
        <v/>
      </c>
      <c r="D303" s="37" t="str">
        <f>IF($Z303="","",IF($Z303&lt;=2000,"包装物料－"&amp;INDEX(包装物料出入库明细!$H$4:$H$2003,$Z303-0),IF($Z303&lt;=4000,"周转筐－"&amp;INDEX(周转筐出入库明细!$F$4:$F$2004,$Z303-2000),IF($Z303&lt;=5200,"客户自备筐－"&amp;INDEX(客户自备加工筐明细!$J$4:$J$1203,$Z303-4000),IF($Z303&lt;=5800,"次果筐/托盘－"&amp;INDEX(次果筐明细!$F$4:$F$603,$Z303-5200),"")))))</f>
        <v/>
      </c>
      <c r="E303" s="24" t="str">
        <f>IF($Z303="","",IF($Z303&lt;=2000,IF(INDEX(包装物料出入库明细!$C$4:$C$2003,$Z303-0)=0,"",INDEX(包装物料出入库明细!$C$4:$C$2003,$Z303-0)),IF($Z303&lt;=4000,IF(INDEX(周转筐出入库明细!$E$4:$E$2004,$Z303-2000)=0,"",INDEX(周转筐出入库明细!$E$4:$E$2004,$Z303-2000)),IF($Z303&lt;=5200,IF(INDEX(客户自备加工筐明细!$D$4:$D$1203,$Z303-4000)=0,"",INDEX(客户自备加工筐明细!$D$4:$D$1203,$Z303-4000)),IF($Z303&lt;=5800,IF(INDEX(次果筐明细!$E$4:$E$603,$Z303-5200)=0,"",INDEX(次果筐明细!$E$4:$E$603,$Z303-5200)),"")))))</f>
        <v/>
      </c>
      <c r="F303" s="24" t="str">
        <f>IF($Z303="","",IF($Z303&lt;=2000,IF(INDEX(包装物料出入库明细!$E$4:$E$2003,$Z303-0)=0,"",INDEX(包装物料出入库明细!$E$4:$E$2003,$Z303-0)),IF($Z303&lt;=4000,IF(INDEX(周转筐出入库明细!$D$4:$D$2004,$Z303-2000)=0,"",INDEX(周转筐出入库明细!$D$4:$D$2004,$Z303-2000)),IF($Z303&lt;=5200,IF(INDEX(客户自备加工筐明细!$C$4:$C$1203,$Z303-4000)=0,"",INDEX(客户自备加工筐明细!$C$4:$C$1203,$Z303-4000)),IF($Z303&lt;=5800,IF(INDEX(次果筐明细!$D$4:$D$603,$Z303-5200)=0,"",INDEX(次果筐明细!$D$4:$D$603,$Z303-5200)),"")))))</f>
        <v/>
      </c>
      <c r="G303" s="24" t="str">
        <f>IF($Z303="","",IF($Z303&lt;=2000,IF(INDEX(包装物料出入库明细!$F$4:$F$2003,$Z303-0)=0,"",INDEX(包装物料出入库明细!$F$4:$F$2003,$Z303-0)),IF($Z303&lt;=4000,"",IF($Z303&lt;=5200,"",IF($Z303&lt;=5800,"","")))))</f>
        <v/>
      </c>
      <c r="H303" s="39" t="str">
        <f>IF($Z303="","",IF($Z303&lt;=2000,IF(INDEX(包装物料出入库明细!$L$4:$L$2003,$Z303-0)=0,"",INDEX(包装物料出入库明细!$L$4:$L$2003,$Z303-0)),IF($Z303&lt;=4000,N(INDEX(周转筐出入库明细!$H$4:$H$2004,$Z303-2000))+N(INDEX(周转筐出入库明细!$I$4:$I$2004,$Z303-2000))+N(INDEX(周转筐出入库明细!$J$4:$J$2004,$Z303-2000))+N(INDEX(周转筐出入库明细!$K$4:$K$2004,$Z303-2000)),IF($Z303&lt;=5200,N(INDEX(客户自备加工筐明细!$F$4:$F$1203,$Z303-4000))+N(INDEX(客户自备加工筐明细!$G$4:$G$1203,$Z303-4000)),IF($Z303&lt;=5800,IF(INDEX(次果筐明细!$G$4:$G$603,$Z303-5200)=0,"",INDEX(次果筐明细!$G$4:$G$603,$Z303-5200)),"")))))</f>
        <v/>
      </c>
      <c r="I303" s="24" t="str">
        <f>IF($Z303="","",IF($Z303&lt;=2000,IF(INDEX(包装物料出入库明细!$G$4:$G$2003,$Z303-0)=0,"",INDEX(包装物料出入库明细!$G$4:$G$2003,$Z303-0)),IF($Z303&lt;=4000,"个",IF($Z303&lt;=5200,"个",IF($Z303&lt;=5800,"个","")))))</f>
        <v/>
      </c>
      <c r="J303" s="30" t="str">
        <f t="shared" si="13"/>
        <v/>
      </c>
      <c r="K303" s="30" t="str">
        <f>IF($Z303="","",IF($Z303&lt;=2000,IF(INDEX(包装物料出入库明细!$N$4:$N$2003,$Z303-0)=0,"",INDEX(包装物料出入库明细!$N$4:$N$2003,$Z303-0)),IF($Z303&lt;=4000,IF(INDEX(周转筐出入库明细!$P$4:$P$2004,$Z303-2000)=0,"",INDEX(周转筐出入库明细!$P$4:$P$2004,$Z303-2000)),IF($Z303&lt;=5200,"",IF($Z303&lt;=5800,N(INDEX(次果筐明细!$L$4:$L$603,$Z303-5200))+N(INDEX(次果筐明细!$J$4:$J$603,$Z303-5200)),"")))))</f>
        <v/>
      </c>
      <c r="L303" s="24" t="str">
        <f>IF($Z303="","",IF($Z303&lt;=2000,IF(INDEX(包装物料出入库明细!$P$4:$P$2003,$Z303-0)=0,"",INDEX(包装物料出入库明细!$P$4:$P$2003,$Z303-0)),IF($Z303&lt;=4000,IF(INDEX(周转筐出入库明细!$Q$4:$Q$2004,$Z303-2000)=0,"",INDEX(周转筐出入库明细!$Q$4:$Q$2004,$Z303-2000)),IF($Z303&lt;=5200,"",IF($Z303&lt;=5800,IF(INDEX(次果筐明细!$M$4:$M$603,$Z303-5200)=0,"",INDEX(次果筐明细!$M$4:$M$603,$Z303-5200)),"")))))</f>
        <v/>
      </c>
      <c r="M303" s="37" t="str">
        <f>IF($Z303="","",IF($Z303&lt;=2000,IF(INDEX(包装物料出入库明细!$R$4:$R$2003,$Z303-0)=0,"",INDEX(包装物料出入库明细!$R$4:$R$2003,$Z303-0)),IF($Z303&lt;=4000,IF(INDEX(周转筐出入库明细!$W$4:$W$2004,$Z303-2000)=0,"",INDEX(周转筐出入库明细!$W$4:$W$2004,$Z303-2000)),IF($Z303&lt;=5200,IF(INDEX(客户自备加工筐明细!$L$4:$L$1203,$Z303-4000)=0,"",INDEX(客户自备加工筐明细!$L$4:$L$1203,$Z303-4000)),IF($Z303&lt;=5800,IF(INDEX(次果筐明细!$P$4:$P$603,$Z303-5200)=0,"",INDEX(次果筐明细!$P$4:$P$603,$Z303-5200)),"")))))</f>
        <v/>
      </c>
      <c r="N303" s="16" t="str">
        <f>IF($Z303="","",IF($Z303&lt;=2000,"",IF($Z303&lt;=4000,IF(INDEX(周转筐出入库明细!$D$4:$D$2004,$Z303-2000)=0,"",INDEX(周转筐出入库明细!$D$4:$D$2004,$Z303-2000)),IF($Z303&lt;=5200,IF(INDEX(客户自备加工筐明细!$C$4:$C$1203,$Z303-4000)=0,"",INDEX(客户自备加工筐明细!$C$4:$C$1203,$Z303-4000)),IF($Z303&lt;=5800,IF(INDEX(次果筐明细!$D$4:$D$603,$Z303-5200)=0,"",INDEX(次果筐明细!$D$4:$D$603,$Z303-5200)),"")))))</f>
        <v/>
      </c>
      <c r="O303" s="40" t="str">
        <f>IF($Z303="","",IF($Z303&lt;=2000,"",IF($Z303&lt;=4000,IF(N(INDEX(周转筐出入库明细!$J$4:$J$2004,$Z303-2000))+N(INDEX(周转筐出入库明细!$K$4:$K$2004,$Z303-2000))=0,"",N(INDEX(周转筐出入库明细!$J$4:$J$2004,$Z303-2000))+N(INDEX(周转筐出入库明细!$K$4:$K$2004,$Z303-2000))),IF($Z303&lt;=5200,IF(N(INDEX(客户自备加工筐明细!$G$4:$G$1203,$Z303-4000))=0,"",N(INDEX(客户自备加工筐明细!$G$4:$G$1203,$Z303-4000))),IF($Z303&lt;=5800,IF(ISNUMBER(SEARCH("退",INDEX(次果筐明细!$F$4:$F$603,$Z303-5200)&amp;"")),"",IF(N(INDEX(次果筐明细!$G$4:$G$603,$Z303-5200))=0,"",N(INDEX(次果筐明细!$G$4:$G$603,$Z303-5200)))),"")))))</f>
        <v/>
      </c>
      <c r="P303" s="40" t="str">
        <f>IF($Z303="","",IF($Z303&lt;=2000,"",IF($Z303&lt;=4000,IF(N(INDEX(周转筐出入库明细!$I$4:$I$2004,$Z303-2000))=0,"",N(INDEX(周转筐出入库明细!$I$4:$I$2004,$Z303-2000))),IF($Z303&lt;=5200,"",IF($Z303&lt;=5800,IF(ISNUMBER(SEARCH("退",INDEX(次果筐明细!$F$4:$F$603,$Z303-5200)&amp;"")),IF(N(INDEX(次果筐明细!$G$4:$G$603,$Z303-5200))=0,"",N(INDEX(次果筐明细!$G$4:$G$603,$Z303-5200))),""),"")))))</f>
        <v/>
      </c>
      <c r="Q303" s="40" t="str">
        <f>IF($Z303="","",IF($Z303&lt;=2000,"",IF($Z303&lt;=4000,IF(N(INDEX(周转筐出入库明细!$H$4:$H$2004,$Z303-2000))=0,"",N(INDEX(周转筐出入库明细!$H$4:$H$2004,$Z303-2000))),IF($Z303&lt;=5200,IF(N(INDEX(客户自备加工筐明细!$F$4:$F$1203,$Z303-4000))=0,"",N(INDEX(客户自备加工筐明细!$F$4:$F$1203,$Z303-4000))),IF($Z303&lt;=5800,"","")))))</f>
        <v/>
      </c>
      <c r="R303" s="16" t="str">
        <f>IF($Z303="","",IF($Z303&lt;=2000,IF(INDEX(包装物料出入库明细!$O$4:$O$2003,$Z303-0)=0,"",INDEX(包装物料出入库明细!$O$4:$O$2003,$Z303-0)),IF($Z303&lt;=4000,IF(INDEX(周转筐出入库明细!$M$4:$M$2004,$Z303-2000)=0,"",INDEX(周转筐出入库明细!$M$4:$M$2004,$Z303-2000)),IF($Z303&lt;=5200,IF(INDEX(客户自备加工筐明细!$H$4:$H$1203,$Z303-4000)=0,"",INDEX(客户自备加工筐明细!$H$4:$H$1203,$Z303-4000)),IF($Z303&lt;=5800,IF(INDEX(次果筐明细!$H$4:$H$603,$Z303-5200)=0,"",INDEX(次果筐明细!$H$4:$H$603,$Z303-5200)),"")))))</f>
        <v/>
      </c>
      <c r="S303" s="22" t="str">
        <f t="shared" si="14"/>
        <v/>
      </c>
      <c r="Z303" s="10" t="str">
        <f>IFERROR(MATCH(ROW()-3,_自动清单!$CQ$4:$CQ$5803,0),"")</f>
        <v/>
      </c>
    </row>
    <row r="304" spans="1:26">
      <c r="A304" s="24" t="str">
        <f t="shared" si="12"/>
        <v/>
      </c>
      <c r="B304" s="38" t="str">
        <f>IF($Z304="","",IF($Z304&lt;=2000,IF(INDEX(包装物料出入库明细!$B$4:$B$2003,$Z304-0)=0,"",INDEX(包装物料出入库明细!$B$4:$B$2003,$Z304-0)),IF($Z304&lt;=4000,IF(INDEX(周转筐出入库明细!$B$4:$B$2004,$Z304-2000)=0,"",INDEX(周转筐出入库明细!$B$4:$B$2004,$Z304-2000)),IF($Z304&lt;=5200,IF(INDEX(客户自备加工筐明细!$B$4:$B$1203,$Z304-4000)=0,"",INDEX(客户自备加工筐明细!$B$4:$B$1203,$Z304-4000)),IF($Z304&lt;=5800,IF(INDEX(次果筐明细!$B$4:$B$603,$Z304-5200)=0,"",INDEX(次果筐明细!$B$4:$B$603,$Z304-5200)),"")))))</f>
        <v/>
      </c>
      <c r="C304" s="37" t="str">
        <f>IF($Z304="","",IF($Z304&lt;=2000,IF(INDEX(包装物料出入库明细!$D$4:$D$2003,$Z304-0)=0,"",INDEX(包装物料出入库明细!$D$4:$D$2003,$Z304-0)),IF($Z304&lt;=4000,IF(INDEX(周转筐出入库明细!$C$4:$C$2004,$Z304-2000)=0,"",INDEX(周转筐出入库明细!$C$4:$C$2004,$Z304-2000)),IF($Z304&lt;=5200,IF(INDEX(客户自备加工筐明细!$E$4:$E$1203,$Z304-4000)=0,"",INDEX(客户自备加工筐明细!$E$4:$E$1203,$Z304-4000)),IF($Z304&lt;=5800,IF(INDEX(次果筐明细!$C$4:$C$603,$Z304-5200)=0,"",INDEX(次果筐明细!$C$4:$C$603,$Z304-5200)),"")))))</f>
        <v/>
      </c>
      <c r="D304" s="37" t="str">
        <f>IF($Z304="","",IF($Z304&lt;=2000,"包装物料－"&amp;INDEX(包装物料出入库明细!$H$4:$H$2003,$Z304-0),IF($Z304&lt;=4000,"周转筐－"&amp;INDEX(周转筐出入库明细!$F$4:$F$2004,$Z304-2000),IF($Z304&lt;=5200,"客户自备筐－"&amp;INDEX(客户自备加工筐明细!$J$4:$J$1203,$Z304-4000),IF($Z304&lt;=5800,"次果筐/托盘－"&amp;INDEX(次果筐明细!$F$4:$F$603,$Z304-5200),"")))))</f>
        <v/>
      </c>
      <c r="E304" s="24" t="str">
        <f>IF($Z304="","",IF($Z304&lt;=2000,IF(INDEX(包装物料出入库明细!$C$4:$C$2003,$Z304-0)=0,"",INDEX(包装物料出入库明细!$C$4:$C$2003,$Z304-0)),IF($Z304&lt;=4000,IF(INDEX(周转筐出入库明细!$E$4:$E$2004,$Z304-2000)=0,"",INDEX(周转筐出入库明细!$E$4:$E$2004,$Z304-2000)),IF($Z304&lt;=5200,IF(INDEX(客户自备加工筐明细!$D$4:$D$1203,$Z304-4000)=0,"",INDEX(客户自备加工筐明细!$D$4:$D$1203,$Z304-4000)),IF($Z304&lt;=5800,IF(INDEX(次果筐明细!$E$4:$E$603,$Z304-5200)=0,"",INDEX(次果筐明细!$E$4:$E$603,$Z304-5200)),"")))))</f>
        <v/>
      </c>
      <c r="F304" s="24" t="str">
        <f>IF($Z304="","",IF($Z304&lt;=2000,IF(INDEX(包装物料出入库明细!$E$4:$E$2003,$Z304-0)=0,"",INDEX(包装物料出入库明细!$E$4:$E$2003,$Z304-0)),IF($Z304&lt;=4000,IF(INDEX(周转筐出入库明细!$D$4:$D$2004,$Z304-2000)=0,"",INDEX(周转筐出入库明细!$D$4:$D$2004,$Z304-2000)),IF($Z304&lt;=5200,IF(INDEX(客户自备加工筐明细!$C$4:$C$1203,$Z304-4000)=0,"",INDEX(客户自备加工筐明细!$C$4:$C$1203,$Z304-4000)),IF($Z304&lt;=5800,IF(INDEX(次果筐明细!$D$4:$D$603,$Z304-5200)=0,"",INDEX(次果筐明细!$D$4:$D$603,$Z304-5200)),"")))))</f>
        <v/>
      </c>
      <c r="G304" s="24" t="str">
        <f>IF($Z304="","",IF($Z304&lt;=2000,IF(INDEX(包装物料出入库明细!$F$4:$F$2003,$Z304-0)=0,"",INDEX(包装物料出入库明细!$F$4:$F$2003,$Z304-0)),IF($Z304&lt;=4000,"",IF($Z304&lt;=5200,"",IF($Z304&lt;=5800,"","")))))</f>
        <v/>
      </c>
      <c r="H304" s="39" t="str">
        <f>IF($Z304="","",IF($Z304&lt;=2000,IF(INDEX(包装物料出入库明细!$L$4:$L$2003,$Z304-0)=0,"",INDEX(包装物料出入库明细!$L$4:$L$2003,$Z304-0)),IF($Z304&lt;=4000,N(INDEX(周转筐出入库明细!$H$4:$H$2004,$Z304-2000))+N(INDEX(周转筐出入库明细!$I$4:$I$2004,$Z304-2000))+N(INDEX(周转筐出入库明细!$J$4:$J$2004,$Z304-2000))+N(INDEX(周转筐出入库明细!$K$4:$K$2004,$Z304-2000)),IF($Z304&lt;=5200,N(INDEX(客户自备加工筐明细!$F$4:$F$1203,$Z304-4000))+N(INDEX(客户自备加工筐明细!$G$4:$G$1203,$Z304-4000)),IF($Z304&lt;=5800,IF(INDEX(次果筐明细!$G$4:$G$603,$Z304-5200)=0,"",INDEX(次果筐明细!$G$4:$G$603,$Z304-5200)),"")))))</f>
        <v/>
      </c>
      <c r="I304" s="24" t="str">
        <f>IF($Z304="","",IF($Z304&lt;=2000,IF(INDEX(包装物料出入库明细!$G$4:$G$2003,$Z304-0)=0,"",INDEX(包装物料出入库明细!$G$4:$G$2003,$Z304-0)),IF($Z304&lt;=4000,"个",IF($Z304&lt;=5200,"个",IF($Z304&lt;=5800,"个","")))))</f>
        <v/>
      </c>
      <c r="J304" s="30" t="str">
        <f t="shared" si="13"/>
        <v/>
      </c>
      <c r="K304" s="30" t="str">
        <f>IF($Z304="","",IF($Z304&lt;=2000,IF(INDEX(包装物料出入库明细!$N$4:$N$2003,$Z304-0)=0,"",INDEX(包装物料出入库明细!$N$4:$N$2003,$Z304-0)),IF($Z304&lt;=4000,IF(INDEX(周转筐出入库明细!$P$4:$P$2004,$Z304-2000)=0,"",INDEX(周转筐出入库明细!$P$4:$P$2004,$Z304-2000)),IF($Z304&lt;=5200,"",IF($Z304&lt;=5800,N(INDEX(次果筐明细!$L$4:$L$603,$Z304-5200))+N(INDEX(次果筐明细!$J$4:$J$603,$Z304-5200)),"")))))</f>
        <v/>
      </c>
      <c r="L304" s="24" t="str">
        <f>IF($Z304="","",IF($Z304&lt;=2000,IF(INDEX(包装物料出入库明细!$P$4:$P$2003,$Z304-0)=0,"",INDEX(包装物料出入库明细!$P$4:$P$2003,$Z304-0)),IF($Z304&lt;=4000,IF(INDEX(周转筐出入库明细!$Q$4:$Q$2004,$Z304-2000)=0,"",INDEX(周转筐出入库明细!$Q$4:$Q$2004,$Z304-2000)),IF($Z304&lt;=5200,"",IF($Z304&lt;=5800,IF(INDEX(次果筐明细!$M$4:$M$603,$Z304-5200)=0,"",INDEX(次果筐明细!$M$4:$M$603,$Z304-5200)),"")))))</f>
        <v/>
      </c>
      <c r="M304" s="37" t="str">
        <f>IF($Z304="","",IF($Z304&lt;=2000,IF(INDEX(包装物料出入库明细!$R$4:$R$2003,$Z304-0)=0,"",INDEX(包装物料出入库明细!$R$4:$R$2003,$Z304-0)),IF($Z304&lt;=4000,IF(INDEX(周转筐出入库明细!$W$4:$W$2004,$Z304-2000)=0,"",INDEX(周转筐出入库明细!$W$4:$W$2004,$Z304-2000)),IF($Z304&lt;=5200,IF(INDEX(客户自备加工筐明细!$L$4:$L$1203,$Z304-4000)=0,"",INDEX(客户自备加工筐明细!$L$4:$L$1203,$Z304-4000)),IF($Z304&lt;=5800,IF(INDEX(次果筐明细!$P$4:$P$603,$Z304-5200)=0,"",INDEX(次果筐明细!$P$4:$P$603,$Z304-5200)),"")))))</f>
        <v/>
      </c>
      <c r="N304" s="16" t="str">
        <f>IF($Z304="","",IF($Z304&lt;=2000,"",IF($Z304&lt;=4000,IF(INDEX(周转筐出入库明细!$D$4:$D$2004,$Z304-2000)=0,"",INDEX(周转筐出入库明细!$D$4:$D$2004,$Z304-2000)),IF($Z304&lt;=5200,IF(INDEX(客户自备加工筐明细!$C$4:$C$1203,$Z304-4000)=0,"",INDEX(客户自备加工筐明细!$C$4:$C$1203,$Z304-4000)),IF($Z304&lt;=5800,IF(INDEX(次果筐明细!$D$4:$D$603,$Z304-5200)=0,"",INDEX(次果筐明细!$D$4:$D$603,$Z304-5200)),"")))))</f>
        <v/>
      </c>
      <c r="O304" s="40" t="str">
        <f>IF($Z304="","",IF($Z304&lt;=2000,"",IF($Z304&lt;=4000,IF(N(INDEX(周转筐出入库明细!$J$4:$J$2004,$Z304-2000))+N(INDEX(周转筐出入库明细!$K$4:$K$2004,$Z304-2000))=0,"",N(INDEX(周转筐出入库明细!$J$4:$J$2004,$Z304-2000))+N(INDEX(周转筐出入库明细!$K$4:$K$2004,$Z304-2000))),IF($Z304&lt;=5200,IF(N(INDEX(客户自备加工筐明细!$G$4:$G$1203,$Z304-4000))=0,"",N(INDEX(客户自备加工筐明细!$G$4:$G$1203,$Z304-4000))),IF($Z304&lt;=5800,IF(ISNUMBER(SEARCH("退",INDEX(次果筐明细!$F$4:$F$603,$Z304-5200)&amp;"")),"",IF(N(INDEX(次果筐明细!$G$4:$G$603,$Z304-5200))=0,"",N(INDEX(次果筐明细!$G$4:$G$603,$Z304-5200)))),"")))))</f>
        <v/>
      </c>
      <c r="P304" s="40" t="str">
        <f>IF($Z304="","",IF($Z304&lt;=2000,"",IF($Z304&lt;=4000,IF(N(INDEX(周转筐出入库明细!$I$4:$I$2004,$Z304-2000))=0,"",N(INDEX(周转筐出入库明细!$I$4:$I$2004,$Z304-2000))),IF($Z304&lt;=5200,"",IF($Z304&lt;=5800,IF(ISNUMBER(SEARCH("退",INDEX(次果筐明细!$F$4:$F$603,$Z304-5200)&amp;"")),IF(N(INDEX(次果筐明细!$G$4:$G$603,$Z304-5200))=0,"",N(INDEX(次果筐明细!$G$4:$G$603,$Z304-5200))),""),"")))))</f>
        <v/>
      </c>
      <c r="Q304" s="40" t="str">
        <f>IF($Z304="","",IF($Z304&lt;=2000,"",IF($Z304&lt;=4000,IF(N(INDEX(周转筐出入库明细!$H$4:$H$2004,$Z304-2000))=0,"",N(INDEX(周转筐出入库明细!$H$4:$H$2004,$Z304-2000))),IF($Z304&lt;=5200,IF(N(INDEX(客户自备加工筐明细!$F$4:$F$1203,$Z304-4000))=0,"",N(INDEX(客户自备加工筐明细!$F$4:$F$1203,$Z304-4000))),IF($Z304&lt;=5800,"","")))))</f>
        <v/>
      </c>
      <c r="R304" s="16" t="str">
        <f>IF($Z304="","",IF($Z304&lt;=2000,IF(INDEX(包装物料出入库明细!$O$4:$O$2003,$Z304-0)=0,"",INDEX(包装物料出入库明细!$O$4:$O$2003,$Z304-0)),IF($Z304&lt;=4000,IF(INDEX(周转筐出入库明细!$M$4:$M$2004,$Z304-2000)=0,"",INDEX(周转筐出入库明细!$M$4:$M$2004,$Z304-2000)),IF($Z304&lt;=5200,IF(INDEX(客户自备加工筐明细!$H$4:$H$1203,$Z304-4000)=0,"",INDEX(客户自备加工筐明细!$H$4:$H$1203,$Z304-4000)),IF($Z304&lt;=5800,IF(INDEX(次果筐明细!$H$4:$H$603,$Z304-5200)=0,"",INDEX(次果筐明细!$H$4:$H$603,$Z304-5200)),"")))))</f>
        <v/>
      </c>
      <c r="S304" s="22" t="str">
        <f t="shared" si="14"/>
        <v/>
      </c>
      <c r="Z304" s="10" t="str">
        <f>IFERROR(MATCH(ROW()-3,_自动清单!$CQ$4:$CQ$5803,0),"")</f>
        <v/>
      </c>
    </row>
    <row r="305" spans="1:26">
      <c r="A305" s="24" t="str">
        <f t="shared" si="12"/>
        <v/>
      </c>
      <c r="B305" s="38" t="str">
        <f>IF($Z305="","",IF($Z305&lt;=2000,IF(INDEX(包装物料出入库明细!$B$4:$B$2003,$Z305-0)=0,"",INDEX(包装物料出入库明细!$B$4:$B$2003,$Z305-0)),IF($Z305&lt;=4000,IF(INDEX(周转筐出入库明细!$B$4:$B$2004,$Z305-2000)=0,"",INDEX(周转筐出入库明细!$B$4:$B$2004,$Z305-2000)),IF($Z305&lt;=5200,IF(INDEX(客户自备加工筐明细!$B$4:$B$1203,$Z305-4000)=0,"",INDEX(客户自备加工筐明细!$B$4:$B$1203,$Z305-4000)),IF($Z305&lt;=5800,IF(INDEX(次果筐明细!$B$4:$B$603,$Z305-5200)=0,"",INDEX(次果筐明细!$B$4:$B$603,$Z305-5200)),"")))))</f>
        <v/>
      </c>
      <c r="C305" s="37" t="str">
        <f>IF($Z305="","",IF($Z305&lt;=2000,IF(INDEX(包装物料出入库明细!$D$4:$D$2003,$Z305-0)=0,"",INDEX(包装物料出入库明细!$D$4:$D$2003,$Z305-0)),IF($Z305&lt;=4000,IF(INDEX(周转筐出入库明细!$C$4:$C$2004,$Z305-2000)=0,"",INDEX(周转筐出入库明细!$C$4:$C$2004,$Z305-2000)),IF($Z305&lt;=5200,IF(INDEX(客户自备加工筐明细!$E$4:$E$1203,$Z305-4000)=0,"",INDEX(客户自备加工筐明细!$E$4:$E$1203,$Z305-4000)),IF($Z305&lt;=5800,IF(INDEX(次果筐明细!$C$4:$C$603,$Z305-5200)=0,"",INDEX(次果筐明细!$C$4:$C$603,$Z305-5200)),"")))))</f>
        <v/>
      </c>
      <c r="D305" s="37" t="str">
        <f>IF($Z305="","",IF($Z305&lt;=2000,"包装物料－"&amp;INDEX(包装物料出入库明细!$H$4:$H$2003,$Z305-0),IF($Z305&lt;=4000,"周转筐－"&amp;INDEX(周转筐出入库明细!$F$4:$F$2004,$Z305-2000),IF($Z305&lt;=5200,"客户自备筐－"&amp;INDEX(客户自备加工筐明细!$J$4:$J$1203,$Z305-4000),IF($Z305&lt;=5800,"次果筐/托盘－"&amp;INDEX(次果筐明细!$F$4:$F$603,$Z305-5200),"")))))</f>
        <v/>
      </c>
      <c r="E305" s="24" t="str">
        <f>IF($Z305="","",IF($Z305&lt;=2000,IF(INDEX(包装物料出入库明细!$C$4:$C$2003,$Z305-0)=0,"",INDEX(包装物料出入库明细!$C$4:$C$2003,$Z305-0)),IF($Z305&lt;=4000,IF(INDEX(周转筐出入库明细!$E$4:$E$2004,$Z305-2000)=0,"",INDEX(周转筐出入库明细!$E$4:$E$2004,$Z305-2000)),IF($Z305&lt;=5200,IF(INDEX(客户自备加工筐明细!$D$4:$D$1203,$Z305-4000)=0,"",INDEX(客户自备加工筐明细!$D$4:$D$1203,$Z305-4000)),IF($Z305&lt;=5800,IF(INDEX(次果筐明细!$E$4:$E$603,$Z305-5200)=0,"",INDEX(次果筐明细!$E$4:$E$603,$Z305-5200)),"")))))</f>
        <v/>
      </c>
      <c r="F305" s="24" t="str">
        <f>IF($Z305="","",IF($Z305&lt;=2000,IF(INDEX(包装物料出入库明细!$E$4:$E$2003,$Z305-0)=0,"",INDEX(包装物料出入库明细!$E$4:$E$2003,$Z305-0)),IF($Z305&lt;=4000,IF(INDEX(周转筐出入库明细!$D$4:$D$2004,$Z305-2000)=0,"",INDEX(周转筐出入库明细!$D$4:$D$2004,$Z305-2000)),IF($Z305&lt;=5200,IF(INDEX(客户自备加工筐明细!$C$4:$C$1203,$Z305-4000)=0,"",INDEX(客户自备加工筐明细!$C$4:$C$1203,$Z305-4000)),IF($Z305&lt;=5800,IF(INDEX(次果筐明细!$D$4:$D$603,$Z305-5200)=0,"",INDEX(次果筐明细!$D$4:$D$603,$Z305-5200)),"")))))</f>
        <v/>
      </c>
      <c r="G305" s="24" t="str">
        <f>IF($Z305="","",IF($Z305&lt;=2000,IF(INDEX(包装物料出入库明细!$F$4:$F$2003,$Z305-0)=0,"",INDEX(包装物料出入库明细!$F$4:$F$2003,$Z305-0)),IF($Z305&lt;=4000,"",IF($Z305&lt;=5200,"",IF($Z305&lt;=5800,"","")))))</f>
        <v/>
      </c>
      <c r="H305" s="39" t="str">
        <f>IF($Z305="","",IF($Z305&lt;=2000,IF(INDEX(包装物料出入库明细!$L$4:$L$2003,$Z305-0)=0,"",INDEX(包装物料出入库明细!$L$4:$L$2003,$Z305-0)),IF($Z305&lt;=4000,N(INDEX(周转筐出入库明细!$H$4:$H$2004,$Z305-2000))+N(INDEX(周转筐出入库明细!$I$4:$I$2004,$Z305-2000))+N(INDEX(周转筐出入库明细!$J$4:$J$2004,$Z305-2000))+N(INDEX(周转筐出入库明细!$K$4:$K$2004,$Z305-2000)),IF($Z305&lt;=5200,N(INDEX(客户自备加工筐明细!$F$4:$F$1203,$Z305-4000))+N(INDEX(客户自备加工筐明细!$G$4:$G$1203,$Z305-4000)),IF($Z305&lt;=5800,IF(INDEX(次果筐明细!$G$4:$G$603,$Z305-5200)=0,"",INDEX(次果筐明细!$G$4:$G$603,$Z305-5200)),"")))))</f>
        <v/>
      </c>
      <c r="I305" s="24" t="str">
        <f>IF($Z305="","",IF($Z305&lt;=2000,IF(INDEX(包装物料出入库明细!$G$4:$G$2003,$Z305-0)=0,"",INDEX(包装物料出入库明细!$G$4:$G$2003,$Z305-0)),IF($Z305&lt;=4000,"个",IF($Z305&lt;=5200,"个",IF($Z305&lt;=5800,"个","")))))</f>
        <v/>
      </c>
      <c r="J305" s="30" t="str">
        <f t="shared" si="13"/>
        <v/>
      </c>
      <c r="K305" s="30" t="str">
        <f>IF($Z305="","",IF($Z305&lt;=2000,IF(INDEX(包装物料出入库明细!$N$4:$N$2003,$Z305-0)=0,"",INDEX(包装物料出入库明细!$N$4:$N$2003,$Z305-0)),IF($Z305&lt;=4000,IF(INDEX(周转筐出入库明细!$P$4:$P$2004,$Z305-2000)=0,"",INDEX(周转筐出入库明细!$P$4:$P$2004,$Z305-2000)),IF($Z305&lt;=5200,"",IF($Z305&lt;=5800,N(INDEX(次果筐明细!$L$4:$L$603,$Z305-5200))+N(INDEX(次果筐明细!$J$4:$J$603,$Z305-5200)),"")))))</f>
        <v/>
      </c>
      <c r="L305" s="24" t="str">
        <f>IF($Z305="","",IF($Z305&lt;=2000,IF(INDEX(包装物料出入库明细!$P$4:$P$2003,$Z305-0)=0,"",INDEX(包装物料出入库明细!$P$4:$P$2003,$Z305-0)),IF($Z305&lt;=4000,IF(INDEX(周转筐出入库明细!$Q$4:$Q$2004,$Z305-2000)=0,"",INDEX(周转筐出入库明细!$Q$4:$Q$2004,$Z305-2000)),IF($Z305&lt;=5200,"",IF($Z305&lt;=5800,IF(INDEX(次果筐明细!$M$4:$M$603,$Z305-5200)=0,"",INDEX(次果筐明细!$M$4:$M$603,$Z305-5200)),"")))))</f>
        <v/>
      </c>
      <c r="M305" s="37" t="str">
        <f>IF($Z305="","",IF($Z305&lt;=2000,IF(INDEX(包装物料出入库明细!$R$4:$R$2003,$Z305-0)=0,"",INDEX(包装物料出入库明细!$R$4:$R$2003,$Z305-0)),IF($Z305&lt;=4000,IF(INDEX(周转筐出入库明细!$W$4:$W$2004,$Z305-2000)=0,"",INDEX(周转筐出入库明细!$W$4:$W$2004,$Z305-2000)),IF($Z305&lt;=5200,IF(INDEX(客户自备加工筐明细!$L$4:$L$1203,$Z305-4000)=0,"",INDEX(客户自备加工筐明细!$L$4:$L$1203,$Z305-4000)),IF($Z305&lt;=5800,IF(INDEX(次果筐明细!$P$4:$P$603,$Z305-5200)=0,"",INDEX(次果筐明细!$P$4:$P$603,$Z305-5200)),"")))))</f>
        <v/>
      </c>
      <c r="N305" s="16" t="str">
        <f>IF($Z305="","",IF($Z305&lt;=2000,"",IF($Z305&lt;=4000,IF(INDEX(周转筐出入库明细!$D$4:$D$2004,$Z305-2000)=0,"",INDEX(周转筐出入库明细!$D$4:$D$2004,$Z305-2000)),IF($Z305&lt;=5200,IF(INDEX(客户自备加工筐明细!$C$4:$C$1203,$Z305-4000)=0,"",INDEX(客户自备加工筐明细!$C$4:$C$1203,$Z305-4000)),IF($Z305&lt;=5800,IF(INDEX(次果筐明细!$D$4:$D$603,$Z305-5200)=0,"",INDEX(次果筐明细!$D$4:$D$603,$Z305-5200)),"")))))</f>
        <v/>
      </c>
      <c r="O305" s="40" t="str">
        <f>IF($Z305="","",IF($Z305&lt;=2000,"",IF($Z305&lt;=4000,IF(N(INDEX(周转筐出入库明细!$J$4:$J$2004,$Z305-2000))+N(INDEX(周转筐出入库明细!$K$4:$K$2004,$Z305-2000))=0,"",N(INDEX(周转筐出入库明细!$J$4:$J$2004,$Z305-2000))+N(INDEX(周转筐出入库明细!$K$4:$K$2004,$Z305-2000))),IF($Z305&lt;=5200,IF(N(INDEX(客户自备加工筐明细!$G$4:$G$1203,$Z305-4000))=0,"",N(INDEX(客户自备加工筐明细!$G$4:$G$1203,$Z305-4000))),IF($Z305&lt;=5800,IF(ISNUMBER(SEARCH("退",INDEX(次果筐明细!$F$4:$F$603,$Z305-5200)&amp;"")),"",IF(N(INDEX(次果筐明细!$G$4:$G$603,$Z305-5200))=0,"",N(INDEX(次果筐明细!$G$4:$G$603,$Z305-5200)))),"")))))</f>
        <v/>
      </c>
      <c r="P305" s="40" t="str">
        <f>IF($Z305="","",IF($Z305&lt;=2000,"",IF($Z305&lt;=4000,IF(N(INDEX(周转筐出入库明细!$I$4:$I$2004,$Z305-2000))=0,"",N(INDEX(周转筐出入库明细!$I$4:$I$2004,$Z305-2000))),IF($Z305&lt;=5200,"",IF($Z305&lt;=5800,IF(ISNUMBER(SEARCH("退",INDEX(次果筐明细!$F$4:$F$603,$Z305-5200)&amp;"")),IF(N(INDEX(次果筐明细!$G$4:$G$603,$Z305-5200))=0,"",N(INDEX(次果筐明细!$G$4:$G$603,$Z305-5200))),""),"")))))</f>
        <v/>
      </c>
      <c r="Q305" s="40" t="str">
        <f>IF($Z305="","",IF($Z305&lt;=2000,"",IF($Z305&lt;=4000,IF(N(INDEX(周转筐出入库明细!$H$4:$H$2004,$Z305-2000))=0,"",N(INDEX(周转筐出入库明细!$H$4:$H$2004,$Z305-2000))),IF($Z305&lt;=5200,IF(N(INDEX(客户自备加工筐明细!$F$4:$F$1203,$Z305-4000))=0,"",N(INDEX(客户自备加工筐明细!$F$4:$F$1203,$Z305-4000))),IF($Z305&lt;=5800,"","")))))</f>
        <v/>
      </c>
      <c r="R305" s="16" t="str">
        <f>IF($Z305="","",IF($Z305&lt;=2000,IF(INDEX(包装物料出入库明细!$O$4:$O$2003,$Z305-0)=0,"",INDEX(包装物料出入库明细!$O$4:$O$2003,$Z305-0)),IF($Z305&lt;=4000,IF(INDEX(周转筐出入库明细!$M$4:$M$2004,$Z305-2000)=0,"",INDEX(周转筐出入库明细!$M$4:$M$2004,$Z305-2000)),IF($Z305&lt;=5200,IF(INDEX(客户自备加工筐明细!$H$4:$H$1203,$Z305-4000)=0,"",INDEX(客户自备加工筐明细!$H$4:$H$1203,$Z305-4000)),IF($Z305&lt;=5800,IF(INDEX(次果筐明细!$H$4:$H$603,$Z305-5200)=0,"",INDEX(次果筐明细!$H$4:$H$603,$Z305-5200)),"")))))</f>
        <v/>
      </c>
      <c r="S305" s="22" t="str">
        <f t="shared" si="14"/>
        <v/>
      </c>
      <c r="Z305" s="10" t="str">
        <f>IFERROR(MATCH(ROW()-3,_自动清单!$CQ$4:$CQ$5803,0),"")</f>
        <v/>
      </c>
    </row>
    <row r="306" spans="1:26">
      <c r="A306" s="24" t="str">
        <f t="shared" si="12"/>
        <v/>
      </c>
      <c r="B306" s="38" t="str">
        <f>IF($Z306="","",IF($Z306&lt;=2000,IF(INDEX(包装物料出入库明细!$B$4:$B$2003,$Z306-0)=0,"",INDEX(包装物料出入库明细!$B$4:$B$2003,$Z306-0)),IF($Z306&lt;=4000,IF(INDEX(周转筐出入库明细!$B$4:$B$2004,$Z306-2000)=0,"",INDEX(周转筐出入库明细!$B$4:$B$2004,$Z306-2000)),IF($Z306&lt;=5200,IF(INDEX(客户自备加工筐明细!$B$4:$B$1203,$Z306-4000)=0,"",INDEX(客户自备加工筐明细!$B$4:$B$1203,$Z306-4000)),IF($Z306&lt;=5800,IF(INDEX(次果筐明细!$B$4:$B$603,$Z306-5200)=0,"",INDEX(次果筐明细!$B$4:$B$603,$Z306-5200)),"")))))</f>
        <v/>
      </c>
      <c r="C306" s="37" t="str">
        <f>IF($Z306="","",IF($Z306&lt;=2000,IF(INDEX(包装物料出入库明细!$D$4:$D$2003,$Z306-0)=0,"",INDEX(包装物料出入库明细!$D$4:$D$2003,$Z306-0)),IF($Z306&lt;=4000,IF(INDEX(周转筐出入库明细!$C$4:$C$2004,$Z306-2000)=0,"",INDEX(周转筐出入库明细!$C$4:$C$2004,$Z306-2000)),IF($Z306&lt;=5200,IF(INDEX(客户自备加工筐明细!$E$4:$E$1203,$Z306-4000)=0,"",INDEX(客户自备加工筐明细!$E$4:$E$1203,$Z306-4000)),IF($Z306&lt;=5800,IF(INDEX(次果筐明细!$C$4:$C$603,$Z306-5200)=0,"",INDEX(次果筐明细!$C$4:$C$603,$Z306-5200)),"")))))</f>
        <v/>
      </c>
      <c r="D306" s="37" t="str">
        <f>IF($Z306="","",IF($Z306&lt;=2000,"包装物料－"&amp;INDEX(包装物料出入库明细!$H$4:$H$2003,$Z306-0),IF($Z306&lt;=4000,"周转筐－"&amp;INDEX(周转筐出入库明细!$F$4:$F$2004,$Z306-2000),IF($Z306&lt;=5200,"客户自备筐－"&amp;INDEX(客户自备加工筐明细!$J$4:$J$1203,$Z306-4000),IF($Z306&lt;=5800,"次果筐/托盘－"&amp;INDEX(次果筐明细!$F$4:$F$603,$Z306-5200),"")))))</f>
        <v/>
      </c>
      <c r="E306" s="24" t="str">
        <f>IF($Z306="","",IF($Z306&lt;=2000,IF(INDEX(包装物料出入库明细!$C$4:$C$2003,$Z306-0)=0,"",INDEX(包装物料出入库明细!$C$4:$C$2003,$Z306-0)),IF($Z306&lt;=4000,IF(INDEX(周转筐出入库明细!$E$4:$E$2004,$Z306-2000)=0,"",INDEX(周转筐出入库明细!$E$4:$E$2004,$Z306-2000)),IF($Z306&lt;=5200,IF(INDEX(客户自备加工筐明细!$D$4:$D$1203,$Z306-4000)=0,"",INDEX(客户自备加工筐明细!$D$4:$D$1203,$Z306-4000)),IF($Z306&lt;=5800,IF(INDEX(次果筐明细!$E$4:$E$603,$Z306-5200)=0,"",INDEX(次果筐明细!$E$4:$E$603,$Z306-5200)),"")))))</f>
        <v/>
      </c>
      <c r="F306" s="24" t="str">
        <f>IF($Z306="","",IF($Z306&lt;=2000,IF(INDEX(包装物料出入库明细!$E$4:$E$2003,$Z306-0)=0,"",INDEX(包装物料出入库明细!$E$4:$E$2003,$Z306-0)),IF($Z306&lt;=4000,IF(INDEX(周转筐出入库明细!$D$4:$D$2004,$Z306-2000)=0,"",INDEX(周转筐出入库明细!$D$4:$D$2004,$Z306-2000)),IF($Z306&lt;=5200,IF(INDEX(客户自备加工筐明细!$C$4:$C$1203,$Z306-4000)=0,"",INDEX(客户自备加工筐明细!$C$4:$C$1203,$Z306-4000)),IF($Z306&lt;=5800,IF(INDEX(次果筐明细!$D$4:$D$603,$Z306-5200)=0,"",INDEX(次果筐明细!$D$4:$D$603,$Z306-5200)),"")))))</f>
        <v/>
      </c>
      <c r="G306" s="24" t="str">
        <f>IF($Z306="","",IF($Z306&lt;=2000,IF(INDEX(包装物料出入库明细!$F$4:$F$2003,$Z306-0)=0,"",INDEX(包装物料出入库明细!$F$4:$F$2003,$Z306-0)),IF($Z306&lt;=4000,"",IF($Z306&lt;=5200,"",IF($Z306&lt;=5800,"","")))))</f>
        <v/>
      </c>
      <c r="H306" s="39" t="str">
        <f>IF($Z306="","",IF($Z306&lt;=2000,IF(INDEX(包装物料出入库明细!$L$4:$L$2003,$Z306-0)=0,"",INDEX(包装物料出入库明细!$L$4:$L$2003,$Z306-0)),IF($Z306&lt;=4000,N(INDEX(周转筐出入库明细!$H$4:$H$2004,$Z306-2000))+N(INDEX(周转筐出入库明细!$I$4:$I$2004,$Z306-2000))+N(INDEX(周转筐出入库明细!$J$4:$J$2004,$Z306-2000))+N(INDEX(周转筐出入库明细!$K$4:$K$2004,$Z306-2000)),IF($Z306&lt;=5200,N(INDEX(客户自备加工筐明细!$F$4:$F$1203,$Z306-4000))+N(INDEX(客户自备加工筐明细!$G$4:$G$1203,$Z306-4000)),IF($Z306&lt;=5800,IF(INDEX(次果筐明细!$G$4:$G$603,$Z306-5200)=0,"",INDEX(次果筐明细!$G$4:$G$603,$Z306-5200)),"")))))</f>
        <v/>
      </c>
      <c r="I306" s="24" t="str">
        <f>IF($Z306="","",IF($Z306&lt;=2000,IF(INDEX(包装物料出入库明细!$G$4:$G$2003,$Z306-0)=0,"",INDEX(包装物料出入库明细!$G$4:$G$2003,$Z306-0)),IF($Z306&lt;=4000,"个",IF($Z306&lt;=5200,"个",IF($Z306&lt;=5800,"个","")))))</f>
        <v/>
      </c>
      <c r="J306" s="30" t="str">
        <f t="shared" si="13"/>
        <v/>
      </c>
      <c r="K306" s="30" t="str">
        <f>IF($Z306="","",IF($Z306&lt;=2000,IF(INDEX(包装物料出入库明细!$N$4:$N$2003,$Z306-0)=0,"",INDEX(包装物料出入库明细!$N$4:$N$2003,$Z306-0)),IF($Z306&lt;=4000,IF(INDEX(周转筐出入库明细!$P$4:$P$2004,$Z306-2000)=0,"",INDEX(周转筐出入库明细!$P$4:$P$2004,$Z306-2000)),IF($Z306&lt;=5200,"",IF($Z306&lt;=5800,N(INDEX(次果筐明细!$L$4:$L$603,$Z306-5200))+N(INDEX(次果筐明细!$J$4:$J$603,$Z306-5200)),"")))))</f>
        <v/>
      </c>
      <c r="L306" s="24" t="str">
        <f>IF($Z306="","",IF($Z306&lt;=2000,IF(INDEX(包装物料出入库明细!$P$4:$P$2003,$Z306-0)=0,"",INDEX(包装物料出入库明细!$P$4:$P$2003,$Z306-0)),IF($Z306&lt;=4000,IF(INDEX(周转筐出入库明细!$Q$4:$Q$2004,$Z306-2000)=0,"",INDEX(周转筐出入库明细!$Q$4:$Q$2004,$Z306-2000)),IF($Z306&lt;=5200,"",IF($Z306&lt;=5800,IF(INDEX(次果筐明细!$M$4:$M$603,$Z306-5200)=0,"",INDEX(次果筐明细!$M$4:$M$603,$Z306-5200)),"")))))</f>
        <v/>
      </c>
      <c r="M306" s="37" t="str">
        <f>IF($Z306="","",IF($Z306&lt;=2000,IF(INDEX(包装物料出入库明细!$R$4:$R$2003,$Z306-0)=0,"",INDEX(包装物料出入库明细!$R$4:$R$2003,$Z306-0)),IF($Z306&lt;=4000,IF(INDEX(周转筐出入库明细!$W$4:$W$2004,$Z306-2000)=0,"",INDEX(周转筐出入库明细!$W$4:$W$2004,$Z306-2000)),IF($Z306&lt;=5200,IF(INDEX(客户自备加工筐明细!$L$4:$L$1203,$Z306-4000)=0,"",INDEX(客户自备加工筐明细!$L$4:$L$1203,$Z306-4000)),IF($Z306&lt;=5800,IF(INDEX(次果筐明细!$P$4:$P$603,$Z306-5200)=0,"",INDEX(次果筐明细!$P$4:$P$603,$Z306-5200)),"")))))</f>
        <v/>
      </c>
      <c r="N306" s="16" t="str">
        <f>IF($Z306="","",IF($Z306&lt;=2000,"",IF($Z306&lt;=4000,IF(INDEX(周转筐出入库明细!$D$4:$D$2004,$Z306-2000)=0,"",INDEX(周转筐出入库明细!$D$4:$D$2004,$Z306-2000)),IF($Z306&lt;=5200,IF(INDEX(客户自备加工筐明细!$C$4:$C$1203,$Z306-4000)=0,"",INDEX(客户自备加工筐明细!$C$4:$C$1203,$Z306-4000)),IF($Z306&lt;=5800,IF(INDEX(次果筐明细!$D$4:$D$603,$Z306-5200)=0,"",INDEX(次果筐明细!$D$4:$D$603,$Z306-5200)),"")))))</f>
        <v/>
      </c>
      <c r="O306" s="40" t="str">
        <f>IF($Z306="","",IF($Z306&lt;=2000,"",IF($Z306&lt;=4000,IF(N(INDEX(周转筐出入库明细!$J$4:$J$2004,$Z306-2000))+N(INDEX(周转筐出入库明细!$K$4:$K$2004,$Z306-2000))=0,"",N(INDEX(周转筐出入库明细!$J$4:$J$2004,$Z306-2000))+N(INDEX(周转筐出入库明细!$K$4:$K$2004,$Z306-2000))),IF($Z306&lt;=5200,IF(N(INDEX(客户自备加工筐明细!$G$4:$G$1203,$Z306-4000))=0,"",N(INDEX(客户自备加工筐明细!$G$4:$G$1203,$Z306-4000))),IF($Z306&lt;=5800,IF(ISNUMBER(SEARCH("退",INDEX(次果筐明细!$F$4:$F$603,$Z306-5200)&amp;"")),"",IF(N(INDEX(次果筐明细!$G$4:$G$603,$Z306-5200))=0,"",N(INDEX(次果筐明细!$G$4:$G$603,$Z306-5200)))),"")))))</f>
        <v/>
      </c>
      <c r="P306" s="40" t="str">
        <f>IF($Z306="","",IF($Z306&lt;=2000,"",IF($Z306&lt;=4000,IF(N(INDEX(周转筐出入库明细!$I$4:$I$2004,$Z306-2000))=0,"",N(INDEX(周转筐出入库明细!$I$4:$I$2004,$Z306-2000))),IF($Z306&lt;=5200,"",IF($Z306&lt;=5800,IF(ISNUMBER(SEARCH("退",INDEX(次果筐明细!$F$4:$F$603,$Z306-5200)&amp;"")),IF(N(INDEX(次果筐明细!$G$4:$G$603,$Z306-5200))=0,"",N(INDEX(次果筐明细!$G$4:$G$603,$Z306-5200))),""),"")))))</f>
        <v/>
      </c>
      <c r="Q306" s="40" t="str">
        <f>IF($Z306="","",IF($Z306&lt;=2000,"",IF($Z306&lt;=4000,IF(N(INDEX(周转筐出入库明细!$H$4:$H$2004,$Z306-2000))=0,"",N(INDEX(周转筐出入库明细!$H$4:$H$2004,$Z306-2000))),IF($Z306&lt;=5200,IF(N(INDEX(客户自备加工筐明细!$F$4:$F$1203,$Z306-4000))=0,"",N(INDEX(客户自备加工筐明细!$F$4:$F$1203,$Z306-4000))),IF($Z306&lt;=5800,"","")))))</f>
        <v/>
      </c>
      <c r="R306" s="16" t="str">
        <f>IF($Z306="","",IF($Z306&lt;=2000,IF(INDEX(包装物料出入库明细!$O$4:$O$2003,$Z306-0)=0,"",INDEX(包装物料出入库明细!$O$4:$O$2003,$Z306-0)),IF($Z306&lt;=4000,IF(INDEX(周转筐出入库明细!$M$4:$M$2004,$Z306-2000)=0,"",INDEX(周转筐出入库明细!$M$4:$M$2004,$Z306-2000)),IF($Z306&lt;=5200,IF(INDEX(客户自备加工筐明细!$H$4:$H$1203,$Z306-4000)=0,"",INDEX(客户自备加工筐明细!$H$4:$H$1203,$Z306-4000)),IF($Z306&lt;=5800,IF(INDEX(次果筐明细!$H$4:$H$603,$Z306-5200)=0,"",INDEX(次果筐明细!$H$4:$H$603,$Z306-5200)),"")))))</f>
        <v/>
      </c>
      <c r="S306" s="22" t="str">
        <f t="shared" si="14"/>
        <v/>
      </c>
      <c r="Z306" s="10" t="str">
        <f>IFERROR(MATCH(ROW()-3,_自动清单!$CQ$4:$CQ$5803,0),"")</f>
        <v/>
      </c>
    </row>
    <row r="307" spans="1:26">
      <c r="A307" s="24" t="str">
        <f t="shared" si="12"/>
        <v/>
      </c>
      <c r="B307" s="38" t="str">
        <f>IF($Z307="","",IF($Z307&lt;=2000,IF(INDEX(包装物料出入库明细!$B$4:$B$2003,$Z307-0)=0,"",INDEX(包装物料出入库明细!$B$4:$B$2003,$Z307-0)),IF($Z307&lt;=4000,IF(INDEX(周转筐出入库明细!$B$4:$B$2004,$Z307-2000)=0,"",INDEX(周转筐出入库明细!$B$4:$B$2004,$Z307-2000)),IF($Z307&lt;=5200,IF(INDEX(客户自备加工筐明细!$B$4:$B$1203,$Z307-4000)=0,"",INDEX(客户自备加工筐明细!$B$4:$B$1203,$Z307-4000)),IF($Z307&lt;=5800,IF(INDEX(次果筐明细!$B$4:$B$603,$Z307-5200)=0,"",INDEX(次果筐明细!$B$4:$B$603,$Z307-5200)),"")))))</f>
        <v/>
      </c>
      <c r="C307" s="37" t="str">
        <f>IF($Z307="","",IF($Z307&lt;=2000,IF(INDEX(包装物料出入库明细!$D$4:$D$2003,$Z307-0)=0,"",INDEX(包装物料出入库明细!$D$4:$D$2003,$Z307-0)),IF($Z307&lt;=4000,IF(INDEX(周转筐出入库明细!$C$4:$C$2004,$Z307-2000)=0,"",INDEX(周转筐出入库明细!$C$4:$C$2004,$Z307-2000)),IF($Z307&lt;=5200,IF(INDEX(客户自备加工筐明细!$E$4:$E$1203,$Z307-4000)=0,"",INDEX(客户自备加工筐明细!$E$4:$E$1203,$Z307-4000)),IF($Z307&lt;=5800,IF(INDEX(次果筐明细!$C$4:$C$603,$Z307-5200)=0,"",INDEX(次果筐明细!$C$4:$C$603,$Z307-5200)),"")))))</f>
        <v/>
      </c>
      <c r="D307" s="37" t="str">
        <f>IF($Z307="","",IF($Z307&lt;=2000,"包装物料－"&amp;INDEX(包装物料出入库明细!$H$4:$H$2003,$Z307-0),IF($Z307&lt;=4000,"周转筐－"&amp;INDEX(周转筐出入库明细!$F$4:$F$2004,$Z307-2000),IF($Z307&lt;=5200,"客户自备筐－"&amp;INDEX(客户自备加工筐明细!$J$4:$J$1203,$Z307-4000),IF($Z307&lt;=5800,"次果筐/托盘－"&amp;INDEX(次果筐明细!$F$4:$F$603,$Z307-5200),"")))))</f>
        <v/>
      </c>
      <c r="E307" s="24" t="str">
        <f>IF($Z307="","",IF($Z307&lt;=2000,IF(INDEX(包装物料出入库明细!$C$4:$C$2003,$Z307-0)=0,"",INDEX(包装物料出入库明细!$C$4:$C$2003,$Z307-0)),IF($Z307&lt;=4000,IF(INDEX(周转筐出入库明细!$E$4:$E$2004,$Z307-2000)=0,"",INDEX(周转筐出入库明细!$E$4:$E$2004,$Z307-2000)),IF($Z307&lt;=5200,IF(INDEX(客户自备加工筐明细!$D$4:$D$1203,$Z307-4000)=0,"",INDEX(客户自备加工筐明细!$D$4:$D$1203,$Z307-4000)),IF($Z307&lt;=5800,IF(INDEX(次果筐明细!$E$4:$E$603,$Z307-5200)=0,"",INDEX(次果筐明细!$E$4:$E$603,$Z307-5200)),"")))))</f>
        <v/>
      </c>
      <c r="F307" s="24" t="str">
        <f>IF($Z307="","",IF($Z307&lt;=2000,IF(INDEX(包装物料出入库明细!$E$4:$E$2003,$Z307-0)=0,"",INDEX(包装物料出入库明细!$E$4:$E$2003,$Z307-0)),IF($Z307&lt;=4000,IF(INDEX(周转筐出入库明细!$D$4:$D$2004,$Z307-2000)=0,"",INDEX(周转筐出入库明细!$D$4:$D$2004,$Z307-2000)),IF($Z307&lt;=5200,IF(INDEX(客户自备加工筐明细!$C$4:$C$1203,$Z307-4000)=0,"",INDEX(客户自备加工筐明细!$C$4:$C$1203,$Z307-4000)),IF($Z307&lt;=5800,IF(INDEX(次果筐明细!$D$4:$D$603,$Z307-5200)=0,"",INDEX(次果筐明细!$D$4:$D$603,$Z307-5200)),"")))))</f>
        <v/>
      </c>
      <c r="G307" s="24" t="str">
        <f>IF($Z307="","",IF($Z307&lt;=2000,IF(INDEX(包装物料出入库明细!$F$4:$F$2003,$Z307-0)=0,"",INDEX(包装物料出入库明细!$F$4:$F$2003,$Z307-0)),IF($Z307&lt;=4000,"",IF($Z307&lt;=5200,"",IF($Z307&lt;=5800,"","")))))</f>
        <v/>
      </c>
      <c r="H307" s="39" t="str">
        <f>IF($Z307="","",IF($Z307&lt;=2000,IF(INDEX(包装物料出入库明细!$L$4:$L$2003,$Z307-0)=0,"",INDEX(包装物料出入库明细!$L$4:$L$2003,$Z307-0)),IF($Z307&lt;=4000,N(INDEX(周转筐出入库明细!$H$4:$H$2004,$Z307-2000))+N(INDEX(周转筐出入库明细!$I$4:$I$2004,$Z307-2000))+N(INDEX(周转筐出入库明细!$J$4:$J$2004,$Z307-2000))+N(INDEX(周转筐出入库明细!$K$4:$K$2004,$Z307-2000)),IF($Z307&lt;=5200,N(INDEX(客户自备加工筐明细!$F$4:$F$1203,$Z307-4000))+N(INDEX(客户自备加工筐明细!$G$4:$G$1203,$Z307-4000)),IF($Z307&lt;=5800,IF(INDEX(次果筐明细!$G$4:$G$603,$Z307-5200)=0,"",INDEX(次果筐明细!$G$4:$G$603,$Z307-5200)),"")))))</f>
        <v/>
      </c>
      <c r="I307" s="24" t="str">
        <f>IF($Z307="","",IF($Z307&lt;=2000,IF(INDEX(包装物料出入库明细!$G$4:$G$2003,$Z307-0)=0,"",INDEX(包装物料出入库明细!$G$4:$G$2003,$Z307-0)),IF($Z307&lt;=4000,"个",IF($Z307&lt;=5200,"个",IF($Z307&lt;=5800,"个","")))))</f>
        <v/>
      </c>
      <c r="J307" s="30" t="str">
        <f t="shared" si="13"/>
        <v/>
      </c>
      <c r="K307" s="30" t="str">
        <f>IF($Z307="","",IF($Z307&lt;=2000,IF(INDEX(包装物料出入库明细!$N$4:$N$2003,$Z307-0)=0,"",INDEX(包装物料出入库明细!$N$4:$N$2003,$Z307-0)),IF($Z307&lt;=4000,IF(INDEX(周转筐出入库明细!$P$4:$P$2004,$Z307-2000)=0,"",INDEX(周转筐出入库明细!$P$4:$P$2004,$Z307-2000)),IF($Z307&lt;=5200,"",IF($Z307&lt;=5800,N(INDEX(次果筐明细!$L$4:$L$603,$Z307-5200))+N(INDEX(次果筐明细!$J$4:$J$603,$Z307-5200)),"")))))</f>
        <v/>
      </c>
      <c r="L307" s="24" t="str">
        <f>IF($Z307="","",IF($Z307&lt;=2000,IF(INDEX(包装物料出入库明细!$P$4:$P$2003,$Z307-0)=0,"",INDEX(包装物料出入库明细!$P$4:$P$2003,$Z307-0)),IF($Z307&lt;=4000,IF(INDEX(周转筐出入库明细!$Q$4:$Q$2004,$Z307-2000)=0,"",INDEX(周转筐出入库明细!$Q$4:$Q$2004,$Z307-2000)),IF($Z307&lt;=5200,"",IF($Z307&lt;=5800,IF(INDEX(次果筐明细!$M$4:$M$603,$Z307-5200)=0,"",INDEX(次果筐明细!$M$4:$M$603,$Z307-5200)),"")))))</f>
        <v/>
      </c>
      <c r="M307" s="37" t="str">
        <f>IF($Z307="","",IF($Z307&lt;=2000,IF(INDEX(包装物料出入库明细!$R$4:$R$2003,$Z307-0)=0,"",INDEX(包装物料出入库明细!$R$4:$R$2003,$Z307-0)),IF($Z307&lt;=4000,IF(INDEX(周转筐出入库明细!$W$4:$W$2004,$Z307-2000)=0,"",INDEX(周转筐出入库明细!$W$4:$W$2004,$Z307-2000)),IF($Z307&lt;=5200,IF(INDEX(客户自备加工筐明细!$L$4:$L$1203,$Z307-4000)=0,"",INDEX(客户自备加工筐明细!$L$4:$L$1203,$Z307-4000)),IF($Z307&lt;=5800,IF(INDEX(次果筐明细!$P$4:$P$603,$Z307-5200)=0,"",INDEX(次果筐明细!$P$4:$P$603,$Z307-5200)),"")))))</f>
        <v/>
      </c>
      <c r="N307" s="16" t="str">
        <f>IF($Z307="","",IF($Z307&lt;=2000,"",IF($Z307&lt;=4000,IF(INDEX(周转筐出入库明细!$D$4:$D$2004,$Z307-2000)=0,"",INDEX(周转筐出入库明细!$D$4:$D$2004,$Z307-2000)),IF($Z307&lt;=5200,IF(INDEX(客户自备加工筐明细!$C$4:$C$1203,$Z307-4000)=0,"",INDEX(客户自备加工筐明细!$C$4:$C$1203,$Z307-4000)),IF($Z307&lt;=5800,IF(INDEX(次果筐明细!$D$4:$D$603,$Z307-5200)=0,"",INDEX(次果筐明细!$D$4:$D$603,$Z307-5200)),"")))))</f>
        <v/>
      </c>
      <c r="O307" s="40" t="str">
        <f>IF($Z307="","",IF($Z307&lt;=2000,"",IF($Z307&lt;=4000,IF(N(INDEX(周转筐出入库明细!$J$4:$J$2004,$Z307-2000))+N(INDEX(周转筐出入库明细!$K$4:$K$2004,$Z307-2000))=0,"",N(INDEX(周转筐出入库明细!$J$4:$J$2004,$Z307-2000))+N(INDEX(周转筐出入库明细!$K$4:$K$2004,$Z307-2000))),IF($Z307&lt;=5200,IF(N(INDEX(客户自备加工筐明细!$G$4:$G$1203,$Z307-4000))=0,"",N(INDEX(客户自备加工筐明细!$G$4:$G$1203,$Z307-4000))),IF($Z307&lt;=5800,IF(ISNUMBER(SEARCH("退",INDEX(次果筐明细!$F$4:$F$603,$Z307-5200)&amp;"")),"",IF(N(INDEX(次果筐明细!$G$4:$G$603,$Z307-5200))=0,"",N(INDEX(次果筐明细!$G$4:$G$603,$Z307-5200)))),"")))))</f>
        <v/>
      </c>
      <c r="P307" s="40" t="str">
        <f>IF($Z307="","",IF($Z307&lt;=2000,"",IF($Z307&lt;=4000,IF(N(INDEX(周转筐出入库明细!$I$4:$I$2004,$Z307-2000))=0,"",N(INDEX(周转筐出入库明细!$I$4:$I$2004,$Z307-2000))),IF($Z307&lt;=5200,"",IF($Z307&lt;=5800,IF(ISNUMBER(SEARCH("退",INDEX(次果筐明细!$F$4:$F$603,$Z307-5200)&amp;"")),IF(N(INDEX(次果筐明细!$G$4:$G$603,$Z307-5200))=0,"",N(INDEX(次果筐明细!$G$4:$G$603,$Z307-5200))),""),"")))))</f>
        <v/>
      </c>
      <c r="Q307" s="40" t="str">
        <f>IF($Z307="","",IF($Z307&lt;=2000,"",IF($Z307&lt;=4000,IF(N(INDEX(周转筐出入库明细!$H$4:$H$2004,$Z307-2000))=0,"",N(INDEX(周转筐出入库明细!$H$4:$H$2004,$Z307-2000))),IF($Z307&lt;=5200,IF(N(INDEX(客户自备加工筐明细!$F$4:$F$1203,$Z307-4000))=0,"",N(INDEX(客户自备加工筐明细!$F$4:$F$1203,$Z307-4000))),IF($Z307&lt;=5800,"","")))))</f>
        <v/>
      </c>
      <c r="R307" s="16" t="str">
        <f>IF($Z307="","",IF($Z307&lt;=2000,IF(INDEX(包装物料出入库明细!$O$4:$O$2003,$Z307-0)=0,"",INDEX(包装物料出入库明细!$O$4:$O$2003,$Z307-0)),IF($Z307&lt;=4000,IF(INDEX(周转筐出入库明细!$M$4:$M$2004,$Z307-2000)=0,"",INDEX(周转筐出入库明细!$M$4:$M$2004,$Z307-2000)),IF($Z307&lt;=5200,IF(INDEX(客户自备加工筐明细!$H$4:$H$1203,$Z307-4000)=0,"",INDEX(客户自备加工筐明细!$H$4:$H$1203,$Z307-4000)),IF($Z307&lt;=5800,IF(INDEX(次果筐明细!$H$4:$H$603,$Z307-5200)=0,"",INDEX(次果筐明细!$H$4:$H$603,$Z307-5200)),"")))))</f>
        <v/>
      </c>
      <c r="S307" s="22" t="str">
        <f t="shared" si="14"/>
        <v/>
      </c>
      <c r="Z307" s="10" t="str">
        <f>IFERROR(MATCH(ROW()-3,_自动清单!$CQ$4:$CQ$5803,0),"")</f>
        <v/>
      </c>
    </row>
    <row r="308" spans="1:26">
      <c r="A308" s="24" t="str">
        <f t="shared" si="12"/>
        <v/>
      </c>
      <c r="B308" s="38" t="str">
        <f>IF($Z308="","",IF($Z308&lt;=2000,IF(INDEX(包装物料出入库明细!$B$4:$B$2003,$Z308-0)=0,"",INDEX(包装物料出入库明细!$B$4:$B$2003,$Z308-0)),IF($Z308&lt;=4000,IF(INDEX(周转筐出入库明细!$B$4:$B$2004,$Z308-2000)=0,"",INDEX(周转筐出入库明细!$B$4:$B$2004,$Z308-2000)),IF($Z308&lt;=5200,IF(INDEX(客户自备加工筐明细!$B$4:$B$1203,$Z308-4000)=0,"",INDEX(客户自备加工筐明细!$B$4:$B$1203,$Z308-4000)),IF($Z308&lt;=5800,IF(INDEX(次果筐明细!$B$4:$B$603,$Z308-5200)=0,"",INDEX(次果筐明细!$B$4:$B$603,$Z308-5200)),"")))))</f>
        <v/>
      </c>
      <c r="C308" s="37" t="str">
        <f>IF($Z308="","",IF($Z308&lt;=2000,IF(INDEX(包装物料出入库明细!$D$4:$D$2003,$Z308-0)=0,"",INDEX(包装物料出入库明细!$D$4:$D$2003,$Z308-0)),IF($Z308&lt;=4000,IF(INDEX(周转筐出入库明细!$C$4:$C$2004,$Z308-2000)=0,"",INDEX(周转筐出入库明细!$C$4:$C$2004,$Z308-2000)),IF($Z308&lt;=5200,IF(INDEX(客户自备加工筐明细!$E$4:$E$1203,$Z308-4000)=0,"",INDEX(客户自备加工筐明细!$E$4:$E$1203,$Z308-4000)),IF($Z308&lt;=5800,IF(INDEX(次果筐明细!$C$4:$C$603,$Z308-5200)=0,"",INDEX(次果筐明细!$C$4:$C$603,$Z308-5200)),"")))))</f>
        <v/>
      </c>
      <c r="D308" s="37" t="str">
        <f>IF($Z308="","",IF($Z308&lt;=2000,"包装物料－"&amp;INDEX(包装物料出入库明细!$H$4:$H$2003,$Z308-0),IF($Z308&lt;=4000,"周转筐－"&amp;INDEX(周转筐出入库明细!$F$4:$F$2004,$Z308-2000),IF($Z308&lt;=5200,"客户自备筐－"&amp;INDEX(客户自备加工筐明细!$J$4:$J$1203,$Z308-4000),IF($Z308&lt;=5800,"次果筐/托盘－"&amp;INDEX(次果筐明细!$F$4:$F$603,$Z308-5200),"")))))</f>
        <v/>
      </c>
      <c r="E308" s="24" t="str">
        <f>IF($Z308="","",IF($Z308&lt;=2000,IF(INDEX(包装物料出入库明细!$C$4:$C$2003,$Z308-0)=0,"",INDEX(包装物料出入库明细!$C$4:$C$2003,$Z308-0)),IF($Z308&lt;=4000,IF(INDEX(周转筐出入库明细!$E$4:$E$2004,$Z308-2000)=0,"",INDEX(周转筐出入库明细!$E$4:$E$2004,$Z308-2000)),IF($Z308&lt;=5200,IF(INDEX(客户自备加工筐明细!$D$4:$D$1203,$Z308-4000)=0,"",INDEX(客户自备加工筐明细!$D$4:$D$1203,$Z308-4000)),IF($Z308&lt;=5800,IF(INDEX(次果筐明细!$E$4:$E$603,$Z308-5200)=0,"",INDEX(次果筐明细!$E$4:$E$603,$Z308-5200)),"")))))</f>
        <v/>
      </c>
      <c r="F308" s="24" t="str">
        <f>IF($Z308="","",IF($Z308&lt;=2000,IF(INDEX(包装物料出入库明细!$E$4:$E$2003,$Z308-0)=0,"",INDEX(包装物料出入库明细!$E$4:$E$2003,$Z308-0)),IF($Z308&lt;=4000,IF(INDEX(周转筐出入库明细!$D$4:$D$2004,$Z308-2000)=0,"",INDEX(周转筐出入库明细!$D$4:$D$2004,$Z308-2000)),IF($Z308&lt;=5200,IF(INDEX(客户自备加工筐明细!$C$4:$C$1203,$Z308-4000)=0,"",INDEX(客户自备加工筐明细!$C$4:$C$1203,$Z308-4000)),IF($Z308&lt;=5800,IF(INDEX(次果筐明细!$D$4:$D$603,$Z308-5200)=0,"",INDEX(次果筐明细!$D$4:$D$603,$Z308-5200)),"")))))</f>
        <v/>
      </c>
      <c r="G308" s="24" t="str">
        <f>IF($Z308="","",IF($Z308&lt;=2000,IF(INDEX(包装物料出入库明细!$F$4:$F$2003,$Z308-0)=0,"",INDEX(包装物料出入库明细!$F$4:$F$2003,$Z308-0)),IF($Z308&lt;=4000,"",IF($Z308&lt;=5200,"",IF($Z308&lt;=5800,"","")))))</f>
        <v/>
      </c>
      <c r="H308" s="39" t="str">
        <f>IF($Z308="","",IF($Z308&lt;=2000,IF(INDEX(包装物料出入库明细!$L$4:$L$2003,$Z308-0)=0,"",INDEX(包装物料出入库明细!$L$4:$L$2003,$Z308-0)),IF($Z308&lt;=4000,N(INDEX(周转筐出入库明细!$H$4:$H$2004,$Z308-2000))+N(INDEX(周转筐出入库明细!$I$4:$I$2004,$Z308-2000))+N(INDEX(周转筐出入库明细!$J$4:$J$2004,$Z308-2000))+N(INDEX(周转筐出入库明细!$K$4:$K$2004,$Z308-2000)),IF($Z308&lt;=5200,N(INDEX(客户自备加工筐明细!$F$4:$F$1203,$Z308-4000))+N(INDEX(客户自备加工筐明细!$G$4:$G$1203,$Z308-4000)),IF($Z308&lt;=5800,IF(INDEX(次果筐明细!$G$4:$G$603,$Z308-5200)=0,"",INDEX(次果筐明细!$G$4:$G$603,$Z308-5200)),"")))))</f>
        <v/>
      </c>
      <c r="I308" s="24" t="str">
        <f>IF($Z308="","",IF($Z308&lt;=2000,IF(INDEX(包装物料出入库明细!$G$4:$G$2003,$Z308-0)=0,"",INDEX(包装物料出入库明细!$G$4:$G$2003,$Z308-0)),IF($Z308&lt;=4000,"个",IF($Z308&lt;=5200,"个",IF($Z308&lt;=5800,"个","")))))</f>
        <v/>
      </c>
      <c r="J308" s="30" t="str">
        <f t="shared" si="13"/>
        <v/>
      </c>
      <c r="K308" s="30" t="str">
        <f>IF($Z308="","",IF($Z308&lt;=2000,IF(INDEX(包装物料出入库明细!$N$4:$N$2003,$Z308-0)=0,"",INDEX(包装物料出入库明细!$N$4:$N$2003,$Z308-0)),IF($Z308&lt;=4000,IF(INDEX(周转筐出入库明细!$P$4:$P$2004,$Z308-2000)=0,"",INDEX(周转筐出入库明细!$P$4:$P$2004,$Z308-2000)),IF($Z308&lt;=5200,"",IF($Z308&lt;=5800,N(INDEX(次果筐明细!$L$4:$L$603,$Z308-5200))+N(INDEX(次果筐明细!$J$4:$J$603,$Z308-5200)),"")))))</f>
        <v/>
      </c>
      <c r="L308" s="24" t="str">
        <f>IF($Z308="","",IF($Z308&lt;=2000,IF(INDEX(包装物料出入库明细!$P$4:$P$2003,$Z308-0)=0,"",INDEX(包装物料出入库明细!$P$4:$P$2003,$Z308-0)),IF($Z308&lt;=4000,IF(INDEX(周转筐出入库明细!$Q$4:$Q$2004,$Z308-2000)=0,"",INDEX(周转筐出入库明细!$Q$4:$Q$2004,$Z308-2000)),IF($Z308&lt;=5200,"",IF($Z308&lt;=5800,IF(INDEX(次果筐明细!$M$4:$M$603,$Z308-5200)=0,"",INDEX(次果筐明细!$M$4:$M$603,$Z308-5200)),"")))))</f>
        <v/>
      </c>
      <c r="M308" s="37" t="str">
        <f>IF($Z308="","",IF($Z308&lt;=2000,IF(INDEX(包装物料出入库明细!$R$4:$R$2003,$Z308-0)=0,"",INDEX(包装物料出入库明细!$R$4:$R$2003,$Z308-0)),IF($Z308&lt;=4000,IF(INDEX(周转筐出入库明细!$W$4:$W$2004,$Z308-2000)=0,"",INDEX(周转筐出入库明细!$W$4:$W$2004,$Z308-2000)),IF($Z308&lt;=5200,IF(INDEX(客户自备加工筐明细!$L$4:$L$1203,$Z308-4000)=0,"",INDEX(客户自备加工筐明细!$L$4:$L$1203,$Z308-4000)),IF($Z308&lt;=5800,IF(INDEX(次果筐明细!$P$4:$P$603,$Z308-5200)=0,"",INDEX(次果筐明细!$P$4:$P$603,$Z308-5200)),"")))))</f>
        <v/>
      </c>
      <c r="N308" s="16" t="str">
        <f>IF($Z308="","",IF($Z308&lt;=2000,"",IF($Z308&lt;=4000,IF(INDEX(周转筐出入库明细!$D$4:$D$2004,$Z308-2000)=0,"",INDEX(周转筐出入库明细!$D$4:$D$2004,$Z308-2000)),IF($Z308&lt;=5200,IF(INDEX(客户自备加工筐明细!$C$4:$C$1203,$Z308-4000)=0,"",INDEX(客户自备加工筐明细!$C$4:$C$1203,$Z308-4000)),IF($Z308&lt;=5800,IF(INDEX(次果筐明细!$D$4:$D$603,$Z308-5200)=0,"",INDEX(次果筐明细!$D$4:$D$603,$Z308-5200)),"")))))</f>
        <v/>
      </c>
      <c r="O308" s="40" t="str">
        <f>IF($Z308="","",IF($Z308&lt;=2000,"",IF($Z308&lt;=4000,IF(N(INDEX(周转筐出入库明细!$J$4:$J$2004,$Z308-2000))+N(INDEX(周转筐出入库明细!$K$4:$K$2004,$Z308-2000))=0,"",N(INDEX(周转筐出入库明细!$J$4:$J$2004,$Z308-2000))+N(INDEX(周转筐出入库明细!$K$4:$K$2004,$Z308-2000))),IF($Z308&lt;=5200,IF(N(INDEX(客户自备加工筐明细!$G$4:$G$1203,$Z308-4000))=0,"",N(INDEX(客户自备加工筐明细!$G$4:$G$1203,$Z308-4000))),IF($Z308&lt;=5800,IF(ISNUMBER(SEARCH("退",INDEX(次果筐明细!$F$4:$F$603,$Z308-5200)&amp;"")),"",IF(N(INDEX(次果筐明细!$G$4:$G$603,$Z308-5200))=0,"",N(INDEX(次果筐明细!$G$4:$G$603,$Z308-5200)))),"")))))</f>
        <v/>
      </c>
      <c r="P308" s="40" t="str">
        <f>IF($Z308="","",IF($Z308&lt;=2000,"",IF($Z308&lt;=4000,IF(N(INDEX(周转筐出入库明细!$I$4:$I$2004,$Z308-2000))=0,"",N(INDEX(周转筐出入库明细!$I$4:$I$2004,$Z308-2000))),IF($Z308&lt;=5200,"",IF($Z308&lt;=5800,IF(ISNUMBER(SEARCH("退",INDEX(次果筐明细!$F$4:$F$603,$Z308-5200)&amp;"")),IF(N(INDEX(次果筐明细!$G$4:$G$603,$Z308-5200))=0,"",N(INDEX(次果筐明细!$G$4:$G$603,$Z308-5200))),""),"")))))</f>
        <v/>
      </c>
      <c r="Q308" s="40" t="str">
        <f>IF($Z308="","",IF($Z308&lt;=2000,"",IF($Z308&lt;=4000,IF(N(INDEX(周转筐出入库明细!$H$4:$H$2004,$Z308-2000))=0,"",N(INDEX(周转筐出入库明细!$H$4:$H$2004,$Z308-2000))),IF($Z308&lt;=5200,IF(N(INDEX(客户自备加工筐明细!$F$4:$F$1203,$Z308-4000))=0,"",N(INDEX(客户自备加工筐明细!$F$4:$F$1203,$Z308-4000))),IF($Z308&lt;=5800,"","")))))</f>
        <v/>
      </c>
      <c r="R308" s="16" t="str">
        <f>IF($Z308="","",IF($Z308&lt;=2000,IF(INDEX(包装物料出入库明细!$O$4:$O$2003,$Z308-0)=0,"",INDEX(包装物料出入库明细!$O$4:$O$2003,$Z308-0)),IF($Z308&lt;=4000,IF(INDEX(周转筐出入库明细!$M$4:$M$2004,$Z308-2000)=0,"",INDEX(周转筐出入库明细!$M$4:$M$2004,$Z308-2000)),IF($Z308&lt;=5200,IF(INDEX(客户自备加工筐明细!$H$4:$H$1203,$Z308-4000)=0,"",INDEX(客户自备加工筐明细!$H$4:$H$1203,$Z308-4000)),IF($Z308&lt;=5800,IF(INDEX(次果筐明细!$H$4:$H$603,$Z308-5200)=0,"",INDEX(次果筐明细!$H$4:$H$603,$Z308-5200)),"")))))</f>
        <v/>
      </c>
      <c r="S308" s="22" t="str">
        <f t="shared" si="14"/>
        <v/>
      </c>
      <c r="Z308" s="10" t="str">
        <f>IFERROR(MATCH(ROW()-3,_自动清单!$CQ$4:$CQ$5803,0),"")</f>
        <v/>
      </c>
    </row>
    <row r="309" spans="1:26">
      <c r="A309" s="24" t="str">
        <f t="shared" si="12"/>
        <v/>
      </c>
      <c r="B309" s="38" t="str">
        <f>IF($Z309="","",IF($Z309&lt;=2000,IF(INDEX(包装物料出入库明细!$B$4:$B$2003,$Z309-0)=0,"",INDEX(包装物料出入库明细!$B$4:$B$2003,$Z309-0)),IF($Z309&lt;=4000,IF(INDEX(周转筐出入库明细!$B$4:$B$2004,$Z309-2000)=0,"",INDEX(周转筐出入库明细!$B$4:$B$2004,$Z309-2000)),IF($Z309&lt;=5200,IF(INDEX(客户自备加工筐明细!$B$4:$B$1203,$Z309-4000)=0,"",INDEX(客户自备加工筐明细!$B$4:$B$1203,$Z309-4000)),IF($Z309&lt;=5800,IF(INDEX(次果筐明细!$B$4:$B$603,$Z309-5200)=0,"",INDEX(次果筐明细!$B$4:$B$603,$Z309-5200)),"")))))</f>
        <v/>
      </c>
      <c r="C309" s="37" t="str">
        <f>IF($Z309="","",IF($Z309&lt;=2000,IF(INDEX(包装物料出入库明细!$D$4:$D$2003,$Z309-0)=0,"",INDEX(包装物料出入库明细!$D$4:$D$2003,$Z309-0)),IF($Z309&lt;=4000,IF(INDEX(周转筐出入库明细!$C$4:$C$2004,$Z309-2000)=0,"",INDEX(周转筐出入库明细!$C$4:$C$2004,$Z309-2000)),IF($Z309&lt;=5200,IF(INDEX(客户自备加工筐明细!$E$4:$E$1203,$Z309-4000)=0,"",INDEX(客户自备加工筐明细!$E$4:$E$1203,$Z309-4000)),IF($Z309&lt;=5800,IF(INDEX(次果筐明细!$C$4:$C$603,$Z309-5200)=0,"",INDEX(次果筐明细!$C$4:$C$603,$Z309-5200)),"")))))</f>
        <v/>
      </c>
      <c r="D309" s="37" t="str">
        <f>IF($Z309="","",IF($Z309&lt;=2000,"包装物料－"&amp;INDEX(包装物料出入库明细!$H$4:$H$2003,$Z309-0),IF($Z309&lt;=4000,"周转筐－"&amp;INDEX(周转筐出入库明细!$F$4:$F$2004,$Z309-2000),IF($Z309&lt;=5200,"客户自备筐－"&amp;INDEX(客户自备加工筐明细!$J$4:$J$1203,$Z309-4000),IF($Z309&lt;=5800,"次果筐/托盘－"&amp;INDEX(次果筐明细!$F$4:$F$603,$Z309-5200),"")))))</f>
        <v/>
      </c>
      <c r="E309" s="24" t="str">
        <f>IF($Z309="","",IF($Z309&lt;=2000,IF(INDEX(包装物料出入库明细!$C$4:$C$2003,$Z309-0)=0,"",INDEX(包装物料出入库明细!$C$4:$C$2003,$Z309-0)),IF($Z309&lt;=4000,IF(INDEX(周转筐出入库明细!$E$4:$E$2004,$Z309-2000)=0,"",INDEX(周转筐出入库明细!$E$4:$E$2004,$Z309-2000)),IF($Z309&lt;=5200,IF(INDEX(客户自备加工筐明细!$D$4:$D$1203,$Z309-4000)=0,"",INDEX(客户自备加工筐明细!$D$4:$D$1203,$Z309-4000)),IF($Z309&lt;=5800,IF(INDEX(次果筐明细!$E$4:$E$603,$Z309-5200)=0,"",INDEX(次果筐明细!$E$4:$E$603,$Z309-5200)),"")))))</f>
        <v/>
      </c>
      <c r="F309" s="24" t="str">
        <f>IF($Z309="","",IF($Z309&lt;=2000,IF(INDEX(包装物料出入库明细!$E$4:$E$2003,$Z309-0)=0,"",INDEX(包装物料出入库明细!$E$4:$E$2003,$Z309-0)),IF($Z309&lt;=4000,IF(INDEX(周转筐出入库明细!$D$4:$D$2004,$Z309-2000)=0,"",INDEX(周转筐出入库明细!$D$4:$D$2004,$Z309-2000)),IF($Z309&lt;=5200,IF(INDEX(客户自备加工筐明细!$C$4:$C$1203,$Z309-4000)=0,"",INDEX(客户自备加工筐明细!$C$4:$C$1203,$Z309-4000)),IF($Z309&lt;=5800,IF(INDEX(次果筐明细!$D$4:$D$603,$Z309-5200)=0,"",INDEX(次果筐明细!$D$4:$D$603,$Z309-5200)),"")))))</f>
        <v/>
      </c>
      <c r="G309" s="24" t="str">
        <f>IF($Z309="","",IF($Z309&lt;=2000,IF(INDEX(包装物料出入库明细!$F$4:$F$2003,$Z309-0)=0,"",INDEX(包装物料出入库明细!$F$4:$F$2003,$Z309-0)),IF($Z309&lt;=4000,"",IF($Z309&lt;=5200,"",IF($Z309&lt;=5800,"","")))))</f>
        <v/>
      </c>
      <c r="H309" s="39" t="str">
        <f>IF($Z309="","",IF($Z309&lt;=2000,IF(INDEX(包装物料出入库明细!$L$4:$L$2003,$Z309-0)=0,"",INDEX(包装物料出入库明细!$L$4:$L$2003,$Z309-0)),IF($Z309&lt;=4000,N(INDEX(周转筐出入库明细!$H$4:$H$2004,$Z309-2000))+N(INDEX(周转筐出入库明细!$I$4:$I$2004,$Z309-2000))+N(INDEX(周转筐出入库明细!$J$4:$J$2004,$Z309-2000))+N(INDEX(周转筐出入库明细!$K$4:$K$2004,$Z309-2000)),IF($Z309&lt;=5200,N(INDEX(客户自备加工筐明细!$F$4:$F$1203,$Z309-4000))+N(INDEX(客户自备加工筐明细!$G$4:$G$1203,$Z309-4000)),IF($Z309&lt;=5800,IF(INDEX(次果筐明细!$G$4:$G$603,$Z309-5200)=0,"",INDEX(次果筐明细!$G$4:$G$603,$Z309-5200)),"")))))</f>
        <v/>
      </c>
      <c r="I309" s="24" t="str">
        <f>IF($Z309="","",IF($Z309&lt;=2000,IF(INDEX(包装物料出入库明细!$G$4:$G$2003,$Z309-0)=0,"",INDEX(包装物料出入库明细!$G$4:$G$2003,$Z309-0)),IF($Z309&lt;=4000,"个",IF($Z309&lt;=5200,"个",IF($Z309&lt;=5800,"个","")))))</f>
        <v/>
      </c>
      <c r="J309" s="30" t="str">
        <f t="shared" si="13"/>
        <v/>
      </c>
      <c r="K309" s="30" t="str">
        <f>IF($Z309="","",IF($Z309&lt;=2000,IF(INDEX(包装物料出入库明细!$N$4:$N$2003,$Z309-0)=0,"",INDEX(包装物料出入库明细!$N$4:$N$2003,$Z309-0)),IF($Z309&lt;=4000,IF(INDEX(周转筐出入库明细!$P$4:$P$2004,$Z309-2000)=0,"",INDEX(周转筐出入库明细!$P$4:$P$2004,$Z309-2000)),IF($Z309&lt;=5200,"",IF($Z309&lt;=5800,N(INDEX(次果筐明细!$L$4:$L$603,$Z309-5200))+N(INDEX(次果筐明细!$J$4:$J$603,$Z309-5200)),"")))))</f>
        <v/>
      </c>
      <c r="L309" s="24" t="str">
        <f>IF($Z309="","",IF($Z309&lt;=2000,IF(INDEX(包装物料出入库明细!$P$4:$P$2003,$Z309-0)=0,"",INDEX(包装物料出入库明细!$P$4:$P$2003,$Z309-0)),IF($Z309&lt;=4000,IF(INDEX(周转筐出入库明细!$Q$4:$Q$2004,$Z309-2000)=0,"",INDEX(周转筐出入库明细!$Q$4:$Q$2004,$Z309-2000)),IF($Z309&lt;=5200,"",IF($Z309&lt;=5800,IF(INDEX(次果筐明细!$M$4:$M$603,$Z309-5200)=0,"",INDEX(次果筐明细!$M$4:$M$603,$Z309-5200)),"")))))</f>
        <v/>
      </c>
      <c r="M309" s="37" t="str">
        <f>IF($Z309="","",IF($Z309&lt;=2000,IF(INDEX(包装物料出入库明细!$R$4:$R$2003,$Z309-0)=0,"",INDEX(包装物料出入库明细!$R$4:$R$2003,$Z309-0)),IF($Z309&lt;=4000,IF(INDEX(周转筐出入库明细!$W$4:$W$2004,$Z309-2000)=0,"",INDEX(周转筐出入库明细!$W$4:$W$2004,$Z309-2000)),IF($Z309&lt;=5200,IF(INDEX(客户自备加工筐明细!$L$4:$L$1203,$Z309-4000)=0,"",INDEX(客户自备加工筐明细!$L$4:$L$1203,$Z309-4000)),IF($Z309&lt;=5800,IF(INDEX(次果筐明细!$P$4:$P$603,$Z309-5200)=0,"",INDEX(次果筐明细!$P$4:$P$603,$Z309-5200)),"")))))</f>
        <v/>
      </c>
      <c r="N309" s="16" t="str">
        <f>IF($Z309="","",IF($Z309&lt;=2000,"",IF($Z309&lt;=4000,IF(INDEX(周转筐出入库明细!$D$4:$D$2004,$Z309-2000)=0,"",INDEX(周转筐出入库明细!$D$4:$D$2004,$Z309-2000)),IF($Z309&lt;=5200,IF(INDEX(客户自备加工筐明细!$C$4:$C$1203,$Z309-4000)=0,"",INDEX(客户自备加工筐明细!$C$4:$C$1203,$Z309-4000)),IF($Z309&lt;=5800,IF(INDEX(次果筐明细!$D$4:$D$603,$Z309-5200)=0,"",INDEX(次果筐明细!$D$4:$D$603,$Z309-5200)),"")))))</f>
        <v/>
      </c>
      <c r="O309" s="40" t="str">
        <f>IF($Z309="","",IF($Z309&lt;=2000,"",IF($Z309&lt;=4000,IF(N(INDEX(周转筐出入库明细!$J$4:$J$2004,$Z309-2000))+N(INDEX(周转筐出入库明细!$K$4:$K$2004,$Z309-2000))=0,"",N(INDEX(周转筐出入库明细!$J$4:$J$2004,$Z309-2000))+N(INDEX(周转筐出入库明细!$K$4:$K$2004,$Z309-2000))),IF($Z309&lt;=5200,IF(N(INDEX(客户自备加工筐明细!$G$4:$G$1203,$Z309-4000))=0,"",N(INDEX(客户自备加工筐明细!$G$4:$G$1203,$Z309-4000))),IF($Z309&lt;=5800,IF(ISNUMBER(SEARCH("退",INDEX(次果筐明细!$F$4:$F$603,$Z309-5200)&amp;"")),"",IF(N(INDEX(次果筐明细!$G$4:$G$603,$Z309-5200))=0,"",N(INDEX(次果筐明细!$G$4:$G$603,$Z309-5200)))),"")))))</f>
        <v/>
      </c>
      <c r="P309" s="40" t="str">
        <f>IF($Z309="","",IF($Z309&lt;=2000,"",IF($Z309&lt;=4000,IF(N(INDEX(周转筐出入库明细!$I$4:$I$2004,$Z309-2000))=0,"",N(INDEX(周转筐出入库明细!$I$4:$I$2004,$Z309-2000))),IF($Z309&lt;=5200,"",IF($Z309&lt;=5800,IF(ISNUMBER(SEARCH("退",INDEX(次果筐明细!$F$4:$F$603,$Z309-5200)&amp;"")),IF(N(INDEX(次果筐明细!$G$4:$G$603,$Z309-5200))=0,"",N(INDEX(次果筐明细!$G$4:$G$603,$Z309-5200))),""),"")))))</f>
        <v/>
      </c>
      <c r="Q309" s="40" t="str">
        <f>IF($Z309="","",IF($Z309&lt;=2000,"",IF($Z309&lt;=4000,IF(N(INDEX(周转筐出入库明细!$H$4:$H$2004,$Z309-2000))=0,"",N(INDEX(周转筐出入库明细!$H$4:$H$2004,$Z309-2000))),IF($Z309&lt;=5200,IF(N(INDEX(客户自备加工筐明细!$F$4:$F$1203,$Z309-4000))=0,"",N(INDEX(客户自备加工筐明细!$F$4:$F$1203,$Z309-4000))),IF($Z309&lt;=5800,"","")))))</f>
        <v/>
      </c>
      <c r="R309" s="16" t="str">
        <f>IF($Z309="","",IF($Z309&lt;=2000,IF(INDEX(包装物料出入库明细!$O$4:$O$2003,$Z309-0)=0,"",INDEX(包装物料出入库明细!$O$4:$O$2003,$Z309-0)),IF($Z309&lt;=4000,IF(INDEX(周转筐出入库明细!$M$4:$M$2004,$Z309-2000)=0,"",INDEX(周转筐出入库明细!$M$4:$M$2004,$Z309-2000)),IF($Z309&lt;=5200,IF(INDEX(客户自备加工筐明细!$H$4:$H$1203,$Z309-4000)=0,"",INDEX(客户自备加工筐明细!$H$4:$H$1203,$Z309-4000)),IF($Z309&lt;=5800,IF(INDEX(次果筐明细!$H$4:$H$603,$Z309-5200)=0,"",INDEX(次果筐明细!$H$4:$H$603,$Z309-5200)),"")))))</f>
        <v/>
      </c>
      <c r="S309" s="22" t="str">
        <f t="shared" si="14"/>
        <v/>
      </c>
      <c r="Z309" s="10" t="str">
        <f>IFERROR(MATCH(ROW()-3,_自动清单!$CQ$4:$CQ$5803,0),"")</f>
        <v/>
      </c>
    </row>
    <row r="310" spans="1:26">
      <c r="A310" s="24" t="str">
        <f t="shared" si="12"/>
        <v/>
      </c>
      <c r="B310" s="38" t="str">
        <f>IF($Z310="","",IF($Z310&lt;=2000,IF(INDEX(包装物料出入库明细!$B$4:$B$2003,$Z310-0)=0,"",INDEX(包装物料出入库明细!$B$4:$B$2003,$Z310-0)),IF($Z310&lt;=4000,IF(INDEX(周转筐出入库明细!$B$4:$B$2004,$Z310-2000)=0,"",INDEX(周转筐出入库明细!$B$4:$B$2004,$Z310-2000)),IF($Z310&lt;=5200,IF(INDEX(客户自备加工筐明细!$B$4:$B$1203,$Z310-4000)=0,"",INDEX(客户自备加工筐明细!$B$4:$B$1203,$Z310-4000)),IF($Z310&lt;=5800,IF(INDEX(次果筐明细!$B$4:$B$603,$Z310-5200)=0,"",INDEX(次果筐明细!$B$4:$B$603,$Z310-5200)),"")))))</f>
        <v/>
      </c>
      <c r="C310" s="37" t="str">
        <f>IF($Z310="","",IF($Z310&lt;=2000,IF(INDEX(包装物料出入库明细!$D$4:$D$2003,$Z310-0)=0,"",INDEX(包装物料出入库明细!$D$4:$D$2003,$Z310-0)),IF($Z310&lt;=4000,IF(INDEX(周转筐出入库明细!$C$4:$C$2004,$Z310-2000)=0,"",INDEX(周转筐出入库明细!$C$4:$C$2004,$Z310-2000)),IF($Z310&lt;=5200,IF(INDEX(客户自备加工筐明细!$E$4:$E$1203,$Z310-4000)=0,"",INDEX(客户自备加工筐明细!$E$4:$E$1203,$Z310-4000)),IF($Z310&lt;=5800,IF(INDEX(次果筐明细!$C$4:$C$603,$Z310-5200)=0,"",INDEX(次果筐明细!$C$4:$C$603,$Z310-5200)),"")))))</f>
        <v/>
      </c>
      <c r="D310" s="37" t="str">
        <f>IF($Z310="","",IF($Z310&lt;=2000,"包装物料－"&amp;INDEX(包装物料出入库明细!$H$4:$H$2003,$Z310-0),IF($Z310&lt;=4000,"周转筐－"&amp;INDEX(周转筐出入库明细!$F$4:$F$2004,$Z310-2000),IF($Z310&lt;=5200,"客户自备筐－"&amp;INDEX(客户自备加工筐明细!$J$4:$J$1203,$Z310-4000),IF($Z310&lt;=5800,"次果筐/托盘－"&amp;INDEX(次果筐明细!$F$4:$F$603,$Z310-5200),"")))))</f>
        <v/>
      </c>
      <c r="E310" s="24" t="str">
        <f>IF($Z310="","",IF($Z310&lt;=2000,IF(INDEX(包装物料出入库明细!$C$4:$C$2003,$Z310-0)=0,"",INDEX(包装物料出入库明细!$C$4:$C$2003,$Z310-0)),IF($Z310&lt;=4000,IF(INDEX(周转筐出入库明细!$E$4:$E$2004,$Z310-2000)=0,"",INDEX(周转筐出入库明细!$E$4:$E$2004,$Z310-2000)),IF($Z310&lt;=5200,IF(INDEX(客户自备加工筐明细!$D$4:$D$1203,$Z310-4000)=0,"",INDEX(客户自备加工筐明细!$D$4:$D$1203,$Z310-4000)),IF($Z310&lt;=5800,IF(INDEX(次果筐明细!$E$4:$E$603,$Z310-5200)=0,"",INDEX(次果筐明细!$E$4:$E$603,$Z310-5200)),"")))))</f>
        <v/>
      </c>
      <c r="F310" s="24" t="str">
        <f>IF($Z310="","",IF($Z310&lt;=2000,IF(INDEX(包装物料出入库明细!$E$4:$E$2003,$Z310-0)=0,"",INDEX(包装物料出入库明细!$E$4:$E$2003,$Z310-0)),IF($Z310&lt;=4000,IF(INDEX(周转筐出入库明细!$D$4:$D$2004,$Z310-2000)=0,"",INDEX(周转筐出入库明细!$D$4:$D$2004,$Z310-2000)),IF($Z310&lt;=5200,IF(INDEX(客户自备加工筐明细!$C$4:$C$1203,$Z310-4000)=0,"",INDEX(客户自备加工筐明细!$C$4:$C$1203,$Z310-4000)),IF($Z310&lt;=5800,IF(INDEX(次果筐明细!$D$4:$D$603,$Z310-5200)=0,"",INDEX(次果筐明细!$D$4:$D$603,$Z310-5200)),"")))))</f>
        <v/>
      </c>
      <c r="G310" s="24" t="str">
        <f>IF($Z310="","",IF($Z310&lt;=2000,IF(INDEX(包装物料出入库明细!$F$4:$F$2003,$Z310-0)=0,"",INDEX(包装物料出入库明细!$F$4:$F$2003,$Z310-0)),IF($Z310&lt;=4000,"",IF($Z310&lt;=5200,"",IF($Z310&lt;=5800,"","")))))</f>
        <v/>
      </c>
      <c r="H310" s="39" t="str">
        <f>IF($Z310="","",IF($Z310&lt;=2000,IF(INDEX(包装物料出入库明细!$L$4:$L$2003,$Z310-0)=0,"",INDEX(包装物料出入库明细!$L$4:$L$2003,$Z310-0)),IF($Z310&lt;=4000,N(INDEX(周转筐出入库明细!$H$4:$H$2004,$Z310-2000))+N(INDEX(周转筐出入库明细!$I$4:$I$2004,$Z310-2000))+N(INDEX(周转筐出入库明细!$J$4:$J$2004,$Z310-2000))+N(INDEX(周转筐出入库明细!$K$4:$K$2004,$Z310-2000)),IF($Z310&lt;=5200,N(INDEX(客户自备加工筐明细!$F$4:$F$1203,$Z310-4000))+N(INDEX(客户自备加工筐明细!$G$4:$G$1203,$Z310-4000)),IF($Z310&lt;=5800,IF(INDEX(次果筐明细!$G$4:$G$603,$Z310-5200)=0,"",INDEX(次果筐明细!$G$4:$G$603,$Z310-5200)),"")))))</f>
        <v/>
      </c>
      <c r="I310" s="24" t="str">
        <f>IF($Z310="","",IF($Z310&lt;=2000,IF(INDEX(包装物料出入库明细!$G$4:$G$2003,$Z310-0)=0,"",INDEX(包装物料出入库明细!$G$4:$G$2003,$Z310-0)),IF($Z310&lt;=4000,"个",IF($Z310&lt;=5200,"个",IF($Z310&lt;=5800,"个","")))))</f>
        <v/>
      </c>
      <c r="J310" s="30" t="str">
        <f t="shared" si="13"/>
        <v/>
      </c>
      <c r="K310" s="30" t="str">
        <f>IF($Z310="","",IF($Z310&lt;=2000,IF(INDEX(包装物料出入库明细!$N$4:$N$2003,$Z310-0)=0,"",INDEX(包装物料出入库明细!$N$4:$N$2003,$Z310-0)),IF($Z310&lt;=4000,IF(INDEX(周转筐出入库明细!$P$4:$P$2004,$Z310-2000)=0,"",INDEX(周转筐出入库明细!$P$4:$P$2004,$Z310-2000)),IF($Z310&lt;=5200,"",IF($Z310&lt;=5800,N(INDEX(次果筐明细!$L$4:$L$603,$Z310-5200))+N(INDEX(次果筐明细!$J$4:$J$603,$Z310-5200)),"")))))</f>
        <v/>
      </c>
      <c r="L310" s="24" t="str">
        <f>IF($Z310="","",IF($Z310&lt;=2000,IF(INDEX(包装物料出入库明细!$P$4:$P$2003,$Z310-0)=0,"",INDEX(包装物料出入库明细!$P$4:$P$2003,$Z310-0)),IF($Z310&lt;=4000,IF(INDEX(周转筐出入库明细!$Q$4:$Q$2004,$Z310-2000)=0,"",INDEX(周转筐出入库明细!$Q$4:$Q$2004,$Z310-2000)),IF($Z310&lt;=5200,"",IF($Z310&lt;=5800,IF(INDEX(次果筐明细!$M$4:$M$603,$Z310-5200)=0,"",INDEX(次果筐明细!$M$4:$M$603,$Z310-5200)),"")))))</f>
        <v/>
      </c>
      <c r="M310" s="37" t="str">
        <f>IF($Z310="","",IF($Z310&lt;=2000,IF(INDEX(包装物料出入库明细!$R$4:$R$2003,$Z310-0)=0,"",INDEX(包装物料出入库明细!$R$4:$R$2003,$Z310-0)),IF($Z310&lt;=4000,IF(INDEX(周转筐出入库明细!$W$4:$W$2004,$Z310-2000)=0,"",INDEX(周转筐出入库明细!$W$4:$W$2004,$Z310-2000)),IF($Z310&lt;=5200,IF(INDEX(客户自备加工筐明细!$L$4:$L$1203,$Z310-4000)=0,"",INDEX(客户自备加工筐明细!$L$4:$L$1203,$Z310-4000)),IF($Z310&lt;=5800,IF(INDEX(次果筐明细!$P$4:$P$603,$Z310-5200)=0,"",INDEX(次果筐明细!$P$4:$P$603,$Z310-5200)),"")))))</f>
        <v/>
      </c>
      <c r="N310" s="16" t="str">
        <f>IF($Z310="","",IF($Z310&lt;=2000,"",IF($Z310&lt;=4000,IF(INDEX(周转筐出入库明细!$D$4:$D$2004,$Z310-2000)=0,"",INDEX(周转筐出入库明细!$D$4:$D$2004,$Z310-2000)),IF($Z310&lt;=5200,IF(INDEX(客户自备加工筐明细!$C$4:$C$1203,$Z310-4000)=0,"",INDEX(客户自备加工筐明细!$C$4:$C$1203,$Z310-4000)),IF($Z310&lt;=5800,IF(INDEX(次果筐明细!$D$4:$D$603,$Z310-5200)=0,"",INDEX(次果筐明细!$D$4:$D$603,$Z310-5200)),"")))))</f>
        <v/>
      </c>
      <c r="O310" s="40" t="str">
        <f>IF($Z310="","",IF($Z310&lt;=2000,"",IF($Z310&lt;=4000,IF(N(INDEX(周转筐出入库明细!$J$4:$J$2004,$Z310-2000))+N(INDEX(周转筐出入库明细!$K$4:$K$2004,$Z310-2000))=0,"",N(INDEX(周转筐出入库明细!$J$4:$J$2004,$Z310-2000))+N(INDEX(周转筐出入库明细!$K$4:$K$2004,$Z310-2000))),IF($Z310&lt;=5200,IF(N(INDEX(客户自备加工筐明细!$G$4:$G$1203,$Z310-4000))=0,"",N(INDEX(客户自备加工筐明细!$G$4:$G$1203,$Z310-4000))),IF($Z310&lt;=5800,IF(ISNUMBER(SEARCH("退",INDEX(次果筐明细!$F$4:$F$603,$Z310-5200)&amp;"")),"",IF(N(INDEX(次果筐明细!$G$4:$G$603,$Z310-5200))=0,"",N(INDEX(次果筐明细!$G$4:$G$603,$Z310-5200)))),"")))))</f>
        <v/>
      </c>
      <c r="P310" s="40" t="str">
        <f>IF($Z310="","",IF($Z310&lt;=2000,"",IF($Z310&lt;=4000,IF(N(INDEX(周转筐出入库明细!$I$4:$I$2004,$Z310-2000))=0,"",N(INDEX(周转筐出入库明细!$I$4:$I$2004,$Z310-2000))),IF($Z310&lt;=5200,"",IF($Z310&lt;=5800,IF(ISNUMBER(SEARCH("退",INDEX(次果筐明细!$F$4:$F$603,$Z310-5200)&amp;"")),IF(N(INDEX(次果筐明细!$G$4:$G$603,$Z310-5200))=0,"",N(INDEX(次果筐明细!$G$4:$G$603,$Z310-5200))),""),"")))))</f>
        <v/>
      </c>
      <c r="Q310" s="40" t="str">
        <f>IF($Z310="","",IF($Z310&lt;=2000,"",IF($Z310&lt;=4000,IF(N(INDEX(周转筐出入库明细!$H$4:$H$2004,$Z310-2000))=0,"",N(INDEX(周转筐出入库明细!$H$4:$H$2004,$Z310-2000))),IF($Z310&lt;=5200,IF(N(INDEX(客户自备加工筐明细!$F$4:$F$1203,$Z310-4000))=0,"",N(INDEX(客户自备加工筐明细!$F$4:$F$1203,$Z310-4000))),IF($Z310&lt;=5800,"","")))))</f>
        <v/>
      </c>
      <c r="R310" s="16" t="str">
        <f>IF($Z310="","",IF($Z310&lt;=2000,IF(INDEX(包装物料出入库明细!$O$4:$O$2003,$Z310-0)=0,"",INDEX(包装物料出入库明细!$O$4:$O$2003,$Z310-0)),IF($Z310&lt;=4000,IF(INDEX(周转筐出入库明细!$M$4:$M$2004,$Z310-2000)=0,"",INDEX(周转筐出入库明细!$M$4:$M$2004,$Z310-2000)),IF($Z310&lt;=5200,IF(INDEX(客户自备加工筐明细!$H$4:$H$1203,$Z310-4000)=0,"",INDEX(客户自备加工筐明细!$H$4:$H$1203,$Z310-4000)),IF($Z310&lt;=5800,IF(INDEX(次果筐明细!$H$4:$H$603,$Z310-5200)=0,"",INDEX(次果筐明细!$H$4:$H$603,$Z310-5200)),"")))))</f>
        <v/>
      </c>
      <c r="S310" s="22" t="str">
        <f t="shared" si="14"/>
        <v/>
      </c>
      <c r="Z310" s="10" t="str">
        <f>IFERROR(MATCH(ROW()-3,_自动清单!$CQ$4:$CQ$5803,0),"")</f>
        <v/>
      </c>
    </row>
    <row r="311" spans="1:26">
      <c r="A311" s="24" t="str">
        <f t="shared" si="12"/>
        <v/>
      </c>
      <c r="B311" s="38" t="str">
        <f>IF($Z311="","",IF($Z311&lt;=2000,IF(INDEX(包装物料出入库明细!$B$4:$B$2003,$Z311-0)=0,"",INDEX(包装物料出入库明细!$B$4:$B$2003,$Z311-0)),IF($Z311&lt;=4000,IF(INDEX(周转筐出入库明细!$B$4:$B$2004,$Z311-2000)=0,"",INDEX(周转筐出入库明细!$B$4:$B$2004,$Z311-2000)),IF($Z311&lt;=5200,IF(INDEX(客户自备加工筐明细!$B$4:$B$1203,$Z311-4000)=0,"",INDEX(客户自备加工筐明细!$B$4:$B$1203,$Z311-4000)),IF($Z311&lt;=5800,IF(INDEX(次果筐明细!$B$4:$B$603,$Z311-5200)=0,"",INDEX(次果筐明细!$B$4:$B$603,$Z311-5200)),"")))))</f>
        <v/>
      </c>
      <c r="C311" s="37" t="str">
        <f>IF($Z311="","",IF($Z311&lt;=2000,IF(INDEX(包装物料出入库明细!$D$4:$D$2003,$Z311-0)=0,"",INDEX(包装物料出入库明细!$D$4:$D$2003,$Z311-0)),IF($Z311&lt;=4000,IF(INDEX(周转筐出入库明细!$C$4:$C$2004,$Z311-2000)=0,"",INDEX(周转筐出入库明细!$C$4:$C$2004,$Z311-2000)),IF($Z311&lt;=5200,IF(INDEX(客户自备加工筐明细!$E$4:$E$1203,$Z311-4000)=0,"",INDEX(客户自备加工筐明细!$E$4:$E$1203,$Z311-4000)),IF($Z311&lt;=5800,IF(INDEX(次果筐明细!$C$4:$C$603,$Z311-5200)=0,"",INDEX(次果筐明细!$C$4:$C$603,$Z311-5200)),"")))))</f>
        <v/>
      </c>
      <c r="D311" s="37" t="str">
        <f>IF($Z311="","",IF($Z311&lt;=2000,"包装物料－"&amp;INDEX(包装物料出入库明细!$H$4:$H$2003,$Z311-0),IF($Z311&lt;=4000,"周转筐－"&amp;INDEX(周转筐出入库明细!$F$4:$F$2004,$Z311-2000),IF($Z311&lt;=5200,"客户自备筐－"&amp;INDEX(客户自备加工筐明细!$J$4:$J$1203,$Z311-4000),IF($Z311&lt;=5800,"次果筐/托盘－"&amp;INDEX(次果筐明细!$F$4:$F$603,$Z311-5200),"")))))</f>
        <v/>
      </c>
      <c r="E311" s="24" t="str">
        <f>IF($Z311="","",IF($Z311&lt;=2000,IF(INDEX(包装物料出入库明细!$C$4:$C$2003,$Z311-0)=0,"",INDEX(包装物料出入库明细!$C$4:$C$2003,$Z311-0)),IF($Z311&lt;=4000,IF(INDEX(周转筐出入库明细!$E$4:$E$2004,$Z311-2000)=0,"",INDEX(周转筐出入库明细!$E$4:$E$2004,$Z311-2000)),IF($Z311&lt;=5200,IF(INDEX(客户自备加工筐明细!$D$4:$D$1203,$Z311-4000)=0,"",INDEX(客户自备加工筐明细!$D$4:$D$1203,$Z311-4000)),IF($Z311&lt;=5800,IF(INDEX(次果筐明细!$E$4:$E$603,$Z311-5200)=0,"",INDEX(次果筐明细!$E$4:$E$603,$Z311-5200)),"")))))</f>
        <v/>
      </c>
      <c r="F311" s="24" t="str">
        <f>IF($Z311="","",IF($Z311&lt;=2000,IF(INDEX(包装物料出入库明细!$E$4:$E$2003,$Z311-0)=0,"",INDEX(包装物料出入库明细!$E$4:$E$2003,$Z311-0)),IF($Z311&lt;=4000,IF(INDEX(周转筐出入库明细!$D$4:$D$2004,$Z311-2000)=0,"",INDEX(周转筐出入库明细!$D$4:$D$2004,$Z311-2000)),IF($Z311&lt;=5200,IF(INDEX(客户自备加工筐明细!$C$4:$C$1203,$Z311-4000)=0,"",INDEX(客户自备加工筐明细!$C$4:$C$1203,$Z311-4000)),IF($Z311&lt;=5800,IF(INDEX(次果筐明细!$D$4:$D$603,$Z311-5200)=0,"",INDEX(次果筐明细!$D$4:$D$603,$Z311-5200)),"")))))</f>
        <v/>
      </c>
      <c r="G311" s="24" t="str">
        <f>IF($Z311="","",IF($Z311&lt;=2000,IF(INDEX(包装物料出入库明细!$F$4:$F$2003,$Z311-0)=0,"",INDEX(包装物料出入库明细!$F$4:$F$2003,$Z311-0)),IF($Z311&lt;=4000,"",IF($Z311&lt;=5200,"",IF($Z311&lt;=5800,"","")))))</f>
        <v/>
      </c>
      <c r="H311" s="39" t="str">
        <f>IF($Z311="","",IF($Z311&lt;=2000,IF(INDEX(包装物料出入库明细!$L$4:$L$2003,$Z311-0)=0,"",INDEX(包装物料出入库明细!$L$4:$L$2003,$Z311-0)),IF($Z311&lt;=4000,N(INDEX(周转筐出入库明细!$H$4:$H$2004,$Z311-2000))+N(INDEX(周转筐出入库明细!$I$4:$I$2004,$Z311-2000))+N(INDEX(周转筐出入库明细!$J$4:$J$2004,$Z311-2000))+N(INDEX(周转筐出入库明细!$K$4:$K$2004,$Z311-2000)),IF($Z311&lt;=5200,N(INDEX(客户自备加工筐明细!$F$4:$F$1203,$Z311-4000))+N(INDEX(客户自备加工筐明细!$G$4:$G$1203,$Z311-4000)),IF($Z311&lt;=5800,IF(INDEX(次果筐明细!$G$4:$G$603,$Z311-5200)=0,"",INDEX(次果筐明细!$G$4:$G$603,$Z311-5200)),"")))))</f>
        <v/>
      </c>
      <c r="I311" s="24" t="str">
        <f>IF($Z311="","",IF($Z311&lt;=2000,IF(INDEX(包装物料出入库明细!$G$4:$G$2003,$Z311-0)=0,"",INDEX(包装物料出入库明细!$G$4:$G$2003,$Z311-0)),IF($Z311&lt;=4000,"个",IF($Z311&lt;=5200,"个",IF($Z311&lt;=5800,"个","")))))</f>
        <v/>
      </c>
      <c r="J311" s="30" t="str">
        <f t="shared" si="13"/>
        <v/>
      </c>
      <c r="K311" s="30" t="str">
        <f>IF($Z311="","",IF($Z311&lt;=2000,IF(INDEX(包装物料出入库明细!$N$4:$N$2003,$Z311-0)=0,"",INDEX(包装物料出入库明细!$N$4:$N$2003,$Z311-0)),IF($Z311&lt;=4000,IF(INDEX(周转筐出入库明细!$P$4:$P$2004,$Z311-2000)=0,"",INDEX(周转筐出入库明细!$P$4:$P$2004,$Z311-2000)),IF($Z311&lt;=5200,"",IF($Z311&lt;=5800,N(INDEX(次果筐明细!$L$4:$L$603,$Z311-5200))+N(INDEX(次果筐明细!$J$4:$J$603,$Z311-5200)),"")))))</f>
        <v/>
      </c>
      <c r="L311" s="24" t="str">
        <f>IF($Z311="","",IF($Z311&lt;=2000,IF(INDEX(包装物料出入库明细!$P$4:$P$2003,$Z311-0)=0,"",INDEX(包装物料出入库明细!$P$4:$P$2003,$Z311-0)),IF($Z311&lt;=4000,IF(INDEX(周转筐出入库明细!$Q$4:$Q$2004,$Z311-2000)=0,"",INDEX(周转筐出入库明细!$Q$4:$Q$2004,$Z311-2000)),IF($Z311&lt;=5200,"",IF($Z311&lt;=5800,IF(INDEX(次果筐明细!$M$4:$M$603,$Z311-5200)=0,"",INDEX(次果筐明细!$M$4:$M$603,$Z311-5200)),"")))))</f>
        <v/>
      </c>
      <c r="M311" s="37" t="str">
        <f>IF($Z311="","",IF($Z311&lt;=2000,IF(INDEX(包装物料出入库明细!$R$4:$R$2003,$Z311-0)=0,"",INDEX(包装物料出入库明细!$R$4:$R$2003,$Z311-0)),IF($Z311&lt;=4000,IF(INDEX(周转筐出入库明细!$W$4:$W$2004,$Z311-2000)=0,"",INDEX(周转筐出入库明细!$W$4:$W$2004,$Z311-2000)),IF($Z311&lt;=5200,IF(INDEX(客户自备加工筐明细!$L$4:$L$1203,$Z311-4000)=0,"",INDEX(客户自备加工筐明细!$L$4:$L$1203,$Z311-4000)),IF($Z311&lt;=5800,IF(INDEX(次果筐明细!$P$4:$P$603,$Z311-5200)=0,"",INDEX(次果筐明细!$P$4:$P$603,$Z311-5200)),"")))))</f>
        <v/>
      </c>
      <c r="N311" s="16" t="str">
        <f>IF($Z311="","",IF($Z311&lt;=2000,"",IF($Z311&lt;=4000,IF(INDEX(周转筐出入库明细!$D$4:$D$2004,$Z311-2000)=0,"",INDEX(周转筐出入库明细!$D$4:$D$2004,$Z311-2000)),IF($Z311&lt;=5200,IF(INDEX(客户自备加工筐明细!$C$4:$C$1203,$Z311-4000)=0,"",INDEX(客户自备加工筐明细!$C$4:$C$1203,$Z311-4000)),IF($Z311&lt;=5800,IF(INDEX(次果筐明细!$D$4:$D$603,$Z311-5200)=0,"",INDEX(次果筐明细!$D$4:$D$603,$Z311-5200)),"")))))</f>
        <v/>
      </c>
      <c r="O311" s="40" t="str">
        <f>IF($Z311="","",IF($Z311&lt;=2000,"",IF($Z311&lt;=4000,IF(N(INDEX(周转筐出入库明细!$J$4:$J$2004,$Z311-2000))+N(INDEX(周转筐出入库明细!$K$4:$K$2004,$Z311-2000))=0,"",N(INDEX(周转筐出入库明细!$J$4:$J$2004,$Z311-2000))+N(INDEX(周转筐出入库明细!$K$4:$K$2004,$Z311-2000))),IF($Z311&lt;=5200,IF(N(INDEX(客户自备加工筐明细!$G$4:$G$1203,$Z311-4000))=0,"",N(INDEX(客户自备加工筐明细!$G$4:$G$1203,$Z311-4000))),IF($Z311&lt;=5800,IF(ISNUMBER(SEARCH("退",INDEX(次果筐明细!$F$4:$F$603,$Z311-5200)&amp;"")),"",IF(N(INDEX(次果筐明细!$G$4:$G$603,$Z311-5200))=0,"",N(INDEX(次果筐明细!$G$4:$G$603,$Z311-5200)))),"")))))</f>
        <v/>
      </c>
      <c r="P311" s="40" t="str">
        <f>IF($Z311="","",IF($Z311&lt;=2000,"",IF($Z311&lt;=4000,IF(N(INDEX(周转筐出入库明细!$I$4:$I$2004,$Z311-2000))=0,"",N(INDEX(周转筐出入库明细!$I$4:$I$2004,$Z311-2000))),IF($Z311&lt;=5200,"",IF($Z311&lt;=5800,IF(ISNUMBER(SEARCH("退",INDEX(次果筐明细!$F$4:$F$603,$Z311-5200)&amp;"")),IF(N(INDEX(次果筐明细!$G$4:$G$603,$Z311-5200))=0,"",N(INDEX(次果筐明细!$G$4:$G$603,$Z311-5200))),""),"")))))</f>
        <v/>
      </c>
      <c r="Q311" s="40" t="str">
        <f>IF($Z311="","",IF($Z311&lt;=2000,"",IF($Z311&lt;=4000,IF(N(INDEX(周转筐出入库明细!$H$4:$H$2004,$Z311-2000))=0,"",N(INDEX(周转筐出入库明细!$H$4:$H$2004,$Z311-2000))),IF($Z311&lt;=5200,IF(N(INDEX(客户自备加工筐明细!$F$4:$F$1203,$Z311-4000))=0,"",N(INDEX(客户自备加工筐明细!$F$4:$F$1203,$Z311-4000))),IF($Z311&lt;=5800,"","")))))</f>
        <v/>
      </c>
      <c r="R311" s="16" t="str">
        <f>IF($Z311="","",IF($Z311&lt;=2000,IF(INDEX(包装物料出入库明细!$O$4:$O$2003,$Z311-0)=0,"",INDEX(包装物料出入库明细!$O$4:$O$2003,$Z311-0)),IF($Z311&lt;=4000,IF(INDEX(周转筐出入库明细!$M$4:$M$2004,$Z311-2000)=0,"",INDEX(周转筐出入库明细!$M$4:$M$2004,$Z311-2000)),IF($Z311&lt;=5200,IF(INDEX(客户自备加工筐明细!$H$4:$H$1203,$Z311-4000)=0,"",INDEX(客户自备加工筐明细!$H$4:$H$1203,$Z311-4000)),IF($Z311&lt;=5800,IF(INDEX(次果筐明细!$H$4:$H$603,$Z311-5200)=0,"",INDEX(次果筐明细!$H$4:$H$603,$Z311-5200)),"")))))</f>
        <v/>
      </c>
      <c r="S311" s="22" t="str">
        <f t="shared" si="14"/>
        <v/>
      </c>
      <c r="Z311" s="10" t="str">
        <f>IFERROR(MATCH(ROW()-3,_自动清单!$CQ$4:$CQ$5803,0),"")</f>
        <v/>
      </c>
    </row>
    <row r="312" spans="1:26">
      <c r="A312" s="24" t="str">
        <f t="shared" si="12"/>
        <v/>
      </c>
      <c r="B312" s="38" t="str">
        <f>IF($Z312="","",IF($Z312&lt;=2000,IF(INDEX(包装物料出入库明细!$B$4:$B$2003,$Z312-0)=0,"",INDEX(包装物料出入库明细!$B$4:$B$2003,$Z312-0)),IF($Z312&lt;=4000,IF(INDEX(周转筐出入库明细!$B$4:$B$2004,$Z312-2000)=0,"",INDEX(周转筐出入库明细!$B$4:$B$2004,$Z312-2000)),IF($Z312&lt;=5200,IF(INDEX(客户自备加工筐明细!$B$4:$B$1203,$Z312-4000)=0,"",INDEX(客户自备加工筐明细!$B$4:$B$1203,$Z312-4000)),IF($Z312&lt;=5800,IF(INDEX(次果筐明细!$B$4:$B$603,$Z312-5200)=0,"",INDEX(次果筐明细!$B$4:$B$603,$Z312-5200)),"")))))</f>
        <v/>
      </c>
      <c r="C312" s="37" t="str">
        <f>IF($Z312="","",IF($Z312&lt;=2000,IF(INDEX(包装物料出入库明细!$D$4:$D$2003,$Z312-0)=0,"",INDEX(包装物料出入库明细!$D$4:$D$2003,$Z312-0)),IF($Z312&lt;=4000,IF(INDEX(周转筐出入库明细!$C$4:$C$2004,$Z312-2000)=0,"",INDEX(周转筐出入库明细!$C$4:$C$2004,$Z312-2000)),IF($Z312&lt;=5200,IF(INDEX(客户自备加工筐明细!$E$4:$E$1203,$Z312-4000)=0,"",INDEX(客户自备加工筐明细!$E$4:$E$1203,$Z312-4000)),IF($Z312&lt;=5800,IF(INDEX(次果筐明细!$C$4:$C$603,$Z312-5200)=0,"",INDEX(次果筐明细!$C$4:$C$603,$Z312-5200)),"")))))</f>
        <v/>
      </c>
      <c r="D312" s="37" t="str">
        <f>IF($Z312="","",IF($Z312&lt;=2000,"包装物料－"&amp;INDEX(包装物料出入库明细!$H$4:$H$2003,$Z312-0),IF($Z312&lt;=4000,"周转筐－"&amp;INDEX(周转筐出入库明细!$F$4:$F$2004,$Z312-2000),IF($Z312&lt;=5200,"客户自备筐－"&amp;INDEX(客户自备加工筐明细!$J$4:$J$1203,$Z312-4000),IF($Z312&lt;=5800,"次果筐/托盘－"&amp;INDEX(次果筐明细!$F$4:$F$603,$Z312-5200),"")))))</f>
        <v/>
      </c>
      <c r="E312" s="24" t="str">
        <f>IF($Z312="","",IF($Z312&lt;=2000,IF(INDEX(包装物料出入库明细!$C$4:$C$2003,$Z312-0)=0,"",INDEX(包装物料出入库明细!$C$4:$C$2003,$Z312-0)),IF($Z312&lt;=4000,IF(INDEX(周转筐出入库明细!$E$4:$E$2004,$Z312-2000)=0,"",INDEX(周转筐出入库明细!$E$4:$E$2004,$Z312-2000)),IF($Z312&lt;=5200,IF(INDEX(客户自备加工筐明细!$D$4:$D$1203,$Z312-4000)=0,"",INDEX(客户自备加工筐明细!$D$4:$D$1203,$Z312-4000)),IF($Z312&lt;=5800,IF(INDEX(次果筐明细!$E$4:$E$603,$Z312-5200)=0,"",INDEX(次果筐明细!$E$4:$E$603,$Z312-5200)),"")))))</f>
        <v/>
      </c>
      <c r="F312" s="24" t="str">
        <f>IF($Z312="","",IF($Z312&lt;=2000,IF(INDEX(包装物料出入库明细!$E$4:$E$2003,$Z312-0)=0,"",INDEX(包装物料出入库明细!$E$4:$E$2003,$Z312-0)),IF($Z312&lt;=4000,IF(INDEX(周转筐出入库明细!$D$4:$D$2004,$Z312-2000)=0,"",INDEX(周转筐出入库明细!$D$4:$D$2004,$Z312-2000)),IF($Z312&lt;=5200,IF(INDEX(客户自备加工筐明细!$C$4:$C$1203,$Z312-4000)=0,"",INDEX(客户自备加工筐明细!$C$4:$C$1203,$Z312-4000)),IF($Z312&lt;=5800,IF(INDEX(次果筐明细!$D$4:$D$603,$Z312-5200)=0,"",INDEX(次果筐明细!$D$4:$D$603,$Z312-5200)),"")))))</f>
        <v/>
      </c>
      <c r="G312" s="24" t="str">
        <f>IF($Z312="","",IF($Z312&lt;=2000,IF(INDEX(包装物料出入库明细!$F$4:$F$2003,$Z312-0)=0,"",INDEX(包装物料出入库明细!$F$4:$F$2003,$Z312-0)),IF($Z312&lt;=4000,"",IF($Z312&lt;=5200,"",IF($Z312&lt;=5800,"","")))))</f>
        <v/>
      </c>
      <c r="H312" s="39" t="str">
        <f>IF($Z312="","",IF($Z312&lt;=2000,IF(INDEX(包装物料出入库明细!$L$4:$L$2003,$Z312-0)=0,"",INDEX(包装物料出入库明细!$L$4:$L$2003,$Z312-0)),IF($Z312&lt;=4000,N(INDEX(周转筐出入库明细!$H$4:$H$2004,$Z312-2000))+N(INDEX(周转筐出入库明细!$I$4:$I$2004,$Z312-2000))+N(INDEX(周转筐出入库明细!$J$4:$J$2004,$Z312-2000))+N(INDEX(周转筐出入库明细!$K$4:$K$2004,$Z312-2000)),IF($Z312&lt;=5200,N(INDEX(客户自备加工筐明细!$F$4:$F$1203,$Z312-4000))+N(INDEX(客户自备加工筐明细!$G$4:$G$1203,$Z312-4000)),IF($Z312&lt;=5800,IF(INDEX(次果筐明细!$G$4:$G$603,$Z312-5200)=0,"",INDEX(次果筐明细!$G$4:$G$603,$Z312-5200)),"")))))</f>
        <v/>
      </c>
      <c r="I312" s="24" t="str">
        <f>IF($Z312="","",IF($Z312&lt;=2000,IF(INDEX(包装物料出入库明细!$G$4:$G$2003,$Z312-0)=0,"",INDEX(包装物料出入库明细!$G$4:$G$2003,$Z312-0)),IF($Z312&lt;=4000,"个",IF($Z312&lt;=5200,"个",IF($Z312&lt;=5800,"个","")))))</f>
        <v/>
      </c>
      <c r="J312" s="30" t="str">
        <f t="shared" si="13"/>
        <v/>
      </c>
      <c r="K312" s="30" t="str">
        <f>IF($Z312="","",IF($Z312&lt;=2000,IF(INDEX(包装物料出入库明细!$N$4:$N$2003,$Z312-0)=0,"",INDEX(包装物料出入库明细!$N$4:$N$2003,$Z312-0)),IF($Z312&lt;=4000,IF(INDEX(周转筐出入库明细!$P$4:$P$2004,$Z312-2000)=0,"",INDEX(周转筐出入库明细!$P$4:$P$2004,$Z312-2000)),IF($Z312&lt;=5200,"",IF($Z312&lt;=5800,N(INDEX(次果筐明细!$L$4:$L$603,$Z312-5200))+N(INDEX(次果筐明细!$J$4:$J$603,$Z312-5200)),"")))))</f>
        <v/>
      </c>
      <c r="L312" s="24" t="str">
        <f>IF($Z312="","",IF($Z312&lt;=2000,IF(INDEX(包装物料出入库明细!$P$4:$P$2003,$Z312-0)=0,"",INDEX(包装物料出入库明细!$P$4:$P$2003,$Z312-0)),IF($Z312&lt;=4000,IF(INDEX(周转筐出入库明细!$Q$4:$Q$2004,$Z312-2000)=0,"",INDEX(周转筐出入库明细!$Q$4:$Q$2004,$Z312-2000)),IF($Z312&lt;=5200,"",IF($Z312&lt;=5800,IF(INDEX(次果筐明细!$M$4:$M$603,$Z312-5200)=0,"",INDEX(次果筐明细!$M$4:$M$603,$Z312-5200)),"")))))</f>
        <v/>
      </c>
      <c r="M312" s="37" t="str">
        <f>IF($Z312="","",IF($Z312&lt;=2000,IF(INDEX(包装物料出入库明细!$R$4:$R$2003,$Z312-0)=0,"",INDEX(包装物料出入库明细!$R$4:$R$2003,$Z312-0)),IF($Z312&lt;=4000,IF(INDEX(周转筐出入库明细!$W$4:$W$2004,$Z312-2000)=0,"",INDEX(周转筐出入库明细!$W$4:$W$2004,$Z312-2000)),IF($Z312&lt;=5200,IF(INDEX(客户自备加工筐明细!$L$4:$L$1203,$Z312-4000)=0,"",INDEX(客户自备加工筐明细!$L$4:$L$1203,$Z312-4000)),IF($Z312&lt;=5800,IF(INDEX(次果筐明细!$P$4:$P$603,$Z312-5200)=0,"",INDEX(次果筐明细!$P$4:$P$603,$Z312-5200)),"")))))</f>
        <v/>
      </c>
      <c r="N312" s="16" t="str">
        <f>IF($Z312="","",IF($Z312&lt;=2000,"",IF($Z312&lt;=4000,IF(INDEX(周转筐出入库明细!$D$4:$D$2004,$Z312-2000)=0,"",INDEX(周转筐出入库明细!$D$4:$D$2004,$Z312-2000)),IF($Z312&lt;=5200,IF(INDEX(客户自备加工筐明细!$C$4:$C$1203,$Z312-4000)=0,"",INDEX(客户自备加工筐明细!$C$4:$C$1203,$Z312-4000)),IF($Z312&lt;=5800,IF(INDEX(次果筐明细!$D$4:$D$603,$Z312-5200)=0,"",INDEX(次果筐明细!$D$4:$D$603,$Z312-5200)),"")))))</f>
        <v/>
      </c>
      <c r="O312" s="40" t="str">
        <f>IF($Z312="","",IF($Z312&lt;=2000,"",IF($Z312&lt;=4000,IF(N(INDEX(周转筐出入库明细!$J$4:$J$2004,$Z312-2000))+N(INDEX(周转筐出入库明细!$K$4:$K$2004,$Z312-2000))=0,"",N(INDEX(周转筐出入库明细!$J$4:$J$2004,$Z312-2000))+N(INDEX(周转筐出入库明细!$K$4:$K$2004,$Z312-2000))),IF($Z312&lt;=5200,IF(N(INDEX(客户自备加工筐明细!$G$4:$G$1203,$Z312-4000))=0,"",N(INDEX(客户自备加工筐明细!$G$4:$G$1203,$Z312-4000))),IF($Z312&lt;=5800,IF(ISNUMBER(SEARCH("退",INDEX(次果筐明细!$F$4:$F$603,$Z312-5200)&amp;"")),"",IF(N(INDEX(次果筐明细!$G$4:$G$603,$Z312-5200))=0,"",N(INDEX(次果筐明细!$G$4:$G$603,$Z312-5200)))),"")))))</f>
        <v/>
      </c>
      <c r="P312" s="40" t="str">
        <f>IF($Z312="","",IF($Z312&lt;=2000,"",IF($Z312&lt;=4000,IF(N(INDEX(周转筐出入库明细!$I$4:$I$2004,$Z312-2000))=0,"",N(INDEX(周转筐出入库明细!$I$4:$I$2004,$Z312-2000))),IF($Z312&lt;=5200,"",IF($Z312&lt;=5800,IF(ISNUMBER(SEARCH("退",INDEX(次果筐明细!$F$4:$F$603,$Z312-5200)&amp;"")),IF(N(INDEX(次果筐明细!$G$4:$G$603,$Z312-5200))=0,"",N(INDEX(次果筐明细!$G$4:$G$603,$Z312-5200))),""),"")))))</f>
        <v/>
      </c>
      <c r="Q312" s="40" t="str">
        <f>IF($Z312="","",IF($Z312&lt;=2000,"",IF($Z312&lt;=4000,IF(N(INDEX(周转筐出入库明细!$H$4:$H$2004,$Z312-2000))=0,"",N(INDEX(周转筐出入库明细!$H$4:$H$2004,$Z312-2000))),IF($Z312&lt;=5200,IF(N(INDEX(客户自备加工筐明细!$F$4:$F$1203,$Z312-4000))=0,"",N(INDEX(客户自备加工筐明细!$F$4:$F$1203,$Z312-4000))),IF($Z312&lt;=5800,"","")))))</f>
        <v/>
      </c>
      <c r="R312" s="16" t="str">
        <f>IF($Z312="","",IF($Z312&lt;=2000,IF(INDEX(包装物料出入库明细!$O$4:$O$2003,$Z312-0)=0,"",INDEX(包装物料出入库明细!$O$4:$O$2003,$Z312-0)),IF($Z312&lt;=4000,IF(INDEX(周转筐出入库明细!$M$4:$M$2004,$Z312-2000)=0,"",INDEX(周转筐出入库明细!$M$4:$M$2004,$Z312-2000)),IF($Z312&lt;=5200,IF(INDEX(客户自备加工筐明细!$H$4:$H$1203,$Z312-4000)=0,"",INDEX(客户自备加工筐明细!$H$4:$H$1203,$Z312-4000)),IF($Z312&lt;=5800,IF(INDEX(次果筐明细!$H$4:$H$603,$Z312-5200)=0,"",INDEX(次果筐明细!$H$4:$H$603,$Z312-5200)),"")))))</f>
        <v/>
      </c>
      <c r="S312" s="22" t="str">
        <f t="shared" si="14"/>
        <v/>
      </c>
      <c r="Z312" s="10" t="str">
        <f>IFERROR(MATCH(ROW()-3,_自动清单!$CQ$4:$CQ$5803,0),"")</f>
        <v/>
      </c>
    </row>
    <row r="313" spans="1:26">
      <c r="A313" s="24" t="str">
        <f t="shared" si="12"/>
        <v/>
      </c>
      <c r="B313" s="38" t="str">
        <f>IF($Z313="","",IF($Z313&lt;=2000,IF(INDEX(包装物料出入库明细!$B$4:$B$2003,$Z313-0)=0,"",INDEX(包装物料出入库明细!$B$4:$B$2003,$Z313-0)),IF($Z313&lt;=4000,IF(INDEX(周转筐出入库明细!$B$4:$B$2004,$Z313-2000)=0,"",INDEX(周转筐出入库明细!$B$4:$B$2004,$Z313-2000)),IF($Z313&lt;=5200,IF(INDEX(客户自备加工筐明细!$B$4:$B$1203,$Z313-4000)=0,"",INDEX(客户自备加工筐明细!$B$4:$B$1203,$Z313-4000)),IF($Z313&lt;=5800,IF(INDEX(次果筐明细!$B$4:$B$603,$Z313-5200)=0,"",INDEX(次果筐明细!$B$4:$B$603,$Z313-5200)),"")))))</f>
        <v/>
      </c>
      <c r="C313" s="37" t="str">
        <f>IF($Z313="","",IF($Z313&lt;=2000,IF(INDEX(包装物料出入库明细!$D$4:$D$2003,$Z313-0)=0,"",INDEX(包装物料出入库明细!$D$4:$D$2003,$Z313-0)),IF($Z313&lt;=4000,IF(INDEX(周转筐出入库明细!$C$4:$C$2004,$Z313-2000)=0,"",INDEX(周转筐出入库明细!$C$4:$C$2004,$Z313-2000)),IF($Z313&lt;=5200,IF(INDEX(客户自备加工筐明细!$E$4:$E$1203,$Z313-4000)=0,"",INDEX(客户自备加工筐明细!$E$4:$E$1203,$Z313-4000)),IF($Z313&lt;=5800,IF(INDEX(次果筐明细!$C$4:$C$603,$Z313-5200)=0,"",INDEX(次果筐明细!$C$4:$C$603,$Z313-5200)),"")))))</f>
        <v/>
      </c>
      <c r="D313" s="37" t="str">
        <f>IF($Z313="","",IF($Z313&lt;=2000,"包装物料－"&amp;INDEX(包装物料出入库明细!$H$4:$H$2003,$Z313-0),IF($Z313&lt;=4000,"周转筐－"&amp;INDEX(周转筐出入库明细!$F$4:$F$2004,$Z313-2000),IF($Z313&lt;=5200,"客户自备筐－"&amp;INDEX(客户自备加工筐明细!$J$4:$J$1203,$Z313-4000),IF($Z313&lt;=5800,"次果筐/托盘－"&amp;INDEX(次果筐明细!$F$4:$F$603,$Z313-5200),"")))))</f>
        <v/>
      </c>
      <c r="E313" s="24" t="str">
        <f>IF($Z313="","",IF($Z313&lt;=2000,IF(INDEX(包装物料出入库明细!$C$4:$C$2003,$Z313-0)=0,"",INDEX(包装物料出入库明细!$C$4:$C$2003,$Z313-0)),IF($Z313&lt;=4000,IF(INDEX(周转筐出入库明细!$E$4:$E$2004,$Z313-2000)=0,"",INDEX(周转筐出入库明细!$E$4:$E$2004,$Z313-2000)),IF($Z313&lt;=5200,IF(INDEX(客户自备加工筐明细!$D$4:$D$1203,$Z313-4000)=0,"",INDEX(客户自备加工筐明细!$D$4:$D$1203,$Z313-4000)),IF($Z313&lt;=5800,IF(INDEX(次果筐明细!$E$4:$E$603,$Z313-5200)=0,"",INDEX(次果筐明细!$E$4:$E$603,$Z313-5200)),"")))))</f>
        <v/>
      </c>
      <c r="F313" s="24" t="str">
        <f>IF($Z313="","",IF($Z313&lt;=2000,IF(INDEX(包装物料出入库明细!$E$4:$E$2003,$Z313-0)=0,"",INDEX(包装物料出入库明细!$E$4:$E$2003,$Z313-0)),IF($Z313&lt;=4000,IF(INDEX(周转筐出入库明细!$D$4:$D$2004,$Z313-2000)=0,"",INDEX(周转筐出入库明细!$D$4:$D$2004,$Z313-2000)),IF($Z313&lt;=5200,IF(INDEX(客户自备加工筐明细!$C$4:$C$1203,$Z313-4000)=0,"",INDEX(客户自备加工筐明细!$C$4:$C$1203,$Z313-4000)),IF($Z313&lt;=5800,IF(INDEX(次果筐明细!$D$4:$D$603,$Z313-5200)=0,"",INDEX(次果筐明细!$D$4:$D$603,$Z313-5200)),"")))))</f>
        <v/>
      </c>
      <c r="G313" s="24" t="str">
        <f>IF($Z313="","",IF($Z313&lt;=2000,IF(INDEX(包装物料出入库明细!$F$4:$F$2003,$Z313-0)=0,"",INDEX(包装物料出入库明细!$F$4:$F$2003,$Z313-0)),IF($Z313&lt;=4000,"",IF($Z313&lt;=5200,"",IF($Z313&lt;=5800,"","")))))</f>
        <v/>
      </c>
      <c r="H313" s="39" t="str">
        <f>IF($Z313="","",IF($Z313&lt;=2000,IF(INDEX(包装物料出入库明细!$L$4:$L$2003,$Z313-0)=0,"",INDEX(包装物料出入库明细!$L$4:$L$2003,$Z313-0)),IF($Z313&lt;=4000,N(INDEX(周转筐出入库明细!$H$4:$H$2004,$Z313-2000))+N(INDEX(周转筐出入库明细!$I$4:$I$2004,$Z313-2000))+N(INDEX(周转筐出入库明细!$J$4:$J$2004,$Z313-2000))+N(INDEX(周转筐出入库明细!$K$4:$K$2004,$Z313-2000)),IF($Z313&lt;=5200,N(INDEX(客户自备加工筐明细!$F$4:$F$1203,$Z313-4000))+N(INDEX(客户自备加工筐明细!$G$4:$G$1203,$Z313-4000)),IF($Z313&lt;=5800,IF(INDEX(次果筐明细!$G$4:$G$603,$Z313-5200)=0,"",INDEX(次果筐明细!$G$4:$G$603,$Z313-5200)),"")))))</f>
        <v/>
      </c>
      <c r="I313" s="24" t="str">
        <f>IF($Z313="","",IF($Z313&lt;=2000,IF(INDEX(包装物料出入库明细!$G$4:$G$2003,$Z313-0)=0,"",INDEX(包装物料出入库明细!$G$4:$G$2003,$Z313-0)),IF($Z313&lt;=4000,"个",IF($Z313&lt;=5200,"个",IF($Z313&lt;=5800,"个","")))))</f>
        <v/>
      </c>
      <c r="J313" s="30" t="str">
        <f t="shared" si="13"/>
        <v/>
      </c>
      <c r="K313" s="30" t="str">
        <f>IF($Z313="","",IF($Z313&lt;=2000,IF(INDEX(包装物料出入库明细!$N$4:$N$2003,$Z313-0)=0,"",INDEX(包装物料出入库明细!$N$4:$N$2003,$Z313-0)),IF($Z313&lt;=4000,IF(INDEX(周转筐出入库明细!$P$4:$P$2004,$Z313-2000)=0,"",INDEX(周转筐出入库明细!$P$4:$P$2004,$Z313-2000)),IF($Z313&lt;=5200,"",IF($Z313&lt;=5800,N(INDEX(次果筐明细!$L$4:$L$603,$Z313-5200))+N(INDEX(次果筐明细!$J$4:$J$603,$Z313-5200)),"")))))</f>
        <v/>
      </c>
      <c r="L313" s="24" t="str">
        <f>IF($Z313="","",IF($Z313&lt;=2000,IF(INDEX(包装物料出入库明细!$P$4:$P$2003,$Z313-0)=0,"",INDEX(包装物料出入库明细!$P$4:$P$2003,$Z313-0)),IF($Z313&lt;=4000,IF(INDEX(周转筐出入库明细!$Q$4:$Q$2004,$Z313-2000)=0,"",INDEX(周转筐出入库明细!$Q$4:$Q$2004,$Z313-2000)),IF($Z313&lt;=5200,"",IF($Z313&lt;=5800,IF(INDEX(次果筐明细!$M$4:$M$603,$Z313-5200)=0,"",INDEX(次果筐明细!$M$4:$M$603,$Z313-5200)),"")))))</f>
        <v/>
      </c>
      <c r="M313" s="37" t="str">
        <f>IF($Z313="","",IF($Z313&lt;=2000,IF(INDEX(包装物料出入库明细!$R$4:$R$2003,$Z313-0)=0,"",INDEX(包装物料出入库明细!$R$4:$R$2003,$Z313-0)),IF($Z313&lt;=4000,IF(INDEX(周转筐出入库明细!$W$4:$W$2004,$Z313-2000)=0,"",INDEX(周转筐出入库明细!$W$4:$W$2004,$Z313-2000)),IF($Z313&lt;=5200,IF(INDEX(客户自备加工筐明细!$L$4:$L$1203,$Z313-4000)=0,"",INDEX(客户自备加工筐明细!$L$4:$L$1203,$Z313-4000)),IF($Z313&lt;=5800,IF(INDEX(次果筐明细!$P$4:$P$603,$Z313-5200)=0,"",INDEX(次果筐明细!$P$4:$P$603,$Z313-5200)),"")))))</f>
        <v/>
      </c>
      <c r="N313" s="16" t="str">
        <f>IF($Z313="","",IF($Z313&lt;=2000,"",IF($Z313&lt;=4000,IF(INDEX(周转筐出入库明细!$D$4:$D$2004,$Z313-2000)=0,"",INDEX(周转筐出入库明细!$D$4:$D$2004,$Z313-2000)),IF($Z313&lt;=5200,IF(INDEX(客户自备加工筐明细!$C$4:$C$1203,$Z313-4000)=0,"",INDEX(客户自备加工筐明细!$C$4:$C$1203,$Z313-4000)),IF($Z313&lt;=5800,IF(INDEX(次果筐明细!$D$4:$D$603,$Z313-5200)=0,"",INDEX(次果筐明细!$D$4:$D$603,$Z313-5200)),"")))))</f>
        <v/>
      </c>
      <c r="O313" s="40" t="str">
        <f>IF($Z313="","",IF($Z313&lt;=2000,"",IF($Z313&lt;=4000,IF(N(INDEX(周转筐出入库明细!$J$4:$J$2004,$Z313-2000))+N(INDEX(周转筐出入库明细!$K$4:$K$2004,$Z313-2000))=0,"",N(INDEX(周转筐出入库明细!$J$4:$J$2004,$Z313-2000))+N(INDEX(周转筐出入库明细!$K$4:$K$2004,$Z313-2000))),IF($Z313&lt;=5200,IF(N(INDEX(客户自备加工筐明细!$G$4:$G$1203,$Z313-4000))=0,"",N(INDEX(客户自备加工筐明细!$G$4:$G$1203,$Z313-4000))),IF($Z313&lt;=5800,IF(ISNUMBER(SEARCH("退",INDEX(次果筐明细!$F$4:$F$603,$Z313-5200)&amp;"")),"",IF(N(INDEX(次果筐明细!$G$4:$G$603,$Z313-5200))=0,"",N(INDEX(次果筐明细!$G$4:$G$603,$Z313-5200)))),"")))))</f>
        <v/>
      </c>
      <c r="P313" s="40" t="str">
        <f>IF($Z313="","",IF($Z313&lt;=2000,"",IF($Z313&lt;=4000,IF(N(INDEX(周转筐出入库明细!$I$4:$I$2004,$Z313-2000))=0,"",N(INDEX(周转筐出入库明细!$I$4:$I$2004,$Z313-2000))),IF($Z313&lt;=5200,"",IF($Z313&lt;=5800,IF(ISNUMBER(SEARCH("退",INDEX(次果筐明细!$F$4:$F$603,$Z313-5200)&amp;"")),IF(N(INDEX(次果筐明细!$G$4:$G$603,$Z313-5200))=0,"",N(INDEX(次果筐明细!$G$4:$G$603,$Z313-5200))),""),"")))))</f>
        <v/>
      </c>
      <c r="Q313" s="40" t="str">
        <f>IF($Z313="","",IF($Z313&lt;=2000,"",IF($Z313&lt;=4000,IF(N(INDEX(周转筐出入库明细!$H$4:$H$2004,$Z313-2000))=0,"",N(INDEX(周转筐出入库明细!$H$4:$H$2004,$Z313-2000))),IF($Z313&lt;=5200,IF(N(INDEX(客户自备加工筐明细!$F$4:$F$1203,$Z313-4000))=0,"",N(INDEX(客户自备加工筐明细!$F$4:$F$1203,$Z313-4000))),IF($Z313&lt;=5800,"","")))))</f>
        <v/>
      </c>
      <c r="R313" s="16" t="str">
        <f>IF($Z313="","",IF($Z313&lt;=2000,IF(INDEX(包装物料出入库明细!$O$4:$O$2003,$Z313-0)=0,"",INDEX(包装物料出入库明细!$O$4:$O$2003,$Z313-0)),IF($Z313&lt;=4000,IF(INDEX(周转筐出入库明细!$M$4:$M$2004,$Z313-2000)=0,"",INDEX(周转筐出入库明细!$M$4:$M$2004,$Z313-2000)),IF($Z313&lt;=5200,IF(INDEX(客户自备加工筐明细!$H$4:$H$1203,$Z313-4000)=0,"",INDEX(客户自备加工筐明细!$H$4:$H$1203,$Z313-4000)),IF($Z313&lt;=5800,IF(INDEX(次果筐明细!$H$4:$H$603,$Z313-5200)=0,"",INDEX(次果筐明细!$H$4:$H$603,$Z313-5200)),"")))))</f>
        <v/>
      </c>
      <c r="S313" s="22" t="str">
        <f t="shared" si="14"/>
        <v/>
      </c>
      <c r="Z313" s="10" t="str">
        <f>IFERROR(MATCH(ROW()-3,_自动清单!$CQ$4:$CQ$5803,0),"")</f>
        <v/>
      </c>
    </row>
    <row r="314" spans="1:26">
      <c r="A314" s="24" t="str">
        <f t="shared" si="12"/>
        <v/>
      </c>
      <c r="B314" s="38" t="str">
        <f>IF($Z314="","",IF($Z314&lt;=2000,IF(INDEX(包装物料出入库明细!$B$4:$B$2003,$Z314-0)=0,"",INDEX(包装物料出入库明细!$B$4:$B$2003,$Z314-0)),IF($Z314&lt;=4000,IF(INDEX(周转筐出入库明细!$B$4:$B$2004,$Z314-2000)=0,"",INDEX(周转筐出入库明细!$B$4:$B$2004,$Z314-2000)),IF($Z314&lt;=5200,IF(INDEX(客户自备加工筐明细!$B$4:$B$1203,$Z314-4000)=0,"",INDEX(客户自备加工筐明细!$B$4:$B$1203,$Z314-4000)),IF($Z314&lt;=5800,IF(INDEX(次果筐明细!$B$4:$B$603,$Z314-5200)=0,"",INDEX(次果筐明细!$B$4:$B$603,$Z314-5200)),"")))))</f>
        <v/>
      </c>
      <c r="C314" s="37" t="str">
        <f>IF($Z314="","",IF($Z314&lt;=2000,IF(INDEX(包装物料出入库明细!$D$4:$D$2003,$Z314-0)=0,"",INDEX(包装物料出入库明细!$D$4:$D$2003,$Z314-0)),IF($Z314&lt;=4000,IF(INDEX(周转筐出入库明细!$C$4:$C$2004,$Z314-2000)=0,"",INDEX(周转筐出入库明细!$C$4:$C$2004,$Z314-2000)),IF($Z314&lt;=5200,IF(INDEX(客户自备加工筐明细!$E$4:$E$1203,$Z314-4000)=0,"",INDEX(客户自备加工筐明细!$E$4:$E$1203,$Z314-4000)),IF($Z314&lt;=5800,IF(INDEX(次果筐明细!$C$4:$C$603,$Z314-5200)=0,"",INDEX(次果筐明细!$C$4:$C$603,$Z314-5200)),"")))))</f>
        <v/>
      </c>
      <c r="D314" s="37" t="str">
        <f>IF($Z314="","",IF($Z314&lt;=2000,"包装物料－"&amp;INDEX(包装物料出入库明细!$H$4:$H$2003,$Z314-0),IF($Z314&lt;=4000,"周转筐－"&amp;INDEX(周转筐出入库明细!$F$4:$F$2004,$Z314-2000),IF($Z314&lt;=5200,"客户自备筐－"&amp;INDEX(客户自备加工筐明细!$J$4:$J$1203,$Z314-4000),IF($Z314&lt;=5800,"次果筐/托盘－"&amp;INDEX(次果筐明细!$F$4:$F$603,$Z314-5200),"")))))</f>
        <v/>
      </c>
      <c r="E314" s="24" t="str">
        <f>IF($Z314="","",IF($Z314&lt;=2000,IF(INDEX(包装物料出入库明细!$C$4:$C$2003,$Z314-0)=0,"",INDEX(包装物料出入库明细!$C$4:$C$2003,$Z314-0)),IF($Z314&lt;=4000,IF(INDEX(周转筐出入库明细!$E$4:$E$2004,$Z314-2000)=0,"",INDEX(周转筐出入库明细!$E$4:$E$2004,$Z314-2000)),IF($Z314&lt;=5200,IF(INDEX(客户自备加工筐明细!$D$4:$D$1203,$Z314-4000)=0,"",INDEX(客户自备加工筐明细!$D$4:$D$1203,$Z314-4000)),IF($Z314&lt;=5800,IF(INDEX(次果筐明细!$E$4:$E$603,$Z314-5200)=0,"",INDEX(次果筐明细!$E$4:$E$603,$Z314-5200)),"")))))</f>
        <v/>
      </c>
      <c r="F314" s="24" t="str">
        <f>IF($Z314="","",IF($Z314&lt;=2000,IF(INDEX(包装物料出入库明细!$E$4:$E$2003,$Z314-0)=0,"",INDEX(包装物料出入库明细!$E$4:$E$2003,$Z314-0)),IF($Z314&lt;=4000,IF(INDEX(周转筐出入库明细!$D$4:$D$2004,$Z314-2000)=0,"",INDEX(周转筐出入库明细!$D$4:$D$2004,$Z314-2000)),IF($Z314&lt;=5200,IF(INDEX(客户自备加工筐明细!$C$4:$C$1203,$Z314-4000)=0,"",INDEX(客户自备加工筐明细!$C$4:$C$1203,$Z314-4000)),IF($Z314&lt;=5800,IF(INDEX(次果筐明细!$D$4:$D$603,$Z314-5200)=0,"",INDEX(次果筐明细!$D$4:$D$603,$Z314-5200)),"")))))</f>
        <v/>
      </c>
      <c r="G314" s="24" t="str">
        <f>IF($Z314="","",IF($Z314&lt;=2000,IF(INDEX(包装物料出入库明细!$F$4:$F$2003,$Z314-0)=0,"",INDEX(包装物料出入库明细!$F$4:$F$2003,$Z314-0)),IF($Z314&lt;=4000,"",IF($Z314&lt;=5200,"",IF($Z314&lt;=5800,"","")))))</f>
        <v/>
      </c>
      <c r="H314" s="39" t="str">
        <f>IF($Z314="","",IF($Z314&lt;=2000,IF(INDEX(包装物料出入库明细!$L$4:$L$2003,$Z314-0)=0,"",INDEX(包装物料出入库明细!$L$4:$L$2003,$Z314-0)),IF($Z314&lt;=4000,N(INDEX(周转筐出入库明细!$H$4:$H$2004,$Z314-2000))+N(INDEX(周转筐出入库明细!$I$4:$I$2004,$Z314-2000))+N(INDEX(周转筐出入库明细!$J$4:$J$2004,$Z314-2000))+N(INDEX(周转筐出入库明细!$K$4:$K$2004,$Z314-2000)),IF($Z314&lt;=5200,N(INDEX(客户自备加工筐明细!$F$4:$F$1203,$Z314-4000))+N(INDEX(客户自备加工筐明细!$G$4:$G$1203,$Z314-4000)),IF($Z314&lt;=5800,IF(INDEX(次果筐明细!$G$4:$G$603,$Z314-5200)=0,"",INDEX(次果筐明细!$G$4:$G$603,$Z314-5200)),"")))))</f>
        <v/>
      </c>
      <c r="I314" s="24" t="str">
        <f>IF($Z314="","",IF($Z314&lt;=2000,IF(INDEX(包装物料出入库明细!$G$4:$G$2003,$Z314-0)=0,"",INDEX(包装物料出入库明细!$G$4:$G$2003,$Z314-0)),IF($Z314&lt;=4000,"个",IF($Z314&lt;=5200,"个",IF($Z314&lt;=5800,"个","")))))</f>
        <v/>
      </c>
      <c r="J314" s="30" t="str">
        <f t="shared" si="13"/>
        <v/>
      </c>
      <c r="K314" s="30" t="str">
        <f>IF($Z314="","",IF($Z314&lt;=2000,IF(INDEX(包装物料出入库明细!$N$4:$N$2003,$Z314-0)=0,"",INDEX(包装物料出入库明细!$N$4:$N$2003,$Z314-0)),IF($Z314&lt;=4000,IF(INDEX(周转筐出入库明细!$P$4:$P$2004,$Z314-2000)=0,"",INDEX(周转筐出入库明细!$P$4:$P$2004,$Z314-2000)),IF($Z314&lt;=5200,"",IF($Z314&lt;=5800,N(INDEX(次果筐明细!$L$4:$L$603,$Z314-5200))+N(INDEX(次果筐明细!$J$4:$J$603,$Z314-5200)),"")))))</f>
        <v/>
      </c>
      <c r="L314" s="24" t="str">
        <f>IF($Z314="","",IF($Z314&lt;=2000,IF(INDEX(包装物料出入库明细!$P$4:$P$2003,$Z314-0)=0,"",INDEX(包装物料出入库明细!$P$4:$P$2003,$Z314-0)),IF($Z314&lt;=4000,IF(INDEX(周转筐出入库明细!$Q$4:$Q$2004,$Z314-2000)=0,"",INDEX(周转筐出入库明细!$Q$4:$Q$2004,$Z314-2000)),IF($Z314&lt;=5200,"",IF($Z314&lt;=5800,IF(INDEX(次果筐明细!$M$4:$M$603,$Z314-5200)=0,"",INDEX(次果筐明细!$M$4:$M$603,$Z314-5200)),"")))))</f>
        <v/>
      </c>
      <c r="M314" s="37" t="str">
        <f>IF($Z314="","",IF($Z314&lt;=2000,IF(INDEX(包装物料出入库明细!$R$4:$R$2003,$Z314-0)=0,"",INDEX(包装物料出入库明细!$R$4:$R$2003,$Z314-0)),IF($Z314&lt;=4000,IF(INDEX(周转筐出入库明细!$W$4:$W$2004,$Z314-2000)=0,"",INDEX(周转筐出入库明细!$W$4:$W$2004,$Z314-2000)),IF($Z314&lt;=5200,IF(INDEX(客户自备加工筐明细!$L$4:$L$1203,$Z314-4000)=0,"",INDEX(客户自备加工筐明细!$L$4:$L$1203,$Z314-4000)),IF($Z314&lt;=5800,IF(INDEX(次果筐明细!$P$4:$P$603,$Z314-5200)=0,"",INDEX(次果筐明细!$P$4:$P$603,$Z314-5200)),"")))))</f>
        <v/>
      </c>
      <c r="N314" s="16" t="str">
        <f>IF($Z314="","",IF($Z314&lt;=2000,"",IF($Z314&lt;=4000,IF(INDEX(周转筐出入库明细!$D$4:$D$2004,$Z314-2000)=0,"",INDEX(周转筐出入库明细!$D$4:$D$2004,$Z314-2000)),IF($Z314&lt;=5200,IF(INDEX(客户自备加工筐明细!$C$4:$C$1203,$Z314-4000)=0,"",INDEX(客户自备加工筐明细!$C$4:$C$1203,$Z314-4000)),IF($Z314&lt;=5800,IF(INDEX(次果筐明细!$D$4:$D$603,$Z314-5200)=0,"",INDEX(次果筐明细!$D$4:$D$603,$Z314-5200)),"")))))</f>
        <v/>
      </c>
      <c r="O314" s="40" t="str">
        <f>IF($Z314="","",IF($Z314&lt;=2000,"",IF($Z314&lt;=4000,IF(N(INDEX(周转筐出入库明细!$J$4:$J$2004,$Z314-2000))+N(INDEX(周转筐出入库明细!$K$4:$K$2004,$Z314-2000))=0,"",N(INDEX(周转筐出入库明细!$J$4:$J$2004,$Z314-2000))+N(INDEX(周转筐出入库明细!$K$4:$K$2004,$Z314-2000))),IF($Z314&lt;=5200,IF(N(INDEX(客户自备加工筐明细!$G$4:$G$1203,$Z314-4000))=0,"",N(INDEX(客户自备加工筐明细!$G$4:$G$1203,$Z314-4000))),IF($Z314&lt;=5800,IF(ISNUMBER(SEARCH("退",INDEX(次果筐明细!$F$4:$F$603,$Z314-5200)&amp;"")),"",IF(N(INDEX(次果筐明细!$G$4:$G$603,$Z314-5200))=0,"",N(INDEX(次果筐明细!$G$4:$G$603,$Z314-5200)))),"")))))</f>
        <v/>
      </c>
      <c r="P314" s="40" t="str">
        <f>IF($Z314="","",IF($Z314&lt;=2000,"",IF($Z314&lt;=4000,IF(N(INDEX(周转筐出入库明细!$I$4:$I$2004,$Z314-2000))=0,"",N(INDEX(周转筐出入库明细!$I$4:$I$2004,$Z314-2000))),IF($Z314&lt;=5200,"",IF($Z314&lt;=5800,IF(ISNUMBER(SEARCH("退",INDEX(次果筐明细!$F$4:$F$603,$Z314-5200)&amp;"")),IF(N(INDEX(次果筐明细!$G$4:$G$603,$Z314-5200))=0,"",N(INDEX(次果筐明细!$G$4:$G$603,$Z314-5200))),""),"")))))</f>
        <v/>
      </c>
      <c r="Q314" s="40" t="str">
        <f>IF($Z314="","",IF($Z314&lt;=2000,"",IF($Z314&lt;=4000,IF(N(INDEX(周转筐出入库明细!$H$4:$H$2004,$Z314-2000))=0,"",N(INDEX(周转筐出入库明细!$H$4:$H$2004,$Z314-2000))),IF($Z314&lt;=5200,IF(N(INDEX(客户自备加工筐明细!$F$4:$F$1203,$Z314-4000))=0,"",N(INDEX(客户自备加工筐明细!$F$4:$F$1203,$Z314-4000))),IF($Z314&lt;=5800,"","")))))</f>
        <v/>
      </c>
      <c r="R314" s="16" t="str">
        <f>IF($Z314="","",IF($Z314&lt;=2000,IF(INDEX(包装物料出入库明细!$O$4:$O$2003,$Z314-0)=0,"",INDEX(包装物料出入库明细!$O$4:$O$2003,$Z314-0)),IF($Z314&lt;=4000,IF(INDEX(周转筐出入库明细!$M$4:$M$2004,$Z314-2000)=0,"",INDEX(周转筐出入库明细!$M$4:$M$2004,$Z314-2000)),IF($Z314&lt;=5200,IF(INDEX(客户自备加工筐明细!$H$4:$H$1203,$Z314-4000)=0,"",INDEX(客户自备加工筐明细!$H$4:$H$1203,$Z314-4000)),IF($Z314&lt;=5800,IF(INDEX(次果筐明细!$H$4:$H$603,$Z314-5200)=0,"",INDEX(次果筐明细!$H$4:$H$603,$Z314-5200)),"")))))</f>
        <v/>
      </c>
      <c r="S314" s="22" t="str">
        <f t="shared" si="14"/>
        <v/>
      </c>
      <c r="Z314" s="10" t="str">
        <f>IFERROR(MATCH(ROW()-3,_自动清单!$CQ$4:$CQ$5803,0),"")</f>
        <v/>
      </c>
    </row>
    <row r="315" spans="1:26">
      <c r="A315" s="24" t="str">
        <f t="shared" si="12"/>
        <v/>
      </c>
      <c r="B315" s="38" t="str">
        <f>IF($Z315="","",IF($Z315&lt;=2000,IF(INDEX(包装物料出入库明细!$B$4:$B$2003,$Z315-0)=0,"",INDEX(包装物料出入库明细!$B$4:$B$2003,$Z315-0)),IF($Z315&lt;=4000,IF(INDEX(周转筐出入库明细!$B$4:$B$2004,$Z315-2000)=0,"",INDEX(周转筐出入库明细!$B$4:$B$2004,$Z315-2000)),IF($Z315&lt;=5200,IF(INDEX(客户自备加工筐明细!$B$4:$B$1203,$Z315-4000)=0,"",INDEX(客户自备加工筐明细!$B$4:$B$1203,$Z315-4000)),IF($Z315&lt;=5800,IF(INDEX(次果筐明细!$B$4:$B$603,$Z315-5200)=0,"",INDEX(次果筐明细!$B$4:$B$603,$Z315-5200)),"")))))</f>
        <v/>
      </c>
      <c r="C315" s="37" t="str">
        <f>IF($Z315="","",IF($Z315&lt;=2000,IF(INDEX(包装物料出入库明细!$D$4:$D$2003,$Z315-0)=0,"",INDEX(包装物料出入库明细!$D$4:$D$2003,$Z315-0)),IF($Z315&lt;=4000,IF(INDEX(周转筐出入库明细!$C$4:$C$2004,$Z315-2000)=0,"",INDEX(周转筐出入库明细!$C$4:$C$2004,$Z315-2000)),IF($Z315&lt;=5200,IF(INDEX(客户自备加工筐明细!$E$4:$E$1203,$Z315-4000)=0,"",INDEX(客户自备加工筐明细!$E$4:$E$1203,$Z315-4000)),IF($Z315&lt;=5800,IF(INDEX(次果筐明细!$C$4:$C$603,$Z315-5200)=0,"",INDEX(次果筐明细!$C$4:$C$603,$Z315-5200)),"")))))</f>
        <v/>
      </c>
      <c r="D315" s="37" t="str">
        <f>IF($Z315="","",IF($Z315&lt;=2000,"包装物料－"&amp;INDEX(包装物料出入库明细!$H$4:$H$2003,$Z315-0),IF($Z315&lt;=4000,"周转筐－"&amp;INDEX(周转筐出入库明细!$F$4:$F$2004,$Z315-2000),IF($Z315&lt;=5200,"客户自备筐－"&amp;INDEX(客户自备加工筐明细!$J$4:$J$1203,$Z315-4000),IF($Z315&lt;=5800,"次果筐/托盘－"&amp;INDEX(次果筐明细!$F$4:$F$603,$Z315-5200),"")))))</f>
        <v/>
      </c>
      <c r="E315" s="24" t="str">
        <f>IF($Z315="","",IF($Z315&lt;=2000,IF(INDEX(包装物料出入库明细!$C$4:$C$2003,$Z315-0)=0,"",INDEX(包装物料出入库明细!$C$4:$C$2003,$Z315-0)),IF($Z315&lt;=4000,IF(INDEX(周转筐出入库明细!$E$4:$E$2004,$Z315-2000)=0,"",INDEX(周转筐出入库明细!$E$4:$E$2004,$Z315-2000)),IF($Z315&lt;=5200,IF(INDEX(客户自备加工筐明细!$D$4:$D$1203,$Z315-4000)=0,"",INDEX(客户自备加工筐明细!$D$4:$D$1203,$Z315-4000)),IF($Z315&lt;=5800,IF(INDEX(次果筐明细!$E$4:$E$603,$Z315-5200)=0,"",INDEX(次果筐明细!$E$4:$E$603,$Z315-5200)),"")))))</f>
        <v/>
      </c>
      <c r="F315" s="24" t="str">
        <f>IF($Z315="","",IF($Z315&lt;=2000,IF(INDEX(包装物料出入库明细!$E$4:$E$2003,$Z315-0)=0,"",INDEX(包装物料出入库明细!$E$4:$E$2003,$Z315-0)),IF($Z315&lt;=4000,IF(INDEX(周转筐出入库明细!$D$4:$D$2004,$Z315-2000)=0,"",INDEX(周转筐出入库明细!$D$4:$D$2004,$Z315-2000)),IF($Z315&lt;=5200,IF(INDEX(客户自备加工筐明细!$C$4:$C$1203,$Z315-4000)=0,"",INDEX(客户自备加工筐明细!$C$4:$C$1203,$Z315-4000)),IF($Z315&lt;=5800,IF(INDEX(次果筐明细!$D$4:$D$603,$Z315-5200)=0,"",INDEX(次果筐明细!$D$4:$D$603,$Z315-5200)),"")))))</f>
        <v/>
      </c>
      <c r="G315" s="24" t="str">
        <f>IF($Z315="","",IF($Z315&lt;=2000,IF(INDEX(包装物料出入库明细!$F$4:$F$2003,$Z315-0)=0,"",INDEX(包装物料出入库明细!$F$4:$F$2003,$Z315-0)),IF($Z315&lt;=4000,"",IF($Z315&lt;=5200,"",IF($Z315&lt;=5800,"","")))))</f>
        <v/>
      </c>
      <c r="H315" s="39" t="str">
        <f>IF($Z315="","",IF($Z315&lt;=2000,IF(INDEX(包装物料出入库明细!$L$4:$L$2003,$Z315-0)=0,"",INDEX(包装物料出入库明细!$L$4:$L$2003,$Z315-0)),IF($Z315&lt;=4000,N(INDEX(周转筐出入库明细!$H$4:$H$2004,$Z315-2000))+N(INDEX(周转筐出入库明细!$I$4:$I$2004,$Z315-2000))+N(INDEX(周转筐出入库明细!$J$4:$J$2004,$Z315-2000))+N(INDEX(周转筐出入库明细!$K$4:$K$2004,$Z315-2000)),IF($Z315&lt;=5200,N(INDEX(客户自备加工筐明细!$F$4:$F$1203,$Z315-4000))+N(INDEX(客户自备加工筐明细!$G$4:$G$1203,$Z315-4000)),IF($Z315&lt;=5800,IF(INDEX(次果筐明细!$G$4:$G$603,$Z315-5200)=0,"",INDEX(次果筐明细!$G$4:$G$603,$Z315-5200)),"")))))</f>
        <v/>
      </c>
      <c r="I315" s="24" t="str">
        <f>IF($Z315="","",IF($Z315&lt;=2000,IF(INDEX(包装物料出入库明细!$G$4:$G$2003,$Z315-0)=0,"",INDEX(包装物料出入库明细!$G$4:$G$2003,$Z315-0)),IF($Z315&lt;=4000,"个",IF($Z315&lt;=5200,"个",IF($Z315&lt;=5800,"个","")))))</f>
        <v/>
      </c>
      <c r="J315" s="30" t="str">
        <f t="shared" si="13"/>
        <v/>
      </c>
      <c r="K315" s="30" t="str">
        <f>IF($Z315="","",IF($Z315&lt;=2000,IF(INDEX(包装物料出入库明细!$N$4:$N$2003,$Z315-0)=0,"",INDEX(包装物料出入库明细!$N$4:$N$2003,$Z315-0)),IF($Z315&lt;=4000,IF(INDEX(周转筐出入库明细!$P$4:$P$2004,$Z315-2000)=0,"",INDEX(周转筐出入库明细!$P$4:$P$2004,$Z315-2000)),IF($Z315&lt;=5200,"",IF($Z315&lt;=5800,N(INDEX(次果筐明细!$L$4:$L$603,$Z315-5200))+N(INDEX(次果筐明细!$J$4:$J$603,$Z315-5200)),"")))))</f>
        <v/>
      </c>
      <c r="L315" s="24" t="str">
        <f>IF($Z315="","",IF($Z315&lt;=2000,IF(INDEX(包装物料出入库明细!$P$4:$P$2003,$Z315-0)=0,"",INDEX(包装物料出入库明细!$P$4:$P$2003,$Z315-0)),IF($Z315&lt;=4000,IF(INDEX(周转筐出入库明细!$Q$4:$Q$2004,$Z315-2000)=0,"",INDEX(周转筐出入库明细!$Q$4:$Q$2004,$Z315-2000)),IF($Z315&lt;=5200,"",IF($Z315&lt;=5800,IF(INDEX(次果筐明细!$M$4:$M$603,$Z315-5200)=0,"",INDEX(次果筐明细!$M$4:$M$603,$Z315-5200)),"")))))</f>
        <v/>
      </c>
      <c r="M315" s="37" t="str">
        <f>IF($Z315="","",IF($Z315&lt;=2000,IF(INDEX(包装物料出入库明细!$R$4:$R$2003,$Z315-0)=0,"",INDEX(包装物料出入库明细!$R$4:$R$2003,$Z315-0)),IF($Z315&lt;=4000,IF(INDEX(周转筐出入库明细!$W$4:$W$2004,$Z315-2000)=0,"",INDEX(周转筐出入库明细!$W$4:$W$2004,$Z315-2000)),IF($Z315&lt;=5200,IF(INDEX(客户自备加工筐明细!$L$4:$L$1203,$Z315-4000)=0,"",INDEX(客户自备加工筐明细!$L$4:$L$1203,$Z315-4000)),IF($Z315&lt;=5800,IF(INDEX(次果筐明细!$P$4:$P$603,$Z315-5200)=0,"",INDEX(次果筐明细!$P$4:$P$603,$Z315-5200)),"")))))</f>
        <v/>
      </c>
      <c r="N315" s="16" t="str">
        <f>IF($Z315="","",IF($Z315&lt;=2000,"",IF($Z315&lt;=4000,IF(INDEX(周转筐出入库明细!$D$4:$D$2004,$Z315-2000)=0,"",INDEX(周转筐出入库明细!$D$4:$D$2004,$Z315-2000)),IF($Z315&lt;=5200,IF(INDEX(客户自备加工筐明细!$C$4:$C$1203,$Z315-4000)=0,"",INDEX(客户自备加工筐明细!$C$4:$C$1203,$Z315-4000)),IF($Z315&lt;=5800,IF(INDEX(次果筐明细!$D$4:$D$603,$Z315-5200)=0,"",INDEX(次果筐明细!$D$4:$D$603,$Z315-5200)),"")))))</f>
        <v/>
      </c>
      <c r="O315" s="40" t="str">
        <f>IF($Z315="","",IF($Z315&lt;=2000,"",IF($Z315&lt;=4000,IF(N(INDEX(周转筐出入库明细!$J$4:$J$2004,$Z315-2000))+N(INDEX(周转筐出入库明细!$K$4:$K$2004,$Z315-2000))=0,"",N(INDEX(周转筐出入库明细!$J$4:$J$2004,$Z315-2000))+N(INDEX(周转筐出入库明细!$K$4:$K$2004,$Z315-2000))),IF($Z315&lt;=5200,IF(N(INDEX(客户自备加工筐明细!$G$4:$G$1203,$Z315-4000))=0,"",N(INDEX(客户自备加工筐明细!$G$4:$G$1203,$Z315-4000))),IF($Z315&lt;=5800,IF(ISNUMBER(SEARCH("退",INDEX(次果筐明细!$F$4:$F$603,$Z315-5200)&amp;"")),"",IF(N(INDEX(次果筐明细!$G$4:$G$603,$Z315-5200))=0,"",N(INDEX(次果筐明细!$G$4:$G$603,$Z315-5200)))),"")))))</f>
        <v/>
      </c>
      <c r="P315" s="40" t="str">
        <f>IF($Z315="","",IF($Z315&lt;=2000,"",IF($Z315&lt;=4000,IF(N(INDEX(周转筐出入库明细!$I$4:$I$2004,$Z315-2000))=0,"",N(INDEX(周转筐出入库明细!$I$4:$I$2004,$Z315-2000))),IF($Z315&lt;=5200,"",IF($Z315&lt;=5800,IF(ISNUMBER(SEARCH("退",INDEX(次果筐明细!$F$4:$F$603,$Z315-5200)&amp;"")),IF(N(INDEX(次果筐明细!$G$4:$G$603,$Z315-5200))=0,"",N(INDEX(次果筐明细!$G$4:$G$603,$Z315-5200))),""),"")))))</f>
        <v/>
      </c>
      <c r="Q315" s="40" t="str">
        <f>IF($Z315="","",IF($Z315&lt;=2000,"",IF($Z315&lt;=4000,IF(N(INDEX(周转筐出入库明细!$H$4:$H$2004,$Z315-2000))=0,"",N(INDEX(周转筐出入库明细!$H$4:$H$2004,$Z315-2000))),IF($Z315&lt;=5200,IF(N(INDEX(客户自备加工筐明细!$F$4:$F$1203,$Z315-4000))=0,"",N(INDEX(客户自备加工筐明细!$F$4:$F$1203,$Z315-4000))),IF($Z315&lt;=5800,"","")))))</f>
        <v/>
      </c>
      <c r="R315" s="16" t="str">
        <f>IF($Z315="","",IF($Z315&lt;=2000,IF(INDEX(包装物料出入库明细!$O$4:$O$2003,$Z315-0)=0,"",INDEX(包装物料出入库明细!$O$4:$O$2003,$Z315-0)),IF($Z315&lt;=4000,IF(INDEX(周转筐出入库明细!$M$4:$M$2004,$Z315-2000)=0,"",INDEX(周转筐出入库明细!$M$4:$M$2004,$Z315-2000)),IF($Z315&lt;=5200,IF(INDEX(客户自备加工筐明细!$H$4:$H$1203,$Z315-4000)=0,"",INDEX(客户自备加工筐明细!$H$4:$H$1203,$Z315-4000)),IF($Z315&lt;=5800,IF(INDEX(次果筐明细!$H$4:$H$603,$Z315-5200)=0,"",INDEX(次果筐明细!$H$4:$H$603,$Z315-5200)),"")))))</f>
        <v/>
      </c>
      <c r="S315" s="22" t="str">
        <f t="shared" si="14"/>
        <v/>
      </c>
      <c r="Z315" s="10" t="str">
        <f>IFERROR(MATCH(ROW()-3,_自动清单!$CQ$4:$CQ$5803,0),"")</f>
        <v/>
      </c>
    </row>
    <row r="316" spans="1:26">
      <c r="A316" s="24" t="str">
        <f t="shared" si="12"/>
        <v/>
      </c>
      <c r="B316" s="38" t="str">
        <f>IF($Z316="","",IF($Z316&lt;=2000,IF(INDEX(包装物料出入库明细!$B$4:$B$2003,$Z316-0)=0,"",INDEX(包装物料出入库明细!$B$4:$B$2003,$Z316-0)),IF($Z316&lt;=4000,IF(INDEX(周转筐出入库明细!$B$4:$B$2004,$Z316-2000)=0,"",INDEX(周转筐出入库明细!$B$4:$B$2004,$Z316-2000)),IF($Z316&lt;=5200,IF(INDEX(客户自备加工筐明细!$B$4:$B$1203,$Z316-4000)=0,"",INDEX(客户自备加工筐明细!$B$4:$B$1203,$Z316-4000)),IF($Z316&lt;=5800,IF(INDEX(次果筐明细!$B$4:$B$603,$Z316-5200)=0,"",INDEX(次果筐明细!$B$4:$B$603,$Z316-5200)),"")))))</f>
        <v/>
      </c>
      <c r="C316" s="37" t="str">
        <f>IF($Z316="","",IF($Z316&lt;=2000,IF(INDEX(包装物料出入库明细!$D$4:$D$2003,$Z316-0)=0,"",INDEX(包装物料出入库明细!$D$4:$D$2003,$Z316-0)),IF($Z316&lt;=4000,IF(INDEX(周转筐出入库明细!$C$4:$C$2004,$Z316-2000)=0,"",INDEX(周转筐出入库明细!$C$4:$C$2004,$Z316-2000)),IF($Z316&lt;=5200,IF(INDEX(客户自备加工筐明细!$E$4:$E$1203,$Z316-4000)=0,"",INDEX(客户自备加工筐明细!$E$4:$E$1203,$Z316-4000)),IF($Z316&lt;=5800,IF(INDEX(次果筐明细!$C$4:$C$603,$Z316-5200)=0,"",INDEX(次果筐明细!$C$4:$C$603,$Z316-5200)),"")))))</f>
        <v/>
      </c>
      <c r="D316" s="37" t="str">
        <f>IF($Z316="","",IF($Z316&lt;=2000,"包装物料－"&amp;INDEX(包装物料出入库明细!$H$4:$H$2003,$Z316-0),IF($Z316&lt;=4000,"周转筐－"&amp;INDEX(周转筐出入库明细!$F$4:$F$2004,$Z316-2000),IF($Z316&lt;=5200,"客户自备筐－"&amp;INDEX(客户自备加工筐明细!$J$4:$J$1203,$Z316-4000),IF($Z316&lt;=5800,"次果筐/托盘－"&amp;INDEX(次果筐明细!$F$4:$F$603,$Z316-5200),"")))))</f>
        <v/>
      </c>
      <c r="E316" s="24" t="str">
        <f>IF($Z316="","",IF($Z316&lt;=2000,IF(INDEX(包装物料出入库明细!$C$4:$C$2003,$Z316-0)=0,"",INDEX(包装物料出入库明细!$C$4:$C$2003,$Z316-0)),IF($Z316&lt;=4000,IF(INDEX(周转筐出入库明细!$E$4:$E$2004,$Z316-2000)=0,"",INDEX(周转筐出入库明细!$E$4:$E$2004,$Z316-2000)),IF($Z316&lt;=5200,IF(INDEX(客户自备加工筐明细!$D$4:$D$1203,$Z316-4000)=0,"",INDEX(客户自备加工筐明细!$D$4:$D$1203,$Z316-4000)),IF($Z316&lt;=5800,IF(INDEX(次果筐明细!$E$4:$E$603,$Z316-5200)=0,"",INDEX(次果筐明细!$E$4:$E$603,$Z316-5200)),"")))))</f>
        <v/>
      </c>
      <c r="F316" s="24" t="str">
        <f>IF($Z316="","",IF($Z316&lt;=2000,IF(INDEX(包装物料出入库明细!$E$4:$E$2003,$Z316-0)=0,"",INDEX(包装物料出入库明细!$E$4:$E$2003,$Z316-0)),IF($Z316&lt;=4000,IF(INDEX(周转筐出入库明细!$D$4:$D$2004,$Z316-2000)=0,"",INDEX(周转筐出入库明细!$D$4:$D$2004,$Z316-2000)),IF($Z316&lt;=5200,IF(INDEX(客户自备加工筐明细!$C$4:$C$1203,$Z316-4000)=0,"",INDEX(客户自备加工筐明细!$C$4:$C$1203,$Z316-4000)),IF($Z316&lt;=5800,IF(INDEX(次果筐明细!$D$4:$D$603,$Z316-5200)=0,"",INDEX(次果筐明细!$D$4:$D$603,$Z316-5200)),"")))))</f>
        <v/>
      </c>
      <c r="G316" s="24" t="str">
        <f>IF($Z316="","",IF($Z316&lt;=2000,IF(INDEX(包装物料出入库明细!$F$4:$F$2003,$Z316-0)=0,"",INDEX(包装物料出入库明细!$F$4:$F$2003,$Z316-0)),IF($Z316&lt;=4000,"",IF($Z316&lt;=5200,"",IF($Z316&lt;=5800,"","")))))</f>
        <v/>
      </c>
      <c r="H316" s="39" t="str">
        <f>IF($Z316="","",IF($Z316&lt;=2000,IF(INDEX(包装物料出入库明细!$L$4:$L$2003,$Z316-0)=0,"",INDEX(包装物料出入库明细!$L$4:$L$2003,$Z316-0)),IF($Z316&lt;=4000,N(INDEX(周转筐出入库明细!$H$4:$H$2004,$Z316-2000))+N(INDEX(周转筐出入库明细!$I$4:$I$2004,$Z316-2000))+N(INDEX(周转筐出入库明细!$J$4:$J$2004,$Z316-2000))+N(INDEX(周转筐出入库明细!$K$4:$K$2004,$Z316-2000)),IF($Z316&lt;=5200,N(INDEX(客户自备加工筐明细!$F$4:$F$1203,$Z316-4000))+N(INDEX(客户自备加工筐明细!$G$4:$G$1203,$Z316-4000)),IF($Z316&lt;=5800,IF(INDEX(次果筐明细!$G$4:$G$603,$Z316-5200)=0,"",INDEX(次果筐明细!$G$4:$G$603,$Z316-5200)),"")))))</f>
        <v/>
      </c>
      <c r="I316" s="24" t="str">
        <f>IF($Z316="","",IF($Z316&lt;=2000,IF(INDEX(包装物料出入库明细!$G$4:$G$2003,$Z316-0)=0,"",INDEX(包装物料出入库明细!$G$4:$G$2003,$Z316-0)),IF($Z316&lt;=4000,"个",IF($Z316&lt;=5200,"个",IF($Z316&lt;=5800,"个","")))))</f>
        <v/>
      </c>
      <c r="J316" s="30" t="str">
        <f t="shared" si="13"/>
        <v/>
      </c>
      <c r="K316" s="30" t="str">
        <f>IF($Z316="","",IF($Z316&lt;=2000,IF(INDEX(包装物料出入库明细!$N$4:$N$2003,$Z316-0)=0,"",INDEX(包装物料出入库明细!$N$4:$N$2003,$Z316-0)),IF($Z316&lt;=4000,IF(INDEX(周转筐出入库明细!$P$4:$P$2004,$Z316-2000)=0,"",INDEX(周转筐出入库明细!$P$4:$P$2004,$Z316-2000)),IF($Z316&lt;=5200,"",IF($Z316&lt;=5800,N(INDEX(次果筐明细!$L$4:$L$603,$Z316-5200))+N(INDEX(次果筐明细!$J$4:$J$603,$Z316-5200)),"")))))</f>
        <v/>
      </c>
      <c r="L316" s="24" t="str">
        <f>IF($Z316="","",IF($Z316&lt;=2000,IF(INDEX(包装物料出入库明细!$P$4:$P$2003,$Z316-0)=0,"",INDEX(包装物料出入库明细!$P$4:$P$2003,$Z316-0)),IF($Z316&lt;=4000,IF(INDEX(周转筐出入库明细!$Q$4:$Q$2004,$Z316-2000)=0,"",INDEX(周转筐出入库明细!$Q$4:$Q$2004,$Z316-2000)),IF($Z316&lt;=5200,"",IF($Z316&lt;=5800,IF(INDEX(次果筐明细!$M$4:$M$603,$Z316-5200)=0,"",INDEX(次果筐明细!$M$4:$M$603,$Z316-5200)),"")))))</f>
        <v/>
      </c>
      <c r="M316" s="37" t="str">
        <f>IF($Z316="","",IF($Z316&lt;=2000,IF(INDEX(包装物料出入库明细!$R$4:$R$2003,$Z316-0)=0,"",INDEX(包装物料出入库明细!$R$4:$R$2003,$Z316-0)),IF($Z316&lt;=4000,IF(INDEX(周转筐出入库明细!$W$4:$W$2004,$Z316-2000)=0,"",INDEX(周转筐出入库明细!$W$4:$W$2004,$Z316-2000)),IF($Z316&lt;=5200,IF(INDEX(客户自备加工筐明细!$L$4:$L$1203,$Z316-4000)=0,"",INDEX(客户自备加工筐明细!$L$4:$L$1203,$Z316-4000)),IF($Z316&lt;=5800,IF(INDEX(次果筐明细!$P$4:$P$603,$Z316-5200)=0,"",INDEX(次果筐明细!$P$4:$P$603,$Z316-5200)),"")))))</f>
        <v/>
      </c>
      <c r="N316" s="16" t="str">
        <f>IF($Z316="","",IF($Z316&lt;=2000,"",IF($Z316&lt;=4000,IF(INDEX(周转筐出入库明细!$D$4:$D$2004,$Z316-2000)=0,"",INDEX(周转筐出入库明细!$D$4:$D$2004,$Z316-2000)),IF($Z316&lt;=5200,IF(INDEX(客户自备加工筐明细!$C$4:$C$1203,$Z316-4000)=0,"",INDEX(客户自备加工筐明细!$C$4:$C$1203,$Z316-4000)),IF($Z316&lt;=5800,IF(INDEX(次果筐明细!$D$4:$D$603,$Z316-5200)=0,"",INDEX(次果筐明细!$D$4:$D$603,$Z316-5200)),"")))))</f>
        <v/>
      </c>
      <c r="O316" s="40" t="str">
        <f>IF($Z316="","",IF($Z316&lt;=2000,"",IF($Z316&lt;=4000,IF(N(INDEX(周转筐出入库明细!$J$4:$J$2004,$Z316-2000))+N(INDEX(周转筐出入库明细!$K$4:$K$2004,$Z316-2000))=0,"",N(INDEX(周转筐出入库明细!$J$4:$J$2004,$Z316-2000))+N(INDEX(周转筐出入库明细!$K$4:$K$2004,$Z316-2000))),IF($Z316&lt;=5200,IF(N(INDEX(客户自备加工筐明细!$G$4:$G$1203,$Z316-4000))=0,"",N(INDEX(客户自备加工筐明细!$G$4:$G$1203,$Z316-4000))),IF($Z316&lt;=5800,IF(ISNUMBER(SEARCH("退",INDEX(次果筐明细!$F$4:$F$603,$Z316-5200)&amp;"")),"",IF(N(INDEX(次果筐明细!$G$4:$G$603,$Z316-5200))=0,"",N(INDEX(次果筐明细!$G$4:$G$603,$Z316-5200)))),"")))))</f>
        <v/>
      </c>
      <c r="P316" s="40" t="str">
        <f>IF($Z316="","",IF($Z316&lt;=2000,"",IF($Z316&lt;=4000,IF(N(INDEX(周转筐出入库明细!$I$4:$I$2004,$Z316-2000))=0,"",N(INDEX(周转筐出入库明细!$I$4:$I$2004,$Z316-2000))),IF($Z316&lt;=5200,"",IF($Z316&lt;=5800,IF(ISNUMBER(SEARCH("退",INDEX(次果筐明细!$F$4:$F$603,$Z316-5200)&amp;"")),IF(N(INDEX(次果筐明细!$G$4:$G$603,$Z316-5200))=0,"",N(INDEX(次果筐明细!$G$4:$G$603,$Z316-5200))),""),"")))))</f>
        <v/>
      </c>
      <c r="Q316" s="40" t="str">
        <f>IF($Z316="","",IF($Z316&lt;=2000,"",IF($Z316&lt;=4000,IF(N(INDEX(周转筐出入库明细!$H$4:$H$2004,$Z316-2000))=0,"",N(INDEX(周转筐出入库明细!$H$4:$H$2004,$Z316-2000))),IF($Z316&lt;=5200,IF(N(INDEX(客户自备加工筐明细!$F$4:$F$1203,$Z316-4000))=0,"",N(INDEX(客户自备加工筐明细!$F$4:$F$1203,$Z316-4000))),IF($Z316&lt;=5800,"","")))))</f>
        <v/>
      </c>
      <c r="R316" s="16" t="str">
        <f>IF($Z316="","",IF($Z316&lt;=2000,IF(INDEX(包装物料出入库明细!$O$4:$O$2003,$Z316-0)=0,"",INDEX(包装物料出入库明细!$O$4:$O$2003,$Z316-0)),IF($Z316&lt;=4000,IF(INDEX(周转筐出入库明细!$M$4:$M$2004,$Z316-2000)=0,"",INDEX(周转筐出入库明细!$M$4:$M$2004,$Z316-2000)),IF($Z316&lt;=5200,IF(INDEX(客户自备加工筐明细!$H$4:$H$1203,$Z316-4000)=0,"",INDEX(客户自备加工筐明细!$H$4:$H$1203,$Z316-4000)),IF($Z316&lt;=5800,IF(INDEX(次果筐明细!$H$4:$H$603,$Z316-5200)=0,"",INDEX(次果筐明细!$H$4:$H$603,$Z316-5200)),"")))))</f>
        <v/>
      </c>
      <c r="S316" s="22" t="str">
        <f t="shared" si="14"/>
        <v/>
      </c>
      <c r="Z316" s="10" t="str">
        <f>IFERROR(MATCH(ROW()-3,_自动清单!$CQ$4:$CQ$5803,0),"")</f>
        <v/>
      </c>
    </row>
    <row r="317" spans="1:26">
      <c r="A317" s="24" t="str">
        <f t="shared" si="12"/>
        <v/>
      </c>
      <c r="B317" s="38" t="str">
        <f>IF($Z317="","",IF($Z317&lt;=2000,IF(INDEX(包装物料出入库明细!$B$4:$B$2003,$Z317-0)=0,"",INDEX(包装物料出入库明细!$B$4:$B$2003,$Z317-0)),IF($Z317&lt;=4000,IF(INDEX(周转筐出入库明细!$B$4:$B$2004,$Z317-2000)=0,"",INDEX(周转筐出入库明细!$B$4:$B$2004,$Z317-2000)),IF($Z317&lt;=5200,IF(INDEX(客户自备加工筐明细!$B$4:$B$1203,$Z317-4000)=0,"",INDEX(客户自备加工筐明细!$B$4:$B$1203,$Z317-4000)),IF($Z317&lt;=5800,IF(INDEX(次果筐明细!$B$4:$B$603,$Z317-5200)=0,"",INDEX(次果筐明细!$B$4:$B$603,$Z317-5200)),"")))))</f>
        <v/>
      </c>
      <c r="C317" s="37" t="str">
        <f>IF($Z317="","",IF($Z317&lt;=2000,IF(INDEX(包装物料出入库明细!$D$4:$D$2003,$Z317-0)=0,"",INDEX(包装物料出入库明细!$D$4:$D$2003,$Z317-0)),IF($Z317&lt;=4000,IF(INDEX(周转筐出入库明细!$C$4:$C$2004,$Z317-2000)=0,"",INDEX(周转筐出入库明细!$C$4:$C$2004,$Z317-2000)),IF($Z317&lt;=5200,IF(INDEX(客户自备加工筐明细!$E$4:$E$1203,$Z317-4000)=0,"",INDEX(客户自备加工筐明细!$E$4:$E$1203,$Z317-4000)),IF($Z317&lt;=5800,IF(INDEX(次果筐明细!$C$4:$C$603,$Z317-5200)=0,"",INDEX(次果筐明细!$C$4:$C$603,$Z317-5200)),"")))))</f>
        <v/>
      </c>
      <c r="D317" s="37" t="str">
        <f>IF($Z317="","",IF($Z317&lt;=2000,"包装物料－"&amp;INDEX(包装物料出入库明细!$H$4:$H$2003,$Z317-0),IF($Z317&lt;=4000,"周转筐－"&amp;INDEX(周转筐出入库明细!$F$4:$F$2004,$Z317-2000),IF($Z317&lt;=5200,"客户自备筐－"&amp;INDEX(客户自备加工筐明细!$J$4:$J$1203,$Z317-4000),IF($Z317&lt;=5800,"次果筐/托盘－"&amp;INDEX(次果筐明细!$F$4:$F$603,$Z317-5200),"")))))</f>
        <v/>
      </c>
      <c r="E317" s="24" t="str">
        <f>IF($Z317="","",IF($Z317&lt;=2000,IF(INDEX(包装物料出入库明细!$C$4:$C$2003,$Z317-0)=0,"",INDEX(包装物料出入库明细!$C$4:$C$2003,$Z317-0)),IF($Z317&lt;=4000,IF(INDEX(周转筐出入库明细!$E$4:$E$2004,$Z317-2000)=0,"",INDEX(周转筐出入库明细!$E$4:$E$2004,$Z317-2000)),IF($Z317&lt;=5200,IF(INDEX(客户自备加工筐明细!$D$4:$D$1203,$Z317-4000)=0,"",INDEX(客户自备加工筐明细!$D$4:$D$1203,$Z317-4000)),IF($Z317&lt;=5800,IF(INDEX(次果筐明细!$E$4:$E$603,$Z317-5200)=0,"",INDEX(次果筐明细!$E$4:$E$603,$Z317-5200)),"")))))</f>
        <v/>
      </c>
      <c r="F317" s="24" t="str">
        <f>IF($Z317="","",IF($Z317&lt;=2000,IF(INDEX(包装物料出入库明细!$E$4:$E$2003,$Z317-0)=0,"",INDEX(包装物料出入库明细!$E$4:$E$2003,$Z317-0)),IF($Z317&lt;=4000,IF(INDEX(周转筐出入库明细!$D$4:$D$2004,$Z317-2000)=0,"",INDEX(周转筐出入库明细!$D$4:$D$2004,$Z317-2000)),IF($Z317&lt;=5200,IF(INDEX(客户自备加工筐明细!$C$4:$C$1203,$Z317-4000)=0,"",INDEX(客户自备加工筐明细!$C$4:$C$1203,$Z317-4000)),IF($Z317&lt;=5800,IF(INDEX(次果筐明细!$D$4:$D$603,$Z317-5200)=0,"",INDEX(次果筐明细!$D$4:$D$603,$Z317-5200)),"")))))</f>
        <v/>
      </c>
      <c r="G317" s="24" t="str">
        <f>IF($Z317="","",IF($Z317&lt;=2000,IF(INDEX(包装物料出入库明细!$F$4:$F$2003,$Z317-0)=0,"",INDEX(包装物料出入库明细!$F$4:$F$2003,$Z317-0)),IF($Z317&lt;=4000,"",IF($Z317&lt;=5200,"",IF($Z317&lt;=5800,"","")))))</f>
        <v/>
      </c>
      <c r="H317" s="39" t="str">
        <f>IF($Z317="","",IF($Z317&lt;=2000,IF(INDEX(包装物料出入库明细!$L$4:$L$2003,$Z317-0)=0,"",INDEX(包装物料出入库明细!$L$4:$L$2003,$Z317-0)),IF($Z317&lt;=4000,N(INDEX(周转筐出入库明细!$H$4:$H$2004,$Z317-2000))+N(INDEX(周转筐出入库明细!$I$4:$I$2004,$Z317-2000))+N(INDEX(周转筐出入库明细!$J$4:$J$2004,$Z317-2000))+N(INDEX(周转筐出入库明细!$K$4:$K$2004,$Z317-2000)),IF($Z317&lt;=5200,N(INDEX(客户自备加工筐明细!$F$4:$F$1203,$Z317-4000))+N(INDEX(客户自备加工筐明细!$G$4:$G$1203,$Z317-4000)),IF($Z317&lt;=5800,IF(INDEX(次果筐明细!$G$4:$G$603,$Z317-5200)=0,"",INDEX(次果筐明细!$G$4:$G$603,$Z317-5200)),"")))))</f>
        <v/>
      </c>
      <c r="I317" s="24" t="str">
        <f>IF($Z317="","",IF($Z317&lt;=2000,IF(INDEX(包装物料出入库明细!$G$4:$G$2003,$Z317-0)=0,"",INDEX(包装物料出入库明细!$G$4:$G$2003,$Z317-0)),IF($Z317&lt;=4000,"个",IF($Z317&lt;=5200,"个",IF($Z317&lt;=5800,"个","")))))</f>
        <v/>
      </c>
      <c r="J317" s="30" t="str">
        <f t="shared" si="13"/>
        <v/>
      </c>
      <c r="K317" s="30" t="str">
        <f>IF($Z317="","",IF($Z317&lt;=2000,IF(INDEX(包装物料出入库明细!$N$4:$N$2003,$Z317-0)=0,"",INDEX(包装物料出入库明细!$N$4:$N$2003,$Z317-0)),IF($Z317&lt;=4000,IF(INDEX(周转筐出入库明细!$P$4:$P$2004,$Z317-2000)=0,"",INDEX(周转筐出入库明细!$P$4:$P$2004,$Z317-2000)),IF($Z317&lt;=5200,"",IF($Z317&lt;=5800,N(INDEX(次果筐明细!$L$4:$L$603,$Z317-5200))+N(INDEX(次果筐明细!$J$4:$J$603,$Z317-5200)),"")))))</f>
        <v/>
      </c>
      <c r="L317" s="24" t="str">
        <f>IF($Z317="","",IF($Z317&lt;=2000,IF(INDEX(包装物料出入库明细!$P$4:$P$2003,$Z317-0)=0,"",INDEX(包装物料出入库明细!$P$4:$P$2003,$Z317-0)),IF($Z317&lt;=4000,IF(INDEX(周转筐出入库明细!$Q$4:$Q$2004,$Z317-2000)=0,"",INDEX(周转筐出入库明细!$Q$4:$Q$2004,$Z317-2000)),IF($Z317&lt;=5200,"",IF($Z317&lt;=5800,IF(INDEX(次果筐明细!$M$4:$M$603,$Z317-5200)=0,"",INDEX(次果筐明细!$M$4:$M$603,$Z317-5200)),"")))))</f>
        <v/>
      </c>
      <c r="M317" s="37" t="str">
        <f>IF($Z317="","",IF($Z317&lt;=2000,IF(INDEX(包装物料出入库明细!$R$4:$R$2003,$Z317-0)=0,"",INDEX(包装物料出入库明细!$R$4:$R$2003,$Z317-0)),IF($Z317&lt;=4000,IF(INDEX(周转筐出入库明细!$W$4:$W$2004,$Z317-2000)=0,"",INDEX(周转筐出入库明细!$W$4:$W$2004,$Z317-2000)),IF($Z317&lt;=5200,IF(INDEX(客户自备加工筐明细!$L$4:$L$1203,$Z317-4000)=0,"",INDEX(客户自备加工筐明细!$L$4:$L$1203,$Z317-4000)),IF($Z317&lt;=5800,IF(INDEX(次果筐明细!$P$4:$P$603,$Z317-5200)=0,"",INDEX(次果筐明细!$P$4:$P$603,$Z317-5200)),"")))))</f>
        <v/>
      </c>
      <c r="N317" s="16" t="str">
        <f>IF($Z317="","",IF($Z317&lt;=2000,"",IF($Z317&lt;=4000,IF(INDEX(周转筐出入库明细!$D$4:$D$2004,$Z317-2000)=0,"",INDEX(周转筐出入库明细!$D$4:$D$2004,$Z317-2000)),IF($Z317&lt;=5200,IF(INDEX(客户自备加工筐明细!$C$4:$C$1203,$Z317-4000)=0,"",INDEX(客户自备加工筐明细!$C$4:$C$1203,$Z317-4000)),IF($Z317&lt;=5800,IF(INDEX(次果筐明细!$D$4:$D$603,$Z317-5200)=0,"",INDEX(次果筐明细!$D$4:$D$603,$Z317-5200)),"")))))</f>
        <v/>
      </c>
      <c r="O317" s="40" t="str">
        <f>IF($Z317="","",IF($Z317&lt;=2000,"",IF($Z317&lt;=4000,IF(N(INDEX(周转筐出入库明细!$J$4:$J$2004,$Z317-2000))+N(INDEX(周转筐出入库明细!$K$4:$K$2004,$Z317-2000))=0,"",N(INDEX(周转筐出入库明细!$J$4:$J$2004,$Z317-2000))+N(INDEX(周转筐出入库明细!$K$4:$K$2004,$Z317-2000))),IF($Z317&lt;=5200,IF(N(INDEX(客户自备加工筐明细!$G$4:$G$1203,$Z317-4000))=0,"",N(INDEX(客户自备加工筐明细!$G$4:$G$1203,$Z317-4000))),IF($Z317&lt;=5800,IF(ISNUMBER(SEARCH("退",INDEX(次果筐明细!$F$4:$F$603,$Z317-5200)&amp;"")),"",IF(N(INDEX(次果筐明细!$G$4:$G$603,$Z317-5200))=0,"",N(INDEX(次果筐明细!$G$4:$G$603,$Z317-5200)))),"")))))</f>
        <v/>
      </c>
      <c r="P317" s="40" t="str">
        <f>IF($Z317="","",IF($Z317&lt;=2000,"",IF($Z317&lt;=4000,IF(N(INDEX(周转筐出入库明细!$I$4:$I$2004,$Z317-2000))=0,"",N(INDEX(周转筐出入库明细!$I$4:$I$2004,$Z317-2000))),IF($Z317&lt;=5200,"",IF($Z317&lt;=5800,IF(ISNUMBER(SEARCH("退",INDEX(次果筐明细!$F$4:$F$603,$Z317-5200)&amp;"")),IF(N(INDEX(次果筐明细!$G$4:$G$603,$Z317-5200))=0,"",N(INDEX(次果筐明细!$G$4:$G$603,$Z317-5200))),""),"")))))</f>
        <v/>
      </c>
      <c r="Q317" s="40" t="str">
        <f>IF($Z317="","",IF($Z317&lt;=2000,"",IF($Z317&lt;=4000,IF(N(INDEX(周转筐出入库明细!$H$4:$H$2004,$Z317-2000))=0,"",N(INDEX(周转筐出入库明细!$H$4:$H$2004,$Z317-2000))),IF($Z317&lt;=5200,IF(N(INDEX(客户自备加工筐明细!$F$4:$F$1203,$Z317-4000))=0,"",N(INDEX(客户自备加工筐明细!$F$4:$F$1203,$Z317-4000))),IF($Z317&lt;=5800,"","")))))</f>
        <v/>
      </c>
      <c r="R317" s="16" t="str">
        <f>IF($Z317="","",IF($Z317&lt;=2000,IF(INDEX(包装物料出入库明细!$O$4:$O$2003,$Z317-0)=0,"",INDEX(包装物料出入库明细!$O$4:$O$2003,$Z317-0)),IF($Z317&lt;=4000,IF(INDEX(周转筐出入库明细!$M$4:$M$2004,$Z317-2000)=0,"",INDEX(周转筐出入库明细!$M$4:$M$2004,$Z317-2000)),IF($Z317&lt;=5200,IF(INDEX(客户自备加工筐明细!$H$4:$H$1203,$Z317-4000)=0,"",INDEX(客户自备加工筐明细!$H$4:$H$1203,$Z317-4000)),IF($Z317&lt;=5800,IF(INDEX(次果筐明细!$H$4:$H$603,$Z317-5200)=0,"",INDEX(次果筐明细!$H$4:$H$603,$Z317-5200)),"")))))</f>
        <v/>
      </c>
      <c r="S317" s="22" t="str">
        <f t="shared" si="14"/>
        <v/>
      </c>
      <c r="Z317" s="10" t="str">
        <f>IFERROR(MATCH(ROW()-3,_自动清单!$CQ$4:$CQ$5803,0),"")</f>
        <v/>
      </c>
    </row>
    <row r="318" spans="1:26">
      <c r="A318" s="24" t="str">
        <f t="shared" si="12"/>
        <v/>
      </c>
      <c r="B318" s="38" t="str">
        <f>IF($Z318="","",IF($Z318&lt;=2000,IF(INDEX(包装物料出入库明细!$B$4:$B$2003,$Z318-0)=0,"",INDEX(包装物料出入库明细!$B$4:$B$2003,$Z318-0)),IF($Z318&lt;=4000,IF(INDEX(周转筐出入库明细!$B$4:$B$2004,$Z318-2000)=0,"",INDEX(周转筐出入库明细!$B$4:$B$2004,$Z318-2000)),IF($Z318&lt;=5200,IF(INDEX(客户自备加工筐明细!$B$4:$B$1203,$Z318-4000)=0,"",INDEX(客户自备加工筐明细!$B$4:$B$1203,$Z318-4000)),IF($Z318&lt;=5800,IF(INDEX(次果筐明细!$B$4:$B$603,$Z318-5200)=0,"",INDEX(次果筐明细!$B$4:$B$603,$Z318-5200)),"")))))</f>
        <v/>
      </c>
      <c r="C318" s="37" t="str">
        <f>IF($Z318="","",IF($Z318&lt;=2000,IF(INDEX(包装物料出入库明细!$D$4:$D$2003,$Z318-0)=0,"",INDEX(包装物料出入库明细!$D$4:$D$2003,$Z318-0)),IF($Z318&lt;=4000,IF(INDEX(周转筐出入库明细!$C$4:$C$2004,$Z318-2000)=0,"",INDEX(周转筐出入库明细!$C$4:$C$2004,$Z318-2000)),IF($Z318&lt;=5200,IF(INDEX(客户自备加工筐明细!$E$4:$E$1203,$Z318-4000)=0,"",INDEX(客户自备加工筐明细!$E$4:$E$1203,$Z318-4000)),IF($Z318&lt;=5800,IF(INDEX(次果筐明细!$C$4:$C$603,$Z318-5200)=0,"",INDEX(次果筐明细!$C$4:$C$603,$Z318-5200)),"")))))</f>
        <v/>
      </c>
      <c r="D318" s="37" t="str">
        <f>IF($Z318="","",IF($Z318&lt;=2000,"包装物料－"&amp;INDEX(包装物料出入库明细!$H$4:$H$2003,$Z318-0),IF($Z318&lt;=4000,"周转筐－"&amp;INDEX(周转筐出入库明细!$F$4:$F$2004,$Z318-2000),IF($Z318&lt;=5200,"客户自备筐－"&amp;INDEX(客户自备加工筐明细!$J$4:$J$1203,$Z318-4000),IF($Z318&lt;=5800,"次果筐/托盘－"&amp;INDEX(次果筐明细!$F$4:$F$603,$Z318-5200),"")))))</f>
        <v/>
      </c>
      <c r="E318" s="24" t="str">
        <f>IF($Z318="","",IF($Z318&lt;=2000,IF(INDEX(包装物料出入库明细!$C$4:$C$2003,$Z318-0)=0,"",INDEX(包装物料出入库明细!$C$4:$C$2003,$Z318-0)),IF($Z318&lt;=4000,IF(INDEX(周转筐出入库明细!$E$4:$E$2004,$Z318-2000)=0,"",INDEX(周转筐出入库明细!$E$4:$E$2004,$Z318-2000)),IF($Z318&lt;=5200,IF(INDEX(客户自备加工筐明细!$D$4:$D$1203,$Z318-4000)=0,"",INDEX(客户自备加工筐明细!$D$4:$D$1203,$Z318-4000)),IF($Z318&lt;=5800,IF(INDEX(次果筐明细!$E$4:$E$603,$Z318-5200)=0,"",INDEX(次果筐明细!$E$4:$E$603,$Z318-5200)),"")))))</f>
        <v/>
      </c>
      <c r="F318" s="24" t="str">
        <f>IF($Z318="","",IF($Z318&lt;=2000,IF(INDEX(包装物料出入库明细!$E$4:$E$2003,$Z318-0)=0,"",INDEX(包装物料出入库明细!$E$4:$E$2003,$Z318-0)),IF($Z318&lt;=4000,IF(INDEX(周转筐出入库明细!$D$4:$D$2004,$Z318-2000)=0,"",INDEX(周转筐出入库明细!$D$4:$D$2004,$Z318-2000)),IF($Z318&lt;=5200,IF(INDEX(客户自备加工筐明细!$C$4:$C$1203,$Z318-4000)=0,"",INDEX(客户自备加工筐明细!$C$4:$C$1203,$Z318-4000)),IF($Z318&lt;=5800,IF(INDEX(次果筐明细!$D$4:$D$603,$Z318-5200)=0,"",INDEX(次果筐明细!$D$4:$D$603,$Z318-5200)),"")))))</f>
        <v/>
      </c>
      <c r="G318" s="24" t="str">
        <f>IF($Z318="","",IF($Z318&lt;=2000,IF(INDEX(包装物料出入库明细!$F$4:$F$2003,$Z318-0)=0,"",INDEX(包装物料出入库明细!$F$4:$F$2003,$Z318-0)),IF($Z318&lt;=4000,"",IF($Z318&lt;=5200,"",IF($Z318&lt;=5800,"","")))))</f>
        <v/>
      </c>
      <c r="H318" s="39" t="str">
        <f>IF($Z318="","",IF($Z318&lt;=2000,IF(INDEX(包装物料出入库明细!$L$4:$L$2003,$Z318-0)=0,"",INDEX(包装物料出入库明细!$L$4:$L$2003,$Z318-0)),IF($Z318&lt;=4000,N(INDEX(周转筐出入库明细!$H$4:$H$2004,$Z318-2000))+N(INDEX(周转筐出入库明细!$I$4:$I$2004,$Z318-2000))+N(INDEX(周转筐出入库明细!$J$4:$J$2004,$Z318-2000))+N(INDEX(周转筐出入库明细!$K$4:$K$2004,$Z318-2000)),IF($Z318&lt;=5200,N(INDEX(客户自备加工筐明细!$F$4:$F$1203,$Z318-4000))+N(INDEX(客户自备加工筐明细!$G$4:$G$1203,$Z318-4000)),IF($Z318&lt;=5800,IF(INDEX(次果筐明细!$G$4:$G$603,$Z318-5200)=0,"",INDEX(次果筐明细!$G$4:$G$603,$Z318-5200)),"")))))</f>
        <v/>
      </c>
      <c r="I318" s="24" t="str">
        <f>IF($Z318="","",IF($Z318&lt;=2000,IF(INDEX(包装物料出入库明细!$G$4:$G$2003,$Z318-0)=0,"",INDEX(包装物料出入库明细!$G$4:$G$2003,$Z318-0)),IF($Z318&lt;=4000,"个",IF($Z318&lt;=5200,"个",IF($Z318&lt;=5800,"个","")))))</f>
        <v/>
      </c>
      <c r="J318" s="30" t="str">
        <f t="shared" si="13"/>
        <v/>
      </c>
      <c r="K318" s="30" t="str">
        <f>IF($Z318="","",IF($Z318&lt;=2000,IF(INDEX(包装物料出入库明细!$N$4:$N$2003,$Z318-0)=0,"",INDEX(包装物料出入库明细!$N$4:$N$2003,$Z318-0)),IF($Z318&lt;=4000,IF(INDEX(周转筐出入库明细!$P$4:$P$2004,$Z318-2000)=0,"",INDEX(周转筐出入库明细!$P$4:$P$2004,$Z318-2000)),IF($Z318&lt;=5200,"",IF($Z318&lt;=5800,N(INDEX(次果筐明细!$L$4:$L$603,$Z318-5200))+N(INDEX(次果筐明细!$J$4:$J$603,$Z318-5200)),"")))))</f>
        <v/>
      </c>
      <c r="L318" s="24" t="str">
        <f>IF($Z318="","",IF($Z318&lt;=2000,IF(INDEX(包装物料出入库明细!$P$4:$P$2003,$Z318-0)=0,"",INDEX(包装物料出入库明细!$P$4:$P$2003,$Z318-0)),IF($Z318&lt;=4000,IF(INDEX(周转筐出入库明细!$Q$4:$Q$2004,$Z318-2000)=0,"",INDEX(周转筐出入库明细!$Q$4:$Q$2004,$Z318-2000)),IF($Z318&lt;=5200,"",IF($Z318&lt;=5800,IF(INDEX(次果筐明细!$M$4:$M$603,$Z318-5200)=0,"",INDEX(次果筐明细!$M$4:$M$603,$Z318-5200)),"")))))</f>
        <v/>
      </c>
      <c r="M318" s="37" t="str">
        <f>IF($Z318="","",IF($Z318&lt;=2000,IF(INDEX(包装物料出入库明细!$R$4:$R$2003,$Z318-0)=0,"",INDEX(包装物料出入库明细!$R$4:$R$2003,$Z318-0)),IF($Z318&lt;=4000,IF(INDEX(周转筐出入库明细!$W$4:$W$2004,$Z318-2000)=0,"",INDEX(周转筐出入库明细!$W$4:$W$2004,$Z318-2000)),IF($Z318&lt;=5200,IF(INDEX(客户自备加工筐明细!$L$4:$L$1203,$Z318-4000)=0,"",INDEX(客户自备加工筐明细!$L$4:$L$1203,$Z318-4000)),IF($Z318&lt;=5800,IF(INDEX(次果筐明细!$P$4:$P$603,$Z318-5200)=0,"",INDEX(次果筐明细!$P$4:$P$603,$Z318-5200)),"")))))</f>
        <v/>
      </c>
      <c r="N318" s="16" t="str">
        <f>IF($Z318="","",IF($Z318&lt;=2000,"",IF($Z318&lt;=4000,IF(INDEX(周转筐出入库明细!$D$4:$D$2004,$Z318-2000)=0,"",INDEX(周转筐出入库明细!$D$4:$D$2004,$Z318-2000)),IF($Z318&lt;=5200,IF(INDEX(客户自备加工筐明细!$C$4:$C$1203,$Z318-4000)=0,"",INDEX(客户自备加工筐明细!$C$4:$C$1203,$Z318-4000)),IF($Z318&lt;=5800,IF(INDEX(次果筐明细!$D$4:$D$603,$Z318-5200)=0,"",INDEX(次果筐明细!$D$4:$D$603,$Z318-5200)),"")))))</f>
        <v/>
      </c>
      <c r="O318" s="40" t="str">
        <f>IF($Z318="","",IF($Z318&lt;=2000,"",IF($Z318&lt;=4000,IF(N(INDEX(周转筐出入库明细!$J$4:$J$2004,$Z318-2000))+N(INDEX(周转筐出入库明细!$K$4:$K$2004,$Z318-2000))=0,"",N(INDEX(周转筐出入库明细!$J$4:$J$2004,$Z318-2000))+N(INDEX(周转筐出入库明细!$K$4:$K$2004,$Z318-2000))),IF($Z318&lt;=5200,IF(N(INDEX(客户自备加工筐明细!$G$4:$G$1203,$Z318-4000))=0,"",N(INDEX(客户自备加工筐明细!$G$4:$G$1203,$Z318-4000))),IF($Z318&lt;=5800,IF(ISNUMBER(SEARCH("退",INDEX(次果筐明细!$F$4:$F$603,$Z318-5200)&amp;"")),"",IF(N(INDEX(次果筐明细!$G$4:$G$603,$Z318-5200))=0,"",N(INDEX(次果筐明细!$G$4:$G$603,$Z318-5200)))),"")))))</f>
        <v/>
      </c>
      <c r="P318" s="40" t="str">
        <f>IF($Z318="","",IF($Z318&lt;=2000,"",IF($Z318&lt;=4000,IF(N(INDEX(周转筐出入库明细!$I$4:$I$2004,$Z318-2000))=0,"",N(INDEX(周转筐出入库明细!$I$4:$I$2004,$Z318-2000))),IF($Z318&lt;=5200,"",IF($Z318&lt;=5800,IF(ISNUMBER(SEARCH("退",INDEX(次果筐明细!$F$4:$F$603,$Z318-5200)&amp;"")),IF(N(INDEX(次果筐明细!$G$4:$G$603,$Z318-5200))=0,"",N(INDEX(次果筐明细!$G$4:$G$603,$Z318-5200))),""),"")))))</f>
        <v/>
      </c>
      <c r="Q318" s="40" t="str">
        <f>IF($Z318="","",IF($Z318&lt;=2000,"",IF($Z318&lt;=4000,IF(N(INDEX(周转筐出入库明细!$H$4:$H$2004,$Z318-2000))=0,"",N(INDEX(周转筐出入库明细!$H$4:$H$2004,$Z318-2000))),IF($Z318&lt;=5200,IF(N(INDEX(客户自备加工筐明细!$F$4:$F$1203,$Z318-4000))=0,"",N(INDEX(客户自备加工筐明细!$F$4:$F$1203,$Z318-4000))),IF($Z318&lt;=5800,"","")))))</f>
        <v/>
      </c>
      <c r="R318" s="16" t="str">
        <f>IF($Z318="","",IF($Z318&lt;=2000,IF(INDEX(包装物料出入库明细!$O$4:$O$2003,$Z318-0)=0,"",INDEX(包装物料出入库明细!$O$4:$O$2003,$Z318-0)),IF($Z318&lt;=4000,IF(INDEX(周转筐出入库明细!$M$4:$M$2004,$Z318-2000)=0,"",INDEX(周转筐出入库明细!$M$4:$M$2004,$Z318-2000)),IF($Z318&lt;=5200,IF(INDEX(客户自备加工筐明细!$H$4:$H$1203,$Z318-4000)=0,"",INDEX(客户自备加工筐明细!$H$4:$H$1203,$Z318-4000)),IF($Z318&lt;=5800,IF(INDEX(次果筐明细!$H$4:$H$603,$Z318-5200)=0,"",INDEX(次果筐明细!$H$4:$H$603,$Z318-5200)),"")))))</f>
        <v/>
      </c>
      <c r="S318" s="22" t="str">
        <f t="shared" si="14"/>
        <v/>
      </c>
      <c r="Z318" s="10" t="str">
        <f>IFERROR(MATCH(ROW()-3,_自动清单!$CQ$4:$CQ$5803,0),"")</f>
        <v/>
      </c>
    </row>
    <row r="319" spans="1:26">
      <c r="A319" s="24" t="str">
        <f t="shared" si="12"/>
        <v/>
      </c>
      <c r="B319" s="38" t="str">
        <f>IF($Z319="","",IF($Z319&lt;=2000,IF(INDEX(包装物料出入库明细!$B$4:$B$2003,$Z319-0)=0,"",INDEX(包装物料出入库明细!$B$4:$B$2003,$Z319-0)),IF($Z319&lt;=4000,IF(INDEX(周转筐出入库明细!$B$4:$B$2004,$Z319-2000)=0,"",INDEX(周转筐出入库明细!$B$4:$B$2004,$Z319-2000)),IF($Z319&lt;=5200,IF(INDEX(客户自备加工筐明细!$B$4:$B$1203,$Z319-4000)=0,"",INDEX(客户自备加工筐明细!$B$4:$B$1203,$Z319-4000)),IF($Z319&lt;=5800,IF(INDEX(次果筐明细!$B$4:$B$603,$Z319-5200)=0,"",INDEX(次果筐明细!$B$4:$B$603,$Z319-5200)),"")))))</f>
        <v/>
      </c>
      <c r="C319" s="37" t="str">
        <f>IF($Z319="","",IF($Z319&lt;=2000,IF(INDEX(包装物料出入库明细!$D$4:$D$2003,$Z319-0)=0,"",INDEX(包装物料出入库明细!$D$4:$D$2003,$Z319-0)),IF($Z319&lt;=4000,IF(INDEX(周转筐出入库明细!$C$4:$C$2004,$Z319-2000)=0,"",INDEX(周转筐出入库明细!$C$4:$C$2004,$Z319-2000)),IF($Z319&lt;=5200,IF(INDEX(客户自备加工筐明细!$E$4:$E$1203,$Z319-4000)=0,"",INDEX(客户自备加工筐明细!$E$4:$E$1203,$Z319-4000)),IF($Z319&lt;=5800,IF(INDEX(次果筐明细!$C$4:$C$603,$Z319-5200)=0,"",INDEX(次果筐明细!$C$4:$C$603,$Z319-5200)),"")))))</f>
        <v/>
      </c>
      <c r="D319" s="37" t="str">
        <f>IF($Z319="","",IF($Z319&lt;=2000,"包装物料－"&amp;INDEX(包装物料出入库明细!$H$4:$H$2003,$Z319-0),IF($Z319&lt;=4000,"周转筐－"&amp;INDEX(周转筐出入库明细!$F$4:$F$2004,$Z319-2000),IF($Z319&lt;=5200,"客户自备筐－"&amp;INDEX(客户自备加工筐明细!$J$4:$J$1203,$Z319-4000),IF($Z319&lt;=5800,"次果筐/托盘－"&amp;INDEX(次果筐明细!$F$4:$F$603,$Z319-5200),"")))))</f>
        <v/>
      </c>
      <c r="E319" s="24" t="str">
        <f>IF($Z319="","",IF($Z319&lt;=2000,IF(INDEX(包装物料出入库明细!$C$4:$C$2003,$Z319-0)=0,"",INDEX(包装物料出入库明细!$C$4:$C$2003,$Z319-0)),IF($Z319&lt;=4000,IF(INDEX(周转筐出入库明细!$E$4:$E$2004,$Z319-2000)=0,"",INDEX(周转筐出入库明细!$E$4:$E$2004,$Z319-2000)),IF($Z319&lt;=5200,IF(INDEX(客户自备加工筐明细!$D$4:$D$1203,$Z319-4000)=0,"",INDEX(客户自备加工筐明细!$D$4:$D$1203,$Z319-4000)),IF($Z319&lt;=5800,IF(INDEX(次果筐明细!$E$4:$E$603,$Z319-5200)=0,"",INDEX(次果筐明细!$E$4:$E$603,$Z319-5200)),"")))))</f>
        <v/>
      </c>
      <c r="F319" s="24" t="str">
        <f>IF($Z319="","",IF($Z319&lt;=2000,IF(INDEX(包装物料出入库明细!$E$4:$E$2003,$Z319-0)=0,"",INDEX(包装物料出入库明细!$E$4:$E$2003,$Z319-0)),IF($Z319&lt;=4000,IF(INDEX(周转筐出入库明细!$D$4:$D$2004,$Z319-2000)=0,"",INDEX(周转筐出入库明细!$D$4:$D$2004,$Z319-2000)),IF($Z319&lt;=5200,IF(INDEX(客户自备加工筐明细!$C$4:$C$1203,$Z319-4000)=0,"",INDEX(客户自备加工筐明细!$C$4:$C$1203,$Z319-4000)),IF($Z319&lt;=5800,IF(INDEX(次果筐明细!$D$4:$D$603,$Z319-5200)=0,"",INDEX(次果筐明细!$D$4:$D$603,$Z319-5200)),"")))))</f>
        <v/>
      </c>
      <c r="G319" s="24" t="str">
        <f>IF($Z319="","",IF($Z319&lt;=2000,IF(INDEX(包装物料出入库明细!$F$4:$F$2003,$Z319-0)=0,"",INDEX(包装物料出入库明细!$F$4:$F$2003,$Z319-0)),IF($Z319&lt;=4000,"",IF($Z319&lt;=5200,"",IF($Z319&lt;=5800,"","")))))</f>
        <v/>
      </c>
      <c r="H319" s="39" t="str">
        <f>IF($Z319="","",IF($Z319&lt;=2000,IF(INDEX(包装物料出入库明细!$L$4:$L$2003,$Z319-0)=0,"",INDEX(包装物料出入库明细!$L$4:$L$2003,$Z319-0)),IF($Z319&lt;=4000,N(INDEX(周转筐出入库明细!$H$4:$H$2004,$Z319-2000))+N(INDEX(周转筐出入库明细!$I$4:$I$2004,$Z319-2000))+N(INDEX(周转筐出入库明细!$J$4:$J$2004,$Z319-2000))+N(INDEX(周转筐出入库明细!$K$4:$K$2004,$Z319-2000)),IF($Z319&lt;=5200,N(INDEX(客户自备加工筐明细!$F$4:$F$1203,$Z319-4000))+N(INDEX(客户自备加工筐明细!$G$4:$G$1203,$Z319-4000)),IF($Z319&lt;=5800,IF(INDEX(次果筐明细!$G$4:$G$603,$Z319-5200)=0,"",INDEX(次果筐明细!$G$4:$G$603,$Z319-5200)),"")))))</f>
        <v/>
      </c>
      <c r="I319" s="24" t="str">
        <f>IF($Z319="","",IF($Z319&lt;=2000,IF(INDEX(包装物料出入库明细!$G$4:$G$2003,$Z319-0)=0,"",INDEX(包装物料出入库明细!$G$4:$G$2003,$Z319-0)),IF($Z319&lt;=4000,"个",IF($Z319&lt;=5200,"个",IF($Z319&lt;=5800,"个","")))))</f>
        <v/>
      </c>
      <c r="J319" s="30" t="str">
        <f t="shared" si="13"/>
        <v/>
      </c>
      <c r="K319" s="30" t="str">
        <f>IF($Z319="","",IF($Z319&lt;=2000,IF(INDEX(包装物料出入库明细!$N$4:$N$2003,$Z319-0)=0,"",INDEX(包装物料出入库明细!$N$4:$N$2003,$Z319-0)),IF($Z319&lt;=4000,IF(INDEX(周转筐出入库明细!$P$4:$P$2004,$Z319-2000)=0,"",INDEX(周转筐出入库明细!$P$4:$P$2004,$Z319-2000)),IF($Z319&lt;=5200,"",IF($Z319&lt;=5800,N(INDEX(次果筐明细!$L$4:$L$603,$Z319-5200))+N(INDEX(次果筐明细!$J$4:$J$603,$Z319-5200)),"")))))</f>
        <v/>
      </c>
      <c r="L319" s="24" t="str">
        <f>IF($Z319="","",IF($Z319&lt;=2000,IF(INDEX(包装物料出入库明细!$P$4:$P$2003,$Z319-0)=0,"",INDEX(包装物料出入库明细!$P$4:$P$2003,$Z319-0)),IF($Z319&lt;=4000,IF(INDEX(周转筐出入库明细!$Q$4:$Q$2004,$Z319-2000)=0,"",INDEX(周转筐出入库明细!$Q$4:$Q$2004,$Z319-2000)),IF($Z319&lt;=5200,"",IF($Z319&lt;=5800,IF(INDEX(次果筐明细!$M$4:$M$603,$Z319-5200)=0,"",INDEX(次果筐明细!$M$4:$M$603,$Z319-5200)),"")))))</f>
        <v/>
      </c>
      <c r="M319" s="37" t="str">
        <f>IF($Z319="","",IF($Z319&lt;=2000,IF(INDEX(包装物料出入库明细!$R$4:$R$2003,$Z319-0)=0,"",INDEX(包装物料出入库明细!$R$4:$R$2003,$Z319-0)),IF($Z319&lt;=4000,IF(INDEX(周转筐出入库明细!$W$4:$W$2004,$Z319-2000)=0,"",INDEX(周转筐出入库明细!$W$4:$W$2004,$Z319-2000)),IF($Z319&lt;=5200,IF(INDEX(客户自备加工筐明细!$L$4:$L$1203,$Z319-4000)=0,"",INDEX(客户自备加工筐明细!$L$4:$L$1203,$Z319-4000)),IF($Z319&lt;=5800,IF(INDEX(次果筐明细!$P$4:$P$603,$Z319-5200)=0,"",INDEX(次果筐明细!$P$4:$P$603,$Z319-5200)),"")))))</f>
        <v/>
      </c>
      <c r="N319" s="16" t="str">
        <f>IF($Z319="","",IF($Z319&lt;=2000,"",IF($Z319&lt;=4000,IF(INDEX(周转筐出入库明细!$D$4:$D$2004,$Z319-2000)=0,"",INDEX(周转筐出入库明细!$D$4:$D$2004,$Z319-2000)),IF($Z319&lt;=5200,IF(INDEX(客户自备加工筐明细!$C$4:$C$1203,$Z319-4000)=0,"",INDEX(客户自备加工筐明细!$C$4:$C$1203,$Z319-4000)),IF($Z319&lt;=5800,IF(INDEX(次果筐明细!$D$4:$D$603,$Z319-5200)=0,"",INDEX(次果筐明细!$D$4:$D$603,$Z319-5200)),"")))))</f>
        <v/>
      </c>
      <c r="O319" s="40" t="str">
        <f>IF($Z319="","",IF($Z319&lt;=2000,"",IF($Z319&lt;=4000,IF(N(INDEX(周转筐出入库明细!$J$4:$J$2004,$Z319-2000))+N(INDEX(周转筐出入库明细!$K$4:$K$2004,$Z319-2000))=0,"",N(INDEX(周转筐出入库明细!$J$4:$J$2004,$Z319-2000))+N(INDEX(周转筐出入库明细!$K$4:$K$2004,$Z319-2000))),IF($Z319&lt;=5200,IF(N(INDEX(客户自备加工筐明细!$G$4:$G$1203,$Z319-4000))=0,"",N(INDEX(客户自备加工筐明细!$G$4:$G$1203,$Z319-4000))),IF($Z319&lt;=5800,IF(ISNUMBER(SEARCH("退",INDEX(次果筐明细!$F$4:$F$603,$Z319-5200)&amp;"")),"",IF(N(INDEX(次果筐明细!$G$4:$G$603,$Z319-5200))=0,"",N(INDEX(次果筐明细!$G$4:$G$603,$Z319-5200)))),"")))))</f>
        <v/>
      </c>
      <c r="P319" s="40" t="str">
        <f>IF($Z319="","",IF($Z319&lt;=2000,"",IF($Z319&lt;=4000,IF(N(INDEX(周转筐出入库明细!$I$4:$I$2004,$Z319-2000))=0,"",N(INDEX(周转筐出入库明细!$I$4:$I$2004,$Z319-2000))),IF($Z319&lt;=5200,"",IF($Z319&lt;=5800,IF(ISNUMBER(SEARCH("退",INDEX(次果筐明细!$F$4:$F$603,$Z319-5200)&amp;"")),IF(N(INDEX(次果筐明细!$G$4:$G$603,$Z319-5200))=0,"",N(INDEX(次果筐明细!$G$4:$G$603,$Z319-5200))),""),"")))))</f>
        <v/>
      </c>
      <c r="Q319" s="40" t="str">
        <f>IF($Z319="","",IF($Z319&lt;=2000,"",IF($Z319&lt;=4000,IF(N(INDEX(周转筐出入库明细!$H$4:$H$2004,$Z319-2000))=0,"",N(INDEX(周转筐出入库明细!$H$4:$H$2004,$Z319-2000))),IF($Z319&lt;=5200,IF(N(INDEX(客户自备加工筐明细!$F$4:$F$1203,$Z319-4000))=0,"",N(INDEX(客户自备加工筐明细!$F$4:$F$1203,$Z319-4000))),IF($Z319&lt;=5800,"","")))))</f>
        <v/>
      </c>
      <c r="R319" s="16" t="str">
        <f>IF($Z319="","",IF($Z319&lt;=2000,IF(INDEX(包装物料出入库明细!$O$4:$O$2003,$Z319-0)=0,"",INDEX(包装物料出入库明细!$O$4:$O$2003,$Z319-0)),IF($Z319&lt;=4000,IF(INDEX(周转筐出入库明细!$M$4:$M$2004,$Z319-2000)=0,"",INDEX(周转筐出入库明细!$M$4:$M$2004,$Z319-2000)),IF($Z319&lt;=5200,IF(INDEX(客户自备加工筐明细!$H$4:$H$1203,$Z319-4000)=0,"",INDEX(客户自备加工筐明细!$H$4:$H$1203,$Z319-4000)),IF($Z319&lt;=5800,IF(INDEX(次果筐明细!$H$4:$H$603,$Z319-5200)=0,"",INDEX(次果筐明细!$H$4:$H$603,$Z319-5200)),"")))))</f>
        <v/>
      </c>
      <c r="S319" s="22" t="str">
        <f t="shared" si="14"/>
        <v/>
      </c>
      <c r="Z319" s="10" t="str">
        <f>IFERROR(MATCH(ROW()-3,_自动清单!$CQ$4:$CQ$5803,0),"")</f>
        <v/>
      </c>
    </row>
    <row r="320" spans="1:26">
      <c r="A320" s="24" t="str">
        <f t="shared" si="12"/>
        <v/>
      </c>
      <c r="B320" s="38" t="str">
        <f>IF($Z320="","",IF($Z320&lt;=2000,IF(INDEX(包装物料出入库明细!$B$4:$B$2003,$Z320-0)=0,"",INDEX(包装物料出入库明细!$B$4:$B$2003,$Z320-0)),IF($Z320&lt;=4000,IF(INDEX(周转筐出入库明细!$B$4:$B$2004,$Z320-2000)=0,"",INDEX(周转筐出入库明细!$B$4:$B$2004,$Z320-2000)),IF($Z320&lt;=5200,IF(INDEX(客户自备加工筐明细!$B$4:$B$1203,$Z320-4000)=0,"",INDEX(客户自备加工筐明细!$B$4:$B$1203,$Z320-4000)),IF($Z320&lt;=5800,IF(INDEX(次果筐明细!$B$4:$B$603,$Z320-5200)=0,"",INDEX(次果筐明细!$B$4:$B$603,$Z320-5200)),"")))))</f>
        <v/>
      </c>
      <c r="C320" s="37" t="str">
        <f>IF($Z320="","",IF($Z320&lt;=2000,IF(INDEX(包装物料出入库明细!$D$4:$D$2003,$Z320-0)=0,"",INDEX(包装物料出入库明细!$D$4:$D$2003,$Z320-0)),IF($Z320&lt;=4000,IF(INDEX(周转筐出入库明细!$C$4:$C$2004,$Z320-2000)=0,"",INDEX(周转筐出入库明细!$C$4:$C$2004,$Z320-2000)),IF($Z320&lt;=5200,IF(INDEX(客户自备加工筐明细!$E$4:$E$1203,$Z320-4000)=0,"",INDEX(客户自备加工筐明细!$E$4:$E$1203,$Z320-4000)),IF($Z320&lt;=5800,IF(INDEX(次果筐明细!$C$4:$C$603,$Z320-5200)=0,"",INDEX(次果筐明细!$C$4:$C$603,$Z320-5200)),"")))))</f>
        <v/>
      </c>
      <c r="D320" s="37" t="str">
        <f>IF($Z320="","",IF($Z320&lt;=2000,"包装物料－"&amp;INDEX(包装物料出入库明细!$H$4:$H$2003,$Z320-0),IF($Z320&lt;=4000,"周转筐－"&amp;INDEX(周转筐出入库明细!$F$4:$F$2004,$Z320-2000),IF($Z320&lt;=5200,"客户自备筐－"&amp;INDEX(客户自备加工筐明细!$J$4:$J$1203,$Z320-4000),IF($Z320&lt;=5800,"次果筐/托盘－"&amp;INDEX(次果筐明细!$F$4:$F$603,$Z320-5200),"")))))</f>
        <v/>
      </c>
      <c r="E320" s="24" t="str">
        <f>IF($Z320="","",IF($Z320&lt;=2000,IF(INDEX(包装物料出入库明细!$C$4:$C$2003,$Z320-0)=0,"",INDEX(包装物料出入库明细!$C$4:$C$2003,$Z320-0)),IF($Z320&lt;=4000,IF(INDEX(周转筐出入库明细!$E$4:$E$2004,$Z320-2000)=0,"",INDEX(周转筐出入库明细!$E$4:$E$2004,$Z320-2000)),IF($Z320&lt;=5200,IF(INDEX(客户自备加工筐明细!$D$4:$D$1203,$Z320-4000)=0,"",INDEX(客户自备加工筐明细!$D$4:$D$1203,$Z320-4000)),IF($Z320&lt;=5800,IF(INDEX(次果筐明细!$E$4:$E$603,$Z320-5200)=0,"",INDEX(次果筐明细!$E$4:$E$603,$Z320-5200)),"")))))</f>
        <v/>
      </c>
      <c r="F320" s="24" t="str">
        <f>IF($Z320="","",IF($Z320&lt;=2000,IF(INDEX(包装物料出入库明细!$E$4:$E$2003,$Z320-0)=0,"",INDEX(包装物料出入库明细!$E$4:$E$2003,$Z320-0)),IF($Z320&lt;=4000,IF(INDEX(周转筐出入库明细!$D$4:$D$2004,$Z320-2000)=0,"",INDEX(周转筐出入库明细!$D$4:$D$2004,$Z320-2000)),IF($Z320&lt;=5200,IF(INDEX(客户自备加工筐明细!$C$4:$C$1203,$Z320-4000)=0,"",INDEX(客户自备加工筐明细!$C$4:$C$1203,$Z320-4000)),IF($Z320&lt;=5800,IF(INDEX(次果筐明细!$D$4:$D$603,$Z320-5200)=0,"",INDEX(次果筐明细!$D$4:$D$603,$Z320-5200)),"")))))</f>
        <v/>
      </c>
      <c r="G320" s="24" t="str">
        <f>IF($Z320="","",IF($Z320&lt;=2000,IF(INDEX(包装物料出入库明细!$F$4:$F$2003,$Z320-0)=0,"",INDEX(包装物料出入库明细!$F$4:$F$2003,$Z320-0)),IF($Z320&lt;=4000,"",IF($Z320&lt;=5200,"",IF($Z320&lt;=5800,"","")))))</f>
        <v/>
      </c>
      <c r="H320" s="39" t="str">
        <f>IF($Z320="","",IF($Z320&lt;=2000,IF(INDEX(包装物料出入库明细!$L$4:$L$2003,$Z320-0)=0,"",INDEX(包装物料出入库明细!$L$4:$L$2003,$Z320-0)),IF($Z320&lt;=4000,N(INDEX(周转筐出入库明细!$H$4:$H$2004,$Z320-2000))+N(INDEX(周转筐出入库明细!$I$4:$I$2004,$Z320-2000))+N(INDEX(周转筐出入库明细!$J$4:$J$2004,$Z320-2000))+N(INDEX(周转筐出入库明细!$K$4:$K$2004,$Z320-2000)),IF($Z320&lt;=5200,N(INDEX(客户自备加工筐明细!$F$4:$F$1203,$Z320-4000))+N(INDEX(客户自备加工筐明细!$G$4:$G$1203,$Z320-4000)),IF($Z320&lt;=5800,IF(INDEX(次果筐明细!$G$4:$G$603,$Z320-5200)=0,"",INDEX(次果筐明细!$G$4:$G$603,$Z320-5200)),"")))))</f>
        <v/>
      </c>
      <c r="I320" s="24" t="str">
        <f>IF($Z320="","",IF($Z320&lt;=2000,IF(INDEX(包装物料出入库明细!$G$4:$G$2003,$Z320-0)=0,"",INDEX(包装物料出入库明细!$G$4:$G$2003,$Z320-0)),IF($Z320&lt;=4000,"个",IF($Z320&lt;=5200,"个",IF($Z320&lt;=5800,"个","")))))</f>
        <v/>
      </c>
      <c r="J320" s="30" t="str">
        <f t="shared" si="13"/>
        <v/>
      </c>
      <c r="K320" s="30" t="str">
        <f>IF($Z320="","",IF($Z320&lt;=2000,IF(INDEX(包装物料出入库明细!$N$4:$N$2003,$Z320-0)=0,"",INDEX(包装物料出入库明细!$N$4:$N$2003,$Z320-0)),IF($Z320&lt;=4000,IF(INDEX(周转筐出入库明细!$P$4:$P$2004,$Z320-2000)=0,"",INDEX(周转筐出入库明细!$P$4:$P$2004,$Z320-2000)),IF($Z320&lt;=5200,"",IF($Z320&lt;=5800,N(INDEX(次果筐明细!$L$4:$L$603,$Z320-5200))+N(INDEX(次果筐明细!$J$4:$J$603,$Z320-5200)),"")))))</f>
        <v/>
      </c>
      <c r="L320" s="24" t="str">
        <f>IF($Z320="","",IF($Z320&lt;=2000,IF(INDEX(包装物料出入库明细!$P$4:$P$2003,$Z320-0)=0,"",INDEX(包装物料出入库明细!$P$4:$P$2003,$Z320-0)),IF($Z320&lt;=4000,IF(INDEX(周转筐出入库明细!$Q$4:$Q$2004,$Z320-2000)=0,"",INDEX(周转筐出入库明细!$Q$4:$Q$2004,$Z320-2000)),IF($Z320&lt;=5200,"",IF($Z320&lt;=5800,IF(INDEX(次果筐明细!$M$4:$M$603,$Z320-5200)=0,"",INDEX(次果筐明细!$M$4:$M$603,$Z320-5200)),"")))))</f>
        <v/>
      </c>
      <c r="M320" s="37" t="str">
        <f>IF($Z320="","",IF($Z320&lt;=2000,IF(INDEX(包装物料出入库明细!$R$4:$R$2003,$Z320-0)=0,"",INDEX(包装物料出入库明细!$R$4:$R$2003,$Z320-0)),IF($Z320&lt;=4000,IF(INDEX(周转筐出入库明细!$W$4:$W$2004,$Z320-2000)=0,"",INDEX(周转筐出入库明细!$W$4:$W$2004,$Z320-2000)),IF($Z320&lt;=5200,IF(INDEX(客户自备加工筐明细!$L$4:$L$1203,$Z320-4000)=0,"",INDEX(客户自备加工筐明细!$L$4:$L$1203,$Z320-4000)),IF($Z320&lt;=5800,IF(INDEX(次果筐明细!$P$4:$P$603,$Z320-5200)=0,"",INDEX(次果筐明细!$P$4:$P$603,$Z320-5200)),"")))))</f>
        <v/>
      </c>
      <c r="N320" s="16" t="str">
        <f>IF($Z320="","",IF($Z320&lt;=2000,"",IF($Z320&lt;=4000,IF(INDEX(周转筐出入库明细!$D$4:$D$2004,$Z320-2000)=0,"",INDEX(周转筐出入库明细!$D$4:$D$2004,$Z320-2000)),IF($Z320&lt;=5200,IF(INDEX(客户自备加工筐明细!$C$4:$C$1203,$Z320-4000)=0,"",INDEX(客户自备加工筐明细!$C$4:$C$1203,$Z320-4000)),IF($Z320&lt;=5800,IF(INDEX(次果筐明细!$D$4:$D$603,$Z320-5200)=0,"",INDEX(次果筐明细!$D$4:$D$603,$Z320-5200)),"")))))</f>
        <v/>
      </c>
      <c r="O320" s="40" t="str">
        <f>IF($Z320="","",IF($Z320&lt;=2000,"",IF($Z320&lt;=4000,IF(N(INDEX(周转筐出入库明细!$J$4:$J$2004,$Z320-2000))+N(INDEX(周转筐出入库明细!$K$4:$K$2004,$Z320-2000))=0,"",N(INDEX(周转筐出入库明细!$J$4:$J$2004,$Z320-2000))+N(INDEX(周转筐出入库明细!$K$4:$K$2004,$Z320-2000))),IF($Z320&lt;=5200,IF(N(INDEX(客户自备加工筐明细!$G$4:$G$1203,$Z320-4000))=0,"",N(INDEX(客户自备加工筐明细!$G$4:$G$1203,$Z320-4000))),IF($Z320&lt;=5800,IF(ISNUMBER(SEARCH("退",INDEX(次果筐明细!$F$4:$F$603,$Z320-5200)&amp;"")),"",IF(N(INDEX(次果筐明细!$G$4:$G$603,$Z320-5200))=0,"",N(INDEX(次果筐明细!$G$4:$G$603,$Z320-5200)))),"")))))</f>
        <v/>
      </c>
      <c r="P320" s="40" t="str">
        <f>IF($Z320="","",IF($Z320&lt;=2000,"",IF($Z320&lt;=4000,IF(N(INDEX(周转筐出入库明细!$I$4:$I$2004,$Z320-2000))=0,"",N(INDEX(周转筐出入库明细!$I$4:$I$2004,$Z320-2000))),IF($Z320&lt;=5200,"",IF($Z320&lt;=5800,IF(ISNUMBER(SEARCH("退",INDEX(次果筐明细!$F$4:$F$603,$Z320-5200)&amp;"")),IF(N(INDEX(次果筐明细!$G$4:$G$603,$Z320-5200))=0,"",N(INDEX(次果筐明细!$G$4:$G$603,$Z320-5200))),""),"")))))</f>
        <v/>
      </c>
      <c r="Q320" s="40" t="str">
        <f>IF($Z320="","",IF($Z320&lt;=2000,"",IF($Z320&lt;=4000,IF(N(INDEX(周转筐出入库明细!$H$4:$H$2004,$Z320-2000))=0,"",N(INDEX(周转筐出入库明细!$H$4:$H$2004,$Z320-2000))),IF($Z320&lt;=5200,IF(N(INDEX(客户自备加工筐明细!$F$4:$F$1203,$Z320-4000))=0,"",N(INDEX(客户自备加工筐明细!$F$4:$F$1203,$Z320-4000))),IF($Z320&lt;=5800,"","")))))</f>
        <v/>
      </c>
      <c r="R320" s="16" t="str">
        <f>IF($Z320="","",IF($Z320&lt;=2000,IF(INDEX(包装物料出入库明细!$O$4:$O$2003,$Z320-0)=0,"",INDEX(包装物料出入库明细!$O$4:$O$2003,$Z320-0)),IF($Z320&lt;=4000,IF(INDEX(周转筐出入库明细!$M$4:$M$2004,$Z320-2000)=0,"",INDEX(周转筐出入库明细!$M$4:$M$2004,$Z320-2000)),IF($Z320&lt;=5200,IF(INDEX(客户自备加工筐明细!$H$4:$H$1203,$Z320-4000)=0,"",INDEX(客户自备加工筐明细!$H$4:$H$1203,$Z320-4000)),IF($Z320&lt;=5800,IF(INDEX(次果筐明细!$H$4:$H$603,$Z320-5200)=0,"",INDEX(次果筐明细!$H$4:$H$603,$Z320-5200)),"")))))</f>
        <v/>
      </c>
      <c r="S320" s="22" t="str">
        <f t="shared" si="14"/>
        <v/>
      </c>
      <c r="Z320" s="10" t="str">
        <f>IFERROR(MATCH(ROW()-3,_自动清单!$CQ$4:$CQ$5803,0),"")</f>
        <v/>
      </c>
    </row>
    <row r="321" spans="1:26">
      <c r="A321" s="24" t="str">
        <f t="shared" si="12"/>
        <v/>
      </c>
      <c r="B321" s="38" t="str">
        <f>IF($Z321="","",IF($Z321&lt;=2000,IF(INDEX(包装物料出入库明细!$B$4:$B$2003,$Z321-0)=0,"",INDEX(包装物料出入库明细!$B$4:$B$2003,$Z321-0)),IF($Z321&lt;=4000,IF(INDEX(周转筐出入库明细!$B$4:$B$2004,$Z321-2000)=0,"",INDEX(周转筐出入库明细!$B$4:$B$2004,$Z321-2000)),IF($Z321&lt;=5200,IF(INDEX(客户自备加工筐明细!$B$4:$B$1203,$Z321-4000)=0,"",INDEX(客户自备加工筐明细!$B$4:$B$1203,$Z321-4000)),IF($Z321&lt;=5800,IF(INDEX(次果筐明细!$B$4:$B$603,$Z321-5200)=0,"",INDEX(次果筐明细!$B$4:$B$603,$Z321-5200)),"")))))</f>
        <v/>
      </c>
      <c r="C321" s="37" t="str">
        <f>IF($Z321="","",IF($Z321&lt;=2000,IF(INDEX(包装物料出入库明细!$D$4:$D$2003,$Z321-0)=0,"",INDEX(包装物料出入库明细!$D$4:$D$2003,$Z321-0)),IF($Z321&lt;=4000,IF(INDEX(周转筐出入库明细!$C$4:$C$2004,$Z321-2000)=0,"",INDEX(周转筐出入库明细!$C$4:$C$2004,$Z321-2000)),IF($Z321&lt;=5200,IF(INDEX(客户自备加工筐明细!$E$4:$E$1203,$Z321-4000)=0,"",INDEX(客户自备加工筐明细!$E$4:$E$1203,$Z321-4000)),IF($Z321&lt;=5800,IF(INDEX(次果筐明细!$C$4:$C$603,$Z321-5200)=0,"",INDEX(次果筐明细!$C$4:$C$603,$Z321-5200)),"")))))</f>
        <v/>
      </c>
      <c r="D321" s="37" t="str">
        <f>IF($Z321="","",IF($Z321&lt;=2000,"包装物料－"&amp;INDEX(包装物料出入库明细!$H$4:$H$2003,$Z321-0),IF($Z321&lt;=4000,"周转筐－"&amp;INDEX(周转筐出入库明细!$F$4:$F$2004,$Z321-2000),IF($Z321&lt;=5200,"客户自备筐－"&amp;INDEX(客户自备加工筐明细!$J$4:$J$1203,$Z321-4000),IF($Z321&lt;=5800,"次果筐/托盘－"&amp;INDEX(次果筐明细!$F$4:$F$603,$Z321-5200),"")))))</f>
        <v/>
      </c>
      <c r="E321" s="24" t="str">
        <f>IF($Z321="","",IF($Z321&lt;=2000,IF(INDEX(包装物料出入库明细!$C$4:$C$2003,$Z321-0)=0,"",INDEX(包装物料出入库明细!$C$4:$C$2003,$Z321-0)),IF($Z321&lt;=4000,IF(INDEX(周转筐出入库明细!$E$4:$E$2004,$Z321-2000)=0,"",INDEX(周转筐出入库明细!$E$4:$E$2004,$Z321-2000)),IF($Z321&lt;=5200,IF(INDEX(客户自备加工筐明细!$D$4:$D$1203,$Z321-4000)=0,"",INDEX(客户自备加工筐明细!$D$4:$D$1203,$Z321-4000)),IF($Z321&lt;=5800,IF(INDEX(次果筐明细!$E$4:$E$603,$Z321-5200)=0,"",INDEX(次果筐明细!$E$4:$E$603,$Z321-5200)),"")))))</f>
        <v/>
      </c>
      <c r="F321" s="24" t="str">
        <f>IF($Z321="","",IF($Z321&lt;=2000,IF(INDEX(包装物料出入库明细!$E$4:$E$2003,$Z321-0)=0,"",INDEX(包装物料出入库明细!$E$4:$E$2003,$Z321-0)),IF($Z321&lt;=4000,IF(INDEX(周转筐出入库明细!$D$4:$D$2004,$Z321-2000)=0,"",INDEX(周转筐出入库明细!$D$4:$D$2004,$Z321-2000)),IF($Z321&lt;=5200,IF(INDEX(客户自备加工筐明细!$C$4:$C$1203,$Z321-4000)=0,"",INDEX(客户自备加工筐明细!$C$4:$C$1203,$Z321-4000)),IF($Z321&lt;=5800,IF(INDEX(次果筐明细!$D$4:$D$603,$Z321-5200)=0,"",INDEX(次果筐明细!$D$4:$D$603,$Z321-5200)),"")))))</f>
        <v/>
      </c>
      <c r="G321" s="24" t="str">
        <f>IF($Z321="","",IF($Z321&lt;=2000,IF(INDEX(包装物料出入库明细!$F$4:$F$2003,$Z321-0)=0,"",INDEX(包装物料出入库明细!$F$4:$F$2003,$Z321-0)),IF($Z321&lt;=4000,"",IF($Z321&lt;=5200,"",IF($Z321&lt;=5800,"","")))))</f>
        <v/>
      </c>
      <c r="H321" s="39" t="str">
        <f>IF($Z321="","",IF($Z321&lt;=2000,IF(INDEX(包装物料出入库明细!$L$4:$L$2003,$Z321-0)=0,"",INDEX(包装物料出入库明细!$L$4:$L$2003,$Z321-0)),IF($Z321&lt;=4000,N(INDEX(周转筐出入库明细!$H$4:$H$2004,$Z321-2000))+N(INDEX(周转筐出入库明细!$I$4:$I$2004,$Z321-2000))+N(INDEX(周转筐出入库明细!$J$4:$J$2004,$Z321-2000))+N(INDEX(周转筐出入库明细!$K$4:$K$2004,$Z321-2000)),IF($Z321&lt;=5200,N(INDEX(客户自备加工筐明细!$F$4:$F$1203,$Z321-4000))+N(INDEX(客户自备加工筐明细!$G$4:$G$1203,$Z321-4000)),IF($Z321&lt;=5800,IF(INDEX(次果筐明细!$G$4:$G$603,$Z321-5200)=0,"",INDEX(次果筐明细!$G$4:$G$603,$Z321-5200)),"")))))</f>
        <v/>
      </c>
      <c r="I321" s="24" t="str">
        <f>IF($Z321="","",IF($Z321&lt;=2000,IF(INDEX(包装物料出入库明细!$G$4:$G$2003,$Z321-0)=0,"",INDEX(包装物料出入库明细!$G$4:$G$2003,$Z321-0)),IF($Z321&lt;=4000,"个",IF($Z321&lt;=5200,"个",IF($Z321&lt;=5800,"个","")))))</f>
        <v/>
      </c>
      <c r="J321" s="30" t="str">
        <f t="shared" si="13"/>
        <v/>
      </c>
      <c r="K321" s="30" t="str">
        <f>IF($Z321="","",IF($Z321&lt;=2000,IF(INDEX(包装物料出入库明细!$N$4:$N$2003,$Z321-0)=0,"",INDEX(包装物料出入库明细!$N$4:$N$2003,$Z321-0)),IF($Z321&lt;=4000,IF(INDEX(周转筐出入库明细!$P$4:$P$2004,$Z321-2000)=0,"",INDEX(周转筐出入库明细!$P$4:$P$2004,$Z321-2000)),IF($Z321&lt;=5200,"",IF($Z321&lt;=5800,N(INDEX(次果筐明细!$L$4:$L$603,$Z321-5200))+N(INDEX(次果筐明细!$J$4:$J$603,$Z321-5200)),"")))))</f>
        <v/>
      </c>
      <c r="L321" s="24" t="str">
        <f>IF($Z321="","",IF($Z321&lt;=2000,IF(INDEX(包装物料出入库明细!$P$4:$P$2003,$Z321-0)=0,"",INDEX(包装物料出入库明细!$P$4:$P$2003,$Z321-0)),IF($Z321&lt;=4000,IF(INDEX(周转筐出入库明细!$Q$4:$Q$2004,$Z321-2000)=0,"",INDEX(周转筐出入库明细!$Q$4:$Q$2004,$Z321-2000)),IF($Z321&lt;=5200,"",IF($Z321&lt;=5800,IF(INDEX(次果筐明细!$M$4:$M$603,$Z321-5200)=0,"",INDEX(次果筐明细!$M$4:$M$603,$Z321-5200)),"")))))</f>
        <v/>
      </c>
      <c r="M321" s="37" t="str">
        <f>IF($Z321="","",IF($Z321&lt;=2000,IF(INDEX(包装物料出入库明细!$R$4:$R$2003,$Z321-0)=0,"",INDEX(包装物料出入库明细!$R$4:$R$2003,$Z321-0)),IF($Z321&lt;=4000,IF(INDEX(周转筐出入库明细!$W$4:$W$2004,$Z321-2000)=0,"",INDEX(周转筐出入库明细!$W$4:$W$2004,$Z321-2000)),IF($Z321&lt;=5200,IF(INDEX(客户自备加工筐明细!$L$4:$L$1203,$Z321-4000)=0,"",INDEX(客户自备加工筐明细!$L$4:$L$1203,$Z321-4000)),IF($Z321&lt;=5800,IF(INDEX(次果筐明细!$P$4:$P$603,$Z321-5200)=0,"",INDEX(次果筐明细!$P$4:$P$603,$Z321-5200)),"")))))</f>
        <v/>
      </c>
      <c r="N321" s="16" t="str">
        <f>IF($Z321="","",IF($Z321&lt;=2000,"",IF($Z321&lt;=4000,IF(INDEX(周转筐出入库明细!$D$4:$D$2004,$Z321-2000)=0,"",INDEX(周转筐出入库明细!$D$4:$D$2004,$Z321-2000)),IF($Z321&lt;=5200,IF(INDEX(客户自备加工筐明细!$C$4:$C$1203,$Z321-4000)=0,"",INDEX(客户自备加工筐明细!$C$4:$C$1203,$Z321-4000)),IF($Z321&lt;=5800,IF(INDEX(次果筐明细!$D$4:$D$603,$Z321-5200)=0,"",INDEX(次果筐明细!$D$4:$D$603,$Z321-5200)),"")))))</f>
        <v/>
      </c>
      <c r="O321" s="40" t="str">
        <f>IF($Z321="","",IF($Z321&lt;=2000,"",IF($Z321&lt;=4000,IF(N(INDEX(周转筐出入库明细!$J$4:$J$2004,$Z321-2000))+N(INDEX(周转筐出入库明细!$K$4:$K$2004,$Z321-2000))=0,"",N(INDEX(周转筐出入库明细!$J$4:$J$2004,$Z321-2000))+N(INDEX(周转筐出入库明细!$K$4:$K$2004,$Z321-2000))),IF($Z321&lt;=5200,IF(N(INDEX(客户自备加工筐明细!$G$4:$G$1203,$Z321-4000))=0,"",N(INDEX(客户自备加工筐明细!$G$4:$G$1203,$Z321-4000))),IF($Z321&lt;=5800,IF(ISNUMBER(SEARCH("退",INDEX(次果筐明细!$F$4:$F$603,$Z321-5200)&amp;"")),"",IF(N(INDEX(次果筐明细!$G$4:$G$603,$Z321-5200))=0,"",N(INDEX(次果筐明细!$G$4:$G$603,$Z321-5200)))),"")))))</f>
        <v/>
      </c>
      <c r="P321" s="40" t="str">
        <f>IF($Z321="","",IF($Z321&lt;=2000,"",IF($Z321&lt;=4000,IF(N(INDEX(周转筐出入库明细!$I$4:$I$2004,$Z321-2000))=0,"",N(INDEX(周转筐出入库明细!$I$4:$I$2004,$Z321-2000))),IF($Z321&lt;=5200,"",IF($Z321&lt;=5800,IF(ISNUMBER(SEARCH("退",INDEX(次果筐明细!$F$4:$F$603,$Z321-5200)&amp;"")),IF(N(INDEX(次果筐明细!$G$4:$G$603,$Z321-5200))=0,"",N(INDEX(次果筐明细!$G$4:$G$603,$Z321-5200))),""),"")))))</f>
        <v/>
      </c>
      <c r="Q321" s="40" t="str">
        <f>IF($Z321="","",IF($Z321&lt;=2000,"",IF($Z321&lt;=4000,IF(N(INDEX(周转筐出入库明细!$H$4:$H$2004,$Z321-2000))=0,"",N(INDEX(周转筐出入库明细!$H$4:$H$2004,$Z321-2000))),IF($Z321&lt;=5200,IF(N(INDEX(客户自备加工筐明细!$F$4:$F$1203,$Z321-4000))=0,"",N(INDEX(客户自备加工筐明细!$F$4:$F$1203,$Z321-4000))),IF($Z321&lt;=5800,"","")))))</f>
        <v/>
      </c>
      <c r="R321" s="16" t="str">
        <f>IF($Z321="","",IF($Z321&lt;=2000,IF(INDEX(包装物料出入库明细!$O$4:$O$2003,$Z321-0)=0,"",INDEX(包装物料出入库明细!$O$4:$O$2003,$Z321-0)),IF($Z321&lt;=4000,IF(INDEX(周转筐出入库明细!$M$4:$M$2004,$Z321-2000)=0,"",INDEX(周转筐出入库明细!$M$4:$M$2004,$Z321-2000)),IF($Z321&lt;=5200,IF(INDEX(客户自备加工筐明细!$H$4:$H$1203,$Z321-4000)=0,"",INDEX(客户自备加工筐明细!$H$4:$H$1203,$Z321-4000)),IF($Z321&lt;=5800,IF(INDEX(次果筐明细!$H$4:$H$603,$Z321-5200)=0,"",INDEX(次果筐明细!$H$4:$H$603,$Z321-5200)),"")))))</f>
        <v/>
      </c>
      <c r="S321" s="22" t="str">
        <f t="shared" si="14"/>
        <v/>
      </c>
      <c r="Z321" s="10" t="str">
        <f>IFERROR(MATCH(ROW()-3,_自动清单!$CQ$4:$CQ$5803,0),"")</f>
        <v/>
      </c>
    </row>
    <row r="322" spans="1:26">
      <c r="A322" s="24" t="str">
        <f t="shared" si="12"/>
        <v/>
      </c>
      <c r="B322" s="38" t="str">
        <f>IF($Z322="","",IF($Z322&lt;=2000,IF(INDEX(包装物料出入库明细!$B$4:$B$2003,$Z322-0)=0,"",INDEX(包装物料出入库明细!$B$4:$B$2003,$Z322-0)),IF($Z322&lt;=4000,IF(INDEX(周转筐出入库明细!$B$4:$B$2004,$Z322-2000)=0,"",INDEX(周转筐出入库明细!$B$4:$B$2004,$Z322-2000)),IF($Z322&lt;=5200,IF(INDEX(客户自备加工筐明细!$B$4:$B$1203,$Z322-4000)=0,"",INDEX(客户自备加工筐明细!$B$4:$B$1203,$Z322-4000)),IF($Z322&lt;=5800,IF(INDEX(次果筐明细!$B$4:$B$603,$Z322-5200)=0,"",INDEX(次果筐明细!$B$4:$B$603,$Z322-5200)),"")))))</f>
        <v/>
      </c>
      <c r="C322" s="37" t="str">
        <f>IF($Z322="","",IF($Z322&lt;=2000,IF(INDEX(包装物料出入库明细!$D$4:$D$2003,$Z322-0)=0,"",INDEX(包装物料出入库明细!$D$4:$D$2003,$Z322-0)),IF($Z322&lt;=4000,IF(INDEX(周转筐出入库明细!$C$4:$C$2004,$Z322-2000)=0,"",INDEX(周转筐出入库明细!$C$4:$C$2004,$Z322-2000)),IF($Z322&lt;=5200,IF(INDEX(客户自备加工筐明细!$E$4:$E$1203,$Z322-4000)=0,"",INDEX(客户自备加工筐明细!$E$4:$E$1203,$Z322-4000)),IF($Z322&lt;=5800,IF(INDEX(次果筐明细!$C$4:$C$603,$Z322-5200)=0,"",INDEX(次果筐明细!$C$4:$C$603,$Z322-5200)),"")))))</f>
        <v/>
      </c>
      <c r="D322" s="37" t="str">
        <f>IF($Z322="","",IF($Z322&lt;=2000,"包装物料－"&amp;INDEX(包装物料出入库明细!$H$4:$H$2003,$Z322-0),IF($Z322&lt;=4000,"周转筐－"&amp;INDEX(周转筐出入库明细!$F$4:$F$2004,$Z322-2000),IF($Z322&lt;=5200,"客户自备筐－"&amp;INDEX(客户自备加工筐明细!$J$4:$J$1203,$Z322-4000),IF($Z322&lt;=5800,"次果筐/托盘－"&amp;INDEX(次果筐明细!$F$4:$F$603,$Z322-5200),"")))))</f>
        <v/>
      </c>
      <c r="E322" s="24" t="str">
        <f>IF($Z322="","",IF($Z322&lt;=2000,IF(INDEX(包装物料出入库明细!$C$4:$C$2003,$Z322-0)=0,"",INDEX(包装物料出入库明细!$C$4:$C$2003,$Z322-0)),IF($Z322&lt;=4000,IF(INDEX(周转筐出入库明细!$E$4:$E$2004,$Z322-2000)=0,"",INDEX(周转筐出入库明细!$E$4:$E$2004,$Z322-2000)),IF($Z322&lt;=5200,IF(INDEX(客户自备加工筐明细!$D$4:$D$1203,$Z322-4000)=0,"",INDEX(客户自备加工筐明细!$D$4:$D$1203,$Z322-4000)),IF($Z322&lt;=5800,IF(INDEX(次果筐明细!$E$4:$E$603,$Z322-5200)=0,"",INDEX(次果筐明细!$E$4:$E$603,$Z322-5200)),"")))))</f>
        <v/>
      </c>
      <c r="F322" s="24" t="str">
        <f>IF($Z322="","",IF($Z322&lt;=2000,IF(INDEX(包装物料出入库明细!$E$4:$E$2003,$Z322-0)=0,"",INDEX(包装物料出入库明细!$E$4:$E$2003,$Z322-0)),IF($Z322&lt;=4000,IF(INDEX(周转筐出入库明细!$D$4:$D$2004,$Z322-2000)=0,"",INDEX(周转筐出入库明细!$D$4:$D$2004,$Z322-2000)),IF($Z322&lt;=5200,IF(INDEX(客户自备加工筐明细!$C$4:$C$1203,$Z322-4000)=0,"",INDEX(客户自备加工筐明细!$C$4:$C$1203,$Z322-4000)),IF($Z322&lt;=5800,IF(INDEX(次果筐明细!$D$4:$D$603,$Z322-5200)=0,"",INDEX(次果筐明细!$D$4:$D$603,$Z322-5200)),"")))))</f>
        <v/>
      </c>
      <c r="G322" s="24" t="str">
        <f>IF($Z322="","",IF($Z322&lt;=2000,IF(INDEX(包装物料出入库明细!$F$4:$F$2003,$Z322-0)=0,"",INDEX(包装物料出入库明细!$F$4:$F$2003,$Z322-0)),IF($Z322&lt;=4000,"",IF($Z322&lt;=5200,"",IF($Z322&lt;=5800,"","")))))</f>
        <v/>
      </c>
      <c r="H322" s="39" t="str">
        <f>IF($Z322="","",IF($Z322&lt;=2000,IF(INDEX(包装物料出入库明细!$L$4:$L$2003,$Z322-0)=0,"",INDEX(包装物料出入库明细!$L$4:$L$2003,$Z322-0)),IF($Z322&lt;=4000,N(INDEX(周转筐出入库明细!$H$4:$H$2004,$Z322-2000))+N(INDEX(周转筐出入库明细!$I$4:$I$2004,$Z322-2000))+N(INDEX(周转筐出入库明细!$J$4:$J$2004,$Z322-2000))+N(INDEX(周转筐出入库明细!$K$4:$K$2004,$Z322-2000)),IF($Z322&lt;=5200,N(INDEX(客户自备加工筐明细!$F$4:$F$1203,$Z322-4000))+N(INDEX(客户自备加工筐明细!$G$4:$G$1203,$Z322-4000)),IF($Z322&lt;=5800,IF(INDEX(次果筐明细!$G$4:$G$603,$Z322-5200)=0,"",INDEX(次果筐明细!$G$4:$G$603,$Z322-5200)),"")))))</f>
        <v/>
      </c>
      <c r="I322" s="24" t="str">
        <f>IF($Z322="","",IF($Z322&lt;=2000,IF(INDEX(包装物料出入库明细!$G$4:$G$2003,$Z322-0)=0,"",INDEX(包装物料出入库明细!$G$4:$G$2003,$Z322-0)),IF($Z322&lt;=4000,"个",IF($Z322&lt;=5200,"个",IF($Z322&lt;=5800,"个","")))))</f>
        <v/>
      </c>
      <c r="J322" s="30" t="str">
        <f t="shared" si="13"/>
        <v/>
      </c>
      <c r="K322" s="30" t="str">
        <f>IF($Z322="","",IF($Z322&lt;=2000,IF(INDEX(包装物料出入库明细!$N$4:$N$2003,$Z322-0)=0,"",INDEX(包装物料出入库明细!$N$4:$N$2003,$Z322-0)),IF($Z322&lt;=4000,IF(INDEX(周转筐出入库明细!$P$4:$P$2004,$Z322-2000)=0,"",INDEX(周转筐出入库明细!$P$4:$P$2004,$Z322-2000)),IF($Z322&lt;=5200,"",IF($Z322&lt;=5800,N(INDEX(次果筐明细!$L$4:$L$603,$Z322-5200))+N(INDEX(次果筐明细!$J$4:$J$603,$Z322-5200)),"")))))</f>
        <v/>
      </c>
      <c r="L322" s="24" t="str">
        <f>IF($Z322="","",IF($Z322&lt;=2000,IF(INDEX(包装物料出入库明细!$P$4:$P$2003,$Z322-0)=0,"",INDEX(包装物料出入库明细!$P$4:$P$2003,$Z322-0)),IF($Z322&lt;=4000,IF(INDEX(周转筐出入库明细!$Q$4:$Q$2004,$Z322-2000)=0,"",INDEX(周转筐出入库明细!$Q$4:$Q$2004,$Z322-2000)),IF($Z322&lt;=5200,"",IF($Z322&lt;=5800,IF(INDEX(次果筐明细!$M$4:$M$603,$Z322-5200)=0,"",INDEX(次果筐明细!$M$4:$M$603,$Z322-5200)),"")))))</f>
        <v/>
      </c>
      <c r="M322" s="37" t="str">
        <f>IF($Z322="","",IF($Z322&lt;=2000,IF(INDEX(包装物料出入库明细!$R$4:$R$2003,$Z322-0)=0,"",INDEX(包装物料出入库明细!$R$4:$R$2003,$Z322-0)),IF($Z322&lt;=4000,IF(INDEX(周转筐出入库明细!$W$4:$W$2004,$Z322-2000)=0,"",INDEX(周转筐出入库明细!$W$4:$W$2004,$Z322-2000)),IF($Z322&lt;=5200,IF(INDEX(客户自备加工筐明细!$L$4:$L$1203,$Z322-4000)=0,"",INDEX(客户自备加工筐明细!$L$4:$L$1203,$Z322-4000)),IF($Z322&lt;=5800,IF(INDEX(次果筐明细!$P$4:$P$603,$Z322-5200)=0,"",INDEX(次果筐明细!$P$4:$P$603,$Z322-5200)),"")))))</f>
        <v/>
      </c>
      <c r="N322" s="16" t="str">
        <f>IF($Z322="","",IF($Z322&lt;=2000,"",IF($Z322&lt;=4000,IF(INDEX(周转筐出入库明细!$D$4:$D$2004,$Z322-2000)=0,"",INDEX(周转筐出入库明细!$D$4:$D$2004,$Z322-2000)),IF($Z322&lt;=5200,IF(INDEX(客户自备加工筐明细!$C$4:$C$1203,$Z322-4000)=0,"",INDEX(客户自备加工筐明细!$C$4:$C$1203,$Z322-4000)),IF($Z322&lt;=5800,IF(INDEX(次果筐明细!$D$4:$D$603,$Z322-5200)=0,"",INDEX(次果筐明细!$D$4:$D$603,$Z322-5200)),"")))))</f>
        <v/>
      </c>
      <c r="O322" s="40" t="str">
        <f>IF($Z322="","",IF($Z322&lt;=2000,"",IF($Z322&lt;=4000,IF(N(INDEX(周转筐出入库明细!$J$4:$J$2004,$Z322-2000))+N(INDEX(周转筐出入库明细!$K$4:$K$2004,$Z322-2000))=0,"",N(INDEX(周转筐出入库明细!$J$4:$J$2004,$Z322-2000))+N(INDEX(周转筐出入库明细!$K$4:$K$2004,$Z322-2000))),IF($Z322&lt;=5200,IF(N(INDEX(客户自备加工筐明细!$G$4:$G$1203,$Z322-4000))=0,"",N(INDEX(客户自备加工筐明细!$G$4:$G$1203,$Z322-4000))),IF($Z322&lt;=5800,IF(ISNUMBER(SEARCH("退",INDEX(次果筐明细!$F$4:$F$603,$Z322-5200)&amp;"")),"",IF(N(INDEX(次果筐明细!$G$4:$G$603,$Z322-5200))=0,"",N(INDEX(次果筐明细!$G$4:$G$603,$Z322-5200)))),"")))))</f>
        <v/>
      </c>
      <c r="P322" s="40" t="str">
        <f>IF($Z322="","",IF($Z322&lt;=2000,"",IF($Z322&lt;=4000,IF(N(INDEX(周转筐出入库明细!$I$4:$I$2004,$Z322-2000))=0,"",N(INDEX(周转筐出入库明细!$I$4:$I$2004,$Z322-2000))),IF($Z322&lt;=5200,"",IF($Z322&lt;=5800,IF(ISNUMBER(SEARCH("退",INDEX(次果筐明细!$F$4:$F$603,$Z322-5200)&amp;"")),IF(N(INDEX(次果筐明细!$G$4:$G$603,$Z322-5200))=0,"",N(INDEX(次果筐明细!$G$4:$G$603,$Z322-5200))),""),"")))))</f>
        <v/>
      </c>
      <c r="Q322" s="40" t="str">
        <f>IF($Z322="","",IF($Z322&lt;=2000,"",IF($Z322&lt;=4000,IF(N(INDEX(周转筐出入库明细!$H$4:$H$2004,$Z322-2000))=0,"",N(INDEX(周转筐出入库明细!$H$4:$H$2004,$Z322-2000))),IF($Z322&lt;=5200,IF(N(INDEX(客户自备加工筐明细!$F$4:$F$1203,$Z322-4000))=0,"",N(INDEX(客户自备加工筐明细!$F$4:$F$1203,$Z322-4000))),IF($Z322&lt;=5800,"","")))))</f>
        <v/>
      </c>
      <c r="R322" s="16" t="str">
        <f>IF($Z322="","",IF($Z322&lt;=2000,IF(INDEX(包装物料出入库明细!$O$4:$O$2003,$Z322-0)=0,"",INDEX(包装物料出入库明细!$O$4:$O$2003,$Z322-0)),IF($Z322&lt;=4000,IF(INDEX(周转筐出入库明细!$M$4:$M$2004,$Z322-2000)=0,"",INDEX(周转筐出入库明细!$M$4:$M$2004,$Z322-2000)),IF($Z322&lt;=5200,IF(INDEX(客户自备加工筐明细!$H$4:$H$1203,$Z322-4000)=0,"",INDEX(客户自备加工筐明细!$H$4:$H$1203,$Z322-4000)),IF($Z322&lt;=5800,IF(INDEX(次果筐明细!$H$4:$H$603,$Z322-5200)=0,"",INDEX(次果筐明细!$H$4:$H$603,$Z322-5200)),"")))))</f>
        <v/>
      </c>
      <c r="S322" s="22" t="str">
        <f t="shared" si="14"/>
        <v/>
      </c>
      <c r="Z322" s="10" t="str">
        <f>IFERROR(MATCH(ROW()-3,_自动清单!$CQ$4:$CQ$5803,0),"")</f>
        <v/>
      </c>
    </row>
    <row r="323" spans="1:26">
      <c r="A323" s="24" t="str">
        <f t="shared" si="12"/>
        <v/>
      </c>
      <c r="B323" s="38" t="str">
        <f>IF($Z323="","",IF($Z323&lt;=2000,IF(INDEX(包装物料出入库明细!$B$4:$B$2003,$Z323-0)=0,"",INDEX(包装物料出入库明细!$B$4:$B$2003,$Z323-0)),IF($Z323&lt;=4000,IF(INDEX(周转筐出入库明细!$B$4:$B$2004,$Z323-2000)=0,"",INDEX(周转筐出入库明细!$B$4:$B$2004,$Z323-2000)),IF($Z323&lt;=5200,IF(INDEX(客户自备加工筐明细!$B$4:$B$1203,$Z323-4000)=0,"",INDEX(客户自备加工筐明细!$B$4:$B$1203,$Z323-4000)),IF($Z323&lt;=5800,IF(INDEX(次果筐明细!$B$4:$B$603,$Z323-5200)=0,"",INDEX(次果筐明细!$B$4:$B$603,$Z323-5200)),"")))))</f>
        <v/>
      </c>
      <c r="C323" s="37" t="str">
        <f>IF($Z323="","",IF($Z323&lt;=2000,IF(INDEX(包装物料出入库明细!$D$4:$D$2003,$Z323-0)=0,"",INDEX(包装物料出入库明细!$D$4:$D$2003,$Z323-0)),IF($Z323&lt;=4000,IF(INDEX(周转筐出入库明细!$C$4:$C$2004,$Z323-2000)=0,"",INDEX(周转筐出入库明细!$C$4:$C$2004,$Z323-2000)),IF($Z323&lt;=5200,IF(INDEX(客户自备加工筐明细!$E$4:$E$1203,$Z323-4000)=0,"",INDEX(客户自备加工筐明细!$E$4:$E$1203,$Z323-4000)),IF($Z323&lt;=5800,IF(INDEX(次果筐明细!$C$4:$C$603,$Z323-5200)=0,"",INDEX(次果筐明细!$C$4:$C$603,$Z323-5200)),"")))))</f>
        <v/>
      </c>
      <c r="D323" s="37" t="str">
        <f>IF($Z323="","",IF($Z323&lt;=2000,"包装物料－"&amp;INDEX(包装物料出入库明细!$H$4:$H$2003,$Z323-0),IF($Z323&lt;=4000,"周转筐－"&amp;INDEX(周转筐出入库明细!$F$4:$F$2004,$Z323-2000),IF($Z323&lt;=5200,"客户自备筐－"&amp;INDEX(客户自备加工筐明细!$J$4:$J$1203,$Z323-4000),IF($Z323&lt;=5800,"次果筐/托盘－"&amp;INDEX(次果筐明细!$F$4:$F$603,$Z323-5200),"")))))</f>
        <v/>
      </c>
      <c r="E323" s="24" t="str">
        <f>IF($Z323="","",IF($Z323&lt;=2000,IF(INDEX(包装物料出入库明细!$C$4:$C$2003,$Z323-0)=0,"",INDEX(包装物料出入库明细!$C$4:$C$2003,$Z323-0)),IF($Z323&lt;=4000,IF(INDEX(周转筐出入库明细!$E$4:$E$2004,$Z323-2000)=0,"",INDEX(周转筐出入库明细!$E$4:$E$2004,$Z323-2000)),IF($Z323&lt;=5200,IF(INDEX(客户自备加工筐明细!$D$4:$D$1203,$Z323-4000)=0,"",INDEX(客户自备加工筐明细!$D$4:$D$1203,$Z323-4000)),IF($Z323&lt;=5800,IF(INDEX(次果筐明细!$E$4:$E$603,$Z323-5200)=0,"",INDEX(次果筐明细!$E$4:$E$603,$Z323-5200)),"")))))</f>
        <v/>
      </c>
      <c r="F323" s="24" t="str">
        <f>IF($Z323="","",IF($Z323&lt;=2000,IF(INDEX(包装物料出入库明细!$E$4:$E$2003,$Z323-0)=0,"",INDEX(包装物料出入库明细!$E$4:$E$2003,$Z323-0)),IF($Z323&lt;=4000,IF(INDEX(周转筐出入库明细!$D$4:$D$2004,$Z323-2000)=0,"",INDEX(周转筐出入库明细!$D$4:$D$2004,$Z323-2000)),IF($Z323&lt;=5200,IF(INDEX(客户自备加工筐明细!$C$4:$C$1203,$Z323-4000)=0,"",INDEX(客户自备加工筐明细!$C$4:$C$1203,$Z323-4000)),IF($Z323&lt;=5800,IF(INDEX(次果筐明细!$D$4:$D$603,$Z323-5200)=0,"",INDEX(次果筐明细!$D$4:$D$603,$Z323-5200)),"")))))</f>
        <v/>
      </c>
      <c r="G323" s="24" t="str">
        <f>IF($Z323="","",IF($Z323&lt;=2000,IF(INDEX(包装物料出入库明细!$F$4:$F$2003,$Z323-0)=0,"",INDEX(包装物料出入库明细!$F$4:$F$2003,$Z323-0)),IF($Z323&lt;=4000,"",IF($Z323&lt;=5200,"",IF($Z323&lt;=5800,"","")))))</f>
        <v/>
      </c>
      <c r="H323" s="39" t="str">
        <f>IF($Z323="","",IF($Z323&lt;=2000,IF(INDEX(包装物料出入库明细!$L$4:$L$2003,$Z323-0)=0,"",INDEX(包装物料出入库明细!$L$4:$L$2003,$Z323-0)),IF($Z323&lt;=4000,N(INDEX(周转筐出入库明细!$H$4:$H$2004,$Z323-2000))+N(INDEX(周转筐出入库明细!$I$4:$I$2004,$Z323-2000))+N(INDEX(周转筐出入库明细!$J$4:$J$2004,$Z323-2000))+N(INDEX(周转筐出入库明细!$K$4:$K$2004,$Z323-2000)),IF($Z323&lt;=5200,N(INDEX(客户自备加工筐明细!$F$4:$F$1203,$Z323-4000))+N(INDEX(客户自备加工筐明细!$G$4:$G$1203,$Z323-4000)),IF($Z323&lt;=5800,IF(INDEX(次果筐明细!$G$4:$G$603,$Z323-5200)=0,"",INDEX(次果筐明细!$G$4:$G$603,$Z323-5200)),"")))))</f>
        <v/>
      </c>
      <c r="I323" s="24" t="str">
        <f>IF($Z323="","",IF($Z323&lt;=2000,IF(INDEX(包装物料出入库明细!$G$4:$G$2003,$Z323-0)=0,"",INDEX(包装物料出入库明细!$G$4:$G$2003,$Z323-0)),IF($Z323&lt;=4000,"个",IF($Z323&lt;=5200,"个",IF($Z323&lt;=5800,"个","")))))</f>
        <v/>
      </c>
      <c r="J323" s="30" t="str">
        <f t="shared" si="13"/>
        <v/>
      </c>
      <c r="K323" s="30" t="str">
        <f>IF($Z323="","",IF($Z323&lt;=2000,IF(INDEX(包装物料出入库明细!$N$4:$N$2003,$Z323-0)=0,"",INDEX(包装物料出入库明细!$N$4:$N$2003,$Z323-0)),IF($Z323&lt;=4000,IF(INDEX(周转筐出入库明细!$P$4:$P$2004,$Z323-2000)=0,"",INDEX(周转筐出入库明细!$P$4:$P$2004,$Z323-2000)),IF($Z323&lt;=5200,"",IF($Z323&lt;=5800,N(INDEX(次果筐明细!$L$4:$L$603,$Z323-5200))+N(INDEX(次果筐明细!$J$4:$J$603,$Z323-5200)),"")))))</f>
        <v/>
      </c>
      <c r="L323" s="24" t="str">
        <f>IF($Z323="","",IF($Z323&lt;=2000,IF(INDEX(包装物料出入库明细!$P$4:$P$2003,$Z323-0)=0,"",INDEX(包装物料出入库明细!$P$4:$P$2003,$Z323-0)),IF($Z323&lt;=4000,IF(INDEX(周转筐出入库明细!$Q$4:$Q$2004,$Z323-2000)=0,"",INDEX(周转筐出入库明细!$Q$4:$Q$2004,$Z323-2000)),IF($Z323&lt;=5200,"",IF($Z323&lt;=5800,IF(INDEX(次果筐明细!$M$4:$M$603,$Z323-5200)=0,"",INDEX(次果筐明细!$M$4:$M$603,$Z323-5200)),"")))))</f>
        <v/>
      </c>
      <c r="M323" s="37" t="str">
        <f>IF($Z323="","",IF($Z323&lt;=2000,IF(INDEX(包装物料出入库明细!$R$4:$R$2003,$Z323-0)=0,"",INDEX(包装物料出入库明细!$R$4:$R$2003,$Z323-0)),IF($Z323&lt;=4000,IF(INDEX(周转筐出入库明细!$W$4:$W$2004,$Z323-2000)=0,"",INDEX(周转筐出入库明细!$W$4:$W$2004,$Z323-2000)),IF($Z323&lt;=5200,IF(INDEX(客户自备加工筐明细!$L$4:$L$1203,$Z323-4000)=0,"",INDEX(客户自备加工筐明细!$L$4:$L$1203,$Z323-4000)),IF($Z323&lt;=5800,IF(INDEX(次果筐明细!$P$4:$P$603,$Z323-5200)=0,"",INDEX(次果筐明细!$P$4:$P$603,$Z323-5200)),"")))))</f>
        <v/>
      </c>
      <c r="N323" s="16" t="str">
        <f>IF($Z323="","",IF($Z323&lt;=2000,"",IF($Z323&lt;=4000,IF(INDEX(周转筐出入库明细!$D$4:$D$2004,$Z323-2000)=0,"",INDEX(周转筐出入库明细!$D$4:$D$2004,$Z323-2000)),IF($Z323&lt;=5200,IF(INDEX(客户自备加工筐明细!$C$4:$C$1203,$Z323-4000)=0,"",INDEX(客户自备加工筐明细!$C$4:$C$1203,$Z323-4000)),IF($Z323&lt;=5800,IF(INDEX(次果筐明细!$D$4:$D$603,$Z323-5200)=0,"",INDEX(次果筐明细!$D$4:$D$603,$Z323-5200)),"")))))</f>
        <v/>
      </c>
      <c r="O323" s="40" t="str">
        <f>IF($Z323="","",IF($Z323&lt;=2000,"",IF($Z323&lt;=4000,IF(N(INDEX(周转筐出入库明细!$J$4:$J$2004,$Z323-2000))+N(INDEX(周转筐出入库明细!$K$4:$K$2004,$Z323-2000))=0,"",N(INDEX(周转筐出入库明细!$J$4:$J$2004,$Z323-2000))+N(INDEX(周转筐出入库明细!$K$4:$K$2004,$Z323-2000))),IF($Z323&lt;=5200,IF(N(INDEX(客户自备加工筐明细!$G$4:$G$1203,$Z323-4000))=0,"",N(INDEX(客户自备加工筐明细!$G$4:$G$1203,$Z323-4000))),IF($Z323&lt;=5800,IF(ISNUMBER(SEARCH("退",INDEX(次果筐明细!$F$4:$F$603,$Z323-5200)&amp;"")),"",IF(N(INDEX(次果筐明细!$G$4:$G$603,$Z323-5200))=0,"",N(INDEX(次果筐明细!$G$4:$G$603,$Z323-5200)))),"")))))</f>
        <v/>
      </c>
      <c r="P323" s="40" t="str">
        <f>IF($Z323="","",IF($Z323&lt;=2000,"",IF($Z323&lt;=4000,IF(N(INDEX(周转筐出入库明细!$I$4:$I$2004,$Z323-2000))=0,"",N(INDEX(周转筐出入库明细!$I$4:$I$2004,$Z323-2000))),IF($Z323&lt;=5200,"",IF($Z323&lt;=5800,IF(ISNUMBER(SEARCH("退",INDEX(次果筐明细!$F$4:$F$603,$Z323-5200)&amp;"")),IF(N(INDEX(次果筐明细!$G$4:$G$603,$Z323-5200))=0,"",N(INDEX(次果筐明细!$G$4:$G$603,$Z323-5200))),""),"")))))</f>
        <v/>
      </c>
      <c r="Q323" s="40" t="str">
        <f>IF($Z323="","",IF($Z323&lt;=2000,"",IF($Z323&lt;=4000,IF(N(INDEX(周转筐出入库明细!$H$4:$H$2004,$Z323-2000))=0,"",N(INDEX(周转筐出入库明细!$H$4:$H$2004,$Z323-2000))),IF($Z323&lt;=5200,IF(N(INDEX(客户自备加工筐明细!$F$4:$F$1203,$Z323-4000))=0,"",N(INDEX(客户自备加工筐明细!$F$4:$F$1203,$Z323-4000))),IF($Z323&lt;=5800,"","")))))</f>
        <v/>
      </c>
      <c r="R323" s="16" t="str">
        <f>IF($Z323="","",IF($Z323&lt;=2000,IF(INDEX(包装物料出入库明细!$O$4:$O$2003,$Z323-0)=0,"",INDEX(包装物料出入库明细!$O$4:$O$2003,$Z323-0)),IF($Z323&lt;=4000,IF(INDEX(周转筐出入库明细!$M$4:$M$2004,$Z323-2000)=0,"",INDEX(周转筐出入库明细!$M$4:$M$2004,$Z323-2000)),IF($Z323&lt;=5200,IF(INDEX(客户自备加工筐明细!$H$4:$H$1203,$Z323-4000)=0,"",INDEX(客户自备加工筐明细!$H$4:$H$1203,$Z323-4000)),IF($Z323&lt;=5800,IF(INDEX(次果筐明细!$H$4:$H$603,$Z323-5200)=0,"",INDEX(次果筐明细!$H$4:$H$603,$Z323-5200)),"")))))</f>
        <v/>
      </c>
      <c r="S323" s="22" t="str">
        <f t="shared" si="14"/>
        <v/>
      </c>
      <c r="Z323" s="10" t="str">
        <f>IFERROR(MATCH(ROW()-3,_自动清单!$CQ$4:$CQ$5803,0),"")</f>
        <v/>
      </c>
    </row>
    <row r="324" spans="1:26">
      <c r="A324" s="24" t="str">
        <f t="shared" ref="A324:A387" si="15">IF($B324="","",ROW()-3)</f>
        <v/>
      </c>
      <c r="B324" s="38" t="str">
        <f>IF($Z324="","",IF($Z324&lt;=2000,IF(INDEX(包装物料出入库明细!$B$4:$B$2003,$Z324-0)=0,"",INDEX(包装物料出入库明细!$B$4:$B$2003,$Z324-0)),IF($Z324&lt;=4000,IF(INDEX(周转筐出入库明细!$B$4:$B$2004,$Z324-2000)=0,"",INDEX(周转筐出入库明细!$B$4:$B$2004,$Z324-2000)),IF($Z324&lt;=5200,IF(INDEX(客户自备加工筐明细!$B$4:$B$1203,$Z324-4000)=0,"",INDEX(客户自备加工筐明细!$B$4:$B$1203,$Z324-4000)),IF($Z324&lt;=5800,IF(INDEX(次果筐明细!$B$4:$B$603,$Z324-5200)=0,"",INDEX(次果筐明细!$B$4:$B$603,$Z324-5200)),"")))))</f>
        <v/>
      </c>
      <c r="C324" s="37" t="str">
        <f>IF($Z324="","",IF($Z324&lt;=2000,IF(INDEX(包装物料出入库明细!$D$4:$D$2003,$Z324-0)=0,"",INDEX(包装物料出入库明细!$D$4:$D$2003,$Z324-0)),IF($Z324&lt;=4000,IF(INDEX(周转筐出入库明细!$C$4:$C$2004,$Z324-2000)=0,"",INDEX(周转筐出入库明细!$C$4:$C$2004,$Z324-2000)),IF($Z324&lt;=5200,IF(INDEX(客户自备加工筐明细!$E$4:$E$1203,$Z324-4000)=0,"",INDEX(客户自备加工筐明细!$E$4:$E$1203,$Z324-4000)),IF($Z324&lt;=5800,IF(INDEX(次果筐明细!$C$4:$C$603,$Z324-5200)=0,"",INDEX(次果筐明细!$C$4:$C$603,$Z324-5200)),"")))))</f>
        <v/>
      </c>
      <c r="D324" s="37" t="str">
        <f>IF($Z324="","",IF($Z324&lt;=2000,"包装物料－"&amp;INDEX(包装物料出入库明细!$H$4:$H$2003,$Z324-0),IF($Z324&lt;=4000,"周转筐－"&amp;INDEX(周转筐出入库明细!$F$4:$F$2004,$Z324-2000),IF($Z324&lt;=5200,"客户自备筐－"&amp;INDEX(客户自备加工筐明细!$J$4:$J$1203,$Z324-4000),IF($Z324&lt;=5800,"次果筐/托盘－"&amp;INDEX(次果筐明细!$F$4:$F$603,$Z324-5200),"")))))</f>
        <v/>
      </c>
      <c r="E324" s="24" t="str">
        <f>IF($Z324="","",IF($Z324&lt;=2000,IF(INDEX(包装物料出入库明细!$C$4:$C$2003,$Z324-0)=0,"",INDEX(包装物料出入库明细!$C$4:$C$2003,$Z324-0)),IF($Z324&lt;=4000,IF(INDEX(周转筐出入库明细!$E$4:$E$2004,$Z324-2000)=0,"",INDEX(周转筐出入库明细!$E$4:$E$2004,$Z324-2000)),IF($Z324&lt;=5200,IF(INDEX(客户自备加工筐明细!$D$4:$D$1203,$Z324-4000)=0,"",INDEX(客户自备加工筐明细!$D$4:$D$1203,$Z324-4000)),IF($Z324&lt;=5800,IF(INDEX(次果筐明细!$E$4:$E$603,$Z324-5200)=0,"",INDEX(次果筐明细!$E$4:$E$603,$Z324-5200)),"")))))</f>
        <v/>
      </c>
      <c r="F324" s="24" t="str">
        <f>IF($Z324="","",IF($Z324&lt;=2000,IF(INDEX(包装物料出入库明细!$E$4:$E$2003,$Z324-0)=0,"",INDEX(包装物料出入库明细!$E$4:$E$2003,$Z324-0)),IF($Z324&lt;=4000,IF(INDEX(周转筐出入库明细!$D$4:$D$2004,$Z324-2000)=0,"",INDEX(周转筐出入库明细!$D$4:$D$2004,$Z324-2000)),IF($Z324&lt;=5200,IF(INDEX(客户自备加工筐明细!$C$4:$C$1203,$Z324-4000)=0,"",INDEX(客户自备加工筐明细!$C$4:$C$1203,$Z324-4000)),IF($Z324&lt;=5800,IF(INDEX(次果筐明细!$D$4:$D$603,$Z324-5200)=0,"",INDEX(次果筐明细!$D$4:$D$603,$Z324-5200)),"")))))</f>
        <v/>
      </c>
      <c r="G324" s="24" t="str">
        <f>IF($Z324="","",IF($Z324&lt;=2000,IF(INDEX(包装物料出入库明细!$F$4:$F$2003,$Z324-0)=0,"",INDEX(包装物料出入库明细!$F$4:$F$2003,$Z324-0)),IF($Z324&lt;=4000,"",IF($Z324&lt;=5200,"",IF($Z324&lt;=5800,"","")))))</f>
        <v/>
      </c>
      <c r="H324" s="39" t="str">
        <f>IF($Z324="","",IF($Z324&lt;=2000,IF(INDEX(包装物料出入库明细!$L$4:$L$2003,$Z324-0)=0,"",INDEX(包装物料出入库明细!$L$4:$L$2003,$Z324-0)),IF($Z324&lt;=4000,N(INDEX(周转筐出入库明细!$H$4:$H$2004,$Z324-2000))+N(INDEX(周转筐出入库明细!$I$4:$I$2004,$Z324-2000))+N(INDEX(周转筐出入库明细!$J$4:$J$2004,$Z324-2000))+N(INDEX(周转筐出入库明细!$K$4:$K$2004,$Z324-2000)),IF($Z324&lt;=5200,N(INDEX(客户自备加工筐明细!$F$4:$F$1203,$Z324-4000))+N(INDEX(客户自备加工筐明细!$G$4:$G$1203,$Z324-4000)),IF($Z324&lt;=5800,IF(INDEX(次果筐明细!$G$4:$G$603,$Z324-5200)=0,"",INDEX(次果筐明细!$G$4:$G$603,$Z324-5200)),"")))))</f>
        <v/>
      </c>
      <c r="I324" s="24" t="str">
        <f>IF($Z324="","",IF($Z324&lt;=2000,IF(INDEX(包装物料出入库明细!$G$4:$G$2003,$Z324-0)=0,"",INDEX(包装物料出入库明细!$G$4:$G$2003,$Z324-0)),IF($Z324&lt;=4000,"个",IF($Z324&lt;=5200,"个",IF($Z324&lt;=5800,"个","")))))</f>
        <v/>
      </c>
      <c r="J324" s="30" t="str">
        <f t="shared" ref="J324:J387" si="16">IF($Z324="","",IF($Z324&lt;=2000,"",IF($Z324&lt;=4000,"",IF($Z324&lt;=5200,"",IF($Z324&lt;=5800,"","")))))</f>
        <v/>
      </c>
      <c r="K324" s="30" t="str">
        <f>IF($Z324="","",IF($Z324&lt;=2000,IF(INDEX(包装物料出入库明细!$N$4:$N$2003,$Z324-0)=0,"",INDEX(包装物料出入库明细!$N$4:$N$2003,$Z324-0)),IF($Z324&lt;=4000,IF(INDEX(周转筐出入库明细!$P$4:$P$2004,$Z324-2000)=0,"",INDEX(周转筐出入库明细!$P$4:$P$2004,$Z324-2000)),IF($Z324&lt;=5200,"",IF($Z324&lt;=5800,N(INDEX(次果筐明细!$L$4:$L$603,$Z324-5200))+N(INDEX(次果筐明细!$J$4:$J$603,$Z324-5200)),"")))))</f>
        <v/>
      </c>
      <c r="L324" s="24" t="str">
        <f>IF($Z324="","",IF($Z324&lt;=2000,IF(INDEX(包装物料出入库明细!$P$4:$P$2003,$Z324-0)=0,"",INDEX(包装物料出入库明细!$P$4:$P$2003,$Z324-0)),IF($Z324&lt;=4000,IF(INDEX(周转筐出入库明细!$Q$4:$Q$2004,$Z324-2000)=0,"",INDEX(周转筐出入库明细!$Q$4:$Q$2004,$Z324-2000)),IF($Z324&lt;=5200,"",IF($Z324&lt;=5800,IF(INDEX(次果筐明细!$M$4:$M$603,$Z324-5200)=0,"",INDEX(次果筐明细!$M$4:$M$603,$Z324-5200)),"")))))</f>
        <v/>
      </c>
      <c r="M324" s="37" t="str">
        <f>IF($Z324="","",IF($Z324&lt;=2000,IF(INDEX(包装物料出入库明细!$R$4:$R$2003,$Z324-0)=0,"",INDEX(包装物料出入库明细!$R$4:$R$2003,$Z324-0)),IF($Z324&lt;=4000,IF(INDEX(周转筐出入库明细!$W$4:$W$2004,$Z324-2000)=0,"",INDEX(周转筐出入库明细!$W$4:$W$2004,$Z324-2000)),IF($Z324&lt;=5200,IF(INDEX(客户自备加工筐明细!$L$4:$L$1203,$Z324-4000)=0,"",INDEX(客户自备加工筐明细!$L$4:$L$1203,$Z324-4000)),IF($Z324&lt;=5800,IF(INDEX(次果筐明细!$P$4:$P$603,$Z324-5200)=0,"",INDEX(次果筐明细!$P$4:$P$603,$Z324-5200)),"")))))</f>
        <v/>
      </c>
      <c r="N324" s="16" t="str">
        <f>IF($Z324="","",IF($Z324&lt;=2000,"",IF($Z324&lt;=4000,IF(INDEX(周转筐出入库明细!$D$4:$D$2004,$Z324-2000)=0,"",INDEX(周转筐出入库明细!$D$4:$D$2004,$Z324-2000)),IF($Z324&lt;=5200,IF(INDEX(客户自备加工筐明细!$C$4:$C$1203,$Z324-4000)=0,"",INDEX(客户自备加工筐明细!$C$4:$C$1203,$Z324-4000)),IF($Z324&lt;=5800,IF(INDEX(次果筐明细!$D$4:$D$603,$Z324-5200)=0,"",INDEX(次果筐明细!$D$4:$D$603,$Z324-5200)),"")))))</f>
        <v/>
      </c>
      <c r="O324" s="40" t="str">
        <f>IF($Z324="","",IF($Z324&lt;=2000,"",IF($Z324&lt;=4000,IF(N(INDEX(周转筐出入库明细!$J$4:$J$2004,$Z324-2000))+N(INDEX(周转筐出入库明细!$K$4:$K$2004,$Z324-2000))=0,"",N(INDEX(周转筐出入库明细!$J$4:$J$2004,$Z324-2000))+N(INDEX(周转筐出入库明细!$K$4:$K$2004,$Z324-2000))),IF($Z324&lt;=5200,IF(N(INDEX(客户自备加工筐明细!$G$4:$G$1203,$Z324-4000))=0,"",N(INDEX(客户自备加工筐明细!$G$4:$G$1203,$Z324-4000))),IF($Z324&lt;=5800,IF(ISNUMBER(SEARCH("退",INDEX(次果筐明细!$F$4:$F$603,$Z324-5200)&amp;"")),"",IF(N(INDEX(次果筐明细!$G$4:$G$603,$Z324-5200))=0,"",N(INDEX(次果筐明细!$G$4:$G$603,$Z324-5200)))),"")))))</f>
        <v/>
      </c>
      <c r="P324" s="40" t="str">
        <f>IF($Z324="","",IF($Z324&lt;=2000,"",IF($Z324&lt;=4000,IF(N(INDEX(周转筐出入库明细!$I$4:$I$2004,$Z324-2000))=0,"",N(INDEX(周转筐出入库明细!$I$4:$I$2004,$Z324-2000))),IF($Z324&lt;=5200,"",IF($Z324&lt;=5800,IF(ISNUMBER(SEARCH("退",INDEX(次果筐明细!$F$4:$F$603,$Z324-5200)&amp;"")),IF(N(INDEX(次果筐明细!$G$4:$G$603,$Z324-5200))=0,"",N(INDEX(次果筐明细!$G$4:$G$603,$Z324-5200))),""),"")))))</f>
        <v/>
      </c>
      <c r="Q324" s="40" t="str">
        <f>IF($Z324="","",IF($Z324&lt;=2000,"",IF($Z324&lt;=4000,IF(N(INDEX(周转筐出入库明细!$H$4:$H$2004,$Z324-2000))=0,"",N(INDEX(周转筐出入库明细!$H$4:$H$2004,$Z324-2000))),IF($Z324&lt;=5200,IF(N(INDEX(客户自备加工筐明细!$F$4:$F$1203,$Z324-4000))=0,"",N(INDEX(客户自备加工筐明细!$F$4:$F$1203,$Z324-4000))),IF($Z324&lt;=5800,"","")))))</f>
        <v/>
      </c>
      <c r="R324" s="16" t="str">
        <f>IF($Z324="","",IF($Z324&lt;=2000,IF(INDEX(包装物料出入库明细!$O$4:$O$2003,$Z324-0)=0,"",INDEX(包装物料出入库明细!$O$4:$O$2003,$Z324-0)),IF($Z324&lt;=4000,IF(INDEX(周转筐出入库明细!$M$4:$M$2004,$Z324-2000)=0,"",INDEX(周转筐出入库明细!$M$4:$M$2004,$Z324-2000)),IF($Z324&lt;=5200,IF(INDEX(客户自备加工筐明细!$H$4:$H$1203,$Z324-4000)=0,"",INDEX(客户自备加工筐明细!$H$4:$H$1203,$Z324-4000)),IF($Z324&lt;=5800,IF(INDEX(次果筐明细!$H$4:$H$603,$Z324-5200)=0,"",INDEX(次果筐明细!$H$4:$H$603,$Z324-5200)),"")))))</f>
        <v/>
      </c>
      <c r="S324" s="22" t="str">
        <f t="shared" ref="S324:S387" si="17">IF($N324="","",IF(OR(LEFT($N324,2)="自备",AND($Z324&gt;4000,$Z324&lt;=5200)),"自备筐","公司筐"))</f>
        <v/>
      </c>
      <c r="Z324" s="10" t="str">
        <f>IFERROR(MATCH(ROW()-3,_自动清单!$CQ$4:$CQ$5803,0),"")</f>
        <v/>
      </c>
    </row>
    <row r="325" spans="1:26">
      <c r="A325" s="24" t="str">
        <f t="shared" si="15"/>
        <v/>
      </c>
      <c r="B325" s="38" t="str">
        <f>IF($Z325="","",IF($Z325&lt;=2000,IF(INDEX(包装物料出入库明细!$B$4:$B$2003,$Z325-0)=0,"",INDEX(包装物料出入库明细!$B$4:$B$2003,$Z325-0)),IF($Z325&lt;=4000,IF(INDEX(周转筐出入库明细!$B$4:$B$2004,$Z325-2000)=0,"",INDEX(周转筐出入库明细!$B$4:$B$2004,$Z325-2000)),IF($Z325&lt;=5200,IF(INDEX(客户自备加工筐明细!$B$4:$B$1203,$Z325-4000)=0,"",INDEX(客户自备加工筐明细!$B$4:$B$1203,$Z325-4000)),IF($Z325&lt;=5800,IF(INDEX(次果筐明细!$B$4:$B$603,$Z325-5200)=0,"",INDEX(次果筐明细!$B$4:$B$603,$Z325-5200)),"")))))</f>
        <v/>
      </c>
      <c r="C325" s="37" t="str">
        <f>IF($Z325="","",IF($Z325&lt;=2000,IF(INDEX(包装物料出入库明细!$D$4:$D$2003,$Z325-0)=0,"",INDEX(包装物料出入库明细!$D$4:$D$2003,$Z325-0)),IF($Z325&lt;=4000,IF(INDEX(周转筐出入库明细!$C$4:$C$2004,$Z325-2000)=0,"",INDEX(周转筐出入库明细!$C$4:$C$2004,$Z325-2000)),IF($Z325&lt;=5200,IF(INDEX(客户自备加工筐明细!$E$4:$E$1203,$Z325-4000)=0,"",INDEX(客户自备加工筐明细!$E$4:$E$1203,$Z325-4000)),IF($Z325&lt;=5800,IF(INDEX(次果筐明细!$C$4:$C$603,$Z325-5200)=0,"",INDEX(次果筐明细!$C$4:$C$603,$Z325-5200)),"")))))</f>
        <v/>
      </c>
      <c r="D325" s="37" t="str">
        <f>IF($Z325="","",IF($Z325&lt;=2000,"包装物料－"&amp;INDEX(包装物料出入库明细!$H$4:$H$2003,$Z325-0),IF($Z325&lt;=4000,"周转筐－"&amp;INDEX(周转筐出入库明细!$F$4:$F$2004,$Z325-2000),IF($Z325&lt;=5200,"客户自备筐－"&amp;INDEX(客户自备加工筐明细!$J$4:$J$1203,$Z325-4000),IF($Z325&lt;=5800,"次果筐/托盘－"&amp;INDEX(次果筐明细!$F$4:$F$603,$Z325-5200),"")))))</f>
        <v/>
      </c>
      <c r="E325" s="24" t="str">
        <f>IF($Z325="","",IF($Z325&lt;=2000,IF(INDEX(包装物料出入库明细!$C$4:$C$2003,$Z325-0)=0,"",INDEX(包装物料出入库明细!$C$4:$C$2003,$Z325-0)),IF($Z325&lt;=4000,IF(INDEX(周转筐出入库明细!$E$4:$E$2004,$Z325-2000)=0,"",INDEX(周转筐出入库明细!$E$4:$E$2004,$Z325-2000)),IF($Z325&lt;=5200,IF(INDEX(客户自备加工筐明细!$D$4:$D$1203,$Z325-4000)=0,"",INDEX(客户自备加工筐明细!$D$4:$D$1203,$Z325-4000)),IF($Z325&lt;=5800,IF(INDEX(次果筐明细!$E$4:$E$603,$Z325-5200)=0,"",INDEX(次果筐明细!$E$4:$E$603,$Z325-5200)),"")))))</f>
        <v/>
      </c>
      <c r="F325" s="24" t="str">
        <f>IF($Z325="","",IF($Z325&lt;=2000,IF(INDEX(包装物料出入库明细!$E$4:$E$2003,$Z325-0)=0,"",INDEX(包装物料出入库明细!$E$4:$E$2003,$Z325-0)),IF($Z325&lt;=4000,IF(INDEX(周转筐出入库明细!$D$4:$D$2004,$Z325-2000)=0,"",INDEX(周转筐出入库明细!$D$4:$D$2004,$Z325-2000)),IF($Z325&lt;=5200,IF(INDEX(客户自备加工筐明细!$C$4:$C$1203,$Z325-4000)=0,"",INDEX(客户自备加工筐明细!$C$4:$C$1203,$Z325-4000)),IF($Z325&lt;=5800,IF(INDEX(次果筐明细!$D$4:$D$603,$Z325-5200)=0,"",INDEX(次果筐明细!$D$4:$D$603,$Z325-5200)),"")))))</f>
        <v/>
      </c>
      <c r="G325" s="24" t="str">
        <f>IF($Z325="","",IF($Z325&lt;=2000,IF(INDEX(包装物料出入库明细!$F$4:$F$2003,$Z325-0)=0,"",INDEX(包装物料出入库明细!$F$4:$F$2003,$Z325-0)),IF($Z325&lt;=4000,"",IF($Z325&lt;=5200,"",IF($Z325&lt;=5800,"","")))))</f>
        <v/>
      </c>
      <c r="H325" s="39" t="str">
        <f>IF($Z325="","",IF($Z325&lt;=2000,IF(INDEX(包装物料出入库明细!$L$4:$L$2003,$Z325-0)=0,"",INDEX(包装物料出入库明细!$L$4:$L$2003,$Z325-0)),IF($Z325&lt;=4000,N(INDEX(周转筐出入库明细!$H$4:$H$2004,$Z325-2000))+N(INDEX(周转筐出入库明细!$I$4:$I$2004,$Z325-2000))+N(INDEX(周转筐出入库明细!$J$4:$J$2004,$Z325-2000))+N(INDEX(周转筐出入库明细!$K$4:$K$2004,$Z325-2000)),IF($Z325&lt;=5200,N(INDEX(客户自备加工筐明细!$F$4:$F$1203,$Z325-4000))+N(INDEX(客户自备加工筐明细!$G$4:$G$1203,$Z325-4000)),IF($Z325&lt;=5800,IF(INDEX(次果筐明细!$G$4:$G$603,$Z325-5200)=0,"",INDEX(次果筐明细!$G$4:$G$603,$Z325-5200)),"")))))</f>
        <v/>
      </c>
      <c r="I325" s="24" t="str">
        <f>IF($Z325="","",IF($Z325&lt;=2000,IF(INDEX(包装物料出入库明细!$G$4:$G$2003,$Z325-0)=0,"",INDEX(包装物料出入库明细!$G$4:$G$2003,$Z325-0)),IF($Z325&lt;=4000,"个",IF($Z325&lt;=5200,"个",IF($Z325&lt;=5800,"个","")))))</f>
        <v/>
      </c>
      <c r="J325" s="30" t="str">
        <f t="shared" si="16"/>
        <v/>
      </c>
      <c r="K325" s="30" t="str">
        <f>IF($Z325="","",IF($Z325&lt;=2000,IF(INDEX(包装物料出入库明细!$N$4:$N$2003,$Z325-0)=0,"",INDEX(包装物料出入库明细!$N$4:$N$2003,$Z325-0)),IF($Z325&lt;=4000,IF(INDEX(周转筐出入库明细!$P$4:$P$2004,$Z325-2000)=0,"",INDEX(周转筐出入库明细!$P$4:$P$2004,$Z325-2000)),IF($Z325&lt;=5200,"",IF($Z325&lt;=5800,N(INDEX(次果筐明细!$L$4:$L$603,$Z325-5200))+N(INDEX(次果筐明细!$J$4:$J$603,$Z325-5200)),"")))))</f>
        <v/>
      </c>
      <c r="L325" s="24" t="str">
        <f>IF($Z325="","",IF($Z325&lt;=2000,IF(INDEX(包装物料出入库明细!$P$4:$P$2003,$Z325-0)=0,"",INDEX(包装物料出入库明细!$P$4:$P$2003,$Z325-0)),IF($Z325&lt;=4000,IF(INDEX(周转筐出入库明细!$Q$4:$Q$2004,$Z325-2000)=0,"",INDEX(周转筐出入库明细!$Q$4:$Q$2004,$Z325-2000)),IF($Z325&lt;=5200,"",IF($Z325&lt;=5800,IF(INDEX(次果筐明细!$M$4:$M$603,$Z325-5200)=0,"",INDEX(次果筐明细!$M$4:$M$603,$Z325-5200)),"")))))</f>
        <v/>
      </c>
      <c r="M325" s="37" t="str">
        <f>IF($Z325="","",IF($Z325&lt;=2000,IF(INDEX(包装物料出入库明细!$R$4:$R$2003,$Z325-0)=0,"",INDEX(包装物料出入库明细!$R$4:$R$2003,$Z325-0)),IF($Z325&lt;=4000,IF(INDEX(周转筐出入库明细!$W$4:$W$2004,$Z325-2000)=0,"",INDEX(周转筐出入库明细!$W$4:$W$2004,$Z325-2000)),IF($Z325&lt;=5200,IF(INDEX(客户自备加工筐明细!$L$4:$L$1203,$Z325-4000)=0,"",INDEX(客户自备加工筐明细!$L$4:$L$1203,$Z325-4000)),IF($Z325&lt;=5800,IF(INDEX(次果筐明细!$P$4:$P$603,$Z325-5200)=0,"",INDEX(次果筐明细!$P$4:$P$603,$Z325-5200)),"")))))</f>
        <v/>
      </c>
      <c r="N325" s="16" t="str">
        <f>IF($Z325="","",IF($Z325&lt;=2000,"",IF($Z325&lt;=4000,IF(INDEX(周转筐出入库明细!$D$4:$D$2004,$Z325-2000)=0,"",INDEX(周转筐出入库明细!$D$4:$D$2004,$Z325-2000)),IF($Z325&lt;=5200,IF(INDEX(客户自备加工筐明细!$C$4:$C$1203,$Z325-4000)=0,"",INDEX(客户自备加工筐明细!$C$4:$C$1203,$Z325-4000)),IF($Z325&lt;=5800,IF(INDEX(次果筐明细!$D$4:$D$603,$Z325-5200)=0,"",INDEX(次果筐明细!$D$4:$D$603,$Z325-5200)),"")))))</f>
        <v/>
      </c>
      <c r="O325" s="40" t="str">
        <f>IF($Z325="","",IF($Z325&lt;=2000,"",IF($Z325&lt;=4000,IF(N(INDEX(周转筐出入库明细!$J$4:$J$2004,$Z325-2000))+N(INDEX(周转筐出入库明细!$K$4:$K$2004,$Z325-2000))=0,"",N(INDEX(周转筐出入库明细!$J$4:$J$2004,$Z325-2000))+N(INDEX(周转筐出入库明细!$K$4:$K$2004,$Z325-2000))),IF($Z325&lt;=5200,IF(N(INDEX(客户自备加工筐明细!$G$4:$G$1203,$Z325-4000))=0,"",N(INDEX(客户自备加工筐明细!$G$4:$G$1203,$Z325-4000))),IF($Z325&lt;=5800,IF(ISNUMBER(SEARCH("退",INDEX(次果筐明细!$F$4:$F$603,$Z325-5200)&amp;"")),"",IF(N(INDEX(次果筐明细!$G$4:$G$603,$Z325-5200))=0,"",N(INDEX(次果筐明细!$G$4:$G$603,$Z325-5200)))),"")))))</f>
        <v/>
      </c>
      <c r="P325" s="40" t="str">
        <f>IF($Z325="","",IF($Z325&lt;=2000,"",IF($Z325&lt;=4000,IF(N(INDEX(周转筐出入库明细!$I$4:$I$2004,$Z325-2000))=0,"",N(INDEX(周转筐出入库明细!$I$4:$I$2004,$Z325-2000))),IF($Z325&lt;=5200,"",IF($Z325&lt;=5800,IF(ISNUMBER(SEARCH("退",INDEX(次果筐明细!$F$4:$F$603,$Z325-5200)&amp;"")),IF(N(INDEX(次果筐明细!$G$4:$G$603,$Z325-5200))=0,"",N(INDEX(次果筐明细!$G$4:$G$603,$Z325-5200))),""),"")))))</f>
        <v/>
      </c>
      <c r="Q325" s="40" t="str">
        <f>IF($Z325="","",IF($Z325&lt;=2000,"",IF($Z325&lt;=4000,IF(N(INDEX(周转筐出入库明细!$H$4:$H$2004,$Z325-2000))=0,"",N(INDEX(周转筐出入库明细!$H$4:$H$2004,$Z325-2000))),IF($Z325&lt;=5200,IF(N(INDEX(客户自备加工筐明细!$F$4:$F$1203,$Z325-4000))=0,"",N(INDEX(客户自备加工筐明细!$F$4:$F$1203,$Z325-4000))),IF($Z325&lt;=5800,"","")))))</f>
        <v/>
      </c>
      <c r="R325" s="16" t="str">
        <f>IF($Z325="","",IF($Z325&lt;=2000,IF(INDEX(包装物料出入库明细!$O$4:$O$2003,$Z325-0)=0,"",INDEX(包装物料出入库明细!$O$4:$O$2003,$Z325-0)),IF($Z325&lt;=4000,IF(INDEX(周转筐出入库明细!$M$4:$M$2004,$Z325-2000)=0,"",INDEX(周转筐出入库明细!$M$4:$M$2004,$Z325-2000)),IF($Z325&lt;=5200,IF(INDEX(客户自备加工筐明细!$H$4:$H$1203,$Z325-4000)=0,"",INDEX(客户自备加工筐明细!$H$4:$H$1203,$Z325-4000)),IF($Z325&lt;=5800,IF(INDEX(次果筐明细!$H$4:$H$603,$Z325-5200)=0,"",INDEX(次果筐明细!$H$4:$H$603,$Z325-5200)),"")))))</f>
        <v/>
      </c>
      <c r="S325" s="22" t="str">
        <f t="shared" si="17"/>
        <v/>
      </c>
      <c r="Z325" s="10" t="str">
        <f>IFERROR(MATCH(ROW()-3,_自动清单!$CQ$4:$CQ$5803,0),"")</f>
        <v/>
      </c>
    </row>
    <row r="326" spans="1:26">
      <c r="A326" s="24" t="str">
        <f t="shared" si="15"/>
        <v/>
      </c>
      <c r="B326" s="38" t="str">
        <f>IF($Z326="","",IF($Z326&lt;=2000,IF(INDEX(包装物料出入库明细!$B$4:$B$2003,$Z326-0)=0,"",INDEX(包装物料出入库明细!$B$4:$B$2003,$Z326-0)),IF($Z326&lt;=4000,IF(INDEX(周转筐出入库明细!$B$4:$B$2004,$Z326-2000)=0,"",INDEX(周转筐出入库明细!$B$4:$B$2004,$Z326-2000)),IF($Z326&lt;=5200,IF(INDEX(客户自备加工筐明细!$B$4:$B$1203,$Z326-4000)=0,"",INDEX(客户自备加工筐明细!$B$4:$B$1203,$Z326-4000)),IF($Z326&lt;=5800,IF(INDEX(次果筐明细!$B$4:$B$603,$Z326-5200)=0,"",INDEX(次果筐明细!$B$4:$B$603,$Z326-5200)),"")))))</f>
        <v/>
      </c>
      <c r="C326" s="37" t="str">
        <f>IF($Z326="","",IF($Z326&lt;=2000,IF(INDEX(包装物料出入库明细!$D$4:$D$2003,$Z326-0)=0,"",INDEX(包装物料出入库明细!$D$4:$D$2003,$Z326-0)),IF($Z326&lt;=4000,IF(INDEX(周转筐出入库明细!$C$4:$C$2004,$Z326-2000)=0,"",INDEX(周转筐出入库明细!$C$4:$C$2004,$Z326-2000)),IF($Z326&lt;=5200,IF(INDEX(客户自备加工筐明细!$E$4:$E$1203,$Z326-4000)=0,"",INDEX(客户自备加工筐明细!$E$4:$E$1203,$Z326-4000)),IF($Z326&lt;=5800,IF(INDEX(次果筐明细!$C$4:$C$603,$Z326-5200)=0,"",INDEX(次果筐明细!$C$4:$C$603,$Z326-5200)),"")))))</f>
        <v/>
      </c>
      <c r="D326" s="37" t="str">
        <f>IF($Z326="","",IF($Z326&lt;=2000,"包装物料－"&amp;INDEX(包装物料出入库明细!$H$4:$H$2003,$Z326-0),IF($Z326&lt;=4000,"周转筐－"&amp;INDEX(周转筐出入库明细!$F$4:$F$2004,$Z326-2000),IF($Z326&lt;=5200,"客户自备筐－"&amp;INDEX(客户自备加工筐明细!$J$4:$J$1203,$Z326-4000),IF($Z326&lt;=5800,"次果筐/托盘－"&amp;INDEX(次果筐明细!$F$4:$F$603,$Z326-5200),"")))))</f>
        <v/>
      </c>
      <c r="E326" s="24" t="str">
        <f>IF($Z326="","",IF($Z326&lt;=2000,IF(INDEX(包装物料出入库明细!$C$4:$C$2003,$Z326-0)=0,"",INDEX(包装物料出入库明细!$C$4:$C$2003,$Z326-0)),IF($Z326&lt;=4000,IF(INDEX(周转筐出入库明细!$E$4:$E$2004,$Z326-2000)=0,"",INDEX(周转筐出入库明细!$E$4:$E$2004,$Z326-2000)),IF($Z326&lt;=5200,IF(INDEX(客户自备加工筐明细!$D$4:$D$1203,$Z326-4000)=0,"",INDEX(客户自备加工筐明细!$D$4:$D$1203,$Z326-4000)),IF($Z326&lt;=5800,IF(INDEX(次果筐明细!$E$4:$E$603,$Z326-5200)=0,"",INDEX(次果筐明细!$E$4:$E$603,$Z326-5200)),"")))))</f>
        <v/>
      </c>
      <c r="F326" s="24" t="str">
        <f>IF($Z326="","",IF($Z326&lt;=2000,IF(INDEX(包装物料出入库明细!$E$4:$E$2003,$Z326-0)=0,"",INDEX(包装物料出入库明细!$E$4:$E$2003,$Z326-0)),IF($Z326&lt;=4000,IF(INDEX(周转筐出入库明细!$D$4:$D$2004,$Z326-2000)=0,"",INDEX(周转筐出入库明细!$D$4:$D$2004,$Z326-2000)),IF($Z326&lt;=5200,IF(INDEX(客户自备加工筐明细!$C$4:$C$1203,$Z326-4000)=0,"",INDEX(客户自备加工筐明细!$C$4:$C$1203,$Z326-4000)),IF($Z326&lt;=5800,IF(INDEX(次果筐明细!$D$4:$D$603,$Z326-5200)=0,"",INDEX(次果筐明细!$D$4:$D$603,$Z326-5200)),"")))))</f>
        <v/>
      </c>
      <c r="G326" s="24" t="str">
        <f>IF($Z326="","",IF($Z326&lt;=2000,IF(INDEX(包装物料出入库明细!$F$4:$F$2003,$Z326-0)=0,"",INDEX(包装物料出入库明细!$F$4:$F$2003,$Z326-0)),IF($Z326&lt;=4000,"",IF($Z326&lt;=5200,"",IF($Z326&lt;=5800,"","")))))</f>
        <v/>
      </c>
      <c r="H326" s="39" t="str">
        <f>IF($Z326="","",IF($Z326&lt;=2000,IF(INDEX(包装物料出入库明细!$L$4:$L$2003,$Z326-0)=0,"",INDEX(包装物料出入库明细!$L$4:$L$2003,$Z326-0)),IF($Z326&lt;=4000,N(INDEX(周转筐出入库明细!$H$4:$H$2004,$Z326-2000))+N(INDEX(周转筐出入库明细!$I$4:$I$2004,$Z326-2000))+N(INDEX(周转筐出入库明细!$J$4:$J$2004,$Z326-2000))+N(INDEX(周转筐出入库明细!$K$4:$K$2004,$Z326-2000)),IF($Z326&lt;=5200,N(INDEX(客户自备加工筐明细!$F$4:$F$1203,$Z326-4000))+N(INDEX(客户自备加工筐明细!$G$4:$G$1203,$Z326-4000)),IF($Z326&lt;=5800,IF(INDEX(次果筐明细!$G$4:$G$603,$Z326-5200)=0,"",INDEX(次果筐明细!$G$4:$G$603,$Z326-5200)),"")))))</f>
        <v/>
      </c>
      <c r="I326" s="24" t="str">
        <f>IF($Z326="","",IF($Z326&lt;=2000,IF(INDEX(包装物料出入库明细!$G$4:$G$2003,$Z326-0)=0,"",INDEX(包装物料出入库明细!$G$4:$G$2003,$Z326-0)),IF($Z326&lt;=4000,"个",IF($Z326&lt;=5200,"个",IF($Z326&lt;=5800,"个","")))))</f>
        <v/>
      </c>
      <c r="J326" s="30" t="str">
        <f t="shared" si="16"/>
        <v/>
      </c>
      <c r="K326" s="30" t="str">
        <f>IF($Z326="","",IF($Z326&lt;=2000,IF(INDEX(包装物料出入库明细!$N$4:$N$2003,$Z326-0)=0,"",INDEX(包装物料出入库明细!$N$4:$N$2003,$Z326-0)),IF($Z326&lt;=4000,IF(INDEX(周转筐出入库明细!$P$4:$P$2004,$Z326-2000)=0,"",INDEX(周转筐出入库明细!$P$4:$P$2004,$Z326-2000)),IF($Z326&lt;=5200,"",IF($Z326&lt;=5800,N(INDEX(次果筐明细!$L$4:$L$603,$Z326-5200))+N(INDEX(次果筐明细!$J$4:$J$603,$Z326-5200)),"")))))</f>
        <v/>
      </c>
      <c r="L326" s="24" t="str">
        <f>IF($Z326="","",IF($Z326&lt;=2000,IF(INDEX(包装物料出入库明细!$P$4:$P$2003,$Z326-0)=0,"",INDEX(包装物料出入库明细!$P$4:$P$2003,$Z326-0)),IF($Z326&lt;=4000,IF(INDEX(周转筐出入库明细!$Q$4:$Q$2004,$Z326-2000)=0,"",INDEX(周转筐出入库明细!$Q$4:$Q$2004,$Z326-2000)),IF($Z326&lt;=5200,"",IF($Z326&lt;=5800,IF(INDEX(次果筐明细!$M$4:$M$603,$Z326-5200)=0,"",INDEX(次果筐明细!$M$4:$M$603,$Z326-5200)),"")))))</f>
        <v/>
      </c>
      <c r="M326" s="37" t="str">
        <f>IF($Z326="","",IF($Z326&lt;=2000,IF(INDEX(包装物料出入库明细!$R$4:$R$2003,$Z326-0)=0,"",INDEX(包装物料出入库明细!$R$4:$R$2003,$Z326-0)),IF($Z326&lt;=4000,IF(INDEX(周转筐出入库明细!$W$4:$W$2004,$Z326-2000)=0,"",INDEX(周转筐出入库明细!$W$4:$W$2004,$Z326-2000)),IF($Z326&lt;=5200,IF(INDEX(客户自备加工筐明细!$L$4:$L$1203,$Z326-4000)=0,"",INDEX(客户自备加工筐明细!$L$4:$L$1203,$Z326-4000)),IF($Z326&lt;=5800,IF(INDEX(次果筐明细!$P$4:$P$603,$Z326-5200)=0,"",INDEX(次果筐明细!$P$4:$P$603,$Z326-5200)),"")))))</f>
        <v/>
      </c>
      <c r="N326" s="16" t="str">
        <f>IF($Z326="","",IF($Z326&lt;=2000,"",IF($Z326&lt;=4000,IF(INDEX(周转筐出入库明细!$D$4:$D$2004,$Z326-2000)=0,"",INDEX(周转筐出入库明细!$D$4:$D$2004,$Z326-2000)),IF($Z326&lt;=5200,IF(INDEX(客户自备加工筐明细!$C$4:$C$1203,$Z326-4000)=0,"",INDEX(客户自备加工筐明细!$C$4:$C$1203,$Z326-4000)),IF($Z326&lt;=5800,IF(INDEX(次果筐明细!$D$4:$D$603,$Z326-5200)=0,"",INDEX(次果筐明细!$D$4:$D$603,$Z326-5200)),"")))))</f>
        <v/>
      </c>
      <c r="O326" s="40" t="str">
        <f>IF($Z326="","",IF($Z326&lt;=2000,"",IF($Z326&lt;=4000,IF(N(INDEX(周转筐出入库明细!$J$4:$J$2004,$Z326-2000))+N(INDEX(周转筐出入库明细!$K$4:$K$2004,$Z326-2000))=0,"",N(INDEX(周转筐出入库明细!$J$4:$J$2004,$Z326-2000))+N(INDEX(周转筐出入库明细!$K$4:$K$2004,$Z326-2000))),IF($Z326&lt;=5200,IF(N(INDEX(客户自备加工筐明细!$G$4:$G$1203,$Z326-4000))=0,"",N(INDEX(客户自备加工筐明细!$G$4:$G$1203,$Z326-4000))),IF($Z326&lt;=5800,IF(ISNUMBER(SEARCH("退",INDEX(次果筐明细!$F$4:$F$603,$Z326-5200)&amp;"")),"",IF(N(INDEX(次果筐明细!$G$4:$G$603,$Z326-5200))=0,"",N(INDEX(次果筐明细!$G$4:$G$603,$Z326-5200)))),"")))))</f>
        <v/>
      </c>
      <c r="P326" s="40" t="str">
        <f>IF($Z326="","",IF($Z326&lt;=2000,"",IF($Z326&lt;=4000,IF(N(INDEX(周转筐出入库明细!$I$4:$I$2004,$Z326-2000))=0,"",N(INDEX(周转筐出入库明细!$I$4:$I$2004,$Z326-2000))),IF($Z326&lt;=5200,"",IF($Z326&lt;=5800,IF(ISNUMBER(SEARCH("退",INDEX(次果筐明细!$F$4:$F$603,$Z326-5200)&amp;"")),IF(N(INDEX(次果筐明细!$G$4:$G$603,$Z326-5200))=0,"",N(INDEX(次果筐明细!$G$4:$G$603,$Z326-5200))),""),"")))))</f>
        <v/>
      </c>
      <c r="Q326" s="40" t="str">
        <f>IF($Z326="","",IF($Z326&lt;=2000,"",IF($Z326&lt;=4000,IF(N(INDEX(周转筐出入库明细!$H$4:$H$2004,$Z326-2000))=0,"",N(INDEX(周转筐出入库明细!$H$4:$H$2004,$Z326-2000))),IF($Z326&lt;=5200,IF(N(INDEX(客户自备加工筐明细!$F$4:$F$1203,$Z326-4000))=0,"",N(INDEX(客户自备加工筐明细!$F$4:$F$1203,$Z326-4000))),IF($Z326&lt;=5800,"","")))))</f>
        <v/>
      </c>
      <c r="R326" s="16" t="str">
        <f>IF($Z326="","",IF($Z326&lt;=2000,IF(INDEX(包装物料出入库明细!$O$4:$O$2003,$Z326-0)=0,"",INDEX(包装物料出入库明细!$O$4:$O$2003,$Z326-0)),IF($Z326&lt;=4000,IF(INDEX(周转筐出入库明细!$M$4:$M$2004,$Z326-2000)=0,"",INDEX(周转筐出入库明细!$M$4:$M$2004,$Z326-2000)),IF($Z326&lt;=5200,IF(INDEX(客户自备加工筐明细!$H$4:$H$1203,$Z326-4000)=0,"",INDEX(客户自备加工筐明细!$H$4:$H$1203,$Z326-4000)),IF($Z326&lt;=5800,IF(INDEX(次果筐明细!$H$4:$H$603,$Z326-5200)=0,"",INDEX(次果筐明细!$H$4:$H$603,$Z326-5200)),"")))))</f>
        <v/>
      </c>
      <c r="S326" s="22" t="str">
        <f t="shared" si="17"/>
        <v/>
      </c>
      <c r="Z326" s="10" t="str">
        <f>IFERROR(MATCH(ROW()-3,_自动清单!$CQ$4:$CQ$5803,0),"")</f>
        <v/>
      </c>
    </row>
    <row r="327" spans="1:26">
      <c r="A327" s="24" t="str">
        <f t="shared" si="15"/>
        <v/>
      </c>
      <c r="B327" s="38" t="str">
        <f>IF($Z327="","",IF($Z327&lt;=2000,IF(INDEX(包装物料出入库明细!$B$4:$B$2003,$Z327-0)=0,"",INDEX(包装物料出入库明细!$B$4:$B$2003,$Z327-0)),IF($Z327&lt;=4000,IF(INDEX(周转筐出入库明细!$B$4:$B$2004,$Z327-2000)=0,"",INDEX(周转筐出入库明细!$B$4:$B$2004,$Z327-2000)),IF($Z327&lt;=5200,IF(INDEX(客户自备加工筐明细!$B$4:$B$1203,$Z327-4000)=0,"",INDEX(客户自备加工筐明细!$B$4:$B$1203,$Z327-4000)),IF($Z327&lt;=5800,IF(INDEX(次果筐明细!$B$4:$B$603,$Z327-5200)=0,"",INDEX(次果筐明细!$B$4:$B$603,$Z327-5200)),"")))))</f>
        <v/>
      </c>
      <c r="C327" s="37" t="str">
        <f>IF($Z327="","",IF($Z327&lt;=2000,IF(INDEX(包装物料出入库明细!$D$4:$D$2003,$Z327-0)=0,"",INDEX(包装物料出入库明细!$D$4:$D$2003,$Z327-0)),IF($Z327&lt;=4000,IF(INDEX(周转筐出入库明细!$C$4:$C$2004,$Z327-2000)=0,"",INDEX(周转筐出入库明细!$C$4:$C$2004,$Z327-2000)),IF($Z327&lt;=5200,IF(INDEX(客户自备加工筐明细!$E$4:$E$1203,$Z327-4000)=0,"",INDEX(客户自备加工筐明细!$E$4:$E$1203,$Z327-4000)),IF($Z327&lt;=5800,IF(INDEX(次果筐明细!$C$4:$C$603,$Z327-5200)=0,"",INDEX(次果筐明细!$C$4:$C$603,$Z327-5200)),"")))))</f>
        <v/>
      </c>
      <c r="D327" s="37" t="str">
        <f>IF($Z327="","",IF($Z327&lt;=2000,"包装物料－"&amp;INDEX(包装物料出入库明细!$H$4:$H$2003,$Z327-0),IF($Z327&lt;=4000,"周转筐－"&amp;INDEX(周转筐出入库明细!$F$4:$F$2004,$Z327-2000),IF($Z327&lt;=5200,"客户自备筐－"&amp;INDEX(客户自备加工筐明细!$J$4:$J$1203,$Z327-4000),IF($Z327&lt;=5800,"次果筐/托盘－"&amp;INDEX(次果筐明细!$F$4:$F$603,$Z327-5200),"")))))</f>
        <v/>
      </c>
      <c r="E327" s="24" t="str">
        <f>IF($Z327="","",IF($Z327&lt;=2000,IF(INDEX(包装物料出入库明细!$C$4:$C$2003,$Z327-0)=0,"",INDEX(包装物料出入库明细!$C$4:$C$2003,$Z327-0)),IF($Z327&lt;=4000,IF(INDEX(周转筐出入库明细!$E$4:$E$2004,$Z327-2000)=0,"",INDEX(周转筐出入库明细!$E$4:$E$2004,$Z327-2000)),IF($Z327&lt;=5200,IF(INDEX(客户自备加工筐明细!$D$4:$D$1203,$Z327-4000)=0,"",INDEX(客户自备加工筐明细!$D$4:$D$1203,$Z327-4000)),IF($Z327&lt;=5800,IF(INDEX(次果筐明细!$E$4:$E$603,$Z327-5200)=0,"",INDEX(次果筐明细!$E$4:$E$603,$Z327-5200)),"")))))</f>
        <v/>
      </c>
      <c r="F327" s="24" t="str">
        <f>IF($Z327="","",IF($Z327&lt;=2000,IF(INDEX(包装物料出入库明细!$E$4:$E$2003,$Z327-0)=0,"",INDEX(包装物料出入库明细!$E$4:$E$2003,$Z327-0)),IF($Z327&lt;=4000,IF(INDEX(周转筐出入库明细!$D$4:$D$2004,$Z327-2000)=0,"",INDEX(周转筐出入库明细!$D$4:$D$2004,$Z327-2000)),IF($Z327&lt;=5200,IF(INDEX(客户自备加工筐明细!$C$4:$C$1203,$Z327-4000)=0,"",INDEX(客户自备加工筐明细!$C$4:$C$1203,$Z327-4000)),IF($Z327&lt;=5800,IF(INDEX(次果筐明细!$D$4:$D$603,$Z327-5200)=0,"",INDEX(次果筐明细!$D$4:$D$603,$Z327-5200)),"")))))</f>
        <v/>
      </c>
      <c r="G327" s="24" t="str">
        <f>IF($Z327="","",IF($Z327&lt;=2000,IF(INDEX(包装物料出入库明细!$F$4:$F$2003,$Z327-0)=0,"",INDEX(包装物料出入库明细!$F$4:$F$2003,$Z327-0)),IF($Z327&lt;=4000,"",IF($Z327&lt;=5200,"",IF($Z327&lt;=5800,"","")))))</f>
        <v/>
      </c>
      <c r="H327" s="39" t="str">
        <f>IF($Z327="","",IF($Z327&lt;=2000,IF(INDEX(包装物料出入库明细!$L$4:$L$2003,$Z327-0)=0,"",INDEX(包装物料出入库明细!$L$4:$L$2003,$Z327-0)),IF($Z327&lt;=4000,N(INDEX(周转筐出入库明细!$H$4:$H$2004,$Z327-2000))+N(INDEX(周转筐出入库明细!$I$4:$I$2004,$Z327-2000))+N(INDEX(周转筐出入库明细!$J$4:$J$2004,$Z327-2000))+N(INDEX(周转筐出入库明细!$K$4:$K$2004,$Z327-2000)),IF($Z327&lt;=5200,N(INDEX(客户自备加工筐明细!$F$4:$F$1203,$Z327-4000))+N(INDEX(客户自备加工筐明细!$G$4:$G$1203,$Z327-4000)),IF($Z327&lt;=5800,IF(INDEX(次果筐明细!$G$4:$G$603,$Z327-5200)=0,"",INDEX(次果筐明细!$G$4:$G$603,$Z327-5200)),"")))))</f>
        <v/>
      </c>
      <c r="I327" s="24" t="str">
        <f>IF($Z327="","",IF($Z327&lt;=2000,IF(INDEX(包装物料出入库明细!$G$4:$G$2003,$Z327-0)=0,"",INDEX(包装物料出入库明细!$G$4:$G$2003,$Z327-0)),IF($Z327&lt;=4000,"个",IF($Z327&lt;=5200,"个",IF($Z327&lt;=5800,"个","")))))</f>
        <v/>
      </c>
      <c r="J327" s="30" t="str">
        <f t="shared" si="16"/>
        <v/>
      </c>
      <c r="K327" s="30" t="str">
        <f>IF($Z327="","",IF($Z327&lt;=2000,IF(INDEX(包装物料出入库明细!$N$4:$N$2003,$Z327-0)=0,"",INDEX(包装物料出入库明细!$N$4:$N$2003,$Z327-0)),IF($Z327&lt;=4000,IF(INDEX(周转筐出入库明细!$P$4:$P$2004,$Z327-2000)=0,"",INDEX(周转筐出入库明细!$P$4:$P$2004,$Z327-2000)),IF($Z327&lt;=5200,"",IF($Z327&lt;=5800,N(INDEX(次果筐明细!$L$4:$L$603,$Z327-5200))+N(INDEX(次果筐明细!$J$4:$J$603,$Z327-5200)),"")))))</f>
        <v/>
      </c>
      <c r="L327" s="24" t="str">
        <f>IF($Z327="","",IF($Z327&lt;=2000,IF(INDEX(包装物料出入库明细!$P$4:$P$2003,$Z327-0)=0,"",INDEX(包装物料出入库明细!$P$4:$P$2003,$Z327-0)),IF($Z327&lt;=4000,IF(INDEX(周转筐出入库明细!$Q$4:$Q$2004,$Z327-2000)=0,"",INDEX(周转筐出入库明细!$Q$4:$Q$2004,$Z327-2000)),IF($Z327&lt;=5200,"",IF($Z327&lt;=5800,IF(INDEX(次果筐明细!$M$4:$M$603,$Z327-5200)=0,"",INDEX(次果筐明细!$M$4:$M$603,$Z327-5200)),"")))))</f>
        <v/>
      </c>
      <c r="M327" s="37" t="str">
        <f>IF($Z327="","",IF($Z327&lt;=2000,IF(INDEX(包装物料出入库明细!$R$4:$R$2003,$Z327-0)=0,"",INDEX(包装物料出入库明细!$R$4:$R$2003,$Z327-0)),IF($Z327&lt;=4000,IF(INDEX(周转筐出入库明细!$W$4:$W$2004,$Z327-2000)=0,"",INDEX(周转筐出入库明细!$W$4:$W$2004,$Z327-2000)),IF($Z327&lt;=5200,IF(INDEX(客户自备加工筐明细!$L$4:$L$1203,$Z327-4000)=0,"",INDEX(客户自备加工筐明细!$L$4:$L$1203,$Z327-4000)),IF($Z327&lt;=5800,IF(INDEX(次果筐明细!$P$4:$P$603,$Z327-5200)=0,"",INDEX(次果筐明细!$P$4:$P$603,$Z327-5200)),"")))))</f>
        <v/>
      </c>
      <c r="N327" s="16" t="str">
        <f>IF($Z327="","",IF($Z327&lt;=2000,"",IF($Z327&lt;=4000,IF(INDEX(周转筐出入库明细!$D$4:$D$2004,$Z327-2000)=0,"",INDEX(周转筐出入库明细!$D$4:$D$2004,$Z327-2000)),IF($Z327&lt;=5200,IF(INDEX(客户自备加工筐明细!$C$4:$C$1203,$Z327-4000)=0,"",INDEX(客户自备加工筐明细!$C$4:$C$1203,$Z327-4000)),IF($Z327&lt;=5800,IF(INDEX(次果筐明细!$D$4:$D$603,$Z327-5200)=0,"",INDEX(次果筐明细!$D$4:$D$603,$Z327-5200)),"")))))</f>
        <v/>
      </c>
      <c r="O327" s="40" t="str">
        <f>IF($Z327="","",IF($Z327&lt;=2000,"",IF($Z327&lt;=4000,IF(N(INDEX(周转筐出入库明细!$J$4:$J$2004,$Z327-2000))+N(INDEX(周转筐出入库明细!$K$4:$K$2004,$Z327-2000))=0,"",N(INDEX(周转筐出入库明细!$J$4:$J$2004,$Z327-2000))+N(INDEX(周转筐出入库明细!$K$4:$K$2004,$Z327-2000))),IF($Z327&lt;=5200,IF(N(INDEX(客户自备加工筐明细!$G$4:$G$1203,$Z327-4000))=0,"",N(INDEX(客户自备加工筐明细!$G$4:$G$1203,$Z327-4000))),IF($Z327&lt;=5800,IF(ISNUMBER(SEARCH("退",INDEX(次果筐明细!$F$4:$F$603,$Z327-5200)&amp;"")),"",IF(N(INDEX(次果筐明细!$G$4:$G$603,$Z327-5200))=0,"",N(INDEX(次果筐明细!$G$4:$G$603,$Z327-5200)))),"")))))</f>
        <v/>
      </c>
      <c r="P327" s="40" t="str">
        <f>IF($Z327="","",IF($Z327&lt;=2000,"",IF($Z327&lt;=4000,IF(N(INDEX(周转筐出入库明细!$I$4:$I$2004,$Z327-2000))=0,"",N(INDEX(周转筐出入库明细!$I$4:$I$2004,$Z327-2000))),IF($Z327&lt;=5200,"",IF($Z327&lt;=5800,IF(ISNUMBER(SEARCH("退",INDEX(次果筐明细!$F$4:$F$603,$Z327-5200)&amp;"")),IF(N(INDEX(次果筐明细!$G$4:$G$603,$Z327-5200))=0,"",N(INDEX(次果筐明细!$G$4:$G$603,$Z327-5200))),""),"")))))</f>
        <v/>
      </c>
      <c r="Q327" s="40" t="str">
        <f>IF($Z327="","",IF($Z327&lt;=2000,"",IF($Z327&lt;=4000,IF(N(INDEX(周转筐出入库明细!$H$4:$H$2004,$Z327-2000))=0,"",N(INDEX(周转筐出入库明细!$H$4:$H$2004,$Z327-2000))),IF($Z327&lt;=5200,IF(N(INDEX(客户自备加工筐明细!$F$4:$F$1203,$Z327-4000))=0,"",N(INDEX(客户自备加工筐明细!$F$4:$F$1203,$Z327-4000))),IF($Z327&lt;=5800,"","")))))</f>
        <v/>
      </c>
      <c r="R327" s="16" t="str">
        <f>IF($Z327="","",IF($Z327&lt;=2000,IF(INDEX(包装物料出入库明细!$O$4:$O$2003,$Z327-0)=0,"",INDEX(包装物料出入库明细!$O$4:$O$2003,$Z327-0)),IF($Z327&lt;=4000,IF(INDEX(周转筐出入库明细!$M$4:$M$2004,$Z327-2000)=0,"",INDEX(周转筐出入库明细!$M$4:$M$2004,$Z327-2000)),IF($Z327&lt;=5200,IF(INDEX(客户自备加工筐明细!$H$4:$H$1203,$Z327-4000)=0,"",INDEX(客户自备加工筐明细!$H$4:$H$1203,$Z327-4000)),IF($Z327&lt;=5800,IF(INDEX(次果筐明细!$H$4:$H$603,$Z327-5200)=0,"",INDEX(次果筐明细!$H$4:$H$603,$Z327-5200)),"")))))</f>
        <v/>
      </c>
      <c r="S327" s="22" t="str">
        <f t="shared" si="17"/>
        <v/>
      </c>
      <c r="Z327" s="10" t="str">
        <f>IFERROR(MATCH(ROW()-3,_自动清单!$CQ$4:$CQ$5803,0),"")</f>
        <v/>
      </c>
    </row>
    <row r="328" spans="1:26">
      <c r="A328" s="24" t="str">
        <f t="shared" si="15"/>
        <v/>
      </c>
      <c r="B328" s="38" t="str">
        <f>IF($Z328="","",IF($Z328&lt;=2000,IF(INDEX(包装物料出入库明细!$B$4:$B$2003,$Z328-0)=0,"",INDEX(包装物料出入库明细!$B$4:$B$2003,$Z328-0)),IF($Z328&lt;=4000,IF(INDEX(周转筐出入库明细!$B$4:$B$2004,$Z328-2000)=0,"",INDEX(周转筐出入库明细!$B$4:$B$2004,$Z328-2000)),IF($Z328&lt;=5200,IF(INDEX(客户自备加工筐明细!$B$4:$B$1203,$Z328-4000)=0,"",INDEX(客户自备加工筐明细!$B$4:$B$1203,$Z328-4000)),IF($Z328&lt;=5800,IF(INDEX(次果筐明细!$B$4:$B$603,$Z328-5200)=0,"",INDEX(次果筐明细!$B$4:$B$603,$Z328-5200)),"")))))</f>
        <v/>
      </c>
      <c r="C328" s="37" t="str">
        <f>IF($Z328="","",IF($Z328&lt;=2000,IF(INDEX(包装物料出入库明细!$D$4:$D$2003,$Z328-0)=0,"",INDEX(包装物料出入库明细!$D$4:$D$2003,$Z328-0)),IF($Z328&lt;=4000,IF(INDEX(周转筐出入库明细!$C$4:$C$2004,$Z328-2000)=0,"",INDEX(周转筐出入库明细!$C$4:$C$2004,$Z328-2000)),IF($Z328&lt;=5200,IF(INDEX(客户自备加工筐明细!$E$4:$E$1203,$Z328-4000)=0,"",INDEX(客户自备加工筐明细!$E$4:$E$1203,$Z328-4000)),IF($Z328&lt;=5800,IF(INDEX(次果筐明细!$C$4:$C$603,$Z328-5200)=0,"",INDEX(次果筐明细!$C$4:$C$603,$Z328-5200)),"")))))</f>
        <v/>
      </c>
      <c r="D328" s="37" t="str">
        <f>IF($Z328="","",IF($Z328&lt;=2000,"包装物料－"&amp;INDEX(包装物料出入库明细!$H$4:$H$2003,$Z328-0),IF($Z328&lt;=4000,"周转筐－"&amp;INDEX(周转筐出入库明细!$F$4:$F$2004,$Z328-2000),IF($Z328&lt;=5200,"客户自备筐－"&amp;INDEX(客户自备加工筐明细!$J$4:$J$1203,$Z328-4000),IF($Z328&lt;=5800,"次果筐/托盘－"&amp;INDEX(次果筐明细!$F$4:$F$603,$Z328-5200),"")))))</f>
        <v/>
      </c>
      <c r="E328" s="24" t="str">
        <f>IF($Z328="","",IF($Z328&lt;=2000,IF(INDEX(包装物料出入库明细!$C$4:$C$2003,$Z328-0)=0,"",INDEX(包装物料出入库明细!$C$4:$C$2003,$Z328-0)),IF($Z328&lt;=4000,IF(INDEX(周转筐出入库明细!$E$4:$E$2004,$Z328-2000)=0,"",INDEX(周转筐出入库明细!$E$4:$E$2004,$Z328-2000)),IF($Z328&lt;=5200,IF(INDEX(客户自备加工筐明细!$D$4:$D$1203,$Z328-4000)=0,"",INDEX(客户自备加工筐明细!$D$4:$D$1203,$Z328-4000)),IF($Z328&lt;=5800,IF(INDEX(次果筐明细!$E$4:$E$603,$Z328-5200)=0,"",INDEX(次果筐明细!$E$4:$E$603,$Z328-5200)),"")))))</f>
        <v/>
      </c>
      <c r="F328" s="24" t="str">
        <f>IF($Z328="","",IF($Z328&lt;=2000,IF(INDEX(包装物料出入库明细!$E$4:$E$2003,$Z328-0)=0,"",INDEX(包装物料出入库明细!$E$4:$E$2003,$Z328-0)),IF($Z328&lt;=4000,IF(INDEX(周转筐出入库明细!$D$4:$D$2004,$Z328-2000)=0,"",INDEX(周转筐出入库明细!$D$4:$D$2004,$Z328-2000)),IF($Z328&lt;=5200,IF(INDEX(客户自备加工筐明细!$C$4:$C$1203,$Z328-4000)=0,"",INDEX(客户自备加工筐明细!$C$4:$C$1203,$Z328-4000)),IF($Z328&lt;=5800,IF(INDEX(次果筐明细!$D$4:$D$603,$Z328-5200)=0,"",INDEX(次果筐明细!$D$4:$D$603,$Z328-5200)),"")))))</f>
        <v/>
      </c>
      <c r="G328" s="24" t="str">
        <f>IF($Z328="","",IF($Z328&lt;=2000,IF(INDEX(包装物料出入库明细!$F$4:$F$2003,$Z328-0)=0,"",INDEX(包装物料出入库明细!$F$4:$F$2003,$Z328-0)),IF($Z328&lt;=4000,"",IF($Z328&lt;=5200,"",IF($Z328&lt;=5800,"","")))))</f>
        <v/>
      </c>
      <c r="H328" s="39" t="str">
        <f>IF($Z328="","",IF($Z328&lt;=2000,IF(INDEX(包装物料出入库明细!$L$4:$L$2003,$Z328-0)=0,"",INDEX(包装物料出入库明细!$L$4:$L$2003,$Z328-0)),IF($Z328&lt;=4000,N(INDEX(周转筐出入库明细!$H$4:$H$2004,$Z328-2000))+N(INDEX(周转筐出入库明细!$I$4:$I$2004,$Z328-2000))+N(INDEX(周转筐出入库明细!$J$4:$J$2004,$Z328-2000))+N(INDEX(周转筐出入库明细!$K$4:$K$2004,$Z328-2000)),IF($Z328&lt;=5200,N(INDEX(客户自备加工筐明细!$F$4:$F$1203,$Z328-4000))+N(INDEX(客户自备加工筐明细!$G$4:$G$1203,$Z328-4000)),IF($Z328&lt;=5800,IF(INDEX(次果筐明细!$G$4:$G$603,$Z328-5200)=0,"",INDEX(次果筐明细!$G$4:$G$603,$Z328-5200)),"")))))</f>
        <v/>
      </c>
      <c r="I328" s="24" t="str">
        <f>IF($Z328="","",IF($Z328&lt;=2000,IF(INDEX(包装物料出入库明细!$G$4:$G$2003,$Z328-0)=0,"",INDEX(包装物料出入库明细!$G$4:$G$2003,$Z328-0)),IF($Z328&lt;=4000,"个",IF($Z328&lt;=5200,"个",IF($Z328&lt;=5800,"个","")))))</f>
        <v/>
      </c>
      <c r="J328" s="30" t="str">
        <f t="shared" si="16"/>
        <v/>
      </c>
      <c r="K328" s="30" t="str">
        <f>IF($Z328="","",IF($Z328&lt;=2000,IF(INDEX(包装物料出入库明细!$N$4:$N$2003,$Z328-0)=0,"",INDEX(包装物料出入库明细!$N$4:$N$2003,$Z328-0)),IF($Z328&lt;=4000,IF(INDEX(周转筐出入库明细!$P$4:$P$2004,$Z328-2000)=0,"",INDEX(周转筐出入库明细!$P$4:$P$2004,$Z328-2000)),IF($Z328&lt;=5200,"",IF($Z328&lt;=5800,N(INDEX(次果筐明细!$L$4:$L$603,$Z328-5200))+N(INDEX(次果筐明细!$J$4:$J$603,$Z328-5200)),"")))))</f>
        <v/>
      </c>
      <c r="L328" s="24" t="str">
        <f>IF($Z328="","",IF($Z328&lt;=2000,IF(INDEX(包装物料出入库明细!$P$4:$P$2003,$Z328-0)=0,"",INDEX(包装物料出入库明细!$P$4:$P$2003,$Z328-0)),IF($Z328&lt;=4000,IF(INDEX(周转筐出入库明细!$Q$4:$Q$2004,$Z328-2000)=0,"",INDEX(周转筐出入库明细!$Q$4:$Q$2004,$Z328-2000)),IF($Z328&lt;=5200,"",IF($Z328&lt;=5800,IF(INDEX(次果筐明细!$M$4:$M$603,$Z328-5200)=0,"",INDEX(次果筐明细!$M$4:$M$603,$Z328-5200)),"")))))</f>
        <v/>
      </c>
      <c r="M328" s="37" t="str">
        <f>IF($Z328="","",IF($Z328&lt;=2000,IF(INDEX(包装物料出入库明细!$R$4:$R$2003,$Z328-0)=0,"",INDEX(包装物料出入库明细!$R$4:$R$2003,$Z328-0)),IF($Z328&lt;=4000,IF(INDEX(周转筐出入库明细!$W$4:$W$2004,$Z328-2000)=0,"",INDEX(周转筐出入库明细!$W$4:$W$2004,$Z328-2000)),IF($Z328&lt;=5200,IF(INDEX(客户自备加工筐明细!$L$4:$L$1203,$Z328-4000)=0,"",INDEX(客户自备加工筐明细!$L$4:$L$1203,$Z328-4000)),IF($Z328&lt;=5800,IF(INDEX(次果筐明细!$P$4:$P$603,$Z328-5200)=0,"",INDEX(次果筐明细!$P$4:$P$603,$Z328-5200)),"")))))</f>
        <v/>
      </c>
      <c r="N328" s="16" t="str">
        <f>IF($Z328="","",IF($Z328&lt;=2000,"",IF($Z328&lt;=4000,IF(INDEX(周转筐出入库明细!$D$4:$D$2004,$Z328-2000)=0,"",INDEX(周转筐出入库明细!$D$4:$D$2004,$Z328-2000)),IF($Z328&lt;=5200,IF(INDEX(客户自备加工筐明细!$C$4:$C$1203,$Z328-4000)=0,"",INDEX(客户自备加工筐明细!$C$4:$C$1203,$Z328-4000)),IF($Z328&lt;=5800,IF(INDEX(次果筐明细!$D$4:$D$603,$Z328-5200)=0,"",INDEX(次果筐明细!$D$4:$D$603,$Z328-5200)),"")))))</f>
        <v/>
      </c>
      <c r="O328" s="40" t="str">
        <f>IF($Z328="","",IF($Z328&lt;=2000,"",IF($Z328&lt;=4000,IF(N(INDEX(周转筐出入库明细!$J$4:$J$2004,$Z328-2000))+N(INDEX(周转筐出入库明细!$K$4:$K$2004,$Z328-2000))=0,"",N(INDEX(周转筐出入库明细!$J$4:$J$2004,$Z328-2000))+N(INDEX(周转筐出入库明细!$K$4:$K$2004,$Z328-2000))),IF($Z328&lt;=5200,IF(N(INDEX(客户自备加工筐明细!$G$4:$G$1203,$Z328-4000))=0,"",N(INDEX(客户自备加工筐明细!$G$4:$G$1203,$Z328-4000))),IF($Z328&lt;=5800,IF(ISNUMBER(SEARCH("退",INDEX(次果筐明细!$F$4:$F$603,$Z328-5200)&amp;"")),"",IF(N(INDEX(次果筐明细!$G$4:$G$603,$Z328-5200))=0,"",N(INDEX(次果筐明细!$G$4:$G$603,$Z328-5200)))),"")))))</f>
        <v/>
      </c>
      <c r="P328" s="40" t="str">
        <f>IF($Z328="","",IF($Z328&lt;=2000,"",IF($Z328&lt;=4000,IF(N(INDEX(周转筐出入库明细!$I$4:$I$2004,$Z328-2000))=0,"",N(INDEX(周转筐出入库明细!$I$4:$I$2004,$Z328-2000))),IF($Z328&lt;=5200,"",IF($Z328&lt;=5800,IF(ISNUMBER(SEARCH("退",INDEX(次果筐明细!$F$4:$F$603,$Z328-5200)&amp;"")),IF(N(INDEX(次果筐明细!$G$4:$G$603,$Z328-5200))=0,"",N(INDEX(次果筐明细!$G$4:$G$603,$Z328-5200))),""),"")))))</f>
        <v/>
      </c>
      <c r="Q328" s="40" t="str">
        <f>IF($Z328="","",IF($Z328&lt;=2000,"",IF($Z328&lt;=4000,IF(N(INDEX(周转筐出入库明细!$H$4:$H$2004,$Z328-2000))=0,"",N(INDEX(周转筐出入库明细!$H$4:$H$2004,$Z328-2000))),IF($Z328&lt;=5200,IF(N(INDEX(客户自备加工筐明细!$F$4:$F$1203,$Z328-4000))=0,"",N(INDEX(客户自备加工筐明细!$F$4:$F$1203,$Z328-4000))),IF($Z328&lt;=5800,"","")))))</f>
        <v/>
      </c>
      <c r="R328" s="16" t="str">
        <f>IF($Z328="","",IF($Z328&lt;=2000,IF(INDEX(包装物料出入库明细!$O$4:$O$2003,$Z328-0)=0,"",INDEX(包装物料出入库明细!$O$4:$O$2003,$Z328-0)),IF($Z328&lt;=4000,IF(INDEX(周转筐出入库明细!$M$4:$M$2004,$Z328-2000)=0,"",INDEX(周转筐出入库明细!$M$4:$M$2004,$Z328-2000)),IF($Z328&lt;=5200,IF(INDEX(客户自备加工筐明细!$H$4:$H$1203,$Z328-4000)=0,"",INDEX(客户自备加工筐明细!$H$4:$H$1203,$Z328-4000)),IF($Z328&lt;=5800,IF(INDEX(次果筐明细!$H$4:$H$603,$Z328-5200)=0,"",INDEX(次果筐明细!$H$4:$H$603,$Z328-5200)),"")))))</f>
        <v/>
      </c>
      <c r="S328" s="22" t="str">
        <f t="shared" si="17"/>
        <v/>
      </c>
      <c r="Z328" s="10" t="str">
        <f>IFERROR(MATCH(ROW()-3,_自动清单!$CQ$4:$CQ$5803,0),"")</f>
        <v/>
      </c>
    </row>
    <row r="329" spans="1:26">
      <c r="A329" s="24" t="str">
        <f t="shared" si="15"/>
        <v/>
      </c>
      <c r="B329" s="38" t="str">
        <f>IF($Z329="","",IF($Z329&lt;=2000,IF(INDEX(包装物料出入库明细!$B$4:$B$2003,$Z329-0)=0,"",INDEX(包装物料出入库明细!$B$4:$B$2003,$Z329-0)),IF($Z329&lt;=4000,IF(INDEX(周转筐出入库明细!$B$4:$B$2004,$Z329-2000)=0,"",INDEX(周转筐出入库明细!$B$4:$B$2004,$Z329-2000)),IF($Z329&lt;=5200,IF(INDEX(客户自备加工筐明细!$B$4:$B$1203,$Z329-4000)=0,"",INDEX(客户自备加工筐明细!$B$4:$B$1203,$Z329-4000)),IF($Z329&lt;=5800,IF(INDEX(次果筐明细!$B$4:$B$603,$Z329-5200)=0,"",INDEX(次果筐明细!$B$4:$B$603,$Z329-5200)),"")))))</f>
        <v/>
      </c>
      <c r="C329" s="37" t="str">
        <f>IF($Z329="","",IF($Z329&lt;=2000,IF(INDEX(包装物料出入库明细!$D$4:$D$2003,$Z329-0)=0,"",INDEX(包装物料出入库明细!$D$4:$D$2003,$Z329-0)),IF($Z329&lt;=4000,IF(INDEX(周转筐出入库明细!$C$4:$C$2004,$Z329-2000)=0,"",INDEX(周转筐出入库明细!$C$4:$C$2004,$Z329-2000)),IF($Z329&lt;=5200,IF(INDEX(客户自备加工筐明细!$E$4:$E$1203,$Z329-4000)=0,"",INDEX(客户自备加工筐明细!$E$4:$E$1203,$Z329-4000)),IF($Z329&lt;=5800,IF(INDEX(次果筐明细!$C$4:$C$603,$Z329-5200)=0,"",INDEX(次果筐明细!$C$4:$C$603,$Z329-5200)),"")))))</f>
        <v/>
      </c>
      <c r="D329" s="37" t="str">
        <f>IF($Z329="","",IF($Z329&lt;=2000,"包装物料－"&amp;INDEX(包装物料出入库明细!$H$4:$H$2003,$Z329-0),IF($Z329&lt;=4000,"周转筐－"&amp;INDEX(周转筐出入库明细!$F$4:$F$2004,$Z329-2000),IF($Z329&lt;=5200,"客户自备筐－"&amp;INDEX(客户自备加工筐明细!$J$4:$J$1203,$Z329-4000),IF($Z329&lt;=5800,"次果筐/托盘－"&amp;INDEX(次果筐明细!$F$4:$F$603,$Z329-5200),"")))))</f>
        <v/>
      </c>
      <c r="E329" s="24" t="str">
        <f>IF($Z329="","",IF($Z329&lt;=2000,IF(INDEX(包装物料出入库明细!$C$4:$C$2003,$Z329-0)=0,"",INDEX(包装物料出入库明细!$C$4:$C$2003,$Z329-0)),IF($Z329&lt;=4000,IF(INDEX(周转筐出入库明细!$E$4:$E$2004,$Z329-2000)=0,"",INDEX(周转筐出入库明细!$E$4:$E$2004,$Z329-2000)),IF($Z329&lt;=5200,IF(INDEX(客户自备加工筐明细!$D$4:$D$1203,$Z329-4000)=0,"",INDEX(客户自备加工筐明细!$D$4:$D$1203,$Z329-4000)),IF($Z329&lt;=5800,IF(INDEX(次果筐明细!$E$4:$E$603,$Z329-5200)=0,"",INDEX(次果筐明细!$E$4:$E$603,$Z329-5200)),"")))))</f>
        <v/>
      </c>
      <c r="F329" s="24" t="str">
        <f>IF($Z329="","",IF($Z329&lt;=2000,IF(INDEX(包装物料出入库明细!$E$4:$E$2003,$Z329-0)=0,"",INDEX(包装物料出入库明细!$E$4:$E$2003,$Z329-0)),IF($Z329&lt;=4000,IF(INDEX(周转筐出入库明细!$D$4:$D$2004,$Z329-2000)=0,"",INDEX(周转筐出入库明细!$D$4:$D$2004,$Z329-2000)),IF($Z329&lt;=5200,IF(INDEX(客户自备加工筐明细!$C$4:$C$1203,$Z329-4000)=0,"",INDEX(客户自备加工筐明细!$C$4:$C$1203,$Z329-4000)),IF($Z329&lt;=5800,IF(INDEX(次果筐明细!$D$4:$D$603,$Z329-5200)=0,"",INDEX(次果筐明细!$D$4:$D$603,$Z329-5200)),"")))))</f>
        <v/>
      </c>
      <c r="G329" s="24" t="str">
        <f>IF($Z329="","",IF($Z329&lt;=2000,IF(INDEX(包装物料出入库明细!$F$4:$F$2003,$Z329-0)=0,"",INDEX(包装物料出入库明细!$F$4:$F$2003,$Z329-0)),IF($Z329&lt;=4000,"",IF($Z329&lt;=5200,"",IF($Z329&lt;=5800,"","")))))</f>
        <v/>
      </c>
      <c r="H329" s="39" t="str">
        <f>IF($Z329="","",IF($Z329&lt;=2000,IF(INDEX(包装物料出入库明细!$L$4:$L$2003,$Z329-0)=0,"",INDEX(包装物料出入库明细!$L$4:$L$2003,$Z329-0)),IF($Z329&lt;=4000,N(INDEX(周转筐出入库明细!$H$4:$H$2004,$Z329-2000))+N(INDEX(周转筐出入库明细!$I$4:$I$2004,$Z329-2000))+N(INDEX(周转筐出入库明细!$J$4:$J$2004,$Z329-2000))+N(INDEX(周转筐出入库明细!$K$4:$K$2004,$Z329-2000)),IF($Z329&lt;=5200,N(INDEX(客户自备加工筐明细!$F$4:$F$1203,$Z329-4000))+N(INDEX(客户自备加工筐明细!$G$4:$G$1203,$Z329-4000)),IF($Z329&lt;=5800,IF(INDEX(次果筐明细!$G$4:$G$603,$Z329-5200)=0,"",INDEX(次果筐明细!$G$4:$G$603,$Z329-5200)),"")))))</f>
        <v/>
      </c>
      <c r="I329" s="24" t="str">
        <f>IF($Z329="","",IF($Z329&lt;=2000,IF(INDEX(包装物料出入库明细!$G$4:$G$2003,$Z329-0)=0,"",INDEX(包装物料出入库明细!$G$4:$G$2003,$Z329-0)),IF($Z329&lt;=4000,"个",IF($Z329&lt;=5200,"个",IF($Z329&lt;=5800,"个","")))))</f>
        <v/>
      </c>
      <c r="J329" s="30" t="str">
        <f t="shared" si="16"/>
        <v/>
      </c>
      <c r="K329" s="30" t="str">
        <f>IF($Z329="","",IF($Z329&lt;=2000,IF(INDEX(包装物料出入库明细!$N$4:$N$2003,$Z329-0)=0,"",INDEX(包装物料出入库明细!$N$4:$N$2003,$Z329-0)),IF($Z329&lt;=4000,IF(INDEX(周转筐出入库明细!$P$4:$P$2004,$Z329-2000)=0,"",INDEX(周转筐出入库明细!$P$4:$P$2004,$Z329-2000)),IF($Z329&lt;=5200,"",IF($Z329&lt;=5800,N(INDEX(次果筐明细!$L$4:$L$603,$Z329-5200))+N(INDEX(次果筐明细!$J$4:$J$603,$Z329-5200)),"")))))</f>
        <v/>
      </c>
      <c r="L329" s="24" t="str">
        <f>IF($Z329="","",IF($Z329&lt;=2000,IF(INDEX(包装物料出入库明细!$P$4:$P$2003,$Z329-0)=0,"",INDEX(包装物料出入库明细!$P$4:$P$2003,$Z329-0)),IF($Z329&lt;=4000,IF(INDEX(周转筐出入库明细!$Q$4:$Q$2004,$Z329-2000)=0,"",INDEX(周转筐出入库明细!$Q$4:$Q$2004,$Z329-2000)),IF($Z329&lt;=5200,"",IF($Z329&lt;=5800,IF(INDEX(次果筐明细!$M$4:$M$603,$Z329-5200)=0,"",INDEX(次果筐明细!$M$4:$M$603,$Z329-5200)),"")))))</f>
        <v/>
      </c>
      <c r="M329" s="37" t="str">
        <f>IF($Z329="","",IF($Z329&lt;=2000,IF(INDEX(包装物料出入库明细!$R$4:$R$2003,$Z329-0)=0,"",INDEX(包装物料出入库明细!$R$4:$R$2003,$Z329-0)),IF($Z329&lt;=4000,IF(INDEX(周转筐出入库明细!$W$4:$W$2004,$Z329-2000)=0,"",INDEX(周转筐出入库明细!$W$4:$W$2004,$Z329-2000)),IF($Z329&lt;=5200,IF(INDEX(客户自备加工筐明细!$L$4:$L$1203,$Z329-4000)=0,"",INDEX(客户自备加工筐明细!$L$4:$L$1203,$Z329-4000)),IF($Z329&lt;=5800,IF(INDEX(次果筐明细!$P$4:$P$603,$Z329-5200)=0,"",INDEX(次果筐明细!$P$4:$P$603,$Z329-5200)),"")))))</f>
        <v/>
      </c>
      <c r="N329" s="16" t="str">
        <f>IF($Z329="","",IF($Z329&lt;=2000,"",IF($Z329&lt;=4000,IF(INDEX(周转筐出入库明细!$D$4:$D$2004,$Z329-2000)=0,"",INDEX(周转筐出入库明细!$D$4:$D$2004,$Z329-2000)),IF($Z329&lt;=5200,IF(INDEX(客户自备加工筐明细!$C$4:$C$1203,$Z329-4000)=0,"",INDEX(客户自备加工筐明细!$C$4:$C$1203,$Z329-4000)),IF($Z329&lt;=5800,IF(INDEX(次果筐明细!$D$4:$D$603,$Z329-5200)=0,"",INDEX(次果筐明细!$D$4:$D$603,$Z329-5200)),"")))))</f>
        <v/>
      </c>
      <c r="O329" s="40" t="str">
        <f>IF($Z329="","",IF($Z329&lt;=2000,"",IF($Z329&lt;=4000,IF(N(INDEX(周转筐出入库明细!$J$4:$J$2004,$Z329-2000))+N(INDEX(周转筐出入库明细!$K$4:$K$2004,$Z329-2000))=0,"",N(INDEX(周转筐出入库明细!$J$4:$J$2004,$Z329-2000))+N(INDEX(周转筐出入库明细!$K$4:$K$2004,$Z329-2000))),IF($Z329&lt;=5200,IF(N(INDEX(客户自备加工筐明细!$G$4:$G$1203,$Z329-4000))=0,"",N(INDEX(客户自备加工筐明细!$G$4:$G$1203,$Z329-4000))),IF($Z329&lt;=5800,IF(ISNUMBER(SEARCH("退",INDEX(次果筐明细!$F$4:$F$603,$Z329-5200)&amp;"")),"",IF(N(INDEX(次果筐明细!$G$4:$G$603,$Z329-5200))=0,"",N(INDEX(次果筐明细!$G$4:$G$603,$Z329-5200)))),"")))))</f>
        <v/>
      </c>
      <c r="P329" s="40" t="str">
        <f>IF($Z329="","",IF($Z329&lt;=2000,"",IF($Z329&lt;=4000,IF(N(INDEX(周转筐出入库明细!$I$4:$I$2004,$Z329-2000))=0,"",N(INDEX(周转筐出入库明细!$I$4:$I$2004,$Z329-2000))),IF($Z329&lt;=5200,"",IF($Z329&lt;=5800,IF(ISNUMBER(SEARCH("退",INDEX(次果筐明细!$F$4:$F$603,$Z329-5200)&amp;"")),IF(N(INDEX(次果筐明细!$G$4:$G$603,$Z329-5200))=0,"",N(INDEX(次果筐明细!$G$4:$G$603,$Z329-5200))),""),"")))))</f>
        <v/>
      </c>
      <c r="Q329" s="40" t="str">
        <f>IF($Z329="","",IF($Z329&lt;=2000,"",IF($Z329&lt;=4000,IF(N(INDEX(周转筐出入库明细!$H$4:$H$2004,$Z329-2000))=0,"",N(INDEX(周转筐出入库明细!$H$4:$H$2004,$Z329-2000))),IF($Z329&lt;=5200,IF(N(INDEX(客户自备加工筐明细!$F$4:$F$1203,$Z329-4000))=0,"",N(INDEX(客户自备加工筐明细!$F$4:$F$1203,$Z329-4000))),IF($Z329&lt;=5800,"","")))))</f>
        <v/>
      </c>
      <c r="R329" s="16" t="str">
        <f>IF($Z329="","",IF($Z329&lt;=2000,IF(INDEX(包装物料出入库明细!$O$4:$O$2003,$Z329-0)=0,"",INDEX(包装物料出入库明细!$O$4:$O$2003,$Z329-0)),IF($Z329&lt;=4000,IF(INDEX(周转筐出入库明细!$M$4:$M$2004,$Z329-2000)=0,"",INDEX(周转筐出入库明细!$M$4:$M$2004,$Z329-2000)),IF($Z329&lt;=5200,IF(INDEX(客户自备加工筐明细!$H$4:$H$1203,$Z329-4000)=0,"",INDEX(客户自备加工筐明细!$H$4:$H$1203,$Z329-4000)),IF($Z329&lt;=5800,IF(INDEX(次果筐明细!$H$4:$H$603,$Z329-5200)=0,"",INDEX(次果筐明细!$H$4:$H$603,$Z329-5200)),"")))))</f>
        <v/>
      </c>
      <c r="S329" s="22" t="str">
        <f t="shared" si="17"/>
        <v/>
      </c>
      <c r="Z329" s="10" t="str">
        <f>IFERROR(MATCH(ROW()-3,_自动清单!$CQ$4:$CQ$5803,0),"")</f>
        <v/>
      </c>
    </row>
    <row r="330" spans="1:26">
      <c r="A330" s="24" t="str">
        <f t="shared" si="15"/>
        <v/>
      </c>
      <c r="B330" s="38" t="str">
        <f>IF($Z330="","",IF($Z330&lt;=2000,IF(INDEX(包装物料出入库明细!$B$4:$B$2003,$Z330-0)=0,"",INDEX(包装物料出入库明细!$B$4:$B$2003,$Z330-0)),IF($Z330&lt;=4000,IF(INDEX(周转筐出入库明细!$B$4:$B$2004,$Z330-2000)=0,"",INDEX(周转筐出入库明细!$B$4:$B$2004,$Z330-2000)),IF($Z330&lt;=5200,IF(INDEX(客户自备加工筐明细!$B$4:$B$1203,$Z330-4000)=0,"",INDEX(客户自备加工筐明细!$B$4:$B$1203,$Z330-4000)),IF($Z330&lt;=5800,IF(INDEX(次果筐明细!$B$4:$B$603,$Z330-5200)=0,"",INDEX(次果筐明细!$B$4:$B$603,$Z330-5200)),"")))))</f>
        <v/>
      </c>
      <c r="C330" s="37" t="str">
        <f>IF($Z330="","",IF($Z330&lt;=2000,IF(INDEX(包装物料出入库明细!$D$4:$D$2003,$Z330-0)=0,"",INDEX(包装物料出入库明细!$D$4:$D$2003,$Z330-0)),IF($Z330&lt;=4000,IF(INDEX(周转筐出入库明细!$C$4:$C$2004,$Z330-2000)=0,"",INDEX(周转筐出入库明细!$C$4:$C$2004,$Z330-2000)),IF($Z330&lt;=5200,IF(INDEX(客户自备加工筐明细!$E$4:$E$1203,$Z330-4000)=0,"",INDEX(客户自备加工筐明细!$E$4:$E$1203,$Z330-4000)),IF($Z330&lt;=5800,IF(INDEX(次果筐明细!$C$4:$C$603,$Z330-5200)=0,"",INDEX(次果筐明细!$C$4:$C$603,$Z330-5200)),"")))))</f>
        <v/>
      </c>
      <c r="D330" s="37" t="str">
        <f>IF($Z330="","",IF($Z330&lt;=2000,"包装物料－"&amp;INDEX(包装物料出入库明细!$H$4:$H$2003,$Z330-0),IF($Z330&lt;=4000,"周转筐－"&amp;INDEX(周转筐出入库明细!$F$4:$F$2004,$Z330-2000),IF($Z330&lt;=5200,"客户自备筐－"&amp;INDEX(客户自备加工筐明细!$J$4:$J$1203,$Z330-4000),IF($Z330&lt;=5800,"次果筐/托盘－"&amp;INDEX(次果筐明细!$F$4:$F$603,$Z330-5200),"")))))</f>
        <v/>
      </c>
      <c r="E330" s="24" t="str">
        <f>IF($Z330="","",IF($Z330&lt;=2000,IF(INDEX(包装物料出入库明细!$C$4:$C$2003,$Z330-0)=0,"",INDEX(包装物料出入库明细!$C$4:$C$2003,$Z330-0)),IF($Z330&lt;=4000,IF(INDEX(周转筐出入库明细!$E$4:$E$2004,$Z330-2000)=0,"",INDEX(周转筐出入库明细!$E$4:$E$2004,$Z330-2000)),IF($Z330&lt;=5200,IF(INDEX(客户自备加工筐明细!$D$4:$D$1203,$Z330-4000)=0,"",INDEX(客户自备加工筐明细!$D$4:$D$1203,$Z330-4000)),IF($Z330&lt;=5800,IF(INDEX(次果筐明细!$E$4:$E$603,$Z330-5200)=0,"",INDEX(次果筐明细!$E$4:$E$603,$Z330-5200)),"")))))</f>
        <v/>
      </c>
      <c r="F330" s="24" t="str">
        <f>IF($Z330="","",IF($Z330&lt;=2000,IF(INDEX(包装物料出入库明细!$E$4:$E$2003,$Z330-0)=0,"",INDEX(包装物料出入库明细!$E$4:$E$2003,$Z330-0)),IF($Z330&lt;=4000,IF(INDEX(周转筐出入库明细!$D$4:$D$2004,$Z330-2000)=0,"",INDEX(周转筐出入库明细!$D$4:$D$2004,$Z330-2000)),IF($Z330&lt;=5200,IF(INDEX(客户自备加工筐明细!$C$4:$C$1203,$Z330-4000)=0,"",INDEX(客户自备加工筐明细!$C$4:$C$1203,$Z330-4000)),IF($Z330&lt;=5800,IF(INDEX(次果筐明细!$D$4:$D$603,$Z330-5200)=0,"",INDEX(次果筐明细!$D$4:$D$603,$Z330-5200)),"")))))</f>
        <v/>
      </c>
      <c r="G330" s="24" t="str">
        <f>IF($Z330="","",IF($Z330&lt;=2000,IF(INDEX(包装物料出入库明细!$F$4:$F$2003,$Z330-0)=0,"",INDEX(包装物料出入库明细!$F$4:$F$2003,$Z330-0)),IF($Z330&lt;=4000,"",IF($Z330&lt;=5200,"",IF($Z330&lt;=5800,"","")))))</f>
        <v/>
      </c>
      <c r="H330" s="39" t="str">
        <f>IF($Z330="","",IF($Z330&lt;=2000,IF(INDEX(包装物料出入库明细!$L$4:$L$2003,$Z330-0)=0,"",INDEX(包装物料出入库明细!$L$4:$L$2003,$Z330-0)),IF($Z330&lt;=4000,N(INDEX(周转筐出入库明细!$H$4:$H$2004,$Z330-2000))+N(INDEX(周转筐出入库明细!$I$4:$I$2004,$Z330-2000))+N(INDEX(周转筐出入库明细!$J$4:$J$2004,$Z330-2000))+N(INDEX(周转筐出入库明细!$K$4:$K$2004,$Z330-2000)),IF($Z330&lt;=5200,N(INDEX(客户自备加工筐明细!$F$4:$F$1203,$Z330-4000))+N(INDEX(客户自备加工筐明细!$G$4:$G$1203,$Z330-4000)),IF($Z330&lt;=5800,IF(INDEX(次果筐明细!$G$4:$G$603,$Z330-5200)=0,"",INDEX(次果筐明细!$G$4:$G$603,$Z330-5200)),"")))))</f>
        <v/>
      </c>
      <c r="I330" s="24" t="str">
        <f>IF($Z330="","",IF($Z330&lt;=2000,IF(INDEX(包装物料出入库明细!$G$4:$G$2003,$Z330-0)=0,"",INDEX(包装物料出入库明细!$G$4:$G$2003,$Z330-0)),IF($Z330&lt;=4000,"个",IF($Z330&lt;=5200,"个",IF($Z330&lt;=5800,"个","")))))</f>
        <v/>
      </c>
      <c r="J330" s="30" t="str">
        <f t="shared" si="16"/>
        <v/>
      </c>
      <c r="K330" s="30" t="str">
        <f>IF($Z330="","",IF($Z330&lt;=2000,IF(INDEX(包装物料出入库明细!$N$4:$N$2003,$Z330-0)=0,"",INDEX(包装物料出入库明细!$N$4:$N$2003,$Z330-0)),IF($Z330&lt;=4000,IF(INDEX(周转筐出入库明细!$P$4:$P$2004,$Z330-2000)=0,"",INDEX(周转筐出入库明细!$P$4:$P$2004,$Z330-2000)),IF($Z330&lt;=5200,"",IF($Z330&lt;=5800,N(INDEX(次果筐明细!$L$4:$L$603,$Z330-5200))+N(INDEX(次果筐明细!$J$4:$J$603,$Z330-5200)),"")))))</f>
        <v/>
      </c>
      <c r="L330" s="24" t="str">
        <f>IF($Z330="","",IF($Z330&lt;=2000,IF(INDEX(包装物料出入库明细!$P$4:$P$2003,$Z330-0)=0,"",INDEX(包装物料出入库明细!$P$4:$P$2003,$Z330-0)),IF($Z330&lt;=4000,IF(INDEX(周转筐出入库明细!$Q$4:$Q$2004,$Z330-2000)=0,"",INDEX(周转筐出入库明细!$Q$4:$Q$2004,$Z330-2000)),IF($Z330&lt;=5200,"",IF($Z330&lt;=5800,IF(INDEX(次果筐明细!$M$4:$M$603,$Z330-5200)=0,"",INDEX(次果筐明细!$M$4:$M$603,$Z330-5200)),"")))))</f>
        <v/>
      </c>
      <c r="M330" s="37" t="str">
        <f>IF($Z330="","",IF($Z330&lt;=2000,IF(INDEX(包装物料出入库明细!$R$4:$R$2003,$Z330-0)=0,"",INDEX(包装物料出入库明细!$R$4:$R$2003,$Z330-0)),IF($Z330&lt;=4000,IF(INDEX(周转筐出入库明细!$W$4:$W$2004,$Z330-2000)=0,"",INDEX(周转筐出入库明细!$W$4:$W$2004,$Z330-2000)),IF($Z330&lt;=5200,IF(INDEX(客户自备加工筐明细!$L$4:$L$1203,$Z330-4000)=0,"",INDEX(客户自备加工筐明细!$L$4:$L$1203,$Z330-4000)),IF($Z330&lt;=5800,IF(INDEX(次果筐明细!$P$4:$P$603,$Z330-5200)=0,"",INDEX(次果筐明细!$P$4:$P$603,$Z330-5200)),"")))))</f>
        <v/>
      </c>
      <c r="N330" s="16" t="str">
        <f>IF($Z330="","",IF($Z330&lt;=2000,"",IF($Z330&lt;=4000,IF(INDEX(周转筐出入库明细!$D$4:$D$2004,$Z330-2000)=0,"",INDEX(周转筐出入库明细!$D$4:$D$2004,$Z330-2000)),IF($Z330&lt;=5200,IF(INDEX(客户自备加工筐明细!$C$4:$C$1203,$Z330-4000)=0,"",INDEX(客户自备加工筐明细!$C$4:$C$1203,$Z330-4000)),IF($Z330&lt;=5800,IF(INDEX(次果筐明细!$D$4:$D$603,$Z330-5200)=0,"",INDEX(次果筐明细!$D$4:$D$603,$Z330-5200)),"")))))</f>
        <v/>
      </c>
      <c r="O330" s="40" t="str">
        <f>IF($Z330="","",IF($Z330&lt;=2000,"",IF($Z330&lt;=4000,IF(N(INDEX(周转筐出入库明细!$J$4:$J$2004,$Z330-2000))+N(INDEX(周转筐出入库明细!$K$4:$K$2004,$Z330-2000))=0,"",N(INDEX(周转筐出入库明细!$J$4:$J$2004,$Z330-2000))+N(INDEX(周转筐出入库明细!$K$4:$K$2004,$Z330-2000))),IF($Z330&lt;=5200,IF(N(INDEX(客户自备加工筐明细!$G$4:$G$1203,$Z330-4000))=0,"",N(INDEX(客户自备加工筐明细!$G$4:$G$1203,$Z330-4000))),IF($Z330&lt;=5800,IF(ISNUMBER(SEARCH("退",INDEX(次果筐明细!$F$4:$F$603,$Z330-5200)&amp;"")),"",IF(N(INDEX(次果筐明细!$G$4:$G$603,$Z330-5200))=0,"",N(INDEX(次果筐明细!$G$4:$G$603,$Z330-5200)))),"")))))</f>
        <v/>
      </c>
      <c r="P330" s="40" t="str">
        <f>IF($Z330="","",IF($Z330&lt;=2000,"",IF($Z330&lt;=4000,IF(N(INDEX(周转筐出入库明细!$I$4:$I$2004,$Z330-2000))=0,"",N(INDEX(周转筐出入库明细!$I$4:$I$2004,$Z330-2000))),IF($Z330&lt;=5200,"",IF($Z330&lt;=5800,IF(ISNUMBER(SEARCH("退",INDEX(次果筐明细!$F$4:$F$603,$Z330-5200)&amp;"")),IF(N(INDEX(次果筐明细!$G$4:$G$603,$Z330-5200))=0,"",N(INDEX(次果筐明细!$G$4:$G$603,$Z330-5200))),""),"")))))</f>
        <v/>
      </c>
      <c r="Q330" s="40" t="str">
        <f>IF($Z330="","",IF($Z330&lt;=2000,"",IF($Z330&lt;=4000,IF(N(INDEX(周转筐出入库明细!$H$4:$H$2004,$Z330-2000))=0,"",N(INDEX(周转筐出入库明细!$H$4:$H$2004,$Z330-2000))),IF($Z330&lt;=5200,IF(N(INDEX(客户自备加工筐明细!$F$4:$F$1203,$Z330-4000))=0,"",N(INDEX(客户自备加工筐明细!$F$4:$F$1203,$Z330-4000))),IF($Z330&lt;=5800,"","")))))</f>
        <v/>
      </c>
      <c r="R330" s="16" t="str">
        <f>IF($Z330="","",IF($Z330&lt;=2000,IF(INDEX(包装物料出入库明细!$O$4:$O$2003,$Z330-0)=0,"",INDEX(包装物料出入库明细!$O$4:$O$2003,$Z330-0)),IF($Z330&lt;=4000,IF(INDEX(周转筐出入库明细!$M$4:$M$2004,$Z330-2000)=0,"",INDEX(周转筐出入库明细!$M$4:$M$2004,$Z330-2000)),IF($Z330&lt;=5200,IF(INDEX(客户自备加工筐明细!$H$4:$H$1203,$Z330-4000)=0,"",INDEX(客户自备加工筐明细!$H$4:$H$1203,$Z330-4000)),IF($Z330&lt;=5800,IF(INDEX(次果筐明细!$H$4:$H$603,$Z330-5200)=0,"",INDEX(次果筐明细!$H$4:$H$603,$Z330-5200)),"")))))</f>
        <v/>
      </c>
      <c r="S330" s="22" t="str">
        <f t="shared" si="17"/>
        <v/>
      </c>
      <c r="Z330" s="10" t="str">
        <f>IFERROR(MATCH(ROW()-3,_自动清单!$CQ$4:$CQ$5803,0),"")</f>
        <v/>
      </c>
    </row>
    <row r="331" spans="1:26">
      <c r="A331" s="24" t="str">
        <f t="shared" si="15"/>
        <v/>
      </c>
      <c r="B331" s="38" t="str">
        <f>IF($Z331="","",IF($Z331&lt;=2000,IF(INDEX(包装物料出入库明细!$B$4:$B$2003,$Z331-0)=0,"",INDEX(包装物料出入库明细!$B$4:$B$2003,$Z331-0)),IF($Z331&lt;=4000,IF(INDEX(周转筐出入库明细!$B$4:$B$2004,$Z331-2000)=0,"",INDEX(周转筐出入库明细!$B$4:$B$2004,$Z331-2000)),IF($Z331&lt;=5200,IF(INDEX(客户自备加工筐明细!$B$4:$B$1203,$Z331-4000)=0,"",INDEX(客户自备加工筐明细!$B$4:$B$1203,$Z331-4000)),IF($Z331&lt;=5800,IF(INDEX(次果筐明细!$B$4:$B$603,$Z331-5200)=0,"",INDEX(次果筐明细!$B$4:$B$603,$Z331-5200)),"")))))</f>
        <v/>
      </c>
      <c r="C331" s="37" t="str">
        <f>IF($Z331="","",IF($Z331&lt;=2000,IF(INDEX(包装物料出入库明细!$D$4:$D$2003,$Z331-0)=0,"",INDEX(包装物料出入库明细!$D$4:$D$2003,$Z331-0)),IF($Z331&lt;=4000,IF(INDEX(周转筐出入库明细!$C$4:$C$2004,$Z331-2000)=0,"",INDEX(周转筐出入库明细!$C$4:$C$2004,$Z331-2000)),IF($Z331&lt;=5200,IF(INDEX(客户自备加工筐明细!$E$4:$E$1203,$Z331-4000)=0,"",INDEX(客户自备加工筐明细!$E$4:$E$1203,$Z331-4000)),IF($Z331&lt;=5800,IF(INDEX(次果筐明细!$C$4:$C$603,$Z331-5200)=0,"",INDEX(次果筐明细!$C$4:$C$603,$Z331-5200)),"")))))</f>
        <v/>
      </c>
      <c r="D331" s="37" t="str">
        <f>IF($Z331="","",IF($Z331&lt;=2000,"包装物料－"&amp;INDEX(包装物料出入库明细!$H$4:$H$2003,$Z331-0),IF($Z331&lt;=4000,"周转筐－"&amp;INDEX(周转筐出入库明细!$F$4:$F$2004,$Z331-2000),IF($Z331&lt;=5200,"客户自备筐－"&amp;INDEX(客户自备加工筐明细!$J$4:$J$1203,$Z331-4000),IF($Z331&lt;=5800,"次果筐/托盘－"&amp;INDEX(次果筐明细!$F$4:$F$603,$Z331-5200),"")))))</f>
        <v/>
      </c>
      <c r="E331" s="24" t="str">
        <f>IF($Z331="","",IF($Z331&lt;=2000,IF(INDEX(包装物料出入库明细!$C$4:$C$2003,$Z331-0)=0,"",INDEX(包装物料出入库明细!$C$4:$C$2003,$Z331-0)),IF($Z331&lt;=4000,IF(INDEX(周转筐出入库明细!$E$4:$E$2004,$Z331-2000)=0,"",INDEX(周转筐出入库明细!$E$4:$E$2004,$Z331-2000)),IF($Z331&lt;=5200,IF(INDEX(客户自备加工筐明细!$D$4:$D$1203,$Z331-4000)=0,"",INDEX(客户自备加工筐明细!$D$4:$D$1203,$Z331-4000)),IF($Z331&lt;=5800,IF(INDEX(次果筐明细!$E$4:$E$603,$Z331-5200)=0,"",INDEX(次果筐明细!$E$4:$E$603,$Z331-5200)),"")))))</f>
        <v/>
      </c>
      <c r="F331" s="24" t="str">
        <f>IF($Z331="","",IF($Z331&lt;=2000,IF(INDEX(包装物料出入库明细!$E$4:$E$2003,$Z331-0)=0,"",INDEX(包装物料出入库明细!$E$4:$E$2003,$Z331-0)),IF($Z331&lt;=4000,IF(INDEX(周转筐出入库明细!$D$4:$D$2004,$Z331-2000)=0,"",INDEX(周转筐出入库明细!$D$4:$D$2004,$Z331-2000)),IF($Z331&lt;=5200,IF(INDEX(客户自备加工筐明细!$C$4:$C$1203,$Z331-4000)=0,"",INDEX(客户自备加工筐明细!$C$4:$C$1203,$Z331-4000)),IF($Z331&lt;=5800,IF(INDEX(次果筐明细!$D$4:$D$603,$Z331-5200)=0,"",INDEX(次果筐明细!$D$4:$D$603,$Z331-5200)),"")))))</f>
        <v/>
      </c>
      <c r="G331" s="24" t="str">
        <f>IF($Z331="","",IF($Z331&lt;=2000,IF(INDEX(包装物料出入库明细!$F$4:$F$2003,$Z331-0)=0,"",INDEX(包装物料出入库明细!$F$4:$F$2003,$Z331-0)),IF($Z331&lt;=4000,"",IF($Z331&lt;=5200,"",IF($Z331&lt;=5800,"","")))))</f>
        <v/>
      </c>
      <c r="H331" s="39" t="str">
        <f>IF($Z331="","",IF($Z331&lt;=2000,IF(INDEX(包装物料出入库明细!$L$4:$L$2003,$Z331-0)=0,"",INDEX(包装物料出入库明细!$L$4:$L$2003,$Z331-0)),IF($Z331&lt;=4000,N(INDEX(周转筐出入库明细!$H$4:$H$2004,$Z331-2000))+N(INDEX(周转筐出入库明细!$I$4:$I$2004,$Z331-2000))+N(INDEX(周转筐出入库明细!$J$4:$J$2004,$Z331-2000))+N(INDEX(周转筐出入库明细!$K$4:$K$2004,$Z331-2000)),IF($Z331&lt;=5200,N(INDEX(客户自备加工筐明细!$F$4:$F$1203,$Z331-4000))+N(INDEX(客户自备加工筐明细!$G$4:$G$1203,$Z331-4000)),IF($Z331&lt;=5800,IF(INDEX(次果筐明细!$G$4:$G$603,$Z331-5200)=0,"",INDEX(次果筐明细!$G$4:$G$603,$Z331-5200)),"")))))</f>
        <v/>
      </c>
      <c r="I331" s="24" t="str">
        <f>IF($Z331="","",IF($Z331&lt;=2000,IF(INDEX(包装物料出入库明细!$G$4:$G$2003,$Z331-0)=0,"",INDEX(包装物料出入库明细!$G$4:$G$2003,$Z331-0)),IF($Z331&lt;=4000,"个",IF($Z331&lt;=5200,"个",IF($Z331&lt;=5800,"个","")))))</f>
        <v/>
      </c>
      <c r="J331" s="30" t="str">
        <f t="shared" si="16"/>
        <v/>
      </c>
      <c r="K331" s="30" t="str">
        <f>IF($Z331="","",IF($Z331&lt;=2000,IF(INDEX(包装物料出入库明细!$N$4:$N$2003,$Z331-0)=0,"",INDEX(包装物料出入库明细!$N$4:$N$2003,$Z331-0)),IF($Z331&lt;=4000,IF(INDEX(周转筐出入库明细!$P$4:$P$2004,$Z331-2000)=0,"",INDEX(周转筐出入库明细!$P$4:$P$2004,$Z331-2000)),IF($Z331&lt;=5200,"",IF($Z331&lt;=5800,N(INDEX(次果筐明细!$L$4:$L$603,$Z331-5200))+N(INDEX(次果筐明细!$J$4:$J$603,$Z331-5200)),"")))))</f>
        <v/>
      </c>
      <c r="L331" s="24" t="str">
        <f>IF($Z331="","",IF($Z331&lt;=2000,IF(INDEX(包装物料出入库明细!$P$4:$P$2003,$Z331-0)=0,"",INDEX(包装物料出入库明细!$P$4:$P$2003,$Z331-0)),IF($Z331&lt;=4000,IF(INDEX(周转筐出入库明细!$Q$4:$Q$2004,$Z331-2000)=0,"",INDEX(周转筐出入库明细!$Q$4:$Q$2004,$Z331-2000)),IF($Z331&lt;=5200,"",IF($Z331&lt;=5800,IF(INDEX(次果筐明细!$M$4:$M$603,$Z331-5200)=0,"",INDEX(次果筐明细!$M$4:$M$603,$Z331-5200)),"")))))</f>
        <v/>
      </c>
      <c r="M331" s="37" t="str">
        <f>IF($Z331="","",IF($Z331&lt;=2000,IF(INDEX(包装物料出入库明细!$R$4:$R$2003,$Z331-0)=0,"",INDEX(包装物料出入库明细!$R$4:$R$2003,$Z331-0)),IF($Z331&lt;=4000,IF(INDEX(周转筐出入库明细!$W$4:$W$2004,$Z331-2000)=0,"",INDEX(周转筐出入库明细!$W$4:$W$2004,$Z331-2000)),IF($Z331&lt;=5200,IF(INDEX(客户自备加工筐明细!$L$4:$L$1203,$Z331-4000)=0,"",INDEX(客户自备加工筐明细!$L$4:$L$1203,$Z331-4000)),IF($Z331&lt;=5800,IF(INDEX(次果筐明细!$P$4:$P$603,$Z331-5200)=0,"",INDEX(次果筐明细!$P$4:$P$603,$Z331-5200)),"")))))</f>
        <v/>
      </c>
      <c r="N331" s="16" t="str">
        <f>IF($Z331="","",IF($Z331&lt;=2000,"",IF($Z331&lt;=4000,IF(INDEX(周转筐出入库明细!$D$4:$D$2004,$Z331-2000)=0,"",INDEX(周转筐出入库明细!$D$4:$D$2004,$Z331-2000)),IF($Z331&lt;=5200,IF(INDEX(客户自备加工筐明细!$C$4:$C$1203,$Z331-4000)=0,"",INDEX(客户自备加工筐明细!$C$4:$C$1203,$Z331-4000)),IF($Z331&lt;=5800,IF(INDEX(次果筐明细!$D$4:$D$603,$Z331-5200)=0,"",INDEX(次果筐明细!$D$4:$D$603,$Z331-5200)),"")))))</f>
        <v/>
      </c>
      <c r="O331" s="40" t="str">
        <f>IF($Z331="","",IF($Z331&lt;=2000,"",IF($Z331&lt;=4000,IF(N(INDEX(周转筐出入库明细!$J$4:$J$2004,$Z331-2000))+N(INDEX(周转筐出入库明细!$K$4:$K$2004,$Z331-2000))=0,"",N(INDEX(周转筐出入库明细!$J$4:$J$2004,$Z331-2000))+N(INDEX(周转筐出入库明细!$K$4:$K$2004,$Z331-2000))),IF($Z331&lt;=5200,IF(N(INDEX(客户自备加工筐明细!$G$4:$G$1203,$Z331-4000))=0,"",N(INDEX(客户自备加工筐明细!$G$4:$G$1203,$Z331-4000))),IF($Z331&lt;=5800,IF(ISNUMBER(SEARCH("退",INDEX(次果筐明细!$F$4:$F$603,$Z331-5200)&amp;"")),"",IF(N(INDEX(次果筐明细!$G$4:$G$603,$Z331-5200))=0,"",N(INDEX(次果筐明细!$G$4:$G$603,$Z331-5200)))),"")))))</f>
        <v/>
      </c>
      <c r="P331" s="40" t="str">
        <f>IF($Z331="","",IF($Z331&lt;=2000,"",IF($Z331&lt;=4000,IF(N(INDEX(周转筐出入库明细!$I$4:$I$2004,$Z331-2000))=0,"",N(INDEX(周转筐出入库明细!$I$4:$I$2004,$Z331-2000))),IF($Z331&lt;=5200,"",IF($Z331&lt;=5800,IF(ISNUMBER(SEARCH("退",INDEX(次果筐明细!$F$4:$F$603,$Z331-5200)&amp;"")),IF(N(INDEX(次果筐明细!$G$4:$G$603,$Z331-5200))=0,"",N(INDEX(次果筐明细!$G$4:$G$603,$Z331-5200))),""),"")))))</f>
        <v/>
      </c>
      <c r="Q331" s="40" t="str">
        <f>IF($Z331="","",IF($Z331&lt;=2000,"",IF($Z331&lt;=4000,IF(N(INDEX(周转筐出入库明细!$H$4:$H$2004,$Z331-2000))=0,"",N(INDEX(周转筐出入库明细!$H$4:$H$2004,$Z331-2000))),IF($Z331&lt;=5200,IF(N(INDEX(客户自备加工筐明细!$F$4:$F$1203,$Z331-4000))=0,"",N(INDEX(客户自备加工筐明细!$F$4:$F$1203,$Z331-4000))),IF($Z331&lt;=5800,"","")))))</f>
        <v/>
      </c>
      <c r="R331" s="16" t="str">
        <f>IF($Z331="","",IF($Z331&lt;=2000,IF(INDEX(包装物料出入库明细!$O$4:$O$2003,$Z331-0)=0,"",INDEX(包装物料出入库明细!$O$4:$O$2003,$Z331-0)),IF($Z331&lt;=4000,IF(INDEX(周转筐出入库明细!$M$4:$M$2004,$Z331-2000)=0,"",INDEX(周转筐出入库明细!$M$4:$M$2004,$Z331-2000)),IF($Z331&lt;=5200,IF(INDEX(客户自备加工筐明细!$H$4:$H$1203,$Z331-4000)=0,"",INDEX(客户自备加工筐明细!$H$4:$H$1203,$Z331-4000)),IF($Z331&lt;=5800,IF(INDEX(次果筐明细!$H$4:$H$603,$Z331-5200)=0,"",INDEX(次果筐明细!$H$4:$H$603,$Z331-5200)),"")))))</f>
        <v/>
      </c>
      <c r="S331" s="22" t="str">
        <f t="shared" si="17"/>
        <v/>
      </c>
      <c r="Z331" s="10" t="str">
        <f>IFERROR(MATCH(ROW()-3,_自动清单!$CQ$4:$CQ$5803,0),"")</f>
        <v/>
      </c>
    </row>
    <row r="332" spans="1:26">
      <c r="A332" s="24" t="str">
        <f t="shared" si="15"/>
        <v/>
      </c>
      <c r="B332" s="38" t="str">
        <f>IF($Z332="","",IF($Z332&lt;=2000,IF(INDEX(包装物料出入库明细!$B$4:$B$2003,$Z332-0)=0,"",INDEX(包装物料出入库明细!$B$4:$B$2003,$Z332-0)),IF($Z332&lt;=4000,IF(INDEX(周转筐出入库明细!$B$4:$B$2004,$Z332-2000)=0,"",INDEX(周转筐出入库明细!$B$4:$B$2004,$Z332-2000)),IF($Z332&lt;=5200,IF(INDEX(客户自备加工筐明细!$B$4:$B$1203,$Z332-4000)=0,"",INDEX(客户自备加工筐明细!$B$4:$B$1203,$Z332-4000)),IF($Z332&lt;=5800,IF(INDEX(次果筐明细!$B$4:$B$603,$Z332-5200)=0,"",INDEX(次果筐明细!$B$4:$B$603,$Z332-5200)),"")))))</f>
        <v/>
      </c>
      <c r="C332" s="37" t="str">
        <f>IF($Z332="","",IF($Z332&lt;=2000,IF(INDEX(包装物料出入库明细!$D$4:$D$2003,$Z332-0)=0,"",INDEX(包装物料出入库明细!$D$4:$D$2003,$Z332-0)),IF($Z332&lt;=4000,IF(INDEX(周转筐出入库明细!$C$4:$C$2004,$Z332-2000)=0,"",INDEX(周转筐出入库明细!$C$4:$C$2004,$Z332-2000)),IF($Z332&lt;=5200,IF(INDEX(客户自备加工筐明细!$E$4:$E$1203,$Z332-4000)=0,"",INDEX(客户自备加工筐明细!$E$4:$E$1203,$Z332-4000)),IF($Z332&lt;=5800,IF(INDEX(次果筐明细!$C$4:$C$603,$Z332-5200)=0,"",INDEX(次果筐明细!$C$4:$C$603,$Z332-5200)),"")))))</f>
        <v/>
      </c>
      <c r="D332" s="37" t="str">
        <f>IF($Z332="","",IF($Z332&lt;=2000,"包装物料－"&amp;INDEX(包装物料出入库明细!$H$4:$H$2003,$Z332-0),IF($Z332&lt;=4000,"周转筐－"&amp;INDEX(周转筐出入库明细!$F$4:$F$2004,$Z332-2000),IF($Z332&lt;=5200,"客户自备筐－"&amp;INDEX(客户自备加工筐明细!$J$4:$J$1203,$Z332-4000),IF($Z332&lt;=5800,"次果筐/托盘－"&amp;INDEX(次果筐明细!$F$4:$F$603,$Z332-5200),"")))))</f>
        <v/>
      </c>
      <c r="E332" s="24" t="str">
        <f>IF($Z332="","",IF($Z332&lt;=2000,IF(INDEX(包装物料出入库明细!$C$4:$C$2003,$Z332-0)=0,"",INDEX(包装物料出入库明细!$C$4:$C$2003,$Z332-0)),IF($Z332&lt;=4000,IF(INDEX(周转筐出入库明细!$E$4:$E$2004,$Z332-2000)=0,"",INDEX(周转筐出入库明细!$E$4:$E$2004,$Z332-2000)),IF($Z332&lt;=5200,IF(INDEX(客户自备加工筐明细!$D$4:$D$1203,$Z332-4000)=0,"",INDEX(客户自备加工筐明细!$D$4:$D$1203,$Z332-4000)),IF($Z332&lt;=5800,IF(INDEX(次果筐明细!$E$4:$E$603,$Z332-5200)=0,"",INDEX(次果筐明细!$E$4:$E$603,$Z332-5200)),"")))))</f>
        <v/>
      </c>
      <c r="F332" s="24" t="str">
        <f>IF($Z332="","",IF($Z332&lt;=2000,IF(INDEX(包装物料出入库明细!$E$4:$E$2003,$Z332-0)=0,"",INDEX(包装物料出入库明细!$E$4:$E$2003,$Z332-0)),IF($Z332&lt;=4000,IF(INDEX(周转筐出入库明细!$D$4:$D$2004,$Z332-2000)=0,"",INDEX(周转筐出入库明细!$D$4:$D$2004,$Z332-2000)),IF($Z332&lt;=5200,IF(INDEX(客户自备加工筐明细!$C$4:$C$1203,$Z332-4000)=0,"",INDEX(客户自备加工筐明细!$C$4:$C$1203,$Z332-4000)),IF($Z332&lt;=5800,IF(INDEX(次果筐明细!$D$4:$D$603,$Z332-5200)=0,"",INDEX(次果筐明细!$D$4:$D$603,$Z332-5200)),"")))))</f>
        <v/>
      </c>
      <c r="G332" s="24" t="str">
        <f>IF($Z332="","",IF($Z332&lt;=2000,IF(INDEX(包装物料出入库明细!$F$4:$F$2003,$Z332-0)=0,"",INDEX(包装物料出入库明细!$F$4:$F$2003,$Z332-0)),IF($Z332&lt;=4000,"",IF($Z332&lt;=5200,"",IF($Z332&lt;=5800,"","")))))</f>
        <v/>
      </c>
      <c r="H332" s="39" t="str">
        <f>IF($Z332="","",IF($Z332&lt;=2000,IF(INDEX(包装物料出入库明细!$L$4:$L$2003,$Z332-0)=0,"",INDEX(包装物料出入库明细!$L$4:$L$2003,$Z332-0)),IF($Z332&lt;=4000,N(INDEX(周转筐出入库明细!$H$4:$H$2004,$Z332-2000))+N(INDEX(周转筐出入库明细!$I$4:$I$2004,$Z332-2000))+N(INDEX(周转筐出入库明细!$J$4:$J$2004,$Z332-2000))+N(INDEX(周转筐出入库明细!$K$4:$K$2004,$Z332-2000)),IF($Z332&lt;=5200,N(INDEX(客户自备加工筐明细!$F$4:$F$1203,$Z332-4000))+N(INDEX(客户自备加工筐明细!$G$4:$G$1203,$Z332-4000)),IF($Z332&lt;=5800,IF(INDEX(次果筐明细!$G$4:$G$603,$Z332-5200)=0,"",INDEX(次果筐明细!$G$4:$G$603,$Z332-5200)),"")))))</f>
        <v/>
      </c>
      <c r="I332" s="24" t="str">
        <f>IF($Z332="","",IF($Z332&lt;=2000,IF(INDEX(包装物料出入库明细!$G$4:$G$2003,$Z332-0)=0,"",INDEX(包装物料出入库明细!$G$4:$G$2003,$Z332-0)),IF($Z332&lt;=4000,"个",IF($Z332&lt;=5200,"个",IF($Z332&lt;=5800,"个","")))))</f>
        <v/>
      </c>
      <c r="J332" s="30" t="str">
        <f t="shared" si="16"/>
        <v/>
      </c>
      <c r="K332" s="30" t="str">
        <f>IF($Z332="","",IF($Z332&lt;=2000,IF(INDEX(包装物料出入库明细!$N$4:$N$2003,$Z332-0)=0,"",INDEX(包装物料出入库明细!$N$4:$N$2003,$Z332-0)),IF($Z332&lt;=4000,IF(INDEX(周转筐出入库明细!$P$4:$P$2004,$Z332-2000)=0,"",INDEX(周转筐出入库明细!$P$4:$P$2004,$Z332-2000)),IF($Z332&lt;=5200,"",IF($Z332&lt;=5800,N(INDEX(次果筐明细!$L$4:$L$603,$Z332-5200))+N(INDEX(次果筐明细!$J$4:$J$603,$Z332-5200)),"")))))</f>
        <v/>
      </c>
      <c r="L332" s="24" t="str">
        <f>IF($Z332="","",IF($Z332&lt;=2000,IF(INDEX(包装物料出入库明细!$P$4:$P$2003,$Z332-0)=0,"",INDEX(包装物料出入库明细!$P$4:$P$2003,$Z332-0)),IF($Z332&lt;=4000,IF(INDEX(周转筐出入库明细!$Q$4:$Q$2004,$Z332-2000)=0,"",INDEX(周转筐出入库明细!$Q$4:$Q$2004,$Z332-2000)),IF($Z332&lt;=5200,"",IF($Z332&lt;=5800,IF(INDEX(次果筐明细!$M$4:$M$603,$Z332-5200)=0,"",INDEX(次果筐明细!$M$4:$M$603,$Z332-5200)),"")))))</f>
        <v/>
      </c>
      <c r="M332" s="37" t="str">
        <f>IF($Z332="","",IF($Z332&lt;=2000,IF(INDEX(包装物料出入库明细!$R$4:$R$2003,$Z332-0)=0,"",INDEX(包装物料出入库明细!$R$4:$R$2003,$Z332-0)),IF($Z332&lt;=4000,IF(INDEX(周转筐出入库明细!$W$4:$W$2004,$Z332-2000)=0,"",INDEX(周转筐出入库明细!$W$4:$W$2004,$Z332-2000)),IF($Z332&lt;=5200,IF(INDEX(客户自备加工筐明细!$L$4:$L$1203,$Z332-4000)=0,"",INDEX(客户自备加工筐明细!$L$4:$L$1203,$Z332-4000)),IF($Z332&lt;=5800,IF(INDEX(次果筐明细!$P$4:$P$603,$Z332-5200)=0,"",INDEX(次果筐明细!$P$4:$P$603,$Z332-5200)),"")))))</f>
        <v/>
      </c>
      <c r="N332" s="16" t="str">
        <f>IF($Z332="","",IF($Z332&lt;=2000,"",IF($Z332&lt;=4000,IF(INDEX(周转筐出入库明细!$D$4:$D$2004,$Z332-2000)=0,"",INDEX(周转筐出入库明细!$D$4:$D$2004,$Z332-2000)),IF($Z332&lt;=5200,IF(INDEX(客户自备加工筐明细!$C$4:$C$1203,$Z332-4000)=0,"",INDEX(客户自备加工筐明细!$C$4:$C$1203,$Z332-4000)),IF($Z332&lt;=5800,IF(INDEX(次果筐明细!$D$4:$D$603,$Z332-5200)=0,"",INDEX(次果筐明细!$D$4:$D$603,$Z332-5200)),"")))))</f>
        <v/>
      </c>
      <c r="O332" s="40" t="str">
        <f>IF($Z332="","",IF($Z332&lt;=2000,"",IF($Z332&lt;=4000,IF(N(INDEX(周转筐出入库明细!$J$4:$J$2004,$Z332-2000))+N(INDEX(周转筐出入库明细!$K$4:$K$2004,$Z332-2000))=0,"",N(INDEX(周转筐出入库明细!$J$4:$J$2004,$Z332-2000))+N(INDEX(周转筐出入库明细!$K$4:$K$2004,$Z332-2000))),IF($Z332&lt;=5200,IF(N(INDEX(客户自备加工筐明细!$G$4:$G$1203,$Z332-4000))=0,"",N(INDEX(客户自备加工筐明细!$G$4:$G$1203,$Z332-4000))),IF($Z332&lt;=5800,IF(ISNUMBER(SEARCH("退",INDEX(次果筐明细!$F$4:$F$603,$Z332-5200)&amp;"")),"",IF(N(INDEX(次果筐明细!$G$4:$G$603,$Z332-5200))=0,"",N(INDEX(次果筐明细!$G$4:$G$603,$Z332-5200)))),"")))))</f>
        <v/>
      </c>
      <c r="P332" s="40" t="str">
        <f>IF($Z332="","",IF($Z332&lt;=2000,"",IF($Z332&lt;=4000,IF(N(INDEX(周转筐出入库明细!$I$4:$I$2004,$Z332-2000))=0,"",N(INDEX(周转筐出入库明细!$I$4:$I$2004,$Z332-2000))),IF($Z332&lt;=5200,"",IF($Z332&lt;=5800,IF(ISNUMBER(SEARCH("退",INDEX(次果筐明细!$F$4:$F$603,$Z332-5200)&amp;"")),IF(N(INDEX(次果筐明细!$G$4:$G$603,$Z332-5200))=0,"",N(INDEX(次果筐明细!$G$4:$G$603,$Z332-5200))),""),"")))))</f>
        <v/>
      </c>
      <c r="Q332" s="40" t="str">
        <f>IF($Z332="","",IF($Z332&lt;=2000,"",IF($Z332&lt;=4000,IF(N(INDEX(周转筐出入库明细!$H$4:$H$2004,$Z332-2000))=0,"",N(INDEX(周转筐出入库明细!$H$4:$H$2004,$Z332-2000))),IF($Z332&lt;=5200,IF(N(INDEX(客户自备加工筐明细!$F$4:$F$1203,$Z332-4000))=0,"",N(INDEX(客户自备加工筐明细!$F$4:$F$1203,$Z332-4000))),IF($Z332&lt;=5800,"","")))))</f>
        <v/>
      </c>
      <c r="R332" s="16" t="str">
        <f>IF($Z332="","",IF($Z332&lt;=2000,IF(INDEX(包装物料出入库明细!$O$4:$O$2003,$Z332-0)=0,"",INDEX(包装物料出入库明细!$O$4:$O$2003,$Z332-0)),IF($Z332&lt;=4000,IF(INDEX(周转筐出入库明细!$M$4:$M$2004,$Z332-2000)=0,"",INDEX(周转筐出入库明细!$M$4:$M$2004,$Z332-2000)),IF($Z332&lt;=5200,IF(INDEX(客户自备加工筐明细!$H$4:$H$1203,$Z332-4000)=0,"",INDEX(客户自备加工筐明细!$H$4:$H$1203,$Z332-4000)),IF($Z332&lt;=5800,IF(INDEX(次果筐明细!$H$4:$H$603,$Z332-5200)=0,"",INDEX(次果筐明细!$H$4:$H$603,$Z332-5200)),"")))))</f>
        <v/>
      </c>
      <c r="S332" s="22" t="str">
        <f t="shared" si="17"/>
        <v/>
      </c>
      <c r="Z332" s="10" t="str">
        <f>IFERROR(MATCH(ROW()-3,_自动清单!$CQ$4:$CQ$5803,0),"")</f>
        <v/>
      </c>
    </row>
    <row r="333" spans="1:26">
      <c r="A333" s="24" t="str">
        <f t="shared" si="15"/>
        <v/>
      </c>
      <c r="B333" s="38" t="str">
        <f>IF($Z333="","",IF($Z333&lt;=2000,IF(INDEX(包装物料出入库明细!$B$4:$B$2003,$Z333-0)=0,"",INDEX(包装物料出入库明细!$B$4:$B$2003,$Z333-0)),IF($Z333&lt;=4000,IF(INDEX(周转筐出入库明细!$B$4:$B$2004,$Z333-2000)=0,"",INDEX(周转筐出入库明细!$B$4:$B$2004,$Z333-2000)),IF($Z333&lt;=5200,IF(INDEX(客户自备加工筐明细!$B$4:$B$1203,$Z333-4000)=0,"",INDEX(客户自备加工筐明细!$B$4:$B$1203,$Z333-4000)),IF($Z333&lt;=5800,IF(INDEX(次果筐明细!$B$4:$B$603,$Z333-5200)=0,"",INDEX(次果筐明细!$B$4:$B$603,$Z333-5200)),"")))))</f>
        <v/>
      </c>
      <c r="C333" s="37" t="str">
        <f>IF($Z333="","",IF($Z333&lt;=2000,IF(INDEX(包装物料出入库明细!$D$4:$D$2003,$Z333-0)=0,"",INDEX(包装物料出入库明细!$D$4:$D$2003,$Z333-0)),IF($Z333&lt;=4000,IF(INDEX(周转筐出入库明细!$C$4:$C$2004,$Z333-2000)=0,"",INDEX(周转筐出入库明细!$C$4:$C$2004,$Z333-2000)),IF($Z333&lt;=5200,IF(INDEX(客户自备加工筐明细!$E$4:$E$1203,$Z333-4000)=0,"",INDEX(客户自备加工筐明细!$E$4:$E$1203,$Z333-4000)),IF($Z333&lt;=5800,IF(INDEX(次果筐明细!$C$4:$C$603,$Z333-5200)=0,"",INDEX(次果筐明细!$C$4:$C$603,$Z333-5200)),"")))))</f>
        <v/>
      </c>
      <c r="D333" s="37" t="str">
        <f>IF($Z333="","",IF($Z333&lt;=2000,"包装物料－"&amp;INDEX(包装物料出入库明细!$H$4:$H$2003,$Z333-0),IF($Z333&lt;=4000,"周转筐－"&amp;INDEX(周转筐出入库明细!$F$4:$F$2004,$Z333-2000),IF($Z333&lt;=5200,"客户自备筐－"&amp;INDEX(客户自备加工筐明细!$J$4:$J$1203,$Z333-4000),IF($Z333&lt;=5800,"次果筐/托盘－"&amp;INDEX(次果筐明细!$F$4:$F$603,$Z333-5200),"")))))</f>
        <v/>
      </c>
      <c r="E333" s="24" t="str">
        <f>IF($Z333="","",IF($Z333&lt;=2000,IF(INDEX(包装物料出入库明细!$C$4:$C$2003,$Z333-0)=0,"",INDEX(包装物料出入库明细!$C$4:$C$2003,$Z333-0)),IF($Z333&lt;=4000,IF(INDEX(周转筐出入库明细!$E$4:$E$2004,$Z333-2000)=0,"",INDEX(周转筐出入库明细!$E$4:$E$2004,$Z333-2000)),IF($Z333&lt;=5200,IF(INDEX(客户自备加工筐明细!$D$4:$D$1203,$Z333-4000)=0,"",INDEX(客户自备加工筐明细!$D$4:$D$1203,$Z333-4000)),IF($Z333&lt;=5800,IF(INDEX(次果筐明细!$E$4:$E$603,$Z333-5200)=0,"",INDEX(次果筐明细!$E$4:$E$603,$Z333-5200)),"")))))</f>
        <v/>
      </c>
      <c r="F333" s="24" t="str">
        <f>IF($Z333="","",IF($Z333&lt;=2000,IF(INDEX(包装物料出入库明细!$E$4:$E$2003,$Z333-0)=0,"",INDEX(包装物料出入库明细!$E$4:$E$2003,$Z333-0)),IF($Z333&lt;=4000,IF(INDEX(周转筐出入库明细!$D$4:$D$2004,$Z333-2000)=0,"",INDEX(周转筐出入库明细!$D$4:$D$2004,$Z333-2000)),IF($Z333&lt;=5200,IF(INDEX(客户自备加工筐明细!$C$4:$C$1203,$Z333-4000)=0,"",INDEX(客户自备加工筐明细!$C$4:$C$1203,$Z333-4000)),IF($Z333&lt;=5800,IF(INDEX(次果筐明细!$D$4:$D$603,$Z333-5200)=0,"",INDEX(次果筐明细!$D$4:$D$603,$Z333-5200)),"")))))</f>
        <v/>
      </c>
      <c r="G333" s="24" t="str">
        <f>IF($Z333="","",IF($Z333&lt;=2000,IF(INDEX(包装物料出入库明细!$F$4:$F$2003,$Z333-0)=0,"",INDEX(包装物料出入库明细!$F$4:$F$2003,$Z333-0)),IF($Z333&lt;=4000,"",IF($Z333&lt;=5200,"",IF($Z333&lt;=5800,"","")))))</f>
        <v/>
      </c>
      <c r="H333" s="39" t="str">
        <f>IF($Z333="","",IF($Z333&lt;=2000,IF(INDEX(包装物料出入库明细!$L$4:$L$2003,$Z333-0)=0,"",INDEX(包装物料出入库明细!$L$4:$L$2003,$Z333-0)),IF($Z333&lt;=4000,N(INDEX(周转筐出入库明细!$H$4:$H$2004,$Z333-2000))+N(INDEX(周转筐出入库明细!$I$4:$I$2004,$Z333-2000))+N(INDEX(周转筐出入库明细!$J$4:$J$2004,$Z333-2000))+N(INDEX(周转筐出入库明细!$K$4:$K$2004,$Z333-2000)),IF($Z333&lt;=5200,N(INDEX(客户自备加工筐明细!$F$4:$F$1203,$Z333-4000))+N(INDEX(客户自备加工筐明细!$G$4:$G$1203,$Z333-4000)),IF($Z333&lt;=5800,IF(INDEX(次果筐明细!$G$4:$G$603,$Z333-5200)=0,"",INDEX(次果筐明细!$G$4:$G$603,$Z333-5200)),"")))))</f>
        <v/>
      </c>
      <c r="I333" s="24" t="str">
        <f>IF($Z333="","",IF($Z333&lt;=2000,IF(INDEX(包装物料出入库明细!$G$4:$G$2003,$Z333-0)=0,"",INDEX(包装物料出入库明细!$G$4:$G$2003,$Z333-0)),IF($Z333&lt;=4000,"个",IF($Z333&lt;=5200,"个",IF($Z333&lt;=5800,"个","")))))</f>
        <v/>
      </c>
      <c r="J333" s="30" t="str">
        <f t="shared" si="16"/>
        <v/>
      </c>
      <c r="K333" s="30" t="str">
        <f>IF($Z333="","",IF($Z333&lt;=2000,IF(INDEX(包装物料出入库明细!$N$4:$N$2003,$Z333-0)=0,"",INDEX(包装物料出入库明细!$N$4:$N$2003,$Z333-0)),IF($Z333&lt;=4000,IF(INDEX(周转筐出入库明细!$P$4:$P$2004,$Z333-2000)=0,"",INDEX(周转筐出入库明细!$P$4:$P$2004,$Z333-2000)),IF($Z333&lt;=5200,"",IF($Z333&lt;=5800,N(INDEX(次果筐明细!$L$4:$L$603,$Z333-5200))+N(INDEX(次果筐明细!$J$4:$J$603,$Z333-5200)),"")))))</f>
        <v/>
      </c>
      <c r="L333" s="24" t="str">
        <f>IF($Z333="","",IF($Z333&lt;=2000,IF(INDEX(包装物料出入库明细!$P$4:$P$2003,$Z333-0)=0,"",INDEX(包装物料出入库明细!$P$4:$P$2003,$Z333-0)),IF($Z333&lt;=4000,IF(INDEX(周转筐出入库明细!$Q$4:$Q$2004,$Z333-2000)=0,"",INDEX(周转筐出入库明细!$Q$4:$Q$2004,$Z333-2000)),IF($Z333&lt;=5200,"",IF($Z333&lt;=5800,IF(INDEX(次果筐明细!$M$4:$M$603,$Z333-5200)=0,"",INDEX(次果筐明细!$M$4:$M$603,$Z333-5200)),"")))))</f>
        <v/>
      </c>
      <c r="M333" s="37" t="str">
        <f>IF($Z333="","",IF($Z333&lt;=2000,IF(INDEX(包装物料出入库明细!$R$4:$R$2003,$Z333-0)=0,"",INDEX(包装物料出入库明细!$R$4:$R$2003,$Z333-0)),IF($Z333&lt;=4000,IF(INDEX(周转筐出入库明细!$W$4:$W$2004,$Z333-2000)=0,"",INDEX(周转筐出入库明细!$W$4:$W$2004,$Z333-2000)),IF($Z333&lt;=5200,IF(INDEX(客户自备加工筐明细!$L$4:$L$1203,$Z333-4000)=0,"",INDEX(客户自备加工筐明细!$L$4:$L$1203,$Z333-4000)),IF($Z333&lt;=5800,IF(INDEX(次果筐明细!$P$4:$P$603,$Z333-5200)=0,"",INDEX(次果筐明细!$P$4:$P$603,$Z333-5200)),"")))))</f>
        <v/>
      </c>
      <c r="N333" s="16" t="str">
        <f>IF($Z333="","",IF($Z333&lt;=2000,"",IF($Z333&lt;=4000,IF(INDEX(周转筐出入库明细!$D$4:$D$2004,$Z333-2000)=0,"",INDEX(周转筐出入库明细!$D$4:$D$2004,$Z333-2000)),IF($Z333&lt;=5200,IF(INDEX(客户自备加工筐明细!$C$4:$C$1203,$Z333-4000)=0,"",INDEX(客户自备加工筐明细!$C$4:$C$1203,$Z333-4000)),IF($Z333&lt;=5800,IF(INDEX(次果筐明细!$D$4:$D$603,$Z333-5200)=0,"",INDEX(次果筐明细!$D$4:$D$603,$Z333-5200)),"")))))</f>
        <v/>
      </c>
      <c r="O333" s="40" t="str">
        <f>IF($Z333="","",IF($Z333&lt;=2000,"",IF($Z333&lt;=4000,IF(N(INDEX(周转筐出入库明细!$J$4:$J$2004,$Z333-2000))+N(INDEX(周转筐出入库明细!$K$4:$K$2004,$Z333-2000))=0,"",N(INDEX(周转筐出入库明细!$J$4:$J$2004,$Z333-2000))+N(INDEX(周转筐出入库明细!$K$4:$K$2004,$Z333-2000))),IF($Z333&lt;=5200,IF(N(INDEX(客户自备加工筐明细!$G$4:$G$1203,$Z333-4000))=0,"",N(INDEX(客户自备加工筐明细!$G$4:$G$1203,$Z333-4000))),IF($Z333&lt;=5800,IF(ISNUMBER(SEARCH("退",INDEX(次果筐明细!$F$4:$F$603,$Z333-5200)&amp;"")),"",IF(N(INDEX(次果筐明细!$G$4:$G$603,$Z333-5200))=0,"",N(INDEX(次果筐明细!$G$4:$G$603,$Z333-5200)))),"")))))</f>
        <v/>
      </c>
      <c r="P333" s="40" t="str">
        <f>IF($Z333="","",IF($Z333&lt;=2000,"",IF($Z333&lt;=4000,IF(N(INDEX(周转筐出入库明细!$I$4:$I$2004,$Z333-2000))=0,"",N(INDEX(周转筐出入库明细!$I$4:$I$2004,$Z333-2000))),IF($Z333&lt;=5200,"",IF($Z333&lt;=5800,IF(ISNUMBER(SEARCH("退",INDEX(次果筐明细!$F$4:$F$603,$Z333-5200)&amp;"")),IF(N(INDEX(次果筐明细!$G$4:$G$603,$Z333-5200))=0,"",N(INDEX(次果筐明细!$G$4:$G$603,$Z333-5200))),""),"")))))</f>
        <v/>
      </c>
      <c r="Q333" s="40" t="str">
        <f>IF($Z333="","",IF($Z333&lt;=2000,"",IF($Z333&lt;=4000,IF(N(INDEX(周转筐出入库明细!$H$4:$H$2004,$Z333-2000))=0,"",N(INDEX(周转筐出入库明细!$H$4:$H$2004,$Z333-2000))),IF($Z333&lt;=5200,IF(N(INDEX(客户自备加工筐明细!$F$4:$F$1203,$Z333-4000))=0,"",N(INDEX(客户自备加工筐明细!$F$4:$F$1203,$Z333-4000))),IF($Z333&lt;=5800,"","")))))</f>
        <v/>
      </c>
      <c r="R333" s="16" t="str">
        <f>IF($Z333="","",IF($Z333&lt;=2000,IF(INDEX(包装物料出入库明细!$O$4:$O$2003,$Z333-0)=0,"",INDEX(包装物料出入库明细!$O$4:$O$2003,$Z333-0)),IF($Z333&lt;=4000,IF(INDEX(周转筐出入库明细!$M$4:$M$2004,$Z333-2000)=0,"",INDEX(周转筐出入库明细!$M$4:$M$2004,$Z333-2000)),IF($Z333&lt;=5200,IF(INDEX(客户自备加工筐明细!$H$4:$H$1203,$Z333-4000)=0,"",INDEX(客户自备加工筐明细!$H$4:$H$1203,$Z333-4000)),IF($Z333&lt;=5800,IF(INDEX(次果筐明细!$H$4:$H$603,$Z333-5200)=0,"",INDEX(次果筐明细!$H$4:$H$603,$Z333-5200)),"")))))</f>
        <v/>
      </c>
      <c r="S333" s="22" t="str">
        <f t="shared" si="17"/>
        <v/>
      </c>
      <c r="Z333" s="10" t="str">
        <f>IFERROR(MATCH(ROW()-3,_自动清单!$CQ$4:$CQ$5803,0),"")</f>
        <v/>
      </c>
    </row>
    <row r="334" spans="1:26">
      <c r="A334" s="24" t="str">
        <f t="shared" si="15"/>
        <v/>
      </c>
      <c r="B334" s="38" t="str">
        <f>IF($Z334="","",IF($Z334&lt;=2000,IF(INDEX(包装物料出入库明细!$B$4:$B$2003,$Z334-0)=0,"",INDEX(包装物料出入库明细!$B$4:$B$2003,$Z334-0)),IF($Z334&lt;=4000,IF(INDEX(周转筐出入库明细!$B$4:$B$2004,$Z334-2000)=0,"",INDEX(周转筐出入库明细!$B$4:$B$2004,$Z334-2000)),IF($Z334&lt;=5200,IF(INDEX(客户自备加工筐明细!$B$4:$B$1203,$Z334-4000)=0,"",INDEX(客户自备加工筐明细!$B$4:$B$1203,$Z334-4000)),IF($Z334&lt;=5800,IF(INDEX(次果筐明细!$B$4:$B$603,$Z334-5200)=0,"",INDEX(次果筐明细!$B$4:$B$603,$Z334-5200)),"")))))</f>
        <v/>
      </c>
      <c r="C334" s="37" t="str">
        <f>IF($Z334="","",IF($Z334&lt;=2000,IF(INDEX(包装物料出入库明细!$D$4:$D$2003,$Z334-0)=0,"",INDEX(包装物料出入库明细!$D$4:$D$2003,$Z334-0)),IF($Z334&lt;=4000,IF(INDEX(周转筐出入库明细!$C$4:$C$2004,$Z334-2000)=0,"",INDEX(周转筐出入库明细!$C$4:$C$2004,$Z334-2000)),IF($Z334&lt;=5200,IF(INDEX(客户自备加工筐明细!$E$4:$E$1203,$Z334-4000)=0,"",INDEX(客户自备加工筐明细!$E$4:$E$1203,$Z334-4000)),IF($Z334&lt;=5800,IF(INDEX(次果筐明细!$C$4:$C$603,$Z334-5200)=0,"",INDEX(次果筐明细!$C$4:$C$603,$Z334-5200)),"")))))</f>
        <v/>
      </c>
      <c r="D334" s="37" t="str">
        <f>IF($Z334="","",IF($Z334&lt;=2000,"包装物料－"&amp;INDEX(包装物料出入库明细!$H$4:$H$2003,$Z334-0),IF($Z334&lt;=4000,"周转筐－"&amp;INDEX(周转筐出入库明细!$F$4:$F$2004,$Z334-2000),IF($Z334&lt;=5200,"客户自备筐－"&amp;INDEX(客户自备加工筐明细!$J$4:$J$1203,$Z334-4000),IF($Z334&lt;=5800,"次果筐/托盘－"&amp;INDEX(次果筐明细!$F$4:$F$603,$Z334-5200),"")))))</f>
        <v/>
      </c>
      <c r="E334" s="24" t="str">
        <f>IF($Z334="","",IF($Z334&lt;=2000,IF(INDEX(包装物料出入库明细!$C$4:$C$2003,$Z334-0)=0,"",INDEX(包装物料出入库明细!$C$4:$C$2003,$Z334-0)),IF($Z334&lt;=4000,IF(INDEX(周转筐出入库明细!$E$4:$E$2004,$Z334-2000)=0,"",INDEX(周转筐出入库明细!$E$4:$E$2004,$Z334-2000)),IF($Z334&lt;=5200,IF(INDEX(客户自备加工筐明细!$D$4:$D$1203,$Z334-4000)=0,"",INDEX(客户自备加工筐明细!$D$4:$D$1203,$Z334-4000)),IF($Z334&lt;=5800,IF(INDEX(次果筐明细!$E$4:$E$603,$Z334-5200)=0,"",INDEX(次果筐明细!$E$4:$E$603,$Z334-5200)),"")))))</f>
        <v/>
      </c>
      <c r="F334" s="24" t="str">
        <f>IF($Z334="","",IF($Z334&lt;=2000,IF(INDEX(包装物料出入库明细!$E$4:$E$2003,$Z334-0)=0,"",INDEX(包装物料出入库明细!$E$4:$E$2003,$Z334-0)),IF($Z334&lt;=4000,IF(INDEX(周转筐出入库明细!$D$4:$D$2004,$Z334-2000)=0,"",INDEX(周转筐出入库明细!$D$4:$D$2004,$Z334-2000)),IF($Z334&lt;=5200,IF(INDEX(客户自备加工筐明细!$C$4:$C$1203,$Z334-4000)=0,"",INDEX(客户自备加工筐明细!$C$4:$C$1203,$Z334-4000)),IF($Z334&lt;=5800,IF(INDEX(次果筐明细!$D$4:$D$603,$Z334-5200)=0,"",INDEX(次果筐明细!$D$4:$D$603,$Z334-5200)),"")))))</f>
        <v/>
      </c>
      <c r="G334" s="24" t="str">
        <f>IF($Z334="","",IF($Z334&lt;=2000,IF(INDEX(包装物料出入库明细!$F$4:$F$2003,$Z334-0)=0,"",INDEX(包装物料出入库明细!$F$4:$F$2003,$Z334-0)),IF($Z334&lt;=4000,"",IF($Z334&lt;=5200,"",IF($Z334&lt;=5800,"","")))))</f>
        <v/>
      </c>
      <c r="H334" s="39" t="str">
        <f>IF($Z334="","",IF($Z334&lt;=2000,IF(INDEX(包装物料出入库明细!$L$4:$L$2003,$Z334-0)=0,"",INDEX(包装物料出入库明细!$L$4:$L$2003,$Z334-0)),IF($Z334&lt;=4000,N(INDEX(周转筐出入库明细!$H$4:$H$2004,$Z334-2000))+N(INDEX(周转筐出入库明细!$I$4:$I$2004,$Z334-2000))+N(INDEX(周转筐出入库明细!$J$4:$J$2004,$Z334-2000))+N(INDEX(周转筐出入库明细!$K$4:$K$2004,$Z334-2000)),IF($Z334&lt;=5200,N(INDEX(客户自备加工筐明细!$F$4:$F$1203,$Z334-4000))+N(INDEX(客户自备加工筐明细!$G$4:$G$1203,$Z334-4000)),IF($Z334&lt;=5800,IF(INDEX(次果筐明细!$G$4:$G$603,$Z334-5200)=0,"",INDEX(次果筐明细!$G$4:$G$603,$Z334-5200)),"")))))</f>
        <v/>
      </c>
      <c r="I334" s="24" t="str">
        <f>IF($Z334="","",IF($Z334&lt;=2000,IF(INDEX(包装物料出入库明细!$G$4:$G$2003,$Z334-0)=0,"",INDEX(包装物料出入库明细!$G$4:$G$2003,$Z334-0)),IF($Z334&lt;=4000,"个",IF($Z334&lt;=5200,"个",IF($Z334&lt;=5800,"个","")))))</f>
        <v/>
      </c>
      <c r="J334" s="30" t="str">
        <f t="shared" si="16"/>
        <v/>
      </c>
      <c r="K334" s="30" t="str">
        <f>IF($Z334="","",IF($Z334&lt;=2000,IF(INDEX(包装物料出入库明细!$N$4:$N$2003,$Z334-0)=0,"",INDEX(包装物料出入库明细!$N$4:$N$2003,$Z334-0)),IF($Z334&lt;=4000,IF(INDEX(周转筐出入库明细!$P$4:$P$2004,$Z334-2000)=0,"",INDEX(周转筐出入库明细!$P$4:$P$2004,$Z334-2000)),IF($Z334&lt;=5200,"",IF($Z334&lt;=5800,N(INDEX(次果筐明细!$L$4:$L$603,$Z334-5200))+N(INDEX(次果筐明细!$J$4:$J$603,$Z334-5200)),"")))))</f>
        <v/>
      </c>
      <c r="L334" s="24" t="str">
        <f>IF($Z334="","",IF($Z334&lt;=2000,IF(INDEX(包装物料出入库明细!$P$4:$P$2003,$Z334-0)=0,"",INDEX(包装物料出入库明细!$P$4:$P$2003,$Z334-0)),IF($Z334&lt;=4000,IF(INDEX(周转筐出入库明细!$Q$4:$Q$2004,$Z334-2000)=0,"",INDEX(周转筐出入库明细!$Q$4:$Q$2004,$Z334-2000)),IF($Z334&lt;=5200,"",IF($Z334&lt;=5800,IF(INDEX(次果筐明细!$M$4:$M$603,$Z334-5200)=0,"",INDEX(次果筐明细!$M$4:$M$603,$Z334-5200)),"")))))</f>
        <v/>
      </c>
      <c r="M334" s="37" t="str">
        <f>IF($Z334="","",IF($Z334&lt;=2000,IF(INDEX(包装物料出入库明细!$R$4:$R$2003,$Z334-0)=0,"",INDEX(包装物料出入库明细!$R$4:$R$2003,$Z334-0)),IF($Z334&lt;=4000,IF(INDEX(周转筐出入库明细!$W$4:$W$2004,$Z334-2000)=0,"",INDEX(周转筐出入库明细!$W$4:$W$2004,$Z334-2000)),IF($Z334&lt;=5200,IF(INDEX(客户自备加工筐明细!$L$4:$L$1203,$Z334-4000)=0,"",INDEX(客户自备加工筐明细!$L$4:$L$1203,$Z334-4000)),IF($Z334&lt;=5800,IF(INDEX(次果筐明细!$P$4:$P$603,$Z334-5200)=0,"",INDEX(次果筐明细!$P$4:$P$603,$Z334-5200)),"")))))</f>
        <v/>
      </c>
      <c r="N334" s="16" t="str">
        <f>IF($Z334="","",IF($Z334&lt;=2000,"",IF($Z334&lt;=4000,IF(INDEX(周转筐出入库明细!$D$4:$D$2004,$Z334-2000)=0,"",INDEX(周转筐出入库明细!$D$4:$D$2004,$Z334-2000)),IF($Z334&lt;=5200,IF(INDEX(客户自备加工筐明细!$C$4:$C$1203,$Z334-4000)=0,"",INDEX(客户自备加工筐明细!$C$4:$C$1203,$Z334-4000)),IF($Z334&lt;=5800,IF(INDEX(次果筐明细!$D$4:$D$603,$Z334-5200)=0,"",INDEX(次果筐明细!$D$4:$D$603,$Z334-5200)),"")))))</f>
        <v/>
      </c>
      <c r="O334" s="40" t="str">
        <f>IF($Z334="","",IF($Z334&lt;=2000,"",IF($Z334&lt;=4000,IF(N(INDEX(周转筐出入库明细!$J$4:$J$2004,$Z334-2000))+N(INDEX(周转筐出入库明细!$K$4:$K$2004,$Z334-2000))=0,"",N(INDEX(周转筐出入库明细!$J$4:$J$2004,$Z334-2000))+N(INDEX(周转筐出入库明细!$K$4:$K$2004,$Z334-2000))),IF($Z334&lt;=5200,IF(N(INDEX(客户自备加工筐明细!$G$4:$G$1203,$Z334-4000))=0,"",N(INDEX(客户自备加工筐明细!$G$4:$G$1203,$Z334-4000))),IF($Z334&lt;=5800,IF(ISNUMBER(SEARCH("退",INDEX(次果筐明细!$F$4:$F$603,$Z334-5200)&amp;"")),"",IF(N(INDEX(次果筐明细!$G$4:$G$603,$Z334-5200))=0,"",N(INDEX(次果筐明细!$G$4:$G$603,$Z334-5200)))),"")))))</f>
        <v/>
      </c>
      <c r="P334" s="40" t="str">
        <f>IF($Z334="","",IF($Z334&lt;=2000,"",IF($Z334&lt;=4000,IF(N(INDEX(周转筐出入库明细!$I$4:$I$2004,$Z334-2000))=0,"",N(INDEX(周转筐出入库明细!$I$4:$I$2004,$Z334-2000))),IF($Z334&lt;=5200,"",IF($Z334&lt;=5800,IF(ISNUMBER(SEARCH("退",INDEX(次果筐明细!$F$4:$F$603,$Z334-5200)&amp;"")),IF(N(INDEX(次果筐明细!$G$4:$G$603,$Z334-5200))=0,"",N(INDEX(次果筐明细!$G$4:$G$603,$Z334-5200))),""),"")))))</f>
        <v/>
      </c>
      <c r="Q334" s="40" t="str">
        <f>IF($Z334="","",IF($Z334&lt;=2000,"",IF($Z334&lt;=4000,IF(N(INDEX(周转筐出入库明细!$H$4:$H$2004,$Z334-2000))=0,"",N(INDEX(周转筐出入库明细!$H$4:$H$2004,$Z334-2000))),IF($Z334&lt;=5200,IF(N(INDEX(客户自备加工筐明细!$F$4:$F$1203,$Z334-4000))=0,"",N(INDEX(客户自备加工筐明细!$F$4:$F$1203,$Z334-4000))),IF($Z334&lt;=5800,"","")))))</f>
        <v/>
      </c>
      <c r="R334" s="16" t="str">
        <f>IF($Z334="","",IF($Z334&lt;=2000,IF(INDEX(包装物料出入库明细!$O$4:$O$2003,$Z334-0)=0,"",INDEX(包装物料出入库明细!$O$4:$O$2003,$Z334-0)),IF($Z334&lt;=4000,IF(INDEX(周转筐出入库明细!$M$4:$M$2004,$Z334-2000)=0,"",INDEX(周转筐出入库明细!$M$4:$M$2004,$Z334-2000)),IF($Z334&lt;=5200,IF(INDEX(客户自备加工筐明细!$H$4:$H$1203,$Z334-4000)=0,"",INDEX(客户自备加工筐明细!$H$4:$H$1203,$Z334-4000)),IF($Z334&lt;=5800,IF(INDEX(次果筐明细!$H$4:$H$603,$Z334-5200)=0,"",INDEX(次果筐明细!$H$4:$H$603,$Z334-5200)),"")))))</f>
        <v/>
      </c>
      <c r="S334" s="22" t="str">
        <f t="shared" si="17"/>
        <v/>
      </c>
      <c r="Z334" s="10" t="str">
        <f>IFERROR(MATCH(ROW()-3,_自动清单!$CQ$4:$CQ$5803,0),"")</f>
        <v/>
      </c>
    </row>
    <row r="335" spans="1:26">
      <c r="A335" s="24" t="str">
        <f t="shared" si="15"/>
        <v/>
      </c>
      <c r="B335" s="38" t="str">
        <f>IF($Z335="","",IF($Z335&lt;=2000,IF(INDEX(包装物料出入库明细!$B$4:$B$2003,$Z335-0)=0,"",INDEX(包装物料出入库明细!$B$4:$B$2003,$Z335-0)),IF($Z335&lt;=4000,IF(INDEX(周转筐出入库明细!$B$4:$B$2004,$Z335-2000)=0,"",INDEX(周转筐出入库明细!$B$4:$B$2004,$Z335-2000)),IF($Z335&lt;=5200,IF(INDEX(客户自备加工筐明细!$B$4:$B$1203,$Z335-4000)=0,"",INDEX(客户自备加工筐明细!$B$4:$B$1203,$Z335-4000)),IF($Z335&lt;=5800,IF(INDEX(次果筐明细!$B$4:$B$603,$Z335-5200)=0,"",INDEX(次果筐明细!$B$4:$B$603,$Z335-5200)),"")))))</f>
        <v/>
      </c>
      <c r="C335" s="37" t="str">
        <f>IF($Z335="","",IF($Z335&lt;=2000,IF(INDEX(包装物料出入库明细!$D$4:$D$2003,$Z335-0)=0,"",INDEX(包装物料出入库明细!$D$4:$D$2003,$Z335-0)),IF($Z335&lt;=4000,IF(INDEX(周转筐出入库明细!$C$4:$C$2004,$Z335-2000)=0,"",INDEX(周转筐出入库明细!$C$4:$C$2004,$Z335-2000)),IF($Z335&lt;=5200,IF(INDEX(客户自备加工筐明细!$E$4:$E$1203,$Z335-4000)=0,"",INDEX(客户自备加工筐明细!$E$4:$E$1203,$Z335-4000)),IF($Z335&lt;=5800,IF(INDEX(次果筐明细!$C$4:$C$603,$Z335-5200)=0,"",INDEX(次果筐明细!$C$4:$C$603,$Z335-5200)),"")))))</f>
        <v/>
      </c>
      <c r="D335" s="37" t="str">
        <f>IF($Z335="","",IF($Z335&lt;=2000,"包装物料－"&amp;INDEX(包装物料出入库明细!$H$4:$H$2003,$Z335-0),IF($Z335&lt;=4000,"周转筐－"&amp;INDEX(周转筐出入库明细!$F$4:$F$2004,$Z335-2000),IF($Z335&lt;=5200,"客户自备筐－"&amp;INDEX(客户自备加工筐明细!$J$4:$J$1203,$Z335-4000),IF($Z335&lt;=5800,"次果筐/托盘－"&amp;INDEX(次果筐明细!$F$4:$F$603,$Z335-5200),"")))))</f>
        <v/>
      </c>
      <c r="E335" s="24" t="str">
        <f>IF($Z335="","",IF($Z335&lt;=2000,IF(INDEX(包装物料出入库明细!$C$4:$C$2003,$Z335-0)=0,"",INDEX(包装物料出入库明细!$C$4:$C$2003,$Z335-0)),IF($Z335&lt;=4000,IF(INDEX(周转筐出入库明细!$E$4:$E$2004,$Z335-2000)=0,"",INDEX(周转筐出入库明细!$E$4:$E$2004,$Z335-2000)),IF($Z335&lt;=5200,IF(INDEX(客户自备加工筐明细!$D$4:$D$1203,$Z335-4000)=0,"",INDEX(客户自备加工筐明细!$D$4:$D$1203,$Z335-4000)),IF($Z335&lt;=5800,IF(INDEX(次果筐明细!$E$4:$E$603,$Z335-5200)=0,"",INDEX(次果筐明细!$E$4:$E$603,$Z335-5200)),"")))))</f>
        <v/>
      </c>
      <c r="F335" s="24" t="str">
        <f>IF($Z335="","",IF($Z335&lt;=2000,IF(INDEX(包装物料出入库明细!$E$4:$E$2003,$Z335-0)=0,"",INDEX(包装物料出入库明细!$E$4:$E$2003,$Z335-0)),IF($Z335&lt;=4000,IF(INDEX(周转筐出入库明细!$D$4:$D$2004,$Z335-2000)=0,"",INDEX(周转筐出入库明细!$D$4:$D$2004,$Z335-2000)),IF($Z335&lt;=5200,IF(INDEX(客户自备加工筐明细!$C$4:$C$1203,$Z335-4000)=0,"",INDEX(客户自备加工筐明细!$C$4:$C$1203,$Z335-4000)),IF($Z335&lt;=5800,IF(INDEX(次果筐明细!$D$4:$D$603,$Z335-5200)=0,"",INDEX(次果筐明细!$D$4:$D$603,$Z335-5200)),"")))))</f>
        <v/>
      </c>
      <c r="G335" s="24" t="str">
        <f>IF($Z335="","",IF($Z335&lt;=2000,IF(INDEX(包装物料出入库明细!$F$4:$F$2003,$Z335-0)=0,"",INDEX(包装物料出入库明细!$F$4:$F$2003,$Z335-0)),IF($Z335&lt;=4000,"",IF($Z335&lt;=5200,"",IF($Z335&lt;=5800,"","")))))</f>
        <v/>
      </c>
      <c r="H335" s="39" t="str">
        <f>IF($Z335="","",IF($Z335&lt;=2000,IF(INDEX(包装物料出入库明细!$L$4:$L$2003,$Z335-0)=0,"",INDEX(包装物料出入库明细!$L$4:$L$2003,$Z335-0)),IF($Z335&lt;=4000,N(INDEX(周转筐出入库明细!$H$4:$H$2004,$Z335-2000))+N(INDEX(周转筐出入库明细!$I$4:$I$2004,$Z335-2000))+N(INDEX(周转筐出入库明细!$J$4:$J$2004,$Z335-2000))+N(INDEX(周转筐出入库明细!$K$4:$K$2004,$Z335-2000)),IF($Z335&lt;=5200,N(INDEX(客户自备加工筐明细!$F$4:$F$1203,$Z335-4000))+N(INDEX(客户自备加工筐明细!$G$4:$G$1203,$Z335-4000)),IF($Z335&lt;=5800,IF(INDEX(次果筐明细!$G$4:$G$603,$Z335-5200)=0,"",INDEX(次果筐明细!$G$4:$G$603,$Z335-5200)),"")))))</f>
        <v/>
      </c>
      <c r="I335" s="24" t="str">
        <f>IF($Z335="","",IF($Z335&lt;=2000,IF(INDEX(包装物料出入库明细!$G$4:$G$2003,$Z335-0)=0,"",INDEX(包装物料出入库明细!$G$4:$G$2003,$Z335-0)),IF($Z335&lt;=4000,"个",IF($Z335&lt;=5200,"个",IF($Z335&lt;=5800,"个","")))))</f>
        <v/>
      </c>
      <c r="J335" s="30" t="str">
        <f t="shared" si="16"/>
        <v/>
      </c>
      <c r="K335" s="30" t="str">
        <f>IF($Z335="","",IF($Z335&lt;=2000,IF(INDEX(包装物料出入库明细!$N$4:$N$2003,$Z335-0)=0,"",INDEX(包装物料出入库明细!$N$4:$N$2003,$Z335-0)),IF($Z335&lt;=4000,IF(INDEX(周转筐出入库明细!$P$4:$P$2004,$Z335-2000)=0,"",INDEX(周转筐出入库明细!$P$4:$P$2004,$Z335-2000)),IF($Z335&lt;=5200,"",IF($Z335&lt;=5800,N(INDEX(次果筐明细!$L$4:$L$603,$Z335-5200))+N(INDEX(次果筐明细!$J$4:$J$603,$Z335-5200)),"")))))</f>
        <v/>
      </c>
      <c r="L335" s="24" t="str">
        <f>IF($Z335="","",IF($Z335&lt;=2000,IF(INDEX(包装物料出入库明细!$P$4:$P$2003,$Z335-0)=0,"",INDEX(包装物料出入库明细!$P$4:$P$2003,$Z335-0)),IF($Z335&lt;=4000,IF(INDEX(周转筐出入库明细!$Q$4:$Q$2004,$Z335-2000)=0,"",INDEX(周转筐出入库明细!$Q$4:$Q$2004,$Z335-2000)),IF($Z335&lt;=5200,"",IF($Z335&lt;=5800,IF(INDEX(次果筐明细!$M$4:$M$603,$Z335-5200)=0,"",INDEX(次果筐明细!$M$4:$M$603,$Z335-5200)),"")))))</f>
        <v/>
      </c>
      <c r="M335" s="37" t="str">
        <f>IF($Z335="","",IF($Z335&lt;=2000,IF(INDEX(包装物料出入库明细!$R$4:$R$2003,$Z335-0)=0,"",INDEX(包装物料出入库明细!$R$4:$R$2003,$Z335-0)),IF($Z335&lt;=4000,IF(INDEX(周转筐出入库明细!$W$4:$W$2004,$Z335-2000)=0,"",INDEX(周转筐出入库明细!$W$4:$W$2004,$Z335-2000)),IF($Z335&lt;=5200,IF(INDEX(客户自备加工筐明细!$L$4:$L$1203,$Z335-4000)=0,"",INDEX(客户自备加工筐明细!$L$4:$L$1203,$Z335-4000)),IF($Z335&lt;=5800,IF(INDEX(次果筐明细!$P$4:$P$603,$Z335-5200)=0,"",INDEX(次果筐明细!$P$4:$P$603,$Z335-5200)),"")))))</f>
        <v/>
      </c>
      <c r="N335" s="16" t="str">
        <f>IF($Z335="","",IF($Z335&lt;=2000,"",IF($Z335&lt;=4000,IF(INDEX(周转筐出入库明细!$D$4:$D$2004,$Z335-2000)=0,"",INDEX(周转筐出入库明细!$D$4:$D$2004,$Z335-2000)),IF($Z335&lt;=5200,IF(INDEX(客户自备加工筐明细!$C$4:$C$1203,$Z335-4000)=0,"",INDEX(客户自备加工筐明细!$C$4:$C$1203,$Z335-4000)),IF($Z335&lt;=5800,IF(INDEX(次果筐明细!$D$4:$D$603,$Z335-5200)=0,"",INDEX(次果筐明细!$D$4:$D$603,$Z335-5200)),"")))))</f>
        <v/>
      </c>
      <c r="O335" s="40" t="str">
        <f>IF($Z335="","",IF($Z335&lt;=2000,"",IF($Z335&lt;=4000,IF(N(INDEX(周转筐出入库明细!$J$4:$J$2004,$Z335-2000))+N(INDEX(周转筐出入库明细!$K$4:$K$2004,$Z335-2000))=0,"",N(INDEX(周转筐出入库明细!$J$4:$J$2004,$Z335-2000))+N(INDEX(周转筐出入库明细!$K$4:$K$2004,$Z335-2000))),IF($Z335&lt;=5200,IF(N(INDEX(客户自备加工筐明细!$G$4:$G$1203,$Z335-4000))=0,"",N(INDEX(客户自备加工筐明细!$G$4:$G$1203,$Z335-4000))),IF($Z335&lt;=5800,IF(ISNUMBER(SEARCH("退",INDEX(次果筐明细!$F$4:$F$603,$Z335-5200)&amp;"")),"",IF(N(INDEX(次果筐明细!$G$4:$G$603,$Z335-5200))=0,"",N(INDEX(次果筐明细!$G$4:$G$603,$Z335-5200)))),"")))))</f>
        <v/>
      </c>
      <c r="P335" s="40" t="str">
        <f>IF($Z335="","",IF($Z335&lt;=2000,"",IF($Z335&lt;=4000,IF(N(INDEX(周转筐出入库明细!$I$4:$I$2004,$Z335-2000))=0,"",N(INDEX(周转筐出入库明细!$I$4:$I$2004,$Z335-2000))),IF($Z335&lt;=5200,"",IF($Z335&lt;=5800,IF(ISNUMBER(SEARCH("退",INDEX(次果筐明细!$F$4:$F$603,$Z335-5200)&amp;"")),IF(N(INDEX(次果筐明细!$G$4:$G$603,$Z335-5200))=0,"",N(INDEX(次果筐明细!$G$4:$G$603,$Z335-5200))),""),"")))))</f>
        <v/>
      </c>
      <c r="Q335" s="40" t="str">
        <f>IF($Z335="","",IF($Z335&lt;=2000,"",IF($Z335&lt;=4000,IF(N(INDEX(周转筐出入库明细!$H$4:$H$2004,$Z335-2000))=0,"",N(INDEX(周转筐出入库明细!$H$4:$H$2004,$Z335-2000))),IF($Z335&lt;=5200,IF(N(INDEX(客户自备加工筐明细!$F$4:$F$1203,$Z335-4000))=0,"",N(INDEX(客户自备加工筐明细!$F$4:$F$1203,$Z335-4000))),IF($Z335&lt;=5800,"","")))))</f>
        <v/>
      </c>
      <c r="R335" s="16" t="str">
        <f>IF($Z335="","",IF($Z335&lt;=2000,IF(INDEX(包装物料出入库明细!$O$4:$O$2003,$Z335-0)=0,"",INDEX(包装物料出入库明细!$O$4:$O$2003,$Z335-0)),IF($Z335&lt;=4000,IF(INDEX(周转筐出入库明细!$M$4:$M$2004,$Z335-2000)=0,"",INDEX(周转筐出入库明细!$M$4:$M$2004,$Z335-2000)),IF($Z335&lt;=5200,IF(INDEX(客户自备加工筐明细!$H$4:$H$1203,$Z335-4000)=0,"",INDEX(客户自备加工筐明细!$H$4:$H$1203,$Z335-4000)),IF($Z335&lt;=5800,IF(INDEX(次果筐明细!$H$4:$H$603,$Z335-5200)=0,"",INDEX(次果筐明细!$H$4:$H$603,$Z335-5200)),"")))))</f>
        <v/>
      </c>
      <c r="S335" s="22" t="str">
        <f t="shared" si="17"/>
        <v/>
      </c>
      <c r="Z335" s="10" t="str">
        <f>IFERROR(MATCH(ROW()-3,_自动清单!$CQ$4:$CQ$5803,0),"")</f>
        <v/>
      </c>
    </row>
    <row r="336" spans="1:26">
      <c r="A336" s="24" t="str">
        <f t="shared" si="15"/>
        <v/>
      </c>
      <c r="B336" s="38" t="str">
        <f>IF($Z336="","",IF($Z336&lt;=2000,IF(INDEX(包装物料出入库明细!$B$4:$B$2003,$Z336-0)=0,"",INDEX(包装物料出入库明细!$B$4:$B$2003,$Z336-0)),IF($Z336&lt;=4000,IF(INDEX(周转筐出入库明细!$B$4:$B$2004,$Z336-2000)=0,"",INDEX(周转筐出入库明细!$B$4:$B$2004,$Z336-2000)),IF($Z336&lt;=5200,IF(INDEX(客户自备加工筐明细!$B$4:$B$1203,$Z336-4000)=0,"",INDEX(客户自备加工筐明细!$B$4:$B$1203,$Z336-4000)),IF($Z336&lt;=5800,IF(INDEX(次果筐明细!$B$4:$B$603,$Z336-5200)=0,"",INDEX(次果筐明细!$B$4:$B$603,$Z336-5200)),"")))))</f>
        <v/>
      </c>
      <c r="C336" s="37" t="str">
        <f>IF($Z336="","",IF($Z336&lt;=2000,IF(INDEX(包装物料出入库明细!$D$4:$D$2003,$Z336-0)=0,"",INDEX(包装物料出入库明细!$D$4:$D$2003,$Z336-0)),IF($Z336&lt;=4000,IF(INDEX(周转筐出入库明细!$C$4:$C$2004,$Z336-2000)=0,"",INDEX(周转筐出入库明细!$C$4:$C$2004,$Z336-2000)),IF($Z336&lt;=5200,IF(INDEX(客户自备加工筐明细!$E$4:$E$1203,$Z336-4000)=0,"",INDEX(客户自备加工筐明细!$E$4:$E$1203,$Z336-4000)),IF($Z336&lt;=5800,IF(INDEX(次果筐明细!$C$4:$C$603,$Z336-5200)=0,"",INDEX(次果筐明细!$C$4:$C$603,$Z336-5200)),"")))))</f>
        <v/>
      </c>
      <c r="D336" s="37" t="str">
        <f>IF($Z336="","",IF($Z336&lt;=2000,"包装物料－"&amp;INDEX(包装物料出入库明细!$H$4:$H$2003,$Z336-0),IF($Z336&lt;=4000,"周转筐－"&amp;INDEX(周转筐出入库明细!$F$4:$F$2004,$Z336-2000),IF($Z336&lt;=5200,"客户自备筐－"&amp;INDEX(客户自备加工筐明细!$J$4:$J$1203,$Z336-4000),IF($Z336&lt;=5800,"次果筐/托盘－"&amp;INDEX(次果筐明细!$F$4:$F$603,$Z336-5200),"")))))</f>
        <v/>
      </c>
      <c r="E336" s="24" t="str">
        <f>IF($Z336="","",IF($Z336&lt;=2000,IF(INDEX(包装物料出入库明细!$C$4:$C$2003,$Z336-0)=0,"",INDEX(包装物料出入库明细!$C$4:$C$2003,$Z336-0)),IF($Z336&lt;=4000,IF(INDEX(周转筐出入库明细!$E$4:$E$2004,$Z336-2000)=0,"",INDEX(周转筐出入库明细!$E$4:$E$2004,$Z336-2000)),IF($Z336&lt;=5200,IF(INDEX(客户自备加工筐明细!$D$4:$D$1203,$Z336-4000)=0,"",INDEX(客户自备加工筐明细!$D$4:$D$1203,$Z336-4000)),IF($Z336&lt;=5800,IF(INDEX(次果筐明细!$E$4:$E$603,$Z336-5200)=0,"",INDEX(次果筐明细!$E$4:$E$603,$Z336-5200)),"")))))</f>
        <v/>
      </c>
      <c r="F336" s="24" t="str">
        <f>IF($Z336="","",IF($Z336&lt;=2000,IF(INDEX(包装物料出入库明细!$E$4:$E$2003,$Z336-0)=0,"",INDEX(包装物料出入库明细!$E$4:$E$2003,$Z336-0)),IF($Z336&lt;=4000,IF(INDEX(周转筐出入库明细!$D$4:$D$2004,$Z336-2000)=0,"",INDEX(周转筐出入库明细!$D$4:$D$2004,$Z336-2000)),IF($Z336&lt;=5200,IF(INDEX(客户自备加工筐明细!$C$4:$C$1203,$Z336-4000)=0,"",INDEX(客户自备加工筐明细!$C$4:$C$1203,$Z336-4000)),IF($Z336&lt;=5800,IF(INDEX(次果筐明细!$D$4:$D$603,$Z336-5200)=0,"",INDEX(次果筐明细!$D$4:$D$603,$Z336-5200)),"")))))</f>
        <v/>
      </c>
      <c r="G336" s="24" t="str">
        <f>IF($Z336="","",IF($Z336&lt;=2000,IF(INDEX(包装物料出入库明细!$F$4:$F$2003,$Z336-0)=0,"",INDEX(包装物料出入库明细!$F$4:$F$2003,$Z336-0)),IF($Z336&lt;=4000,"",IF($Z336&lt;=5200,"",IF($Z336&lt;=5800,"","")))))</f>
        <v/>
      </c>
      <c r="H336" s="39" t="str">
        <f>IF($Z336="","",IF($Z336&lt;=2000,IF(INDEX(包装物料出入库明细!$L$4:$L$2003,$Z336-0)=0,"",INDEX(包装物料出入库明细!$L$4:$L$2003,$Z336-0)),IF($Z336&lt;=4000,N(INDEX(周转筐出入库明细!$H$4:$H$2004,$Z336-2000))+N(INDEX(周转筐出入库明细!$I$4:$I$2004,$Z336-2000))+N(INDEX(周转筐出入库明细!$J$4:$J$2004,$Z336-2000))+N(INDEX(周转筐出入库明细!$K$4:$K$2004,$Z336-2000)),IF($Z336&lt;=5200,N(INDEX(客户自备加工筐明细!$F$4:$F$1203,$Z336-4000))+N(INDEX(客户自备加工筐明细!$G$4:$G$1203,$Z336-4000)),IF($Z336&lt;=5800,IF(INDEX(次果筐明细!$G$4:$G$603,$Z336-5200)=0,"",INDEX(次果筐明细!$G$4:$G$603,$Z336-5200)),"")))))</f>
        <v/>
      </c>
      <c r="I336" s="24" t="str">
        <f>IF($Z336="","",IF($Z336&lt;=2000,IF(INDEX(包装物料出入库明细!$G$4:$G$2003,$Z336-0)=0,"",INDEX(包装物料出入库明细!$G$4:$G$2003,$Z336-0)),IF($Z336&lt;=4000,"个",IF($Z336&lt;=5200,"个",IF($Z336&lt;=5800,"个","")))))</f>
        <v/>
      </c>
      <c r="J336" s="30" t="str">
        <f t="shared" si="16"/>
        <v/>
      </c>
      <c r="K336" s="30" t="str">
        <f>IF($Z336="","",IF($Z336&lt;=2000,IF(INDEX(包装物料出入库明细!$N$4:$N$2003,$Z336-0)=0,"",INDEX(包装物料出入库明细!$N$4:$N$2003,$Z336-0)),IF($Z336&lt;=4000,IF(INDEX(周转筐出入库明细!$P$4:$P$2004,$Z336-2000)=0,"",INDEX(周转筐出入库明细!$P$4:$P$2004,$Z336-2000)),IF($Z336&lt;=5200,"",IF($Z336&lt;=5800,N(INDEX(次果筐明细!$L$4:$L$603,$Z336-5200))+N(INDEX(次果筐明细!$J$4:$J$603,$Z336-5200)),"")))))</f>
        <v/>
      </c>
      <c r="L336" s="24" t="str">
        <f>IF($Z336="","",IF($Z336&lt;=2000,IF(INDEX(包装物料出入库明细!$P$4:$P$2003,$Z336-0)=0,"",INDEX(包装物料出入库明细!$P$4:$P$2003,$Z336-0)),IF($Z336&lt;=4000,IF(INDEX(周转筐出入库明细!$Q$4:$Q$2004,$Z336-2000)=0,"",INDEX(周转筐出入库明细!$Q$4:$Q$2004,$Z336-2000)),IF($Z336&lt;=5200,"",IF($Z336&lt;=5800,IF(INDEX(次果筐明细!$M$4:$M$603,$Z336-5200)=0,"",INDEX(次果筐明细!$M$4:$M$603,$Z336-5200)),"")))))</f>
        <v/>
      </c>
      <c r="M336" s="37" t="str">
        <f>IF($Z336="","",IF($Z336&lt;=2000,IF(INDEX(包装物料出入库明细!$R$4:$R$2003,$Z336-0)=0,"",INDEX(包装物料出入库明细!$R$4:$R$2003,$Z336-0)),IF($Z336&lt;=4000,IF(INDEX(周转筐出入库明细!$W$4:$W$2004,$Z336-2000)=0,"",INDEX(周转筐出入库明细!$W$4:$W$2004,$Z336-2000)),IF($Z336&lt;=5200,IF(INDEX(客户自备加工筐明细!$L$4:$L$1203,$Z336-4000)=0,"",INDEX(客户自备加工筐明细!$L$4:$L$1203,$Z336-4000)),IF($Z336&lt;=5800,IF(INDEX(次果筐明细!$P$4:$P$603,$Z336-5200)=0,"",INDEX(次果筐明细!$P$4:$P$603,$Z336-5200)),"")))))</f>
        <v/>
      </c>
      <c r="N336" s="16" t="str">
        <f>IF($Z336="","",IF($Z336&lt;=2000,"",IF($Z336&lt;=4000,IF(INDEX(周转筐出入库明细!$D$4:$D$2004,$Z336-2000)=0,"",INDEX(周转筐出入库明细!$D$4:$D$2004,$Z336-2000)),IF($Z336&lt;=5200,IF(INDEX(客户自备加工筐明细!$C$4:$C$1203,$Z336-4000)=0,"",INDEX(客户自备加工筐明细!$C$4:$C$1203,$Z336-4000)),IF($Z336&lt;=5800,IF(INDEX(次果筐明细!$D$4:$D$603,$Z336-5200)=0,"",INDEX(次果筐明细!$D$4:$D$603,$Z336-5200)),"")))))</f>
        <v/>
      </c>
      <c r="O336" s="40" t="str">
        <f>IF($Z336="","",IF($Z336&lt;=2000,"",IF($Z336&lt;=4000,IF(N(INDEX(周转筐出入库明细!$J$4:$J$2004,$Z336-2000))+N(INDEX(周转筐出入库明细!$K$4:$K$2004,$Z336-2000))=0,"",N(INDEX(周转筐出入库明细!$J$4:$J$2004,$Z336-2000))+N(INDEX(周转筐出入库明细!$K$4:$K$2004,$Z336-2000))),IF($Z336&lt;=5200,IF(N(INDEX(客户自备加工筐明细!$G$4:$G$1203,$Z336-4000))=0,"",N(INDEX(客户自备加工筐明细!$G$4:$G$1203,$Z336-4000))),IF($Z336&lt;=5800,IF(ISNUMBER(SEARCH("退",INDEX(次果筐明细!$F$4:$F$603,$Z336-5200)&amp;"")),"",IF(N(INDEX(次果筐明细!$G$4:$G$603,$Z336-5200))=0,"",N(INDEX(次果筐明细!$G$4:$G$603,$Z336-5200)))),"")))))</f>
        <v/>
      </c>
      <c r="P336" s="40" t="str">
        <f>IF($Z336="","",IF($Z336&lt;=2000,"",IF($Z336&lt;=4000,IF(N(INDEX(周转筐出入库明细!$I$4:$I$2004,$Z336-2000))=0,"",N(INDEX(周转筐出入库明细!$I$4:$I$2004,$Z336-2000))),IF($Z336&lt;=5200,"",IF($Z336&lt;=5800,IF(ISNUMBER(SEARCH("退",INDEX(次果筐明细!$F$4:$F$603,$Z336-5200)&amp;"")),IF(N(INDEX(次果筐明细!$G$4:$G$603,$Z336-5200))=0,"",N(INDEX(次果筐明细!$G$4:$G$603,$Z336-5200))),""),"")))))</f>
        <v/>
      </c>
      <c r="Q336" s="40" t="str">
        <f>IF($Z336="","",IF($Z336&lt;=2000,"",IF($Z336&lt;=4000,IF(N(INDEX(周转筐出入库明细!$H$4:$H$2004,$Z336-2000))=0,"",N(INDEX(周转筐出入库明细!$H$4:$H$2004,$Z336-2000))),IF($Z336&lt;=5200,IF(N(INDEX(客户自备加工筐明细!$F$4:$F$1203,$Z336-4000))=0,"",N(INDEX(客户自备加工筐明细!$F$4:$F$1203,$Z336-4000))),IF($Z336&lt;=5800,"","")))))</f>
        <v/>
      </c>
      <c r="R336" s="16" t="str">
        <f>IF($Z336="","",IF($Z336&lt;=2000,IF(INDEX(包装物料出入库明细!$O$4:$O$2003,$Z336-0)=0,"",INDEX(包装物料出入库明细!$O$4:$O$2003,$Z336-0)),IF($Z336&lt;=4000,IF(INDEX(周转筐出入库明细!$M$4:$M$2004,$Z336-2000)=0,"",INDEX(周转筐出入库明细!$M$4:$M$2004,$Z336-2000)),IF($Z336&lt;=5200,IF(INDEX(客户自备加工筐明细!$H$4:$H$1203,$Z336-4000)=0,"",INDEX(客户自备加工筐明细!$H$4:$H$1203,$Z336-4000)),IF($Z336&lt;=5800,IF(INDEX(次果筐明细!$H$4:$H$603,$Z336-5200)=0,"",INDEX(次果筐明细!$H$4:$H$603,$Z336-5200)),"")))))</f>
        <v/>
      </c>
      <c r="S336" s="22" t="str">
        <f t="shared" si="17"/>
        <v/>
      </c>
      <c r="Z336" s="10" t="str">
        <f>IFERROR(MATCH(ROW()-3,_自动清单!$CQ$4:$CQ$5803,0),"")</f>
        <v/>
      </c>
    </row>
    <row r="337" spans="1:26">
      <c r="A337" s="24" t="str">
        <f t="shared" si="15"/>
        <v/>
      </c>
      <c r="B337" s="38" t="str">
        <f>IF($Z337="","",IF($Z337&lt;=2000,IF(INDEX(包装物料出入库明细!$B$4:$B$2003,$Z337-0)=0,"",INDEX(包装物料出入库明细!$B$4:$B$2003,$Z337-0)),IF($Z337&lt;=4000,IF(INDEX(周转筐出入库明细!$B$4:$B$2004,$Z337-2000)=0,"",INDEX(周转筐出入库明细!$B$4:$B$2004,$Z337-2000)),IF($Z337&lt;=5200,IF(INDEX(客户自备加工筐明细!$B$4:$B$1203,$Z337-4000)=0,"",INDEX(客户自备加工筐明细!$B$4:$B$1203,$Z337-4000)),IF($Z337&lt;=5800,IF(INDEX(次果筐明细!$B$4:$B$603,$Z337-5200)=0,"",INDEX(次果筐明细!$B$4:$B$603,$Z337-5200)),"")))))</f>
        <v/>
      </c>
      <c r="C337" s="37" t="str">
        <f>IF($Z337="","",IF($Z337&lt;=2000,IF(INDEX(包装物料出入库明细!$D$4:$D$2003,$Z337-0)=0,"",INDEX(包装物料出入库明细!$D$4:$D$2003,$Z337-0)),IF($Z337&lt;=4000,IF(INDEX(周转筐出入库明细!$C$4:$C$2004,$Z337-2000)=0,"",INDEX(周转筐出入库明细!$C$4:$C$2004,$Z337-2000)),IF($Z337&lt;=5200,IF(INDEX(客户自备加工筐明细!$E$4:$E$1203,$Z337-4000)=0,"",INDEX(客户自备加工筐明细!$E$4:$E$1203,$Z337-4000)),IF($Z337&lt;=5800,IF(INDEX(次果筐明细!$C$4:$C$603,$Z337-5200)=0,"",INDEX(次果筐明细!$C$4:$C$603,$Z337-5200)),"")))))</f>
        <v/>
      </c>
      <c r="D337" s="37" t="str">
        <f>IF($Z337="","",IF($Z337&lt;=2000,"包装物料－"&amp;INDEX(包装物料出入库明细!$H$4:$H$2003,$Z337-0),IF($Z337&lt;=4000,"周转筐－"&amp;INDEX(周转筐出入库明细!$F$4:$F$2004,$Z337-2000),IF($Z337&lt;=5200,"客户自备筐－"&amp;INDEX(客户自备加工筐明细!$J$4:$J$1203,$Z337-4000),IF($Z337&lt;=5800,"次果筐/托盘－"&amp;INDEX(次果筐明细!$F$4:$F$603,$Z337-5200),"")))))</f>
        <v/>
      </c>
      <c r="E337" s="24" t="str">
        <f>IF($Z337="","",IF($Z337&lt;=2000,IF(INDEX(包装物料出入库明细!$C$4:$C$2003,$Z337-0)=0,"",INDEX(包装物料出入库明细!$C$4:$C$2003,$Z337-0)),IF($Z337&lt;=4000,IF(INDEX(周转筐出入库明细!$E$4:$E$2004,$Z337-2000)=0,"",INDEX(周转筐出入库明细!$E$4:$E$2004,$Z337-2000)),IF($Z337&lt;=5200,IF(INDEX(客户自备加工筐明细!$D$4:$D$1203,$Z337-4000)=0,"",INDEX(客户自备加工筐明细!$D$4:$D$1203,$Z337-4000)),IF($Z337&lt;=5800,IF(INDEX(次果筐明细!$E$4:$E$603,$Z337-5200)=0,"",INDEX(次果筐明细!$E$4:$E$603,$Z337-5200)),"")))))</f>
        <v/>
      </c>
      <c r="F337" s="24" t="str">
        <f>IF($Z337="","",IF($Z337&lt;=2000,IF(INDEX(包装物料出入库明细!$E$4:$E$2003,$Z337-0)=0,"",INDEX(包装物料出入库明细!$E$4:$E$2003,$Z337-0)),IF($Z337&lt;=4000,IF(INDEX(周转筐出入库明细!$D$4:$D$2004,$Z337-2000)=0,"",INDEX(周转筐出入库明细!$D$4:$D$2004,$Z337-2000)),IF($Z337&lt;=5200,IF(INDEX(客户自备加工筐明细!$C$4:$C$1203,$Z337-4000)=0,"",INDEX(客户自备加工筐明细!$C$4:$C$1203,$Z337-4000)),IF($Z337&lt;=5800,IF(INDEX(次果筐明细!$D$4:$D$603,$Z337-5200)=0,"",INDEX(次果筐明细!$D$4:$D$603,$Z337-5200)),"")))))</f>
        <v/>
      </c>
      <c r="G337" s="24" t="str">
        <f>IF($Z337="","",IF($Z337&lt;=2000,IF(INDEX(包装物料出入库明细!$F$4:$F$2003,$Z337-0)=0,"",INDEX(包装物料出入库明细!$F$4:$F$2003,$Z337-0)),IF($Z337&lt;=4000,"",IF($Z337&lt;=5200,"",IF($Z337&lt;=5800,"","")))))</f>
        <v/>
      </c>
      <c r="H337" s="39" t="str">
        <f>IF($Z337="","",IF($Z337&lt;=2000,IF(INDEX(包装物料出入库明细!$L$4:$L$2003,$Z337-0)=0,"",INDEX(包装物料出入库明细!$L$4:$L$2003,$Z337-0)),IF($Z337&lt;=4000,N(INDEX(周转筐出入库明细!$H$4:$H$2004,$Z337-2000))+N(INDEX(周转筐出入库明细!$I$4:$I$2004,$Z337-2000))+N(INDEX(周转筐出入库明细!$J$4:$J$2004,$Z337-2000))+N(INDEX(周转筐出入库明细!$K$4:$K$2004,$Z337-2000)),IF($Z337&lt;=5200,N(INDEX(客户自备加工筐明细!$F$4:$F$1203,$Z337-4000))+N(INDEX(客户自备加工筐明细!$G$4:$G$1203,$Z337-4000)),IF($Z337&lt;=5800,IF(INDEX(次果筐明细!$G$4:$G$603,$Z337-5200)=0,"",INDEX(次果筐明细!$G$4:$G$603,$Z337-5200)),"")))))</f>
        <v/>
      </c>
      <c r="I337" s="24" t="str">
        <f>IF($Z337="","",IF($Z337&lt;=2000,IF(INDEX(包装物料出入库明细!$G$4:$G$2003,$Z337-0)=0,"",INDEX(包装物料出入库明细!$G$4:$G$2003,$Z337-0)),IF($Z337&lt;=4000,"个",IF($Z337&lt;=5200,"个",IF($Z337&lt;=5800,"个","")))))</f>
        <v/>
      </c>
      <c r="J337" s="30" t="str">
        <f t="shared" si="16"/>
        <v/>
      </c>
      <c r="K337" s="30" t="str">
        <f>IF($Z337="","",IF($Z337&lt;=2000,IF(INDEX(包装物料出入库明细!$N$4:$N$2003,$Z337-0)=0,"",INDEX(包装物料出入库明细!$N$4:$N$2003,$Z337-0)),IF($Z337&lt;=4000,IF(INDEX(周转筐出入库明细!$P$4:$P$2004,$Z337-2000)=0,"",INDEX(周转筐出入库明细!$P$4:$P$2004,$Z337-2000)),IF($Z337&lt;=5200,"",IF($Z337&lt;=5800,N(INDEX(次果筐明细!$L$4:$L$603,$Z337-5200))+N(INDEX(次果筐明细!$J$4:$J$603,$Z337-5200)),"")))))</f>
        <v/>
      </c>
      <c r="L337" s="24" t="str">
        <f>IF($Z337="","",IF($Z337&lt;=2000,IF(INDEX(包装物料出入库明细!$P$4:$P$2003,$Z337-0)=0,"",INDEX(包装物料出入库明细!$P$4:$P$2003,$Z337-0)),IF($Z337&lt;=4000,IF(INDEX(周转筐出入库明细!$Q$4:$Q$2004,$Z337-2000)=0,"",INDEX(周转筐出入库明细!$Q$4:$Q$2004,$Z337-2000)),IF($Z337&lt;=5200,"",IF($Z337&lt;=5800,IF(INDEX(次果筐明细!$M$4:$M$603,$Z337-5200)=0,"",INDEX(次果筐明细!$M$4:$M$603,$Z337-5200)),"")))))</f>
        <v/>
      </c>
      <c r="M337" s="37" t="str">
        <f>IF($Z337="","",IF($Z337&lt;=2000,IF(INDEX(包装物料出入库明细!$R$4:$R$2003,$Z337-0)=0,"",INDEX(包装物料出入库明细!$R$4:$R$2003,$Z337-0)),IF($Z337&lt;=4000,IF(INDEX(周转筐出入库明细!$W$4:$W$2004,$Z337-2000)=0,"",INDEX(周转筐出入库明细!$W$4:$W$2004,$Z337-2000)),IF($Z337&lt;=5200,IF(INDEX(客户自备加工筐明细!$L$4:$L$1203,$Z337-4000)=0,"",INDEX(客户自备加工筐明细!$L$4:$L$1203,$Z337-4000)),IF($Z337&lt;=5800,IF(INDEX(次果筐明细!$P$4:$P$603,$Z337-5200)=0,"",INDEX(次果筐明细!$P$4:$P$603,$Z337-5200)),"")))))</f>
        <v/>
      </c>
      <c r="N337" s="16" t="str">
        <f>IF($Z337="","",IF($Z337&lt;=2000,"",IF($Z337&lt;=4000,IF(INDEX(周转筐出入库明细!$D$4:$D$2004,$Z337-2000)=0,"",INDEX(周转筐出入库明细!$D$4:$D$2004,$Z337-2000)),IF($Z337&lt;=5200,IF(INDEX(客户自备加工筐明细!$C$4:$C$1203,$Z337-4000)=0,"",INDEX(客户自备加工筐明细!$C$4:$C$1203,$Z337-4000)),IF($Z337&lt;=5800,IF(INDEX(次果筐明细!$D$4:$D$603,$Z337-5200)=0,"",INDEX(次果筐明细!$D$4:$D$603,$Z337-5200)),"")))))</f>
        <v/>
      </c>
      <c r="O337" s="40" t="str">
        <f>IF($Z337="","",IF($Z337&lt;=2000,"",IF($Z337&lt;=4000,IF(N(INDEX(周转筐出入库明细!$J$4:$J$2004,$Z337-2000))+N(INDEX(周转筐出入库明细!$K$4:$K$2004,$Z337-2000))=0,"",N(INDEX(周转筐出入库明细!$J$4:$J$2004,$Z337-2000))+N(INDEX(周转筐出入库明细!$K$4:$K$2004,$Z337-2000))),IF($Z337&lt;=5200,IF(N(INDEX(客户自备加工筐明细!$G$4:$G$1203,$Z337-4000))=0,"",N(INDEX(客户自备加工筐明细!$G$4:$G$1203,$Z337-4000))),IF($Z337&lt;=5800,IF(ISNUMBER(SEARCH("退",INDEX(次果筐明细!$F$4:$F$603,$Z337-5200)&amp;"")),"",IF(N(INDEX(次果筐明细!$G$4:$G$603,$Z337-5200))=0,"",N(INDEX(次果筐明细!$G$4:$G$603,$Z337-5200)))),"")))))</f>
        <v/>
      </c>
      <c r="P337" s="40" t="str">
        <f>IF($Z337="","",IF($Z337&lt;=2000,"",IF($Z337&lt;=4000,IF(N(INDEX(周转筐出入库明细!$I$4:$I$2004,$Z337-2000))=0,"",N(INDEX(周转筐出入库明细!$I$4:$I$2004,$Z337-2000))),IF($Z337&lt;=5200,"",IF($Z337&lt;=5800,IF(ISNUMBER(SEARCH("退",INDEX(次果筐明细!$F$4:$F$603,$Z337-5200)&amp;"")),IF(N(INDEX(次果筐明细!$G$4:$G$603,$Z337-5200))=0,"",N(INDEX(次果筐明细!$G$4:$G$603,$Z337-5200))),""),"")))))</f>
        <v/>
      </c>
      <c r="Q337" s="40" t="str">
        <f>IF($Z337="","",IF($Z337&lt;=2000,"",IF($Z337&lt;=4000,IF(N(INDEX(周转筐出入库明细!$H$4:$H$2004,$Z337-2000))=0,"",N(INDEX(周转筐出入库明细!$H$4:$H$2004,$Z337-2000))),IF($Z337&lt;=5200,IF(N(INDEX(客户自备加工筐明细!$F$4:$F$1203,$Z337-4000))=0,"",N(INDEX(客户自备加工筐明细!$F$4:$F$1203,$Z337-4000))),IF($Z337&lt;=5800,"","")))))</f>
        <v/>
      </c>
      <c r="R337" s="16" t="str">
        <f>IF($Z337="","",IF($Z337&lt;=2000,IF(INDEX(包装物料出入库明细!$O$4:$O$2003,$Z337-0)=0,"",INDEX(包装物料出入库明细!$O$4:$O$2003,$Z337-0)),IF($Z337&lt;=4000,IF(INDEX(周转筐出入库明细!$M$4:$M$2004,$Z337-2000)=0,"",INDEX(周转筐出入库明细!$M$4:$M$2004,$Z337-2000)),IF($Z337&lt;=5200,IF(INDEX(客户自备加工筐明细!$H$4:$H$1203,$Z337-4000)=0,"",INDEX(客户自备加工筐明细!$H$4:$H$1203,$Z337-4000)),IF($Z337&lt;=5800,IF(INDEX(次果筐明细!$H$4:$H$603,$Z337-5200)=0,"",INDEX(次果筐明细!$H$4:$H$603,$Z337-5200)),"")))))</f>
        <v/>
      </c>
      <c r="S337" s="22" t="str">
        <f t="shared" si="17"/>
        <v/>
      </c>
      <c r="Z337" s="10" t="str">
        <f>IFERROR(MATCH(ROW()-3,_自动清单!$CQ$4:$CQ$5803,0),"")</f>
        <v/>
      </c>
    </row>
    <row r="338" spans="1:26">
      <c r="A338" s="24" t="str">
        <f t="shared" si="15"/>
        <v/>
      </c>
      <c r="B338" s="38" t="str">
        <f>IF($Z338="","",IF($Z338&lt;=2000,IF(INDEX(包装物料出入库明细!$B$4:$B$2003,$Z338-0)=0,"",INDEX(包装物料出入库明细!$B$4:$B$2003,$Z338-0)),IF($Z338&lt;=4000,IF(INDEX(周转筐出入库明细!$B$4:$B$2004,$Z338-2000)=0,"",INDEX(周转筐出入库明细!$B$4:$B$2004,$Z338-2000)),IF($Z338&lt;=5200,IF(INDEX(客户自备加工筐明细!$B$4:$B$1203,$Z338-4000)=0,"",INDEX(客户自备加工筐明细!$B$4:$B$1203,$Z338-4000)),IF($Z338&lt;=5800,IF(INDEX(次果筐明细!$B$4:$B$603,$Z338-5200)=0,"",INDEX(次果筐明细!$B$4:$B$603,$Z338-5200)),"")))))</f>
        <v/>
      </c>
      <c r="C338" s="37" t="str">
        <f>IF($Z338="","",IF($Z338&lt;=2000,IF(INDEX(包装物料出入库明细!$D$4:$D$2003,$Z338-0)=0,"",INDEX(包装物料出入库明细!$D$4:$D$2003,$Z338-0)),IF($Z338&lt;=4000,IF(INDEX(周转筐出入库明细!$C$4:$C$2004,$Z338-2000)=0,"",INDEX(周转筐出入库明细!$C$4:$C$2004,$Z338-2000)),IF($Z338&lt;=5200,IF(INDEX(客户自备加工筐明细!$E$4:$E$1203,$Z338-4000)=0,"",INDEX(客户自备加工筐明细!$E$4:$E$1203,$Z338-4000)),IF($Z338&lt;=5800,IF(INDEX(次果筐明细!$C$4:$C$603,$Z338-5200)=0,"",INDEX(次果筐明细!$C$4:$C$603,$Z338-5200)),"")))))</f>
        <v/>
      </c>
      <c r="D338" s="37" t="str">
        <f>IF($Z338="","",IF($Z338&lt;=2000,"包装物料－"&amp;INDEX(包装物料出入库明细!$H$4:$H$2003,$Z338-0),IF($Z338&lt;=4000,"周转筐－"&amp;INDEX(周转筐出入库明细!$F$4:$F$2004,$Z338-2000),IF($Z338&lt;=5200,"客户自备筐－"&amp;INDEX(客户自备加工筐明细!$J$4:$J$1203,$Z338-4000),IF($Z338&lt;=5800,"次果筐/托盘－"&amp;INDEX(次果筐明细!$F$4:$F$603,$Z338-5200),"")))))</f>
        <v/>
      </c>
      <c r="E338" s="24" t="str">
        <f>IF($Z338="","",IF($Z338&lt;=2000,IF(INDEX(包装物料出入库明细!$C$4:$C$2003,$Z338-0)=0,"",INDEX(包装物料出入库明细!$C$4:$C$2003,$Z338-0)),IF($Z338&lt;=4000,IF(INDEX(周转筐出入库明细!$E$4:$E$2004,$Z338-2000)=0,"",INDEX(周转筐出入库明细!$E$4:$E$2004,$Z338-2000)),IF($Z338&lt;=5200,IF(INDEX(客户自备加工筐明细!$D$4:$D$1203,$Z338-4000)=0,"",INDEX(客户自备加工筐明细!$D$4:$D$1203,$Z338-4000)),IF($Z338&lt;=5800,IF(INDEX(次果筐明细!$E$4:$E$603,$Z338-5200)=0,"",INDEX(次果筐明细!$E$4:$E$603,$Z338-5200)),"")))))</f>
        <v/>
      </c>
      <c r="F338" s="24" t="str">
        <f>IF($Z338="","",IF($Z338&lt;=2000,IF(INDEX(包装物料出入库明细!$E$4:$E$2003,$Z338-0)=0,"",INDEX(包装物料出入库明细!$E$4:$E$2003,$Z338-0)),IF($Z338&lt;=4000,IF(INDEX(周转筐出入库明细!$D$4:$D$2004,$Z338-2000)=0,"",INDEX(周转筐出入库明细!$D$4:$D$2004,$Z338-2000)),IF($Z338&lt;=5200,IF(INDEX(客户自备加工筐明细!$C$4:$C$1203,$Z338-4000)=0,"",INDEX(客户自备加工筐明细!$C$4:$C$1203,$Z338-4000)),IF($Z338&lt;=5800,IF(INDEX(次果筐明细!$D$4:$D$603,$Z338-5200)=0,"",INDEX(次果筐明细!$D$4:$D$603,$Z338-5200)),"")))))</f>
        <v/>
      </c>
      <c r="G338" s="24" t="str">
        <f>IF($Z338="","",IF($Z338&lt;=2000,IF(INDEX(包装物料出入库明细!$F$4:$F$2003,$Z338-0)=0,"",INDEX(包装物料出入库明细!$F$4:$F$2003,$Z338-0)),IF($Z338&lt;=4000,"",IF($Z338&lt;=5200,"",IF($Z338&lt;=5800,"","")))))</f>
        <v/>
      </c>
      <c r="H338" s="39" t="str">
        <f>IF($Z338="","",IF($Z338&lt;=2000,IF(INDEX(包装物料出入库明细!$L$4:$L$2003,$Z338-0)=0,"",INDEX(包装物料出入库明细!$L$4:$L$2003,$Z338-0)),IF($Z338&lt;=4000,N(INDEX(周转筐出入库明细!$H$4:$H$2004,$Z338-2000))+N(INDEX(周转筐出入库明细!$I$4:$I$2004,$Z338-2000))+N(INDEX(周转筐出入库明细!$J$4:$J$2004,$Z338-2000))+N(INDEX(周转筐出入库明细!$K$4:$K$2004,$Z338-2000)),IF($Z338&lt;=5200,N(INDEX(客户自备加工筐明细!$F$4:$F$1203,$Z338-4000))+N(INDEX(客户自备加工筐明细!$G$4:$G$1203,$Z338-4000)),IF($Z338&lt;=5800,IF(INDEX(次果筐明细!$G$4:$G$603,$Z338-5200)=0,"",INDEX(次果筐明细!$G$4:$G$603,$Z338-5200)),"")))))</f>
        <v/>
      </c>
      <c r="I338" s="24" t="str">
        <f>IF($Z338="","",IF($Z338&lt;=2000,IF(INDEX(包装物料出入库明细!$G$4:$G$2003,$Z338-0)=0,"",INDEX(包装物料出入库明细!$G$4:$G$2003,$Z338-0)),IF($Z338&lt;=4000,"个",IF($Z338&lt;=5200,"个",IF($Z338&lt;=5800,"个","")))))</f>
        <v/>
      </c>
      <c r="J338" s="30" t="str">
        <f t="shared" si="16"/>
        <v/>
      </c>
      <c r="K338" s="30" t="str">
        <f>IF($Z338="","",IF($Z338&lt;=2000,IF(INDEX(包装物料出入库明细!$N$4:$N$2003,$Z338-0)=0,"",INDEX(包装物料出入库明细!$N$4:$N$2003,$Z338-0)),IF($Z338&lt;=4000,IF(INDEX(周转筐出入库明细!$P$4:$P$2004,$Z338-2000)=0,"",INDEX(周转筐出入库明细!$P$4:$P$2004,$Z338-2000)),IF($Z338&lt;=5200,"",IF($Z338&lt;=5800,N(INDEX(次果筐明细!$L$4:$L$603,$Z338-5200))+N(INDEX(次果筐明细!$J$4:$J$603,$Z338-5200)),"")))))</f>
        <v/>
      </c>
      <c r="L338" s="24" t="str">
        <f>IF($Z338="","",IF($Z338&lt;=2000,IF(INDEX(包装物料出入库明细!$P$4:$P$2003,$Z338-0)=0,"",INDEX(包装物料出入库明细!$P$4:$P$2003,$Z338-0)),IF($Z338&lt;=4000,IF(INDEX(周转筐出入库明细!$Q$4:$Q$2004,$Z338-2000)=0,"",INDEX(周转筐出入库明细!$Q$4:$Q$2004,$Z338-2000)),IF($Z338&lt;=5200,"",IF($Z338&lt;=5800,IF(INDEX(次果筐明细!$M$4:$M$603,$Z338-5200)=0,"",INDEX(次果筐明细!$M$4:$M$603,$Z338-5200)),"")))))</f>
        <v/>
      </c>
      <c r="M338" s="37" t="str">
        <f>IF($Z338="","",IF($Z338&lt;=2000,IF(INDEX(包装物料出入库明细!$R$4:$R$2003,$Z338-0)=0,"",INDEX(包装物料出入库明细!$R$4:$R$2003,$Z338-0)),IF($Z338&lt;=4000,IF(INDEX(周转筐出入库明细!$W$4:$W$2004,$Z338-2000)=0,"",INDEX(周转筐出入库明细!$W$4:$W$2004,$Z338-2000)),IF($Z338&lt;=5200,IF(INDEX(客户自备加工筐明细!$L$4:$L$1203,$Z338-4000)=0,"",INDEX(客户自备加工筐明细!$L$4:$L$1203,$Z338-4000)),IF($Z338&lt;=5800,IF(INDEX(次果筐明细!$P$4:$P$603,$Z338-5200)=0,"",INDEX(次果筐明细!$P$4:$P$603,$Z338-5200)),"")))))</f>
        <v/>
      </c>
      <c r="N338" s="16" t="str">
        <f>IF($Z338="","",IF($Z338&lt;=2000,"",IF($Z338&lt;=4000,IF(INDEX(周转筐出入库明细!$D$4:$D$2004,$Z338-2000)=0,"",INDEX(周转筐出入库明细!$D$4:$D$2004,$Z338-2000)),IF($Z338&lt;=5200,IF(INDEX(客户自备加工筐明细!$C$4:$C$1203,$Z338-4000)=0,"",INDEX(客户自备加工筐明细!$C$4:$C$1203,$Z338-4000)),IF($Z338&lt;=5800,IF(INDEX(次果筐明细!$D$4:$D$603,$Z338-5200)=0,"",INDEX(次果筐明细!$D$4:$D$603,$Z338-5200)),"")))))</f>
        <v/>
      </c>
      <c r="O338" s="40" t="str">
        <f>IF($Z338="","",IF($Z338&lt;=2000,"",IF($Z338&lt;=4000,IF(N(INDEX(周转筐出入库明细!$J$4:$J$2004,$Z338-2000))+N(INDEX(周转筐出入库明细!$K$4:$K$2004,$Z338-2000))=0,"",N(INDEX(周转筐出入库明细!$J$4:$J$2004,$Z338-2000))+N(INDEX(周转筐出入库明细!$K$4:$K$2004,$Z338-2000))),IF($Z338&lt;=5200,IF(N(INDEX(客户自备加工筐明细!$G$4:$G$1203,$Z338-4000))=0,"",N(INDEX(客户自备加工筐明细!$G$4:$G$1203,$Z338-4000))),IF($Z338&lt;=5800,IF(ISNUMBER(SEARCH("退",INDEX(次果筐明细!$F$4:$F$603,$Z338-5200)&amp;"")),"",IF(N(INDEX(次果筐明细!$G$4:$G$603,$Z338-5200))=0,"",N(INDEX(次果筐明细!$G$4:$G$603,$Z338-5200)))),"")))))</f>
        <v/>
      </c>
      <c r="P338" s="40" t="str">
        <f>IF($Z338="","",IF($Z338&lt;=2000,"",IF($Z338&lt;=4000,IF(N(INDEX(周转筐出入库明细!$I$4:$I$2004,$Z338-2000))=0,"",N(INDEX(周转筐出入库明细!$I$4:$I$2004,$Z338-2000))),IF($Z338&lt;=5200,"",IF($Z338&lt;=5800,IF(ISNUMBER(SEARCH("退",INDEX(次果筐明细!$F$4:$F$603,$Z338-5200)&amp;"")),IF(N(INDEX(次果筐明细!$G$4:$G$603,$Z338-5200))=0,"",N(INDEX(次果筐明细!$G$4:$G$603,$Z338-5200))),""),"")))))</f>
        <v/>
      </c>
      <c r="Q338" s="40" t="str">
        <f>IF($Z338="","",IF($Z338&lt;=2000,"",IF($Z338&lt;=4000,IF(N(INDEX(周转筐出入库明细!$H$4:$H$2004,$Z338-2000))=0,"",N(INDEX(周转筐出入库明细!$H$4:$H$2004,$Z338-2000))),IF($Z338&lt;=5200,IF(N(INDEX(客户自备加工筐明细!$F$4:$F$1203,$Z338-4000))=0,"",N(INDEX(客户自备加工筐明细!$F$4:$F$1203,$Z338-4000))),IF($Z338&lt;=5800,"","")))))</f>
        <v/>
      </c>
      <c r="R338" s="16" t="str">
        <f>IF($Z338="","",IF($Z338&lt;=2000,IF(INDEX(包装物料出入库明细!$O$4:$O$2003,$Z338-0)=0,"",INDEX(包装物料出入库明细!$O$4:$O$2003,$Z338-0)),IF($Z338&lt;=4000,IF(INDEX(周转筐出入库明细!$M$4:$M$2004,$Z338-2000)=0,"",INDEX(周转筐出入库明细!$M$4:$M$2004,$Z338-2000)),IF($Z338&lt;=5200,IF(INDEX(客户自备加工筐明细!$H$4:$H$1203,$Z338-4000)=0,"",INDEX(客户自备加工筐明细!$H$4:$H$1203,$Z338-4000)),IF($Z338&lt;=5800,IF(INDEX(次果筐明细!$H$4:$H$603,$Z338-5200)=0,"",INDEX(次果筐明细!$H$4:$H$603,$Z338-5200)),"")))))</f>
        <v/>
      </c>
      <c r="S338" s="22" t="str">
        <f t="shared" si="17"/>
        <v/>
      </c>
      <c r="Z338" s="10" t="str">
        <f>IFERROR(MATCH(ROW()-3,_自动清单!$CQ$4:$CQ$5803,0),"")</f>
        <v/>
      </c>
    </row>
    <row r="339" spans="1:26">
      <c r="A339" s="24" t="str">
        <f t="shared" si="15"/>
        <v/>
      </c>
      <c r="B339" s="38" t="str">
        <f>IF($Z339="","",IF($Z339&lt;=2000,IF(INDEX(包装物料出入库明细!$B$4:$B$2003,$Z339-0)=0,"",INDEX(包装物料出入库明细!$B$4:$B$2003,$Z339-0)),IF($Z339&lt;=4000,IF(INDEX(周转筐出入库明细!$B$4:$B$2004,$Z339-2000)=0,"",INDEX(周转筐出入库明细!$B$4:$B$2004,$Z339-2000)),IF($Z339&lt;=5200,IF(INDEX(客户自备加工筐明细!$B$4:$B$1203,$Z339-4000)=0,"",INDEX(客户自备加工筐明细!$B$4:$B$1203,$Z339-4000)),IF($Z339&lt;=5800,IF(INDEX(次果筐明细!$B$4:$B$603,$Z339-5200)=0,"",INDEX(次果筐明细!$B$4:$B$603,$Z339-5200)),"")))))</f>
        <v/>
      </c>
      <c r="C339" s="37" t="str">
        <f>IF($Z339="","",IF($Z339&lt;=2000,IF(INDEX(包装物料出入库明细!$D$4:$D$2003,$Z339-0)=0,"",INDEX(包装物料出入库明细!$D$4:$D$2003,$Z339-0)),IF($Z339&lt;=4000,IF(INDEX(周转筐出入库明细!$C$4:$C$2004,$Z339-2000)=0,"",INDEX(周转筐出入库明细!$C$4:$C$2004,$Z339-2000)),IF($Z339&lt;=5200,IF(INDEX(客户自备加工筐明细!$E$4:$E$1203,$Z339-4000)=0,"",INDEX(客户自备加工筐明细!$E$4:$E$1203,$Z339-4000)),IF($Z339&lt;=5800,IF(INDEX(次果筐明细!$C$4:$C$603,$Z339-5200)=0,"",INDEX(次果筐明细!$C$4:$C$603,$Z339-5200)),"")))))</f>
        <v/>
      </c>
      <c r="D339" s="37" t="str">
        <f>IF($Z339="","",IF($Z339&lt;=2000,"包装物料－"&amp;INDEX(包装物料出入库明细!$H$4:$H$2003,$Z339-0),IF($Z339&lt;=4000,"周转筐－"&amp;INDEX(周转筐出入库明细!$F$4:$F$2004,$Z339-2000),IF($Z339&lt;=5200,"客户自备筐－"&amp;INDEX(客户自备加工筐明细!$J$4:$J$1203,$Z339-4000),IF($Z339&lt;=5800,"次果筐/托盘－"&amp;INDEX(次果筐明细!$F$4:$F$603,$Z339-5200),"")))))</f>
        <v/>
      </c>
      <c r="E339" s="24" t="str">
        <f>IF($Z339="","",IF($Z339&lt;=2000,IF(INDEX(包装物料出入库明细!$C$4:$C$2003,$Z339-0)=0,"",INDEX(包装物料出入库明细!$C$4:$C$2003,$Z339-0)),IF($Z339&lt;=4000,IF(INDEX(周转筐出入库明细!$E$4:$E$2004,$Z339-2000)=0,"",INDEX(周转筐出入库明细!$E$4:$E$2004,$Z339-2000)),IF($Z339&lt;=5200,IF(INDEX(客户自备加工筐明细!$D$4:$D$1203,$Z339-4000)=0,"",INDEX(客户自备加工筐明细!$D$4:$D$1203,$Z339-4000)),IF($Z339&lt;=5800,IF(INDEX(次果筐明细!$E$4:$E$603,$Z339-5200)=0,"",INDEX(次果筐明细!$E$4:$E$603,$Z339-5200)),"")))))</f>
        <v/>
      </c>
      <c r="F339" s="24" t="str">
        <f>IF($Z339="","",IF($Z339&lt;=2000,IF(INDEX(包装物料出入库明细!$E$4:$E$2003,$Z339-0)=0,"",INDEX(包装物料出入库明细!$E$4:$E$2003,$Z339-0)),IF($Z339&lt;=4000,IF(INDEX(周转筐出入库明细!$D$4:$D$2004,$Z339-2000)=0,"",INDEX(周转筐出入库明细!$D$4:$D$2004,$Z339-2000)),IF($Z339&lt;=5200,IF(INDEX(客户自备加工筐明细!$C$4:$C$1203,$Z339-4000)=0,"",INDEX(客户自备加工筐明细!$C$4:$C$1203,$Z339-4000)),IF($Z339&lt;=5800,IF(INDEX(次果筐明细!$D$4:$D$603,$Z339-5200)=0,"",INDEX(次果筐明细!$D$4:$D$603,$Z339-5200)),"")))))</f>
        <v/>
      </c>
      <c r="G339" s="24" t="str">
        <f>IF($Z339="","",IF($Z339&lt;=2000,IF(INDEX(包装物料出入库明细!$F$4:$F$2003,$Z339-0)=0,"",INDEX(包装物料出入库明细!$F$4:$F$2003,$Z339-0)),IF($Z339&lt;=4000,"",IF($Z339&lt;=5200,"",IF($Z339&lt;=5800,"","")))))</f>
        <v/>
      </c>
      <c r="H339" s="39" t="str">
        <f>IF($Z339="","",IF($Z339&lt;=2000,IF(INDEX(包装物料出入库明细!$L$4:$L$2003,$Z339-0)=0,"",INDEX(包装物料出入库明细!$L$4:$L$2003,$Z339-0)),IF($Z339&lt;=4000,N(INDEX(周转筐出入库明细!$H$4:$H$2004,$Z339-2000))+N(INDEX(周转筐出入库明细!$I$4:$I$2004,$Z339-2000))+N(INDEX(周转筐出入库明细!$J$4:$J$2004,$Z339-2000))+N(INDEX(周转筐出入库明细!$K$4:$K$2004,$Z339-2000)),IF($Z339&lt;=5200,N(INDEX(客户自备加工筐明细!$F$4:$F$1203,$Z339-4000))+N(INDEX(客户自备加工筐明细!$G$4:$G$1203,$Z339-4000)),IF($Z339&lt;=5800,IF(INDEX(次果筐明细!$G$4:$G$603,$Z339-5200)=0,"",INDEX(次果筐明细!$G$4:$G$603,$Z339-5200)),"")))))</f>
        <v/>
      </c>
      <c r="I339" s="24" t="str">
        <f>IF($Z339="","",IF($Z339&lt;=2000,IF(INDEX(包装物料出入库明细!$G$4:$G$2003,$Z339-0)=0,"",INDEX(包装物料出入库明细!$G$4:$G$2003,$Z339-0)),IF($Z339&lt;=4000,"个",IF($Z339&lt;=5200,"个",IF($Z339&lt;=5800,"个","")))))</f>
        <v/>
      </c>
      <c r="J339" s="30" t="str">
        <f t="shared" si="16"/>
        <v/>
      </c>
      <c r="K339" s="30" t="str">
        <f>IF($Z339="","",IF($Z339&lt;=2000,IF(INDEX(包装物料出入库明细!$N$4:$N$2003,$Z339-0)=0,"",INDEX(包装物料出入库明细!$N$4:$N$2003,$Z339-0)),IF($Z339&lt;=4000,IF(INDEX(周转筐出入库明细!$P$4:$P$2004,$Z339-2000)=0,"",INDEX(周转筐出入库明细!$P$4:$P$2004,$Z339-2000)),IF($Z339&lt;=5200,"",IF($Z339&lt;=5800,N(INDEX(次果筐明细!$L$4:$L$603,$Z339-5200))+N(INDEX(次果筐明细!$J$4:$J$603,$Z339-5200)),"")))))</f>
        <v/>
      </c>
      <c r="L339" s="24" t="str">
        <f>IF($Z339="","",IF($Z339&lt;=2000,IF(INDEX(包装物料出入库明细!$P$4:$P$2003,$Z339-0)=0,"",INDEX(包装物料出入库明细!$P$4:$P$2003,$Z339-0)),IF($Z339&lt;=4000,IF(INDEX(周转筐出入库明细!$Q$4:$Q$2004,$Z339-2000)=0,"",INDEX(周转筐出入库明细!$Q$4:$Q$2004,$Z339-2000)),IF($Z339&lt;=5200,"",IF($Z339&lt;=5800,IF(INDEX(次果筐明细!$M$4:$M$603,$Z339-5200)=0,"",INDEX(次果筐明细!$M$4:$M$603,$Z339-5200)),"")))))</f>
        <v/>
      </c>
      <c r="M339" s="37" t="str">
        <f>IF($Z339="","",IF($Z339&lt;=2000,IF(INDEX(包装物料出入库明细!$R$4:$R$2003,$Z339-0)=0,"",INDEX(包装物料出入库明细!$R$4:$R$2003,$Z339-0)),IF($Z339&lt;=4000,IF(INDEX(周转筐出入库明细!$W$4:$W$2004,$Z339-2000)=0,"",INDEX(周转筐出入库明细!$W$4:$W$2004,$Z339-2000)),IF($Z339&lt;=5200,IF(INDEX(客户自备加工筐明细!$L$4:$L$1203,$Z339-4000)=0,"",INDEX(客户自备加工筐明细!$L$4:$L$1203,$Z339-4000)),IF($Z339&lt;=5800,IF(INDEX(次果筐明细!$P$4:$P$603,$Z339-5200)=0,"",INDEX(次果筐明细!$P$4:$P$603,$Z339-5200)),"")))))</f>
        <v/>
      </c>
      <c r="N339" s="16" t="str">
        <f>IF($Z339="","",IF($Z339&lt;=2000,"",IF($Z339&lt;=4000,IF(INDEX(周转筐出入库明细!$D$4:$D$2004,$Z339-2000)=0,"",INDEX(周转筐出入库明细!$D$4:$D$2004,$Z339-2000)),IF($Z339&lt;=5200,IF(INDEX(客户自备加工筐明细!$C$4:$C$1203,$Z339-4000)=0,"",INDEX(客户自备加工筐明细!$C$4:$C$1203,$Z339-4000)),IF($Z339&lt;=5800,IF(INDEX(次果筐明细!$D$4:$D$603,$Z339-5200)=0,"",INDEX(次果筐明细!$D$4:$D$603,$Z339-5200)),"")))))</f>
        <v/>
      </c>
      <c r="O339" s="40" t="str">
        <f>IF($Z339="","",IF($Z339&lt;=2000,"",IF($Z339&lt;=4000,IF(N(INDEX(周转筐出入库明细!$J$4:$J$2004,$Z339-2000))+N(INDEX(周转筐出入库明细!$K$4:$K$2004,$Z339-2000))=0,"",N(INDEX(周转筐出入库明细!$J$4:$J$2004,$Z339-2000))+N(INDEX(周转筐出入库明细!$K$4:$K$2004,$Z339-2000))),IF($Z339&lt;=5200,IF(N(INDEX(客户自备加工筐明细!$G$4:$G$1203,$Z339-4000))=0,"",N(INDEX(客户自备加工筐明细!$G$4:$G$1203,$Z339-4000))),IF($Z339&lt;=5800,IF(ISNUMBER(SEARCH("退",INDEX(次果筐明细!$F$4:$F$603,$Z339-5200)&amp;"")),"",IF(N(INDEX(次果筐明细!$G$4:$G$603,$Z339-5200))=0,"",N(INDEX(次果筐明细!$G$4:$G$603,$Z339-5200)))),"")))))</f>
        <v/>
      </c>
      <c r="P339" s="40" t="str">
        <f>IF($Z339="","",IF($Z339&lt;=2000,"",IF($Z339&lt;=4000,IF(N(INDEX(周转筐出入库明细!$I$4:$I$2004,$Z339-2000))=0,"",N(INDEX(周转筐出入库明细!$I$4:$I$2004,$Z339-2000))),IF($Z339&lt;=5200,"",IF($Z339&lt;=5800,IF(ISNUMBER(SEARCH("退",INDEX(次果筐明细!$F$4:$F$603,$Z339-5200)&amp;"")),IF(N(INDEX(次果筐明细!$G$4:$G$603,$Z339-5200))=0,"",N(INDEX(次果筐明细!$G$4:$G$603,$Z339-5200))),""),"")))))</f>
        <v/>
      </c>
      <c r="Q339" s="40" t="str">
        <f>IF($Z339="","",IF($Z339&lt;=2000,"",IF($Z339&lt;=4000,IF(N(INDEX(周转筐出入库明细!$H$4:$H$2004,$Z339-2000))=0,"",N(INDEX(周转筐出入库明细!$H$4:$H$2004,$Z339-2000))),IF($Z339&lt;=5200,IF(N(INDEX(客户自备加工筐明细!$F$4:$F$1203,$Z339-4000))=0,"",N(INDEX(客户自备加工筐明细!$F$4:$F$1203,$Z339-4000))),IF($Z339&lt;=5800,"","")))))</f>
        <v/>
      </c>
      <c r="R339" s="16" t="str">
        <f>IF($Z339="","",IF($Z339&lt;=2000,IF(INDEX(包装物料出入库明细!$O$4:$O$2003,$Z339-0)=0,"",INDEX(包装物料出入库明细!$O$4:$O$2003,$Z339-0)),IF($Z339&lt;=4000,IF(INDEX(周转筐出入库明细!$M$4:$M$2004,$Z339-2000)=0,"",INDEX(周转筐出入库明细!$M$4:$M$2004,$Z339-2000)),IF($Z339&lt;=5200,IF(INDEX(客户自备加工筐明细!$H$4:$H$1203,$Z339-4000)=0,"",INDEX(客户自备加工筐明细!$H$4:$H$1203,$Z339-4000)),IF($Z339&lt;=5800,IF(INDEX(次果筐明细!$H$4:$H$603,$Z339-5200)=0,"",INDEX(次果筐明细!$H$4:$H$603,$Z339-5200)),"")))))</f>
        <v/>
      </c>
      <c r="S339" s="22" t="str">
        <f t="shared" si="17"/>
        <v/>
      </c>
      <c r="Z339" s="10" t="str">
        <f>IFERROR(MATCH(ROW()-3,_自动清单!$CQ$4:$CQ$5803,0),"")</f>
        <v/>
      </c>
    </row>
    <row r="340" spans="1:26">
      <c r="A340" s="24" t="str">
        <f t="shared" si="15"/>
        <v/>
      </c>
      <c r="B340" s="38" t="str">
        <f>IF($Z340="","",IF($Z340&lt;=2000,IF(INDEX(包装物料出入库明细!$B$4:$B$2003,$Z340-0)=0,"",INDEX(包装物料出入库明细!$B$4:$B$2003,$Z340-0)),IF($Z340&lt;=4000,IF(INDEX(周转筐出入库明细!$B$4:$B$2004,$Z340-2000)=0,"",INDEX(周转筐出入库明细!$B$4:$B$2004,$Z340-2000)),IF($Z340&lt;=5200,IF(INDEX(客户自备加工筐明细!$B$4:$B$1203,$Z340-4000)=0,"",INDEX(客户自备加工筐明细!$B$4:$B$1203,$Z340-4000)),IF($Z340&lt;=5800,IF(INDEX(次果筐明细!$B$4:$B$603,$Z340-5200)=0,"",INDEX(次果筐明细!$B$4:$B$603,$Z340-5200)),"")))))</f>
        <v/>
      </c>
      <c r="C340" s="37" t="str">
        <f>IF($Z340="","",IF($Z340&lt;=2000,IF(INDEX(包装物料出入库明细!$D$4:$D$2003,$Z340-0)=0,"",INDEX(包装物料出入库明细!$D$4:$D$2003,$Z340-0)),IF($Z340&lt;=4000,IF(INDEX(周转筐出入库明细!$C$4:$C$2004,$Z340-2000)=0,"",INDEX(周转筐出入库明细!$C$4:$C$2004,$Z340-2000)),IF($Z340&lt;=5200,IF(INDEX(客户自备加工筐明细!$E$4:$E$1203,$Z340-4000)=0,"",INDEX(客户自备加工筐明细!$E$4:$E$1203,$Z340-4000)),IF($Z340&lt;=5800,IF(INDEX(次果筐明细!$C$4:$C$603,$Z340-5200)=0,"",INDEX(次果筐明细!$C$4:$C$603,$Z340-5200)),"")))))</f>
        <v/>
      </c>
      <c r="D340" s="37" t="str">
        <f>IF($Z340="","",IF($Z340&lt;=2000,"包装物料－"&amp;INDEX(包装物料出入库明细!$H$4:$H$2003,$Z340-0),IF($Z340&lt;=4000,"周转筐－"&amp;INDEX(周转筐出入库明细!$F$4:$F$2004,$Z340-2000),IF($Z340&lt;=5200,"客户自备筐－"&amp;INDEX(客户自备加工筐明细!$J$4:$J$1203,$Z340-4000),IF($Z340&lt;=5800,"次果筐/托盘－"&amp;INDEX(次果筐明细!$F$4:$F$603,$Z340-5200),"")))))</f>
        <v/>
      </c>
      <c r="E340" s="24" t="str">
        <f>IF($Z340="","",IF($Z340&lt;=2000,IF(INDEX(包装物料出入库明细!$C$4:$C$2003,$Z340-0)=0,"",INDEX(包装物料出入库明细!$C$4:$C$2003,$Z340-0)),IF($Z340&lt;=4000,IF(INDEX(周转筐出入库明细!$E$4:$E$2004,$Z340-2000)=0,"",INDEX(周转筐出入库明细!$E$4:$E$2004,$Z340-2000)),IF($Z340&lt;=5200,IF(INDEX(客户自备加工筐明细!$D$4:$D$1203,$Z340-4000)=0,"",INDEX(客户自备加工筐明细!$D$4:$D$1203,$Z340-4000)),IF($Z340&lt;=5800,IF(INDEX(次果筐明细!$E$4:$E$603,$Z340-5200)=0,"",INDEX(次果筐明细!$E$4:$E$603,$Z340-5200)),"")))))</f>
        <v/>
      </c>
      <c r="F340" s="24" t="str">
        <f>IF($Z340="","",IF($Z340&lt;=2000,IF(INDEX(包装物料出入库明细!$E$4:$E$2003,$Z340-0)=0,"",INDEX(包装物料出入库明细!$E$4:$E$2003,$Z340-0)),IF($Z340&lt;=4000,IF(INDEX(周转筐出入库明细!$D$4:$D$2004,$Z340-2000)=0,"",INDEX(周转筐出入库明细!$D$4:$D$2004,$Z340-2000)),IF($Z340&lt;=5200,IF(INDEX(客户自备加工筐明细!$C$4:$C$1203,$Z340-4000)=0,"",INDEX(客户自备加工筐明细!$C$4:$C$1203,$Z340-4000)),IF($Z340&lt;=5800,IF(INDEX(次果筐明细!$D$4:$D$603,$Z340-5200)=0,"",INDEX(次果筐明细!$D$4:$D$603,$Z340-5200)),"")))))</f>
        <v/>
      </c>
      <c r="G340" s="24" t="str">
        <f>IF($Z340="","",IF($Z340&lt;=2000,IF(INDEX(包装物料出入库明细!$F$4:$F$2003,$Z340-0)=0,"",INDEX(包装物料出入库明细!$F$4:$F$2003,$Z340-0)),IF($Z340&lt;=4000,"",IF($Z340&lt;=5200,"",IF($Z340&lt;=5800,"","")))))</f>
        <v/>
      </c>
      <c r="H340" s="39" t="str">
        <f>IF($Z340="","",IF($Z340&lt;=2000,IF(INDEX(包装物料出入库明细!$L$4:$L$2003,$Z340-0)=0,"",INDEX(包装物料出入库明细!$L$4:$L$2003,$Z340-0)),IF($Z340&lt;=4000,N(INDEX(周转筐出入库明细!$H$4:$H$2004,$Z340-2000))+N(INDEX(周转筐出入库明细!$I$4:$I$2004,$Z340-2000))+N(INDEX(周转筐出入库明细!$J$4:$J$2004,$Z340-2000))+N(INDEX(周转筐出入库明细!$K$4:$K$2004,$Z340-2000)),IF($Z340&lt;=5200,N(INDEX(客户自备加工筐明细!$F$4:$F$1203,$Z340-4000))+N(INDEX(客户自备加工筐明细!$G$4:$G$1203,$Z340-4000)),IF($Z340&lt;=5800,IF(INDEX(次果筐明细!$G$4:$G$603,$Z340-5200)=0,"",INDEX(次果筐明细!$G$4:$G$603,$Z340-5200)),"")))))</f>
        <v/>
      </c>
      <c r="I340" s="24" t="str">
        <f>IF($Z340="","",IF($Z340&lt;=2000,IF(INDEX(包装物料出入库明细!$G$4:$G$2003,$Z340-0)=0,"",INDEX(包装物料出入库明细!$G$4:$G$2003,$Z340-0)),IF($Z340&lt;=4000,"个",IF($Z340&lt;=5200,"个",IF($Z340&lt;=5800,"个","")))))</f>
        <v/>
      </c>
      <c r="J340" s="30" t="str">
        <f t="shared" si="16"/>
        <v/>
      </c>
      <c r="K340" s="30" t="str">
        <f>IF($Z340="","",IF($Z340&lt;=2000,IF(INDEX(包装物料出入库明细!$N$4:$N$2003,$Z340-0)=0,"",INDEX(包装物料出入库明细!$N$4:$N$2003,$Z340-0)),IF($Z340&lt;=4000,IF(INDEX(周转筐出入库明细!$P$4:$P$2004,$Z340-2000)=0,"",INDEX(周转筐出入库明细!$P$4:$P$2004,$Z340-2000)),IF($Z340&lt;=5200,"",IF($Z340&lt;=5800,N(INDEX(次果筐明细!$L$4:$L$603,$Z340-5200))+N(INDEX(次果筐明细!$J$4:$J$603,$Z340-5200)),"")))))</f>
        <v/>
      </c>
      <c r="L340" s="24" t="str">
        <f>IF($Z340="","",IF($Z340&lt;=2000,IF(INDEX(包装物料出入库明细!$P$4:$P$2003,$Z340-0)=0,"",INDEX(包装物料出入库明细!$P$4:$P$2003,$Z340-0)),IF($Z340&lt;=4000,IF(INDEX(周转筐出入库明细!$Q$4:$Q$2004,$Z340-2000)=0,"",INDEX(周转筐出入库明细!$Q$4:$Q$2004,$Z340-2000)),IF($Z340&lt;=5200,"",IF($Z340&lt;=5800,IF(INDEX(次果筐明细!$M$4:$M$603,$Z340-5200)=0,"",INDEX(次果筐明细!$M$4:$M$603,$Z340-5200)),"")))))</f>
        <v/>
      </c>
      <c r="M340" s="37" t="str">
        <f>IF($Z340="","",IF($Z340&lt;=2000,IF(INDEX(包装物料出入库明细!$R$4:$R$2003,$Z340-0)=0,"",INDEX(包装物料出入库明细!$R$4:$R$2003,$Z340-0)),IF($Z340&lt;=4000,IF(INDEX(周转筐出入库明细!$W$4:$W$2004,$Z340-2000)=0,"",INDEX(周转筐出入库明细!$W$4:$W$2004,$Z340-2000)),IF($Z340&lt;=5200,IF(INDEX(客户自备加工筐明细!$L$4:$L$1203,$Z340-4000)=0,"",INDEX(客户自备加工筐明细!$L$4:$L$1203,$Z340-4000)),IF($Z340&lt;=5800,IF(INDEX(次果筐明细!$P$4:$P$603,$Z340-5200)=0,"",INDEX(次果筐明细!$P$4:$P$603,$Z340-5200)),"")))))</f>
        <v/>
      </c>
      <c r="N340" s="16" t="str">
        <f>IF($Z340="","",IF($Z340&lt;=2000,"",IF($Z340&lt;=4000,IF(INDEX(周转筐出入库明细!$D$4:$D$2004,$Z340-2000)=0,"",INDEX(周转筐出入库明细!$D$4:$D$2004,$Z340-2000)),IF($Z340&lt;=5200,IF(INDEX(客户自备加工筐明细!$C$4:$C$1203,$Z340-4000)=0,"",INDEX(客户自备加工筐明细!$C$4:$C$1203,$Z340-4000)),IF($Z340&lt;=5800,IF(INDEX(次果筐明细!$D$4:$D$603,$Z340-5200)=0,"",INDEX(次果筐明细!$D$4:$D$603,$Z340-5200)),"")))))</f>
        <v/>
      </c>
      <c r="O340" s="40" t="str">
        <f>IF($Z340="","",IF($Z340&lt;=2000,"",IF($Z340&lt;=4000,IF(N(INDEX(周转筐出入库明细!$J$4:$J$2004,$Z340-2000))+N(INDEX(周转筐出入库明细!$K$4:$K$2004,$Z340-2000))=0,"",N(INDEX(周转筐出入库明细!$J$4:$J$2004,$Z340-2000))+N(INDEX(周转筐出入库明细!$K$4:$K$2004,$Z340-2000))),IF($Z340&lt;=5200,IF(N(INDEX(客户自备加工筐明细!$G$4:$G$1203,$Z340-4000))=0,"",N(INDEX(客户自备加工筐明细!$G$4:$G$1203,$Z340-4000))),IF($Z340&lt;=5800,IF(ISNUMBER(SEARCH("退",INDEX(次果筐明细!$F$4:$F$603,$Z340-5200)&amp;"")),"",IF(N(INDEX(次果筐明细!$G$4:$G$603,$Z340-5200))=0,"",N(INDEX(次果筐明细!$G$4:$G$603,$Z340-5200)))),"")))))</f>
        <v/>
      </c>
      <c r="P340" s="40" t="str">
        <f>IF($Z340="","",IF($Z340&lt;=2000,"",IF($Z340&lt;=4000,IF(N(INDEX(周转筐出入库明细!$I$4:$I$2004,$Z340-2000))=0,"",N(INDEX(周转筐出入库明细!$I$4:$I$2004,$Z340-2000))),IF($Z340&lt;=5200,"",IF($Z340&lt;=5800,IF(ISNUMBER(SEARCH("退",INDEX(次果筐明细!$F$4:$F$603,$Z340-5200)&amp;"")),IF(N(INDEX(次果筐明细!$G$4:$G$603,$Z340-5200))=0,"",N(INDEX(次果筐明细!$G$4:$G$603,$Z340-5200))),""),"")))))</f>
        <v/>
      </c>
      <c r="Q340" s="40" t="str">
        <f>IF($Z340="","",IF($Z340&lt;=2000,"",IF($Z340&lt;=4000,IF(N(INDEX(周转筐出入库明细!$H$4:$H$2004,$Z340-2000))=0,"",N(INDEX(周转筐出入库明细!$H$4:$H$2004,$Z340-2000))),IF($Z340&lt;=5200,IF(N(INDEX(客户自备加工筐明细!$F$4:$F$1203,$Z340-4000))=0,"",N(INDEX(客户自备加工筐明细!$F$4:$F$1203,$Z340-4000))),IF($Z340&lt;=5800,"","")))))</f>
        <v/>
      </c>
      <c r="R340" s="16" t="str">
        <f>IF($Z340="","",IF($Z340&lt;=2000,IF(INDEX(包装物料出入库明细!$O$4:$O$2003,$Z340-0)=0,"",INDEX(包装物料出入库明细!$O$4:$O$2003,$Z340-0)),IF($Z340&lt;=4000,IF(INDEX(周转筐出入库明细!$M$4:$M$2004,$Z340-2000)=0,"",INDEX(周转筐出入库明细!$M$4:$M$2004,$Z340-2000)),IF($Z340&lt;=5200,IF(INDEX(客户自备加工筐明细!$H$4:$H$1203,$Z340-4000)=0,"",INDEX(客户自备加工筐明细!$H$4:$H$1203,$Z340-4000)),IF($Z340&lt;=5800,IF(INDEX(次果筐明细!$H$4:$H$603,$Z340-5200)=0,"",INDEX(次果筐明细!$H$4:$H$603,$Z340-5200)),"")))))</f>
        <v/>
      </c>
      <c r="S340" s="22" t="str">
        <f t="shared" si="17"/>
        <v/>
      </c>
      <c r="Z340" s="10" t="str">
        <f>IFERROR(MATCH(ROW()-3,_自动清单!$CQ$4:$CQ$5803,0),"")</f>
        <v/>
      </c>
    </row>
    <row r="341" spans="1:26">
      <c r="A341" s="24" t="str">
        <f t="shared" si="15"/>
        <v/>
      </c>
      <c r="B341" s="38" t="str">
        <f>IF($Z341="","",IF($Z341&lt;=2000,IF(INDEX(包装物料出入库明细!$B$4:$B$2003,$Z341-0)=0,"",INDEX(包装物料出入库明细!$B$4:$B$2003,$Z341-0)),IF($Z341&lt;=4000,IF(INDEX(周转筐出入库明细!$B$4:$B$2004,$Z341-2000)=0,"",INDEX(周转筐出入库明细!$B$4:$B$2004,$Z341-2000)),IF($Z341&lt;=5200,IF(INDEX(客户自备加工筐明细!$B$4:$B$1203,$Z341-4000)=0,"",INDEX(客户自备加工筐明细!$B$4:$B$1203,$Z341-4000)),IF($Z341&lt;=5800,IF(INDEX(次果筐明细!$B$4:$B$603,$Z341-5200)=0,"",INDEX(次果筐明细!$B$4:$B$603,$Z341-5200)),"")))))</f>
        <v/>
      </c>
      <c r="C341" s="37" t="str">
        <f>IF($Z341="","",IF($Z341&lt;=2000,IF(INDEX(包装物料出入库明细!$D$4:$D$2003,$Z341-0)=0,"",INDEX(包装物料出入库明细!$D$4:$D$2003,$Z341-0)),IF($Z341&lt;=4000,IF(INDEX(周转筐出入库明细!$C$4:$C$2004,$Z341-2000)=0,"",INDEX(周转筐出入库明细!$C$4:$C$2004,$Z341-2000)),IF($Z341&lt;=5200,IF(INDEX(客户自备加工筐明细!$E$4:$E$1203,$Z341-4000)=0,"",INDEX(客户自备加工筐明细!$E$4:$E$1203,$Z341-4000)),IF($Z341&lt;=5800,IF(INDEX(次果筐明细!$C$4:$C$603,$Z341-5200)=0,"",INDEX(次果筐明细!$C$4:$C$603,$Z341-5200)),"")))))</f>
        <v/>
      </c>
      <c r="D341" s="37" t="str">
        <f>IF($Z341="","",IF($Z341&lt;=2000,"包装物料－"&amp;INDEX(包装物料出入库明细!$H$4:$H$2003,$Z341-0),IF($Z341&lt;=4000,"周转筐－"&amp;INDEX(周转筐出入库明细!$F$4:$F$2004,$Z341-2000),IF($Z341&lt;=5200,"客户自备筐－"&amp;INDEX(客户自备加工筐明细!$J$4:$J$1203,$Z341-4000),IF($Z341&lt;=5800,"次果筐/托盘－"&amp;INDEX(次果筐明细!$F$4:$F$603,$Z341-5200),"")))))</f>
        <v/>
      </c>
      <c r="E341" s="24" t="str">
        <f>IF($Z341="","",IF($Z341&lt;=2000,IF(INDEX(包装物料出入库明细!$C$4:$C$2003,$Z341-0)=0,"",INDEX(包装物料出入库明细!$C$4:$C$2003,$Z341-0)),IF($Z341&lt;=4000,IF(INDEX(周转筐出入库明细!$E$4:$E$2004,$Z341-2000)=0,"",INDEX(周转筐出入库明细!$E$4:$E$2004,$Z341-2000)),IF($Z341&lt;=5200,IF(INDEX(客户自备加工筐明细!$D$4:$D$1203,$Z341-4000)=0,"",INDEX(客户自备加工筐明细!$D$4:$D$1203,$Z341-4000)),IF($Z341&lt;=5800,IF(INDEX(次果筐明细!$E$4:$E$603,$Z341-5200)=0,"",INDEX(次果筐明细!$E$4:$E$603,$Z341-5200)),"")))))</f>
        <v/>
      </c>
      <c r="F341" s="24" t="str">
        <f>IF($Z341="","",IF($Z341&lt;=2000,IF(INDEX(包装物料出入库明细!$E$4:$E$2003,$Z341-0)=0,"",INDEX(包装物料出入库明细!$E$4:$E$2003,$Z341-0)),IF($Z341&lt;=4000,IF(INDEX(周转筐出入库明细!$D$4:$D$2004,$Z341-2000)=0,"",INDEX(周转筐出入库明细!$D$4:$D$2004,$Z341-2000)),IF($Z341&lt;=5200,IF(INDEX(客户自备加工筐明细!$C$4:$C$1203,$Z341-4000)=0,"",INDEX(客户自备加工筐明细!$C$4:$C$1203,$Z341-4000)),IF($Z341&lt;=5800,IF(INDEX(次果筐明细!$D$4:$D$603,$Z341-5200)=0,"",INDEX(次果筐明细!$D$4:$D$603,$Z341-5200)),"")))))</f>
        <v/>
      </c>
      <c r="G341" s="24" t="str">
        <f>IF($Z341="","",IF($Z341&lt;=2000,IF(INDEX(包装物料出入库明细!$F$4:$F$2003,$Z341-0)=0,"",INDEX(包装物料出入库明细!$F$4:$F$2003,$Z341-0)),IF($Z341&lt;=4000,"",IF($Z341&lt;=5200,"",IF($Z341&lt;=5800,"","")))))</f>
        <v/>
      </c>
      <c r="H341" s="39" t="str">
        <f>IF($Z341="","",IF($Z341&lt;=2000,IF(INDEX(包装物料出入库明细!$L$4:$L$2003,$Z341-0)=0,"",INDEX(包装物料出入库明细!$L$4:$L$2003,$Z341-0)),IF($Z341&lt;=4000,N(INDEX(周转筐出入库明细!$H$4:$H$2004,$Z341-2000))+N(INDEX(周转筐出入库明细!$I$4:$I$2004,$Z341-2000))+N(INDEX(周转筐出入库明细!$J$4:$J$2004,$Z341-2000))+N(INDEX(周转筐出入库明细!$K$4:$K$2004,$Z341-2000)),IF($Z341&lt;=5200,N(INDEX(客户自备加工筐明细!$F$4:$F$1203,$Z341-4000))+N(INDEX(客户自备加工筐明细!$G$4:$G$1203,$Z341-4000)),IF($Z341&lt;=5800,IF(INDEX(次果筐明细!$G$4:$G$603,$Z341-5200)=0,"",INDEX(次果筐明细!$G$4:$G$603,$Z341-5200)),"")))))</f>
        <v/>
      </c>
      <c r="I341" s="24" t="str">
        <f>IF($Z341="","",IF($Z341&lt;=2000,IF(INDEX(包装物料出入库明细!$G$4:$G$2003,$Z341-0)=0,"",INDEX(包装物料出入库明细!$G$4:$G$2003,$Z341-0)),IF($Z341&lt;=4000,"个",IF($Z341&lt;=5200,"个",IF($Z341&lt;=5800,"个","")))))</f>
        <v/>
      </c>
      <c r="J341" s="30" t="str">
        <f t="shared" si="16"/>
        <v/>
      </c>
      <c r="K341" s="30" t="str">
        <f>IF($Z341="","",IF($Z341&lt;=2000,IF(INDEX(包装物料出入库明细!$N$4:$N$2003,$Z341-0)=0,"",INDEX(包装物料出入库明细!$N$4:$N$2003,$Z341-0)),IF($Z341&lt;=4000,IF(INDEX(周转筐出入库明细!$P$4:$P$2004,$Z341-2000)=0,"",INDEX(周转筐出入库明细!$P$4:$P$2004,$Z341-2000)),IF($Z341&lt;=5200,"",IF($Z341&lt;=5800,N(INDEX(次果筐明细!$L$4:$L$603,$Z341-5200))+N(INDEX(次果筐明细!$J$4:$J$603,$Z341-5200)),"")))))</f>
        <v/>
      </c>
      <c r="L341" s="24" t="str">
        <f>IF($Z341="","",IF($Z341&lt;=2000,IF(INDEX(包装物料出入库明细!$P$4:$P$2003,$Z341-0)=0,"",INDEX(包装物料出入库明细!$P$4:$P$2003,$Z341-0)),IF($Z341&lt;=4000,IF(INDEX(周转筐出入库明细!$Q$4:$Q$2004,$Z341-2000)=0,"",INDEX(周转筐出入库明细!$Q$4:$Q$2004,$Z341-2000)),IF($Z341&lt;=5200,"",IF($Z341&lt;=5800,IF(INDEX(次果筐明细!$M$4:$M$603,$Z341-5200)=0,"",INDEX(次果筐明细!$M$4:$M$603,$Z341-5200)),"")))))</f>
        <v/>
      </c>
      <c r="M341" s="37" t="str">
        <f>IF($Z341="","",IF($Z341&lt;=2000,IF(INDEX(包装物料出入库明细!$R$4:$R$2003,$Z341-0)=0,"",INDEX(包装物料出入库明细!$R$4:$R$2003,$Z341-0)),IF($Z341&lt;=4000,IF(INDEX(周转筐出入库明细!$W$4:$W$2004,$Z341-2000)=0,"",INDEX(周转筐出入库明细!$W$4:$W$2004,$Z341-2000)),IF($Z341&lt;=5200,IF(INDEX(客户自备加工筐明细!$L$4:$L$1203,$Z341-4000)=0,"",INDEX(客户自备加工筐明细!$L$4:$L$1203,$Z341-4000)),IF($Z341&lt;=5800,IF(INDEX(次果筐明细!$P$4:$P$603,$Z341-5200)=0,"",INDEX(次果筐明细!$P$4:$P$603,$Z341-5200)),"")))))</f>
        <v/>
      </c>
      <c r="N341" s="16" t="str">
        <f>IF($Z341="","",IF($Z341&lt;=2000,"",IF($Z341&lt;=4000,IF(INDEX(周转筐出入库明细!$D$4:$D$2004,$Z341-2000)=0,"",INDEX(周转筐出入库明细!$D$4:$D$2004,$Z341-2000)),IF($Z341&lt;=5200,IF(INDEX(客户自备加工筐明细!$C$4:$C$1203,$Z341-4000)=0,"",INDEX(客户自备加工筐明细!$C$4:$C$1203,$Z341-4000)),IF($Z341&lt;=5800,IF(INDEX(次果筐明细!$D$4:$D$603,$Z341-5200)=0,"",INDEX(次果筐明细!$D$4:$D$603,$Z341-5200)),"")))))</f>
        <v/>
      </c>
      <c r="O341" s="40" t="str">
        <f>IF($Z341="","",IF($Z341&lt;=2000,"",IF($Z341&lt;=4000,IF(N(INDEX(周转筐出入库明细!$J$4:$J$2004,$Z341-2000))+N(INDEX(周转筐出入库明细!$K$4:$K$2004,$Z341-2000))=0,"",N(INDEX(周转筐出入库明细!$J$4:$J$2004,$Z341-2000))+N(INDEX(周转筐出入库明细!$K$4:$K$2004,$Z341-2000))),IF($Z341&lt;=5200,IF(N(INDEX(客户自备加工筐明细!$G$4:$G$1203,$Z341-4000))=0,"",N(INDEX(客户自备加工筐明细!$G$4:$G$1203,$Z341-4000))),IF($Z341&lt;=5800,IF(ISNUMBER(SEARCH("退",INDEX(次果筐明细!$F$4:$F$603,$Z341-5200)&amp;"")),"",IF(N(INDEX(次果筐明细!$G$4:$G$603,$Z341-5200))=0,"",N(INDEX(次果筐明细!$G$4:$G$603,$Z341-5200)))),"")))))</f>
        <v/>
      </c>
      <c r="P341" s="40" t="str">
        <f>IF($Z341="","",IF($Z341&lt;=2000,"",IF($Z341&lt;=4000,IF(N(INDEX(周转筐出入库明细!$I$4:$I$2004,$Z341-2000))=0,"",N(INDEX(周转筐出入库明细!$I$4:$I$2004,$Z341-2000))),IF($Z341&lt;=5200,"",IF($Z341&lt;=5800,IF(ISNUMBER(SEARCH("退",INDEX(次果筐明细!$F$4:$F$603,$Z341-5200)&amp;"")),IF(N(INDEX(次果筐明细!$G$4:$G$603,$Z341-5200))=0,"",N(INDEX(次果筐明细!$G$4:$G$603,$Z341-5200))),""),"")))))</f>
        <v/>
      </c>
      <c r="Q341" s="40" t="str">
        <f>IF($Z341="","",IF($Z341&lt;=2000,"",IF($Z341&lt;=4000,IF(N(INDEX(周转筐出入库明细!$H$4:$H$2004,$Z341-2000))=0,"",N(INDEX(周转筐出入库明细!$H$4:$H$2004,$Z341-2000))),IF($Z341&lt;=5200,IF(N(INDEX(客户自备加工筐明细!$F$4:$F$1203,$Z341-4000))=0,"",N(INDEX(客户自备加工筐明细!$F$4:$F$1203,$Z341-4000))),IF($Z341&lt;=5800,"","")))))</f>
        <v/>
      </c>
      <c r="R341" s="16" t="str">
        <f>IF($Z341="","",IF($Z341&lt;=2000,IF(INDEX(包装物料出入库明细!$O$4:$O$2003,$Z341-0)=0,"",INDEX(包装物料出入库明细!$O$4:$O$2003,$Z341-0)),IF($Z341&lt;=4000,IF(INDEX(周转筐出入库明细!$M$4:$M$2004,$Z341-2000)=0,"",INDEX(周转筐出入库明细!$M$4:$M$2004,$Z341-2000)),IF($Z341&lt;=5200,IF(INDEX(客户自备加工筐明细!$H$4:$H$1203,$Z341-4000)=0,"",INDEX(客户自备加工筐明细!$H$4:$H$1203,$Z341-4000)),IF($Z341&lt;=5800,IF(INDEX(次果筐明细!$H$4:$H$603,$Z341-5200)=0,"",INDEX(次果筐明细!$H$4:$H$603,$Z341-5200)),"")))))</f>
        <v/>
      </c>
      <c r="S341" s="22" t="str">
        <f t="shared" si="17"/>
        <v/>
      </c>
      <c r="Z341" s="10" t="str">
        <f>IFERROR(MATCH(ROW()-3,_自动清单!$CQ$4:$CQ$5803,0),"")</f>
        <v/>
      </c>
    </row>
    <row r="342" spans="1:26">
      <c r="A342" s="24" t="str">
        <f t="shared" si="15"/>
        <v/>
      </c>
      <c r="B342" s="38" t="str">
        <f>IF($Z342="","",IF($Z342&lt;=2000,IF(INDEX(包装物料出入库明细!$B$4:$B$2003,$Z342-0)=0,"",INDEX(包装物料出入库明细!$B$4:$B$2003,$Z342-0)),IF($Z342&lt;=4000,IF(INDEX(周转筐出入库明细!$B$4:$B$2004,$Z342-2000)=0,"",INDEX(周转筐出入库明细!$B$4:$B$2004,$Z342-2000)),IF($Z342&lt;=5200,IF(INDEX(客户自备加工筐明细!$B$4:$B$1203,$Z342-4000)=0,"",INDEX(客户自备加工筐明细!$B$4:$B$1203,$Z342-4000)),IF($Z342&lt;=5800,IF(INDEX(次果筐明细!$B$4:$B$603,$Z342-5200)=0,"",INDEX(次果筐明细!$B$4:$B$603,$Z342-5200)),"")))))</f>
        <v/>
      </c>
      <c r="C342" s="37" t="str">
        <f>IF($Z342="","",IF($Z342&lt;=2000,IF(INDEX(包装物料出入库明细!$D$4:$D$2003,$Z342-0)=0,"",INDEX(包装物料出入库明细!$D$4:$D$2003,$Z342-0)),IF($Z342&lt;=4000,IF(INDEX(周转筐出入库明细!$C$4:$C$2004,$Z342-2000)=0,"",INDEX(周转筐出入库明细!$C$4:$C$2004,$Z342-2000)),IF($Z342&lt;=5200,IF(INDEX(客户自备加工筐明细!$E$4:$E$1203,$Z342-4000)=0,"",INDEX(客户自备加工筐明细!$E$4:$E$1203,$Z342-4000)),IF($Z342&lt;=5800,IF(INDEX(次果筐明细!$C$4:$C$603,$Z342-5200)=0,"",INDEX(次果筐明细!$C$4:$C$603,$Z342-5200)),"")))))</f>
        <v/>
      </c>
      <c r="D342" s="37" t="str">
        <f>IF($Z342="","",IF($Z342&lt;=2000,"包装物料－"&amp;INDEX(包装物料出入库明细!$H$4:$H$2003,$Z342-0),IF($Z342&lt;=4000,"周转筐－"&amp;INDEX(周转筐出入库明细!$F$4:$F$2004,$Z342-2000),IF($Z342&lt;=5200,"客户自备筐－"&amp;INDEX(客户自备加工筐明细!$J$4:$J$1203,$Z342-4000),IF($Z342&lt;=5800,"次果筐/托盘－"&amp;INDEX(次果筐明细!$F$4:$F$603,$Z342-5200),"")))))</f>
        <v/>
      </c>
      <c r="E342" s="24" t="str">
        <f>IF($Z342="","",IF($Z342&lt;=2000,IF(INDEX(包装物料出入库明细!$C$4:$C$2003,$Z342-0)=0,"",INDEX(包装物料出入库明细!$C$4:$C$2003,$Z342-0)),IF($Z342&lt;=4000,IF(INDEX(周转筐出入库明细!$E$4:$E$2004,$Z342-2000)=0,"",INDEX(周转筐出入库明细!$E$4:$E$2004,$Z342-2000)),IF($Z342&lt;=5200,IF(INDEX(客户自备加工筐明细!$D$4:$D$1203,$Z342-4000)=0,"",INDEX(客户自备加工筐明细!$D$4:$D$1203,$Z342-4000)),IF($Z342&lt;=5800,IF(INDEX(次果筐明细!$E$4:$E$603,$Z342-5200)=0,"",INDEX(次果筐明细!$E$4:$E$603,$Z342-5200)),"")))))</f>
        <v/>
      </c>
      <c r="F342" s="24" t="str">
        <f>IF($Z342="","",IF($Z342&lt;=2000,IF(INDEX(包装物料出入库明细!$E$4:$E$2003,$Z342-0)=0,"",INDEX(包装物料出入库明细!$E$4:$E$2003,$Z342-0)),IF($Z342&lt;=4000,IF(INDEX(周转筐出入库明细!$D$4:$D$2004,$Z342-2000)=0,"",INDEX(周转筐出入库明细!$D$4:$D$2004,$Z342-2000)),IF($Z342&lt;=5200,IF(INDEX(客户自备加工筐明细!$C$4:$C$1203,$Z342-4000)=0,"",INDEX(客户自备加工筐明细!$C$4:$C$1203,$Z342-4000)),IF($Z342&lt;=5800,IF(INDEX(次果筐明细!$D$4:$D$603,$Z342-5200)=0,"",INDEX(次果筐明细!$D$4:$D$603,$Z342-5200)),"")))))</f>
        <v/>
      </c>
      <c r="G342" s="24" t="str">
        <f>IF($Z342="","",IF($Z342&lt;=2000,IF(INDEX(包装物料出入库明细!$F$4:$F$2003,$Z342-0)=0,"",INDEX(包装物料出入库明细!$F$4:$F$2003,$Z342-0)),IF($Z342&lt;=4000,"",IF($Z342&lt;=5200,"",IF($Z342&lt;=5800,"","")))))</f>
        <v/>
      </c>
      <c r="H342" s="39" t="str">
        <f>IF($Z342="","",IF($Z342&lt;=2000,IF(INDEX(包装物料出入库明细!$L$4:$L$2003,$Z342-0)=0,"",INDEX(包装物料出入库明细!$L$4:$L$2003,$Z342-0)),IF($Z342&lt;=4000,N(INDEX(周转筐出入库明细!$H$4:$H$2004,$Z342-2000))+N(INDEX(周转筐出入库明细!$I$4:$I$2004,$Z342-2000))+N(INDEX(周转筐出入库明细!$J$4:$J$2004,$Z342-2000))+N(INDEX(周转筐出入库明细!$K$4:$K$2004,$Z342-2000)),IF($Z342&lt;=5200,N(INDEX(客户自备加工筐明细!$F$4:$F$1203,$Z342-4000))+N(INDEX(客户自备加工筐明细!$G$4:$G$1203,$Z342-4000)),IF($Z342&lt;=5800,IF(INDEX(次果筐明细!$G$4:$G$603,$Z342-5200)=0,"",INDEX(次果筐明细!$G$4:$G$603,$Z342-5200)),"")))))</f>
        <v/>
      </c>
      <c r="I342" s="24" t="str">
        <f>IF($Z342="","",IF($Z342&lt;=2000,IF(INDEX(包装物料出入库明细!$G$4:$G$2003,$Z342-0)=0,"",INDEX(包装物料出入库明细!$G$4:$G$2003,$Z342-0)),IF($Z342&lt;=4000,"个",IF($Z342&lt;=5200,"个",IF($Z342&lt;=5800,"个","")))))</f>
        <v/>
      </c>
      <c r="J342" s="30" t="str">
        <f t="shared" si="16"/>
        <v/>
      </c>
      <c r="K342" s="30" t="str">
        <f>IF($Z342="","",IF($Z342&lt;=2000,IF(INDEX(包装物料出入库明细!$N$4:$N$2003,$Z342-0)=0,"",INDEX(包装物料出入库明细!$N$4:$N$2003,$Z342-0)),IF($Z342&lt;=4000,IF(INDEX(周转筐出入库明细!$P$4:$P$2004,$Z342-2000)=0,"",INDEX(周转筐出入库明细!$P$4:$P$2004,$Z342-2000)),IF($Z342&lt;=5200,"",IF($Z342&lt;=5800,N(INDEX(次果筐明细!$L$4:$L$603,$Z342-5200))+N(INDEX(次果筐明细!$J$4:$J$603,$Z342-5200)),"")))))</f>
        <v/>
      </c>
      <c r="L342" s="24" t="str">
        <f>IF($Z342="","",IF($Z342&lt;=2000,IF(INDEX(包装物料出入库明细!$P$4:$P$2003,$Z342-0)=0,"",INDEX(包装物料出入库明细!$P$4:$P$2003,$Z342-0)),IF($Z342&lt;=4000,IF(INDEX(周转筐出入库明细!$Q$4:$Q$2004,$Z342-2000)=0,"",INDEX(周转筐出入库明细!$Q$4:$Q$2004,$Z342-2000)),IF($Z342&lt;=5200,"",IF($Z342&lt;=5800,IF(INDEX(次果筐明细!$M$4:$M$603,$Z342-5200)=0,"",INDEX(次果筐明细!$M$4:$M$603,$Z342-5200)),"")))))</f>
        <v/>
      </c>
      <c r="M342" s="37" t="str">
        <f>IF($Z342="","",IF($Z342&lt;=2000,IF(INDEX(包装物料出入库明细!$R$4:$R$2003,$Z342-0)=0,"",INDEX(包装物料出入库明细!$R$4:$R$2003,$Z342-0)),IF($Z342&lt;=4000,IF(INDEX(周转筐出入库明细!$W$4:$W$2004,$Z342-2000)=0,"",INDEX(周转筐出入库明细!$W$4:$W$2004,$Z342-2000)),IF($Z342&lt;=5200,IF(INDEX(客户自备加工筐明细!$L$4:$L$1203,$Z342-4000)=0,"",INDEX(客户自备加工筐明细!$L$4:$L$1203,$Z342-4000)),IF($Z342&lt;=5800,IF(INDEX(次果筐明细!$P$4:$P$603,$Z342-5200)=0,"",INDEX(次果筐明细!$P$4:$P$603,$Z342-5200)),"")))))</f>
        <v/>
      </c>
      <c r="N342" s="16" t="str">
        <f>IF($Z342="","",IF($Z342&lt;=2000,"",IF($Z342&lt;=4000,IF(INDEX(周转筐出入库明细!$D$4:$D$2004,$Z342-2000)=0,"",INDEX(周转筐出入库明细!$D$4:$D$2004,$Z342-2000)),IF($Z342&lt;=5200,IF(INDEX(客户自备加工筐明细!$C$4:$C$1203,$Z342-4000)=0,"",INDEX(客户自备加工筐明细!$C$4:$C$1203,$Z342-4000)),IF($Z342&lt;=5800,IF(INDEX(次果筐明细!$D$4:$D$603,$Z342-5200)=0,"",INDEX(次果筐明细!$D$4:$D$603,$Z342-5200)),"")))))</f>
        <v/>
      </c>
      <c r="O342" s="40" t="str">
        <f>IF($Z342="","",IF($Z342&lt;=2000,"",IF($Z342&lt;=4000,IF(N(INDEX(周转筐出入库明细!$J$4:$J$2004,$Z342-2000))+N(INDEX(周转筐出入库明细!$K$4:$K$2004,$Z342-2000))=0,"",N(INDEX(周转筐出入库明细!$J$4:$J$2004,$Z342-2000))+N(INDEX(周转筐出入库明细!$K$4:$K$2004,$Z342-2000))),IF($Z342&lt;=5200,IF(N(INDEX(客户自备加工筐明细!$G$4:$G$1203,$Z342-4000))=0,"",N(INDEX(客户自备加工筐明细!$G$4:$G$1203,$Z342-4000))),IF($Z342&lt;=5800,IF(ISNUMBER(SEARCH("退",INDEX(次果筐明细!$F$4:$F$603,$Z342-5200)&amp;"")),"",IF(N(INDEX(次果筐明细!$G$4:$G$603,$Z342-5200))=0,"",N(INDEX(次果筐明细!$G$4:$G$603,$Z342-5200)))),"")))))</f>
        <v/>
      </c>
      <c r="P342" s="40" t="str">
        <f>IF($Z342="","",IF($Z342&lt;=2000,"",IF($Z342&lt;=4000,IF(N(INDEX(周转筐出入库明细!$I$4:$I$2004,$Z342-2000))=0,"",N(INDEX(周转筐出入库明细!$I$4:$I$2004,$Z342-2000))),IF($Z342&lt;=5200,"",IF($Z342&lt;=5800,IF(ISNUMBER(SEARCH("退",INDEX(次果筐明细!$F$4:$F$603,$Z342-5200)&amp;"")),IF(N(INDEX(次果筐明细!$G$4:$G$603,$Z342-5200))=0,"",N(INDEX(次果筐明细!$G$4:$G$603,$Z342-5200))),""),"")))))</f>
        <v/>
      </c>
      <c r="Q342" s="40" t="str">
        <f>IF($Z342="","",IF($Z342&lt;=2000,"",IF($Z342&lt;=4000,IF(N(INDEX(周转筐出入库明细!$H$4:$H$2004,$Z342-2000))=0,"",N(INDEX(周转筐出入库明细!$H$4:$H$2004,$Z342-2000))),IF($Z342&lt;=5200,IF(N(INDEX(客户自备加工筐明细!$F$4:$F$1203,$Z342-4000))=0,"",N(INDEX(客户自备加工筐明细!$F$4:$F$1203,$Z342-4000))),IF($Z342&lt;=5800,"","")))))</f>
        <v/>
      </c>
      <c r="R342" s="16" t="str">
        <f>IF($Z342="","",IF($Z342&lt;=2000,IF(INDEX(包装物料出入库明细!$O$4:$O$2003,$Z342-0)=0,"",INDEX(包装物料出入库明细!$O$4:$O$2003,$Z342-0)),IF($Z342&lt;=4000,IF(INDEX(周转筐出入库明细!$M$4:$M$2004,$Z342-2000)=0,"",INDEX(周转筐出入库明细!$M$4:$M$2004,$Z342-2000)),IF($Z342&lt;=5200,IF(INDEX(客户自备加工筐明细!$H$4:$H$1203,$Z342-4000)=0,"",INDEX(客户自备加工筐明细!$H$4:$H$1203,$Z342-4000)),IF($Z342&lt;=5800,IF(INDEX(次果筐明细!$H$4:$H$603,$Z342-5200)=0,"",INDEX(次果筐明细!$H$4:$H$603,$Z342-5200)),"")))))</f>
        <v/>
      </c>
      <c r="S342" s="22" t="str">
        <f t="shared" si="17"/>
        <v/>
      </c>
      <c r="Z342" s="10" t="str">
        <f>IFERROR(MATCH(ROW()-3,_自动清单!$CQ$4:$CQ$5803,0),"")</f>
        <v/>
      </c>
    </row>
    <row r="343" spans="1:26">
      <c r="A343" s="24" t="str">
        <f t="shared" si="15"/>
        <v/>
      </c>
      <c r="B343" s="38" t="str">
        <f>IF($Z343="","",IF($Z343&lt;=2000,IF(INDEX(包装物料出入库明细!$B$4:$B$2003,$Z343-0)=0,"",INDEX(包装物料出入库明细!$B$4:$B$2003,$Z343-0)),IF($Z343&lt;=4000,IF(INDEX(周转筐出入库明细!$B$4:$B$2004,$Z343-2000)=0,"",INDEX(周转筐出入库明细!$B$4:$B$2004,$Z343-2000)),IF($Z343&lt;=5200,IF(INDEX(客户自备加工筐明细!$B$4:$B$1203,$Z343-4000)=0,"",INDEX(客户自备加工筐明细!$B$4:$B$1203,$Z343-4000)),IF($Z343&lt;=5800,IF(INDEX(次果筐明细!$B$4:$B$603,$Z343-5200)=0,"",INDEX(次果筐明细!$B$4:$B$603,$Z343-5200)),"")))))</f>
        <v/>
      </c>
      <c r="C343" s="37" t="str">
        <f>IF($Z343="","",IF($Z343&lt;=2000,IF(INDEX(包装物料出入库明细!$D$4:$D$2003,$Z343-0)=0,"",INDEX(包装物料出入库明细!$D$4:$D$2003,$Z343-0)),IF($Z343&lt;=4000,IF(INDEX(周转筐出入库明细!$C$4:$C$2004,$Z343-2000)=0,"",INDEX(周转筐出入库明细!$C$4:$C$2004,$Z343-2000)),IF($Z343&lt;=5200,IF(INDEX(客户自备加工筐明细!$E$4:$E$1203,$Z343-4000)=0,"",INDEX(客户自备加工筐明细!$E$4:$E$1203,$Z343-4000)),IF($Z343&lt;=5800,IF(INDEX(次果筐明细!$C$4:$C$603,$Z343-5200)=0,"",INDEX(次果筐明细!$C$4:$C$603,$Z343-5200)),"")))))</f>
        <v/>
      </c>
      <c r="D343" s="37" t="str">
        <f>IF($Z343="","",IF($Z343&lt;=2000,"包装物料－"&amp;INDEX(包装物料出入库明细!$H$4:$H$2003,$Z343-0),IF($Z343&lt;=4000,"周转筐－"&amp;INDEX(周转筐出入库明细!$F$4:$F$2004,$Z343-2000),IF($Z343&lt;=5200,"客户自备筐－"&amp;INDEX(客户自备加工筐明细!$J$4:$J$1203,$Z343-4000),IF($Z343&lt;=5800,"次果筐/托盘－"&amp;INDEX(次果筐明细!$F$4:$F$603,$Z343-5200),"")))))</f>
        <v/>
      </c>
      <c r="E343" s="24" t="str">
        <f>IF($Z343="","",IF($Z343&lt;=2000,IF(INDEX(包装物料出入库明细!$C$4:$C$2003,$Z343-0)=0,"",INDEX(包装物料出入库明细!$C$4:$C$2003,$Z343-0)),IF($Z343&lt;=4000,IF(INDEX(周转筐出入库明细!$E$4:$E$2004,$Z343-2000)=0,"",INDEX(周转筐出入库明细!$E$4:$E$2004,$Z343-2000)),IF($Z343&lt;=5200,IF(INDEX(客户自备加工筐明细!$D$4:$D$1203,$Z343-4000)=0,"",INDEX(客户自备加工筐明细!$D$4:$D$1203,$Z343-4000)),IF($Z343&lt;=5800,IF(INDEX(次果筐明细!$E$4:$E$603,$Z343-5200)=0,"",INDEX(次果筐明细!$E$4:$E$603,$Z343-5200)),"")))))</f>
        <v/>
      </c>
      <c r="F343" s="24" t="str">
        <f>IF($Z343="","",IF($Z343&lt;=2000,IF(INDEX(包装物料出入库明细!$E$4:$E$2003,$Z343-0)=0,"",INDEX(包装物料出入库明细!$E$4:$E$2003,$Z343-0)),IF($Z343&lt;=4000,IF(INDEX(周转筐出入库明细!$D$4:$D$2004,$Z343-2000)=0,"",INDEX(周转筐出入库明细!$D$4:$D$2004,$Z343-2000)),IF($Z343&lt;=5200,IF(INDEX(客户自备加工筐明细!$C$4:$C$1203,$Z343-4000)=0,"",INDEX(客户自备加工筐明细!$C$4:$C$1203,$Z343-4000)),IF($Z343&lt;=5800,IF(INDEX(次果筐明细!$D$4:$D$603,$Z343-5200)=0,"",INDEX(次果筐明细!$D$4:$D$603,$Z343-5200)),"")))))</f>
        <v/>
      </c>
      <c r="G343" s="24" t="str">
        <f>IF($Z343="","",IF($Z343&lt;=2000,IF(INDEX(包装物料出入库明细!$F$4:$F$2003,$Z343-0)=0,"",INDEX(包装物料出入库明细!$F$4:$F$2003,$Z343-0)),IF($Z343&lt;=4000,"",IF($Z343&lt;=5200,"",IF($Z343&lt;=5800,"","")))))</f>
        <v/>
      </c>
      <c r="H343" s="39" t="str">
        <f>IF($Z343="","",IF($Z343&lt;=2000,IF(INDEX(包装物料出入库明细!$L$4:$L$2003,$Z343-0)=0,"",INDEX(包装物料出入库明细!$L$4:$L$2003,$Z343-0)),IF($Z343&lt;=4000,N(INDEX(周转筐出入库明细!$H$4:$H$2004,$Z343-2000))+N(INDEX(周转筐出入库明细!$I$4:$I$2004,$Z343-2000))+N(INDEX(周转筐出入库明细!$J$4:$J$2004,$Z343-2000))+N(INDEX(周转筐出入库明细!$K$4:$K$2004,$Z343-2000)),IF($Z343&lt;=5200,N(INDEX(客户自备加工筐明细!$F$4:$F$1203,$Z343-4000))+N(INDEX(客户自备加工筐明细!$G$4:$G$1203,$Z343-4000)),IF($Z343&lt;=5800,IF(INDEX(次果筐明细!$G$4:$G$603,$Z343-5200)=0,"",INDEX(次果筐明细!$G$4:$G$603,$Z343-5200)),"")))))</f>
        <v/>
      </c>
      <c r="I343" s="24" t="str">
        <f>IF($Z343="","",IF($Z343&lt;=2000,IF(INDEX(包装物料出入库明细!$G$4:$G$2003,$Z343-0)=0,"",INDEX(包装物料出入库明细!$G$4:$G$2003,$Z343-0)),IF($Z343&lt;=4000,"个",IF($Z343&lt;=5200,"个",IF($Z343&lt;=5800,"个","")))))</f>
        <v/>
      </c>
      <c r="J343" s="30" t="str">
        <f t="shared" si="16"/>
        <v/>
      </c>
      <c r="K343" s="30" t="str">
        <f>IF($Z343="","",IF($Z343&lt;=2000,IF(INDEX(包装物料出入库明细!$N$4:$N$2003,$Z343-0)=0,"",INDEX(包装物料出入库明细!$N$4:$N$2003,$Z343-0)),IF($Z343&lt;=4000,IF(INDEX(周转筐出入库明细!$P$4:$P$2004,$Z343-2000)=0,"",INDEX(周转筐出入库明细!$P$4:$P$2004,$Z343-2000)),IF($Z343&lt;=5200,"",IF($Z343&lt;=5800,N(INDEX(次果筐明细!$L$4:$L$603,$Z343-5200))+N(INDEX(次果筐明细!$J$4:$J$603,$Z343-5200)),"")))))</f>
        <v/>
      </c>
      <c r="L343" s="24" t="str">
        <f>IF($Z343="","",IF($Z343&lt;=2000,IF(INDEX(包装物料出入库明细!$P$4:$P$2003,$Z343-0)=0,"",INDEX(包装物料出入库明细!$P$4:$P$2003,$Z343-0)),IF($Z343&lt;=4000,IF(INDEX(周转筐出入库明细!$Q$4:$Q$2004,$Z343-2000)=0,"",INDEX(周转筐出入库明细!$Q$4:$Q$2004,$Z343-2000)),IF($Z343&lt;=5200,"",IF($Z343&lt;=5800,IF(INDEX(次果筐明细!$M$4:$M$603,$Z343-5200)=0,"",INDEX(次果筐明细!$M$4:$M$603,$Z343-5200)),"")))))</f>
        <v/>
      </c>
      <c r="M343" s="37" t="str">
        <f>IF($Z343="","",IF($Z343&lt;=2000,IF(INDEX(包装物料出入库明细!$R$4:$R$2003,$Z343-0)=0,"",INDEX(包装物料出入库明细!$R$4:$R$2003,$Z343-0)),IF($Z343&lt;=4000,IF(INDEX(周转筐出入库明细!$W$4:$W$2004,$Z343-2000)=0,"",INDEX(周转筐出入库明细!$W$4:$W$2004,$Z343-2000)),IF($Z343&lt;=5200,IF(INDEX(客户自备加工筐明细!$L$4:$L$1203,$Z343-4000)=0,"",INDEX(客户自备加工筐明细!$L$4:$L$1203,$Z343-4000)),IF($Z343&lt;=5800,IF(INDEX(次果筐明细!$P$4:$P$603,$Z343-5200)=0,"",INDEX(次果筐明细!$P$4:$P$603,$Z343-5200)),"")))))</f>
        <v/>
      </c>
      <c r="N343" s="16" t="str">
        <f>IF($Z343="","",IF($Z343&lt;=2000,"",IF($Z343&lt;=4000,IF(INDEX(周转筐出入库明细!$D$4:$D$2004,$Z343-2000)=0,"",INDEX(周转筐出入库明细!$D$4:$D$2004,$Z343-2000)),IF($Z343&lt;=5200,IF(INDEX(客户自备加工筐明细!$C$4:$C$1203,$Z343-4000)=0,"",INDEX(客户自备加工筐明细!$C$4:$C$1203,$Z343-4000)),IF($Z343&lt;=5800,IF(INDEX(次果筐明细!$D$4:$D$603,$Z343-5200)=0,"",INDEX(次果筐明细!$D$4:$D$603,$Z343-5200)),"")))))</f>
        <v/>
      </c>
      <c r="O343" s="40" t="str">
        <f>IF($Z343="","",IF($Z343&lt;=2000,"",IF($Z343&lt;=4000,IF(N(INDEX(周转筐出入库明细!$J$4:$J$2004,$Z343-2000))+N(INDEX(周转筐出入库明细!$K$4:$K$2004,$Z343-2000))=0,"",N(INDEX(周转筐出入库明细!$J$4:$J$2004,$Z343-2000))+N(INDEX(周转筐出入库明细!$K$4:$K$2004,$Z343-2000))),IF($Z343&lt;=5200,IF(N(INDEX(客户自备加工筐明细!$G$4:$G$1203,$Z343-4000))=0,"",N(INDEX(客户自备加工筐明细!$G$4:$G$1203,$Z343-4000))),IF($Z343&lt;=5800,IF(ISNUMBER(SEARCH("退",INDEX(次果筐明细!$F$4:$F$603,$Z343-5200)&amp;"")),"",IF(N(INDEX(次果筐明细!$G$4:$G$603,$Z343-5200))=0,"",N(INDEX(次果筐明细!$G$4:$G$603,$Z343-5200)))),"")))))</f>
        <v/>
      </c>
      <c r="P343" s="40" t="str">
        <f>IF($Z343="","",IF($Z343&lt;=2000,"",IF($Z343&lt;=4000,IF(N(INDEX(周转筐出入库明细!$I$4:$I$2004,$Z343-2000))=0,"",N(INDEX(周转筐出入库明细!$I$4:$I$2004,$Z343-2000))),IF($Z343&lt;=5200,"",IF($Z343&lt;=5800,IF(ISNUMBER(SEARCH("退",INDEX(次果筐明细!$F$4:$F$603,$Z343-5200)&amp;"")),IF(N(INDEX(次果筐明细!$G$4:$G$603,$Z343-5200))=0,"",N(INDEX(次果筐明细!$G$4:$G$603,$Z343-5200))),""),"")))))</f>
        <v/>
      </c>
      <c r="Q343" s="40" t="str">
        <f>IF($Z343="","",IF($Z343&lt;=2000,"",IF($Z343&lt;=4000,IF(N(INDEX(周转筐出入库明细!$H$4:$H$2004,$Z343-2000))=0,"",N(INDEX(周转筐出入库明细!$H$4:$H$2004,$Z343-2000))),IF($Z343&lt;=5200,IF(N(INDEX(客户自备加工筐明细!$F$4:$F$1203,$Z343-4000))=0,"",N(INDEX(客户自备加工筐明细!$F$4:$F$1203,$Z343-4000))),IF($Z343&lt;=5800,"","")))))</f>
        <v/>
      </c>
      <c r="R343" s="16" t="str">
        <f>IF($Z343="","",IF($Z343&lt;=2000,IF(INDEX(包装物料出入库明细!$O$4:$O$2003,$Z343-0)=0,"",INDEX(包装物料出入库明细!$O$4:$O$2003,$Z343-0)),IF($Z343&lt;=4000,IF(INDEX(周转筐出入库明细!$M$4:$M$2004,$Z343-2000)=0,"",INDEX(周转筐出入库明细!$M$4:$M$2004,$Z343-2000)),IF($Z343&lt;=5200,IF(INDEX(客户自备加工筐明细!$H$4:$H$1203,$Z343-4000)=0,"",INDEX(客户自备加工筐明细!$H$4:$H$1203,$Z343-4000)),IF($Z343&lt;=5800,IF(INDEX(次果筐明细!$H$4:$H$603,$Z343-5200)=0,"",INDEX(次果筐明细!$H$4:$H$603,$Z343-5200)),"")))))</f>
        <v/>
      </c>
      <c r="S343" s="22" t="str">
        <f t="shared" si="17"/>
        <v/>
      </c>
      <c r="Z343" s="10" t="str">
        <f>IFERROR(MATCH(ROW()-3,_自动清单!$CQ$4:$CQ$5803,0),"")</f>
        <v/>
      </c>
    </row>
    <row r="344" spans="1:26">
      <c r="A344" s="24" t="str">
        <f t="shared" si="15"/>
        <v/>
      </c>
      <c r="B344" s="38" t="str">
        <f>IF($Z344="","",IF($Z344&lt;=2000,IF(INDEX(包装物料出入库明细!$B$4:$B$2003,$Z344-0)=0,"",INDEX(包装物料出入库明细!$B$4:$B$2003,$Z344-0)),IF($Z344&lt;=4000,IF(INDEX(周转筐出入库明细!$B$4:$B$2004,$Z344-2000)=0,"",INDEX(周转筐出入库明细!$B$4:$B$2004,$Z344-2000)),IF($Z344&lt;=5200,IF(INDEX(客户自备加工筐明细!$B$4:$B$1203,$Z344-4000)=0,"",INDEX(客户自备加工筐明细!$B$4:$B$1203,$Z344-4000)),IF($Z344&lt;=5800,IF(INDEX(次果筐明细!$B$4:$B$603,$Z344-5200)=0,"",INDEX(次果筐明细!$B$4:$B$603,$Z344-5200)),"")))))</f>
        <v/>
      </c>
      <c r="C344" s="37" t="str">
        <f>IF($Z344="","",IF($Z344&lt;=2000,IF(INDEX(包装物料出入库明细!$D$4:$D$2003,$Z344-0)=0,"",INDEX(包装物料出入库明细!$D$4:$D$2003,$Z344-0)),IF($Z344&lt;=4000,IF(INDEX(周转筐出入库明细!$C$4:$C$2004,$Z344-2000)=0,"",INDEX(周转筐出入库明细!$C$4:$C$2004,$Z344-2000)),IF($Z344&lt;=5200,IF(INDEX(客户自备加工筐明细!$E$4:$E$1203,$Z344-4000)=0,"",INDEX(客户自备加工筐明细!$E$4:$E$1203,$Z344-4000)),IF($Z344&lt;=5800,IF(INDEX(次果筐明细!$C$4:$C$603,$Z344-5200)=0,"",INDEX(次果筐明细!$C$4:$C$603,$Z344-5200)),"")))))</f>
        <v/>
      </c>
      <c r="D344" s="37" t="str">
        <f>IF($Z344="","",IF($Z344&lt;=2000,"包装物料－"&amp;INDEX(包装物料出入库明细!$H$4:$H$2003,$Z344-0),IF($Z344&lt;=4000,"周转筐－"&amp;INDEX(周转筐出入库明细!$F$4:$F$2004,$Z344-2000),IF($Z344&lt;=5200,"客户自备筐－"&amp;INDEX(客户自备加工筐明细!$J$4:$J$1203,$Z344-4000),IF($Z344&lt;=5800,"次果筐/托盘－"&amp;INDEX(次果筐明细!$F$4:$F$603,$Z344-5200),"")))))</f>
        <v/>
      </c>
      <c r="E344" s="24" t="str">
        <f>IF($Z344="","",IF($Z344&lt;=2000,IF(INDEX(包装物料出入库明细!$C$4:$C$2003,$Z344-0)=0,"",INDEX(包装物料出入库明细!$C$4:$C$2003,$Z344-0)),IF($Z344&lt;=4000,IF(INDEX(周转筐出入库明细!$E$4:$E$2004,$Z344-2000)=0,"",INDEX(周转筐出入库明细!$E$4:$E$2004,$Z344-2000)),IF($Z344&lt;=5200,IF(INDEX(客户自备加工筐明细!$D$4:$D$1203,$Z344-4000)=0,"",INDEX(客户自备加工筐明细!$D$4:$D$1203,$Z344-4000)),IF($Z344&lt;=5800,IF(INDEX(次果筐明细!$E$4:$E$603,$Z344-5200)=0,"",INDEX(次果筐明细!$E$4:$E$603,$Z344-5200)),"")))))</f>
        <v/>
      </c>
      <c r="F344" s="24" t="str">
        <f>IF($Z344="","",IF($Z344&lt;=2000,IF(INDEX(包装物料出入库明细!$E$4:$E$2003,$Z344-0)=0,"",INDEX(包装物料出入库明细!$E$4:$E$2003,$Z344-0)),IF($Z344&lt;=4000,IF(INDEX(周转筐出入库明细!$D$4:$D$2004,$Z344-2000)=0,"",INDEX(周转筐出入库明细!$D$4:$D$2004,$Z344-2000)),IF($Z344&lt;=5200,IF(INDEX(客户自备加工筐明细!$C$4:$C$1203,$Z344-4000)=0,"",INDEX(客户自备加工筐明细!$C$4:$C$1203,$Z344-4000)),IF($Z344&lt;=5800,IF(INDEX(次果筐明细!$D$4:$D$603,$Z344-5200)=0,"",INDEX(次果筐明细!$D$4:$D$603,$Z344-5200)),"")))))</f>
        <v/>
      </c>
      <c r="G344" s="24" t="str">
        <f>IF($Z344="","",IF($Z344&lt;=2000,IF(INDEX(包装物料出入库明细!$F$4:$F$2003,$Z344-0)=0,"",INDEX(包装物料出入库明细!$F$4:$F$2003,$Z344-0)),IF($Z344&lt;=4000,"",IF($Z344&lt;=5200,"",IF($Z344&lt;=5800,"","")))))</f>
        <v/>
      </c>
      <c r="H344" s="39" t="str">
        <f>IF($Z344="","",IF($Z344&lt;=2000,IF(INDEX(包装物料出入库明细!$L$4:$L$2003,$Z344-0)=0,"",INDEX(包装物料出入库明细!$L$4:$L$2003,$Z344-0)),IF($Z344&lt;=4000,N(INDEX(周转筐出入库明细!$H$4:$H$2004,$Z344-2000))+N(INDEX(周转筐出入库明细!$I$4:$I$2004,$Z344-2000))+N(INDEX(周转筐出入库明细!$J$4:$J$2004,$Z344-2000))+N(INDEX(周转筐出入库明细!$K$4:$K$2004,$Z344-2000)),IF($Z344&lt;=5200,N(INDEX(客户自备加工筐明细!$F$4:$F$1203,$Z344-4000))+N(INDEX(客户自备加工筐明细!$G$4:$G$1203,$Z344-4000)),IF($Z344&lt;=5800,IF(INDEX(次果筐明细!$G$4:$G$603,$Z344-5200)=0,"",INDEX(次果筐明细!$G$4:$G$603,$Z344-5200)),"")))))</f>
        <v/>
      </c>
      <c r="I344" s="24" t="str">
        <f>IF($Z344="","",IF($Z344&lt;=2000,IF(INDEX(包装物料出入库明细!$G$4:$G$2003,$Z344-0)=0,"",INDEX(包装物料出入库明细!$G$4:$G$2003,$Z344-0)),IF($Z344&lt;=4000,"个",IF($Z344&lt;=5200,"个",IF($Z344&lt;=5800,"个","")))))</f>
        <v/>
      </c>
      <c r="J344" s="30" t="str">
        <f t="shared" si="16"/>
        <v/>
      </c>
      <c r="K344" s="30" t="str">
        <f>IF($Z344="","",IF($Z344&lt;=2000,IF(INDEX(包装物料出入库明细!$N$4:$N$2003,$Z344-0)=0,"",INDEX(包装物料出入库明细!$N$4:$N$2003,$Z344-0)),IF($Z344&lt;=4000,IF(INDEX(周转筐出入库明细!$P$4:$P$2004,$Z344-2000)=0,"",INDEX(周转筐出入库明细!$P$4:$P$2004,$Z344-2000)),IF($Z344&lt;=5200,"",IF($Z344&lt;=5800,N(INDEX(次果筐明细!$L$4:$L$603,$Z344-5200))+N(INDEX(次果筐明细!$J$4:$J$603,$Z344-5200)),"")))))</f>
        <v/>
      </c>
      <c r="L344" s="24" t="str">
        <f>IF($Z344="","",IF($Z344&lt;=2000,IF(INDEX(包装物料出入库明细!$P$4:$P$2003,$Z344-0)=0,"",INDEX(包装物料出入库明细!$P$4:$P$2003,$Z344-0)),IF($Z344&lt;=4000,IF(INDEX(周转筐出入库明细!$Q$4:$Q$2004,$Z344-2000)=0,"",INDEX(周转筐出入库明细!$Q$4:$Q$2004,$Z344-2000)),IF($Z344&lt;=5200,"",IF($Z344&lt;=5800,IF(INDEX(次果筐明细!$M$4:$M$603,$Z344-5200)=0,"",INDEX(次果筐明细!$M$4:$M$603,$Z344-5200)),"")))))</f>
        <v/>
      </c>
      <c r="M344" s="37" t="str">
        <f>IF($Z344="","",IF($Z344&lt;=2000,IF(INDEX(包装物料出入库明细!$R$4:$R$2003,$Z344-0)=0,"",INDEX(包装物料出入库明细!$R$4:$R$2003,$Z344-0)),IF($Z344&lt;=4000,IF(INDEX(周转筐出入库明细!$W$4:$W$2004,$Z344-2000)=0,"",INDEX(周转筐出入库明细!$W$4:$W$2004,$Z344-2000)),IF($Z344&lt;=5200,IF(INDEX(客户自备加工筐明细!$L$4:$L$1203,$Z344-4000)=0,"",INDEX(客户自备加工筐明细!$L$4:$L$1203,$Z344-4000)),IF($Z344&lt;=5800,IF(INDEX(次果筐明细!$P$4:$P$603,$Z344-5200)=0,"",INDEX(次果筐明细!$P$4:$P$603,$Z344-5200)),"")))))</f>
        <v/>
      </c>
      <c r="N344" s="16" t="str">
        <f>IF($Z344="","",IF($Z344&lt;=2000,"",IF($Z344&lt;=4000,IF(INDEX(周转筐出入库明细!$D$4:$D$2004,$Z344-2000)=0,"",INDEX(周转筐出入库明细!$D$4:$D$2004,$Z344-2000)),IF($Z344&lt;=5200,IF(INDEX(客户自备加工筐明细!$C$4:$C$1203,$Z344-4000)=0,"",INDEX(客户自备加工筐明细!$C$4:$C$1203,$Z344-4000)),IF($Z344&lt;=5800,IF(INDEX(次果筐明细!$D$4:$D$603,$Z344-5200)=0,"",INDEX(次果筐明细!$D$4:$D$603,$Z344-5200)),"")))))</f>
        <v/>
      </c>
      <c r="O344" s="40" t="str">
        <f>IF($Z344="","",IF($Z344&lt;=2000,"",IF($Z344&lt;=4000,IF(N(INDEX(周转筐出入库明细!$J$4:$J$2004,$Z344-2000))+N(INDEX(周转筐出入库明细!$K$4:$K$2004,$Z344-2000))=0,"",N(INDEX(周转筐出入库明细!$J$4:$J$2004,$Z344-2000))+N(INDEX(周转筐出入库明细!$K$4:$K$2004,$Z344-2000))),IF($Z344&lt;=5200,IF(N(INDEX(客户自备加工筐明细!$G$4:$G$1203,$Z344-4000))=0,"",N(INDEX(客户自备加工筐明细!$G$4:$G$1203,$Z344-4000))),IF($Z344&lt;=5800,IF(ISNUMBER(SEARCH("退",INDEX(次果筐明细!$F$4:$F$603,$Z344-5200)&amp;"")),"",IF(N(INDEX(次果筐明细!$G$4:$G$603,$Z344-5200))=0,"",N(INDEX(次果筐明细!$G$4:$G$603,$Z344-5200)))),"")))))</f>
        <v/>
      </c>
      <c r="P344" s="40" t="str">
        <f>IF($Z344="","",IF($Z344&lt;=2000,"",IF($Z344&lt;=4000,IF(N(INDEX(周转筐出入库明细!$I$4:$I$2004,$Z344-2000))=0,"",N(INDEX(周转筐出入库明细!$I$4:$I$2004,$Z344-2000))),IF($Z344&lt;=5200,"",IF($Z344&lt;=5800,IF(ISNUMBER(SEARCH("退",INDEX(次果筐明细!$F$4:$F$603,$Z344-5200)&amp;"")),IF(N(INDEX(次果筐明细!$G$4:$G$603,$Z344-5200))=0,"",N(INDEX(次果筐明细!$G$4:$G$603,$Z344-5200))),""),"")))))</f>
        <v/>
      </c>
      <c r="Q344" s="40" t="str">
        <f>IF($Z344="","",IF($Z344&lt;=2000,"",IF($Z344&lt;=4000,IF(N(INDEX(周转筐出入库明细!$H$4:$H$2004,$Z344-2000))=0,"",N(INDEX(周转筐出入库明细!$H$4:$H$2004,$Z344-2000))),IF($Z344&lt;=5200,IF(N(INDEX(客户自备加工筐明细!$F$4:$F$1203,$Z344-4000))=0,"",N(INDEX(客户自备加工筐明细!$F$4:$F$1203,$Z344-4000))),IF($Z344&lt;=5800,"","")))))</f>
        <v/>
      </c>
      <c r="R344" s="16" t="str">
        <f>IF($Z344="","",IF($Z344&lt;=2000,IF(INDEX(包装物料出入库明细!$O$4:$O$2003,$Z344-0)=0,"",INDEX(包装物料出入库明细!$O$4:$O$2003,$Z344-0)),IF($Z344&lt;=4000,IF(INDEX(周转筐出入库明细!$M$4:$M$2004,$Z344-2000)=0,"",INDEX(周转筐出入库明细!$M$4:$M$2004,$Z344-2000)),IF($Z344&lt;=5200,IF(INDEX(客户自备加工筐明细!$H$4:$H$1203,$Z344-4000)=0,"",INDEX(客户自备加工筐明细!$H$4:$H$1203,$Z344-4000)),IF($Z344&lt;=5800,IF(INDEX(次果筐明细!$H$4:$H$603,$Z344-5200)=0,"",INDEX(次果筐明细!$H$4:$H$603,$Z344-5200)),"")))))</f>
        <v/>
      </c>
      <c r="S344" s="22" t="str">
        <f t="shared" si="17"/>
        <v/>
      </c>
      <c r="Z344" s="10" t="str">
        <f>IFERROR(MATCH(ROW()-3,_自动清单!$CQ$4:$CQ$5803,0),"")</f>
        <v/>
      </c>
    </row>
    <row r="345" spans="1:26">
      <c r="A345" s="24" t="str">
        <f t="shared" si="15"/>
        <v/>
      </c>
      <c r="B345" s="38" t="str">
        <f>IF($Z345="","",IF($Z345&lt;=2000,IF(INDEX(包装物料出入库明细!$B$4:$B$2003,$Z345-0)=0,"",INDEX(包装物料出入库明细!$B$4:$B$2003,$Z345-0)),IF($Z345&lt;=4000,IF(INDEX(周转筐出入库明细!$B$4:$B$2004,$Z345-2000)=0,"",INDEX(周转筐出入库明细!$B$4:$B$2004,$Z345-2000)),IF($Z345&lt;=5200,IF(INDEX(客户自备加工筐明细!$B$4:$B$1203,$Z345-4000)=0,"",INDEX(客户自备加工筐明细!$B$4:$B$1203,$Z345-4000)),IF($Z345&lt;=5800,IF(INDEX(次果筐明细!$B$4:$B$603,$Z345-5200)=0,"",INDEX(次果筐明细!$B$4:$B$603,$Z345-5200)),"")))))</f>
        <v/>
      </c>
      <c r="C345" s="37" t="str">
        <f>IF($Z345="","",IF($Z345&lt;=2000,IF(INDEX(包装物料出入库明细!$D$4:$D$2003,$Z345-0)=0,"",INDEX(包装物料出入库明细!$D$4:$D$2003,$Z345-0)),IF($Z345&lt;=4000,IF(INDEX(周转筐出入库明细!$C$4:$C$2004,$Z345-2000)=0,"",INDEX(周转筐出入库明细!$C$4:$C$2004,$Z345-2000)),IF($Z345&lt;=5200,IF(INDEX(客户自备加工筐明细!$E$4:$E$1203,$Z345-4000)=0,"",INDEX(客户自备加工筐明细!$E$4:$E$1203,$Z345-4000)),IF($Z345&lt;=5800,IF(INDEX(次果筐明细!$C$4:$C$603,$Z345-5200)=0,"",INDEX(次果筐明细!$C$4:$C$603,$Z345-5200)),"")))))</f>
        <v/>
      </c>
      <c r="D345" s="37" t="str">
        <f>IF($Z345="","",IF($Z345&lt;=2000,"包装物料－"&amp;INDEX(包装物料出入库明细!$H$4:$H$2003,$Z345-0),IF($Z345&lt;=4000,"周转筐－"&amp;INDEX(周转筐出入库明细!$F$4:$F$2004,$Z345-2000),IF($Z345&lt;=5200,"客户自备筐－"&amp;INDEX(客户自备加工筐明细!$J$4:$J$1203,$Z345-4000),IF($Z345&lt;=5800,"次果筐/托盘－"&amp;INDEX(次果筐明细!$F$4:$F$603,$Z345-5200),"")))))</f>
        <v/>
      </c>
      <c r="E345" s="24" t="str">
        <f>IF($Z345="","",IF($Z345&lt;=2000,IF(INDEX(包装物料出入库明细!$C$4:$C$2003,$Z345-0)=0,"",INDEX(包装物料出入库明细!$C$4:$C$2003,$Z345-0)),IF($Z345&lt;=4000,IF(INDEX(周转筐出入库明细!$E$4:$E$2004,$Z345-2000)=0,"",INDEX(周转筐出入库明细!$E$4:$E$2004,$Z345-2000)),IF($Z345&lt;=5200,IF(INDEX(客户自备加工筐明细!$D$4:$D$1203,$Z345-4000)=0,"",INDEX(客户自备加工筐明细!$D$4:$D$1203,$Z345-4000)),IF($Z345&lt;=5800,IF(INDEX(次果筐明细!$E$4:$E$603,$Z345-5200)=0,"",INDEX(次果筐明细!$E$4:$E$603,$Z345-5200)),"")))))</f>
        <v/>
      </c>
      <c r="F345" s="24" t="str">
        <f>IF($Z345="","",IF($Z345&lt;=2000,IF(INDEX(包装物料出入库明细!$E$4:$E$2003,$Z345-0)=0,"",INDEX(包装物料出入库明细!$E$4:$E$2003,$Z345-0)),IF($Z345&lt;=4000,IF(INDEX(周转筐出入库明细!$D$4:$D$2004,$Z345-2000)=0,"",INDEX(周转筐出入库明细!$D$4:$D$2004,$Z345-2000)),IF($Z345&lt;=5200,IF(INDEX(客户自备加工筐明细!$C$4:$C$1203,$Z345-4000)=0,"",INDEX(客户自备加工筐明细!$C$4:$C$1203,$Z345-4000)),IF($Z345&lt;=5800,IF(INDEX(次果筐明细!$D$4:$D$603,$Z345-5200)=0,"",INDEX(次果筐明细!$D$4:$D$603,$Z345-5200)),"")))))</f>
        <v/>
      </c>
      <c r="G345" s="24" t="str">
        <f>IF($Z345="","",IF($Z345&lt;=2000,IF(INDEX(包装物料出入库明细!$F$4:$F$2003,$Z345-0)=0,"",INDEX(包装物料出入库明细!$F$4:$F$2003,$Z345-0)),IF($Z345&lt;=4000,"",IF($Z345&lt;=5200,"",IF($Z345&lt;=5800,"","")))))</f>
        <v/>
      </c>
      <c r="H345" s="39" t="str">
        <f>IF($Z345="","",IF($Z345&lt;=2000,IF(INDEX(包装物料出入库明细!$L$4:$L$2003,$Z345-0)=0,"",INDEX(包装物料出入库明细!$L$4:$L$2003,$Z345-0)),IF($Z345&lt;=4000,N(INDEX(周转筐出入库明细!$H$4:$H$2004,$Z345-2000))+N(INDEX(周转筐出入库明细!$I$4:$I$2004,$Z345-2000))+N(INDEX(周转筐出入库明细!$J$4:$J$2004,$Z345-2000))+N(INDEX(周转筐出入库明细!$K$4:$K$2004,$Z345-2000)),IF($Z345&lt;=5200,N(INDEX(客户自备加工筐明细!$F$4:$F$1203,$Z345-4000))+N(INDEX(客户自备加工筐明细!$G$4:$G$1203,$Z345-4000)),IF($Z345&lt;=5800,IF(INDEX(次果筐明细!$G$4:$G$603,$Z345-5200)=0,"",INDEX(次果筐明细!$G$4:$G$603,$Z345-5200)),"")))))</f>
        <v/>
      </c>
      <c r="I345" s="24" t="str">
        <f>IF($Z345="","",IF($Z345&lt;=2000,IF(INDEX(包装物料出入库明细!$G$4:$G$2003,$Z345-0)=0,"",INDEX(包装物料出入库明细!$G$4:$G$2003,$Z345-0)),IF($Z345&lt;=4000,"个",IF($Z345&lt;=5200,"个",IF($Z345&lt;=5800,"个","")))))</f>
        <v/>
      </c>
      <c r="J345" s="30" t="str">
        <f t="shared" si="16"/>
        <v/>
      </c>
      <c r="K345" s="30" t="str">
        <f>IF($Z345="","",IF($Z345&lt;=2000,IF(INDEX(包装物料出入库明细!$N$4:$N$2003,$Z345-0)=0,"",INDEX(包装物料出入库明细!$N$4:$N$2003,$Z345-0)),IF($Z345&lt;=4000,IF(INDEX(周转筐出入库明细!$P$4:$P$2004,$Z345-2000)=0,"",INDEX(周转筐出入库明细!$P$4:$P$2004,$Z345-2000)),IF($Z345&lt;=5200,"",IF($Z345&lt;=5800,N(INDEX(次果筐明细!$L$4:$L$603,$Z345-5200))+N(INDEX(次果筐明细!$J$4:$J$603,$Z345-5200)),"")))))</f>
        <v/>
      </c>
      <c r="L345" s="24" t="str">
        <f>IF($Z345="","",IF($Z345&lt;=2000,IF(INDEX(包装物料出入库明细!$P$4:$P$2003,$Z345-0)=0,"",INDEX(包装物料出入库明细!$P$4:$P$2003,$Z345-0)),IF($Z345&lt;=4000,IF(INDEX(周转筐出入库明细!$Q$4:$Q$2004,$Z345-2000)=0,"",INDEX(周转筐出入库明细!$Q$4:$Q$2004,$Z345-2000)),IF($Z345&lt;=5200,"",IF($Z345&lt;=5800,IF(INDEX(次果筐明细!$M$4:$M$603,$Z345-5200)=0,"",INDEX(次果筐明细!$M$4:$M$603,$Z345-5200)),"")))))</f>
        <v/>
      </c>
      <c r="M345" s="37" t="str">
        <f>IF($Z345="","",IF($Z345&lt;=2000,IF(INDEX(包装物料出入库明细!$R$4:$R$2003,$Z345-0)=0,"",INDEX(包装物料出入库明细!$R$4:$R$2003,$Z345-0)),IF($Z345&lt;=4000,IF(INDEX(周转筐出入库明细!$W$4:$W$2004,$Z345-2000)=0,"",INDEX(周转筐出入库明细!$W$4:$W$2004,$Z345-2000)),IF($Z345&lt;=5200,IF(INDEX(客户自备加工筐明细!$L$4:$L$1203,$Z345-4000)=0,"",INDEX(客户自备加工筐明细!$L$4:$L$1203,$Z345-4000)),IF($Z345&lt;=5800,IF(INDEX(次果筐明细!$P$4:$P$603,$Z345-5200)=0,"",INDEX(次果筐明细!$P$4:$P$603,$Z345-5200)),"")))))</f>
        <v/>
      </c>
      <c r="N345" s="16" t="str">
        <f>IF($Z345="","",IF($Z345&lt;=2000,"",IF($Z345&lt;=4000,IF(INDEX(周转筐出入库明细!$D$4:$D$2004,$Z345-2000)=0,"",INDEX(周转筐出入库明细!$D$4:$D$2004,$Z345-2000)),IF($Z345&lt;=5200,IF(INDEX(客户自备加工筐明细!$C$4:$C$1203,$Z345-4000)=0,"",INDEX(客户自备加工筐明细!$C$4:$C$1203,$Z345-4000)),IF($Z345&lt;=5800,IF(INDEX(次果筐明细!$D$4:$D$603,$Z345-5200)=0,"",INDEX(次果筐明细!$D$4:$D$603,$Z345-5200)),"")))))</f>
        <v/>
      </c>
      <c r="O345" s="40" t="str">
        <f>IF($Z345="","",IF($Z345&lt;=2000,"",IF($Z345&lt;=4000,IF(N(INDEX(周转筐出入库明细!$J$4:$J$2004,$Z345-2000))+N(INDEX(周转筐出入库明细!$K$4:$K$2004,$Z345-2000))=0,"",N(INDEX(周转筐出入库明细!$J$4:$J$2004,$Z345-2000))+N(INDEX(周转筐出入库明细!$K$4:$K$2004,$Z345-2000))),IF($Z345&lt;=5200,IF(N(INDEX(客户自备加工筐明细!$G$4:$G$1203,$Z345-4000))=0,"",N(INDEX(客户自备加工筐明细!$G$4:$G$1203,$Z345-4000))),IF($Z345&lt;=5800,IF(ISNUMBER(SEARCH("退",INDEX(次果筐明细!$F$4:$F$603,$Z345-5200)&amp;"")),"",IF(N(INDEX(次果筐明细!$G$4:$G$603,$Z345-5200))=0,"",N(INDEX(次果筐明细!$G$4:$G$603,$Z345-5200)))),"")))))</f>
        <v/>
      </c>
      <c r="P345" s="40" t="str">
        <f>IF($Z345="","",IF($Z345&lt;=2000,"",IF($Z345&lt;=4000,IF(N(INDEX(周转筐出入库明细!$I$4:$I$2004,$Z345-2000))=0,"",N(INDEX(周转筐出入库明细!$I$4:$I$2004,$Z345-2000))),IF($Z345&lt;=5200,"",IF($Z345&lt;=5800,IF(ISNUMBER(SEARCH("退",INDEX(次果筐明细!$F$4:$F$603,$Z345-5200)&amp;"")),IF(N(INDEX(次果筐明细!$G$4:$G$603,$Z345-5200))=0,"",N(INDEX(次果筐明细!$G$4:$G$603,$Z345-5200))),""),"")))))</f>
        <v/>
      </c>
      <c r="Q345" s="40" t="str">
        <f>IF($Z345="","",IF($Z345&lt;=2000,"",IF($Z345&lt;=4000,IF(N(INDEX(周转筐出入库明细!$H$4:$H$2004,$Z345-2000))=0,"",N(INDEX(周转筐出入库明细!$H$4:$H$2004,$Z345-2000))),IF($Z345&lt;=5200,IF(N(INDEX(客户自备加工筐明细!$F$4:$F$1203,$Z345-4000))=0,"",N(INDEX(客户自备加工筐明细!$F$4:$F$1203,$Z345-4000))),IF($Z345&lt;=5800,"","")))))</f>
        <v/>
      </c>
      <c r="R345" s="16" t="str">
        <f>IF($Z345="","",IF($Z345&lt;=2000,IF(INDEX(包装物料出入库明细!$O$4:$O$2003,$Z345-0)=0,"",INDEX(包装物料出入库明细!$O$4:$O$2003,$Z345-0)),IF($Z345&lt;=4000,IF(INDEX(周转筐出入库明细!$M$4:$M$2004,$Z345-2000)=0,"",INDEX(周转筐出入库明细!$M$4:$M$2004,$Z345-2000)),IF($Z345&lt;=5200,IF(INDEX(客户自备加工筐明细!$H$4:$H$1203,$Z345-4000)=0,"",INDEX(客户自备加工筐明细!$H$4:$H$1203,$Z345-4000)),IF($Z345&lt;=5800,IF(INDEX(次果筐明细!$H$4:$H$603,$Z345-5200)=0,"",INDEX(次果筐明细!$H$4:$H$603,$Z345-5200)),"")))))</f>
        <v/>
      </c>
      <c r="S345" s="22" t="str">
        <f t="shared" si="17"/>
        <v/>
      </c>
      <c r="Z345" s="10" t="str">
        <f>IFERROR(MATCH(ROW()-3,_自动清单!$CQ$4:$CQ$5803,0),"")</f>
        <v/>
      </c>
    </row>
    <row r="346" spans="1:26">
      <c r="A346" s="24" t="str">
        <f t="shared" si="15"/>
        <v/>
      </c>
      <c r="B346" s="38" t="str">
        <f>IF($Z346="","",IF($Z346&lt;=2000,IF(INDEX(包装物料出入库明细!$B$4:$B$2003,$Z346-0)=0,"",INDEX(包装物料出入库明细!$B$4:$B$2003,$Z346-0)),IF($Z346&lt;=4000,IF(INDEX(周转筐出入库明细!$B$4:$B$2004,$Z346-2000)=0,"",INDEX(周转筐出入库明细!$B$4:$B$2004,$Z346-2000)),IF($Z346&lt;=5200,IF(INDEX(客户自备加工筐明细!$B$4:$B$1203,$Z346-4000)=0,"",INDEX(客户自备加工筐明细!$B$4:$B$1203,$Z346-4000)),IF($Z346&lt;=5800,IF(INDEX(次果筐明细!$B$4:$B$603,$Z346-5200)=0,"",INDEX(次果筐明细!$B$4:$B$603,$Z346-5200)),"")))))</f>
        <v/>
      </c>
      <c r="C346" s="37" t="str">
        <f>IF($Z346="","",IF($Z346&lt;=2000,IF(INDEX(包装物料出入库明细!$D$4:$D$2003,$Z346-0)=0,"",INDEX(包装物料出入库明细!$D$4:$D$2003,$Z346-0)),IF($Z346&lt;=4000,IF(INDEX(周转筐出入库明细!$C$4:$C$2004,$Z346-2000)=0,"",INDEX(周转筐出入库明细!$C$4:$C$2004,$Z346-2000)),IF($Z346&lt;=5200,IF(INDEX(客户自备加工筐明细!$E$4:$E$1203,$Z346-4000)=0,"",INDEX(客户自备加工筐明细!$E$4:$E$1203,$Z346-4000)),IF($Z346&lt;=5800,IF(INDEX(次果筐明细!$C$4:$C$603,$Z346-5200)=0,"",INDEX(次果筐明细!$C$4:$C$603,$Z346-5200)),"")))))</f>
        <v/>
      </c>
      <c r="D346" s="37" t="str">
        <f>IF($Z346="","",IF($Z346&lt;=2000,"包装物料－"&amp;INDEX(包装物料出入库明细!$H$4:$H$2003,$Z346-0),IF($Z346&lt;=4000,"周转筐－"&amp;INDEX(周转筐出入库明细!$F$4:$F$2004,$Z346-2000),IF($Z346&lt;=5200,"客户自备筐－"&amp;INDEX(客户自备加工筐明细!$J$4:$J$1203,$Z346-4000),IF($Z346&lt;=5800,"次果筐/托盘－"&amp;INDEX(次果筐明细!$F$4:$F$603,$Z346-5200),"")))))</f>
        <v/>
      </c>
      <c r="E346" s="24" t="str">
        <f>IF($Z346="","",IF($Z346&lt;=2000,IF(INDEX(包装物料出入库明细!$C$4:$C$2003,$Z346-0)=0,"",INDEX(包装物料出入库明细!$C$4:$C$2003,$Z346-0)),IF($Z346&lt;=4000,IF(INDEX(周转筐出入库明细!$E$4:$E$2004,$Z346-2000)=0,"",INDEX(周转筐出入库明细!$E$4:$E$2004,$Z346-2000)),IF($Z346&lt;=5200,IF(INDEX(客户自备加工筐明细!$D$4:$D$1203,$Z346-4000)=0,"",INDEX(客户自备加工筐明细!$D$4:$D$1203,$Z346-4000)),IF($Z346&lt;=5800,IF(INDEX(次果筐明细!$E$4:$E$603,$Z346-5200)=0,"",INDEX(次果筐明细!$E$4:$E$603,$Z346-5200)),"")))))</f>
        <v/>
      </c>
      <c r="F346" s="24" t="str">
        <f>IF($Z346="","",IF($Z346&lt;=2000,IF(INDEX(包装物料出入库明细!$E$4:$E$2003,$Z346-0)=0,"",INDEX(包装物料出入库明细!$E$4:$E$2003,$Z346-0)),IF($Z346&lt;=4000,IF(INDEX(周转筐出入库明细!$D$4:$D$2004,$Z346-2000)=0,"",INDEX(周转筐出入库明细!$D$4:$D$2004,$Z346-2000)),IF($Z346&lt;=5200,IF(INDEX(客户自备加工筐明细!$C$4:$C$1203,$Z346-4000)=0,"",INDEX(客户自备加工筐明细!$C$4:$C$1203,$Z346-4000)),IF($Z346&lt;=5800,IF(INDEX(次果筐明细!$D$4:$D$603,$Z346-5200)=0,"",INDEX(次果筐明细!$D$4:$D$603,$Z346-5200)),"")))))</f>
        <v/>
      </c>
      <c r="G346" s="24" t="str">
        <f>IF($Z346="","",IF($Z346&lt;=2000,IF(INDEX(包装物料出入库明细!$F$4:$F$2003,$Z346-0)=0,"",INDEX(包装物料出入库明细!$F$4:$F$2003,$Z346-0)),IF($Z346&lt;=4000,"",IF($Z346&lt;=5200,"",IF($Z346&lt;=5800,"","")))))</f>
        <v/>
      </c>
      <c r="H346" s="39" t="str">
        <f>IF($Z346="","",IF($Z346&lt;=2000,IF(INDEX(包装物料出入库明细!$L$4:$L$2003,$Z346-0)=0,"",INDEX(包装物料出入库明细!$L$4:$L$2003,$Z346-0)),IF($Z346&lt;=4000,N(INDEX(周转筐出入库明细!$H$4:$H$2004,$Z346-2000))+N(INDEX(周转筐出入库明细!$I$4:$I$2004,$Z346-2000))+N(INDEX(周转筐出入库明细!$J$4:$J$2004,$Z346-2000))+N(INDEX(周转筐出入库明细!$K$4:$K$2004,$Z346-2000)),IF($Z346&lt;=5200,N(INDEX(客户自备加工筐明细!$F$4:$F$1203,$Z346-4000))+N(INDEX(客户自备加工筐明细!$G$4:$G$1203,$Z346-4000)),IF($Z346&lt;=5800,IF(INDEX(次果筐明细!$G$4:$G$603,$Z346-5200)=0,"",INDEX(次果筐明细!$G$4:$G$603,$Z346-5200)),"")))))</f>
        <v/>
      </c>
      <c r="I346" s="24" t="str">
        <f>IF($Z346="","",IF($Z346&lt;=2000,IF(INDEX(包装物料出入库明细!$G$4:$G$2003,$Z346-0)=0,"",INDEX(包装物料出入库明细!$G$4:$G$2003,$Z346-0)),IF($Z346&lt;=4000,"个",IF($Z346&lt;=5200,"个",IF($Z346&lt;=5800,"个","")))))</f>
        <v/>
      </c>
      <c r="J346" s="30" t="str">
        <f t="shared" si="16"/>
        <v/>
      </c>
      <c r="K346" s="30" t="str">
        <f>IF($Z346="","",IF($Z346&lt;=2000,IF(INDEX(包装物料出入库明细!$N$4:$N$2003,$Z346-0)=0,"",INDEX(包装物料出入库明细!$N$4:$N$2003,$Z346-0)),IF($Z346&lt;=4000,IF(INDEX(周转筐出入库明细!$P$4:$P$2004,$Z346-2000)=0,"",INDEX(周转筐出入库明细!$P$4:$P$2004,$Z346-2000)),IF($Z346&lt;=5200,"",IF($Z346&lt;=5800,N(INDEX(次果筐明细!$L$4:$L$603,$Z346-5200))+N(INDEX(次果筐明细!$J$4:$J$603,$Z346-5200)),"")))))</f>
        <v/>
      </c>
      <c r="L346" s="24" t="str">
        <f>IF($Z346="","",IF($Z346&lt;=2000,IF(INDEX(包装物料出入库明细!$P$4:$P$2003,$Z346-0)=0,"",INDEX(包装物料出入库明细!$P$4:$P$2003,$Z346-0)),IF($Z346&lt;=4000,IF(INDEX(周转筐出入库明细!$Q$4:$Q$2004,$Z346-2000)=0,"",INDEX(周转筐出入库明细!$Q$4:$Q$2004,$Z346-2000)),IF($Z346&lt;=5200,"",IF($Z346&lt;=5800,IF(INDEX(次果筐明细!$M$4:$M$603,$Z346-5200)=0,"",INDEX(次果筐明细!$M$4:$M$603,$Z346-5200)),"")))))</f>
        <v/>
      </c>
      <c r="M346" s="37" t="str">
        <f>IF($Z346="","",IF($Z346&lt;=2000,IF(INDEX(包装物料出入库明细!$R$4:$R$2003,$Z346-0)=0,"",INDEX(包装物料出入库明细!$R$4:$R$2003,$Z346-0)),IF($Z346&lt;=4000,IF(INDEX(周转筐出入库明细!$W$4:$W$2004,$Z346-2000)=0,"",INDEX(周转筐出入库明细!$W$4:$W$2004,$Z346-2000)),IF($Z346&lt;=5200,IF(INDEX(客户自备加工筐明细!$L$4:$L$1203,$Z346-4000)=0,"",INDEX(客户自备加工筐明细!$L$4:$L$1203,$Z346-4000)),IF($Z346&lt;=5800,IF(INDEX(次果筐明细!$P$4:$P$603,$Z346-5200)=0,"",INDEX(次果筐明细!$P$4:$P$603,$Z346-5200)),"")))))</f>
        <v/>
      </c>
      <c r="N346" s="16" t="str">
        <f>IF($Z346="","",IF($Z346&lt;=2000,"",IF($Z346&lt;=4000,IF(INDEX(周转筐出入库明细!$D$4:$D$2004,$Z346-2000)=0,"",INDEX(周转筐出入库明细!$D$4:$D$2004,$Z346-2000)),IF($Z346&lt;=5200,IF(INDEX(客户自备加工筐明细!$C$4:$C$1203,$Z346-4000)=0,"",INDEX(客户自备加工筐明细!$C$4:$C$1203,$Z346-4000)),IF($Z346&lt;=5800,IF(INDEX(次果筐明细!$D$4:$D$603,$Z346-5200)=0,"",INDEX(次果筐明细!$D$4:$D$603,$Z346-5200)),"")))))</f>
        <v/>
      </c>
      <c r="O346" s="40" t="str">
        <f>IF($Z346="","",IF($Z346&lt;=2000,"",IF($Z346&lt;=4000,IF(N(INDEX(周转筐出入库明细!$J$4:$J$2004,$Z346-2000))+N(INDEX(周转筐出入库明细!$K$4:$K$2004,$Z346-2000))=0,"",N(INDEX(周转筐出入库明细!$J$4:$J$2004,$Z346-2000))+N(INDEX(周转筐出入库明细!$K$4:$K$2004,$Z346-2000))),IF($Z346&lt;=5200,IF(N(INDEX(客户自备加工筐明细!$G$4:$G$1203,$Z346-4000))=0,"",N(INDEX(客户自备加工筐明细!$G$4:$G$1203,$Z346-4000))),IF($Z346&lt;=5800,IF(ISNUMBER(SEARCH("退",INDEX(次果筐明细!$F$4:$F$603,$Z346-5200)&amp;"")),"",IF(N(INDEX(次果筐明细!$G$4:$G$603,$Z346-5200))=0,"",N(INDEX(次果筐明细!$G$4:$G$603,$Z346-5200)))),"")))))</f>
        <v/>
      </c>
      <c r="P346" s="40" t="str">
        <f>IF($Z346="","",IF($Z346&lt;=2000,"",IF($Z346&lt;=4000,IF(N(INDEX(周转筐出入库明细!$I$4:$I$2004,$Z346-2000))=0,"",N(INDEX(周转筐出入库明细!$I$4:$I$2004,$Z346-2000))),IF($Z346&lt;=5200,"",IF($Z346&lt;=5800,IF(ISNUMBER(SEARCH("退",INDEX(次果筐明细!$F$4:$F$603,$Z346-5200)&amp;"")),IF(N(INDEX(次果筐明细!$G$4:$G$603,$Z346-5200))=0,"",N(INDEX(次果筐明细!$G$4:$G$603,$Z346-5200))),""),"")))))</f>
        <v/>
      </c>
      <c r="Q346" s="40" t="str">
        <f>IF($Z346="","",IF($Z346&lt;=2000,"",IF($Z346&lt;=4000,IF(N(INDEX(周转筐出入库明细!$H$4:$H$2004,$Z346-2000))=0,"",N(INDEX(周转筐出入库明细!$H$4:$H$2004,$Z346-2000))),IF($Z346&lt;=5200,IF(N(INDEX(客户自备加工筐明细!$F$4:$F$1203,$Z346-4000))=0,"",N(INDEX(客户自备加工筐明细!$F$4:$F$1203,$Z346-4000))),IF($Z346&lt;=5800,"","")))))</f>
        <v/>
      </c>
      <c r="R346" s="16" t="str">
        <f>IF($Z346="","",IF($Z346&lt;=2000,IF(INDEX(包装物料出入库明细!$O$4:$O$2003,$Z346-0)=0,"",INDEX(包装物料出入库明细!$O$4:$O$2003,$Z346-0)),IF($Z346&lt;=4000,IF(INDEX(周转筐出入库明细!$M$4:$M$2004,$Z346-2000)=0,"",INDEX(周转筐出入库明细!$M$4:$M$2004,$Z346-2000)),IF($Z346&lt;=5200,IF(INDEX(客户自备加工筐明细!$H$4:$H$1203,$Z346-4000)=0,"",INDEX(客户自备加工筐明细!$H$4:$H$1203,$Z346-4000)),IF($Z346&lt;=5800,IF(INDEX(次果筐明细!$H$4:$H$603,$Z346-5200)=0,"",INDEX(次果筐明细!$H$4:$H$603,$Z346-5200)),"")))))</f>
        <v/>
      </c>
      <c r="S346" s="22" t="str">
        <f t="shared" si="17"/>
        <v/>
      </c>
      <c r="Z346" s="10" t="str">
        <f>IFERROR(MATCH(ROW()-3,_自动清单!$CQ$4:$CQ$5803,0),"")</f>
        <v/>
      </c>
    </row>
    <row r="347" spans="1:26">
      <c r="A347" s="24" t="str">
        <f t="shared" si="15"/>
        <v/>
      </c>
      <c r="B347" s="38" t="str">
        <f>IF($Z347="","",IF($Z347&lt;=2000,IF(INDEX(包装物料出入库明细!$B$4:$B$2003,$Z347-0)=0,"",INDEX(包装物料出入库明细!$B$4:$B$2003,$Z347-0)),IF($Z347&lt;=4000,IF(INDEX(周转筐出入库明细!$B$4:$B$2004,$Z347-2000)=0,"",INDEX(周转筐出入库明细!$B$4:$B$2004,$Z347-2000)),IF($Z347&lt;=5200,IF(INDEX(客户自备加工筐明细!$B$4:$B$1203,$Z347-4000)=0,"",INDEX(客户自备加工筐明细!$B$4:$B$1203,$Z347-4000)),IF($Z347&lt;=5800,IF(INDEX(次果筐明细!$B$4:$B$603,$Z347-5200)=0,"",INDEX(次果筐明细!$B$4:$B$603,$Z347-5200)),"")))))</f>
        <v/>
      </c>
      <c r="C347" s="37" t="str">
        <f>IF($Z347="","",IF($Z347&lt;=2000,IF(INDEX(包装物料出入库明细!$D$4:$D$2003,$Z347-0)=0,"",INDEX(包装物料出入库明细!$D$4:$D$2003,$Z347-0)),IF($Z347&lt;=4000,IF(INDEX(周转筐出入库明细!$C$4:$C$2004,$Z347-2000)=0,"",INDEX(周转筐出入库明细!$C$4:$C$2004,$Z347-2000)),IF($Z347&lt;=5200,IF(INDEX(客户自备加工筐明细!$E$4:$E$1203,$Z347-4000)=0,"",INDEX(客户自备加工筐明细!$E$4:$E$1203,$Z347-4000)),IF($Z347&lt;=5800,IF(INDEX(次果筐明细!$C$4:$C$603,$Z347-5200)=0,"",INDEX(次果筐明细!$C$4:$C$603,$Z347-5200)),"")))))</f>
        <v/>
      </c>
      <c r="D347" s="37" t="str">
        <f>IF($Z347="","",IF($Z347&lt;=2000,"包装物料－"&amp;INDEX(包装物料出入库明细!$H$4:$H$2003,$Z347-0),IF($Z347&lt;=4000,"周转筐－"&amp;INDEX(周转筐出入库明细!$F$4:$F$2004,$Z347-2000),IF($Z347&lt;=5200,"客户自备筐－"&amp;INDEX(客户自备加工筐明细!$J$4:$J$1203,$Z347-4000),IF($Z347&lt;=5800,"次果筐/托盘－"&amp;INDEX(次果筐明细!$F$4:$F$603,$Z347-5200),"")))))</f>
        <v/>
      </c>
      <c r="E347" s="24" t="str">
        <f>IF($Z347="","",IF($Z347&lt;=2000,IF(INDEX(包装物料出入库明细!$C$4:$C$2003,$Z347-0)=0,"",INDEX(包装物料出入库明细!$C$4:$C$2003,$Z347-0)),IF($Z347&lt;=4000,IF(INDEX(周转筐出入库明细!$E$4:$E$2004,$Z347-2000)=0,"",INDEX(周转筐出入库明细!$E$4:$E$2004,$Z347-2000)),IF($Z347&lt;=5200,IF(INDEX(客户自备加工筐明细!$D$4:$D$1203,$Z347-4000)=0,"",INDEX(客户自备加工筐明细!$D$4:$D$1203,$Z347-4000)),IF($Z347&lt;=5800,IF(INDEX(次果筐明细!$E$4:$E$603,$Z347-5200)=0,"",INDEX(次果筐明细!$E$4:$E$603,$Z347-5200)),"")))))</f>
        <v/>
      </c>
      <c r="F347" s="24" t="str">
        <f>IF($Z347="","",IF($Z347&lt;=2000,IF(INDEX(包装物料出入库明细!$E$4:$E$2003,$Z347-0)=0,"",INDEX(包装物料出入库明细!$E$4:$E$2003,$Z347-0)),IF($Z347&lt;=4000,IF(INDEX(周转筐出入库明细!$D$4:$D$2004,$Z347-2000)=0,"",INDEX(周转筐出入库明细!$D$4:$D$2004,$Z347-2000)),IF($Z347&lt;=5200,IF(INDEX(客户自备加工筐明细!$C$4:$C$1203,$Z347-4000)=0,"",INDEX(客户自备加工筐明细!$C$4:$C$1203,$Z347-4000)),IF($Z347&lt;=5800,IF(INDEX(次果筐明细!$D$4:$D$603,$Z347-5200)=0,"",INDEX(次果筐明细!$D$4:$D$603,$Z347-5200)),"")))))</f>
        <v/>
      </c>
      <c r="G347" s="24" t="str">
        <f>IF($Z347="","",IF($Z347&lt;=2000,IF(INDEX(包装物料出入库明细!$F$4:$F$2003,$Z347-0)=0,"",INDEX(包装物料出入库明细!$F$4:$F$2003,$Z347-0)),IF($Z347&lt;=4000,"",IF($Z347&lt;=5200,"",IF($Z347&lt;=5800,"","")))))</f>
        <v/>
      </c>
      <c r="H347" s="39" t="str">
        <f>IF($Z347="","",IF($Z347&lt;=2000,IF(INDEX(包装物料出入库明细!$L$4:$L$2003,$Z347-0)=0,"",INDEX(包装物料出入库明细!$L$4:$L$2003,$Z347-0)),IF($Z347&lt;=4000,N(INDEX(周转筐出入库明细!$H$4:$H$2004,$Z347-2000))+N(INDEX(周转筐出入库明细!$I$4:$I$2004,$Z347-2000))+N(INDEX(周转筐出入库明细!$J$4:$J$2004,$Z347-2000))+N(INDEX(周转筐出入库明细!$K$4:$K$2004,$Z347-2000)),IF($Z347&lt;=5200,N(INDEX(客户自备加工筐明细!$F$4:$F$1203,$Z347-4000))+N(INDEX(客户自备加工筐明细!$G$4:$G$1203,$Z347-4000)),IF($Z347&lt;=5800,IF(INDEX(次果筐明细!$G$4:$G$603,$Z347-5200)=0,"",INDEX(次果筐明细!$G$4:$G$603,$Z347-5200)),"")))))</f>
        <v/>
      </c>
      <c r="I347" s="24" t="str">
        <f>IF($Z347="","",IF($Z347&lt;=2000,IF(INDEX(包装物料出入库明细!$G$4:$G$2003,$Z347-0)=0,"",INDEX(包装物料出入库明细!$G$4:$G$2003,$Z347-0)),IF($Z347&lt;=4000,"个",IF($Z347&lt;=5200,"个",IF($Z347&lt;=5800,"个","")))))</f>
        <v/>
      </c>
      <c r="J347" s="30" t="str">
        <f t="shared" si="16"/>
        <v/>
      </c>
      <c r="K347" s="30" t="str">
        <f>IF($Z347="","",IF($Z347&lt;=2000,IF(INDEX(包装物料出入库明细!$N$4:$N$2003,$Z347-0)=0,"",INDEX(包装物料出入库明细!$N$4:$N$2003,$Z347-0)),IF($Z347&lt;=4000,IF(INDEX(周转筐出入库明细!$P$4:$P$2004,$Z347-2000)=0,"",INDEX(周转筐出入库明细!$P$4:$P$2004,$Z347-2000)),IF($Z347&lt;=5200,"",IF($Z347&lt;=5800,N(INDEX(次果筐明细!$L$4:$L$603,$Z347-5200))+N(INDEX(次果筐明细!$J$4:$J$603,$Z347-5200)),"")))))</f>
        <v/>
      </c>
      <c r="L347" s="24" t="str">
        <f>IF($Z347="","",IF($Z347&lt;=2000,IF(INDEX(包装物料出入库明细!$P$4:$P$2003,$Z347-0)=0,"",INDEX(包装物料出入库明细!$P$4:$P$2003,$Z347-0)),IF($Z347&lt;=4000,IF(INDEX(周转筐出入库明细!$Q$4:$Q$2004,$Z347-2000)=0,"",INDEX(周转筐出入库明细!$Q$4:$Q$2004,$Z347-2000)),IF($Z347&lt;=5200,"",IF($Z347&lt;=5800,IF(INDEX(次果筐明细!$M$4:$M$603,$Z347-5200)=0,"",INDEX(次果筐明细!$M$4:$M$603,$Z347-5200)),"")))))</f>
        <v/>
      </c>
      <c r="M347" s="37" t="str">
        <f>IF($Z347="","",IF($Z347&lt;=2000,IF(INDEX(包装物料出入库明细!$R$4:$R$2003,$Z347-0)=0,"",INDEX(包装物料出入库明细!$R$4:$R$2003,$Z347-0)),IF($Z347&lt;=4000,IF(INDEX(周转筐出入库明细!$W$4:$W$2004,$Z347-2000)=0,"",INDEX(周转筐出入库明细!$W$4:$W$2004,$Z347-2000)),IF($Z347&lt;=5200,IF(INDEX(客户自备加工筐明细!$L$4:$L$1203,$Z347-4000)=0,"",INDEX(客户自备加工筐明细!$L$4:$L$1203,$Z347-4000)),IF($Z347&lt;=5800,IF(INDEX(次果筐明细!$P$4:$P$603,$Z347-5200)=0,"",INDEX(次果筐明细!$P$4:$P$603,$Z347-5200)),"")))))</f>
        <v/>
      </c>
      <c r="N347" s="16" t="str">
        <f>IF($Z347="","",IF($Z347&lt;=2000,"",IF($Z347&lt;=4000,IF(INDEX(周转筐出入库明细!$D$4:$D$2004,$Z347-2000)=0,"",INDEX(周转筐出入库明细!$D$4:$D$2004,$Z347-2000)),IF($Z347&lt;=5200,IF(INDEX(客户自备加工筐明细!$C$4:$C$1203,$Z347-4000)=0,"",INDEX(客户自备加工筐明细!$C$4:$C$1203,$Z347-4000)),IF($Z347&lt;=5800,IF(INDEX(次果筐明细!$D$4:$D$603,$Z347-5200)=0,"",INDEX(次果筐明细!$D$4:$D$603,$Z347-5200)),"")))))</f>
        <v/>
      </c>
      <c r="O347" s="40" t="str">
        <f>IF($Z347="","",IF($Z347&lt;=2000,"",IF($Z347&lt;=4000,IF(N(INDEX(周转筐出入库明细!$J$4:$J$2004,$Z347-2000))+N(INDEX(周转筐出入库明细!$K$4:$K$2004,$Z347-2000))=0,"",N(INDEX(周转筐出入库明细!$J$4:$J$2004,$Z347-2000))+N(INDEX(周转筐出入库明细!$K$4:$K$2004,$Z347-2000))),IF($Z347&lt;=5200,IF(N(INDEX(客户自备加工筐明细!$G$4:$G$1203,$Z347-4000))=0,"",N(INDEX(客户自备加工筐明细!$G$4:$G$1203,$Z347-4000))),IF($Z347&lt;=5800,IF(ISNUMBER(SEARCH("退",INDEX(次果筐明细!$F$4:$F$603,$Z347-5200)&amp;"")),"",IF(N(INDEX(次果筐明细!$G$4:$G$603,$Z347-5200))=0,"",N(INDEX(次果筐明细!$G$4:$G$603,$Z347-5200)))),"")))))</f>
        <v/>
      </c>
      <c r="P347" s="40" t="str">
        <f>IF($Z347="","",IF($Z347&lt;=2000,"",IF($Z347&lt;=4000,IF(N(INDEX(周转筐出入库明细!$I$4:$I$2004,$Z347-2000))=0,"",N(INDEX(周转筐出入库明细!$I$4:$I$2004,$Z347-2000))),IF($Z347&lt;=5200,"",IF($Z347&lt;=5800,IF(ISNUMBER(SEARCH("退",INDEX(次果筐明细!$F$4:$F$603,$Z347-5200)&amp;"")),IF(N(INDEX(次果筐明细!$G$4:$G$603,$Z347-5200))=0,"",N(INDEX(次果筐明细!$G$4:$G$603,$Z347-5200))),""),"")))))</f>
        <v/>
      </c>
      <c r="Q347" s="40" t="str">
        <f>IF($Z347="","",IF($Z347&lt;=2000,"",IF($Z347&lt;=4000,IF(N(INDEX(周转筐出入库明细!$H$4:$H$2004,$Z347-2000))=0,"",N(INDEX(周转筐出入库明细!$H$4:$H$2004,$Z347-2000))),IF($Z347&lt;=5200,IF(N(INDEX(客户自备加工筐明细!$F$4:$F$1203,$Z347-4000))=0,"",N(INDEX(客户自备加工筐明细!$F$4:$F$1203,$Z347-4000))),IF($Z347&lt;=5800,"","")))))</f>
        <v/>
      </c>
      <c r="R347" s="16" t="str">
        <f>IF($Z347="","",IF($Z347&lt;=2000,IF(INDEX(包装物料出入库明细!$O$4:$O$2003,$Z347-0)=0,"",INDEX(包装物料出入库明细!$O$4:$O$2003,$Z347-0)),IF($Z347&lt;=4000,IF(INDEX(周转筐出入库明细!$M$4:$M$2004,$Z347-2000)=0,"",INDEX(周转筐出入库明细!$M$4:$M$2004,$Z347-2000)),IF($Z347&lt;=5200,IF(INDEX(客户自备加工筐明细!$H$4:$H$1203,$Z347-4000)=0,"",INDEX(客户自备加工筐明细!$H$4:$H$1203,$Z347-4000)),IF($Z347&lt;=5800,IF(INDEX(次果筐明细!$H$4:$H$603,$Z347-5200)=0,"",INDEX(次果筐明细!$H$4:$H$603,$Z347-5200)),"")))))</f>
        <v/>
      </c>
      <c r="S347" s="22" t="str">
        <f t="shared" si="17"/>
        <v/>
      </c>
      <c r="Z347" s="10" t="str">
        <f>IFERROR(MATCH(ROW()-3,_自动清单!$CQ$4:$CQ$5803,0),"")</f>
        <v/>
      </c>
    </row>
    <row r="348" spans="1:26">
      <c r="A348" s="24" t="str">
        <f t="shared" si="15"/>
        <v/>
      </c>
      <c r="B348" s="38" t="str">
        <f>IF($Z348="","",IF($Z348&lt;=2000,IF(INDEX(包装物料出入库明细!$B$4:$B$2003,$Z348-0)=0,"",INDEX(包装物料出入库明细!$B$4:$B$2003,$Z348-0)),IF($Z348&lt;=4000,IF(INDEX(周转筐出入库明细!$B$4:$B$2004,$Z348-2000)=0,"",INDEX(周转筐出入库明细!$B$4:$B$2004,$Z348-2000)),IF($Z348&lt;=5200,IF(INDEX(客户自备加工筐明细!$B$4:$B$1203,$Z348-4000)=0,"",INDEX(客户自备加工筐明细!$B$4:$B$1203,$Z348-4000)),IF($Z348&lt;=5800,IF(INDEX(次果筐明细!$B$4:$B$603,$Z348-5200)=0,"",INDEX(次果筐明细!$B$4:$B$603,$Z348-5200)),"")))))</f>
        <v/>
      </c>
      <c r="C348" s="37" t="str">
        <f>IF($Z348="","",IF($Z348&lt;=2000,IF(INDEX(包装物料出入库明细!$D$4:$D$2003,$Z348-0)=0,"",INDEX(包装物料出入库明细!$D$4:$D$2003,$Z348-0)),IF($Z348&lt;=4000,IF(INDEX(周转筐出入库明细!$C$4:$C$2004,$Z348-2000)=0,"",INDEX(周转筐出入库明细!$C$4:$C$2004,$Z348-2000)),IF($Z348&lt;=5200,IF(INDEX(客户自备加工筐明细!$E$4:$E$1203,$Z348-4000)=0,"",INDEX(客户自备加工筐明细!$E$4:$E$1203,$Z348-4000)),IF($Z348&lt;=5800,IF(INDEX(次果筐明细!$C$4:$C$603,$Z348-5200)=0,"",INDEX(次果筐明细!$C$4:$C$603,$Z348-5200)),"")))))</f>
        <v/>
      </c>
      <c r="D348" s="37" t="str">
        <f>IF($Z348="","",IF($Z348&lt;=2000,"包装物料－"&amp;INDEX(包装物料出入库明细!$H$4:$H$2003,$Z348-0),IF($Z348&lt;=4000,"周转筐－"&amp;INDEX(周转筐出入库明细!$F$4:$F$2004,$Z348-2000),IF($Z348&lt;=5200,"客户自备筐－"&amp;INDEX(客户自备加工筐明细!$J$4:$J$1203,$Z348-4000),IF($Z348&lt;=5800,"次果筐/托盘－"&amp;INDEX(次果筐明细!$F$4:$F$603,$Z348-5200),"")))))</f>
        <v/>
      </c>
      <c r="E348" s="24" t="str">
        <f>IF($Z348="","",IF($Z348&lt;=2000,IF(INDEX(包装物料出入库明细!$C$4:$C$2003,$Z348-0)=0,"",INDEX(包装物料出入库明细!$C$4:$C$2003,$Z348-0)),IF($Z348&lt;=4000,IF(INDEX(周转筐出入库明细!$E$4:$E$2004,$Z348-2000)=0,"",INDEX(周转筐出入库明细!$E$4:$E$2004,$Z348-2000)),IF($Z348&lt;=5200,IF(INDEX(客户自备加工筐明细!$D$4:$D$1203,$Z348-4000)=0,"",INDEX(客户自备加工筐明细!$D$4:$D$1203,$Z348-4000)),IF($Z348&lt;=5800,IF(INDEX(次果筐明细!$E$4:$E$603,$Z348-5200)=0,"",INDEX(次果筐明细!$E$4:$E$603,$Z348-5200)),"")))))</f>
        <v/>
      </c>
      <c r="F348" s="24" t="str">
        <f>IF($Z348="","",IF($Z348&lt;=2000,IF(INDEX(包装物料出入库明细!$E$4:$E$2003,$Z348-0)=0,"",INDEX(包装物料出入库明细!$E$4:$E$2003,$Z348-0)),IF($Z348&lt;=4000,IF(INDEX(周转筐出入库明细!$D$4:$D$2004,$Z348-2000)=0,"",INDEX(周转筐出入库明细!$D$4:$D$2004,$Z348-2000)),IF($Z348&lt;=5200,IF(INDEX(客户自备加工筐明细!$C$4:$C$1203,$Z348-4000)=0,"",INDEX(客户自备加工筐明细!$C$4:$C$1203,$Z348-4000)),IF($Z348&lt;=5800,IF(INDEX(次果筐明细!$D$4:$D$603,$Z348-5200)=0,"",INDEX(次果筐明细!$D$4:$D$603,$Z348-5200)),"")))))</f>
        <v/>
      </c>
      <c r="G348" s="24" t="str">
        <f>IF($Z348="","",IF($Z348&lt;=2000,IF(INDEX(包装物料出入库明细!$F$4:$F$2003,$Z348-0)=0,"",INDEX(包装物料出入库明细!$F$4:$F$2003,$Z348-0)),IF($Z348&lt;=4000,"",IF($Z348&lt;=5200,"",IF($Z348&lt;=5800,"","")))))</f>
        <v/>
      </c>
      <c r="H348" s="39" t="str">
        <f>IF($Z348="","",IF($Z348&lt;=2000,IF(INDEX(包装物料出入库明细!$L$4:$L$2003,$Z348-0)=0,"",INDEX(包装物料出入库明细!$L$4:$L$2003,$Z348-0)),IF($Z348&lt;=4000,N(INDEX(周转筐出入库明细!$H$4:$H$2004,$Z348-2000))+N(INDEX(周转筐出入库明细!$I$4:$I$2004,$Z348-2000))+N(INDEX(周转筐出入库明细!$J$4:$J$2004,$Z348-2000))+N(INDEX(周转筐出入库明细!$K$4:$K$2004,$Z348-2000)),IF($Z348&lt;=5200,N(INDEX(客户自备加工筐明细!$F$4:$F$1203,$Z348-4000))+N(INDEX(客户自备加工筐明细!$G$4:$G$1203,$Z348-4000)),IF($Z348&lt;=5800,IF(INDEX(次果筐明细!$G$4:$G$603,$Z348-5200)=0,"",INDEX(次果筐明细!$G$4:$G$603,$Z348-5200)),"")))))</f>
        <v/>
      </c>
      <c r="I348" s="24" t="str">
        <f>IF($Z348="","",IF($Z348&lt;=2000,IF(INDEX(包装物料出入库明细!$G$4:$G$2003,$Z348-0)=0,"",INDEX(包装物料出入库明细!$G$4:$G$2003,$Z348-0)),IF($Z348&lt;=4000,"个",IF($Z348&lt;=5200,"个",IF($Z348&lt;=5800,"个","")))))</f>
        <v/>
      </c>
      <c r="J348" s="30" t="str">
        <f t="shared" si="16"/>
        <v/>
      </c>
      <c r="K348" s="30" t="str">
        <f>IF($Z348="","",IF($Z348&lt;=2000,IF(INDEX(包装物料出入库明细!$N$4:$N$2003,$Z348-0)=0,"",INDEX(包装物料出入库明细!$N$4:$N$2003,$Z348-0)),IF($Z348&lt;=4000,IF(INDEX(周转筐出入库明细!$P$4:$P$2004,$Z348-2000)=0,"",INDEX(周转筐出入库明细!$P$4:$P$2004,$Z348-2000)),IF($Z348&lt;=5200,"",IF($Z348&lt;=5800,N(INDEX(次果筐明细!$L$4:$L$603,$Z348-5200))+N(INDEX(次果筐明细!$J$4:$J$603,$Z348-5200)),"")))))</f>
        <v/>
      </c>
      <c r="L348" s="24" t="str">
        <f>IF($Z348="","",IF($Z348&lt;=2000,IF(INDEX(包装物料出入库明细!$P$4:$P$2003,$Z348-0)=0,"",INDEX(包装物料出入库明细!$P$4:$P$2003,$Z348-0)),IF($Z348&lt;=4000,IF(INDEX(周转筐出入库明细!$Q$4:$Q$2004,$Z348-2000)=0,"",INDEX(周转筐出入库明细!$Q$4:$Q$2004,$Z348-2000)),IF($Z348&lt;=5200,"",IF($Z348&lt;=5800,IF(INDEX(次果筐明细!$M$4:$M$603,$Z348-5200)=0,"",INDEX(次果筐明细!$M$4:$M$603,$Z348-5200)),"")))))</f>
        <v/>
      </c>
      <c r="M348" s="37" t="str">
        <f>IF($Z348="","",IF($Z348&lt;=2000,IF(INDEX(包装物料出入库明细!$R$4:$R$2003,$Z348-0)=0,"",INDEX(包装物料出入库明细!$R$4:$R$2003,$Z348-0)),IF($Z348&lt;=4000,IF(INDEX(周转筐出入库明细!$W$4:$W$2004,$Z348-2000)=0,"",INDEX(周转筐出入库明细!$W$4:$W$2004,$Z348-2000)),IF($Z348&lt;=5200,IF(INDEX(客户自备加工筐明细!$L$4:$L$1203,$Z348-4000)=0,"",INDEX(客户自备加工筐明细!$L$4:$L$1203,$Z348-4000)),IF($Z348&lt;=5800,IF(INDEX(次果筐明细!$P$4:$P$603,$Z348-5200)=0,"",INDEX(次果筐明细!$P$4:$P$603,$Z348-5200)),"")))))</f>
        <v/>
      </c>
      <c r="N348" s="16" t="str">
        <f>IF($Z348="","",IF($Z348&lt;=2000,"",IF($Z348&lt;=4000,IF(INDEX(周转筐出入库明细!$D$4:$D$2004,$Z348-2000)=0,"",INDEX(周转筐出入库明细!$D$4:$D$2004,$Z348-2000)),IF($Z348&lt;=5200,IF(INDEX(客户自备加工筐明细!$C$4:$C$1203,$Z348-4000)=0,"",INDEX(客户自备加工筐明细!$C$4:$C$1203,$Z348-4000)),IF($Z348&lt;=5800,IF(INDEX(次果筐明细!$D$4:$D$603,$Z348-5200)=0,"",INDEX(次果筐明细!$D$4:$D$603,$Z348-5200)),"")))))</f>
        <v/>
      </c>
      <c r="O348" s="40" t="str">
        <f>IF($Z348="","",IF($Z348&lt;=2000,"",IF($Z348&lt;=4000,IF(N(INDEX(周转筐出入库明细!$J$4:$J$2004,$Z348-2000))+N(INDEX(周转筐出入库明细!$K$4:$K$2004,$Z348-2000))=0,"",N(INDEX(周转筐出入库明细!$J$4:$J$2004,$Z348-2000))+N(INDEX(周转筐出入库明细!$K$4:$K$2004,$Z348-2000))),IF($Z348&lt;=5200,IF(N(INDEX(客户自备加工筐明细!$G$4:$G$1203,$Z348-4000))=0,"",N(INDEX(客户自备加工筐明细!$G$4:$G$1203,$Z348-4000))),IF($Z348&lt;=5800,IF(ISNUMBER(SEARCH("退",INDEX(次果筐明细!$F$4:$F$603,$Z348-5200)&amp;"")),"",IF(N(INDEX(次果筐明细!$G$4:$G$603,$Z348-5200))=0,"",N(INDEX(次果筐明细!$G$4:$G$603,$Z348-5200)))),"")))))</f>
        <v/>
      </c>
      <c r="P348" s="40" t="str">
        <f>IF($Z348="","",IF($Z348&lt;=2000,"",IF($Z348&lt;=4000,IF(N(INDEX(周转筐出入库明细!$I$4:$I$2004,$Z348-2000))=0,"",N(INDEX(周转筐出入库明细!$I$4:$I$2004,$Z348-2000))),IF($Z348&lt;=5200,"",IF($Z348&lt;=5800,IF(ISNUMBER(SEARCH("退",INDEX(次果筐明细!$F$4:$F$603,$Z348-5200)&amp;"")),IF(N(INDEX(次果筐明细!$G$4:$G$603,$Z348-5200))=0,"",N(INDEX(次果筐明细!$G$4:$G$603,$Z348-5200))),""),"")))))</f>
        <v/>
      </c>
      <c r="Q348" s="40" t="str">
        <f>IF($Z348="","",IF($Z348&lt;=2000,"",IF($Z348&lt;=4000,IF(N(INDEX(周转筐出入库明细!$H$4:$H$2004,$Z348-2000))=0,"",N(INDEX(周转筐出入库明细!$H$4:$H$2004,$Z348-2000))),IF($Z348&lt;=5200,IF(N(INDEX(客户自备加工筐明细!$F$4:$F$1203,$Z348-4000))=0,"",N(INDEX(客户自备加工筐明细!$F$4:$F$1203,$Z348-4000))),IF($Z348&lt;=5800,"","")))))</f>
        <v/>
      </c>
      <c r="R348" s="16" t="str">
        <f>IF($Z348="","",IF($Z348&lt;=2000,IF(INDEX(包装物料出入库明细!$O$4:$O$2003,$Z348-0)=0,"",INDEX(包装物料出入库明细!$O$4:$O$2003,$Z348-0)),IF($Z348&lt;=4000,IF(INDEX(周转筐出入库明细!$M$4:$M$2004,$Z348-2000)=0,"",INDEX(周转筐出入库明细!$M$4:$M$2004,$Z348-2000)),IF($Z348&lt;=5200,IF(INDEX(客户自备加工筐明细!$H$4:$H$1203,$Z348-4000)=0,"",INDEX(客户自备加工筐明细!$H$4:$H$1203,$Z348-4000)),IF($Z348&lt;=5800,IF(INDEX(次果筐明细!$H$4:$H$603,$Z348-5200)=0,"",INDEX(次果筐明细!$H$4:$H$603,$Z348-5200)),"")))))</f>
        <v/>
      </c>
      <c r="S348" s="22" t="str">
        <f t="shared" si="17"/>
        <v/>
      </c>
      <c r="Z348" s="10" t="str">
        <f>IFERROR(MATCH(ROW()-3,_自动清单!$CQ$4:$CQ$5803,0),"")</f>
        <v/>
      </c>
    </row>
    <row r="349" spans="1:26">
      <c r="A349" s="24" t="str">
        <f t="shared" si="15"/>
        <v/>
      </c>
      <c r="B349" s="38" t="str">
        <f>IF($Z349="","",IF($Z349&lt;=2000,IF(INDEX(包装物料出入库明细!$B$4:$B$2003,$Z349-0)=0,"",INDEX(包装物料出入库明细!$B$4:$B$2003,$Z349-0)),IF($Z349&lt;=4000,IF(INDEX(周转筐出入库明细!$B$4:$B$2004,$Z349-2000)=0,"",INDEX(周转筐出入库明细!$B$4:$B$2004,$Z349-2000)),IF($Z349&lt;=5200,IF(INDEX(客户自备加工筐明细!$B$4:$B$1203,$Z349-4000)=0,"",INDEX(客户自备加工筐明细!$B$4:$B$1203,$Z349-4000)),IF($Z349&lt;=5800,IF(INDEX(次果筐明细!$B$4:$B$603,$Z349-5200)=0,"",INDEX(次果筐明细!$B$4:$B$603,$Z349-5200)),"")))))</f>
        <v/>
      </c>
      <c r="C349" s="37" t="str">
        <f>IF($Z349="","",IF($Z349&lt;=2000,IF(INDEX(包装物料出入库明细!$D$4:$D$2003,$Z349-0)=0,"",INDEX(包装物料出入库明细!$D$4:$D$2003,$Z349-0)),IF($Z349&lt;=4000,IF(INDEX(周转筐出入库明细!$C$4:$C$2004,$Z349-2000)=0,"",INDEX(周转筐出入库明细!$C$4:$C$2004,$Z349-2000)),IF($Z349&lt;=5200,IF(INDEX(客户自备加工筐明细!$E$4:$E$1203,$Z349-4000)=0,"",INDEX(客户自备加工筐明细!$E$4:$E$1203,$Z349-4000)),IF($Z349&lt;=5800,IF(INDEX(次果筐明细!$C$4:$C$603,$Z349-5200)=0,"",INDEX(次果筐明细!$C$4:$C$603,$Z349-5200)),"")))))</f>
        <v/>
      </c>
      <c r="D349" s="37" t="str">
        <f>IF($Z349="","",IF($Z349&lt;=2000,"包装物料－"&amp;INDEX(包装物料出入库明细!$H$4:$H$2003,$Z349-0),IF($Z349&lt;=4000,"周转筐－"&amp;INDEX(周转筐出入库明细!$F$4:$F$2004,$Z349-2000),IF($Z349&lt;=5200,"客户自备筐－"&amp;INDEX(客户自备加工筐明细!$J$4:$J$1203,$Z349-4000),IF($Z349&lt;=5800,"次果筐/托盘－"&amp;INDEX(次果筐明细!$F$4:$F$603,$Z349-5200),"")))))</f>
        <v/>
      </c>
      <c r="E349" s="24" t="str">
        <f>IF($Z349="","",IF($Z349&lt;=2000,IF(INDEX(包装物料出入库明细!$C$4:$C$2003,$Z349-0)=0,"",INDEX(包装物料出入库明细!$C$4:$C$2003,$Z349-0)),IF($Z349&lt;=4000,IF(INDEX(周转筐出入库明细!$E$4:$E$2004,$Z349-2000)=0,"",INDEX(周转筐出入库明细!$E$4:$E$2004,$Z349-2000)),IF($Z349&lt;=5200,IF(INDEX(客户自备加工筐明细!$D$4:$D$1203,$Z349-4000)=0,"",INDEX(客户自备加工筐明细!$D$4:$D$1203,$Z349-4000)),IF($Z349&lt;=5800,IF(INDEX(次果筐明细!$E$4:$E$603,$Z349-5200)=0,"",INDEX(次果筐明细!$E$4:$E$603,$Z349-5200)),"")))))</f>
        <v/>
      </c>
      <c r="F349" s="24" t="str">
        <f>IF($Z349="","",IF($Z349&lt;=2000,IF(INDEX(包装物料出入库明细!$E$4:$E$2003,$Z349-0)=0,"",INDEX(包装物料出入库明细!$E$4:$E$2003,$Z349-0)),IF($Z349&lt;=4000,IF(INDEX(周转筐出入库明细!$D$4:$D$2004,$Z349-2000)=0,"",INDEX(周转筐出入库明细!$D$4:$D$2004,$Z349-2000)),IF($Z349&lt;=5200,IF(INDEX(客户自备加工筐明细!$C$4:$C$1203,$Z349-4000)=0,"",INDEX(客户自备加工筐明细!$C$4:$C$1203,$Z349-4000)),IF($Z349&lt;=5800,IF(INDEX(次果筐明细!$D$4:$D$603,$Z349-5200)=0,"",INDEX(次果筐明细!$D$4:$D$603,$Z349-5200)),"")))))</f>
        <v/>
      </c>
      <c r="G349" s="24" t="str">
        <f>IF($Z349="","",IF($Z349&lt;=2000,IF(INDEX(包装物料出入库明细!$F$4:$F$2003,$Z349-0)=0,"",INDEX(包装物料出入库明细!$F$4:$F$2003,$Z349-0)),IF($Z349&lt;=4000,"",IF($Z349&lt;=5200,"",IF($Z349&lt;=5800,"","")))))</f>
        <v/>
      </c>
      <c r="H349" s="39" t="str">
        <f>IF($Z349="","",IF($Z349&lt;=2000,IF(INDEX(包装物料出入库明细!$L$4:$L$2003,$Z349-0)=0,"",INDEX(包装物料出入库明细!$L$4:$L$2003,$Z349-0)),IF($Z349&lt;=4000,N(INDEX(周转筐出入库明细!$H$4:$H$2004,$Z349-2000))+N(INDEX(周转筐出入库明细!$I$4:$I$2004,$Z349-2000))+N(INDEX(周转筐出入库明细!$J$4:$J$2004,$Z349-2000))+N(INDEX(周转筐出入库明细!$K$4:$K$2004,$Z349-2000)),IF($Z349&lt;=5200,N(INDEX(客户自备加工筐明细!$F$4:$F$1203,$Z349-4000))+N(INDEX(客户自备加工筐明细!$G$4:$G$1203,$Z349-4000)),IF($Z349&lt;=5800,IF(INDEX(次果筐明细!$G$4:$G$603,$Z349-5200)=0,"",INDEX(次果筐明细!$G$4:$G$603,$Z349-5200)),"")))))</f>
        <v/>
      </c>
      <c r="I349" s="24" t="str">
        <f>IF($Z349="","",IF($Z349&lt;=2000,IF(INDEX(包装物料出入库明细!$G$4:$G$2003,$Z349-0)=0,"",INDEX(包装物料出入库明细!$G$4:$G$2003,$Z349-0)),IF($Z349&lt;=4000,"个",IF($Z349&lt;=5200,"个",IF($Z349&lt;=5800,"个","")))))</f>
        <v/>
      </c>
      <c r="J349" s="30" t="str">
        <f t="shared" si="16"/>
        <v/>
      </c>
      <c r="K349" s="30" t="str">
        <f>IF($Z349="","",IF($Z349&lt;=2000,IF(INDEX(包装物料出入库明细!$N$4:$N$2003,$Z349-0)=0,"",INDEX(包装物料出入库明细!$N$4:$N$2003,$Z349-0)),IF($Z349&lt;=4000,IF(INDEX(周转筐出入库明细!$P$4:$P$2004,$Z349-2000)=0,"",INDEX(周转筐出入库明细!$P$4:$P$2004,$Z349-2000)),IF($Z349&lt;=5200,"",IF($Z349&lt;=5800,N(INDEX(次果筐明细!$L$4:$L$603,$Z349-5200))+N(INDEX(次果筐明细!$J$4:$J$603,$Z349-5200)),"")))))</f>
        <v/>
      </c>
      <c r="L349" s="24" t="str">
        <f>IF($Z349="","",IF($Z349&lt;=2000,IF(INDEX(包装物料出入库明细!$P$4:$P$2003,$Z349-0)=0,"",INDEX(包装物料出入库明细!$P$4:$P$2003,$Z349-0)),IF($Z349&lt;=4000,IF(INDEX(周转筐出入库明细!$Q$4:$Q$2004,$Z349-2000)=0,"",INDEX(周转筐出入库明细!$Q$4:$Q$2004,$Z349-2000)),IF($Z349&lt;=5200,"",IF($Z349&lt;=5800,IF(INDEX(次果筐明细!$M$4:$M$603,$Z349-5200)=0,"",INDEX(次果筐明细!$M$4:$M$603,$Z349-5200)),"")))))</f>
        <v/>
      </c>
      <c r="M349" s="37" t="str">
        <f>IF($Z349="","",IF($Z349&lt;=2000,IF(INDEX(包装物料出入库明细!$R$4:$R$2003,$Z349-0)=0,"",INDEX(包装物料出入库明细!$R$4:$R$2003,$Z349-0)),IF($Z349&lt;=4000,IF(INDEX(周转筐出入库明细!$W$4:$W$2004,$Z349-2000)=0,"",INDEX(周转筐出入库明细!$W$4:$W$2004,$Z349-2000)),IF($Z349&lt;=5200,IF(INDEX(客户自备加工筐明细!$L$4:$L$1203,$Z349-4000)=0,"",INDEX(客户自备加工筐明细!$L$4:$L$1203,$Z349-4000)),IF($Z349&lt;=5800,IF(INDEX(次果筐明细!$P$4:$P$603,$Z349-5200)=0,"",INDEX(次果筐明细!$P$4:$P$603,$Z349-5200)),"")))))</f>
        <v/>
      </c>
      <c r="N349" s="16" t="str">
        <f>IF($Z349="","",IF($Z349&lt;=2000,"",IF($Z349&lt;=4000,IF(INDEX(周转筐出入库明细!$D$4:$D$2004,$Z349-2000)=0,"",INDEX(周转筐出入库明细!$D$4:$D$2004,$Z349-2000)),IF($Z349&lt;=5200,IF(INDEX(客户自备加工筐明细!$C$4:$C$1203,$Z349-4000)=0,"",INDEX(客户自备加工筐明细!$C$4:$C$1203,$Z349-4000)),IF($Z349&lt;=5800,IF(INDEX(次果筐明细!$D$4:$D$603,$Z349-5200)=0,"",INDEX(次果筐明细!$D$4:$D$603,$Z349-5200)),"")))))</f>
        <v/>
      </c>
      <c r="O349" s="40" t="str">
        <f>IF($Z349="","",IF($Z349&lt;=2000,"",IF($Z349&lt;=4000,IF(N(INDEX(周转筐出入库明细!$J$4:$J$2004,$Z349-2000))+N(INDEX(周转筐出入库明细!$K$4:$K$2004,$Z349-2000))=0,"",N(INDEX(周转筐出入库明细!$J$4:$J$2004,$Z349-2000))+N(INDEX(周转筐出入库明细!$K$4:$K$2004,$Z349-2000))),IF($Z349&lt;=5200,IF(N(INDEX(客户自备加工筐明细!$G$4:$G$1203,$Z349-4000))=0,"",N(INDEX(客户自备加工筐明细!$G$4:$G$1203,$Z349-4000))),IF($Z349&lt;=5800,IF(ISNUMBER(SEARCH("退",INDEX(次果筐明细!$F$4:$F$603,$Z349-5200)&amp;"")),"",IF(N(INDEX(次果筐明细!$G$4:$G$603,$Z349-5200))=0,"",N(INDEX(次果筐明细!$G$4:$G$603,$Z349-5200)))),"")))))</f>
        <v/>
      </c>
      <c r="P349" s="40" t="str">
        <f>IF($Z349="","",IF($Z349&lt;=2000,"",IF($Z349&lt;=4000,IF(N(INDEX(周转筐出入库明细!$I$4:$I$2004,$Z349-2000))=0,"",N(INDEX(周转筐出入库明细!$I$4:$I$2004,$Z349-2000))),IF($Z349&lt;=5200,"",IF($Z349&lt;=5800,IF(ISNUMBER(SEARCH("退",INDEX(次果筐明细!$F$4:$F$603,$Z349-5200)&amp;"")),IF(N(INDEX(次果筐明细!$G$4:$G$603,$Z349-5200))=0,"",N(INDEX(次果筐明细!$G$4:$G$603,$Z349-5200))),""),"")))))</f>
        <v/>
      </c>
      <c r="Q349" s="40" t="str">
        <f>IF($Z349="","",IF($Z349&lt;=2000,"",IF($Z349&lt;=4000,IF(N(INDEX(周转筐出入库明细!$H$4:$H$2004,$Z349-2000))=0,"",N(INDEX(周转筐出入库明细!$H$4:$H$2004,$Z349-2000))),IF($Z349&lt;=5200,IF(N(INDEX(客户自备加工筐明细!$F$4:$F$1203,$Z349-4000))=0,"",N(INDEX(客户自备加工筐明细!$F$4:$F$1203,$Z349-4000))),IF($Z349&lt;=5800,"","")))))</f>
        <v/>
      </c>
      <c r="R349" s="16" t="str">
        <f>IF($Z349="","",IF($Z349&lt;=2000,IF(INDEX(包装物料出入库明细!$O$4:$O$2003,$Z349-0)=0,"",INDEX(包装物料出入库明细!$O$4:$O$2003,$Z349-0)),IF($Z349&lt;=4000,IF(INDEX(周转筐出入库明细!$M$4:$M$2004,$Z349-2000)=0,"",INDEX(周转筐出入库明细!$M$4:$M$2004,$Z349-2000)),IF($Z349&lt;=5200,IF(INDEX(客户自备加工筐明细!$H$4:$H$1203,$Z349-4000)=0,"",INDEX(客户自备加工筐明细!$H$4:$H$1203,$Z349-4000)),IF($Z349&lt;=5800,IF(INDEX(次果筐明细!$H$4:$H$603,$Z349-5200)=0,"",INDEX(次果筐明细!$H$4:$H$603,$Z349-5200)),"")))))</f>
        <v/>
      </c>
      <c r="S349" s="22" t="str">
        <f t="shared" si="17"/>
        <v/>
      </c>
      <c r="Z349" s="10" t="str">
        <f>IFERROR(MATCH(ROW()-3,_自动清单!$CQ$4:$CQ$5803,0),"")</f>
        <v/>
      </c>
    </row>
    <row r="350" spans="1:26">
      <c r="A350" s="24" t="str">
        <f t="shared" si="15"/>
        <v/>
      </c>
      <c r="B350" s="38" t="str">
        <f>IF($Z350="","",IF($Z350&lt;=2000,IF(INDEX(包装物料出入库明细!$B$4:$B$2003,$Z350-0)=0,"",INDEX(包装物料出入库明细!$B$4:$B$2003,$Z350-0)),IF($Z350&lt;=4000,IF(INDEX(周转筐出入库明细!$B$4:$B$2004,$Z350-2000)=0,"",INDEX(周转筐出入库明细!$B$4:$B$2004,$Z350-2000)),IF($Z350&lt;=5200,IF(INDEX(客户自备加工筐明细!$B$4:$B$1203,$Z350-4000)=0,"",INDEX(客户自备加工筐明细!$B$4:$B$1203,$Z350-4000)),IF($Z350&lt;=5800,IF(INDEX(次果筐明细!$B$4:$B$603,$Z350-5200)=0,"",INDEX(次果筐明细!$B$4:$B$603,$Z350-5200)),"")))))</f>
        <v/>
      </c>
      <c r="C350" s="37" t="str">
        <f>IF($Z350="","",IF($Z350&lt;=2000,IF(INDEX(包装物料出入库明细!$D$4:$D$2003,$Z350-0)=0,"",INDEX(包装物料出入库明细!$D$4:$D$2003,$Z350-0)),IF($Z350&lt;=4000,IF(INDEX(周转筐出入库明细!$C$4:$C$2004,$Z350-2000)=0,"",INDEX(周转筐出入库明细!$C$4:$C$2004,$Z350-2000)),IF($Z350&lt;=5200,IF(INDEX(客户自备加工筐明细!$E$4:$E$1203,$Z350-4000)=0,"",INDEX(客户自备加工筐明细!$E$4:$E$1203,$Z350-4000)),IF($Z350&lt;=5800,IF(INDEX(次果筐明细!$C$4:$C$603,$Z350-5200)=0,"",INDEX(次果筐明细!$C$4:$C$603,$Z350-5200)),"")))))</f>
        <v/>
      </c>
      <c r="D350" s="37" t="str">
        <f>IF($Z350="","",IF($Z350&lt;=2000,"包装物料－"&amp;INDEX(包装物料出入库明细!$H$4:$H$2003,$Z350-0),IF($Z350&lt;=4000,"周转筐－"&amp;INDEX(周转筐出入库明细!$F$4:$F$2004,$Z350-2000),IF($Z350&lt;=5200,"客户自备筐－"&amp;INDEX(客户自备加工筐明细!$J$4:$J$1203,$Z350-4000),IF($Z350&lt;=5800,"次果筐/托盘－"&amp;INDEX(次果筐明细!$F$4:$F$603,$Z350-5200),"")))))</f>
        <v/>
      </c>
      <c r="E350" s="24" t="str">
        <f>IF($Z350="","",IF($Z350&lt;=2000,IF(INDEX(包装物料出入库明细!$C$4:$C$2003,$Z350-0)=0,"",INDEX(包装物料出入库明细!$C$4:$C$2003,$Z350-0)),IF($Z350&lt;=4000,IF(INDEX(周转筐出入库明细!$E$4:$E$2004,$Z350-2000)=0,"",INDEX(周转筐出入库明细!$E$4:$E$2004,$Z350-2000)),IF($Z350&lt;=5200,IF(INDEX(客户自备加工筐明细!$D$4:$D$1203,$Z350-4000)=0,"",INDEX(客户自备加工筐明细!$D$4:$D$1203,$Z350-4000)),IF($Z350&lt;=5800,IF(INDEX(次果筐明细!$E$4:$E$603,$Z350-5200)=0,"",INDEX(次果筐明细!$E$4:$E$603,$Z350-5200)),"")))))</f>
        <v/>
      </c>
      <c r="F350" s="24" t="str">
        <f>IF($Z350="","",IF($Z350&lt;=2000,IF(INDEX(包装物料出入库明细!$E$4:$E$2003,$Z350-0)=0,"",INDEX(包装物料出入库明细!$E$4:$E$2003,$Z350-0)),IF($Z350&lt;=4000,IF(INDEX(周转筐出入库明细!$D$4:$D$2004,$Z350-2000)=0,"",INDEX(周转筐出入库明细!$D$4:$D$2004,$Z350-2000)),IF($Z350&lt;=5200,IF(INDEX(客户自备加工筐明细!$C$4:$C$1203,$Z350-4000)=0,"",INDEX(客户自备加工筐明细!$C$4:$C$1203,$Z350-4000)),IF($Z350&lt;=5800,IF(INDEX(次果筐明细!$D$4:$D$603,$Z350-5200)=0,"",INDEX(次果筐明细!$D$4:$D$603,$Z350-5200)),"")))))</f>
        <v/>
      </c>
      <c r="G350" s="24" t="str">
        <f>IF($Z350="","",IF($Z350&lt;=2000,IF(INDEX(包装物料出入库明细!$F$4:$F$2003,$Z350-0)=0,"",INDEX(包装物料出入库明细!$F$4:$F$2003,$Z350-0)),IF($Z350&lt;=4000,"",IF($Z350&lt;=5200,"",IF($Z350&lt;=5800,"","")))))</f>
        <v/>
      </c>
      <c r="H350" s="39" t="str">
        <f>IF($Z350="","",IF($Z350&lt;=2000,IF(INDEX(包装物料出入库明细!$L$4:$L$2003,$Z350-0)=0,"",INDEX(包装物料出入库明细!$L$4:$L$2003,$Z350-0)),IF($Z350&lt;=4000,N(INDEX(周转筐出入库明细!$H$4:$H$2004,$Z350-2000))+N(INDEX(周转筐出入库明细!$I$4:$I$2004,$Z350-2000))+N(INDEX(周转筐出入库明细!$J$4:$J$2004,$Z350-2000))+N(INDEX(周转筐出入库明细!$K$4:$K$2004,$Z350-2000)),IF($Z350&lt;=5200,N(INDEX(客户自备加工筐明细!$F$4:$F$1203,$Z350-4000))+N(INDEX(客户自备加工筐明细!$G$4:$G$1203,$Z350-4000)),IF($Z350&lt;=5800,IF(INDEX(次果筐明细!$G$4:$G$603,$Z350-5200)=0,"",INDEX(次果筐明细!$G$4:$G$603,$Z350-5200)),"")))))</f>
        <v/>
      </c>
      <c r="I350" s="24" t="str">
        <f>IF($Z350="","",IF($Z350&lt;=2000,IF(INDEX(包装物料出入库明细!$G$4:$G$2003,$Z350-0)=0,"",INDEX(包装物料出入库明细!$G$4:$G$2003,$Z350-0)),IF($Z350&lt;=4000,"个",IF($Z350&lt;=5200,"个",IF($Z350&lt;=5800,"个","")))))</f>
        <v/>
      </c>
      <c r="J350" s="30" t="str">
        <f t="shared" si="16"/>
        <v/>
      </c>
      <c r="K350" s="30" t="str">
        <f>IF($Z350="","",IF($Z350&lt;=2000,IF(INDEX(包装物料出入库明细!$N$4:$N$2003,$Z350-0)=0,"",INDEX(包装物料出入库明细!$N$4:$N$2003,$Z350-0)),IF($Z350&lt;=4000,IF(INDEX(周转筐出入库明细!$P$4:$P$2004,$Z350-2000)=0,"",INDEX(周转筐出入库明细!$P$4:$P$2004,$Z350-2000)),IF($Z350&lt;=5200,"",IF($Z350&lt;=5800,N(INDEX(次果筐明细!$L$4:$L$603,$Z350-5200))+N(INDEX(次果筐明细!$J$4:$J$603,$Z350-5200)),"")))))</f>
        <v/>
      </c>
      <c r="L350" s="24" t="str">
        <f>IF($Z350="","",IF($Z350&lt;=2000,IF(INDEX(包装物料出入库明细!$P$4:$P$2003,$Z350-0)=0,"",INDEX(包装物料出入库明细!$P$4:$P$2003,$Z350-0)),IF($Z350&lt;=4000,IF(INDEX(周转筐出入库明细!$Q$4:$Q$2004,$Z350-2000)=0,"",INDEX(周转筐出入库明细!$Q$4:$Q$2004,$Z350-2000)),IF($Z350&lt;=5200,"",IF($Z350&lt;=5800,IF(INDEX(次果筐明细!$M$4:$M$603,$Z350-5200)=0,"",INDEX(次果筐明细!$M$4:$M$603,$Z350-5200)),"")))))</f>
        <v/>
      </c>
      <c r="M350" s="37" t="str">
        <f>IF($Z350="","",IF($Z350&lt;=2000,IF(INDEX(包装物料出入库明细!$R$4:$R$2003,$Z350-0)=0,"",INDEX(包装物料出入库明细!$R$4:$R$2003,$Z350-0)),IF($Z350&lt;=4000,IF(INDEX(周转筐出入库明细!$W$4:$W$2004,$Z350-2000)=0,"",INDEX(周转筐出入库明细!$W$4:$W$2004,$Z350-2000)),IF($Z350&lt;=5200,IF(INDEX(客户自备加工筐明细!$L$4:$L$1203,$Z350-4000)=0,"",INDEX(客户自备加工筐明细!$L$4:$L$1203,$Z350-4000)),IF($Z350&lt;=5800,IF(INDEX(次果筐明细!$P$4:$P$603,$Z350-5200)=0,"",INDEX(次果筐明细!$P$4:$P$603,$Z350-5200)),"")))))</f>
        <v/>
      </c>
      <c r="N350" s="16" t="str">
        <f>IF($Z350="","",IF($Z350&lt;=2000,"",IF($Z350&lt;=4000,IF(INDEX(周转筐出入库明细!$D$4:$D$2004,$Z350-2000)=0,"",INDEX(周转筐出入库明细!$D$4:$D$2004,$Z350-2000)),IF($Z350&lt;=5200,IF(INDEX(客户自备加工筐明细!$C$4:$C$1203,$Z350-4000)=0,"",INDEX(客户自备加工筐明细!$C$4:$C$1203,$Z350-4000)),IF($Z350&lt;=5800,IF(INDEX(次果筐明细!$D$4:$D$603,$Z350-5200)=0,"",INDEX(次果筐明细!$D$4:$D$603,$Z350-5200)),"")))))</f>
        <v/>
      </c>
      <c r="O350" s="40" t="str">
        <f>IF($Z350="","",IF($Z350&lt;=2000,"",IF($Z350&lt;=4000,IF(N(INDEX(周转筐出入库明细!$J$4:$J$2004,$Z350-2000))+N(INDEX(周转筐出入库明细!$K$4:$K$2004,$Z350-2000))=0,"",N(INDEX(周转筐出入库明细!$J$4:$J$2004,$Z350-2000))+N(INDEX(周转筐出入库明细!$K$4:$K$2004,$Z350-2000))),IF($Z350&lt;=5200,IF(N(INDEX(客户自备加工筐明细!$G$4:$G$1203,$Z350-4000))=0,"",N(INDEX(客户自备加工筐明细!$G$4:$G$1203,$Z350-4000))),IF($Z350&lt;=5800,IF(ISNUMBER(SEARCH("退",INDEX(次果筐明细!$F$4:$F$603,$Z350-5200)&amp;"")),"",IF(N(INDEX(次果筐明细!$G$4:$G$603,$Z350-5200))=0,"",N(INDEX(次果筐明细!$G$4:$G$603,$Z350-5200)))),"")))))</f>
        <v/>
      </c>
      <c r="P350" s="40" t="str">
        <f>IF($Z350="","",IF($Z350&lt;=2000,"",IF($Z350&lt;=4000,IF(N(INDEX(周转筐出入库明细!$I$4:$I$2004,$Z350-2000))=0,"",N(INDEX(周转筐出入库明细!$I$4:$I$2004,$Z350-2000))),IF($Z350&lt;=5200,"",IF($Z350&lt;=5800,IF(ISNUMBER(SEARCH("退",INDEX(次果筐明细!$F$4:$F$603,$Z350-5200)&amp;"")),IF(N(INDEX(次果筐明细!$G$4:$G$603,$Z350-5200))=0,"",N(INDEX(次果筐明细!$G$4:$G$603,$Z350-5200))),""),"")))))</f>
        <v/>
      </c>
      <c r="Q350" s="40" t="str">
        <f>IF($Z350="","",IF($Z350&lt;=2000,"",IF($Z350&lt;=4000,IF(N(INDEX(周转筐出入库明细!$H$4:$H$2004,$Z350-2000))=0,"",N(INDEX(周转筐出入库明细!$H$4:$H$2004,$Z350-2000))),IF($Z350&lt;=5200,IF(N(INDEX(客户自备加工筐明细!$F$4:$F$1203,$Z350-4000))=0,"",N(INDEX(客户自备加工筐明细!$F$4:$F$1203,$Z350-4000))),IF($Z350&lt;=5800,"","")))))</f>
        <v/>
      </c>
      <c r="R350" s="16" t="str">
        <f>IF($Z350="","",IF($Z350&lt;=2000,IF(INDEX(包装物料出入库明细!$O$4:$O$2003,$Z350-0)=0,"",INDEX(包装物料出入库明细!$O$4:$O$2003,$Z350-0)),IF($Z350&lt;=4000,IF(INDEX(周转筐出入库明细!$M$4:$M$2004,$Z350-2000)=0,"",INDEX(周转筐出入库明细!$M$4:$M$2004,$Z350-2000)),IF($Z350&lt;=5200,IF(INDEX(客户自备加工筐明细!$H$4:$H$1203,$Z350-4000)=0,"",INDEX(客户自备加工筐明细!$H$4:$H$1203,$Z350-4000)),IF($Z350&lt;=5800,IF(INDEX(次果筐明细!$H$4:$H$603,$Z350-5200)=0,"",INDEX(次果筐明细!$H$4:$H$603,$Z350-5200)),"")))))</f>
        <v/>
      </c>
      <c r="S350" s="22" t="str">
        <f t="shared" si="17"/>
        <v/>
      </c>
      <c r="Z350" s="10" t="str">
        <f>IFERROR(MATCH(ROW()-3,_自动清单!$CQ$4:$CQ$5803,0),"")</f>
        <v/>
      </c>
    </row>
    <row r="351" spans="1:26">
      <c r="A351" s="24" t="str">
        <f t="shared" si="15"/>
        <v/>
      </c>
      <c r="B351" s="38" t="str">
        <f>IF($Z351="","",IF($Z351&lt;=2000,IF(INDEX(包装物料出入库明细!$B$4:$B$2003,$Z351-0)=0,"",INDEX(包装物料出入库明细!$B$4:$B$2003,$Z351-0)),IF($Z351&lt;=4000,IF(INDEX(周转筐出入库明细!$B$4:$B$2004,$Z351-2000)=0,"",INDEX(周转筐出入库明细!$B$4:$B$2004,$Z351-2000)),IF($Z351&lt;=5200,IF(INDEX(客户自备加工筐明细!$B$4:$B$1203,$Z351-4000)=0,"",INDEX(客户自备加工筐明细!$B$4:$B$1203,$Z351-4000)),IF($Z351&lt;=5800,IF(INDEX(次果筐明细!$B$4:$B$603,$Z351-5200)=0,"",INDEX(次果筐明细!$B$4:$B$603,$Z351-5200)),"")))))</f>
        <v/>
      </c>
      <c r="C351" s="37" t="str">
        <f>IF($Z351="","",IF($Z351&lt;=2000,IF(INDEX(包装物料出入库明细!$D$4:$D$2003,$Z351-0)=0,"",INDEX(包装物料出入库明细!$D$4:$D$2003,$Z351-0)),IF($Z351&lt;=4000,IF(INDEX(周转筐出入库明细!$C$4:$C$2004,$Z351-2000)=0,"",INDEX(周转筐出入库明细!$C$4:$C$2004,$Z351-2000)),IF($Z351&lt;=5200,IF(INDEX(客户自备加工筐明细!$E$4:$E$1203,$Z351-4000)=0,"",INDEX(客户自备加工筐明细!$E$4:$E$1203,$Z351-4000)),IF($Z351&lt;=5800,IF(INDEX(次果筐明细!$C$4:$C$603,$Z351-5200)=0,"",INDEX(次果筐明细!$C$4:$C$603,$Z351-5200)),"")))))</f>
        <v/>
      </c>
      <c r="D351" s="37" t="str">
        <f>IF($Z351="","",IF($Z351&lt;=2000,"包装物料－"&amp;INDEX(包装物料出入库明细!$H$4:$H$2003,$Z351-0),IF($Z351&lt;=4000,"周转筐－"&amp;INDEX(周转筐出入库明细!$F$4:$F$2004,$Z351-2000),IF($Z351&lt;=5200,"客户自备筐－"&amp;INDEX(客户自备加工筐明细!$J$4:$J$1203,$Z351-4000),IF($Z351&lt;=5800,"次果筐/托盘－"&amp;INDEX(次果筐明细!$F$4:$F$603,$Z351-5200),"")))))</f>
        <v/>
      </c>
      <c r="E351" s="24" t="str">
        <f>IF($Z351="","",IF($Z351&lt;=2000,IF(INDEX(包装物料出入库明细!$C$4:$C$2003,$Z351-0)=0,"",INDEX(包装物料出入库明细!$C$4:$C$2003,$Z351-0)),IF($Z351&lt;=4000,IF(INDEX(周转筐出入库明细!$E$4:$E$2004,$Z351-2000)=0,"",INDEX(周转筐出入库明细!$E$4:$E$2004,$Z351-2000)),IF($Z351&lt;=5200,IF(INDEX(客户自备加工筐明细!$D$4:$D$1203,$Z351-4000)=0,"",INDEX(客户自备加工筐明细!$D$4:$D$1203,$Z351-4000)),IF($Z351&lt;=5800,IF(INDEX(次果筐明细!$E$4:$E$603,$Z351-5200)=0,"",INDEX(次果筐明细!$E$4:$E$603,$Z351-5200)),"")))))</f>
        <v/>
      </c>
      <c r="F351" s="24" t="str">
        <f>IF($Z351="","",IF($Z351&lt;=2000,IF(INDEX(包装物料出入库明细!$E$4:$E$2003,$Z351-0)=0,"",INDEX(包装物料出入库明细!$E$4:$E$2003,$Z351-0)),IF($Z351&lt;=4000,IF(INDEX(周转筐出入库明细!$D$4:$D$2004,$Z351-2000)=0,"",INDEX(周转筐出入库明细!$D$4:$D$2004,$Z351-2000)),IF($Z351&lt;=5200,IF(INDEX(客户自备加工筐明细!$C$4:$C$1203,$Z351-4000)=0,"",INDEX(客户自备加工筐明细!$C$4:$C$1203,$Z351-4000)),IF($Z351&lt;=5800,IF(INDEX(次果筐明细!$D$4:$D$603,$Z351-5200)=0,"",INDEX(次果筐明细!$D$4:$D$603,$Z351-5200)),"")))))</f>
        <v/>
      </c>
      <c r="G351" s="24" t="str">
        <f>IF($Z351="","",IF($Z351&lt;=2000,IF(INDEX(包装物料出入库明细!$F$4:$F$2003,$Z351-0)=0,"",INDEX(包装物料出入库明细!$F$4:$F$2003,$Z351-0)),IF($Z351&lt;=4000,"",IF($Z351&lt;=5200,"",IF($Z351&lt;=5800,"","")))))</f>
        <v/>
      </c>
      <c r="H351" s="39" t="str">
        <f>IF($Z351="","",IF($Z351&lt;=2000,IF(INDEX(包装物料出入库明细!$L$4:$L$2003,$Z351-0)=0,"",INDEX(包装物料出入库明细!$L$4:$L$2003,$Z351-0)),IF($Z351&lt;=4000,N(INDEX(周转筐出入库明细!$H$4:$H$2004,$Z351-2000))+N(INDEX(周转筐出入库明细!$I$4:$I$2004,$Z351-2000))+N(INDEX(周转筐出入库明细!$J$4:$J$2004,$Z351-2000))+N(INDEX(周转筐出入库明细!$K$4:$K$2004,$Z351-2000)),IF($Z351&lt;=5200,N(INDEX(客户自备加工筐明细!$F$4:$F$1203,$Z351-4000))+N(INDEX(客户自备加工筐明细!$G$4:$G$1203,$Z351-4000)),IF($Z351&lt;=5800,IF(INDEX(次果筐明细!$G$4:$G$603,$Z351-5200)=0,"",INDEX(次果筐明细!$G$4:$G$603,$Z351-5200)),"")))))</f>
        <v/>
      </c>
      <c r="I351" s="24" t="str">
        <f>IF($Z351="","",IF($Z351&lt;=2000,IF(INDEX(包装物料出入库明细!$G$4:$G$2003,$Z351-0)=0,"",INDEX(包装物料出入库明细!$G$4:$G$2003,$Z351-0)),IF($Z351&lt;=4000,"个",IF($Z351&lt;=5200,"个",IF($Z351&lt;=5800,"个","")))))</f>
        <v/>
      </c>
      <c r="J351" s="30" t="str">
        <f t="shared" si="16"/>
        <v/>
      </c>
      <c r="K351" s="30" t="str">
        <f>IF($Z351="","",IF($Z351&lt;=2000,IF(INDEX(包装物料出入库明细!$N$4:$N$2003,$Z351-0)=0,"",INDEX(包装物料出入库明细!$N$4:$N$2003,$Z351-0)),IF($Z351&lt;=4000,IF(INDEX(周转筐出入库明细!$P$4:$P$2004,$Z351-2000)=0,"",INDEX(周转筐出入库明细!$P$4:$P$2004,$Z351-2000)),IF($Z351&lt;=5200,"",IF($Z351&lt;=5800,N(INDEX(次果筐明细!$L$4:$L$603,$Z351-5200))+N(INDEX(次果筐明细!$J$4:$J$603,$Z351-5200)),"")))))</f>
        <v/>
      </c>
      <c r="L351" s="24" t="str">
        <f>IF($Z351="","",IF($Z351&lt;=2000,IF(INDEX(包装物料出入库明细!$P$4:$P$2003,$Z351-0)=0,"",INDEX(包装物料出入库明细!$P$4:$P$2003,$Z351-0)),IF($Z351&lt;=4000,IF(INDEX(周转筐出入库明细!$Q$4:$Q$2004,$Z351-2000)=0,"",INDEX(周转筐出入库明细!$Q$4:$Q$2004,$Z351-2000)),IF($Z351&lt;=5200,"",IF($Z351&lt;=5800,IF(INDEX(次果筐明细!$M$4:$M$603,$Z351-5200)=0,"",INDEX(次果筐明细!$M$4:$M$603,$Z351-5200)),"")))))</f>
        <v/>
      </c>
      <c r="M351" s="37" t="str">
        <f>IF($Z351="","",IF($Z351&lt;=2000,IF(INDEX(包装物料出入库明细!$R$4:$R$2003,$Z351-0)=0,"",INDEX(包装物料出入库明细!$R$4:$R$2003,$Z351-0)),IF($Z351&lt;=4000,IF(INDEX(周转筐出入库明细!$W$4:$W$2004,$Z351-2000)=0,"",INDEX(周转筐出入库明细!$W$4:$W$2004,$Z351-2000)),IF($Z351&lt;=5200,IF(INDEX(客户自备加工筐明细!$L$4:$L$1203,$Z351-4000)=0,"",INDEX(客户自备加工筐明细!$L$4:$L$1203,$Z351-4000)),IF($Z351&lt;=5800,IF(INDEX(次果筐明细!$P$4:$P$603,$Z351-5200)=0,"",INDEX(次果筐明细!$P$4:$P$603,$Z351-5200)),"")))))</f>
        <v/>
      </c>
      <c r="N351" s="16" t="str">
        <f>IF($Z351="","",IF($Z351&lt;=2000,"",IF($Z351&lt;=4000,IF(INDEX(周转筐出入库明细!$D$4:$D$2004,$Z351-2000)=0,"",INDEX(周转筐出入库明细!$D$4:$D$2004,$Z351-2000)),IF($Z351&lt;=5200,IF(INDEX(客户自备加工筐明细!$C$4:$C$1203,$Z351-4000)=0,"",INDEX(客户自备加工筐明细!$C$4:$C$1203,$Z351-4000)),IF($Z351&lt;=5800,IF(INDEX(次果筐明细!$D$4:$D$603,$Z351-5200)=0,"",INDEX(次果筐明细!$D$4:$D$603,$Z351-5200)),"")))))</f>
        <v/>
      </c>
      <c r="O351" s="40" t="str">
        <f>IF($Z351="","",IF($Z351&lt;=2000,"",IF($Z351&lt;=4000,IF(N(INDEX(周转筐出入库明细!$J$4:$J$2004,$Z351-2000))+N(INDEX(周转筐出入库明细!$K$4:$K$2004,$Z351-2000))=0,"",N(INDEX(周转筐出入库明细!$J$4:$J$2004,$Z351-2000))+N(INDEX(周转筐出入库明细!$K$4:$K$2004,$Z351-2000))),IF($Z351&lt;=5200,IF(N(INDEX(客户自备加工筐明细!$G$4:$G$1203,$Z351-4000))=0,"",N(INDEX(客户自备加工筐明细!$G$4:$G$1203,$Z351-4000))),IF($Z351&lt;=5800,IF(ISNUMBER(SEARCH("退",INDEX(次果筐明细!$F$4:$F$603,$Z351-5200)&amp;"")),"",IF(N(INDEX(次果筐明细!$G$4:$G$603,$Z351-5200))=0,"",N(INDEX(次果筐明细!$G$4:$G$603,$Z351-5200)))),"")))))</f>
        <v/>
      </c>
      <c r="P351" s="40" t="str">
        <f>IF($Z351="","",IF($Z351&lt;=2000,"",IF($Z351&lt;=4000,IF(N(INDEX(周转筐出入库明细!$I$4:$I$2004,$Z351-2000))=0,"",N(INDEX(周转筐出入库明细!$I$4:$I$2004,$Z351-2000))),IF($Z351&lt;=5200,"",IF($Z351&lt;=5800,IF(ISNUMBER(SEARCH("退",INDEX(次果筐明细!$F$4:$F$603,$Z351-5200)&amp;"")),IF(N(INDEX(次果筐明细!$G$4:$G$603,$Z351-5200))=0,"",N(INDEX(次果筐明细!$G$4:$G$603,$Z351-5200))),""),"")))))</f>
        <v/>
      </c>
      <c r="Q351" s="40" t="str">
        <f>IF($Z351="","",IF($Z351&lt;=2000,"",IF($Z351&lt;=4000,IF(N(INDEX(周转筐出入库明细!$H$4:$H$2004,$Z351-2000))=0,"",N(INDEX(周转筐出入库明细!$H$4:$H$2004,$Z351-2000))),IF($Z351&lt;=5200,IF(N(INDEX(客户自备加工筐明细!$F$4:$F$1203,$Z351-4000))=0,"",N(INDEX(客户自备加工筐明细!$F$4:$F$1203,$Z351-4000))),IF($Z351&lt;=5800,"","")))))</f>
        <v/>
      </c>
      <c r="R351" s="16" t="str">
        <f>IF($Z351="","",IF($Z351&lt;=2000,IF(INDEX(包装物料出入库明细!$O$4:$O$2003,$Z351-0)=0,"",INDEX(包装物料出入库明细!$O$4:$O$2003,$Z351-0)),IF($Z351&lt;=4000,IF(INDEX(周转筐出入库明细!$M$4:$M$2004,$Z351-2000)=0,"",INDEX(周转筐出入库明细!$M$4:$M$2004,$Z351-2000)),IF($Z351&lt;=5200,IF(INDEX(客户自备加工筐明细!$H$4:$H$1203,$Z351-4000)=0,"",INDEX(客户自备加工筐明细!$H$4:$H$1203,$Z351-4000)),IF($Z351&lt;=5800,IF(INDEX(次果筐明细!$H$4:$H$603,$Z351-5200)=0,"",INDEX(次果筐明细!$H$4:$H$603,$Z351-5200)),"")))))</f>
        <v/>
      </c>
      <c r="S351" s="22" t="str">
        <f t="shared" si="17"/>
        <v/>
      </c>
      <c r="Z351" s="10" t="str">
        <f>IFERROR(MATCH(ROW()-3,_自动清单!$CQ$4:$CQ$5803,0),"")</f>
        <v/>
      </c>
    </row>
    <row r="352" spans="1:26">
      <c r="A352" s="24" t="str">
        <f t="shared" si="15"/>
        <v/>
      </c>
      <c r="B352" s="38" t="str">
        <f>IF($Z352="","",IF($Z352&lt;=2000,IF(INDEX(包装物料出入库明细!$B$4:$B$2003,$Z352-0)=0,"",INDEX(包装物料出入库明细!$B$4:$B$2003,$Z352-0)),IF($Z352&lt;=4000,IF(INDEX(周转筐出入库明细!$B$4:$B$2004,$Z352-2000)=0,"",INDEX(周转筐出入库明细!$B$4:$B$2004,$Z352-2000)),IF($Z352&lt;=5200,IF(INDEX(客户自备加工筐明细!$B$4:$B$1203,$Z352-4000)=0,"",INDEX(客户自备加工筐明细!$B$4:$B$1203,$Z352-4000)),IF($Z352&lt;=5800,IF(INDEX(次果筐明细!$B$4:$B$603,$Z352-5200)=0,"",INDEX(次果筐明细!$B$4:$B$603,$Z352-5200)),"")))))</f>
        <v/>
      </c>
      <c r="C352" s="37" t="str">
        <f>IF($Z352="","",IF($Z352&lt;=2000,IF(INDEX(包装物料出入库明细!$D$4:$D$2003,$Z352-0)=0,"",INDEX(包装物料出入库明细!$D$4:$D$2003,$Z352-0)),IF($Z352&lt;=4000,IF(INDEX(周转筐出入库明细!$C$4:$C$2004,$Z352-2000)=0,"",INDEX(周转筐出入库明细!$C$4:$C$2004,$Z352-2000)),IF($Z352&lt;=5200,IF(INDEX(客户自备加工筐明细!$E$4:$E$1203,$Z352-4000)=0,"",INDEX(客户自备加工筐明细!$E$4:$E$1203,$Z352-4000)),IF($Z352&lt;=5800,IF(INDEX(次果筐明细!$C$4:$C$603,$Z352-5200)=0,"",INDEX(次果筐明细!$C$4:$C$603,$Z352-5200)),"")))))</f>
        <v/>
      </c>
      <c r="D352" s="37" t="str">
        <f>IF($Z352="","",IF($Z352&lt;=2000,"包装物料－"&amp;INDEX(包装物料出入库明细!$H$4:$H$2003,$Z352-0),IF($Z352&lt;=4000,"周转筐－"&amp;INDEX(周转筐出入库明细!$F$4:$F$2004,$Z352-2000),IF($Z352&lt;=5200,"客户自备筐－"&amp;INDEX(客户自备加工筐明细!$J$4:$J$1203,$Z352-4000),IF($Z352&lt;=5800,"次果筐/托盘－"&amp;INDEX(次果筐明细!$F$4:$F$603,$Z352-5200),"")))))</f>
        <v/>
      </c>
      <c r="E352" s="24" t="str">
        <f>IF($Z352="","",IF($Z352&lt;=2000,IF(INDEX(包装物料出入库明细!$C$4:$C$2003,$Z352-0)=0,"",INDEX(包装物料出入库明细!$C$4:$C$2003,$Z352-0)),IF($Z352&lt;=4000,IF(INDEX(周转筐出入库明细!$E$4:$E$2004,$Z352-2000)=0,"",INDEX(周转筐出入库明细!$E$4:$E$2004,$Z352-2000)),IF($Z352&lt;=5200,IF(INDEX(客户自备加工筐明细!$D$4:$D$1203,$Z352-4000)=0,"",INDEX(客户自备加工筐明细!$D$4:$D$1203,$Z352-4000)),IF($Z352&lt;=5800,IF(INDEX(次果筐明细!$E$4:$E$603,$Z352-5200)=0,"",INDEX(次果筐明细!$E$4:$E$603,$Z352-5200)),"")))))</f>
        <v/>
      </c>
      <c r="F352" s="24" t="str">
        <f>IF($Z352="","",IF($Z352&lt;=2000,IF(INDEX(包装物料出入库明细!$E$4:$E$2003,$Z352-0)=0,"",INDEX(包装物料出入库明细!$E$4:$E$2003,$Z352-0)),IF($Z352&lt;=4000,IF(INDEX(周转筐出入库明细!$D$4:$D$2004,$Z352-2000)=0,"",INDEX(周转筐出入库明细!$D$4:$D$2004,$Z352-2000)),IF($Z352&lt;=5200,IF(INDEX(客户自备加工筐明细!$C$4:$C$1203,$Z352-4000)=0,"",INDEX(客户自备加工筐明细!$C$4:$C$1203,$Z352-4000)),IF($Z352&lt;=5800,IF(INDEX(次果筐明细!$D$4:$D$603,$Z352-5200)=0,"",INDEX(次果筐明细!$D$4:$D$603,$Z352-5200)),"")))))</f>
        <v/>
      </c>
      <c r="G352" s="24" t="str">
        <f>IF($Z352="","",IF($Z352&lt;=2000,IF(INDEX(包装物料出入库明细!$F$4:$F$2003,$Z352-0)=0,"",INDEX(包装物料出入库明细!$F$4:$F$2003,$Z352-0)),IF($Z352&lt;=4000,"",IF($Z352&lt;=5200,"",IF($Z352&lt;=5800,"","")))))</f>
        <v/>
      </c>
      <c r="H352" s="39" t="str">
        <f>IF($Z352="","",IF($Z352&lt;=2000,IF(INDEX(包装物料出入库明细!$L$4:$L$2003,$Z352-0)=0,"",INDEX(包装物料出入库明细!$L$4:$L$2003,$Z352-0)),IF($Z352&lt;=4000,N(INDEX(周转筐出入库明细!$H$4:$H$2004,$Z352-2000))+N(INDEX(周转筐出入库明细!$I$4:$I$2004,$Z352-2000))+N(INDEX(周转筐出入库明细!$J$4:$J$2004,$Z352-2000))+N(INDEX(周转筐出入库明细!$K$4:$K$2004,$Z352-2000)),IF($Z352&lt;=5200,N(INDEX(客户自备加工筐明细!$F$4:$F$1203,$Z352-4000))+N(INDEX(客户自备加工筐明细!$G$4:$G$1203,$Z352-4000)),IF($Z352&lt;=5800,IF(INDEX(次果筐明细!$G$4:$G$603,$Z352-5200)=0,"",INDEX(次果筐明细!$G$4:$G$603,$Z352-5200)),"")))))</f>
        <v/>
      </c>
      <c r="I352" s="24" t="str">
        <f>IF($Z352="","",IF($Z352&lt;=2000,IF(INDEX(包装物料出入库明细!$G$4:$G$2003,$Z352-0)=0,"",INDEX(包装物料出入库明细!$G$4:$G$2003,$Z352-0)),IF($Z352&lt;=4000,"个",IF($Z352&lt;=5200,"个",IF($Z352&lt;=5800,"个","")))))</f>
        <v/>
      </c>
      <c r="J352" s="30" t="str">
        <f t="shared" si="16"/>
        <v/>
      </c>
      <c r="K352" s="30" t="str">
        <f>IF($Z352="","",IF($Z352&lt;=2000,IF(INDEX(包装物料出入库明细!$N$4:$N$2003,$Z352-0)=0,"",INDEX(包装物料出入库明细!$N$4:$N$2003,$Z352-0)),IF($Z352&lt;=4000,IF(INDEX(周转筐出入库明细!$P$4:$P$2004,$Z352-2000)=0,"",INDEX(周转筐出入库明细!$P$4:$P$2004,$Z352-2000)),IF($Z352&lt;=5200,"",IF($Z352&lt;=5800,N(INDEX(次果筐明细!$L$4:$L$603,$Z352-5200))+N(INDEX(次果筐明细!$J$4:$J$603,$Z352-5200)),"")))))</f>
        <v/>
      </c>
      <c r="L352" s="24" t="str">
        <f>IF($Z352="","",IF($Z352&lt;=2000,IF(INDEX(包装物料出入库明细!$P$4:$P$2003,$Z352-0)=0,"",INDEX(包装物料出入库明细!$P$4:$P$2003,$Z352-0)),IF($Z352&lt;=4000,IF(INDEX(周转筐出入库明细!$Q$4:$Q$2004,$Z352-2000)=0,"",INDEX(周转筐出入库明细!$Q$4:$Q$2004,$Z352-2000)),IF($Z352&lt;=5200,"",IF($Z352&lt;=5800,IF(INDEX(次果筐明细!$M$4:$M$603,$Z352-5200)=0,"",INDEX(次果筐明细!$M$4:$M$603,$Z352-5200)),"")))))</f>
        <v/>
      </c>
      <c r="M352" s="37" t="str">
        <f>IF($Z352="","",IF($Z352&lt;=2000,IF(INDEX(包装物料出入库明细!$R$4:$R$2003,$Z352-0)=0,"",INDEX(包装物料出入库明细!$R$4:$R$2003,$Z352-0)),IF($Z352&lt;=4000,IF(INDEX(周转筐出入库明细!$W$4:$W$2004,$Z352-2000)=0,"",INDEX(周转筐出入库明细!$W$4:$W$2004,$Z352-2000)),IF($Z352&lt;=5200,IF(INDEX(客户自备加工筐明细!$L$4:$L$1203,$Z352-4000)=0,"",INDEX(客户自备加工筐明细!$L$4:$L$1203,$Z352-4000)),IF($Z352&lt;=5800,IF(INDEX(次果筐明细!$P$4:$P$603,$Z352-5200)=0,"",INDEX(次果筐明细!$P$4:$P$603,$Z352-5200)),"")))))</f>
        <v/>
      </c>
      <c r="N352" s="16" t="str">
        <f>IF($Z352="","",IF($Z352&lt;=2000,"",IF($Z352&lt;=4000,IF(INDEX(周转筐出入库明细!$D$4:$D$2004,$Z352-2000)=0,"",INDEX(周转筐出入库明细!$D$4:$D$2004,$Z352-2000)),IF($Z352&lt;=5200,IF(INDEX(客户自备加工筐明细!$C$4:$C$1203,$Z352-4000)=0,"",INDEX(客户自备加工筐明细!$C$4:$C$1203,$Z352-4000)),IF($Z352&lt;=5800,IF(INDEX(次果筐明细!$D$4:$D$603,$Z352-5200)=0,"",INDEX(次果筐明细!$D$4:$D$603,$Z352-5200)),"")))))</f>
        <v/>
      </c>
      <c r="O352" s="40" t="str">
        <f>IF($Z352="","",IF($Z352&lt;=2000,"",IF($Z352&lt;=4000,IF(N(INDEX(周转筐出入库明细!$J$4:$J$2004,$Z352-2000))+N(INDEX(周转筐出入库明细!$K$4:$K$2004,$Z352-2000))=0,"",N(INDEX(周转筐出入库明细!$J$4:$J$2004,$Z352-2000))+N(INDEX(周转筐出入库明细!$K$4:$K$2004,$Z352-2000))),IF($Z352&lt;=5200,IF(N(INDEX(客户自备加工筐明细!$G$4:$G$1203,$Z352-4000))=0,"",N(INDEX(客户自备加工筐明细!$G$4:$G$1203,$Z352-4000))),IF($Z352&lt;=5800,IF(ISNUMBER(SEARCH("退",INDEX(次果筐明细!$F$4:$F$603,$Z352-5200)&amp;"")),"",IF(N(INDEX(次果筐明细!$G$4:$G$603,$Z352-5200))=0,"",N(INDEX(次果筐明细!$G$4:$G$603,$Z352-5200)))),"")))))</f>
        <v/>
      </c>
      <c r="P352" s="40" t="str">
        <f>IF($Z352="","",IF($Z352&lt;=2000,"",IF($Z352&lt;=4000,IF(N(INDEX(周转筐出入库明细!$I$4:$I$2004,$Z352-2000))=0,"",N(INDEX(周转筐出入库明细!$I$4:$I$2004,$Z352-2000))),IF($Z352&lt;=5200,"",IF($Z352&lt;=5800,IF(ISNUMBER(SEARCH("退",INDEX(次果筐明细!$F$4:$F$603,$Z352-5200)&amp;"")),IF(N(INDEX(次果筐明细!$G$4:$G$603,$Z352-5200))=0,"",N(INDEX(次果筐明细!$G$4:$G$603,$Z352-5200))),""),"")))))</f>
        <v/>
      </c>
      <c r="Q352" s="40" t="str">
        <f>IF($Z352="","",IF($Z352&lt;=2000,"",IF($Z352&lt;=4000,IF(N(INDEX(周转筐出入库明细!$H$4:$H$2004,$Z352-2000))=0,"",N(INDEX(周转筐出入库明细!$H$4:$H$2004,$Z352-2000))),IF($Z352&lt;=5200,IF(N(INDEX(客户自备加工筐明细!$F$4:$F$1203,$Z352-4000))=0,"",N(INDEX(客户自备加工筐明细!$F$4:$F$1203,$Z352-4000))),IF($Z352&lt;=5800,"","")))))</f>
        <v/>
      </c>
      <c r="R352" s="16" t="str">
        <f>IF($Z352="","",IF($Z352&lt;=2000,IF(INDEX(包装物料出入库明细!$O$4:$O$2003,$Z352-0)=0,"",INDEX(包装物料出入库明细!$O$4:$O$2003,$Z352-0)),IF($Z352&lt;=4000,IF(INDEX(周转筐出入库明细!$M$4:$M$2004,$Z352-2000)=0,"",INDEX(周转筐出入库明细!$M$4:$M$2004,$Z352-2000)),IF($Z352&lt;=5200,IF(INDEX(客户自备加工筐明细!$H$4:$H$1203,$Z352-4000)=0,"",INDEX(客户自备加工筐明细!$H$4:$H$1203,$Z352-4000)),IF($Z352&lt;=5800,IF(INDEX(次果筐明细!$H$4:$H$603,$Z352-5200)=0,"",INDEX(次果筐明细!$H$4:$H$603,$Z352-5200)),"")))))</f>
        <v/>
      </c>
      <c r="S352" s="22" t="str">
        <f t="shared" si="17"/>
        <v/>
      </c>
      <c r="Z352" s="10" t="str">
        <f>IFERROR(MATCH(ROW()-3,_自动清单!$CQ$4:$CQ$5803,0),"")</f>
        <v/>
      </c>
    </row>
    <row r="353" spans="1:26">
      <c r="A353" s="24" t="str">
        <f t="shared" si="15"/>
        <v/>
      </c>
      <c r="B353" s="38" t="str">
        <f>IF($Z353="","",IF($Z353&lt;=2000,IF(INDEX(包装物料出入库明细!$B$4:$B$2003,$Z353-0)=0,"",INDEX(包装物料出入库明细!$B$4:$B$2003,$Z353-0)),IF($Z353&lt;=4000,IF(INDEX(周转筐出入库明细!$B$4:$B$2004,$Z353-2000)=0,"",INDEX(周转筐出入库明细!$B$4:$B$2004,$Z353-2000)),IF($Z353&lt;=5200,IF(INDEX(客户自备加工筐明细!$B$4:$B$1203,$Z353-4000)=0,"",INDEX(客户自备加工筐明细!$B$4:$B$1203,$Z353-4000)),IF($Z353&lt;=5800,IF(INDEX(次果筐明细!$B$4:$B$603,$Z353-5200)=0,"",INDEX(次果筐明细!$B$4:$B$603,$Z353-5200)),"")))))</f>
        <v/>
      </c>
      <c r="C353" s="37" t="str">
        <f>IF($Z353="","",IF($Z353&lt;=2000,IF(INDEX(包装物料出入库明细!$D$4:$D$2003,$Z353-0)=0,"",INDEX(包装物料出入库明细!$D$4:$D$2003,$Z353-0)),IF($Z353&lt;=4000,IF(INDEX(周转筐出入库明细!$C$4:$C$2004,$Z353-2000)=0,"",INDEX(周转筐出入库明细!$C$4:$C$2004,$Z353-2000)),IF($Z353&lt;=5200,IF(INDEX(客户自备加工筐明细!$E$4:$E$1203,$Z353-4000)=0,"",INDEX(客户自备加工筐明细!$E$4:$E$1203,$Z353-4000)),IF($Z353&lt;=5800,IF(INDEX(次果筐明细!$C$4:$C$603,$Z353-5200)=0,"",INDEX(次果筐明细!$C$4:$C$603,$Z353-5200)),"")))))</f>
        <v/>
      </c>
      <c r="D353" s="37" t="str">
        <f>IF($Z353="","",IF($Z353&lt;=2000,"包装物料－"&amp;INDEX(包装物料出入库明细!$H$4:$H$2003,$Z353-0),IF($Z353&lt;=4000,"周转筐－"&amp;INDEX(周转筐出入库明细!$F$4:$F$2004,$Z353-2000),IF($Z353&lt;=5200,"客户自备筐－"&amp;INDEX(客户自备加工筐明细!$J$4:$J$1203,$Z353-4000),IF($Z353&lt;=5800,"次果筐/托盘－"&amp;INDEX(次果筐明细!$F$4:$F$603,$Z353-5200),"")))))</f>
        <v/>
      </c>
      <c r="E353" s="24" t="str">
        <f>IF($Z353="","",IF($Z353&lt;=2000,IF(INDEX(包装物料出入库明细!$C$4:$C$2003,$Z353-0)=0,"",INDEX(包装物料出入库明细!$C$4:$C$2003,$Z353-0)),IF($Z353&lt;=4000,IF(INDEX(周转筐出入库明细!$E$4:$E$2004,$Z353-2000)=0,"",INDEX(周转筐出入库明细!$E$4:$E$2004,$Z353-2000)),IF($Z353&lt;=5200,IF(INDEX(客户自备加工筐明细!$D$4:$D$1203,$Z353-4000)=0,"",INDEX(客户自备加工筐明细!$D$4:$D$1203,$Z353-4000)),IF($Z353&lt;=5800,IF(INDEX(次果筐明细!$E$4:$E$603,$Z353-5200)=0,"",INDEX(次果筐明细!$E$4:$E$603,$Z353-5200)),"")))))</f>
        <v/>
      </c>
      <c r="F353" s="24" t="str">
        <f>IF($Z353="","",IF($Z353&lt;=2000,IF(INDEX(包装物料出入库明细!$E$4:$E$2003,$Z353-0)=0,"",INDEX(包装物料出入库明细!$E$4:$E$2003,$Z353-0)),IF($Z353&lt;=4000,IF(INDEX(周转筐出入库明细!$D$4:$D$2004,$Z353-2000)=0,"",INDEX(周转筐出入库明细!$D$4:$D$2004,$Z353-2000)),IF($Z353&lt;=5200,IF(INDEX(客户自备加工筐明细!$C$4:$C$1203,$Z353-4000)=0,"",INDEX(客户自备加工筐明细!$C$4:$C$1203,$Z353-4000)),IF($Z353&lt;=5800,IF(INDEX(次果筐明细!$D$4:$D$603,$Z353-5200)=0,"",INDEX(次果筐明细!$D$4:$D$603,$Z353-5200)),"")))))</f>
        <v/>
      </c>
      <c r="G353" s="24" t="str">
        <f>IF($Z353="","",IF($Z353&lt;=2000,IF(INDEX(包装物料出入库明细!$F$4:$F$2003,$Z353-0)=0,"",INDEX(包装物料出入库明细!$F$4:$F$2003,$Z353-0)),IF($Z353&lt;=4000,"",IF($Z353&lt;=5200,"",IF($Z353&lt;=5800,"","")))))</f>
        <v/>
      </c>
      <c r="H353" s="39" t="str">
        <f>IF($Z353="","",IF($Z353&lt;=2000,IF(INDEX(包装物料出入库明细!$L$4:$L$2003,$Z353-0)=0,"",INDEX(包装物料出入库明细!$L$4:$L$2003,$Z353-0)),IF($Z353&lt;=4000,N(INDEX(周转筐出入库明细!$H$4:$H$2004,$Z353-2000))+N(INDEX(周转筐出入库明细!$I$4:$I$2004,$Z353-2000))+N(INDEX(周转筐出入库明细!$J$4:$J$2004,$Z353-2000))+N(INDEX(周转筐出入库明细!$K$4:$K$2004,$Z353-2000)),IF($Z353&lt;=5200,N(INDEX(客户自备加工筐明细!$F$4:$F$1203,$Z353-4000))+N(INDEX(客户自备加工筐明细!$G$4:$G$1203,$Z353-4000)),IF($Z353&lt;=5800,IF(INDEX(次果筐明细!$G$4:$G$603,$Z353-5200)=0,"",INDEX(次果筐明细!$G$4:$G$603,$Z353-5200)),"")))))</f>
        <v/>
      </c>
      <c r="I353" s="24" t="str">
        <f>IF($Z353="","",IF($Z353&lt;=2000,IF(INDEX(包装物料出入库明细!$G$4:$G$2003,$Z353-0)=0,"",INDEX(包装物料出入库明细!$G$4:$G$2003,$Z353-0)),IF($Z353&lt;=4000,"个",IF($Z353&lt;=5200,"个",IF($Z353&lt;=5800,"个","")))))</f>
        <v/>
      </c>
      <c r="J353" s="30" t="str">
        <f t="shared" si="16"/>
        <v/>
      </c>
      <c r="K353" s="30" t="str">
        <f>IF($Z353="","",IF($Z353&lt;=2000,IF(INDEX(包装物料出入库明细!$N$4:$N$2003,$Z353-0)=0,"",INDEX(包装物料出入库明细!$N$4:$N$2003,$Z353-0)),IF($Z353&lt;=4000,IF(INDEX(周转筐出入库明细!$P$4:$P$2004,$Z353-2000)=0,"",INDEX(周转筐出入库明细!$P$4:$P$2004,$Z353-2000)),IF($Z353&lt;=5200,"",IF($Z353&lt;=5800,N(INDEX(次果筐明细!$L$4:$L$603,$Z353-5200))+N(INDEX(次果筐明细!$J$4:$J$603,$Z353-5200)),"")))))</f>
        <v/>
      </c>
      <c r="L353" s="24" t="str">
        <f>IF($Z353="","",IF($Z353&lt;=2000,IF(INDEX(包装物料出入库明细!$P$4:$P$2003,$Z353-0)=0,"",INDEX(包装物料出入库明细!$P$4:$P$2003,$Z353-0)),IF($Z353&lt;=4000,IF(INDEX(周转筐出入库明细!$Q$4:$Q$2004,$Z353-2000)=0,"",INDEX(周转筐出入库明细!$Q$4:$Q$2004,$Z353-2000)),IF($Z353&lt;=5200,"",IF($Z353&lt;=5800,IF(INDEX(次果筐明细!$M$4:$M$603,$Z353-5200)=0,"",INDEX(次果筐明细!$M$4:$M$603,$Z353-5200)),"")))))</f>
        <v/>
      </c>
      <c r="M353" s="37" t="str">
        <f>IF($Z353="","",IF($Z353&lt;=2000,IF(INDEX(包装物料出入库明细!$R$4:$R$2003,$Z353-0)=0,"",INDEX(包装物料出入库明细!$R$4:$R$2003,$Z353-0)),IF($Z353&lt;=4000,IF(INDEX(周转筐出入库明细!$W$4:$W$2004,$Z353-2000)=0,"",INDEX(周转筐出入库明细!$W$4:$W$2004,$Z353-2000)),IF($Z353&lt;=5200,IF(INDEX(客户自备加工筐明细!$L$4:$L$1203,$Z353-4000)=0,"",INDEX(客户自备加工筐明细!$L$4:$L$1203,$Z353-4000)),IF($Z353&lt;=5800,IF(INDEX(次果筐明细!$P$4:$P$603,$Z353-5200)=0,"",INDEX(次果筐明细!$P$4:$P$603,$Z353-5200)),"")))))</f>
        <v/>
      </c>
      <c r="N353" s="16" t="str">
        <f>IF($Z353="","",IF($Z353&lt;=2000,"",IF($Z353&lt;=4000,IF(INDEX(周转筐出入库明细!$D$4:$D$2004,$Z353-2000)=0,"",INDEX(周转筐出入库明细!$D$4:$D$2004,$Z353-2000)),IF($Z353&lt;=5200,IF(INDEX(客户自备加工筐明细!$C$4:$C$1203,$Z353-4000)=0,"",INDEX(客户自备加工筐明细!$C$4:$C$1203,$Z353-4000)),IF($Z353&lt;=5800,IF(INDEX(次果筐明细!$D$4:$D$603,$Z353-5200)=0,"",INDEX(次果筐明细!$D$4:$D$603,$Z353-5200)),"")))))</f>
        <v/>
      </c>
      <c r="O353" s="40" t="str">
        <f>IF($Z353="","",IF($Z353&lt;=2000,"",IF($Z353&lt;=4000,IF(N(INDEX(周转筐出入库明细!$J$4:$J$2004,$Z353-2000))+N(INDEX(周转筐出入库明细!$K$4:$K$2004,$Z353-2000))=0,"",N(INDEX(周转筐出入库明细!$J$4:$J$2004,$Z353-2000))+N(INDEX(周转筐出入库明细!$K$4:$K$2004,$Z353-2000))),IF($Z353&lt;=5200,IF(N(INDEX(客户自备加工筐明细!$G$4:$G$1203,$Z353-4000))=0,"",N(INDEX(客户自备加工筐明细!$G$4:$G$1203,$Z353-4000))),IF($Z353&lt;=5800,IF(ISNUMBER(SEARCH("退",INDEX(次果筐明细!$F$4:$F$603,$Z353-5200)&amp;"")),"",IF(N(INDEX(次果筐明细!$G$4:$G$603,$Z353-5200))=0,"",N(INDEX(次果筐明细!$G$4:$G$603,$Z353-5200)))),"")))))</f>
        <v/>
      </c>
      <c r="P353" s="40" t="str">
        <f>IF($Z353="","",IF($Z353&lt;=2000,"",IF($Z353&lt;=4000,IF(N(INDEX(周转筐出入库明细!$I$4:$I$2004,$Z353-2000))=0,"",N(INDEX(周转筐出入库明细!$I$4:$I$2004,$Z353-2000))),IF($Z353&lt;=5200,"",IF($Z353&lt;=5800,IF(ISNUMBER(SEARCH("退",INDEX(次果筐明细!$F$4:$F$603,$Z353-5200)&amp;"")),IF(N(INDEX(次果筐明细!$G$4:$G$603,$Z353-5200))=0,"",N(INDEX(次果筐明细!$G$4:$G$603,$Z353-5200))),""),"")))))</f>
        <v/>
      </c>
      <c r="Q353" s="40" t="str">
        <f>IF($Z353="","",IF($Z353&lt;=2000,"",IF($Z353&lt;=4000,IF(N(INDEX(周转筐出入库明细!$H$4:$H$2004,$Z353-2000))=0,"",N(INDEX(周转筐出入库明细!$H$4:$H$2004,$Z353-2000))),IF($Z353&lt;=5200,IF(N(INDEX(客户自备加工筐明细!$F$4:$F$1203,$Z353-4000))=0,"",N(INDEX(客户自备加工筐明细!$F$4:$F$1203,$Z353-4000))),IF($Z353&lt;=5800,"","")))))</f>
        <v/>
      </c>
      <c r="R353" s="16" t="str">
        <f>IF($Z353="","",IF($Z353&lt;=2000,IF(INDEX(包装物料出入库明细!$O$4:$O$2003,$Z353-0)=0,"",INDEX(包装物料出入库明细!$O$4:$O$2003,$Z353-0)),IF($Z353&lt;=4000,IF(INDEX(周转筐出入库明细!$M$4:$M$2004,$Z353-2000)=0,"",INDEX(周转筐出入库明细!$M$4:$M$2004,$Z353-2000)),IF($Z353&lt;=5200,IF(INDEX(客户自备加工筐明细!$H$4:$H$1203,$Z353-4000)=0,"",INDEX(客户自备加工筐明细!$H$4:$H$1203,$Z353-4000)),IF($Z353&lt;=5800,IF(INDEX(次果筐明细!$H$4:$H$603,$Z353-5200)=0,"",INDEX(次果筐明细!$H$4:$H$603,$Z353-5200)),"")))))</f>
        <v/>
      </c>
      <c r="S353" s="22" t="str">
        <f t="shared" si="17"/>
        <v/>
      </c>
      <c r="Z353" s="10" t="str">
        <f>IFERROR(MATCH(ROW()-3,_自动清单!$CQ$4:$CQ$5803,0),"")</f>
        <v/>
      </c>
    </row>
    <row r="354" spans="1:26">
      <c r="A354" s="24" t="str">
        <f t="shared" si="15"/>
        <v/>
      </c>
      <c r="B354" s="38" t="str">
        <f>IF($Z354="","",IF($Z354&lt;=2000,IF(INDEX(包装物料出入库明细!$B$4:$B$2003,$Z354-0)=0,"",INDEX(包装物料出入库明细!$B$4:$B$2003,$Z354-0)),IF($Z354&lt;=4000,IF(INDEX(周转筐出入库明细!$B$4:$B$2004,$Z354-2000)=0,"",INDEX(周转筐出入库明细!$B$4:$B$2004,$Z354-2000)),IF($Z354&lt;=5200,IF(INDEX(客户自备加工筐明细!$B$4:$B$1203,$Z354-4000)=0,"",INDEX(客户自备加工筐明细!$B$4:$B$1203,$Z354-4000)),IF($Z354&lt;=5800,IF(INDEX(次果筐明细!$B$4:$B$603,$Z354-5200)=0,"",INDEX(次果筐明细!$B$4:$B$603,$Z354-5200)),"")))))</f>
        <v/>
      </c>
      <c r="C354" s="37" t="str">
        <f>IF($Z354="","",IF($Z354&lt;=2000,IF(INDEX(包装物料出入库明细!$D$4:$D$2003,$Z354-0)=0,"",INDEX(包装物料出入库明细!$D$4:$D$2003,$Z354-0)),IF($Z354&lt;=4000,IF(INDEX(周转筐出入库明细!$C$4:$C$2004,$Z354-2000)=0,"",INDEX(周转筐出入库明细!$C$4:$C$2004,$Z354-2000)),IF($Z354&lt;=5200,IF(INDEX(客户自备加工筐明细!$E$4:$E$1203,$Z354-4000)=0,"",INDEX(客户自备加工筐明细!$E$4:$E$1203,$Z354-4000)),IF($Z354&lt;=5800,IF(INDEX(次果筐明细!$C$4:$C$603,$Z354-5200)=0,"",INDEX(次果筐明细!$C$4:$C$603,$Z354-5200)),"")))))</f>
        <v/>
      </c>
      <c r="D354" s="37" t="str">
        <f>IF($Z354="","",IF($Z354&lt;=2000,"包装物料－"&amp;INDEX(包装物料出入库明细!$H$4:$H$2003,$Z354-0),IF($Z354&lt;=4000,"周转筐－"&amp;INDEX(周转筐出入库明细!$F$4:$F$2004,$Z354-2000),IF($Z354&lt;=5200,"客户自备筐－"&amp;INDEX(客户自备加工筐明细!$J$4:$J$1203,$Z354-4000),IF($Z354&lt;=5800,"次果筐/托盘－"&amp;INDEX(次果筐明细!$F$4:$F$603,$Z354-5200),"")))))</f>
        <v/>
      </c>
      <c r="E354" s="24" t="str">
        <f>IF($Z354="","",IF($Z354&lt;=2000,IF(INDEX(包装物料出入库明细!$C$4:$C$2003,$Z354-0)=0,"",INDEX(包装物料出入库明细!$C$4:$C$2003,$Z354-0)),IF($Z354&lt;=4000,IF(INDEX(周转筐出入库明细!$E$4:$E$2004,$Z354-2000)=0,"",INDEX(周转筐出入库明细!$E$4:$E$2004,$Z354-2000)),IF($Z354&lt;=5200,IF(INDEX(客户自备加工筐明细!$D$4:$D$1203,$Z354-4000)=0,"",INDEX(客户自备加工筐明细!$D$4:$D$1203,$Z354-4000)),IF($Z354&lt;=5800,IF(INDEX(次果筐明细!$E$4:$E$603,$Z354-5200)=0,"",INDEX(次果筐明细!$E$4:$E$603,$Z354-5200)),"")))))</f>
        <v/>
      </c>
      <c r="F354" s="24" t="str">
        <f>IF($Z354="","",IF($Z354&lt;=2000,IF(INDEX(包装物料出入库明细!$E$4:$E$2003,$Z354-0)=0,"",INDEX(包装物料出入库明细!$E$4:$E$2003,$Z354-0)),IF($Z354&lt;=4000,IF(INDEX(周转筐出入库明细!$D$4:$D$2004,$Z354-2000)=0,"",INDEX(周转筐出入库明细!$D$4:$D$2004,$Z354-2000)),IF($Z354&lt;=5200,IF(INDEX(客户自备加工筐明细!$C$4:$C$1203,$Z354-4000)=0,"",INDEX(客户自备加工筐明细!$C$4:$C$1203,$Z354-4000)),IF($Z354&lt;=5800,IF(INDEX(次果筐明细!$D$4:$D$603,$Z354-5200)=0,"",INDEX(次果筐明细!$D$4:$D$603,$Z354-5200)),"")))))</f>
        <v/>
      </c>
      <c r="G354" s="24" t="str">
        <f>IF($Z354="","",IF($Z354&lt;=2000,IF(INDEX(包装物料出入库明细!$F$4:$F$2003,$Z354-0)=0,"",INDEX(包装物料出入库明细!$F$4:$F$2003,$Z354-0)),IF($Z354&lt;=4000,"",IF($Z354&lt;=5200,"",IF($Z354&lt;=5800,"","")))))</f>
        <v/>
      </c>
      <c r="H354" s="39" t="str">
        <f>IF($Z354="","",IF($Z354&lt;=2000,IF(INDEX(包装物料出入库明细!$L$4:$L$2003,$Z354-0)=0,"",INDEX(包装物料出入库明细!$L$4:$L$2003,$Z354-0)),IF($Z354&lt;=4000,N(INDEX(周转筐出入库明细!$H$4:$H$2004,$Z354-2000))+N(INDEX(周转筐出入库明细!$I$4:$I$2004,$Z354-2000))+N(INDEX(周转筐出入库明细!$J$4:$J$2004,$Z354-2000))+N(INDEX(周转筐出入库明细!$K$4:$K$2004,$Z354-2000)),IF($Z354&lt;=5200,N(INDEX(客户自备加工筐明细!$F$4:$F$1203,$Z354-4000))+N(INDEX(客户自备加工筐明细!$G$4:$G$1203,$Z354-4000)),IF($Z354&lt;=5800,IF(INDEX(次果筐明细!$G$4:$G$603,$Z354-5200)=0,"",INDEX(次果筐明细!$G$4:$G$603,$Z354-5200)),"")))))</f>
        <v/>
      </c>
      <c r="I354" s="24" t="str">
        <f>IF($Z354="","",IF($Z354&lt;=2000,IF(INDEX(包装物料出入库明细!$G$4:$G$2003,$Z354-0)=0,"",INDEX(包装物料出入库明细!$G$4:$G$2003,$Z354-0)),IF($Z354&lt;=4000,"个",IF($Z354&lt;=5200,"个",IF($Z354&lt;=5800,"个","")))))</f>
        <v/>
      </c>
      <c r="J354" s="30" t="str">
        <f t="shared" si="16"/>
        <v/>
      </c>
      <c r="K354" s="30" t="str">
        <f>IF($Z354="","",IF($Z354&lt;=2000,IF(INDEX(包装物料出入库明细!$N$4:$N$2003,$Z354-0)=0,"",INDEX(包装物料出入库明细!$N$4:$N$2003,$Z354-0)),IF($Z354&lt;=4000,IF(INDEX(周转筐出入库明细!$P$4:$P$2004,$Z354-2000)=0,"",INDEX(周转筐出入库明细!$P$4:$P$2004,$Z354-2000)),IF($Z354&lt;=5200,"",IF($Z354&lt;=5800,N(INDEX(次果筐明细!$L$4:$L$603,$Z354-5200))+N(INDEX(次果筐明细!$J$4:$J$603,$Z354-5200)),"")))))</f>
        <v/>
      </c>
      <c r="L354" s="24" t="str">
        <f>IF($Z354="","",IF($Z354&lt;=2000,IF(INDEX(包装物料出入库明细!$P$4:$P$2003,$Z354-0)=0,"",INDEX(包装物料出入库明细!$P$4:$P$2003,$Z354-0)),IF($Z354&lt;=4000,IF(INDEX(周转筐出入库明细!$Q$4:$Q$2004,$Z354-2000)=0,"",INDEX(周转筐出入库明细!$Q$4:$Q$2004,$Z354-2000)),IF($Z354&lt;=5200,"",IF($Z354&lt;=5800,IF(INDEX(次果筐明细!$M$4:$M$603,$Z354-5200)=0,"",INDEX(次果筐明细!$M$4:$M$603,$Z354-5200)),"")))))</f>
        <v/>
      </c>
      <c r="M354" s="37" t="str">
        <f>IF($Z354="","",IF($Z354&lt;=2000,IF(INDEX(包装物料出入库明细!$R$4:$R$2003,$Z354-0)=0,"",INDEX(包装物料出入库明细!$R$4:$R$2003,$Z354-0)),IF($Z354&lt;=4000,IF(INDEX(周转筐出入库明细!$W$4:$W$2004,$Z354-2000)=0,"",INDEX(周转筐出入库明细!$W$4:$W$2004,$Z354-2000)),IF($Z354&lt;=5200,IF(INDEX(客户自备加工筐明细!$L$4:$L$1203,$Z354-4000)=0,"",INDEX(客户自备加工筐明细!$L$4:$L$1203,$Z354-4000)),IF($Z354&lt;=5800,IF(INDEX(次果筐明细!$P$4:$P$603,$Z354-5200)=0,"",INDEX(次果筐明细!$P$4:$P$603,$Z354-5200)),"")))))</f>
        <v/>
      </c>
      <c r="N354" s="16" t="str">
        <f>IF($Z354="","",IF($Z354&lt;=2000,"",IF($Z354&lt;=4000,IF(INDEX(周转筐出入库明细!$D$4:$D$2004,$Z354-2000)=0,"",INDEX(周转筐出入库明细!$D$4:$D$2004,$Z354-2000)),IF($Z354&lt;=5200,IF(INDEX(客户自备加工筐明细!$C$4:$C$1203,$Z354-4000)=0,"",INDEX(客户自备加工筐明细!$C$4:$C$1203,$Z354-4000)),IF($Z354&lt;=5800,IF(INDEX(次果筐明细!$D$4:$D$603,$Z354-5200)=0,"",INDEX(次果筐明细!$D$4:$D$603,$Z354-5200)),"")))))</f>
        <v/>
      </c>
      <c r="O354" s="40" t="str">
        <f>IF($Z354="","",IF($Z354&lt;=2000,"",IF($Z354&lt;=4000,IF(N(INDEX(周转筐出入库明细!$J$4:$J$2004,$Z354-2000))+N(INDEX(周转筐出入库明细!$K$4:$K$2004,$Z354-2000))=0,"",N(INDEX(周转筐出入库明细!$J$4:$J$2004,$Z354-2000))+N(INDEX(周转筐出入库明细!$K$4:$K$2004,$Z354-2000))),IF($Z354&lt;=5200,IF(N(INDEX(客户自备加工筐明细!$G$4:$G$1203,$Z354-4000))=0,"",N(INDEX(客户自备加工筐明细!$G$4:$G$1203,$Z354-4000))),IF($Z354&lt;=5800,IF(ISNUMBER(SEARCH("退",INDEX(次果筐明细!$F$4:$F$603,$Z354-5200)&amp;"")),"",IF(N(INDEX(次果筐明细!$G$4:$G$603,$Z354-5200))=0,"",N(INDEX(次果筐明细!$G$4:$G$603,$Z354-5200)))),"")))))</f>
        <v/>
      </c>
      <c r="P354" s="40" t="str">
        <f>IF($Z354="","",IF($Z354&lt;=2000,"",IF($Z354&lt;=4000,IF(N(INDEX(周转筐出入库明细!$I$4:$I$2004,$Z354-2000))=0,"",N(INDEX(周转筐出入库明细!$I$4:$I$2004,$Z354-2000))),IF($Z354&lt;=5200,"",IF($Z354&lt;=5800,IF(ISNUMBER(SEARCH("退",INDEX(次果筐明细!$F$4:$F$603,$Z354-5200)&amp;"")),IF(N(INDEX(次果筐明细!$G$4:$G$603,$Z354-5200))=0,"",N(INDEX(次果筐明细!$G$4:$G$603,$Z354-5200))),""),"")))))</f>
        <v/>
      </c>
      <c r="Q354" s="40" t="str">
        <f>IF($Z354="","",IF($Z354&lt;=2000,"",IF($Z354&lt;=4000,IF(N(INDEX(周转筐出入库明细!$H$4:$H$2004,$Z354-2000))=0,"",N(INDEX(周转筐出入库明细!$H$4:$H$2004,$Z354-2000))),IF($Z354&lt;=5200,IF(N(INDEX(客户自备加工筐明细!$F$4:$F$1203,$Z354-4000))=0,"",N(INDEX(客户自备加工筐明细!$F$4:$F$1203,$Z354-4000))),IF($Z354&lt;=5800,"","")))))</f>
        <v/>
      </c>
      <c r="R354" s="16" t="str">
        <f>IF($Z354="","",IF($Z354&lt;=2000,IF(INDEX(包装物料出入库明细!$O$4:$O$2003,$Z354-0)=0,"",INDEX(包装物料出入库明细!$O$4:$O$2003,$Z354-0)),IF($Z354&lt;=4000,IF(INDEX(周转筐出入库明细!$M$4:$M$2004,$Z354-2000)=0,"",INDEX(周转筐出入库明细!$M$4:$M$2004,$Z354-2000)),IF($Z354&lt;=5200,IF(INDEX(客户自备加工筐明细!$H$4:$H$1203,$Z354-4000)=0,"",INDEX(客户自备加工筐明细!$H$4:$H$1203,$Z354-4000)),IF($Z354&lt;=5800,IF(INDEX(次果筐明细!$H$4:$H$603,$Z354-5200)=0,"",INDEX(次果筐明细!$H$4:$H$603,$Z354-5200)),"")))))</f>
        <v/>
      </c>
      <c r="S354" s="22" t="str">
        <f t="shared" si="17"/>
        <v/>
      </c>
      <c r="Z354" s="10" t="str">
        <f>IFERROR(MATCH(ROW()-3,_自动清单!$CQ$4:$CQ$5803,0),"")</f>
        <v/>
      </c>
    </row>
    <row r="355" spans="1:26">
      <c r="A355" s="24" t="str">
        <f t="shared" si="15"/>
        <v/>
      </c>
      <c r="B355" s="38" t="str">
        <f>IF($Z355="","",IF($Z355&lt;=2000,IF(INDEX(包装物料出入库明细!$B$4:$B$2003,$Z355-0)=0,"",INDEX(包装物料出入库明细!$B$4:$B$2003,$Z355-0)),IF($Z355&lt;=4000,IF(INDEX(周转筐出入库明细!$B$4:$B$2004,$Z355-2000)=0,"",INDEX(周转筐出入库明细!$B$4:$B$2004,$Z355-2000)),IF($Z355&lt;=5200,IF(INDEX(客户自备加工筐明细!$B$4:$B$1203,$Z355-4000)=0,"",INDEX(客户自备加工筐明细!$B$4:$B$1203,$Z355-4000)),IF($Z355&lt;=5800,IF(INDEX(次果筐明细!$B$4:$B$603,$Z355-5200)=0,"",INDEX(次果筐明细!$B$4:$B$603,$Z355-5200)),"")))))</f>
        <v/>
      </c>
      <c r="C355" s="37" t="str">
        <f>IF($Z355="","",IF($Z355&lt;=2000,IF(INDEX(包装物料出入库明细!$D$4:$D$2003,$Z355-0)=0,"",INDEX(包装物料出入库明细!$D$4:$D$2003,$Z355-0)),IF($Z355&lt;=4000,IF(INDEX(周转筐出入库明细!$C$4:$C$2004,$Z355-2000)=0,"",INDEX(周转筐出入库明细!$C$4:$C$2004,$Z355-2000)),IF($Z355&lt;=5200,IF(INDEX(客户自备加工筐明细!$E$4:$E$1203,$Z355-4000)=0,"",INDEX(客户自备加工筐明细!$E$4:$E$1203,$Z355-4000)),IF($Z355&lt;=5800,IF(INDEX(次果筐明细!$C$4:$C$603,$Z355-5200)=0,"",INDEX(次果筐明细!$C$4:$C$603,$Z355-5200)),"")))))</f>
        <v/>
      </c>
      <c r="D355" s="37" t="str">
        <f>IF($Z355="","",IF($Z355&lt;=2000,"包装物料－"&amp;INDEX(包装物料出入库明细!$H$4:$H$2003,$Z355-0),IF($Z355&lt;=4000,"周转筐－"&amp;INDEX(周转筐出入库明细!$F$4:$F$2004,$Z355-2000),IF($Z355&lt;=5200,"客户自备筐－"&amp;INDEX(客户自备加工筐明细!$J$4:$J$1203,$Z355-4000),IF($Z355&lt;=5800,"次果筐/托盘－"&amp;INDEX(次果筐明细!$F$4:$F$603,$Z355-5200),"")))))</f>
        <v/>
      </c>
      <c r="E355" s="24" t="str">
        <f>IF($Z355="","",IF($Z355&lt;=2000,IF(INDEX(包装物料出入库明细!$C$4:$C$2003,$Z355-0)=0,"",INDEX(包装物料出入库明细!$C$4:$C$2003,$Z355-0)),IF($Z355&lt;=4000,IF(INDEX(周转筐出入库明细!$E$4:$E$2004,$Z355-2000)=0,"",INDEX(周转筐出入库明细!$E$4:$E$2004,$Z355-2000)),IF($Z355&lt;=5200,IF(INDEX(客户自备加工筐明细!$D$4:$D$1203,$Z355-4000)=0,"",INDEX(客户自备加工筐明细!$D$4:$D$1203,$Z355-4000)),IF($Z355&lt;=5800,IF(INDEX(次果筐明细!$E$4:$E$603,$Z355-5200)=0,"",INDEX(次果筐明细!$E$4:$E$603,$Z355-5200)),"")))))</f>
        <v/>
      </c>
      <c r="F355" s="24" t="str">
        <f>IF($Z355="","",IF($Z355&lt;=2000,IF(INDEX(包装物料出入库明细!$E$4:$E$2003,$Z355-0)=0,"",INDEX(包装物料出入库明细!$E$4:$E$2003,$Z355-0)),IF($Z355&lt;=4000,IF(INDEX(周转筐出入库明细!$D$4:$D$2004,$Z355-2000)=0,"",INDEX(周转筐出入库明细!$D$4:$D$2004,$Z355-2000)),IF($Z355&lt;=5200,IF(INDEX(客户自备加工筐明细!$C$4:$C$1203,$Z355-4000)=0,"",INDEX(客户自备加工筐明细!$C$4:$C$1203,$Z355-4000)),IF($Z355&lt;=5800,IF(INDEX(次果筐明细!$D$4:$D$603,$Z355-5200)=0,"",INDEX(次果筐明细!$D$4:$D$603,$Z355-5200)),"")))))</f>
        <v/>
      </c>
      <c r="G355" s="24" t="str">
        <f>IF($Z355="","",IF($Z355&lt;=2000,IF(INDEX(包装物料出入库明细!$F$4:$F$2003,$Z355-0)=0,"",INDEX(包装物料出入库明细!$F$4:$F$2003,$Z355-0)),IF($Z355&lt;=4000,"",IF($Z355&lt;=5200,"",IF($Z355&lt;=5800,"","")))))</f>
        <v/>
      </c>
      <c r="H355" s="39" t="str">
        <f>IF($Z355="","",IF($Z355&lt;=2000,IF(INDEX(包装物料出入库明细!$L$4:$L$2003,$Z355-0)=0,"",INDEX(包装物料出入库明细!$L$4:$L$2003,$Z355-0)),IF($Z355&lt;=4000,N(INDEX(周转筐出入库明细!$H$4:$H$2004,$Z355-2000))+N(INDEX(周转筐出入库明细!$I$4:$I$2004,$Z355-2000))+N(INDEX(周转筐出入库明细!$J$4:$J$2004,$Z355-2000))+N(INDEX(周转筐出入库明细!$K$4:$K$2004,$Z355-2000)),IF($Z355&lt;=5200,N(INDEX(客户自备加工筐明细!$F$4:$F$1203,$Z355-4000))+N(INDEX(客户自备加工筐明细!$G$4:$G$1203,$Z355-4000)),IF($Z355&lt;=5800,IF(INDEX(次果筐明细!$G$4:$G$603,$Z355-5200)=0,"",INDEX(次果筐明细!$G$4:$G$603,$Z355-5200)),"")))))</f>
        <v/>
      </c>
      <c r="I355" s="24" t="str">
        <f>IF($Z355="","",IF($Z355&lt;=2000,IF(INDEX(包装物料出入库明细!$G$4:$G$2003,$Z355-0)=0,"",INDEX(包装物料出入库明细!$G$4:$G$2003,$Z355-0)),IF($Z355&lt;=4000,"个",IF($Z355&lt;=5200,"个",IF($Z355&lt;=5800,"个","")))))</f>
        <v/>
      </c>
      <c r="J355" s="30" t="str">
        <f t="shared" si="16"/>
        <v/>
      </c>
      <c r="K355" s="30" t="str">
        <f>IF($Z355="","",IF($Z355&lt;=2000,IF(INDEX(包装物料出入库明细!$N$4:$N$2003,$Z355-0)=0,"",INDEX(包装物料出入库明细!$N$4:$N$2003,$Z355-0)),IF($Z355&lt;=4000,IF(INDEX(周转筐出入库明细!$P$4:$P$2004,$Z355-2000)=0,"",INDEX(周转筐出入库明细!$P$4:$P$2004,$Z355-2000)),IF($Z355&lt;=5200,"",IF($Z355&lt;=5800,N(INDEX(次果筐明细!$L$4:$L$603,$Z355-5200))+N(INDEX(次果筐明细!$J$4:$J$603,$Z355-5200)),"")))))</f>
        <v/>
      </c>
      <c r="L355" s="24" t="str">
        <f>IF($Z355="","",IF($Z355&lt;=2000,IF(INDEX(包装物料出入库明细!$P$4:$P$2003,$Z355-0)=0,"",INDEX(包装物料出入库明细!$P$4:$P$2003,$Z355-0)),IF($Z355&lt;=4000,IF(INDEX(周转筐出入库明细!$Q$4:$Q$2004,$Z355-2000)=0,"",INDEX(周转筐出入库明细!$Q$4:$Q$2004,$Z355-2000)),IF($Z355&lt;=5200,"",IF($Z355&lt;=5800,IF(INDEX(次果筐明细!$M$4:$M$603,$Z355-5200)=0,"",INDEX(次果筐明细!$M$4:$M$603,$Z355-5200)),"")))))</f>
        <v/>
      </c>
      <c r="M355" s="37" t="str">
        <f>IF($Z355="","",IF($Z355&lt;=2000,IF(INDEX(包装物料出入库明细!$R$4:$R$2003,$Z355-0)=0,"",INDEX(包装物料出入库明细!$R$4:$R$2003,$Z355-0)),IF($Z355&lt;=4000,IF(INDEX(周转筐出入库明细!$W$4:$W$2004,$Z355-2000)=0,"",INDEX(周转筐出入库明细!$W$4:$W$2004,$Z355-2000)),IF($Z355&lt;=5200,IF(INDEX(客户自备加工筐明细!$L$4:$L$1203,$Z355-4000)=0,"",INDEX(客户自备加工筐明细!$L$4:$L$1203,$Z355-4000)),IF($Z355&lt;=5800,IF(INDEX(次果筐明细!$P$4:$P$603,$Z355-5200)=0,"",INDEX(次果筐明细!$P$4:$P$603,$Z355-5200)),"")))))</f>
        <v/>
      </c>
      <c r="N355" s="16" t="str">
        <f>IF($Z355="","",IF($Z355&lt;=2000,"",IF($Z355&lt;=4000,IF(INDEX(周转筐出入库明细!$D$4:$D$2004,$Z355-2000)=0,"",INDEX(周转筐出入库明细!$D$4:$D$2004,$Z355-2000)),IF($Z355&lt;=5200,IF(INDEX(客户自备加工筐明细!$C$4:$C$1203,$Z355-4000)=0,"",INDEX(客户自备加工筐明细!$C$4:$C$1203,$Z355-4000)),IF($Z355&lt;=5800,IF(INDEX(次果筐明细!$D$4:$D$603,$Z355-5200)=0,"",INDEX(次果筐明细!$D$4:$D$603,$Z355-5200)),"")))))</f>
        <v/>
      </c>
      <c r="O355" s="40" t="str">
        <f>IF($Z355="","",IF($Z355&lt;=2000,"",IF($Z355&lt;=4000,IF(N(INDEX(周转筐出入库明细!$J$4:$J$2004,$Z355-2000))+N(INDEX(周转筐出入库明细!$K$4:$K$2004,$Z355-2000))=0,"",N(INDEX(周转筐出入库明细!$J$4:$J$2004,$Z355-2000))+N(INDEX(周转筐出入库明细!$K$4:$K$2004,$Z355-2000))),IF($Z355&lt;=5200,IF(N(INDEX(客户自备加工筐明细!$G$4:$G$1203,$Z355-4000))=0,"",N(INDEX(客户自备加工筐明细!$G$4:$G$1203,$Z355-4000))),IF($Z355&lt;=5800,IF(ISNUMBER(SEARCH("退",INDEX(次果筐明细!$F$4:$F$603,$Z355-5200)&amp;"")),"",IF(N(INDEX(次果筐明细!$G$4:$G$603,$Z355-5200))=0,"",N(INDEX(次果筐明细!$G$4:$G$603,$Z355-5200)))),"")))))</f>
        <v/>
      </c>
      <c r="P355" s="40" t="str">
        <f>IF($Z355="","",IF($Z355&lt;=2000,"",IF($Z355&lt;=4000,IF(N(INDEX(周转筐出入库明细!$I$4:$I$2004,$Z355-2000))=0,"",N(INDEX(周转筐出入库明细!$I$4:$I$2004,$Z355-2000))),IF($Z355&lt;=5200,"",IF($Z355&lt;=5800,IF(ISNUMBER(SEARCH("退",INDEX(次果筐明细!$F$4:$F$603,$Z355-5200)&amp;"")),IF(N(INDEX(次果筐明细!$G$4:$G$603,$Z355-5200))=0,"",N(INDEX(次果筐明细!$G$4:$G$603,$Z355-5200))),""),"")))))</f>
        <v/>
      </c>
      <c r="Q355" s="40" t="str">
        <f>IF($Z355="","",IF($Z355&lt;=2000,"",IF($Z355&lt;=4000,IF(N(INDEX(周转筐出入库明细!$H$4:$H$2004,$Z355-2000))=0,"",N(INDEX(周转筐出入库明细!$H$4:$H$2004,$Z355-2000))),IF($Z355&lt;=5200,IF(N(INDEX(客户自备加工筐明细!$F$4:$F$1203,$Z355-4000))=0,"",N(INDEX(客户自备加工筐明细!$F$4:$F$1203,$Z355-4000))),IF($Z355&lt;=5800,"","")))))</f>
        <v/>
      </c>
      <c r="R355" s="16" t="str">
        <f>IF($Z355="","",IF($Z355&lt;=2000,IF(INDEX(包装物料出入库明细!$O$4:$O$2003,$Z355-0)=0,"",INDEX(包装物料出入库明细!$O$4:$O$2003,$Z355-0)),IF($Z355&lt;=4000,IF(INDEX(周转筐出入库明细!$M$4:$M$2004,$Z355-2000)=0,"",INDEX(周转筐出入库明细!$M$4:$M$2004,$Z355-2000)),IF($Z355&lt;=5200,IF(INDEX(客户自备加工筐明细!$H$4:$H$1203,$Z355-4000)=0,"",INDEX(客户自备加工筐明细!$H$4:$H$1203,$Z355-4000)),IF($Z355&lt;=5800,IF(INDEX(次果筐明细!$H$4:$H$603,$Z355-5200)=0,"",INDEX(次果筐明细!$H$4:$H$603,$Z355-5200)),"")))))</f>
        <v/>
      </c>
      <c r="S355" s="22" t="str">
        <f t="shared" si="17"/>
        <v/>
      </c>
      <c r="Z355" s="10" t="str">
        <f>IFERROR(MATCH(ROW()-3,_自动清单!$CQ$4:$CQ$5803,0),"")</f>
        <v/>
      </c>
    </row>
    <row r="356" spans="1:26">
      <c r="A356" s="24" t="str">
        <f t="shared" si="15"/>
        <v/>
      </c>
      <c r="B356" s="38" t="str">
        <f>IF($Z356="","",IF($Z356&lt;=2000,IF(INDEX(包装物料出入库明细!$B$4:$B$2003,$Z356-0)=0,"",INDEX(包装物料出入库明细!$B$4:$B$2003,$Z356-0)),IF($Z356&lt;=4000,IF(INDEX(周转筐出入库明细!$B$4:$B$2004,$Z356-2000)=0,"",INDEX(周转筐出入库明细!$B$4:$B$2004,$Z356-2000)),IF($Z356&lt;=5200,IF(INDEX(客户自备加工筐明细!$B$4:$B$1203,$Z356-4000)=0,"",INDEX(客户自备加工筐明细!$B$4:$B$1203,$Z356-4000)),IF($Z356&lt;=5800,IF(INDEX(次果筐明细!$B$4:$B$603,$Z356-5200)=0,"",INDEX(次果筐明细!$B$4:$B$603,$Z356-5200)),"")))))</f>
        <v/>
      </c>
      <c r="C356" s="37" t="str">
        <f>IF($Z356="","",IF($Z356&lt;=2000,IF(INDEX(包装物料出入库明细!$D$4:$D$2003,$Z356-0)=0,"",INDEX(包装物料出入库明细!$D$4:$D$2003,$Z356-0)),IF($Z356&lt;=4000,IF(INDEX(周转筐出入库明细!$C$4:$C$2004,$Z356-2000)=0,"",INDEX(周转筐出入库明细!$C$4:$C$2004,$Z356-2000)),IF($Z356&lt;=5200,IF(INDEX(客户自备加工筐明细!$E$4:$E$1203,$Z356-4000)=0,"",INDEX(客户自备加工筐明细!$E$4:$E$1203,$Z356-4000)),IF($Z356&lt;=5800,IF(INDEX(次果筐明细!$C$4:$C$603,$Z356-5200)=0,"",INDEX(次果筐明细!$C$4:$C$603,$Z356-5200)),"")))))</f>
        <v/>
      </c>
      <c r="D356" s="37" t="str">
        <f>IF($Z356="","",IF($Z356&lt;=2000,"包装物料－"&amp;INDEX(包装物料出入库明细!$H$4:$H$2003,$Z356-0),IF($Z356&lt;=4000,"周转筐－"&amp;INDEX(周转筐出入库明细!$F$4:$F$2004,$Z356-2000),IF($Z356&lt;=5200,"客户自备筐－"&amp;INDEX(客户自备加工筐明细!$J$4:$J$1203,$Z356-4000),IF($Z356&lt;=5800,"次果筐/托盘－"&amp;INDEX(次果筐明细!$F$4:$F$603,$Z356-5200),"")))))</f>
        <v/>
      </c>
      <c r="E356" s="24" t="str">
        <f>IF($Z356="","",IF($Z356&lt;=2000,IF(INDEX(包装物料出入库明细!$C$4:$C$2003,$Z356-0)=0,"",INDEX(包装物料出入库明细!$C$4:$C$2003,$Z356-0)),IF($Z356&lt;=4000,IF(INDEX(周转筐出入库明细!$E$4:$E$2004,$Z356-2000)=0,"",INDEX(周转筐出入库明细!$E$4:$E$2004,$Z356-2000)),IF($Z356&lt;=5200,IF(INDEX(客户自备加工筐明细!$D$4:$D$1203,$Z356-4000)=0,"",INDEX(客户自备加工筐明细!$D$4:$D$1203,$Z356-4000)),IF($Z356&lt;=5800,IF(INDEX(次果筐明细!$E$4:$E$603,$Z356-5200)=0,"",INDEX(次果筐明细!$E$4:$E$603,$Z356-5200)),"")))))</f>
        <v/>
      </c>
      <c r="F356" s="24" t="str">
        <f>IF($Z356="","",IF($Z356&lt;=2000,IF(INDEX(包装物料出入库明细!$E$4:$E$2003,$Z356-0)=0,"",INDEX(包装物料出入库明细!$E$4:$E$2003,$Z356-0)),IF($Z356&lt;=4000,IF(INDEX(周转筐出入库明细!$D$4:$D$2004,$Z356-2000)=0,"",INDEX(周转筐出入库明细!$D$4:$D$2004,$Z356-2000)),IF($Z356&lt;=5200,IF(INDEX(客户自备加工筐明细!$C$4:$C$1203,$Z356-4000)=0,"",INDEX(客户自备加工筐明细!$C$4:$C$1203,$Z356-4000)),IF($Z356&lt;=5800,IF(INDEX(次果筐明细!$D$4:$D$603,$Z356-5200)=0,"",INDEX(次果筐明细!$D$4:$D$603,$Z356-5200)),"")))))</f>
        <v/>
      </c>
      <c r="G356" s="24" t="str">
        <f>IF($Z356="","",IF($Z356&lt;=2000,IF(INDEX(包装物料出入库明细!$F$4:$F$2003,$Z356-0)=0,"",INDEX(包装物料出入库明细!$F$4:$F$2003,$Z356-0)),IF($Z356&lt;=4000,"",IF($Z356&lt;=5200,"",IF($Z356&lt;=5800,"","")))))</f>
        <v/>
      </c>
      <c r="H356" s="39" t="str">
        <f>IF($Z356="","",IF($Z356&lt;=2000,IF(INDEX(包装物料出入库明细!$L$4:$L$2003,$Z356-0)=0,"",INDEX(包装物料出入库明细!$L$4:$L$2003,$Z356-0)),IF($Z356&lt;=4000,N(INDEX(周转筐出入库明细!$H$4:$H$2004,$Z356-2000))+N(INDEX(周转筐出入库明细!$I$4:$I$2004,$Z356-2000))+N(INDEX(周转筐出入库明细!$J$4:$J$2004,$Z356-2000))+N(INDEX(周转筐出入库明细!$K$4:$K$2004,$Z356-2000)),IF($Z356&lt;=5200,N(INDEX(客户自备加工筐明细!$F$4:$F$1203,$Z356-4000))+N(INDEX(客户自备加工筐明细!$G$4:$G$1203,$Z356-4000)),IF($Z356&lt;=5800,IF(INDEX(次果筐明细!$G$4:$G$603,$Z356-5200)=0,"",INDEX(次果筐明细!$G$4:$G$603,$Z356-5200)),"")))))</f>
        <v/>
      </c>
      <c r="I356" s="24" t="str">
        <f>IF($Z356="","",IF($Z356&lt;=2000,IF(INDEX(包装物料出入库明细!$G$4:$G$2003,$Z356-0)=0,"",INDEX(包装物料出入库明细!$G$4:$G$2003,$Z356-0)),IF($Z356&lt;=4000,"个",IF($Z356&lt;=5200,"个",IF($Z356&lt;=5800,"个","")))))</f>
        <v/>
      </c>
      <c r="J356" s="30" t="str">
        <f t="shared" si="16"/>
        <v/>
      </c>
      <c r="K356" s="30" t="str">
        <f>IF($Z356="","",IF($Z356&lt;=2000,IF(INDEX(包装物料出入库明细!$N$4:$N$2003,$Z356-0)=0,"",INDEX(包装物料出入库明细!$N$4:$N$2003,$Z356-0)),IF($Z356&lt;=4000,IF(INDEX(周转筐出入库明细!$P$4:$P$2004,$Z356-2000)=0,"",INDEX(周转筐出入库明细!$P$4:$P$2004,$Z356-2000)),IF($Z356&lt;=5200,"",IF($Z356&lt;=5800,N(INDEX(次果筐明细!$L$4:$L$603,$Z356-5200))+N(INDEX(次果筐明细!$J$4:$J$603,$Z356-5200)),"")))))</f>
        <v/>
      </c>
      <c r="L356" s="24" t="str">
        <f>IF($Z356="","",IF($Z356&lt;=2000,IF(INDEX(包装物料出入库明细!$P$4:$P$2003,$Z356-0)=0,"",INDEX(包装物料出入库明细!$P$4:$P$2003,$Z356-0)),IF($Z356&lt;=4000,IF(INDEX(周转筐出入库明细!$Q$4:$Q$2004,$Z356-2000)=0,"",INDEX(周转筐出入库明细!$Q$4:$Q$2004,$Z356-2000)),IF($Z356&lt;=5200,"",IF($Z356&lt;=5800,IF(INDEX(次果筐明细!$M$4:$M$603,$Z356-5200)=0,"",INDEX(次果筐明细!$M$4:$M$603,$Z356-5200)),"")))))</f>
        <v/>
      </c>
      <c r="M356" s="37" t="str">
        <f>IF($Z356="","",IF($Z356&lt;=2000,IF(INDEX(包装物料出入库明细!$R$4:$R$2003,$Z356-0)=0,"",INDEX(包装物料出入库明细!$R$4:$R$2003,$Z356-0)),IF($Z356&lt;=4000,IF(INDEX(周转筐出入库明细!$W$4:$W$2004,$Z356-2000)=0,"",INDEX(周转筐出入库明细!$W$4:$W$2004,$Z356-2000)),IF($Z356&lt;=5200,IF(INDEX(客户自备加工筐明细!$L$4:$L$1203,$Z356-4000)=0,"",INDEX(客户自备加工筐明细!$L$4:$L$1203,$Z356-4000)),IF($Z356&lt;=5800,IF(INDEX(次果筐明细!$P$4:$P$603,$Z356-5200)=0,"",INDEX(次果筐明细!$P$4:$P$603,$Z356-5200)),"")))))</f>
        <v/>
      </c>
      <c r="N356" s="16" t="str">
        <f>IF($Z356="","",IF($Z356&lt;=2000,"",IF($Z356&lt;=4000,IF(INDEX(周转筐出入库明细!$D$4:$D$2004,$Z356-2000)=0,"",INDEX(周转筐出入库明细!$D$4:$D$2004,$Z356-2000)),IF($Z356&lt;=5200,IF(INDEX(客户自备加工筐明细!$C$4:$C$1203,$Z356-4000)=0,"",INDEX(客户自备加工筐明细!$C$4:$C$1203,$Z356-4000)),IF($Z356&lt;=5800,IF(INDEX(次果筐明细!$D$4:$D$603,$Z356-5200)=0,"",INDEX(次果筐明细!$D$4:$D$603,$Z356-5200)),"")))))</f>
        <v/>
      </c>
      <c r="O356" s="40" t="str">
        <f>IF($Z356="","",IF($Z356&lt;=2000,"",IF($Z356&lt;=4000,IF(N(INDEX(周转筐出入库明细!$J$4:$J$2004,$Z356-2000))+N(INDEX(周转筐出入库明细!$K$4:$K$2004,$Z356-2000))=0,"",N(INDEX(周转筐出入库明细!$J$4:$J$2004,$Z356-2000))+N(INDEX(周转筐出入库明细!$K$4:$K$2004,$Z356-2000))),IF($Z356&lt;=5200,IF(N(INDEX(客户自备加工筐明细!$G$4:$G$1203,$Z356-4000))=0,"",N(INDEX(客户自备加工筐明细!$G$4:$G$1203,$Z356-4000))),IF($Z356&lt;=5800,IF(ISNUMBER(SEARCH("退",INDEX(次果筐明细!$F$4:$F$603,$Z356-5200)&amp;"")),"",IF(N(INDEX(次果筐明细!$G$4:$G$603,$Z356-5200))=0,"",N(INDEX(次果筐明细!$G$4:$G$603,$Z356-5200)))),"")))))</f>
        <v/>
      </c>
      <c r="P356" s="40" t="str">
        <f>IF($Z356="","",IF($Z356&lt;=2000,"",IF($Z356&lt;=4000,IF(N(INDEX(周转筐出入库明细!$I$4:$I$2004,$Z356-2000))=0,"",N(INDEX(周转筐出入库明细!$I$4:$I$2004,$Z356-2000))),IF($Z356&lt;=5200,"",IF($Z356&lt;=5800,IF(ISNUMBER(SEARCH("退",INDEX(次果筐明细!$F$4:$F$603,$Z356-5200)&amp;"")),IF(N(INDEX(次果筐明细!$G$4:$G$603,$Z356-5200))=0,"",N(INDEX(次果筐明细!$G$4:$G$603,$Z356-5200))),""),"")))))</f>
        <v/>
      </c>
      <c r="Q356" s="40" t="str">
        <f>IF($Z356="","",IF($Z356&lt;=2000,"",IF($Z356&lt;=4000,IF(N(INDEX(周转筐出入库明细!$H$4:$H$2004,$Z356-2000))=0,"",N(INDEX(周转筐出入库明细!$H$4:$H$2004,$Z356-2000))),IF($Z356&lt;=5200,IF(N(INDEX(客户自备加工筐明细!$F$4:$F$1203,$Z356-4000))=0,"",N(INDEX(客户自备加工筐明细!$F$4:$F$1203,$Z356-4000))),IF($Z356&lt;=5800,"","")))))</f>
        <v/>
      </c>
      <c r="R356" s="16" t="str">
        <f>IF($Z356="","",IF($Z356&lt;=2000,IF(INDEX(包装物料出入库明细!$O$4:$O$2003,$Z356-0)=0,"",INDEX(包装物料出入库明细!$O$4:$O$2003,$Z356-0)),IF($Z356&lt;=4000,IF(INDEX(周转筐出入库明细!$M$4:$M$2004,$Z356-2000)=0,"",INDEX(周转筐出入库明细!$M$4:$M$2004,$Z356-2000)),IF($Z356&lt;=5200,IF(INDEX(客户自备加工筐明细!$H$4:$H$1203,$Z356-4000)=0,"",INDEX(客户自备加工筐明细!$H$4:$H$1203,$Z356-4000)),IF($Z356&lt;=5800,IF(INDEX(次果筐明细!$H$4:$H$603,$Z356-5200)=0,"",INDEX(次果筐明细!$H$4:$H$603,$Z356-5200)),"")))))</f>
        <v/>
      </c>
      <c r="S356" s="22" t="str">
        <f t="shared" si="17"/>
        <v/>
      </c>
      <c r="Z356" s="10" t="str">
        <f>IFERROR(MATCH(ROW()-3,_自动清单!$CQ$4:$CQ$5803,0),"")</f>
        <v/>
      </c>
    </row>
    <row r="357" spans="1:26">
      <c r="A357" s="24" t="str">
        <f t="shared" si="15"/>
        <v/>
      </c>
      <c r="B357" s="38" t="str">
        <f>IF($Z357="","",IF($Z357&lt;=2000,IF(INDEX(包装物料出入库明细!$B$4:$B$2003,$Z357-0)=0,"",INDEX(包装物料出入库明细!$B$4:$B$2003,$Z357-0)),IF($Z357&lt;=4000,IF(INDEX(周转筐出入库明细!$B$4:$B$2004,$Z357-2000)=0,"",INDEX(周转筐出入库明细!$B$4:$B$2004,$Z357-2000)),IF($Z357&lt;=5200,IF(INDEX(客户自备加工筐明细!$B$4:$B$1203,$Z357-4000)=0,"",INDEX(客户自备加工筐明细!$B$4:$B$1203,$Z357-4000)),IF($Z357&lt;=5800,IF(INDEX(次果筐明细!$B$4:$B$603,$Z357-5200)=0,"",INDEX(次果筐明细!$B$4:$B$603,$Z357-5200)),"")))))</f>
        <v/>
      </c>
      <c r="C357" s="37" t="str">
        <f>IF($Z357="","",IF($Z357&lt;=2000,IF(INDEX(包装物料出入库明细!$D$4:$D$2003,$Z357-0)=0,"",INDEX(包装物料出入库明细!$D$4:$D$2003,$Z357-0)),IF($Z357&lt;=4000,IF(INDEX(周转筐出入库明细!$C$4:$C$2004,$Z357-2000)=0,"",INDEX(周转筐出入库明细!$C$4:$C$2004,$Z357-2000)),IF($Z357&lt;=5200,IF(INDEX(客户自备加工筐明细!$E$4:$E$1203,$Z357-4000)=0,"",INDEX(客户自备加工筐明细!$E$4:$E$1203,$Z357-4000)),IF($Z357&lt;=5800,IF(INDEX(次果筐明细!$C$4:$C$603,$Z357-5200)=0,"",INDEX(次果筐明细!$C$4:$C$603,$Z357-5200)),"")))))</f>
        <v/>
      </c>
      <c r="D357" s="37" t="str">
        <f>IF($Z357="","",IF($Z357&lt;=2000,"包装物料－"&amp;INDEX(包装物料出入库明细!$H$4:$H$2003,$Z357-0),IF($Z357&lt;=4000,"周转筐－"&amp;INDEX(周转筐出入库明细!$F$4:$F$2004,$Z357-2000),IF($Z357&lt;=5200,"客户自备筐－"&amp;INDEX(客户自备加工筐明细!$J$4:$J$1203,$Z357-4000),IF($Z357&lt;=5800,"次果筐/托盘－"&amp;INDEX(次果筐明细!$F$4:$F$603,$Z357-5200),"")))))</f>
        <v/>
      </c>
      <c r="E357" s="24" t="str">
        <f>IF($Z357="","",IF($Z357&lt;=2000,IF(INDEX(包装物料出入库明细!$C$4:$C$2003,$Z357-0)=0,"",INDEX(包装物料出入库明细!$C$4:$C$2003,$Z357-0)),IF($Z357&lt;=4000,IF(INDEX(周转筐出入库明细!$E$4:$E$2004,$Z357-2000)=0,"",INDEX(周转筐出入库明细!$E$4:$E$2004,$Z357-2000)),IF($Z357&lt;=5200,IF(INDEX(客户自备加工筐明细!$D$4:$D$1203,$Z357-4000)=0,"",INDEX(客户自备加工筐明细!$D$4:$D$1203,$Z357-4000)),IF($Z357&lt;=5800,IF(INDEX(次果筐明细!$E$4:$E$603,$Z357-5200)=0,"",INDEX(次果筐明细!$E$4:$E$603,$Z357-5200)),"")))))</f>
        <v/>
      </c>
      <c r="F357" s="24" t="str">
        <f>IF($Z357="","",IF($Z357&lt;=2000,IF(INDEX(包装物料出入库明细!$E$4:$E$2003,$Z357-0)=0,"",INDEX(包装物料出入库明细!$E$4:$E$2003,$Z357-0)),IF($Z357&lt;=4000,IF(INDEX(周转筐出入库明细!$D$4:$D$2004,$Z357-2000)=0,"",INDEX(周转筐出入库明细!$D$4:$D$2004,$Z357-2000)),IF($Z357&lt;=5200,IF(INDEX(客户自备加工筐明细!$C$4:$C$1203,$Z357-4000)=0,"",INDEX(客户自备加工筐明细!$C$4:$C$1203,$Z357-4000)),IF($Z357&lt;=5800,IF(INDEX(次果筐明细!$D$4:$D$603,$Z357-5200)=0,"",INDEX(次果筐明细!$D$4:$D$603,$Z357-5200)),"")))))</f>
        <v/>
      </c>
      <c r="G357" s="24" t="str">
        <f>IF($Z357="","",IF($Z357&lt;=2000,IF(INDEX(包装物料出入库明细!$F$4:$F$2003,$Z357-0)=0,"",INDEX(包装物料出入库明细!$F$4:$F$2003,$Z357-0)),IF($Z357&lt;=4000,"",IF($Z357&lt;=5200,"",IF($Z357&lt;=5800,"","")))))</f>
        <v/>
      </c>
      <c r="H357" s="39" t="str">
        <f>IF($Z357="","",IF($Z357&lt;=2000,IF(INDEX(包装物料出入库明细!$L$4:$L$2003,$Z357-0)=0,"",INDEX(包装物料出入库明细!$L$4:$L$2003,$Z357-0)),IF($Z357&lt;=4000,N(INDEX(周转筐出入库明细!$H$4:$H$2004,$Z357-2000))+N(INDEX(周转筐出入库明细!$I$4:$I$2004,$Z357-2000))+N(INDEX(周转筐出入库明细!$J$4:$J$2004,$Z357-2000))+N(INDEX(周转筐出入库明细!$K$4:$K$2004,$Z357-2000)),IF($Z357&lt;=5200,N(INDEX(客户自备加工筐明细!$F$4:$F$1203,$Z357-4000))+N(INDEX(客户自备加工筐明细!$G$4:$G$1203,$Z357-4000)),IF($Z357&lt;=5800,IF(INDEX(次果筐明细!$G$4:$G$603,$Z357-5200)=0,"",INDEX(次果筐明细!$G$4:$G$603,$Z357-5200)),"")))))</f>
        <v/>
      </c>
      <c r="I357" s="24" t="str">
        <f>IF($Z357="","",IF($Z357&lt;=2000,IF(INDEX(包装物料出入库明细!$G$4:$G$2003,$Z357-0)=0,"",INDEX(包装物料出入库明细!$G$4:$G$2003,$Z357-0)),IF($Z357&lt;=4000,"个",IF($Z357&lt;=5200,"个",IF($Z357&lt;=5800,"个","")))))</f>
        <v/>
      </c>
      <c r="J357" s="30" t="str">
        <f t="shared" si="16"/>
        <v/>
      </c>
      <c r="K357" s="30" t="str">
        <f>IF($Z357="","",IF($Z357&lt;=2000,IF(INDEX(包装物料出入库明细!$N$4:$N$2003,$Z357-0)=0,"",INDEX(包装物料出入库明细!$N$4:$N$2003,$Z357-0)),IF($Z357&lt;=4000,IF(INDEX(周转筐出入库明细!$P$4:$P$2004,$Z357-2000)=0,"",INDEX(周转筐出入库明细!$P$4:$P$2004,$Z357-2000)),IF($Z357&lt;=5200,"",IF($Z357&lt;=5800,N(INDEX(次果筐明细!$L$4:$L$603,$Z357-5200))+N(INDEX(次果筐明细!$J$4:$J$603,$Z357-5200)),"")))))</f>
        <v/>
      </c>
      <c r="L357" s="24" t="str">
        <f>IF($Z357="","",IF($Z357&lt;=2000,IF(INDEX(包装物料出入库明细!$P$4:$P$2003,$Z357-0)=0,"",INDEX(包装物料出入库明细!$P$4:$P$2003,$Z357-0)),IF($Z357&lt;=4000,IF(INDEX(周转筐出入库明细!$Q$4:$Q$2004,$Z357-2000)=0,"",INDEX(周转筐出入库明细!$Q$4:$Q$2004,$Z357-2000)),IF($Z357&lt;=5200,"",IF($Z357&lt;=5800,IF(INDEX(次果筐明细!$M$4:$M$603,$Z357-5200)=0,"",INDEX(次果筐明细!$M$4:$M$603,$Z357-5200)),"")))))</f>
        <v/>
      </c>
      <c r="M357" s="37" t="str">
        <f>IF($Z357="","",IF($Z357&lt;=2000,IF(INDEX(包装物料出入库明细!$R$4:$R$2003,$Z357-0)=0,"",INDEX(包装物料出入库明细!$R$4:$R$2003,$Z357-0)),IF($Z357&lt;=4000,IF(INDEX(周转筐出入库明细!$W$4:$W$2004,$Z357-2000)=0,"",INDEX(周转筐出入库明细!$W$4:$W$2004,$Z357-2000)),IF($Z357&lt;=5200,IF(INDEX(客户自备加工筐明细!$L$4:$L$1203,$Z357-4000)=0,"",INDEX(客户自备加工筐明细!$L$4:$L$1203,$Z357-4000)),IF($Z357&lt;=5800,IF(INDEX(次果筐明细!$P$4:$P$603,$Z357-5200)=0,"",INDEX(次果筐明细!$P$4:$P$603,$Z357-5200)),"")))))</f>
        <v/>
      </c>
      <c r="N357" s="16" t="str">
        <f>IF($Z357="","",IF($Z357&lt;=2000,"",IF($Z357&lt;=4000,IF(INDEX(周转筐出入库明细!$D$4:$D$2004,$Z357-2000)=0,"",INDEX(周转筐出入库明细!$D$4:$D$2004,$Z357-2000)),IF($Z357&lt;=5200,IF(INDEX(客户自备加工筐明细!$C$4:$C$1203,$Z357-4000)=0,"",INDEX(客户自备加工筐明细!$C$4:$C$1203,$Z357-4000)),IF($Z357&lt;=5800,IF(INDEX(次果筐明细!$D$4:$D$603,$Z357-5200)=0,"",INDEX(次果筐明细!$D$4:$D$603,$Z357-5200)),"")))))</f>
        <v/>
      </c>
      <c r="O357" s="40" t="str">
        <f>IF($Z357="","",IF($Z357&lt;=2000,"",IF($Z357&lt;=4000,IF(N(INDEX(周转筐出入库明细!$J$4:$J$2004,$Z357-2000))+N(INDEX(周转筐出入库明细!$K$4:$K$2004,$Z357-2000))=0,"",N(INDEX(周转筐出入库明细!$J$4:$J$2004,$Z357-2000))+N(INDEX(周转筐出入库明细!$K$4:$K$2004,$Z357-2000))),IF($Z357&lt;=5200,IF(N(INDEX(客户自备加工筐明细!$G$4:$G$1203,$Z357-4000))=0,"",N(INDEX(客户自备加工筐明细!$G$4:$G$1203,$Z357-4000))),IF($Z357&lt;=5800,IF(ISNUMBER(SEARCH("退",INDEX(次果筐明细!$F$4:$F$603,$Z357-5200)&amp;"")),"",IF(N(INDEX(次果筐明细!$G$4:$G$603,$Z357-5200))=0,"",N(INDEX(次果筐明细!$G$4:$G$603,$Z357-5200)))),"")))))</f>
        <v/>
      </c>
      <c r="P357" s="40" t="str">
        <f>IF($Z357="","",IF($Z357&lt;=2000,"",IF($Z357&lt;=4000,IF(N(INDEX(周转筐出入库明细!$I$4:$I$2004,$Z357-2000))=0,"",N(INDEX(周转筐出入库明细!$I$4:$I$2004,$Z357-2000))),IF($Z357&lt;=5200,"",IF($Z357&lt;=5800,IF(ISNUMBER(SEARCH("退",INDEX(次果筐明细!$F$4:$F$603,$Z357-5200)&amp;"")),IF(N(INDEX(次果筐明细!$G$4:$G$603,$Z357-5200))=0,"",N(INDEX(次果筐明细!$G$4:$G$603,$Z357-5200))),""),"")))))</f>
        <v/>
      </c>
      <c r="Q357" s="40" t="str">
        <f>IF($Z357="","",IF($Z357&lt;=2000,"",IF($Z357&lt;=4000,IF(N(INDEX(周转筐出入库明细!$H$4:$H$2004,$Z357-2000))=0,"",N(INDEX(周转筐出入库明细!$H$4:$H$2004,$Z357-2000))),IF($Z357&lt;=5200,IF(N(INDEX(客户自备加工筐明细!$F$4:$F$1203,$Z357-4000))=0,"",N(INDEX(客户自备加工筐明细!$F$4:$F$1203,$Z357-4000))),IF($Z357&lt;=5800,"","")))))</f>
        <v/>
      </c>
      <c r="R357" s="16" t="str">
        <f>IF($Z357="","",IF($Z357&lt;=2000,IF(INDEX(包装物料出入库明细!$O$4:$O$2003,$Z357-0)=0,"",INDEX(包装物料出入库明细!$O$4:$O$2003,$Z357-0)),IF($Z357&lt;=4000,IF(INDEX(周转筐出入库明细!$M$4:$M$2004,$Z357-2000)=0,"",INDEX(周转筐出入库明细!$M$4:$M$2004,$Z357-2000)),IF($Z357&lt;=5200,IF(INDEX(客户自备加工筐明细!$H$4:$H$1203,$Z357-4000)=0,"",INDEX(客户自备加工筐明细!$H$4:$H$1203,$Z357-4000)),IF($Z357&lt;=5800,IF(INDEX(次果筐明细!$H$4:$H$603,$Z357-5200)=0,"",INDEX(次果筐明细!$H$4:$H$603,$Z357-5200)),"")))))</f>
        <v/>
      </c>
      <c r="S357" s="22" t="str">
        <f t="shared" si="17"/>
        <v/>
      </c>
      <c r="Z357" s="10" t="str">
        <f>IFERROR(MATCH(ROW()-3,_自动清单!$CQ$4:$CQ$5803,0),"")</f>
        <v/>
      </c>
    </row>
    <row r="358" spans="1:26">
      <c r="A358" s="24" t="str">
        <f t="shared" si="15"/>
        <v/>
      </c>
      <c r="B358" s="38" t="str">
        <f>IF($Z358="","",IF($Z358&lt;=2000,IF(INDEX(包装物料出入库明细!$B$4:$B$2003,$Z358-0)=0,"",INDEX(包装物料出入库明细!$B$4:$B$2003,$Z358-0)),IF($Z358&lt;=4000,IF(INDEX(周转筐出入库明细!$B$4:$B$2004,$Z358-2000)=0,"",INDEX(周转筐出入库明细!$B$4:$B$2004,$Z358-2000)),IF($Z358&lt;=5200,IF(INDEX(客户自备加工筐明细!$B$4:$B$1203,$Z358-4000)=0,"",INDEX(客户自备加工筐明细!$B$4:$B$1203,$Z358-4000)),IF($Z358&lt;=5800,IF(INDEX(次果筐明细!$B$4:$B$603,$Z358-5200)=0,"",INDEX(次果筐明细!$B$4:$B$603,$Z358-5200)),"")))))</f>
        <v/>
      </c>
      <c r="C358" s="37" t="str">
        <f>IF($Z358="","",IF($Z358&lt;=2000,IF(INDEX(包装物料出入库明细!$D$4:$D$2003,$Z358-0)=0,"",INDEX(包装物料出入库明细!$D$4:$D$2003,$Z358-0)),IF($Z358&lt;=4000,IF(INDEX(周转筐出入库明细!$C$4:$C$2004,$Z358-2000)=0,"",INDEX(周转筐出入库明细!$C$4:$C$2004,$Z358-2000)),IF($Z358&lt;=5200,IF(INDEX(客户自备加工筐明细!$E$4:$E$1203,$Z358-4000)=0,"",INDEX(客户自备加工筐明细!$E$4:$E$1203,$Z358-4000)),IF($Z358&lt;=5800,IF(INDEX(次果筐明细!$C$4:$C$603,$Z358-5200)=0,"",INDEX(次果筐明细!$C$4:$C$603,$Z358-5200)),"")))))</f>
        <v/>
      </c>
      <c r="D358" s="37" t="str">
        <f>IF($Z358="","",IF($Z358&lt;=2000,"包装物料－"&amp;INDEX(包装物料出入库明细!$H$4:$H$2003,$Z358-0),IF($Z358&lt;=4000,"周转筐－"&amp;INDEX(周转筐出入库明细!$F$4:$F$2004,$Z358-2000),IF($Z358&lt;=5200,"客户自备筐－"&amp;INDEX(客户自备加工筐明细!$J$4:$J$1203,$Z358-4000),IF($Z358&lt;=5800,"次果筐/托盘－"&amp;INDEX(次果筐明细!$F$4:$F$603,$Z358-5200),"")))))</f>
        <v/>
      </c>
      <c r="E358" s="24" t="str">
        <f>IF($Z358="","",IF($Z358&lt;=2000,IF(INDEX(包装物料出入库明细!$C$4:$C$2003,$Z358-0)=0,"",INDEX(包装物料出入库明细!$C$4:$C$2003,$Z358-0)),IF($Z358&lt;=4000,IF(INDEX(周转筐出入库明细!$E$4:$E$2004,$Z358-2000)=0,"",INDEX(周转筐出入库明细!$E$4:$E$2004,$Z358-2000)),IF($Z358&lt;=5200,IF(INDEX(客户自备加工筐明细!$D$4:$D$1203,$Z358-4000)=0,"",INDEX(客户自备加工筐明细!$D$4:$D$1203,$Z358-4000)),IF($Z358&lt;=5800,IF(INDEX(次果筐明细!$E$4:$E$603,$Z358-5200)=0,"",INDEX(次果筐明细!$E$4:$E$603,$Z358-5200)),"")))))</f>
        <v/>
      </c>
      <c r="F358" s="24" t="str">
        <f>IF($Z358="","",IF($Z358&lt;=2000,IF(INDEX(包装物料出入库明细!$E$4:$E$2003,$Z358-0)=0,"",INDEX(包装物料出入库明细!$E$4:$E$2003,$Z358-0)),IF($Z358&lt;=4000,IF(INDEX(周转筐出入库明细!$D$4:$D$2004,$Z358-2000)=0,"",INDEX(周转筐出入库明细!$D$4:$D$2004,$Z358-2000)),IF($Z358&lt;=5200,IF(INDEX(客户自备加工筐明细!$C$4:$C$1203,$Z358-4000)=0,"",INDEX(客户自备加工筐明细!$C$4:$C$1203,$Z358-4000)),IF($Z358&lt;=5800,IF(INDEX(次果筐明细!$D$4:$D$603,$Z358-5200)=0,"",INDEX(次果筐明细!$D$4:$D$603,$Z358-5200)),"")))))</f>
        <v/>
      </c>
      <c r="G358" s="24" t="str">
        <f>IF($Z358="","",IF($Z358&lt;=2000,IF(INDEX(包装物料出入库明细!$F$4:$F$2003,$Z358-0)=0,"",INDEX(包装物料出入库明细!$F$4:$F$2003,$Z358-0)),IF($Z358&lt;=4000,"",IF($Z358&lt;=5200,"",IF($Z358&lt;=5800,"","")))))</f>
        <v/>
      </c>
      <c r="H358" s="39" t="str">
        <f>IF($Z358="","",IF($Z358&lt;=2000,IF(INDEX(包装物料出入库明细!$L$4:$L$2003,$Z358-0)=0,"",INDEX(包装物料出入库明细!$L$4:$L$2003,$Z358-0)),IF($Z358&lt;=4000,N(INDEX(周转筐出入库明细!$H$4:$H$2004,$Z358-2000))+N(INDEX(周转筐出入库明细!$I$4:$I$2004,$Z358-2000))+N(INDEX(周转筐出入库明细!$J$4:$J$2004,$Z358-2000))+N(INDEX(周转筐出入库明细!$K$4:$K$2004,$Z358-2000)),IF($Z358&lt;=5200,N(INDEX(客户自备加工筐明细!$F$4:$F$1203,$Z358-4000))+N(INDEX(客户自备加工筐明细!$G$4:$G$1203,$Z358-4000)),IF($Z358&lt;=5800,IF(INDEX(次果筐明细!$G$4:$G$603,$Z358-5200)=0,"",INDEX(次果筐明细!$G$4:$G$603,$Z358-5200)),"")))))</f>
        <v/>
      </c>
      <c r="I358" s="24" t="str">
        <f>IF($Z358="","",IF($Z358&lt;=2000,IF(INDEX(包装物料出入库明细!$G$4:$G$2003,$Z358-0)=0,"",INDEX(包装物料出入库明细!$G$4:$G$2003,$Z358-0)),IF($Z358&lt;=4000,"个",IF($Z358&lt;=5200,"个",IF($Z358&lt;=5800,"个","")))))</f>
        <v/>
      </c>
      <c r="J358" s="30" t="str">
        <f t="shared" si="16"/>
        <v/>
      </c>
      <c r="K358" s="30" t="str">
        <f>IF($Z358="","",IF($Z358&lt;=2000,IF(INDEX(包装物料出入库明细!$N$4:$N$2003,$Z358-0)=0,"",INDEX(包装物料出入库明细!$N$4:$N$2003,$Z358-0)),IF($Z358&lt;=4000,IF(INDEX(周转筐出入库明细!$P$4:$P$2004,$Z358-2000)=0,"",INDEX(周转筐出入库明细!$P$4:$P$2004,$Z358-2000)),IF($Z358&lt;=5200,"",IF($Z358&lt;=5800,N(INDEX(次果筐明细!$L$4:$L$603,$Z358-5200))+N(INDEX(次果筐明细!$J$4:$J$603,$Z358-5200)),"")))))</f>
        <v/>
      </c>
      <c r="L358" s="24" t="str">
        <f>IF($Z358="","",IF($Z358&lt;=2000,IF(INDEX(包装物料出入库明细!$P$4:$P$2003,$Z358-0)=0,"",INDEX(包装物料出入库明细!$P$4:$P$2003,$Z358-0)),IF($Z358&lt;=4000,IF(INDEX(周转筐出入库明细!$Q$4:$Q$2004,$Z358-2000)=0,"",INDEX(周转筐出入库明细!$Q$4:$Q$2004,$Z358-2000)),IF($Z358&lt;=5200,"",IF($Z358&lt;=5800,IF(INDEX(次果筐明细!$M$4:$M$603,$Z358-5200)=0,"",INDEX(次果筐明细!$M$4:$M$603,$Z358-5200)),"")))))</f>
        <v/>
      </c>
      <c r="M358" s="37" t="str">
        <f>IF($Z358="","",IF($Z358&lt;=2000,IF(INDEX(包装物料出入库明细!$R$4:$R$2003,$Z358-0)=0,"",INDEX(包装物料出入库明细!$R$4:$R$2003,$Z358-0)),IF($Z358&lt;=4000,IF(INDEX(周转筐出入库明细!$W$4:$W$2004,$Z358-2000)=0,"",INDEX(周转筐出入库明细!$W$4:$W$2004,$Z358-2000)),IF($Z358&lt;=5200,IF(INDEX(客户自备加工筐明细!$L$4:$L$1203,$Z358-4000)=0,"",INDEX(客户自备加工筐明细!$L$4:$L$1203,$Z358-4000)),IF($Z358&lt;=5800,IF(INDEX(次果筐明细!$P$4:$P$603,$Z358-5200)=0,"",INDEX(次果筐明细!$P$4:$P$603,$Z358-5200)),"")))))</f>
        <v/>
      </c>
      <c r="N358" s="16" t="str">
        <f>IF($Z358="","",IF($Z358&lt;=2000,"",IF($Z358&lt;=4000,IF(INDEX(周转筐出入库明细!$D$4:$D$2004,$Z358-2000)=0,"",INDEX(周转筐出入库明细!$D$4:$D$2004,$Z358-2000)),IF($Z358&lt;=5200,IF(INDEX(客户自备加工筐明细!$C$4:$C$1203,$Z358-4000)=0,"",INDEX(客户自备加工筐明细!$C$4:$C$1203,$Z358-4000)),IF($Z358&lt;=5800,IF(INDEX(次果筐明细!$D$4:$D$603,$Z358-5200)=0,"",INDEX(次果筐明细!$D$4:$D$603,$Z358-5200)),"")))))</f>
        <v/>
      </c>
      <c r="O358" s="40" t="str">
        <f>IF($Z358="","",IF($Z358&lt;=2000,"",IF($Z358&lt;=4000,IF(N(INDEX(周转筐出入库明细!$J$4:$J$2004,$Z358-2000))+N(INDEX(周转筐出入库明细!$K$4:$K$2004,$Z358-2000))=0,"",N(INDEX(周转筐出入库明细!$J$4:$J$2004,$Z358-2000))+N(INDEX(周转筐出入库明细!$K$4:$K$2004,$Z358-2000))),IF($Z358&lt;=5200,IF(N(INDEX(客户自备加工筐明细!$G$4:$G$1203,$Z358-4000))=0,"",N(INDEX(客户自备加工筐明细!$G$4:$G$1203,$Z358-4000))),IF($Z358&lt;=5800,IF(ISNUMBER(SEARCH("退",INDEX(次果筐明细!$F$4:$F$603,$Z358-5200)&amp;"")),"",IF(N(INDEX(次果筐明细!$G$4:$G$603,$Z358-5200))=0,"",N(INDEX(次果筐明细!$G$4:$G$603,$Z358-5200)))),"")))))</f>
        <v/>
      </c>
      <c r="P358" s="40" t="str">
        <f>IF($Z358="","",IF($Z358&lt;=2000,"",IF($Z358&lt;=4000,IF(N(INDEX(周转筐出入库明细!$I$4:$I$2004,$Z358-2000))=0,"",N(INDEX(周转筐出入库明细!$I$4:$I$2004,$Z358-2000))),IF($Z358&lt;=5200,"",IF($Z358&lt;=5800,IF(ISNUMBER(SEARCH("退",INDEX(次果筐明细!$F$4:$F$603,$Z358-5200)&amp;"")),IF(N(INDEX(次果筐明细!$G$4:$G$603,$Z358-5200))=0,"",N(INDEX(次果筐明细!$G$4:$G$603,$Z358-5200))),""),"")))))</f>
        <v/>
      </c>
      <c r="Q358" s="40" t="str">
        <f>IF($Z358="","",IF($Z358&lt;=2000,"",IF($Z358&lt;=4000,IF(N(INDEX(周转筐出入库明细!$H$4:$H$2004,$Z358-2000))=0,"",N(INDEX(周转筐出入库明细!$H$4:$H$2004,$Z358-2000))),IF($Z358&lt;=5200,IF(N(INDEX(客户自备加工筐明细!$F$4:$F$1203,$Z358-4000))=0,"",N(INDEX(客户自备加工筐明细!$F$4:$F$1203,$Z358-4000))),IF($Z358&lt;=5800,"","")))))</f>
        <v/>
      </c>
      <c r="R358" s="16" t="str">
        <f>IF($Z358="","",IF($Z358&lt;=2000,IF(INDEX(包装物料出入库明细!$O$4:$O$2003,$Z358-0)=0,"",INDEX(包装物料出入库明细!$O$4:$O$2003,$Z358-0)),IF($Z358&lt;=4000,IF(INDEX(周转筐出入库明细!$M$4:$M$2004,$Z358-2000)=0,"",INDEX(周转筐出入库明细!$M$4:$M$2004,$Z358-2000)),IF($Z358&lt;=5200,IF(INDEX(客户自备加工筐明细!$H$4:$H$1203,$Z358-4000)=0,"",INDEX(客户自备加工筐明细!$H$4:$H$1203,$Z358-4000)),IF($Z358&lt;=5800,IF(INDEX(次果筐明细!$H$4:$H$603,$Z358-5200)=0,"",INDEX(次果筐明细!$H$4:$H$603,$Z358-5200)),"")))))</f>
        <v/>
      </c>
      <c r="S358" s="22" t="str">
        <f t="shared" si="17"/>
        <v/>
      </c>
      <c r="Z358" s="10" t="str">
        <f>IFERROR(MATCH(ROW()-3,_自动清单!$CQ$4:$CQ$5803,0),"")</f>
        <v/>
      </c>
    </row>
    <row r="359" spans="1:26">
      <c r="A359" s="24" t="str">
        <f t="shared" si="15"/>
        <v/>
      </c>
      <c r="B359" s="38" t="str">
        <f>IF($Z359="","",IF($Z359&lt;=2000,IF(INDEX(包装物料出入库明细!$B$4:$B$2003,$Z359-0)=0,"",INDEX(包装物料出入库明细!$B$4:$B$2003,$Z359-0)),IF($Z359&lt;=4000,IF(INDEX(周转筐出入库明细!$B$4:$B$2004,$Z359-2000)=0,"",INDEX(周转筐出入库明细!$B$4:$B$2004,$Z359-2000)),IF($Z359&lt;=5200,IF(INDEX(客户自备加工筐明细!$B$4:$B$1203,$Z359-4000)=0,"",INDEX(客户自备加工筐明细!$B$4:$B$1203,$Z359-4000)),IF($Z359&lt;=5800,IF(INDEX(次果筐明细!$B$4:$B$603,$Z359-5200)=0,"",INDEX(次果筐明细!$B$4:$B$603,$Z359-5200)),"")))))</f>
        <v/>
      </c>
      <c r="C359" s="37" t="str">
        <f>IF($Z359="","",IF($Z359&lt;=2000,IF(INDEX(包装物料出入库明细!$D$4:$D$2003,$Z359-0)=0,"",INDEX(包装物料出入库明细!$D$4:$D$2003,$Z359-0)),IF($Z359&lt;=4000,IF(INDEX(周转筐出入库明细!$C$4:$C$2004,$Z359-2000)=0,"",INDEX(周转筐出入库明细!$C$4:$C$2004,$Z359-2000)),IF($Z359&lt;=5200,IF(INDEX(客户自备加工筐明细!$E$4:$E$1203,$Z359-4000)=0,"",INDEX(客户自备加工筐明细!$E$4:$E$1203,$Z359-4000)),IF($Z359&lt;=5800,IF(INDEX(次果筐明细!$C$4:$C$603,$Z359-5200)=0,"",INDEX(次果筐明细!$C$4:$C$603,$Z359-5200)),"")))))</f>
        <v/>
      </c>
      <c r="D359" s="37" t="str">
        <f>IF($Z359="","",IF($Z359&lt;=2000,"包装物料－"&amp;INDEX(包装物料出入库明细!$H$4:$H$2003,$Z359-0),IF($Z359&lt;=4000,"周转筐－"&amp;INDEX(周转筐出入库明细!$F$4:$F$2004,$Z359-2000),IF($Z359&lt;=5200,"客户自备筐－"&amp;INDEX(客户自备加工筐明细!$J$4:$J$1203,$Z359-4000),IF($Z359&lt;=5800,"次果筐/托盘－"&amp;INDEX(次果筐明细!$F$4:$F$603,$Z359-5200),"")))))</f>
        <v/>
      </c>
      <c r="E359" s="24" t="str">
        <f>IF($Z359="","",IF($Z359&lt;=2000,IF(INDEX(包装物料出入库明细!$C$4:$C$2003,$Z359-0)=0,"",INDEX(包装物料出入库明细!$C$4:$C$2003,$Z359-0)),IF($Z359&lt;=4000,IF(INDEX(周转筐出入库明细!$E$4:$E$2004,$Z359-2000)=0,"",INDEX(周转筐出入库明细!$E$4:$E$2004,$Z359-2000)),IF($Z359&lt;=5200,IF(INDEX(客户自备加工筐明细!$D$4:$D$1203,$Z359-4000)=0,"",INDEX(客户自备加工筐明细!$D$4:$D$1203,$Z359-4000)),IF($Z359&lt;=5800,IF(INDEX(次果筐明细!$E$4:$E$603,$Z359-5200)=0,"",INDEX(次果筐明细!$E$4:$E$603,$Z359-5200)),"")))))</f>
        <v/>
      </c>
      <c r="F359" s="24" t="str">
        <f>IF($Z359="","",IF($Z359&lt;=2000,IF(INDEX(包装物料出入库明细!$E$4:$E$2003,$Z359-0)=0,"",INDEX(包装物料出入库明细!$E$4:$E$2003,$Z359-0)),IF($Z359&lt;=4000,IF(INDEX(周转筐出入库明细!$D$4:$D$2004,$Z359-2000)=0,"",INDEX(周转筐出入库明细!$D$4:$D$2004,$Z359-2000)),IF($Z359&lt;=5200,IF(INDEX(客户自备加工筐明细!$C$4:$C$1203,$Z359-4000)=0,"",INDEX(客户自备加工筐明细!$C$4:$C$1203,$Z359-4000)),IF($Z359&lt;=5800,IF(INDEX(次果筐明细!$D$4:$D$603,$Z359-5200)=0,"",INDEX(次果筐明细!$D$4:$D$603,$Z359-5200)),"")))))</f>
        <v/>
      </c>
      <c r="G359" s="24" t="str">
        <f>IF($Z359="","",IF($Z359&lt;=2000,IF(INDEX(包装物料出入库明细!$F$4:$F$2003,$Z359-0)=0,"",INDEX(包装物料出入库明细!$F$4:$F$2003,$Z359-0)),IF($Z359&lt;=4000,"",IF($Z359&lt;=5200,"",IF($Z359&lt;=5800,"","")))))</f>
        <v/>
      </c>
      <c r="H359" s="39" t="str">
        <f>IF($Z359="","",IF($Z359&lt;=2000,IF(INDEX(包装物料出入库明细!$L$4:$L$2003,$Z359-0)=0,"",INDEX(包装物料出入库明细!$L$4:$L$2003,$Z359-0)),IF($Z359&lt;=4000,N(INDEX(周转筐出入库明细!$H$4:$H$2004,$Z359-2000))+N(INDEX(周转筐出入库明细!$I$4:$I$2004,$Z359-2000))+N(INDEX(周转筐出入库明细!$J$4:$J$2004,$Z359-2000))+N(INDEX(周转筐出入库明细!$K$4:$K$2004,$Z359-2000)),IF($Z359&lt;=5200,N(INDEX(客户自备加工筐明细!$F$4:$F$1203,$Z359-4000))+N(INDEX(客户自备加工筐明细!$G$4:$G$1203,$Z359-4000)),IF($Z359&lt;=5800,IF(INDEX(次果筐明细!$G$4:$G$603,$Z359-5200)=0,"",INDEX(次果筐明细!$G$4:$G$603,$Z359-5200)),"")))))</f>
        <v/>
      </c>
      <c r="I359" s="24" t="str">
        <f>IF($Z359="","",IF($Z359&lt;=2000,IF(INDEX(包装物料出入库明细!$G$4:$G$2003,$Z359-0)=0,"",INDEX(包装物料出入库明细!$G$4:$G$2003,$Z359-0)),IF($Z359&lt;=4000,"个",IF($Z359&lt;=5200,"个",IF($Z359&lt;=5800,"个","")))))</f>
        <v/>
      </c>
      <c r="J359" s="30" t="str">
        <f t="shared" si="16"/>
        <v/>
      </c>
      <c r="K359" s="30" t="str">
        <f>IF($Z359="","",IF($Z359&lt;=2000,IF(INDEX(包装物料出入库明细!$N$4:$N$2003,$Z359-0)=0,"",INDEX(包装物料出入库明细!$N$4:$N$2003,$Z359-0)),IF($Z359&lt;=4000,IF(INDEX(周转筐出入库明细!$P$4:$P$2004,$Z359-2000)=0,"",INDEX(周转筐出入库明细!$P$4:$P$2004,$Z359-2000)),IF($Z359&lt;=5200,"",IF($Z359&lt;=5800,N(INDEX(次果筐明细!$L$4:$L$603,$Z359-5200))+N(INDEX(次果筐明细!$J$4:$J$603,$Z359-5200)),"")))))</f>
        <v/>
      </c>
      <c r="L359" s="24" t="str">
        <f>IF($Z359="","",IF($Z359&lt;=2000,IF(INDEX(包装物料出入库明细!$P$4:$P$2003,$Z359-0)=0,"",INDEX(包装物料出入库明细!$P$4:$P$2003,$Z359-0)),IF($Z359&lt;=4000,IF(INDEX(周转筐出入库明细!$Q$4:$Q$2004,$Z359-2000)=0,"",INDEX(周转筐出入库明细!$Q$4:$Q$2004,$Z359-2000)),IF($Z359&lt;=5200,"",IF($Z359&lt;=5800,IF(INDEX(次果筐明细!$M$4:$M$603,$Z359-5200)=0,"",INDEX(次果筐明细!$M$4:$M$603,$Z359-5200)),"")))))</f>
        <v/>
      </c>
      <c r="M359" s="37" t="str">
        <f>IF($Z359="","",IF($Z359&lt;=2000,IF(INDEX(包装物料出入库明细!$R$4:$R$2003,$Z359-0)=0,"",INDEX(包装物料出入库明细!$R$4:$R$2003,$Z359-0)),IF($Z359&lt;=4000,IF(INDEX(周转筐出入库明细!$W$4:$W$2004,$Z359-2000)=0,"",INDEX(周转筐出入库明细!$W$4:$W$2004,$Z359-2000)),IF($Z359&lt;=5200,IF(INDEX(客户自备加工筐明细!$L$4:$L$1203,$Z359-4000)=0,"",INDEX(客户自备加工筐明细!$L$4:$L$1203,$Z359-4000)),IF($Z359&lt;=5800,IF(INDEX(次果筐明细!$P$4:$P$603,$Z359-5200)=0,"",INDEX(次果筐明细!$P$4:$P$603,$Z359-5200)),"")))))</f>
        <v/>
      </c>
      <c r="N359" s="16" t="str">
        <f>IF($Z359="","",IF($Z359&lt;=2000,"",IF($Z359&lt;=4000,IF(INDEX(周转筐出入库明细!$D$4:$D$2004,$Z359-2000)=0,"",INDEX(周转筐出入库明细!$D$4:$D$2004,$Z359-2000)),IF($Z359&lt;=5200,IF(INDEX(客户自备加工筐明细!$C$4:$C$1203,$Z359-4000)=0,"",INDEX(客户自备加工筐明细!$C$4:$C$1203,$Z359-4000)),IF($Z359&lt;=5800,IF(INDEX(次果筐明细!$D$4:$D$603,$Z359-5200)=0,"",INDEX(次果筐明细!$D$4:$D$603,$Z359-5200)),"")))))</f>
        <v/>
      </c>
      <c r="O359" s="40" t="str">
        <f>IF($Z359="","",IF($Z359&lt;=2000,"",IF($Z359&lt;=4000,IF(N(INDEX(周转筐出入库明细!$J$4:$J$2004,$Z359-2000))+N(INDEX(周转筐出入库明细!$K$4:$K$2004,$Z359-2000))=0,"",N(INDEX(周转筐出入库明细!$J$4:$J$2004,$Z359-2000))+N(INDEX(周转筐出入库明细!$K$4:$K$2004,$Z359-2000))),IF($Z359&lt;=5200,IF(N(INDEX(客户自备加工筐明细!$G$4:$G$1203,$Z359-4000))=0,"",N(INDEX(客户自备加工筐明细!$G$4:$G$1203,$Z359-4000))),IF($Z359&lt;=5800,IF(ISNUMBER(SEARCH("退",INDEX(次果筐明细!$F$4:$F$603,$Z359-5200)&amp;"")),"",IF(N(INDEX(次果筐明细!$G$4:$G$603,$Z359-5200))=0,"",N(INDEX(次果筐明细!$G$4:$G$603,$Z359-5200)))),"")))))</f>
        <v/>
      </c>
      <c r="P359" s="40" t="str">
        <f>IF($Z359="","",IF($Z359&lt;=2000,"",IF($Z359&lt;=4000,IF(N(INDEX(周转筐出入库明细!$I$4:$I$2004,$Z359-2000))=0,"",N(INDEX(周转筐出入库明细!$I$4:$I$2004,$Z359-2000))),IF($Z359&lt;=5200,"",IF($Z359&lt;=5800,IF(ISNUMBER(SEARCH("退",INDEX(次果筐明细!$F$4:$F$603,$Z359-5200)&amp;"")),IF(N(INDEX(次果筐明细!$G$4:$G$603,$Z359-5200))=0,"",N(INDEX(次果筐明细!$G$4:$G$603,$Z359-5200))),""),"")))))</f>
        <v/>
      </c>
      <c r="Q359" s="40" t="str">
        <f>IF($Z359="","",IF($Z359&lt;=2000,"",IF($Z359&lt;=4000,IF(N(INDEX(周转筐出入库明细!$H$4:$H$2004,$Z359-2000))=0,"",N(INDEX(周转筐出入库明细!$H$4:$H$2004,$Z359-2000))),IF($Z359&lt;=5200,IF(N(INDEX(客户自备加工筐明细!$F$4:$F$1203,$Z359-4000))=0,"",N(INDEX(客户自备加工筐明细!$F$4:$F$1203,$Z359-4000))),IF($Z359&lt;=5800,"","")))))</f>
        <v/>
      </c>
      <c r="R359" s="16" t="str">
        <f>IF($Z359="","",IF($Z359&lt;=2000,IF(INDEX(包装物料出入库明细!$O$4:$O$2003,$Z359-0)=0,"",INDEX(包装物料出入库明细!$O$4:$O$2003,$Z359-0)),IF($Z359&lt;=4000,IF(INDEX(周转筐出入库明细!$M$4:$M$2004,$Z359-2000)=0,"",INDEX(周转筐出入库明细!$M$4:$M$2004,$Z359-2000)),IF($Z359&lt;=5200,IF(INDEX(客户自备加工筐明细!$H$4:$H$1203,$Z359-4000)=0,"",INDEX(客户自备加工筐明细!$H$4:$H$1203,$Z359-4000)),IF($Z359&lt;=5800,IF(INDEX(次果筐明细!$H$4:$H$603,$Z359-5200)=0,"",INDEX(次果筐明细!$H$4:$H$603,$Z359-5200)),"")))))</f>
        <v/>
      </c>
      <c r="S359" s="22" t="str">
        <f t="shared" si="17"/>
        <v/>
      </c>
      <c r="Z359" s="10" t="str">
        <f>IFERROR(MATCH(ROW()-3,_自动清单!$CQ$4:$CQ$5803,0),"")</f>
        <v/>
      </c>
    </row>
    <row r="360" spans="1:26">
      <c r="A360" s="24" t="str">
        <f t="shared" si="15"/>
        <v/>
      </c>
      <c r="B360" s="38" t="str">
        <f>IF($Z360="","",IF($Z360&lt;=2000,IF(INDEX(包装物料出入库明细!$B$4:$B$2003,$Z360-0)=0,"",INDEX(包装物料出入库明细!$B$4:$B$2003,$Z360-0)),IF($Z360&lt;=4000,IF(INDEX(周转筐出入库明细!$B$4:$B$2004,$Z360-2000)=0,"",INDEX(周转筐出入库明细!$B$4:$B$2004,$Z360-2000)),IF($Z360&lt;=5200,IF(INDEX(客户自备加工筐明细!$B$4:$B$1203,$Z360-4000)=0,"",INDEX(客户自备加工筐明细!$B$4:$B$1203,$Z360-4000)),IF($Z360&lt;=5800,IF(INDEX(次果筐明细!$B$4:$B$603,$Z360-5200)=0,"",INDEX(次果筐明细!$B$4:$B$603,$Z360-5200)),"")))))</f>
        <v/>
      </c>
      <c r="C360" s="37" t="str">
        <f>IF($Z360="","",IF($Z360&lt;=2000,IF(INDEX(包装物料出入库明细!$D$4:$D$2003,$Z360-0)=0,"",INDEX(包装物料出入库明细!$D$4:$D$2003,$Z360-0)),IF($Z360&lt;=4000,IF(INDEX(周转筐出入库明细!$C$4:$C$2004,$Z360-2000)=0,"",INDEX(周转筐出入库明细!$C$4:$C$2004,$Z360-2000)),IF($Z360&lt;=5200,IF(INDEX(客户自备加工筐明细!$E$4:$E$1203,$Z360-4000)=0,"",INDEX(客户自备加工筐明细!$E$4:$E$1203,$Z360-4000)),IF($Z360&lt;=5800,IF(INDEX(次果筐明细!$C$4:$C$603,$Z360-5200)=0,"",INDEX(次果筐明细!$C$4:$C$603,$Z360-5200)),"")))))</f>
        <v/>
      </c>
      <c r="D360" s="37" t="str">
        <f>IF($Z360="","",IF($Z360&lt;=2000,"包装物料－"&amp;INDEX(包装物料出入库明细!$H$4:$H$2003,$Z360-0),IF($Z360&lt;=4000,"周转筐－"&amp;INDEX(周转筐出入库明细!$F$4:$F$2004,$Z360-2000),IF($Z360&lt;=5200,"客户自备筐－"&amp;INDEX(客户自备加工筐明细!$J$4:$J$1203,$Z360-4000),IF($Z360&lt;=5800,"次果筐/托盘－"&amp;INDEX(次果筐明细!$F$4:$F$603,$Z360-5200),"")))))</f>
        <v/>
      </c>
      <c r="E360" s="24" t="str">
        <f>IF($Z360="","",IF($Z360&lt;=2000,IF(INDEX(包装物料出入库明细!$C$4:$C$2003,$Z360-0)=0,"",INDEX(包装物料出入库明细!$C$4:$C$2003,$Z360-0)),IF($Z360&lt;=4000,IF(INDEX(周转筐出入库明细!$E$4:$E$2004,$Z360-2000)=0,"",INDEX(周转筐出入库明细!$E$4:$E$2004,$Z360-2000)),IF($Z360&lt;=5200,IF(INDEX(客户自备加工筐明细!$D$4:$D$1203,$Z360-4000)=0,"",INDEX(客户自备加工筐明细!$D$4:$D$1203,$Z360-4000)),IF($Z360&lt;=5800,IF(INDEX(次果筐明细!$E$4:$E$603,$Z360-5200)=0,"",INDEX(次果筐明细!$E$4:$E$603,$Z360-5200)),"")))))</f>
        <v/>
      </c>
      <c r="F360" s="24" t="str">
        <f>IF($Z360="","",IF($Z360&lt;=2000,IF(INDEX(包装物料出入库明细!$E$4:$E$2003,$Z360-0)=0,"",INDEX(包装物料出入库明细!$E$4:$E$2003,$Z360-0)),IF($Z360&lt;=4000,IF(INDEX(周转筐出入库明细!$D$4:$D$2004,$Z360-2000)=0,"",INDEX(周转筐出入库明细!$D$4:$D$2004,$Z360-2000)),IF($Z360&lt;=5200,IF(INDEX(客户自备加工筐明细!$C$4:$C$1203,$Z360-4000)=0,"",INDEX(客户自备加工筐明细!$C$4:$C$1203,$Z360-4000)),IF($Z360&lt;=5800,IF(INDEX(次果筐明细!$D$4:$D$603,$Z360-5200)=0,"",INDEX(次果筐明细!$D$4:$D$603,$Z360-5200)),"")))))</f>
        <v/>
      </c>
      <c r="G360" s="24" t="str">
        <f>IF($Z360="","",IF($Z360&lt;=2000,IF(INDEX(包装物料出入库明细!$F$4:$F$2003,$Z360-0)=0,"",INDEX(包装物料出入库明细!$F$4:$F$2003,$Z360-0)),IF($Z360&lt;=4000,"",IF($Z360&lt;=5200,"",IF($Z360&lt;=5800,"","")))))</f>
        <v/>
      </c>
      <c r="H360" s="39" t="str">
        <f>IF($Z360="","",IF($Z360&lt;=2000,IF(INDEX(包装物料出入库明细!$L$4:$L$2003,$Z360-0)=0,"",INDEX(包装物料出入库明细!$L$4:$L$2003,$Z360-0)),IF($Z360&lt;=4000,N(INDEX(周转筐出入库明细!$H$4:$H$2004,$Z360-2000))+N(INDEX(周转筐出入库明细!$I$4:$I$2004,$Z360-2000))+N(INDEX(周转筐出入库明细!$J$4:$J$2004,$Z360-2000))+N(INDEX(周转筐出入库明细!$K$4:$K$2004,$Z360-2000)),IF($Z360&lt;=5200,N(INDEX(客户自备加工筐明细!$F$4:$F$1203,$Z360-4000))+N(INDEX(客户自备加工筐明细!$G$4:$G$1203,$Z360-4000)),IF($Z360&lt;=5800,IF(INDEX(次果筐明细!$G$4:$G$603,$Z360-5200)=0,"",INDEX(次果筐明细!$G$4:$G$603,$Z360-5200)),"")))))</f>
        <v/>
      </c>
      <c r="I360" s="24" t="str">
        <f>IF($Z360="","",IF($Z360&lt;=2000,IF(INDEX(包装物料出入库明细!$G$4:$G$2003,$Z360-0)=0,"",INDEX(包装物料出入库明细!$G$4:$G$2003,$Z360-0)),IF($Z360&lt;=4000,"个",IF($Z360&lt;=5200,"个",IF($Z360&lt;=5800,"个","")))))</f>
        <v/>
      </c>
      <c r="J360" s="30" t="str">
        <f t="shared" si="16"/>
        <v/>
      </c>
      <c r="K360" s="30" t="str">
        <f>IF($Z360="","",IF($Z360&lt;=2000,IF(INDEX(包装物料出入库明细!$N$4:$N$2003,$Z360-0)=0,"",INDEX(包装物料出入库明细!$N$4:$N$2003,$Z360-0)),IF($Z360&lt;=4000,IF(INDEX(周转筐出入库明细!$P$4:$P$2004,$Z360-2000)=0,"",INDEX(周转筐出入库明细!$P$4:$P$2004,$Z360-2000)),IF($Z360&lt;=5200,"",IF($Z360&lt;=5800,N(INDEX(次果筐明细!$L$4:$L$603,$Z360-5200))+N(INDEX(次果筐明细!$J$4:$J$603,$Z360-5200)),"")))))</f>
        <v/>
      </c>
      <c r="L360" s="24" t="str">
        <f>IF($Z360="","",IF($Z360&lt;=2000,IF(INDEX(包装物料出入库明细!$P$4:$P$2003,$Z360-0)=0,"",INDEX(包装物料出入库明细!$P$4:$P$2003,$Z360-0)),IF($Z360&lt;=4000,IF(INDEX(周转筐出入库明细!$Q$4:$Q$2004,$Z360-2000)=0,"",INDEX(周转筐出入库明细!$Q$4:$Q$2004,$Z360-2000)),IF($Z360&lt;=5200,"",IF($Z360&lt;=5800,IF(INDEX(次果筐明细!$M$4:$M$603,$Z360-5200)=0,"",INDEX(次果筐明细!$M$4:$M$603,$Z360-5200)),"")))))</f>
        <v/>
      </c>
      <c r="M360" s="37" t="str">
        <f>IF($Z360="","",IF($Z360&lt;=2000,IF(INDEX(包装物料出入库明细!$R$4:$R$2003,$Z360-0)=0,"",INDEX(包装物料出入库明细!$R$4:$R$2003,$Z360-0)),IF($Z360&lt;=4000,IF(INDEX(周转筐出入库明细!$W$4:$W$2004,$Z360-2000)=0,"",INDEX(周转筐出入库明细!$W$4:$W$2004,$Z360-2000)),IF($Z360&lt;=5200,IF(INDEX(客户自备加工筐明细!$L$4:$L$1203,$Z360-4000)=0,"",INDEX(客户自备加工筐明细!$L$4:$L$1203,$Z360-4000)),IF($Z360&lt;=5800,IF(INDEX(次果筐明细!$P$4:$P$603,$Z360-5200)=0,"",INDEX(次果筐明细!$P$4:$P$603,$Z360-5200)),"")))))</f>
        <v/>
      </c>
      <c r="N360" s="16" t="str">
        <f>IF($Z360="","",IF($Z360&lt;=2000,"",IF($Z360&lt;=4000,IF(INDEX(周转筐出入库明细!$D$4:$D$2004,$Z360-2000)=0,"",INDEX(周转筐出入库明细!$D$4:$D$2004,$Z360-2000)),IF($Z360&lt;=5200,IF(INDEX(客户自备加工筐明细!$C$4:$C$1203,$Z360-4000)=0,"",INDEX(客户自备加工筐明细!$C$4:$C$1203,$Z360-4000)),IF($Z360&lt;=5800,IF(INDEX(次果筐明细!$D$4:$D$603,$Z360-5200)=0,"",INDEX(次果筐明细!$D$4:$D$603,$Z360-5200)),"")))))</f>
        <v/>
      </c>
      <c r="O360" s="40" t="str">
        <f>IF($Z360="","",IF($Z360&lt;=2000,"",IF($Z360&lt;=4000,IF(N(INDEX(周转筐出入库明细!$J$4:$J$2004,$Z360-2000))+N(INDEX(周转筐出入库明细!$K$4:$K$2004,$Z360-2000))=0,"",N(INDEX(周转筐出入库明细!$J$4:$J$2004,$Z360-2000))+N(INDEX(周转筐出入库明细!$K$4:$K$2004,$Z360-2000))),IF($Z360&lt;=5200,IF(N(INDEX(客户自备加工筐明细!$G$4:$G$1203,$Z360-4000))=0,"",N(INDEX(客户自备加工筐明细!$G$4:$G$1203,$Z360-4000))),IF($Z360&lt;=5800,IF(ISNUMBER(SEARCH("退",INDEX(次果筐明细!$F$4:$F$603,$Z360-5200)&amp;"")),"",IF(N(INDEX(次果筐明细!$G$4:$G$603,$Z360-5200))=0,"",N(INDEX(次果筐明细!$G$4:$G$603,$Z360-5200)))),"")))))</f>
        <v/>
      </c>
      <c r="P360" s="40" t="str">
        <f>IF($Z360="","",IF($Z360&lt;=2000,"",IF($Z360&lt;=4000,IF(N(INDEX(周转筐出入库明细!$I$4:$I$2004,$Z360-2000))=0,"",N(INDEX(周转筐出入库明细!$I$4:$I$2004,$Z360-2000))),IF($Z360&lt;=5200,"",IF($Z360&lt;=5800,IF(ISNUMBER(SEARCH("退",INDEX(次果筐明细!$F$4:$F$603,$Z360-5200)&amp;"")),IF(N(INDEX(次果筐明细!$G$4:$G$603,$Z360-5200))=0,"",N(INDEX(次果筐明细!$G$4:$G$603,$Z360-5200))),""),"")))))</f>
        <v/>
      </c>
      <c r="Q360" s="40" t="str">
        <f>IF($Z360="","",IF($Z360&lt;=2000,"",IF($Z360&lt;=4000,IF(N(INDEX(周转筐出入库明细!$H$4:$H$2004,$Z360-2000))=0,"",N(INDEX(周转筐出入库明细!$H$4:$H$2004,$Z360-2000))),IF($Z360&lt;=5200,IF(N(INDEX(客户自备加工筐明细!$F$4:$F$1203,$Z360-4000))=0,"",N(INDEX(客户自备加工筐明细!$F$4:$F$1203,$Z360-4000))),IF($Z360&lt;=5800,"","")))))</f>
        <v/>
      </c>
      <c r="R360" s="16" t="str">
        <f>IF($Z360="","",IF($Z360&lt;=2000,IF(INDEX(包装物料出入库明细!$O$4:$O$2003,$Z360-0)=0,"",INDEX(包装物料出入库明细!$O$4:$O$2003,$Z360-0)),IF($Z360&lt;=4000,IF(INDEX(周转筐出入库明细!$M$4:$M$2004,$Z360-2000)=0,"",INDEX(周转筐出入库明细!$M$4:$M$2004,$Z360-2000)),IF($Z360&lt;=5200,IF(INDEX(客户自备加工筐明细!$H$4:$H$1203,$Z360-4000)=0,"",INDEX(客户自备加工筐明细!$H$4:$H$1203,$Z360-4000)),IF($Z360&lt;=5800,IF(INDEX(次果筐明细!$H$4:$H$603,$Z360-5200)=0,"",INDEX(次果筐明细!$H$4:$H$603,$Z360-5200)),"")))))</f>
        <v/>
      </c>
      <c r="S360" s="22" t="str">
        <f t="shared" si="17"/>
        <v/>
      </c>
      <c r="Z360" s="10" t="str">
        <f>IFERROR(MATCH(ROW()-3,_自动清单!$CQ$4:$CQ$5803,0),"")</f>
        <v/>
      </c>
    </row>
    <row r="361" spans="1:26">
      <c r="A361" s="24" t="str">
        <f t="shared" si="15"/>
        <v/>
      </c>
      <c r="B361" s="38" t="str">
        <f>IF($Z361="","",IF($Z361&lt;=2000,IF(INDEX(包装物料出入库明细!$B$4:$B$2003,$Z361-0)=0,"",INDEX(包装物料出入库明细!$B$4:$B$2003,$Z361-0)),IF($Z361&lt;=4000,IF(INDEX(周转筐出入库明细!$B$4:$B$2004,$Z361-2000)=0,"",INDEX(周转筐出入库明细!$B$4:$B$2004,$Z361-2000)),IF($Z361&lt;=5200,IF(INDEX(客户自备加工筐明细!$B$4:$B$1203,$Z361-4000)=0,"",INDEX(客户自备加工筐明细!$B$4:$B$1203,$Z361-4000)),IF($Z361&lt;=5800,IF(INDEX(次果筐明细!$B$4:$B$603,$Z361-5200)=0,"",INDEX(次果筐明细!$B$4:$B$603,$Z361-5200)),"")))))</f>
        <v/>
      </c>
      <c r="C361" s="37" t="str">
        <f>IF($Z361="","",IF($Z361&lt;=2000,IF(INDEX(包装物料出入库明细!$D$4:$D$2003,$Z361-0)=0,"",INDEX(包装物料出入库明细!$D$4:$D$2003,$Z361-0)),IF($Z361&lt;=4000,IF(INDEX(周转筐出入库明细!$C$4:$C$2004,$Z361-2000)=0,"",INDEX(周转筐出入库明细!$C$4:$C$2004,$Z361-2000)),IF($Z361&lt;=5200,IF(INDEX(客户自备加工筐明细!$E$4:$E$1203,$Z361-4000)=0,"",INDEX(客户自备加工筐明细!$E$4:$E$1203,$Z361-4000)),IF($Z361&lt;=5800,IF(INDEX(次果筐明细!$C$4:$C$603,$Z361-5200)=0,"",INDEX(次果筐明细!$C$4:$C$603,$Z361-5200)),"")))))</f>
        <v/>
      </c>
      <c r="D361" s="37" t="str">
        <f>IF($Z361="","",IF($Z361&lt;=2000,"包装物料－"&amp;INDEX(包装物料出入库明细!$H$4:$H$2003,$Z361-0),IF($Z361&lt;=4000,"周转筐－"&amp;INDEX(周转筐出入库明细!$F$4:$F$2004,$Z361-2000),IF($Z361&lt;=5200,"客户自备筐－"&amp;INDEX(客户自备加工筐明细!$J$4:$J$1203,$Z361-4000),IF($Z361&lt;=5800,"次果筐/托盘－"&amp;INDEX(次果筐明细!$F$4:$F$603,$Z361-5200),"")))))</f>
        <v/>
      </c>
      <c r="E361" s="24" t="str">
        <f>IF($Z361="","",IF($Z361&lt;=2000,IF(INDEX(包装物料出入库明细!$C$4:$C$2003,$Z361-0)=0,"",INDEX(包装物料出入库明细!$C$4:$C$2003,$Z361-0)),IF($Z361&lt;=4000,IF(INDEX(周转筐出入库明细!$E$4:$E$2004,$Z361-2000)=0,"",INDEX(周转筐出入库明细!$E$4:$E$2004,$Z361-2000)),IF($Z361&lt;=5200,IF(INDEX(客户自备加工筐明细!$D$4:$D$1203,$Z361-4000)=0,"",INDEX(客户自备加工筐明细!$D$4:$D$1203,$Z361-4000)),IF($Z361&lt;=5800,IF(INDEX(次果筐明细!$E$4:$E$603,$Z361-5200)=0,"",INDEX(次果筐明细!$E$4:$E$603,$Z361-5200)),"")))))</f>
        <v/>
      </c>
      <c r="F361" s="24" t="str">
        <f>IF($Z361="","",IF($Z361&lt;=2000,IF(INDEX(包装物料出入库明细!$E$4:$E$2003,$Z361-0)=0,"",INDEX(包装物料出入库明细!$E$4:$E$2003,$Z361-0)),IF($Z361&lt;=4000,IF(INDEX(周转筐出入库明细!$D$4:$D$2004,$Z361-2000)=0,"",INDEX(周转筐出入库明细!$D$4:$D$2004,$Z361-2000)),IF($Z361&lt;=5200,IF(INDEX(客户自备加工筐明细!$C$4:$C$1203,$Z361-4000)=0,"",INDEX(客户自备加工筐明细!$C$4:$C$1203,$Z361-4000)),IF($Z361&lt;=5800,IF(INDEX(次果筐明细!$D$4:$D$603,$Z361-5200)=0,"",INDEX(次果筐明细!$D$4:$D$603,$Z361-5200)),"")))))</f>
        <v/>
      </c>
      <c r="G361" s="24" t="str">
        <f>IF($Z361="","",IF($Z361&lt;=2000,IF(INDEX(包装物料出入库明细!$F$4:$F$2003,$Z361-0)=0,"",INDEX(包装物料出入库明细!$F$4:$F$2003,$Z361-0)),IF($Z361&lt;=4000,"",IF($Z361&lt;=5200,"",IF($Z361&lt;=5800,"","")))))</f>
        <v/>
      </c>
      <c r="H361" s="39" t="str">
        <f>IF($Z361="","",IF($Z361&lt;=2000,IF(INDEX(包装物料出入库明细!$L$4:$L$2003,$Z361-0)=0,"",INDEX(包装物料出入库明细!$L$4:$L$2003,$Z361-0)),IF($Z361&lt;=4000,N(INDEX(周转筐出入库明细!$H$4:$H$2004,$Z361-2000))+N(INDEX(周转筐出入库明细!$I$4:$I$2004,$Z361-2000))+N(INDEX(周转筐出入库明细!$J$4:$J$2004,$Z361-2000))+N(INDEX(周转筐出入库明细!$K$4:$K$2004,$Z361-2000)),IF($Z361&lt;=5200,N(INDEX(客户自备加工筐明细!$F$4:$F$1203,$Z361-4000))+N(INDEX(客户自备加工筐明细!$G$4:$G$1203,$Z361-4000)),IF($Z361&lt;=5800,IF(INDEX(次果筐明细!$G$4:$G$603,$Z361-5200)=0,"",INDEX(次果筐明细!$G$4:$G$603,$Z361-5200)),"")))))</f>
        <v/>
      </c>
      <c r="I361" s="24" t="str">
        <f>IF($Z361="","",IF($Z361&lt;=2000,IF(INDEX(包装物料出入库明细!$G$4:$G$2003,$Z361-0)=0,"",INDEX(包装物料出入库明细!$G$4:$G$2003,$Z361-0)),IF($Z361&lt;=4000,"个",IF($Z361&lt;=5200,"个",IF($Z361&lt;=5800,"个","")))))</f>
        <v/>
      </c>
      <c r="J361" s="30" t="str">
        <f t="shared" si="16"/>
        <v/>
      </c>
      <c r="K361" s="30" t="str">
        <f>IF($Z361="","",IF($Z361&lt;=2000,IF(INDEX(包装物料出入库明细!$N$4:$N$2003,$Z361-0)=0,"",INDEX(包装物料出入库明细!$N$4:$N$2003,$Z361-0)),IF($Z361&lt;=4000,IF(INDEX(周转筐出入库明细!$P$4:$P$2004,$Z361-2000)=0,"",INDEX(周转筐出入库明细!$P$4:$P$2004,$Z361-2000)),IF($Z361&lt;=5200,"",IF($Z361&lt;=5800,N(INDEX(次果筐明细!$L$4:$L$603,$Z361-5200))+N(INDEX(次果筐明细!$J$4:$J$603,$Z361-5200)),"")))))</f>
        <v/>
      </c>
      <c r="L361" s="24" t="str">
        <f>IF($Z361="","",IF($Z361&lt;=2000,IF(INDEX(包装物料出入库明细!$P$4:$P$2003,$Z361-0)=0,"",INDEX(包装物料出入库明细!$P$4:$P$2003,$Z361-0)),IF($Z361&lt;=4000,IF(INDEX(周转筐出入库明细!$Q$4:$Q$2004,$Z361-2000)=0,"",INDEX(周转筐出入库明细!$Q$4:$Q$2004,$Z361-2000)),IF($Z361&lt;=5200,"",IF($Z361&lt;=5800,IF(INDEX(次果筐明细!$M$4:$M$603,$Z361-5200)=0,"",INDEX(次果筐明细!$M$4:$M$603,$Z361-5200)),"")))))</f>
        <v/>
      </c>
      <c r="M361" s="37" t="str">
        <f>IF($Z361="","",IF($Z361&lt;=2000,IF(INDEX(包装物料出入库明细!$R$4:$R$2003,$Z361-0)=0,"",INDEX(包装物料出入库明细!$R$4:$R$2003,$Z361-0)),IF($Z361&lt;=4000,IF(INDEX(周转筐出入库明细!$W$4:$W$2004,$Z361-2000)=0,"",INDEX(周转筐出入库明细!$W$4:$W$2004,$Z361-2000)),IF($Z361&lt;=5200,IF(INDEX(客户自备加工筐明细!$L$4:$L$1203,$Z361-4000)=0,"",INDEX(客户自备加工筐明细!$L$4:$L$1203,$Z361-4000)),IF($Z361&lt;=5800,IF(INDEX(次果筐明细!$P$4:$P$603,$Z361-5200)=0,"",INDEX(次果筐明细!$P$4:$P$603,$Z361-5200)),"")))))</f>
        <v/>
      </c>
      <c r="N361" s="16" t="str">
        <f>IF($Z361="","",IF($Z361&lt;=2000,"",IF($Z361&lt;=4000,IF(INDEX(周转筐出入库明细!$D$4:$D$2004,$Z361-2000)=0,"",INDEX(周转筐出入库明细!$D$4:$D$2004,$Z361-2000)),IF($Z361&lt;=5200,IF(INDEX(客户自备加工筐明细!$C$4:$C$1203,$Z361-4000)=0,"",INDEX(客户自备加工筐明细!$C$4:$C$1203,$Z361-4000)),IF($Z361&lt;=5800,IF(INDEX(次果筐明细!$D$4:$D$603,$Z361-5200)=0,"",INDEX(次果筐明细!$D$4:$D$603,$Z361-5200)),"")))))</f>
        <v/>
      </c>
      <c r="O361" s="40" t="str">
        <f>IF($Z361="","",IF($Z361&lt;=2000,"",IF($Z361&lt;=4000,IF(N(INDEX(周转筐出入库明细!$J$4:$J$2004,$Z361-2000))+N(INDEX(周转筐出入库明细!$K$4:$K$2004,$Z361-2000))=0,"",N(INDEX(周转筐出入库明细!$J$4:$J$2004,$Z361-2000))+N(INDEX(周转筐出入库明细!$K$4:$K$2004,$Z361-2000))),IF($Z361&lt;=5200,IF(N(INDEX(客户自备加工筐明细!$G$4:$G$1203,$Z361-4000))=0,"",N(INDEX(客户自备加工筐明细!$G$4:$G$1203,$Z361-4000))),IF($Z361&lt;=5800,IF(ISNUMBER(SEARCH("退",INDEX(次果筐明细!$F$4:$F$603,$Z361-5200)&amp;"")),"",IF(N(INDEX(次果筐明细!$G$4:$G$603,$Z361-5200))=0,"",N(INDEX(次果筐明细!$G$4:$G$603,$Z361-5200)))),"")))))</f>
        <v/>
      </c>
      <c r="P361" s="40" t="str">
        <f>IF($Z361="","",IF($Z361&lt;=2000,"",IF($Z361&lt;=4000,IF(N(INDEX(周转筐出入库明细!$I$4:$I$2004,$Z361-2000))=0,"",N(INDEX(周转筐出入库明细!$I$4:$I$2004,$Z361-2000))),IF($Z361&lt;=5200,"",IF($Z361&lt;=5800,IF(ISNUMBER(SEARCH("退",INDEX(次果筐明细!$F$4:$F$603,$Z361-5200)&amp;"")),IF(N(INDEX(次果筐明细!$G$4:$G$603,$Z361-5200))=0,"",N(INDEX(次果筐明细!$G$4:$G$603,$Z361-5200))),""),"")))))</f>
        <v/>
      </c>
      <c r="Q361" s="40" t="str">
        <f>IF($Z361="","",IF($Z361&lt;=2000,"",IF($Z361&lt;=4000,IF(N(INDEX(周转筐出入库明细!$H$4:$H$2004,$Z361-2000))=0,"",N(INDEX(周转筐出入库明细!$H$4:$H$2004,$Z361-2000))),IF($Z361&lt;=5200,IF(N(INDEX(客户自备加工筐明细!$F$4:$F$1203,$Z361-4000))=0,"",N(INDEX(客户自备加工筐明细!$F$4:$F$1203,$Z361-4000))),IF($Z361&lt;=5800,"","")))))</f>
        <v/>
      </c>
      <c r="R361" s="16" t="str">
        <f>IF($Z361="","",IF($Z361&lt;=2000,IF(INDEX(包装物料出入库明细!$O$4:$O$2003,$Z361-0)=0,"",INDEX(包装物料出入库明细!$O$4:$O$2003,$Z361-0)),IF($Z361&lt;=4000,IF(INDEX(周转筐出入库明细!$M$4:$M$2004,$Z361-2000)=0,"",INDEX(周转筐出入库明细!$M$4:$M$2004,$Z361-2000)),IF($Z361&lt;=5200,IF(INDEX(客户自备加工筐明细!$H$4:$H$1203,$Z361-4000)=0,"",INDEX(客户自备加工筐明细!$H$4:$H$1203,$Z361-4000)),IF($Z361&lt;=5800,IF(INDEX(次果筐明细!$H$4:$H$603,$Z361-5200)=0,"",INDEX(次果筐明细!$H$4:$H$603,$Z361-5200)),"")))))</f>
        <v/>
      </c>
      <c r="S361" s="22" t="str">
        <f t="shared" si="17"/>
        <v/>
      </c>
      <c r="Z361" s="10" t="str">
        <f>IFERROR(MATCH(ROW()-3,_自动清单!$CQ$4:$CQ$5803,0),"")</f>
        <v/>
      </c>
    </row>
    <row r="362" spans="1:26">
      <c r="A362" s="24" t="str">
        <f t="shared" si="15"/>
        <v/>
      </c>
      <c r="B362" s="38" t="str">
        <f>IF($Z362="","",IF($Z362&lt;=2000,IF(INDEX(包装物料出入库明细!$B$4:$B$2003,$Z362-0)=0,"",INDEX(包装物料出入库明细!$B$4:$B$2003,$Z362-0)),IF($Z362&lt;=4000,IF(INDEX(周转筐出入库明细!$B$4:$B$2004,$Z362-2000)=0,"",INDEX(周转筐出入库明细!$B$4:$B$2004,$Z362-2000)),IF($Z362&lt;=5200,IF(INDEX(客户自备加工筐明细!$B$4:$B$1203,$Z362-4000)=0,"",INDEX(客户自备加工筐明细!$B$4:$B$1203,$Z362-4000)),IF($Z362&lt;=5800,IF(INDEX(次果筐明细!$B$4:$B$603,$Z362-5200)=0,"",INDEX(次果筐明细!$B$4:$B$603,$Z362-5200)),"")))))</f>
        <v/>
      </c>
      <c r="C362" s="37" t="str">
        <f>IF($Z362="","",IF($Z362&lt;=2000,IF(INDEX(包装物料出入库明细!$D$4:$D$2003,$Z362-0)=0,"",INDEX(包装物料出入库明细!$D$4:$D$2003,$Z362-0)),IF($Z362&lt;=4000,IF(INDEX(周转筐出入库明细!$C$4:$C$2004,$Z362-2000)=0,"",INDEX(周转筐出入库明细!$C$4:$C$2004,$Z362-2000)),IF($Z362&lt;=5200,IF(INDEX(客户自备加工筐明细!$E$4:$E$1203,$Z362-4000)=0,"",INDEX(客户自备加工筐明细!$E$4:$E$1203,$Z362-4000)),IF($Z362&lt;=5800,IF(INDEX(次果筐明细!$C$4:$C$603,$Z362-5200)=0,"",INDEX(次果筐明细!$C$4:$C$603,$Z362-5200)),"")))))</f>
        <v/>
      </c>
      <c r="D362" s="37" t="str">
        <f>IF($Z362="","",IF($Z362&lt;=2000,"包装物料－"&amp;INDEX(包装物料出入库明细!$H$4:$H$2003,$Z362-0),IF($Z362&lt;=4000,"周转筐－"&amp;INDEX(周转筐出入库明细!$F$4:$F$2004,$Z362-2000),IF($Z362&lt;=5200,"客户自备筐－"&amp;INDEX(客户自备加工筐明细!$J$4:$J$1203,$Z362-4000),IF($Z362&lt;=5800,"次果筐/托盘－"&amp;INDEX(次果筐明细!$F$4:$F$603,$Z362-5200),"")))))</f>
        <v/>
      </c>
      <c r="E362" s="24" t="str">
        <f>IF($Z362="","",IF($Z362&lt;=2000,IF(INDEX(包装物料出入库明细!$C$4:$C$2003,$Z362-0)=0,"",INDEX(包装物料出入库明细!$C$4:$C$2003,$Z362-0)),IF($Z362&lt;=4000,IF(INDEX(周转筐出入库明细!$E$4:$E$2004,$Z362-2000)=0,"",INDEX(周转筐出入库明细!$E$4:$E$2004,$Z362-2000)),IF($Z362&lt;=5200,IF(INDEX(客户自备加工筐明细!$D$4:$D$1203,$Z362-4000)=0,"",INDEX(客户自备加工筐明细!$D$4:$D$1203,$Z362-4000)),IF($Z362&lt;=5800,IF(INDEX(次果筐明细!$E$4:$E$603,$Z362-5200)=0,"",INDEX(次果筐明细!$E$4:$E$603,$Z362-5200)),"")))))</f>
        <v/>
      </c>
      <c r="F362" s="24" t="str">
        <f>IF($Z362="","",IF($Z362&lt;=2000,IF(INDEX(包装物料出入库明细!$E$4:$E$2003,$Z362-0)=0,"",INDEX(包装物料出入库明细!$E$4:$E$2003,$Z362-0)),IF($Z362&lt;=4000,IF(INDEX(周转筐出入库明细!$D$4:$D$2004,$Z362-2000)=0,"",INDEX(周转筐出入库明细!$D$4:$D$2004,$Z362-2000)),IF($Z362&lt;=5200,IF(INDEX(客户自备加工筐明细!$C$4:$C$1203,$Z362-4000)=0,"",INDEX(客户自备加工筐明细!$C$4:$C$1203,$Z362-4000)),IF($Z362&lt;=5800,IF(INDEX(次果筐明细!$D$4:$D$603,$Z362-5200)=0,"",INDEX(次果筐明细!$D$4:$D$603,$Z362-5200)),"")))))</f>
        <v/>
      </c>
      <c r="G362" s="24" t="str">
        <f>IF($Z362="","",IF($Z362&lt;=2000,IF(INDEX(包装物料出入库明细!$F$4:$F$2003,$Z362-0)=0,"",INDEX(包装物料出入库明细!$F$4:$F$2003,$Z362-0)),IF($Z362&lt;=4000,"",IF($Z362&lt;=5200,"",IF($Z362&lt;=5800,"","")))))</f>
        <v/>
      </c>
      <c r="H362" s="39" t="str">
        <f>IF($Z362="","",IF($Z362&lt;=2000,IF(INDEX(包装物料出入库明细!$L$4:$L$2003,$Z362-0)=0,"",INDEX(包装物料出入库明细!$L$4:$L$2003,$Z362-0)),IF($Z362&lt;=4000,N(INDEX(周转筐出入库明细!$H$4:$H$2004,$Z362-2000))+N(INDEX(周转筐出入库明细!$I$4:$I$2004,$Z362-2000))+N(INDEX(周转筐出入库明细!$J$4:$J$2004,$Z362-2000))+N(INDEX(周转筐出入库明细!$K$4:$K$2004,$Z362-2000)),IF($Z362&lt;=5200,N(INDEX(客户自备加工筐明细!$F$4:$F$1203,$Z362-4000))+N(INDEX(客户自备加工筐明细!$G$4:$G$1203,$Z362-4000)),IF($Z362&lt;=5800,IF(INDEX(次果筐明细!$G$4:$G$603,$Z362-5200)=0,"",INDEX(次果筐明细!$G$4:$G$603,$Z362-5200)),"")))))</f>
        <v/>
      </c>
      <c r="I362" s="24" t="str">
        <f>IF($Z362="","",IF($Z362&lt;=2000,IF(INDEX(包装物料出入库明细!$G$4:$G$2003,$Z362-0)=0,"",INDEX(包装物料出入库明细!$G$4:$G$2003,$Z362-0)),IF($Z362&lt;=4000,"个",IF($Z362&lt;=5200,"个",IF($Z362&lt;=5800,"个","")))))</f>
        <v/>
      </c>
      <c r="J362" s="30" t="str">
        <f t="shared" si="16"/>
        <v/>
      </c>
      <c r="K362" s="30" t="str">
        <f>IF($Z362="","",IF($Z362&lt;=2000,IF(INDEX(包装物料出入库明细!$N$4:$N$2003,$Z362-0)=0,"",INDEX(包装物料出入库明细!$N$4:$N$2003,$Z362-0)),IF($Z362&lt;=4000,IF(INDEX(周转筐出入库明细!$P$4:$P$2004,$Z362-2000)=0,"",INDEX(周转筐出入库明细!$P$4:$P$2004,$Z362-2000)),IF($Z362&lt;=5200,"",IF($Z362&lt;=5800,N(INDEX(次果筐明细!$L$4:$L$603,$Z362-5200))+N(INDEX(次果筐明细!$J$4:$J$603,$Z362-5200)),"")))))</f>
        <v/>
      </c>
      <c r="L362" s="24" t="str">
        <f>IF($Z362="","",IF($Z362&lt;=2000,IF(INDEX(包装物料出入库明细!$P$4:$P$2003,$Z362-0)=0,"",INDEX(包装物料出入库明细!$P$4:$P$2003,$Z362-0)),IF($Z362&lt;=4000,IF(INDEX(周转筐出入库明细!$Q$4:$Q$2004,$Z362-2000)=0,"",INDEX(周转筐出入库明细!$Q$4:$Q$2004,$Z362-2000)),IF($Z362&lt;=5200,"",IF($Z362&lt;=5800,IF(INDEX(次果筐明细!$M$4:$M$603,$Z362-5200)=0,"",INDEX(次果筐明细!$M$4:$M$603,$Z362-5200)),"")))))</f>
        <v/>
      </c>
      <c r="M362" s="37" t="str">
        <f>IF($Z362="","",IF($Z362&lt;=2000,IF(INDEX(包装物料出入库明细!$R$4:$R$2003,$Z362-0)=0,"",INDEX(包装物料出入库明细!$R$4:$R$2003,$Z362-0)),IF($Z362&lt;=4000,IF(INDEX(周转筐出入库明细!$W$4:$W$2004,$Z362-2000)=0,"",INDEX(周转筐出入库明细!$W$4:$W$2004,$Z362-2000)),IF($Z362&lt;=5200,IF(INDEX(客户自备加工筐明细!$L$4:$L$1203,$Z362-4000)=0,"",INDEX(客户自备加工筐明细!$L$4:$L$1203,$Z362-4000)),IF($Z362&lt;=5800,IF(INDEX(次果筐明细!$P$4:$P$603,$Z362-5200)=0,"",INDEX(次果筐明细!$P$4:$P$603,$Z362-5200)),"")))))</f>
        <v/>
      </c>
      <c r="N362" s="16" t="str">
        <f>IF($Z362="","",IF($Z362&lt;=2000,"",IF($Z362&lt;=4000,IF(INDEX(周转筐出入库明细!$D$4:$D$2004,$Z362-2000)=0,"",INDEX(周转筐出入库明细!$D$4:$D$2004,$Z362-2000)),IF($Z362&lt;=5200,IF(INDEX(客户自备加工筐明细!$C$4:$C$1203,$Z362-4000)=0,"",INDEX(客户自备加工筐明细!$C$4:$C$1203,$Z362-4000)),IF($Z362&lt;=5800,IF(INDEX(次果筐明细!$D$4:$D$603,$Z362-5200)=0,"",INDEX(次果筐明细!$D$4:$D$603,$Z362-5200)),"")))))</f>
        <v/>
      </c>
      <c r="O362" s="40" t="str">
        <f>IF($Z362="","",IF($Z362&lt;=2000,"",IF($Z362&lt;=4000,IF(N(INDEX(周转筐出入库明细!$J$4:$J$2004,$Z362-2000))+N(INDEX(周转筐出入库明细!$K$4:$K$2004,$Z362-2000))=0,"",N(INDEX(周转筐出入库明细!$J$4:$J$2004,$Z362-2000))+N(INDEX(周转筐出入库明细!$K$4:$K$2004,$Z362-2000))),IF($Z362&lt;=5200,IF(N(INDEX(客户自备加工筐明细!$G$4:$G$1203,$Z362-4000))=0,"",N(INDEX(客户自备加工筐明细!$G$4:$G$1203,$Z362-4000))),IF($Z362&lt;=5800,IF(ISNUMBER(SEARCH("退",INDEX(次果筐明细!$F$4:$F$603,$Z362-5200)&amp;"")),"",IF(N(INDEX(次果筐明细!$G$4:$G$603,$Z362-5200))=0,"",N(INDEX(次果筐明细!$G$4:$G$603,$Z362-5200)))),"")))))</f>
        <v/>
      </c>
      <c r="P362" s="40" t="str">
        <f>IF($Z362="","",IF($Z362&lt;=2000,"",IF($Z362&lt;=4000,IF(N(INDEX(周转筐出入库明细!$I$4:$I$2004,$Z362-2000))=0,"",N(INDEX(周转筐出入库明细!$I$4:$I$2004,$Z362-2000))),IF($Z362&lt;=5200,"",IF($Z362&lt;=5800,IF(ISNUMBER(SEARCH("退",INDEX(次果筐明细!$F$4:$F$603,$Z362-5200)&amp;"")),IF(N(INDEX(次果筐明细!$G$4:$G$603,$Z362-5200))=0,"",N(INDEX(次果筐明细!$G$4:$G$603,$Z362-5200))),""),"")))))</f>
        <v/>
      </c>
      <c r="Q362" s="40" t="str">
        <f>IF($Z362="","",IF($Z362&lt;=2000,"",IF($Z362&lt;=4000,IF(N(INDEX(周转筐出入库明细!$H$4:$H$2004,$Z362-2000))=0,"",N(INDEX(周转筐出入库明细!$H$4:$H$2004,$Z362-2000))),IF($Z362&lt;=5200,IF(N(INDEX(客户自备加工筐明细!$F$4:$F$1203,$Z362-4000))=0,"",N(INDEX(客户自备加工筐明细!$F$4:$F$1203,$Z362-4000))),IF($Z362&lt;=5800,"","")))))</f>
        <v/>
      </c>
      <c r="R362" s="16" t="str">
        <f>IF($Z362="","",IF($Z362&lt;=2000,IF(INDEX(包装物料出入库明细!$O$4:$O$2003,$Z362-0)=0,"",INDEX(包装物料出入库明细!$O$4:$O$2003,$Z362-0)),IF($Z362&lt;=4000,IF(INDEX(周转筐出入库明细!$M$4:$M$2004,$Z362-2000)=0,"",INDEX(周转筐出入库明细!$M$4:$M$2004,$Z362-2000)),IF($Z362&lt;=5200,IF(INDEX(客户自备加工筐明细!$H$4:$H$1203,$Z362-4000)=0,"",INDEX(客户自备加工筐明细!$H$4:$H$1203,$Z362-4000)),IF($Z362&lt;=5800,IF(INDEX(次果筐明细!$H$4:$H$603,$Z362-5200)=0,"",INDEX(次果筐明细!$H$4:$H$603,$Z362-5200)),"")))))</f>
        <v/>
      </c>
      <c r="S362" s="22" t="str">
        <f t="shared" si="17"/>
        <v/>
      </c>
      <c r="Z362" s="10" t="str">
        <f>IFERROR(MATCH(ROW()-3,_自动清单!$CQ$4:$CQ$5803,0),"")</f>
        <v/>
      </c>
    </row>
    <row r="363" spans="1:26">
      <c r="A363" s="24" t="str">
        <f t="shared" si="15"/>
        <v/>
      </c>
      <c r="B363" s="38" t="str">
        <f>IF($Z363="","",IF($Z363&lt;=2000,IF(INDEX(包装物料出入库明细!$B$4:$B$2003,$Z363-0)=0,"",INDEX(包装物料出入库明细!$B$4:$B$2003,$Z363-0)),IF($Z363&lt;=4000,IF(INDEX(周转筐出入库明细!$B$4:$B$2004,$Z363-2000)=0,"",INDEX(周转筐出入库明细!$B$4:$B$2004,$Z363-2000)),IF($Z363&lt;=5200,IF(INDEX(客户自备加工筐明细!$B$4:$B$1203,$Z363-4000)=0,"",INDEX(客户自备加工筐明细!$B$4:$B$1203,$Z363-4000)),IF($Z363&lt;=5800,IF(INDEX(次果筐明细!$B$4:$B$603,$Z363-5200)=0,"",INDEX(次果筐明细!$B$4:$B$603,$Z363-5200)),"")))))</f>
        <v/>
      </c>
      <c r="C363" s="37" t="str">
        <f>IF($Z363="","",IF($Z363&lt;=2000,IF(INDEX(包装物料出入库明细!$D$4:$D$2003,$Z363-0)=0,"",INDEX(包装物料出入库明细!$D$4:$D$2003,$Z363-0)),IF($Z363&lt;=4000,IF(INDEX(周转筐出入库明细!$C$4:$C$2004,$Z363-2000)=0,"",INDEX(周转筐出入库明细!$C$4:$C$2004,$Z363-2000)),IF($Z363&lt;=5200,IF(INDEX(客户自备加工筐明细!$E$4:$E$1203,$Z363-4000)=0,"",INDEX(客户自备加工筐明细!$E$4:$E$1203,$Z363-4000)),IF($Z363&lt;=5800,IF(INDEX(次果筐明细!$C$4:$C$603,$Z363-5200)=0,"",INDEX(次果筐明细!$C$4:$C$603,$Z363-5200)),"")))))</f>
        <v/>
      </c>
      <c r="D363" s="37" t="str">
        <f>IF($Z363="","",IF($Z363&lt;=2000,"包装物料－"&amp;INDEX(包装物料出入库明细!$H$4:$H$2003,$Z363-0),IF($Z363&lt;=4000,"周转筐－"&amp;INDEX(周转筐出入库明细!$F$4:$F$2004,$Z363-2000),IF($Z363&lt;=5200,"客户自备筐－"&amp;INDEX(客户自备加工筐明细!$J$4:$J$1203,$Z363-4000),IF($Z363&lt;=5800,"次果筐/托盘－"&amp;INDEX(次果筐明细!$F$4:$F$603,$Z363-5200),"")))))</f>
        <v/>
      </c>
      <c r="E363" s="24" t="str">
        <f>IF($Z363="","",IF($Z363&lt;=2000,IF(INDEX(包装物料出入库明细!$C$4:$C$2003,$Z363-0)=0,"",INDEX(包装物料出入库明细!$C$4:$C$2003,$Z363-0)),IF($Z363&lt;=4000,IF(INDEX(周转筐出入库明细!$E$4:$E$2004,$Z363-2000)=0,"",INDEX(周转筐出入库明细!$E$4:$E$2004,$Z363-2000)),IF($Z363&lt;=5200,IF(INDEX(客户自备加工筐明细!$D$4:$D$1203,$Z363-4000)=0,"",INDEX(客户自备加工筐明细!$D$4:$D$1203,$Z363-4000)),IF($Z363&lt;=5800,IF(INDEX(次果筐明细!$E$4:$E$603,$Z363-5200)=0,"",INDEX(次果筐明细!$E$4:$E$603,$Z363-5200)),"")))))</f>
        <v/>
      </c>
      <c r="F363" s="24" t="str">
        <f>IF($Z363="","",IF($Z363&lt;=2000,IF(INDEX(包装物料出入库明细!$E$4:$E$2003,$Z363-0)=0,"",INDEX(包装物料出入库明细!$E$4:$E$2003,$Z363-0)),IF($Z363&lt;=4000,IF(INDEX(周转筐出入库明细!$D$4:$D$2004,$Z363-2000)=0,"",INDEX(周转筐出入库明细!$D$4:$D$2004,$Z363-2000)),IF($Z363&lt;=5200,IF(INDEX(客户自备加工筐明细!$C$4:$C$1203,$Z363-4000)=0,"",INDEX(客户自备加工筐明细!$C$4:$C$1203,$Z363-4000)),IF($Z363&lt;=5800,IF(INDEX(次果筐明细!$D$4:$D$603,$Z363-5200)=0,"",INDEX(次果筐明细!$D$4:$D$603,$Z363-5200)),"")))))</f>
        <v/>
      </c>
      <c r="G363" s="24" t="str">
        <f>IF($Z363="","",IF($Z363&lt;=2000,IF(INDEX(包装物料出入库明细!$F$4:$F$2003,$Z363-0)=0,"",INDEX(包装物料出入库明细!$F$4:$F$2003,$Z363-0)),IF($Z363&lt;=4000,"",IF($Z363&lt;=5200,"",IF($Z363&lt;=5800,"","")))))</f>
        <v/>
      </c>
      <c r="H363" s="39" t="str">
        <f>IF($Z363="","",IF($Z363&lt;=2000,IF(INDEX(包装物料出入库明细!$L$4:$L$2003,$Z363-0)=0,"",INDEX(包装物料出入库明细!$L$4:$L$2003,$Z363-0)),IF($Z363&lt;=4000,N(INDEX(周转筐出入库明细!$H$4:$H$2004,$Z363-2000))+N(INDEX(周转筐出入库明细!$I$4:$I$2004,$Z363-2000))+N(INDEX(周转筐出入库明细!$J$4:$J$2004,$Z363-2000))+N(INDEX(周转筐出入库明细!$K$4:$K$2004,$Z363-2000)),IF($Z363&lt;=5200,N(INDEX(客户自备加工筐明细!$F$4:$F$1203,$Z363-4000))+N(INDEX(客户自备加工筐明细!$G$4:$G$1203,$Z363-4000)),IF($Z363&lt;=5800,IF(INDEX(次果筐明细!$G$4:$G$603,$Z363-5200)=0,"",INDEX(次果筐明细!$G$4:$G$603,$Z363-5200)),"")))))</f>
        <v/>
      </c>
      <c r="I363" s="24" t="str">
        <f>IF($Z363="","",IF($Z363&lt;=2000,IF(INDEX(包装物料出入库明细!$G$4:$G$2003,$Z363-0)=0,"",INDEX(包装物料出入库明细!$G$4:$G$2003,$Z363-0)),IF($Z363&lt;=4000,"个",IF($Z363&lt;=5200,"个",IF($Z363&lt;=5800,"个","")))))</f>
        <v/>
      </c>
      <c r="J363" s="30" t="str">
        <f t="shared" si="16"/>
        <v/>
      </c>
      <c r="K363" s="30" t="str">
        <f>IF($Z363="","",IF($Z363&lt;=2000,IF(INDEX(包装物料出入库明细!$N$4:$N$2003,$Z363-0)=0,"",INDEX(包装物料出入库明细!$N$4:$N$2003,$Z363-0)),IF($Z363&lt;=4000,IF(INDEX(周转筐出入库明细!$P$4:$P$2004,$Z363-2000)=0,"",INDEX(周转筐出入库明细!$P$4:$P$2004,$Z363-2000)),IF($Z363&lt;=5200,"",IF($Z363&lt;=5800,N(INDEX(次果筐明细!$L$4:$L$603,$Z363-5200))+N(INDEX(次果筐明细!$J$4:$J$603,$Z363-5200)),"")))))</f>
        <v/>
      </c>
      <c r="L363" s="24" t="str">
        <f>IF($Z363="","",IF($Z363&lt;=2000,IF(INDEX(包装物料出入库明细!$P$4:$P$2003,$Z363-0)=0,"",INDEX(包装物料出入库明细!$P$4:$P$2003,$Z363-0)),IF($Z363&lt;=4000,IF(INDEX(周转筐出入库明细!$Q$4:$Q$2004,$Z363-2000)=0,"",INDEX(周转筐出入库明细!$Q$4:$Q$2004,$Z363-2000)),IF($Z363&lt;=5200,"",IF($Z363&lt;=5800,IF(INDEX(次果筐明细!$M$4:$M$603,$Z363-5200)=0,"",INDEX(次果筐明细!$M$4:$M$603,$Z363-5200)),"")))))</f>
        <v/>
      </c>
      <c r="M363" s="37" t="str">
        <f>IF($Z363="","",IF($Z363&lt;=2000,IF(INDEX(包装物料出入库明细!$R$4:$R$2003,$Z363-0)=0,"",INDEX(包装物料出入库明细!$R$4:$R$2003,$Z363-0)),IF($Z363&lt;=4000,IF(INDEX(周转筐出入库明细!$W$4:$W$2004,$Z363-2000)=0,"",INDEX(周转筐出入库明细!$W$4:$W$2004,$Z363-2000)),IF($Z363&lt;=5200,IF(INDEX(客户自备加工筐明细!$L$4:$L$1203,$Z363-4000)=0,"",INDEX(客户自备加工筐明细!$L$4:$L$1203,$Z363-4000)),IF($Z363&lt;=5800,IF(INDEX(次果筐明细!$P$4:$P$603,$Z363-5200)=0,"",INDEX(次果筐明细!$P$4:$P$603,$Z363-5200)),"")))))</f>
        <v/>
      </c>
      <c r="N363" s="16" t="str">
        <f>IF($Z363="","",IF($Z363&lt;=2000,"",IF($Z363&lt;=4000,IF(INDEX(周转筐出入库明细!$D$4:$D$2004,$Z363-2000)=0,"",INDEX(周转筐出入库明细!$D$4:$D$2004,$Z363-2000)),IF($Z363&lt;=5200,IF(INDEX(客户自备加工筐明细!$C$4:$C$1203,$Z363-4000)=0,"",INDEX(客户自备加工筐明细!$C$4:$C$1203,$Z363-4000)),IF($Z363&lt;=5800,IF(INDEX(次果筐明细!$D$4:$D$603,$Z363-5200)=0,"",INDEX(次果筐明细!$D$4:$D$603,$Z363-5200)),"")))))</f>
        <v/>
      </c>
      <c r="O363" s="40" t="str">
        <f>IF($Z363="","",IF($Z363&lt;=2000,"",IF($Z363&lt;=4000,IF(N(INDEX(周转筐出入库明细!$J$4:$J$2004,$Z363-2000))+N(INDEX(周转筐出入库明细!$K$4:$K$2004,$Z363-2000))=0,"",N(INDEX(周转筐出入库明细!$J$4:$J$2004,$Z363-2000))+N(INDEX(周转筐出入库明细!$K$4:$K$2004,$Z363-2000))),IF($Z363&lt;=5200,IF(N(INDEX(客户自备加工筐明细!$G$4:$G$1203,$Z363-4000))=0,"",N(INDEX(客户自备加工筐明细!$G$4:$G$1203,$Z363-4000))),IF($Z363&lt;=5800,IF(ISNUMBER(SEARCH("退",INDEX(次果筐明细!$F$4:$F$603,$Z363-5200)&amp;"")),"",IF(N(INDEX(次果筐明细!$G$4:$G$603,$Z363-5200))=0,"",N(INDEX(次果筐明细!$G$4:$G$603,$Z363-5200)))),"")))))</f>
        <v/>
      </c>
      <c r="P363" s="40" t="str">
        <f>IF($Z363="","",IF($Z363&lt;=2000,"",IF($Z363&lt;=4000,IF(N(INDEX(周转筐出入库明细!$I$4:$I$2004,$Z363-2000))=0,"",N(INDEX(周转筐出入库明细!$I$4:$I$2004,$Z363-2000))),IF($Z363&lt;=5200,"",IF($Z363&lt;=5800,IF(ISNUMBER(SEARCH("退",INDEX(次果筐明细!$F$4:$F$603,$Z363-5200)&amp;"")),IF(N(INDEX(次果筐明细!$G$4:$G$603,$Z363-5200))=0,"",N(INDEX(次果筐明细!$G$4:$G$603,$Z363-5200))),""),"")))))</f>
        <v/>
      </c>
      <c r="Q363" s="40" t="str">
        <f>IF($Z363="","",IF($Z363&lt;=2000,"",IF($Z363&lt;=4000,IF(N(INDEX(周转筐出入库明细!$H$4:$H$2004,$Z363-2000))=0,"",N(INDEX(周转筐出入库明细!$H$4:$H$2004,$Z363-2000))),IF($Z363&lt;=5200,IF(N(INDEX(客户自备加工筐明细!$F$4:$F$1203,$Z363-4000))=0,"",N(INDEX(客户自备加工筐明细!$F$4:$F$1203,$Z363-4000))),IF($Z363&lt;=5800,"","")))))</f>
        <v/>
      </c>
      <c r="R363" s="16" t="str">
        <f>IF($Z363="","",IF($Z363&lt;=2000,IF(INDEX(包装物料出入库明细!$O$4:$O$2003,$Z363-0)=0,"",INDEX(包装物料出入库明细!$O$4:$O$2003,$Z363-0)),IF($Z363&lt;=4000,IF(INDEX(周转筐出入库明细!$M$4:$M$2004,$Z363-2000)=0,"",INDEX(周转筐出入库明细!$M$4:$M$2004,$Z363-2000)),IF($Z363&lt;=5200,IF(INDEX(客户自备加工筐明细!$H$4:$H$1203,$Z363-4000)=0,"",INDEX(客户自备加工筐明细!$H$4:$H$1203,$Z363-4000)),IF($Z363&lt;=5800,IF(INDEX(次果筐明细!$H$4:$H$603,$Z363-5200)=0,"",INDEX(次果筐明细!$H$4:$H$603,$Z363-5200)),"")))))</f>
        <v/>
      </c>
      <c r="S363" s="22" t="str">
        <f t="shared" si="17"/>
        <v/>
      </c>
      <c r="Z363" s="10" t="str">
        <f>IFERROR(MATCH(ROW()-3,_自动清单!$CQ$4:$CQ$5803,0),"")</f>
        <v/>
      </c>
    </row>
    <row r="364" spans="1:26">
      <c r="A364" s="24" t="str">
        <f t="shared" si="15"/>
        <v/>
      </c>
      <c r="B364" s="38" t="str">
        <f>IF($Z364="","",IF($Z364&lt;=2000,IF(INDEX(包装物料出入库明细!$B$4:$B$2003,$Z364-0)=0,"",INDEX(包装物料出入库明细!$B$4:$B$2003,$Z364-0)),IF($Z364&lt;=4000,IF(INDEX(周转筐出入库明细!$B$4:$B$2004,$Z364-2000)=0,"",INDEX(周转筐出入库明细!$B$4:$B$2004,$Z364-2000)),IF($Z364&lt;=5200,IF(INDEX(客户自备加工筐明细!$B$4:$B$1203,$Z364-4000)=0,"",INDEX(客户自备加工筐明细!$B$4:$B$1203,$Z364-4000)),IF($Z364&lt;=5800,IF(INDEX(次果筐明细!$B$4:$B$603,$Z364-5200)=0,"",INDEX(次果筐明细!$B$4:$B$603,$Z364-5200)),"")))))</f>
        <v/>
      </c>
      <c r="C364" s="37" t="str">
        <f>IF($Z364="","",IF($Z364&lt;=2000,IF(INDEX(包装物料出入库明细!$D$4:$D$2003,$Z364-0)=0,"",INDEX(包装物料出入库明细!$D$4:$D$2003,$Z364-0)),IF($Z364&lt;=4000,IF(INDEX(周转筐出入库明细!$C$4:$C$2004,$Z364-2000)=0,"",INDEX(周转筐出入库明细!$C$4:$C$2004,$Z364-2000)),IF($Z364&lt;=5200,IF(INDEX(客户自备加工筐明细!$E$4:$E$1203,$Z364-4000)=0,"",INDEX(客户自备加工筐明细!$E$4:$E$1203,$Z364-4000)),IF($Z364&lt;=5800,IF(INDEX(次果筐明细!$C$4:$C$603,$Z364-5200)=0,"",INDEX(次果筐明细!$C$4:$C$603,$Z364-5200)),"")))))</f>
        <v/>
      </c>
      <c r="D364" s="37" t="str">
        <f>IF($Z364="","",IF($Z364&lt;=2000,"包装物料－"&amp;INDEX(包装物料出入库明细!$H$4:$H$2003,$Z364-0),IF($Z364&lt;=4000,"周转筐－"&amp;INDEX(周转筐出入库明细!$F$4:$F$2004,$Z364-2000),IF($Z364&lt;=5200,"客户自备筐－"&amp;INDEX(客户自备加工筐明细!$J$4:$J$1203,$Z364-4000),IF($Z364&lt;=5800,"次果筐/托盘－"&amp;INDEX(次果筐明细!$F$4:$F$603,$Z364-5200),"")))))</f>
        <v/>
      </c>
      <c r="E364" s="24" t="str">
        <f>IF($Z364="","",IF($Z364&lt;=2000,IF(INDEX(包装物料出入库明细!$C$4:$C$2003,$Z364-0)=0,"",INDEX(包装物料出入库明细!$C$4:$C$2003,$Z364-0)),IF($Z364&lt;=4000,IF(INDEX(周转筐出入库明细!$E$4:$E$2004,$Z364-2000)=0,"",INDEX(周转筐出入库明细!$E$4:$E$2004,$Z364-2000)),IF($Z364&lt;=5200,IF(INDEX(客户自备加工筐明细!$D$4:$D$1203,$Z364-4000)=0,"",INDEX(客户自备加工筐明细!$D$4:$D$1203,$Z364-4000)),IF($Z364&lt;=5800,IF(INDEX(次果筐明细!$E$4:$E$603,$Z364-5200)=0,"",INDEX(次果筐明细!$E$4:$E$603,$Z364-5200)),"")))))</f>
        <v/>
      </c>
      <c r="F364" s="24" t="str">
        <f>IF($Z364="","",IF($Z364&lt;=2000,IF(INDEX(包装物料出入库明细!$E$4:$E$2003,$Z364-0)=0,"",INDEX(包装物料出入库明细!$E$4:$E$2003,$Z364-0)),IF($Z364&lt;=4000,IF(INDEX(周转筐出入库明细!$D$4:$D$2004,$Z364-2000)=0,"",INDEX(周转筐出入库明细!$D$4:$D$2004,$Z364-2000)),IF($Z364&lt;=5200,IF(INDEX(客户自备加工筐明细!$C$4:$C$1203,$Z364-4000)=0,"",INDEX(客户自备加工筐明细!$C$4:$C$1203,$Z364-4000)),IF($Z364&lt;=5800,IF(INDEX(次果筐明细!$D$4:$D$603,$Z364-5200)=0,"",INDEX(次果筐明细!$D$4:$D$603,$Z364-5200)),"")))))</f>
        <v/>
      </c>
      <c r="G364" s="24" t="str">
        <f>IF($Z364="","",IF($Z364&lt;=2000,IF(INDEX(包装物料出入库明细!$F$4:$F$2003,$Z364-0)=0,"",INDEX(包装物料出入库明细!$F$4:$F$2003,$Z364-0)),IF($Z364&lt;=4000,"",IF($Z364&lt;=5200,"",IF($Z364&lt;=5800,"","")))))</f>
        <v/>
      </c>
      <c r="H364" s="39" t="str">
        <f>IF($Z364="","",IF($Z364&lt;=2000,IF(INDEX(包装物料出入库明细!$L$4:$L$2003,$Z364-0)=0,"",INDEX(包装物料出入库明细!$L$4:$L$2003,$Z364-0)),IF($Z364&lt;=4000,N(INDEX(周转筐出入库明细!$H$4:$H$2004,$Z364-2000))+N(INDEX(周转筐出入库明细!$I$4:$I$2004,$Z364-2000))+N(INDEX(周转筐出入库明细!$J$4:$J$2004,$Z364-2000))+N(INDEX(周转筐出入库明细!$K$4:$K$2004,$Z364-2000)),IF($Z364&lt;=5200,N(INDEX(客户自备加工筐明细!$F$4:$F$1203,$Z364-4000))+N(INDEX(客户自备加工筐明细!$G$4:$G$1203,$Z364-4000)),IF($Z364&lt;=5800,IF(INDEX(次果筐明细!$G$4:$G$603,$Z364-5200)=0,"",INDEX(次果筐明细!$G$4:$G$603,$Z364-5200)),"")))))</f>
        <v/>
      </c>
      <c r="I364" s="24" t="str">
        <f>IF($Z364="","",IF($Z364&lt;=2000,IF(INDEX(包装物料出入库明细!$G$4:$G$2003,$Z364-0)=0,"",INDEX(包装物料出入库明细!$G$4:$G$2003,$Z364-0)),IF($Z364&lt;=4000,"个",IF($Z364&lt;=5200,"个",IF($Z364&lt;=5800,"个","")))))</f>
        <v/>
      </c>
      <c r="J364" s="30" t="str">
        <f t="shared" si="16"/>
        <v/>
      </c>
      <c r="K364" s="30" t="str">
        <f>IF($Z364="","",IF($Z364&lt;=2000,IF(INDEX(包装物料出入库明细!$N$4:$N$2003,$Z364-0)=0,"",INDEX(包装物料出入库明细!$N$4:$N$2003,$Z364-0)),IF($Z364&lt;=4000,IF(INDEX(周转筐出入库明细!$P$4:$P$2004,$Z364-2000)=0,"",INDEX(周转筐出入库明细!$P$4:$P$2004,$Z364-2000)),IF($Z364&lt;=5200,"",IF($Z364&lt;=5800,N(INDEX(次果筐明细!$L$4:$L$603,$Z364-5200))+N(INDEX(次果筐明细!$J$4:$J$603,$Z364-5200)),"")))))</f>
        <v/>
      </c>
      <c r="L364" s="24" t="str">
        <f>IF($Z364="","",IF($Z364&lt;=2000,IF(INDEX(包装物料出入库明细!$P$4:$P$2003,$Z364-0)=0,"",INDEX(包装物料出入库明细!$P$4:$P$2003,$Z364-0)),IF($Z364&lt;=4000,IF(INDEX(周转筐出入库明细!$Q$4:$Q$2004,$Z364-2000)=0,"",INDEX(周转筐出入库明细!$Q$4:$Q$2004,$Z364-2000)),IF($Z364&lt;=5200,"",IF($Z364&lt;=5800,IF(INDEX(次果筐明细!$M$4:$M$603,$Z364-5200)=0,"",INDEX(次果筐明细!$M$4:$M$603,$Z364-5200)),"")))))</f>
        <v/>
      </c>
      <c r="M364" s="37" t="str">
        <f>IF($Z364="","",IF($Z364&lt;=2000,IF(INDEX(包装物料出入库明细!$R$4:$R$2003,$Z364-0)=0,"",INDEX(包装物料出入库明细!$R$4:$R$2003,$Z364-0)),IF($Z364&lt;=4000,IF(INDEX(周转筐出入库明细!$W$4:$W$2004,$Z364-2000)=0,"",INDEX(周转筐出入库明细!$W$4:$W$2004,$Z364-2000)),IF($Z364&lt;=5200,IF(INDEX(客户自备加工筐明细!$L$4:$L$1203,$Z364-4000)=0,"",INDEX(客户自备加工筐明细!$L$4:$L$1203,$Z364-4000)),IF($Z364&lt;=5800,IF(INDEX(次果筐明细!$P$4:$P$603,$Z364-5200)=0,"",INDEX(次果筐明细!$P$4:$P$603,$Z364-5200)),"")))))</f>
        <v/>
      </c>
      <c r="N364" s="16" t="str">
        <f>IF($Z364="","",IF($Z364&lt;=2000,"",IF($Z364&lt;=4000,IF(INDEX(周转筐出入库明细!$D$4:$D$2004,$Z364-2000)=0,"",INDEX(周转筐出入库明细!$D$4:$D$2004,$Z364-2000)),IF($Z364&lt;=5200,IF(INDEX(客户自备加工筐明细!$C$4:$C$1203,$Z364-4000)=0,"",INDEX(客户自备加工筐明细!$C$4:$C$1203,$Z364-4000)),IF($Z364&lt;=5800,IF(INDEX(次果筐明细!$D$4:$D$603,$Z364-5200)=0,"",INDEX(次果筐明细!$D$4:$D$603,$Z364-5200)),"")))))</f>
        <v/>
      </c>
      <c r="O364" s="40" t="str">
        <f>IF($Z364="","",IF($Z364&lt;=2000,"",IF($Z364&lt;=4000,IF(N(INDEX(周转筐出入库明细!$J$4:$J$2004,$Z364-2000))+N(INDEX(周转筐出入库明细!$K$4:$K$2004,$Z364-2000))=0,"",N(INDEX(周转筐出入库明细!$J$4:$J$2004,$Z364-2000))+N(INDEX(周转筐出入库明细!$K$4:$K$2004,$Z364-2000))),IF($Z364&lt;=5200,IF(N(INDEX(客户自备加工筐明细!$G$4:$G$1203,$Z364-4000))=0,"",N(INDEX(客户自备加工筐明细!$G$4:$G$1203,$Z364-4000))),IF($Z364&lt;=5800,IF(ISNUMBER(SEARCH("退",INDEX(次果筐明细!$F$4:$F$603,$Z364-5200)&amp;"")),"",IF(N(INDEX(次果筐明细!$G$4:$G$603,$Z364-5200))=0,"",N(INDEX(次果筐明细!$G$4:$G$603,$Z364-5200)))),"")))))</f>
        <v/>
      </c>
      <c r="P364" s="40" t="str">
        <f>IF($Z364="","",IF($Z364&lt;=2000,"",IF($Z364&lt;=4000,IF(N(INDEX(周转筐出入库明细!$I$4:$I$2004,$Z364-2000))=0,"",N(INDEX(周转筐出入库明细!$I$4:$I$2004,$Z364-2000))),IF($Z364&lt;=5200,"",IF($Z364&lt;=5800,IF(ISNUMBER(SEARCH("退",INDEX(次果筐明细!$F$4:$F$603,$Z364-5200)&amp;"")),IF(N(INDEX(次果筐明细!$G$4:$G$603,$Z364-5200))=0,"",N(INDEX(次果筐明细!$G$4:$G$603,$Z364-5200))),""),"")))))</f>
        <v/>
      </c>
      <c r="Q364" s="40" t="str">
        <f>IF($Z364="","",IF($Z364&lt;=2000,"",IF($Z364&lt;=4000,IF(N(INDEX(周转筐出入库明细!$H$4:$H$2004,$Z364-2000))=0,"",N(INDEX(周转筐出入库明细!$H$4:$H$2004,$Z364-2000))),IF($Z364&lt;=5200,IF(N(INDEX(客户自备加工筐明细!$F$4:$F$1203,$Z364-4000))=0,"",N(INDEX(客户自备加工筐明细!$F$4:$F$1203,$Z364-4000))),IF($Z364&lt;=5800,"","")))))</f>
        <v/>
      </c>
      <c r="R364" s="16" t="str">
        <f>IF($Z364="","",IF($Z364&lt;=2000,IF(INDEX(包装物料出入库明细!$O$4:$O$2003,$Z364-0)=0,"",INDEX(包装物料出入库明细!$O$4:$O$2003,$Z364-0)),IF($Z364&lt;=4000,IF(INDEX(周转筐出入库明细!$M$4:$M$2004,$Z364-2000)=0,"",INDEX(周转筐出入库明细!$M$4:$M$2004,$Z364-2000)),IF($Z364&lt;=5200,IF(INDEX(客户自备加工筐明细!$H$4:$H$1203,$Z364-4000)=0,"",INDEX(客户自备加工筐明细!$H$4:$H$1203,$Z364-4000)),IF($Z364&lt;=5800,IF(INDEX(次果筐明细!$H$4:$H$603,$Z364-5200)=0,"",INDEX(次果筐明细!$H$4:$H$603,$Z364-5200)),"")))))</f>
        <v/>
      </c>
      <c r="S364" s="22" t="str">
        <f t="shared" si="17"/>
        <v/>
      </c>
      <c r="Z364" s="10" t="str">
        <f>IFERROR(MATCH(ROW()-3,_自动清单!$CQ$4:$CQ$5803,0),"")</f>
        <v/>
      </c>
    </row>
    <row r="365" spans="1:26">
      <c r="A365" s="24" t="str">
        <f t="shared" si="15"/>
        <v/>
      </c>
      <c r="B365" s="38" t="str">
        <f>IF($Z365="","",IF($Z365&lt;=2000,IF(INDEX(包装物料出入库明细!$B$4:$B$2003,$Z365-0)=0,"",INDEX(包装物料出入库明细!$B$4:$B$2003,$Z365-0)),IF($Z365&lt;=4000,IF(INDEX(周转筐出入库明细!$B$4:$B$2004,$Z365-2000)=0,"",INDEX(周转筐出入库明细!$B$4:$B$2004,$Z365-2000)),IF($Z365&lt;=5200,IF(INDEX(客户自备加工筐明细!$B$4:$B$1203,$Z365-4000)=0,"",INDEX(客户自备加工筐明细!$B$4:$B$1203,$Z365-4000)),IF($Z365&lt;=5800,IF(INDEX(次果筐明细!$B$4:$B$603,$Z365-5200)=0,"",INDEX(次果筐明细!$B$4:$B$603,$Z365-5200)),"")))))</f>
        <v/>
      </c>
      <c r="C365" s="37" t="str">
        <f>IF($Z365="","",IF($Z365&lt;=2000,IF(INDEX(包装物料出入库明细!$D$4:$D$2003,$Z365-0)=0,"",INDEX(包装物料出入库明细!$D$4:$D$2003,$Z365-0)),IF($Z365&lt;=4000,IF(INDEX(周转筐出入库明细!$C$4:$C$2004,$Z365-2000)=0,"",INDEX(周转筐出入库明细!$C$4:$C$2004,$Z365-2000)),IF($Z365&lt;=5200,IF(INDEX(客户自备加工筐明细!$E$4:$E$1203,$Z365-4000)=0,"",INDEX(客户自备加工筐明细!$E$4:$E$1203,$Z365-4000)),IF($Z365&lt;=5800,IF(INDEX(次果筐明细!$C$4:$C$603,$Z365-5200)=0,"",INDEX(次果筐明细!$C$4:$C$603,$Z365-5200)),"")))))</f>
        <v/>
      </c>
      <c r="D365" s="37" t="str">
        <f>IF($Z365="","",IF($Z365&lt;=2000,"包装物料－"&amp;INDEX(包装物料出入库明细!$H$4:$H$2003,$Z365-0),IF($Z365&lt;=4000,"周转筐－"&amp;INDEX(周转筐出入库明细!$F$4:$F$2004,$Z365-2000),IF($Z365&lt;=5200,"客户自备筐－"&amp;INDEX(客户自备加工筐明细!$J$4:$J$1203,$Z365-4000),IF($Z365&lt;=5800,"次果筐/托盘－"&amp;INDEX(次果筐明细!$F$4:$F$603,$Z365-5200),"")))))</f>
        <v/>
      </c>
      <c r="E365" s="24" t="str">
        <f>IF($Z365="","",IF($Z365&lt;=2000,IF(INDEX(包装物料出入库明细!$C$4:$C$2003,$Z365-0)=0,"",INDEX(包装物料出入库明细!$C$4:$C$2003,$Z365-0)),IF($Z365&lt;=4000,IF(INDEX(周转筐出入库明细!$E$4:$E$2004,$Z365-2000)=0,"",INDEX(周转筐出入库明细!$E$4:$E$2004,$Z365-2000)),IF($Z365&lt;=5200,IF(INDEX(客户自备加工筐明细!$D$4:$D$1203,$Z365-4000)=0,"",INDEX(客户自备加工筐明细!$D$4:$D$1203,$Z365-4000)),IF($Z365&lt;=5800,IF(INDEX(次果筐明细!$E$4:$E$603,$Z365-5200)=0,"",INDEX(次果筐明细!$E$4:$E$603,$Z365-5200)),"")))))</f>
        <v/>
      </c>
      <c r="F365" s="24" t="str">
        <f>IF($Z365="","",IF($Z365&lt;=2000,IF(INDEX(包装物料出入库明细!$E$4:$E$2003,$Z365-0)=0,"",INDEX(包装物料出入库明细!$E$4:$E$2003,$Z365-0)),IF($Z365&lt;=4000,IF(INDEX(周转筐出入库明细!$D$4:$D$2004,$Z365-2000)=0,"",INDEX(周转筐出入库明细!$D$4:$D$2004,$Z365-2000)),IF($Z365&lt;=5200,IF(INDEX(客户自备加工筐明细!$C$4:$C$1203,$Z365-4000)=0,"",INDEX(客户自备加工筐明细!$C$4:$C$1203,$Z365-4000)),IF($Z365&lt;=5800,IF(INDEX(次果筐明细!$D$4:$D$603,$Z365-5200)=0,"",INDEX(次果筐明细!$D$4:$D$603,$Z365-5200)),"")))))</f>
        <v/>
      </c>
      <c r="G365" s="24" t="str">
        <f>IF($Z365="","",IF($Z365&lt;=2000,IF(INDEX(包装物料出入库明细!$F$4:$F$2003,$Z365-0)=0,"",INDEX(包装物料出入库明细!$F$4:$F$2003,$Z365-0)),IF($Z365&lt;=4000,"",IF($Z365&lt;=5200,"",IF($Z365&lt;=5800,"","")))))</f>
        <v/>
      </c>
      <c r="H365" s="39" t="str">
        <f>IF($Z365="","",IF($Z365&lt;=2000,IF(INDEX(包装物料出入库明细!$L$4:$L$2003,$Z365-0)=0,"",INDEX(包装物料出入库明细!$L$4:$L$2003,$Z365-0)),IF($Z365&lt;=4000,N(INDEX(周转筐出入库明细!$H$4:$H$2004,$Z365-2000))+N(INDEX(周转筐出入库明细!$I$4:$I$2004,$Z365-2000))+N(INDEX(周转筐出入库明细!$J$4:$J$2004,$Z365-2000))+N(INDEX(周转筐出入库明细!$K$4:$K$2004,$Z365-2000)),IF($Z365&lt;=5200,N(INDEX(客户自备加工筐明细!$F$4:$F$1203,$Z365-4000))+N(INDEX(客户自备加工筐明细!$G$4:$G$1203,$Z365-4000)),IF($Z365&lt;=5800,IF(INDEX(次果筐明细!$G$4:$G$603,$Z365-5200)=0,"",INDEX(次果筐明细!$G$4:$G$603,$Z365-5200)),"")))))</f>
        <v/>
      </c>
      <c r="I365" s="24" t="str">
        <f>IF($Z365="","",IF($Z365&lt;=2000,IF(INDEX(包装物料出入库明细!$G$4:$G$2003,$Z365-0)=0,"",INDEX(包装物料出入库明细!$G$4:$G$2003,$Z365-0)),IF($Z365&lt;=4000,"个",IF($Z365&lt;=5200,"个",IF($Z365&lt;=5800,"个","")))))</f>
        <v/>
      </c>
      <c r="J365" s="30" t="str">
        <f t="shared" si="16"/>
        <v/>
      </c>
      <c r="K365" s="30" t="str">
        <f>IF($Z365="","",IF($Z365&lt;=2000,IF(INDEX(包装物料出入库明细!$N$4:$N$2003,$Z365-0)=0,"",INDEX(包装物料出入库明细!$N$4:$N$2003,$Z365-0)),IF($Z365&lt;=4000,IF(INDEX(周转筐出入库明细!$P$4:$P$2004,$Z365-2000)=0,"",INDEX(周转筐出入库明细!$P$4:$P$2004,$Z365-2000)),IF($Z365&lt;=5200,"",IF($Z365&lt;=5800,N(INDEX(次果筐明细!$L$4:$L$603,$Z365-5200))+N(INDEX(次果筐明细!$J$4:$J$603,$Z365-5200)),"")))))</f>
        <v/>
      </c>
      <c r="L365" s="24" t="str">
        <f>IF($Z365="","",IF($Z365&lt;=2000,IF(INDEX(包装物料出入库明细!$P$4:$P$2003,$Z365-0)=0,"",INDEX(包装物料出入库明细!$P$4:$P$2003,$Z365-0)),IF($Z365&lt;=4000,IF(INDEX(周转筐出入库明细!$Q$4:$Q$2004,$Z365-2000)=0,"",INDEX(周转筐出入库明细!$Q$4:$Q$2004,$Z365-2000)),IF($Z365&lt;=5200,"",IF($Z365&lt;=5800,IF(INDEX(次果筐明细!$M$4:$M$603,$Z365-5200)=0,"",INDEX(次果筐明细!$M$4:$M$603,$Z365-5200)),"")))))</f>
        <v/>
      </c>
      <c r="M365" s="37" t="str">
        <f>IF($Z365="","",IF($Z365&lt;=2000,IF(INDEX(包装物料出入库明细!$R$4:$R$2003,$Z365-0)=0,"",INDEX(包装物料出入库明细!$R$4:$R$2003,$Z365-0)),IF($Z365&lt;=4000,IF(INDEX(周转筐出入库明细!$W$4:$W$2004,$Z365-2000)=0,"",INDEX(周转筐出入库明细!$W$4:$W$2004,$Z365-2000)),IF($Z365&lt;=5200,IF(INDEX(客户自备加工筐明细!$L$4:$L$1203,$Z365-4000)=0,"",INDEX(客户自备加工筐明细!$L$4:$L$1203,$Z365-4000)),IF($Z365&lt;=5800,IF(INDEX(次果筐明细!$P$4:$P$603,$Z365-5200)=0,"",INDEX(次果筐明细!$P$4:$P$603,$Z365-5200)),"")))))</f>
        <v/>
      </c>
      <c r="N365" s="16" t="str">
        <f>IF($Z365="","",IF($Z365&lt;=2000,"",IF($Z365&lt;=4000,IF(INDEX(周转筐出入库明细!$D$4:$D$2004,$Z365-2000)=0,"",INDEX(周转筐出入库明细!$D$4:$D$2004,$Z365-2000)),IF($Z365&lt;=5200,IF(INDEX(客户自备加工筐明细!$C$4:$C$1203,$Z365-4000)=0,"",INDEX(客户自备加工筐明细!$C$4:$C$1203,$Z365-4000)),IF($Z365&lt;=5800,IF(INDEX(次果筐明细!$D$4:$D$603,$Z365-5200)=0,"",INDEX(次果筐明细!$D$4:$D$603,$Z365-5200)),"")))))</f>
        <v/>
      </c>
      <c r="O365" s="40" t="str">
        <f>IF($Z365="","",IF($Z365&lt;=2000,"",IF($Z365&lt;=4000,IF(N(INDEX(周转筐出入库明细!$J$4:$J$2004,$Z365-2000))+N(INDEX(周转筐出入库明细!$K$4:$K$2004,$Z365-2000))=0,"",N(INDEX(周转筐出入库明细!$J$4:$J$2004,$Z365-2000))+N(INDEX(周转筐出入库明细!$K$4:$K$2004,$Z365-2000))),IF($Z365&lt;=5200,IF(N(INDEX(客户自备加工筐明细!$G$4:$G$1203,$Z365-4000))=0,"",N(INDEX(客户自备加工筐明细!$G$4:$G$1203,$Z365-4000))),IF($Z365&lt;=5800,IF(ISNUMBER(SEARCH("退",INDEX(次果筐明细!$F$4:$F$603,$Z365-5200)&amp;"")),"",IF(N(INDEX(次果筐明细!$G$4:$G$603,$Z365-5200))=0,"",N(INDEX(次果筐明细!$G$4:$G$603,$Z365-5200)))),"")))))</f>
        <v/>
      </c>
      <c r="P365" s="40" t="str">
        <f>IF($Z365="","",IF($Z365&lt;=2000,"",IF($Z365&lt;=4000,IF(N(INDEX(周转筐出入库明细!$I$4:$I$2004,$Z365-2000))=0,"",N(INDEX(周转筐出入库明细!$I$4:$I$2004,$Z365-2000))),IF($Z365&lt;=5200,"",IF($Z365&lt;=5800,IF(ISNUMBER(SEARCH("退",INDEX(次果筐明细!$F$4:$F$603,$Z365-5200)&amp;"")),IF(N(INDEX(次果筐明细!$G$4:$G$603,$Z365-5200))=0,"",N(INDEX(次果筐明细!$G$4:$G$603,$Z365-5200))),""),"")))))</f>
        <v/>
      </c>
      <c r="Q365" s="40" t="str">
        <f>IF($Z365="","",IF($Z365&lt;=2000,"",IF($Z365&lt;=4000,IF(N(INDEX(周转筐出入库明细!$H$4:$H$2004,$Z365-2000))=0,"",N(INDEX(周转筐出入库明细!$H$4:$H$2004,$Z365-2000))),IF($Z365&lt;=5200,IF(N(INDEX(客户自备加工筐明细!$F$4:$F$1203,$Z365-4000))=0,"",N(INDEX(客户自备加工筐明细!$F$4:$F$1203,$Z365-4000))),IF($Z365&lt;=5800,"","")))))</f>
        <v/>
      </c>
      <c r="R365" s="16" t="str">
        <f>IF($Z365="","",IF($Z365&lt;=2000,IF(INDEX(包装物料出入库明细!$O$4:$O$2003,$Z365-0)=0,"",INDEX(包装物料出入库明细!$O$4:$O$2003,$Z365-0)),IF($Z365&lt;=4000,IF(INDEX(周转筐出入库明细!$M$4:$M$2004,$Z365-2000)=0,"",INDEX(周转筐出入库明细!$M$4:$M$2004,$Z365-2000)),IF($Z365&lt;=5200,IF(INDEX(客户自备加工筐明细!$H$4:$H$1203,$Z365-4000)=0,"",INDEX(客户自备加工筐明细!$H$4:$H$1203,$Z365-4000)),IF($Z365&lt;=5800,IF(INDEX(次果筐明细!$H$4:$H$603,$Z365-5200)=0,"",INDEX(次果筐明细!$H$4:$H$603,$Z365-5200)),"")))))</f>
        <v/>
      </c>
      <c r="S365" s="22" t="str">
        <f t="shared" si="17"/>
        <v/>
      </c>
      <c r="Z365" s="10" t="str">
        <f>IFERROR(MATCH(ROW()-3,_自动清单!$CQ$4:$CQ$5803,0),"")</f>
        <v/>
      </c>
    </row>
    <row r="366" spans="1:26">
      <c r="A366" s="24" t="str">
        <f t="shared" si="15"/>
        <v/>
      </c>
      <c r="B366" s="38" t="str">
        <f>IF($Z366="","",IF($Z366&lt;=2000,IF(INDEX(包装物料出入库明细!$B$4:$B$2003,$Z366-0)=0,"",INDEX(包装物料出入库明细!$B$4:$B$2003,$Z366-0)),IF($Z366&lt;=4000,IF(INDEX(周转筐出入库明细!$B$4:$B$2004,$Z366-2000)=0,"",INDEX(周转筐出入库明细!$B$4:$B$2004,$Z366-2000)),IF($Z366&lt;=5200,IF(INDEX(客户自备加工筐明细!$B$4:$B$1203,$Z366-4000)=0,"",INDEX(客户自备加工筐明细!$B$4:$B$1203,$Z366-4000)),IF($Z366&lt;=5800,IF(INDEX(次果筐明细!$B$4:$B$603,$Z366-5200)=0,"",INDEX(次果筐明细!$B$4:$B$603,$Z366-5200)),"")))))</f>
        <v/>
      </c>
      <c r="C366" s="37" t="str">
        <f>IF($Z366="","",IF($Z366&lt;=2000,IF(INDEX(包装物料出入库明细!$D$4:$D$2003,$Z366-0)=0,"",INDEX(包装物料出入库明细!$D$4:$D$2003,$Z366-0)),IF($Z366&lt;=4000,IF(INDEX(周转筐出入库明细!$C$4:$C$2004,$Z366-2000)=0,"",INDEX(周转筐出入库明细!$C$4:$C$2004,$Z366-2000)),IF($Z366&lt;=5200,IF(INDEX(客户自备加工筐明细!$E$4:$E$1203,$Z366-4000)=0,"",INDEX(客户自备加工筐明细!$E$4:$E$1203,$Z366-4000)),IF($Z366&lt;=5800,IF(INDEX(次果筐明细!$C$4:$C$603,$Z366-5200)=0,"",INDEX(次果筐明细!$C$4:$C$603,$Z366-5200)),"")))))</f>
        <v/>
      </c>
      <c r="D366" s="37" t="str">
        <f>IF($Z366="","",IF($Z366&lt;=2000,"包装物料－"&amp;INDEX(包装物料出入库明细!$H$4:$H$2003,$Z366-0),IF($Z366&lt;=4000,"周转筐－"&amp;INDEX(周转筐出入库明细!$F$4:$F$2004,$Z366-2000),IF($Z366&lt;=5200,"客户自备筐－"&amp;INDEX(客户自备加工筐明细!$J$4:$J$1203,$Z366-4000),IF($Z366&lt;=5800,"次果筐/托盘－"&amp;INDEX(次果筐明细!$F$4:$F$603,$Z366-5200),"")))))</f>
        <v/>
      </c>
      <c r="E366" s="24" t="str">
        <f>IF($Z366="","",IF($Z366&lt;=2000,IF(INDEX(包装物料出入库明细!$C$4:$C$2003,$Z366-0)=0,"",INDEX(包装物料出入库明细!$C$4:$C$2003,$Z366-0)),IF($Z366&lt;=4000,IF(INDEX(周转筐出入库明细!$E$4:$E$2004,$Z366-2000)=0,"",INDEX(周转筐出入库明细!$E$4:$E$2004,$Z366-2000)),IF($Z366&lt;=5200,IF(INDEX(客户自备加工筐明细!$D$4:$D$1203,$Z366-4000)=0,"",INDEX(客户自备加工筐明细!$D$4:$D$1203,$Z366-4000)),IF($Z366&lt;=5800,IF(INDEX(次果筐明细!$E$4:$E$603,$Z366-5200)=0,"",INDEX(次果筐明细!$E$4:$E$603,$Z366-5200)),"")))))</f>
        <v/>
      </c>
      <c r="F366" s="24" t="str">
        <f>IF($Z366="","",IF($Z366&lt;=2000,IF(INDEX(包装物料出入库明细!$E$4:$E$2003,$Z366-0)=0,"",INDEX(包装物料出入库明细!$E$4:$E$2003,$Z366-0)),IF($Z366&lt;=4000,IF(INDEX(周转筐出入库明细!$D$4:$D$2004,$Z366-2000)=0,"",INDEX(周转筐出入库明细!$D$4:$D$2004,$Z366-2000)),IF($Z366&lt;=5200,IF(INDEX(客户自备加工筐明细!$C$4:$C$1203,$Z366-4000)=0,"",INDEX(客户自备加工筐明细!$C$4:$C$1203,$Z366-4000)),IF($Z366&lt;=5800,IF(INDEX(次果筐明细!$D$4:$D$603,$Z366-5200)=0,"",INDEX(次果筐明细!$D$4:$D$603,$Z366-5200)),"")))))</f>
        <v/>
      </c>
      <c r="G366" s="24" t="str">
        <f>IF($Z366="","",IF($Z366&lt;=2000,IF(INDEX(包装物料出入库明细!$F$4:$F$2003,$Z366-0)=0,"",INDEX(包装物料出入库明细!$F$4:$F$2003,$Z366-0)),IF($Z366&lt;=4000,"",IF($Z366&lt;=5200,"",IF($Z366&lt;=5800,"","")))))</f>
        <v/>
      </c>
      <c r="H366" s="39" t="str">
        <f>IF($Z366="","",IF($Z366&lt;=2000,IF(INDEX(包装物料出入库明细!$L$4:$L$2003,$Z366-0)=0,"",INDEX(包装物料出入库明细!$L$4:$L$2003,$Z366-0)),IF($Z366&lt;=4000,N(INDEX(周转筐出入库明细!$H$4:$H$2004,$Z366-2000))+N(INDEX(周转筐出入库明细!$I$4:$I$2004,$Z366-2000))+N(INDEX(周转筐出入库明细!$J$4:$J$2004,$Z366-2000))+N(INDEX(周转筐出入库明细!$K$4:$K$2004,$Z366-2000)),IF($Z366&lt;=5200,N(INDEX(客户自备加工筐明细!$F$4:$F$1203,$Z366-4000))+N(INDEX(客户自备加工筐明细!$G$4:$G$1203,$Z366-4000)),IF($Z366&lt;=5800,IF(INDEX(次果筐明细!$G$4:$G$603,$Z366-5200)=0,"",INDEX(次果筐明细!$G$4:$G$603,$Z366-5200)),"")))))</f>
        <v/>
      </c>
      <c r="I366" s="24" t="str">
        <f>IF($Z366="","",IF($Z366&lt;=2000,IF(INDEX(包装物料出入库明细!$G$4:$G$2003,$Z366-0)=0,"",INDEX(包装物料出入库明细!$G$4:$G$2003,$Z366-0)),IF($Z366&lt;=4000,"个",IF($Z366&lt;=5200,"个",IF($Z366&lt;=5800,"个","")))))</f>
        <v/>
      </c>
      <c r="J366" s="30" t="str">
        <f t="shared" si="16"/>
        <v/>
      </c>
      <c r="K366" s="30" t="str">
        <f>IF($Z366="","",IF($Z366&lt;=2000,IF(INDEX(包装物料出入库明细!$N$4:$N$2003,$Z366-0)=0,"",INDEX(包装物料出入库明细!$N$4:$N$2003,$Z366-0)),IF($Z366&lt;=4000,IF(INDEX(周转筐出入库明细!$P$4:$P$2004,$Z366-2000)=0,"",INDEX(周转筐出入库明细!$P$4:$P$2004,$Z366-2000)),IF($Z366&lt;=5200,"",IF($Z366&lt;=5800,N(INDEX(次果筐明细!$L$4:$L$603,$Z366-5200))+N(INDEX(次果筐明细!$J$4:$J$603,$Z366-5200)),"")))))</f>
        <v/>
      </c>
      <c r="L366" s="24" t="str">
        <f>IF($Z366="","",IF($Z366&lt;=2000,IF(INDEX(包装物料出入库明细!$P$4:$P$2003,$Z366-0)=0,"",INDEX(包装物料出入库明细!$P$4:$P$2003,$Z366-0)),IF($Z366&lt;=4000,IF(INDEX(周转筐出入库明细!$Q$4:$Q$2004,$Z366-2000)=0,"",INDEX(周转筐出入库明细!$Q$4:$Q$2004,$Z366-2000)),IF($Z366&lt;=5200,"",IF($Z366&lt;=5800,IF(INDEX(次果筐明细!$M$4:$M$603,$Z366-5200)=0,"",INDEX(次果筐明细!$M$4:$M$603,$Z366-5200)),"")))))</f>
        <v/>
      </c>
      <c r="M366" s="37" t="str">
        <f>IF($Z366="","",IF($Z366&lt;=2000,IF(INDEX(包装物料出入库明细!$R$4:$R$2003,$Z366-0)=0,"",INDEX(包装物料出入库明细!$R$4:$R$2003,$Z366-0)),IF($Z366&lt;=4000,IF(INDEX(周转筐出入库明细!$W$4:$W$2004,$Z366-2000)=0,"",INDEX(周转筐出入库明细!$W$4:$W$2004,$Z366-2000)),IF($Z366&lt;=5200,IF(INDEX(客户自备加工筐明细!$L$4:$L$1203,$Z366-4000)=0,"",INDEX(客户自备加工筐明细!$L$4:$L$1203,$Z366-4000)),IF($Z366&lt;=5800,IF(INDEX(次果筐明细!$P$4:$P$603,$Z366-5200)=0,"",INDEX(次果筐明细!$P$4:$P$603,$Z366-5200)),"")))))</f>
        <v/>
      </c>
      <c r="N366" s="16" t="str">
        <f>IF($Z366="","",IF($Z366&lt;=2000,"",IF($Z366&lt;=4000,IF(INDEX(周转筐出入库明细!$D$4:$D$2004,$Z366-2000)=0,"",INDEX(周转筐出入库明细!$D$4:$D$2004,$Z366-2000)),IF($Z366&lt;=5200,IF(INDEX(客户自备加工筐明细!$C$4:$C$1203,$Z366-4000)=0,"",INDEX(客户自备加工筐明细!$C$4:$C$1203,$Z366-4000)),IF($Z366&lt;=5800,IF(INDEX(次果筐明细!$D$4:$D$603,$Z366-5200)=0,"",INDEX(次果筐明细!$D$4:$D$603,$Z366-5200)),"")))))</f>
        <v/>
      </c>
      <c r="O366" s="40" t="str">
        <f>IF($Z366="","",IF($Z366&lt;=2000,"",IF($Z366&lt;=4000,IF(N(INDEX(周转筐出入库明细!$J$4:$J$2004,$Z366-2000))+N(INDEX(周转筐出入库明细!$K$4:$K$2004,$Z366-2000))=0,"",N(INDEX(周转筐出入库明细!$J$4:$J$2004,$Z366-2000))+N(INDEX(周转筐出入库明细!$K$4:$K$2004,$Z366-2000))),IF($Z366&lt;=5200,IF(N(INDEX(客户自备加工筐明细!$G$4:$G$1203,$Z366-4000))=0,"",N(INDEX(客户自备加工筐明细!$G$4:$G$1203,$Z366-4000))),IF($Z366&lt;=5800,IF(ISNUMBER(SEARCH("退",INDEX(次果筐明细!$F$4:$F$603,$Z366-5200)&amp;"")),"",IF(N(INDEX(次果筐明细!$G$4:$G$603,$Z366-5200))=0,"",N(INDEX(次果筐明细!$G$4:$G$603,$Z366-5200)))),"")))))</f>
        <v/>
      </c>
      <c r="P366" s="40" t="str">
        <f>IF($Z366="","",IF($Z366&lt;=2000,"",IF($Z366&lt;=4000,IF(N(INDEX(周转筐出入库明细!$I$4:$I$2004,$Z366-2000))=0,"",N(INDEX(周转筐出入库明细!$I$4:$I$2004,$Z366-2000))),IF($Z366&lt;=5200,"",IF($Z366&lt;=5800,IF(ISNUMBER(SEARCH("退",INDEX(次果筐明细!$F$4:$F$603,$Z366-5200)&amp;"")),IF(N(INDEX(次果筐明细!$G$4:$G$603,$Z366-5200))=0,"",N(INDEX(次果筐明细!$G$4:$G$603,$Z366-5200))),""),"")))))</f>
        <v/>
      </c>
      <c r="Q366" s="40" t="str">
        <f>IF($Z366="","",IF($Z366&lt;=2000,"",IF($Z366&lt;=4000,IF(N(INDEX(周转筐出入库明细!$H$4:$H$2004,$Z366-2000))=0,"",N(INDEX(周转筐出入库明细!$H$4:$H$2004,$Z366-2000))),IF($Z366&lt;=5200,IF(N(INDEX(客户自备加工筐明细!$F$4:$F$1203,$Z366-4000))=0,"",N(INDEX(客户自备加工筐明细!$F$4:$F$1203,$Z366-4000))),IF($Z366&lt;=5800,"","")))))</f>
        <v/>
      </c>
      <c r="R366" s="16" t="str">
        <f>IF($Z366="","",IF($Z366&lt;=2000,IF(INDEX(包装物料出入库明细!$O$4:$O$2003,$Z366-0)=0,"",INDEX(包装物料出入库明细!$O$4:$O$2003,$Z366-0)),IF($Z366&lt;=4000,IF(INDEX(周转筐出入库明细!$M$4:$M$2004,$Z366-2000)=0,"",INDEX(周转筐出入库明细!$M$4:$M$2004,$Z366-2000)),IF($Z366&lt;=5200,IF(INDEX(客户自备加工筐明细!$H$4:$H$1203,$Z366-4000)=0,"",INDEX(客户自备加工筐明细!$H$4:$H$1203,$Z366-4000)),IF($Z366&lt;=5800,IF(INDEX(次果筐明细!$H$4:$H$603,$Z366-5200)=0,"",INDEX(次果筐明细!$H$4:$H$603,$Z366-5200)),"")))))</f>
        <v/>
      </c>
      <c r="S366" s="22" t="str">
        <f t="shared" si="17"/>
        <v/>
      </c>
      <c r="Z366" s="10" t="str">
        <f>IFERROR(MATCH(ROW()-3,_自动清单!$CQ$4:$CQ$5803,0),"")</f>
        <v/>
      </c>
    </row>
    <row r="367" spans="1:26">
      <c r="A367" s="24" t="str">
        <f t="shared" si="15"/>
        <v/>
      </c>
      <c r="B367" s="38" t="str">
        <f>IF($Z367="","",IF($Z367&lt;=2000,IF(INDEX(包装物料出入库明细!$B$4:$B$2003,$Z367-0)=0,"",INDEX(包装物料出入库明细!$B$4:$B$2003,$Z367-0)),IF($Z367&lt;=4000,IF(INDEX(周转筐出入库明细!$B$4:$B$2004,$Z367-2000)=0,"",INDEX(周转筐出入库明细!$B$4:$B$2004,$Z367-2000)),IF($Z367&lt;=5200,IF(INDEX(客户自备加工筐明细!$B$4:$B$1203,$Z367-4000)=0,"",INDEX(客户自备加工筐明细!$B$4:$B$1203,$Z367-4000)),IF($Z367&lt;=5800,IF(INDEX(次果筐明细!$B$4:$B$603,$Z367-5200)=0,"",INDEX(次果筐明细!$B$4:$B$603,$Z367-5200)),"")))))</f>
        <v/>
      </c>
      <c r="C367" s="37" t="str">
        <f>IF($Z367="","",IF($Z367&lt;=2000,IF(INDEX(包装物料出入库明细!$D$4:$D$2003,$Z367-0)=0,"",INDEX(包装物料出入库明细!$D$4:$D$2003,$Z367-0)),IF($Z367&lt;=4000,IF(INDEX(周转筐出入库明细!$C$4:$C$2004,$Z367-2000)=0,"",INDEX(周转筐出入库明细!$C$4:$C$2004,$Z367-2000)),IF($Z367&lt;=5200,IF(INDEX(客户自备加工筐明细!$E$4:$E$1203,$Z367-4000)=0,"",INDEX(客户自备加工筐明细!$E$4:$E$1203,$Z367-4000)),IF($Z367&lt;=5800,IF(INDEX(次果筐明细!$C$4:$C$603,$Z367-5200)=0,"",INDEX(次果筐明细!$C$4:$C$603,$Z367-5200)),"")))))</f>
        <v/>
      </c>
      <c r="D367" s="37" t="str">
        <f>IF($Z367="","",IF($Z367&lt;=2000,"包装物料－"&amp;INDEX(包装物料出入库明细!$H$4:$H$2003,$Z367-0),IF($Z367&lt;=4000,"周转筐－"&amp;INDEX(周转筐出入库明细!$F$4:$F$2004,$Z367-2000),IF($Z367&lt;=5200,"客户自备筐－"&amp;INDEX(客户自备加工筐明细!$J$4:$J$1203,$Z367-4000),IF($Z367&lt;=5800,"次果筐/托盘－"&amp;INDEX(次果筐明细!$F$4:$F$603,$Z367-5200),"")))))</f>
        <v/>
      </c>
      <c r="E367" s="24" t="str">
        <f>IF($Z367="","",IF($Z367&lt;=2000,IF(INDEX(包装物料出入库明细!$C$4:$C$2003,$Z367-0)=0,"",INDEX(包装物料出入库明细!$C$4:$C$2003,$Z367-0)),IF($Z367&lt;=4000,IF(INDEX(周转筐出入库明细!$E$4:$E$2004,$Z367-2000)=0,"",INDEX(周转筐出入库明细!$E$4:$E$2004,$Z367-2000)),IF($Z367&lt;=5200,IF(INDEX(客户自备加工筐明细!$D$4:$D$1203,$Z367-4000)=0,"",INDEX(客户自备加工筐明细!$D$4:$D$1203,$Z367-4000)),IF($Z367&lt;=5800,IF(INDEX(次果筐明细!$E$4:$E$603,$Z367-5200)=0,"",INDEX(次果筐明细!$E$4:$E$603,$Z367-5200)),"")))))</f>
        <v/>
      </c>
      <c r="F367" s="24" t="str">
        <f>IF($Z367="","",IF($Z367&lt;=2000,IF(INDEX(包装物料出入库明细!$E$4:$E$2003,$Z367-0)=0,"",INDEX(包装物料出入库明细!$E$4:$E$2003,$Z367-0)),IF($Z367&lt;=4000,IF(INDEX(周转筐出入库明细!$D$4:$D$2004,$Z367-2000)=0,"",INDEX(周转筐出入库明细!$D$4:$D$2004,$Z367-2000)),IF($Z367&lt;=5200,IF(INDEX(客户自备加工筐明细!$C$4:$C$1203,$Z367-4000)=0,"",INDEX(客户自备加工筐明细!$C$4:$C$1203,$Z367-4000)),IF($Z367&lt;=5800,IF(INDEX(次果筐明细!$D$4:$D$603,$Z367-5200)=0,"",INDEX(次果筐明细!$D$4:$D$603,$Z367-5200)),"")))))</f>
        <v/>
      </c>
      <c r="G367" s="24" t="str">
        <f>IF($Z367="","",IF($Z367&lt;=2000,IF(INDEX(包装物料出入库明细!$F$4:$F$2003,$Z367-0)=0,"",INDEX(包装物料出入库明细!$F$4:$F$2003,$Z367-0)),IF($Z367&lt;=4000,"",IF($Z367&lt;=5200,"",IF($Z367&lt;=5800,"","")))))</f>
        <v/>
      </c>
      <c r="H367" s="39" t="str">
        <f>IF($Z367="","",IF($Z367&lt;=2000,IF(INDEX(包装物料出入库明细!$L$4:$L$2003,$Z367-0)=0,"",INDEX(包装物料出入库明细!$L$4:$L$2003,$Z367-0)),IF($Z367&lt;=4000,N(INDEX(周转筐出入库明细!$H$4:$H$2004,$Z367-2000))+N(INDEX(周转筐出入库明细!$I$4:$I$2004,$Z367-2000))+N(INDEX(周转筐出入库明细!$J$4:$J$2004,$Z367-2000))+N(INDEX(周转筐出入库明细!$K$4:$K$2004,$Z367-2000)),IF($Z367&lt;=5200,N(INDEX(客户自备加工筐明细!$F$4:$F$1203,$Z367-4000))+N(INDEX(客户自备加工筐明细!$G$4:$G$1203,$Z367-4000)),IF($Z367&lt;=5800,IF(INDEX(次果筐明细!$G$4:$G$603,$Z367-5200)=0,"",INDEX(次果筐明细!$G$4:$G$603,$Z367-5200)),"")))))</f>
        <v/>
      </c>
      <c r="I367" s="24" t="str">
        <f>IF($Z367="","",IF($Z367&lt;=2000,IF(INDEX(包装物料出入库明细!$G$4:$G$2003,$Z367-0)=0,"",INDEX(包装物料出入库明细!$G$4:$G$2003,$Z367-0)),IF($Z367&lt;=4000,"个",IF($Z367&lt;=5200,"个",IF($Z367&lt;=5800,"个","")))))</f>
        <v/>
      </c>
      <c r="J367" s="30" t="str">
        <f t="shared" si="16"/>
        <v/>
      </c>
      <c r="K367" s="30" t="str">
        <f>IF($Z367="","",IF($Z367&lt;=2000,IF(INDEX(包装物料出入库明细!$N$4:$N$2003,$Z367-0)=0,"",INDEX(包装物料出入库明细!$N$4:$N$2003,$Z367-0)),IF($Z367&lt;=4000,IF(INDEX(周转筐出入库明细!$P$4:$P$2004,$Z367-2000)=0,"",INDEX(周转筐出入库明细!$P$4:$P$2004,$Z367-2000)),IF($Z367&lt;=5200,"",IF($Z367&lt;=5800,N(INDEX(次果筐明细!$L$4:$L$603,$Z367-5200))+N(INDEX(次果筐明细!$J$4:$J$603,$Z367-5200)),"")))))</f>
        <v/>
      </c>
      <c r="L367" s="24" t="str">
        <f>IF($Z367="","",IF($Z367&lt;=2000,IF(INDEX(包装物料出入库明细!$P$4:$P$2003,$Z367-0)=0,"",INDEX(包装物料出入库明细!$P$4:$P$2003,$Z367-0)),IF($Z367&lt;=4000,IF(INDEX(周转筐出入库明细!$Q$4:$Q$2004,$Z367-2000)=0,"",INDEX(周转筐出入库明细!$Q$4:$Q$2004,$Z367-2000)),IF($Z367&lt;=5200,"",IF($Z367&lt;=5800,IF(INDEX(次果筐明细!$M$4:$M$603,$Z367-5200)=0,"",INDEX(次果筐明细!$M$4:$M$603,$Z367-5200)),"")))))</f>
        <v/>
      </c>
      <c r="M367" s="37" t="str">
        <f>IF($Z367="","",IF($Z367&lt;=2000,IF(INDEX(包装物料出入库明细!$R$4:$R$2003,$Z367-0)=0,"",INDEX(包装物料出入库明细!$R$4:$R$2003,$Z367-0)),IF($Z367&lt;=4000,IF(INDEX(周转筐出入库明细!$W$4:$W$2004,$Z367-2000)=0,"",INDEX(周转筐出入库明细!$W$4:$W$2004,$Z367-2000)),IF($Z367&lt;=5200,IF(INDEX(客户自备加工筐明细!$L$4:$L$1203,$Z367-4000)=0,"",INDEX(客户自备加工筐明细!$L$4:$L$1203,$Z367-4000)),IF($Z367&lt;=5800,IF(INDEX(次果筐明细!$P$4:$P$603,$Z367-5200)=0,"",INDEX(次果筐明细!$P$4:$P$603,$Z367-5200)),"")))))</f>
        <v/>
      </c>
      <c r="N367" s="16" t="str">
        <f>IF($Z367="","",IF($Z367&lt;=2000,"",IF($Z367&lt;=4000,IF(INDEX(周转筐出入库明细!$D$4:$D$2004,$Z367-2000)=0,"",INDEX(周转筐出入库明细!$D$4:$D$2004,$Z367-2000)),IF($Z367&lt;=5200,IF(INDEX(客户自备加工筐明细!$C$4:$C$1203,$Z367-4000)=0,"",INDEX(客户自备加工筐明细!$C$4:$C$1203,$Z367-4000)),IF($Z367&lt;=5800,IF(INDEX(次果筐明细!$D$4:$D$603,$Z367-5200)=0,"",INDEX(次果筐明细!$D$4:$D$603,$Z367-5200)),"")))))</f>
        <v/>
      </c>
      <c r="O367" s="40" t="str">
        <f>IF($Z367="","",IF($Z367&lt;=2000,"",IF($Z367&lt;=4000,IF(N(INDEX(周转筐出入库明细!$J$4:$J$2004,$Z367-2000))+N(INDEX(周转筐出入库明细!$K$4:$K$2004,$Z367-2000))=0,"",N(INDEX(周转筐出入库明细!$J$4:$J$2004,$Z367-2000))+N(INDEX(周转筐出入库明细!$K$4:$K$2004,$Z367-2000))),IF($Z367&lt;=5200,IF(N(INDEX(客户自备加工筐明细!$G$4:$G$1203,$Z367-4000))=0,"",N(INDEX(客户自备加工筐明细!$G$4:$G$1203,$Z367-4000))),IF($Z367&lt;=5800,IF(ISNUMBER(SEARCH("退",INDEX(次果筐明细!$F$4:$F$603,$Z367-5200)&amp;"")),"",IF(N(INDEX(次果筐明细!$G$4:$G$603,$Z367-5200))=0,"",N(INDEX(次果筐明细!$G$4:$G$603,$Z367-5200)))),"")))))</f>
        <v/>
      </c>
      <c r="P367" s="40" t="str">
        <f>IF($Z367="","",IF($Z367&lt;=2000,"",IF($Z367&lt;=4000,IF(N(INDEX(周转筐出入库明细!$I$4:$I$2004,$Z367-2000))=0,"",N(INDEX(周转筐出入库明细!$I$4:$I$2004,$Z367-2000))),IF($Z367&lt;=5200,"",IF($Z367&lt;=5800,IF(ISNUMBER(SEARCH("退",INDEX(次果筐明细!$F$4:$F$603,$Z367-5200)&amp;"")),IF(N(INDEX(次果筐明细!$G$4:$G$603,$Z367-5200))=0,"",N(INDEX(次果筐明细!$G$4:$G$603,$Z367-5200))),""),"")))))</f>
        <v/>
      </c>
      <c r="Q367" s="40" t="str">
        <f>IF($Z367="","",IF($Z367&lt;=2000,"",IF($Z367&lt;=4000,IF(N(INDEX(周转筐出入库明细!$H$4:$H$2004,$Z367-2000))=0,"",N(INDEX(周转筐出入库明细!$H$4:$H$2004,$Z367-2000))),IF($Z367&lt;=5200,IF(N(INDEX(客户自备加工筐明细!$F$4:$F$1203,$Z367-4000))=0,"",N(INDEX(客户自备加工筐明细!$F$4:$F$1203,$Z367-4000))),IF($Z367&lt;=5800,"","")))))</f>
        <v/>
      </c>
      <c r="R367" s="16" t="str">
        <f>IF($Z367="","",IF($Z367&lt;=2000,IF(INDEX(包装物料出入库明细!$O$4:$O$2003,$Z367-0)=0,"",INDEX(包装物料出入库明细!$O$4:$O$2003,$Z367-0)),IF($Z367&lt;=4000,IF(INDEX(周转筐出入库明细!$M$4:$M$2004,$Z367-2000)=0,"",INDEX(周转筐出入库明细!$M$4:$M$2004,$Z367-2000)),IF($Z367&lt;=5200,IF(INDEX(客户自备加工筐明细!$H$4:$H$1203,$Z367-4000)=0,"",INDEX(客户自备加工筐明细!$H$4:$H$1203,$Z367-4000)),IF($Z367&lt;=5800,IF(INDEX(次果筐明细!$H$4:$H$603,$Z367-5200)=0,"",INDEX(次果筐明细!$H$4:$H$603,$Z367-5200)),"")))))</f>
        <v/>
      </c>
      <c r="S367" s="22" t="str">
        <f t="shared" si="17"/>
        <v/>
      </c>
      <c r="Z367" s="10" t="str">
        <f>IFERROR(MATCH(ROW()-3,_自动清单!$CQ$4:$CQ$5803,0),"")</f>
        <v/>
      </c>
    </row>
    <row r="368" spans="1:26">
      <c r="A368" s="24" t="str">
        <f t="shared" si="15"/>
        <v/>
      </c>
      <c r="B368" s="38" t="str">
        <f>IF($Z368="","",IF($Z368&lt;=2000,IF(INDEX(包装物料出入库明细!$B$4:$B$2003,$Z368-0)=0,"",INDEX(包装物料出入库明细!$B$4:$B$2003,$Z368-0)),IF($Z368&lt;=4000,IF(INDEX(周转筐出入库明细!$B$4:$B$2004,$Z368-2000)=0,"",INDEX(周转筐出入库明细!$B$4:$B$2004,$Z368-2000)),IF($Z368&lt;=5200,IF(INDEX(客户自备加工筐明细!$B$4:$B$1203,$Z368-4000)=0,"",INDEX(客户自备加工筐明细!$B$4:$B$1203,$Z368-4000)),IF($Z368&lt;=5800,IF(INDEX(次果筐明细!$B$4:$B$603,$Z368-5200)=0,"",INDEX(次果筐明细!$B$4:$B$603,$Z368-5200)),"")))))</f>
        <v/>
      </c>
      <c r="C368" s="37" t="str">
        <f>IF($Z368="","",IF($Z368&lt;=2000,IF(INDEX(包装物料出入库明细!$D$4:$D$2003,$Z368-0)=0,"",INDEX(包装物料出入库明细!$D$4:$D$2003,$Z368-0)),IF($Z368&lt;=4000,IF(INDEX(周转筐出入库明细!$C$4:$C$2004,$Z368-2000)=0,"",INDEX(周转筐出入库明细!$C$4:$C$2004,$Z368-2000)),IF($Z368&lt;=5200,IF(INDEX(客户自备加工筐明细!$E$4:$E$1203,$Z368-4000)=0,"",INDEX(客户自备加工筐明细!$E$4:$E$1203,$Z368-4000)),IF($Z368&lt;=5800,IF(INDEX(次果筐明细!$C$4:$C$603,$Z368-5200)=0,"",INDEX(次果筐明细!$C$4:$C$603,$Z368-5200)),"")))))</f>
        <v/>
      </c>
      <c r="D368" s="37" t="str">
        <f>IF($Z368="","",IF($Z368&lt;=2000,"包装物料－"&amp;INDEX(包装物料出入库明细!$H$4:$H$2003,$Z368-0),IF($Z368&lt;=4000,"周转筐－"&amp;INDEX(周转筐出入库明细!$F$4:$F$2004,$Z368-2000),IF($Z368&lt;=5200,"客户自备筐－"&amp;INDEX(客户自备加工筐明细!$J$4:$J$1203,$Z368-4000),IF($Z368&lt;=5800,"次果筐/托盘－"&amp;INDEX(次果筐明细!$F$4:$F$603,$Z368-5200),"")))))</f>
        <v/>
      </c>
      <c r="E368" s="24" t="str">
        <f>IF($Z368="","",IF($Z368&lt;=2000,IF(INDEX(包装物料出入库明细!$C$4:$C$2003,$Z368-0)=0,"",INDEX(包装物料出入库明细!$C$4:$C$2003,$Z368-0)),IF($Z368&lt;=4000,IF(INDEX(周转筐出入库明细!$E$4:$E$2004,$Z368-2000)=0,"",INDEX(周转筐出入库明细!$E$4:$E$2004,$Z368-2000)),IF($Z368&lt;=5200,IF(INDEX(客户自备加工筐明细!$D$4:$D$1203,$Z368-4000)=0,"",INDEX(客户自备加工筐明细!$D$4:$D$1203,$Z368-4000)),IF($Z368&lt;=5800,IF(INDEX(次果筐明细!$E$4:$E$603,$Z368-5200)=0,"",INDEX(次果筐明细!$E$4:$E$603,$Z368-5200)),"")))))</f>
        <v/>
      </c>
      <c r="F368" s="24" t="str">
        <f>IF($Z368="","",IF($Z368&lt;=2000,IF(INDEX(包装物料出入库明细!$E$4:$E$2003,$Z368-0)=0,"",INDEX(包装物料出入库明细!$E$4:$E$2003,$Z368-0)),IF($Z368&lt;=4000,IF(INDEX(周转筐出入库明细!$D$4:$D$2004,$Z368-2000)=0,"",INDEX(周转筐出入库明细!$D$4:$D$2004,$Z368-2000)),IF($Z368&lt;=5200,IF(INDEX(客户自备加工筐明细!$C$4:$C$1203,$Z368-4000)=0,"",INDEX(客户自备加工筐明细!$C$4:$C$1203,$Z368-4000)),IF($Z368&lt;=5800,IF(INDEX(次果筐明细!$D$4:$D$603,$Z368-5200)=0,"",INDEX(次果筐明细!$D$4:$D$603,$Z368-5200)),"")))))</f>
        <v/>
      </c>
      <c r="G368" s="24" t="str">
        <f>IF($Z368="","",IF($Z368&lt;=2000,IF(INDEX(包装物料出入库明细!$F$4:$F$2003,$Z368-0)=0,"",INDEX(包装物料出入库明细!$F$4:$F$2003,$Z368-0)),IF($Z368&lt;=4000,"",IF($Z368&lt;=5200,"",IF($Z368&lt;=5800,"","")))))</f>
        <v/>
      </c>
      <c r="H368" s="39" t="str">
        <f>IF($Z368="","",IF($Z368&lt;=2000,IF(INDEX(包装物料出入库明细!$L$4:$L$2003,$Z368-0)=0,"",INDEX(包装物料出入库明细!$L$4:$L$2003,$Z368-0)),IF($Z368&lt;=4000,N(INDEX(周转筐出入库明细!$H$4:$H$2004,$Z368-2000))+N(INDEX(周转筐出入库明细!$I$4:$I$2004,$Z368-2000))+N(INDEX(周转筐出入库明细!$J$4:$J$2004,$Z368-2000))+N(INDEX(周转筐出入库明细!$K$4:$K$2004,$Z368-2000)),IF($Z368&lt;=5200,N(INDEX(客户自备加工筐明细!$F$4:$F$1203,$Z368-4000))+N(INDEX(客户自备加工筐明细!$G$4:$G$1203,$Z368-4000)),IF($Z368&lt;=5800,IF(INDEX(次果筐明细!$G$4:$G$603,$Z368-5200)=0,"",INDEX(次果筐明细!$G$4:$G$603,$Z368-5200)),"")))))</f>
        <v/>
      </c>
      <c r="I368" s="24" t="str">
        <f>IF($Z368="","",IF($Z368&lt;=2000,IF(INDEX(包装物料出入库明细!$G$4:$G$2003,$Z368-0)=0,"",INDEX(包装物料出入库明细!$G$4:$G$2003,$Z368-0)),IF($Z368&lt;=4000,"个",IF($Z368&lt;=5200,"个",IF($Z368&lt;=5800,"个","")))))</f>
        <v/>
      </c>
      <c r="J368" s="30" t="str">
        <f t="shared" si="16"/>
        <v/>
      </c>
      <c r="K368" s="30" t="str">
        <f>IF($Z368="","",IF($Z368&lt;=2000,IF(INDEX(包装物料出入库明细!$N$4:$N$2003,$Z368-0)=0,"",INDEX(包装物料出入库明细!$N$4:$N$2003,$Z368-0)),IF($Z368&lt;=4000,IF(INDEX(周转筐出入库明细!$P$4:$P$2004,$Z368-2000)=0,"",INDEX(周转筐出入库明细!$P$4:$P$2004,$Z368-2000)),IF($Z368&lt;=5200,"",IF($Z368&lt;=5800,N(INDEX(次果筐明细!$L$4:$L$603,$Z368-5200))+N(INDEX(次果筐明细!$J$4:$J$603,$Z368-5200)),"")))))</f>
        <v/>
      </c>
      <c r="L368" s="24" t="str">
        <f>IF($Z368="","",IF($Z368&lt;=2000,IF(INDEX(包装物料出入库明细!$P$4:$P$2003,$Z368-0)=0,"",INDEX(包装物料出入库明细!$P$4:$P$2003,$Z368-0)),IF($Z368&lt;=4000,IF(INDEX(周转筐出入库明细!$Q$4:$Q$2004,$Z368-2000)=0,"",INDEX(周转筐出入库明细!$Q$4:$Q$2004,$Z368-2000)),IF($Z368&lt;=5200,"",IF($Z368&lt;=5800,IF(INDEX(次果筐明细!$M$4:$M$603,$Z368-5200)=0,"",INDEX(次果筐明细!$M$4:$M$603,$Z368-5200)),"")))))</f>
        <v/>
      </c>
      <c r="M368" s="37" t="str">
        <f>IF($Z368="","",IF($Z368&lt;=2000,IF(INDEX(包装物料出入库明细!$R$4:$R$2003,$Z368-0)=0,"",INDEX(包装物料出入库明细!$R$4:$R$2003,$Z368-0)),IF($Z368&lt;=4000,IF(INDEX(周转筐出入库明细!$W$4:$W$2004,$Z368-2000)=0,"",INDEX(周转筐出入库明细!$W$4:$W$2004,$Z368-2000)),IF($Z368&lt;=5200,IF(INDEX(客户自备加工筐明细!$L$4:$L$1203,$Z368-4000)=0,"",INDEX(客户自备加工筐明细!$L$4:$L$1203,$Z368-4000)),IF($Z368&lt;=5800,IF(INDEX(次果筐明细!$P$4:$P$603,$Z368-5200)=0,"",INDEX(次果筐明细!$P$4:$P$603,$Z368-5200)),"")))))</f>
        <v/>
      </c>
      <c r="N368" s="16" t="str">
        <f>IF($Z368="","",IF($Z368&lt;=2000,"",IF($Z368&lt;=4000,IF(INDEX(周转筐出入库明细!$D$4:$D$2004,$Z368-2000)=0,"",INDEX(周转筐出入库明细!$D$4:$D$2004,$Z368-2000)),IF($Z368&lt;=5200,IF(INDEX(客户自备加工筐明细!$C$4:$C$1203,$Z368-4000)=0,"",INDEX(客户自备加工筐明细!$C$4:$C$1203,$Z368-4000)),IF($Z368&lt;=5800,IF(INDEX(次果筐明细!$D$4:$D$603,$Z368-5200)=0,"",INDEX(次果筐明细!$D$4:$D$603,$Z368-5200)),"")))))</f>
        <v/>
      </c>
      <c r="O368" s="40" t="str">
        <f>IF($Z368="","",IF($Z368&lt;=2000,"",IF($Z368&lt;=4000,IF(N(INDEX(周转筐出入库明细!$J$4:$J$2004,$Z368-2000))+N(INDEX(周转筐出入库明细!$K$4:$K$2004,$Z368-2000))=0,"",N(INDEX(周转筐出入库明细!$J$4:$J$2004,$Z368-2000))+N(INDEX(周转筐出入库明细!$K$4:$K$2004,$Z368-2000))),IF($Z368&lt;=5200,IF(N(INDEX(客户自备加工筐明细!$G$4:$G$1203,$Z368-4000))=0,"",N(INDEX(客户自备加工筐明细!$G$4:$G$1203,$Z368-4000))),IF($Z368&lt;=5800,IF(ISNUMBER(SEARCH("退",INDEX(次果筐明细!$F$4:$F$603,$Z368-5200)&amp;"")),"",IF(N(INDEX(次果筐明细!$G$4:$G$603,$Z368-5200))=0,"",N(INDEX(次果筐明细!$G$4:$G$603,$Z368-5200)))),"")))))</f>
        <v/>
      </c>
      <c r="P368" s="40" t="str">
        <f>IF($Z368="","",IF($Z368&lt;=2000,"",IF($Z368&lt;=4000,IF(N(INDEX(周转筐出入库明细!$I$4:$I$2004,$Z368-2000))=0,"",N(INDEX(周转筐出入库明细!$I$4:$I$2004,$Z368-2000))),IF($Z368&lt;=5200,"",IF($Z368&lt;=5800,IF(ISNUMBER(SEARCH("退",INDEX(次果筐明细!$F$4:$F$603,$Z368-5200)&amp;"")),IF(N(INDEX(次果筐明细!$G$4:$G$603,$Z368-5200))=0,"",N(INDEX(次果筐明细!$G$4:$G$603,$Z368-5200))),""),"")))))</f>
        <v/>
      </c>
      <c r="Q368" s="40" t="str">
        <f>IF($Z368="","",IF($Z368&lt;=2000,"",IF($Z368&lt;=4000,IF(N(INDEX(周转筐出入库明细!$H$4:$H$2004,$Z368-2000))=0,"",N(INDEX(周转筐出入库明细!$H$4:$H$2004,$Z368-2000))),IF($Z368&lt;=5200,IF(N(INDEX(客户自备加工筐明细!$F$4:$F$1203,$Z368-4000))=0,"",N(INDEX(客户自备加工筐明细!$F$4:$F$1203,$Z368-4000))),IF($Z368&lt;=5800,"","")))))</f>
        <v/>
      </c>
      <c r="R368" s="16" t="str">
        <f>IF($Z368="","",IF($Z368&lt;=2000,IF(INDEX(包装物料出入库明细!$O$4:$O$2003,$Z368-0)=0,"",INDEX(包装物料出入库明细!$O$4:$O$2003,$Z368-0)),IF($Z368&lt;=4000,IF(INDEX(周转筐出入库明细!$M$4:$M$2004,$Z368-2000)=0,"",INDEX(周转筐出入库明细!$M$4:$M$2004,$Z368-2000)),IF($Z368&lt;=5200,IF(INDEX(客户自备加工筐明细!$H$4:$H$1203,$Z368-4000)=0,"",INDEX(客户自备加工筐明细!$H$4:$H$1203,$Z368-4000)),IF($Z368&lt;=5800,IF(INDEX(次果筐明细!$H$4:$H$603,$Z368-5200)=0,"",INDEX(次果筐明细!$H$4:$H$603,$Z368-5200)),"")))))</f>
        <v/>
      </c>
      <c r="S368" s="22" t="str">
        <f t="shared" si="17"/>
        <v/>
      </c>
      <c r="Z368" s="10" t="str">
        <f>IFERROR(MATCH(ROW()-3,_自动清单!$CQ$4:$CQ$5803,0),"")</f>
        <v/>
      </c>
    </row>
    <row r="369" spans="1:26">
      <c r="A369" s="24" t="str">
        <f t="shared" si="15"/>
        <v/>
      </c>
      <c r="B369" s="38" t="str">
        <f>IF($Z369="","",IF($Z369&lt;=2000,IF(INDEX(包装物料出入库明细!$B$4:$B$2003,$Z369-0)=0,"",INDEX(包装物料出入库明细!$B$4:$B$2003,$Z369-0)),IF($Z369&lt;=4000,IF(INDEX(周转筐出入库明细!$B$4:$B$2004,$Z369-2000)=0,"",INDEX(周转筐出入库明细!$B$4:$B$2004,$Z369-2000)),IF($Z369&lt;=5200,IF(INDEX(客户自备加工筐明细!$B$4:$B$1203,$Z369-4000)=0,"",INDEX(客户自备加工筐明细!$B$4:$B$1203,$Z369-4000)),IF($Z369&lt;=5800,IF(INDEX(次果筐明细!$B$4:$B$603,$Z369-5200)=0,"",INDEX(次果筐明细!$B$4:$B$603,$Z369-5200)),"")))))</f>
        <v/>
      </c>
      <c r="C369" s="37" t="str">
        <f>IF($Z369="","",IF($Z369&lt;=2000,IF(INDEX(包装物料出入库明细!$D$4:$D$2003,$Z369-0)=0,"",INDEX(包装物料出入库明细!$D$4:$D$2003,$Z369-0)),IF($Z369&lt;=4000,IF(INDEX(周转筐出入库明细!$C$4:$C$2004,$Z369-2000)=0,"",INDEX(周转筐出入库明细!$C$4:$C$2004,$Z369-2000)),IF($Z369&lt;=5200,IF(INDEX(客户自备加工筐明细!$E$4:$E$1203,$Z369-4000)=0,"",INDEX(客户自备加工筐明细!$E$4:$E$1203,$Z369-4000)),IF($Z369&lt;=5800,IF(INDEX(次果筐明细!$C$4:$C$603,$Z369-5200)=0,"",INDEX(次果筐明细!$C$4:$C$603,$Z369-5200)),"")))))</f>
        <v/>
      </c>
      <c r="D369" s="37" t="str">
        <f>IF($Z369="","",IF($Z369&lt;=2000,"包装物料－"&amp;INDEX(包装物料出入库明细!$H$4:$H$2003,$Z369-0),IF($Z369&lt;=4000,"周转筐－"&amp;INDEX(周转筐出入库明细!$F$4:$F$2004,$Z369-2000),IF($Z369&lt;=5200,"客户自备筐－"&amp;INDEX(客户自备加工筐明细!$J$4:$J$1203,$Z369-4000),IF($Z369&lt;=5800,"次果筐/托盘－"&amp;INDEX(次果筐明细!$F$4:$F$603,$Z369-5200),"")))))</f>
        <v/>
      </c>
      <c r="E369" s="24" t="str">
        <f>IF($Z369="","",IF($Z369&lt;=2000,IF(INDEX(包装物料出入库明细!$C$4:$C$2003,$Z369-0)=0,"",INDEX(包装物料出入库明细!$C$4:$C$2003,$Z369-0)),IF($Z369&lt;=4000,IF(INDEX(周转筐出入库明细!$E$4:$E$2004,$Z369-2000)=0,"",INDEX(周转筐出入库明细!$E$4:$E$2004,$Z369-2000)),IF($Z369&lt;=5200,IF(INDEX(客户自备加工筐明细!$D$4:$D$1203,$Z369-4000)=0,"",INDEX(客户自备加工筐明细!$D$4:$D$1203,$Z369-4000)),IF($Z369&lt;=5800,IF(INDEX(次果筐明细!$E$4:$E$603,$Z369-5200)=0,"",INDEX(次果筐明细!$E$4:$E$603,$Z369-5200)),"")))))</f>
        <v/>
      </c>
      <c r="F369" s="24" t="str">
        <f>IF($Z369="","",IF($Z369&lt;=2000,IF(INDEX(包装物料出入库明细!$E$4:$E$2003,$Z369-0)=0,"",INDEX(包装物料出入库明细!$E$4:$E$2003,$Z369-0)),IF($Z369&lt;=4000,IF(INDEX(周转筐出入库明细!$D$4:$D$2004,$Z369-2000)=0,"",INDEX(周转筐出入库明细!$D$4:$D$2004,$Z369-2000)),IF($Z369&lt;=5200,IF(INDEX(客户自备加工筐明细!$C$4:$C$1203,$Z369-4000)=0,"",INDEX(客户自备加工筐明细!$C$4:$C$1203,$Z369-4000)),IF($Z369&lt;=5800,IF(INDEX(次果筐明细!$D$4:$D$603,$Z369-5200)=0,"",INDEX(次果筐明细!$D$4:$D$603,$Z369-5200)),"")))))</f>
        <v/>
      </c>
      <c r="G369" s="24" t="str">
        <f>IF($Z369="","",IF($Z369&lt;=2000,IF(INDEX(包装物料出入库明细!$F$4:$F$2003,$Z369-0)=0,"",INDEX(包装物料出入库明细!$F$4:$F$2003,$Z369-0)),IF($Z369&lt;=4000,"",IF($Z369&lt;=5200,"",IF($Z369&lt;=5800,"","")))))</f>
        <v/>
      </c>
      <c r="H369" s="39" t="str">
        <f>IF($Z369="","",IF($Z369&lt;=2000,IF(INDEX(包装物料出入库明细!$L$4:$L$2003,$Z369-0)=0,"",INDEX(包装物料出入库明细!$L$4:$L$2003,$Z369-0)),IF($Z369&lt;=4000,N(INDEX(周转筐出入库明细!$H$4:$H$2004,$Z369-2000))+N(INDEX(周转筐出入库明细!$I$4:$I$2004,$Z369-2000))+N(INDEX(周转筐出入库明细!$J$4:$J$2004,$Z369-2000))+N(INDEX(周转筐出入库明细!$K$4:$K$2004,$Z369-2000)),IF($Z369&lt;=5200,N(INDEX(客户自备加工筐明细!$F$4:$F$1203,$Z369-4000))+N(INDEX(客户自备加工筐明细!$G$4:$G$1203,$Z369-4000)),IF($Z369&lt;=5800,IF(INDEX(次果筐明细!$G$4:$G$603,$Z369-5200)=0,"",INDEX(次果筐明细!$G$4:$G$603,$Z369-5200)),"")))))</f>
        <v/>
      </c>
      <c r="I369" s="24" t="str">
        <f>IF($Z369="","",IF($Z369&lt;=2000,IF(INDEX(包装物料出入库明细!$G$4:$G$2003,$Z369-0)=0,"",INDEX(包装物料出入库明细!$G$4:$G$2003,$Z369-0)),IF($Z369&lt;=4000,"个",IF($Z369&lt;=5200,"个",IF($Z369&lt;=5800,"个","")))))</f>
        <v/>
      </c>
      <c r="J369" s="30" t="str">
        <f t="shared" si="16"/>
        <v/>
      </c>
      <c r="K369" s="30" t="str">
        <f>IF($Z369="","",IF($Z369&lt;=2000,IF(INDEX(包装物料出入库明细!$N$4:$N$2003,$Z369-0)=0,"",INDEX(包装物料出入库明细!$N$4:$N$2003,$Z369-0)),IF($Z369&lt;=4000,IF(INDEX(周转筐出入库明细!$P$4:$P$2004,$Z369-2000)=0,"",INDEX(周转筐出入库明细!$P$4:$P$2004,$Z369-2000)),IF($Z369&lt;=5200,"",IF($Z369&lt;=5800,N(INDEX(次果筐明细!$L$4:$L$603,$Z369-5200))+N(INDEX(次果筐明细!$J$4:$J$603,$Z369-5200)),"")))))</f>
        <v/>
      </c>
      <c r="L369" s="24" t="str">
        <f>IF($Z369="","",IF($Z369&lt;=2000,IF(INDEX(包装物料出入库明细!$P$4:$P$2003,$Z369-0)=0,"",INDEX(包装物料出入库明细!$P$4:$P$2003,$Z369-0)),IF($Z369&lt;=4000,IF(INDEX(周转筐出入库明细!$Q$4:$Q$2004,$Z369-2000)=0,"",INDEX(周转筐出入库明细!$Q$4:$Q$2004,$Z369-2000)),IF($Z369&lt;=5200,"",IF($Z369&lt;=5800,IF(INDEX(次果筐明细!$M$4:$M$603,$Z369-5200)=0,"",INDEX(次果筐明细!$M$4:$M$603,$Z369-5200)),"")))))</f>
        <v/>
      </c>
      <c r="M369" s="37" t="str">
        <f>IF($Z369="","",IF($Z369&lt;=2000,IF(INDEX(包装物料出入库明细!$R$4:$R$2003,$Z369-0)=0,"",INDEX(包装物料出入库明细!$R$4:$R$2003,$Z369-0)),IF($Z369&lt;=4000,IF(INDEX(周转筐出入库明细!$W$4:$W$2004,$Z369-2000)=0,"",INDEX(周转筐出入库明细!$W$4:$W$2004,$Z369-2000)),IF($Z369&lt;=5200,IF(INDEX(客户自备加工筐明细!$L$4:$L$1203,$Z369-4000)=0,"",INDEX(客户自备加工筐明细!$L$4:$L$1203,$Z369-4000)),IF($Z369&lt;=5800,IF(INDEX(次果筐明细!$P$4:$P$603,$Z369-5200)=0,"",INDEX(次果筐明细!$P$4:$P$603,$Z369-5200)),"")))))</f>
        <v/>
      </c>
      <c r="N369" s="16" t="str">
        <f>IF($Z369="","",IF($Z369&lt;=2000,"",IF($Z369&lt;=4000,IF(INDEX(周转筐出入库明细!$D$4:$D$2004,$Z369-2000)=0,"",INDEX(周转筐出入库明细!$D$4:$D$2004,$Z369-2000)),IF($Z369&lt;=5200,IF(INDEX(客户自备加工筐明细!$C$4:$C$1203,$Z369-4000)=0,"",INDEX(客户自备加工筐明细!$C$4:$C$1203,$Z369-4000)),IF($Z369&lt;=5800,IF(INDEX(次果筐明细!$D$4:$D$603,$Z369-5200)=0,"",INDEX(次果筐明细!$D$4:$D$603,$Z369-5200)),"")))))</f>
        <v/>
      </c>
      <c r="O369" s="40" t="str">
        <f>IF($Z369="","",IF($Z369&lt;=2000,"",IF($Z369&lt;=4000,IF(N(INDEX(周转筐出入库明细!$J$4:$J$2004,$Z369-2000))+N(INDEX(周转筐出入库明细!$K$4:$K$2004,$Z369-2000))=0,"",N(INDEX(周转筐出入库明细!$J$4:$J$2004,$Z369-2000))+N(INDEX(周转筐出入库明细!$K$4:$K$2004,$Z369-2000))),IF($Z369&lt;=5200,IF(N(INDEX(客户自备加工筐明细!$G$4:$G$1203,$Z369-4000))=0,"",N(INDEX(客户自备加工筐明细!$G$4:$G$1203,$Z369-4000))),IF($Z369&lt;=5800,IF(ISNUMBER(SEARCH("退",INDEX(次果筐明细!$F$4:$F$603,$Z369-5200)&amp;"")),"",IF(N(INDEX(次果筐明细!$G$4:$G$603,$Z369-5200))=0,"",N(INDEX(次果筐明细!$G$4:$G$603,$Z369-5200)))),"")))))</f>
        <v/>
      </c>
      <c r="P369" s="40" t="str">
        <f>IF($Z369="","",IF($Z369&lt;=2000,"",IF($Z369&lt;=4000,IF(N(INDEX(周转筐出入库明细!$I$4:$I$2004,$Z369-2000))=0,"",N(INDEX(周转筐出入库明细!$I$4:$I$2004,$Z369-2000))),IF($Z369&lt;=5200,"",IF($Z369&lt;=5800,IF(ISNUMBER(SEARCH("退",INDEX(次果筐明细!$F$4:$F$603,$Z369-5200)&amp;"")),IF(N(INDEX(次果筐明细!$G$4:$G$603,$Z369-5200))=0,"",N(INDEX(次果筐明细!$G$4:$G$603,$Z369-5200))),""),"")))))</f>
        <v/>
      </c>
      <c r="Q369" s="40" t="str">
        <f>IF($Z369="","",IF($Z369&lt;=2000,"",IF($Z369&lt;=4000,IF(N(INDEX(周转筐出入库明细!$H$4:$H$2004,$Z369-2000))=0,"",N(INDEX(周转筐出入库明细!$H$4:$H$2004,$Z369-2000))),IF($Z369&lt;=5200,IF(N(INDEX(客户自备加工筐明细!$F$4:$F$1203,$Z369-4000))=0,"",N(INDEX(客户自备加工筐明细!$F$4:$F$1203,$Z369-4000))),IF($Z369&lt;=5800,"","")))))</f>
        <v/>
      </c>
      <c r="R369" s="16" t="str">
        <f>IF($Z369="","",IF($Z369&lt;=2000,IF(INDEX(包装物料出入库明细!$O$4:$O$2003,$Z369-0)=0,"",INDEX(包装物料出入库明细!$O$4:$O$2003,$Z369-0)),IF($Z369&lt;=4000,IF(INDEX(周转筐出入库明细!$M$4:$M$2004,$Z369-2000)=0,"",INDEX(周转筐出入库明细!$M$4:$M$2004,$Z369-2000)),IF($Z369&lt;=5200,IF(INDEX(客户自备加工筐明细!$H$4:$H$1203,$Z369-4000)=0,"",INDEX(客户自备加工筐明细!$H$4:$H$1203,$Z369-4000)),IF($Z369&lt;=5800,IF(INDEX(次果筐明细!$H$4:$H$603,$Z369-5200)=0,"",INDEX(次果筐明细!$H$4:$H$603,$Z369-5200)),"")))))</f>
        <v/>
      </c>
      <c r="S369" s="22" t="str">
        <f t="shared" si="17"/>
        <v/>
      </c>
      <c r="Z369" s="10" t="str">
        <f>IFERROR(MATCH(ROW()-3,_自动清单!$CQ$4:$CQ$5803,0),"")</f>
        <v/>
      </c>
    </row>
    <row r="370" spans="1:26">
      <c r="A370" s="24" t="str">
        <f t="shared" si="15"/>
        <v/>
      </c>
      <c r="B370" s="38" t="str">
        <f>IF($Z370="","",IF($Z370&lt;=2000,IF(INDEX(包装物料出入库明细!$B$4:$B$2003,$Z370-0)=0,"",INDEX(包装物料出入库明细!$B$4:$B$2003,$Z370-0)),IF($Z370&lt;=4000,IF(INDEX(周转筐出入库明细!$B$4:$B$2004,$Z370-2000)=0,"",INDEX(周转筐出入库明细!$B$4:$B$2004,$Z370-2000)),IF($Z370&lt;=5200,IF(INDEX(客户自备加工筐明细!$B$4:$B$1203,$Z370-4000)=0,"",INDEX(客户自备加工筐明细!$B$4:$B$1203,$Z370-4000)),IF($Z370&lt;=5800,IF(INDEX(次果筐明细!$B$4:$B$603,$Z370-5200)=0,"",INDEX(次果筐明细!$B$4:$B$603,$Z370-5200)),"")))))</f>
        <v/>
      </c>
      <c r="C370" s="37" t="str">
        <f>IF($Z370="","",IF($Z370&lt;=2000,IF(INDEX(包装物料出入库明细!$D$4:$D$2003,$Z370-0)=0,"",INDEX(包装物料出入库明细!$D$4:$D$2003,$Z370-0)),IF($Z370&lt;=4000,IF(INDEX(周转筐出入库明细!$C$4:$C$2004,$Z370-2000)=0,"",INDEX(周转筐出入库明细!$C$4:$C$2004,$Z370-2000)),IF($Z370&lt;=5200,IF(INDEX(客户自备加工筐明细!$E$4:$E$1203,$Z370-4000)=0,"",INDEX(客户自备加工筐明细!$E$4:$E$1203,$Z370-4000)),IF($Z370&lt;=5800,IF(INDEX(次果筐明细!$C$4:$C$603,$Z370-5200)=0,"",INDEX(次果筐明细!$C$4:$C$603,$Z370-5200)),"")))))</f>
        <v/>
      </c>
      <c r="D370" s="37" t="str">
        <f>IF($Z370="","",IF($Z370&lt;=2000,"包装物料－"&amp;INDEX(包装物料出入库明细!$H$4:$H$2003,$Z370-0),IF($Z370&lt;=4000,"周转筐－"&amp;INDEX(周转筐出入库明细!$F$4:$F$2004,$Z370-2000),IF($Z370&lt;=5200,"客户自备筐－"&amp;INDEX(客户自备加工筐明细!$J$4:$J$1203,$Z370-4000),IF($Z370&lt;=5800,"次果筐/托盘－"&amp;INDEX(次果筐明细!$F$4:$F$603,$Z370-5200),"")))))</f>
        <v/>
      </c>
      <c r="E370" s="24" t="str">
        <f>IF($Z370="","",IF($Z370&lt;=2000,IF(INDEX(包装物料出入库明细!$C$4:$C$2003,$Z370-0)=0,"",INDEX(包装物料出入库明细!$C$4:$C$2003,$Z370-0)),IF($Z370&lt;=4000,IF(INDEX(周转筐出入库明细!$E$4:$E$2004,$Z370-2000)=0,"",INDEX(周转筐出入库明细!$E$4:$E$2004,$Z370-2000)),IF($Z370&lt;=5200,IF(INDEX(客户自备加工筐明细!$D$4:$D$1203,$Z370-4000)=0,"",INDEX(客户自备加工筐明细!$D$4:$D$1203,$Z370-4000)),IF($Z370&lt;=5800,IF(INDEX(次果筐明细!$E$4:$E$603,$Z370-5200)=0,"",INDEX(次果筐明细!$E$4:$E$603,$Z370-5200)),"")))))</f>
        <v/>
      </c>
      <c r="F370" s="24" t="str">
        <f>IF($Z370="","",IF($Z370&lt;=2000,IF(INDEX(包装物料出入库明细!$E$4:$E$2003,$Z370-0)=0,"",INDEX(包装物料出入库明细!$E$4:$E$2003,$Z370-0)),IF($Z370&lt;=4000,IF(INDEX(周转筐出入库明细!$D$4:$D$2004,$Z370-2000)=0,"",INDEX(周转筐出入库明细!$D$4:$D$2004,$Z370-2000)),IF($Z370&lt;=5200,IF(INDEX(客户自备加工筐明细!$C$4:$C$1203,$Z370-4000)=0,"",INDEX(客户自备加工筐明细!$C$4:$C$1203,$Z370-4000)),IF($Z370&lt;=5800,IF(INDEX(次果筐明细!$D$4:$D$603,$Z370-5200)=0,"",INDEX(次果筐明细!$D$4:$D$603,$Z370-5200)),"")))))</f>
        <v/>
      </c>
      <c r="G370" s="24" t="str">
        <f>IF($Z370="","",IF($Z370&lt;=2000,IF(INDEX(包装物料出入库明细!$F$4:$F$2003,$Z370-0)=0,"",INDEX(包装物料出入库明细!$F$4:$F$2003,$Z370-0)),IF($Z370&lt;=4000,"",IF($Z370&lt;=5200,"",IF($Z370&lt;=5800,"","")))))</f>
        <v/>
      </c>
      <c r="H370" s="39" t="str">
        <f>IF($Z370="","",IF($Z370&lt;=2000,IF(INDEX(包装物料出入库明细!$L$4:$L$2003,$Z370-0)=0,"",INDEX(包装物料出入库明细!$L$4:$L$2003,$Z370-0)),IF($Z370&lt;=4000,N(INDEX(周转筐出入库明细!$H$4:$H$2004,$Z370-2000))+N(INDEX(周转筐出入库明细!$I$4:$I$2004,$Z370-2000))+N(INDEX(周转筐出入库明细!$J$4:$J$2004,$Z370-2000))+N(INDEX(周转筐出入库明细!$K$4:$K$2004,$Z370-2000)),IF($Z370&lt;=5200,N(INDEX(客户自备加工筐明细!$F$4:$F$1203,$Z370-4000))+N(INDEX(客户自备加工筐明细!$G$4:$G$1203,$Z370-4000)),IF($Z370&lt;=5800,IF(INDEX(次果筐明细!$G$4:$G$603,$Z370-5200)=0,"",INDEX(次果筐明细!$G$4:$G$603,$Z370-5200)),"")))))</f>
        <v/>
      </c>
      <c r="I370" s="24" t="str">
        <f>IF($Z370="","",IF($Z370&lt;=2000,IF(INDEX(包装物料出入库明细!$G$4:$G$2003,$Z370-0)=0,"",INDEX(包装物料出入库明细!$G$4:$G$2003,$Z370-0)),IF($Z370&lt;=4000,"个",IF($Z370&lt;=5200,"个",IF($Z370&lt;=5800,"个","")))))</f>
        <v/>
      </c>
      <c r="J370" s="30" t="str">
        <f t="shared" si="16"/>
        <v/>
      </c>
      <c r="K370" s="30" t="str">
        <f>IF($Z370="","",IF($Z370&lt;=2000,IF(INDEX(包装物料出入库明细!$N$4:$N$2003,$Z370-0)=0,"",INDEX(包装物料出入库明细!$N$4:$N$2003,$Z370-0)),IF($Z370&lt;=4000,IF(INDEX(周转筐出入库明细!$P$4:$P$2004,$Z370-2000)=0,"",INDEX(周转筐出入库明细!$P$4:$P$2004,$Z370-2000)),IF($Z370&lt;=5200,"",IF($Z370&lt;=5800,N(INDEX(次果筐明细!$L$4:$L$603,$Z370-5200))+N(INDEX(次果筐明细!$J$4:$J$603,$Z370-5200)),"")))))</f>
        <v/>
      </c>
      <c r="L370" s="24" t="str">
        <f>IF($Z370="","",IF($Z370&lt;=2000,IF(INDEX(包装物料出入库明细!$P$4:$P$2003,$Z370-0)=0,"",INDEX(包装物料出入库明细!$P$4:$P$2003,$Z370-0)),IF($Z370&lt;=4000,IF(INDEX(周转筐出入库明细!$Q$4:$Q$2004,$Z370-2000)=0,"",INDEX(周转筐出入库明细!$Q$4:$Q$2004,$Z370-2000)),IF($Z370&lt;=5200,"",IF($Z370&lt;=5800,IF(INDEX(次果筐明细!$M$4:$M$603,$Z370-5200)=0,"",INDEX(次果筐明细!$M$4:$M$603,$Z370-5200)),"")))))</f>
        <v/>
      </c>
      <c r="M370" s="37" t="str">
        <f>IF($Z370="","",IF($Z370&lt;=2000,IF(INDEX(包装物料出入库明细!$R$4:$R$2003,$Z370-0)=0,"",INDEX(包装物料出入库明细!$R$4:$R$2003,$Z370-0)),IF($Z370&lt;=4000,IF(INDEX(周转筐出入库明细!$W$4:$W$2004,$Z370-2000)=0,"",INDEX(周转筐出入库明细!$W$4:$W$2004,$Z370-2000)),IF($Z370&lt;=5200,IF(INDEX(客户自备加工筐明细!$L$4:$L$1203,$Z370-4000)=0,"",INDEX(客户自备加工筐明细!$L$4:$L$1203,$Z370-4000)),IF($Z370&lt;=5800,IF(INDEX(次果筐明细!$P$4:$P$603,$Z370-5200)=0,"",INDEX(次果筐明细!$P$4:$P$603,$Z370-5200)),"")))))</f>
        <v/>
      </c>
      <c r="N370" s="16" t="str">
        <f>IF($Z370="","",IF($Z370&lt;=2000,"",IF($Z370&lt;=4000,IF(INDEX(周转筐出入库明细!$D$4:$D$2004,$Z370-2000)=0,"",INDEX(周转筐出入库明细!$D$4:$D$2004,$Z370-2000)),IF($Z370&lt;=5200,IF(INDEX(客户自备加工筐明细!$C$4:$C$1203,$Z370-4000)=0,"",INDEX(客户自备加工筐明细!$C$4:$C$1203,$Z370-4000)),IF($Z370&lt;=5800,IF(INDEX(次果筐明细!$D$4:$D$603,$Z370-5200)=0,"",INDEX(次果筐明细!$D$4:$D$603,$Z370-5200)),"")))))</f>
        <v/>
      </c>
      <c r="O370" s="40" t="str">
        <f>IF($Z370="","",IF($Z370&lt;=2000,"",IF($Z370&lt;=4000,IF(N(INDEX(周转筐出入库明细!$J$4:$J$2004,$Z370-2000))+N(INDEX(周转筐出入库明细!$K$4:$K$2004,$Z370-2000))=0,"",N(INDEX(周转筐出入库明细!$J$4:$J$2004,$Z370-2000))+N(INDEX(周转筐出入库明细!$K$4:$K$2004,$Z370-2000))),IF($Z370&lt;=5200,IF(N(INDEX(客户自备加工筐明细!$G$4:$G$1203,$Z370-4000))=0,"",N(INDEX(客户自备加工筐明细!$G$4:$G$1203,$Z370-4000))),IF($Z370&lt;=5800,IF(ISNUMBER(SEARCH("退",INDEX(次果筐明细!$F$4:$F$603,$Z370-5200)&amp;"")),"",IF(N(INDEX(次果筐明细!$G$4:$G$603,$Z370-5200))=0,"",N(INDEX(次果筐明细!$G$4:$G$603,$Z370-5200)))),"")))))</f>
        <v/>
      </c>
      <c r="P370" s="40" t="str">
        <f>IF($Z370="","",IF($Z370&lt;=2000,"",IF($Z370&lt;=4000,IF(N(INDEX(周转筐出入库明细!$I$4:$I$2004,$Z370-2000))=0,"",N(INDEX(周转筐出入库明细!$I$4:$I$2004,$Z370-2000))),IF($Z370&lt;=5200,"",IF($Z370&lt;=5800,IF(ISNUMBER(SEARCH("退",INDEX(次果筐明细!$F$4:$F$603,$Z370-5200)&amp;"")),IF(N(INDEX(次果筐明细!$G$4:$G$603,$Z370-5200))=0,"",N(INDEX(次果筐明细!$G$4:$G$603,$Z370-5200))),""),"")))))</f>
        <v/>
      </c>
      <c r="Q370" s="40" t="str">
        <f>IF($Z370="","",IF($Z370&lt;=2000,"",IF($Z370&lt;=4000,IF(N(INDEX(周转筐出入库明细!$H$4:$H$2004,$Z370-2000))=0,"",N(INDEX(周转筐出入库明细!$H$4:$H$2004,$Z370-2000))),IF($Z370&lt;=5200,IF(N(INDEX(客户自备加工筐明细!$F$4:$F$1203,$Z370-4000))=0,"",N(INDEX(客户自备加工筐明细!$F$4:$F$1203,$Z370-4000))),IF($Z370&lt;=5800,"","")))))</f>
        <v/>
      </c>
      <c r="R370" s="16" t="str">
        <f>IF($Z370="","",IF($Z370&lt;=2000,IF(INDEX(包装物料出入库明细!$O$4:$O$2003,$Z370-0)=0,"",INDEX(包装物料出入库明细!$O$4:$O$2003,$Z370-0)),IF($Z370&lt;=4000,IF(INDEX(周转筐出入库明细!$M$4:$M$2004,$Z370-2000)=0,"",INDEX(周转筐出入库明细!$M$4:$M$2004,$Z370-2000)),IF($Z370&lt;=5200,IF(INDEX(客户自备加工筐明细!$H$4:$H$1203,$Z370-4000)=0,"",INDEX(客户自备加工筐明细!$H$4:$H$1203,$Z370-4000)),IF($Z370&lt;=5800,IF(INDEX(次果筐明细!$H$4:$H$603,$Z370-5200)=0,"",INDEX(次果筐明细!$H$4:$H$603,$Z370-5200)),"")))))</f>
        <v/>
      </c>
      <c r="S370" s="22" t="str">
        <f t="shared" si="17"/>
        <v/>
      </c>
      <c r="Z370" s="10" t="str">
        <f>IFERROR(MATCH(ROW()-3,_自动清单!$CQ$4:$CQ$5803,0),"")</f>
        <v/>
      </c>
    </row>
    <row r="371" spans="1:26">
      <c r="A371" s="24" t="str">
        <f t="shared" si="15"/>
        <v/>
      </c>
      <c r="B371" s="38" t="str">
        <f>IF($Z371="","",IF($Z371&lt;=2000,IF(INDEX(包装物料出入库明细!$B$4:$B$2003,$Z371-0)=0,"",INDEX(包装物料出入库明细!$B$4:$B$2003,$Z371-0)),IF($Z371&lt;=4000,IF(INDEX(周转筐出入库明细!$B$4:$B$2004,$Z371-2000)=0,"",INDEX(周转筐出入库明细!$B$4:$B$2004,$Z371-2000)),IF($Z371&lt;=5200,IF(INDEX(客户自备加工筐明细!$B$4:$B$1203,$Z371-4000)=0,"",INDEX(客户自备加工筐明细!$B$4:$B$1203,$Z371-4000)),IF($Z371&lt;=5800,IF(INDEX(次果筐明细!$B$4:$B$603,$Z371-5200)=0,"",INDEX(次果筐明细!$B$4:$B$603,$Z371-5200)),"")))))</f>
        <v/>
      </c>
      <c r="C371" s="37" t="str">
        <f>IF($Z371="","",IF($Z371&lt;=2000,IF(INDEX(包装物料出入库明细!$D$4:$D$2003,$Z371-0)=0,"",INDEX(包装物料出入库明细!$D$4:$D$2003,$Z371-0)),IF($Z371&lt;=4000,IF(INDEX(周转筐出入库明细!$C$4:$C$2004,$Z371-2000)=0,"",INDEX(周转筐出入库明细!$C$4:$C$2004,$Z371-2000)),IF($Z371&lt;=5200,IF(INDEX(客户自备加工筐明细!$E$4:$E$1203,$Z371-4000)=0,"",INDEX(客户自备加工筐明细!$E$4:$E$1203,$Z371-4000)),IF($Z371&lt;=5800,IF(INDEX(次果筐明细!$C$4:$C$603,$Z371-5200)=0,"",INDEX(次果筐明细!$C$4:$C$603,$Z371-5200)),"")))))</f>
        <v/>
      </c>
      <c r="D371" s="37" t="str">
        <f>IF($Z371="","",IF($Z371&lt;=2000,"包装物料－"&amp;INDEX(包装物料出入库明细!$H$4:$H$2003,$Z371-0),IF($Z371&lt;=4000,"周转筐－"&amp;INDEX(周转筐出入库明细!$F$4:$F$2004,$Z371-2000),IF($Z371&lt;=5200,"客户自备筐－"&amp;INDEX(客户自备加工筐明细!$J$4:$J$1203,$Z371-4000),IF($Z371&lt;=5800,"次果筐/托盘－"&amp;INDEX(次果筐明细!$F$4:$F$603,$Z371-5200),"")))))</f>
        <v/>
      </c>
      <c r="E371" s="24" t="str">
        <f>IF($Z371="","",IF($Z371&lt;=2000,IF(INDEX(包装物料出入库明细!$C$4:$C$2003,$Z371-0)=0,"",INDEX(包装物料出入库明细!$C$4:$C$2003,$Z371-0)),IF($Z371&lt;=4000,IF(INDEX(周转筐出入库明细!$E$4:$E$2004,$Z371-2000)=0,"",INDEX(周转筐出入库明细!$E$4:$E$2004,$Z371-2000)),IF($Z371&lt;=5200,IF(INDEX(客户自备加工筐明细!$D$4:$D$1203,$Z371-4000)=0,"",INDEX(客户自备加工筐明细!$D$4:$D$1203,$Z371-4000)),IF($Z371&lt;=5800,IF(INDEX(次果筐明细!$E$4:$E$603,$Z371-5200)=0,"",INDEX(次果筐明细!$E$4:$E$603,$Z371-5200)),"")))))</f>
        <v/>
      </c>
      <c r="F371" s="24" t="str">
        <f>IF($Z371="","",IF($Z371&lt;=2000,IF(INDEX(包装物料出入库明细!$E$4:$E$2003,$Z371-0)=0,"",INDEX(包装物料出入库明细!$E$4:$E$2003,$Z371-0)),IF($Z371&lt;=4000,IF(INDEX(周转筐出入库明细!$D$4:$D$2004,$Z371-2000)=0,"",INDEX(周转筐出入库明细!$D$4:$D$2004,$Z371-2000)),IF($Z371&lt;=5200,IF(INDEX(客户自备加工筐明细!$C$4:$C$1203,$Z371-4000)=0,"",INDEX(客户自备加工筐明细!$C$4:$C$1203,$Z371-4000)),IF($Z371&lt;=5800,IF(INDEX(次果筐明细!$D$4:$D$603,$Z371-5200)=0,"",INDEX(次果筐明细!$D$4:$D$603,$Z371-5200)),"")))))</f>
        <v/>
      </c>
      <c r="G371" s="24" t="str">
        <f>IF($Z371="","",IF($Z371&lt;=2000,IF(INDEX(包装物料出入库明细!$F$4:$F$2003,$Z371-0)=0,"",INDEX(包装物料出入库明细!$F$4:$F$2003,$Z371-0)),IF($Z371&lt;=4000,"",IF($Z371&lt;=5200,"",IF($Z371&lt;=5800,"","")))))</f>
        <v/>
      </c>
      <c r="H371" s="39" t="str">
        <f>IF($Z371="","",IF($Z371&lt;=2000,IF(INDEX(包装物料出入库明细!$L$4:$L$2003,$Z371-0)=0,"",INDEX(包装物料出入库明细!$L$4:$L$2003,$Z371-0)),IF($Z371&lt;=4000,N(INDEX(周转筐出入库明细!$H$4:$H$2004,$Z371-2000))+N(INDEX(周转筐出入库明细!$I$4:$I$2004,$Z371-2000))+N(INDEX(周转筐出入库明细!$J$4:$J$2004,$Z371-2000))+N(INDEX(周转筐出入库明细!$K$4:$K$2004,$Z371-2000)),IF($Z371&lt;=5200,N(INDEX(客户自备加工筐明细!$F$4:$F$1203,$Z371-4000))+N(INDEX(客户自备加工筐明细!$G$4:$G$1203,$Z371-4000)),IF($Z371&lt;=5800,IF(INDEX(次果筐明细!$G$4:$G$603,$Z371-5200)=0,"",INDEX(次果筐明细!$G$4:$G$603,$Z371-5200)),"")))))</f>
        <v/>
      </c>
      <c r="I371" s="24" t="str">
        <f>IF($Z371="","",IF($Z371&lt;=2000,IF(INDEX(包装物料出入库明细!$G$4:$G$2003,$Z371-0)=0,"",INDEX(包装物料出入库明细!$G$4:$G$2003,$Z371-0)),IF($Z371&lt;=4000,"个",IF($Z371&lt;=5200,"个",IF($Z371&lt;=5800,"个","")))))</f>
        <v/>
      </c>
      <c r="J371" s="30" t="str">
        <f t="shared" si="16"/>
        <v/>
      </c>
      <c r="K371" s="30" t="str">
        <f>IF($Z371="","",IF($Z371&lt;=2000,IF(INDEX(包装物料出入库明细!$N$4:$N$2003,$Z371-0)=0,"",INDEX(包装物料出入库明细!$N$4:$N$2003,$Z371-0)),IF($Z371&lt;=4000,IF(INDEX(周转筐出入库明细!$P$4:$P$2004,$Z371-2000)=0,"",INDEX(周转筐出入库明细!$P$4:$P$2004,$Z371-2000)),IF($Z371&lt;=5200,"",IF($Z371&lt;=5800,N(INDEX(次果筐明细!$L$4:$L$603,$Z371-5200))+N(INDEX(次果筐明细!$J$4:$J$603,$Z371-5200)),"")))))</f>
        <v/>
      </c>
      <c r="L371" s="24" t="str">
        <f>IF($Z371="","",IF($Z371&lt;=2000,IF(INDEX(包装物料出入库明细!$P$4:$P$2003,$Z371-0)=0,"",INDEX(包装物料出入库明细!$P$4:$P$2003,$Z371-0)),IF($Z371&lt;=4000,IF(INDEX(周转筐出入库明细!$Q$4:$Q$2004,$Z371-2000)=0,"",INDEX(周转筐出入库明细!$Q$4:$Q$2004,$Z371-2000)),IF($Z371&lt;=5200,"",IF($Z371&lt;=5800,IF(INDEX(次果筐明细!$M$4:$M$603,$Z371-5200)=0,"",INDEX(次果筐明细!$M$4:$M$603,$Z371-5200)),"")))))</f>
        <v/>
      </c>
      <c r="M371" s="37" t="str">
        <f>IF($Z371="","",IF($Z371&lt;=2000,IF(INDEX(包装物料出入库明细!$R$4:$R$2003,$Z371-0)=0,"",INDEX(包装物料出入库明细!$R$4:$R$2003,$Z371-0)),IF($Z371&lt;=4000,IF(INDEX(周转筐出入库明细!$W$4:$W$2004,$Z371-2000)=0,"",INDEX(周转筐出入库明细!$W$4:$W$2004,$Z371-2000)),IF($Z371&lt;=5200,IF(INDEX(客户自备加工筐明细!$L$4:$L$1203,$Z371-4000)=0,"",INDEX(客户自备加工筐明细!$L$4:$L$1203,$Z371-4000)),IF($Z371&lt;=5800,IF(INDEX(次果筐明细!$P$4:$P$603,$Z371-5200)=0,"",INDEX(次果筐明细!$P$4:$P$603,$Z371-5200)),"")))))</f>
        <v/>
      </c>
      <c r="N371" s="16" t="str">
        <f>IF($Z371="","",IF($Z371&lt;=2000,"",IF($Z371&lt;=4000,IF(INDEX(周转筐出入库明细!$D$4:$D$2004,$Z371-2000)=0,"",INDEX(周转筐出入库明细!$D$4:$D$2004,$Z371-2000)),IF($Z371&lt;=5200,IF(INDEX(客户自备加工筐明细!$C$4:$C$1203,$Z371-4000)=0,"",INDEX(客户自备加工筐明细!$C$4:$C$1203,$Z371-4000)),IF($Z371&lt;=5800,IF(INDEX(次果筐明细!$D$4:$D$603,$Z371-5200)=0,"",INDEX(次果筐明细!$D$4:$D$603,$Z371-5200)),"")))))</f>
        <v/>
      </c>
      <c r="O371" s="40" t="str">
        <f>IF($Z371="","",IF($Z371&lt;=2000,"",IF($Z371&lt;=4000,IF(N(INDEX(周转筐出入库明细!$J$4:$J$2004,$Z371-2000))+N(INDEX(周转筐出入库明细!$K$4:$K$2004,$Z371-2000))=0,"",N(INDEX(周转筐出入库明细!$J$4:$J$2004,$Z371-2000))+N(INDEX(周转筐出入库明细!$K$4:$K$2004,$Z371-2000))),IF($Z371&lt;=5200,IF(N(INDEX(客户自备加工筐明细!$G$4:$G$1203,$Z371-4000))=0,"",N(INDEX(客户自备加工筐明细!$G$4:$G$1203,$Z371-4000))),IF($Z371&lt;=5800,IF(ISNUMBER(SEARCH("退",INDEX(次果筐明细!$F$4:$F$603,$Z371-5200)&amp;"")),"",IF(N(INDEX(次果筐明细!$G$4:$G$603,$Z371-5200))=0,"",N(INDEX(次果筐明细!$G$4:$G$603,$Z371-5200)))),"")))))</f>
        <v/>
      </c>
      <c r="P371" s="40" t="str">
        <f>IF($Z371="","",IF($Z371&lt;=2000,"",IF($Z371&lt;=4000,IF(N(INDEX(周转筐出入库明细!$I$4:$I$2004,$Z371-2000))=0,"",N(INDEX(周转筐出入库明细!$I$4:$I$2004,$Z371-2000))),IF($Z371&lt;=5200,"",IF($Z371&lt;=5800,IF(ISNUMBER(SEARCH("退",INDEX(次果筐明细!$F$4:$F$603,$Z371-5200)&amp;"")),IF(N(INDEX(次果筐明细!$G$4:$G$603,$Z371-5200))=0,"",N(INDEX(次果筐明细!$G$4:$G$603,$Z371-5200))),""),"")))))</f>
        <v/>
      </c>
      <c r="Q371" s="40" t="str">
        <f>IF($Z371="","",IF($Z371&lt;=2000,"",IF($Z371&lt;=4000,IF(N(INDEX(周转筐出入库明细!$H$4:$H$2004,$Z371-2000))=0,"",N(INDEX(周转筐出入库明细!$H$4:$H$2004,$Z371-2000))),IF($Z371&lt;=5200,IF(N(INDEX(客户自备加工筐明细!$F$4:$F$1203,$Z371-4000))=0,"",N(INDEX(客户自备加工筐明细!$F$4:$F$1203,$Z371-4000))),IF($Z371&lt;=5800,"","")))))</f>
        <v/>
      </c>
      <c r="R371" s="16" t="str">
        <f>IF($Z371="","",IF($Z371&lt;=2000,IF(INDEX(包装物料出入库明细!$O$4:$O$2003,$Z371-0)=0,"",INDEX(包装物料出入库明细!$O$4:$O$2003,$Z371-0)),IF($Z371&lt;=4000,IF(INDEX(周转筐出入库明细!$M$4:$M$2004,$Z371-2000)=0,"",INDEX(周转筐出入库明细!$M$4:$M$2004,$Z371-2000)),IF($Z371&lt;=5200,IF(INDEX(客户自备加工筐明细!$H$4:$H$1203,$Z371-4000)=0,"",INDEX(客户自备加工筐明细!$H$4:$H$1203,$Z371-4000)),IF($Z371&lt;=5800,IF(INDEX(次果筐明细!$H$4:$H$603,$Z371-5200)=0,"",INDEX(次果筐明细!$H$4:$H$603,$Z371-5200)),"")))))</f>
        <v/>
      </c>
      <c r="S371" s="22" t="str">
        <f t="shared" si="17"/>
        <v/>
      </c>
      <c r="Z371" s="10" t="str">
        <f>IFERROR(MATCH(ROW()-3,_自动清单!$CQ$4:$CQ$5803,0),"")</f>
        <v/>
      </c>
    </row>
    <row r="372" spans="1:26">
      <c r="A372" s="24" t="str">
        <f t="shared" si="15"/>
        <v/>
      </c>
      <c r="B372" s="38" t="str">
        <f>IF($Z372="","",IF($Z372&lt;=2000,IF(INDEX(包装物料出入库明细!$B$4:$B$2003,$Z372-0)=0,"",INDEX(包装物料出入库明细!$B$4:$B$2003,$Z372-0)),IF($Z372&lt;=4000,IF(INDEX(周转筐出入库明细!$B$4:$B$2004,$Z372-2000)=0,"",INDEX(周转筐出入库明细!$B$4:$B$2004,$Z372-2000)),IF($Z372&lt;=5200,IF(INDEX(客户自备加工筐明细!$B$4:$B$1203,$Z372-4000)=0,"",INDEX(客户自备加工筐明细!$B$4:$B$1203,$Z372-4000)),IF($Z372&lt;=5800,IF(INDEX(次果筐明细!$B$4:$B$603,$Z372-5200)=0,"",INDEX(次果筐明细!$B$4:$B$603,$Z372-5200)),"")))))</f>
        <v/>
      </c>
      <c r="C372" s="37" t="str">
        <f>IF($Z372="","",IF($Z372&lt;=2000,IF(INDEX(包装物料出入库明细!$D$4:$D$2003,$Z372-0)=0,"",INDEX(包装物料出入库明细!$D$4:$D$2003,$Z372-0)),IF($Z372&lt;=4000,IF(INDEX(周转筐出入库明细!$C$4:$C$2004,$Z372-2000)=0,"",INDEX(周转筐出入库明细!$C$4:$C$2004,$Z372-2000)),IF($Z372&lt;=5200,IF(INDEX(客户自备加工筐明细!$E$4:$E$1203,$Z372-4000)=0,"",INDEX(客户自备加工筐明细!$E$4:$E$1203,$Z372-4000)),IF($Z372&lt;=5800,IF(INDEX(次果筐明细!$C$4:$C$603,$Z372-5200)=0,"",INDEX(次果筐明细!$C$4:$C$603,$Z372-5200)),"")))))</f>
        <v/>
      </c>
      <c r="D372" s="37" t="str">
        <f>IF($Z372="","",IF($Z372&lt;=2000,"包装物料－"&amp;INDEX(包装物料出入库明细!$H$4:$H$2003,$Z372-0),IF($Z372&lt;=4000,"周转筐－"&amp;INDEX(周转筐出入库明细!$F$4:$F$2004,$Z372-2000),IF($Z372&lt;=5200,"客户自备筐－"&amp;INDEX(客户自备加工筐明细!$J$4:$J$1203,$Z372-4000),IF($Z372&lt;=5800,"次果筐/托盘－"&amp;INDEX(次果筐明细!$F$4:$F$603,$Z372-5200),"")))))</f>
        <v/>
      </c>
      <c r="E372" s="24" t="str">
        <f>IF($Z372="","",IF($Z372&lt;=2000,IF(INDEX(包装物料出入库明细!$C$4:$C$2003,$Z372-0)=0,"",INDEX(包装物料出入库明细!$C$4:$C$2003,$Z372-0)),IF($Z372&lt;=4000,IF(INDEX(周转筐出入库明细!$E$4:$E$2004,$Z372-2000)=0,"",INDEX(周转筐出入库明细!$E$4:$E$2004,$Z372-2000)),IF($Z372&lt;=5200,IF(INDEX(客户自备加工筐明细!$D$4:$D$1203,$Z372-4000)=0,"",INDEX(客户自备加工筐明细!$D$4:$D$1203,$Z372-4000)),IF($Z372&lt;=5800,IF(INDEX(次果筐明细!$E$4:$E$603,$Z372-5200)=0,"",INDEX(次果筐明细!$E$4:$E$603,$Z372-5200)),"")))))</f>
        <v/>
      </c>
      <c r="F372" s="24" t="str">
        <f>IF($Z372="","",IF($Z372&lt;=2000,IF(INDEX(包装物料出入库明细!$E$4:$E$2003,$Z372-0)=0,"",INDEX(包装物料出入库明细!$E$4:$E$2003,$Z372-0)),IF($Z372&lt;=4000,IF(INDEX(周转筐出入库明细!$D$4:$D$2004,$Z372-2000)=0,"",INDEX(周转筐出入库明细!$D$4:$D$2004,$Z372-2000)),IF($Z372&lt;=5200,IF(INDEX(客户自备加工筐明细!$C$4:$C$1203,$Z372-4000)=0,"",INDEX(客户自备加工筐明细!$C$4:$C$1203,$Z372-4000)),IF($Z372&lt;=5800,IF(INDEX(次果筐明细!$D$4:$D$603,$Z372-5200)=0,"",INDEX(次果筐明细!$D$4:$D$603,$Z372-5200)),"")))))</f>
        <v/>
      </c>
      <c r="G372" s="24" t="str">
        <f>IF($Z372="","",IF($Z372&lt;=2000,IF(INDEX(包装物料出入库明细!$F$4:$F$2003,$Z372-0)=0,"",INDEX(包装物料出入库明细!$F$4:$F$2003,$Z372-0)),IF($Z372&lt;=4000,"",IF($Z372&lt;=5200,"",IF($Z372&lt;=5800,"","")))))</f>
        <v/>
      </c>
      <c r="H372" s="39" t="str">
        <f>IF($Z372="","",IF($Z372&lt;=2000,IF(INDEX(包装物料出入库明细!$L$4:$L$2003,$Z372-0)=0,"",INDEX(包装物料出入库明细!$L$4:$L$2003,$Z372-0)),IF($Z372&lt;=4000,N(INDEX(周转筐出入库明细!$H$4:$H$2004,$Z372-2000))+N(INDEX(周转筐出入库明细!$I$4:$I$2004,$Z372-2000))+N(INDEX(周转筐出入库明细!$J$4:$J$2004,$Z372-2000))+N(INDEX(周转筐出入库明细!$K$4:$K$2004,$Z372-2000)),IF($Z372&lt;=5200,N(INDEX(客户自备加工筐明细!$F$4:$F$1203,$Z372-4000))+N(INDEX(客户自备加工筐明细!$G$4:$G$1203,$Z372-4000)),IF($Z372&lt;=5800,IF(INDEX(次果筐明细!$G$4:$G$603,$Z372-5200)=0,"",INDEX(次果筐明细!$G$4:$G$603,$Z372-5200)),"")))))</f>
        <v/>
      </c>
      <c r="I372" s="24" t="str">
        <f>IF($Z372="","",IF($Z372&lt;=2000,IF(INDEX(包装物料出入库明细!$G$4:$G$2003,$Z372-0)=0,"",INDEX(包装物料出入库明细!$G$4:$G$2003,$Z372-0)),IF($Z372&lt;=4000,"个",IF($Z372&lt;=5200,"个",IF($Z372&lt;=5800,"个","")))))</f>
        <v/>
      </c>
      <c r="J372" s="30" t="str">
        <f t="shared" si="16"/>
        <v/>
      </c>
      <c r="K372" s="30" t="str">
        <f>IF($Z372="","",IF($Z372&lt;=2000,IF(INDEX(包装物料出入库明细!$N$4:$N$2003,$Z372-0)=0,"",INDEX(包装物料出入库明细!$N$4:$N$2003,$Z372-0)),IF($Z372&lt;=4000,IF(INDEX(周转筐出入库明细!$P$4:$P$2004,$Z372-2000)=0,"",INDEX(周转筐出入库明细!$P$4:$P$2004,$Z372-2000)),IF($Z372&lt;=5200,"",IF($Z372&lt;=5800,N(INDEX(次果筐明细!$L$4:$L$603,$Z372-5200))+N(INDEX(次果筐明细!$J$4:$J$603,$Z372-5200)),"")))))</f>
        <v/>
      </c>
      <c r="L372" s="24" t="str">
        <f>IF($Z372="","",IF($Z372&lt;=2000,IF(INDEX(包装物料出入库明细!$P$4:$P$2003,$Z372-0)=0,"",INDEX(包装物料出入库明细!$P$4:$P$2003,$Z372-0)),IF($Z372&lt;=4000,IF(INDEX(周转筐出入库明细!$Q$4:$Q$2004,$Z372-2000)=0,"",INDEX(周转筐出入库明细!$Q$4:$Q$2004,$Z372-2000)),IF($Z372&lt;=5200,"",IF($Z372&lt;=5800,IF(INDEX(次果筐明细!$M$4:$M$603,$Z372-5200)=0,"",INDEX(次果筐明细!$M$4:$M$603,$Z372-5200)),"")))))</f>
        <v/>
      </c>
      <c r="M372" s="37" t="str">
        <f>IF($Z372="","",IF($Z372&lt;=2000,IF(INDEX(包装物料出入库明细!$R$4:$R$2003,$Z372-0)=0,"",INDEX(包装物料出入库明细!$R$4:$R$2003,$Z372-0)),IF($Z372&lt;=4000,IF(INDEX(周转筐出入库明细!$W$4:$W$2004,$Z372-2000)=0,"",INDEX(周转筐出入库明细!$W$4:$W$2004,$Z372-2000)),IF($Z372&lt;=5200,IF(INDEX(客户自备加工筐明细!$L$4:$L$1203,$Z372-4000)=0,"",INDEX(客户自备加工筐明细!$L$4:$L$1203,$Z372-4000)),IF($Z372&lt;=5800,IF(INDEX(次果筐明细!$P$4:$P$603,$Z372-5200)=0,"",INDEX(次果筐明细!$P$4:$P$603,$Z372-5200)),"")))))</f>
        <v/>
      </c>
      <c r="N372" s="16" t="str">
        <f>IF($Z372="","",IF($Z372&lt;=2000,"",IF($Z372&lt;=4000,IF(INDEX(周转筐出入库明细!$D$4:$D$2004,$Z372-2000)=0,"",INDEX(周转筐出入库明细!$D$4:$D$2004,$Z372-2000)),IF($Z372&lt;=5200,IF(INDEX(客户自备加工筐明细!$C$4:$C$1203,$Z372-4000)=0,"",INDEX(客户自备加工筐明细!$C$4:$C$1203,$Z372-4000)),IF($Z372&lt;=5800,IF(INDEX(次果筐明细!$D$4:$D$603,$Z372-5200)=0,"",INDEX(次果筐明细!$D$4:$D$603,$Z372-5200)),"")))))</f>
        <v/>
      </c>
      <c r="O372" s="40" t="str">
        <f>IF($Z372="","",IF($Z372&lt;=2000,"",IF($Z372&lt;=4000,IF(N(INDEX(周转筐出入库明细!$J$4:$J$2004,$Z372-2000))+N(INDEX(周转筐出入库明细!$K$4:$K$2004,$Z372-2000))=0,"",N(INDEX(周转筐出入库明细!$J$4:$J$2004,$Z372-2000))+N(INDEX(周转筐出入库明细!$K$4:$K$2004,$Z372-2000))),IF($Z372&lt;=5200,IF(N(INDEX(客户自备加工筐明细!$G$4:$G$1203,$Z372-4000))=0,"",N(INDEX(客户自备加工筐明细!$G$4:$G$1203,$Z372-4000))),IF($Z372&lt;=5800,IF(ISNUMBER(SEARCH("退",INDEX(次果筐明细!$F$4:$F$603,$Z372-5200)&amp;"")),"",IF(N(INDEX(次果筐明细!$G$4:$G$603,$Z372-5200))=0,"",N(INDEX(次果筐明细!$G$4:$G$603,$Z372-5200)))),"")))))</f>
        <v/>
      </c>
      <c r="P372" s="40" t="str">
        <f>IF($Z372="","",IF($Z372&lt;=2000,"",IF($Z372&lt;=4000,IF(N(INDEX(周转筐出入库明细!$I$4:$I$2004,$Z372-2000))=0,"",N(INDEX(周转筐出入库明细!$I$4:$I$2004,$Z372-2000))),IF($Z372&lt;=5200,"",IF($Z372&lt;=5800,IF(ISNUMBER(SEARCH("退",INDEX(次果筐明细!$F$4:$F$603,$Z372-5200)&amp;"")),IF(N(INDEX(次果筐明细!$G$4:$G$603,$Z372-5200))=0,"",N(INDEX(次果筐明细!$G$4:$G$603,$Z372-5200))),""),"")))))</f>
        <v/>
      </c>
      <c r="Q372" s="40" t="str">
        <f>IF($Z372="","",IF($Z372&lt;=2000,"",IF($Z372&lt;=4000,IF(N(INDEX(周转筐出入库明细!$H$4:$H$2004,$Z372-2000))=0,"",N(INDEX(周转筐出入库明细!$H$4:$H$2004,$Z372-2000))),IF($Z372&lt;=5200,IF(N(INDEX(客户自备加工筐明细!$F$4:$F$1203,$Z372-4000))=0,"",N(INDEX(客户自备加工筐明细!$F$4:$F$1203,$Z372-4000))),IF($Z372&lt;=5800,"","")))))</f>
        <v/>
      </c>
      <c r="R372" s="16" t="str">
        <f>IF($Z372="","",IF($Z372&lt;=2000,IF(INDEX(包装物料出入库明细!$O$4:$O$2003,$Z372-0)=0,"",INDEX(包装物料出入库明细!$O$4:$O$2003,$Z372-0)),IF($Z372&lt;=4000,IF(INDEX(周转筐出入库明细!$M$4:$M$2004,$Z372-2000)=0,"",INDEX(周转筐出入库明细!$M$4:$M$2004,$Z372-2000)),IF($Z372&lt;=5200,IF(INDEX(客户自备加工筐明细!$H$4:$H$1203,$Z372-4000)=0,"",INDEX(客户自备加工筐明细!$H$4:$H$1203,$Z372-4000)),IF($Z372&lt;=5800,IF(INDEX(次果筐明细!$H$4:$H$603,$Z372-5200)=0,"",INDEX(次果筐明细!$H$4:$H$603,$Z372-5200)),"")))))</f>
        <v/>
      </c>
      <c r="S372" s="22" t="str">
        <f t="shared" si="17"/>
        <v/>
      </c>
      <c r="Z372" s="10" t="str">
        <f>IFERROR(MATCH(ROW()-3,_自动清单!$CQ$4:$CQ$5803,0),"")</f>
        <v/>
      </c>
    </row>
    <row r="373" spans="1:26">
      <c r="A373" s="24" t="str">
        <f t="shared" si="15"/>
        <v/>
      </c>
      <c r="B373" s="38" t="str">
        <f>IF($Z373="","",IF($Z373&lt;=2000,IF(INDEX(包装物料出入库明细!$B$4:$B$2003,$Z373-0)=0,"",INDEX(包装物料出入库明细!$B$4:$B$2003,$Z373-0)),IF($Z373&lt;=4000,IF(INDEX(周转筐出入库明细!$B$4:$B$2004,$Z373-2000)=0,"",INDEX(周转筐出入库明细!$B$4:$B$2004,$Z373-2000)),IF($Z373&lt;=5200,IF(INDEX(客户自备加工筐明细!$B$4:$B$1203,$Z373-4000)=0,"",INDEX(客户自备加工筐明细!$B$4:$B$1203,$Z373-4000)),IF($Z373&lt;=5800,IF(INDEX(次果筐明细!$B$4:$B$603,$Z373-5200)=0,"",INDEX(次果筐明细!$B$4:$B$603,$Z373-5200)),"")))))</f>
        <v/>
      </c>
      <c r="C373" s="37" t="str">
        <f>IF($Z373="","",IF($Z373&lt;=2000,IF(INDEX(包装物料出入库明细!$D$4:$D$2003,$Z373-0)=0,"",INDEX(包装物料出入库明细!$D$4:$D$2003,$Z373-0)),IF($Z373&lt;=4000,IF(INDEX(周转筐出入库明细!$C$4:$C$2004,$Z373-2000)=0,"",INDEX(周转筐出入库明细!$C$4:$C$2004,$Z373-2000)),IF($Z373&lt;=5200,IF(INDEX(客户自备加工筐明细!$E$4:$E$1203,$Z373-4000)=0,"",INDEX(客户自备加工筐明细!$E$4:$E$1203,$Z373-4000)),IF($Z373&lt;=5800,IF(INDEX(次果筐明细!$C$4:$C$603,$Z373-5200)=0,"",INDEX(次果筐明细!$C$4:$C$603,$Z373-5200)),"")))))</f>
        <v/>
      </c>
      <c r="D373" s="37" t="str">
        <f>IF($Z373="","",IF($Z373&lt;=2000,"包装物料－"&amp;INDEX(包装物料出入库明细!$H$4:$H$2003,$Z373-0),IF($Z373&lt;=4000,"周转筐－"&amp;INDEX(周转筐出入库明细!$F$4:$F$2004,$Z373-2000),IF($Z373&lt;=5200,"客户自备筐－"&amp;INDEX(客户自备加工筐明细!$J$4:$J$1203,$Z373-4000),IF($Z373&lt;=5800,"次果筐/托盘－"&amp;INDEX(次果筐明细!$F$4:$F$603,$Z373-5200),"")))))</f>
        <v/>
      </c>
      <c r="E373" s="24" t="str">
        <f>IF($Z373="","",IF($Z373&lt;=2000,IF(INDEX(包装物料出入库明细!$C$4:$C$2003,$Z373-0)=0,"",INDEX(包装物料出入库明细!$C$4:$C$2003,$Z373-0)),IF($Z373&lt;=4000,IF(INDEX(周转筐出入库明细!$E$4:$E$2004,$Z373-2000)=0,"",INDEX(周转筐出入库明细!$E$4:$E$2004,$Z373-2000)),IF($Z373&lt;=5200,IF(INDEX(客户自备加工筐明细!$D$4:$D$1203,$Z373-4000)=0,"",INDEX(客户自备加工筐明细!$D$4:$D$1203,$Z373-4000)),IF($Z373&lt;=5800,IF(INDEX(次果筐明细!$E$4:$E$603,$Z373-5200)=0,"",INDEX(次果筐明细!$E$4:$E$603,$Z373-5200)),"")))))</f>
        <v/>
      </c>
      <c r="F373" s="24" t="str">
        <f>IF($Z373="","",IF($Z373&lt;=2000,IF(INDEX(包装物料出入库明细!$E$4:$E$2003,$Z373-0)=0,"",INDEX(包装物料出入库明细!$E$4:$E$2003,$Z373-0)),IF($Z373&lt;=4000,IF(INDEX(周转筐出入库明细!$D$4:$D$2004,$Z373-2000)=0,"",INDEX(周转筐出入库明细!$D$4:$D$2004,$Z373-2000)),IF($Z373&lt;=5200,IF(INDEX(客户自备加工筐明细!$C$4:$C$1203,$Z373-4000)=0,"",INDEX(客户自备加工筐明细!$C$4:$C$1203,$Z373-4000)),IF($Z373&lt;=5800,IF(INDEX(次果筐明细!$D$4:$D$603,$Z373-5200)=0,"",INDEX(次果筐明细!$D$4:$D$603,$Z373-5200)),"")))))</f>
        <v/>
      </c>
      <c r="G373" s="24" t="str">
        <f>IF($Z373="","",IF($Z373&lt;=2000,IF(INDEX(包装物料出入库明细!$F$4:$F$2003,$Z373-0)=0,"",INDEX(包装物料出入库明细!$F$4:$F$2003,$Z373-0)),IF($Z373&lt;=4000,"",IF($Z373&lt;=5200,"",IF($Z373&lt;=5800,"","")))))</f>
        <v/>
      </c>
      <c r="H373" s="39" t="str">
        <f>IF($Z373="","",IF($Z373&lt;=2000,IF(INDEX(包装物料出入库明细!$L$4:$L$2003,$Z373-0)=0,"",INDEX(包装物料出入库明细!$L$4:$L$2003,$Z373-0)),IF($Z373&lt;=4000,N(INDEX(周转筐出入库明细!$H$4:$H$2004,$Z373-2000))+N(INDEX(周转筐出入库明细!$I$4:$I$2004,$Z373-2000))+N(INDEX(周转筐出入库明细!$J$4:$J$2004,$Z373-2000))+N(INDEX(周转筐出入库明细!$K$4:$K$2004,$Z373-2000)),IF($Z373&lt;=5200,N(INDEX(客户自备加工筐明细!$F$4:$F$1203,$Z373-4000))+N(INDEX(客户自备加工筐明细!$G$4:$G$1203,$Z373-4000)),IF($Z373&lt;=5800,IF(INDEX(次果筐明细!$G$4:$G$603,$Z373-5200)=0,"",INDEX(次果筐明细!$G$4:$G$603,$Z373-5200)),"")))))</f>
        <v/>
      </c>
      <c r="I373" s="24" t="str">
        <f>IF($Z373="","",IF($Z373&lt;=2000,IF(INDEX(包装物料出入库明细!$G$4:$G$2003,$Z373-0)=0,"",INDEX(包装物料出入库明细!$G$4:$G$2003,$Z373-0)),IF($Z373&lt;=4000,"个",IF($Z373&lt;=5200,"个",IF($Z373&lt;=5800,"个","")))))</f>
        <v/>
      </c>
      <c r="J373" s="30" t="str">
        <f t="shared" si="16"/>
        <v/>
      </c>
      <c r="K373" s="30" t="str">
        <f>IF($Z373="","",IF($Z373&lt;=2000,IF(INDEX(包装物料出入库明细!$N$4:$N$2003,$Z373-0)=0,"",INDEX(包装物料出入库明细!$N$4:$N$2003,$Z373-0)),IF($Z373&lt;=4000,IF(INDEX(周转筐出入库明细!$P$4:$P$2004,$Z373-2000)=0,"",INDEX(周转筐出入库明细!$P$4:$P$2004,$Z373-2000)),IF($Z373&lt;=5200,"",IF($Z373&lt;=5800,N(INDEX(次果筐明细!$L$4:$L$603,$Z373-5200))+N(INDEX(次果筐明细!$J$4:$J$603,$Z373-5200)),"")))))</f>
        <v/>
      </c>
      <c r="L373" s="24" t="str">
        <f>IF($Z373="","",IF($Z373&lt;=2000,IF(INDEX(包装物料出入库明细!$P$4:$P$2003,$Z373-0)=0,"",INDEX(包装物料出入库明细!$P$4:$P$2003,$Z373-0)),IF($Z373&lt;=4000,IF(INDEX(周转筐出入库明细!$Q$4:$Q$2004,$Z373-2000)=0,"",INDEX(周转筐出入库明细!$Q$4:$Q$2004,$Z373-2000)),IF($Z373&lt;=5200,"",IF($Z373&lt;=5800,IF(INDEX(次果筐明细!$M$4:$M$603,$Z373-5200)=0,"",INDEX(次果筐明细!$M$4:$M$603,$Z373-5200)),"")))))</f>
        <v/>
      </c>
      <c r="M373" s="37" t="str">
        <f>IF($Z373="","",IF($Z373&lt;=2000,IF(INDEX(包装物料出入库明细!$R$4:$R$2003,$Z373-0)=0,"",INDEX(包装物料出入库明细!$R$4:$R$2003,$Z373-0)),IF($Z373&lt;=4000,IF(INDEX(周转筐出入库明细!$W$4:$W$2004,$Z373-2000)=0,"",INDEX(周转筐出入库明细!$W$4:$W$2004,$Z373-2000)),IF($Z373&lt;=5200,IF(INDEX(客户自备加工筐明细!$L$4:$L$1203,$Z373-4000)=0,"",INDEX(客户自备加工筐明细!$L$4:$L$1203,$Z373-4000)),IF($Z373&lt;=5800,IF(INDEX(次果筐明细!$P$4:$P$603,$Z373-5200)=0,"",INDEX(次果筐明细!$P$4:$P$603,$Z373-5200)),"")))))</f>
        <v/>
      </c>
      <c r="N373" s="16" t="str">
        <f>IF($Z373="","",IF($Z373&lt;=2000,"",IF($Z373&lt;=4000,IF(INDEX(周转筐出入库明细!$D$4:$D$2004,$Z373-2000)=0,"",INDEX(周转筐出入库明细!$D$4:$D$2004,$Z373-2000)),IF($Z373&lt;=5200,IF(INDEX(客户自备加工筐明细!$C$4:$C$1203,$Z373-4000)=0,"",INDEX(客户自备加工筐明细!$C$4:$C$1203,$Z373-4000)),IF($Z373&lt;=5800,IF(INDEX(次果筐明细!$D$4:$D$603,$Z373-5200)=0,"",INDEX(次果筐明细!$D$4:$D$603,$Z373-5200)),"")))))</f>
        <v/>
      </c>
      <c r="O373" s="40" t="str">
        <f>IF($Z373="","",IF($Z373&lt;=2000,"",IF($Z373&lt;=4000,IF(N(INDEX(周转筐出入库明细!$J$4:$J$2004,$Z373-2000))+N(INDEX(周转筐出入库明细!$K$4:$K$2004,$Z373-2000))=0,"",N(INDEX(周转筐出入库明细!$J$4:$J$2004,$Z373-2000))+N(INDEX(周转筐出入库明细!$K$4:$K$2004,$Z373-2000))),IF($Z373&lt;=5200,IF(N(INDEX(客户自备加工筐明细!$G$4:$G$1203,$Z373-4000))=0,"",N(INDEX(客户自备加工筐明细!$G$4:$G$1203,$Z373-4000))),IF($Z373&lt;=5800,IF(ISNUMBER(SEARCH("退",INDEX(次果筐明细!$F$4:$F$603,$Z373-5200)&amp;"")),"",IF(N(INDEX(次果筐明细!$G$4:$G$603,$Z373-5200))=0,"",N(INDEX(次果筐明细!$G$4:$G$603,$Z373-5200)))),"")))))</f>
        <v/>
      </c>
      <c r="P373" s="40" t="str">
        <f>IF($Z373="","",IF($Z373&lt;=2000,"",IF($Z373&lt;=4000,IF(N(INDEX(周转筐出入库明细!$I$4:$I$2004,$Z373-2000))=0,"",N(INDEX(周转筐出入库明细!$I$4:$I$2004,$Z373-2000))),IF($Z373&lt;=5200,"",IF($Z373&lt;=5800,IF(ISNUMBER(SEARCH("退",INDEX(次果筐明细!$F$4:$F$603,$Z373-5200)&amp;"")),IF(N(INDEX(次果筐明细!$G$4:$G$603,$Z373-5200))=0,"",N(INDEX(次果筐明细!$G$4:$G$603,$Z373-5200))),""),"")))))</f>
        <v/>
      </c>
      <c r="Q373" s="40" t="str">
        <f>IF($Z373="","",IF($Z373&lt;=2000,"",IF($Z373&lt;=4000,IF(N(INDEX(周转筐出入库明细!$H$4:$H$2004,$Z373-2000))=0,"",N(INDEX(周转筐出入库明细!$H$4:$H$2004,$Z373-2000))),IF($Z373&lt;=5200,IF(N(INDEX(客户自备加工筐明细!$F$4:$F$1203,$Z373-4000))=0,"",N(INDEX(客户自备加工筐明细!$F$4:$F$1203,$Z373-4000))),IF($Z373&lt;=5800,"","")))))</f>
        <v/>
      </c>
      <c r="R373" s="16" t="str">
        <f>IF($Z373="","",IF($Z373&lt;=2000,IF(INDEX(包装物料出入库明细!$O$4:$O$2003,$Z373-0)=0,"",INDEX(包装物料出入库明细!$O$4:$O$2003,$Z373-0)),IF($Z373&lt;=4000,IF(INDEX(周转筐出入库明细!$M$4:$M$2004,$Z373-2000)=0,"",INDEX(周转筐出入库明细!$M$4:$M$2004,$Z373-2000)),IF($Z373&lt;=5200,IF(INDEX(客户自备加工筐明细!$H$4:$H$1203,$Z373-4000)=0,"",INDEX(客户自备加工筐明细!$H$4:$H$1203,$Z373-4000)),IF($Z373&lt;=5800,IF(INDEX(次果筐明细!$H$4:$H$603,$Z373-5200)=0,"",INDEX(次果筐明细!$H$4:$H$603,$Z373-5200)),"")))))</f>
        <v/>
      </c>
      <c r="S373" s="22" t="str">
        <f t="shared" si="17"/>
        <v/>
      </c>
      <c r="Z373" s="10" t="str">
        <f>IFERROR(MATCH(ROW()-3,_自动清单!$CQ$4:$CQ$5803,0),"")</f>
        <v/>
      </c>
    </row>
    <row r="374" spans="1:26">
      <c r="A374" s="24" t="str">
        <f t="shared" si="15"/>
        <v/>
      </c>
      <c r="B374" s="38" t="str">
        <f>IF($Z374="","",IF($Z374&lt;=2000,IF(INDEX(包装物料出入库明细!$B$4:$B$2003,$Z374-0)=0,"",INDEX(包装物料出入库明细!$B$4:$B$2003,$Z374-0)),IF($Z374&lt;=4000,IF(INDEX(周转筐出入库明细!$B$4:$B$2004,$Z374-2000)=0,"",INDEX(周转筐出入库明细!$B$4:$B$2004,$Z374-2000)),IF($Z374&lt;=5200,IF(INDEX(客户自备加工筐明细!$B$4:$B$1203,$Z374-4000)=0,"",INDEX(客户自备加工筐明细!$B$4:$B$1203,$Z374-4000)),IF($Z374&lt;=5800,IF(INDEX(次果筐明细!$B$4:$B$603,$Z374-5200)=0,"",INDEX(次果筐明细!$B$4:$B$603,$Z374-5200)),"")))))</f>
        <v/>
      </c>
      <c r="C374" s="37" t="str">
        <f>IF($Z374="","",IF($Z374&lt;=2000,IF(INDEX(包装物料出入库明细!$D$4:$D$2003,$Z374-0)=0,"",INDEX(包装物料出入库明细!$D$4:$D$2003,$Z374-0)),IF($Z374&lt;=4000,IF(INDEX(周转筐出入库明细!$C$4:$C$2004,$Z374-2000)=0,"",INDEX(周转筐出入库明细!$C$4:$C$2004,$Z374-2000)),IF($Z374&lt;=5200,IF(INDEX(客户自备加工筐明细!$E$4:$E$1203,$Z374-4000)=0,"",INDEX(客户自备加工筐明细!$E$4:$E$1203,$Z374-4000)),IF($Z374&lt;=5800,IF(INDEX(次果筐明细!$C$4:$C$603,$Z374-5200)=0,"",INDEX(次果筐明细!$C$4:$C$603,$Z374-5200)),"")))))</f>
        <v/>
      </c>
      <c r="D374" s="37" t="str">
        <f>IF($Z374="","",IF($Z374&lt;=2000,"包装物料－"&amp;INDEX(包装物料出入库明细!$H$4:$H$2003,$Z374-0),IF($Z374&lt;=4000,"周转筐－"&amp;INDEX(周转筐出入库明细!$F$4:$F$2004,$Z374-2000),IF($Z374&lt;=5200,"客户自备筐－"&amp;INDEX(客户自备加工筐明细!$J$4:$J$1203,$Z374-4000),IF($Z374&lt;=5800,"次果筐/托盘－"&amp;INDEX(次果筐明细!$F$4:$F$603,$Z374-5200),"")))))</f>
        <v/>
      </c>
      <c r="E374" s="24" t="str">
        <f>IF($Z374="","",IF($Z374&lt;=2000,IF(INDEX(包装物料出入库明细!$C$4:$C$2003,$Z374-0)=0,"",INDEX(包装物料出入库明细!$C$4:$C$2003,$Z374-0)),IF($Z374&lt;=4000,IF(INDEX(周转筐出入库明细!$E$4:$E$2004,$Z374-2000)=0,"",INDEX(周转筐出入库明细!$E$4:$E$2004,$Z374-2000)),IF($Z374&lt;=5200,IF(INDEX(客户自备加工筐明细!$D$4:$D$1203,$Z374-4000)=0,"",INDEX(客户自备加工筐明细!$D$4:$D$1203,$Z374-4000)),IF($Z374&lt;=5800,IF(INDEX(次果筐明细!$E$4:$E$603,$Z374-5200)=0,"",INDEX(次果筐明细!$E$4:$E$603,$Z374-5200)),"")))))</f>
        <v/>
      </c>
      <c r="F374" s="24" t="str">
        <f>IF($Z374="","",IF($Z374&lt;=2000,IF(INDEX(包装物料出入库明细!$E$4:$E$2003,$Z374-0)=0,"",INDEX(包装物料出入库明细!$E$4:$E$2003,$Z374-0)),IF($Z374&lt;=4000,IF(INDEX(周转筐出入库明细!$D$4:$D$2004,$Z374-2000)=0,"",INDEX(周转筐出入库明细!$D$4:$D$2004,$Z374-2000)),IF($Z374&lt;=5200,IF(INDEX(客户自备加工筐明细!$C$4:$C$1203,$Z374-4000)=0,"",INDEX(客户自备加工筐明细!$C$4:$C$1203,$Z374-4000)),IF($Z374&lt;=5800,IF(INDEX(次果筐明细!$D$4:$D$603,$Z374-5200)=0,"",INDEX(次果筐明细!$D$4:$D$603,$Z374-5200)),"")))))</f>
        <v/>
      </c>
      <c r="G374" s="24" t="str">
        <f>IF($Z374="","",IF($Z374&lt;=2000,IF(INDEX(包装物料出入库明细!$F$4:$F$2003,$Z374-0)=0,"",INDEX(包装物料出入库明细!$F$4:$F$2003,$Z374-0)),IF($Z374&lt;=4000,"",IF($Z374&lt;=5200,"",IF($Z374&lt;=5800,"","")))))</f>
        <v/>
      </c>
      <c r="H374" s="39" t="str">
        <f>IF($Z374="","",IF($Z374&lt;=2000,IF(INDEX(包装物料出入库明细!$L$4:$L$2003,$Z374-0)=0,"",INDEX(包装物料出入库明细!$L$4:$L$2003,$Z374-0)),IF($Z374&lt;=4000,N(INDEX(周转筐出入库明细!$H$4:$H$2004,$Z374-2000))+N(INDEX(周转筐出入库明细!$I$4:$I$2004,$Z374-2000))+N(INDEX(周转筐出入库明细!$J$4:$J$2004,$Z374-2000))+N(INDEX(周转筐出入库明细!$K$4:$K$2004,$Z374-2000)),IF($Z374&lt;=5200,N(INDEX(客户自备加工筐明细!$F$4:$F$1203,$Z374-4000))+N(INDEX(客户自备加工筐明细!$G$4:$G$1203,$Z374-4000)),IF($Z374&lt;=5800,IF(INDEX(次果筐明细!$G$4:$G$603,$Z374-5200)=0,"",INDEX(次果筐明细!$G$4:$G$603,$Z374-5200)),"")))))</f>
        <v/>
      </c>
      <c r="I374" s="24" t="str">
        <f>IF($Z374="","",IF($Z374&lt;=2000,IF(INDEX(包装物料出入库明细!$G$4:$G$2003,$Z374-0)=0,"",INDEX(包装物料出入库明细!$G$4:$G$2003,$Z374-0)),IF($Z374&lt;=4000,"个",IF($Z374&lt;=5200,"个",IF($Z374&lt;=5800,"个","")))))</f>
        <v/>
      </c>
      <c r="J374" s="30" t="str">
        <f t="shared" si="16"/>
        <v/>
      </c>
      <c r="K374" s="30" t="str">
        <f>IF($Z374="","",IF($Z374&lt;=2000,IF(INDEX(包装物料出入库明细!$N$4:$N$2003,$Z374-0)=0,"",INDEX(包装物料出入库明细!$N$4:$N$2003,$Z374-0)),IF($Z374&lt;=4000,IF(INDEX(周转筐出入库明细!$P$4:$P$2004,$Z374-2000)=0,"",INDEX(周转筐出入库明细!$P$4:$P$2004,$Z374-2000)),IF($Z374&lt;=5200,"",IF($Z374&lt;=5800,N(INDEX(次果筐明细!$L$4:$L$603,$Z374-5200))+N(INDEX(次果筐明细!$J$4:$J$603,$Z374-5200)),"")))))</f>
        <v/>
      </c>
      <c r="L374" s="24" t="str">
        <f>IF($Z374="","",IF($Z374&lt;=2000,IF(INDEX(包装物料出入库明细!$P$4:$P$2003,$Z374-0)=0,"",INDEX(包装物料出入库明细!$P$4:$P$2003,$Z374-0)),IF($Z374&lt;=4000,IF(INDEX(周转筐出入库明细!$Q$4:$Q$2004,$Z374-2000)=0,"",INDEX(周转筐出入库明细!$Q$4:$Q$2004,$Z374-2000)),IF($Z374&lt;=5200,"",IF($Z374&lt;=5800,IF(INDEX(次果筐明细!$M$4:$M$603,$Z374-5200)=0,"",INDEX(次果筐明细!$M$4:$M$603,$Z374-5200)),"")))))</f>
        <v/>
      </c>
      <c r="M374" s="37" t="str">
        <f>IF($Z374="","",IF($Z374&lt;=2000,IF(INDEX(包装物料出入库明细!$R$4:$R$2003,$Z374-0)=0,"",INDEX(包装物料出入库明细!$R$4:$R$2003,$Z374-0)),IF($Z374&lt;=4000,IF(INDEX(周转筐出入库明细!$W$4:$W$2004,$Z374-2000)=0,"",INDEX(周转筐出入库明细!$W$4:$W$2004,$Z374-2000)),IF($Z374&lt;=5200,IF(INDEX(客户自备加工筐明细!$L$4:$L$1203,$Z374-4000)=0,"",INDEX(客户自备加工筐明细!$L$4:$L$1203,$Z374-4000)),IF($Z374&lt;=5800,IF(INDEX(次果筐明细!$P$4:$P$603,$Z374-5200)=0,"",INDEX(次果筐明细!$P$4:$P$603,$Z374-5200)),"")))))</f>
        <v/>
      </c>
      <c r="N374" s="16" t="str">
        <f>IF($Z374="","",IF($Z374&lt;=2000,"",IF($Z374&lt;=4000,IF(INDEX(周转筐出入库明细!$D$4:$D$2004,$Z374-2000)=0,"",INDEX(周转筐出入库明细!$D$4:$D$2004,$Z374-2000)),IF($Z374&lt;=5200,IF(INDEX(客户自备加工筐明细!$C$4:$C$1203,$Z374-4000)=0,"",INDEX(客户自备加工筐明细!$C$4:$C$1203,$Z374-4000)),IF($Z374&lt;=5800,IF(INDEX(次果筐明细!$D$4:$D$603,$Z374-5200)=0,"",INDEX(次果筐明细!$D$4:$D$603,$Z374-5200)),"")))))</f>
        <v/>
      </c>
      <c r="O374" s="40" t="str">
        <f>IF($Z374="","",IF($Z374&lt;=2000,"",IF($Z374&lt;=4000,IF(N(INDEX(周转筐出入库明细!$J$4:$J$2004,$Z374-2000))+N(INDEX(周转筐出入库明细!$K$4:$K$2004,$Z374-2000))=0,"",N(INDEX(周转筐出入库明细!$J$4:$J$2004,$Z374-2000))+N(INDEX(周转筐出入库明细!$K$4:$K$2004,$Z374-2000))),IF($Z374&lt;=5200,IF(N(INDEX(客户自备加工筐明细!$G$4:$G$1203,$Z374-4000))=0,"",N(INDEX(客户自备加工筐明细!$G$4:$G$1203,$Z374-4000))),IF($Z374&lt;=5800,IF(ISNUMBER(SEARCH("退",INDEX(次果筐明细!$F$4:$F$603,$Z374-5200)&amp;"")),"",IF(N(INDEX(次果筐明细!$G$4:$G$603,$Z374-5200))=0,"",N(INDEX(次果筐明细!$G$4:$G$603,$Z374-5200)))),"")))))</f>
        <v/>
      </c>
      <c r="P374" s="40" t="str">
        <f>IF($Z374="","",IF($Z374&lt;=2000,"",IF($Z374&lt;=4000,IF(N(INDEX(周转筐出入库明细!$I$4:$I$2004,$Z374-2000))=0,"",N(INDEX(周转筐出入库明细!$I$4:$I$2004,$Z374-2000))),IF($Z374&lt;=5200,"",IF($Z374&lt;=5800,IF(ISNUMBER(SEARCH("退",INDEX(次果筐明细!$F$4:$F$603,$Z374-5200)&amp;"")),IF(N(INDEX(次果筐明细!$G$4:$G$603,$Z374-5200))=0,"",N(INDEX(次果筐明细!$G$4:$G$603,$Z374-5200))),""),"")))))</f>
        <v/>
      </c>
      <c r="Q374" s="40" t="str">
        <f>IF($Z374="","",IF($Z374&lt;=2000,"",IF($Z374&lt;=4000,IF(N(INDEX(周转筐出入库明细!$H$4:$H$2004,$Z374-2000))=0,"",N(INDEX(周转筐出入库明细!$H$4:$H$2004,$Z374-2000))),IF($Z374&lt;=5200,IF(N(INDEX(客户自备加工筐明细!$F$4:$F$1203,$Z374-4000))=0,"",N(INDEX(客户自备加工筐明细!$F$4:$F$1203,$Z374-4000))),IF($Z374&lt;=5800,"","")))))</f>
        <v/>
      </c>
      <c r="R374" s="16" t="str">
        <f>IF($Z374="","",IF($Z374&lt;=2000,IF(INDEX(包装物料出入库明细!$O$4:$O$2003,$Z374-0)=0,"",INDEX(包装物料出入库明细!$O$4:$O$2003,$Z374-0)),IF($Z374&lt;=4000,IF(INDEX(周转筐出入库明细!$M$4:$M$2004,$Z374-2000)=0,"",INDEX(周转筐出入库明细!$M$4:$M$2004,$Z374-2000)),IF($Z374&lt;=5200,IF(INDEX(客户自备加工筐明细!$H$4:$H$1203,$Z374-4000)=0,"",INDEX(客户自备加工筐明细!$H$4:$H$1203,$Z374-4000)),IF($Z374&lt;=5800,IF(INDEX(次果筐明细!$H$4:$H$603,$Z374-5200)=0,"",INDEX(次果筐明细!$H$4:$H$603,$Z374-5200)),"")))))</f>
        <v/>
      </c>
      <c r="S374" s="22" t="str">
        <f t="shared" si="17"/>
        <v/>
      </c>
      <c r="Z374" s="10" t="str">
        <f>IFERROR(MATCH(ROW()-3,_自动清单!$CQ$4:$CQ$5803,0),"")</f>
        <v/>
      </c>
    </row>
    <row r="375" spans="1:26">
      <c r="A375" s="24" t="str">
        <f t="shared" si="15"/>
        <v/>
      </c>
      <c r="B375" s="38" t="str">
        <f>IF($Z375="","",IF($Z375&lt;=2000,IF(INDEX(包装物料出入库明细!$B$4:$B$2003,$Z375-0)=0,"",INDEX(包装物料出入库明细!$B$4:$B$2003,$Z375-0)),IF($Z375&lt;=4000,IF(INDEX(周转筐出入库明细!$B$4:$B$2004,$Z375-2000)=0,"",INDEX(周转筐出入库明细!$B$4:$B$2004,$Z375-2000)),IF($Z375&lt;=5200,IF(INDEX(客户自备加工筐明细!$B$4:$B$1203,$Z375-4000)=0,"",INDEX(客户自备加工筐明细!$B$4:$B$1203,$Z375-4000)),IF($Z375&lt;=5800,IF(INDEX(次果筐明细!$B$4:$B$603,$Z375-5200)=0,"",INDEX(次果筐明细!$B$4:$B$603,$Z375-5200)),"")))))</f>
        <v/>
      </c>
      <c r="C375" s="37" t="str">
        <f>IF($Z375="","",IF($Z375&lt;=2000,IF(INDEX(包装物料出入库明细!$D$4:$D$2003,$Z375-0)=0,"",INDEX(包装物料出入库明细!$D$4:$D$2003,$Z375-0)),IF($Z375&lt;=4000,IF(INDEX(周转筐出入库明细!$C$4:$C$2004,$Z375-2000)=0,"",INDEX(周转筐出入库明细!$C$4:$C$2004,$Z375-2000)),IF($Z375&lt;=5200,IF(INDEX(客户自备加工筐明细!$E$4:$E$1203,$Z375-4000)=0,"",INDEX(客户自备加工筐明细!$E$4:$E$1203,$Z375-4000)),IF($Z375&lt;=5800,IF(INDEX(次果筐明细!$C$4:$C$603,$Z375-5200)=0,"",INDEX(次果筐明细!$C$4:$C$603,$Z375-5200)),"")))))</f>
        <v/>
      </c>
      <c r="D375" s="37" t="str">
        <f>IF($Z375="","",IF($Z375&lt;=2000,"包装物料－"&amp;INDEX(包装物料出入库明细!$H$4:$H$2003,$Z375-0),IF($Z375&lt;=4000,"周转筐－"&amp;INDEX(周转筐出入库明细!$F$4:$F$2004,$Z375-2000),IF($Z375&lt;=5200,"客户自备筐－"&amp;INDEX(客户自备加工筐明细!$J$4:$J$1203,$Z375-4000),IF($Z375&lt;=5800,"次果筐/托盘－"&amp;INDEX(次果筐明细!$F$4:$F$603,$Z375-5200),"")))))</f>
        <v/>
      </c>
      <c r="E375" s="24" t="str">
        <f>IF($Z375="","",IF($Z375&lt;=2000,IF(INDEX(包装物料出入库明细!$C$4:$C$2003,$Z375-0)=0,"",INDEX(包装物料出入库明细!$C$4:$C$2003,$Z375-0)),IF($Z375&lt;=4000,IF(INDEX(周转筐出入库明细!$E$4:$E$2004,$Z375-2000)=0,"",INDEX(周转筐出入库明细!$E$4:$E$2004,$Z375-2000)),IF($Z375&lt;=5200,IF(INDEX(客户自备加工筐明细!$D$4:$D$1203,$Z375-4000)=0,"",INDEX(客户自备加工筐明细!$D$4:$D$1203,$Z375-4000)),IF($Z375&lt;=5800,IF(INDEX(次果筐明细!$E$4:$E$603,$Z375-5200)=0,"",INDEX(次果筐明细!$E$4:$E$603,$Z375-5200)),"")))))</f>
        <v/>
      </c>
      <c r="F375" s="24" t="str">
        <f>IF($Z375="","",IF($Z375&lt;=2000,IF(INDEX(包装物料出入库明细!$E$4:$E$2003,$Z375-0)=0,"",INDEX(包装物料出入库明细!$E$4:$E$2003,$Z375-0)),IF($Z375&lt;=4000,IF(INDEX(周转筐出入库明细!$D$4:$D$2004,$Z375-2000)=0,"",INDEX(周转筐出入库明细!$D$4:$D$2004,$Z375-2000)),IF($Z375&lt;=5200,IF(INDEX(客户自备加工筐明细!$C$4:$C$1203,$Z375-4000)=0,"",INDEX(客户自备加工筐明细!$C$4:$C$1203,$Z375-4000)),IF($Z375&lt;=5800,IF(INDEX(次果筐明细!$D$4:$D$603,$Z375-5200)=0,"",INDEX(次果筐明细!$D$4:$D$603,$Z375-5200)),"")))))</f>
        <v/>
      </c>
      <c r="G375" s="24" t="str">
        <f>IF($Z375="","",IF($Z375&lt;=2000,IF(INDEX(包装物料出入库明细!$F$4:$F$2003,$Z375-0)=0,"",INDEX(包装物料出入库明细!$F$4:$F$2003,$Z375-0)),IF($Z375&lt;=4000,"",IF($Z375&lt;=5200,"",IF($Z375&lt;=5800,"","")))))</f>
        <v/>
      </c>
      <c r="H375" s="39" t="str">
        <f>IF($Z375="","",IF($Z375&lt;=2000,IF(INDEX(包装物料出入库明细!$L$4:$L$2003,$Z375-0)=0,"",INDEX(包装物料出入库明细!$L$4:$L$2003,$Z375-0)),IF($Z375&lt;=4000,N(INDEX(周转筐出入库明细!$H$4:$H$2004,$Z375-2000))+N(INDEX(周转筐出入库明细!$I$4:$I$2004,$Z375-2000))+N(INDEX(周转筐出入库明细!$J$4:$J$2004,$Z375-2000))+N(INDEX(周转筐出入库明细!$K$4:$K$2004,$Z375-2000)),IF($Z375&lt;=5200,N(INDEX(客户自备加工筐明细!$F$4:$F$1203,$Z375-4000))+N(INDEX(客户自备加工筐明细!$G$4:$G$1203,$Z375-4000)),IF($Z375&lt;=5800,IF(INDEX(次果筐明细!$G$4:$G$603,$Z375-5200)=0,"",INDEX(次果筐明细!$G$4:$G$603,$Z375-5200)),"")))))</f>
        <v/>
      </c>
      <c r="I375" s="24" t="str">
        <f>IF($Z375="","",IF($Z375&lt;=2000,IF(INDEX(包装物料出入库明细!$G$4:$G$2003,$Z375-0)=0,"",INDEX(包装物料出入库明细!$G$4:$G$2003,$Z375-0)),IF($Z375&lt;=4000,"个",IF($Z375&lt;=5200,"个",IF($Z375&lt;=5800,"个","")))))</f>
        <v/>
      </c>
      <c r="J375" s="30" t="str">
        <f t="shared" si="16"/>
        <v/>
      </c>
      <c r="K375" s="30" t="str">
        <f>IF($Z375="","",IF($Z375&lt;=2000,IF(INDEX(包装物料出入库明细!$N$4:$N$2003,$Z375-0)=0,"",INDEX(包装物料出入库明细!$N$4:$N$2003,$Z375-0)),IF($Z375&lt;=4000,IF(INDEX(周转筐出入库明细!$P$4:$P$2004,$Z375-2000)=0,"",INDEX(周转筐出入库明细!$P$4:$P$2004,$Z375-2000)),IF($Z375&lt;=5200,"",IF($Z375&lt;=5800,N(INDEX(次果筐明细!$L$4:$L$603,$Z375-5200))+N(INDEX(次果筐明细!$J$4:$J$603,$Z375-5200)),"")))))</f>
        <v/>
      </c>
      <c r="L375" s="24" t="str">
        <f>IF($Z375="","",IF($Z375&lt;=2000,IF(INDEX(包装物料出入库明细!$P$4:$P$2003,$Z375-0)=0,"",INDEX(包装物料出入库明细!$P$4:$P$2003,$Z375-0)),IF($Z375&lt;=4000,IF(INDEX(周转筐出入库明细!$Q$4:$Q$2004,$Z375-2000)=0,"",INDEX(周转筐出入库明细!$Q$4:$Q$2004,$Z375-2000)),IF($Z375&lt;=5200,"",IF($Z375&lt;=5800,IF(INDEX(次果筐明细!$M$4:$M$603,$Z375-5200)=0,"",INDEX(次果筐明细!$M$4:$M$603,$Z375-5200)),"")))))</f>
        <v/>
      </c>
      <c r="M375" s="37" t="str">
        <f>IF($Z375="","",IF($Z375&lt;=2000,IF(INDEX(包装物料出入库明细!$R$4:$R$2003,$Z375-0)=0,"",INDEX(包装物料出入库明细!$R$4:$R$2003,$Z375-0)),IF($Z375&lt;=4000,IF(INDEX(周转筐出入库明细!$W$4:$W$2004,$Z375-2000)=0,"",INDEX(周转筐出入库明细!$W$4:$W$2004,$Z375-2000)),IF($Z375&lt;=5200,IF(INDEX(客户自备加工筐明细!$L$4:$L$1203,$Z375-4000)=0,"",INDEX(客户自备加工筐明细!$L$4:$L$1203,$Z375-4000)),IF($Z375&lt;=5800,IF(INDEX(次果筐明细!$P$4:$P$603,$Z375-5200)=0,"",INDEX(次果筐明细!$P$4:$P$603,$Z375-5200)),"")))))</f>
        <v/>
      </c>
      <c r="N375" s="16" t="str">
        <f>IF($Z375="","",IF($Z375&lt;=2000,"",IF($Z375&lt;=4000,IF(INDEX(周转筐出入库明细!$D$4:$D$2004,$Z375-2000)=0,"",INDEX(周转筐出入库明细!$D$4:$D$2004,$Z375-2000)),IF($Z375&lt;=5200,IF(INDEX(客户自备加工筐明细!$C$4:$C$1203,$Z375-4000)=0,"",INDEX(客户自备加工筐明细!$C$4:$C$1203,$Z375-4000)),IF($Z375&lt;=5800,IF(INDEX(次果筐明细!$D$4:$D$603,$Z375-5200)=0,"",INDEX(次果筐明细!$D$4:$D$603,$Z375-5200)),"")))))</f>
        <v/>
      </c>
      <c r="O375" s="40" t="str">
        <f>IF($Z375="","",IF($Z375&lt;=2000,"",IF($Z375&lt;=4000,IF(N(INDEX(周转筐出入库明细!$J$4:$J$2004,$Z375-2000))+N(INDEX(周转筐出入库明细!$K$4:$K$2004,$Z375-2000))=0,"",N(INDEX(周转筐出入库明细!$J$4:$J$2004,$Z375-2000))+N(INDEX(周转筐出入库明细!$K$4:$K$2004,$Z375-2000))),IF($Z375&lt;=5200,IF(N(INDEX(客户自备加工筐明细!$G$4:$G$1203,$Z375-4000))=0,"",N(INDEX(客户自备加工筐明细!$G$4:$G$1203,$Z375-4000))),IF($Z375&lt;=5800,IF(ISNUMBER(SEARCH("退",INDEX(次果筐明细!$F$4:$F$603,$Z375-5200)&amp;"")),"",IF(N(INDEX(次果筐明细!$G$4:$G$603,$Z375-5200))=0,"",N(INDEX(次果筐明细!$G$4:$G$603,$Z375-5200)))),"")))))</f>
        <v/>
      </c>
      <c r="P375" s="40" t="str">
        <f>IF($Z375="","",IF($Z375&lt;=2000,"",IF($Z375&lt;=4000,IF(N(INDEX(周转筐出入库明细!$I$4:$I$2004,$Z375-2000))=0,"",N(INDEX(周转筐出入库明细!$I$4:$I$2004,$Z375-2000))),IF($Z375&lt;=5200,"",IF($Z375&lt;=5800,IF(ISNUMBER(SEARCH("退",INDEX(次果筐明细!$F$4:$F$603,$Z375-5200)&amp;"")),IF(N(INDEX(次果筐明细!$G$4:$G$603,$Z375-5200))=0,"",N(INDEX(次果筐明细!$G$4:$G$603,$Z375-5200))),""),"")))))</f>
        <v/>
      </c>
      <c r="Q375" s="40" t="str">
        <f>IF($Z375="","",IF($Z375&lt;=2000,"",IF($Z375&lt;=4000,IF(N(INDEX(周转筐出入库明细!$H$4:$H$2004,$Z375-2000))=0,"",N(INDEX(周转筐出入库明细!$H$4:$H$2004,$Z375-2000))),IF($Z375&lt;=5200,IF(N(INDEX(客户自备加工筐明细!$F$4:$F$1203,$Z375-4000))=0,"",N(INDEX(客户自备加工筐明细!$F$4:$F$1203,$Z375-4000))),IF($Z375&lt;=5800,"","")))))</f>
        <v/>
      </c>
      <c r="R375" s="16" t="str">
        <f>IF($Z375="","",IF($Z375&lt;=2000,IF(INDEX(包装物料出入库明细!$O$4:$O$2003,$Z375-0)=0,"",INDEX(包装物料出入库明细!$O$4:$O$2003,$Z375-0)),IF($Z375&lt;=4000,IF(INDEX(周转筐出入库明细!$M$4:$M$2004,$Z375-2000)=0,"",INDEX(周转筐出入库明细!$M$4:$M$2004,$Z375-2000)),IF($Z375&lt;=5200,IF(INDEX(客户自备加工筐明细!$H$4:$H$1203,$Z375-4000)=0,"",INDEX(客户自备加工筐明细!$H$4:$H$1203,$Z375-4000)),IF($Z375&lt;=5800,IF(INDEX(次果筐明细!$H$4:$H$603,$Z375-5200)=0,"",INDEX(次果筐明细!$H$4:$H$603,$Z375-5200)),"")))))</f>
        <v/>
      </c>
      <c r="S375" s="22" t="str">
        <f t="shared" si="17"/>
        <v/>
      </c>
      <c r="Z375" s="10" t="str">
        <f>IFERROR(MATCH(ROW()-3,_自动清单!$CQ$4:$CQ$5803,0),"")</f>
        <v/>
      </c>
    </row>
    <row r="376" spans="1:26">
      <c r="A376" s="24" t="str">
        <f t="shared" si="15"/>
        <v/>
      </c>
      <c r="B376" s="38" t="str">
        <f>IF($Z376="","",IF($Z376&lt;=2000,IF(INDEX(包装物料出入库明细!$B$4:$B$2003,$Z376-0)=0,"",INDEX(包装物料出入库明细!$B$4:$B$2003,$Z376-0)),IF($Z376&lt;=4000,IF(INDEX(周转筐出入库明细!$B$4:$B$2004,$Z376-2000)=0,"",INDEX(周转筐出入库明细!$B$4:$B$2004,$Z376-2000)),IF($Z376&lt;=5200,IF(INDEX(客户自备加工筐明细!$B$4:$B$1203,$Z376-4000)=0,"",INDEX(客户自备加工筐明细!$B$4:$B$1203,$Z376-4000)),IF($Z376&lt;=5800,IF(INDEX(次果筐明细!$B$4:$B$603,$Z376-5200)=0,"",INDEX(次果筐明细!$B$4:$B$603,$Z376-5200)),"")))))</f>
        <v/>
      </c>
      <c r="C376" s="37" t="str">
        <f>IF($Z376="","",IF($Z376&lt;=2000,IF(INDEX(包装物料出入库明细!$D$4:$D$2003,$Z376-0)=0,"",INDEX(包装物料出入库明细!$D$4:$D$2003,$Z376-0)),IF($Z376&lt;=4000,IF(INDEX(周转筐出入库明细!$C$4:$C$2004,$Z376-2000)=0,"",INDEX(周转筐出入库明细!$C$4:$C$2004,$Z376-2000)),IF($Z376&lt;=5200,IF(INDEX(客户自备加工筐明细!$E$4:$E$1203,$Z376-4000)=0,"",INDEX(客户自备加工筐明细!$E$4:$E$1203,$Z376-4000)),IF($Z376&lt;=5800,IF(INDEX(次果筐明细!$C$4:$C$603,$Z376-5200)=0,"",INDEX(次果筐明细!$C$4:$C$603,$Z376-5200)),"")))))</f>
        <v/>
      </c>
      <c r="D376" s="37" t="str">
        <f>IF($Z376="","",IF($Z376&lt;=2000,"包装物料－"&amp;INDEX(包装物料出入库明细!$H$4:$H$2003,$Z376-0),IF($Z376&lt;=4000,"周转筐－"&amp;INDEX(周转筐出入库明细!$F$4:$F$2004,$Z376-2000),IF($Z376&lt;=5200,"客户自备筐－"&amp;INDEX(客户自备加工筐明细!$J$4:$J$1203,$Z376-4000),IF($Z376&lt;=5800,"次果筐/托盘－"&amp;INDEX(次果筐明细!$F$4:$F$603,$Z376-5200),"")))))</f>
        <v/>
      </c>
      <c r="E376" s="24" t="str">
        <f>IF($Z376="","",IF($Z376&lt;=2000,IF(INDEX(包装物料出入库明细!$C$4:$C$2003,$Z376-0)=0,"",INDEX(包装物料出入库明细!$C$4:$C$2003,$Z376-0)),IF($Z376&lt;=4000,IF(INDEX(周转筐出入库明细!$E$4:$E$2004,$Z376-2000)=0,"",INDEX(周转筐出入库明细!$E$4:$E$2004,$Z376-2000)),IF($Z376&lt;=5200,IF(INDEX(客户自备加工筐明细!$D$4:$D$1203,$Z376-4000)=0,"",INDEX(客户自备加工筐明细!$D$4:$D$1203,$Z376-4000)),IF($Z376&lt;=5800,IF(INDEX(次果筐明细!$E$4:$E$603,$Z376-5200)=0,"",INDEX(次果筐明细!$E$4:$E$603,$Z376-5200)),"")))))</f>
        <v/>
      </c>
      <c r="F376" s="24" t="str">
        <f>IF($Z376="","",IF($Z376&lt;=2000,IF(INDEX(包装物料出入库明细!$E$4:$E$2003,$Z376-0)=0,"",INDEX(包装物料出入库明细!$E$4:$E$2003,$Z376-0)),IF($Z376&lt;=4000,IF(INDEX(周转筐出入库明细!$D$4:$D$2004,$Z376-2000)=0,"",INDEX(周转筐出入库明细!$D$4:$D$2004,$Z376-2000)),IF($Z376&lt;=5200,IF(INDEX(客户自备加工筐明细!$C$4:$C$1203,$Z376-4000)=0,"",INDEX(客户自备加工筐明细!$C$4:$C$1203,$Z376-4000)),IF($Z376&lt;=5800,IF(INDEX(次果筐明细!$D$4:$D$603,$Z376-5200)=0,"",INDEX(次果筐明细!$D$4:$D$603,$Z376-5200)),"")))))</f>
        <v/>
      </c>
      <c r="G376" s="24" t="str">
        <f>IF($Z376="","",IF($Z376&lt;=2000,IF(INDEX(包装物料出入库明细!$F$4:$F$2003,$Z376-0)=0,"",INDEX(包装物料出入库明细!$F$4:$F$2003,$Z376-0)),IF($Z376&lt;=4000,"",IF($Z376&lt;=5200,"",IF($Z376&lt;=5800,"","")))))</f>
        <v/>
      </c>
      <c r="H376" s="39" t="str">
        <f>IF($Z376="","",IF($Z376&lt;=2000,IF(INDEX(包装物料出入库明细!$L$4:$L$2003,$Z376-0)=0,"",INDEX(包装物料出入库明细!$L$4:$L$2003,$Z376-0)),IF($Z376&lt;=4000,N(INDEX(周转筐出入库明细!$H$4:$H$2004,$Z376-2000))+N(INDEX(周转筐出入库明细!$I$4:$I$2004,$Z376-2000))+N(INDEX(周转筐出入库明细!$J$4:$J$2004,$Z376-2000))+N(INDEX(周转筐出入库明细!$K$4:$K$2004,$Z376-2000)),IF($Z376&lt;=5200,N(INDEX(客户自备加工筐明细!$F$4:$F$1203,$Z376-4000))+N(INDEX(客户自备加工筐明细!$G$4:$G$1203,$Z376-4000)),IF($Z376&lt;=5800,IF(INDEX(次果筐明细!$G$4:$G$603,$Z376-5200)=0,"",INDEX(次果筐明细!$G$4:$G$603,$Z376-5200)),"")))))</f>
        <v/>
      </c>
      <c r="I376" s="24" t="str">
        <f>IF($Z376="","",IF($Z376&lt;=2000,IF(INDEX(包装物料出入库明细!$G$4:$G$2003,$Z376-0)=0,"",INDEX(包装物料出入库明细!$G$4:$G$2003,$Z376-0)),IF($Z376&lt;=4000,"个",IF($Z376&lt;=5200,"个",IF($Z376&lt;=5800,"个","")))))</f>
        <v/>
      </c>
      <c r="J376" s="30" t="str">
        <f t="shared" si="16"/>
        <v/>
      </c>
      <c r="K376" s="30" t="str">
        <f>IF($Z376="","",IF($Z376&lt;=2000,IF(INDEX(包装物料出入库明细!$N$4:$N$2003,$Z376-0)=0,"",INDEX(包装物料出入库明细!$N$4:$N$2003,$Z376-0)),IF($Z376&lt;=4000,IF(INDEX(周转筐出入库明细!$P$4:$P$2004,$Z376-2000)=0,"",INDEX(周转筐出入库明细!$P$4:$P$2004,$Z376-2000)),IF($Z376&lt;=5200,"",IF($Z376&lt;=5800,N(INDEX(次果筐明细!$L$4:$L$603,$Z376-5200))+N(INDEX(次果筐明细!$J$4:$J$603,$Z376-5200)),"")))))</f>
        <v/>
      </c>
      <c r="L376" s="24" t="str">
        <f>IF($Z376="","",IF($Z376&lt;=2000,IF(INDEX(包装物料出入库明细!$P$4:$P$2003,$Z376-0)=0,"",INDEX(包装物料出入库明细!$P$4:$P$2003,$Z376-0)),IF($Z376&lt;=4000,IF(INDEX(周转筐出入库明细!$Q$4:$Q$2004,$Z376-2000)=0,"",INDEX(周转筐出入库明细!$Q$4:$Q$2004,$Z376-2000)),IF($Z376&lt;=5200,"",IF($Z376&lt;=5800,IF(INDEX(次果筐明细!$M$4:$M$603,$Z376-5200)=0,"",INDEX(次果筐明细!$M$4:$M$603,$Z376-5200)),"")))))</f>
        <v/>
      </c>
      <c r="M376" s="37" t="str">
        <f>IF($Z376="","",IF($Z376&lt;=2000,IF(INDEX(包装物料出入库明细!$R$4:$R$2003,$Z376-0)=0,"",INDEX(包装物料出入库明细!$R$4:$R$2003,$Z376-0)),IF($Z376&lt;=4000,IF(INDEX(周转筐出入库明细!$W$4:$W$2004,$Z376-2000)=0,"",INDEX(周转筐出入库明细!$W$4:$W$2004,$Z376-2000)),IF($Z376&lt;=5200,IF(INDEX(客户自备加工筐明细!$L$4:$L$1203,$Z376-4000)=0,"",INDEX(客户自备加工筐明细!$L$4:$L$1203,$Z376-4000)),IF($Z376&lt;=5800,IF(INDEX(次果筐明细!$P$4:$P$603,$Z376-5200)=0,"",INDEX(次果筐明细!$P$4:$P$603,$Z376-5200)),"")))))</f>
        <v/>
      </c>
      <c r="N376" s="16" t="str">
        <f>IF($Z376="","",IF($Z376&lt;=2000,"",IF($Z376&lt;=4000,IF(INDEX(周转筐出入库明细!$D$4:$D$2004,$Z376-2000)=0,"",INDEX(周转筐出入库明细!$D$4:$D$2004,$Z376-2000)),IF($Z376&lt;=5200,IF(INDEX(客户自备加工筐明细!$C$4:$C$1203,$Z376-4000)=0,"",INDEX(客户自备加工筐明细!$C$4:$C$1203,$Z376-4000)),IF($Z376&lt;=5800,IF(INDEX(次果筐明细!$D$4:$D$603,$Z376-5200)=0,"",INDEX(次果筐明细!$D$4:$D$603,$Z376-5200)),"")))))</f>
        <v/>
      </c>
      <c r="O376" s="40" t="str">
        <f>IF($Z376="","",IF($Z376&lt;=2000,"",IF($Z376&lt;=4000,IF(N(INDEX(周转筐出入库明细!$J$4:$J$2004,$Z376-2000))+N(INDEX(周转筐出入库明细!$K$4:$K$2004,$Z376-2000))=0,"",N(INDEX(周转筐出入库明细!$J$4:$J$2004,$Z376-2000))+N(INDEX(周转筐出入库明细!$K$4:$K$2004,$Z376-2000))),IF($Z376&lt;=5200,IF(N(INDEX(客户自备加工筐明细!$G$4:$G$1203,$Z376-4000))=0,"",N(INDEX(客户自备加工筐明细!$G$4:$G$1203,$Z376-4000))),IF($Z376&lt;=5800,IF(ISNUMBER(SEARCH("退",INDEX(次果筐明细!$F$4:$F$603,$Z376-5200)&amp;"")),"",IF(N(INDEX(次果筐明细!$G$4:$G$603,$Z376-5200))=0,"",N(INDEX(次果筐明细!$G$4:$G$603,$Z376-5200)))),"")))))</f>
        <v/>
      </c>
      <c r="P376" s="40" t="str">
        <f>IF($Z376="","",IF($Z376&lt;=2000,"",IF($Z376&lt;=4000,IF(N(INDEX(周转筐出入库明细!$I$4:$I$2004,$Z376-2000))=0,"",N(INDEX(周转筐出入库明细!$I$4:$I$2004,$Z376-2000))),IF($Z376&lt;=5200,"",IF($Z376&lt;=5800,IF(ISNUMBER(SEARCH("退",INDEX(次果筐明细!$F$4:$F$603,$Z376-5200)&amp;"")),IF(N(INDEX(次果筐明细!$G$4:$G$603,$Z376-5200))=0,"",N(INDEX(次果筐明细!$G$4:$G$603,$Z376-5200))),""),"")))))</f>
        <v/>
      </c>
      <c r="Q376" s="40" t="str">
        <f>IF($Z376="","",IF($Z376&lt;=2000,"",IF($Z376&lt;=4000,IF(N(INDEX(周转筐出入库明细!$H$4:$H$2004,$Z376-2000))=0,"",N(INDEX(周转筐出入库明细!$H$4:$H$2004,$Z376-2000))),IF($Z376&lt;=5200,IF(N(INDEX(客户自备加工筐明细!$F$4:$F$1203,$Z376-4000))=0,"",N(INDEX(客户自备加工筐明细!$F$4:$F$1203,$Z376-4000))),IF($Z376&lt;=5800,"","")))))</f>
        <v/>
      </c>
      <c r="R376" s="16" t="str">
        <f>IF($Z376="","",IF($Z376&lt;=2000,IF(INDEX(包装物料出入库明细!$O$4:$O$2003,$Z376-0)=0,"",INDEX(包装物料出入库明细!$O$4:$O$2003,$Z376-0)),IF($Z376&lt;=4000,IF(INDEX(周转筐出入库明细!$M$4:$M$2004,$Z376-2000)=0,"",INDEX(周转筐出入库明细!$M$4:$M$2004,$Z376-2000)),IF($Z376&lt;=5200,IF(INDEX(客户自备加工筐明细!$H$4:$H$1203,$Z376-4000)=0,"",INDEX(客户自备加工筐明细!$H$4:$H$1203,$Z376-4000)),IF($Z376&lt;=5800,IF(INDEX(次果筐明细!$H$4:$H$603,$Z376-5200)=0,"",INDEX(次果筐明细!$H$4:$H$603,$Z376-5200)),"")))))</f>
        <v/>
      </c>
      <c r="S376" s="22" t="str">
        <f t="shared" si="17"/>
        <v/>
      </c>
      <c r="Z376" s="10" t="str">
        <f>IFERROR(MATCH(ROW()-3,_自动清单!$CQ$4:$CQ$5803,0),"")</f>
        <v/>
      </c>
    </row>
    <row r="377" spans="1:26">
      <c r="A377" s="24" t="str">
        <f t="shared" si="15"/>
        <v/>
      </c>
      <c r="B377" s="38" t="str">
        <f>IF($Z377="","",IF($Z377&lt;=2000,IF(INDEX(包装物料出入库明细!$B$4:$B$2003,$Z377-0)=0,"",INDEX(包装物料出入库明细!$B$4:$B$2003,$Z377-0)),IF($Z377&lt;=4000,IF(INDEX(周转筐出入库明细!$B$4:$B$2004,$Z377-2000)=0,"",INDEX(周转筐出入库明细!$B$4:$B$2004,$Z377-2000)),IF($Z377&lt;=5200,IF(INDEX(客户自备加工筐明细!$B$4:$B$1203,$Z377-4000)=0,"",INDEX(客户自备加工筐明细!$B$4:$B$1203,$Z377-4000)),IF($Z377&lt;=5800,IF(INDEX(次果筐明细!$B$4:$B$603,$Z377-5200)=0,"",INDEX(次果筐明细!$B$4:$B$603,$Z377-5200)),"")))))</f>
        <v/>
      </c>
      <c r="C377" s="37" t="str">
        <f>IF($Z377="","",IF($Z377&lt;=2000,IF(INDEX(包装物料出入库明细!$D$4:$D$2003,$Z377-0)=0,"",INDEX(包装物料出入库明细!$D$4:$D$2003,$Z377-0)),IF($Z377&lt;=4000,IF(INDEX(周转筐出入库明细!$C$4:$C$2004,$Z377-2000)=0,"",INDEX(周转筐出入库明细!$C$4:$C$2004,$Z377-2000)),IF($Z377&lt;=5200,IF(INDEX(客户自备加工筐明细!$E$4:$E$1203,$Z377-4000)=0,"",INDEX(客户自备加工筐明细!$E$4:$E$1203,$Z377-4000)),IF($Z377&lt;=5800,IF(INDEX(次果筐明细!$C$4:$C$603,$Z377-5200)=0,"",INDEX(次果筐明细!$C$4:$C$603,$Z377-5200)),"")))))</f>
        <v/>
      </c>
      <c r="D377" s="37" t="str">
        <f>IF($Z377="","",IF($Z377&lt;=2000,"包装物料－"&amp;INDEX(包装物料出入库明细!$H$4:$H$2003,$Z377-0),IF($Z377&lt;=4000,"周转筐－"&amp;INDEX(周转筐出入库明细!$F$4:$F$2004,$Z377-2000),IF($Z377&lt;=5200,"客户自备筐－"&amp;INDEX(客户自备加工筐明细!$J$4:$J$1203,$Z377-4000),IF($Z377&lt;=5800,"次果筐/托盘－"&amp;INDEX(次果筐明细!$F$4:$F$603,$Z377-5200),"")))))</f>
        <v/>
      </c>
      <c r="E377" s="24" t="str">
        <f>IF($Z377="","",IF($Z377&lt;=2000,IF(INDEX(包装物料出入库明细!$C$4:$C$2003,$Z377-0)=0,"",INDEX(包装物料出入库明细!$C$4:$C$2003,$Z377-0)),IF($Z377&lt;=4000,IF(INDEX(周转筐出入库明细!$E$4:$E$2004,$Z377-2000)=0,"",INDEX(周转筐出入库明细!$E$4:$E$2004,$Z377-2000)),IF($Z377&lt;=5200,IF(INDEX(客户自备加工筐明细!$D$4:$D$1203,$Z377-4000)=0,"",INDEX(客户自备加工筐明细!$D$4:$D$1203,$Z377-4000)),IF($Z377&lt;=5800,IF(INDEX(次果筐明细!$E$4:$E$603,$Z377-5200)=0,"",INDEX(次果筐明细!$E$4:$E$603,$Z377-5200)),"")))))</f>
        <v/>
      </c>
      <c r="F377" s="24" t="str">
        <f>IF($Z377="","",IF($Z377&lt;=2000,IF(INDEX(包装物料出入库明细!$E$4:$E$2003,$Z377-0)=0,"",INDEX(包装物料出入库明细!$E$4:$E$2003,$Z377-0)),IF($Z377&lt;=4000,IF(INDEX(周转筐出入库明细!$D$4:$D$2004,$Z377-2000)=0,"",INDEX(周转筐出入库明细!$D$4:$D$2004,$Z377-2000)),IF($Z377&lt;=5200,IF(INDEX(客户自备加工筐明细!$C$4:$C$1203,$Z377-4000)=0,"",INDEX(客户自备加工筐明细!$C$4:$C$1203,$Z377-4000)),IF($Z377&lt;=5800,IF(INDEX(次果筐明细!$D$4:$D$603,$Z377-5200)=0,"",INDEX(次果筐明细!$D$4:$D$603,$Z377-5200)),"")))))</f>
        <v/>
      </c>
      <c r="G377" s="24" t="str">
        <f>IF($Z377="","",IF($Z377&lt;=2000,IF(INDEX(包装物料出入库明细!$F$4:$F$2003,$Z377-0)=0,"",INDEX(包装物料出入库明细!$F$4:$F$2003,$Z377-0)),IF($Z377&lt;=4000,"",IF($Z377&lt;=5200,"",IF($Z377&lt;=5800,"","")))))</f>
        <v/>
      </c>
      <c r="H377" s="39" t="str">
        <f>IF($Z377="","",IF($Z377&lt;=2000,IF(INDEX(包装物料出入库明细!$L$4:$L$2003,$Z377-0)=0,"",INDEX(包装物料出入库明细!$L$4:$L$2003,$Z377-0)),IF($Z377&lt;=4000,N(INDEX(周转筐出入库明细!$H$4:$H$2004,$Z377-2000))+N(INDEX(周转筐出入库明细!$I$4:$I$2004,$Z377-2000))+N(INDEX(周转筐出入库明细!$J$4:$J$2004,$Z377-2000))+N(INDEX(周转筐出入库明细!$K$4:$K$2004,$Z377-2000)),IF($Z377&lt;=5200,N(INDEX(客户自备加工筐明细!$F$4:$F$1203,$Z377-4000))+N(INDEX(客户自备加工筐明细!$G$4:$G$1203,$Z377-4000)),IF($Z377&lt;=5800,IF(INDEX(次果筐明细!$G$4:$G$603,$Z377-5200)=0,"",INDEX(次果筐明细!$G$4:$G$603,$Z377-5200)),"")))))</f>
        <v/>
      </c>
      <c r="I377" s="24" t="str">
        <f>IF($Z377="","",IF($Z377&lt;=2000,IF(INDEX(包装物料出入库明细!$G$4:$G$2003,$Z377-0)=0,"",INDEX(包装物料出入库明细!$G$4:$G$2003,$Z377-0)),IF($Z377&lt;=4000,"个",IF($Z377&lt;=5200,"个",IF($Z377&lt;=5800,"个","")))))</f>
        <v/>
      </c>
      <c r="J377" s="30" t="str">
        <f t="shared" si="16"/>
        <v/>
      </c>
      <c r="K377" s="30" t="str">
        <f>IF($Z377="","",IF($Z377&lt;=2000,IF(INDEX(包装物料出入库明细!$N$4:$N$2003,$Z377-0)=0,"",INDEX(包装物料出入库明细!$N$4:$N$2003,$Z377-0)),IF($Z377&lt;=4000,IF(INDEX(周转筐出入库明细!$P$4:$P$2004,$Z377-2000)=0,"",INDEX(周转筐出入库明细!$P$4:$P$2004,$Z377-2000)),IF($Z377&lt;=5200,"",IF($Z377&lt;=5800,N(INDEX(次果筐明细!$L$4:$L$603,$Z377-5200))+N(INDEX(次果筐明细!$J$4:$J$603,$Z377-5200)),"")))))</f>
        <v/>
      </c>
      <c r="L377" s="24" t="str">
        <f>IF($Z377="","",IF($Z377&lt;=2000,IF(INDEX(包装物料出入库明细!$P$4:$P$2003,$Z377-0)=0,"",INDEX(包装物料出入库明细!$P$4:$P$2003,$Z377-0)),IF($Z377&lt;=4000,IF(INDEX(周转筐出入库明细!$Q$4:$Q$2004,$Z377-2000)=0,"",INDEX(周转筐出入库明细!$Q$4:$Q$2004,$Z377-2000)),IF($Z377&lt;=5200,"",IF($Z377&lt;=5800,IF(INDEX(次果筐明细!$M$4:$M$603,$Z377-5200)=0,"",INDEX(次果筐明细!$M$4:$M$603,$Z377-5200)),"")))))</f>
        <v/>
      </c>
      <c r="M377" s="37" t="str">
        <f>IF($Z377="","",IF($Z377&lt;=2000,IF(INDEX(包装物料出入库明细!$R$4:$R$2003,$Z377-0)=0,"",INDEX(包装物料出入库明细!$R$4:$R$2003,$Z377-0)),IF($Z377&lt;=4000,IF(INDEX(周转筐出入库明细!$W$4:$W$2004,$Z377-2000)=0,"",INDEX(周转筐出入库明细!$W$4:$W$2004,$Z377-2000)),IF($Z377&lt;=5200,IF(INDEX(客户自备加工筐明细!$L$4:$L$1203,$Z377-4000)=0,"",INDEX(客户自备加工筐明细!$L$4:$L$1203,$Z377-4000)),IF($Z377&lt;=5800,IF(INDEX(次果筐明细!$P$4:$P$603,$Z377-5200)=0,"",INDEX(次果筐明细!$P$4:$P$603,$Z377-5200)),"")))))</f>
        <v/>
      </c>
      <c r="N377" s="16" t="str">
        <f>IF($Z377="","",IF($Z377&lt;=2000,"",IF($Z377&lt;=4000,IF(INDEX(周转筐出入库明细!$D$4:$D$2004,$Z377-2000)=0,"",INDEX(周转筐出入库明细!$D$4:$D$2004,$Z377-2000)),IF($Z377&lt;=5200,IF(INDEX(客户自备加工筐明细!$C$4:$C$1203,$Z377-4000)=0,"",INDEX(客户自备加工筐明细!$C$4:$C$1203,$Z377-4000)),IF($Z377&lt;=5800,IF(INDEX(次果筐明细!$D$4:$D$603,$Z377-5200)=0,"",INDEX(次果筐明细!$D$4:$D$603,$Z377-5200)),"")))))</f>
        <v/>
      </c>
      <c r="O377" s="40" t="str">
        <f>IF($Z377="","",IF($Z377&lt;=2000,"",IF($Z377&lt;=4000,IF(N(INDEX(周转筐出入库明细!$J$4:$J$2004,$Z377-2000))+N(INDEX(周转筐出入库明细!$K$4:$K$2004,$Z377-2000))=0,"",N(INDEX(周转筐出入库明细!$J$4:$J$2004,$Z377-2000))+N(INDEX(周转筐出入库明细!$K$4:$K$2004,$Z377-2000))),IF($Z377&lt;=5200,IF(N(INDEX(客户自备加工筐明细!$G$4:$G$1203,$Z377-4000))=0,"",N(INDEX(客户自备加工筐明细!$G$4:$G$1203,$Z377-4000))),IF($Z377&lt;=5800,IF(ISNUMBER(SEARCH("退",INDEX(次果筐明细!$F$4:$F$603,$Z377-5200)&amp;"")),"",IF(N(INDEX(次果筐明细!$G$4:$G$603,$Z377-5200))=0,"",N(INDEX(次果筐明细!$G$4:$G$603,$Z377-5200)))),"")))))</f>
        <v/>
      </c>
      <c r="P377" s="40" t="str">
        <f>IF($Z377="","",IF($Z377&lt;=2000,"",IF($Z377&lt;=4000,IF(N(INDEX(周转筐出入库明细!$I$4:$I$2004,$Z377-2000))=0,"",N(INDEX(周转筐出入库明细!$I$4:$I$2004,$Z377-2000))),IF($Z377&lt;=5200,"",IF($Z377&lt;=5800,IF(ISNUMBER(SEARCH("退",INDEX(次果筐明细!$F$4:$F$603,$Z377-5200)&amp;"")),IF(N(INDEX(次果筐明细!$G$4:$G$603,$Z377-5200))=0,"",N(INDEX(次果筐明细!$G$4:$G$603,$Z377-5200))),""),"")))))</f>
        <v/>
      </c>
      <c r="Q377" s="40" t="str">
        <f>IF($Z377="","",IF($Z377&lt;=2000,"",IF($Z377&lt;=4000,IF(N(INDEX(周转筐出入库明细!$H$4:$H$2004,$Z377-2000))=0,"",N(INDEX(周转筐出入库明细!$H$4:$H$2004,$Z377-2000))),IF($Z377&lt;=5200,IF(N(INDEX(客户自备加工筐明细!$F$4:$F$1203,$Z377-4000))=0,"",N(INDEX(客户自备加工筐明细!$F$4:$F$1203,$Z377-4000))),IF($Z377&lt;=5800,"","")))))</f>
        <v/>
      </c>
      <c r="R377" s="16" t="str">
        <f>IF($Z377="","",IF($Z377&lt;=2000,IF(INDEX(包装物料出入库明细!$O$4:$O$2003,$Z377-0)=0,"",INDEX(包装物料出入库明细!$O$4:$O$2003,$Z377-0)),IF($Z377&lt;=4000,IF(INDEX(周转筐出入库明细!$M$4:$M$2004,$Z377-2000)=0,"",INDEX(周转筐出入库明细!$M$4:$M$2004,$Z377-2000)),IF($Z377&lt;=5200,IF(INDEX(客户自备加工筐明细!$H$4:$H$1203,$Z377-4000)=0,"",INDEX(客户自备加工筐明细!$H$4:$H$1203,$Z377-4000)),IF($Z377&lt;=5800,IF(INDEX(次果筐明细!$H$4:$H$603,$Z377-5200)=0,"",INDEX(次果筐明细!$H$4:$H$603,$Z377-5200)),"")))))</f>
        <v/>
      </c>
      <c r="S377" s="22" t="str">
        <f t="shared" si="17"/>
        <v/>
      </c>
      <c r="Z377" s="10" t="str">
        <f>IFERROR(MATCH(ROW()-3,_自动清单!$CQ$4:$CQ$5803,0),"")</f>
        <v/>
      </c>
    </row>
    <row r="378" spans="1:26">
      <c r="A378" s="24" t="str">
        <f t="shared" si="15"/>
        <v/>
      </c>
      <c r="B378" s="38" t="str">
        <f>IF($Z378="","",IF($Z378&lt;=2000,IF(INDEX(包装物料出入库明细!$B$4:$B$2003,$Z378-0)=0,"",INDEX(包装物料出入库明细!$B$4:$B$2003,$Z378-0)),IF($Z378&lt;=4000,IF(INDEX(周转筐出入库明细!$B$4:$B$2004,$Z378-2000)=0,"",INDEX(周转筐出入库明细!$B$4:$B$2004,$Z378-2000)),IF($Z378&lt;=5200,IF(INDEX(客户自备加工筐明细!$B$4:$B$1203,$Z378-4000)=0,"",INDEX(客户自备加工筐明细!$B$4:$B$1203,$Z378-4000)),IF($Z378&lt;=5800,IF(INDEX(次果筐明细!$B$4:$B$603,$Z378-5200)=0,"",INDEX(次果筐明细!$B$4:$B$603,$Z378-5200)),"")))))</f>
        <v/>
      </c>
      <c r="C378" s="37" t="str">
        <f>IF($Z378="","",IF($Z378&lt;=2000,IF(INDEX(包装物料出入库明细!$D$4:$D$2003,$Z378-0)=0,"",INDEX(包装物料出入库明细!$D$4:$D$2003,$Z378-0)),IF($Z378&lt;=4000,IF(INDEX(周转筐出入库明细!$C$4:$C$2004,$Z378-2000)=0,"",INDEX(周转筐出入库明细!$C$4:$C$2004,$Z378-2000)),IF($Z378&lt;=5200,IF(INDEX(客户自备加工筐明细!$E$4:$E$1203,$Z378-4000)=0,"",INDEX(客户自备加工筐明细!$E$4:$E$1203,$Z378-4000)),IF($Z378&lt;=5800,IF(INDEX(次果筐明细!$C$4:$C$603,$Z378-5200)=0,"",INDEX(次果筐明细!$C$4:$C$603,$Z378-5200)),"")))))</f>
        <v/>
      </c>
      <c r="D378" s="37" t="str">
        <f>IF($Z378="","",IF($Z378&lt;=2000,"包装物料－"&amp;INDEX(包装物料出入库明细!$H$4:$H$2003,$Z378-0),IF($Z378&lt;=4000,"周转筐－"&amp;INDEX(周转筐出入库明细!$F$4:$F$2004,$Z378-2000),IF($Z378&lt;=5200,"客户自备筐－"&amp;INDEX(客户自备加工筐明细!$J$4:$J$1203,$Z378-4000),IF($Z378&lt;=5800,"次果筐/托盘－"&amp;INDEX(次果筐明细!$F$4:$F$603,$Z378-5200),"")))))</f>
        <v/>
      </c>
      <c r="E378" s="24" t="str">
        <f>IF($Z378="","",IF($Z378&lt;=2000,IF(INDEX(包装物料出入库明细!$C$4:$C$2003,$Z378-0)=0,"",INDEX(包装物料出入库明细!$C$4:$C$2003,$Z378-0)),IF($Z378&lt;=4000,IF(INDEX(周转筐出入库明细!$E$4:$E$2004,$Z378-2000)=0,"",INDEX(周转筐出入库明细!$E$4:$E$2004,$Z378-2000)),IF($Z378&lt;=5200,IF(INDEX(客户自备加工筐明细!$D$4:$D$1203,$Z378-4000)=0,"",INDEX(客户自备加工筐明细!$D$4:$D$1203,$Z378-4000)),IF($Z378&lt;=5800,IF(INDEX(次果筐明细!$E$4:$E$603,$Z378-5200)=0,"",INDEX(次果筐明细!$E$4:$E$603,$Z378-5200)),"")))))</f>
        <v/>
      </c>
      <c r="F378" s="24" t="str">
        <f>IF($Z378="","",IF($Z378&lt;=2000,IF(INDEX(包装物料出入库明细!$E$4:$E$2003,$Z378-0)=0,"",INDEX(包装物料出入库明细!$E$4:$E$2003,$Z378-0)),IF($Z378&lt;=4000,IF(INDEX(周转筐出入库明细!$D$4:$D$2004,$Z378-2000)=0,"",INDEX(周转筐出入库明细!$D$4:$D$2004,$Z378-2000)),IF($Z378&lt;=5200,IF(INDEX(客户自备加工筐明细!$C$4:$C$1203,$Z378-4000)=0,"",INDEX(客户自备加工筐明细!$C$4:$C$1203,$Z378-4000)),IF($Z378&lt;=5800,IF(INDEX(次果筐明细!$D$4:$D$603,$Z378-5200)=0,"",INDEX(次果筐明细!$D$4:$D$603,$Z378-5200)),"")))))</f>
        <v/>
      </c>
      <c r="G378" s="24" t="str">
        <f>IF($Z378="","",IF($Z378&lt;=2000,IF(INDEX(包装物料出入库明细!$F$4:$F$2003,$Z378-0)=0,"",INDEX(包装物料出入库明细!$F$4:$F$2003,$Z378-0)),IF($Z378&lt;=4000,"",IF($Z378&lt;=5200,"",IF($Z378&lt;=5800,"","")))))</f>
        <v/>
      </c>
      <c r="H378" s="39" t="str">
        <f>IF($Z378="","",IF($Z378&lt;=2000,IF(INDEX(包装物料出入库明细!$L$4:$L$2003,$Z378-0)=0,"",INDEX(包装物料出入库明细!$L$4:$L$2003,$Z378-0)),IF($Z378&lt;=4000,N(INDEX(周转筐出入库明细!$H$4:$H$2004,$Z378-2000))+N(INDEX(周转筐出入库明细!$I$4:$I$2004,$Z378-2000))+N(INDEX(周转筐出入库明细!$J$4:$J$2004,$Z378-2000))+N(INDEX(周转筐出入库明细!$K$4:$K$2004,$Z378-2000)),IF($Z378&lt;=5200,N(INDEX(客户自备加工筐明细!$F$4:$F$1203,$Z378-4000))+N(INDEX(客户自备加工筐明细!$G$4:$G$1203,$Z378-4000)),IF($Z378&lt;=5800,IF(INDEX(次果筐明细!$G$4:$G$603,$Z378-5200)=0,"",INDEX(次果筐明细!$G$4:$G$603,$Z378-5200)),"")))))</f>
        <v/>
      </c>
      <c r="I378" s="24" t="str">
        <f>IF($Z378="","",IF($Z378&lt;=2000,IF(INDEX(包装物料出入库明细!$G$4:$G$2003,$Z378-0)=0,"",INDEX(包装物料出入库明细!$G$4:$G$2003,$Z378-0)),IF($Z378&lt;=4000,"个",IF($Z378&lt;=5200,"个",IF($Z378&lt;=5800,"个","")))))</f>
        <v/>
      </c>
      <c r="J378" s="30" t="str">
        <f t="shared" si="16"/>
        <v/>
      </c>
      <c r="K378" s="30" t="str">
        <f>IF($Z378="","",IF($Z378&lt;=2000,IF(INDEX(包装物料出入库明细!$N$4:$N$2003,$Z378-0)=0,"",INDEX(包装物料出入库明细!$N$4:$N$2003,$Z378-0)),IF($Z378&lt;=4000,IF(INDEX(周转筐出入库明细!$P$4:$P$2004,$Z378-2000)=0,"",INDEX(周转筐出入库明细!$P$4:$P$2004,$Z378-2000)),IF($Z378&lt;=5200,"",IF($Z378&lt;=5800,N(INDEX(次果筐明细!$L$4:$L$603,$Z378-5200))+N(INDEX(次果筐明细!$J$4:$J$603,$Z378-5200)),"")))))</f>
        <v/>
      </c>
      <c r="L378" s="24" t="str">
        <f>IF($Z378="","",IF($Z378&lt;=2000,IF(INDEX(包装物料出入库明细!$P$4:$P$2003,$Z378-0)=0,"",INDEX(包装物料出入库明细!$P$4:$P$2003,$Z378-0)),IF($Z378&lt;=4000,IF(INDEX(周转筐出入库明细!$Q$4:$Q$2004,$Z378-2000)=0,"",INDEX(周转筐出入库明细!$Q$4:$Q$2004,$Z378-2000)),IF($Z378&lt;=5200,"",IF($Z378&lt;=5800,IF(INDEX(次果筐明细!$M$4:$M$603,$Z378-5200)=0,"",INDEX(次果筐明细!$M$4:$M$603,$Z378-5200)),"")))))</f>
        <v/>
      </c>
      <c r="M378" s="37" t="str">
        <f>IF($Z378="","",IF($Z378&lt;=2000,IF(INDEX(包装物料出入库明细!$R$4:$R$2003,$Z378-0)=0,"",INDEX(包装物料出入库明细!$R$4:$R$2003,$Z378-0)),IF($Z378&lt;=4000,IF(INDEX(周转筐出入库明细!$W$4:$W$2004,$Z378-2000)=0,"",INDEX(周转筐出入库明细!$W$4:$W$2004,$Z378-2000)),IF($Z378&lt;=5200,IF(INDEX(客户自备加工筐明细!$L$4:$L$1203,$Z378-4000)=0,"",INDEX(客户自备加工筐明细!$L$4:$L$1203,$Z378-4000)),IF($Z378&lt;=5800,IF(INDEX(次果筐明细!$P$4:$P$603,$Z378-5200)=0,"",INDEX(次果筐明细!$P$4:$P$603,$Z378-5200)),"")))))</f>
        <v/>
      </c>
      <c r="N378" s="16" t="str">
        <f>IF($Z378="","",IF($Z378&lt;=2000,"",IF($Z378&lt;=4000,IF(INDEX(周转筐出入库明细!$D$4:$D$2004,$Z378-2000)=0,"",INDEX(周转筐出入库明细!$D$4:$D$2004,$Z378-2000)),IF($Z378&lt;=5200,IF(INDEX(客户自备加工筐明细!$C$4:$C$1203,$Z378-4000)=0,"",INDEX(客户自备加工筐明细!$C$4:$C$1203,$Z378-4000)),IF($Z378&lt;=5800,IF(INDEX(次果筐明细!$D$4:$D$603,$Z378-5200)=0,"",INDEX(次果筐明细!$D$4:$D$603,$Z378-5200)),"")))))</f>
        <v/>
      </c>
      <c r="O378" s="40" t="str">
        <f>IF($Z378="","",IF($Z378&lt;=2000,"",IF($Z378&lt;=4000,IF(N(INDEX(周转筐出入库明细!$J$4:$J$2004,$Z378-2000))+N(INDEX(周转筐出入库明细!$K$4:$K$2004,$Z378-2000))=0,"",N(INDEX(周转筐出入库明细!$J$4:$J$2004,$Z378-2000))+N(INDEX(周转筐出入库明细!$K$4:$K$2004,$Z378-2000))),IF($Z378&lt;=5200,IF(N(INDEX(客户自备加工筐明细!$G$4:$G$1203,$Z378-4000))=0,"",N(INDEX(客户自备加工筐明细!$G$4:$G$1203,$Z378-4000))),IF($Z378&lt;=5800,IF(ISNUMBER(SEARCH("退",INDEX(次果筐明细!$F$4:$F$603,$Z378-5200)&amp;"")),"",IF(N(INDEX(次果筐明细!$G$4:$G$603,$Z378-5200))=0,"",N(INDEX(次果筐明细!$G$4:$G$603,$Z378-5200)))),"")))))</f>
        <v/>
      </c>
      <c r="P378" s="40" t="str">
        <f>IF($Z378="","",IF($Z378&lt;=2000,"",IF($Z378&lt;=4000,IF(N(INDEX(周转筐出入库明细!$I$4:$I$2004,$Z378-2000))=0,"",N(INDEX(周转筐出入库明细!$I$4:$I$2004,$Z378-2000))),IF($Z378&lt;=5200,"",IF($Z378&lt;=5800,IF(ISNUMBER(SEARCH("退",INDEX(次果筐明细!$F$4:$F$603,$Z378-5200)&amp;"")),IF(N(INDEX(次果筐明细!$G$4:$G$603,$Z378-5200))=0,"",N(INDEX(次果筐明细!$G$4:$G$603,$Z378-5200))),""),"")))))</f>
        <v/>
      </c>
      <c r="Q378" s="40" t="str">
        <f>IF($Z378="","",IF($Z378&lt;=2000,"",IF($Z378&lt;=4000,IF(N(INDEX(周转筐出入库明细!$H$4:$H$2004,$Z378-2000))=0,"",N(INDEX(周转筐出入库明细!$H$4:$H$2004,$Z378-2000))),IF($Z378&lt;=5200,IF(N(INDEX(客户自备加工筐明细!$F$4:$F$1203,$Z378-4000))=0,"",N(INDEX(客户自备加工筐明细!$F$4:$F$1203,$Z378-4000))),IF($Z378&lt;=5800,"","")))))</f>
        <v/>
      </c>
      <c r="R378" s="16" t="str">
        <f>IF($Z378="","",IF($Z378&lt;=2000,IF(INDEX(包装物料出入库明细!$O$4:$O$2003,$Z378-0)=0,"",INDEX(包装物料出入库明细!$O$4:$O$2003,$Z378-0)),IF($Z378&lt;=4000,IF(INDEX(周转筐出入库明细!$M$4:$M$2004,$Z378-2000)=0,"",INDEX(周转筐出入库明细!$M$4:$M$2004,$Z378-2000)),IF($Z378&lt;=5200,IF(INDEX(客户自备加工筐明细!$H$4:$H$1203,$Z378-4000)=0,"",INDEX(客户自备加工筐明细!$H$4:$H$1203,$Z378-4000)),IF($Z378&lt;=5800,IF(INDEX(次果筐明细!$H$4:$H$603,$Z378-5200)=0,"",INDEX(次果筐明细!$H$4:$H$603,$Z378-5200)),"")))))</f>
        <v/>
      </c>
      <c r="S378" s="22" t="str">
        <f t="shared" si="17"/>
        <v/>
      </c>
      <c r="Z378" s="10" t="str">
        <f>IFERROR(MATCH(ROW()-3,_自动清单!$CQ$4:$CQ$5803,0),"")</f>
        <v/>
      </c>
    </row>
    <row r="379" spans="1:26">
      <c r="A379" s="24" t="str">
        <f t="shared" si="15"/>
        <v/>
      </c>
      <c r="B379" s="38" t="str">
        <f>IF($Z379="","",IF($Z379&lt;=2000,IF(INDEX(包装物料出入库明细!$B$4:$B$2003,$Z379-0)=0,"",INDEX(包装物料出入库明细!$B$4:$B$2003,$Z379-0)),IF($Z379&lt;=4000,IF(INDEX(周转筐出入库明细!$B$4:$B$2004,$Z379-2000)=0,"",INDEX(周转筐出入库明细!$B$4:$B$2004,$Z379-2000)),IF($Z379&lt;=5200,IF(INDEX(客户自备加工筐明细!$B$4:$B$1203,$Z379-4000)=0,"",INDEX(客户自备加工筐明细!$B$4:$B$1203,$Z379-4000)),IF($Z379&lt;=5800,IF(INDEX(次果筐明细!$B$4:$B$603,$Z379-5200)=0,"",INDEX(次果筐明细!$B$4:$B$603,$Z379-5200)),"")))))</f>
        <v/>
      </c>
      <c r="C379" s="37" t="str">
        <f>IF($Z379="","",IF($Z379&lt;=2000,IF(INDEX(包装物料出入库明细!$D$4:$D$2003,$Z379-0)=0,"",INDEX(包装物料出入库明细!$D$4:$D$2003,$Z379-0)),IF($Z379&lt;=4000,IF(INDEX(周转筐出入库明细!$C$4:$C$2004,$Z379-2000)=0,"",INDEX(周转筐出入库明细!$C$4:$C$2004,$Z379-2000)),IF($Z379&lt;=5200,IF(INDEX(客户自备加工筐明细!$E$4:$E$1203,$Z379-4000)=0,"",INDEX(客户自备加工筐明细!$E$4:$E$1203,$Z379-4000)),IF($Z379&lt;=5800,IF(INDEX(次果筐明细!$C$4:$C$603,$Z379-5200)=0,"",INDEX(次果筐明细!$C$4:$C$603,$Z379-5200)),"")))))</f>
        <v/>
      </c>
      <c r="D379" s="37" t="str">
        <f>IF($Z379="","",IF($Z379&lt;=2000,"包装物料－"&amp;INDEX(包装物料出入库明细!$H$4:$H$2003,$Z379-0),IF($Z379&lt;=4000,"周转筐－"&amp;INDEX(周转筐出入库明细!$F$4:$F$2004,$Z379-2000),IF($Z379&lt;=5200,"客户自备筐－"&amp;INDEX(客户自备加工筐明细!$J$4:$J$1203,$Z379-4000),IF($Z379&lt;=5800,"次果筐/托盘－"&amp;INDEX(次果筐明细!$F$4:$F$603,$Z379-5200),"")))))</f>
        <v/>
      </c>
      <c r="E379" s="24" t="str">
        <f>IF($Z379="","",IF($Z379&lt;=2000,IF(INDEX(包装物料出入库明细!$C$4:$C$2003,$Z379-0)=0,"",INDEX(包装物料出入库明细!$C$4:$C$2003,$Z379-0)),IF($Z379&lt;=4000,IF(INDEX(周转筐出入库明细!$E$4:$E$2004,$Z379-2000)=0,"",INDEX(周转筐出入库明细!$E$4:$E$2004,$Z379-2000)),IF($Z379&lt;=5200,IF(INDEX(客户自备加工筐明细!$D$4:$D$1203,$Z379-4000)=0,"",INDEX(客户自备加工筐明细!$D$4:$D$1203,$Z379-4000)),IF($Z379&lt;=5800,IF(INDEX(次果筐明细!$E$4:$E$603,$Z379-5200)=0,"",INDEX(次果筐明细!$E$4:$E$603,$Z379-5200)),"")))))</f>
        <v/>
      </c>
      <c r="F379" s="24" t="str">
        <f>IF($Z379="","",IF($Z379&lt;=2000,IF(INDEX(包装物料出入库明细!$E$4:$E$2003,$Z379-0)=0,"",INDEX(包装物料出入库明细!$E$4:$E$2003,$Z379-0)),IF($Z379&lt;=4000,IF(INDEX(周转筐出入库明细!$D$4:$D$2004,$Z379-2000)=0,"",INDEX(周转筐出入库明细!$D$4:$D$2004,$Z379-2000)),IF($Z379&lt;=5200,IF(INDEX(客户自备加工筐明细!$C$4:$C$1203,$Z379-4000)=0,"",INDEX(客户自备加工筐明细!$C$4:$C$1203,$Z379-4000)),IF($Z379&lt;=5800,IF(INDEX(次果筐明细!$D$4:$D$603,$Z379-5200)=0,"",INDEX(次果筐明细!$D$4:$D$603,$Z379-5200)),"")))))</f>
        <v/>
      </c>
      <c r="G379" s="24" t="str">
        <f>IF($Z379="","",IF($Z379&lt;=2000,IF(INDEX(包装物料出入库明细!$F$4:$F$2003,$Z379-0)=0,"",INDEX(包装物料出入库明细!$F$4:$F$2003,$Z379-0)),IF($Z379&lt;=4000,"",IF($Z379&lt;=5200,"",IF($Z379&lt;=5800,"","")))))</f>
        <v/>
      </c>
      <c r="H379" s="39" t="str">
        <f>IF($Z379="","",IF($Z379&lt;=2000,IF(INDEX(包装物料出入库明细!$L$4:$L$2003,$Z379-0)=0,"",INDEX(包装物料出入库明细!$L$4:$L$2003,$Z379-0)),IF($Z379&lt;=4000,N(INDEX(周转筐出入库明细!$H$4:$H$2004,$Z379-2000))+N(INDEX(周转筐出入库明细!$I$4:$I$2004,$Z379-2000))+N(INDEX(周转筐出入库明细!$J$4:$J$2004,$Z379-2000))+N(INDEX(周转筐出入库明细!$K$4:$K$2004,$Z379-2000)),IF($Z379&lt;=5200,N(INDEX(客户自备加工筐明细!$F$4:$F$1203,$Z379-4000))+N(INDEX(客户自备加工筐明细!$G$4:$G$1203,$Z379-4000)),IF($Z379&lt;=5800,IF(INDEX(次果筐明细!$G$4:$G$603,$Z379-5200)=0,"",INDEX(次果筐明细!$G$4:$G$603,$Z379-5200)),"")))))</f>
        <v/>
      </c>
      <c r="I379" s="24" t="str">
        <f>IF($Z379="","",IF($Z379&lt;=2000,IF(INDEX(包装物料出入库明细!$G$4:$G$2003,$Z379-0)=0,"",INDEX(包装物料出入库明细!$G$4:$G$2003,$Z379-0)),IF($Z379&lt;=4000,"个",IF($Z379&lt;=5200,"个",IF($Z379&lt;=5800,"个","")))))</f>
        <v/>
      </c>
      <c r="J379" s="30" t="str">
        <f t="shared" si="16"/>
        <v/>
      </c>
      <c r="K379" s="30" t="str">
        <f>IF($Z379="","",IF($Z379&lt;=2000,IF(INDEX(包装物料出入库明细!$N$4:$N$2003,$Z379-0)=0,"",INDEX(包装物料出入库明细!$N$4:$N$2003,$Z379-0)),IF($Z379&lt;=4000,IF(INDEX(周转筐出入库明细!$P$4:$P$2004,$Z379-2000)=0,"",INDEX(周转筐出入库明细!$P$4:$P$2004,$Z379-2000)),IF($Z379&lt;=5200,"",IF($Z379&lt;=5800,N(INDEX(次果筐明细!$L$4:$L$603,$Z379-5200))+N(INDEX(次果筐明细!$J$4:$J$603,$Z379-5200)),"")))))</f>
        <v/>
      </c>
      <c r="L379" s="24" t="str">
        <f>IF($Z379="","",IF($Z379&lt;=2000,IF(INDEX(包装物料出入库明细!$P$4:$P$2003,$Z379-0)=0,"",INDEX(包装物料出入库明细!$P$4:$P$2003,$Z379-0)),IF($Z379&lt;=4000,IF(INDEX(周转筐出入库明细!$Q$4:$Q$2004,$Z379-2000)=0,"",INDEX(周转筐出入库明细!$Q$4:$Q$2004,$Z379-2000)),IF($Z379&lt;=5200,"",IF($Z379&lt;=5800,IF(INDEX(次果筐明细!$M$4:$M$603,$Z379-5200)=0,"",INDEX(次果筐明细!$M$4:$M$603,$Z379-5200)),"")))))</f>
        <v/>
      </c>
      <c r="M379" s="37" t="str">
        <f>IF($Z379="","",IF($Z379&lt;=2000,IF(INDEX(包装物料出入库明细!$R$4:$R$2003,$Z379-0)=0,"",INDEX(包装物料出入库明细!$R$4:$R$2003,$Z379-0)),IF($Z379&lt;=4000,IF(INDEX(周转筐出入库明细!$W$4:$W$2004,$Z379-2000)=0,"",INDEX(周转筐出入库明细!$W$4:$W$2004,$Z379-2000)),IF($Z379&lt;=5200,IF(INDEX(客户自备加工筐明细!$L$4:$L$1203,$Z379-4000)=0,"",INDEX(客户自备加工筐明细!$L$4:$L$1203,$Z379-4000)),IF($Z379&lt;=5800,IF(INDEX(次果筐明细!$P$4:$P$603,$Z379-5200)=0,"",INDEX(次果筐明细!$P$4:$P$603,$Z379-5200)),"")))))</f>
        <v/>
      </c>
      <c r="N379" s="16" t="str">
        <f>IF($Z379="","",IF($Z379&lt;=2000,"",IF($Z379&lt;=4000,IF(INDEX(周转筐出入库明细!$D$4:$D$2004,$Z379-2000)=0,"",INDEX(周转筐出入库明细!$D$4:$D$2004,$Z379-2000)),IF($Z379&lt;=5200,IF(INDEX(客户自备加工筐明细!$C$4:$C$1203,$Z379-4000)=0,"",INDEX(客户自备加工筐明细!$C$4:$C$1203,$Z379-4000)),IF($Z379&lt;=5800,IF(INDEX(次果筐明细!$D$4:$D$603,$Z379-5200)=0,"",INDEX(次果筐明细!$D$4:$D$603,$Z379-5200)),"")))))</f>
        <v/>
      </c>
      <c r="O379" s="40" t="str">
        <f>IF($Z379="","",IF($Z379&lt;=2000,"",IF($Z379&lt;=4000,IF(N(INDEX(周转筐出入库明细!$J$4:$J$2004,$Z379-2000))+N(INDEX(周转筐出入库明细!$K$4:$K$2004,$Z379-2000))=0,"",N(INDEX(周转筐出入库明细!$J$4:$J$2004,$Z379-2000))+N(INDEX(周转筐出入库明细!$K$4:$K$2004,$Z379-2000))),IF($Z379&lt;=5200,IF(N(INDEX(客户自备加工筐明细!$G$4:$G$1203,$Z379-4000))=0,"",N(INDEX(客户自备加工筐明细!$G$4:$G$1203,$Z379-4000))),IF($Z379&lt;=5800,IF(ISNUMBER(SEARCH("退",INDEX(次果筐明细!$F$4:$F$603,$Z379-5200)&amp;"")),"",IF(N(INDEX(次果筐明细!$G$4:$G$603,$Z379-5200))=0,"",N(INDEX(次果筐明细!$G$4:$G$603,$Z379-5200)))),"")))))</f>
        <v/>
      </c>
      <c r="P379" s="40" t="str">
        <f>IF($Z379="","",IF($Z379&lt;=2000,"",IF($Z379&lt;=4000,IF(N(INDEX(周转筐出入库明细!$I$4:$I$2004,$Z379-2000))=0,"",N(INDEX(周转筐出入库明细!$I$4:$I$2004,$Z379-2000))),IF($Z379&lt;=5200,"",IF($Z379&lt;=5800,IF(ISNUMBER(SEARCH("退",INDEX(次果筐明细!$F$4:$F$603,$Z379-5200)&amp;"")),IF(N(INDEX(次果筐明细!$G$4:$G$603,$Z379-5200))=0,"",N(INDEX(次果筐明细!$G$4:$G$603,$Z379-5200))),""),"")))))</f>
        <v/>
      </c>
      <c r="Q379" s="40" t="str">
        <f>IF($Z379="","",IF($Z379&lt;=2000,"",IF($Z379&lt;=4000,IF(N(INDEX(周转筐出入库明细!$H$4:$H$2004,$Z379-2000))=0,"",N(INDEX(周转筐出入库明细!$H$4:$H$2004,$Z379-2000))),IF($Z379&lt;=5200,IF(N(INDEX(客户自备加工筐明细!$F$4:$F$1203,$Z379-4000))=0,"",N(INDEX(客户自备加工筐明细!$F$4:$F$1203,$Z379-4000))),IF($Z379&lt;=5800,"","")))))</f>
        <v/>
      </c>
      <c r="R379" s="16" t="str">
        <f>IF($Z379="","",IF($Z379&lt;=2000,IF(INDEX(包装物料出入库明细!$O$4:$O$2003,$Z379-0)=0,"",INDEX(包装物料出入库明细!$O$4:$O$2003,$Z379-0)),IF($Z379&lt;=4000,IF(INDEX(周转筐出入库明细!$M$4:$M$2004,$Z379-2000)=0,"",INDEX(周转筐出入库明细!$M$4:$M$2004,$Z379-2000)),IF($Z379&lt;=5200,IF(INDEX(客户自备加工筐明细!$H$4:$H$1203,$Z379-4000)=0,"",INDEX(客户自备加工筐明细!$H$4:$H$1203,$Z379-4000)),IF($Z379&lt;=5800,IF(INDEX(次果筐明细!$H$4:$H$603,$Z379-5200)=0,"",INDEX(次果筐明细!$H$4:$H$603,$Z379-5200)),"")))))</f>
        <v/>
      </c>
      <c r="S379" s="22" t="str">
        <f t="shared" si="17"/>
        <v/>
      </c>
      <c r="Z379" s="10" t="str">
        <f>IFERROR(MATCH(ROW()-3,_自动清单!$CQ$4:$CQ$5803,0),"")</f>
        <v/>
      </c>
    </row>
    <row r="380" spans="1:26">
      <c r="A380" s="24" t="str">
        <f t="shared" si="15"/>
        <v/>
      </c>
      <c r="B380" s="38" t="str">
        <f>IF($Z380="","",IF($Z380&lt;=2000,IF(INDEX(包装物料出入库明细!$B$4:$B$2003,$Z380-0)=0,"",INDEX(包装物料出入库明细!$B$4:$B$2003,$Z380-0)),IF($Z380&lt;=4000,IF(INDEX(周转筐出入库明细!$B$4:$B$2004,$Z380-2000)=0,"",INDEX(周转筐出入库明细!$B$4:$B$2004,$Z380-2000)),IF($Z380&lt;=5200,IF(INDEX(客户自备加工筐明细!$B$4:$B$1203,$Z380-4000)=0,"",INDEX(客户自备加工筐明细!$B$4:$B$1203,$Z380-4000)),IF($Z380&lt;=5800,IF(INDEX(次果筐明细!$B$4:$B$603,$Z380-5200)=0,"",INDEX(次果筐明细!$B$4:$B$603,$Z380-5200)),"")))))</f>
        <v/>
      </c>
      <c r="C380" s="37" t="str">
        <f>IF($Z380="","",IF($Z380&lt;=2000,IF(INDEX(包装物料出入库明细!$D$4:$D$2003,$Z380-0)=0,"",INDEX(包装物料出入库明细!$D$4:$D$2003,$Z380-0)),IF($Z380&lt;=4000,IF(INDEX(周转筐出入库明细!$C$4:$C$2004,$Z380-2000)=0,"",INDEX(周转筐出入库明细!$C$4:$C$2004,$Z380-2000)),IF($Z380&lt;=5200,IF(INDEX(客户自备加工筐明细!$E$4:$E$1203,$Z380-4000)=0,"",INDEX(客户自备加工筐明细!$E$4:$E$1203,$Z380-4000)),IF($Z380&lt;=5800,IF(INDEX(次果筐明细!$C$4:$C$603,$Z380-5200)=0,"",INDEX(次果筐明细!$C$4:$C$603,$Z380-5200)),"")))))</f>
        <v/>
      </c>
      <c r="D380" s="37" t="str">
        <f>IF($Z380="","",IF($Z380&lt;=2000,"包装物料－"&amp;INDEX(包装物料出入库明细!$H$4:$H$2003,$Z380-0),IF($Z380&lt;=4000,"周转筐－"&amp;INDEX(周转筐出入库明细!$F$4:$F$2004,$Z380-2000),IF($Z380&lt;=5200,"客户自备筐－"&amp;INDEX(客户自备加工筐明细!$J$4:$J$1203,$Z380-4000),IF($Z380&lt;=5800,"次果筐/托盘－"&amp;INDEX(次果筐明细!$F$4:$F$603,$Z380-5200),"")))))</f>
        <v/>
      </c>
      <c r="E380" s="24" t="str">
        <f>IF($Z380="","",IF($Z380&lt;=2000,IF(INDEX(包装物料出入库明细!$C$4:$C$2003,$Z380-0)=0,"",INDEX(包装物料出入库明细!$C$4:$C$2003,$Z380-0)),IF($Z380&lt;=4000,IF(INDEX(周转筐出入库明细!$E$4:$E$2004,$Z380-2000)=0,"",INDEX(周转筐出入库明细!$E$4:$E$2004,$Z380-2000)),IF($Z380&lt;=5200,IF(INDEX(客户自备加工筐明细!$D$4:$D$1203,$Z380-4000)=0,"",INDEX(客户自备加工筐明细!$D$4:$D$1203,$Z380-4000)),IF($Z380&lt;=5800,IF(INDEX(次果筐明细!$E$4:$E$603,$Z380-5200)=0,"",INDEX(次果筐明细!$E$4:$E$603,$Z380-5200)),"")))))</f>
        <v/>
      </c>
      <c r="F380" s="24" t="str">
        <f>IF($Z380="","",IF($Z380&lt;=2000,IF(INDEX(包装物料出入库明细!$E$4:$E$2003,$Z380-0)=0,"",INDEX(包装物料出入库明细!$E$4:$E$2003,$Z380-0)),IF($Z380&lt;=4000,IF(INDEX(周转筐出入库明细!$D$4:$D$2004,$Z380-2000)=0,"",INDEX(周转筐出入库明细!$D$4:$D$2004,$Z380-2000)),IF($Z380&lt;=5200,IF(INDEX(客户自备加工筐明细!$C$4:$C$1203,$Z380-4000)=0,"",INDEX(客户自备加工筐明细!$C$4:$C$1203,$Z380-4000)),IF($Z380&lt;=5800,IF(INDEX(次果筐明细!$D$4:$D$603,$Z380-5200)=0,"",INDEX(次果筐明细!$D$4:$D$603,$Z380-5200)),"")))))</f>
        <v/>
      </c>
      <c r="G380" s="24" t="str">
        <f>IF($Z380="","",IF($Z380&lt;=2000,IF(INDEX(包装物料出入库明细!$F$4:$F$2003,$Z380-0)=0,"",INDEX(包装物料出入库明细!$F$4:$F$2003,$Z380-0)),IF($Z380&lt;=4000,"",IF($Z380&lt;=5200,"",IF($Z380&lt;=5800,"","")))))</f>
        <v/>
      </c>
      <c r="H380" s="39" t="str">
        <f>IF($Z380="","",IF($Z380&lt;=2000,IF(INDEX(包装物料出入库明细!$L$4:$L$2003,$Z380-0)=0,"",INDEX(包装物料出入库明细!$L$4:$L$2003,$Z380-0)),IF($Z380&lt;=4000,N(INDEX(周转筐出入库明细!$H$4:$H$2004,$Z380-2000))+N(INDEX(周转筐出入库明细!$I$4:$I$2004,$Z380-2000))+N(INDEX(周转筐出入库明细!$J$4:$J$2004,$Z380-2000))+N(INDEX(周转筐出入库明细!$K$4:$K$2004,$Z380-2000)),IF($Z380&lt;=5200,N(INDEX(客户自备加工筐明细!$F$4:$F$1203,$Z380-4000))+N(INDEX(客户自备加工筐明细!$G$4:$G$1203,$Z380-4000)),IF($Z380&lt;=5800,IF(INDEX(次果筐明细!$G$4:$G$603,$Z380-5200)=0,"",INDEX(次果筐明细!$G$4:$G$603,$Z380-5200)),"")))))</f>
        <v/>
      </c>
      <c r="I380" s="24" t="str">
        <f>IF($Z380="","",IF($Z380&lt;=2000,IF(INDEX(包装物料出入库明细!$G$4:$G$2003,$Z380-0)=0,"",INDEX(包装物料出入库明细!$G$4:$G$2003,$Z380-0)),IF($Z380&lt;=4000,"个",IF($Z380&lt;=5200,"个",IF($Z380&lt;=5800,"个","")))))</f>
        <v/>
      </c>
      <c r="J380" s="30" t="str">
        <f t="shared" si="16"/>
        <v/>
      </c>
      <c r="K380" s="30" t="str">
        <f>IF($Z380="","",IF($Z380&lt;=2000,IF(INDEX(包装物料出入库明细!$N$4:$N$2003,$Z380-0)=0,"",INDEX(包装物料出入库明细!$N$4:$N$2003,$Z380-0)),IF($Z380&lt;=4000,IF(INDEX(周转筐出入库明细!$P$4:$P$2004,$Z380-2000)=0,"",INDEX(周转筐出入库明细!$P$4:$P$2004,$Z380-2000)),IF($Z380&lt;=5200,"",IF($Z380&lt;=5800,N(INDEX(次果筐明细!$L$4:$L$603,$Z380-5200))+N(INDEX(次果筐明细!$J$4:$J$603,$Z380-5200)),"")))))</f>
        <v/>
      </c>
      <c r="L380" s="24" t="str">
        <f>IF($Z380="","",IF($Z380&lt;=2000,IF(INDEX(包装物料出入库明细!$P$4:$P$2003,$Z380-0)=0,"",INDEX(包装物料出入库明细!$P$4:$P$2003,$Z380-0)),IF($Z380&lt;=4000,IF(INDEX(周转筐出入库明细!$Q$4:$Q$2004,$Z380-2000)=0,"",INDEX(周转筐出入库明细!$Q$4:$Q$2004,$Z380-2000)),IF($Z380&lt;=5200,"",IF($Z380&lt;=5800,IF(INDEX(次果筐明细!$M$4:$M$603,$Z380-5200)=0,"",INDEX(次果筐明细!$M$4:$M$603,$Z380-5200)),"")))))</f>
        <v/>
      </c>
      <c r="M380" s="37" t="str">
        <f>IF($Z380="","",IF($Z380&lt;=2000,IF(INDEX(包装物料出入库明细!$R$4:$R$2003,$Z380-0)=0,"",INDEX(包装物料出入库明细!$R$4:$R$2003,$Z380-0)),IF($Z380&lt;=4000,IF(INDEX(周转筐出入库明细!$W$4:$W$2004,$Z380-2000)=0,"",INDEX(周转筐出入库明细!$W$4:$W$2004,$Z380-2000)),IF($Z380&lt;=5200,IF(INDEX(客户自备加工筐明细!$L$4:$L$1203,$Z380-4000)=0,"",INDEX(客户自备加工筐明细!$L$4:$L$1203,$Z380-4000)),IF($Z380&lt;=5800,IF(INDEX(次果筐明细!$P$4:$P$603,$Z380-5200)=0,"",INDEX(次果筐明细!$P$4:$P$603,$Z380-5200)),"")))))</f>
        <v/>
      </c>
      <c r="N380" s="16" t="str">
        <f>IF($Z380="","",IF($Z380&lt;=2000,"",IF($Z380&lt;=4000,IF(INDEX(周转筐出入库明细!$D$4:$D$2004,$Z380-2000)=0,"",INDEX(周转筐出入库明细!$D$4:$D$2004,$Z380-2000)),IF($Z380&lt;=5200,IF(INDEX(客户自备加工筐明细!$C$4:$C$1203,$Z380-4000)=0,"",INDEX(客户自备加工筐明细!$C$4:$C$1203,$Z380-4000)),IF($Z380&lt;=5800,IF(INDEX(次果筐明细!$D$4:$D$603,$Z380-5200)=0,"",INDEX(次果筐明细!$D$4:$D$603,$Z380-5200)),"")))))</f>
        <v/>
      </c>
      <c r="O380" s="40" t="str">
        <f>IF($Z380="","",IF($Z380&lt;=2000,"",IF($Z380&lt;=4000,IF(N(INDEX(周转筐出入库明细!$J$4:$J$2004,$Z380-2000))+N(INDEX(周转筐出入库明细!$K$4:$K$2004,$Z380-2000))=0,"",N(INDEX(周转筐出入库明细!$J$4:$J$2004,$Z380-2000))+N(INDEX(周转筐出入库明细!$K$4:$K$2004,$Z380-2000))),IF($Z380&lt;=5200,IF(N(INDEX(客户自备加工筐明细!$G$4:$G$1203,$Z380-4000))=0,"",N(INDEX(客户自备加工筐明细!$G$4:$G$1203,$Z380-4000))),IF($Z380&lt;=5800,IF(ISNUMBER(SEARCH("退",INDEX(次果筐明细!$F$4:$F$603,$Z380-5200)&amp;"")),"",IF(N(INDEX(次果筐明细!$G$4:$G$603,$Z380-5200))=0,"",N(INDEX(次果筐明细!$G$4:$G$603,$Z380-5200)))),"")))))</f>
        <v/>
      </c>
      <c r="P380" s="40" t="str">
        <f>IF($Z380="","",IF($Z380&lt;=2000,"",IF($Z380&lt;=4000,IF(N(INDEX(周转筐出入库明细!$I$4:$I$2004,$Z380-2000))=0,"",N(INDEX(周转筐出入库明细!$I$4:$I$2004,$Z380-2000))),IF($Z380&lt;=5200,"",IF($Z380&lt;=5800,IF(ISNUMBER(SEARCH("退",INDEX(次果筐明细!$F$4:$F$603,$Z380-5200)&amp;"")),IF(N(INDEX(次果筐明细!$G$4:$G$603,$Z380-5200))=0,"",N(INDEX(次果筐明细!$G$4:$G$603,$Z380-5200))),""),"")))))</f>
        <v/>
      </c>
      <c r="Q380" s="40" t="str">
        <f>IF($Z380="","",IF($Z380&lt;=2000,"",IF($Z380&lt;=4000,IF(N(INDEX(周转筐出入库明细!$H$4:$H$2004,$Z380-2000))=0,"",N(INDEX(周转筐出入库明细!$H$4:$H$2004,$Z380-2000))),IF($Z380&lt;=5200,IF(N(INDEX(客户自备加工筐明细!$F$4:$F$1203,$Z380-4000))=0,"",N(INDEX(客户自备加工筐明细!$F$4:$F$1203,$Z380-4000))),IF($Z380&lt;=5800,"","")))))</f>
        <v/>
      </c>
      <c r="R380" s="16" t="str">
        <f>IF($Z380="","",IF($Z380&lt;=2000,IF(INDEX(包装物料出入库明细!$O$4:$O$2003,$Z380-0)=0,"",INDEX(包装物料出入库明细!$O$4:$O$2003,$Z380-0)),IF($Z380&lt;=4000,IF(INDEX(周转筐出入库明细!$M$4:$M$2004,$Z380-2000)=0,"",INDEX(周转筐出入库明细!$M$4:$M$2004,$Z380-2000)),IF($Z380&lt;=5200,IF(INDEX(客户自备加工筐明细!$H$4:$H$1203,$Z380-4000)=0,"",INDEX(客户自备加工筐明细!$H$4:$H$1203,$Z380-4000)),IF($Z380&lt;=5800,IF(INDEX(次果筐明细!$H$4:$H$603,$Z380-5200)=0,"",INDEX(次果筐明细!$H$4:$H$603,$Z380-5200)),"")))))</f>
        <v/>
      </c>
      <c r="S380" s="22" t="str">
        <f t="shared" si="17"/>
        <v/>
      </c>
      <c r="Z380" s="10" t="str">
        <f>IFERROR(MATCH(ROW()-3,_自动清单!$CQ$4:$CQ$5803,0),"")</f>
        <v/>
      </c>
    </row>
    <row r="381" spans="1:26">
      <c r="A381" s="24" t="str">
        <f t="shared" si="15"/>
        <v/>
      </c>
      <c r="B381" s="38" t="str">
        <f>IF($Z381="","",IF($Z381&lt;=2000,IF(INDEX(包装物料出入库明细!$B$4:$B$2003,$Z381-0)=0,"",INDEX(包装物料出入库明细!$B$4:$B$2003,$Z381-0)),IF($Z381&lt;=4000,IF(INDEX(周转筐出入库明细!$B$4:$B$2004,$Z381-2000)=0,"",INDEX(周转筐出入库明细!$B$4:$B$2004,$Z381-2000)),IF($Z381&lt;=5200,IF(INDEX(客户自备加工筐明细!$B$4:$B$1203,$Z381-4000)=0,"",INDEX(客户自备加工筐明细!$B$4:$B$1203,$Z381-4000)),IF($Z381&lt;=5800,IF(INDEX(次果筐明细!$B$4:$B$603,$Z381-5200)=0,"",INDEX(次果筐明细!$B$4:$B$603,$Z381-5200)),"")))))</f>
        <v/>
      </c>
      <c r="C381" s="37" t="str">
        <f>IF($Z381="","",IF($Z381&lt;=2000,IF(INDEX(包装物料出入库明细!$D$4:$D$2003,$Z381-0)=0,"",INDEX(包装物料出入库明细!$D$4:$D$2003,$Z381-0)),IF($Z381&lt;=4000,IF(INDEX(周转筐出入库明细!$C$4:$C$2004,$Z381-2000)=0,"",INDEX(周转筐出入库明细!$C$4:$C$2004,$Z381-2000)),IF($Z381&lt;=5200,IF(INDEX(客户自备加工筐明细!$E$4:$E$1203,$Z381-4000)=0,"",INDEX(客户自备加工筐明细!$E$4:$E$1203,$Z381-4000)),IF($Z381&lt;=5800,IF(INDEX(次果筐明细!$C$4:$C$603,$Z381-5200)=0,"",INDEX(次果筐明细!$C$4:$C$603,$Z381-5200)),"")))))</f>
        <v/>
      </c>
      <c r="D381" s="37" t="str">
        <f>IF($Z381="","",IF($Z381&lt;=2000,"包装物料－"&amp;INDEX(包装物料出入库明细!$H$4:$H$2003,$Z381-0),IF($Z381&lt;=4000,"周转筐－"&amp;INDEX(周转筐出入库明细!$F$4:$F$2004,$Z381-2000),IF($Z381&lt;=5200,"客户自备筐－"&amp;INDEX(客户自备加工筐明细!$J$4:$J$1203,$Z381-4000),IF($Z381&lt;=5800,"次果筐/托盘－"&amp;INDEX(次果筐明细!$F$4:$F$603,$Z381-5200),"")))))</f>
        <v/>
      </c>
      <c r="E381" s="24" t="str">
        <f>IF($Z381="","",IF($Z381&lt;=2000,IF(INDEX(包装物料出入库明细!$C$4:$C$2003,$Z381-0)=0,"",INDEX(包装物料出入库明细!$C$4:$C$2003,$Z381-0)),IF($Z381&lt;=4000,IF(INDEX(周转筐出入库明细!$E$4:$E$2004,$Z381-2000)=0,"",INDEX(周转筐出入库明细!$E$4:$E$2004,$Z381-2000)),IF($Z381&lt;=5200,IF(INDEX(客户自备加工筐明细!$D$4:$D$1203,$Z381-4000)=0,"",INDEX(客户自备加工筐明细!$D$4:$D$1203,$Z381-4000)),IF($Z381&lt;=5800,IF(INDEX(次果筐明细!$E$4:$E$603,$Z381-5200)=0,"",INDEX(次果筐明细!$E$4:$E$603,$Z381-5200)),"")))))</f>
        <v/>
      </c>
      <c r="F381" s="24" t="str">
        <f>IF($Z381="","",IF($Z381&lt;=2000,IF(INDEX(包装物料出入库明细!$E$4:$E$2003,$Z381-0)=0,"",INDEX(包装物料出入库明细!$E$4:$E$2003,$Z381-0)),IF($Z381&lt;=4000,IF(INDEX(周转筐出入库明细!$D$4:$D$2004,$Z381-2000)=0,"",INDEX(周转筐出入库明细!$D$4:$D$2004,$Z381-2000)),IF($Z381&lt;=5200,IF(INDEX(客户自备加工筐明细!$C$4:$C$1203,$Z381-4000)=0,"",INDEX(客户自备加工筐明细!$C$4:$C$1203,$Z381-4000)),IF($Z381&lt;=5800,IF(INDEX(次果筐明细!$D$4:$D$603,$Z381-5200)=0,"",INDEX(次果筐明细!$D$4:$D$603,$Z381-5200)),"")))))</f>
        <v/>
      </c>
      <c r="G381" s="24" t="str">
        <f>IF($Z381="","",IF($Z381&lt;=2000,IF(INDEX(包装物料出入库明细!$F$4:$F$2003,$Z381-0)=0,"",INDEX(包装物料出入库明细!$F$4:$F$2003,$Z381-0)),IF($Z381&lt;=4000,"",IF($Z381&lt;=5200,"",IF($Z381&lt;=5800,"","")))))</f>
        <v/>
      </c>
      <c r="H381" s="39" t="str">
        <f>IF($Z381="","",IF($Z381&lt;=2000,IF(INDEX(包装物料出入库明细!$L$4:$L$2003,$Z381-0)=0,"",INDEX(包装物料出入库明细!$L$4:$L$2003,$Z381-0)),IF($Z381&lt;=4000,N(INDEX(周转筐出入库明细!$H$4:$H$2004,$Z381-2000))+N(INDEX(周转筐出入库明细!$I$4:$I$2004,$Z381-2000))+N(INDEX(周转筐出入库明细!$J$4:$J$2004,$Z381-2000))+N(INDEX(周转筐出入库明细!$K$4:$K$2004,$Z381-2000)),IF($Z381&lt;=5200,N(INDEX(客户自备加工筐明细!$F$4:$F$1203,$Z381-4000))+N(INDEX(客户自备加工筐明细!$G$4:$G$1203,$Z381-4000)),IF($Z381&lt;=5800,IF(INDEX(次果筐明细!$G$4:$G$603,$Z381-5200)=0,"",INDEX(次果筐明细!$G$4:$G$603,$Z381-5200)),"")))))</f>
        <v/>
      </c>
      <c r="I381" s="24" t="str">
        <f>IF($Z381="","",IF($Z381&lt;=2000,IF(INDEX(包装物料出入库明细!$G$4:$G$2003,$Z381-0)=0,"",INDEX(包装物料出入库明细!$G$4:$G$2003,$Z381-0)),IF($Z381&lt;=4000,"个",IF($Z381&lt;=5200,"个",IF($Z381&lt;=5800,"个","")))))</f>
        <v/>
      </c>
      <c r="J381" s="30" t="str">
        <f t="shared" si="16"/>
        <v/>
      </c>
      <c r="K381" s="30" t="str">
        <f>IF($Z381="","",IF($Z381&lt;=2000,IF(INDEX(包装物料出入库明细!$N$4:$N$2003,$Z381-0)=0,"",INDEX(包装物料出入库明细!$N$4:$N$2003,$Z381-0)),IF($Z381&lt;=4000,IF(INDEX(周转筐出入库明细!$P$4:$P$2004,$Z381-2000)=0,"",INDEX(周转筐出入库明细!$P$4:$P$2004,$Z381-2000)),IF($Z381&lt;=5200,"",IF($Z381&lt;=5800,N(INDEX(次果筐明细!$L$4:$L$603,$Z381-5200))+N(INDEX(次果筐明细!$J$4:$J$603,$Z381-5200)),"")))))</f>
        <v/>
      </c>
      <c r="L381" s="24" t="str">
        <f>IF($Z381="","",IF($Z381&lt;=2000,IF(INDEX(包装物料出入库明细!$P$4:$P$2003,$Z381-0)=0,"",INDEX(包装物料出入库明细!$P$4:$P$2003,$Z381-0)),IF($Z381&lt;=4000,IF(INDEX(周转筐出入库明细!$Q$4:$Q$2004,$Z381-2000)=0,"",INDEX(周转筐出入库明细!$Q$4:$Q$2004,$Z381-2000)),IF($Z381&lt;=5200,"",IF($Z381&lt;=5800,IF(INDEX(次果筐明细!$M$4:$M$603,$Z381-5200)=0,"",INDEX(次果筐明细!$M$4:$M$603,$Z381-5200)),"")))))</f>
        <v/>
      </c>
      <c r="M381" s="37" t="str">
        <f>IF($Z381="","",IF($Z381&lt;=2000,IF(INDEX(包装物料出入库明细!$R$4:$R$2003,$Z381-0)=0,"",INDEX(包装物料出入库明细!$R$4:$R$2003,$Z381-0)),IF($Z381&lt;=4000,IF(INDEX(周转筐出入库明细!$W$4:$W$2004,$Z381-2000)=0,"",INDEX(周转筐出入库明细!$W$4:$W$2004,$Z381-2000)),IF($Z381&lt;=5200,IF(INDEX(客户自备加工筐明细!$L$4:$L$1203,$Z381-4000)=0,"",INDEX(客户自备加工筐明细!$L$4:$L$1203,$Z381-4000)),IF($Z381&lt;=5800,IF(INDEX(次果筐明细!$P$4:$P$603,$Z381-5200)=0,"",INDEX(次果筐明细!$P$4:$P$603,$Z381-5200)),"")))))</f>
        <v/>
      </c>
      <c r="N381" s="16" t="str">
        <f>IF($Z381="","",IF($Z381&lt;=2000,"",IF($Z381&lt;=4000,IF(INDEX(周转筐出入库明细!$D$4:$D$2004,$Z381-2000)=0,"",INDEX(周转筐出入库明细!$D$4:$D$2004,$Z381-2000)),IF($Z381&lt;=5200,IF(INDEX(客户自备加工筐明细!$C$4:$C$1203,$Z381-4000)=0,"",INDEX(客户自备加工筐明细!$C$4:$C$1203,$Z381-4000)),IF($Z381&lt;=5800,IF(INDEX(次果筐明细!$D$4:$D$603,$Z381-5200)=0,"",INDEX(次果筐明细!$D$4:$D$603,$Z381-5200)),"")))))</f>
        <v/>
      </c>
      <c r="O381" s="40" t="str">
        <f>IF($Z381="","",IF($Z381&lt;=2000,"",IF($Z381&lt;=4000,IF(N(INDEX(周转筐出入库明细!$J$4:$J$2004,$Z381-2000))+N(INDEX(周转筐出入库明细!$K$4:$K$2004,$Z381-2000))=0,"",N(INDEX(周转筐出入库明细!$J$4:$J$2004,$Z381-2000))+N(INDEX(周转筐出入库明细!$K$4:$K$2004,$Z381-2000))),IF($Z381&lt;=5200,IF(N(INDEX(客户自备加工筐明细!$G$4:$G$1203,$Z381-4000))=0,"",N(INDEX(客户自备加工筐明细!$G$4:$G$1203,$Z381-4000))),IF($Z381&lt;=5800,IF(ISNUMBER(SEARCH("退",INDEX(次果筐明细!$F$4:$F$603,$Z381-5200)&amp;"")),"",IF(N(INDEX(次果筐明细!$G$4:$G$603,$Z381-5200))=0,"",N(INDEX(次果筐明细!$G$4:$G$603,$Z381-5200)))),"")))))</f>
        <v/>
      </c>
      <c r="P381" s="40" t="str">
        <f>IF($Z381="","",IF($Z381&lt;=2000,"",IF($Z381&lt;=4000,IF(N(INDEX(周转筐出入库明细!$I$4:$I$2004,$Z381-2000))=0,"",N(INDEX(周转筐出入库明细!$I$4:$I$2004,$Z381-2000))),IF($Z381&lt;=5200,"",IF($Z381&lt;=5800,IF(ISNUMBER(SEARCH("退",INDEX(次果筐明细!$F$4:$F$603,$Z381-5200)&amp;"")),IF(N(INDEX(次果筐明细!$G$4:$G$603,$Z381-5200))=0,"",N(INDEX(次果筐明细!$G$4:$G$603,$Z381-5200))),""),"")))))</f>
        <v/>
      </c>
      <c r="Q381" s="40" t="str">
        <f>IF($Z381="","",IF($Z381&lt;=2000,"",IF($Z381&lt;=4000,IF(N(INDEX(周转筐出入库明细!$H$4:$H$2004,$Z381-2000))=0,"",N(INDEX(周转筐出入库明细!$H$4:$H$2004,$Z381-2000))),IF($Z381&lt;=5200,IF(N(INDEX(客户自备加工筐明细!$F$4:$F$1203,$Z381-4000))=0,"",N(INDEX(客户自备加工筐明细!$F$4:$F$1203,$Z381-4000))),IF($Z381&lt;=5800,"","")))))</f>
        <v/>
      </c>
      <c r="R381" s="16" t="str">
        <f>IF($Z381="","",IF($Z381&lt;=2000,IF(INDEX(包装物料出入库明细!$O$4:$O$2003,$Z381-0)=0,"",INDEX(包装物料出入库明细!$O$4:$O$2003,$Z381-0)),IF($Z381&lt;=4000,IF(INDEX(周转筐出入库明细!$M$4:$M$2004,$Z381-2000)=0,"",INDEX(周转筐出入库明细!$M$4:$M$2004,$Z381-2000)),IF($Z381&lt;=5200,IF(INDEX(客户自备加工筐明细!$H$4:$H$1203,$Z381-4000)=0,"",INDEX(客户自备加工筐明细!$H$4:$H$1203,$Z381-4000)),IF($Z381&lt;=5800,IF(INDEX(次果筐明细!$H$4:$H$603,$Z381-5200)=0,"",INDEX(次果筐明细!$H$4:$H$603,$Z381-5200)),"")))))</f>
        <v/>
      </c>
      <c r="S381" s="22" t="str">
        <f t="shared" si="17"/>
        <v/>
      </c>
      <c r="Z381" s="10" t="str">
        <f>IFERROR(MATCH(ROW()-3,_自动清单!$CQ$4:$CQ$5803,0),"")</f>
        <v/>
      </c>
    </row>
    <row r="382" spans="1:26">
      <c r="A382" s="24" t="str">
        <f t="shared" si="15"/>
        <v/>
      </c>
      <c r="B382" s="38" t="str">
        <f>IF($Z382="","",IF($Z382&lt;=2000,IF(INDEX(包装物料出入库明细!$B$4:$B$2003,$Z382-0)=0,"",INDEX(包装物料出入库明细!$B$4:$B$2003,$Z382-0)),IF($Z382&lt;=4000,IF(INDEX(周转筐出入库明细!$B$4:$B$2004,$Z382-2000)=0,"",INDEX(周转筐出入库明细!$B$4:$B$2004,$Z382-2000)),IF($Z382&lt;=5200,IF(INDEX(客户自备加工筐明细!$B$4:$B$1203,$Z382-4000)=0,"",INDEX(客户自备加工筐明细!$B$4:$B$1203,$Z382-4000)),IF($Z382&lt;=5800,IF(INDEX(次果筐明细!$B$4:$B$603,$Z382-5200)=0,"",INDEX(次果筐明细!$B$4:$B$603,$Z382-5200)),"")))))</f>
        <v/>
      </c>
      <c r="C382" s="37" t="str">
        <f>IF($Z382="","",IF($Z382&lt;=2000,IF(INDEX(包装物料出入库明细!$D$4:$D$2003,$Z382-0)=0,"",INDEX(包装物料出入库明细!$D$4:$D$2003,$Z382-0)),IF($Z382&lt;=4000,IF(INDEX(周转筐出入库明细!$C$4:$C$2004,$Z382-2000)=0,"",INDEX(周转筐出入库明细!$C$4:$C$2004,$Z382-2000)),IF($Z382&lt;=5200,IF(INDEX(客户自备加工筐明细!$E$4:$E$1203,$Z382-4000)=0,"",INDEX(客户自备加工筐明细!$E$4:$E$1203,$Z382-4000)),IF($Z382&lt;=5800,IF(INDEX(次果筐明细!$C$4:$C$603,$Z382-5200)=0,"",INDEX(次果筐明细!$C$4:$C$603,$Z382-5200)),"")))))</f>
        <v/>
      </c>
      <c r="D382" s="37" t="str">
        <f>IF($Z382="","",IF($Z382&lt;=2000,"包装物料－"&amp;INDEX(包装物料出入库明细!$H$4:$H$2003,$Z382-0),IF($Z382&lt;=4000,"周转筐－"&amp;INDEX(周转筐出入库明细!$F$4:$F$2004,$Z382-2000),IF($Z382&lt;=5200,"客户自备筐－"&amp;INDEX(客户自备加工筐明细!$J$4:$J$1203,$Z382-4000),IF($Z382&lt;=5800,"次果筐/托盘－"&amp;INDEX(次果筐明细!$F$4:$F$603,$Z382-5200),"")))))</f>
        <v/>
      </c>
      <c r="E382" s="24" t="str">
        <f>IF($Z382="","",IF($Z382&lt;=2000,IF(INDEX(包装物料出入库明细!$C$4:$C$2003,$Z382-0)=0,"",INDEX(包装物料出入库明细!$C$4:$C$2003,$Z382-0)),IF($Z382&lt;=4000,IF(INDEX(周转筐出入库明细!$E$4:$E$2004,$Z382-2000)=0,"",INDEX(周转筐出入库明细!$E$4:$E$2004,$Z382-2000)),IF($Z382&lt;=5200,IF(INDEX(客户自备加工筐明细!$D$4:$D$1203,$Z382-4000)=0,"",INDEX(客户自备加工筐明细!$D$4:$D$1203,$Z382-4000)),IF($Z382&lt;=5800,IF(INDEX(次果筐明细!$E$4:$E$603,$Z382-5200)=0,"",INDEX(次果筐明细!$E$4:$E$603,$Z382-5200)),"")))))</f>
        <v/>
      </c>
      <c r="F382" s="24" t="str">
        <f>IF($Z382="","",IF($Z382&lt;=2000,IF(INDEX(包装物料出入库明细!$E$4:$E$2003,$Z382-0)=0,"",INDEX(包装物料出入库明细!$E$4:$E$2003,$Z382-0)),IF($Z382&lt;=4000,IF(INDEX(周转筐出入库明细!$D$4:$D$2004,$Z382-2000)=0,"",INDEX(周转筐出入库明细!$D$4:$D$2004,$Z382-2000)),IF($Z382&lt;=5200,IF(INDEX(客户自备加工筐明细!$C$4:$C$1203,$Z382-4000)=0,"",INDEX(客户自备加工筐明细!$C$4:$C$1203,$Z382-4000)),IF($Z382&lt;=5800,IF(INDEX(次果筐明细!$D$4:$D$603,$Z382-5200)=0,"",INDEX(次果筐明细!$D$4:$D$603,$Z382-5200)),"")))))</f>
        <v/>
      </c>
      <c r="G382" s="24" t="str">
        <f>IF($Z382="","",IF($Z382&lt;=2000,IF(INDEX(包装物料出入库明细!$F$4:$F$2003,$Z382-0)=0,"",INDEX(包装物料出入库明细!$F$4:$F$2003,$Z382-0)),IF($Z382&lt;=4000,"",IF($Z382&lt;=5200,"",IF($Z382&lt;=5800,"","")))))</f>
        <v/>
      </c>
      <c r="H382" s="39" t="str">
        <f>IF($Z382="","",IF($Z382&lt;=2000,IF(INDEX(包装物料出入库明细!$L$4:$L$2003,$Z382-0)=0,"",INDEX(包装物料出入库明细!$L$4:$L$2003,$Z382-0)),IF($Z382&lt;=4000,N(INDEX(周转筐出入库明细!$H$4:$H$2004,$Z382-2000))+N(INDEX(周转筐出入库明细!$I$4:$I$2004,$Z382-2000))+N(INDEX(周转筐出入库明细!$J$4:$J$2004,$Z382-2000))+N(INDEX(周转筐出入库明细!$K$4:$K$2004,$Z382-2000)),IF($Z382&lt;=5200,N(INDEX(客户自备加工筐明细!$F$4:$F$1203,$Z382-4000))+N(INDEX(客户自备加工筐明细!$G$4:$G$1203,$Z382-4000)),IF($Z382&lt;=5800,IF(INDEX(次果筐明细!$G$4:$G$603,$Z382-5200)=0,"",INDEX(次果筐明细!$G$4:$G$603,$Z382-5200)),"")))))</f>
        <v/>
      </c>
      <c r="I382" s="24" t="str">
        <f>IF($Z382="","",IF($Z382&lt;=2000,IF(INDEX(包装物料出入库明细!$G$4:$G$2003,$Z382-0)=0,"",INDEX(包装物料出入库明细!$G$4:$G$2003,$Z382-0)),IF($Z382&lt;=4000,"个",IF($Z382&lt;=5200,"个",IF($Z382&lt;=5800,"个","")))))</f>
        <v/>
      </c>
      <c r="J382" s="30" t="str">
        <f t="shared" si="16"/>
        <v/>
      </c>
      <c r="K382" s="30" t="str">
        <f>IF($Z382="","",IF($Z382&lt;=2000,IF(INDEX(包装物料出入库明细!$N$4:$N$2003,$Z382-0)=0,"",INDEX(包装物料出入库明细!$N$4:$N$2003,$Z382-0)),IF($Z382&lt;=4000,IF(INDEX(周转筐出入库明细!$P$4:$P$2004,$Z382-2000)=0,"",INDEX(周转筐出入库明细!$P$4:$P$2004,$Z382-2000)),IF($Z382&lt;=5200,"",IF($Z382&lt;=5800,N(INDEX(次果筐明细!$L$4:$L$603,$Z382-5200))+N(INDEX(次果筐明细!$J$4:$J$603,$Z382-5200)),"")))))</f>
        <v/>
      </c>
      <c r="L382" s="24" t="str">
        <f>IF($Z382="","",IF($Z382&lt;=2000,IF(INDEX(包装物料出入库明细!$P$4:$P$2003,$Z382-0)=0,"",INDEX(包装物料出入库明细!$P$4:$P$2003,$Z382-0)),IF($Z382&lt;=4000,IF(INDEX(周转筐出入库明细!$Q$4:$Q$2004,$Z382-2000)=0,"",INDEX(周转筐出入库明细!$Q$4:$Q$2004,$Z382-2000)),IF($Z382&lt;=5200,"",IF($Z382&lt;=5800,IF(INDEX(次果筐明细!$M$4:$M$603,$Z382-5200)=0,"",INDEX(次果筐明细!$M$4:$M$603,$Z382-5200)),"")))))</f>
        <v/>
      </c>
      <c r="M382" s="37" t="str">
        <f>IF($Z382="","",IF($Z382&lt;=2000,IF(INDEX(包装物料出入库明细!$R$4:$R$2003,$Z382-0)=0,"",INDEX(包装物料出入库明细!$R$4:$R$2003,$Z382-0)),IF($Z382&lt;=4000,IF(INDEX(周转筐出入库明细!$W$4:$W$2004,$Z382-2000)=0,"",INDEX(周转筐出入库明细!$W$4:$W$2004,$Z382-2000)),IF($Z382&lt;=5200,IF(INDEX(客户自备加工筐明细!$L$4:$L$1203,$Z382-4000)=0,"",INDEX(客户自备加工筐明细!$L$4:$L$1203,$Z382-4000)),IF($Z382&lt;=5800,IF(INDEX(次果筐明细!$P$4:$P$603,$Z382-5200)=0,"",INDEX(次果筐明细!$P$4:$P$603,$Z382-5200)),"")))))</f>
        <v/>
      </c>
      <c r="N382" s="16" t="str">
        <f>IF($Z382="","",IF($Z382&lt;=2000,"",IF($Z382&lt;=4000,IF(INDEX(周转筐出入库明细!$D$4:$D$2004,$Z382-2000)=0,"",INDEX(周转筐出入库明细!$D$4:$D$2004,$Z382-2000)),IF($Z382&lt;=5200,IF(INDEX(客户自备加工筐明细!$C$4:$C$1203,$Z382-4000)=0,"",INDEX(客户自备加工筐明细!$C$4:$C$1203,$Z382-4000)),IF($Z382&lt;=5800,IF(INDEX(次果筐明细!$D$4:$D$603,$Z382-5200)=0,"",INDEX(次果筐明细!$D$4:$D$603,$Z382-5200)),"")))))</f>
        <v/>
      </c>
      <c r="O382" s="40" t="str">
        <f>IF($Z382="","",IF($Z382&lt;=2000,"",IF($Z382&lt;=4000,IF(N(INDEX(周转筐出入库明细!$J$4:$J$2004,$Z382-2000))+N(INDEX(周转筐出入库明细!$K$4:$K$2004,$Z382-2000))=0,"",N(INDEX(周转筐出入库明细!$J$4:$J$2004,$Z382-2000))+N(INDEX(周转筐出入库明细!$K$4:$K$2004,$Z382-2000))),IF($Z382&lt;=5200,IF(N(INDEX(客户自备加工筐明细!$G$4:$G$1203,$Z382-4000))=0,"",N(INDEX(客户自备加工筐明细!$G$4:$G$1203,$Z382-4000))),IF($Z382&lt;=5800,IF(ISNUMBER(SEARCH("退",INDEX(次果筐明细!$F$4:$F$603,$Z382-5200)&amp;"")),"",IF(N(INDEX(次果筐明细!$G$4:$G$603,$Z382-5200))=0,"",N(INDEX(次果筐明细!$G$4:$G$603,$Z382-5200)))),"")))))</f>
        <v/>
      </c>
      <c r="P382" s="40" t="str">
        <f>IF($Z382="","",IF($Z382&lt;=2000,"",IF($Z382&lt;=4000,IF(N(INDEX(周转筐出入库明细!$I$4:$I$2004,$Z382-2000))=0,"",N(INDEX(周转筐出入库明细!$I$4:$I$2004,$Z382-2000))),IF($Z382&lt;=5200,"",IF($Z382&lt;=5800,IF(ISNUMBER(SEARCH("退",INDEX(次果筐明细!$F$4:$F$603,$Z382-5200)&amp;"")),IF(N(INDEX(次果筐明细!$G$4:$G$603,$Z382-5200))=0,"",N(INDEX(次果筐明细!$G$4:$G$603,$Z382-5200))),""),"")))))</f>
        <v/>
      </c>
      <c r="Q382" s="40" t="str">
        <f>IF($Z382="","",IF($Z382&lt;=2000,"",IF($Z382&lt;=4000,IF(N(INDEX(周转筐出入库明细!$H$4:$H$2004,$Z382-2000))=0,"",N(INDEX(周转筐出入库明细!$H$4:$H$2004,$Z382-2000))),IF($Z382&lt;=5200,IF(N(INDEX(客户自备加工筐明细!$F$4:$F$1203,$Z382-4000))=0,"",N(INDEX(客户自备加工筐明细!$F$4:$F$1203,$Z382-4000))),IF($Z382&lt;=5800,"","")))))</f>
        <v/>
      </c>
      <c r="R382" s="16" t="str">
        <f>IF($Z382="","",IF($Z382&lt;=2000,IF(INDEX(包装物料出入库明细!$O$4:$O$2003,$Z382-0)=0,"",INDEX(包装物料出入库明细!$O$4:$O$2003,$Z382-0)),IF($Z382&lt;=4000,IF(INDEX(周转筐出入库明细!$M$4:$M$2004,$Z382-2000)=0,"",INDEX(周转筐出入库明细!$M$4:$M$2004,$Z382-2000)),IF($Z382&lt;=5200,IF(INDEX(客户自备加工筐明细!$H$4:$H$1203,$Z382-4000)=0,"",INDEX(客户自备加工筐明细!$H$4:$H$1203,$Z382-4000)),IF($Z382&lt;=5800,IF(INDEX(次果筐明细!$H$4:$H$603,$Z382-5200)=0,"",INDEX(次果筐明细!$H$4:$H$603,$Z382-5200)),"")))))</f>
        <v/>
      </c>
      <c r="S382" s="22" t="str">
        <f t="shared" si="17"/>
        <v/>
      </c>
      <c r="Z382" s="10" t="str">
        <f>IFERROR(MATCH(ROW()-3,_自动清单!$CQ$4:$CQ$5803,0),"")</f>
        <v/>
      </c>
    </row>
    <row r="383" spans="1:26">
      <c r="A383" s="24" t="str">
        <f t="shared" si="15"/>
        <v/>
      </c>
      <c r="B383" s="38" t="str">
        <f>IF($Z383="","",IF($Z383&lt;=2000,IF(INDEX(包装物料出入库明细!$B$4:$B$2003,$Z383-0)=0,"",INDEX(包装物料出入库明细!$B$4:$B$2003,$Z383-0)),IF($Z383&lt;=4000,IF(INDEX(周转筐出入库明细!$B$4:$B$2004,$Z383-2000)=0,"",INDEX(周转筐出入库明细!$B$4:$B$2004,$Z383-2000)),IF($Z383&lt;=5200,IF(INDEX(客户自备加工筐明细!$B$4:$B$1203,$Z383-4000)=0,"",INDEX(客户自备加工筐明细!$B$4:$B$1203,$Z383-4000)),IF($Z383&lt;=5800,IF(INDEX(次果筐明细!$B$4:$B$603,$Z383-5200)=0,"",INDEX(次果筐明细!$B$4:$B$603,$Z383-5200)),"")))))</f>
        <v/>
      </c>
      <c r="C383" s="37" t="str">
        <f>IF($Z383="","",IF($Z383&lt;=2000,IF(INDEX(包装物料出入库明细!$D$4:$D$2003,$Z383-0)=0,"",INDEX(包装物料出入库明细!$D$4:$D$2003,$Z383-0)),IF($Z383&lt;=4000,IF(INDEX(周转筐出入库明细!$C$4:$C$2004,$Z383-2000)=0,"",INDEX(周转筐出入库明细!$C$4:$C$2004,$Z383-2000)),IF($Z383&lt;=5200,IF(INDEX(客户自备加工筐明细!$E$4:$E$1203,$Z383-4000)=0,"",INDEX(客户自备加工筐明细!$E$4:$E$1203,$Z383-4000)),IF($Z383&lt;=5800,IF(INDEX(次果筐明细!$C$4:$C$603,$Z383-5200)=0,"",INDEX(次果筐明细!$C$4:$C$603,$Z383-5200)),"")))))</f>
        <v/>
      </c>
      <c r="D383" s="37" t="str">
        <f>IF($Z383="","",IF($Z383&lt;=2000,"包装物料－"&amp;INDEX(包装物料出入库明细!$H$4:$H$2003,$Z383-0),IF($Z383&lt;=4000,"周转筐－"&amp;INDEX(周转筐出入库明细!$F$4:$F$2004,$Z383-2000),IF($Z383&lt;=5200,"客户自备筐－"&amp;INDEX(客户自备加工筐明细!$J$4:$J$1203,$Z383-4000),IF($Z383&lt;=5800,"次果筐/托盘－"&amp;INDEX(次果筐明细!$F$4:$F$603,$Z383-5200),"")))))</f>
        <v/>
      </c>
      <c r="E383" s="24" t="str">
        <f>IF($Z383="","",IF($Z383&lt;=2000,IF(INDEX(包装物料出入库明细!$C$4:$C$2003,$Z383-0)=0,"",INDEX(包装物料出入库明细!$C$4:$C$2003,$Z383-0)),IF($Z383&lt;=4000,IF(INDEX(周转筐出入库明细!$E$4:$E$2004,$Z383-2000)=0,"",INDEX(周转筐出入库明细!$E$4:$E$2004,$Z383-2000)),IF($Z383&lt;=5200,IF(INDEX(客户自备加工筐明细!$D$4:$D$1203,$Z383-4000)=0,"",INDEX(客户自备加工筐明细!$D$4:$D$1203,$Z383-4000)),IF($Z383&lt;=5800,IF(INDEX(次果筐明细!$E$4:$E$603,$Z383-5200)=0,"",INDEX(次果筐明细!$E$4:$E$603,$Z383-5200)),"")))))</f>
        <v/>
      </c>
      <c r="F383" s="24" t="str">
        <f>IF($Z383="","",IF($Z383&lt;=2000,IF(INDEX(包装物料出入库明细!$E$4:$E$2003,$Z383-0)=0,"",INDEX(包装物料出入库明细!$E$4:$E$2003,$Z383-0)),IF($Z383&lt;=4000,IF(INDEX(周转筐出入库明细!$D$4:$D$2004,$Z383-2000)=0,"",INDEX(周转筐出入库明细!$D$4:$D$2004,$Z383-2000)),IF($Z383&lt;=5200,IF(INDEX(客户自备加工筐明细!$C$4:$C$1203,$Z383-4000)=0,"",INDEX(客户自备加工筐明细!$C$4:$C$1203,$Z383-4000)),IF($Z383&lt;=5800,IF(INDEX(次果筐明细!$D$4:$D$603,$Z383-5200)=0,"",INDEX(次果筐明细!$D$4:$D$603,$Z383-5200)),"")))))</f>
        <v/>
      </c>
      <c r="G383" s="24" t="str">
        <f>IF($Z383="","",IF($Z383&lt;=2000,IF(INDEX(包装物料出入库明细!$F$4:$F$2003,$Z383-0)=0,"",INDEX(包装物料出入库明细!$F$4:$F$2003,$Z383-0)),IF($Z383&lt;=4000,"",IF($Z383&lt;=5200,"",IF($Z383&lt;=5800,"","")))))</f>
        <v/>
      </c>
      <c r="H383" s="39" t="str">
        <f>IF($Z383="","",IF($Z383&lt;=2000,IF(INDEX(包装物料出入库明细!$L$4:$L$2003,$Z383-0)=0,"",INDEX(包装物料出入库明细!$L$4:$L$2003,$Z383-0)),IF($Z383&lt;=4000,N(INDEX(周转筐出入库明细!$H$4:$H$2004,$Z383-2000))+N(INDEX(周转筐出入库明细!$I$4:$I$2004,$Z383-2000))+N(INDEX(周转筐出入库明细!$J$4:$J$2004,$Z383-2000))+N(INDEX(周转筐出入库明细!$K$4:$K$2004,$Z383-2000)),IF($Z383&lt;=5200,N(INDEX(客户自备加工筐明细!$F$4:$F$1203,$Z383-4000))+N(INDEX(客户自备加工筐明细!$G$4:$G$1203,$Z383-4000)),IF($Z383&lt;=5800,IF(INDEX(次果筐明细!$G$4:$G$603,$Z383-5200)=0,"",INDEX(次果筐明细!$G$4:$G$603,$Z383-5200)),"")))))</f>
        <v/>
      </c>
      <c r="I383" s="24" t="str">
        <f>IF($Z383="","",IF($Z383&lt;=2000,IF(INDEX(包装物料出入库明细!$G$4:$G$2003,$Z383-0)=0,"",INDEX(包装物料出入库明细!$G$4:$G$2003,$Z383-0)),IF($Z383&lt;=4000,"个",IF($Z383&lt;=5200,"个",IF($Z383&lt;=5800,"个","")))))</f>
        <v/>
      </c>
      <c r="J383" s="30" t="str">
        <f t="shared" si="16"/>
        <v/>
      </c>
      <c r="K383" s="30" t="str">
        <f>IF($Z383="","",IF($Z383&lt;=2000,IF(INDEX(包装物料出入库明细!$N$4:$N$2003,$Z383-0)=0,"",INDEX(包装物料出入库明细!$N$4:$N$2003,$Z383-0)),IF($Z383&lt;=4000,IF(INDEX(周转筐出入库明细!$P$4:$P$2004,$Z383-2000)=0,"",INDEX(周转筐出入库明细!$P$4:$P$2004,$Z383-2000)),IF($Z383&lt;=5200,"",IF($Z383&lt;=5800,N(INDEX(次果筐明细!$L$4:$L$603,$Z383-5200))+N(INDEX(次果筐明细!$J$4:$J$603,$Z383-5200)),"")))))</f>
        <v/>
      </c>
      <c r="L383" s="24" t="str">
        <f>IF($Z383="","",IF($Z383&lt;=2000,IF(INDEX(包装物料出入库明细!$P$4:$P$2003,$Z383-0)=0,"",INDEX(包装物料出入库明细!$P$4:$P$2003,$Z383-0)),IF($Z383&lt;=4000,IF(INDEX(周转筐出入库明细!$Q$4:$Q$2004,$Z383-2000)=0,"",INDEX(周转筐出入库明细!$Q$4:$Q$2004,$Z383-2000)),IF($Z383&lt;=5200,"",IF($Z383&lt;=5800,IF(INDEX(次果筐明细!$M$4:$M$603,$Z383-5200)=0,"",INDEX(次果筐明细!$M$4:$M$603,$Z383-5200)),"")))))</f>
        <v/>
      </c>
      <c r="M383" s="37" t="str">
        <f>IF($Z383="","",IF($Z383&lt;=2000,IF(INDEX(包装物料出入库明细!$R$4:$R$2003,$Z383-0)=0,"",INDEX(包装物料出入库明细!$R$4:$R$2003,$Z383-0)),IF($Z383&lt;=4000,IF(INDEX(周转筐出入库明细!$W$4:$W$2004,$Z383-2000)=0,"",INDEX(周转筐出入库明细!$W$4:$W$2004,$Z383-2000)),IF($Z383&lt;=5200,IF(INDEX(客户自备加工筐明细!$L$4:$L$1203,$Z383-4000)=0,"",INDEX(客户自备加工筐明细!$L$4:$L$1203,$Z383-4000)),IF($Z383&lt;=5800,IF(INDEX(次果筐明细!$P$4:$P$603,$Z383-5200)=0,"",INDEX(次果筐明细!$P$4:$P$603,$Z383-5200)),"")))))</f>
        <v/>
      </c>
      <c r="N383" s="16" t="str">
        <f>IF($Z383="","",IF($Z383&lt;=2000,"",IF($Z383&lt;=4000,IF(INDEX(周转筐出入库明细!$D$4:$D$2004,$Z383-2000)=0,"",INDEX(周转筐出入库明细!$D$4:$D$2004,$Z383-2000)),IF($Z383&lt;=5200,IF(INDEX(客户自备加工筐明细!$C$4:$C$1203,$Z383-4000)=0,"",INDEX(客户自备加工筐明细!$C$4:$C$1203,$Z383-4000)),IF($Z383&lt;=5800,IF(INDEX(次果筐明细!$D$4:$D$603,$Z383-5200)=0,"",INDEX(次果筐明细!$D$4:$D$603,$Z383-5200)),"")))))</f>
        <v/>
      </c>
      <c r="O383" s="40" t="str">
        <f>IF($Z383="","",IF($Z383&lt;=2000,"",IF($Z383&lt;=4000,IF(N(INDEX(周转筐出入库明细!$J$4:$J$2004,$Z383-2000))+N(INDEX(周转筐出入库明细!$K$4:$K$2004,$Z383-2000))=0,"",N(INDEX(周转筐出入库明细!$J$4:$J$2004,$Z383-2000))+N(INDEX(周转筐出入库明细!$K$4:$K$2004,$Z383-2000))),IF($Z383&lt;=5200,IF(N(INDEX(客户自备加工筐明细!$G$4:$G$1203,$Z383-4000))=0,"",N(INDEX(客户自备加工筐明细!$G$4:$G$1203,$Z383-4000))),IF($Z383&lt;=5800,IF(ISNUMBER(SEARCH("退",INDEX(次果筐明细!$F$4:$F$603,$Z383-5200)&amp;"")),"",IF(N(INDEX(次果筐明细!$G$4:$G$603,$Z383-5200))=0,"",N(INDEX(次果筐明细!$G$4:$G$603,$Z383-5200)))),"")))))</f>
        <v/>
      </c>
      <c r="P383" s="40" t="str">
        <f>IF($Z383="","",IF($Z383&lt;=2000,"",IF($Z383&lt;=4000,IF(N(INDEX(周转筐出入库明细!$I$4:$I$2004,$Z383-2000))=0,"",N(INDEX(周转筐出入库明细!$I$4:$I$2004,$Z383-2000))),IF($Z383&lt;=5200,"",IF($Z383&lt;=5800,IF(ISNUMBER(SEARCH("退",INDEX(次果筐明细!$F$4:$F$603,$Z383-5200)&amp;"")),IF(N(INDEX(次果筐明细!$G$4:$G$603,$Z383-5200))=0,"",N(INDEX(次果筐明细!$G$4:$G$603,$Z383-5200))),""),"")))))</f>
        <v/>
      </c>
      <c r="Q383" s="40" t="str">
        <f>IF($Z383="","",IF($Z383&lt;=2000,"",IF($Z383&lt;=4000,IF(N(INDEX(周转筐出入库明细!$H$4:$H$2004,$Z383-2000))=0,"",N(INDEX(周转筐出入库明细!$H$4:$H$2004,$Z383-2000))),IF($Z383&lt;=5200,IF(N(INDEX(客户自备加工筐明细!$F$4:$F$1203,$Z383-4000))=0,"",N(INDEX(客户自备加工筐明细!$F$4:$F$1203,$Z383-4000))),IF($Z383&lt;=5800,"","")))))</f>
        <v/>
      </c>
      <c r="R383" s="16" t="str">
        <f>IF($Z383="","",IF($Z383&lt;=2000,IF(INDEX(包装物料出入库明细!$O$4:$O$2003,$Z383-0)=0,"",INDEX(包装物料出入库明细!$O$4:$O$2003,$Z383-0)),IF($Z383&lt;=4000,IF(INDEX(周转筐出入库明细!$M$4:$M$2004,$Z383-2000)=0,"",INDEX(周转筐出入库明细!$M$4:$M$2004,$Z383-2000)),IF($Z383&lt;=5200,IF(INDEX(客户自备加工筐明细!$H$4:$H$1203,$Z383-4000)=0,"",INDEX(客户自备加工筐明细!$H$4:$H$1203,$Z383-4000)),IF($Z383&lt;=5800,IF(INDEX(次果筐明细!$H$4:$H$603,$Z383-5200)=0,"",INDEX(次果筐明细!$H$4:$H$603,$Z383-5200)),"")))))</f>
        <v/>
      </c>
      <c r="S383" s="22" t="str">
        <f t="shared" si="17"/>
        <v/>
      </c>
      <c r="Z383" s="10" t="str">
        <f>IFERROR(MATCH(ROW()-3,_自动清单!$CQ$4:$CQ$5803,0),"")</f>
        <v/>
      </c>
    </row>
    <row r="384" spans="1:26">
      <c r="A384" s="24" t="str">
        <f t="shared" si="15"/>
        <v/>
      </c>
      <c r="B384" s="38" t="str">
        <f>IF($Z384="","",IF($Z384&lt;=2000,IF(INDEX(包装物料出入库明细!$B$4:$B$2003,$Z384-0)=0,"",INDEX(包装物料出入库明细!$B$4:$B$2003,$Z384-0)),IF($Z384&lt;=4000,IF(INDEX(周转筐出入库明细!$B$4:$B$2004,$Z384-2000)=0,"",INDEX(周转筐出入库明细!$B$4:$B$2004,$Z384-2000)),IF($Z384&lt;=5200,IF(INDEX(客户自备加工筐明细!$B$4:$B$1203,$Z384-4000)=0,"",INDEX(客户自备加工筐明细!$B$4:$B$1203,$Z384-4000)),IF($Z384&lt;=5800,IF(INDEX(次果筐明细!$B$4:$B$603,$Z384-5200)=0,"",INDEX(次果筐明细!$B$4:$B$603,$Z384-5200)),"")))))</f>
        <v/>
      </c>
      <c r="C384" s="37" t="str">
        <f>IF($Z384="","",IF($Z384&lt;=2000,IF(INDEX(包装物料出入库明细!$D$4:$D$2003,$Z384-0)=0,"",INDEX(包装物料出入库明细!$D$4:$D$2003,$Z384-0)),IF($Z384&lt;=4000,IF(INDEX(周转筐出入库明细!$C$4:$C$2004,$Z384-2000)=0,"",INDEX(周转筐出入库明细!$C$4:$C$2004,$Z384-2000)),IF($Z384&lt;=5200,IF(INDEX(客户自备加工筐明细!$E$4:$E$1203,$Z384-4000)=0,"",INDEX(客户自备加工筐明细!$E$4:$E$1203,$Z384-4000)),IF($Z384&lt;=5800,IF(INDEX(次果筐明细!$C$4:$C$603,$Z384-5200)=0,"",INDEX(次果筐明细!$C$4:$C$603,$Z384-5200)),"")))))</f>
        <v/>
      </c>
      <c r="D384" s="37" t="str">
        <f>IF($Z384="","",IF($Z384&lt;=2000,"包装物料－"&amp;INDEX(包装物料出入库明细!$H$4:$H$2003,$Z384-0),IF($Z384&lt;=4000,"周转筐－"&amp;INDEX(周转筐出入库明细!$F$4:$F$2004,$Z384-2000),IF($Z384&lt;=5200,"客户自备筐－"&amp;INDEX(客户自备加工筐明细!$J$4:$J$1203,$Z384-4000),IF($Z384&lt;=5800,"次果筐/托盘－"&amp;INDEX(次果筐明细!$F$4:$F$603,$Z384-5200),"")))))</f>
        <v/>
      </c>
      <c r="E384" s="24" t="str">
        <f>IF($Z384="","",IF($Z384&lt;=2000,IF(INDEX(包装物料出入库明细!$C$4:$C$2003,$Z384-0)=0,"",INDEX(包装物料出入库明细!$C$4:$C$2003,$Z384-0)),IF($Z384&lt;=4000,IF(INDEX(周转筐出入库明细!$E$4:$E$2004,$Z384-2000)=0,"",INDEX(周转筐出入库明细!$E$4:$E$2004,$Z384-2000)),IF($Z384&lt;=5200,IF(INDEX(客户自备加工筐明细!$D$4:$D$1203,$Z384-4000)=0,"",INDEX(客户自备加工筐明细!$D$4:$D$1203,$Z384-4000)),IF($Z384&lt;=5800,IF(INDEX(次果筐明细!$E$4:$E$603,$Z384-5200)=0,"",INDEX(次果筐明细!$E$4:$E$603,$Z384-5200)),"")))))</f>
        <v/>
      </c>
      <c r="F384" s="24" t="str">
        <f>IF($Z384="","",IF($Z384&lt;=2000,IF(INDEX(包装物料出入库明细!$E$4:$E$2003,$Z384-0)=0,"",INDEX(包装物料出入库明细!$E$4:$E$2003,$Z384-0)),IF($Z384&lt;=4000,IF(INDEX(周转筐出入库明细!$D$4:$D$2004,$Z384-2000)=0,"",INDEX(周转筐出入库明细!$D$4:$D$2004,$Z384-2000)),IF($Z384&lt;=5200,IF(INDEX(客户自备加工筐明细!$C$4:$C$1203,$Z384-4000)=0,"",INDEX(客户自备加工筐明细!$C$4:$C$1203,$Z384-4000)),IF($Z384&lt;=5800,IF(INDEX(次果筐明细!$D$4:$D$603,$Z384-5200)=0,"",INDEX(次果筐明细!$D$4:$D$603,$Z384-5200)),"")))))</f>
        <v/>
      </c>
      <c r="G384" s="24" t="str">
        <f>IF($Z384="","",IF($Z384&lt;=2000,IF(INDEX(包装物料出入库明细!$F$4:$F$2003,$Z384-0)=0,"",INDEX(包装物料出入库明细!$F$4:$F$2003,$Z384-0)),IF($Z384&lt;=4000,"",IF($Z384&lt;=5200,"",IF($Z384&lt;=5800,"","")))))</f>
        <v/>
      </c>
      <c r="H384" s="39" t="str">
        <f>IF($Z384="","",IF($Z384&lt;=2000,IF(INDEX(包装物料出入库明细!$L$4:$L$2003,$Z384-0)=0,"",INDEX(包装物料出入库明细!$L$4:$L$2003,$Z384-0)),IF($Z384&lt;=4000,N(INDEX(周转筐出入库明细!$H$4:$H$2004,$Z384-2000))+N(INDEX(周转筐出入库明细!$I$4:$I$2004,$Z384-2000))+N(INDEX(周转筐出入库明细!$J$4:$J$2004,$Z384-2000))+N(INDEX(周转筐出入库明细!$K$4:$K$2004,$Z384-2000)),IF($Z384&lt;=5200,N(INDEX(客户自备加工筐明细!$F$4:$F$1203,$Z384-4000))+N(INDEX(客户自备加工筐明细!$G$4:$G$1203,$Z384-4000)),IF($Z384&lt;=5800,IF(INDEX(次果筐明细!$G$4:$G$603,$Z384-5200)=0,"",INDEX(次果筐明细!$G$4:$G$603,$Z384-5200)),"")))))</f>
        <v/>
      </c>
      <c r="I384" s="24" t="str">
        <f>IF($Z384="","",IF($Z384&lt;=2000,IF(INDEX(包装物料出入库明细!$G$4:$G$2003,$Z384-0)=0,"",INDEX(包装物料出入库明细!$G$4:$G$2003,$Z384-0)),IF($Z384&lt;=4000,"个",IF($Z384&lt;=5200,"个",IF($Z384&lt;=5800,"个","")))))</f>
        <v/>
      </c>
      <c r="J384" s="30" t="str">
        <f t="shared" si="16"/>
        <v/>
      </c>
      <c r="K384" s="30" t="str">
        <f>IF($Z384="","",IF($Z384&lt;=2000,IF(INDEX(包装物料出入库明细!$N$4:$N$2003,$Z384-0)=0,"",INDEX(包装物料出入库明细!$N$4:$N$2003,$Z384-0)),IF($Z384&lt;=4000,IF(INDEX(周转筐出入库明细!$P$4:$P$2004,$Z384-2000)=0,"",INDEX(周转筐出入库明细!$P$4:$P$2004,$Z384-2000)),IF($Z384&lt;=5200,"",IF($Z384&lt;=5800,N(INDEX(次果筐明细!$L$4:$L$603,$Z384-5200))+N(INDEX(次果筐明细!$J$4:$J$603,$Z384-5200)),"")))))</f>
        <v/>
      </c>
      <c r="L384" s="24" t="str">
        <f>IF($Z384="","",IF($Z384&lt;=2000,IF(INDEX(包装物料出入库明细!$P$4:$P$2003,$Z384-0)=0,"",INDEX(包装物料出入库明细!$P$4:$P$2003,$Z384-0)),IF($Z384&lt;=4000,IF(INDEX(周转筐出入库明细!$Q$4:$Q$2004,$Z384-2000)=0,"",INDEX(周转筐出入库明细!$Q$4:$Q$2004,$Z384-2000)),IF($Z384&lt;=5200,"",IF($Z384&lt;=5800,IF(INDEX(次果筐明细!$M$4:$M$603,$Z384-5200)=0,"",INDEX(次果筐明细!$M$4:$M$603,$Z384-5200)),"")))))</f>
        <v/>
      </c>
      <c r="M384" s="37" t="str">
        <f>IF($Z384="","",IF($Z384&lt;=2000,IF(INDEX(包装物料出入库明细!$R$4:$R$2003,$Z384-0)=0,"",INDEX(包装物料出入库明细!$R$4:$R$2003,$Z384-0)),IF($Z384&lt;=4000,IF(INDEX(周转筐出入库明细!$W$4:$W$2004,$Z384-2000)=0,"",INDEX(周转筐出入库明细!$W$4:$W$2004,$Z384-2000)),IF($Z384&lt;=5200,IF(INDEX(客户自备加工筐明细!$L$4:$L$1203,$Z384-4000)=0,"",INDEX(客户自备加工筐明细!$L$4:$L$1203,$Z384-4000)),IF($Z384&lt;=5800,IF(INDEX(次果筐明细!$P$4:$P$603,$Z384-5200)=0,"",INDEX(次果筐明细!$P$4:$P$603,$Z384-5200)),"")))))</f>
        <v/>
      </c>
      <c r="N384" s="16" t="str">
        <f>IF($Z384="","",IF($Z384&lt;=2000,"",IF($Z384&lt;=4000,IF(INDEX(周转筐出入库明细!$D$4:$D$2004,$Z384-2000)=0,"",INDEX(周转筐出入库明细!$D$4:$D$2004,$Z384-2000)),IF($Z384&lt;=5200,IF(INDEX(客户自备加工筐明细!$C$4:$C$1203,$Z384-4000)=0,"",INDEX(客户自备加工筐明细!$C$4:$C$1203,$Z384-4000)),IF($Z384&lt;=5800,IF(INDEX(次果筐明细!$D$4:$D$603,$Z384-5200)=0,"",INDEX(次果筐明细!$D$4:$D$603,$Z384-5200)),"")))))</f>
        <v/>
      </c>
      <c r="O384" s="40" t="str">
        <f>IF($Z384="","",IF($Z384&lt;=2000,"",IF($Z384&lt;=4000,IF(N(INDEX(周转筐出入库明细!$J$4:$J$2004,$Z384-2000))+N(INDEX(周转筐出入库明细!$K$4:$K$2004,$Z384-2000))=0,"",N(INDEX(周转筐出入库明细!$J$4:$J$2004,$Z384-2000))+N(INDEX(周转筐出入库明细!$K$4:$K$2004,$Z384-2000))),IF($Z384&lt;=5200,IF(N(INDEX(客户自备加工筐明细!$G$4:$G$1203,$Z384-4000))=0,"",N(INDEX(客户自备加工筐明细!$G$4:$G$1203,$Z384-4000))),IF($Z384&lt;=5800,IF(ISNUMBER(SEARCH("退",INDEX(次果筐明细!$F$4:$F$603,$Z384-5200)&amp;"")),"",IF(N(INDEX(次果筐明细!$G$4:$G$603,$Z384-5200))=0,"",N(INDEX(次果筐明细!$G$4:$G$603,$Z384-5200)))),"")))))</f>
        <v/>
      </c>
      <c r="P384" s="40" t="str">
        <f>IF($Z384="","",IF($Z384&lt;=2000,"",IF($Z384&lt;=4000,IF(N(INDEX(周转筐出入库明细!$I$4:$I$2004,$Z384-2000))=0,"",N(INDEX(周转筐出入库明细!$I$4:$I$2004,$Z384-2000))),IF($Z384&lt;=5200,"",IF($Z384&lt;=5800,IF(ISNUMBER(SEARCH("退",INDEX(次果筐明细!$F$4:$F$603,$Z384-5200)&amp;"")),IF(N(INDEX(次果筐明细!$G$4:$G$603,$Z384-5200))=0,"",N(INDEX(次果筐明细!$G$4:$G$603,$Z384-5200))),""),"")))))</f>
        <v/>
      </c>
      <c r="Q384" s="40" t="str">
        <f>IF($Z384="","",IF($Z384&lt;=2000,"",IF($Z384&lt;=4000,IF(N(INDEX(周转筐出入库明细!$H$4:$H$2004,$Z384-2000))=0,"",N(INDEX(周转筐出入库明细!$H$4:$H$2004,$Z384-2000))),IF($Z384&lt;=5200,IF(N(INDEX(客户自备加工筐明细!$F$4:$F$1203,$Z384-4000))=0,"",N(INDEX(客户自备加工筐明细!$F$4:$F$1203,$Z384-4000))),IF($Z384&lt;=5800,"","")))))</f>
        <v/>
      </c>
      <c r="R384" s="16" t="str">
        <f>IF($Z384="","",IF($Z384&lt;=2000,IF(INDEX(包装物料出入库明细!$O$4:$O$2003,$Z384-0)=0,"",INDEX(包装物料出入库明细!$O$4:$O$2003,$Z384-0)),IF($Z384&lt;=4000,IF(INDEX(周转筐出入库明细!$M$4:$M$2004,$Z384-2000)=0,"",INDEX(周转筐出入库明细!$M$4:$M$2004,$Z384-2000)),IF($Z384&lt;=5200,IF(INDEX(客户自备加工筐明细!$H$4:$H$1203,$Z384-4000)=0,"",INDEX(客户自备加工筐明细!$H$4:$H$1203,$Z384-4000)),IF($Z384&lt;=5800,IF(INDEX(次果筐明细!$H$4:$H$603,$Z384-5200)=0,"",INDEX(次果筐明细!$H$4:$H$603,$Z384-5200)),"")))))</f>
        <v/>
      </c>
      <c r="S384" s="22" t="str">
        <f t="shared" si="17"/>
        <v/>
      </c>
      <c r="Z384" s="10" t="str">
        <f>IFERROR(MATCH(ROW()-3,_自动清单!$CQ$4:$CQ$5803,0),"")</f>
        <v/>
      </c>
    </row>
    <row r="385" spans="1:26">
      <c r="A385" s="24" t="str">
        <f t="shared" si="15"/>
        <v/>
      </c>
      <c r="B385" s="38" t="str">
        <f>IF($Z385="","",IF($Z385&lt;=2000,IF(INDEX(包装物料出入库明细!$B$4:$B$2003,$Z385-0)=0,"",INDEX(包装物料出入库明细!$B$4:$B$2003,$Z385-0)),IF($Z385&lt;=4000,IF(INDEX(周转筐出入库明细!$B$4:$B$2004,$Z385-2000)=0,"",INDEX(周转筐出入库明细!$B$4:$B$2004,$Z385-2000)),IF($Z385&lt;=5200,IF(INDEX(客户自备加工筐明细!$B$4:$B$1203,$Z385-4000)=0,"",INDEX(客户自备加工筐明细!$B$4:$B$1203,$Z385-4000)),IF($Z385&lt;=5800,IF(INDEX(次果筐明细!$B$4:$B$603,$Z385-5200)=0,"",INDEX(次果筐明细!$B$4:$B$603,$Z385-5200)),"")))))</f>
        <v/>
      </c>
      <c r="C385" s="37" t="str">
        <f>IF($Z385="","",IF($Z385&lt;=2000,IF(INDEX(包装物料出入库明细!$D$4:$D$2003,$Z385-0)=0,"",INDEX(包装物料出入库明细!$D$4:$D$2003,$Z385-0)),IF($Z385&lt;=4000,IF(INDEX(周转筐出入库明细!$C$4:$C$2004,$Z385-2000)=0,"",INDEX(周转筐出入库明细!$C$4:$C$2004,$Z385-2000)),IF($Z385&lt;=5200,IF(INDEX(客户自备加工筐明细!$E$4:$E$1203,$Z385-4000)=0,"",INDEX(客户自备加工筐明细!$E$4:$E$1203,$Z385-4000)),IF($Z385&lt;=5800,IF(INDEX(次果筐明细!$C$4:$C$603,$Z385-5200)=0,"",INDEX(次果筐明细!$C$4:$C$603,$Z385-5200)),"")))))</f>
        <v/>
      </c>
      <c r="D385" s="37" t="str">
        <f>IF($Z385="","",IF($Z385&lt;=2000,"包装物料－"&amp;INDEX(包装物料出入库明细!$H$4:$H$2003,$Z385-0),IF($Z385&lt;=4000,"周转筐－"&amp;INDEX(周转筐出入库明细!$F$4:$F$2004,$Z385-2000),IF($Z385&lt;=5200,"客户自备筐－"&amp;INDEX(客户自备加工筐明细!$J$4:$J$1203,$Z385-4000),IF($Z385&lt;=5800,"次果筐/托盘－"&amp;INDEX(次果筐明细!$F$4:$F$603,$Z385-5200),"")))))</f>
        <v/>
      </c>
      <c r="E385" s="24" t="str">
        <f>IF($Z385="","",IF($Z385&lt;=2000,IF(INDEX(包装物料出入库明细!$C$4:$C$2003,$Z385-0)=0,"",INDEX(包装物料出入库明细!$C$4:$C$2003,$Z385-0)),IF($Z385&lt;=4000,IF(INDEX(周转筐出入库明细!$E$4:$E$2004,$Z385-2000)=0,"",INDEX(周转筐出入库明细!$E$4:$E$2004,$Z385-2000)),IF($Z385&lt;=5200,IF(INDEX(客户自备加工筐明细!$D$4:$D$1203,$Z385-4000)=0,"",INDEX(客户自备加工筐明细!$D$4:$D$1203,$Z385-4000)),IF($Z385&lt;=5800,IF(INDEX(次果筐明细!$E$4:$E$603,$Z385-5200)=0,"",INDEX(次果筐明细!$E$4:$E$603,$Z385-5200)),"")))))</f>
        <v/>
      </c>
      <c r="F385" s="24" t="str">
        <f>IF($Z385="","",IF($Z385&lt;=2000,IF(INDEX(包装物料出入库明细!$E$4:$E$2003,$Z385-0)=0,"",INDEX(包装物料出入库明细!$E$4:$E$2003,$Z385-0)),IF($Z385&lt;=4000,IF(INDEX(周转筐出入库明细!$D$4:$D$2004,$Z385-2000)=0,"",INDEX(周转筐出入库明细!$D$4:$D$2004,$Z385-2000)),IF($Z385&lt;=5200,IF(INDEX(客户自备加工筐明细!$C$4:$C$1203,$Z385-4000)=0,"",INDEX(客户自备加工筐明细!$C$4:$C$1203,$Z385-4000)),IF($Z385&lt;=5800,IF(INDEX(次果筐明细!$D$4:$D$603,$Z385-5200)=0,"",INDEX(次果筐明细!$D$4:$D$603,$Z385-5200)),"")))))</f>
        <v/>
      </c>
      <c r="G385" s="24" t="str">
        <f>IF($Z385="","",IF($Z385&lt;=2000,IF(INDEX(包装物料出入库明细!$F$4:$F$2003,$Z385-0)=0,"",INDEX(包装物料出入库明细!$F$4:$F$2003,$Z385-0)),IF($Z385&lt;=4000,"",IF($Z385&lt;=5200,"",IF($Z385&lt;=5800,"","")))))</f>
        <v/>
      </c>
      <c r="H385" s="39" t="str">
        <f>IF($Z385="","",IF($Z385&lt;=2000,IF(INDEX(包装物料出入库明细!$L$4:$L$2003,$Z385-0)=0,"",INDEX(包装物料出入库明细!$L$4:$L$2003,$Z385-0)),IF($Z385&lt;=4000,N(INDEX(周转筐出入库明细!$H$4:$H$2004,$Z385-2000))+N(INDEX(周转筐出入库明细!$I$4:$I$2004,$Z385-2000))+N(INDEX(周转筐出入库明细!$J$4:$J$2004,$Z385-2000))+N(INDEX(周转筐出入库明细!$K$4:$K$2004,$Z385-2000)),IF($Z385&lt;=5200,N(INDEX(客户自备加工筐明细!$F$4:$F$1203,$Z385-4000))+N(INDEX(客户自备加工筐明细!$G$4:$G$1203,$Z385-4000)),IF($Z385&lt;=5800,IF(INDEX(次果筐明细!$G$4:$G$603,$Z385-5200)=0,"",INDEX(次果筐明细!$G$4:$G$603,$Z385-5200)),"")))))</f>
        <v/>
      </c>
      <c r="I385" s="24" t="str">
        <f>IF($Z385="","",IF($Z385&lt;=2000,IF(INDEX(包装物料出入库明细!$G$4:$G$2003,$Z385-0)=0,"",INDEX(包装物料出入库明细!$G$4:$G$2003,$Z385-0)),IF($Z385&lt;=4000,"个",IF($Z385&lt;=5200,"个",IF($Z385&lt;=5800,"个","")))))</f>
        <v/>
      </c>
      <c r="J385" s="30" t="str">
        <f t="shared" si="16"/>
        <v/>
      </c>
      <c r="K385" s="30" t="str">
        <f>IF($Z385="","",IF($Z385&lt;=2000,IF(INDEX(包装物料出入库明细!$N$4:$N$2003,$Z385-0)=0,"",INDEX(包装物料出入库明细!$N$4:$N$2003,$Z385-0)),IF($Z385&lt;=4000,IF(INDEX(周转筐出入库明细!$P$4:$P$2004,$Z385-2000)=0,"",INDEX(周转筐出入库明细!$P$4:$P$2004,$Z385-2000)),IF($Z385&lt;=5200,"",IF($Z385&lt;=5800,N(INDEX(次果筐明细!$L$4:$L$603,$Z385-5200))+N(INDEX(次果筐明细!$J$4:$J$603,$Z385-5200)),"")))))</f>
        <v/>
      </c>
      <c r="L385" s="24" t="str">
        <f>IF($Z385="","",IF($Z385&lt;=2000,IF(INDEX(包装物料出入库明细!$P$4:$P$2003,$Z385-0)=0,"",INDEX(包装物料出入库明细!$P$4:$P$2003,$Z385-0)),IF($Z385&lt;=4000,IF(INDEX(周转筐出入库明细!$Q$4:$Q$2004,$Z385-2000)=0,"",INDEX(周转筐出入库明细!$Q$4:$Q$2004,$Z385-2000)),IF($Z385&lt;=5200,"",IF($Z385&lt;=5800,IF(INDEX(次果筐明细!$M$4:$M$603,$Z385-5200)=0,"",INDEX(次果筐明细!$M$4:$M$603,$Z385-5200)),"")))))</f>
        <v/>
      </c>
      <c r="M385" s="37" t="str">
        <f>IF($Z385="","",IF($Z385&lt;=2000,IF(INDEX(包装物料出入库明细!$R$4:$R$2003,$Z385-0)=0,"",INDEX(包装物料出入库明细!$R$4:$R$2003,$Z385-0)),IF($Z385&lt;=4000,IF(INDEX(周转筐出入库明细!$W$4:$W$2004,$Z385-2000)=0,"",INDEX(周转筐出入库明细!$W$4:$W$2004,$Z385-2000)),IF($Z385&lt;=5200,IF(INDEX(客户自备加工筐明细!$L$4:$L$1203,$Z385-4000)=0,"",INDEX(客户自备加工筐明细!$L$4:$L$1203,$Z385-4000)),IF($Z385&lt;=5800,IF(INDEX(次果筐明细!$P$4:$P$603,$Z385-5200)=0,"",INDEX(次果筐明细!$P$4:$P$603,$Z385-5200)),"")))))</f>
        <v/>
      </c>
      <c r="N385" s="16" t="str">
        <f>IF($Z385="","",IF($Z385&lt;=2000,"",IF($Z385&lt;=4000,IF(INDEX(周转筐出入库明细!$D$4:$D$2004,$Z385-2000)=0,"",INDEX(周转筐出入库明细!$D$4:$D$2004,$Z385-2000)),IF($Z385&lt;=5200,IF(INDEX(客户自备加工筐明细!$C$4:$C$1203,$Z385-4000)=0,"",INDEX(客户自备加工筐明细!$C$4:$C$1203,$Z385-4000)),IF($Z385&lt;=5800,IF(INDEX(次果筐明细!$D$4:$D$603,$Z385-5200)=0,"",INDEX(次果筐明细!$D$4:$D$603,$Z385-5200)),"")))))</f>
        <v/>
      </c>
      <c r="O385" s="40" t="str">
        <f>IF($Z385="","",IF($Z385&lt;=2000,"",IF($Z385&lt;=4000,IF(N(INDEX(周转筐出入库明细!$J$4:$J$2004,$Z385-2000))+N(INDEX(周转筐出入库明细!$K$4:$K$2004,$Z385-2000))=0,"",N(INDEX(周转筐出入库明细!$J$4:$J$2004,$Z385-2000))+N(INDEX(周转筐出入库明细!$K$4:$K$2004,$Z385-2000))),IF($Z385&lt;=5200,IF(N(INDEX(客户自备加工筐明细!$G$4:$G$1203,$Z385-4000))=0,"",N(INDEX(客户自备加工筐明细!$G$4:$G$1203,$Z385-4000))),IF($Z385&lt;=5800,IF(ISNUMBER(SEARCH("退",INDEX(次果筐明细!$F$4:$F$603,$Z385-5200)&amp;"")),"",IF(N(INDEX(次果筐明细!$G$4:$G$603,$Z385-5200))=0,"",N(INDEX(次果筐明细!$G$4:$G$603,$Z385-5200)))),"")))))</f>
        <v/>
      </c>
      <c r="P385" s="40" t="str">
        <f>IF($Z385="","",IF($Z385&lt;=2000,"",IF($Z385&lt;=4000,IF(N(INDEX(周转筐出入库明细!$I$4:$I$2004,$Z385-2000))=0,"",N(INDEX(周转筐出入库明细!$I$4:$I$2004,$Z385-2000))),IF($Z385&lt;=5200,"",IF($Z385&lt;=5800,IF(ISNUMBER(SEARCH("退",INDEX(次果筐明细!$F$4:$F$603,$Z385-5200)&amp;"")),IF(N(INDEX(次果筐明细!$G$4:$G$603,$Z385-5200))=0,"",N(INDEX(次果筐明细!$G$4:$G$603,$Z385-5200))),""),"")))))</f>
        <v/>
      </c>
      <c r="Q385" s="40" t="str">
        <f>IF($Z385="","",IF($Z385&lt;=2000,"",IF($Z385&lt;=4000,IF(N(INDEX(周转筐出入库明细!$H$4:$H$2004,$Z385-2000))=0,"",N(INDEX(周转筐出入库明细!$H$4:$H$2004,$Z385-2000))),IF($Z385&lt;=5200,IF(N(INDEX(客户自备加工筐明细!$F$4:$F$1203,$Z385-4000))=0,"",N(INDEX(客户自备加工筐明细!$F$4:$F$1203,$Z385-4000))),IF($Z385&lt;=5800,"","")))))</f>
        <v/>
      </c>
      <c r="R385" s="16" t="str">
        <f>IF($Z385="","",IF($Z385&lt;=2000,IF(INDEX(包装物料出入库明细!$O$4:$O$2003,$Z385-0)=0,"",INDEX(包装物料出入库明细!$O$4:$O$2003,$Z385-0)),IF($Z385&lt;=4000,IF(INDEX(周转筐出入库明细!$M$4:$M$2004,$Z385-2000)=0,"",INDEX(周转筐出入库明细!$M$4:$M$2004,$Z385-2000)),IF($Z385&lt;=5200,IF(INDEX(客户自备加工筐明细!$H$4:$H$1203,$Z385-4000)=0,"",INDEX(客户自备加工筐明细!$H$4:$H$1203,$Z385-4000)),IF($Z385&lt;=5800,IF(INDEX(次果筐明细!$H$4:$H$603,$Z385-5200)=0,"",INDEX(次果筐明细!$H$4:$H$603,$Z385-5200)),"")))))</f>
        <v/>
      </c>
      <c r="S385" s="22" t="str">
        <f t="shared" si="17"/>
        <v/>
      </c>
      <c r="Z385" s="10" t="str">
        <f>IFERROR(MATCH(ROW()-3,_自动清单!$CQ$4:$CQ$5803,0),"")</f>
        <v/>
      </c>
    </row>
    <row r="386" spans="1:26">
      <c r="A386" s="24" t="str">
        <f t="shared" si="15"/>
        <v/>
      </c>
      <c r="B386" s="38" t="str">
        <f>IF($Z386="","",IF($Z386&lt;=2000,IF(INDEX(包装物料出入库明细!$B$4:$B$2003,$Z386-0)=0,"",INDEX(包装物料出入库明细!$B$4:$B$2003,$Z386-0)),IF($Z386&lt;=4000,IF(INDEX(周转筐出入库明细!$B$4:$B$2004,$Z386-2000)=0,"",INDEX(周转筐出入库明细!$B$4:$B$2004,$Z386-2000)),IF($Z386&lt;=5200,IF(INDEX(客户自备加工筐明细!$B$4:$B$1203,$Z386-4000)=0,"",INDEX(客户自备加工筐明细!$B$4:$B$1203,$Z386-4000)),IF($Z386&lt;=5800,IF(INDEX(次果筐明细!$B$4:$B$603,$Z386-5200)=0,"",INDEX(次果筐明细!$B$4:$B$603,$Z386-5200)),"")))))</f>
        <v/>
      </c>
      <c r="C386" s="37" t="str">
        <f>IF($Z386="","",IF($Z386&lt;=2000,IF(INDEX(包装物料出入库明细!$D$4:$D$2003,$Z386-0)=0,"",INDEX(包装物料出入库明细!$D$4:$D$2003,$Z386-0)),IF($Z386&lt;=4000,IF(INDEX(周转筐出入库明细!$C$4:$C$2004,$Z386-2000)=0,"",INDEX(周转筐出入库明细!$C$4:$C$2004,$Z386-2000)),IF($Z386&lt;=5200,IF(INDEX(客户自备加工筐明细!$E$4:$E$1203,$Z386-4000)=0,"",INDEX(客户自备加工筐明细!$E$4:$E$1203,$Z386-4000)),IF($Z386&lt;=5800,IF(INDEX(次果筐明细!$C$4:$C$603,$Z386-5200)=0,"",INDEX(次果筐明细!$C$4:$C$603,$Z386-5200)),"")))))</f>
        <v/>
      </c>
      <c r="D386" s="37" t="str">
        <f>IF($Z386="","",IF($Z386&lt;=2000,"包装物料－"&amp;INDEX(包装物料出入库明细!$H$4:$H$2003,$Z386-0),IF($Z386&lt;=4000,"周转筐－"&amp;INDEX(周转筐出入库明细!$F$4:$F$2004,$Z386-2000),IF($Z386&lt;=5200,"客户自备筐－"&amp;INDEX(客户自备加工筐明细!$J$4:$J$1203,$Z386-4000),IF($Z386&lt;=5800,"次果筐/托盘－"&amp;INDEX(次果筐明细!$F$4:$F$603,$Z386-5200),"")))))</f>
        <v/>
      </c>
      <c r="E386" s="24" t="str">
        <f>IF($Z386="","",IF($Z386&lt;=2000,IF(INDEX(包装物料出入库明细!$C$4:$C$2003,$Z386-0)=0,"",INDEX(包装物料出入库明细!$C$4:$C$2003,$Z386-0)),IF($Z386&lt;=4000,IF(INDEX(周转筐出入库明细!$E$4:$E$2004,$Z386-2000)=0,"",INDEX(周转筐出入库明细!$E$4:$E$2004,$Z386-2000)),IF($Z386&lt;=5200,IF(INDEX(客户自备加工筐明细!$D$4:$D$1203,$Z386-4000)=0,"",INDEX(客户自备加工筐明细!$D$4:$D$1203,$Z386-4000)),IF($Z386&lt;=5800,IF(INDEX(次果筐明细!$E$4:$E$603,$Z386-5200)=0,"",INDEX(次果筐明细!$E$4:$E$603,$Z386-5200)),"")))))</f>
        <v/>
      </c>
      <c r="F386" s="24" t="str">
        <f>IF($Z386="","",IF($Z386&lt;=2000,IF(INDEX(包装物料出入库明细!$E$4:$E$2003,$Z386-0)=0,"",INDEX(包装物料出入库明细!$E$4:$E$2003,$Z386-0)),IF($Z386&lt;=4000,IF(INDEX(周转筐出入库明细!$D$4:$D$2004,$Z386-2000)=0,"",INDEX(周转筐出入库明细!$D$4:$D$2004,$Z386-2000)),IF($Z386&lt;=5200,IF(INDEX(客户自备加工筐明细!$C$4:$C$1203,$Z386-4000)=0,"",INDEX(客户自备加工筐明细!$C$4:$C$1203,$Z386-4000)),IF($Z386&lt;=5800,IF(INDEX(次果筐明细!$D$4:$D$603,$Z386-5200)=0,"",INDEX(次果筐明细!$D$4:$D$603,$Z386-5200)),"")))))</f>
        <v/>
      </c>
      <c r="G386" s="24" t="str">
        <f>IF($Z386="","",IF($Z386&lt;=2000,IF(INDEX(包装物料出入库明细!$F$4:$F$2003,$Z386-0)=0,"",INDEX(包装物料出入库明细!$F$4:$F$2003,$Z386-0)),IF($Z386&lt;=4000,"",IF($Z386&lt;=5200,"",IF($Z386&lt;=5800,"","")))))</f>
        <v/>
      </c>
      <c r="H386" s="39" t="str">
        <f>IF($Z386="","",IF($Z386&lt;=2000,IF(INDEX(包装物料出入库明细!$L$4:$L$2003,$Z386-0)=0,"",INDEX(包装物料出入库明细!$L$4:$L$2003,$Z386-0)),IF($Z386&lt;=4000,N(INDEX(周转筐出入库明细!$H$4:$H$2004,$Z386-2000))+N(INDEX(周转筐出入库明细!$I$4:$I$2004,$Z386-2000))+N(INDEX(周转筐出入库明细!$J$4:$J$2004,$Z386-2000))+N(INDEX(周转筐出入库明细!$K$4:$K$2004,$Z386-2000)),IF($Z386&lt;=5200,N(INDEX(客户自备加工筐明细!$F$4:$F$1203,$Z386-4000))+N(INDEX(客户自备加工筐明细!$G$4:$G$1203,$Z386-4000)),IF($Z386&lt;=5800,IF(INDEX(次果筐明细!$G$4:$G$603,$Z386-5200)=0,"",INDEX(次果筐明细!$G$4:$G$603,$Z386-5200)),"")))))</f>
        <v/>
      </c>
      <c r="I386" s="24" t="str">
        <f>IF($Z386="","",IF($Z386&lt;=2000,IF(INDEX(包装物料出入库明细!$G$4:$G$2003,$Z386-0)=0,"",INDEX(包装物料出入库明细!$G$4:$G$2003,$Z386-0)),IF($Z386&lt;=4000,"个",IF($Z386&lt;=5200,"个",IF($Z386&lt;=5800,"个","")))))</f>
        <v/>
      </c>
      <c r="J386" s="30" t="str">
        <f t="shared" si="16"/>
        <v/>
      </c>
      <c r="K386" s="30" t="str">
        <f>IF($Z386="","",IF($Z386&lt;=2000,IF(INDEX(包装物料出入库明细!$N$4:$N$2003,$Z386-0)=0,"",INDEX(包装物料出入库明细!$N$4:$N$2003,$Z386-0)),IF($Z386&lt;=4000,IF(INDEX(周转筐出入库明细!$P$4:$P$2004,$Z386-2000)=0,"",INDEX(周转筐出入库明细!$P$4:$P$2004,$Z386-2000)),IF($Z386&lt;=5200,"",IF($Z386&lt;=5800,N(INDEX(次果筐明细!$L$4:$L$603,$Z386-5200))+N(INDEX(次果筐明细!$J$4:$J$603,$Z386-5200)),"")))))</f>
        <v/>
      </c>
      <c r="L386" s="24" t="str">
        <f>IF($Z386="","",IF($Z386&lt;=2000,IF(INDEX(包装物料出入库明细!$P$4:$P$2003,$Z386-0)=0,"",INDEX(包装物料出入库明细!$P$4:$P$2003,$Z386-0)),IF($Z386&lt;=4000,IF(INDEX(周转筐出入库明细!$Q$4:$Q$2004,$Z386-2000)=0,"",INDEX(周转筐出入库明细!$Q$4:$Q$2004,$Z386-2000)),IF($Z386&lt;=5200,"",IF($Z386&lt;=5800,IF(INDEX(次果筐明细!$M$4:$M$603,$Z386-5200)=0,"",INDEX(次果筐明细!$M$4:$M$603,$Z386-5200)),"")))))</f>
        <v/>
      </c>
      <c r="M386" s="37" t="str">
        <f>IF($Z386="","",IF($Z386&lt;=2000,IF(INDEX(包装物料出入库明细!$R$4:$R$2003,$Z386-0)=0,"",INDEX(包装物料出入库明细!$R$4:$R$2003,$Z386-0)),IF($Z386&lt;=4000,IF(INDEX(周转筐出入库明细!$W$4:$W$2004,$Z386-2000)=0,"",INDEX(周转筐出入库明细!$W$4:$W$2004,$Z386-2000)),IF($Z386&lt;=5200,IF(INDEX(客户自备加工筐明细!$L$4:$L$1203,$Z386-4000)=0,"",INDEX(客户自备加工筐明细!$L$4:$L$1203,$Z386-4000)),IF($Z386&lt;=5800,IF(INDEX(次果筐明细!$P$4:$P$603,$Z386-5200)=0,"",INDEX(次果筐明细!$P$4:$P$603,$Z386-5200)),"")))))</f>
        <v/>
      </c>
      <c r="N386" s="16" t="str">
        <f>IF($Z386="","",IF($Z386&lt;=2000,"",IF($Z386&lt;=4000,IF(INDEX(周转筐出入库明细!$D$4:$D$2004,$Z386-2000)=0,"",INDEX(周转筐出入库明细!$D$4:$D$2004,$Z386-2000)),IF($Z386&lt;=5200,IF(INDEX(客户自备加工筐明细!$C$4:$C$1203,$Z386-4000)=0,"",INDEX(客户自备加工筐明细!$C$4:$C$1203,$Z386-4000)),IF($Z386&lt;=5800,IF(INDEX(次果筐明细!$D$4:$D$603,$Z386-5200)=0,"",INDEX(次果筐明细!$D$4:$D$603,$Z386-5200)),"")))))</f>
        <v/>
      </c>
      <c r="O386" s="40" t="str">
        <f>IF($Z386="","",IF($Z386&lt;=2000,"",IF($Z386&lt;=4000,IF(N(INDEX(周转筐出入库明细!$J$4:$J$2004,$Z386-2000))+N(INDEX(周转筐出入库明细!$K$4:$K$2004,$Z386-2000))=0,"",N(INDEX(周转筐出入库明细!$J$4:$J$2004,$Z386-2000))+N(INDEX(周转筐出入库明细!$K$4:$K$2004,$Z386-2000))),IF($Z386&lt;=5200,IF(N(INDEX(客户自备加工筐明细!$G$4:$G$1203,$Z386-4000))=0,"",N(INDEX(客户自备加工筐明细!$G$4:$G$1203,$Z386-4000))),IF($Z386&lt;=5800,IF(ISNUMBER(SEARCH("退",INDEX(次果筐明细!$F$4:$F$603,$Z386-5200)&amp;"")),"",IF(N(INDEX(次果筐明细!$G$4:$G$603,$Z386-5200))=0,"",N(INDEX(次果筐明细!$G$4:$G$603,$Z386-5200)))),"")))))</f>
        <v/>
      </c>
      <c r="P386" s="40" t="str">
        <f>IF($Z386="","",IF($Z386&lt;=2000,"",IF($Z386&lt;=4000,IF(N(INDEX(周转筐出入库明细!$I$4:$I$2004,$Z386-2000))=0,"",N(INDEX(周转筐出入库明细!$I$4:$I$2004,$Z386-2000))),IF($Z386&lt;=5200,"",IF($Z386&lt;=5800,IF(ISNUMBER(SEARCH("退",INDEX(次果筐明细!$F$4:$F$603,$Z386-5200)&amp;"")),IF(N(INDEX(次果筐明细!$G$4:$G$603,$Z386-5200))=0,"",N(INDEX(次果筐明细!$G$4:$G$603,$Z386-5200))),""),"")))))</f>
        <v/>
      </c>
      <c r="Q386" s="40" t="str">
        <f>IF($Z386="","",IF($Z386&lt;=2000,"",IF($Z386&lt;=4000,IF(N(INDEX(周转筐出入库明细!$H$4:$H$2004,$Z386-2000))=0,"",N(INDEX(周转筐出入库明细!$H$4:$H$2004,$Z386-2000))),IF($Z386&lt;=5200,IF(N(INDEX(客户自备加工筐明细!$F$4:$F$1203,$Z386-4000))=0,"",N(INDEX(客户自备加工筐明细!$F$4:$F$1203,$Z386-4000))),IF($Z386&lt;=5800,"","")))))</f>
        <v/>
      </c>
      <c r="R386" s="16" t="str">
        <f>IF($Z386="","",IF($Z386&lt;=2000,IF(INDEX(包装物料出入库明细!$O$4:$O$2003,$Z386-0)=0,"",INDEX(包装物料出入库明细!$O$4:$O$2003,$Z386-0)),IF($Z386&lt;=4000,IF(INDEX(周转筐出入库明细!$M$4:$M$2004,$Z386-2000)=0,"",INDEX(周转筐出入库明细!$M$4:$M$2004,$Z386-2000)),IF($Z386&lt;=5200,IF(INDEX(客户自备加工筐明细!$H$4:$H$1203,$Z386-4000)=0,"",INDEX(客户自备加工筐明细!$H$4:$H$1203,$Z386-4000)),IF($Z386&lt;=5800,IF(INDEX(次果筐明细!$H$4:$H$603,$Z386-5200)=0,"",INDEX(次果筐明细!$H$4:$H$603,$Z386-5200)),"")))))</f>
        <v/>
      </c>
      <c r="S386" s="22" t="str">
        <f t="shared" si="17"/>
        <v/>
      </c>
      <c r="Z386" s="10" t="str">
        <f>IFERROR(MATCH(ROW()-3,_自动清单!$CQ$4:$CQ$5803,0),"")</f>
        <v/>
      </c>
    </row>
    <row r="387" spans="1:26">
      <c r="A387" s="24" t="str">
        <f t="shared" si="15"/>
        <v/>
      </c>
      <c r="B387" s="38" t="str">
        <f>IF($Z387="","",IF($Z387&lt;=2000,IF(INDEX(包装物料出入库明细!$B$4:$B$2003,$Z387-0)=0,"",INDEX(包装物料出入库明细!$B$4:$B$2003,$Z387-0)),IF($Z387&lt;=4000,IF(INDEX(周转筐出入库明细!$B$4:$B$2004,$Z387-2000)=0,"",INDEX(周转筐出入库明细!$B$4:$B$2004,$Z387-2000)),IF($Z387&lt;=5200,IF(INDEX(客户自备加工筐明细!$B$4:$B$1203,$Z387-4000)=0,"",INDEX(客户自备加工筐明细!$B$4:$B$1203,$Z387-4000)),IF($Z387&lt;=5800,IF(INDEX(次果筐明细!$B$4:$B$603,$Z387-5200)=0,"",INDEX(次果筐明细!$B$4:$B$603,$Z387-5200)),"")))))</f>
        <v/>
      </c>
      <c r="C387" s="37" t="str">
        <f>IF($Z387="","",IF($Z387&lt;=2000,IF(INDEX(包装物料出入库明细!$D$4:$D$2003,$Z387-0)=0,"",INDEX(包装物料出入库明细!$D$4:$D$2003,$Z387-0)),IF($Z387&lt;=4000,IF(INDEX(周转筐出入库明细!$C$4:$C$2004,$Z387-2000)=0,"",INDEX(周转筐出入库明细!$C$4:$C$2004,$Z387-2000)),IF($Z387&lt;=5200,IF(INDEX(客户自备加工筐明细!$E$4:$E$1203,$Z387-4000)=0,"",INDEX(客户自备加工筐明细!$E$4:$E$1203,$Z387-4000)),IF($Z387&lt;=5800,IF(INDEX(次果筐明细!$C$4:$C$603,$Z387-5200)=0,"",INDEX(次果筐明细!$C$4:$C$603,$Z387-5200)),"")))))</f>
        <v/>
      </c>
      <c r="D387" s="37" t="str">
        <f>IF($Z387="","",IF($Z387&lt;=2000,"包装物料－"&amp;INDEX(包装物料出入库明细!$H$4:$H$2003,$Z387-0),IF($Z387&lt;=4000,"周转筐－"&amp;INDEX(周转筐出入库明细!$F$4:$F$2004,$Z387-2000),IF($Z387&lt;=5200,"客户自备筐－"&amp;INDEX(客户自备加工筐明细!$J$4:$J$1203,$Z387-4000),IF($Z387&lt;=5800,"次果筐/托盘－"&amp;INDEX(次果筐明细!$F$4:$F$603,$Z387-5200),"")))))</f>
        <v/>
      </c>
      <c r="E387" s="24" t="str">
        <f>IF($Z387="","",IF($Z387&lt;=2000,IF(INDEX(包装物料出入库明细!$C$4:$C$2003,$Z387-0)=0,"",INDEX(包装物料出入库明细!$C$4:$C$2003,$Z387-0)),IF($Z387&lt;=4000,IF(INDEX(周转筐出入库明细!$E$4:$E$2004,$Z387-2000)=0,"",INDEX(周转筐出入库明细!$E$4:$E$2004,$Z387-2000)),IF($Z387&lt;=5200,IF(INDEX(客户自备加工筐明细!$D$4:$D$1203,$Z387-4000)=0,"",INDEX(客户自备加工筐明细!$D$4:$D$1203,$Z387-4000)),IF($Z387&lt;=5800,IF(INDEX(次果筐明细!$E$4:$E$603,$Z387-5200)=0,"",INDEX(次果筐明细!$E$4:$E$603,$Z387-5200)),"")))))</f>
        <v/>
      </c>
      <c r="F387" s="24" t="str">
        <f>IF($Z387="","",IF($Z387&lt;=2000,IF(INDEX(包装物料出入库明细!$E$4:$E$2003,$Z387-0)=0,"",INDEX(包装物料出入库明细!$E$4:$E$2003,$Z387-0)),IF($Z387&lt;=4000,IF(INDEX(周转筐出入库明细!$D$4:$D$2004,$Z387-2000)=0,"",INDEX(周转筐出入库明细!$D$4:$D$2004,$Z387-2000)),IF($Z387&lt;=5200,IF(INDEX(客户自备加工筐明细!$C$4:$C$1203,$Z387-4000)=0,"",INDEX(客户自备加工筐明细!$C$4:$C$1203,$Z387-4000)),IF($Z387&lt;=5800,IF(INDEX(次果筐明细!$D$4:$D$603,$Z387-5200)=0,"",INDEX(次果筐明细!$D$4:$D$603,$Z387-5200)),"")))))</f>
        <v/>
      </c>
      <c r="G387" s="24" t="str">
        <f>IF($Z387="","",IF($Z387&lt;=2000,IF(INDEX(包装物料出入库明细!$F$4:$F$2003,$Z387-0)=0,"",INDEX(包装物料出入库明细!$F$4:$F$2003,$Z387-0)),IF($Z387&lt;=4000,"",IF($Z387&lt;=5200,"",IF($Z387&lt;=5800,"","")))))</f>
        <v/>
      </c>
      <c r="H387" s="39" t="str">
        <f>IF($Z387="","",IF($Z387&lt;=2000,IF(INDEX(包装物料出入库明细!$L$4:$L$2003,$Z387-0)=0,"",INDEX(包装物料出入库明细!$L$4:$L$2003,$Z387-0)),IF($Z387&lt;=4000,N(INDEX(周转筐出入库明细!$H$4:$H$2004,$Z387-2000))+N(INDEX(周转筐出入库明细!$I$4:$I$2004,$Z387-2000))+N(INDEX(周转筐出入库明细!$J$4:$J$2004,$Z387-2000))+N(INDEX(周转筐出入库明细!$K$4:$K$2004,$Z387-2000)),IF($Z387&lt;=5200,N(INDEX(客户自备加工筐明细!$F$4:$F$1203,$Z387-4000))+N(INDEX(客户自备加工筐明细!$G$4:$G$1203,$Z387-4000)),IF($Z387&lt;=5800,IF(INDEX(次果筐明细!$G$4:$G$603,$Z387-5200)=0,"",INDEX(次果筐明细!$G$4:$G$603,$Z387-5200)),"")))))</f>
        <v/>
      </c>
      <c r="I387" s="24" t="str">
        <f>IF($Z387="","",IF($Z387&lt;=2000,IF(INDEX(包装物料出入库明细!$G$4:$G$2003,$Z387-0)=0,"",INDEX(包装物料出入库明细!$G$4:$G$2003,$Z387-0)),IF($Z387&lt;=4000,"个",IF($Z387&lt;=5200,"个",IF($Z387&lt;=5800,"个","")))))</f>
        <v/>
      </c>
      <c r="J387" s="30" t="str">
        <f t="shared" si="16"/>
        <v/>
      </c>
      <c r="K387" s="30" t="str">
        <f>IF($Z387="","",IF($Z387&lt;=2000,IF(INDEX(包装物料出入库明细!$N$4:$N$2003,$Z387-0)=0,"",INDEX(包装物料出入库明细!$N$4:$N$2003,$Z387-0)),IF($Z387&lt;=4000,IF(INDEX(周转筐出入库明细!$P$4:$P$2004,$Z387-2000)=0,"",INDEX(周转筐出入库明细!$P$4:$P$2004,$Z387-2000)),IF($Z387&lt;=5200,"",IF($Z387&lt;=5800,N(INDEX(次果筐明细!$L$4:$L$603,$Z387-5200))+N(INDEX(次果筐明细!$J$4:$J$603,$Z387-5200)),"")))))</f>
        <v/>
      </c>
      <c r="L387" s="24" t="str">
        <f>IF($Z387="","",IF($Z387&lt;=2000,IF(INDEX(包装物料出入库明细!$P$4:$P$2003,$Z387-0)=0,"",INDEX(包装物料出入库明细!$P$4:$P$2003,$Z387-0)),IF($Z387&lt;=4000,IF(INDEX(周转筐出入库明细!$Q$4:$Q$2004,$Z387-2000)=0,"",INDEX(周转筐出入库明细!$Q$4:$Q$2004,$Z387-2000)),IF($Z387&lt;=5200,"",IF($Z387&lt;=5800,IF(INDEX(次果筐明细!$M$4:$M$603,$Z387-5200)=0,"",INDEX(次果筐明细!$M$4:$M$603,$Z387-5200)),"")))))</f>
        <v/>
      </c>
      <c r="M387" s="37" t="str">
        <f>IF($Z387="","",IF($Z387&lt;=2000,IF(INDEX(包装物料出入库明细!$R$4:$R$2003,$Z387-0)=0,"",INDEX(包装物料出入库明细!$R$4:$R$2003,$Z387-0)),IF($Z387&lt;=4000,IF(INDEX(周转筐出入库明细!$W$4:$W$2004,$Z387-2000)=0,"",INDEX(周转筐出入库明细!$W$4:$W$2004,$Z387-2000)),IF($Z387&lt;=5200,IF(INDEX(客户自备加工筐明细!$L$4:$L$1203,$Z387-4000)=0,"",INDEX(客户自备加工筐明细!$L$4:$L$1203,$Z387-4000)),IF($Z387&lt;=5800,IF(INDEX(次果筐明细!$P$4:$P$603,$Z387-5200)=0,"",INDEX(次果筐明细!$P$4:$P$603,$Z387-5200)),"")))))</f>
        <v/>
      </c>
      <c r="N387" s="16" t="str">
        <f>IF($Z387="","",IF($Z387&lt;=2000,"",IF($Z387&lt;=4000,IF(INDEX(周转筐出入库明细!$D$4:$D$2004,$Z387-2000)=0,"",INDEX(周转筐出入库明细!$D$4:$D$2004,$Z387-2000)),IF($Z387&lt;=5200,IF(INDEX(客户自备加工筐明细!$C$4:$C$1203,$Z387-4000)=0,"",INDEX(客户自备加工筐明细!$C$4:$C$1203,$Z387-4000)),IF($Z387&lt;=5800,IF(INDEX(次果筐明细!$D$4:$D$603,$Z387-5200)=0,"",INDEX(次果筐明细!$D$4:$D$603,$Z387-5200)),"")))))</f>
        <v/>
      </c>
      <c r="O387" s="40" t="str">
        <f>IF($Z387="","",IF($Z387&lt;=2000,"",IF($Z387&lt;=4000,IF(N(INDEX(周转筐出入库明细!$J$4:$J$2004,$Z387-2000))+N(INDEX(周转筐出入库明细!$K$4:$K$2004,$Z387-2000))=0,"",N(INDEX(周转筐出入库明细!$J$4:$J$2004,$Z387-2000))+N(INDEX(周转筐出入库明细!$K$4:$K$2004,$Z387-2000))),IF($Z387&lt;=5200,IF(N(INDEX(客户自备加工筐明细!$G$4:$G$1203,$Z387-4000))=0,"",N(INDEX(客户自备加工筐明细!$G$4:$G$1203,$Z387-4000))),IF($Z387&lt;=5800,IF(ISNUMBER(SEARCH("退",INDEX(次果筐明细!$F$4:$F$603,$Z387-5200)&amp;"")),"",IF(N(INDEX(次果筐明细!$G$4:$G$603,$Z387-5200))=0,"",N(INDEX(次果筐明细!$G$4:$G$603,$Z387-5200)))),"")))))</f>
        <v/>
      </c>
      <c r="P387" s="40" t="str">
        <f>IF($Z387="","",IF($Z387&lt;=2000,"",IF($Z387&lt;=4000,IF(N(INDEX(周转筐出入库明细!$I$4:$I$2004,$Z387-2000))=0,"",N(INDEX(周转筐出入库明细!$I$4:$I$2004,$Z387-2000))),IF($Z387&lt;=5200,"",IF($Z387&lt;=5800,IF(ISNUMBER(SEARCH("退",INDEX(次果筐明细!$F$4:$F$603,$Z387-5200)&amp;"")),IF(N(INDEX(次果筐明细!$G$4:$G$603,$Z387-5200))=0,"",N(INDEX(次果筐明细!$G$4:$G$603,$Z387-5200))),""),"")))))</f>
        <v/>
      </c>
      <c r="Q387" s="40" t="str">
        <f>IF($Z387="","",IF($Z387&lt;=2000,"",IF($Z387&lt;=4000,IF(N(INDEX(周转筐出入库明细!$H$4:$H$2004,$Z387-2000))=0,"",N(INDEX(周转筐出入库明细!$H$4:$H$2004,$Z387-2000))),IF($Z387&lt;=5200,IF(N(INDEX(客户自备加工筐明细!$F$4:$F$1203,$Z387-4000))=0,"",N(INDEX(客户自备加工筐明细!$F$4:$F$1203,$Z387-4000))),IF($Z387&lt;=5800,"","")))))</f>
        <v/>
      </c>
      <c r="R387" s="16" t="str">
        <f>IF($Z387="","",IF($Z387&lt;=2000,IF(INDEX(包装物料出入库明细!$O$4:$O$2003,$Z387-0)=0,"",INDEX(包装物料出入库明细!$O$4:$O$2003,$Z387-0)),IF($Z387&lt;=4000,IF(INDEX(周转筐出入库明细!$M$4:$M$2004,$Z387-2000)=0,"",INDEX(周转筐出入库明细!$M$4:$M$2004,$Z387-2000)),IF($Z387&lt;=5200,IF(INDEX(客户自备加工筐明细!$H$4:$H$1203,$Z387-4000)=0,"",INDEX(客户自备加工筐明细!$H$4:$H$1203,$Z387-4000)),IF($Z387&lt;=5800,IF(INDEX(次果筐明细!$H$4:$H$603,$Z387-5200)=0,"",INDEX(次果筐明细!$H$4:$H$603,$Z387-5200)),"")))))</f>
        <v/>
      </c>
      <c r="S387" s="22" t="str">
        <f t="shared" si="17"/>
        <v/>
      </c>
      <c r="Z387" s="10" t="str">
        <f>IFERROR(MATCH(ROW()-3,_自动清单!$CQ$4:$CQ$5803,0),"")</f>
        <v/>
      </c>
    </row>
    <row r="388" spans="1:26">
      <c r="A388" s="24" t="str">
        <f t="shared" ref="A388:A451" si="18">IF($B388="","",ROW()-3)</f>
        <v/>
      </c>
      <c r="B388" s="38" t="str">
        <f>IF($Z388="","",IF($Z388&lt;=2000,IF(INDEX(包装物料出入库明细!$B$4:$B$2003,$Z388-0)=0,"",INDEX(包装物料出入库明细!$B$4:$B$2003,$Z388-0)),IF($Z388&lt;=4000,IF(INDEX(周转筐出入库明细!$B$4:$B$2004,$Z388-2000)=0,"",INDEX(周转筐出入库明细!$B$4:$B$2004,$Z388-2000)),IF($Z388&lt;=5200,IF(INDEX(客户自备加工筐明细!$B$4:$B$1203,$Z388-4000)=0,"",INDEX(客户自备加工筐明细!$B$4:$B$1203,$Z388-4000)),IF($Z388&lt;=5800,IF(INDEX(次果筐明细!$B$4:$B$603,$Z388-5200)=0,"",INDEX(次果筐明细!$B$4:$B$603,$Z388-5200)),"")))))</f>
        <v/>
      </c>
      <c r="C388" s="37" t="str">
        <f>IF($Z388="","",IF($Z388&lt;=2000,IF(INDEX(包装物料出入库明细!$D$4:$D$2003,$Z388-0)=0,"",INDEX(包装物料出入库明细!$D$4:$D$2003,$Z388-0)),IF($Z388&lt;=4000,IF(INDEX(周转筐出入库明细!$C$4:$C$2004,$Z388-2000)=0,"",INDEX(周转筐出入库明细!$C$4:$C$2004,$Z388-2000)),IF($Z388&lt;=5200,IF(INDEX(客户自备加工筐明细!$E$4:$E$1203,$Z388-4000)=0,"",INDEX(客户自备加工筐明细!$E$4:$E$1203,$Z388-4000)),IF($Z388&lt;=5800,IF(INDEX(次果筐明细!$C$4:$C$603,$Z388-5200)=0,"",INDEX(次果筐明细!$C$4:$C$603,$Z388-5200)),"")))))</f>
        <v/>
      </c>
      <c r="D388" s="37" t="str">
        <f>IF($Z388="","",IF($Z388&lt;=2000,"包装物料－"&amp;INDEX(包装物料出入库明细!$H$4:$H$2003,$Z388-0),IF($Z388&lt;=4000,"周转筐－"&amp;INDEX(周转筐出入库明细!$F$4:$F$2004,$Z388-2000),IF($Z388&lt;=5200,"客户自备筐－"&amp;INDEX(客户自备加工筐明细!$J$4:$J$1203,$Z388-4000),IF($Z388&lt;=5800,"次果筐/托盘－"&amp;INDEX(次果筐明细!$F$4:$F$603,$Z388-5200),"")))))</f>
        <v/>
      </c>
      <c r="E388" s="24" t="str">
        <f>IF($Z388="","",IF($Z388&lt;=2000,IF(INDEX(包装物料出入库明细!$C$4:$C$2003,$Z388-0)=0,"",INDEX(包装物料出入库明细!$C$4:$C$2003,$Z388-0)),IF($Z388&lt;=4000,IF(INDEX(周转筐出入库明细!$E$4:$E$2004,$Z388-2000)=0,"",INDEX(周转筐出入库明细!$E$4:$E$2004,$Z388-2000)),IF($Z388&lt;=5200,IF(INDEX(客户自备加工筐明细!$D$4:$D$1203,$Z388-4000)=0,"",INDEX(客户自备加工筐明细!$D$4:$D$1203,$Z388-4000)),IF($Z388&lt;=5800,IF(INDEX(次果筐明细!$E$4:$E$603,$Z388-5200)=0,"",INDEX(次果筐明细!$E$4:$E$603,$Z388-5200)),"")))))</f>
        <v/>
      </c>
      <c r="F388" s="24" t="str">
        <f>IF($Z388="","",IF($Z388&lt;=2000,IF(INDEX(包装物料出入库明细!$E$4:$E$2003,$Z388-0)=0,"",INDEX(包装物料出入库明细!$E$4:$E$2003,$Z388-0)),IF($Z388&lt;=4000,IF(INDEX(周转筐出入库明细!$D$4:$D$2004,$Z388-2000)=0,"",INDEX(周转筐出入库明细!$D$4:$D$2004,$Z388-2000)),IF($Z388&lt;=5200,IF(INDEX(客户自备加工筐明细!$C$4:$C$1203,$Z388-4000)=0,"",INDEX(客户自备加工筐明细!$C$4:$C$1203,$Z388-4000)),IF($Z388&lt;=5800,IF(INDEX(次果筐明细!$D$4:$D$603,$Z388-5200)=0,"",INDEX(次果筐明细!$D$4:$D$603,$Z388-5200)),"")))))</f>
        <v/>
      </c>
      <c r="G388" s="24" t="str">
        <f>IF($Z388="","",IF($Z388&lt;=2000,IF(INDEX(包装物料出入库明细!$F$4:$F$2003,$Z388-0)=0,"",INDEX(包装物料出入库明细!$F$4:$F$2003,$Z388-0)),IF($Z388&lt;=4000,"",IF($Z388&lt;=5200,"",IF($Z388&lt;=5800,"","")))))</f>
        <v/>
      </c>
      <c r="H388" s="39" t="str">
        <f>IF($Z388="","",IF($Z388&lt;=2000,IF(INDEX(包装物料出入库明细!$L$4:$L$2003,$Z388-0)=0,"",INDEX(包装物料出入库明细!$L$4:$L$2003,$Z388-0)),IF($Z388&lt;=4000,N(INDEX(周转筐出入库明细!$H$4:$H$2004,$Z388-2000))+N(INDEX(周转筐出入库明细!$I$4:$I$2004,$Z388-2000))+N(INDEX(周转筐出入库明细!$J$4:$J$2004,$Z388-2000))+N(INDEX(周转筐出入库明细!$K$4:$K$2004,$Z388-2000)),IF($Z388&lt;=5200,N(INDEX(客户自备加工筐明细!$F$4:$F$1203,$Z388-4000))+N(INDEX(客户自备加工筐明细!$G$4:$G$1203,$Z388-4000)),IF($Z388&lt;=5800,IF(INDEX(次果筐明细!$G$4:$G$603,$Z388-5200)=0,"",INDEX(次果筐明细!$G$4:$G$603,$Z388-5200)),"")))))</f>
        <v/>
      </c>
      <c r="I388" s="24" t="str">
        <f>IF($Z388="","",IF($Z388&lt;=2000,IF(INDEX(包装物料出入库明细!$G$4:$G$2003,$Z388-0)=0,"",INDEX(包装物料出入库明细!$G$4:$G$2003,$Z388-0)),IF($Z388&lt;=4000,"个",IF($Z388&lt;=5200,"个",IF($Z388&lt;=5800,"个","")))))</f>
        <v/>
      </c>
      <c r="J388" s="30" t="str">
        <f t="shared" ref="J388:J451" si="19">IF($Z388="","",IF($Z388&lt;=2000,"",IF($Z388&lt;=4000,"",IF($Z388&lt;=5200,"",IF($Z388&lt;=5800,"","")))))</f>
        <v/>
      </c>
      <c r="K388" s="30" t="str">
        <f>IF($Z388="","",IF($Z388&lt;=2000,IF(INDEX(包装物料出入库明细!$N$4:$N$2003,$Z388-0)=0,"",INDEX(包装物料出入库明细!$N$4:$N$2003,$Z388-0)),IF($Z388&lt;=4000,IF(INDEX(周转筐出入库明细!$P$4:$P$2004,$Z388-2000)=0,"",INDEX(周转筐出入库明细!$P$4:$P$2004,$Z388-2000)),IF($Z388&lt;=5200,"",IF($Z388&lt;=5800,N(INDEX(次果筐明细!$L$4:$L$603,$Z388-5200))+N(INDEX(次果筐明细!$J$4:$J$603,$Z388-5200)),"")))))</f>
        <v/>
      </c>
      <c r="L388" s="24" t="str">
        <f>IF($Z388="","",IF($Z388&lt;=2000,IF(INDEX(包装物料出入库明细!$P$4:$P$2003,$Z388-0)=0,"",INDEX(包装物料出入库明细!$P$4:$P$2003,$Z388-0)),IF($Z388&lt;=4000,IF(INDEX(周转筐出入库明细!$Q$4:$Q$2004,$Z388-2000)=0,"",INDEX(周转筐出入库明细!$Q$4:$Q$2004,$Z388-2000)),IF($Z388&lt;=5200,"",IF($Z388&lt;=5800,IF(INDEX(次果筐明细!$M$4:$M$603,$Z388-5200)=0,"",INDEX(次果筐明细!$M$4:$M$603,$Z388-5200)),"")))))</f>
        <v/>
      </c>
      <c r="M388" s="37" t="str">
        <f>IF($Z388="","",IF($Z388&lt;=2000,IF(INDEX(包装物料出入库明细!$R$4:$R$2003,$Z388-0)=0,"",INDEX(包装物料出入库明细!$R$4:$R$2003,$Z388-0)),IF($Z388&lt;=4000,IF(INDEX(周转筐出入库明细!$W$4:$W$2004,$Z388-2000)=0,"",INDEX(周转筐出入库明细!$W$4:$W$2004,$Z388-2000)),IF($Z388&lt;=5200,IF(INDEX(客户自备加工筐明细!$L$4:$L$1203,$Z388-4000)=0,"",INDEX(客户自备加工筐明细!$L$4:$L$1203,$Z388-4000)),IF($Z388&lt;=5800,IF(INDEX(次果筐明细!$P$4:$P$603,$Z388-5200)=0,"",INDEX(次果筐明细!$P$4:$P$603,$Z388-5200)),"")))))</f>
        <v/>
      </c>
      <c r="N388" s="16" t="str">
        <f>IF($Z388="","",IF($Z388&lt;=2000,"",IF($Z388&lt;=4000,IF(INDEX(周转筐出入库明细!$D$4:$D$2004,$Z388-2000)=0,"",INDEX(周转筐出入库明细!$D$4:$D$2004,$Z388-2000)),IF($Z388&lt;=5200,IF(INDEX(客户自备加工筐明细!$C$4:$C$1203,$Z388-4000)=0,"",INDEX(客户自备加工筐明细!$C$4:$C$1203,$Z388-4000)),IF($Z388&lt;=5800,IF(INDEX(次果筐明细!$D$4:$D$603,$Z388-5200)=0,"",INDEX(次果筐明细!$D$4:$D$603,$Z388-5200)),"")))))</f>
        <v/>
      </c>
      <c r="O388" s="40" t="str">
        <f>IF($Z388="","",IF($Z388&lt;=2000,"",IF($Z388&lt;=4000,IF(N(INDEX(周转筐出入库明细!$J$4:$J$2004,$Z388-2000))+N(INDEX(周转筐出入库明细!$K$4:$K$2004,$Z388-2000))=0,"",N(INDEX(周转筐出入库明细!$J$4:$J$2004,$Z388-2000))+N(INDEX(周转筐出入库明细!$K$4:$K$2004,$Z388-2000))),IF($Z388&lt;=5200,IF(N(INDEX(客户自备加工筐明细!$G$4:$G$1203,$Z388-4000))=0,"",N(INDEX(客户自备加工筐明细!$G$4:$G$1203,$Z388-4000))),IF($Z388&lt;=5800,IF(ISNUMBER(SEARCH("退",INDEX(次果筐明细!$F$4:$F$603,$Z388-5200)&amp;"")),"",IF(N(INDEX(次果筐明细!$G$4:$G$603,$Z388-5200))=0,"",N(INDEX(次果筐明细!$G$4:$G$603,$Z388-5200)))),"")))))</f>
        <v/>
      </c>
      <c r="P388" s="40" t="str">
        <f>IF($Z388="","",IF($Z388&lt;=2000,"",IF($Z388&lt;=4000,IF(N(INDEX(周转筐出入库明细!$I$4:$I$2004,$Z388-2000))=0,"",N(INDEX(周转筐出入库明细!$I$4:$I$2004,$Z388-2000))),IF($Z388&lt;=5200,"",IF($Z388&lt;=5800,IF(ISNUMBER(SEARCH("退",INDEX(次果筐明细!$F$4:$F$603,$Z388-5200)&amp;"")),IF(N(INDEX(次果筐明细!$G$4:$G$603,$Z388-5200))=0,"",N(INDEX(次果筐明细!$G$4:$G$603,$Z388-5200))),""),"")))))</f>
        <v/>
      </c>
      <c r="Q388" s="40" t="str">
        <f>IF($Z388="","",IF($Z388&lt;=2000,"",IF($Z388&lt;=4000,IF(N(INDEX(周转筐出入库明细!$H$4:$H$2004,$Z388-2000))=0,"",N(INDEX(周转筐出入库明细!$H$4:$H$2004,$Z388-2000))),IF($Z388&lt;=5200,IF(N(INDEX(客户自备加工筐明细!$F$4:$F$1203,$Z388-4000))=0,"",N(INDEX(客户自备加工筐明细!$F$4:$F$1203,$Z388-4000))),IF($Z388&lt;=5800,"","")))))</f>
        <v/>
      </c>
      <c r="R388" s="16" t="str">
        <f>IF($Z388="","",IF($Z388&lt;=2000,IF(INDEX(包装物料出入库明细!$O$4:$O$2003,$Z388-0)=0,"",INDEX(包装物料出入库明细!$O$4:$O$2003,$Z388-0)),IF($Z388&lt;=4000,IF(INDEX(周转筐出入库明细!$M$4:$M$2004,$Z388-2000)=0,"",INDEX(周转筐出入库明细!$M$4:$M$2004,$Z388-2000)),IF($Z388&lt;=5200,IF(INDEX(客户自备加工筐明细!$H$4:$H$1203,$Z388-4000)=0,"",INDEX(客户自备加工筐明细!$H$4:$H$1203,$Z388-4000)),IF($Z388&lt;=5800,IF(INDEX(次果筐明细!$H$4:$H$603,$Z388-5200)=0,"",INDEX(次果筐明细!$H$4:$H$603,$Z388-5200)),"")))))</f>
        <v/>
      </c>
      <c r="S388" s="22" t="str">
        <f t="shared" ref="S388:S451" si="20">IF($N388="","",IF(OR(LEFT($N388,2)="自备",AND($Z388&gt;4000,$Z388&lt;=5200)),"自备筐","公司筐"))</f>
        <v/>
      </c>
      <c r="Z388" s="10" t="str">
        <f>IFERROR(MATCH(ROW()-3,_自动清单!$CQ$4:$CQ$5803,0),"")</f>
        <v/>
      </c>
    </row>
    <row r="389" spans="1:26">
      <c r="A389" s="24" t="str">
        <f t="shared" si="18"/>
        <v/>
      </c>
      <c r="B389" s="38" t="str">
        <f>IF($Z389="","",IF($Z389&lt;=2000,IF(INDEX(包装物料出入库明细!$B$4:$B$2003,$Z389-0)=0,"",INDEX(包装物料出入库明细!$B$4:$B$2003,$Z389-0)),IF($Z389&lt;=4000,IF(INDEX(周转筐出入库明细!$B$4:$B$2004,$Z389-2000)=0,"",INDEX(周转筐出入库明细!$B$4:$B$2004,$Z389-2000)),IF($Z389&lt;=5200,IF(INDEX(客户自备加工筐明细!$B$4:$B$1203,$Z389-4000)=0,"",INDEX(客户自备加工筐明细!$B$4:$B$1203,$Z389-4000)),IF($Z389&lt;=5800,IF(INDEX(次果筐明细!$B$4:$B$603,$Z389-5200)=0,"",INDEX(次果筐明细!$B$4:$B$603,$Z389-5200)),"")))))</f>
        <v/>
      </c>
      <c r="C389" s="37" t="str">
        <f>IF($Z389="","",IF($Z389&lt;=2000,IF(INDEX(包装物料出入库明细!$D$4:$D$2003,$Z389-0)=0,"",INDEX(包装物料出入库明细!$D$4:$D$2003,$Z389-0)),IF($Z389&lt;=4000,IF(INDEX(周转筐出入库明细!$C$4:$C$2004,$Z389-2000)=0,"",INDEX(周转筐出入库明细!$C$4:$C$2004,$Z389-2000)),IF($Z389&lt;=5200,IF(INDEX(客户自备加工筐明细!$E$4:$E$1203,$Z389-4000)=0,"",INDEX(客户自备加工筐明细!$E$4:$E$1203,$Z389-4000)),IF($Z389&lt;=5800,IF(INDEX(次果筐明细!$C$4:$C$603,$Z389-5200)=0,"",INDEX(次果筐明细!$C$4:$C$603,$Z389-5200)),"")))))</f>
        <v/>
      </c>
      <c r="D389" s="37" t="str">
        <f>IF($Z389="","",IF($Z389&lt;=2000,"包装物料－"&amp;INDEX(包装物料出入库明细!$H$4:$H$2003,$Z389-0),IF($Z389&lt;=4000,"周转筐－"&amp;INDEX(周转筐出入库明细!$F$4:$F$2004,$Z389-2000),IF($Z389&lt;=5200,"客户自备筐－"&amp;INDEX(客户自备加工筐明细!$J$4:$J$1203,$Z389-4000),IF($Z389&lt;=5800,"次果筐/托盘－"&amp;INDEX(次果筐明细!$F$4:$F$603,$Z389-5200),"")))))</f>
        <v/>
      </c>
      <c r="E389" s="24" t="str">
        <f>IF($Z389="","",IF($Z389&lt;=2000,IF(INDEX(包装物料出入库明细!$C$4:$C$2003,$Z389-0)=0,"",INDEX(包装物料出入库明细!$C$4:$C$2003,$Z389-0)),IF($Z389&lt;=4000,IF(INDEX(周转筐出入库明细!$E$4:$E$2004,$Z389-2000)=0,"",INDEX(周转筐出入库明细!$E$4:$E$2004,$Z389-2000)),IF($Z389&lt;=5200,IF(INDEX(客户自备加工筐明细!$D$4:$D$1203,$Z389-4000)=0,"",INDEX(客户自备加工筐明细!$D$4:$D$1203,$Z389-4000)),IF($Z389&lt;=5800,IF(INDEX(次果筐明细!$E$4:$E$603,$Z389-5200)=0,"",INDEX(次果筐明细!$E$4:$E$603,$Z389-5200)),"")))))</f>
        <v/>
      </c>
      <c r="F389" s="24" t="str">
        <f>IF($Z389="","",IF($Z389&lt;=2000,IF(INDEX(包装物料出入库明细!$E$4:$E$2003,$Z389-0)=0,"",INDEX(包装物料出入库明细!$E$4:$E$2003,$Z389-0)),IF($Z389&lt;=4000,IF(INDEX(周转筐出入库明细!$D$4:$D$2004,$Z389-2000)=0,"",INDEX(周转筐出入库明细!$D$4:$D$2004,$Z389-2000)),IF($Z389&lt;=5200,IF(INDEX(客户自备加工筐明细!$C$4:$C$1203,$Z389-4000)=0,"",INDEX(客户自备加工筐明细!$C$4:$C$1203,$Z389-4000)),IF($Z389&lt;=5800,IF(INDEX(次果筐明细!$D$4:$D$603,$Z389-5200)=0,"",INDEX(次果筐明细!$D$4:$D$603,$Z389-5200)),"")))))</f>
        <v/>
      </c>
      <c r="G389" s="24" t="str">
        <f>IF($Z389="","",IF($Z389&lt;=2000,IF(INDEX(包装物料出入库明细!$F$4:$F$2003,$Z389-0)=0,"",INDEX(包装物料出入库明细!$F$4:$F$2003,$Z389-0)),IF($Z389&lt;=4000,"",IF($Z389&lt;=5200,"",IF($Z389&lt;=5800,"","")))))</f>
        <v/>
      </c>
      <c r="H389" s="39" t="str">
        <f>IF($Z389="","",IF($Z389&lt;=2000,IF(INDEX(包装物料出入库明细!$L$4:$L$2003,$Z389-0)=0,"",INDEX(包装物料出入库明细!$L$4:$L$2003,$Z389-0)),IF($Z389&lt;=4000,N(INDEX(周转筐出入库明细!$H$4:$H$2004,$Z389-2000))+N(INDEX(周转筐出入库明细!$I$4:$I$2004,$Z389-2000))+N(INDEX(周转筐出入库明细!$J$4:$J$2004,$Z389-2000))+N(INDEX(周转筐出入库明细!$K$4:$K$2004,$Z389-2000)),IF($Z389&lt;=5200,N(INDEX(客户自备加工筐明细!$F$4:$F$1203,$Z389-4000))+N(INDEX(客户自备加工筐明细!$G$4:$G$1203,$Z389-4000)),IF($Z389&lt;=5800,IF(INDEX(次果筐明细!$G$4:$G$603,$Z389-5200)=0,"",INDEX(次果筐明细!$G$4:$G$603,$Z389-5200)),"")))))</f>
        <v/>
      </c>
      <c r="I389" s="24" t="str">
        <f>IF($Z389="","",IF($Z389&lt;=2000,IF(INDEX(包装物料出入库明细!$G$4:$G$2003,$Z389-0)=0,"",INDEX(包装物料出入库明细!$G$4:$G$2003,$Z389-0)),IF($Z389&lt;=4000,"个",IF($Z389&lt;=5200,"个",IF($Z389&lt;=5800,"个","")))))</f>
        <v/>
      </c>
      <c r="J389" s="30" t="str">
        <f t="shared" si="19"/>
        <v/>
      </c>
      <c r="K389" s="30" t="str">
        <f>IF($Z389="","",IF($Z389&lt;=2000,IF(INDEX(包装物料出入库明细!$N$4:$N$2003,$Z389-0)=0,"",INDEX(包装物料出入库明细!$N$4:$N$2003,$Z389-0)),IF($Z389&lt;=4000,IF(INDEX(周转筐出入库明细!$P$4:$P$2004,$Z389-2000)=0,"",INDEX(周转筐出入库明细!$P$4:$P$2004,$Z389-2000)),IF($Z389&lt;=5200,"",IF($Z389&lt;=5800,N(INDEX(次果筐明细!$L$4:$L$603,$Z389-5200))+N(INDEX(次果筐明细!$J$4:$J$603,$Z389-5200)),"")))))</f>
        <v/>
      </c>
      <c r="L389" s="24" t="str">
        <f>IF($Z389="","",IF($Z389&lt;=2000,IF(INDEX(包装物料出入库明细!$P$4:$P$2003,$Z389-0)=0,"",INDEX(包装物料出入库明细!$P$4:$P$2003,$Z389-0)),IF($Z389&lt;=4000,IF(INDEX(周转筐出入库明细!$Q$4:$Q$2004,$Z389-2000)=0,"",INDEX(周转筐出入库明细!$Q$4:$Q$2004,$Z389-2000)),IF($Z389&lt;=5200,"",IF($Z389&lt;=5800,IF(INDEX(次果筐明细!$M$4:$M$603,$Z389-5200)=0,"",INDEX(次果筐明细!$M$4:$M$603,$Z389-5200)),"")))))</f>
        <v/>
      </c>
      <c r="M389" s="37" t="str">
        <f>IF($Z389="","",IF($Z389&lt;=2000,IF(INDEX(包装物料出入库明细!$R$4:$R$2003,$Z389-0)=0,"",INDEX(包装物料出入库明细!$R$4:$R$2003,$Z389-0)),IF($Z389&lt;=4000,IF(INDEX(周转筐出入库明细!$W$4:$W$2004,$Z389-2000)=0,"",INDEX(周转筐出入库明细!$W$4:$W$2004,$Z389-2000)),IF($Z389&lt;=5200,IF(INDEX(客户自备加工筐明细!$L$4:$L$1203,$Z389-4000)=0,"",INDEX(客户自备加工筐明细!$L$4:$L$1203,$Z389-4000)),IF($Z389&lt;=5800,IF(INDEX(次果筐明细!$P$4:$P$603,$Z389-5200)=0,"",INDEX(次果筐明细!$P$4:$P$603,$Z389-5200)),"")))))</f>
        <v/>
      </c>
      <c r="N389" s="16" t="str">
        <f>IF($Z389="","",IF($Z389&lt;=2000,"",IF($Z389&lt;=4000,IF(INDEX(周转筐出入库明细!$D$4:$D$2004,$Z389-2000)=0,"",INDEX(周转筐出入库明细!$D$4:$D$2004,$Z389-2000)),IF($Z389&lt;=5200,IF(INDEX(客户自备加工筐明细!$C$4:$C$1203,$Z389-4000)=0,"",INDEX(客户自备加工筐明细!$C$4:$C$1203,$Z389-4000)),IF($Z389&lt;=5800,IF(INDEX(次果筐明细!$D$4:$D$603,$Z389-5200)=0,"",INDEX(次果筐明细!$D$4:$D$603,$Z389-5200)),"")))))</f>
        <v/>
      </c>
      <c r="O389" s="40" t="str">
        <f>IF($Z389="","",IF($Z389&lt;=2000,"",IF($Z389&lt;=4000,IF(N(INDEX(周转筐出入库明细!$J$4:$J$2004,$Z389-2000))+N(INDEX(周转筐出入库明细!$K$4:$K$2004,$Z389-2000))=0,"",N(INDEX(周转筐出入库明细!$J$4:$J$2004,$Z389-2000))+N(INDEX(周转筐出入库明细!$K$4:$K$2004,$Z389-2000))),IF($Z389&lt;=5200,IF(N(INDEX(客户自备加工筐明细!$G$4:$G$1203,$Z389-4000))=0,"",N(INDEX(客户自备加工筐明细!$G$4:$G$1203,$Z389-4000))),IF($Z389&lt;=5800,IF(ISNUMBER(SEARCH("退",INDEX(次果筐明细!$F$4:$F$603,$Z389-5200)&amp;"")),"",IF(N(INDEX(次果筐明细!$G$4:$G$603,$Z389-5200))=0,"",N(INDEX(次果筐明细!$G$4:$G$603,$Z389-5200)))),"")))))</f>
        <v/>
      </c>
      <c r="P389" s="40" t="str">
        <f>IF($Z389="","",IF($Z389&lt;=2000,"",IF($Z389&lt;=4000,IF(N(INDEX(周转筐出入库明细!$I$4:$I$2004,$Z389-2000))=0,"",N(INDEX(周转筐出入库明细!$I$4:$I$2004,$Z389-2000))),IF($Z389&lt;=5200,"",IF($Z389&lt;=5800,IF(ISNUMBER(SEARCH("退",INDEX(次果筐明细!$F$4:$F$603,$Z389-5200)&amp;"")),IF(N(INDEX(次果筐明细!$G$4:$G$603,$Z389-5200))=0,"",N(INDEX(次果筐明细!$G$4:$G$603,$Z389-5200))),""),"")))))</f>
        <v/>
      </c>
      <c r="Q389" s="40" t="str">
        <f>IF($Z389="","",IF($Z389&lt;=2000,"",IF($Z389&lt;=4000,IF(N(INDEX(周转筐出入库明细!$H$4:$H$2004,$Z389-2000))=0,"",N(INDEX(周转筐出入库明细!$H$4:$H$2004,$Z389-2000))),IF($Z389&lt;=5200,IF(N(INDEX(客户自备加工筐明细!$F$4:$F$1203,$Z389-4000))=0,"",N(INDEX(客户自备加工筐明细!$F$4:$F$1203,$Z389-4000))),IF($Z389&lt;=5800,"","")))))</f>
        <v/>
      </c>
      <c r="R389" s="16" t="str">
        <f>IF($Z389="","",IF($Z389&lt;=2000,IF(INDEX(包装物料出入库明细!$O$4:$O$2003,$Z389-0)=0,"",INDEX(包装物料出入库明细!$O$4:$O$2003,$Z389-0)),IF($Z389&lt;=4000,IF(INDEX(周转筐出入库明细!$M$4:$M$2004,$Z389-2000)=0,"",INDEX(周转筐出入库明细!$M$4:$M$2004,$Z389-2000)),IF($Z389&lt;=5200,IF(INDEX(客户自备加工筐明细!$H$4:$H$1203,$Z389-4000)=0,"",INDEX(客户自备加工筐明细!$H$4:$H$1203,$Z389-4000)),IF($Z389&lt;=5800,IF(INDEX(次果筐明细!$H$4:$H$603,$Z389-5200)=0,"",INDEX(次果筐明细!$H$4:$H$603,$Z389-5200)),"")))))</f>
        <v/>
      </c>
      <c r="S389" s="22" t="str">
        <f t="shared" si="20"/>
        <v/>
      </c>
      <c r="Z389" s="10" t="str">
        <f>IFERROR(MATCH(ROW()-3,_自动清单!$CQ$4:$CQ$5803,0),"")</f>
        <v/>
      </c>
    </row>
    <row r="390" spans="1:26">
      <c r="A390" s="24" t="str">
        <f t="shared" si="18"/>
        <v/>
      </c>
      <c r="B390" s="38" t="str">
        <f>IF($Z390="","",IF($Z390&lt;=2000,IF(INDEX(包装物料出入库明细!$B$4:$B$2003,$Z390-0)=0,"",INDEX(包装物料出入库明细!$B$4:$B$2003,$Z390-0)),IF($Z390&lt;=4000,IF(INDEX(周转筐出入库明细!$B$4:$B$2004,$Z390-2000)=0,"",INDEX(周转筐出入库明细!$B$4:$B$2004,$Z390-2000)),IF($Z390&lt;=5200,IF(INDEX(客户自备加工筐明细!$B$4:$B$1203,$Z390-4000)=0,"",INDEX(客户自备加工筐明细!$B$4:$B$1203,$Z390-4000)),IF($Z390&lt;=5800,IF(INDEX(次果筐明细!$B$4:$B$603,$Z390-5200)=0,"",INDEX(次果筐明细!$B$4:$B$603,$Z390-5200)),"")))))</f>
        <v/>
      </c>
      <c r="C390" s="37" t="str">
        <f>IF($Z390="","",IF($Z390&lt;=2000,IF(INDEX(包装物料出入库明细!$D$4:$D$2003,$Z390-0)=0,"",INDEX(包装物料出入库明细!$D$4:$D$2003,$Z390-0)),IF($Z390&lt;=4000,IF(INDEX(周转筐出入库明细!$C$4:$C$2004,$Z390-2000)=0,"",INDEX(周转筐出入库明细!$C$4:$C$2004,$Z390-2000)),IF($Z390&lt;=5200,IF(INDEX(客户自备加工筐明细!$E$4:$E$1203,$Z390-4000)=0,"",INDEX(客户自备加工筐明细!$E$4:$E$1203,$Z390-4000)),IF($Z390&lt;=5800,IF(INDEX(次果筐明细!$C$4:$C$603,$Z390-5200)=0,"",INDEX(次果筐明细!$C$4:$C$603,$Z390-5200)),"")))))</f>
        <v/>
      </c>
      <c r="D390" s="37" t="str">
        <f>IF($Z390="","",IF($Z390&lt;=2000,"包装物料－"&amp;INDEX(包装物料出入库明细!$H$4:$H$2003,$Z390-0),IF($Z390&lt;=4000,"周转筐－"&amp;INDEX(周转筐出入库明细!$F$4:$F$2004,$Z390-2000),IF($Z390&lt;=5200,"客户自备筐－"&amp;INDEX(客户自备加工筐明细!$J$4:$J$1203,$Z390-4000),IF($Z390&lt;=5800,"次果筐/托盘－"&amp;INDEX(次果筐明细!$F$4:$F$603,$Z390-5200),"")))))</f>
        <v/>
      </c>
      <c r="E390" s="24" t="str">
        <f>IF($Z390="","",IF($Z390&lt;=2000,IF(INDEX(包装物料出入库明细!$C$4:$C$2003,$Z390-0)=0,"",INDEX(包装物料出入库明细!$C$4:$C$2003,$Z390-0)),IF($Z390&lt;=4000,IF(INDEX(周转筐出入库明细!$E$4:$E$2004,$Z390-2000)=0,"",INDEX(周转筐出入库明细!$E$4:$E$2004,$Z390-2000)),IF($Z390&lt;=5200,IF(INDEX(客户自备加工筐明细!$D$4:$D$1203,$Z390-4000)=0,"",INDEX(客户自备加工筐明细!$D$4:$D$1203,$Z390-4000)),IF($Z390&lt;=5800,IF(INDEX(次果筐明细!$E$4:$E$603,$Z390-5200)=0,"",INDEX(次果筐明细!$E$4:$E$603,$Z390-5200)),"")))))</f>
        <v/>
      </c>
      <c r="F390" s="24" t="str">
        <f>IF($Z390="","",IF($Z390&lt;=2000,IF(INDEX(包装物料出入库明细!$E$4:$E$2003,$Z390-0)=0,"",INDEX(包装物料出入库明细!$E$4:$E$2003,$Z390-0)),IF($Z390&lt;=4000,IF(INDEX(周转筐出入库明细!$D$4:$D$2004,$Z390-2000)=0,"",INDEX(周转筐出入库明细!$D$4:$D$2004,$Z390-2000)),IF($Z390&lt;=5200,IF(INDEX(客户自备加工筐明细!$C$4:$C$1203,$Z390-4000)=0,"",INDEX(客户自备加工筐明细!$C$4:$C$1203,$Z390-4000)),IF($Z390&lt;=5800,IF(INDEX(次果筐明细!$D$4:$D$603,$Z390-5200)=0,"",INDEX(次果筐明细!$D$4:$D$603,$Z390-5200)),"")))))</f>
        <v/>
      </c>
      <c r="G390" s="24" t="str">
        <f>IF($Z390="","",IF($Z390&lt;=2000,IF(INDEX(包装物料出入库明细!$F$4:$F$2003,$Z390-0)=0,"",INDEX(包装物料出入库明细!$F$4:$F$2003,$Z390-0)),IF($Z390&lt;=4000,"",IF($Z390&lt;=5200,"",IF($Z390&lt;=5800,"","")))))</f>
        <v/>
      </c>
      <c r="H390" s="39" t="str">
        <f>IF($Z390="","",IF($Z390&lt;=2000,IF(INDEX(包装物料出入库明细!$L$4:$L$2003,$Z390-0)=0,"",INDEX(包装物料出入库明细!$L$4:$L$2003,$Z390-0)),IF($Z390&lt;=4000,N(INDEX(周转筐出入库明细!$H$4:$H$2004,$Z390-2000))+N(INDEX(周转筐出入库明细!$I$4:$I$2004,$Z390-2000))+N(INDEX(周转筐出入库明细!$J$4:$J$2004,$Z390-2000))+N(INDEX(周转筐出入库明细!$K$4:$K$2004,$Z390-2000)),IF($Z390&lt;=5200,N(INDEX(客户自备加工筐明细!$F$4:$F$1203,$Z390-4000))+N(INDEX(客户自备加工筐明细!$G$4:$G$1203,$Z390-4000)),IF($Z390&lt;=5800,IF(INDEX(次果筐明细!$G$4:$G$603,$Z390-5200)=0,"",INDEX(次果筐明细!$G$4:$G$603,$Z390-5200)),"")))))</f>
        <v/>
      </c>
      <c r="I390" s="24" t="str">
        <f>IF($Z390="","",IF($Z390&lt;=2000,IF(INDEX(包装物料出入库明细!$G$4:$G$2003,$Z390-0)=0,"",INDEX(包装物料出入库明细!$G$4:$G$2003,$Z390-0)),IF($Z390&lt;=4000,"个",IF($Z390&lt;=5200,"个",IF($Z390&lt;=5800,"个","")))))</f>
        <v/>
      </c>
      <c r="J390" s="30" t="str">
        <f t="shared" si="19"/>
        <v/>
      </c>
      <c r="K390" s="30" t="str">
        <f>IF($Z390="","",IF($Z390&lt;=2000,IF(INDEX(包装物料出入库明细!$N$4:$N$2003,$Z390-0)=0,"",INDEX(包装物料出入库明细!$N$4:$N$2003,$Z390-0)),IF($Z390&lt;=4000,IF(INDEX(周转筐出入库明细!$P$4:$P$2004,$Z390-2000)=0,"",INDEX(周转筐出入库明细!$P$4:$P$2004,$Z390-2000)),IF($Z390&lt;=5200,"",IF($Z390&lt;=5800,N(INDEX(次果筐明细!$L$4:$L$603,$Z390-5200))+N(INDEX(次果筐明细!$J$4:$J$603,$Z390-5200)),"")))))</f>
        <v/>
      </c>
      <c r="L390" s="24" t="str">
        <f>IF($Z390="","",IF($Z390&lt;=2000,IF(INDEX(包装物料出入库明细!$P$4:$P$2003,$Z390-0)=0,"",INDEX(包装物料出入库明细!$P$4:$P$2003,$Z390-0)),IF($Z390&lt;=4000,IF(INDEX(周转筐出入库明细!$Q$4:$Q$2004,$Z390-2000)=0,"",INDEX(周转筐出入库明细!$Q$4:$Q$2004,$Z390-2000)),IF($Z390&lt;=5200,"",IF($Z390&lt;=5800,IF(INDEX(次果筐明细!$M$4:$M$603,$Z390-5200)=0,"",INDEX(次果筐明细!$M$4:$M$603,$Z390-5200)),"")))))</f>
        <v/>
      </c>
      <c r="M390" s="37" t="str">
        <f>IF($Z390="","",IF($Z390&lt;=2000,IF(INDEX(包装物料出入库明细!$R$4:$R$2003,$Z390-0)=0,"",INDEX(包装物料出入库明细!$R$4:$R$2003,$Z390-0)),IF($Z390&lt;=4000,IF(INDEX(周转筐出入库明细!$W$4:$W$2004,$Z390-2000)=0,"",INDEX(周转筐出入库明细!$W$4:$W$2004,$Z390-2000)),IF($Z390&lt;=5200,IF(INDEX(客户自备加工筐明细!$L$4:$L$1203,$Z390-4000)=0,"",INDEX(客户自备加工筐明细!$L$4:$L$1203,$Z390-4000)),IF($Z390&lt;=5800,IF(INDEX(次果筐明细!$P$4:$P$603,$Z390-5200)=0,"",INDEX(次果筐明细!$P$4:$P$603,$Z390-5200)),"")))))</f>
        <v/>
      </c>
      <c r="N390" s="16" t="str">
        <f>IF($Z390="","",IF($Z390&lt;=2000,"",IF($Z390&lt;=4000,IF(INDEX(周转筐出入库明细!$D$4:$D$2004,$Z390-2000)=0,"",INDEX(周转筐出入库明细!$D$4:$D$2004,$Z390-2000)),IF($Z390&lt;=5200,IF(INDEX(客户自备加工筐明细!$C$4:$C$1203,$Z390-4000)=0,"",INDEX(客户自备加工筐明细!$C$4:$C$1203,$Z390-4000)),IF($Z390&lt;=5800,IF(INDEX(次果筐明细!$D$4:$D$603,$Z390-5200)=0,"",INDEX(次果筐明细!$D$4:$D$603,$Z390-5200)),"")))))</f>
        <v/>
      </c>
      <c r="O390" s="40" t="str">
        <f>IF($Z390="","",IF($Z390&lt;=2000,"",IF($Z390&lt;=4000,IF(N(INDEX(周转筐出入库明细!$J$4:$J$2004,$Z390-2000))+N(INDEX(周转筐出入库明细!$K$4:$K$2004,$Z390-2000))=0,"",N(INDEX(周转筐出入库明细!$J$4:$J$2004,$Z390-2000))+N(INDEX(周转筐出入库明细!$K$4:$K$2004,$Z390-2000))),IF($Z390&lt;=5200,IF(N(INDEX(客户自备加工筐明细!$G$4:$G$1203,$Z390-4000))=0,"",N(INDEX(客户自备加工筐明细!$G$4:$G$1203,$Z390-4000))),IF($Z390&lt;=5800,IF(ISNUMBER(SEARCH("退",INDEX(次果筐明细!$F$4:$F$603,$Z390-5200)&amp;"")),"",IF(N(INDEX(次果筐明细!$G$4:$G$603,$Z390-5200))=0,"",N(INDEX(次果筐明细!$G$4:$G$603,$Z390-5200)))),"")))))</f>
        <v/>
      </c>
      <c r="P390" s="40" t="str">
        <f>IF($Z390="","",IF($Z390&lt;=2000,"",IF($Z390&lt;=4000,IF(N(INDEX(周转筐出入库明细!$I$4:$I$2004,$Z390-2000))=0,"",N(INDEX(周转筐出入库明细!$I$4:$I$2004,$Z390-2000))),IF($Z390&lt;=5200,"",IF($Z390&lt;=5800,IF(ISNUMBER(SEARCH("退",INDEX(次果筐明细!$F$4:$F$603,$Z390-5200)&amp;"")),IF(N(INDEX(次果筐明细!$G$4:$G$603,$Z390-5200))=0,"",N(INDEX(次果筐明细!$G$4:$G$603,$Z390-5200))),""),"")))))</f>
        <v/>
      </c>
      <c r="Q390" s="40" t="str">
        <f>IF($Z390="","",IF($Z390&lt;=2000,"",IF($Z390&lt;=4000,IF(N(INDEX(周转筐出入库明细!$H$4:$H$2004,$Z390-2000))=0,"",N(INDEX(周转筐出入库明细!$H$4:$H$2004,$Z390-2000))),IF($Z390&lt;=5200,IF(N(INDEX(客户自备加工筐明细!$F$4:$F$1203,$Z390-4000))=0,"",N(INDEX(客户自备加工筐明细!$F$4:$F$1203,$Z390-4000))),IF($Z390&lt;=5800,"","")))))</f>
        <v/>
      </c>
      <c r="R390" s="16" t="str">
        <f>IF($Z390="","",IF($Z390&lt;=2000,IF(INDEX(包装物料出入库明细!$O$4:$O$2003,$Z390-0)=0,"",INDEX(包装物料出入库明细!$O$4:$O$2003,$Z390-0)),IF($Z390&lt;=4000,IF(INDEX(周转筐出入库明细!$M$4:$M$2004,$Z390-2000)=0,"",INDEX(周转筐出入库明细!$M$4:$M$2004,$Z390-2000)),IF($Z390&lt;=5200,IF(INDEX(客户自备加工筐明细!$H$4:$H$1203,$Z390-4000)=0,"",INDEX(客户自备加工筐明细!$H$4:$H$1203,$Z390-4000)),IF($Z390&lt;=5800,IF(INDEX(次果筐明细!$H$4:$H$603,$Z390-5200)=0,"",INDEX(次果筐明细!$H$4:$H$603,$Z390-5200)),"")))))</f>
        <v/>
      </c>
      <c r="S390" s="22" t="str">
        <f t="shared" si="20"/>
        <v/>
      </c>
      <c r="Z390" s="10" t="str">
        <f>IFERROR(MATCH(ROW()-3,_自动清单!$CQ$4:$CQ$5803,0),"")</f>
        <v/>
      </c>
    </row>
    <row r="391" spans="1:26">
      <c r="A391" s="24" t="str">
        <f t="shared" si="18"/>
        <v/>
      </c>
      <c r="B391" s="38" t="str">
        <f>IF($Z391="","",IF($Z391&lt;=2000,IF(INDEX(包装物料出入库明细!$B$4:$B$2003,$Z391-0)=0,"",INDEX(包装物料出入库明细!$B$4:$B$2003,$Z391-0)),IF($Z391&lt;=4000,IF(INDEX(周转筐出入库明细!$B$4:$B$2004,$Z391-2000)=0,"",INDEX(周转筐出入库明细!$B$4:$B$2004,$Z391-2000)),IF($Z391&lt;=5200,IF(INDEX(客户自备加工筐明细!$B$4:$B$1203,$Z391-4000)=0,"",INDEX(客户自备加工筐明细!$B$4:$B$1203,$Z391-4000)),IF($Z391&lt;=5800,IF(INDEX(次果筐明细!$B$4:$B$603,$Z391-5200)=0,"",INDEX(次果筐明细!$B$4:$B$603,$Z391-5200)),"")))))</f>
        <v/>
      </c>
      <c r="C391" s="37" t="str">
        <f>IF($Z391="","",IF($Z391&lt;=2000,IF(INDEX(包装物料出入库明细!$D$4:$D$2003,$Z391-0)=0,"",INDEX(包装物料出入库明细!$D$4:$D$2003,$Z391-0)),IF($Z391&lt;=4000,IF(INDEX(周转筐出入库明细!$C$4:$C$2004,$Z391-2000)=0,"",INDEX(周转筐出入库明细!$C$4:$C$2004,$Z391-2000)),IF($Z391&lt;=5200,IF(INDEX(客户自备加工筐明细!$E$4:$E$1203,$Z391-4000)=0,"",INDEX(客户自备加工筐明细!$E$4:$E$1203,$Z391-4000)),IF($Z391&lt;=5800,IF(INDEX(次果筐明细!$C$4:$C$603,$Z391-5200)=0,"",INDEX(次果筐明细!$C$4:$C$603,$Z391-5200)),"")))))</f>
        <v/>
      </c>
      <c r="D391" s="37" t="str">
        <f>IF($Z391="","",IF($Z391&lt;=2000,"包装物料－"&amp;INDEX(包装物料出入库明细!$H$4:$H$2003,$Z391-0),IF($Z391&lt;=4000,"周转筐－"&amp;INDEX(周转筐出入库明细!$F$4:$F$2004,$Z391-2000),IF($Z391&lt;=5200,"客户自备筐－"&amp;INDEX(客户自备加工筐明细!$J$4:$J$1203,$Z391-4000),IF($Z391&lt;=5800,"次果筐/托盘－"&amp;INDEX(次果筐明细!$F$4:$F$603,$Z391-5200),"")))))</f>
        <v/>
      </c>
      <c r="E391" s="24" t="str">
        <f>IF($Z391="","",IF($Z391&lt;=2000,IF(INDEX(包装物料出入库明细!$C$4:$C$2003,$Z391-0)=0,"",INDEX(包装物料出入库明细!$C$4:$C$2003,$Z391-0)),IF($Z391&lt;=4000,IF(INDEX(周转筐出入库明细!$E$4:$E$2004,$Z391-2000)=0,"",INDEX(周转筐出入库明细!$E$4:$E$2004,$Z391-2000)),IF($Z391&lt;=5200,IF(INDEX(客户自备加工筐明细!$D$4:$D$1203,$Z391-4000)=0,"",INDEX(客户自备加工筐明细!$D$4:$D$1203,$Z391-4000)),IF($Z391&lt;=5800,IF(INDEX(次果筐明细!$E$4:$E$603,$Z391-5200)=0,"",INDEX(次果筐明细!$E$4:$E$603,$Z391-5200)),"")))))</f>
        <v/>
      </c>
      <c r="F391" s="24" t="str">
        <f>IF($Z391="","",IF($Z391&lt;=2000,IF(INDEX(包装物料出入库明细!$E$4:$E$2003,$Z391-0)=0,"",INDEX(包装物料出入库明细!$E$4:$E$2003,$Z391-0)),IF($Z391&lt;=4000,IF(INDEX(周转筐出入库明细!$D$4:$D$2004,$Z391-2000)=0,"",INDEX(周转筐出入库明细!$D$4:$D$2004,$Z391-2000)),IF($Z391&lt;=5200,IF(INDEX(客户自备加工筐明细!$C$4:$C$1203,$Z391-4000)=0,"",INDEX(客户自备加工筐明细!$C$4:$C$1203,$Z391-4000)),IF($Z391&lt;=5800,IF(INDEX(次果筐明细!$D$4:$D$603,$Z391-5200)=0,"",INDEX(次果筐明细!$D$4:$D$603,$Z391-5200)),"")))))</f>
        <v/>
      </c>
      <c r="G391" s="24" t="str">
        <f>IF($Z391="","",IF($Z391&lt;=2000,IF(INDEX(包装物料出入库明细!$F$4:$F$2003,$Z391-0)=0,"",INDEX(包装物料出入库明细!$F$4:$F$2003,$Z391-0)),IF($Z391&lt;=4000,"",IF($Z391&lt;=5200,"",IF($Z391&lt;=5800,"","")))))</f>
        <v/>
      </c>
      <c r="H391" s="39" t="str">
        <f>IF($Z391="","",IF($Z391&lt;=2000,IF(INDEX(包装物料出入库明细!$L$4:$L$2003,$Z391-0)=0,"",INDEX(包装物料出入库明细!$L$4:$L$2003,$Z391-0)),IF($Z391&lt;=4000,N(INDEX(周转筐出入库明细!$H$4:$H$2004,$Z391-2000))+N(INDEX(周转筐出入库明细!$I$4:$I$2004,$Z391-2000))+N(INDEX(周转筐出入库明细!$J$4:$J$2004,$Z391-2000))+N(INDEX(周转筐出入库明细!$K$4:$K$2004,$Z391-2000)),IF($Z391&lt;=5200,N(INDEX(客户自备加工筐明细!$F$4:$F$1203,$Z391-4000))+N(INDEX(客户自备加工筐明细!$G$4:$G$1203,$Z391-4000)),IF($Z391&lt;=5800,IF(INDEX(次果筐明细!$G$4:$G$603,$Z391-5200)=0,"",INDEX(次果筐明细!$G$4:$G$603,$Z391-5200)),"")))))</f>
        <v/>
      </c>
      <c r="I391" s="24" t="str">
        <f>IF($Z391="","",IF($Z391&lt;=2000,IF(INDEX(包装物料出入库明细!$G$4:$G$2003,$Z391-0)=0,"",INDEX(包装物料出入库明细!$G$4:$G$2003,$Z391-0)),IF($Z391&lt;=4000,"个",IF($Z391&lt;=5200,"个",IF($Z391&lt;=5800,"个","")))))</f>
        <v/>
      </c>
      <c r="J391" s="30" t="str">
        <f t="shared" si="19"/>
        <v/>
      </c>
      <c r="K391" s="30" t="str">
        <f>IF($Z391="","",IF($Z391&lt;=2000,IF(INDEX(包装物料出入库明细!$N$4:$N$2003,$Z391-0)=0,"",INDEX(包装物料出入库明细!$N$4:$N$2003,$Z391-0)),IF($Z391&lt;=4000,IF(INDEX(周转筐出入库明细!$P$4:$P$2004,$Z391-2000)=0,"",INDEX(周转筐出入库明细!$P$4:$P$2004,$Z391-2000)),IF($Z391&lt;=5200,"",IF($Z391&lt;=5800,N(INDEX(次果筐明细!$L$4:$L$603,$Z391-5200))+N(INDEX(次果筐明细!$J$4:$J$603,$Z391-5200)),"")))))</f>
        <v/>
      </c>
      <c r="L391" s="24" t="str">
        <f>IF($Z391="","",IF($Z391&lt;=2000,IF(INDEX(包装物料出入库明细!$P$4:$P$2003,$Z391-0)=0,"",INDEX(包装物料出入库明细!$P$4:$P$2003,$Z391-0)),IF($Z391&lt;=4000,IF(INDEX(周转筐出入库明细!$Q$4:$Q$2004,$Z391-2000)=0,"",INDEX(周转筐出入库明细!$Q$4:$Q$2004,$Z391-2000)),IF($Z391&lt;=5200,"",IF($Z391&lt;=5800,IF(INDEX(次果筐明细!$M$4:$M$603,$Z391-5200)=0,"",INDEX(次果筐明细!$M$4:$M$603,$Z391-5200)),"")))))</f>
        <v/>
      </c>
      <c r="M391" s="37" t="str">
        <f>IF($Z391="","",IF($Z391&lt;=2000,IF(INDEX(包装物料出入库明细!$R$4:$R$2003,$Z391-0)=0,"",INDEX(包装物料出入库明细!$R$4:$R$2003,$Z391-0)),IF($Z391&lt;=4000,IF(INDEX(周转筐出入库明细!$W$4:$W$2004,$Z391-2000)=0,"",INDEX(周转筐出入库明细!$W$4:$W$2004,$Z391-2000)),IF($Z391&lt;=5200,IF(INDEX(客户自备加工筐明细!$L$4:$L$1203,$Z391-4000)=0,"",INDEX(客户自备加工筐明细!$L$4:$L$1203,$Z391-4000)),IF($Z391&lt;=5800,IF(INDEX(次果筐明细!$P$4:$P$603,$Z391-5200)=0,"",INDEX(次果筐明细!$P$4:$P$603,$Z391-5200)),"")))))</f>
        <v/>
      </c>
      <c r="N391" s="16" t="str">
        <f>IF($Z391="","",IF($Z391&lt;=2000,"",IF($Z391&lt;=4000,IF(INDEX(周转筐出入库明细!$D$4:$D$2004,$Z391-2000)=0,"",INDEX(周转筐出入库明细!$D$4:$D$2004,$Z391-2000)),IF($Z391&lt;=5200,IF(INDEX(客户自备加工筐明细!$C$4:$C$1203,$Z391-4000)=0,"",INDEX(客户自备加工筐明细!$C$4:$C$1203,$Z391-4000)),IF($Z391&lt;=5800,IF(INDEX(次果筐明细!$D$4:$D$603,$Z391-5200)=0,"",INDEX(次果筐明细!$D$4:$D$603,$Z391-5200)),"")))))</f>
        <v/>
      </c>
      <c r="O391" s="40" t="str">
        <f>IF($Z391="","",IF($Z391&lt;=2000,"",IF($Z391&lt;=4000,IF(N(INDEX(周转筐出入库明细!$J$4:$J$2004,$Z391-2000))+N(INDEX(周转筐出入库明细!$K$4:$K$2004,$Z391-2000))=0,"",N(INDEX(周转筐出入库明细!$J$4:$J$2004,$Z391-2000))+N(INDEX(周转筐出入库明细!$K$4:$K$2004,$Z391-2000))),IF($Z391&lt;=5200,IF(N(INDEX(客户自备加工筐明细!$G$4:$G$1203,$Z391-4000))=0,"",N(INDEX(客户自备加工筐明细!$G$4:$G$1203,$Z391-4000))),IF($Z391&lt;=5800,IF(ISNUMBER(SEARCH("退",INDEX(次果筐明细!$F$4:$F$603,$Z391-5200)&amp;"")),"",IF(N(INDEX(次果筐明细!$G$4:$G$603,$Z391-5200))=0,"",N(INDEX(次果筐明细!$G$4:$G$603,$Z391-5200)))),"")))))</f>
        <v/>
      </c>
      <c r="P391" s="40" t="str">
        <f>IF($Z391="","",IF($Z391&lt;=2000,"",IF($Z391&lt;=4000,IF(N(INDEX(周转筐出入库明细!$I$4:$I$2004,$Z391-2000))=0,"",N(INDEX(周转筐出入库明细!$I$4:$I$2004,$Z391-2000))),IF($Z391&lt;=5200,"",IF($Z391&lt;=5800,IF(ISNUMBER(SEARCH("退",INDEX(次果筐明细!$F$4:$F$603,$Z391-5200)&amp;"")),IF(N(INDEX(次果筐明细!$G$4:$G$603,$Z391-5200))=0,"",N(INDEX(次果筐明细!$G$4:$G$603,$Z391-5200))),""),"")))))</f>
        <v/>
      </c>
      <c r="Q391" s="40" t="str">
        <f>IF($Z391="","",IF($Z391&lt;=2000,"",IF($Z391&lt;=4000,IF(N(INDEX(周转筐出入库明细!$H$4:$H$2004,$Z391-2000))=0,"",N(INDEX(周转筐出入库明细!$H$4:$H$2004,$Z391-2000))),IF($Z391&lt;=5200,IF(N(INDEX(客户自备加工筐明细!$F$4:$F$1203,$Z391-4000))=0,"",N(INDEX(客户自备加工筐明细!$F$4:$F$1203,$Z391-4000))),IF($Z391&lt;=5800,"","")))))</f>
        <v/>
      </c>
      <c r="R391" s="16" t="str">
        <f>IF($Z391="","",IF($Z391&lt;=2000,IF(INDEX(包装物料出入库明细!$O$4:$O$2003,$Z391-0)=0,"",INDEX(包装物料出入库明细!$O$4:$O$2003,$Z391-0)),IF($Z391&lt;=4000,IF(INDEX(周转筐出入库明细!$M$4:$M$2004,$Z391-2000)=0,"",INDEX(周转筐出入库明细!$M$4:$M$2004,$Z391-2000)),IF($Z391&lt;=5200,IF(INDEX(客户自备加工筐明细!$H$4:$H$1203,$Z391-4000)=0,"",INDEX(客户自备加工筐明细!$H$4:$H$1203,$Z391-4000)),IF($Z391&lt;=5800,IF(INDEX(次果筐明细!$H$4:$H$603,$Z391-5200)=0,"",INDEX(次果筐明细!$H$4:$H$603,$Z391-5200)),"")))))</f>
        <v/>
      </c>
      <c r="S391" s="22" t="str">
        <f t="shared" si="20"/>
        <v/>
      </c>
      <c r="Z391" s="10" t="str">
        <f>IFERROR(MATCH(ROW()-3,_自动清单!$CQ$4:$CQ$5803,0),"")</f>
        <v/>
      </c>
    </row>
    <row r="392" spans="1:26">
      <c r="A392" s="24" t="str">
        <f t="shared" si="18"/>
        <v/>
      </c>
      <c r="B392" s="38" t="str">
        <f>IF($Z392="","",IF($Z392&lt;=2000,IF(INDEX(包装物料出入库明细!$B$4:$B$2003,$Z392-0)=0,"",INDEX(包装物料出入库明细!$B$4:$B$2003,$Z392-0)),IF($Z392&lt;=4000,IF(INDEX(周转筐出入库明细!$B$4:$B$2004,$Z392-2000)=0,"",INDEX(周转筐出入库明细!$B$4:$B$2004,$Z392-2000)),IF($Z392&lt;=5200,IF(INDEX(客户自备加工筐明细!$B$4:$B$1203,$Z392-4000)=0,"",INDEX(客户自备加工筐明细!$B$4:$B$1203,$Z392-4000)),IF($Z392&lt;=5800,IF(INDEX(次果筐明细!$B$4:$B$603,$Z392-5200)=0,"",INDEX(次果筐明细!$B$4:$B$603,$Z392-5200)),"")))))</f>
        <v/>
      </c>
      <c r="C392" s="37" t="str">
        <f>IF($Z392="","",IF($Z392&lt;=2000,IF(INDEX(包装物料出入库明细!$D$4:$D$2003,$Z392-0)=0,"",INDEX(包装物料出入库明细!$D$4:$D$2003,$Z392-0)),IF($Z392&lt;=4000,IF(INDEX(周转筐出入库明细!$C$4:$C$2004,$Z392-2000)=0,"",INDEX(周转筐出入库明细!$C$4:$C$2004,$Z392-2000)),IF($Z392&lt;=5200,IF(INDEX(客户自备加工筐明细!$E$4:$E$1203,$Z392-4000)=0,"",INDEX(客户自备加工筐明细!$E$4:$E$1203,$Z392-4000)),IF($Z392&lt;=5800,IF(INDEX(次果筐明细!$C$4:$C$603,$Z392-5200)=0,"",INDEX(次果筐明细!$C$4:$C$603,$Z392-5200)),"")))))</f>
        <v/>
      </c>
      <c r="D392" s="37" t="str">
        <f>IF($Z392="","",IF($Z392&lt;=2000,"包装物料－"&amp;INDEX(包装物料出入库明细!$H$4:$H$2003,$Z392-0),IF($Z392&lt;=4000,"周转筐－"&amp;INDEX(周转筐出入库明细!$F$4:$F$2004,$Z392-2000),IF($Z392&lt;=5200,"客户自备筐－"&amp;INDEX(客户自备加工筐明细!$J$4:$J$1203,$Z392-4000),IF($Z392&lt;=5800,"次果筐/托盘－"&amp;INDEX(次果筐明细!$F$4:$F$603,$Z392-5200),"")))))</f>
        <v/>
      </c>
      <c r="E392" s="24" t="str">
        <f>IF($Z392="","",IF($Z392&lt;=2000,IF(INDEX(包装物料出入库明细!$C$4:$C$2003,$Z392-0)=0,"",INDEX(包装物料出入库明细!$C$4:$C$2003,$Z392-0)),IF($Z392&lt;=4000,IF(INDEX(周转筐出入库明细!$E$4:$E$2004,$Z392-2000)=0,"",INDEX(周转筐出入库明细!$E$4:$E$2004,$Z392-2000)),IF($Z392&lt;=5200,IF(INDEX(客户自备加工筐明细!$D$4:$D$1203,$Z392-4000)=0,"",INDEX(客户自备加工筐明细!$D$4:$D$1203,$Z392-4000)),IF($Z392&lt;=5800,IF(INDEX(次果筐明细!$E$4:$E$603,$Z392-5200)=0,"",INDEX(次果筐明细!$E$4:$E$603,$Z392-5200)),"")))))</f>
        <v/>
      </c>
      <c r="F392" s="24" t="str">
        <f>IF($Z392="","",IF($Z392&lt;=2000,IF(INDEX(包装物料出入库明细!$E$4:$E$2003,$Z392-0)=0,"",INDEX(包装物料出入库明细!$E$4:$E$2003,$Z392-0)),IF($Z392&lt;=4000,IF(INDEX(周转筐出入库明细!$D$4:$D$2004,$Z392-2000)=0,"",INDEX(周转筐出入库明细!$D$4:$D$2004,$Z392-2000)),IF($Z392&lt;=5200,IF(INDEX(客户自备加工筐明细!$C$4:$C$1203,$Z392-4000)=0,"",INDEX(客户自备加工筐明细!$C$4:$C$1203,$Z392-4000)),IF($Z392&lt;=5800,IF(INDEX(次果筐明细!$D$4:$D$603,$Z392-5200)=0,"",INDEX(次果筐明细!$D$4:$D$603,$Z392-5200)),"")))))</f>
        <v/>
      </c>
      <c r="G392" s="24" t="str">
        <f>IF($Z392="","",IF($Z392&lt;=2000,IF(INDEX(包装物料出入库明细!$F$4:$F$2003,$Z392-0)=0,"",INDEX(包装物料出入库明细!$F$4:$F$2003,$Z392-0)),IF($Z392&lt;=4000,"",IF($Z392&lt;=5200,"",IF($Z392&lt;=5800,"","")))))</f>
        <v/>
      </c>
      <c r="H392" s="39" t="str">
        <f>IF($Z392="","",IF($Z392&lt;=2000,IF(INDEX(包装物料出入库明细!$L$4:$L$2003,$Z392-0)=0,"",INDEX(包装物料出入库明细!$L$4:$L$2003,$Z392-0)),IF($Z392&lt;=4000,N(INDEX(周转筐出入库明细!$H$4:$H$2004,$Z392-2000))+N(INDEX(周转筐出入库明细!$I$4:$I$2004,$Z392-2000))+N(INDEX(周转筐出入库明细!$J$4:$J$2004,$Z392-2000))+N(INDEX(周转筐出入库明细!$K$4:$K$2004,$Z392-2000)),IF($Z392&lt;=5200,N(INDEX(客户自备加工筐明细!$F$4:$F$1203,$Z392-4000))+N(INDEX(客户自备加工筐明细!$G$4:$G$1203,$Z392-4000)),IF($Z392&lt;=5800,IF(INDEX(次果筐明细!$G$4:$G$603,$Z392-5200)=0,"",INDEX(次果筐明细!$G$4:$G$603,$Z392-5200)),"")))))</f>
        <v/>
      </c>
      <c r="I392" s="24" t="str">
        <f>IF($Z392="","",IF($Z392&lt;=2000,IF(INDEX(包装物料出入库明细!$G$4:$G$2003,$Z392-0)=0,"",INDEX(包装物料出入库明细!$G$4:$G$2003,$Z392-0)),IF($Z392&lt;=4000,"个",IF($Z392&lt;=5200,"个",IF($Z392&lt;=5800,"个","")))))</f>
        <v/>
      </c>
      <c r="J392" s="30" t="str">
        <f t="shared" si="19"/>
        <v/>
      </c>
      <c r="K392" s="30" t="str">
        <f>IF($Z392="","",IF($Z392&lt;=2000,IF(INDEX(包装物料出入库明细!$N$4:$N$2003,$Z392-0)=0,"",INDEX(包装物料出入库明细!$N$4:$N$2003,$Z392-0)),IF($Z392&lt;=4000,IF(INDEX(周转筐出入库明细!$P$4:$P$2004,$Z392-2000)=0,"",INDEX(周转筐出入库明细!$P$4:$P$2004,$Z392-2000)),IF($Z392&lt;=5200,"",IF($Z392&lt;=5800,N(INDEX(次果筐明细!$L$4:$L$603,$Z392-5200))+N(INDEX(次果筐明细!$J$4:$J$603,$Z392-5200)),"")))))</f>
        <v/>
      </c>
      <c r="L392" s="24" t="str">
        <f>IF($Z392="","",IF($Z392&lt;=2000,IF(INDEX(包装物料出入库明细!$P$4:$P$2003,$Z392-0)=0,"",INDEX(包装物料出入库明细!$P$4:$P$2003,$Z392-0)),IF($Z392&lt;=4000,IF(INDEX(周转筐出入库明细!$Q$4:$Q$2004,$Z392-2000)=0,"",INDEX(周转筐出入库明细!$Q$4:$Q$2004,$Z392-2000)),IF($Z392&lt;=5200,"",IF($Z392&lt;=5800,IF(INDEX(次果筐明细!$M$4:$M$603,$Z392-5200)=0,"",INDEX(次果筐明细!$M$4:$M$603,$Z392-5200)),"")))))</f>
        <v/>
      </c>
      <c r="M392" s="37" t="str">
        <f>IF($Z392="","",IF($Z392&lt;=2000,IF(INDEX(包装物料出入库明细!$R$4:$R$2003,$Z392-0)=0,"",INDEX(包装物料出入库明细!$R$4:$R$2003,$Z392-0)),IF($Z392&lt;=4000,IF(INDEX(周转筐出入库明细!$W$4:$W$2004,$Z392-2000)=0,"",INDEX(周转筐出入库明细!$W$4:$W$2004,$Z392-2000)),IF($Z392&lt;=5200,IF(INDEX(客户自备加工筐明细!$L$4:$L$1203,$Z392-4000)=0,"",INDEX(客户自备加工筐明细!$L$4:$L$1203,$Z392-4000)),IF($Z392&lt;=5800,IF(INDEX(次果筐明细!$P$4:$P$603,$Z392-5200)=0,"",INDEX(次果筐明细!$P$4:$P$603,$Z392-5200)),"")))))</f>
        <v/>
      </c>
      <c r="N392" s="16" t="str">
        <f>IF($Z392="","",IF($Z392&lt;=2000,"",IF($Z392&lt;=4000,IF(INDEX(周转筐出入库明细!$D$4:$D$2004,$Z392-2000)=0,"",INDEX(周转筐出入库明细!$D$4:$D$2004,$Z392-2000)),IF($Z392&lt;=5200,IF(INDEX(客户自备加工筐明细!$C$4:$C$1203,$Z392-4000)=0,"",INDEX(客户自备加工筐明细!$C$4:$C$1203,$Z392-4000)),IF($Z392&lt;=5800,IF(INDEX(次果筐明细!$D$4:$D$603,$Z392-5200)=0,"",INDEX(次果筐明细!$D$4:$D$603,$Z392-5200)),"")))))</f>
        <v/>
      </c>
      <c r="O392" s="40" t="str">
        <f>IF($Z392="","",IF($Z392&lt;=2000,"",IF($Z392&lt;=4000,IF(N(INDEX(周转筐出入库明细!$J$4:$J$2004,$Z392-2000))+N(INDEX(周转筐出入库明细!$K$4:$K$2004,$Z392-2000))=0,"",N(INDEX(周转筐出入库明细!$J$4:$J$2004,$Z392-2000))+N(INDEX(周转筐出入库明细!$K$4:$K$2004,$Z392-2000))),IF($Z392&lt;=5200,IF(N(INDEX(客户自备加工筐明细!$G$4:$G$1203,$Z392-4000))=0,"",N(INDEX(客户自备加工筐明细!$G$4:$G$1203,$Z392-4000))),IF($Z392&lt;=5800,IF(ISNUMBER(SEARCH("退",INDEX(次果筐明细!$F$4:$F$603,$Z392-5200)&amp;"")),"",IF(N(INDEX(次果筐明细!$G$4:$G$603,$Z392-5200))=0,"",N(INDEX(次果筐明细!$G$4:$G$603,$Z392-5200)))),"")))))</f>
        <v/>
      </c>
      <c r="P392" s="40" t="str">
        <f>IF($Z392="","",IF($Z392&lt;=2000,"",IF($Z392&lt;=4000,IF(N(INDEX(周转筐出入库明细!$I$4:$I$2004,$Z392-2000))=0,"",N(INDEX(周转筐出入库明细!$I$4:$I$2004,$Z392-2000))),IF($Z392&lt;=5200,"",IF($Z392&lt;=5800,IF(ISNUMBER(SEARCH("退",INDEX(次果筐明细!$F$4:$F$603,$Z392-5200)&amp;"")),IF(N(INDEX(次果筐明细!$G$4:$G$603,$Z392-5200))=0,"",N(INDEX(次果筐明细!$G$4:$G$603,$Z392-5200))),""),"")))))</f>
        <v/>
      </c>
      <c r="Q392" s="40" t="str">
        <f>IF($Z392="","",IF($Z392&lt;=2000,"",IF($Z392&lt;=4000,IF(N(INDEX(周转筐出入库明细!$H$4:$H$2004,$Z392-2000))=0,"",N(INDEX(周转筐出入库明细!$H$4:$H$2004,$Z392-2000))),IF($Z392&lt;=5200,IF(N(INDEX(客户自备加工筐明细!$F$4:$F$1203,$Z392-4000))=0,"",N(INDEX(客户自备加工筐明细!$F$4:$F$1203,$Z392-4000))),IF($Z392&lt;=5800,"","")))))</f>
        <v/>
      </c>
      <c r="R392" s="16" t="str">
        <f>IF($Z392="","",IF($Z392&lt;=2000,IF(INDEX(包装物料出入库明细!$O$4:$O$2003,$Z392-0)=0,"",INDEX(包装物料出入库明细!$O$4:$O$2003,$Z392-0)),IF($Z392&lt;=4000,IF(INDEX(周转筐出入库明细!$M$4:$M$2004,$Z392-2000)=0,"",INDEX(周转筐出入库明细!$M$4:$M$2004,$Z392-2000)),IF($Z392&lt;=5200,IF(INDEX(客户自备加工筐明细!$H$4:$H$1203,$Z392-4000)=0,"",INDEX(客户自备加工筐明细!$H$4:$H$1203,$Z392-4000)),IF($Z392&lt;=5800,IF(INDEX(次果筐明细!$H$4:$H$603,$Z392-5200)=0,"",INDEX(次果筐明细!$H$4:$H$603,$Z392-5200)),"")))))</f>
        <v/>
      </c>
      <c r="S392" s="22" t="str">
        <f t="shared" si="20"/>
        <v/>
      </c>
      <c r="Z392" s="10" t="str">
        <f>IFERROR(MATCH(ROW()-3,_自动清单!$CQ$4:$CQ$5803,0),"")</f>
        <v/>
      </c>
    </row>
    <row r="393" spans="1:26">
      <c r="A393" s="24" t="str">
        <f t="shared" si="18"/>
        <v/>
      </c>
      <c r="B393" s="38" t="str">
        <f>IF($Z393="","",IF($Z393&lt;=2000,IF(INDEX(包装物料出入库明细!$B$4:$B$2003,$Z393-0)=0,"",INDEX(包装物料出入库明细!$B$4:$B$2003,$Z393-0)),IF($Z393&lt;=4000,IF(INDEX(周转筐出入库明细!$B$4:$B$2004,$Z393-2000)=0,"",INDEX(周转筐出入库明细!$B$4:$B$2004,$Z393-2000)),IF($Z393&lt;=5200,IF(INDEX(客户自备加工筐明细!$B$4:$B$1203,$Z393-4000)=0,"",INDEX(客户自备加工筐明细!$B$4:$B$1203,$Z393-4000)),IF($Z393&lt;=5800,IF(INDEX(次果筐明细!$B$4:$B$603,$Z393-5200)=0,"",INDEX(次果筐明细!$B$4:$B$603,$Z393-5200)),"")))))</f>
        <v/>
      </c>
      <c r="C393" s="37" t="str">
        <f>IF($Z393="","",IF($Z393&lt;=2000,IF(INDEX(包装物料出入库明细!$D$4:$D$2003,$Z393-0)=0,"",INDEX(包装物料出入库明细!$D$4:$D$2003,$Z393-0)),IF($Z393&lt;=4000,IF(INDEX(周转筐出入库明细!$C$4:$C$2004,$Z393-2000)=0,"",INDEX(周转筐出入库明细!$C$4:$C$2004,$Z393-2000)),IF($Z393&lt;=5200,IF(INDEX(客户自备加工筐明细!$E$4:$E$1203,$Z393-4000)=0,"",INDEX(客户自备加工筐明细!$E$4:$E$1203,$Z393-4000)),IF($Z393&lt;=5800,IF(INDEX(次果筐明细!$C$4:$C$603,$Z393-5200)=0,"",INDEX(次果筐明细!$C$4:$C$603,$Z393-5200)),"")))))</f>
        <v/>
      </c>
      <c r="D393" s="37" t="str">
        <f>IF($Z393="","",IF($Z393&lt;=2000,"包装物料－"&amp;INDEX(包装物料出入库明细!$H$4:$H$2003,$Z393-0),IF($Z393&lt;=4000,"周转筐－"&amp;INDEX(周转筐出入库明细!$F$4:$F$2004,$Z393-2000),IF($Z393&lt;=5200,"客户自备筐－"&amp;INDEX(客户自备加工筐明细!$J$4:$J$1203,$Z393-4000),IF($Z393&lt;=5800,"次果筐/托盘－"&amp;INDEX(次果筐明细!$F$4:$F$603,$Z393-5200),"")))))</f>
        <v/>
      </c>
      <c r="E393" s="24" t="str">
        <f>IF($Z393="","",IF($Z393&lt;=2000,IF(INDEX(包装物料出入库明细!$C$4:$C$2003,$Z393-0)=0,"",INDEX(包装物料出入库明细!$C$4:$C$2003,$Z393-0)),IF($Z393&lt;=4000,IF(INDEX(周转筐出入库明细!$E$4:$E$2004,$Z393-2000)=0,"",INDEX(周转筐出入库明细!$E$4:$E$2004,$Z393-2000)),IF($Z393&lt;=5200,IF(INDEX(客户自备加工筐明细!$D$4:$D$1203,$Z393-4000)=0,"",INDEX(客户自备加工筐明细!$D$4:$D$1203,$Z393-4000)),IF($Z393&lt;=5800,IF(INDEX(次果筐明细!$E$4:$E$603,$Z393-5200)=0,"",INDEX(次果筐明细!$E$4:$E$603,$Z393-5200)),"")))))</f>
        <v/>
      </c>
      <c r="F393" s="24" t="str">
        <f>IF($Z393="","",IF($Z393&lt;=2000,IF(INDEX(包装物料出入库明细!$E$4:$E$2003,$Z393-0)=0,"",INDEX(包装物料出入库明细!$E$4:$E$2003,$Z393-0)),IF($Z393&lt;=4000,IF(INDEX(周转筐出入库明细!$D$4:$D$2004,$Z393-2000)=0,"",INDEX(周转筐出入库明细!$D$4:$D$2004,$Z393-2000)),IF($Z393&lt;=5200,IF(INDEX(客户自备加工筐明细!$C$4:$C$1203,$Z393-4000)=0,"",INDEX(客户自备加工筐明细!$C$4:$C$1203,$Z393-4000)),IF($Z393&lt;=5800,IF(INDEX(次果筐明细!$D$4:$D$603,$Z393-5200)=0,"",INDEX(次果筐明细!$D$4:$D$603,$Z393-5200)),"")))))</f>
        <v/>
      </c>
      <c r="G393" s="24" t="str">
        <f>IF($Z393="","",IF($Z393&lt;=2000,IF(INDEX(包装物料出入库明细!$F$4:$F$2003,$Z393-0)=0,"",INDEX(包装物料出入库明细!$F$4:$F$2003,$Z393-0)),IF($Z393&lt;=4000,"",IF($Z393&lt;=5200,"",IF($Z393&lt;=5800,"","")))))</f>
        <v/>
      </c>
      <c r="H393" s="39" t="str">
        <f>IF($Z393="","",IF($Z393&lt;=2000,IF(INDEX(包装物料出入库明细!$L$4:$L$2003,$Z393-0)=0,"",INDEX(包装物料出入库明细!$L$4:$L$2003,$Z393-0)),IF($Z393&lt;=4000,N(INDEX(周转筐出入库明细!$H$4:$H$2004,$Z393-2000))+N(INDEX(周转筐出入库明细!$I$4:$I$2004,$Z393-2000))+N(INDEX(周转筐出入库明细!$J$4:$J$2004,$Z393-2000))+N(INDEX(周转筐出入库明细!$K$4:$K$2004,$Z393-2000)),IF($Z393&lt;=5200,N(INDEX(客户自备加工筐明细!$F$4:$F$1203,$Z393-4000))+N(INDEX(客户自备加工筐明细!$G$4:$G$1203,$Z393-4000)),IF($Z393&lt;=5800,IF(INDEX(次果筐明细!$G$4:$G$603,$Z393-5200)=0,"",INDEX(次果筐明细!$G$4:$G$603,$Z393-5200)),"")))))</f>
        <v/>
      </c>
      <c r="I393" s="24" t="str">
        <f>IF($Z393="","",IF($Z393&lt;=2000,IF(INDEX(包装物料出入库明细!$G$4:$G$2003,$Z393-0)=0,"",INDEX(包装物料出入库明细!$G$4:$G$2003,$Z393-0)),IF($Z393&lt;=4000,"个",IF($Z393&lt;=5200,"个",IF($Z393&lt;=5800,"个","")))))</f>
        <v/>
      </c>
      <c r="J393" s="30" t="str">
        <f t="shared" si="19"/>
        <v/>
      </c>
      <c r="K393" s="30" t="str">
        <f>IF($Z393="","",IF($Z393&lt;=2000,IF(INDEX(包装物料出入库明细!$N$4:$N$2003,$Z393-0)=0,"",INDEX(包装物料出入库明细!$N$4:$N$2003,$Z393-0)),IF($Z393&lt;=4000,IF(INDEX(周转筐出入库明细!$P$4:$P$2004,$Z393-2000)=0,"",INDEX(周转筐出入库明细!$P$4:$P$2004,$Z393-2000)),IF($Z393&lt;=5200,"",IF($Z393&lt;=5800,N(INDEX(次果筐明细!$L$4:$L$603,$Z393-5200))+N(INDEX(次果筐明细!$J$4:$J$603,$Z393-5200)),"")))))</f>
        <v/>
      </c>
      <c r="L393" s="24" t="str">
        <f>IF($Z393="","",IF($Z393&lt;=2000,IF(INDEX(包装物料出入库明细!$P$4:$P$2003,$Z393-0)=0,"",INDEX(包装物料出入库明细!$P$4:$P$2003,$Z393-0)),IF($Z393&lt;=4000,IF(INDEX(周转筐出入库明细!$Q$4:$Q$2004,$Z393-2000)=0,"",INDEX(周转筐出入库明细!$Q$4:$Q$2004,$Z393-2000)),IF($Z393&lt;=5200,"",IF($Z393&lt;=5800,IF(INDEX(次果筐明细!$M$4:$M$603,$Z393-5200)=0,"",INDEX(次果筐明细!$M$4:$M$603,$Z393-5200)),"")))))</f>
        <v/>
      </c>
      <c r="M393" s="37" t="str">
        <f>IF($Z393="","",IF($Z393&lt;=2000,IF(INDEX(包装物料出入库明细!$R$4:$R$2003,$Z393-0)=0,"",INDEX(包装物料出入库明细!$R$4:$R$2003,$Z393-0)),IF($Z393&lt;=4000,IF(INDEX(周转筐出入库明细!$W$4:$W$2004,$Z393-2000)=0,"",INDEX(周转筐出入库明细!$W$4:$W$2004,$Z393-2000)),IF($Z393&lt;=5200,IF(INDEX(客户自备加工筐明细!$L$4:$L$1203,$Z393-4000)=0,"",INDEX(客户自备加工筐明细!$L$4:$L$1203,$Z393-4000)),IF($Z393&lt;=5800,IF(INDEX(次果筐明细!$P$4:$P$603,$Z393-5200)=0,"",INDEX(次果筐明细!$P$4:$P$603,$Z393-5200)),"")))))</f>
        <v/>
      </c>
      <c r="N393" s="16" t="str">
        <f>IF($Z393="","",IF($Z393&lt;=2000,"",IF($Z393&lt;=4000,IF(INDEX(周转筐出入库明细!$D$4:$D$2004,$Z393-2000)=0,"",INDEX(周转筐出入库明细!$D$4:$D$2004,$Z393-2000)),IF($Z393&lt;=5200,IF(INDEX(客户自备加工筐明细!$C$4:$C$1203,$Z393-4000)=0,"",INDEX(客户自备加工筐明细!$C$4:$C$1203,$Z393-4000)),IF($Z393&lt;=5800,IF(INDEX(次果筐明细!$D$4:$D$603,$Z393-5200)=0,"",INDEX(次果筐明细!$D$4:$D$603,$Z393-5200)),"")))))</f>
        <v/>
      </c>
      <c r="O393" s="40" t="str">
        <f>IF($Z393="","",IF($Z393&lt;=2000,"",IF($Z393&lt;=4000,IF(N(INDEX(周转筐出入库明细!$J$4:$J$2004,$Z393-2000))+N(INDEX(周转筐出入库明细!$K$4:$K$2004,$Z393-2000))=0,"",N(INDEX(周转筐出入库明细!$J$4:$J$2004,$Z393-2000))+N(INDEX(周转筐出入库明细!$K$4:$K$2004,$Z393-2000))),IF($Z393&lt;=5200,IF(N(INDEX(客户自备加工筐明细!$G$4:$G$1203,$Z393-4000))=0,"",N(INDEX(客户自备加工筐明细!$G$4:$G$1203,$Z393-4000))),IF($Z393&lt;=5800,IF(ISNUMBER(SEARCH("退",INDEX(次果筐明细!$F$4:$F$603,$Z393-5200)&amp;"")),"",IF(N(INDEX(次果筐明细!$G$4:$G$603,$Z393-5200))=0,"",N(INDEX(次果筐明细!$G$4:$G$603,$Z393-5200)))),"")))))</f>
        <v/>
      </c>
      <c r="P393" s="40" t="str">
        <f>IF($Z393="","",IF($Z393&lt;=2000,"",IF($Z393&lt;=4000,IF(N(INDEX(周转筐出入库明细!$I$4:$I$2004,$Z393-2000))=0,"",N(INDEX(周转筐出入库明细!$I$4:$I$2004,$Z393-2000))),IF($Z393&lt;=5200,"",IF($Z393&lt;=5800,IF(ISNUMBER(SEARCH("退",INDEX(次果筐明细!$F$4:$F$603,$Z393-5200)&amp;"")),IF(N(INDEX(次果筐明细!$G$4:$G$603,$Z393-5200))=0,"",N(INDEX(次果筐明细!$G$4:$G$603,$Z393-5200))),""),"")))))</f>
        <v/>
      </c>
      <c r="Q393" s="40" t="str">
        <f>IF($Z393="","",IF($Z393&lt;=2000,"",IF($Z393&lt;=4000,IF(N(INDEX(周转筐出入库明细!$H$4:$H$2004,$Z393-2000))=0,"",N(INDEX(周转筐出入库明细!$H$4:$H$2004,$Z393-2000))),IF($Z393&lt;=5200,IF(N(INDEX(客户自备加工筐明细!$F$4:$F$1203,$Z393-4000))=0,"",N(INDEX(客户自备加工筐明细!$F$4:$F$1203,$Z393-4000))),IF($Z393&lt;=5800,"","")))))</f>
        <v/>
      </c>
      <c r="R393" s="16" t="str">
        <f>IF($Z393="","",IF($Z393&lt;=2000,IF(INDEX(包装物料出入库明细!$O$4:$O$2003,$Z393-0)=0,"",INDEX(包装物料出入库明细!$O$4:$O$2003,$Z393-0)),IF($Z393&lt;=4000,IF(INDEX(周转筐出入库明细!$M$4:$M$2004,$Z393-2000)=0,"",INDEX(周转筐出入库明细!$M$4:$M$2004,$Z393-2000)),IF($Z393&lt;=5200,IF(INDEX(客户自备加工筐明细!$H$4:$H$1203,$Z393-4000)=0,"",INDEX(客户自备加工筐明细!$H$4:$H$1203,$Z393-4000)),IF($Z393&lt;=5800,IF(INDEX(次果筐明细!$H$4:$H$603,$Z393-5200)=0,"",INDEX(次果筐明细!$H$4:$H$603,$Z393-5200)),"")))))</f>
        <v/>
      </c>
      <c r="S393" s="22" t="str">
        <f t="shared" si="20"/>
        <v/>
      </c>
      <c r="Z393" s="10" t="str">
        <f>IFERROR(MATCH(ROW()-3,_自动清单!$CQ$4:$CQ$5803,0),"")</f>
        <v/>
      </c>
    </row>
    <row r="394" spans="1:26">
      <c r="A394" s="24" t="str">
        <f t="shared" si="18"/>
        <v/>
      </c>
      <c r="B394" s="38" t="str">
        <f>IF($Z394="","",IF($Z394&lt;=2000,IF(INDEX(包装物料出入库明细!$B$4:$B$2003,$Z394-0)=0,"",INDEX(包装物料出入库明细!$B$4:$B$2003,$Z394-0)),IF($Z394&lt;=4000,IF(INDEX(周转筐出入库明细!$B$4:$B$2004,$Z394-2000)=0,"",INDEX(周转筐出入库明细!$B$4:$B$2004,$Z394-2000)),IF($Z394&lt;=5200,IF(INDEX(客户自备加工筐明细!$B$4:$B$1203,$Z394-4000)=0,"",INDEX(客户自备加工筐明细!$B$4:$B$1203,$Z394-4000)),IF($Z394&lt;=5800,IF(INDEX(次果筐明细!$B$4:$B$603,$Z394-5200)=0,"",INDEX(次果筐明细!$B$4:$B$603,$Z394-5200)),"")))))</f>
        <v/>
      </c>
      <c r="C394" s="37" t="str">
        <f>IF($Z394="","",IF($Z394&lt;=2000,IF(INDEX(包装物料出入库明细!$D$4:$D$2003,$Z394-0)=0,"",INDEX(包装物料出入库明细!$D$4:$D$2003,$Z394-0)),IF($Z394&lt;=4000,IF(INDEX(周转筐出入库明细!$C$4:$C$2004,$Z394-2000)=0,"",INDEX(周转筐出入库明细!$C$4:$C$2004,$Z394-2000)),IF($Z394&lt;=5200,IF(INDEX(客户自备加工筐明细!$E$4:$E$1203,$Z394-4000)=0,"",INDEX(客户自备加工筐明细!$E$4:$E$1203,$Z394-4000)),IF($Z394&lt;=5800,IF(INDEX(次果筐明细!$C$4:$C$603,$Z394-5200)=0,"",INDEX(次果筐明细!$C$4:$C$603,$Z394-5200)),"")))))</f>
        <v/>
      </c>
      <c r="D394" s="37" t="str">
        <f>IF($Z394="","",IF($Z394&lt;=2000,"包装物料－"&amp;INDEX(包装物料出入库明细!$H$4:$H$2003,$Z394-0),IF($Z394&lt;=4000,"周转筐－"&amp;INDEX(周转筐出入库明细!$F$4:$F$2004,$Z394-2000),IF($Z394&lt;=5200,"客户自备筐－"&amp;INDEX(客户自备加工筐明细!$J$4:$J$1203,$Z394-4000),IF($Z394&lt;=5800,"次果筐/托盘－"&amp;INDEX(次果筐明细!$F$4:$F$603,$Z394-5200),"")))))</f>
        <v/>
      </c>
      <c r="E394" s="24" t="str">
        <f>IF($Z394="","",IF($Z394&lt;=2000,IF(INDEX(包装物料出入库明细!$C$4:$C$2003,$Z394-0)=0,"",INDEX(包装物料出入库明细!$C$4:$C$2003,$Z394-0)),IF($Z394&lt;=4000,IF(INDEX(周转筐出入库明细!$E$4:$E$2004,$Z394-2000)=0,"",INDEX(周转筐出入库明细!$E$4:$E$2004,$Z394-2000)),IF($Z394&lt;=5200,IF(INDEX(客户自备加工筐明细!$D$4:$D$1203,$Z394-4000)=0,"",INDEX(客户自备加工筐明细!$D$4:$D$1203,$Z394-4000)),IF($Z394&lt;=5800,IF(INDEX(次果筐明细!$E$4:$E$603,$Z394-5200)=0,"",INDEX(次果筐明细!$E$4:$E$603,$Z394-5200)),"")))))</f>
        <v/>
      </c>
      <c r="F394" s="24" t="str">
        <f>IF($Z394="","",IF($Z394&lt;=2000,IF(INDEX(包装物料出入库明细!$E$4:$E$2003,$Z394-0)=0,"",INDEX(包装物料出入库明细!$E$4:$E$2003,$Z394-0)),IF($Z394&lt;=4000,IF(INDEX(周转筐出入库明细!$D$4:$D$2004,$Z394-2000)=0,"",INDEX(周转筐出入库明细!$D$4:$D$2004,$Z394-2000)),IF($Z394&lt;=5200,IF(INDEX(客户自备加工筐明细!$C$4:$C$1203,$Z394-4000)=0,"",INDEX(客户自备加工筐明细!$C$4:$C$1203,$Z394-4000)),IF($Z394&lt;=5800,IF(INDEX(次果筐明细!$D$4:$D$603,$Z394-5200)=0,"",INDEX(次果筐明细!$D$4:$D$603,$Z394-5200)),"")))))</f>
        <v/>
      </c>
      <c r="G394" s="24" t="str">
        <f>IF($Z394="","",IF($Z394&lt;=2000,IF(INDEX(包装物料出入库明细!$F$4:$F$2003,$Z394-0)=0,"",INDEX(包装物料出入库明细!$F$4:$F$2003,$Z394-0)),IF($Z394&lt;=4000,"",IF($Z394&lt;=5200,"",IF($Z394&lt;=5800,"","")))))</f>
        <v/>
      </c>
      <c r="H394" s="39" t="str">
        <f>IF($Z394="","",IF($Z394&lt;=2000,IF(INDEX(包装物料出入库明细!$L$4:$L$2003,$Z394-0)=0,"",INDEX(包装物料出入库明细!$L$4:$L$2003,$Z394-0)),IF($Z394&lt;=4000,N(INDEX(周转筐出入库明细!$H$4:$H$2004,$Z394-2000))+N(INDEX(周转筐出入库明细!$I$4:$I$2004,$Z394-2000))+N(INDEX(周转筐出入库明细!$J$4:$J$2004,$Z394-2000))+N(INDEX(周转筐出入库明细!$K$4:$K$2004,$Z394-2000)),IF($Z394&lt;=5200,N(INDEX(客户自备加工筐明细!$F$4:$F$1203,$Z394-4000))+N(INDEX(客户自备加工筐明细!$G$4:$G$1203,$Z394-4000)),IF($Z394&lt;=5800,IF(INDEX(次果筐明细!$G$4:$G$603,$Z394-5200)=0,"",INDEX(次果筐明细!$G$4:$G$603,$Z394-5200)),"")))))</f>
        <v/>
      </c>
      <c r="I394" s="24" t="str">
        <f>IF($Z394="","",IF($Z394&lt;=2000,IF(INDEX(包装物料出入库明细!$G$4:$G$2003,$Z394-0)=0,"",INDEX(包装物料出入库明细!$G$4:$G$2003,$Z394-0)),IF($Z394&lt;=4000,"个",IF($Z394&lt;=5200,"个",IF($Z394&lt;=5800,"个","")))))</f>
        <v/>
      </c>
      <c r="J394" s="30" t="str">
        <f t="shared" si="19"/>
        <v/>
      </c>
      <c r="K394" s="30" t="str">
        <f>IF($Z394="","",IF($Z394&lt;=2000,IF(INDEX(包装物料出入库明细!$N$4:$N$2003,$Z394-0)=0,"",INDEX(包装物料出入库明细!$N$4:$N$2003,$Z394-0)),IF($Z394&lt;=4000,IF(INDEX(周转筐出入库明细!$P$4:$P$2004,$Z394-2000)=0,"",INDEX(周转筐出入库明细!$P$4:$P$2004,$Z394-2000)),IF($Z394&lt;=5200,"",IF($Z394&lt;=5800,N(INDEX(次果筐明细!$L$4:$L$603,$Z394-5200))+N(INDEX(次果筐明细!$J$4:$J$603,$Z394-5200)),"")))))</f>
        <v/>
      </c>
      <c r="L394" s="24" t="str">
        <f>IF($Z394="","",IF($Z394&lt;=2000,IF(INDEX(包装物料出入库明细!$P$4:$P$2003,$Z394-0)=0,"",INDEX(包装物料出入库明细!$P$4:$P$2003,$Z394-0)),IF($Z394&lt;=4000,IF(INDEX(周转筐出入库明细!$Q$4:$Q$2004,$Z394-2000)=0,"",INDEX(周转筐出入库明细!$Q$4:$Q$2004,$Z394-2000)),IF($Z394&lt;=5200,"",IF($Z394&lt;=5800,IF(INDEX(次果筐明细!$M$4:$M$603,$Z394-5200)=0,"",INDEX(次果筐明细!$M$4:$M$603,$Z394-5200)),"")))))</f>
        <v/>
      </c>
      <c r="M394" s="37" t="str">
        <f>IF($Z394="","",IF($Z394&lt;=2000,IF(INDEX(包装物料出入库明细!$R$4:$R$2003,$Z394-0)=0,"",INDEX(包装物料出入库明细!$R$4:$R$2003,$Z394-0)),IF($Z394&lt;=4000,IF(INDEX(周转筐出入库明细!$W$4:$W$2004,$Z394-2000)=0,"",INDEX(周转筐出入库明细!$W$4:$W$2004,$Z394-2000)),IF($Z394&lt;=5200,IF(INDEX(客户自备加工筐明细!$L$4:$L$1203,$Z394-4000)=0,"",INDEX(客户自备加工筐明细!$L$4:$L$1203,$Z394-4000)),IF($Z394&lt;=5800,IF(INDEX(次果筐明细!$P$4:$P$603,$Z394-5200)=0,"",INDEX(次果筐明细!$P$4:$P$603,$Z394-5200)),"")))))</f>
        <v/>
      </c>
      <c r="N394" s="16" t="str">
        <f>IF($Z394="","",IF($Z394&lt;=2000,"",IF($Z394&lt;=4000,IF(INDEX(周转筐出入库明细!$D$4:$D$2004,$Z394-2000)=0,"",INDEX(周转筐出入库明细!$D$4:$D$2004,$Z394-2000)),IF($Z394&lt;=5200,IF(INDEX(客户自备加工筐明细!$C$4:$C$1203,$Z394-4000)=0,"",INDEX(客户自备加工筐明细!$C$4:$C$1203,$Z394-4000)),IF($Z394&lt;=5800,IF(INDEX(次果筐明细!$D$4:$D$603,$Z394-5200)=0,"",INDEX(次果筐明细!$D$4:$D$603,$Z394-5200)),"")))))</f>
        <v/>
      </c>
      <c r="O394" s="40" t="str">
        <f>IF($Z394="","",IF($Z394&lt;=2000,"",IF($Z394&lt;=4000,IF(N(INDEX(周转筐出入库明细!$J$4:$J$2004,$Z394-2000))+N(INDEX(周转筐出入库明细!$K$4:$K$2004,$Z394-2000))=0,"",N(INDEX(周转筐出入库明细!$J$4:$J$2004,$Z394-2000))+N(INDEX(周转筐出入库明细!$K$4:$K$2004,$Z394-2000))),IF($Z394&lt;=5200,IF(N(INDEX(客户自备加工筐明细!$G$4:$G$1203,$Z394-4000))=0,"",N(INDEX(客户自备加工筐明细!$G$4:$G$1203,$Z394-4000))),IF($Z394&lt;=5800,IF(ISNUMBER(SEARCH("退",INDEX(次果筐明细!$F$4:$F$603,$Z394-5200)&amp;"")),"",IF(N(INDEX(次果筐明细!$G$4:$G$603,$Z394-5200))=0,"",N(INDEX(次果筐明细!$G$4:$G$603,$Z394-5200)))),"")))))</f>
        <v/>
      </c>
      <c r="P394" s="40" t="str">
        <f>IF($Z394="","",IF($Z394&lt;=2000,"",IF($Z394&lt;=4000,IF(N(INDEX(周转筐出入库明细!$I$4:$I$2004,$Z394-2000))=0,"",N(INDEX(周转筐出入库明细!$I$4:$I$2004,$Z394-2000))),IF($Z394&lt;=5200,"",IF($Z394&lt;=5800,IF(ISNUMBER(SEARCH("退",INDEX(次果筐明细!$F$4:$F$603,$Z394-5200)&amp;"")),IF(N(INDEX(次果筐明细!$G$4:$G$603,$Z394-5200))=0,"",N(INDEX(次果筐明细!$G$4:$G$603,$Z394-5200))),""),"")))))</f>
        <v/>
      </c>
      <c r="Q394" s="40" t="str">
        <f>IF($Z394="","",IF($Z394&lt;=2000,"",IF($Z394&lt;=4000,IF(N(INDEX(周转筐出入库明细!$H$4:$H$2004,$Z394-2000))=0,"",N(INDEX(周转筐出入库明细!$H$4:$H$2004,$Z394-2000))),IF($Z394&lt;=5200,IF(N(INDEX(客户自备加工筐明细!$F$4:$F$1203,$Z394-4000))=0,"",N(INDEX(客户自备加工筐明细!$F$4:$F$1203,$Z394-4000))),IF($Z394&lt;=5800,"","")))))</f>
        <v/>
      </c>
      <c r="R394" s="16" t="str">
        <f>IF($Z394="","",IF($Z394&lt;=2000,IF(INDEX(包装物料出入库明细!$O$4:$O$2003,$Z394-0)=0,"",INDEX(包装物料出入库明细!$O$4:$O$2003,$Z394-0)),IF($Z394&lt;=4000,IF(INDEX(周转筐出入库明细!$M$4:$M$2004,$Z394-2000)=0,"",INDEX(周转筐出入库明细!$M$4:$M$2004,$Z394-2000)),IF($Z394&lt;=5200,IF(INDEX(客户自备加工筐明细!$H$4:$H$1203,$Z394-4000)=0,"",INDEX(客户自备加工筐明细!$H$4:$H$1203,$Z394-4000)),IF($Z394&lt;=5800,IF(INDEX(次果筐明细!$H$4:$H$603,$Z394-5200)=0,"",INDEX(次果筐明细!$H$4:$H$603,$Z394-5200)),"")))))</f>
        <v/>
      </c>
      <c r="S394" s="22" t="str">
        <f t="shared" si="20"/>
        <v/>
      </c>
      <c r="Z394" s="10" t="str">
        <f>IFERROR(MATCH(ROW()-3,_自动清单!$CQ$4:$CQ$5803,0),"")</f>
        <v/>
      </c>
    </row>
    <row r="395" spans="1:26">
      <c r="A395" s="24" t="str">
        <f t="shared" si="18"/>
        <v/>
      </c>
      <c r="B395" s="38" t="str">
        <f>IF($Z395="","",IF($Z395&lt;=2000,IF(INDEX(包装物料出入库明细!$B$4:$B$2003,$Z395-0)=0,"",INDEX(包装物料出入库明细!$B$4:$B$2003,$Z395-0)),IF($Z395&lt;=4000,IF(INDEX(周转筐出入库明细!$B$4:$B$2004,$Z395-2000)=0,"",INDEX(周转筐出入库明细!$B$4:$B$2004,$Z395-2000)),IF($Z395&lt;=5200,IF(INDEX(客户自备加工筐明细!$B$4:$B$1203,$Z395-4000)=0,"",INDEX(客户自备加工筐明细!$B$4:$B$1203,$Z395-4000)),IF($Z395&lt;=5800,IF(INDEX(次果筐明细!$B$4:$B$603,$Z395-5200)=0,"",INDEX(次果筐明细!$B$4:$B$603,$Z395-5200)),"")))))</f>
        <v/>
      </c>
      <c r="C395" s="37" t="str">
        <f>IF($Z395="","",IF($Z395&lt;=2000,IF(INDEX(包装物料出入库明细!$D$4:$D$2003,$Z395-0)=0,"",INDEX(包装物料出入库明细!$D$4:$D$2003,$Z395-0)),IF($Z395&lt;=4000,IF(INDEX(周转筐出入库明细!$C$4:$C$2004,$Z395-2000)=0,"",INDEX(周转筐出入库明细!$C$4:$C$2004,$Z395-2000)),IF($Z395&lt;=5200,IF(INDEX(客户自备加工筐明细!$E$4:$E$1203,$Z395-4000)=0,"",INDEX(客户自备加工筐明细!$E$4:$E$1203,$Z395-4000)),IF($Z395&lt;=5800,IF(INDEX(次果筐明细!$C$4:$C$603,$Z395-5200)=0,"",INDEX(次果筐明细!$C$4:$C$603,$Z395-5200)),"")))))</f>
        <v/>
      </c>
      <c r="D395" s="37" t="str">
        <f>IF($Z395="","",IF($Z395&lt;=2000,"包装物料－"&amp;INDEX(包装物料出入库明细!$H$4:$H$2003,$Z395-0),IF($Z395&lt;=4000,"周转筐－"&amp;INDEX(周转筐出入库明细!$F$4:$F$2004,$Z395-2000),IF($Z395&lt;=5200,"客户自备筐－"&amp;INDEX(客户自备加工筐明细!$J$4:$J$1203,$Z395-4000),IF($Z395&lt;=5800,"次果筐/托盘－"&amp;INDEX(次果筐明细!$F$4:$F$603,$Z395-5200),"")))))</f>
        <v/>
      </c>
      <c r="E395" s="24" t="str">
        <f>IF($Z395="","",IF($Z395&lt;=2000,IF(INDEX(包装物料出入库明细!$C$4:$C$2003,$Z395-0)=0,"",INDEX(包装物料出入库明细!$C$4:$C$2003,$Z395-0)),IF($Z395&lt;=4000,IF(INDEX(周转筐出入库明细!$E$4:$E$2004,$Z395-2000)=0,"",INDEX(周转筐出入库明细!$E$4:$E$2004,$Z395-2000)),IF($Z395&lt;=5200,IF(INDEX(客户自备加工筐明细!$D$4:$D$1203,$Z395-4000)=0,"",INDEX(客户自备加工筐明细!$D$4:$D$1203,$Z395-4000)),IF($Z395&lt;=5800,IF(INDEX(次果筐明细!$E$4:$E$603,$Z395-5200)=0,"",INDEX(次果筐明细!$E$4:$E$603,$Z395-5200)),"")))))</f>
        <v/>
      </c>
      <c r="F395" s="24" t="str">
        <f>IF($Z395="","",IF($Z395&lt;=2000,IF(INDEX(包装物料出入库明细!$E$4:$E$2003,$Z395-0)=0,"",INDEX(包装物料出入库明细!$E$4:$E$2003,$Z395-0)),IF($Z395&lt;=4000,IF(INDEX(周转筐出入库明细!$D$4:$D$2004,$Z395-2000)=0,"",INDEX(周转筐出入库明细!$D$4:$D$2004,$Z395-2000)),IF($Z395&lt;=5200,IF(INDEX(客户自备加工筐明细!$C$4:$C$1203,$Z395-4000)=0,"",INDEX(客户自备加工筐明细!$C$4:$C$1203,$Z395-4000)),IF($Z395&lt;=5800,IF(INDEX(次果筐明细!$D$4:$D$603,$Z395-5200)=0,"",INDEX(次果筐明细!$D$4:$D$603,$Z395-5200)),"")))))</f>
        <v/>
      </c>
      <c r="G395" s="24" t="str">
        <f>IF($Z395="","",IF($Z395&lt;=2000,IF(INDEX(包装物料出入库明细!$F$4:$F$2003,$Z395-0)=0,"",INDEX(包装物料出入库明细!$F$4:$F$2003,$Z395-0)),IF($Z395&lt;=4000,"",IF($Z395&lt;=5200,"",IF($Z395&lt;=5800,"","")))))</f>
        <v/>
      </c>
      <c r="H395" s="39" t="str">
        <f>IF($Z395="","",IF($Z395&lt;=2000,IF(INDEX(包装物料出入库明细!$L$4:$L$2003,$Z395-0)=0,"",INDEX(包装物料出入库明细!$L$4:$L$2003,$Z395-0)),IF($Z395&lt;=4000,N(INDEX(周转筐出入库明细!$H$4:$H$2004,$Z395-2000))+N(INDEX(周转筐出入库明细!$I$4:$I$2004,$Z395-2000))+N(INDEX(周转筐出入库明细!$J$4:$J$2004,$Z395-2000))+N(INDEX(周转筐出入库明细!$K$4:$K$2004,$Z395-2000)),IF($Z395&lt;=5200,N(INDEX(客户自备加工筐明细!$F$4:$F$1203,$Z395-4000))+N(INDEX(客户自备加工筐明细!$G$4:$G$1203,$Z395-4000)),IF($Z395&lt;=5800,IF(INDEX(次果筐明细!$G$4:$G$603,$Z395-5200)=0,"",INDEX(次果筐明细!$G$4:$G$603,$Z395-5200)),"")))))</f>
        <v/>
      </c>
      <c r="I395" s="24" t="str">
        <f>IF($Z395="","",IF($Z395&lt;=2000,IF(INDEX(包装物料出入库明细!$G$4:$G$2003,$Z395-0)=0,"",INDEX(包装物料出入库明细!$G$4:$G$2003,$Z395-0)),IF($Z395&lt;=4000,"个",IF($Z395&lt;=5200,"个",IF($Z395&lt;=5800,"个","")))))</f>
        <v/>
      </c>
      <c r="J395" s="30" t="str">
        <f t="shared" si="19"/>
        <v/>
      </c>
      <c r="K395" s="30" t="str">
        <f>IF($Z395="","",IF($Z395&lt;=2000,IF(INDEX(包装物料出入库明细!$N$4:$N$2003,$Z395-0)=0,"",INDEX(包装物料出入库明细!$N$4:$N$2003,$Z395-0)),IF($Z395&lt;=4000,IF(INDEX(周转筐出入库明细!$P$4:$P$2004,$Z395-2000)=0,"",INDEX(周转筐出入库明细!$P$4:$P$2004,$Z395-2000)),IF($Z395&lt;=5200,"",IF($Z395&lt;=5800,N(INDEX(次果筐明细!$L$4:$L$603,$Z395-5200))+N(INDEX(次果筐明细!$J$4:$J$603,$Z395-5200)),"")))))</f>
        <v/>
      </c>
      <c r="L395" s="24" t="str">
        <f>IF($Z395="","",IF($Z395&lt;=2000,IF(INDEX(包装物料出入库明细!$P$4:$P$2003,$Z395-0)=0,"",INDEX(包装物料出入库明细!$P$4:$P$2003,$Z395-0)),IF($Z395&lt;=4000,IF(INDEX(周转筐出入库明细!$Q$4:$Q$2004,$Z395-2000)=0,"",INDEX(周转筐出入库明细!$Q$4:$Q$2004,$Z395-2000)),IF($Z395&lt;=5200,"",IF($Z395&lt;=5800,IF(INDEX(次果筐明细!$M$4:$M$603,$Z395-5200)=0,"",INDEX(次果筐明细!$M$4:$M$603,$Z395-5200)),"")))))</f>
        <v/>
      </c>
      <c r="M395" s="37" t="str">
        <f>IF($Z395="","",IF($Z395&lt;=2000,IF(INDEX(包装物料出入库明细!$R$4:$R$2003,$Z395-0)=0,"",INDEX(包装物料出入库明细!$R$4:$R$2003,$Z395-0)),IF($Z395&lt;=4000,IF(INDEX(周转筐出入库明细!$W$4:$W$2004,$Z395-2000)=0,"",INDEX(周转筐出入库明细!$W$4:$W$2004,$Z395-2000)),IF($Z395&lt;=5200,IF(INDEX(客户自备加工筐明细!$L$4:$L$1203,$Z395-4000)=0,"",INDEX(客户自备加工筐明细!$L$4:$L$1203,$Z395-4000)),IF($Z395&lt;=5800,IF(INDEX(次果筐明细!$P$4:$P$603,$Z395-5200)=0,"",INDEX(次果筐明细!$P$4:$P$603,$Z395-5200)),"")))))</f>
        <v/>
      </c>
      <c r="N395" s="16" t="str">
        <f>IF($Z395="","",IF($Z395&lt;=2000,"",IF($Z395&lt;=4000,IF(INDEX(周转筐出入库明细!$D$4:$D$2004,$Z395-2000)=0,"",INDEX(周转筐出入库明细!$D$4:$D$2004,$Z395-2000)),IF($Z395&lt;=5200,IF(INDEX(客户自备加工筐明细!$C$4:$C$1203,$Z395-4000)=0,"",INDEX(客户自备加工筐明细!$C$4:$C$1203,$Z395-4000)),IF($Z395&lt;=5800,IF(INDEX(次果筐明细!$D$4:$D$603,$Z395-5200)=0,"",INDEX(次果筐明细!$D$4:$D$603,$Z395-5200)),"")))))</f>
        <v/>
      </c>
      <c r="O395" s="40" t="str">
        <f>IF($Z395="","",IF($Z395&lt;=2000,"",IF($Z395&lt;=4000,IF(N(INDEX(周转筐出入库明细!$J$4:$J$2004,$Z395-2000))+N(INDEX(周转筐出入库明细!$K$4:$K$2004,$Z395-2000))=0,"",N(INDEX(周转筐出入库明细!$J$4:$J$2004,$Z395-2000))+N(INDEX(周转筐出入库明细!$K$4:$K$2004,$Z395-2000))),IF($Z395&lt;=5200,IF(N(INDEX(客户自备加工筐明细!$G$4:$G$1203,$Z395-4000))=0,"",N(INDEX(客户自备加工筐明细!$G$4:$G$1203,$Z395-4000))),IF($Z395&lt;=5800,IF(ISNUMBER(SEARCH("退",INDEX(次果筐明细!$F$4:$F$603,$Z395-5200)&amp;"")),"",IF(N(INDEX(次果筐明细!$G$4:$G$603,$Z395-5200))=0,"",N(INDEX(次果筐明细!$G$4:$G$603,$Z395-5200)))),"")))))</f>
        <v/>
      </c>
      <c r="P395" s="40" t="str">
        <f>IF($Z395="","",IF($Z395&lt;=2000,"",IF($Z395&lt;=4000,IF(N(INDEX(周转筐出入库明细!$I$4:$I$2004,$Z395-2000))=0,"",N(INDEX(周转筐出入库明细!$I$4:$I$2004,$Z395-2000))),IF($Z395&lt;=5200,"",IF($Z395&lt;=5800,IF(ISNUMBER(SEARCH("退",INDEX(次果筐明细!$F$4:$F$603,$Z395-5200)&amp;"")),IF(N(INDEX(次果筐明细!$G$4:$G$603,$Z395-5200))=0,"",N(INDEX(次果筐明细!$G$4:$G$603,$Z395-5200))),""),"")))))</f>
        <v/>
      </c>
      <c r="Q395" s="40" t="str">
        <f>IF($Z395="","",IF($Z395&lt;=2000,"",IF($Z395&lt;=4000,IF(N(INDEX(周转筐出入库明细!$H$4:$H$2004,$Z395-2000))=0,"",N(INDEX(周转筐出入库明细!$H$4:$H$2004,$Z395-2000))),IF($Z395&lt;=5200,IF(N(INDEX(客户自备加工筐明细!$F$4:$F$1203,$Z395-4000))=0,"",N(INDEX(客户自备加工筐明细!$F$4:$F$1203,$Z395-4000))),IF($Z395&lt;=5800,"","")))))</f>
        <v/>
      </c>
      <c r="R395" s="16" t="str">
        <f>IF($Z395="","",IF($Z395&lt;=2000,IF(INDEX(包装物料出入库明细!$O$4:$O$2003,$Z395-0)=0,"",INDEX(包装物料出入库明细!$O$4:$O$2003,$Z395-0)),IF($Z395&lt;=4000,IF(INDEX(周转筐出入库明细!$M$4:$M$2004,$Z395-2000)=0,"",INDEX(周转筐出入库明细!$M$4:$M$2004,$Z395-2000)),IF($Z395&lt;=5200,IF(INDEX(客户自备加工筐明细!$H$4:$H$1203,$Z395-4000)=0,"",INDEX(客户自备加工筐明细!$H$4:$H$1203,$Z395-4000)),IF($Z395&lt;=5800,IF(INDEX(次果筐明细!$H$4:$H$603,$Z395-5200)=0,"",INDEX(次果筐明细!$H$4:$H$603,$Z395-5200)),"")))))</f>
        <v/>
      </c>
      <c r="S395" s="22" t="str">
        <f t="shared" si="20"/>
        <v/>
      </c>
      <c r="Z395" s="10" t="str">
        <f>IFERROR(MATCH(ROW()-3,_自动清单!$CQ$4:$CQ$5803,0),"")</f>
        <v/>
      </c>
    </row>
    <row r="396" spans="1:26">
      <c r="A396" s="24" t="str">
        <f t="shared" si="18"/>
        <v/>
      </c>
      <c r="B396" s="38" t="str">
        <f>IF($Z396="","",IF($Z396&lt;=2000,IF(INDEX(包装物料出入库明细!$B$4:$B$2003,$Z396-0)=0,"",INDEX(包装物料出入库明细!$B$4:$B$2003,$Z396-0)),IF($Z396&lt;=4000,IF(INDEX(周转筐出入库明细!$B$4:$B$2004,$Z396-2000)=0,"",INDEX(周转筐出入库明细!$B$4:$B$2004,$Z396-2000)),IF($Z396&lt;=5200,IF(INDEX(客户自备加工筐明细!$B$4:$B$1203,$Z396-4000)=0,"",INDEX(客户自备加工筐明细!$B$4:$B$1203,$Z396-4000)),IF($Z396&lt;=5800,IF(INDEX(次果筐明细!$B$4:$B$603,$Z396-5200)=0,"",INDEX(次果筐明细!$B$4:$B$603,$Z396-5200)),"")))))</f>
        <v/>
      </c>
      <c r="C396" s="37" t="str">
        <f>IF($Z396="","",IF($Z396&lt;=2000,IF(INDEX(包装物料出入库明细!$D$4:$D$2003,$Z396-0)=0,"",INDEX(包装物料出入库明细!$D$4:$D$2003,$Z396-0)),IF($Z396&lt;=4000,IF(INDEX(周转筐出入库明细!$C$4:$C$2004,$Z396-2000)=0,"",INDEX(周转筐出入库明细!$C$4:$C$2004,$Z396-2000)),IF($Z396&lt;=5200,IF(INDEX(客户自备加工筐明细!$E$4:$E$1203,$Z396-4000)=0,"",INDEX(客户自备加工筐明细!$E$4:$E$1203,$Z396-4000)),IF($Z396&lt;=5800,IF(INDEX(次果筐明细!$C$4:$C$603,$Z396-5200)=0,"",INDEX(次果筐明细!$C$4:$C$603,$Z396-5200)),"")))))</f>
        <v/>
      </c>
      <c r="D396" s="37" t="str">
        <f>IF($Z396="","",IF($Z396&lt;=2000,"包装物料－"&amp;INDEX(包装物料出入库明细!$H$4:$H$2003,$Z396-0),IF($Z396&lt;=4000,"周转筐－"&amp;INDEX(周转筐出入库明细!$F$4:$F$2004,$Z396-2000),IF($Z396&lt;=5200,"客户自备筐－"&amp;INDEX(客户自备加工筐明细!$J$4:$J$1203,$Z396-4000),IF($Z396&lt;=5800,"次果筐/托盘－"&amp;INDEX(次果筐明细!$F$4:$F$603,$Z396-5200),"")))))</f>
        <v/>
      </c>
      <c r="E396" s="24" t="str">
        <f>IF($Z396="","",IF($Z396&lt;=2000,IF(INDEX(包装物料出入库明细!$C$4:$C$2003,$Z396-0)=0,"",INDEX(包装物料出入库明细!$C$4:$C$2003,$Z396-0)),IF($Z396&lt;=4000,IF(INDEX(周转筐出入库明细!$E$4:$E$2004,$Z396-2000)=0,"",INDEX(周转筐出入库明细!$E$4:$E$2004,$Z396-2000)),IF($Z396&lt;=5200,IF(INDEX(客户自备加工筐明细!$D$4:$D$1203,$Z396-4000)=0,"",INDEX(客户自备加工筐明细!$D$4:$D$1203,$Z396-4000)),IF($Z396&lt;=5800,IF(INDEX(次果筐明细!$E$4:$E$603,$Z396-5200)=0,"",INDEX(次果筐明细!$E$4:$E$603,$Z396-5200)),"")))))</f>
        <v/>
      </c>
      <c r="F396" s="24" t="str">
        <f>IF($Z396="","",IF($Z396&lt;=2000,IF(INDEX(包装物料出入库明细!$E$4:$E$2003,$Z396-0)=0,"",INDEX(包装物料出入库明细!$E$4:$E$2003,$Z396-0)),IF($Z396&lt;=4000,IF(INDEX(周转筐出入库明细!$D$4:$D$2004,$Z396-2000)=0,"",INDEX(周转筐出入库明细!$D$4:$D$2004,$Z396-2000)),IF($Z396&lt;=5200,IF(INDEX(客户自备加工筐明细!$C$4:$C$1203,$Z396-4000)=0,"",INDEX(客户自备加工筐明细!$C$4:$C$1203,$Z396-4000)),IF($Z396&lt;=5800,IF(INDEX(次果筐明细!$D$4:$D$603,$Z396-5200)=0,"",INDEX(次果筐明细!$D$4:$D$603,$Z396-5200)),"")))))</f>
        <v/>
      </c>
      <c r="G396" s="24" t="str">
        <f>IF($Z396="","",IF($Z396&lt;=2000,IF(INDEX(包装物料出入库明细!$F$4:$F$2003,$Z396-0)=0,"",INDEX(包装物料出入库明细!$F$4:$F$2003,$Z396-0)),IF($Z396&lt;=4000,"",IF($Z396&lt;=5200,"",IF($Z396&lt;=5800,"","")))))</f>
        <v/>
      </c>
      <c r="H396" s="39" t="str">
        <f>IF($Z396="","",IF($Z396&lt;=2000,IF(INDEX(包装物料出入库明细!$L$4:$L$2003,$Z396-0)=0,"",INDEX(包装物料出入库明细!$L$4:$L$2003,$Z396-0)),IF($Z396&lt;=4000,N(INDEX(周转筐出入库明细!$H$4:$H$2004,$Z396-2000))+N(INDEX(周转筐出入库明细!$I$4:$I$2004,$Z396-2000))+N(INDEX(周转筐出入库明细!$J$4:$J$2004,$Z396-2000))+N(INDEX(周转筐出入库明细!$K$4:$K$2004,$Z396-2000)),IF($Z396&lt;=5200,N(INDEX(客户自备加工筐明细!$F$4:$F$1203,$Z396-4000))+N(INDEX(客户自备加工筐明细!$G$4:$G$1203,$Z396-4000)),IF($Z396&lt;=5800,IF(INDEX(次果筐明细!$G$4:$G$603,$Z396-5200)=0,"",INDEX(次果筐明细!$G$4:$G$603,$Z396-5200)),"")))))</f>
        <v/>
      </c>
      <c r="I396" s="24" t="str">
        <f>IF($Z396="","",IF($Z396&lt;=2000,IF(INDEX(包装物料出入库明细!$G$4:$G$2003,$Z396-0)=0,"",INDEX(包装物料出入库明细!$G$4:$G$2003,$Z396-0)),IF($Z396&lt;=4000,"个",IF($Z396&lt;=5200,"个",IF($Z396&lt;=5800,"个","")))))</f>
        <v/>
      </c>
      <c r="J396" s="30" t="str">
        <f t="shared" si="19"/>
        <v/>
      </c>
      <c r="K396" s="30" t="str">
        <f>IF($Z396="","",IF($Z396&lt;=2000,IF(INDEX(包装物料出入库明细!$N$4:$N$2003,$Z396-0)=0,"",INDEX(包装物料出入库明细!$N$4:$N$2003,$Z396-0)),IF($Z396&lt;=4000,IF(INDEX(周转筐出入库明细!$P$4:$P$2004,$Z396-2000)=0,"",INDEX(周转筐出入库明细!$P$4:$P$2004,$Z396-2000)),IF($Z396&lt;=5200,"",IF($Z396&lt;=5800,N(INDEX(次果筐明细!$L$4:$L$603,$Z396-5200))+N(INDEX(次果筐明细!$J$4:$J$603,$Z396-5200)),"")))))</f>
        <v/>
      </c>
      <c r="L396" s="24" t="str">
        <f>IF($Z396="","",IF($Z396&lt;=2000,IF(INDEX(包装物料出入库明细!$P$4:$P$2003,$Z396-0)=0,"",INDEX(包装物料出入库明细!$P$4:$P$2003,$Z396-0)),IF($Z396&lt;=4000,IF(INDEX(周转筐出入库明细!$Q$4:$Q$2004,$Z396-2000)=0,"",INDEX(周转筐出入库明细!$Q$4:$Q$2004,$Z396-2000)),IF($Z396&lt;=5200,"",IF($Z396&lt;=5800,IF(INDEX(次果筐明细!$M$4:$M$603,$Z396-5200)=0,"",INDEX(次果筐明细!$M$4:$M$603,$Z396-5200)),"")))))</f>
        <v/>
      </c>
      <c r="M396" s="37" t="str">
        <f>IF($Z396="","",IF($Z396&lt;=2000,IF(INDEX(包装物料出入库明细!$R$4:$R$2003,$Z396-0)=0,"",INDEX(包装物料出入库明细!$R$4:$R$2003,$Z396-0)),IF($Z396&lt;=4000,IF(INDEX(周转筐出入库明细!$W$4:$W$2004,$Z396-2000)=0,"",INDEX(周转筐出入库明细!$W$4:$W$2004,$Z396-2000)),IF($Z396&lt;=5200,IF(INDEX(客户自备加工筐明细!$L$4:$L$1203,$Z396-4000)=0,"",INDEX(客户自备加工筐明细!$L$4:$L$1203,$Z396-4000)),IF($Z396&lt;=5800,IF(INDEX(次果筐明细!$P$4:$P$603,$Z396-5200)=0,"",INDEX(次果筐明细!$P$4:$P$603,$Z396-5200)),"")))))</f>
        <v/>
      </c>
      <c r="N396" s="16" t="str">
        <f>IF($Z396="","",IF($Z396&lt;=2000,"",IF($Z396&lt;=4000,IF(INDEX(周转筐出入库明细!$D$4:$D$2004,$Z396-2000)=0,"",INDEX(周转筐出入库明细!$D$4:$D$2004,$Z396-2000)),IF($Z396&lt;=5200,IF(INDEX(客户自备加工筐明细!$C$4:$C$1203,$Z396-4000)=0,"",INDEX(客户自备加工筐明细!$C$4:$C$1203,$Z396-4000)),IF($Z396&lt;=5800,IF(INDEX(次果筐明细!$D$4:$D$603,$Z396-5200)=0,"",INDEX(次果筐明细!$D$4:$D$603,$Z396-5200)),"")))))</f>
        <v/>
      </c>
      <c r="O396" s="40" t="str">
        <f>IF($Z396="","",IF($Z396&lt;=2000,"",IF($Z396&lt;=4000,IF(N(INDEX(周转筐出入库明细!$J$4:$J$2004,$Z396-2000))+N(INDEX(周转筐出入库明细!$K$4:$K$2004,$Z396-2000))=0,"",N(INDEX(周转筐出入库明细!$J$4:$J$2004,$Z396-2000))+N(INDEX(周转筐出入库明细!$K$4:$K$2004,$Z396-2000))),IF($Z396&lt;=5200,IF(N(INDEX(客户自备加工筐明细!$G$4:$G$1203,$Z396-4000))=0,"",N(INDEX(客户自备加工筐明细!$G$4:$G$1203,$Z396-4000))),IF($Z396&lt;=5800,IF(ISNUMBER(SEARCH("退",INDEX(次果筐明细!$F$4:$F$603,$Z396-5200)&amp;"")),"",IF(N(INDEX(次果筐明细!$G$4:$G$603,$Z396-5200))=0,"",N(INDEX(次果筐明细!$G$4:$G$603,$Z396-5200)))),"")))))</f>
        <v/>
      </c>
      <c r="P396" s="40" t="str">
        <f>IF($Z396="","",IF($Z396&lt;=2000,"",IF($Z396&lt;=4000,IF(N(INDEX(周转筐出入库明细!$I$4:$I$2004,$Z396-2000))=0,"",N(INDEX(周转筐出入库明细!$I$4:$I$2004,$Z396-2000))),IF($Z396&lt;=5200,"",IF($Z396&lt;=5800,IF(ISNUMBER(SEARCH("退",INDEX(次果筐明细!$F$4:$F$603,$Z396-5200)&amp;"")),IF(N(INDEX(次果筐明细!$G$4:$G$603,$Z396-5200))=0,"",N(INDEX(次果筐明细!$G$4:$G$603,$Z396-5200))),""),"")))))</f>
        <v/>
      </c>
      <c r="Q396" s="40" t="str">
        <f>IF($Z396="","",IF($Z396&lt;=2000,"",IF($Z396&lt;=4000,IF(N(INDEX(周转筐出入库明细!$H$4:$H$2004,$Z396-2000))=0,"",N(INDEX(周转筐出入库明细!$H$4:$H$2004,$Z396-2000))),IF($Z396&lt;=5200,IF(N(INDEX(客户自备加工筐明细!$F$4:$F$1203,$Z396-4000))=0,"",N(INDEX(客户自备加工筐明细!$F$4:$F$1203,$Z396-4000))),IF($Z396&lt;=5800,"","")))))</f>
        <v/>
      </c>
      <c r="R396" s="16" t="str">
        <f>IF($Z396="","",IF($Z396&lt;=2000,IF(INDEX(包装物料出入库明细!$O$4:$O$2003,$Z396-0)=0,"",INDEX(包装物料出入库明细!$O$4:$O$2003,$Z396-0)),IF($Z396&lt;=4000,IF(INDEX(周转筐出入库明细!$M$4:$M$2004,$Z396-2000)=0,"",INDEX(周转筐出入库明细!$M$4:$M$2004,$Z396-2000)),IF($Z396&lt;=5200,IF(INDEX(客户自备加工筐明细!$H$4:$H$1203,$Z396-4000)=0,"",INDEX(客户自备加工筐明细!$H$4:$H$1203,$Z396-4000)),IF($Z396&lt;=5800,IF(INDEX(次果筐明细!$H$4:$H$603,$Z396-5200)=0,"",INDEX(次果筐明细!$H$4:$H$603,$Z396-5200)),"")))))</f>
        <v/>
      </c>
      <c r="S396" s="22" t="str">
        <f t="shared" si="20"/>
        <v/>
      </c>
      <c r="Z396" s="10" t="str">
        <f>IFERROR(MATCH(ROW()-3,_自动清单!$CQ$4:$CQ$5803,0),"")</f>
        <v/>
      </c>
    </row>
    <row r="397" spans="1:26">
      <c r="A397" s="24" t="str">
        <f t="shared" si="18"/>
        <v/>
      </c>
      <c r="B397" s="38" t="str">
        <f>IF($Z397="","",IF($Z397&lt;=2000,IF(INDEX(包装物料出入库明细!$B$4:$B$2003,$Z397-0)=0,"",INDEX(包装物料出入库明细!$B$4:$B$2003,$Z397-0)),IF($Z397&lt;=4000,IF(INDEX(周转筐出入库明细!$B$4:$B$2004,$Z397-2000)=0,"",INDEX(周转筐出入库明细!$B$4:$B$2004,$Z397-2000)),IF($Z397&lt;=5200,IF(INDEX(客户自备加工筐明细!$B$4:$B$1203,$Z397-4000)=0,"",INDEX(客户自备加工筐明细!$B$4:$B$1203,$Z397-4000)),IF($Z397&lt;=5800,IF(INDEX(次果筐明细!$B$4:$B$603,$Z397-5200)=0,"",INDEX(次果筐明细!$B$4:$B$603,$Z397-5200)),"")))))</f>
        <v/>
      </c>
      <c r="C397" s="37" t="str">
        <f>IF($Z397="","",IF($Z397&lt;=2000,IF(INDEX(包装物料出入库明细!$D$4:$D$2003,$Z397-0)=0,"",INDEX(包装物料出入库明细!$D$4:$D$2003,$Z397-0)),IF($Z397&lt;=4000,IF(INDEX(周转筐出入库明细!$C$4:$C$2004,$Z397-2000)=0,"",INDEX(周转筐出入库明细!$C$4:$C$2004,$Z397-2000)),IF($Z397&lt;=5200,IF(INDEX(客户自备加工筐明细!$E$4:$E$1203,$Z397-4000)=0,"",INDEX(客户自备加工筐明细!$E$4:$E$1203,$Z397-4000)),IF($Z397&lt;=5800,IF(INDEX(次果筐明细!$C$4:$C$603,$Z397-5200)=0,"",INDEX(次果筐明细!$C$4:$C$603,$Z397-5200)),"")))))</f>
        <v/>
      </c>
      <c r="D397" s="37" t="str">
        <f>IF($Z397="","",IF($Z397&lt;=2000,"包装物料－"&amp;INDEX(包装物料出入库明细!$H$4:$H$2003,$Z397-0),IF($Z397&lt;=4000,"周转筐－"&amp;INDEX(周转筐出入库明细!$F$4:$F$2004,$Z397-2000),IF($Z397&lt;=5200,"客户自备筐－"&amp;INDEX(客户自备加工筐明细!$J$4:$J$1203,$Z397-4000),IF($Z397&lt;=5800,"次果筐/托盘－"&amp;INDEX(次果筐明细!$F$4:$F$603,$Z397-5200),"")))))</f>
        <v/>
      </c>
      <c r="E397" s="24" t="str">
        <f>IF($Z397="","",IF($Z397&lt;=2000,IF(INDEX(包装物料出入库明细!$C$4:$C$2003,$Z397-0)=0,"",INDEX(包装物料出入库明细!$C$4:$C$2003,$Z397-0)),IF($Z397&lt;=4000,IF(INDEX(周转筐出入库明细!$E$4:$E$2004,$Z397-2000)=0,"",INDEX(周转筐出入库明细!$E$4:$E$2004,$Z397-2000)),IF($Z397&lt;=5200,IF(INDEX(客户自备加工筐明细!$D$4:$D$1203,$Z397-4000)=0,"",INDEX(客户自备加工筐明细!$D$4:$D$1203,$Z397-4000)),IF($Z397&lt;=5800,IF(INDEX(次果筐明细!$E$4:$E$603,$Z397-5200)=0,"",INDEX(次果筐明细!$E$4:$E$603,$Z397-5200)),"")))))</f>
        <v/>
      </c>
      <c r="F397" s="24" t="str">
        <f>IF($Z397="","",IF($Z397&lt;=2000,IF(INDEX(包装物料出入库明细!$E$4:$E$2003,$Z397-0)=0,"",INDEX(包装物料出入库明细!$E$4:$E$2003,$Z397-0)),IF($Z397&lt;=4000,IF(INDEX(周转筐出入库明细!$D$4:$D$2004,$Z397-2000)=0,"",INDEX(周转筐出入库明细!$D$4:$D$2004,$Z397-2000)),IF($Z397&lt;=5200,IF(INDEX(客户自备加工筐明细!$C$4:$C$1203,$Z397-4000)=0,"",INDEX(客户自备加工筐明细!$C$4:$C$1203,$Z397-4000)),IF($Z397&lt;=5800,IF(INDEX(次果筐明细!$D$4:$D$603,$Z397-5200)=0,"",INDEX(次果筐明细!$D$4:$D$603,$Z397-5200)),"")))))</f>
        <v/>
      </c>
      <c r="G397" s="24" t="str">
        <f>IF($Z397="","",IF($Z397&lt;=2000,IF(INDEX(包装物料出入库明细!$F$4:$F$2003,$Z397-0)=0,"",INDEX(包装物料出入库明细!$F$4:$F$2003,$Z397-0)),IF($Z397&lt;=4000,"",IF($Z397&lt;=5200,"",IF($Z397&lt;=5800,"","")))))</f>
        <v/>
      </c>
      <c r="H397" s="39" t="str">
        <f>IF($Z397="","",IF($Z397&lt;=2000,IF(INDEX(包装物料出入库明细!$L$4:$L$2003,$Z397-0)=0,"",INDEX(包装物料出入库明细!$L$4:$L$2003,$Z397-0)),IF($Z397&lt;=4000,N(INDEX(周转筐出入库明细!$H$4:$H$2004,$Z397-2000))+N(INDEX(周转筐出入库明细!$I$4:$I$2004,$Z397-2000))+N(INDEX(周转筐出入库明细!$J$4:$J$2004,$Z397-2000))+N(INDEX(周转筐出入库明细!$K$4:$K$2004,$Z397-2000)),IF($Z397&lt;=5200,N(INDEX(客户自备加工筐明细!$F$4:$F$1203,$Z397-4000))+N(INDEX(客户自备加工筐明细!$G$4:$G$1203,$Z397-4000)),IF($Z397&lt;=5800,IF(INDEX(次果筐明细!$G$4:$G$603,$Z397-5200)=0,"",INDEX(次果筐明细!$G$4:$G$603,$Z397-5200)),"")))))</f>
        <v/>
      </c>
      <c r="I397" s="24" t="str">
        <f>IF($Z397="","",IF($Z397&lt;=2000,IF(INDEX(包装物料出入库明细!$G$4:$G$2003,$Z397-0)=0,"",INDEX(包装物料出入库明细!$G$4:$G$2003,$Z397-0)),IF($Z397&lt;=4000,"个",IF($Z397&lt;=5200,"个",IF($Z397&lt;=5800,"个","")))))</f>
        <v/>
      </c>
      <c r="J397" s="30" t="str">
        <f t="shared" si="19"/>
        <v/>
      </c>
      <c r="K397" s="30" t="str">
        <f>IF($Z397="","",IF($Z397&lt;=2000,IF(INDEX(包装物料出入库明细!$N$4:$N$2003,$Z397-0)=0,"",INDEX(包装物料出入库明细!$N$4:$N$2003,$Z397-0)),IF($Z397&lt;=4000,IF(INDEX(周转筐出入库明细!$P$4:$P$2004,$Z397-2000)=0,"",INDEX(周转筐出入库明细!$P$4:$P$2004,$Z397-2000)),IF($Z397&lt;=5200,"",IF($Z397&lt;=5800,N(INDEX(次果筐明细!$L$4:$L$603,$Z397-5200))+N(INDEX(次果筐明细!$J$4:$J$603,$Z397-5200)),"")))))</f>
        <v/>
      </c>
      <c r="L397" s="24" t="str">
        <f>IF($Z397="","",IF($Z397&lt;=2000,IF(INDEX(包装物料出入库明细!$P$4:$P$2003,$Z397-0)=0,"",INDEX(包装物料出入库明细!$P$4:$P$2003,$Z397-0)),IF($Z397&lt;=4000,IF(INDEX(周转筐出入库明细!$Q$4:$Q$2004,$Z397-2000)=0,"",INDEX(周转筐出入库明细!$Q$4:$Q$2004,$Z397-2000)),IF($Z397&lt;=5200,"",IF($Z397&lt;=5800,IF(INDEX(次果筐明细!$M$4:$M$603,$Z397-5200)=0,"",INDEX(次果筐明细!$M$4:$M$603,$Z397-5200)),"")))))</f>
        <v/>
      </c>
      <c r="M397" s="37" t="str">
        <f>IF($Z397="","",IF($Z397&lt;=2000,IF(INDEX(包装物料出入库明细!$R$4:$R$2003,$Z397-0)=0,"",INDEX(包装物料出入库明细!$R$4:$R$2003,$Z397-0)),IF($Z397&lt;=4000,IF(INDEX(周转筐出入库明细!$W$4:$W$2004,$Z397-2000)=0,"",INDEX(周转筐出入库明细!$W$4:$W$2004,$Z397-2000)),IF($Z397&lt;=5200,IF(INDEX(客户自备加工筐明细!$L$4:$L$1203,$Z397-4000)=0,"",INDEX(客户自备加工筐明细!$L$4:$L$1203,$Z397-4000)),IF($Z397&lt;=5800,IF(INDEX(次果筐明细!$P$4:$P$603,$Z397-5200)=0,"",INDEX(次果筐明细!$P$4:$P$603,$Z397-5200)),"")))))</f>
        <v/>
      </c>
      <c r="N397" s="16" t="str">
        <f>IF($Z397="","",IF($Z397&lt;=2000,"",IF($Z397&lt;=4000,IF(INDEX(周转筐出入库明细!$D$4:$D$2004,$Z397-2000)=0,"",INDEX(周转筐出入库明细!$D$4:$D$2004,$Z397-2000)),IF($Z397&lt;=5200,IF(INDEX(客户自备加工筐明细!$C$4:$C$1203,$Z397-4000)=0,"",INDEX(客户自备加工筐明细!$C$4:$C$1203,$Z397-4000)),IF($Z397&lt;=5800,IF(INDEX(次果筐明细!$D$4:$D$603,$Z397-5200)=0,"",INDEX(次果筐明细!$D$4:$D$603,$Z397-5200)),"")))))</f>
        <v/>
      </c>
      <c r="O397" s="40" t="str">
        <f>IF($Z397="","",IF($Z397&lt;=2000,"",IF($Z397&lt;=4000,IF(N(INDEX(周转筐出入库明细!$J$4:$J$2004,$Z397-2000))+N(INDEX(周转筐出入库明细!$K$4:$K$2004,$Z397-2000))=0,"",N(INDEX(周转筐出入库明细!$J$4:$J$2004,$Z397-2000))+N(INDEX(周转筐出入库明细!$K$4:$K$2004,$Z397-2000))),IF($Z397&lt;=5200,IF(N(INDEX(客户自备加工筐明细!$G$4:$G$1203,$Z397-4000))=0,"",N(INDEX(客户自备加工筐明细!$G$4:$G$1203,$Z397-4000))),IF($Z397&lt;=5800,IF(ISNUMBER(SEARCH("退",INDEX(次果筐明细!$F$4:$F$603,$Z397-5200)&amp;"")),"",IF(N(INDEX(次果筐明细!$G$4:$G$603,$Z397-5200))=0,"",N(INDEX(次果筐明细!$G$4:$G$603,$Z397-5200)))),"")))))</f>
        <v/>
      </c>
      <c r="P397" s="40" t="str">
        <f>IF($Z397="","",IF($Z397&lt;=2000,"",IF($Z397&lt;=4000,IF(N(INDEX(周转筐出入库明细!$I$4:$I$2004,$Z397-2000))=0,"",N(INDEX(周转筐出入库明细!$I$4:$I$2004,$Z397-2000))),IF($Z397&lt;=5200,"",IF($Z397&lt;=5800,IF(ISNUMBER(SEARCH("退",INDEX(次果筐明细!$F$4:$F$603,$Z397-5200)&amp;"")),IF(N(INDEX(次果筐明细!$G$4:$G$603,$Z397-5200))=0,"",N(INDEX(次果筐明细!$G$4:$G$603,$Z397-5200))),""),"")))))</f>
        <v/>
      </c>
      <c r="Q397" s="40" t="str">
        <f>IF($Z397="","",IF($Z397&lt;=2000,"",IF($Z397&lt;=4000,IF(N(INDEX(周转筐出入库明细!$H$4:$H$2004,$Z397-2000))=0,"",N(INDEX(周转筐出入库明细!$H$4:$H$2004,$Z397-2000))),IF($Z397&lt;=5200,IF(N(INDEX(客户自备加工筐明细!$F$4:$F$1203,$Z397-4000))=0,"",N(INDEX(客户自备加工筐明细!$F$4:$F$1203,$Z397-4000))),IF($Z397&lt;=5800,"","")))))</f>
        <v/>
      </c>
      <c r="R397" s="16" t="str">
        <f>IF($Z397="","",IF($Z397&lt;=2000,IF(INDEX(包装物料出入库明细!$O$4:$O$2003,$Z397-0)=0,"",INDEX(包装物料出入库明细!$O$4:$O$2003,$Z397-0)),IF($Z397&lt;=4000,IF(INDEX(周转筐出入库明细!$M$4:$M$2004,$Z397-2000)=0,"",INDEX(周转筐出入库明细!$M$4:$M$2004,$Z397-2000)),IF($Z397&lt;=5200,IF(INDEX(客户自备加工筐明细!$H$4:$H$1203,$Z397-4000)=0,"",INDEX(客户自备加工筐明细!$H$4:$H$1203,$Z397-4000)),IF($Z397&lt;=5800,IF(INDEX(次果筐明细!$H$4:$H$603,$Z397-5200)=0,"",INDEX(次果筐明细!$H$4:$H$603,$Z397-5200)),"")))))</f>
        <v/>
      </c>
      <c r="S397" s="22" t="str">
        <f t="shared" si="20"/>
        <v/>
      </c>
      <c r="Z397" s="10" t="str">
        <f>IFERROR(MATCH(ROW()-3,_自动清单!$CQ$4:$CQ$5803,0),"")</f>
        <v/>
      </c>
    </row>
    <row r="398" spans="1:26">
      <c r="A398" s="24" t="str">
        <f t="shared" si="18"/>
        <v/>
      </c>
      <c r="B398" s="38" t="str">
        <f>IF($Z398="","",IF($Z398&lt;=2000,IF(INDEX(包装物料出入库明细!$B$4:$B$2003,$Z398-0)=0,"",INDEX(包装物料出入库明细!$B$4:$B$2003,$Z398-0)),IF($Z398&lt;=4000,IF(INDEX(周转筐出入库明细!$B$4:$B$2004,$Z398-2000)=0,"",INDEX(周转筐出入库明细!$B$4:$B$2004,$Z398-2000)),IF($Z398&lt;=5200,IF(INDEX(客户自备加工筐明细!$B$4:$B$1203,$Z398-4000)=0,"",INDEX(客户自备加工筐明细!$B$4:$B$1203,$Z398-4000)),IF($Z398&lt;=5800,IF(INDEX(次果筐明细!$B$4:$B$603,$Z398-5200)=0,"",INDEX(次果筐明细!$B$4:$B$603,$Z398-5200)),"")))))</f>
        <v/>
      </c>
      <c r="C398" s="37" t="str">
        <f>IF($Z398="","",IF($Z398&lt;=2000,IF(INDEX(包装物料出入库明细!$D$4:$D$2003,$Z398-0)=0,"",INDEX(包装物料出入库明细!$D$4:$D$2003,$Z398-0)),IF($Z398&lt;=4000,IF(INDEX(周转筐出入库明细!$C$4:$C$2004,$Z398-2000)=0,"",INDEX(周转筐出入库明细!$C$4:$C$2004,$Z398-2000)),IF($Z398&lt;=5200,IF(INDEX(客户自备加工筐明细!$E$4:$E$1203,$Z398-4000)=0,"",INDEX(客户自备加工筐明细!$E$4:$E$1203,$Z398-4000)),IF($Z398&lt;=5800,IF(INDEX(次果筐明细!$C$4:$C$603,$Z398-5200)=0,"",INDEX(次果筐明细!$C$4:$C$603,$Z398-5200)),"")))))</f>
        <v/>
      </c>
      <c r="D398" s="37" t="str">
        <f>IF($Z398="","",IF($Z398&lt;=2000,"包装物料－"&amp;INDEX(包装物料出入库明细!$H$4:$H$2003,$Z398-0),IF($Z398&lt;=4000,"周转筐－"&amp;INDEX(周转筐出入库明细!$F$4:$F$2004,$Z398-2000),IF($Z398&lt;=5200,"客户自备筐－"&amp;INDEX(客户自备加工筐明细!$J$4:$J$1203,$Z398-4000),IF($Z398&lt;=5800,"次果筐/托盘－"&amp;INDEX(次果筐明细!$F$4:$F$603,$Z398-5200),"")))))</f>
        <v/>
      </c>
      <c r="E398" s="24" t="str">
        <f>IF($Z398="","",IF($Z398&lt;=2000,IF(INDEX(包装物料出入库明细!$C$4:$C$2003,$Z398-0)=0,"",INDEX(包装物料出入库明细!$C$4:$C$2003,$Z398-0)),IF($Z398&lt;=4000,IF(INDEX(周转筐出入库明细!$E$4:$E$2004,$Z398-2000)=0,"",INDEX(周转筐出入库明细!$E$4:$E$2004,$Z398-2000)),IF($Z398&lt;=5200,IF(INDEX(客户自备加工筐明细!$D$4:$D$1203,$Z398-4000)=0,"",INDEX(客户自备加工筐明细!$D$4:$D$1203,$Z398-4000)),IF($Z398&lt;=5800,IF(INDEX(次果筐明细!$E$4:$E$603,$Z398-5200)=0,"",INDEX(次果筐明细!$E$4:$E$603,$Z398-5200)),"")))))</f>
        <v/>
      </c>
      <c r="F398" s="24" t="str">
        <f>IF($Z398="","",IF($Z398&lt;=2000,IF(INDEX(包装物料出入库明细!$E$4:$E$2003,$Z398-0)=0,"",INDEX(包装物料出入库明细!$E$4:$E$2003,$Z398-0)),IF($Z398&lt;=4000,IF(INDEX(周转筐出入库明细!$D$4:$D$2004,$Z398-2000)=0,"",INDEX(周转筐出入库明细!$D$4:$D$2004,$Z398-2000)),IF($Z398&lt;=5200,IF(INDEX(客户自备加工筐明细!$C$4:$C$1203,$Z398-4000)=0,"",INDEX(客户自备加工筐明细!$C$4:$C$1203,$Z398-4000)),IF($Z398&lt;=5800,IF(INDEX(次果筐明细!$D$4:$D$603,$Z398-5200)=0,"",INDEX(次果筐明细!$D$4:$D$603,$Z398-5200)),"")))))</f>
        <v/>
      </c>
      <c r="G398" s="24" t="str">
        <f>IF($Z398="","",IF($Z398&lt;=2000,IF(INDEX(包装物料出入库明细!$F$4:$F$2003,$Z398-0)=0,"",INDEX(包装物料出入库明细!$F$4:$F$2003,$Z398-0)),IF($Z398&lt;=4000,"",IF($Z398&lt;=5200,"",IF($Z398&lt;=5800,"","")))))</f>
        <v/>
      </c>
      <c r="H398" s="39" t="str">
        <f>IF($Z398="","",IF($Z398&lt;=2000,IF(INDEX(包装物料出入库明细!$L$4:$L$2003,$Z398-0)=0,"",INDEX(包装物料出入库明细!$L$4:$L$2003,$Z398-0)),IF($Z398&lt;=4000,N(INDEX(周转筐出入库明细!$H$4:$H$2004,$Z398-2000))+N(INDEX(周转筐出入库明细!$I$4:$I$2004,$Z398-2000))+N(INDEX(周转筐出入库明细!$J$4:$J$2004,$Z398-2000))+N(INDEX(周转筐出入库明细!$K$4:$K$2004,$Z398-2000)),IF($Z398&lt;=5200,N(INDEX(客户自备加工筐明细!$F$4:$F$1203,$Z398-4000))+N(INDEX(客户自备加工筐明细!$G$4:$G$1203,$Z398-4000)),IF($Z398&lt;=5800,IF(INDEX(次果筐明细!$G$4:$G$603,$Z398-5200)=0,"",INDEX(次果筐明细!$G$4:$G$603,$Z398-5200)),"")))))</f>
        <v/>
      </c>
      <c r="I398" s="24" t="str">
        <f>IF($Z398="","",IF($Z398&lt;=2000,IF(INDEX(包装物料出入库明细!$G$4:$G$2003,$Z398-0)=0,"",INDEX(包装物料出入库明细!$G$4:$G$2003,$Z398-0)),IF($Z398&lt;=4000,"个",IF($Z398&lt;=5200,"个",IF($Z398&lt;=5800,"个","")))))</f>
        <v/>
      </c>
      <c r="J398" s="30" t="str">
        <f t="shared" si="19"/>
        <v/>
      </c>
      <c r="K398" s="30" t="str">
        <f>IF($Z398="","",IF($Z398&lt;=2000,IF(INDEX(包装物料出入库明细!$N$4:$N$2003,$Z398-0)=0,"",INDEX(包装物料出入库明细!$N$4:$N$2003,$Z398-0)),IF($Z398&lt;=4000,IF(INDEX(周转筐出入库明细!$P$4:$P$2004,$Z398-2000)=0,"",INDEX(周转筐出入库明细!$P$4:$P$2004,$Z398-2000)),IF($Z398&lt;=5200,"",IF($Z398&lt;=5800,N(INDEX(次果筐明细!$L$4:$L$603,$Z398-5200))+N(INDEX(次果筐明细!$J$4:$J$603,$Z398-5200)),"")))))</f>
        <v/>
      </c>
      <c r="L398" s="24" t="str">
        <f>IF($Z398="","",IF($Z398&lt;=2000,IF(INDEX(包装物料出入库明细!$P$4:$P$2003,$Z398-0)=0,"",INDEX(包装物料出入库明细!$P$4:$P$2003,$Z398-0)),IF($Z398&lt;=4000,IF(INDEX(周转筐出入库明细!$Q$4:$Q$2004,$Z398-2000)=0,"",INDEX(周转筐出入库明细!$Q$4:$Q$2004,$Z398-2000)),IF($Z398&lt;=5200,"",IF($Z398&lt;=5800,IF(INDEX(次果筐明细!$M$4:$M$603,$Z398-5200)=0,"",INDEX(次果筐明细!$M$4:$M$603,$Z398-5200)),"")))))</f>
        <v/>
      </c>
      <c r="M398" s="37" t="str">
        <f>IF($Z398="","",IF($Z398&lt;=2000,IF(INDEX(包装物料出入库明细!$R$4:$R$2003,$Z398-0)=0,"",INDEX(包装物料出入库明细!$R$4:$R$2003,$Z398-0)),IF($Z398&lt;=4000,IF(INDEX(周转筐出入库明细!$W$4:$W$2004,$Z398-2000)=0,"",INDEX(周转筐出入库明细!$W$4:$W$2004,$Z398-2000)),IF($Z398&lt;=5200,IF(INDEX(客户自备加工筐明细!$L$4:$L$1203,$Z398-4000)=0,"",INDEX(客户自备加工筐明细!$L$4:$L$1203,$Z398-4000)),IF($Z398&lt;=5800,IF(INDEX(次果筐明细!$P$4:$P$603,$Z398-5200)=0,"",INDEX(次果筐明细!$P$4:$P$603,$Z398-5200)),"")))))</f>
        <v/>
      </c>
      <c r="N398" s="16" t="str">
        <f>IF($Z398="","",IF($Z398&lt;=2000,"",IF($Z398&lt;=4000,IF(INDEX(周转筐出入库明细!$D$4:$D$2004,$Z398-2000)=0,"",INDEX(周转筐出入库明细!$D$4:$D$2004,$Z398-2000)),IF($Z398&lt;=5200,IF(INDEX(客户自备加工筐明细!$C$4:$C$1203,$Z398-4000)=0,"",INDEX(客户自备加工筐明细!$C$4:$C$1203,$Z398-4000)),IF($Z398&lt;=5800,IF(INDEX(次果筐明细!$D$4:$D$603,$Z398-5200)=0,"",INDEX(次果筐明细!$D$4:$D$603,$Z398-5200)),"")))))</f>
        <v/>
      </c>
      <c r="O398" s="40" t="str">
        <f>IF($Z398="","",IF($Z398&lt;=2000,"",IF($Z398&lt;=4000,IF(N(INDEX(周转筐出入库明细!$J$4:$J$2004,$Z398-2000))+N(INDEX(周转筐出入库明细!$K$4:$K$2004,$Z398-2000))=0,"",N(INDEX(周转筐出入库明细!$J$4:$J$2004,$Z398-2000))+N(INDEX(周转筐出入库明细!$K$4:$K$2004,$Z398-2000))),IF($Z398&lt;=5200,IF(N(INDEX(客户自备加工筐明细!$G$4:$G$1203,$Z398-4000))=0,"",N(INDEX(客户自备加工筐明细!$G$4:$G$1203,$Z398-4000))),IF($Z398&lt;=5800,IF(ISNUMBER(SEARCH("退",INDEX(次果筐明细!$F$4:$F$603,$Z398-5200)&amp;"")),"",IF(N(INDEX(次果筐明细!$G$4:$G$603,$Z398-5200))=0,"",N(INDEX(次果筐明细!$G$4:$G$603,$Z398-5200)))),"")))))</f>
        <v/>
      </c>
      <c r="P398" s="40" t="str">
        <f>IF($Z398="","",IF($Z398&lt;=2000,"",IF($Z398&lt;=4000,IF(N(INDEX(周转筐出入库明细!$I$4:$I$2004,$Z398-2000))=0,"",N(INDEX(周转筐出入库明细!$I$4:$I$2004,$Z398-2000))),IF($Z398&lt;=5200,"",IF($Z398&lt;=5800,IF(ISNUMBER(SEARCH("退",INDEX(次果筐明细!$F$4:$F$603,$Z398-5200)&amp;"")),IF(N(INDEX(次果筐明细!$G$4:$G$603,$Z398-5200))=0,"",N(INDEX(次果筐明细!$G$4:$G$603,$Z398-5200))),""),"")))))</f>
        <v/>
      </c>
      <c r="Q398" s="40" t="str">
        <f>IF($Z398="","",IF($Z398&lt;=2000,"",IF($Z398&lt;=4000,IF(N(INDEX(周转筐出入库明细!$H$4:$H$2004,$Z398-2000))=0,"",N(INDEX(周转筐出入库明细!$H$4:$H$2004,$Z398-2000))),IF($Z398&lt;=5200,IF(N(INDEX(客户自备加工筐明细!$F$4:$F$1203,$Z398-4000))=0,"",N(INDEX(客户自备加工筐明细!$F$4:$F$1203,$Z398-4000))),IF($Z398&lt;=5800,"","")))))</f>
        <v/>
      </c>
      <c r="R398" s="16" t="str">
        <f>IF($Z398="","",IF($Z398&lt;=2000,IF(INDEX(包装物料出入库明细!$O$4:$O$2003,$Z398-0)=0,"",INDEX(包装物料出入库明细!$O$4:$O$2003,$Z398-0)),IF($Z398&lt;=4000,IF(INDEX(周转筐出入库明细!$M$4:$M$2004,$Z398-2000)=0,"",INDEX(周转筐出入库明细!$M$4:$M$2004,$Z398-2000)),IF($Z398&lt;=5200,IF(INDEX(客户自备加工筐明细!$H$4:$H$1203,$Z398-4000)=0,"",INDEX(客户自备加工筐明细!$H$4:$H$1203,$Z398-4000)),IF($Z398&lt;=5800,IF(INDEX(次果筐明细!$H$4:$H$603,$Z398-5200)=0,"",INDEX(次果筐明细!$H$4:$H$603,$Z398-5200)),"")))))</f>
        <v/>
      </c>
      <c r="S398" s="22" t="str">
        <f t="shared" si="20"/>
        <v/>
      </c>
      <c r="Z398" s="10" t="str">
        <f>IFERROR(MATCH(ROW()-3,_自动清单!$CQ$4:$CQ$5803,0),"")</f>
        <v/>
      </c>
    </row>
    <row r="399" spans="1:26">
      <c r="A399" s="24" t="str">
        <f t="shared" si="18"/>
        <v/>
      </c>
      <c r="B399" s="38" t="str">
        <f>IF($Z399="","",IF($Z399&lt;=2000,IF(INDEX(包装物料出入库明细!$B$4:$B$2003,$Z399-0)=0,"",INDEX(包装物料出入库明细!$B$4:$B$2003,$Z399-0)),IF($Z399&lt;=4000,IF(INDEX(周转筐出入库明细!$B$4:$B$2004,$Z399-2000)=0,"",INDEX(周转筐出入库明细!$B$4:$B$2004,$Z399-2000)),IF($Z399&lt;=5200,IF(INDEX(客户自备加工筐明细!$B$4:$B$1203,$Z399-4000)=0,"",INDEX(客户自备加工筐明细!$B$4:$B$1203,$Z399-4000)),IF($Z399&lt;=5800,IF(INDEX(次果筐明细!$B$4:$B$603,$Z399-5200)=0,"",INDEX(次果筐明细!$B$4:$B$603,$Z399-5200)),"")))))</f>
        <v/>
      </c>
      <c r="C399" s="37" t="str">
        <f>IF($Z399="","",IF($Z399&lt;=2000,IF(INDEX(包装物料出入库明细!$D$4:$D$2003,$Z399-0)=0,"",INDEX(包装物料出入库明细!$D$4:$D$2003,$Z399-0)),IF($Z399&lt;=4000,IF(INDEX(周转筐出入库明细!$C$4:$C$2004,$Z399-2000)=0,"",INDEX(周转筐出入库明细!$C$4:$C$2004,$Z399-2000)),IF($Z399&lt;=5200,IF(INDEX(客户自备加工筐明细!$E$4:$E$1203,$Z399-4000)=0,"",INDEX(客户自备加工筐明细!$E$4:$E$1203,$Z399-4000)),IF($Z399&lt;=5800,IF(INDEX(次果筐明细!$C$4:$C$603,$Z399-5200)=0,"",INDEX(次果筐明细!$C$4:$C$603,$Z399-5200)),"")))))</f>
        <v/>
      </c>
      <c r="D399" s="37" t="str">
        <f>IF($Z399="","",IF($Z399&lt;=2000,"包装物料－"&amp;INDEX(包装物料出入库明细!$H$4:$H$2003,$Z399-0),IF($Z399&lt;=4000,"周转筐－"&amp;INDEX(周转筐出入库明细!$F$4:$F$2004,$Z399-2000),IF($Z399&lt;=5200,"客户自备筐－"&amp;INDEX(客户自备加工筐明细!$J$4:$J$1203,$Z399-4000),IF($Z399&lt;=5800,"次果筐/托盘－"&amp;INDEX(次果筐明细!$F$4:$F$603,$Z399-5200),"")))))</f>
        <v/>
      </c>
      <c r="E399" s="24" t="str">
        <f>IF($Z399="","",IF($Z399&lt;=2000,IF(INDEX(包装物料出入库明细!$C$4:$C$2003,$Z399-0)=0,"",INDEX(包装物料出入库明细!$C$4:$C$2003,$Z399-0)),IF($Z399&lt;=4000,IF(INDEX(周转筐出入库明细!$E$4:$E$2004,$Z399-2000)=0,"",INDEX(周转筐出入库明细!$E$4:$E$2004,$Z399-2000)),IF($Z399&lt;=5200,IF(INDEX(客户自备加工筐明细!$D$4:$D$1203,$Z399-4000)=0,"",INDEX(客户自备加工筐明细!$D$4:$D$1203,$Z399-4000)),IF($Z399&lt;=5800,IF(INDEX(次果筐明细!$E$4:$E$603,$Z399-5200)=0,"",INDEX(次果筐明细!$E$4:$E$603,$Z399-5200)),"")))))</f>
        <v/>
      </c>
      <c r="F399" s="24" t="str">
        <f>IF($Z399="","",IF($Z399&lt;=2000,IF(INDEX(包装物料出入库明细!$E$4:$E$2003,$Z399-0)=0,"",INDEX(包装物料出入库明细!$E$4:$E$2003,$Z399-0)),IF($Z399&lt;=4000,IF(INDEX(周转筐出入库明细!$D$4:$D$2004,$Z399-2000)=0,"",INDEX(周转筐出入库明细!$D$4:$D$2004,$Z399-2000)),IF($Z399&lt;=5200,IF(INDEX(客户自备加工筐明细!$C$4:$C$1203,$Z399-4000)=0,"",INDEX(客户自备加工筐明细!$C$4:$C$1203,$Z399-4000)),IF($Z399&lt;=5800,IF(INDEX(次果筐明细!$D$4:$D$603,$Z399-5200)=0,"",INDEX(次果筐明细!$D$4:$D$603,$Z399-5200)),"")))))</f>
        <v/>
      </c>
      <c r="G399" s="24" t="str">
        <f>IF($Z399="","",IF($Z399&lt;=2000,IF(INDEX(包装物料出入库明细!$F$4:$F$2003,$Z399-0)=0,"",INDEX(包装物料出入库明细!$F$4:$F$2003,$Z399-0)),IF($Z399&lt;=4000,"",IF($Z399&lt;=5200,"",IF($Z399&lt;=5800,"","")))))</f>
        <v/>
      </c>
      <c r="H399" s="39" t="str">
        <f>IF($Z399="","",IF($Z399&lt;=2000,IF(INDEX(包装物料出入库明细!$L$4:$L$2003,$Z399-0)=0,"",INDEX(包装物料出入库明细!$L$4:$L$2003,$Z399-0)),IF($Z399&lt;=4000,N(INDEX(周转筐出入库明细!$H$4:$H$2004,$Z399-2000))+N(INDEX(周转筐出入库明细!$I$4:$I$2004,$Z399-2000))+N(INDEX(周转筐出入库明细!$J$4:$J$2004,$Z399-2000))+N(INDEX(周转筐出入库明细!$K$4:$K$2004,$Z399-2000)),IF($Z399&lt;=5200,N(INDEX(客户自备加工筐明细!$F$4:$F$1203,$Z399-4000))+N(INDEX(客户自备加工筐明细!$G$4:$G$1203,$Z399-4000)),IF($Z399&lt;=5800,IF(INDEX(次果筐明细!$G$4:$G$603,$Z399-5200)=0,"",INDEX(次果筐明细!$G$4:$G$603,$Z399-5200)),"")))))</f>
        <v/>
      </c>
      <c r="I399" s="24" t="str">
        <f>IF($Z399="","",IF($Z399&lt;=2000,IF(INDEX(包装物料出入库明细!$G$4:$G$2003,$Z399-0)=0,"",INDEX(包装物料出入库明细!$G$4:$G$2003,$Z399-0)),IF($Z399&lt;=4000,"个",IF($Z399&lt;=5200,"个",IF($Z399&lt;=5800,"个","")))))</f>
        <v/>
      </c>
      <c r="J399" s="30" t="str">
        <f t="shared" si="19"/>
        <v/>
      </c>
      <c r="K399" s="30" t="str">
        <f>IF($Z399="","",IF($Z399&lt;=2000,IF(INDEX(包装物料出入库明细!$N$4:$N$2003,$Z399-0)=0,"",INDEX(包装物料出入库明细!$N$4:$N$2003,$Z399-0)),IF($Z399&lt;=4000,IF(INDEX(周转筐出入库明细!$P$4:$P$2004,$Z399-2000)=0,"",INDEX(周转筐出入库明细!$P$4:$P$2004,$Z399-2000)),IF($Z399&lt;=5200,"",IF($Z399&lt;=5800,N(INDEX(次果筐明细!$L$4:$L$603,$Z399-5200))+N(INDEX(次果筐明细!$J$4:$J$603,$Z399-5200)),"")))))</f>
        <v/>
      </c>
      <c r="L399" s="24" t="str">
        <f>IF($Z399="","",IF($Z399&lt;=2000,IF(INDEX(包装物料出入库明细!$P$4:$P$2003,$Z399-0)=0,"",INDEX(包装物料出入库明细!$P$4:$P$2003,$Z399-0)),IF($Z399&lt;=4000,IF(INDEX(周转筐出入库明细!$Q$4:$Q$2004,$Z399-2000)=0,"",INDEX(周转筐出入库明细!$Q$4:$Q$2004,$Z399-2000)),IF($Z399&lt;=5200,"",IF($Z399&lt;=5800,IF(INDEX(次果筐明细!$M$4:$M$603,$Z399-5200)=0,"",INDEX(次果筐明细!$M$4:$M$603,$Z399-5200)),"")))))</f>
        <v/>
      </c>
      <c r="M399" s="37" t="str">
        <f>IF($Z399="","",IF($Z399&lt;=2000,IF(INDEX(包装物料出入库明细!$R$4:$R$2003,$Z399-0)=0,"",INDEX(包装物料出入库明细!$R$4:$R$2003,$Z399-0)),IF($Z399&lt;=4000,IF(INDEX(周转筐出入库明细!$W$4:$W$2004,$Z399-2000)=0,"",INDEX(周转筐出入库明细!$W$4:$W$2004,$Z399-2000)),IF($Z399&lt;=5200,IF(INDEX(客户自备加工筐明细!$L$4:$L$1203,$Z399-4000)=0,"",INDEX(客户自备加工筐明细!$L$4:$L$1203,$Z399-4000)),IF($Z399&lt;=5800,IF(INDEX(次果筐明细!$P$4:$P$603,$Z399-5200)=0,"",INDEX(次果筐明细!$P$4:$P$603,$Z399-5200)),"")))))</f>
        <v/>
      </c>
      <c r="N399" s="16" t="str">
        <f>IF($Z399="","",IF($Z399&lt;=2000,"",IF($Z399&lt;=4000,IF(INDEX(周转筐出入库明细!$D$4:$D$2004,$Z399-2000)=0,"",INDEX(周转筐出入库明细!$D$4:$D$2004,$Z399-2000)),IF($Z399&lt;=5200,IF(INDEX(客户自备加工筐明细!$C$4:$C$1203,$Z399-4000)=0,"",INDEX(客户自备加工筐明细!$C$4:$C$1203,$Z399-4000)),IF($Z399&lt;=5800,IF(INDEX(次果筐明细!$D$4:$D$603,$Z399-5200)=0,"",INDEX(次果筐明细!$D$4:$D$603,$Z399-5200)),"")))))</f>
        <v/>
      </c>
      <c r="O399" s="40" t="str">
        <f>IF($Z399="","",IF($Z399&lt;=2000,"",IF($Z399&lt;=4000,IF(N(INDEX(周转筐出入库明细!$J$4:$J$2004,$Z399-2000))+N(INDEX(周转筐出入库明细!$K$4:$K$2004,$Z399-2000))=0,"",N(INDEX(周转筐出入库明细!$J$4:$J$2004,$Z399-2000))+N(INDEX(周转筐出入库明细!$K$4:$K$2004,$Z399-2000))),IF($Z399&lt;=5200,IF(N(INDEX(客户自备加工筐明细!$G$4:$G$1203,$Z399-4000))=0,"",N(INDEX(客户自备加工筐明细!$G$4:$G$1203,$Z399-4000))),IF($Z399&lt;=5800,IF(ISNUMBER(SEARCH("退",INDEX(次果筐明细!$F$4:$F$603,$Z399-5200)&amp;"")),"",IF(N(INDEX(次果筐明细!$G$4:$G$603,$Z399-5200))=0,"",N(INDEX(次果筐明细!$G$4:$G$603,$Z399-5200)))),"")))))</f>
        <v/>
      </c>
      <c r="P399" s="40" t="str">
        <f>IF($Z399="","",IF($Z399&lt;=2000,"",IF($Z399&lt;=4000,IF(N(INDEX(周转筐出入库明细!$I$4:$I$2004,$Z399-2000))=0,"",N(INDEX(周转筐出入库明细!$I$4:$I$2004,$Z399-2000))),IF($Z399&lt;=5200,"",IF($Z399&lt;=5800,IF(ISNUMBER(SEARCH("退",INDEX(次果筐明细!$F$4:$F$603,$Z399-5200)&amp;"")),IF(N(INDEX(次果筐明细!$G$4:$G$603,$Z399-5200))=0,"",N(INDEX(次果筐明细!$G$4:$G$603,$Z399-5200))),""),"")))))</f>
        <v/>
      </c>
      <c r="Q399" s="40" t="str">
        <f>IF($Z399="","",IF($Z399&lt;=2000,"",IF($Z399&lt;=4000,IF(N(INDEX(周转筐出入库明细!$H$4:$H$2004,$Z399-2000))=0,"",N(INDEX(周转筐出入库明细!$H$4:$H$2004,$Z399-2000))),IF($Z399&lt;=5200,IF(N(INDEX(客户自备加工筐明细!$F$4:$F$1203,$Z399-4000))=0,"",N(INDEX(客户自备加工筐明细!$F$4:$F$1203,$Z399-4000))),IF($Z399&lt;=5800,"","")))))</f>
        <v/>
      </c>
      <c r="R399" s="16" t="str">
        <f>IF($Z399="","",IF($Z399&lt;=2000,IF(INDEX(包装物料出入库明细!$O$4:$O$2003,$Z399-0)=0,"",INDEX(包装物料出入库明细!$O$4:$O$2003,$Z399-0)),IF($Z399&lt;=4000,IF(INDEX(周转筐出入库明细!$M$4:$M$2004,$Z399-2000)=0,"",INDEX(周转筐出入库明细!$M$4:$M$2004,$Z399-2000)),IF($Z399&lt;=5200,IF(INDEX(客户自备加工筐明细!$H$4:$H$1203,$Z399-4000)=0,"",INDEX(客户自备加工筐明细!$H$4:$H$1203,$Z399-4000)),IF($Z399&lt;=5800,IF(INDEX(次果筐明细!$H$4:$H$603,$Z399-5200)=0,"",INDEX(次果筐明细!$H$4:$H$603,$Z399-5200)),"")))))</f>
        <v/>
      </c>
      <c r="S399" s="22" t="str">
        <f t="shared" si="20"/>
        <v/>
      </c>
      <c r="Z399" s="10" t="str">
        <f>IFERROR(MATCH(ROW()-3,_自动清单!$CQ$4:$CQ$5803,0),"")</f>
        <v/>
      </c>
    </row>
    <row r="400" spans="1:26">
      <c r="A400" s="24" t="str">
        <f t="shared" si="18"/>
        <v/>
      </c>
      <c r="B400" s="38" t="str">
        <f>IF($Z400="","",IF($Z400&lt;=2000,IF(INDEX(包装物料出入库明细!$B$4:$B$2003,$Z400-0)=0,"",INDEX(包装物料出入库明细!$B$4:$B$2003,$Z400-0)),IF($Z400&lt;=4000,IF(INDEX(周转筐出入库明细!$B$4:$B$2004,$Z400-2000)=0,"",INDEX(周转筐出入库明细!$B$4:$B$2004,$Z400-2000)),IF($Z400&lt;=5200,IF(INDEX(客户自备加工筐明细!$B$4:$B$1203,$Z400-4000)=0,"",INDEX(客户自备加工筐明细!$B$4:$B$1203,$Z400-4000)),IF($Z400&lt;=5800,IF(INDEX(次果筐明细!$B$4:$B$603,$Z400-5200)=0,"",INDEX(次果筐明细!$B$4:$B$603,$Z400-5200)),"")))))</f>
        <v/>
      </c>
      <c r="C400" s="37" t="str">
        <f>IF($Z400="","",IF($Z400&lt;=2000,IF(INDEX(包装物料出入库明细!$D$4:$D$2003,$Z400-0)=0,"",INDEX(包装物料出入库明细!$D$4:$D$2003,$Z400-0)),IF($Z400&lt;=4000,IF(INDEX(周转筐出入库明细!$C$4:$C$2004,$Z400-2000)=0,"",INDEX(周转筐出入库明细!$C$4:$C$2004,$Z400-2000)),IF($Z400&lt;=5200,IF(INDEX(客户自备加工筐明细!$E$4:$E$1203,$Z400-4000)=0,"",INDEX(客户自备加工筐明细!$E$4:$E$1203,$Z400-4000)),IF($Z400&lt;=5800,IF(INDEX(次果筐明细!$C$4:$C$603,$Z400-5200)=0,"",INDEX(次果筐明细!$C$4:$C$603,$Z400-5200)),"")))))</f>
        <v/>
      </c>
      <c r="D400" s="37" t="str">
        <f>IF($Z400="","",IF($Z400&lt;=2000,"包装物料－"&amp;INDEX(包装物料出入库明细!$H$4:$H$2003,$Z400-0),IF($Z400&lt;=4000,"周转筐－"&amp;INDEX(周转筐出入库明细!$F$4:$F$2004,$Z400-2000),IF($Z400&lt;=5200,"客户自备筐－"&amp;INDEX(客户自备加工筐明细!$J$4:$J$1203,$Z400-4000),IF($Z400&lt;=5800,"次果筐/托盘－"&amp;INDEX(次果筐明细!$F$4:$F$603,$Z400-5200),"")))))</f>
        <v/>
      </c>
      <c r="E400" s="24" t="str">
        <f>IF($Z400="","",IF($Z400&lt;=2000,IF(INDEX(包装物料出入库明细!$C$4:$C$2003,$Z400-0)=0,"",INDEX(包装物料出入库明细!$C$4:$C$2003,$Z400-0)),IF($Z400&lt;=4000,IF(INDEX(周转筐出入库明细!$E$4:$E$2004,$Z400-2000)=0,"",INDEX(周转筐出入库明细!$E$4:$E$2004,$Z400-2000)),IF($Z400&lt;=5200,IF(INDEX(客户自备加工筐明细!$D$4:$D$1203,$Z400-4000)=0,"",INDEX(客户自备加工筐明细!$D$4:$D$1203,$Z400-4000)),IF($Z400&lt;=5800,IF(INDEX(次果筐明细!$E$4:$E$603,$Z400-5200)=0,"",INDEX(次果筐明细!$E$4:$E$603,$Z400-5200)),"")))))</f>
        <v/>
      </c>
      <c r="F400" s="24" t="str">
        <f>IF($Z400="","",IF($Z400&lt;=2000,IF(INDEX(包装物料出入库明细!$E$4:$E$2003,$Z400-0)=0,"",INDEX(包装物料出入库明细!$E$4:$E$2003,$Z400-0)),IF($Z400&lt;=4000,IF(INDEX(周转筐出入库明细!$D$4:$D$2004,$Z400-2000)=0,"",INDEX(周转筐出入库明细!$D$4:$D$2004,$Z400-2000)),IF($Z400&lt;=5200,IF(INDEX(客户自备加工筐明细!$C$4:$C$1203,$Z400-4000)=0,"",INDEX(客户自备加工筐明细!$C$4:$C$1203,$Z400-4000)),IF($Z400&lt;=5800,IF(INDEX(次果筐明细!$D$4:$D$603,$Z400-5200)=0,"",INDEX(次果筐明细!$D$4:$D$603,$Z400-5200)),"")))))</f>
        <v/>
      </c>
      <c r="G400" s="24" t="str">
        <f>IF($Z400="","",IF($Z400&lt;=2000,IF(INDEX(包装物料出入库明细!$F$4:$F$2003,$Z400-0)=0,"",INDEX(包装物料出入库明细!$F$4:$F$2003,$Z400-0)),IF($Z400&lt;=4000,"",IF($Z400&lt;=5200,"",IF($Z400&lt;=5800,"","")))))</f>
        <v/>
      </c>
      <c r="H400" s="39" t="str">
        <f>IF($Z400="","",IF($Z400&lt;=2000,IF(INDEX(包装物料出入库明细!$L$4:$L$2003,$Z400-0)=0,"",INDEX(包装物料出入库明细!$L$4:$L$2003,$Z400-0)),IF($Z400&lt;=4000,N(INDEX(周转筐出入库明细!$H$4:$H$2004,$Z400-2000))+N(INDEX(周转筐出入库明细!$I$4:$I$2004,$Z400-2000))+N(INDEX(周转筐出入库明细!$J$4:$J$2004,$Z400-2000))+N(INDEX(周转筐出入库明细!$K$4:$K$2004,$Z400-2000)),IF($Z400&lt;=5200,N(INDEX(客户自备加工筐明细!$F$4:$F$1203,$Z400-4000))+N(INDEX(客户自备加工筐明细!$G$4:$G$1203,$Z400-4000)),IF($Z400&lt;=5800,IF(INDEX(次果筐明细!$G$4:$G$603,$Z400-5200)=0,"",INDEX(次果筐明细!$G$4:$G$603,$Z400-5200)),"")))))</f>
        <v/>
      </c>
      <c r="I400" s="24" t="str">
        <f>IF($Z400="","",IF($Z400&lt;=2000,IF(INDEX(包装物料出入库明细!$G$4:$G$2003,$Z400-0)=0,"",INDEX(包装物料出入库明细!$G$4:$G$2003,$Z400-0)),IF($Z400&lt;=4000,"个",IF($Z400&lt;=5200,"个",IF($Z400&lt;=5800,"个","")))))</f>
        <v/>
      </c>
      <c r="J400" s="30" t="str">
        <f t="shared" si="19"/>
        <v/>
      </c>
      <c r="K400" s="30" t="str">
        <f>IF($Z400="","",IF($Z400&lt;=2000,IF(INDEX(包装物料出入库明细!$N$4:$N$2003,$Z400-0)=0,"",INDEX(包装物料出入库明细!$N$4:$N$2003,$Z400-0)),IF($Z400&lt;=4000,IF(INDEX(周转筐出入库明细!$P$4:$P$2004,$Z400-2000)=0,"",INDEX(周转筐出入库明细!$P$4:$P$2004,$Z400-2000)),IF($Z400&lt;=5200,"",IF($Z400&lt;=5800,N(INDEX(次果筐明细!$L$4:$L$603,$Z400-5200))+N(INDEX(次果筐明细!$J$4:$J$603,$Z400-5200)),"")))))</f>
        <v/>
      </c>
      <c r="L400" s="24" t="str">
        <f>IF($Z400="","",IF($Z400&lt;=2000,IF(INDEX(包装物料出入库明细!$P$4:$P$2003,$Z400-0)=0,"",INDEX(包装物料出入库明细!$P$4:$P$2003,$Z400-0)),IF($Z400&lt;=4000,IF(INDEX(周转筐出入库明细!$Q$4:$Q$2004,$Z400-2000)=0,"",INDEX(周转筐出入库明细!$Q$4:$Q$2004,$Z400-2000)),IF($Z400&lt;=5200,"",IF($Z400&lt;=5800,IF(INDEX(次果筐明细!$M$4:$M$603,$Z400-5200)=0,"",INDEX(次果筐明细!$M$4:$M$603,$Z400-5200)),"")))))</f>
        <v/>
      </c>
      <c r="M400" s="37" t="str">
        <f>IF($Z400="","",IF($Z400&lt;=2000,IF(INDEX(包装物料出入库明细!$R$4:$R$2003,$Z400-0)=0,"",INDEX(包装物料出入库明细!$R$4:$R$2003,$Z400-0)),IF($Z400&lt;=4000,IF(INDEX(周转筐出入库明细!$W$4:$W$2004,$Z400-2000)=0,"",INDEX(周转筐出入库明细!$W$4:$W$2004,$Z400-2000)),IF($Z400&lt;=5200,IF(INDEX(客户自备加工筐明细!$L$4:$L$1203,$Z400-4000)=0,"",INDEX(客户自备加工筐明细!$L$4:$L$1203,$Z400-4000)),IF($Z400&lt;=5800,IF(INDEX(次果筐明细!$P$4:$P$603,$Z400-5200)=0,"",INDEX(次果筐明细!$P$4:$P$603,$Z400-5200)),"")))))</f>
        <v/>
      </c>
      <c r="N400" s="16" t="str">
        <f>IF($Z400="","",IF($Z400&lt;=2000,"",IF($Z400&lt;=4000,IF(INDEX(周转筐出入库明细!$D$4:$D$2004,$Z400-2000)=0,"",INDEX(周转筐出入库明细!$D$4:$D$2004,$Z400-2000)),IF($Z400&lt;=5200,IF(INDEX(客户自备加工筐明细!$C$4:$C$1203,$Z400-4000)=0,"",INDEX(客户自备加工筐明细!$C$4:$C$1203,$Z400-4000)),IF($Z400&lt;=5800,IF(INDEX(次果筐明细!$D$4:$D$603,$Z400-5200)=0,"",INDEX(次果筐明细!$D$4:$D$603,$Z400-5200)),"")))))</f>
        <v/>
      </c>
      <c r="O400" s="40" t="str">
        <f>IF($Z400="","",IF($Z400&lt;=2000,"",IF($Z400&lt;=4000,IF(N(INDEX(周转筐出入库明细!$J$4:$J$2004,$Z400-2000))+N(INDEX(周转筐出入库明细!$K$4:$K$2004,$Z400-2000))=0,"",N(INDEX(周转筐出入库明细!$J$4:$J$2004,$Z400-2000))+N(INDEX(周转筐出入库明细!$K$4:$K$2004,$Z400-2000))),IF($Z400&lt;=5200,IF(N(INDEX(客户自备加工筐明细!$G$4:$G$1203,$Z400-4000))=0,"",N(INDEX(客户自备加工筐明细!$G$4:$G$1203,$Z400-4000))),IF($Z400&lt;=5800,IF(ISNUMBER(SEARCH("退",INDEX(次果筐明细!$F$4:$F$603,$Z400-5200)&amp;"")),"",IF(N(INDEX(次果筐明细!$G$4:$G$603,$Z400-5200))=0,"",N(INDEX(次果筐明细!$G$4:$G$603,$Z400-5200)))),"")))))</f>
        <v/>
      </c>
      <c r="P400" s="40" t="str">
        <f>IF($Z400="","",IF($Z400&lt;=2000,"",IF($Z400&lt;=4000,IF(N(INDEX(周转筐出入库明细!$I$4:$I$2004,$Z400-2000))=0,"",N(INDEX(周转筐出入库明细!$I$4:$I$2004,$Z400-2000))),IF($Z400&lt;=5200,"",IF($Z400&lt;=5800,IF(ISNUMBER(SEARCH("退",INDEX(次果筐明细!$F$4:$F$603,$Z400-5200)&amp;"")),IF(N(INDEX(次果筐明细!$G$4:$G$603,$Z400-5200))=0,"",N(INDEX(次果筐明细!$G$4:$G$603,$Z400-5200))),""),"")))))</f>
        <v/>
      </c>
      <c r="Q400" s="40" t="str">
        <f>IF($Z400="","",IF($Z400&lt;=2000,"",IF($Z400&lt;=4000,IF(N(INDEX(周转筐出入库明细!$H$4:$H$2004,$Z400-2000))=0,"",N(INDEX(周转筐出入库明细!$H$4:$H$2004,$Z400-2000))),IF($Z400&lt;=5200,IF(N(INDEX(客户自备加工筐明细!$F$4:$F$1203,$Z400-4000))=0,"",N(INDEX(客户自备加工筐明细!$F$4:$F$1203,$Z400-4000))),IF($Z400&lt;=5800,"","")))))</f>
        <v/>
      </c>
      <c r="R400" s="16" t="str">
        <f>IF($Z400="","",IF($Z400&lt;=2000,IF(INDEX(包装物料出入库明细!$O$4:$O$2003,$Z400-0)=0,"",INDEX(包装物料出入库明细!$O$4:$O$2003,$Z400-0)),IF($Z400&lt;=4000,IF(INDEX(周转筐出入库明细!$M$4:$M$2004,$Z400-2000)=0,"",INDEX(周转筐出入库明细!$M$4:$M$2004,$Z400-2000)),IF($Z400&lt;=5200,IF(INDEX(客户自备加工筐明细!$H$4:$H$1203,$Z400-4000)=0,"",INDEX(客户自备加工筐明细!$H$4:$H$1203,$Z400-4000)),IF($Z400&lt;=5800,IF(INDEX(次果筐明细!$H$4:$H$603,$Z400-5200)=0,"",INDEX(次果筐明细!$H$4:$H$603,$Z400-5200)),"")))))</f>
        <v/>
      </c>
      <c r="S400" s="22" t="str">
        <f t="shared" si="20"/>
        <v/>
      </c>
      <c r="Z400" s="10" t="str">
        <f>IFERROR(MATCH(ROW()-3,_自动清单!$CQ$4:$CQ$5803,0),"")</f>
        <v/>
      </c>
    </row>
    <row r="401" spans="1:26">
      <c r="A401" s="24" t="str">
        <f t="shared" si="18"/>
        <v/>
      </c>
      <c r="B401" s="38" t="str">
        <f>IF($Z401="","",IF($Z401&lt;=2000,IF(INDEX(包装物料出入库明细!$B$4:$B$2003,$Z401-0)=0,"",INDEX(包装物料出入库明细!$B$4:$B$2003,$Z401-0)),IF($Z401&lt;=4000,IF(INDEX(周转筐出入库明细!$B$4:$B$2004,$Z401-2000)=0,"",INDEX(周转筐出入库明细!$B$4:$B$2004,$Z401-2000)),IF($Z401&lt;=5200,IF(INDEX(客户自备加工筐明细!$B$4:$B$1203,$Z401-4000)=0,"",INDEX(客户自备加工筐明细!$B$4:$B$1203,$Z401-4000)),IF($Z401&lt;=5800,IF(INDEX(次果筐明细!$B$4:$B$603,$Z401-5200)=0,"",INDEX(次果筐明细!$B$4:$B$603,$Z401-5200)),"")))))</f>
        <v/>
      </c>
      <c r="C401" s="37" t="str">
        <f>IF($Z401="","",IF($Z401&lt;=2000,IF(INDEX(包装物料出入库明细!$D$4:$D$2003,$Z401-0)=0,"",INDEX(包装物料出入库明细!$D$4:$D$2003,$Z401-0)),IF($Z401&lt;=4000,IF(INDEX(周转筐出入库明细!$C$4:$C$2004,$Z401-2000)=0,"",INDEX(周转筐出入库明细!$C$4:$C$2004,$Z401-2000)),IF($Z401&lt;=5200,IF(INDEX(客户自备加工筐明细!$E$4:$E$1203,$Z401-4000)=0,"",INDEX(客户自备加工筐明细!$E$4:$E$1203,$Z401-4000)),IF($Z401&lt;=5800,IF(INDEX(次果筐明细!$C$4:$C$603,$Z401-5200)=0,"",INDEX(次果筐明细!$C$4:$C$603,$Z401-5200)),"")))))</f>
        <v/>
      </c>
      <c r="D401" s="37" t="str">
        <f>IF($Z401="","",IF($Z401&lt;=2000,"包装物料－"&amp;INDEX(包装物料出入库明细!$H$4:$H$2003,$Z401-0),IF($Z401&lt;=4000,"周转筐－"&amp;INDEX(周转筐出入库明细!$F$4:$F$2004,$Z401-2000),IF($Z401&lt;=5200,"客户自备筐－"&amp;INDEX(客户自备加工筐明细!$J$4:$J$1203,$Z401-4000),IF($Z401&lt;=5800,"次果筐/托盘－"&amp;INDEX(次果筐明细!$F$4:$F$603,$Z401-5200),"")))))</f>
        <v/>
      </c>
      <c r="E401" s="24" t="str">
        <f>IF($Z401="","",IF($Z401&lt;=2000,IF(INDEX(包装物料出入库明细!$C$4:$C$2003,$Z401-0)=0,"",INDEX(包装物料出入库明细!$C$4:$C$2003,$Z401-0)),IF($Z401&lt;=4000,IF(INDEX(周转筐出入库明细!$E$4:$E$2004,$Z401-2000)=0,"",INDEX(周转筐出入库明细!$E$4:$E$2004,$Z401-2000)),IF($Z401&lt;=5200,IF(INDEX(客户自备加工筐明细!$D$4:$D$1203,$Z401-4000)=0,"",INDEX(客户自备加工筐明细!$D$4:$D$1203,$Z401-4000)),IF($Z401&lt;=5800,IF(INDEX(次果筐明细!$E$4:$E$603,$Z401-5200)=0,"",INDEX(次果筐明细!$E$4:$E$603,$Z401-5200)),"")))))</f>
        <v/>
      </c>
      <c r="F401" s="24" t="str">
        <f>IF($Z401="","",IF($Z401&lt;=2000,IF(INDEX(包装物料出入库明细!$E$4:$E$2003,$Z401-0)=0,"",INDEX(包装物料出入库明细!$E$4:$E$2003,$Z401-0)),IF($Z401&lt;=4000,IF(INDEX(周转筐出入库明细!$D$4:$D$2004,$Z401-2000)=0,"",INDEX(周转筐出入库明细!$D$4:$D$2004,$Z401-2000)),IF($Z401&lt;=5200,IF(INDEX(客户自备加工筐明细!$C$4:$C$1203,$Z401-4000)=0,"",INDEX(客户自备加工筐明细!$C$4:$C$1203,$Z401-4000)),IF($Z401&lt;=5800,IF(INDEX(次果筐明细!$D$4:$D$603,$Z401-5200)=0,"",INDEX(次果筐明细!$D$4:$D$603,$Z401-5200)),"")))))</f>
        <v/>
      </c>
      <c r="G401" s="24" t="str">
        <f>IF($Z401="","",IF($Z401&lt;=2000,IF(INDEX(包装物料出入库明细!$F$4:$F$2003,$Z401-0)=0,"",INDEX(包装物料出入库明细!$F$4:$F$2003,$Z401-0)),IF($Z401&lt;=4000,"",IF($Z401&lt;=5200,"",IF($Z401&lt;=5800,"","")))))</f>
        <v/>
      </c>
      <c r="H401" s="39" t="str">
        <f>IF($Z401="","",IF($Z401&lt;=2000,IF(INDEX(包装物料出入库明细!$L$4:$L$2003,$Z401-0)=0,"",INDEX(包装物料出入库明细!$L$4:$L$2003,$Z401-0)),IF($Z401&lt;=4000,N(INDEX(周转筐出入库明细!$H$4:$H$2004,$Z401-2000))+N(INDEX(周转筐出入库明细!$I$4:$I$2004,$Z401-2000))+N(INDEX(周转筐出入库明细!$J$4:$J$2004,$Z401-2000))+N(INDEX(周转筐出入库明细!$K$4:$K$2004,$Z401-2000)),IF($Z401&lt;=5200,N(INDEX(客户自备加工筐明细!$F$4:$F$1203,$Z401-4000))+N(INDEX(客户自备加工筐明细!$G$4:$G$1203,$Z401-4000)),IF($Z401&lt;=5800,IF(INDEX(次果筐明细!$G$4:$G$603,$Z401-5200)=0,"",INDEX(次果筐明细!$G$4:$G$603,$Z401-5200)),"")))))</f>
        <v/>
      </c>
      <c r="I401" s="24" t="str">
        <f>IF($Z401="","",IF($Z401&lt;=2000,IF(INDEX(包装物料出入库明细!$G$4:$G$2003,$Z401-0)=0,"",INDEX(包装物料出入库明细!$G$4:$G$2003,$Z401-0)),IF($Z401&lt;=4000,"个",IF($Z401&lt;=5200,"个",IF($Z401&lt;=5800,"个","")))))</f>
        <v/>
      </c>
      <c r="J401" s="30" t="str">
        <f t="shared" si="19"/>
        <v/>
      </c>
      <c r="K401" s="30" t="str">
        <f>IF($Z401="","",IF($Z401&lt;=2000,IF(INDEX(包装物料出入库明细!$N$4:$N$2003,$Z401-0)=0,"",INDEX(包装物料出入库明细!$N$4:$N$2003,$Z401-0)),IF($Z401&lt;=4000,IF(INDEX(周转筐出入库明细!$P$4:$P$2004,$Z401-2000)=0,"",INDEX(周转筐出入库明细!$P$4:$P$2004,$Z401-2000)),IF($Z401&lt;=5200,"",IF($Z401&lt;=5800,N(INDEX(次果筐明细!$L$4:$L$603,$Z401-5200))+N(INDEX(次果筐明细!$J$4:$J$603,$Z401-5200)),"")))))</f>
        <v/>
      </c>
      <c r="L401" s="24" t="str">
        <f>IF($Z401="","",IF($Z401&lt;=2000,IF(INDEX(包装物料出入库明细!$P$4:$P$2003,$Z401-0)=0,"",INDEX(包装物料出入库明细!$P$4:$P$2003,$Z401-0)),IF($Z401&lt;=4000,IF(INDEX(周转筐出入库明细!$Q$4:$Q$2004,$Z401-2000)=0,"",INDEX(周转筐出入库明细!$Q$4:$Q$2004,$Z401-2000)),IF($Z401&lt;=5200,"",IF($Z401&lt;=5800,IF(INDEX(次果筐明细!$M$4:$M$603,$Z401-5200)=0,"",INDEX(次果筐明细!$M$4:$M$603,$Z401-5200)),"")))))</f>
        <v/>
      </c>
      <c r="M401" s="37" t="str">
        <f>IF($Z401="","",IF($Z401&lt;=2000,IF(INDEX(包装物料出入库明细!$R$4:$R$2003,$Z401-0)=0,"",INDEX(包装物料出入库明细!$R$4:$R$2003,$Z401-0)),IF($Z401&lt;=4000,IF(INDEX(周转筐出入库明细!$W$4:$W$2004,$Z401-2000)=0,"",INDEX(周转筐出入库明细!$W$4:$W$2004,$Z401-2000)),IF($Z401&lt;=5200,IF(INDEX(客户自备加工筐明细!$L$4:$L$1203,$Z401-4000)=0,"",INDEX(客户自备加工筐明细!$L$4:$L$1203,$Z401-4000)),IF($Z401&lt;=5800,IF(INDEX(次果筐明细!$P$4:$P$603,$Z401-5200)=0,"",INDEX(次果筐明细!$P$4:$P$603,$Z401-5200)),"")))))</f>
        <v/>
      </c>
      <c r="N401" s="16" t="str">
        <f>IF($Z401="","",IF($Z401&lt;=2000,"",IF($Z401&lt;=4000,IF(INDEX(周转筐出入库明细!$D$4:$D$2004,$Z401-2000)=0,"",INDEX(周转筐出入库明细!$D$4:$D$2004,$Z401-2000)),IF($Z401&lt;=5200,IF(INDEX(客户自备加工筐明细!$C$4:$C$1203,$Z401-4000)=0,"",INDEX(客户自备加工筐明细!$C$4:$C$1203,$Z401-4000)),IF($Z401&lt;=5800,IF(INDEX(次果筐明细!$D$4:$D$603,$Z401-5200)=0,"",INDEX(次果筐明细!$D$4:$D$603,$Z401-5200)),"")))))</f>
        <v/>
      </c>
      <c r="O401" s="40" t="str">
        <f>IF($Z401="","",IF($Z401&lt;=2000,"",IF($Z401&lt;=4000,IF(N(INDEX(周转筐出入库明细!$J$4:$J$2004,$Z401-2000))+N(INDEX(周转筐出入库明细!$K$4:$K$2004,$Z401-2000))=0,"",N(INDEX(周转筐出入库明细!$J$4:$J$2004,$Z401-2000))+N(INDEX(周转筐出入库明细!$K$4:$K$2004,$Z401-2000))),IF($Z401&lt;=5200,IF(N(INDEX(客户自备加工筐明细!$G$4:$G$1203,$Z401-4000))=0,"",N(INDEX(客户自备加工筐明细!$G$4:$G$1203,$Z401-4000))),IF($Z401&lt;=5800,IF(ISNUMBER(SEARCH("退",INDEX(次果筐明细!$F$4:$F$603,$Z401-5200)&amp;"")),"",IF(N(INDEX(次果筐明细!$G$4:$G$603,$Z401-5200))=0,"",N(INDEX(次果筐明细!$G$4:$G$603,$Z401-5200)))),"")))))</f>
        <v/>
      </c>
      <c r="P401" s="40" t="str">
        <f>IF($Z401="","",IF($Z401&lt;=2000,"",IF($Z401&lt;=4000,IF(N(INDEX(周转筐出入库明细!$I$4:$I$2004,$Z401-2000))=0,"",N(INDEX(周转筐出入库明细!$I$4:$I$2004,$Z401-2000))),IF($Z401&lt;=5200,"",IF($Z401&lt;=5800,IF(ISNUMBER(SEARCH("退",INDEX(次果筐明细!$F$4:$F$603,$Z401-5200)&amp;"")),IF(N(INDEX(次果筐明细!$G$4:$G$603,$Z401-5200))=0,"",N(INDEX(次果筐明细!$G$4:$G$603,$Z401-5200))),""),"")))))</f>
        <v/>
      </c>
      <c r="Q401" s="40" t="str">
        <f>IF($Z401="","",IF($Z401&lt;=2000,"",IF($Z401&lt;=4000,IF(N(INDEX(周转筐出入库明细!$H$4:$H$2004,$Z401-2000))=0,"",N(INDEX(周转筐出入库明细!$H$4:$H$2004,$Z401-2000))),IF($Z401&lt;=5200,IF(N(INDEX(客户自备加工筐明细!$F$4:$F$1203,$Z401-4000))=0,"",N(INDEX(客户自备加工筐明细!$F$4:$F$1203,$Z401-4000))),IF($Z401&lt;=5800,"","")))))</f>
        <v/>
      </c>
      <c r="R401" s="16" t="str">
        <f>IF($Z401="","",IF($Z401&lt;=2000,IF(INDEX(包装物料出入库明细!$O$4:$O$2003,$Z401-0)=0,"",INDEX(包装物料出入库明细!$O$4:$O$2003,$Z401-0)),IF($Z401&lt;=4000,IF(INDEX(周转筐出入库明细!$M$4:$M$2004,$Z401-2000)=0,"",INDEX(周转筐出入库明细!$M$4:$M$2004,$Z401-2000)),IF($Z401&lt;=5200,IF(INDEX(客户自备加工筐明细!$H$4:$H$1203,$Z401-4000)=0,"",INDEX(客户自备加工筐明细!$H$4:$H$1203,$Z401-4000)),IF($Z401&lt;=5800,IF(INDEX(次果筐明细!$H$4:$H$603,$Z401-5200)=0,"",INDEX(次果筐明细!$H$4:$H$603,$Z401-5200)),"")))))</f>
        <v/>
      </c>
      <c r="S401" s="22" t="str">
        <f t="shared" si="20"/>
        <v/>
      </c>
      <c r="Z401" s="10" t="str">
        <f>IFERROR(MATCH(ROW()-3,_自动清单!$CQ$4:$CQ$5803,0),"")</f>
        <v/>
      </c>
    </row>
    <row r="402" spans="1:26">
      <c r="A402" s="24" t="str">
        <f t="shared" si="18"/>
        <v/>
      </c>
      <c r="B402" s="38" t="str">
        <f>IF($Z402="","",IF($Z402&lt;=2000,IF(INDEX(包装物料出入库明细!$B$4:$B$2003,$Z402-0)=0,"",INDEX(包装物料出入库明细!$B$4:$B$2003,$Z402-0)),IF($Z402&lt;=4000,IF(INDEX(周转筐出入库明细!$B$4:$B$2004,$Z402-2000)=0,"",INDEX(周转筐出入库明细!$B$4:$B$2004,$Z402-2000)),IF($Z402&lt;=5200,IF(INDEX(客户自备加工筐明细!$B$4:$B$1203,$Z402-4000)=0,"",INDEX(客户自备加工筐明细!$B$4:$B$1203,$Z402-4000)),IF($Z402&lt;=5800,IF(INDEX(次果筐明细!$B$4:$B$603,$Z402-5200)=0,"",INDEX(次果筐明细!$B$4:$B$603,$Z402-5200)),"")))))</f>
        <v/>
      </c>
      <c r="C402" s="37" t="str">
        <f>IF($Z402="","",IF($Z402&lt;=2000,IF(INDEX(包装物料出入库明细!$D$4:$D$2003,$Z402-0)=0,"",INDEX(包装物料出入库明细!$D$4:$D$2003,$Z402-0)),IF($Z402&lt;=4000,IF(INDEX(周转筐出入库明细!$C$4:$C$2004,$Z402-2000)=0,"",INDEX(周转筐出入库明细!$C$4:$C$2004,$Z402-2000)),IF($Z402&lt;=5200,IF(INDEX(客户自备加工筐明细!$E$4:$E$1203,$Z402-4000)=0,"",INDEX(客户自备加工筐明细!$E$4:$E$1203,$Z402-4000)),IF($Z402&lt;=5800,IF(INDEX(次果筐明细!$C$4:$C$603,$Z402-5200)=0,"",INDEX(次果筐明细!$C$4:$C$603,$Z402-5200)),"")))))</f>
        <v/>
      </c>
      <c r="D402" s="37" t="str">
        <f>IF($Z402="","",IF($Z402&lt;=2000,"包装物料－"&amp;INDEX(包装物料出入库明细!$H$4:$H$2003,$Z402-0),IF($Z402&lt;=4000,"周转筐－"&amp;INDEX(周转筐出入库明细!$F$4:$F$2004,$Z402-2000),IF($Z402&lt;=5200,"客户自备筐－"&amp;INDEX(客户自备加工筐明细!$J$4:$J$1203,$Z402-4000),IF($Z402&lt;=5800,"次果筐/托盘－"&amp;INDEX(次果筐明细!$F$4:$F$603,$Z402-5200),"")))))</f>
        <v/>
      </c>
      <c r="E402" s="24" t="str">
        <f>IF($Z402="","",IF($Z402&lt;=2000,IF(INDEX(包装物料出入库明细!$C$4:$C$2003,$Z402-0)=0,"",INDEX(包装物料出入库明细!$C$4:$C$2003,$Z402-0)),IF($Z402&lt;=4000,IF(INDEX(周转筐出入库明细!$E$4:$E$2004,$Z402-2000)=0,"",INDEX(周转筐出入库明细!$E$4:$E$2004,$Z402-2000)),IF($Z402&lt;=5200,IF(INDEX(客户自备加工筐明细!$D$4:$D$1203,$Z402-4000)=0,"",INDEX(客户自备加工筐明细!$D$4:$D$1203,$Z402-4000)),IF($Z402&lt;=5800,IF(INDEX(次果筐明细!$E$4:$E$603,$Z402-5200)=0,"",INDEX(次果筐明细!$E$4:$E$603,$Z402-5200)),"")))))</f>
        <v/>
      </c>
      <c r="F402" s="24" t="str">
        <f>IF($Z402="","",IF($Z402&lt;=2000,IF(INDEX(包装物料出入库明细!$E$4:$E$2003,$Z402-0)=0,"",INDEX(包装物料出入库明细!$E$4:$E$2003,$Z402-0)),IF($Z402&lt;=4000,IF(INDEX(周转筐出入库明细!$D$4:$D$2004,$Z402-2000)=0,"",INDEX(周转筐出入库明细!$D$4:$D$2004,$Z402-2000)),IF($Z402&lt;=5200,IF(INDEX(客户自备加工筐明细!$C$4:$C$1203,$Z402-4000)=0,"",INDEX(客户自备加工筐明细!$C$4:$C$1203,$Z402-4000)),IF($Z402&lt;=5800,IF(INDEX(次果筐明细!$D$4:$D$603,$Z402-5200)=0,"",INDEX(次果筐明细!$D$4:$D$603,$Z402-5200)),"")))))</f>
        <v/>
      </c>
      <c r="G402" s="24" t="str">
        <f>IF($Z402="","",IF($Z402&lt;=2000,IF(INDEX(包装物料出入库明细!$F$4:$F$2003,$Z402-0)=0,"",INDEX(包装物料出入库明细!$F$4:$F$2003,$Z402-0)),IF($Z402&lt;=4000,"",IF($Z402&lt;=5200,"",IF($Z402&lt;=5800,"","")))))</f>
        <v/>
      </c>
      <c r="H402" s="39" t="str">
        <f>IF($Z402="","",IF($Z402&lt;=2000,IF(INDEX(包装物料出入库明细!$L$4:$L$2003,$Z402-0)=0,"",INDEX(包装物料出入库明细!$L$4:$L$2003,$Z402-0)),IF($Z402&lt;=4000,N(INDEX(周转筐出入库明细!$H$4:$H$2004,$Z402-2000))+N(INDEX(周转筐出入库明细!$I$4:$I$2004,$Z402-2000))+N(INDEX(周转筐出入库明细!$J$4:$J$2004,$Z402-2000))+N(INDEX(周转筐出入库明细!$K$4:$K$2004,$Z402-2000)),IF($Z402&lt;=5200,N(INDEX(客户自备加工筐明细!$F$4:$F$1203,$Z402-4000))+N(INDEX(客户自备加工筐明细!$G$4:$G$1203,$Z402-4000)),IF($Z402&lt;=5800,IF(INDEX(次果筐明细!$G$4:$G$603,$Z402-5200)=0,"",INDEX(次果筐明细!$G$4:$G$603,$Z402-5200)),"")))))</f>
        <v/>
      </c>
      <c r="I402" s="24" t="str">
        <f>IF($Z402="","",IF($Z402&lt;=2000,IF(INDEX(包装物料出入库明细!$G$4:$G$2003,$Z402-0)=0,"",INDEX(包装物料出入库明细!$G$4:$G$2003,$Z402-0)),IF($Z402&lt;=4000,"个",IF($Z402&lt;=5200,"个",IF($Z402&lt;=5800,"个","")))))</f>
        <v/>
      </c>
      <c r="J402" s="30" t="str">
        <f t="shared" si="19"/>
        <v/>
      </c>
      <c r="K402" s="30" t="str">
        <f>IF($Z402="","",IF($Z402&lt;=2000,IF(INDEX(包装物料出入库明细!$N$4:$N$2003,$Z402-0)=0,"",INDEX(包装物料出入库明细!$N$4:$N$2003,$Z402-0)),IF($Z402&lt;=4000,IF(INDEX(周转筐出入库明细!$P$4:$P$2004,$Z402-2000)=0,"",INDEX(周转筐出入库明细!$P$4:$P$2004,$Z402-2000)),IF($Z402&lt;=5200,"",IF($Z402&lt;=5800,N(INDEX(次果筐明细!$L$4:$L$603,$Z402-5200))+N(INDEX(次果筐明细!$J$4:$J$603,$Z402-5200)),"")))))</f>
        <v/>
      </c>
      <c r="L402" s="24" t="str">
        <f>IF($Z402="","",IF($Z402&lt;=2000,IF(INDEX(包装物料出入库明细!$P$4:$P$2003,$Z402-0)=0,"",INDEX(包装物料出入库明细!$P$4:$P$2003,$Z402-0)),IF($Z402&lt;=4000,IF(INDEX(周转筐出入库明细!$Q$4:$Q$2004,$Z402-2000)=0,"",INDEX(周转筐出入库明细!$Q$4:$Q$2004,$Z402-2000)),IF($Z402&lt;=5200,"",IF($Z402&lt;=5800,IF(INDEX(次果筐明细!$M$4:$M$603,$Z402-5200)=0,"",INDEX(次果筐明细!$M$4:$M$603,$Z402-5200)),"")))))</f>
        <v/>
      </c>
      <c r="M402" s="37" t="str">
        <f>IF($Z402="","",IF($Z402&lt;=2000,IF(INDEX(包装物料出入库明细!$R$4:$R$2003,$Z402-0)=0,"",INDEX(包装物料出入库明细!$R$4:$R$2003,$Z402-0)),IF($Z402&lt;=4000,IF(INDEX(周转筐出入库明细!$W$4:$W$2004,$Z402-2000)=0,"",INDEX(周转筐出入库明细!$W$4:$W$2004,$Z402-2000)),IF($Z402&lt;=5200,IF(INDEX(客户自备加工筐明细!$L$4:$L$1203,$Z402-4000)=0,"",INDEX(客户自备加工筐明细!$L$4:$L$1203,$Z402-4000)),IF($Z402&lt;=5800,IF(INDEX(次果筐明细!$P$4:$P$603,$Z402-5200)=0,"",INDEX(次果筐明细!$P$4:$P$603,$Z402-5200)),"")))))</f>
        <v/>
      </c>
      <c r="N402" s="16" t="str">
        <f>IF($Z402="","",IF($Z402&lt;=2000,"",IF($Z402&lt;=4000,IF(INDEX(周转筐出入库明细!$D$4:$D$2004,$Z402-2000)=0,"",INDEX(周转筐出入库明细!$D$4:$D$2004,$Z402-2000)),IF($Z402&lt;=5200,IF(INDEX(客户自备加工筐明细!$C$4:$C$1203,$Z402-4000)=0,"",INDEX(客户自备加工筐明细!$C$4:$C$1203,$Z402-4000)),IF($Z402&lt;=5800,IF(INDEX(次果筐明细!$D$4:$D$603,$Z402-5200)=0,"",INDEX(次果筐明细!$D$4:$D$603,$Z402-5200)),"")))))</f>
        <v/>
      </c>
      <c r="O402" s="40" t="str">
        <f>IF($Z402="","",IF($Z402&lt;=2000,"",IF($Z402&lt;=4000,IF(N(INDEX(周转筐出入库明细!$J$4:$J$2004,$Z402-2000))+N(INDEX(周转筐出入库明细!$K$4:$K$2004,$Z402-2000))=0,"",N(INDEX(周转筐出入库明细!$J$4:$J$2004,$Z402-2000))+N(INDEX(周转筐出入库明细!$K$4:$K$2004,$Z402-2000))),IF($Z402&lt;=5200,IF(N(INDEX(客户自备加工筐明细!$G$4:$G$1203,$Z402-4000))=0,"",N(INDEX(客户自备加工筐明细!$G$4:$G$1203,$Z402-4000))),IF($Z402&lt;=5800,IF(ISNUMBER(SEARCH("退",INDEX(次果筐明细!$F$4:$F$603,$Z402-5200)&amp;"")),"",IF(N(INDEX(次果筐明细!$G$4:$G$603,$Z402-5200))=0,"",N(INDEX(次果筐明细!$G$4:$G$603,$Z402-5200)))),"")))))</f>
        <v/>
      </c>
      <c r="P402" s="40" t="str">
        <f>IF($Z402="","",IF($Z402&lt;=2000,"",IF($Z402&lt;=4000,IF(N(INDEX(周转筐出入库明细!$I$4:$I$2004,$Z402-2000))=0,"",N(INDEX(周转筐出入库明细!$I$4:$I$2004,$Z402-2000))),IF($Z402&lt;=5200,"",IF($Z402&lt;=5800,IF(ISNUMBER(SEARCH("退",INDEX(次果筐明细!$F$4:$F$603,$Z402-5200)&amp;"")),IF(N(INDEX(次果筐明细!$G$4:$G$603,$Z402-5200))=0,"",N(INDEX(次果筐明细!$G$4:$G$603,$Z402-5200))),""),"")))))</f>
        <v/>
      </c>
      <c r="Q402" s="40" t="str">
        <f>IF($Z402="","",IF($Z402&lt;=2000,"",IF($Z402&lt;=4000,IF(N(INDEX(周转筐出入库明细!$H$4:$H$2004,$Z402-2000))=0,"",N(INDEX(周转筐出入库明细!$H$4:$H$2004,$Z402-2000))),IF($Z402&lt;=5200,IF(N(INDEX(客户自备加工筐明细!$F$4:$F$1203,$Z402-4000))=0,"",N(INDEX(客户自备加工筐明细!$F$4:$F$1203,$Z402-4000))),IF($Z402&lt;=5800,"","")))))</f>
        <v/>
      </c>
      <c r="R402" s="16" t="str">
        <f>IF($Z402="","",IF($Z402&lt;=2000,IF(INDEX(包装物料出入库明细!$O$4:$O$2003,$Z402-0)=0,"",INDEX(包装物料出入库明细!$O$4:$O$2003,$Z402-0)),IF($Z402&lt;=4000,IF(INDEX(周转筐出入库明细!$M$4:$M$2004,$Z402-2000)=0,"",INDEX(周转筐出入库明细!$M$4:$M$2004,$Z402-2000)),IF($Z402&lt;=5200,IF(INDEX(客户自备加工筐明细!$H$4:$H$1203,$Z402-4000)=0,"",INDEX(客户自备加工筐明细!$H$4:$H$1203,$Z402-4000)),IF($Z402&lt;=5800,IF(INDEX(次果筐明细!$H$4:$H$603,$Z402-5200)=0,"",INDEX(次果筐明细!$H$4:$H$603,$Z402-5200)),"")))))</f>
        <v/>
      </c>
      <c r="S402" s="22" t="str">
        <f t="shared" si="20"/>
        <v/>
      </c>
      <c r="Z402" s="10" t="str">
        <f>IFERROR(MATCH(ROW()-3,_自动清单!$CQ$4:$CQ$5803,0),"")</f>
        <v/>
      </c>
    </row>
    <row r="403" spans="1:26">
      <c r="A403" s="24" t="str">
        <f t="shared" si="18"/>
        <v/>
      </c>
      <c r="B403" s="38" t="str">
        <f>IF($Z403="","",IF($Z403&lt;=2000,IF(INDEX(包装物料出入库明细!$B$4:$B$2003,$Z403-0)=0,"",INDEX(包装物料出入库明细!$B$4:$B$2003,$Z403-0)),IF($Z403&lt;=4000,IF(INDEX(周转筐出入库明细!$B$4:$B$2004,$Z403-2000)=0,"",INDEX(周转筐出入库明细!$B$4:$B$2004,$Z403-2000)),IF($Z403&lt;=5200,IF(INDEX(客户自备加工筐明细!$B$4:$B$1203,$Z403-4000)=0,"",INDEX(客户自备加工筐明细!$B$4:$B$1203,$Z403-4000)),IF($Z403&lt;=5800,IF(INDEX(次果筐明细!$B$4:$B$603,$Z403-5200)=0,"",INDEX(次果筐明细!$B$4:$B$603,$Z403-5200)),"")))))</f>
        <v/>
      </c>
      <c r="C403" s="37" t="str">
        <f>IF($Z403="","",IF($Z403&lt;=2000,IF(INDEX(包装物料出入库明细!$D$4:$D$2003,$Z403-0)=0,"",INDEX(包装物料出入库明细!$D$4:$D$2003,$Z403-0)),IF($Z403&lt;=4000,IF(INDEX(周转筐出入库明细!$C$4:$C$2004,$Z403-2000)=0,"",INDEX(周转筐出入库明细!$C$4:$C$2004,$Z403-2000)),IF($Z403&lt;=5200,IF(INDEX(客户自备加工筐明细!$E$4:$E$1203,$Z403-4000)=0,"",INDEX(客户自备加工筐明细!$E$4:$E$1203,$Z403-4000)),IF($Z403&lt;=5800,IF(INDEX(次果筐明细!$C$4:$C$603,$Z403-5200)=0,"",INDEX(次果筐明细!$C$4:$C$603,$Z403-5200)),"")))))</f>
        <v/>
      </c>
      <c r="D403" s="37" t="str">
        <f>IF($Z403="","",IF($Z403&lt;=2000,"包装物料－"&amp;INDEX(包装物料出入库明细!$H$4:$H$2003,$Z403-0),IF($Z403&lt;=4000,"周转筐－"&amp;INDEX(周转筐出入库明细!$F$4:$F$2004,$Z403-2000),IF($Z403&lt;=5200,"客户自备筐－"&amp;INDEX(客户自备加工筐明细!$J$4:$J$1203,$Z403-4000),IF($Z403&lt;=5800,"次果筐/托盘－"&amp;INDEX(次果筐明细!$F$4:$F$603,$Z403-5200),"")))))</f>
        <v/>
      </c>
      <c r="E403" s="24" t="str">
        <f>IF($Z403="","",IF($Z403&lt;=2000,IF(INDEX(包装物料出入库明细!$C$4:$C$2003,$Z403-0)=0,"",INDEX(包装物料出入库明细!$C$4:$C$2003,$Z403-0)),IF($Z403&lt;=4000,IF(INDEX(周转筐出入库明细!$E$4:$E$2004,$Z403-2000)=0,"",INDEX(周转筐出入库明细!$E$4:$E$2004,$Z403-2000)),IF($Z403&lt;=5200,IF(INDEX(客户自备加工筐明细!$D$4:$D$1203,$Z403-4000)=0,"",INDEX(客户自备加工筐明细!$D$4:$D$1203,$Z403-4000)),IF($Z403&lt;=5800,IF(INDEX(次果筐明细!$E$4:$E$603,$Z403-5200)=0,"",INDEX(次果筐明细!$E$4:$E$603,$Z403-5200)),"")))))</f>
        <v/>
      </c>
      <c r="F403" s="24" t="str">
        <f>IF($Z403="","",IF($Z403&lt;=2000,IF(INDEX(包装物料出入库明细!$E$4:$E$2003,$Z403-0)=0,"",INDEX(包装物料出入库明细!$E$4:$E$2003,$Z403-0)),IF($Z403&lt;=4000,IF(INDEX(周转筐出入库明细!$D$4:$D$2004,$Z403-2000)=0,"",INDEX(周转筐出入库明细!$D$4:$D$2004,$Z403-2000)),IF($Z403&lt;=5200,IF(INDEX(客户自备加工筐明细!$C$4:$C$1203,$Z403-4000)=0,"",INDEX(客户自备加工筐明细!$C$4:$C$1203,$Z403-4000)),IF($Z403&lt;=5800,IF(INDEX(次果筐明细!$D$4:$D$603,$Z403-5200)=0,"",INDEX(次果筐明细!$D$4:$D$603,$Z403-5200)),"")))))</f>
        <v/>
      </c>
      <c r="G403" s="24" t="str">
        <f>IF($Z403="","",IF($Z403&lt;=2000,IF(INDEX(包装物料出入库明细!$F$4:$F$2003,$Z403-0)=0,"",INDEX(包装物料出入库明细!$F$4:$F$2003,$Z403-0)),IF($Z403&lt;=4000,"",IF($Z403&lt;=5200,"",IF($Z403&lt;=5800,"","")))))</f>
        <v/>
      </c>
      <c r="H403" s="39" t="str">
        <f>IF($Z403="","",IF($Z403&lt;=2000,IF(INDEX(包装物料出入库明细!$L$4:$L$2003,$Z403-0)=0,"",INDEX(包装物料出入库明细!$L$4:$L$2003,$Z403-0)),IF($Z403&lt;=4000,N(INDEX(周转筐出入库明细!$H$4:$H$2004,$Z403-2000))+N(INDEX(周转筐出入库明细!$I$4:$I$2004,$Z403-2000))+N(INDEX(周转筐出入库明细!$J$4:$J$2004,$Z403-2000))+N(INDEX(周转筐出入库明细!$K$4:$K$2004,$Z403-2000)),IF($Z403&lt;=5200,N(INDEX(客户自备加工筐明细!$F$4:$F$1203,$Z403-4000))+N(INDEX(客户自备加工筐明细!$G$4:$G$1203,$Z403-4000)),IF($Z403&lt;=5800,IF(INDEX(次果筐明细!$G$4:$G$603,$Z403-5200)=0,"",INDEX(次果筐明细!$G$4:$G$603,$Z403-5200)),"")))))</f>
        <v/>
      </c>
      <c r="I403" s="24" t="str">
        <f>IF($Z403="","",IF($Z403&lt;=2000,IF(INDEX(包装物料出入库明细!$G$4:$G$2003,$Z403-0)=0,"",INDEX(包装物料出入库明细!$G$4:$G$2003,$Z403-0)),IF($Z403&lt;=4000,"个",IF($Z403&lt;=5200,"个",IF($Z403&lt;=5800,"个","")))))</f>
        <v/>
      </c>
      <c r="J403" s="30" t="str">
        <f t="shared" si="19"/>
        <v/>
      </c>
      <c r="K403" s="30" t="str">
        <f>IF($Z403="","",IF($Z403&lt;=2000,IF(INDEX(包装物料出入库明细!$N$4:$N$2003,$Z403-0)=0,"",INDEX(包装物料出入库明细!$N$4:$N$2003,$Z403-0)),IF($Z403&lt;=4000,IF(INDEX(周转筐出入库明细!$P$4:$P$2004,$Z403-2000)=0,"",INDEX(周转筐出入库明细!$P$4:$P$2004,$Z403-2000)),IF($Z403&lt;=5200,"",IF($Z403&lt;=5800,N(INDEX(次果筐明细!$L$4:$L$603,$Z403-5200))+N(INDEX(次果筐明细!$J$4:$J$603,$Z403-5200)),"")))))</f>
        <v/>
      </c>
      <c r="L403" s="24" t="str">
        <f>IF($Z403="","",IF($Z403&lt;=2000,IF(INDEX(包装物料出入库明细!$P$4:$P$2003,$Z403-0)=0,"",INDEX(包装物料出入库明细!$P$4:$P$2003,$Z403-0)),IF($Z403&lt;=4000,IF(INDEX(周转筐出入库明细!$Q$4:$Q$2004,$Z403-2000)=0,"",INDEX(周转筐出入库明细!$Q$4:$Q$2004,$Z403-2000)),IF($Z403&lt;=5200,"",IF($Z403&lt;=5800,IF(INDEX(次果筐明细!$M$4:$M$603,$Z403-5200)=0,"",INDEX(次果筐明细!$M$4:$M$603,$Z403-5200)),"")))))</f>
        <v/>
      </c>
      <c r="M403" s="37" t="str">
        <f>IF($Z403="","",IF($Z403&lt;=2000,IF(INDEX(包装物料出入库明细!$R$4:$R$2003,$Z403-0)=0,"",INDEX(包装物料出入库明细!$R$4:$R$2003,$Z403-0)),IF($Z403&lt;=4000,IF(INDEX(周转筐出入库明细!$W$4:$W$2004,$Z403-2000)=0,"",INDEX(周转筐出入库明细!$W$4:$W$2004,$Z403-2000)),IF($Z403&lt;=5200,IF(INDEX(客户自备加工筐明细!$L$4:$L$1203,$Z403-4000)=0,"",INDEX(客户自备加工筐明细!$L$4:$L$1203,$Z403-4000)),IF($Z403&lt;=5800,IF(INDEX(次果筐明细!$P$4:$P$603,$Z403-5200)=0,"",INDEX(次果筐明细!$P$4:$P$603,$Z403-5200)),"")))))</f>
        <v/>
      </c>
      <c r="N403" s="16" t="str">
        <f>IF($Z403="","",IF($Z403&lt;=2000,"",IF($Z403&lt;=4000,IF(INDEX(周转筐出入库明细!$D$4:$D$2004,$Z403-2000)=0,"",INDEX(周转筐出入库明细!$D$4:$D$2004,$Z403-2000)),IF($Z403&lt;=5200,IF(INDEX(客户自备加工筐明细!$C$4:$C$1203,$Z403-4000)=0,"",INDEX(客户自备加工筐明细!$C$4:$C$1203,$Z403-4000)),IF($Z403&lt;=5800,IF(INDEX(次果筐明细!$D$4:$D$603,$Z403-5200)=0,"",INDEX(次果筐明细!$D$4:$D$603,$Z403-5200)),"")))))</f>
        <v/>
      </c>
      <c r="O403" s="40" t="str">
        <f>IF($Z403="","",IF($Z403&lt;=2000,"",IF($Z403&lt;=4000,IF(N(INDEX(周转筐出入库明细!$J$4:$J$2004,$Z403-2000))+N(INDEX(周转筐出入库明细!$K$4:$K$2004,$Z403-2000))=0,"",N(INDEX(周转筐出入库明细!$J$4:$J$2004,$Z403-2000))+N(INDEX(周转筐出入库明细!$K$4:$K$2004,$Z403-2000))),IF($Z403&lt;=5200,IF(N(INDEX(客户自备加工筐明细!$G$4:$G$1203,$Z403-4000))=0,"",N(INDEX(客户自备加工筐明细!$G$4:$G$1203,$Z403-4000))),IF($Z403&lt;=5800,IF(ISNUMBER(SEARCH("退",INDEX(次果筐明细!$F$4:$F$603,$Z403-5200)&amp;"")),"",IF(N(INDEX(次果筐明细!$G$4:$G$603,$Z403-5200))=0,"",N(INDEX(次果筐明细!$G$4:$G$603,$Z403-5200)))),"")))))</f>
        <v/>
      </c>
      <c r="P403" s="40" t="str">
        <f>IF($Z403="","",IF($Z403&lt;=2000,"",IF($Z403&lt;=4000,IF(N(INDEX(周转筐出入库明细!$I$4:$I$2004,$Z403-2000))=0,"",N(INDEX(周转筐出入库明细!$I$4:$I$2004,$Z403-2000))),IF($Z403&lt;=5200,"",IF($Z403&lt;=5800,IF(ISNUMBER(SEARCH("退",INDEX(次果筐明细!$F$4:$F$603,$Z403-5200)&amp;"")),IF(N(INDEX(次果筐明细!$G$4:$G$603,$Z403-5200))=0,"",N(INDEX(次果筐明细!$G$4:$G$603,$Z403-5200))),""),"")))))</f>
        <v/>
      </c>
      <c r="Q403" s="40" t="str">
        <f>IF($Z403="","",IF($Z403&lt;=2000,"",IF($Z403&lt;=4000,IF(N(INDEX(周转筐出入库明细!$H$4:$H$2004,$Z403-2000))=0,"",N(INDEX(周转筐出入库明细!$H$4:$H$2004,$Z403-2000))),IF($Z403&lt;=5200,IF(N(INDEX(客户自备加工筐明细!$F$4:$F$1203,$Z403-4000))=0,"",N(INDEX(客户自备加工筐明细!$F$4:$F$1203,$Z403-4000))),IF($Z403&lt;=5800,"","")))))</f>
        <v/>
      </c>
      <c r="R403" s="16" t="str">
        <f>IF($Z403="","",IF($Z403&lt;=2000,IF(INDEX(包装物料出入库明细!$O$4:$O$2003,$Z403-0)=0,"",INDEX(包装物料出入库明细!$O$4:$O$2003,$Z403-0)),IF($Z403&lt;=4000,IF(INDEX(周转筐出入库明细!$M$4:$M$2004,$Z403-2000)=0,"",INDEX(周转筐出入库明细!$M$4:$M$2004,$Z403-2000)),IF($Z403&lt;=5200,IF(INDEX(客户自备加工筐明细!$H$4:$H$1203,$Z403-4000)=0,"",INDEX(客户自备加工筐明细!$H$4:$H$1203,$Z403-4000)),IF($Z403&lt;=5800,IF(INDEX(次果筐明细!$H$4:$H$603,$Z403-5200)=0,"",INDEX(次果筐明细!$H$4:$H$603,$Z403-5200)),"")))))</f>
        <v/>
      </c>
      <c r="S403" s="22" t="str">
        <f t="shared" si="20"/>
        <v/>
      </c>
      <c r="Z403" s="10" t="str">
        <f>IFERROR(MATCH(ROW()-3,_自动清单!$CQ$4:$CQ$5803,0),"")</f>
        <v/>
      </c>
    </row>
    <row r="404" spans="1:26">
      <c r="A404" s="24" t="str">
        <f t="shared" si="18"/>
        <v/>
      </c>
      <c r="B404" s="38" t="str">
        <f>IF($Z404="","",IF($Z404&lt;=2000,IF(INDEX(包装物料出入库明细!$B$4:$B$2003,$Z404-0)=0,"",INDEX(包装物料出入库明细!$B$4:$B$2003,$Z404-0)),IF($Z404&lt;=4000,IF(INDEX(周转筐出入库明细!$B$4:$B$2004,$Z404-2000)=0,"",INDEX(周转筐出入库明细!$B$4:$B$2004,$Z404-2000)),IF($Z404&lt;=5200,IF(INDEX(客户自备加工筐明细!$B$4:$B$1203,$Z404-4000)=0,"",INDEX(客户自备加工筐明细!$B$4:$B$1203,$Z404-4000)),IF($Z404&lt;=5800,IF(INDEX(次果筐明细!$B$4:$B$603,$Z404-5200)=0,"",INDEX(次果筐明细!$B$4:$B$603,$Z404-5200)),"")))))</f>
        <v/>
      </c>
      <c r="C404" s="37" t="str">
        <f>IF($Z404="","",IF($Z404&lt;=2000,IF(INDEX(包装物料出入库明细!$D$4:$D$2003,$Z404-0)=0,"",INDEX(包装物料出入库明细!$D$4:$D$2003,$Z404-0)),IF($Z404&lt;=4000,IF(INDEX(周转筐出入库明细!$C$4:$C$2004,$Z404-2000)=0,"",INDEX(周转筐出入库明细!$C$4:$C$2004,$Z404-2000)),IF($Z404&lt;=5200,IF(INDEX(客户自备加工筐明细!$E$4:$E$1203,$Z404-4000)=0,"",INDEX(客户自备加工筐明细!$E$4:$E$1203,$Z404-4000)),IF($Z404&lt;=5800,IF(INDEX(次果筐明细!$C$4:$C$603,$Z404-5200)=0,"",INDEX(次果筐明细!$C$4:$C$603,$Z404-5200)),"")))))</f>
        <v/>
      </c>
      <c r="D404" s="37" t="str">
        <f>IF($Z404="","",IF($Z404&lt;=2000,"包装物料－"&amp;INDEX(包装物料出入库明细!$H$4:$H$2003,$Z404-0),IF($Z404&lt;=4000,"周转筐－"&amp;INDEX(周转筐出入库明细!$F$4:$F$2004,$Z404-2000),IF($Z404&lt;=5200,"客户自备筐－"&amp;INDEX(客户自备加工筐明细!$J$4:$J$1203,$Z404-4000),IF($Z404&lt;=5800,"次果筐/托盘－"&amp;INDEX(次果筐明细!$F$4:$F$603,$Z404-5200),"")))))</f>
        <v/>
      </c>
      <c r="E404" s="24" t="str">
        <f>IF($Z404="","",IF($Z404&lt;=2000,IF(INDEX(包装物料出入库明细!$C$4:$C$2003,$Z404-0)=0,"",INDEX(包装物料出入库明细!$C$4:$C$2003,$Z404-0)),IF($Z404&lt;=4000,IF(INDEX(周转筐出入库明细!$E$4:$E$2004,$Z404-2000)=0,"",INDEX(周转筐出入库明细!$E$4:$E$2004,$Z404-2000)),IF($Z404&lt;=5200,IF(INDEX(客户自备加工筐明细!$D$4:$D$1203,$Z404-4000)=0,"",INDEX(客户自备加工筐明细!$D$4:$D$1203,$Z404-4000)),IF($Z404&lt;=5800,IF(INDEX(次果筐明细!$E$4:$E$603,$Z404-5200)=0,"",INDEX(次果筐明细!$E$4:$E$603,$Z404-5200)),"")))))</f>
        <v/>
      </c>
      <c r="F404" s="24" t="str">
        <f>IF($Z404="","",IF($Z404&lt;=2000,IF(INDEX(包装物料出入库明细!$E$4:$E$2003,$Z404-0)=0,"",INDEX(包装物料出入库明细!$E$4:$E$2003,$Z404-0)),IF($Z404&lt;=4000,IF(INDEX(周转筐出入库明细!$D$4:$D$2004,$Z404-2000)=0,"",INDEX(周转筐出入库明细!$D$4:$D$2004,$Z404-2000)),IF($Z404&lt;=5200,IF(INDEX(客户自备加工筐明细!$C$4:$C$1203,$Z404-4000)=0,"",INDEX(客户自备加工筐明细!$C$4:$C$1203,$Z404-4000)),IF($Z404&lt;=5800,IF(INDEX(次果筐明细!$D$4:$D$603,$Z404-5200)=0,"",INDEX(次果筐明细!$D$4:$D$603,$Z404-5200)),"")))))</f>
        <v/>
      </c>
      <c r="G404" s="24" t="str">
        <f>IF($Z404="","",IF($Z404&lt;=2000,IF(INDEX(包装物料出入库明细!$F$4:$F$2003,$Z404-0)=0,"",INDEX(包装物料出入库明细!$F$4:$F$2003,$Z404-0)),IF($Z404&lt;=4000,"",IF($Z404&lt;=5200,"",IF($Z404&lt;=5800,"","")))))</f>
        <v/>
      </c>
      <c r="H404" s="39" t="str">
        <f>IF($Z404="","",IF($Z404&lt;=2000,IF(INDEX(包装物料出入库明细!$L$4:$L$2003,$Z404-0)=0,"",INDEX(包装物料出入库明细!$L$4:$L$2003,$Z404-0)),IF($Z404&lt;=4000,N(INDEX(周转筐出入库明细!$H$4:$H$2004,$Z404-2000))+N(INDEX(周转筐出入库明细!$I$4:$I$2004,$Z404-2000))+N(INDEX(周转筐出入库明细!$J$4:$J$2004,$Z404-2000))+N(INDEX(周转筐出入库明细!$K$4:$K$2004,$Z404-2000)),IF($Z404&lt;=5200,N(INDEX(客户自备加工筐明细!$F$4:$F$1203,$Z404-4000))+N(INDEX(客户自备加工筐明细!$G$4:$G$1203,$Z404-4000)),IF($Z404&lt;=5800,IF(INDEX(次果筐明细!$G$4:$G$603,$Z404-5200)=0,"",INDEX(次果筐明细!$G$4:$G$603,$Z404-5200)),"")))))</f>
        <v/>
      </c>
      <c r="I404" s="24" t="str">
        <f>IF($Z404="","",IF($Z404&lt;=2000,IF(INDEX(包装物料出入库明细!$G$4:$G$2003,$Z404-0)=0,"",INDEX(包装物料出入库明细!$G$4:$G$2003,$Z404-0)),IF($Z404&lt;=4000,"个",IF($Z404&lt;=5200,"个",IF($Z404&lt;=5800,"个","")))))</f>
        <v/>
      </c>
      <c r="J404" s="30" t="str">
        <f t="shared" si="19"/>
        <v/>
      </c>
      <c r="K404" s="30" t="str">
        <f>IF($Z404="","",IF($Z404&lt;=2000,IF(INDEX(包装物料出入库明细!$N$4:$N$2003,$Z404-0)=0,"",INDEX(包装物料出入库明细!$N$4:$N$2003,$Z404-0)),IF($Z404&lt;=4000,IF(INDEX(周转筐出入库明细!$P$4:$P$2004,$Z404-2000)=0,"",INDEX(周转筐出入库明细!$P$4:$P$2004,$Z404-2000)),IF($Z404&lt;=5200,"",IF($Z404&lt;=5800,N(INDEX(次果筐明细!$L$4:$L$603,$Z404-5200))+N(INDEX(次果筐明细!$J$4:$J$603,$Z404-5200)),"")))))</f>
        <v/>
      </c>
      <c r="L404" s="24" t="str">
        <f>IF($Z404="","",IF($Z404&lt;=2000,IF(INDEX(包装物料出入库明细!$P$4:$P$2003,$Z404-0)=0,"",INDEX(包装物料出入库明细!$P$4:$P$2003,$Z404-0)),IF($Z404&lt;=4000,IF(INDEX(周转筐出入库明细!$Q$4:$Q$2004,$Z404-2000)=0,"",INDEX(周转筐出入库明细!$Q$4:$Q$2004,$Z404-2000)),IF($Z404&lt;=5200,"",IF($Z404&lt;=5800,IF(INDEX(次果筐明细!$M$4:$M$603,$Z404-5200)=0,"",INDEX(次果筐明细!$M$4:$M$603,$Z404-5200)),"")))))</f>
        <v/>
      </c>
      <c r="M404" s="37" t="str">
        <f>IF($Z404="","",IF($Z404&lt;=2000,IF(INDEX(包装物料出入库明细!$R$4:$R$2003,$Z404-0)=0,"",INDEX(包装物料出入库明细!$R$4:$R$2003,$Z404-0)),IF($Z404&lt;=4000,IF(INDEX(周转筐出入库明细!$W$4:$W$2004,$Z404-2000)=0,"",INDEX(周转筐出入库明细!$W$4:$W$2004,$Z404-2000)),IF($Z404&lt;=5200,IF(INDEX(客户自备加工筐明细!$L$4:$L$1203,$Z404-4000)=0,"",INDEX(客户自备加工筐明细!$L$4:$L$1203,$Z404-4000)),IF($Z404&lt;=5800,IF(INDEX(次果筐明细!$P$4:$P$603,$Z404-5200)=0,"",INDEX(次果筐明细!$P$4:$P$603,$Z404-5200)),"")))))</f>
        <v/>
      </c>
      <c r="N404" s="16" t="str">
        <f>IF($Z404="","",IF($Z404&lt;=2000,"",IF($Z404&lt;=4000,IF(INDEX(周转筐出入库明细!$D$4:$D$2004,$Z404-2000)=0,"",INDEX(周转筐出入库明细!$D$4:$D$2004,$Z404-2000)),IF($Z404&lt;=5200,IF(INDEX(客户自备加工筐明细!$C$4:$C$1203,$Z404-4000)=0,"",INDEX(客户自备加工筐明细!$C$4:$C$1203,$Z404-4000)),IF($Z404&lt;=5800,IF(INDEX(次果筐明细!$D$4:$D$603,$Z404-5200)=0,"",INDEX(次果筐明细!$D$4:$D$603,$Z404-5200)),"")))))</f>
        <v/>
      </c>
      <c r="O404" s="40" t="str">
        <f>IF($Z404="","",IF($Z404&lt;=2000,"",IF($Z404&lt;=4000,IF(N(INDEX(周转筐出入库明细!$J$4:$J$2004,$Z404-2000))+N(INDEX(周转筐出入库明细!$K$4:$K$2004,$Z404-2000))=0,"",N(INDEX(周转筐出入库明细!$J$4:$J$2004,$Z404-2000))+N(INDEX(周转筐出入库明细!$K$4:$K$2004,$Z404-2000))),IF($Z404&lt;=5200,IF(N(INDEX(客户自备加工筐明细!$G$4:$G$1203,$Z404-4000))=0,"",N(INDEX(客户自备加工筐明细!$G$4:$G$1203,$Z404-4000))),IF($Z404&lt;=5800,IF(ISNUMBER(SEARCH("退",INDEX(次果筐明细!$F$4:$F$603,$Z404-5200)&amp;"")),"",IF(N(INDEX(次果筐明细!$G$4:$G$603,$Z404-5200))=0,"",N(INDEX(次果筐明细!$G$4:$G$603,$Z404-5200)))),"")))))</f>
        <v/>
      </c>
      <c r="P404" s="40" t="str">
        <f>IF($Z404="","",IF($Z404&lt;=2000,"",IF($Z404&lt;=4000,IF(N(INDEX(周转筐出入库明细!$I$4:$I$2004,$Z404-2000))=0,"",N(INDEX(周转筐出入库明细!$I$4:$I$2004,$Z404-2000))),IF($Z404&lt;=5200,"",IF($Z404&lt;=5800,IF(ISNUMBER(SEARCH("退",INDEX(次果筐明细!$F$4:$F$603,$Z404-5200)&amp;"")),IF(N(INDEX(次果筐明细!$G$4:$G$603,$Z404-5200))=0,"",N(INDEX(次果筐明细!$G$4:$G$603,$Z404-5200))),""),"")))))</f>
        <v/>
      </c>
      <c r="Q404" s="40" t="str">
        <f>IF($Z404="","",IF($Z404&lt;=2000,"",IF($Z404&lt;=4000,IF(N(INDEX(周转筐出入库明细!$H$4:$H$2004,$Z404-2000))=0,"",N(INDEX(周转筐出入库明细!$H$4:$H$2004,$Z404-2000))),IF($Z404&lt;=5200,IF(N(INDEX(客户自备加工筐明细!$F$4:$F$1203,$Z404-4000))=0,"",N(INDEX(客户自备加工筐明细!$F$4:$F$1203,$Z404-4000))),IF($Z404&lt;=5800,"","")))))</f>
        <v/>
      </c>
      <c r="R404" s="16" t="str">
        <f>IF($Z404="","",IF($Z404&lt;=2000,IF(INDEX(包装物料出入库明细!$O$4:$O$2003,$Z404-0)=0,"",INDEX(包装物料出入库明细!$O$4:$O$2003,$Z404-0)),IF($Z404&lt;=4000,IF(INDEX(周转筐出入库明细!$M$4:$M$2004,$Z404-2000)=0,"",INDEX(周转筐出入库明细!$M$4:$M$2004,$Z404-2000)),IF($Z404&lt;=5200,IF(INDEX(客户自备加工筐明细!$H$4:$H$1203,$Z404-4000)=0,"",INDEX(客户自备加工筐明细!$H$4:$H$1203,$Z404-4000)),IF($Z404&lt;=5800,IF(INDEX(次果筐明细!$H$4:$H$603,$Z404-5200)=0,"",INDEX(次果筐明细!$H$4:$H$603,$Z404-5200)),"")))))</f>
        <v/>
      </c>
      <c r="S404" s="22" t="str">
        <f t="shared" si="20"/>
        <v/>
      </c>
      <c r="Z404" s="10" t="str">
        <f>IFERROR(MATCH(ROW()-3,_自动清单!$CQ$4:$CQ$5803,0),"")</f>
        <v/>
      </c>
    </row>
    <row r="405" spans="1:26">
      <c r="A405" s="24" t="str">
        <f t="shared" si="18"/>
        <v/>
      </c>
      <c r="B405" s="38" t="str">
        <f>IF($Z405="","",IF($Z405&lt;=2000,IF(INDEX(包装物料出入库明细!$B$4:$B$2003,$Z405-0)=0,"",INDEX(包装物料出入库明细!$B$4:$B$2003,$Z405-0)),IF($Z405&lt;=4000,IF(INDEX(周转筐出入库明细!$B$4:$B$2004,$Z405-2000)=0,"",INDEX(周转筐出入库明细!$B$4:$B$2004,$Z405-2000)),IF($Z405&lt;=5200,IF(INDEX(客户自备加工筐明细!$B$4:$B$1203,$Z405-4000)=0,"",INDEX(客户自备加工筐明细!$B$4:$B$1203,$Z405-4000)),IF($Z405&lt;=5800,IF(INDEX(次果筐明细!$B$4:$B$603,$Z405-5200)=0,"",INDEX(次果筐明细!$B$4:$B$603,$Z405-5200)),"")))))</f>
        <v/>
      </c>
      <c r="C405" s="37" t="str">
        <f>IF($Z405="","",IF($Z405&lt;=2000,IF(INDEX(包装物料出入库明细!$D$4:$D$2003,$Z405-0)=0,"",INDEX(包装物料出入库明细!$D$4:$D$2003,$Z405-0)),IF($Z405&lt;=4000,IF(INDEX(周转筐出入库明细!$C$4:$C$2004,$Z405-2000)=0,"",INDEX(周转筐出入库明细!$C$4:$C$2004,$Z405-2000)),IF($Z405&lt;=5200,IF(INDEX(客户自备加工筐明细!$E$4:$E$1203,$Z405-4000)=0,"",INDEX(客户自备加工筐明细!$E$4:$E$1203,$Z405-4000)),IF($Z405&lt;=5800,IF(INDEX(次果筐明细!$C$4:$C$603,$Z405-5200)=0,"",INDEX(次果筐明细!$C$4:$C$603,$Z405-5200)),"")))))</f>
        <v/>
      </c>
      <c r="D405" s="37" t="str">
        <f>IF($Z405="","",IF($Z405&lt;=2000,"包装物料－"&amp;INDEX(包装物料出入库明细!$H$4:$H$2003,$Z405-0),IF($Z405&lt;=4000,"周转筐－"&amp;INDEX(周转筐出入库明细!$F$4:$F$2004,$Z405-2000),IF($Z405&lt;=5200,"客户自备筐－"&amp;INDEX(客户自备加工筐明细!$J$4:$J$1203,$Z405-4000),IF($Z405&lt;=5800,"次果筐/托盘－"&amp;INDEX(次果筐明细!$F$4:$F$603,$Z405-5200),"")))))</f>
        <v/>
      </c>
      <c r="E405" s="24" t="str">
        <f>IF($Z405="","",IF($Z405&lt;=2000,IF(INDEX(包装物料出入库明细!$C$4:$C$2003,$Z405-0)=0,"",INDEX(包装物料出入库明细!$C$4:$C$2003,$Z405-0)),IF($Z405&lt;=4000,IF(INDEX(周转筐出入库明细!$E$4:$E$2004,$Z405-2000)=0,"",INDEX(周转筐出入库明细!$E$4:$E$2004,$Z405-2000)),IF($Z405&lt;=5200,IF(INDEX(客户自备加工筐明细!$D$4:$D$1203,$Z405-4000)=0,"",INDEX(客户自备加工筐明细!$D$4:$D$1203,$Z405-4000)),IF($Z405&lt;=5800,IF(INDEX(次果筐明细!$E$4:$E$603,$Z405-5200)=0,"",INDEX(次果筐明细!$E$4:$E$603,$Z405-5200)),"")))))</f>
        <v/>
      </c>
      <c r="F405" s="24" t="str">
        <f>IF($Z405="","",IF($Z405&lt;=2000,IF(INDEX(包装物料出入库明细!$E$4:$E$2003,$Z405-0)=0,"",INDEX(包装物料出入库明细!$E$4:$E$2003,$Z405-0)),IF($Z405&lt;=4000,IF(INDEX(周转筐出入库明细!$D$4:$D$2004,$Z405-2000)=0,"",INDEX(周转筐出入库明细!$D$4:$D$2004,$Z405-2000)),IF($Z405&lt;=5200,IF(INDEX(客户自备加工筐明细!$C$4:$C$1203,$Z405-4000)=0,"",INDEX(客户自备加工筐明细!$C$4:$C$1203,$Z405-4000)),IF($Z405&lt;=5800,IF(INDEX(次果筐明细!$D$4:$D$603,$Z405-5200)=0,"",INDEX(次果筐明细!$D$4:$D$603,$Z405-5200)),"")))))</f>
        <v/>
      </c>
      <c r="G405" s="24" t="str">
        <f>IF($Z405="","",IF($Z405&lt;=2000,IF(INDEX(包装物料出入库明细!$F$4:$F$2003,$Z405-0)=0,"",INDEX(包装物料出入库明细!$F$4:$F$2003,$Z405-0)),IF($Z405&lt;=4000,"",IF($Z405&lt;=5200,"",IF($Z405&lt;=5800,"","")))))</f>
        <v/>
      </c>
      <c r="H405" s="39" t="str">
        <f>IF($Z405="","",IF($Z405&lt;=2000,IF(INDEX(包装物料出入库明细!$L$4:$L$2003,$Z405-0)=0,"",INDEX(包装物料出入库明细!$L$4:$L$2003,$Z405-0)),IF($Z405&lt;=4000,N(INDEX(周转筐出入库明细!$H$4:$H$2004,$Z405-2000))+N(INDEX(周转筐出入库明细!$I$4:$I$2004,$Z405-2000))+N(INDEX(周转筐出入库明细!$J$4:$J$2004,$Z405-2000))+N(INDEX(周转筐出入库明细!$K$4:$K$2004,$Z405-2000)),IF($Z405&lt;=5200,N(INDEX(客户自备加工筐明细!$F$4:$F$1203,$Z405-4000))+N(INDEX(客户自备加工筐明细!$G$4:$G$1203,$Z405-4000)),IF($Z405&lt;=5800,IF(INDEX(次果筐明细!$G$4:$G$603,$Z405-5200)=0,"",INDEX(次果筐明细!$G$4:$G$603,$Z405-5200)),"")))))</f>
        <v/>
      </c>
      <c r="I405" s="24" t="str">
        <f>IF($Z405="","",IF($Z405&lt;=2000,IF(INDEX(包装物料出入库明细!$G$4:$G$2003,$Z405-0)=0,"",INDEX(包装物料出入库明细!$G$4:$G$2003,$Z405-0)),IF($Z405&lt;=4000,"个",IF($Z405&lt;=5200,"个",IF($Z405&lt;=5800,"个","")))))</f>
        <v/>
      </c>
      <c r="J405" s="30" t="str">
        <f t="shared" si="19"/>
        <v/>
      </c>
      <c r="K405" s="30" t="str">
        <f>IF($Z405="","",IF($Z405&lt;=2000,IF(INDEX(包装物料出入库明细!$N$4:$N$2003,$Z405-0)=0,"",INDEX(包装物料出入库明细!$N$4:$N$2003,$Z405-0)),IF($Z405&lt;=4000,IF(INDEX(周转筐出入库明细!$P$4:$P$2004,$Z405-2000)=0,"",INDEX(周转筐出入库明细!$P$4:$P$2004,$Z405-2000)),IF($Z405&lt;=5200,"",IF($Z405&lt;=5800,N(INDEX(次果筐明细!$L$4:$L$603,$Z405-5200))+N(INDEX(次果筐明细!$J$4:$J$603,$Z405-5200)),"")))))</f>
        <v/>
      </c>
      <c r="L405" s="24" t="str">
        <f>IF($Z405="","",IF($Z405&lt;=2000,IF(INDEX(包装物料出入库明细!$P$4:$P$2003,$Z405-0)=0,"",INDEX(包装物料出入库明细!$P$4:$P$2003,$Z405-0)),IF($Z405&lt;=4000,IF(INDEX(周转筐出入库明细!$Q$4:$Q$2004,$Z405-2000)=0,"",INDEX(周转筐出入库明细!$Q$4:$Q$2004,$Z405-2000)),IF($Z405&lt;=5200,"",IF($Z405&lt;=5800,IF(INDEX(次果筐明细!$M$4:$M$603,$Z405-5200)=0,"",INDEX(次果筐明细!$M$4:$M$603,$Z405-5200)),"")))))</f>
        <v/>
      </c>
      <c r="M405" s="37" t="str">
        <f>IF($Z405="","",IF($Z405&lt;=2000,IF(INDEX(包装物料出入库明细!$R$4:$R$2003,$Z405-0)=0,"",INDEX(包装物料出入库明细!$R$4:$R$2003,$Z405-0)),IF($Z405&lt;=4000,IF(INDEX(周转筐出入库明细!$W$4:$W$2004,$Z405-2000)=0,"",INDEX(周转筐出入库明细!$W$4:$W$2004,$Z405-2000)),IF($Z405&lt;=5200,IF(INDEX(客户自备加工筐明细!$L$4:$L$1203,$Z405-4000)=0,"",INDEX(客户自备加工筐明细!$L$4:$L$1203,$Z405-4000)),IF($Z405&lt;=5800,IF(INDEX(次果筐明细!$P$4:$P$603,$Z405-5200)=0,"",INDEX(次果筐明细!$P$4:$P$603,$Z405-5200)),"")))))</f>
        <v/>
      </c>
      <c r="N405" s="16" t="str">
        <f>IF($Z405="","",IF($Z405&lt;=2000,"",IF($Z405&lt;=4000,IF(INDEX(周转筐出入库明细!$D$4:$D$2004,$Z405-2000)=0,"",INDEX(周转筐出入库明细!$D$4:$D$2004,$Z405-2000)),IF($Z405&lt;=5200,IF(INDEX(客户自备加工筐明细!$C$4:$C$1203,$Z405-4000)=0,"",INDEX(客户自备加工筐明细!$C$4:$C$1203,$Z405-4000)),IF($Z405&lt;=5800,IF(INDEX(次果筐明细!$D$4:$D$603,$Z405-5200)=0,"",INDEX(次果筐明细!$D$4:$D$603,$Z405-5200)),"")))))</f>
        <v/>
      </c>
      <c r="O405" s="40" t="str">
        <f>IF($Z405="","",IF($Z405&lt;=2000,"",IF($Z405&lt;=4000,IF(N(INDEX(周转筐出入库明细!$J$4:$J$2004,$Z405-2000))+N(INDEX(周转筐出入库明细!$K$4:$K$2004,$Z405-2000))=0,"",N(INDEX(周转筐出入库明细!$J$4:$J$2004,$Z405-2000))+N(INDEX(周转筐出入库明细!$K$4:$K$2004,$Z405-2000))),IF($Z405&lt;=5200,IF(N(INDEX(客户自备加工筐明细!$G$4:$G$1203,$Z405-4000))=0,"",N(INDEX(客户自备加工筐明细!$G$4:$G$1203,$Z405-4000))),IF($Z405&lt;=5800,IF(ISNUMBER(SEARCH("退",INDEX(次果筐明细!$F$4:$F$603,$Z405-5200)&amp;"")),"",IF(N(INDEX(次果筐明细!$G$4:$G$603,$Z405-5200))=0,"",N(INDEX(次果筐明细!$G$4:$G$603,$Z405-5200)))),"")))))</f>
        <v/>
      </c>
      <c r="P405" s="40" t="str">
        <f>IF($Z405="","",IF($Z405&lt;=2000,"",IF($Z405&lt;=4000,IF(N(INDEX(周转筐出入库明细!$I$4:$I$2004,$Z405-2000))=0,"",N(INDEX(周转筐出入库明细!$I$4:$I$2004,$Z405-2000))),IF($Z405&lt;=5200,"",IF($Z405&lt;=5800,IF(ISNUMBER(SEARCH("退",INDEX(次果筐明细!$F$4:$F$603,$Z405-5200)&amp;"")),IF(N(INDEX(次果筐明细!$G$4:$G$603,$Z405-5200))=0,"",N(INDEX(次果筐明细!$G$4:$G$603,$Z405-5200))),""),"")))))</f>
        <v/>
      </c>
      <c r="Q405" s="40" t="str">
        <f>IF($Z405="","",IF($Z405&lt;=2000,"",IF($Z405&lt;=4000,IF(N(INDEX(周转筐出入库明细!$H$4:$H$2004,$Z405-2000))=0,"",N(INDEX(周转筐出入库明细!$H$4:$H$2004,$Z405-2000))),IF($Z405&lt;=5200,IF(N(INDEX(客户自备加工筐明细!$F$4:$F$1203,$Z405-4000))=0,"",N(INDEX(客户自备加工筐明细!$F$4:$F$1203,$Z405-4000))),IF($Z405&lt;=5800,"","")))))</f>
        <v/>
      </c>
      <c r="R405" s="16" t="str">
        <f>IF($Z405="","",IF($Z405&lt;=2000,IF(INDEX(包装物料出入库明细!$O$4:$O$2003,$Z405-0)=0,"",INDEX(包装物料出入库明细!$O$4:$O$2003,$Z405-0)),IF($Z405&lt;=4000,IF(INDEX(周转筐出入库明细!$M$4:$M$2004,$Z405-2000)=0,"",INDEX(周转筐出入库明细!$M$4:$M$2004,$Z405-2000)),IF($Z405&lt;=5200,IF(INDEX(客户自备加工筐明细!$H$4:$H$1203,$Z405-4000)=0,"",INDEX(客户自备加工筐明细!$H$4:$H$1203,$Z405-4000)),IF($Z405&lt;=5800,IF(INDEX(次果筐明细!$H$4:$H$603,$Z405-5200)=0,"",INDEX(次果筐明细!$H$4:$H$603,$Z405-5200)),"")))))</f>
        <v/>
      </c>
      <c r="S405" s="22" t="str">
        <f t="shared" si="20"/>
        <v/>
      </c>
      <c r="Z405" s="10" t="str">
        <f>IFERROR(MATCH(ROW()-3,_自动清单!$CQ$4:$CQ$5803,0),"")</f>
        <v/>
      </c>
    </row>
    <row r="406" spans="1:26">
      <c r="A406" s="24" t="str">
        <f t="shared" si="18"/>
        <v/>
      </c>
      <c r="B406" s="38" t="str">
        <f>IF($Z406="","",IF($Z406&lt;=2000,IF(INDEX(包装物料出入库明细!$B$4:$B$2003,$Z406-0)=0,"",INDEX(包装物料出入库明细!$B$4:$B$2003,$Z406-0)),IF($Z406&lt;=4000,IF(INDEX(周转筐出入库明细!$B$4:$B$2004,$Z406-2000)=0,"",INDEX(周转筐出入库明细!$B$4:$B$2004,$Z406-2000)),IF($Z406&lt;=5200,IF(INDEX(客户自备加工筐明细!$B$4:$B$1203,$Z406-4000)=0,"",INDEX(客户自备加工筐明细!$B$4:$B$1203,$Z406-4000)),IF($Z406&lt;=5800,IF(INDEX(次果筐明细!$B$4:$B$603,$Z406-5200)=0,"",INDEX(次果筐明细!$B$4:$B$603,$Z406-5200)),"")))))</f>
        <v/>
      </c>
      <c r="C406" s="37" t="str">
        <f>IF($Z406="","",IF($Z406&lt;=2000,IF(INDEX(包装物料出入库明细!$D$4:$D$2003,$Z406-0)=0,"",INDEX(包装物料出入库明细!$D$4:$D$2003,$Z406-0)),IF($Z406&lt;=4000,IF(INDEX(周转筐出入库明细!$C$4:$C$2004,$Z406-2000)=0,"",INDEX(周转筐出入库明细!$C$4:$C$2004,$Z406-2000)),IF($Z406&lt;=5200,IF(INDEX(客户自备加工筐明细!$E$4:$E$1203,$Z406-4000)=0,"",INDEX(客户自备加工筐明细!$E$4:$E$1203,$Z406-4000)),IF($Z406&lt;=5800,IF(INDEX(次果筐明细!$C$4:$C$603,$Z406-5200)=0,"",INDEX(次果筐明细!$C$4:$C$603,$Z406-5200)),"")))))</f>
        <v/>
      </c>
      <c r="D406" s="37" t="str">
        <f>IF($Z406="","",IF($Z406&lt;=2000,"包装物料－"&amp;INDEX(包装物料出入库明细!$H$4:$H$2003,$Z406-0),IF($Z406&lt;=4000,"周转筐－"&amp;INDEX(周转筐出入库明细!$F$4:$F$2004,$Z406-2000),IF($Z406&lt;=5200,"客户自备筐－"&amp;INDEX(客户自备加工筐明细!$J$4:$J$1203,$Z406-4000),IF($Z406&lt;=5800,"次果筐/托盘－"&amp;INDEX(次果筐明细!$F$4:$F$603,$Z406-5200),"")))))</f>
        <v/>
      </c>
      <c r="E406" s="24" t="str">
        <f>IF($Z406="","",IF($Z406&lt;=2000,IF(INDEX(包装物料出入库明细!$C$4:$C$2003,$Z406-0)=0,"",INDEX(包装物料出入库明细!$C$4:$C$2003,$Z406-0)),IF($Z406&lt;=4000,IF(INDEX(周转筐出入库明细!$E$4:$E$2004,$Z406-2000)=0,"",INDEX(周转筐出入库明细!$E$4:$E$2004,$Z406-2000)),IF($Z406&lt;=5200,IF(INDEX(客户自备加工筐明细!$D$4:$D$1203,$Z406-4000)=0,"",INDEX(客户自备加工筐明细!$D$4:$D$1203,$Z406-4000)),IF($Z406&lt;=5800,IF(INDEX(次果筐明细!$E$4:$E$603,$Z406-5200)=0,"",INDEX(次果筐明细!$E$4:$E$603,$Z406-5200)),"")))))</f>
        <v/>
      </c>
      <c r="F406" s="24" t="str">
        <f>IF($Z406="","",IF($Z406&lt;=2000,IF(INDEX(包装物料出入库明细!$E$4:$E$2003,$Z406-0)=0,"",INDEX(包装物料出入库明细!$E$4:$E$2003,$Z406-0)),IF($Z406&lt;=4000,IF(INDEX(周转筐出入库明细!$D$4:$D$2004,$Z406-2000)=0,"",INDEX(周转筐出入库明细!$D$4:$D$2004,$Z406-2000)),IF($Z406&lt;=5200,IF(INDEX(客户自备加工筐明细!$C$4:$C$1203,$Z406-4000)=0,"",INDEX(客户自备加工筐明细!$C$4:$C$1203,$Z406-4000)),IF($Z406&lt;=5800,IF(INDEX(次果筐明细!$D$4:$D$603,$Z406-5200)=0,"",INDEX(次果筐明细!$D$4:$D$603,$Z406-5200)),"")))))</f>
        <v/>
      </c>
      <c r="G406" s="24" t="str">
        <f>IF($Z406="","",IF($Z406&lt;=2000,IF(INDEX(包装物料出入库明细!$F$4:$F$2003,$Z406-0)=0,"",INDEX(包装物料出入库明细!$F$4:$F$2003,$Z406-0)),IF($Z406&lt;=4000,"",IF($Z406&lt;=5200,"",IF($Z406&lt;=5800,"","")))))</f>
        <v/>
      </c>
      <c r="H406" s="39" t="str">
        <f>IF($Z406="","",IF($Z406&lt;=2000,IF(INDEX(包装物料出入库明细!$L$4:$L$2003,$Z406-0)=0,"",INDEX(包装物料出入库明细!$L$4:$L$2003,$Z406-0)),IF($Z406&lt;=4000,N(INDEX(周转筐出入库明细!$H$4:$H$2004,$Z406-2000))+N(INDEX(周转筐出入库明细!$I$4:$I$2004,$Z406-2000))+N(INDEX(周转筐出入库明细!$J$4:$J$2004,$Z406-2000))+N(INDEX(周转筐出入库明细!$K$4:$K$2004,$Z406-2000)),IF($Z406&lt;=5200,N(INDEX(客户自备加工筐明细!$F$4:$F$1203,$Z406-4000))+N(INDEX(客户自备加工筐明细!$G$4:$G$1203,$Z406-4000)),IF($Z406&lt;=5800,IF(INDEX(次果筐明细!$G$4:$G$603,$Z406-5200)=0,"",INDEX(次果筐明细!$G$4:$G$603,$Z406-5200)),"")))))</f>
        <v/>
      </c>
      <c r="I406" s="24" t="str">
        <f>IF($Z406="","",IF($Z406&lt;=2000,IF(INDEX(包装物料出入库明细!$G$4:$G$2003,$Z406-0)=0,"",INDEX(包装物料出入库明细!$G$4:$G$2003,$Z406-0)),IF($Z406&lt;=4000,"个",IF($Z406&lt;=5200,"个",IF($Z406&lt;=5800,"个","")))))</f>
        <v/>
      </c>
      <c r="J406" s="30" t="str">
        <f t="shared" si="19"/>
        <v/>
      </c>
      <c r="K406" s="30" t="str">
        <f>IF($Z406="","",IF($Z406&lt;=2000,IF(INDEX(包装物料出入库明细!$N$4:$N$2003,$Z406-0)=0,"",INDEX(包装物料出入库明细!$N$4:$N$2003,$Z406-0)),IF($Z406&lt;=4000,IF(INDEX(周转筐出入库明细!$P$4:$P$2004,$Z406-2000)=0,"",INDEX(周转筐出入库明细!$P$4:$P$2004,$Z406-2000)),IF($Z406&lt;=5200,"",IF($Z406&lt;=5800,N(INDEX(次果筐明细!$L$4:$L$603,$Z406-5200))+N(INDEX(次果筐明细!$J$4:$J$603,$Z406-5200)),"")))))</f>
        <v/>
      </c>
      <c r="L406" s="24" t="str">
        <f>IF($Z406="","",IF($Z406&lt;=2000,IF(INDEX(包装物料出入库明细!$P$4:$P$2003,$Z406-0)=0,"",INDEX(包装物料出入库明细!$P$4:$P$2003,$Z406-0)),IF($Z406&lt;=4000,IF(INDEX(周转筐出入库明细!$Q$4:$Q$2004,$Z406-2000)=0,"",INDEX(周转筐出入库明细!$Q$4:$Q$2004,$Z406-2000)),IF($Z406&lt;=5200,"",IF($Z406&lt;=5800,IF(INDEX(次果筐明细!$M$4:$M$603,$Z406-5200)=0,"",INDEX(次果筐明细!$M$4:$M$603,$Z406-5200)),"")))))</f>
        <v/>
      </c>
      <c r="M406" s="37" t="str">
        <f>IF($Z406="","",IF($Z406&lt;=2000,IF(INDEX(包装物料出入库明细!$R$4:$R$2003,$Z406-0)=0,"",INDEX(包装物料出入库明细!$R$4:$R$2003,$Z406-0)),IF($Z406&lt;=4000,IF(INDEX(周转筐出入库明细!$W$4:$W$2004,$Z406-2000)=0,"",INDEX(周转筐出入库明细!$W$4:$W$2004,$Z406-2000)),IF($Z406&lt;=5200,IF(INDEX(客户自备加工筐明细!$L$4:$L$1203,$Z406-4000)=0,"",INDEX(客户自备加工筐明细!$L$4:$L$1203,$Z406-4000)),IF($Z406&lt;=5800,IF(INDEX(次果筐明细!$P$4:$P$603,$Z406-5200)=0,"",INDEX(次果筐明细!$P$4:$P$603,$Z406-5200)),"")))))</f>
        <v/>
      </c>
      <c r="N406" s="16" t="str">
        <f>IF($Z406="","",IF($Z406&lt;=2000,"",IF($Z406&lt;=4000,IF(INDEX(周转筐出入库明细!$D$4:$D$2004,$Z406-2000)=0,"",INDEX(周转筐出入库明细!$D$4:$D$2004,$Z406-2000)),IF($Z406&lt;=5200,IF(INDEX(客户自备加工筐明细!$C$4:$C$1203,$Z406-4000)=0,"",INDEX(客户自备加工筐明细!$C$4:$C$1203,$Z406-4000)),IF($Z406&lt;=5800,IF(INDEX(次果筐明细!$D$4:$D$603,$Z406-5200)=0,"",INDEX(次果筐明细!$D$4:$D$603,$Z406-5200)),"")))))</f>
        <v/>
      </c>
      <c r="O406" s="40" t="str">
        <f>IF($Z406="","",IF($Z406&lt;=2000,"",IF($Z406&lt;=4000,IF(N(INDEX(周转筐出入库明细!$J$4:$J$2004,$Z406-2000))+N(INDEX(周转筐出入库明细!$K$4:$K$2004,$Z406-2000))=0,"",N(INDEX(周转筐出入库明细!$J$4:$J$2004,$Z406-2000))+N(INDEX(周转筐出入库明细!$K$4:$K$2004,$Z406-2000))),IF($Z406&lt;=5200,IF(N(INDEX(客户自备加工筐明细!$G$4:$G$1203,$Z406-4000))=0,"",N(INDEX(客户自备加工筐明细!$G$4:$G$1203,$Z406-4000))),IF($Z406&lt;=5800,IF(ISNUMBER(SEARCH("退",INDEX(次果筐明细!$F$4:$F$603,$Z406-5200)&amp;"")),"",IF(N(INDEX(次果筐明细!$G$4:$G$603,$Z406-5200))=0,"",N(INDEX(次果筐明细!$G$4:$G$603,$Z406-5200)))),"")))))</f>
        <v/>
      </c>
      <c r="P406" s="40" t="str">
        <f>IF($Z406="","",IF($Z406&lt;=2000,"",IF($Z406&lt;=4000,IF(N(INDEX(周转筐出入库明细!$I$4:$I$2004,$Z406-2000))=0,"",N(INDEX(周转筐出入库明细!$I$4:$I$2004,$Z406-2000))),IF($Z406&lt;=5200,"",IF($Z406&lt;=5800,IF(ISNUMBER(SEARCH("退",INDEX(次果筐明细!$F$4:$F$603,$Z406-5200)&amp;"")),IF(N(INDEX(次果筐明细!$G$4:$G$603,$Z406-5200))=0,"",N(INDEX(次果筐明细!$G$4:$G$603,$Z406-5200))),""),"")))))</f>
        <v/>
      </c>
      <c r="Q406" s="40" t="str">
        <f>IF($Z406="","",IF($Z406&lt;=2000,"",IF($Z406&lt;=4000,IF(N(INDEX(周转筐出入库明细!$H$4:$H$2004,$Z406-2000))=0,"",N(INDEX(周转筐出入库明细!$H$4:$H$2004,$Z406-2000))),IF($Z406&lt;=5200,IF(N(INDEX(客户自备加工筐明细!$F$4:$F$1203,$Z406-4000))=0,"",N(INDEX(客户自备加工筐明细!$F$4:$F$1203,$Z406-4000))),IF($Z406&lt;=5800,"","")))))</f>
        <v/>
      </c>
      <c r="R406" s="16" t="str">
        <f>IF($Z406="","",IF($Z406&lt;=2000,IF(INDEX(包装物料出入库明细!$O$4:$O$2003,$Z406-0)=0,"",INDEX(包装物料出入库明细!$O$4:$O$2003,$Z406-0)),IF($Z406&lt;=4000,IF(INDEX(周转筐出入库明细!$M$4:$M$2004,$Z406-2000)=0,"",INDEX(周转筐出入库明细!$M$4:$M$2004,$Z406-2000)),IF($Z406&lt;=5200,IF(INDEX(客户自备加工筐明细!$H$4:$H$1203,$Z406-4000)=0,"",INDEX(客户自备加工筐明细!$H$4:$H$1203,$Z406-4000)),IF($Z406&lt;=5800,IF(INDEX(次果筐明细!$H$4:$H$603,$Z406-5200)=0,"",INDEX(次果筐明细!$H$4:$H$603,$Z406-5200)),"")))))</f>
        <v/>
      </c>
      <c r="S406" s="22" t="str">
        <f t="shared" si="20"/>
        <v/>
      </c>
      <c r="Z406" s="10" t="str">
        <f>IFERROR(MATCH(ROW()-3,_自动清单!$CQ$4:$CQ$5803,0),"")</f>
        <v/>
      </c>
    </row>
    <row r="407" spans="1:26">
      <c r="A407" s="24" t="str">
        <f t="shared" si="18"/>
        <v/>
      </c>
      <c r="B407" s="38" t="str">
        <f>IF($Z407="","",IF($Z407&lt;=2000,IF(INDEX(包装物料出入库明细!$B$4:$B$2003,$Z407-0)=0,"",INDEX(包装物料出入库明细!$B$4:$B$2003,$Z407-0)),IF($Z407&lt;=4000,IF(INDEX(周转筐出入库明细!$B$4:$B$2004,$Z407-2000)=0,"",INDEX(周转筐出入库明细!$B$4:$B$2004,$Z407-2000)),IF($Z407&lt;=5200,IF(INDEX(客户自备加工筐明细!$B$4:$B$1203,$Z407-4000)=0,"",INDEX(客户自备加工筐明细!$B$4:$B$1203,$Z407-4000)),IF($Z407&lt;=5800,IF(INDEX(次果筐明细!$B$4:$B$603,$Z407-5200)=0,"",INDEX(次果筐明细!$B$4:$B$603,$Z407-5200)),"")))))</f>
        <v/>
      </c>
      <c r="C407" s="37" t="str">
        <f>IF($Z407="","",IF($Z407&lt;=2000,IF(INDEX(包装物料出入库明细!$D$4:$D$2003,$Z407-0)=0,"",INDEX(包装物料出入库明细!$D$4:$D$2003,$Z407-0)),IF($Z407&lt;=4000,IF(INDEX(周转筐出入库明细!$C$4:$C$2004,$Z407-2000)=0,"",INDEX(周转筐出入库明细!$C$4:$C$2004,$Z407-2000)),IF($Z407&lt;=5200,IF(INDEX(客户自备加工筐明细!$E$4:$E$1203,$Z407-4000)=0,"",INDEX(客户自备加工筐明细!$E$4:$E$1203,$Z407-4000)),IF($Z407&lt;=5800,IF(INDEX(次果筐明细!$C$4:$C$603,$Z407-5200)=0,"",INDEX(次果筐明细!$C$4:$C$603,$Z407-5200)),"")))))</f>
        <v/>
      </c>
      <c r="D407" s="37" t="str">
        <f>IF($Z407="","",IF($Z407&lt;=2000,"包装物料－"&amp;INDEX(包装物料出入库明细!$H$4:$H$2003,$Z407-0),IF($Z407&lt;=4000,"周转筐－"&amp;INDEX(周转筐出入库明细!$F$4:$F$2004,$Z407-2000),IF($Z407&lt;=5200,"客户自备筐－"&amp;INDEX(客户自备加工筐明细!$J$4:$J$1203,$Z407-4000),IF($Z407&lt;=5800,"次果筐/托盘－"&amp;INDEX(次果筐明细!$F$4:$F$603,$Z407-5200),"")))))</f>
        <v/>
      </c>
      <c r="E407" s="24" t="str">
        <f>IF($Z407="","",IF($Z407&lt;=2000,IF(INDEX(包装物料出入库明细!$C$4:$C$2003,$Z407-0)=0,"",INDEX(包装物料出入库明细!$C$4:$C$2003,$Z407-0)),IF($Z407&lt;=4000,IF(INDEX(周转筐出入库明细!$E$4:$E$2004,$Z407-2000)=0,"",INDEX(周转筐出入库明细!$E$4:$E$2004,$Z407-2000)),IF($Z407&lt;=5200,IF(INDEX(客户自备加工筐明细!$D$4:$D$1203,$Z407-4000)=0,"",INDEX(客户自备加工筐明细!$D$4:$D$1203,$Z407-4000)),IF($Z407&lt;=5800,IF(INDEX(次果筐明细!$E$4:$E$603,$Z407-5200)=0,"",INDEX(次果筐明细!$E$4:$E$603,$Z407-5200)),"")))))</f>
        <v/>
      </c>
      <c r="F407" s="24" t="str">
        <f>IF($Z407="","",IF($Z407&lt;=2000,IF(INDEX(包装物料出入库明细!$E$4:$E$2003,$Z407-0)=0,"",INDEX(包装物料出入库明细!$E$4:$E$2003,$Z407-0)),IF($Z407&lt;=4000,IF(INDEX(周转筐出入库明细!$D$4:$D$2004,$Z407-2000)=0,"",INDEX(周转筐出入库明细!$D$4:$D$2004,$Z407-2000)),IF($Z407&lt;=5200,IF(INDEX(客户自备加工筐明细!$C$4:$C$1203,$Z407-4000)=0,"",INDEX(客户自备加工筐明细!$C$4:$C$1203,$Z407-4000)),IF($Z407&lt;=5800,IF(INDEX(次果筐明细!$D$4:$D$603,$Z407-5200)=0,"",INDEX(次果筐明细!$D$4:$D$603,$Z407-5200)),"")))))</f>
        <v/>
      </c>
      <c r="G407" s="24" t="str">
        <f>IF($Z407="","",IF($Z407&lt;=2000,IF(INDEX(包装物料出入库明细!$F$4:$F$2003,$Z407-0)=0,"",INDEX(包装物料出入库明细!$F$4:$F$2003,$Z407-0)),IF($Z407&lt;=4000,"",IF($Z407&lt;=5200,"",IF($Z407&lt;=5800,"","")))))</f>
        <v/>
      </c>
      <c r="H407" s="39" t="str">
        <f>IF($Z407="","",IF($Z407&lt;=2000,IF(INDEX(包装物料出入库明细!$L$4:$L$2003,$Z407-0)=0,"",INDEX(包装物料出入库明细!$L$4:$L$2003,$Z407-0)),IF($Z407&lt;=4000,N(INDEX(周转筐出入库明细!$H$4:$H$2004,$Z407-2000))+N(INDEX(周转筐出入库明细!$I$4:$I$2004,$Z407-2000))+N(INDEX(周转筐出入库明细!$J$4:$J$2004,$Z407-2000))+N(INDEX(周转筐出入库明细!$K$4:$K$2004,$Z407-2000)),IF($Z407&lt;=5200,N(INDEX(客户自备加工筐明细!$F$4:$F$1203,$Z407-4000))+N(INDEX(客户自备加工筐明细!$G$4:$G$1203,$Z407-4000)),IF($Z407&lt;=5800,IF(INDEX(次果筐明细!$G$4:$G$603,$Z407-5200)=0,"",INDEX(次果筐明细!$G$4:$G$603,$Z407-5200)),"")))))</f>
        <v/>
      </c>
      <c r="I407" s="24" t="str">
        <f>IF($Z407="","",IF($Z407&lt;=2000,IF(INDEX(包装物料出入库明细!$G$4:$G$2003,$Z407-0)=0,"",INDEX(包装物料出入库明细!$G$4:$G$2003,$Z407-0)),IF($Z407&lt;=4000,"个",IF($Z407&lt;=5200,"个",IF($Z407&lt;=5800,"个","")))))</f>
        <v/>
      </c>
      <c r="J407" s="30" t="str">
        <f t="shared" si="19"/>
        <v/>
      </c>
      <c r="K407" s="30" t="str">
        <f>IF($Z407="","",IF($Z407&lt;=2000,IF(INDEX(包装物料出入库明细!$N$4:$N$2003,$Z407-0)=0,"",INDEX(包装物料出入库明细!$N$4:$N$2003,$Z407-0)),IF($Z407&lt;=4000,IF(INDEX(周转筐出入库明细!$P$4:$P$2004,$Z407-2000)=0,"",INDEX(周转筐出入库明细!$P$4:$P$2004,$Z407-2000)),IF($Z407&lt;=5200,"",IF($Z407&lt;=5800,N(INDEX(次果筐明细!$L$4:$L$603,$Z407-5200))+N(INDEX(次果筐明细!$J$4:$J$603,$Z407-5200)),"")))))</f>
        <v/>
      </c>
      <c r="L407" s="24" t="str">
        <f>IF($Z407="","",IF($Z407&lt;=2000,IF(INDEX(包装物料出入库明细!$P$4:$P$2003,$Z407-0)=0,"",INDEX(包装物料出入库明细!$P$4:$P$2003,$Z407-0)),IF($Z407&lt;=4000,IF(INDEX(周转筐出入库明细!$Q$4:$Q$2004,$Z407-2000)=0,"",INDEX(周转筐出入库明细!$Q$4:$Q$2004,$Z407-2000)),IF($Z407&lt;=5200,"",IF($Z407&lt;=5800,IF(INDEX(次果筐明细!$M$4:$M$603,$Z407-5200)=0,"",INDEX(次果筐明细!$M$4:$M$603,$Z407-5200)),"")))))</f>
        <v/>
      </c>
      <c r="M407" s="37" t="str">
        <f>IF($Z407="","",IF($Z407&lt;=2000,IF(INDEX(包装物料出入库明细!$R$4:$R$2003,$Z407-0)=0,"",INDEX(包装物料出入库明细!$R$4:$R$2003,$Z407-0)),IF($Z407&lt;=4000,IF(INDEX(周转筐出入库明细!$W$4:$W$2004,$Z407-2000)=0,"",INDEX(周转筐出入库明细!$W$4:$W$2004,$Z407-2000)),IF($Z407&lt;=5200,IF(INDEX(客户自备加工筐明细!$L$4:$L$1203,$Z407-4000)=0,"",INDEX(客户自备加工筐明细!$L$4:$L$1203,$Z407-4000)),IF($Z407&lt;=5800,IF(INDEX(次果筐明细!$P$4:$P$603,$Z407-5200)=0,"",INDEX(次果筐明细!$P$4:$P$603,$Z407-5200)),"")))))</f>
        <v/>
      </c>
      <c r="N407" s="16" t="str">
        <f>IF($Z407="","",IF($Z407&lt;=2000,"",IF($Z407&lt;=4000,IF(INDEX(周转筐出入库明细!$D$4:$D$2004,$Z407-2000)=0,"",INDEX(周转筐出入库明细!$D$4:$D$2004,$Z407-2000)),IF($Z407&lt;=5200,IF(INDEX(客户自备加工筐明细!$C$4:$C$1203,$Z407-4000)=0,"",INDEX(客户自备加工筐明细!$C$4:$C$1203,$Z407-4000)),IF($Z407&lt;=5800,IF(INDEX(次果筐明细!$D$4:$D$603,$Z407-5200)=0,"",INDEX(次果筐明细!$D$4:$D$603,$Z407-5200)),"")))))</f>
        <v/>
      </c>
      <c r="O407" s="40" t="str">
        <f>IF($Z407="","",IF($Z407&lt;=2000,"",IF($Z407&lt;=4000,IF(N(INDEX(周转筐出入库明细!$J$4:$J$2004,$Z407-2000))+N(INDEX(周转筐出入库明细!$K$4:$K$2004,$Z407-2000))=0,"",N(INDEX(周转筐出入库明细!$J$4:$J$2004,$Z407-2000))+N(INDEX(周转筐出入库明细!$K$4:$K$2004,$Z407-2000))),IF($Z407&lt;=5200,IF(N(INDEX(客户自备加工筐明细!$G$4:$G$1203,$Z407-4000))=0,"",N(INDEX(客户自备加工筐明细!$G$4:$G$1203,$Z407-4000))),IF($Z407&lt;=5800,IF(ISNUMBER(SEARCH("退",INDEX(次果筐明细!$F$4:$F$603,$Z407-5200)&amp;"")),"",IF(N(INDEX(次果筐明细!$G$4:$G$603,$Z407-5200))=0,"",N(INDEX(次果筐明细!$G$4:$G$603,$Z407-5200)))),"")))))</f>
        <v/>
      </c>
      <c r="P407" s="40" t="str">
        <f>IF($Z407="","",IF($Z407&lt;=2000,"",IF($Z407&lt;=4000,IF(N(INDEX(周转筐出入库明细!$I$4:$I$2004,$Z407-2000))=0,"",N(INDEX(周转筐出入库明细!$I$4:$I$2004,$Z407-2000))),IF($Z407&lt;=5200,"",IF($Z407&lt;=5800,IF(ISNUMBER(SEARCH("退",INDEX(次果筐明细!$F$4:$F$603,$Z407-5200)&amp;"")),IF(N(INDEX(次果筐明细!$G$4:$G$603,$Z407-5200))=0,"",N(INDEX(次果筐明细!$G$4:$G$603,$Z407-5200))),""),"")))))</f>
        <v/>
      </c>
      <c r="Q407" s="40" t="str">
        <f>IF($Z407="","",IF($Z407&lt;=2000,"",IF($Z407&lt;=4000,IF(N(INDEX(周转筐出入库明细!$H$4:$H$2004,$Z407-2000))=0,"",N(INDEX(周转筐出入库明细!$H$4:$H$2004,$Z407-2000))),IF($Z407&lt;=5200,IF(N(INDEX(客户自备加工筐明细!$F$4:$F$1203,$Z407-4000))=0,"",N(INDEX(客户自备加工筐明细!$F$4:$F$1203,$Z407-4000))),IF($Z407&lt;=5800,"","")))))</f>
        <v/>
      </c>
      <c r="R407" s="16" t="str">
        <f>IF($Z407="","",IF($Z407&lt;=2000,IF(INDEX(包装物料出入库明细!$O$4:$O$2003,$Z407-0)=0,"",INDEX(包装物料出入库明细!$O$4:$O$2003,$Z407-0)),IF($Z407&lt;=4000,IF(INDEX(周转筐出入库明细!$M$4:$M$2004,$Z407-2000)=0,"",INDEX(周转筐出入库明细!$M$4:$M$2004,$Z407-2000)),IF($Z407&lt;=5200,IF(INDEX(客户自备加工筐明细!$H$4:$H$1203,$Z407-4000)=0,"",INDEX(客户自备加工筐明细!$H$4:$H$1203,$Z407-4000)),IF($Z407&lt;=5800,IF(INDEX(次果筐明细!$H$4:$H$603,$Z407-5200)=0,"",INDEX(次果筐明细!$H$4:$H$603,$Z407-5200)),"")))))</f>
        <v/>
      </c>
      <c r="S407" s="22" t="str">
        <f t="shared" si="20"/>
        <v/>
      </c>
      <c r="Z407" s="10" t="str">
        <f>IFERROR(MATCH(ROW()-3,_自动清单!$CQ$4:$CQ$5803,0),"")</f>
        <v/>
      </c>
    </row>
    <row r="408" spans="1:26">
      <c r="A408" s="24" t="str">
        <f t="shared" si="18"/>
        <v/>
      </c>
      <c r="B408" s="38" t="str">
        <f>IF($Z408="","",IF($Z408&lt;=2000,IF(INDEX(包装物料出入库明细!$B$4:$B$2003,$Z408-0)=0,"",INDEX(包装物料出入库明细!$B$4:$B$2003,$Z408-0)),IF($Z408&lt;=4000,IF(INDEX(周转筐出入库明细!$B$4:$B$2004,$Z408-2000)=0,"",INDEX(周转筐出入库明细!$B$4:$B$2004,$Z408-2000)),IF($Z408&lt;=5200,IF(INDEX(客户自备加工筐明细!$B$4:$B$1203,$Z408-4000)=0,"",INDEX(客户自备加工筐明细!$B$4:$B$1203,$Z408-4000)),IF($Z408&lt;=5800,IF(INDEX(次果筐明细!$B$4:$B$603,$Z408-5200)=0,"",INDEX(次果筐明细!$B$4:$B$603,$Z408-5200)),"")))))</f>
        <v/>
      </c>
      <c r="C408" s="37" t="str">
        <f>IF($Z408="","",IF($Z408&lt;=2000,IF(INDEX(包装物料出入库明细!$D$4:$D$2003,$Z408-0)=0,"",INDEX(包装物料出入库明细!$D$4:$D$2003,$Z408-0)),IF($Z408&lt;=4000,IF(INDEX(周转筐出入库明细!$C$4:$C$2004,$Z408-2000)=0,"",INDEX(周转筐出入库明细!$C$4:$C$2004,$Z408-2000)),IF($Z408&lt;=5200,IF(INDEX(客户自备加工筐明细!$E$4:$E$1203,$Z408-4000)=0,"",INDEX(客户自备加工筐明细!$E$4:$E$1203,$Z408-4000)),IF($Z408&lt;=5800,IF(INDEX(次果筐明细!$C$4:$C$603,$Z408-5200)=0,"",INDEX(次果筐明细!$C$4:$C$603,$Z408-5200)),"")))))</f>
        <v/>
      </c>
      <c r="D408" s="37" t="str">
        <f>IF($Z408="","",IF($Z408&lt;=2000,"包装物料－"&amp;INDEX(包装物料出入库明细!$H$4:$H$2003,$Z408-0),IF($Z408&lt;=4000,"周转筐－"&amp;INDEX(周转筐出入库明细!$F$4:$F$2004,$Z408-2000),IF($Z408&lt;=5200,"客户自备筐－"&amp;INDEX(客户自备加工筐明细!$J$4:$J$1203,$Z408-4000),IF($Z408&lt;=5800,"次果筐/托盘－"&amp;INDEX(次果筐明细!$F$4:$F$603,$Z408-5200),"")))))</f>
        <v/>
      </c>
      <c r="E408" s="24" t="str">
        <f>IF($Z408="","",IF($Z408&lt;=2000,IF(INDEX(包装物料出入库明细!$C$4:$C$2003,$Z408-0)=0,"",INDEX(包装物料出入库明细!$C$4:$C$2003,$Z408-0)),IF($Z408&lt;=4000,IF(INDEX(周转筐出入库明细!$E$4:$E$2004,$Z408-2000)=0,"",INDEX(周转筐出入库明细!$E$4:$E$2004,$Z408-2000)),IF($Z408&lt;=5200,IF(INDEX(客户自备加工筐明细!$D$4:$D$1203,$Z408-4000)=0,"",INDEX(客户自备加工筐明细!$D$4:$D$1203,$Z408-4000)),IF($Z408&lt;=5800,IF(INDEX(次果筐明细!$E$4:$E$603,$Z408-5200)=0,"",INDEX(次果筐明细!$E$4:$E$603,$Z408-5200)),"")))))</f>
        <v/>
      </c>
      <c r="F408" s="24" t="str">
        <f>IF($Z408="","",IF($Z408&lt;=2000,IF(INDEX(包装物料出入库明细!$E$4:$E$2003,$Z408-0)=0,"",INDEX(包装物料出入库明细!$E$4:$E$2003,$Z408-0)),IF($Z408&lt;=4000,IF(INDEX(周转筐出入库明细!$D$4:$D$2004,$Z408-2000)=0,"",INDEX(周转筐出入库明细!$D$4:$D$2004,$Z408-2000)),IF($Z408&lt;=5200,IF(INDEX(客户自备加工筐明细!$C$4:$C$1203,$Z408-4000)=0,"",INDEX(客户自备加工筐明细!$C$4:$C$1203,$Z408-4000)),IF($Z408&lt;=5800,IF(INDEX(次果筐明细!$D$4:$D$603,$Z408-5200)=0,"",INDEX(次果筐明细!$D$4:$D$603,$Z408-5200)),"")))))</f>
        <v/>
      </c>
      <c r="G408" s="24" t="str">
        <f>IF($Z408="","",IF($Z408&lt;=2000,IF(INDEX(包装物料出入库明细!$F$4:$F$2003,$Z408-0)=0,"",INDEX(包装物料出入库明细!$F$4:$F$2003,$Z408-0)),IF($Z408&lt;=4000,"",IF($Z408&lt;=5200,"",IF($Z408&lt;=5800,"","")))))</f>
        <v/>
      </c>
      <c r="H408" s="39" t="str">
        <f>IF($Z408="","",IF($Z408&lt;=2000,IF(INDEX(包装物料出入库明细!$L$4:$L$2003,$Z408-0)=0,"",INDEX(包装物料出入库明细!$L$4:$L$2003,$Z408-0)),IF($Z408&lt;=4000,N(INDEX(周转筐出入库明细!$H$4:$H$2004,$Z408-2000))+N(INDEX(周转筐出入库明细!$I$4:$I$2004,$Z408-2000))+N(INDEX(周转筐出入库明细!$J$4:$J$2004,$Z408-2000))+N(INDEX(周转筐出入库明细!$K$4:$K$2004,$Z408-2000)),IF($Z408&lt;=5200,N(INDEX(客户自备加工筐明细!$F$4:$F$1203,$Z408-4000))+N(INDEX(客户自备加工筐明细!$G$4:$G$1203,$Z408-4000)),IF($Z408&lt;=5800,IF(INDEX(次果筐明细!$G$4:$G$603,$Z408-5200)=0,"",INDEX(次果筐明细!$G$4:$G$603,$Z408-5200)),"")))))</f>
        <v/>
      </c>
      <c r="I408" s="24" t="str">
        <f>IF($Z408="","",IF($Z408&lt;=2000,IF(INDEX(包装物料出入库明细!$G$4:$G$2003,$Z408-0)=0,"",INDEX(包装物料出入库明细!$G$4:$G$2003,$Z408-0)),IF($Z408&lt;=4000,"个",IF($Z408&lt;=5200,"个",IF($Z408&lt;=5800,"个","")))))</f>
        <v/>
      </c>
      <c r="J408" s="30" t="str">
        <f t="shared" si="19"/>
        <v/>
      </c>
      <c r="K408" s="30" t="str">
        <f>IF($Z408="","",IF($Z408&lt;=2000,IF(INDEX(包装物料出入库明细!$N$4:$N$2003,$Z408-0)=0,"",INDEX(包装物料出入库明细!$N$4:$N$2003,$Z408-0)),IF($Z408&lt;=4000,IF(INDEX(周转筐出入库明细!$P$4:$P$2004,$Z408-2000)=0,"",INDEX(周转筐出入库明细!$P$4:$P$2004,$Z408-2000)),IF($Z408&lt;=5200,"",IF($Z408&lt;=5800,N(INDEX(次果筐明细!$L$4:$L$603,$Z408-5200))+N(INDEX(次果筐明细!$J$4:$J$603,$Z408-5200)),"")))))</f>
        <v/>
      </c>
      <c r="L408" s="24" t="str">
        <f>IF($Z408="","",IF($Z408&lt;=2000,IF(INDEX(包装物料出入库明细!$P$4:$P$2003,$Z408-0)=0,"",INDEX(包装物料出入库明细!$P$4:$P$2003,$Z408-0)),IF($Z408&lt;=4000,IF(INDEX(周转筐出入库明细!$Q$4:$Q$2004,$Z408-2000)=0,"",INDEX(周转筐出入库明细!$Q$4:$Q$2004,$Z408-2000)),IF($Z408&lt;=5200,"",IF($Z408&lt;=5800,IF(INDEX(次果筐明细!$M$4:$M$603,$Z408-5200)=0,"",INDEX(次果筐明细!$M$4:$M$603,$Z408-5200)),"")))))</f>
        <v/>
      </c>
      <c r="M408" s="37" t="str">
        <f>IF($Z408="","",IF($Z408&lt;=2000,IF(INDEX(包装物料出入库明细!$R$4:$R$2003,$Z408-0)=0,"",INDEX(包装物料出入库明细!$R$4:$R$2003,$Z408-0)),IF($Z408&lt;=4000,IF(INDEX(周转筐出入库明细!$W$4:$W$2004,$Z408-2000)=0,"",INDEX(周转筐出入库明细!$W$4:$W$2004,$Z408-2000)),IF($Z408&lt;=5200,IF(INDEX(客户自备加工筐明细!$L$4:$L$1203,$Z408-4000)=0,"",INDEX(客户自备加工筐明细!$L$4:$L$1203,$Z408-4000)),IF($Z408&lt;=5800,IF(INDEX(次果筐明细!$P$4:$P$603,$Z408-5200)=0,"",INDEX(次果筐明细!$P$4:$P$603,$Z408-5200)),"")))))</f>
        <v/>
      </c>
      <c r="N408" s="16" t="str">
        <f>IF($Z408="","",IF($Z408&lt;=2000,"",IF($Z408&lt;=4000,IF(INDEX(周转筐出入库明细!$D$4:$D$2004,$Z408-2000)=0,"",INDEX(周转筐出入库明细!$D$4:$D$2004,$Z408-2000)),IF($Z408&lt;=5200,IF(INDEX(客户自备加工筐明细!$C$4:$C$1203,$Z408-4000)=0,"",INDEX(客户自备加工筐明细!$C$4:$C$1203,$Z408-4000)),IF($Z408&lt;=5800,IF(INDEX(次果筐明细!$D$4:$D$603,$Z408-5200)=0,"",INDEX(次果筐明细!$D$4:$D$603,$Z408-5200)),"")))))</f>
        <v/>
      </c>
      <c r="O408" s="40" t="str">
        <f>IF($Z408="","",IF($Z408&lt;=2000,"",IF($Z408&lt;=4000,IF(N(INDEX(周转筐出入库明细!$J$4:$J$2004,$Z408-2000))+N(INDEX(周转筐出入库明细!$K$4:$K$2004,$Z408-2000))=0,"",N(INDEX(周转筐出入库明细!$J$4:$J$2004,$Z408-2000))+N(INDEX(周转筐出入库明细!$K$4:$K$2004,$Z408-2000))),IF($Z408&lt;=5200,IF(N(INDEX(客户自备加工筐明细!$G$4:$G$1203,$Z408-4000))=0,"",N(INDEX(客户自备加工筐明细!$G$4:$G$1203,$Z408-4000))),IF($Z408&lt;=5800,IF(ISNUMBER(SEARCH("退",INDEX(次果筐明细!$F$4:$F$603,$Z408-5200)&amp;"")),"",IF(N(INDEX(次果筐明细!$G$4:$G$603,$Z408-5200))=0,"",N(INDEX(次果筐明细!$G$4:$G$603,$Z408-5200)))),"")))))</f>
        <v/>
      </c>
      <c r="P408" s="40" t="str">
        <f>IF($Z408="","",IF($Z408&lt;=2000,"",IF($Z408&lt;=4000,IF(N(INDEX(周转筐出入库明细!$I$4:$I$2004,$Z408-2000))=0,"",N(INDEX(周转筐出入库明细!$I$4:$I$2004,$Z408-2000))),IF($Z408&lt;=5200,"",IF($Z408&lt;=5800,IF(ISNUMBER(SEARCH("退",INDEX(次果筐明细!$F$4:$F$603,$Z408-5200)&amp;"")),IF(N(INDEX(次果筐明细!$G$4:$G$603,$Z408-5200))=0,"",N(INDEX(次果筐明细!$G$4:$G$603,$Z408-5200))),""),"")))))</f>
        <v/>
      </c>
      <c r="Q408" s="40" t="str">
        <f>IF($Z408="","",IF($Z408&lt;=2000,"",IF($Z408&lt;=4000,IF(N(INDEX(周转筐出入库明细!$H$4:$H$2004,$Z408-2000))=0,"",N(INDEX(周转筐出入库明细!$H$4:$H$2004,$Z408-2000))),IF($Z408&lt;=5200,IF(N(INDEX(客户自备加工筐明细!$F$4:$F$1203,$Z408-4000))=0,"",N(INDEX(客户自备加工筐明细!$F$4:$F$1203,$Z408-4000))),IF($Z408&lt;=5800,"","")))))</f>
        <v/>
      </c>
      <c r="R408" s="16" t="str">
        <f>IF($Z408="","",IF($Z408&lt;=2000,IF(INDEX(包装物料出入库明细!$O$4:$O$2003,$Z408-0)=0,"",INDEX(包装物料出入库明细!$O$4:$O$2003,$Z408-0)),IF($Z408&lt;=4000,IF(INDEX(周转筐出入库明细!$M$4:$M$2004,$Z408-2000)=0,"",INDEX(周转筐出入库明细!$M$4:$M$2004,$Z408-2000)),IF($Z408&lt;=5200,IF(INDEX(客户自备加工筐明细!$H$4:$H$1203,$Z408-4000)=0,"",INDEX(客户自备加工筐明细!$H$4:$H$1203,$Z408-4000)),IF($Z408&lt;=5800,IF(INDEX(次果筐明细!$H$4:$H$603,$Z408-5200)=0,"",INDEX(次果筐明细!$H$4:$H$603,$Z408-5200)),"")))))</f>
        <v/>
      </c>
      <c r="S408" s="22" t="str">
        <f t="shared" si="20"/>
        <v/>
      </c>
      <c r="Z408" s="10" t="str">
        <f>IFERROR(MATCH(ROW()-3,_自动清单!$CQ$4:$CQ$5803,0),"")</f>
        <v/>
      </c>
    </row>
    <row r="409" spans="1:26">
      <c r="A409" s="24" t="str">
        <f t="shared" si="18"/>
        <v/>
      </c>
      <c r="B409" s="38" t="str">
        <f>IF($Z409="","",IF($Z409&lt;=2000,IF(INDEX(包装物料出入库明细!$B$4:$B$2003,$Z409-0)=0,"",INDEX(包装物料出入库明细!$B$4:$B$2003,$Z409-0)),IF($Z409&lt;=4000,IF(INDEX(周转筐出入库明细!$B$4:$B$2004,$Z409-2000)=0,"",INDEX(周转筐出入库明细!$B$4:$B$2004,$Z409-2000)),IF($Z409&lt;=5200,IF(INDEX(客户自备加工筐明细!$B$4:$B$1203,$Z409-4000)=0,"",INDEX(客户自备加工筐明细!$B$4:$B$1203,$Z409-4000)),IF($Z409&lt;=5800,IF(INDEX(次果筐明细!$B$4:$B$603,$Z409-5200)=0,"",INDEX(次果筐明细!$B$4:$B$603,$Z409-5200)),"")))))</f>
        <v/>
      </c>
      <c r="C409" s="37" t="str">
        <f>IF($Z409="","",IF($Z409&lt;=2000,IF(INDEX(包装物料出入库明细!$D$4:$D$2003,$Z409-0)=0,"",INDEX(包装物料出入库明细!$D$4:$D$2003,$Z409-0)),IF($Z409&lt;=4000,IF(INDEX(周转筐出入库明细!$C$4:$C$2004,$Z409-2000)=0,"",INDEX(周转筐出入库明细!$C$4:$C$2004,$Z409-2000)),IF($Z409&lt;=5200,IF(INDEX(客户自备加工筐明细!$E$4:$E$1203,$Z409-4000)=0,"",INDEX(客户自备加工筐明细!$E$4:$E$1203,$Z409-4000)),IF($Z409&lt;=5800,IF(INDEX(次果筐明细!$C$4:$C$603,$Z409-5200)=0,"",INDEX(次果筐明细!$C$4:$C$603,$Z409-5200)),"")))))</f>
        <v/>
      </c>
      <c r="D409" s="37" t="str">
        <f>IF($Z409="","",IF($Z409&lt;=2000,"包装物料－"&amp;INDEX(包装物料出入库明细!$H$4:$H$2003,$Z409-0),IF($Z409&lt;=4000,"周转筐－"&amp;INDEX(周转筐出入库明细!$F$4:$F$2004,$Z409-2000),IF($Z409&lt;=5200,"客户自备筐－"&amp;INDEX(客户自备加工筐明细!$J$4:$J$1203,$Z409-4000),IF($Z409&lt;=5800,"次果筐/托盘－"&amp;INDEX(次果筐明细!$F$4:$F$603,$Z409-5200),"")))))</f>
        <v/>
      </c>
      <c r="E409" s="24" t="str">
        <f>IF($Z409="","",IF($Z409&lt;=2000,IF(INDEX(包装物料出入库明细!$C$4:$C$2003,$Z409-0)=0,"",INDEX(包装物料出入库明细!$C$4:$C$2003,$Z409-0)),IF($Z409&lt;=4000,IF(INDEX(周转筐出入库明细!$E$4:$E$2004,$Z409-2000)=0,"",INDEX(周转筐出入库明细!$E$4:$E$2004,$Z409-2000)),IF($Z409&lt;=5200,IF(INDEX(客户自备加工筐明细!$D$4:$D$1203,$Z409-4000)=0,"",INDEX(客户自备加工筐明细!$D$4:$D$1203,$Z409-4000)),IF($Z409&lt;=5800,IF(INDEX(次果筐明细!$E$4:$E$603,$Z409-5200)=0,"",INDEX(次果筐明细!$E$4:$E$603,$Z409-5200)),"")))))</f>
        <v/>
      </c>
      <c r="F409" s="24" t="str">
        <f>IF($Z409="","",IF($Z409&lt;=2000,IF(INDEX(包装物料出入库明细!$E$4:$E$2003,$Z409-0)=0,"",INDEX(包装物料出入库明细!$E$4:$E$2003,$Z409-0)),IF($Z409&lt;=4000,IF(INDEX(周转筐出入库明细!$D$4:$D$2004,$Z409-2000)=0,"",INDEX(周转筐出入库明细!$D$4:$D$2004,$Z409-2000)),IF($Z409&lt;=5200,IF(INDEX(客户自备加工筐明细!$C$4:$C$1203,$Z409-4000)=0,"",INDEX(客户自备加工筐明细!$C$4:$C$1203,$Z409-4000)),IF($Z409&lt;=5800,IF(INDEX(次果筐明细!$D$4:$D$603,$Z409-5200)=0,"",INDEX(次果筐明细!$D$4:$D$603,$Z409-5200)),"")))))</f>
        <v/>
      </c>
      <c r="G409" s="24" t="str">
        <f>IF($Z409="","",IF($Z409&lt;=2000,IF(INDEX(包装物料出入库明细!$F$4:$F$2003,$Z409-0)=0,"",INDEX(包装物料出入库明细!$F$4:$F$2003,$Z409-0)),IF($Z409&lt;=4000,"",IF($Z409&lt;=5200,"",IF($Z409&lt;=5800,"","")))))</f>
        <v/>
      </c>
      <c r="H409" s="39" t="str">
        <f>IF($Z409="","",IF($Z409&lt;=2000,IF(INDEX(包装物料出入库明细!$L$4:$L$2003,$Z409-0)=0,"",INDEX(包装物料出入库明细!$L$4:$L$2003,$Z409-0)),IF($Z409&lt;=4000,N(INDEX(周转筐出入库明细!$H$4:$H$2004,$Z409-2000))+N(INDEX(周转筐出入库明细!$I$4:$I$2004,$Z409-2000))+N(INDEX(周转筐出入库明细!$J$4:$J$2004,$Z409-2000))+N(INDEX(周转筐出入库明细!$K$4:$K$2004,$Z409-2000)),IF($Z409&lt;=5200,N(INDEX(客户自备加工筐明细!$F$4:$F$1203,$Z409-4000))+N(INDEX(客户自备加工筐明细!$G$4:$G$1203,$Z409-4000)),IF($Z409&lt;=5800,IF(INDEX(次果筐明细!$G$4:$G$603,$Z409-5200)=0,"",INDEX(次果筐明细!$G$4:$G$603,$Z409-5200)),"")))))</f>
        <v/>
      </c>
      <c r="I409" s="24" t="str">
        <f>IF($Z409="","",IF($Z409&lt;=2000,IF(INDEX(包装物料出入库明细!$G$4:$G$2003,$Z409-0)=0,"",INDEX(包装物料出入库明细!$G$4:$G$2003,$Z409-0)),IF($Z409&lt;=4000,"个",IF($Z409&lt;=5200,"个",IF($Z409&lt;=5800,"个","")))))</f>
        <v/>
      </c>
      <c r="J409" s="30" t="str">
        <f t="shared" si="19"/>
        <v/>
      </c>
      <c r="K409" s="30" t="str">
        <f>IF($Z409="","",IF($Z409&lt;=2000,IF(INDEX(包装物料出入库明细!$N$4:$N$2003,$Z409-0)=0,"",INDEX(包装物料出入库明细!$N$4:$N$2003,$Z409-0)),IF($Z409&lt;=4000,IF(INDEX(周转筐出入库明细!$P$4:$P$2004,$Z409-2000)=0,"",INDEX(周转筐出入库明细!$P$4:$P$2004,$Z409-2000)),IF($Z409&lt;=5200,"",IF($Z409&lt;=5800,N(INDEX(次果筐明细!$L$4:$L$603,$Z409-5200))+N(INDEX(次果筐明细!$J$4:$J$603,$Z409-5200)),"")))))</f>
        <v/>
      </c>
      <c r="L409" s="24" t="str">
        <f>IF($Z409="","",IF($Z409&lt;=2000,IF(INDEX(包装物料出入库明细!$P$4:$P$2003,$Z409-0)=0,"",INDEX(包装物料出入库明细!$P$4:$P$2003,$Z409-0)),IF($Z409&lt;=4000,IF(INDEX(周转筐出入库明细!$Q$4:$Q$2004,$Z409-2000)=0,"",INDEX(周转筐出入库明细!$Q$4:$Q$2004,$Z409-2000)),IF($Z409&lt;=5200,"",IF($Z409&lt;=5800,IF(INDEX(次果筐明细!$M$4:$M$603,$Z409-5200)=0,"",INDEX(次果筐明细!$M$4:$M$603,$Z409-5200)),"")))))</f>
        <v/>
      </c>
      <c r="M409" s="37" t="str">
        <f>IF($Z409="","",IF($Z409&lt;=2000,IF(INDEX(包装物料出入库明细!$R$4:$R$2003,$Z409-0)=0,"",INDEX(包装物料出入库明细!$R$4:$R$2003,$Z409-0)),IF($Z409&lt;=4000,IF(INDEX(周转筐出入库明细!$W$4:$W$2004,$Z409-2000)=0,"",INDEX(周转筐出入库明细!$W$4:$W$2004,$Z409-2000)),IF($Z409&lt;=5200,IF(INDEX(客户自备加工筐明细!$L$4:$L$1203,$Z409-4000)=0,"",INDEX(客户自备加工筐明细!$L$4:$L$1203,$Z409-4000)),IF($Z409&lt;=5800,IF(INDEX(次果筐明细!$P$4:$P$603,$Z409-5200)=0,"",INDEX(次果筐明细!$P$4:$P$603,$Z409-5200)),"")))))</f>
        <v/>
      </c>
      <c r="N409" s="16" t="str">
        <f>IF($Z409="","",IF($Z409&lt;=2000,"",IF($Z409&lt;=4000,IF(INDEX(周转筐出入库明细!$D$4:$D$2004,$Z409-2000)=0,"",INDEX(周转筐出入库明细!$D$4:$D$2004,$Z409-2000)),IF($Z409&lt;=5200,IF(INDEX(客户自备加工筐明细!$C$4:$C$1203,$Z409-4000)=0,"",INDEX(客户自备加工筐明细!$C$4:$C$1203,$Z409-4000)),IF($Z409&lt;=5800,IF(INDEX(次果筐明细!$D$4:$D$603,$Z409-5200)=0,"",INDEX(次果筐明细!$D$4:$D$603,$Z409-5200)),"")))))</f>
        <v/>
      </c>
      <c r="O409" s="40" t="str">
        <f>IF($Z409="","",IF($Z409&lt;=2000,"",IF($Z409&lt;=4000,IF(N(INDEX(周转筐出入库明细!$J$4:$J$2004,$Z409-2000))+N(INDEX(周转筐出入库明细!$K$4:$K$2004,$Z409-2000))=0,"",N(INDEX(周转筐出入库明细!$J$4:$J$2004,$Z409-2000))+N(INDEX(周转筐出入库明细!$K$4:$K$2004,$Z409-2000))),IF($Z409&lt;=5200,IF(N(INDEX(客户自备加工筐明细!$G$4:$G$1203,$Z409-4000))=0,"",N(INDEX(客户自备加工筐明细!$G$4:$G$1203,$Z409-4000))),IF($Z409&lt;=5800,IF(ISNUMBER(SEARCH("退",INDEX(次果筐明细!$F$4:$F$603,$Z409-5200)&amp;"")),"",IF(N(INDEX(次果筐明细!$G$4:$G$603,$Z409-5200))=0,"",N(INDEX(次果筐明细!$G$4:$G$603,$Z409-5200)))),"")))))</f>
        <v/>
      </c>
      <c r="P409" s="40" t="str">
        <f>IF($Z409="","",IF($Z409&lt;=2000,"",IF($Z409&lt;=4000,IF(N(INDEX(周转筐出入库明细!$I$4:$I$2004,$Z409-2000))=0,"",N(INDEX(周转筐出入库明细!$I$4:$I$2004,$Z409-2000))),IF($Z409&lt;=5200,"",IF($Z409&lt;=5800,IF(ISNUMBER(SEARCH("退",INDEX(次果筐明细!$F$4:$F$603,$Z409-5200)&amp;"")),IF(N(INDEX(次果筐明细!$G$4:$G$603,$Z409-5200))=0,"",N(INDEX(次果筐明细!$G$4:$G$603,$Z409-5200))),""),"")))))</f>
        <v/>
      </c>
      <c r="Q409" s="40" t="str">
        <f>IF($Z409="","",IF($Z409&lt;=2000,"",IF($Z409&lt;=4000,IF(N(INDEX(周转筐出入库明细!$H$4:$H$2004,$Z409-2000))=0,"",N(INDEX(周转筐出入库明细!$H$4:$H$2004,$Z409-2000))),IF($Z409&lt;=5200,IF(N(INDEX(客户自备加工筐明细!$F$4:$F$1203,$Z409-4000))=0,"",N(INDEX(客户自备加工筐明细!$F$4:$F$1203,$Z409-4000))),IF($Z409&lt;=5800,"","")))))</f>
        <v/>
      </c>
      <c r="R409" s="16" t="str">
        <f>IF($Z409="","",IF($Z409&lt;=2000,IF(INDEX(包装物料出入库明细!$O$4:$O$2003,$Z409-0)=0,"",INDEX(包装物料出入库明细!$O$4:$O$2003,$Z409-0)),IF($Z409&lt;=4000,IF(INDEX(周转筐出入库明细!$M$4:$M$2004,$Z409-2000)=0,"",INDEX(周转筐出入库明细!$M$4:$M$2004,$Z409-2000)),IF($Z409&lt;=5200,IF(INDEX(客户自备加工筐明细!$H$4:$H$1203,$Z409-4000)=0,"",INDEX(客户自备加工筐明细!$H$4:$H$1203,$Z409-4000)),IF($Z409&lt;=5800,IF(INDEX(次果筐明细!$H$4:$H$603,$Z409-5200)=0,"",INDEX(次果筐明细!$H$4:$H$603,$Z409-5200)),"")))))</f>
        <v/>
      </c>
      <c r="S409" s="22" t="str">
        <f t="shared" si="20"/>
        <v/>
      </c>
      <c r="Z409" s="10" t="str">
        <f>IFERROR(MATCH(ROW()-3,_自动清单!$CQ$4:$CQ$5803,0),"")</f>
        <v/>
      </c>
    </row>
    <row r="410" spans="1:26">
      <c r="A410" s="24" t="str">
        <f t="shared" si="18"/>
        <v/>
      </c>
      <c r="B410" s="38" t="str">
        <f>IF($Z410="","",IF($Z410&lt;=2000,IF(INDEX(包装物料出入库明细!$B$4:$B$2003,$Z410-0)=0,"",INDEX(包装物料出入库明细!$B$4:$B$2003,$Z410-0)),IF($Z410&lt;=4000,IF(INDEX(周转筐出入库明细!$B$4:$B$2004,$Z410-2000)=0,"",INDEX(周转筐出入库明细!$B$4:$B$2004,$Z410-2000)),IF($Z410&lt;=5200,IF(INDEX(客户自备加工筐明细!$B$4:$B$1203,$Z410-4000)=0,"",INDEX(客户自备加工筐明细!$B$4:$B$1203,$Z410-4000)),IF($Z410&lt;=5800,IF(INDEX(次果筐明细!$B$4:$B$603,$Z410-5200)=0,"",INDEX(次果筐明细!$B$4:$B$603,$Z410-5200)),"")))))</f>
        <v/>
      </c>
      <c r="C410" s="37" t="str">
        <f>IF($Z410="","",IF($Z410&lt;=2000,IF(INDEX(包装物料出入库明细!$D$4:$D$2003,$Z410-0)=0,"",INDEX(包装物料出入库明细!$D$4:$D$2003,$Z410-0)),IF($Z410&lt;=4000,IF(INDEX(周转筐出入库明细!$C$4:$C$2004,$Z410-2000)=0,"",INDEX(周转筐出入库明细!$C$4:$C$2004,$Z410-2000)),IF($Z410&lt;=5200,IF(INDEX(客户自备加工筐明细!$E$4:$E$1203,$Z410-4000)=0,"",INDEX(客户自备加工筐明细!$E$4:$E$1203,$Z410-4000)),IF($Z410&lt;=5800,IF(INDEX(次果筐明细!$C$4:$C$603,$Z410-5200)=0,"",INDEX(次果筐明细!$C$4:$C$603,$Z410-5200)),"")))))</f>
        <v/>
      </c>
      <c r="D410" s="37" t="str">
        <f>IF($Z410="","",IF($Z410&lt;=2000,"包装物料－"&amp;INDEX(包装物料出入库明细!$H$4:$H$2003,$Z410-0),IF($Z410&lt;=4000,"周转筐－"&amp;INDEX(周转筐出入库明细!$F$4:$F$2004,$Z410-2000),IF($Z410&lt;=5200,"客户自备筐－"&amp;INDEX(客户自备加工筐明细!$J$4:$J$1203,$Z410-4000),IF($Z410&lt;=5800,"次果筐/托盘－"&amp;INDEX(次果筐明细!$F$4:$F$603,$Z410-5200),"")))))</f>
        <v/>
      </c>
      <c r="E410" s="24" t="str">
        <f>IF($Z410="","",IF($Z410&lt;=2000,IF(INDEX(包装物料出入库明细!$C$4:$C$2003,$Z410-0)=0,"",INDEX(包装物料出入库明细!$C$4:$C$2003,$Z410-0)),IF($Z410&lt;=4000,IF(INDEX(周转筐出入库明细!$E$4:$E$2004,$Z410-2000)=0,"",INDEX(周转筐出入库明细!$E$4:$E$2004,$Z410-2000)),IF($Z410&lt;=5200,IF(INDEX(客户自备加工筐明细!$D$4:$D$1203,$Z410-4000)=0,"",INDEX(客户自备加工筐明细!$D$4:$D$1203,$Z410-4000)),IF($Z410&lt;=5800,IF(INDEX(次果筐明细!$E$4:$E$603,$Z410-5200)=0,"",INDEX(次果筐明细!$E$4:$E$603,$Z410-5200)),"")))))</f>
        <v/>
      </c>
      <c r="F410" s="24" t="str">
        <f>IF($Z410="","",IF($Z410&lt;=2000,IF(INDEX(包装物料出入库明细!$E$4:$E$2003,$Z410-0)=0,"",INDEX(包装物料出入库明细!$E$4:$E$2003,$Z410-0)),IF($Z410&lt;=4000,IF(INDEX(周转筐出入库明细!$D$4:$D$2004,$Z410-2000)=0,"",INDEX(周转筐出入库明细!$D$4:$D$2004,$Z410-2000)),IF($Z410&lt;=5200,IF(INDEX(客户自备加工筐明细!$C$4:$C$1203,$Z410-4000)=0,"",INDEX(客户自备加工筐明细!$C$4:$C$1203,$Z410-4000)),IF($Z410&lt;=5800,IF(INDEX(次果筐明细!$D$4:$D$603,$Z410-5200)=0,"",INDEX(次果筐明细!$D$4:$D$603,$Z410-5200)),"")))))</f>
        <v/>
      </c>
      <c r="G410" s="24" t="str">
        <f>IF($Z410="","",IF($Z410&lt;=2000,IF(INDEX(包装物料出入库明细!$F$4:$F$2003,$Z410-0)=0,"",INDEX(包装物料出入库明细!$F$4:$F$2003,$Z410-0)),IF($Z410&lt;=4000,"",IF($Z410&lt;=5200,"",IF($Z410&lt;=5800,"","")))))</f>
        <v/>
      </c>
      <c r="H410" s="39" t="str">
        <f>IF($Z410="","",IF($Z410&lt;=2000,IF(INDEX(包装物料出入库明细!$L$4:$L$2003,$Z410-0)=0,"",INDEX(包装物料出入库明细!$L$4:$L$2003,$Z410-0)),IF($Z410&lt;=4000,N(INDEX(周转筐出入库明细!$H$4:$H$2004,$Z410-2000))+N(INDEX(周转筐出入库明细!$I$4:$I$2004,$Z410-2000))+N(INDEX(周转筐出入库明细!$J$4:$J$2004,$Z410-2000))+N(INDEX(周转筐出入库明细!$K$4:$K$2004,$Z410-2000)),IF($Z410&lt;=5200,N(INDEX(客户自备加工筐明细!$F$4:$F$1203,$Z410-4000))+N(INDEX(客户自备加工筐明细!$G$4:$G$1203,$Z410-4000)),IF($Z410&lt;=5800,IF(INDEX(次果筐明细!$G$4:$G$603,$Z410-5200)=0,"",INDEX(次果筐明细!$G$4:$G$603,$Z410-5200)),"")))))</f>
        <v/>
      </c>
      <c r="I410" s="24" t="str">
        <f>IF($Z410="","",IF($Z410&lt;=2000,IF(INDEX(包装物料出入库明细!$G$4:$G$2003,$Z410-0)=0,"",INDEX(包装物料出入库明细!$G$4:$G$2003,$Z410-0)),IF($Z410&lt;=4000,"个",IF($Z410&lt;=5200,"个",IF($Z410&lt;=5800,"个","")))))</f>
        <v/>
      </c>
      <c r="J410" s="30" t="str">
        <f t="shared" si="19"/>
        <v/>
      </c>
      <c r="K410" s="30" t="str">
        <f>IF($Z410="","",IF($Z410&lt;=2000,IF(INDEX(包装物料出入库明细!$N$4:$N$2003,$Z410-0)=0,"",INDEX(包装物料出入库明细!$N$4:$N$2003,$Z410-0)),IF($Z410&lt;=4000,IF(INDEX(周转筐出入库明细!$P$4:$P$2004,$Z410-2000)=0,"",INDEX(周转筐出入库明细!$P$4:$P$2004,$Z410-2000)),IF($Z410&lt;=5200,"",IF($Z410&lt;=5800,N(INDEX(次果筐明细!$L$4:$L$603,$Z410-5200))+N(INDEX(次果筐明细!$J$4:$J$603,$Z410-5200)),"")))))</f>
        <v/>
      </c>
      <c r="L410" s="24" t="str">
        <f>IF($Z410="","",IF($Z410&lt;=2000,IF(INDEX(包装物料出入库明细!$P$4:$P$2003,$Z410-0)=0,"",INDEX(包装物料出入库明细!$P$4:$P$2003,$Z410-0)),IF($Z410&lt;=4000,IF(INDEX(周转筐出入库明细!$Q$4:$Q$2004,$Z410-2000)=0,"",INDEX(周转筐出入库明细!$Q$4:$Q$2004,$Z410-2000)),IF($Z410&lt;=5200,"",IF($Z410&lt;=5800,IF(INDEX(次果筐明细!$M$4:$M$603,$Z410-5200)=0,"",INDEX(次果筐明细!$M$4:$M$603,$Z410-5200)),"")))))</f>
        <v/>
      </c>
      <c r="M410" s="37" t="str">
        <f>IF($Z410="","",IF($Z410&lt;=2000,IF(INDEX(包装物料出入库明细!$R$4:$R$2003,$Z410-0)=0,"",INDEX(包装物料出入库明细!$R$4:$R$2003,$Z410-0)),IF($Z410&lt;=4000,IF(INDEX(周转筐出入库明细!$W$4:$W$2004,$Z410-2000)=0,"",INDEX(周转筐出入库明细!$W$4:$W$2004,$Z410-2000)),IF($Z410&lt;=5200,IF(INDEX(客户自备加工筐明细!$L$4:$L$1203,$Z410-4000)=0,"",INDEX(客户自备加工筐明细!$L$4:$L$1203,$Z410-4000)),IF($Z410&lt;=5800,IF(INDEX(次果筐明细!$P$4:$P$603,$Z410-5200)=0,"",INDEX(次果筐明细!$P$4:$P$603,$Z410-5200)),"")))))</f>
        <v/>
      </c>
      <c r="N410" s="16" t="str">
        <f>IF($Z410="","",IF($Z410&lt;=2000,"",IF($Z410&lt;=4000,IF(INDEX(周转筐出入库明细!$D$4:$D$2004,$Z410-2000)=0,"",INDEX(周转筐出入库明细!$D$4:$D$2004,$Z410-2000)),IF($Z410&lt;=5200,IF(INDEX(客户自备加工筐明细!$C$4:$C$1203,$Z410-4000)=0,"",INDEX(客户自备加工筐明细!$C$4:$C$1203,$Z410-4000)),IF($Z410&lt;=5800,IF(INDEX(次果筐明细!$D$4:$D$603,$Z410-5200)=0,"",INDEX(次果筐明细!$D$4:$D$603,$Z410-5200)),"")))))</f>
        <v/>
      </c>
      <c r="O410" s="40" t="str">
        <f>IF($Z410="","",IF($Z410&lt;=2000,"",IF($Z410&lt;=4000,IF(N(INDEX(周转筐出入库明细!$J$4:$J$2004,$Z410-2000))+N(INDEX(周转筐出入库明细!$K$4:$K$2004,$Z410-2000))=0,"",N(INDEX(周转筐出入库明细!$J$4:$J$2004,$Z410-2000))+N(INDEX(周转筐出入库明细!$K$4:$K$2004,$Z410-2000))),IF($Z410&lt;=5200,IF(N(INDEX(客户自备加工筐明细!$G$4:$G$1203,$Z410-4000))=0,"",N(INDEX(客户自备加工筐明细!$G$4:$G$1203,$Z410-4000))),IF($Z410&lt;=5800,IF(ISNUMBER(SEARCH("退",INDEX(次果筐明细!$F$4:$F$603,$Z410-5200)&amp;"")),"",IF(N(INDEX(次果筐明细!$G$4:$G$603,$Z410-5200))=0,"",N(INDEX(次果筐明细!$G$4:$G$603,$Z410-5200)))),"")))))</f>
        <v/>
      </c>
      <c r="P410" s="40" t="str">
        <f>IF($Z410="","",IF($Z410&lt;=2000,"",IF($Z410&lt;=4000,IF(N(INDEX(周转筐出入库明细!$I$4:$I$2004,$Z410-2000))=0,"",N(INDEX(周转筐出入库明细!$I$4:$I$2004,$Z410-2000))),IF($Z410&lt;=5200,"",IF($Z410&lt;=5800,IF(ISNUMBER(SEARCH("退",INDEX(次果筐明细!$F$4:$F$603,$Z410-5200)&amp;"")),IF(N(INDEX(次果筐明细!$G$4:$G$603,$Z410-5200))=0,"",N(INDEX(次果筐明细!$G$4:$G$603,$Z410-5200))),""),"")))))</f>
        <v/>
      </c>
      <c r="Q410" s="40" t="str">
        <f>IF($Z410="","",IF($Z410&lt;=2000,"",IF($Z410&lt;=4000,IF(N(INDEX(周转筐出入库明细!$H$4:$H$2004,$Z410-2000))=0,"",N(INDEX(周转筐出入库明细!$H$4:$H$2004,$Z410-2000))),IF($Z410&lt;=5200,IF(N(INDEX(客户自备加工筐明细!$F$4:$F$1203,$Z410-4000))=0,"",N(INDEX(客户自备加工筐明细!$F$4:$F$1203,$Z410-4000))),IF($Z410&lt;=5800,"","")))))</f>
        <v/>
      </c>
      <c r="R410" s="16" t="str">
        <f>IF($Z410="","",IF($Z410&lt;=2000,IF(INDEX(包装物料出入库明细!$O$4:$O$2003,$Z410-0)=0,"",INDEX(包装物料出入库明细!$O$4:$O$2003,$Z410-0)),IF($Z410&lt;=4000,IF(INDEX(周转筐出入库明细!$M$4:$M$2004,$Z410-2000)=0,"",INDEX(周转筐出入库明细!$M$4:$M$2004,$Z410-2000)),IF($Z410&lt;=5200,IF(INDEX(客户自备加工筐明细!$H$4:$H$1203,$Z410-4000)=0,"",INDEX(客户自备加工筐明细!$H$4:$H$1203,$Z410-4000)),IF($Z410&lt;=5800,IF(INDEX(次果筐明细!$H$4:$H$603,$Z410-5200)=0,"",INDEX(次果筐明细!$H$4:$H$603,$Z410-5200)),"")))))</f>
        <v/>
      </c>
      <c r="S410" s="22" t="str">
        <f t="shared" si="20"/>
        <v/>
      </c>
      <c r="Z410" s="10" t="str">
        <f>IFERROR(MATCH(ROW()-3,_自动清单!$CQ$4:$CQ$5803,0),"")</f>
        <v/>
      </c>
    </row>
    <row r="411" spans="1:26">
      <c r="A411" s="24" t="str">
        <f t="shared" si="18"/>
        <v/>
      </c>
      <c r="B411" s="38" t="str">
        <f>IF($Z411="","",IF($Z411&lt;=2000,IF(INDEX(包装物料出入库明细!$B$4:$B$2003,$Z411-0)=0,"",INDEX(包装物料出入库明细!$B$4:$B$2003,$Z411-0)),IF($Z411&lt;=4000,IF(INDEX(周转筐出入库明细!$B$4:$B$2004,$Z411-2000)=0,"",INDEX(周转筐出入库明细!$B$4:$B$2004,$Z411-2000)),IF($Z411&lt;=5200,IF(INDEX(客户自备加工筐明细!$B$4:$B$1203,$Z411-4000)=0,"",INDEX(客户自备加工筐明细!$B$4:$B$1203,$Z411-4000)),IF($Z411&lt;=5800,IF(INDEX(次果筐明细!$B$4:$B$603,$Z411-5200)=0,"",INDEX(次果筐明细!$B$4:$B$603,$Z411-5200)),"")))))</f>
        <v/>
      </c>
      <c r="C411" s="37" t="str">
        <f>IF($Z411="","",IF($Z411&lt;=2000,IF(INDEX(包装物料出入库明细!$D$4:$D$2003,$Z411-0)=0,"",INDEX(包装物料出入库明细!$D$4:$D$2003,$Z411-0)),IF($Z411&lt;=4000,IF(INDEX(周转筐出入库明细!$C$4:$C$2004,$Z411-2000)=0,"",INDEX(周转筐出入库明细!$C$4:$C$2004,$Z411-2000)),IF($Z411&lt;=5200,IF(INDEX(客户自备加工筐明细!$E$4:$E$1203,$Z411-4000)=0,"",INDEX(客户自备加工筐明细!$E$4:$E$1203,$Z411-4000)),IF($Z411&lt;=5800,IF(INDEX(次果筐明细!$C$4:$C$603,$Z411-5200)=0,"",INDEX(次果筐明细!$C$4:$C$603,$Z411-5200)),"")))))</f>
        <v/>
      </c>
      <c r="D411" s="37" t="str">
        <f>IF($Z411="","",IF($Z411&lt;=2000,"包装物料－"&amp;INDEX(包装物料出入库明细!$H$4:$H$2003,$Z411-0),IF($Z411&lt;=4000,"周转筐－"&amp;INDEX(周转筐出入库明细!$F$4:$F$2004,$Z411-2000),IF($Z411&lt;=5200,"客户自备筐－"&amp;INDEX(客户自备加工筐明细!$J$4:$J$1203,$Z411-4000),IF($Z411&lt;=5800,"次果筐/托盘－"&amp;INDEX(次果筐明细!$F$4:$F$603,$Z411-5200),"")))))</f>
        <v/>
      </c>
      <c r="E411" s="24" t="str">
        <f>IF($Z411="","",IF($Z411&lt;=2000,IF(INDEX(包装物料出入库明细!$C$4:$C$2003,$Z411-0)=0,"",INDEX(包装物料出入库明细!$C$4:$C$2003,$Z411-0)),IF($Z411&lt;=4000,IF(INDEX(周转筐出入库明细!$E$4:$E$2004,$Z411-2000)=0,"",INDEX(周转筐出入库明细!$E$4:$E$2004,$Z411-2000)),IF($Z411&lt;=5200,IF(INDEX(客户自备加工筐明细!$D$4:$D$1203,$Z411-4000)=0,"",INDEX(客户自备加工筐明细!$D$4:$D$1203,$Z411-4000)),IF($Z411&lt;=5800,IF(INDEX(次果筐明细!$E$4:$E$603,$Z411-5200)=0,"",INDEX(次果筐明细!$E$4:$E$603,$Z411-5200)),"")))))</f>
        <v/>
      </c>
      <c r="F411" s="24" t="str">
        <f>IF($Z411="","",IF($Z411&lt;=2000,IF(INDEX(包装物料出入库明细!$E$4:$E$2003,$Z411-0)=0,"",INDEX(包装物料出入库明细!$E$4:$E$2003,$Z411-0)),IF($Z411&lt;=4000,IF(INDEX(周转筐出入库明细!$D$4:$D$2004,$Z411-2000)=0,"",INDEX(周转筐出入库明细!$D$4:$D$2004,$Z411-2000)),IF($Z411&lt;=5200,IF(INDEX(客户自备加工筐明细!$C$4:$C$1203,$Z411-4000)=0,"",INDEX(客户自备加工筐明细!$C$4:$C$1203,$Z411-4000)),IF($Z411&lt;=5800,IF(INDEX(次果筐明细!$D$4:$D$603,$Z411-5200)=0,"",INDEX(次果筐明细!$D$4:$D$603,$Z411-5200)),"")))))</f>
        <v/>
      </c>
      <c r="G411" s="24" t="str">
        <f>IF($Z411="","",IF($Z411&lt;=2000,IF(INDEX(包装物料出入库明细!$F$4:$F$2003,$Z411-0)=0,"",INDEX(包装物料出入库明细!$F$4:$F$2003,$Z411-0)),IF($Z411&lt;=4000,"",IF($Z411&lt;=5200,"",IF($Z411&lt;=5800,"","")))))</f>
        <v/>
      </c>
      <c r="H411" s="39" t="str">
        <f>IF($Z411="","",IF($Z411&lt;=2000,IF(INDEX(包装物料出入库明细!$L$4:$L$2003,$Z411-0)=0,"",INDEX(包装物料出入库明细!$L$4:$L$2003,$Z411-0)),IF($Z411&lt;=4000,N(INDEX(周转筐出入库明细!$H$4:$H$2004,$Z411-2000))+N(INDEX(周转筐出入库明细!$I$4:$I$2004,$Z411-2000))+N(INDEX(周转筐出入库明细!$J$4:$J$2004,$Z411-2000))+N(INDEX(周转筐出入库明细!$K$4:$K$2004,$Z411-2000)),IF($Z411&lt;=5200,N(INDEX(客户自备加工筐明细!$F$4:$F$1203,$Z411-4000))+N(INDEX(客户自备加工筐明细!$G$4:$G$1203,$Z411-4000)),IF($Z411&lt;=5800,IF(INDEX(次果筐明细!$G$4:$G$603,$Z411-5200)=0,"",INDEX(次果筐明细!$G$4:$G$603,$Z411-5200)),"")))))</f>
        <v/>
      </c>
      <c r="I411" s="24" t="str">
        <f>IF($Z411="","",IF($Z411&lt;=2000,IF(INDEX(包装物料出入库明细!$G$4:$G$2003,$Z411-0)=0,"",INDEX(包装物料出入库明细!$G$4:$G$2003,$Z411-0)),IF($Z411&lt;=4000,"个",IF($Z411&lt;=5200,"个",IF($Z411&lt;=5800,"个","")))))</f>
        <v/>
      </c>
      <c r="J411" s="30" t="str">
        <f t="shared" si="19"/>
        <v/>
      </c>
      <c r="K411" s="30" t="str">
        <f>IF($Z411="","",IF($Z411&lt;=2000,IF(INDEX(包装物料出入库明细!$N$4:$N$2003,$Z411-0)=0,"",INDEX(包装物料出入库明细!$N$4:$N$2003,$Z411-0)),IF($Z411&lt;=4000,IF(INDEX(周转筐出入库明细!$P$4:$P$2004,$Z411-2000)=0,"",INDEX(周转筐出入库明细!$P$4:$P$2004,$Z411-2000)),IF($Z411&lt;=5200,"",IF($Z411&lt;=5800,N(INDEX(次果筐明细!$L$4:$L$603,$Z411-5200))+N(INDEX(次果筐明细!$J$4:$J$603,$Z411-5200)),"")))))</f>
        <v/>
      </c>
      <c r="L411" s="24" t="str">
        <f>IF($Z411="","",IF($Z411&lt;=2000,IF(INDEX(包装物料出入库明细!$P$4:$P$2003,$Z411-0)=0,"",INDEX(包装物料出入库明细!$P$4:$P$2003,$Z411-0)),IF($Z411&lt;=4000,IF(INDEX(周转筐出入库明细!$Q$4:$Q$2004,$Z411-2000)=0,"",INDEX(周转筐出入库明细!$Q$4:$Q$2004,$Z411-2000)),IF($Z411&lt;=5200,"",IF($Z411&lt;=5800,IF(INDEX(次果筐明细!$M$4:$M$603,$Z411-5200)=0,"",INDEX(次果筐明细!$M$4:$M$603,$Z411-5200)),"")))))</f>
        <v/>
      </c>
      <c r="M411" s="37" t="str">
        <f>IF($Z411="","",IF($Z411&lt;=2000,IF(INDEX(包装物料出入库明细!$R$4:$R$2003,$Z411-0)=0,"",INDEX(包装物料出入库明细!$R$4:$R$2003,$Z411-0)),IF($Z411&lt;=4000,IF(INDEX(周转筐出入库明细!$W$4:$W$2004,$Z411-2000)=0,"",INDEX(周转筐出入库明细!$W$4:$W$2004,$Z411-2000)),IF($Z411&lt;=5200,IF(INDEX(客户自备加工筐明细!$L$4:$L$1203,$Z411-4000)=0,"",INDEX(客户自备加工筐明细!$L$4:$L$1203,$Z411-4000)),IF($Z411&lt;=5800,IF(INDEX(次果筐明细!$P$4:$P$603,$Z411-5200)=0,"",INDEX(次果筐明细!$P$4:$P$603,$Z411-5200)),"")))))</f>
        <v/>
      </c>
      <c r="N411" s="16" t="str">
        <f>IF($Z411="","",IF($Z411&lt;=2000,"",IF($Z411&lt;=4000,IF(INDEX(周转筐出入库明细!$D$4:$D$2004,$Z411-2000)=0,"",INDEX(周转筐出入库明细!$D$4:$D$2004,$Z411-2000)),IF($Z411&lt;=5200,IF(INDEX(客户自备加工筐明细!$C$4:$C$1203,$Z411-4000)=0,"",INDEX(客户自备加工筐明细!$C$4:$C$1203,$Z411-4000)),IF($Z411&lt;=5800,IF(INDEX(次果筐明细!$D$4:$D$603,$Z411-5200)=0,"",INDEX(次果筐明细!$D$4:$D$603,$Z411-5200)),"")))))</f>
        <v/>
      </c>
      <c r="O411" s="40" t="str">
        <f>IF($Z411="","",IF($Z411&lt;=2000,"",IF($Z411&lt;=4000,IF(N(INDEX(周转筐出入库明细!$J$4:$J$2004,$Z411-2000))+N(INDEX(周转筐出入库明细!$K$4:$K$2004,$Z411-2000))=0,"",N(INDEX(周转筐出入库明细!$J$4:$J$2004,$Z411-2000))+N(INDEX(周转筐出入库明细!$K$4:$K$2004,$Z411-2000))),IF($Z411&lt;=5200,IF(N(INDEX(客户自备加工筐明细!$G$4:$G$1203,$Z411-4000))=0,"",N(INDEX(客户自备加工筐明细!$G$4:$G$1203,$Z411-4000))),IF($Z411&lt;=5800,IF(ISNUMBER(SEARCH("退",INDEX(次果筐明细!$F$4:$F$603,$Z411-5200)&amp;"")),"",IF(N(INDEX(次果筐明细!$G$4:$G$603,$Z411-5200))=0,"",N(INDEX(次果筐明细!$G$4:$G$603,$Z411-5200)))),"")))))</f>
        <v/>
      </c>
      <c r="P411" s="40" t="str">
        <f>IF($Z411="","",IF($Z411&lt;=2000,"",IF($Z411&lt;=4000,IF(N(INDEX(周转筐出入库明细!$I$4:$I$2004,$Z411-2000))=0,"",N(INDEX(周转筐出入库明细!$I$4:$I$2004,$Z411-2000))),IF($Z411&lt;=5200,"",IF($Z411&lt;=5800,IF(ISNUMBER(SEARCH("退",INDEX(次果筐明细!$F$4:$F$603,$Z411-5200)&amp;"")),IF(N(INDEX(次果筐明细!$G$4:$G$603,$Z411-5200))=0,"",N(INDEX(次果筐明细!$G$4:$G$603,$Z411-5200))),""),"")))))</f>
        <v/>
      </c>
      <c r="Q411" s="40" t="str">
        <f>IF($Z411="","",IF($Z411&lt;=2000,"",IF($Z411&lt;=4000,IF(N(INDEX(周转筐出入库明细!$H$4:$H$2004,$Z411-2000))=0,"",N(INDEX(周转筐出入库明细!$H$4:$H$2004,$Z411-2000))),IF($Z411&lt;=5200,IF(N(INDEX(客户自备加工筐明细!$F$4:$F$1203,$Z411-4000))=0,"",N(INDEX(客户自备加工筐明细!$F$4:$F$1203,$Z411-4000))),IF($Z411&lt;=5800,"","")))))</f>
        <v/>
      </c>
      <c r="R411" s="16" t="str">
        <f>IF($Z411="","",IF($Z411&lt;=2000,IF(INDEX(包装物料出入库明细!$O$4:$O$2003,$Z411-0)=0,"",INDEX(包装物料出入库明细!$O$4:$O$2003,$Z411-0)),IF($Z411&lt;=4000,IF(INDEX(周转筐出入库明细!$M$4:$M$2004,$Z411-2000)=0,"",INDEX(周转筐出入库明细!$M$4:$M$2004,$Z411-2000)),IF($Z411&lt;=5200,IF(INDEX(客户自备加工筐明细!$H$4:$H$1203,$Z411-4000)=0,"",INDEX(客户自备加工筐明细!$H$4:$H$1203,$Z411-4000)),IF($Z411&lt;=5800,IF(INDEX(次果筐明细!$H$4:$H$603,$Z411-5200)=0,"",INDEX(次果筐明细!$H$4:$H$603,$Z411-5200)),"")))))</f>
        <v/>
      </c>
      <c r="S411" s="22" t="str">
        <f t="shared" si="20"/>
        <v/>
      </c>
      <c r="Z411" s="10" t="str">
        <f>IFERROR(MATCH(ROW()-3,_自动清单!$CQ$4:$CQ$5803,0),"")</f>
        <v/>
      </c>
    </row>
    <row r="412" spans="1:26">
      <c r="A412" s="24" t="str">
        <f t="shared" si="18"/>
        <v/>
      </c>
      <c r="B412" s="38" t="str">
        <f>IF($Z412="","",IF($Z412&lt;=2000,IF(INDEX(包装物料出入库明细!$B$4:$B$2003,$Z412-0)=0,"",INDEX(包装物料出入库明细!$B$4:$B$2003,$Z412-0)),IF($Z412&lt;=4000,IF(INDEX(周转筐出入库明细!$B$4:$B$2004,$Z412-2000)=0,"",INDEX(周转筐出入库明细!$B$4:$B$2004,$Z412-2000)),IF($Z412&lt;=5200,IF(INDEX(客户自备加工筐明细!$B$4:$B$1203,$Z412-4000)=0,"",INDEX(客户自备加工筐明细!$B$4:$B$1203,$Z412-4000)),IF($Z412&lt;=5800,IF(INDEX(次果筐明细!$B$4:$B$603,$Z412-5200)=0,"",INDEX(次果筐明细!$B$4:$B$603,$Z412-5200)),"")))))</f>
        <v/>
      </c>
      <c r="C412" s="37" t="str">
        <f>IF($Z412="","",IF($Z412&lt;=2000,IF(INDEX(包装物料出入库明细!$D$4:$D$2003,$Z412-0)=0,"",INDEX(包装物料出入库明细!$D$4:$D$2003,$Z412-0)),IF($Z412&lt;=4000,IF(INDEX(周转筐出入库明细!$C$4:$C$2004,$Z412-2000)=0,"",INDEX(周转筐出入库明细!$C$4:$C$2004,$Z412-2000)),IF($Z412&lt;=5200,IF(INDEX(客户自备加工筐明细!$E$4:$E$1203,$Z412-4000)=0,"",INDEX(客户自备加工筐明细!$E$4:$E$1203,$Z412-4000)),IF($Z412&lt;=5800,IF(INDEX(次果筐明细!$C$4:$C$603,$Z412-5200)=0,"",INDEX(次果筐明细!$C$4:$C$603,$Z412-5200)),"")))))</f>
        <v/>
      </c>
      <c r="D412" s="37" t="str">
        <f>IF($Z412="","",IF($Z412&lt;=2000,"包装物料－"&amp;INDEX(包装物料出入库明细!$H$4:$H$2003,$Z412-0),IF($Z412&lt;=4000,"周转筐－"&amp;INDEX(周转筐出入库明细!$F$4:$F$2004,$Z412-2000),IF($Z412&lt;=5200,"客户自备筐－"&amp;INDEX(客户自备加工筐明细!$J$4:$J$1203,$Z412-4000),IF($Z412&lt;=5800,"次果筐/托盘－"&amp;INDEX(次果筐明细!$F$4:$F$603,$Z412-5200),"")))))</f>
        <v/>
      </c>
      <c r="E412" s="24" t="str">
        <f>IF($Z412="","",IF($Z412&lt;=2000,IF(INDEX(包装物料出入库明细!$C$4:$C$2003,$Z412-0)=0,"",INDEX(包装物料出入库明细!$C$4:$C$2003,$Z412-0)),IF($Z412&lt;=4000,IF(INDEX(周转筐出入库明细!$E$4:$E$2004,$Z412-2000)=0,"",INDEX(周转筐出入库明细!$E$4:$E$2004,$Z412-2000)),IF($Z412&lt;=5200,IF(INDEX(客户自备加工筐明细!$D$4:$D$1203,$Z412-4000)=0,"",INDEX(客户自备加工筐明细!$D$4:$D$1203,$Z412-4000)),IF($Z412&lt;=5800,IF(INDEX(次果筐明细!$E$4:$E$603,$Z412-5200)=0,"",INDEX(次果筐明细!$E$4:$E$603,$Z412-5200)),"")))))</f>
        <v/>
      </c>
      <c r="F412" s="24" t="str">
        <f>IF($Z412="","",IF($Z412&lt;=2000,IF(INDEX(包装物料出入库明细!$E$4:$E$2003,$Z412-0)=0,"",INDEX(包装物料出入库明细!$E$4:$E$2003,$Z412-0)),IF($Z412&lt;=4000,IF(INDEX(周转筐出入库明细!$D$4:$D$2004,$Z412-2000)=0,"",INDEX(周转筐出入库明细!$D$4:$D$2004,$Z412-2000)),IF($Z412&lt;=5200,IF(INDEX(客户自备加工筐明细!$C$4:$C$1203,$Z412-4000)=0,"",INDEX(客户自备加工筐明细!$C$4:$C$1203,$Z412-4000)),IF($Z412&lt;=5800,IF(INDEX(次果筐明细!$D$4:$D$603,$Z412-5200)=0,"",INDEX(次果筐明细!$D$4:$D$603,$Z412-5200)),"")))))</f>
        <v/>
      </c>
      <c r="G412" s="24" t="str">
        <f>IF($Z412="","",IF($Z412&lt;=2000,IF(INDEX(包装物料出入库明细!$F$4:$F$2003,$Z412-0)=0,"",INDEX(包装物料出入库明细!$F$4:$F$2003,$Z412-0)),IF($Z412&lt;=4000,"",IF($Z412&lt;=5200,"",IF($Z412&lt;=5800,"","")))))</f>
        <v/>
      </c>
      <c r="H412" s="39" t="str">
        <f>IF($Z412="","",IF($Z412&lt;=2000,IF(INDEX(包装物料出入库明细!$L$4:$L$2003,$Z412-0)=0,"",INDEX(包装物料出入库明细!$L$4:$L$2003,$Z412-0)),IF($Z412&lt;=4000,N(INDEX(周转筐出入库明细!$H$4:$H$2004,$Z412-2000))+N(INDEX(周转筐出入库明细!$I$4:$I$2004,$Z412-2000))+N(INDEX(周转筐出入库明细!$J$4:$J$2004,$Z412-2000))+N(INDEX(周转筐出入库明细!$K$4:$K$2004,$Z412-2000)),IF($Z412&lt;=5200,N(INDEX(客户自备加工筐明细!$F$4:$F$1203,$Z412-4000))+N(INDEX(客户自备加工筐明细!$G$4:$G$1203,$Z412-4000)),IF($Z412&lt;=5800,IF(INDEX(次果筐明细!$G$4:$G$603,$Z412-5200)=0,"",INDEX(次果筐明细!$G$4:$G$603,$Z412-5200)),"")))))</f>
        <v/>
      </c>
      <c r="I412" s="24" t="str">
        <f>IF($Z412="","",IF($Z412&lt;=2000,IF(INDEX(包装物料出入库明细!$G$4:$G$2003,$Z412-0)=0,"",INDEX(包装物料出入库明细!$G$4:$G$2003,$Z412-0)),IF($Z412&lt;=4000,"个",IF($Z412&lt;=5200,"个",IF($Z412&lt;=5800,"个","")))))</f>
        <v/>
      </c>
      <c r="J412" s="30" t="str">
        <f t="shared" si="19"/>
        <v/>
      </c>
      <c r="K412" s="30" t="str">
        <f>IF($Z412="","",IF($Z412&lt;=2000,IF(INDEX(包装物料出入库明细!$N$4:$N$2003,$Z412-0)=0,"",INDEX(包装物料出入库明细!$N$4:$N$2003,$Z412-0)),IF($Z412&lt;=4000,IF(INDEX(周转筐出入库明细!$P$4:$P$2004,$Z412-2000)=0,"",INDEX(周转筐出入库明细!$P$4:$P$2004,$Z412-2000)),IF($Z412&lt;=5200,"",IF($Z412&lt;=5800,N(INDEX(次果筐明细!$L$4:$L$603,$Z412-5200))+N(INDEX(次果筐明细!$J$4:$J$603,$Z412-5200)),"")))))</f>
        <v/>
      </c>
      <c r="L412" s="24" t="str">
        <f>IF($Z412="","",IF($Z412&lt;=2000,IF(INDEX(包装物料出入库明细!$P$4:$P$2003,$Z412-0)=0,"",INDEX(包装物料出入库明细!$P$4:$P$2003,$Z412-0)),IF($Z412&lt;=4000,IF(INDEX(周转筐出入库明细!$Q$4:$Q$2004,$Z412-2000)=0,"",INDEX(周转筐出入库明细!$Q$4:$Q$2004,$Z412-2000)),IF($Z412&lt;=5200,"",IF($Z412&lt;=5800,IF(INDEX(次果筐明细!$M$4:$M$603,$Z412-5200)=0,"",INDEX(次果筐明细!$M$4:$M$603,$Z412-5200)),"")))))</f>
        <v/>
      </c>
      <c r="M412" s="37" t="str">
        <f>IF($Z412="","",IF($Z412&lt;=2000,IF(INDEX(包装物料出入库明细!$R$4:$R$2003,$Z412-0)=0,"",INDEX(包装物料出入库明细!$R$4:$R$2003,$Z412-0)),IF($Z412&lt;=4000,IF(INDEX(周转筐出入库明细!$W$4:$W$2004,$Z412-2000)=0,"",INDEX(周转筐出入库明细!$W$4:$W$2004,$Z412-2000)),IF($Z412&lt;=5200,IF(INDEX(客户自备加工筐明细!$L$4:$L$1203,$Z412-4000)=0,"",INDEX(客户自备加工筐明细!$L$4:$L$1203,$Z412-4000)),IF($Z412&lt;=5800,IF(INDEX(次果筐明细!$P$4:$P$603,$Z412-5200)=0,"",INDEX(次果筐明细!$P$4:$P$603,$Z412-5200)),"")))))</f>
        <v/>
      </c>
      <c r="N412" s="16" t="str">
        <f>IF($Z412="","",IF($Z412&lt;=2000,"",IF($Z412&lt;=4000,IF(INDEX(周转筐出入库明细!$D$4:$D$2004,$Z412-2000)=0,"",INDEX(周转筐出入库明细!$D$4:$D$2004,$Z412-2000)),IF($Z412&lt;=5200,IF(INDEX(客户自备加工筐明细!$C$4:$C$1203,$Z412-4000)=0,"",INDEX(客户自备加工筐明细!$C$4:$C$1203,$Z412-4000)),IF($Z412&lt;=5800,IF(INDEX(次果筐明细!$D$4:$D$603,$Z412-5200)=0,"",INDEX(次果筐明细!$D$4:$D$603,$Z412-5200)),"")))))</f>
        <v/>
      </c>
      <c r="O412" s="40" t="str">
        <f>IF($Z412="","",IF($Z412&lt;=2000,"",IF($Z412&lt;=4000,IF(N(INDEX(周转筐出入库明细!$J$4:$J$2004,$Z412-2000))+N(INDEX(周转筐出入库明细!$K$4:$K$2004,$Z412-2000))=0,"",N(INDEX(周转筐出入库明细!$J$4:$J$2004,$Z412-2000))+N(INDEX(周转筐出入库明细!$K$4:$K$2004,$Z412-2000))),IF($Z412&lt;=5200,IF(N(INDEX(客户自备加工筐明细!$G$4:$G$1203,$Z412-4000))=0,"",N(INDEX(客户自备加工筐明细!$G$4:$G$1203,$Z412-4000))),IF($Z412&lt;=5800,IF(ISNUMBER(SEARCH("退",INDEX(次果筐明细!$F$4:$F$603,$Z412-5200)&amp;"")),"",IF(N(INDEX(次果筐明细!$G$4:$G$603,$Z412-5200))=0,"",N(INDEX(次果筐明细!$G$4:$G$603,$Z412-5200)))),"")))))</f>
        <v/>
      </c>
      <c r="P412" s="40" t="str">
        <f>IF($Z412="","",IF($Z412&lt;=2000,"",IF($Z412&lt;=4000,IF(N(INDEX(周转筐出入库明细!$I$4:$I$2004,$Z412-2000))=0,"",N(INDEX(周转筐出入库明细!$I$4:$I$2004,$Z412-2000))),IF($Z412&lt;=5200,"",IF($Z412&lt;=5800,IF(ISNUMBER(SEARCH("退",INDEX(次果筐明细!$F$4:$F$603,$Z412-5200)&amp;"")),IF(N(INDEX(次果筐明细!$G$4:$G$603,$Z412-5200))=0,"",N(INDEX(次果筐明细!$G$4:$G$603,$Z412-5200))),""),"")))))</f>
        <v/>
      </c>
      <c r="Q412" s="40" t="str">
        <f>IF($Z412="","",IF($Z412&lt;=2000,"",IF($Z412&lt;=4000,IF(N(INDEX(周转筐出入库明细!$H$4:$H$2004,$Z412-2000))=0,"",N(INDEX(周转筐出入库明细!$H$4:$H$2004,$Z412-2000))),IF($Z412&lt;=5200,IF(N(INDEX(客户自备加工筐明细!$F$4:$F$1203,$Z412-4000))=0,"",N(INDEX(客户自备加工筐明细!$F$4:$F$1203,$Z412-4000))),IF($Z412&lt;=5800,"","")))))</f>
        <v/>
      </c>
      <c r="R412" s="16" t="str">
        <f>IF($Z412="","",IF($Z412&lt;=2000,IF(INDEX(包装物料出入库明细!$O$4:$O$2003,$Z412-0)=0,"",INDEX(包装物料出入库明细!$O$4:$O$2003,$Z412-0)),IF($Z412&lt;=4000,IF(INDEX(周转筐出入库明细!$M$4:$M$2004,$Z412-2000)=0,"",INDEX(周转筐出入库明细!$M$4:$M$2004,$Z412-2000)),IF($Z412&lt;=5200,IF(INDEX(客户自备加工筐明细!$H$4:$H$1203,$Z412-4000)=0,"",INDEX(客户自备加工筐明细!$H$4:$H$1203,$Z412-4000)),IF($Z412&lt;=5800,IF(INDEX(次果筐明细!$H$4:$H$603,$Z412-5200)=0,"",INDEX(次果筐明细!$H$4:$H$603,$Z412-5200)),"")))))</f>
        <v/>
      </c>
      <c r="S412" s="22" t="str">
        <f t="shared" si="20"/>
        <v/>
      </c>
      <c r="Z412" s="10" t="str">
        <f>IFERROR(MATCH(ROW()-3,_自动清单!$CQ$4:$CQ$5803,0),"")</f>
        <v/>
      </c>
    </row>
    <row r="413" spans="1:26">
      <c r="A413" s="24" t="str">
        <f t="shared" si="18"/>
        <v/>
      </c>
      <c r="B413" s="38" t="str">
        <f>IF($Z413="","",IF($Z413&lt;=2000,IF(INDEX(包装物料出入库明细!$B$4:$B$2003,$Z413-0)=0,"",INDEX(包装物料出入库明细!$B$4:$B$2003,$Z413-0)),IF($Z413&lt;=4000,IF(INDEX(周转筐出入库明细!$B$4:$B$2004,$Z413-2000)=0,"",INDEX(周转筐出入库明细!$B$4:$B$2004,$Z413-2000)),IF($Z413&lt;=5200,IF(INDEX(客户自备加工筐明细!$B$4:$B$1203,$Z413-4000)=0,"",INDEX(客户自备加工筐明细!$B$4:$B$1203,$Z413-4000)),IF($Z413&lt;=5800,IF(INDEX(次果筐明细!$B$4:$B$603,$Z413-5200)=0,"",INDEX(次果筐明细!$B$4:$B$603,$Z413-5200)),"")))))</f>
        <v/>
      </c>
      <c r="C413" s="37" t="str">
        <f>IF($Z413="","",IF($Z413&lt;=2000,IF(INDEX(包装物料出入库明细!$D$4:$D$2003,$Z413-0)=0,"",INDEX(包装物料出入库明细!$D$4:$D$2003,$Z413-0)),IF($Z413&lt;=4000,IF(INDEX(周转筐出入库明细!$C$4:$C$2004,$Z413-2000)=0,"",INDEX(周转筐出入库明细!$C$4:$C$2004,$Z413-2000)),IF($Z413&lt;=5200,IF(INDEX(客户自备加工筐明细!$E$4:$E$1203,$Z413-4000)=0,"",INDEX(客户自备加工筐明细!$E$4:$E$1203,$Z413-4000)),IF($Z413&lt;=5800,IF(INDEX(次果筐明细!$C$4:$C$603,$Z413-5200)=0,"",INDEX(次果筐明细!$C$4:$C$603,$Z413-5200)),"")))))</f>
        <v/>
      </c>
      <c r="D413" s="37" t="str">
        <f>IF($Z413="","",IF($Z413&lt;=2000,"包装物料－"&amp;INDEX(包装物料出入库明细!$H$4:$H$2003,$Z413-0),IF($Z413&lt;=4000,"周转筐－"&amp;INDEX(周转筐出入库明细!$F$4:$F$2004,$Z413-2000),IF($Z413&lt;=5200,"客户自备筐－"&amp;INDEX(客户自备加工筐明细!$J$4:$J$1203,$Z413-4000),IF($Z413&lt;=5800,"次果筐/托盘－"&amp;INDEX(次果筐明细!$F$4:$F$603,$Z413-5200),"")))))</f>
        <v/>
      </c>
      <c r="E413" s="24" t="str">
        <f>IF($Z413="","",IF($Z413&lt;=2000,IF(INDEX(包装物料出入库明细!$C$4:$C$2003,$Z413-0)=0,"",INDEX(包装物料出入库明细!$C$4:$C$2003,$Z413-0)),IF($Z413&lt;=4000,IF(INDEX(周转筐出入库明细!$E$4:$E$2004,$Z413-2000)=0,"",INDEX(周转筐出入库明细!$E$4:$E$2004,$Z413-2000)),IF($Z413&lt;=5200,IF(INDEX(客户自备加工筐明细!$D$4:$D$1203,$Z413-4000)=0,"",INDEX(客户自备加工筐明细!$D$4:$D$1203,$Z413-4000)),IF($Z413&lt;=5800,IF(INDEX(次果筐明细!$E$4:$E$603,$Z413-5200)=0,"",INDEX(次果筐明细!$E$4:$E$603,$Z413-5200)),"")))))</f>
        <v/>
      </c>
      <c r="F413" s="24" t="str">
        <f>IF($Z413="","",IF($Z413&lt;=2000,IF(INDEX(包装物料出入库明细!$E$4:$E$2003,$Z413-0)=0,"",INDEX(包装物料出入库明细!$E$4:$E$2003,$Z413-0)),IF($Z413&lt;=4000,IF(INDEX(周转筐出入库明细!$D$4:$D$2004,$Z413-2000)=0,"",INDEX(周转筐出入库明细!$D$4:$D$2004,$Z413-2000)),IF($Z413&lt;=5200,IF(INDEX(客户自备加工筐明细!$C$4:$C$1203,$Z413-4000)=0,"",INDEX(客户自备加工筐明细!$C$4:$C$1203,$Z413-4000)),IF($Z413&lt;=5800,IF(INDEX(次果筐明细!$D$4:$D$603,$Z413-5200)=0,"",INDEX(次果筐明细!$D$4:$D$603,$Z413-5200)),"")))))</f>
        <v/>
      </c>
      <c r="G413" s="24" t="str">
        <f>IF($Z413="","",IF($Z413&lt;=2000,IF(INDEX(包装物料出入库明细!$F$4:$F$2003,$Z413-0)=0,"",INDEX(包装物料出入库明细!$F$4:$F$2003,$Z413-0)),IF($Z413&lt;=4000,"",IF($Z413&lt;=5200,"",IF($Z413&lt;=5800,"","")))))</f>
        <v/>
      </c>
      <c r="H413" s="39" t="str">
        <f>IF($Z413="","",IF($Z413&lt;=2000,IF(INDEX(包装物料出入库明细!$L$4:$L$2003,$Z413-0)=0,"",INDEX(包装物料出入库明细!$L$4:$L$2003,$Z413-0)),IF($Z413&lt;=4000,N(INDEX(周转筐出入库明细!$H$4:$H$2004,$Z413-2000))+N(INDEX(周转筐出入库明细!$I$4:$I$2004,$Z413-2000))+N(INDEX(周转筐出入库明细!$J$4:$J$2004,$Z413-2000))+N(INDEX(周转筐出入库明细!$K$4:$K$2004,$Z413-2000)),IF($Z413&lt;=5200,N(INDEX(客户自备加工筐明细!$F$4:$F$1203,$Z413-4000))+N(INDEX(客户自备加工筐明细!$G$4:$G$1203,$Z413-4000)),IF($Z413&lt;=5800,IF(INDEX(次果筐明细!$G$4:$G$603,$Z413-5200)=0,"",INDEX(次果筐明细!$G$4:$G$603,$Z413-5200)),"")))))</f>
        <v/>
      </c>
      <c r="I413" s="24" t="str">
        <f>IF($Z413="","",IF($Z413&lt;=2000,IF(INDEX(包装物料出入库明细!$G$4:$G$2003,$Z413-0)=0,"",INDEX(包装物料出入库明细!$G$4:$G$2003,$Z413-0)),IF($Z413&lt;=4000,"个",IF($Z413&lt;=5200,"个",IF($Z413&lt;=5800,"个","")))))</f>
        <v/>
      </c>
      <c r="J413" s="30" t="str">
        <f t="shared" si="19"/>
        <v/>
      </c>
      <c r="K413" s="30" t="str">
        <f>IF($Z413="","",IF($Z413&lt;=2000,IF(INDEX(包装物料出入库明细!$N$4:$N$2003,$Z413-0)=0,"",INDEX(包装物料出入库明细!$N$4:$N$2003,$Z413-0)),IF($Z413&lt;=4000,IF(INDEX(周转筐出入库明细!$P$4:$P$2004,$Z413-2000)=0,"",INDEX(周转筐出入库明细!$P$4:$P$2004,$Z413-2000)),IF($Z413&lt;=5200,"",IF($Z413&lt;=5800,N(INDEX(次果筐明细!$L$4:$L$603,$Z413-5200))+N(INDEX(次果筐明细!$J$4:$J$603,$Z413-5200)),"")))))</f>
        <v/>
      </c>
      <c r="L413" s="24" t="str">
        <f>IF($Z413="","",IF($Z413&lt;=2000,IF(INDEX(包装物料出入库明细!$P$4:$P$2003,$Z413-0)=0,"",INDEX(包装物料出入库明细!$P$4:$P$2003,$Z413-0)),IF($Z413&lt;=4000,IF(INDEX(周转筐出入库明细!$Q$4:$Q$2004,$Z413-2000)=0,"",INDEX(周转筐出入库明细!$Q$4:$Q$2004,$Z413-2000)),IF($Z413&lt;=5200,"",IF($Z413&lt;=5800,IF(INDEX(次果筐明细!$M$4:$M$603,$Z413-5200)=0,"",INDEX(次果筐明细!$M$4:$M$603,$Z413-5200)),"")))))</f>
        <v/>
      </c>
      <c r="M413" s="37" t="str">
        <f>IF($Z413="","",IF($Z413&lt;=2000,IF(INDEX(包装物料出入库明细!$R$4:$R$2003,$Z413-0)=0,"",INDEX(包装物料出入库明细!$R$4:$R$2003,$Z413-0)),IF($Z413&lt;=4000,IF(INDEX(周转筐出入库明细!$W$4:$W$2004,$Z413-2000)=0,"",INDEX(周转筐出入库明细!$W$4:$W$2004,$Z413-2000)),IF($Z413&lt;=5200,IF(INDEX(客户自备加工筐明细!$L$4:$L$1203,$Z413-4000)=0,"",INDEX(客户自备加工筐明细!$L$4:$L$1203,$Z413-4000)),IF($Z413&lt;=5800,IF(INDEX(次果筐明细!$P$4:$P$603,$Z413-5200)=0,"",INDEX(次果筐明细!$P$4:$P$603,$Z413-5200)),"")))))</f>
        <v/>
      </c>
      <c r="N413" s="16" t="str">
        <f>IF($Z413="","",IF($Z413&lt;=2000,"",IF($Z413&lt;=4000,IF(INDEX(周转筐出入库明细!$D$4:$D$2004,$Z413-2000)=0,"",INDEX(周转筐出入库明细!$D$4:$D$2004,$Z413-2000)),IF($Z413&lt;=5200,IF(INDEX(客户自备加工筐明细!$C$4:$C$1203,$Z413-4000)=0,"",INDEX(客户自备加工筐明细!$C$4:$C$1203,$Z413-4000)),IF($Z413&lt;=5800,IF(INDEX(次果筐明细!$D$4:$D$603,$Z413-5200)=0,"",INDEX(次果筐明细!$D$4:$D$603,$Z413-5200)),"")))))</f>
        <v/>
      </c>
      <c r="O413" s="40" t="str">
        <f>IF($Z413="","",IF($Z413&lt;=2000,"",IF($Z413&lt;=4000,IF(N(INDEX(周转筐出入库明细!$J$4:$J$2004,$Z413-2000))+N(INDEX(周转筐出入库明细!$K$4:$K$2004,$Z413-2000))=0,"",N(INDEX(周转筐出入库明细!$J$4:$J$2004,$Z413-2000))+N(INDEX(周转筐出入库明细!$K$4:$K$2004,$Z413-2000))),IF($Z413&lt;=5200,IF(N(INDEX(客户自备加工筐明细!$G$4:$G$1203,$Z413-4000))=0,"",N(INDEX(客户自备加工筐明细!$G$4:$G$1203,$Z413-4000))),IF($Z413&lt;=5800,IF(ISNUMBER(SEARCH("退",INDEX(次果筐明细!$F$4:$F$603,$Z413-5200)&amp;"")),"",IF(N(INDEX(次果筐明细!$G$4:$G$603,$Z413-5200))=0,"",N(INDEX(次果筐明细!$G$4:$G$603,$Z413-5200)))),"")))))</f>
        <v/>
      </c>
      <c r="P413" s="40" t="str">
        <f>IF($Z413="","",IF($Z413&lt;=2000,"",IF($Z413&lt;=4000,IF(N(INDEX(周转筐出入库明细!$I$4:$I$2004,$Z413-2000))=0,"",N(INDEX(周转筐出入库明细!$I$4:$I$2004,$Z413-2000))),IF($Z413&lt;=5200,"",IF($Z413&lt;=5800,IF(ISNUMBER(SEARCH("退",INDEX(次果筐明细!$F$4:$F$603,$Z413-5200)&amp;"")),IF(N(INDEX(次果筐明细!$G$4:$G$603,$Z413-5200))=0,"",N(INDEX(次果筐明细!$G$4:$G$603,$Z413-5200))),""),"")))))</f>
        <v/>
      </c>
      <c r="Q413" s="40" t="str">
        <f>IF($Z413="","",IF($Z413&lt;=2000,"",IF($Z413&lt;=4000,IF(N(INDEX(周转筐出入库明细!$H$4:$H$2004,$Z413-2000))=0,"",N(INDEX(周转筐出入库明细!$H$4:$H$2004,$Z413-2000))),IF($Z413&lt;=5200,IF(N(INDEX(客户自备加工筐明细!$F$4:$F$1203,$Z413-4000))=0,"",N(INDEX(客户自备加工筐明细!$F$4:$F$1203,$Z413-4000))),IF($Z413&lt;=5800,"","")))))</f>
        <v/>
      </c>
      <c r="R413" s="16" t="str">
        <f>IF($Z413="","",IF($Z413&lt;=2000,IF(INDEX(包装物料出入库明细!$O$4:$O$2003,$Z413-0)=0,"",INDEX(包装物料出入库明细!$O$4:$O$2003,$Z413-0)),IF($Z413&lt;=4000,IF(INDEX(周转筐出入库明细!$M$4:$M$2004,$Z413-2000)=0,"",INDEX(周转筐出入库明细!$M$4:$M$2004,$Z413-2000)),IF($Z413&lt;=5200,IF(INDEX(客户自备加工筐明细!$H$4:$H$1203,$Z413-4000)=0,"",INDEX(客户自备加工筐明细!$H$4:$H$1203,$Z413-4000)),IF($Z413&lt;=5800,IF(INDEX(次果筐明细!$H$4:$H$603,$Z413-5200)=0,"",INDEX(次果筐明细!$H$4:$H$603,$Z413-5200)),"")))))</f>
        <v/>
      </c>
      <c r="S413" s="22" t="str">
        <f t="shared" si="20"/>
        <v/>
      </c>
      <c r="Z413" s="10" t="str">
        <f>IFERROR(MATCH(ROW()-3,_自动清单!$CQ$4:$CQ$5803,0),"")</f>
        <v/>
      </c>
    </row>
    <row r="414" spans="1:26">
      <c r="A414" s="24" t="str">
        <f t="shared" si="18"/>
        <v/>
      </c>
      <c r="B414" s="38" t="str">
        <f>IF($Z414="","",IF($Z414&lt;=2000,IF(INDEX(包装物料出入库明细!$B$4:$B$2003,$Z414-0)=0,"",INDEX(包装物料出入库明细!$B$4:$B$2003,$Z414-0)),IF($Z414&lt;=4000,IF(INDEX(周转筐出入库明细!$B$4:$B$2004,$Z414-2000)=0,"",INDEX(周转筐出入库明细!$B$4:$B$2004,$Z414-2000)),IF($Z414&lt;=5200,IF(INDEX(客户自备加工筐明细!$B$4:$B$1203,$Z414-4000)=0,"",INDEX(客户自备加工筐明细!$B$4:$B$1203,$Z414-4000)),IF($Z414&lt;=5800,IF(INDEX(次果筐明细!$B$4:$B$603,$Z414-5200)=0,"",INDEX(次果筐明细!$B$4:$B$603,$Z414-5200)),"")))))</f>
        <v/>
      </c>
      <c r="C414" s="37" t="str">
        <f>IF($Z414="","",IF($Z414&lt;=2000,IF(INDEX(包装物料出入库明细!$D$4:$D$2003,$Z414-0)=0,"",INDEX(包装物料出入库明细!$D$4:$D$2003,$Z414-0)),IF($Z414&lt;=4000,IF(INDEX(周转筐出入库明细!$C$4:$C$2004,$Z414-2000)=0,"",INDEX(周转筐出入库明细!$C$4:$C$2004,$Z414-2000)),IF($Z414&lt;=5200,IF(INDEX(客户自备加工筐明细!$E$4:$E$1203,$Z414-4000)=0,"",INDEX(客户自备加工筐明细!$E$4:$E$1203,$Z414-4000)),IF($Z414&lt;=5800,IF(INDEX(次果筐明细!$C$4:$C$603,$Z414-5200)=0,"",INDEX(次果筐明细!$C$4:$C$603,$Z414-5200)),"")))))</f>
        <v/>
      </c>
      <c r="D414" s="37" t="str">
        <f>IF($Z414="","",IF($Z414&lt;=2000,"包装物料－"&amp;INDEX(包装物料出入库明细!$H$4:$H$2003,$Z414-0),IF($Z414&lt;=4000,"周转筐－"&amp;INDEX(周转筐出入库明细!$F$4:$F$2004,$Z414-2000),IF($Z414&lt;=5200,"客户自备筐－"&amp;INDEX(客户自备加工筐明细!$J$4:$J$1203,$Z414-4000),IF($Z414&lt;=5800,"次果筐/托盘－"&amp;INDEX(次果筐明细!$F$4:$F$603,$Z414-5200),"")))))</f>
        <v/>
      </c>
      <c r="E414" s="24" t="str">
        <f>IF($Z414="","",IF($Z414&lt;=2000,IF(INDEX(包装物料出入库明细!$C$4:$C$2003,$Z414-0)=0,"",INDEX(包装物料出入库明细!$C$4:$C$2003,$Z414-0)),IF($Z414&lt;=4000,IF(INDEX(周转筐出入库明细!$E$4:$E$2004,$Z414-2000)=0,"",INDEX(周转筐出入库明细!$E$4:$E$2004,$Z414-2000)),IF($Z414&lt;=5200,IF(INDEX(客户自备加工筐明细!$D$4:$D$1203,$Z414-4000)=0,"",INDEX(客户自备加工筐明细!$D$4:$D$1203,$Z414-4000)),IF($Z414&lt;=5800,IF(INDEX(次果筐明细!$E$4:$E$603,$Z414-5200)=0,"",INDEX(次果筐明细!$E$4:$E$603,$Z414-5200)),"")))))</f>
        <v/>
      </c>
      <c r="F414" s="24" t="str">
        <f>IF($Z414="","",IF($Z414&lt;=2000,IF(INDEX(包装物料出入库明细!$E$4:$E$2003,$Z414-0)=0,"",INDEX(包装物料出入库明细!$E$4:$E$2003,$Z414-0)),IF($Z414&lt;=4000,IF(INDEX(周转筐出入库明细!$D$4:$D$2004,$Z414-2000)=0,"",INDEX(周转筐出入库明细!$D$4:$D$2004,$Z414-2000)),IF($Z414&lt;=5200,IF(INDEX(客户自备加工筐明细!$C$4:$C$1203,$Z414-4000)=0,"",INDEX(客户自备加工筐明细!$C$4:$C$1203,$Z414-4000)),IF($Z414&lt;=5800,IF(INDEX(次果筐明细!$D$4:$D$603,$Z414-5200)=0,"",INDEX(次果筐明细!$D$4:$D$603,$Z414-5200)),"")))))</f>
        <v/>
      </c>
      <c r="G414" s="24" t="str">
        <f>IF($Z414="","",IF($Z414&lt;=2000,IF(INDEX(包装物料出入库明细!$F$4:$F$2003,$Z414-0)=0,"",INDEX(包装物料出入库明细!$F$4:$F$2003,$Z414-0)),IF($Z414&lt;=4000,"",IF($Z414&lt;=5200,"",IF($Z414&lt;=5800,"","")))))</f>
        <v/>
      </c>
      <c r="H414" s="39" t="str">
        <f>IF($Z414="","",IF($Z414&lt;=2000,IF(INDEX(包装物料出入库明细!$L$4:$L$2003,$Z414-0)=0,"",INDEX(包装物料出入库明细!$L$4:$L$2003,$Z414-0)),IF($Z414&lt;=4000,N(INDEX(周转筐出入库明细!$H$4:$H$2004,$Z414-2000))+N(INDEX(周转筐出入库明细!$I$4:$I$2004,$Z414-2000))+N(INDEX(周转筐出入库明细!$J$4:$J$2004,$Z414-2000))+N(INDEX(周转筐出入库明细!$K$4:$K$2004,$Z414-2000)),IF($Z414&lt;=5200,N(INDEX(客户自备加工筐明细!$F$4:$F$1203,$Z414-4000))+N(INDEX(客户自备加工筐明细!$G$4:$G$1203,$Z414-4000)),IF($Z414&lt;=5800,IF(INDEX(次果筐明细!$G$4:$G$603,$Z414-5200)=0,"",INDEX(次果筐明细!$G$4:$G$603,$Z414-5200)),"")))))</f>
        <v/>
      </c>
      <c r="I414" s="24" t="str">
        <f>IF($Z414="","",IF($Z414&lt;=2000,IF(INDEX(包装物料出入库明细!$G$4:$G$2003,$Z414-0)=0,"",INDEX(包装物料出入库明细!$G$4:$G$2003,$Z414-0)),IF($Z414&lt;=4000,"个",IF($Z414&lt;=5200,"个",IF($Z414&lt;=5800,"个","")))))</f>
        <v/>
      </c>
      <c r="J414" s="30" t="str">
        <f t="shared" si="19"/>
        <v/>
      </c>
      <c r="K414" s="30" t="str">
        <f>IF($Z414="","",IF($Z414&lt;=2000,IF(INDEX(包装物料出入库明细!$N$4:$N$2003,$Z414-0)=0,"",INDEX(包装物料出入库明细!$N$4:$N$2003,$Z414-0)),IF($Z414&lt;=4000,IF(INDEX(周转筐出入库明细!$P$4:$P$2004,$Z414-2000)=0,"",INDEX(周转筐出入库明细!$P$4:$P$2004,$Z414-2000)),IF($Z414&lt;=5200,"",IF($Z414&lt;=5800,N(INDEX(次果筐明细!$L$4:$L$603,$Z414-5200))+N(INDEX(次果筐明细!$J$4:$J$603,$Z414-5200)),"")))))</f>
        <v/>
      </c>
      <c r="L414" s="24" t="str">
        <f>IF($Z414="","",IF($Z414&lt;=2000,IF(INDEX(包装物料出入库明细!$P$4:$P$2003,$Z414-0)=0,"",INDEX(包装物料出入库明细!$P$4:$P$2003,$Z414-0)),IF($Z414&lt;=4000,IF(INDEX(周转筐出入库明细!$Q$4:$Q$2004,$Z414-2000)=0,"",INDEX(周转筐出入库明细!$Q$4:$Q$2004,$Z414-2000)),IF($Z414&lt;=5200,"",IF($Z414&lt;=5800,IF(INDEX(次果筐明细!$M$4:$M$603,$Z414-5200)=0,"",INDEX(次果筐明细!$M$4:$M$603,$Z414-5200)),"")))))</f>
        <v/>
      </c>
      <c r="M414" s="37" t="str">
        <f>IF($Z414="","",IF($Z414&lt;=2000,IF(INDEX(包装物料出入库明细!$R$4:$R$2003,$Z414-0)=0,"",INDEX(包装物料出入库明细!$R$4:$R$2003,$Z414-0)),IF($Z414&lt;=4000,IF(INDEX(周转筐出入库明细!$W$4:$W$2004,$Z414-2000)=0,"",INDEX(周转筐出入库明细!$W$4:$W$2004,$Z414-2000)),IF($Z414&lt;=5200,IF(INDEX(客户自备加工筐明细!$L$4:$L$1203,$Z414-4000)=0,"",INDEX(客户自备加工筐明细!$L$4:$L$1203,$Z414-4000)),IF($Z414&lt;=5800,IF(INDEX(次果筐明细!$P$4:$P$603,$Z414-5200)=0,"",INDEX(次果筐明细!$P$4:$P$603,$Z414-5200)),"")))))</f>
        <v/>
      </c>
      <c r="N414" s="16" t="str">
        <f>IF($Z414="","",IF($Z414&lt;=2000,"",IF($Z414&lt;=4000,IF(INDEX(周转筐出入库明细!$D$4:$D$2004,$Z414-2000)=0,"",INDEX(周转筐出入库明细!$D$4:$D$2004,$Z414-2000)),IF($Z414&lt;=5200,IF(INDEX(客户自备加工筐明细!$C$4:$C$1203,$Z414-4000)=0,"",INDEX(客户自备加工筐明细!$C$4:$C$1203,$Z414-4000)),IF($Z414&lt;=5800,IF(INDEX(次果筐明细!$D$4:$D$603,$Z414-5200)=0,"",INDEX(次果筐明细!$D$4:$D$603,$Z414-5200)),"")))))</f>
        <v/>
      </c>
      <c r="O414" s="40" t="str">
        <f>IF($Z414="","",IF($Z414&lt;=2000,"",IF($Z414&lt;=4000,IF(N(INDEX(周转筐出入库明细!$J$4:$J$2004,$Z414-2000))+N(INDEX(周转筐出入库明细!$K$4:$K$2004,$Z414-2000))=0,"",N(INDEX(周转筐出入库明细!$J$4:$J$2004,$Z414-2000))+N(INDEX(周转筐出入库明细!$K$4:$K$2004,$Z414-2000))),IF($Z414&lt;=5200,IF(N(INDEX(客户自备加工筐明细!$G$4:$G$1203,$Z414-4000))=0,"",N(INDEX(客户自备加工筐明细!$G$4:$G$1203,$Z414-4000))),IF($Z414&lt;=5800,IF(ISNUMBER(SEARCH("退",INDEX(次果筐明细!$F$4:$F$603,$Z414-5200)&amp;"")),"",IF(N(INDEX(次果筐明细!$G$4:$G$603,$Z414-5200))=0,"",N(INDEX(次果筐明细!$G$4:$G$603,$Z414-5200)))),"")))))</f>
        <v/>
      </c>
      <c r="P414" s="40" t="str">
        <f>IF($Z414="","",IF($Z414&lt;=2000,"",IF($Z414&lt;=4000,IF(N(INDEX(周转筐出入库明细!$I$4:$I$2004,$Z414-2000))=0,"",N(INDEX(周转筐出入库明细!$I$4:$I$2004,$Z414-2000))),IF($Z414&lt;=5200,"",IF($Z414&lt;=5800,IF(ISNUMBER(SEARCH("退",INDEX(次果筐明细!$F$4:$F$603,$Z414-5200)&amp;"")),IF(N(INDEX(次果筐明细!$G$4:$G$603,$Z414-5200))=0,"",N(INDEX(次果筐明细!$G$4:$G$603,$Z414-5200))),""),"")))))</f>
        <v/>
      </c>
      <c r="Q414" s="40" t="str">
        <f>IF($Z414="","",IF($Z414&lt;=2000,"",IF($Z414&lt;=4000,IF(N(INDEX(周转筐出入库明细!$H$4:$H$2004,$Z414-2000))=0,"",N(INDEX(周转筐出入库明细!$H$4:$H$2004,$Z414-2000))),IF($Z414&lt;=5200,IF(N(INDEX(客户自备加工筐明细!$F$4:$F$1203,$Z414-4000))=0,"",N(INDEX(客户自备加工筐明细!$F$4:$F$1203,$Z414-4000))),IF($Z414&lt;=5800,"","")))))</f>
        <v/>
      </c>
      <c r="R414" s="16" t="str">
        <f>IF($Z414="","",IF($Z414&lt;=2000,IF(INDEX(包装物料出入库明细!$O$4:$O$2003,$Z414-0)=0,"",INDEX(包装物料出入库明细!$O$4:$O$2003,$Z414-0)),IF($Z414&lt;=4000,IF(INDEX(周转筐出入库明细!$M$4:$M$2004,$Z414-2000)=0,"",INDEX(周转筐出入库明细!$M$4:$M$2004,$Z414-2000)),IF($Z414&lt;=5200,IF(INDEX(客户自备加工筐明细!$H$4:$H$1203,$Z414-4000)=0,"",INDEX(客户自备加工筐明细!$H$4:$H$1203,$Z414-4000)),IF($Z414&lt;=5800,IF(INDEX(次果筐明细!$H$4:$H$603,$Z414-5200)=0,"",INDEX(次果筐明细!$H$4:$H$603,$Z414-5200)),"")))))</f>
        <v/>
      </c>
      <c r="S414" s="22" t="str">
        <f t="shared" si="20"/>
        <v/>
      </c>
      <c r="Z414" s="10" t="str">
        <f>IFERROR(MATCH(ROW()-3,_自动清单!$CQ$4:$CQ$5803,0),"")</f>
        <v/>
      </c>
    </row>
    <row r="415" spans="1:26">
      <c r="A415" s="24" t="str">
        <f t="shared" si="18"/>
        <v/>
      </c>
      <c r="B415" s="38" t="str">
        <f>IF($Z415="","",IF($Z415&lt;=2000,IF(INDEX(包装物料出入库明细!$B$4:$B$2003,$Z415-0)=0,"",INDEX(包装物料出入库明细!$B$4:$B$2003,$Z415-0)),IF($Z415&lt;=4000,IF(INDEX(周转筐出入库明细!$B$4:$B$2004,$Z415-2000)=0,"",INDEX(周转筐出入库明细!$B$4:$B$2004,$Z415-2000)),IF($Z415&lt;=5200,IF(INDEX(客户自备加工筐明细!$B$4:$B$1203,$Z415-4000)=0,"",INDEX(客户自备加工筐明细!$B$4:$B$1203,$Z415-4000)),IF($Z415&lt;=5800,IF(INDEX(次果筐明细!$B$4:$B$603,$Z415-5200)=0,"",INDEX(次果筐明细!$B$4:$B$603,$Z415-5200)),"")))))</f>
        <v/>
      </c>
      <c r="C415" s="37" t="str">
        <f>IF($Z415="","",IF($Z415&lt;=2000,IF(INDEX(包装物料出入库明细!$D$4:$D$2003,$Z415-0)=0,"",INDEX(包装物料出入库明细!$D$4:$D$2003,$Z415-0)),IF($Z415&lt;=4000,IF(INDEX(周转筐出入库明细!$C$4:$C$2004,$Z415-2000)=0,"",INDEX(周转筐出入库明细!$C$4:$C$2004,$Z415-2000)),IF($Z415&lt;=5200,IF(INDEX(客户自备加工筐明细!$E$4:$E$1203,$Z415-4000)=0,"",INDEX(客户自备加工筐明细!$E$4:$E$1203,$Z415-4000)),IF($Z415&lt;=5800,IF(INDEX(次果筐明细!$C$4:$C$603,$Z415-5200)=0,"",INDEX(次果筐明细!$C$4:$C$603,$Z415-5200)),"")))))</f>
        <v/>
      </c>
      <c r="D415" s="37" t="str">
        <f>IF($Z415="","",IF($Z415&lt;=2000,"包装物料－"&amp;INDEX(包装物料出入库明细!$H$4:$H$2003,$Z415-0),IF($Z415&lt;=4000,"周转筐－"&amp;INDEX(周转筐出入库明细!$F$4:$F$2004,$Z415-2000),IF($Z415&lt;=5200,"客户自备筐－"&amp;INDEX(客户自备加工筐明细!$J$4:$J$1203,$Z415-4000),IF($Z415&lt;=5800,"次果筐/托盘－"&amp;INDEX(次果筐明细!$F$4:$F$603,$Z415-5200),"")))))</f>
        <v/>
      </c>
      <c r="E415" s="24" t="str">
        <f>IF($Z415="","",IF($Z415&lt;=2000,IF(INDEX(包装物料出入库明细!$C$4:$C$2003,$Z415-0)=0,"",INDEX(包装物料出入库明细!$C$4:$C$2003,$Z415-0)),IF($Z415&lt;=4000,IF(INDEX(周转筐出入库明细!$E$4:$E$2004,$Z415-2000)=0,"",INDEX(周转筐出入库明细!$E$4:$E$2004,$Z415-2000)),IF($Z415&lt;=5200,IF(INDEX(客户自备加工筐明细!$D$4:$D$1203,$Z415-4000)=0,"",INDEX(客户自备加工筐明细!$D$4:$D$1203,$Z415-4000)),IF($Z415&lt;=5800,IF(INDEX(次果筐明细!$E$4:$E$603,$Z415-5200)=0,"",INDEX(次果筐明细!$E$4:$E$603,$Z415-5200)),"")))))</f>
        <v/>
      </c>
      <c r="F415" s="24" t="str">
        <f>IF($Z415="","",IF($Z415&lt;=2000,IF(INDEX(包装物料出入库明细!$E$4:$E$2003,$Z415-0)=0,"",INDEX(包装物料出入库明细!$E$4:$E$2003,$Z415-0)),IF($Z415&lt;=4000,IF(INDEX(周转筐出入库明细!$D$4:$D$2004,$Z415-2000)=0,"",INDEX(周转筐出入库明细!$D$4:$D$2004,$Z415-2000)),IF($Z415&lt;=5200,IF(INDEX(客户自备加工筐明细!$C$4:$C$1203,$Z415-4000)=0,"",INDEX(客户自备加工筐明细!$C$4:$C$1203,$Z415-4000)),IF($Z415&lt;=5800,IF(INDEX(次果筐明细!$D$4:$D$603,$Z415-5200)=0,"",INDEX(次果筐明细!$D$4:$D$603,$Z415-5200)),"")))))</f>
        <v/>
      </c>
      <c r="G415" s="24" t="str">
        <f>IF($Z415="","",IF($Z415&lt;=2000,IF(INDEX(包装物料出入库明细!$F$4:$F$2003,$Z415-0)=0,"",INDEX(包装物料出入库明细!$F$4:$F$2003,$Z415-0)),IF($Z415&lt;=4000,"",IF($Z415&lt;=5200,"",IF($Z415&lt;=5800,"","")))))</f>
        <v/>
      </c>
      <c r="H415" s="39" t="str">
        <f>IF($Z415="","",IF($Z415&lt;=2000,IF(INDEX(包装物料出入库明细!$L$4:$L$2003,$Z415-0)=0,"",INDEX(包装物料出入库明细!$L$4:$L$2003,$Z415-0)),IF($Z415&lt;=4000,N(INDEX(周转筐出入库明细!$H$4:$H$2004,$Z415-2000))+N(INDEX(周转筐出入库明细!$I$4:$I$2004,$Z415-2000))+N(INDEX(周转筐出入库明细!$J$4:$J$2004,$Z415-2000))+N(INDEX(周转筐出入库明细!$K$4:$K$2004,$Z415-2000)),IF($Z415&lt;=5200,N(INDEX(客户自备加工筐明细!$F$4:$F$1203,$Z415-4000))+N(INDEX(客户自备加工筐明细!$G$4:$G$1203,$Z415-4000)),IF($Z415&lt;=5800,IF(INDEX(次果筐明细!$G$4:$G$603,$Z415-5200)=0,"",INDEX(次果筐明细!$G$4:$G$603,$Z415-5200)),"")))))</f>
        <v/>
      </c>
      <c r="I415" s="24" t="str">
        <f>IF($Z415="","",IF($Z415&lt;=2000,IF(INDEX(包装物料出入库明细!$G$4:$G$2003,$Z415-0)=0,"",INDEX(包装物料出入库明细!$G$4:$G$2003,$Z415-0)),IF($Z415&lt;=4000,"个",IF($Z415&lt;=5200,"个",IF($Z415&lt;=5800,"个","")))))</f>
        <v/>
      </c>
      <c r="J415" s="30" t="str">
        <f t="shared" si="19"/>
        <v/>
      </c>
      <c r="K415" s="30" t="str">
        <f>IF($Z415="","",IF($Z415&lt;=2000,IF(INDEX(包装物料出入库明细!$N$4:$N$2003,$Z415-0)=0,"",INDEX(包装物料出入库明细!$N$4:$N$2003,$Z415-0)),IF($Z415&lt;=4000,IF(INDEX(周转筐出入库明细!$P$4:$P$2004,$Z415-2000)=0,"",INDEX(周转筐出入库明细!$P$4:$P$2004,$Z415-2000)),IF($Z415&lt;=5200,"",IF($Z415&lt;=5800,N(INDEX(次果筐明细!$L$4:$L$603,$Z415-5200))+N(INDEX(次果筐明细!$J$4:$J$603,$Z415-5200)),"")))))</f>
        <v/>
      </c>
      <c r="L415" s="24" t="str">
        <f>IF($Z415="","",IF($Z415&lt;=2000,IF(INDEX(包装物料出入库明细!$P$4:$P$2003,$Z415-0)=0,"",INDEX(包装物料出入库明细!$P$4:$P$2003,$Z415-0)),IF($Z415&lt;=4000,IF(INDEX(周转筐出入库明细!$Q$4:$Q$2004,$Z415-2000)=0,"",INDEX(周转筐出入库明细!$Q$4:$Q$2004,$Z415-2000)),IF($Z415&lt;=5200,"",IF($Z415&lt;=5800,IF(INDEX(次果筐明细!$M$4:$M$603,$Z415-5200)=0,"",INDEX(次果筐明细!$M$4:$M$603,$Z415-5200)),"")))))</f>
        <v/>
      </c>
      <c r="M415" s="37" t="str">
        <f>IF($Z415="","",IF($Z415&lt;=2000,IF(INDEX(包装物料出入库明细!$R$4:$R$2003,$Z415-0)=0,"",INDEX(包装物料出入库明细!$R$4:$R$2003,$Z415-0)),IF($Z415&lt;=4000,IF(INDEX(周转筐出入库明细!$W$4:$W$2004,$Z415-2000)=0,"",INDEX(周转筐出入库明细!$W$4:$W$2004,$Z415-2000)),IF($Z415&lt;=5200,IF(INDEX(客户自备加工筐明细!$L$4:$L$1203,$Z415-4000)=0,"",INDEX(客户自备加工筐明细!$L$4:$L$1203,$Z415-4000)),IF($Z415&lt;=5800,IF(INDEX(次果筐明细!$P$4:$P$603,$Z415-5200)=0,"",INDEX(次果筐明细!$P$4:$P$603,$Z415-5200)),"")))))</f>
        <v/>
      </c>
      <c r="N415" s="16" t="str">
        <f>IF($Z415="","",IF($Z415&lt;=2000,"",IF($Z415&lt;=4000,IF(INDEX(周转筐出入库明细!$D$4:$D$2004,$Z415-2000)=0,"",INDEX(周转筐出入库明细!$D$4:$D$2004,$Z415-2000)),IF($Z415&lt;=5200,IF(INDEX(客户自备加工筐明细!$C$4:$C$1203,$Z415-4000)=0,"",INDEX(客户自备加工筐明细!$C$4:$C$1203,$Z415-4000)),IF($Z415&lt;=5800,IF(INDEX(次果筐明细!$D$4:$D$603,$Z415-5200)=0,"",INDEX(次果筐明细!$D$4:$D$603,$Z415-5200)),"")))))</f>
        <v/>
      </c>
      <c r="O415" s="40" t="str">
        <f>IF($Z415="","",IF($Z415&lt;=2000,"",IF($Z415&lt;=4000,IF(N(INDEX(周转筐出入库明细!$J$4:$J$2004,$Z415-2000))+N(INDEX(周转筐出入库明细!$K$4:$K$2004,$Z415-2000))=0,"",N(INDEX(周转筐出入库明细!$J$4:$J$2004,$Z415-2000))+N(INDEX(周转筐出入库明细!$K$4:$K$2004,$Z415-2000))),IF($Z415&lt;=5200,IF(N(INDEX(客户自备加工筐明细!$G$4:$G$1203,$Z415-4000))=0,"",N(INDEX(客户自备加工筐明细!$G$4:$G$1203,$Z415-4000))),IF($Z415&lt;=5800,IF(ISNUMBER(SEARCH("退",INDEX(次果筐明细!$F$4:$F$603,$Z415-5200)&amp;"")),"",IF(N(INDEX(次果筐明细!$G$4:$G$603,$Z415-5200))=0,"",N(INDEX(次果筐明细!$G$4:$G$603,$Z415-5200)))),"")))))</f>
        <v/>
      </c>
      <c r="P415" s="40" t="str">
        <f>IF($Z415="","",IF($Z415&lt;=2000,"",IF($Z415&lt;=4000,IF(N(INDEX(周转筐出入库明细!$I$4:$I$2004,$Z415-2000))=0,"",N(INDEX(周转筐出入库明细!$I$4:$I$2004,$Z415-2000))),IF($Z415&lt;=5200,"",IF($Z415&lt;=5800,IF(ISNUMBER(SEARCH("退",INDEX(次果筐明细!$F$4:$F$603,$Z415-5200)&amp;"")),IF(N(INDEX(次果筐明细!$G$4:$G$603,$Z415-5200))=0,"",N(INDEX(次果筐明细!$G$4:$G$603,$Z415-5200))),""),"")))))</f>
        <v/>
      </c>
      <c r="Q415" s="40" t="str">
        <f>IF($Z415="","",IF($Z415&lt;=2000,"",IF($Z415&lt;=4000,IF(N(INDEX(周转筐出入库明细!$H$4:$H$2004,$Z415-2000))=0,"",N(INDEX(周转筐出入库明细!$H$4:$H$2004,$Z415-2000))),IF($Z415&lt;=5200,IF(N(INDEX(客户自备加工筐明细!$F$4:$F$1203,$Z415-4000))=0,"",N(INDEX(客户自备加工筐明细!$F$4:$F$1203,$Z415-4000))),IF($Z415&lt;=5800,"","")))))</f>
        <v/>
      </c>
      <c r="R415" s="16" t="str">
        <f>IF($Z415="","",IF($Z415&lt;=2000,IF(INDEX(包装物料出入库明细!$O$4:$O$2003,$Z415-0)=0,"",INDEX(包装物料出入库明细!$O$4:$O$2003,$Z415-0)),IF($Z415&lt;=4000,IF(INDEX(周转筐出入库明细!$M$4:$M$2004,$Z415-2000)=0,"",INDEX(周转筐出入库明细!$M$4:$M$2004,$Z415-2000)),IF($Z415&lt;=5200,IF(INDEX(客户自备加工筐明细!$H$4:$H$1203,$Z415-4000)=0,"",INDEX(客户自备加工筐明细!$H$4:$H$1203,$Z415-4000)),IF($Z415&lt;=5800,IF(INDEX(次果筐明细!$H$4:$H$603,$Z415-5200)=0,"",INDEX(次果筐明细!$H$4:$H$603,$Z415-5200)),"")))))</f>
        <v/>
      </c>
      <c r="S415" s="22" t="str">
        <f t="shared" si="20"/>
        <v/>
      </c>
      <c r="Z415" s="10" t="str">
        <f>IFERROR(MATCH(ROW()-3,_自动清单!$CQ$4:$CQ$5803,0),"")</f>
        <v/>
      </c>
    </row>
    <row r="416" spans="1:26">
      <c r="A416" s="24" t="str">
        <f t="shared" si="18"/>
        <v/>
      </c>
      <c r="B416" s="38" t="str">
        <f>IF($Z416="","",IF($Z416&lt;=2000,IF(INDEX(包装物料出入库明细!$B$4:$B$2003,$Z416-0)=0,"",INDEX(包装物料出入库明细!$B$4:$B$2003,$Z416-0)),IF($Z416&lt;=4000,IF(INDEX(周转筐出入库明细!$B$4:$B$2004,$Z416-2000)=0,"",INDEX(周转筐出入库明细!$B$4:$B$2004,$Z416-2000)),IF($Z416&lt;=5200,IF(INDEX(客户自备加工筐明细!$B$4:$B$1203,$Z416-4000)=0,"",INDEX(客户自备加工筐明细!$B$4:$B$1203,$Z416-4000)),IF($Z416&lt;=5800,IF(INDEX(次果筐明细!$B$4:$B$603,$Z416-5200)=0,"",INDEX(次果筐明细!$B$4:$B$603,$Z416-5200)),"")))))</f>
        <v/>
      </c>
      <c r="C416" s="37" t="str">
        <f>IF($Z416="","",IF($Z416&lt;=2000,IF(INDEX(包装物料出入库明细!$D$4:$D$2003,$Z416-0)=0,"",INDEX(包装物料出入库明细!$D$4:$D$2003,$Z416-0)),IF($Z416&lt;=4000,IF(INDEX(周转筐出入库明细!$C$4:$C$2004,$Z416-2000)=0,"",INDEX(周转筐出入库明细!$C$4:$C$2004,$Z416-2000)),IF($Z416&lt;=5200,IF(INDEX(客户自备加工筐明细!$E$4:$E$1203,$Z416-4000)=0,"",INDEX(客户自备加工筐明细!$E$4:$E$1203,$Z416-4000)),IF($Z416&lt;=5800,IF(INDEX(次果筐明细!$C$4:$C$603,$Z416-5200)=0,"",INDEX(次果筐明细!$C$4:$C$603,$Z416-5200)),"")))))</f>
        <v/>
      </c>
      <c r="D416" s="37" t="str">
        <f>IF($Z416="","",IF($Z416&lt;=2000,"包装物料－"&amp;INDEX(包装物料出入库明细!$H$4:$H$2003,$Z416-0),IF($Z416&lt;=4000,"周转筐－"&amp;INDEX(周转筐出入库明细!$F$4:$F$2004,$Z416-2000),IF($Z416&lt;=5200,"客户自备筐－"&amp;INDEX(客户自备加工筐明细!$J$4:$J$1203,$Z416-4000),IF($Z416&lt;=5800,"次果筐/托盘－"&amp;INDEX(次果筐明细!$F$4:$F$603,$Z416-5200),"")))))</f>
        <v/>
      </c>
      <c r="E416" s="24" t="str">
        <f>IF($Z416="","",IF($Z416&lt;=2000,IF(INDEX(包装物料出入库明细!$C$4:$C$2003,$Z416-0)=0,"",INDEX(包装物料出入库明细!$C$4:$C$2003,$Z416-0)),IF($Z416&lt;=4000,IF(INDEX(周转筐出入库明细!$E$4:$E$2004,$Z416-2000)=0,"",INDEX(周转筐出入库明细!$E$4:$E$2004,$Z416-2000)),IF($Z416&lt;=5200,IF(INDEX(客户自备加工筐明细!$D$4:$D$1203,$Z416-4000)=0,"",INDEX(客户自备加工筐明细!$D$4:$D$1203,$Z416-4000)),IF($Z416&lt;=5800,IF(INDEX(次果筐明细!$E$4:$E$603,$Z416-5200)=0,"",INDEX(次果筐明细!$E$4:$E$603,$Z416-5200)),"")))))</f>
        <v/>
      </c>
      <c r="F416" s="24" t="str">
        <f>IF($Z416="","",IF($Z416&lt;=2000,IF(INDEX(包装物料出入库明细!$E$4:$E$2003,$Z416-0)=0,"",INDEX(包装物料出入库明细!$E$4:$E$2003,$Z416-0)),IF($Z416&lt;=4000,IF(INDEX(周转筐出入库明细!$D$4:$D$2004,$Z416-2000)=0,"",INDEX(周转筐出入库明细!$D$4:$D$2004,$Z416-2000)),IF($Z416&lt;=5200,IF(INDEX(客户自备加工筐明细!$C$4:$C$1203,$Z416-4000)=0,"",INDEX(客户自备加工筐明细!$C$4:$C$1203,$Z416-4000)),IF($Z416&lt;=5800,IF(INDEX(次果筐明细!$D$4:$D$603,$Z416-5200)=0,"",INDEX(次果筐明细!$D$4:$D$603,$Z416-5200)),"")))))</f>
        <v/>
      </c>
      <c r="G416" s="24" t="str">
        <f>IF($Z416="","",IF($Z416&lt;=2000,IF(INDEX(包装物料出入库明细!$F$4:$F$2003,$Z416-0)=0,"",INDEX(包装物料出入库明细!$F$4:$F$2003,$Z416-0)),IF($Z416&lt;=4000,"",IF($Z416&lt;=5200,"",IF($Z416&lt;=5800,"","")))))</f>
        <v/>
      </c>
      <c r="H416" s="39" t="str">
        <f>IF($Z416="","",IF($Z416&lt;=2000,IF(INDEX(包装物料出入库明细!$L$4:$L$2003,$Z416-0)=0,"",INDEX(包装物料出入库明细!$L$4:$L$2003,$Z416-0)),IF($Z416&lt;=4000,N(INDEX(周转筐出入库明细!$H$4:$H$2004,$Z416-2000))+N(INDEX(周转筐出入库明细!$I$4:$I$2004,$Z416-2000))+N(INDEX(周转筐出入库明细!$J$4:$J$2004,$Z416-2000))+N(INDEX(周转筐出入库明细!$K$4:$K$2004,$Z416-2000)),IF($Z416&lt;=5200,N(INDEX(客户自备加工筐明细!$F$4:$F$1203,$Z416-4000))+N(INDEX(客户自备加工筐明细!$G$4:$G$1203,$Z416-4000)),IF($Z416&lt;=5800,IF(INDEX(次果筐明细!$G$4:$G$603,$Z416-5200)=0,"",INDEX(次果筐明细!$G$4:$G$603,$Z416-5200)),"")))))</f>
        <v/>
      </c>
      <c r="I416" s="24" t="str">
        <f>IF($Z416="","",IF($Z416&lt;=2000,IF(INDEX(包装物料出入库明细!$G$4:$G$2003,$Z416-0)=0,"",INDEX(包装物料出入库明细!$G$4:$G$2003,$Z416-0)),IF($Z416&lt;=4000,"个",IF($Z416&lt;=5200,"个",IF($Z416&lt;=5800,"个","")))))</f>
        <v/>
      </c>
      <c r="J416" s="30" t="str">
        <f t="shared" si="19"/>
        <v/>
      </c>
      <c r="K416" s="30" t="str">
        <f>IF($Z416="","",IF($Z416&lt;=2000,IF(INDEX(包装物料出入库明细!$N$4:$N$2003,$Z416-0)=0,"",INDEX(包装物料出入库明细!$N$4:$N$2003,$Z416-0)),IF($Z416&lt;=4000,IF(INDEX(周转筐出入库明细!$P$4:$P$2004,$Z416-2000)=0,"",INDEX(周转筐出入库明细!$P$4:$P$2004,$Z416-2000)),IF($Z416&lt;=5200,"",IF($Z416&lt;=5800,N(INDEX(次果筐明细!$L$4:$L$603,$Z416-5200))+N(INDEX(次果筐明细!$J$4:$J$603,$Z416-5200)),"")))))</f>
        <v/>
      </c>
      <c r="L416" s="24" t="str">
        <f>IF($Z416="","",IF($Z416&lt;=2000,IF(INDEX(包装物料出入库明细!$P$4:$P$2003,$Z416-0)=0,"",INDEX(包装物料出入库明细!$P$4:$P$2003,$Z416-0)),IF($Z416&lt;=4000,IF(INDEX(周转筐出入库明细!$Q$4:$Q$2004,$Z416-2000)=0,"",INDEX(周转筐出入库明细!$Q$4:$Q$2004,$Z416-2000)),IF($Z416&lt;=5200,"",IF($Z416&lt;=5800,IF(INDEX(次果筐明细!$M$4:$M$603,$Z416-5200)=0,"",INDEX(次果筐明细!$M$4:$M$603,$Z416-5200)),"")))))</f>
        <v/>
      </c>
      <c r="M416" s="37" t="str">
        <f>IF($Z416="","",IF($Z416&lt;=2000,IF(INDEX(包装物料出入库明细!$R$4:$R$2003,$Z416-0)=0,"",INDEX(包装物料出入库明细!$R$4:$R$2003,$Z416-0)),IF($Z416&lt;=4000,IF(INDEX(周转筐出入库明细!$W$4:$W$2004,$Z416-2000)=0,"",INDEX(周转筐出入库明细!$W$4:$W$2004,$Z416-2000)),IF($Z416&lt;=5200,IF(INDEX(客户自备加工筐明细!$L$4:$L$1203,$Z416-4000)=0,"",INDEX(客户自备加工筐明细!$L$4:$L$1203,$Z416-4000)),IF($Z416&lt;=5800,IF(INDEX(次果筐明细!$P$4:$P$603,$Z416-5200)=0,"",INDEX(次果筐明细!$P$4:$P$603,$Z416-5200)),"")))))</f>
        <v/>
      </c>
      <c r="N416" s="16" t="str">
        <f>IF($Z416="","",IF($Z416&lt;=2000,"",IF($Z416&lt;=4000,IF(INDEX(周转筐出入库明细!$D$4:$D$2004,$Z416-2000)=0,"",INDEX(周转筐出入库明细!$D$4:$D$2004,$Z416-2000)),IF($Z416&lt;=5200,IF(INDEX(客户自备加工筐明细!$C$4:$C$1203,$Z416-4000)=0,"",INDEX(客户自备加工筐明细!$C$4:$C$1203,$Z416-4000)),IF($Z416&lt;=5800,IF(INDEX(次果筐明细!$D$4:$D$603,$Z416-5200)=0,"",INDEX(次果筐明细!$D$4:$D$603,$Z416-5200)),"")))))</f>
        <v/>
      </c>
      <c r="O416" s="40" t="str">
        <f>IF($Z416="","",IF($Z416&lt;=2000,"",IF($Z416&lt;=4000,IF(N(INDEX(周转筐出入库明细!$J$4:$J$2004,$Z416-2000))+N(INDEX(周转筐出入库明细!$K$4:$K$2004,$Z416-2000))=0,"",N(INDEX(周转筐出入库明细!$J$4:$J$2004,$Z416-2000))+N(INDEX(周转筐出入库明细!$K$4:$K$2004,$Z416-2000))),IF($Z416&lt;=5200,IF(N(INDEX(客户自备加工筐明细!$G$4:$G$1203,$Z416-4000))=0,"",N(INDEX(客户自备加工筐明细!$G$4:$G$1203,$Z416-4000))),IF($Z416&lt;=5800,IF(ISNUMBER(SEARCH("退",INDEX(次果筐明细!$F$4:$F$603,$Z416-5200)&amp;"")),"",IF(N(INDEX(次果筐明细!$G$4:$G$603,$Z416-5200))=0,"",N(INDEX(次果筐明细!$G$4:$G$603,$Z416-5200)))),"")))))</f>
        <v/>
      </c>
      <c r="P416" s="40" t="str">
        <f>IF($Z416="","",IF($Z416&lt;=2000,"",IF($Z416&lt;=4000,IF(N(INDEX(周转筐出入库明细!$I$4:$I$2004,$Z416-2000))=0,"",N(INDEX(周转筐出入库明细!$I$4:$I$2004,$Z416-2000))),IF($Z416&lt;=5200,"",IF($Z416&lt;=5800,IF(ISNUMBER(SEARCH("退",INDEX(次果筐明细!$F$4:$F$603,$Z416-5200)&amp;"")),IF(N(INDEX(次果筐明细!$G$4:$G$603,$Z416-5200))=0,"",N(INDEX(次果筐明细!$G$4:$G$603,$Z416-5200))),""),"")))))</f>
        <v/>
      </c>
      <c r="Q416" s="40" t="str">
        <f>IF($Z416="","",IF($Z416&lt;=2000,"",IF($Z416&lt;=4000,IF(N(INDEX(周转筐出入库明细!$H$4:$H$2004,$Z416-2000))=0,"",N(INDEX(周转筐出入库明细!$H$4:$H$2004,$Z416-2000))),IF($Z416&lt;=5200,IF(N(INDEX(客户自备加工筐明细!$F$4:$F$1203,$Z416-4000))=0,"",N(INDEX(客户自备加工筐明细!$F$4:$F$1203,$Z416-4000))),IF($Z416&lt;=5800,"","")))))</f>
        <v/>
      </c>
      <c r="R416" s="16" t="str">
        <f>IF($Z416="","",IF($Z416&lt;=2000,IF(INDEX(包装物料出入库明细!$O$4:$O$2003,$Z416-0)=0,"",INDEX(包装物料出入库明细!$O$4:$O$2003,$Z416-0)),IF($Z416&lt;=4000,IF(INDEX(周转筐出入库明细!$M$4:$M$2004,$Z416-2000)=0,"",INDEX(周转筐出入库明细!$M$4:$M$2004,$Z416-2000)),IF($Z416&lt;=5200,IF(INDEX(客户自备加工筐明细!$H$4:$H$1203,$Z416-4000)=0,"",INDEX(客户自备加工筐明细!$H$4:$H$1203,$Z416-4000)),IF($Z416&lt;=5800,IF(INDEX(次果筐明细!$H$4:$H$603,$Z416-5200)=0,"",INDEX(次果筐明细!$H$4:$H$603,$Z416-5200)),"")))))</f>
        <v/>
      </c>
      <c r="S416" s="22" t="str">
        <f t="shared" si="20"/>
        <v/>
      </c>
      <c r="Z416" s="10" t="str">
        <f>IFERROR(MATCH(ROW()-3,_自动清单!$CQ$4:$CQ$5803,0),"")</f>
        <v/>
      </c>
    </row>
    <row r="417" spans="1:26">
      <c r="A417" s="24" t="str">
        <f t="shared" si="18"/>
        <v/>
      </c>
      <c r="B417" s="38" t="str">
        <f>IF($Z417="","",IF($Z417&lt;=2000,IF(INDEX(包装物料出入库明细!$B$4:$B$2003,$Z417-0)=0,"",INDEX(包装物料出入库明细!$B$4:$B$2003,$Z417-0)),IF($Z417&lt;=4000,IF(INDEX(周转筐出入库明细!$B$4:$B$2004,$Z417-2000)=0,"",INDEX(周转筐出入库明细!$B$4:$B$2004,$Z417-2000)),IF($Z417&lt;=5200,IF(INDEX(客户自备加工筐明细!$B$4:$B$1203,$Z417-4000)=0,"",INDEX(客户自备加工筐明细!$B$4:$B$1203,$Z417-4000)),IF($Z417&lt;=5800,IF(INDEX(次果筐明细!$B$4:$B$603,$Z417-5200)=0,"",INDEX(次果筐明细!$B$4:$B$603,$Z417-5200)),"")))))</f>
        <v/>
      </c>
      <c r="C417" s="37" t="str">
        <f>IF($Z417="","",IF($Z417&lt;=2000,IF(INDEX(包装物料出入库明细!$D$4:$D$2003,$Z417-0)=0,"",INDEX(包装物料出入库明细!$D$4:$D$2003,$Z417-0)),IF($Z417&lt;=4000,IF(INDEX(周转筐出入库明细!$C$4:$C$2004,$Z417-2000)=0,"",INDEX(周转筐出入库明细!$C$4:$C$2004,$Z417-2000)),IF($Z417&lt;=5200,IF(INDEX(客户自备加工筐明细!$E$4:$E$1203,$Z417-4000)=0,"",INDEX(客户自备加工筐明细!$E$4:$E$1203,$Z417-4000)),IF($Z417&lt;=5800,IF(INDEX(次果筐明细!$C$4:$C$603,$Z417-5200)=0,"",INDEX(次果筐明细!$C$4:$C$603,$Z417-5200)),"")))))</f>
        <v/>
      </c>
      <c r="D417" s="37" t="str">
        <f>IF($Z417="","",IF($Z417&lt;=2000,"包装物料－"&amp;INDEX(包装物料出入库明细!$H$4:$H$2003,$Z417-0),IF($Z417&lt;=4000,"周转筐－"&amp;INDEX(周转筐出入库明细!$F$4:$F$2004,$Z417-2000),IF($Z417&lt;=5200,"客户自备筐－"&amp;INDEX(客户自备加工筐明细!$J$4:$J$1203,$Z417-4000),IF($Z417&lt;=5800,"次果筐/托盘－"&amp;INDEX(次果筐明细!$F$4:$F$603,$Z417-5200),"")))))</f>
        <v/>
      </c>
      <c r="E417" s="24" t="str">
        <f>IF($Z417="","",IF($Z417&lt;=2000,IF(INDEX(包装物料出入库明细!$C$4:$C$2003,$Z417-0)=0,"",INDEX(包装物料出入库明细!$C$4:$C$2003,$Z417-0)),IF($Z417&lt;=4000,IF(INDEX(周转筐出入库明细!$E$4:$E$2004,$Z417-2000)=0,"",INDEX(周转筐出入库明细!$E$4:$E$2004,$Z417-2000)),IF($Z417&lt;=5200,IF(INDEX(客户自备加工筐明细!$D$4:$D$1203,$Z417-4000)=0,"",INDEX(客户自备加工筐明细!$D$4:$D$1203,$Z417-4000)),IF($Z417&lt;=5800,IF(INDEX(次果筐明细!$E$4:$E$603,$Z417-5200)=0,"",INDEX(次果筐明细!$E$4:$E$603,$Z417-5200)),"")))))</f>
        <v/>
      </c>
      <c r="F417" s="24" t="str">
        <f>IF($Z417="","",IF($Z417&lt;=2000,IF(INDEX(包装物料出入库明细!$E$4:$E$2003,$Z417-0)=0,"",INDEX(包装物料出入库明细!$E$4:$E$2003,$Z417-0)),IF($Z417&lt;=4000,IF(INDEX(周转筐出入库明细!$D$4:$D$2004,$Z417-2000)=0,"",INDEX(周转筐出入库明细!$D$4:$D$2004,$Z417-2000)),IF($Z417&lt;=5200,IF(INDEX(客户自备加工筐明细!$C$4:$C$1203,$Z417-4000)=0,"",INDEX(客户自备加工筐明细!$C$4:$C$1203,$Z417-4000)),IF($Z417&lt;=5800,IF(INDEX(次果筐明细!$D$4:$D$603,$Z417-5200)=0,"",INDEX(次果筐明细!$D$4:$D$603,$Z417-5200)),"")))))</f>
        <v/>
      </c>
      <c r="G417" s="24" t="str">
        <f>IF($Z417="","",IF($Z417&lt;=2000,IF(INDEX(包装物料出入库明细!$F$4:$F$2003,$Z417-0)=0,"",INDEX(包装物料出入库明细!$F$4:$F$2003,$Z417-0)),IF($Z417&lt;=4000,"",IF($Z417&lt;=5200,"",IF($Z417&lt;=5800,"","")))))</f>
        <v/>
      </c>
      <c r="H417" s="39" t="str">
        <f>IF($Z417="","",IF($Z417&lt;=2000,IF(INDEX(包装物料出入库明细!$L$4:$L$2003,$Z417-0)=0,"",INDEX(包装物料出入库明细!$L$4:$L$2003,$Z417-0)),IF($Z417&lt;=4000,N(INDEX(周转筐出入库明细!$H$4:$H$2004,$Z417-2000))+N(INDEX(周转筐出入库明细!$I$4:$I$2004,$Z417-2000))+N(INDEX(周转筐出入库明细!$J$4:$J$2004,$Z417-2000))+N(INDEX(周转筐出入库明细!$K$4:$K$2004,$Z417-2000)),IF($Z417&lt;=5200,N(INDEX(客户自备加工筐明细!$F$4:$F$1203,$Z417-4000))+N(INDEX(客户自备加工筐明细!$G$4:$G$1203,$Z417-4000)),IF($Z417&lt;=5800,IF(INDEX(次果筐明细!$G$4:$G$603,$Z417-5200)=0,"",INDEX(次果筐明细!$G$4:$G$603,$Z417-5200)),"")))))</f>
        <v/>
      </c>
      <c r="I417" s="24" t="str">
        <f>IF($Z417="","",IF($Z417&lt;=2000,IF(INDEX(包装物料出入库明细!$G$4:$G$2003,$Z417-0)=0,"",INDEX(包装物料出入库明细!$G$4:$G$2003,$Z417-0)),IF($Z417&lt;=4000,"个",IF($Z417&lt;=5200,"个",IF($Z417&lt;=5800,"个","")))))</f>
        <v/>
      </c>
      <c r="J417" s="30" t="str">
        <f t="shared" si="19"/>
        <v/>
      </c>
      <c r="K417" s="30" t="str">
        <f>IF($Z417="","",IF($Z417&lt;=2000,IF(INDEX(包装物料出入库明细!$N$4:$N$2003,$Z417-0)=0,"",INDEX(包装物料出入库明细!$N$4:$N$2003,$Z417-0)),IF($Z417&lt;=4000,IF(INDEX(周转筐出入库明细!$P$4:$P$2004,$Z417-2000)=0,"",INDEX(周转筐出入库明细!$P$4:$P$2004,$Z417-2000)),IF($Z417&lt;=5200,"",IF($Z417&lt;=5800,N(INDEX(次果筐明细!$L$4:$L$603,$Z417-5200))+N(INDEX(次果筐明细!$J$4:$J$603,$Z417-5200)),"")))))</f>
        <v/>
      </c>
      <c r="L417" s="24" t="str">
        <f>IF($Z417="","",IF($Z417&lt;=2000,IF(INDEX(包装物料出入库明细!$P$4:$P$2003,$Z417-0)=0,"",INDEX(包装物料出入库明细!$P$4:$P$2003,$Z417-0)),IF($Z417&lt;=4000,IF(INDEX(周转筐出入库明细!$Q$4:$Q$2004,$Z417-2000)=0,"",INDEX(周转筐出入库明细!$Q$4:$Q$2004,$Z417-2000)),IF($Z417&lt;=5200,"",IF($Z417&lt;=5800,IF(INDEX(次果筐明细!$M$4:$M$603,$Z417-5200)=0,"",INDEX(次果筐明细!$M$4:$M$603,$Z417-5200)),"")))))</f>
        <v/>
      </c>
      <c r="M417" s="37" t="str">
        <f>IF($Z417="","",IF($Z417&lt;=2000,IF(INDEX(包装物料出入库明细!$R$4:$R$2003,$Z417-0)=0,"",INDEX(包装物料出入库明细!$R$4:$R$2003,$Z417-0)),IF($Z417&lt;=4000,IF(INDEX(周转筐出入库明细!$W$4:$W$2004,$Z417-2000)=0,"",INDEX(周转筐出入库明细!$W$4:$W$2004,$Z417-2000)),IF($Z417&lt;=5200,IF(INDEX(客户自备加工筐明细!$L$4:$L$1203,$Z417-4000)=0,"",INDEX(客户自备加工筐明细!$L$4:$L$1203,$Z417-4000)),IF($Z417&lt;=5800,IF(INDEX(次果筐明细!$P$4:$P$603,$Z417-5200)=0,"",INDEX(次果筐明细!$P$4:$P$603,$Z417-5200)),"")))))</f>
        <v/>
      </c>
      <c r="N417" s="16" t="str">
        <f>IF($Z417="","",IF($Z417&lt;=2000,"",IF($Z417&lt;=4000,IF(INDEX(周转筐出入库明细!$D$4:$D$2004,$Z417-2000)=0,"",INDEX(周转筐出入库明细!$D$4:$D$2004,$Z417-2000)),IF($Z417&lt;=5200,IF(INDEX(客户自备加工筐明细!$C$4:$C$1203,$Z417-4000)=0,"",INDEX(客户自备加工筐明细!$C$4:$C$1203,$Z417-4000)),IF($Z417&lt;=5800,IF(INDEX(次果筐明细!$D$4:$D$603,$Z417-5200)=0,"",INDEX(次果筐明细!$D$4:$D$603,$Z417-5200)),"")))))</f>
        <v/>
      </c>
      <c r="O417" s="40" t="str">
        <f>IF($Z417="","",IF($Z417&lt;=2000,"",IF($Z417&lt;=4000,IF(N(INDEX(周转筐出入库明细!$J$4:$J$2004,$Z417-2000))+N(INDEX(周转筐出入库明细!$K$4:$K$2004,$Z417-2000))=0,"",N(INDEX(周转筐出入库明细!$J$4:$J$2004,$Z417-2000))+N(INDEX(周转筐出入库明细!$K$4:$K$2004,$Z417-2000))),IF($Z417&lt;=5200,IF(N(INDEX(客户自备加工筐明细!$G$4:$G$1203,$Z417-4000))=0,"",N(INDEX(客户自备加工筐明细!$G$4:$G$1203,$Z417-4000))),IF($Z417&lt;=5800,IF(ISNUMBER(SEARCH("退",INDEX(次果筐明细!$F$4:$F$603,$Z417-5200)&amp;"")),"",IF(N(INDEX(次果筐明细!$G$4:$G$603,$Z417-5200))=0,"",N(INDEX(次果筐明细!$G$4:$G$603,$Z417-5200)))),"")))))</f>
        <v/>
      </c>
      <c r="P417" s="40" t="str">
        <f>IF($Z417="","",IF($Z417&lt;=2000,"",IF($Z417&lt;=4000,IF(N(INDEX(周转筐出入库明细!$I$4:$I$2004,$Z417-2000))=0,"",N(INDEX(周转筐出入库明细!$I$4:$I$2004,$Z417-2000))),IF($Z417&lt;=5200,"",IF($Z417&lt;=5800,IF(ISNUMBER(SEARCH("退",INDEX(次果筐明细!$F$4:$F$603,$Z417-5200)&amp;"")),IF(N(INDEX(次果筐明细!$G$4:$G$603,$Z417-5200))=0,"",N(INDEX(次果筐明细!$G$4:$G$603,$Z417-5200))),""),"")))))</f>
        <v/>
      </c>
      <c r="Q417" s="40" t="str">
        <f>IF($Z417="","",IF($Z417&lt;=2000,"",IF($Z417&lt;=4000,IF(N(INDEX(周转筐出入库明细!$H$4:$H$2004,$Z417-2000))=0,"",N(INDEX(周转筐出入库明细!$H$4:$H$2004,$Z417-2000))),IF($Z417&lt;=5200,IF(N(INDEX(客户自备加工筐明细!$F$4:$F$1203,$Z417-4000))=0,"",N(INDEX(客户自备加工筐明细!$F$4:$F$1203,$Z417-4000))),IF($Z417&lt;=5800,"","")))))</f>
        <v/>
      </c>
      <c r="R417" s="16" t="str">
        <f>IF($Z417="","",IF($Z417&lt;=2000,IF(INDEX(包装物料出入库明细!$O$4:$O$2003,$Z417-0)=0,"",INDEX(包装物料出入库明细!$O$4:$O$2003,$Z417-0)),IF($Z417&lt;=4000,IF(INDEX(周转筐出入库明细!$M$4:$M$2004,$Z417-2000)=0,"",INDEX(周转筐出入库明细!$M$4:$M$2004,$Z417-2000)),IF($Z417&lt;=5200,IF(INDEX(客户自备加工筐明细!$H$4:$H$1203,$Z417-4000)=0,"",INDEX(客户自备加工筐明细!$H$4:$H$1203,$Z417-4000)),IF($Z417&lt;=5800,IF(INDEX(次果筐明细!$H$4:$H$603,$Z417-5200)=0,"",INDEX(次果筐明细!$H$4:$H$603,$Z417-5200)),"")))))</f>
        <v/>
      </c>
      <c r="S417" s="22" t="str">
        <f t="shared" si="20"/>
        <v/>
      </c>
      <c r="Z417" s="10" t="str">
        <f>IFERROR(MATCH(ROW()-3,_自动清单!$CQ$4:$CQ$5803,0),"")</f>
        <v/>
      </c>
    </row>
    <row r="418" spans="1:26">
      <c r="A418" s="24" t="str">
        <f t="shared" si="18"/>
        <v/>
      </c>
      <c r="B418" s="38" t="str">
        <f>IF($Z418="","",IF($Z418&lt;=2000,IF(INDEX(包装物料出入库明细!$B$4:$B$2003,$Z418-0)=0,"",INDEX(包装物料出入库明细!$B$4:$B$2003,$Z418-0)),IF($Z418&lt;=4000,IF(INDEX(周转筐出入库明细!$B$4:$B$2004,$Z418-2000)=0,"",INDEX(周转筐出入库明细!$B$4:$B$2004,$Z418-2000)),IF($Z418&lt;=5200,IF(INDEX(客户自备加工筐明细!$B$4:$B$1203,$Z418-4000)=0,"",INDEX(客户自备加工筐明细!$B$4:$B$1203,$Z418-4000)),IF($Z418&lt;=5800,IF(INDEX(次果筐明细!$B$4:$B$603,$Z418-5200)=0,"",INDEX(次果筐明细!$B$4:$B$603,$Z418-5200)),"")))))</f>
        <v/>
      </c>
      <c r="C418" s="37" t="str">
        <f>IF($Z418="","",IF($Z418&lt;=2000,IF(INDEX(包装物料出入库明细!$D$4:$D$2003,$Z418-0)=0,"",INDEX(包装物料出入库明细!$D$4:$D$2003,$Z418-0)),IF($Z418&lt;=4000,IF(INDEX(周转筐出入库明细!$C$4:$C$2004,$Z418-2000)=0,"",INDEX(周转筐出入库明细!$C$4:$C$2004,$Z418-2000)),IF($Z418&lt;=5200,IF(INDEX(客户自备加工筐明细!$E$4:$E$1203,$Z418-4000)=0,"",INDEX(客户自备加工筐明细!$E$4:$E$1203,$Z418-4000)),IF($Z418&lt;=5800,IF(INDEX(次果筐明细!$C$4:$C$603,$Z418-5200)=0,"",INDEX(次果筐明细!$C$4:$C$603,$Z418-5200)),"")))))</f>
        <v/>
      </c>
      <c r="D418" s="37" t="str">
        <f>IF($Z418="","",IF($Z418&lt;=2000,"包装物料－"&amp;INDEX(包装物料出入库明细!$H$4:$H$2003,$Z418-0),IF($Z418&lt;=4000,"周转筐－"&amp;INDEX(周转筐出入库明细!$F$4:$F$2004,$Z418-2000),IF($Z418&lt;=5200,"客户自备筐－"&amp;INDEX(客户自备加工筐明细!$J$4:$J$1203,$Z418-4000),IF($Z418&lt;=5800,"次果筐/托盘－"&amp;INDEX(次果筐明细!$F$4:$F$603,$Z418-5200),"")))))</f>
        <v/>
      </c>
      <c r="E418" s="24" t="str">
        <f>IF($Z418="","",IF($Z418&lt;=2000,IF(INDEX(包装物料出入库明细!$C$4:$C$2003,$Z418-0)=0,"",INDEX(包装物料出入库明细!$C$4:$C$2003,$Z418-0)),IF($Z418&lt;=4000,IF(INDEX(周转筐出入库明细!$E$4:$E$2004,$Z418-2000)=0,"",INDEX(周转筐出入库明细!$E$4:$E$2004,$Z418-2000)),IF($Z418&lt;=5200,IF(INDEX(客户自备加工筐明细!$D$4:$D$1203,$Z418-4000)=0,"",INDEX(客户自备加工筐明细!$D$4:$D$1203,$Z418-4000)),IF($Z418&lt;=5800,IF(INDEX(次果筐明细!$E$4:$E$603,$Z418-5200)=0,"",INDEX(次果筐明细!$E$4:$E$603,$Z418-5200)),"")))))</f>
        <v/>
      </c>
      <c r="F418" s="24" t="str">
        <f>IF($Z418="","",IF($Z418&lt;=2000,IF(INDEX(包装物料出入库明细!$E$4:$E$2003,$Z418-0)=0,"",INDEX(包装物料出入库明细!$E$4:$E$2003,$Z418-0)),IF($Z418&lt;=4000,IF(INDEX(周转筐出入库明细!$D$4:$D$2004,$Z418-2000)=0,"",INDEX(周转筐出入库明细!$D$4:$D$2004,$Z418-2000)),IF($Z418&lt;=5200,IF(INDEX(客户自备加工筐明细!$C$4:$C$1203,$Z418-4000)=0,"",INDEX(客户自备加工筐明细!$C$4:$C$1203,$Z418-4000)),IF($Z418&lt;=5800,IF(INDEX(次果筐明细!$D$4:$D$603,$Z418-5200)=0,"",INDEX(次果筐明细!$D$4:$D$603,$Z418-5200)),"")))))</f>
        <v/>
      </c>
      <c r="G418" s="24" t="str">
        <f>IF($Z418="","",IF($Z418&lt;=2000,IF(INDEX(包装物料出入库明细!$F$4:$F$2003,$Z418-0)=0,"",INDEX(包装物料出入库明细!$F$4:$F$2003,$Z418-0)),IF($Z418&lt;=4000,"",IF($Z418&lt;=5200,"",IF($Z418&lt;=5800,"","")))))</f>
        <v/>
      </c>
      <c r="H418" s="39" t="str">
        <f>IF($Z418="","",IF($Z418&lt;=2000,IF(INDEX(包装物料出入库明细!$L$4:$L$2003,$Z418-0)=0,"",INDEX(包装物料出入库明细!$L$4:$L$2003,$Z418-0)),IF($Z418&lt;=4000,N(INDEX(周转筐出入库明细!$H$4:$H$2004,$Z418-2000))+N(INDEX(周转筐出入库明细!$I$4:$I$2004,$Z418-2000))+N(INDEX(周转筐出入库明细!$J$4:$J$2004,$Z418-2000))+N(INDEX(周转筐出入库明细!$K$4:$K$2004,$Z418-2000)),IF($Z418&lt;=5200,N(INDEX(客户自备加工筐明细!$F$4:$F$1203,$Z418-4000))+N(INDEX(客户自备加工筐明细!$G$4:$G$1203,$Z418-4000)),IF($Z418&lt;=5800,IF(INDEX(次果筐明细!$G$4:$G$603,$Z418-5200)=0,"",INDEX(次果筐明细!$G$4:$G$603,$Z418-5200)),"")))))</f>
        <v/>
      </c>
      <c r="I418" s="24" t="str">
        <f>IF($Z418="","",IF($Z418&lt;=2000,IF(INDEX(包装物料出入库明细!$G$4:$G$2003,$Z418-0)=0,"",INDEX(包装物料出入库明细!$G$4:$G$2003,$Z418-0)),IF($Z418&lt;=4000,"个",IF($Z418&lt;=5200,"个",IF($Z418&lt;=5800,"个","")))))</f>
        <v/>
      </c>
      <c r="J418" s="30" t="str">
        <f t="shared" si="19"/>
        <v/>
      </c>
      <c r="K418" s="30" t="str">
        <f>IF($Z418="","",IF($Z418&lt;=2000,IF(INDEX(包装物料出入库明细!$N$4:$N$2003,$Z418-0)=0,"",INDEX(包装物料出入库明细!$N$4:$N$2003,$Z418-0)),IF($Z418&lt;=4000,IF(INDEX(周转筐出入库明细!$P$4:$P$2004,$Z418-2000)=0,"",INDEX(周转筐出入库明细!$P$4:$P$2004,$Z418-2000)),IF($Z418&lt;=5200,"",IF($Z418&lt;=5800,N(INDEX(次果筐明细!$L$4:$L$603,$Z418-5200))+N(INDEX(次果筐明细!$J$4:$J$603,$Z418-5200)),"")))))</f>
        <v/>
      </c>
      <c r="L418" s="24" t="str">
        <f>IF($Z418="","",IF($Z418&lt;=2000,IF(INDEX(包装物料出入库明细!$P$4:$P$2003,$Z418-0)=0,"",INDEX(包装物料出入库明细!$P$4:$P$2003,$Z418-0)),IF($Z418&lt;=4000,IF(INDEX(周转筐出入库明细!$Q$4:$Q$2004,$Z418-2000)=0,"",INDEX(周转筐出入库明细!$Q$4:$Q$2004,$Z418-2000)),IF($Z418&lt;=5200,"",IF($Z418&lt;=5800,IF(INDEX(次果筐明细!$M$4:$M$603,$Z418-5200)=0,"",INDEX(次果筐明细!$M$4:$M$603,$Z418-5200)),"")))))</f>
        <v/>
      </c>
      <c r="M418" s="37" t="str">
        <f>IF($Z418="","",IF($Z418&lt;=2000,IF(INDEX(包装物料出入库明细!$R$4:$R$2003,$Z418-0)=0,"",INDEX(包装物料出入库明细!$R$4:$R$2003,$Z418-0)),IF($Z418&lt;=4000,IF(INDEX(周转筐出入库明细!$W$4:$W$2004,$Z418-2000)=0,"",INDEX(周转筐出入库明细!$W$4:$W$2004,$Z418-2000)),IF($Z418&lt;=5200,IF(INDEX(客户自备加工筐明细!$L$4:$L$1203,$Z418-4000)=0,"",INDEX(客户自备加工筐明细!$L$4:$L$1203,$Z418-4000)),IF($Z418&lt;=5800,IF(INDEX(次果筐明细!$P$4:$P$603,$Z418-5200)=0,"",INDEX(次果筐明细!$P$4:$P$603,$Z418-5200)),"")))))</f>
        <v/>
      </c>
      <c r="N418" s="16" t="str">
        <f>IF($Z418="","",IF($Z418&lt;=2000,"",IF($Z418&lt;=4000,IF(INDEX(周转筐出入库明细!$D$4:$D$2004,$Z418-2000)=0,"",INDEX(周转筐出入库明细!$D$4:$D$2004,$Z418-2000)),IF($Z418&lt;=5200,IF(INDEX(客户自备加工筐明细!$C$4:$C$1203,$Z418-4000)=0,"",INDEX(客户自备加工筐明细!$C$4:$C$1203,$Z418-4000)),IF($Z418&lt;=5800,IF(INDEX(次果筐明细!$D$4:$D$603,$Z418-5200)=0,"",INDEX(次果筐明细!$D$4:$D$603,$Z418-5200)),"")))))</f>
        <v/>
      </c>
      <c r="O418" s="40" t="str">
        <f>IF($Z418="","",IF($Z418&lt;=2000,"",IF($Z418&lt;=4000,IF(N(INDEX(周转筐出入库明细!$J$4:$J$2004,$Z418-2000))+N(INDEX(周转筐出入库明细!$K$4:$K$2004,$Z418-2000))=0,"",N(INDEX(周转筐出入库明细!$J$4:$J$2004,$Z418-2000))+N(INDEX(周转筐出入库明细!$K$4:$K$2004,$Z418-2000))),IF($Z418&lt;=5200,IF(N(INDEX(客户自备加工筐明细!$G$4:$G$1203,$Z418-4000))=0,"",N(INDEX(客户自备加工筐明细!$G$4:$G$1203,$Z418-4000))),IF($Z418&lt;=5800,IF(ISNUMBER(SEARCH("退",INDEX(次果筐明细!$F$4:$F$603,$Z418-5200)&amp;"")),"",IF(N(INDEX(次果筐明细!$G$4:$G$603,$Z418-5200))=0,"",N(INDEX(次果筐明细!$G$4:$G$603,$Z418-5200)))),"")))))</f>
        <v/>
      </c>
      <c r="P418" s="40" t="str">
        <f>IF($Z418="","",IF($Z418&lt;=2000,"",IF($Z418&lt;=4000,IF(N(INDEX(周转筐出入库明细!$I$4:$I$2004,$Z418-2000))=0,"",N(INDEX(周转筐出入库明细!$I$4:$I$2004,$Z418-2000))),IF($Z418&lt;=5200,"",IF($Z418&lt;=5800,IF(ISNUMBER(SEARCH("退",INDEX(次果筐明细!$F$4:$F$603,$Z418-5200)&amp;"")),IF(N(INDEX(次果筐明细!$G$4:$G$603,$Z418-5200))=0,"",N(INDEX(次果筐明细!$G$4:$G$603,$Z418-5200))),""),"")))))</f>
        <v/>
      </c>
      <c r="Q418" s="40" t="str">
        <f>IF($Z418="","",IF($Z418&lt;=2000,"",IF($Z418&lt;=4000,IF(N(INDEX(周转筐出入库明细!$H$4:$H$2004,$Z418-2000))=0,"",N(INDEX(周转筐出入库明细!$H$4:$H$2004,$Z418-2000))),IF($Z418&lt;=5200,IF(N(INDEX(客户自备加工筐明细!$F$4:$F$1203,$Z418-4000))=0,"",N(INDEX(客户自备加工筐明细!$F$4:$F$1203,$Z418-4000))),IF($Z418&lt;=5800,"","")))))</f>
        <v/>
      </c>
      <c r="R418" s="16" t="str">
        <f>IF($Z418="","",IF($Z418&lt;=2000,IF(INDEX(包装物料出入库明细!$O$4:$O$2003,$Z418-0)=0,"",INDEX(包装物料出入库明细!$O$4:$O$2003,$Z418-0)),IF($Z418&lt;=4000,IF(INDEX(周转筐出入库明细!$M$4:$M$2004,$Z418-2000)=0,"",INDEX(周转筐出入库明细!$M$4:$M$2004,$Z418-2000)),IF($Z418&lt;=5200,IF(INDEX(客户自备加工筐明细!$H$4:$H$1203,$Z418-4000)=0,"",INDEX(客户自备加工筐明细!$H$4:$H$1203,$Z418-4000)),IF($Z418&lt;=5800,IF(INDEX(次果筐明细!$H$4:$H$603,$Z418-5200)=0,"",INDEX(次果筐明细!$H$4:$H$603,$Z418-5200)),"")))))</f>
        <v/>
      </c>
      <c r="S418" s="22" t="str">
        <f t="shared" si="20"/>
        <v/>
      </c>
      <c r="Z418" s="10" t="str">
        <f>IFERROR(MATCH(ROW()-3,_自动清单!$CQ$4:$CQ$5803,0),"")</f>
        <v/>
      </c>
    </row>
    <row r="419" spans="1:26">
      <c r="A419" s="24" t="str">
        <f t="shared" si="18"/>
        <v/>
      </c>
      <c r="B419" s="38" t="str">
        <f>IF($Z419="","",IF($Z419&lt;=2000,IF(INDEX(包装物料出入库明细!$B$4:$B$2003,$Z419-0)=0,"",INDEX(包装物料出入库明细!$B$4:$B$2003,$Z419-0)),IF($Z419&lt;=4000,IF(INDEX(周转筐出入库明细!$B$4:$B$2004,$Z419-2000)=0,"",INDEX(周转筐出入库明细!$B$4:$B$2004,$Z419-2000)),IF($Z419&lt;=5200,IF(INDEX(客户自备加工筐明细!$B$4:$B$1203,$Z419-4000)=0,"",INDEX(客户自备加工筐明细!$B$4:$B$1203,$Z419-4000)),IF($Z419&lt;=5800,IF(INDEX(次果筐明细!$B$4:$B$603,$Z419-5200)=0,"",INDEX(次果筐明细!$B$4:$B$603,$Z419-5200)),"")))))</f>
        <v/>
      </c>
      <c r="C419" s="37" t="str">
        <f>IF($Z419="","",IF($Z419&lt;=2000,IF(INDEX(包装物料出入库明细!$D$4:$D$2003,$Z419-0)=0,"",INDEX(包装物料出入库明细!$D$4:$D$2003,$Z419-0)),IF($Z419&lt;=4000,IF(INDEX(周转筐出入库明细!$C$4:$C$2004,$Z419-2000)=0,"",INDEX(周转筐出入库明细!$C$4:$C$2004,$Z419-2000)),IF($Z419&lt;=5200,IF(INDEX(客户自备加工筐明细!$E$4:$E$1203,$Z419-4000)=0,"",INDEX(客户自备加工筐明细!$E$4:$E$1203,$Z419-4000)),IF($Z419&lt;=5800,IF(INDEX(次果筐明细!$C$4:$C$603,$Z419-5200)=0,"",INDEX(次果筐明细!$C$4:$C$603,$Z419-5200)),"")))))</f>
        <v/>
      </c>
      <c r="D419" s="37" t="str">
        <f>IF($Z419="","",IF($Z419&lt;=2000,"包装物料－"&amp;INDEX(包装物料出入库明细!$H$4:$H$2003,$Z419-0),IF($Z419&lt;=4000,"周转筐－"&amp;INDEX(周转筐出入库明细!$F$4:$F$2004,$Z419-2000),IF($Z419&lt;=5200,"客户自备筐－"&amp;INDEX(客户自备加工筐明细!$J$4:$J$1203,$Z419-4000),IF($Z419&lt;=5800,"次果筐/托盘－"&amp;INDEX(次果筐明细!$F$4:$F$603,$Z419-5200),"")))))</f>
        <v/>
      </c>
      <c r="E419" s="24" t="str">
        <f>IF($Z419="","",IF($Z419&lt;=2000,IF(INDEX(包装物料出入库明细!$C$4:$C$2003,$Z419-0)=0,"",INDEX(包装物料出入库明细!$C$4:$C$2003,$Z419-0)),IF($Z419&lt;=4000,IF(INDEX(周转筐出入库明细!$E$4:$E$2004,$Z419-2000)=0,"",INDEX(周转筐出入库明细!$E$4:$E$2004,$Z419-2000)),IF($Z419&lt;=5200,IF(INDEX(客户自备加工筐明细!$D$4:$D$1203,$Z419-4000)=0,"",INDEX(客户自备加工筐明细!$D$4:$D$1203,$Z419-4000)),IF($Z419&lt;=5800,IF(INDEX(次果筐明细!$E$4:$E$603,$Z419-5200)=0,"",INDEX(次果筐明细!$E$4:$E$603,$Z419-5200)),"")))))</f>
        <v/>
      </c>
      <c r="F419" s="24" t="str">
        <f>IF($Z419="","",IF($Z419&lt;=2000,IF(INDEX(包装物料出入库明细!$E$4:$E$2003,$Z419-0)=0,"",INDEX(包装物料出入库明细!$E$4:$E$2003,$Z419-0)),IF($Z419&lt;=4000,IF(INDEX(周转筐出入库明细!$D$4:$D$2004,$Z419-2000)=0,"",INDEX(周转筐出入库明细!$D$4:$D$2004,$Z419-2000)),IF($Z419&lt;=5200,IF(INDEX(客户自备加工筐明细!$C$4:$C$1203,$Z419-4000)=0,"",INDEX(客户自备加工筐明细!$C$4:$C$1203,$Z419-4000)),IF($Z419&lt;=5800,IF(INDEX(次果筐明细!$D$4:$D$603,$Z419-5200)=0,"",INDEX(次果筐明细!$D$4:$D$603,$Z419-5200)),"")))))</f>
        <v/>
      </c>
      <c r="G419" s="24" t="str">
        <f>IF($Z419="","",IF($Z419&lt;=2000,IF(INDEX(包装物料出入库明细!$F$4:$F$2003,$Z419-0)=0,"",INDEX(包装物料出入库明细!$F$4:$F$2003,$Z419-0)),IF($Z419&lt;=4000,"",IF($Z419&lt;=5200,"",IF($Z419&lt;=5800,"","")))))</f>
        <v/>
      </c>
      <c r="H419" s="39" t="str">
        <f>IF($Z419="","",IF($Z419&lt;=2000,IF(INDEX(包装物料出入库明细!$L$4:$L$2003,$Z419-0)=0,"",INDEX(包装物料出入库明细!$L$4:$L$2003,$Z419-0)),IF($Z419&lt;=4000,N(INDEX(周转筐出入库明细!$H$4:$H$2004,$Z419-2000))+N(INDEX(周转筐出入库明细!$I$4:$I$2004,$Z419-2000))+N(INDEX(周转筐出入库明细!$J$4:$J$2004,$Z419-2000))+N(INDEX(周转筐出入库明细!$K$4:$K$2004,$Z419-2000)),IF($Z419&lt;=5200,N(INDEX(客户自备加工筐明细!$F$4:$F$1203,$Z419-4000))+N(INDEX(客户自备加工筐明细!$G$4:$G$1203,$Z419-4000)),IF($Z419&lt;=5800,IF(INDEX(次果筐明细!$G$4:$G$603,$Z419-5200)=0,"",INDEX(次果筐明细!$G$4:$G$603,$Z419-5200)),"")))))</f>
        <v/>
      </c>
      <c r="I419" s="24" t="str">
        <f>IF($Z419="","",IF($Z419&lt;=2000,IF(INDEX(包装物料出入库明细!$G$4:$G$2003,$Z419-0)=0,"",INDEX(包装物料出入库明细!$G$4:$G$2003,$Z419-0)),IF($Z419&lt;=4000,"个",IF($Z419&lt;=5200,"个",IF($Z419&lt;=5800,"个","")))))</f>
        <v/>
      </c>
      <c r="J419" s="30" t="str">
        <f t="shared" si="19"/>
        <v/>
      </c>
      <c r="K419" s="30" t="str">
        <f>IF($Z419="","",IF($Z419&lt;=2000,IF(INDEX(包装物料出入库明细!$N$4:$N$2003,$Z419-0)=0,"",INDEX(包装物料出入库明细!$N$4:$N$2003,$Z419-0)),IF($Z419&lt;=4000,IF(INDEX(周转筐出入库明细!$P$4:$P$2004,$Z419-2000)=0,"",INDEX(周转筐出入库明细!$P$4:$P$2004,$Z419-2000)),IF($Z419&lt;=5200,"",IF($Z419&lt;=5800,N(INDEX(次果筐明细!$L$4:$L$603,$Z419-5200))+N(INDEX(次果筐明细!$J$4:$J$603,$Z419-5200)),"")))))</f>
        <v/>
      </c>
      <c r="L419" s="24" t="str">
        <f>IF($Z419="","",IF($Z419&lt;=2000,IF(INDEX(包装物料出入库明细!$P$4:$P$2003,$Z419-0)=0,"",INDEX(包装物料出入库明细!$P$4:$P$2003,$Z419-0)),IF($Z419&lt;=4000,IF(INDEX(周转筐出入库明细!$Q$4:$Q$2004,$Z419-2000)=0,"",INDEX(周转筐出入库明细!$Q$4:$Q$2004,$Z419-2000)),IF($Z419&lt;=5200,"",IF($Z419&lt;=5800,IF(INDEX(次果筐明细!$M$4:$M$603,$Z419-5200)=0,"",INDEX(次果筐明细!$M$4:$M$603,$Z419-5200)),"")))))</f>
        <v/>
      </c>
      <c r="M419" s="37" t="str">
        <f>IF($Z419="","",IF($Z419&lt;=2000,IF(INDEX(包装物料出入库明细!$R$4:$R$2003,$Z419-0)=0,"",INDEX(包装物料出入库明细!$R$4:$R$2003,$Z419-0)),IF($Z419&lt;=4000,IF(INDEX(周转筐出入库明细!$W$4:$W$2004,$Z419-2000)=0,"",INDEX(周转筐出入库明细!$W$4:$W$2004,$Z419-2000)),IF($Z419&lt;=5200,IF(INDEX(客户自备加工筐明细!$L$4:$L$1203,$Z419-4000)=0,"",INDEX(客户自备加工筐明细!$L$4:$L$1203,$Z419-4000)),IF($Z419&lt;=5800,IF(INDEX(次果筐明细!$P$4:$P$603,$Z419-5200)=0,"",INDEX(次果筐明细!$P$4:$P$603,$Z419-5200)),"")))))</f>
        <v/>
      </c>
      <c r="N419" s="16" t="str">
        <f>IF($Z419="","",IF($Z419&lt;=2000,"",IF($Z419&lt;=4000,IF(INDEX(周转筐出入库明细!$D$4:$D$2004,$Z419-2000)=0,"",INDEX(周转筐出入库明细!$D$4:$D$2004,$Z419-2000)),IF($Z419&lt;=5200,IF(INDEX(客户自备加工筐明细!$C$4:$C$1203,$Z419-4000)=0,"",INDEX(客户自备加工筐明细!$C$4:$C$1203,$Z419-4000)),IF($Z419&lt;=5800,IF(INDEX(次果筐明细!$D$4:$D$603,$Z419-5200)=0,"",INDEX(次果筐明细!$D$4:$D$603,$Z419-5200)),"")))))</f>
        <v/>
      </c>
      <c r="O419" s="40" t="str">
        <f>IF($Z419="","",IF($Z419&lt;=2000,"",IF($Z419&lt;=4000,IF(N(INDEX(周转筐出入库明细!$J$4:$J$2004,$Z419-2000))+N(INDEX(周转筐出入库明细!$K$4:$K$2004,$Z419-2000))=0,"",N(INDEX(周转筐出入库明细!$J$4:$J$2004,$Z419-2000))+N(INDEX(周转筐出入库明细!$K$4:$K$2004,$Z419-2000))),IF($Z419&lt;=5200,IF(N(INDEX(客户自备加工筐明细!$G$4:$G$1203,$Z419-4000))=0,"",N(INDEX(客户自备加工筐明细!$G$4:$G$1203,$Z419-4000))),IF($Z419&lt;=5800,IF(ISNUMBER(SEARCH("退",INDEX(次果筐明细!$F$4:$F$603,$Z419-5200)&amp;"")),"",IF(N(INDEX(次果筐明细!$G$4:$G$603,$Z419-5200))=0,"",N(INDEX(次果筐明细!$G$4:$G$603,$Z419-5200)))),"")))))</f>
        <v/>
      </c>
      <c r="P419" s="40" t="str">
        <f>IF($Z419="","",IF($Z419&lt;=2000,"",IF($Z419&lt;=4000,IF(N(INDEX(周转筐出入库明细!$I$4:$I$2004,$Z419-2000))=0,"",N(INDEX(周转筐出入库明细!$I$4:$I$2004,$Z419-2000))),IF($Z419&lt;=5200,"",IF($Z419&lt;=5800,IF(ISNUMBER(SEARCH("退",INDEX(次果筐明细!$F$4:$F$603,$Z419-5200)&amp;"")),IF(N(INDEX(次果筐明细!$G$4:$G$603,$Z419-5200))=0,"",N(INDEX(次果筐明细!$G$4:$G$603,$Z419-5200))),""),"")))))</f>
        <v/>
      </c>
      <c r="Q419" s="40" t="str">
        <f>IF($Z419="","",IF($Z419&lt;=2000,"",IF($Z419&lt;=4000,IF(N(INDEX(周转筐出入库明细!$H$4:$H$2004,$Z419-2000))=0,"",N(INDEX(周转筐出入库明细!$H$4:$H$2004,$Z419-2000))),IF($Z419&lt;=5200,IF(N(INDEX(客户自备加工筐明细!$F$4:$F$1203,$Z419-4000))=0,"",N(INDEX(客户自备加工筐明细!$F$4:$F$1203,$Z419-4000))),IF($Z419&lt;=5800,"","")))))</f>
        <v/>
      </c>
      <c r="R419" s="16" t="str">
        <f>IF($Z419="","",IF($Z419&lt;=2000,IF(INDEX(包装物料出入库明细!$O$4:$O$2003,$Z419-0)=0,"",INDEX(包装物料出入库明细!$O$4:$O$2003,$Z419-0)),IF($Z419&lt;=4000,IF(INDEX(周转筐出入库明细!$M$4:$M$2004,$Z419-2000)=0,"",INDEX(周转筐出入库明细!$M$4:$M$2004,$Z419-2000)),IF($Z419&lt;=5200,IF(INDEX(客户自备加工筐明细!$H$4:$H$1203,$Z419-4000)=0,"",INDEX(客户自备加工筐明细!$H$4:$H$1203,$Z419-4000)),IF($Z419&lt;=5800,IF(INDEX(次果筐明细!$H$4:$H$603,$Z419-5200)=0,"",INDEX(次果筐明细!$H$4:$H$603,$Z419-5200)),"")))))</f>
        <v/>
      </c>
      <c r="S419" s="22" t="str">
        <f t="shared" si="20"/>
        <v/>
      </c>
      <c r="Z419" s="10" t="str">
        <f>IFERROR(MATCH(ROW()-3,_自动清单!$CQ$4:$CQ$5803,0),"")</f>
        <v/>
      </c>
    </row>
    <row r="420" spans="1:26">
      <c r="A420" s="24" t="str">
        <f t="shared" si="18"/>
        <v/>
      </c>
      <c r="B420" s="38" t="str">
        <f>IF($Z420="","",IF($Z420&lt;=2000,IF(INDEX(包装物料出入库明细!$B$4:$B$2003,$Z420-0)=0,"",INDEX(包装物料出入库明细!$B$4:$B$2003,$Z420-0)),IF($Z420&lt;=4000,IF(INDEX(周转筐出入库明细!$B$4:$B$2004,$Z420-2000)=0,"",INDEX(周转筐出入库明细!$B$4:$B$2004,$Z420-2000)),IF($Z420&lt;=5200,IF(INDEX(客户自备加工筐明细!$B$4:$B$1203,$Z420-4000)=0,"",INDEX(客户自备加工筐明细!$B$4:$B$1203,$Z420-4000)),IF($Z420&lt;=5800,IF(INDEX(次果筐明细!$B$4:$B$603,$Z420-5200)=0,"",INDEX(次果筐明细!$B$4:$B$603,$Z420-5200)),"")))))</f>
        <v/>
      </c>
      <c r="C420" s="37" t="str">
        <f>IF($Z420="","",IF($Z420&lt;=2000,IF(INDEX(包装物料出入库明细!$D$4:$D$2003,$Z420-0)=0,"",INDEX(包装物料出入库明细!$D$4:$D$2003,$Z420-0)),IF($Z420&lt;=4000,IF(INDEX(周转筐出入库明细!$C$4:$C$2004,$Z420-2000)=0,"",INDEX(周转筐出入库明细!$C$4:$C$2004,$Z420-2000)),IF($Z420&lt;=5200,IF(INDEX(客户自备加工筐明细!$E$4:$E$1203,$Z420-4000)=0,"",INDEX(客户自备加工筐明细!$E$4:$E$1203,$Z420-4000)),IF($Z420&lt;=5800,IF(INDEX(次果筐明细!$C$4:$C$603,$Z420-5200)=0,"",INDEX(次果筐明细!$C$4:$C$603,$Z420-5200)),"")))))</f>
        <v/>
      </c>
      <c r="D420" s="37" t="str">
        <f>IF($Z420="","",IF($Z420&lt;=2000,"包装物料－"&amp;INDEX(包装物料出入库明细!$H$4:$H$2003,$Z420-0),IF($Z420&lt;=4000,"周转筐－"&amp;INDEX(周转筐出入库明细!$F$4:$F$2004,$Z420-2000),IF($Z420&lt;=5200,"客户自备筐－"&amp;INDEX(客户自备加工筐明细!$J$4:$J$1203,$Z420-4000),IF($Z420&lt;=5800,"次果筐/托盘－"&amp;INDEX(次果筐明细!$F$4:$F$603,$Z420-5200),"")))))</f>
        <v/>
      </c>
      <c r="E420" s="24" t="str">
        <f>IF($Z420="","",IF($Z420&lt;=2000,IF(INDEX(包装物料出入库明细!$C$4:$C$2003,$Z420-0)=0,"",INDEX(包装物料出入库明细!$C$4:$C$2003,$Z420-0)),IF($Z420&lt;=4000,IF(INDEX(周转筐出入库明细!$E$4:$E$2004,$Z420-2000)=0,"",INDEX(周转筐出入库明细!$E$4:$E$2004,$Z420-2000)),IF($Z420&lt;=5200,IF(INDEX(客户自备加工筐明细!$D$4:$D$1203,$Z420-4000)=0,"",INDEX(客户自备加工筐明细!$D$4:$D$1203,$Z420-4000)),IF($Z420&lt;=5800,IF(INDEX(次果筐明细!$E$4:$E$603,$Z420-5200)=0,"",INDEX(次果筐明细!$E$4:$E$603,$Z420-5200)),"")))))</f>
        <v/>
      </c>
      <c r="F420" s="24" t="str">
        <f>IF($Z420="","",IF($Z420&lt;=2000,IF(INDEX(包装物料出入库明细!$E$4:$E$2003,$Z420-0)=0,"",INDEX(包装物料出入库明细!$E$4:$E$2003,$Z420-0)),IF($Z420&lt;=4000,IF(INDEX(周转筐出入库明细!$D$4:$D$2004,$Z420-2000)=0,"",INDEX(周转筐出入库明细!$D$4:$D$2004,$Z420-2000)),IF($Z420&lt;=5200,IF(INDEX(客户自备加工筐明细!$C$4:$C$1203,$Z420-4000)=0,"",INDEX(客户自备加工筐明细!$C$4:$C$1203,$Z420-4000)),IF($Z420&lt;=5800,IF(INDEX(次果筐明细!$D$4:$D$603,$Z420-5200)=0,"",INDEX(次果筐明细!$D$4:$D$603,$Z420-5200)),"")))))</f>
        <v/>
      </c>
      <c r="G420" s="24" t="str">
        <f>IF($Z420="","",IF($Z420&lt;=2000,IF(INDEX(包装物料出入库明细!$F$4:$F$2003,$Z420-0)=0,"",INDEX(包装物料出入库明细!$F$4:$F$2003,$Z420-0)),IF($Z420&lt;=4000,"",IF($Z420&lt;=5200,"",IF($Z420&lt;=5800,"","")))))</f>
        <v/>
      </c>
      <c r="H420" s="39" t="str">
        <f>IF($Z420="","",IF($Z420&lt;=2000,IF(INDEX(包装物料出入库明细!$L$4:$L$2003,$Z420-0)=0,"",INDEX(包装物料出入库明细!$L$4:$L$2003,$Z420-0)),IF($Z420&lt;=4000,N(INDEX(周转筐出入库明细!$H$4:$H$2004,$Z420-2000))+N(INDEX(周转筐出入库明细!$I$4:$I$2004,$Z420-2000))+N(INDEX(周转筐出入库明细!$J$4:$J$2004,$Z420-2000))+N(INDEX(周转筐出入库明细!$K$4:$K$2004,$Z420-2000)),IF($Z420&lt;=5200,N(INDEX(客户自备加工筐明细!$F$4:$F$1203,$Z420-4000))+N(INDEX(客户自备加工筐明细!$G$4:$G$1203,$Z420-4000)),IF($Z420&lt;=5800,IF(INDEX(次果筐明细!$G$4:$G$603,$Z420-5200)=0,"",INDEX(次果筐明细!$G$4:$G$603,$Z420-5200)),"")))))</f>
        <v/>
      </c>
      <c r="I420" s="24" t="str">
        <f>IF($Z420="","",IF($Z420&lt;=2000,IF(INDEX(包装物料出入库明细!$G$4:$G$2003,$Z420-0)=0,"",INDEX(包装物料出入库明细!$G$4:$G$2003,$Z420-0)),IF($Z420&lt;=4000,"个",IF($Z420&lt;=5200,"个",IF($Z420&lt;=5800,"个","")))))</f>
        <v/>
      </c>
      <c r="J420" s="30" t="str">
        <f t="shared" si="19"/>
        <v/>
      </c>
      <c r="K420" s="30" t="str">
        <f>IF($Z420="","",IF($Z420&lt;=2000,IF(INDEX(包装物料出入库明细!$N$4:$N$2003,$Z420-0)=0,"",INDEX(包装物料出入库明细!$N$4:$N$2003,$Z420-0)),IF($Z420&lt;=4000,IF(INDEX(周转筐出入库明细!$P$4:$P$2004,$Z420-2000)=0,"",INDEX(周转筐出入库明细!$P$4:$P$2004,$Z420-2000)),IF($Z420&lt;=5200,"",IF($Z420&lt;=5800,N(INDEX(次果筐明细!$L$4:$L$603,$Z420-5200))+N(INDEX(次果筐明细!$J$4:$J$603,$Z420-5200)),"")))))</f>
        <v/>
      </c>
      <c r="L420" s="24" t="str">
        <f>IF($Z420="","",IF($Z420&lt;=2000,IF(INDEX(包装物料出入库明细!$P$4:$P$2003,$Z420-0)=0,"",INDEX(包装物料出入库明细!$P$4:$P$2003,$Z420-0)),IF($Z420&lt;=4000,IF(INDEX(周转筐出入库明细!$Q$4:$Q$2004,$Z420-2000)=0,"",INDEX(周转筐出入库明细!$Q$4:$Q$2004,$Z420-2000)),IF($Z420&lt;=5200,"",IF($Z420&lt;=5800,IF(INDEX(次果筐明细!$M$4:$M$603,$Z420-5200)=0,"",INDEX(次果筐明细!$M$4:$M$603,$Z420-5200)),"")))))</f>
        <v/>
      </c>
      <c r="M420" s="37" t="str">
        <f>IF($Z420="","",IF($Z420&lt;=2000,IF(INDEX(包装物料出入库明细!$R$4:$R$2003,$Z420-0)=0,"",INDEX(包装物料出入库明细!$R$4:$R$2003,$Z420-0)),IF($Z420&lt;=4000,IF(INDEX(周转筐出入库明细!$W$4:$W$2004,$Z420-2000)=0,"",INDEX(周转筐出入库明细!$W$4:$W$2004,$Z420-2000)),IF($Z420&lt;=5200,IF(INDEX(客户自备加工筐明细!$L$4:$L$1203,$Z420-4000)=0,"",INDEX(客户自备加工筐明细!$L$4:$L$1203,$Z420-4000)),IF($Z420&lt;=5800,IF(INDEX(次果筐明细!$P$4:$P$603,$Z420-5200)=0,"",INDEX(次果筐明细!$P$4:$P$603,$Z420-5200)),"")))))</f>
        <v/>
      </c>
      <c r="N420" s="16" t="str">
        <f>IF($Z420="","",IF($Z420&lt;=2000,"",IF($Z420&lt;=4000,IF(INDEX(周转筐出入库明细!$D$4:$D$2004,$Z420-2000)=0,"",INDEX(周转筐出入库明细!$D$4:$D$2004,$Z420-2000)),IF($Z420&lt;=5200,IF(INDEX(客户自备加工筐明细!$C$4:$C$1203,$Z420-4000)=0,"",INDEX(客户自备加工筐明细!$C$4:$C$1203,$Z420-4000)),IF($Z420&lt;=5800,IF(INDEX(次果筐明细!$D$4:$D$603,$Z420-5200)=0,"",INDEX(次果筐明细!$D$4:$D$603,$Z420-5200)),"")))))</f>
        <v/>
      </c>
      <c r="O420" s="40" t="str">
        <f>IF($Z420="","",IF($Z420&lt;=2000,"",IF($Z420&lt;=4000,IF(N(INDEX(周转筐出入库明细!$J$4:$J$2004,$Z420-2000))+N(INDEX(周转筐出入库明细!$K$4:$K$2004,$Z420-2000))=0,"",N(INDEX(周转筐出入库明细!$J$4:$J$2004,$Z420-2000))+N(INDEX(周转筐出入库明细!$K$4:$K$2004,$Z420-2000))),IF($Z420&lt;=5200,IF(N(INDEX(客户自备加工筐明细!$G$4:$G$1203,$Z420-4000))=0,"",N(INDEX(客户自备加工筐明细!$G$4:$G$1203,$Z420-4000))),IF($Z420&lt;=5800,IF(ISNUMBER(SEARCH("退",INDEX(次果筐明细!$F$4:$F$603,$Z420-5200)&amp;"")),"",IF(N(INDEX(次果筐明细!$G$4:$G$603,$Z420-5200))=0,"",N(INDEX(次果筐明细!$G$4:$G$603,$Z420-5200)))),"")))))</f>
        <v/>
      </c>
      <c r="P420" s="40" t="str">
        <f>IF($Z420="","",IF($Z420&lt;=2000,"",IF($Z420&lt;=4000,IF(N(INDEX(周转筐出入库明细!$I$4:$I$2004,$Z420-2000))=0,"",N(INDEX(周转筐出入库明细!$I$4:$I$2004,$Z420-2000))),IF($Z420&lt;=5200,"",IF($Z420&lt;=5800,IF(ISNUMBER(SEARCH("退",INDEX(次果筐明细!$F$4:$F$603,$Z420-5200)&amp;"")),IF(N(INDEX(次果筐明细!$G$4:$G$603,$Z420-5200))=0,"",N(INDEX(次果筐明细!$G$4:$G$603,$Z420-5200))),""),"")))))</f>
        <v/>
      </c>
      <c r="Q420" s="40" t="str">
        <f>IF($Z420="","",IF($Z420&lt;=2000,"",IF($Z420&lt;=4000,IF(N(INDEX(周转筐出入库明细!$H$4:$H$2004,$Z420-2000))=0,"",N(INDEX(周转筐出入库明细!$H$4:$H$2004,$Z420-2000))),IF($Z420&lt;=5200,IF(N(INDEX(客户自备加工筐明细!$F$4:$F$1203,$Z420-4000))=0,"",N(INDEX(客户自备加工筐明细!$F$4:$F$1203,$Z420-4000))),IF($Z420&lt;=5800,"","")))))</f>
        <v/>
      </c>
      <c r="R420" s="16" t="str">
        <f>IF($Z420="","",IF($Z420&lt;=2000,IF(INDEX(包装物料出入库明细!$O$4:$O$2003,$Z420-0)=0,"",INDEX(包装物料出入库明细!$O$4:$O$2003,$Z420-0)),IF($Z420&lt;=4000,IF(INDEX(周转筐出入库明细!$M$4:$M$2004,$Z420-2000)=0,"",INDEX(周转筐出入库明细!$M$4:$M$2004,$Z420-2000)),IF($Z420&lt;=5200,IF(INDEX(客户自备加工筐明细!$H$4:$H$1203,$Z420-4000)=0,"",INDEX(客户自备加工筐明细!$H$4:$H$1203,$Z420-4000)),IF($Z420&lt;=5800,IF(INDEX(次果筐明细!$H$4:$H$603,$Z420-5200)=0,"",INDEX(次果筐明细!$H$4:$H$603,$Z420-5200)),"")))))</f>
        <v/>
      </c>
      <c r="S420" s="22" t="str">
        <f t="shared" si="20"/>
        <v/>
      </c>
      <c r="Z420" s="10" t="str">
        <f>IFERROR(MATCH(ROW()-3,_自动清单!$CQ$4:$CQ$5803,0),"")</f>
        <v/>
      </c>
    </row>
    <row r="421" spans="1:26">
      <c r="A421" s="24" t="str">
        <f t="shared" si="18"/>
        <v/>
      </c>
      <c r="B421" s="38" t="str">
        <f>IF($Z421="","",IF($Z421&lt;=2000,IF(INDEX(包装物料出入库明细!$B$4:$B$2003,$Z421-0)=0,"",INDEX(包装物料出入库明细!$B$4:$B$2003,$Z421-0)),IF($Z421&lt;=4000,IF(INDEX(周转筐出入库明细!$B$4:$B$2004,$Z421-2000)=0,"",INDEX(周转筐出入库明细!$B$4:$B$2004,$Z421-2000)),IF($Z421&lt;=5200,IF(INDEX(客户自备加工筐明细!$B$4:$B$1203,$Z421-4000)=0,"",INDEX(客户自备加工筐明细!$B$4:$B$1203,$Z421-4000)),IF($Z421&lt;=5800,IF(INDEX(次果筐明细!$B$4:$B$603,$Z421-5200)=0,"",INDEX(次果筐明细!$B$4:$B$603,$Z421-5200)),"")))))</f>
        <v/>
      </c>
      <c r="C421" s="37" t="str">
        <f>IF($Z421="","",IF($Z421&lt;=2000,IF(INDEX(包装物料出入库明细!$D$4:$D$2003,$Z421-0)=0,"",INDEX(包装物料出入库明细!$D$4:$D$2003,$Z421-0)),IF($Z421&lt;=4000,IF(INDEX(周转筐出入库明细!$C$4:$C$2004,$Z421-2000)=0,"",INDEX(周转筐出入库明细!$C$4:$C$2004,$Z421-2000)),IF($Z421&lt;=5200,IF(INDEX(客户自备加工筐明细!$E$4:$E$1203,$Z421-4000)=0,"",INDEX(客户自备加工筐明细!$E$4:$E$1203,$Z421-4000)),IF($Z421&lt;=5800,IF(INDEX(次果筐明细!$C$4:$C$603,$Z421-5200)=0,"",INDEX(次果筐明细!$C$4:$C$603,$Z421-5200)),"")))))</f>
        <v/>
      </c>
      <c r="D421" s="37" t="str">
        <f>IF($Z421="","",IF($Z421&lt;=2000,"包装物料－"&amp;INDEX(包装物料出入库明细!$H$4:$H$2003,$Z421-0),IF($Z421&lt;=4000,"周转筐－"&amp;INDEX(周转筐出入库明细!$F$4:$F$2004,$Z421-2000),IF($Z421&lt;=5200,"客户自备筐－"&amp;INDEX(客户自备加工筐明细!$J$4:$J$1203,$Z421-4000),IF($Z421&lt;=5800,"次果筐/托盘－"&amp;INDEX(次果筐明细!$F$4:$F$603,$Z421-5200),"")))))</f>
        <v/>
      </c>
      <c r="E421" s="24" t="str">
        <f>IF($Z421="","",IF($Z421&lt;=2000,IF(INDEX(包装物料出入库明细!$C$4:$C$2003,$Z421-0)=0,"",INDEX(包装物料出入库明细!$C$4:$C$2003,$Z421-0)),IF($Z421&lt;=4000,IF(INDEX(周转筐出入库明细!$E$4:$E$2004,$Z421-2000)=0,"",INDEX(周转筐出入库明细!$E$4:$E$2004,$Z421-2000)),IF($Z421&lt;=5200,IF(INDEX(客户自备加工筐明细!$D$4:$D$1203,$Z421-4000)=0,"",INDEX(客户自备加工筐明细!$D$4:$D$1203,$Z421-4000)),IF($Z421&lt;=5800,IF(INDEX(次果筐明细!$E$4:$E$603,$Z421-5200)=0,"",INDEX(次果筐明细!$E$4:$E$603,$Z421-5200)),"")))))</f>
        <v/>
      </c>
      <c r="F421" s="24" t="str">
        <f>IF($Z421="","",IF($Z421&lt;=2000,IF(INDEX(包装物料出入库明细!$E$4:$E$2003,$Z421-0)=0,"",INDEX(包装物料出入库明细!$E$4:$E$2003,$Z421-0)),IF($Z421&lt;=4000,IF(INDEX(周转筐出入库明细!$D$4:$D$2004,$Z421-2000)=0,"",INDEX(周转筐出入库明细!$D$4:$D$2004,$Z421-2000)),IF($Z421&lt;=5200,IF(INDEX(客户自备加工筐明细!$C$4:$C$1203,$Z421-4000)=0,"",INDEX(客户自备加工筐明细!$C$4:$C$1203,$Z421-4000)),IF($Z421&lt;=5800,IF(INDEX(次果筐明细!$D$4:$D$603,$Z421-5200)=0,"",INDEX(次果筐明细!$D$4:$D$603,$Z421-5200)),"")))))</f>
        <v/>
      </c>
      <c r="G421" s="24" t="str">
        <f>IF($Z421="","",IF($Z421&lt;=2000,IF(INDEX(包装物料出入库明细!$F$4:$F$2003,$Z421-0)=0,"",INDEX(包装物料出入库明细!$F$4:$F$2003,$Z421-0)),IF($Z421&lt;=4000,"",IF($Z421&lt;=5200,"",IF($Z421&lt;=5800,"","")))))</f>
        <v/>
      </c>
      <c r="H421" s="39" t="str">
        <f>IF($Z421="","",IF($Z421&lt;=2000,IF(INDEX(包装物料出入库明细!$L$4:$L$2003,$Z421-0)=0,"",INDEX(包装物料出入库明细!$L$4:$L$2003,$Z421-0)),IF($Z421&lt;=4000,N(INDEX(周转筐出入库明细!$H$4:$H$2004,$Z421-2000))+N(INDEX(周转筐出入库明细!$I$4:$I$2004,$Z421-2000))+N(INDEX(周转筐出入库明细!$J$4:$J$2004,$Z421-2000))+N(INDEX(周转筐出入库明细!$K$4:$K$2004,$Z421-2000)),IF($Z421&lt;=5200,N(INDEX(客户自备加工筐明细!$F$4:$F$1203,$Z421-4000))+N(INDEX(客户自备加工筐明细!$G$4:$G$1203,$Z421-4000)),IF($Z421&lt;=5800,IF(INDEX(次果筐明细!$G$4:$G$603,$Z421-5200)=0,"",INDEX(次果筐明细!$G$4:$G$603,$Z421-5200)),"")))))</f>
        <v/>
      </c>
      <c r="I421" s="24" t="str">
        <f>IF($Z421="","",IF($Z421&lt;=2000,IF(INDEX(包装物料出入库明细!$G$4:$G$2003,$Z421-0)=0,"",INDEX(包装物料出入库明细!$G$4:$G$2003,$Z421-0)),IF($Z421&lt;=4000,"个",IF($Z421&lt;=5200,"个",IF($Z421&lt;=5800,"个","")))))</f>
        <v/>
      </c>
      <c r="J421" s="30" t="str">
        <f t="shared" si="19"/>
        <v/>
      </c>
      <c r="K421" s="30" t="str">
        <f>IF($Z421="","",IF($Z421&lt;=2000,IF(INDEX(包装物料出入库明细!$N$4:$N$2003,$Z421-0)=0,"",INDEX(包装物料出入库明细!$N$4:$N$2003,$Z421-0)),IF($Z421&lt;=4000,IF(INDEX(周转筐出入库明细!$P$4:$P$2004,$Z421-2000)=0,"",INDEX(周转筐出入库明细!$P$4:$P$2004,$Z421-2000)),IF($Z421&lt;=5200,"",IF($Z421&lt;=5800,N(INDEX(次果筐明细!$L$4:$L$603,$Z421-5200))+N(INDEX(次果筐明细!$J$4:$J$603,$Z421-5200)),"")))))</f>
        <v/>
      </c>
      <c r="L421" s="24" t="str">
        <f>IF($Z421="","",IF($Z421&lt;=2000,IF(INDEX(包装物料出入库明细!$P$4:$P$2003,$Z421-0)=0,"",INDEX(包装物料出入库明细!$P$4:$P$2003,$Z421-0)),IF($Z421&lt;=4000,IF(INDEX(周转筐出入库明细!$Q$4:$Q$2004,$Z421-2000)=0,"",INDEX(周转筐出入库明细!$Q$4:$Q$2004,$Z421-2000)),IF($Z421&lt;=5200,"",IF($Z421&lt;=5800,IF(INDEX(次果筐明细!$M$4:$M$603,$Z421-5200)=0,"",INDEX(次果筐明细!$M$4:$M$603,$Z421-5200)),"")))))</f>
        <v/>
      </c>
      <c r="M421" s="37" t="str">
        <f>IF($Z421="","",IF($Z421&lt;=2000,IF(INDEX(包装物料出入库明细!$R$4:$R$2003,$Z421-0)=0,"",INDEX(包装物料出入库明细!$R$4:$R$2003,$Z421-0)),IF($Z421&lt;=4000,IF(INDEX(周转筐出入库明细!$W$4:$W$2004,$Z421-2000)=0,"",INDEX(周转筐出入库明细!$W$4:$W$2004,$Z421-2000)),IF($Z421&lt;=5200,IF(INDEX(客户自备加工筐明细!$L$4:$L$1203,$Z421-4000)=0,"",INDEX(客户自备加工筐明细!$L$4:$L$1203,$Z421-4000)),IF($Z421&lt;=5800,IF(INDEX(次果筐明细!$P$4:$P$603,$Z421-5200)=0,"",INDEX(次果筐明细!$P$4:$P$603,$Z421-5200)),"")))))</f>
        <v/>
      </c>
      <c r="N421" s="16" t="str">
        <f>IF($Z421="","",IF($Z421&lt;=2000,"",IF($Z421&lt;=4000,IF(INDEX(周转筐出入库明细!$D$4:$D$2004,$Z421-2000)=0,"",INDEX(周转筐出入库明细!$D$4:$D$2004,$Z421-2000)),IF($Z421&lt;=5200,IF(INDEX(客户自备加工筐明细!$C$4:$C$1203,$Z421-4000)=0,"",INDEX(客户自备加工筐明细!$C$4:$C$1203,$Z421-4000)),IF($Z421&lt;=5800,IF(INDEX(次果筐明细!$D$4:$D$603,$Z421-5200)=0,"",INDEX(次果筐明细!$D$4:$D$603,$Z421-5200)),"")))))</f>
        <v/>
      </c>
      <c r="O421" s="40" t="str">
        <f>IF($Z421="","",IF($Z421&lt;=2000,"",IF($Z421&lt;=4000,IF(N(INDEX(周转筐出入库明细!$J$4:$J$2004,$Z421-2000))+N(INDEX(周转筐出入库明细!$K$4:$K$2004,$Z421-2000))=0,"",N(INDEX(周转筐出入库明细!$J$4:$J$2004,$Z421-2000))+N(INDEX(周转筐出入库明细!$K$4:$K$2004,$Z421-2000))),IF($Z421&lt;=5200,IF(N(INDEX(客户自备加工筐明细!$G$4:$G$1203,$Z421-4000))=0,"",N(INDEX(客户自备加工筐明细!$G$4:$G$1203,$Z421-4000))),IF($Z421&lt;=5800,IF(ISNUMBER(SEARCH("退",INDEX(次果筐明细!$F$4:$F$603,$Z421-5200)&amp;"")),"",IF(N(INDEX(次果筐明细!$G$4:$G$603,$Z421-5200))=0,"",N(INDEX(次果筐明细!$G$4:$G$603,$Z421-5200)))),"")))))</f>
        <v/>
      </c>
      <c r="P421" s="40" t="str">
        <f>IF($Z421="","",IF($Z421&lt;=2000,"",IF($Z421&lt;=4000,IF(N(INDEX(周转筐出入库明细!$I$4:$I$2004,$Z421-2000))=0,"",N(INDEX(周转筐出入库明细!$I$4:$I$2004,$Z421-2000))),IF($Z421&lt;=5200,"",IF($Z421&lt;=5800,IF(ISNUMBER(SEARCH("退",INDEX(次果筐明细!$F$4:$F$603,$Z421-5200)&amp;"")),IF(N(INDEX(次果筐明细!$G$4:$G$603,$Z421-5200))=0,"",N(INDEX(次果筐明细!$G$4:$G$603,$Z421-5200))),""),"")))))</f>
        <v/>
      </c>
      <c r="Q421" s="40" t="str">
        <f>IF($Z421="","",IF($Z421&lt;=2000,"",IF($Z421&lt;=4000,IF(N(INDEX(周转筐出入库明细!$H$4:$H$2004,$Z421-2000))=0,"",N(INDEX(周转筐出入库明细!$H$4:$H$2004,$Z421-2000))),IF($Z421&lt;=5200,IF(N(INDEX(客户自备加工筐明细!$F$4:$F$1203,$Z421-4000))=0,"",N(INDEX(客户自备加工筐明细!$F$4:$F$1203,$Z421-4000))),IF($Z421&lt;=5800,"","")))))</f>
        <v/>
      </c>
      <c r="R421" s="16" t="str">
        <f>IF($Z421="","",IF($Z421&lt;=2000,IF(INDEX(包装物料出入库明细!$O$4:$O$2003,$Z421-0)=0,"",INDEX(包装物料出入库明细!$O$4:$O$2003,$Z421-0)),IF($Z421&lt;=4000,IF(INDEX(周转筐出入库明细!$M$4:$M$2004,$Z421-2000)=0,"",INDEX(周转筐出入库明细!$M$4:$M$2004,$Z421-2000)),IF($Z421&lt;=5200,IF(INDEX(客户自备加工筐明细!$H$4:$H$1203,$Z421-4000)=0,"",INDEX(客户自备加工筐明细!$H$4:$H$1203,$Z421-4000)),IF($Z421&lt;=5800,IF(INDEX(次果筐明细!$H$4:$H$603,$Z421-5200)=0,"",INDEX(次果筐明细!$H$4:$H$603,$Z421-5200)),"")))))</f>
        <v/>
      </c>
      <c r="S421" s="22" t="str">
        <f t="shared" si="20"/>
        <v/>
      </c>
      <c r="Z421" s="10" t="str">
        <f>IFERROR(MATCH(ROW()-3,_自动清单!$CQ$4:$CQ$5803,0),"")</f>
        <v/>
      </c>
    </row>
    <row r="422" spans="1:26">
      <c r="A422" s="24" t="str">
        <f t="shared" si="18"/>
        <v/>
      </c>
      <c r="B422" s="38" t="str">
        <f>IF($Z422="","",IF($Z422&lt;=2000,IF(INDEX(包装物料出入库明细!$B$4:$B$2003,$Z422-0)=0,"",INDEX(包装物料出入库明细!$B$4:$B$2003,$Z422-0)),IF($Z422&lt;=4000,IF(INDEX(周转筐出入库明细!$B$4:$B$2004,$Z422-2000)=0,"",INDEX(周转筐出入库明细!$B$4:$B$2004,$Z422-2000)),IF($Z422&lt;=5200,IF(INDEX(客户自备加工筐明细!$B$4:$B$1203,$Z422-4000)=0,"",INDEX(客户自备加工筐明细!$B$4:$B$1203,$Z422-4000)),IF($Z422&lt;=5800,IF(INDEX(次果筐明细!$B$4:$B$603,$Z422-5200)=0,"",INDEX(次果筐明细!$B$4:$B$603,$Z422-5200)),"")))))</f>
        <v/>
      </c>
      <c r="C422" s="37" t="str">
        <f>IF($Z422="","",IF($Z422&lt;=2000,IF(INDEX(包装物料出入库明细!$D$4:$D$2003,$Z422-0)=0,"",INDEX(包装物料出入库明细!$D$4:$D$2003,$Z422-0)),IF($Z422&lt;=4000,IF(INDEX(周转筐出入库明细!$C$4:$C$2004,$Z422-2000)=0,"",INDEX(周转筐出入库明细!$C$4:$C$2004,$Z422-2000)),IF($Z422&lt;=5200,IF(INDEX(客户自备加工筐明细!$E$4:$E$1203,$Z422-4000)=0,"",INDEX(客户自备加工筐明细!$E$4:$E$1203,$Z422-4000)),IF($Z422&lt;=5800,IF(INDEX(次果筐明细!$C$4:$C$603,$Z422-5200)=0,"",INDEX(次果筐明细!$C$4:$C$603,$Z422-5200)),"")))))</f>
        <v/>
      </c>
      <c r="D422" s="37" t="str">
        <f>IF($Z422="","",IF($Z422&lt;=2000,"包装物料－"&amp;INDEX(包装物料出入库明细!$H$4:$H$2003,$Z422-0),IF($Z422&lt;=4000,"周转筐－"&amp;INDEX(周转筐出入库明细!$F$4:$F$2004,$Z422-2000),IF($Z422&lt;=5200,"客户自备筐－"&amp;INDEX(客户自备加工筐明细!$J$4:$J$1203,$Z422-4000),IF($Z422&lt;=5800,"次果筐/托盘－"&amp;INDEX(次果筐明细!$F$4:$F$603,$Z422-5200),"")))))</f>
        <v/>
      </c>
      <c r="E422" s="24" t="str">
        <f>IF($Z422="","",IF($Z422&lt;=2000,IF(INDEX(包装物料出入库明细!$C$4:$C$2003,$Z422-0)=0,"",INDEX(包装物料出入库明细!$C$4:$C$2003,$Z422-0)),IF($Z422&lt;=4000,IF(INDEX(周转筐出入库明细!$E$4:$E$2004,$Z422-2000)=0,"",INDEX(周转筐出入库明细!$E$4:$E$2004,$Z422-2000)),IF($Z422&lt;=5200,IF(INDEX(客户自备加工筐明细!$D$4:$D$1203,$Z422-4000)=0,"",INDEX(客户自备加工筐明细!$D$4:$D$1203,$Z422-4000)),IF($Z422&lt;=5800,IF(INDEX(次果筐明细!$E$4:$E$603,$Z422-5200)=0,"",INDEX(次果筐明细!$E$4:$E$603,$Z422-5200)),"")))))</f>
        <v/>
      </c>
      <c r="F422" s="24" t="str">
        <f>IF($Z422="","",IF($Z422&lt;=2000,IF(INDEX(包装物料出入库明细!$E$4:$E$2003,$Z422-0)=0,"",INDEX(包装物料出入库明细!$E$4:$E$2003,$Z422-0)),IF($Z422&lt;=4000,IF(INDEX(周转筐出入库明细!$D$4:$D$2004,$Z422-2000)=0,"",INDEX(周转筐出入库明细!$D$4:$D$2004,$Z422-2000)),IF($Z422&lt;=5200,IF(INDEX(客户自备加工筐明细!$C$4:$C$1203,$Z422-4000)=0,"",INDEX(客户自备加工筐明细!$C$4:$C$1203,$Z422-4000)),IF($Z422&lt;=5800,IF(INDEX(次果筐明细!$D$4:$D$603,$Z422-5200)=0,"",INDEX(次果筐明细!$D$4:$D$603,$Z422-5200)),"")))))</f>
        <v/>
      </c>
      <c r="G422" s="24" t="str">
        <f>IF($Z422="","",IF($Z422&lt;=2000,IF(INDEX(包装物料出入库明细!$F$4:$F$2003,$Z422-0)=0,"",INDEX(包装物料出入库明细!$F$4:$F$2003,$Z422-0)),IF($Z422&lt;=4000,"",IF($Z422&lt;=5200,"",IF($Z422&lt;=5800,"","")))))</f>
        <v/>
      </c>
      <c r="H422" s="39" t="str">
        <f>IF($Z422="","",IF($Z422&lt;=2000,IF(INDEX(包装物料出入库明细!$L$4:$L$2003,$Z422-0)=0,"",INDEX(包装物料出入库明细!$L$4:$L$2003,$Z422-0)),IF($Z422&lt;=4000,N(INDEX(周转筐出入库明细!$H$4:$H$2004,$Z422-2000))+N(INDEX(周转筐出入库明细!$I$4:$I$2004,$Z422-2000))+N(INDEX(周转筐出入库明细!$J$4:$J$2004,$Z422-2000))+N(INDEX(周转筐出入库明细!$K$4:$K$2004,$Z422-2000)),IF($Z422&lt;=5200,N(INDEX(客户自备加工筐明细!$F$4:$F$1203,$Z422-4000))+N(INDEX(客户自备加工筐明细!$G$4:$G$1203,$Z422-4000)),IF($Z422&lt;=5800,IF(INDEX(次果筐明细!$G$4:$G$603,$Z422-5200)=0,"",INDEX(次果筐明细!$G$4:$G$603,$Z422-5200)),"")))))</f>
        <v/>
      </c>
      <c r="I422" s="24" t="str">
        <f>IF($Z422="","",IF($Z422&lt;=2000,IF(INDEX(包装物料出入库明细!$G$4:$G$2003,$Z422-0)=0,"",INDEX(包装物料出入库明细!$G$4:$G$2003,$Z422-0)),IF($Z422&lt;=4000,"个",IF($Z422&lt;=5200,"个",IF($Z422&lt;=5800,"个","")))))</f>
        <v/>
      </c>
      <c r="J422" s="30" t="str">
        <f t="shared" si="19"/>
        <v/>
      </c>
      <c r="K422" s="30" t="str">
        <f>IF($Z422="","",IF($Z422&lt;=2000,IF(INDEX(包装物料出入库明细!$N$4:$N$2003,$Z422-0)=0,"",INDEX(包装物料出入库明细!$N$4:$N$2003,$Z422-0)),IF($Z422&lt;=4000,IF(INDEX(周转筐出入库明细!$P$4:$P$2004,$Z422-2000)=0,"",INDEX(周转筐出入库明细!$P$4:$P$2004,$Z422-2000)),IF($Z422&lt;=5200,"",IF($Z422&lt;=5800,N(INDEX(次果筐明细!$L$4:$L$603,$Z422-5200))+N(INDEX(次果筐明细!$J$4:$J$603,$Z422-5200)),"")))))</f>
        <v/>
      </c>
      <c r="L422" s="24" t="str">
        <f>IF($Z422="","",IF($Z422&lt;=2000,IF(INDEX(包装物料出入库明细!$P$4:$P$2003,$Z422-0)=0,"",INDEX(包装物料出入库明细!$P$4:$P$2003,$Z422-0)),IF($Z422&lt;=4000,IF(INDEX(周转筐出入库明细!$Q$4:$Q$2004,$Z422-2000)=0,"",INDEX(周转筐出入库明细!$Q$4:$Q$2004,$Z422-2000)),IF($Z422&lt;=5200,"",IF($Z422&lt;=5800,IF(INDEX(次果筐明细!$M$4:$M$603,$Z422-5200)=0,"",INDEX(次果筐明细!$M$4:$M$603,$Z422-5200)),"")))))</f>
        <v/>
      </c>
      <c r="M422" s="37" t="str">
        <f>IF($Z422="","",IF($Z422&lt;=2000,IF(INDEX(包装物料出入库明细!$R$4:$R$2003,$Z422-0)=0,"",INDEX(包装物料出入库明细!$R$4:$R$2003,$Z422-0)),IF($Z422&lt;=4000,IF(INDEX(周转筐出入库明细!$W$4:$W$2004,$Z422-2000)=0,"",INDEX(周转筐出入库明细!$W$4:$W$2004,$Z422-2000)),IF($Z422&lt;=5200,IF(INDEX(客户自备加工筐明细!$L$4:$L$1203,$Z422-4000)=0,"",INDEX(客户自备加工筐明细!$L$4:$L$1203,$Z422-4000)),IF($Z422&lt;=5800,IF(INDEX(次果筐明细!$P$4:$P$603,$Z422-5200)=0,"",INDEX(次果筐明细!$P$4:$P$603,$Z422-5200)),"")))))</f>
        <v/>
      </c>
      <c r="N422" s="16" t="str">
        <f>IF($Z422="","",IF($Z422&lt;=2000,"",IF($Z422&lt;=4000,IF(INDEX(周转筐出入库明细!$D$4:$D$2004,$Z422-2000)=0,"",INDEX(周转筐出入库明细!$D$4:$D$2004,$Z422-2000)),IF($Z422&lt;=5200,IF(INDEX(客户自备加工筐明细!$C$4:$C$1203,$Z422-4000)=0,"",INDEX(客户自备加工筐明细!$C$4:$C$1203,$Z422-4000)),IF($Z422&lt;=5800,IF(INDEX(次果筐明细!$D$4:$D$603,$Z422-5200)=0,"",INDEX(次果筐明细!$D$4:$D$603,$Z422-5200)),"")))))</f>
        <v/>
      </c>
      <c r="O422" s="40" t="str">
        <f>IF($Z422="","",IF($Z422&lt;=2000,"",IF($Z422&lt;=4000,IF(N(INDEX(周转筐出入库明细!$J$4:$J$2004,$Z422-2000))+N(INDEX(周转筐出入库明细!$K$4:$K$2004,$Z422-2000))=0,"",N(INDEX(周转筐出入库明细!$J$4:$J$2004,$Z422-2000))+N(INDEX(周转筐出入库明细!$K$4:$K$2004,$Z422-2000))),IF($Z422&lt;=5200,IF(N(INDEX(客户自备加工筐明细!$G$4:$G$1203,$Z422-4000))=0,"",N(INDEX(客户自备加工筐明细!$G$4:$G$1203,$Z422-4000))),IF($Z422&lt;=5800,IF(ISNUMBER(SEARCH("退",INDEX(次果筐明细!$F$4:$F$603,$Z422-5200)&amp;"")),"",IF(N(INDEX(次果筐明细!$G$4:$G$603,$Z422-5200))=0,"",N(INDEX(次果筐明细!$G$4:$G$603,$Z422-5200)))),"")))))</f>
        <v/>
      </c>
      <c r="P422" s="40" t="str">
        <f>IF($Z422="","",IF($Z422&lt;=2000,"",IF($Z422&lt;=4000,IF(N(INDEX(周转筐出入库明细!$I$4:$I$2004,$Z422-2000))=0,"",N(INDEX(周转筐出入库明细!$I$4:$I$2004,$Z422-2000))),IF($Z422&lt;=5200,"",IF($Z422&lt;=5800,IF(ISNUMBER(SEARCH("退",INDEX(次果筐明细!$F$4:$F$603,$Z422-5200)&amp;"")),IF(N(INDEX(次果筐明细!$G$4:$G$603,$Z422-5200))=0,"",N(INDEX(次果筐明细!$G$4:$G$603,$Z422-5200))),""),"")))))</f>
        <v/>
      </c>
      <c r="Q422" s="40" t="str">
        <f>IF($Z422="","",IF($Z422&lt;=2000,"",IF($Z422&lt;=4000,IF(N(INDEX(周转筐出入库明细!$H$4:$H$2004,$Z422-2000))=0,"",N(INDEX(周转筐出入库明细!$H$4:$H$2004,$Z422-2000))),IF($Z422&lt;=5200,IF(N(INDEX(客户自备加工筐明细!$F$4:$F$1203,$Z422-4000))=0,"",N(INDEX(客户自备加工筐明细!$F$4:$F$1203,$Z422-4000))),IF($Z422&lt;=5800,"","")))))</f>
        <v/>
      </c>
      <c r="R422" s="16" t="str">
        <f>IF($Z422="","",IF($Z422&lt;=2000,IF(INDEX(包装物料出入库明细!$O$4:$O$2003,$Z422-0)=0,"",INDEX(包装物料出入库明细!$O$4:$O$2003,$Z422-0)),IF($Z422&lt;=4000,IF(INDEX(周转筐出入库明细!$M$4:$M$2004,$Z422-2000)=0,"",INDEX(周转筐出入库明细!$M$4:$M$2004,$Z422-2000)),IF($Z422&lt;=5200,IF(INDEX(客户自备加工筐明细!$H$4:$H$1203,$Z422-4000)=0,"",INDEX(客户自备加工筐明细!$H$4:$H$1203,$Z422-4000)),IF($Z422&lt;=5800,IF(INDEX(次果筐明细!$H$4:$H$603,$Z422-5200)=0,"",INDEX(次果筐明细!$H$4:$H$603,$Z422-5200)),"")))))</f>
        <v/>
      </c>
      <c r="S422" s="22" t="str">
        <f t="shared" si="20"/>
        <v/>
      </c>
      <c r="Z422" s="10" t="str">
        <f>IFERROR(MATCH(ROW()-3,_自动清单!$CQ$4:$CQ$5803,0),"")</f>
        <v/>
      </c>
    </row>
    <row r="423" spans="1:26">
      <c r="A423" s="24" t="str">
        <f t="shared" si="18"/>
        <v/>
      </c>
      <c r="B423" s="38" t="str">
        <f>IF($Z423="","",IF($Z423&lt;=2000,IF(INDEX(包装物料出入库明细!$B$4:$B$2003,$Z423-0)=0,"",INDEX(包装物料出入库明细!$B$4:$B$2003,$Z423-0)),IF($Z423&lt;=4000,IF(INDEX(周转筐出入库明细!$B$4:$B$2004,$Z423-2000)=0,"",INDEX(周转筐出入库明细!$B$4:$B$2004,$Z423-2000)),IF($Z423&lt;=5200,IF(INDEX(客户自备加工筐明细!$B$4:$B$1203,$Z423-4000)=0,"",INDEX(客户自备加工筐明细!$B$4:$B$1203,$Z423-4000)),IF($Z423&lt;=5800,IF(INDEX(次果筐明细!$B$4:$B$603,$Z423-5200)=0,"",INDEX(次果筐明细!$B$4:$B$603,$Z423-5200)),"")))))</f>
        <v/>
      </c>
      <c r="C423" s="37" t="str">
        <f>IF($Z423="","",IF($Z423&lt;=2000,IF(INDEX(包装物料出入库明细!$D$4:$D$2003,$Z423-0)=0,"",INDEX(包装物料出入库明细!$D$4:$D$2003,$Z423-0)),IF($Z423&lt;=4000,IF(INDEX(周转筐出入库明细!$C$4:$C$2004,$Z423-2000)=0,"",INDEX(周转筐出入库明细!$C$4:$C$2004,$Z423-2000)),IF($Z423&lt;=5200,IF(INDEX(客户自备加工筐明细!$E$4:$E$1203,$Z423-4000)=0,"",INDEX(客户自备加工筐明细!$E$4:$E$1203,$Z423-4000)),IF($Z423&lt;=5800,IF(INDEX(次果筐明细!$C$4:$C$603,$Z423-5200)=0,"",INDEX(次果筐明细!$C$4:$C$603,$Z423-5200)),"")))))</f>
        <v/>
      </c>
      <c r="D423" s="37" t="str">
        <f>IF($Z423="","",IF($Z423&lt;=2000,"包装物料－"&amp;INDEX(包装物料出入库明细!$H$4:$H$2003,$Z423-0),IF($Z423&lt;=4000,"周转筐－"&amp;INDEX(周转筐出入库明细!$F$4:$F$2004,$Z423-2000),IF($Z423&lt;=5200,"客户自备筐－"&amp;INDEX(客户自备加工筐明细!$J$4:$J$1203,$Z423-4000),IF($Z423&lt;=5800,"次果筐/托盘－"&amp;INDEX(次果筐明细!$F$4:$F$603,$Z423-5200),"")))))</f>
        <v/>
      </c>
      <c r="E423" s="24" t="str">
        <f>IF($Z423="","",IF($Z423&lt;=2000,IF(INDEX(包装物料出入库明细!$C$4:$C$2003,$Z423-0)=0,"",INDEX(包装物料出入库明细!$C$4:$C$2003,$Z423-0)),IF($Z423&lt;=4000,IF(INDEX(周转筐出入库明细!$E$4:$E$2004,$Z423-2000)=0,"",INDEX(周转筐出入库明细!$E$4:$E$2004,$Z423-2000)),IF($Z423&lt;=5200,IF(INDEX(客户自备加工筐明细!$D$4:$D$1203,$Z423-4000)=0,"",INDEX(客户自备加工筐明细!$D$4:$D$1203,$Z423-4000)),IF($Z423&lt;=5800,IF(INDEX(次果筐明细!$E$4:$E$603,$Z423-5200)=0,"",INDEX(次果筐明细!$E$4:$E$603,$Z423-5200)),"")))))</f>
        <v/>
      </c>
      <c r="F423" s="24" t="str">
        <f>IF($Z423="","",IF($Z423&lt;=2000,IF(INDEX(包装物料出入库明细!$E$4:$E$2003,$Z423-0)=0,"",INDEX(包装物料出入库明细!$E$4:$E$2003,$Z423-0)),IF($Z423&lt;=4000,IF(INDEX(周转筐出入库明细!$D$4:$D$2004,$Z423-2000)=0,"",INDEX(周转筐出入库明细!$D$4:$D$2004,$Z423-2000)),IF($Z423&lt;=5200,IF(INDEX(客户自备加工筐明细!$C$4:$C$1203,$Z423-4000)=0,"",INDEX(客户自备加工筐明细!$C$4:$C$1203,$Z423-4000)),IF($Z423&lt;=5800,IF(INDEX(次果筐明细!$D$4:$D$603,$Z423-5200)=0,"",INDEX(次果筐明细!$D$4:$D$603,$Z423-5200)),"")))))</f>
        <v/>
      </c>
      <c r="G423" s="24" t="str">
        <f>IF($Z423="","",IF($Z423&lt;=2000,IF(INDEX(包装物料出入库明细!$F$4:$F$2003,$Z423-0)=0,"",INDEX(包装物料出入库明细!$F$4:$F$2003,$Z423-0)),IF($Z423&lt;=4000,"",IF($Z423&lt;=5200,"",IF($Z423&lt;=5800,"","")))))</f>
        <v/>
      </c>
      <c r="H423" s="39" t="str">
        <f>IF($Z423="","",IF($Z423&lt;=2000,IF(INDEX(包装物料出入库明细!$L$4:$L$2003,$Z423-0)=0,"",INDEX(包装物料出入库明细!$L$4:$L$2003,$Z423-0)),IF($Z423&lt;=4000,N(INDEX(周转筐出入库明细!$H$4:$H$2004,$Z423-2000))+N(INDEX(周转筐出入库明细!$I$4:$I$2004,$Z423-2000))+N(INDEX(周转筐出入库明细!$J$4:$J$2004,$Z423-2000))+N(INDEX(周转筐出入库明细!$K$4:$K$2004,$Z423-2000)),IF($Z423&lt;=5200,N(INDEX(客户自备加工筐明细!$F$4:$F$1203,$Z423-4000))+N(INDEX(客户自备加工筐明细!$G$4:$G$1203,$Z423-4000)),IF($Z423&lt;=5800,IF(INDEX(次果筐明细!$G$4:$G$603,$Z423-5200)=0,"",INDEX(次果筐明细!$G$4:$G$603,$Z423-5200)),"")))))</f>
        <v/>
      </c>
      <c r="I423" s="24" t="str">
        <f>IF($Z423="","",IF($Z423&lt;=2000,IF(INDEX(包装物料出入库明细!$G$4:$G$2003,$Z423-0)=0,"",INDEX(包装物料出入库明细!$G$4:$G$2003,$Z423-0)),IF($Z423&lt;=4000,"个",IF($Z423&lt;=5200,"个",IF($Z423&lt;=5800,"个","")))))</f>
        <v/>
      </c>
      <c r="J423" s="30" t="str">
        <f t="shared" si="19"/>
        <v/>
      </c>
      <c r="K423" s="30" t="str">
        <f>IF($Z423="","",IF($Z423&lt;=2000,IF(INDEX(包装物料出入库明细!$N$4:$N$2003,$Z423-0)=0,"",INDEX(包装物料出入库明细!$N$4:$N$2003,$Z423-0)),IF($Z423&lt;=4000,IF(INDEX(周转筐出入库明细!$P$4:$P$2004,$Z423-2000)=0,"",INDEX(周转筐出入库明细!$P$4:$P$2004,$Z423-2000)),IF($Z423&lt;=5200,"",IF($Z423&lt;=5800,N(INDEX(次果筐明细!$L$4:$L$603,$Z423-5200))+N(INDEX(次果筐明细!$J$4:$J$603,$Z423-5200)),"")))))</f>
        <v/>
      </c>
      <c r="L423" s="24" t="str">
        <f>IF($Z423="","",IF($Z423&lt;=2000,IF(INDEX(包装物料出入库明细!$P$4:$P$2003,$Z423-0)=0,"",INDEX(包装物料出入库明细!$P$4:$P$2003,$Z423-0)),IF($Z423&lt;=4000,IF(INDEX(周转筐出入库明细!$Q$4:$Q$2004,$Z423-2000)=0,"",INDEX(周转筐出入库明细!$Q$4:$Q$2004,$Z423-2000)),IF($Z423&lt;=5200,"",IF($Z423&lt;=5800,IF(INDEX(次果筐明细!$M$4:$M$603,$Z423-5200)=0,"",INDEX(次果筐明细!$M$4:$M$603,$Z423-5200)),"")))))</f>
        <v/>
      </c>
      <c r="M423" s="37" t="str">
        <f>IF($Z423="","",IF($Z423&lt;=2000,IF(INDEX(包装物料出入库明细!$R$4:$R$2003,$Z423-0)=0,"",INDEX(包装物料出入库明细!$R$4:$R$2003,$Z423-0)),IF($Z423&lt;=4000,IF(INDEX(周转筐出入库明细!$W$4:$W$2004,$Z423-2000)=0,"",INDEX(周转筐出入库明细!$W$4:$W$2004,$Z423-2000)),IF($Z423&lt;=5200,IF(INDEX(客户自备加工筐明细!$L$4:$L$1203,$Z423-4000)=0,"",INDEX(客户自备加工筐明细!$L$4:$L$1203,$Z423-4000)),IF($Z423&lt;=5800,IF(INDEX(次果筐明细!$P$4:$P$603,$Z423-5200)=0,"",INDEX(次果筐明细!$P$4:$P$603,$Z423-5200)),"")))))</f>
        <v/>
      </c>
      <c r="N423" s="16" t="str">
        <f>IF($Z423="","",IF($Z423&lt;=2000,"",IF($Z423&lt;=4000,IF(INDEX(周转筐出入库明细!$D$4:$D$2004,$Z423-2000)=0,"",INDEX(周转筐出入库明细!$D$4:$D$2004,$Z423-2000)),IF($Z423&lt;=5200,IF(INDEX(客户自备加工筐明细!$C$4:$C$1203,$Z423-4000)=0,"",INDEX(客户自备加工筐明细!$C$4:$C$1203,$Z423-4000)),IF($Z423&lt;=5800,IF(INDEX(次果筐明细!$D$4:$D$603,$Z423-5200)=0,"",INDEX(次果筐明细!$D$4:$D$603,$Z423-5200)),"")))))</f>
        <v/>
      </c>
      <c r="O423" s="40" t="str">
        <f>IF($Z423="","",IF($Z423&lt;=2000,"",IF($Z423&lt;=4000,IF(N(INDEX(周转筐出入库明细!$J$4:$J$2004,$Z423-2000))+N(INDEX(周转筐出入库明细!$K$4:$K$2004,$Z423-2000))=0,"",N(INDEX(周转筐出入库明细!$J$4:$J$2004,$Z423-2000))+N(INDEX(周转筐出入库明细!$K$4:$K$2004,$Z423-2000))),IF($Z423&lt;=5200,IF(N(INDEX(客户自备加工筐明细!$G$4:$G$1203,$Z423-4000))=0,"",N(INDEX(客户自备加工筐明细!$G$4:$G$1203,$Z423-4000))),IF($Z423&lt;=5800,IF(ISNUMBER(SEARCH("退",INDEX(次果筐明细!$F$4:$F$603,$Z423-5200)&amp;"")),"",IF(N(INDEX(次果筐明细!$G$4:$G$603,$Z423-5200))=0,"",N(INDEX(次果筐明细!$G$4:$G$603,$Z423-5200)))),"")))))</f>
        <v/>
      </c>
      <c r="P423" s="40" t="str">
        <f>IF($Z423="","",IF($Z423&lt;=2000,"",IF($Z423&lt;=4000,IF(N(INDEX(周转筐出入库明细!$I$4:$I$2004,$Z423-2000))=0,"",N(INDEX(周转筐出入库明细!$I$4:$I$2004,$Z423-2000))),IF($Z423&lt;=5200,"",IF($Z423&lt;=5800,IF(ISNUMBER(SEARCH("退",INDEX(次果筐明细!$F$4:$F$603,$Z423-5200)&amp;"")),IF(N(INDEX(次果筐明细!$G$4:$G$603,$Z423-5200))=0,"",N(INDEX(次果筐明细!$G$4:$G$603,$Z423-5200))),""),"")))))</f>
        <v/>
      </c>
      <c r="Q423" s="40" t="str">
        <f>IF($Z423="","",IF($Z423&lt;=2000,"",IF($Z423&lt;=4000,IF(N(INDEX(周转筐出入库明细!$H$4:$H$2004,$Z423-2000))=0,"",N(INDEX(周转筐出入库明细!$H$4:$H$2004,$Z423-2000))),IF($Z423&lt;=5200,IF(N(INDEX(客户自备加工筐明细!$F$4:$F$1203,$Z423-4000))=0,"",N(INDEX(客户自备加工筐明细!$F$4:$F$1203,$Z423-4000))),IF($Z423&lt;=5800,"","")))))</f>
        <v/>
      </c>
      <c r="R423" s="16" t="str">
        <f>IF($Z423="","",IF($Z423&lt;=2000,IF(INDEX(包装物料出入库明细!$O$4:$O$2003,$Z423-0)=0,"",INDEX(包装物料出入库明细!$O$4:$O$2003,$Z423-0)),IF($Z423&lt;=4000,IF(INDEX(周转筐出入库明细!$M$4:$M$2004,$Z423-2000)=0,"",INDEX(周转筐出入库明细!$M$4:$M$2004,$Z423-2000)),IF($Z423&lt;=5200,IF(INDEX(客户自备加工筐明细!$H$4:$H$1203,$Z423-4000)=0,"",INDEX(客户自备加工筐明细!$H$4:$H$1203,$Z423-4000)),IF($Z423&lt;=5800,IF(INDEX(次果筐明细!$H$4:$H$603,$Z423-5200)=0,"",INDEX(次果筐明细!$H$4:$H$603,$Z423-5200)),"")))))</f>
        <v/>
      </c>
      <c r="S423" s="22" t="str">
        <f t="shared" si="20"/>
        <v/>
      </c>
      <c r="Z423" s="10" t="str">
        <f>IFERROR(MATCH(ROW()-3,_自动清单!$CQ$4:$CQ$5803,0),"")</f>
        <v/>
      </c>
    </row>
    <row r="424" spans="1:26">
      <c r="A424" s="24" t="str">
        <f t="shared" si="18"/>
        <v/>
      </c>
      <c r="B424" s="38" t="str">
        <f>IF($Z424="","",IF($Z424&lt;=2000,IF(INDEX(包装物料出入库明细!$B$4:$B$2003,$Z424-0)=0,"",INDEX(包装物料出入库明细!$B$4:$B$2003,$Z424-0)),IF($Z424&lt;=4000,IF(INDEX(周转筐出入库明细!$B$4:$B$2004,$Z424-2000)=0,"",INDEX(周转筐出入库明细!$B$4:$B$2004,$Z424-2000)),IF($Z424&lt;=5200,IF(INDEX(客户自备加工筐明细!$B$4:$B$1203,$Z424-4000)=0,"",INDEX(客户自备加工筐明细!$B$4:$B$1203,$Z424-4000)),IF($Z424&lt;=5800,IF(INDEX(次果筐明细!$B$4:$B$603,$Z424-5200)=0,"",INDEX(次果筐明细!$B$4:$B$603,$Z424-5200)),"")))))</f>
        <v/>
      </c>
      <c r="C424" s="37" t="str">
        <f>IF($Z424="","",IF($Z424&lt;=2000,IF(INDEX(包装物料出入库明细!$D$4:$D$2003,$Z424-0)=0,"",INDEX(包装物料出入库明细!$D$4:$D$2003,$Z424-0)),IF($Z424&lt;=4000,IF(INDEX(周转筐出入库明细!$C$4:$C$2004,$Z424-2000)=0,"",INDEX(周转筐出入库明细!$C$4:$C$2004,$Z424-2000)),IF($Z424&lt;=5200,IF(INDEX(客户自备加工筐明细!$E$4:$E$1203,$Z424-4000)=0,"",INDEX(客户自备加工筐明细!$E$4:$E$1203,$Z424-4000)),IF($Z424&lt;=5800,IF(INDEX(次果筐明细!$C$4:$C$603,$Z424-5200)=0,"",INDEX(次果筐明细!$C$4:$C$603,$Z424-5200)),"")))))</f>
        <v/>
      </c>
      <c r="D424" s="37" t="str">
        <f>IF($Z424="","",IF($Z424&lt;=2000,"包装物料－"&amp;INDEX(包装物料出入库明细!$H$4:$H$2003,$Z424-0),IF($Z424&lt;=4000,"周转筐－"&amp;INDEX(周转筐出入库明细!$F$4:$F$2004,$Z424-2000),IF($Z424&lt;=5200,"客户自备筐－"&amp;INDEX(客户自备加工筐明细!$J$4:$J$1203,$Z424-4000),IF($Z424&lt;=5800,"次果筐/托盘－"&amp;INDEX(次果筐明细!$F$4:$F$603,$Z424-5200),"")))))</f>
        <v/>
      </c>
      <c r="E424" s="24" t="str">
        <f>IF($Z424="","",IF($Z424&lt;=2000,IF(INDEX(包装物料出入库明细!$C$4:$C$2003,$Z424-0)=0,"",INDEX(包装物料出入库明细!$C$4:$C$2003,$Z424-0)),IF($Z424&lt;=4000,IF(INDEX(周转筐出入库明细!$E$4:$E$2004,$Z424-2000)=0,"",INDEX(周转筐出入库明细!$E$4:$E$2004,$Z424-2000)),IF($Z424&lt;=5200,IF(INDEX(客户自备加工筐明细!$D$4:$D$1203,$Z424-4000)=0,"",INDEX(客户自备加工筐明细!$D$4:$D$1203,$Z424-4000)),IF($Z424&lt;=5800,IF(INDEX(次果筐明细!$E$4:$E$603,$Z424-5200)=0,"",INDEX(次果筐明细!$E$4:$E$603,$Z424-5200)),"")))))</f>
        <v/>
      </c>
      <c r="F424" s="24" t="str">
        <f>IF($Z424="","",IF($Z424&lt;=2000,IF(INDEX(包装物料出入库明细!$E$4:$E$2003,$Z424-0)=0,"",INDEX(包装物料出入库明细!$E$4:$E$2003,$Z424-0)),IF($Z424&lt;=4000,IF(INDEX(周转筐出入库明细!$D$4:$D$2004,$Z424-2000)=0,"",INDEX(周转筐出入库明细!$D$4:$D$2004,$Z424-2000)),IF($Z424&lt;=5200,IF(INDEX(客户自备加工筐明细!$C$4:$C$1203,$Z424-4000)=0,"",INDEX(客户自备加工筐明细!$C$4:$C$1203,$Z424-4000)),IF($Z424&lt;=5800,IF(INDEX(次果筐明细!$D$4:$D$603,$Z424-5200)=0,"",INDEX(次果筐明细!$D$4:$D$603,$Z424-5200)),"")))))</f>
        <v/>
      </c>
      <c r="G424" s="24" t="str">
        <f>IF($Z424="","",IF($Z424&lt;=2000,IF(INDEX(包装物料出入库明细!$F$4:$F$2003,$Z424-0)=0,"",INDEX(包装物料出入库明细!$F$4:$F$2003,$Z424-0)),IF($Z424&lt;=4000,"",IF($Z424&lt;=5200,"",IF($Z424&lt;=5800,"","")))))</f>
        <v/>
      </c>
      <c r="H424" s="39" t="str">
        <f>IF($Z424="","",IF($Z424&lt;=2000,IF(INDEX(包装物料出入库明细!$L$4:$L$2003,$Z424-0)=0,"",INDEX(包装物料出入库明细!$L$4:$L$2003,$Z424-0)),IF($Z424&lt;=4000,N(INDEX(周转筐出入库明细!$H$4:$H$2004,$Z424-2000))+N(INDEX(周转筐出入库明细!$I$4:$I$2004,$Z424-2000))+N(INDEX(周转筐出入库明细!$J$4:$J$2004,$Z424-2000))+N(INDEX(周转筐出入库明细!$K$4:$K$2004,$Z424-2000)),IF($Z424&lt;=5200,N(INDEX(客户自备加工筐明细!$F$4:$F$1203,$Z424-4000))+N(INDEX(客户自备加工筐明细!$G$4:$G$1203,$Z424-4000)),IF($Z424&lt;=5800,IF(INDEX(次果筐明细!$G$4:$G$603,$Z424-5200)=0,"",INDEX(次果筐明细!$G$4:$G$603,$Z424-5200)),"")))))</f>
        <v/>
      </c>
      <c r="I424" s="24" t="str">
        <f>IF($Z424="","",IF($Z424&lt;=2000,IF(INDEX(包装物料出入库明细!$G$4:$G$2003,$Z424-0)=0,"",INDEX(包装物料出入库明细!$G$4:$G$2003,$Z424-0)),IF($Z424&lt;=4000,"个",IF($Z424&lt;=5200,"个",IF($Z424&lt;=5800,"个","")))))</f>
        <v/>
      </c>
      <c r="J424" s="30" t="str">
        <f t="shared" si="19"/>
        <v/>
      </c>
      <c r="K424" s="30" t="str">
        <f>IF($Z424="","",IF($Z424&lt;=2000,IF(INDEX(包装物料出入库明细!$N$4:$N$2003,$Z424-0)=0,"",INDEX(包装物料出入库明细!$N$4:$N$2003,$Z424-0)),IF($Z424&lt;=4000,IF(INDEX(周转筐出入库明细!$P$4:$P$2004,$Z424-2000)=0,"",INDEX(周转筐出入库明细!$P$4:$P$2004,$Z424-2000)),IF($Z424&lt;=5200,"",IF($Z424&lt;=5800,N(INDEX(次果筐明细!$L$4:$L$603,$Z424-5200))+N(INDEX(次果筐明细!$J$4:$J$603,$Z424-5200)),"")))))</f>
        <v/>
      </c>
      <c r="L424" s="24" t="str">
        <f>IF($Z424="","",IF($Z424&lt;=2000,IF(INDEX(包装物料出入库明细!$P$4:$P$2003,$Z424-0)=0,"",INDEX(包装物料出入库明细!$P$4:$P$2003,$Z424-0)),IF($Z424&lt;=4000,IF(INDEX(周转筐出入库明细!$Q$4:$Q$2004,$Z424-2000)=0,"",INDEX(周转筐出入库明细!$Q$4:$Q$2004,$Z424-2000)),IF($Z424&lt;=5200,"",IF($Z424&lt;=5800,IF(INDEX(次果筐明细!$M$4:$M$603,$Z424-5200)=0,"",INDEX(次果筐明细!$M$4:$M$603,$Z424-5200)),"")))))</f>
        <v/>
      </c>
      <c r="M424" s="37" t="str">
        <f>IF($Z424="","",IF($Z424&lt;=2000,IF(INDEX(包装物料出入库明细!$R$4:$R$2003,$Z424-0)=0,"",INDEX(包装物料出入库明细!$R$4:$R$2003,$Z424-0)),IF($Z424&lt;=4000,IF(INDEX(周转筐出入库明细!$W$4:$W$2004,$Z424-2000)=0,"",INDEX(周转筐出入库明细!$W$4:$W$2004,$Z424-2000)),IF($Z424&lt;=5200,IF(INDEX(客户自备加工筐明细!$L$4:$L$1203,$Z424-4000)=0,"",INDEX(客户自备加工筐明细!$L$4:$L$1203,$Z424-4000)),IF($Z424&lt;=5800,IF(INDEX(次果筐明细!$P$4:$P$603,$Z424-5200)=0,"",INDEX(次果筐明细!$P$4:$P$603,$Z424-5200)),"")))))</f>
        <v/>
      </c>
      <c r="N424" s="16" t="str">
        <f>IF($Z424="","",IF($Z424&lt;=2000,"",IF($Z424&lt;=4000,IF(INDEX(周转筐出入库明细!$D$4:$D$2004,$Z424-2000)=0,"",INDEX(周转筐出入库明细!$D$4:$D$2004,$Z424-2000)),IF($Z424&lt;=5200,IF(INDEX(客户自备加工筐明细!$C$4:$C$1203,$Z424-4000)=0,"",INDEX(客户自备加工筐明细!$C$4:$C$1203,$Z424-4000)),IF($Z424&lt;=5800,IF(INDEX(次果筐明细!$D$4:$D$603,$Z424-5200)=0,"",INDEX(次果筐明细!$D$4:$D$603,$Z424-5200)),"")))))</f>
        <v/>
      </c>
      <c r="O424" s="40" t="str">
        <f>IF($Z424="","",IF($Z424&lt;=2000,"",IF($Z424&lt;=4000,IF(N(INDEX(周转筐出入库明细!$J$4:$J$2004,$Z424-2000))+N(INDEX(周转筐出入库明细!$K$4:$K$2004,$Z424-2000))=0,"",N(INDEX(周转筐出入库明细!$J$4:$J$2004,$Z424-2000))+N(INDEX(周转筐出入库明细!$K$4:$K$2004,$Z424-2000))),IF($Z424&lt;=5200,IF(N(INDEX(客户自备加工筐明细!$G$4:$G$1203,$Z424-4000))=0,"",N(INDEX(客户自备加工筐明细!$G$4:$G$1203,$Z424-4000))),IF($Z424&lt;=5800,IF(ISNUMBER(SEARCH("退",INDEX(次果筐明细!$F$4:$F$603,$Z424-5200)&amp;"")),"",IF(N(INDEX(次果筐明细!$G$4:$G$603,$Z424-5200))=0,"",N(INDEX(次果筐明细!$G$4:$G$603,$Z424-5200)))),"")))))</f>
        <v/>
      </c>
      <c r="P424" s="40" t="str">
        <f>IF($Z424="","",IF($Z424&lt;=2000,"",IF($Z424&lt;=4000,IF(N(INDEX(周转筐出入库明细!$I$4:$I$2004,$Z424-2000))=0,"",N(INDEX(周转筐出入库明细!$I$4:$I$2004,$Z424-2000))),IF($Z424&lt;=5200,"",IF($Z424&lt;=5800,IF(ISNUMBER(SEARCH("退",INDEX(次果筐明细!$F$4:$F$603,$Z424-5200)&amp;"")),IF(N(INDEX(次果筐明细!$G$4:$G$603,$Z424-5200))=0,"",N(INDEX(次果筐明细!$G$4:$G$603,$Z424-5200))),""),"")))))</f>
        <v/>
      </c>
      <c r="Q424" s="40" t="str">
        <f>IF($Z424="","",IF($Z424&lt;=2000,"",IF($Z424&lt;=4000,IF(N(INDEX(周转筐出入库明细!$H$4:$H$2004,$Z424-2000))=0,"",N(INDEX(周转筐出入库明细!$H$4:$H$2004,$Z424-2000))),IF($Z424&lt;=5200,IF(N(INDEX(客户自备加工筐明细!$F$4:$F$1203,$Z424-4000))=0,"",N(INDEX(客户自备加工筐明细!$F$4:$F$1203,$Z424-4000))),IF($Z424&lt;=5800,"","")))))</f>
        <v/>
      </c>
      <c r="R424" s="16" t="str">
        <f>IF($Z424="","",IF($Z424&lt;=2000,IF(INDEX(包装物料出入库明细!$O$4:$O$2003,$Z424-0)=0,"",INDEX(包装物料出入库明细!$O$4:$O$2003,$Z424-0)),IF($Z424&lt;=4000,IF(INDEX(周转筐出入库明细!$M$4:$M$2004,$Z424-2000)=0,"",INDEX(周转筐出入库明细!$M$4:$M$2004,$Z424-2000)),IF($Z424&lt;=5200,IF(INDEX(客户自备加工筐明细!$H$4:$H$1203,$Z424-4000)=0,"",INDEX(客户自备加工筐明细!$H$4:$H$1203,$Z424-4000)),IF($Z424&lt;=5800,IF(INDEX(次果筐明细!$H$4:$H$603,$Z424-5200)=0,"",INDEX(次果筐明细!$H$4:$H$603,$Z424-5200)),"")))))</f>
        <v/>
      </c>
      <c r="S424" s="22" t="str">
        <f t="shared" si="20"/>
        <v/>
      </c>
      <c r="Z424" s="10" t="str">
        <f>IFERROR(MATCH(ROW()-3,_自动清单!$CQ$4:$CQ$5803,0),"")</f>
        <v/>
      </c>
    </row>
    <row r="425" spans="1:26">
      <c r="A425" s="24" t="str">
        <f t="shared" si="18"/>
        <v/>
      </c>
      <c r="B425" s="38" t="str">
        <f>IF($Z425="","",IF($Z425&lt;=2000,IF(INDEX(包装物料出入库明细!$B$4:$B$2003,$Z425-0)=0,"",INDEX(包装物料出入库明细!$B$4:$B$2003,$Z425-0)),IF($Z425&lt;=4000,IF(INDEX(周转筐出入库明细!$B$4:$B$2004,$Z425-2000)=0,"",INDEX(周转筐出入库明细!$B$4:$B$2004,$Z425-2000)),IF($Z425&lt;=5200,IF(INDEX(客户自备加工筐明细!$B$4:$B$1203,$Z425-4000)=0,"",INDEX(客户自备加工筐明细!$B$4:$B$1203,$Z425-4000)),IF($Z425&lt;=5800,IF(INDEX(次果筐明细!$B$4:$B$603,$Z425-5200)=0,"",INDEX(次果筐明细!$B$4:$B$603,$Z425-5200)),"")))))</f>
        <v/>
      </c>
      <c r="C425" s="37" t="str">
        <f>IF($Z425="","",IF($Z425&lt;=2000,IF(INDEX(包装物料出入库明细!$D$4:$D$2003,$Z425-0)=0,"",INDEX(包装物料出入库明细!$D$4:$D$2003,$Z425-0)),IF($Z425&lt;=4000,IF(INDEX(周转筐出入库明细!$C$4:$C$2004,$Z425-2000)=0,"",INDEX(周转筐出入库明细!$C$4:$C$2004,$Z425-2000)),IF($Z425&lt;=5200,IF(INDEX(客户自备加工筐明细!$E$4:$E$1203,$Z425-4000)=0,"",INDEX(客户自备加工筐明细!$E$4:$E$1203,$Z425-4000)),IF($Z425&lt;=5800,IF(INDEX(次果筐明细!$C$4:$C$603,$Z425-5200)=0,"",INDEX(次果筐明细!$C$4:$C$603,$Z425-5200)),"")))))</f>
        <v/>
      </c>
      <c r="D425" s="37" t="str">
        <f>IF($Z425="","",IF($Z425&lt;=2000,"包装物料－"&amp;INDEX(包装物料出入库明细!$H$4:$H$2003,$Z425-0),IF($Z425&lt;=4000,"周转筐－"&amp;INDEX(周转筐出入库明细!$F$4:$F$2004,$Z425-2000),IF($Z425&lt;=5200,"客户自备筐－"&amp;INDEX(客户自备加工筐明细!$J$4:$J$1203,$Z425-4000),IF($Z425&lt;=5800,"次果筐/托盘－"&amp;INDEX(次果筐明细!$F$4:$F$603,$Z425-5200),"")))))</f>
        <v/>
      </c>
      <c r="E425" s="24" t="str">
        <f>IF($Z425="","",IF($Z425&lt;=2000,IF(INDEX(包装物料出入库明细!$C$4:$C$2003,$Z425-0)=0,"",INDEX(包装物料出入库明细!$C$4:$C$2003,$Z425-0)),IF($Z425&lt;=4000,IF(INDEX(周转筐出入库明细!$E$4:$E$2004,$Z425-2000)=0,"",INDEX(周转筐出入库明细!$E$4:$E$2004,$Z425-2000)),IF($Z425&lt;=5200,IF(INDEX(客户自备加工筐明细!$D$4:$D$1203,$Z425-4000)=0,"",INDEX(客户自备加工筐明细!$D$4:$D$1203,$Z425-4000)),IF($Z425&lt;=5800,IF(INDEX(次果筐明细!$E$4:$E$603,$Z425-5200)=0,"",INDEX(次果筐明细!$E$4:$E$603,$Z425-5200)),"")))))</f>
        <v/>
      </c>
      <c r="F425" s="24" t="str">
        <f>IF($Z425="","",IF($Z425&lt;=2000,IF(INDEX(包装物料出入库明细!$E$4:$E$2003,$Z425-0)=0,"",INDEX(包装物料出入库明细!$E$4:$E$2003,$Z425-0)),IF($Z425&lt;=4000,IF(INDEX(周转筐出入库明细!$D$4:$D$2004,$Z425-2000)=0,"",INDEX(周转筐出入库明细!$D$4:$D$2004,$Z425-2000)),IF($Z425&lt;=5200,IF(INDEX(客户自备加工筐明细!$C$4:$C$1203,$Z425-4000)=0,"",INDEX(客户自备加工筐明细!$C$4:$C$1203,$Z425-4000)),IF($Z425&lt;=5800,IF(INDEX(次果筐明细!$D$4:$D$603,$Z425-5200)=0,"",INDEX(次果筐明细!$D$4:$D$603,$Z425-5200)),"")))))</f>
        <v/>
      </c>
      <c r="G425" s="24" t="str">
        <f>IF($Z425="","",IF($Z425&lt;=2000,IF(INDEX(包装物料出入库明细!$F$4:$F$2003,$Z425-0)=0,"",INDEX(包装物料出入库明细!$F$4:$F$2003,$Z425-0)),IF($Z425&lt;=4000,"",IF($Z425&lt;=5200,"",IF($Z425&lt;=5800,"","")))))</f>
        <v/>
      </c>
      <c r="H425" s="39" t="str">
        <f>IF($Z425="","",IF($Z425&lt;=2000,IF(INDEX(包装物料出入库明细!$L$4:$L$2003,$Z425-0)=0,"",INDEX(包装物料出入库明细!$L$4:$L$2003,$Z425-0)),IF($Z425&lt;=4000,N(INDEX(周转筐出入库明细!$H$4:$H$2004,$Z425-2000))+N(INDEX(周转筐出入库明细!$I$4:$I$2004,$Z425-2000))+N(INDEX(周转筐出入库明细!$J$4:$J$2004,$Z425-2000))+N(INDEX(周转筐出入库明细!$K$4:$K$2004,$Z425-2000)),IF($Z425&lt;=5200,N(INDEX(客户自备加工筐明细!$F$4:$F$1203,$Z425-4000))+N(INDEX(客户自备加工筐明细!$G$4:$G$1203,$Z425-4000)),IF($Z425&lt;=5800,IF(INDEX(次果筐明细!$G$4:$G$603,$Z425-5200)=0,"",INDEX(次果筐明细!$G$4:$G$603,$Z425-5200)),"")))))</f>
        <v/>
      </c>
      <c r="I425" s="24" t="str">
        <f>IF($Z425="","",IF($Z425&lt;=2000,IF(INDEX(包装物料出入库明细!$G$4:$G$2003,$Z425-0)=0,"",INDEX(包装物料出入库明细!$G$4:$G$2003,$Z425-0)),IF($Z425&lt;=4000,"个",IF($Z425&lt;=5200,"个",IF($Z425&lt;=5800,"个","")))))</f>
        <v/>
      </c>
      <c r="J425" s="30" t="str">
        <f t="shared" si="19"/>
        <v/>
      </c>
      <c r="K425" s="30" t="str">
        <f>IF($Z425="","",IF($Z425&lt;=2000,IF(INDEX(包装物料出入库明细!$N$4:$N$2003,$Z425-0)=0,"",INDEX(包装物料出入库明细!$N$4:$N$2003,$Z425-0)),IF($Z425&lt;=4000,IF(INDEX(周转筐出入库明细!$P$4:$P$2004,$Z425-2000)=0,"",INDEX(周转筐出入库明细!$P$4:$P$2004,$Z425-2000)),IF($Z425&lt;=5200,"",IF($Z425&lt;=5800,N(INDEX(次果筐明细!$L$4:$L$603,$Z425-5200))+N(INDEX(次果筐明细!$J$4:$J$603,$Z425-5200)),"")))))</f>
        <v/>
      </c>
      <c r="L425" s="24" t="str">
        <f>IF($Z425="","",IF($Z425&lt;=2000,IF(INDEX(包装物料出入库明细!$P$4:$P$2003,$Z425-0)=0,"",INDEX(包装物料出入库明细!$P$4:$P$2003,$Z425-0)),IF($Z425&lt;=4000,IF(INDEX(周转筐出入库明细!$Q$4:$Q$2004,$Z425-2000)=0,"",INDEX(周转筐出入库明细!$Q$4:$Q$2004,$Z425-2000)),IF($Z425&lt;=5200,"",IF($Z425&lt;=5800,IF(INDEX(次果筐明细!$M$4:$M$603,$Z425-5200)=0,"",INDEX(次果筐明细!$M$4:$M$603,$Z425-5200)),"")))))</f>
        <v/>
      </c>
      <c r="M425" s="37" t="str">
        <f>IF($Z425="","",IF($Z425&lt;=2000,IF(INDEX(包装物料出入库明细!$R$4:$R$2003,$Z425-0)=0,"",INDEX(包装物料出入库明细!$R$4:$R$2003,$Z425-0)),IF($Z425&lt;=4000,IF(INDEX(周转筐出入库明细!$W$4:$W$2004,$Z425-2000)=0,"",INDEX(周转筐出入库明细!$W$4:$W$2004,$Z425-2000)),IF($Z425&lt;=5200,IF(INDEX(客户自备加工筐明细!$L$4:$L$1203,$Z425-4000)=0,"",INDEX(客户自备加工筐明细!$L$4:$L$1203,$Z425-4000)),IF($Z425&lt;=5800,IF(INDEX(次果筐明细!$P$4:$P$603,$Z425-5200)=0,"",INDEX(次果筐明细!$P$4:$P$603,$Z425-5200)),"")))))</f>
        <v/>
      </c>
      <c r="N425" s="16" t="str">
        <f>IF($Z425="","",IF($Z425&lt;=2000,"",IF($Z425&lt;=4000,IF(INDEX(周转筐出入库明细!$D$4:$D$2004,$Z425-2000)=0,"",INDEX(周转筐出入库明细!$D$4:$D$2004,$Z425-2000)),IF($Z425&lt;=5200,IF(INDEX(客户自备加工筐明细!$C$4:$C$1203,$Z425-4000)=0,"",INDEX(客户自备加工筐明细!$C$4:$C$1203,$Z425-4000)),IF($Z425&lt;=5800,IF(INDEX(次果筐明细!$D$4:$D$603,$Z425-5200)=0,"",INDEX(次果筐明细!$D$4:$D$603,$Z425-5200)),"")))))</f>
        <v/>
      </c>
      <c r="O425" s="40" t="str">
        <f>IF($Z425="","",IF($Z425&lt;=2000,"",IF($Z425&lt;=4000,IF(N(INDEX(周转筐出入库明细!$J$4:$J$2004,$Z425-2000))+N(INDEX(周转筐出入库明细!$K$4:$K$2004,$Z425-2000))=0,"",N(INDEX(周转筐出入库明细!$J$4:$J$2004,$Z425-2000))+N(INDEX(周转筐出入库明细!$K$4:$K$2004,$Z425-2000))),IF($Z425&lt;=5200,IF(N(INDEX(客户自备加工筐明细!$G$4:$G$1203,$Z425-4000))=0,"",N(INDEX(客户自备加工筐明细!$G$4:$G$1203,$Z425-4000))),IF($Z425&lt;=5800,IF(ISNUMBER(SEARCH("退",INDEX(次果筐明细!$F$4:$F$603,$Z425-5200)&amp;"")),"",IF(N(INDEX(次果筐明细!$G$4:$G$603,$Z425-5200))=0,"",N(INDEX(次果筐明细!$G$4:$G$603,$Z425-5200)))),"")))))</f>
        <v/>
      </c>
      <c r="P425" s="40" t="str">
        <f>IF($Z425="","",IF($Z425&lt;=2000,"",IF($Z425&lt;=4000,IF(N(INDEX(周转筐出入库明细!$I$4:$I$2004,$Z425-2000))=0,"",N(INDEX(周转筐出入库明细!$I$4:$I$2004,$Z425-2000))),IF($Z425&lt;=5200,"",IF($Z425&lt;=5800,IF(ISNUMBER(SEARCH("退",INDEX(次果筐明细!$F$4:$F$603,$Z425-5200)&amp;"")),IF(N(INDEX(次果筐明细!$G$4:$G$603,$Z425-5200))=0,"",N(INDEX(次果筐明细!$G$4:$G$603,$Z425-5200))),""),"")))))</f>
        <v/>
      </c>
      <c r="Q425" s="40" t="str">
        <f>IF($Z425="","",IF($Z425&lt;=2000,"",IF($Z425&lt;=4000,IF(N(INDEX(周转筐出入库明细!$H$4:$H$2004,$Z425-2000))=0,"",N(INDEX(周转筐出入库明细!$H$4:$H$2004,$Z425-2000))),IF($Z425&lt;=5200,IF(N(INDEX(客户自备加工筐明细!$F$4:$F$1203,$Z425-4000))=0,"",N(INDEX(客户自备加工筐明细!$F$4:$F$1203,$Z425-4000))),IF($Z425&lt;=5800,"","")))))</f>
        <v/>
      </c>
      <c r="R425" s="16" t="str">
        <f>IF($Z425="","",IF($Z425&lt;=2000,IF(INDEX(包装物料出入库明细!$O$4:$O$2003,$Z425-0)=0,"",INDEX(包装物料出入库明细!$O$4:$O$2003,$Z425-0)),IF($Z425&lt;=4000,IF(INDEX(周转筐出入库明细!$M$4:$M$2004,$Z425-2000)=0,"",INDEX(周转筐出入库明细!$M$4:$M$2004,$Z425-2000)),IF($Z425&lt;=5200,IF(INDEX(客户自备加工筐明细!$H$4:$H$1203,$Z425-4000)=0,"",INDEX(客户自备加工筐明细!$H$4:$H$1203,$Z425-4000)),IF($Z425&lt;=5800,IF(INDEX(次果筐明细!$H$4:$H$603,$Z425-5200)=0,"",INDEX(次果筐明细!$H$4:$H$603,$Z425-5200)),"")))))</f>
        <v/>
      </c>
      <c r="S425" s="22" t="str">
        <f t="shared" si="20"/>
        <v/>
      </c>
      <c r="Z425" s="10" t="str">
        <f>IFERROR(MATCH(ROW()-3,_自动清单!$CQ$4:$CQ$5803,0),"")</f>
        <v/>
      </c>
    </row>
    <row r="426" spans="1:26">
      <c r="A426" s="24" t="str">
        <f t="shared" si="18"/>
        <v/>
      </c>
      <c r="B426" s="38" t="str">
        <f>IF($Z426="","",IF($Z426&lt;=2000,IF(INDEX(包装物料出入库明细!$B$4:$B$2003,$Z426-0)=0,"",INDEX(包装物料出入库明细!$B$4:$B$2003,$Z426-0)),IF($Z426&lt;=4000,IF(INDEX(周转筐出入库明细!$B$4:$B$2004,$Z426-2000)=0,"",INDEX(周转筐出入库明细!$B$4:$B$2004,$Z426-2000)),IF($Z426&lt;=5200,IF(INDEX(客户自备加工筐明细!$B$4:$B$1203,$Z426-4000)=0,"",INDEX(客户自备加工筐明细!$B$4:$B$1203,$Z426-4000)),IF($Z426&lt;=5800,IF(INDEX(次果筐明细!$B$4:$B$603,$Z426-5200)=0,"",INDEX(次果筐明细!$B$4:$B$603,$Z426-5200)),"")))))</f>
        <v/>
      </c>
      <c r="C426" s="37" t="str">
        <f>IF($Z426="","",IF($Z426&lt;=2000,IF(INDEX(包装物料出入库明细!$D$4:$D$2003,$Z426-0)=0,"",INDEX(包装物料出入库明细!$D$4:$D$2003,$Z426-0)),IF($Z426&lt;=4000,IF(INDEX(周转筐出入库明细!$C$4:$C$2004,$Z426-2000)=0,"",INDEX(周转筐出入库明细!$C$4:$C$2004,$Z426-2000)),IF($Z426&lt;=5200,IF(INDEX(客户自备加工筐明细!$E$4:$E$1203,$Z426-4000)=0,"",INDEX(客户自备加工筐明细!$E$4:$E$1203,$Z426-4000)),IF($Z426&lt;=5800,IF(INDEX(次果筐明细!$C$4:$C$603,$Z426-5200)=0,"",INDEX(次果筐明细!$C$4:$C$603,$Z426-5200)),"")))))</f>
        <v/>
      </c>
      <c r="D426" s="37" t="str">
        <f>IF($Z426="","",IF($Z426&lt;=2000,"包装物料－"&amp;INDEX(包装物料出入库明细!$H$4:$H$2003,$Z426-0),IF($Z426&lt;=4000,"周转筐－"&amp;INDEX(周转筐出入库明细!$F$4:$F$2004,$Z426-2000),IF($Z426&lt;=5200,"客户自备筐－"&amp;INDEX(客户自备加工筐明细!$J$4:$J$1203,$Z426-4000),IF($Z426&lt;=5800,"次果筐/托盘－"&amp;INDEX(次果筐明细!$F$4:$F$603,$Z426-5200),"")))))</f>
        <v/>
      </c>
      <c r="E426" s="24" t="str">
        <f>IF($Z426="","",IF($Z426&lt;=2000,IF(INDEX(包装物料出入库明细!$C$4:$C$2003,$Z426-0)=0,"",INDEX(包装物料出入库明细!$C$4:$C$2003,$Z426-0)),IF($Z426&lt;=4000,IF(INDEX(周转筐出入库明细!$E$4:$E$2004,$Z426-2000)=0,"",INDEX(周转筐出入库明细!$E$4:$E$2004,$Z426-2000)),IF($Z426&lt;=5200,IF(INDEX(客户自备加工筐明细!$D$4:$D$1203,$Z426-4000)=0,"",INDEX(客户自备加工筐明细!$D$4:$D$1203,$Z426-4000)),IF($Z426&lt;=5800,IF(INDEX(次果筐明细!$E$4:$E$603,$Z426-5200)=0,"",INDEX(次果筐明细!$E$4:$E$603,$Z426-5200)),"")))))</f>
        <v/>
      </c>
      <c r="F426" s="24" t="str">
        <f>IF($Z426="","",IF($Z426&lt;=2000,IF(INDEX(包装物料出入库明细!$E$4:$E$2003,$Z426-0)=0,"",INDEX(包装物料出入库明细!$E$4:$E$2003,$Z426-0)),IF($Z426&lt;=4000,IF(INDEX(周转筐出入库明细!$D$4:$D$2004,$Z426-2000)=0,"",INDEX(周转筐出入库明细!$D$4:$D$2004,$Z426-2000)),IF($Z426&lt;=5200,IF(INDEX(客户自备加工筐明细!$C$4:$C$1203,$Z426-4000)=0,"",INDEX(客户自备加工筐明细!$C$4:$C$1203,$Z426-4000)),IF($Z426&lt;=5800,IF(INDEX(次果筐明细!$D$4:$D$603,$Z426-5200)=0,"",INDEX(次果筐明细!$D$4:$D$603,$Z426-5200)),"")))))</f>
        <v/>
      </c>
      <c r="G426" s="24" t="str">
        <f>IF($Z426="","",IF($Z426&lt;=2000,IF(INDEX(包装物料出入库明细!$F$4:$F$2003,$Z426-0)=0,"",INDEX(包装物料出入库明细!$F$4:$F$2003,$Z426-0)),IF($Z426&lt;=4000,"",IF($Z426&lt;=5200,"",IF($Z426&lt;=5800,"","")))))</f>
        <v/>
      </c>
      <c r="H426" s="39" t="str">
        <f>IF($Z426="","",IF($Z426&lt;=2000,IF(INDEX(包装物料出入库明细!$L$4:$L$2003,$Z426-0)=0,"",INDEX(包装物料出入库明细!$L$4:$L$2003,$Z426-0)),IF($Z426&lt;=4000,N(INDEX(周转筐出入库明细!$H$4:$H$2004,$Z426-2000))+N(INDEX(周转筐出入库明细!$I$4:$I$2004,$Z426-2000))+N(INDEX(周转筐出入库明细!$J$4:$J$2004,$Z426-2000))+N(INDEX(周转筐出入库明细!$K$4:$K$2004,$Z426-2000)),IF($Z426&lt;=5200,N(INDEX(客户自备加工筐明细!$F$4:$F$1203,$Z426-4000))+N(INDEX(客户自备加工筐明细!$G$4:$G$1203,$Z426-4000)),IF($Z426&lt;=5800,IF(INDEX(次果筐明细!$G$4:$G$603,$Z426-5200)=0,"",INDEX(次果筐明细!$G$4:$G$603,$Z426-5200)),"")))))</f>
        <v/>
      </c>
      <c r="I426" s="24" t="str">
        <f>IF($Z426="","",IF($Z426&lt;=2000,IF(INDEX(包装物料出入库明细!$G$4:$G$2003,$Z426-0)=0,"",INDEX(包装物料出入库明细!$G$4:$G$2003,$Z426-0)),IF($Z426&lt;=4000,"个",IF($Z426&lt;=5200,"个",IF($Z426&lt;=5800,"个","")))))</f>
        <v/>
      </c>
      <c r="J426" s="30" t="str">
        <f t="shared" si="19"/>
        <v/>
      </c>
      <c r="K426" s="30" t="str">
        <f>IF($Z426="","",IF($Z426&lt;=2000,IF(INDEX(包装物料出入库明细!$N$4:$N$2003,$Z426-0)=0,"",INDEX(包装物料出入库明细!$N$4:$N$2003,$Z426-0)),IF($Z426&lt;=4000,IF(INDEX(周转筐出入库明细!$P$4:$P$2004,$Z426-2000)=0,"",INDEX(周转筐出入库明细!$P$4:$P$2004,$Z426-2000)),IF($Z426&lt;=5200,"",IF($Z426&lt;=5800,N(INDEX(次果筐明细!$L$4:$L$603,$Z426-5200))+N(INDEX(次果筐明细!$J$4:$J$603,$Z426-5200)),"")))))</f>
        <v/>
      </c>
      <c r="L426" s="24" t="str">
        <f>IF($Z426="","",IF($Z426&lt;=2000,IF(INDEX(包装物料出入库明细!$P$4:$P$2003,$Z426-0)=0,"",INDEX(包装物料出入库明细!$P$4:$P$2003,$Z426-0)),IF($Z426&lt;=4000,IF(INDEX(周转筐出入库明细!$Q$4:$Q$2004,$Z426-2000)=0,"",INDEX(周转筐出入库明细!$Q$4:$Q$2004,$Z426-2000)),IF($Z426&lt;=5200,"",IF($Z426&lt;=5800,IF(INDEX(次果筐明细!$M$4:$M$603,$Z426-5200)=0,"",INDEX(次果筐明细!$M$4:$M$603,$Z426-5200)),"")))))</f>
        <v/>
      </c>
      <c r="M426" s="37" t="str">
        <f>IF($Z426="","",IF($Z426&lt;=2000,IF(INDEX(包装物料出入库明细!$R$4:$R$2003,$Z426-0)=0,"",INDEX(包装物料出入库明细!$R$4:$R$2003,$Z426-0)),IF($Z426&lt;=4000,IF(INDEX(周转筐出入库明细!$W$4:$W$2004,$Z426-2000)=0,"",INDEX(周转筐出入库明细!$W$4:$W$2004,$Z426-2000)),IF($Z426&lt;=5200,IF(INDEX(客户自备加工筐明细!$L$4:$L$1203,$Z426-4000)=0,"",INDEX(客户自备加工筐明细!$L$4:$L$1203,$Z426-4000)),IF($Z426&lt;=5800,IF(INDEX(次果筐明细!$P$4:$P$603,$Z426-5200)=0,"",INDEX(次果筐明细!$P$4:$P$603,$Z426-5200)),"")))))</f>
        <v/>
      </c>
      <c r="N426" s="16" t="str">
        <f>IF($Z426="","",IF($Z426&lt;=2000,"",IF($Z426&lt;=4000,IF(INDEX(周转筐出入库明细!$D$4:$D$2004,$Z426-2000)=0,"",INDEX(周转筐出入库明细!$D$4:$D$2004,$Z426-2000)),IF($Z426&lt;=5200,IF(INDEX(客户自备加工筐明细!$C$4:$C$1203,$Z426-4000)=0,"",INDEX(客户自备加工筐明细!$C$4:$C$1203,$Z426-4000)),IF($Z426&lt;=5800,IF(INDEX(次果筐明细!$D$4:$D$603,$Z426-5200)=0,"",INDEX(次果筐明细!$D$4:$D$603,$Z426-5200)),"")))))</f>
        <v/>
      </c>
      <c r="O426" s="40" t="str">
        <f>IF($Z426="","",IF($Z426&lt;=2000,"",IF($Z426&lt;=4000,IF(N(INDEX(周转筐出入库明细!$J$4:$J$2004,$Z426-2000))+N(INDEX(周转筐出入库明细!$K$4:$K$2004,$Z426-2000))=0,"",N(INDEX(周转筐出入库明细!$J$4:$J$2004,$Z426-2000))+N(INDEX(周转筐出入库明细!$K$4:$K$2004,$Z426-2000))),IF($Z426&lt;=5200,IF(N(INDEX(客户自备加工筐明细!$G$4:$G$1203,$Z426-4000))=0,"",N(INDEX(客户自备加工筐明细!$G$4:$G$1203,$Z426-4000))),IF($Z426&lt;=5800,IF(ISNUMBER(SEARCH("退",INDEX(次果筐明细!$F$4:$F$603,$Z426-5200)&amp;"")),"",IF(N(INDEX(次果筐明细!$G$4:$G$603,$Z426-5200))=0,"",N(INDEX(次果筐明细!$G$4:$G$603,$Z426-5200)))),"")))))</f>
        <v/>
      </c>
      <c r="P426" s="40" t="str">
        <f>IF($Z426="","",IF($Z426&lt;=2000,"",IF($Z426&lt;=4000,IF(N(INDEX(周转筐出入库明细!$I$4:$I$2004,$Z426-2000))=0,"",N(INDEX(周转筐出入库明细!$I$4:$I$2004,$Z426-2000))),IF($Z426&lt;=5200,"",IF($Z426&lt;=5800,IF(ISNUMBER(SEARCH("退",INDEX(次果筐明细!$F$4:$F$603,$Z426-5200)&amp;"")),IF(N(INDEX(次果筐明细!$G$4:$G$603,$Z426-5200))=0,"",N(INDEX(次果筐明细!$G$4:$G$603,$Z426-5200))),""),"")))))</f>
        <v/>
      </c>
      <c r="Q426" s="40" t="str">
        <f>IF($Z426="","",IF($Z426&lt;=2000,"",IF($Z426&lt;=4000,IF(N(INDEX(周转筐出入库明细!$H$4:$H$2004,$Z426-2000))=0,"",N(INDEX(周转筐出入库明细!$H$4:$H$2004,$Z426-2000))),IF($Z426&lt;=5200,IF(N(INDEX(客户自备加工筐明细!$F$4:$F$1203,$Z426-4000))=0,"",N(INDEX(客户自备加工筐明细!$F$4:$F$1203,$Z426-4000))),IF($Z426&lt;=5800,"","")))))</f>
        <v/>
      </c>
      <c r="R426" s="16" t="str">
        <f>IF($Z426="","",IF($Z426&lt;=2000,IF(INDEX(包装物料出入库明细!$O$4:$O$2003,$Z426-0)=0,"",INDEX(包装物料出入库明细!$O$4:$O$2003,$Z426-0)),IF($Z426&lt;=4000,IF(INDEX(周转筐出入库明细!$M$4:$M$2004,$Z426-2000)=0,"",INDEX(周转筐出入库明细!$M$4:$M$2004,$Z426-2000)),IF($Z426&lt;=5200,IF(INDEX(客户自备加工筐明细!$H$4:$H$1203,$Z426-4000)=0,"",INDEX(客户自备加工筐明细!$H$4:$H$1203,$Z426-4000)),IF($Z426&lt;=5800,IF(INDEX(次果筐明细!$H$4:$H$603,$Z426-5200)=0,"",INDEX(次果筐明细!$H$4:$H$603,$Z426-5200)),"")))))</f>
        <v/>
      </c>
      <c r="S426" s="22" t="str">
        <f t="shared" si="20"/>
        <v/>
      </c>
      <c r="Z426" s="10" t="str">
        <f>IFERROR(MATCH(ROW()-3,_自动清单!$CQ$4:$CQ$5803,0),"")</f>
        <v/>
      </c>
    </row>
    <row r="427" spans="1:26">
      <c r="A427" s="24" t="str">
        <f t="shared" si="18"/>
        <v/>
      </c>
      <c r="B427" s="38" t="str">
        <f>IF($Z427="","",IF($Z427&lt;=2000,IF(INDEX(包装物料出入库明细!$B$4:$B$2003,$Z427-0)=0,"",INDEX(包装物料出入库明细!$B$4:$B$2003,$Z427-0)),IF($Z427&lt;=4000,IF(INDEX(周转筐出入库明细!$B$4:$B$2004,$Z427-2000)=0,"",INDEX(周转筐出入库明细!$B$4:$B$2004,$Z427-2000)),IF($Z427&lt;=5200,IF(INDEX(客户自备加工筐明细!$B$4:$B$1203,$Z427-4000)=0,"",INDEX(客户自备加工筐明细!$B$4:$B$1203,$Z427-4000)),IF($Z427&lt;=5800,IF(INDEX(次果筐明细!$B$4:$B$603,$Z427-5200)=0,"",INDEX(次果筐明细!$B$4:$B$603,$Z427-5200)),"")))))</f>
        <v/>
      </c>
      <c r="C427" s="37" t="str">
        <f>IF($Z427="","",IF($Z427&lt;=2000,IF(INDEX(包装物料出入库明细!$D$4:$D$2003,$Z427-0)=0,"",INDEX(包装物料出入库明细!$D$4:$D$2003,$Z427-0)),IF($Z427&lt;=4000,IF(INDEX(周转筐出入库明细!$C$4:$C$2004,$Z427-2000)=0,"",INDEX(周转筐出入库明细!$C$4:$C$2004,$Z427-2000)),IF($Z427&lt;=5200,IF(INDEX(客户自备加工筐明细!$E$4:$E$1203,$Z427-4000)=0,"",INDEX(客户自备加工筐明细!$E$4:$E$1203,$Z427-4000)),IF($Z427&lt;=5800,IF(INDEX(次果筐明细!$C$4:$C$603,$Z427-5200)=0,"",INDEX(次果筐明细!$C$4:$C$603,$Z427-5200)),"")))))</f>
        <v/>
      </c>
      <c r="D427" s="37" t="str">
        <f>IF($Z427="","",IF($Z427&lt;=2000,"包装物料－"&amp;INDEX(包装物料出入库明细!$H$4:$H$2003,$Z427-0),IF($Z427&lt;=4000,"周转筐－"&amp;INDEX(周转筐出入库明细!$F$4:$F$2004,$Z427-2000),IF($Z427&lt;=5200,"客户自备筐－"&amp;INDEX(客户自备加工筐明细!$J$4:$J$1203,$Z427-4000),IF($Z427&lt;=5800,"次果筐/托盘－"&amp;INDEX(次果筐明细!$F$4:$F$603,$Z427-5200),"")))))</f>
        <v/>
      </c>
      <c r="E427" s="24" t="str">
        <f>IF($Z427="","",IF($Z427&lt;=2000,IF(INDEX(包装物料出入库明细!$C$4:$C$2003,$Z427-0)=0,"",INDEX(包装物料出入库明细!$C$4:$C$2003,$Z427-0)),IF($Z427&lt;=4000,IF(INDEX(周转筐出入库明细!$E$4:$E$2004,$Z427-2000)=0,"",INDEX(周转筐出入库明细!$E$4:$E$2004,$Z427-2000)),IF($Z427&lt;=5200,IF(INDEX(客户自备加工筐明细!$D$4:$D$1203,$Z427-4000)=0,"",INDEX(客户自备加工筐明细!$D$4:$D$1203,$Z427-4000)),IF($Z427&lt;=5800,IF(INDEX(次果筐明细!$E$4:$E$603,$Z427-5200)=0,"",INDEX(次果筐明细!$E$4:$E$603,$Z427-5200)),"")))))</f>
        <v/>
      </c>
      <c r="F427" s="24" t="str">
        <f>IF($Z427="","",IF($Z427&lt;=2000,IF(INDEX(包装物料出入库明细!$E$4:$E$2003,$Z427-0)=0,"",INDEX(包装物料出入库明细!$E$4:$E$2003,$Z427-0)),IF($Z427&lt;=4000,IF(INDEX(周转筐出入库明细!$D$4:$D$2004,$Z427-2000)=0,"",INDEX(周转筐出入库明细!$D$4:$D$2004,$Z427-2000)),IF($Z427&lt;=5200,IF(INDEX(客户自备加工筐明细!$C$4:$C$1203,$Z427-4000)=0,"",INDEX(客户自备加工筐明细!$C$4:$C$1203,$Z427-4000)),IF($Z427&lt;=5800,IF(INDEX(次果筐明细!$D$4:$D$603,$Z427-5200)=0,"",INDEX(次果筐明细!$D$4:$D$603,$Z427-5200)),"")))))</f>
        <v/>
      </c>
      <c r="G427" s="24" t="str">
        <f>IF($Z427="","",IF($Z427&lt;=2000,IF(INDEX(包装物料出入库明细!$F$4:$F$2003,$Z427-0)=0,"",INDEX(包装物料出入库明细!$F$4:$F$2003,$Z427-0)),IF($Z427&lt;=4000,"",IF($Z427&lt;=5200,"",IF($Z427&lt;=5800,"","")))))</f>
        <v/>
      </c>
      <c r="H427" s="39" t="str">
        <f>IF($Z427="","",IF($Z427&lt;=2000,IF(INDEX(包装物料出入库明细!$L$4:$L$2003,$Z427-0)=0,"",INDEX(包装物料出入库明细!$L$4:$L$2003,$Z427-0)),IF($Z427&lt;=4000,N(INDEX(周转筐出入库明细!$H$4:$H$2004,$Z427-2000))+N(INDEX(周转筐出入库明细!$I$4:$I$2004,$Z427-2000))+N(INDEX(周转筐出入库明细!$J$4:$J$2004,$Z427-2000))+N(INDEX(周转筐出入库明细!$K$4:$K$2004,$Z427-2000)),IF($Z427&lt;=5200,N(INDEX(客户自备加工筐明细!$F$4:$F$1203,$Z427-4000))+N(INDEX(客户自备加工筐明细!$G$4:$G$1203,$Z427-4000)),IF($Z427&lt;=5800,IF(INDEX(次果筐明细!$G$4:$G$603,$Z427-5200)=0,"",INDEX(次果筐明细!$G$4:$G$603,$Z427-5200)),"")))))</f>
        <v/>
      </c>
      <c r="I427" s="24" t="str">
        <f>IF($Z427="","",IF($Z427&lt;=2000,IF(INDEX(包装物料出入库明细!$G$4:$G$2003,$Z427-0)=0,"",INDEX(包装物料出入库明细!$G$4:$G$2003,$Z427-0)),IF($Z427&lt;=4000,"个",IF($Z427&lt;=5200,"个",IF($Z427&lt;=5800,"个","")))))</f>
        <v/>
      </c>
      <c r="J427" s="30" t="str">
        <f t="shared" si="19"/>
        <v/>
      </c>
      <c r="K427" s="30" t="str">
        <f>IF($Z427="","",IF($Z427&lt;=2000,IF(INDEX(包装物料出入库明细!$N$4:$N$2003,$Z427-0)=0,"",INDEX(包装物料出入库明细!$N$4:$N$2003,$Z427-0)),IF($Z427&lt;=4000,IF(INDEX(周转筐出入库明细!$P$4:$P$2004,$Z427-2000)=0,"",INDEX(周转筐出入库明细!$P$4:$P$2004,$Z427-2000)),IF($Z427&lt;=5200,"",IF($Z427&lt;=5800,N(INDEX(次果筐明细!$L$4:$L$603,$Z427-5200))+N(INDEX(次果筐明细!$J$4:$J$603,$Z427-5200)),"")))))</f>
        <v/>
      </c>
      <c r="L427" s="24" t="str">
        <f>IF($Z427="","",IF($Z427&lt;=2000,IF(INDEX(包装物料出入库明细!$P$4:$P$2003,$Z427-0)=0,"",INDEX(包装物料出入库明细!$P$4:$P$2003,$Z427-0)),IF($Z427&lt;=4000,IF(INDEX(周转筐出入库明细!$Q$4:$Q$2004,$Z427-2000)=0,"",INDEX(周转筐出入库明细!$Q$4:$Q$2004,$Z427-2000)),IF($Z427&lt;=5200,"",IF($Z427&lt;=5800,IF(INDEX(次果筐明细!$M$4:$M$603,$Z427-5200)=0,"",INDEX(次果筐明细!$M$4:$M$603,$Z427-5200)),"")))))</f>
        <v/>
      </c>
      <c r="M427" s="37" t="str">
        <f>IF($Z427="","",IF($Z427&lt;=2000,IF(INDEX(包装物料出入库明细!$R$4:$R$2003,$Z427-0)=0,"",INDEX(包装物料出入库明细!$R$4:$R$2003,$Z427-0)),IF($Z427&lt;=4000,IF(INDEX(周转筐出入库明细!$W$4:$W$2004,$Z427-2000)=0,"",INDEX(周转筐出入库明细!$W$4:$W$2004,$Z427-2000)),IF($Z427&lt;=5200,IF(INDEX(客户自备加工筐明细!$L$4:$L$1203,$Z427-4000)=0,"",INDEX(客户自备加工筐明细!$L$4:$L$1203,$Z427-4000)),IF($Z427&lt;=5800,IF(INDEX(次果筐明细!$P$4:$P$603,$Z427-5200)=0,"",INDEX(次果筐明细!$P$4:$P$603,$Z427-5200)),"")))))</f>
        <v/>
      </c>
      <c r="N427" s="16" t="str">
        <f>IF($Z427="","",IF($Z427&lt;=2000,"",IF($Z427&lt;=4000,IF(INDEX(周转筐出入库明细!$D$4:$D$2004,$Z427-2000)=0,"",INDEX(周转筐出入库明细!$D$4:$D$2004,$Z427-2000)),IF($Z427&lt;=5200,IF(INDEX(客户自备加工筐明细!$C$4:$C$1203,$Z427-4000)=0,"",INDEX(客户自备加工筐明细!$C$4:$C$1203,$Z427-4000)),IF($Z427&lt;=5800,IF(INDEX(次果筐明细!$D$4:$D$603,$Z427-5200)=0,"",INDEX(次果筐明细!$D$4:$D$603,$Z427-5200)),"")))))</f>
        <v/>
      </c>
      <c r="O427" s="40" t="str">
        <f>IF($Z427="","",IF($Z427&lt;=2000,"",IF($Z427&lt;=4000,IF(N(INDEX(周转筐出入库明细!$J$4:$J$2004,$Z427-2000))+N(INDEX(周转筐出入库明细!$K$4:$K$2004,$Z427-2000))=0,"",N(INDEX(周转筐出入库明细!$J$4:$J$2004,$Z427-2000))+N(INDEX(周转筐出入库明细!$K$4:$K$2004,$Z427-2000))),IF($Z427&lt;=5200,IF(N(INDEX(客户自备加工筐明细!$G$4:$G$1203,$Z427-4000))=0,"",N(INDEX(客户自备加工筐明细!$G$4:$G$1203,$Z427-4000))),IF($Z427&lt;=5800,IF(ISNUMBER(SEARCH("退",INDEX(次果筐明细!$F$4:$F$603,$Z427-5200)&amp;"")),"",IF(N(INDEX(次果筐明细!$G$4:$G$603,$Z427-5200))=0,"",N(INDEX(次果筐明细!$G$4:$G$603,$Z427-5200)))),"")))))</f>
        <v/>
      </c>
      <c r="P427" s="40" t="str">
        <f>IF($Z427="","",IF($Z427&lt;=2000,"",IF($Z427&lt;=4000,IF(N(INDEX(周转筐出入库明细!$I$4:$I$2004,$Z427-2000))=0,"",N(INDEX(周转筐出入库明细!$I$4:$I$2004,$Z427-2000))),IF($Z427&lt;=5200,"",IF($Z427&lt;=5800,IF(ISNUMBER(SEARCH("退",INDEX(次果筐明细!$F$4:$F$603,$Z427-5200)&amp;"")),IF(N(INDEX(次果筐明细!$G$4:$G$603,$Z427-5200))=0,"",N(INDEX(次果筐明细!$G$4:$G$603,$Z427-5200))),""),"")))))</f>
        <v/>
      </c>
      <c r="Q427" s="40" t="str">
        <f>IF($Z427="","",IF($Z427&lt;=2000,"",IF($Z427&lt;=4000,IF(N(INDEX(周转筐出入库明细!$H$4:$H$2004,$Z427-2000))=0,"",N(INDEX(周转筐出入库明细!$H$4:$H$2004,$Z427-2000))),IF($Z427&lt;=5200,IF(N(INDEX(客户自备加工筐明细!$F$4:$F$1203,$Z427-4000))=0,"",N(INDEX(客户自备加工筐明细!$F$4:$F$1203,$Z427-4000))),IF($Z427&lt;=5800,"","")))))</f>
        <v/>
      </c>
      <c r="R427" s="16" t="str">
        <f>IF($Z427="","",IF($Z427&lt;=2000,IF(INDEX(包装物料出入库明细!$O$4:$O$2003,$Z427-0)=0,"",INDEX(包装物料出入库明细!$O$4:$O$2003,$Z427-0)),IF($Z427&lt;=4000,IF(INDEX(周转筐出入库明细!$M$4:$M$2004,$Z427-2000)=0,"",INDEX(周转筐出入库明细!$M$4:$M$2004,$Z427-2000)),IF($Z427&lt;=5200,IF(INDEX(客户自备加工筐明细!$H$4:$H$1203,$Z427-4000)=0,"",INDEX(客户自备加工筐明细!$H$4:$H$1203,$Z427-4000)),IF($Z427&lt;=5800,IF(INDEX(次果筐明细!$H$4:$H$603,$Z427-5200)=0,"",INDEX(次果筐明细!$H$4:$H$603,$Z427-5200)),"")))))</f>
        <v/>
      </c>
      <c r="S427" s="22" t="str">
        <f t="shared" si="20"/>
        <v/>
      </c>
      <c r="Z427" s="10" t="str">
        <f>IFERROR(MATCH(ROW()-3,_自动清单!$CQ$4:$CQ$5803,0),"")</f>
        <v/>
      </c>
    </row>
    <row r="428" spans="1:26">
      <c r="A428" s="24" t="str">
        <f t="shared" si="18"/>
        <v/>
      </c>
      <c r="B428" s="38" t="str">
        <f>IF($Z428="","",IF($Z428&lt;=2000,IF(INDEX(包装物料出入库明细!$B$4:$B$2003,$Z428-0)=0,"",INDEX(包装物料出入库明细!$B$4:$B$2003,$Z428-0)),IF($Z428&lt;=4000,IF(INDEX(周转筐出入库明细!$B$4:$B$2004,$Z428-2000)=0,"",INDEX(周转筐出入库明细!$B$4:$B$2004,$Z428-2000)),IF($Z428&lt;=5200,IF(INDEX(客户自备加工筐明细!$B$4:$B$1203,$Z428-4000)=0,"",INDEX(客户自备加工筐明细!$B$4:$B$1203,$Z428-4000)),IF($Z428&lt;=5800,IF(INDEX(次果筐明细!$B$4:$B$603,$Z428-5200)=0,"",INDEX(次果筐明细!$B$4:$B$603,$Z428-5200)),"")))))</f>
        <v/>
      </c>
      <c r="C428" s="37" t="str">
        <f>IF($Z428="","",IF($Z428&lt;=2000,IF(INDEX(包装物料出入库明细!$D$4:$D$2003,$Z428-0)=0,"",INDEX(包装物料出入库明细!$D$4:$D$2003,$Z428-0)),IF($Z428&lt;=4000,IF(INDEX(周转筐出入库明细!$C$4:$C$2004,$Z428-2000)=0,"",INDEX(周转筐出入库明细!$C$4:$C$2004,$Z428-2000)),IF($Z428&lt;=5200,IF(INDEX(客户自备加工筐明细!$E$4:$E$1203,$Z428-4000)=0,"",INDEX(客户自备加工筐明细!$E$4:$E$1203,$Z428-4000)),IF($Z428&lt;=5800,IF(INDEX(次果筐明细!$C$4:$C$603,$Z428-5200)=0,"",INDEX(次果筐明细!$C$4:$C$603,$Z428-5200)),"")))))</f>
        <v/>
      </c>
      <c r="D428" s="37" t="str">
        <f>IF($Z428="","",IF($Z428&lt;=2000,"包装物料－"&amp;INDEX(包装物料出入库明细!$H$4:$H$2003,$Z428-0),IF($Z428&lt;=4000,"周转筐－"&amp;INDEX(周转筐出入库明细!$F$4:$F$2004,$Z428-2000),IF($Z428&lt;=5200,"客户自备筐－"&amp;INDEX(客户自备加工筐明细!$J$4:$J$1203,$Z428-4000),IF($Z428&lt;=5800,"次果筐/托盘－"&amp;INDEX(次果筐明细!$F$4:$F$603,$Z428-5200),"")))))</f>
        <v/>
      </c>
      <c r="E428" s="24" t="str">
        <f>IF($Z428="","",IF($Z428&lt;=2000,IF(INDEX(包装物料出入库明细!$C$4:$C$2003,$Z428-0)=0,"",INDEX(包装物料出入库明细!$C$4:$C$2003,$Z428-0)),IF($Z428&lt;=4000,IF(INDEX(周转筐出入库明细!$E$4:$E$2004,$Z428-2000)=0,"",INDEX(周转筐出入库明细!$E$4:$E$2004,$Z428-2000)),IF($Z428&lt;=5200,IF(INDEX(客户自备加工筐明细!$D$4:$D$1203,$Z428-4000)=0,"",INDEX(客户自备加工筐明细!$D$4:$D$1203,$Z428-4000)),IF($Z428&lt;=5800,IF(INDEX(次果筐明细!$E$4:$E$603,$Z428-5200)=0,"",INDEX(次果筐明细!$E$4:$E$603,$Z428-5200)),"")))))</f>
        <v/>
      </c>
      <c r="F428" s="24" t="str">
        <f>IF($Z428="","",IF($Z428&lt;=2000,IF(INDEX(包装物料出入库明细!$E$4:$E$2003,$Z428-0)=0,"",INDEX(包装物料出入库明细!$E$4:$E$2003,$Z428-0)),IF($Z428&lt;=4000,IF(INDEX(周转筐出入库明细!$D$4:$D$2004,$Z428-2000)=0,"",INDEX(周转筐出入库明细!$D$4:$D$2004,$Z428-2000)),IF($Z428&lt;=5200,IF(INDEX(客户自备加工筐明细!$C$4:$C$1203,$Z428-4000)=0,"",INDEX(客户自备加工筐明细!$C$4:$C$1203,$Z428-4000)),IF($Z428&lt;=5800,IF(INDEX(次果筐明细!$D$4:$D$603,$Z428-5200)=0,"",INDEX(次果筐明细!$D$4:$D$603,$Z428-5200)),"")))))</f>
        <v/>
      </c>
      <c r="G428" s="24" t="str">
        <f>IF($Z428="","",IF($Z428&lt;=2000,IF(INDEX(包装物料出入库明细!$F$4:$F$2003,$Z428-0)=0,"",INDEX(包装物料出入库明细!$F$4:$F$2003,$Z428-0)),IF($Z428&lt;=4000,"",IF($Z428&lt;=5200,"",IF($Z428&lt;=5800,"","")))))</f>
        <v/>
      </c>
      <c r="H428" s="39" t="str">
        <f>IF($Z428="","",IF($Z428&lt;=2000,IF(INDEX(包装物料出入库明细!$L$4:$L$2003,$Z428-0)=0,"",INDEX(包装物料出入库明细!$L$4:$L$2003,$Z428-0)),IF($Z428&lt;=4000,N(INDEX(周转筐出入库明细!$H$4:$H$2004,$Z428-2000))+N(INDEX(周转筐出入库明细!$I$4:$I$2004,$Z428-2000))+N(INDEX(周转筐出入库明细!$J$4:$J$2004,$Z428-2000))+N(INDEX(周转筐出入库明细!$K$4:$K$2004,$Z428-2000)),IF($Z428&lt;=5200,N(INDEX(客户自备加工筐明细!$F$4:$F$1203,$Z428-4000))+N(INDEX(客户自备加工筐明细!$G$4:$G$1203,$Z428-4000)),IF($Z428&lt;=5800,IF(INDEX(次果筐明细!$G$4:$G$603,$Z428-5200)=0,"",INDEX(次果筐明细!$G$4:$G$603,$Z428-5200)),"")))))</f>
        <v/>
      </c>
      <c r="I428" s="24" t="str">
        <f>IF($Z428="","",IF($Z428&lt;=2000,IF(INDEX(包装物料出入库明细!$G$4:$G$2003,$Z428-0)=0,"",INDEX(包装物料出入库明细!$G$4:$G$2003,$Z428-0)),IF($Z428&lt;=4000,"个",IF($Z428&lt;=5200,"个",IF($Z428&lt;=5800,"个","")))))</f>
        <v/>
      </c>
      <c r="J428" s="30" t="str">
        <f t="shared" si="19"/>
        <v/>
      </c>
      <c r="K428" s="30" t="str">
        <f>IF($Z428="","",IF($Z428&lt;=2000,IF(INDEX(包装物料出入库明细!$N$4:$N$2003,$Z428-0)=0,"",INDEX(包装物料出入库明细!$N$4:$N$2003,$Z428-0)),IF($Z428&lt;=4000,IF(INDEX(周转筐出入库明细!$P$4:$P$2004,$Z428-2000)=0,"",INDEX(周转筐出入库明细!$P$4:$P$2004,$Z428-2000)),IF($Z428&lt;=5200,"",IF($Z428&lt;=5800,N(INDEX(次果筐明细!$L$4:$L$603,$Z428-5200))+N(INDEX(次果筐明细!$J$4:$J$603,$Z428-5200)),"")))))</f>
        <v/>
      </c>
      <c r="L428" s="24" t="str">
        <f>IF($Z428="","",IF($Z428&lt;=2000,IF(INDEX(包装物料出入库明细!$P$4:$P$2003,$Z428-0)=0,"",INDEX(包装物料出入库明细!$P$4:$P$2003,$Z428-0)),IF($Z428&lt;=4000,IF(INDEX(周转筐出入库明细!$Q$4:$Q$2004,$Z428-2000)=0,"",INDEX(周转筐出入库明细!$Q$4:$Q$2004,$Z428-2000)),IF($Z428&lt;=5200,"",IF($Z428&lt;=5800,IF(INDEX(次果筐明细!$M$4:$M$603,$Z428-5200)=0,"",INDEX(次果筐明细!$M$4:$M$603,$Z428-5200)),"")))))</f>
        <v/>
      </c>
      <c r="M428" s="37" t="str">
        <f>IF($Z428="","",IF($Z428&lt;=2000,IF(INDEX(包装物料出入库明细!$R$4:$R$2003,$Z428-0)=0,"",INDEX(包装物料出入库明细!$R$4:$R$2003,$Z428-0)),IF($Z428&lt;=4000,IF(INDEX(周转筐出入库明细!$W$4:$W$2004,$Z428-2000)=0,"",INDEX(周转筐出入库明细!$W$4:$W$2004,$Z428-2000)),IF($Z428&lt;=5200,IF(INDEX(客户自备加工筐明细!$L$4:$L$1203,$Z428-4000)=0,"",INDEX(客户自备加工筐明细!$L$4:$L$1203,$Z428-4000)),IF($Z428&lt;=5800,IF(INDEX(次果筐明细!$P$4:$P$603,$Z428-5200)=0,"",INDEX(次果筐明细!$P$4:$P$603,$Z428-5200)),"")))))</f>
        <v/>
      </c>
      <c r="N428" s="16" t="str">
        <f>IF($Z428="","",IF($Z428&lt;=2000,"",IF($Z428&lt;=4000,IF(INDEX(周转筐出入库明细!$D$4:$D$2004,$Z428-2000)=0,"",INDEX(周转筐出入库明细!$D$4:$D$2004,$Z428-2000)),IF($Z428&lt;=5200,IF(INDEX(客户自备加工筐明细!$C$4:$C$1203,$Z428-4000)=0,"",INDEX(客户自备加工筐明细!$C$4:$C$1203,$Z428-4000)),IF($Z428&lt;=5800,IF(INDEX(次果筐明细!$D$4:$D$603,$Z428-5200)=0,"",INDEX(次果筐明细!$D$4:$D$603,$Z428-5200)),"")))))</f>
        <v/>
      </c>
      <c r="O428" s="40" t="str">
        <f>IF($Z428="","",IF($Z428&lt;=2000,"",IF($Z428&lt;=4000,IF(N(INDEX(周转筐出入库明细!$J$4:$J$2004,$Z428-2000))+N(INDEX(周转筐出入库明细!$K$4:$K$2004,$Z428-2000))=0,"",N(INDEX(周转筐出入库明细!$J$4:$J$2004,$Z428-2000))+N(INDEX(周转筐出入库明细!$K$4:$K$2004,$Z428-2000))),IF($Z428&lt;=5200,IF(N(INDEX(客户自备加工筐明细!$G$4:$G$1203,$Z428-4000))=0,"",N(INDEX(客户自备加工筐明细!$G$4:$G$1203,$Z428-4000))),IF($Z428&lt;=5800,IF(ISNUMBER(SEARCH("退",INDEX(次果筐明细!$F$4:$F$603,$Z428-5200)&amp;"")),"",IF(N(INDEX(次果筐明细!$G$4:$G$603,$Z428-5200))=0,"",N(INDEX(次果筐明细!$G$4:$G$603,$Z428-5200)))),"")))))</f>
        <v/>
      </c>
      <c r="P428" s="40" t="str">
        <f>IF($Z428="","",IF($Z428&lt;=2000,"",IF($Z428&lt;=4000,IF(N(INDEX(周转筐出入库明细!$I$4:$I$2004,$Z428-2000))=0,"",N(INDEX(周转筐出入库明细!$I$4:$I$2004,$Z428-2000))),IF($Z428&lt;=5200,"",IF($Z428&lt;=5800,IF(ISNUMBER(SEARCH("退",INDEX(次果筐明细!$F$4:$F$603,$Z428-5200)&amp;"")),IF(N(INDEX(次果筐明细!$G$4:$G$603,$Z428-5200))=0,"",N(INDEX(次果筐明细!$G$4:$G$603,$Z428-5200))),""),"")))))</f>
        <v/>
      </c>
      <c r="Q428" s="40" t="str">
        <f>IF($Z428="","",IF($Z428&lt;=2000,"",IF($Z428&lt;=4000,IF(N(INDEX(周转筐出入库明细!$H$4:$H$2004,$Z428-2000))=0,"",N(INDEX(周转筐出入库明细!$H$4:$H$2004,$Z428-2000))),IF($Z428&lt;=5200,IF(N(INDEX(客户自备加工筐明细!$F$4:$F$1203,$Z428-4000))=0,"",N(INDEX(客户自备加工筐明细!$F$4:$F$1203,$Z428-4000))),IF($Z428&lt;=5800,"","")))))</f>
        <v/>
      </c>
      <c r="R428" s="16" t="str">
        <f>IF($Z428="","",IF($Z428&lt;=2000,IF(INDEX(包装物料出入库明细!$O$4:$O$2003,$Z428-0)=0,"",INDEX(包装物料出入库明细!$O$4:$O$2003,$Z428-0)),IF($Z428&lt;=4000,IF(INDEX(周转筐出入库明细!$M$4:$M$2004,$Z428-2000)=0,"",INDEX(周转筐出入库明细!$M$4:$M$2004,$Z428-2000)),IF($Z428&lt;=5200,IF(INDEX(客户自备加工筐明细!$H$4:$H$1203,$Z428-4000)=0,"",INDEX(客户自备加工筐明细!$H$4:$H$1203,$Z428-4000)),IF($Z428&lt;=5800,IF(INDEX(次果筐明细!$H$4:$H$603,$Z428-5200)=0,"",INDEX(次果筐明细!$H$4:$H$603,$Z428-5200)),"")))))</f>
        <v/>
      </c>
      <c r="S428" s="22" t="str">
        <f t="shared" si="20"/>
        <v/>
      </c>
      <c r="Z428" s="10" t="str">
        <f>IFERROR(MATCH(ROW()-3,_自动清单!$CQ$4:$CQ$5803,0),"")</f>
        <v/>
      </c>
    </row>
    <row r="429" spans="1:26">
      <c r="A429" s="24" t="str">
        <f t="shared" si="18"/>
        <v/>
      </c>
      <c r="B429" s="38" t="str">
        <f>IF($Z429="","",IF($Z429&lt;=2000,IF(INDEX(包装物料出入库明细!$B$4:$B$2003,$Z429-0)=0,"",INDEX(包装物料出入库明细!$B$4:$B$2003,$Z429-0)),IF($Z429&lt;=4000,IF(INDEX(周转筐出入库明细!$B$4:$B$2004,$Z429-2000)=0,"",INDEX(周转筐出入库明细!$B$4:$B$2004,$Z429-2000)),IF($Z429&lt;=5200,IF(INDEX(客户自备加工筐明细!$B$4:$B$1203,$Z429-4000)=0,"",INDEX(客户自备加工筐明细!$B$4:$B$1203,$Z429-4000)),IF($Z429&lt;=5800,IF(INDEX(次果筐明细!$B$4:$B$603,$Z429-5200)=0,"",INDEX(次果筐明细!$B$4:$B$603,$Z429-5200)),"")))))</f>
        <v/>
      </c>
      <c r="C429" s="37" t="str">
        <f>IF($Z429="","",IF($Z429&lt;=2000,IF(INDEX(包装物料出入库明细!$D$4:$D$2003,$Z429-0)=0,"",INDEX(包装物料出入库明细!$D$4:$D$2003,$Z429-0)),IF($Z429&lt;=4000,IF(INDEX(周转筐出入库明细!$C$4:$C$2004,$Z429-2000)=0,"",INDEX(周转筐出入库明细!$C$4:$C$2004,$Z429-2000)),IF($Z429&lt;=5200,IF(INDEX(客户自备加工筐明细!$E$4:$E$1203,$Z429-4000)=0,"",INDEX(客户自备加工筐明细!$E$4:$E$1203,$Z429-4000)),IF($Z429&lt;=5800,IF(INDEX(次果筐明细!$C$4:$C$603,$Z429-5200)=0,"",INDEX(次果筐明细!$C$4:$C$603,$Z429-5200)),"")))))</f>
        <v/>
      </c>
      <c r="D429" s="37" t="str">
        <f>IF($Z429="","",IF($Z429&lt;=2000,"包装物料－"&amp;INDEX(包装物料出入库明细!$H$4:$H$2003,$Z429-0),IF($Z429&lt;=4000,"周转筐－"&amp;INDEX(周转筐出入库明细!$F$4:$F$2004,$Z429-2000),IF($Z429&lt;=5200,"客户自备筐－"&amp;INDEX(客户自备加工筐明细!$J$4:$J$1203,$Z429-4000),IF($Z429&lt;=5800,"次果筐/托盘－"&amp;INDEX(次果筐明细!$F$4:$F$603,$Z429-5200),"")))))</f>
        <v/>
      </c>
      <c r="E429" s="24" t="str">
        <f>IF($Z429="","",IF($Z429&lt;=2000,IF(INDEX(包装物料出入库明细!$C$4:$C$2003,$Z429-0)=0,"",INDEX(包装物料出入库明细!$C$4:$C$2003,$Z429-0)),IF($Z429&lt;=4000,IF(INDEX(周转筐出入库明细!$E$4:$E$2004,$Z429-2000)=0,"",INDEX(周转筐出入库明细!$E$4:$E$2004,$Z429-2000)),IF($Z429&lt;=5200,IF(INDEX(客户自备加工筐明细!$D$4:$D$1203,$Z429-4000)=0,"",INDEX(客户自备加工筐明细!$D$4:$D$1203,$Z429-4000)),IF($Z429&lt;=5800,IF(INDEX(次果筐明细!$E$4:$E$603,$Z429-5200)=0,"",INDEX(次果筐明细!$E$4:$E$603,$Z429-5200)),"")))))</f>
        <v/>
      </c>
      <c r="F429" s="24" t="str">
        <f>IF($Z429="","",IF($Z429&lt;=2000,IF(INDEX(包装物料出入库明细!$E$4:$E$2003,$Z429-0)=0,"",INDEX(包装物料出入库明细!$E$4:$E$2003,$Z429-0)),IF($Z429&lt;=4000,IF(INDEX(周转筐出入库明细!$D$4:$D$2004,$Z429-2000)=0,"",INDEX(周转筐出入库明细!$D$4:$D$2004,$Z429-2000)),IF($Z429&lt;=5200,IF(INDEX(客户自备加工筐明细!$C$4:$C$1203,$Z429-4000)=0,"",INDEX(客户自备加工筐明细!$C$4:$C$1203,$Z429-4000)),IF($Z429&lt;=5800,IF(INDEX(次果筐明细!$D$4:$D$603,$Z429-5200)=0,"",INDEX(次果筐明细!$D$4:$D$603,$Z429-5200)),"")))))</f>
        <v/>
      </c>
      <c r="G429" s="24" t="str">
        <f>IF($Z429="","",IF($Z429&lt;=2000,IF(INDEX(包装物料出入库明细!$F$4:$F$2003,$Z429-0)=0,"",INDEX(包装物料出入库明细!$F$4:$F$2003,$Z429-0)),IF($Z429&lt;=4000,"",IF($Z429&lt;=5200,"",IF($Z429&lt;=5800,"","")))))</f>
        <v/>
      </c>
      <c r="H429" s="39" t="str">
        <f>IF($Z429="","",IF($Z429&lt;=2000,IF(INDEX(包装物料出入库明细!$L$4:$L$2003,$Z429-0)=0,"",INDEX(包装物料出入库明细!$L$4:$L$2003,$Z429-0)),IF($Z429&lt;=4000,N(INDEX(周转筐出入库明细!$H$4:$H$2004,$Z429-2000))+N(INDEX(周转筐出入库明细!$I$4:$I$2004,$Z429-2000))+N(INDEX(周转筐出入库明细!$J$4:$J$2004,$Z429-2000))+N(INDEX(周转筐出入库明细!$K$4:$K$2004,$Z429-2000)),IF($Z429&lt;=5200,N(INDEX(客户自备加工筐明细!$F$4:$F$1203,$Z429-4000))+N(INDEX(客户自备加工筐明细!$G$4:$G$1203,$Z429-4000)),IF($Z429&lt;=5800,IF(INDEX(次果筐明细!$G$4:$G$603,$Z429-5200)=0,"",INDEX(次果筐明细!$G$4:$G$603,$Z429-5200)),"")))))</f>
        <v/>
      </c>
      <c r="I429" s="24" t="str">
        <f>IF($Z429="","",IF($Z429&lt;=2000,IF(INDEX(包装物料出入库明细!$G$4:$G$2003,$Z429-0)=0,"",INDEX(包装物料出入库明细!$G$4:$G$2003,$Z429-0)),IF($Z429&lt;=4000,"个",IF($Z429&lt;=5200,"个",IF($Z429&lt;=5800,"个","")))))</f>
        <v/>
      </c>
      <c r="J429" s="30" t="str">
        <f t="shared" si="19"/>
        <v/>
      </c>
      <c r="K429" s="30" t="str">
        <f>IF($Z429="","",IF($Z429&lt;=2000,IF(INDEX(包装物料出入库明细!$N$4:$N$2003,$Z429-0)=0,"",INDEX(包装物料出入库明细!$N$4:$N$2003,$Z429-0)),IF($Z429&lt;=4000,IF(INDEX(周转筐出入库明细!$P$4:$P$2004,$Z429-2000)=0,"",INDEX(周转筐出入库明细!$P$4:$P$2004,$Z429-2000)),IF($Z429&lt;=5200,"",IF($Z429&lt;=5800,N(INDEX(次果筐明细!$L$4:$L$603,$Z429-5200))+N(INDEX(次果筐明细!$J$4:$J$603,$Z429-5200)),"")))))</f>
        <v/>
      </c>
      <c r="L429" s="24" t="str">
        <f>IF($Z429="","",IF($Z429&lt;=2000,IF(INDEX(包装物料出入库明细!$P$4:$P$2003,$Z429-0)=0,"",INDEX(包装物料出入库明细!$P$4:$P$2003,$Z429-0)),IF($Z429&lt;=4000,IF(INDEX(周转筐出入库明细!$Q$4:$Q$2004,$Z429-2000)=0,"",INDEX(周转筐出入库明细!$Q$4:$Q$2004,$Z429-2000)),IF($Z429&lt;=5200,"",IF($Z429&lt;=5800,IF(INDEX(次果筐明细!$M$4:$M$603,$Z429-5200)=0,"",INDEX(次果筐明细!$M$4:$M$603,$Z429-5200)),"")))))</f>
        <v/>
      </c>
      <c r="M429" s="37" t="str">
        <f>IF($Z429="","",IF($Z429&lt;=2000,IF(INDEX(包装物料出入库明细!$R$4:$R$2003,$Z429-0)=0,"",INDEX(包装物料出入库明细!$R$4:$R$2003,$Z429-0)),IF($Z429&lt;=4000,IF(INDEX(周转筐出入库明细!$W$4:$W$2004,$Z429-2000)=0,"",INDEX(周转筐出入库明细!$W$4:$W$2004,$Z429-2000)),IF($Z429&lt;=5200,IF(INDEX(客户自备加工筐明细!$L$4:$L$1203,$Z429-4000)=0,"",INDEX(客户自备加工筐明细!$L$4:$L$1203,$Z429-4000)),IF($Z429&lt;=5800,IF(INDEX(次果筐明细!$P$4:$P$603,$Z429-5200)=0,"",INDEX(次果筐明细!$P$4:$P$603,$Z429-5200)),"")))))</f>
        <v/>
      </c>
      <c r="N429" s="16" t="str">
        <f>IF($Z429="","",IF($Z429&lt;=2000,"",IF($Z429&lt;=4000,IF(INDEX(周转筐出入库明细!$D$4:$D$2004,$Z429-2000)=0,"",INDEX(周转筐出入库明细!$D$4:$D$2004,$Z429-2000)),IF($Z429&lt;=5200,IF(INDEX(客户自备加工筐明细!$C$4:$C$1203,$Z429-4000)=0,"",INDEX(客户自备加工筐明细!$C$4:$C$1203,$Z429-4000)),IF($Z429&lt;=5800,IF(INDEX(次果筐明细!$D$4:$D$603,$Z429-5200)=0,"",INDEX(次果筐明细!$D$4:$D$603,$Z429-5200)),"")))))</f>
        <v/>
      </c>
      <c r="O429" s="40" t="str">
        <f>IF($Z429="","",IF($Z429&lt;=2000,"",IF($Z429&lt;=4000,IF(N(INDEX(周转筐出入库明细!$J$4:$J$2004,$Z429-2000))+N(INDEX(周转筐出入库明细!$K$4:$K$2004,$Z429-2000))=0,"",N(INDEX(周转筐出入库明细!$J$4:$J$2004,$Z429-2000))+N(INDEX(周转筐出入库明细!$K$4:$K$2004,$Z429-2000))),IF($Z429&lt;=5200,IF(N(INDEX(客户自备加工筐明细!$G$4:$G$1203,$Z429-4000))=0,"",N(INDEX(客户自备加工筐明细!$G$4:$G$1203,$Z429-4000))),IF($Z429&lt;=5800,IF(ISNUMBER(SEARCH("退",INDEX(次果筐明细!$F$4:$F$603,$Z429-5200)&amp;"")),"",IF(N(INDEX(次果筐明细!$G$4:$G$603,$Z429-5200))=0,"",N(INDEX(次果筐明细!$G$4:$G$603,$Z429-5200)))),"")))))</f>
        <v/>
      </c>
      <c r="P429" s="40" t="str">
        <f>IF($Z429="","",IF($Z429&lt;=2000,"",IF($Z429&lt;=4000,IF(N(INDEX(周转筐出入库明细!$I$4:$I$2004,$Z429-2000))=0,"",N(INDEX(周转筐出入库明细!$I$4:$I$2004,$Z429-2000))),IF($Z429&lt;=5200,"",IF($Z429&lt;=5800,IF(ISNUMBER(SEARCH("退",INDEX(次果筐明细!$F$4:$F$603,$Z429-5200)&amp;"")),IF(N(INDEX(次果筐明细!$G$4:$G$603,$Z429-5200))=0,"",N(INDEX(次果筐明细!$G$4:$G$603,$Z429-5200))),""),"")))))</f>
        <v/>
      </c>
      <c r="Q429" s="40" t="str">
        <f>IF($Z429="","",IF($Z429&lt;=2000,"",IF($Z429&lt;=4000,IF(N(INDEX(周转筐出入库明细!$H$4:$H$2004,$Z429-2000))=0,"",N(INDEX(周转筐出入库明细!$H$4:$H$2004,$Z429-2000))),IF($Z429&lt;=5200,IF(N(INDEX(客户自备加工筐明细!$F$4:$F$1203,$Z429-4000))=0,"",N(INDEX(客户自备加工筐明细!$F$4:$F$1203,$Z429-4000))),IF($Z429&lt;=5800,"","")))))</f>
        <v/>
      </c>
      <c r="R429" s="16" t="str">
        <f>IF($Z429="","",IF($Z429&lt;=2000,IF(INDEX(包装物料出入库明细!$O$4:$O$2003,$Z429-0)=0,"",INDEX(包装物料出入库明细!$O$4:$O$2003,$Z429-0)),IF($Z429&lt;=4000,IF(INDEX(周转筐出入库明细!$M$4:$M$2004,$Z429-2000)=0,"",INDEX(周转筐出入库明细!$M$4:$M$2004,$Z429-2000)),IF($Z429&lt;=5200,IF(INDEX(客户自备加工筐明细!$H$4:$H$1203,$Z429-4000)=0,"",INDEX(客户自备加工筐明细!$H$4:$H$1203,$Z429-4000)),IF($Z429&lt;=5800,IF(INDEX(次果筐明细!$H$4:$H$603,$Z429-5200)=0,"",INDEX(次果筐明细!$H$4:$H$603,$Z429-5200)),"")))))</f>
        <v/>
      </c>
      <c r="S429" s="22" t="str">
        <f t="shared" si="20"/>
        <v/>
      </c>
      <c r="Z429" s="10" t="str">
        <f>IFERROR(MATCH(ROW()-3,_自动清单!$CQ$4:$CQ$5803,0),"")</f>
        <v/>
      </c>
    </row>
    <row r="430" spans="1:26">
      <c r="A430" s="24" t="str">
        <f t="shared" si="18"/>
        <v/>
      </c>
      <c r="B430" s="38" t="str">
        <f>IF($Z430="","",IF($Z430&lt;=2000,IF(INDEX(包装物料出入库明细!$B$4:$B$2003,$Z430-0)=0,"",INDEX(包装物料出入库明细!$B$4:$B$2003,$Z430-0)),IF($Z430&lt;=4000,IF(INDEX(周转筐出入库明细!$B$4:$B$2004,$Z430-2000)=0,"",INDEX(周转筐出入库明细!$B$4:$B$2004,$Z430-2000)),IF($Z430&lt;=5200,IF(INDEX(客户自备加工筐明细!$B$4:$B$1203,$Z430-4000)=0,"",INDEX(客户自备加工筐明细!$B$4:$B$1203,$Z430-4000)),IF($Z430&lt;=5800,IF(INDEX(次果筐明细!$B$4:$B$603,$Z430-5200)=0,"",INDEX(次果筐明细!$B$4:$B$603,$Z430-5200)),"")))))</f>
        <v/>
      </c>
      <c r="C430" s="37" t="str">
        <f>IF($Z430="","",IF($Z430&lt;=2000,IF(INDEX(包装物料出入库明细!$D$4:$D$2003,$Z430-0)=0,"",INDEX(包装物料出入库明细!$D$4:$D$2003,$Z430-0)),IF($Z430&lt;=4000,IF(INDEX(周转筐出入库明细!$C$4:$C$2004,$Z430-2000)=0,"",INDEX(周转筐出入库明细!$C$4:$C$2004,$Z430-2000)),IF($Z430&lt;=5200,IF(INDEX(客户自备加工筐明细!$E$4:$E$1203,$Z430-4000)=0,"",INDEX(客户自备加工筐明细!$E$4:$E$1203,$Z430-4000)),IF($Z430&lt;=5800,IF(INDEX(次果筐明细!$C$4:$C$603,$Z430-5200)=0,"",INDEX(次果筐明细!$C$4:$C$603,$Z430-5200)),"")))))</f>
        <v/>
      </c>
      <c r="D430" s="37" t="str">
        <f>IF($Z430="","",IF($Z430&lt;=2000,"包装物料－"&amp;INDEX(包装物料出入库明细!$H$4:$H$2003,$Z430-0),IF($Z430&lt;=4000,"周转筐－"&amp;INDEX(周转筐出入库明细!$F$4:$F$2004,$Z430-2000),IF($Z430&lt;=5200,"客户自备筐－"&amp;INDEX(客户自备加工筐明细!$J$4:$J$1203,$Z430-4000),IF($Z430&lt;=5800,"次果筐/托盘－"&amp;INDEX(次果筐明细!$F$4:$F$603,$Z430-5200),"")))))</f>
        <v/>
      </c>
      <c r="E430" s="24" t="str">
        <f>IF($Z430="","",IF($Z430&lt;=2000,IF(INDEX(包装物料出入库明细!$C$4:$C$2003,$Z430-0)=0,"",INDEX(包装物料出入库明细!$C$4:$C$2003,$Z430-0)),IF($Z430&lt;=4000,IF(INDEX(周转筐出入库明细!$E$4:$E$2004,$Z430-2000)=0,"",INDEX(周转筐出入库明细!$E$4:$E$2004,$Z430-2000)),IF($Z430&lt;=5200,IF(INDEX(客户自备加工筐明细!$D$4:$D$1203,$Z430-4000)=0,"",INDEX(客户自备加工筐明细!$D$4:$D$1203,$Z430-4000)),IF($Z430&lt;=5800,IF(INDEX(次果筐明细!$E$4:$E$603,$Z430-5200)=0,"",INDEX(次果筐明细!$E$4:$E$603,$Z430-5200)),"")))))</f>
        <v/>
      </c>
      <c r="F430" s="24" t="str">
        <f>IF($Z430="","",IF($Z430&lt;=2000,IF(INDEX(包装物料出入库明细!$E$4:$E$2003,$Z430-0)=0,"",INDEX(包装物料出入库明细!$E$4:$E$2003,$Z430-0)),IF($Z430&lt;=4000,IF(INDEX(周转筐出入库明细!$D$4:$D$2004,$Z430-2000)=0,"",INDEX(周转筐出入库明细!$D$4:$D$2004,$Z430-2000)),IF($Z430&lt;=5200,IF(INDEX(客户自备加工筐明细!$C$4:$C$1203,$Z430-4000)=0,"",INDEX(客户自备加工筐明细!$C$4:$C$1203,$Z430-4000)),IF($Z430&lt;=5800,IF(INDEX(次果筐明细!$D$4:$D$603,$Z430-5200)=0,"",INDEX(次果筐明细!$D$4:$D$603,$Z430-5200)),"")))))</f>
        <v/>
      </c>
      <c r="G430" s="24" t="str">
        <f>IF($Z430="","",IF($Z430&lt;=2000,IF(INDEX(包装物料出入库明细!$F$4:$F$2003,$Z430-0)=0,"",INDEX(包装物料出入库明细!$F$4:$F$2003,$Z430-0)),IF($Z430&lt;=4000,"",IF($Z430&lt;=5200,"",IF($Z430&lt;=5800,"","")))))</f>
        <v/>
      </c>
      <c r="H430" s="39" t="str">
        <f>IF($Z430="","",IF($Z430&lt;=2000,IF(INDEX(包装物料出入库明细!$L$4:$L$2003,$Z430-0)=0,"",INDEX(包装物料出入库明细!$L$4:$L$2003,$Z430-0)),IF($Z430&lt;=4000,N(INDEX(周转筐出入库明细!$H$4:$H$2004,$Z430-2000))+N(INDEX(周转筐出入库明细!$I$4:$I$2004,$Z430-2000))+N(INDEX(周转筐出入库明细!$J$4:$J$2004,$Z430-2000))+N(INDEX(周转筐出入库明细!$K$4:$K$2004,$Z430-2000)),IF($Z430&lt;=5200,N(INDEX(客户自备加工筐明细!$F$4:$F$1203,$Z430-4000))+N(INDEX(客户自备加工筐明细!$G$4:$G$1203,$Z430-4000)),IF($Z430&lt;=5800,IF(INDEX(次果筐明细!$G$4:$G$603,$Z430-5200)=0,"",INDEX(次果筐明细!$G$4:$G$603,$Z430-5200)),"")))))</f>
        <v/>
      </c>
      <c r="I430" s="24" t="str">
        <f>IF($Z430="","",IF($Z430&lt;=2000,IF(INDEX(包装物料出入库明细!$G$4:$G$2003,$Z430-0)=0,"",INDEX(包装物料出入库明细!$G$4:$G$2003,$Z430-0)),IF($Z430&lt;=4000,"个",IF($Z430&lt;=5200,"个",IF($Z430&lt;=5800,"个","")))))</f>
        <v/>
      </c>
      <c r="J430" s="30" t="str">
        <f t="shared" si="19"/>
        <v/>
      </c>
      <c r="K430" s="30" t="str">
        <f>IF($Z430="","",IF($Z430&lt;=2000,IF(INDEX(包装物料出入库明细!$N$4:$N$2003,$Z430-0)=0,"",INDEX(包装物料出入库明细!$N$4:$N$2003,$Z430-0)),IF($Z430&lt;=4000,IF(INDEX(周转筐出入库明细!$P$4:$P$2004,$Z430-2000)=0,"",INDEX(周转筐出入库明细!$P$4:$P$2004,$Z430-2000)),IF($Z430&lt;=5200,"",IF($Z430&lt;=5800,N(INDEX(次果筐明细!$L$4:$L$603,$Z430-5200))+N(INDEX(次果筐明细!$J$4:$J$603,$Z430-5200)),"")))))</f>
        <v/>
      </c>
      <c r="L430" s="24" t="str">
        <f>IF($Z430="","",IF($Z430&lt;=2000,IF(INDEX(包装物料出入库明细!$P$4:$P$2003,$Z430-0)=0,"",INDEX(包装物料出入库明细!$P$4:$P$2003,$Z430-0)),IF($Z430&lt;=4000,IF(INDEX(周转筐出入库明细!$Q$4:$Q$2004,$Z430-2000)=0,"",INDEX(周转筐出入库明细!$Q$4:$Q$2004,$Z430-2000)),IF($Z430&lt;=5200,"",IF($Z430&lt;=5800,IF(INDEX(次果筐明细!$M$4:$M$603,$Z430-5200)=0,"",INDEX(次果筐明细!$M$4:$M$603,$Z430-5200)),"")))))</f>
        <v/>
      </c>
      <c r="M430" s="37" t="str">
        <f>IF($Z430="","",IF($Z430&lt;=2000,IF(INDEX(包装物料出入库明细!$R$4:$R$2003,$Z430-0)=0,"",INDEX(包装物料出入库明细!$R$4:$R$2003,$Z430-0)),IF($Z430&lt;=4000,IF(INDEX(周转筐出入库明细!$W$4:$W$2004,$Z430-2000)=0,"",INDEX(周转筐出入库明细!$W$4:$W$2004,$Z430-2000)),IF($Z430&lt;=5200,IF(INDEX(客户自备加工筐明细!$L$4:$L$1203,$Z430-4000)=0,"",INDEX(客户自备加工筐明细!$L$4:$L$1203,$Z430-4000)),IF($Z430&lt;=5800,IF(INDEX(次果筐明细!$P$4:$P$603,$Z430-5200)=0,"",INDEX(次果筐明细!$P$4:$P$603,$Z430-5200)),"")))))</f>
        <v/>
      </c>
      <c r="N430" s="16" t="str">
        <f>IF($Z430="","",IF($Z430&lt;=2000,"",IF($Z430&lt;=4000,IF(INDEX(周转筐出入库明细!$D$4:$D$2004,$Z430-2000)=0,"",INDEX(周转筐出入库明细!$D$4:$D$2004,$Z430-2000)),IF($Z430&lt;=5200,IF(INDEX(客户自备加工筐明细!$C$4:$C$1203,$Z430-4000)=0,"",INDEX(客户自备加工筐明细!$C$4:$C$1203,$Z430-4000)),IF($Z430&lt;=5800,IF(INDEX(次果筐明细!$D$4:$D$603,$Z430-5200)=0,"",INDEX(次果筐明细!$D$4:$D$603,$Z430-5200)),"")))))</f>
        <v/>
      </c>
      <c r="O430" s="40" t="str">
        <f>IF($Z430="","",IF($Z430&lt;=2000,"",IF($Z430&lt;=4000,IF(N(INDEX(周转筐出入库明细!$J$4:$J$2004,$Z430-2000))+N(INDEX(周转筐出入库明细!$K$4:$K$2004,$Z430-2000))=0,"",N(INDEX(周转筐出入库明细!$J$4:$J$2004,$Z430-2000))+N(INDEX(周转筐出入库明细!$K$4:$K$2004,$Z430-2000))),IF($Z430&lt;=5200,IF(N(INDEX(客户自备加工筐明细!$G$4:$G$1203,$Z430-4000))=0,"",N(INDEX(客户自备加工筐明细!$G$4:$G$1203,$Z430-4000))),IF($Z430&lt;=5800,IF(ISNUMBER(SEARCH("退",INDEX(次果筐明细!$F$4:$F$603,$Z430-5200)&amp;"")),"",IF(N(INDEX(次果筐明细!$G$4:$G$603,$Z430-5200))=0,"",N(INDEX(次果筐明细!$G$4:$G$603,$Z430-5200)))),"")))))</f>
        <v/>
      </c>
      <c r="P430" s="40" t="str">
        <f>IF($Z430="","",IF($Z430&lt;=2000,"",IF($Z430&lt;=4000,IF(N(INDEX(周转筐出入库明细!$I$4:$I$2004,$Z430-2000))=0,"",N(INDEX(周转筐出入库明细!$I$4:$I$2004,$Z430-2000))),IF($Z430&lt;=5200,"",IF($Z430&lt;=5800,IF(ISNUMBER(SEARCH("退",INDEX(次果筐明细!$F$4:$F$603,$Z430-5200)&amp;"")),IF(N(INDEX(次果筐明细!$G$4:$G$603,$Z430-5200))=0,"",N(INDEX(次果筐明细!$G$4:$G$603,$Z430-5200))),""),"")))))</f>
        <v/>
      </c>
      <c r="Q430" s="40" t="str">
        <f>IF($Z430="","",IF($Z430&lt;=2000,"",IF($Z430&lt;=4000,IF(N(INDEX(周转筐出入库明细!$H$4:$H$2004,$Z430-2000))=0,"",N(INDEX(周转筐出入库明细!$H$4:$H$2004,$Z430-2000))),IF($Z430&lt;=5200,IF(N(INDEX(客户自备加工筐明细!$F$4:$F$1203,$Z430-4000))=0,"",N(INDEX(客户自备加工筐明细!$F$4:$F$1203,$Z430-4000))),IF($Z430&lt;=5800,"","")))))</f>
        <v/>
      </c>
      <c r="R430" s="16" t="str">
        <f>IF($Z430="","",IF($Z430&lt;=2000,IF(INDEX(包装物料出入库明细!$O$4:$O$2003,$Z430-0)=0,"",INDEX(包装物料出入库明细!$O$4:$O$2003,$Z430-0)),IF($Z430&lt;=4000,IF(INDEX(周转筐出入库明细!$M$4:$M$2004,$Z430-2000)=0,"",INDEX(周转筐出入库明细!$M$4:$M$2004,$Z430-2000)),IF($Z430&lt;=5200,IF(INDEX(客户自备加工筐明细!$H$4:$H$1203,$Z430-4000)=0,"",INDEX(客户自备加工筐明细!$H$4:$H$1203,$Z430-4000)),IF($Z430&lt;=5800,IF(INDEX(次果筐明细!$H$4:$H$603,$Z430-5200)=0,"",INDEX(次果筐明细!$H$4:$H$603,$Z430-5200)),"")))))</f>
        <v/>
      </c>
      <c r="S430" s="22" t="str">
        <f t="shared" si="20"/>
        <v/>
      </c>
      <c r="Z430" s="10" t="str">
        <f>IFERROR(MATCH(ROW()-3,_自动清单!$CQ$4:$CQ$5803,0),"")</f>
        <v/>
      </c>
    </row>
    <row r="431" spans="1:26">
      <c r="A431" s="24" t="str">
        <f t="shared" si="18"/>
        <v/>
      </c>
      <c r="B431" s="38" t="str">
        <f>IF($Z431="","",IF($Z431&lt;=2000,IF(INDEX(包装物料出入库明细!$B$4:$B$2003,$Z431-0)=0,"",INDEX(包装物料出入库明细!$B$4:$B$2003,$Z431-0)),IF($Z431&lt;=4000,IF(INDEX(周转筐出入库明细!$B$4:$B$2004,$Z431-2000)=0,"",INDEX(周转筐出入库明细!$B$4:$B$2004,$Z431-2000)),IF($Z431&lt;=5200,IF(INDEX(客户自备加工筐明细!$B$4:$B$1203,$Z431-4000)=0,"",INDEX(客户自备加工筐明细!$B$4:$B$1203,$Z431-4000)),IF($Z431&lt;=5800,IF(INDEX(次果筐明细!$B$4:$B$603,$Z431-5200)=0,"",INDEX(次果筐明细!$B$4:$B$603,$Z431-5200)),"")))))</f>
        <v/>
      </c>
      <c r="C431" s="37" t="str">
        <f>IF($Z431="","",IF($Z431&lt;=2000,IF(INDEX(包装物料出入库明细!$D$4:$D$2003,$Z431-0)=0,"",INDEX(包装物料出入库明细!$D$4:$D$2003,$Z431-0)),IF($Z431&lt;=4000,IF(INDEX(周转筐出入库明细!$C$4:$C$2004,$Z431-2000)=0,"",INDEX(周转筐出入库明细!$C$4:$C$2004,$Z431-2000)),IF($Z431&lt;=5200,IF(INDEX(客户自备加工筐明细!$E$4:$E$1203,$Z431-4000)=0,"",INDEX(客户自备加工筐明细!$E$4:$E$1203,$Z431-4000)),IF($Z431&lt;=5800,IF(INDEX(次果筐明细!$C$4:$C$603,$Z431-5200)=0,"",INDEX(次果筐明细!$C$4:$C$603,$Z431-5200)),"")))))</f>
        <v/>
      </c>
      <c r="D431" s="37" t="str">
        <f>IF($Z431="","",IF($Z431&lt;=2000,"包装物料－"&amp;INDEX(包装物料出入库明细!$H$4:$H$2003,$Z431-0),IF($Z431&lt;=4000,"周转筐－"&amp;INDEX(周转筐出入库明细!$F$4:$F$2004,$Z431-2000),IF($Z431&lt;=5200,"客户自备筐－"&amp;INDEX(客户自备加工筐明细!$J$4:$J$1203,$Z431-4000),IF($Z431&lt;=5800,"次果筐/托盘－"&amp;INDEX(次果筐明细!$F$4:$F$603,$Z431-5200),"")))))</f>
        <v/>
      </c>
      <c r="E431" s="24" t="str">
        <f>IF($Z431="","",IF($Z431&lt;=2000,IF(INDEX(包装物料出入库明细!$C$4:$C$2003,$Z431-0)=0,"",INDEX(包装物料出入库明细!$C$4:$C$2003,$Z431-0)),IF($Z431&lt;=4000,IF(INDEX(周转筐出入库明细!$E$4:$E$2004,$Z431-2000)=0,"",INDEX(周转筐出入库明细!$E$4:$E$2004,$Z431-2000)),IF($Z431&lt;=5200,IF(INDEX(客户自备加工筐明细!$D$4:$D$1203,$Z431-4000)=0,"",INDEX(客户自备加工筐明细!$D$4:$D$1203,$Z431-4000)),IF($Z431&lt;=5800,IF(INDEX(次果筐明细!$E$4:$E$603,$Z431-5200)=0,"",INDEX(次果筐明细!$E$4:$E$603,$Z431-5200)),"")))))</f>
        <v/>
      </c>
      <c r="F431" s="24" t="str">
        <f>IF($Z431="","",IF($Z431&lt;=2000,IF(INDEX(包装物料出入库明细!$E$4:$E$2003,$Z431-0)=0,"",INDEX(包装物料出入库明细!$E$4:$E$2003,$Z431-0)),IF($Z431&lt;=4000,IF(INDEX(周转筐出入库明细!$D$4:$D$2004,$Z431-2000)=0,"",INDEX(周转筐出入库明细!$D$4:$D$2004,$Z431-2000)),IF($Z431&lt;=5200,IF(INDEX(客户自备加工筐明细!$C$4:$C$1203,$Z431-4000)=0,"",INDEX(客户自备加工筐明细!$C$4:$C$1203,$Z431-4000)),IF($Z431&lt;=5800,IF(INDEX(次果筐明细!$D$4:$D$603,$Z431-5200)=0,"",INDEX(次果筐明细!$D$4:$D$603,$Z431-5200)),"")))))</f>
        <v/>
      </c>
      <c r="G431" s="24" t="str">
        <f>IF($Z431="","",IF($Z431&lt;=2000,IF(INDEX(包装物料出入库明细!$F$4:$F$2003,$Z431-0)=0,"",INDEX(包装物料出入库明细!$F$4:$F$2003,$Z431-0)),IF($Z431&lt;=4000,"",IF($Z431&lt;=5200,"",IF($Z431&lt;=5800,"","")))))</f>
        <v/>
      </c>
      <c r="H431" s="39" t="str">
        <f>IF($Z431="","",IF($Z431&lt;=2000,IF(INDEX(包装物料出入库明细!$L$4:$L$2003,$Z431-0)=0,"",INDEX(包装物料出入库明细!$L$4:$L$2003,$Z431-0)),IF($Z431&lt;=4000,N(INDEX(周转筐出入库明细!$H$4:$H$2004,$Z431-2000))+N(INDEX(周转筐出入库明细!$I$4:$I$2004,$Z431-2000))+N(INDEX(周转筐出入库明细!$J$4:$J$2004,$Z431-2000))+N(INDEX(周转筐出入库明细!$K$4:$K$2004,$Z431-2000)),IF($Z431&lt;=5200,N(INDEX(客户自备加工筐明细!$F$4:$F$1203,$Z431-4000))+N(INDEX(客户自备加工筐明细!$G$4:$G$1203,$Z431-4000)),IF($Z431&lt;=5800,IF(INDEX(次果筐明细!$G$4:$G$603,$Z431-5200)=0,"",INDEX(次果筐明细!$G$4:$G$603,$Z431-5200)),"")))))</f>
        <v/>
      </c>
      <c r="I431" s="24" t="str">
        <f>IF($Z431="","",IF($Z431&lt;=2000,IF(INDEX(包装物料出入库明细!$G$4:$G$2003,$Z431-0)=0,"",INDEX(包装物料出入库明细!$G$4:$G$2003,$Z431-0)),IF($Z431&lt;=4000,"个",IF($Z431&lt;=5200,"个",IF($Z431&lt;=5800,"个","")))))</f>
        <v/>
      </c>
      <c r="J431" s="30" t="str">
        <f t="shared" si="19"/>
        <v/>
      </c>
      <c r="K431" s="30" t="str">
        <f>IF($Z431="","",IF($Z431&lt;=2000,IF(INDEX(包装物料出入库明细!$N$4:$N$2003,$Z431-0)=0,"",INDEX(包装物料出入库明细!$N$4:$N$2003,$Z431-0)),IF($Z431&lt;=4000,IF(INDEX(周转筐出入库明细!$P$4:$P$2004,$Z431-2000)=0,"",INDEX(周转筐出入库明细!$P$4:$P$2004,$Z431-2000)),IF($Z431&lt;=5200,"",IF($Z431&lt;=5800,N(INDEX(次果筐明细!$L$4:$L$603,$Z431-5200))+N(INDEX(次果筐明细!$J$4:$J$603,$Z431-5200)),"")))))</f>
        <v/>
      </c>
      <c r="L431" s="24" t="str">
        <f>IF($Z431="","",IF($Z431&lt;=2000,IF(INDEX(包装物料出入库明细!$P$4:$P$2003,$Z431-0)=0,"",INDEX(包装物料出入库明细!$P$4:$P$2003,$Z431-0)),IF($Z431&lt;=4000,IF(INDEX(周转筐出入库明细!$Q$4:$Q$2004,$Z431-2000)=0,"",INDEX(周转筐出入库明细!$Q$4:$Q$2004,$Z431-2000)),IF($Z431&lt;=5200,"",IF($Z431&lt;=5800,IF(INDEX(次果筐明细!$M$4:$M$603,$Z431-5200)=0,"",INDEX(次果筐明细!$M$4:$M$603,$Z431-5200)),"")))))</f>
        <v/>
      </c>
      <c r="M431" s="37" t="str">
        <f>IF($Z431="","",IF($Z431&lt;=2000,IF(INDEX(包装物料出入库明细!$R$4:$R$2003,$Z431-0)=0,"",INDEX(包装物料出入库明细!$R$4:$R$2003,$Z431-0)),IF($Z431&lt;=4000,IF(INDEX(周转筐出入库明细!$W$4:$W$2004,$Z431-2000)=0,"",INDEX(周转筐出入库明细!$W$4:$W$2004,$Z431-2000)),IF($Z431&lt;=5200,IF(INDEX(客户自备加工筐明细!$L$4:$L$1203,$Z431-4000)=0,"",INDEX(客户自备加工筐明细!$L$4:$L$1203,$Z431-4000)),IF($Z431&lt;=5800,IF(INDEX(次果筐明细!$P$4:$P$603,$Z431-5200)=0,"",INDEX(次果筐明细!$P$4:$P$603,$Z431-5200)),"")))))</f>
        <v/>
      </c>
      <c r="N431" s="16" t="str">
        <f>IF($Z431="","",IF($Z431&lt;=2000,"",IF($Z431&lt;=4000,IF(INDEX(周转筐出入库明细!$D$4:$D$2004,$Z431-2000)=0,"",INDEX(周转筐出入库明细!$D$4:$D$2004,$Z431-2000)),IF($Z431&lt;=5200,IF(INDEX(客户自备加工筐明细!$C$4:$C$1203,$Z431-4000)=0,"",INDEX(客户自备加工筐明细!$C$4:$C$1203,$Z431-4000)),IF($Z431&lt;=5800,IF(INDEX(次果筐明细!$D$4:$D$603,$Z431-5200)=0,"",INDEX(次果筐明细!$D$4:$D$603,$Z431-5200)),"")))))</f>
        <v/>
      </c>
      <c r="O431" s="40" t="str">
        <f>IF($Z431="","",IF($Z431&lt;=2000,"",IF($Z431&lt;=4000,IF(N(INDEX(周转筐出入库明细!$J$4:$J$2004,$Z431-2000))+N(INDEX(周转筐出入库明细!$K$4:$K$2004,$Z431-2000))=0,"",N(INDEX(周转筐出入库明细!$J$4:$J$2004,$Z431-2000))+N(INDEX(周转筐出入库明细!$K$4:$K$2004,$Z431-2000))),IF($Z431&lt;=5200,IF(N(INDEX(客户自备加工筐明细!$G$4:$G$1203,$Z431-4000))=0,"",N(INDEX(客户自备加工筐明细!$G$4:$G$1203,$Z431-4000))),IF($Z431&lt;=5800,IF(ISNUMBER(SEARCH("退",INDEX(次果筐明细!$F$4:$F$603,$Z431-5200)&amp;"")),"",IF(N(INDEX(次果筐明细!$G$4:$G$603,$Z431-5200))=0,"",N(INDEX(次果筐明细!$G$4:$G$603,$Z431-5200)))),"")))))</f>
        <v/>
      </c>
      <c r="P431" s="40" t="str">
        <f>IF($Z431="","",IF($Z431&lt;=2000,"",IF($Z431&lt;=4000,IF(N(INDEX(周转筐出入库明细!$I$4:$I$2004,$Z431-2000))=0,"",N(INDEX(周转筐出入库明细!$I$4:$I$2004,$Z431-2000))),IF($Z431&lt;=5200,"",IF($Z431&lt;=5800,IF(ISNUMBER(SEARCH("退",INDEX(次果筐明细!$F$4:$F$603,$Z431-5200)&amp;"")),IF(N(INDEX(次果筐明细!$G$4:$G$603,$Z431-5200))=0,"",N(INDEX(次果筐明细!$G$4:$G$603,$Z431-5200))),""),"")))))</f>
        <v/>
      </c>
      <c r="Q431" s="40" t="str">
        <f>IF($Z431="","",IF($Z431&lt;=2000,"",IF($Z431&lt;=4000,IF(N(INDEX(周转筐出入库明细!$H$4:$H$2004,$Z431-2000))=0,"",N(INDEX(周转筐出入库明细!$H$4:$H$2004,$Z431-2000))),IF($Z431&lt;=5200,IF(N(INDEX(客户自备加工筐明细!$F$4:$F$1203,$Z431-4000))=0,"",N(INDEX(客户自备加工筐明细!$F$4:$F$1203,$Z431-4000))),IF($Z431&lt;=5800,"","")))))</f>
        <v/>
      </c>
      <c r="R431" s="16" t="str">
        <f>IF($Z431="","",IF($Z431&lt;=2000,IF(INDEX(包装物料出入库明细!$O$4:$O$2003,$Z431-0)=0,"",INDEX(包装物料出入库明细!$O$4:$O$2003,$Z431-0)),IF($Z431&lt;=4000,IF(INDEX(周转筐出入库明细!$M$4:$M$2004,$Z431-2000)=0,"",INDEX(周转筐出入库明细!$M$4:$M$2004,$Z431-2000)),IF($Z431&lt;=5200,IF(INDEX(客户自备加工筐明细!$H$4:$H$1203,$Z431-4000)=0,"",INDEX(客户自备加工筐明细!$H$4:$H$1203,$Z431-4000)),IF($Z431&lt;=5800,IF(INDEX(次果筐明细!$H$4:$H$603,$Z431-5200)=0,"",INDEX(次果筐明细!$H$4:$H$603,$Z431-5200)),"")))))</f>
        <v/>
      </c>
      <c r="S431" s="22" t="str">
        <f t="shared" si="20"/>
        <v/>
      </c>
      <c r="Z431" s="10" t="str">
        <f>IFERROR(MATCH(ROW()-3,_自动清单!$CQ$4:$CQ$5803,0),"")</f>
        <v/>
      </c>
    </row>
    <row r="432" spans="1:26">
      <c r="A432" s="24" t="str">
        <f t="shared" si="18"/>
        <v/>
      </c>
      <c r="B432" s="38" t="str">
        <f>IF($Z432="","",IF($Z432&lt;=2000,IF(INDEX(包装物料出入库明细!$B$4:$B$2003,$Z432-0)=0,"",INDEX(包装物料出入库明细!$B$4:$B$2003,$Z432-0)),IF($Z432&lt;=4000,IF(INDEX(周转筐出入库明细!$B$4:$B$2004,$Z432-2000)=0,"",INDEX(周转筐出入库明细!$B$4:$B$2004,$Z432-2000)),IF($Z432&lt;=5200,IF(INDEX(客户自备加工筐明细!$B$4:$B$1203,$Z432-4000)=0,"",INDEX(客户自备加工筐明细!$B$4:$B$1203,$Z432-4000)),IF($Z432&lt;=5800,IF(INDEX(次果筐明细!$B$4:$B$603,$Z432-5200)=0,"",INDEX(次果筐明细!$B$4:$B$603,$Z432-5200)),"")))))</f>
        <v/>
      </c>
      <c r="C432" s="37" t="str">
        <f>IF($Z432="","",IF($Z432&lt;=2000,IF(INDEX(包装物料出入库明细!$D$4:$D$2003,$Z432-0)=0,"",INDEX(包装物料出入库明细!$D$4:$D$2003,$Z432-0)),IF($Z432&lt;=4000,IF(INDEX(周转筐出入库明细!$C$4:$C$2004,$Z432-2000)=0,"",INDEX(周转筐出入库明细!$C$4:$C$2004,$Z432-2000)),IF($Z432&lt;=5200,IF(INDEX(客户自备加工筐明细!$E$4:$E$1203,$Z432-4000)=0,"",INDEX(客户自备加工筐明细!$E$4:$E$1203,$Z432-4000)),IF($Z432&lt;=5800,IF(INDEX(次果筐明细!$C$4:$C$603,$Z432-5200)=0,"",INDEX(次果筐明细!$C$4:$C$603,$Z432-5200)),"")))))</f>
        <v/>
      </c>
      <c r="D432" s="37" t="str">
        <f>IF($Z432="","",IF($Z432&lt;=2000,"包装物料－"&amp;INDEX(包装物料出入库明细!$H$4:$H$2003,$Z432-0),IF($Z432&lt;=4000,"周转筐－"&amp;INDEX(周转筐出入库明细!$F$4:$F$2004,$Z432-2000),IF($Z432&lt;=5200,"客户自备筐－"&amp;INDEX(客户自备加工筐明细!$J$4:$J$1203,$Z432-4000),IF($Z432&lt;=5800,"次果筐/托盘－"&amp;INDEX(次果筐明细!$F$4:$F$603,$Z432-5200),"")))))</f>
        <v/>
      </c>
      <c r="E432" s="24" t="str">
        <f>IF($Z432="","",IF($Z432&lt;=2000,IF(INDEX(包装物料出入库明细!$C$4:$C$2003,$Z432-0)=0,"",INDEX(包装物料出入库明细!$C$4:$C$2003,$Z432-0)),IF($Z432&lt;=4000,IF(INDEX(周转筐出入库明细!$E$4:$E$2004,$Z432-2000)=0,"",INDEX(周转筐出入库明细!$E$4:$E$2004,$Z432-2000)),IF($Z432&lt;=5200,IF(INDEX(客户自备加工筐明细!$D$4:$D$1203,$Z432-4000)=0,"",INDEX(客户自备加工筐明细!$D$4:$D$1203,$Z432-4000)),IF($Z432&lt;=5800,IF(INDEX(次果筐明细!$E$4:$E$603,$Z432-5200)=0,"",INDEX(次果筐明细!$E$4:$E$603,$Z432-5200)),"")))))</f>
        <v/>
      </c>
      <c r="F432" s="24" t="str">
        <f>IF($Z432="","",IF($Z432&lt;=2000,IF(INDEX(包装物料出入库明细!$E$4:$E$2003,$Z432-0)=0,"",INDEX(包装物料出入库明细!$E$4:$E$2003,$Z432-0)),IF($Z432&lt;=4000,IF(INDEX(周转筐出入库明细!$D$4:$D$2004,$Z432-2000)=0,"",INDEX(周转筐出入库明细!$D$4:$D$2004,$Z432-2000)),IF($Z432&lt;=5200,IF(INDEX(客户自备加工筐明细!$C$4:$C$1203,$Z432-4000)=0,"",INDEX(客户自备加工筐明细!$C$4:$C$1203,$Z432-4000)),IF($Z432&lt;=5800,IF(INDEX(次果筐明细!$D$4:$D$603,$Z432-5200)=0,"",INDEX(次果筐明细!$D$4:$D$603,$Z432-5200)),"")))))</f>
        <v/>
      </c>
      <c r="G432" s="24" t="str">
        <f>IF($Z432="","",IF($Z432&lt;=2000,IF(INDEX(包装物料出入库明细!$F$4:$F$2003,$Z432-0)=0,"",INDEX(包装物料出入库明细!$F$4:$F$2003,$Z432-0)),IF($Z432&lt;=4000,"",IF($Z432&lt;=5200,"",IF($Z432&lt;=5800,"","")))))</f>
        <v/>
      </c>
      <c r="H432" s="39" t="str">
        <f>IF($Z432="","",IF($Z432&lt;=2000,IF(INDEX(包装物料出入库明细!$L$4:$L$2003,$Z432-0)=0,"",INDEX(包装物料出入库明细!$L$4:$L$2003,$Z432-0)),IF($Z432&lt;=4000,N(INDEX(周转筐出入库明细!$H$4:$H$2004,$Z432-2000))+N(INDEX(周转筐出入库明细!$I$4:$I$2004,$Z432-2000))+N(INDEX(周转筐出入库明细!$J$4:$J$2004,$Z432-2000))+N(INDEX(周转筐出入库明细!$K$4:$K$2004,$Z432-2000)),IF($Z432&lt;=5200,N(INDEX(客户自备加工筐明细!$F$4:$F$1203,$Z432-4000))+N(INDEX(客户自备加工筐明细!$G$4:$G$1203,$Z432-4000)),IF($Z432&lt;=5800,IF(INDEX(次果筐明细!$G$4:$G$603,$Z432-5200)=0,"",INDEX(次果筐明细!$G$4:$G$603,$Z432-5200)),"")))))</f>
        <v/>
      </c>
      <c r="I432" s="24" t="str">
        <f>IF($Z432="","",IF($Z432&lt;=2000,IF(INDEX(包装物料出入库明细!$G$4:$G$2003,$Z432-0)=0,"",INDEX(包装物料出入库明细!$G$4:$G$2003,$Z432-0)),IF($Z432&lt;=4000,"个",IF($Z432&lt;=5200,"个",IF($Z432&lt;=5800,"个","")))))</f>
        <v/>
      </c>
      <c r="J432" s="30" t="str">
        <f t="shared" si="19"/>
        <v/>
      </c>
      <c r="K432" s="30" t="str">
        <f>IF($Z432="","",IF($Z432&lt;=2000,IF(INDEX(包装物料出入库明细!$N$4:$N$2003,$Z432-0)=0,"",INDEX(包装物料出入库明细!$N$4:$N$2003,$Z432-0)),IF($Z432&lt;=4000,IF(INDEX(周转筐出入库明细!$P$4:$P$2004,$Z432-2000)=0,"",INDEX(周转筐出入库明细!$P$4:$P$2004,$Z432-2000)),IF($Z432&lt;=5200,"",IF($Z432&lt;=5800,N(INDEX(次果筐明细!$L$4:$L$603,$Z432-5200))+N(INDEX(次果筐明细!$J$4:$J$603,$Z432-5200)),"")))))</f>
        <v/>
      </c>
      <c r="L432" s="24" t="str">
        <f>IF($Z432="","",IF($Z432&lt;=2000,IF(INDEX(包装物料出入库明细!$P$4:$P$2003,$Z432-0)=0,"",INDEX(包装物料出入库明细!$P$4:$P$2003,$Z432-0)),IF($Z432&lt;=4000,IF(INDEX(周转筐出入库明细!$Q$4:$Q$2004,$Z432-2000)=0,"",INDEX(周转筐出入库明细!$Q$4:$Q$2004,$Z432-2000)),IF($Z432&lt;=5200,"",IF($Z432&lt;=5800,IF(INDEX(次果筐明细!$M$4:$M$603,$Z432-5200)=0,"",INDEX(次果筐明细!$M$4:$M$603,$Z432-5200)),"")))))</f>
        <v/>
      </c>
      <c r="M432" s="37" t="str">
        <f>IF($Z432="","",IF($Z432&lt;=2000,IF(INDEX(包装物料出入库明细!$R$4:$R$2003,$Z432-0)=0,"",INDEX(包装物料出入库明细!$R$4:$R$2003,$Z432-0)),IF($Z432&lt;=4000,IF(INDEX(周转筐出入库明细!$W$4:$W$2004,$Z432-2000)=0,"",INDEX(周转筐出入库明细!$W$4:$W$2004,$Z432-2000)),IF($Z432&lt;=5200,IF(INDEX(客户自备加工筐明细!$L$4:$L$1203,$Z432-4000)=0,"",INDEX(客户自备加工筐明细!$L$4:$L$1203,$Z432-4000)),IF($Z432&lt;=5800,IF(INDEX(次果筐明细!$P$4:$P$603,$Z432-5200)=0,"",INDEX(次果筐明细!$P$4:$P$603,$Z432-5200)),"")))))</f>
        <v/>
      </c>
      <c r="N432" s="16" t="str">
        <f>IF($Z432="","",IF($Z432&lt;=2000,"",IF($Z432&lt;=4000,IF(INDEX(周转筐出入库明细!$D$4:$D$2004,$Z432-2000)=0,"",INDEX(周转筐出入库明细!$D$4:$D$2004,$Z432-2000)),IF($Z432&lt;=5200,IF(INDEX(客户自备加工筐明细!$C$4:$C$1203,$Z432-4000)=0,"",INDEX(客户自备加工筐明细!$C$4:$C$1203,$Z432-4000)),IF($Z432&lt;=5800,IF(INDEX(次果筐明细!$D$4:$D$603,$Z432-5200)=0,"",INDEX(次果筐明细!$D$4:$D$603,$Z432-5200)),"")))))</f>
        <v/>
      </c>
      <c r="O432" s="40" t="str">
        <f>IF($Z432="","",IF($Z432&lt;=2000,"",IF($Z432&lt;=4000,IF(N(INDEX(周转筐出入库明细!$J$4:$J$2004,$Z432-2000))+N(INDEX(周转筐出入库明细!$K$4:$K$2004,$Z432-2000))=0,"",N(INDEX(周转筐出入库明细!$J$4:$J$2004,$Z432-2000))+N(INDEX(周转筐出入库明细!$K$4:$K$2004,$Z432-2000))),IF($Z432&lt;=5200,IF(N(INDEX(客户自备加工筐明细!$G$4:$G$1203,$Z432-4000))=0,"",N(INDEX(客户自备加工筐明细!$G$4:$G$1203,$Z432-4000))),IF($Z432&lt;=5800,IF(ISNUMBER(SEARCH("退",INDEX(次果筐明细!$F$4:$F$603,$Z432-5200)&amp;"")),"",IF(N(INDEX(次果筐明细!$G$4:$G$603,$Z432-5200))=0,"",N(INDEX(次果筐明细!$G$4:$G$603,$Z432-5200)))),"")))))</f>
        <v/>
      </c>
      <c r="P432" s="40" t="str">
        <f>IF($Z432="","",IF($Z432&lt;=2000,"",IF($Z432&lt;=4000,IF(N(INDEX(周转筐出入库明细!$I$4:$I$2004,$Z432-2000))=0,"",N(INDEX(周转筐出入库明细!$I$4:$I$2004,$Z432-2000))),IF($Z432&lt;=5200,"",IF($Z432&lt;=5800,IF(ISNUMBER(SEARCH("退",INDEX(次果筐明细!$F$4:$F$603,$Z432-5200)&amp;"")),IF(N(INDEX(次果筐明细!$G$4:$G$603,$Z432-5200))=0,"",N(INDEX(次果筐明细!$G$4:$G$603,$Z432-5200))),""),"")))))</f>
        <v/>
      </c>
      <c r="Q432" s="40" t="str">
        <f>IF($Z432="","",IF($Z432&lt;=2000,"",IF($Z432&lt;=4000,IF(N(INDEX(周转筐出入库明细!$H$4:$H$2004,$Z432-2000))=0,"",N(INDEX(周转筐出入库明细!$H$4:$H$2004,$Z432-2000))),IF($Z432&lt;=5200,IF(N(INDEX(客户自备加工筐明细!$F$4:$F$1203,$Z432-4000))=0,"",N(INDEX(客户自备加工筐明细!$F$4:$F$1203,$Z432-4000))),IF($Z432&lt;=5800,"","")))))</f>
        <v/>
      </c>
      <c r="R432" s="16" t="str">
        <f>IF($Z432="","",IF($Z432&lt;=2000,IF(INDEX(包装物料出入库明细!$O$4:$O$2003,$Z432-0)=0,"",INDEX(包装物料出入库明细!$O$4:$O$2003,$Z432-0)),IF($Z432&lt;=4000,IF(INDEX(周转筐出入库明细!$M$4:$M$2004,$Z432-2000)=0,"",INDEX(周转筐出入库明细!$M$4:$M$2004,$Z432-2000)),IF($Z432&lt;=5200,IF(INDEX(客户自备加工筐明细!$H$4:$H$1203,$Z432-4000)=0,"",INDEX(客户自备加工筐明细!$H$4:$H$1203,$Z432-4000)),IF($Z432&lt;=5800,IF(INDEX(次果筐明细!$H$4:$H$603,$Z432-5200)=0,"",INDEX(次果筐明细!$H$4:$H$603,$Z432-5200)),"")))))</f>
        <v/>
      </c>
      <c r="S432" s="22" t="str">
        <f t="shared" si="20"/>
        <v/>
      </c>
      <c r="Z432" s="10" t="str">
        <f>IFERROR(MATCH(ROW()-3,_自动清单!$CQ$4:$CQ$5803,0),"")</f>
        <v/>
      </c>
    </row>
    <row r="433" spans="1:26">
      <c r="A433" s="24" t="str">
        <f t="shared" si="18"/>
        <v/>
      </c>
      <c r="B433" s="38" t="str">
        <f>IF($Z433="","",IF($Z433&lt;=2000,IF(INDEX(包装物料出入库明细!$B$4:$B$2003,$Z433-0)=0,"",INDEX(包装物料出入库明细!$B$4:$B$2003,$Z433-0)),IF($Z433&lt;=4000,IF(INDEX(周转筐出入库明细!$B$4:$B$2004,$Z433-2000)=0,"",INDEX(周转筐出入库明细!$B$4:$B$2004,$Z433-2000)),IF($Z433&lt;=5200,IF(INDEX(客户自备加工筐明细!$B$4:$B$1203,$Z433-4000)=0,"",INDEX(客户自备加工筐明细!$B$4:$B$1203,$Z433-4000)),IF($Z433&lt;=5800,IF(INDEX(次果筐明细!$B$4:$B$603,$Z433-5200)=0,"",INDEX(次果筐明细!$B$4:$B$603,$Z433-5200)),"")))))</f>
        <v/>
      </c>
      <c r="C433" s="37" t="str">
        <f>IF($Z433="","",IF($Z433&lt;=2000,IF(INDEX(包装物料出入库明细!$D$4:$D$2003,$Z433-0)=0,"",INDEX(包装物料出入库明细!$D$4:$D$2003,$Z433-0)),IF($Z433&lt;=4000,IF(INDEX(周转筐出入库明细!$C$4:$C$2004,$Z433-2000)=0,"",INDEX(周转筐出入库明细!$C$4:$C$2004,$Z433-2000)),IF($Z433&lt;=5200,IF(INDEX(客户自备加工筐明细!$E$4:$E$1203,$Z433-4000)=0,"",INDEX(客户自备加工筐明细!$E$4:$E$1203,$Z433-4000)),IF($Z433&lt;=5800,IF(INDEX(次果筐明细!$C$4:$C$603,$Z433-5200)=0,"",INDEX(次果筐明细!$C$4:$C$603,$Z433-5200)),"")))))</f>
        <v/>
      </c>
      <c r="D433" s="37" t="str">
        <f>IF($Z433="","",IF($Z433&lt;=2000,"包装物料－"&amp;INDEX(包装物料出入库明细!$H$4:$H$2003,$Z433-0),IF($Z433&lt;=4000,"周转筐－"&amp;INDEX(周转筐出入库明细!$F$4:$F$2004,$Z433-2000),IF($Z433&lt;=5200,"客户自备筐－"&amp;INDEX(客户自备加工筐明细!$J$4:$J$1203,$Z433-4000),IF($Z433&lt;=5800,"次果筐/托盘－"&amp;INDEX(次果筐明细!$F$4:$F$603,$Z433-5200),"")))))</f>
        <v/>
      </c>
      <c r="E433" s="24" t="str">
        <f>IF($Z433="","",IF($Z433&lt;=2000,IF(INDEX(包装物料出入库明细!$C$4:$C$2003,$Z433-0)=0,"",INDEX(包装物料出入库明细!$C$4:$C$2003,$Z433-0)),IF($Z433&lt;=4000,IF(INDEX(周转筐出入库明细!$E$4:$E$2004,$Z433-2000)=0,"",INDEX(周转筐出入库明细!$E$4:$E$2004,$Z433-2000)),IF($Z433&lt;=5200,IF(INDEX(客户自备加工筐明细!$D$4:$D$1203,$Z433-4000)=0,"",INDEX(客户自备加工筐明细!$D$4:$D$1203,$Z433-4000)),IF($Z433&lt;=5800,IF(INDEX(次果筐明细!$E$4:$E$603,$Z433-5200)=0,"",INDEX(次果筐明细!$E$4:$E$603,$Z433-5200)),"")))))</f>
        <v/>
      </c>
      <c r="F433" s="24" t="str">
        <f>IF($Z433="","",IF($Z433&lt;=2000,IF(INDEX(包装物料出入库明细!$E$4:$E$2003,$Z433-0)=0,"",INDEX(包装物料出入库明细!$E$4:$E$2003,$Z433-0)),IF($Z433&lt;=4000,IF(INDEX(周转筐出入库明细!$D$4:$D$2004,$Z433-2000)=0,"",INDEX(周转筐出入库明细!$D$4:$D$2004,$Z433-2000)),IF($Z433&lt;=5200,IF(INDEX(客户自备加工筐明细!$C$4:$C$1203,$Z433-4000)=0,"",INDEX(客户自备加工筐明细!$C$4:$C$1203,$Z433-4000)),IF($Z433&lt;=5800,IF(INDEX(次果筐明细!$D$4:$D$603,$Z433-5200)=0,"",INDEX(次果筐明细!$D$4:$D$603,$Z433-5200)),"")))))</f>
        <v/>
      </c>
      <c r="G433" s="24" t="str">
        <f>IF($Z433="","",IF($Z433&lt;=2000,IF(INDEX(包装物料出入库明细!$F$4:$F$2003,$Z433-0)=0,"",INDEX(包装物料出入库明细!$F$4:$F$2003,$Z433-0)),IF($Z433&lt;=4000,"",IF($Z433&lt;=5200,"",IF($Z433&lt;=5800,"","")))))</f>
        <v/>
      </c>
      <c r="H433" s="39" t="str">
        <f>IF($Z433="","",IF($Z433&lt;=2000,IF(INDEX(包装物料出入库明细!$L$4:$L$2003,$Z433-0)=0,"",INDEX(包装物料出入库明细!$L$4:$L$2003,$Z433-0)),IF($Z433&lt;=4000,N(INDEX(周转筐出入库明细!$H$4:$H$2004,$Z433-2000))+N(INDEX(周转筐出入库明细!$I$4:$I$2004,$Z433-2000))+N(INDEX(周转筐出入库明细!$J$4:$J$2004,$Z433-2000))+N(INDEX(周转筐出入库明细!$K$4:$K$2004,$Z433-2000)),IF($Z433&lt;=5200,N(INDEX(客户自备加工筐明细!$F$4:$F$1203,$Z433-4000))+N(INDEX(客户自备加工筐明细!$G$4:$G$1203,$Z433-4000)),IF($Z433&lt;=5800,IF(INDEX(次果筐明细!$G$4:$G$603,$Z433-5200)=0,"",INDEX(次果筐明细!$G$4:$G$603,$Z433-5200)),"")))))</f>
        <v/>
      </c>
      <c r="I433" s="24" t="str">
        <f>IF($Z433="","",IF($Z433&lt;=2000,IF(INDEX(包装物料出入库明细!$G$4:$G$2003,$Z433-0)=0,"",INDEX(包装物料出入库明细!$G$4:$G$2003,$Z433-0)),IF($Z433&lt;=4000,"个",IF($Z433&lt;=5200,"个",IF($Z433&lt;=5800,"个","")))))</f>
        <v/>
      </c>
      <c r="J433" s="30" t="str">
        <f t="shared" si="19"/>
        <v/>
      </c>
      <c r="K433" s="30" t="str">
        <f>IF($Z433="","",IF($Z433&lt;=2000,IF(INDEX(包装物料出入库明细!$N$4:$N$2003,$Z433-0)=0,"",INDEX(包装物料出入库明细!$N$4:$N$2003,$Z433-0)),IF($Z433&lt;=4000,IF(INDEX(周转筐出入库明细!$P$4:$P$2004,$Z433-2000)=0,"",INDEX(周转筐出入库明细!$P$4:$P$2004,$Z433-2000)),IF($Z433&lt;=5200,"",IF($Z433&lt;=5800,N(INDEX(次果筐明细!$L$4:$L$603,$Z433-5200))+N(INDEX(次果筐明细!$J$4:$J$603,$Z433-5200)),"")))))</f>
        <v/>
      </c>
      <c r="L433" s="24" t="str">
        <f>IF($Z433="","",IF($Z433&lt;=2000,IF(INDEX(包装物料出入库明细!$P$4:$P$2003,$Z433-0)=0,"",INDEX(包装物料出入库明细!$P$4:$P$2003,$Z433-0)),IF($Z433&lt;=4000,IF(INDEX(周转筐出入库明细!$Q$4:$Q$2004,$Z433-2000)=0,"",INDEX(周转筐出入库明细!$Q$4:$Q$2004,$Z433-2000)),IF($Z433&lt;=5200,"",IF($Z433&lt;=5800,IF(INDEX(次果筐明细!$M$4:$M$603,$Z433-5200)=0,"",INDEX(次果筐明细!$M$4:$M$603,$Z433-5200)),"")))))</f>
        <v/>
      </c>
      <c r="M433" s="37" t="str">
        <f>IF($Z433="","",IF($Z433&lt;=2000,IF(INDEX(包装物料出入库明细!$R$4:$R$2003,$Z433-0)=0,"",INDEX(包装物料出入库明细!$R$4:$R$2003,$Z433-0)),IF($Z433&lt;=4000,IF(INDEX(周转筐出入库明细!$W$4:$W$2004,$Z433-2000)=0,"",INDEX(周转筐出入库明细!$W$4:$W$2004,$Z433-2000)),IF($Z433&lt;=5200,IF(INDEX(客户自备加工筐明细!$L$4:$L$1203,$Z433-4000)=0,"",INDEX(客户自备加工筐明细!$L$4:$L$1203,$Z433-4000)),IF($Z433&lt;=5800,IF(INDEX(次果筐明细!$P$4:$P$603,$Z433-5200)=0,"",INDEX(次果筐明细!$P$4:$P$603,$Z433-5200)),"")))))</f>
        <v/>
      </c>
      <c r="N433" s="16" t="str">
        <f>IF($Z433="","",IF($Z433&lt;=2000,"",IF($Z433&lt;=4000,IF(INDEX(周转筐出入库明细!$D$4:$D$2004,$Z433-2000)=0,"",INDEX(周转筐出入库明细!$D$4:$D$2004,$Z433-2000)),IF($Z433&lt;=5200,IF(INDEX(客户自备加工筐明细!$C$4:$C$1203,$Z433-4000)=0,"",INDEX(客户自备加工筐明细!$C$4:$C$1203,$Z433-4000)),IF($Z433&lt;=5800,IF(INDEX(次果筐明细!$D$4:$D$603,$Z433-5200)=0,"",INDEX(次果筐明细!$D$4:$D$603,$Z433-5200)),"")))))</f>
        <v/>
      </c>
      <c r="O433" s="40" t="str">
        <f>IF($Z433="","",IF($Z433&lt;=2000,"",IF($Z433&lt;=4000,IF(N(INDEX(周转筐出入库明细!$J$4:$J$2004,$Z433-2000))+N(INDEX(周转筐出入库明细!$K$4:$K$2004,$Z433-2000))=0,"",N(INDEX(周转筐出入库明细!$J$4:$J$2004,$Z433-2000))+N(INDEX(周转筐出入库明细!$K$4:$K$2004,$Z433-2000))),IF($Z433&lt;=5200,IF(N(INDEX(客户自备加工筐明细!$G$4:$G$1203,$Z433-4000))=0,"",N(INDEX(客户自备加工筐明细!$G$4:$G$1203,$Z433-4000))),IF($Z433&lt;=5800,IF(ISNUMBER(SEARCH("退",INDEX(次果筐明细!$F$4:$F$603,$Z433-5200)&amp;"")),"",IF(N(INDEX(次果筐明细!$G$4:$G$603,$Z433-5200))=0,"",N(INDEX(次果筐明细!$G$4:$G$603,$Z433-5200)))),"")))))</f>
        <v/>
      </c>
      <c r="P433" s="40" t="str">
        <f>IF($Z433="","",IF($Z433&lt;=2000,"",IF($Z433&lt;=4000,IF(N(INDEX(周转筐出入库明细!$I$4:$I$2004,$Z433-2000))=0,"",N(INDEX(周转筐出入库明细!$I$4:$I$2004,$Z433-2000))),IF($Z433&lt;=5200,"",IF($Z433&lt;=5800,IF(ISNUMBER(SEARCH("退",INDEX(次果筐明细!$F$4:$F$603,$Z433-5200)&amp;"")),IF(N(INDEX(次果筐明细!$G$4:$G$603,$Z433-5200))=0,"",N(INDEX(次果筐明细!$G$4:$G$603,$Z433-5200))),""),"")))))</f>
        <v/>
      </c>
      <c r="Q433" s="40" t="str">
        <f>IF($Z433="","",IF($Z433&lt;=2000,"",IF($Z433&lt;=4000,IF(N(INDEX(周转筐出入库明细!$H$4:$H$2004,$Z433-2000))=0,"",N(INDEX(周转筐出入库明细!$H$4:$H$2004,$Z433-2000))),IF($Z433&lt;=5200,IF(N(INDEX(客户自备加工筐明细!$F$4:$F$1203,$Z433-4000))=0,"",N(INDEX(客户自备加工筐明细!$F$4:$F$1203,$Z433-4000))),IF($Z433&lt;=5800,"","")))))</f>
        <v/>
      </c>
      <c r="R433" s="16" t="str">
        <f>IF($Z433="","",IF($Z433&lt;=2000,IF(INDEX(包装物料出入库明细!$O$4:$O$2003,$Z433-0)=0,"",INDEX(包装物料出入库明细!$O$4:$O$2003,$Z433-0)),IF($Z433&lt;=4000,IF(INDEX(周转筐出入库明细!$M$4:$M$2004,$Z433-2000)=0,"",INDEX(周转筐出入库明细!$M$4:$M$2004,$Z433-2000)),IF($Z433&lt;=5200,IF(INDEX(客户自备加工筐明细!$H$4:$H$1203,$Z433-4000)=0,"",INDEX(客户自备加工筐明细!$H$4:$H$1203,$Z433-4000)),IF($Z433&lt;=5800,IF(INDEX(次果筐明细!$H$4:$H$603,$Z433-5200)=0,"",INDEX(次果筐明细!$H$4:$H$603,$Z433-5200)),"")))))</f>
        <v/>
      </c>
      <c r="S433" s="22" t="str">
        <f t="shared" si="20"/>
        <v/>
      </c>
      <c r="Z433" s="10" t="str">
        <f>IFERROR(MATCH(ROW()-3,_自动清单!$CQ$4:$CQ$5803,0),"")</f>
        <v/>
      </c>
    </row>
    <row r="434" spans="1:26">
      <c r="A434" s="24" t="str">
        <f t="shared" si="18"/>
        <v/>
      </c>
      <c r="B434" s="38" t="str">
        <f>IF($Z434="","",IF($Z434&lt;=2000,IF(INDEX(包装物料出入库明细!$B$4:$B$2003,$Z434-0)=0,"",INDEX(包装物料出入库明细!$B$4:$B$2003,$Z434-0)),IF($Z434&lt;=4000,IF(INDEX(周转筐出入库明细!$B$4:$B$2004,$Z434-2000)=0,"",INDEX(周转筐出入库明细!$B$4:$B$2004,$Z434-2000)),IF($Z434&lt;=5200,IF(INDEX(客户自备加工筐明细!$B$4:$B$1203,$Z434-4000)=0,"",INDEX(客户自备加工筐明细!$B$4:$B$1203,$Z434-4000)),IF($Z434&lt;=5800,IF(INDEX(次果筐明细!$B$4:$B$603,$Z434-5200)=0,"",INDEX(次果筐明细!$B$4:$B$603,$Z434-5200)),"")))))</f>
        <v/>
      </c>
      <c r="C434" s="37" t="str">
        <f>IF($Z434="","",IF($Z434&lt;=2000,IF(INDEX(包装物料出入库明细!$D$4:$D$2003,$Z434-0)=0,"",INDEX(包装物料出入库明细!$D$4:$D$2003,$Z434-0)),IF($Z434&lt;=4000,IF(INDEX(周转筐出入库明细!$C$4:$C$2004,$Z434-2000)=0,"",INDEX(周转筐出入库明细!$C$4:$C$2004,$Z434-2000)),IF($Z434&lt;=5200,IF(INDEX(客户自备加工筐明细!$E$4:$E$1203,$Z434-4000)=0,"",INDEX(客户自备加工筐明细!$E$4:$E$1203,$Z434-4000)),IF($Z434&lt;=5800,IF(INDEX(次果筐明细!$C$4:$C$603,$Z434-5200)=0,"",INDEX(次果筐明细!$C$4:$C$603,$Z434-5200)),"")))))</f>
        <v/>
      </c>
      <c r="D434" s="37" t="str">
        <f>IF($Z434="","",IF($Z434&lt;=2000,"包装物料－"&amp;INDEX(包装物料出入库明细!$H$4:$H$2003,$Z434-0),IF($Z434&lt;=4000,"周转筐－"&amp;INDEX(周转筐出入库明细!$F$4:$F$2004,$Z434-2000),IF($Z434&lt;=5200,"客户自备筐－"&amp;INDEX(客户自备加工筐明细!$J$4:$J$1203,$Z434-4000),IF($Z434&lt;=5800,"次果筐/托盘－"&amp;INDEX(次果筐明细!$F$4:$F$603,$Z434-5200),"")))))</f>
        <v/>
      </c>
      <c r="E434" s="24" t="str">
        <f>IF($Z434="","",IF($Z434&lt;=2000,IF(INDEX(包装物料出入库明细!$C$4:$C$2003,$Z434-0)=0,"",INDEX(包装物料出入库明细!$C$4:$C$2003,$Z434-0)),IF($Z434&lt;=4000,IF(INDEX(周转筐出入库明细!$E$4:$E$2004,$Z434-2000)=0,"",INDEX(周转筐出入库明细!$E$4:$E$2004,$Z434-2000)),IF($Z434&lt;=5200,IF(INDEX(客户自备加工筐明细!$D$4:$D$1203,$Z434-4000)=0,"",INDEX(客户自备加工筐明细!$D$4:$D$1203,$Z434-4000)),IF($Z434&lt;=5800,IF(INDEX(次果筐明细!$E$4:$E$603,$Z434-5200)=0,"",INDEX(次果筐明细!$E$4:$E$603,$Z434-5200)),"")))))</f>
        <v/>
      </c>
      <c r="F434" s="24" t="str">
        <f>IF($Z434="","",IF($Z434&lt;=2000,IF(INDEX(包装物料出入库明细!$E$4:$E$2003,$Z434-0)=0,"",INDEX(包装物料出入库明细!$E$4:$E$2003,$Z434-0)),IF($Z434&lt;=4000,IF(INDEX(周转筐出入库明细!$D$4:$D$2004,$Z434-2000)=0,"",INDEX(周转筐出入库明细!$D$4:$D$2004,$Z434-2000)),IF($Z434&lt;=5200,IF(INDEX(客户自备加工筐明细!$C$4:$C$1203,$Z434-4000)=0,"",INDEX(客户自备加工筐明细!$C$4:$C$1203,$Z434-4000)),IF($Z434&lt;=5800,IF(INDEX(次果筐明细!$D$4:$D$603,$Z434-5200)=0,"",INDEX(次果筐明细!$D$4:$D$603,$Z434-5200)),"")))))</f>
        <v/>
      </c>
      <c r="G434" s="24" t="str">
        <f>IF($Z434="","",IF($Z434&lt;=2000,IF(INDEX(包装物料出入库明细!$F$4:$F$2003,$Z434-0)=0,"",INDEX(包装物料出入库明细!$F$4:$F$2003,$Z434-0)),IF($Z434&lt;=4000,"",IF($Z434&lt;=5200,"",IF($Z434&lt;=5800,"","")))))</f>
        <v/>
      </c>
      <c r="H434" s="39" t="str">
        <f>IF($Z434="","",IF($Z434&lt;=2000,IF(INDEX(包装物料出入库明细!$L$4:$L$2003,$Z434-0)=0,"",INDEX(包装物料出入库明细!$L$4:$L$2003,$Z434-0)),IF($Z434&lt;=4000,N(INDEX(周转筐出入库明细!$H$4:$H$2004,$Z434-2000))+N(INDEX(周转筐出入库明细!$I$4:$I$2004,$Z434-2000))+N(INDEX(周转筐出入库明细!$J$4:$J$2004,$Z434-2000))+N(INDEX(周转筐出入库明细!$K$4:$K$2004,$Z434-2000)),IF($Z434&lt;=5200,N(INDEX(客户自备加工筐明细!$F$4:$F$1203,$Z434-4000))+N(INDEX(客户自备加工筐明细!$G$4:$G$1203,$Z434-4000)),IF($Z434&lt;=5800,IF(INDEX(次果筐明细!$G$4:$G$603,$Z434-5200)=0,"",INDEX(次果筐明细!$G$4:$G$603,$Z434-5200)),"")))))</f>
        <v/>
      </c>
      <c r="I434" s="24" t="str">
        <f>IF($Z434="","",IF($Z434&lt;=2000,IF(INDEX(包装物料出入库明细!$G$4:$G$2003,$Z434-0)=0,"",INDEX(包装物料出入库明细!$G$4:$G$2003,$Z434-0)),IF($Z434&lt;=4000,"个",IF($Z434&lt;=5200,"个",IF($Z434&lt;=5800,"个","")))))</f>
        <v/>
      </c>
      <c r="J434" s="30" t="str">
        <f t="shared" si="19"/>
        <v/>
      </c>
      <c r="K434" s="30" t="str">
        <f>IF($Z434="","",IF($Z434&lt;=2000,IF(INDEX(包装物料出入库明细!$N$4:$N$2003,$Z434-0)=0,"",INDEX(包装物料出入库明细!$N$4:$N$2003,$Z434-0)),IF($Z434&lt;=4000,IF(INDEX(周转筐出入库明细!$P$4:$P$2004,$Z434-2000)=0,"",INDEX(周转筐出入库明细!$P$4:$P$2004,$Z434-2000)),IF($Z434&lt;=5200,"",IF($Z434&lt;=5800,N(INDEX(次果筐明细!$L$4:$L$603,$Z434-5200))+N(INDEX(次果筐明细!$J$4:$J$603,$Z434-5200)),"")))))</f>
        <v/>
      </c>
      <c r="L434" s="24" t="str">
        <f>IF($Z434="","",IF($Z434&lt;=2000,IF(INDEX(包装物料出入库明细!$P$4:$P$2003,$Z434-0)=0,"",INDEX(包装物料出入库明细!$P$4:$P$2003,$Z434-0)),IF($Z434&lt;=4000,IF(INDEX(周转筐出入库明细!$Q$4:$Q$2004,$Z434-2000)=0,"",INDEX(周转筐出入库明细!$Q$4:$Q$2004,$Z434-2000)),IF($Z434&lt;=5200,"",IF($Z434&lt;=5800,IF(INDEX(次果筐明细!$M$4:$M$603,$Z434-5200)=0,"",INDEX(次果筐明细!$M$4:$M$603,$Z434-5200)),"")))))</f>
        <v/>
      </c>
      <c r="M434" s="37" t="str">
        <f>IF($Z434="","",IF($Z434&lt;=2000,IF(INDEX(包装物料出入库明细!$R$4:$R$2003,$Z434-0)=0,"",INDEX(包装物料出入库明细!$R$4:$R$2003,$Z434-0)),IF($Z434&lt;=4000,IF(INDEX(周转筐出入库明细!$W$4:$W$2004,$Z434-2000)=0,"",INDEX(周转筐出入库明细!$W$4:$W$2004,$Z434-2000)),IF($Z434&lt;=5200,IF(INDEX(客户自备加工筐明细!$L$4:$L$1203,$Z434-4000)=0,"",INDEX(客户自备加工筐明细!$L$4:$L$1203,$Z434-4000)),IF($Z434&lt;=5800,IF(INDEX(次果筐明细!$P$4:$P$603,$Z434-5200)=0,"",INDEX(次果筐明细!$P$4:$P$603,$Z434-5200)),"")))))</f>
        <v/>
      </c>
      <c r="N434" s="16" t="str">
        <f>IF($Z434="","",IF($Z434&lt;=2000,"",IF($Z434&lt;=4000,IF(INDEX(周转筐出入库明细!$D$4:$D$2004,$Z434-2000)=0,"",INDEX(周转筐出入库明细!$D$4:$D$2004,$Z434-2000)),IF($Z434&lt;=5200,IF(INDEX(客户自备加工筐明细!$C$4:$C$1203,$Z434-4000)=0,"",INDEX(客户自备加工筐明细!$C$4:$C$1203,$Z434-4000)),IF($Z434&lt;=5800,IF(INDEX(次果筐明细!$D$4:$D$603,$Z434-5200)=0,"",INDEX(次果筐明细!$D$4:$D$603,$Z434-5200)),"")))))</f>
        <v/>
      </c>
      <c r="O434" s="40" t="str">
        <f>IF($Z434="","",IF($Z434&lt;=2000,"",IF($Z434&lt;=4000,IF(N(INDEX(周转筐出入库明细!$J$4:$J$2004,$Z434-2000))+N(INDEX(周转筐出入库明细!$K$4:$K$2004,$Z434-2000))=0,"",N(INDEX(周转筐出入库明细!$J$4:$J$2004,$Z434-2000))+N(INDEX(周转筐出入库明细!$K$4:$K$2004,$Z434-2000))),IF($Z434&lt;=5200,IF(N(INDEX(客户自备加工筐明细!$G$4:$G$1203,$Z434-4000))=0,"",N(INDEX(客户自备加工筐明细!$G$4:$G$1203,$Z434-4000))),IF($Z434&lt;=5800,IF(ISNUMBER(SEARCH("退",INDEX(次果筐明细!$F$4:$F$603,$Z434-5200)&amp;"")),"",IF(N(INDEX(次果筐明细!$G$4:$G$603,$Z434-5200))=0,"",N(INDEX(次果筐明细!$G$4:$G$603,$Z434-5200)))),"")))))</f>
        <v/>
      </c>
      <c r="P434" s="40" t="str">
        <f>IF($Z434="","",IF($Z434&lt;=2000,"",IF($Z434&lt;=4000,IF(N(INDEX(周转筐出入库明细!$I$4:$I$2004,$Z434-2000))=0,"",N(INDEX(周转筐出入库明细!$I$4:$I$2004,$Z434-2000))),IF($Z434&lt;=5200,"",IF($Z434&lt;=5800,IF(ISNUMBER(SEARCH("退",INDEX(次果筐明细!$F$4:$F$603,$Z434-5200)&amp;"")),IF(N(INDEX(次果筐明细!$G$4:$G$603,$Z434-5200))=0,"",N(INDEX(次果筐明细!$G$4:$G$603,$Z434-5200))),""),"")))))</f>
        <v/>
      </c>
      <c r="Q434" s="40" t="str">
        <f>IF($Z434="","",IF($Z434&lt;=2000,"",IF($Z434&lt;=4000,IF(N(INDEX(周转筐出入库明细!$H$4:$H$2004,$Z434-2000))=0,"",N(INDEX(周转筐出入库明细!$H$4:$H$2004,$Z434-2000))),IF($Z434&lt;=5200,IF(N(INDEX(客户自备加工筐明细!$F$4:$F$1203,$Z434-4000))=0,"",N(INDEX(客户自备加工筐明细!$F$4:$F$1203,$Z434-4000))),IF($Z434&lt;=5800,"","")))))</f>
        <v/>
      </c>
      <c r="R434" s="16" t="str">
        <f>IF($Z434="","",IF($Z434&lt;=2000,IF(INDEX(包装物料出入库明细!$O$4:$O$2003,$Z434-0)=0,"",INDEX(包装物料出入库明细!$O$4:$O$2003,$Z434-0)),IF($Z434&lt;=4000,IF(INDEX(周转筐出入库明细!$M$4:$M$2004,$Z434-2000)=0,"",INDEX(周转筐出入库明细!$M$4:$M$2004,$Z434-2000)),IF($Z434&lt;=5200,IF(INDEX(客户自备加工筐明细!$H$4:$H$1203,$Z434-4000)=0,"",INDEX(客户自备加工筐明细!$H$4:$H$1203,$Z434-4000)),IF($Z434&lt;=5800,IF(INDEX(次果筐明细!$H$4:$H$603,$Z434-5200)=0,"",INDEX(次果筐明细!$H$4:$H$603,$Z434-5200)),"")))))</f>
        <v/>
      </c>
      <c r="S434" s="22" t="str">
        <f t="shared" si="20"/>
        <v/>
      </c>
      <c r="Z434" s="10" t="str">
        <f>IFERROR(MATCH(ROW()-3,_自动清单!$CQ$4:$CQ$5803,0),"")</f>
        <v/>
      </c>
    </row>
    <row r="435" spans="1:26">
      <c r="A435" s="24" t="str">
        <f t="shared" si="18"/>
        <v/>
      </c>
      <c r="B435" s="38" t="str">
        <f>IF($Z435="","",IF($Z435&lt;=2000,IF(INDEX(包装物料出入库明细!$B$4:$B$2003,$Z435-0)=0,"",INDEX(包装物料出入库明细!$B$4:$B$2003,$Z435-0)),IF($Z435&lt;=4000,IF(INDEX(周转筐出入库明细!$B$4:$B$2004,$Z435-2000)=0,"",INDEX(周转筐出入库明细!$B$4:$B$2004,$Z435-2000)),IF($Z435&lt;=5200,IF(INDEX(客户自备加工筐明细!$B$4:$B$1203,$Z435-4000)=0,"",INDEX(客户自备加工筐明细!$B$4:$B$1203,$Z435-4000)),IF($Z435&lt;=5800,IF(INDEX(次果筐明细!$B$4:$B$603,$Z435-5200)=0,"",INDEX(次果筐明细!$B$4:$B$603,$Z435-5200)),"")))))</f>
        <v/>
      </c>
      <c r="C435" s="37" t="str">
        <f>IF($Z435="","",IF($Z435&lt;=2000,IF(INDEX(包装物料出入库明细!$D$4:$D$2003,$Z435-0)=0,"",INDEX(包装物料出入库明细!$D$4:$D$2003,$Z435-0)),IF($Z435&lt;=4000,IF(INDEX(周转筐出入库明细!$C$4:$C$2004,$Z435-2000)=0,"",INDEX(周转筐出入库明细!$C$4:$C$2004,$Z435-2000)),IF($Z435&lt;=5200,IF(INDEX(客户自备加工筐明细!$E$4:$E$1203,$Z435-4000)=0,"",INDEX(客户自备加工筐明细!$E$4:$E$1203,$Z435-4000)),IF($Z435&lt;=5800,IF(INDEX(次果筐明细!$C$4:$C$603,$Z435-5200)=0,"",INDEX(次果筐明细!$C$4:$C$603,$Z435-5200)),"")))))</f>
        <v/>
      </c>
      <c r="D435" s="37" t="str">
        <f>IF($Z435="","",IF($Z435&lt;=2000,"包装物料－"&amp;INDEX(包装物料出入库明细!$H$4:$H$2003,$Z435-0),IF($Z435&lt;=4000,"周转筐－"&amp;INDEX(周转筐出入库明细!$F$4:$F$2004,$Z435-2000),IF($Z435&lt;=5200,"客户自备筐－"&amp;INDEX(客户自备加工筐明细!$J$4:$J$1203,$Z435-4000),IF($Z435&lt;=5800,"次果筐/托盘－"&amp;INDEX(次果筐明细!$F$4:$F$603,$Z435-5200),"")))))</f>
        <v/>
      </c>
      <c r="E435" s="24" t="str">
        <f>IF($Z435="","",IF($Z435&lt;=2000,IF(INDEX(包装物料出入库明细!$C$4:$C$2003,$Z435-0)=0,"",INDEX(包装物料出入库明细!$C$4:$C$2003,$Z435-0)),IF($Z435&lt;=4000,IF(INDEX(周转筐出入库明细!$E$4:$E$2004,$Z435-2000)=0,"",INDEX(周转筐出入库明细!$E$4:$E$2004,$Z435-2000)),IF($Z435&lt;=5200,IF(INDEX(客户自备加工筐明细!$D$4:$D$1203,$Z435-4000)=0,"",INDEX(客户自备加工筐明细!$D$4:$D$1203,$Z435-4000)),IF($Z435&lt;=5800,IF(INDEX(次果筐明细!$E$4:$E$603,$Z435-5200)=0,"",INDEX(次果筐明细!$E$4:$E$603,$Z435-5200)),"")))))</f>
        <v/>
      </c>
      <c r="F435" s="24" t="str">
        <f>IF($Z435="","",IF($Z435&lt;=2000,IF(INDEX(包装物料出入库明细!$E$4:$E$2003,$Z435-0)=0,"",INDEX(包装物料出入库明细!$E$4:$E$2003,$Z435-0)),IF($Z435&lt;=4000,IF(INDEX(周转筐出入库明细!$D$4:$D$2004,$Z435-2000)=0,"",INDEX(周转筐出入库明细!$D$4:$D$2004,$Z435-2000)),IF($Z435&lt;=5200,IF(INDEX(客户自备加工筐明细!$C$4:$C$1203,$Z435-4000)=0,"",INDEX(客户自备加工筐明细!$C$4:$C$1203,$Z435-4000)),IF($Z435&lt;=5800,IF(INDEX(次果筐明细!$D$4:$D$603,$Z435-5200)=0,"",INDEX(次果筐明细!$D$4:$D$603,$Z435-5200)),"")))))</f>
        <v/>
      </c>
      <c r="G435" s="24" t="str">
        <f>IF($Z435="","",IF($Z435&lt;=2000,IF(INDEX(包装物料出入库明细!$F$4:$F$2003,$Z435-0)=0,"",INDEX(包装物料出入库明细!$F$4:$F$2003,$Z435-0)),IF($Z435&lt;=4000,"",IF($Z435&lt;=5200,"",IF($Z435&lt;=5800,"","")))))</f>
        <v/>
      </c>
      <c r="H435" s="39" t="str">
        <f>IF($Z435="","",IF($Z435&lt;=2000,IF(INDEX(包装物料出入库明细!$L$4:$L$2003,$Z435-0)=0,"",INDEX(包装物料出入库明细!$L$4:$L$2003,$Z435-0)),IF($Z435&lt;=4000,N(INDEX(周转筐出入库明细!$H$4:$H$2004,$Z435-2000))+N(INDEX(周转筐出入库明细!$I$4:$I$2004,$Z435-2000))+N(INDEX(周转筐出入库明细!$J$4:$J$2004,$Z435-2000))+N(INDEX(周转筐出入库明细!$K$4:$K$2004,$Z435-2000)),IF($Z435&lt;=5200,N(INDEX(客户自备加工筐明细!$F$4:$F$1203,$Z435-4000))+N(INDEX(客户自备加工筐明细!$G$4:$G$1203,$Z435-4000)),IF($Z435&lt;=5800,IF(INDEX(次果筐明细!$G$4:$G$603,$Z435-5200)=0,"",INDEX(次果筐明细!$G$4:$G$603,$Z435-5200)),"")))))</f>
        <v/>
      </c>
      <c r="I435" s="24" t="str">
        <f>IF($Z435="","",IF($Z435&lt;=2000,IF(INDEX(包装物料出入库明细!$G$4:$G$2003,$Z435-0)=0,"",INDEX(包装物料出入库明细!$G$4:$G$2003,$Z435-0)),IF($Z435&lt;=4000,"个",IF($Z435&lt;=5200,"个",IF($Z435&lt;=5800,"个","")))))</f>
        <v/>
      </c>
      <c r="J435" s="30" t="str">
        <f t="shared" si="19"/>
        <v/>
      </c>
      <c r="K435" s="30" t="str">
        <f>IF($Z435="","",IF($Z435&lt;=2000,IF(INDEX(包装物料出入库明细!$N$4:$N$2003,$Z435-0)=0,"",INDEX(包装物料出入库明细!$N$4:$N$2003,$Z435-0)),IF($Z435&lt;=4000,IF(INDEX(周转筐出入库明细!$P$4:$P$2004,$Z435-2000)=0,"",INDEX(周转筐出入库明细!$P$4:$P$2004,$Z435-2000)),IF($Z435&lt;=5200,"",IF($Z435&lt;=5800,N(INDEX(次果筐明细!$L$4:$L$603,$Z435-5200))+N(INDEX(次果筐明细!$J$4:$J$603,$Z435-5200)),"")))))</f>
        <v/>
      </c>
      <c r="L435" s="24" t="str">
        <f>IF($Z435="","",IF($Z435&lt;=2000,IF(INDEX(包装物料出入库明细!$P$4:$P$2003,$Z435-0)=0,"",INDEX(包装物料出入库明细!$P$4:$P$2003,$Z435-0)),IF($Z435&lt;=4000,IF(INDEX(周转筐出入库明细!$Q$4:$Q$2004,$Z435-2000)=0,"",INDEX(周转筐出入库明细!$Q$4:$Q$2004,$Z435-2000)),IF($Z435&lt;=5200,"",IF($Z435&lt;=5800,IF(INDEX(次果筐明细!$M$4:$M$603,$Z435-5200)=0,"",INDEX(次果筐明细!$M$4:$M$603,$Z435-5200)),"")))))</f>
        <v/>
      </c>
      <c r="M435" s="37" t="str">
        <f>IF($Z435="","",IF($Z435&lt;=2000,IF(INDEX(包装物料出入库明细!$R$4:$R$2003,$Z435-0)=0,"",INDEX(包装物料出入库明细!$R$4:$R$2003,$Z435-0)),IF($Z435&lt;=4000,IF(INDEX(周转筐出入库明细!$W$4:$W$2004,$Z435-2000)=0,"",INDEX(周转筐出入库明细!$W$4:$W$2004,$Z435-2000)),IF($Z435&lt;=5200,IF(INDEX(客户自备加工筐明细!$L$4:$L$1203,$Z435-4000)=0,"",INDEX(客户自备加工筐明细!$L$4:$L$1203,$Z435-4000)),IF($Z435&lt;=5800,IF(INDEX(次果筐明细!$P$4:$P$603,$Z435-5200)=0,"",INDEX(次果筐明细!$P$4:$P$603,$Z435-5200)),"")))))</f>
        <v/>
      </c>
      <c r="N435" s="16" t="str">
        <f>IF($Z435="","",IF($Z435&lt;=2000,"",IF($Z435&lt;=4000,IF(INDEX(周转筐出入库明细!$D$4:$D$2004,$Z435-2000)=0,"",INDEX(周转筐出入库明细!$D$4:$D$2004,$Z435-2000)),IF($Z435&lt;=5200,IF(INDEX(客户自备加工筐明细!$C$4:$C$1203,$Z435-4000)=0,"",INDEX(客户自备加工筐明细!$C$4:$C$1203,$Z435-4000)),IF($Z435&lt;=5800,IF(INDEX(次果筐明细!$D$4:$D$603,$Z435-5200)=0,"",INDEX(次果筐明细!$D$4:$D$603,$Z435-5200)),"")))))</f>
        <v/>
      </c>
      <c r="O435" s="40" t="str">
        <f>IF($Z435="","",IF($Z435&lt;=2000,"",IF($Z435&lt;=4000,IF(N(INDEX(周转筐出入库明细!$J$4:$J$2004,$Z435-2000))+N(INDEX(周转筐出入库明细!$K$4:$K$2004,$Z435-2000))=0,"",N(INDEX(周转筐出入库明细!$J$4:$J$2004,$Z435-2000))+N(INDEX(周转筐出入库明细!$K$4:$K$2004,$Z435-2000))),IF($Z435&lt;=5200,IF(N(INDEX(客户自备加工筐明细!$G$4:$G$1203,$Z435-4000))=0,"",N(INDEX(客户自备加工筐明细!$G$4:$G$1203,$Z435-4000))),IF($Z435&lt;=5800,IF(ISNUMBER(SEARCH("退",INDEX(次果筐明细!$F$4:$F$603,$Z435-5200)&amp;"")),"",IF(N(INDEX(次果筐明细!$G$4:$G$603,$Z435-5200))=0,"",N(INDEX(次果筐明细!$G$4:$G$603,$Z435-5200)))),"")))))</f>
        <v/>
      </c>
      <c r="P435" s="40" t="str">
        <f>IF($Z435="","",IF($Z435&lt;=2000,"",IF($Z435&lt;=4000,IF(N(INDEX(周转筐出入库明细!$I$4:$I$2004,$Z435-2000))=0,"",N(INDEX(周转筐出入库明细!$I$4:$I$2004,$Z435-2000))),IF($Z435&lt;=5200,"",IF($Z435&lt;=5800,IF(ISNUMBER(SEARCH("退",INDEX(次果筐明细!$F$4:$F$603,$Z435-5200)&amp;"")),IF(N(INDEX(次果筐明细!$G$4:$G$603,$Z435-5200))=0,"",N(INDEX(次果筐明细!$G$4:$G$603,$Z435-5200))),""),"")))))</f>
        <v/>
      </c>
      <c r="Q435" s="40" t="str">
        <f>IF($Z435="","",IF($Z435&lt;=2000,"",IF($Z435&lt;=4000,IF(N(INDEX(周转筐出入库明细!$H$4:$H$2004,$Z435-2000))=0,"",N(INDEX(周转筐出入库明细!$H$4:$H$2004,$Z435-2000))),IF($Z435&lt;=5200,IF(N(INDEX(客户自备加工筐明细!$F$4:$F$1203,$Z435-4000))=0,"",N(INDEX(客户自备加工筐明细!$F$4:$F$1203,$Z435-4000))),IF($Z435&lt;=5800,"","")))))</f>
        <v/>
      </c>
      <c r="R435" s="16" t="str">
        <f>IF($Z435="","",IF($Z435&lt;=2000,IF(INDEX(包装物料出入库明细!$O$4:$O$2003,$Z435-0)=0,"",INDEX(包装物料出入库明细!$O$4:$O$2003,$Z435-0)),IF($Z435&lt;=4000,IF(INDEX(周转筐出入库明细!$M$4:$M$2004,$Z435-2000)=0,"",INDEX(周转筐出入库明细!$M$4:$M$2004,$Z435-2000)),IF($Z435&lt;=5200,IF(INDEX(客户自备加工筐明细!$H$4:$H$1203,$Z435-4000)=0,"",INDEX(客户自备加工筐明细!$H$4:$H$1203,$Z435-4000)),IF($Z435&lt;=5800,IF(INDEX(次果筐明细!$H$4:$H$603,$Z435-5200)=0,"",INDEX(次果筐明细!$H$4:$H$603,$Z435-5200)),"")))))</f>
        <v/>
      </c>
      <c r="S435" s="22" t="str">
        <f t="shared" si="20"/>
        <v/>
      </c>
      <c r="Z435" s="10" t="str">
        <f>IFERROR(MATCH(ROW()-3,_自动清单!$CQ$4:$CQ$5803,0),"")</f>
        <v/>
      </c>
    </row>
    <row r="436" spans="1:26">
      <c r="A436" s="24" t="str">
        <f t="shared" si="18"/>
        <v/>
      </c>
      <c r="B436" s="38" t="str">
        <f>IF($Z436="","",IF($Z436&lt;=2000,IF(INDEX(包装物料出入库明细!$B$4:$B$2003,$Z436-0)=0,"",INDEX(包装物料出入库明细!$B$4:$B$2003,$Z436-0)),IF($Z436&lt;=4000,IF(INDEX(周转筐出入库明细!$B$4:$B$2004,$Z436-2000)=0,"",INDEX(周转筐出入库明细!$B$4:$B$2004,$Z436-2000)),IF($Z436&lt;=5200,IF(INDEX(客户自备加工筐明细!$B$4:$B$1203,$Z436-4000)=0,"",INDEX(客户自备加工筐明细!$B$4:$B$1203,$Z436-4000)),IF($Z436&lt;=5800,IF(INDEX(次果筐明细!$B$4:$B$603,$Z436-5200)=0,"",INDEX(次果筐明细!$B$4:$B$603,$Z436-5200)),"")))))</f>
        <v/>
      </c>
      <c r="C436" s="37" t="str">
        <f>IF($Z436="","",IF($Z436&lt;=2000,IF(INDEX(包装物料出入库明细!$D$4:$D$2003,$Z436-0)=0,"",INDEX(包装物料出入库明细!$D$4:$D$2003,$Z436-0)),IF($Z436&lt;=4000,IF(INDEX(周转筐出入库明细!$C$4:$C$2004,$Z436-2000)=0,"",INDEX(周转筐出入库明细!$C$4:$C$2004,$Z436-2000)),IF($Z436&lt;=5200,IF(INDEX(客户自备加工筐明细!$E$4:$E$1203,$Z436-4000)=0,"",INDEX(客户自备加工筐明细!$E$4:$E$1203,$Z436-4000)),IF($Z436&lt;=5800,IF(INDEX(次果筐明细!$C$4:$C$603,$Z436-5200)=0,"",INDEX(次果筐明细!$C$4:$C$603,$Z436-5200)),"")))))</f>
        <v/>
      </c>
      <c r="D436" s="37" t="str">
        <f>IF($Z436="","",IF($Z436&lt;=2000,"包装物料－"&amp;INDEX(包装物料出入库明细!$H$4:$H$2003,$Z436-0),IF($Z436&lt;=4000,"周转筐－"&amp;INDEX(周转筐出入库明细!$F$4:$F$2004,$Z436-2000),IF($Z436&lt;=5200,"客户自备筐－"&amp;INDEX(客户自备加工筐明细!$J$4:$J$1203,$Z436-4000),IF($Z436&lt;=5800,"次果筐/托盘－"&amp;INDEX(次果筐明细!$F$4:$F$603,$Z436-5200),"")))))</f>
        <v/>
      </c>
      <c r="E436" s="24" t="str">
        <f>IF($Z436="","",IF($Z436&lt;=2000,IF(INDEX(包装物料出入库明细!$C$4:$C$2003,$Z436-0)=0,"",INDEX(包装物料出入库明细!$C$4:$C$2003,$Z436-0)),IF($Z436&lt;=4000,IF(INDEX(周转筐出入库明细!$E$4:$E$2004,$Z436-2000)=0,"",INDEX(周转筐出入库明细!$E$4:$E$2004,$Z436-2000)),IF($Z436&lt;=5200,IF(INDEX(客户自备加工筐明细!$D$4:$D$1203,$Z436-4000)=0,"",INDEX(客户自备加工筐明细!$D$4:$D$1203,$Z436-4000)),IF($Z436&lt;=5800,IF(INDEX(次果筐明细!$E$4:$E$603,$Z436-5200)=0,"",INDEX(次果筐明细!$E$4:$E$603,$Z436-5200)),"")))))</f>
        <v/>
      </c>
      <c r="F436" s="24" t="str">
        <f>IF($Z436="","",IF($Z436&lt;=2000,IF(INDEX(包装物料出入库明细!$E$4:$E$2003,$Z436-0)=0,"",INDEX(包装物料出入库明细!$E$4:$E$2003,$Z436-0)),IF($Z436&lt;=4000,IF(INDEX(周转筐出入库明细!$D$4:$D$2004,$Z436-2000)=0,"",INDEX(周转筐出入库明细!$D$4:$D$2004,$Z436-2000)),IF($Z436&lt;=5200,IF(INDEX(客户自备加工筐明细!$C$4:$C$1203,$Z436-4000)=0,"",INDEX(客户自备加工筐明细!$C$4:$C$1203,$Z436-4000)),IF($Z436&lt;=5800,IF(INDEX(次果筐明细!$D$4:$D$603,$Z436-5200)=0,"",INDEX(次果筐明细!$D$4:$D$603,$Z436-5200)),"")))))</f>
        <v/>
      </c>
      <c r="G436" s="24" t="str">
        <f>IF($Z436="","",IF($Z436&lt;=2000,IF(INDEX(包装物料出入库明细!$F$4:$F$2003,$Z436-0)=0,"",INDEX(包装物料出入库明细!$F$4:$F$2003,$Z436-0)),IF($Z436&lt;=4000,"",IF($Z436&lt;=5200,"",IF($Z436&lt;=5800,"","")))))</f>
        <v/>
      </c>
      <c r="H436" s="39" t="str">
        <f>IF($Z436="","",IF($Z436&lt;=2000,IF(INDEX(包装物料出入库明细!$L$4:$L$2003,$Z436-0)=0,"",INDEX(包装物料出入库明细!$L$4:$L$2003,$Z436-0)),IF($Z436&lt;=4000,N(INDEX(周转筐出入库明细!$H$4:$H$2004,$Z436-2000))+N(INDEX(周转筐出入库明细!$I$4:$I$2004,$Z436-2000))+N(INDEX(周转筐出入库明细!$J$4:$J$2004,$Z436-2000))+N(INDEX(周转筐出入库明细!$K$4:$K$2004,$Z436-2000)),IF($Z436&lt;=5200,N(INDEX(客户自备加工筐明细!$F$4:$F$1203,$Z436-4000))+N(INDEX(客户自备加工筐明细!$G$4:$G$1203,$Z436-4000)),IF($Z436&lt;=5800,IF(INDEX(次果筐明细!$G$4:$G$603,$Z436-5200)=0,"",INDEX(次果筐明细!$G$4:$G$603,$Z436-5200)),"")))))</f>
        <v/>
      </c>
      <c r="I436" s="24" t="str">
        <f>IF($Z436="","",IF($Z436&lt;=2000,IF(INDEX(包装物料出入库明细!$G$4:$G$2003,$Z436-0)=0,"",INDEX(包装物料出入库明细!$G$4:$G$2003,$Z436-0)),IF($Z436&lt;=4000,"个",IF($Z436&lt;=5200,"个",IF($Z436&lt;=5800,"个","")))))</f>
        <v/>
      </c>
      <c r="J436" s="30" t="str">
        <f t="shared" si="19"/>
        <v/>
      </c>
      <c r="K436" s="30" t="str">
        <f>IF($Z436="","",IF($Z436&lt;=2000,IF(INDEX(包装物料出入库明细!$N$4:$N$2003,$Z436-0)=0,"",INDEX(包装物料出入库明细!$N$4:$N$2003,$Z436-0)),IF($Z436&lt;=4000,IF(INDEX(周转筐出入库明细!$P$4:$P$2004,$Z436-2000)=0,"",INDEX(周转筐出入库明细!$P$4:$P$2004,$Z436-2000)),IF($Z436&lt;=5200,"",IF($Z436&lt;=5800,N(INDEX(次果筐明细!$L$4:$L$603,$Z436-5200))+N(INDEX(次果筐明细!$J$4:$J$603,$Z436-5200)),"")))))</f>
        <v/>
      </c>
      <c r="L436" s="24" t="str">
        <f>IF($Z436="","",IF($Z436&lt;=2000,IF(INDEX(包装物料出入库明细!$P$4:$P$2003,$Z436-0)=0,"",INDEX(包装物料出入库明细!$P$4:$P$2003,$Z436-0)),IF($Z436&lt;=4000,IF(INDEX(周转筐出入库明细!$Q$4:$Q$2004,$Z436-2000)=0,"",INDEX(周转筐出入库明细!$Q$4:$Q$2004,$Z436-2000)),IF($Z436&lt;=5200,"",IF($Z436&lt;=5800,IF(INDEX(次果筐明细!$M$4:$M$603,$Z436-5200)=0,"",INDEX(次果筐明细!$M$4:$M$603,$Z436-5200)),"")))))</f>
        <v/>
      </c>
      <c r="M436" s="37" t="str">
        <f>IF($Z436="","",IF($Z436&lt;=2000,IF(INDEX(包装物料出入库明细!$R$4:$R$2003,$Z436-0)=0,"",INDEX(包装物料出入库明细!$R$4:$R$2003,$Z436-0)),IF($Z436&lt;=4000,IF(INDEX(周转筐出入库明细!$W$4:$W$2004,$Z436-2000)=0,"",INDEX(周转筐出入库明细!$W$4:$W$2004,$Z436-2000)),IF($Z436&lt;=5200,IF(INDEX(客户自备加工筐明细!$L$4:$L$1203,$Z436-4000)=0,"",INDEX(客户自备加工筐明细!$L$4:$L$1203,$Z436-4000)),IF($Z436&lt;=5800,IF(INDEX(次果筐明细!$P$4:$P$603,$Z436-5200)=0,"",INDEX(次果筐明细!$P$4:$P$603,$Z436-5200)),"")))))</f>
        <v/>
      </c>
      <c r="N436" s="16" t="str">
        <f>IF($Z436="","",IF($Z436&lt;=2000,"",IF($Z436&lt;=4000,IF(INDEX(周转筐出入库明细!$D$4:$D$2004,$Z436-2000)=0,"",INDEX(周转筐出入库明细!$D$4:$D$2004,$Z436-2000)),IF($Z436&lt;=5200,IF(INDEX(客户自备加工筐明细!$C$4:$C$1203,$Z436-4000)=0,"",INDEX(客户自备加工筐明细!$C$4:$C$1203,$Z436-4000)),IF($Z436&lt;=5800,IF(INDEX(次果筐明细!$D$4:$D$603,$Z436-5200)=0,"",INDEX(次果筐明细!$D$4:$D$603,$Z436-5200)),"")))))</f>
        <v/>
      </c>
      <c r="O436" s="40" t="str">
        <f>IF($Z436="","",IF($Z436&lt;=2000,"",IF($Z436&lt;=4000,IF(N(INDEX(周转筐出入库明细!$J$4:$J$2004,$Z436-2000))+N(INDEX(周转筐出入库明细!$K$4:$K$2004,$Z436-2000))=0,"",N(INDEX(周转筐出入库明细!$J$4:$J$2004,$Z436-2000))+N(INDEX(周转筐出入库明细!$K$4:$K$2004,$Z436-2000))),IF($Z436&lt;=5200,IF(N(INDEX(客户自备加工筐明细!$G$4:$G$1203,$Z436-4000))=0,"",N(INDEX(客户自备加工筐明细!$G$4:$G$1203,$Z436-4000))),IF($Z436&lt;=5800,IF(ISNUMBER(SEARCH("退",INDEX(次果筐明细!$F$4:$F$603,$Z436-5200)&amp;"")),"",IF(N(INDEX(次果筐明细!$G$4:$G$603,$Z436-5200))=0,"",N(INDEX(次果筐明细!$G$4:$G$603,$Z436-5200)))),"")))))</f>
        <v/>
      </c>
      <c r="P436" s="40" t="str">
        <f>IF($Z436="","",IF($Z436&lt;=2000,"",IF($Z436&lt;=4000,IF(N(INDEX(周转筐出入库明细!$I$4:$I$2004,$Z436-2000))=0,"",N(INDEX(周转筐出入库明细!$I$4:$I$2004,$Z436-2000))),IF($Z436&lt;=5200,"",IF($Z436&lt;=5800,IF(ISNUMBER(SEARCH("退",INDEX(次果筐明细!$F$4:$F$603,$Z436-5200)&amp;"")),IF(N(INDEX(次果筐明细!$G$4:$G$603,$Z436-5200))=0,"",N(INDEX(次果筐明细!$G$4:$G$603,$Z436-5200))),""),"")))))</f>
        <v/>
      </c>
      <c r="Q436" s="40" t="str">
        <f>IF($Z436="","",IF($Z436&lt;=2000,"",IF($Z436&lt;=4000,IF(N(INDEX(周转筐出入库明细!$H$4:$H$2004,$Z436-2000))=0,"",N(INDEX(周转筐出入库明细!$H$4:$H$2004,$Z436-2000))),IF($Z436&lt;=5200,IF(N(INDEX(客户自备加工筐明细!$F$4:$F$1203,$Z436-4000))=0,"",N(INDEX(客户自备加工筐明细!$F$4:$F$1203,$Z436-4000))),IF($Z436&lt;=5800,"","")))))</f>
        <v/>
      </c>
      <c r="R436" s="16" t="str">
        <f>IF($Z436="","",IF($Z436&lt;=2000,IF(INDEX(包装物料出入库明细!$O$4:$O$2003,$Z436-0)=0,"",INDEX(包装物料出入库明细!$O$4:$O$2003,$Z436-0)),IF($Z436&lt;=4000,IF(INDEX(周转筐出入库明细!$M$4:$M$2004,$Z436-2000)=0,"",INDEX(周转筐出入库明细!$M$4:$M$2004,$Z436-2000)),IF($Z436&lt;=5200,IF(INDEX(客户自备加工筐明细!$H$4:$H$1203,$Z436-4000)=0,"",INDEX(客户自备加工筐明细!$H$4:$H$1203,$Z436-4000)),IF($Z436&lt;=5800,IF(INDEX(次果筐明细!$H$4:$H$603,$Z436-5200)=0,"",INDEX(次果筐明细!$H$4:$H$603,$Z436-5200)),"")))))</f>
        <v/>
      </c>
      <c r="S436" s="22" t="str">
        <f t="shared" si="20"/>
        <v/>
      </c>
      <c r="Z436" s="10" t="str">
        <f>IFERROR(MATCH(ROW()-3,_自动清单!$CQ$4:$CQ$5803,0),"")</f>
        <v/>
      </c>
    </row>
    <row r="437" spans="1:26">
      <c r="A437" s="24" t="str">
        <f t="shared" si="18"/>
        <v/>
      </c>
      <c r="B437" s="38" t="str">
        <f>IF($Z437="","",IF($Z437&lt;=2000,IF(INDEX(包装物料出入库明细!$B$4:$B$2003,$Z437-0)=0,"",INDEX(包装物料出入库明细!$B$4:$B$2003,$Z437-0)),IF($Z437&lt;=4000,IF(INDEX(周转筐出入库明细!$B$4:$B$2004,$Z437-2000)=0,"",INDEX(周转筐出入库明细!$B$4:$B$2004,$Z437-2000)),IF($Z437&lt;=5200,IF(INDEX(客户自备加工筐明细!$B$4:$B$1203,$Z437-4000)=0,"",INDEX(客户自备加工筐明细!$B$4:$B$1203,$Z437-4000)),IF($Z437&lt;=5800,IF(INDEX(次果筐明细!$B$4:$B$603,$Z437-5200)=0,"",INDEX(次果筐明细!$B$4:$B$603,$Z437-5200)),"")))))</f>
        <v/>
      </c>
      <c r="C437" s="37" t="str">
        <f>IF($Z437="","",IF($Z437&lt;=2000,IF(INDEX(包装物料出入库明细!$D$4:$D$2003,$Z437-0)=0,"",INDEX(包装物料出入库明细!$D$4:$D$2003,$Z437-0)),IF($Z437&lt;=4000,IF(INDEX(周转筐出入库明细!$C$4:$C$2004,$Z437-2000)=0,"",INDEX(周转筐出入库明细!$C$4:$C$2004,$Z437-2000)),IF($Z437&lt;=5200,IF(INDEX(客户自备加工筐明细!$E$4:$E$1203,$Z437-4000)=0,"",INDEX(客户自备加工筐明细!$E$4:$E$1203,$Z437-4000)),IF($Z437&lt;=5800,IF(INDEX(次果筐明细!$C$4:$C$603,$Z437-5200)=0,"",INDEX(次果筐明细!$C$4:$C$603,$Z437-5200)),"")))))</f>
        <v/>
      </c>
      <c r="D437" s="37" t="str">
        <f>IF($Z437="","",IF($Z437&lt;=2000,"包装物料－"&amp;INDEX(包装物料出入库明细!$H$4:$H$2003,$Z437-0),IF($Z437&lt;=4000,"周转筐－"&amp;INDEX(周转筐出入库明细!$F$4:$F$2004,$Z437-2000),IF($Z437&lt;=5200,"客户自备筐－"&amp;INDEX(客户自备加工筐明细!$J$4:$J$1203,$Z437-4000),IF($Z437&lt;=5800,"次果筐/托盘－"&amp;INDEX(次果筐明细!$F$4:$F$603,$Z437-5200),"")))))</f>
        <v/>
      </c>
      <c r="E437" s="24" t="str">
        <f>IF($Z437="","",IF($Z437&lt;=2000,IF(INDEX(包装物料出入库明细!$C$4:$C$2003,$Z437-0)=0,"",INDEX(包装物料出入库明细!$C$4:$C$2003,$Z437-0)),IF($Z437&lt;=4000,IF(INDEX(周转筐出入库明细!$E$4:$E$2004,$Z437-2000)=0,"",INDEX(周转筐出入库明细!$E$4:$E$2004,$Z437-2000)),IF($Z437&lt;=5200,IF(INDEX(客户自备加工筐明细!$D$4:$D$1203,$Z437-4000)=0,"",INDEX(客户自备加工筐明细!$D$4:$D$1203,$Z437-4000)),IF($Z437&lt;=5800,IF(INDEX(次果筐明细!$E$4:$E$603,$Z437-5200)=0,"",INDEX(次果筐明细!$E$4:$E$603,$Z437-5200)),"")))))</f>
        <v/>
      </c>
      <c r="F437" s="24" t="str">
        <f>IF($Z437="","",IF($Z437&lt;=2000,IF(INDEX(包装物料出入库明细!$E$4:$E$2003,$Z437-0)=0,"",INDEX(包装物料出入库明细!$E$4:$E$2003,$Z437-0)),IF($Z437&lt;=4000,IF(INDEX(周转筐出入库明细!$D$4:$D$2004,$Z437-2000)=0,"",INDEX(周转筐出入库明细!$D$4:$D$2004,$Z437-2000)),IF($Z437&lt;=5200,IF(INDEX(客户自备加工筐明细!$C$4:$C$1203,$Z437-4000)=0,"",INDEX(客户自备加工筐明细!$C$4:$C$1203,$Z437-4000)),IF($Z437&lt;=5800,IF(INDEX(次果筐明细!$D$4:$D$603,$Z437-5200)=0,"",INDEX(次果筐明细!$D$4:$D$603,$Z437-5200)),"")))))</f>
        <v/>
      </c>
      <c r="G437" s="24" t="str">
        <f>IF($Z437="","",IF($Z437&lt;=2000,IF(INDEX(包装物料出入库明细!$F$4:$F$2003,$Z437-0)=0,"",INDEX(包装物料出入库明细!$F$4:$F$2003,$Z437-0)),IF($Z437&lt;=4000,"",IF($Z437&lt;=5200,"",IF($Z437&lt;=5800,"","")))))</f>
        <v/>
      </c>
      <c r="H437" s="39" t="str">
        <f>IF($Z437="","",IF($Z437&lt;=2000,IF(INDEX(包装物料出入库明细!$L$4:$L$2003,$Z437-0)=0,"",INDEX(包装物料出入库明细!$L$4:$L$2003,$Z437-0)),IF($Z437&lt;=4000,N(INDEX(周转筐出入库明细!$H$4:$H$2004,$Z437-2000))+N(INDEX(周转筐出入库明细!$I$4:$I$2004,$Z437-2000))+N(INDEX(周转筐出入库明细!$J$4:$J$2004,$Z437-2000))+N(INDEX(周转筐出入库明细!$K$4:$K$2004,$Z437-2000)),IF($Z437&lt;=5200,N(INDEX(客户自备加工筐明细!$F$4:$F$1203,$Z437-4000))+N(INDEX(客户自备加工筐明细!$G$4:$G$1203,$Z437-4000)),IF($Z437&lt;=5800,IF(INDEX(次果筐明细!$G$4:$G$603,$Z437-5200)=0,"",INDEX(次果筐明细!$G$4:$G$603,$Z437-5200)),"")))))</f>
        <v/>
      </c>
      <c r="I437" s="24" t="str">
        <f>IF($Z437="","",IF($Z437&lt;=2000,IF(INDEX(包装物料出入库明细!$G$4:$G$2003,$Z437-0)=0,"",INDEX(包装物料出入库明细!$G$4:$G$2003,$Z437-0)),IF($Z437&lt;=4000,"个",IF($Z437&lt;=5200,"个",IF($Z437&lt;=5800,"个","")))))</f>
        <v/>
      </c>
      <c r="J437" s="30" t="str">
        <f t="shared" si="19"/>
        <v/>
      </c>
      <c r="K437" s="30" t="str">
        <f>IF($Z437="","",IF($Z437&lt;=2000,IF(INDEX(包装物料出入库明细!$N$4:$N$2003,$Z437-0)=0,"",INDEX(包装物料出入库明细!$N$4:$N$2003,$Z437-0)),IF($Z437&lt;=4000,IF(INDEX(周转筐出入库明细!$P$4:$P$2004,$Z437-2000)=0,"",INDEX(周转筐出入库明细!$P$4:$P$2004,$Z437-2000)),IF($Z437&lt;=5200,"",IF($Z437&lt;=5800,N(INDEX(次果筐明细!$L$4:$L$603,$Z437-5200))+N(INDEX(次果筐明细!$J$4:$J$603,$Z437-5200)),"")))))</f>
        <v/>
      </c>
      <c r="L437" s="24" t="str">
        <f>IF($Z437="","",IF($Z437&lt;=2000,IF(INDEX(包装物料出入库明细!$P$4:$P$2003,$Z437-0)=0,"",INDEX(包装物料出入库明细!$P$4:$P$2003,$Z437-0)),IF($Z437&lt;=4000,IF(INDEX(周转筐出入库明细!$Q$4:$Q$2004,$Z437-2000)=0,"",INDEX(周转筐出入库明细!$Q$4:$Q$2004,$Z437-2000)),IF($Z437&lt;=5200,"",IF($Z437&lt;=5800,IF(INDEX(次果筐明细!$M$4:$M$603,$Z437-5200)=0,"",INDEX(次果筐明细!$M$4:$M$603,$Z437-5200)),"")))))</f>
        <v/>
      </c>
      <c r="M437" s="37" t="str">
        <f>IF($Z437="","",IF($Z437&lt;=2000,IF(INDEX(包装物料出入库明细!$R$4:$R$2003,$Z437-0)=0,"",INDEX(包装物料出入库明细!$R$4:$R$2003,$Z437-0)),IF($Z437&lt;=4000,IF(INDEX(周转筐出入库明细!$W$4:$W$2004,$Z437-2000)=0,"",INDEX(周转筐出入库明细!$W$4:$W$2004,$Z437-2000)),IF($Z437&lt;=5200,IF(INDEX(客户自备加工筐明细!$L$4:$L$1203,$Z437-4000)=0,"",INDEX(客户自备加工筐明细!$L$4:$L$1203,$Z437-4000)),IF($Z437&lt;=5800,IF(INDEX(次果筐明细!$P$4:$P$603,$Z437-5200)=0,"",INDEX(次果筐明细!$P$4:$P$603,$Z437-5200)),"")))))</f>
        <v/>
      </c>
      <c r="N437" s="16" t="str">
        <f>IF($Z437="","",IF($Z437&lt;=2000,"",IF($Z437&lt;=4000,IF(INDEX(周转筐出入库明细!$D$4:$D$2004,$Z437-2000)=0,"",INDEX(周转筐出入库明细!$D$4:$D$2004,$Z437-2000)),IF($Z437&lt;=5200,IF(INDEX(客户自备加工筐明细!$C$4:$C$1203,$Z437-4000)=0,"",INDEX(客户自备加工筐明细!$C$4:$C$1203,$Z437-4000)),IF($Z437&lt;=5800,IF(INDEX(次果筐明细!$D$4:$D$603,$Z437-5200)=0,"",INDEX(次果筐明细!$D$4:$D$603,$Z437-5200)),"")))))</f>
        <v/>
      </c>
      <c r="O437" s="40" t="str">
        <f>IF($Z437="","",IF($Z437&lt;=2000,"",IF($Z437&lt;=4000,IF(N(INDEX(周转筐出入库明细!$J$4:$J$2004,$Z437-2000))+N(INDEX(周转筐出入库明细!$K$4:$K$2004,$Z437-2000))=0,"",N(INDEX(周转筐出入库明细!$J$4:$J$2004,$Z437-2000))+N(INDEX(周转筐出入库明细!$K$4:$K$2004,$Z437-2000))),IF($Z437&lt;=5200,IF(N(INDEX(客户自备加工筐明细!$G$4:$G$1203,$Z437-4000))=0,"",N(INDEX(客户自备加工筐明细!$G$4:$G$1203,$Z437-4000))),IF($Z437&lt;=5800,IF(ISNUMBER(SEARCH("退",INDEX(次果筐明细!$F$4:$F$603,$Z437-5200)&amp;"")),"",IF(N(INDEX(次果筐明细!$G$4:$G$603,$Z437-5200))=0,"",N(INDEX(次果筐明细!$G$4:$G$603,$Z437-5200)))),"")))))</f>
        <v/>
      </c>
      <c r="P437" s="40" t="str">
        <f>IF($Z437="","",IF($Z437&lt;=2000,"",IF($Z437&lt;=4000,IF(N(INDEX(周转筐出入库明细!$I$4:$I$2004,$Z437-2000))=0,"",N(INDEX(周转筐出入库明细!$I$4:$I$2004,$Z437-2000))),IF($Z437&lt;=5200,"",IF($Z437&lt;=5800,IF(ISNUMBER(SEARCH("退",INDEX(次果筐明细!$F$4:$F$603,$Z437-5200)&amp;"")),IF(N(INDEX(次果筐明细!$G$4:$G$603,$Z437-5200))=0,"",N(INDEX(次果筐明细!$G$4:$G$603,$Z437-5200))),""),"")))))</f>
        <v/>
      </c>
      <c r="Q437" s="40" t="str">
        <f>IF($Z437="","",IF($Z437&lt;=2000,"",IF($Z437&lt;=4000,IF(N(INDEX(周转筐出入库明细!$H$4:$H$2004,$Z437-2000))=0,"",N(INDEX(周转筐出入库明细!$H$4:$H$2004,$Z437-2000))),IF($Z437&lt;=5200,IF(N(INDEX(客户自备加工筐明细!$F$4:$F$1203,$Z437-4000))=0,"",N(INDEX(客户自备加工筐明细!$F$4:$F$1203,$Z437-4000))),IF($Z437&lt;=5800,"","")))))</f>
        <v/>
      </c>
      <c r="R437" s="16" t="str">
        <f>IF($Z437="","",IF($Z437&lt;=2000,IF(INDEX(包装物料出入库明细!$O$4:$O$2003,$Z437-0)=0,"",INDEX(包装物料出入库明细!$O$4:$O$2003,$Z437-0)),IF($Z437&lt;=4000,IF(INDEX(周转筐出入库明细!$M$4:$M$2004,$Z437-2000)=0,"",INDEX(周转筐出入库明细!$M$4:$M$2004,$Z437-2000)),IF($Z437&lt;=5200,IF(INDEX(客户自备加工筐明细!$H$4:$H$1203,$Z437-4000)=0,"",INDEX(客户自备加工筐明细!$H$4:$H$1203,$Z437-4000)),IF($Z437&lt;=5800,IF(INDEX(次果筐明细!$H$4:$H$603,$Z437-5200)=0,"",INDEX(次果筐明细!$H$4:$H$603,$Z437-5200)),"")))))</f>
        <v/>
      </c>
      <c r="S437" s="22" t="str">
        <f t="shared" si="20"/>
        <v/>
      </c>
      <c r="Z437" s="10" t="str">
        <f>IFERROR(MATCH(ROW()-3,_自动清单!$CQ$4:$CQ$5803,0),"")</f>
        <v/>
      </c>
    </row>
    <row r="438" spans="1:26">
      <c r="A438" s="24" t="str">
        <f t="shared" si="18"/>
        <v/>
      </c>
      <c r="B438" s="38" t="str">
        <f>IF($Z438="","",IF($Z438&lt;=2000,IF(INDEX(包装物料出入库明细!$B$4:$B$2003,$Z438-0)=0,"",INDEX(包装物料出入库明细!$B$4:$B$2003,$Z438-0)),IF($Z438&lt;=4000,IF(INDEX(周转筐出入库明细!$B$4:$B$2004,$Z438-2000)=0,"",INDEX(周转筐出入库明细!$B$4:$B$2004,$Z438-2000)),IF($Z438&lt;=5200,IF(INDEX(客户自备加工筐明细!$B$4:$B$1203,$Z438-4000)=0,"",INDEX(客户自备加工筐明细!$B$4:$B$1203,$Z438-4000)),IF($Z438&lt;=5800,IF(INDEX(次果筐明细!$B$4:$B$603,$Z438-5200)=0,"",INDEX(次果筐明细!$B$4:$B$603,$Z438-5200)),"")))))</f>
        <v/>
      </c>
      <c r="C438" s="37" t="str">
        <f>IF($Z438="","",IF($Z438&lt;=2000,IF(INDEX(包装物料出入库明细!$D$4:$D$2003,$Z438-0)=0,"",INDEX(包装物料出入库明细!$D$4:$D$2003,$Z438-0)),IF($Z438&lt;=4000,IF(INDEX(周转筐出入库明细!$C$4:$C$2004,$Z438-2000)=0,"",INDEX(周转筐出入库明细!$C$4:$C$2004,$Z438-2000)),IF($Z438&lt;=5200,IF(INDEX(客户自备加工筐明细!$E$4:$E$1203,$Z438-4000)=0,"",INDEX(客户自备加工筐明细!$E$4:$E$1203,$Z438-4000)),IF($Z438&lt;=5800,IF(INDEX(次果筐明细!$C$4:$C$603,$Z438-5200)=0,"",INDEX(次果筐明细!$C$4:$C$603,$Z438-5200)),"")))))</f>
        <v/>
      </c>
      <c r="D438" s="37" t="str">
        <f>IF($Z438="","",IF($Z438&lt;=2000,"包装物料－"&amp;INDEX(包装物料出入库明细!$H$4:$H$2003,$Z438-0),IF($Z438&lt;=4000,"周转筐－"&amp;INDEX(周转筐出入库明细!$F$4:$F$2004,$Z438-2000),IF($Z438&lt;=5200,"客户自备筐－"&amp;INDEX(客户自备加工筐明细!$J$4:$J$1203,$Z438-4000),IF($Z438&lt;=5800,"次果筐/托盘－"&amp;INDEX(次果筐明细!$F$4:$F$603,$Z438-5200),"")))))</f>
        <v/>
      </c>
      <c r="E438" s="24" t="str">
        <f>IF($Z438="","",IF($Z438&lt;=2000,IF(INDEX(包装物料出入库明细!$C$4:$C$2003,$Z438-0)=0,"",INDEX(包装物料出入库明细!$C$4:$C$2003,$Z438-0)),IF($Z438&lt;=4000,IF(INDEX(周转筐出入库明细!$E$4:$E$2004,$Z438-2000)=0,"",INDEX(周转筐出入库明细!$E$4:$E$2004,$Z438-2000)),IF($Z438&lt;=5200,IF(INDEX(客户自备加工筐明细!$D$4:$D$1203,$Z438-4000)=0,"",INDEX(客户自备加工筐明细!$D$4:$D$1203,$Z438-4000)),IF($Z438&lt;=5800,IF(INDEX(次果筐明细!$E$4:$E$603,$Z438-5200)=0,"",INDEX(次果筐明细!$E$4:$E$603,$Z438-5200)),"")))))</f>
        <v/>
      </c>
      <c r="F438" s="24" t="str">
        <f>IF($Z438="","",IF($Z438&lt;=2000,IF(INDEX(包装物料出入库明细!$E$4:$E$2003,$Z438-0)=0,"",INDEX(包装物料出入库明细!$E$4:$E$2003,$Z438-0)),IF($Z438&lt;=4000,IF(INDEX(周转筐出入库明细!$D$4:$D$2004,$Z438-2000)=0,"",INDEX(周转筐出入库明细!$D$4:$D$2004,$Z438-2000)),IF($Z438&lt;=5200,IF(INDEX(客户自备加工筐明细!$C$4:$C$1203,$Z438-4000)=0,"",INDEX(客户自备加工筐明细!$C$4:$C$1203,$Z438-4000)),IF($Z438&lt;=5800,IF(INDEX(次果筐明细!$D$4:$D$603,$Z438-5200)=0,"",INDEX(次果筐明细!$D$4:$D$603,$Z438-5200)),"")))))</f>
        <v/>
      </c>
      <c r="G438" s="24" t="str">
        <f>IF($Z438="","",IF($Z438&lt;=2000,IF(INDEX(包装物料出入库明细!$F$4:$F$2003,$Z438-0)=0,"",INDEX(包装物料出入库明细!$F$4:$F$2003,$Z438-0)),IF($Z438&lt;=4000,"",IF($Z438&lt;=5200,"",IF($Z438&lt;=5800,"","")))))</f>
        <v/>
      </c>
      <c r="H438" s="39" t="str">
        <f>IF($Z438="","",IF($Z438&lt;=2000,IF(INDEX(包装物料出入库明细!$L$4:$L$2003,$Z438-0)=0,"",INDEX(包装物料出入库明细!$L$4:$L$2003,$Z438-0)),IF($Z438&lt;=4000,N(INDEX(周转筐出入库明细!$H$4:$H$2004,$Z438-2000))+N(INDEX(周转筐出入库明细!$I$4:$I$2004,$Z438-2000))+N(INDEX(周转筐出入库明细!$J$4:$J$2004,$Z438-2000))+N(INDEX(周转筐出入库明细!$K$4:$K$2004,$Z438-2000)),IF($Z438&lt;=5200,N(INDEX(客户自备加工筐明细!$F$4:$F$1203,$Z438-4000))+N(INDEX(客户自备加工筐明细!$G$4:$G$1203,$Z438-4000)),IF($Z438&lt;=5800,IF(INDEX(次果筐明细!$G$4:$G$603,$Z438-5200)=0,"",INDEX(次果筐明细!$G$4:$G$603,$Z438-5200)),"")))))</f>
        <v/>
      </c>
      <c r="I438" s="24" t="str">
        <f>IF($Z438="","",IF($Z438&lt;=2000,IF(INDEX(包装物料出入库明细!$G$4:$G$2003,$Z438-0)=0,"",INDEX(包装物料出入库明细!$G$4:$G$2003,$Z438-0)),IF($Z438&lt;=4000,"个",IF($Z438&lt;=5200,"个",IF($Z438&lt;=5800,"个","")))))</f>
        <v/>
      </c>
      <c r="J438" s="30" t="str">
        <f t="shared" si="19"/>
        <v/>
      </c>
      <c r="K438" s="30" t="str">
        <f>IF($Z438="","",IF($Z438&lt;=2000,IF(INDEX(包装物料出入库明细!$N$4:$N$2003,$Z438-0)=0,"",INDEX(包装物料出入库明细!$N$4:$N$2003,$Z438-0)),IF($Z438&lt;=4000,IF(INDEX(周转筐出入库明细!$P$4:$P$2004,$Z438-2000)=0,"",INDEX(周转筐出入库明细!$P$4:$P$2004,$Z438-2000)),IF($Z438&lt;=5200,"",IF($Z438&lt;=5800,N(INDEX(次果筐明细!$L$4:$L$603,$Z438-5200))+N(INDEX(次果筐明细!$J$4:$J$603,$Z438-5200)),"")))))</f>
        <v/>
      </c>
      <c r="L438" s="24" t="str">
        <f>IF($Z438="","",IF($Z438&lt;=2000,IF(INDEX(包装物料出入库明细!$P$4:$P$2003,$Z438-0)=0,"",INDEX(包装物料出入库明细!$P$4:$P$2003,$Z438-0)),IF($Z438&lt;=4000,IF(INDEX(周转筐出入库明细!$Q$4:$Q$2004,$Z438-2000)=0,"",INDEX(周转筐出入库明细!$Q$4:$Q$2004,$Z438-2000)),IF($Z438&lt;=5200,"",IF($Z438&lt;=5800,IF(INDEX(次果筐明细!$M$4:$M$603,$Z438-5200)=0,"",INDEX(次果筐明细!$M$4:$M$603,$Z438-5200)),"")))))</f>
        <v/>
      </c>
      <c r="M438" s="37" t="str">
        <f>IF($Z438="","",IF($Z438&lt;=2000,IF(INDEX(包装物料出入库明细!$R$4:$R$2003,$Z438-0)=0,"",INDEX(包装物料出入库明细!$R$4:$R$2003,$Z438-0)),IF($Z438&lt;=4000,IF(INDEX(周转筐出入库明细!$W$4:$W$2004,$Z438-2000)=0,"",INDEX(周转筐出入库明细!$W$4:$W$2004,$Z438-2000)),IF($Z438&lt;=5200,IF(INDEX(客户自备加工筐明细!$L$4:$L$1203,$Z438-4000)=0,"",INDEX(客户自备加工筐明细!$L$4:$L$1203,$Z438-4000)),IF($Z438&lt;=5800,IF(INDEX(次果筐明细!$P$4:$P$603,$Z438-5200)=0,"",INDEX(次果筐明细!$P$4:$P$603,$Z438-5200)),"")))))</f>
        <v/>
      </c>
      <c r="N438" s="16" t="str">
        <f>IF($Z438="","",IF($Z438&lt;=2000,"",IF($Z438&lt;=4000,IF(INDEX(周转筐出入库明细!$D$4:$D$2004,$Z438-2000)=0,"",INDEX(周转筐出入库明细!$D$4:$D$2004,$Z438-2000)),IF($Z438&lt;=5200,IF(INDEX(客户自备加工筐明细!$C$4:$C$1203,$Z438-4000)=0,"",INDEX(客户自备加工筐明细!$C$4:$C$1203,$Z438-4000)),IF($Z438&lt;=5800,IF(INDEX(次果筐明细!$D$4:$D$603,$Z438-5200)=0,"",INDEX(次果筐明细!$D$4:$D$603,$Z438-5200)),"")))))</f>
        <v/>
      </c>
      <c r="O438" s="40" t="str">
        <f>IF($Z438="","",IF($Z438&lt;=2000,"",IF($Z438&lt;=4000,IF(N(INDEX(周转筐出入库明细!$J$4:$J$2004,$Z438-2000))+N(INDEX(周转筐出入库明细!$K$4:$K$2004,$Z438-2000))=0,"",N(INDEX(周转筐出入库明细!$J$4:$J$2004,$Z438-2000))+N(INDEX(周转筐出入库明细!$K$4:$K$2004,$Z438-2000))),IF($Z438&lt;=5200,IF(N(INDEX(客户自备加工筐明细!$G$4:$G$1203,$Z438-4000))=0,"",N(INDEX(客户自备加工筐明细!$G$4:$G$1203,$Z438-4000))),IF($Z438&lt;=5800,IF(ISNUMBER(SEARCH("退",INDEX(次果筐明细!$F$4:$F$603,$Z438-5200)&amp;"")),"",IF(N(INDEX(次果筐明细!$G$4:$G$603,$Z438-5200))=0,"",N(INDEX(次果筐明细!$G$4:$G$603,$Z438-5200)))),"")))))</f>
        <v/>
      </c>
      <c r="P438" s="40" t="str">
        <f>IF($Z438="","",IF($Z438&lt;=2000,"",IF($Z438&lt;=4000,IF(N(INDEX(周转筐出入库明细!$I$4:$I$2004,$Z438-2000))=0,"",N(INDEX(周转筐出入库明细!$I$4:$I$2004,$Z438-2000))),IF($Z438&lt;=5200,"",IF($Z438&lt;=5800,IF(ISNUMBER(SEARCH("退",INDEX(次果筐明细!$F$4:$F$603,$Z438-5200)&amp;"")),IF(N(INDEX(次果筐明细!$G$4:$G$603,$Z438-5200))=0,"",N(INDEX(次果筐明细!$G$4:$G$603,$Z438-5200))),""),"")))))</f>
        <v/>
      </c>
      <c r="Q438" s="40" t="str">
        <f>IF($Z438="","",IF($Z438&lt;=2000,"",IF($Z438&lt;=4000,IF(N(INDEX(周转筐出入库明细!$H$4:$H$2004,$Z438-2000))=0,"",N(INDEX(周转筐出入库明细!$H$4:$H$2004,$Z438-2000))),IF($Z438&lt;=5200,IF(N(INDEX(客户自备加工筐明细!$F$4:$F$1203,$Z438-4000))=0,"",N(INDEX(客户自备加工筐明细!$F$4:$F$1203,$Z438-4000))),IF($Z438&lt;=5800,"","")))))</f>
        <v/>
      </c>
      <c r="R438" s="16" t="str">
        <f>IF($Z438="","",IF($Z438&lt;=2000,IF(INDEX(包装物料出入库明细!$O$4:$O$2003,$Z438-0)=0,"",INDEX(包装物料出入库明细!$O$4:$O$2003,$Z438-0)),IF($Z438&lt;=4000,IF(INDEX(周转筐出入库明细!$M$4:$M$2004,$Z438-2000)=0,"",INDEX(周转筐出入库明细!$M$4:$M$2004,$Z438-2000)),IF($Z438&lt;=5200,IF(INDEX(客户自备加工筐明细!$H$4:$H$1203,$Z438-4000)=0,"",INDEX(客户自备加工筐明细!$H$4:$H$1203,$Z438-4000)),IF($Z438&lt;=5800,IF(INDEX(次果筐明细!$H$4:$H$603,$Z438-5200)=0,"",INDEX(次果筐明细!$H$4:$H$603,$Z438-5200)),"")))))</f>
        <v/>
      </c>
      <c r="S438" s="22" t="str">
        <f t="shared" si="20"/>
        <v/>
      </c>
      <c r="Z438" s="10" t="str">
        <f>IFERROR(MATCH(ROW()-3,_自动清单!$CQ$4:$CQ$5803,0),"")</f>
        <v/>
      </c>
    </row>
    <row r="439" spans="1:26">
      <c r="A439" s="24" t="str">
        <f t="shared" si="18"/>
        <v/>
      </c>
      <c r="B439" s="38" t="str">
        <f>IF($Z439="","",IF($Z439&lt;=2000,IF(INDEX(包装物料出入库明细!$B$4:$B$2003,$Z439-0)=0,"",INDEX(包装物料出入库明细!$B$4:$B$2003,$Z439-0)),IF($Z439&lt;=4000,IF(INDEX(周转筐出入库明细!$B$4:$B$2004,$Z439-2000)=0,"",INDEX(周转筐出入库明细!$B$4:$B$2004,$Z439-2000)),IF($Z439&lt;=5200,IF(INDEX(客户自备加工筐明细!$B$4:$B$1203,$Z439-4000)=0,"",INDEX(客户自备加工筐明细!$B$4:$B$1203,$Z439-4000)),IF($Z439&lt;=5800,IF(INDEX(次果筐明细!$B$4:$B$603,$Z439-5200)=0,"",INDEX(次果筐明细!$B$4:$B$603,$Z439-5200)),"")))))</f>
        <v/>
      </c>
      <c r="C439" s="37" t="str">
        <f>IF($Z439="","",IF($Z439&lt;=2000,IF(INDEX(包装物料出入库明细!$D$4:$D$2003,$Z439-0)=0,"",INDEX(包装物料出入库明细!$D$4:$D$2003,$Z439-0)),IF($Z439&lt;=4000,IF(INDEX(周转筐出入库明细!$C$4:$C$2004,$Z439-2000)=0,"",INDEX(周转筐出入库明细!$C$4:$C$2004,$Z439-2000)),IF($Z439&lt;=5200,IF(INDEX(客户自备加工筐明细!$E$4:$E$1203,$Z439-4000)=0,"",INDEX(客户自备加工筐明细!$E$4:$E$1203,$Z439-4000)),IF($Z439&lt;=5800,IF(INDEX(次果筐明细!$C$4:$C$603,$Z439-5200)=0,"",INDEX(次果筐明细!$C$4:$C$603,$Z439-5200)),"")))))</f>
        <v/>
      </c>
      <c r="D439" s="37" t="str">
        <f>IF($Z439="","",IF($Z439&lt;=2000,"包装物料－"&amp;INDEX(包装物料出入库明细!$H$4:$H$2003,$Z439-0),IF($Z439&lt;=4000,"周转筐－"&amp;INDEX(周转筐出入库明细!$F$4:$F$2004,$Z439-2000),IF($Z439&lt;=5200,"客户自备筐－"&amp;INDEX(客户自备加工筐明细!$J$4:$J$1203,$Z439-4000),IF($Z439&lt;=5800,"次果筐/托盘－"&amp;INDEX(次果筐明细!$F$4:$F$603,$Z439-5200),"")))))</f>
        <v/>
      </c>
      <c r="E439" s="24" t="str">
        <f>IF($Z439="","",IF($Z439&lt;=2000,IF(INDEX(包装物料出入库明细!$C$4:$C$2003,$Z439-0)=0,"",INDEX(包装物料出入库明细!$C$4:$C$2003,$Z439-0)),IF($Z439&lt;=4000,IF(INDEX(周转筐出入库明细!$E$4:$E$2004,$Z439-2000)=0,"",INDEX(周转筐出入库明细!$E$4:$E$2004,$Z439-2000)),IF($Z439&lt;=5200,IF(INDEX(客户自备加工筐明细!$D$4:$D$1203,$Z439-4000)=0,"",INDEX(客户自备加工筐明细!$D$4:$D$1203,$Z439-4000)),IF($Z439&lt;=5800,IF(INDEX(次果筐明细!$E$4:$E$603,$Z439-5200)=0,"",INDEX(次果筐明细!$E$4:$E$603,$Z439-5200)),"")))))</f>
        <v/>
      </c>
      <c r="F439" s="24" t="str">
        <f>IF($Z439="","",IF($Z439&lt;=2000,IF(INDEX(包装物料出入库明细!$E$4:$E$2003,$Z439-0)=0,"",INDEX(包装物料出入库明细!$E$4:$E$2003,$Z439-0)),IF($Z439&lt;=4000,IF(INDEX(周转筐出入库明细!$D$4:$D$2004,$Z439-2000)=0,"",INDEX(周转筐出入库明细!$D$4:$D$2004,$Z439-2000)),IF($Z439&lt;=5200,IF(INDEX(客户自备加工筐明细!$C$4:$C$1203,$Z439-4000)=0,"",INDEX(客户自备加工筐明细!$C$4:$C$1203,$Z439-4000)),IF($Z439&lt;=5800,IF(INDEX(次果筐明细!$D$4:$D$603,$Z439-5200)=0,"",INDEX(次果筐明细!$D$4:$D$603,$Z439-5200)),"")))))</f>
        <v/>
      </c>
      <c r="G439" s="24" t="str">
        <f>IF($Z439="","",IF($Z439&lt;=2000,IF(INDEX(包装物料出入库明细!$F$4:$F$2003,$Z439-0)=0,"",INDEX(包装物料出入库明细!$F$4:$F$2003,$Z439-0)),IF($Z439&lt;=4000,"",IF($Z439&lt;=5200,"",IF($Z439&lt;=5800,"","")))))</f>
        <v/>
      </c>
      <c r="H439" s="39" t="str">
        <f>IF($Z439="","",IF($Z439&lt;=2000,IF(INDEX(包装物料出入库明细!$L$4:$L$2003,$Z439-0)=0,"",INDEX(包装物料出入库明细!$L$4:$L$2003,$Z439-0)),IF($Z439&lt;=4000,N(INDEX(周转筐出入库明细!$H$4:$H$2004,$Z439-2000))+N(INDEX(周转筐出入库明细!$I$4:$I$2004,$Z439-2000))+N(INDEX(周转筐出入库明细!$J$4:$J$2004,$Z439-2000))+N(INDEX(周转筐出入库明细!$K$4:$K$2004,$Z439-2000)),IF($Z439&lt;=5200,N(INDEX(客户自备加工筐明细!$F$4:$F$1203,$Z439-4000))+N(INDEX(客户自备加工筐明细!$G$4:$G$1203,$Z439-4000)),IF($Z439&lt;=5800,IF(INDEX(次果筐明细!$G$4:$G$603,$Z439-5200)=0,"",INDEX(次果筐明细!$G$4:$G$603,$Z439-5200)),"")))))</f>
        <v/>
      </c>
      <c r="I439" s="24" t="str">
        <f>IF($Z439="","",IF($Z439&lt;=2000,IF(INDEX(包装物料出入库明细!$G$4:$G$2003,$Z439-0)=0,"",INDEX(包装物料出入库明细!$G$4:$G$2003,$Z439-0)),IF($Z439&lt;=4000,"个",IF($Z439&lt;=5200,"个",IF($Z439&lt;=5800,"个","")))))</f>
        <v/>
      </c>
      <c r="J439" s="30" t="str">
        <f t="shared" si="19"/>
        <v/>
      </c>
      <c r="K439" s="30" t="str">
        <f>IF($Z439="","",IF($Z439&lt;=2000,IF(INDEX(包装物料出入库明细!$N$4:$N$2003,$Z439-0)=0,"",INDEX(包装物料出入库明细!$N$4:$N$2003,$Z439-0)),IF($Z439&lt;=4000,IF(INDEX(周转筐出入库明细!$P$4:$P$2004,$Z439-2000)=0,"",INDEX(周转筐出入库明细!$P$4:$P$2004,$Z439-2000)),IF($Z439&lt;=5200,"",IF($Z439&lt;=5800,N(INDEX(次果筐明细!$L$4:$L$603,$Z439-5200))+N(INDEX(次果筐明细!$J$4:$J$603,$Z439-5200)),"")))))</f>
        <v/>
      </c>
      <c r="L439" s="24" t="str">
        <f>IF($Z439="","",IF($Z439&lt;=2000,IF(INDEX(包装物料出入库明细!$P$4:$P$2003,$Z439-0)=0,"",INDEX(包装物料出入库明细!$P$4:$P$2003,$Z439-0)),IF($Z439&lt;=4000,IF(INDEX(周转筐出入库明细!$Q$4:$Q$2004,$Z439-2000)=0,"",INDEX(周转筐出入库明细!$Q$4:$Q$2004,$Z439-2000)),IF($Z439&lt;=5200,"",IF($Z439&lt;=5800,IF(INDEX(次果筐明细!$M$4:$M$603,$Z439-5200)=0,"",INDEX(次果筐明细!$M$4:$M$603,$Z439-5200)),"")))))</f>
        <v/>
      </c>
      <c r="M439" s="37" t="str">
        <f>IF($Z439="","",IF($Z439&lt;=2000,IF(INDEX(包装物料出入库明细!$R$4:$R$2003,$Z439-0)=0,"",INDEX(包装物料出入库明细!$R$4:$R$2003,$Z439-0)),IF($Z439&lt;=4000,IF(INDEX(周转筐出入库明细!$W$4:$W$2004,$Z439-2000)=0,"",INDEX(周转筐出入库明细!$W$4:$W$2004,$Z439-2000)),IF($Z439&lt;=5200,IF(INDEX(客户自备加工筐明细!$L$4:$L$1203,$Z439-4000)=0,"",INDEX(客户自备加工筐明细!$L$4:$L$1203,$Z439-4000)),IF($Z439&lt;=5800,IF(INDEX(次果筐明细!$P$4:$P$603,$Z439-5200)=0,"",INDEX(次果筐明细!$P$4:$P$603,$Z439-5200)),"")))))</f>
        <v/>
      </c>
      <c r="N439" s="16" t="str">
        <f>IF($Z439="","",IF($Z439&lt;=2000,"",IF($Z439&lt;=4000,IF(INDEX(周转筐出入库明细!$D$4:$D$2004,$Z439-2000)=0,"",INDEX(周转筐出入库明细!$D$4:$D$2004,$Z439-2000)),IF($Z439&lt;=5200,IF(INDEX(客户自备加工筐明细!$C$4:$C$1203,$Z439-4000)=0,"",INDEX(客户自备加工筐明细!$C$4:$C$1203,$Z439-4000)),IF($Z439&lt;=5800,IF(INDEX(次果筐明细!$D$4:$D$603,$Z439-5200)=0,"",INDEX(次果筐明细!$D$4:$D$603,$Z439-5200)),"")))))</f>
        <v/>
      </c>
      <c r="O439" s="40" t="str">
        <f>IF($Z439="","",IF($Z439&lt;=2000,"",IF($Z439&lt;=4000,IF(N(INDEX(周转筐出入库明细!$J$4:$J$2004,$Z439-2000))+N(INDEX(周转筐出入库明细!$K$4:$K$2004,$Z439-2000))=0,"",N(INDEX(周转筐出入库明细!$J$4:$J$2004,$Z439-2000))+N(INDEX(周转筐出入库明细!$K$4:$K$2004,$Z439-2000))),IF($Z439&lt;=5200,IF(N(INDEX(客户自备加工筐明细!$G$4:$G$1203,$Z439-4000))=0,"",N(INDEX(客户自备加工筐明细!$G$4:$G$1203,$Z439-4000))),IF($Z439&lt;=5800,IF(ISNUMBER(SEARCH("退",INDEX(次果筐明细!$F$4:$F$603,$Z439-5200)&amp;"")),"",IF(N(INDEX(次果筐明细!$G$4:$G$603,$Z439-5200))=0,"",N(INDEX(次果筐明细!$G$4:$G$603,$Z439-5200)))),"")))))</f>
        <v/>
      </c>
      <c r="P439" s="40" t="str">
        <f>IF($Z439="","",IF($Z439&lt;=2000,"",IF($Z439&lt;=4000,IF(N(INDEX(周转筐出入库明细!$I$4:$I$2004,$Z439-2000))=0,"",N(INDEX(周转筐出入库明细!$I$4:$I$2004,$Z439-2000))),IF($Z439&lt;=5200,"",IF($Z439&lt;=5800,IF(ISNUMBER(SEARCH("退",INDEX(次果筐明细!$F$4:$F$603,$Z439-5200)&amp;"")),IF(N(INDEX(次果筐明细!$G$4:$G$603,$Z439-5200))=0,"",N(INDEX(次果筐明细!$G$4:$G$603,$Z439-5200))),""),"")))))</f>
        <v/>
      </c>
      <c r="Q439" s="40" t="str">
        <f>IF($Z439="","",IF($Z439&lt;=2000,"",IF($Z439&lt;=4000,IF(N(INDEX(周转筐出入库明细!$H$4:$H$2004,$Z439-2000))=0,"",N(INDEX(周转筐出入库明细!$H$4:$H$2004,$Z439-2000))),IF($Z439&lt;=5200,IF(N(INDEX(客户自备加工筐明细!$F$4:$F$1203,$Z439-4000))=0,"",N(INDEX(客户自备加工筐明细!$F$4:$F$1203,$Z439-4000))),IF($Z439&lt;=5800,"","")))))</f>
        <v/>
      </c>
      <c r="R439" s="16" t="str">
        <f>IF($Z439="","",IF($Z439&lt;=2000,IF(INDEX(包装物料出入库明细!$O$4:$O$2003,$Z439-0)=0,"",INDEX(包装物料出入库明细!$O$4:$O$2003,$Z439-0)),IF($Z439&lt;=4000,IF(INDEX(周转筐出入库明细!$M$4:$M$2004,$Z439-2000)=0,"",INDEX(周转筐出入库明细!$M$4:$M$2004,$Z439-2000)),IF($Z439&lt;=5200,IF(INDEX(客户自备加工筐明细!$H$4:$H$1203,$Z439-4000)=0,"",INDEX(客户自备加工筐明细!$H$4:$H$1203,$Z439-4000)),IF($Z439&lt;=5800,IF(INDEX(次果筐明细!$H$4:$H$603,$Z439-5200)=0,"",INDEX(次果筐明细!$H$4:$H$603,$Z439-5200)),"")))))</f>
        <v/>
      </c>
      <c r="S439" s="22" t="str">
        <f t="shared" si="20"/>
        <v/>
      </c>
      <c r="Z439" s="10" t="str">
        <f>IFERROR(MATCH(ROW()-3,_自动清单!$CQ$4:$CQ$5803,0),"")</f>
        <v/>
      </c>
    </row>
    <row r="440" spans="1:26">
      <c r="A440" s="24" t="str">
        <f t="shared" si="18"/>
        <v/>
      </c>
      <c r="B440" s="38" t="str">
        <f>IF($Z440="","",IF($Z440&lt;=2000,IF(INDEX(包装物料出入库明细!$B$4:$B$2003,$Z440-0)=0,"",INDEX(包装物料出入库明细!$B$4:$B$2003,$Z440-0)),IF($Z440&lt;=4000,IF(INDEX(周转筐出入库明细!$B$4:$B$2004,$Z440-2000)=0,"",INDEX(周转筐出入库明细!$B$4:$B$2004,$Z440-2000)),IF($Z440&lt;=5200,IF(INDEX(客户自备加工筐明细!$B$4:$B$1203,$Z440-4000)=0,"",INDEX(客户自备加工筐明细!$B$4:$B$1203,$Z440-4000)),IF($Z440&lt;=5800,IF(INDEX(次果筐明细!$B$4:$B$603,$Z440-5200)=0,"",INDEX(次果筐明细!$B$4:$B$603,$Z440-5200)),"")))))</f>
        <v/>
      </c>
      <c r="C440" s="37" t="str">
        <f>IF($Z440="","",IF($Z440&lt;=2000,IF(INDEX(包装物料出入库明细!$D$4:$D$2003,$Z440-0)=0,"",INDEX(包装物料出入库明细!$D$4:$D$2003,$Z440-0)),IF($Z440&lt;=4000,IF(INDEX(周转筐出入库明细!$C$4:$C$2004,$Z440-2000)=0,"",INDEX(周转筐出入库明细!$C$4:$C$2004,$Z440-2000)),IF($Z440&lt;=5200,IF(INDEX(客户自备加工筐明细!$E$4:$E$1203,$Z440-4000)=0,"",INDEX(客户自备加工筐明细!$E$4:$E$1203,$Z440-4000)),IF($Z440&lt;=5800,IF(INDEX(次果筐明细!$C$4:$C$603,$Z440-5200)=0,"",INDEX(次果筐明细!$C$4:$C$603,$Z440-5200)),"")))))</f>
        <v/>
      </c>
      <c r="D440" s="37" t="str">
        <f>IF($Z440="","",IF($Z440&lt;=2000,"包装物料－"&amp;INDEX(包装物料出入库明细!$H$4:$H$2003,$Z440-0),IF($Z440&lt;=4000,"周转筐－"&amp;INDEX(周转筐出入库明细!$F$4:$F$2004,$Z440-2000),IF($Z440&lt;=5200,"客户自备筐－"&amp;INDEX(客户自备加工筐明细!$J$4:$J$1203,$Z440-4000),IF($Z440&lt;=5800,"次果筐/托盘－"&amp;INDEX(次果筐明细!$F$4:$F$603,$Z440-5200),"")))))</f>
        <v/>
      </c>
      <c r="E440" s="24" t="str">
        <f>IF($Z440="","",IF($Z440&lt;=2000,IF(INDEX(包装物料出入库明细!$C$4:$C$2003,$Z440-0)=0,"",INDEX(包装物料出入库明细!$C$4:$C$2003,$Z440-0)),IF($Z440&lt;=4000,IF(INDEX(周转筐出入库明细!$E$4:$E$2004,$Z440-2000)=0,"",INDEX(周转筐出入库明细!$E$4:$E$2004,$Z440-2000)),IF($Z440&lt;=5200,IF(INDEX(客户自备加工筐明细!$D$4:$D$1203,$Z440-4000)=0,"",INDEX(客户自备加工筐明细!$D$4:$D$1203,$Z440-4000)),IF($Z440&lt;=5800,IF(INDEX(次果筐明细!$E$4:$E$603,$Z440-5200)=0,"",INDEX(次果筐明细!$E$4:$E$603,$Z440-5200)),"")))))</f>
        <v/>
      </c>
      <c r="F440" s="24" t="str">
        <f>IF($Z440="","",IF($Z440&lt;=2000,IF(INDEX(包装物料出入库明细!$E$4:$E$2003,$Z440-0)=0,"",INDEX(包装物料出入库明细!$E$4:$E$2003,$Z440-0)),IF($Z440&lt;=4000,IF(INDEX(周转筐出入库明细!$D$4:$D$2004,$Z440-2000)=0,"",INDEX(周转筐出入库明细!$D$4:$D$2004,$Z440-2000)),IF($Z440&lt;=5200,IF(INDEX(客户自备加工筐明细!$C$4:$C$1203,$Z440-4000)=0,"",INDEX(客户自备加工筐明细!$C$4:$C$1203,$Z440-4000)),IF($Z440&lt;=5800,IF(INDEX(次果筐明细!$D$4:$D$603,$Z440-5200)=0,"",INDEX(次果筐明细!$D$4:$D$603,$Z440-5200)),"")))))</f>
        <v/>
      </c>
      <c r="G440" s="24" t="str">
        <f>IF($Z440="","",IF($Z440&lt;=2000,IF(INDEX(包装物料出入库明细!$F$4:$F$2003,$Z440-0)=0,"",INDEX(包装物料出入库明细!$F$4:$F$2003,$Z440-0)),IF($Z440&lt;=4000,"",IF($Z440&lt;=5200,"",IF($Z440&lt;=5800,"","")))))</f>
        <v/>
      </c>
      <c r="H440" s="39" t="str">
        <f>IF($Z440="","",IF($Z440&lt;=2000,IF(INDEX(包装物料出入库明细!$L$4:$L$2003,$Z440-0)=0,"",INDEX(包装物料出入库明细!$L$4:$L$2003,$Z440-0)),IF($Z440&lt;=4000,N(INDEX(周转筐出入库明细!$H$4:$H$2004,$Z440-2000))+N(INDEX(周转筐出入库明细!$I$4:$I$2004,$Z440-2000))+N(INDEX(周转筐出入库明细!$J$4:$J$2004,$Z440-2000))+N(INDEX(周转筐出入库明细!$K$4:$K$2004,$Z440-2000)),IF($Z440&lt;=5200,N(INDEX(客户自备加工筐明细!$F$4:$F$1203,$Z440-4000))+N(INDEX(客户自备加工筐明细!$G$4:$G$1203,$Z440-4000)),IF($Z440&lt;=5800,IF(INDEX(次果筐明细!$G$4:$G$603,$Z440-5200)=0,"",INDEX(次果筐明细!$G$4:$G$603,$Z440-5200)),"")))))</f>
        <v/>
      </c>
      <c r="I440" s="24" t="str">
        <f>IF($Z440="","",IF($Z440&lt;=2000,IF(INDEX(包装物料出入库明细!$G$4:$G$2003,$Z440-0)=0,"",INDEX(包装物料出入库明细!$G$4:$G$2003,$Z440-0)),IF($Z440&lt;=4000,"个",IF($Z440&lt;=5200,"个",IF($Z440&lt;=5800,"个","")))))</f>
        <v/>
      </c>
      <c r="J440" s="30" t="str">
        <f t="shared" si="19"/>
        <v/>
      </c>
      <c r="K440" s="30" t="str">
        <f>IF($Z440="","",IF($Z440&lt;=2000,IF(INDEX(包装物料出入库明细!$N$4:$N$2003,$Z440-0)=0,"",INDEX(包装物料出入库明细!$N$4:$N$2003,$Z440-0)),IF($Z440&lt;=4000,IF(INDEX(周转筐出入库明细!$P$4:$P$2004,$Z440-2000)=0,"",INDEX(周转筐出入库明细!$P$4:$P$2004,$Z440-2000)),IF($Z440&lt;=5200,"",IF($Z440&lt;=5800,N(INDEX(次果筐明细!$L$4:$L$603,$Z440-5200))+N(INDEX(次果筐明细!$J$4:$J$603,$Z440-5200)),"")))))</f>
        <v/>
      </c>
      <c r="L440" s="24" t="str">
        <f>IF($Z440="","",IF($Z440&lt;=2000,IF(INDEX(包装物料出入库明细!$P$4:$P$2003,$Z440-0)=0,"",INDEX(包装物料出入库明细!$P$4:$P$2003,$Z440-0)),IF($Z440&lt;=4000,IF(INDEX(周转筐出入库明细!$Q$4:$Q$2004,$Z440-2000)=0,"",INDEX(周转筐出入库明细!$Q$4:$Q$2004,$Z440-2000)),IF($Z440&lt;=5200,"",IF($Z440&lt;=5800,IF(INDEX(次果筐明细!$M$4:$M$603,$Z440-5200)=0,"",INDEX(次果筐明细!$M$4:$M$603,$Z440-5200)),"")))))</f>
        <v/>
      </c>
      <c r="M440" s="37" t="str">
        <f>IF($Z440="","",IF($Z440&lt;=2000,IF(INDEX(包装物料出入库明细!$R$4:$R$2003,$Z440-0)=0,"",INDEX(包装物料出入库明细!$R$4:$R$2003,$Z440-0)),IF($Z440&lt;=4000,IF(INDEX(周转筐出入库明细!$W$4:$W$2004,$Z440-2000)=0,"",INDEX(周转筐出入库明细!$W$4:$W$2004,$Z440-2000)),IF($Z440&lt;=5200,IF(INDEX(客户自备加工筐明细!$L$4:$L$1203,$Z440-4000)=0,"",INDEX(客户自备加工筐明细!$L$4:$L$1203,$Z440-4000)),IF($Z440&lt;=5800,IF(INDEX(次果筐明细!$P$4:$P$603,$Z440-5200)=0,"",INDEX(次果筐明细!$P$4:$P$603,$Z440-5200)),"")))))</f>
        <v/>
      </c>
      <c r="N440" s="16" t="str">
        <f>IF($Z440="","",IF($Z440&lt;=2000,"",IF($Z440&lt;=4000,IF(INDEX(周转筐出入库明细!$D$4:$D$2004,$Z440-2000)=0,"",INDEX(周转筐出入库明细!$D$4:$D$2004,$Z440-2000)),IF($Z440&lt;=5200,IF(INDEX(客户自备加工筐明细!$C$4:$C$1203,$Z440-4000)=0,"",INDEX(客户自备加工筐明细!$C$4:$C$1203,$Z440-4000)),IF($Z440&lt;=5800,IF(INDEX(次果筐明细!$D$4:$D$603,$Z440-5200)=0,"",INDEX(次果筐明细!$D$4:$D$603,$Z440-5200)),"")))))</f>
        <v/>
      </c>
      <c r="O440" s="40" t="str">
        <f>IF($Z440="","",IF($Z440&lt;=2000,"",IF($Z440&lt;=4000,IF(N(INDEX(周转筐出入库明细!$J$4:$J$2004,$Z440-2000))+N(INDEX(周转筐出入库明细!$K$4:$K$2004,$Z440-2000))=0,"",N(INDEX(周转筐出入库明细!$J$4:$J$2004,$Z440-2000))+N(INDEX(周转筐出入库明细!$K$4:$K$2004,$Z440-2000))),IF($Z440&lt;=5200,IF(N(INDEX(客户自备加工筐明细!$G$4:$G$1203,$Z440-4000))=0,"",N(INDEX(客户自备加工筐明细!$G$4:$G$1203,$Z440-4000))),IF($Z440&lt;=5800,IF(ISNUMBER(SEARCH("退",INDEX(次果筐明细!$F$4:$F$603,$Z440-5200)&amp;"")),"",IF(N(INDEX(次果筐明细!$G$4:$G$603,$Z440-5200))=0,"",N(INDEX(次果筐明细!$G$4:$G$603,$Z440-5200)))),"")))))</f>
        <v/>
      </c>
      <c r="P440" s="40" t="str">
        <f>IF($Z440="","",IF($Z440&lt;=2000,"",IF($Z440&lt;=4000,IF(N(INDEX(周转筐出入库明细!$I$4:$I$2004,$Z440-2000))=0,"",N(INDEX(周转筐出入库明细!$I$4:$I$2004,$Z440-2000))),IF($Z440&lt;=5200,"",IF($Z440&lt;=5800,IF(ISNUMBER(SEARCH("退",INDEX(次果筐明细!$F$4:$F$603,$Z440-5200)&amp;"")),IF(N(INDEX(次果筐明细!$G$4:$G$603,$Z440-5200))=0,"",N(INDEX(次果筐明细!$G$4:$G$603,$Z440-5200))),""),"")))))</f>
        <v/>
      </c>
      <c r="Q440" s="40" t="str">
        <f>IF($Z440="","",IF($Z440&lt;=2000,"",IF($Z440&lt;=4000,IF(N(INDEX(周转筐出入库明细!$H$4:$H$2004,$Z440-2000))=0,"",N(INDEX(周转筐出入库明细!$H$4:$H$2004,$Z440-2000))),IF($Z440&lt;=5200,IF(N(INDEX(客户自备加工筐明细!$F$4:$F$1203,$Z440-4000))=0,"",N(INDEX(客户自备加工筐明细!$F$4:$F$1203,$Z440-4000))),IF($Z440&lt;=5800,"","")))))</f>
        <v/>
      </c>
      <c r="R440" s="16" t="str">
        <f>IF($Z440="","",IF($Z440&lt;=2000,IF(INDEX(包装物料出入库明细!$O$4:$O$2003,$Z440-0)=0,"",INDEX(包装物料出入库明细!$O$4:$O$2003,$Z440-0)),IF($Z440&lt;=4000,IF(INDEX(周转筐出入库明细!$M$4:$M$2004,$Z440-2000)=0,"",INDEX(周转筐出入库明细!$M$4:$M$2004,$Z440-2000)),IF($Z440&lt;=5200,IF(INDEX(客户自备加工筐明细!$H$4:$H$1203,$Z440-4000)=0,"",INDEX(客户自备加工筐明细!$H$4:$H$1203,$Z440-4000)),IF($Z440&lt;=5800,IF(INDEX(次果筐明细!$H$4:$H$603,$Z440-5200)=0,"",INDEX(次果筐明细!$H$4:$H$603,$Z440-5200)),"")))))</f>
        <v/>
      </c>
      <c r="S440" s="22" t="str">
        <f t="shared" si="20"/>
        <v/>
      </c>
      <c r="Z440" s="10" t="str">
        <f>IFERROR(MATCH(ROW()-3,_自动清单!$CQ$4:$CQ$5803,0),"")</f>
        <v/>
      </c>
    </row>
    <row r="441" spans="1:26">
      <c r="A441" s="24" t="str">
        <f t="shared" si="18"/>
        <v/>
      </c>
      <c r="B441" s="38" t="str">
        <f>IF($Z441="","",IF($Z441&lt;=2000,IF(INDEX(包装物料出入库明细!$B$4:$B$2003,$Z441-0)=0,"",INDEX(包装物料出入库明细!$B$4:$B$2003,$Z441-0)),IF($Z441&lt;=4000,IF(INDEX(周转筐出入库明细!$B$4:$B$2004,$Z441-2000)=0,"",INDEX(周转筐出入库明细!$B$4:$B$2004,$Z441-2000)),IF($Z441&lt;=5200,IF(INDEX(客户自备加工筐明细!$B$4:$B$1203,$Z441-4000)=0,"",INDEX(客户自备加工筐明细!$B$4:$B$1203,$Z441-4000)),IF($Z441&lt;=5800,IF(INDEX(次果筐明细!$B$4:$B$603,$Z441-5200)=0,"",INDEX(次果筐明细!$B$4:$B$603,$Z441-5200)),"")))))</f>
        <v/>
      </c>
      <c r="C441" s="37" t="str">
        <f>IF($Z441="","",IF($Z441&lt;=2000,IF(INDEX(包装物料出入库明细!$D$4:$D$2003,$Z441-0)=0,"",INDEX(包装物料出入库明细!$D$4:$D$2003,$Z441-0)),IF($Z441&lt;=4000,IF(INDEX(周转筐出入库明细!$C$4:$C$2004,$Z441-2000)=0,"",INDEX(周转筐出入库明细!$C$4:$C$2004,$Z441-2000)),IF($Z441&lt;=5200,IF(INDEX(客户自备加工筐明细!$E$4:$E$1203,$Z441-4000)=0,"",INDEX(客户自备加工筐明细!$E$4:$E$1203,$Z441-4000)),IF($Z441&lt;=5800,IF(INDEX(次果筐明细!$C$4:$C$603,$Z441-5200)=0,"",INDEX(次果筐明细!$C$4:$C$603,$Z441-5200)),"")))))</f>
        <v/>
      </c>
      <c r="D441" s="37" t="str">
        <f>IF($Z441="","",IF($Z441&lt;=2000,"包装物料－"&amp;INDEX(包装物料出入库明细!$H$4:$H$2003,$Z441-0),IF($Z441&lt;=4000,"周转筐－"&amp;INDEX(周转筐出入库明细!$F$4:$F$2004,$Z441-2000),IF($Z441&lt;=5200,"客户自备筐－"&amp;INDEX(客户自备加工筐明细!$J$4:$J$1203,$Z441-4000),IF($Z441&lt;=5800,"次果筐/托盘－"&amp;INDEX(次果筐明细!$F$4:$F$603,$Z441-5200),"")))))</f>
        <v/>
      </c>
      <c r="E441" s="24" t="str">
        <f>IF($Z441="","",IF($Z441&lt;=2000,IF(INDEX(包装物料出入库明细!$C$4:$C$2003,$Z441-0)=0,"",INDEX(包装物料出入库明细!$C$4:$C$2003,$Z441-0)),IF($Z441&lt;=4000,IF(INDEX(周转筐出入库明细!$E$4:$E$2004,$Z441-2000)=0,"",INDEX(周转筐出入库明细!$E$4:$E$2004,$Z441-2000)),IF($Z441&lt;=5200,IF(INDEX(客户自备加工筐明细!$D$4:$D$1203,$Z441-4000)=0,"",INDEX(客户自备加工筐明细!$D$4:$D$1203,$Z441-4000)),IF($Z441&lt;=5800,IF(INDEX(次果筐明细!$E$4:$E$603,$Z441-5200)=0,"",INDEX(次果筐明细!$E$4:$E$603,$Z441-5200)),"")))))</f>
        <v/>
      </c>
      <c r="F441" s="24" t="str">
        <f>IF($Z441="","",IF($Z441&lt;=2000,IF(INDEX(包装物料出入库明细!$E$4:$E$2003,$Z441-0)=0,"",INDEX(包装物料出入库明细!$E$4:$E$2003,$Z441-0)),IF($Z441&lt;=4000,IF(INDEX(周转筐出入库明细!$D$4:$D$2004,$Z441-2000)=0,"",INDEX(周转筐出入库明细!$D$4:$D$2004,$Z441-2000)),IF($Z441&lt;=5200,IF(INDEX(客户自备加工筐明细!$C$4:$C$1203,$Z441-4000)=0,"",INDEX(客户自备加工筐明细!$C$4:$C$1203,$Z441-4000)),IF($Z441&lt;=5800,IF(INDEX(次果筐明细!$D$4:$D$603,$Z441-5200)=0,"",INDEX(次果筐明细!$D$4:$D$603,$Z441-5200)),"")))))</f>
        <v/>
      </c>
      <c r="G441" s="24" t="str">
        <f>IF($Z441="","",IF($Z441&lt;=2000,IF(INDEX(包装物料出入库明细!$F$4:$F$2003,$Z441-0)=0,"",INDEX(包装物料出入库明细!$F$4:$F$2003,$Z441-0)),IF($Z441&lt;=4000,"",IF($Z441&lt;=5200,"",IF($Z441&lt;=5800,"","")))))</f>
        <v/>
      </c>
      <c r="H441" s="39" t="str">
        <f>IF($Z441="","",IF($Z441&lt;=2000,IF(INDEX(包装物料出入库明细!$L$4:$L$2003,$Z441-0)=0,"",INDEX(包装物料出入库明细!$L$4:$L$2003,$Z441-0)),IF($Z441&lt;=4000,N(INDEX(周转筐出入库明细!$H$4:$H$2004,$Z441-2000))+N(INDEX(周转筐出入库明细!$I$4:$I$2004,$Z441-2000))+N(INDEX(周转筐出入库明细!$J$4:$J$2004,$Z441-2000))+N(INDEX(周转筐出入库明细!$K$4:$K$2004,$Z441-2000)),IF($Z441&lt;=5200,N(INDEX(客户自备加工筐明细!$F$4:$F$1203,$Z441-4000))+N(INDEX(客户自备加工筐明细!$G$4:$G$1203,$Z441-4000)),IF($Z441&lt;=5800,IF(INDEX(次果筐明细!$G$4:$G$603,$Z441-5200)=0,"",INDEX(次果筐明细!$G$4:$G$603,$Z441-5200)),"")))))</f>
        <v/>
      </c>
      <c r="I441" s="24" t="str">
        <f>IF($Z441="","",IF($Z441&lt;=2000,IF(INDEX(包装物料出入库明细!$G$4:$G$2003,$Z441-0)=0,"",INDEX(包装物料出入库明细!$G$4:$G$2003,$Z441-0)),IF($Z441&lt;=4000,"个",IF($Z441&lt;=5200,"个",IF($Z441&lt;=5800,"个","")))))</f>
        <v/>
      </c>
      <c r="J441" s="30" t="str">
        <f t="shared" si="19"/>
        <v/>
      </c>
      <c r="K441" s="30" t="str">
        <f>IF($Z441="","",IF($Z441&lt;=2000,IF(INDEX(包装物料出入库明细!$N$4:$N$2003,$Z441-0)=0,"",INDEX(包装物料出入库明细!$N$4:$N$2003,$Z441-0)),IF($Z441&lt;=4000,IF(INDEX(周转筐出入库明细!$P$4:$P$2004,$Z441-2000)=0,"",INDEX(周转筐出入库明细!$P$4:$P$2004,$Z441-2000)),IF($Z441&lt;=5200,"",IF($Z441&lt;=5800,N(INDEX(次果筐明细!$L$4:$L$603,$Z441-5200))+N(INDEX(次果筐明细!$J$4:$J$603,$Z441-5200)),"")))))</f>
        <v/>
      </c>
      <c r="L441" s="24" t="str">
        <f>IF($Z441="","",IF($Z441&lt;=2000,IF(INDEX(包装物料出入库明细!$P$4:$P$2003,$Z441-0)=0,"",INDEX(包装物料出入库明细!$P$4:$P$2003,$Z441-0)),IF($Z441&lt;=4000,IF(INDEX(周转筐出入库明细!$Q$4:$Q$2004,$Z441-2000)=0,"",INDEX(周转筐出入库明细!$Q$4:$Q$2004,$Z441-2000)),IF($Z441&lt;=5200,"",IF($Z441&lt;=5800,IF(INDEX(次果筐明细!$M$4:$M$603,$Z441-5200)=0,"",INDEX(次果筐明细!$M$4:$M$603,$Z441-5200)),"")))))</f>
        <v/>
      </c>
      <c r="M441" s="37" t="str">
        <f>IF($Z441="","",IF($Z441&lt;=2000,IF(INDEX(包装物料出入库明细!$R$4:$R$2003,$Z441-0)=0,"",INDEX(包装物料出入库明细!$R$4:$R$2003,$Z441-0)),IF($Z441&lt;=4000,IF(INDEX(周转筐出入库明细!$W$4:$W$2004,$Z441-2000)=0,"",INDEX(周转筐出入库明细!$W$4:$W$2004,$Z441-2000)),IF($Z441&lt;=5200,IF(INDEX(客户自备加工筐明细!$L$4:$L$1203,$Z441-4000)=0,"",INDEX(客户自备加工筐明细!$L$4:$L$1203,$Z441-4000)),IF($Z441&lt;=5800,IF(INDEX(次果筐明细!$P$4:$P$603,$Z441-5200)=0,"",INDEX(次果筐明细!$P$4:$P$603,$Z441-5200)),"")))))</f>
        <v/>
      </c>
      <c r="N441" s="16" t="str">
        <f>IF($Z441="","",IF($Z441&lt;=2000,"",IF($Z441&lt;=4000,IF(INDEX(周转筐出入库明细!$D$4:$D$2004,$Z441-2000)=0,"",INDEX(周转筐出入库明细!$D$4:$D$2004,$Z441-2000)),IF($Z441&lt;=5200,IF(INDEX(客户自备加工筐明细!$C$4:$C$1203,$Z441-4000)=0,"",INDEX(客户自备加工筐明细!$C$4:$C$1203,$Z441-4000)),IF($Z441&lt;=5800,IF(INDEX(次果筐明细!$D$4:$D$603,$Z441-5200)=0,"",INDEX(次果筐明细!$D$4:$D$603,$Z441-5200)),"")))))</f>
        <v/>
      </c>
      <c r="O441" s="40" t="str">
        <f>IF($Z441="","",IF($Z441&lt;=2000,"",IF($Z441&lt;=4000,IF(N(INDEX(周转筐出入库明细!$J$4:$J$2004,$Z441-2000))+N(INDEX(周转筐出入库明细!$K$4:$K$2004,$Z441-2000))=0,"",N(INDEX(周转筐出入库明细!$J$4:$J$2004,$Z441-2000))+N(INDEX(周转筐出入库明细!$K$4:$K$2004,$Z441-2000))),IF($Z441&lt;=5200,IF(N(INDEX(客户自备加工筐明细!$G$4:$G$1203,$Z441-4000))=0,"",N(INDEX(客户自备加工筐明细!$G$4:$G$1203,$Z441-4000))),IF($Z441&lt;=5800,IF(ISNUMBER(SEARCH("退",INDEX(次果筐明细!$F$4:$F$603,$Z441-5200)&amp;"")),"",IF(N(INDEX(次果筐明细!$G$4:$G$603,$Z441-5200))=0,"",N(INDEX(次果筐明细!$G$4:$G$603,$Z441-5200)))),"")))))</f>
        <v/>
      </c>
      <c r="P441" s="40" t="str">
        <f>IF($Z441="","",IF($Z441&lt;=2000,"",IF($Z441&lt;=4000,IF(N(INDEX(周转筐出入库明细!$I$4:$I$2004,$Z441-2000))=0,"",N(INDEX(周转筐出入库明细!$I$4:$I$2004,$Z441-2000))),IF($Z441&lt;=5200,"",IF($Z441&lt;=5800,IF(ISNUMBER(SEARCH("退",INDEX(次果筐明细!$F$4:$F$603,$Z441-5200)&amp;"")),IF(N(INDEX(次果筐明细!$G$4:$G$603,$Z441-5200))=0,"",N(INDEX(次果筐明细!$G$4:$G$603,$Z441-5200))),""),"")))))</f>
        <v/>
      </c>
      <c r="Q441" s="40" t="str">
        <f>IF($Z441="","",IF($Z441&lt;=2000,"",IF($Z441&lt;=4000,IF(N(INDEX(周转筐出入库明细!$H$4:$H$2004,$Z441-2000))=0,"",N(INDEX(周转筐出入库明细!$H$4:$H$2004,$Z441-2000))),IF($Z441&lt;=5200,IF(N(INDEX(客户自备加工筐明细!$F$4:$F$1203,$Z441-4000))=0,"",N(INDEX(客户自备加工筐明细!$F$4:$F$1203,$Z441-4000))),IF($Z441&lt;=5800,"","")))))</f>
        <v/>
      </c>
      <c r="R441" s="16" t="str">
        <f>IF($Z441="","",IF($Z441&lt;=2000,IF(INDEX(包装物料出入库明细!$O$4:$O$2003,$Z441-0)=0,"",INDEX(包装物料出入库明细!$O$4:$O$2003,$Z441-0)),IF($Z441&lt;=4000,IF(INDEX(周转筐出入库明细!$M$4:$M$2004,$Z441-2000)=0,"",INDEX(周转筐出入库明细!$M$4:$M$2004,$Z441-2000)),IF($Z441&lt;=5200,IF(INDEX(客户自备加工筐明细!$H$4:$H$1203,$Z441-4000)=0,"",INDEX(客户自备加工筐明细!$H$4:$H$1203,$Z441-4000)),IF($Z441&lt;=5800,IF(INDEX(次果筐明细!$H$4:$H$603,$Z441-5200)=0,"",INDEX(次果筐明细!$H$4:$H$603,$Z441-5200)),"")))))</f>
        <v/>
      </c>
      <c r="S441" s="22" t="str">
        <f t="shared" si="20"/>
        <v/>
      </c>
      <c r="Z441" s="10" t="str">
        <f>IFERROR(MATCH(ROW()-3,_自动清单!$CQ$4:$CQ$5803,0),"")</f>
        <v/>
      </c>
    </row>
    <row r="442" spans="1:26">
      <c r="A442" s="24" t="str">
        <f t="shared" si="18"/>
        <v/>
      </c>
      <c r="B442" s="38" t="str">
        <f>IF($Z442="","",IF($Z442&lt;=2000,IF(INDEX(包装物料出入库明细!$B$4:$B$2003,$Z442-0)=0,"",INDEX(包装物料出入库明细!$B$4:$B$2003,$Z442-0)),IF($Z442&lt;=4000,IF(INDEX(周转筐出入库明细!$B$4:$B$2004,$Z442-2000)=0,"",INDEX(周转筐出入库明细!$B$4:$B$2004,$Z442-2000)),IF($Z442&lt;=5200,IF(INDEX(客户自备加工筐明细!$B$4:$B$1203,$Z442-4000)=0,"",INDEX(客户自备加工筐明细!$B$4:$B$1203,$Z442-4000)),IF($Z442&lt;=5800,IF(INDEX(次果筐明细!$B$4:$B$603,$Z442-5200)=0,"",INDEX(次果筐明细!$B$4:$B$603,$Z442-5200)),"")))))</f>
        <v/>
      </c>
      <c r="C442" s="37" t="str">
        <f>IF($Z442="","",IF($Z442&lt;=2000,IF(INDEX(包装物料出入库明细!$D$4:$D$2003,$Z442-0)=0,"",INDEX(包装物料出入库明细!$D$4:$D$2003,$Z442-0)),IF($Z442&lt;=4000,IF(INDEX(周转筐出入库明细!$C$4:$C$2004,$Z442-2000)=0,"",INDEX(周转筐出入库明细!$C$4:$C$2004,$Z442-2000)),IF($Z442&lt;=5200,IF(INDEX(客户自备加工筐明细!$E$4:$E$1203,$Z442-4000)=0,"",INDEX(客户自备加工筐明细!$E$4:$E$1203,$Z442-4000)),IF($Z442&lt;=5800,IF(INDEX(次果筐明细!$C$4:$C$603,$Z442-5200)=0,"",INDEX(次果筐明细!$C$4:$C$603,$Z442-5200)),"")))))</f>
        <v/>
      </c>
      <c r="D442" s="37" t="str">
        <f>IF($Z442="","",IF($Z442&lt;=2000,"包装物料－"&amp;INDEX(包装物料出入库明细!$H$4:$H$2003,$Z442-0),IF($Z442&lt;=4000,"周转筐－"&amp;INDEX(周转筐出入库明细!$F$4:$F$2004,$Z442-2000),IF($Z442&lt;=5200,"客户自备筐－"&amp;INDEX(客户自备加工筐明细!$J$4:$J$1203,$Z442-4000),IF($Z442&lt;=5800,"次果筐/托盘－"&amp;INDEX(次果筐明细!$F$4:$F$603,$Z442-5200),"")))))</f>
        <v/>
      </c>
      <c r="E442" s="24" t="str">
        <f>IF($Z442="","",IF($Z442&lt;=2000,IF(INDEX(包装物料出入库明细!$C$4:$C$2003,$Z442-0)=0,"",INDEX(包装物料出入库明细!$C$4:$C$2003,$Z442-0)),IF($Z442&lt;=4000,IF(INDEX(周转筐出入库明细!$E$4:$E$2004,$Z442-2000)=0,"",INDEX(周转筐出入库明细!$E$4:$E$2004,$Z442-2000)),IF($Z442&lt;=5200,IF(INDEX(客户自备加工筐明细!$D$4:$D$1203,$Z442-4000)=0,"",INDEX(客户自备加工筐明细!$D$4:$D$1203,$Z442-4000)),IF($Z442&lt;=5800,IF(INDEX(次果筐明细!$E$4:$E$603,$Z442-5200)=0,"",INDEX(次果筐明细!$E$4:$E$603,$Z442-5200)),"")))))</f>
        <v/>
      </c>
      <c r="F442" s="24" t="str">
        <f>IF($Z442="","",IF($Z442&lt;=2000,IF(INDEX(包装物料出入库明细!$E$4:$E$2003,$Z442-0)=0,"",INDEX(包装物料出入库明细!$E$4:$E$2003,$Z442-0)),IF($Z442&lt;=4000,IF(INDEX(周转筐出入库明细!$D$4:$D$2004,$Z442-2000)=0,"",INDEX(周转筐出入库明细!$D$4:$D$2004,$Z442-2000)),IF($Z442&lt;=5200,IF(INDEX(客户自备加工筐明细!$C$4:$C$1203,$Z442-4000)=0,"",INDEX(客户自备加工筐明细!$C$4:$C$1203,$Z442-4000)),IF($Z442&lt;=5800,IF(INDEX(次果筐明细!$D$4:$D$603,$Z442-5200)=0,"",INDEX(次果筐明细!$D$4:$D$603,$Z442-5200)),"")))))</f>
        <v/>
      </c>
      <c r="G442" s="24" t="str">
        <f>IF($Z442="","",IF($Z442&lt;=2000,IF(INDEX(包装物料出入库明细!$F$4:$F$2003,$Z442-0)=0,"",INDEX(包装物料出入库明细!$F$4:$F$2003,$Z442-0)),IF($Z442&lt;=4000,"",IF($Z442&lt;=5200,"",IF($Z442&lt;=5800,"","")))))</f>
        <v/>
      </c>
      <c r="H442" s="39" t="str">
        <f>IF($Z442="","",IF($Z442&lt;=2000,IF(INDEX(包装物料出入库明细!$L$4:$L$2003,$Z442-0)=0,"",INDEX(包装物料出入库明细!$L$4:$L$2003,$Z442-0)),IF($Z442&lt;=4000,N(INDEX(周转筐出入库明细!$H$4:$H$2004,$Z442-2000))+N(INDEX(周转筐出入库明细!$I$4:$I$2004,$Z442-2000))+N(INDEX(周转筐出入库明细!$J$4:$J$2004,$Z442-2000))+N(INDEX(周转筐出入库明细!$K$4:$K$2004,$Z442-2000)),IF($Z442&lt;=5200,N(INDEX(客户自备加工筐明细!$F$4:$F$1203,$Z442-4000))+N(INDEX(客户自备加工筐明细!$G$4:$G$1203,$Z442-4000)),IF($Z442&lt;=5800,IF(INDEX(次果筐明细!$G$4:$G$603,$Z442-5200)=0,"",INDEX(次果筐明细!$G$4:$G$603,$Z442-5200)),"")))))</f>
        <v/>
      </c>
      <c r="I442" s="24" t="str">
        <f>IF($Z442="","",IF($Z442&lt;=2000,IF(INDEX(包装物料出入库明细!$G$4:$G$2003,$Z442-0)=0,"",INDEX(包装物料出入库明细!$G$4:$G$2003,$Z442-0)),IF($Z442&lt;=4000,"个",IF($Z442&lt;=5200,"个",IF($Z442&lt;=5800,"个","")))))</f>
        <v/>
      </c>
      <c r="J442" s="30" t="str">
        <f t="shared" si="19"/>
        <v/>
      </c>
      <c r="K442" s="30" t="str">
        <f>IF($Z442="","",IF($Z442&lt;=2000,IF(INDEX(包装物料出入库明细!$N$4:$N$2003,$Z442-0)=0,"",INDEX(包装物料出入库明细!$N$4:$N$2003,$Z442-0)),IF($Z442&lt;=4000,IF(INDEX(周转筐出入库明细!$P$4:$P$2004,$Z442-2000)=0,"",INDEX(周转筐出入库明细!$P$4:$P$2004,$Z442-2000)),IF($Z442&lt;=5200,"",IF($Z442&lt;=5800,N(INDEX(次果筐明细!$L$4:$L$603,$Z442-5200))+N(INDEX(次果筐明细!$J$4:$J$603,$Z442-5200)),"")))))</f>
        <v/>
      </c>
      <c r="L442" s="24" t="str">
        <f>IF($Z442="","",IF($Z442&lt;=2000,IF(INDEX(包装物料出入库明细!$P$4:$P$2003,$Z442-0)=0,"",INDEX(包装物料出入库明细!$P$4:$P$2003,$Z442-0)),IF($Z442&lt;=4000,IF(INDEX(周转筐出入库明细!$Q$4:$Q$2004,$Z442-2000)=0,"",INDEX(周转筐出入库明细!$Q$4:$Q$2004,$Z442-2000)),IF($Z442&lt;=5200,"",IF($Z442&lt;=5800,IF(INDEX(次果筐明细!$M$4:$M$603,$Z442-5200)=0,"",INDEX(次果筐明细!$M$4:$M$603,$Z442-5200)),"")))))</f>
        <v/>
      </c>
      <c r="M442" s="37" t="str">
        <f>IF($Z442="","",IF($Z442&lt;=2000,IF(INDEX(包装物料出入库明细!$R$4:$R$2003,$Z442-0)=0,"",INDEX(包装物料出入库明细!$R$4:$R$2003,$Z442-0)),IF($Z442&lt;=4000,IF(INDEX(周转筐出入库明细!$W$4:$W$2004,$Z442-2000)=0,"",INDEX(周转筐出入库明细!$W$4:$W$2004,$Z442-2000)),IF($Z442&lt;=5200,IF(INDEX(客户自备加工筐明细!$L$4:$L$1203,$Z442-4000)=0,"",INDEX(客户自备加工筐明细!$L$4:$L$1203,$Z442-4000)),IF($Z442&lt;=5800,IF(INDEX(次果筐明细!$P$4:$P$603,$Z442-5200)=0,"",INDEX(次果筐明细!$P$4:$P$603,$Z442-5200)),"")))))</f>
        <v/>
      </c>
      <c r="N442" s="16" t="str">
        <f>IF($Z442="","",IF($Z442&lt;=2000,"",IF($Z442&lt;=4000,IF(INDEX(周转筐出入库明细!$D$4:$D$2004,$Z442-2000)=0,"",INDEX(周转筐出入库明细!$D$4:$D$2004,$Z442-2000)),IF($Z442&lt;=5200,IF(INDEX(客户自备加工筐明细!$C$4:$C$1203,$Z442-4000)=0,"",INDEX(客户自备加工筐明细!$C$4:$C$1203,$Z442-4000)),IF($Z442&lt;=5800,IF(INDEX(次果筐明细!$D$4:$D$603,$Z442-5200)=0,"",INDEX(次果筐明细!$D$4:$D$603,$Z442-5200)),"")))))</f>
        <v/>
      </c>
      <c r="O442" s="40" t="str">
        <f>IF($Z442="","",IF($Z442&lt;=2000,"",IF($Z442&lt;=4000,IF(N(INDEX(周转筐出入库明细!$J$4:$J$2004,$Z442-2000))+N(INDEX(周转筐出入库明细!$K$4:$K$2004,$Z442-2000))=0,"",N(INDEX(周转筐出入库明细!$J$4:$J$2004,$Z442-2000))+N(INDEX(周转筐出入库明细!$K$4:$K$2004,$Z442-2000))),IF($Z442&lt;=5200,IF(N(INDEX(客户自备加工筐明细!$G$4:$G$1203,$Z442-4000))=0,"",N(INDEX(客户自备加工筐明细!$G$4:$G$1203,$Z442-4000))),IF($Z442&lt;=5800,IF(ISNUMBER(SEARCH("退",INDEX(次果筐明细!$F$4:$F$603,$Z442-5200)&amp;"")),"",IF(N(INDEX(次果筐明细!$G$4:$G$603,$Z442-5200))=0,"",N(INDEX(次果筐明细!$G$4:$G$603,$Z442-5200)))),"")))))</f>
        <v/>
      </c>
      <c r="P442" s="40" t="str">
        <f>IF($Z442="","",IF($Z442&lt;=2000,"",IF($Z442&lt;=4000,IF(N(INDEX(周转筐出入库明细!$I$4:$I$2004,$Z442-2000))=0,"",N(INDEX(周转筐出入库明细!$I$4:$I$2004,$Z442-2000))),IF($Z442&lt;=5200,"",IF($Z442&lt;=5800,IF(ISNUMBER(SEARCH("退",INDEX(次果筐明细!$F$4:$F$603,$Z442-5200)&amp;"")),IF(N(INDEX(次果筐明细!$G$4:$G$603,$Z442-5200))=0,"",N(INDEX(次果筐明细!$G$4:$G$603,$Z442-5200))),""),"")))))</f>
        <v/>
      </c>
      <c r="Q442" s="40" t="str">
        <f>IF($Z442="","",IF($Z442&lt;=2000,"",IF($Z442&lt;=4000,IF(N(INDEX(周转筐出入库明细!$H$4:$H$2004,$Z442-2000))=0,"",N(INDEX(周转筐出入库明细!$H$4:$H$2004,$Z442-2000))),IF($Z442&lt;=5200,IF(N(INDEX(客户自备加工筐明细!$F$4:$F$1203,$Z442-4000))=0,"",N(INDEX(客户自备加工筐明细!$F$4:$F$1203,$Z442-4000))),IF($Z442&lt;=5800,"","")))))</f>
        <v/>
      </c>
      <c r="R442" s="16" t="str">
        <f>IF($Z442="","",IF($Z442&lt;=2000,IF(INDEX(包装物料出入库明细!$O$4:$O$2003,$Z442-0)=0,"",INDEX(包装物料出入库明细!$O$4:$O$2003,$Z442-0)),IF($Z442&lt;=4000,IF(INDEX(周转筐出入库明细!$M$4:$M$2004,$Z442-2000)=0,"",INDEX(周转筐出入库明细!$M$4:$M$2004,$Z442-2000)),IF($Z442&lt;=5200,IF(INDEX(客户自备加工筐明细!$H$4:$H$1203,$Z442-4000)=0,"",INDEX(客户自备加工筐明细!$H$4:$H$1203,$Z442-4000)),IF($Z442&lt;=5800,IF(INDEX(次果筐明细!$H$4:$H$603,$Z442-5200)=0,"",INDEX(次果筐明细!$H$4:$H$603,$Z442-5200)),"")))))</f>
        <v/>
      </c>
      <c r="S442" s="22" t="str">
        <f t="shared" si="20"/>
        <v/>
      </c>
      <c r="Z442" s="10" t="str">
        <f>IFERROR(MATCH(ROW()-3,_自动清单!$CQ$4:$CQ$5803,0),"")</f>
        <v/>
      </c>
    </row>
    <row r="443" spans="1:26">
      <c r="A443" s="24" t="str">
        <f t="shared" si="18"/>
        <v/>
      </c>
      <c r="B443" s="38" t="str">
        <f>IF($Z443="","",IF($Z443&lt;=2000,IF(INDEX(包装物料出入库明细!$B$4:$B$2003,$Z443-0)=0,"",INDEX(包装物料出入库明细!$B$4:$B$2003,$Z443-0)),IF($Z443&lt;=4000,IF(INDEX(周转筐出入库明细!$B$4:$B$2004,$Z443-2000)=0,"",INDEX(周转筐出入库明细!$B$4:$B$2004,$Z443-2000)),IF($Z443&lt;=5200,IF(INDEX(客户自备加工筐明细!$B$4:$B$1203,$Z443-4000)=0,"",INDEX(客户自备加工筐明细!$B$4:$B$1203,$Z443-4000)),IF($Z443&lt;=5800,IF(INDEX(次果筐明细!$B$4:$B$603,$Z443-5200)=0,"",INDEX(次果筐明细!$B$4:$B$603,$Z443-5200)),"")))))</f>
        <v/>
      </c>
      <c r="C443" s="37" t="str">
        <f>IF($Z443="","",IF($Z443&lt;=2000,IF(INDEX(包装物料出入库明细!$D$4:$D$2003,$Z443-0)=0,"",INDEX(包装物料出入库明细!$D$4:$D$2003,$Z443-0)),IF($Z443&lt;=4000,IF(INDEX(周转筐出入库明细!$C$4:$C$2004,$Z443-2000)=0,"",INDEX(周转筐出入库明细!$C$4:$C$2004,$Z443-2000)),IF($Z443&lt;=5200,IF(INDEX(客户自备加工筐明细!$E$4:$E$1203,$Z443-4000)=0,"",INDEX(客户自备加工筐明细!$E$4:$E$1203,$Z443-4000)),IF($Z443&lt;=5800,IF(INDEX(次果筐明细!$C$4:$C$603,$Z443-5200)=0,"",INDEX(次果筐明细!$C$4:$C$603,$Z443-5200)),"")))))</f>
        <v/>
      </c>
      <c r="D443" s="37" t="str">
        <f>IF($Z443="","",IF($Z443&lt;=2000,"包装物料－"&amp;INDEX(包装物料出入库明细!$H$4:$H$2003,$Z443-0),IF($Z443&lt;=4000,"周转筐－"&amp;INDEX(周转筐出入库明细!$F$4:$F$2004,$Z443-2000),IF($Z443&lt;=5200,"客户自备筐－"&amp;INDEX(客户自备加工筐明细!$J$4:$J$1203,$Z443-4000),IF($Z443&lt;=5800,"次果筐/托盘－"&amp;INDEX(次果筐明细!$F$4:$F$603,$Z443-5200),"")))))</f>
        <v/>
      </c>
      <c r="E443" s="24" t="str">
        <f>IF($Z443="","",IF($Z443&lt;=2000,IF(INDEX(包装物料出入库明细!$C$4:$C$2003,$Z443-0)=0,"",INDEX(包装物料出入库明细!$C$4:$C$2003,$Z443-0)),IF($Z443&lt;=4000,IF(INDEX(周转筐出入库明细!$E$4:$E$2004,$Z443-2000)=0,"",INDEX(周转筐出入库明细!$E$4:$E$2004,$Z443-2000)),IF($Z443&lt;=5200,IF(INDEX(客户自备加工筐明细!$D$4:$D$1203,$Z443-4000)=0,"",INDEX(客户自备加工筐明细!$D$4:$D$1203,$Z443-4000)),IF($Z443&lt;=5800,IF(INDEX(次果筐明细!$E$4:$E$603,$Z443-5200)=0,"",INDEX(次果筐明细!$E$4:$E$603,$Z443-5200)),"")))))</f>
        <v/>
      </c>
      <c r="F443" s="24" t="str">
        <f>IF($Z443="","",IF($Z443&lt;=2000,IF(INDEX(包装物料出入库明细!$E$4:$E$2003,$Z443-0)=0,"",INDEX(包装物料出入库明细!$E$4:$E$2003,$Z443-0)),IF($Z443&lt;=4000,IF(INDEX(周转筐出入库明细!$D$4:$D$2004,$Z443-2000)=0,"",INDEX(周转筐出入库明细!$D$4:$D$2004,$Z443-2000)),IF($Z443&lt;=5200,IF(INDEX(客户自备加工筐明细!$C$4:$C$1203,$Z443-4000)=0,"",INDEX(客户自备加工筐明细!$C$4:$C$1203,$Z443-4000)),IF($Z443&lt;=5800,IF(INDEX(次果筐明细!$D$4:$D$603,$Z443-5200)=0,"",INDEX(次果筐明细!$D$4:$D$603,$Z443-5200)),"")))))</f>
        <v/>
      </c>
      <c r="G443" s="24" t="str">
        <f>IF($Z443="","",IF($Z443&lt;=2000,IF(INDEX(包装物料出入库明细!$F$4:$F$2003,$Z443-0)=0,"",INDEX(包装物料出入库明细!$F$4:$F$2003,$Z443-0)),IF($Z443&lt;=4000,"",IF($Z443&lt;=5200,"",IF($Z443&lt;=5800,"","")))))</f>
        <v/>
      </c>
      <c r="H443" s="39" t="str">
        <f>IF($Z443="","",IF($Z443&lt;=2000,IF(INDEX(包装物料出入库明细!$L$4:$L$2003,$Z443-0)=0,"",INDEX(包装物料出入库明细!$L$4:$L$2003,$Z443-0)),IF($Z443&lt;=4000,N(INDEX(周转筐出入库明细!$H$4:$H$2004,$Z443-2000))+N(INDEX(周转筐出入库明细!$I$4:$I$2004,$Z443-2000))+N(INDEX(周转筐出入库明细!$J$4:$J$2004,$Z443-2000))+N(INDEX(周转筐出入库明细!$K$4:$K$2004,$Z443-2000)),IF($Z443&lt;=5200,N(INDEX(客户自备加工筐明细!$F$4:$F$1203,$Z443-4000))+N(INDEX(客户自备加工筐明细!$G$4:$G$1203,$Z443-4000)),IF($Z443&lt;=5800,IF(INDEX(次果筐明细!$G$4:$G$603,$Z443-5200)=0,"",INDEX(次果筐明细!$G$4:$G$603,$Z443-5200)),"")))))</f>
        <v/>
      </c>
      <c r="I443" s="24" t="str">
        <f>IF($Z443="","",IF($Z443&lt;=2000,IF(INDEX(包装物料出入库明细!$G$4:$G$2003,$Z443-0)=0,"",INDEX(包装物料出入库明细!$G$4:$G$2003,$Z443-0)),IF($Z443&lt;=4000,"个",IF($Z443&lt;=5200,"个",IF($Z443&lt;=5800,"个","")))))</f>
        <v/>
      </c>
      <c r="J443" s="30" t="str">
        <f t="shared" si="19"/>
        <v/>
      </c>
      <c r="K443" s="30" t="str">
        <f>IF($Z443="","",IF($Z443&lt;=2000,IF(INDEX(包装物料出入库明细!$N$4:$N$2003,$Z443-0)=0,"",INDEX(包装物料出入库明细!$N$4:$N$2003,$Z443-0)),IF($Z443&lt;=4000,IF(INDEX(周转筐出入库明细!$P$4:$P$2004,$Z443-2000)=0,"",INDEX(周转筐出入库明细!$P$4:$P$2004,$Z443-2000)),IF($Z443&lt;=5200,"",IF($Z443&lt;=5800,N(INDEX(次果筐明细!$L$4:$L$603,$Z443-5200))+N(INDEX(次果筐明细!$J$4:$J$603,$Z443-5200)),"")))))</f>
        <v/>
      </c>
      <c r="L443" s="24" t="str">
        <f>IF($Z443="","",IF($Z443&lt;=2000,IF(INDEX(包装物料出入库明细!$P$4:$P$2003,$Z443-0)=0,"",INDEX(包装物料出入库明细!$P$4:$P$2003,$Z443-0)),IF($Z443&lt;=4000,IF(INDEX(周转筐出入库明细!$Q$4:$Q$2004,$Z443-2000)=0,"",INDEX(周转筐出入库明细!$Q$4:$Q$2004,$Z443-2000)),IF($Z443&lt;=5200,"",IF($Z443&lt;=5800,IF(INDEX(次果筐明细!$M$4:$M$603,$Z443-5200)=0,"",INDEX(次果筐明细!$M$4:$M$603,$Z443-5200)),"")))))</f>
        <v/>
      </c>
      <c r="M443" s="37" t="str">
        <f>IF($Z443="","",IF($Z443&lt;=2000,IF(INDEX(包装物料出入库明细!$R$4:$R$2003,$Z443-0)=0,"",INDEX(包装物料出入库明细!$R$4:$R$2003,$Z443-0)),IF($Z443&lt;=4000,IF(INDEX(周转筐出入库明细!$W$4:$W$2004,$Z443-2000)=0,"",INDEX(周转筐出入库明细!$W$4:$W$2004,$Z443-2000)),IF($Z443&lt;=5200,IF(INDEX(客户自备加工筐明细!$L$4:$L$1203,$Z443-4000)=0,"",INDEX(客户自备加工筐明细!$L$4:$L$1203,$Z443-4000)),IF($Z443&lt;=5800,IF(INDEX(次果筐明细!$P$4:$P$603,$Z443-5200)=0,"",INDEX(次果筐明细!$P$4:$P$603,$Z443-5200)),"")))))</f>
        <v/>
      </c>
      <c r="N443" s="16" t="str">
        <f>IF($Z443="","",IF($Z443&lt;=2000,"",IF($Z443&lt;=4000,IF(INDEX(周转筐出入库明细!$D$4:$D$2004,$Z443-2000)=0,"",INDEX(周转筐出入库明细!$D$4:$D$2004,$Z443-2000)),IF($Z443&lt;=5200,IF(INDEX(客户自备加工筐明细!$C$4:$C$1203,$Z443-4000)=0,"",INDEX(客户自备加工筐明细!$C$4:$C$1203,$Z443-4000)),IF($Z443&lt;=5800,IF(INDEX(次果筐明细!$D$4:$D$603,$Z443-5200)=0,"",INDEX(次果筐明细!$D$4:$D$603,$Z443-5200)),"")))))</f>
        <v/>
      </c>
      <c r="O443" s="40" t="str">
        <f>IF($Z443="","",IF($Z443&lt;=2000,"",IF($Z443&lt;=4000,IF(N(INDEX(周转筐出入库明细!$J$4:$J$2004,$Z443-2000))+N(INDEX(周转筐出入库明细!$K$4:$K$2004,$Z443-2000))=0,"",N(INDEX(周转筐出入库明细!$J$4:$J$2004,$Z443-2000))+N(INDEX(周转筐出入库明细!$K$4:$K$2004,$Z443-2000))),IF($Z443&lt;=5200,IF(N(INDEX(客户自备加工筐明细!$G$4:$G$1203,$Z443-4000))=0,"",N(INDEX(客户自备加工筐明细!$G$4:$G$1203,$Z443-4000))),IF($Z443&lt;=5800,IF(ISNUMBER(SEARCH("退",INDEX(次果筐明细!$F$4:$F$603,$Z443-5200)&amp;"")),"",IF(N(INDEX(次果筐明细!$G$4:$G$603,$Z443-5200))=0,"",N(INDEX(次果筐明细!$G$4:$G$603,$Z443-5200)))),"")))))</f>
        <v/>
      </c>
      <c r="P443" s="40" t="str">
        <f>IF($Z443="","",IF($Z443&lt;=2000,"",IF($Z443&lt;=4000,IF(N(INDEX(周转筐出入库明细!$I$4:$I$2004,$Z443-2000))=0,"",N(INDEX(周转筐出入库明细!$I$4:$I$2004,$Z443-2000))),IF($Z443&lt;=5200,"",IF($Z443&lt;=5800,IF(ISNUMBER(SEARCH("退",INDEX(次果筐明细!$F$4:$F$603,$Z443-5200)&amp;"")),IF(N(INDEX(次果筐明细!$G$4:$G$603,$Z443-5200))=0,"",N(INDEX(次果筐明细!$G$4:$G$603,$Z443-5200))),""),"")))))</f>
        <v/>
      </c>
      <c r="Q443" s="40" t="str">
        <f>IF($Z443="","",IF($Z443&lt;=2000,"",IF($Z443&lt;=4000,IF(N(INDEX(周转筐出入库明细!$H$4:$H$2004,$Z443-2000))=0,"",N(INDEX(周转筐出入库明细!$H$4:$H$2004,$Z443-2000))),IF($Z443&lt;=5200,IF(N(INDEX(客户自备加工筐明细!$F$4:$F$1203,$Z443-4000))=0,"",N(INDEX(客户自备加工筐明细!$F$4:$F$1203,$Z443-4000))),IF($Z443&lt;=5800,"","")))))</f>
        <v/>
      </c>
      <c r="R443" s="16" t="str">
        <f>IF($Z443="","",IF($Z443&lt;=2000,IF(INDEX(包装物料出入库明细!$O$4:$O$2003,$Z443-0)=0,"",INDEX(包装物料出入库明细!$O$4:$O$2003,$Z443-0)),IF($Z443&lt;=4000,IF(INDEX(周转筐出入库明细!$M$4:$M$2004,$Z443-2000)=0,"",INDEX(周转筐出入库明细!$M$4:$M$2004,$Z443-2000)),IF($Z443&lt;=5200,IF(INDEX(客户自备加工筐明细!$H$4:$H$1203,$Z443-4000)=0,"",INDEX(客户自备加工筐明细!$H$4:$H$1203,$Z443-4000)),IF($Z443&lt;=5800,IF(INDEX(次果筐明细!$H$4:$H$603,$Z443-5200)=0,"",INDEX(次果筐明细!$H$4:$H$603,$Z443-5200)),"")))))</f>
        <v/>
      </c>
      <c r="S443" s="22" t="str">
        <f t="shared" si="20"/>
        <v/>
      </c>
      <c r="Z443" s="10" t="str">
        <f>IFERROR(MATCH(ROW()-3,_自动清单!$CQ$4:$CQ$5803,0),"")</f>
        <v/>
      </c>
    </row>
    <row r="444" spans="1:26">
      <c r="A444" s="24" t="str">
        <f t="shared" si="18"/>
        <v/>
      </c>
      <c r="B444" s="38" t="str">
        <f>IF($Z444="","",IF($Z444&lt;=2000,IF(INDEX(包装物料出入库明细!$B$4:$B$2003,$Z444-0)=0,"",INDEX(包装物料出入库明细!$B$4:$B$2003,$Z444-0)),IF($Z444&lt;=4000,IF(INDEX(周转筐出入库明细!$B$4:$B$2004,$Z444-2000)=0,"",INDEX(周转筐出入库明细!$B$4:$B$2004,$Z444-2000)),IF($Z444&lt;=5200,IF(INDEX(客户自备加工筐明细!$B$4:$B$1203,$Z444-4000)=0,"",INDEX(客户自备加工筐明细!$B$4:$B$1203,$Z444-4000)),IF($Z444&lt;=5800,IF(INDEX(次果筐明细!$B$4:$B$603,$Z444-5200)=0,"",INDEX(次果筐明细!$B$4:$B$603,$Z444-5200)),"")))))</f>
        <v/>
      </c>
      <c r="C444" s="37" t="str">
        <f>IF($Z444="","",IF($Z444&lt;=2000,IF(INDEX(包装物料出入库明细!$D$4:$D$2003,$Z444-0)=0,"",INDEX(包装物料出入库明细!$D$4:$D$2003,$Z444-0)),IF($Z444&lt;=4000,IF(INDEX(周转筐出入库明细!$C$4:$C$2004,$Z444-2000)=0,"",INDEX(周转筐出入库明细!$C$4:$C$2004,$Z444-2000)),IF($Z444&lt;=5200,IF(INDEX(客户自备加工筐明细!$E$4:$E$1203,$Z444-4000)=0,"",INDEX(客户自备加工筐明细!$E$4:$E$1203,$Z444-4000)),IF($Z444&lt;=5800,IF(INDEX(次果筐明细!$C$4:$C$603,$Z444-5200)=0,"",INDEX(次果筐明细!$C$4:$C$603,$Z444-5200)),"")))))</f>
        <v/>
      </c>
      <c r="D444" s="37" t="str">
        <f>IF($Z444="","",IF($Z444&lt;=2000,"包装物料－"&amp;INDEX(包装物料出入库明细!$H$4:$H$2003,$Z444-0),IF($Z444&lt;=4000,"周转筐－"&amp;INDEX(周转筐出入库明细!$F$4:$F$2004,$Z444-2000),IF($Z444&lt;=5200,"客户自备筐－"&amp;INDEX(客户自备加工筐明细!$J$4:$J$1203,$Z444-4000),IF($Z444&lt;=5800,"次果筐/托盘－"&amp;INDEX(次果筐明细!$F$4:$F$603,$Z444-5200),"")))))</f>
        <v/>
      </c>
      <c r="E444" s="24" t="str">
        <f>IF($Z444="","",IF($Z444&lt;=2000,IF(INDEX(包装物料出入库明细!$C$4:$C$2003,$Z444-0)=0,"",INDEX(包装物料出入库明细!$C$4:$C$2003,$Z444-0)),IF($Z444&lt;=4000,IF(INDEX(周转筐出入库明细!$E$4:$E$2004,$Z444-2000)=0,"",INDEX(周转筐出入库明细!$E$4:$E$2004,$Z444-2000)),IF($Z444&lt;=5200,IF(INDEX(客户自备加工筐明细!$D$4:$D$1203,$Z444-4000)=0,"",INDEX(客户自备加工筐明细!$D$4:$D$1203,$Z444-4000)),IF($Z444&lt;=5800,IF(INDEX(次果筐明细!$E$4:$E$603,$Z444-5200)=0,"",INDEX(次果筐明细!$E$4:$E$603,$Z444-5200)),"")))))</f>
        <v/>
      </c>
      <c r="F444" s="24" t="str">
        <f>IF($Z444="","",IF($Z444&lt;=2000,IF(INDEX(包装物料出入库明细!$E$4:$E$2003,$Z444-0)=0,"",INDEX(包装物料出入库明细!$E$4:$E$2003,$Z444-0)),IF($Z444&lt;=4000,IF(INDEX(周转筐出入库明细!$D$4:$D$2004,$Z444-2000)=0,"",INDEX(周转筐出入库明细!$D$4:$D$2004,$Z444-2000)),IF($Z444&lt;=5200,IF(INDEX(客户自备加工筐明细!$C$4:$C$1203,$Z444-4000)=0,"",INDEX(客户自备加工筐明细!$C$4:$C$1203,$Z444-4000)),IF($Z444&lt;=5800,IF(INDEX(次果筐明细!$D$4:$D$603,$Z444-5200)=0,"",INDEX(次果筐明细!$D$4:$D$603,$Z444-5200)),"")))))</f>
        <v/>
      </c>
      <c r="G444" s="24" t="str">
        <f>IF($Z444="","",IF($Z444&lt;=2000,IF(INDEX(包装物料出入库明细!$F$4:$F$2003,$Z444-0)=0,"",INDEX(包装物料出入库明细!$F$4:$F$2003,$Z444-0)),IF($Z444&lt;=4000,"",IF($Z444&lt;=5200,"",IF($Z444&lt;=5800,"","")))))</f>
        <v/>
      </c>
      <c r="H444" s="39" t="str">
        <f>IF($Z444="","",IF($Z444&lt;=2000,IF(INDEX(包装物料出入库明细!$L$4:$L$2003,$Z444-0)=0,"",INDEX(包装物料出入库明细!$L$4:$L$2003,$Z444-0)),IF($Z444&lt;=4000,N(INDEX(周转筐出入库明细!$H$4:$H$2004,$Z444-2000))+N(INDEX(周转筐出入库明细!$I$4:$I$2004,$Z444-2000))+N(INDEX(周转筐出入库明细!$J$4:$J$2004,$Z444-2000))+N(INDEX(周转筐出入库明细!$K$4:$K$2004,$Z444-2000)),IF($Z444&lt;=5200,N(INDEX(客户自备加工筐明细!$F$4:$F$1203,$Z444-4000))+N(INDEX(客户自备加工筐明细!$G$4:$G$1203,$Z444-4000)),IF($Z444&lt;=5800,IF(INDEX(次果筐明细!$G$4:$G$603,$Z444-5200)=0,"",INDEX(次果筐明细!$G$4:$G$603,$Z444-5200)),"")))))</f>
        <v/>
      </c>
      <c r="I444" s="24" t="str">
        <f>IF($Z444="","",IF($Z444&lt;=2000,IF(INDEX(包装物料出入库明细!$G$4:$G$2003,$Z444-0)=0,"",INDEX(包装物料出入库明细!$G$4:$G$2003,$Z444-0)),IF($Z444&lt;=4000,"个",IF($Z444&lt;=5200,"个",IF($Z444&lt;=5800,"个","")))))</f>
        <v/>
      </c>
      <c r="J444" s="30" t="str">
        <f t="shared" si="19"/>
        <v/>
      </c>
      <c r="K444" s="30" t="str">
        <f>IF($Z444="","",IF($Z444&lt;=2000,IF(INDEX(包装物料出入库明细!$N$4:$N$2003,$Z444-0)=0,"",INDEX(包装物料出入库明细!$N$4:$N$2003,$Z444-0)),IF($Z444&lt;=4000,IF(INDEX(周转筐出入库明细!$P$4:$P$2004,$Z444-2000)=0,"",INDEX(周转筐出入库明细!$P$4:$P$2004,$Z444-2000)),IF($Z444&lt;=5200,"",IF($Z444&lt;=5800,N(INDEX(次果筐明细!$L$4:$L$603,$Z444-5200))+N(INDEX(次果筐明细!$J$4:$J$603,$Z444-5200)),"")))))</f>
        <v/>
      </c>
      <c r="L444" s="24" t="str">
        <f>IF($Z444="","",IF($Z444&lt;=2000,IF(INDEX(包装物料出入库明细!$P$4:$P$2003,$Z444-0)=0,"",INDEX(包装物料出入库明细!$P$4:$P$2003,$Z444-0)),IF($Z444&lt;=4000,IF(INDEX(周转筐出入库明细!$Q$4:$Q$2004,$Z444-2000)=0,"",INDEX(周转筐出入库明细!$Q$4:$Q$2004,$Z444-2000)),IF($Z444&lt;=5200,"",IF($Z444&lt;=5800,IF(INDEX(次果筐明细!$M$4:$M$603,$Z444-5200)=0,"",INDEX(次果筐明细!$M$4:$M$603,$Z444-5200)),"")))))</f>
        <v/>
      </c>
      <c r="M444" s="37" t="str">
        <f>IF($Z444="","",IF($Z444&lt;=2000,IF(INDEX(包装物料出入库明细!$R$4:$R$2003,$Z444-0)=0,"",INDEX(包装物料出入库明细!$R$4:$R$2003,$Z444-0)),IF($Z444&lt;=4000,IF(INDEX(周转筐出入库明细!$W$4:$W$2004,$Z444-2000)=0,"",INDEX(周转筐出入库明细!$W$4:$W$2004,$Z444-2000)),IF($Z444&lt;=5200,IF(INDEX(客户自备加工筐明细!$L$4:$L$1203,$Z444-4000)=0,"",INDEX(客户自备加工筐明细!$L$4:$L$1203,$Z444-4000)),IF($Z444&lt;=5800,IF(INDEX(次果筐明细!$P$4:$P$603,$Z444-5200)=0,"",INDEX(次果筐明细!$P$4:$P$603,$Z444-5200)),"")))))</f>
        <v/>
      </c>
      <c r="N444" s="16" t="str">
        <f>IF($Z444="","",IF($Z444&lt;=2000,"",IF($Z444&lt;=4000,IF(INDEX(周转筐出入库明细!$D$4:$D$2004,$Z444-2000)=0,"",INDEX(周转筐出入库明细!$D$4:$D$2004,$Z444-2000)),IF($Z444&lt;=5200,IF(INDEX(客户自备加工筐明细!$C$4:$C$1203,$Z444-4000)=0,"",INDEX(客户自备加工筐明细!$C$4:$C$1203,$Z444-4000)),IF($Z444&lt;=5800,IF(INDEX(次果筐明细!$D$4:$D$603,$Z444-5200)=0,"",INDEX(次果筐明细!$D$4:$D$603,$Z444-5200)),"")))))</f>
        <v/>
      </c>
      <c r="O444" s="40" t="str">
        <f>IF($Z444="","",IF($Z444&lt;=2000,"",IF($Z444&lt;=4000,IF(N(INDEX(周转筐出入库明细!$J$4:$J$2004,$Z444-2000))+N(INDEX(周转筐出入库明细!$K$4:$K$2004,$Z444-2000))=0,"",N(INDEX(周转筐出入库明细!$J$4:$J$2004,$Z444-2000))+N(INDEX(周转筐出入库明细!$K$4:$K$2004,$Z444-2000))),IF($Z444&lt;=5200,IF(N(INDEX(客户自备加工筐明细!$G$4:$G$1203,$Z444-4000))=0,"",N(INDEX(客户自备加工筐明细!$G$4:$G$1203,$Z444-4000))),IF($Z444&lt;=5800,IF(ISNUMBER(SEARCH("退",INDEX(次果筐明细!$F$4:$F$603,$Z444-5200)&amp;"")),"",IF(N(INDEX(次果筐明细!$G$4:$G$603,$Z444-5200))=0,"",N(INDEX(次果筐明细!$G$4:$G$603,$Z444-5200)))),"")))))</f>
        <v/>
      </c>
      <c r="P444" s="40" t="str">
        <f>IF($Z444="","",IF($Z444&lt;=2000,"",IF($Z444&lt;=4000,IF(N(INDEX(周转筐出入库明细!$I$4:$I$2004,$Z444-2000))=0,"",N(INDEX(周转筐出入库明细!$I$4:$I$2004,$Z444-2000))),IF($Z444&lt;=5200,"",IF($Z444&lt;=5800,IF(ISNUMBER(SEARCH("退",INDEX(次果筐明细!$F$4:$F$603,$Z444-5200)&amp;"")),IF(N(INDEX(次果筐明细!$G$4:$G$603,$Z444-5200))=0,"",N(INDEX(次果筐明细!$G$4:$G$603,$Z444-5200))),""),"")))))</f>
        <v/>
      </c>
      <c r="Q444" s="40" t="str">
        <f>IF($Z444="","",IF($Z444&lt;=2000,"",IF($Z444&lt;=4000,IF(N(INDEX(周转筐出入库明细!$H$4:$H$2004,$Z444-2000))=0,"",N(INDEX(周转筐出入库明细!$H$4:$H$2004,$Z444-2000))),IF($Z444&lt;=5200,IF(N(INDEX(客户自备加工筐明细!$F$4:$F$1203,$Z444-4000))=0,"",N(INDEX(客户自备加工筐明细!$F$4:$F$1203,$Z444-4000))),IF($Z444&lt;=5800,"","")))))</f>
        <v/>
      </c>
      <c r="R444" s="16" t="str">
        <f>IF($Z444="","",IF($Z444&lt;=2000,IF(INDEX(包装物料出入库明细!$O$4:$O$2003,$Z444-0)=0,"",INDEX(包装物料出入库明细!$O$4:$O$2003,$Z444-0)),IF($Z444&lt;=4000,IF(INDEX(周转筐出入库明细!$M$4:$M$2004,$Z444-2000)=0,"",INDEX(周转筐出入库明细!$M$4:$M$2004,$Z444-2000)),IF($Z444&lt;=5200,IF(INDEX(客户自备加工筐明细!$H$4:$H$1203,$Z444-4000)=0,"",INDEX(客户自备加工筐明细!$H$4:$H$1203,$Z444-4000)),IF($Z444&lt;=5800,IF(INDEX(次果筐明细!$H$4:$H$603,$Z444-5200)=0,"",INDEX(次果筐明细!$H$4:$H$603,$Z444-5200)),"")))))</f>
        <v/>
      </c>
      <c r="S444" s="22" t="str">
        <f t="shared" si="20"/>
        <v/>
      </c>
      <c r="Z444" s="10" t="str">
        <f>IFERROR(MATCH(ROW()-3,_自动清单!$CQ$4:$CQ$5803,0),"")</f>
        <v/>
      </c>
    </row>
    <row r="445" spans="1:26">
      <c r="A445" s="24" t="str">
        <f t="shared" si="18"/>
        <v/>
      </c>
      <c r="B445" s="38" t="str">
        <f>IF($Z445="","",IF($Z445&lt;=2000,IF(INDEX(包装物料出入库明细!$B$4:$B$2003,$Z445-0)=0,"",INDEX(包装物料出入库明细!$B$4:$B$2003,$Z445-0)),IF($Z445&lt;=4000,IF(INDEX(周转筐出入库明细!$B$4:$B$2004,$Z445-2000)=0,"",INDEX(周转筐出入库明细!$B$4:$B$2004,$Z445-2000)),IF($Z445&lt;=5200,IF(INDEX(客户自备加工筐明细!$B$4:$B$1203,$Z445-4000)=0,"",INDEX(客户自备加工筐明细!$B$4:$B$1203,$Z445-4000)),IF($Z445&lt;=5800,IF(INDEX(次果筐明细!$B$4:$B$603,$Z445-5200)=0,"",INDEX(次果筐明细!$B$4:$B$603,$Z445-5200)),"")))))</f>
        <v/>
      </c>
      <c r="C445" s="37" t="str">
        <f>IF($Z445="","",IF($Z445&lt;=2000,IF(INDEX(包装物料出入库明细!$D$4:$D$2003,$Z445-0)=0,"",INDEX(包装物料出入库明细!$D$4:$D$2003,$Z445-0)),IF($Z445&lt;=4000,IF(INDEX(周转筐出入库明细!$C$4:$C$2004,$Z445-2000)=0,"",INDEX(周转筐出入库明细!$C$4:$C$2004,$Z445-2000)),IF($Z445&lt;=5200,IF(INDEX(客户自备加工筐明细!$E$4:$E$1203,$Z445-4000)=0,"",INDEX(客户自备加工筐明细!$E$4:$E$1203,$Z445-4000)),IF($Z445&lt;=5800,IF(INDEX(次果筐明细!$C$4:$C$603,$Z445-5200)=0,"",INDEX(次果筐明细!$C$4:$C$603,$Z445-5200)),"")))))</f>
        <v/>
      </c>
      <c r="D445" s="37" t="str">
        <f>IF($Z445="","",IF($Z445&lt;=2000,"包装物料－"&amp;INDEX(包装物料出入库明细!$H$4:$H$2003,$Z445-0),IF($Z445&lt;=4000,"周转筐－"&amp;INDEX(周转筐出入库明细!$F$4:$F$2004,$Z445-2000),IF($Z445&lt;=5200,"客户自备筐－"&amp;INDEX(客户自备加工筐明细!$J$4:$J$1203,$Z445-4000),IF($Z445&lt;=5800,"次果筐/托盘－"&amp;INDEX(次果筐明细!$F$4:$F$603,$Z445-5200),"")))))</f>
        <v/>
      </c>
      <c r="E445" s="24" t="str">
        <f>IF($Z445="","",IF($Z445&lt;=2000,IF(INDEX(包装物料出入库明细!$C$4:$C$2003,$Z445-0)=0,"",INDEX(包装物料出入库明细!$C$4:$C$2003,$Z445-0)),IF($Z445&lt;=4000,IF(INDEX(周转筐出入库明细!$E$4:$E$2004,$Z445-2000)=0,"",INDEX(周转筐出入库明细!$E$4:$E$2004,$Z445-2000)),IF($Z445&lt;=5200,IF(INDEX(客户自备加工筐明细!$D$4:$D$1203,$Z445-4000)=0,"",INDEX(客户自备加工筐明细!$D$4:$D$1203,$Z445-4000)),IF($Z445&lt;=5800,IF(INDEX(次果筐明细!$E$4:$E$603,$Z445-5200)=0,"",INDEX(次果筐明细!$E$4:$E$603,$Z445-5200)),"")))))</f>
        <v/>
      </c>
      <c r="F445" s="24" t="str">
        <f>IF($Z445="","",IF($Z445&lt;=2000,IF(INDEX(包装物料出入库明细!$E$4:$E$2003,$Z445-0)=0,"",INDEX(包装物料出入库明细!$E$4:$E$2003,$Z445-0)),IF($Z445&lt;=4000,IF(INDEX(周转筐出入库明细!$D$4:$D$2004,$Z445-2000)=0,"",INDEX(周转筐出入库明细!$D$4:$D$2004,$Z445-2000)),IF($Z445&lt;=5200,IF(INDEX(客户自备加工筐明细!$C$4:$C$1203,$Z445-4000)=0,"",INDEX(客户自备加工筐明细!$C$4:$C$1203,$Z445-4000)),IF($Z445&lt;=5800,IF(INDEX(次果筐明细!$D$4:$D$603,$Z445-5200)=0,"",INDEX(次果筐明细!$D$4:$D$603,$Z445-5200)),"")))))</f>
        <v/>
      </c>
      <c r="G445" s="24" t="str">
        <f>IF($Z445="","",IF($Z445&lt;=2000,IF(INDEX(包装物料出入库明细!$F$4:$F$2003,$Z445-0)=0,"",INDEX(包装物料出入库明细!$F$4:$F$2003,$Z445-0)),IF($Z445&lt;=4000,"",IF($Z445&lt;=5200,"",IF($Z445&lt;=5800,"","")))))</f>
        <v/>
      </c>
      <c r="H445" s="39" t="str">
        <f>IF($Z445="","",IF($Z445&lt;=2000,IF(INDEX(包装物料出入库明细!$L$4:$L$2003,$Z445-0)=0,"",INDEX(包装物料出入库明细!$L$4:$L$2003,$Z445-0)),IF($Z445&lt;=4000,N(INDEX(周转筐出入库明细!$H$4:$H$2004,$Z445-2000))+N(INDEX(周转筐出入库明细!$I$4:$I$2004,$Z445-2000))+N(INDEX(周转筐出入库明细!$J$4:$J$2004,$Z445-2000))+N(INDEX(周转筐出入库明细!$K$4:$K$2004,$Z445-2000)),IF($Z445&lt;=5200,N(INDEX(客户自备加工筐明细!$F$4:$F$1203,$Z445-4000))+N(INDEX(客户自备加工筐明细!$G$4:$G$1203,$Z445-4000)),IF($Z445&lt;=5800,IF(INDEX(次果筐明细!$G$4:$G$603,$Z445-5200)=0,"",INDEX(次果筐明细!$G$4:$G$603,$Z445-5200)),"")))))</f>
        <v/>
      </c>
      <c r="I445" s="24" t="str">
        <f>IF($Z445="","",IF($Z445&lt;=2000,IF(INDEX(包装物料出入库明细!$G$4:$G$2003,$Z445-0)=0,"",INDEX(包装物料出入库明细!$G$4:$G$2003,$Z445-0)),IF($Z445&lt;=4000,"个",IF($Z445&lt;=5200,"个",IF($Z445&lt;=5800,"个","")))))</f>
        <v/>
      </c>
      <c r="J445" s="30" t="str">
        <f t="shared" si="19"/>
        <v/>
      </c>
      <c r="K445" s="30" t="str">
        <f>IF($Z445="","",IF($Z445&lt;=2000,IF(INDEX(包装物料出入库明细!$N$4:$N$2003,$Z445-0)=0,"",INDEX(包装物料出入库明细!$N$4:$N$2003,$Z445-0)),IF($Z445&lt;=4000,IF(INDEX(周转筐出入库明细!$P$4:$P$2004,$Z445-2000)=0,"",INDEX(周转筐出入库明细!$P$4:$P$2004,$Z445-2000)),IF($Z445&lt;=5200,"",IF($Z445&lt;=5800,N(INDEX(次果筐明细!$L$4:$L$603,$Z445-5200))+N(INDEX(次果筐明细!$J$4:$J$603,$Z445-5200)),"")))))</f>
        <v/>
      </c>
      <c r="L445" s="24" t="str">
        <f>IF($Z445="","",IF($Z445&lt;=2000,IF(INDEX(包装物料出入库明细!$P$4:$P$2003,$Z445-0)=0,"",INDEX(包装物料出入库明细!$P$4:$P$2003,$Z445-0)),IF($Z445&lt;=4000,IF(INDEX(周转筐出入库明细!$Q$4:$Q$2004,$Z445-2000)=0,"",INDEX(周转筐出入库明细!$Q$4:$Q$2004,$Z445-2000)),IF($Z445&lt;=5200,"",IF($Z445&lt;=5800,IF(INDEX(次果筐明细!$M$4:$M$603,$Z445-5200)=0,"",INDEX(次果筐明细!$M$4:$M$603,$Z445-5200)),"")))))</f>
        <v/>
      </c>
      <c r="M445" s="37" t="str">
        <f>IF($Z445="","",IF($Z445&lt;=2000,IF(INDEX(包装物料出入库明细!$R$4:$R$2003,$Z445-0)=0,"",INDEX(包装物料出入库明细!$R$4:$R$2003,$Z445-0)),IF($Z445&lt;=4000,IF(INDEX(周转筐出入库明细!$W$4:$W$2004,$Z445-2000)=0,"",INDEX(周转筐出入库明细!$W$4:$W$2004,$Z445-2000)),IF($Z445&lt;=5200,IF(INDEX(客户自备加工筐明细!$L$4:$L$1203,$Z445-4000)=0,"",INDEX(客户自备加工筐明细!$L$4:$L$1203,$Z445-4000)),IF($Z445&lt;=5800,IF(INDEX(次果筐明细!$P$4:$P$603,$Z445-5200)=0,"",INDEX(次果筐明细!$P$4:$P$603,$Z445-5200)),"")))))</f>
        <v/>
      </c>
      <c r="N445" s="16" t="str">
        <f>IF($Z445="","",IF($Z445&lt;=2000,"",IF($Z445&lt;=4000,IF(INDEX(周转筐出入库明细!$D$4:$D$2004,$Z445-2000)=0,"",INDEX(周转筐出入库明细!$D$4:$D$2004,$Z445-2000)),IF($Z445&lt;=5200,IF(INDEX(客户自备加工筐明细!$C$4:$C$1203,$Z445-4000)=0,"",INDEX(客户自备加工筐明细!$C$4:$C$1203,$Z445-4000)),IF($Z445&lt;=5800,IF(INDEX(次果筐明细!$D$4:$D$603,$Z445-5200)=0,"",INDEX(次果筐明细!$D$4:$D$603,$Z445-5200)),"")))))</f>
        <v/>
      </c>
      <c r="O445" s="40" t="str">
        <f>IF($Z445="","",IF($Z445&lt;=2000,"",IF($Z445&lt;=4000,IF(N(INDEX(周转筐出入库明细!$J$4:$J$2004,$Z445-2000))+N(INDEX(周转筐出入库明细!$K$4:$K$2004,$Z445-2000))=0,"",N(INDEX(周转筐出入库明细!$J$4:$J$2004,$Z445-2000))+N(INDEX(周转筐出入库明细!$K$4:$K$2004,$Z445-2000))),IF($Z445&lt;=5200,IF(N(INDEX(客户自备加工筐明细!$G$4:$G$1203,$Z445-4000))=0,"",N(INDEX(客户自备加工筐明细!$G$4:$G$1203,$Z445-4000))),IF($Z445&lt;=5800,IF(ISNUMBER(SEARCH("退",INDEX(次果筐明细!$F$4:$F$603,$Z445-5200)&amp;"")),"",IF(N(INDEX(次果筐明细!$G$4:$G$603,$Z445-5200))=0,"",N(INDEX(次果筐明细!$G$4:$G$603,$Z445-5200)))),"")))))</f>
        <v/>
      </c>
      <c r="P445" s="40" t="str">
        <f>IF($Z445="","",IF($Z445&lt;=2000,"",IF($Z445&lt;=4000,IF(N(INDEX(周转筐出入库明细!$I$4:$I$2004,$Z445-2000))=0,"",N(INDEX(周转筐出入库明细!$I$4:$I$2004,$Z445-2000))),IF($Z445&lt;=5200,"",IF($Z445&lt;=5800,IF(ISNUMBER(SEARCH("退",INDEX(次果筐明细!$F$4:$F$603,$Z445-5200)&amp;"")),IF(N(INDEX(次果筐明细!$G$4:$G$603,$Z445-5200))=0,"",N(INDEX(次果筐明细!$G$4:$G$603,$Z445-5200))),""),"")))))</f>
        <v/>
      </c>
      <c r="Q445" s="40" t="str">
        <f>IF($Z445="","",IF($Z445&lt;=2000,"",IF($Z445&lt;=4000,IF(N(INDEX(周转筐出入库明细!$H$4:$H$2004,$Z445-2000))=0,"",N(INDEX(周转筐出入库明细!$H$4:$H$2004,$Z445-2000))),IF($Z445&lt;=5200,IF(N(INDEX(客户自备加工筐明细!$F$4:$F$1203,$Z445-4000))=0,"",N(INDEX(客户自备加工筐明细!$F$4:$F$1203,$Z445-4000))),IF($Z445&lt;=5800,"","")))))</f>
        <v/>
      </c>
      <c r="R445" s="16" t="str">
        <f>IF($Z445="","",IF($Z445&lt;=2000,IF(INDEX(包装物料出入库明细!$O$4:$O$2003,$Z445-0)=0,"",INDEX(包装物料出入库明细!$O$4:$O$2003,$Z445-0)),IF($Z445&lt;=4000,IF(INDEX(周转筐出入库明细!$M$4:$M$2004,$Z445-2000)=0,"",INDEX(周转筐出入库明细!$M$4:$M$2004,$Z445-2000)),IF($Z445&lt;=5200,IF(INDEX(客户自备加工筐明细!$H$4:$H$1203,$Z445-4000)=0,"",INDEX(客户自备加工筐明细!$H$4:$H$1203,$Z445-4000)),IF($Z445&lt;=5800,IF(INDEX(次果筐明细!$H$4:$H$603,$Z445-5200)=0,"",INDEX(次果筐明细!$H$4:$H$603,$Z445-5200)),"")))))</f>
        <v/>
      </c>
      <c r="S445" s="22" t="str">
        <f t="shared" si="20"/>
        <v/>
      </c>
      <c r="Z445" s="10" t="str">
        <f>IFERROR(MATCH(ROW()-3,_自动清单!$CQ$4:$CQ$5803,0),"")</f>
        <v/>
      </c>
    </row>
    <row r="446" spans="1:26">
      <c r="A446" s="24" t="str">
        <f t="shared" si="18"/>
        <v/>
      </c>
      <c r="B446" s="38" t="str">
        <f>IF($Z446="","",IF($Z446&lt;=2000,IF(INDEX(包装物料出入库明细!$B$4:$B$2003,$Z446-0)=0,"",INDEX(包装物料出入库明细!$B$4:$B$2003,$Z446-0)),IF($Z446&lt;=4000,IF(INDEX(周转筐出入库明细!$B$4:$B$2004,$Z446-2000)=0,"",INDEX(周转筐出入库明细!$B$4:$B$2004,$Z446-2000)),IF($Z446&lt;=5200,IF(INDEX(客户自备加工筐明细!$B$4:$B$1203,$Z446-4000)=0,"",INDEX(客户自备加工筐明细!$B$4:$B$1203,$Z446-4000)),IF($Z446&lt;=5800,IF(INDEX(次果筐明细!$B$4:$B$603,$Z446-5200)=0,"",INDEX(次果筐明细!$B$4:$B$603,$Z446-5200)),"")))))</f>
        <v/>
      </c>
      <c r="C446" s="37" t="str">
        <f>IF($Z446="","",IF($Z446&lt;=2000,IF(INDEX(包装物料出入库明细!$D$4:$D$2003,$Z446-0)=0,"",INDEX(包装物料出入库明细!$D$4:$D$2003,$Z446-0)),IF($Z446&lt;=4000,IF(INDEX(周转筐出入库明细!$C$4:$C$2004,$Z446-2000)=0,"",INDEX(周转筐出入库明细!$C$4:$C$2004,$Z446-2000)),IF($Z446&lt;=5200,IF(INDEX(客户自备加工筐明细!$E$4:$E$1203,$Z446-4000)=0,"",INDEX(客户自备加工筐明细!$E$4:$E$1203,$Z446-4000)),IF($Z446&lt;=5800,IF(INDEX(次果筐明细!$C$4:$C$603,$Z446-5200)=0,"",INDEX(次果筐明细!$C$4:$C$603,$Z446-5200)),"")))))</f>
        <v/>
      </c>
      <c r="D446" s="37" t="str">
        <f>IF($Z446="","",IF($Z446&lt;=2000,"包装物料－"&amp;INDEX(包装物料出入库明细!$H$4:$H$2003,$Z446-0),IF($Z446&lt;=4000,"周转筐－"&amp;INDEX(周转筐出入库明细!$F$4:$F$2004,$Z446-2000),IF($Z446&lt;=5200,"客户自备筐－"&amp;INDEX(客户自备加工筐明细!$J$4:$J$1203,$Z446-4000),IF($Z446&lt;=5800,"次果筐/托盘－"&amp;INDEX(次果筐明细!$F$4:$F$603,$Z446-5200),"")))))</f>
        <v/>
      </c>
      <c r="E446" s="24" t="str">
        <f>IF($Z446="","",IF($Z446&lt;=2000,IF(INDEX(包装物料出入库明细!$C$4:$C$2003,$Z446-0)=0,"",INDEX(包装物料出入库明细!$C$4:$C$2003,$Z446-0)),IF($Z446&lt;=4000,IF(INDEX(周转筐出入库明细!$E$4:$E$2004,$Z446-2000)=0,"",INDEX(周转筐出入库明细!$E$4:$E$2004,$Z446-2000)),IF($Z446&lt;=5200,IF(INDEX(客户自备加工筐明细!$D$4:$D$1203,$Z446-4000)=0,"",INDEX(客户自备加工筐明细!$D$4:$D$1203,$Z446-4000)),IF($Z446&lt;=5800,IF(INDEX(次果筐明细!$E$4:$E$603,$Z446-5200)=0,"",INDEX(次果筐明细!$E$4:$E$603,$Z446-5200)),"")))))</f>
        <v/>
      </c>
      <c r="F446" s="24" t="str">
        <f>IF($Z446="","",IF($Z446&lt;=2000,IF(INDEX(包装物料出入库明细!$E$4:$E$2003,$Z446-0)=0,"",INDEX(包装物料出入库明细!$E$4:$E$2003,$Z446-0)),IF($Z446&lt;=4000,IF(INDEX(周转筐出入库明细!$D$4:$D$2004,$Z446-2000)=0,"",INDEX(周转筐出入库明细!$D$4:$D$2004,$Z446-2000)),IF($Z446&lt;=5200,IF(INDEX(客户自备加工筐明细!$C$4:$C$1203,$Z446-4000)=0,"",INDEX(客户自备加工筐明细!$C$4:$C$1203,$Z446-4000)),IF($Z446&lt;=5800,IF(INDEX(次果筐明细!$D$4:$D$603,$Z446-5200)=0,"",INDEX(次果筐明细!$D$4:$D$603,$Z446-5200)),"")))))</f>
        <v/>
      </c>
      <c r="G446" s="24" t="str">
        <f>IF($Z446="","",IF($Z446&lt;=2000,IF(INDEX(包装物料出入库明细!$F$4:$F$2003,$Z446-0)=0,"",INDEX(包装物料出入库明细!$F$4:$F$2003,$Z446-0)),IF($Z446&lt;=4000,"",IF($Z446&lt;=5200,"",IF($Z446&lt;=5800,"","")))))</f>
        <v/>
      </c>
      <c r="H446" s="39" t="str">
        <f>IF($Z446="","",IF($Z446&lt;=2000,IF(INDEX(包装物料出入库明细!$L$4:$L$2003,$Z446-0)=0,"",INDEX(包装物料出入库明细!$L$4:$L$2003,$Z446-0)),IF($Z446&lt;=4000,N(INDEX(周转筐出入库明细!$H$4:$H$2004,$Z446-2000))+N(INDEX(周转筐出入库明细!$I$4:$I$2004,$Z446-2000))+N(INDEX(周转筐出入库明细!$J$4:$J$2004,$Z446-2000))+N(INDEX(周转筐出入库明细!$K$4:$K$2004,$Z446-2000)),IF($Z446&lt;=5200,N(INDEX(客户自备加工筐明细!$F$4:$F$1203,$Z446-4000))+N(INDEX(客户自备加工筐明细!$G$4:$G$1203,$Z446-4000)),IF($Z446&lt;=5800,IF(INDEX(次果筐明细!$G$4:$G$603,$Z446-5200)=0,"",INDEX(次果筐明细!$G$4:$G$603,$Z446-5200)),"")))))</f>
        <v/>
      </c>
      <c r="I446" s="24" t="str">
        <f>IF($Z446="","",IF($Z446&lt;=2000,IF(INDEX(包装物料出入库明细!$G$4:$G$2003,$Z446-0)=0,"",INDEX(包装物料出入库明细!$G$4:$G$2003,$Z446-0)),IF($Z446&lt;=4000,"个",IF($Z446&lt;=5200,"个",IF($Z446&lt;=5800,"个","")))))</f>
        <v/>
      </c>
      <c r="J446" s="30" t="str">
        <f t="shared" si="19"/>
        <v/>
      </c>
      <c r="K446" s="30" t="str">
        <f>IF($Z446="","",IF($Z446&lt;=2000,IF(INDEX(包装物料出入库明细!$N$4:$N$2003,$Z446-0)=0,"",INDEX(包装物料出入库明细!$N$4:$N$2003,$Z446-0)),IF($Z446&lt;=4000,IF(INDEX(周转筐出入库明细!$P$4:$P$2004,$Z446-2000)=0,"",INDEX(周转筐出入库明细!$P$4:$P$2004,$Z446-2000)),IF($Z446&lt;=5200,"",IF($Z446&lt;=5800,N(INDEX(次果筐明细!$L$4:$L$603,$Z446-5200))+N(INDEX(次果筐明细!$J$4:$J$603,$Z446-5200)),"")))))</f>
        <v/>
      </c>
      <c r="L446" s="24" t="str">
        <f>IF($Z446="","",IF($Z446&lt;=2000,IF(INDEX(包装物料出入库明细!$P$4:$P$2003,$Z446-0)=0,"",INDEX(包装物料出入库明细!$P$4:$P$2003,$Z446-0)),IF($Z446&lt;=4000,IF(INDEX(周转筐出入库明细!$Q$4:$Q$2004,$Z446-2000)=0,"",INDEX(周转筐出入库明细!$Q$4:$Q$2004,$Z446-2000)),IF($Z446&lt;=5200,"",IF($Z446&lt;=5800,IF(INDEX(次果筐明细!$M$4:$M$603,$Z446-5200)=0,"",INDEX(次果筐明细!$M$4:$M$603,$Z446-5200)),"")))))</f>
        <v/>
      </c>
      <c r="M446" s="37" t="str">
        <f>IF($Z446="","",IF($Z446&lt;=2000,IF(INDEX(包装物料出入库明细!$R$4:$R$2003,$Z446-0)=0,"",INDEX(包装物料出入库明细!$R$4:$R$2003,$Z446-0)),IF($Z446&lt;=4000,IF(INDEX(周转筐出入库明细!$W$4:$W$2004,$Z446-2000)=0,"",INDEX(周转筐出入库明细!$W$4:$W$2004,$Z446-2000)),IF($Z446&lt;=5200,IF(INDEX(客户自备加工筐明细!$L$4:$L$1203,$Z446-4000)=0,"",INDEX(客户自备加工筐明细!$L$4:$L$1203,$Z446-4000)),IF($Z446&lt;=5800,IF(INDEX(次果筐明细!$P$4:$P$603,$Z446-5200)=0,"",INDEX(次果筐明细!$P$4:$P$603,$Z446-5200)),"")))))</f>
        <v/>
      </c>
      <c r="N446" s="16" t="str">
        <f>IF($Z446="","",IF($Z446&lt;=2000,"",IF($Z446&lt;=4000,IF(INDEX(周转筐出入库明细!$D$4:$D$2004,$Z446-2000)=0,"",INDEX(周转筐出入库明细!$D$4:$D$2004,$Z446-2000)),IF($Z446&lt;=5200,IF(INDEX(客户自备加工筐明细!$C$4:$C$1203,$Z446-4000)=0,"",INDEX(客户自备加工筐明细!$C$4:$C$1203,$Z446-4000)),IF($Z446&lt;=5800,IF(INDEX(次果筐明细!$D$4:$D$603,$Z446-5200)=0,"",INDEX(次果筐明细!$D$4:$D$603,$Z446-5200)),"")))))</f>
        <v/>
      </c>
      <c r="O446" s="40" t="str">
        <f>IF($Z446="","",IF($Z446&lt;=2000,"",IF($Z446&lt;=4000,IF(N(INDEX(周转筐出入库明细!$J$4:$J$2004,$Z446-2000))+N(INDEX(周转筐出入库明细!$K$4:$K$2004,$Z446-2000))=0,"",N(INDEX(周转筐出入库明细!$J$4:$J$2004,$Z446-2000))+N(INDEX(周转筐出入库明细!$K$4:$K$2004,$Z446-2000))),IF($Z446&lt;=5200,IF(N(INDEX(客户自备加工筐明细!$G$4:$G$1203,$Z446-4000))=0,"",N(INDEX(客户自备加工筐明细!$G$4:$G$1203,$Z446-4000))),IF($Z446&lt;=5800,IF(ISNUMBER(SEARCH("退",INDEX(次果筐明细!$F$4:$F$603,$Z446-5200)&amp;"")),"",IF(N(INDEX(次果筐明细!$G$4:$G$603,$Z446-5200))=0,"",N(INDEX(次果筐明细!$G$4:$G$603,$Z446-5200)))),"")))))</f>
        <v/>
      </c>
      <c r="P446" s="40" t="str">
        <f>IF($Z446="","",IF($Z446&lt;=2000,"",IF($Z446&lt;=4000,IF(N(INDEX(周转筐出入库明细!$I$4:$I$2004,$Z446-2000))=0,"",N(INDEX(周转筐出入库明细!$I$4:$I$2004,$Z446-2000))),IF($Z446&lt;=5200,"",IF($Z446&lt;=5800,IF(ISNUMBER(SEARCH("退",INDEX(次果筐明细!$F$4:$F$603,$Z446-5200)&amp;"")),IF(N(INDEX(次果筐明细!$G$4:$G$603,$Z446-5200))=0,"",N(INDEX(次果筐明细!$G$4:$G$603,$Z446-5200))),""),"")))))</f>
        <v/>
      </c>
      <c r="Q446" s="40" t="str">
        <f>IF($Z446="","",IF($Z446&lt;=2000,"",IF($Z446&lt;=4000,IF(N(INDEX(周转筐出入库明细!$H$4:$H$2004,$Z446-2000))=0,"",N(INDEX(周转筐出入库明细!$H$4:$H$2004,$Z446-2000))),IF($Z446&lt;=5200,IF(N(INDEX(客户自备加工筐明细!$F$4:$F$1203,$Z446-4000))=0,"",N(INDEX(客户自备加工筐明细!$F$4:$F$1203,$Z446-4000))),IF($Z446&lt;=5800,"","")))))</f>
        <v/>
      </c>
      <c r="R446" s="16" t="str">
        <f>IF($Z446="","",IF($Z446&lt;=2000,IF(INDEX(包装物料出入库明细!$O$4:$O$2003,$Z446-0)=0,"",INDEX(包装物料出入库明细!$O$4:$O$2003,$Z446-0)),IF($Z446&lt;=4000,IF(INDEX(周转筐出入库明细!$M$4:$M$2004,$Z446-2000)=0,"",INDEX(周转筐出入库明细!$M$4:$M$2004,$Z446-2000)),IF($Z446&lt;=5200,IF(INDEX(客户自备加工筐明细!$H$4:$H$1203,$Z446-4000)=0,"",INDEX(客户自备加工筐明细!$H$4:$H$1203,$Z446-4000)),IF($Z446&lt;=5800,IF(INDEX(次果筐明细!$H$4:$H$603,$Z446-5200)=0,"",INDEX(次果筐明细!$H$4:$H$603,$Z446-5200)),"")))))</f>
        <v/>
      </c>
      <c r="S446" s="22" t="str">
        <f t="shared" si="20"/>
        <v/>
      </c>
      <c r="Z446" s="10" t="str">
        <f>IFERROR(MATCH(ROW()-3,_自动清单!$CQ$4:$CQ$5803,0),"")</f>
        <v/>
      </c>
    </row>
    <row r="447" spans="1:26">
      <c r="A447" s="24" t="str">
        <f t="shared" si="18"/>
        <v/>
      </c>
      <c r="B447" s="38" t="str">
        <f>IF($Z447="","",IF($Z447&lt;=2000,IF(INDEX(包装物料出入库明细!$B$4:$B$2003,$Z447-0)=0,"",INDEX(包装物料出入库明细!$B$4:$B$2003,$Z447-0)),IF($Z447&lt;=4000,IF(INDEX(周转筐出入库明细!$B$4:$B$2004,$Z447-2000)=0,"",INDEX(周转筐出入库明细!$B$4:$B$2004,$Z447-2000)),IF($Z447&lt;=5200,IF(INDEX(客户自备加工筐明细!$B$4:$B$1203,$Z447-4000)=0,"",INDEX(客户自备加工筐明细!$B$4:$B$1203,$Z447-4000)),IF($Z447&lt;=5800,IF(INDEX(次果筐明细!$B$4:$B$603,$Z447-5200)=0,"",INDEX(次果筐明细!$B$4:$B$603,$Z447-5200)),"")))))</f>
        <v/>
      </c>
      <c r="C447" s="37" t="str">
        <f>IF($Z447="","",IF($Z447&lt;=2000,IF(INDEX(包装物料出入库明细!$D$4:$D$2003,$Z447-0)=0,"",INDEX(包装物料出入库明细!$D$4:$D$2003,$Z447-0)),IF($Z447&lt;=4000,IF(INDEX(周转筐出入库明细!$C$4:$C$2004,$Z447-2000)=0,"",INDEX(周转筐出入库明细!$C$4:$C$2004,$Z447-2000)),IF($Z447&lt;=5200,IF(INDEX(客户自备加工筐明细!$E$4:$E$1203,$Z447-4000)=0,"",INDEX(客户自备加工筐明细!$E$4:$E$1203,$Z447-4000)),IF($Z447&lt;=5800,IF(INDEX(次果筐明细!$C$4:$C$603,$Z447-5200)=0,"",INDEX(次果筐明细!$C$4:$C$603,$Z447-5200)),"")))))</f>
        <v/>
      </c>
      <c r="D447" s="37" t="str">
        <f>IF($Z447="","",IF($Z447&lt;=2000,"包装物料－"&amp;INDEX(包装物料出入库明细!$H$4:$H$2003,$Z447-0),IF($Z447&lt;=4000,"周转筐－"&amp;INDEX(周转筐出入库明细!$F$4:$F$2004,$Z447-2000),IF($Z447&lt;=5200,"客户自备筐－"&amp;INDEX(客户自备加工筐明细!$J$4:$J$1203,$Z447-4000),IF($Z447&lt;=5800,"次果筐/托盘－"&amp;INDEX(次果筐明细!$F$4:$F$603,$Z447-5200),"")))))</f>
        <v/>
      </c>
      <c r="E447" s="24" t="str">
        <f>IF($Z447="","",IF($Z447&lt;=2000,IF(INDEX(包装物料出入库明细!$C$4:$C$2003,$Z447-0)=0,"",INDEX(包装物料出入库明细!$C$4:$C$2003,$Z447-0)),IF($Z447&lt;=4000,IF(INDEX(周转筐出入库明细!$E$4:$E$2004,$Z447-2000)=0,"",INDEX(周转筐出入库明细!$E$4:$E$2004,$Z447-2000)),IF($Z447&lt;=5200,IF(INDEX(客户自备加工筐明细!$D$4:$D$1203,$Z447-4000)=0,"",INDEX(客户自备加工筐明细!$D$4:$D$1203,$Z447-4000)),IF($Z447&lt;=5800,IF(INDEX(次果筐明细!$E$4:$E$603,$Z447-5200)=0,"",INDEX(次果筐明细!$E$4:$E$603,$Z447-5200)),"")))))</f>
        <v/>
      </c>
      <c r="F447" s="24" t="str">
        <f>IF($Z447="","",IF($Z447&lt;=2000,IF(INDEX(包装物料出入库明细!$E$4:$E$2003,$Z447-0)=0,"",INDEX(包装物料出入库明细!$E$4:$E$2003,$Z447-0)),IF($Z447&lt;=4000,IF(INDEX(周转筐出入库明细!$D$4:$D$2004,$Z447-2000)=0,"",INDEX(周转筐出入库明细!$D$4:$D$2004,$Z447-2000)),IF($Z447&lt;=5200,IF(INDEX(客户自备加工筐明细!$C$4:$C$1203,$Z447-4000)=0,"",INDEX(客户自备加工筐明细!$C$4:$C$1203,$Z447-4000)),IF($Z447&lt;=5800,IF(INDEX(次果筐明细!$D$4:$D$603,$Z447-5200)=0,"",INDEX(次果筐明细!$D$4:$D$603,$Z447-5200)),"")))))</f>
        <v/>
      </c>
      <c r="G447" s="24" t="str">
        <f>IF($Z447="","",IF($Z447&lt;=2000,IF(INDEX(包装物料出入库明细!$F$4:$F$2003,$Z447-0)=0,"",INDEX(包装物料出入库明细!$F$4:$F$2003,$Z447-0)),IF($Z447&lt;=4000,"",IF($Z447&lt;=5200,"",IF($Z447&lt;=5800,"","")))))</f>
        <v/>
      </c>
      <c r="H447" s="39" t="str">
        <f>IF($Z447="","",IF($Z447&lt;=2000,IF(INDEX(包装物料出入库明细!$L$4:$L$2003,$Z447-0)=0,"",INDEX(包装物料出入库明细!$L$4:$L$2003,$Z447-0)),IF($Z447&lt;=4000,N(INDEX(周转筐出入库明细!$H$4:$H$2004,$Z447-2000))+N(INDEX(周转筐出入库明细!$I$4:$I$2004,$Z447-2000))+N(INDEX(周转筐出入库明细!$J$4:$J$2004,$Z447-2000))+N(INDEX(周转筐出入库明细!$K$4:$K$2004,$Z447-2000)),IF($Z447&lt;=5200,N(INDEX(客户自备加工筐明细!$F$4:$F$1203,$Z447-4000))+N(INDEX(客户自备加工筐明细!$G$4:$G$1203,$Z447-4000)),IF($Z447&lt;=5800,IF(INDEX(次果筐明细!$G$4:$G$603,$Z447-5200)=0,"",INDEX(次果筐明细!$G$4:$G$603,$Z447-5200)),"")))))</f>
        <v/>
      </c>
      <c r="I447" s="24" t="str">
        <f>IF($Z447="","",IF($Z447&lt;=2000,IF(INDEX(包装物料出入库明细!$G$4:$G$2003,$Z447-0)=0,"",INDEX(包装物料出入库明细!$G$4:$G$2003,$Z447-0)),IF($Z447&lt;=4000,"个",IF($Z447&lt;=5200,"个",IF($Z447&lt;=5800,"个","")))))</f>
        <v/>
      </c>
      <c r="J447" s="30" t="str">
        <f t="shared" si="19"/>
        <v/>
      </c>
      <c r="K447" s="30" t="str">
        <f>IF($Z447="","",IF($Z447&lt;=2000,IF(INDEX(包装物料出入库明细!$N$4:$N$2003,$Z447-0)=0,"",INDEX(包装物料出入库明细!$N$4:$N$2003,$Z447-0)),IF($Z447&lt;=4000,IF(INDEX(周转筐出入库明细!$P$4:$P$2004,$Z447-2000)=0,"",INDEX(周转筐出入库明细!$P$4:$P$2004,$Z447-2000)),IF($Z447&lt;=5200,"",IF($Z447&lt;=5800,N(INDEX(次果筐明细!$L$4:$L$603,$Z447-5200))+N(INDEX(次果筐明细!$J$4:$J$603,$Z447-5200)),"")))))</f>
        <v/>
      </c>
      <c r="L447" s="24" t="str">
        <f>IF($Z447="","",IF($Z447&lt;=2000,IF(INDEX(包装物料出入库明细!$P$4:$P$2003,$Z447-0)=0,"",INDEX(包装物料出入库明细!$P$4:$P$2003,$Z447-0)),IF($Z447&lt;=4000,IF(INDEX(周转筐出入库明细!$Q$4:$Q$2004,$Z447-2000)=0,"",INDEX(周转筐出入库明细!$Q$4:$Q$2004,$Z447-2000)),IF($Z447&lt;=5200,"",IF($Z447&lt;=5800,IF(INDEX(次果筐明细!$M$4:$M$603,$Z447-5200)=0,"",INDEX(次果筐明细!$M$4:$M$603,$Z447-5200)),"")))))</f>
        <v/>
      </c>
      <c r="M447" s="37" t="str">
        <f>IF($Z447="","",IF($Z447&lt;=2000,IF(INDEX(包装物料出入库明细!$R$4:$R$2003,$Z447-0)=0,"",INDEX(包装物料出入库明细!$R$4:$R$2003,$Z447-0)),IF($Z447&lt;=4000,IF(INDEX(周转筐出入库明细!$W$4:$W$2004,$Z447-2000)=0,"",INDEX(周转筐出入库明细!$W$4:$W$2004,$Z447-2000)),IF($Z447&lt;=5200,IF(INDEX(客户自备加工筐明细!$L$4:$L$1203,$Z447-4000)=0,"",INDEX(客户自备加工筐明细!$L$4:$L$1203,$Z447-4000)),IF($Z447&lt;=5800,IF(INDEX(次果筐明细!$P$4:$P$603,$Z447-5200)=0,"",INDEX(次果筐明细!$P$4:$P$603,$Z447-5200)),"")))))</f>
        <v/>
      </c>
      <c r="N447" s="16" t="str">
        <f>IF($Z447="","",IF($Z447&lt;=2000,"",IF($Z447&lt;=4000,IF(INDEX(周转筐出入库明细!$D$4:$D$2004,$Z447-2000)=0,"",INDEX(周转筐出入库明细!$D$4:$D$2004,$Z447-2000)),IF($Z447&lt;=5200,IF(INDEX(客户自备加工筐明细!$C$4:$C$1203,$Z447-4000)=0,"",INDEX(客户自备加工筐明细!$C$4:$C$1203,$Z447-4000)),IF($Z447&lt;=5800,IF(INDEX(次果筐明细!$D$4:$D$603,$Z447-5200)=0,"",INDEX(次果筐明细!$D$4:$D$603,$Z447-5200)),"")))))</f>
        <v/>
      </c>
      <c r="O447" s="40" t="str">
        <f>IF($Z447="","",IF($Z447&lt;=2000,"",IF($Z447&lt;=4000,IF(N(INDEX(周转筐出入库明细!$J$4:$J$2004,$Z447-2000))+N(INDEX(周转筐出入库明细!$K$4:$K$2004,$Z447-2000))=0,"",N(INDEX(周转筐出入库明细!$J$4:$J$2004,$Z447-2000))+N(INDEX(周转筐出入库明细!$K$4:$K$2004,$Z447-2000))),IF($Z447&lt;=5200,IF(N(INDEX(客户自备加工筐明细!$G$4:$G$1203,$Z447-4000))=0,"",N(INDEX(客户自备加工筐明细!$G$4:$G$1203,$Z447-4000))),IF($Z447&lt;=5800,IF(ISNUMBER(SEARCH("退",INDEX(次果筐明细!$F$4:$F$603,$Z447-5200)&amp;"")),"",IF(N(INDEX(次果筐明细!$G$4:$G$603,$Z447-5200))=0,"",N(INDEX(次果筐明细!$G$4:$G$603,$Z447-5200)))),"")))))</f>
        <v/>
      </c>
      <c r="P447" s="40" t="str">
        <f>IF($Z447="","",IF($Z447&lt;=2000,"",IF($Z447&lt;=4000,IF(N(INDEX(周转筐出入库明细!$I$4:$I$2004,$Z447-2000))=0,"",N(INDEX(周转筐出入库明细!$I$4:$I$2004,$Z447-2000))),IF($Z447&lt;=5200,"",IF($Z447&lt;=5800,IF(ISNUMBER(SEARCH("退",INDEX(次果筐明细!$F$4:$F$603,$Z447-5200)&amp;"")),IF(N(INDEX(次果筐明细!$G$4:$G$603,$Z447-5200))=0,"",N(INDEX(次果筐明细!$G$4:$G$603,$Z447-5200))),""),"")))))</f>
        <v/>
      </c>
      <c r="Q447" s="40" t="str">
        <f>IF($Z447="","",IF($Z447&lt;=2000,"",IF($Z447&lt;=4000,IF(N(INDEX(周转筐出入库明细!$H$4:$H$2004,$Z447-2000))=0,"",N(INDEX(周转筐出入库明细!$H$4:$H$2004,$Z447-2000))),IF($Z447&lt;=5200,IF(N(INDEX(客户自备加工筐明细!$F$4:$F$1203,$Z447-4000))=0,"",N(INDEX(客户自备加工筐明细!$F$4:$F$1203,$Z447-4000))),IF($Z447&lt;=5800,"","")))))</f>
        <v/>
      </c>
      <c r="R447" s="16" t="str">
        <f>IF($Z447="","",IF($Z447&lt;=2000,IF(INDEX(包装物料出入库明细!$O$4:$O$2003,$Z447-0)=0,"",INDEX(包装物料出入库明细!$O$4:$O$2003,$Z447-0)),IF($Z447&lt;=4000,IF(INDEX(周转筐出入库明细!$M$4:$M$2004,$Z447-2000)=0,"",INDEX(周转筐出入库明细!$M$4:$M$2004,$Z447-2000)),IF($Z447&lt;=5200,IF(INDEX(客户自备加工筐明细!$H$4:$H$1203,$Z447-4000)=0,"",INDEX(客户自备加工筐明细!$H$4:$H$1203,$Z447-4000)),IF($Z447&lt;=5800,IF(INDEX(次果筐明细!$H$4:$H$603,$Z447-5200)=0,"",INDEX(次果筐明细!$H$4:$H$603,$Z447-5200)),"")))))</f>
        <v/>
      </c>
      <c r="S447" s="22" t="str">
        <f t="shared" si="20"/>
        <v/>
      </c>
      <c r="Z447" s="10" t="str">
        <f>IFERROR(MATCH(ROW()-3,_自动清单!$CQ$4:$CQ$5803,0),"")</f>
        <v/>
      </c>
    </row>
    <row r="448" spans="1:26">
      <c r="A448" s="24" t="str">
        <f t="shared" si="18"/>
        <v/>
      </c>
      <c r="B448" s="38" t="str">
        <f>IF($Z448="","",IF($Z448&lt;=2000,IF(INDEX(包装物料出入库明细!$B$4:$B$2003,$Z448-0)=0,"",INDEX(包装物料出入库明细!$B$4:$B$2003,$Z448-0)),IF($Z448&lt;=4000,IF(INDEX(周转筐出入库明细!$B$4:$B$2004,$Z448-2000)=0,"",INDEX(周转筐出入库明细!$B$4:$B$2004,$Z448-2000)),IF($Z448&lt;=5200,IF(INDEX(客户自备加工筐明细!$B$4:$B$1203,$Z448-4000)=0,"",INDEX(客户自备加工筐明细!$B$4:$B$1203,$Z448-4000)),IF($Z448&lt;=5800,IF(INDEX(次果筐明细!$B$4:$B$603,$Z448-5200)=0,"",INDEX(次果筐明细!$B$4:$B$603,$Z448-5200)),"")))))</f>
        <v/>
      </c>
      <c r="C448" s="37" t="str">
        <f>IF($Z448="","",IF($Z448&lt;=2000,IF(INDEX(包装物料出入库明细!$D$4:$D$2003,$Z448-0)=0,"",INDEX(包装物料出入库明细!$D$4:$D$2003,$Z448-0)),IF($Z448&lt;=4000,IF(INDEX(周转筐出入库明细!$C$4:$C$2004,$Z448-2000)=0,"",INDEX(周转筐出入库明细!$C$4:$C$2004,$Z448-2000)),IF($Z448&lt;=5200,IF(INDEX(客户自备加工筐明细!$E$4:$E$1203,$Z448-4000)=0,"",INDEX(客户自备加工筐明细!$E$4:$E$1203,$Z448-4000)),IF($Z448&lt;=5800,IF(INDEX(次果筐明细!$C$4:$C$603,$Z448-5200)=0,"",INDEX(次果筐明细!$C$4:$C$603,$Z448-5200)),"")))))</f>
        <v/>
      </c>
      <c r="D448" s="37" t="str">
        <f>IF($Z448="","",IF($Z448&lt;=2000,"包装物料－"&amp;INDEX(包装物料出入库明细!$H$4:$H$2003,$Z448-0),IF($Z448&lt;=4000,"周转筐－"&amp;INDEX(周转筐出入库明细!$F$4:$F$2004,$Z448-2000),IF($Z448&lt;=5200,"客户自备筐－"&amp;INDEX(客户自备加工筐明细!$J$4:$J$1203,$Z448-4000),IF($Z448&lt;=5800,"次果筐/托盘－"&amp;INDEX(次果筐明细!$F$4:$F$603,$Z448-5200),"")))))</f>
        <v/>
      </c>
      <c r="E448" s="24" t="str">
        <f>IF($Z448="","",IF($Z448&lt;=2000,IF(INDEX(包装物料出入库明细!$C$4:$C$2003,$Z448-0)=0,"",INDEX(包装物料出入库明细!$C$4:$C$2003,$Z448-0)),IF($Z448&lt;=4000,IF(INDEX(周转筐出入库明细!$E$4:$E$2004,$Z448-2000)=0,"",INDEX(周转筐出入库明细!$E$4:$E$2004,$Z448-2000)),IF($Z448&lt;=5200,IF(INDEX(客户自备加工筐明细!$D$4:$D$1203,$Z448-4000)=0,"",INDEX(客户自备加工筐明细!$D$4:$D$1203,$Z448-4000)),IF($Z448&lt;=5800,IF(INDEX(次果筐明细!$E$4:$E$603,$Z448-5200)=0,"",INDEX(次果筐明细!$E$4:$E$603,$Z448-5200)),"")))))</f>
        <v/>
      </c>
      <c r="F448" s="24" t="str">
        <f>IF($Z448="","",IF($Z448&lt;=2000,IF(INDEX(包装物料出入库明细!$E$4:$E$2003,$Z448-0)=0,"",INDEX(包装物料出入库明细!$E$4:$E$2003,$Z448-0)),IF($Z448&lt;=4000,IF(INDEX(周转筐出入库明细!$D$4:$D$2004,$Z448-2000)=0,"",INDEX(周转筐出入库明细!$D$4:$D$2004,$Z448-2000)),IF($Z448&lt;=5200,IF(INDEX(客户自备加工筐明细!$C$4:$C$1203,$Z448-4000)=0,"",INDEX(客户自备加工筐明细!$C$4:$C$1203,$Z448-4000)),IF($Z448&lt;=5800,IF(INDEX(次果筐明细!$D$4:$D$603,$Z448-5200)=0,"",INDEX(次果筐明细!$D$4:$D$603,$Z448-5200)),"")))))</f>
        <v/>
      </c>
      <c r="G448" s="24" t="str">
        <f>IF($Z448="","",IF($Z448&lt;=2000,IF(INDEX(包装物料出入库明细!$F$4:$F$2003,$Z448-0)=0,"",INDEX(包装物料出入库明细!$F$4:$F$2003,$Z448-0)),IF($Z448&lt;=4000,"",IF($Z448&lt;=5200,"",IF($Z448&lt;=5800,"","")))))</f>
        <v/>
      </c>
      <c r="H448" s="39" t="str">
        <f>IF($Z448="","",IF($Z448&lt;=2000,IF(INDEX(包装物料出入库明细!$L$4:$L$2003,$Z448-0)=0,"",INDEX(包装物料出入库明细!$L$4:$L$2003,$Z448-0)),IF($Z448&lt;=4000,N(INDEX(周转筐出入库明细!$H$4:$H$2004,$Z448-2000))+N(INDEX(周转筐出入库明细!$I$4:$I$2004,$Z448-2000))+N(INDEX(周转筐出入库明细!$J$4:$J$2004,$Z448-2000))+N(INDEX(周转筐出入库明细!$K$4:$K$2004,$Z448-2000)),IF($Z448&lt;=5200,N(INDEX(客户自备加工筐明细!$F$4:$F$1203,$Z448-4000))+N(INDEX(客户自备加工筐明细!$G$4:$G$1203,$Z448-4000)),IF($Z448&lt;=5800,IF(INDEX(次果筐明细!$G$4:$G$603,$Z448-5200)=0,"",INDEX(次果筐明细!$G$4:$G$603,$Z448-5200)),"")))))</f>
        <v/>
      </c>
      <c r="I448" s="24" t="str">
        <f>IF($Z448="","",IF($Z448&lt;=2000,IF(INDEX(包装物料出入库明细!$G$4:$G$2003,$Z448-0)=0,"",INDEX(包装物料出入库明细!$G$4:$G$2003,$Z448-0)),IF($Z448&lt;=4000,"个",IF($Z448&lt;=5200,"个",IF($Z448&lt;=5800,"个","")))))</f>
        <v/>
      </c>
      <c r="J448" s="30" t="str">
        <f t="shared" si="19"/>
        <v/>
      </c>
      <c r="K448" s="30" t="str">
        <f>IF($Z448="","",IF($Z448&lt;=2000,IF(INDEX(包装物料出入库明细!$N$4:$N$2003,$Z448-0)=0,"",INDEX(包装物料出入库明细!$N$4:$N$2003,$Z448-0)),IF($Z448&lt;=4000,IF(INDEX(周转筐出入库明细!$P$4:$P$2004,$Z448-2000)=0,"",INDEX(周转筐出入库明细!$P$4:$P$2004,$Z448-2000)),IF($Z448&lt;=5200,"",IF($Z448&lt;=5800,N(INDEX(次果筐明细!$L$4:$L$603,$Z448-5200))+N(INDEX(次果筐明细!$J$4:$J$603,$Z448-5200)),"")))))</f>
        <v/>
      </c>
      <c r="L448" s="24" t="str">
        <f>IF($Z448="","",IF($Z448&lt;=2000,IF(INDEX(包装物料出入库明细!$P$4:$P$2003,$Z448-0)=0,"",INDEX(包装物料出入库明细!$P$4:$P$2003,$Z448-0)),IF($Z448&lt;=4000,IF(INDEX(周转筐出入库明细!$Q$4:$Q$2004,$Z448-2000)=0,"",INDEX(周转筐出入库明细!$Q$4:$Q$2004,$Z448-2000)),IF($Z448&lt;=5200,"",IF($Z448&lt;=5800,IF(INDEX(次果筐明细!$M$4:$M$603,$Z448-5200)=0,"",INDEX(次果筐明细!$M$4:$M$603,$Z448-5200)),"")))))</f>
        <v/>
      </c>
      <c r="M448" s="37" t="str">
        <f>IF($Z448="","",IF($Z448&lt;=2000,IF(INDEX(包装物料出入库明细!$R$4:$R$2003,$Z448-0)=0,"",INDEX(包装物料出入库明细!$R$4:$R$2003,$Z448-0)),IF($Z448&lt;=4000,IF(INDEX(周转筐出入库明细!$W$4:$W$2004,$Z448-2000)=0,"",INDEX(周转筐出入库明细!$W$4:$W$2004,$Z448-2000)),IF($Z448&lt;=5200,IF(INDEX(客户自备加工筐明细!$L$4:$L$1203,$Z448-4000)=0,"",INDEX(客户自备加工筐明细!$L$4:$L$1203,$Z448-4000)),IF($Z448&lt;=5800,IF(INDEX(次果筐明细!$P$4:$P$603,$Z448-5200)=0,"",INDEX(次果筐明细!$P$4:$P$603,$Z448-5200)),"")))))</f>
        <v/>
      </c>
      <c r="N448" s="16" t="str">
        <f>IF($Z448="","",IF($Z448&lt;=2000,"",IF($Z448&lt;=4000,IF(INDEX(周转筐出入库明细!$D$4:$D$2004,$Z448-2000)=0,"",INDEX(周转筐出入库明细!$D$4:$D$2004,$Z448-2000)),IF($Z448&lt;=5200,IF(INDEX(客户自备加工筐明细!$C$4:$C$1203,$Z448-4000)=0,"",INDEX(客户自备加工筐明细!$C$4:$C$1203,$Z448-4000)),IF($Z448&lt;=5800,IF(INDEX(次果筐明细!$D$4:$D$603,$Z448-5200)=0,"",INDEX(次果筐明细!$D$4:$D$603,$Z448-5200)),"")))))</f>
        <v/>
      </c>
      <c r="O448" s="40" t="str">
        <f>IF($Z448="","",IF($Z448&lt;=2000,"",IF($Z448&lt;=4000,IF(N(INDEX(周转筐出入库明细!$J$4:$J$2004,$Z448-2000))+N(INDEX(周转筐出入库明细!$K$4:$K$2004,$Z448-2000))=0,"",N(INDEX(周转筐出入库明细!$J$4:$J$2004,$Z448-2000))+N(INDEX(周转筐出入库明细!$K$4:$K$2004,$Z448-2000))),IF($Z448&lt;=5200,IF(N(INDEX(客户自备加工筐明细!$G$4:$G$1203,$Z448-4000))=0,"",N(INDEX(客户自备加工筐明细!$G$4:$G$1203,$Z448-4000))),IF($Z448&lt;=5800,IF(ISNUMBER(SEARCH("退",INDEX(次果筐明细!$F$4:$F$603,$Z448-5200)&amp;"")),"",IF(N(INDEX(次果筐明细!$G$4:$G$603,$Z448-5200))=0,"",N(INDEX(次果筐明细!$G$4:$G$603,$Z448-5200)))),"")))))</f>
        <v/>
      </c>
      <c r="P448" s="40" t="str">
        <f>IF($Z448="","",IF($Z448&lt;=2000,"",IF($Z448&lt;=4000,IF(N(INDEX(周转筐出入库明细!$I$4:$I$2004,$Z448-2000))=0,"",N(INDEX(周转筐出入库明细!$I$4:$I$2004,$Z448-2000))),IF($Z448&lt;=5200,"",IF($Z448&lt;=5800,IF(ISNUMBER(SEARCH("退",INDEX(次果筐明细!$F$4:$F$603,$Z448-5200)&amp;"")),IF(N(INDEX(次果筐明细!$G$4:$G$603,$Z448-5200))=0,"",N(INDEX(次果筐明细!$G$4:$G$603,$Z448-5200))),""),"")))))</f>
        <v/>
      </c>
      <c r="Q448" s="40" t="str">
        <f>IF($Z448="","",IF($Z448&lt;=2000,"",IF($Z448&lt;=4000,IF(N(INDEX(周转筐出入库明细!$H$4:$H$2004,$Z448-2000))=0,"",N(INDEX(周转筐出入库明细!$H$4:$H$2004,$Z448-2000))),IF($Z448&lt;=5200,IF(N(INDEX(客户自备加工筐明细!$F$4:$F$1203,$Z448-4000))=0,"",N(INDEX(客户自备加工筐明细!$F$4:$F$1203,$Z448-4000))),IF($Z448&lt;=5800,"","")))))</f>
        <v/>
      </c>
      <c r="R448" s="16" t="str">
        <f>IF($Z448="","",IF($Z448&lt;=2000,IF(INDEX(包装物料出入库明细!$O$4:$O$2003,$Z448-0)=0,"",INDEX(包装物料出入库明细!$O$4:$O$2003,$Z448-0)),IF($Z448&lt;=4000,IF(INDEX(周转筐出入库明细!$M$4:$M$2004,$Z448-2000)=0,"",INDEX(周转筐出入库明细!$M$4:$M$2004,$Z448-2000)),IF($Z448&lt;=5200,IF(INDEX(客户自备加工筐明细!$H$4:$H$1203,$Z448-4000)=0,"",INDEX(客户自备加工筐明细!$H$4:$H$1203,$Z448-4000)),IF($Z448&lt;=5800,IF(INDEX(次果筐明细!$H$4:$H$603,$Z448-5200)=0,"",INDEX(次果筐明细!$H$4:$H$603,$Z448-5200)),"")))))</f>
        <v/>
      </c>
      <c r="S448" s="22" t="str">
        <f t="shared" si="20"/>
        <v/>
      </c>
      <c r="Z448" s="10" t="str">
        <f>IFERROR(MATCH(ROW()-3,_自动清单!$CQ$4:$CQ$5803,0),"")</f>
        <v/>
      </c>
    </row>
    <row r="449" spans="1:26">
      <c r="A449" s="24" t="str">
        <f t="shared" si="18"/>
        <v/>
      </c>
      <c r="B449" s="38" t="str">
        <f>IF($Z449="","",IF($Z449&lt;=2000,IF(INDEX(包装物料出入库明细!$B$4:$B$2003,$Z449-0)=0,"",INDEX(包装物料出入库明细!$B$4:$B$2003,$Z449-0)),IF($Z449&lt;=4000,IF(INDEX(周转筐出入库明细!$B$4:$B$2004,$Z449-2000)=0,"",INDEX(周转筐出入库明细!$B$4:$B$2004,$Z449-2000)),IF($Z449&lt;=5200,IF(INDEX(客户自备加工筐明细!$B$4:$B$1203,$Z449-4000)=0,"",INDEX(客户自备加工筐明细!$B$4:$B$1203,$Z449-4000)),IF($Z449&lt;=5800,IF(INDEX(次果筐明细!$B$4:$B$603,$Z449-5200)=0,"",INDEX(次果筐明细!$B$4:$B$603,$Z449-5200)),"")))))</f>
        <v/>
      </c>
      <c r="C449" s="37" t="str">
        <f>IF($Z449="","",IF($Z449&lt;=2000,IF(INDEX(包装物料出入库明细!$D$4:$D$2003,$Z449-0)=0,"",INDEX(包装物料出入库明细!$D$4:$D$2003,$Z449-0)),IF($Z449&lt;=4000,IF(INDEX(周转筐出入库明细!$C$4:$C$2004,$Z449-2000)=0,"",INDEX(周转筐出入库明细!$C$4:$C$2004,$Z449-2000)),IF($Z449&lt;=5200,IF(INDEX(客户自备加工筐明细!$E$4:$E$1203,$Z449-4000)=0,"",INDEX(客户自备加工筐明细!$E$4:$E$1203,$Z449-4000)),IF($Z449&lt;=5800,IF(INDEX(次果筐明细!$C$4:$C$603,$Z449-5200)=0,"",INDEX(次果筐明细!$C$4:$C$603,$Z449-5200)),"")))))</f>
        <v/>
      </c>
      <c r="D449" s="37" t="str">
        <f>IF($Z449="","",IF($Z449&lt;=2000,"包装物料－"&amp;INDEX(包装物料出入库明细!$H$4:$H$2003,$Z449-0),IF($Z449&lt;=4000,"周转筐－"&amp;INDEX(周转筐出入库明细!$F$4:$F$2004,$Z449-2000),IF($Z449&lt;=5200,"客户自备筐－"&amp;INDEX(客户自备加工筐明细!$J$4:$J$1203,$Z449-4000),IF($Z449&lt;=5800,"次果筐/托盘－"&amp;INDEX(次果筐明细!$F$4:$F$603,$Z449-5200),"")))))</f>
        <v/>
      </c>
      <c r="E449" s="24" t="str">
        <f>IF($Z449="","",IF($Z449&lt;=2000,IF(INDEX(包装物料出入库明细!$C$4:$C$2003,$Z449-0)=0,"",INDEX(包装物料出入库明细!$C$4:$C$2003,$Z449-0)),IF($Z449&lt;=4000,IF(INDEX(周转筐出入库明细!$E$4:$E$2004,$Z449-2000)=0,"",INDEX(周转筐出入库明细!$E$4:$E$2004,$Z449-2000)),IF($Z449&lt;=5200,IF(INDEX(客户自备加工筐明细!$D$4:$D$1203,$Z449-4000)=0,"",INDEX(客户自备加工筐明细!$D$4:$D$1203,$Z449-4000)),IF($Z449&lt;=5800,IF(INDEX(次果筐明细!$E$4:$E$603,$Z449-5200)=0,"",INDEX(次果筐明细!$E$4:$E$603,$Z449-5200)),"")))))</f>
        <v/>
      </c>
      <c r="F449" s="24" t="str">
        <f>IF($Z449="","",IF($Z449&lt;=2000,IF(INDEX(包装物料出入库明细!$E$4:$E$2003,$Z449-0)=0,"",INDEX(包装物料出入库明细!$E$4:$E$2003,$Z449-0)),IF($Z449&lt;=4000,IF(INDEX(周转筐出入库明细!$D$4:$D$2004,$Z449-2000)=0,"",INDEX(周转筐出入库明细!$D$4:$D$2004,$Z449-2000)),IF($Z449&lt;=5200,IF(INDEX(客户自备加工筐明细!$C$4:$C$1203,$Z449-4000)=0,"",INDEX(客户自备加工筐明细!$C$4:$C$1203,$Z449-4000)),IF($Z449&lt;=5800,IF(INDEX(次果筐明细!$D$4:$D$603,$Z449-5200)=0,"",INDEX(次果筐明细!$D$4:$D$603,$Z449-5200)),"")))))</f>
        <v/>
      </c>
      <c r="G449" s="24" t="str">
        <f>IF($Z449="","",IF($Z449&lt;=2000,IF(INDEX(包装物料出入库明细!$F$4:$F$2003,$Z449-0)=0,"",INDEX(包装物料出入库明细!$F$4:$F$2003,$Z449-0)),IF($Z449&lt;=4000,"",IF($Z449&lt;=5200,"",IF($Z449&lt;=5800,"","")))))</f>
        <v/>
      </c>
      <c r="H449" s="39" t="str">
        <f>IF($Z449="","",IF($Z449&lt;=2000,IF(INDEX(包装物料出入库明细!$L$4:$L$2003,$Z449-0)=0,"",INDEX(包装物料出入库明细!$L$4:$L$2003,$Z449-0)),IF($Z449&lt;=4000,N(INDEX(周转筐出入库明细!$H$4:$H$2004,$Z449-2000))+N(INDEX(周转筐出入库明细!$I$4:$I$2004,$Z449-2000))+N(INDEX(周转筐出入库明细!$J$4:$J$2004,$Z449-2000))+N(INDEX(周转筐出入库明细!$K$4:$K$2004,$Z449-2000)),IF($Z449&lt;=5200,N(INDEX(客户自备加工筐明细!$F$4:$F$1203,$Z449-4000))+N(INDEX(客户自备加工筐明细!$G$4:$G$1203,$Z449-4000)),IF($Z449&lt;=5800,IF(INDEX(次果筐明细!$G$4:$G$603,$Z449-5200)=0,"",INDEX(次果筐明细!$G$4:$G$603,$Z449-5200)),"")))))</f>
        <v/>
      </c>
      <c r="I449" s="24" t="str">
        <f>IF($Z449="","",IF($Z449&lt;=2000,IF(INDEX(包装物料出入库明细!$G$4:$G$2003,$Z449-0)=0,"",INDEX(包装物料出入库明细!$G$4:$G$2003,$Z449-0)),IF($Z449&lt;=4000,"个",IF($Z449&lt;=5200,"个",IF($Z449&lt;=5800,"个","")))))</f>
        <v/>
      </c>
      <c r="J449" s="30" t="str">
        <f t="shared" si="19"/>
        <v/>
      </c>
      <c r="K449" s="30" t="str">
        <f>IF($Z449="","",IF($Z449&lt;=2000,IF(INDEX(包装物料出入库明细!$N$4:$N$2003,$Z449-0)=0,"",INDEX(包装物料出入库明细!$N$4:$N$2003,$Z449-0)),IF($Z449&lt;=4000,IF(INDEX(周转筐出入库明细!$P$4:$P$2004,$Z449-2000)=0,"",INDEX(周转筐出入库明细!$P$4:$P$2004,$Z449-2000)),IF($Z449&lt;=5200,"",IF($Z449&lt;=5800,N(INDEX(次果筐明细!$L$4:$L$603,$Z449-5200))+N(INDEX(次果筐明细!$J$4:$J$603,$Z449-5200)),"")))))</f>
        <v/>
      </c>
      <c r="L449" s="24" t="str">
        <f>IF($Z449="","",IF($Z449&lt;=2000,IF(INDEX(包装物料出入库明细!$P$4:$P$2003,$Z449-0)=0,"",INDEX(包装物料出入库明细!$P$4:$P$2003,$Z449-0)),IF($Z449&lt;=4000,IF(INDEX(周转筐出入库明细!$Q$4:$Q$2004,$Z449-2000)=0,"",INDEX(周转筐出入库明细!$Q$4:$Q$2004,$Z449-2000)),IF($Z449&lt;=5200,"",IF($Z449&lt;=5800,IF(INDEX(次果筐明细!$M$4:$M$603,$Z449-5200)=0,"",INDEX(次果筐明细!$M$4:$M$603,$Z449-5200)),"")))))</f>
        <v/>
      </c>
      <c r="M449" s="37" t="str">
        <f>IF($Z449="","",IF($Z449&lt;=2000,IF(INDEX(包装物料出入库明细!$R$4:$R$2003,$Z449-0)=0,"",INDEX(包装物料出入库明细!$R$4:$R$2003,$Z449-0)),IF($Z449&lt;=4000,IF(INDEX(周转筐出入库明细!$W$4:$W$2004,$Z449-2000)=0,"",INDEX(周转筐出入库明细!$W$4:$W$2004,$Z449-2000)),IF($Z449&lt;=5200,IF(INDEX(客户自备加工筐明细!$L$4:$L$1203,$Z449-4000)=0,"",INDEX(客户自备加工筐明细!$L$4:$L$1203,$Z449-4000)),IF($Z449&lt;=5800,IF(INDEX(次果筐明细!$P$4:$P$603,$Z449-5200)=0,"",INDEX(次果筐明细!$P$4:$P$603,$Z449-5200)),"")))))</f>
        <v/>
      </c>
      <c r="N449" s="16" t="str">
        <f>IF($Z449="","",IF($Z449&lt;=2000,"",IF($Z449&lt;=4000,IF(INDEX(周转筐出入库明细!$D$4:$D$2004,$Z449-2000)=0,"",INDEX(周转筐出入库明细!$D$4:$D$2004,$Z449-2000)),IF($Z449&lt;=5200,IF(INDEX(客户自备加工筐明细!$C$4:$C$1203,$Z449-4000)=0,"",INDEX(客户自备加工筐明细!$C$4:$C$1203,$Z449-4000)),IF($Z449&lt;=5800,IF(INDEX(次果筐明细!$D$4:$D$603,$Z449-5200)=0,"",INDEX(次果筐明细!$D$4:$D$603,$Z449-5200)),"")))))</f>
        <v/>
      </c>
      <c r="O449" s="40" t="str">
        <f>IF($Z449="","",IF($Z449&lt;=2000,"",IF($Z449&lt;=4000,IF(N(INDEX(周转筐出入库明细!$J$4:$J$2004,$Z449-2000))+N(INDEX(周转筐出入库明细!$K$4:$K$2004,$Z449-2000))=0,"",N(INDEX(周转筐出入库明细!$J$4:$J$2004,$Z449-2000))+N(INDEX(周转筐出入库明细!$K$4:$K$2004,$Z449-2000))),IF($Z449&lt;=5200,IF(N(INDEX(客户自备加工筐明细!$G$4:$G$1203,$Z449-4000))=0,"",N(INDEX(客户自备加工筐明细!$G$4:$G$1203,$Z449-4000))),IF($Z449&lt;=5800,IF(ISNUMBER(SEARCH("退",INDEX(次果筐明细!$F$4:$F$603,$Z449-5200)&amp;"")),"",IF(N(INDEX(次果筐明细!$G$4:$G$603,$Z449-5200))=0,"",N(INDEX(次果筐明细!$G$4:$G$603,$Z449-5200)))),"")))))</f>
        <v/>
      </c>
      <c r="P449" s="40" t="str">
        <f>IF($Z449="","",IF($Z449&lt;=2000,"",IF($Z449&lt;=4000,IF(N(INDEX(周转筐出入库明细!$I$4:$I$2004,$Z449-2000))=0,"",N(INDEX(周转筐出入库明细!$I$4:$I$2004,$Z449-2000))),IF($Z449&lt;=5200,"",IF($Z449&lt;=5800,IF(ISNUMBER(SEARCH("退",INDEX(次果筐明细!$F$4:$F$603,$Z449-5200)&amp;"")),IF(N(INDEX(次果筐明细!$G$4:$G$603,$Z449-5200))=0,"",N(INDEX(次果筐明细!$G$4:$G$603,$Z449-5200))),""),"")))))</f>
        <v/>
      </c>
      <c r="Q449" s="40" t="str">
        <f>IF($Z449="","",IF($Z449&lt;=2000,"",IF($Z449&lt;=4000,IF(N(INDEX(周转筐出入库明细!$H$4:$H$2004,$Z449-2000))=0,"",N(INDEX(周转筐出入库明细!$H$4:$H$2004,$Z449-2000))),IF($Z449&lt;=5200,IF(N(INDEX(客户自备加工筐明细!$F$4:$F$1203,$Z449-4000))=0,"",N(INDEX(客户自备加工筐明细!$F$4:$F$1203,$Z449-4000))),IF($Z449&lt;=5800,"","")))))</f>
        <v/>
      </c>
      <c r="R449" s="16" t="str">
        <f>IF($Z449="","",IF($Z449&lt;=2000,IF(INDEX(包装物料出入库明细!$O$4:$O$2003,$Z449-0)=0,"",INDEX(包装物料出入库明细!$O$4:$O$2003,$Z449-0)),IF($Z449&lt;=4000,IF(INDEX(周转筐出入库明细!$M$4:$M$2004,$Z449-2000)=0,"",INDEX(周转筐出入库明细!$M$4:$M$2004,$Z449-2000)),IF($Z449&lt;=5200,IF(INDEX(客户自备加工筐明细!$H$4:$H$1203,$Z449-4000)=0,"",INDEX(客户自备加工筐明细!$H$4:$H$1203,$Z449-4000)),IF($Z449&lt;=5800,IF(INDEX(次果筐明细!$H$4:$H$603,$Z449-5200)=0,"",INDEX(次果筐明细!$H$4:$H$603,$Z449-5200)),"")))))</f>
        <v/>
      </c>
      <c r="S449" s="22" t="str">
        <f t="shared" si="20"/>
        <v/>
      </c>
      <c r="Z449" s="10" t="str">
        <f>IFERROR(MATCH(ROW()-3,_自动清单!$CQ$4:$CQ$5803,0),"")</f>
        <v/>
      </c>
    </row>
    <row r="450" spans="1:26">
      <c r="A450" s="24" t="str">
        <f t="shared" si="18"/>
        <v/>
      </c>
      <c r="B450" s="38" t="str">
        <f>IF($Z450="","",IF($Z450&lt;=2000,IF(INDEX(包装物料出入库明细!$B$4:$B$2003,$Z450-0)=0,"",INDEX(包装物料出入库明细!$B$4:$B$2003,$Z450-0)),IF($Z450&lt;=4000,IF(INDEX(周转筐出入库明细!$B$4:$B$2004,$Z450-2000)=0,"",INDEX(周转筐出入库明细!$B$4:$B$2004,$Z450-2000)),IF($Z450&lt;=5200,IF(INDEX(客户自备加工筐明细!$B$4:$B$1203,$Z450-4000)=0,"",INDEX(客户自备加工筐明细!$B$4:$B$1203,$Z450-4000)),IF($Z450&lt;=5800,IF(INDEX(次果筐明细!$B$4:$B$603,$Z450-5200)=0,"",INDEX(次果筐明细!$B$4:$B$603,$Z450-5200)),"")))))</f>
        <v/>
      </c>
      <c r="C450" s="37" t="str">
        <f>IF($Z450="","",IF($Z450&lt;=2000,IF(INDEX(包装物料出入库明细!$D$4:$D$2003,$Z450-0)=0,"",INDEX(包装物料出入库明细!$D$4:$D$2003,$Z450-0)),IF($Z450&lt;=4000,IF(INDEX(周转筐出入库明细!$C$4:$C$2004,$Z450-2000)=0,"",INDEX(周转筐出入库明细!$C$4:$C$2004,$Z450-2000)),IF($Z450&lt;=5200,IF(INDEX(客户自备加工筐明细!$E$4:$E$1203,$Z450-4000)=0,"",INDEX(客户自备加工筐明细!$E$4:$E$1203,$Z450-4000)),IF($Z450&lt;=5800,IF(INDEX(次果筐明细!$C$4:$C$603,$Z450-5200)=0,"",INDEX(次果筐明细!$C$4:$C$603,$Z450-5200)),"")))))</f>
        <v/>
      </c>
      <c r="D450" s="37" t="str">
        <f>IF($Z450="","",IF($Z450&lt;=2000,"包装物料－"&amp;INDEX(包装物料出入库明细!$H$4:$H$2003,$Z450-0),IF($Z450&lt;=4000,"周转筐－"&amp;INDEX(周转筐出入库明细!$F$4:$F$2004,$Z450-2000),IF($Z450&lt;=5200,"客户自备筐－"&amp;INDEX(客户自备加工筐明细!$J$4:$J$1203,$Z450-4000),IF($Z450&lt;=5800,"次果筐/托盘－"&amp;INDEX(次果筐明细!$F$4:$F$603,$Z450-5200),"")))))</f>
        <v/>
      </c>
      <c r="E450" s="24" t="str">
        <f>IF($Z450="","",IF($Z450&lt;=2000,IF(INDEX(包装物料出入库明细!$C$4:$C$2003,$Z450-0)=0,"",INDEX(包装物料出入库明细!$C$4:$C$2003,$Z450-0)),IF($Z450&lt;=4000,IF(INDEX(周转筐出入库明细!$E$4:$E$2004,$Z450-2000)=0,"",INDEX(周转筐出入库明细!$E$4:$E$2004,$Z450-2000)),IF($Z450&lt;=5200,IF(INDEX(客户自备加工筐明细!$D$4:$D$1203,$Z450-4000)=0,"",INDEX(客户自备加工筐明细!$D$4:$D$1203,$Z450-4000)),IF($Z450&lt;=5800,IF(INDEX(次果筐明细!$E$4:$E$603,$Z450-5200)=0,"",INDEX(次果筐明细!$E$4:$E$603,$Z450-5200)),"")))))</f>
        <v/>
      </c>
      <c r="F450" s="24" t="str">
        <f>IF($Z450="","",IF($Z450&lt;=2000,IF(INDEX(包装物料出入库明细!$E$4:$E$2003,$Z450-0)=0,"",INDEX(包装物料出入库明细!$E$4:$E$2003,$Z450-0)),IF($Z450&lt;=4000,IF(INDEX(周转筐出入库明细!$D$4:$D$2004,$Z450-2000)=0,"",INDEX(周转筐出入库明细!$D$4:$D$2004,$Z450-2000)),IF($Z450&lt;=5200,IF(INDEX(客户自备加工筐明细!$C$4:$C$1203,$Z450-4000)=0,"",INDEX(客户自备加工筐明细!$C$4:$C$1203,$Z450-4000)),IF($Z450&lt;=5800,IF(INDEX(次果筐明细!$D$4:$D$603,$Z450-5200)=0,"",INDEX(次果筐明细!$D$4:$D$603,$Z450-5200)),"")))))</f>
        <v/>
      </c>
      <c r="G450" s="24" t="str">
        <f>IF($Z450="","",IF($Z450&lt;=2000,IF(INDEX(包装物料出入库明细!$F$4:$F$2003,$Z450-0)=0,"",INDEX(包装物料出入库明细!$F$4:$F$2003,$Z450-0)),IF($Z450&lt;=4000,"",IF($Z450&lt;=5200,"",IF($Z450&lt;=5800,"","")))))</f>
        <v/>
      </c>
      <c r="H450" s="39" t="str">
        <f>IF($Z450="","",IF($Z450&lt;=2000,IF(INDEX(包装物料出入库明细!$L$4:$L$2003,$Z450-0)=0,"",INDEX(包装物料出入库明细!$L$4:$L$2003,$Z450-0)),IF($Z450&lt;=4000,N(INDEX(周转筐出入库明细!$H$4:$H$2004,$Z450-2000))+N(INDEX(周转筐出入库明细!$I$4:$I$2004,$Z450-2000))+N(INDEX(周转筐出入库明细!$J$4:$J$2004,$Z450-2000))+N(INDEX(周转筐出入库明细!$K$4:$K$2004,$Z450-2000)),IF($Z450&lt;=5200,N(INDEX(客户自备加工筐明细!$F$4:$F$1203,$Z450-4000))+N(INDEX(客户自备加工筐明细!$G$4:$G$1203,$Z450-4000)),IF($Z450&lt;=5800,IF(INDEX(次果筐明细!$G$4:$G$603,$Z450-5200)=0,"",INDEX(次果筐明细!$G$4:$G$603,$Z450-5200)),"")))))</f>
        <v/>
      </c>
      <c r="I450" s="24" t="str">
        <f>IF($Z450="","",IF($Z450&lt;=2000,IF(INDEX(包装物料出入库明细!$G$4:$G$2003,$Z450-0)=0,"",INDEX(包装物料出入库明细!$G$4:$G$2003,$Z450-0)),IF($Z450&lt;=4000,"个",IF($Z450&lt;=5200,"个",IF($Z450&lt;=5800,"个","")))))</f>
        <v/>
      </c>
      <c r="J450" s="30" t="str">
        <f t="shared" si="19"/>
        <v/>
      </c>
      <c r="K450" s="30" t="str">
        <f>IF($Z450="","",IF($Z450&lt;=2000,IF(INDEX(包装物料出入库明细!$N$4:$N$2003,$Z450-0)=0,"",INDEX(包装物料出入库明细!$N$4:$N$2003,$Z450-0)),IF($Z450&lt;=4000,IF(INDEX(周转筐出入库明细!$P$4:$P$2004,$Z450-2000)=0,"",INDEX(周转筐出入库明细!$P$4:$P$2004,$Z450-2000)),IF($Z450&lt;=5200,"",IF($Z450&lt;=5800,N(INDEX(次果筐明细!$L$4:$L$603,$Z450-5200))+N(INDEX(次果筐明细!$J$4:$J$603,$Z450-5200)),"")))))</f>
        <v/>
      </c>
      <c r="L450" s="24" t="str">
        <f>IF($Z450="","",IF($Z450&lt;=2000,IF(INDEX(包装物料出入库明细!$P$4:$P$2003,$Z450-0)=0,"",INDEX(包装物料出入库明细!$P$4:$P$2003,$Z450-0)),IF($Z450&lt;=4000,IF(INDEX(周转筐出入库明细!$Q$4:$Q$2004,$Z450-2000)=0,"",INDEX(周转筐出入库明细!$Q$4:$Q$2004,$Z450-2000)),IF($Z450&lt;=5200,"",IF($Z450&lt;=5800,IF(INDEX(次果筐明细!$M$4:$M$603,$Z450-5200)=0,"",INDEX(次果筐明细!$M$4:$M$603,$Z450-5200)),"")))))</f>
        <v/>
      </c>
      <c r="M450" s="37" t="str">
        <f>IF($Z450="","",IF($Z450&lt;=2000,IF(INDEX(包装物料出入库明细!$R$4:$R$2003,$Z450-0)=0,"",INDEX(包装物料出入库明细!$R$4:$R$2003,$Z450-0)),IF($Z450&lt;=4000,IF(INDEX(周转筐出入库明细!$W$4:$W$2004,$Z450-2000)=0,"",INDEX(周转筐出入库明细!$W$4:$W$2004,$Z450-2000)),IF($Z450&lt;=5200,IF(INDEX(客户自备加工筐明细!$L$4:$L$1203,$Z450-4000)=0,"",INDEX(客户自备加工筐明细!$L$4:$L$1203,$Z450-4000)),IF($Z450&lt;=5800,IF(INDEX(次果筐明细!$P$4:$P$603,$Z450-5200)=0,"",INDEX(次果筐明细!$P$4:$P$603,$Z450-5200)),"")))))</f>
        <v/>
      </c>
      <c r="N450" s="16" t="str">
        <f>IF($Z450="","",IF($Z450&lt;=2000,"",IF($Z450&lt;=4000,IF(INDEX(周转筐出入库明细!$D$4:$D$2004,$Z450-2000)=0,"",INDEX(周转筐出入库明细!$D$4:$D$2004,$Z450-2000)),IF($Z450&lt;=5200,IF(INDEX(客户自备加工筐明细!$C$4:$C$1203,$Z450-4000)=0,"",INDEX(客户自备加工筐明细!$C$4:$C$1203,$Z450-4000)),IF($Z450&lt;=5800,IF(INDEX(次果筐明细!$D$4:$D$603,$Z450-5200)=0,"",INDEX(次果筐明细!$D$4:$D$603,$Z450-5200)),"")))))</f>
        <v/>
      </c>
      <c r="O450" s="40" t="str">
        <f>IF($Z450="","",IF($Z450&lt;=2000,"",IF($Z450&lt;=4000,IF(N(INDEX(周转筐出入库明细!$J$4:$J$2004,$Z450-2000))+N(INDEX(周转筐出入库明细!$K$4:$K$2004,$Z450-2000))=0,"",N(INDEX(周转筐出入库明细!$J$4:$J$2004,$Z450-2000))+N(INDEX(周转筐出入库明细!$K$4:$K$2004,$Z450-2000))),IF($Z450&lt;=5200,IF(N(INDEX(客户自备加工筐明细!$G$4:$G$1203,$Z450-4000))=0,"",N(INDEX(客户自备加工筐明细!$G$4:$G$1203,$Z450-4000))),IF($Z450&lt;=5800,IF(ISNUMBER(SEARCH("退",INDEX(次果筐明细!$F$4:$F$603,$Z450-5200)&amp;"")),"",IF(N(INDEX(次果筐明细!$G$4:$G$603,$Z450-5200))=0,"",N(INDEX(次果筐明细!$G$4:$G$603,$Z450-5200)))),"")))))</f>
        <v/>
      </c>
      <c r="P450" s="40" t="str">
        <f>IF($Z450="","",IF($Z450&lt;=2000,"",IF($Z450&lt;=4000,IF(N(INDEX(周转筐出入库明细!$I$4:$I$2004,$Z450-2000))=0,"",N(INDEX(周转筐出入库明细!$I$4:$I$2004,$Z450-2000))),IF($Z450&lt;=5200,"",IF($Z450&lt;=5800,IF(ISNUMBER(SEARCH("退",INDEX(次果筐明细!$F$4:$F$603,$Z450-5200)&amp;"")),IF(N(INDEX(次果筐明细!$G$4:$G$603,$Z450-5200))=0,"",N(INDEX(次果筐明细!$G$4:$G$603,$Z450-5200))),""),"")))))</f>
        <v/>
      </c>
      <c r="Q450" s="40" t="str">
        <f>IF($Z450="","",IF($Z450&lt;=2000,"",IF($Z450&lt;=4000,IF(N(INDEX(周转筐出入库明细!$H$4:$H$2004,$Z450-2000))=0,"",N(INDEX(周转筐出入库明细!$H$4:$H$2004,$Z450-2000))),IF($Z450&lt;=5200,IF(N(INDEX(客户自备加工筐明细!$F$4:$F$1203,$Z450-4000))=0,"",N(INDEX(客户自备加工筐明细!$F$4:$F$1203,$Z450-4000))),IF($Z450&lt;=5800,"","")))))</f>
        <v/>
      </c>
      <c r="R450" s="16" t="str">
        <f>IF($Z450="","",IF($Z450&lt;=2000,IF(INDEX(包装物料出入库明细!$O$4:$O$2003,$Z450-0)=0,"",INDEX(包装物料出入库明细!$O$4:$O$2003,$Z450-0)),IF($Z450&lt;=4000,IF(INDEX(周转筐出入库明细!$M$4:$M$2004,$Z450-2000)=0,"",INDEX(周转筐出入库明细!$M$4:$M$2004,$Z450-2000)),IF($Z450&lt;=5200,IF(INDEX(客户自备加工筐明细!$H$4:$H$1203,$Z450-4000)=0,"",INDEX(客户自备加工筐明细!$H$4:$H$1203,$Z450-4000)),IF($Z450&lt;=5800,IF(INDEX(次果筐明细!$H$4:$H$603,$Z450-5200)=0,"",INDEX(次果筐明细!$H$4:$H$603,$Z450-5200)),"")))))</f>
        <v/>
      </c>
      <c r="S450" s="22" t="str">
        <f t="shared" si="20"/>
        <v/>
      </c>
      <c r="Z450" s="10" t="str">
        <f>IFERROR(MATCH(ROW()-3,_自动清单!$CQ$4:$CQ$5803,0),"")</f>
        <v/>
      </c>
    </row>
    <row r="451" spans="1:26">
      <c r="A451" s="24" t="str">
        <f t="shared" si="18"/>
        <v/>
      </c>
      <c r="B451" s="38" t="str">
        <f>IF($Z451="","",IF($Z451&lt;=2000,IF(INDEX(包装物料出入库明细!$B$4:$B$2003,$Z451-0)=0,"",INDEX(包装物料出入库明细!$B$4:$B$2003,$Z451-0)),IF($Z451&lt;=4000,IF(INDEX(周转筐出入库明细!$B$4:$B$2004,$Z451-2000)=0,"",INDEX(周转筐出入库明细!$B$4:$B$2004,$Z451-2000)),IF($Z451&lt;=5200,IF(INDEX(客户自备加工筐明细!$B$4:$B$1203,$Z451-4000)=0,"",INDEX(客户自备加工筐明细!$B$4:$B$1203,$Z451-4000)),IF($Z451&lt;=5800,IF(INDEX(次果筐明细!$B$4:$B$603,$Z451-5200)=0,"",INDEX(次果筐明细!$B$4:$B$603,$Z451-5200)),"")))))</f>
        <v/>
      </c>
      <c r="C451" s="37" t="str">
        <f>IF($Z451="","",IF($Z451&lt;=2000,IF(INDEX(包装物料出入库明细!$D$4:$D$2003,$Z451-0)=0,"",INDEX(包装物料出入库明细!$D$4:$D$2003,$Z451-0)),IF($Z451&lt;=4000,IF(INDEX(周转筐出入库明细!$C$4:$C$2004,$Z451-2000)=0,"",INDEX(周转筐出入库明细!$C$4:$C$2004,$Z451-2000)),IF($Z451&lt;=5200,IF(INDEX(客户自备加工筐明细!$E$4:$E$1203,$Z451-4000)=0,"",INDEX(客户自备加工筐明细!$E$4:$E$1203,$Z451-4000)),IF($Z451&lt;=5800,IF(INDEX(次果筐明细!$C$4:$C$603,$Z451-5200)=0,"",INDEX(次果筐明细!$C$4:$C$603,$Z451-5200)),"")))))</f>
        <v/>
      </c>
      <c r="D451" s="37" t="str">
        <f>IF($Z451="","",IF($Z451&lt;=2000,"包装物料－"&amp;INDEX(包装物料出入库明细!$H$4:$H$2003,$Z451-0),IF($Z451&lt;=4000,"周转筐－"&amp;INDEX(周转筐出入库明细!$F$4:$F$2004,$Z451-2000),IF($Z451&lt;=5200,"客户自备筐－"&amp;INDEX(客户自备加工筐明细!$J$4:$J$1203,$Z451-4000),IF($Z451&lt;=5800,"次果筐/托盘－"&amp;INDEX(次果筐明细!$F$4:$F$603,$Z451-5200),"")))))</f>
        <v/>
      </c>
      <c r="E451" s="24" t="str">
        <f>IF($Z451="","",IF($Z451&lt;=2000,IF(INDEX(包装物料出入库明细!$C$4:$C$2003,$Z451-0)=0,"",INDEX(包装物料出入库明细!$C$4:$C$2003,$Z451-0)),IF($Z451&lt;=4000,IF(INDEX(周转筐出入库明细!$E$4:$E$2004,$Z451-2000)=0,"",INDEX(周转筐出入库明细!$E$4:$E$2004,$Z451-2000)),IF($Z451&lt;=5200,IF(INDEX(客户自备加工筐明细!$D$4:$D$1203,$Z451-4000)=0,"",INDEX(客户自备加工筐明细!$D$4:$D$1203,$Z451-4000)),IF($Z451&lt;=5800,IF(INDEX(次果筐明细!$E$4:$E$603,$Z451-5200)=0,"",INDEX(次果筐明细!$E$4:$E$603,$Z451-5200)),"")))))</f>
        <v/>
      </c>
      <c r="F451" s="24" t="str">
        <f>IF($Z451="","",IF($Z451&lt;=2000,IF(INDEX(包装物料出入库明细!$E$4:$E$2003,$Z451-0)=0,"",INDEX(包装物料出入库明细!$E$4:$E$2003,$Z451-0)),IF($Z451&lt;=4000,IF(INDEX(周转筐出入库明细!$D$4:$D$2004,$Z451-2000)=0,"",INDEX(周转筐出入库明细!$D$4:$D$2004,$Z451-2000)),IF($Z451&lt;=5200,IF(INDEX(客户自备加工筐明细!$C$4:$C$1203,$Z451-4000)=0,"",INDEX(客户自备加工筐明细!$C$4:$C$1203,$Z451-4000)),IF($Z451&lt;=5800,IF(INDEX(次果筐明细!$D$4:$D$603,$Z451-5200)=0,"",INDEX(次果筐明细!$D$4:$D$603,$Z451-5200)),"")))))</f>
        <v/>
      </c>
      <c r="G451" s="24" t="str">
        <f>IF($Z451="","",IF($Z451&lt;=2000,IF(INDEX(包装物料出入库明细!$F$4:$F$2003,$Z451-0)=0,"",INDEX(包装物料出入库明细!$F$4:$F$2003,$Z451-0)),IF($Z451&lt;=4000,"",IF($Z451&lt;=5200,"",IF($Z451&lt;=5800,"","")))))</f>
        <v/>
      </c>
      <c r="H451" s="39" t="str">
        <f>IF($Z451="","",IF($Z451&lt;=2000,IF(INDEX(包装物料出入库明细!$L$4:$L$2003,$Z451-0)=0,"",INDEX(包装物料出入库明细!$L$4:$L$2003,$Z451-0)),IF($Z451&lt;=4000,N(INDEX(周转筐出入库明细!$H$4:$H$2004,$Z451-2000))+N(INDEX(周转筐出入库明细!$I$4:$I$2004,$Z451-2000))+N(INDEX(周转筐出入库明细!$J$4:$J$2004,$Z451-2000))+N(INDEX(周转筐出入库明细!$K$4:$K$2004,$Z451-2000)),IF($Z451&lt;=5200,N(INDEX(客户自备加工筐明细!$F$4:$F$1203,$Z451-4000))+N(INDEX(客户自备加工筐明细!$G$4:$G$1203,$Z451-4000)),IF($Z451&lt;=5800,IF(INDEX(次果筐明细!$G$4:$G$603,$Z451-5200)=0,"",INDEX(次果筐明细!$G$4:$G$603,$Z451-5200)),"")))))</f>
        <v/>
      </c>
      <c r="I451" s="24" t="str">
        <f>IF($Z451="","",IF($Z451&lt;=2000,IF(INDEX(包装物料出入库明细!$G$4:$G$2003,$Z451-0)=0,"",INDEX(包装物料出入库明细!$G$4:$G$2003,$Z451-0)),IF($Z451&lt;=4000,"个",IF($Z451&lt;=5200,"个",IF($Z451&lt;=5800,"个","")))))</f>
        <v/>
      </c>
      <c r="J451" s="30" t="str">
        <f t="shared" si="19"/>
        <v/>
      </c>
      <c r="K451" s="30" t="str">
        <f>IF($Z451="","",IF($Z451&lt;=2000,IF(INDEX(包装物料出入库明细!$N$4:$N$2003,$Z451-0)=0,"",INDEX(包装物料出入库明细!$N$4:$N$2003,$Z451-0)),IF($Z451&lt;=4000,IF(INDEX(周转筐出入库明细!$P$4:$P$2004,$Z451-2000)=0,"",INDEX(周转筐出入库明细!$P$4:$P$2004,$Z451-2000)),IF($Z451&lt;=5200,"",IF($Z451&lt;=5800,N(INDEX(次果筐明细!$L$4:$L$603,$Z451-5200))+N(INDEX(次果筐明细!$J$4:$J$603,$Z451-5200)),"")))))</f>
        <v/>
      </c>
      <c r="L451" s="24" t="str">
        <f>IF($Z451="","",IF($Z451&lt;=2000,IF(INDEX(包装物料出入库明细!$P$4:$P$2003,$Z451-0)=0,"",INDEX(包装物料出入库明细!$P$4:$P$2003,$Z451-0)),IF($Z451&lt;=4000,IF(INDEX(周转筐出入库明细!$Q$4:$Q$2004,$Z451-2000)=0,"",INDEX(周转筐出入库明细!$Q$4:$Q$2004,$Z451-2000)),IF($Z451&lt;=5200,"",IF($Z451&lt;=5800,IF(INDEX(次果筐明细!$M$4:$M$603,$Z451-5200)=0,"",INDEX(次果筐明细!$M$4:$M$603,$Z451-5200)),"")))))</f>
        <v/>
      </c>
      <c r="M451" s="37" t="str">
        <f>IF($Z451="","",IF($Z451&lt;=2000,IF(INDEX(包装物料出入库明细!$R$4:$R$2003,$Z451-0)=0,"",INDEX(包装物料出入库明细!$R$4:$R$2003,$Z451-0)),IF($Z451&lt;=4000,IF(INDEX(周转筐出入库明细!$W$4:$W$2004,$Z451-2000)=0,"",INDEX(周转筐出入库明细!$W$4:$W$2004,$Z451-2000)),IF($Z451&lt;=5200,IF(INDEX(客户自备加工筐明细!$L$4:$L$1203,$Z451-4000)=0,"",INDEX(客户自备加工筐明细!$L$4:$L$1203,$Z451-4000)),IF($Z451&lt;=5800,IF(INDEX(次果筐明细!$P$4:$P$603,$Z451-5200)=0,"",INDEX(次果筐明细!$P$4:$P$603,$Z451-5200)),"")))))</f>
        <v/>
      </c>
      <c r="N451" s="16" t="str">
        <f>IF($Z451="","",IF($Z451&lt;=2000,"",IF($Z451&lt;=4000,IF(INDEX(周转筐出入库明细!$D$4:$D$2004,$Z451-2000)=0,"",INDEX(周转筐出入库明细!$D$4:$D$2004,$Z451-2000)),IF($Z451&lt;=5200,IF(INDEX(客户自备加工筐明细!$C$4:$C$1203,$Z451-4000)=0,"",INDEX(客户自备加工筐明细!$C$4:$C$1203,$Z451-4000)),IF($Z451&lt;=5800,IF(INDEX(次果筐明细!$D$4:$D$603,$Z451-5200)=0,"",INDEX(次果筐明细!$D$4:$D$603,$Z451-5200)),"")))))</f>
        <v/>
      </c>
      <c r="O451" s="40" t="str">
        <f>IF($Z451="","",IF($Z451&lt;=2000,"",IF($Z451&lt;=4000,IF(N(INDEX(周转筐出入库明细!$J$4:$J$2004,$Z451-2000))+N(INDEX(周转筐出入库明细!$K$4:$K$2004,$Z451-2000))=0,"",N(INDEX(周转筐出入库明细!$J$4:$J$2004,$Z451-2000))+N(INDEX(周转筐出入库明细!$K$4:$K$2004,$Z451-2000))),IF($Z451&lt;=5200,IF(N(INDEX(客户自备加工筐明细!$G$4:$G$1203,$Z451-4000))=0,"",N(INDEX(客户自备加工筐明细!$G$4:$G$1203,$Z451-4000))),IF($Z451&lt;=5800,IF(ISNUMBER(SEARCH("退",INDEX(次果筐明细!$F$4:$F$603,$Z451-5200)&amp;"")),"",IF(N(INDEX(次果筐明细!$G$4:$G$603,$Z451-5200))=0,"",N(INDEX(次果筐明细!$G$4:$G$603,$Z451-5200)))),"")))))</f>
        <v/>
      </c>
      <c r="P451" s="40" t="str">
        <f>IF($Z451="","",IF($Z451&lt;=2000,"",IF($Z451&lt;=4000,IF(N(INDEX(周转筐出入库明细!$I$4:$I$2004,$Z451-2000))=0,"",N(INDEX(周转筐出入库明细!$I$4:$I$2004,$Z451-2000))),IF($Z451&lt;=5200,"",IF($Z451&lt;=5800,IF(ISNUMBER(SEARCH("退",INDEX(次果筐明细!$F$4:$F$603,$Z451-5200)&amp;"")),IF(N(INDEX(次果筐明细!$G$4:$G$603,$Z451-5200))=0,"",N(INDEX(次果筐明细!$G$4:$G$603,$Z451-5200))),""),"")))))</f>
        <v/>
      </c>
      <c r="Q451" s="40" t="str">
        <f>IF($Z451="","",IF($Z451&lt;=2000,"",IF($Z451&lt;=4000,IF(N(INDEX(周转筐出入库明细!$H$4:$H$2004,$Z451-2000))=0,"",N(INDEX(周转筐出入库明细!$H$4:$H$2004,$Z451-2000))),IF($Z451&lt;=5200,IF(N(INDEX(客户自备加工筐明细!$F$4:$F$1203,$Z451-4000))=0,"",N(INDEX(客户自备加工筐明细!$F$4:$F$1203,$Z451-4000))),IF($Z451&lt;=5800,"","")))))</f>
        <v/>
      </c>
      <c r="R451" s="16" t="str">
        <f>IF($Z451="","",IF($Z451&lt;=2000,IF(INDEX(包装物料出入库明细!$O$4:$O$2003,$Z451-0)=0,"",INDEX(包装物料出入库明细!$O$4:$O$2003,$Z451-0)),IF($Z451&lt;=4000,IF(INDEX(周转筐出入库明细!$M$4:$M$2004,$Z451-2000)=0,"",INDEX(周转筐出入库明细!$M$4:$M$2004,$Z451-2000)),IF($Z451&lt;=5200,IF(INDEX(客户自备加工筐明细!$H$4:$H$1203,$Z451-4000)=0,"",INDEX(客户自备加工筐明细!$H$4:$H$1203,$Z451-4000)),IF($Z451&lt;=5800,IF(INDEX(次果筐明细!$H$4:$H$603,$Z451-5200)=0,"",INDEX(次果筐明细!$H$4:$H$603,$Z451-5200)),"")))))</f>
        <v/>
      </c>
      <c r="S451" s="22" t="str">
        <f t="shared" si="20"/>
        <v/>
      </c>
      <c r="Z451" s="10" t="str">
        <f>IFERROR(MATCH(ROW()-3,_自动清单!$CQ$4:$CQ$5803,0),"")</f>
        <v/>
      </c>
    </row>
    <row r="452" spans="1:26">
      <c r="A452" s="24" t="str">
        <f t="shared" ref="A452:A515" si="21">IF($B452="","",ROW()-3)</f>
        <v/>
      </c>
      <c r="B452" s="38" t="str">
        <f>IF($Z452="","",IF($Z452&lt;=2000,IF(INDEX(包装物料出入库明细!$B$4:$B$2003,$Z452-0)=0,"",INDEX(包装物料出入库明细!$B$4:$B$2003,$Z452-0)),IF($Z452&lt;=4000,IF(INDEX(周转筐出入库明细!$B$4:$B$2004,$Z452-2000)=0,"",INDEX(周转筐出入库明细!$B$4:$B$2004,$Z452-2000)),IF($Z452&lt;=5200,IF(INDEX(客户自备加工筐明细!$B$4:$B$1203,$Z452-4000)=0,"",INDEX(客户自备加工筐明细!$B$4:$B$1203,$Z452-4000)),IF($Z452&lt;=5800,IF(INDEX(次果筐明细!$B$4:$B$603,$Z452-5200)=0,"",INDEX(次果筐明细!$B$4:$B$603,$Z452-5200)),"")))))</f>
        <v/>
      </c>
      <c r="C452" s="37" t="str">
        <f>IF($Z452="","",IF($Z452&lt;=2000,IF(INDEX(包装物料出入库明细!$D$4:$D$2003,$Z452-0)=0,"",INDEX(包装物料出入库明细!$D$4:$D$2003,$Z452-0)),IF($Z452&lt;=4000,IF(INDEX(周转筐出入库明细!$C$4:$C$2004,$Z452-2000)=0,"",INDEX(周转筐出入库明细!$C$4:$C$2004,$Z452-2000)),IF($Z452&lt;=5200,IF(INDEX(客户自备加工筐明细!$E$4:$E$1203,$Z452-4000)=0,"",INDEX(客户自备加工筐明细!$E$4:$E$1203,$Z452-4000)),IF($Z452&lt;=5800,IF(INDEX(次果筐明细!$C$4:$C$603,$Z452-5200)=0,"",INDEX(次果筐明细!$C$4:$C$603,$Z452-5200)),"")))))</f>
        <v/>
      </c>
      <c r="D452" s="37" t="str">
        <f>IF($Z452="","",IF($Z452&lt;=2000,"包装物料－"&amp;INDEX(包装物料出入库明细!$H$4:$H$2003,$Z452-0),IF($Z452&lt;=4000,"周转筐－"&amp;INDEX(周转筐出入库明细!$F$4:$F$2004,$Z452-2000),IF($Z452&lt;=5200,"客户自备筐－"&amp;INDEX(客户自备加工筐明细!$J$4:$J$1203,$Z452-4000),IF($Z452&lt;=5800,"次果筐/托盘－"&amp;INDEX(次果筐明细!$F$4:$F$603,$Z452-5200),"")))))</f>
        <v/>
      </c>
      <c r="E452" s="24" t="str">
        <f>IF($Z452="","",IF($Z452&lt;=2000,IF(INDEX(包装物料出入库明细!$C$4:$C$2003,$Z452-0)=0,"",INDEX(包装物料出入库明细!$C$4:$C$2003,$Z452-0)),IF($Z452&lt;=4000,IF(INDEX(周转筐出入库明细!$E$4:$E$2004,$Z452-2000)=0,"",INDEX(周转筐出入库明细!$E$4:$E$2004,$Z452-2000)),IF($Z452&lt;=5200,IF(INDEX(客户自备加工筐明细!$D$4:$D$1203,$Z452-4000)=0,"",INDEX(客户自备加工筐明细!$D$4:$D$1203,$Z452-4000)),IF($Z452&lt;=5800,IF(INDEX(次果筐明细!$E$4:$E$603,$Z452-5200)=0,"",INDEX(次果筐明细!$E$4:$E$603,$Z452-5200)),"")))))</f>
        <v/>
      </c>
      <c r="F452" s="24" t="str">
        <f>IF($Z452="","",IF($Z452&lt;=2000,IF(INDEX(包装物料出入库明细!$E$4:$E$2003,$Z452-0)=0,"",INDEX(包装物料出入库明细!$E$4:$E$2003,$Z452-0)),IF($Z452&lt;=4000,IF(INDEX(周转筐出入库明细!$D$4:$D$2004,$Z452-2000)=0,"",INDEX(周转筐出入库明细!$D$4:$D$2004,$Z452-2000)),IF($Z452&lt;=5200,IF(INDEX(客户自备加工筐明细!$C$4:$C$1203,$Z452-4000)=0,"",INDEX(客户自备加工筐明细!$C$4:$C$1203,$Z452-4000)),IF($Z452&lt;=5800,IF(INDEX(次果筐明细!$D$4:$D$603,$Z452-5200)=0,"",INDEX(次果筐明细!$D$4:$D$603,$Z452-5200)),"")))))</f>
        <v/>
      </c>
      <c r="G452" s="24" t="str">
        <f>IF($Z452="","",IF($Z452&lt;=2000,IF(INDEX(包装物料出入库明细!$F$4:$F$2003,$Z452-0)=0,"",INDEX(包装物料出入库明细!$F$4:$F$2003,$Z452-0)),IF($Z452&lt;=4000,"",IF($Z452&lt;=5200,"",IF($Z452&lt;=5800,"","")))))</f>
        <v/>
      </c>
      <c r="H452" s="39" t="str">
        <f>IF($Z452="","",IF($Z452&lt;=2000,IF(INDEX(包装物料出入库明细!$L$4:$L$2003,$Z452-0)=0,"",INDEX(包装物料出入库明细!$L$4:$L$2003,$Z452-0)),IF($Z452&lt;=4000,N(INDEX(周转筐出入库明细!$H$4:$H$2004,$Z452-2000))+N(INDEX(周转筐出入库明细!$I$4:$I$2004,$Z452-2000))+N(INDEX(周转筐出入库明细!$J$4:$J$2004,$Z452-2000))+N(INDEX(周转筐出入库明细!$K$4:$K$2004,$Z452-2000)),IF($Z452&lt;=5200,N(INDEX(客户自备加工筐明细!$F$4:$F$1203,$Z452-4000))+N(INDEX(客户自备加工筐明细!$G$4:$G$1203,$Z452-4000)),IF($Z452&lt;=5800,IF(INDEX(次果筐明细!$G$4:$G$603,$Z452-5200)=0,"",INDEX(次果筐明细!$G$4:$G$603,$Z452-5200)),"")))))</f>
        <v/>
      </c>
      <c r="I452" s="24" t="str">
        <f>IF($Z452="","",IF($Z452&lt;=2000,IF(INDEX(包装物料出入库明细!$G$4:$G$2003,$Z452-0)=0,"",INDEX(包装物料出入库明细!$G$4:$G$2003,$Z452-0)),IF($Z452&lt;=4000,"个",IF($Z452&lt;=5200,"个",IF($Z452&lt;=5800,"个","")))))</f>
        <v/>
      </c>
      <c r="J452" s="30" t="str">
        <f t="shared" ref="J452:J515" si="22">IF($Z452="","",IF($Z452&lt;=2000,"",IF($Z452&lt;=4000,"",IF($Z452&lt;=5200,"",IF($Z452&lt;=5800,"","")))))</f>
        <v/>
      </c>
      <c r="K452" s="30" t="str">
        <f>IF($Z452="","",IF($Z452&lt;=2000,IF(INDEX(包装物料出入库明细!$N$4:$N$2003,$Z452-0)=0,"",INDEX(包装物料出入库明细!$N$4:$N$2003,$Z452-0)),IF($Z452&lt;=4000,IF(INDEX(周转筐出入库明细!$P$4:$P$2004,$Z452-2000)=0,"",INDEX(周转筐出入库明细!$P$4:$P$2004,$Z452-2000)),IF($Z452&lt;=5200,"",IF($Z452&lt;=5800,N(INDEX(次果筐明细!$L$4:$L$603,$Z452-5200))+N(INDEX(次果筐明细!$J$4:$J$603,$Z452-5200)),"")))))</f>
        <v/>
      </c>
      <c r="L452" s="24" t="str">
        <f>IF($Z452="","",IF($Z452&lt;=2000,IF(INDEX(包装物料出入库明细!$P$4:$P$2003,$Z452-0)=0,"",INDEX(包装物料出入库明细!$P$4:$P$2003,$Z452-0)),IF($Z452&lt;=4000,IF(INDEX(周转筐出入库明细!$Q$4:$Q$2004,$Z452-2000)=0,"",INDEX(周转筐出入库明细!$Q$4:$Q$2004,$Z452-2000)),IF($Z452&lt;=5200,"",IF($Z452&lt;=5800,IF(INDEX(次果筐明细!$M$4:$M$603,$Z452-5200)=0,"",INDEX(次果筐明细!$M$4:$M$603,$Z452-5200)),"")))))</f>
        <v/>
      </c>
      <c r="M452" s="37" t="str">
        <f>IF($Z452="","",IF($Z452&lt;=2000,IF(INDEX(包装物料出入库明细!$R$4:$R$2003,$Z452-0)=0,"",INDEX(包装物料出入库明细!$R$4:$R$2003,$Z452-0)),IF($Z452&lt;=4000,IF(INDEX(周转筐出入库明细!$W$4:$W$2004,$Z452-2000)=0,"",INDEX(周转筐出入库明细!$W$4:$W$2004,$Z452-2000)),IF($Z452&lt;=5200,IF(INDEX(客户自备加工筐明细!$L$4:$L$1203,$Z452-4000)=0,"",INDEX(客户自备加工筐明细!$L$4:$L$1203,$Z452-4000)),IF($Z452&lt;=5800,IF(INDEX(次果筐明细!$P$4:$P$603,$Z452-5200)=0,"",INDEX(次果筐明细!$P$4:$P$603,$Z452-5200)),"")))))</f>
        <v/>
      </c>
      <c r="N452" s="16" t="str">
        <f>IF($Z452="","",IF($Z452&lt;=2000,"",IF($Z452&lt;=4000,IF(INDEX(周转筐出入库明细!$D$4:$D$2004,$Z452-2000)=0,"",INDEX(周转筐出入库明细!$D$4:$D$2004,$Z452-2000)),IF($Z452&lt;=5200,IF(INDEX(客户自备加工筐明细!$C$4:$C$1203,$Z452-4000)=0,"",INDEX(客户自备加工筐明细!$C$4:$C$1203,$Z452-4000)),IF($Z452&lt;=5800,IF(INDEX(次果筐明细!$D$4:$D$603,$Z452-5200)=0,"",INDEX(次果筐明细!$D$4:$D$603,$Z452-5200)),"")))))</f>
        <v/>
      </c>
      <c r="O452" s="40" t="str">
        <f>IF($Z452="","",IF($Z452&lt;=2000,"",IF($Z452&lt;=4000,IF(N(INDEX(周转筐出入库明细!$J$4:$J$2004,$Z452-2000))+N(INDEX(周转筐出入库明细!$K$4:$K$2004,$Z452-2000))=0,"",N(INDEX(周转筐出入库明细!$J$4:$J$2004,$Z452-2000))+N(INDEX(周转筐出入库明细!$K$4:$K$2004,$Z452-2000))),IF($Z452&lt;=5200,IF(N(INDEX(客户自备加工筐明细!$G$4:$G$1203,$Z452-4000))=0,"",N(INDEX(客户自备加工筐明细!$G$4:$G$1203,$Z452-4000))),IF($Z452&lt;=5800,IF(ISNUMBER(SEARCH("退",INDEX(次果筐明细!$F$4:$F$603,$Z452-5200)&amp;"")),"",IF(N(INDEX(次果筐明细!$G$4:$G$603,$Z452-5200))=0,"",N(INDEX(次果筐明细!$G$4:$G$603,$Z452-5200)))),"")))))</f>
        <v/>
      </c>
      <c r="P452" s="40" t="str">
        <f>IF($Z452="","",IF($Z452&lt;=2000,"",IF($Z452&lt;=4000,IF(N(INDEX(周转筐出入库明细!$I$4:$I$2004,$Z452-2000))=0,"",N(INDEX(周转筐出入库明细!$I$4:$I$2004,$Z452-2000))),IF($Z452&lt;=5200,"",IF($Z452&lt;=5800,IF(ISNUMBER(SEARCH("退",INDEX(次果筐明细!$F$4:$F$603,$Z452-5200)&amp;"")),IF(N(INDEX(次果筐明细!$G$4:$G$603,$Z452-5200))=0,"",N(INDEX(次果筐明细!$G$4:$G$603,$Z452-5200))),""),"")))))</f>
        <v/>
      </c>
      <c r="Q452" s="40" t="str">
        <f>IF($Z452="","",IF($Z452&lt;=2000,"",IF($Z452&lt;=4000,IF(N(INDEX(周转筐出入库明细!$H$4:$H$2004,$Z452-2000))=0,"",N(INDEX(周转筐出入库明细!$H$4:$H$2004,$Z452-2000))),IF($Z452&lt;=5200,IF(N(INDEX(客户自备加工筐明细!$F$4:$F$1203,$Z452-4000))=0,"",N(INDEX(客户自备加工筐明细!$F$4:$F$1203,$Z452-4000))),IF($Z452&lt;=5800,"","")))))</f>
        <v/>
      </c>
      <c r="R452" s="16" t="str">
        <f>IF($Z452="","",IF($Z452&lt;=2000,IF(INDEX(包装物料出入库明细!$O$4:$O$2003,$Z452-0)=0,"",INDEX(包装物料出入库明细!$O$4:$O$2003,$Z452-0)),IF($Z452&lt;=4000,IF(INDEX(周转筐出入库明细!$M$4:$M$2004,$Z452-2000)=0,"",INDEX(周转筐出入库明细!$M$4:$M$2004,$Z452-2000)),IF($Z452&lt;=5200,IF(INDEX(客户自备加工筐明细!$H$4:$H$1203,$Z452-4000)=0,"",INDEX(客户自备加工筐明细!$H$4:$H$1203,$Z452-4000)),IF($Z452&lt;=5800,IF(INDEX(次果筐明细!$H$4:$H$603,$Z452-5200)=0,"",INDEX(次果筐明细!$H$4:$H$603,$Z452-5200)),"")))))</f>
        <v/>
      </c>
      <c r="S452" s="22" t="str">
        <f t="shared" ref="S452:S515" si="23">IF($N452="","",IF(OR(LEFT($N452,2)="自备",AND($Z452&gt;4000,$Z452&lt;=5200)),"自备筐","公司筐"))</f>
        <v/>
      </c>
      <c r="Z452" s="10" t="str">
        <f>IFERROR(MATCH(ROW()-3,_自动清单!$CQ$4:$CQ$5803,0),"")</f>
        <v/>
      </c>
    </row>
    <row r="453" spans="1:26">
      <c r="A453" s="24" t="str">
        <f t="shared" si="21"/>
        <v/>
      </c>
      <c r="B453" s="38" t="str">
        <f>IF($Z453="","",IF($Z453&lt;=2000,IF(INDEX(包装物料出入库明细!$B$4:$B$2003,$Z453-0)=0,"",INDEX(包装物料出入库明细!$B$4:$B$2003,$Z453-0)),IF($Z453&lt;=4000,IF(INDEX(周转筐出入库明细!$B$4:$B$2004,$Z453-2000)=0,"",INDEX(周转筐出入库明细!$B$4:$B$2004,$Z453-2000)),IF($Z453&lt;=5200,IF(INDEX(客户自备加工筐明细!$B$4:$B$1203,$Z453-4000)=0,"",INDEX(客户自备加工筐明细!$B$4:$B$1203,$Z453-4000)),IF($Z453&lt;=5800,IF(INDEX(次果筐明细!$B$4:$B$603,$Z453-5200)=0,"",INDEX(次果筐明细!$B$4:$B$603,$Z453-5200)),"")))))</f>
        <v/>
      </c>
      <c r="C453" s="37" t="str">
        <f>IF($Z453="","",IF($Z453&lt;=2000,IF(INDEX(包装物料出入库明细!$D$4:$D$2003,$Z453-0)=0,"",INDEX(包装物料出入库明细!$D$4:$D$2003,$Z453-0)),IF($Z453&lt;=4000,IF(INDEX(周转筐出入库明细!$C$4:$C$2004,$Z453-2000)=0,"",INDEX(周转筐出入库明细!$C$4:$C$2004,$Z453-2000)),IF($Z453&lt;=5200,IF(INDEX(客户自备加工筐明细!$E$4:$E$1203,$Z453-4000)=0,"",INDEX(客户自备加工筐明细!$E$4:$E$1203,$Z453-4000)),IF($Z453&lt;=5800,IF(INDEX(次果筐明细!$C$4:$C$603,$Z453-5200)=0,"",INDEX(次果筐明细!$C$4:$C$603,$Z453-5200)),"")))))</f>
        <v/>
      </c>
      <c r="D453" s="37" t="str">
        <f>IF($Z453="","",IF($Z453&lt;=2000,"包装物料－"&amp;INDEX(包装物料出入库明细!$H$4:$H$2003,$Z453-0),IF($Z453&lt;=4000,"周转筐－"&amp;INDEX(周转筐出入库明细!$F$4:$F$2004,$Z453-2000),IF($Z453&lt;=5200,"客户自备筐－"&amp;INDEX(客户自备加工筐明细!$J$4:$J$1203,$Z453-4000),IF($Z453&lt;=5800,"次果筐/托盘－"&amp;INDEX(次果筐明细!$F$4:$F$603,$Z453-5200),"")))))</f>
        <v/>
      </c>
      <c r="E453" s="24" t="str">
        <f>IF($Z453="","",IF($Z453&lt;=2000,IF(INDEX(包装物料出入库明细!$C$4:$C$2003,$Z453-0)=0,"",INDEX(包装物料出入库明细!$C$4:$C$2003,$Z453-0)),IF($Z453&lt;=4000,IF(INDEX(周转筐出入库明细!$E$4:$E$2004,$Z453-2000)=0,"",INDEX(周转筐出入库明细!$E$4:$E$2004,$Z453-2000)),IF($Z453&lt;=5200,IF(INDEX(客户自备加工筐明细!$D$4:$D$1203,$Z453-4000)=0,"",INDEX(客户自备加工筐明细!$D$4:$D$1203,$Z453-4000)),IF($Z453&lt;=5800,IF(INDEX(次果筐明细!$E$4:$E$603,$Z453-5200)=0,"",INDEX(次果筐明细!$E$4:$E$603,$Z453-5200)),"")))))</f>
        <v/>
      </c>
      <c r="F453" s="24" t="str">
        <f>IF($Z453="","",IF($Z453&lt;=2000,IF(INDEX(包装物料出入库明细!$E$4:$E$2003,$Z453-0)=0,"",INDEX(包装物料出入库明细!$E$4:$E$2003,$Z453-0)),IF($Z453&lt;=4000,IF(INDEX(周转筐出入库明细!$D$4:$D$2004,$Z453-2000)=0,"",INDEX(周转筐出入库明细!$D$4:$D$2004,$Z453-2000)),IF($Z453&lt;=5200,IF(INDEX(客户自备加工筐明细!$C$4:$C$1203,$Z453-4000)=0,"",INDEX(客户自备加工筐明细!$C$4:$C$1203,$Z453-4000)),IF($Z453&lt;=5800,IF(INDEX(次果筐明细!$D$4:$D$603,$Z453-5200)=0,"",INDEX(次果筐明细!$D$4:$D$603,$Z453-5200)),"")))))</f>
        <v/>
      </c>
      <c r="G453" s="24" t="str">
        <f>IF($Z453="","",IF($Z453&lt;=2000,IF(INDEX(包装物料出入库明细!$F$4:$F$2003,$Z453-0)=0,"",INDEX(包装物料出入库明细!$F$4:$F$2003,$Z453-0)),IF($Z453&lt;=4000,"",IF($Z453&lt;=5200,"",IF($Z453&lt;=5800,"","")))))</f>
        <v/>
      </c>
      <c r="H453" s="39" t="str">
        <f>IF($Z453="","",IF($Z453&lt;=2000,IF(INDEX(包装物料出入库明细!$L$4:$L$2003,$Z453-0)=0,"",INDEX(包装物料出入库明细!$L$4:$L$2003,$Z453-0)),IF($Z453&lt;=4000,N(INDEX(周转筐出入库明细!$H$4:$H$2004,$Z453-2000))+N(INDEX(周转筐出入库明细!$I$4:$I$2004,$Z453-2000))+N(INDEX(周转筐出入库明细!$J$4:$J$2004,$Z453-2000))+N(INDEX(周转筐出入库明细!$K$4:$K$2004,$Z453-2000)),IF($Z453&lt;=5200,N(INDEX(客户自备加工筐明细!$F$4:$F$1203,$Z453-4000))+N(INDEX(客户自备加工筐明细!$G$4:$G$1203,$Z453-4000)),IF($Z453&lt;=5800,IF(INDEX(次果筐明细!$G$4:$G$603,$Z453-5200)=0,"",INDEX(次果筐明细!$G$4:$G$603,$Z453-5200)),"")))))</f>
        <v/>
      </c>
      <c r="I453" s="24" t="str">
        <f>IF($Z453="","",IF($Z453&lt;=2000,IF(INDEX(包装物料出入库明细!$G$4:$G$2003,$Z453-0)=0,"",INDEX(包装物料出入库明细!$G$4:$G$2003,$Z453-0)),IF($Z453&lt;=4000,"个",IF($Z453&lt;=5200,"个",IF($Z453&lt;=5800,"个","")))))</f>
        <v/>
      </c>
      <c r="J453" s="30" t="str">
        <f t="shared" si="22"/>
        <v/>
      </c>
      <c r="K453" s="30" t="str">
        <f>IF($Z453="","",IF($Z453&lt;=2000,IF(INDEX(包装物料出入库明细!$N$4:$N$2003,$Z453-0)=0,"",INDEX(包装物料出入库明细!$N$4:$N$2003,$Z453-0)),IF($Z453&lt;=4000,IF(INDEX(周转筐出入库明细!$P$4:$P$2004,$Z453-2000)=0,"",INDEX(周转筐出入库明细!$P$4:$P$2004,$Z453-2000)),IF($Z453&lt;=5200,"",IF($Z453&lt;=5800,N(INDEX(次果筐明细!$L$4:$L$603,$Z453-5200))+N(INDEX(次果筐明细!$J$4:$J$603,$Z453-5200)),"")))))</f>
        <v/>
      </c>
      <c r="L453" s="24" t="str">
        <f>IF($Z453="","",IF($Z453&lt;=2000,IF(INDEX(包装物料出入库明细!$P$4:$P$2003,$Z453-0)=0,"",INDEX(包装物料出入库明细!$P$4:$P$2003,$Z453-0)),IF($Z453&lt;=4000,IF(INDEX(周转筐出入库明细!$Q$4:$Q$2004,$Z453-2000)=0,"",INDEX(周转筐出入库明细!$Q$4:$Q$2004,$Z453-2000)),IF($Z453&lt;=5200,"",IF($Z453&lt;=5800,IF(INDEX(次果筐明细!$M$4:$M$603,$Z453-5200)=0,"",INDEX(次果筐明细!$M$4:$M$603,$Z453-5200)),"")))))</f>
        <v/>
      </c>
      <c r="M453" s="37" t="str">
        <f>IF($Z453="","",IF($Z453&lt;=2000,IF(INDEX(包装物料出入库明细!$R$4:$R$2003,$Z453-0)=0,"",INDEX(包装物料出入库明细!$R$4:$R$2003,$Z453-0)),IF($Z453&lt;=4000,IF(INDEX(周转筐出入库明细!$W$4:$W$2004,$Z453-2000)=0,"",INDEX(周转筐出入库明细!$W$4:$W$2004,$Z453-2000)),IF($Z453&lt;=5200,IF(INDEX(客户自备加工筐明细!$L$4:$L$1203,$Z453-4000)=0,"",INDEX(客户自备加工筐明细!$L$4:$L$1203,$Z453-4000)),IF($Z453&lt;=5800,IF(INDEX(次果筐明细!$P$4:$P$603,$Z453-5200)=0,"",INDEX(次果筐明细!$P$4:$P$603,$Z453-5200)),"")))))</f>
        <v/>
      </c>
      <c r="N453" s="16" t="str">
        <f>IF($Z453="","",IF($Z453&lt;=2000,"",IF($Z453&lt;=4000,IF(INDEX(周转筐出入库明细!$D$4:$D$2004,$Z453-2000)=0,"",INDEX(周转筐出入库明细!$D$4:$D$2004,$Z453-2000)),IF($Z453&lt;=5200,IF(INDEX(客户自备加工筐明细!$C$4:$C$1203,$Z453-4000)=0,"",INDEX(客户自备加工筐明细!$C$4:$C$1203,$Z453-4000)),IF($Z453&lt;=5800,IF(INDEX(次果筐明细!$D$4:$D$603,$Z453-5200)=0,"",INDEX(次果筐明细!$D$4:$D$603,$Z453-5200)),"")))))</f>
        <v/>
      </c>
      <c r="O453" s="40" t="str">
        <f>IF($Z453="","",IF($Z453&lt;=2000,"",IF($Z453&lt;=4000,IF(N(INDEX(周转筐出入库明细!$J$4:$J$2004,$Z453-2000))+N(INDEX(周转筐出入库明细!$K$4:$K$2004,$Z453-2000))=0,"",N(INDEX(周转筐出入库明细!$J$4:$J$2004,$Z453-2000))+N(INDEX(周转筐出入库明细!$K$4:$K$2004,$Z453-2000))),IF($Z453&lt;=5200,IF(N(INDEX(客户自备加工筐明细!$G$4:$G$1203,$Z453-4000))=0,"",N(INDEX(客户自备加工筐明细!$G$4:$G$1203,$Z453-4000))),IF($Z453&lt;=5800,IF(ISNUMBER(SEARCH("退",INDEX(次果筐明细!$F$4:$F$603,$Z453-5200)&amp;"")),"",IF(N(INDEX(次果筐明细!$G$4:$G$603,$Z453-5200))=0,"",N(INDEX(次果筐明细!$G$4:$G$603,$Z453-5200)))),"")))))</f>
        <v/>
      </c>
      <c r="P453" s="40" t="str">
        <f>IF($Z453="","",IF($Z453&lt;=2000,"",IF($Z453&lt;=4000,IF(N(INDEX(周转筐出入库明细!$I$4:$I$2004,$Z453-2000))=0,"",N(INDEX(周转筐出入库明细!$I$4:$I$2004,$Z453-2000))),IF($Z453&lt;=5200,"",IF($Z453&lt;=5800,IF(ISNUMBER(SEARCH("退",INDEX(次果筐明细!$F$4:$F$603,$Z453-5200)&amp;"")),IF(N(INDEX(次果筐明细!$G$4:$G$603,$Z453-5200))=0,"",N(INDEX(次果筐明细!$G$4:$G$603,$Z453-5200))),""),"")))))</f>
        <v/>
      </c>
      <c r="Q453" s="40" t="str">
        <f>IF($Z453="","",IF($Z453&lt;=2000,"",IF($Z453&lt;=4000,IF(N(INDEX(周转筐出入库明细!$H$4:$H$2004,$Z453-2000))=0,"",N(INDEX(周转筐出入库明细!$H$4:$H$2004,$Z453-2000))),IF($Z453&lt;=5200,IF(N(INDEX(客户自备加工筐明细!$F$4:$F$1203,$Z453-4000))=0,"",N(INDEX(客户自备加工筐明细!$F$4:$F$1203,$Z453-4000))),IF($Z453&lt;=5800,"","")))))</f>
        <v/>
      </c>
      <c r="R453" s="16" t="str">
        <f>IF($Z453="","",IF($Z453&lt;=2000,IF(INDEX(包装物料出入库明细!$O$4:$O$2003,$Z453-0)=0,"",INDEX(包装物料出入库明细!$O$4:$O$2003,$Z453-0)),IF($Z453&lt;=4000,IF(INDEX(周转筐出入库明细!$M$4:$M$2004,$Z453-2000)=0,"",INDEX(周转筐出入库明细!$M$4:$M$2004,$Z453-2000)),IF($Z453&lt;=5200,IF(INDEX(客户自备加工筐明细!$H$4:$H$1203,$Z453-4000)=0,"",INDEX(客户自备加工筐明细!$H$4:$H$1203,$Z453-4000)),IF($Z453&lt;=5800,IF(INDEX(次果筐明细!$H$4:$H$603,$Z453-5200)=0,"",INDEX(次果筐明细!$H$4:$H$603,$Z453-5200)),"")))))</f>
        <v/>
      </c>
      <c r="S453" s="22" t="str">
        <f t="shared" si="23"/>
        <v/>
      </c>
      <c r="Z453" s="10" t="str">
        <f>IFERROR(MATCH(ROW()-3,_自动清单!$CQ$4:$CQ$5803,0),"")</f>
        <v/>
      </c>
    </row>
    <row r="454" spans="1:26">
      <c r="A454" s="24" t="str">
        <f t="shared" si="21"/>
        <v/>
      </c>
      <c r="B454" s="38" t="str">
        <f>IF($Z454="","",IF($Z454&lt;=2000,IF(INDEX(包装物料出入库明细!$B$4:$B$2003,$Z454-0)=0,"",INDEX(包装物料出入库明细!$B$4:$B$2003,$Z454-0)),IF($Z454&lt;=4000,IF(INDEX(周转筐出入库明细!$B$4:$B$2004,$Z454-2000)=0,"",INDEX(周转筐出入库明细!$B$4:$B$2004,$Z454-2000)),IF($Z454&lt;=5200,IF(INDEX(客户自备加工筐明细!$B$4:$B$1203,$Z454-4000)=0,"",INDEX(客户自备加工筐明细!$B$4:$B$1203,$Z454-4000)),IF($Z454&lt;=5800,IF(INDEX(次果筐明细!$B$4:$B$603,$Z454-5200)=0,"",INDEX(次果筐明细!$B$4:$B$603,$Z454-5200)),"")))))</f>
        <v/>
      </c>
      <c r="C454" s="37" t="str">
        <f>IF($Z454="","",IF($Z454&lt;=2000,IF(INDEX(包装物料出入库明细!$D$4:$D$2003,$Z454-0)=0,"",INDEX(包装物料出入库明细!$D$4:$D$2003,$Z454-0)),IF($Z454&lt;=4000,IF(INDEX(周转筐出入库明细!$C$4:$C$2004,$Z454-2000)=0,"",INDEX(周转筐出入库明细!$C$4:$C$2004,$Z454-2000)),IF($Z454&lt;=5200,IF(INDEX(客户自备加工筐明细!$E$4:$E$1203,$Z454-4000)=0,"",INDEX(客户自备加工筐明细!$E$4:$E$1203,$Z454-4000)),IF($Z454&lt;=5800,IF(INDEX(次果筐明细!$C$4:$C$603,$Z454-5200)=0,"",INDEX(次果筐明细!$C$4:$C$603,$Z454-5200)),"")))))</f>
        <v/>
      </c>
      <c r="D454" s="37" t="str">
        <f>IF($Z454="","",IF($Z454&lt;=2000,"包装物料－"&amp;INDEX(包装物料出入库明细!$H$4:$H$2003,$Z454-0),IF($Z454&lt;=4000,"周转筐－"&amp;INDEX(周转筐出入库明细!$F$4:$F$2004,$Z454-2000),IF($Z454&lt;=5200,"客户自备筐－"&amp;INDEX(客户自备加工筐明细!$J$4:$J$1203,$Z454-4000),IF($Z454&lt;=5800,"次果筐/托盘－"&amp;INDEX(次果筐明细!$F$4:$F$603,$Z454-5200),"")))))</f>
        <v/>
      </c>
      <c r="E454" s="24" t="str">
        <f>IF($Z454="","",IF($Z454&lt;=2000,IF(INDEX(包装物料出入库明细!$C$4:$C$2003,$Z454-0)=0,"",INDEX(包装物料出入库明细!$C$4:$C$2003,$Z454-0)),IF($Z454&lt;=4000,IF(INDEX(周转筐出入库明细!$E$4:$E$2004,$Z454-2000)=0,"",INDEX(周转筐出入库明细!$E$4:$E$2004,$Z454-2000)),IF($Z454&lt;=5200,IF(INDEX(客户自备加工筐明细!$D$4:$D$1203,$Z454-4000)=0,"",INDEX(客户自备加工筐明细!$D$4:$D$1203,$Z454-4000)),IF($Z454&lt;=5800,IF(INDEX(次果筐明细!$E$4:$E$603,$Z454-5200)=0,"",INDEX(次果筐明细!$E$4:$E$603,$Z454-5200)),"")))))</f>
        <v/>
      </c>
      <c r="F454" s="24" t="str">
        <f>IF($Z454="","",IF($Z454&lt;=2000,IF(INDEX(包装物料出入库明细!$E$4:$E$2003,$Z454-0)=0,"",INDEX(包装物料出入库明细!$E$4:$E$2003,$Z454-0)),IF($Z454&lt;=4000,IF(INDEX(周转筐出入库明细!$D$4:$D$2004,$Z454-2000)=0,"",INDEX(周转筐出入库明细!$D$4:$D$2004,$Z454-2000)),IF($Z454&lt;=5200,IF(INDEX(客户自备加工筐明细!$C$4:$C$1203,$Z454-4000)=0,"",INDEX(客户自备加工筐明细!$C$4:$C$1203,$Z454-4000)),IF($Z454&lt;=5800,IF(INDEX(次果筐明细!$D$4:$D$603,$Z454-5200)=0,"",INDEX(次果筐明细!$D$4:$D$603,$Z454-5200)),"")))))</f>
        <v/>
      </c>
      <c r="G454" s="24" t="str">
        <f>IF($Z454="","",IF($Z454&lt;=2000,IF(INDEX(包装物料出入库明细!$F$4:$F$2003,$Z454-0)=0,"",INDEX(包装物料出入库明细!$F$4:$F$2003,$Z454-0)),IF($Z454&lt;=4000,"",IF($Z454&lt;=5200,"",IF($Z454&lt;=5800,"","")))))</f>
        <v/>
      </c>
      <c r="H454" s="39" t="str">
        <f>IF($Z454="","",IF($Z454&lt;=2000,IF(INDEX(包装物料出入库明细!$L$4:$L$2003,$Z454-0)=0,"",INDEX(包装物料出入库明细!$L$4:$L$2003,$Z454-0)),IF($Z454&lt;=4000,N(INDEX(周转筐出入库明细!$H$4:$H$2004,$Z454-2000))+N(INDEX(周转筐出入库明细!$I$4:$I$2004,$Z454-2000))+N(INDEX(周转筐出入库明细!$J$4:$J$2004,$Z454-2000))+N(INDEX(周转筐出入库明细!$K$4:$K$2004,$Z454-2000)),IF($Z454&lt;=5200,N(INDEX(客户自备加工筐明细!$F$4:$F$1203,$Z454-4000))+N(INDEX(客户自备加工筐明细!$G$4:$G$1203,$Z454-4000)),IF($Z454&lt;=5800,IF(INDEX(次果筐明细!$G$4:$G$603,$Z454-5200)=0,"",INDEX(次果筐明细!$G$4:$G$603,$Z454-5200)),"")))))</f>
        <v/>
      </c>
      <c r="I454" s="24" t="str">
        <f>IF($Z454="","",IF($Z454&lt;=2000,IF(INDEX(包装物料出入库明细!$G$4:$G$2003,$Z454-0)=0,"",INDEX(包装物料出入库明细!$G$4:$G$2003,$Z454-0)),IF($Z454&lt;=4000,"个",IF($Z454&lt;=5200,"个",IF($Z454&lt;=5800,"个","")))))</f>
        <v/>
      </c>
      <c r="J454" s="30" t="str">
        <f t="shared" si="22"/>
        <v/>
      </c>
      <c r="K454" s="30" t="str">
        <f>IF($Z454="","",IF($Z454&lt;=2000,IF(INDEX(包装物料出入库明细!$N$4:$N$2003,$Z454-0)=0,"",INDEX(包装物料出入库明细!$N$4:$N$2003,$Z454-0)),IF($Z454&lt;=4000,IF(INDEX(周转筐出入库明细!$P$4:$P$2004,$Z454-2000)=0,"",INDEX(周转筐出入库明细!$P$4:$P$2004,$Z454-2000)),IF($Z454&lt;=5200,"",IF($Z454&lt;=5800,N(INDEX(次果筐明细!$L$4:$L$603,$Z454-5200))+N(INDEX(次果筐明细!$J$4:$J$603,$Z454-5200)),"")))))</f>
        <v/>
      </c>
      <c r="L454" s="24" t="str">
        <f>IF($Z454="","",IF($Z454&lt;=2000,IF(INDEX(包装物料出入库明细!$P$4:$P$2003,$Z454-0)=0,"",INDEX(包装物料出入库明细!$P$4:$P$2003,$Z454-0)),IF($Z454&lt;=4000,IF(INDEX(周转筐出入库明细!$Q$4:$Q$2004,$Z454-2000)=0,"",INDEX(周转筐出入库明细!$Q$4:$Q$2004,$Z454-2000)),IF($Z454&lt;=5200,"",IF($Z454&lt;=5800,IF(INDEX(次果筐明细!$M$4:$M$603,$Z454-5200)=0,"",INDEX(次果筐明细!$M$4:$M$603,$Z454-5200)),"")))))</f>
        <v/>
      </c>
      <c r="M454" s="37" t="str">
        <f>IF($Z454="","",IF($Z454&lt;=2000,IF(INDEX(包装物料出入库明细!$R$4:$R$2003,$Z454-0)=0,"",INDEX(包装物料出入库明细!$R$4:$R$2003,$Z454-0)),IF($Z454&lt;=4000,IF(INDEX(周转筐出入库明细!$W$4:$W$2004,$Z454-2000)=0,"",INDEX(周转筐出入库明细!$W$4:$W$2004,$Z454-2000)),IF($Z454&lt;=5200,IF(INDEX(客户自备加工筐明细!$L$4:$L$1203,$Z454-4000)=0,"",INDEX(客户自备加工筐明细!$L$4:$L$1203,$Z454-4000)),IF($Z454&lt;=5800,IF(INDEX(次果筐明细!$P$4:$P$603,$Z454-5200)=0,"",INDEX(次果筐明细!$P$4:$P$603,$Z454-5200)),"")))))</f>
        <v/>
      </c>
      <c r="N454" s="16" t="str">
        <f>IF($Z454="","",IF($Z454&lt;=2000,"",IF($Z454&lt;=4000,IF(INDEX(周转筐出入库明细!$D$4:$D$2004,$Z454-2000)=0,"",INDEX(周转筐出入库明细!$D$4:$D$2004,$Z454-2000)),IF($Z454&lt;=5200,IF(INDEX(客户自备加工筐明细!$C$4:$C$1203,$Z454-4000)=0,"",INDEX(客户自备加工筐明细!$C$4:$C$1203,$Z454-4000)),IF($Z454&lt;=5800,IF(INDEX(次果筐明细!$D$4:$D$603,$Z454-5200)=0,"",INDEX(次果筐明细!$D$4:$D$603,$Z454-5200)),"")))))</f>
        <v/>
      </c>
      <c r="O454" s="40" t="str">
        <f>IF($Z454="","",IF($Z454&lt;=2000,"",IF($Z454&lt;=4000,IF(N(INDEX(周转筐出入库明细!$J$4:$J$2004,$Z454-2000))+N(INDEX(周转筐出入库明细!$K$4:$K$2004,$Z454-2000))=0,"",N(INDEX(周转筐出入库明细!$J$4:$J$2004,$Z454-2000))+N(INDEX(周转筐出入库明细!$K$4:$K$2004,$Z454-2000))),IF($Z454&lt;=5200,IF(N(INDEX(客户自备加工筐明细!$G$4:$G$1203,$Z454-4000))=0,"",N(INDEX(客户自备加工筐明细!$G$4:$G$1203,$Z454-4000))),IF($Z454&lt;=5800,IF(ISNUMBER(SEARCH("退",INDEX(次果筐明细!$F$4:$F$603,$Z454-5200)&amp;"")),"",IF(N(INDEX(次果筐明细!$G$4:$G$603,$Z454-5200))=0,"",N(INDEX(次果筐明细!$G$4:$G$603,$Z454-5200)))),"")))))</f>
        <v/>
      </c>
      <c r="P454" s="40" t="str">
        <f>IF($Z454="","",IF($Z454&lt;=2000,"",IF($Z454&lt;=4000,IF(N(INDEX(周转筐出入库明细!$I$4:$I$2004,$Z454-2000))=0,"",N(INDEX(周转筐出入库明细!$I$4:$I$2004,$Z454-2000))),IF($Z454&lt;=5200,"",IF($Z454&lt;=5800,IF(ISNUMBER(SEARCH("退",INDEX(次果筐明细!$F$4:$F$603,$Z454-5200)&amp;"")),IF(N(INDEX(次果筐明细!$G$4:$G$603,$Z454-5200))=0,"",N(INDEX(次果筐明细!$G$4:$G$603,$Z454-5200))),""),"")))))</f>
        <v/>
      </c>
      <c r="Q454" s="40" t="str">
        <f>IF($Z454="","",IF($Z454&lt;=2000,"",IF($Z454&lt;=4000,IF(N(INDEX(周转筐出入库明细!$H$4:$H$2004,$Z454-2000))=0,"",N(INDEX(周转筐出入库明细!$H$4:$H$2004,$Z454-2000))),IF($Z454&lt;=5200,IF(N(INDEX(客户自备加工筐明细!$F$4:$F$1203,$Z454-4000))=0,"",N(INDEX(客户自备加工筐明细!$F$4:$F$1203,$Z454-4000))),IF($Z454&lt;=5800,"","")))))</f>
        <v/>
      </c>
      <c r="R454" s="16" t="str">
        <f>IF($Z454="","",IF($Z454&lt;=2000,IF(INDEX(包装物料出入库明细!$O$4:$O$2003,$Z454-0)=0,"",INDEX(包装物料出入库明细!$O$4:$O$2003,$Z454-0)),IF($Z454&lt;=4000,IF(INDEX(周转筐出入库明细!$M$4:$M$2004,$Z454-2000)=0,"",INDEX(周转筐出入库明细!$M$4:$M$2004,$Z454-2000)),IF($Z454&lt;=5200,IF(INDEX(客户自备加工筐明细!$H$4:$H$1203,$Z454-4000)=0,"",INDEX(客户自备加工筐明细!$H$4:$H$1203,$Z454-4000)),IF($Z454&lt;=5800,IF(INDEX(次果筐明细!$H$4:$H$603,$Z454-5200)=0,"",INDEX(次果筐明细!$H$4:$H$603,$Z454-5200)),"")))))</f>
        <v/>
      </c>
      <c r="S454" s="22" t="str">
        <f t="shared" si="23"/>
        <v/>
      </c>
      <c r="Z454" s="10" t="str">
        <f>IFERROR(MATCH(ROW()-3,_自动清单!$CQ$4:$CQ$5803,0),"")</f>
        <v/>
      </c>
    </row>
    <row r="455" spans="1:26">
      <c r="A455" s="24" t="str">
        <f t="shared" si="21"/>
        <v/>
      </c>
      <c r="B455" s="38" t="str">
        <f>IF($Z455="","",IF($Z455&lt;=2000,IF(INDEX(包装物料出入库明细!$B$4:$B$2003,$Z455-0)=0,"",INDEX(包装物料出入库明细!$B$4:$B$2003,$Z455-0)),IF($Z455&lt;=4000,IF(INDEX(周转筐出入库明细!$B$4:$B$2004,$Z455-2000)=0,"",INDEX(周转筐出入库明细!$B$4:$B$2004,$Z455-2000)),IF($Z455&lt;=5200,IF(INDEX(客户自备加工筐明细!$B$4:$B$1203,$Z455-4000)=0,"",INDEX(客户自备加工筐明细!$B$4:$B$1203,$Z455-4000)),IF($Z455&lt;=5800,IF(INDEX(次果筐明细!$B$4:$B$603,$Z455-5200)=0,"",INDEX(次果筐明细!$B$4:$B$603,$Z455-5200)),"")))))</f>
        <v/>
      </c>
      <c r="C455" s="37" t="str">
        <f>IF($Z455="","",IF($Z455&lt;=2000,IF(INDEX(包装物料出入库明细!$D$4:$D$2003,$Z455-0)=0,"",INDEX(包装物料出入库明细!$D$4:$D$2003,$Z455-0)),IF($Z455&lt;=4000,IF(INDEX(周转筐出入库明细!$C$4:$C$2004,$Z455-2000)=0,"",INDEX(周转筐出入库明细!$C$4:$C$2004,$Z455-2000)),IF($Z455&lt;=5200,IF(INDEX(客户自备加工筐明细!$E$4:$E$1203,$Z455-4000)=0,"",INDEX(客户自备加工筐明细!$E$4:$E$1203,$Z455-4000)),IF($Z455&lt;=5800,IF(INDEX(次果筐明细!$C$4:$C$603,$Z455-5200)=0,"",INDEX(次果筐明细!$C$4:$C$603,$Z455-5200)),"")))))</f>
        <v/>
      </c>
      <c r="D455" s="37" t="str">
        <f>IF($Z455="","",IF($Z455&lt;=2000,"包装物料－"&amp;INDEX(包装物料出入库明细!$H$4:$H$2003,$Z455-0),IF($Z455&lt;=4000,"周转筐－"&amp;INDEX(周转筐出入库明细!$F$4:$F$2004,$Z455-2000),IF($Z455&lt;=5200,"客户自备筐－"&amp;INDEX(客户自备加工筐明细!$J$4:$J$1203,$Z455-4000),IF($Z455&lt;=5800,"次果筐/托盘－"&amp;INDEX(次果筐明细!$F$4:$F$603,$Z455-5200),"")))))</f>
        <v/>
      </c>
      <c r="E455" s="24" t="str">
        <f>IF($Z455="","",IF($Z455&lt;=2000,IF(INDEX(包装物料出入库明细!$C$4:$C$2003,$Z455-0)=0,"",INDEX(包装物料出入库明细!$C$4:$C$2003,$Z455-0)),IF($Z455&lt;=4000,IF(INDEX(周转筐出入库明细!$E$4:$E$2004,$Z455-2000)=0,"",INDEX(周转筐出入库明细!$E$4:$E$2004,$Z455-2000)),IF($Z455&lt;=5200,IF(INDEX(客户自备加工筐明细!$D$4:$D$1203,$Z455-4000)=0,"",INDEX(客户自备加工筐明细!$D$4:$D$1203,$Z455-4000)),IF($Z455&lt;=5800,IF(INDEX(次果筐明细!$E$4:$E$603,$Z455-5200)=0,"",INDEX(次果筐明细!$E$4:$E$603,$Z455-5200)),"")))))</f>
        <v/>
      </c>
      <c r="F455" s="24" t="str">
        <f>IF($Z455="","",IF($Z455&lt;=2000,IF(INDEX(包装物料出入库明细!$E$4:$E$2003,$Z455-0)=0,"",INDEX(包装物料出入库明细!$E$4:$E$2003,$Z455-0)),IF($Z455&lt;=4000,IF(INDEX(周转筐出入库明细!$D$4:$D$2004,$Z455-2000)=0,"",INDEX(周转筐出入库明细!$D$4:$D$2004,$Z455-2000)),IF($Z455&lt;=5200,IF(INDEX(客户自备加工筐明细!$C$4:$C$1203,$Z455-4000)=0,"",INDEX(客户自备加工筐明细!$C$4:$C$1203,$Z455-4000)),IF($Z455&lt;=5800,IF(INDEX(次果筐明细!$D$4:$D$603,$Z455-5200)=0,"",INDEX(次果筐明细!$D$4:$D$603,$Z455-5200)),"")))))</f>
        <v/>
      </c>
      <c r="G455" s="24" t="str">
        <f>IF($Z455="","",IF($Z455&lt;=2000,IF(INDEX(包装物料出入库明细!$F$4:$F$2003,$Z455-0)=0,"",INDEX(包装物料出入库明细!$F$4:$F$2003,$Z455-0)),IF($Z455&lt;=4000,"",IF($Z455&lt;=5200,"",IF($Z455&lt;=5800,"","")))))</f>
        <v/>
      </c>
      <c r="H455" s="39" t="str">
        <f>IF($Z455="","",IF($Z455&lt;=2000,IF(INDEX(包装物料出入库明细!$L$4:$L$2003,$Z455-0)=0,"",INDEX(包装物料出入库明细!$L$4:$L$2003,$Z455-0)),IF($Z455&lt;=4000,N(INDEX(周转筐出入库明细!$H$4:$H$2004,$Z455-2000))+N(INDEX(周转筐出入库明细!$I$4:$I$2004,$Z455-2000))+N(INDEX(周转筐出入库明细!$J$4:$J$2004,$Z455-2000))+N(INDEX(周转筐出入库明细!$K$4:$K$2004,$Z455-2000)),IF($Z455&lt;=5200,N(INDEX(客户自备加工筐明细!$F$4:$F$1203,$Z455-4000))+N(INDEX(客户自备加工筐明细!$G$4:$G$1203,$Z455-4000)),IF($Z455&lt;=5800,IF(INDEX(次果筐明细!$G$4:$G$603,$Z455-5200)=0,"",INDEX(次果筐明细!$G$4:$G$603,$Z455-5200)),"")))))</f>
        <v/>
      </c>
      <c r="I455" s="24" t="str">
        <f>IF($Z455="","",IF($Z455&lt;=2000,IF(INDEX(包装物料出入库明细!$G$4:$G$2003,$Z455-0)=0,"",INDEX(包装物料出入库明细!$G$4:$G$2003,$Z455-0)),IF($Z455&lt;=4000,"个",IF($Z455&lt;=5200,"个",IF($Z455&lt;=5800,"个","")))))</f>
        <v/>
      </c>
      <c r="J455" s="30" t="str">
        <f t="shared" si="22"/>
        <v/>
      </c>
      <c r="K455" s="30" t="str">
        <f>IF($Z455="","",IF($Z455&lt;=2000,IF(INDEX(包装物料出入库明细!$N$4:$N$2003,$Z455-0)=0,"",INDEX(包装物料出入库明细!$N$4:$N$2003,$Z455-0)),IF($Z455&lt;=4000,IF(INDEX(周转筐出入库明细!$P$4:$P$2004,$Z455-2000)=0,"",INDEX(周转筐出入库明细!$P$4:$P$2004,$Z455-2000)),IF($Z455&lt;=5200,"",IF($Z455&lt;=5800,N(INDEX(次果筐明细!$L$4:$L$603,$Z455-5200))+N(INDEX(次果筐明细!$J$4:$J$603,$Z455-5200)),"")))))</f>
        <v/>
      </c>
      <c r="L455" s="24" t="str">
        <f>IF($Z455="","",IF($Z455&lt;=2000,IF(INDEX(包装物料出入库明细!$P$4:$P$2003,$Z455-0)=0,"",INDEX(包装物料出入库明细!$P$4:$P$2003,$Z455-0)),IF($Z455&lt;=4000,IF(INDEX(周转筐出入库明细!$Q$4:$Q$2004,$Z455-2000)=0,"",INDEX(周转筐出入库明细!$Q$4:$Q$2004,$Z455-2000)),IF($Z455&lt;=5200,"",IF($Z455&lt;=5800,IF(INDEX(次果筐明细!$M$4:$M$603,$Z455-5200)=0,"",INDEX(次果筐明细!$M$4:$M$603,$Z455-5200)),"")))))</f>
        <v/>
      </c>
      <c r="M455" s="37" t="str">
        <f>IF($Z455="","",IF($Z455&lt;=2000,IF(INDEX(包装物料出入库明细!$R$4:$R$2003,$Z455-0)=0,"",INDEX(包装物料出入库明细!$R$4:$R$2003,$Z455-0)),IF($Z455&lt;=4000,IF(INDEX(周转筐出入库明细!$W$4:$W$2004,$Z455-2000)=0,"",INDEX(周转筐出入库明细!$W$4:$W$2004,$Z455-2000)),IF($Z455&lt;=5200,IF(INDEX(客户自备加工筐明细!$L$4:$L$1203,$Z455-4000)=0,"",INDEX(客户自备加工筐明细!$L$4:$L$1203,$Z455-4000)),IF($Z455&lt;=5800,IF(INDEX(次果筐明细!$P$4:$P$603,$Z455-5200)=0,"",INDEX(次果筐明细!$P$4:$P$603,$Z455-5200)),"")))))</f>
        <v/>
      </c>
      <c r="N455" s="16" t="str">
        <f>IF($Z455="","",IF($Z455&lt;=2000,"",IF($Z455&lt;=4000,IF(INDEX(周转筐出入库明细!$D$4:$D$2004,$Z455-2000)=0,"",INDEX(周转筐出入库明细!$D$4:$D$2004,$Z455-2000)),IF($Z455&lt;=5200,IF(INDEX(客户自备加工筐明细!$C$4:$C$1203,$Z455-4000)=0,"",INDEX(客户自备加工筐明细!$C$4:$C$1203,$Z455-4000)),IF($Z455&lt;=5800,IF(INDEX(次果筐明细!$D$4:$D$603,$Z455-5200)=0,"",INDEX(次果筐明细!$D$4:$D$603,$Z455-5200)),"")))))</f>
        <v/>
      </c>
      <c r="O455" s="40" t="str">
        <f>IF($Z455="","",IF($Z455&lt;=2000,"",IF($Z455&lt;=4000,IF(N(INDEX(周转筐出入库明细!$J$4:$J$2004,$Z455-2000))+N(INDEX(周转筐出入库明细!$K$4:$K$2004,$Z455-2000))=0,"",N(INDEX(周转筐出入库明细!$J$4:$J$2004,$Z455-2000))+N(INDEX(周转筐出入库明细!$K$4:$K$2004,$Z455-2000))),IF($Z455&lt;=5200,IF(N(INDEX(客户自备加工筐明细!$G$4:$G$1203,$Z455-4000))=0,"",N(INDEX(客户自备加工筐明细!$G$4:$G$1203,$Z455-4000))),IF($Z455&lt;=5800,IF(ISNUMBER(SEARCH("退",INDEX(次果筐明细!$F$4:$F$603,$Z455-5200)&amp;"")),"",IF(N(INDEX(次果筐明细!$G$4:$G$603,$Z455-5200))=0,"",N(INDEX(次果筐明细!$G$4:$G$603,$Z455-5200)))),"")))))</f>
        <v/>
      </c>
      <c r="P455" s="40" t="str">
        <f>IF($Z455="","",IF($Z455&lt;=2000,"",IF($Z455&lt;=4000,IF(N(INDEX(周转筐出入库明细!$I$4:$I$2004,$Z455-2000))=0,"",N(INDEX(周转筐出入库明细!$I$4:$I$2004,$Z455-2000))),IF($Z455&lt;=5200,"",IF($Z455&lt;=5800,IF(ISNUMBER(SEARCH("退",INDEX(次果筐明细!$F$4:$F$603,$Z455-5200)&amp;"")),IF(N(INDEX(次果筐明细!$G$4:$G$603,$Z455-5200))=0,"",N(INDEX(次果筐明细!$G$4:$G$603,$Z455-5200))),""),"")))))</f>
        <v/>
      </c>
      <c r="Q455" s="40" t="str">
        <f>IF($Z455="","",IF($Z455&lt;=2000,"",IF($Z455&lt;=4000,IF(N(INDEX(周转筐出入库明细!$H$4:$H$2004,$Z455-2000))=0,"",N(INDEX(周转筐出入库明细!$H$4:$H$2004,$Z455-2000))),IF($Z455&lt;=5200,IF(N(INDEX(客户自备加工筐明细!$F$4:$F$1203,$Z455-4000))=0,"",N(INDEX(客户自备加工筐明细!$F$4:$F$1203,$Z455-4000))),IF($Z455&lt;=5800,"","")))))</f>
        <v/>
      </c>
      <c r="R455" s="16" t="str">
        <f>IF($Z455="","",IF($Z455&lt;=2000,IF(INDEX(包装物料出入库明细!$O$4:$O$2003,$Z455-0)=0,"",INDEX(包装物料出入库明细!$O$4:$O$2003,$Z455-0)),IF($Z455&lt;=4000,IF(INDEX(周转筐出入库明细!$M$4:$M$2004,$Z455-2000)=0,"",INDEX(周转筐出入库明细!$M$4:$M$2004,$Z455-2000)),IF($Z455&lt;=5200,IF(INDEX(客户自备加工筐明细!$H$4:$H$1203,$Z455-4000)=0,"",INDEX(客户自备加工筐明细!$H$4:$H$1203,$Z455-4000)),IF($Z455&lt;=5800,IF(INDEX(次果筐明细!$H$4:$H$603,$Z455-5200)=0,"",INDEX(次果筐明细!$H$4:$H$603,$Z455-5200)),"")))))</f>
        <v/>
      </c>
      <c r="S455" s="22" t="str">
        <f t="shared" si="23"/>
        <v/>
      </c>
      <c r="Z455" s="10" t="str">
        <f>IFERROR(MATCH(ROW()-3,_自动清单!$CQ$4:$CQ$5803,0),"")</f>
        <v/>
      </c>
    </row>
    <row r="456" spans="1:26">
      <c r="A456" s="24" t="str">
        <f t="shared" si="21"/>
        <v/>
      </c>
      <c r="B456" s="38" t="str">
        <f>IF($Z456="","",IF($Z456&lt;=2000,IF(INDEX(包装物料出入库明细!$B$4:$B$2003,$Z456-0)=0,"",INDEX(包装物料出入库明细!$B$4:$B$2003,$Z456-0)),IF($Z456&lt;=4000,IF(INDEX(周转筐出入库明细!$B$4:$B$2004,$Z456-2000)=0,"",INDEX(周转筐出入库明细!$B$4:$B$2004,$Z456-2000)),IF($Z456&lt;=5200,IF(INDEX(客户自备加工筐明细!$B$4:$B$1203,$Z456-4000)=0,"",INDEX(客户自备加工筐明细!$B$4:$B$1203,$Z456-4000)),IF($Z456&lt;=5800,IF(INDEX(次果筐明细!$B$4:$B$603,$Z456-5200)=0,"",INDEX(次果筐明细!$B$4:$B$603,$Z456-5200)),"")))))</f>
        <v/>
      </c>
      <c r="C456" s="37" t="str">
        <f>IF($Z456="","",IF($Z456&lt;=2000,IF(INDEX(包装物料出入库明细!$D$4:$D$2003,$Z456-0)=0,"",INDEX(包装物料出入库明细!$D$4:$D$2003,$Z456-0)),IF($Z456&lt;=4000,IF(INDEX(周转筐出入库明细!$C$4:$C$2004,$Z456-2000)=0,"",INDEX(周转筐出入库明细!$C$4:$C$2004,$Z456-2000)),IF($Z456&lt;=5200,IF(INDEX(客户自备加工筐明细!$E$4:$E$1203,$Z456-4000)=0,"",INDEX(客户自备加工筐明细!$E$4:$E$1203,$Z456-4000)),IF($Z456&lt;=5800,IF(INDEX(次果筐明细!$C$4:$C$603,$Z456-5200)=0,"",INDEX(次果筐明细!$C$4:$C$603,$Z456-5200)),"")))))</f>
        <v/>
      </c>
      <c r="D456" s="37" t="str">
        <f>IF($Z456="","",IF($Z456&lt;=2000,"包装物料－"&amp;INDEX(包装物料出入库明细!$H$4:$H$2003,$Z456-0),IF($Z456&lt;=4000,"周转筐－"&amp;INDEX(周转筐出入库明细!$F$4:$F$2004,$Z456-2000),IF($Z456&lt;=5200,"客户自备筐－"&amp;INDEX(客户自备加工筐明细!$J$4:$J$1203,$Z456-4000),IF($Z456&lt;=5800,"次果筐/托盘－"&amp;INDEX(次果筐明细!$F$4:$F$603,$Z456-5200),"")))))</f>
        <v/>
      </c>
      <c r="E456" s="24" t="str">
        <f>IF($Z456="","",IF($Z456&lt;=2000,IF(INDEX(包装物料出入库明细!$C$4:$C$2003,$Z456-0)=0,"",INDEX(包装物料出入库明细!$C$4:$C$2003,$Z456-0)),IF($Z456&lt;=4000,IF(INDEX(周转筐出入库明细!$E$4:$E$2004,$Z456-2000)=0,"",INDEX(周转筐出入库明细!$E$4:$E$2004,$Z456-2000)),IF($Z456&lt;=5200,IF(INDEX(客户自备加工筐明细!$D$4:$D$1203,$Z456-4000)=0,"",INDEX(客户自备加工筐明细!$D$4:$D$1203,$Z456-4000)),IF($Z456&lt;=5800,IF(INDEX(次果筐明细!$E$4:$E$603,$Z456-5200)=0,"",INDEX(次果筐明细!$E$4:$E$603,$Z456-5200)),"")))))</f>
        <v/>
      </c>
      <c r="F456" s="24" t="str">
        <f>IF($Z456="","",IF($Z456&lt;=2000,IF(INDEX(包装物料出入库明细!$E$4:$E$2003,$Z456-0)=0,"",INDEX(包装物料出入库明细!$E$4:$E$2003,$Z456-0)),IF($Z456&lt;=4000,IF(INDEX(周转筐出入库明细!$D$4:$D$2004,$Z456-2000)=0,"",INDEX(周转筐出入库明细!$D$4:$D$2004,$Z456-2000)),IF($Z456&lt;=5200,IF(INDEX(客户自备加工筐明细!$C$4:$C$1203,$Z456-4000)=0,"",INDEX(客户自备加工筐明细!$C$4:$C$1203,$Z456-4000)),IF($Z456&lt;=5800,IF(INDEX(次果筐明细!$D$4:$D$603,$Z456-5200)=0,"",INDEX(次果筐明细!$D$4:$D$603,$Z456-5200)),"")))))</f>
        <v/>
      </c>
      <c r="G456" s="24" t="str">
        <f>IF($Z456="","",IF($Z456&lt;=2000,IF(INDEX(包装物料出入库明细!$F$4:$F$2003,$Z456-0)=0,"",INDEX(包装物料出入库明细!$F$4:$F$2003,$Z456-0)),IF($Z456&lt;=4000,"",IF($Z456&lt;=5200,"",IF($Z456&lt;=5800,"","")))))</f>
        <v/>
      </c>
      <c r="H456" s="39" t="str">
        <f>IF($Z456="","",IF($Z456&lt;=2000,IF(INDEX(包装物料出入库明细!$L$4:$L$2003,$Z456-0)=0,"",INDEX(包装物料出入库明细!$L$4:$L$2003,$Z456-0)),IF($Z456&lt;=4000,N(INDEX(周转筐出入库明细!$H$4:$H$2004,$Z456-2000))+N(INDEX(周转筐出入库明细!$I$4:$I$2004,$Z456-2000))+N(INDEX(周转筐出入库明细!$J$4:$J$2004,$Z456-2000))+N(INDEX(周转筐出入库明细!$K$4:$K$2004,$Z456-2000)),IF($Z456&lt;=5200,N(INDEX(客户自备加工筐明细!$F$4:$F$1203,$Z456-4000))+N(INDEX(客户自备加工筐明细!$G$4:$G$1203,$Z456-4000)),IF($Z456&lt;=5800,IF(INDEX(次果筐明细!$G$4:$G$603,$Z456-5200)=0,"",INDEX(次果筐明细!$G$4:$G$603,$Z456-5200)),"")))))</f>
        <v/>
      </c>
      <c r="I456" s="24" t="str">
        <f>IF($Z456="","",IF($Z456&lt;=2000,IF(INDEX(包装物料出入库明细!$G$4:$G$2003,$Z456-0)=0,"",INDEX(包装物料出入库明细!$G$4:$G$2003,$Z456-0)),IF($Z456&lt;=4000,"个",IF($Z456&lt;=5200,"个",IF($Z456&lt;=5800,"个","")))))</f>
        <v/>
      </c>
      <c r="J456" s="30" t="str">
        <f t="shared" si="22"/>
        <v/>
      </c>
      <c r="K456" s="30" t="str">
        <f>IF($Z456="","",IF($Z456&lt;=2000,IF(INDEX(包装物料出入库明细!$N$4:$N$2003,$Z456-0)=0,"",INDEX(包装物料出入库明细!$N$4:$N$2003,$Z456-0)),IF($Z456&lt;=4000,IF(INDEX(周转筐出入库明细!$P$4:$P$2004,$Z456-2000)=0,"",INDEX(周转筐出入库明细!$P$4:$P$2004,$Z456-2000)),IF($Z456&lt;=5200,"",IF($Z456&lt;=5800,N(INDEX(次果筐明细!$L$4:$L$603,$Z456-5200))+N(INDEX(次果筐明细!$J$4:$J$603,$Z456-5200)),"")))))</f>
        <v/>
      </c>
      <c r="L456" s="24" t="str">
        <f>IF($Z456="","",IF($Z456&lt;=2000,IF(INDEX(包装物料出入库明细!$P$4:$P$2003,$Z456-0)=0,"",INDEX(包装物料出入库明细!$P$4:$P$2003,$Z456-0)),IF($Z456&lt;=4000,IF(INDEX(周转筐出入库明细!$Q$4:$Q$2004,$Z456-2000)=0,"",INDEX(周转筐出入库明细!$Q$4:$Q$2004,$Z456-2000)),IF($Z456&lt;=5200,"",IF($Z456&lt;=5800,IF(INDEX(次果筐明细!$M$4:$M$603,$Z456-5200)=0,"",INDEX(次果筐明细!$M$4:$M$603,$Z456-5200)),"")))))</f>
        <v/>
      </c>
      <c r="M456" s="37" t="str">
        <f>IF($Z456="","",IF($Z456&lt;=2000,IF(INDEX(包装物料出入库明细!$R$4:$R$2003,$Z456-0)=0,"",INDEX(包装物料出入库明细!$R$4:$R$2003,$Z456-0)),IF($Z456&lt;=4000,IF(INDEX(周转筐出入库明细!$W$4:$W$2004,$Z456-2000)=0,"",INDEX(周转筐出入库明细!$W$4:$W$2004,$Z456-2000)),IF($Z456&lt;=5200,IF(INDEX(客户自备加工筐明细!$L$4:$L$1203,$Z456-4000)=0,"",INDEX(客户自备加工筐明细!$L$4:$L$1203,$Z456-4000)),IF($Z456&lt;=5800,IF(INDEX(次果筐明细!$P$4:$P$603,$Z456-5200)=0,"",INDEX(次果筐明细!$P$4:$P$603,$Z456-5200)),"")))))</f>
        <v/>
      </c>
      <c r="N456" s="16" t="str">
        <f>IF($Z456="","",IF($Z456&lt;=2000,"",IF($Z456&lt;=4000,IF(INDEX(周转筐出入库明细!$D$4:$D$2004,$Z456-2000)=0,"",INDEX(周转筐出入库明细!$D$4:$D$2004,$Z456-2000)),IF($Z456&lt;=5200,IF(INDEX(客户自备加工筐明细!$C$4:$C$1203,$Z456-4000)=0,"",INDEX(客户自备加工筐明细!$C$4:$C$1203,$Z456-4000)),IF($Z456&lt;=5800,IF(INDEX(次果筐明细!$D$4:$D$603,$Z456-5200)=0,"",INDEX(次果筐明细!$D$4:$D$603,$Z456-5200)),"")))))</f>
        <v/>
      </c>
      <c r="O456" s="40" t="str">
        <f>IF($Z456="","",IF($Z456&lt;=2000,"",IF($Z456&lt;=4000,IF(N(INDEX(周转筐出入库明细!$J$4:$J$2004,$Z456-2000))+N(INDEX(周转筐出入库明细!$K$4:$K$2004,$Z456-2000))=0,"",N(INDEX(周转筐出入库明细!$J$4:$J$2004,$Z456-2000))+N(INDEX(周转筐出入库明细!$K$4:$K$2004,$Z456-2000))),IF($Z456&lt;=5200,IF(N(INDEX(客户自备加工筐明细!$G$4:$G$1203,$Z456-4000))=0,"",N(INDEX(客户自备加工筐明细!$G$4:$G$1203,$Z456-4000))),IF($Z456&lt;=5800,IF(ISNUMBER(SEARCH("退",INDEX(次果筐明细!$F$4:$F$603,$Z456-5200)&amp;"")),"",IF(N(INDEX(次果筐明细!$G$4:$G$603,$Z456-5200))=0,"",N(INDEX(次果筐明细!$G$4:$G$603,$Z456-5200)))),"")))))</f>
        <v/>
      </c>
      <c r="P456" s="40" t="str">
        <f>IF($Z456="","",IF($Z456&lt;=2000,"",IF($Z456&lt;=4000,IF(N(INDEX(周转筐出入库明细!$I$4:$I$2004,$Z456-2000))=0,"",N(INDEX(周转筐出入库明细!$I$4:$I$2004,$Z456-2000))),IF($Z456&lt;=5200,"",IF($Z456&lt;=5800,IF(ISNUMBER(SEARCH("退",INDEX(次果筐明细!$F$4:$F$603,$Z456-5200)&amp;"")),IF(N(INDEX(次果筐明细!$G$4:$G$603,$Z456-5200))=0,"",N(INDEX(次果筐明细!$G$4:$G$603,$Z456-5200))),""),"")))))</f>
        <v/>
      </c>
      <c r="Q456" s="40" t="str">
        <f>IF($Z456="","",IF($Z456&lt;=2000,"",IF($Z456&lt;=4000,IF(N(INDEX(周转筐出入库明细!$H$4:$H$2004,$Z456-2000))=0,"",N(INDEX(周转筐出入库明细!$H$4:$H$2004,$Z456-2000))),IF($Z456&lt;=5200,IF(N(INDEX(客户自备加工筐明细!$F$4:$F$1203,$Z456-4000))=0,"",N(INDEX(客户自备加工筐明细!$F$4:$F$1203,$Z456-4000))),IF($Z456&lt;=5800,"","")))))</f>
        <v/>
      </c>
      <c r="R456" s="16" t="str">
        <f>IF($Z456="","",IF($Z456&lt;=2000,IF(INDEX(包装物料出入库明细!$O$4:$O$2003,$Z456-0)=0,"",INDEX(包装物料出入库明细!$O$4:$O$2003,$Z456-0)),IF($Z456&lt;=4000,IF(INDEX(周转筐出入库明细!$M$4:$M$2004,$Z456-2000)=0,"",INDEX(周转筐出入库明细!$M$4:$M$2004,$Z456-2000)),IF($Z456&lt;=5200,IF(INDEX(客户自备加工筐明细!$H$4:$H$1203,$Z456-4000)=0,"",INDEX(客户自备加工筐明细!$H$4:$H$1203,$Z456-4000)),IF($Z456&lt;=5800,IF(INDEX(次果筐明细!$H$4:$H$603,$Z456-5200)=0,"",INDEX(次果筐明细!$H$4:$H$603,$Z456-5200)),"")))))</f>
        <v/>
      </c>
      <c r="S456" s="22" t="str">
        <f t="shared" si="23"/>
        <v/>
      </c>
      <c r="Z456" s="10" t="str">
        <f>IFERROR(MATCH(ROW()-3,_自动清单!$CQ$4:$CQ$5803,0),"")</f>
        <v/>
      </c>
    </row>
    <row r="457" spans="1:26">
      <c r="A457" s="24" t="str">
        <f t="shared" si="21"/>
        <v/>
      </c>
      <c r="B457" s="38" t="str">
        <f>IF($Z457="","",IF($Z457&lt;=2000,IF(INDEX(包装物料出入库明细!$B$4:$B$2003,$Z457-0)=0,"",INDEX(包装物料出入库明细!$B$4:$B$2003,$Z457-0)),IF($Z457&lt;=4000,IF(INDEX(周转筐出入库明细!$B$4:$B$2004,$Z457-2000)=0,"",INDEX(周转筐出入库明细!$B$4:$B$2004,$Z457-2000)),IF($Z457&lt;=5200,IF(INDEX(客户自备加工筐明细!$B$4:$B$1203,$Z457-4000)=0,"",INDEX(客户自备加工筐明细!$B$4:$B$1203,$Z457-4000)),IF($Z457&lt;=5800,IF(INDEX(次果筐明细!$B$4:$B$603,$Z457-5200)=0,"",INDEX(次果筐明细!$B$4:$B$603,$Z457-5200)),"")))))</f>
        <v/>
      </c>
      <c r="C457" s="37" t="str">
        <f>IF($Z457="","",IF($Z457&lt;=2000,IF(INDEX(包装物料出入库明细!$D$4:$D$2003,$Z457-0)=0,"",INDEX(包装物料出入库明细!$D$4:$D$2003,$Z457-0)),IF($Z457&lt;=4000,IF(INDEX(周转筐出入库明细!$C$4:$C$2004,$Z457-2000)=0,"",INDEX(周转筐出入库明细!$C$4:$C$2004,$Z457-2000)),IF($Z457&lt;=5200,IF(INDEX(客户自备加工筐明细!$E$4:$E$1203,$Z457-4000)=0,"",INDEX(客户自备加工筐明细!$E$4:$E$1203,$Z457-4000)),IF($Z457&lt;=5800,IF(INDEX(次果筐明细!$C$4:$C$603,$Z457-5200)=0,"",INDEX(次果筐明细!$C$4:$C$603,$Z457-5200)),"")))))</f>
        <v/>
      </c>
      <c r="D457" s="37" t="str">
        <f>IF($Z457="","",IF($Z457&lt;=2000,"包装物料－"&amp;INDEX(包装物料出入库明细!$H$4:$H$2003,$Z457-0),IF($Z457&lt;=4000,"周转筐－"&amp;INDEX(周转筐出入库明细!$F$4:$F$2004,$Z457-2000),IF($Z457&lt;=5200,"客户自备筐－"&amp;INDEX(客户自备加工筐明细!$J$4:$J$1203,$Z457-4000),IF($Z457&lt;=5800,"次果筐/托盘－"&amp;INDEX(次果筐明细!$F$4:$F$603,$Z457-5200),"")))))</f>
        <v/>
      </c>
      <c r="E457" s="24" t="str">
        <f>IF($Z457="","",IF($Z457&lt;=2000,IF(INDEX(包装物料出入库明细!$C$4:$C$2003,$Z457-0)=0,"",INDEX(包装物料出入库明细!$C$4:$C$2003,$Z457-0)),IF($Z457&lt;=4000,IF(INDEX(周转筐出入库明细!$E$4:$E$2004,$Z457-2000)=0,"",INDEX(周转筐出入库明细!$E$4:$E$2004,$Z457-2000)),IF($Z457&lt;=5200,IF(INDEX(客户自备加工筐明细!$D$4:$D$1203,$Z457-4000)=0,"",INDEX(客户自备加工筐明细!$D$4:$D$1203,$Z457-4000)),IF($Z457&lt;=5800,IF(INDEX(次果筐明细!$E$4:$E$603,$Z457-5200)=0,"",INDEX(次果筐明细!$E$4:$E$603,$Z457-5200)),"")))))</f>
        <v/>
      </c>
      <c r="F457" s="24" t="str">
        <f>IF($Z457="","",IF($Z457&lt;=2000,IF(INDEX(包装物料出入库明细!$E$4:$E$2003,$Z457-0)=0,"",INDEX(包装物料出入库明细!$E$4:$E$2003,$Z457-0)),IF($Z457&lt;=4000,IF(INDEX(周转筐出入库明细!$D$4:$D$2004,$Z457-2000)=0,"",INDEX(周转筐出入库明细!$D$4:$D$2004,$Z457-2000)),IF($Z457&lt;=5200,IF(INDEX(客户自备加工筐明细!$C$4:$C$1203,$Z457-4000)=0,"",INDEX(客户自备加工筐明细!$C$4:$C$1203,$Z457-4000)),IF($Z457&lt;=5800,IF(INDEX(次果筐明细!$D$4:$D$603,$Z457-5200)=0,"",INDEX(次果筐明细!$D$4:$D$603,$Z457-5200)),"")))))</f>
        <v/>
      </c>
      <c r="G457" s="24" t="str">
        <f>IF($Z457="","",IF($Z457&lt;=2000,IF(INDEX(包装物料出入库明细!$F$4:$F$2003,$Z457-0)=0,"",INDEX(包装物料出入库明细!$F$4:$F$2003,$Z457-0)),IF($Z457&lt;=4000,"",IF($Z457&lt;=5200,"",IF($Z457&lt;=5800,"","")))))</f>
        <v/>
      </c>
      <c r="H457" s="39" t="str">
        <f>IF($Z457="","",IF($Z457&lt;=2000,IF(INDEX(包装物料出入库明细!$L$4:$L$2003,$Z457-0)=0,"",INDEX(包装物料出入库明细!$L$4:$L$2003,$Z457-0)),IF($Z457&lt;=4000,N(INDEX(周转筐出入库明细!$H$4:$H$2004,$Z457-2000))+N(INDEX(周转筐出入库明细!$I$4:$I$2004,$Z457-2000))+N(INDEX(周转筐出入库明细!$J$4:$J$2004,$Z457-2000))+N(INDEX(周转筐出入库明细!$K$4:$K$2004,$Z457-2000)),IF($Z457&lt;=5200,N(INDEX(客户自备加工筐明细!$F$4:$F$1203,$Z457-4000))+N(INDEX(客户自备加工筐明细!$G$4:$G$1203,$Z457-4000)),IF($Z457&lt;=5800,IF(INDEX(次果筐明细!$G$4:$G$603,$Z457-5200)=0,"",INDEX(次果筐明细!$G$4:$G$603,$Z457-5200)),"")))))</f>
        <v/>
      </c>
      <c r="I457" s="24" t="str">
        <f>IF($Z457="","",IF($Z457&lt;=2000,IF(INDEX(包装物料出入库明细!$G$4:$G$2003,$Z457-0)=0,"",INDEX(包装物料出入库明细!$G$4:$G$2003,$Z457-0)),IF($Z457&lt;=4000,"个",IF($Z457&lt;=5200,"个",IF($Z457&lt;=5800,"个","")))))</f>
        <v/>
      </c>
      <c r="J457" s="30" t="str">
        <f t="shared" si="22"/>
        <v/>
      </c>
      <c r="K457" s="30" t="str">
        <f>IF($Z457="","",IF($Z457&lt;=2000,IF(INDEX(包装物料出入库明细!$N$4:$N$2003,$Z457-0)=0,"",INDEX(包装物料出入库明细!$N$4:$N$2003,$Z457-0)),IF($Z457&lt;=4000,IF(INDEX(周转筐出入库明细!$P$4:$P$2004,$Z457-2000)=0,"",INDEX(周转筐出入库明细!$P$4:$P$2004,$Z457-2000)),IF($Z457&lt;=5200,"",IF($Z457&lt;=5800,N(INDEX(次果筐明细!$L$4:$L$603,$Z457-5200))+N(INDEX(次果筐明细!$J$4:$J$603,$Z457-5200)),"")))))</f>
        <v/>
      </c>
      <c r="L457" s="24" t="str">
        <f>IF($Z457="","",IF($Z457&lt;=2000,IF(INDEX(包装物料出入库明细!$P$4:$P$2003,$Z457-0)=0,"",INDEX(包装物料出入库明细!$P$4:$P$2003,$Z457-0)),IF($Z457&lt;=4000,IF(INDEX(周转筐出入库明细!$Q$4:$Q$2004,$Z457-2000)=0,"",INDEX(周转筐出入库明细!$Q$4:$Q$2004,$Z457-2000)),IF($Z457&lt;=5200,"",IF($Z457&lt;=5800,IF(INDEX(次果筐明细!$M$4:$M$603,$Z457-5200)=0,"",INDEX(次果筐明细!$M$4:$M$603,$Z457-5200)),"")))))</f>
        <v/>
      </c>
      <c r="M457" s="37" t="str">
        <f>IF($Z457="","",IF($Z457&lt;=2000,IF(INDEX(包装物料出入库明细!$R$4:$R$2003,$Z457-0)=0,"",INDEX(包装物料出入库明细!$R$4:$R$2003,$Z457-0)),IF($Z457&lt;=4000,IF(INDEX(周转筐出入库明细!$W$4:$W$2004,$Z457-2000)=0,"",INDEX(周转筐出入库明细!$W$4:$W$2004,$Z457-2000)),IF($Z457&lt;=5200,IF(INDEX(客户自备加工筐明细!$L$4:$L$1203,$Z457-4000)=0,"",INDEX(客户自备加工筐明细!$L$4:$L$1203,$Z457-4000)),IF($Z457&lt;=5800,IF(INDEX(次果筐明细!$P$4:$P$603,$Z457-5200)=0,"",INDEX(次果筐明细!$P$4:$P$603,$Z457-5200)),"")))))</f>
        <v/>
      </c>
      <c r="N457" s="16" t="str">
        <f>IF($Z457="","",IF($Z457&lt;=2000,"",IF($Z457&lt;=4000,IF(INDEX(周转筐出入库明细!$D$4:$D$2004,$Z457-2000)=0,"",INDEX(周转筐出入库明细!$D$4:$D$2004,$Z457-2000)),IF($Z457&lt;=5200,IF(INDEX(客户自备加工筐明细!$C$4:$C$1203,$Z457-4000)=0,"",INDEX(客户自备加工筐明细!$C$4:$C$1203,$Z457-4000)),IF($Z457&lt;=5800,IF(INDEX(次果筐明细!$D$4:$D$603,$Z457-5200)=0,"",INDEX(次果筐明细!$D$4:$D$603,$Z457-5200)),"")))))</f>
        <v/>
      </c>
      <c r="O457" s="40" t="str">
        <f>IF($Z457="","",IF($Z457&lt;=2000,"",IF($Z457&lt;=4000,IF(N(INDEX(周转筐出入库明细!$J$4:$J$2004,$Z457-2000))+N(INDEX(周转筐出入库明细!$K$4:$K$2004,$Z457-2000))=0,"",N(INDEX(周转筐出入库明细!$J$4:$J$2004,$Z457-2000))+N(INDEX(周转筐出入库明细!$K$4:$K$2004,$Z457-2000))),IF($Z457&lt;=5200,IF(N(INDEX(客户自备加工筐明细!$G$4:$G$1203,$Z457-4000))=0,"",N(INDEX(客户自备加工筐明细!$G$4:$G$1203,$Z457-4000))),IF($Z457&lt;=5800,IF(ISNUMBER(SEARCH("退",INDEX(次果筐明细!$F$4:$F$603,$Z457-5200)&amp;"")),"",IF(N(INDEX(次果筐明细!$G$4:$G$603,$Z457-5200))=0,"",N(INDEX(次果筐明细!$G$4:$G$603,$Z457-5200)))),"")))))</f>
        <v/>
      </c>
      <c r="P457" s="40" t="str">
        <f>IF($Z457="","",IF($Z457&lt;=2000,"",IF($Z457&lt;=4000,IF(N(INDEX(周转筐出入库明细!$I$4:$I$2004,$Z457-2000))=0,"",N(INDEX(周转筐出入库明细!$I$4:$I$2004,$Z457-2000))),IF($Z457&lt;=5200,"",IF($Z457&lt;=5800,IF(ISNUMBER(SEARCH("退",INDEX(次果筐明细!$F$4:$F$603,$Z457-5200)&amp;"")),IF(N(INDEX(次果筐明细!$G$4:$G$603,$Z457-5200))=0,"",N(INDEX(次果筐明细!$G$4:$G$603,$Z457-5200))),""),"")))))</f>
        <v/>
      </c>
      <c r="Q457" s="40" t="str">
        <f>IF($Z457="","",IF($Z457&lt;=2000,"",IF($Z457&lt;=4000,IF(N(INDEX(周转筐出入库明细!$H$4:$H$2004,$Z457-2000))=0,"",N(INDEX(周转筐出入库明细!$H$4:$H$2004,$Z457-2000))),IF($Z457&lt;=5200,IF(N(INDEX(客户自备加工筐明细!$F$4:$F$1203,$Z457-4000))=0,"",N(INDEX(客户自备加工筐明细!$F$4:$F$1203,$Z457-4000))),IF($Z457&lt;=5800,"","")))))</f>
        <v/>
      </c>
      <c r="R457" s="16" t="str">
        <f>IF($Z457="","",IF($Z457&lt;=2000,IF(INDEX(包装物料出入库明细!$O$4:$O$2003,$Z457-0)=0,"",INDEX(包装物料出入库明细!$O$4:$O$2003,$Z457-0)),IF($Z457&lt;=4000,IF(INDEX(周转筐出入库明细!$M$4:$M$2004,$Z457-2000)=0,"",INDEX(周转筐出入库明细!$M$4:$M$2004,$Z457-2000)),IF($Z457&lt;=5200,IF(INDEX(客户自备加工筐明细!$H$4:$H$1203,$Z457-4000)=0,"",INDEX(客户自备加工筐明细!$H$4:$H$1203,$Z457-4000)),IF($Z457&lt;=5800,IF(INDEX(次果筐明细!$H$4:$H$603,$Z457-5200)=0,"",INDEX(次果筐明细!$H$4:$H$603,$Z457-5200)),"")))))</f>
        <v/>
      </c>
      <c r="S457" s="22" t="str">
        <f t="shared" si="23"/>
        <v/>
      </c>
      <c r="Z457" s="10" t="str">
        <f>IFERROR(MATCH(ROW()-3,_自动清单!$CQ$4:$CQ$5803,0),"")</f>
        <v/>
      </c>
    </row>
    <row r="458" spans="1:26">
      <c r="A458" s="24" t="str">
        <f t="shared" si="21"/>
        <v/>
      </c>
      <c r="B458" s="38" t="str">
        <f>IF($Z458="","",IF($Z458&lt;=2000,IF(INDEX(包装物料出入库明细!$B$4:$B$2003,$Z458-0)=0,"",INDEX(包装物料出入库明细!$B$4:$B$2003,$Z458-0)),IF($Z458&lt;=4000,IF(INDEX(周转筐出入库明细!$B$4:$B$2004,$Z458-2000)=0,"",INDEX(周转筐出入库明细!$B$4:$B$2004,$Z458-2000)),IF($Z458&lt;=5200,IF(INDEX(客户自备加工筐明细!$B$4:$B$1203,$Z458-4000)=0,"",INDEX(客户自备加工筐明细!$B$4:$B$1203,$Z458-4000)),IF($Z458&lt;=5800,IF(INDEX(次果筐明细!$B$4:$B$603,$Z458-5200)=0,"",INDEX(次果筐明细!$B$4:$B$603,$Z458-5200)),"")))))</f>
        <v/>
      </c>
      <c r="C458" s="37" t="str">
        <f>IF($Z458="","",IF($Z458&lt;=2000,IF(INDEX(包装物料出入库明细!$D$4:$D$2003,$Z458-0)=0,"",INDEX(包装物料出入库明细!$D$4:$D$2003,$Z458-0)),IF($Z458&lt;=4000,IF(INDEX(周转筐出入库明细!$C$4:$C$2004,$Z458-2000)=0,"",INDEX(周转筐出入库明细!$C$4:$C$2004,$Z458-2000)),IF($Z458&lt;=5200,IF(INDEX(客户自备加工筐明细!$E$4:$E$1203,$Z458-4000)=0,"",INDEX(客户自备加工筐明细!$E$4:$E$1203,$Z458-4000)),IF($Z458&lt;=5800,IF(INDEX(次果筐明细!$C$4:$C$603,$Z458-5200)=0,"",INDEX(次果筐明细!$C$4:$C$603,$Z458-5200)),"")))))</f>
        <v/>
      </c>
      <c r="D458" s="37" t="str">
        <f>IF($Z458="","",IF($Z458&lt;=2000,"包装物料－"&amp;INDEX(包装物料出入库明细!$H$4:$H$2003,$Z458-0),IF($Z458&lt;=4000,"周转筐－"&amp;INDEX(周转筐出入库明细!$F$4:$F$2004,$Z458-2000),IF($Z458&lt;=5200,"客户自备筐－"&amp;INDEX(客户自备加工筐明细!$J$4:$J$1203,$Z458-4000),IF($Z458&lt;=5800,"次果筐/托盘－"&amp;INDEX(次果筐明细!$F$4:$F$603,$Z458-5200),"")))))</f>
        <v/>
      </c>
      <c r="E458" s="24" t="str">
        <f>IF($Z458="","",IF($Z458&lt;=2000,IF(INDEX(包装物料出入库明细!$C$4:$C$2003,$Z458-0)=0,"",INDEX(包装物料出入库明细!$C$4:$C$2003,$Z458-0)),IF($Z458&lt;=4000,IF(INDEX(周转筐出入库明细!$E$4:$E$2004,$Z458-2000)=0,"",INDEX(周转筐出入库明细!$E$4:$E$2004,$Z458-2000)),IF($Z458&lt;=5200,IF(INDEX(客户自备加工筐明细!$D$4:$D$1203,$Z458-4000)=0,"",INDEX(客户自备加工筐明细!$D$4:$D$1203,$Z458-4000)),IF($Z458&lt;=5800,IF(INDEX(次果筐明细!$E$4:$E$603,$Z458-5200)=0,"",INDEX(次果筐明细!$E$4:$E$603,$Z458-5200)),"")))))</f>
        <v/>
      </c>
      <c r="F458" s="24" t="str">
        <f>IF($Z458="","",IF($Z458&lt;=2000,IF(INDEX(包装物料出入库明细!$E$4:$E$2003,$Z458-0)=0,"",INDEX(包装物料出入库明细!$E$4:$E$2003,$Z458-0)),IF($Z458&lt;=4000,IF(INDEX(周转筐出入库明细!$D$4:$D$2004,$Z458-2000)=0,"",INDEX(周转筐出入库明细!$D$4:$D$2004,$Z458-2000)),IF($Z458&lt;=5200,IF(INDEX(客户自备加工筐明细!$C$4:$C$1203,$Z458-4000)=0,"",INDEX(客户自备加工筐明细!$C$4:$C$1203,$Z458-4000)),IF($Z458&lt;=5800,IF(INDEX(次果筐明细!$D$4:$D$603,$Z458-5200)=0,"",INDEX(次果筐明细!$D$4:$D$603,$Z458-5200)),"")))))</f>
        <v/>
      </c>
      <c r="G458" s="24" t="str">
        <f>IF($Z458="","",IF($Z458&lt;=2000,IF(INDEX(包装物料出入库明细!$F$4:$F$2003,$Z458-0)=0,"",INDEX(包装物料出入库明细!$F$4:$F$2003,$Z458-0)),IF($Z458&lt;=4000,"",IF($Z458&lt;=5200,"",IF($Z458&lt;=5800,"","")))))</f>
        <v/>
      </c>
      <c r="H458" s="39" t="str">
        <f>IF($Z458="","",IF($Z458&lt;=2000,IF(INDEX(包装物料出入库明细!$L$4:$L$2003,$Z458-0)=0,"",INDEX(包装物料出入库明细!$L$4:$L$2003,$Z458-0)),IF($Z458&lt;=4000,N(INDEX(周转筐出入库明细!$H$4:$H$2004,$Z458-2000))+N(INDEX(周转筐出入库明细!$I$4:$I$2004,$Z458-2000))+N(INDEX(周转筐出入库明细!$J$4:$J$2004,$Z458-2000))+N(INDEX(周转筐出入库明细!$K$4:$K$2004,$Z458-2000)),IF($Z458&lt;=5200,N(INDEX(客户自备加工筐明细!$F$4:$F$1203,$Z458-4000))+N(INDEX(客户自备加工筐明细!$G$4:$G$1203,$Z458-4000)),IF($Z458&lt;=5800,IF(INDEX(次果筐明细!$G$4:$G$603,$Z458-5200)=0,"",INDEX(次果筐明细!$G$4:$G$603,$Z458-5200)),"")))))</f>
        <v/>
      </c>
      <c r="I458" s="24" t="str">
        <f>IF($Z458="","",IF($Z458&lt;=2000,IF(INDEX(包装物料出入库明细!$G$4:$G$2003,$Z458-0)=0,"",INDEX(包装物料出入库明细!$G$4:$G$2003,$Z458-0)),IF($Z458&lt;=4000,"个",IF($Z458&lt;=5200,"个",IF($Z458&lt;=5800,"个","")))))</f>
        <v/>
      </c>
      <c r="J458" s="30" t="str">
        <f t="shared" si="22"/>
        <v/>
      </c>
      <c r="K458" s="30" t="str">
        <f>IF($Z458="","",IF($Z458&lt;=2000,IF(INDEX(包装物料出入库明细!$N$4:$N$2003,$Z458-0)=0,"",INDEX(包装物料出入库明细!$N$4:$N$2003,$Z458-0)),IF($Z458&lt;=4000,IF(INDEX(周转筐出入库明细!$P$4:$P$2004,$Z458-2000)=0,"",INDEX(周转筐出入库明细!$P$4:$P$2004,$Z458-2000)),IF($Z458&lt;=5200,"",IF($Z458&lt;=5800,N(INDEX(次果筐明细!$L$4:$L$603,$Z458-5200))+N(INDEX(次果筐明细!$J$4:$J$603,$Z458-5200)),"")))))</f>
        <v/>
      </c>
      <c r="L458" s="24" t="str">
        <f>IF($Z458="","",IF($Z458&lt;=2000,IF(INDEX(包装物料出入库明细!$P$4:$P$2003,$Z458-0)=0,"",INDEX(包装物料出入库明细!$P$4:$P$2003,$Z458-0)),IF($Z458&lt;=4000,IF(INDEX(周转筐出入库明细!$Q$4:$Q$2004,$Z458-2000)=0,"",INDEX(周转筐出入库明细!$Q$4:$Q$2004,$Z458-2000)),IF($Z458&lt;=5200,"",IF($Z458&lt;=5800,IF(INDEX(次果筐明细!$M$4:$M$603,$Z458-5200)=0,"",INDEX(次果筐明细!$M$4:$M$603,$Z458-5200)),"")))))</f>
        <v/>
      </c>
      <c r="M458" s="37" t="str">
        <f>IF($Z458="","",IF($Z458&lt;=2000,IF(INDEX(包装物料出入库明细!$R$4:$R$2003,$Z458-0)=0,"",INDEX(包装物料出入库明细!$R$4:$R$2003,$Z458-0)),IF($Z458&lt;=4000,IF(INDEX(周转筐出入库明细!$W$4:$W$2004,$Z458-2000)=0,"",INDEX(周转筐出入库明细!$W$4:$W$2004,$Z458-2000)),IF($Z458&lt;=5200,IF(INDEX(客户自备加工筐明细!$L$4:$L$1203,$Z458-4000)=0,"",INDEX(客户自备加工筐明细!$L$4:$L$1203,$Z458-4000)),IF($Z458&lt;=5800,IF(INDEX(次果筐明细!$P$4:$P$603,$Z458-5200)=0,"",INDEX(次果筐明细!$P$4:$P$603,$Z458-5200)),"")))))</f>
        <v/>
      </c>
      <c r="N458" s="16" t="str">
        <f>IF($Z458="","",IF($Z458&lt;=2000,"",IF($Z458&lt;=4000,IF(INDEX(周转筐出入库明细!$D$4:$D$2004,$Z458-2000)=0,"",INDEX(周转筐出入库明细!$D$4:$D$2004,$Z458-2000)),IF($Z458&lt;=5200,IF(INDEX(客户自备加工筐明细!$C$4:$C$1203,$Z458-4000)=0,"",INDEX(客户自备加工筐明细!$C$4:$C$1203,$Z458-4000)),IF($Z458&lt;=5800,IF(INDEX(次果筐明细!$D$4:$D$603,$Z458-5200)=0,"",INDEX(次果筐明细!$D$4:$D$603,$Z458-5200)),"")))))</f>
        <v/>
      </c>
      <c r="O458" s="40" t="str">
        <f>IF($Z458="","",IF($Z458&lt;=2000,"",IF($Z458&lt;=4000,IF(N(INDEX(周转筐出入库明细!$J$4:$J$2004,$Z458-2000))+N(INDEX(周转筐出入库明细!$K$4:$K$2004,$Z458-2000))=0,"",N(INDEX(周转筐出入库明细!$J$4:$J$2004,$Z458-2000))+N(INDEX(周转筐出入库明细!$K$4:$K$2004,$Z458-2000))),IF($Z458&lt;=5200,IF(N(INDEX(客户自备加工筐明细!$G$4:$G$1203,$Z458-4000))=0,"",N(INDEX(客户自备加工筐明细!$G$4:$G$1203,$Z458-4000))),IF($Z458&lt;=5800,IF(ISNUMBER(SEARCH("退",INDEX(次果筐明细!$F$4:$F$603,$Z458-5200)&amp;"")),"",IF(N(INDEX(次果筐明细!$G$4:$G$603,$Z458-5200))=0,"",N(INDEX(次果筐明细!$G$4:$G$603,$Z458-5200)))),"")))))</f>
        <v/>
      </c>
      <c r="P458" s="40" t="str">
        <f>IF($Z458="","",IF($Z458&lt;=2000,"",IF($Z458&lt;=4000,IF(N(INDEX(周转筐出入库明细!$I$4:$I$2004,$Z458-2000))=0,"",N(INDEX(周转筐出入库明细!$I$4:$I$2004,$Z458-2000))),IF($Z458&lt;=5200,"",IF($Z458&lt;=5800,IF(ISNUMBER(SEARCH("退",INDEX(次果筐明细!$F$4:$F$603,$Z458-5200)&amp;"")),IF(N(INDEX(次果筐明细!$G$4:$G$603,$Z458-5200))=0,"",N(INDEX(次果筐明细!$G$4:$G$603,$Z458-5200))),""),"")))))</f>
        <v/>
      </c>
      <c r="Q458" s="40" t="str">
        <f>IF($Z458="","",IF($Z458&lt;=2000,"",IF($Z458&lt;=4000,IF(N(INDEX(周转筐出入库明细!$H$4:$H$2004,$Z458-2000))=0,"",N(INDEX(周转筐出入库明细!$H$4:$H$2004,$Z458-2000))),IF($Z458&lt;=5200,IF(N(INDEX(客户自备加工筐明细!$F$4:$F$1203,$Z458-4000))=0,"",N(INDEX(客户自备加工筐明细!$F$4:$F$1203,$Z458-4000))),IF($Z458&lt;=5800,"","")))))</f>
        <v/>
      </c>
      <c r="R458" s="16" t="str">
        <f>IF($Z458="","",IF($Z458&lt;=2000,IF(INDEX(包装物料出入库明细!$O$4:$O$2003,$Z458-0)=0,"",INDEX(包装物料出入库明细!$O$4:$O$2003,$Z458-0)),IF($Z458&lt;=4000,IF(INDEX(周转筐出入库明细!$M$4:$M$2004,$Z458-2000)=0,"",INDEX(周转筐出入库明细!$M$4:$M$2004,$Z458-2000)),IF($Z458&lt;=5200,IF(INDEX(客户自备加工筐明细!$H$4:$H$1203,$Z458-4000)=0,"",INDEX(客户自备加工筐明细!$H$4:$H$1203,$Z458-4000)),IF($Z458&lt;=5800,IF(INDEX(次果筐明细!$H$4:$H$603,$Z458-5200)=0,"",INDEX(次果筐明细!$H$4:$H$603,$Z458-5200)),"")))))</f>
        <v/>
      </c>
      <c r="S458" s="22" t="str">
        <f t="shared" si="23"/>
        <v/>
      </c>
      <c r="Z458" s="10" t="str">
        <f>IFERROR(MATCH(ROW()-3,_自动清单!$CQ$4:$CQ$5803,0),"")</f>
        <v/>
      </c>
    </row>
    <row r="459" spans="1:26">
      <c r="A459" s="24" t="str">
        <f t="shared" si="21"/>
        <v/>
      </c>
      <c r="B459" s="38" t="str">
        <f>IF($Z459="","",IF($Z459&lt;=2000,IF(INDEX(包装物料出入库明细!$B$4:$B$2003,$Z459-0)=0,"",INDEX(包装物料出入库明细!$B$4:$B$2003,$Z459-0)),IF($Z459&lt;=4000,IF(INDEX(周转筐出入库明细!$B$4:$B$2004,$Z459-2000)=0,"",INDEX(周转筐出入库明细!$B$4:$B$2004,$Z459-2000)),IF($Z459&lt;=5200,IF(INDEX(客户自备加工筐明细!$B$4:$B$1203,$Z459-4000)=0,"",INDEX(客户自备加工筐明细!$B$4:$B$1203,$Z459-4000)),IF($Z459&lt;=5800,IF(INDEX(次果筐明细!$B$4:$B$603,$Z459-5200)=0,"",INDEX(次果筐明细!$B$4:$B$603,$Z459-5200)),"")))))</f>
        <v/>
      </c>
      <c r="C459" s="37" t="str">
        <f>IF($Z459="","",IF($Z459&lt;=2000,IF(INDEX(包装物料出入库明细!$D$4:$D$2003,$Z459-0)=0,"",INDEX(包装物料出入库明细!$D$4:$D$2003,$Z459-0)),IF($Z459&lt;=4000,IF(INDEX(周转筐出入库明细!$C$4:$C$2004,$Z459-2000)=0,"",INDEX(周转筐出入库明细!$C$4:$C$2004,$Z459-2000)),IF($Z459&lt;=5200,IF(INDEX(客户自备加工筐明细!$E$4:$E$1203,$Z459-4000)=0,"",INDEX(客户自备加工筐明细!$E$4:$E$1203,$Z459-4000)),IF($Z459&lt;=5800,IF(INDEX(次果筐明细!$C$4:$C$603,$Z459-5200)=0,"",INDEX(次果筐明细!$C$4:$C$603,$Z459-5200)),"")))))</f>
        <v/>
      </c>
      <c r="D459" s="37" t="str">
        <f>IF($Z459="","",IF($Z459&lt;=2000,"包装物料－"&amp;INDEX(包装物料出入库明细!$H$4:$H$2003,$Z459-0),IF($Z459&lt;=4000,"周转筐－"&amp;INDEX(周转筐出入库明细!$F$4:$F$2004,$Z459-2000),IF($Z459&lt;=5200,"客户自备筐－"&amp;INDEX(客户自备加工筐明细!$J$4:$J$1203,$Z459-4000),IF($Z459&lt;=5800,"次果筐/托盘－"&amp;INDEX(次果筐明细!$F$4:$F$603,$Z459-5200),"")))))</f>
        <v/>
      </c>
      <c r="E459" s="24" t="str">
        <f>IF($Z459="","",IF($Z459&lt;=2000,IF(INDEX(包装物料出入库明细!$C$4:$C$2003,$Z459-0)=0,"",INDEX(包装物料出入库明细!$C$4:$C$2003,$Z459-0)),IF($Z459&lt;=4000,IF(INDEX(周转筐出入库明细!$E$4:$E$2004,$Z459-2000)=0,"",INDEX(周转筐出入库明细!$E$4:$E$2004,$Z459-2000)),IF($Z459&lt;=5200,IF(INDEX(客户自备加工筐明细!$D$4:$D$1203,$Z459-4000)=0,"",INDEX(客户自备加工筐明细!$D$4:$D$1203,$Z459-4000)),IF($Z459&lt;=5800,IF(INDEX(次果筐明细!$E$4:$E$603,$Z459-5200)=0,"",INDEX(次果筐明细!$E$4:$E$603,$Z459-5200)),"")))))</f>
        <v/>
      </c>
      <c r="F459" s="24" t="str">
        <f>IF($Z459="","",IF($Z459&lt;=2000,IF(INDEX(包装物料出入库明细!$E$4:$E$2003,$Z459-0)=0,"",INDEX(包装物料出入库明细!$E$4:$E$2003,$Z459-0)),IF($Z459&lt;=4000,IF(INDEX(周转筐出入库明细!$D$4:$D$2004,$Z459-2000)=0,"",INDEX(周转筐出入库明细!$D$4:$D$2004,$Z459-2000)),IF($Z459&lt;=5200,IF(INDEX(客户自备加工筐明细!$C$4:$C$1203,$Z459-4000)=0,"",INDEX(客户自备加工筐明细!$C$4:$C$1203,$Z459-4000)),IF($Z459&lt;=5800,IF(INDEX(次果筐明细!$D$4:$D$603,$Z459-5200)=0,"",INDEX(次果筐明细!$D$4:$D$603,$Z459-5200)),"")))))</f>
        <v/>
      </c>
      <c r="G459" s="24" t="str">
        <f>IF($Z459="","",IF($Z459&lt;=2000,IF(INDEX(包装物料出入库明细!$F$4:$F$2003,$Z459-0)=0,"",INDEX(包装物料出入库明细!$F$4:$F$2003,$Z459-0)),IF($Z459&lt;=4000,"",IF($Z459&lt;=5200,"",IF($Z459&lt;=5800,"","")))))</f>
        <v/>
      </c>
      <c r="H459" s="39" t="str">
        <f>IF($Z459="","",IF($Z459&lt;=2000,IF(INDEX(包装物料出入库明细!$L$4:$L$2003,$Z459-0)=0,"",INDEX(包装物料出入库明细!$L$4:$L$2003,$Z459-0)),IF($Z459&lt;=4000,N(INDEX(周转筐出入库明细!$H$4:$H$2004,$Z459-2000))+N(INDEX(周转筐出入库明细!$I$4:$I$2004,$Z459-2000))+N(INDEX(周转筐出入库明细!$J$4:$J$2004,$Z459-2000))+N(INDEX(周转筐出入库明细!$K$4:$K$2004,$Z459-2000)),IF($Z459&lt;=5200,N(INDEX(客户自备加工筐明细!$F$4:$F$1203,$Z459-4000))+N(INDEX(客户自备加工筐明细!$G$4:$G$1203,$Z459-4000)),IF($Z459&lt;=5800,IF(INDEX(次果筐明细!$G$4:$G$603,$Z459-5200)=0,"",INDEX(次果筐明细!$G$4:$G$603,$Z459-5200)),"")))))</f>
        <v/>
      </c>
      <c r="I459" s="24" t="str">
        <f>IF($Z459="","",IF($Z459&lt;=2000,IF(INDEX(包装物料出入库明细!$G$4:$G$2003,$Z459-0)=0,"",INDEX(包装物料出入库明细!$G$4:$G$2003,$Z459-0)),IF($Z459&lt;=4000,"个",IF($Z459&lt;=5200,"个",IF($Z459&lt;=5800,"个","")))))</f>
        <v/>
      </c>
      <c r="J459" s="30" t="str">
        <f t="shared" si="22"/>
        <v/>
      </c>
      <c r="K459" s="30" t="str">
        <f>IF($Z459="","",IF($Z459&lt;=2000,IF(INDEX(包装物料出入库明细!$N$4:$N$2003,$Z459-0)=0,"",INDEX(包装物料出入库明细!$N$4:$N$2003,$Z459-0)),IF($Z459&lt;=4000,IF(INDEX(周转筐出入库明细!$P$4:$P$2004,$Z459-2000)=0,"",INDEX(周转筐出入库明细!$P$4:$P$2004,$Z459-2000)),IF($Z459&lt;=5200,"",IF($Z459&lt;=5800,N(INDEX(次果筐明细!$L$4:$L$603,$Z459-5200))+N(INDEX(次果筐明细!$J$4:$J$603,$Z459-5200)),"")))))</f>
        <v/>
      </c>
      <c r="L459" s="24" t="str">
        <f>IF($Z459="","",IF($Z459&lt;=2000,IF(INDEX(包装物料出入库明细!$P$4:$P$2003,$Z459-0)=0,"",INDEX(包装物料出入库明细!$P$4:$P$2003,$Z459-0)),IF($Z459&lt;=4000,IF(INDEX(周转筐出入库明细!$Q$4:$Q$2004,$Z459-2000)=0,"",INDEX(周转筐出入库明细!$Q$4:$Q$2004,$Z459-2000)),IF($Z459&lt;=5200,"",IF($Z459&lt;=5800,IF(INDEX(次果筐明细!$M$4:$M$603,$Z459-5200)=0,"",INDEX(次果筐明细!$M$4:$M$603,$Z459-5200)),"")))))</f>
        <v/>
      </c>
      <c r="M459" s="37" t="str">
        <f>IF($Z459="","",IF($Z459&lt;=2000,IF(INDEX(包装物料出入库明细!$R$4:$R$2003,$Z459-0)=0,"",INDEX(包装物料出入库明细!$R$4:$R$2003,$Z459-0)),IF($Z459&lt;=4000,IF(INDEX(周转筐出入库明细!$W$4:$W$2004,$Z459-2000)=0,"",INDEX(周转筐出入库明细!$W$4:$W$2004,$Z459-2000)),IF($Z459&lt;=5200,IF(INDEX(客户自备加工筐明细!$L$4:$L$1203,$Z459-4000)=0,"",INDEX(客户自备加工筐明细!$L$4:$L$1203,$Z459-4000)),IF($Z459&lt;=5800,IF(INDEX(次果筐明细!$P$4:$P$603,$Z459-5200)=0,"",INDEX(次果筐明细!$P$4:$P$603,$Z459-5200)),"")))))</f>
        <v/>
      </c>
      <c r="N459" s="16" t="str">
        <f>IF($Z459="","",IF($Z459&lt;=2000,"",IF($Z459&lt;=4000,IF(INDEX(周转筐出入库明细!$D$4:$D$2004,$Z459-2000)=0,"",INDEX(周转筐出入库明细!$D$4:$D$2004,$Z459-2000)),IF($Z459&lt;=5200,IF(INDEX(客户自备加工筐明细!$C$4:$C$1203,$Z459-4000)=0,"",INDEX(客户自备加工筐明细!$C$4:$C$1203,$Z459-4000)),IF($Z459&lt;=5800,IF(INDEX(次果筐明细!$D$4:$D$603,$Z459-5200)=0,"",INDEX(次果筐明细!$D$4:$D$603,$Z459-5200)),"")))))</f>
        <v/>
      </c>
      <c r="O459" s="40" t="str">
        <f>IF($Z459="","",IF($Z459&lt;=2000,"",IF($Z459&lt;=4000,IF(N(INDEX(周转筐出入库明细!$J$4:$J$2004,$Z459-2000))+N(INDEX(周转筐出入库明细!$K$4:$K$2004,$Z459-2000))=0,"",N(INDEX(周转筐出入库明细!$J$4:$J$2004,$Z459-2000))+N(INDEX(周转筐出入库明细!$K$4:$K$2004,$Z459-2000))),IF($Z459&lt;=5200,IF(N(INDEX(客户自备加工筐明细!$G$4:$G$1203,$Z459-4000))=0,"",N(INDEX(客户自备加工筐明细!$G$4:$G$1203,$Z459-4000))),IF($Z459&lt;=5800,IF(ISNUMBER(SEARCH("退",INDEX(次果筐明细!$F$4:$F$603,$Z459-5200)&amp;"")),"",IF(N(INDEX(次果筐明细!$G$4:$G$603,$Z459-5200))=0,"",N(INDEX(次果筐明细!$G$4:$G$603,$Z459-5200)))),"")))))</f>
        <v/>
      </c>
      <c r="P459" s="40" t="str">
        <f>IF($Z459="","",IF($Z459&lt;=2000,"",IF($Z459&lt;=4000,IF(N(INDEX(周转筐出入库明细!$I$4:$I$2004,$Z459-2000))=0,"",N(INDEX(周转筐出入库明细!$I$4:$I$2004,$Z459-2000))),IF($Z459&lt;=5200,"",IF($Z459&lt;=5800,IF(ISNUMBER(SEARCH("退",INDEX(次果筐明细!$F$4:$F$603,$Z459-5200)&amp;"")),IF(N(INDEX(次果筐明细!$G$4:$G$603,$Z459-5200))=0,"",N(INDEX(次果筐明细!$G$4:$G$603,$Z459-5200))),""),"")))))</f>
        <v/>
      </c>
      <c r="Q459" s="40" t="str">
        <f>IF($Z459="","",IF($Z459&lt;=2000,"",IF($Z459&lt;=4000,IF(N(INDEX(周转筐出入库明细!$H$4:$H$2004,$Z459-2000))=0,"",N(INDEX(周转筐出入库明细!$H$4:$H$2004,$Z459-2000))),IF($Z459&lt;=5200,IF(N(INDEX(客户自备加工筐明细!$F$4:$F$1203,$Z459-4000))=0,"",N(INDEX(客户自备加工筐明细!$F$4:$F$1203,$Z459-4000))),IF($Z459&lt;=5800,"","")))))</f>
        <v/>
      </c>
      <c r="R459" s="16" t="str">
        <f>IF($Z459="","",IF($Z459&lt;=2000,IF(INDEX(包装物料出入库明细!$O$4:$O$2003,$Z459-0)=0,"",INDEX(包装物料出入库明细!$O$4:$O$2003,$Z459-0)),IF($Z459&lt;=4000,IF(INDEX(周转筐出入库明细!$M$4:$M$2004,$Z459-2000)=0,"",INDEX(周转筐出入库明细!$M$4:$M$2004,$Z459-2000)),IF($Z459&lt;=5200,IF(INDEX(客户自备加工筐明细!$H$4:$H$1203,$Z459-4000)=0,"",INDEX(客户自备加工筐明细!$H$4:$H$1203,$Z459-4000)),IF($Z459&lt;=5800,IF(INDEX(次果筐明细!$H$4:$H$603,$Z459-5200)=0,"",INDEX(次果筐明细!$H$4:$H$603,$Z459-5200)),"")))))</f>
        <v/>
      </c>
      <c r="S459" s="22" t="str">
        <f t="shared" si="23"/>
        <v/>
      </c>
      <c r="Z459" s="10" t="str">
        <f>IFERROR(MATCH(ROW()-3,_自动清单!$CQ$4:$CQ$5803,0),"")</f>
        <v/>
      </c>
    </row>
    <row r="460" spans="1:26">
      <c r="A460" s="24" t="str">
        <f t="shared" si="21"/>
        <v/>
      </c>
      <c r="B460" s="38" t="str">
        <f>IF($Z460="","",IF($Z460&lt;=2000,IF(INDEX(包装物料出入库明细!$B$4:$B$2003,$Z460-0)=0,"",INDEX(包装物料出入库明细!$B$4:$B$2003,$Z460-0)),IF($Z460&lt;=4000,IF(INDEX(周转筐出入库明细!$B$4:$B$2004,$Z460-2000)=0,"",INDEX(周转筐出入库明细!$B$4:$B$2004,$Z460-2000)),IF($Z460&lt;=5200,IF(INDEX(客户自备加工筐明细!$B$4:$B$1203,$Z460-4000)=0,"",INDEX(客户自备加工筐明细!$B$4:$B$1203,$Z460-4000)),IF($Z460&lt;=5800,IF(INDEX(次果筐明细!$B$4:$B$603,$Z460-5200)=0,"",INDEX(次果筐明细!$B$4:$B$603,$Z460-5200)),"")))))</f>
        <v/>
      </c>
      <c r="C460" s="37" t="str">
        <f>IF($Z460="","",IF($Z460&lt;=2000,IF(INDEX(包装物料出入库明细!$D$4:$D$2003,$Z460-0)=0,"",INDEX(包装物料出入库明细!$D$4:$D$2003,$Z460-0)),IF($Z460&lt;=4000,IF(INDEX(周转筐出入库明细!$C$4:$C$2004,$Z460-2000)=0,"",INDEX(周转筐出入库明细!$C$4:$C$2004,$Z460-2000)),IF($Z460&lt;=5200,IF(INDEX(客户自备加工筐明细!$E$4:$E$1203,$Z460-4000)=0,"",INDEX(客户自备加工筐明细!$E$4:$E$1203,$Z460-4000)),IF($Z460&lt;=5800,IF(INDEX(次果筐明细!$C$4:$C$603,$Z460-5200)=0,"",INDEX(次果筐明细!$C$4:$C$603,$Z460-5200)),"")))))</f>
        <v/>
      </c>
      <c r="D460" s="37" t="str">
        <f>IF($Z460="","",IF($Z460&lt;=2000,"包装物料－"&amp;INDEX(包装物料出入库明细!$H$4:$H$2003,$Z460-0),IF($Z460&lt;=4000,"周转筐－"&amp;INDEX(周转筐出入库明细!$F$4:$F$2004,$Z460-2000),IF($Z460&lt;=5200,"客户自备筐－"&amp;INDEX(客户自备加工筐明细!$J$4:$J$1203,$Z460-4000),IF($Z460&lt;=5800,"次果筐/托盘－"&amp;INDEX(次果筐明细!$F$4:$F$603,$Z460-5200),"")))))</f>
        <v/>
      </c>
      <c r="E460" s="24" t="str">
        <f>IF($Z460="","",IF($Z460&lt;=2000,IF(INDEX(包装物料出入库明细!$C$4:$C$2003,$Z460-0)=0,"",INDEX(包装物料出入库明细!$C$4:$C$2003,$Z460-0)),IF($Z460&lt;=4000,IF(INDEX(周转筐出入库明细!$E$4:$E$2004,$Z460-2000)=0,"",INDEX(周转筐出入库明细!$E$4:$E$2004,$Z460-2000)),IF($Z460&lt;=5200,IF(INDEX(客户自备加工筐明细!$D$4:$D$1203,$Z460-4000)=0,"",INDEX(客户自备加工筐明细!$D$4:$D$1203,$Z460-4000)),IF($Z460&lt;=5800,IF(INDEX(次果筐明细!$E$4:$E$603,$Z460-5200)=0,"",INDEX(次果筐明细!$E$4:$E$603,$Z460-5200)),"")))))</f>
        <v/>
      </c>
      <c r="F460" s="24" t="str">
        <f>IF($Z460="","",IF($Z460&lt;=2000,IF(INDEX(包装物料出入库明细!$E$4:$E$2003,$Z460-0)=0,"",INDEX(包装物料出入库明细!$E$4:$E$2003,$Z460-0)),IF($Z460&lt;=4000,IF(INDEX(周转筐出入库明细!$D$4:$D$2004,$Z460-2000)=0,"",INDEX(周转筐出入库明细!$D$4:$D$2004,$Z460-2000)),IF($Z460&lt;=5200,IF(INDEX(客户自备加工筐明细!$C$4:$C$1203,$Z460-4000)=0,"",INDEX(客户自备加工筐明细!$C$4:$C$1203,$Z460-4000)),IF($Z460&lt;=5800,IF(INDEX(次果筐明细!$D$4:$D$603,$Z460-5200)=0,"",INDEX(次果筐明细!$D$4:$D$603,$Z460-5200)),"")))))</f>
        <v/>
      </c>
      <c r="G460" s="24" t="str">
        <f>IF($Z460="","",IF($Z460&lt;=2000,IF(INDEX(包装物料出入库明细!$F$4:$F$2003,$Z460-0)=0,"",INDEX(包装物料出入库明细!$F$4:$F$2003,$Z460-0)),IF($Z460&lt;=4000,"",IF($Z460&lt;=5200,"",IF($Z460&lt;=5800,"","")))))</f>
        <v/>
      </c>
      <c r="H460" s="39" t="str">
        <f>IF($Z460="","",IF($Z460&lt;=2000,IF(INDEX(包装物料出入库明细!$L$4:$L$2003,$Z460-0)=0,"",INDEX(包装物料出入库明细!$L$4:$L$2003,$Z460-0)),IF($Z460&lt;=4000,N(INDEX(周转筐出入库明细!$H$4:$H$2004,$Z460-2000))+N(INDEX(周转筐出入库明细!$I$4:$I$2004,$Z460-2000))+N(INDEX(周转筐出入库明细!$J$4:$J$2004,$Z460-2000))+N(INDEX(周转筐出入库明细!$K$4:$K$2004,$Z460-2000)),IF($Z460&lt;=5200,N(INDEX(客户自备加工筐明细!$F$4:$F$1203,$Z460-4000))+N(INDEX(客户自备加工筐明细!$G$4:$G$1203,$Z460-4000)),IF($Z460&lt;=5800,IF(INDEX(次果筐明细!$G$4:$G$603,$Z460-5200)=0,"",INDEX(次果筐明细!$G$4:$G$603,$Z460-5200)),"")))))</f>
        <v/>
      </c>
      <c r="I460" s="24" t="str">
        <f>IF($Z460="","",IF($Z460&lt;=2000,IF(INDEX(包装物料出入库明细!$G$4:$G$2003,$Z460-0)=0,"",INDEX(包装物料出入库明细!$G$4:$G$2003,$Z460-0)),IF($Z460&lt;=4000,"个",IF($Z460&lt;=5200,"个",IF($Z460&lt;=5800,"个","")))))</f>
        <v/>
      </c>
      <c r="J460" s="30" t="str">
        <f t="shared" si="22"/>
        <v/>
      </c>
      <c r="K460" s="30" t="str">
        <f>IF($Z460="","",IF($Z460&lt;=2000,IF(INDEX(包装物料出入库明细!$N$4:$N$2003,$Z460-0)=0,"",INDEX(包装物料出入库明细!$N$4:$N$2003,$Z460-0)),IF($Z460&lt;=4000,IF(INDEX(周转筐出入库明细!$P$4:$P$2004,$Z460-2000)=0,"",INDEX(周转筐出入库明细!$P$4:$P$2004,$Z460-2000)),IF($Z460&lt;=5200,"",IF($Z460&lt;=5800,N(INDEX(次果筐明细!$L$4:$L$603,$Z460-5200))+N(INDEX(次果筐明细!$J$4:$J$603,$Z460-5200)),"")))))</f>
        <v/>
      </c>
      <c r="L460" s="24" t="str">
        <f>IF($Z460="","",IF($Z460&lt;=2000,IF(INDEX(包装物料出入库明细!$P$4:$P$2003,$Z460-0)=0,"",INDEX(包装物料出入库明细!$P$4:$P$2003,$Z460-0)),IF($Z460&lt;=4000,IF(INDEX(周转筐出入库明细!$Q$4:$Q$2004,$Z460-2000)=0,"",INDEX(周转筐出入库明细!$Q$4:$Q$2004,$Z460-2000)),IF($Z460&lt;=5200,"",IF($Z460&lt;=5800,IF(INDEX(次果筐明细!$M$4:$M$603,$Z460-5200)=0,"",INDEX(次果筐明细!$M$4:$M$603,$Z460-5200)),"")))))</f>
        <v/>
      </c>
      <c r="M460" s="37" t="str">
        <f>IF($Z460="","",IF($Z460&lt;=2000,IF(INDEX(包装物料出入库明细!$R$4:$R$2003,$Z460-0)=0,"",INDEX(包装物料出入库明细!$R$4:$R$2003,$Z460-0)),IF($Z460&lt;=4000,IF(INDEX(周转筐出入库明细!$W$4:$W$2004,$Z460-2000)=0,"",INDEX(周转筐出入库明细!$W$4:$W$2004,$Z460-2000)),IF($Z460&lt;=5200,IF(INDEX(客户自备加工筐明细!$L$4:$L$1203,$Z460-4000)=0,"",INDEX(客户自备加工筐明细!$L$4:$L$1203,$Z460-4000)),IF($Z460&lt;=5800,IF(INDEX(次果筐明细!$P$4:$P$603,$Z460-5200)=0,"",INDEX(次果筐明细!$P$4:$P$603,$Z460-5200)),"")))))</f>
        <v/>
      </c>
      <c r="N460" s="16" t="str">
        <f>IF($Z460="","",IF($Z460&lt;=2000,"",IF($Z460&lt;=4000,IF(INDEX(周转筐出入库明细!$D$4:$D$2004,$Z460-2000)=0,"",INDEX(周转筐出入库明细!$D$4:$D$2004,$Z460-2000)),IF($Z460&lt;=5200,IF(INDEX(客户自备加工筐明细!$C$4:$C$1203,$Z460-4000)=0,"",INDEX(客户自备加工筐明细!$C$4:$C$1203,$Z460-4000)),IF($Z460&lt;=5800,IF(INDEX(次果筐明细!$D$4:$D$603,$Z460-5200)=0,"",INDEX(次果筐明细!$D$4:$D$603,$Z460-5200)),"")))))</f>
        <v/>
      </c>
      <c r="O460" s="40" t="str">
        <f>IF($Z460="","",IF($Z460&lt;=2000,"",IF($Z460&lt;=4000,IF(N(INDEX(周转筐出入库明细!$J$4:$J$2004,$Z460-2000))+N(INDEX(周转筐出入库明细!$K$4:$K$2004,$Z460-2000))=0,"",N(INDEX(周转筐出入库明细!$J$4:$J$2004,$Z460-2000))+N(INDEX(周转筐出入库明细!$K$4:$K$2004,$Z460-2000))),IF($Z460&lt;=5200,IF(N(INDEX(客户自备加工筐明细!$G$4:$G$1203,$Z460-4000))=0,"",N(INDEX(客户自备加工筐明细!$G$4:$G$1203,$Z460-4000))),IF($Z460&lt;=5800,IF(ISNUMBER(SEARCH("退",INDEX(次果筐明细!$F$4:$F$603,$Z460-5200)&amp;"")),"",IF(N(INDEX(次果筐明细!$G$4:$G$603,$Z460-5200))=0,"",N(INDEX(次果筐明细!$G$4:$G$603,$Z460-5200)))),"")))))</f>
        <v/>
      </c>
      <c r="P460" s="40" t="str">
        <f>IF($Z460="","",IF($Z460&lt;=2000,"",IF($Z460&lt;=4000,IF(N(INDEX(周转筐出入库明细!$I$4:$I$2004,$Z460-2000))=0,"",N(INDEX(周转筐出入库明细!$I$4:$I$2004,$Z460-2000))),IF($Z460&lt;=5200,"",IF($Z460&lt;=5800,IF(ISNUMBER(SEARCH("退",INDEX(次果筐明细!$F$4:$F$603,$Z460-5200)&amp;"")),IF(N(INDEX(次果筐明细!$G$4:$G$603,$Z460-5200))=0,"",N(INDEX(次果筐明细!$G$4:$G$603,$Z460-5200))),""),"")))))</f>
        <v/>
      </c>
      <c r="Q460" s="40" t="str">
        <f>IF($Z460="","",IF($Z460&lt;=2000,"",IF($Z460&lt;=4000,IF(N(INDEX(周转筐出入库明细!$H$4:$H$2004,$Z460-2000))=0,"",N(INDEX(周转筐出入库明细!$H$4:$H$2004,$Z460-2000))),IF($Z460&lt;=5200,IF(N(INDEX(客户自备加工筐明细!$F$4:$F$1203,$Z460-4000))=0,"",N(INDEX(客户自备加工筐明细!$F$4:$F$1203,$Z460-4000))),IF($Z460&lt;=5800,"","")))))</f>
        <v/>
      </c>
      <c r="R460" s="16" t="str">
        <f>IF($Z460="","",IF($Z460&lt;=2000,IF(INDEX(包装物料出入库明细!$O$4:$O$2003,$Z460-0)=0,"",INDEX(包装物料出入库明细!$O$4:$O$2003,$Z460-0)),IF($Z460&lt;=4000,IF(INDEX(周转筐出入库明细!$M$4:$M$2004,$Z460-2000)=0,"",INDEX(周转筐出入库明细!$M$4:$M$2004,$Z460-2000)),IF($Z460&lt;=5200,IF(INDEX(客户自备加工筐明细!$H$4:$H$1203,$Z460-4000)=0,"",INDEX(客户自备加工筐明细!$H$4:$H$1203,$Z460-4000)),IF($Z460&lt;=5800,IF(INDEX(次果筐明细!$H$4:$H$603,$Z460-5200)=0,"",INDEX(次果筐明细!$H$4:$H$603,$Z460-5200)),"")))))</f>
        <v/>
      </c>
      <c r="S460" s="22" t="str">
        <f t="shared" si="23"/>
        <v/>
      </c>
      <c r="Z460" s="10" t="str">
        <f>IFERROR(MATCH(ROW()-3,_自动清单!$CQ$4:$CQ$5803,0),"")</f>
        <v/>
      </c>
    </row>
    <row r="461" spans="1:26">
      <c r="A461" s="24" t="str">
        <f t="shared" si="21"/>
        <v/>
      </c>
      <c r="B461" s="38" t="str">
        <f>IF($Z461="","",IF($Z461&lt;=2000,IF(INDEX(包装物料出入库明细!$B$4:$B$2003,$Z461-0)=0,"",INDEX(包装物料出入库明细!$B$4:$B$2003,$Z461-0)),IF($Z461&lt;=4000,IF(INDEX(周转筐出入库明细!$B$4:$B$2004,$Z461-2000)=0,"",INDEX(周转筐出入库明细!$B$4:$B$2004,$Z461-2000)),IF($Z461&lt;=5200,IF(INDEX(客户自备加工筐明细!$B$4:$B$1203,$Z461-4000)=0,"",INDEX(客户自备加工筐明细!$B$4:$B$1203,$Z461-4000)),IF($Z461&lt;=5800,IF(INDEX(次果筐明细!$B$4:$B$603,$Z461-5200)=0,"",INDEX(次果筐明细!$B$4:$B$603,$Z461-5200)),"")))))</f>
        <v/>
      </c>
      <c r="C461" s="37" t="str">
        <f>IF($Z461="","",IF($Z461&lt;=2000,IF(INDEX(包装物料出入库明细!$D$4:$D$2003,$Z461-0)=0,"",INDEX(包装物料出入库明细!$D$4:$D$2003,$Z461-0)),IF($Z461&lt;=4000,IF(INDEX(周转筐出入库明细!$C$4:$C$2004,$Z461-2000)=0,"",INDEX(周转筐出入库明细!$C$4:$C$2004,$Z461-2000)),IF($Z461&lt;=5200,IF(INDEX(客户自备加工筐明细!$E$4:$E$1203,$Z461-4000)=0,"",INDEX(客户自备加工筐明细!$E$4:$E$1203,$Z461-4000)),IF($Z461&lt;=5800,IF(INDEX(次果筐明细!$C$4:$C$603,$Z461-5200)=0,"",INDEX(次果筐明细!$C$4:$C$603,$Z461-5200)),"")))))</f>
        <v/>
      </c>
      <c r="D461" s="37" t="str">
        <f>IF($Z461="","",IF($Z461&lt;=2000,"包装物料－"&amp;INDEX(包装物料出入库明细!$H$4:$H$2003,$Z461-0),IF($Z461&lt;=4000,"周转筐－"&amp;INDEX(周转筐出入库明细!$F$4:$F$2004,$Z461-2000),IF($Z461&lt;=5200,"客户自备筐－"&amp;INDEX(客户自备加工筐明细!$J$4:$J$1203,$Z461-4000),IF($Z461&lt;=5800,"次果筐/托盘－"&amp;INDEX(次果筐明细!$F$4:$F$603,$Z461-5200),"")))))</f>
        <v/>
      </c>
      <c r="E461" s="24" t="str">
        <f>IF($Z461="","",IF($Z461&lt;=2000,IF(INDEX(包装物料出入库明细!$C$4:$C$2003,$Z461-0)=0,"",INDEX(包装物料出入库明细!$C$4:$C$2003,$Z461-0)),IF($Z461&lt;=4000,IF(INDEX(周转筐出入库明细!$E$4:$E$2004,$Z461-2000)=0,"",INDEX(周转筐出入库明细!$E$4:$E$2004,$Z461-2000)),IF($Z461&lt;=5200,IF(INDEX(客户自备加工筐明细!$D$4:$D$1203,$Z461-4000)=0,"",INDEX(客户自备加工筐明细!$D$4:$D$1203,$Z461-4000)),IF($Z461&lt;=5800,IF(INDEX(次果筐明细!$E$4:$E$603,$Z461-5200)=0,"",INDEX(次果筐明细!$E$4:$E$603,$Z461-5200)),"")))))</f>
        <v/>
      </c>
      <c r="F461" s="24" t="str">
        <f>IF($Z461="","",IF($Z461&lt;=2000,IF(INDEX(包装物料出入库明细!$E$4:$E$2003,$Z461-0)=0,"",INDEX(包装物料出入库明细!$E$4:$E$2003,$Z461-0)),IF($Z461&lt;=4000,IF(INDEX(周转筐出入库明细!$D$4:$D$2004,$Z461-2000)=0,"",INDEX(周转筐出入库明细!$D$4:$D$2004,$Z461-2000)),IF($Z461&lt;=5200,IF(INDEX(客户自备加工筐明细!$C$4:$C$1203,$Z461-4000)=0,"",INDEX(客户自备加工筐明细!$C$4:$C$1203,$Z461-4000)),IF($Z461&lt;=5800,IF(INDEX(次果筐明细!$D$4:$D$603,$Z461-5200)=0,"",INDEX(次果筐明细!$D$4:$D$603,$Z461-5200)),"")))))</f>
        <v/>
      </c>
      <c r="G461" s="24" t="str">
        <f>IF($Z461="","",IF($Z461&lt;=2000,IF(INDEX(包装物料出入库明细!$F$4:$F$2003,$Z461-0)=0,"",INDEX(包装物料出入库明细!$F$4:$F$2003,$Z461-0)),IF($Z461&lt;=4000,"",IF($Z461&lt;=5200,"",IF($Z461&lt;=5800,"","")))))</f>
        <v/>
      </c>
      <c r="H461" s="39" t="str">
        <f>IF($Z461="","",IF($Z461&lt;=2000,IF(INDEX(包装物料出入库明细!$L$4:$L$2003,$Z461-0)=0,"",INDEX(包装物料出入库明细!$L$4:$L$2003,$Z461-0)),IF($Z461&lt;=4000,N(INDEX(周转筐出入库明细!$H$4:$H$2004,$Z461-2000))+N(INDEX(周转筐出入库明细!$I$4:$I$2004,$Z461-2000))+N(INDEX(周转筐出入库明细!$J$4:$J$2004,$Z461-2000))+N(INDEX(周转筐出入库明细!$K$4:$K$2004,$Z461-2000)),IF($Z461&lt;=5200,N(INDEX(客户自备加工筐明细!$F$4:$F$1203,$Z461-4000))+N(INDEX(客户自备加工筐明细!$G$4:$G$1203,$Z461-4000)),IF($Z461&lt;=5800,IF(INDEX(次果筐明细!$G$4:$G$603,$Z461-5200)=0,"",INDEX(次果筐明细!$G$4:$G$603,$Z461-5200)),"")))))</f>
        <v/>
      </c>
      <c r="I461" s="24" t="str">
        <f>IF($Z461="","",IF($Z461&lt;=2000,IF(INDEX(包装物料出入库明细!$G$4:$G$2003,$Z461-0)=0,"",INDEX(包装物料出入库明细!$G$4:$G$2003,$Z461-0)),IF($Z461&lt;=4000,"个",IF($Z461&lt;=5200,"个",IF($Z461&lt;=5800,"个","")))))</f>
        <v/>
      </c>
      <c r="J461" s="30" t="str">
        <f t="shared" si="22"/>
        <v/>
      </c>
      <c r="K461" s="30" t="str">
        <f>IF($Z461="","",IF($Z461&lt;=2000,IF(INDEX(包装物料出入库明细!$N$4:$N$2003,$Z461-0)=0,"",INDEX(包装物料出入库明细!$N$4:$N$2003,$Z461-0)),IF($Z461&lt;=4000,IF(INDEX(周转筐出入库明细!$P$4:$P$2004,$Z461-2000)=0,"",INDEX(周转筐出入库明细!$P$4:$P$2004,$Z461-2000)),IF($Z461&lt;=5200,"",IF($Z461&lt;=5800,N(INDEX(次果筐明细!$L$4:$L$603,$Z461-5200))+N(INDEX(次果筐明细!$J$4:$J$603,$Z461-5200)),"")))))</f>
        <v/>
      </c>
      <c r="L461" s="24" t="str">
        <f>IF($Z461="","",IF($Z461&lt;=2000,IF(INDEX(包装物料出入库明细!$P$4:$P$2003,$Z461-0)=0,"",INDEX(包装物料出入库明细!$P$4:$P$2003,$Z461-0)),IF($Z461&lt;=4000,IF(INDEX(周转筐出入库明细!$Q$4:$Q$2004,$Z461-2000)=0,"",INDEX(周转筐出入库明细!$Q$4:$Q$2004,$Z461-2000)),IF($Z461&lt;=5200,"",IF($Z461&lt;=5800,IF(INDEX(次果筐明细!$M$4:$M$603,$Z461-5200)=0,"",INDEX(次果筐明细!$M$4:$M$603,$Z461-5200)),"")))))</f>
        <v/>
      </c>
      <c r="M461" s="37" t="str">
        <f>IF($Z461="","",IF($Z461&lt;=2000,IF(INDEX(包装物料出入库明细!$R$4:$R$2003,$Z461-0)=0,"",INDEX(包装物料出入库明细!$R$4:$R$2003,$Z461-0)),IF($Z461&lt;=4000,IF(INDEX(周转筐出入库明细!$W$4:$W$2004,$Z461-2000)=0,"",INDEX(周转筐出入库明细!$W$4:$W$2004,$Z461-2000)),IF($Z461&lt;=5200,IF(INDEX(客户自备加工筐明细!$L$4:$L$1203,$Z461-4000)=0,"",INDEX(客户自备加工筐明细!$L$4:$L$1203,$Z461-4000)),IF($Z461&lt;=5800,IF(INDEX(次果筐明细!$P$4:$P$603,$Z461-5200)=0,"",INDEX(次果筐明细!$P$4:$P$603,$Z461-5200)),"")))))</f>
        <v/>
      </c>
      <c r="N461" s="16" t="str">
        <f>IF($Z461="","",IF($Z461&lt;=2000,"",IF($Z461&lt;=4000,IF(INDEX(周转筐出入库明细!$D$4:$D$2004,$Z461-2000)=0,"",INDEX(周转筐出入库明细!$D$4:$D$2004,$Z461-2000)),IF($Z461&lt;=5200,IF(INDEX(客户自备加工筐明细!$C$4:$C$1203,$Z461-4000)=0,"",INDEX(客户自备加工筐明细!$C$4:$C$1203,$Z461-4000)),IF($Z461&lt;=5800,IF(INDEX(次果筐明细!$D$4:$D$603,$Z461-5200)=0,"",INDEX(次果筐明细!$D$4:$D$603,$Z461-5200)),"")))))</f>
        <v/>
      </c>
      <c r="O461" s="40" t="str">
        <f>IF($Z461="","",IF($Z461&lt;=2000,"",IF($Z461&lt;=4000,IF(N(INDEX(周转筐出入库明细!$J$4:$J$2004,$Z461-2000))+N(INDEX(周转筐出入库明细!$K$4:$K$2004,$Z461-2000))=0,"",N(INDEX(周转筐出入库明细!$J$4:$J$2004,$Z461-2000))+N(INDEX(周转筐出入库明细!$K$4:$K$2004,$Z461-2000))),IF($Z461&lt;=5200,IF(N(INDEX(客户自备加工筐明细!$G$4:$G$1203,$Z461-4000))=0,"",N(INDEX(客户自备加工筐明细!$G$4:$G$1203,$Z461-4000))),IF($Z461&lt;=5800,IF(ISNUMBER(SEARCH("退",INDEX(次果筐明细!$F$4:$F$603,$Z461-5200)&amp;"")),"",IF(N(INDEX(次果筐明细!$G$4:$G$603,$Z461-5200))=0,"",N(INDEX(次果筐明细!$G$4:$G$603,$Z461-5200)))),"")))))</f>
        <v/>
      </c>
      <c r="P461" s="40" t="str">
        <f>IF($Z461="","",IF($Z461&lt;=2000,"",IF($Z461&lt;=4000,IF(N(INDEX(周转筐出入库明细!$I$4:$I$2004,$Z461-2000))=0,"",N(INDEX(周转筐出入库明细!$I$4:$I$2004,$Z461-2000))),IF($Z461&lt;=5200,"",IF($Z461&lt;=5800,IF(ISNUMBER(SEARCH("退",INDEX(次果筐明细!$F$4:$F$603,$Z461-5200)&amp;"")),IF(N(INDEX(次果筐明细!$G$4:$G$603,$Z461-5200))=0,"",N(INDEX(次果筐明细!$G$4:$G$603,$Z461-5200))),""),"")))))</f>
        <v/>
      </c>
      <c r="Q461" s="40" t="str">
        <f>IF($Z461="","",IF($Z461&lt;=2000,"",IF($Z461&lt;=4000,IF(N(INDEX(周转筐出入库明细!$H$4:$H$2004,$Z461-2000))=0,"",N(INDEX(周转筐出入库明细!$H$4:$H$2004,$Z461-2000))),IF($Z461&lt;=5200,IF(N(INDEX(客户自备加工筐明细!$F$4:$F$1203,$Z461-4000))=0,"",N(INDEX(客户自备加工筐明细!$F$4:$F$1203,$Z461-4000))),IF($Z461&lt;=5800,"","")))))</f>
        <v/>
      </c>
      <c r="R461" s="16" t="str">
        <f>IF($Z461="","",IF($Z461&lt;=2000,IF(INDEX(包装物料出入库明细!$O$4:$O$2003,$Z461-0)=0,"",INDEX(包装物料出入库明细!$O$4:$O$2003,$Z461-0)),IF($Z461&lt;=4000,IF(INDEX(周转筐出入库明细!$M$4:$M$2004,$Z461-2000)=0,"",INDEX(周转筐出入库明细!$M$4:$M$2004,$Z461-2000)),IF($Z461&lt;=5200,IF(INDEX(客户自备加工筐明细!$H$4:$H$1203,$Z461-4000)=0,"",INDEX(客户自备加工筐明细!$H$4:$H$1203,$Z461-4000)),IF($Z461&lt;=5800,IF(INDEX(次果筐明细!$H$4:$H$603,$Z461-5200)=0,"",INDEX(次果筐明细!$H$4:$H$603,$Z461-5200)),"")))))</f>
        <v/>
      </c>
      <c r="S461" s="22" t="str">
        <f t="shared" si="23"/>
        <v/>
      </c>
      <c r="Z461" s="10" t="str">
        <f>IFERROR(MATCH(ROW()-3,_自动清单!$CQ$4:$CQ$5803,0),"")</f>
        <v/>
      </c>
    </row>
    <row r="462" spans="1:26">
      <c r="A462" s="24" t="str">
        <f t="shared" si="21"/>
        <v/>
      </c>
      <c r="B462" s="38" t="str">
        <f>IF($Z462="","",IF($Z462&lt;=2000,IF(INDEX(包装物料出入库明细!$B$4:$B$2003,$Z462-0)=0,"",INDEX(包装物料出入库明细!$B$4:$B$2003,$Z462-0)),IF($Z462&lt;=4000,IF(INDEX(周转筐出入库明细!$B$4:$B$2004,$Z462-2000)=0,"",INDEX(周转筐出入库明细!$B$4:$B$2004,$Z462-2000)),IF($Z462&lt;=5200,IF(INDEX(客户自备加工筐明细!$B$4:$B$1203,$Z462-4000)=0,"",INDEX(客户自备加工筐明细!$B$4:$B$1203,$Z462-4000)),IF($Z462&lt;=5800,IF(INDEX(次果筐明细!$B$4:$B$603,$Z462-5200)=0,"",INDEX(次果筐明细!$B$4:$B$603,$Z462-5200)),"")))))</f>
        <v/>
      </c>
      <c r="C462" s="37" t="str">
        <f>IF($Z462="","",IF($Z462&lt;=2000,IF(INDEX(包装物料出入库明细!$D$4:$D$2003,$Z462-0)=0,"",INDEX(包装物料出入库明细!$D$4:$D$2003,$Z462-0)),IF($Z462&lt;=4000,IF(INDEX(周转筐出入库明细!$C$4:$C$2004,$Z462-2000)=0,"",INDEX(周转筐出入库明细!$C$4:$C$2004,$Z462-2000)),IF($Z462&lt;=5200,IF(INDEX(客户自备加工筐明细!$E$4:$E$1203,$Z462-4000)=0,"",INDEX(客户自备加工筐明细!$E$4:$E$1203,$Z462-4000)),IF($Z462&lt;=5800,IF(INDEX(次果筐明细!$C$4:$C$603,$Z462-5200)=0,"",INDEX(次果筐明细!$C$4:$C$603,$Z462-5200)),"")))))</f>
        <v/>
      </c>
      <c r="D462" s="37" t="str">
        <f>IF($Z462="","",IF($Z462&lt;=2000,"包装物料－"&amp;INDEX(包装物料出入库明细!$H$4:$H$2003,$Z462-0),IF($Z462&lt;=4000,"周转筐－"&amp;INDEX(周转筐出入库明细!$F$4:$F$2004,$Z462-2000),IF($Z462&lt;=5200,"客户自备筐－"&amp;INDEX(客户自备加工筐明细!$J$4:$J$1203,$Z462-4000),IF($Z462&lt;=5800,"次果筐/托盘－"&amp;INDEX(次果筐明细!$F$4:$F$603,$Z462-5200),"")))))</f>
        <v/>
      </c>
      <c r="E462" s="24" t="str">
        <f>IF($Z462="","",IF($Z462&lt;=2000,IF(INDEX(包装物料出入库明细!$C$4:$C$2003,$Z462-0)=0,"",INDEX(包装物料出入库明细!$C$4:$C$2003,$Z462-0)),IF($Z462&lt;=4000,IF(INDEX(周转筐出入库明细!$E$4:$E$2004,$Z462-2000)=0,"",INDEX(周转筐出入库明细!$E$4:$E$2004,$Z462-2000)),IF($Z462&lt;=5200,IF(INDEX(客户自备加工筐明细!$D$4:$D$1203,$Z462-4000)=0,"",INDEX(客户自备加工筐明细!$D$4:$D$1203,$Z462-4000)),IF($Z462&lt;=5800,IF(INDEX(次果筐明细!$E$4:$E$603,$Z462-5200)=0,"",INDEX(次果筐明细!$E$4:$E$603,$Z462-5200)),"")))))</f>
        <v/>
      </c>
      <c r="F462" s="24" t="str">
        <f>IF($Z462="","",IF($Z462&lt;=2000,IF(INDEX(包装物料出入库明细!$E$4:$E$2003,$Z462-0)=0,"",INDEX(包装物料出入库明细!$E$4:$E$2003,$Z462-0)),IF($Z462&lt;=4000,IF(INDEX(周转筐出入库明细!$D$4:$D$2004,$Z462-2000)=0,"",INDEX(周转筐出入库明细!$D$4:$D$2004,$Z462-2000)),IF($Z462&lt;=5200,IF(INDEX(客户自备加工筐明细!$C$4:$C$1203,$Z462-4000)=0,"",INDEX(客户自备加工筐明细!$C$4:$C$1203,$Z462-4000)),IF($Z462&lt;=5800,IF(INDEX(次果筐明细!$D$4:$D$603,$Z462-5200)=0,"",INDEX(次果筐明细!$D$4:$D$603,$Z462-5200)),"")))))</f>
        <v/>
      </c>
      <c r="G462" s="24" t="str">
        <f>IF($Z462="","",IF($Z462&lt;=2000,IF(INDEX(包装物料出入库明细!$F$4:$F$2003,$Z462-0)=0,"",INDEX(包装物料出入库明细!$F$4:$F$2003,$Z462-0)),IF($Z462&lt;=4000,"",IF($Z462&lt;=5200,"",IF($Z462&lt;=5800,"","")))))</f>
        <v/>
      </c>
      <c r="H462" s="39" t="str">
        <f>IF($Z462="","",IF($Z462&lt;=2000,IF(INDEX(包装物料出入库明细!$L$4:$L$2003,$Z462-0)=0,"",INDEX(包装物料出入库明细!$L$4:$L$2003,$Z462-0)),IF($Z462&lt;=4000,N(INDEX(周转筐出入库明细!$H$4:$H$2004,$Z462-2000))+N(INDEX(周转筐出入库明细!$I$4:$I$2004,$Z462-2000))+N(INDEX(周转筐出入库明细!$J$4:$J$2004,$Z462-2000))+N(INDEX(周转筐出入库明细!$K$4:$K$2004,$Z462-2000)),IF($Z462&lt;=5200,N(INDEX(客户自备加工筐明细!$F$4:$F$1203,$Z462-4000))+N(INDEX(客户自备加工筐明细!$G$4:$G$1203,$Z462-4000)),IF($Z462&lt;=5800,IF(INDEX(次果筐明细!$G$4:$G$603,$Z462-5200)=0,"",INDEX(次果筐明细!$G$4:$G$603,$Z462-5200)),"")))))</f>
        <v/>
      </c>
      <c r="I462" s="24" t="str">
        <f>IF($Z462="","",IF($Z462&lt;=2000,IF(INDEX(包装物料出入库明细!$G$4:$G$2003,$Z462-0)=0,"",INDEX(包装物料出入库明细!$G$4:$G$2003,$Z462-0)),IF($Z462&lt;=4000,"个",IF($Z462&lt;=5200,"个",IF($Z462&lt;=5800,"个","")))))</f>
        <v/>
      </c>
      <c r="J462" s="30" t="str">
        <f t="shared" si="22"/>
        <v/>
      </c>
      <c r="K462" s="30" t="str">
        <f>IF($Z462="","",IF($Z462&lt;=2000,IF(INDEX(包装物料出入库明细!$N$4:$N$2003,$Z462-0)=0,"",INDEX(包装物料出入库明细!$N$4:$N$2003,$Z462-0)),IF($Z462&lt;=4000,IF(INDEX(周转筐出入库明细!$P$4:$P$2004,$Z462-2000)=0,"",INDEX(周转筐出入库明细!$P$4:$P$2004,$Z462-2000)),IF($Z462&lt;=5200,"",IF($Z462&lt;=5800,N(INDEX(次果筐明细!$L$4:$L$603,$Z462-5200))+N(INDEX(次果筐明细!$J$4:$J$603,$Z462-5200)),"")))))</f>
        <v/>
      </c>
      <c r="L462" s="24" t="str">
        <f>IF($Z462="","",IF($Z462&lt;=2000,IF(INDEX(包装物料出入库明细!$P$4:$P$2003,$Z462-0)=0,"",INDEX(包装物料出入库明细!$P$4:$P$2003,$Z462-0)),IF($Z462&lt;=4000,IF(INDEX(周转筐出入库明细!$Q$4:$Q$2004,$Z462-2000)=0,"",INDEX(周转筐出入库明细!$Q$4:$Q$2004,$Z462-2000)),IF($Z462&lt;=5200,"",IF($Z462&lt;=5800,IF(INDEX(次果筐明细!$M$4:$M$603,$Z462-5200)=0,"",INDEX(次果筐明细!$M$4:$M$603,$Z462-5200)),"")))))</f>
        <v/>
      </c>
      <c r="M462" s="37" t="str">
        <f>IF($Z462="","",IF($Z462&lt;=2000,IF(INDEX(包装物料出入库明细!$R$4:$R$2003,$Z462-0)=0,"",INDEX(包装物料出入库明细!$R$4:$R$2003,$Z462-0)),IF($Z462&lt;=4000,IF(INDEX(周转筐出入库明细!$W$4:$W$2004,$Z462-2000)=0,"",INDEX(周转筐出入库明细!$W$4:$W$2004,$Z462-2000)),IF($Z462&lt;=5200,IF(INDEX(客户自备加工筐明细!$L$4:$L$1203,$Z462-4000)=0,"",INDEX(客户自备加工筐明细!$L$4:$L$1203,$Z462-4000)),IF($Z462&lt;=5800,IF(INDEX(次果筐明细!$P$4:$P$603,$Z462-5200)=0,"",INDEX(次果筐明细!$P$4:$P$603,$Z462-5200)),"")))))</f>
        <v/>
      </c>
      <c r="N462" s="16" t="str">
        <f>IF($Z462="","",IF($Z462&lt;=2000,"",IF($Z462&lt;=4000,IF(INDEX(周转筐出入库明细!$D$4:$D$2004,$Z462-2000)=0,"",INDEX(周转筐出入库明细!$D$4:$D$2004,$Z462-2000)),IF($Z462&lt;=5200,IF(INDEX(客户自备加工筐明细!$C$4:$C$1203,$Z462-4000)=0,"",INDEX(客户自备加工筐明细!$C$4:$C$1203,$Z462-4000)),IF($Z462&lt;=5800,IF(INDEX(次果筐明细!$D$4:$D$603,$Z462-5200)=0,"",INDEX(次果筐明细!$D$4:$D$603,$Z462-5200)),"")))))</f>
        <v/>
      </c>
      <c r="O462" s="40" t="str">
        <f>IF($Z462="","",IF($Z462&lt;=2000,"",IF($Z462&lt;=4000,IF(N(INDEX(周转筐出入库明细!$J$4:$J$2004,$Z462-2000))+N(INDEX(周转筐出入库明细!$K$4:$K$2004,$Z462-2000))=0,"",N(INDEX(周转筐出入库明细!$J$4:$J$2004,$Z462-2000))+N(INDEX(周转筐出入库明细!$K$4:$K$2004,$Z462-2000))),IF($Z462&lt;=5200,IF(N(INDEX(客户自备加工筐明细!$G$4:$G$1203,$Z462-4000))=0,"",N(INDEX(客户自备加工筐明细!$G$4:$G$1203,$Z462-4000))),IF($Z462&lt;=5800,IF(ISNUMBER(SEARCH("退",INDEX(次果筐明细!$F$4:$F$603,$Z462-5200)&amp;"")),"",IF(N(INDEX(次果筐明细!$G$4:$G$603,$Z462-5200))=0,"",N(INDEX(次果筐明细!$G$4:$G$603,$Z462-5200)))),"")))))</f>
        <v/>
      </c>
      <c r="P462" s="40" t="str">
        <f>IF($Z462="","",IF($Z462&lt;=2000,"",IF($Z462&lt;=4000,IF(N(INDEX(周转筐出入库明细!$I$4:$I$2004,$Z462-2000))=0,"",N(INDEX(周转筐出入库明细!$I$4:$I$2004,$Z462-2000))),IF($Z462&lt;=5200,"",IF($Z462&lt;=5800,IF(ISNUMBER(SEARCH("退",INDEX(次果筐明细!$F$4:$F$603,$Z462-5200)&amp;"")),IF(N(INDEX(次果筐明细!$G$4:$G$603,$Z462-5200))=0,"",N(INDEX(次果筐明细!$G$4:$G$603,$Z462-5200))),""),"")))))</f>
        <v/>
      </c>
      <c r="Q462" s="40" t="str">
        <f>IF($Z462="","",IF($Z462&lt;=2000,"",IF($Z462&lt;=4000,IF(N(INDEX(周转筐出入库明细!$H$4:$H$2004,$Z462-2000))=0,"",N(INDEX(周转筐出入库明细!$H$4:$H$2004,$Z462-2000))),IF($Z462&lt;=5200,IF(N(INDEX(客户自备加工筐明细!$F$4:$F$1203,$Z462-4000))=0,"",N(INDEX(客户自备加工筐明细!$F$4:$F$1203,$Z462-4000))),IF($Z462&lt;=5800,"","")))))</f>
        <v/>
      </c>
      <c r="R462" s="16" t="str">
        <f>IF($Z462="","",IF($Z462&lt;=2000,IF(INDEX(包装物料出入库明细!$O$4:$O$2003,$Z462-0)=0,"",INDEX(包装物料出入库明细!$O$4:$O$2003,$Z462-0)),IF($Z462&lt;=4000,IF(INDEX(周转筐出入库明细!$M$4:$M$2004,$Z462-2000)=0,"",INDEX(周转筐出入库明细!$M$4:$M$2004,$Z462-2000)),IF($Z462&lt;=5200,IF(INDEX(客户自备加工筐明细!$H$4:$H$1203,$Z462-4000)=0,"",INDEX(客户自备加工筐明细!$H$4:$H$1203,$Z462-4000)),IF($Z462&lt;=5800,IF(INDEX(次果筐明细!$H$4:$H$603,$Z462-5200)=0,"",INDEX(次果筐明细!$H$4:$H$603,$Z462-5200)),"")))))</f>
        <v/>
      </c>
      <c r="S462" s="22" t="str">
        <f t="shared" si="23"/>
        <v/>
      </c>
      <c r="Z462" s="10" t="str">
        <f>IFERROR(MATCH(ROW()-3,_自动清单!$CQ$4:$CQ$5803,0),"")</f>
        <v/>
      </c>
    </row>
    <row r="463" spans="1:26">
      <c r="A463" s="24" t="str">
        <f t="shared" si="21"/>
        <v/>
      </c>
      <c r="B463" s="38" t="str">
        <f>IF($Z463="","",IF($Z463&lt;=2000,IF(INDEX(包装物料出入库明细!$B$4:$B$2003,$Z463-0)=0,"",INDEX(包装物料出入库明细!$B$4:$B$2003,$Z463-0)),IF($Z463&lt;=4000,IF(INDEX(周转筐出入库明细!$B$4:$B$2004,$Z463-2000)=0,"",INDEX(周转筐出入库明细!$B$4:$B$2004,$Z463-2000)),IF($Z463&lt;=5200,IF(INDEX(客户自备加工筐明细!$B$4:$B$1203,$Z463-4000)=0,"",INDEX(客户自备加工筐明细!$B$4:$B$1203,$Z463-4000)),IF($Z463&lt;=5800,IF(INDEX(次果筐明细!$B$4:$B$603,$Z463-5200)=0,"",INDEX(次果筐明细!$B$4:$B$603,$Z463-5200)),"")))))</f>
        <v/>
      </c>
      <c r="C463" s="37" t="str">
        <f>IF($Z463="","",IF($Z463&lt;=2000,IF(INDEX(包装物料出入库明细!$D$4:$D$2003,$Z463-0)=0,"",INDEX(包装物料出入库明细!$D$4:$D$2003,$Z463-0)),IF($Z463&lt;=4000,IF(INDEX(周转筐出入库明细!$C$4:$C$2004,$Z463-2000)=0,"",INDEX(周转筐出入库明细!$C$4:$C$2004,$Z463-2000)),IF($Z463&lt;=5200,IF(INDEX(客户自备加工筐明细!$E$4:$E$1203,$Z463-4000)=0,"",INDEX(客户自备加工筐明细!$E$4:$E$1203,$Z463-4000)),IF($Z463&lt;=5800,IF(INDEX(次果筐明细!$C$4:$C$603,$Z463-5200)=0,"",INDEX(次果筐明细!$C$4:$C$603,$Z463-5200)),"")))))</f>
        <v/>
      </c>
      <c r="D463" s="37" t="str">
        <f>IF($Z463="","",IF($Z463&lt;=2000,"包装物料－"&amp;INDEX(包装物料出入库明细!$H$4:$H$2003,$Z463-0),IF($Z463&lt;=4000,"周转筐－"&amp;INDEX(周转筐出入库明细!$F$4:$F$2004,$Z463-2000),IF($Z463&lt;=5200,"客户自备筐－"&amp;INDEX(客户自备加工筐明细!$J$4:$J$1203,$Z463-4000),IF($Z463&lt;=5800,"次果筐/托盘－"&amp;INDEX(次果筐明细!$F$4:$F$603,$Z463-5200),"")))))</f>
        <v/>
      </c>
      <c r="E463" s="24" t="str">
        <f>IF($Z463="","",IF($Z463&lt;=2000,IF(INDEX(包装物料出入库明细!$C$4:$C$2003,$Z463-0)=0,"",INDEX(包装物料出入库明细!$C$4:$C$2003,$Z463-0)),IF($Z463&lt;=4000,IF(INDEX(周转筐出入库明细!$E$4:$E$2004,$Z463-2000)=0,"",INDEX(周转筐出入库明细!$E$4:$E$2004,$Z463-2000)),IF($Z463&lt;=5200,IF(INDEX(客户自备加工筐明细!$D$4:$D$1203,$Z463-4000)=0,"",INDEX(客户自备加工筐明细!$D$4:$D$1203,$Z463-4000)),IF($Z463&lt;=5800,IF(INDEX(次果筐明细!$E$4:$E$603,$Z463-5200)=0,"",INDEX(次果筐明细!$E$4:$E$603,$Z463-5200)),"")))))</f>
        <v/>
      </c>
      <c r="F463" s="24" t="str">
        <f>IF($Z463="","",IF($Z463&lt;=2000,IF(INDEX(包装物料出入库明细!$E$4:$E$2003,$Z463-0)=0,"",INDEX(包装物料出入库明细!$E$4:$E$2003,$Z463-0)),IF($Z463&lt;=4000,IF(INDEX(周转筐出入库明细!$D$4:$D$2004,$Z463-2000)=0,"",INDEX(周转筐出入库明细!$D$4:$D$2004,$Z463-2000)),IF($Z463&lt;=5200,IF(INDEX(客户自备加工筐明细!$C$4:$C$1203,$Z463-4000)=0,"",INDEX(客户自备加工筐明细!$C$4:$C$1203,$Z463-4000)),IF($Z463&lt;=5800,IF(INDEX(次果筐明细!$D$4:$D$603,$Z463-5200)=0,"",INDEX(次果筐明细!$D$4:$D$603,$Z463-5200)),"")))))</f>
        <v/>
      </c>
      <c r="G463" s="24" t="str">
        <f>IF($Z463="","",IF($Z463&lt;=2000,IF(INDEX(包装物料出入库明细!$F$4:$F$2003,$Z463-0)=0,"",INDEX(包装物料出入库明细!$F$4:$F$2003,$Z463-0)),IF($Z463&lt;=4000,"",IF($Z463&lt;=5200,"",IF($Z463&lt;=5800,"","")))))</f>
        <v/>
      </c>
      <c r="H463" s="39" t="str">
        <f>IF($Z463="","",IF($Z463&lt;=2000,IF(INDEX(包装物料出入库明细!$L$4:$L$2003,$Z463-0)=0,"",INDEX(包装物料出入库明细!$L$4:$L$2003,$Z463-0)),IF($Z463&lt;=4000,N(INDEX(周转筐出入库明细!$H$4:$H$2004,$Z463-2000))+N(INDEX(周转筐出入库明细!$I$4:$I$2004,$Z463-2000))+N(INDEX(周转筐出入库明细!$J$4:$J$2004,$Z463-2000))+N(INDEX(周转筐出入库明细!$K$4:$K$2004,$Z463-2000)),IF($Z463&lt;=5200,N(INDEX(客户自备加工筐明细!$F$4:$F$1203,$Z463-4000))+N(INDEX(客户自备加工筐明细!$G$4:$G$1203,$Z463-4000)),IF($Z463&lt;=5800,IF(INDEX(次果筐明细!$G$4:$G$603,$Z463-5200)=0,"",INDEX(次果筐明细!$G$4:$G$603,$Z463-5200)),"")))))</f>
        <v/>
      </c>
      <c r="I463" s="24" t="str">
        <f>IF($Z463="","",IF($Z463&lt;=2000,IF(INDEX(包装物料出入库明细!$G$4:$G$2003,$Z463-0)=0,"",INDEX(包装物料出入库明细!$G$4:$G$2003,$Z463-0)),IF($Z463&lt;=4000,"个",IF($Z463&lt;=5200,"个",IF($Z463&lt;=5800,"个","")))))</f>
        <v/>
      </c>
      <c r="J463" s="30" t="str">
        <f t="shared" si="22"/>
        <v/>
      </c>
      <c r="K463" s="30" t="str">
        <f>IF($Z463="","",IF($Z463&lt;=2000,IF(INDEX(包装物料出入库明细!$N$4:$N$2003,$Z463-0)=0,"",INDEX(包装物料出入库明细!$N$4:$N$2003,$Z463-0)),IF($Z463&lt;=4000,IF(INDEX(周转筐出入库明细!$P$4:$P$2004,$Z463-2000)=0,"",INDEX(周转筐出入库明细!$P$4:$P$2004,$Z463-2000)),IF($Z463&lt;=5200,"",IF($Z463&lt;=5800,N(INDEX(次果筐明细!$L$4:$L$603,$Z463-5200))+N(INDEX(次果筐明细!$J$4:$J$603,$Z463-5200)),"")))))</f>
        <v/>
      </c>
      <c r="L463" s="24" t="str">
        <f>IF($Z463="","",IF($Z463&lt;=2000,IF(INDEX(包装物料出入库明细!$P$4:$P$2003,$Z463-0)=0,"",INDEX(包装物料出入库明细!$P$4:$P$2003,$Z463-0)),IF($Z463&lt;=4000,IF(INDEX(周转筐出入库明细!$Q$4:$Q$2004,$Z463-2000)=0,"",INDEX(周转筐出入库明细!$Q$4:$Q$2004,$Z463-2000)),IF($Z463&lt;=5200,"",IF($Z463&lt;=5800,IF(INDEX(次果筐明细!$M$4:$M$603,$Z463-5200)=0,"",INDEX(次果筐明细!$M$4:$M$603,$Z463-5200)),"")))))</f>
        <v/>
      </c>
      <c r="M463" s="37" t="str">
        <f>IF($Z463="","",IF($Z463&lt;=2000,IF(INDEX(包装物料出入库明细!$R$4:$R$2003,$Z463-0)=0,"",INDEX(包装物料出入库明细!$R$4:$R$2003,$Z463-0)),IF($Z463&lt;=4000,IF(INDEX(周转筐出入库明细!$W$4:$W$2004,$Z463-2000)=0,"",INDEX(周转筐出入库明细!$W$4:$W$2004,$Z463-2000)),IF($Z463&lt;=5200,IF(INDEX(客户自备加工筐明细!$L$4:$L$1203,$Z463-4000)=0,"",INDEX(客户自备加工筐明细!$L$4:$L$1203,$Z463-4000)),IF($Z463&lt;=5800,IF(INDEX(次果筐明细!$P$4:$P$603,$Z463-5200)=0,"",INDEX(次果筐明细!$P$4:$P$603,$Z463-5200)),"")))))</f>
        <v/>
      </c>
      <c r="N463" s="16" t="str">
        <f>IF($Z463="","",IF($Z463&lt;=2000,"",IF($Z463&lt;=4000,IF(INDEX(周转筐出入库明细!$D$4:$D$2004,$Z463-2000)=0,"",INDEX(周转筐出入库明细!$D$4:$D$2004,$Z463-2000)),IF($Z463&lt;=5200,IF(INDEX(客户自备加工筐明细!$C$4:$C$1203,$Z463-4000)=0,"",INDEX(客户自备加工筐明细!$C$4:$C$1203,$Z463-4000)),IF($Z463&lt;=5800,IF(INDEX(次果筐明细!$D$4:$D$603,$Z463-5200)=0,"",INDEX(次果筐明细!$D$4:$D$603,$Z463-5200)),"")))))</f>
        <v/>
      </c>
      <c r="O463" s="40" t="str">
        <f>IF($Z463="","",IF($Z463&lt;=2000,"",IF($Z463&lt;=4000,IF(N(INDEX(周转筐出入库明细!$J$4:$J$2004,$Z463-2000))+N(INDEX(周转筐出入库明细!$K$4:$K$2004,$Z463-2000))=0,"",N(INDEX(周转筐出入库明细!$J$4:$J$2004,$Z463-2000))+N(INDEX(周转筐出入库明细!$K$4:$K$2004,$Z463-2000))),IF($Z463&lt;=5200,IF(N(INDEX(客户自备加工筐明细!$G$4:$G$1203,$Z463-4000))=0,"",N(INDEX(客户自备加工筐明细!$G$4:$G$1203,$Z463-4000))),IF($Z463&lt;=5800,IF(ISNUMBER(SEARCH("退",INDEX(次果筐明细!$F$4:$F$603,$Z463-5200)&amp;"")),"",IF(N(INDEX(次果筐明细!$G$4:$G$603,$Z463-5200))=0,"",N(INDEX(次果筐明细!$G$4:$G$603,$Z463-5200)))),"")))))</f>
        <v/>
      </c>
      <c r="P463" s="40" t="str">
        <f>IF($Z463="","",IF($Z463&lt;=2000,"",IF($Z463&lt;=4000,IF(N(INDEX(周转筐出入库明细!$I$4:$I$2004,$Z463-2000))=0,"",N(INDEX(周转筐出入库明细!$I$4:$I$2004,$Z463-2000))),IF($Z463&lt;=5200,"",IF($Z463&lt;=5800,IF(ISNUMBER(SEARCH("退",INDEX(次果筐明细!$F$4:$F$603,$Z463-5200)&amp;"")),IF(N(INDEX(次果筐明细!$G$4:$G$603,$Z463-5200))=0,"",N(INDEX(次果筐明细!$G$4:$G$603,$Z463-5200))),""),"")))))</f>
        <v/>
      </c>
      <c r="Q463" s="40" t="str">
        <f>IF($Z463="","",IF($Z463&lt;=2000,"",IF($Z463&lt;=4000,IF(N(INDEX(周转筐出入库明细!$H$4:$H$2004,$Z463-2000))=0,"",N(INDEX(周转筐出入库明细!$H$4:$H$2004,$Z463-2000))),IF($Z463&lt;=5200,IF(N(INDEX(客户自备加工筐明细!$F$4:$F$1203,$Z463-4000))=0,"",N(INDEX(客户自备加工筐明细!$F$4:$F$1203,$Z463-4000))),IF($Z463&lt;=5800,"","")))))</f>
        <v/>
      </c>
      <c r="R463" s="16" t="str">
        <f>IF($Z463="","",IF($Z463&lt;=2000,IF(INDEX(包装物料出入库明细!$O$4:$O$2003,$Z463-0)=0,"",INDEX(包装物料出入库明细!$O$4:$O$2003,$Z463-0)),IF($Z463&lt;=4000,IF(INDEX(周转筐出入库明细!$M$4:$M$2004,$Z463-2000)=0,"",INDEX(周转筐出入库明细!$M$4:$M$2004,$Z463-2000)),IF($Z463&lt;=5200,IF(INDEX(客户自备加工筐明细!$H$4:$H$1203,$Z463-4000)=0,"",INDEX(客户自备加工筐明细!$H$4:$H$1203,$Z463-4000)),IF($Z463&lt;=5800,IF(INDEX(次果筐明细!$H$4:$H$603,$Z463-5200)=0,"",INDEX(次果筐明细!$H$4:$H$603,$Z463-5200)),"")))))</f>
        <v/>
      </c>
      <c r="S463" s="22" t="str">
        <f t="shared" si="23"/>
        <v/>
      </c>
      <c r="Z463" s="10" t="str">
        <f>IFERROR(MATCH(ROW()-3,_自动清单!$CQ$4:$CQ$5803,0),"")</f>
        <v/>
      </c>
    </row>
    <row r="464" spans="1:26">
      <c r="A464" s="24" t="str">
        <f t="shared" si="21"/>
        <v/>
      </c>
      <c r="B464" s="38" t="str">
        <f>IF($Z464="","",IF($Z464&lt;=2000,IF(INDEX(包装物料出入库明细!$B$4:$B$2003,$Z464-0)=0,"",INDEX(包装物料出入库明细!$B$4:$B$2003,$Z464-0)),IF($Z464&lt;=4000,IF(INDEX(周转筐出入库明细!$B$4:$B$2004,$Z464-2000)=0,"",INDEX(周转筐出入库明细!$B$4:$B$2004,$Z464-2000)),IF($Z464&lt;=5200,IF(INDEX(客户自备加工筐明细!$B$4:$B$1203,$Z464-4000)=0,"",INDEX(客户自备加工筐明细!$B$4:$B$1203,$Z464-4000)),IF($Z464&lt;=5800,IF(INDEX(次果筐明细!$B$4:$B$603,$Z464-5200)=0,"",INDEX(次果筐明细!$B$4:$B$603,$Z464-5200)),"")))))</f>
        <v/>
      </c>
      <c r="C464" s="37" t="str">
        <f>IF($Z464="","",IF($Z464&lt;=2000,IF(INDEX(包装物料出入库明细!$D$4:$D$2003,$Z464-0)=0,"",INDEX(包装物料出入库明细!$D$4:$D$2003,$Z464-0)),IF($Z464&lt;=4000,IF(INDEX(周转筐出入库明细!$C$4:$C$2004,$Z464-2000)=0,"",INDEX(周转筐出入库明细!$C$4:$C$2004,$Z464-2000)),IF($Z464&lt;=5200,IF(INDEX(客户自备加工筐明细!$E$4:$E$1203,$Z464-4000)=0,"",INDEX(客户自备加工筐明细!$E$4:$E$1203,$Z464-4000)),IF($Z464&lt;=5800,IF(INDEX(次果筐明细!$C$4:$C$603,$Z464-5200)=0,"",INDEX(次果筐明细!$C$4:$C$603,$Z464-5200)),"")))))</f>
        <v/>
      </c>
      <c r="D464" s="37" t="str">
        <f>IF($Z464="","",IF($Z464&lt;=2000,"包装物料－"&amp;INDEX(包装物料出入库明细!$H$4:$H$2003,$Z464-0),IF($Z464&lt;=4000,"周转筐－"&amp;INDEX(周转筐出入库明细!$F$4:$F$2004,$Z464-2000),IF($Z464&lt;=5200,"客户自备筐－"&amp;INDEX(客户自备加工筐明细!$J$4:$J$1203,$Z464-4000),IF($Z464&lt;=5800,"次果筐/托盘－"&amp;INDEX(次果筐明细!$F$4:$F$603,$Z464-5200),"")))))</f>
        <v/>
      </c>
      <c r="E464" s="24" t="str">
        <f>IF($Z464="","",IF($Z464&lt;=2000,IF(INDEX(包装物料出入库明细!$C$4:$C$2003,$Z464-0)=0,"",INDEX(包装物料出入库明细!$C$4:$C$2003,$Z464-0)),IF($Z464&lt;=4000,IF(INDEX(周转筐出入库明细!$E$4:$E$2004,$Z464-2000)=0,"",INDEX(周转筐出入库明细!$E$4:$E$2004,$Z464-2000)),IF($Z464&lt;=5200,IF(INDEX(客户自备加工筐明细!$D$4:$D$1203,$Z464-4000)=0,"",INDEX(客户自备加工筐明细!$D$4:$D$1203,$Z464-4000)),IF($Z464&lt;=5800,IF(INDEX(次果筐明细!$E$4:$E$603,$Z464-5200)=0,"",INDEX(次果筐明细!$E$4:$E$603,$Z464-5200)),"")))))</f>
        <v/>
      </c>
      <c r="F464" s="24" t="str">
        <f>IF($Z464="","",IF($Z464&lt;=2000,IF(INDEX(包装物料出入库明细!$E$4:$E$2003,$Z464-0)=0,"",INDEX(包装物料出入库明细!$E$4:$E$2003,$Z464-0)),IF($Z464&lt;=4000,IF(INDEX(周转筐出入库明细!$D$4:$D$2004,$Z464-2000)=0,"",INDEX(周转筐出入库明细!$D$4:$D$2004,$Z464-2000)),IF($Z464&lt;=5200,IF(INDEX(客户自备加工筐明细!$C$4:$C$1203,$Z464-4000)=0,"",INDEX(客户自备加工筐明细!$C$4:$C$1203,$Z464-4000)),IF($Z464&lt;=5800,IF(INDEX(次果筐明细!$D$4:$D$603,$Z464-5200)=0,"",INDEX(次果筐明细!$D$4:$D$603,$Z464-5200)),"")))))</f>
        <v/>
      </c>
      <c r="G464" s="24" t="str">
        <f>IF($Z464="","",IF($Z464&lt;=2000,IF(INDEX(包装物料出入库明细!$F$4:$F$2003,$Z464-0)=0,"",INDEX(包装物料出入库明细!$F$4:$F$2003,$Z464-0)),IF($Z464&lt;=4000,"",IF($Z464&lt;=5200,"",IF($Z464&lt;=5800,"","")))))</f>
        <v/>
      </c>
      <c r="H464" s="39" t="str">
        <f>IF($Z464="","",IF($Z464&lt;=2000,IF(INDEX(包装物料出入库明细!$L$4:$L$2003,$Z464-0)=0,"",INDEX(包装物料出入库明细!$L$4:$L$2003,$Z464-0)),IF($Z464&lt;=4000,N(INDEX(周转筐出入库明细!$H$4:$H$2004,$Z464-2000))+N(INDEX(周转筐出入库明细!$I$4:$I$2004,$Z464-2000))+N(INDEX(周转筐出入库明细!$J$4:$J$2004,$Z464-2000))+N(INDEX(周转筐出入库明细!$K$4:$K$2004,$Z464-2000)),IF($Z464&lt;=5200,N(INDEX(客户自备加工筐明细!$F$4:$F$1203,$Z464-4000))+N(INDEX(客户自备加工筐明细!$G$4:$G$1203,$Z464-4000)),IF($Z464&lt;=5800,IF(INDEX(次果筐明细!$G$4:$G$603,$Z464-5200)=0,"",INDEX(次果筐明细!$G$4:$G$603,$Z464-5200)),"")))))</f>
        <v/>
      </c>
      <c r="I464" s="24" t="str">
        <f>IF($Z464="","",IF($Z464&lt;=2000,IF(INDEX(包装物料出入库明细!$G$4:$G$2003,$Z464-0)=0,"",INDEX(包装物料出入库明细!$G$4:$G$2003,$Z464-0)),IF($Z464&lt;=4000,"个",IF($Z464&lt;=5200,"个",IF($Z464&lt;=5800,"个","")))))</f>
        <v/>
      </c>
      <c r="J464" s="30" t="str">
        <f t="shared" si="22"/>
        <v/>
      </c>
      <c r="K464" s="30" t="str">
        <f>IF($Z464="","",IF($Z464&lt;=2000,IF(INDEX(包装物料出入库明细!$N$4:$N$2003,$Z464-0)=0,"",INDEX(包装物料出入库明细!$N$4:$N$2003,$Z464-0)),IF($Z464&lt;=4000,IF(INDEX(周转筐出入库明细!$P$4:$P$2004,$Z464-2000)=0,"",INDEX(周转筐出入库明细!$P$4:$P$2004,$Z464-2000)),IF($Z464&lt;=5200,"",IF($Z464&lt;=5800,N(INDEX(次果筐明细!$L$4:$L$603,$Z464-5200))+N(INDEX(次果筐明细!$J$4:$J$603,$Z464-5200)),"")))))</f>
        <v/>
      </c>
      <c r="L464" s="24" t="str">
        <f>IF($Z464="","",IF($Z464&lt;=2000,IF(INDEX(包装物料出入库明细!$P$4:$P$2003,$Z464-0)=0,"",INDEX(包装物料出入库明细!$P$4:$P$2003,$Z464-0)),IF($Z464&lt;=4000,IF(INDEX(周转筐出入库明细!$Q$4:$Q$2004,$Z464-2000)=0,"",INDEX(周转筐出入库明细!$Q$4:$Q$2004,$Z464-2000)),IF($Z464&lt;=5200,"",IF($Z464&lt;=5800,IF(INDEX(次果筐明细!$M$4:$M$603,$Z464-5200)=0,"",INDEX(次果筐明细!$M$4:$M$603,$Z464-5200)),"")))))</f>
        <v/>
      </c>
      <c r="M464" s="37" t="str">
        <f>IF($Z464="","",IF($Z464&lt;=2000,IF(INDEX(包装物料出入库明细!$R$4:$R$2003,$Z464-0)=0,"",INDEX(包装物料出入库明细!$R$4:$R$2003,$Z464-0)),IF($Z464&lt;=4000,IF(INDEX(周转筐出入库明细!$W$4:$W$2004,$Z464-2000)=0,"",INDEX(周转筐出入库明细!$W$4:$W$2004,$Z464-2000)),IF($Z464&lt;=5200,IF(INDEX(客户自备加工筐明细!$L$4:$L$1203,$Z464-4000)=0,"",INDEX(客户自备加工筐明细!$L$4:$L$1203,$Z464-4000)),IF($Z464&lt;=5800,IF(INDEX(次果筐明细!$P$4:$P$603,$Z464-5200)=0,"",INDEX(次果筐明细!$P$4:$P$603,$Z464-5200)),"")))))</f>
        <v/>
      </c>
      <c r="N464" s="16" t="str">
        <f>IF($Z464="","",IF($Z464&lt;=2000,"",IF($Z464&lt;=4000,IF(INDEX(周转筐出入库明细!$D$4:$D$2004,$Z464-2000)=0,"",INDEX(周转筐出入库明细!$D$4:$D$2004,$Z464-2000)),IF($Z464&lt;=5200,IF(INDEX(客户自备加工筐明细!$C$4:$C$1203,$Z464-4000)=0,"",INDEX(客户自备加工筐明细!$C$4:$C$1203,$Z464-4000)),IF($Z464&lt;=5800,IF(INDEX(次果筐明细!$D$4:$D$603,$Z464-5200)=0,"",INDEX(次果筐明细!$D$4:$D$603,$Z464-5200)),"")))))</f>
        <v/>
      </c>
      <c r="O464" s="40" t="str">
        <f>IF($Z464="","",IF($Z464&lt;=2000,"",IF($Z464&lt;=4000,IF(N(INDEX(周转筐出入库明细!$J$4:$J$2004,$Z464-2000))+N(INDEX(周转筐出入库明细!$K$4:$K$2004,$Z464-2000))=0,"",N(INDEX(周转筐出入库明细!$J$4:$J$2004,$Z464-2000))+N(INDEX(周转筐出入库明细!$K$4:$K$2004,$Z464-2000))),IF($Z464&lt;=5200,IF(N(INDEX(客户自备加工筐明细!$G$4:$G$1203,$Z464-4000))=0,"",N(INDEX(客户自备加工筐明细!$G$4:$G$1203,$Z464-4000))),IF($Z464&lt;=5800,IF(ISNUMBER(SEARCH("退",INDEX(次果筐明细!$F$4:$F$603,$Z464-5200)&amp;"")),"",IF(N(INDEX(次果筐明细!$G$4:$G$603,$Z464-5200))=0,"",N(INDEX(次果筐明细!$G$4:$G$603,$Z464-5200)))),"")))))</f>
        <v/>
      </c>
      <c r="P464" s="40" t="str">
        <f>IF($Z464="","",IF($Z464&lt;=2000,"",IF($Z464&lt;=4000,IF(N(INDEX(周转筐出入库明细!$I$4:$I$2004,$Z464-2000))=0,"",N(INDEX(周转筐出入库明细!$I$4:$I$2004,$Z464-2000))),IF($Z464&lt;=5200,"",IF($Z464&lt;=5800,IF(ISNUMBER(SEARCH("退",INDEX(次果筐明细!$F$4:$F$603,$Z464-5200)&amp;"")),IF(N(INDEX(次果筐明细!$G$4:$G$603,$Z464-5200))=0,"",N(INDEX(次果筐明细!$G$4:$G$603,$Z464-5200))),""),"")))))</f>
        <v/>
      </c>
      <c r="Q464" s="40" t="str">
        <f>IF($Z464="","",IF($Z464&lt;=2000,"",IF($Z464&lt;=4000,IF(N(INDEX(周转筐出入库明细!$H$4:$H$2004,$Z464-2000))=0,"",N(INDEX(周转筐出入库明细!$H$4:$H$2004,$Z464-2000))),IF($Z464&lt;=5200,IF(N(INDEX(客户自备加工筐明细!$F$4:$F$1203,$Z464-4000))=0,"",N(INDEX(客户自备加工筐明细!$F$4:$F$1203,$Z464-4000))),IF($Z464&lt;=5800,"","")))))</f>
        <v/>
      </c>
      <c r="R464" s="16" t="str">
        <f>IF($Z464="","",IF($Z464&lt;=2000,IF(INDEX(包装物料出入库明细!$O$4:$O$2003,$Z464-0)=0,"",INDEX(包装物料出入库明细!$O$4:$O$2003,$Z464-0)),IF($Z464&lt;=4000,IF(INDEX(周转筐出入库明细!$M$4:$M$2004,$Z464-2000)=0,"",INDEX(周转筐出入库明细!$M$4:$M$2004,$Z464-2000)),IF($Z464&lt;=5200,IF(INDEX(客户自备加工筐明细!$H$4:$H$1203,$Z464-4000)=0,"",INDEX(客户自备加工筐明细!$H$4:$H$1203,$Z464-4000)),IF($Z464&lt;=5800,IF(INDEX(次果筐明细!$H$4:$H$603,$Z464-5200)=0,"",INDEX(次果筐明细!$H$4:$H$603,$Z464-5200)),"")))))</f>
        <v/>
      </c>
      <c r="S464" s="22" t="str">
        <f t="shared" si="23"/>
        <v/>
      </c>
      <c r="Z464" s="10" t="str">
        <f>IFERROR(MATCH(ROW()-3,_自动清单!$CQ$4:$CQ$5803,0),"")</f>
        <v/>
      </c>
    </row>
    <row r="465" spans="1:26">
      <c r="A465" s="24" t="str">
        <f t="shared" si="21"/>
        <v/>
      </c>
      <c r="B465" s="38" t="str">
        <f>IF($Z465="","",IF($Z465&lt;=2000,IF(INDEX(包装物料出入库明细!$B$4:$B$2003,$Z465-0)=0,"",INDEX(包装物料出入库明细!$B$4:$B$2003,$Z465-0)),IF($Z465&lt;=4000,IF(INDEX(周转筐出入库明细!$B$4:$B$2004,$Z465-2000)=0,"",INDEX(周转筐出入库明细!$B$4:$B$2004,$Z465-2000)),IF($Z465&lt;=5200,IF(INDEX(客户自备加工筐明细!$B$4:$B$1203,$Z465-4000)=0,"",INDEX(客户自备加工筐明细!$B$4:$B$1203,$Z465-4000)),IF($Z465&lt;=5800,IF(INDEX(次果筐明细!$B$4:$B$603,$Z465-5200)=0,"",INDEX(次果筐明细!$B$4:$B$603,$Z465-5200)),"")))))</f>
        <v/>
      </c>
      <c r="C465" s="37" t="str">
        <f>IF($Z465="","",IF($Z465&lt;=2000,IF(INDEX(包装物料出入库明细!$D$4:$D$2003,$Z465-0)=0,"",INDEX(包装物料出入库明细!$D$4:$D$2003,$Z465-0)),IF($Z465&lt;=4000,IF(INDEX(周转筐出入库明细!$C$4:$C$2004,$Z465-2000)=0,"",INDEX(周转筐出入库明细!$C$4:$C$2004,$Z465-2000)),IF($Z465&lt;=5200,IF(INDEX(客户自备加工筐明细!$E$4:$E$1203,$Z465-4000)=0,"",INDEX(客户自备加工筐明细!$E$4:$E$1203,$Z465-4000)),IF($Z465&lt;=5800,IF(INDEX(次果筐明细!$C$4:$C$603,$Z465-5200)=0,"",INDEX(次果筐明细!$C$4:$C$603,$Z465-5200)),"")))))</f>
        <v/>
      </c>
      <c r="D465" s="37" t="str">
        <f>IF($Z465="","",IF($Z465&lt;=2000,"包装物料－"&amp;INDEX(包装物料出入库明细!$H$4:$H$2003,$Z465-0),IF($Z465&lt;=4000,"周转筐－"&amp;INDEX(周转筐出入库明细!$F$4:$F$2004,$Z465-2000),IF($Z465&lt;=5200,"客户自备筐－"&amp;INDEX(客户自备加工筐明细!$J$4:$J$1203,$Z465-4000),IF($Z465&lt;=5800,"次果筐/托盘－"&amp;INDEX(次果筐明细!$F$4:$F$603,$Z465-5200),"")))))</f>
        <v/>
      </c>
      <c r="E465" s="24" t="str">
        <f>IF($Z465="","",IF($Z465&lt;=2000,IF(INDEX(包装物料出入库明细!$C$4:$C$2003,$Z465-0)=0,"",INDEX(包装物料出入库明细!$C$4:$C$2003,$Z465-0)),IF($Z465&lt;=4000,IF(INDEX(周转筐出入库明细!$E$4:$E$2004,$Z465-2000)=0,"",INDEX(周转筐出入库明细!$E$4:$E$2004,$Z465-2000)),IF($Z465&lt;=5200,IF(INDEX(客户自备加工筐明细!$D$4:$D$1203,$Z465-4000)=0,"",INDEX(客户自备加工筐明细!$D$4:$D$1203,$Z465-4000)),IF($Z465&lt;=5800,IF(INDEX(次果筐明细!$E$4:$E$603,$Z465-5200)=0,"",INDEX(次果筐明细!$E$4:$E$603,$Z465-5200)),"")))))</f>
        <v/>
      </c>
      <c r="F465" s="24" t="str">
        <f>IF($Z465="","",IF($Z465&lt;=2000,IF(INDEX(包装物料出入库明细!$E$4:$E$2003,$Z465-0)=0,"",INDEX(包装物料出入库明细!$E$4:$E$2003,$Z465-0)),IF($Z465&lt;=4000,IF(INDEX(周转筐出入库明细!$D$4:$D$2004,$Z465-2000)=0,"",INDEX(周转筐出入库明细!$D$4:$D$2004,$Z465-2000)),IF($Z465&lt;=5200,IF(INDEX(客户自备加工筐明细!$C$4:$C$1203,$Z465-4000)=0,"",INDEX(客户自备加工筐明细!$C$4:$C$1203,$Z465-4000)),IF($Z465&lt;=5800,IF(INDEX(次果筐明细!$D$4:$D$603,$Z465-5200)=0,"",INDEX(次果筐明细!$D$4:$D$603,$Z465-5200)),"")))))</f>
        <v/>
      </c>
      <c r="G465" s="24" t="str">
        <f>IF($Z465="","",IF($Z465&lt;=2000,IF(INDEX(包装物料出入库明细!$F$4:$F$2003,$Z465-0)=0,"",INDEX(包装物料出入库明细!$F$4:$F$2003,$Z465-0)),IF($Z465&lt;=4000,"",IF($Z465&lt;=5200,"",IF($Z465&lt;=5800,"","")))))</f>
        <v/>
      </c>
      <c r="H465" s="39" t="str">
        <f>IF($Z465="","",IF($Z465&lt;=2000,IF(INDEX(包装物料出入库明细!$L$4:$L$2003,$Z465-0)=0,"",INDEX(包装物料出入库明细!$L$4:$L$2003,$Z465-0)),IF($Z465&lt;=4000,N(INDEX(周转筐出入库明细!$H$4:$H$2004,$Z465-2000))+N(INDEX(周转筐出入库明细!$I$4:$I$2004,$Z465-2000))+N(INDEX(周转筐出入库明细!$J$4:$J$2004,$Z465-2000))+N(INDEX(周转筐出入库明细!$K$4:$K$2004,$Z465-2000)),IF($Z465&lt;=5200,N(INDEX(客户自备加工筐明细!$F$4:$F$1203,$Z465-4000))+N(INDEX(客户自备加工筐明细!$G$4:$G$1203,$Z465-4000)),IF($Z465&lt;=5800,IF(INDEX(次果筐明细!$G$4:$G$603,$Z465-5200)=0,"",INDEX(次果筐明细!$G$4:$G$603,$Z465-5200)),"")))))</f>
        <v/>
      </c>
      <c r="I465" s="24" t="str">
        <f>IF($Z465="","",IF($Z465&lt;=2000,IF(INDEX(包装物料出入库明细!$G$4:$G$2003,$Z465-0)=0,"",INDEX(包装物料出入库明细!$G$4:$G$2003,$Z465-0)),IF($Z465&lt;=4000,"个",IF($Z465&lt;=5200,"个",IF($Z465&lt;=5800,"个","")))))</f>
        <v/>
      </c>
      <c r="J465" s="30" t="str">
        <f t="shared" si="22"/>
        <v/>
      </c>
      <c r="K465" s="30" t="str">
        <f>IF($Z465="","",IF($Z465&lt;=2000,IF(INDEX(包装物料出入库明细!$N$4:$N$2003,$Z465-0)=0,"",INDEX(包装物料出入库明细!$N$4:$N$2003,$Z465-0)),IF($Z465&lt;=4000,IF(INDEX(周转筐出入库明细!$P$4:$P$2004,$Z465-2000)=0,"",INDEX(周转筐出入库明细!$P$4:$P$2004,$Z465-2000)),IF($Z465&lt;=5200,"",IF($Z465&lt;=5800,N(INDEX(次果筐明细!$L$4:$L$603,$Z465-5200))+N(INDEX(次果筐明细!$J$4:$J$603,$Z465-5200)),"")))))</f>
        <v/>
      </c>
      <c r="L465" s="24" t="str">
        <f>IF($Z465="","",IF($Z465&lt;=2000,IF(INDEX(包装物料出入库明细!$P$4:$P$2003,$Z465-0)=0,"",INDEX(包装物料出入库明细!$P$4:$P$2003,$Z465-0)),IF($Z465&lt;=4000,IF(INDEX(周转筐出入库明细!$Q$4:$Q$2004,$Z465-2000)=0,"",INDEX(周转筐出入库明细!$Q$4:$Q$2004,$Z465-2000)),IF($Z465&lt;=5200,"",IF($Z465&lt;=5800,IF(INDEX(次果筐明细!$M$4:$M$603,$Z465-5200)=0,"",INDEX(次果筐明细!$M$4:$M$603,$Z465-5200)),"")))))</f>
        <v/>
      </c>
      <c r="M465" s="37" t="str">
        <f>IF($Z465="","",IF($Z465&lt;=2000,IF(INDEX(包装物料出入库明细!$R$4:$R$2003,$Z465-0)=0,"",INDEX(包装物料出入库明细!$R$4:$R$2003,$Z465-0)),IF($Z465&lt;=4000,IF(INDEX(周转筐出入库明细!$W$4:$W$2004,$Z465-2000)=0,"",INDEX(周转筐出入库明细!$W$4:$W$2004,$Z465-2000)),IF($Z465&lt;=5200,IF(INDEX(客户自备加工筐明细!$L$4:$L$1203,$Z465-4000)=0,"",INDEX(客户自备加工筐明细!$L$4:$L$1203,$Z465-4000)),IF($Z465&lt;=5800,IF(INDEX(次果筐明细!$P$4:$P$603,$Z465-5200)=0,"",INDEX(次果筐明细!$P$4:$P$603,$Z465-5200)),"")))))</f>
        <v/>
      </c>
      <c r="N465" s="16" t="str">
        <f>IF($Z465="","",IF($Z465&lt;=2000,"",IF($Z465&lt;=4000,IF(INDEX(周转筐出入库明细!$D$4:$D$2004,$Z465-2000)=0,"",INDEX(周转筐出入库明细!$D$4:$D$2004,$Z465-2000)),IF($Z465&lt;=5200,IF(INDEX(客户自备加工筐明细!$C$4:$C$1203,$Z465-4000)=0,"",INDEX(客户自备加工筐明细!$C$4:$C$1203,$Z465-4000)),IF($Z465&lt;=5800,IF(INDEX(次果筐明细!$D$4:$D$603,$Z465-5200)=0,"",INDEX(次果筐明细!$D$4:$D$603,$Z465-5200)),"")))))</f>
        <v/>
      </c>
      <c r="O465" s="40" t="str">
        <f>IF($Z465="","",IF($Z465&lt;=2000,"",IF($Z465&lt;=4000,IF(N(INDEX(周转筐出入库明细!$J$4:$J$2004,$Z465-2000))+N(INDEX(周转筐出入库明细!$K$4:$K$2004,$Z465-2000))=0,"",N(INDEX(周转筐出入库明细!$J$4:$J$2004,$Z465-2000))+N(INDEX(周转筐出入库明细!$K$4:$K$2004,$Z465-2000))),IF($Z465&lt;=5200,IF(N(INDEX(客户自备加工筐明细!$G$4:$G$1203,$Z465-4000))=0,"",N(INDEX(客户自备加工筐明细!$G$4:$G$1203,$Z465-4000))),IF($Z465&lt;=5800,IF(ISNUMBER(SEARCH("退",INDEX(次果筐明细!$F$4:$F$603,$Z465-5200)&amp;"")),"",IF(N(INDEX(次果筐明细!$G$4:$G$603,$Z465-5200))=0,"",N(INDEX(次果筐明细!$G$4:$G$603,$Z465-5200)))),"")))))</f>
        <v/>
      </c>
      <c r="P465" s="40" t="str">
        <f>IF($Z465="","",IF($Z465&lt;=2000,"",IF($Z465&lt;=4000,IF(N(INDEX(周转筐出入库明细!$I$4:$I$2004,$Z465-2000))=0,"",N(INDEX(周转筐出入库明细!$I$4:$I$2004,$Z465-2000))),IF($Z465&lt;=5200,"",IF($Z465&lt;=5800,IF(ISNUMBER(SEARCH("退",INDEX(次果筐明细!$F$4:$F$603,$Z465-5200)&amp;"")),IF(N(INDEX(次果筐明细!$G$4:$G$603,$Z465-5200))=0,"",N(INDEX(次果筐明细!$G$4:$G$603,$Z465-5200))),""),"")))))</f>
        <v/>
      </c>
      <c r="Q465" s="40" t="str">
        <f>IF($Z465="","",IF($Z465&lt;=2000,"",IF($Z465&lt;=4000,IF(N(INDEX(周转筐出入库明细!$H$4:$H$2004,$Z465-2000))=0,"",N(INDEX(周转筐出入库明细!$H$4:$H$2004,$Z465-2000))),IF($Z465&lt;=5200,IF(N(INDEX(客户自备加工筐明细!$F$4:$F$1203,$Z465-4000))=0,"",N(INDEX(客户自备加工筐明细!$F$4:$F$1203,$Z465-4000))),IF($Z465&lt;=5800,"","")))))</f>
        <v/>
      </c>
      <c r="R465" s="16" t="str">
        <f>IF($Z465="","",IF($Z465&lt;=2000,IF(INDEX(包装物料出入库明细!$O$4:$O$2003,$Z465-0)=0,"",INDEX(包装物料出入库明细!$O$4:$O$2003,$Z465-0)),IF($Z465&lt;=4000,IF(INDEX(周转筐出入库明细!$M$4:$M$2004,$Z465-2000)=0,"",INDEX(周转筐出入库明细!$M$4:$M$2004,$Z465-2000)),IF($Z465&lt;=5200,IF(INDEX(客户自备加工筐明细!$H$4:$H$1203,$Z465-4000)=0,"",INDEX(客户自备加工筐明细!$H$4:$H$1203,$Z465-4000)),IF($Z465&lt;=5800,IF(INDEX(次果筐明细!$H$4:$H$603,$Z465-5200)=0,"",INDEX(次果筐明细!$H$4:$H$603,$Z465-5200)),"")))))</f>
        <v/>
      </c>
      <c r="S465" s="22" t="str">
        <f t="shared" si="23"/>
        <v/>
      </c>
      <c r="Z465" s="10" t="str">
        <f>IFERROR(MATCH(ROW()-3,_自动清单!$CQ$4:$CQ$5803,0),"")</f>
        <v/>
      </c>
    </row>
    <row r="466" spans="1:26">
      <c r="A466" s="24" t="str">
        <f t="shared" si="21"/>
        <v/>
      </c>
      <c r="B466" s="38" t="str">
        <f>IF($Z466="","",IF($Z466&lt;=2000,IF(INDEX(包装物料出入库明细!$B$4:$B$2003,$Z466-0)=0,"",INDEX(包装物料出入库明细!$B$4:$B$2003,$Z466-0)),IF($Z466&lt;=4000,IF(INDEX(周转筐出入库明细!$B$4:$B$2004,$Z466-2000)=0,"",INDEX(周转筐出入库明细!$B$4:$B$2004,$Z466-2000)),IF($Z466&lt;=5200,IF(INDEX(客户自备加工筐明细!$B$4:$B$1203,$Z466-4000)=0,"",INDEX(客户自备加工筐明细!$B$4:$B$1203,$Z466-4000)),IF($Z466&lt;=5800,IF(INDEX(次果筐明细!$B$4:$B$603,$Z466-5200)=0,"",INDEX(次果筐明细!$B$4:$B$603,$Z466-5200)),"")))))</f>
        <v/>
      </c>
      <c r="C466" s="37" t="str">
        <f>IF($Z466="","",IF($Z466&lt;=2000,IF(INDEX(包装物料出入库明细!$D$4:$D$2003,$Z466-0)=0,"",INDEX(包装物料出入库明细!$D$4:$D$2003,$Z466-0)),IF($Z466&lt;=4000,IF(INDEX(周转筐出入库明细!$C$4:$C$2004,$Z466-2000)=0,"",INDEX(周转筐出入库明细!$C$4:$C$2004,$Z466-2000)),IF($Z466&lt;=5200,IF(INDEX(客户自备加工筐明细!$E$4:$E$1203,$Z466-4000)=0,"",INDEX(客户自备加工筐明细!$E$4:$E$1203,$Z466-4000)),IF($Z466&lt;=5800,IF(INDEX(次果筐明细!$C$4:$C$603,$Z466-5200)=0,"",INDEX(次果筐明细!$C$4:$C$603,$Z466-5200)),"")))))</f>
        <v/>
      </c>
      <c r="D466" s="37" t="str">
        <f>IF($Z466="","",IF($Z466&lt;=2000,"包装物料－"&amp;INDEX(包装物料出入库明细!$H$4:$H$2003,$Z466-0),IF($Z466&lt;=4000,"周转筐－"&amp;INDEX(周转筐出入库明细!$F$4:$F$2004,$Z466-2000),IF($Z466&lt;=5200,"客户自备筐－"&amp;INDEX(客户自备加工筐明细!$J$4:$J$1203,$Z466-4000),IF($Z466&lt;=5800,"次果筐/托盘－"&amp;INDEX(次果筐明细!$F$4:$F$603,$Z466-5200),"")))))</f>
        <v/>
      </c>
      <c r="E466" s="24" t="str">
        <f>IF($Z466="","",IF($Z466&lt;=2000,IF(INDEX(包装物料出入库明细!$C$4:$C$2003,$Z466-0)=0,"",INDEX(包装物料出入库明细!$C$4:$C$2003,$Z466-0)),IF($Z466&lt;=4000,IF(INDEX(周转筐出入库明细!$E$4:$E$2004,$Z466-2000)=0,"",INDEX(周转筐出入库明细!$E$4:$E$2004,$Z466-2000)),IF($Z466&lt;=5200,IF(INDEX(客户自备加工筐明细!$D$4:$D$1203,$Z466-4000)=0,"",INDEX(客户自备加工筐明细!$D$4:$D$1203,$Z466-4000)),IF($Z466&lt;=5800,IF(INDEX(次果筐明细!$E$4:$E$603,$Z466-5200)=0,"",INDEX(次果筐明细!$E$4:$E$603,$Z466-5200)),"")))))</f>
        <v/>
      </c>
      <c r="F466" s="24" t="str">
        <f>IF($Z466="","",IF($Z466&lt;=2000,IF(INDEX(包装物料出入库明细!$E$4:$E$2003,$Z466-0)=0,"",INDEX(包装物料出入库明细!$E$4:$E$2003,$Z466-0)),IF($Z466&lt;=4000,IF(INDEX(周转筐出入库明细!$D$4:$D$2004,$Z466-2000)=0,"",INDEX(周转筐出入库明细!$D$4:$D$2004,$Z466-2000)),IF($Z466&lt;=5200,IF(INDEX(客户自备加工筐明细!$C$4:$C$1203,$Z466-4000)=0,"",INDEX(客户自备加工筐明细!$C$4:$C$1203,$Z466-4000)),IF($Z466&lt;=5800,IF(INDEX(次果筐明细!$D$4:$D$603,$Z466-5200)=0,"",INDEX(次果筐明细!$D$4:$D$603,$Z466-5200)),"")))))</f>
        <v/>
      </c>
      <c r="G466" s="24" t="str">
        <f>IF($Z466="","",IF($Z466&lt;=2000,IF(INDEX(包装物料出入库明细!$F$4:$F$2003,$Z466-0)=0,"",INDEX(包装物料出入库明细!$F$4:$F$2003,$Z466-0)),IF($Z466&lt;=4000,"",IF($Z466&lt;=5200,"",IF($Z466&lt;=5800,"","")))))</f>
        <v/>
      </c>
      <c r="H466" s="39" t="str">
        <f>IF($Z466="","",IF($Z466&lt;=2000,IF(INDEX(包装物料出入库明细!$L$4:$L$2003,$Z466-0)=0,"",INDEX(包装物料出入库明细!$L$4:$L$2003,$Z466-0)),IF($Z466&lt;=4000,N(INDEX(周转筐出入库明细!$H$4:$H$2004,$Z466-2000))+N(INDEX(周转筐出入库明细!$I$4:$I$2004,$Z466-2000))+N(INDEX(周转筐出入库明细!$J$4:$J$2004,$Z466-2000))+N(INDEX(周转筐出入库明细!$K$4:$K$2004,$Z466-2000)),IF($Z466&lt;=5200,N(INDEX(客户自备加工筐明细!$F$4:$F$1203,$Z466-4000))+N(INDEX(客户自备加工筐明细!$G$4:$G$1203,$Z466-4000)),IF($Z466&lt;=5800,IF(INDEX(次果筐明细!$G$4:$G$603,$Z466-5200)=0,"",INDEX(次果筐明细!$G$4:$G$603,$Z466-5200)),"")))))</f>
        <v/>
      </c>
      <c r="I466" s="24" t="str">
        <f>IF($Z466="","",IF($Z466&lt;=2000,IF(INDEX(包装物料出入库明细!$G$4:$G$2003,$Z466-0)=0,"",INDEX(包装物料出入库明细!$G$4:$G$2003,$Z466-0)),IF($Z466&lt;=4000,"个",IF($Z466&lt;=5200,"个",IF($Z466&lt;=5800,"个","")))))</f>
        <v/>
      </c>
      <c r="J466" s="30" t="str">
        <f t="shared" si="22"/>
        <v/>
      </c>
      <c r="K466" s="30" t="str">
        <f>IF($Z466="","",IF($Z466&lt;=2000,IF(INDEX(包装物料出入库明细!$N$4:$N$2003,$Z466-0)=0,"",INDEX(包装物料出入库明细!$N$4:$N$2003,$Z466-0)),IF($Z466&lt;=4000,IF(INDEX(周转筐出入库明细!$P$4:$P$2004,$Z466-2000)=0,"",INDEX(周转筐出入库明细!$P$4:$P$2004,$Z466-2000)),IF($Z466&lt;=5200,"",IF($Z466&lt;=5800,N(INDEX(次果筐明细!$L$4:$L$603,$Z466-5200))+N(INDEX(次果筐明细!$J$4:$J$603,$Z466-5200)),"")))))</f>
        <v/>
      </c>
      <c r="L466" s="24" t="str">
        <f>IF($Z466="","",IF($Z466&lt;=2000,IF(INDEX(包装物料出入库明细!$P$4:$P$2003,$Z466-0)=0,"",INDEX(包装物料出入库明细!$P$4:$P$2003,$Z466-0)),IF($Z466&lt;=4000,IF(INDEX(周转筐出入库明细!$Q$4:$Q$2004,$Z466-2000)=0,"",INDEX(周转筐出入库明细!$Q$4:$Q$2004,$Z466-2000)),IF($Z466&lt;=5200,"",IF($Z466&lt;=5800,IF(INDEX(次果筐明细!$M$4:$M$603,$Z466-5200)=0,"",INDEX(次果筐明细!$M$4:$M$603,$Z466-5200)),"")))))</f>
        <v/>
      </c>
      <c r="M466" s="37" t="str">
        <f>IF($Z466="","",IF($Z466&lt;=2000,IF(INDEX(包装物料出入库明细!$R$4:$R$2003,$Z466-0)=0,"",INDEX(包装物料出入库明细!$R$4:$R$2003,$Z466-0)),IF($Z466&lt;=4000,IF(INDEX(周转筐出入库明细!$W$4:$W$2004,$Z466-2000)=0,"",INDEX(周转筐出入库明细!$W$4:$W$2004,$Z466-2000)),IF($Z466&lt;=5200,IF(INDEX(客户自备加工筐明细!$L$4:$L$1203,$Z466-4000)=0,"",INDEX(客户自备加工筐明细!$L$4:$L$1203,$Z466-4000)),IF($Z466&lt;=5800,IF(INDEX(次果筐明细!$P$4:$P$603,$Z466-5200)=0,"",INDEX(次果筐明细!$P$4:$P$603,$Z466-5200)),"")))))</f>
        <v/>
      </c>
      <c r="N466" s="16" t="str">
        <f>IF($Z466="","",IF($Z466&lt;=2000,"",IF($Z466&lt;=4000,IF(INDEX(周转筐出入库明细!$D$4:$D$2004,$Z466-2000)=0,"",INDEX(周转筐出入库明细!$D$4:$D$2004,$Z466-2000)),IF($Z466&lt;=5200,IF(INDEX(客户自备加工筐明细!$C$4:$C$1203,$Z466-4000)=0,"",INDEX(客户自备加工筐明细!$C$4:$C$1203,$Z466-4000)),IF($Z466&lt;=5800,IF(INDEX(次果筐明细!$D$4:$D$603,$Z466-5200)=0,"",INDEX(次果筐明细!$D$4:$D$603,$Z466-5200)),"")))))</f>
        <v/>
      </c>
      <c r="O466" s="40" t="str">
        <f>IF($Z466="","",IF($Z466&lt;=2000,"",IF($Z466&lt;=4000,IF(N(INDEX(周转筐出入库明细!$J$4:$J$2004,$Z466-2000))+N(INDEX(周转筐出入库明细!$K$4:$K$2004,$Z466-2000))=0,"",N(INDEX(周转筐出入库明细!$J$4:$J$2004,$Z466-2000))+N(INDEX(周转筐出入库明细!$K$4:$K$2004,$Z466-2000))),IF($Z466&lt;=5200,IF(N(INDEX(客户自备加工筐明细!$G$4:$G$1203,$Z466-4000))=0,"",N(INDEX(客户自备加工筐明细!$G$4:$G$1203,$Z466-4000))),IF($Z466&lt;=5800,IF(ISNUMBER(SEARCH("退",INDEX(次果筐明细!$F$4:$F$603,$Z466-5200)&amp;"")),"",IF(N(INDEX(次果筐明细!$G$4:$G$603,$Z466-5200))=0,"",N(INDEX(次果筐明细!$G$4:$G$603,$Z466-5200)))),"")))))</f>
        <v/>
      </c>
      <c r="P466" s="40" t="str">
        <f>IF($Z466="","",IF($Z466&lt;=2000,"",IF($Z466&lt;=4000,IF(N(INDEX(周转筐出入库明细!$I$4:$I$2004,$Z466-2000))=0,"",N(INDEX(周转筐出入库明细!$I$4:$I$2004,$Z466-2000))),IF($Z466&lt;=5200,"",IF($Z466&lt;=5800,IF(ISNUMBER(SEARCH("退",INDEX(次果筐明细!$F$4:$F$603,$Z466-5200)&amp;"")),IF(N(INDEX(次果筐明细!$G$4:$G$603,$Z466-5200))=0,"",N(INDEX(次果筐明细!$G$4:$G$603,$Z466-5200))),""),"")))))</f>
        <v/>
      </c>
      <c r="Q466" s="40" t="str">
        <f>IF($Z466="","",IF($Z466&lt;=2000,"",IF($Z466&lt;=4000,IF(N(INDEX(周转筐出入库明细!$H$4:$H$2004,$Z466-2000))=0,"",N(INDEX(周转筐出入库明细!$H$4:$H$2004,$Z466-2000))),IF($Z466&lt;=5200,IF(N(INDEX(客户自备加工筐明细!$F$4:$F$1203,$Z466-4000))=0,"",N(INDEX(客户自备加工筐明细!$F$4:$F$1203,$Z466-4000))),IF($Z466&lt;=5800,"","")))))</f>
        <v/>
      </c>
      <c r="R466" s="16" t="str">
        <f>IF($Z466="","",IF($Z466&lt;=2000,IF(INDEX(包装物料出入库明细!$O$4:$O$2003,$Z466-0)=0,"",INDEX(包装物料出入库明细!$O$4:$O$2003,$Z466-0)),IF($Z466&lt;=4000,IF(INDEX(周转筐出入库明细!$M$4:$M$2004,$Z466-2000)=0,"",INDEX(周转筐出入库明细!$M$4:$M$2004,$Z466-2000)),IF($Z466&lt;=5200,IF(INDEX(客户自备加工筐明细!$H$4:$H$1203,$Z466-4000)=0,"",INDEX(客户自备加工筐明细!$H$4:$H$1203,$Z466-4000)),IF($Z466&lt;=5800,IF(INDEX(次果筐明细!$H$4:$H$603,$Z466-5200)=0,"",INDEX(次果筐明细!$H$4:$H$603,$Z466-5200)),"")))))</f>
        <v/>
      </c>
      <c r="S466" s="22" t="str">
        <f t="shared" si="23"/>
        <v/>
      </c>
      <c r="Z466" s="10" t="str">
        <f>IFERROR(MATCH(ROW()-3,_自动清单!$CQ$4:$CQ$5803,0),"")</f>
        <v/>
      </c>
    </row>
    <row r="467" spans="1:26">
      <c r="A467" s="24" t="str">
        <f t="shared" si="21"/>
        <v/>
      </c>
      <c r="B467" s="38" t="str">
        <f>IF($Z467="","",IF($Z467&lt;=2000,IF(INDEX(包装物料出入库明细!$B$4:$B$2003,$Z467-0)=0,"",INDEX(包装物料出入库明细!$B$4:$B$2003,$Z467-0)),IF($Z467&lt;=4000,IF(INDEX(周转筐出入库明细!$B$4:$B$2004,$Z467-2000)=0,"",INDEX(周转筐出入库明细!$B$4:$B$2004,$Z467-2000)),IF($Z467&lt;=5200,IF(INDEX(客户自备加工筐明细!$B$4:$B$1203,$Z467-4000)=0,"",INDEX(客户自备加工筐明细!$B$4:$B$1203,$Z467-4000)),IF($Z467&lt;=5800,IF(INDEX(次果筐明细!$B$4:$B$603,$Z467-5200)=0,"",INDEX(次果筐明细!$B$4:$B$603,$Z467-5200)),"")))))</f>
        <v/>
      </c>
      <c r="C467" s="37" t="str">
        <f>IF($Z467="","",IF($Z467&lt;=2000,IF(INDEX(包装物料出入库明细!$D$4:$D$2003,$Z467-0)=0,"",INDEX(包装物料出入库明细!$D$4:$D$2003,$Z467-0)),IF($Z467&lt;=4000,IF(INDEX(周转筐出入库明细!$C$4:$C$2004,$Z467-2000)=0,"",INDEX(周转筐出入库明细!$C$4:$C$2004,$Z467-2000)),IF($Z467&lt;=5200,IF(INDEX(客户自备加工筐明细!$E$4:$E$1203,$Z467-4000)=0,"",INDEX(客户自备加工筐明细!$E$4:$E$1203,$Z467-4000)),IF($Z467&lt;=5800,IF(INDEX(次果筐明细!$C$4:$C$603,$Z467-5200)=0,"",INDEX(次果筐明细!$C$4:$C$603,$Z467-5200)),"")))))</f>
        <v/>
      </c>
      <c r="D467" s="37" t="str">
        <f>IF($Z467="","",IF($Z467&lt;=2000,"包装物料－"&amp;INDEX(包装物料出入库明细!$H$4:$H$2003,$Z467-0),IF($Z467&lt;=4000,"周转筐－"&amp;INDEX(周转筐出入库明细!$F$4:$F$2004,$Z467-2000),IF($Z467&lt;=5200,"客户自备筐－"&amp;INDEX(客户自备加工筐明细!$J$4:$J$1203,$Z467-4000),IF($Z467&lt;=5800,"次果筐/托盘－"&amp;INDEX(次果筐明细!$F$4:$F$603,$Z467-5200),"")))))</f>
        <v/>
      </c>
      <c r="E467" s="24" t="str">
        <f>IF($Z467="","",IF($Z467&lt;=2000,IF(INDEX(包装物料出入库明细!$C$4:$C$2003,$Z467-0)=0,"",INDEX(包装物料出入库明细!$C$4:$C$2003,$Z467-0)),IF($Z467&lt;=4000,IF(INDEX(周转筐出入库明细!$E$4:$E$2004,$Z467-2000)=0,"",INDEX(周转筐出入库明细!$E$4:$E$2004,$Z467-2000)),IF($Z467&lt;=5200,IF(INDEX(客户自备加工筐明细!$D$4:$D$1203,$Z467-4000)=0,"",INDEX(客户自备加工筐明细!$D$4:$D$1203,$Z467-4000)),IF($Z467&lt;=5800,IF(INDEX(次果筐明细!$E$4:$E$603,$Z467-5200)=0,"",INDEX(次果筐明细!$E$4:$E$603,$Z467-5200)),"")))))</f>
        <v/>
      </c>
      <c r="F467" s="24" t="str">
        <f>IF($Z467="","",IF($Z467&lt;=2000,IF(INDEX(包装物料出入库明细!$E$4:$E$2003,$Z467-0)=0,"",INDEX(包装物料出入库明细!$E$4:$E$2003,$Z467-0)),IF($Z467&lt;=4000,IF(INDEX(周转筐出入库明细!$D$4:$D$2004,$Z467-2000)=0,"",INDEX(周转筐出入库明细!$D$4:$D$2004,$Z467-2000)),IF($Z467&lt;=5200,IF(INDEX(客户自备加工筐明细!$C$4:$C$1203,$Z467-4000)=0,"",INDEX(客户自备加工筐明细!$C$4:$C$1203,$Z467-4000)),IF($Z467&lt;=5800,IF(INDEX(次果筐明细!$D$4:$D$603,$Z467-5200)=0,"",INDEX(次果筐明细!$D$4:$D$603,$Z467-5200)),"")))))</f>
        <v/>
      </c>
      <c r="G467" s="24" t="str">
        <f>IF($Z467="","",IF($Z467&lt;=2000,IF(INDEX(包装物料出入库明细!$F$4:$F$2003,$Z467-0)=0,"",INDEX(包装物料出入库明细!$F$4:$F$2003,$Z467-0)),IF($Z467&lt;=4000,"",IF($Z467&lt;=5200,"",IF($Z467&lt;=5800,"","")))))</f>
        <v/>
      </c>
      <c r="H467" s="39" t="str">
        <f>IF($Z467="","",IF($Z467&lt;=2000,IF(INDEX(包装物料出入库明细!$L$4:$L$2003,$Z467-0)=0,"",INDEX(包装物料出入库明细!$L$4:$L$2003,$Z467-0)),IF($Z467&lt;=4000,N(INDEX(周转筐出入库明细!$H$4:$H$2004,$Z467-2000))+N(INDEX(周转筐出入库明细!$I$4:$I$2004,$Z467-2000))+N(INDEX(周转筐出入库明细!$J$4:$J$2004,$Z467-2000))+N(INDEX(周转筐出入库明细!$K$4:$K$2004,$Z467-2000)),IF($Z467&lt;=5200,N(INDEX(客户自备加工筐明细!$F$4:$F$1203,$Z467-4000))+N(INDEX(客户自备加工筐明细!$G$4:$G$1203,$Z467-4000)),IF($Z467&lt;=5800,IF(INDEX(次果筐明细!$G$4:$G$603,$Z467-5200)=0,"",INDEX(次果筐明细!$G$4:$G$603,$Z467-5200)),"")))))</f>
        <v/>
      </c>
      <c r="I467" s="24" t="str">
        <f>IF($Z467="","",IF($Z467&lt;=2000,IF(INDEX(包装物料出入库明细!$G$4:$G$2003,$Z467-0)=0,"",INDEX(包装物料出入库明细!$G$4:$G$2003,$Z467-0)),IF($Z467&lt;=4000,"个",IF($Z467&lt;=5200,"个",IF($Z467&lt;=5800,"个","")))))</f>
        <v/>
      </c>
      <c r="J467" s="30" t="str">
        <f t="shared" si="22"/>
        <v/>
      </c>
      <c r="K467" s="30" t="str">
        <f>IF($Z467="","",IF($Z467&lt;=2000,IF(INDEX(包装物料出入库明细!$N$4:$N$2003,$Z467-0)=0,"",INDEX(包装物料出入库明细!$N$4:$N$2003,$Z467-0)),IF($Z467&lt;=4000,IF(INDEX(周转筐出入库明细!$P$4:$P$2004,$Z467-2000)=0,"",INDEX(周转筐出入库明细!$P$4:$P$2004,$Z467-2000)),IF($Z467&lt;=5200,"",IF($Z467&lt;=5800,N(INDEX(次果筐明细!$L$4:$L$603,$Z467-5200))+N(INDEX(次果筐明细!$J$4:$J$603,$Z467-5200)),"")))))</f>
        <v/>
      </c>
      <c r="L467" s="24" t="str">
        <f>IF($Z467="","",IF($Z467&lt;=2000,IF(INDEX(包装物料出入库明细!$P$4:$P$2003,$Z467-0)=0,"",INDEX(包装物料出入库明细!$P$4:$P$2003,$Z467-0)),IF($Z467&lt;=4000,IF(INDEX(周转筐出入库明细!$Q$4:$Q$2004,$Z467-2000)=0,"",INDEX(周转筐出入库明细!$Q$4:$Q$2004,$Z467-2000)),IF($Z467&lt;=5200,"",IF($Z467&lt;=5800,IF(INDEX(次果筐明细!$M$4:$M$603,$Z467-5200)=0,"",INDEX(次果筐明细!$M$4:$M$603,$Z467-5200)),"")))))</f>
        <v/>
      </c>
      <c r="M467" s="37" t="str">
        <f>IF($Z467="","",IF($Z467&lt;=2000,IF(INDEX(包装物料出入库明细!$R$4:$R$2003,$Z467-0)=0,"",INDEX(包装物料出入库明细!$R$4:$R$2003,$Z467-0)),IF($Z467&lt;=4000,IF(INDEX(周转筐出入库明细!$W$4:$W$2004,$Z467-2000)=0,"",INDEX(周转筐出入库明细!$W$4:$W$2004,$Z467-2000)),IF($Z467&lt;=5200,IF(INDEX(客户自备加工筐明细!$L$4:$L$1203,$Z467-4000)=0,"",INDEX(客户自备加工筐明细!$L$4:$L$1203,$Z467-4000)),IF($Z467&lt;=5800,IF(INDEX(次果筐明细!$P$4:$P$603,$Z467-5200)=0,"",INDEX(次果筐明细!$P$4:$P$603,$Z467-5200)),"")))))</f>
        <v/>
      </c>
      <c r="N467" s="16" t="str">
        <f>IF($Z467="","",IF($Z467&lt;=2000,"",IF($Z467&lt;=4000,IF(INDEX(周转筐出入库明细!$D$4:$D$2004,$Z467-2000)=0,"",INDEX(周转筐出入库明细!$D$4:$D$2004,$Z467-2000)),IF($Z467&lt;=5200,IF(INDEX(客户自备加工筐明细!$C$4:$C$1203,$Z467-4000)=0,"",INDEX(客户自备加工筐明细!$C$4:$C$1203,$Z467-4000)),IF($Z467&lt;=5800,IF(INDEX(次果筐明细!$D$4:$D$603,$Z467-5200)=0,"",INDEX(次果筐明细!$D$4:$D$603,$Z467-5200)),"")))))</f>
        <v/>
      </c>
      <c r="O467" s="40" t="str">
        <f>IF($Z467="","",IF($Z467&lt;=2000,"",IF($Z467&lt;=4000,IF(N(INDEX(周转筐出入库明细!$J$4:$J$2004,$Z467-2000))+N(INDEX(周转筐出入库明细!$K$4:$K$2004,$Z467-2000))=0,"",N(INDEX(周转筐出入库明细!$J$4:$J$2004,$Z467-2000))+N(INDEX(周转筐出入库明细!$K$4:$K$2004,$Z467-2000))),IF($Z467&lt;=5200,IF(N(INDEX(客户自备加工筐明细!$G$4:$G$1203,$Z467-4000))=0,"",N(INDEX(客户自备加工筐明细!$G$4:$G$1203,$Z467-4000))),IF($Z467&lt;=5800,IF(ISNUMBER(SEARCH("退",INDEX(次果筐明细!$F$4:$F$603,$Z467-5200)&amp;"")),"",IF(N(INDEX(次果筐明细!$G$4:$G$603,$Z467-5200))=0,"",N(INDEX(次果筐明细!$G$4:$G$603,$Z467-5200)))),"")))))</f>
        <v/>
      </c>
      <c r="P467" s="40" t="str">
        <f>IF($Z467="","",IF($Z467&lt;=2000,"",IF($Z467&lt;=4000,IF(N(INDEX(周转筐出入库明细!$I$4:$I$2004,$Z467-2000))=0,"",N(INDEX(周转筐出入库明细!$I$4:$I$2004,$Z467-2000))),IF($Z467&lt;=5200,"",IF($Z467&lt;=5800,IF(ISNUMBER(SEARCH("退",INDEX(次果筐明细!$F$4:$F$603,$Z467-5200)&amp;"")),IF(N(INDEX(次果筐明细!$G$4:$G$603,$Z467-5200))=0,"",N(INDEX(次果筐明细!$G$4:$G$603,$Z467-5200))),""),"")))))</f>
        <v/>
      </c>
      <c r="Q467" s="40" t="str">
        <f>IF($Z467="","",IF($Z467&lt;=2000,"",IF($Z467&lt;=4000,IF(N(INDEX(周转筐出入库明细!$H$4:$H$2004,$Z467-2000))=0,"",N(INDEX(周转筐出入库明细!$H$4:$H$2004,$Z467-2000))),IF($Z467&lt;=5200,IF(N(INDEX(客户自备加工筐明细!$F$4:$F$1203,$Z467-4000))=0,"",N(INDEX(客户自备加工筐明细!$F$4:$F$1203,$Z467-4000))),IF($Z467&lt;=5800,"","")))))</f>
        <v/>
      </c>
      <c r="R467" s="16" t="str">
        <f>IF($Z467="","",IF($Z467&lt;=2000,IF(INDEX(包装物料出入库明细!$O$4:$O$2003,$Z467-0)=0,"",INDEX(包装物料出入库明细!$O$4:$O$2003,$Z467-0)),IF($Z467&lt;=4000,IF(INDEX(周转筐出入库明细!$M$4:$M$2004,$Z467-2000)=0,"",INDEX(周转筐出入库明细!$M$4:$M$2004,$Z467-2000)),IF($Z467&lt;=5200,IF(INDEX(客户自备加工筐明细!$H$4:$H$1203,$Z467-4000)=0,"",INDEX(客户自备加工筐明细!$H$4:$H$1203,$Z467-4000)),IF($Z467&lt;=5800,IF(INDEX(次果筐明细!$H$4:$H$603,$Z467-5200)=0,"",INDEX(次果筐明细!$H$4:$H$603,$Z467-5200)),"")))))</f>
        <v/>
      </c>
      <c r="S467" s="22" t="str">
        <f t="shared" si="23"/>
        <v/>
      </c>
      <c r="Z467" s="10" t="str">
        <f>IFERROR(MATCH(ROW()-3,_自动清单!$CQ$4:$CQ$5803,0),"")</f>
        <v/>
      </c>
    </row>
    <row r="468" spans="1:26">
      <c r="A468" s="24" t="str">
        <f t="shared" si="21"/>
        <v/>
      </c>
      <c r="B468" s="38" t="str">
        <f>IF($Z468="","",IF($Z468&lt;=2000,IF(INDEX(包装物料出入库明细!$B$4:$B$2003,$Z468-0)=0,"",INDEX(包装物料出入库明细!$B$4:$B$2003,$Z468-0)),IF($Z468&lt;=4000,IF(INDEX(周转筐出入库明细!$B$4:$B$2004,$Z468-2000)=0,"",INDEX(周转筐出入库明细!$B$4:$B$2004,$Z468-2000)),IF($Z468&lt;=5200,IF(INDEX(客户自备加工筐明细!$B$4:$B$1203,$Z468-4000)=0,"",INDEX(客户自备加工筐明细!$B$4:$B$1203,$Z468-4000)),IF($Z468&lt;=5800,IF(INDEX(次果筐明细!$B$4:$B$603,$Z468-5200)=0,"",INDEX(次果筐明细!$B$4:$B$603,$Z468-5200)),"")))))</f>
        <v/>
      </c>
      <c r="C468" s="37" t="str">
        <f>IF($Z468="","",IF($Z468&lt;=2000,IF(INDEX(包装物料出入库明细!$D$4:$D$2003,$Z468-0)=0,"",INDEX(包装物料出入库明细!$D$4:$D$2003,$Z468-0)),IF($Z468&lt;=4000,IF(INDEX(周转筐出入库明细!$C$4:$C$2004,$Z468-2000)=0,"",INDEX(周转筐出入库明细!$C$4:$C$2004,$Z468-2000)),IF($Z468&lt;=5200,IF(INDEX(客户自备加工筐明细!$E$4:$E$1203,$Z468-4000)=0,"",INDEX(客户自备加工筐明细!$E$4:$E$1203,$Z468-4000)),IF($Z468&lt;=5800,IF(INDEX(次果筐明细!$C$4:$C$603,$Z468-5200)=0,"",INDEX(次果筐明细!$C$4:$C$603,$Z468-5200)),"")))))</f>
        <v/>
      </c>
      <c r="D468" s="37" t="str">
        <f>IF($Z468="","",IF($Z468&lt;=2000,"包装物料－"&amp;INDEX(包装物料出入库明细!$H$4:$H$2003,$Z468-0),IF($Z468&lt;=4000,"周转筐－"&amp;INDEX(周转筐出入库明细!$F$4:$F$2004,$Z468-2000),IF($Z468&lt;=5200,"客户自备筐－"&amp;INDEX(客户自备加工筐明细!$J$4:$J$1203,$Z468-4000),IF($Z468&lt;=5800,"次果筐/托盘－"&amp;INDEX(次果筐明细!$F$4:$F$603,$Z468-5200),"")))))</f>
        <v/>
      </c>
      <c r="E468" s="24" t="str">
        <f>IF($Z468="","",IF($Z468&lt;=2000,IF(INDEX(包装物料出入库明细!$C$4:$C$2003,$Z468-0)=0,"",INDEX(包装物料出入库明细!$C$4:$C$2003,$Z468-0)),IF($Z468&lt;=4000,IF(INDEX(周转筐出入库明细!$E$4:$E$2004,$Z468-2000)=0,"",INDEX(周转筐出入库明细!$E$4:$E$2004,$Z468-2000)),IF($Z468&lt;=5200,IF(INDEX(客户自备加工筐明细!$D$4:$D$1203,$Z468-4000)=0,"",INDEX(客户自备加工筐明细!$D$4:$D$1203,$Z468-4000)),IF($Z468&lt;=5800,IF(INDEX(次果筐明细!$E$4:$E$603,$Z468-5200)=0,"",INDEX(次果筐明细!$E$4:$E$603,$Z468-5200)),"")))))</f>
        <v/>
      </c>
      <c r="F468" s="24" t="str">
        <f>IF($Z468="","",IF($Z468&lt;=2000,IF(INDEX(包装物料出入库明细!$E$4:$E$2003,$Z468-0)=0,"",INDEX(包装物料出入库明细!$E$4:$E$2003,$Z468-0)),IF($Z468&lt;=4000,IF(INDEX(周转筐出入库明细!$D$4:$D$2004,$Z468-2000)=0,"",INDEX(周转筐出入库明细!$D$4:$D$2004,$Z468-2000)),IF($Z468&lt;=5200,IF(INDEX(客户自备加工筐明细!$C$4:$C$1203,$Z468-4000)=0,"",INDEX(客户自备加工筐明细!$C$4:$C$1203,$Z468-4000)),IF($Z468&lt;=5800,IF(INDEX(次果筐明细!$D$4:$D$603,$Z468-5200)=0,"",INDEX(次果筐明细!$D$4:$D$603,$Z468-5200)),"")))))</f>
        <v/>
      </c>
      <c r="G468" s="24" t="str">
        <f>IF($Z468="","",IF($Z468&lt;=2000,IF(INDEX(包装物料出入库明细!$F$4:$F$2003,$Z468-0)=0,"",INDEX(包装物料出入库明细!$F$4:$F$2003,$Z468-0)),IF($Z468&lt;=4000,"",IF($Z468&lt;=5200,"",IF($Z468&lt;=5800,"","")))))</f>
        <v/>
      </c>
      <c r="H468" s="39" t="str">
        <f>IF($Z468="","",IF($Z468&lt;=2000,IF(INDEX(包装物料出入库明细!$L$4:$L$2003,$Z468-0)=0,"",INDEX(包装物料出入库明细!$L$4:$L$2003,$Z468-0)),IF($Z468&lt;=4000,N(INDEX(周转筐出入库明细!$H$4:$H$2004,$Z468-2000))+N(INDEX(周转筐出入库明细!$I$4:$I$2004,$Z468-2000))+N(INDEX(周转筐出入库明细!$J$4:$J$2004,$Z468-2000))+N(INDEX(周转筐出入库明细!$K$4:$K$2004,$Z468-2000)),IF($Z468&lt;=5200,N(INDEX(客户自备加工筐明细!$F$4:$F$1203,$Z468-4000))+N(INDEX(客户自备加工筐明细!$G$4:$G$1203,$Z468-4000)),IF($Z468&lt;=5800,IF(INDEX(次果筐明细!$G$4:$G$603,$Z468-5200)=0,"",INDEX(次果筐明细!$G$4:$G$603,$Z468-5200)),"")))))</f>
        <v/>
      </c>
      <c r="I468" s="24" t="str">
        <f>IF($Z468="","",IF($Z468&lt;=2000,IF(INDEX(包装物料出入库明细!$G$4:$G$2003,$Z468-0)=0,"",INDEX(包装物料出入库明细!$G$4:$G$2003,$Z468-0)),IF($Z468&lt;=4000,"个",IF($Z468&lt;=5200,"个",IF($Z468&lt;=5800,"个","")))))</f>
        <v/>
      </c>
      <c r="J468" s="30" t="str">
        <f t="shared" si="22"/>
        <v/>
      </c>
      <c r="K468" s="30" t="str">
        <f>IF($Z468="","",IF($Z468&lt;=2000,IF(INDEX(包装物料出入库明细!$N$4:$N$2003,$Z468-0)=0,"",INDEX(包装物料出入库明细!$N$4:$N$2003,$Z468-0)),IF($Z468&lt;=4000,IF(INDEX(周转筐出入库明细!$P$4:$P$2004,$Z468-2000)=0,"",INDEX(周转筐出入库明细!$P$4:$P$2004,$Z468-2000)),IF($Z468&lt;=5200,"",IF($Z468&lt;=5800,N(INDEX(次果筐明细!$L$4:$L$603,$Z468-5200))+N(INDEX(次果筐明细!$J$4:$J$603,$Z468-5200)),"")))))</f>
        <v/>
      </c>
      <c r="L468" s="24" t="str">
        <f>IF($Z468="","",IF($Z468&lt;=2000,IF(INDEX(包装物料出入库明细!$P$4:$P$2003,$Z468-0)=0,"",INDEX(包装物料出入库明细!$P$4:$P$2003,$Z468-0)),IF($Z468&lt;=4000,IF(INDEX(周转筐出入库明细!$Q$4:$Q$2004,$Z468-2000)=0,"",INDEX(周转筐出入库明细!$Q$4:$Q$2004,$Z468-2000)),IF($Z468&lt;=5200,"",IF($Z468&lt;=5800,IF(INDEX(次果筐明细!$M$4:$M$603,$Z468-5200)=0,"",INDEX(次果筐明细!$M$4:$M$603,$Z468-5200)),"")))))</f>
        <v/>
      </c>
      <c r="M468" s="37" t="str">
        <f>IF($Z468="","",IF($Z468&lt;=2000,IF(INDEX(包装物料出入库明细!$R$4:$R$2003,$Z468-0)=0,"",INDEX(包装物料出入库明细!$R$4:$R$2003,$Z468-0)),IF($Z468&lt;=4000,IF(INDEX(周转筐出入库明细!$W$4:$W$2004,$Z468-2000)=0,"",INDEX(周转筐出入库明细!$W$4:$W$2004,$Z468-2000)),IF($Z468&lt;=5200,IF(INDEX(客户自备加工筐明细!$L$4:$L$1203,$Z468-4000)=0,"",INDEX(客户自备加工筐明细!$L$4:$L$1203,$Z468-4000)),IF($Z468&lt;=5800,IF(INDEX(次果筐明细!$P$4:$P$603,$Z468-5200)=0,"",INDEX(次果筐明细!$P$4:$P$603,$Z468-5200)),"")))))</f>
        <v/>
      </c>
      <c r="N468" s="16" t="str">
        <f>IF($Z468="","",IF($Z468&lt;=2000,"",IF($Z468&lt;=4000,IF(INDEX(周转筐出入库明细!$D$4:$D$2004,$Z468-2000)=0,"",INDEX(周转筐出入库明细!$D$4:$D$2004,$Z468-2000)),IF($Z468&lt;=5200,IF(INDEX(客户自备加工筐明细!$C$4:$C$1203,$Z468-4000)=0,"",INDEX(客户自备加工筐明细!$C$4:$C$1203,$Z468-4000)),IF($Z468&lt;=5800,IF(INDEX(次果筐明细!$D$4:$D$603,$Z468-5200)=0,"",INDEX(次果筐明细!$D$4:$D$603,$Z468-5200)),"")))))</f>
        <v/>
      </c>
      <c r="O468" s="40" t="str">
        <f>IF($Z468="","",IF($Z468&lt;=2000,"",IF($Z468&lt;=4000,IF(N(INDEX(周转筐出入库明细!$J$4:$J$2004,$Z468-2000))+N(INDEX(周转筐出入库明细!$K$4:$K$2004,$Z468-2000))=0,"",N(INDEX(周转筐出入库明细!$J$4:$J$2004,$Z468-2000))+N(INDEX(周转筐出入库明细!$K$4:$K$2004,$Z468-2000))),IF($Z468&lt;=5200,IF(N(INDEX(客户自备加工筐明细!$G$4:$G$1203,$Z468-4000))=0,"",N(INDEX(客户自备加工筐明细!$G$4:$G$1203,$Z468-4000))),IF($Z468&lt;=5800,IF(ISNUMBER(SEARCH("退",INDEX(次果筐明细!$F$4:$F$603,$Z468-5200)&amp;"")),"",IF(N(INDEX(次果筐明细!$G$4:$G$603,$Z468-5200))=0,"",N(INDEX(次果筐明细!$G$4:$G$603,$Z468-5200)))),"")))))</f>
        <v/>
      </c>
      <c r="P468" s="40" t="str">
        <f>IF($Z468="","",IF($Z468&lt;=2000,"",IF($Z468&lt;=4000,IF(N(INDEX(周转筐出入库明细!$I$4:$I$2004,$Z468-2000))=0,"",N(INDEX(周转筐出入库明细!$I$4:$I$2004,$Z468-2000))),IF($Z468&lt;=5200,"",IF($Z468&lt;=5800,IF(ISNUMBER(SEARCH("退",INDEX(次果筐明细!$F$4:$F$603,$Z468-5200)&amp;"")),IF(N(INDEX(次果筐明细!$G$4:$G$603,$Z468-5200))=0,"",N(INDEX(次果筐明细!$G$4:$G$603,$Z468-5200))),""),"")))))</f>
        <v/>
      </c>
      <c r="Q468" s="40" t="str">
        <f>IF($Z468="","",IF($Z468&lt;=2000,"",IF($Z468&lt;=4000,IF(N(INDEX(周转筐出入库明细!$H$4:$H$2004,$Z468-2000))=0,"",N(INDEX(周转筐出入库明细!$H$4:$H$2004,$Z468-2000))),IF($Z468&lt;=5200,IF(N(INDEX(客户自备加工筐明细!$F$4:$F$1203,$Z468-4000))=0,"",N(INDEX(客户自备加工筐明细!$F$4:$F$1203,$Z468-4000))),IF($Z468&lt;=5800,"","")))))</f>
        <v/>
      </c>
      <c r="R468" s="16" t="str">
        <f>IF($Z468="","",IF($Z468&lt;=2000,IF(INDEX(包装物料出入库明细!$O$4:$O$2003,$Z468-0)=0,"",INDEX(包装物料出入库明细!$O$4:$O$2003,$Z468-0)),IF($Z468&lt;=4000,IF(INDEX(周转筐出入库明细!$M$4:$M$2004,$Z468-2000)=0,"",INDEX(周转筐出入库明细!$M$4:$M$2004,$Z468-2000)),IF($Z468&lt;=5200,IF(INDEX(客户自备加工筐明细!$H$4:$H$1203,$Z468-4000)=0,"",INDEX(客户自备加工筐明细!$H$4:$H$1203,$Z468-4000)),IF($Z468&lt;=5800,IF(INDEX(次果筐明细!$H$4:$H$603,$Z468-5200)=0,"",INDEX(次果筐明细!$H$4:$H$603,$Z468-5200)),"")))))</f>
        <v/>
      </c>
      <c r="S468" s="22" t="str">
        <f t="shared" si="23"/>
        <v/>
      </c>
      <c r="Z468" s="10" t="str">
        <f>IFERROR(MATCH(ROW()-3,_自动清单!$CQ$4:$CQ$5803,0),"")</f>
        <v/>
      </c>
    </row>
    <row r="469" spans="1:26">
      <c r="A469" s="24" t="str">
        <f t="shared" si="21"/>
        <v/>
      </c>
      <c r="B469" s="38" t="str">
        <f>IF($Z469="","",IF($Z469&lt;=2000,IF(INDEX(包装物料出入库明细!$B$4:$B$2003,$Z469-0)=0,"",INDEX(包装物料出入库明细!$B$4:$B$2003,$Z469-0)),IF($Z469&lt;=4000,IF(INDEX(周转筐出入库明细!$B$4:$B$2004,$Z469-2000)=0,"",INDEX(周转筐出入库明细!$B$4:$B$2004,$Z469-2000)),IF($Z469&lt;=5200,IF(INDEX(客户自备加工筐明细!$B$4:$B$1203,$Z469-4000)=0,"",INDEX(客户自备加工筐明细!$B$4:$B$1203,$Z469-4000)),IF($Z469&lt;=5800,IF(INDEX(次果筐明细!$B$4:$B$603,$Z469-5200)=0,"",INDEX(次果筐明细!$B$4:$B$603,$Z469-5200)),"")))))</f>
        <v/>
      </c>
      <c r="C469" s="37" t="str">
        <f>IF($Z469="","",IF($Z469&lt;=2000,IF(INDEX(包装物料出入库明细!$D$4:$D$2003,$Z469-0)=0,"",INDEX(包装物料出入库明细!$D$4:$D$2003,$Z469-0)),IF($Z469&lt;=4000,IF(INDEX(周转筐出入库明细!$C$4:$C$2004,$Z469-2000)=0,"",INDEX(周转筐出入库明细!$C$4:$C$2004,$Z469-2000)),IF($Z469&lt;=5200,IF(INDEX(客户自备加工筐明细!$E$4:$E$1203,$Z469-4000)=0,"",INDEX(客户自备加工筐明细!$E$4:$E$1203,$Z469-4000)),IF($Z469&lt;=5800,IF(INDEX(次果筐明细!$C$4:$C$603,$Z469-5200)=0,"",INDEX(次果筐明细!$C$4:$C$603,$Z469-5200)),"")))))</f>
        <v/>
      </c>
      <c r="D469" s="37" t="str">
        <f>IF($Z469="","",IF($Z469&lt;=2000,"包装物料－"&amp;INDEX(包装物料出入库明细!$H$4:$H$2003,$Z469-0),IF($Z469&lt;=4000,"周转筐－"&amp;INDEX(周转筐出入库明细!$F$4:$F$2004,$Z469-2000),IF($Z469&lt;=5200,"客户自备筐－"&amp;INDEX(客户自备加工筐明细!$J$4:$J$1203,$Z469-4000),IF($Z469&lt;=5800,"次果筐/托盘－"&amp;INDEX(次果筐明细!$F$4:$F$603,$Z469-5200),"")))))</f>
        <v/>
      </c>
      <c r="E469" s="24" t="str">
        <f>IF($Z469="","",IF($Z469&lt;=2000,IF(INDEX(包装物料出入库明细!$C$4:$C$2003,$Z469-0)=0,"",INDEX(包装物料出入库明细!$C$4:$C$2003,$Z469-0)),IF($Z469&lt;=4000,IF(INDEX(周转筐出入库明细!$E$4:$E$2004,$Z469-2000)=0,"",INDEX(周转筐出入库明细!$E$4:$E$2004,$Z469-2000)),IF($Z469&lt;=5200,IF(INDEX(客户自备加工筐明细!$D$4:$D$1203,$Z469-4000)=0,"",INDEX(客户自备加工筐明细!$D$4:$D$1203,$Z469-4000)),IF($Z469&lt;=5800,IF(INDEX(次果筐明细!$E$4:$E$603,$Z469-5200)=0,"",INDEX(次果筐明细!$E$4:$E$603,$Z469-5200)),"")))))</f>
        <v/>
      </c>
      <c r="F469" s="24" t="str">
        <f>IF($Z469="","",IF($Z469&lt;=2000,IF(INDEX(包装物料出入库明细!$E$4:$E$2003,$Z469-0)=0,"",INDEX(包装物料出入库明细!$E$4:$E$2003,$Z469-0)),IF($Z469&lt;=4000,IF(INDEX(周转筐出入库明细!$D$4:$D$2004,$Z469-2000)=0,"",INDEX(周转筐出入库明细!$D$4:$D$2004,$Z469-2000)),IF($Z469&lt;=5200,IF(INDEX(客户自备加工筐明细!$C$4:$C$1203,$Z469-4000)=0,"",INDEX(客户自备加工筐明细!$C$4:$C$1203,$Z469-4000)),IF($Z469&lt;=5800,IF(INDEX(次果筐明细!$D$4:$D$603,$Z469-5200)=0,"",INDEX(次果筐明细!$D$4:$D$603,$Z469-5200)),"")))))</f>
        <v/>
      </c>
      <c r="G469" s="24" t="str">
        <f>IF($Z469="","",IF($Z469&lt;=2000,IF(INDEX(包装物料出入库明细!$F$4:$F$2003,$Z469-0)=0,"",INDEX(包装物料出入库明细!$F$4:$F$2003,$Z469-0)),IF($Z469&lt;=4000,"",IF($Z469&lt;=5200,"",IF($Z469&lt;=5800,"","")))))</f>
        <v/>
      </c>
      <c r="H469" s="39" t="str">
        <f>IF($Z469="","",IF($Z469&lt;=2000,IF(INDEX(包装物料出入库明细!$L$4:$L$2003,$Z469-0)=0,"",INDEX(包装物料出入库明细!$L$4:$L$2003,$Z469-0)),IF($Z469&lt;=4000,N(INDEX(周转筐出入库明细!$H$4:$H$2004,$Z469-2000))+N(INDEX(周转筐出入库明细!$I$4:$I$2004,$Z469-2000))+N(INDEX(周转筐出入库明细!$J$4:$J$2004,$Z469-2000))+N(INDEX(周转筐出入库明细!$K$4:$K$2004,$Z469-2000)),IF($Z469&lt;=5200,N(INDEX(客户自备加工筐明细!$F$4:$F$1203,$Z469-4000))+N(INDEX(客户自备加工筐明细!$G$4:$G$1203,$Z469-4000)),IF($Z469&lt;=5800,IF(INDEX(次果筐明细!$G$4:$G$603,$Z469-5200)=0,"",INDEX(次果筐明细!$G$4:$G$603,$Z469-5200)),"")))))</f>
        <v/>
      </c>
      <c r="I469" s="24" t="str">
        <f>IF($Z469="","",IF($Z469&lt;=2000,IF(INDEX(包装物料出入库明细!$G$4:$G$2003,$Z469-0)=0,"",INDEX(包装物料出入库明细!$G$4:$G$2003,$Z469-0)),IF($Z469&lt;=4000,"个",IF($Z469&lt;=5200,"个",IF($Z469&lt;=5800,"个","")))))</f>
        <v/>
      </c>
      <c r="J469" s="30" t="str">
        <f t="shared" si="22"/>
        <v/>
      </c>
      <c r="K469" s="30" t="str">
        <f>IF($Z469="","",IF($Z469&lt;=2000,IF(INDEX(包装物料出入库明细!$N$4:$N$2003,$Z469-0)=0,"",INDEX(包装物料出入库明细!$N$4:$N$2003,$Z469-0)),IF($Z469&lt;=4000,IF(INDEX(周转筐出入库明细!$P$4:$P$2004,$Z469-2000)=0,"",INDEX(周转筐出入库明细!$P$4:$P$2004,$Z469-2000)),IF($Z469&lt;=5200,"",IF($Z469&lt;=5800,N(INDEX(次果筐明细!$L$4:$L$603,$Z469-5200))+N(INDEX(次果筐明细!$J$4:$J$603,$Z469-5200)),"")))))</f>
        <v/>
      </c>
      <c r="L469" s="24" t="str">
        <f>IF($Z469="","",IF($Z469&lt;=2000,IF(INDEX(包装物料出入库明细!$P$4:$P$2003,$Z469-0)=0,"",INDEX(包装物料出入库明细!$P$4:$P$2003,$Z469-0)),IF($Z469&lt;=4000,IF(INDEX(周转筐出入库明细!$Q$4:$Q$2004,$Z469-2000)=0,"",INDEX(周转筐出入库明细!$Q$4:$Q$2004,$Z469-2000)),IF($Z469&lt;=5200,"",IF($Z469&lt;=5800,IF(INDEX(次果筐明细!$M$4:$M$603,$Z469-5200)=0,"",INDEX(次果筐明细!$M$4:$M$603,$Z469-5200)),"")))))</f>
        <v/>
      </c>
      <c r="M469" s="37" t="str">
        <f>IF($Z469="","",IF($Z469&lt;=2000,IF(INDEX(包装物料出入库明细!$R$4:$R$2003,$Z469-0)=0,"",INDEX(包装物料出入库明细!$R$4:$R$2003,$Z469-0)),IF($Z469&lt;=4000,IF(INDEX(周转筐出入库明细!$W$4:$W$2004,$Z469-2000)=0,"",INDEX(周转筐出入库明细!$W$4:$W$2004,$Z469-2000)),IF($Z469&lt;=5200,IF(INDEX(客户自备加工筐明细!$L$4:$L$1203,$Z469-4000)=0,"",INDEX(客户自备加工筐明细!$L$4:$L$1203,$Z469-4000)),IF($Z469&lt;=5800,IF(INDEX(次果筐明细!$P$4:$P$603,$Z469-5200)=0,"",INDEX(次果筐明细!$P$4:$P$603,$Z469-5200)),"")))))</f>
        <v/>
      </c>
      <c r="N469" s="16" t="str">
        <f>IF($Z469="","",IF($Z469&lt;=2000,"",IF($Z469&lt;=4000,IF(INDEX(周转筐出入库明细!$D$4:$D$2004,$Z469-2000)=0,"",INDEX(周转筐出入库明细!$D$4:$D$2004,$Z469-2000)),IF($Z469&lt;=5200,IF(INDEX(客户自备加工筐明细!$C$4:$C$1203,$Z469-4000)=0,"",INDEX(客户自备加工筐明细!$C$4:$C$1203,$Z469-4000)),IF($Z469&lt;=5800,IF(INDEX(次果筐明细!$D$4:$D$603,$Z469-5200)=0,"",INDEX(次果筐明细!$D$4:$D$603,$Z469-5200)),"")))))</f>
        <v/>
      </c>
      <c r="O469" s="40" t="str">
        <f>IF($Z469="","",IF($Z469&lt;=2000,"",IF($Z469&lt;=4000,IF(N(INDEX(周转筐出入库明细!$J$4:$J$2004,$Z469-2000))+N(INDEX(周转筐出入库明细!$K$4:$K$2004,$Z469-2000))=0,"",N(INDEX(周转筐出入库明细!$J$4:$J$2004,$Z469-2000))+N(INDEX(周转筐出入库明细!$K$4:$K$2004,$Z469-2000))),IF($Z469&lt;=5200,IF(N(INDEX(客户自备加工筐明细!$G$4:$G$1203,$Z469-4000))=0,"",N(INDEX(客户自备加工筐明细!$G$4:$G$1203,$Z469-4000))),IF($Z469&lt;=5800,IF(ISNUMBER(SEARCH("退",INDEX(次果筐明细!$F$4:$F$603,$Z469-5200)&amp;"")),"",IF(N(INDEX(次果筐明细!$G$4:$G$603,$Z469-5200))=0,"",N(INDEX(次果筐明细!$G$4:$G$603,$Z469-5200)))),"")))))</f>
        <v/>
      </c>
      <c r="P469" s="40" t="str">
        <f>IF($Z469="","",IF($Z469&lt;=2000,"",IF($Z469&lt;=4000,IF(N(INDEX(周转筐出入库明细!$I$4:$I$2004,$Z469-2000))=0,"",N(INDEX(周转筐出入库明细!$I$4:$I$2004,$Z469-2000))),IF($Z469&lt;=5200,"",IF($Z469&lt;=5800,IF(ISNUMBER(SEARCH("退",INDEX(次果筐明细!$F$4:$F$603,$Z469-5200)&amp;"")),IF(N(INDEX(次果筐明细!$G$4:$G$603,$Z469-5200))=0,"",N(INDEX(次果筐明细!$G$4:$G$603,$Z469-5200))),""),"")))))</f>
        <v/>
      </c>
      <c r="Q469" s="40" t="str">
        <f>IF($Z469="","",IF($Z469&lt;=2000,"",IF($Z469&lt;=4000,IF(N(INDEX(周转筐出入库明细!$H$4:$H$2004,$Z469-2000))=0,"",N(INDEX(周转筐出入库明细!$H$4:$H$2004,$Z469-2000))),IF($Z469&lt;=5200,IF(N(INDEX(客户自备加工筐明细!$F$4:$F$1203,$Z469-4000))=0,"",N(INDEX(客户自备加工筐明细!$F$4:$F$1203,$Z469-4000))),IF($Z469&lt;=5800,"","")))))</f>
        <v/>
      </c>
      <c r="R469" s="16" t="str">
        <f>IF($Z469="","",IF($Z469&lt;=2000,IF(INDEX(包装物料出入库明细!$O$4:$O$2003,$Z469-0)=0,"",INDEX(包装物料出入库明细!$O$4:$O$2003,$Z469-0)),IF($Z469&lt;=4000,IF(INDEX(周转筐出入库明细!$M$4:$M$2004,$Z469-2000)=0,"",INDEX(周转筐出入库明细!$M$4:$M$2004,$Z469-2000)),IF($Z469&lt;=5200,IF(INDEX(客户自备加工筐明细!$H$4:$H$1203,$Z469-4000)=0,"",INDEX(客户自备加工筐明细!$H$4:$H$1203,$Z469-4000)),IF($Z469&lt;=5800,IF(INDEX(次果筐明细!$H$4:$H$603,$Z469-5200)=0,"",INDEX(次果筐明细!$H$4:$H$603,$Z469-5200)),"")))))</f>
        <v/>
      </c>
      <c r="S469" s="22" t="str">
        <f t="shared" si="23"/>
        <v/>
      </c>
      <c r="Z469" s="10" t="str">
        <f>IFERROR(MATCH(ROW()-3,_自动清单!$CQ$4:$CQ$5803,0),"")</f>
        <v/>
      </c>
    </row>
    <row r="470" spans="1:26">
      <c r="A470" s="24" t="str">
        <f t="shared" si="21"/>
        <v/>
      </c>
      <c r="B470" s="38" t="str">
        <f>IF($Z470="","",IF($Z470&lt;=2000,IF(INDEX(包装物料出入库明细!$B$4:$B$2003,$Z470-0)=0,"",INDEX(包装物料出入库明细!$B$4:$B$2003,$Z470-0)),IF($Z470&lt;=4000,IF(INDEX(周转筐出入库明细!$B$4:$B$2004,$Z470-2000)=0,"",INDEX(周转筐出入库明细!$B$4:$B$2004,$Z470-2000)),IF($Z470&lt;=5200,IF(INDEX(客户自备加工筐明细!$B$4:$B$1203,$Z470-4000)=0,"",INDEX(客户自备加工筐明细!$B$4:$B$1203,$Z470-4000)),IF($Z470&lt;=5800,IF(INDEX(次果筐明细!$B$4:$B$603,$Z470-5200)=0,"",INDEX(次果筐明细!$B$4:$B$603,$Z470-5200)),"")))))</f>
        <v/>
      </c>
      <c r="C470" s="37" t="str">
        <f>IF($Z470="","",IF($Z470&lt;=2000,IF(INDEX(包装物料出入库明细!$D$4:$D$2003,$Z470-0)=0,"",INDEX(包装物料出入库明细!$D$4:$D$2003,$Z470-0)),IF($Z470&lt;=4000,IF(INDEX(周转筐出入库明细!$C$4:$C$2004,$Z470-2000)=0,"",INDEX(周转筐出入库明细!$C$4:$C$2004,$Z470-2000)),IF($Z470&lt;=5200,IF(INDEX(客户自备加工筐明细!$E$4:$E$1203,$Z470-4000)=0,"",INDEX(客户自备加工筐明细!$E$4:$E$1203,$Z470-4000)),IF($Z470&lt;=5800,IF(INDEX(次果筐明细!$C$4:$C$603,$Z470-5200)=0,"",INDEX(次果筐明细!$C$4:$C$603,$Z470-5200)),"")))))</f>
        <v/>
      </c>
      <c r="D470" s="37" t="str">
        <f>IF($Z470="","",IF($Z470&lt;=2000,"包装物料－"&amp;INDEX(包装物料出入库明细!$H$4:$H$2003,$Z470-0),IF($Z470&lt;=4000,"周转筐－"&amp;INDEX(周转筐出入库明细!$F$4:$F$2004,$Z470-2000),IF($Z470&lt;=5200,"客户自备筐－"&amp;INDEX(客户自备加工筐明细!$J$4:$J$1203,$Z470-4000),IF($Z470&lt;=5800,"次果筐/托盘－"&amp;INDEX(次果筐明细!$F$4:$F$603,$Z470-5200),"")))))</f>
        <v/>
      </c>
      <c r="E470" s="24" t="str">
        <f>IF($Z470="","",IF($Z470&lt;=2000,IF(INDEX(包装物料出入库明细!$C$4:$C$2003,$Z470-0)=0,"",INDEX(包装物料出入库明细!$C$4:$C$2003,$Z470-0)),IF($Z470&lt;=4000,IF(INDEX(周转筐出入库明细!$E$4:$E$2004,$Z470-2000)=0,"",INDEX(周转筐出入库明细!$E$4:$E$2004,$Z470-2000)),IF($Z470&lt;=5200,IF(INDEX(客户自备加工筐明细!$D$4:$D$1203,$Z470-4000)=0,"",INDEX(客户自备加工筐明细!$D$4:$D$1203,$Z470-4000)),IF($Z470&lt;=5800,IF(INDEX(次果筐明细!$E$4:$E$603,$Z470-5200)=0,"",INDEX(次果筐明细!$E$4:$E$603,$Z470-5200)),"")))))</f>
        <v/>
      </c>
      <c r="F470" s="24" t="str">
        <f>IF($Z470="","",IF($Z470&lt;=2000,IF(INDEX(包装物料出入库明细!$E$4:$E$2003,$Z470-0)=0,"",INDEX(包装物料出入库明细!$E$4:$E$2003,$Z470-0)),IF($Z470&lt;=4000,IF(INDEX(周转筐出入库明细!$D$4:$D$2004,$Z470-2000)=0,"",INDEX(周转筐出入库明细!$D$4:$D$2004,$Z470-2000)),IF($Z470&lt;=5200,IF(INDEX(客户自备加工筐明细!$C$4:$C$1203,$Z470-4000)=0,"",INDEX(客户自备加工筐明细!$C$4:$C$1203,$Z470-4000)),IF($Z470&lt;=5800,IF(INDEX(次果筐明细!$D$4:$D$603,$Z470-5200)=0,"",INDEX(次果筐明细!$D$4:$D$603,$Z470-5200)),"")))))</f>
        <v/>
      </c>
      <c r="G470" s="24" t="str">
        <f>IF($Z470="","",IF($Z470&lt;=2000,IF(INDEX(包装物料出入库明细!$F$4:$F$2003,$Z470-0)=0,"",INDEX(包装物料出入库明细!$F$4:$F$2003,$Z470-0)),IF($Z470&lt;=4000,"",IF($Z470&lt;=5200,"",IF($Z470&lt;=5800,"","")))))</f>
        <v/>
      </c>
      <c r="H470" s="39" t="str">
        <f>IF($Z470="","",IF($Z470&lt;=2000,IF(INDEX(包装物料出入库明细!$L$4:$L$2003,$Z470-0)=0,"",INDEX(包装物料出入库明细!$L$4:$L$2003,$Z470-0)),IF($Z470&lt;=4000,N(INDEX(周转筐出入库明细!$H$4:$H$2004,$Z470-2000))+N(INDEX(周转筐出入库明细!$I$4:$I$2004,$Z470-2000))+N(INDEX(周转筐出入库明细!$J$4:$J$2004,$Z470-2000))+N(INDEX(周转筐出入库明细!$K$4:$K$2004,$Z470-2000)),IF($Z470&lt;=5200,N(INDEX(客户自备加工筐明细!$F$4:$F$1203,$Z470-4000))+N(INDEX(客户自备加工筐明细!$G$4:$G$1203,$Z470-4000)),IF($Z470&lt;=5800,IF(INDEX(次果筐明细!$G$4:$G$603,$Z470-5200)=0,"",INDEX(次果筐明细!$G$4:$G$603,$Z470-5200)),"")))))</f>
        <v/>
      </c>
      <c r="I470" s="24" t="str">
        <f>IF($Z470="","",IF($Z470&lt;=2000,IF(INDEX(包装物料出入库明细!$G$4:$G$2003,$Z470-0)=0,"",INDEX(包装物料出入库明细!$G$4:$G$2003,$Z470-0)),IF($Z470&lt;=4000,"个",IF($Z470&lt;=5200,"个",IF($Z470&lt;=5800,"个","")))))</f>
        <v/>
      </c>
      <c r="J470" s="30" t="str">
        <f t="shared" si="22"/>
        <v/>
      </c>
      <c r="K470" s="30" t="str">
        <f>IF($Z470="","",IF($Z470&lt;=2000,IF(INDEX(包装物料出入库明细!$N$4:$N$2003,$Z470-0)=0,"",INDEX(包装物料出入库明细!$N$4:$N$2003,$Z470-0)),IF($Z470&lt;=4000,IF(INDEX(周转筐出入库明细!$P$4:$P$2004,$Z470-2000)=0,"",INDEX(周转筐出入库明细!$P$4:$P$2004,$Z470-2000)),IF($Z470&lt;=5200,"",IF($Z470&lt;=5800,N(INDEX(次果筐明细!$L$4:$L$603,$Z470-5200))+N(INDEX(次果筐明细!$J$4:$J$603,$Z470-5200)),"")))))</f>
        <v/>
      </c>
      <c r="L470" s="24" t="str">
        <f>IF($Z470="","",IF($Z470&lt;=2000,IF(INDEX(包装物料出入库明细!$P$4:$P$2003,$Z470-0)=0,"",INDEX(包装物料出入库明细!$P$4:$P$2003,$Z470-0)),IF($Z470&lt;=4000,IF(INDEX(周转筐出入库明细!$Q$4:$Q$2004,$Z470-2000)=0,"",INDEX(周转筐出入库明细!$Q$4:$Q$2004,$Z470-2000)),IF($Z470&lt;=5200,"",IF($Z470&lt;=5800,IF(INDEX(次果筐明细!$M$4:$M$603,$Z470-5200)=0,"",INDEX(次果筐明细!$M$4:$M$603,$Z470-5200)),"")))))</f>
        <v/>
      </c>
      <c r="M470" s="37" t="str">
        <f>IF($Z470="","",IF($Z470&lt;=2000,IF(INDEX(包装物料出入库明细!$R$4:$R$2003,$Z470-0)=0,"",INDEX(包装物料出入库明细!$R$4:$R$2003,$Z470-0)),IF($Z470&lt;=4000,IF(INDEX(周转筐出入库明细!$W$4:$W$2004,$Z470-2000)=0,"",INDEX(周转筐出入库明细!$W$4:$W$2004,$Z470-2000)),IF($Z470&lt;=5200,IF(INDEX(客户自备加工筐明细!$L$4:$L$1203,$Z470-4000)=0,"",INDEX(客户自备加工筐明细!$L$4:$L$1203,$Z470-4000)),IF($Z470&lt;=5800,IF(INDEX(次果筐明细!$P$4:$P$603,$Z470-5200)=0,"",INDEX(次果筐明细!$P$4:$P$603,$Z470-5200)),"")))))</f>
        <v/>
      </c>
      <c r="N470" s="16" t="str">
        <f>IF($Z470="","",IF($Z470&lt;=2000,"",IF($Z470&lt;=4000,IF(INDEX(周转筐出入库明细!$D$4:$D$2004,$Z470-2000)=0,"",INDEX(周转筐出入库明细!$D$4:$D$2004,$Z470-2000)),IF($Z470&lt;=5200,IF(INDEX(客户自备加工筐明细!$C$4:$C$1203,$Z470-4000)=0,"",INDEX(客户自备加工筐明细!$C$4:$C$1203,$Z470-4000)),IF($Z470&lt;=5800,IF(INDEX(次果筐明细!$D$4:$D$603,$Z470-5200)=0,"",INDEX(次果筐明细!$D$4:$D$603,$Z470-5200)),"")))))</f>
        <v/>
      </c>
      <c r="O470" s="40" t="str">
        <f>IF($Z470="","",IF($Z470&lt;=2000,"",IF($Z470&lt;=4000,IF(N(INDEX(周转筐出入库明细!$J$4:$J$2004,$Z470-2000))+N(INDEX(周转筐出入库明细!$K$4:$K$2004,$Z470-2000))=0,"",N(INDEX(周转筐出入库明细!$J$4:$J$2004,$Z470-2000))+N(INDEX(周转筐出入库明细!$K$4:$K$2004,$Z470-2000))),IF($Z470&lt;=5200,IF(N(INDEX(客户自备加工筐明细!$G$4:$G$1203,$Z470-4000))=0,"",N(INDEX(客户自备加工筐明细!$G$4:$G$1203,$Z470-4000))),IF($Z470&lt;=5800,IF(ISNUMBER(SEARCH("退",INDEX(次果筐明细!$F$4:$F$603,$Z470-5200)&amp;"")),"",IF(N(INDEX(次果筐明细!$G$4:$G$603,$Z470-5200))=0,"",N(INDEX(次果筐明细!$G$4:$G$603,$Z470-5200)))),"")))))</f>
        <v/>
      </c>
      <c r="P470" s="40" t="str">
        <f>IF($Z470="","",IF($Z470&lt;=2000,"",IF($Z470&lt;=4000,IF(N(INDEX(周转筐出入库明细!$I$4:$I$2004,$Z470-2000))=0,"",N(INDEX(周转筐出入库明细!$I$4:$I$2004,$Z470-2000))),IF($Z470&lt;=5200,"",IF($Z470&lt;=5800,IF(ISNUMBER(SEARCH("退",INDEX(次果筐明细!$F$4:$F$603,$Z470-5200)&amp;"")),IF(N(INDEX(次果筐明细!$G$4:$G$603,$Z470-5200))=0,"",N(INDEX(次果筐明细!$G$4:$G$603,$Z470-5200))),""),"")))))</f>
        <v/>
      </c>
      <c r="Q470" s="40" t="str">
        <f>IF($Z470="","",IF($Z470&lt;=2000,"",IF($Z470&lt;=4000,IF(N(INDEX(周转筐出入库明细!$H$4:$H$2004,$Z470-2000))=0,"",N(INDEX(周转筐出入库明细!$H$4:$H$2004,$Z470-2000))),IF($Z470&lt;=5200,IF(N(INDEX(客户自备加工筐明细!$F$4:$F$1203,$Z470-4000))=0,"",N(INDEX(客户自备加工筐明细!$F$4:$F$1203,$Z470-4000))),IF($Z470&lt;=5800,"","")))))</f>
        <v/>
      </c>
      <c r="R470" s="16" t="str">
        <f>IF($Z470="","",IF($Z470&lt;=2000,IF(INDEX(包装物料出入库明细!$O$4:$O$2003,$Z470-0)=0,"",INDEX(包装物料出入库明细!$O$4:$O$2003,$Z470-0)),IF($Z470&lt;=4000,IF(INDEX(周转筐出入库明细!$M$4:$M$2004,$Z470-2000)=0,"",INDEX(周转筐出入库明细!$M$4:$M$2004,$Z470-2000)),IF($Z470&lt;=5200,IF(INDEX(客户自备加工筐明细!$H$4:$H$1203,$Z470-4000)=0,"",INDEX(客户自备加工筐明细!$H$4:$H$1203,$Z470-4000)),IF($Z470&lt;=5800,IF(INDEX(次果筐明细!$H$4:$H$603,$Z470-5200)=0,"",INDEX(次果筐明细!$H$4:$H$603,$Z470-5200)),"")))))</f>
        <v/>
      </c>
      <c r="S470" s="22" t="str">
        <f t="shared" si="23"/>
        <v/>
      </c>
      <c r="Z470" s="10" t="str">
        <f>IFERROR(MATCH(ROW()-3,_自动清单!$CQ$4:$CQ$5803,0),"")</f>
        <v/>
      </c>
    </row>
    <row r="471" spans="1:26">
      <c r="A471" s="24" t="str">
        <f t="shared" si="21"/>
        <v/>
      </c>
      <c r="B471" s="38" t="str">
        <f>IF($Z471="","",IF($Z471&lt;=2000,IF(INDEX(包装物料出入库明细!$B$4:$B$2003,$Z471-0)=0,"",INDEX(包装物料出入库明细!$B$4:$B$2003,$Z471-0)),IF($Z471&lt;=4000,IF(INDEX(周转筐出入库明细!$B$4:$B$2004,$Z471-2000)=0,"",INDEX(周转筐出入库明细!$B$4:$B$2004,$Z471-2000)),IF($Z471&lt;=5200,IF(INDEX(客户自备加工筐明细!$B$4:$B$1203,$Z471-4000)=0,"",INDEX(客户自备加工筐明细!$B$4:$B$1203,$Z471-4000)),IF($Z471&lt;=5800,IF(INDEX(次果筐明细!$B$4:$B$603,$Z471-5200)=0,"",INDEX(次果筐明细!$B$4:$B$603,$Z471-5200)),"")))))</f>
        <v/>
      </c>
      <c r="C471" s="37" t="str">
        <f>IF($Z471="","",IF($Z471&lt;=2000,IF(INDEX(包装物料出入库明细!$D$4:$D$2003,$Z471-0)=0,"",INDEX(包装物料出入库明细!$D$4:$D$2003,$Z471-0)),IF($Z471&lt;=4000,IF(INDEX(周转筐出入库明细!$C$4:$C$2004,$Z471-2000)=0,"",INDEX(周转筐出入库明细!$C$4:$C$2004,$Z471-2000)),IF($Z471&lt;=5200,IF(INDEX(客户自备加工筐明细!$E$4:$E$1203,$Z471-4000)=0,"",INDEX(客户自备加工筐明细!$E$4:$E$1203,$Z471-4000)),IF($Z471&lt;=5800,IF(INDEX(次果筐明细!$C$4:$C$603,$Z471-5200)=0,"",INDEX(次果筐明细!$C$4:$C$603,$Z471-5200)),"")))))</f>
        <v/>
      </c>
      <c r="D471" s="37" t="str">
        <f>IF($Z471="","",IF($Z471&lt;=2000,"包装物料－"&amp;INDEX(包装物料出入库明细!$H$4:$H$2003,$Z471-0),IF($Z471&lt;=4000,"周转筐－"&amp;INDEX(周转筐出入库明细!$F$4:$F$2004,$Z471-2000),IF($Z471&lt;=5200,"客户自备筐－"&amp;INDEX(客户自备加工筐明细!$J$4:$J$1203,$Z471-4000),IF($Z471&lt;=5800,"次果筐/托盘－"&amp;INDEX(次果筐明细!$F$4:$F$603,$Z471-5200),"")))))</f>
        <v/>
      </c>
      <c r="E471" s="24" t="str">
        <f>IF($Z471="","",IF($Z471&lt;=2000,IF(INDEX(包装物料出入库明细!$C$4:$C$2003,$Z471-0)=0,"",INDEX(包装物料出入库明细!$C$4:$C$2003,$Z471-0)),IF($Z471&lt;=4000,IF(INDEX(周转筐出入库明细!$E$4:$E$2004,$Z471-2000)=0,"",INDEX(周转筐出入库明细!$E$4:$E$2004,$Z471-2000)),IF($Z471&lt;=5200,IF(INDEX(客户自备加工筐明细!$D$4:$D$1203,$Z471-4000)=0,"",INDEX(客户自备加工筐明细!$D$4:$D$1203,$Z471-4000)),IF($Z471&lt;=5800,IF(INDEX(次果筐明细!$E$4:$E$603,$Z471-5200)=0,"",INDEX(次果筐明细!$E$4:$E$603,$Z471-5200)),"")))))</f>
        <v/>
      </c>
      <c r="F471" s="24" t="str">
        <f>IF($Z471="","",IF($Z471&lt;=2000,IF(INDEX(包装物料出入库明细!$E$4:$E$2003,$Z471-0)=0,"",INDEX(包装物料出入库明细!$E$4:$E$2003,$Z471-0)),IF($Z471&lt;=4000,IF(INDEX(周转筐出入库明细!$D$4:$D$2004,$Z471-2000)=0,"",INDEX(周转筐出入库明细!$D$4:$D$2004,$Z471-2000)),IF($Z471&lt;=5200,IF(INDEX(客户自备加工筐明细!$C$4:$C$1203,$Z471-4000)=0,"",INDEX(客户自备加工筐明细!$C$4:$C$1203,$Z471-4000)),IF($Z471&lt;=5800,IF(INDEX(次果筐明细!$D$4:$D$603,$Z471-5200)=0,"",INDEX(次果筐明细!$D$4:$D$603,$Z471-5200)),"")))))</f>
        <v/>
      </c>
      <c r="G471" s="24" t="str">
        <f>IF($Z471="","",IF($Z471&lt;=2000,IF(INDEX(包装物料出入库明细!$F$4:$F$2003,$Z471-0)=0,"",INDEX(包装物料出入库明细!$F$4:$F$2003,$Z471-0)),IF($Z471&lt;=4000,"",IF($Z471&lt;=5200,"",IF($Z471&lt;=5800,"","")))))</f>
        <v/>
      </c>
      <c r="H471" s="39" t="str">
        <f>IF($Z471="","",IF($Z471&lt;=2000,IF(INDEX(包装物料出入库明细!$L$4:$L$2003,$Z471-0)=0,"",INDEX(包装物料出入库明细!$L$4:$L$2003,$Z471-0)),IF($Z471&lt;=4000,N(INDEX(周转筐出入库明细!$H$4:$H$2004,$Z471-2000))+N(INDEX(周转筐出入库明细!$I$4:$I$2004,$Z471-2000))+N(INDEX(周转筐出入库明细!$J$4:$J$2004,$Z471-2000))+N(INDEX(周转筐出入库明细!$K$4:$K$2004,$Z471-2000)),IF($Z471&lt;=5200,N(INDEX(客户自备加工筐明细!$F$4:$F$1203,$Z471-4000))+N(INDEX(客户自备加工筐明细!$G$4:$G$1203,$Z471-4000)),IF($Z471&lt;=5800,IF(INDEX(次果筐明细!$G$4:$G$603,$Z471-5200)=0,"",INDEX(次果筐明细!$G$4:$G$603,$Z471-5200)),"")))))</f>
        <v/>
      </c>
      <c r="I471" s="24" t="str">
        <f>IF($Z471="","",IF($Z471&lt;=2000,IF(INDEX(包装物料出入库明细!$G$4:$G$2003,$Z471-0)=0,"",INDEX(包装物料出入库明细!$G$4:$G$2003,$Z471-0)),IF($Z471&lt;=4000,"个",IF($Z471&lt;=5200,"个",IF($Z471&lt;=5800,"个","")))))</f>
        <v/>
      </c>
      <c r="J471" s="30" t="str">
        <f t="shared" si="22"/>
        <v/>
      </c>
      <c r="K471" s="30" t="str">
        <f>IF($Z471="","",IF($Z471&lt;=2000,IF(INDEX(包装物料出入库明细!$N$4:$N$2003,$Z471-0)=0,"",INDEX(包装物料出入库明细!$N$4:$N$2003,$Z471-0)),IF($Z471&lt;=4000,IF(INDEX(周转筐出入库明细!$P$4:$P$2004,$Z471-2000)=0,"",INDEX(周转筐出入库明细!$P$4:$P$2004,$Z471-2000)),IF($Z471&lt;=5200,"",IF($Z471&lt;=5800,N(INDEX(次果筐明细!$L$4:$L$603,$Z471-5200))+N(INDEX(次果筐明细!$J$4:$J$603,$Z471-5200)),"")))))</f>
        <v/>
      </c>
      <c r="L471" s="24" t="str">
        <f>IF($Z471="","",IF($Z471&lt;=2000,IF(INDEX(包装物料出入库明细!$P$4:$P$2003,$Z471-0)=0,"",INDEX(包装物料出入库明细!$P$4:$P$2003,$Z471-0)),IF($Z471&lt;=4000,IF(INDEX(周转筐出入库明细!$Q$4:$Q$2004,$Z471-2000)=0,"",INDEX(周转筐出入库明细!$Q$4:$Q$2004,$Z471-2000)),IF($Z471&lt;=5200,"",IF($Z471&lt;=5800,IF(INDEX(次果筐明细!$M$4:$M$603,$Z471-5200)=0,"",INDEX(次果筐明细!$M$4:$M$603,$Z471-5200)),"")))))</f>
        <v/>
      </c>
      <c r="M471" s="37" t="str">
        <f>IF($Z471="","",IF($Z471&lt;=2000,IF(INDEX(包装物料出入库明细!$R$4:$R$2003,$Z471-0)=0,"",INDEX(包装物料出入库明细!$R$4:$R$2003,$Z471-0)),IF($Z471&lt;=4000,IF(INDEX(周转筐出入库明细!$W$4:$W$2004,$Z471-2000)=0,"",INDEX(周转筐出入库明细!$W$4:$W$2004,$Z471-2000)),IF($Z471&lt;=5200,IF(INDEX(客户自备加工筐明细!$L$4:$L$1203,$Z471-4000)=0,"",INDEX(客户自备加工筐明细!$L$4:$L$1203,$Z471-4000)),IF($Z471&lt;=5800,IF(INDEX(次果筐明细!$P$4:$P$603,$Z471-5200)=0,"",INDEX(次果筐明细!$P$4:$P$603,$Z471-5200)),"")))))</f>
        <v/>
      </c>
      <c r="N471" s="16" t="str">
        <f>IF($Z471="","",IF($Z471&lt;=2000,"",IF($Z471&lt;=4000,IF(INDEX(周转筐出入库明细!$D$4:$D$2004,$Z471-2000)=0,"",INDEX(周转筐出入库明细!$D$4:$D$2004,$Z471-2000)),IF($Z471&lt;=5200,IF(INDEX(客户自备加工筐明细!$C$4:$C$1203,$Z471-4000)=0,"",INDEX(客户自备加工筐明细!$C$4:$C$1203,$Z471-4000)),IF($Z471&lt;=5800,IF(INDEX(次果筐明细!$D$4:$D$603,$Z471-5200)=0,"",INDEX(次果筐明细!$D$4:$D$603,$Z471-5200)),"")))))</f>
        <v/>
      </c>
      <c r="O471" s="40" t="str">
        <f>IF($Z471="","",IF($Z471&lt;=2000,"",IF($Z471&lt;=4000,IF(N(INDEX(周转筐出入库明细!$J$4:$J$2004,$Z471-2000))+N(INDEX(周转筐出入库明细!$K$4:$K$2004,$Z471-2000))=0,"",N(INDEX(周转筐出入库明细!$J$4:$J$2004,$Z471-2000))+N(INDEX(周转筐出入库明细!$K$4:$K$2004,$Z471-2000))),IF($Z471&lt;=5200,IF(N(INDEX(客户自备加工筐明细!$G$4:$G$1203,$Z471-4000))=0,"",N(INDEX(客户自备加工筐明细!$G$4:$G$1203,$Z471-4000))),IF($Z471&lt;=5800,IF(ISNUMBER(SEARCH("退",INDEX(次果筐明细!$F$4:$F$603,$Z471-5200)&amp;"")),"",IF(N(INDEX(次果筐明细!$G$4:$G$603,$Z471-5200))=0,"",N(INDEX(次果筐明细!$G$4:$G$603,$Z471-5200)))),"")))))</f>
        <v/>
      </c>
      <c r="P471" s="40" t="str">
        <f>IF($Z471="","",IF($Z471&lt;=2000,"",IF($Z471&lt;=4000,IF(N(INDEX(周转筐出入库明细!$I$4:$I$2004,$Z471-2000))=0,"",N(INDEX(周转筐出入库明细!$I$4:$I$2004,$Z471-2000))),IF($Z471&lt;=5200,"",IF($Z471&lt;=5800,IF(ISNUMBER(SEARCH("退",INDEX(次果筐明细!$F$4:$F$603,$Z471-5200)&amp;"")),IF(N(INDEX(次果筐明细!$G$4:$G$603,$Z471-5200))=0,"",N(INDEX(次果筐明细!$G$4:$G$603,$Z471-5200))),""),"")))))</f>
        <v/>
      </c>
      <c r="Q471" s="40" t="str">
        <f>IF($Z471="","",IF($Z471&lt;=2000,"",IF($Z471&lt;=4000,IF(N(INDEX(周转筐出入库明细!$H$4:$H$2004,$Z471-2000))=0,"",N(INDEX(周转筐出入库明细!$H$4:$H$2004,$Z471-2000))),IF($Z471&lt;=5200,IF(N(INDEX(客户自备加工筐明细!$F$4:$F$1203,$Z471-4000))=0,"",N(INDEX(客户自备加工筐明细!$F$4:$F$1203,$Z471-4000))),IF($Z471&lt;=5800,"","")))))</f>
        <v/>
      </c>
      <c r="R471" s="16" t="str">
        <f>IF($Z471="","",IF($Z471&lt;=2000,IF(INDEX(包装物料出入库明细!$O$4:$O$2003,$Z471-0)=0,"",INDEX(包装物料出入库明细!$O$4:$O$2003,$Z471-0)),IF($Z471&lt;=4000,IF(INDEX(周转筐出入库明细!$M$4:$M$2004,$Z471-2000)=0,"",INDEX(周转筐出入库明细!$M$4:$M$2004,$Z471-2000)),IF($Z471&lt;=5200,IF(INDEX(客户自备加工筐明细!$H$4:$H$1203,$Z471-4000)=0,"",INDEX(客户自备加工筐明细!$H$4:$H$1203,$Z471-4000)),IF($Z471&lt;=5800,IF(INDEX(次果筐明细!$H$4:$H$603,$Z471-5200)=0,"",INDEX(次果筐明细!$H$4:$H$603,$Z471-5200)),"")))))</f>
        <v/>
      </c>
      <c r="S471" s="22" t="str">
        <f t="shared" si="23"/>
        <v/>
      </c>
      <c r="Z471" s="10" t="str">
        <f>IFERROR(MATCH(ROW()-3,_自动清单!$CQ$4:$CQ$5803,0),"")</f>
        <v/>
      </c>
    </row>
    <row r="472" spans="1:26">
      <c r="A472" s="24" t="str">
        <f t="shared" si="21"/>
        <v/>
      </c>
      <c r="B472" s="38" t="str">
        <f>IF($Z472="","",IF($Z472&lt;=2000,IF(INDEX(包装物料出入库明细!$B$4:$B$2003,$Z472-0)=0,"",INDEX(包装物料出入库明细!$B$4:$B$2003,$Z472-0)),IF($Z472&lt;=4000,IF(INDEX(周转筐出入库明细!$B$4:$B$2004,$Z472-2000)=0,"",INDEX(周转筐出入库明细!$B$4:$B$2004,$Z472-2000)),IF($Z472&lt;=5200,IF(INDEX(客户自备加工筐明细!$B$4:$B$1203,$Z472-4000)=0,"",INDEX(客户自备加工筐明细!$B$4:$B$1203,$Z472-4000)),IF($Z472&lt;=5800,IF(INDEX(次果筐明细!$B$4:$B$603,$Z472-5200)=0,"",INDEX(次果筐明细!$B$4:$B$603,$Z472-5200)),"")))))</f>
        <v/>
      </c>
      <c r="C472" s="37" t="str">
        <f>IF($Z472="","",IF($Z472&lt;=2000,IF(INDEX(包装物料出入库明细!$D$4:$D$2003,$Z472-0)=0,"",INDEX(包装物料出入库明细!$D$4:$D$2003,$Z472-0)),IF($Z472&lt;=4000,IF(INDEX(周转筐出入库明细!$C$4:$C$2004,$Z472-2000)=0,"",INDEX(周转筐出入库明细!$C$4:$C$2004,$Z472-2000)),IF($Z472&lt;=5200,IF(INDEX(客户自备加工筐明细!$E$4:$E$1203,$Z472-4000)=0,"",INDEX(客户自备加工筐明细!$E$4:$E$1203,$Z472-4000)),IF($Z472&lt;=5800,IF(INDEX(次果筐明细!$C$4:$C$603,$Z472-5200)=0,"",INDEX(次果筐明细!$C$4:$C$603,$Z472-5200)),"")))))</f>
        <v/>
      </c>
      <c r="D472" s="37" t="str">
        <f>IF($Z472="","",IF($Z472&lt;=2000,"包装物料－"&amp;INDEX(包装物料出入库明细!$H$4:$H$2003,$Z472-0),IF($Z472&lt;=4000,"周转筐－"&amp;INDEX(周转筐出入库明细!$F$4:$F$2004,$Z472-2000),IF($Z472&lt;=5200,"客户自备筐－"&amp;INDEX(客户自备加工筐明细!$J$4:$J$1203,$Z472-4000),IF($Z472&lt;=5800,"次果筐/托盘－"&amp;INDEX(次果筐明细!$F$4:$F$603,$Z472-5200),"")))))</f>
        <v/>
      </c>
      <c r="E472" s="24" t="str">
        <f>IF($Z472="","",IF($Z472&lt;=2000,IF(INDEX(包装物料出入库明细!$C$4:$C$2003,$Z472-0)=0,"",INDEX(包装物料出入库明细!$C$4:$C$2003,$Z472-0)),IF($Z472&lt;=4000,IF(INDEX(周转筐出入库明细!$E$4:$E$2004,$Z472-2000)=0,"",INDEX(周转筐出入库明细!$E$4:$E$2004,$Z472-2000)),IF($Z472&lt;=5200,IF(INDEX(客户自备加工筐明细!$D$4:$D$1203,$Z472-4000)=0,"",INDEX(客户自备加工筐明细!$D$4:$D$1203,$Z472-4000)),IF($Z472&lt;=5800,IF(INDEX(次果筐明细!$E$4:$E$603,$Z472-5200)=0,"",INDEX(次果筐明细!$E$4:$E$603,$Z472-5200)),"")))))</f>
        <v/>
      </c>
      <c r="F472" s="24" t="str">
        <f>IF($Z472="","",IF($Z472&lt;=2000,IF(INDEX(包装物料出入库明细!$E$4:$E$2003,$Z472-0)=0,"",INDEX(包装物料出入库明细!$E$4:$E$2003,$Z472-0)),IF($Z472&lt;=4000,IF(INDEX(周转筐出入库明细!$D$4:$D$2004,$Z472-2000)=0,"",INDEX(周转筐出入库明细!$D$4:$D$2004,$Z472-2000)),IF($Z472&lt;=5200,IF(INDEX(客户自备加工筐明细!$C$4:$C$1203,$Z472-4000)=0,"",INDEX(客户自备加工筐明细!$C$4:$C$1203,$Z472-4000)),IF($Z472&lt;=5800,IF(INDEX(次果筐明细!$D$4:$D$603,$Z472-5200)=0,"",INDEX(次果筐明细!$D$4:$D$603,$Z472-5200)),"")))))</f>
        <v/>
      </c>
      <c r="G472" s="24" t="str">
        <f>IF($Z472="","",IF($Z472&lt;=2000,IF(INDEX(包装物料出入库明细!$F$4:$F$2003,$Z472-0)=0,"",INDEX(包装物料出入库明细!$F$4:$F$2003,$Z472-0)),IF($Z472&lt;=4000,"",IF($Z472&lt;=5200,"",IF($Z472&lt;=5800,"","")))))</f>
        <v/>
      </c>
      <c r="H472" s="39" t="str">
        <f>IF($Z472="","",IF($Z472&lt;=2000,IF(INDEX(包装物料出入库明细!$L$4:$L$2003,$Z472-0)=0,"",INDEX(包装物料出入库明细!$L$4:$L$2003,$Z472-0)),IF($Z472&lt;=4000,N(INDEX(周转筐出入库明细!$H$4:$H$2004,$Z472-2000))+N(INDEX(周转筐出入库明细!$I$4:$I$2004,$Z472-2000))+N(INDEX(周转筐出入库明细!$J$4:$J$2004,$Z472-2000))+N(INDEX(周转筐出入库明细!$K$4:$K$2004,$Z472-2000)),IF($Z472&lt;=5200,N(INDEX(客户自备加工筐明细!$F$4:$F$1203,$Z472-4000))+N(INDEX(客户自备加工筐明细!$G$4:$G$1203,$Z472-4000)),IF($Z472&lt;=5800,IF(INDEX(次果筐明细!$G$4:$G$603,$Z472-5200)=0,"",INDEX(次果筐明细!$G$4:$G$603,$Z472-5200)),"")))))</f>
        <v/>
      </c>
      <c r="I472" s="24" t="str">
        <f>IF($Z472="","",IF($Z472&lt;=2000,IF(INDEX(包装物料出入库明细!$G$4:$G$2003,$Z472-0)=0,"",INDEX(包装物料出入库明细!$G$4:$G$2003,$Z472-0)),IF($Z472&lt;=4000,"个",IF($Z472&lt;=5200,"个",IF($Z472&lt;=5800,"个","")))))</f>
        <v/>
      </c>
      <c r="J472" s="30" t="str">
        <f t="shared" si="22"/>
        <v/>
      </c>
      <c r="K472" s="30" t="str">
        <f>IF($Z472="","",IF($Z472&lt;=2000,IF(INDEX(包装物料出入库明细!$N$4:$N$2003,$Z472-0)=0,"",INDEX(包装物料出入库明细!$N$4:$N$2003,$Z472-0)),IF($Z472&lt;=4000,IF(INDEX(周转筐出入库明细!$P$4:$P$2004,$Z472-2000)=0,"",INDEX(周转筐出入库明细!$P$4:$P$2004,$Z472-2000)),IF($Z472&lt;=5200,"",IF($Z472&lt;=5800,N(INDEX(次果筐明细!$L$4:$L$603,$Z472-5200))+N(INDEX(次果筐明细!$J$4:$J$603,$Z472-5200)),"")))))</f>
        <v/>
      </c>
      <c r="L472" s="24" t="str">
        <f>IF($Z472="","",IF($Z472&lt;=2000,IF(INDEX(包装物料出入库明细!$P$4:$P$2003,$Z472-0)=0,"",INDEX(包装物料出入库明细!$P$4:$P$2003,$Z472-0)),IF($Z472&lt;=4000,IF(INDEX(周转筐出入库明细!$Q$4:$Q$2004,$Z472-2000)=0,"",INDEX(周转筐出入库明细!$Q$4:$Q$2004,$Z472-2000)),IF($Z472&lt;=5200,"",IF($Z472&lt;=5800,IF(INDEX(次果筐明细!$M$4:$M$603,$Z472-5200)=0,"",INDEX(次果筐明细!$M$4:$M$603,$Z472-5200)),"")))))</f>
        <v/>
      </c>
      <c r="M472" s="37" t="str">
        <f>IF($Z472="","",IF($Z472&lt;=2000,IF(INDEX(包装物料出入库明细!$R$4:$R$2003,$Z472-0)=0,"",INDEX(包装物料出入库明细!$R$4:$R$2003,$Z472-0)),IF($Z472&lt;=4000,IF(INDEX(周转筐出入库明细!$W$4:$W$2004,$Z472-2000)=0,"",INDEX(周转筐出入库明细!$W$4:$W$2004,$Z472-2000)),IF($Z472&lt;=5200,IF(INDEX(客户自备加工筐明细!$L$4:$L$1203,$Z472-4000)=0,"",INDEX(客户自备加工筐明细!$L$4:$L$1203,$Z472-4000)),IF($Z472&lt;=5800,IF(INDEX(次果筐明细!$P$4:$P$603,$Z472-5200)=0,"",INDEX(次果筐明细!$P$4:$P$603,$Z472-5200)),"")))))</f>
        <v/>
      </c>
      <c r="N472" s="16" t="str">
        <f>IF($Z472="","",IF($Z472&lt;=2000,"",IF($Z472&lt;=4000,IF(INDEX(周转筐出入库明细!$D$4:$D$2004,$Z472-2000)=0,"",INDEX(周转筐出入库明细!$D$4:$D$2004,$Z472-2000)),IF($Z472&lt;=5200,IF(INDEX(客户自备加工筐明细!$C$4:$C$1203,$Z472-4000)=0,"",INDEX(客户自备加工筐明细!$C$4:$C$1203,$Z472-4000)),IF($Z472&lt;=5800,IF(INDEX(次果筐明细!$D$4:$D$603,$Z472-5200)=0,"",INDEX(次果筐明细!$D$4:$D$603,$Z472-5200)),"")))))</f>
        <v/>
      </c>
      <c r="O472" s="40" t="str">
        <f>IF($Z472="","",IF($Z472&lt;=2000,"",IF($Z472&lt;=4000,IF(N(INDEX(周转筐出入库明细!$J$4:$J$2004,$Z472-2000))+N(INDEX(周转筐出入库明细!$K$4:$K$2004,$Z472-2000))=0,"",N(INDEX(周转筐出入库明细!$J$4:$J$2004,$Z472-2000))+N(INDEX(周转筐出入库明细!$K$4:$K$2004,$Z472-2000))),IF($Z472&lt;=5200,IF(N(INDEX(客户自备加工筐明细!$G$4:$G$1203,$Z472-4000))=0,"",N(INDEX(客户自备加工筐明细!$G$4:$G$1203,$Z472-4000))),IF($Z472&lt;=5800,IF(ISNUMBER(SEARCH("退",INDEX(次果筐明细!$F$4:$F$603,$Z472-5200)&amp;"")),"",IF(N(INDEX(次果筐明细!$G$4:$G$603,$Z472-5200))=0,"",N(INDEX(次果筐明细!$G$4:$G$603,$Z472-5200)))),"")))))</f>
        <v/>
      </c>
      <c r="P472" s="40" t="str">
        <f>IF($Z472="","",IF($Z472&lt;=2000,"",IF($Z472&lt;=4000,IF(N(INDEX(周转筐出入库明细!$I$4:$I$2004,$Z472-2000))=0,"",N(INDEX(周转筐出入库明细!$I$4:$I$2004,$Z472-2000))),IF($Z472&lt;=5200,"",IF($Z472&lt;=5800,IF(ISNUMBER(SEARCH("退",INDEX(次果筐明细!$F$4:$F$603,$Z472-5200)&amp;"")),IF(N(INDEX(次果筐明细!$G$4:$G$603,$Z472-5200))=0,"",N(INDEX(次果筐明细!$G$4:$G$603,$Z472-5200))),""),"")))))</f>
        <v/>
      </c>
      <c r="Q472" s="40" t="str">
        <f>IF($Z472="","",IF($Z472&lt;=2000,"",IF($Z472&lt;=4000,IF(N(INDEX(周转筐出入库明细!$H$4:$H$2004,$Z472-2000))=0,"",N(INDEX(周转筐出入库明细!$H$4:$H$2004,$Z472-2000))),IF($Z472&lt;=5200,IF(N(INDEX(客户自备加工筐明细!$F$4:$F$1203,$Z472-4000))=0,"",N(INDEX(客户自备加工筐明细!$F$4:$F$1203,$Z472-4000))),IF($Z472&lt;=5800,"","")))))</f>
        <v/>
      </c>
      <c r="R472" s="16" t="str">
        <f>IF($Z472="","",IF($Z472&lt;=2000,IF(INDEX(包装物料出入库明细!$O$4:$O$2003,$Z472-0)=0,"",INDEX(包装物料出入库明细!$O$4:$O$2003,$Z472-0)),IF($Z472&lt;=4000,IF(INDEX(周转筐出入库明细!$M$4:$M$2004,$Z472-2000)=0,"",INDEX(周转筐出入库明细!$M$4:$M$2004,$Z472-2000)),IF($Z472&lt;=5200,IF(INDEX(客户自备加工筐明细!$H$4:$H$1203,$Z472-4000)=0,"",INDEX(客户自备加工筐明细!$H$4:$H$1203,$Z472-4000)),IF($Z472&lt;=5800,IF(INDEX(次果筐明细!$H$4:$H$603,$Z472-5200)=0,"",INDEX(次果筐明细!$H$4:$H$603,$Z472-5200)),"")))))</f>
        <v/>
      </c>
      <c r="S472" s="22" t="str">
        <f t="shared" si="23"/>
        <v/>
      </c>
      <c r="Z472" s="10" t="str">
        <f>IFERROR(MATCH(ROW()-3,_自动清单!$CQ$4:$CQ$5803,0),"")</f>
        <v/>
      </c>
    </row>
    <row r="473" spans="1:26">
      <c r="A473" s="24" t="str">
        <f t="shared" si="21"/>
        <v/>
      </c>
      <c r="B473" s="38" t="str">
        <f>IF($Z473="","",IF($Z473&lt;=2000,IF(INDEX(包装物料出入库明细!$B$4:$B$2003,$Z473-0)=0,"",INDEX(包装物料出入库明细!$B$4:$B$2003,$Z473-0)),IF($Z473&lt;=4000,IF(INDEX(周转筐出入库明细!$B$4:$B$2004,$Z473-2000)=0,"",INDEX(周转筐出入库明细!$B$4:$B$2004,$Z473-2000)),IF($Z473&lt;=5200,IF(INDEX(客户自备加工筐明细!$B$4:$B$1203,$Z473-4000)=0,"",INDEX(客户自备加工筐明细!$B$4:$B$1203,$Z473-4000)),IF($Z473&lt;=5800,IF(INDEX(次果筐明细!$B$4:$B$603,$Z473-5200)=0,"",INDEX(次果筐明细!$B$4:$B$603,$Z473-5200)),"")))))</f>
        <v/>
      </c>
      <c r="C473" s="37" t="str">
        <f>IF($Z473="","",IF($Z473&lt;=2000,IF(INDEX(包装物料出入库明细!$D$4:$D$2003,$Z473-0)=0,"",INDEX(包装物料出入库明细!$D$4:$D$2003,$Z473-0)),IF($Z473&lt;=4000,IF(INDEX(周转筐出入库明细!$C$4:$C$2004,$Z473-2000)=0,"",INDEX(周转筐出入库明细!$C$4:$C$2004,$Z473-2000)),IF($Z473&lt;=5200,IF(INDEX(客户自备加工筐明细!$E$4:$E$1203,$Z473-4000)=0,"",INDEX(客户自备加工筐明细!$E$4:$E$1203,$Z473-4000)),IF($Z473&lt;=5800,IF(INDEX(次果筐明细!$C$4:$C$603,$Z473-5200)=0,"",INDEX(次果筐明细!$C$4:$C$603,$Z473-5200)),"")))))</f>
        <v/>
      </c>
      <c r="D473" s="37" t="str">
        <f>IF($Z473="","",IF($Z473&lt;=2000,"包装物料－"&amp;INDEX(包装物料出入库明细!$H$4:$H$2003,$Z473-0),IF($Z473&lt;=4000,"周转筐－"&amp;INDEX(周转筐出入库明细!$F$4:$F$2004,$Z473-2000),IF($Z473&lt;=5200,"客户自备筐－"&amp;INDEX(客户自备加工筐明细!$J$4:$J$1203,$Z473-4000),IF($Z473&lt;=5800,"次果筐/托盘－"&amp;INDEX(次果筐明细!$F$4:$F$603,$Z473-5200),"")))))</f>
        <v/>
      </c>
      <c r="E473" s="24" t="str">
        <f>IF($Z473="","",IF($Z473&lt;=2000,IF(INDEX(包装物料出入库明细!$C$4:$C$2003,$Z473-0)=0,"",INDEX(包装物料出入库明细!$C$4:$C$2003,$Z473-0)),IF($Z473&lt;=4000,IF(INDEX(周转筐出入库明细!$E$4:$E$2004,$Z473-2000)=0,"",INDEX(周转筐出入库明细!$E$4:$E$2004,$Z473-2000)),IF($Z473&lt;=5200,IF(INDEX(客户自备加工筐明细!$D$4:$D$1203,$Z473-4000)=0,"",INDEX(客户自备加工筐明细!$D$4:$D$1203,$Z473-4000)),IF($Z473&lt;=5800,IF(INDEX(次果筐明细!$E$4:$E$603,$Z473-5200)=0,"",INDEX(次果筐明细!$E$4:$E$603,$Z473-5200)),"")))))</f>
        <v/>
      </c>
      <c r="F473" s="24" t="str">
        <f>IF($Z473="","",IF($Z473&lt;=2000,IF(INDEX(包装物料出入库明细!$E$4:$E$2003,$Z473-0)=0,"",INDEX(包装物料出入库明细!$E$4:$E$2003,$Z473-0)),IF($Z473&lt;=4000,IF(INDEX(周转筐出入库明细!$D$4:$D$2004,$Z473-2000)=0,"",INDEX(周转筐出入库明细!$D$4:$D$2004,$Z473-2000)),IF($Z473&lt;=5200,IF(INDEX(客户自备加工筐明细!$C$4:$C$1203,$Z473-4000)=0,"",INDEX(客户自备加工筐明细!$C$4:$C$1203,$Z473-4000)),IF($Z473&lt;=5800,IF(INDEX(次果筐明细!$D$4:$D$603,$Z473-5200)=0,"",INDEX(次果筐明细!$D$4:$D$603,$Z473-5200)),"")))))</f>
        <v/>
      </c>
      <c r="G473" s="24" t="str">
        <f>IF($Z473="","",IF($Z473&lt;=2000,IF(INDEX(包装物料出入库明细!$F$4:$F$2003,$Z473-0)=0,"",INDEX(包装物料出入库明细!$F$4:$F$2003,$Z473-0)),IF($Z473&lt;=4000,"",IF($Z473&lt;=5200,"",IF($Z473&lt;=5800,"","")))))</f>
        <v/>
      </c>
      <c r="H473" s="39" t="str">
        <f>IF($Z473="","",IF($Z473&lt;=2000,IF(INDEX(包装物料出入库明细!$L$4:$L$2003,$Z473-0)=0,"",INDEX(包装物料出入库明细!$L$4:$L$2003,$Z473-0)),IF($Z473&lt;=4000,N(INDEX(周转筐出入库明细!$H$4:$H$2004,$Z473-2000))+N(INDEX(周转筐出入库明细!$I$4:$I$2004,$Z473-2000))+N(INDEX(周转筐出入库明细!$J$4:$J$2004,$Z473-2000))+N(INDEX(周转筐出入库明细!$K$4:$K$2004,$Z473-2000)),IF($Z473&lt;=5200,N(INDEX(客户自备加工筐明细!$F$4:$F$1203,$Z473-4000))+N(INDEX(客户自备加工筐明细!$G$4:$G$1203,$Z473-4000)),IF($Z473&lt;=5800,IF(INDEX(次果筐明细!$G$4:$G$603,$Z473-5200)=0,"",INDEX(次果筐明细!$G$4:$G$603,$Z473-5200)),"")))))</f>
        <v/>
      </c>
      <c r="I473" s="24" t="str">
        <f>IF($Z473="","",IF($Z473&lt;=2000,IF(INDEX(包装物料出入库明细!$G$4:$G$2003,$Z473-0)=0,"",INDEX(包装物料出入库明细!$G$4:$G$2003,$Z473-0)),IF($Z473&lt;=4000,"个",IF($Z473&lt;=5200,"个",IF($Z473&lt;=5800,"个","")))))</f>
        <v/>
      </c>
      <c r="J473" s="30" t="str">
        <f t="shared" si="22"/>
        <v/>
      </c>
      <c r="K473" s="30" t="str">
        <f>IF($Z473="","",IF($Z473&lt;=2000,IF(INDEX(包装物料出入库明细!$N$4:$N$2003,$Z473-0)=0,"",INDEX(包装物料出入库明细!$N$4:$N$2003,$Z473-0)),IF($Z473&lt;=4000,IF(INDEX(周转筐出入库明细!$P$4:$P$2004,$Z473-2000)=0,"",INDEX(周转筐出入库明细!$P$4:$P$2004,$Z473-2000)),IF($Z473&lt;=5200,"",IF($Z473&lt;=5800,N(INDEX(次果筐明细!$L$4:$L$603,$Z473-5200))+N(INDEX(次果筐明细!$J$4:$J$603,$Z473-5200)),"")))))</f>
        <v/>
      </c>
      <c r="L473" s="24" t="str">
        <f>IF($Z473="","",IF($Z473&lt;=2000,IF(INDEX(包装物料出入库明细!$P$4:$P$2003,$Z473-0)=0,"",INDEX(包装物料出入库明细!$P$4:$P$2003,$Z473-0)),IF($Z473&lt;=4000,IF(INDEX(周转筐出入库明细!$Q$4:$Q$2004,$Z473-2000)=0,"",INDEX(周转筐出入库明细!$Q$4:$Q$2004,$Z473-2000)),IF($Z473&lt;=5200,"",IF($Z473&lt;=5800,IF(INDEX(次果筐明细!$M$4:$M$603,$Z473-5200)=0,"",INDEX(次果筐明细!$M$4:$M$603,$Z473-5200)),"")))))</f>
        <v/>
      </c>
      <c r="M473" s="37" t="str">
        <f>IF($Z473="","",IF($Z473&lt;=2000,IF(INDEX(包装物料出入库明细!$R$4:$R$2003,$Z473-0)=0,"",INDEX(包装物料出入库明细!$R$4:$R$2003,$Z473-0)),IF($Z473&lt;=4000,IF(INDEX(周转筐出入库明细!$W$4:$W$2004,$Z473-2000)=0,"",INDEX(周转筐出入库明细!$W$4:$W$2004,$Z473-2000)),IF($Z473&lt;=5200,IF(INDEX(客户自备加工筐明细!$L$4:$L$1203,$Z473-4000)=0,"",INDEX(客户自备加工筐明细!$L$4:$L$1203,$Z473-4000)),IF($Z473&lt;=5800,IF(INDEX(次果筐明细!$P$4:$P$603,$Z473-5200)=0,"",INDEX(次果筐明细!$P$4:$P$603,$Z473-5200)),"")))))</f>
        <v/>
      </c>
      <c r="N473" s="16" t="str">
        <f>IF($Z473="","",IF($Z473&lt;=2000,"",IF($Z473&lt;=4000,IF(INDEX(周转筐出入库明细!$D$4:$D$2004,$Z473-2000)=0,"",INDEX(周转筐出入库明细!$D$4:$D$2004,$Z473-2000)),IF($Z473&lt;=5200,IF(INDEX(客户自备加工筐明细!$C$4:$C$1203,$Z473-4000)=0,"",INDEX(客户自备加工筐明细!$C$4:$C$1203,$Z473-4000)),IF($Z473&lt;=5800,IF(INDEX(次果筐明细!$D$4:$D$603,$Z473-5200)=0,"",INDEX(次果筐明细!$D$4:$D$603,$Z473-5200)),"")))))</f>
        <v/>
      </c>
      <c r="O473" s="40" t="str">
        <f>IF($Z473="","",IF($Z473&lt;=2000,"",IF($Z473&lt;=4000,IF(N(INDEX(周转筐出入库明细!$J$4:$J$2004,$Z473-2000))+N(INDEX(周转筐出入库明细!$K$4:$K$2004,$Z473-2000))=0,"",N(INDEX(周转筐出入库明细!$J$4:$J$2004,$Z473-2000))+N(INDEX(周转筐出入库明细!$K$4:$K$2004,$Z473-2000))),IF($Z473&lt;=5200,IF(N(INDEX(客户自备加工筐明细!$G$4:$G$1203,$Z473-4000))=0,"",N(INDEX(客户自备加工筐明细!$G$4:$G$1203,$Z473-4000))),IF($Z473&lt;=5800,IF(ISNUMBER(SEARCH("退",INDEX(次果筐明细!$F$4:$F$603,$Z473-5200)&amp;"")),"",IF(N(INDEX(次果筐明细!$G$4:$G$603,$Z473-5200))=0,"",N(INDEX(次果筐明细!$G$4:$G$603,$Z473-5200)))),"")))))</f>
        <v/>
      </c>
      <c r="P473" s="40" t="str">
        <f>IF($Z473="","",IF($Z473&lt;=2000,"",IF($Z473&lt;=4000,IF(N(INDEX(周转筐出入库明细!$I$4:$I$2004,$Z473-2000))=0,"",N(INDEX(周转筐出入库明细!$I$4:$I$2004,$Z473-2000))),IF($Z473&lt;=5200,"",IF($Z473&lt;=5800,IF(ISNUMBER(SEARCH("退",INDEX(次果筐明细!$F$4:$F$603,$Z473-5200)&amp;"")),IF(N(INDEX(次果筐明细!$G$4:$G$603,$Z473-5200))=0,"",N(INDEX(次果筐明细!$G$4:$G$603,$Z473-5200))),""),"")))))</f>
        <v/>
      </c>
      <c r="Q473" s="40" t="str">
        <f>IF($Z473="","",IF($Z473&lt;=2000,"",IF($Z473&lt;=4000,IF(N(INDEX(周转筐出入库明细!$H$4:$H$2004,$Z473-2000))=0,"",N(INDEX(周转筐出入库明细!$H$4:$H$2004,$Z473-2000))),IF($Z473&lt;=5200,IF(N(INDEX(客户自备加工筐明细!$F$4:$F$1203,$Z473-4000))=0,"",N(INDEX(客户自备加工筐明细!$F$4:$F$1203,$Z473-4000))),IF($Z473&lt;=5800,"","")))))</f>
        <v/>
      </c>
      <c r="R473" s="16" t="str">
        <f>IF($Z473="","",IF($Z473&lt;=2000,IF(INDEX(包装物料出入库明细!$O$4:$O$2003,$Z473-0)=0,"",INDEX(包装物料出入库明细!$O$4:$O$2003,$Z473-0)),IF($Z473&lt;=4000,IF(INDEX(周转筐出入库明细!$M$4:$M$2004,$Z473-2000)=0,"",INDEX(周转筐出入库明细!$M$4:$M$2004,$Z473-2000)),IF($Z473&lt;=5200,IF(INDEX(客户自备加工筐明细!$H$4:$H$1203,$Z473-4000)=0,"",INDEX(客户自备加工筐明细!$H$4:$H$1203,$Z473-4000)),IF($Z473&lt;=5800,IF(INDEX(次果筐明细!$H$4:$H$603,$Z473-5200)=0,"",INDEX(次果筐明细!$H$4:$H$603,$Z473-5200)),"")))))</f>
        <v/>
      </c>
      <c r="S473" s="22" t="str">
        <f t="shared" si="23"/>
        <v/>
      </c>
      <c r="Z473" s="10" t="str">
        <f>IFERROR(MATCH(ROW()-3,_自动清单!$CQ$4:$CQ$5803,0),"")</f>
        <v/>
      </c>
    </row>
    <row r="474" spans="1:26">
      <c r="A474" s="24" t="str">
        <f t="shared" si="21"/>
        <v/>
      </c>
      <c r="B474" s="38" t="str">
        <f>IF($Z474="","",IF($Z474&lt;=2000,IF(INDEX(包装物料出入库明细!$B$4:$B$2003,$Z474-0)=0,"",INDEX(包装物料出入库明细!$B$4:$B$2003,$Z474-0)),IF($Z474&lt;=4000,IF(INDEX(周转筐出入库明细!$B$4:$B$2004,$Z474-2000)=0,"",INDEX(周转筐出入库明细!$B$4:$B$2004,$Z474-2000)),IF($Z474&lt;=5200,IF(INDEX(客户自备加工筐明细!$B$4:$B$1203,$Z474-4000)=0,"",INDEX(客户自备加工筐明细!$B$4:$B$1203,$Z474-4000)),IF($Z474&lt;=5800,IF(INDEX(次果筐明细!$B$4:$B$603,$Z474-5200)=0,"",INDEX(次果筐明细!$B$4:$B$603,$Z474-5200)),"")))))</f>
        <v/>
      </c>
      <c r="C474" s="37" t="str">
        <f>IF($Z474="","",IF($Z474&lt;=2000,IF(INDEX(包装物料出入库明细!$D$4:$D$2003,$Z474-0)=0,"",INDEX(包装物料出入库明细!$D$4:$D$2003,$Z474-0)),IF($Z474&lt;=4000,IF(INDEX(周转筐出入库明细!$C$4:$C$2004,$Z474-2000)=0,"",INDEX(周转筐出入库明细!$C$4:$C$2004,$Z474-2000)),IF($Z474&lt;=5200,IF(INDEX(客户自备加工筐明细!$E$4:$E$1203,$Z474-4000)=0,"",INDEX(客户自备加工筐明细!$E$4:$E$1203,$Z474-4000)),IF($Z474&lt;=5800,IF(INDEX(次果筐明细!$C$4:$C$603,$Z474-5200)=0,"",INDEX(次果筐明细!$C$4:$C$603,$Z474-5200)),"")))))</f>
        <v/>
      </c>
      <c r="D474" s="37" t="str">
        <f>IF($Z474="","",IF($Z474&lt;=2000,"包装物料－"&amp;INDEX(包装物料出入库明细!$H$4:$H$2003,$Z474-0),IF($Z474&lt;=4000,"周转筐－"&amp;INDEX(周转筐出入库明细!$F$4:$F$2004,$Z474-2000),IF($Z474&lt;=5200,"客户自备筐－"&amp;INDEX(客户自备加工筐明细!$J$4:$J$1203,$Z474-4000),IF($Z474&lt;=5800,"次果筐/托盘－"&amp;INDEX(次果筐明细!$F$4:$F$603,$Z474-5200),"")))))</f>
        <v/>
      </c>
      <c r="E474" s="24" t="str">
        <f>IF($Z474="","",IF($Z474&lt;=2000,IF(INDEX(包装物料出入库明细!$C$4:$C$2003,$Z474-0)=0,"",INDEX(包装物料出入库明细!$C$4:$C$2003,$Z474-0)),IF($Z474&lt;=4000,IF(INDEX(周转筐出入库明细!$E$4:$E$2004,$Z474-2000)=0,"",INDEX(周转筐出入库明细!$E$4:$E$2004,$Z474-2000)),IF($Z474&lt;=5200,IF(INDEX(客户自备加工筐明细!$D$4:$D$1203,$Z474-4000)=0,"",INDEX(客户自备加工筐明细!$D$4:$D$1203,$Z474-4000)),IF($Z474&lt;=5800,IF(INDEX(次果筐明细!$E$4:$E$603,$Z474-5200)=0,"",INDEX(次果筐明细!$E$4:$E$603,$Z474-5200)),"")))))</f>
        <v/>
      </c>
      <c r="F474" s="24" t="str">
        <f>IF($Z474="","",IF($Z474&lt;=2000,IF(INDEX(包装物料出入库明细!$E$4:$E$2003,$Z474-0)=0,"",INDEX(包装物料出入库明细!$E$4:$E$2003,$Z474-0)),IF($Z474&lt;=4000,IF(INDEX(周转筐出入库明细!$D$4:$D$2004,$Z474-2000)=0,"",INDEX(周转筐出入库明细!$D$4:$D$2004,$Z474-2000)),IF($Z474&lt;=5200,IF(INDEX(客户自备加工筐明细!$C$4:$C$1203,$Z474-4000)=0,"",INDEX(客户自备加工筐明细!$C$4:$C$1203,$Z474-4000)),IF($Z474&lt;=5800,IF(INDEX(次果筐明细!$D$4:$D$603,$Z474-5200)=0,"",INDEX(次果筐明细!$D$4:$D$603,$Z474-5200)),"")))))</f>
        <v/>
      </c>
      <c r="G474" s="24" t="str">
        <f>IF($Z474="","",IF($Z474&lt;=2000,IF(INDEX(包装物料出入库明细!$F$4:$F$2003,$Z474-0)=0,"",INDEX(包装物料出入库明细!$F$4:$F$2003,$Z474-0)),IF($Z474&lt;=4000,"",IF($Z474&lt;=5200,"",IF($Z474&lt;=5800,"","")))))</f>
        <v/>
      </c>
      <c r="H474" s="39" t="str">
        <f>IF($Z474="","",IF($Z474&lt;=2000,IF(INDEX(包装物料出入库明细!$L$4:$L$2003,$Z474-0)=0,"",INDEX(包装物料出入库明细!$L$4:$L$2003,$Z474-0)),IF($Z474&lt;=4000,N(INDEX(周转筐出入库明细!$H$4:$H$2004,$Z474-2000))+N(INDEX(周转筐出入库明细!$I$4:$I$2004,$Z474-2000))+N(INDEX(周转筐出入库明细!$J$4:$J$2004,$Z474-2000))+N(INDEX(周转筐出入库明细!$K$4:$K$2004,$Z474-2000)),IF($Z474&lt;=5200,N(INDEX(客户自备加工筐明细!$F$4:$F$1203,$Z474-4000))+N(INDEX(客户自备加工筐明细!$G$4:$G$1203,$Z474-4000)),IF($Z474&lt;=5800,IF(INDEX(次果筐明细!$G$4:$G$603,$Z474-5200)=0,"",INDEX(次果筐明细!$G$4:$G$603,$Z474-5200)),"")))))</f>
        <v/>
      </c>
      <c r="I474" s="24" t="str">
        <f>IF($Z474="","",IF($Z474&lt;=2000,IF(INDEX(包装物料出入库明细!$G$4:$G$2003,$Z474-0)=0,"",INDEX(包装物料出入库明细!$G$4:$G$2003,$Z474-0)),IF($Z474&lt;=4000,"个",IF($Z474&lt;=5200,"个",IF($Z474&lt;=5800,"个","")))))</f>
        <v/>
      </c>
      <c r="J474" s="30" t="str">
        <f t="shared" si="22"/>
        <v/>
      </c>
      <c r="K474" s="30" t="str">
        <f>IF($Z474="","",IF($Z474&lt;=2000,IF(INDEX(包装物料出入库明细!$N$4:$N$2003,$Z474-0)=0,"",INDEX(包装物料出入库明细!$N$4:$N$2003,$Z474-0)),IF($Z474&lt;=4000,IF(INDEX(周转筐出入库明细!$P$4:$P$2004,$Z474-2000)=0,"",INDEX(周转筐出入库明细!$P$4:$P$2004,$Z474-2000)),IF($Z474&lt;=5200,"",IF($Z474&lt;=5800,N(INDEX(次果筐明细!$L$4:$L$603,$Z474-5200))+N(INDEX(次果筐明细!$J$4:$J$603,$Z474-5200)),"")))))</f>
        <v/>
      </c>
      <c r="L474" s="24" t="str">
        <f>IF($Z474="","",IF($Z474&lt;=2000,IF(INDEX(包装物料出入库明细!$P$4:$P$2003,$Z474-0)=0,"",INDEX(包装物料出入库明细!$P$4:$P$2003,$Z474-0)),IF($Z474&lt;=4000,IF(INDEX(周转筐出入库明细!$Q$4:$Q$2004,$Z474-2000)=0,"",INDEX(周转筐出入库明细!$Q$4:$Q$2004,$Z474-2000)),IF($Z474&lt;=5200,"",IF($Z474&lt;=5800,IF(INDEX(次果筐明细!$M$4:$M$603,$Z474-5200)=0,"",INDEX(次果筐明细!$M$4:$M$603,$Z474-5200)),"")))))</f>
        <v/>
      </c>
      <c r="M474" s="37" t="str">
        <f>IF($Z474="","",IF($Z474&lt;=2000,IF(INDEX(包装物料出入库明细!$R$4:$R$2003,$Z474-0)=0,"",INDEX(包装物料出入库明细!$R$4:$R$2003,$Z474-0)),IF($Z474&lt;=4000,IF(INDEX(周转筐出入库明细!$W$4:$W$2004,$Z474-2000)=0,"",INDEX(周转筐出入库明细!$W$4:$W$2004,$Z474-2000)),IF($Z474&lt;=5200,IF(INDEX(客户自备加工筐明细!$L$4:$L$1203,$Z474-4000)=0,"",INDEX(客户自备加工筐明细!$L$4:$L$1203,$Z474-4000)),IF($Z474&lt;=5800,IF(INDEX(次果筐明细!$P$4:$P$603,$Z474-5200)=0,"",INDEX(次果筐明细!$P$4:$P$603,$Z474-5200)),"")))))</f>
        <v/>
      </c>
      <c r="N474" s="16" t="str">
        <f>IF($Z474="","",IF($Z474&lt;=2000,"",IF($Z474&lt;=4000,IF(INDEX(周转筐出入库明细!$D$4:$D$2004,$Z474-2000)=0,"",INDEX(周转筐出入库明细!$D$4:$D$2004,$Z474-2000)),IF($Z474&lt;=5200,IF(INDEX(客户自备加工筐明细!$C$4:$C$1203,$Z474-4000)=0,"",INDEX(客户自备加工筐明细!$C$4:$C$1203,$Z474-4000)),IF($Z474&lt;=5800,IF(INDEX(次果筐明细!$D$4:$D$603,$Z474-5200)=0,"",INDEX(次果筐明细!$D$4:$D$603,$Z474-5200)),"")))))</f>
        <v/>
      </c>
      <c r="O474" s="40" t="str">
        <f>IF($Z474="","",IF($Z474&lt;=2000,"",IF($Z474&lt;=4000,IF(N(INDEX(周转筐出入库明细!$J$4:$J$2004,$Z474-2000))+N(INDEX(周转筐出入库明细!$K$4:$K$2004,$Z474-2000))=0,"",N(INDEX(周转筐出入库明细!$J$4:$J$2004,$Z474-2000))+N(INDEX(周转筐出入库明细!$K$4:$K$2004,$Z474-2000))),IF($Z474&lt;=5200,IF(N(INDEX(客户自备加工筐明细!$G$4:$G$1203,$Z474-4000))=0,"",N(INDEX(客户自备加工筐明细!$G$4:$G$1203,$Z474-4000))),IF($Z474&lt;=5800,IF(ISNUMBER(SEARCH("退",INDEX(次果筐明细!$F$4:$F$603,$Z474-5200)&amp;"")),"",IF(N(INDEX(次果筐明细!$G$4:$G$603,$Z474-5200))=0,"",N(INDEX(次果筐明细!$G$4:$G$603,$Z474-5200)))),"")))))</f>
        <v/>
      </c>
      <c r="P474" s="40" t="str">
        <f>IF($Z474="","",IF($Z474&lt;=2000,"",IF($Z474&lt;=4000,IF(N(INDEX(周转筐出入库明细!$I$4:$I$2004,$Z474-2000))=0,"",N(INDEX(周转筐出入库明细!$I$4:$I$2004,$Z474-2000))),IF($Z474&lt;=5200,"",IF($Z474&lt;=5800,IF(ISNUMBER(SEARCH("退",INDEX(次果筐明细!$F$4:$F$603,$Z474-5200)&amp;"")),IF(N(INDEX(次果筐明细!$G$4:$G$603,$Z474-5200))=0,"",N(INDEX(次果筐明细!$G$4:$G$603,$Z474-5200))),""),"")))))</f>
        <v/>
      </c>
      <c r="Q474" s="40" t="str">
        <f>IF($Z474="","",IF($Z474&lt;=2000,"",IF($Z474&lt;=4000,IF(N(INDEX(周转筐出入库明细!$H$4:$H$2004,$Z474-2000))=0,"",N(INDEX(周转筐出入库明细!$H$4:$H$2004,$Z474-2000))),IF($Z474&lt;=5200,IF(N(INDEX(客户自备加工筐明细!$F$4:$F$1203,$Z474-4000))=0,"",N(INDEX(客户自备加工筐明细!$F$4:$F$1203,$Z474-4000))),IF($Z474&lt;=5800,"","")))))</f>
        <v/>
      </c>
      <c r="R474" s="16" t="str">
        <f>IF($Z474="","",IF($Z474&lt;=2000,IF(INDEX(包装物料出入库明细!$O$4:$O$2003,$Z474-0)=0,"",INDEX(包装物料出入库明细!$O$4:$O$2003,$Z474-0)),IF($Z474&lt;=4000,IF(INDEX(周转筐出入库明细!$M$4:$M$2004,$Z474-2000)=0,"",INDEX(周转筐出入库明细!$M$4:$M$2004,$Z474-2000)),IF($Z474&lt;=5200,IF(INDEX(客户自备加工筐明细!$H$4:$H$1203,$Z474-4000)=0,"",INDEX(客户自备加工筐明细!$H$4:$H$1203,$Z474-4000)),IF($Z474&lt;=5800,IF(INDEX(次果筐明细!$H$4:$H$603,$Z474-5200)=0,"",INDEX(次果筐明细!$H$4:$H$603,$Z474-5200)),"")))))</f>
        <v/>
      </c>
      <c r="S474" s="22" t="str">
        <f t="shared" si="23"/>
        <v/>
      </c>
      <c r="Z474" s="10" t="str">
        <f>IFERROR(MATCH(ROW()-3,_自动清单!$CQ$4:$CQ$5803,0),"")</f>
        <v/>
      </c>
    </row>
    <row r="475" spans="1:26">
      <c r="A475" s="24" t="str">
        <f t="shared" si="21"/>
        <v/>
      </c>
      <c r="B475" s="38" t="str">
        <f>IF($Z475="","",IF($Z475&lt;=2000,IF(INDEX(包装物料出入库明细!$B$4:$B$2003,$Z475-0)=0,"",INDEX(包装物料出入库明细!$B$4:$B$2003,$Z475-0)),IF($Z475&lt;=4000,IF(INDEX(周转筐出入库明细!$B$4:$B$2004,$Z475-2000)=0,"",INDEX(周转筐出入库明细!$B$4:$B$2004,$Z475-2000)),IF($Z475&lt;=5200,IF(INDEX(客户自备加工筐明细!$B$4:$B$1203,$Z475-4000)=0,"",INDEX(客户自备加工筐明细!$B$4:$B$1203,$Z475-4000)),IF($Z475&lt;=5800,IF(INDEX(次果筐明细!$B$4:$B$603,$Z475-5200)=0,"",INDEX(次果筐明细!$B$4:$B$603,$Z475-5200)),"")))))</f>
        <v/>
      </c>
      <c r="C475" s="37" t="str">
        <f>IF($Z475="","",IF($Z475&lt;=2000,IF(INDEX(包装物料出入库明细!$D$4:$D$2003,$Z475-0)=0,"",INDEX(包装物料出入库明细!$D$4:$D$2003,$Z475-0)),IF($Z475&lt;=4000,IF(INDEX(周转筐出入库明细!$C$4:$C$2004,$Z475-2000)=0,"",INDEX(周转筐出入库明细!$C$4:$C$2004,$Z475-2000)),IF($Z475&lt;=5200,IF(INDEX(客户自备加工筐明细!$E$4:$E$1203,$Z475-4000)=0,"",INDEX(客户自备加工筐明细!$E$4:$E$1203,$Z475-4000)),IF($Z475&lt;=5800,IF(INDEX(次果筐明细!$C$4:$C$603,$Z475-5200)=0,"",INDEX(次果筐明细!$C$4:$C$603,$Z475-5200)),"")))))</f>
        <v/>
      </c>
      <c r="D475" s="37" t="str">
        <f>IF($Z475="","",IF($Z475&lt;=2000,"包装物料－"&amp;INDEX(包装物料出入库明细!$H$4:$H$2003,$Z475-0),IF($Z475&lt;=4000,"周转筐－"&amp;INDEX(周转筐出入库明细!$F$4:$F$2004,$Z475-2000),IF($Z475&lt;=5200,"客户自备筐－"&amp;INDEX(客户自备加工筐明细!$J$4:$J$1203,$Z475-4000),IF($Z475&lt;=5800,"次果筐/托盘－"&amp;INDEX(次果筐明细!$F$4:$F$603,$Z475-5200),"")))))</f>
        <v/>
      </c>
      <c r="E475" s="24" t="str">
        <f>IF($Z475="","",IF($Z475&lt;=2000,IF(INDEX(包装物料出入库明细!$C$4:$C$2003,$Z475-0)=0,"",INDEX(包装物料出入库明细!$C$4:$C$2003,$Z475-0)),IF($Z475&lt;=4000,IF(INDEX(周转筐出入库明细!$E$4:$E$2004,$Z475-2000)=0,"",INDEX(周转筐出入库明细!$E$4:$E$2004,$Z475-2000)),IF($Z475&lt;=5200,IF(INDEX(客户自备加工筐明细!$D$4:$D$1203,$Z475-4000)=0,"",INDEX(客户自备加工筐明细!$D$4:$D$1203,$Z475-4000)),IF($Z475&lt;=5800,IF(INDEX(次果筐明细!$E$4:$E$603,$Z475-5200)=0,"",INDEX(次果筐明细!$E$4:$E$603,$Z475-5200)),"")))))</f>
        <v/>
      </c>
      <c r="F475" s="24" t="str">
        <f>IF($Z475="","",IF($Z475&lt;=2000,IF(INDEX(包装物料出入库明细!$E$4:$E$2003,$Z475-0)=0,"",INDEX(包装物料出入库明细!$E$4:$E$2003,$Z475-0)),IF($Z475&lt;=4000,IF(INDEX(周转筐出入库明细!$D$4:$D$2004,$Z475-2000)=0,"",INDEX(周转筐出入库明细!$D$4:$D$2004,$Z475-2000)),IF($Z475&lt;=5200,IF(INDEX(客户自备加工筐明细!$C$4:$C$1203,$Z475-4000)=0,"",INDEX(客户自备加工筐明细!$C$4:$C$1203,$Z475-4000)),IF($Z475&lt;=5800,IF(INDEX(次果筐明细!$D$4:$D$603,$Z475-5200)=0,"",INDEX(次果筐明细!$D$4:$D$603,$Z475-5200)),"")))))</f>
        <v/>
      </c>
      <c r="G475" s="24" t="str">
        <f>IF($Z475="","",IF($Z475&lt;=2000,IF(INDEX(包装物料出入库明细!$F$4:$F$2003,$Z475-0)=0,"",INDEX(包装物料出入库明细!$F$4:$F$2003,$Z475-0)),IF($Z475&lt;=4000,"",IF($Z475&lt;=5200,"",IF($Z475&lt;=5800,"","")))))</f>
        <v/>
      </c>
      <c r="H475" s="39" t="str">
        <f>IF($Z475="","",IF($Z475&lt;=2000,IF(INDEX(包装物料出入库明细!$L$4:$L$2003,$Z475-0)=0,"",INDEX(包装物料出入库明细!$L$4:$L$2003,$Z475-0)),IF($Z475&lt;=4000,N(INDEX(周转筐出入库明细!$H$4:$H$2004,$Z475-2000))+N(INDEX(周转筐出入库明细!$I$4:$I$2004,$Z475-2000))+N(INDEX(周转筐出入库明细!$J$4:$J$2004,$Z475-2000))+N(INDEX(周转筐出入库明细!$K$4:$K$2004,$Z475-2000)),IF($Z475&lt;=5200,N(INDEX(客户自备加工筐明细!$F$4:$F$1203,$Z475-4000))+N(INDEX(客户自备加工筐明细!$G$4:$G$1203,$Z475-4000)),IF($Z475&lt;=5800,IF(INDEX(次果筐明细!$G$4:$G$603,$Z475-5200)=0,"",INDEX(次果筐明细!$G$4:$G$603,$Z475-5200)),"")))))</f>
        <v/>
      </c>
      <c r="I475" s="24" t="str">
        <f>IF($Z475="","",IF($Z475&lt;=2000,IF(INDEX(包装物料出入库明细!$G$4:$G$2003,$Z475-0)=0,"",INDEX(包装物料出入库明细!$G$4:$G$2003,$Z475-0)),IF($Z475&lt;=4000,"个",IF($Z475&lt;=5200,"个",IF($Z475&lt;=5800,"个","")))))</f>
        <v/>
      </c>
      <c r="J475" s="30" t="str">
        <f t="shared" si="22"/>
        <v/>
      </c>
      <c r="K475" s="30" t="str">
        <f>IF($Z475="","",IF($Z475&lt;=2000,IF(INDEX(包装物料出入库明细!$N$4:$N$2003,$Z475-0)=0,"",INDEX(包装物料出入库明细!$N$4:$N$2003,$Z475-0)),IF($Z475&lt;=4000,IF(INDEX(周转筐出入库明细!$P$4:$P$2004,$Z475-2000)=0,"",INDEX(周转筐出入库明细!$P$4:$P$2004,$Z475-2000)),IF($Z475&lt;=5200,"",IF($Z475&lt;=5800,N(INDEX(次果筐明细!$L$4:$L$603,$Z475-5200))+N(INDEX(次果筐明细!$J$4:$J$603,$Z475-5200)),"")))))</f>
        <v/>
      </c>
      <c r="L475" s="24" t="str">
        <f>IF($Z475="","",IF($Z475&lt;=2000,IF(INDEX(包装物料出入库明细!$P$4:$P$2003,$Z475-0)=0,"",INDEX(包装物料出入库明细!$P$4:$P$2003,$Z475-0)),IF($Z475&lt;=4000,IF(INDEX(周转筐出入库明细!$Q$4:$Q$2004,$Z475-2000)=0,"",INDEX(周转筐出入库明细!$Q$4:$Q$2004,$Z475-2000)),IF($Z475&lt;=5200,"",IF($Z475&lt;=5800,IF(INDEX(次果筐明细!$M$4:$M$603,$Z475-5200)=0,"",INDEX(次果筐明细!$M$4:$M$603,$Z475-5200)),"")))))</f>
        <v/>
      </c>
      <c r="M475" s="37" t="str">
        <f>IF($Z475="","",IF($Z475&lt;=2000,IF(INDEX(包装物料出入库明细!$R$4:$R$2003,$Z475-0)=0,"",INDEX(包装物料出入库明细!$R$4:$R$2003,$Z475-0)),IF($Z475&lt;=4000,IF(INDEX(周转筐出入库明细!$W$4:$W$2004,$Z475-2000)=0,"",INDEX(周转筐出入库明细!$W$4:$W$2004,$Z475-2000)),IF($Z475&lt;=5200,IF(INDEX(客户自备加工筐明细!$L$4:$L$1203,$Z475-4000)=0,"",INDEX(客户自备加工筐明细!$L$4:$L$1203,$Z475-4000)),IF($Z475&lt;=5800,IF(INDEX(次果筐明细!$P$4:$P$603,$Z475-5200)=0,"",INDEX(次果筐明细!$P$4:$P$603,$Z475-5200)),"")))))</f>
        <v/>
      </c>
      <c r="N475" s="16" t="str">
        <f>IF($Z475="","",IF($Z475&lt;=2000,"",IF($Z475&lt;=4000,IF(INDEX(周转筐出入库明细!$D$4:$D$2004,$Z475-2000)=0,"",INDEX(周转筐出入库明细!$D$4:$D$2004,$Z475-2000)),IF($Z475&lt;=5200,IF(INDEX(客户自备加工筐明细!$C$4:$C$1203,$Z475-4000)=0,"",INDEX(客户自备加工筐明细!$C$4:$C$1203,$Z475-4000)),IF($Z475&lt;=5800,IF(INDEX(次果筐明细!$D$4:$D$603,$Z475-5200)=0,"",INDEX(次果筐明细!$D$4:$D$603,$Z475-5200)),"")))))</f>
        <v/>
      </c>
      <c r="O475" s="40" t="str">
        <f>IF($Z475="","",IF($Z475&lt;=2000,"",IF($Z475&lt;=4000,IF(N(INDEX(周转筐出入库明细!$J$4:$J$2004,$Z475-2000))+N(INDEX(周转筐出入库明细!$K$4:$K$2004,$Z475-2000))=0,"",N(INDEX(周转筐出入库明细!$J$4:$J$2004,$Z475-2000))+N(INDEX(周转筐出入库明细!$K$4:$K$2004,$Z475-2000))),IF($Z475&lt;=5200,IF(N(INDEX(客户自备加工筐明细!$G$4:$G$1203,$Z475-4000))=0,"",N(INDEX(客户自备加工筐明细!$G$4:$G$1203,$Z475-4000))),IF($Z475&lt;=5800,IF(ISNUMBER(SEARCH("退",INDEX(次果筐明细!$F$4:$F$603,$Z475-5200)&amp;"")),"",IF(N(INDEX(次果筐明细!$G$4:$G$603,$Z475-5200))=0,"",N(INDEX(次果筐明细!$G$4:$G$603,$Z475-5200)))),"")))))</f>
        <v/>
      </c>
      <c r="P475" s="40" t="str">
        <f>IF($Z475="","",IF($Z475&lt;=2000,"",IF($Z475&lt;=4000,IF(N(INDEX(周转筐出入库明细!$I$4:$I$2004,$Z475-2000))=0,"",N(INDEX(周转筐出入库明细!$I$4:$I$2004,$Z475-2000))),IF($Z475&lt;=5200,"",IF($Z475&lt;=5800,IF(ISNUMBER(SEARCH("退",INDEX(次果筐明细!$F$4:$F$603,$Z475-5200)&amp;"")),IF(N(INDEX(次果筐明细!$G$4:$G$603,$Z475-5200))=0,"",N(INDEX(次果筐明细!$G$4:$G$603,$Z475-5200))),""),"")))))</f>
        <v/>
      </c>
      <c r="Q475" s="40" t="str">
        <f>IF($Z475="","",IF($Z475&lt;=2000,"",IF($Z475&lt;=4000,IF(N(INDEX(周转筐出入库明细!$H$4:$H$2004,$Z475-2000))=0,"",N(INDEX(周转筐出入库明细!$H$4:$H$2004,$Z475-2000))),IF($Z475&lt;=5200,IF(N(INDEX(客户自备加工筐明细!$F$4:$F$1203,$Z475-4000))=0,"",N(INDEX(客户自备加工筐明细!$F$4:$F$1203,$Z475-4000))),IF($Z475&lt;=5800,"","")))))</f>
        <v/>
      </c>
      <c r="R475" s="16" t="str">
        <f>IF($Z475="","",IF($Z475&lt;=2000,IF(INDEX(包装物料出入库明细!$O$4:$O$2003,$Z475-0)=0,"",INDEX(包装物料出入库明细!$O$4:$O$2003,$Z475-0)),IF($Z475&lt;=4000,IF(INDEX(周转筐出入库明细!$M$4:$M$2004,$Z475-2000)=0,"",INDEX(周转筐出入库明细!$M$4:$M$2004,$Z475-2000)),IF($Z475&lt;=5200,IF(INDEX(客户自备加工筐明细!$H$4:$H$1203,$Z475-4000)=0,"",INDEX(客户自备加工筐明细!$H$4:$H$1203,$Z475-4000)),IF($Z475&lt;=5800,IF(INDEX(次果筐明细!$H$4:$H$603,$Z475-5200)=0,"",INDEX(次果筐明细!$H$4:$H$603,$Z475-5200)),"")))))</f>
        <v/>
      </c>
      <c r="S475" s="22" t="str">
        <f t="shared" si="23"/>
        <v/>
      </c>
      <c r="Z475" s="10" t="str">
        <f>IFERROR(MATCH(ROW()-3,_自动清单!$CQ$4:$CQ$5803,0),"")</f>
        <v/>
      </c>
    </row>
    <row r="476" spans="1:26">
      <c r="A476" s="24" t="str">
        <f t="shared" si="21"/>
        <v/>
      </c>
      <c r="B476" s="38" t="str">
        <f>IF($Z476="","",IF($Z476&lt;=2000,IF(INDEX(包装物料出入库明细!$B$4:$B$2003,$Z476-0)=0,"",INDEX(包装物料出入库明细!$B$4:$B$2003,$Z476-0)),IF($Z476&lt;=4000,IF(INDEX(周转筐出入库明细!$B$4:$B$2004,$Z476-2000)=0,"",INDEX(周转筐出入库明细!$B$4:$B$2004,$Z476-2000)),IF($Z476&lt;=5200,IF(INDEX(客户自备加工筐明细!$B$4:$B$1203,$Z476-4000)=0,"",INDEX(客户自备加工筐明细!$B$4:$B$1203,$Z476-4000)),IF($Z476&lt;=5800,IF(INDEX(次果筐明细!$B$4:$B$603,$Z476-5200)=0,"",INDEX(次果筐明细!$B$4:$B$603,$Z476-5200)),"")))))</f>
        <v/>
      </c>
      <c r="C476" s="37" t="str">
        <f>IF($Z476="","",IF($Z476&lt;=2000,IF(INDEX(包装物料出入库明细!$D$4:$D$2003,$Z476-0)=0,"",INDEX(包装物料出入库明细!$D$4:$D$2003,$Z476-0)),IF($Z476&lt;=4000,IF(INDEX(周转筐出入库明细!$C$4:$C$2004,$Z476-2000)=0,"",INDEX(周转筐出入库明细!$C$4:$C$2004,$Z476-2000)),IF($Z476&lt;=5200,IF(INDEX(客户自备加工筐明细!$E$4:$E$1203,$Z476-4000)=0,"",INDEX(客户自备加工筐明细!$E$4:$E$1203,$Z476-4000)),IF($Z476&lt;=5800,IF(INDEX(次果筐明细!$C$4:$C$603,$Z476-5200)=0,"",INDEX(次果筐明细!$C$4:$C$603,$Z476-5200)),"")))))</f>
        <v/>
      </c>
      <c r="D476" s="37" t="str">
        <f>IF($Z476="","",IF($Z476&lt;=2000,"包装物料－"&amp;INDEX(包装物料出入库明细!$H$4:$H$2003,$Z476-0),IF($Z476&lt;=4000,"周转筐－"&amp;INDEX(周转筐出入库明细!$F$4:$F$2004,$Z476-2000),IF($Z476&lt;=5200,"客户自备筐－"&amp;INDEX(客户自备加工筐明细!$J$4:$J$1203,$Z476-4000),IF($Z476&lt;=5800,"次果筐/托盘－"&amp;INDEX(次果筐明细!$F$4:$F$603,$Z476-5200),"")))))</f>
        <v/>
      </c>
      <c r="E476" s="24" t="str">
        <f>IF($Z476="","",IF($Z476&lt;=2000,IF(INDEX(包装物料出入库明细!$C$4:$C$2003,$Z476-0)=0,"",INDEX(包装物料出入库明细!$C$4:$C$2003,$Z476-0)),IF($Z476&lt;=4000,IF(INDEX(周转筐出入库明细!$E$4:$E$2004,$Z476-2000)=0,"",INDEX(周转筐出入库明细!$E$4:$E$2004,$Z476-2000)),IF($Z476&lt;=5200,IF(INDEX(客户自备加工筐明细!$D$4:$D$1203,$Z476-4000)=0,"",INDEX(客户自备加工筐明细!$D$4:$D$1203,$Z476-4000)),IF($Z476&lt;=5800,IF(INDEX(次果筐明细!$E$4:$E$603,$Z476-5200)=0,"",INDEX(次果筐明细!$E$4:$E$603,$Z476-5200)),"")))))</f>
        <v/>
      </c>
      <c r="F476" s="24" t="str">
        <f>IF($Z476="","",IF($Z476&lt;=2000,IF(INDEX(包装物料出入库明细!$E$4:$E$2003,$Z476-0)=0,"",INDEX(包装物料出入库明细!$E$4:$E$2003,$Z476-0)),IF($Z476&lt;=4000,IF(INDEX(周转筐出入库明细!$D$4:$D$2004,$Z476-2000)=0,"",INDEX(周转筐出入库明细!$D$4:$D$2004,$Z476-2000)),IF($Z476&lt;=5200,IF(INDEX(客户自备加工筐明细!$C$4:$C$1203,$Z476-4000)=0,"",INDEX(客户自备加工筐明细!$C$4:$C$1203,$Z476-4000)),IF($Z476&lt;=5800,IF(INDEX(次果筐明细!$D$4:$D$603,$Z476-5200)=0,"",INDEX(次果筐明细!$D$4:$D$603,$Z476-5200)),"")))))</f>
        <v/>
      </c>
      <c r="G476" s="24" t="str">
        <f>IF($Z476="","",IF($Z476&lt;=2000,IF(INDEX(包装物料出入库明细!$F$4:$F$2003,$Z476-0)=0,"",INDEX(包装物料出入库明细!$F$4:$F$2003,$Z476-0)),IF($Z476&lt;=4000,"",IF($Z476&lt;=5200,"",IF($Z476&lt;=5800,"","")))))</f>
        <v/>
      </c>
      <c r="H476" s="39" t="str">
        <f>IF($Z476="","",IF($Z476&lt;=2000,IF(INDEX(包装物料出入库明细!$L$4:$L$2003,$Z476-0)=0,"",INDEX(包装物料出入库明细!$L$4:$L$2003,$Z476-0)),IF($Z476&lt;=4000,N(INDEX(周转筐出入库明细!$H$4:$H$2004,$Z476-2000))+N(INDEX(周转筐出入库明细!$I$4:$I$2004,$Z476-2000))+N(INDEX(周转筐出入库明细!$J$4:$J$2004,$Z476-2000))+N(INDEX(周转筐出入库明细!$K$4:$K$2004,$Z476-2000)),IF($Z476&lt;=5200,N(INDEX(客户自备加工筐明细!$F$4:$F$1203,$Z476-4000))+N(INDEX(客户自备加工筐明细!$G$4:$G$1203,$Z476-4000)),IF($Z476&lt;=5800,IF(INDEX(次果筐明细!$G$4:$G$603,$Z476-5200)=0,"",INDEX(次果筐明细!$G$4:$G$603,$Z476-5200)),"")))))</f>
        <v/>
      </c>
      <c r="I476" s="24" t="str">
        <f>IF($Z476="","",IF($Z476&lt;=2000,IF(INDEX(包装物料出入库明细!$G$4:$G$2003,$Z476-0)=0,"",INDEX(包装物料出入库明细!$G$4:$G$2003,$Z476-0)),IF($Z476&lt;=4000,"个",IF($Z476&lt;=5200,"个",IF($Z476&lt;=5800,"个","")))))</f>
        <v/>
      </c>
      <c r="J476" s="30" t="str">
        <f t="shared" si="22"/>
        <v/>
      </c>
      <c r="K476" s="30" t="str">
        <f>IF($Z476="","",IF($Z476&lt;=2000,IF(INDEX(包装物料出入库明细!$N$4:$N$2003,$Z476-0)=0,"",INDEX(包装物料出入库明细!$N$4:$N$2003,$Z476-0)),IF($Z476&lt;=4000,IF(INDEX(周转筐出入库明细!$P$4:$P$2004,$Z476-2000)=0,"",INDEX(周转筐出入库明细!$P$4:$P$2004,$Z476-2000)),IF($Z476&lt;=5200,"",IF($Z476&lt;=5800,N(INDEX(次果筐明细!$L$4:$L$603,$Z476-5200))+N(INDEX(次果筐明细!$J$4:$J$603,$Z476-5200)),"")))))</f>
        <v/>
      </c>
      <c r="L476" s="24" t="str">
        <f>IF($Z476="","",IF($Z476&lt;=2000,IF(INDEX(包装物料出入库明细!$P$4:$P$2003,$Z476-0)=0,"",INDEX(包装物料出入库明细!$P$4:$P$2003,$Z476-0)),IF($Z476&lt;=4000,IF(INDEX(周转筐出入库明细!$Q$4:$Q$2004,$Z476-2000)=0,"",INDEX(周转筐出入库明细!$Q$4:$Q$2004,$Z476-2000)),IF($Z476&lt;=5200,"",IF($Z476&lt;=5800,IF(INDEX(次果筐明细!$M$4:$M$603,$Z476-5200)=0,"",INDEX(次果筐明细!$M$4:$M$603,$Z476-5200)),"")))))</f>
        <v/>
      </c>
      <c r="M476" s="37" t="str">
        <f>IF($Z476="","",IF($Z476&lt;=2000,IF(INDEX(包装物料出入库明细!$R$4:$R$2003,$Z476-0)=0,"",INDEX(包装物料出入库明细!$R$4:$R$2003,$Z476-0)),IF($Z476&lt;=4000,IF(INDEX(周转筐出入库明细!$W$4:$W$2004,$Z476-2000)=0,"",INDEX(周转筐出入库明细!$W$4:$W$2004,$Z476-2000)),IF($Z476&lt;=5200,IF(INDEX(客户自备加工筐明细!$L$4:$L$1203,$Z476-4000)=0,"",INDEX(客户自备加工筐明细!$L$4:$L$1203,$Z476-4000)),IF($Z476&lt;=5800,IF(INDEX(次果筐明细!$P$4:$P$603,$Z476-5200)=0,"",INDEX(次果筐明细!$P$4:$P$603,$Z476-5200)),"")))))</f>
        <v/>
      </c>
      <c r="N476" s="16" t="str">
        <f>IF($Z476="","",IF($Z476&lt;=2000,"",IF($Z476&lt;=4000,IF(INDEX(周转筐出入库明细!$D$4:$D$2004,$Z476-2000)=0,"",INDEX(周转筐出入库明细!$D$4:$D$2004,$Z476-2000)),IF($Z476&lt;=5200,IF(INDEX(客户自备加工筐明细!$C$4:$C$1203,$Z476-4000)=0,"",INDEX(客户自备加工筐明细!$C$4:$C$1203,$Z476-4000)),IF($Z476&lt;=5800,IF(INDEX(次果筐明细!$D$4:$D$603,$Z476-5200)=0,"",INDEX(次果筐明细!$D$4:$D$603,$Z476-5200)),"")))))</f>
        <v/>
      </c>
      <c r="O476" s="40" t="str">
        <f>IF($Z476="","",IF($Z476&lt;=2000,"",IF($Z476&lt;=4000,IF(N(INDEX(周转筐出入库明细!$J$4:$J$2004,$Z476-2000))+N(INDEX(周转筐出入库明细!$K$4:$K$2004,$Z476-2000))=0,"",N(INDEX(周转筐出入库明细!$J$4:$J$2004,$Z476-2000))+N(INDEX(周转筐出入库明细!$K$4:$K$2004,$Z476-2000))),IF($Z476&lt;=5200,IF(N(INDEX(客户自备加工筐明细!$G$4:$G$1203,$Z476-4000))=0,"",N(INDEX(客户自备加工筐明细!$G$4:$G$1203,$Z476-4000))),IF($Z476&lt;=5800,IF(ISNUMBER(SEARCH("退",INDEX(次果筐明细!$F$4:$F$603,$Z476-5200)&amp;"")),"",IF(N(INDEX(次果筐明细!$G$4:$G$603,$Z476-5200))=0,"",N(INDEX(次果筐明细!$G$4:$G$603,$Z476-5200)))),"")))))</f>
        <v/>
      </c>
      <c r="P476" s="40" t="str">
        <f>IF($Z476="","",IF($Z476&lt;=2000,"",IF($Z476&lt;=4000,IF(N(INDEX(周转筐出入库明细!$I$4:$I$2004,$Z476-2000))=0,"",N(INDEX(周转筐出入库明细!$I$4:$I$2004,$Z476-2000))),IF($Z476&lt;=5200,"",IF($Z476&lt;=5800,IF(ISNUMBER(SEARCH("退",INDEX(次果筐明细!$F$4:$F$603,$Z476-5200)&amp;"")),IF(N(INDEX(次果筐明细!$G$4:$G$603,$Z476-5200))=0,"",N(INDEX(次果筐明细!$G$4:$G$603,$Z476-5200))),""),"")))))</f>
        <v/>
      </c>
      <c r="Q476" s="40" t="str">
        <f>IF($Z476="","",IF($Z476&lt;=2000,"",IF($Z476&lt;=4000,IF(N(INDEX(周转筐出入库明细!$H$4:$H$2004,$Z476-2000))=0,"",N(INDEX(周转筐出入库明细!$H$4:$H$2004,$Z476-2000))),IF($Z476&lt;=5200,IF(N(INDEX(客户自备加工筐明细!$F$4:$F$1203,$Z476-4000))=0,"",N(INDEX(客户自备加工筐明细!$F$4:$F$1203,$Z476-4000))),IF($Z476&lt;=5800,"","")))))</f>
        <v/>
      </c>
      <c r="R476" s="16" t="str">
        <f>IF($Z476="","",IF($Z476&lt;=2000,IF(INDEX(包装物料出入库明细!$O$4:$O$2003,$Z476-0)=0,"",INDEX(包装物料出入库明细!$O$4:$O$2003,$Z476-0)),IF($Z476&lt;=4000,IF(INDEX(周转筐出入库明细!$M$4:$M$2004,$Z476-2000)=0,"",INDEX(周转筐出入库明细!$M$4:$M$2004,$Z476-2000)),IF($Z476&lt;=5200,IF(INDEX(客户自备加工筐明细!$H$4:$H$1203,$Z476-4000)=0,"",INDEX(客户自备加工筐明细!$H$4:$H$1203,$Z476-4000)),IF($Z476&lt;=5800,IF(INDEX(次果筐明细!$H$4:$H$603,$Z476-5200)=0,"",INDEX(次果筐明细!$H$4:$H$603,$Z476-5200)),"")))))</f>
        <v/>
      </c>
      <c r="S476" s="22" t="str">
        <f t="shared" si="23"/>
        <v/>
      </c>
      <c r="Z476" s="10" t="str">
        <f>IFERROR(MATCH(ROW()-3,_自动清单!$CQ$4:$CQ$5803,0),"")</f>
        <v/>
      </c>
    </row>
    <row r="477" spans="1:26">
      <c r="A477" s="24" t="str">
        <f t="shared" si="21"/>
        <v/>
      </c>
      <c r="B477" s="38" t="str">
        <f>IF($Z477="","",IF($Z477&lt;=2000,IF(INDEX(包装物料出入库明细!$B$4:$B$2003,$Z477-0)=0,"",INDEX(包装物料出入库明细!$B$4:$B$2003,$Z477-0)),IF($Z477&lt;=4000,IF(INDEX(周转筐出入库明细!$B$4:$B$2004,$Z477-2000)=0,"",INDEX(周转筐出入库明细!$B$4:$B$2004,$Z477-2000)),IF($Z477&lt;=5200,IF(INDEX(客户自备加工筐明细!$B$4:$B$1203,$Z477-4000)=0,"",INDEX(客户自备加工筐明细!$B$4:$B$1203,$Z477-4000)),IF($Z477&lt;=5800,IF(INDEX(次果筐明细!$B$4:$B$603,$Z477-5200)=0,"",INDEX(次果筐明细!$B$4:$B$603,$Z477-5200)),"")))))</f>
        <v/>
      </c>
      <c r="C477" s="37" t="str">
        <f>IF($Z477="","",IF($Z477&lt;=2000,IF(INDEX(包装物料出入库明细!$D$4:$D$2003,$Z477-0)=0,"",INDEX(包装物料出入库明细!$D$4:$D$2003,$Z477-0)),IF($Z477&lt;=4000,IF(INDEX(周转筐出入库明细!$C$4:$C$2004,$Z477-2000)=0,"",INDEX(周转筐出入库明细!$C$4:$C$2004,$Z477-2000)),IF($Z477&lt;=5200,IF(INDEX(客户自备加工筐明细!$E$4:$E$1203,$Z477-4000)=0,"",INDEX(客户自备加工筐明细!$E$4:$E$1203,$Z477-4000)),IF($Z477&lt;=5800,IF(INDEX(次果筐明细!$C$4:$C$603,$Z477-5200)=0,"",INDEX(次果筐明细!$C$4:$C$603,$Z477-5200)),"")))))</f>
        <v/>
      </c>
      <c r="D477" s="37" t="str">
        <f>IF($Z477="","",IF($Z477&lt;=2000,"包装物料－"&amp;INDEX(包装物料出入库明细!$H$4:$H$2003,$Z477-0),IF($Z477&lt;=4000,"周转筐－"&amp;INDEX(周转筐出入库明细!$F$4:$F$2004,$Z477-2000),IF($Z477&lt;=5200,"客户自备筐－"&amp;INDEX(客户自备加工筐明细!$J$4:$J$1203,$Z477-4000),IF($Z477&lt;=5800,"次果筐/托盘－"&amp;INDEX(次果筐明细!$F$4:$F$603,$Z477-5200),"")))))</f>
        <v/>
      </c>
      <c r="E477" s="24" t="str">
        <f>IF($Z477="","",IF($Z477&lt;=2000,IF(INDEX(包装物料出入库明细!$C$4:$C$2003,$Z477-0)=0,"",INDEX(包装物料出入库明细!$C$4:$C$2003,$Z477-0)),IF($Z477&lt;=4000,IF(INDEX(周转筐出入库明细!$E$4:$E$2004,$Z477-2000)=0,"",INDEX(周转筐出入库明细!$E$4:$E$2004,$Z477-2000)),IF($Z477&lt;=5200,IF(INDEX(客户自备加工筐明细!$D$4:$D$1203,$Z477-4000)=0,"",INDEX(客户自备加工筐明细!$D$4:$D$1203,$Z477-4000)),IF($Z477&lt;=5800,IF(INDEX(次果筐明细!$E$4:$E$603,$Z477-5200)=0,"",INDEX(次果筐明细!$E$4:$E$603,$Z477-5200)),"")))))</f>
        <v/>
      </c>
      <c r="F477" s="24" t="str">
        <f>IF($Z477="","",IF($Z477&lt;=2000,IF(INDEX(包装物料出入库明细!$E$4:$E$2003,$Z477-0)=0,"",INDEX(包装物料出入库明细!$E$4:$E$2003,$Z477-0)),IF($Z477&lt;=4000,IF(INDEX(周转筐出入库明细!$D$4:$D$2004,$Z477-2000)=0,"",INDEX(周转筐出入库明细!$D$4:$D$2004,$Z477-2000)),IF($Z477&lt;=5200,IF(INDEX(客户自备加工筐明细!$C$4:$C$1203,$Z477-4000)=0,"",INDEX(客户自备加工筐明细!$C$4:$C$1203,$Z477-4000)),IF($Z477&lt;=5800,IF(INDEX(次果筐明细!$D$4:$D$603,$Z477-5200)=0,"",INDEX(次果筐明细!$D$4:$D$603,$Z477-5200)),"")))))</f>
        <v/>
      </c>
      <c r="G477" s="24" t="str">
        <f>IF($Z477="","",IF($Z477&lt;=2000,IF(INDEX(包装物料出入库明细!$F$4:$F$2003,$Z477-0)=0,"",INDEX(包装物料出入库明细!$F$4:$F$2003,$Z477-0)),IF($Z477&lt;=4000,"",IF($Z477&lt;=5200,"",IF($Z477&lt;=5800,"","")))))</f>
        <v/>
      </c>
      <c r="H477" s="39" t="str">
        <f>IF($Z477="","",IF($Z477&lt;=2000,IF(INDEX(包装物料出入库明细!$L$4:$L$2003,$Z477-0)=0,"",INDEX(包装物料出入库明细!$L$4:$L$2003,$Z477-0)),IF($Z477&lt;=4000,N(INDEX(周转筐出入库明细!$H$4:$H$2004,$Z477-2000))+N(INDEX(周转筐出入库明细!$I$4:$I$2004,$Z477-2000))+N(INDEX(周转筐出入库明细!$J$4:$J$2004,$Z477-2000))+N(INDEX(周转筐出入库明细!$K$4:$K$2004,$Z477-2000)),IF($Z477&lt;=5200,N(INDEX(客户自备加工筐明细!$F$4:$F$1203,$Z477-4000))+N(INDEX(客户自备加工筐明细!$G$4:$G$1203,$Z477-4000)),IF($Z477&lt;=5800,IF(INDEX(次果筐明细!$G$4:$G$603,$Z477-5200)=0,"",INDEX(次果筐明细!$G$4:$G$603,$Z477-5200)),"")))))</f>
        <v/>
      </c>
      <c r="I477" s="24" t="str">
        <f>IF($Z477="","",IF($Z477&lt;=2000,IF(INDEX(包装物料出入库明细!$G$4:$G$2003,$Z477-0)=0,"",INDEX(包装物料出入库明细!$G$4:$G$2003,$Z477-0)),IF($Z477&lt;=4000,"个",IF($Z477&lt;=5200,"个",IF($Z477&lt;=5800,"个","")))))</f>
        <v/>
      </c>
      <c r="J477" s="30" t="str">
        <f t="shared" si="22"/>
        <v/>
      </c>
      <c r="K477" s="30" t="str">
        <f>IF($Z477="","",IF($Z477&lt;=2000,IF(INDEX(包装物料出入库明细!$N$4:$N$2003,$Z477-0)=0,"",INDEX(包装物料出入库明细!$N$4:$N$2003,$Z477-0)),IF($Z477&lt;=4000,IF(INDEX(周转筐出入库明细!$P$4:$P$2004,$Z477-2000)=0,"",INDEX(周转筐出入库明细!$P$4:$P$2004,$Z477-2000)),IF($Z477&lt;=5200,"",IF($Z477&lt;=5800,N(INDEX(次果筐明细!$L$4:$L$603,$Z477-5200))+N(INDEX(次果筐明细!$J$4:$J$603,$Z477-5200)),"")))))</f>
        <v/>
      </c>
      <c r="L477" s="24" t="str">
        <f>IF($Z477="","",IF($Z477&lt;=2000,IF(INDEX(包装物料出入库明细!$P$4:$P$2003,$Z477-0)=0,"",INDEX(包装物料出入库明细!$P$4:$P$2003,$Z477-0)),IF($Z477&lt;=4000,IF(INDEX(周转筐出入库明细!$Q$4:$Q$2004,$Z477-2000)=0,"",INDEX(周转筐出入库明细!$Q$4:$Q$2004,$Z477-2000)),IF($Z477&lt;=5200,"",IF($Z477&lt;=5800,IF(INDEX(次果筐明细!$M$4:$M$603,$Z477-5200)=0,"",INDEX(次果筐明细!$M$4:$M$603,$Z477-5200)),"")))))</f>
        <v/>
      </c>
      <c r="M477" s="37" t="str">
        <f>IF($Z477="","",IF($Z477&lt;=2000,IF(INDEX(包装物料出入库明细!$R$4:$R$2003,$Z477-0)=0,"",INDEX(包装物料出入库明细!$R$4:$R$2003,$Z477-0)),IF($Z477&lt;=4000,IF(INDEX(周转筐出入库明细!$W$4:$W$2004,$Z477-2000)=0,"",INDEX(周转筐出入库明细!$W$4:$W$2004,$Z477-2000)),IF($Z477&lt;=5200,IF(INDEX(客户自备加工筐明细!$L$4:$L$1203,$Z477-4000)=0,"",INDEX(客户自备加工筐明细!$L$4:$L$1203,$Z477-4000)),IF($Z477&lt;=5800,IF(INDEX(次果筐明细!$P$4:$P$603,$Z477-5200)=0,"",INDEX(次果筐明细!$P$4:$P$603,$Z477-5200)),"")))))</f>
        <v/>
      </c>
      <c r="N477" s="16" t="str">
        <f>IF($Z477="","",IF($Z477&lt;=2000,"",IF($Z477&lt;=4000,IF(INDEX(周转筐出入库明细!$D$4:$D$2004,$Z477-2000)=0,"",INDEX(周转筐出入库明细!$D$4:$D$2004,$Z477-2000)),IF($Z477&lt;=5200,IF(INDEX(客户自备加工筐明细!$C$4:$C$1203,$Z477-4000)=0,"",INDEX(客户自备加工筐明细!$C$4:$C$1203,$Z477-4000)),IF($Z477&lt;=5800,IF(INDEX(次果筐明细!$D$4:$D$603,$Z477-5200)=0,"",INDEX(次果筐明细!$D$4:$D$603,$Z477-5200)),"")))))</f>
        <v/>
      </c>
      <c r="O477" s="40" t="str">
        <f>IF($Z477="","",IF($Z477&lt;=2000,"",IF($Z477&lt;=4000,IF(N(INDEX(周转筐出入库明细!$J$4:$J$2004,$Z477-2000))+N(INDEX(周转筐出入库明细!$K$4:$K$2004,$Z477-2000))=0,"",N(INDEX(周转筐出入库明细!$J$4:$J$2004,$Z477-2000))+N(INDEX(周转筐出入库明细!$K$4:$K$2004,$Z477-2000))),IF($Z477&lt;=5200,IF(N(INDEX(客户自备加工筐明细!$G$4:$G$1203,$Z477-4000))=0,"",N(INDEX(客户自备加工筐明细!$G$4:$G$1203,$Z477-4000))),IF($Z477&lt;=5800,IF(ISNUMBER(SEARCH("退",INDEX(次果筐明细!$F$4:$F$603,$Z477-5200)&amp;"")),"",IF(N(INDEX(次果筐明细!$G$4:$G$603,$Z477-5200))=0,"",N(INDEX(次果筐明细!$G$4:$G$603,$Z477-5200)))),"")))))</f>
        <v/>
      </c>
      <c r="P477" s="40" t="str">
        <f>IF($Z477="","",IF($Z477&lt;=2000,"",IF($Z477&lt;=4000,IF(N(INDEX(周转筐出入库明细!$I$4:$I$2004,$Z477-2000))=0,"",N(INDEX(周转筐出入库明细!$I$4:$I$2004,$Z477-2000))),IF($Z477&lt;=5200,"",IF($Z477&lt;=5800,IF(ISNUMBER(SEARCH("退",INDEX(次果筐明细!$F$4:$F$603,$Z477-5200)&amp;"")),IF(N(INDEX(次果筐明细!$G$4:$G$603,$Z477-5200))=0,"",N(INDEX(次果筐明细!$G$4:$G$603,$Z477-5200))),""),"")))))</f>
        <v/>
      </c>
      <c r="Q477" s="40" t="str">
        <f>IF($Z477="","",IF($Z477&lt;=2000,"",IF($Z477&lt;=4000,IF(N(INDEX(周转筐出入库明细!$H$4:$H$2004,$Z477-2000))=0,"",N(INDEX(周转筐出入库明细!$H$4:$H$2004,$Z477-2000))),IF($Z477&lt;=5200,IF(N(INDEX(客户自备加工筐明细!$F$4:$F$1203,$Z477-4000))=0,"",N(INDEX(客户自备加工筐明细!$F$4:$F$1203,$Z477-4000))),IF($Z477&lt;=5800,"","")))))</f>
        <v/>
      </c>
      <c r="R477" s="16" t="str">
        <f>IF($Z477="","",IF($Z477&lt;=2000,IF(INDEX(包装物料出入库明细!$O$4:$O$2003,$Z477-0)=0,"",INDEX(包装物料出入库明细!$O$4:$O$2003,$Z477-0)),IF($Z477&lt;=4000,IF(INDEX(周转筐出入库明细!$M$4:$M$2004,$Z477-2000)=0,"",INDEX(周转筐出入库明细!$M$4:$M$2004,$Z477-2000)),IF($Z477&lt;=5200,IF(INDEX(客户自备加工筐明细!$H$4:$H$1203,$Z477-4000)=0,"",INDEX(客户自备加工筐明细!$H$4:$H$1203,$Z477-4000)),IF($Z477&lt;=5800,IF(INDEX(次果筐明细!$H$4:$H$603,$Z477-5200)=0,"",INDEX(次果筐明细!$H$4:$H$603,$Z477-5200)),"")))))</f>
        <v/>
      </c>
      <c r="S477" s="22" t="str">
        <f t="shared" si="23"/>
        <v/>
      </c>
      <c r="Z477" s="10" t="str">
        <f>IFERROR(MATCH(ROW()-3,_自动清单!$CQ$4:$CQ$5803,0),"")</f>
        <v/>
      </c>
    </row>
    <row r="478" spans="1:26">
      <c r="A478" s="24" t="str">
        <f t="shared" si="21"/>
        <v/>
      </c>
      <c r="B478" s="38" t="str">
        <f>IF($Z478="","",IF($Z478&lt;=2000,IF(INDEX(包装物料出入库明细!$B$4:$B$2003,$Z478-0)=0,"",INDEX(包装物料出入库明细!$B$4:$B$2003,$Z478-0)),IF($Z478&lt;=4000,IF(INDEX(周转筐出入库明细!$B$4:$B$2004,$Z478-2000)=0,"",INDEX(周转筐出入库明细!$B$4:$B$2004,$Z478-2000)),IF($Z478&lt;=5200,IF(INDEX(客户自备加工筐明细!$B$4:$B$1203,$Z478-4000)=0,"",INDEX(客户自备加工筐明细!$B$4:$B$1203,$Z478-4000)),IF($Z478&lt;=5800,IF(INDEX(次果筐明细!$B$4:$B$603,$Z478-5200)=0,"",INDEX(次果筐明细!$B$4:$B$603,$Z478-5200)),"")))))</f>
        <v/>
      </c>
      <c r="C478" s="37" t="str">
        <f>IF($Z478="","",IF($Z478&lt;=2000,IF(INDEX(包装物料出入库明细!$D$4:$D$2003,$Z478-0)=0,"",INDEX(包装物料出入库明细!$D$4:$D$2003,$Z478-0)),IF($Z478&lt;=4000,IF(INDEX(周转筐出入库明细!$C$4:$C$2004,$Z478-2000)=0,"",INDEX(周转筐出入库明细!$C$4:$C$2004,$Z478-2000)),IF($Z478&lt;=5200,IF(INDEX(客户自备加工筐明细!$E$4:$E$1203,$Z478-4000)=0,"",INDEX(客户自备加工筐明细!$E$4:$E$1203,$Z478-4000)),IF($Z478&lt;=5800,IF(INDEX(次果筐明细!$C$4:$C$603,$Z478-5200)=0,"",INDEX(次果筐明细!$C$4:$C$603,$Z478-5200)),"")))))</f>
        <v/>
      </c>
      <c r="D478" s="37" t="str">
        <f>IF($Z478="","",IF($Z478&lt;=2000,"包装物料－"&amp;INDEX(包装物料出入库明细!$H$4:$H$2003,$Z478-0),IF($Z478&lt;=4000,"周转筐－"&amp;INDEX(周转筐出入库明细!$F$4:$F$2004,$Z478-2000),IF($Z478&lt;=5200,"客户自备筐－"&amp;INDEX(客户自备加工筐明细!$J$4:$J$1203,$Z478-4000),IF($Z478&lt;=5800,"次果筐/托盘－"&amp;INDEX(次果筐明细!$F$4:$F$603,$Z478-5200),"")))))</f>
        <v/>
      </c>
      <c r="E478" s="24" t="str">
        <f>IF($Z478="","",IF($Z478&lt;=2000,IF(INDEX(包装物料出入库明细!$C$4:$C$2003,$Z478-0)=0,"",INDEX(包装物料出入库明细!$C$4:$C$2003,$Z478-0)),IF($Z478&lt;=4000,IF(INDEX(周转筐出入库明细!$E$4:$E$2004,$Z478-2000)=0,"",INDEX(周转筐出入库明细!$E$4:$E$2004,$Z478-2000)),IF($Z478&lt;=5200,IF(INDEX(客户自备加工筐明细!$D$4:$D$1203,$Z478-4000)=0,"",INDEX(客户自备加工筐明细!$D$4:$D$1203,$Z478-4000)),IF($Z478&lt;=5800,IF(INDEX(次果筐明细!$E$4:$E$603,$Z478-5200)=0,"",INDEX(次果筐明细!$E$4:$E$603,$Z478-5200)),"")))))</f>
        <v/>
      </c>
      <c r="F478" s="24" t="str">
        <f>IF($Z478="","",IF($Z478&lt;=2000,IF(INDEX(包装物料出入库明细!$E$4:$E$2003,$Z478-0)=0,"",INDEX(包装物料出入库明细!$E$4:$E$2003,$Z478-0)),IF($Z478&lt;=4000,IF(INDEX(周转筐出入库明细!$D$4:$D$2004,$Z478-2000)=0,"",INDEX(周转筐出入库明细!$D$4:$D$2004,$Z478-2000)),IF($Z478&lt;=5200,IF(INDEX(客户自备加工筐明细!$C$4:$C$1203,$Z478-4000)=0,"",INDEX(客户自备加工筐明细!$C$4:$C$1203,$Z478-4000)),IF($Z478&lt;=5800,IF(INDEX(次果筐明细!$D$4:$D$603,$Z478-5200)=0,"",INDEX(次果筐明细!$D$4:$D$603,$Z478-5200)),"")))))</f>
        <v/>
      </c>
      <c r="G478" s="24" t="str">
        <f>IF($Z478="","",IF($Z478&lt;=2000,IF(INDEX(包装物料出入库明细!$F$4:$F$2003,$Z478-0)=0,"",INDEX(包装物料出入库明细!$F$4:$F$2003,$Z478-0)),IF($Z478&lt;=4000,"",IF($Z478&lt;=5200,"",IF($Z478&lt;=5800,"","")))))</f>
        <v/>
      </c>
      <c r="H478" s="39" t="str">
        <f>IF($Z478="","",IF($Z478&lt;=2000,IF(INDEX(包装物料出入库明细!$L$4:$L$2003,$Z478-0)=0,"",INDEX(包装物料出入库明细!$L$4:$L$2003,$Z478-0)),IF($Z478&lt;=4000,N(INDEX(周转筐出入库明细!$H$4:$H$2004,$Z478-2000))+N(INDEX(周转筐出入库明细!$I$4:$I$2004,$Z478-2000))+N(INDEX(周转筐出入库明细!$J$4:$J$2004,$Z478-2000))+N(INDEX(周转筐出入库明细!$K$4:$K$2004,$Z478-2000)),IF($Z478&lt;=5200,N(INDEX(客户自备加工筐明细!$F$4:$F$1203,$Z478-4000))+N(INDEX(客户自备加工筐明细!$G$4:$G$1203,$Z478-4000)),IF($Z478&lt;=5800,IF(INDEX(次果筐明细!$G$4:$G$603,$Z478-5200)=0,"",INDEX(次果筐明细!$G$4:$G$603,$Z478-5200)),"")))))</f>
        <v/>
      </c>
      <c r="I478" s="24" t="str">
        <f>IF($Z478="","",IF($Z478&lt;=2000,IF(INDEX(包装物料出入库明细!$G$4:$G$2003,$Z478-0)=0,"",INDEX(包装物料出入库明细!$G$4:$G$2003,$Z478-0)),IF($Z478&lt;=4000,"个",IF($Z478&lt;=5200,"个",IF($Z478&lt;=5800,"个","")))))</f>
        <v/>
      </c>
      <c r="J478" s="30" t="str">
        <f t="shared" si="22"/>
        <v/>
      </c>
      <c r="K478" s="30" t="str">
        <f>IF($Z478="","",IF($Z478&lt;=2000,IF(INDEX(包装物料出入库明细!$N$4:$N$2003,$Z478-0)=0,"",INDEX(包装物料出入库明细!$N$4:$N$2003,$Z478-0)),IF($Z478&lt;=4000,IF(INDEX(周转筐出入库明细!$P$4:$P$2004,$Z478-2000)=0,"",INDEX(周转筐出入库明细!$P$4:$P$2004,$Z478-2000)),IF($Z478&lt;=5200,"",IF($Z478&lt;=5800,N(INDEX(次果筐明细!$L$4:$L$603,$Z478-5200))+N(INDEX(次果筐明细!$J$4:$J$603,$Z478-5200)),"")))))</f>
        <v/>
      </c>
      <c r="L478" s="24" t="str">
        <f>IF($Z478="","",IF($Z478&lt;=2000,IF(INDEX(包装物料出入库明细!$P$4:$P$2003,$Z478-0)=0,"",INDEX(包装物料出入库明细!$P$4:$P$2003,$Z478-0)),IF($Z478&lt;=4000,IF(INDEX(周转筐出入库明细!$Q$4:$Q$2004,$Z478-2000)=0,"",INDEX(周转筐出入库明细!$Q$4:$Q$2004,$Z478-2000)),IF($Z478&lt;=5200,"",IF($Z478&lt;=5800,IF(INDEX(次果筐明细!$M$4:$M$603,$Z478-5200)=0,"",INDEX(次果筐明细!$M$4:$M$603,$Z478-5200)),"")))))</f>
        <v/>
      </c>
      <c r="M478" s="37" t="str">
        <f>IF($Z478="","",IF($Z478&lt;=2000,IF(INDEX(包装物料出入库明细!$R$4:$R$2003,$Z478-0)=0,"",INDEX(包装物料出入库明细!$R$4:$R$2003,$Z478-0)),IF($Z478&lt;=4000,IF(INDEX(周转筐出入库明细!$W$4:$W$2004,$Z478-2000)=0,"",INDEX(周转筐出入库明细!$W$4:$W$2004,$Z478-2000)),IF($Z478&lt;=5200,IF(INDEX(客户自备加工筐明细!$L$4:$L$1203,$Z478-4000)=0,"",INDEX(客户自备加工筐明细!$L$4:$L$1203,$Z478-4000)),IF($Z478&lt;=5800,IF(INDEX(次果筐明细!$P$4:$P$603,$Z478-5200)=0,"",INDEX(次果筐明细!$P$4:$P$603,$Z478-5200)),"")))))</f>
        <v/>
      </c>
      <c r="N478" s="16" t="str">
        <f>IF($Z478="","",IF($Z478&lt;=2000,"",IF($Z478&lt;=4000,IF(INDEX(周转筐出入库明细!$D$4:$D$2004,$Z478-2000)=0,"",INDEX(周转筐出入库明细!$D$4:$D$2004,$Z478-2000)),IF($Z478&lt;=5200,IF(INDEX(客户自备加工筐明细!$C$4:$C$1203,$Z478-4000)=0,"",INDEX(客户自备加工筐明细!$C$4:$C$1203,$Z478-4000)),IF($Z478&lt;=5800,IF(INDEX(次果筐明细!$D$4:$D$603,$Z478-5200)=0,"",INDEX(次果筐明细!$D$4:$D$603,$Z478-5200)),"")))))</f>
        <v/>
      </c>
      <c r="O478" s="40" t="str">
        <f>IF($Z478="","",IF($Z478&lt;=2000,"",IF($Z478&lt;=4000,IF(N(INDEX(周转筐出入库明细!$J$4:$J$2004,$Z478-2000))+N(INDEX(周转筐出入库明细!$K$4:$K$2004,$Z478-2000))=0,"",N(INDEX(周转筐出入库明细!$J$4:$J$2004,$Z478-2000))+N(INDEX(周转筐出入库明细!$K$4:$K$2004,$Z478-2000))),IF($Z478&lt;=5200,IF(N(INDEX(客户自备加工筐明细!$G$4:$G$1203,$Z478-4000))=0,"",N(INDEX(客户自备加工筐明细!$G$4:$G$1203,$Z478-4000))),IF($Z478&lt;=5800,IF(ISNUMBER(SEARCH("退",INDEX(次果筐明细!$F$4:$F$603,$Z478-5200)&amp;"")),"",IF(N(INDEX(次果筐明细!$G$4:$G$603,$Z478-5200))=0,"",N(INDEX(次果筐明细!$G$4:$G$603,$Z478-5200)))),"")))))</f>
        <v/>
      </c>
      <c r="P478" s="40" t="str">
        <f>IF($Z478="","",IF($Z478&lt;=2000,"",IF($Z478&lt;=4000,IF(N(INDEX(周转筐出入库明细!$I$4:$I$2004,$Z478-2000))=0,"",N(INDEX(周转筐出入库明细!$I$4:$I$2004,$Z478-2000))),IF($Z478&lt;=5200,"",IF($Z478&lt;=5800,IF(ISNUMBER(SEARCH("退",INDEX(次果筐明细!$F$4:$F$603,$Z478-5200)&amp;"")),IF(N(INDEX(次果筐明细!$G$4:$G$603,$Z478-5200))=0,"",N(INDEX(次果筐明细!$G$4:$G$603,$Z478-5200))),""),"")))))</f>
        <v/>
      </c>
      <c r="Q478" s="40" t="str">
        <f>IF($Z478="","",IF($Z478&lt;=2000,"",IF($Z478&lt;=4000,IF(N(INDEX(周转筐出入库明细!$H$4:$H$2004,$Z478-2000))=0,"",N(INDEX(周转筐出入库明细!$H$4:$H$2004,$Z478-2000))),IF($Z478&lt;=5200,IF(N(INDEX(客户自备加工筐明细!$F$4:$F$1203,$Z478-4000))=0,"",N(INDEX(客户自备加工筐明细!$F$4:$F$1203,$Z478-4000))),IF($Z478&lt;=5800,"","")))))</f>
        <v/>
      </c>
      <c r="R478" s="16" t="str">
        <f>IF($Z478="","",IF($Z478&lt;=2000,IF(INDEX(包装物料出入库明细!$O$4:$O$2003,$Z478-0)=0,"",INDEX(包装物料出入库明细!$O$4:$O$2003,$Z478-0)),IF($Z478&lt;=4000,IF(INDEX(周转筐出入库明细!$M$4:$M$2004,$Z478-2000)=0,"",INDEX(周转筐出入库明细!$M$4:$M$2004,$Z478-2000)),IF($Z478&lt;=5200,IF(INDEX(客户自备加工筐明细!$H$4:$H$1203,$Z478-4000)=0,"",INDEX(客户自备加工筐明细!$H$4:$H$1203,$Z478-4000)),IF($Z478&lt;=5800,IF(INDEX(次果筐明细!$H$4:$H$603,$Z478-5200)=0,"",INDEX(次果筐明细!$H$4:$H$603,$Z478-5200)),"")))))</f>
        <v/>
      </c>
      <c r="S478" s="22" t="str">
        <f t="shared" si="23"/>
        <v/>
      </c>
      <c r="Z478" s="10" t="str">
        <f>IFERROR(MATCH(ROW()-3,_自动清单!$CQ$4:$CQ$5803,0),"")</f>
        <v/>
      </c>
    </row>
    <row r="479" spans="1:26">
      <c r="A479" s="24" t="str">
        <f t="shared" si="21"/>
        <v/>
      </c>
      <c r="B479" s="38" t="str">
        <f>IF($Z479="","",IF($Z479&lt;=2000,IF(INDEX(包装物料出入库明细!$B$4:$B$2003,$Z479-0)=0,"",INDEX(包装物料出入库明细!$B$4:$B$2003,$Z479-0)),IF($Z479&lt;=4000,IF(INDEX(周转筐出入库明细!$B$4:$B$2004,$Z479-2000)=0,"",INDEX(周转筐出入库明细!$B$4:$B$2004,$Z479-2000)),IF($Z479&lt;=5200,IF(INDEX(客户自备加工筐明细!$B$4:$B$1203,$Z479-4000)=0,"",INDEX(客户自备加工筐明细!$B$4:$B$1203,$Z479-4000)),IF($Z479&lt;=5800,IF(INDEX(次果筐明细!$B$4:$B$603,$Z479-5200)=0,"",INDEX(次果筐明细!$B$4:$B$603,$Z479-5200)),"")))))</f>
        <v/>
      </c>
      <c r="C479" s="37" t="str">
        <f>IF($Z479="","",IF($Z479&lt;=2000,IF(INDEX(包装物料出入库明细!$D$4:$D$2003,$Z479-0)=0,"",INDEX(包装物料出入库明细!$D$4:$D$2003,$Z479-0)),IF($Z479&lt;=4000,IF(INDEX(周转筐出入库明细!$C$4:$C$2004,$Z479-2000)=0,"",INDEX(周转筐出入库明细!$C$4:$C$2004,$Z479-2000)),IF($Z479&lt;=5200,IF(INDEX(客户自备加工筐明细!$E$4:$E$1203,$Z479-4000)=0,"",INDEX(客户自备加工筐明细!$E$4:$E$1203,$Z479-4000)),IF($Z479&lt;=5800,IF(INDEX(次果筐明细!$C$4:$C$603,$Z479-5200)=0,"",INDEX(次果筐明细!$C$4:$C$603,$Z479-5200)),"")))))</f>
        <v/>
      </c>
      <c r="D479" s="37" t="str">
        <f>IF($Z479="","",IF($Z479&lt;=2000,"包装物料－"&amp;INDEX(包装物料出入库明细!$H$4:$H$2003,$Z479-0),IF($Z479&lt;=4000,"周转筐－"&amp;INDEX(周转筐出入库明细!$F$4:$F$2004,$Z479-2000),IF($Z479&lt;=5200,"客户自备筐－"&amp;INDEX(客户自备加工筐明细!$J$4:$J$1203,$Z479-4000),IF($Z479&lt;=5800,"次果筐/托盘－"&amp;INDEX(次果筐明细!$F$4:$F$603,$Z479-5200),"")))))</f>
        <v/>
      </c>
      <c r="E479" s="24" t="str">
        <f>IF($Z479="","",IF($Z479&lt;=2000,IF(INDEX(包装物料出入库明细!$C$4:$C$2003,$Z479-0)=0,"",INDEX(包装物料出入库明细!$C$4:$C$2003,$Z479-0)),IF($Z479&lt;=4000,IF(INDEX(周转筐出入库明细!$E$4:$E$2004,$Z479-2000)=0,"",INDEX(周转筐出入库明细!$E$4:$E$2004,$Z479-2000)),IF($Z479&lt;=5200,IF(INDEX(客户自备加工筐明细!$D$4:$D$1203,$Z479-4000)=0,"",INDEX(客户自备加工筐明细!$D$4:$D$1203,$Z479-4000)),IF($Z479&lt;=5800,IF(INDEX(次果筐明细!$E$4:$E$603,$Z479-5200)=0,"",INDEX(次果筐明细!$E$4:$E$603,$Z479-5200)),"")))))</f>
        <v/>
      </c>
      <c r="F479" s="24" t="str">
        <f>IF($Z479="","",IF($Z479&lt;=2000,IF(INDEX(包装物料出入库明细!$E$4:$E$2003,$Z479-0)=0,"",INDEX(包装物料出入库明细!$E$4:$E$2003,$Z479-0)),IF($Z479&lt;=4000,IF(INDEX(周转筐出入库明细!$D$4:$D$2004,$Z479-2000)=0,"",INDEX(周转筐出入库明细!$D$4:$D$2004,$Z479-2000)),IF($Z479&lt;=5200,IF(INDEX(客户自备加工筐明细!$C$4:$C$1203,$Z479-4000)=0,"",INDEX(客户自备加工筐明细!$C$4:$C$1203,$Z479-4000)),IF($Z479&lt;=5800,IF(INDEX(次果筐明细!$D$4:$D$603,$Z479-5200)=0,"",INDEX(次果筐明细!$D$4:$D$603,$Z479-5200)),"")))))</f>
        <v/>
      </c>
      <c r="G479" s="24" t="str">
        <f>IF($Z479="","",IF($Z479&lt;=2000,IF(INDEX(包装物料出入库明细!$F$4:$F$2003,$Z479-0)=0,"",INDEX(包装物料出入库明细!$F$4:$F$2003,$Z479-0)),IF($Z479&lt;=4000,"",IF($Z479&lt;=5200,"",IF($Z479&lt;=5800,"","")))))</f>
        <v/>
      </c>
      <c r="H479" s="39" t="str">
        <f>IF($Z479="","",IF($Z479&lt;=2000,IF(INDEX(包装物料出入库明细!$L$4:$L$2003,$Z479-0)=0,"",INDEX(包装物料出入库明细!$L$4:$L$2003,$Z479-0)),IF($Z479&lt;=4000,N(INDEX(周转筐出入库明细!$H$4:$H$2004,$Z479-2000))+N(INDEX(周转筐出入库明细!$I$4:$I$2004,$Z479-2000))+N(INDEX(周转筐出入库明细!$J$4:$J$2004,$Z479-2000))+N(INDEX(周转筐出入库明细!$K$4:$K$2004,$Z479-2000)),IF($Z479&lt;=5200,N(INDEX(客户自备加工筐明细!$F$4:$F$1203,$Z479-4000))+N(INDEX(客户自备加工筐明细!$G$4:$G$1203,$Z479-4000)),IF($Z479&lt;=5800,IF(INDEX(次果筐明细!$G$4:$G$603,$Z479-5200)=0,"",INDEX(次果筐明细!$G$4:$G$603,$Z479-5200)),"")))))</f>
        <v/>
      </c>
      <c r="I479" s="24" t="str">
        <f>IF($Z479="","",IF($Z479&lt;=2000,IF(INDEX(包装物料出入库明细!$G$4:$G$2003,$Z479-0)=0,"",INDEX(包装物料出入库明细!$G$4:$G$2003,$Z479-0)),IF($Z479&lt;=4000,"个",IF($Z479&lt;=5200,"个",IF($Z479&lt;=5800,"个","")))))</f>
        <v/>
      </c>
      <c r="J479" s="30" t="str">
        <f t="shared" si="22"/>
        <v/>
      </c>
      <c r="K479" s="30" t="str">
        <f>IF($Z479="","",IF($Z479&lt;=2000,IF(INDEX(包装物料出入库明细!$N$4:$N$2003,$Z479-0)=0,"",INDEX(包装物料出入库明细!$N$4:$N$2003,$Z479-0)),IF($Z479&lt;=4000,IF(INDEX(周转筐出入库明细!$P$4:$P$2004,$Z479-2000)=0,"",INDEX(周转筐出入库明细!$P$4:$P$2004,$Z479-2000)),IF($Z479&lt;=5200,"",IF($Z479&lt;=5800,N(INDEX(次果筐明细!$L$4:$L$603,$Z479-5200))+N(INDEX(次果筐明细!$J$4:$J$603,$Z479-5200)),"")))))</f>
        <v/>
      </c>
      <c r="L479" s="24" t="str">
        <f>IF($Z479="","",IF($Z479&lt;=2000,IF(INDEX(包装物料出入库明细!$P$4:$P$2003,$Z479-0)=0,"",INDEX(包装物料出入库明细!$P$4:$P$2003,$Z479-0)),IF($Z479&lt;=4000,IF(INDEX(周转筐出入库明细!$Q$4:$Q$2004,$Z479-2000)=0,"",INDEX(周转筐出入库明细!$Q$4:$Q$2004,$Z479-2000)),IF($Z479&lt;=5200,"",IF($Z479&lt;=5800,IF(INDEX(次果筐明细!$M$4:$M$603,$Z479-5200)=0,"",INDEX(次果筐明细!$M$4:$M$603,$Z479-5200)),"")))))</f>
        <v/>
      </c>
      <c r="M479" s="37" t="str">
        <f>IF($Z479="","",IF($Z479&lt;=2000,IF(INDEX(包装物料出入库明细!$R$4:$R$2003,$Z479-0)=0,"",INDEX(包装物料出入库明细!$R$4:$R$2003,$Z479-0)),IF($Z479&lt;=4000,IF(INDEX(周转筐出入库明细!$W$4:$W$2004,$Z479-2000)=0,"",INDEX(周转筐出入库明细!$W$4:$W$2004,$Z479-2000)),IF($Z479&lt;=5200,IF(INDEX(客户自备加工筐明细!$L$4:$L$1203,$Z479-4000)=0,"",INDEX(客户自备加工筐明细!$L$4:$L$1203,$Z479-4000)),IF($Z479&lt;=5800,IF(INDEX(次果筐明细!$P$4:$P$603,$Z479-5200)=0,"",INDEX(次果筐明细!$P$4:$P$603,$Z479-5200)),"")))))</f>
        <v/>
      </c>
      <c r="N479" s="16" t="str">
        <f>IF($Z479="","",IF($Z479&lt;=2000,"",IF($Z479&lt;=4000,IF(INDEX(周转筐出入库明细!$D$4:$D$2004,$Z479-2000)=0,"",INDEX(周转筐出入库明细!$D$4:$D$2004,$Z479-2000)),IF($Z479&lt;=5200,IF(INDEX(客户自备加工筐明细!$C$4:$C$1203,$Z479-4000)=0,"",INDEX(客户自备加工筐明细!$C$4:$C$1203,$Z479-4000)),IF($Z479&lt;=5800,IF(INDEX(次果筐明细!$D$4:$D$603,$Z479-5200)=0,"",INDEX(次果筐明细!$D$4:$D$603,$Z479-5200)),"")))))</f>
        <v/>
      </c>
      <c r="O479" s="40" t="str">
        <f>IF($Z479="","",IF($Z479&lt;=2000,"",IF($Z479&lt;=4000,IF(N(INDEX(周转筐出入库明细!$J$4:$J$2004,$Z479-2000))+N(INDEX(周转筐出入库明细!$K$4:$K$2004,$Z479-2000))=0,"",N(INDEX(周转筐出入库明细!$J$4:$J$2004,$Z479-2000))+N(INDEX(周转筐出入库明细!$K$4:$K$2004,$Z479-2000))),IF($Z479&lt;=5200,IF(N(INDEX(客户自备加工筐明细!$G$4:$G$1203,$Z479-4000))=0,"",N(INDEX(客户自备加工筐明细!$G$4:$G$1203,$Z479-4000))),IF($Z479&lt;=5800,IF(ISNUMBER(SEARCH("退",INDEX(次果筐明细!$F$4:$F$603,$Z479-5200)&amp;"")),"",IF(N(INDEX(次果筐明细!$G$4:$G$603,$Z479-5200))=0,"",N(INDEX(次果筐明细!$G$4:$G$603,$Z479-5200)))),"")))))</f>
        <v/>
      </c>
      <c r="P479" s="40" t="str">
        <f>IF($Z479="","",IF($Z479&lt;=2000,"",IF($Z479&lt;=4000,IF(N(INDEX(周转筐出入库明细!$I$4:$I$2004,$Z479-2000))=0,"",N(INDEX(周转筐出入库明细!$I$4:$I$2004,$Z479-2000))),IF($Z479&lt;=5200,"",IF($Z479&lt;=5800,IF(ISNUMBER(SEARCH("退",INDEX(次果筐明细!$F$4:$F$603,$Z479-5200)&amp;"")),IF(N(INDEX(次果筐明细!$G$4:$G$603,$Z479-5200))=0,"",N(INDEX(次果筐明细!$G$4:$G$603,$Z479-5200))),""),"")))))</f>
        <v/>
      </c>
      <c r="Q479" s="40" t="str">
        <f>IF($Z479="","",IF($Z479&lt;=2000,"",IF($Z479&lt;=4000,IF(N(INDEX(周转筐出入库明细!$H$4:$H$2004,$Z479-2000))=0,"",N(INDEX(周转筐出入库明细!$H$4:$H$2004,$Z479-2000))),IF($Z479&lt;=5200,IF(N(INDEX(客户自备加工筐明细!$F$4:$F$1203,$Z479-4000))=0,"",N(INDEX(客户自备加工筐明细!$F$4:$F$1203,$Z479-4000))),IF($Z479&lt;=5800,"","")))))</f>
        <v/>
      </c>
      <c r="R479" s="16" t="str">
        <f>IF($Z479="","",IF($Z479&lt;=2000,IF(INDEX(包装物料出入库明细!$O$4:$O$2003,$Z479-0)=0,"",INDEX(包装物料出入库明细!$O$4:$O$2003,$Z479-0)),IF($Z479&lt;=4000,IF(INDEX(周转筐出入库明细!$M$4:$M$2004,$Z479-2000)=0,"",INDEX(周转筐出入库明细!$M$4:$M$2004,$Z479-2000)),IF($Z479&lt;=5200,IF(INDEX(客户自备加工筐明细!$H$4:$H$1203,$Z479-4000)=0,"",INDEX(客户自备加工筐明细!$H$4:$H$1203,$Z479-4000)),IF($Z479&lt;=5800,IF(INDEX(次果筐明细!$H$4:$H$603,$Z479-5200)=0,"",INDEX(次果筐明细!$H$4:$H$603,$Z479-5200)),"")))))</f>
        <v/>
      </c>
      <c r="S479" s="22" t="str">
        <f t="shared" si="23"/>
        <v/>
      </c>
      <c r="Z479" s="10" t="str">
        <f>IFERROR(MATCH(ROW()-3,_自动清单!$CQ$4:$CQ$5803,0),"")</f>
        <v/>
      </c>
    </row>
    <row r="480" spans="1:26">
      <c r="A480" s="24" t="str">
        <f t="shared" si="21"/>
        <v/>
      </c>
      <c r="B480" s="38" t="str">
        <f>IF($Z480="","",IF($Z480&lt;=2000,IF(INDEX(包装物料出入库明细!$B$4:$B$2003,$Z480-0)=0,"",INDEX(包装物料出入库明细!$B$4:$B$2003,$Z480-0)),IF($Z480&lt;=4000,IF(INDEX(周转筐出入库明细!$B$4:$B$2004,$Z480-2000)=0,"",INDEX(周转筐出入库明细!$B$4:$B$2004,$Z480-2000)),IF($Z480&lt;=5200,IF(INDEX(客户自备加工筐明细!$B$4:$B$1203,$Z480-4000)=0,"",INDEX(客户自备加工筐明细!$B$4:$B$1203,$Z480-4000)),IF($Z480&lt;=5800,IF(INDEX(次果筐明细!$B$4:$B$603,$Z480-5200)=0,"",INDEX(次果筐明细!$B$4:$B$603,$Z480-5200)),"")))))</f>
        <v/>
      </c>
      <c r="C480" s="37" t="str">
        <f>IF($Z480="","",IF($Z480&lt;=2000,IF(INDEX(包装物料出入库明细!$D$4:$D$2003,$Z480-0)=0,"",INDEX(包装物料出入库明细!$D$4:$D$2003,$Z480-0)),IF($Z480&lt;=4000,IF(INDEX(周转筐出入库明细!$C$4:$C$2004,$Z480-2000)=0,"",INDEX(周转筐出入库明细!$C$4:$C$2004,$Z480-2000)),IF($Z480&lt;=5200,IF(INDEX(客户自备加工筐明细!$E$4:$E$1203,$Z480-4000)=0,"",INDEX(客户自备加工筐明细!$E$4:$E$1203,$Z480-4000)),IF($Z480&lt;=5800,IF(INDEX(次果筐明细!$C$4:$C$603,$Z480-5200)=0,"",INDEX(次果筐明细!$C$4:$C$603,$Z480-5200)),"")))))</f>
        <v/>
      </c>
      <c r="D480" s="37" t="str">
        <f>IF($Z480="","",IF($Z480&lt;=2000,"包装物料－"&amp;INDEX(包装物料出入库明细!$H$4:$H$2003,$Z480-0),IF($Z480&lt;=4000,"周转筐－"&amp;INDEX(周转筐出入库明细!$F$4:$F$2004,$Z480-2000),IF($Z480&lt;=5200,"客户自备筐－"&amp;INDEX(客户自备加工筐明细!$J$4:$J$1203,$Z480-4000),IF($Z480&lt;=5800,"次果筐/托盘－"&amp;INDEX(次果筐明细!$F$4:$F$603,$Z480-5200),"")))))</f>
        <v/>
      </c>
      <c r="E480" s="24" t="str">
        <f>IF($Z480="","",IF($Z480&lt;=2000,IF(INDEX(包装物料出入库明细!$C$4:$C$2003,$Z480-0)=0,"",INDEX(包装物料出入库明细!$C$4:$C$2003,$Z480-0)),IF($Z480&lt;=4000,IF(INDEX(周转筐出入库明细!$E$4:$E$2004,$Z480-2000)=0,"",INDEX(周转筐出入库明细!$E$4:$E$2004,$Z480-2000)),IF($Z480&lt;=5200,IF(INDEX(客户自备加工筐明细!$D$4:$D$1203,$Z480-4000)=0,"",INDEX(客户自备加工筐明细!$D$4:$D$1203,$Z480-4000)),IF($Z480&lt;=5800,IF(INDEX(次果筐明细!$E$4:$E$603,$Z480-5200)=0,"",INDEX(次果筐明细!$E$4:$E$603,$Z480-5200)),"")))))</f>
        <v/>
      </c>
      <c r="F480" s="24" t="str">
        <f>IF($Z480="","",IF($Z480&lt;=2000,IF(INDEX(包装物料出入库明细!$E$4:$E$2003,$Z480-0)=0,"",INDEX(包装物料出入库明细!$E$4:$E$2003,$Z480-0)),IF($Z480&lt;=4000,IF(INDEX(周转筐出入库明细!$D$4:$D$2004,$Z480-2000)=0,"",INDEX(周转筐出入库明细!$D$4:$D$2004,$Z480-2000)),IF($Z480&lt;=5200,IF(INDEX(客户自备加工筐明细!$C$4:$C$1203,$Z480-4000)=0,"",INDEX(客户自备加工筐明细!$C$4:$C$1203,$Z480-4000)),IF($Z480&lt;=5800,IF(INDEX(次果筐明细!$D$4:$D$603,$Z480-5200)=0,"",INDEX(次果筐明细!$D$4:$D$603,$Z480-5200)),"")))))</f>
        <v/>
      </c>
      <c r="G480" s="24" t="str">
        <f>IF($Z480="","",IF($Z480&lt;=2000,IF(INDEX(包装物料出入库明细!$F$4:$F$2003,$Z480-0)=0,"",INDEX(包装物料出入库明细!$F$4:$F$2003,$Z480-0)),IF($Z480&lt;=4000,"",IF($Z480&lt;=5200,"",IF($Z480&lt;=5800,"","")))))</f>
        <v/>
      </c>
      <c r="H480" s="39" t="str">
        <f>IF($Z480="","",IF($Z480&lt;=2000,IF(INDEX(包装物料出入库明细!$L$4:$L$2003,$Z480-0)=0,"",INDEX(包装物料出入库明细!$L$4:$L$2003,$Z480-0)),IF($Z480&lt;=4000,N(INDEX(周转筐出入库明细!$H$4:$H$2004,$Z480-2000))+N(INDEX(周转筐出入库明细!$I$4:$I$2004,$Z480-2000))+N(INDEX(周转筐出入库明细!$J$4:$J$2004,$Z480-2000))+N(INDEX(周转筐出入库明细!$K$4:$K$2004,$Z480-2000)),IF($Z480&lt;=5200,N(INDEX(客户自备加工筐明细!$F$4:$F$1203,$Z480-4000))+N(INDEX(客户自备加工筐明细!$G$4:$G$1203,$Z480-4000)),IF($Z480&lt;=5800,IF(INDEX(次果筐明细!$G$4:$G$603,$Z480-5200)=0,"",INDEX(次果筐明细!$G$4:$G$603,$Z480-5200)),"")))))</f>
        <v/>
      </c>
      <c r="I480" s="24" t="str">
        <f>IF($Z480="","",IF($Z480&lt;=2000,IF(INDEX(包装物料出入库明细!$G$4:$G$2003,$Z480-0)=0,"",INDEX(包装物料出入库明细!$G$4:$G$2003,$Z480-0)),IF($Z480&lt;=4000,"个",IF($Z480&lt;=5200,"个",IF($Z480&lt;=5800,"个","")))))</f>
        <v/>
      </c>
      <c r="J480" s="30" t="str">
        <f t="shared" si="22"/>
        <v/>
      </c>
      <c r="K480" s="30" t="str">
        <f>IF($Z480="","",IF($Z480&lt;=2000,IF(INDEX(包装物料出入库明细!$N$4:$N$2003,$Z480-0)=0,"",INDEX(包装物料出入库明细!$N$4:$N$2003,$Z480-0)),IF($Z480&lt;=4000,IF(INDEX(周转筐出入库明细!$P$4:$P$2004,$Z480-2000)=0,"",INDEX(周转筐出入库明细!$P$4:$P$2004,$Z480-2000)),IF($Z480&lt;=5200,"",IF($Z480&lt;=5800,N(INDEX(次果筐明细!$L$4:$L$603,$Z480-5200))+N(INDEX(次果筐明细!$J$4:$J$603,$Z480-5200)),"")))))</f>
        <v/>
      </c>
      <c r="L480" s="24" t="str">
        <f>IF($Z480="","",IF($Z480&lt;=2000,IF(INDEX(包装物料出入库明细!$P$4:$P$2003,$Z480-0)=0,"",INDEX(包装物料出入库明细!$P$4:$P$2003,$Z480-0)),IF($Z480&lt;=4000,IF(INDEX(周转筐出入库明细!$Q$4:$Q$2004,$Z480-2000)=0,"",INDEX(周转筐出入库明细!$Q$4:$Q$2004,$Z480-2000)),IF($Z480&lt;=5200,"",IF($Z480&lt;=5800,IF(INDEX(次果筐明细!$M$4:$M$603,$Z480-5200)=0,"",INDEX(次果筐明细!$M$4:$M$603,$Z480-5200)),"")))))</f>
        <v/>
      </c>
      <c r="M480" s="37" t="str">
        <f>IF($Z480="","",IF($Z480&lt;=2000,IF(INDEX(包装物料出入库明细!$R$4:$R$2003,$Z480-0)=0,"",INDEX(包装物料出入库明细!$R$4:$R$2003,$Z480-0)),IF($Z480&lt;=4000,IF(INDEX(周转筐出入库明细!$W$4:$W$2004,$Z480-2000)=0,"",INDEX(周转筐出入库明细!$W$4:$W$2004,$Z480-2000)),IF($Z480&lt;=5200,IF(INDEX(客户自备加工筐明细!$L$4:$L$1203,$Z480-4000)=0,"",INDEX(客户自备加工筐明细!$L$4:$L$1203,$Z480-4000)),IF($Z480&lt;=5800,IF(INDEX(次果筐明细!$P$4:$P$603,$Z480-5200)=0,"",INDEX(次果筐明细!$P$4:$P$603,$Z480-5200)),"")))))</f>
        <v/>
      </c>
      <c r="N480" s="16" t="str">
        <f>IF($Z480="","",IF($Z480&lt;=2000,"",IF($Z480&lt;=4000,IF(INDEX(周转筐出入库明细!$D$4:$D$2004,$Z480-2000)=0,"",INDEX(周转筐出入库明细!$D$4:$D$2004,$Z480-2000)),IF($Z480&lt;=5200,IF(INDEX(客户自备加工筐明细!$C$4:$C$1203,$Z480-4000)=0,"",INDEX(客户自备加工筐明细!$C$4:$C$1203,$Z480-4000)),IF($Z480&lt;=5800,IF(INDEX(次果筐明细!$D$4:$D$603,$Z480-5200)=0,"",INDEX(次果筐明细!$D$4:$D$603,$Z480-5200)),"")))))</f>
        <v/>
      </c>
      <c r="O480" s="40" t="str">
        <f>IF($Z480="","",IF($Z480&lt;=2000,"",IF($Z480&lt;=4000,IF(N(INDEX(周转筐出入库明细!$J$4:$J$2004,$Z480-2000))+N(INDEX(周转筐出入库明细!$K$4:$K$2004,$Z480-2000))=0,"",N(INDEX(周转筐出入库明细!$J$4:$J$2004,$Z480-2000))+N(INDEX(周转筐出入库明细!$K$4:$K$2004,$Z480-2000))),IF($Z480&lt;=5200,IF(N(INDEX(客户自备加工筐明细!$G$4:$G$1203,$Z480-4000))=0,"",N(INDEX(客户自备加工筐明细!$G$4:$G$1203,$Z480-4000))),IF($Z480&lt;=5800,IF(ISNUMBER(SEARCH("退",INDEX(次果筐明细!$F$4:$F$603,$Z480-5200)&amp;"")),"",IF(N(INDEX(次果筐明细!$G$4:$G$603,$Z480-5200))=0,"",N(INDEX(次果筐明细!$G$4:$G$603,$Z480-5200)))),"")))))</f>
        <v/>
      </c>
      <c r="P480" s="40" t="str">
        <f>IF($Z480="","",IF($Z480&lt;=2000,"",IF($Z480&lt;=4000,IF(N(INDEX(周转筐出入库明细!$I$4:$I$2004,$Z480-2000))=0,"",N(INDEX(周转筐出入库明细!$I$4:$I$2004,$Z480-2000))),IF($Z480&lt;=5200,"",IF($Z480&lt;=5800,IF(ISNUMBER(SEARCH("退",INDEX(次果筐明细!$F$4:$F$603,$Z480-5200)&amp;"")),IF(N(INDEX(次果筐明细!$G$4:$G$603,$Z480-5200))=0,"",N(INDEX(次果筐明细!$G$4:$G$603,$Z480-5200))),""),"")))))</f>
        <v/>
      </c>
      <c r="Q480" s="40" t="str">
        <f>IF($Z480="","",IF($Z480&lt;=2000,"",IF($Z480&lt;=4000,IF(N(INDEX(周转筐出入库明细!$H$4:$H$2004,$Z480-2000))=0,"",N(INDEX(周转筐出入库明细!$H$4:$H$2004,$Z480-2000))),IF($Z480&lt;=5200,IF(N(INDEX(客户自备加工筐明细!$F$4:$F$1203,$Z480-4000))=0,"",N(INDEX(客户自备加工筐明细!$F$4:$F$1203,$Z480-4000))),IF($Z480&lt;=5800,"","")))))</f>
        <v/>
      </c>
      <c r="R480" s="16" t="str">
        <f>IF($Z480="","",IF($Z480&lt;=2000,IF(INDEX(包装物料出入库明细!$O$4:$O$2003,$Z480-0)=0,"",INDEX(包装物料出入库明细!$O$4:$O$2003,$Z480-0)),IF($Z480&lt;=4000,IF(INDEX(周转筐出入库明细!$M$4:$M$2004,$Z480-2000)=0,"",INDEX(周转筐出入库明细!$M$4:$M$2004,$Z480-2000)),IF($Z480&lt;=5200,IF(INDEX(客户自备加工筐明细!$H$4:$H$1203,$Z480-4000)=0,"",INDEX(客户自备加工筐明细!$H$4:$H$1203,$Z480-4000)),IF($Z480&lt;=5800,IF(INDEX(次果筐明细!$H$4:$H$603,$Z480-5200)=0,"",INDEX(次果筐明细!$H$4:$H$603,$Z480-5200)),"")))))</f>
        <v/>
      </c>
      <c r="S480" s="22" t="str">
        <f t="shared" si="23"/>
        <v/>
      </c>
      <c r="Z480" s="10" t="str">
        <f>IFERROR(MATCH(ROW()-3,_自动清单!$CQ$4:$CQ$5803,0),"")</f>
        <v/>
      </c>
    </row>
    <row r="481" spans="1:26">
      <c r="A481" s="24" t="str">
        <f t="shared" si="21"/>
        <v/>
      </c>
      <c r="B481" s="38" t="str">
        <f>IF($Z481="","",IF($Z481&lt;=2000,IF(INDEX(包装物料出入库明细!$B$4:$B$2003,$Z481-0)=0,"",INDEX(包装物料出入库明细!$B$4:$B$2003,$Z481-0)),IF($Z481&lt;=4000,IF(INDEX(周转筐出入库明细!$B$4:$B$2004,$Z481-2000)=0,"",INDEX(周转筐出入库明细!$B$4:$B$2004,$Z481-2000)),IF($Z481&lt;=5200,IF(INDEX(客户自备加工筐明细!$B$4:$B$1203,$Z481-4000)=0,"",INDEX(客户自备加工筐明细!$B$4:$B$1203,$Z481-4000)),IF($Z481&lt;=5800,IF(INDEX(次果筐明细!$B$4:$B$603,$Z481-5200)=0,"",INDEX(次果筐明细!$B$4:$B$603,$Z481-5200)),"")))))</f>
        <v/>
      </c>
      <c r="C481" s="37" t="str">
        <f>IF($Z481="","",IF($Z481&lt;=2000,IF(INDEX(包装物料出入库明细!$D$4:$D$2003,$Z481-0)=0,"",INDEX(包装物料出入库明细!$D$4:$D$2003,$Z481-0)),IF($Z481&lt;=4000,IF(INDEX(周转筐出入库明细!$C$4:$C$2004,$Z481-2000)=0,"",INDEX(周转筐出入库明细!$C$4:$C$2004,$Z481-2000)),IF($Z481&lt;=5200,IF(INDEX(客户自备加工筐明细!$E$4:$E$1203,$Z481-4000)=0,"",INDEX(客户自备加工筐明细!$E$4:$E$1203,$Z481-4000)),IF($Z481&lt;=5800,IF(INDEX(次果筐明细!$C$4:$C$603,$Z481-5200)=0,"",INDEX(次果筐明细!$C$4:$C$603,$Z481-5200)),"")))))</f>
        <v/>
      </c>
      <c r="D481" s="37" t="str">
        <f>IF($Z481="","",IF($Z481&lt;=2000,"包装物料－"&amp;INDEX(包装物料出入库明细!$H$4:$H$2003,$Z481-0),IF($Z481&lt;=4000,"周转筐－"&amp;INDEX(周转筐出入库明细!$F$4:$F$2004,$Z481-2000),IF($Z481&lt;=5200,"客户自备筐－"&amp;INDEX(客户自备加工筐明细!$J$4:$J$1203,$Z481-4000),IF($Z481&lt;=5800,"次果筐/托盘－"&amp;INDEX(次果筐明细!$F$4:$F$603,$Z481-5200),"")))))</f>
        <v/>
      </c>
      <c r="E481" s="24" t="str">
        <f>IF($Z481="","",IF($Z481&lt;=2000,IF(INDEX(包装物料出入库明细!$C$4:$C$2003,$Z481-0)=0,"",INDEX(包装物料出入库明细!$C$4:$C$2003,$Z481-0)),IF($Z481&lt;=4000,IF(INDEX(周转筐出入库明细!$E$4:$E$2004,$Z481-2000)=0,"",INDEX(周转筐出入库明细!$E$4:$E$2004,$Z481-2000)),IF($Z481&lt;=5200,IF(INDEX(客户自备加工筐明细!$D$4:$D$1203,$Z481-4000)=0,"",INDEX(客户自备加工筐明细!$D$4:$D$1203,$Z481-4000)),IF($Z481&lt;=5800,IF(INDEX(次果筐明细!$E$4:$E$603,$Z481-5200)=0,"",INDEX(次果筐明细!$E$4:$E$603,$Z481-5200)),"")))))</f>
        <v/>
      </c>
      <c r="F481" s="24" t="str">
        <f>IF($Z481="","",IF($Z481&lt;=2000,IF(INDEX(包装物料出入库明细!$E$4:$E$2003,$Z481-0)=0,"",INDEX(包装物料出入库明细!$E$4:$E$2003,$Z481-0)),IF($Z481&lt;=4000,IF(INDEX(周转筐出入库明细!$D$4:$D$2004,$Z481-2000)=0,"",INDEX(周转筐出入库明细!$D$4:$D$2004,$Z481-2000)),IF($Z481&lt;=5200,IF(INDEX(客户自备加工筐明细!$C$4:$C$1203,$Z481-4000)=0,"",INDEX(客户自备加工筐明细!$C$4:$C$1203,$Z481-4000)),IF($Z481&lt;=5800,IF(INDEX(次果筐明细!$D$4:$D$603,$Z481-5200)=0,"",INDEX(次果筐明细!$D$4:$D$603,$Z481-5200)),"")))))</f>
        <v/>
      </c>
      <c r="G481" s="24" t="str">
        <f>IF($Z481="","",IF($Z481&lt;=2000,IF(INDEX(包装物料出入库明细!$F$4:$F$2003,$Z481-0)=0,"",INDEX(包装物料出入库明细!$F$4:$F$2003,$Z481-0)),IF($Z481&lt;=4000,"",IF($Z481&lt;=5200,"",IF($Z481&lt;=5800,"","")))))</f>
        <v/>
      </c>
      <c r="H481" s="39" t="str">
        <f>IF($Z481="","",IF($Z481&lt;=2000,IF(INDEX(包装物料出入库明细!$L$4:$L$2003,$Z481-0)=0,"",INDEX(包装物料出入库明细!$L$4:$L$2003,$Z481-0)),IF($Z481&lt;=4000,N(INDEX(周转筐出入库明细!$H$4:$H$2004,$Z481-2000))+N(INDEX(周转筐出入库明细!$I$4:$I$2004,$Z481-2000))+N(INDEX(周转筐出入库明细!$J$4:$J$2004,$Z481-2000))+N(INDEX(周转筐出入库明细!$K$4:$K$2004,$Z481-2000)),IF($Z481&lt;=5200,N(INDEX(客户自备加工筐明细!$F$4:$F$1203,$Z481-4000))+N(INDEX(客户自备加工筐明细!$G$4:$G$1203,$Z481-4000)),IF($Z481&lt;=5800,IF(INDEX(次果筐明细!$G$4:$G$603,$Z481-5200)=0,"",INDEX(次果筐明细!$G$4:$G$603,$Z481-5200)),"")))))</f>
        <v/>
      </c>
      <c r="I481" s="24" t="str">
        <f>IF($Z481="","",IF($Z481&lt;=2000,IF(INDEX(包装物料出入库明细!$G$4:$G$2003,$Z481-0)=0,"",INDEX(包装物料出入库明细!$G$4:$G$2003,$Z481-0)),IF($Z481&lt;=4000,"个",IF($Z481&lt;=5200,"个",IF($Z481&lt;=5800,"个","")))))</f>
        <v/>
      </c>
      <c r="J481" s="30" t="str">
        <f t="shared" si="22"/>
        <v/>
      </c>
      <c r="K481" s="30" t="str">
        <f>IF($Z481="","",IF($Z481&lt;=2000,IF(INDEX(包装物料出入库明细!$N$4:$N$2003,$Z481-0)=0,"",INDEX(包装物料出入库明细!$N$4:$N$2003,$Z481-0)),IF($Z481&lt;=4000,IF(INDEX(周转筐出入库明细!$P$4:$P$2004,$Z481-2000)=0,"",INDEX(周转筐出入库明细!$P$4:$P$2004,$Z481-2000)),IF($Z481&lt;=5200,"",IF($Z481&lt;=5800,N(INDEX(次果筐明细!$L$4:$L$603,$Z481-5200))+N(INDEX(次果筐明细!$J$4:$J$603,$Z481-5200)),"")))))</f>
        <v/>
      </c>
      <c r="L481" s="24" t="str">
        <f>IF($Z481="","",IF($Z481&lt;=2000,IF(INDEX(包装物料出入库明细!$P$4:$P$2003,$Z481-0)=0,"",INDEX(包装物料出入库明细!$P$4:$P$2003,$Z481-0)),IF($Z481&lt;=4000,IF(INDEX(周转筐出入库明细!$Q$4:$Q$2004,$Z481-2000)=0,"",INDEX(周转筐出入库明细!$Q$4:$Q$2004,$Z481-2000)),IF($Z481&lt;=5200,"",IF($Z481&lt;=5800,IF(INDEX(次果筐明细!$M$4:$M$603,$Z481-5200)=0,"",INDEX(次果筐明细!$M$4:$M$603,$Z481-5200)),"")))))</f>
        <v/>
      </c>
      <c r="M481" s="37" t="str">
        <f>IF($Z481="","",IF($Z481&lt;=2000,IF(INDEX(包装物料出入库明细!$R$4:$R$2003,$Z481-0)=0,"",INDEX(包装物料出入库明细!$R$4:$R$2003,$Z481-0)),IF($Z481&lt;=4000,IF(INDEX(周转筐出入库明细!$W$4:$W$2004,$Z481-2000)=0,"",INDEX(周转筐出入库明细!$W$4:$W$2004,$Z481-2000)),IF($Z481&lt;=5200,IF(INDEX(客户自备加工筐明细!$L$4:$L$1203,$Z481-4000)=0,"",INDEX(客户自备加工筐明细!$L$4:$L$1203,$Z481-4000)),IF($Z481&lt;=5800,IF(INDEX(次果筐明细!$P$4:$P$603,$Z481-5200)=0,"",INDEX(次果筐明细!$P$4:$P$603,$Z481-5200)),"")))))</f>
        <v/>
      </c>
      <c r="N481" s="16" t="str">
        <f>IF($Z481="","",IF($Z481&lt;=2000,"",IF($Z481&lt;=4000,IF(INDEX(周转筐出入库明细!$D$4:$D$2004,$Z481-2000)=0,"",INDEX(周转筐出入库明细!$D$4:$D$2004,$Z481-2000)),IF($Z481&lt;=5200,IF(INDEX(客户自备加工筐明细!$C$4:$C$1203,$Z481-4000)=0,"",INDEX(客户自备加工筐明细!$C$4:$C$1203,$Z481-4000)),IF($Z481&lt;=5800,IF(INDEX(次果筐明细!$D$4:$D$603,$Z481-5200)=0,"",INDEX(次果筐明细!$D$4:$D$603,$Z481-5200)),"")))))</f>
        <v/>
      </c>
      <c r="O481" s="40" t="str">
        <f>IF($Z481="","",IF($Z481&lt;=2000,"",IF($Z481&lt;=4000,IF(N(INDEX(周转筐出入库明细!$J$4:$J$2004,$Z481-2000))+N(INDEX(周转筐出入库明细!$K$4:$K$2004,$Z481-2000))=0,"",N(INDEX(周转筐出入库明细!$J$4:$J$2004,$Z481-2000))+N(INDEX(周转筐出入库明细!$K$4:$K$2004,$Z481-2000))),IF($Z481&lt;=5200,IF(N(INDEX(客户自备加工筐明细!$G$4:$G$1203,$Z481-4000))=0,"",N(INDEX(客户自备加工筐明细!$G$4:$G$1203,$Z481-4000))),IF($Z481&lt;=5800,IF(ISNUMBER(SEARCH("退",INDEX(次果筐明细!$F$4:$F$603,$Z481-5200)&amp;"")),"",IF(N(INDEX(次果筐明细!$G$4:$G$603,$Z481-5200))=0,"",N(INDEX(次果筐明细!$G$4:$G$603,$Z481-5200)))),"")))))</f>
        <v/>
      </c>
      <c r="P481" s="40" t="str">
        <f>IF($Z481="","",IF($Z481&lt;=2000,"",IF($Z481&lt;=4000,IF(N(INDEX(周转筐出入库明细!$I$4:$I$2004,$Z481-2000))=0,"",N(INDEX(周转筐出入库明细!$I$4:$I$2004,$Z481-2000))),IF($Z481&lt;=5200,"",IF($Z481&lt;=5800,IF(ISNUMBER(SEARCH("退",INDEX(次果筐明细!$F$4:$F$603,$Z481-5200)&amp;"")),IF(N(INDEX(次果筐明细!$G$4:$G$603,$Z481-5200))=0,"",N(INDEX(次果筐明细!$G$4:$G$603,$Z481-5200))),""),"")))))</f>
        <v/>
      </c>
      <c r="Q481" s="40" t="str">
        <f>IF($Z481="","",IF($Z481&lt;=2000,"",IF($Z481&lt;=4000,IF(N(INDEX(周转筐出入库明细!$H$4:$H$2004,$Z481-2000))=0,"",N(INDEX(周转筐出入库明细!$H$4:$H$2004,$Z481-2000))),IF($Z481&lt;=5200,IF(N(INDEX(客户自备加工筐明细!$F$4:$F$1203,$Z481-4000))=0,"",N(INDEX(客户自备加工筐明细!$F$4:$F$1203,$Z481-4000))),IF($Z481&lt;=5800,"","")))))</f>
        <v/>
      </c>
      <c r="R481" s="16" t="str">
        <f>IF($Z481="","",IF($Z481&lt;=2000,IF(INDEX(包装物料出入库明细!$O$4:$O$2003,$Z481-0)=0,"",INDEX(包装物料出入库明细!$O$4:$O$2003,$Z481-0)),IF($Z481&lt;=4000,IF(INDEX(周转筐出入库明细!$M$4:$M$2004,$Z481-2000)=0,"",INDEX(周转筐出入库明细!$M$4:$M$2004,$Z481-2000)),IF($Z481&lt;=5200,IF(INDEX(客户自备加工筐明细!$H$4:$H$1203,$Z481-4000)=0,"",INDEX(客户自备加工筐明细!$H$4:$H$1203,$Z481-4000)),IF($Z481&lt;=5800,IF(INDEX(次果筐明细!$H$4:$H$603,$Z481-5200)=0,"",INDEX(次果筐明细!$H$4:$H$603,$Z481-5200)),"")))))</f>
        <v/>
      </c>
      <c r="S481" s="22" t="str">
        <f t="shared" si="23"/>
        <v/>
      </c>
      <c r="Z481" s="10" t="str">
        <f>IFERROR(MATCH(ROW()-3,_自动清单!$CQ$4:$CQ$5803,0),"")</f>
        <v/>
      </c>
    </row>
    <row r="482" spans="1:26">
      <c r="A482" s="24" t="str">
        <f t="shared" si="21"/>
        <v/>
      </c>
      <c r="B482" s="38" t="str">
        <f>IF($Z482="","",IF($Z482&lt;=2000,IF(INDEX(包装物料出入库明细!$B$4:$B$2003,$Z482-0)=0,"",INDEX(包装物料出入库明细!$B$4:$B$2003,$Z482-0)),IF($Z482&lt;=4000,IF(INDEX(周转筐出入库明细!$B$4:$B$2004,$Z482-2000)=0,"",INDEX(周转筐出入库明细!$B$4:$B$2004,$Z482-2000)),IF($Z482&lt;=5200,IF(INDEX(客户自备加工筐明细!$B$4:$B$1203,$Z482-4000)=0,"",INDEX(客户自备加工筐明细!$B$4:$B$1203,$Z482-4000)),IF($Z482&lt;=5800,IF(INDEX(次果筐明细!$B$4:$B$603,$Z482-5200)=0,"",INDEX(次果筐明细!$B$4:$B$603,$Z482-5200)),"")))))</f>
        <v/>
      </c>
      <c r="C482" s="37" t="str">
        <f>IF($Z482="","",IF($Z482&lt;=2000,IF(INDEX(包装物料出入库明细!$D$4:$D$2003,$Z482-0)=0,"",INDEX(包装物料出入库明细!$D$4:$D$2003,$Z482-0)),IF($Z482&lt;=4000,IF(INDEX(周转筐出入库明细!$C$4:$C$2004,$Z482-2000)=0,"",INDEX(周转筐出入库明细!$C$4:$C$2004,$Z482-2000)),IF($Z482&lt;=5200,IF(INDEX(客户自备加工筐明细!$E$4:$E$1203,$Z482-4000)=0,"",INDEX(客户自备加工筐明细!$E$4:$E$1203,$Z482-4000)),IF($Z482&lt;=5800,IF(INDEX(次果筐明细!$C$4:$C$603,$Z482-5200)=0,"",INDEX(次果筐明细!$C$4:$C$603,$Z482-5200)),"")))))</f>
        <v/>
      </c>
      <c r="D482" s="37" t="str">
        <f>IF($Z482="","",IF($Z482&lt;=2000,"包装物料－"&amp;INDEX(包装物料出入库明细!$H$4:$H$2003,$Z482-0),IF($Z482&lt;=4000,"周转筐－"&amp;INDEX(周转筐出入库明细!$F$4:$F$2004,$Z482-2000),IF($Z482&lt;=5200,"客户自备筐－"&amp;INDEX(客户自备加工筐明细!$J$4:$J$1203,$Z482-4000),IF($Z482&lt;=5800,"次果筐/托盘－"&amp;INDEX(次果筐明细!$F$4:$F$603,$Z482-5200),"")))))</f>
        <v/>
      </c>
      <c r="E482" s="24" t="str">
        <f>IF($Z482="","",IF($Z482&lt;=2000,IF(INDEX(包装物料出入库明细!$C$4:$C$2003,$Z482-0)=0,"",INDEX(包装物料出入库明细!$C$4:$C$2003,$Z482-0)),IF($Z482&lt;=4000,IF(INDEX(周转筐出入库明细!$E$4:$E$2004,$Z482-2000)=0,"",INDEX(周转筐出入库明细!$E$4:$E$2004,$Z482-2000)),IF($Z482&lt;=5200,IF(INDEX(客户自备加工筐明细!$D$4:$D$1203,$Z482-4000)=0,"",INDEX(客户自备加工筐明细!$D$4:$D$1203,$Z482-4000)),IF($Z482&lt;=5800,IF(INDEX(次果筐明细!$E$4:$E$603,$Z482-5200)=0,"",INDEX(次果筐明细!$E$4:$E$603,$Z482-5200)),"")))))</f>
        <v/>
      </c>
      <c r="F482" s="24" t="str">
        <f>IF($Z482="","",IF($Z482&lt;=2000,IF(INDEX(包装物料出入库明细!$E$4:$E$2003,$Z482-0)=0,"",INDEX(包装物料出入库明细!$E$4:$E$2003,$Z482-0)),IF($Z482&lt;=4000,IF(INDEX(周转筐出入库明细!$D$4:$D$2004,$Z482-2000)=0,"",INDEX(周转筐出入库明细!$D$4:$D$2004,$Z482-2000)),IF($Z482&lt;=5200,IF(INDEX(客户自备加工筐明细!$C$4:$C$1203,$Z482-4000)=0,"",INDEX(客户自备加工筐明细!$C$4:$C$1203,$Z482-4000)),IF($Z482&lt;=5800,IF(INDEX(次果筐明细!$D$4:$D$603,$Z482-5200)=0,"",INDEX(次果筐明细!$D$4:$D$603,$Z482-5200)),"")))))</f>
        <v/>
      </c>
      <c r="G482" s="24" t="str">
        <f>IF($Z482="","",IF($Z482&lt;=2000,IF(INDEX(包装物料出入库明细!$F$4:$F$2003,$Z482-0)=0,"",INDEX(包装物料出入库明细!$F$4:$F$2003,$Z482-0)),IF($Z482&lt;=4000,"",IF($Z482&lt;=5200,"",IF($Z482&lt;=5800,"","")))))</f>
        <v/>
      </c>
      <c r="H482" s="39" t="str">
        <f>IF($Z482="","",IF($Z482&lt;=2000,IF(INDEX(包装物料出入库明细!$L$4:$L$2003,$Z482-0)=0,"",INDEX(包装物料出入库明细!$L$4:$L$2003,$Z482-0)),IF($Z482&lt;=4000,N(INDEX(周转筐出入库明细!$H$4:$H$2004,$Z482-2000))+N(INDEX(周转筐出入库明细!$I$4:$I$2004,$Z482-2000))+N(INDEX(周转筐出入库明细!$J$4:$J$2004,$Z482-2000))+N(INDEX(周转筐出入库明细!$K$4:$K$2004,$Z482-2000)),IF($Z482&lt;=5200,N(INDEX(客户自备加工筐明细!$F$4:$F$1203,$Z482-4000))+N(INDEX(客户自备加工筐明细!$G$4:$G$1203,$Z482-4000)),IF($Z482&lt;=5800,IF(INDEX(次果筐明细!$G$4:$G$603,$Z482-5200)=0,"",INDEX(次果筐明细!$G$4:$G$603,$Z482-5200)),"")))))</f>
        <v/>
      </c>
      <c r="I482" s="24" t="str">
        <f>IF($Z482="","",IF($Z482&lt;=2000,IF(INDEX(包装物料出入库明细!$G$4:$G$2003,$Z482-0)=0,"",INDEX(包装物料出入库明细!$G$4:$G$2003,$Z482-0)),IF($Z482&lt;=4000,"个",IF($Z482&lt;=5200,"个",IF($Z482&lt;=5800,"个","")))))</f>
        <v/>
      </c>
      <c r="J482" s="30" t="str">
        <f t="shared" si="22"/>
        <v/>
      </c>
      <c r="K482" s="30" t="str">
        <f>IF($Z482="","",IF($Z482&lt;=2000,IF(INDEX(包装物料出入库明细!$N$4:$N$2003,$Z482-0)=0,"",INDEX(包装物料出入库明细!$N$4:$N$2003,$Z482-0)),IF($Z482&lt;=4000,IF(INDEX(周转筐出入库明细!$P$4:$P$2004,$Z482-2000)=0,"",INDEX(周转筐出入库明细!$P$4:$P$2004,$Z482-2000)),IF($Z482&lt;=5200,"",IF($Z482&lt;=5800,N(INDEX(次果筐明细!$L$4:$L$603,$Z482-5200))+N(INDEX(次果筐明细!$J$4:$J$603,$Z482-5200)),"")))))</f>
        <v/>
      </c>
      <c r="L482" s="24" t="str">
        <f>IF($Z482="","",IF($Z482&lt;=2000,IF(INDEX(包装物料出入库明细!$P$4:$P$2003,$Z482-0)=0,"",INDEX(包装物料出入库明细!$P$4:$P$2003,$Z482-0)),IF($Z482&lt;=4000,IF(INDEX(周转筐出入库明细!$Q$4:$Q$2004,$Z482-2000)=0,"",INDEX(周转筐出入库明细!$Q$4:$Q$2004,$Z482-2000)),IF($Z482&lt;=5200,"",IF($Z482&lt;=5800,IF(INDEX(次果筐明细!$M$4:$M$603,$Z482-5200)=0,"",INDEX(次果筐明细!$M$4:$M$603,$Z482-5200)),"")))))</f>
        <v/>
      </c>
      <c r="M482" s="37" t="str">
        <f>IF($Z482="","",IF($Z482&lt;=2000,IF(INDEX(包装物料出入库明细!$R$4:$R$2003,$Z482-0)=0,"",INDEX(包装物料出入库明细!$R$4:$R$2003,$Z482-0)),IF($Z482&lt;=4000,IF(INDEX(周转筐出入库明细!$W$4:$W$2004,$Z482-2000)=0,"",INDEX(周转筐出入库明细!$W$4:$W$2004,$Z482-2000)),IF($Z482&lt;=5200,IF(INDEX(客户自备加工筐明细!$L$4:$L$1203,$Z482-4000)=0,"",INDEX(客户自备加工筐明细!$L$4:$L$1203,$Z482-4000)),IF($Z482&lt;=5800,IF(INDEX(次果筐明细!$P$4:$P$603,$Z482-5200)=0,"",INDEX(次果筐明细!$P$4:$P$603,$Z482-5200)),"")))))</f>
        <v/>
      </c>
      <c r="N482" s="16" t="str">
        <f>IF($Z482="","",IF($Z482&lt;=2000,"",IF($Z482&lt;=4000,IF(INDEX(周转筐出入库明细!$D$4:$D$2004,$Z482-2000)=0,"",INDEX(周转筐出入库明细!$D$4:$D$2004,$Z482-2000)),IF($Z482&lt;=5200,IF(INDEX(客户自备加工筐明细!$C$4:$C$1203,$Z482-4000)=0,"",INDEX(客户自备加工筐明细!$C$4:$C$1203,$Z482-4000)),IF($Z482&lt;=5800,IF(INDEX(次果筐明细!$D$4:$D$603,$Z482-5200)=0,"",INDEX(次果筐明细!$D$4:$D$603,$Z482-5200)),"")))))</f>
        <v/>
      </c>
      <c r="O482" s="40" t="str">
        <f>IF($Z482="","",IF($Z482&lt;=2000,"",IF($Z482&lt;=4000,IF(N(INDEX(周转筐出入库明细!$J$4:$J$2004,$Z482-2000))+N(INDEX(周转筐出入库明细!$K$4:$K$2004,$Z482-2000))=0,"",N(INDEX(周转筐出入库明细!$J$4:$J$2004,$Z482-2000))+N(INDEX(周转筐出入库明细!$K$4:$K$2004,$Z482-2000))),IF($Z482&lt;=5200,IF(N(INDEX(客户自备加工筐明细!$G$4:$G$1203,$Z482-4000))=0,"",N(INDEX(客户自备加工筐明细!$G$4:$G$1203,$Z482-4000))),IF($Z482&lt;=5800,IF(ISNUMBER(SEARCH("退",INDEX(次果筐明细!$F$4:$F$603,$Z482-5200)&amp;"")),"",IF(N(INDEX(次果筐明细!$G$4:$G$603,$Z482-5200))=0,"",N(INDEX(次果筐明细!$G$4:$G$603,$Z482-5200)))),"")))))</f>
        <v/>
      </c>
      <c r="P482" s="40" t="str">
        <f>IF($Z482="","",IF($Z482&lt;=2000,"",IF($Z482&lt;=4000,IF(N(INDEX(周转筐出入库明细!$I$4:$I$2004,$Z482-2000))=0,"",N(INDEX(周转筐出入库明细!$I$4:$I$2004,$Z482-2000))),IF($Z482&lt;=5200,"",IF($Z482&lt;=5800,IF(ISNUMBER(SEARCH("退",INDEX(次果筐明细!$F$4:$F$603,$Z482-5200)&amp;"")),IF(N(INDEX(次果筐明细!$G$4:$G$603,$Z482-5200))=0,"",N(INDEX(次果筐明细!$G$4:$G$603,$Z482-5200))),""),"")))))</f>
        <v/>
      </c>
      <c r="Q482" s="40" t="str">
        <f>IF($Z482="","",IF($Z482&lt;=2000,"",IF($Z482&lt;=4000,IF(N(INDEX(周转筐出入库明细!$H$4:$H$2004,$Z482-2000))=0,"",N(INDEX(周转筐出入库明细!$H$4:$H$2004,$Z482-2000))),IF($Z482&lt;=5200,IF(N(INDEX(客户自备加工筐明细!$F$4:$F$1203,$Z482-4000))=0,"",N(INDEX(客户自备加工筐明细!$F$4:$F$1203,$Z482-4000))),IF($Z482&lt;=5800,"","")))))</f>
        <v/>
      </c>
      <c r="R482" s="16" t="str">
        <f>IF($Z482="","",IF($Z482&lt;=2000,IF(INDEX(包装物料出入库明细!$O$4:$O$2003,$Z482-0)=0,"",INDEX(包装物料出入库明细!$O$4:$O$2003,$Z482-0)),IF($Z482&lt;=4000,IF(INDEX(周转筐出入库明细!$M$4:$M$2004,$Z482-2000)=0,"",INDEX(周转筐出入库明细!$M$4:$M$2004,$Z482-2000)),IF($Z482&lt;=5200,IF(INDEX(客户自备加工筐明细!$H$4:$H$1203,$Z482-4000)=0,"",INDEX(客户自备加工筐明细!$H$4:$H$1203,$Z482-4000)),IF($Z482&lt;=5800,IF(INDEX(次果筐明细!$H$4:$H$603,$Z482-5200)=0,"",INDEX(次果筐明细!$H$4:$H$603,$Z482-5200)),"")))))</f>
        <v/>
      </c>
      <c r="S482" s="22" t="str">
        <f t="shared" si="23"/>
        <v/>
      </c>
      <c r="Z482" s="10" t="str">
        <f>IFERROR(MATCH(ROW()-3,_自动清单!$CQ$4:$CQ$5803,0),"")</f>
        <v/>
      </c>
    </row>
    <row r="483" spans="1:26">
      <c r="A483" s="24" t="str">
        <f t="shared" si="21"/>
        <v/>
      </c>
      <c r="B483" s="38" t="str">
        <f>IF($Z483="","",IF($Z483&lt;=2000,IF(INDEX(包装物料出入库明细!$B$4:$B$2003,$Z483-0)=0,"",INDEX(包装物料出入库明细!$B$4:$B$2003,$Z483-0)),IF($Z483&lt;=4000,IF(INDEX(周转筐出入库明细!$B$4:$B$2004,$Z483-2000)=0,"",INDEX(周转筐出入库明细!$B$4:$B$2004,$Z483-2000)),IF($Z483&lt;=5200,IF(INDEX(客户自备加工筐明细!$B$4:$B$1203,$Z483-4000)=0,"",INDEX(客户自备加工筐明细!$B$4:$B$1203,$Z483-4000)),IF($Z483&lt;=5800,IF(INDEX(次果筐明细!$B$4:$B$603,$Z483-5200)=0,"",INDEX(次果筐明细!$B$4:$B$603,$Z483-5200)),"")))))</f>
        <v/>
      </c>
      <c r="C483" s="37" t="str">
        <f>IF($Z483="","",IF($Z483&lt;=2000,IF(INDEX(包装物料出入库明细!$D$4:$D$2003,$Z483-0)=0,"",INDEX(包装物料出入库明细!$D$4:$D$2003,$Z483-0)),IF($Z483&lt;=4000,IF(INDEX(周转筐出入库明细!$C$4:$C$2004,$Z483-2000)=0,"",INDEX(周转筐出入库明细!$C$4:$C$2004,$Z483-2000)),IF($Z483&lt;=5200,IF(INDEX(客户自备加工筐明细!$E$4:$E$1203,$Z483-4000)=0,"",INDEX(客户自备加工筐明细!$E$4:$E$1203,$Z483-4000)),IF($Z483&lt;=5800,IF(INDEX(次果筐明细!$C$4:$C$603,$Z483-5200)=0,"",INDEX(次果筐明细!$C$4:$C$603,$Z483-5200)),"")))))</f>
        <v/>
      </c>
      <c r="D483" s="37" t="str">
        <f>IF($Z483="","",IF($Z483&lt;=2000,"包装物料－"&amp;INDEX(包装物料出入库明细!$H$4:$H$2003,$Z483-0),IF($Z483&lt;=4000,"周转筐－"&amp;INDEX(周转筐出入库明细!$F$4:$F$2004,$Z483-2000),IF($Z483&lt;=5200,"客户自备筐－"&amp;INDEX(客户自备加工筐明细!$J$4:$J$1203,$Z483-4000),IF($Z483&lt;=5800,"次果筐/托盘－"&amp;INDEX(次果筐明细!$F$4:$F$603,$Z483-5200),"")))))</f>
        <v/>
      </c>
      <c r="E483" s="24" t="str">
        <f>IF($Z483="","",IF($Z483&lt;=2000,IF(INDEX(包装物料出入库明细!$C$4:$C$2003,$Z483-0)=0,"",INDEX(包装物料出入库明细!$C$4:$C$2003,$Z483-0)),IF($Z483&lt;=4000,IF(INDEX(周转筐出入库明细!$E$4:$E$2004,$Z483-2000)=0,"",INDEX(周转筐出入库明细!$E$4:$E$2004,$Z483-2000)),IF($Z483&lt;=5200,IF(INDEX(客户自备加工筐明细!$D$4:$D$1203,$Z483-4000)=0,"",INDEX(客户自备加工筐明细!$D$4:$D$1203,$Z483-4000)),IF($Z483&lt;=5800,IF(INDEX(次果筐明细!$E$4:$E$603,$Z483-5200)=0,"",INDEX(次果筐明细!$E$4:$E$603,$Z483-5200)),"")))))</f>
        <v/>
      </c>
      <c r="F483" s="24" t="str">
        <f>IF($Z483="","",IF($Z483&lt;=2000,IF(INDEX(包装物料出入库明细!$E$4:$E$2003,$Z483-0)=0,"",INDEX(包装物料出入库明细!$E$4:$E$2003,$Z483-0)),IF($Z483&lt;=4000,IF(INDEX(周转筐出入库明细!$D$4:$D$2004,$Z483-2000)=0,"",INDEX(周转筐出入库明细!$D$4:$D$2004,$Z483-2000)),IF($Z483&lt;=5200,IF(INDEX(客户自备加工筐明细!$C$4:$C$1203,$Z483-4000)=0,"",INDEX(客户自备加工筐明细!$C$4:$C$1203,$Z483-4000)),IF($Z483&lt;=5800,IF(INDEX(次果筐明细!$D$4:$D$603,$Z483-5200)=0,"",INDEX(次果筐明细!$D$4:$D$603,$Z483-5200)),"")))))</f>
        <v/>
      </c>
      <c r="G483" s="24" t="str">
        <f>IF($Z483="","",IF($Z483&lt;=2000,IF(INDEX(包装物料出入库明细!$F$4:$F$2003,$Z483-0)=0,"",INDEX(包装物料出入库明细!$F$4:$F$2003,$Z483-0)),IF($Z483&lt;=4000,"",IF($Z483&lt;=5200,"",IF($Z483&lt;=5800,"","")))))</f>
        <v/>
      </c>
      <c r="H483" s="39" t="str">
        <f>IF($Z483="","",IF($Z483&lt;=2000,IF(INDEX(包装物料出入库明细!$L$4:$L$2003,$Z483-0)=0,"",INDEX(包装物料出入库明细!$L$4:$L$2003,$Z483-0)),IF($Z483&lt;=4000,N(INDEX(周转筐出入库明细!$H$4:$H$2004,$Z483-2000))+N(INDEX(周转筐出入库明细!$I$4:$I$2004,$Z483-2000))+N(INDEX(周转筐出入库明细!$J$4:$J$2004,$Z483-2000))+N(INDEX(周转筐出入库明细!$K$4:$K$2004,$Z483-2000)),IF($Z483&lt;=5200,N(INDEX(客户自备加工筐明细!$F$4:$F$1203,$Z483-4000))+N(INDEX(客户自备加工筐明细!$G$4:$G$1203,$Z483-4000)),IF($Z483&lt;=5800,IF(INDEX(次果筐明细!$G$4:$G$603,$Z483-5200)=0,"",INDEX(次果筐明细!$G$4:$G$603,$Z483-5200)),"")))))</f>
        <v/>
      </c>
      <c r="I483" s="24" t="str">
        <f>IF($Z483="","",IF($Z483&lt;=2000,IF(INDEX(包装物料出入库明细!$G$4:$G$2003,$Z483-0)=0,"",INDEX(包装物料出入库明细!$G$4:$G$2003,$Z483-0)),IF($Z483&lt;=4000,"个",IF($Z483&lt;=5200,"个",IF($Z483&lt;=5800,"个","")))))</f>
        <v/>
      </c>
      <c r="J483" s="30" t="str">
        <f t="shared" si="22"/>
        <v/>
      </c>
      <c r="K483" s="30" t="str">
        <f>IF($Z483="","",IF($Z483&lt;=2000,IF(INDEX(包装物料出入库明细!$N$4:$N$2003,$Z483-0)=0,"",INDEX(包装物料出入库明细!$N$4:$N$2003,$Z483-0)),IF($Z483&lt;=4000,IF(INDEX(周转筐出入库明细!$P$4:$P$2004,$Z483-2000)=0,"",INDEX(周转筐出入库明细!$P$4:$P$2004,$Z483-2000)),IF($Z483&lt;=5200,"",IF($Z483&lt;=5800,N(INDEX(次果筐明细!$L$4:$L$603,$Z483-5200))+N(INDEX(次果筐明细!$J$4:$J$603,$Z483-5200)),"")))))</f>
        <v/>
      </c>
      <c r="L483" s="24" t="str">
        <f>IF($Z483="","",IF($Z483&lt;=2000,IF(INDEX(包装物料出入库明细!$P$4:$P$2003,$Z483-0)=0,"",INDEX(包装物料出入库明细!$P$4:$P$2003,$Z483-0)),IF($Z483&lt;=4000,IF(INDEX(周转筐出入库明细!$Q$4:$Q$2004,$Z483-2000)=0,"",INDEX(周转筐出入库明细!$Q$4:$Q$2004,$Z483-2000)),IF($Z483&lt;=5200,"",IF($Z483&lt;=5800,IF(INDEX(次果筐明细!$M$4:$M$603,$Z483-5200)=0,"",INDEX(次果筐明细!$M$4:$M$603,$Z483-5200)),"")))))</f>
        <v/>
      </c>
      <c r="M483" s="37" t="str">
        <f>IF($Z483="","",IF($Z483&lt;=2000,IF(INDEX(包装物料出入库明细!$R$4:$R$2003,$Z483-0)=0,"",INDEX(包装物料出入库明细!$R$4:$R$2003,$Z483-0)),IF($Z483&lt;=4000,IF(INDEX(周转筐出入库明细!$W$4:$W$2004,$Z483-2000)=0,"",INDEX(周转筐出入库明细!$W$4:$W$2004,$Z483-2000)),IF($Z483&lt;=5200,IF(INDEX(客户自备加工筐明细!$L$4:$L$1203,$Z483-4000)=0,"",INDEX(客户自备加工筐明细!$L$4:$L$1203,$Z483-4000)),IF($Z483&lt;=5800,IF(INDEX(次果筐明细!$P$4:$P$603,$Z483-5200)=0,"",INDEX(次果筐明细!$P$4:$P$603,$Z483-5200)),"")))))</f>
        <v/>
      </c>
      <c r="N483" s="16" t="str">
        <f>IF($Z483="","",IF($Z483&lt;=2000,"",IF($Z483&lt;=4000,IF(INDEX(周转筐出入库明细!$D$4:$D$2004,$Z483-2000)=0,"",INDEX(周转筐出入库明细!$D$4:$D$2004,$Z483-2000)),IF($Z483&lt;=5200,IF(INDEX(客户自备加工筐明细!$C$4:$C$1203,$Z483-4000)=0,"",INDEX(客户自备加工筐明细!$C$4:$C$1203,$Z483-4000)),IF($Z483&lt;=5800,IF(INDEX(次果筐明细!$D$4:$D$603,$Z483-5200)=0,"",INDEX(次果筐明细!$D$4:$D$603,$Z483-5200)),"")))))</f>
        <v/>
      </c>
      <c r="O483" s="40" t="str">
        <f>IF($Z483="","",IF($Z483&lt;=2000,"",IF($Z483&lt;=4000,IF(N(INDEX(周转筐出入库明细!$J$4:$J$2004,$Z483-2000))+N(INDEX(周转筐出入库明细!$K$4:$K$2004,$Z483-2000))=0,"",N(INDEX(周转筐出入库明细!$J$4:$J$2004,$Z483-2000))+N(INDEX(周转筐出入库明细!$K$4:$K$2004,$Z483-2000))),IF($Z483&lt;=5200,IF(N(INDEX(客户自备加工筐明细!$G$4:$G$1203,$Z483-4000))=0,"",N(INDEX(客户自备加工筐明细!$G$4:$G$1203,$Z483-4000))),IF($Z483&lt;=5800,IF(ISNUMBER(SEARCH("退",INDEX(次果筐明细!$F$4:$F$603,$Z483-5200)&amp;"")),"",IF(N(INDEX(次果筐明细!$G$4:$G$603,$Z483-5200))=0,"",N(INDEX(次果筐明细!$G$4:$G$603,$Z483-5200)))),"")))))</f>
        <v/>
      </c>
      <c r="P483" s="40" t="str">
        <f>IF($Z483="","",IF($Z483&lt;=2000,"",IF($Z483&lt;=4000,IF(N(INDEX(周转筐出入库明细!$I$4:$I$2004,$Z483-2000))=0,"",N(INDEX(周转筐出入库明细!$I$4:$I$2004,$Z483-2000))),IF($Z483&lt;=5200,"",IF($Z483&lt;=5800,IF(ISNUMBER(SEARCH("退",INDEX(次果筐明细!$F$4:$F$603,$Z483-5200)&amp;"")),IF(N(INDEX(次果筐明细!$G$4:$G$603,$Z483-5200))=0,"",N(INDEX(次果筐明细!$G$4:$G$603,$Z483-5200))),""),"")))))</f>
        <v/>
      </c>
      <c r="Q483" s="40" t="str">
        <f>IF($Z483="","",IF($Z483&lt;=2000,"",IF($Z483&lt;=4000,IF(N(INDEX(周转筐出入库明细!$H$4:$H$2004,$Z483-2000))=0,"",N(INDEX(周转筐出入库明细!$H$4:$H$2004,$Z483-2000))),IF($Z483&lt;=5200,IF(N(INDEX(客户自备加工筐明细!$F$4:$F$1203,$Z483-4000))=0,"",N(INDEX(客户自备加工筐明细!$F$4:$F$1203,$Z483-4000))),IF($Z483&lt;=5800,"","")))))</f>
        <v/>
      </c>
      <c r="R483" s="16" t="str">
        <f>IF($Z483="","",IF($Z483&lt;=2000,IF(INDEX(包装物料出入库明细!$O$4:$O$2003,$Z483-0)=0,"",INDEX(包装物料出入库明细!$O$4:$O$2003,$Z483-0)),IF($Z483&lt;=4000,IF(INDEX(周转筐出入库明细!$M$4:$M$2004,$Z483-2000)=0,"",INDEX(周转筐出入库明细!$M$4:$M$2004,$Z483-2000)),IF($Z483&lt;=5200,IF(INDEX(客户自备加工筐明细!$H$4:$H$1203,$Z483-4000)=0,"",INDEX(客户自备加工筐明细!$H$4:$H$1203,$Z483-4000)),IF($Z483&lt;=5800,IF(INDEX(次果筐明细!$H$4:$H$603,$Z483-5200)=0,"",INDEX(次果筐明细!$H$4:$H$603,$Z483-5200)),"")))))</f>
        <v/>
      </c>
      <c r="S483" s="22" t="str">
        <f t="shared" si="23"/>
        <v/>
      </c>
      <c r="Z483" s="10" t="str">
        <f>IFERROR(MATCH(ROW()-3,_自动清单!$CQ$4:$CQ$5803,0),"")</f>
        <v/>
      </c>
    </row>
    <row r="484" spans="1:26">
      <c r="A484" s="24" t="str">
        <f t="shared" si="21"/>
        <v/>
      </c>
      <c r="B484" s="38" t="str">
        <f>IF($Z484="","",IF($Z484&lt;=2000,IF(INDEX(包装物料出入库明细!$B$4:$B$2003,$Z484-0)=0,"",INDEX(包装物料出入库明细!$B$4:$B$2003,$Z484-0)),IF($Z484&lt;=4000,IF(INDEX(周转筐出入库明细!$B$4:$B$2004,$Z484-2000)=0,"",INDEX(周转筐出入库明细!$B$4:$B$2004,$Z484-2000)),IF($Z484&lt;=5200,IF(INDEX(客户自备加工筐明细!$B$4:$B$1203,$Z484-4000)=0,"",INDEX(客户自备加工筐明细!$B$4:$B$1203,$Z484-4000)),IF($Z484&lt;=5800,IF(INDEX(次果筐明细!$B$4:$B$603,$Z484-5200)=0,"",INDEX(次果筐明细!$B$4:$B$603,$Z484-5200)),"")))))</f>
        <v/>
      </c>
      <c r="C484" s="37" t="str">
        <f>IF($Z484="","",IF($Z484&lt;=2000,IF(INDEX(包装物料出入库明细!$D$4:$D$2003,$Z484-0)=0,"",INDEX(包装物料出入库明细!$D$4:$D$2003,$Z484-0)),IF($Z484&lt;=4000,IF(INDEX(周转筐出入库明细!$C$4:$C$2004,$Z484-2000)=0,"",INDEX(周转筐出入库明细!$C$4:$C$2004,$Z484-2000)),IF($Z484&lt;=5200,IF(INDEX(客户自备加工筐明细!$E$4:$E$1203,$Z484-4000)=0,"",INDEX(客户自备加工筐明细!$E$4:$E$1203,$Z484-4000)),IF($Z484&lt;=5800,IF(INDEX(次果筐明细!$C$4:$C$603,$Z484-5200)=0,"",INDEX(次果筐明细!$C$4:$C$603,$Z484-5200)),"")))))</f>
        <v/>
      </c>
      <c r="D484" s="37" t="str">
        <f>IF($Z484="","",IF($Z484&lt;=2000,"包装物料－"&amp;INDEX(包装物料出入库明细!$H$4:$H$2003,$Z484-0),IF($Z484&lt;=4000,"周转筐－"&amp;INDEX(周转筐出入库明细!$F$4:$F$2004,$Z484-2000),IF($Z484&lt;=5200,"客户自备筐－"&amp;INDEX(客户自备加工筐明细!$J$4:$J$1203,$Z484-4000),IF($Z484&lt;=5800,"次果筐/托盘－"&amp;INDEX(次果筐明细!$F$4:$F$603,$Z484-5200),"")))))</f>
        <v/>
      </c>
      <c r="E484" s="24" t="str">
        <f>IF($Z484="","",IF($Z484&lt;=2000,IF(INDEX(包装物料出入库明细!$C$4:$C$2003,$Z484-0)=0,"",INDEX(包装物料出入库明细!$C$4:$C$2003,$Z484-0)),IF($Z484&lt;=4000,IF(INDEX(周转筐出入库明细!$E$4:$E$2004,$Z484-2000)=0,"",INDEX(周转筐出入库明细!$E$4:$E$2004,$Z484-2000)),IF($Z484&lt;=5200,IF(INDEX(客户自备加工筐明细!$D$4:$D$1203,$Z484-4000)=0,"",INDEX(客户自备加工筐明细!$D$4:$D$1203,$Z484-4000)),IF($Z484&lt;=5800,IF(INDEX(次果筐明细!$E$4:$E$603,$Z484-5200)=0,"",INDEX(次果筐明细!$E$4:$E$603,$Z484-5200)),"")))))</f>
        <v/>
      </c>
      <c r="F484" s="24" t="str">
        <f>IF($Z484="","",IF($Z484&lt;=2000,IF(INDEX(包装物料出入库明细!$E$4:$E$2003,$Z484-0)=0,"",INDEX(包装物料出入库明细!$E$4:$E$2003,$Z484-0)),IF($Z484&lt;=4000,IF(INDEX(周转筐出入库明细!$D$4:$D$2004,$Z484-2000)=0,"",INDEX(周转筐出入库明细!$D$4:$D$2004,$Z484-2000)),IF($Z484&lt;=5200,IF(INDEX(客户自备加工筐明细!$C$4:$C$1203,$Z484-4000)=0,"",INDEX(客户自备加工筐明细!$C$4:$C$1203,$Z484-4000)),IF($Z484&lt;=5800,IF(INDEX(次果筐明细!$D$4:$D$603,$Z484-5200)=0,"",INDEX(次果筐明细!$D$4:$D$603,$Z484-5200)),"")))))</f>
        <v/>
      </c>
      <c r="G484" s="24" t="str">
        <f>IF($Z484="","",IF($Z484&lt;=2000,IF(INDEX(包装物料出入库明细!$F$4:$F$2003,$Z484-0)=0,"",INDEX(包装物料出入库明细!$F$4:$F$2003,$Z484-0)),IF($Z484&lt;=4000,"",IF($Z484&lt;=5200,"",IF($Z484&lt;=5800,"","")))))</f>
        <v/>
      </c>
      <c r="H484" s="39" t="str">
        <f>IF($Z484="","",IF($Z484&lt;=2000,IF(INDEX(包装物料出入库明细!$L$4:$L$2003,$Z484-0)=0,"",INDEX(包装物料出入库明细!$L$4:$L$2003,$Z484-0)),IF($Z484&lt;=4000,N(INDEX(周转筐出入库明细!$H$4:$H$2004,$Z484-2000))+N(INDEX(周转筐出入库明细!$I$4:$I$2004,$Z484-2000))+N(INDEX(周转筐出入库明细!$J$4:$J$2004,$Z484-2000))+N(INDEX(周转筐出入库明细!$K$4:$K$2004,$Z484-2000)),IF($Z484&lt;=5200,N(INDEX(客户自备加工筐明细!$F$4:$F$1203,$Z484-4000))+N(INDEX(客户自备加工筐明细!$G$4:$G$1203,$Z484-4000)),IF($Z484&lt;=5800,IF(INDEX(次果筐明细!$G$4:$G$603,$Z484-5200)=0,"",INDEX(次果筐明细!$G$4:$G$603,$Z484-5200)),"")))))</f>
        <v/>
      </c>
      <c r="I484" s="24" t="str">
        <f>IF($Z484="","",IF($Z484&lt;=2000,IF(INDEX(包装物料出入库明细!$G$4:$G$2003,$Z484-0)=0,"",INDEX(包装物料出入库明细!$G$4:$G$2003,$Z484-0)),IF($Z484&lt;=4000,"个",IF($Z484&lt;=5200,"个",IF($Z484&lt;=5800,"个","")))))</f>
        <v/>
      </c>
      <c r="J484" s="30" t="str">
        <f t="shared" si="22"/>
        <v/>
      </c>
      <c r="K484" s="30" t="str">
        <f>IF($Z484="","",IF($Z484&lt;=2000,IF(INDEX(包装物料出入库明细!$N$4:$N$2003,$Z484-0)=0,"",INDEX(包装物料出入库明细!$N$4:$N$2003,$Z484-0)),IF($Z484&lt;=4000,IF(INDEX(周转筐出入库明细!$P$4:$P$2004,$Z484-2000)=0,"",INDEX(周转筐出入库明细!$P$4:$P$2004,$Z484-2000)),IF($Z484&lt;=5200,"",IF($Z484&lt;=5800,N(INDEX(次果筐明细!$L$4:$L$603,$Z484-5200))+N(INDEX(次果筐明细!$J$4:$J$603,$Z484-5200)),"")))))</f>
        <v/>
      </c>
      <c r="L484" s="24" t="str">
        <f>IF($Z484="","",IF($Z484&lt;=2000,IF(INDEX(包装物料出入库明细!$P$4:$P$2003,$Z484-0)=0,"",INDEX(包装物料出入库明细!$P$4:$P$2003,$Z484-0)),IF($Z484&lt;=4000,IF(INDEX(周转筐出入库明细!$Q$4:$Q$2004,$Z484-2000)=0,"",INDEX(周转筐出入库明细!$Q$4:$Q$2004,$Z484-2000)),IF($Z484&lt;=5200,"",IF($Z484&lt;=5800,IF(INDEX(次果筐明细!$M$4:$M$603,$Z484-5200)=0,"",INDEX(次果筐明细!$M$4:$M$603,$Z484-5200)),"")))))</f>
        <v/>
      </c>
      <c r="M484" s="37" t="str">
        <f>IF($Z484="","",IF($Z484&lt;=2000,IF(INDEX(包装物料出入库明细!$R$4:$R$2003,$Z484-0)=0,"",INDEX(包装物料出入库明细!$R$4:$R$2003,$Z484-0)),IF($Z484&lt;=4000,IF(INDEX(周转筐出入库明细!$W$4:$W$2004,$Z484-2000)=0,"",INDEX(周转筐出入库明细!$W$4:$W$2004,$Z484-2000)),IF($Z484&lt;=5200,IF(INDEX(客户自备加工筐明细!$L$4:$L$1203,$Z484-4000)=0,"",INDEX(客户自备加工筐明细!$L$4:$L$1203,$Z484-4000)),IF($Z484&lt;=5800,IF(INDEX(次果筐明细!$P$4:$P$603,$Z484-5200)=0,"",INDEX(次果筐明细!$P$4:$P$603,$Z484-5200)),"")))))</f>
        <v/>
      </c>
      <c r="N484" s="16" t="str">
        <f>IF($Z484="","",IF($Z484&lt;=2000,"",IF($Z484&lt;=4000,IF(INDEX(周转筐出入库明细!$D$4:$D$2004,$Z484-2000)=0,"",INDEX(周转筐出入库明细!$D$4:$D$2004,$Z484-2000)),IF($Z484&lt;=5200,IF(INDEX(客户自备加工筐明细!$C$4:$C$1203,$Z484-4000)=0,"",INDEX(客户自备加工筐明细!$C$4:$C$1203,$Z484-4000)),IF($Z484&lt;=5800,IF(INDEX(次果筐明细!$D$4:$D$603,$Z484-5200)=0,"",INDEX(次果筐明细!$D$4:$D$603,$Z484-5200)),"")))))</f>
        <v/>
      </c>
      <c r="O484" s="40" t="str">
        <f>IF($Z484="","",IF($Z484&lt;=2000,"",IF($Z484&lt;=4000,IF(N(INDEX(周转筐出入库明细!$J$4:$J$2004,$Z484-2000))+N(INDEX(周转筐出入库明细!$K$4:$K$2004,$Z484-2000))=0,"",N(INDEX(周转筐出入库明细!$J$4:$J$2004,$Z484-2000))+N(INDEX(周转筐出入库明细!$K$4:$K$2004,$Z484-2000))),IF($Z484&lt;=5200,IF(N(INDEX(客户自备加工筐明细!$G$4:$G$1203,$Z484-4000))=0,"",N(INDEX(客户自备加工筐明细!$G$4:$G$1203,$Z484-4000))),IF($Z484&lt;=5800,IF(ISNUMBER(SEARCH("退",INDEX(次果筐明细!$F$4:$F$603,$Z484-5200)&amp;"")),"",IF(N(INDEX(次果筐明细!$G$4:$G$603,$Z484-5200))=0,"",N(INDEX(次果筐明细!$G$4:$G$603,$Z484-5200)))),"")))))</f>
        <v/>
      </c>
      <c r="P484" s="40" t="str">
        <f>IF($Z484="","",IF($Z484&lt;=2000,"",IF($Z484&lt;=4000,IF(N(INDEX(周转筐出入库明细!$I$4:$I$2004,$Z484-2000))=0,"",N(INDEX(周转筐出入库明细!$I$4:$I$2004,$Z484-2000))),IF($Z484&lt;=5200,"",IF($Z484&lt;=5800,IF(ISNUMBER(SEARCH("退",INDEX(次果筐明细!$F$4:$F$603,$Z484-5200)&amp;"")),IF(N(INDEX(次果筐明细!$G$4:$G$603,$Z484-5200))=0,"",N(INDEX(次果筐明细!$G$4:$G$603,$Z484-5200))),""),"")))))</f>
        <v/>
      </c>
      <c r="Q484" s="40" t="str">
        <f>IF($Z484="","",IF($Z484&lt;=2000,"",IF($Z484&lt;=4000,IF(N(INDEX(周转筐出入库明细!$H$4:$H$2004,$Z484-2000))=0,"",N(INDEX(周转筐出入库明细!$H$4:$H$2004,$Z484-2000))),IF($Z484&lt;=5200,IF(N(INDEX(客户自备加工筐明细!$F$4:$F$1203,$Z484-4000))=0,"",N(INDEX(客户自备加工筐明细!$F$4:$F$1203,$Z484-4000))),IF($Z484&lt;=5800,"","")))))</f>
        <v/>
      </c>
      <c r="R484" s="16" t="str">
        <f>IF($Z484="","",IF($Z484&lt;=2000,IF(INDEX(包装物料出入库明细!$O$4:$O$2003,$Z484-0)=0,"",INDEX(包装物料出入库明细!$O$4:$O$2003,$Z484-0)),IF($Z484&lt;=4000,IF(INDEX(周转筐出入库明细!$M$4:$M$2004,$Z484-2000)=0,"",INDEX(周转筐出入库明细!$M$4:$M$2004,$Z484-2000)),IF($Z484&lt;=5200,IF(INDEX(客户自备加工筐明细!$H$4:$H$1203,$Z484-4000)=0,"",INDEX(客户自备加工筐明细!$H$4:$H$1203,$Z484-4000)),IF($Z484&lt;=5800,IF(INDEX(次果筐明细!$H$4:$H$603,$Z484-5200)=0,"",INDEX(次果筐明细!$H$4:$H$603,$Z484-5200)),"")))))</f>
        <v/>
      </c>
      <c r="S484" s="22" t="str">
        <f t="shared" si="23"/>
        <v/>
      </c>
      <c r="Z484" s="10" t="str">
        <f>IFERROR(MATCH(ROW()-3,_自动清单!$CQ$4:$CQ$5803,0),"")</f>
        <v/>
      </c>
    </row>
    <row r="485" spans="1:26">
      <c r="A485" s="24" t="str">
        <f t="shared" si="21"/>
        <v/>
      </c>
      <c r="B485" s="38" t="str">
        <f>IF($Z485="","",IF($Z485&lt;=2000,IF(INDEX(包装物料出入库明细!$B$4:$B$2003,$Z485-0)=0,"",INDEX(包装物料出入库明细!$B$4:$B$2003,$Z485-0)),IF($Z485&lt;=4000,IF(INDEX(周转筐出入库明细!$B$4:$B$2004,$Z485-2000)=0,"",INDEX(周转筐出入库明细!$B$4:$B$2004,$Z485-2000)),IF($Z485&lt;=5200,IF(INDEX(客户自备加工筐明细!$B$4:$B$1203,$Z485-4000)=0,"",INDEX(客户自备加工筐明细!$B$4:$B$1203,$Z485-4000)),IF($Z485&lt;=5800,IF(INDEX(次果筐明细!$B$4:$B$603,$Z485-5200)=0,"",INDEX(次果筐明细!$B$4:$B$603,$Z485-5200)),"")))))</f>
        <v/>
      </c>
      <c r="C485" s="37" t="str">
        <f>IF($Z485="","",IF($Z485&lt;=2000,IF(INDEX(包装物料出入库明细!$D$4:$D$2003,$Z485-0)=0,"",INDEX(包装物料出入库明细!$D$4:$D$2003,$Z485-0)),IF($Z485&lt;=4000,IF(INDEX(周转筐出入库明细!$C$4:$C$2004,$Z485-2000)=0,"",INDEX(周转筐出入库明细!$C$4:$C$2004,$Z485-2000)),IF($Z485&lt;=5200,IF(INDEX(客户自备加工筐明细!$E$4:$E$1203,$Z485-4000)=0,"",INDEX(客户自备加工筐明细!$E$4:$E$1203,$Z485-4000)),IF($Z485&lt;=5800,IF(INDEX(次果筐明细!$C$4:$C$603,$Z485-5200)=0,"",INDEX(次果筐明细!$C$4:$C$603,$Z485-5200)),"")))))</f>
        <v/>
      </c>
      <c r="D485" s="37" t="str">
        <f>IF($Z485="","",IF($Z485&lt;=2000,"包装物料－"&amp;INDEX(包装物料出入库明细!$H$4:$H$2003,$Z485-0),IF($Z485&lt;=4000,"周转筐－"&amp;INDEX(周转筐出入库明细!$F$4:$F$2004,$Z485-2000),IF($Z485&lt;=5200,"客户自备筐－"&amp;INDEX(客户自备加工筐明细!$J$4:$J$1203,$Z485-4000),IF($Z485&lt;=5800,"次果筐/托盘－"&amp;INDEX(次果筐明细!$F$4:$F$603,$Z485-5200),"")))))</f>
        <v/>
      </c>
      <c r="E485" s="24" t="str">
        <f>IF($Z485="","",IF($Z485&lt;=2000,IF(INDEX(包装物料出入库明细!$C$4:$C$2003,$Z485-0)=0,"",INDEX(包装物料出入库明细!$C$4:$C$2003,$Z485-0)),IF($Z485&lt;=4000,IF(INDEX(周转筐出入库明细!$E$4:$E$2004,$Z485-2000)=0,"",INDEX(周转筐出入库明细!$E$4:$E$2004,$Z485-2000)),IF($Z485&lt;=5200,IF(INDEX(客户自备加工筐明细!$D$4:$D$1203,$Z485-4000)=0,"",INDEX(客户自备加工筐明细!$D$4:$D$1203,$Z485-4000)),IF($Z485&lt;=5800,IF(INDEX(次果筐明细!$E$4:$E$603,$Z485-5200)=0,"",INDEX(次果筐明细!$E$4:$E$603,$Z485-5200)),"")))))</f>
        <v/>
      </c>
      <c r="F485" s="24" t="str">
        <f>IF($Z485="","",IF($Z485&lt;=2000,IF(INDEX(包装物料出入库明细!$E$4:$E$2003,$Z485-0)=0,"",INDEX(包装物料出入库明细!$E$4:$E$2003,$Z485-0)),IF($Z485&lt;=4000,IF(INDEX(周转筐出入库明细!$D$4:$D$2004,$Z485-2000)=0,"",INDEX(周转筐出入库明细!$D$4:$D$2004,$Z485-2000)),IF($Z485&lt;=5200,IF(INDEX(客户自备加工筐明细!$C$4:$C$1203,$Z485-4000)=0,"",INDEX(客户自备加工筐明细!$C$4:$C$1203,$Z485-4000)),IF($Z485&lt;=5800,IF(INDEX(次果筐明细!$D$4:$D$603,$Z485-5200)=0,"",INDEX(次果筐明细!$D$4:$D$603,$Z485-5200)),"")))))</f>
        <v/>
      </c>
      <c r="G485" s="24" t="str">
        <f>IF($Z485="","",IF($Z485&lt;=2000,IF(INDEX(包装物料出入库明细!$F$4:$F$2003,$Z485-0)=0,"",INDEX(包装物料出入库明细!$F$4:$F$2003,$Z485-0)),IF($Z485&lt;=4000,"",IF($Z485&lt;=5200,"",IF($Z485&lt;=5800,"","")))))</f>
        <v/>
      </c>
      <c r="H485" s="39" t="str">
        <f>IF($Z485="","",IF($Z485&lt;=2000,IF(INDEX(包装物料出入库明细!$L$4:$L$2003,$Z485-0)=0,"",INDEX(包装物料出入库明细!$L$4:$L$2003,$Z485-0)),IF($Z485&lt;=4000,N(INDEX(周转筐出入库明细!$H$4:$H$2004,$Z485-2000))+N(INDEX(周转筐出入库明细!$I$4:$I$2004,$Z485-2000))+N(INDEX(周转筐出入库明细!$J$4:$J$2004,$Z485-2000))+N(INDEX(周转筐出入库明细!$K$4:$K$2004,$Z485-2000)),IF($Z485&lt;=5200,N(INDEX(客户自备加工筐明细!$F$4:$F$1203,$Z485-4000))+N(INDEX(客户自备加工筐明细!$G$4:$G$1203,$Z485-4000)),IF($Z485&lt;=5800,IF(INDEX(次果筐明细!$G$4:$G$603,$Z485-5200)=0,"",INDEX(次果筐明细!$G$4:$G$603,$Z485-5200)),"")))))</f>
        <v/>
      </c>
      <c r="I485" s="24" t="str">
        <f>IF($Z485="","",IF($Z485&lt;=2000,IF(INDEX(包装物料出入库明细!$G$4:$G$2003,$Z485-0)=0,"",INDEX(包装物料出入库明细!$G$4:$G$2003,$Z485-0)),IF($Z485&lt;=4000,"个",IF($Z485&lt;=5200,"个",IF($Z485&lt;=5800,"个","")))))</f>
        <v/>
      </c>
      <c r="J485" s="30" t="str">
        <f t="shared" si="22"/>
        <v/>
      </c>
      <c r="K485" s="30" t="str">
        <f>IF($Z485="","",IF($Z485&lt;=2000,IF(INDEX(包装物料出入库明细!$N$4:$N$2003,$Z485-0)=0,"",INDEX(包装物料出入库明细!$N$4:$N$2003,$Z485-0)),IF($Z485&lt;=4000,IF(INDEX(周转筐出入库明细!$P$4:$P$2004,$Z485-2000)=0,"",INDEX(周转筐出入库明细!$P$4:$P$2004,$Z485-2000)),IF($Z485&lt;=5200,"",IF($Z485&lt;=5800,N(INDEX(次果筐明细!$L$4:$L$603,$Z485-5200))+N(INDEX(次果筐明细!$J$4:$J$603,$Z485-5200)),"")))))</f>
        <v/>
      </c>
      <c r="L485" s="24" t="str">
        <f>IF($Z485="","",IF($Z485&lt;=2000,IF(INDEX(包装物料出入库明细!$P$4:$P$2003,$Z485-0)=0,"",INDEX(包装物料出入库明细!$P$4:$P$2003,$Z485-0)),IF($Z485&lt;=4000,IF(INDEX(周转筐出入库明细!$Q$4:$Q$2004,$Z485-2000)=0,"",INDEX(周转筐出入库明细!$Q$4:$Q$2004,$Z485-2000)),IF($Z485&lt;=5200,"",IF($Z485&lt;=5800,IF(INDEX(次果筐明细!$M$4:$M$603,$Z485-5200)=0,"",INDEX(次果筐明细!$M$4:$M$603,$Z485-5200)),"")))))</f>
        <v/>
      </c>
      <c r="M485" s="37" t="str">
        <f>IF($Z485="","",IF($Z485&lt;=2000,IF(INDEX(包装物料出入库明细!$R$4:$R$2003,$Z485-0)=0,"",INDEX(包装物料出入库明细!$R$4:$R$2003,$Z485-0)),IF($Z485&lt;=4000,IF(INDEX(周转筐出入库明细!$W$4:$W$2004,$Z485-2000)=0,"",INDEX(周转筐出入库明细!$W$4:$W$2004,$Z485-2000)),IF($Z485&lt;=5200,IF(INDEX(客户自备加工筐明细!$L$4:$L$1203,$Z485-4000)=0,"",INDEX(客户自备加工筐明细!$L$4:$L$1203,$Z485-4000)),IF($Z485&lt;=5800,IF(INDEX(次果筐明细!$P$4:$P$603,$Z485-5200)=0,"",INDEX(次果筐明细!$P$4:$P$603,$Z485-5200)),"")))))</f>
        <v/>
      </c>
      <c r="N485" s="16" t="str">
        <f>IF($Z485="","",IF($Z485&lt;=2000,"",IF($Z485&lt;=4000,IF(INDEX(周转筐出入库明细!$D$4:$D$2004,$Z485-2000)=0,"",INDEX(周转筐出入库明细!$D$4:$D$2004,$Z485-2000)),IF($Z485&lt;=5200,IF(INDEX(客户自备加工筐明细!$C$4:$C$1203,$Z485-4000)=0,"",INDEX(客户自备加工筐明细!$C$4:$C$1203,$Z485-4000)),IF($Z485&lt;=5800,IF(INDEX(次果筐明细!$D$4:$D$603,$Z485-5200)=0,"",INDEX(次果筐明细!$D$4:$D$603,$Z485-5200)),"")))))</f>
        <v/>
      </c>
      <c r="O485" s="40" t="str">
        <f>IF($Z485="","",IF($Z485&lt;=2000,"",IF($Z485&lt;=4000,IF(N(INDEX(周转筐出入库明细!$J$4:$J$2004,$Z485-2000))+N(INDEX(周转筐出入库明细!$K$4:$K$2004,$Z485-2000))=0,"",N(INDEX(周转筐出入库明细!$J$4:$J$2004,$Z485-2000))+N(INDEX(周转筐出入库明细!$K$4:$K$2004,$Z485-2000))),IF($Z485&lt;=5200,IF(N(INDEX(客户自备加工筐明细!$G$4:$G$1203,$Z485-4000))=0,"",N(INDEX(客户自备加工筐明细!$G$4:$G$1203,$Z485-4000))),IF($Z485&lt;=5800,IF(ISNUMBER(SEARCH("退",INDEX(次果筐明细!$F$4:$F$603,$Z485-5200)&amp;"")),"",IF(N(INDEX(次果筐明细!$G$4:$G$603,$Z485-5200))=0,"",N(INDEX(次果筐明细!$G$4:$G$603,$Z485-5200)))),"")))))</f>
        <v/>
      </c>
      <c r="P485" s="40" t="str">
        <f>IF($Z485="","",IF($Z485&lt;=2000,"",IF($Z485&lt;=4000,IF(N(INDEX(周转筐出入库明细!$I$4:$I$2004,$Z485-2000))=0,"",N(INDEX(周转筐出入库明细!$I$4:$I$2004,$Z485-2000))),IF($Z485&lt;=5200,"",IF($Z485&lt;=5800,IF(ISNUMBER(SEARCH("退",INDEX(次果筐明细!$F$4:$F$603,$Z485-5200)&amp;"")),IF(N(INDEX(次果筐明细!$G$4:$G$603,$Z485-5200))=0,"",N(INDEX(次果筐明细!$G$4:$G$603,$Z485-5200))),""),"")))))</f>
        <v/>
      </c>
      <c r="Q485" s="40" t="str">
        <f>IF($Z485="","",IF($Z485&lt;=2000,"",IF($Z485&lt;=4000,IF(N(INDEX(周转筐出入库明细!$H$4:$H$2004,$Z485-2000))=0,"",N(INDEX(周转筐出入库明细!$H$4:$H$2004,$Z485-2000))),IF($Z485&lt;=5200,IF(N(INDEX(客户自备加工筐明细!$F$4:$F$1203,$Z485-4000))=0,"",N(INDEX(客户自备加工筐明细!$F$4:$F$1203,$Z485-4000))),IF($Z485&lt;=5800,"","")))))</f>
        <v/>
      </c>
      <c r="R485" s="16" t="str">
        <f>IF($Z485="","",IF($Z485&lt;=2000,IF(INDEX(包装物料出入库明细!$O$4:$O$2003,$Z485-0)=0,"",INDEX(包装物料出入库明细!$O$4:$O$2003,$Z485-0)),IF($Z485&lt;=4000,IF(INDEX(周转筐出入库明细!$M$4:$M$2004,$Z485-2000)=0,"",INDEX(周转筐出入库明细!$M$4:$M$2004,$Z485-2000)),IF($Z485&lt;=5200,IF(INDEX(客户自备加工筐明细!$H$4:$H$1203,$Z485-4000)=0,"",INDEX(客户自备加工筐明细!$H$4:$H$1203,$Z485-4000)),IF($Z485&lt;=5800,IF(INDEX(次果筐明细!$H$4:$H$603,$Z485-5200)=0,"",INDEX(次果筐明细!$H$4:$H$603,$Z485-5200)),"")))))</f>
        <v/>
      </c>
      <c r="S485" s="22" t="str">
        <f t="shared" si="23"/>
        <v/>
      </c>
      <c r="Z485" s="10" t="str">
        <f>IFERROR(MATCH(ROW()-3,_自动清单!$CQ$4:$CQ$5803,0),"")</f>
        <v/>
      </c>
    </row>
    <row r="486" spans="1:26">
      <c r="A486" s="24" t="str">
        <f t="shared" si="21"/>
        <v/>
      </c>
      <c r="B486" s="38" t="str">
        <f>IF($Z486="","",IF($Z486&lt;=2000,IF(INDEX(包装物料出入库明细!$B$4:$B$2003,$Z486-0)=0,"",INDEX(包装物料出入库明细!$B$4:$B$2003,$Z486-0)),IF($Z486&lt;=4000,IF(INDEX(周转筐出入库明细!$B$4:$B$2004,$Z486-2000)=0,"",INDEX(周转筐出入库明细!$B$4:$B$2004,$Z486-2000)),IF($Z486&lt;=5200,IF(INDEX(客户自备加工筐明细!$B$4:$B$1203,$Z486-4000)=0,"",INDEX(客户自备加工筐明细!$B$4:$B$1203,$Z486-4000)),IF($Z486&lt;=5800,IF(INDEX(次果筐明细!$B$4:$B$603,$Z486-5200)=0,"",INDEX(次果筐明细!$B$4:$B$603,$Z486-5200)),"")))))</f>
        <v/>
      </c>
      <c r="C486" s="37" t="str">
        <f>IF($Z486="","",IF($Z486&lt;=2000,IF(INDEX(包装物料出入库明细!$D$4:$D$2003,$Z486-0)=0,"",INDEX(包装物料出入库明细!$D$4:$D$2003,$Z486-0)),IF($Z486&lt;=4000,IF(INDEX(周转筐出入库明细!$C$4:$C$2004,$Z486-2000)=0,"",INDEX(周转筐出入库明细!$C$4:$C$2004,$Z486-2000)),IF($Z486&lt;=5200,IF(INDEX(客户自备加工筐明细!$E$4:$E$1203,$Z486-4000)=0,"",INDEX(客户自备加工筐明细!$E$4:$E$1203,$Z486-4000)),IF($Z486&lt;=5800,IF(INDEX(次果筐明细!$C$4:$C$603,$Z486-5200)=0,"",INDEX(次果筐明细!$C$4:$C$603,$Z486-5200)),"")))))</f>
        <v/>
      </c>
      <c r="D486" s="37" t="str">
        <f>IF($Z486="","",IF($Z486&lt;=2000,"包装物料－"&amp;INDEX(包装物料出入库明细!$H$4:$H$2003,$Z486-0),IF($Z486&lt;=4000,"周转筐－"&amp;INDEX(周转筐出入库明细!$F$4:$F$2004,$Z486-2000),IF($Z486&lt;=5200,"客户自备筐－"&amp;INDEX(客户自备加工筐明细!$J$4:$J$1203,$Z486-4000),IF($Z486&lt;=5800,"次果筐/托盘－"&amp;INDEX(次果筐明细!$F$4:$F$603,$Z486-5200),"")))))</f>
        <v/>
      </c>
      <c r="E486" s="24" t="str">
        <f>IF($Z486="","",IF($Z486&lt;=2000,IF(INDEX(包装物料出入库明细!$C$4:$C$2003,$Z486-0)=0,"",INDEX(包装物料出入库明细!$C$4:$C$2003,$Z486-0)),IF($Z486&lt;=4000,IF(INDEX(周转筐出入库明细!$E$4:$E$2004,$Z486-2000)=0,"",INDEX(周转筐出入库明细!$E$4:$E$2004,$Z486-2000)),IF($Z486&lt;=5200,IF(INDEX(客户自备加工筐明细!$D$4:$D$1203,$Z486-4000)=0,"",INDEX(客户自备加工筐明细!$D$4:$D$1203,$Z486-4000)),IF($Z486&lt;=5800,IF(INDEX(次果筐明细!$E$4:$E$603,$Z486-5200)=0,"",INDEX(次果筐明细!$E$4:$E$603,$Z486-5200)),"")))))</f>
        <v/>
      </c>
      <c r="F486" s="24" t="str">
        <f>IF($Z486="","",IF($Z486&lt;=2000,IF(INDEX(包装物料出入库明细!$E$4:$E$2003,$Z486-0)=0,"",INDEX(包装物料出入库明细!$E$4:$E$2003,$Z486-0)),IF($Z486&lt;=4000,IF(INDEX(周转筐出入库明细!$D$4:$D$2004,$Z486-2000)=0,"",INDEX(周转筐出入库明细!$D$4:$D$2004,$Z486-2000)),IF($Z486&lt;=5200,IF(INDEX(客户自备加工筐明细!$C$4:$C$1203,$Z486-4000)=0,"",INDEX(客户自备加工筐明细!$C$4:$C$1203,$Z486-4000)),IF($Z486&lt;=5800,IF(INDEX(次果筐明细!$D$4:$D$603,$Z486-5200)=0,"",INDEX(次果筐明细!$D$4:$D$603,$Z486-5200)),"")))))</f>
        <v/>
      </c>
      <c r="G486" s="24" t="str">
        <f>IF($Z486="","",IF($Z486&lt;=2000,IF(INDEX(包装物料出入库明细!$F$4:$F$2003,$Z486-0)=0,"",INDEX(包装物料出入库明细!$F$4:$F$2003,$Z486-0)),IF($Z486&lt;=4000,"",IF($Z486&lt;=5200,"",IF($Z486&lt;=5800,"","")))))</f>
        <v/>
      </c>
      <c r="H486" s="39" t="str">
        <f>IF($Z486="","",IF($Z486&lt;=2000,IF(INDEX(包装物料出入库明细!$L$4:$L$2003,$Z486-0)=0,"",INDEX(包装物料出入库明细!$L$4:$L$2003,$Z486-0)),IF($Z486&lt;=4000,N(INDEX(周转筐出入库明细!$H$4:$H$2004,$Z486-2000))+N(INDEX(周转筐出入库明细!$I$4:$I$2004,$Z486-2000))+N(INDEX(周转筐出入库明细!$J$4:$J$2004,$Z486-2000))+N(INDEX(周转筐出入库明细!$K$4:$K$2004,$Z486-2000)),IF($Z486&lt;=5200,N(INDEX(客户自备加工筐明细!$F$4:$F$1203,$Z486-4000))+N(INDEX(客户自备加工筐明细!$G$4:$G$1203,$Z486-4000)),IF($Z486&lt;=5800,IF(INDEX(次果筐明细!$G$4:$G$603,$Z486-5200)=0,"",INDEX(次果筐明细!$G$4:$G$603,$Z486-5200)),"")))))</f>
        <v/>
      </c>
      <c r="I486" s="24" t="str">
        <f>IF($Z486="","",IF($Z486&lt;=2000,IF(INDEX(包装物料出入库明细!$G$4:$G$2003,$Z486-0)=0,"",INDEX(包装物料出入库明细!$G$4:$G$2003,$Z486-0)),IF($Z486&lt;=4000,"个",IF($Z486&lt;=5200,"个",IF($Z486&lt;=5800,"个","")))))</f>
        <v/>
      </c>
      <c r="J486" s="30" t="str">
        <f t="shared" si="22"/>
        <v/>
      </c>
      <c r="K486" s="30" t="str">
        <f>IF($Z486="","",IF($Z486&lt;=2000,IF(INDEX(包装物料出入库明细!$N$4:$N$2003,$Z486-0)=0,"",INDEX(包装物料出入库明细!$N$4:$N$2003,$Z486-0)),IF($Z486&lt;=4000,IF(INDEX(周转筐出入库明细!$P$4:$P$2004,$Z486-2000)=0,"",INDEX(周转筐出入库明细!$P$4:$P$2004,$Z486-2000)),IF($Z486&lt;=5200,"",IF($Z486&lt;=5800,N(INDEX(次果筐明细!$L$4:$L$603,$Z486-5200))+N(INDEX(次果筐明细!$J$4:$J$603,$Z486-5200)),"")))))</f>
        <v/>
      </c>
      <c r="L486" s="24" t="str">
        <f>IF($Z486="","",IF($Z486&lt;=2000,IF(INDEX(包装物料出入库明细!$P$4:$P$2003,$Z486-0)=0,"",INDEX(包装物料出入库明细!$P$4:$P$2003,$Z486-0)),IF($Z486&lt;=4000,IF(INDEX(周转筐出入库明细!$Q$4:$Q$2004,$Z486-2000)=0,"",INDEX(周转筐出入库明细!$Q$4:$Q$2004,$Z486-2000)),IF($Z486&lt;=5200,"",IF($Z486&lt;=5800,IF(INDEX(次果筐明细!$M$4:$M$603,$Z486-5200)=0,"",INDEX(次果筐明细!$M$4:$M$603,$Z486-5200)),"")))))</f>
        <v/>
      </c>
      <c r="M486" s="37" t="str">
        <f>IF($Z486="","",IF($Z486&lt;=2000,IF(INDEX(包装物料出入库明细!$R$4:$R$2003,$Z486-0)=0,"",INDEX(包装物料出入库明细!$R$4:$R$2003,$Z486-0)),IF($Z486&lt;=4000,IF(INDEX(周转筐出入库明细!$W$4:$W$2004,$Z486-2000)=0,"",INDEX(周转筐出入库明细!$W$4:$W$2004,$Z486-2000)),IF($Z486&lt;=5200,IF(INDEX(客户自备加工筐明细!$L$4:$L$1203,$Z486-4000)=0,"",INDEX(客户自备加工筐明细!$L$4:$L$1203,$Z486-4000)),IF($Z486&lt;=5800,IF(INDEX(次果筐明细!$P$4:$P$603,$Z486-5200)=0,"",INDEX(次果筐明细!$P$4:$P$603,$Z486-5200)),"")))))</f>
        <v/>
      </c>
      <c r="N486" s="16" t="str">
        <f>IF($Z486="","",IF($Z486&lt;=2000,"",IF($Z486&lt;=4000,IF(INDEX(周转筐出入库明细!$D$4:$D$2004,$Z486-2000)=0,"",INDEX(周转筐出入库明细!$D$4:$D$2004,$Z486-2000)),IF($Z486&lt;=5200,IF(INDEX(客户自备加工筐明细!$C$4:$C$1203,$Z486-4000)=0,"",INDEX(客户自备加工筐明细!$C$4:$C$1203,$Z486-4000)),IF($Z486&lt;=5800,IF(INDEX(次果筐明细!$D$4:$D$603,$Z486-5200)=0,"",INDEX(次果筐明细!$D$4:$D$603,$Z486-5200)),"")))))</f>
        <v/>
      </c>
      <c r="O486" s="40" t="str">
        <f>IF($Z486="","",IF($Z486&lt;=2000,"",IF($Z486&lt;=4000,IF(N(INDEX(周转筐出入库明细!$J$4:$J$2004,$Z486-2000))+N(INDEX(周转筐出入库明细!$K$4:$K$2004,$Z486-2000))=0,"",N(INDEX(周转筐出入库明细!$J$4:$J$2004,$Z486-2000))+N(INDEX(周转筐出入库明细!$K$4:$K$2004,$Z486-2000))),IF($Z486&lt;=5200,IF(N(INDEX(客户自备加工筐明细!$G$4:$G$1203,$Z486-4000))=0,"",N(INDEX(客户自备加工筐明细!$G$4:$G$1203,$Z486-4000))),IF($Z486&lt;=5800,IF(ISNUMBER(SEARCH("退",INDEX(次果筐明细!$F$4:$F$603,$Z486-5200)&amp;"")),"",IF(N(INDEX(次果筐明细!$G$4:$G$603,$Z486-5200))=0,"",N(INDEX(次果筐明细!$G$4:$G$603,$Z486-5200)))),"")))))</f>
        <v/>
      </c>
      <c r="P486" s="40" t="str">
        <f>IF($Z486="","",IF($Z486&lt;=2000,"",IF($Z486&lt;=4000,IF(N(INDEX(周转筐出入库明细!$I$4:$I$2004,$Z486-2000))=0,"",N(INDEX(周转筐出入库明细!$I$4:$I$2004,$Z486-2000))),IF($Z486&lt;=5200,"",IF($Z486&lt;=5800,IF(ISNUMBER(SEARCH("退",INDEX(次果筐明细!$F$4:$F$603,$Z486-5200)&amp;"")),IF(N(INDEX(次果筐明细!$G$4:$G$603,$Z486-5200))=0,"",N(INDEX(次果筐明细!$G$4:$G$603,$Z486-5200))),""),"")))))</f>
        <v/>
      </c>
      <c r="Q486" s="40" t="str">
        <f>IF($Z486="","",IF($Z486&lt;=2000,"",IF($Z486&lt;=4000,IF(N(INDEX(周转筐出入库明细!$H$4:$H$2004,$Z486-2000))=0,"",N(INDEX(周转筐出入库明细!$H$4:$H$2004,$Z486-2000))),IF($Z486&lt;=5200,IF(N(INDEX(客户自备加工筐明细!$F$4:$F$1203,$Z486-4000))=0,"",N(INDEX(客户自备加工筐明细!$F$4:$F$1203,$Z486-4000))),IF($Z486&lt;=5800,"","")))))</f>
        <v/>
      </c>
      <c r="R486" s="16" t="str">
        <f>IF($Z486="","",IF($Z486&lt;=2000,IF(INDEX(包装物料出入库明细!$O$4:$O$2003,$Z486-0)=0,"",INDEX(包装物料出入库明细!$O$4:$O$2003,$Z486-0)),IF($Z486&lt;=4000,IF(INDEX(周转筐出入库明细!$M$4:$M$2004,$Z486-2000)=0,"",INDEX(周转筐出入库明细!$M$4:$M$2004,$Z486-2000)),IF($Z486&lt;=5200,IF(INDEX(客户自备加工筐明细!$H$4:$H$1203,$Z486-4000)=0,"",INDEX(客户自备加工筐明细!$H$4:$H$1203,$Z486-4000)),IF($Z486&lt;=5800,IF(INDEX(次果筐明细!$H$4:$H$603,$Z486-5200)=0,"",INDEX(次果筐明细!$H$4:$H$603,$Z486-5200)),"")))))</f>
        <v/>
      </c>
      <c r="S486" s="22" t="str">
        <f t="shared" si="23"/>
        <v/>
      </c>
      <c r="Z486" s="10" t="str">
        <f>IFERROR(MATCH(ROW()-3,_自动清单!$CQ$4:$CQ$5803,0),"")</f>
        <v/>
      </c>
    </row>
    <row r="487" spans="1:26">
      <c r="A487" s="24" t="str">
        <f t="shared" si="21"/>
        <v/>
      </c>
      <c r="B487" s="38" t="str">
        <f>IF($Z487="","",IF($Z487&lt;=2000,IF(INDEX(包装物料出入库明细!$B$4:$B$2003,$Z487-0)=0,"",INDEX(包装物料出入库明细!$B$4:$B$2003,$Z487-0)),IF($Z487&lt;=4000,IF(INDEX(周转筐出入库明细!$B$4:$B$2004,$Z487-2000)=0,"",INDEX(周转筐出入库明细!$B$4:$B$2004,$Z487-2000)),IF($Z487&lt;=5200,IF(INDEX(客户自备加工筐明细!$B$4:$B$1203,$Z487-4000)=0,"",INDEX(客户自备加工筐明细!$B$4:$B$1203,$Z487-4000)),IF($Z487&lt;=5800,IF(INDEX(次果筐明细!$B$4:$B$603,$Z487-5200)=0,"",INDEX(次果筐明细!$B$4:$B$603,$Z487-5200)),"")))))</f>
        <v/>
      </c>
      <c r="C487" s="37" t="str">
        <f>IF($Z487="","",IF($Z487&lt;=2000,IF(INDEX(包装物料出入库明细!$D$4:$D$2003,$Z487-0)=0,"",INDEX(包装物料出入库明细!$D$4:$D$2003,$Z487-0)),IF($Z487&lt;=4000,IF(INDEX(周转筐出入库明细!$C$4:$C$2004,$Z487-2000)=0,"",INDEX(周转筐出入库明细!$C$4:$C$2004,$Z487-2000)),IF($Z487&lt;=5200,IF(INDEX(客户自备加工筐明细!$E$4:$E$1203,$Z487-4000)=0,"",INDEX(客户自备加工筐明细!$E$4:$E$1203,$Z487-4000)),IF($Z487&lt;=5800,IF(INDEX(次果筐明细!$C$4:$C$603,$Z487-5200)=0,"",INDEX(次果筐明细!$C$4:$C$603,$Z487-5200)),"")))))</f>
        <v/>
      </c>
      <c r="D487" s="37" t="str">
        <f>IF($Z487="","",IF($Z487&lt;=2000,"包装物料－"&amp;INDEX(包装物料出入库明细!$H$4:$H$2003,$Z487-0),IF($Z487&lt;=4000,"周转筐－"&amp;INDEX(周转筐出入库明细!$F$4:$F$2004,$Z487-2000),IF($Z487&lt;=5200,"客户自备筐－"&amp;INDEX(客户自备加工筐明细!$J$4:$J$1203,$Z487-4000),IF($Z487&lt;=5800,"次果筐/托盘－"&amp;INDEX(次果筐明细!$F$4:$F$603,$Z487-5200),"")))))</f>
        <v/>
      </c>
      <c r="E487" s="24" t="str">
        <f>IF($Z487="","",IF($Z487&lt;=2000,IF(INDEX(包装物料出入库明细!$C$4:$C$2003,$Z487-0)=0,"",INDEX(包装物料出入库明细!$C$4:$C$2003,$Z487-0)),IF($Z487&lt;=4000,IF(INDEX(周转筐出入库明细!$E$4:$E$2004,$Z487-2000)=0,"",INDEX(周转筐出入库明细!$E$4:$E$2004,$Z487-2000)),IF($Z487&lt;=5200,IF(INDEX(客户自备加工筐明细!$D$4:$D$1203,$Z487-4000)=0,"",INDEX(客户自备加工筐明细!$D$4:$D$1203,$Z487-4000)),IF($Z487&lt;=5800,IF(INDEX(次果筐明细!$E$4:$E$603,$Z487-5200)=0,"",INDEX(次果筐明细!$E$4:$E$603,$Z487-5200)),"")))))</f>
        <v/>
      </c>
      <c r="F487" s="24" t="str">
        <f>IF($Z487="","",IF($Z487&lt;=2000,IF(INDEX(包装物料出入库明细!$E$4:$E$2003,$Z487-0)=0,"",INDEX(包装物料出入库明细!$E$4:$E$2003,$Z487-0)),IF($Z487&lt;=4000,IF(INDEX(周转筐出入库明细!$D$4:$D$2004,$Z487-2000)=0,"",INDEX(周转筐出入库明细!$D$4:$D$2004,$Z487-2000)),IF($Z487&lt;=5200,IF(INDEX(客户自备加工筐明细!$C$4:$C$1203,$Z487-4000)=0,"",INDEX(客户自备加工筐明细!$C$4:$C$1203,$Z487-4000)),IF($Z487&lt;=5800,IF(INDEX(次果筐明细!$D$4:$D$603,$Z487-5200)=0,"",INDEX(次果筐明细!$D$4:$D$603,$Z487-5200)),"")))))</f>
        <v/>
      </c>
      <c r="G487" s="24" t="str">
        <f>IF($Z487="","",IF($Z487&lt;=2000,IF(INDEX(包装物料出入库明细!$F$4:$F$2003,$Z487-0)=0,"",INDEX(包装物料出入库明细!$F$4:$F$2003,$Z487-0)),IF($Z487&lt;=4000,"",IF($Z487&lt;=5200,"",IF($Z487&lt;=5800,"","")))))</f>
        <v/>
      </c>
      <c r="H487" s="39" t="str">
        <f>IF($Z487="","",IF($Z487&lt;=2000,IF(INDEX(包装物料出入库明细!$L$4:$L$2003,$Z487-0)=0,"",INDEX(包装物料出入库明细!$L$4:$L$2003,$Z487-0)),IF($Z487&lt;=4000,N(INDEX(周转筐出入库明细!$H$4:$H$2004,$Z487-2000))+N(INDEX(周转筐出入库明细!$I$4:$I$2004,$Z487-2000))+N(INDEX(周转筐出入库明细!$J$4:$J$2004,$Z487-2000))+N(INDEX(周转筐出入库明细!$K$4:$K$2004,$Z487-2000)),IF($Z487&lt;=5200,N(INDEX(客户自备加工筐明细!$F$4:$F$1203,$Z487-4000))+N(INDEX(客户自备加工筐明细!$G$4:$G$1203,$Z487-4000)),IF($Z487&lt;=5800,IF(INDEX(次果筐明细!$G$4:$G$603,$Z487-5200)=0,"",INDEX(次果筐明细!$G$4:$G$603,$Z487-5200)),"")))))</f>
        <v/>
      </c>
      <c r="I487" s="24" t="str">
        <f>IF($Z487="","",IF($Z487&lt;=2000,IF(INDEX(包装物料出入库明细!$G$4:$G$2003,$Z487-0)=0,"",INDEX(包装物料出入库明细!$G$4:$G$2003,$Z487-0)),IF($Z487&lt;=4000,"个",IF($Z487&lt;=5200,"个",IF($Z487&lt;=5800,"个","")))))</f>
        <v/>
      </c>
      <c r="J487" s="30" t="str">
        <f t="shared" si="22"/>
        <v/>
      </c>
      <c r="K487" s="30" t="str">
        <f>IF($Z487="","",IF($Z487&lt;=2000,IF(INDEX(包装物料出入库明细!$N$4:$N$2003,$Z487-0)=0,"",INDEX(包装物料出入库明细!$N$4:$N$2003,$Z487-0)),IF($Z487&lt;=4000,IF(INDEX(周转筐出入库明细!$P$4:$P$2004,$Z487-2000)=0,"",INDEX(周转筐出入库明细!$P$4:$P$2004,$Z487-2000)),IF($Z487&lt;=5200,"",IF($Z487&lt;=5800,N(INDEX(次果筐明细!$L$4:$L$603,$Z487-5200))+N(INDEX(次果筐明细!$J$4:$J$603,$Z487-5200)),"")))))</f>
        <v/>
      </c>
      <c r="L487" s="24" t="str">
        <f>IF($Z487="","",IF($Z487&lt;=2000,IF(INDEX(包装物料出入库明细!$P$4:$P$2003,$Z487-0)=0,"",INDEX(包装物料出入库明细!$P$4:$P$2003,$Z487-0)),IF($Z487&lt;=4000,IF(INDEX(周转筐出入库明细!$Q$4:$Q$2004,$Z487-2000)=0,"",INDEX(周转筐出入库明细!$Q$4:$Q$2004,$Z487-2000)),IF($Z487&lt;=5200,"",IF($Z487&lt;=5800,IF(INDEX(次果筐明细!$M$4:$M$603,$Z487-5200)=0,"",INDEX(次果筐明细!$M$4:$M$603,$Z487-5200)),"")))))</f>
        <v/>
      </c>
      <c r="M487" s="37" t="str">
        <f>IF($Z487="","",IF($Z487&lt;=2000,IF(INDEX(包装物料出入库明细!$R$4:$R$2003,$Z487-0)=0,"",INDEX(包装物料出入库明细!$R$4:$R$2003,$Z487-0)),IF($Z487&lt;=4000,IF(INDEX(周转筐出入库明细!$W$4:$W$2004,$Z487-2000)=0,"",INDEX(周转筐出入库明细!$W$4:$W$2004,$Z487-2000)),IF($Z487&lt;=5200,IF(INDEX(客户自备加工筐明细!$L$4:$L$1203,$Z487-4000)=0,"",INDEX(客户自备加工筐明细!$L$4:$L$1203,$Z487-4000)),IF($Z487&lt;=5800,IF(INDEX(次果筐明细!$P$4:$P$603,$Z487-5200)=0,"",INDEX(次果筐明细!$P$4:$P$603,$Z487-5200)),"")))))</f>
        <v/>
      </c>
      <c r="N487" s="16" t="str">
        <f>IF($Z487="","",IF($Z487&lt;=2000,"",IF($Z487&lt;=4000,IF(INDEX(周转筐出入库明细!$D$4:$D$2004,$Z487-2000)=0,"",INDEX(周转筐出入库明细!$D$4:$D$2004,$Z487-2000)),IF($Z487&lt;=5200,IF(INDEX(客户自备加工筐明细!$C$4:$C$1203,$Z487-4000)=0,"",INDEX(客户自备加工筐明细!$C$4:$C$1203,$Z487-4000)),IF($Z487&lt;=5800,IF(INDEX(次果筐明细!$D$4:$D$603,$Z487-5200)=0,"",INDEX(次果筐明细!$D$4:$D$603,$Z487-5200)),"")))))</f>
        <v/>
      </c>
      <c r="O487" s="40" t="str">
        <f>IF($Z487="","",IF($Z487&lt;=2000,"",IF($Z487&lt;=4000,IF(N(INDEX(周转筐出入库明细!$J$4:$J$2004,$Z487-2000))+N(INDEX(周转筐出入库明细!$K$4:$K$2004,$Z487-2000))=0,"",N(INDEX(周转筐出入库明细!$J$4:$J$2004,$Z487-2000))+N(INDEX(周转筐出入库明细!$K$4:$K$2004,$Z487-2000))),IF($Z487&lt;=5200,IF(N(INDEX(客户自备加工筐明细!$G$4:$G$1203,$Z487-4000))=0,"",N(INDEX(客户自备加工筐明细!$G$4:$G$1203,$Z487-4000))),IF($Z487&lt;=5800,IF(ISNUMBER(SEARCH("退",INDEX(次果筐明细!$F$4:$F$603,$Z487-5200)&amp;"")),"",IF(N(INDEX(次果筐明细!$G$4:$G$603,$Z487-5200))=0,"",N(INDEX(次果筐明细!$G$4:$G$603,$Z487-5200)))),"")))))</f>
        <v/>
      </c>
      <c r="P487" s="40" t="str">
        <f>IF($Z487="","",IF($Z487&lt;=2000,"",IF($Z487&lt;=4000,IF(N(INDEX(周转筐出入库明细!$I$4:$I$2004,$Z487-2000))=0,"",N(INDEX(周转筐出入库明细!$I$4:$I$2004,$Z487-2000))),IF($Z487&lt;=5200,"",IF($Z487&lt;=5800,IF(ISNUMBER(SEARCH("退",INDEX(次果筐明细!$F$4:$F$603,$Z487-5200)&amp;"")),IF(N(INDEX(次果筐明细!$G$4:$G$603,$Z487-5200))=0,"",N(INDEX(次果筐明细!$G$4:$G$603,$Z487-5200))),""),"")))))</f>
        <v/>
      </c>
      <c r="Q487" s="40" t="str">
        <f>IF($Z487="","",IF($Z487&lt;=2000,"",IF($Z487&lt;=4000,IF(N(INDEX(周转筐出入库明细!$H$4:$H$2004,$Z487-2000))=0,"",N(INDEX(周转筐出入库明细!$H$4:$H$2004,$Z487-2000))),IF($Z487&lt;=5200,IF(N(INDEX(客户自备加工筐明细!$F$4:$F$1203,$Z487-4000))=0,"",N(INDEX(客户自备加工筐明细!$F$4:$F$1203,$Z487-4000))),IF($Z487&lt;=5800,"","")))))</f>
        <v/>
      </c>
      <c r="R487" s="16" t="str">
        <f>IF($Z487="","",IF($Z487&lt;=2000,IF(INDEX(包装物料出入库明细!$O$4:$O$2003,$Z487-0)=0,"",INDEX(包装物料出入库明细!$O$4:$O$2003,$Z487-0)),IF($Z487&lt;=4000,IF(INDEX(周转筐出入库明细!$M$4:$M$2004,$Z487-2000)=0,"",INDEX(周转筐出入库明细!$M$4:$M$2004,$Z487-2000)),IF($Z487&lt;=5200,IF(INDEX(客户自备加工筐明细!$H$4:$H$1203,$Z487-4000)=0,"",INDEX(客户自备加工筐明细!$H$4:$H$1203,$Z487-4000)),IF($Z487&lt;=5800,IF(INDEX(次果筐明细!$H$4:$H$603,$Z487-5200)=0,"",INDEX(次果筐明细!$H$4:$H$603,$Z487-5200)),"")))))</f>
        <v/>
      </c>
      <c r="S487" s="22" t="str">
        <f t="shared" si="23"/>
        <v/>
      </c>
      <c r="Z487" s="10" t="str">
        <f>IFERROR(MATCH(ROW()-3,_自动清单!$CQ$4:$CQ$5803,0),"")</f>
        <v/>
      </c>
    </row>
    <row r="488" spans="1:26">
      <c r="A488" s="24" t="str">
        <f t="shared" si="21"/>
        <v/>
      </c>
      <c r="B488" s="38" t="str">
        <f>IF($Z488="","",IF($Z488&lt;=2000,IF(INDEX(包装物料出入库明细!$B$4:$B$2003,$Z488-0)=0,"",INDEX(包装物料出入库明细!$B$4:$B$2003,$Z488-0)),IF($Z488&lt;=4000,IF(INDEX(周转筐出入库明细!$B$4:$B$2004,$Z488-2000)=0,"",INDEX(周转筐出入库明细!$B$4:$B$2004,$Z488-2000)),IF($Z488&lt;=5200,IF(INDEX(客户自备加工筐明细!$B$4:$B$1203,$Z488-4000)=0,"",INDEX(客户自备加工筐明细!$B$4:$B$1203,$Z488-4000)),IF($Z488&lt;=5800,IF(INDEX(次果筐明细!$B$4:$B$603,$Z488-5200)=0,"",INDEX(次果筐明细!$B$4:$B$603,$Z488-5200)),"")))))</f>
        <v/>
      </c>
      <c r="C488" s="37" t="str">
        <f>IF($Z488="","",IF($Z488&lt;=2000,IF(INDEX(包装物料出入库明细!$D$4:$D$2003,$Z488-0)=0,"",INDEX(包装物料出入库明细!$D$4:$D$2003,$Z488-0)),IF($Z488&lt;=4000,IF(INDEX(周转筐出入库明细!$C$4:$C$2004,$Z488-2000)=0,"",INDEX(周转筐出入库明细!$C$4:$C$2004,$Z488-2000)),IF($Z488&lt;=5200,IF(INDEX(客户自备加工筐明细!$E$4:$E$1203,$Z488-4000)=0,"",INDEX(客户自备加工筐明细!$E$4:$E$1203,$Z488-4000)),IF($Z488&lt;=5800,IF(INDEX(次果筐明细!$C$4:$C$603,$Z488-5200)=0,"",INDEX(次果筐明细!$C$4:$C$603,$Z488-5200)),"")))))</f>
        <v/>
      </c>
      <c r="D488" s="37" t="str">
        <f>IF($Z488="","",IF($Z488&lt;=2000,"包装物料－"&amp;INDEX(包装物料出入库明细!$H$4:$H$2003,$Z488-0),IF($Z488&lt;=4000,"周转筐－"&amp;INDEX(周转筐出入库明细!$F$4:$F$2004,$Z488-2000),IF($Z488&lt;=5200,"客户自备筐－"&amp;INDEX(客户自备加工筐明细!$J$4:$J$1203,$Z488-4000),IF($Z488&lt;=5800,"次果筐/托盘－"&amp;INDEX(次果筐明细!$F$4:$F$603,$Z488-5200),"")))))</f>
        <v/>
      </c>
      <c r="E488" s="24" t="str">
        <f>IF($Z488="","",IF($Z488&lt;=2000,IF(INDEX(包装物料出入库明细!$C$4:$C$2003,$Z488-0)=0,"",INDEX(包装物料出入库明细!$C$4:$C$2003,$Z488-0)),IF($Z488&lt;=4000,IF(INDEX(周转筐出入库明细!$E$4:$E$2004,$Z488-2000)=0,"",INDEX(周转筐出入库明细!$E$4:$E$2004,$Z488-2000)),IF($Z488&lt;=5200,IF(INDEX(客户自备加工筐明细!$D$4:$D$1203,$Z488-4000)=0,"",INDEX(客户自备加工筐明细!$D$4:$D$1203,$Z488-4000)),IF($Z488&lt;=5800,IF(INDEX(次果筐明细!$E$4:$E$603,$Z488-5200)=0,"",INDEX(次果筐明细!$E$4:$E$603,$Z488-5200)),"")))))</f>
        <v/>
      </c>
      <c r="F488" s="24" t="str">
        <f>IF($Z488="","",IF($Z488&lt;=2000,IF(INDEX(包装物料出入库明细!$E$4:$E$2003,$Z488-0)=0,"",INDEX(包装物料出入库明细!$E$4:$E$2003,$Z488-0)),IF($Z488&lt;=4000,IF(INDEX(周转筐出入库明细!$D$4:$D$2004,$Z488-2000)=0,"",INDEX(周转筐出入库明细!$D$4:$D$2004,$Z488-2000)),IF($Z488&lt;=5200,IF(INDEX(客户自备加工筐明细!$C$4:$C$1203,$Z488-4000)=0,"",INDEX(客户自备加工筐明细!$C$4:$C$1203,$Z488-4000)),IF($Z488&lt;=5800,IF(INDEX(次果筐明细!$D$4:$D$603,$Z488-5200)=0,"",INDEX(次果筐明细!$D$4:$D$603,$Z488-5200)),"")))))</f>
        <v/>
      </c>
      <c r="G488" s="24" t="str">
        <f>IF($Z488="","",IF($Z488&lt;=2000,IF(INDEX(包装物料出入库明细!$F$4:$F$2003,$Z488-0)=0,"",INDEX(包装物料出入库明细!$F$4:$F$2003,$Z488-0)),IF($Z488&lt;=4000,"",IF($Z488&lt;=5200,"",IF($Z488&lt;=5800,"","")))))</f>
        <v/>
      </c>
      <c r="H488" s="39" t="str">
        <f>IF($Z488="","",IF($Z488&lt;=2000,IF(INDEX(包装物料出入库明细!$L$4:$L$2003,$Z488-0)=0,"",INDEX(包装物料出入库明细!$L$4:$L$2003,$Z488-0)),IF($Z488&lt;=4000,N(INDEX(周转筐出入库明细!$H$4:$H$2004,$Z488-2000))+N(INDEX(周转筐出入库明细!$I$4:$I$2004,$Z488-2000))+N(INDEX(周转筐出入库明细!$J$4:$J$2004,$Z488-2000))+N(INDEX(周转筐出入库明细!$K$4:$K$2004,$Z488-2000)),IF($Z488&lt;=5200,N(INDEX(客户自备加工筐明细!$F$4:$F$1203,$Z488-4000))+N(INDEX(客户自备加工筐明细!$G$4:$G$1203,$Z488-4000)),IF($Z488&lt;=5800,IF(INDEX(次果筐明细!$G$4:$G$603,$Z488-5200)=0,"",INDEX(次果筐明细!$G$4:$G$603,$Z488-5200)),"")))))</f>
        <v/>
      </c>
      <c r="I488" s="24" t="str">
        <f>IF($Z488="","",IF($Z488&lt;=2000,IF(INDEX(包装物料出入库明细!$G$4:$G$2003,$Z488-0)=0,"",INDEX(包装物料出入库明细!$G$4:$G$2003,$Z488-0)),IF($Z488&lt;=4000,"个",IF($Z488&lt;=5200,"个",IF($Z488&lt;=5800,"个","")))))</f>
        <v/>
      </c>
      <c r="J488" s="30" t="str">
        <f t="shared" si="22"/>
        <v/>
      </c>
      <c r="K488" s="30" t="str">
        <f>IF($Z488="","",IF($Z488&lt;=2000,IF(INDEX(包装物料出入库明细!$N$4:$N$2003,$Z488-0)=0,"",INDEX(包装物料出入库明细!$N$4:$N$2003,$Z488-0)),IF($Z488&lt;=4000,IF(INDEX(周转筐出入库明细!$P$4:$P$2004,$Z488-2000)=0,"",INDEX(周转筐出入库明细!$P$4:$P$2004,$Z488-2000)),IF($Z488&lt;=5200,"",IF($Z488&lt;=5800,N(INDEX(次果筐明细!$L$4:$L$603,$Z488-5200))+N(INDEX(次果筐明细!$J$4:$J$603,$Z488-5200)),"")))))</f>
        <v/>
      </c>
      <c r="L488" s="24" t="str">
        <f>IF($Z488="","",IF($Z488&lt;=2000,IF(INDEX(包装物料出入库明细!$P$4:$P$2003,$Z488-0)=0,"",INDEX(包装物料出入库明细!$P$4:$P$2003,$Z488-0)),IF($Z488&lt;=4000,IF(INDEX(周转筐出入库明细!$Q$4:$Q$2004,$Z488-2000)=0,"",INDEX(周转筐出入库明细!$Q$4:$Q$2004,$Z488-2000)),IF($Z488&lt;=5200,"",IF($Z488&lt;=5800,IF(INDEX(次果筐明细!$M$4:$M$603,$Z488-5200)=0,"",INDEX(次果筐明细!$M$4:$M$603,$Z488-5200)),"")))))</f>
        <v/>
      </c>
      <c r="M488" s="37" t="str">
        <f>IF($Z488="","",IF($Z488&lt;=2000,IF(INDEX(包装物料出入库明细!$R$4:$R$2003,$Z488-0)=0,"",INDEX(包装物料出入库明细!$R$4:$R$2003,$Z488-0)),IF($Z488&lt;=4000,IF(INDEX(周转筐出入库明细!$W$4:$W$2004,$Z488-2000)=0,"",INDEX(周转筐出入库明细!$W$4:$W$2004,$Z488-2000)),IF($Z488&lt;=5200,IF(INDEX(客户自备加工筐明细!$L$4:$L$1203,$Z488-4000)=0,"",INDEX(客户自备加工筐明细!$L$4:$L$1203,$Z488-4000)),IF($Z488&lt;=5800,IF(INDEX(次果筐明细!$P$4:$P$603,$Z488-5200)=0,"",INDEX(次果筐明细!$P$4:$P$603,$Z488-5200)),"")))))</f>
        <v/>
      </c>
      <c r="N488" s="16" t="str">
        <f>IF($Z488="","",IF($Z488&lt;=2000,"",IF($Z488&lt;=4000,IF(INDEX(周转筐出入库明细!$D$4:$D$2004,$Z488-2000)=0,"",INDEX(周转筐出入库明细!$D$4:$D$2004,$Z488-2000)),IF($Z488&lt;=5200,IF(INDEX(客户自备加工筐明细!$C$4:$C$1203,$Z488-4000)=0,"",INDEX(客户自备加工筐明细!$C$4:$C$1203,$Z488-4000)),IF($Z488&lt;=5800,IF(INDEX(次果筐明细!$D$4:$D$603,$Z488-5200)=0,"",INDEX(次果筐明细!$D$4:$D$603,$Z488-5200)),"")))))</f>
        <v/>
      </c>
      <c r="O488" s="40" t="str">
        <f>IF($Z488="","",IF($Z488&lt;=2000,"",IF($Z488&lt;=4000,IF(N(INDEX(周转筐出入库明细!$J$4:$J$2004,$Z488-2000))+N(INDEX(周转筐出入库明细!$K$4:$K$2004,$Z488-2000))=0,"",N(INDEX(周转筐出入库明细!$J$4:$J$2004,$Z488-2000))+N(INDEX(周转筐出入库明细!$K$4:$K$2004,$Z488-2000))),IF($Z488&lt;=5200,IF(N(INDEX(客户自备加工筐明细!$G$4:$G$1203,$Z488-4000))=0,"",N(INDEX(客户自备加工筐明细!$G$4:$G$1203,$Z488-4000))),IF($Z488&lt;=5800,IF(ISNUMBER(SEARCH("退",INDEX(次果筐明细!$F$4:$F$603,$Z488-5200)&amp;"")),"",IF(N(INDEX(次果筐明细!$G$4:$G$603,$Z488-5200))=0,"",N(INDEX(次果筐明细!$G$4:$G$603,$Z488-5200)))),"")))))</f>
        <v/>
      </c>
      <c r="P488" s="40" t="str">
        <f>IF($Z488="","",IF($Z488&lt;=2000,"",IF($Z488&lt;=4000,IF(N(INDEX(周转筐出入库明细!$I$4:$I$2004,$Z488-2000))=0,"",N(INDEX(周转筐出入库明细!$I$4:$I$2004,$Z488-2000))),IF($Z488&lt;=5200,"",IF($Z488&lt;=5800,IF(ISNUMBER(SEARCH("退",INDEX(次果筐明细!$F$4:$F$603,$Z488-5200)&amp;"")),IF(N(INDEX(次果筐明细!$G$4:$G$603,$Z488-5200))=0,"",N(INDEX(次果筐明细!$G$4:$G$603,$Z488-5200))),""),"")))))</f>
        <v/>
      </c>
      <c r="Q488" s="40" t="str">
        <f>IF($Z488="","",IF($Z488&lt;=2000,"",IF($Z488&lt;=4000,IF(N(INDEX(周转筐出入库明细!$H$4:$H$2004,$Z488-2000))=0,"",N(INDEX(周转筐出入库明细!$H$4:$H$2004,$Z488-2000))),IF($Z488&lt;=5200,IF(N(INDEX(客户自备加工筐明细!$F$4:$F$1203,$Z488-4000))=0,"",N(INDEX(客户自备加工筐明细!$F$4:$F$1203,$Z488-4000))),IF($Z488&lt;=5800,"","")))))</f>
        <v/>
      </c>
      <c r="R488" s="16" t="str">
        <f>IF($Z488="","",IF($Z488&lt;=2000,IF(INDEX(包装物料出入库明细!$O$4:$O$2003,$Z488-0)=0,"",INDEX(包装物料出入库明细!$O$4:$O$2003,$Z488-0)),IF($Z488&lt;=4000,IF(INDEX(周转筐出入库明细!$M$4:$M$2004,$Z488-2000)=0,"",INDEX(周转筐出入库明细!$M$4:$M$2004,$Z488-2000)),IF($Z488&lt;=5200,IF(INDEX(客户自备加工筐明细!$H$4:$H$1203,$Z488-4000)=0,"",INDEX(客户自备加工筐明细!$H$4:$H$1203,$Z488-4000)),IF($Z488&lt;=5800,IF(INDEX(次果筐明细!$H$4:$H$603,$Z488-5200)=0,"",INDEX(次果筐明细!$H$4:$H$603,$Z488-5200)),"")))))</f>
        <v/>
      </c>
      <c r="S488" s="22" t="str">
        <f t="shared" si="23"/>
        <v/>
      </c>
      <c r="Z488" s="10" t="str">
        <f>IFERROR(MATCH(ROW()-3,_自动清单!$CQ$4:$CQ$5803,0),"")</f>
        <v/>
      </c>
    </row>
    <row r="489" spans="1:26">
      <c r="A489" s="24" t="str">
        <f t="shared" si="21"/>
        <v/>
      </c>
      <c r="B489" s="38" t="str">
        <f>IF($Z489="","",IF($Z489&lt;=2000,IF(INDEX(包装物料出入库明细!$B$4:$B$2003,$Z489-0)=0,"",INDEX(包装物料出入库明细!$B$4:$B$2003,$Z489-0)),IF($Z489&lt;=4000,IF(INDEX(周转筐出入库明细!$B$4:$B$2004,$Z489-2000)=0,"",INDEX(周转筐出入库明细!$B$4:$B$2004,$Z489-2000)),IF($Z489&lt;=5200,IF(INDEX(客户自备加工筐明细!$B$4:$B$1203,$Z489-4000)=0,"",INDEX(客户自备加工筐明细!$B$4:$B$1203,$Z489-4000)),IF($Z489&lt;=5800,IF(INDEX(次果筐明细!$B$4:$B$603,$Z489-5200)=0,"",INDEX(次果筐明细!$B$4:$B$603,$Z489-5200)),"")))))</f>
        <v/>
      </c>
      <c r="C489" s="37" t="str">
        <f>IF($Z489="","",IF($Z489&lt;=2000,IF(INDEX(包装物料出入库明细!$D$4:$D$2003,$Z489-0)=0,"",INDEX(包装物料出入库明细!$D$4:$D$2003,$Z489-0)),IF($Z489&lt;=4000,IF(INDEX(周转筐出入库明细!$C$4:$C$2004,$Z489-2000)=0,"",INDEX(周转筐出入库明细!$C$4:$C$2004,$Z489-2000)),IF($Z489&lt;=5200,IF(INDEX(客户自备加工筐明细!$E$4:$E$1203,$Z489-4000)=0,"",INDEX(客户自备加工筐明细!$E$4:$E$1203,$Z489-4000)),IF($Z489&lt;=5800,IF(INDEX(次果筐明细!$C$4:$C$603,$Z489-5200)=0,"",INDEX(次果筐明细!$C$4:$C$603,$Z489-5200)),"")))))</f>
        <v/>
      </c>
      <c r="D489" s="37" t="str">
        <f>IF($Z489="","",IF($Z489&lt;=2000,"包装物料－"&amp;INDEX(包装物料出入库明细!$H$4:$H$2003,$Z489-0),IF($Z489&lt;=4000,"周转筐－"&amp;INDEX(周转筐出入库明细!$F$4:$F$2004,$Z489-2000),IF($Z489&lt;=5200,"客户自备筐－"&amp;INDEX(客户自备加工筐明细!$J$4:$J$1203,$Z489-4000),IF($Z489&lt;=5800,"次果筐/托盘－"&amp;INDEX(次果筐明细!$F$4:$F$603,$Z489-5200),"")))))</f>
        <v/>
      </c>
      <c r="E489" s="24" t="str">
        <f>IF($Z489="","",IF($Z489&lt;=2000,IF(INDEX(包装物料出入库明细!$C$4:$C$2003,$Z489-0)=0,"",INDEX(包装物料出入库明细!$C$4:$C$2003,$Z489-0)),IF($Z489&lt;=4000,IF(INDEX(周转筐出入库明细!$E$4:$E$2004,$Z489-2000)=0,"",INDEX(周转筐出入库明细!$E$4:$E$2004,$Z489-2000)),IF($Z489&lt;=5200,IF(INDEX(客户自备加工筐明细!$D$4:$D$1203,$Z489-4000)=0,"",INDEX(客户自备加工筐明细!$D$4:$D$1203,$Z489-4000)),IF($Z489&lt;=5800,IF(INDEX(次果筐明细!$E$4:$E$603,$Z489-5200)=0,"",INDEX(次果筐明细!$E$4:$E$603,$Z489-5200)),"")))))</f>
        <v/>
      </c>
      <c r="F489" s="24" t="str">
        <f>IF($Z489="","",IF($Z489&lt;=2000,IF(INDEX(包装物料出入库明细!$E$4:$E$2003,$Z489-0)=0,"",INDEX(包装物料出入库明细!$E$4:$E$2003,$Z489-0)),IF($Z489&lt;=4000,IF(INDEX(周转筐出入库明细!$D$4:$D$2004,$Z489-2000)=0,"",INDEX(周转筐出入库明细!$D$4:$D$2004,$Z489-2000)),IF($Z489&lt;=5200,IF(INDEX(客户自备加工筐明细!$C$4:$C$1203,$Z489-4000)=0,"",INDEX(客户自备加工筐明细!$C$4:$C$1203,$Z489-4000)),IF($Z489&lt;=5800,IF(INDEX(次果筐明细!$D$4:$D$603,$Z489-5200)=0,"",INDEX(次果筐明细!$D$4:$D$603,$Z489-5200)),"")))))</f>
        <v/>
      </c>
      <c r="G489" s="24" t="str">
        <f>IF($Z489="","",IF($Z489&lt;=2000,IF(INDEX(包装物料出入库明细!$F$4:$F$2003,$Z489-0)=0,"",INDEX(包装物料出入库明细!$F$4:$F$2003,$Z489-0)),IF($Z489&lt;=4000,"",IF($Z489&lt;=5200,"",IF($Z489&lt;=5800,"","")))))</f>
        <v/>
      </c>
      <c r="H489" s="39" t="str">
        <f>IF($Z489="","",IF($Z489&lt;=2000,IF(INDEX(包装物料出入库明细!$L$4:$L$2003,$Z489-0)=0,"",INDEX(包装物料出入库明细!$L$4:$L$2003,$Z489-0)),IF($Z489&lt;=4000,N(INDEX(周转筐出入库明细!$H$4:$H$2004,$Z489-2000))+N(INDEX(周转筐出入库明细!$I$4:$I$2004,$Z489-2000))+N(INDEX(周转筐出入库明细!$J$4:$J$2004,$Z489-2000))+N(INDEX(周转筐出入库明细!$K$4:$K$2004,$Z489-2000)),IF($Z489&lt;=5200,N(INDEX(客户自备加工筐明细!$F$4:$F$1203,$Z489-4000))+N(INDEX(客户自备加工筐明细!$G$4:$G$1203,$Z489-4000)),IF($Z489&lt;=5800,IF(INDEX(次果筐明细!$G$4:$G$603,$Z489-5200)=0,"",INDEX(次果筐明细!$G$4:$G$603,$Z489-5200)),"")))))</f>
        <v/>
      </c>
      <c r="I489" s="24" t="str">
        <f>IF($Z489="","",IF($Z489&lt;=2000,IF(INDEX(包装物料出入库明细!$G$4:$G$2003,$Z489-0)=0,"",INDEX(包装物料出入库明细!$G$4:$G$2003,$Z489-0)),IF($Z489&lt;=4000,"个",IF($Z489&lt;=5200,"个",IF($Z489&lt;=5800,"个","")))))</f>
        <v/>
      </c>
      <c r="J489" s="30" t="str">
        <f t="shared" si="22"/>
        <v/>
      </c>
      <c r="K489" s="30" t="str">
        <f>IF($Z489="","",IF($Z489&lt;=2000,IF(INDEX(包装物料出入库明细!$N$4:$N$2003,$Z489-0)=0,"",INDEX(包装物料出入库明细!$N$4:$N$2003,$Z489-0)),IF($Z489&lt;=4000,IF(INDEX(周转筐出入库明细!$P$4:$P$2004,$Z489-2000)=0,"",INDEX(周转筐出入库明细!$P$4:$P$2004,$Z489-2000)),IF($Z489&lt;=5200,"",IF($Z489&lt;=5800,N(INDEX(次果筐明细!$L$4:$L$603,$Z489-5200))+N(INDEX(次果筐明细!$J$4:$J$603,$Z489-5200)),"")))))</f>
        <v/>
      </c>
      <c r="L489" s="24" t="str">
        <f>IF($Z489="","",IF($Z489&lt;=2000,IF(INDEX(包装物料出入库明细!$P$4:$P$2003,$Z489-0)=0,"",INDEX(包装物料出入库明细!$P$4:$P$2003,$Z489-0)),IF($Z489&lt;=4000,IF(INDEX(周转筐出入库明细!$Q$4:$Q$2004,$Z489-2000)=0,"",INDEX(周转筐出入库明细!$Q$4:$Q$2004,$Z489-2000)),IF($Z489&lt;=5200,"",IF($Z489&lt;=5800,IF(INDEX(次果筐明细!$M$4:$M$603,$Z489-5200)=0,"",INDEX(次果筐明细!$M$4:$M$603,$Z489-5200)),"")))))</f>
        <v/>
      </c>
      <c r="M489" s="37" t="str">
        <f>IF($Z489="","",IF($Z489&lt;=2000,IF(INDEX(包装物料出入库明细!$R$4:$R$2003,$Z489-0)=0,"",INDEX(包装物料出入库明细!$R$4:$R$2003,$Z489-0)),IF($Z489&lt;=4000,IF(INDEX(周转筐出入库明细!$W$4:$W$2004,$Z489-2000)=0,"",INDEX(周转筐出入库明细!$W$4:$W$2004,$Z489-2000)),IF($Z489&lt;=5200,IF(INDEX(客户自备加工筐明细!$L$4:$L$1203,$Z489-4000)=0,"",INDEX(客户自备加工筐明细!$L$4:$L$1203,$Z489-4000)),IF($Z489&lt;=5800,IF(INDEX(次果筐明细!$P$4:$P$603,$Z489-5200)=0,"",INDEX(次果筐明细!$P$4:$P$603,$Z489-5200)),"")))))</f>
        <v/>
      </c>
      <c r="N489" s="16" t="str">
        <f>IF($Z489="","",IF($Z489&lt;=2000,"",IF($Z489&lt;=4000,IF(INDEX(周转筐出入库明细!$D$4:$D$2004,$Z489-2000)=0,"",INDEX(周转筐出入库明细!$D$4:$D$2004,$Z489-2000)),IF($Z489&lt;=5200,IF(INDEX(客户自备加工筐明细!$C$4:$C$1203,$Z489-4000)=0,"",INDEX(客户自备加工筐明细!$C$4:$C$1203,$Z489-4000)),IF($Z489&lt;=5800,IF(INDEX(次果筐明细!$D$4:$D$603,$Z489-5200)=0,"",INDEX(次果筐明细!$D$4:$D$603,$Z489-5200)),"")))))</f>
        <v/>
      </c>
      <c r="O489" s="40" t="str">
        <f>IF($Z489="","",IF($Z489&lt;=2000,"",IF($Z489&lt;=4000,IF(N(INDEX(周转筐出入库明细!$J$4:$J$2004,$Z489-2000))+N(INDEX(周转筐出入库明细!$K$4:$K$2004,$Z489-2000))=0,"",N(INDEX(周转筐出入库明细!$J$4:$J$2004,$Z489-2000))+N(INDEX(周转筐出入库明细!$K$4:$K$2004,$Z489-2000))),IF($Z489&lt;=5200,IF(N(INDEX(客户自备加工筐明细!$G$4:$G$1203,$Z489-4000))=0,"",N(INDEX(客户自备加工筐明细!$G$4:$G$1203,$Z489-4000))),IF($Z489&lt;=5800,IF(ISNUMBER(SEARCH("退",INDEX(次果筐明细!$F$4:$F$603,$Z489-5200)&amp;"")),"",IF(N(INDEX(次果筐明细!$G$4:$G$603,$Z489-5200))=0,"",N(INDEX(次果筐明细!$G$4:$G$603,$Z489-5200)))),"")))))</f>
        <v/>
      </c>
      <c r="P489" s="40" t="str">
        <f>IF($Z489="","",IF($Z489&lt;=2000,"",IF($Z489&lt;=4000,IF(N(INDEX(周转筐出入库明细!$I$4:$I$2004,$Z489-2000))=0,"",N(INDEX(周转筐出入库明细!$I$4:$I$2004,$Z489-2000))),IF($Z489&lt;=5200,"",IF($Z489&lt;=5800,IF(ISNUMBER(SEARCH("退",INDEX(次果筐明细!$F$4:$F$603,$Z489-5200)&amp;"")),IF(N(INDEX(次果筐明细!$G$4:$G$603,$Z489-5200))=0,"",N(INDEX(次果筐明细!$G$4:$G$603,$Z489-5200))),""),"")))))</f>
        <v/>
      </c>
      <c r="Q489" s="40" t="str">
        <f>IF($Z489="","",IF($Z489&lt;=2000,"",IF($Z489&lt;=4000,IF(N(INDEX(周转筐出入库明细!$H$4:$H$2004,$Z489-2000))=0,"",N(INDEX(周转筐出入库明细!$H$4:$H$2004,$Z489-2000))),IF($Z489&lt;=5200,IF(N(INDEX(客户自备加工筐明细!$F$4:$F$1203,$Z489-4000))=0,"",N(INDEX(客户自备加工筐明细!$F$4:$F$1203,$Z489-4000))),IF($Z489&lt;=5800,"","")))))</f>
        <v/>
      </c>
      <c r="R489" s="16" t="str">
        <f>IF($Z489="","",IF($Z489&lt;=2000,IF(INDEX(包装物料出入库明细!$O$4:$O$2003,$Z489-0)=0,"",INDEX(包装物料出入库明细!$O$4:$O$2003,$Z489-0)),IF($Z489&lt;=4000,IF(INDEX(周转筐出入库明细!$M$4:$M$2004,$Z489-2000)=0,"",INDEX(周转筐出入库明细!$M$4:$M$2004,$Z489-2000)),IF($Z489&lt;=5200,IF(INDEX(客户自备加工筐明细!$H$4:$H$1203,$Z489-4000)=0,"",INDEX(客户自备加工筐明细!$H$4:$H$1203,$Z489-4000)),IF($Z489&lt;=5800,IF(INDEX(次果筐明细!$H$4:$H$603,$Z489-5200)=0,"",INDEX(次果筐明细!$H$4:$H$603,$Z489-5200)),"")))))</f>
        <v/>
      </c>
      <c r="S489" s="22" t="str">
        <f t="shared" si="23"/>
        <v/>
      </c>
      <c r="Z489" s="10" t="str">
        <f>IFERROR(MATCH(ROW()-3,_自动清单!$CQ$4:$CQ$5803,0),"")</f>
        <v/>
      </c>
    </row>
    <row r="490" spans="1:26">
      <c r="A490" s="24" t="str">
        <f t="shared" si="21"/>
        <v/>
      </c>
      <c r="B490" s="38" t="str">
        <f>IF($Z490="","",IF($Z490&lt;=2000,IF(INDEX(包装物料出入库明细!$B$4:$B$2003,$Z490-0)=0,"",INDEX(包装物料出入库明细!$B$4:$B$2003,$Z490-0)),IF($Z490&lt;=4000,IF(INDEX(周转筐出入库明细!$B$4:$B$2004,$Z490-2000)=0,"",INDEX(周转筐出入库明细!$B$4:$B$2004,$Z490-2000)),IF($Z490&lt;=5200,IF(INDEX(客户自备加工筐明细!$B$4:$B$1203,$Z490-4000)=0,"",INDEX(客户自备加工筐明细!$B$4:$B$1203,$Z490-4000)),IF($Z490&lt;=5800,IF(INDEX(次果筐明细!$B$4:$B$603,$Z490-5200)=0,"",INDEX(次果筐明细!$B$4:$B$603,$Z490-5200)),"")))))</f>
        <v/>
      </c>
      <c r="C490" s="37" t="str">
        <f>IF($Z490="","",IF($Z490&lt;=2000,IF(INDEX(包装物料出入库明细!$D$4:$D$2003,$Z490-0)=0,"",INDEX(包装物料出入库明细!$D$4:$D$2003,$Z490-0)),IF($Z490&lt;=4000,IF(INDEX(周转筐出入库明细!$C$4:$C$2004,$Z490-2000)=0,"",INDEX(周转筐出入库明细!$C$4:$C$2004,$Z490-2000)),IF($Z490&lt;=5200,IF(INDEX(客户自备加工筐明细!$E$4:$E$1203,$Z490-4000)=0,"",INDEX(客户自备加工筐明细!$E$4:$E$1203,$Z490-4000)),IF($Z490&lt;=5800,IF(INDEX(次果筐明细!$C$4:$C$603,$Z490-5200)=0,"",INDEX(次果筐明细!$C$4:$C$603,$Z490-5200)),"")))))</f>
        <v/>
      </c>
      <c r="D490" s="37" t="str">
        <f>IF($Z490="","",IF($Z490&lt;=2000,"包装物料－"&amp;INDEX(包装物料出入库明细!$H$4:$H$2003,$Z490-0),IF($Z490&lt;=4000,"周转筐－"&amp;INDEX(周转筐出入库明细!$F$4:$F$2004,$Z490-2000),IF($Z490&lt;=5200,"客户自备筐－"&amp;INDEX(客户自备加工筐明细!$J$4:$J$1203,$Z490-4000),IF($Z490&lt;=5800,"次果筐/托盘－"&amp;INDEX(次果筐明细!$F$4:$F$603,$Z490-5200),"")))))</f>
        <v/>
      </c>
      <c r="E490" s="24" t="str">
        <f>IF($Z490="","",IF($Z490&lt;=2000,IF(INDEX(包装物料出入库明细!$C$4:$C$2003,$Z490-0)=0,"",INDEX(包装物料出入库明细!$C$4:$C$2003,$Z490-0)),IF($Z490&lt;=4000,IF(INDEX(周转筐出入库明细!$E$4:$E$2004,$Z490-2000)=0,"",INDEX(周转筐出入库明细!$E$4:$E$2004,$Z490-2000)),IF($Z490&lt;=5200,IF(INDEX(客户自备加工筐明细!$D$4:$D$1203,$Z490-4000)=0,"",INDEX(客户自备加工筐明细!$D$4:$D$1203,$Z490-4000)),IF($Z490&lt;=5800,IF(INDEX(次果筐明细!$E$4:$E$603,$Z490-5200)=0,"",INDEX(次果筐明细!$E$4:$E$603,$Z490-5200)),"")))))</f>
        <v/>
      </c>
      <c r="F490" s="24" t="str">
        <f>IF($Z490="","",IF($Z490&lt;=2000,IF(INDEX(包装物料出入库明细!$E$4:$E$2003,$Z490-0)=0,"",INDEX(包装物料出入库明细!$E$4:$E$2003,$Z490-0)),IF($Z490&lt;=4000,IF(INDEX(周转筐出入库明细!$D$4:$D$2004,$Z490-2000)=0,"",INDEX(周转筐出入库明细!$D$4:$D$2004,$Z490-2000)),IF($Z490&lt;=5200,IF(INDEX(客户自备加工筐明细!$C$4:$C$1203,$Z490-4000)=0,"",INDEX(客户自备加工筐明细!$C$4:$C$1203,$Z490-4000)),IF($Z490&lt;=5800,IF(INDEX(次果筐明细!$D$4:$D$603,$Z490-5200)=0,"",INDEX(次果筐明细!$D$4:$D$603,$Z490-5200)),"")))))</f>
        <v/>
      </c>
      <c r="G490" s="24" t="str">
        <f>IF($Z490="","",IF($Z490&lt;=2000,IF(INDEX(包装物料出入库明细!$F$4:$F$2003,$Z490-0)=0,"",INDEX(包装物料出入库明细!$F$4:$F$2003,$Z490-0)),IF($Z490&lt;=4000,"",IF($Z490&lt;=5200,"",IF($Z490&lt;=5800,"","")))))</f>
        <v/>
      </c>
      <c r="H490" s="39" t="str">
        <f>IF($Z490="","",IF($Z490&lt;=2000,IF(INDEX(包装物料出入库明细!$L$4:$L$2003,$Z490-0)=0,"",INDEX(包装物料出入库明细!$L$4:$L$2003,$Z490-0)),IF($Z490&lt;=4000,N(INDEX(周转筐出入库明细!$H$4:$H$2004,$Z490-2000))+N(INDEX(周转筐出入库明细!$I$4:$I$2004,$Z490-2000))+N(INDEX(周转筐出入库明细!$J$4:$J$2004,$Z490-2000))+N(INDEX(周转筐出入库明细!$K$4:$K$2004,$Z490-2000)),IF($Z490&lt;=5200,N(INDEX(客户自备加工筐明细!$F$4:$F$1203,$Z490-4000))+N(INDEX(客户自备加工筐明细!$G$4:$G$1203,$Z490-4000)),IF($Z490&lt;=5800,IF(INDEX(次果筐明细!$G$4:$G$603,$Z490-5200)=0,"",INDEX(次果筐明细!$G$4:$G$603,$Z490-5200)),"")))))</f>
        <v/>
      </c>
      <c r="I490" s="24" t="str">
        <f>IF($Z490="","",IF($Z490&lt;=2000,IF(INDEX(包装物料出入库明细!$G$4:$G$2003,$Z490-0)=0,"",INDEX(包装物料出入库明细!$G$4:$G$2003,$Z490-0)),IF($Z490&lt;=4000,"个",IF($Z490&lt;=5200,"个",IF($Z490&lt;=5800,"个","")))))</f>
        <v/>
      </c>
      <c r="J490" s="30" t="str">
        <f t="shared" si="22"/>
        <v/>
      </c>
      <c r="K490" s="30" t="str">
        <f>IF($Z490="","",IF($Z490&lt;=2000,IF(INDEX(包装物料出入库明细!$N$4:$N$2003,$Z490-0)=0,"",INDEX(包装物料出入库明细!$N$4:$N$2003,$Z490-0)),IF($Z490&lt;=4000,IF(INDEX(周转筐出入库明细!$P$4:$P$2004,$Z490-2000)=0,"",INDEX(周转筐出入库明细!$P$4:$P$2004,$Z490-2000)),IF($Z490&lt;=5200,"",IF($Z490&lt;=5800,N(INDEX(次果筐明细!$L$4:$L$603,$Z490-5200))+N(INDEX(次果筐明细!$J$4:$J$603,$Z490-5200)),"")))))</f>
        <v/>
      </c>
      <c r="L490" s="24" t="str">
        <f>IF($Z490="","",IF($Z490&lt;=2000,IF(INDEX(包装物料出入库明细!$P$4:$P$2003,$Z490-0)=0,"",INDEX(包装物料出入库明细!$P$4:$P$2003,$Z490-0)),IF($Z490&lt;=4000,IF(INDEX(周转筐出入库明细!$Q$4:$Q$2004,$Z490-2000)=0,"",INDEX(周转筐出入库明细!$Q$4:$Q$2004,$Z490-2000)),IF($Z490&lt;=5200,"",IF($Z490&lt;=5800,IF(INDEX(次果筐明细!$M$4:$M$603,$Z490-5200)=0,"",INDEX(次果筐明细!$M$4:$M$603,$Z490-5200)),"")))))</f>
        <v/>
      </c>
      <c r="M490" s="37" t="str">
        <f>IF($Z490="","",IF($Z490&lt;=2000,IF(INDEX(包装物料出入库明细!$R$4:$R$2003,$Z490-0)=0,"",INDEX(包装物料出入库明细!$R$4:$R$2003,$Z490-0)),IF($Z490&lt;=4000,IF(INDEX(周转筐出入库明细!$W$4:$W$2004,$Z490-2000)=0,"",INDEX(周转筐出入库明细!$W$4:$W$2004,$Z490-2000)),IF($Z490&lt;=5200,IF(INDEX(客户自备加工筐明细!$L$4:$L$1203,$Z490-4000)=0,"",INDEX(客户自备加工筐明细!$L$4:$L$1203,$Z490-4000)),IF($Z490&lt;=5800,IF(INDEX(次果筐明细!$P$4:$P$603,$Z490-5200)=0,"",INDEX(次果筐明细!$P$4:$P$603,$Z490-5200)),"")))))</f>
        <v/>
      </c>
      <c r="N490" s="16" t="str">
        <f>IF($Z490="","",IF($Z490&lt;=2000,"",IF($Z490&lt;=4000,IF(INDEX(周转筐出入库明细!$D$4:$D$2004,$Z490-2000)=0,"",INDEX(周转筐出入库明细!$D$4:$D$2004,$Z490-2000)),IF($Z490&lt;=5200,IF(INDEX(客户自备加工筐明细!$C$4:$C$1203,$Z490-4000)=0,"",INDEX(客户自备加工筐明细!$C$4:$C$1203,$Z490-4000)),IF($Z490&lt;=5800,IF(INDEX(次果筐明细!$D$4:$D$603,$Z490-5200)=0,"",INDEX(次果筐明细!$D$4:$D$603,$Z490-5200)),"")))))</f>
        <v/>
      </c>
      <c r="O490" s="40" t="str">
        <f>IF($Z490="","",IF($Z490&lt;=2000,"",IF($Z490&lt;=4000,IF(N(INDEX(周转筐出入库明细!$J$4:$J$2004,$Z490-2000))+N(INDEX(周转筐出入库明细!$K$4:$K$2004,$Z490-2000))=0,"",N(INDEX(周转筐出入库明细!$J$4:$J$2004,$Z490-2000))+N(INDEX(周转筐出入库明细!$K$4:$K$2004,$Z490-2000))),IF($Z490&lt;=5200,IF(N(INDEX(客户自备加工筐明细!$G$4:$G$1203,$Z490-4000))=0,"",N(INDEX(客户自备加工筐明细!$G$4:$G$1203,$Z490-4000))),IF($Z490&lt;=5800,IF(ISNUMBER(SEARCH("退",INDEX(次果筐明细!$F$4:$F$603,$Z490-5200)&amp;"")),"",IF(N(INDEX(次果筐明细!$G$4:$G$603,$Z490-5200))=0,"",N(INDEX(次果筐明细!$G$4:$G$603,$Z490-5200)))),"")))))</f>
        <v/>
      </c>
      <c r="P490" s="40" t="str">
        <f>IF($Z490="","",IF($Z490&lt;=2000,"",IF($Z490&lt;=4000,IF(N(INDEX(周转筐出入库明细!$I$4:$I$2004,$Z490-2000))=0,"",N(INDEX(周转筐出入库明细!$I$4:$I$2004,$Z490-2000))),IF($Z490&lt;=5200,"",IF($Z490&lt;=5800,IF(ISNUMBER(SEARCH("退",INDEX(次果筐明细!$F$4:$F$603,$Z490-5200)&amp;"")),IF(N(INDEX(次果筐明细!$G$4:$G$603,$Z490-5200))=0,"",N(INDEX(次果筐明细!$G$4:$G$603,$Z490-5200))),""),"")))))</f>
        <v/>
      </c>
      <c r="Q490" s="40" t="str">
        <f>IF($Z490="","",IF($Z490&lt;=2000,"",IF($Z490&lt;=4000,IF(N(INDEX(周转筐出入库明细!$H$4:$H$2004,$Z490-2000))=0,"",N(INDEX(周转筐出入库明细!$H$4:$H$2004,$Z490-2000))),IF($Z490&lt;=5200,IF(N(INDEX(客户自备加工筐明细!$F$4:$F$1203,$Z490-4000))=0,"",N(INDEX(客户自备加工筐明细!$F$4:$F$1203,$Z490-4000))),IF($Z490&lt;=5800,"","")))))</f>
        <v/>
      </c>
      <c r="R490" s="16" t="str">
        <f>IF($Z490="","",IF($Z490&lt;=2000,IF(INDEX(包装物料出入库明细!$O$4:$O$2003,$Z490-0)=0,"",INDEX(包装物料出入库明细!$O$4:$O$2003,$Z490-0)),IF($Z490&lt;=4000,IF(INDEX(周转筐出入库明细!$M$4:$M$2004,$Z490-2000)=0,"",INDEX(周转筐出入库明细!$M$4:$M$2004,$Z490-2000)),IF($Z490&lt;=5200,IF(INDEX(客户自备加工筐明细!$H$4:$H$1203,$Z490-4000)=0,"",INDEX(客户自备加工筐明细!$H$4:$H$1203,$Z490-4000)),IF($Z490&lt;=5800,IF(INDEX(次果筐明细!$H$4:$H$603,$Z490-5200)=0,"",INDEX(次果筐明细!$H$4:$H$603,$Z490-5200)),"")))))</f>
        <v/>
      </c>
      <c r="S490" s="22" t="str">
        <f t="shared" si="23"/>
        <v/>
      </c>
      <c r="Z490" s="10" t="str">
        <f>IFERROR(MATCH(ROW()-3,_自动清单!$CQ$4:$CQ$5803,0),"")</f>
        <v/>
      </c>
    </row>
    <row r="491" spans="1:26">
      <c r="A491" s="24" t="str">
        <f t="shared" si="21"/>
        <v/>
      </c>
      <c r="B491" s="38" t="str">
        <f>IF($Z491="","",IF($Z491&lt;=2000,IF(INDEX(包装物料出入库明细!$B$4:$B$2003,$Z491-0)=0,"",INDEX(包装物料出入库明细!$B$4:$B$2003,$Z491-0)),IF($Z491&lt;=4000,IF(INDEX(周转筐出入库明细!$B$4:$B$2004,$Z491-2000)=0,"",INDEX(周转筐出入库明细!$B$4:$B$2004,$Z491-2000)),IF($Z491&lt;=5200,IF(INDEX(客户自备加工筐明细!$B$4:$B$1203,$Z491-4000)=0,"",INDEX(客户自备加工筐明细!$B$4:$B$1203,$Z491-4000)),IF($Z491&lt;=5800,IF(INDEX(次果筐明细!$B$4:$B$603,$Z491-5200)=0,"",INDEX(次果筐明细!$B$4:$B$603,$Z491-5200)),"")))))</f>
        <v/>
      </c>
      <c r="C491" s="37" t="str">
        <f>IF($Z491="","",IF($Z491&lt;=2000,IF(INDEX(包装物料出入库明细!$D$4:$D$2003,$Z491-0)=0,"",INDEX(包装物料出入库明细!$D$4:$D$2003,$Z491-0)),IF($Z491&lt;=4000,IF(INDEX(周转筐出入库明细!$C$4:$C$2004,$Z491-2000)=0,"",INDEX(周转筐出入库明细!$C$4:$C$2004,$Z491-2000)),IF($Z491&lt;=5200,IF(INDEX(客户自备加工筐明细!$E$4:$E$1203,$Z491-4000)=0,"",INDEX(客户自备加工筐明细!$E$4:$E$1203,$Z491-4000)),IF($Z491&lt;=5800,IF(INDEX(次果筐明细!$C$4:$C$603,$Z491-5200)=0,"",INDEX(次果筐明细!$C$4:$C$603,$Z491-5200)),"")))))</f>
        <v/>
      </c>
      <c r="D491" s="37" t="str">
        <f>IF($Z491="","",IF($Z491&lt;=2000,"包装物料－"&amp;INDEX(包装物料出入库明细!$H$4:$H$2003,$Z491-0),IF($Z491&lt;=4000,"周转筐－"&amp;INDEX(周转筐出入库明细!$F$4:$F$2004,$Z491-2000),IF($Z491&lt;=5200,"客户自备筐－"&amp;INDEX(客户自备加工筐明细!$J$4:$J$1203,$Z491-4000),IF($Z491&lt;=5800,"次果筐/托盘－"&amp;INDEX(次果筐明细!$F$4:$F$603,$Z491-5200),"")))))</f>
        <v/>
      </c>
      <c r="E491" s="24" t="str">
        <f>IF($Z491="","",IF($Z491&lt;=2000,IF(INDEX(包装物料出入库明细!$C$4:$C$2003,$Z491-0)=0,"",INDEX(包装物料出入库明细!$C$4:$C$2003,$Z491-0)),IF($Z491&lt;=4000,IF(INDEX(周转筐出入库明细!$E$4:$E$2004,$Z491-2000)=0,"",INDEX(周转筐出入库明细!$E$4:$E$2004,$Z491-2000)),IF($Z491&lt;=5200,IF(INDEX(客户自备加工筐明细!$D$4:$D$1203,$Z491-4000)=0,"",INDEX(客户自备加工筐明细!$D$4:$D$1203,$Z491-4000)),IF($Z491&lt;=5800,IF(INDEX(次果筐明细!$E$4:$E$603,$Z491-5200)=0,"",INDEX(次果筐明细!$E$4:$E$603,$Z491-5200)),"")))))</f>
        <v/>
      </c>
      <c r="F491" s="24" t="str">
        <f>IF($Z491="","",IF($Z491&lt;=2000,IF(INDEX(包装物料出入库明细!$E$4:$E$2003,$Z491-0)=0,"",INDEX(包装物料出入库明细!$E$4:$E$2003,$Z491-0)),IF($Z491&lt;=4000,IF(INDEX(周转筐出入库明细!$D$4:$D$2004,$Z491-2000)=0,"",INDEX(周转筐出入库明细!$D$4:$D$2004,$Z491-2000)),IF($Z491&lt;=5200,IF(INDEX(客户自备加工筐明细!$C$4:$C$1203,$Z491-4000)=0,"",INDEX(客户自备加工筐明细!$C$4:$C$1203,$Z491-4000)),IF($Z491&lt;=5800,IF(INDEX(次果筐明细!$D$4:$D$603,$Z491-5200)=0,"",INDEX(次果筐明细!$D$4:$D$603,$Z491-5200)),"")))))</f>
        <v/>
      </c>
      <c r="G491" s="24" t="str">
        <f>IF($Z491="","",IF($Z491&lt;=2000,IF(INDEX(包装物料出入库明细!$F$4:$F$2003,$Z491-0)=0,"",INDEX(包装物料出入库明细!$F$4:$F$2003,$Z491-0)),IF($Z491&lt;=4000,"",IF($Z491&lt;=5200,"",IF($Z491&lt;=5800,"","")))))</f>
        <v/>
      </c>
      <c r="H491" s="39" t="str">
        <f>IF($Z491="","",IF($Z491&lt;=2000,IF(INDEX(包装物料出入库明细!$L$4:$L$2003,$Z491-0)=0,"",INDEX(包装物料出入库明细!$L$4:$L$2003,$Z491-0)),IF($Z491&lt;=4000,N(INDEX(周转筐出入库明细!$H$4:$H$2004,$Z491-2000))+N(INDEX(周转筐出入库明细!$I$4:$I$2004,$Z491-2000))+N(INDEX(周转筐出入库明细!$J$4:$J$2004,$Z491-2000))+N(INDEX(周转筐出入库明细!$K$4:$K$2004,$Z491-2000)),IF($Z491&lt;=5200,N(INDEX(客户自备加工筐明细!$F$4:$F$1203,$Z491-4000))+N(INDEX(客户自备加工筐明细!$G$4:$G$1203,$Z491-4000)),IF($Z491&lt;=5800,IF(INDEX(次果筐明细!$G$4:$G$603,$Z491-5200)=0,"",INDEX(次果筐明细!$G$4:$G$603,$Z491-5200)),"")))))</f>
        <v/>
      </c>
      <c r="I491" s="24" t="str">
        <f>IF($Z491="","",IF($Z491&lt;=2000,IF(INDEX(包装物料出入库明细!$G$4:$G$2003,$Z491-0)=0,"",INDEX(包装物料出入库明细!$G$4:$G$2003,$Z491-0)),IF($Z491&lt;=4000,"个",IF($Z491&lt;=5200,"个",IF($Z491&lt;=5800,"个","")))))</f>
        <v/>
      </c>
      <c r="J491" s="30" t="str">
        <f t="shared" si="22"/>
        <v/>
      </c>
      <c r="K491" s="30" t="str">
        <f>IF($Z491="","",IF($Z491&lt;=2000,IF(INDEX(包装物料出入库明细!$N$4:$N$2003,$Z491-0)=0,"",INDEX(包装物料出入库明细!$N$4:$N$2003,$Z491-0)),IF($Z491&lt;=4000,IF(INDEX(周转筐出入库明细!$P$4:$P$2004,$Z491-2000)=0,"",INDEX(周转筐出入库明细!$P$4:$P$2004,$Z491-2000)),IF($Z491&lt;=5200,"",IF($Z491&lt;=5800,N(INDEX(次果筐明细!$L$4:$L$603,$Z491-5200))+N(INDEX(次果筐明细!$J$4:$J$603,$Z491-5200)),"")))))</f>
        <v/>
      </c>
      <c r="L491" s="24" t="str">
        <f>IF($Z491="","",IF($Z491&lt;=2000,IF(INDEX(包装物料出入库明细!$P$4:$P$2003,$Z491-0)=0,"",INDEX(包装物料出入库明细!$P$4:$P$2003,$Z491-0)),IF($Z491&lt;=4000,IF(INDEX(周转筐出入库明细!$Q$4:$Q$2004,$Z491-2000)=0,"",INDEX(周转筐出入库明细!$Q$4:$Q$2004,$Z491-2000)),IF($Z491&lt;=5200,"",IF($Z491&lt;=5800,IF(INDEX(次果筐明细!$M$4:$M$603,$Z491-5200)=0,"",INDEX(次果筐明细!$M$4:$M$603,$Z491-5200)),"")))))</f>
        <v/>
      </c>
      <c r="M491" s="37" t="str">
        <f>IF($Z491="","",IF($Z491&lt;=2000,IF(INDEX(包装物料出入库明细!$R$4:$R$2003,$Z491-0)=0,"",INDEX(包装物料出入库明细!$R$4:$R$2003,$Z491-0)),IF($Z491&lt;=4000,IF(INDEX(周转筐出入库明细!$W$4:$W$2004,$Z491-2000)=0,"",INDEX(周转筐出入库明细!$W$4:$W$2004,$Z491-2000)),IF($Z491&lt;=5200,IF(INDEX(客户自备加工筐明细!$L$4:$L$1203,$Z491-4000)=0,"",INDEX(客户自备加工筐明细!$L$4:$L$1203,$Z491-4000)),IF($Z491&lt;=5800,IF(INDEX(次果筐明细!$P$4:$P$603,$Z491-5200)=0,"",INDEX(次果筐明细!$P$4:$P$603,$Z491-5200)),"")))))</f>
        <v/>
      </c>
      <c r="N491" s="16" t="str">
        <f>IF($Z491="","",IF($Z491&lt;=2000,"",IF($Z491&lt;=4000,IF(INDEX(周转筐出入库明细!$D$4:$D$2004,$Z491-2000)=0,"",INDEX(周转筐出入库明细!$D$4:$D$2004,$Z491-2000)),IF($Z491&lt;=5200,IF(INDEX(客户自备加工筐明细!$C$4:$C$1203,$Z491-4000)=0,"",INDEX(客户自备加工筐明细!$C$4:$C$1203,$Z491-4000)),IF($Z491&lt;=5800,IF(INDEX(次果筐明细!$D$4:$D$603,$Z491-5200)=0,"",INDEX(次果筐明细!$D$4:$D$603,$Z491-5200)),"")))))</f>
        <v/>
      </c>
      <c r="O491" s="40" t="str">
        <f>IF($Z491="","",IF($Z491&lt;=2000,"",IF($Z491&lt;=4000,IF(N(INDEX(周转筐出入库明细!$J$4:$J$2004,$Z491-2000))+N(INDEX(周转筐出入库明细!$K$4:$K$2004,$Z491-2000))=0,"",N(INDEX(周转筐出入库明细!$J$4:$J$2004,$Z491-2000))+N(INDEX(周转筐出入库明细!$K$4:$K$2004,$Z491-2000))),IF($Z491&lt;=5200,IF(N(INDEX(客户自备加工筐明细!$G$4:$G$1203,$Z491-4000))=0,"",N(INDEX(客户自备加工筐明细!$G$4:$G$1203,$Z491-4000))),IF($Z491&lt;=5800,IF(ISNUMBER(SEARCH("退",INDEX(次果筐明细!$F$4:$F$603,$Z491-5200)&amp;"")),"",IF(N(INDEX(次果筐明细!$G$4:$G$603,$Z491-5200))=0,"",N(INDEX(次果筐明细!$G$4:$G$603,$Z491-5200)))),"")))))</f>
        <v/>
      </c>
      <c r="P491" s="40" t="str">
        <f>IF($Z491="","",IF($Z491&lt;=2000,"",IF($Z491&lt;=4000,IF(N(INDEX(周转筐出入库明细!$I$4:$I$2004,$Z491-2000))=0,"",N(INDEX(周转筐出入库明细!$I$4:$I$2004,$Z491-2000))),IF($Z491&lt;=5200,"",IF($Z491&lt;=5800,IF(ISNUMBER(SEARCH("退",INDEX(次果筐明细!$F$4:$F$603,$Z491-5200)&amp;"")),IF(N(INDEX(次果筐明细!$G$4:$G$603,$Z491-5200))=0,"",N(INDEX(次果筐明细!$G$4:$G$603,$Z491-5200))),""),"")))))</f>
        <v/>
      </c>
      <c r="Q491" s="40" t="str">
        <f>IF($Z491="","",IF($Z491&lt;=2000,"",IF($Z491&lt;=4000,IF(N(INDEX(周转筐出入库明细!$H$4:$H$2004,$Z491-2000))=0,"",N(INDEX(周转筐出入库明细!$H$4:$H$2004,$Z491-2000))),IF($Z491&lt;=5200,IF(N(INDEX(客户自备加工筐明细!$F$4:$F$1203,$Z491-4000))=0,"",N(INDEX(客户自备加工筐明细!$F$4:$F$1203,$Z491-4000))),IF($Z491&lt;=5800,"","")))))</f>
        <v/>
      </c>
      <c r="R491" s="16" t="str">
        <f>IF($Z491="","",IF($Z491&lt;=2000,IF(INDEX(包装物料出入库明细!$O$4:$O$2003,$Z491-0)=0,"",INDEX(包装物料出入库明细!$O$4:$O$2003,$Z491-0)),IF($Z491&lt;=4000,IF(INDEX(周转筐出入库明细!$M$4:$M$2004,$Z491-2000)=0,"",INDEX(周转筐出入库明细!$M$4:$M$2004,$Z491-2000)),IF($Z491&lt;=5200,IF(INDEX(客户自备加工筐明细!$H$4:$H$1203,$Z491-4000)=0,"",INDEX(客户自备加工筐明细!$H$4:$H$1203,$Z491-4000)),IF($Z491&lt;=5800,IF(INDEX(次果筐明细!$H$4:$H$603,$Z491-5200)=0,"",INDEX(次果筐明细!$H$4:$H$603,$Z491-5200)),"")))))</f>
        <v/>
      </c>
      <c r="S491" s="22" t="str">
        <f t="shared" si="23"/>
        <v/>
      </c>
      <c r="Z491" s="10" t="str">
        <f>IFERROR(MATCH(ROW()-3,_自动清单!$CQ$4:$CQ$5803,0),"")</f>
        <v/>
      </c>
    </row>
    <row r="492" spans="1:26">
      <c r="A492" s="24" t="str">
        <f t="shared" si="21"/>
        <v/>
      </c>
      <c r="B492" s="38" t="str">
        <f>IF($Z492="","",IF($Z492&lt;=2000,IF(INDEX(包装物料出入库明细!$B$4:$B$2003,$Z492-0)=0,"",INDEX(包装物料出入库明细!$B$4:$B$2003,$Z492-0)),IF($Z492&lt;=4000,IF(INDEX(周转筐出入库明细!$B$4:$B$2004,$Z492-2000)=0,"",INDEX(周转筐出入库明细!$B$4:$B$2004,$Z492-2000)),IF($Z492&lt;=5200,IF(INDEX(客户自备加工筐明细!$B$4:$B$1203,$Z492-4000)=0,"",INDEX(客户自备加工筐明细!$B$4:$B$1203,$Z492-4000)),IF($Z492&lt;=5800,IF(INDEX(次果筐明细!$B$4:$B$603,$Z492-5200)=0,"",INDEX(次果筐明细!$B$4:$B$603,$Z492-5200)),"")))))</f>
        <v/>
      </c>
      <c r="C492" s="37" t="str">
        <f>IF($Z492="","",IF($Z492&lt;=2000,IF(INDEX(包装物料出入库明细!$D$4:$D$2003,$Z492-0)=0,"",INDEX(包装物料出入库明细!$D$4:$D$2003,$Z492-0)),IF($Z492&lt;=4000,IF(INDEX(周转筐出入库明细!$C$4:$C$2004,$Z492-2000)=0,"",INDEX(周转筐出入库明细!$C$4:$C$2004,$Z492-2000)),IF($Z492&lt;=5200,IF(INDEX(客户自备加工筐明细!$E$4:$E$1203,$Z492-4000)=0,"",INDEX(客户自备加工筐明细!$E$4:$E$1203,$Z492-4000)),IF($Z492&lt;=5800,IF(INDEX(次果筐明细!$C$4:$C$603,$Z492-5200)=0,"",INDEX(次果筐明细!$C$4:$C$603,$Z492-5200)),"")))))</f>
        <v/>
      </c>
      <c r="D492" s="37" t="str">
        <f>IF($Z492="","",IF($Z492&lt;=2000,"包装物料－"&amp;INDEX(包装物料出入库明细!$H$4:$H$2003,$Z492-0),IF($Z492&lt;=4000,"周转筐－"&amp;INDEX(周转筐出入库明细!$F$4:$F$2004,$Z492-2000),IF($Z492&lt;=5200,"客户自备筐－"&amp;INDEX(客户自备加工筐明细!$J$4:$J$1203,$Z492-4000),IF($Z492&lt;=5800,"次果筐/托盘－"&amp;INDEX(次果筐明细!$F$4:$F$603,$Z492-5200),"")))))</f>
        <v/>
      </c>
      <c r="E492" s="24" t="str">
        <f>IF($Z492="","",IF($Z492&lt;=2000,IF(INDEX(包装物料出入库明细!$C$4:$C$2003,$Z492-0)=0,"",INDEX(包装物料出入库明细!$C$4:$C$2003,$Z492-0)),IF($Z492&lt;=4000,IF(INDEX(周转筐出入库明细!$E$4:$E$2004,$Z492-2000)=0,"",INDEX(周转筐出入库明细!$E$4:$E$2004,$Z492-2000)),IF($Z492&lt;=5200,IF(INDEX(客户自备加工筐明细!$D$4:$D$1203,$Z492-4000)=0,"",INDEX(客户自备加工筐明细!$D$4:$D$1203,$Z492-4000)),IF($Z492&lt;=5800,IF(INDEX(次果筐明细!$E$4:$E$603,$Z492-5200)=0,"",INDEX(次果筐明细!$E$4:$E$603,$Z492-5200)),"")))))</f>
        <v/>
      </c>
      <c r="F492" s="24" t="str">
        <f>IF($Z492="","",IF($Z492&lt;=2000,IF(INDEX(包装物料出入库明细!$E$4:$E$2003,$Z492-0)=0,"",INDEX(包装物料出入库明细!$E$4:$E$2003,$Z492-0)),IF($Z492&lt;=4000,IF(INDEX(周转筐出入库明细!$D$4:$D$2004,$Z492-2000)=0,"",INDEX(周转筐出入库明细!$D$4:$D$2004,$Z492-2000)),IF($Z492&lt;=5200,IF(INDEX(客户自备加工筐明细!$C$4:$C$1203,$Z492-4000)=0,"",INDEX(客户自备加工筐明细!$C$4:$C$1203,$Z492-4000)),IF($Z492&lt;=5800,IF(INDEX(次果筐明细!$D$4:$D$603,$Z492-5200)=0,"",INDEX(次果筐明细!$D$4:$D$603,$Z492-5200)),"")))))</f>
        <v/>
      </c>
      <c r="G492" s="24" t="str">
        <f>IF($Z492="","",IF($Z492&lt;=2000,IF(INDEX(包装物料出入库明细!$F$4:$F$2003,$Z492-0)=0,"",INDEX(包装物料出入库明细!$F$4:$F$2003,$Z492-0)),IF($Z492&lt;=4000,"",IF($Z492&lt;=5200,"",IF($Z492&lt;=5800,"","")))))</f>
        <v/>
      </c>
      <c r="H492" s="39" t="str">
        <f>IF($Z492="","",IF($Z492&lt;=2000,IF(INDEX(包装物料出入库明细!$L$4:$L$2003,$Z492-0)=0,"",INDEX(包装物料出入库明细!$L$4:$L$2003,$Z492-0)),IF($Z492&lt;=4000,N(INDEX(周转筐出入库明细!$H$4:$H$2004,$Z492-2000))+N(INDEX(周转筐出入库明细!$I$4:$I$2004,$Z492-2000))+N(INDEX(周转筐出入库明细!$J$4:$J$2004,$Z492-2000))+N(INDEX(周转筐出入库明细!$K$4:$K$2004,$Z492-2000)),IF($Z492&lt;=5200,N(INDEX(客户自备加工筐明细!$F$4:$F$1203,$Z492-4000))+N(INDEX(客户自备加工筐明细!$G$4:$G$1203,$Z492-4000)),IF($Z492&lt;=5800,IF(INDEX(次果筐明细!$G$4:$G$603,$Z492-5200)=0,"",INDEX(次果筐明细!$G$4:$G$603,$Z492-5200)),"")))))</f>
        <v/>
      </c>
      <c r="I492" s="24" t="str">
        <f>IF($Z492="","",IF($Z492&lt;=2000,IF(INDEX(包装物料出入库明细!$G$4:$G$2003,$Z492-0)=0,"",INDEX(包装物料出入库明细!$G$4:$G$2003,$Z492-0)),IF($Z492&lt;=4000,"个",IF($Z492&lt;=5200,"个",IF($Z492&lt;=5800,"个","")))))</f>
        <v/>
      </c>
      <c r="J492" s="30" t="str">
        <f t="shared" si="22"/>
        <v/>
      </c>
      <c r="K492" s="30" t="str">
        <f>IF($Z492="","",IF($Z492&lt;=2000,IF(INDEX(包装物料出入库明细!$N$4:$N$2003,$Z492-0)=0,"",INDEX(包装物料出入库明细!$N$4:$N$2003,$Z492-0)),IF($Z492&lt;=4000,IF(INDEX(周转筐出入库明细!$P$4:$P$2004,$Z492-2000)=0,"",INDEX(周转筐出入库明细!$P$4:$P$2004,$Z492-2000)),IF($Z492&lt;=5200,"",IF($Z492&lt;=5800,N(INDEX(次果筐明细!$L$4:$L$603,$Z492-5200))+N(INDEX(次果筐明细!$J$4:$J$603,$Z492-5200)),"")))))</f>
        <v/>
      </c>
      <c r="L492" s="24" t="str">
        <f>IF($Z492="","",IF($Z492&lt;=2000,IF(INDEX(包装物料出入库明细!$P$4:$P$2003,$Z492-0)=0,"",INDEX(包装物料出入库明细!$P$4:$P$2003,$Z492-0)),IF($Z492&lt;=4000,IF(INDEX(周转筐出入库明细!$Q$4:$Q$2004,$Z492-2000)=0,"",INDEX(周转筐出入库明细!$Q$4:$Q$2004,$Z492-2000)),IF($Z492&lt;=5200,"",IF($Z492&lt;=5800,IF(INDEX(次果筐明细!$M$4:$M$603,$Z492-5200)=0,"",INDEX(次果筐明细!$M$4:$M$603,$Z492-5200)),"")))))</f>
        <v/>
      </c>
      <c r="M492" s="37" t="str">
        <f>IF($Z492="","",IF($Z492&lt;=2000,IF(INDEX(包装物料出入库明细!$R$4:$R$2003,$Z492-0)=0,"",INDEX(包装物料出入库明细!$R$4:$R$2003,$Z492-0)),IF($Z492&lt;=4000,IF(INDEX(周转筐出入库明细!$W$4:$W$2004,$Z492-2000)=0,"",INDEX(周转筐出入库明细!$W$4:$W$2004,$Z492-2000)),IF($Z492&lt;=5200,IF(INDEX(客户自备加工筐明细!$L$4:$L$1203,$Z492-4000)=0,"",INDEX(客户自备加工筐明细!$L$4:$L$1203,$Z492-4000)),IF($Z492&lt;=5800,IF(INDEX(次果筐明细!$P$4:$P$603,$Z492-5200)=0,"",INDEX(次果筐明细!$P$4:$P$603,$Z492-5200)),"")))))</f>
        <v/>
      </c>
      <c r="N492" s="16" t="str">
        <f>IF($Z492="","",IF($Z492&lt;=2000,"",IF($Z492&lt;=4000,IF(INDEX(周转筐出入库明细!$D$4:$D$2004,$Z492-2000)=0,"",INDEX(周转筐出入库明细!$D$4:$D$2004,$Z492-2000)),IF($Z492&lt;=5200,IF(INDEX(客户自备加工筐明细!$C$4:$C$1203,$Z492-4000)=0,"",INDEX(客户自备加工筐明细!$C$4:$C$1203,$Z492-4000)),IF($Z492&lt;=5800,IF(INDEX(次果筐明细!$D$4:$D$603,$Z492-5200)=0,"",INDEX(次果筐明细!$D$4:$D$603,$Z492-5200)),"")))))</f>
        <v/>
      </c>
      <c r="O492" s="40" t="str">
        <f>IF($Z492="","",IF($Z492&lt;=2000,"",IF($Z492&lt;=4000,IF(N(INDEX(周转筐出入库明细!$J$4:$J$2004,$Z492-2000))+N(INDEX(周转筐出入库明细!$K$4:$K$2004,$Z492-2000))=0,"",N(INDEX(周转筐出入库明细!$J$4:$J$2004,$Z492-2000))+N(INDEX(周转筐出入库明细!$K$4:$K$2004,$Z492-2000))),IF($Z492&lt;=5200,IF(N(INDEX(客户自备加工筐明细!$G$4:$G$1203,$Z492-4000))=0,"",N(INDEX(客户自备加工筐明细!$G$4:$G$1203,$Z492-4000))),IF($Z492&lt;=5800,IF(ISNUMBER(SEARCH("退",INDEX(次果筐明细!$F$4:$F$603,$Z492-5200)&amp;"")),"",IF(N(INDEX(次果筐明细!$G$4:$G$603,$Z492-5200))=0,"",N(INDEX(次果筐明细!$G$4:$G$603,$Z492-5200)))),"")))))</f>
        <v/>
      </c>
      <c r="P492" s="40" t="str">
        <f>IF($Z492="","",IF($Z492&lt;=2000,"",IF($Z492&lt;=4000,IF(N(INDEX(周转筐出入库明细!$I$4:$I$2004,$Z492-2000))=0,"",N(INDEX(周转筐出入库明细!$I$4:$I$2004,$Z492-2000))),IF($Z492&lt;=5200,"",IF($Z492&lt;=5800,IF(ISNUMBER(SEARCH("退",INDEX(次果筐明细!$F$4:$F$603,$Z492-5200)&amp;"")),IF(N(INDEX(次果筐明细!$G$4:$G$603,$Z492-5200))=0,"",N(INDEX(次果筐明细!$G$4:$G$603,$Z492-5200))),""),"")))))</f>
        <v/>
      </c>
      <c r="Q492" s="40" t="str">
        <f>IF($Z492="","",IF($Z492&lt;=2000,"",IF($Z492&lt;=4000,IF(N(INDEX(周转筐出入库明细!$H$4:$H$2004,$Z492-2000))=0,"",N(INDEX(周转筐出入库明细!$H$4:$H$2004,$Z492-2000))),IF($Z492&lt;=5200,IF(N(INDEX(客户自备加工筐明细!$F$4:$F$1203,$Z492-4000))=0,"",N(INDEX(客户自备加工筐明细!$F$4:$F$1203,$Z492-4000))),IF($Z492&lt;=5800,"","")))))</f>
        <v/>
      </c>
      <c r="R492" s="16" t="str">
        <f>IF($Z492="","",IF($Z492&lt;=2000,IF(INDEX(包装物料出入库明细!$O$4:$O$2003,$Z492-0)=0,"",INDEX(包装物料出入库明细!$O$4:$O$2003,$Z492-0)),IF($Z492&lt;=4000,IF(INDEX(周转筐出入库明细!$M$4:$M$2004,$Z492-2000)=0,"",INDEX(周转筐出入库明细!$M$4:$M$2004,$Z492-2000)),IF($Z492&lt;=5200,IF(INDEX(客户自备加工筐明细!$H$4:$H$1203,$Z492-4000)=0,"",INDEX(客户自备加工筐明细!$H$4:$H$1203,$Z492-4000)),IF($Z492&lt;=5800,IF(INDEX(次果筐明细!$H$4:$H$603,$Z492-5200)=0,"",INDEX(次果筐明细!$H$4:$H$603,$Z492-5200)),"")))))</f>
        <v/>
      </c>
      <c r="S492" s="22" t="str">
        <f t="shared" si="23"/>
        <v/>
      </c>
      <c r="Z492" s="10" t="str">
        <f>IFERROR(MATCH(ROW()-3,_自动清单!$CQ$4:$CQ$5803,0),"")</f>
        <v/>
      </c>
    </row>
    <row r="493" spans="1:26">
      <c r="A493" s="24" t="str">
        <f t="shared" si="21"/>
        <v/>
      </c>
      <c r="B493" s="38" t="str">
        <f>IF($Z493="","",IF($Z493&lt;=2000,IF(INDEX(包装物料出入库明细!$B$4:$B$2003,$Z493-0)=0,"",INDEX(包装物料出入库明细!$B$4:$B$2003,$Z493-0)),IF($Z493&lt;=4000,IF(INDEX(周转筐出入库明细!$B$4:$B$2004,$Z493-2000)=0,"",INDEX(周转筐出入库明细!$B$4:$B$2004,$Z493-2000)),IF($Z493&lt;=5200,IF(INDEX(客户自备加工筐明细!$B$4:$B$1203,$Z493-4000)=0,"",INDEX(客户自备加工筐明细!$B$4:$B$1203,$Z493-4000)),IF($Z493&lt;=5800,IF(INDEX(次果筐明细!$B$4:$B$603,$Z493-5200)=0,"",INDEX(次果筐明细!$B$4:$B$603,$Z493-5200)),"")))))</f>
        <v/>
      </c>
      <c r="C493" s="37" t="str">
        <f>IF($Z493="","",IF($Z493&lt;=2000,IF(INDEX(包装物料出入库明细!$D$4:$D$2003,$Z493-0)=0,"",INDEX(包装物料出入库明细!$D$4:$D$2003,$Z493-0)),IF($Z493&lt;=4000,IF(INDEX(周转筐出入库明细!$C$4:$C$2004,$Z493-2000)=0,"",INDEX(周转筐出入库明细!$C$4:$C$2004,$Z493-2000)),IF($Z493&lt;=5200,IF(INDEX(客户自备加工筐明细!$E$4:$E$1203,$Z493-4000)=0,"",INDEX(客户自备加工筐明细!$E$4:$E$1203,$Z493-4000)),IF($Z493&lt;=5800,IF(INDEX(次果筐明细!$C$4:$C$603,$Z493-5200)=0,"",INDEX(次果筐明细!$C$4:$C$603,$Z493-5200)),"")))))</f>
        <v/>
      </c>
      <c r="D493" s="37" t="str">
        <f>IF($Z493="","",IF($Z493&lt;=2000,"包装物料－"&amp;INDEX(包装物料出入库明细!$H$4:$H$2003,$Z493-0),IF($Z493&lt;=4000,"周转筐－"&amp;INDEX(周转筐出入库明细!$F$4:$F$2004,$Z493-2000),IF($Z493&lt;=5200,"客户自备筐－"&amp;INDEX(客户自备加工筐明细!$J$4:$J$1203,$Z493-4000),IF($Z493&lt;=5800,"次果筐/托盘－"&amp;INDEX(次果筐明细!$F$4:$F$603,$Z493-5200),"")))))</f>
        <v/>
      </c>
      <c r="E493" s="24" t="str">
        <f>IF($Z493="","",IF($Z493&lt;=2000,IF(INDEX(包装物料出入库明细!$C$4:$C$2003,$Z493-0)=0,"",INDEX(包装物料出入库明细!$C$4:$C$2003,$Z493-0)),IF($Z493&lt;=4000,IF(INDEX(周转筐出入库明细!$E$4:$E$2004,$Z493-2000)=0,"",INDEX(周转筐出入库明细!$E$4:$E$2004,$Z493-2000)),IF($Z493&lt;=5200,IF(INDEX(客户自备加工筐明细!$D$4:$D$1203,$Z493-4000)=0,"",INDEX(客户自备加工筐明细!$D$4:$D$1203,$Z493-4000)),IF($Z493&lt;=5800,IF(INDEX(次果筐明细!$E$4:$E$603,$Z493-5200)=0,"",INDEX(次果筐明细!$E$4:$E$603,$Z493-5200)),"")))))</f>
        <v/>
      </c>
      <c r="F493" s="24" t="str">
        <f>IF($Z493="","",IF($Z493&lt;=2000,IF(INDEX(包装物料出入库明细!$E$4:$E$2003,$Z493-0)=0,"",INDEX(包装物料出入库明细!$E$4:$E$2003,$Z493-0)),IF($Z493&lt;=4000,IF(INDEX(周转筐出入库明细!$D$4:$D$2004,$Z493-2000)=0,"",INDEX(周转筐出入库明细!$D$4:$D$2004,$Z493-2000)),IF($Z493&lt;=5200,IF(INDEX(客户自备加工筐明细!$C$4:$C$1203,$Z493-4000)=0,"",INDEX(客户自备加工筐明细!$C$4:$C$1203,$Z493-4000)),IF($Z493&lt;=5800,IF(INDEX(次果筐明细!$D$4:$D$603,$Z493-5200)=0,"",INDEX(次果筐明细!$D$4:$D$603,$Z493-5200)),"")))))</f>
        <v/>
      </c>
      <c r="G493" s="24" t="str">
        <f>IF($Z493="","",IF($Z493&lt;=2000,IF(INDEX(包装物料出入库明细!$F$4:$F$2003,$Z493-0)=0,"",INDEX(包装物料出入库明细!$F$4:$F$2003,$Z493-0)),IF($Z493&lt;=4000,"",IF($Z493&lt;=5200,"",IF($Z493&lt;=5800,"","")))))</f>
        <v/>
      </c>
      <c r="H493" s="39" t="str">
        <f>IF($Z493="","",IF($Z493&lt;=2000,IF(INDEX(包装物料出入库明细!$L$4:$L$2003,$Z493-0)=0,"",INDEX(包装物料出入库明细!$L$4:$L$2003,$Z493-0)),IF($Z493&lt;=4000,N(INDEX(周转筐出入库明细!$H$4:$H$2004,$Z493-2000))+N(INDEX(周转筐出入库明细!$I$4:$I$2004,$Z493-2000))+N(INDEX(周转筐出入库明细!$J$4:$J$2004,$Z493-2000))+N(INDEX(周转筐出入库明细!$K$4:$K$2004,$Z493-2000)),IF($Z493&lt;=5200,N(INDEX(客户自备加工筐明细!$F$4:$F$1203,$Z493-4000))+N(INDEX(客户自备加工筐明细!$G$4:$G$1203,$Z493-4000)),IF($Z493&lt;=5800,IF(INDEX(次果筐明细!$G$4:$G$603,$Z493-5200)=0,"",INDEX(次果筐明细!$G$4:$G$603,$Z493-5200)),"")))))</f>
        <v/>
      </c>
      <c r="I493" s="24" t="str">
        <f>IF($Z493="","",IF($Z493&lt;=2000,IF(INDEX(包装物料出入库明细!$G$4:$G$2003,$Z493-0)=0,"",INDEX(包装物料出入库明细!$G$4:$G$2003,$Z493-0)),IF($Z493&lt;=4000,"个",IF($Z493&lt;=5200,"个",IF($Z493&lt;=5800,"个","")))))</f>
        <v/>
      </c>
      <c r="J493" s="30" t="str">
        <f t="shared" si="22"/>
        <v/>
      </c>
      <c r="K493" s="30" t="str">
        <f>IF($Z493="","",IF($Z493&lt;=2000,IF(INDEX(包装物料出入库明细!$N$4:$N$2003,$Z493-0)=0,"",INDEX(包装物料出入库明细!$N$4:$N$2003,$Z493-0)),IF($Z493&lt;=4000,IF(INDEX(周转筐出入库明细!$P$4:$P$2004,$Z493-2000)=0,"",INDEX(周转筐出入库明细!$P$4:$P$2004,$Z493-2000)),IF($Z493&lt;=5200,"",IF($Z493&lt;=5800,N(INDEX(次果筐明细!$L$4:$L$603,$Z493-5200))+N(INDEX(次果筐明细!$J$4:$J$603,$Z493-5200)),"")))))</f>
        <v/>
      </c>
      <c r="L493" s="24" t="str">
        <f>IF($Z493="","",IF($Z493&lt;=2000,IF(INDEX(包装物料出入库明细!$P$4:$P$2003,$Z493-0)=0,"",INDEX(包装物料出入库明细!$P$4:$P$2003,$Z493-0)),IF($Z493&lt;=4000,IF(INDEX(周转筐出入库明细!$Q$4:$Q$2004,$Z493-2000)=0,"",INDEX(周转筐出入库明细!$Q$4:$Q$2004,$Z493-2000)),IF($Z493&lt;=5200,"",IF($Z493&lt;=5800,IF(INDEX(次果筐明细!$M$4:$M$603,$Z493-5200)=0,"",INDEX(次果筐明细!$M$4:$M$603,$Z493-5200)),"")))))</f>
        <v/>
      </c>
      <c r="M493" s="37" t="str">
        <f>IF($Z493="","",IF($Z493&lt;=2000,IF(INDEX(包装物料出入库明细!$R$4:$R$2003,$Z493-0)=0,"",INDEX(包装物料出入库明细!$R$4:$R$2003,$Z493-0)),IF($Z493&lt;=4000,IF(INDEX(周转筐出入库明细!$W$4:$W$2004,$Z493-2000)=0,"",INDEX(周转筐出入库明细!$W$4:$W$2004,$Z493-2000)),IF($Z493&lt;=5200,IF(INDEX(客户自备加工筐明细!$L$4:$L$1203,$Z493-4000)=0,"",INDEX(客户自备加工筐明细!$L$4:$L$1203,$Z493-4000)),IF($Z493&lt;=5800,IF(INDEX(次果筐明细!$P$4:$P$603,$Z493-5200)=0,"",INDEX(次果筐明细!$P$4:$P$603,$Z493-5200)),"")))))</f>
        <v/>
      </c>
      <c r="N493" s="16" t="str">
        <f>IF($Z493="","",IF($Z493&lt;=2000,"",IF($Z493&lt;=4000,IF(INDEX(周转筐出入库明细!$D$4:$D$2004,$Z493-2000)=0,"",INDEX(周转筐出入库明细!$D$4:$D$2004,$Z493-2000)),IF($Z493&lt;=5200,IF(INDEX(客户自备加工筐明细!$C$4:$C$1203,$Z493-4000)=0,"",INDEX(客户自备加工筐明细!$C$4:$C$1203,$Z493-4000)),IF($Z493&lt;=5800,IF(INDEX(次果筐明细!$D$4:$D$603,$Z493-5200)=0,"",INDEX(次果筐明细!$D$4:$D$603,$Z493-5200)),"")))))</f>
        <v/>
      </c>
      <c r="O493" s="40" t="str">
        <f>IF($Z493="","",IF($Z493&lt;=2000,"",IF($Z493&lt;=4000,IF(N(INDEX(周转筐出入库明细!$J$4:$J$2004,$Z493-2000))+N(INDEX(周转筐出入库明细!$K$4:$K$2004,$Z493-2000))=0,"",N(INDEX(周转筐出入库明细!$J$4:$J$2004,$Z493-2000))+N(INDEX(周转筐出入库明细!$K$4:$K$2004,$Z493-2000))),IF($Z493&lt;=5200,IF(N(INDEX(客户自备加工筐明细!$G$4:$G$1203,$Z493-4000))=0,"",N(INDEX(客户自备加工筐明细!$G$4:$G$1203,$Z493-4000))),IF($Z493&lt;=5800,IF(ISNUMBER(SEARCH("退",INDEX(次果筐明细!$F$4:$F$603,$Z493-5200)&amp;"")),"",IF(N(INDEX(次果筐明细!$G$4:$G$603,$Z493-5200))=0,"",N(INDEX(次果筐明细!$G$4:$G$603,$Z493-5200)))),"")))))</f>
        <v/>
      </c>
      <c r="P493" s="40" t="str">
        <f>IF($Z493="","",IF($Z493&lt;=2000,"",IF($Z493&lt;=4000,IF(N(INDEX(周转筐出入库明细!$I$4:$I$2004,$Z493-2000))=0,"",N(INDEX(周转筐出入库明细!$I$4:$I$2004,$Z493-2000))),IF($Z493&lt;=5200,"",IF($Z493&lt;=5800,IF(ISNUMBER(SEARCH("退",INDEX(次果筐明细!$F$4:$F$603,$Z493-5200)&amp;"")),IF(N(INDEX(次果筐明细!$G$4:$G$603,$Z493-5200))=0,"",N(INDEX(次果筐明细!$G$4:$G$603,$Z493-5200))),""),"")))))</f>
        <v/>
      </c>
      <c r="Q493" s="40" t="str">
        <f>IF($Z493="","",IF($Z493&lt;=2000,"",IF($Z493&lt;=4000,IF(N(INDEX(周转筐出入库明细!$H$4:$H$2004,$Z493-2000))=0,"",N(INDEX(周转筐出入库明细!$H$4:$H$2004,$Z493-2000))),IF($Z493&lt;=5200,IF(N(INDEX(客户自备加工筐明细!$F$4:$F$1203,$Z493-4000))=0,"",N(INDEX(客户自备加工筐明细!$F$4:$F$1203,$Z493-4000))),IF($Z493&lt;=5800,"","")))))</f>
        <v/>
      </c>
      <c r="R493" s="16" t="str">
        <f>IF($Z493="","",IF($Z493&lt;=2000,IF(INDEX(包装物料出入库明细!$O$4:$O$2003,$Z493-0)=0,"",INDEX(包装物料出入库明细!$O$4:$O$2003,$Z493-0)),IF($Z493&lt;=4000,IF(INDEX(周转筐出入库明细!$M$4:$M$2004,$Z493-2000)=0,"",INDEX(周转筐出入库明细!$M$4:$M$2004,$Z493-2000)),IF($Z493&lt;=5200,IF(INDEX(客户自备加工筐明细!$H$4:$H$1203,$Z493-4000)=0,"",INDEX(客户自备加工筐明细!$H$4:$H$1203,$Z493-4000)),IF($Z493&lt;=5800,IF(INDEX(次果筐明细!$H$4:$H$603,$Z493-5200)=0,"",INDEX(次果筐明细!$H$4:$H$603,$Z493-5200)),"")))))</f>
        <v/>
      </c>
      <c r="S493" s="22" t="str">
        <f t="shared" si="23"/>
        <v/>
      </c>
      <c r="Z493" s="10" t="str">
        <f>IFERROR(MATCH(ROW()-3,_自动清单!$CQ$4:$CQ$5803,0),"")</f>
        <v/>
      </c>
    </row>
    <row r="494" spans="1:26">
      <c r="A494" s="24" t="str">
        <f t="shared" si="21"/>
        <v/>
      </c>
      <c r="B494" s="38" t="str">
        <f>IF($Z494="","",IF($Z494&lt;=2000,IF(INDEX(包装物料出入库明细!$B$4:$B$2003,$Z494-0)=0,"",INDEX(包装物料出入库明细!$B$4:$B$2003,$Z494-0)),IF($Z494&lt;=4000,IF(INDEX(周转筐出入库明细!$B$4:$B$2004,$Z494-2000)=0,"",INDEX(周转筐出入库明细!$B$4:$B$2004,$Z494-2000)),IF($Z494&lt;=5200,IF(INDEX(客户自备加工筐明细!$B$4:$B$1203,$Z494-4000)=0,"",INDEX(客户自备加工筐明细!$B$4:$B$1203,$Z494-4000)),IF($Z494&lt;=5800,IF(INDEX(次果筐明细!$B$4:$B$603,$Z494-5200)=0,"",INDEX(次果筐明细!$B$4:$B$603,$Z494-5200)),"")))))</f>
        <v/>
      </c>
      <c r="C494" s="37" t="str">
        <f>IF($Z494="","",IF($Z494&lt;=2000,IF(INDEX(包装物料出入库明细!$D$4:$D$2003,$Z494-0)=0,"",INDEX(包装物料出入库明细!$D$4:$D$2003,$Z494-0)),IF($Z494&lt;=4000,IF(INDEX(周转筐出入库明细!$C$4:$C$2004,$Z494-2000)=0,"",INDEX(周转筐出入库明细!$C$4:$C$2004,$Z494-2000)),IF($Z494&lt;=5200,IF(INDEX(客户自备加工筐明细!$E$4:$E$1203,$Z494-4000)=0,"",INDEX(客户自备加工筐明细!$E$4:$E$1203,$Z494-4000)),IF($Z494&lt;=5800,IF(INDEX(次果筐明细!$C$4:$C$603,$Z494-5200)=0,"",INDEX(次果筐明细!$C$4:$C$603,$Z494-5200)),"")))))</f>
        <v/>
      </c>
      <c r="D494" s="37" t="str">
        <f>IF($Z494="","",IF($Z494&lt;=2000,"包装物料－"&amp;INDEX(包装物料出入库明细!$H$4:$H$2003,$Z494-0),IF($Z494&lt;=4000,"周转筐－"&amp;INDEX(周转筐出入库明细!$F$4:$F$2004,$Z494-2000),IF($Z494&lt;=5200,"客户自备筐－"&amp;INDEX(客户自备加工筐明细!$J$4:$J$1203,$Z494-4000),IF($Z494&lt;=5800,"次果筐/托盘－"&amp;INDEX(次果筐明细!$F$4:$F$603,$Z494-5200),"")))))</f>
        <v/>
      </c>
      <c r="E494" s="24" t="str">
        <f>IF($Z494="","",IF($Z494&lt;=2000,IF(INDEX(包装物料出入库明细!$C$4:$C$2003,$Z494-0)=0,"",INDEX(包装物料出入库明细!$C$4:$C$2003,$Z494-0)),IF($Z494&lt;=4000,IF(INDEX(周转筐出入库明细!$E$4:$E$2004,$Z494-2000)=0,"",INDEX(周转筐出入库明细!$E$4:$E$2004,$Z494-2000)),IF($Z494&lt;=5200,IF(INDEX(客户自备加工筐明细!$D$4:$D$1203,$Z494-4000)=0,"",INDEX(客户自备加工筐明细!$D$4:$D$1203,$Z494-4000)),IF($Z494&lt;=5800,IF(INDEX(次果筐明细!$E$4:$E$603,$Z494-5200)=0,"",INDEX(次果筐明细!$E$4:$E$603,$Z494-5200)),"")))))</f>
        <v/>
      </c>
      <c r="F494" s="24" t="str">
        <f>IF($Z494="","",IF($Z494&lt;=2000,IF(INDEX(包装物料出入库明细!$E$4:$E$2003,$Z494-0)=0,"",INDEX(包装物料出入库明细!$E$4:$E$2003,$Z494-0)),IF($Z494&lt;=4000,IF(INDEX(周转筐出入库明细!$D$4:$D$2004,$Z494-2000)=0,"",INDEX(周转筐出入库明细!$D$4:$D$2004,$Z494-2000)),IF($Z494&lt;=5200,IF(INDEX(客户自备加工筐明细!$C$4:$C$1203,$Z494-4000)=0,"",INDEX(客户自备加工筐明细!$C$4:$C$1203,$Z494-4000)),IF($Z494&lt;=5800,IF(INDEX(次果筐明细!$D$4:$D$603,$Z494-5200)=0,"",INDEX(次果筐明细!$D$4:$D$603,$Z494-5200)),"")))))</f>
        <v/>
      </c>
      <c r="G494" s="24" t="str">
        <f>IF($Z494="","",IF($Z494&lt;=2000,IF(INDEX(包装物料出入库明细!$F$4:$F$2003,$Z494-0)=0,"",INDEX(包装物料出入库明细!$F$4:$F$2003,$Z494-0)),IF($Z494&lt;=4000,"",IF($Z494&lt;=5200,"",IF($Z494&lt;=5800,"","")))))</f>
        <v/>
      </c>
      <c r="H494" s="39" t="str">
        <f>IF($Z494="","",IF($Z494&lt;=2000,IF(INDEX(包装物料出入库明细!$L$4:$L$2003,$Z494-0)=0,"",INDEX(包装物料出入库明细!$L$4:$L$2003,$Z494-0)),IF($Z494&lt;=4000,N(INDEX(周转筐出入库明细!$H$4:$H$2004,$Z494-2000))+N(INDEX(周转筐出入库明细!$I$4:$I$2004,$Z494-2000))+N(INDEX(周转筐出入库明细!$J$4:$J$2004,$Z494-2000))+N(INDEX(周转筐出入库明细!$K$4:$K$2004,$Z494-2000)),IF($Z494&lt;=5200,N(INDEX(客户自备加工筐明细!$F$4:$F$1203,$Z494-4000))+N(INDEX(客户自备加工筐明细!$G$4:$G$1203,$Z494-4000)),IF($Z494&lt;=5800,IF(INDEX(次果筐明细!$G$4:$G$603,$Z494-5200)=0,"",INDEX(次果筐明细!$G$4:$G$603,$Z494-5200)),"")))))</f>
        <v/>
      </c>
      <c r="I494" s="24" t="str">
        <f>IF($Z494="","",IF($Z494&lt;=2000,IF(INDEX(包装物料出入库明细!$G$4:$G$2003,$Z494-0)=0,"",INDEX(包装物料出入库明细!$G$4:$G$2003,$Z494-0)),IF($Z494&lt;=4000,"个",IF($Z494&lt;=5200,"个",IF($Z494&lt;=5800,"个","")))))</f>
        <v/>
      </c>
      <c r="J494" s="30" t="str">
        <f t="shared" si="22"/>
        <v/>
      </c>
      <c r="K494" s="30" t="str">
        <f>IF($Z494="","",IF($Z494&lt;=2000,IF(INDEX(包装物料出入库明细!$N$4:$N$2003,$Z494-0)=0,"",INDEX(包装物料出入库明细!$N$4:$N$2003,$Z494-0)),IF($Z494&lt;=4000,IF(INDEX(周转筐出入库明细!$P$4:$P$2004,$Z494-2000)=0,"",INDEX(周转筐出入库明细!$P$4:$P$2004,$Z494-2000)),IF($Z494&lt;=5200,"",IF($Z494&lt;=5800,N(INDEX(次果筐明细!$L$4:$L$603,$Z494-5200))+N(INDEX(次果筐明细!$J$4:$J$603,$Z494-5200)),"")))))</f>
        <v/>
      </c>
      <c r="L494" s="24" t="str">
        <f>IF($Z494="","",IF($Z494&lt;=2000,IF(INDEX(包装物料出入库明细!$P$4:$P$2003,$Z494-0)=0,"",INDEX(包装物料出入库明细!$P$4:$P$2003,$Z494-0)),IF($Z494&lt;=4000,IF(INDEX(周转筐出入库明细!$Q$4:$Q$2004,$Z494-2000)=0,"",INDEX(周转筐出入库明细!$Q$4:$Q$2004,$Z494-2000)),IF($Z494&lt;=5200,"",IF($Z494&lt;=5800,IF(INDEX(次果筐明细!$M$4:$M$603,$Z494-5200)=0,"",INDEX(次果筐明细!$M$4:$M$603,$Z494-5200)),"")))))</f>
        <v/>
      </c>
      <c r="M494" s="37" t="str">
        <f>IF($Z494="","",IF($Z494&lt;=2000,IF(INDEX(包装物料出入库明细!$R$4:$R$2003,$Z494-0)=0,"",INDEX(包装物料出入库明细!$R$4:$R$2003,$Z494-0)),IF($Z494&lt;=4000,IF(INDEX(周转筐出入库明细!$W$4:$W$2004,$Z494-2000)=0,"",INDEX(周转筐出入库明细!$W$4:$W$2004,$Z494-2000)),IF($Z494&lt;=5200,IF(INDEX(客户自备加工筐明细!$L$4:$L$1203,$Z494-4000)=0,"",INDEX(客户自备加工筐明细!$L$4:$L$1203,$Z494-4000)),IF($Z494&lt;=5800,IF(INDEX(次果筐明细!$P$4:$P$603,$Z494-5200)=0,"",INDEX(次果筐明细!$P$4:$P$603,$Z494-5200)),"")))))</f>
        <v/>
      </c>
      <c r="N494" s="16" t="str">
        <f>IF($Z494="","",IF($Z494&lt;=2000,"",IF($Z494&lt;=4000,IF(INDEX(周转筐出入库明细!$D$4:$D$2004,$Z494-2000)=0,"",INDEX(周转筐出入库明细!$D$4:$D$2004,$Z494-2000)),IF($Z494&lt;=5200,IF(INDEX(客户自备加工筐明细!$C$4:$C$1203,$Z494-4000)=0,"",INDEX(客户自备加工筐明细!$C$4:$C$1203,$Z494-4000)),IF($Z494&lt;=5800,IF(INDEX(次果筐明细!$D$4:$D$603,$Z494-5200)=0,"",INDEX(次果筐明细!$D$4:$D$603,$Z494-5200)),"")))))</f>
        <v/>
      </c>
      <c r="O494" s="40" t="str">
        <f>IF($Z494="","",IF($Z494&lt;=2000,"",IF($Z494&lt;=4000,IF(N(INDEX(周转筐出入库明细!$J$4:$J$2004,$Z494-2000))+N(INDEX(周转筐出入库明细!$K$4:$K$2004,$Z494-2000))=0,"",N(INDEX(周转筐出入库明细!$J$4:$J$2004,$Z494-2000))+N(INDEX(周转筐出入库明细!$K$4:$K$2004,$Z494-2000))),IF($Z494&lt;=5200,IF(N(INDEX(客户自备加工筐明细!$G$4:$G$1203,$Z494-4000))=0,"",N(INDEX(客户自备加工筐明细!$G$4:$G$1203,$Z494-4000))),IF($Z494&lt;=5800,IF(ISNUMBER(SEARCH("退",INDEX(次果筐明细!$F$4:$F$603,$Z494-5200)&amp;"")),"",IF(N(INDEX(次果筐明细!$G$4:$G$603,$Z494-5200))=0,"",N(INDEX(次果筐明细!$G$4:$G$603,$Z494-5200)))),"")))))</f>
        <v/>
      </c>
      <c r="P494" s="40" t="str">
        <f>IF($Z494="","",IF($Z494&lt;=2000,"",IF($Z494&lt;=4000,IF(N(INDEX(周转筐出入库明细!$I$4:$I$2004,$Z494-2000))=0,"",N(INDEX(周转筐出入库明细!$I$4:$I$2004,$Z494-2000))),IF($Z494&lt;=5200,"",IF($Z494&lt;=5800,IF(ISNUMBER(SEARCH("退",INDEX(次果筐明细!$F$4:$F$603,$Z494-5200)&amp;"")),IF(N(INDEX(次果筐明细!$G$4:$G$603,$Z494-5200))=0,"",N(INDEX(次果筐明细!$G$4:$G$603,$Z494-5200))),""),"")))))</f>
        <v/>
      </c>
      <c r="Q494" s="40" t="str">
        <f>IF($Z494="","",IF($Z494&lt;=2000,"",IF($Z494&lt;=4000,IF(N(INDEX(周转筐出入库明细!$H$4:$H$2004,$Z494-2000))=0,"",N(INDEX(周转筐出入库明细!$H$4:$H$2004,$Z494-2000))),IF($Z494&lt;=5200,IF(N(INDEX(客户自备加工筐明细!$F$4:$F$1203,$Z494-4000))=0,"",N(INDEX(客户自备加工筐明细!$F$4:$F$1203,$Z494-4000))),IF($Z494&lt;=5800,"","")))))</f>
        <v/>
      </c>
      <c r="R494" s="16" t="str">
        <f>IF($Z494="","",IF($Z494&lt;=2000,IF(INDEX(包装物料出入库明细!$O$4:$O$2003,$Z494-0)=0,"",INDEX(包装物料出入库明细!$O$4:$O$2003,$Z494-0)),IF($Z494&lt;=4000,IF(INDEX(周转筐出入库明细!$M$4:$M$2004,$Z494-2000)=0,"",INDEX(周转筐出入库明细!$M$4:$M$2004,$Z494-2000)),IF($Z494&lt;=5200,IF(INDEX(客户自备加工筐明细!$H$4:$H$1203,$Z494-4000)=0,"",INDEX(客户自备加工筐明细!$H$4:$H$1203,$Z494-4000)),IF($Z494&lt;=5800,IF(INDEX(次果筐明细!$H$4:$H$603,$Z494-5200)=0,"",INDEX(次果筐明细!$H$4:$H$603,$Z494-5200)),"")))))</f>
        <v/>
      </c>
      <c r="S494" s="22" t="str">
        <f t="shared" si="23"/>
        <v/>
      </c>
      <c r="Z494" s="10" t="str">
        <f>IFERROR(MATCH(ROW()-3,_自动清单!$CQ$4:$CQ$5803,0),"")</f>
        <v/>
      </c>
    </row>
    <row r="495" spans="1:26">
      <c r="A495" s="24" t="str">
        <f t="shared" si="21"/>
        <v/>
      </c>
      <c r="B495" s="38" t="str">
        <f>IF($Z495="","",IF($Z495&lt;=2000,IF(INDEX(包装物料出入库明细!$B$4:$B$2003,$Z495-0)=0,"",INDEX(包装物料出入库明细!$B$4:$B$2003,$Z495-0)),IF($Z495&lt;=4000,IF(INDEX(周转筐出入库明细!$B$4:$B$2004,$Z495-2000)=0,"",INDEX(周转筐出入库明细!$B$4:$B$2004,$Z495-2000)),IF($Z495&lt;=5200,IF(INDEX(客户自备加工筐明细!$B$4:$B$1203,$Z495-4000)=0,"",INDEX(客户自备加工筐明细!$B$4:$B$1203,$Z495-4000)),IF($Z495&lt;=5800,IF(INDEX(次果筐明细!$B$4:$B$603,$Z495-5200)=0,"",INDEX(次果筐明细!$B$4:$B$603,$Z495-5200)),"")))))</f>
        <v/>
      </c>
      <c r="C495" s="37" t="str">
        <f>IF($Z495="","",IF($Z495&lt;=2000,IF(INDEX(包装物料出入库明细!$D$4:$D$2003,$Z495-0)=0,"",INDEX(包装物料出入库明细!$D$4:$D$2003,$Z495-0)),IF($Z495&lt;=4000,IF(INDEX(周转筐出入库明细!$C$4:$C$2004,$Z495-2000)=0,"",INDEX(周转筐出入库明细!$C$4:$C$2004,$Z495-2000)),IF($Z495&lt;=5200,IF(INDEX(客户自备加工筐明细!$E$4:$E$1203,$Z495-4000)=0,"",INDEX(客户自备加工筐明细!$E$4:$E$1203,$Z495-4000)),IF($Z495&lt;=5800,IF(INDEX(次果筐明细!$C$4:$C$603,$Z495-5200)=0,"",INDEX(次果筐明细!$C$4:$C$603,$Z495-5200)),"")))))</f>
        <v/>
      </c>
      <c r="D495" s="37" t="str">
        <f>IF($Z495="","",IF($Z495&lt;=2000,"包装物料－"&amp;INDEX(包装物料出入库明细!$H$4:$H$2003,$Z495-0),IF($Z495&lt;=4000,"周转筐－"&amp;INDEX(周转筐出入库明细!$F$4:$F$2004,$Z495-2000),IF($Z495&lt;=5200,"客户自备筐－"&amp;INDEX(客户自备加工筐明细!$J$4:$J$1203,$Z495-4000),IF($Z495&lt;=5800,"次果筐/托盘－"&amp;INDEX(次果筐明细!$F$4:$F$603,$Z495-5200),"")))))</f>
        <v/>
      </c>
      <c r="E495" s="24" t="str">
        <f>IF($Z495="","",IF($Z495&lt;=2000,IF(INDEX(包装物料出入库明细!$C$4:$C$2003,$Z495-0)=0,"",INDEX(包装物料出入库明细!$C$4:$C$2003,$Z495-0)),IF($Z495&lt;=4000,IF(INDEX(周转筐出入库明细!$E$4:$E$2004,$Z495-2000)=0,"",INDEX(周转筐出入库明细!$E$4:$E$2004,$Z495-2000)),IF($Z495&lt;=5200,IF(INDEX(客户自备加工筐明细!$D$4:$D$1203,$Z495-4000)=0,"",INDEX(客户自备加工筐明细!$D$4:$D$1203,$Z495-4000)),IF($Z495&lt;=5800,IF(INDEX(次果筐明细!$E$4:$E$603,$Z495-5200)=0,"",INDEX(次果筐明细!$E$4:$E$603,$Z495-5200)),"")))))</f>
        <v/>
      </c>
      <c r="F495" s="24" t="str">
        <f>IF($Z495="","",IF($Z495&lt;=2000,IF(INDEX(包装物料出入库明细!$E$4:$E$2003,$Z495-0)=0,"",INDEX(包装物料出入库明细!$E$4:$E$2003,$Z495-0)),IF($Z495&lt;=4000,IF(INDEX(周转筐出入库明细!$D$4:$D$2004,$Z495-2000)=0,"",INDEX(周转筐出入库明细!$D$4:$D$2004,$Z495-2000)),IF($Z495&lt;=5200,IF(INDEX(客户自备加工筐明细!$C$4:$C$1203,$Z495-4000)=0,"",INDEX(客户自备加工筐明细!$C$4:$C$1203,$Z495-4000)),IF($Z495&lt;=5800,IF(INDEX(次果筐明细!$D$4:$D$603,$Z495-5200)=0,"",INDEX(次果筐明细!$D$4:$D$603,$Z495-5200)),"")))))</f>
        <v/>
      </c>
      <c r="G495" s="24" t="str">
        <f>IF($Z495="","",IF($Z495&lt;=2000,IF(INDEX(包装物料出入库明细!$F$4:$F$2003,$Z495-0)=0,"",INDEX(包装物料出入库明细!$F$4:$F$2003,$Z495-0)),IF($Z495&lt;=4000,"",IF($Z495&lt;=5200,"",IF($Z495&lt;=5800,"","")))))</f>
        <v/>
      </c>
      <c r="H495" s="39" t="str">
        <f>IF($Z495="","",IF($Z495&lt;=2000,IF(INDEX(包装物料出入库明细!$L$4:$L$2003,$Z495-0)=0,"",INDEX(包装物料出入库明细!$L$4:$L$2003,$Z495-0)),IF($Z495&lt;=4000,N(INDEX(周转筐出入库明细!$H$4:$H$2004,$Z495-2000))+N(INDEX(周转筐出入库明细!$I$4:$I$2004,$Z495-2000))+N(INDEX(周转筐出入库明细!$J$4:$J$2004,$Z495-2000))+N(INDEX(周转筐出入库明细!$K$4:$K$2004,$Z495-2000)),IF($Z495&lt;=5200,N(INDEX(客户自备加工筐明细!$F$4:$F$1203,$Z495-4000))+N(INDEX(客户自备加工筐明细!$G$4:$G$1203,$Z495-4000)),IF($Z495&lt;=5800,IF(INDEX(次果筐明细!$G$4:$G$603,$Z495-5200)=0,"",INDEX(次果筐明细!$G$4:$G$603,$Z495-5200)),"")))))</f>
        <v/>
      </c>
      <c r="I495" s="24" t="str">
        <f>IF($Z495="","",IF($Z495&lt;=2000,IF(INDEX(包装物料出入库明细!$G$4:$G$2003,$Z495-0)=0,"",INDEX(包装物料出入库明细!$G$4:$G$2003,$Z495-0)),IF($Z495&lt;=4000,"个",IF($Z495&lt;=5200,"个",IF($Z495&lt;=5800,"个","")))))</f>
        <v/>
      </c>
      <c r="J495" s="30" t="str">
        <f t="shared" si="22"/>
        <v/>
      </c>
      <c r="K495" s="30" t="str">
        <f>IF($Z495="","",IF($Z495&lt;=2000,IF(INDEX(包装物料出入库明细!$N$4:$N$2003,$Z495-0)=0,"",INDEX(包装物料出入库明细!$N$4:$N$2003,$Z495-0)),IF($Z495&lt;=4000,IF(INDEX(周转筐出入库明细!$P$4:$P$2004,$Z495-2000)=0,"",INDEX(周转筐出入库明细!$P$4:$P$2004,$Z495-2000)),IF($Z495&lt;=5200,"",IF($Z495&lt;=5800,N(INDEX(次果筐明细!$L$4:$L$603,$Z495-5200))+N(INDEX(次果筐明细!$J$4:$J$603,$Z495-5200)),"")))))</f>
        <v/>
      </c>
      <c r="L495" s="24" t="str">
        <f>IF($Z495="","",IF($Z495&lt;=2000,IF(INDEX(包装物料出入库明细!$P$4:$P$2003,$Z495-0)=0,"",INDEX(包装物料出入库明细!$P$4:$P$2003,$Z495-0)),IF($Z495&lt;=4000,IF(INDEX(周转筐出入库明细!$Q$4:$Q$2004,$Z495-2000)=0,"",INDEX(周转筐出入库明细!$Q$4:$Q$2004,$Z495-2000)),IF($Z495&lt;=5200,"",IF($Z495&lt;=5800,IF(INDEX(次果筐明细!$M$4:$M$603,$Z495-5200)=0,"",INDEX(次果筐明细!$M$4:$M$603,$Z495-5200)),"")))))</f>
        <v/>
      </c>
      <c r="M495" s="37" t="str">
        <f>IF($Z495="","",IF($Z495&lt;=2000,IF(INDEX(包装物料出入库明细!$R$4:$R$2003,$Z495-0)=0,"",INDEX(包装物料出入库明细!$R$4:$R$2003,$Z495-0)),IF($Z495&lt;=4000,IF(INDEX(周转筐出入库明细!$W$4:$W$2004,$Z495-2000)=0,"",INDEX(周转筐出入库明细!$W$4:$W$2004,$Z495-2000)),IF($Z495&lt;=5200,IF(INDEX(客户自备加工筐明细!$L$4:$L$1203,$Z495-4000)=0,"",INDEX(客户自备加工筐明细!$L$4:$L$1203,$Z495-4000)),IF($Z495&lt;=5800,IF(INDEX(次果筐明细!$P$4:$P$603,$Z495-5200)=0,"",INDEX(次果筐明细!$P$4:$P$603,$Z495-5200)),"")))))</f>
        <v/>
      </c>
      <c r="N495" s="16" t="str">
        <f>IF($Z495="","",IF($Z495&lt;=2000,"",IF($Z495&lt;=4000,IF(INDEX(周转筐出入库明细!$D$4:$D$2004,$Z495-2000)=0,"",INDEX(周转筐出入库明细!$D$4:$D$2004,$Z495-2000)),IF($Z495&lt;=5200,IF(INDEX(客户自备加工筐明细!$C$4:$C$1203,$Z495-4000)=0,"",INDEX(客户自备加工筐明细!$C$4:$C$1203,$Z495-4000)),IF($Z495&lt;=5800,IF(INDEX(次果筐明细!$D$4:$D$603,$Z495-5200)=0,"",INDEX(次果筐明细!$D$4:$D$603,$Z495-5200)),"")))))</f>
        <v/>
      </c>
      <c r="O495" s="40" t="str">
        <f>IF($Z495="","",IF($Z495&lt;=2000,"",IF($Z495&lt;=4000,IF(N(INDEX(周转筐出入库明细!$J$4:$J$2004,$Z495-2000))+N(INDEX(周转筐出入库明细!$K$4:$K$2004,$Z495-2000))=0,"",N(INDEX(周转筐出入库明细!$J$4:$J$2004,$Z495-2000))+N(INDEX(周转筐出入库明细!$K$4:$K$2004,$Z495-2000))),IF($Z495&lt;=5200,IF(N(INDEX(客户自备加工筐明细!$G$4:$G$1203,$Z495-4000))=0,"",N(INDEX(客户自备加工筐明细!$G$4:$G$1203,$Z495-4000))),IF($Z495&lt;=5800,IF(ISNUMBER(SEARCH("退",INDEX(次果筐明细!$F$4:$F$603,$Z495-5200)&amp;"")),"",IF(N(INDEX(次果筐明细!$G$4:$G$603,$Z495-5200))=0,"",N(INDEX(次果筐明细!$G$4:$G$603,$Z495-5200)))),"")))))</f>
        <v/>
      </c>
      <c r="P495" s="40" t="str">
        <f>IF($Z495="","",IF($Z495&lt;=2000,"",IF($Z495&lt;=4000,IF(N(INDEX(周转筐出入库明细!$I$4:$I$2004,$Z495-2000))=0,"",N(INDEX(周转筐出入库明细!$I$4:$I$2004,$Z495-2000))),IF($Z495&lt;=5200,"",IF($Z495&lt;=5800,IF(ISNUMBER(SEARCH("退",INDEX(次果筐明细!$F$4:$F$603,$Z495-5200)&amp;"")),IF(N(INDEX(次果筐明细!$G$4:$G$603,$Z495-5200))=0,"",N(INDEX(次果筐明细!$G$4:$G$603,$Z495-5200))),""),"")))))</f>
        <v/>
      </c>
      <c r="Q495" s="40" t="str">
        <f>IF($Z495="","",IF($Z495&lt;=2000,"",IF($Z495&lt;=4000,IF(N(INDEX(周转筐出入库明细!$H$4:$H$2004,$Z495-2000))=0,"",N(INDEX(周转筐出入库明细!$H$4:$H$2004,$Z495-2000))),IF($Z495&lt;=5200,IF(N(INDEX(客户自备加工筐明细!$F$4:$F$1203,$Z495-4000))=0,"",N(INDEX(客户自备加工筐明细!$F$4:$F$1203,$Z495-4000))),IF($Z495&lt;=5800,"","")))))</f>
        <v/>
      </c>
      <c r="R495" s="16" t="str">
        <f>IF($Z495="","",IF($Z495&lt;=2000,IF(INDEX(包装物料出入库明细!$O$4:$O$2003,$Z495-0)=0,"",INDEX(包装物料出入库明细!$O$4:$O$2003,$Z495-0)),IF($Z495&lt;=4000,IF(INDEX(周转筐出入库明细!$M$4:$M$2004,$Z495-2000)=0,"",INDEX(周转筐出入库明细!$M$4:$M$2004,$Z495-2000)),IF($Z495&lt;=5200,IF(INDEX(客户自备加工筐明细!$H$4:$H$1203,$Z495-4000)=0,"",INDEX(客户自备加工筐明细!$H$4:$H$1203,$Z495-4000)),IF($Z495&lt;=5800,IF(INDEX(次果筐明细!$H$4:$H$603,$Z495-5200)=0,"",INDEX(次果筐明细!$H$4:$H$603,$Z495-5200)),"")))))</f>
        <v/>
      </c>
      <c r="S495" s="22" t="str">
        <f t="shared" si="23"/>
        <v/>
      </c>
      <c r="Z495" s="10" t="str">
        <f>IFERROR(MATCH(ROW()-3,_自动清单!$CQ$4:$CQ$5803,0),"")</f>
        <v/>
      </c>
    </row>
    <row r="496" spans="1:26">
      <c r="A496" s="24" t="str">
        <f t="shared" si="21"/>
        <v/>
      </c>
      <c r="B496" s="38" t="str">
        <f>IF($Z496="","",IF($Z496&lt;=2000,IF(INDEX(包装物料出入库明细!$B$4:$B$2003,$Z496-0)=0,"",INDEX(包装物料出入库明细!$B$4:$B$2003,$Z496-0)),IF($Z496&lt;=4000,IF(INDEX(周转筐出入库明细!$B$4:$B$2004,$Z496-2000)=0,"",INDEX(周转筐出入库明细!$B$4:$B$2004,$Z496-2000)),IF($Z496&lt;=5200,IF(INDEX(客户自备加工筐明细!$B$4:$B$1203,$Z496-4000)=0,"",INDEX(客户自备加工筐明细!$B$4:$B$1203,$Z496-4000)),IF($Z496&lt;=5800,IF(INDEX(次果筐明细!$B$4:$B$603,$Z496-5200)=0,"",INDEX(次果筐明细!$B$4:$B$603,$Z496-5200)),"")))))</f>
        <v/>
      </c>
      <c r="C496" s="37" t="str">
        <f>IF($Z496="","",IF($Z496&lt;=2000,IF(INDEX(包装物料出入库明细!$D$4:$D$2003,$Z496-0)=0,"",INDEX(包装物料出入库明细!$D$4:$D$2003,$Z496-0)),IF($Z496&lt;=4000,IF(INDEX(周转筐出入库明细!$C$4:$C$2004,$Z496-2000)=0,"",INDEX(周转筐出入库明细!$C$4:$C$2004,$Z496-2000)),IF($Z496&lt;=5200,IF(INDEX(客户自备加工筐明细!$E$4:$E$1203,$Z496-4000)=0,"",INDEX(客户自备加工筐明细!$E$4:$E$1203,$Z496-4000)),IF($Z496&lt;=5800,IF(INDEX(次果筐明细!$C$4:$C$603,$Z496-5200)=0,"",INDEX(次果筐明细!$C$4:$C$603,$Z496-5200)),"")))))</f>
        <v/>
      </c>
      <c r="D496" s="37" t="str">
        <f>IF($Z496="","",IF($Z496&lt;=2000,"包装物料－"&amp;INDEX(包装物料出入库明细!$H$4:$H$2003,$Z496-0),IF($Z496&lt;=4000,"周转筐－"&amp;INDEX(周转筐出入库明细!$F$4:$F$2004,$Z496-2000),IF($Z496&lt;=5200,"客户自备筐－"&amp;INDEX(客户自备加工筐明细!$J$4:$J$1203,$Z496-4000),IF($Z496&lt;=5800,"次果筐/托盘－"&amp;INDEX(次果筐明细!$F$4:$F$603,$Z496-5200),"")))))</f>
        <v/>
      </c>
      <c r="E496" s="24" t="str">
        <f>IF($Z496="","",IF($Z496&lt;=2000,IF(INDEX(包装物料出入库明细!$C$4:$C$2003,$Z496-0)=0,"",INDEX(包装物料出入库明细!$C$4:$C$2003,$Z496-0)),IF($Z496&lt;=4000,IF(INDEX(周转筐出入库明细!$E$4:$E$2004,$Z496-2000)=0,"",INDEX(周转筐出入库明细!$E$4:$E$2004,$Z496-2000)),IF($Z496&lt;=5200,IF(INDEX(客户自备加工筐明细!$D$4:$D$1203,$Z496-4000)=0,"",INDEX(客户自备加工筐明细!$D$4:$D$1203,$Z496-4000)),IF($Z496&lt;=5800,IF(INDEX(次果筐明细!$E$4:$E$603,$Z496-5200)=0,"",INDEX(次果筐明细!$E$4:$E$603,$Z496-5200)),"")))))</f>
        <v/>
      </c>
      <c r="F496" s="24" t="str">
        <f>IF($Z496="","",IF($Z496&lt;=2000,IF(INDEX(包装物料出入库明细!$E$4:$E$2003,$Z496-0)=0,"",INDEX(包装物料出入库明细!$E$4:$E$2003,$Z496-0)),IF($Z496&lt;=4000,IF(INDEX(周转筐出入库明细!$D$4:$D$2004,$Z496-2000)=0,"",INDEX(周转筐出入库明细!$D$4:$D$2004,$Z496-2000)),IF($Z496&lt;=5200,IF(INDEX(客户自备加工筐明细!$C$4:$C$1203,$Z496-4000)=0,"",INDEX(客户自备加工筐明细!$C$4:$C$1203,$Z496-4000)),IF($Z496&lt;=5800,IF(INDEX(次果筐明细!$D$4:$D$603,$Z496-5200)=0,"",INDEX(次果筐明细!$D$4:$D$603,$Z496-5200)),"")))))</f>
        <v/>
      </c>
      <c r="G496" s="24" t="str">
        <f>IF($Z496="","",IF($Z496&lt;=2000,IF(INDEX(包装物料出入库明细!$F$4:$F$2003,$Z496-0)=0,"",INDEX(包装物料出入库明细!$F$4:$F$2003,$Z496-0)),IF($Z496&lt;=4000,"",IF($Z496&lt;=5200,"",IF($Z496&lt;=5800,"","")))))</f>
        <v/>
      </c>
      <c r="H496" s="39" t="str">
        <f>IF($Z496="","",IF($Z496&lt;=2000,IF(INDEX(包装物料出入库明细!$L$4:$L$2003,$Z496-0)=0,"",INDEX(包装物料出入库明细!$L$4:$L$2003,$Z496-0)),IF($Z496&lt;=4000,N(INDEX(周转筐出入库明细!$H$4:$H$2004,$Z496-2000))+N(INDEX(周转筐出入库明细!$I$4:$I$2004,$Z496-2000))+N(INDEX(周转筐出入库明细!$J$4:$J$2004,$Z496-2000))+N(INDEX(周转筐出入库明细!$K$4:$K$2004,$Z496-2000)),IF($Z496&lt;=5200,N(INDEX(客户自备加工筐明细!$F$4:$F$1203,$Z496-4000))+N(INDEX(客户自备加工筐明细!$G$4:$G$1203,$Z496-4000)),IF($Z496&lt;=5800,IF(INDEX(次果筐明细!$G$4:$G$603,$Z496-5200)=0,"",INDEX(次果筐明细!$G$4:$G$603,$Z496-5200)),"")))))</f>
        <v/>
      </c>
      <c r="I496" s="24" t="str">
        <f>IF($Z496="","",IF($Z496&lt;=2000,IF(INDEX(包装物料出入库明细!$G$4:$G$2003,$Z496-0)=0,"",INDEX(包装物料出入库明细!$G$4:$G$2003,$Z496-0)),IF($Z496&lt;=4000,"个",IF($Z496&lt;=5200,"个",IF($Z496&lt;=5800,"个","")))))</f>
        <v/>
      </c>
      <c r="J496" s="30" t="str">
        <f t="shared" si="22"/>
        <v/>
      </c>
      <c r="K496" s="30" t="str">
        <f>IF($Z496="","",IF($Z496&lt;=2000,IF(INDEX(包装物料出入库明细!$N$4:$N$2003,$Z496-0)=0,"",INDEX(包装物料出入库明细!$N$4:$N$2003,$Z496-0)),IF($Z496&lt;=4000,IF(INDEX(周转筐出入库明细!$P$4:$P$2004,$Z496-2000)=0,"",INDEX(周转筐出入库明细!$P$4:$P$2004,$Z496-2000)),IF($Z496&lt;=5200,"",IF($Z496&lt;=5800,N(INDEX(次果筐明细!$L$4:$L$603,$Z496-5200))+N(INDEX(次果筐明细!$J$4:$J$603,$Z496-5200)),"")))))</f>
        <v/>
      </c>
      <c r="L496" s="24" t="str">
        <f>IF($Z496="","",IF($Z496&lt;=2000,IF(INDEX(包装物料出入库明细!$P$4:$P$2003,$Z496-0)=0,"",INDEX(包装物料出入库明细!$P$4:$P$2003,$Z496-0)),IF($Z496&lt;=4000,IF(INDEX(周转筐出入库明细!$Q$4:$Q$2004,$Z496-2000)=0,"",INDEX(周转筐出入库明细!$Q$4:$Q$2004,$Z496-2000)),IF($Z496&lt;=5200,"",IF($Z496&lt;=5800,IF(INDEX(次果筐明细!$M$4:$M$603,$Z496-5200)=0,"",INDEX(次果筐明细!$M$4:$M$603,$Z496-5200)),"")))))</f>
        <v/>
      </c>
      <c r="M496" s="37" t="str">
        <f>IF($Z496="","",IF($Z496&lt;=2000,IF(INDEX(包装物料出入库明细!$R$4:$R$2003,$Z496-0)=0,"",INDEX(包装物料出入库明细!$R$4:$R$2003,$Z496-0)),IF($Z496&lt;=4000,IF(INDEX(周转筐出入库明细!$W$4:$W$2004,$Z496-2000)=0,"",INDEX(周转筐出入库明细!$W$4:$W$2004,$Z496-2000)),IF($Z496&lt;=5200,IF(INDEX(客户自备加工筐明细!$L$4:$L$1203,$Z496-4000)=0,"",INDEX(客户自备加工筐明细!$L$4:$L$1203,$Z496-4000)),IF($Z496&lt;=5800,IF(INDEX(次果筐明细!$P$4:$P$603,$Z496-5200)=0,"",INDEX(次果筐明细!$P$4:$P$603,$Z496-5200)),"")))))</f>
        <v/>
      </c>
      <c r="N496" s="16" t="str">
        <f>IF($Z496="","",IF($Z496&lt;=2000,"",IF($Z496&lt;=4000,IF(INDEX(周转筐出入库明细!$D$4:$D$2004,$Z496-2000)=0,"",INDEX(周转筐出入库明细!$D$4:$D$2004,$Z496-2000)),IF($Z496&lt;=5200,IF(INDEX(客户自备加工筐明细!$C$4:$C$1203,$Z496-4000)=0,"",INDEX(客户自备加工筐明细!$C$4:$C$1203,$Z496-4000)),IF($Z496&lt;=5800,IF(INDEX(次果筐明细!$D$4:$D$603,$Z496-5200)=0,"",INDEX(次果筐明细!$D$4:$D$603,$Z496-5200)),"")))))</f>
        <v/>
      </c>
      <c r="O496" s="40" t="str">
        <f>IF($Z496="","",IF($Z496&lt;=2000,"",IF($Z496&lt;=4000,IF(N(INDEX(周转筐出入库明细!$J$4:$J$2004,$Z496-2000))+N(INDEX(周转筐出入库明细!$K$4:$K$2004,$Z496-2000))=0,"",N(INDEX(周转筐出入库明细!$J$4:$J$2004,$Z496-2000))+N(INDEX(周转筐出入库明细!$K$4:$K$2004,$Z496-2000))),IF($Z496&lt;=5200,IF(N(INDEX(客户自备加工筐明细!$G$4:$G$1203,$Z496-4000))=0,"",N(INDEX(客户自备加工筐明细!$G$4:$G$1203,$Z496-4000))),IF($Z496&lt;=5800,IF(ISNUMBER(SEARCH("退",INDEX(次果筐明细!$F$4:$F$603,$Z496-5200)&amp;"")),"",IF(N(INDEX(次果筐明细!$G$4:$G$603,$Z496-5200))=0,"",N(INDEX(次果筐明细!$G$4:$G$603,$Z496-5200)))),"")))))</f>
        <v/>
      </c>
      <c r="P496" s="40" t="str">
        <f>IF($Z496="","",IF($Z496&lt;=2000,"",IF($Z496&lt;=4000,IF(N(INDEX(周转筐出入库明细!$I$4:$I$2004,$Z496-2000))=0,"",N(INDEX(周转筐出入库明细!$I$4:$I$2004,$Z496-2000))),IF($Z496&lt;=5200,"",IF($Z496&lt;=5800,IF(ISNUMBER(SEARCH("退",INDEX(次果筐明细!$F$4:$F$603,$Z496-5200)&amp;"")),IF(N(INDEX(次果筐明细!$G$4:$G$603,$Z496-5200))=0,"",N(INDEX(次果筐明细!$G$4:$G$603,$Z496-5200))),""),"")))))</f>
        <v/>
      </c>
      <c r="Q496" s="40" t="str">
        <f>IF($Z496="","",IF($Z496&lt;=2000,"",IF($Z496&lt;=4000,IF(N(INDEX(周转筐出入库明细!$H$4:$H$2004,$Z496-2000))=0,"",N(INDEX(周转筐出入库明细!$H$4:$H$2004,$Z496-2000))),IF($Z496&lt;=5200,IF(N(INDEX(客户自备加工筐明细!$F$4:$F$1203,$Z496-4000))=0,"",N(INDEX(客户自备加工筐明细!$F$4:$F$1203,$Z496-4000))),IF($Z496&lt;=5800,"","")))))</f>
        <v/>
      </c>
      <c r="R496" s="16" t="str">
        <f>IF($Z496="","",IF($Z496&lt;=2000,IF(INDEX(包装物料出入库明细!$O$4:$O$2003,$Z496-0)=0,"",INDEX(包装物料出入库明细!$O$4:$O$2003,$Z496-0)),IF($Z496&lt;=4000,IF(INDEX(周转筐出入库明细!$M$4:$M$2004,$Z496-2000)=0,"",INDEX(周转筐出入库明细!$M$4:$M$2004,$Z496-2000)),IF($Z496&lt;=5200,IF(INDEX(客户自备加工筐明细!$H$4:$H$1203,$Z496-4000)=0,"",INDEX(客户自备加工筐明细!$H$4:$H$1203,$Z496-4000)),IF($Z496&lt;=5800,IF(INDEX(次果筐明细!$H$4:$H$603,$Z496-5200)=0,"",INDEX(次果筐明细!$H$4:$H$603,$Z496-5200)),"")))))</f>
        <v/>
      </c>
      <c r="S496" s="22" t="str">
        <f t="shared" si="23"/>
        <v/>
      </c>
      <c r="Z496" s="10" t="str">
        <f>IFERROR(MATCH(ROW()-3,_自动清单!$CQ$4:$CQ$5803,0),"")</f>
        <v/>
      </c>
    </row>
    <row r="497" spans="1:26">
      <c r="A497" s="24" t="str">
        <f t="shared" si="21"/>
        <v/>
      </c>
      <c r="B497" s="38" t="str">
        <f>IF($Z497="","",IF($Z497&lt;=2000,IF(INDEX(包装物料出入库明细!$B$4:$B$2003,$Z497-0)=0,"",INDEX(包装物料出入库明细!$B$4:$B$2003,$Z497-0)),IF($Z497&lt;=4000,IF(INDEX(周转筐出入库明细!$B$4:$B$2004,$Z497-2000)=0,"",INDEX(周转筐出入库明细!$B$4:$B$2004,$Z497-2000)),IF($Z497&lt;=5200,IF(INDEX(客户自备加工筐明细!$B$4:$B$1203,$Z497-4000)=0,"",INDEX(客户自备加工筐明细!$B$4:$B$1203,$Z497-4000)),IF($Z497&lt;=5800,IF(INDEX(次果筐明细!$B$4:$B$603,$Z497-5200)=0,"",INDEX(次果筐明细!$B$4:$B$603,$Z497-5200)),"")))))</f>
        <v/>
      </c>
      <c r="C497" s="37" t="str">
        <f>IF($Z497="","",IF($Z497&lt;=2000,IF(INDEX(包装物料出入库明细!$D$4:$D$2003,$Z497-0)=0,"",INDEX(包装物料出入库明细!$D$4:$D$2003,$Z497-0)),IF($Z497&lt;=4000,IF(INDEX(周转筐出入库明细!$C$4:$C$2004,$Z497-2000)=0,"",INDEX(周转筐出入库明细!$C$4:$C$2004,$Z497-2000)),IF($Z497&lt;=5200,IF(INDEX(客户自备加工筐明细!$E$4:$E$1203,$Z497-4000)=0,"",INDEX(客户自备加工筐明细!$E$4:$E$1203,$Z497-4000)),IF($Z497&lt;=5800,IF(INDEX(次果筐明细!$C$4:$C$603,$Z497-5200)=0,"",INDEX(次果筐明细!$C$4:$C$603,$Z497-5200)),"")))))</f>
        <v/>
      </c>
      <c r="D497" s="37" t="str">
        <f>IF($Z497="","",IF($Z497&lt;=2000,"包装物料－"&amp;INDEX(包装物料出入库明细!$H$4:$H$2003,$Z497-0),IF($Z497&lt;=4000,"周转筐－"&amp;INDEX(周转筐出入库明细!$F$4:$F$2004,$Z497-2000),IF($Z497&lt;=5200,"客户自备筐－"&amp;INDEX(客户自备加工筐明细!$J$4:$J$1203,$Z497-4000),IF($Z497&lt;=5800,"次果筐/托盘－"&amp;INDEX(次果筐明细!$F$4:$F$603,$Z497-5200),"")))))</f>
        <v/>
      </c>
      <c r="E497" s="24" t="str">
        <f>IF($Z497="","",IF($Z497&lt;=2000,IF(INDEX(包装物料出入库明细!$C$4:$C$2003,$Z497-0)=0,"",INDEX(包装物料出入库明细!$C$4:$C$2003,$Z497-0)),IF($Z497&lt;=4000,IF(INDEX(周转筐出入库明细!$E$4:$E$2004,$Z497-2000)=0,"",INDEX(周转筐出入库明细!$E$4:$E$2004,$Z497-2000)),IF($Z497&lt;=5200,IF(INDEX(客户自备加工筐明细!$D$4:$D$1203,$Z497-4000)=0,"",INDEX(客户自备加工筐明细!$D$4:$D$1203,$Z497-4000)),IF($Z497&lt;=5800,IF(INDEX(次果筐明细!$E$4:$E$603,$Z497-5200)=0,"",INDEX(次果筐明细!$E$4:$E$603,$Z497-5200)),"")))))</f>
        <v/>
      </c>
      <c r="F497" s="24" t="str">
        <f>IF($Z497="","",IF($Z497&lt;=2000,IF(INDEX(包装物料出入库明细!$E$4:$E$2003,$Z497-0)=0,"",INDEX(包装物料出入库明细!$E$4:$E$2003,$Z497-0)),IF($Z497&lt;=4000,IF(INDEX(周转筐出入库明细!$D$4:$D$2004,$Z497-2000)=0,"",INDEX(周转筐出入库明细!$D$4:$D$2004,$Z497-2000)),IF($Z497&lt;=5200,IF(INDEX(客户自备加工筐明细!$C$4:$C$1203,$Z497-4000)=0,"",INDEX(客户自备加工筐明细!$C$4:$C$1203,$Z497-4000)),IF($Z497&lt;=5800,IF(INDEX(次果筐明细!$D$4:$D$603,$Z497-5200)=0,"",INDEX(次果筐明细!$D$4:$D$603,$Z497-5200)),"")))))</f>
        <v/>
      </c>
      <c r="G497" s="24" t="str">
        <f>IF($Z497="","",IF($Z497&lt;=2000,IF(INDEX(包装物料出入库明细!$F$4:$F$2003,$Z497-0)=0,"",INDEX(包装物料出入库明细!$F$4:$F$2003,$Z497-0)),IF($Z497&lt;=4000,"",IF($Z497&lt;=5200,"",IF($Z497&lt;=5800,"","")))))</f>
        <v/>
      </c>
      <c r="H497" s="39" t="str">
        <f>IF($Z497="","",IF($Z497&lt;=2000,IF(INDEX(包装物料出入库明细!$L$4:$L$2003,$Z497-0)=0,"",INDEX(包装物料出入库明细!$L$4:$L$2003,$Z497-0)),IF($Z497&lt;=4000,N(INDEX(周转筐出入库明细!$H$4:$H$2004,$Z497-2000))+N(INDEX(周转筐出入库明细!$I$4:$I$2004,$Z497-2000))+N(INDEX(周转筐出入库明细!$J$4:$J$2004,$Z497-2000))+N(INDEX(周转筐出入库明细!$K$4:$K$2004,$Z497-2000)),IF($Z497&lt;=5200,N(INDEX(客户自备加工筐明细!$F$4:$F$1203,$Z497-4000))+N(INDEX(客户自备加工筐明细!$G$4:$G$1203,$Z497-4000)),IF($Z497&lt;=5800,IF(INDEX(次果筐明细!$G$4:$G$603,$Z497-5200)=0,"",INDEX(次果筐明细!$G$4:$G$603,$Z497-5200)),"")))))</f>
        <v/>
      </c>
      <c r="I497" s="24" t="str">
        <f>IF($Z497="","",IF($Z497&lt;=2000,IF(INDEX(包装物料出入库明细!$G$4:$G$2003,$Z497-0)=0,"",INDEX(包装物料出入库明细!$G$4:$G$2003,$Z497-0)),IF($Z497&lt;=4000,"个",IF($Z497&lt;=5200,"个",IF($Z497&lt;=5800,"个","")))))</f>
        <v/>
      </c>
      <c r="J497" s="30" t="str">
        <f t="shared" si="22"/>
        <v/>
      </c>
      <c r="K497" s="30" t="str">
        <f>IF($Z497="","",IF($Z497&lt;=2000,IF(INDEX(包装物料出入库明细!$N$4:$N$2003,$Z497-0)=0,"",INDEX(包装物料出入库明细!$N$4:$N$2003,$Z497-0)),IF($Z497&lt;=4000,IF(INDEX(周转筐出入库明细!$P$4:$P$2004,$Z497-2000)=0,"",INDEX(周转筐出入库明细!$P$4:$P$2004,$Z497-2000)),IF($Z497&lt;=5200,"",IF($Z497&lt;=5800,N(INDEX(次果筐明细!$L$4:$L$603,$Z497-5200))+N(INDEX(次果筐明细!$J$4:$J$603,$Z497-5200)),"")))))</f>
        <v/>
      </c>
      <c r="L497" s="24" t="str">
        <f>IF($Z497="","",IF($Z497&lt;=2000,IF(INDEX(包装物料出入库明细!$P$4:$P$2003,$Z497-0)=0,"",INDEX(包装物料出入库明细!$P$4:$P$2003,$Z497-0)),IF($Z497&lt;=4000,IF(INDEX(周转筐出入库明细!$Q$4:$Q$2004,$Z497-2000)=0,"",INDEX(周转筐出入库明细!$Q$4:$Q$2004,$Z497-2000)),IF($Z497&lt;=5200,"",IF($Z497&lt;=5800,IF(INDEX(次果筐明细!$M$4:$M$603,$Z497-5200)=0,"",INDEX(次果筐明细!$M$4:$M$603,$Z497-5200)),"")))))</f>
        <v/>
      </c>
      <c r="M497" s="37" t="str">
        <f>IF($Z497="","",IF($Z497&lt;=2000,IF(INDEX(包装物料出入库明细!$R$4:$R$2003,$Z497-0)=0,"",INDEX(包装物料出入库明细!$R$4:$R$2003,$Z497-0)),IF($Z497&lt;=4000,IF(INDEX(周转筐出入库明细!$W$4:$W$2004,$Z497-2000)=0,"",INDEX(周转筐出入库明细!$W$4:$W$2004,$Z497-2000)),IF($Z497&lt;=5200,IF(INDEX(客户自备加工筐明细!$L$4:$L$1203,$Z497-4000)=0,"",INDEX(客户自备加工筐明细!$L$4:$L$1203,$Z497-4000)),IF($Z497&lt;=5800,IF(INDEX(次果筐明细!$P$4:$P$603,$Z497-5200)=0,"",INDEX(次果筐明细!$P$4:$P$603,$Z497-5200)),"")))))</f>
        <v/>
      </c>
      <c r="N497" s="16" t="str">
        <f>IF($Z497="","",IF($Z497&lt;=2000,"",IF($Z497&lt;=4000,IF(INDEX(周转筐出入库明细!$D$4:$D$2004,$Z497-2000)=0,"",INDEX(周转筐出入库明细!$D$4:$D$2004,$Z497-2000)),IF($Z497&lt;=5200,IF(INDEX(客户自备加工筐明细!$C$4:$C$1203,$Z497-4000)=0,"",INDEX(客户自备加工筐明细!$C$4:$C$1203,$Z497-4000)),IF($Z497&lt;=5800,IF(INDEX(次果筐明细!$D$4:$D$603,$Z497-5200)=0,"",INDEX(次果筐明细!$D$4:$D$603,$Z497-5200)),"")))))</f>
        <v/>
      </c>
      <c r="O497" s="40" t="str">
        <f>IF($Z497="","",IF($Z497&lt;=2000,"",IF($Z497&lt;=4000,IF(N(INDEX(周转筐出入库明细!$J$4:$J$2004,$Z497-2000))+N(INDEX(周转筐出入库明细!$K$4:$K$2004,$Z497-2000))=0,"",N(INDEX(周转筐出入库明细!$J$4:$J$2004,$Z497-2000))+N(INDEX(周转筐出入库明细!$K$4:$K$2004,$Z497-2000))),IF($Z497&lt;=5200,IF(N(INDEX(客户自备加工筐明细!$G$4:$G$1203,$Z497-4000))=0,"",N(INDEX(客户自备加工筐明细!$G$4:$G$1203,$Z497-4000))),IF($Z497&lt;=5800,IF(ISNUMBER(SEARCH("退",INDEX(次果筐明细!$F$4:$F$603,$Z497-5200)&amp;"")),"",IF(N(INDEX(次果筐明细!$G$4:$G$603,$Z497-5200))=0,"",N(INDEX(次果筐明细!$G$4:$G$603,$Z497-5200)))),"")))))</f>
        <v/>
      </c>
      <c r="P497" s="40" t="str">
        <f>IF($Z497="","",IF($Z497&lt;=2000,"",IF($Z497&lt;=4000,IF(N(INDEX(周转筐出入库明细!$I$4:$I$2004,$Z497-2000))=0,"",N(INDEX(周转筐出入库明细!$I$4:$I$2004,$Z497-2000))),IF($Z497&lt;=5200,"",IF($Z497&lt;=5800,IF(ISNUMBER(SEARCH("退",INDEX(次果筐明细!$F$4:$F$603,$Z497-5200)&amp;"")),IF(N(INDEX(次果筐明细!$G$4:$G$603,$Z497-5200))=0,"",N(INDEX(次果筐明细!$G$4:$G$603,$Z497-5200))),""),"")))))</f>
        <v/>
      </c>
      <c r="Q497" s="40" t="str">
        <f>IF($Z497="","",IF($Z497&lt;=2000,"",IF($Z497&lt;=4000,IF(N(INDEX(周转筐出入库明细!$H$4:$H$2004,$Z497-2000))=0,"",N(INDEX(周转筐出入库明细!$H$4:$H$2004,$Z497-2000))),IF($Z497&lt;=5200,IF(N(INDEX(客户自备加工筐明细!$F$4:$F$1203,$Z497-4000))=0,"",N(INDEX(客户自备加工筐明细!$F$4:$F$1203,$Z497-4000))),IF($Z497&lt;=5800,"","")))))</f>
        <v/>
      </c>
      <c r="R497" s="16" t="str">
        <f>IF($Z497="","",IF($Z497&lt;=2000,IF(INDEX(包装物料出入库明细!$O$4:$O$2003,$Z497-0)=0,"",INDEX(包装物料出入库明细!$O$4:$O$2003,$Z497-0)),IF($Z497&lt;=4000,IF(INDEX(周转筐出入库明细!$M$4:$M$2004,$Z497-2000)=0,"",INDEX(周转筐出入库明细!$M$4:$M$2004,$Z497-2000)),IF($Z497&lt;=5200,IF(INDEX(客户自备加工筐明细!$H$4:$H$1203,$Z497-4000)=0,"",INDEX(客户自备加工筐明细!$H$4:$H$1203,$Z497-4000)),IF($Z497&lt;=5800,IF(INDEX(次果筐明细!$H$4:$H$603,$Z497-5200)=0,"",INDEX(次果筐明细!$H$4:$H$603,$Z497-5200)),"")))))</f>
        <v/>
      </c>
      <c r="S497" s="22" t="str">
        <f t="shared" si="23"/>
        <v/>
      </c>
      <c r="Z497" s="10" t="str">
        <f>IFERROR(MATCH(ROW()-3,_自动清单!$CQ$4:$CQ$5803,0),"")</f>
        <v/>
      </c>
    </row>
    <row r="498" spans="1:26">
      <c r="A498" s="24" t="str">
        <f t="shared" si="21"/>
        <v/>
      </c>
      <c r="B498" s="38" t="str">
        <f>IF($Z498="","",IF($Z498&lt;=2000,IF(INDEX(包装物料出入库明细!$B$4:$B$2003,$Z498-0)=0,"",INDEX(包装物料出入库明细!$B$4:$B$2003,$Z498-0)),IF($Z498&lt;=4000,IF(INDEX(周转筐出入库明细!$B$4:$B$2004,$Z498-2000)=0,"",INDEX(周转筐出入库明细!$B$4:$B$2004,$Z498-2000)),IF($Z498&lt;=5200,IF(INDEX(客户自备加工筐明细!$B$4:$B$1203,$Z498-4000)=0,"",INDEX(客户自备加工筐明细!$B$4:$B$1203,$Z498-4000)),IF($Z498&lt;=5800,IF(INDEX(次果筐明细!$B$4:$B$603,$Z498-5200)=0,"",INDEX(次果筐明细!$B$4:$B$603,$Z498-5200)),"")))))</f>
        <v/>
      </c>
      <c r="C498" s="37" t="str">
        <f>IF($Z498="","",IF($Z498&lt;=2000,IF(INDEX(包装物料出入库明细!$D$4:$D$2003,$Z498-0)=0,"",INDEX(包装物料出入库明细!$D$4:$D$2003,$Z498-0)),IF($Z498&lt;=4000,IF(INDEX(周转筐出入库明细!$C$4:$C$2004,$Z498-2000)=0,"",INDEX(周转筐出入库明细!$C$4:$C$2004,$Z498-2000)),IF($Z498&lt;=5200,IF(INDEX(客户自备加工筐明细!$E$4:$E$1203,$Z498-4000)=0,"",INDEX(客户自备加工筐明细!$E$4:$E$1203,$Z498-4000)),IF($Z498&lt;=5800,IF(INDEX(次果筐明细!$C$4:$C$603,$Z498-5200)=0,"",INDEX(次果筐明细!$C$4:$C$603,$Z498-5200)),"")))))</f>
        <v/>
      </c>
      <c r="D498" s="37" t="str">
        <f>IF($Z498="","",IF($Z498&lt;=2000,"包装物料－"&amp;INDEX(包装物料出入库明细!$H$4:$H$2003,$Z498-0),IF($Z498&lt;=4000,"周转筐－"&amp;INDEX(周转筐出入库明细!$F$4:$F$2004,$Z498-2000),IF($Z498&lt;=5200,"客户自备筐－"&amp;INDEX(客户自备加工筐明细!$J$4:$J$1203,$Z498-4000),IF($Z498&lt;=5800,"次果筐/托盘－"&amp;INDEX(次果筐明细!$F$4:$F$603,$Z498-5200),"")))))</f>
        <v/>
      </c>
      <c r="E498" s="24" t="str">
        <f>IF($Z498="","",IF($Z498&lt;=2000,IF(INDEX(包装物料出入库明细!$C$4:$C$2003,$Z498-0)=0,"",INDEX(包装物料出入库明细!$C$4:$C$2003,$Z498-0)),IF($Z498&lt;=4000,IF(INDEX(周转筐出入库明细!$E$4:$E$2004,$Z498-2000)=0,"",INDEX(周转筐出入库明细!$E$4:$E$2004,$Z498-2000)),IF($Z498&lt;=5200,IF(INDEX(客户自备加工筐明细!$D$4:$D$1203,$Z498-4000)=0,"",INDEX(客户自备加工筐明细!$D$4:$D$1203,$Z498-4000)),IF($Z498&lt;=5800,IF(INDEX(次果筐明细!$E$4:$E$603,$Z498-5200)=0,"",INDEX(次果筐明细!$E$4:$E$603,$Z498-5200)),"")))))</f>
        <v/>
      </c>
      <c r="F498" s="24" t="str">
        <f>IF($Z498="","",IF($Z498&lt;=2000,IF(INDEX(包装物料出入库明细!$E$4:$E$2003,$Z498-0)=0,"",INDEX(包装物料出入库明细!$E$4:$E$2003,$Z498-0)),IF($Z498&lt;=4000,IF(INDEX(周转筐出入库明细!$D$4:$D$2004,$Z498-2000)=0,"",INDEX(周转筐出入库明细!$D$4:$D$2004,$Z498-2000)),IF($Z498&lt;=5200,IF(INDEX(客户自备加工筐明细!$C$4:$C$1203,$Z498-4000)=0,"",INDEX(客户自备加工筐明细!$C$4:$C$1203,$Z498-4000)),IF($Z498&lt;=5800,IF(INDEX(次果筐明细!$D$4:$D$603,$Z498-5200)=0,"",INDEX(次果筐明细!$D$4:$D$603,$Z498-5200)),"")))))</f>
        <v/>
      </c>
      <c r="G498" s="24" t="str">
        <f>IF($Z498="","",IF($Z498&lt;=2000,IF(INDEX(包装物料出入库明细!$F$4:$F$2003,$Z498-0)=0,"",INDEX(包装物料出入库明细!$F$4:$F$2003,$Z498-0)),IF($Z498&lt;=4000,"",IF($Z498&lt;=5200,"",IF($Z498&lt;=5800,"","")))))</f>
        <v/>
      </c>
      <c r="H498" s="39" t="str">
        <f>IF($Z498="","",IF($Z498&lt;=2000,IF(INDEX(包装物料出入库明细!$L$4:$L$2003,$Z498-0)=0,"",INDEX(包装物料出入库明细!$L$4:$L$2003,$Z498-0)),IF($Z498&lt;=4000,N(INDEX(周转筐出入库明细!$H$4:$H$2004,$Z498-2000))+N(INDEX(周转筐出入库明细!$I$4:$I$2004,$Z498-2000))+N(INDEX(周转筐出入库明细!$J$4:$J$2004,$Z498-2000))+N(INDEX(周转筐出入库明细!$K$4:$K$2004,$Z498-2000)),IF($Z498&lt;=5200,N(INDEX(客户自备加工筐明细!$F$4:$F$1203,$Z498-4000))+N(INDEX(客户自备加工筐明细!$G$4:$G$1203,$Z498-4000)),IF($Z498&lt;=5800,IF(INDEX(次果筐明细!$G$4:$G$603,$Z498-5200)=0,"",INDEX(次果筐明细!$G$4:$G$603,$Z498-5200)),"")))))</f>
        <v/>
      </c>
      <c r="I498" s="24" t="str">
        <f>IF($Z498="","",IF($Z498&lt;=2000,IF(INDEX(包装物料出入库明细!$G$4:$G$2003,$Z498-0)=0,"",INDEX(包装物料出入库明细!$G$4:$G$2003,$Z498-0)),IF($Z498&lt;=4000,"个",IF($Z498&lt;=5200,"个",IF($Z498&lt;=5800,"个","")))))</f>
        <v/>
      </c>
      <c r="J498" s="30" t="str">
        <f t="shared" si="22"/>
        <v/>
      </c>
      <c r="K498" s="30" t="str">
        <f>IF($Z498="","",IF($Z498&lt;=2000,IF(INDEX(包装物料出入库明细!$N$4:$N$2003,$Z498-0)=0,"",INDEX(包装物料出入库明细!$N$4:$N$2003,$Z498-0)),IF($Z498&lt;=4000,IF(INDEX(周转筐出入库明细!$P$4:$P$2004,$Z498-2000)=0,"",INDEX(周转筐出入库明细!$P$4:$P$2004,$Z498-2000)),IF($Z498&lt;=5200,"",IF($Z498&lt;=5800,N(INDEX(次果筐明细!$L$4:$L$603,$Z498-5200))+N(INDEX(次果筐明细!$J$4:$J$603,$Z498-5200)),"")))))</f>
        <v/>
      </c>
      <c r="L498" s="24" t="str">
        <f>IF($Z498="","",IF($Z498&lt;=2000,IF(INDEX(包装物料出入库明细!$P$4:$P$2003,$Z498-0)=0,"",INDEX(包装物料出入库明细!$P$4:$P$2003,$Z498-0)),IF($Z498&lt;=4000,IF(INDEX(周转筐出入库明细!$Q$4:$Q$2004,$Z498-2000)=0,"",INDEX(周转筐出入库明细!$Q$4:$Q$2004,$Z498-2000)),IF($Z498&lt;=5200,"",IF($Z498&lt;=5800,IF(INDEX(次果筐明细!$M$4:$M$603,$Z498-5200)=0,"",INDEX(次果筐明细!$M$4:$M$603,$Z498-5200)),"")))))</f>
        <v/>
      </c>
      <c r="M498" s="37" t="str">
        <f>IF($Z498="","",IF($Z498&lt;=2000,IF(INDEX(包装物料出入库明细!$R$4:$R$2003,$Z498-0)=0,"",INDEX(包装物料出入库明细!$R$4:$R$2003,$Z498-0)),IF($Z498&lt;=4000,IF(INDEX(周转筐出入库明细!$W$4:$W$2004,$Z498-2000)=0,"",INDEX(周转筐出入库明细!$W$4:$W$2004,$Z498-2000)),IF($Z498&lt;=5200,IF(INDEX(客户自备加工筐明细!$L$4:$L$1203,$Z498-4000)=0,"",INDEX(客户自备加工筐明细!$L$4:$L$1203,$Z498-4000)),IF($Z498&lt;=5800,IF(INDEX(次果筐明细!$P$4:$P$603,$Z498-5200)=0,"",INDEX(次果筐明细!$P$4:$P$603,$Z498-5200)),"")))))</f>
        <v/>
      </c>
      <c r="N498" s="16" t="str">
        <f>IF($Z498="","",IF($Z498&lt;=2000,"",IF($Z498&lt;=4000,IF(INDEX(周转筐出入库明细!$D$4:$D$2004,$Z498-2000)=0,"",INDEX(周转筐出入库明细!$D$4:$D$2004,$Z498-2000)),IF($Z498&lt;=5200,IF(INDEX(客户自备加工筐明细!$C$4:$C$1203,$Z498-4000)=0,"",INDEX(客户自备加工筐明细!$C$4:$C$1203,$Z498-4000)),IF($Z498&lt;=5800,IF(INDEX(次果筐明细!$D$4:$D$603,$Z498-5200)=0,"",INDEX(次果筐明细!$D$4:$D$603,$Z498-5200)),"")))))</f>
        <v/>
      </c>
      <c r="O498" s="40" t="str">
        <f>IF($Z498="","",IF($Z498&lt;=2000,"",IF($Z498&lt;=4000,IF(N(INDEX(周转筐出入库明细!$J$4:$J$2004,$Z498-2000))+N(INDEX(周转筐出入库明细!$K$4:$K$2004,$Z498-2000))=0,"",N(INDEX(周转筐出入库明细!$J$4:$J$2004,$Z498-2000))+N(INDEX(周转筐出入库明细!$K$4:$K$2004,$Z498-2000))),IF($Z498&lt;=5200,IF(N(INDEX(客户自备加工筐明细!$G$4:$G$1203,$Z498-4000))=0,"",N(INDEX(客户自备加工筐明细!$G$4:$G$1203,$Z498-4000))),IF($Z498&lt;=5800,IF(ISNUMBER(SEARCH("退",INDEX(次果筐明细!$F$4:$F$603,$Z498-5200)&amp;"")),"",IF(N(INDEX(次果筐明细!$G$4:$G$603,$Z498-5200))=0,"",N(INDEX(次果筐明细!$G$4:$G$603,$Z498-5200)))),"")))))</f>
        <v/>
      </c>
      <c r="P498" s="40" t="str">
        <f>IF($Z498="","",IF($Z498&lt;=2000,"",IF($Z498&lt;=4000,IF(N(INDEX(周转筐出入库明细!$I$4:$I$2004,$Z498-2000))=0,"",N(INDEX(周转筐出入库明细!$I$4:$I$2004,$Z498-2000))),IF($Z498&lt;=5200,"",IF($Z498&lt;=5800,IF(ISNUMBER(SEARCH("退",INDEX(次果筐明细!$F$4:$F$603,$Z498-5200)&amp;"")),IF(N(INDEX(次果筐明细!$G$4:$G$603,$Z498-5200))=0,"",N(INDEX(次果筐明细!$G$4:$G$603,$Z498-5200))),""),"")))))</f>
        <v/>
      </c>
      <c r="Q498" s="40" t="str">
        <f>IF($Z498="","",IF($Z498&lt;=2000,"",IF($Z498&lt;=4000,IF(N(INDEX(周转筐出入库明细!$H$4:$H$2004,$Z498-2000))=0,"",N(INDEX(周转筐出入库明细!$H$4:$H$2004,$Z498-2000))),IF($Z498&lt;=5200,IF(N(INDEX(客户自备加工筐明细!$F$4:$F$1203,$Z498-4000))=0,"",N(INDEX(客户自备加工筐明细!$F$4:$F$1203,$Z498-4000))),IF($Z498&lt;=5800,"","")))))</f>
        <v/>
      </c>
      <c r="R498" s="16" t="str">
        <f>IF($Z498="","",IF($Z498&lt;=2000,IF(INDEX(包装物料出入库明细!$O$4:$O$2003,$Z498-0)=0,"",INDEX(包装物料出入库明细!$O$4:$O$2003,$Z498-0)),IF($Z498&lt;=4000,IF(INDEX(周转筐出入库明细!$M$4:$M$2004,$Z498-2000)=0,"",INDEX(周转筐出入库明细!$M$4:$M$2004,$Z498-2000)),IF($Z498&lt;=5200,IF(INDEX(客户自备加工筐明细!$H$4:$H$1203,$Z498-4000)=0,"",INDEX(客户自备加工筐明细!$H$4:$H$1203,$Z498-4000)),IF($Z498&lt;=5800,IF(INDEX(次果筐明细!$H$4:$H$603,$Z498-5200)=0,"",INDEX(次果筐明细!$H$4:$H$603,$Z498-5200)),"")))))</f>
        <v/>
      </c>
      <c r="S498" s="22" t="str">
        <f t="shared" si="23"/>
        <v/>
      </c>
      <c r="Z498" s="10" t="str">
        <f>IFERROR(MATCH(ROW()-3,_自动清单!$CQ$4:$CQ$5803,0),"")</f>
        <v/>
      </c>
    </row>
    <row r="499" spans="1:26">
      <c r="A499" s="24" t="str">
        <f t="shared" si="21"/>
        <v/>
      </c>
      <c r="B499" s="38" t="str">
        <f>IF($Z499="","",IF($Z499&lt;=2000,IF(INDEX(包装物料出入库明细!$B$4:$B$2003,$Z499-0)=0,"",INDEX(包装物料出入库明细!$B$4:$B$2003,$Z499-0)),IF($Z499&lt;=4000,IF(INDEX(周转筐出入库明细!$B$4:$B$2004,$Z499-2000)=0,"",INDEX(周转筐出入库明细!$B$4:$B$2004,$Z499-2000)),IF($Z499&lt;=5200,IF(INDEX(客户自备加工筐明细!$B$4:$B$1203,$Z499-4000)=0,"",INDEX(客户自备加工筐明细!$B$4:$B$1203,$Z499-4000)),IF($Z499&lt;=5800,IF(INDEX(次果筐明细!$B$4:$B$603,$Z499-5200)=0,"",INDEX(次果筐明细!$B$4:$B$603,$Z499-5200)),"")))))</f>
        <v/>
      </c>
      <c r="C499" s="37" t="str">
        <f>IF($Z499="","",IF($Z499&lt;=2000,IF(INDEX(包装物料出入库明细!$D$4:$D$2003,$Z499-0)=0,"",INDEX(包装物料出入库明细!$D$4:$D$2003,$Z499-0)),IF($Z499&lt;=4000,IF(INDEX(周转筐出入库明细!$C$4:$C$2004,$Z499-2000)=0,"",INDEX(周转筐出入库明细!$C$4:$C$2004,$Z499-2000)),IF($Z499&lt;=5200,IF(INDEX(客户自备加工筐明细!$E$4:$E$1203,$Z499-4000)=0,"",INDEX(客户自备加工筐明细!$E$4:$E$1203,$Z499-4000)),IF($Z499&lt;=5800,IF(INDEX(次果筐明细!$C$4:$C$603,$Z499-5200)=0,"",INDEX(次果筐明细!$C$4:$C$603,$Z499-5200)),"")))))</f>
        <v/>
      </c>
      <c r="D499" s="37" t="str">
        <f>IF($Z499="","",IF($Z499&lt;=2000,"包装物料－"&amp;INDEX(包装物料出入库明细!$H$4:$H$2003,$Z499-0),IF($Z499&lt;=4000,"周转筐－"&amp;INDEX(周转筐出入库明细!$F$4:$F$2004,$Z499-2000),IF($Z499&lt;=5200,"客户自备筐－"&amp;INDEX(客户自备加工筐明细!$J$4:$J$1203,$Z499-4000),IF($Z499&lt;=5800,"次果筐/托盘－"&amp;INDEX(次果筐明细!$F$4:$F$603,$Z499-5200),"")))))</f>
        <v/>
      </c>
      <c r="E499" s="24" t="str">
        <f>IF($Z499="","",IF($Z499&lt;=2000,IF(INDEX(包装物料出入库明细!$C$4:$C$2003,$Z499-0)=0,"",INDEX(包装物料出入库明细!$C$4:$C$2003,$Z499-0)),IF($Z499&lt;=4000,IF(INDEX(周转筐出入库明细!$E$4:$E$2004,$Z499-2000)=0,"",INDEX(周转筐出入库明细!$E$4:$E$2004,$Z499-2000)),IF($Z499&lt;=5200,IF(INDEX(客户自备加工筐明细!$D$4:$D$1203,$Z499-4000)=0,"",INDEX(客户自备加工筐明细!$D$4:$D$1203,$Z499-4000)),IF($Z499&lt;=5800,IF(INDEX(次果筐明细!$E$4:$E$603,$Z499-5200)=0,"",INDEX(次果筐明细!$E$4:$E$603,$Z499-5200)),"")))))</f>
        <v/>
      </c>
      <c r="F499" s="24" t="str">
        <f>IF($Z499="","",IF($Z499&lt;=2000,IF(INDEX(包装物料出入库明细!$E$4:$E$2003,$Z499-0)=0,"",INDEX(包装物料出入库明细!$E$4:$E$2003,$Z499-0)),IF($Z499&lt;=4000,IF(INDEX(周转筐出入库明细!$D$4:$D$2004,$Z499-2000)=0,"",INDEX(周转筐出入库明细!$D$4:$D$2004,$Z499-2000)),IF($Z499&lt;=5200,IF(INDEX(客户自备加工筐明细!$C$4:$C$1203,$Z499-4000)=0,"",INDEX(客户自备加工筐明细!$C$4:$C$1203,$Z499-4000)),IF($Z499&lt;=5800,IF(INDEX(次果筐明细!$D$4:$D$603,$Z499-5200)=0,"",INDEX(次果筐明细!$D$4:$D$603,$Z499-5200)),"")))))</f>
        <v/>
      </c>
      <c r="G499" s="24" t="str">
        <f>IF($Z499="","",IF($Z499&lt;=2000,IF(INDEX(包装物料出入库明细!$F$4:$F$2003,$Z499-0)=0,"",INDEX(包装物料出入库明细!$F$4:$F$2003,$Z499-0)),IF($Z499&lt;=4000,"",IF($Z499&lt;=5200,"",IF($Z499&lt;=5800,"","")))))</f>
        <v/>
      </c>
      <c r="H499" s="39" t="str">
        <f>IF($Z499="","",IF($Z499&lt;=2000,IF(INDEX(包装物料出入库明细!$L$4:$L$2003,$Z499-0)=0,"",INDEX(包装物料出入库明细!$L$4:$L$2003,$Z499-0)),IF($Z499&lt;=4000,N(INDEX(周转筐出入库明细!$H$4:$H$2004,$Z499-2000))+N(INDEX(周转筐出入库明细!$I$4:$I$2004,$Z499-2000))+N(INDEX(周转筐出入库明细!$J$4:$J$2004,$Z499-2000))+N(INDEX(周转筐出入库明细!$K$4:$K$2004,$Z499-2000)),IF($Z499&lt;=5200,N(INDEX(客户自备加工筐明细!$F$4:$F$1203,$Z499-4000))+N(INDEX(客户自备加工筐明细!$G$4:$G$1203,$Z499-4000)),IF($Z499&lt;=5800,IF(INDEX(次果筐明细!$G$4:$G$603,$Z499-5200)=0,"",INDEX(次果筐明细!$G$4:$G$603,$Z499-5200)),"")))))</f>
        <v/>
      </c>
      <c r="I499" s="24" t="str">
        <f>IF($Z499="","",IF($Z499&lt;=2000,IF(INDEX(包装物料出入库明细!$G$4:$G$2003,$Z499-0)=0,"",INDEX(包装物料出入库明细!$G$4:$G$2003,$Z499-0)),IF($Z499&lt;=4000,"个",IF($Z499&lt;=5200,"个",IF($Z499&lt;=5800,"个","")))))</f>
        <v/>
      </c>
      <c r="J499" s="30" t="str">
        <f t="shared" si="22"/>
        <v/>
      </c>
      <c r="K499" s="30" t="str">
        <f>IF($Z499="","",IF($Z499&lt;=2000,IF(INDEX(包装物料出入库明细!$N$4:$N$2003,$Z499-0)=0,"",INDEX(包装物料出入库明细!$N$4:$N$2003,$Z499-0)),IF($Z499&lt;=4000,IF(INDEX(周转筐出入库明细!$P$4:$P$2004,$Z499-2000)=0,"",INDEX(周转筐出入库明细!$P$4:$P$2004,$Z499-2000)),IF($Z499&lt;=5200,"",IF($Z499&lt;=5800,N(INDEX(次果筐明细!$L$4:$L$603,$Z499-5200))+N(INDEX(次果筐明细!$J$4:$J$603,$Z499-5200)),"")))))</f>
        <v/>
      </c>
      <c r="L499" s="24" t="str">
        <f>IF($Z499="","",IF($Z499&lt;=2000,IF(INDEX(包装物料出入库明细!$P$4:$P$2003,$Z499-0)=0,"",INDEX(包装物料出入库明细!$P$4:$P$2003,$Z499-0)),IF($Z499&lt;=4000,IF(INDEX(周转筐出入库明细!$Q$4:$Q$2004,$Z499-2000)=0,"",INDEX(周转筐出入库明细!$Q$4:$Q$2004,$Z499-2000)),IF($Z499&lt;=5200,"",IF($Z499&lt;=5800,IF(INDEX(次果筐明细!$M$4:$M$603,$Z499-5200)=0,"",INDEX(次果筐明细!$M$4:$M$603,$Z499-5200)),"")))))</f>
        <v/>
      </c>
      <c r="M499" s="37" t="str">
        <f>IF($Z499="","",IF($Z499&lt;=2000,IF(INDEX(包装物料出入库明细!$R$4:$R$2003,$Z499-0)=0,"",INDEX(包装物料出入库明细!$R$4:$R$2003,$Z499-0)),IF($Z499&lt;=4000,IF(INDEX(周转筐出入库明细!$W$4:$W$2004,$Z499-2000)=0,"",INDEX(周转筐出入库明细!$W$4:$W$2004,$Z499-2000)),IF($Z499&lt;=5200,IF(INDEX(客户自备加工筐明细!$L$4:$L$1203,$Z499-4000)=0,"",INDEX(客户自备加工筐明细!$L$4:$L$1203,$Z499-4000)),IF($Z499&lt;=5800,IF(INDEX(次果筐明细!$P$4:$P$603,$Z499-5200)=0,"",INDEX(次果筐明细!$P$4:$P$603,$Z499-5200)),"")))))</f>
        <v/>
      </c>
      <c r="N499" s="16" t="str">
        <f>IF($Z499="","",IF($Z499&lt;=2000,"",IF($Z499&lt;=4000,IF(INDEX(周转筐出入库明细!$D$4:$D$2004,$Z499-2000)=0,"",INDEX(周转筐出入库明细!$D$4:$D$2004,$Z499-2000)),IF($Z499&lt;=5200,IF(INDEX(客户自备加工筐明细!$C$4:$C$1203,$Z499-4000)=0,"",INDEX(客户自备加工筐明细!$C$4:$C$1203,$Z499-4000)),IF($Z499&lt;=5800,IF(INDEX(次果筐明细!$D$4:$D$603,$Z499-5200)=0,"",INDEX(次果筐明细!$D$4:$D$603,$Z499-5200)),"")))))</f>
        <v/>
      </c>
      <c r="O499" s="40" t="str">
        <f>IF($Z499="","",IF($Z499&lt;=2000,"",IF($Z499&lt;=4000,IF(N(INDEX(周转筐出入库明细!$J$4:$J$2004,$Z499-2000))+N(INDEX(周转筐出入库明细!$K$4:$K$2004,$Z499-2000))=0,"",N(INDEX(周转筐出入库明细!$J$4:$J$2004,$Z499-2000))+N(INDEX(周转筐出入库明细!$K$4:$K$2004,$Z499-2000))),IF($Z499&lt;=5200,IF(N(INDEX(客户自备加工筐明细!$G$4:$G$1203,$Z499-4000))=0,"",N(INDEX(客户自备加工筐明细!$G$4:$G$1203,$Z499-4000))),IF($Z499&lt;=5800,IF(ISNUMBER(SEARCH("退",INDEX(次果筐明细!$F$4:$F$603,$Z499-5200)&amp;"")),"",IF(N(INDEX(次果筐明细!$G$4:$G$603,$Z499-5200))=0,"",N(INDEX(次果筐明细!$G$4:$G$603,$Z499-5200)))),"")))))</f>
        <v/>
      </c>
      <c r="P499" s="40" t="str">
        <f>IF($Z499="","",IF($Z499&lt;=2000,"",IF($Z499&lt;=4000,IF(N(INDEX(周转筐出入库明细!$I$4:$I$2004,$Z499-2000))=0,"",N(INDEX(周转筐出入库明细!$I$4:$I$2004,$Z499-2000))),IF($Z499&lt;=5200,"",IF($Z499&lt;=5800,IF(ISNUMBER(SEARCH("退",INDEX(次果筐明细!$F$4:$F$603,$Z499-5200)&amp;"")),IF(N(INDEX(次果筐明细!$G$4:$G$603,$Z499-5200))=0,"",N(INDEX(次果筐明细!$G$4:$G$603,$Z499-5200))),""),"")))))</f>
        <v/>
      </c>
      <c r="Q499" s="40" t="str">
        <f>IF($Z499="","",IF($Z499&lt;=2000,"",IF($Z499&lt;=4000,IF(N(INDEX(周转筐出入库明细!$H$4:$H$2004,$Z499-2000))=0,"",N(INDEX(周转筐出入库明细!$H$4:$H$2004,$Z499-2000))),IF($Z499&lt;=5200,IF(N(INDEX(客户自备加工筐明细!$F$4:$F$1203,$Z499-4000))=0,"",N(INDEX(客户自备加工筐明细!$F$4:$F$1203,$Z499-4000))),IF($Z499&lt;=5800,"","")))))</f>
        <v/>
      </c>
      <c r="R499" s="16" t="str">
        <f>IF($Z499="","",IF($Z499&lt;=2000,IF(INDEX(包装物料出入库明细!$O$4:$O$2003,$Z499-0)=0,"",INDEX(包装物料出入库明细!$O$4:$O$2003,$Z499-0)),IF($Z499&lt;=4000,IF(INDEX(周转筐出入库明细!$M$4:$M$2004,$Z499-2000)=0,"",INDEX(周转筐出入库明细!$M$4:$M$2004,$Z499-2000)),IF($Z499&lt;=5200,IF(INDEX(客户自备加工筐明细!$H$4:$H$1203,$Z499-4000)=0,"",INDEX(客户自备加工筐明细!$H$4:$H$1203,$Z499-4000)),IF($Z499&lt;=5800,IF(INDEX(次果筐明细!$H$4:$H$603,$Z499-5200)=0,"",INDEX(次果筐明细!$H$4:$H$603,$Z499-5200)),"")))))</f>
        <v/>
      </c>
      <c r="S499" s="22" t="str">
        <f t="shared" si="23"/>
        <v/>
      </c>
      <c r="Z499" s="10" t="str">
        <f>IFERROR(MATCH(ROW()-3,_自动清单!$CQ$4:$CQ$5803,0),"")</f>
        <v/>
      </c>
    </row>
    <row r="500" spans="1:26">
      <c r="A500" s="24" t="str">
        <f t="shared" si="21"/>
        <v/>
      </c>
      <c r="B500" s="38" t="str">
        <f>IF($Z500="","",IF($Z500&lt;=2000,IF(INDEX(包装物料出入库明细!$B$4:$B$2003,$Z500-0)=0,"",INDEX(包装物料出入库明细!$B$4:$B$2003,$Z500-0)),IF($Z500&lt;=4000,IF(INDEX(周转筐出入库明细!$B$4:$B$2004,$Z500-2000)=0,"",INDEX(周转筐出入库明细!$B$4:$B$2004,$Z500-2000)),IF($Z500&lt;=5200,IF(INDEX(客户自备加工筐明细!$B$4:$B$1203,$Z500-4000)=0,"",INDEX(客户自备加工筐明细!$B$4:$B$1203,$Z500-4000)),IF($Z500&lt;=5800,IF(INDEX(次果筐明细!$B$4:$B$603,$Z500-5200)=0,"",INDEX(次果筐明细!$B$4:$B$603,$Z500-5200)),"")))))</f>
        <v/>
      </c>
      <c r="C500" s="37" t="str">
        <f>IF($Z500="","",IF($Z500&lt;=2000,IF(INDEX(包装物料出入库明细!$D$4:$D$2003,$Z500-0)=0,"",INDEX(包装物料出入库明细!$D$4:$D$2003,$Z500-0)),IF($Z500&lt;=4000,IF(INDEX(周转筐出入库明细!$C$4:$C$2004,$Z500-2000)=0,"",INDEX(周转筐出入库明细!$C$4:$C$2004,$Z500-2000)),IF($Z500&lt;=5200,IF(INDEX(客户自备加工筐明细!$E$4:$E$1203,$Z500-4000)=0,"",INDEX(客户自备加工筐明细!$E$4:$E$1203,$Z500-4000)),IF($Z500&lt;=5800,IF(INDEX(次果筐明细!$C$4:$C$603,$Z500-5200)=0,"",INDEX(次果筐明细!$C$4:$C$603,$Z500-5200)),"")))))</f>
        <v/>
      </c>
      <c r="D500" s="37" t="str">
        <f>IF($Z500="","",IF($Z500&lt;=2000,"包装物料－"&amp;INDEX(包装物料出入库明细!$H$4:$H$2003,$Z500-0),IF($Z500&lt;=4000,"周转筐－"&amp;INDEX(周转筐出入库明细!$F$4:$F$2004,$Z500-2000),IF($Z500&lt;=5200,"客户自备筐－"&amp;INDEX(客户自备加工筐明细!$J$4:$J$1203,$Z500-4000),IF($Z500&lt;=5800,"次果筐/托盘－"&amp;INDEX(次果筐明细!$F$4:$F$603,$Z500-5200),"")))))</f>
        <v/>
      </c>
      <c r="E500" s="24" t="str">
        <f>IF($Z500="","",IF($Z500&lt;=2000,IF(INDEX(包装物料出入库明细!$C$4:$C$2003,$Z500-0)=0,"",INDEX(包装物料出入库明细!$C$4:$C$2003,$Z500-0)),IF($Z500&lt;=4000,IF(INDEX(周转筐出入库明细!$E$4:$E$2004,$Z500-2000)=0,"",INDEX(周转筐出入库明细!$E$4:$E$2004,$Z500-2000)),IF($Z500&lt;=5200,IF(INDEX(客户自备加工筐明细!$D$4:$D$1203,$Z500-4000)=0,"",INDEX(客户自备加工筐明细!$D$4:$D$1203,$Z500-4000)),IF($Z500&lt;=5800,IF(INDEX(次果筐明细!$E$4:$E$603,$Z500-5200)=0,"",INDEX(次果筐明细!$E$4:$E$603,$Z500-5200)),"")))))</f>
        <v/>
      </c>
      <c r="F500" s="24" t="str">
        <f>IF($Z500="","",IF($Z500&lt;=2000,IF(INDEX(包装物料出入库明细!$E$4:$E$2003,$Z500-0)=0,"",INDEX(包装物料出入库明细!$E$4:$E$2003,$Z500-0)),IF($Z500&lt;=4000,IF(INDEX(周转筐出入库明细!$D$4:$D$2004,$Z500-2000)=0,"",INDEX(周转筐出入库明细!$D$4:$D$2004,$Z500-2000)),IF($Z500&lt;=5200,IF(INDEX(客户自备加工筐明细!$C$4:$C$1203,$Z500-4000)=0,"",INDEX(客户自备加工筐明细!$C$4:$C$1203,$Z500-4000)),IF($Z500&lt;=5800,IF(INDEX(次果筐明细!$D$4:$D$603,$Z500-5200)=0,"",INDEX(次果筐明细!$D$4:$D$603,$Z500-5200)),"")))))</f>
        <v/>
      </c>
      <c r="G500" s="24" t="str">
        <f>IF($Z500="","",IF($Z500&lt;=2000,IF(INDEX(包装物料出入库明细!$F$4:$F$2003,$Z500-0)=0,"",INDEX(包装物料出入库明细!$F$4:$F$2003,$Z500-0)),IF($Z500&lt;=4000,"",IF($Z500&lt;=5200,"",IF($Z500&lt;=5800,"","")))))</f>
        <v/>
      </c>
      <c r="H500" s="39" t="str">
        <f>IF($Z500="","",IF($Z500&lt;=2000,IF(INDEX(包装物料出入库明细!$L$4:$L$2003,$Z500-0)=0,"",INDEX(包装物料出入库明细!$L$4:$L$2003,$Z500-0)),IF($Z500&lt;=4000,N(INDEX(周转筐出入库明细!$H$4:$H$2004,$Z500-2000))+N(INDEX(周转筐出入库明细!$I$4:$I$2004,$Z500-2000))+N(INDEX(周转筐出入库明细!$J$4:$J$2004,$Z500-2000))+N(INDEX(周转筐出入库明细!$K$4:$K$2004,$Z500-2000)),IF($Z500&lt;=5200,N(INDEX(客户自备加工筐明细!$F$4:$F$1203,$Z500-4000))+N(INDEX(客户自备加工筐明细!$G$4:$G$1203,$Z500-4000)),IF($Z500&lt;=5800,IF(INDEX(次果筐明细!$G$4:$G$603,$Z500-5200)=0,"",INDEX(次果筐明细!$G$4:$G$603,$Z500-5200)),"")))))</f>
        <v/>
      </c>
      <c r="I500" s="24" t="str">
        <f>IF($Z500="","",IF($Z500&lt;=2000,IF(INDEX(包装物料出入库明细!$G$4:$G$2003,$Z500-0)=0,"",INDEX(包装物料出入库明细!$G$4:$G$2003,$Z500-0)),IF($Z500&lt;=4000,"个",IF($Z500&lt;=5200,"个",IF($Z500&lt;=5800,"个","")))))</f>
        <v/>
      </c>
      <c r="J500" s="30" t="str">
        <f t="shared" si="22"/>
        <v/>
      </c>
      <c r="K500" s="30" t="str">
        <f>IF($Z500="","",IF($Z500&lt;=2000,IF(INDEX(包装物料出入库明细!$N$4:$N$2003,$Z500-0)=0,"",INDEX(包装物料出入库明细!$N$4:$N$2003,$Z500-0)),IF($Z500&lt;=4000,IF(INDEX(周转筐出入库明细!$P$4:$P$2004,$Z500-2000)=0,"",INDEX(周转筐出入库明细!$P$4:$P$2004,$Z500-2000)),IF($Z500&lt;=5200,"",IF($Z500&lt;=5800,N(INDEX(次果筐明细!$L$4:$L$603,$Z500-5200))+N(INDEX(次果筐明细!$J$4:$J$603,$Z500-5200)),"")))))</f>
        <v/>
      </c>
      <c r="L500" s="24" t="str">
        <f>IF($Z500="","",IF($Z500&lt;=2000,IF(INDEX(包装物料出入库明细!$P$4:$P$2003,$Z500-0)=0,"",INDEX(包装物料出入库明细!$P$4:$P$2003,$Z500-0)),IF($Z500&lt;=4000,IF(INDEX(周转筐出入库明细!$Q$4:$Q$2004,$Z500-2000)=0,"",INDEX(周转筐出入库明细!$Q$4:$Q$2004,$Z500-2000)),IF($Z500&lt;=5200,"",IF($Z500&lt;=5800,IF(INDEX(次果筐明细!$M$4:$M$603,$Z500-5200)=0,"",INDEX(次果筐明细!$M$4:$M$603,$Z500-5200)),"")))))</f>
        <v/>
      </c>
      <c r="M500" s="37" t="str">
        <f>IF($Z500="","",IF($Z500&lt;=2000,IF(INDEX(包装物料出入库明细!$R$4:$R$2003,$Z500-0)=0,"",INDEX(包装物料出入库明细!$R$4:$R$2003,$Z500-0)),IF($Z500&lt;=4000,IF(INDEX(周转筐出入库明细!$W$4:$W$2004,$Z500-2000)=0,"",INDEX(周转筐出入库明细!$W$4:$W$2004,$Z500-2000)),IF($Z500&lt;=5200,IF(INDEX(客户自备加工筐明细!$L$4:$L$1203,$Z500-4000)=0,"",INDEX(客户自备加工筐明细!$L$4:$L$1203,$Z500-4000)),IF($Z500&lt;=5800,IF(INDEX(次果筐明细!$P$4:$P$603,$Z500-5200)=0,"",INDEX(次果筐明细!$P$4:$P$603,$Z500-5200)),"")))))</f>
        <v/>
      </c>
      <c r="N500" s="16" t="str">
        <f>IF($Z500="","",IF($Z500&lt;=2000,"",IF($Z500&lt;=4000,IF(INDEX(周转筐出入库明细!$D$4:$D$2004,$Z500-2000)=0,"",INDEX(周转筐出入库明细!$D$4:$D$2004,$Z500-2000)),IF($Z500&lt;=5200,IF(INDEX(客户自备加工筐明细!$C$4:$C$1203,$Z500-4000)=0,"",INDEX(客户自备加工筐明细!$C$4:$C$1203,$Z500-4000)),IF($Z500&lt;=5800,IF(INDEX(次果筐明细!$D$4:$D$603,$Z500-5200)=0,"",INDEX(次果筐明细!$D$4:$D$603,$Z500-5200)),"")))))</f>
        <v/>
      </c>
      <c r="O500" s="40" t="str">
        <f>IF($Z500="","",IF($Z500&lt;=2000,"",IF($Z500&lt;=4000,IF(N(INDEX(周转筐出入库明细!$J$4:$J$2004,$Z500-2000))+N(INDEX(周转筐出入库明细!$K$4:$K$2004,$Z500-2000))=0,"",N(INDEX(周转筐出入库明细!$J$4:$J$2004,$Z500-2000))+N(INDEX(周转筐出入库明细!$K$4:$K$2004,$Z500-2000))),IF($Z500&lt;=5200,IF(N(INDEX(客户自备加工筐明细!$G$4:$G$1203,$Z500-4000))=0,"",N(INDEX(客户自备加工筐明细!$G$4:$G$1203,$Z500-4000))),IF($Z500&lt;=5800,IF(ISNUMBER(SEARCH("退",INDEX(次果筐明细!$F$4:$F$603,$Z500-5200)&amp;"")),"",IF(N(INDEX(次果筐明细!$G$4:$G$603,$Z500-5200))=0,"",N(INDEX(次果筐明细!$G$4:$G$603,$Z500-5200)))),"")))))</f>
        <v/>
      </c>
      <c r="P500" s="40" t="str">
        <f>IF($Z500="","",IF($Z500&lt;=2000,"",IF($Z500&lt;=4000,IF(N(INDEX(周转筐出入库明细!$I$4:$I$2004,$Z500-2000))=0,"",N(INDEX(周转筐出入库明细!$I$4:$I$2004,$Z500-2000))),IF($Z500&lt;=5200,"",IF($Z500&lt;=5800,IF(ISNUMBER(SEARCH("退",INDEX(次果筐明细!$F$4:$F$603,$Z500-5200)&amp;"")),IF(N(INDEX(次果筐明细!$G$4:$G$603,$Z500-5200))=0,"",N(INDEX(次果筐明细!$G$4:$G$603,$Z500-5200))),""),"")))))</f>
        <v/>
      </c>
      <c r="Q500" s="40" t="str">
        <f>IF($Z500="","",IF($Z500&lt;=2000,"",IF($Z500&lt;=4000,IF(N(INDEX(周转筐出入库明细!$H$4:$H$2004,$Z500-2000))=0,"",N(INDEX(周转筐出入库明细!$H$4:$H$2004,$Z500-2000))),IF($Z500&lt;=5200,IF(N(INDEX(客户自备加工筐明细!$F$4:$F$1203,$Z500-4000))=0,"",N(INDEX(客户自备加工筐明细!$F$4:$F$1203,$Z500-4000))),IF($Z500&lt;=5800,"","")))))</f>
        <v/>
      </c>
      <c r="R500" s="16" t="str">
        <f>IF($Z500="","",IF($Z500&lt;=2000,IF(INDEX(包装物料出入库明细!$O$4:$O$2003,$Z500-0)=0,"",INDEX(包装物料出入库明细!$O$4:$O$2003,$Z500-0)),IF($Z500&lt;=4000,IF(INDEX(周转筐出入库明细!$M$4:$M$2004,$Z500-2000)=0,"",INDEX(周转筐出入库明细!$M$4:$M$2004,$Z500-2000)),IF($Z500&lt;=5200,IF(INDEX(客户自备加工筐明细!$H$4:$H$1203,$Z500-4000)=0,"",INDEX(客户自备加工筐明细!$H$4:$H$1203,$Z500-4000)),IF($Z500&lt;=5800,IF(INDEX(次果筐明细!$H$4:$H$603,$Z500-5200)=0,"",INDEX(次果筐明细!$H$4:$H$603,$Z500-5200)),"")))))</f>
        <v/>
      </c>
      <c r="S500" s="22" t="str">
        <f t="shared" si="23"/>
        <v/>
      </c>
      <c r="Z500" s="10" t="str">
        <f>IFERROR(MATCH(ROW()-3,_自动清单!$CQ$4:$CQ$5803,0),"")</f>
        <v/>
      </c>
    </row>
    <row r="501" spans="1:26">
      <c r="A501" s="24" t="str">
        <f t="shared" si="21"/>
        <v/>
      </c>
      <c r="B501" s="38" t="str">
        <f>IF($Z501="","",IF($Z501&lt;=2000,IF(INDEX(包装物料出入库明细!$B$4:$B$2003,$Z501-0)=0,"",INDEX(包装物料出入库明细!$B$4:$B$2003,$Z501-0)),IF($Z501&lt;=4000,IF(INDEX(周转筐出入库明细!$B$4:$B$2004,$Z501-2000)=0,"",INDEX(周转筐出入库明细!$B$4:$B$2004,$Z501-2000)),IF($Z501&lt;=5200,IF(INDEX(客户自备加工筐明细!$B$4:$B$1203,$Z501-4000)=0,"",INDEX(客户自备加工筐明细!$B$4:$B$1203,$Z501-4000)),IF($Z501&lt;=5800,IF(INDEX(次果筐明细!$B$4:$B$603,$Z501-5200)=0,"",INDEX(次果筐明细!$B$4:$B$603,$Z501-5200)),"")))))</f>
        <v/>
      </c>
      <c r="C501" s="37" t="str">
        <f>IF($Z501="","",IF($Z501&lt;=2000,IF(INDEX(包装物料出入库明细!$D$4:$D$2003,$Z501-0)=0,"",INDEX(包装物料出入库明细!$D$4:$D$2003,$Z501-0)),IF($Z501&lt;=4000,IF(INDEX(周转筐出入库明细!$C$4:$C$2004,$Z501-2000)=0,"",INDEX(周转筐出入库明细!$C$4:$C$2004,$Z501-2000)),IF($Z501&lt;=5200,IF(INDEX(客户自备加工筐明细!$E$4:$E$1203,$Z501-4000)=0,"",INDEX(客户自备加工筐明细!$E$4:$E$1203,$Z501-4000)),IF($Z501&lt;=5800,IF(INDEX(次果筐明细!$C$4:$C$603,$Z501-5200)=0,"",INDEX(次果筐明细!$C$4:$C$603,$Z501-5200)),"")))))</f>
        <v/>
      </c>
      <c r="D501" s="37" t="str">
        <f>IF($Z501="","",IF($Z501&lt;=2000,"包装物料－"&amp;INDEX(包装物料出入库明细!$H$4:$H$2003,$Z501-0),IF($Z501&lt;=4000,"周转筐－"&amp;INDEX(周转筐出入库明细!$F$4:$F$2004,$Z501-2000),IF($Z501&lt;=5200,"客户自备筐－"&amp;INDEX(客户自备加工筐明细!$J$4:$J$1203,$Z501-4000),IF($Z501&lt;=5800,"次果筐/托盘－"&amp;INDEX(次果筐明细!$F$4:$F$603,$Z501-5200),"")))))</f>
        <v/>
      </c>
      <c r="E501" s="24" t="str">
        <f>IF($Z501="","",IF($Z501&lt;=2000,IF(INDEX(包装物料出入库明细!$C$4:$C$2003,$Z501-0)=0,"",INDEX(包装物料出入库明细!$C$4:$C$2003,$Z501-0)),IF($Z501&lt;=4000,IF(INDEX(周转筐出入库明细!$E$4:$E$2004,$Z501-2000)=0,"",INDEX(周转筐出入库明细!$E$4:$E$2004,$Z501-2000)),IF($Z501&lt;=5200,IF(INDEX(客户自备加工筐明细!$D$4:$D$1203,$Z501-4000)=0,"",INDEX(客户自备加工筐明细!$D$4:$D$1203,$Z501-4000)),IF($Z501&lt;=5800,IF(INDEX(次果筐明细!$E$4:$E$603,$Z501-5200)=0,"",INDEX(次果筐明细!$E$4:$E$603,$Z501-5200)),"")))))</f>
        <v/>
      </c>
      <c r="F501" s="24" t="str">
        <f>IF($Z501="","",IF($Z501&lt;=2000,IF(INDEX(包装物料出入库明细!$E$4:$E$2003,$Z501-0)=0,"",INDEX(包装物料出入库明细!$E$4:$E$2003,$Z501-0)),IF($Z501&lt;=4000,IF(INDEX(周转筐出入库明细!$D$4:$D$2004,$Z501-2000)=0,"",INDEX(周转筐出入库明细!$D$4:$D$2004,$Z501-2000)),IF($Z501&lt;=5200,IF(INDEX(客户自备加工筐明细!$C$4:$C$1203,$Z501-4000)=0,"",INDEX(客户自备加工筐明细!$C$4:$C$1203,$Z501-4000)),IF($Z501&lt;=5800,IF(INDEX(次果筐明细!$D$4:$D$603,$Z501-5200)=0,"",INDEX(次果筐明细!$D$4:$D$603,$Z501-5200)),"")))))</f>
        <v/>
      </c>
      <c r="G501" s="24" t="str">
        <f>IF($Z501="","",IF($Z501&lt;=2000,IF(INDEX(包装物料出入库明细!$F$4:$F$2003,$Z501-0)=0,"",INDEX(包装物料出入库明细!$F$4:$F$2003,$Z501-0)),IF($Z501&lt;=4000,"",IF($Z501&lt;=5200,"",IF($Z501&lt;=5800,"","")))))</f>
        <v/>
      </c>
      <c r="H501" s="39" t="str">
        <f>IF($Z501="","",IF($Z501&lt;=2000,IF(INDEX(包装物料出入库明细!$L$4:$L$2003,$Z501-0)=0,"",INDEX(包装物料出入库明细!$L$4:$L$2003,$Z501-0)),IF($Z501&lt;=4000,N(INDEX(周转筐出入库明细!$H$4:$H$2004,$Z501-2000))+N(INDEX(周转筐出入库明细!$I$4:$I$2004,$Z501-2000))+N(INDEX(周转筐出入库明细!$J$4:$J$2004,$Z501-2000))+N(INDEX(周转筐出入库明细!$K$4:$K$2004,$Z501-2000)),IF($Z501&lt;=5200,N(INDEX(客户自备加工筐明细!$F$4:$F$1203,$Z501-4000))+N(INDEX(客户自备加工筐明细!$G$4:$G$1203,$Z501-4000)),IF($Z501&lt;=5800,IF(INDEX(次果筐明细!$G$4:$G$603,$Z501-5200)=0,"",INDEX(次果筐明细!$G$4:$G$603,$Z501-5200)),"")))))</f>
        <v/>
      </c>
      <c r="I501" s="24" t="str">
        <f>IF($Z501="","",IF($Z501&lt;=2000,IF(INDEX(包装物料出入库明细!$G$4:$G$2003,$Z501-0)=0,"",INDEX(包装物料出入库明细!$G$4:$G$2003,$Z501-0)),IF($Z501&lt;=4000,"个",IF($Z501&lt;=5200,"个",IF($Z501&lt;=5800,"个","")))))</f>
        <v/>
      </c>
      <c r="J501" s="30" t="str">
        <f t="shared" si="22"/>
        <v/>
      </c>
      <c r="K501" s="30" t="str">
        <f>IF($Z501="","",IF($Z501&lt;=2000,IF(INDEX(包装物料出入库明细!$N$4:$N$2003,$Z501-0)=0,"",INDEX(包装物料出入库明细!$N$4:$N$2003,$Z501-0)),IF($Z501&lt;=4000,IF(INDEX(周转筐出入库明细!$P$4:$P$2004,$Z501-2000)=0,"",INDEX(周转筐出入库明细!$P$4:$P$2004,$Z501-2000)),IF($Z501&lt;=5200,"",IF($Z501&lt;=5800,N(INDEX(次果筐明细!$L$4:$L$603,$Z501-5200))+N(INDEX(次果筐明细!$J$4:$J$603,$Z501-5200)),"")))))</f>
        <v/>
      </c>
      <c r="L501" s="24" t="str">
        <f>IF($Z501="","",IF($Z501&lt;=2000,IF(INDEX(包装物料出入库明细!$P$4:$P$2003,$Z501-0)=0,"",INDEX(包装物料出入库明细!$P$4:$P$2003,$Z501-0)),IF($Z501&lt;=4000,IF(INDEX(周转筐出入库明细!$Q$4:$Q$2004,$Z501-2000)=0,"",INDEX(周转筐出入库明细!$Q$4:$Q$2004,$Z501-2000)),IF($Z501&lt;=5200,"",IF($Z501&lt;=5800,IF(INDEX(次果筐明细!$M$4:$M$603,$Z501-5200)=0,"",INDEX(次果筐明细!$M$4:$M$603,$Z501-5200)),"")))))</f>
        <v/>
      </c>
      <c r="M501" s="37" t="str">
        <f>IF($Z501="","",IF($Z501&lt;=2000,IF(INDEX(包装物料出入库明细!$R$4:$R$2003,$Z501-0)=0,"",INDEX(包装物料出入库明细!$R$4:$R$2003,$Z501-0)),IF($Z501&lt;=4000,IF(INDEX(周转筐出入库明细!$W$4:$W$2004,$Z501-2000)=0,"",INDEX(周转筐出入库明细!$W$4:$W$2004,$Z501-2000)),IF($Z501&lt;=5200,IF(INDEX(客户自备加工筐明细!$L$4:$L$1203,$Z501-4000)=0,"",INDEX(客户自备加工筐明细!$L$4:$L$1203,$Z501-4000)),IF($Z501&lt;=5800,IF(INDEX(次果筐明细!$P$4:$P$603,$Z501-5200)=0,"",INDEX(次果筐明细!$P$4:$P$603,$Z501-5200)),"")))))</f>
        <v/>
      </c>
      <c r="N501" s="16" t="str">
        <f>IF($Z501="","",IF($Z501&lt;=2000,"",IF($Z501&lt;=4000,IF(INDEX(周转筐出入库明细!$D$4:$D$2004,$Z501-2000)=0,"",INDEX(周转筐出入库明细!$D$4:$D$2004,$Z501-2000)),IF($Z501&lt;=5200,IF(INDEX(客户自备加工筐明细!$C$4:$C$1203,$Z501-4000)=0,"",INDEX(客户自备加工筐明细!$C$4:$C$1203,$Z501-4000)),IF($Z501&lt;=5800,IF(INDEX(次果筐明细!$D$4:$D$603,$Z501-5200)=0,"",INDEX(次果筐明细!$D$4:$D$603,$Z501-5200)),"")))))</f>
        <v/>
      </c>
      <c r="O501" s="40" t="str">
        <f>IF($Z501="","",IF($Z501&lt;=2000,"",IF($Z501&lt;=4000,IF(N(INDEX(周转筐出入库明细!$J$4:$J$2004,$Z501-2000))+N(INDEX(周转筐出入库明细!$K$4:$K$2004,$Z501-2000))=0,"",N(INDEX(周转筐出入库明细!$J$4:$J$2004,$Z501-2000))+N(INDEX(周转筐出入库明细!$K$4:$K$2004,$Z501-2000))),IF($Z501&lt;=5200,IF(N(INDEX(客户自备加工筐明细!$G$4:$G$1203,$Z501-4000))=0,"",N(INDEX(客户自备加工筐明细!$G$4:$G$1203,$Z501-4000))),IF($Z501&lt;=5800,IF(ISNUMBER(SEARCH("退",INDEX(次果筐明细!$F$4:$F$603,$Z501-5200)&amp;"")),"",IF(N(INDEX(次果筐明细!$G$4:$G$603,$Z501-5200))=0,"",N(INDEX(次果筐明细!$G$4:$G$603,$Z501-5200)))),"")))))</f>
        <v/>
      </c>
      <c r="P501" s="40" t="str">
        <f>IF($Z501="","",IF($Z501&lt;=2000,"",IF($Z501&lt;=4000,IF(N(INDEX(周转筐出入库明细!$I$4:$I$2004,$Z501-2000))=0,"",N(INDEX(周转筐出入库明细!$I$4:$I$2004,$Z501-2000))),IF($Z501&lt;=5200,"",IF($Z501&lt;=5800,IF(ISNUMBER(SEARCH("退",INDEX(次果筐明细!$F$4:$F$603,$Z501-5200)&amp;"")),IF(N(INDEX(次果筐明细!$G$4:$G$603,$Z501-5200))=0,"",N(INDEX(次果筐明细!$G$4:$G$603,$Z501-5200))),""),"")))))</f>
        <v/>
      </c>
      <c r="Q501" s="40" t="str">
        <f>IF($Z501="","",IF($Z501&lt;=2000,"",IF($Z501&lt;=4000,IF(N(INDEX(周转筐出入库明细!$H$4:$H$2004,$Z501-2000))=0,"",N(INDEX(周转筐出入库明细!$H$4:$H$2004,$Z501-2000))),IF($Z501&lt;=5200,IF(N(INDEX(客户自备加工筐明细!$F$4:$F$1203,$Z501-4000))=0,"",N(INDEX(客户自备加工筐明细!$F$4:$F$1203,$Z501-4000))),IF($Z501&lt;=5800,"","")))))</f>
        <v/>
      </c>
      <c r="R501" s="16" t="str">
        <f>IF($Z501="","",IF($Z501&lt;=2000,IF(INDEX(包装物料出入库明细!$O$4:$O$2003,$Z501-0)=0,"",INDEX(包装物料出入库明细!$O$4:$O$2003,$Z501-0)),IF($Z501&lt;=4000,IF(INDEX(周转筐出入库明细!$M$4:$M$2004,$Z501-2000)=0,"",INDEX(周转筐出入库明细!$M$4:$M$2004,$Z501-2000)),IF($Z501&lt;=5200,IF(INDEX(客户自备加工筐明细!$H$4:$H$1203,$Z501-4000)=0,"",INDEX(客户自备加工筐明细!$H$4:$H$1203,$Z501-4000)),IF($Z501&lt;=5800,IF(INDEX(次果筐明细!$H$4:$H$603,$Z501-5200)=0,"",INDEX(次果筐明细!$H$4:$H$603,$Z501-5200)),"")))))</f>
        <v/>
      </c>
      <c r="S501" s="22" t="str">
        <f t="shared" si="23"/>
        <v/>
      </c>
      <c r="Z501" s="10" t="str">
        <f>IFERROR(MATCH(ROW()-3,_自动清单!$CQ$4:$CQ$5803,0),"")</f>
        <v/>
      </c>
    </row>
    <row r="502" spans="1:26">
      <c r="A502" s="24" t="str">
        <f t="shared" si="21"/>
        <v/>
      </c>
      <c r="B502" s="38" t="str">
        <f>IF($Z502="","",IF($Z502&lt;=2000,IF(INDEX(包装物料出入库明细!$B$4:$B$2003,$Z502-0)=0,"",INDEX(包装物料出入库明细!$B$4:$B$2003,$Z502-0)),IF($Z502&lt;=4000,IF(INDEX(周转筐出入库明细!$B$4:$B$2004,$Z502-2000)=0,"",INDEX(周转筐出入库明细!$B$4:$B$2004,$Z502-2000)),IF($Z502&lt;=5200,IF(INDEX(客户自备加工筐明细!$B$4:$B$1203,$Z502-4000)=0,"",INDEX(客户自备加工筐明细!$B$4:$B$1203,$Z502-4000)),IF($Z502&lt;=5800,IF(INDEX(次果筐明细!$B$4:$B$603,$Z502-5200)=0,"",INDEX(次果筐明细!$B$4:$B$603,$Z502-5200)),"")))))</f>
        <v/>
      </c>
      <c r="C502" s="37" t="str">
        <f>IF($Z502="","",IF($Z502&lt;=2000,IF(INDEX(包装物料出入库明细!$D$4:$D$2003,$Z502-0)=0,"",INDEX(包装物料出入库明细!$D$4:$D$2003,$Z502-0)),IF($Z502&lt;=4000,IF(INDEX(周转筐出入库明细!$C$4:$C$2004,$Z502-2000)=0,"",INDEX(周转筐出入库明细!$C$4:$C$2004,$Z502-2000)),IF($Z502&lt;=5200,IF(INDEX(客户自备加工筐明细!$E$4:$E$1203,$Z502-4000)=0,"",INDEX(客户自备加工筐明细!$E$4:$E$1203,$Z502-4000)),IF($Z502&lt;=5800,IF(INDEX(次果筐明细!$C$4:$C$603,$Z502-5200)=0,"",INDEX(次果筐明细!$C$4:$C$603,$Z502-5200)),"")))))</f>
        <v/>
      </c>
      <c r="D502" s="37" t="str">
        <f>IF($Z502="","",IF($Z502&lt;=2000,"包装物料－"&amp;INDEX(包装物料出入库明细!$H$4:$H$2003,$Z502-0),IF($Z502&lt;=4000,"周转筐－"&amp;INDEX(周转筐出入库明细!$F$4:$F$2004,$Z502-2000),IF($Z502&lt;=5200,"客户自备筐－"&amp;INDEX(客户自备加工筐明细!$J$4:$J$1203,$Z502-4000),IF($Z502&lt;=5800,"次果筐/托盘－"&amp;INDEX(次果筐明细!$F$4:$F$603,$Z502-5200),"")))))</f>
        <v/>
      </c>
      <c r="E502" s="24" t="str">
        <f>IF($Z502="","",IF($Z502&lt;=2000,IF(INDEX(包装物料出入库明细!$C$4:$C$2003,$Z502-0)=0,"",INDEX(包装物料出入库明细!$C$4:$C$2003,$Z502-0)),IF($Z502&lt;=4000,IF(INDEX(周转筐出入库明细!$E$4:$E$2004,$Z502-2000)=0,"",INDEX(周转筐出入库明细!$E$4:$E$2004,$Z502-2000)),IF($Z502&lt;=5200,IF(INDEX(客户自备加工筐明细!$D$4:$D$1203,$Z502-4000)=0,"",INDEX(客户自备加工筐明细!$D$4:$D$1203,$Z502-4000)),IF($Z502&lt;=5800,IF(INDEX(次果筐明细!$E$4:$E$603,$Z502-5200)=0,"",INDEX(次果筐明细!$E$4:$E$603,$Z502-5200)),"")))))</f>
        <v/>
      </c>
      <c r="F502" s="24" t="str">
        <f>IF($Z502="","",IF($Z502&lt;=2000,IF(INDEX(包装物料出入库明细!$E$4:$E$2003,$Z502-0)=0,"",INDEX(包装物料出入库明细!$E$4:$E$2003,$Z502-0)),IF($Z502&lt;=4000,IF(INDEX(周转筐出入库明细!$D$4:$D$2004,$Z502-2000)=0,"",INDEX(周转筐出入库明细!$D$4:$D$2004,$Z502-2000)),IF($Z502&lt;=5200,IF(INDEX(客户自备加工筐明细!$C$4:$C$1203,$Z502-4000)=0,"",INDEX(客户自备加工筐明细!$C$4:$C$1203,$Z502-4000)),IF($Z502&lt;=5800,IF(INDEX(次果筐明细!$D$4:$D$603,$Z502-5200)=0,"",INDEX(次果筐明细!$D$4:$D$603,$Z502-5200)),"")))))</f>
        <v/>
      </c>
      <c r="G502" s="24" t="str">
        <f>IF($Z502="","",IF($Z502&lt;=2000,IF(INDEX(包装物料出入库明细!$F$4:$F$2003,$Z502-0)=0,"",INDEX(包装物料出入库明细!$F$4:$F$2003,$Z502-0)),IF($Z502&lt;=4000,"",IF($Z502&lt;=5200,"",IF($Z502&lt;=5800,"","")))))</f>
        <v/>
      </c>
      <c r="H502" s="39" t="str">
        <f>IF($Z502="","",IF($Z502&lt;=2000,IF(INDEX(包装物料出入库明细!$L$4:$L$2003,$Z502-0)=0,"",INDEX(包装物料出入库明细!$L$4:$L$2003,$Z502-0)),IF($Z502&lt;=4000,N(INDEX(周转筐出入库明细!$H$4:$H$2004,$Z502-2000))+N(INDEX(周转筐出入库明细!$I$4:$I$2004,$Z502-2000))+N(INDEX(周转筐出入库明细!$J$4:$J$2004,$Z502-2000))+N(INDEX(周转筐出入库明细!$K$4:$K$2004,$Z502-2000)),IF($Z502&lt;=5200,N(INDEX(客户自备加工筐明细!$F$4:$F$1203,$Z502-4000))+N(INDEX(客户自备加工筐明细!$G$4:$G$1203,$Z502-4000)),IF($Z502&lt;=5800,IF(INDEX(次果筐明细!$G$4:$G$603,$Z502-5200)=0,"",INDEX(次果筐明细!$G$4:$G$603,$Z502-5200)),"")))))</f>
        <v/>
      </c>
      <c r="I502" s="24" t="str">
        <f>IF($Z502="","",IF($Z502&lt;=2000,IF(INDEX(包装物料出入库明细!$G$4:$G$2003,$Z502-0)=0,"",INDEX(包装物料出入库明细!$G$4:$G$2003,$Z502-0)),IF($Z502&lt;=4000,"个",IF($Z502&lt;=5200,"个",IF($Z502&lt;=5800,"个","")))))</f>
        <v/>
      </c>
      <c r="J502" s="30" t="str">
        <f t="shared" si="22"/>
        <v/>
      </c>
      <c r="K502" s="30" t="str">
        <f>IF($Z502="","",IF($Z502&lt;=2000,IF(INDEX(包装物料出入库明细!$N$4:$N$2003,$Z502-0)=0,"",INDEX(包装物料出入库明细!$N$4:$N$2003,$Z502-0)),IF($Z502&lt;=4000,IF(INDEX(周转筐出入库明细!$P$4:$P$2004,$Z502-2000)=0,"",INDEX(周转筐出入库明细!$P$4:$P$2004,$Z502-2000)),IF($Z502&lt;=5200,"",IF($Z502&lt;=5800,N(INDEX(次果筐明细!$L$4:$L$603,$Z502-5200))+N(INDEX(次果筐明细!$J$4:$J$603,$Z502-5200)),"")))))</f>
        <v/>
      </c>
      <c r="L502" s="24" t="str">
        <f>IF($Z502="","",IF($Z502&lt;=2000,IF(INDEX(包装物料出入库明细!$P$4:$P$2003,$Z502-0)=0,"",INDEX(包装物料出入库明细!$P$4:$P$2003,$Z502-0)),IF($Z502&lt;=4000,IF(INDEX(周转筐出入库明细!$Q$4:$Q$2004,$Z502-2000)=0,"",INDEX(周转筐出入库明细!$Q$4:$Q$2004,$Z502-2000)),IF($Z502&lt;=5200,"",IF($Z502&lt;=5800,IF(INDEX(次果筐明细!$M$4:$M$603,$Z502-5200)=0,"",INDEX(次果筐明细!$M$4:$M$603,$Z502-5200)),"")))))</f>
        <v/>
      </c>
      <c r="M502" s="37" t="str">
        <f>IF($Z502="","",IF($Z502&lt;=2000,IF(INDEX(包装物料出入库明细!$R$4:$R$2003,$Z502-0)=0,"",INDEX(包装物料出入库明细!$R$4:$R$2003,$Z502-0)),IF($Z502&lt;=4000,IF(INDEX(周转筐出入库明细!$W$4:$W$2004,$Z502-2000)=0,"",INDEX(周转筐出入库明细!$W$4:$W$2004,$Z502-2000)),IF($Z502&lt;=5200,IF(INDEX(客户自备加工筐明细!$L$4:$L$1203,$Z502-4000)=0,"",INDEX(客户自备加工筐明细!$L$4:$L$1203,$Z502-4000)),IF($Z502&lt;=5800,IF(INDEX(次果筐明细!$P$4:$P$603,$Z502-5200)=0,"",INDEX(次果筐明细!$P$4:$P$603,$Z502-5200)),"")))))</f>
        <v/>
      </c>
      <c r="N502" s="16" t="str">
        <f>IF($Z502="","",IF($Z502&lt;=2000,"",IF($Z502&lt;=4000,IF(INDEX(周转筐出入库明细!$D$4:$D$2004,$Z502-2000)=0,"",INDEX(周转筐出入库明细!$D$4:$D$2004,$Z502-2000)),IF($Z502&lt;=5200,IF(INDEX(客户自备加工筐明细!$C$4:$C$1203,$Z502-4000)=0,"",INDEX(客户自备加工筐明细!$C$4:$C$1203,$Z502-4000)),IF($Z502&lt;=5800,IF(INDEX(次果筐明细!$D$4:$D$603,$Z502-5200)=0,"",INDEX(次果筐明细!$D$4:$D$603,$Z502-5200)),"")))))</f>
        <v/>
      </c>
      <c r="O502" s="40" t="str">
        <f>IF($Z502="","",IF($Z502&lt;=2000,"",IF($Z502&lt;=4000,IF(N(INDEX(周转筐出入库明细!$J$4:$J$2004,$Z502-2000))+N(INDEX(周转筐出入库明细!$K$4:$K$2004,$Z502-2000))=0,"",N(INDEX(周转筐出入库明细!$J$4:$J$2004,$Z502-2000))+N(INDEX(周转筐出入库明细!$K$4:$K$2004,$Z502-2000))),IF($Z502&lt;=5200,IF(N(INDEX(客户自备加工筐明细!$G$4:$G$1203,$Z502-4000))=0,"",N(INDEX(客户自备加工筐明细!$G$4:$G$1203,$Z502-4000))),IF($Z502&lt;=5800,IF(ISNUMBER(SEARCH("退",INDEX(次果筐明细!$F$4:$F$603,$Z502-5200)&amp;"")),"",IF(N(INDEX(次果筐明细!$G$4:$G$603,$Z502-5200))=0,"",N(INDEX(次果筐明细!$G$4:$G$603,$Z502-5200)))),"")))))</f>
        <v/>
      </c>
      <c r="P502" s="40" t="str">
        <f>IF($Z502="","",IF($Z502&lt;=2000,"",IF($Z502&lt;=4000,IF(N(INDEX(周转筐出入库明细!$I$4:$I$2004,$Z502-2000))=0,"",N(INDEX(周转筐出入库明细!$I$4:$I$2004,$Z502-2000))),IF($Z502&lt;=5200,"",IF($Z502&lt;=5800,IF(ISNUMBER(SEARCH("退",INDEX(次果筐明细!$F$4:$F$603,$Z502-5200)&amp;"")),IF(N(INDEX(次果筐明细!$G$4:$G$603,$Z502-5200))=0,"",N(INDEX(次果筐明细!$G$4:$G$603,$Z502-5200))),""),"")))))</f>
        <v/>
      </c>
      <c r="Q502" s="40" t="str">
        <f>IF($Z502="","",IF($Z502&lt;=2000,"",IF($Z502&lt;=4000,IF(N(INDEX(周转筐出入库明细!$H$4:$H$2004,$Z502-2000))=0,"",N(INDEX(周转筐出入库明细!$H$4:$H$2004,$Z502-2000))),IF($Z502&lt;=5200,IF(N(INDEX(客户自备加工筐明细!$F$4:$F$1203,$Z502-4000))=0,"",N(INDEX(客户自备加工筐明细!$F$4:$F$1203,$Z502-4000))),IF($Z502&lt;=5800,"","")))))</f>
        <v/>
      </c>
      <c r="R502" s="16" t="str">
        <f>IF($Z502="","",IF($Z502&lt;=2000,IF(INDEX(包装物料出入库明细!$O$4:$O$2003,$Z502-0)=0,"",INDEX(包装物料出入库明细!$O$4:$O$2003,$Z502-0)),IF($Z502&lt;=4000,IF(INDEX(周转筐出入库明细!$M$4:$M$2004,$Z502-2000)=0,"",INDEX(周转筐出入库明细!$M$4:$M$2004,$Z502-2000)),IF($Z502&lt;=5200,IF(INDEX(客户自备加工筐明细!$H$4:$H$1203,$Z502-4000)=0,"",INDEX(客户自备加工筐明细!$H$4:$H$1203,$Z502-4000)),IF($Z502&lt;=5800,IF(INDEX(次果筐明细!$H$4:$H$603,$Z502-5200)=0,"",INDEX(次果筐明细!$H$4:$H$603,$Z502-5200)),"")))))</f>
        <v/>
      </c>
      <c r="S502" s="22" t="str">
        <f t="shared" si="23"/>
        <v/>
      </c>
      <c r="Z502" s="10" t="str">
        <f>IFERROR(MATCH(ROW()-3,_自动清单!$CQ$4:$CQ$5803,0),"")</f>
        <v/>
      </c>
    </row>
    <row r="503" spans="1:26">
      <c r="A503" s="24" t="str">
        <f t="shared" si="21"/>
        <v/>
      </c>
      <c r="B503" s="38" t="str">
        <f>IF($Z503="","",IF($Z503&lt;=2000,IF(INDEX(包装物料出入库明细!$B$4:$B$2003,$Z503-0)=0,"",INDEX(包装物料出入库明细!$B$4:$B$2003,$Z503-0)),IF($Z503&lt;=4000,IF(INDEX(周转筐出入库明细!$B$4:$B$2004,$Z503-2000)=0,"",INDEX(周转筐出入库明细!$B$4:$B$2004,$Z503-2000)),IF($Z503&lt;=5200,IF(INDEX(客户自备加工筐明细!$B$4:$B$1203,$Z503-4000)=0,"",INDEX(客户自备加工筐明细!$B$4:$B$1203,$Z503-4000)),IF($Z503&lt;=5800,IF(INDEX(次果筐明细!$B$4:$B$603,$Z503-5200)=0,"",INDEX(次果筐明细!$B$4:$B$603,$Z503-5200)),"")))))</f>
        <v/>
      </c>
      <c r="C503" s="37" t="str">
        <f>IF($Z503="","",IF($Z503&lt;=2000,IF(INDEX(包装物料出入库明细!$D$4:$D$2003,$Z503-0)=0,"",INDEX(包装物料出入库明细!$D$4:$D$2003,$Z503-0)),IF($Z503&lt;=4000,IF(INDEX(周转筐出入库明细!$C$4:$C$2004,$Z503-2000)=0,"",INDEX(周转筐出入库明细!$C$4:$C$2004,$Z503-2000)),IF($Z503&lt;=5200,IF(INDEX(客户自备加工筐明细!$E$4:$E$1203,$Z503-4000)=0,"",INDEX(客户自备加工筐明细!$E$4:$E$1203,$Z503-4000)),IF($Z503&lt;=5800,IF(INDEX(次果筐明细!$C$4:$C$603,$Z503-5200)=0,"",INDEX(次果筐明细!$C$4:$C$603,$Z503-5200)),"")))))</f>
        <v/>
      </c>
      <c r="D503" s="37" t="str">
        <f>IF($Z503="","",IF($Z503&lt;=2000,"包装物料－"&amp;INDEX(包装物料出入库明细!$H$4:$H$2003,$Z503-0),IF($Z503&lt;=4000,"周转筐－"&amp;INDEX(周转筐出入库明细!$F$4:$F$2004,$Z503-2000),IF($Z503&lt;=5200,"客户自备筐－"&amp;INDEX(客户自备加工筐明细!$J$4:$J$1203,$Z503-4000),IF($Z503&lt;=5800,"次果筐/托盘－"&amp;INDEX(次果筐明细!$F$4:$F$603,$Z503-5200),"")))))</f>
        <v/>
      </c>
      <c r="E503" s="24" t="str">
        <f>IF($Z503="","",IF($Z503&lt;=2000,IF(INDEX(包装物料出入库明细!$C$4:$C$2003,$Z503-0)=0,"",INDEX(包装物料出入库明细!$C$4:$C$2003,$Z503-0)),IF($Z503&lt;=4000,IF(INDEX(周转筐出入库明细!$E$4:$E$2004,$Z503-2000)=0,"",INDEX(周转筐出入库明细!$E$4:$E$2004,$Z503-2000)),IF($Z503&lt;=5200,IF(INDEX(客户自备加工筐明细!$D$4:$D$1203,$Z503-4000)=0,"",INDEX(客户自备加工筐明细!$D$4:$D$1203,$Z503-4000)),IF($Z503&lt;=5800,IF(INDEX(次果筐明细!$E$4:$E$603,$Z503-5200)=0,"",INDEX(次果筐明细!$E$4:$E$603,$Z503-5200)),"")))))</f>
        <v/>
      </c>
      <c r="F503" s="24" t="str">
        <f>IF($Z503="","",IF($Z503&lt;=2000,IF(INDEX(包装物料出入库明细!$E$4:$E$2003,$Z503-0)=0,"",INDEX(包装物料出入库明细!$E$4:$E$2003,$Z503-0)),IF($Z503&lt;=4000,IF(INDEX(周转筐出入库明细!$D$4:$D$2004,$Z503-2000)=0,"",INDEX(周转筐出入库明细!$D$4:$D$2004,$Z503-2000)),IF($Z503&lt;=5200,IF(INDEX(客户自备加工筐明细!$C$4:$C$1203,$Z503-4000)=0,"",INDEX(客户自备加工筐明细!$C$4:$C$1203,$Z503-4000)),IF($Z503&lt;=5800,IF(INDEX(次果筐明细!$D$4:$D$603,$Z503-5200)=0,"",INDEX(次果筐明细!$D$4:$D$603,$Z503-5200)),"")))))</f>
        <v/>
      </c>
      <c r="G503" s="24" t="str">
        <f>IF($Z503="","",IF($Z503&lt;=2000,IF(INDEX(包装物料出入库明细!$F$4:$F$2003,$Z503-0)=0,"",INDEX(包装物料出入库明细!$F$4:$F$2003,$Z503-0)),IF($Z503&lt;=4000,"",IF($Z503&lt;=5200,"",IF($Z503&lt;=5800,"","")))))</f>
        <v/>
      </c>
      <c r="H503" s="39" t="str">
        <f>IF($Z503="","",IF($Z503&lt;=2000,IF(INDEX(包装物料出入库明细!$L$4:$L$2003,$Z503-0)=0,"",INDEX(包装物料出入库明细!$L$4:$L$2003,$Z503-0)),IF($Z503&lt;=4000,N(INDEX(周转筐出入库明细!$H$4:$H$2004,$Z503-2000))+N(INDEX(周转筐出入库明细!$I$4:$I$2004,$Z503-2000))+N(INDEX(周转筐出入库明细!$J$4:$J$2004,$Z503-2000))+N(INDEX(周转筐出入库明细!$K$4:$K$2004,$Z503-2000)),IF($Z503&lt;=5200,N(INDEX(客户自备加工筐明细!$F$4:$F$1203,$Z503-4000))+N(INDEX(客户自备加工筐明细!$G$4:$G$1203,$Z503-4000)),IF($Z503&lt;=5800,IF(INDEX(次果筐明细!$G$4:$G$603,$Z503-5200)=0,"",INDEX(次果筐明细!$G$4:$G$603,$Z503-5200)),"")))))</f>
        <v/>
      </c>
      <c r="I503" s="24" t="str">
        <f>IF($Z503="","",IF($Z503&lt;=2000,IF(INDEX(包装物料出入库明细!$G$4:$G$2003,$Z503-0)=0,"",INDEX(包装物料出入库明细!$G$4:$G$2003,$Z503-0)),IF($Z503&lt;=4000,"个",IF($Z503&lt;=5200,"个",IF($Z503&lt;=5800,"个","")))))</f>
        <v/>
      </c>
      <c r="J503" s="30" t="str">
        <f t="shared" si="22"/>
        <v/>
      </c>
      <c r="K503" s="30" t="str">
        <f>IF($Z503="","",IF($Z503&lt;=2000,IF(INDEX(包装物料出入库明细!$N$4:$N$2003,$Z503-0)=0,"",INDEX(包装物料出入库明细!$N$4:$N$2003,$Z503-0)),IF($Z503&lt;=4000,IF(INDEX(周转筐出入库明细!$P$4:$P$2004,$Z503-2000)=0,"",INDEX(周转筐出入库明细!$P$4:$P$2004,$Z503-2000)),IF($Z503&lt;=5200,"",IF($Z503&lt;=5800,N(INDEX(次果筐明细!$L$4:$L$603,$Z503-5200))+N(INDEX(次果筐明细!$J$4:$J$603,$Z503-5200)),"")))))</f>
        <v/>
      </c>
      <c r="L503" s="24" t="str">
        <f>IF($Z503="","",IF($Z503&lt;=2000,IF(INDEX(包装物料出入库明细!$P$4:$P$2003,$Z503-0)=0,"",INDEX(包装物料出入库明细!$P$4:$P$2003,$Z503-0)),IF($Z503&lt;=4000,IF(INDEX(周转筐出入库明细!$Q$4:$Q$2004,$Z503-2000)=0,"",INDEX(周转筐出入库明细!$Q$4:$Q$2004,$Z503-2000)),IF($Z503&lt;=5200,"",IF($Z503&lt;=5800,IF(INDEX(次果筐明细!$M$4:$M$603,$Z503-5200)=0,"",INDEX(次果筐明细!$M$4:$M$603,$Z503-5200)),"")))))</f>
        <v/>
      </c>
      <c r="M503" s="37" t="str">
        <f>IF($Z503="","",IF($Z503&lt;=2000,IF(INDEX(包装物料出入库明细!$R$4:$R$2003,$Z503-0)=0,"",INDEX(包装物料出入库明细!$R$4:$R$2003,$Z503-0)),IF($Z503&lt;=4000,IF(INDEX(周转筐出入库明细!$W$4:$W$2004,$Z503-2000)=0,"",INDEX(周转筐出入库明细!$W$4:$W$2004,$Z503-2000)),IF($Z503&lt;=5200,IF(INDEX(客户自备加工筐明细!$L$4:$L$1203,$Z503-4000)=0,"",INDEX(客户自备加工筐明细!$L$4:$L$1203,$Z503-4000)),IF($Z503&lt;=5800,IF(INDEX(次果筐明细!$P$4:$P$603,$Z503-5200)=0,"",INDEX(次果筐明细!$P$4:$P$603,$Z503-5200)),"")))))</f>
        <v/>
      </c>
      <c r="N503" s="16" t="str">
        <f>IF($Z503="","",IF($Z503&lt;=2000,"",IF($Z503&lt;=4000,IF(INDEX(周转筐出入库明细!$D$4:$D$2004,$Z503-2000)=0,"",INDEX(周转筐出入库明细!$D$4:$D$2004,$Z503-2000)),IF($Z503&lt;=5200,IF(INDEX(客户自备加工筐明细!$C$4:$C$1203,$Z503-4000)=0,"",INDEX(客户自备加工筐明细!$C$4:$C$1203,$Z503-4000)),IF($Z503&lt;=5800,IF(INDEX(次果筐明细!$D$4:$D$603,$Z503-5200)=0,"",INDEX(次果筐明细!$D$4:$D$603,$Z503-5200)),"")))))</f>
        <v/>
      </c>
      <c r="O503" s="40" t="str">
        <f>IF($Z503="","",IF($Z503&lt;=2000,"",IF($Z503&lt;=4000,IF(N(INDEX(周转筐出入库明细!$J$4:$J$2004,$Z503-2000))+N(INDEX(周转筐出入库明细!$K$4:$K$2004,$Z503-2000))=0,"",N(INDEX(周转筐出入库明细!$J$4:$J$2004,$Z503-2000))+N(INDEX(周转筐出入库明细!$K$4:$K$2004,$Z503-2000))),IF($Z503&lt;=5200,IF(N(INDEX(客户自备加工筐明细!$G$4:$G$1203,$Z503-4000))=0,"",N(INDEX(客户自备加工筐明细!$G$4:$G$1203,$Z503-4000))),IF($Z503&lt;=5800,IF(ISNUMBER(SEARCH("退",INDEX(次果筐明细!$F$4:$F$603,$Z503-5200)&amp;"")),"",IF(N(INDEX(次果筐明细!$G$4:$G$603,$Z503-5200))=0,"",N(INDEX(次果筐明细!$G$4:$G$603,$Z503-5200)))),"")))))</f>
        <v/>
      </c>
      <c r="P503" s="40" t="str">
        <f>IF($Z503="","",IF($Z503&lt;=2000,"",IF($Z503&lt;=4000,IF(N(INDEX(周转筐出入库明细!$I$4:$I$2004,$Z503-2000))=0,"",N(INDEX(周转筐出入库明细!$I$4:$I$2004,$Z503-2000))),IF($Z503&lt;=5200,"",IF($Z503&lt;=5800,IF(ISNUMBER(SEARCH("退",INDEX(次果筐明细!$F$4:$F$603,$Z503-5200)&amp;"")),IF(N(INDEX(次果筐明细!$G$4:$G$603,$Z503-5200))=0,"",N(INDEX(次果筐明细!$G$4:$G$603,$Z503-5200))),""),"")))))</f>
        <v/>
      </c>
      <c r="Q503" s="40" t="str">
        <f>IF($Z503="","",IF($Z503&lt;=2000,"",IF($Z503&lt;=4000,IF(N(INDEX(周转筐出入库明细!$H$4:$H$2004,$Z503-2000))=0,"",N(INDEX(周转筐出入库明细!$H$4:$H$2004,$Z503-2000))),IF($Z503&lt;=5200,IF(N(INDEX(客户自备加工筐明细!$F$4:$F$1203,$Z503-4000))=0,"",N(INDEX(客户自备加工筐明细!$F$4:$F$1203,$Z503-4000))),IF($Z503&lt;=5800,"","")))))</f>
        <v/>
      </c>
      <c r="R503" s="16" t="str">
        <f>IF($Z503="","",IF($Z503&lt;=2000,IF(INDEX(包装物料出入库明细!$O$4:$O$2003,$Z503-0)=0,"",INDEX(包装物料出入库明细!$O$4:$O$2003,$Z503-0)),IF($Z503&lt;=4000,IF(INDEX(周转筐出入库明细!$M$4:$M$2004,$Z503-2000)=0,"",INDEX(周转筐出入库明细!$M$4:$M$2004,$Z503-2000)),IF($Z503&lt;=5200,IF(INDEX(客户自备加工筐明细!$H$4:$H$1203,$Z503-4000)=0,"",INDEX(客户自备加工筐明细!$H$4:$H$1203,$Z503-4000)),IF($Z503&lt;=5800,IF(INDEX(次果筐明细!$H$4:$H$603,$Z503-5200)=0,"",INDEX(次果筐明细!$H$4:$H$603,$Z503-5200)),"")))))</f>
        <v/>
      </c>
      <c r="S503" s="22" t="str">
        <f t="shared" si="23"/>
        <v/>
      </c>
      <c r="Z503" s="10" t="str">
        <f>IFERROR(MATCH(ROW()-3,_自动清单!$CQ$4:$CQ$5803,0),"")</f>
        <v/>
      </c>
    </row>
    <row r="504" spans="1:26">
      <c r="A504" s="24" t="str">
        <f t="shared" si="21"/>
        <v/>
      </c>
      <c r="B504" s="38" t="str">
        <f>IF($Z504="","",IF($Z504&lt;=2000,IF(INDEX(包装物料出入库明细!$B$4:$B$2003,$Z504-0)=0,"",INDEX(包装物料出入库明细!$B$4:$B$2003,$Z504-0)),IF($Z504&lt;=4000,IF(INDEX(周转筐出入库明细!$B$4:$B$2004,$Z504-2000)=0,"",INDEX(周转筐出入库明细!$B$4:$B$2004,$Z504-2000)),IF($Z504&lt;=5200,IF(INDEX(客户自备加工筐明细!$B$4:$B$1203,$Z504-4000)=0,"",INDEX(客户自备加工筐明细!$B$4:$B$1203,$Z504-4000)),IF($Z504&lt;=5800,IF(INDEX(次果筐明细!$B$4:$B$603,$Z504-5200)=0,"",INDEX(次果筐明细!$B$4:$B$603,$Z504-5200)),"")))))</f>
        <v/>
      </c>
      <c r="C504" s="37" t="str">
        <f>IF($Z504="","",IF($Z504&lt;=2000,IF(INDEX(包装物料出入库明细!$D$4:$D$2003,$Z504-0)=0,"",INDEX(包装物料出入库明细!$D$4:$D$2003,$Z504-0)),IF($Z504&lt;=4000,IF(INDEX(周转筐出入库明细!$C$4:$C$2004,$Z504-2000)=0,"",INDEX(周转筐出入库明细!$C$4:$C$2004,$Z504-2000)),IF($Z504&lt;=5200,IF(INDEX(客户自备加工筐明细!$E$4:$E$1203,$Z504-4000)=0,"",INDEX(客户自备加工筐明细!$E$4:$E$1203,$Z504-4000)),IF($Z504&lt;=5800,IF(INDEX(次果筐明细!$C$4:$C$603,$Z504-5200)=0,"",INDEX(次果筐明细!$C$4:$C$603,$Z504-5200)),"")))))</f>
        <v/>
      </c>
      <c r="D504" s="37" t="str">
        <f>IF($Z504="","",IF($Z504&lt;=2000,"包装物料－"&amp;INDEX(包装物料出入库明细!$H$4:$H$2003,$Z504-0),IF($Z504&lt;=4000,"周转筐－"&amp;INDEX(周转筐出入库明细!$F$4:$F$2004,$Z504-2000),IF($Z504&lt;=5200,"客户自备筐－"&amp;INDEX(客户自备加工筐明细!$J$4:$J$1203,$Z504-4000),IF($Z504&lt;=5800,"次果筐/托盘－"&amp;INDEX(次果筐明细!$F$4:$F$603,$Z504-5200),"")))))</f>
        <v/>
      </c>
      <c r="E504" s="24" t="str">
        <f>IF($Z504="","",IF($Z504&lt;=2000,IF(INDEX(包装物料出入库明细!$C$4:$C$2003,$Z504-0)=0,"",INDEX(包装物料出入库明细!$C$4:$C$2003,$Z504-0)),IF($Z504&lt;=4000,IF(INDEX(周转筐出入库明细!$E$4:$E$2004,$Z504-2000)=0,"",INDEX(周转筐出入库明细!$E$4:$E$2004,$Z504-2000)),IF($Z504&lt;=5200,IF(INDEX(客户自备加工筐明细!$D$4:$D$1203,$Z504-4000)=0,"",INDEX(客户自备加工筐明细!$D$4:$D$1203,$Z504-4000)),IF($Z504&lt;=5800,IF(INDEX(次果筐明细!$E$4:$E$603,$Z504-5200)=0,"",INDEX(次果筐明细!$E$4:$E$603,$Z504-5200)),"")))))</f>
        <v/>
      </c>
      <c r="F504" s="24" t="str">
        <f>IF($Z504="","",IF($Z504&lt;=2000,IF(INDEX(包装物料出入库明细!$E$4:$E$2003,$Z504-0)=0,"",INDEX(包装物料出入库明细!$E$4:$E$2003,$Z504-0)),IF($Z504&lt;=4000,IF(INDEX(周转筐出入库明细!$D$4:$D$2004,$Z504-2000)=0,"",INDEX(周转筐出入库明细!$D$4:$D$2004,$Z504-2000)),IF($Z504&lt;=5200,IF(INDEX(客户自备加工筐明细!$C$4:$C$1203,$Z504-4000)=0,"",INDEX(客户自备加工筐明细!$C$4:$C$1203,$Z504-4000)),IF($Z504&lt;=5800,IF(INDEX(次果筐明细!$D$4:$D$603,$Z504-5200)=0,"",INDEX(次果筐明细!$D$4:$D$603,$Z504-5200)),"")))))</f>
        <v/>
      </c>
      <c r="G504" s="24" t="str">
        <f>IF($Z504="","",IF($Z504&lt;=2000,IF(INDEX(包装物料出入库明细!$F$4:$F$2003,$Z504-0)=0,"",INDEX(包装物料出入库明细!$F$4:$F$2003,$Z504-0)),IF($Z504&lt;=4000,"",IF($Z504&lt;=5200,"",IF($Z504&lt;=5800,"","")))))</f>
        <v/>
      </c>
      <c r="H504" s="39" t="str">
        <f>IF($Z504="","",IF($Z504&lt;=2000,IF(INDEX(包装物料出入库明细!$L$4:$L$2003,$Z504-0)=0,"",INDEX(包装物料出入库明细!$L$4:$L$2003,$Z504-0)),IF($Z504&lt;=4000,N(INDEX(周转筐出入库明细!$H$4:$H$2004,$Z504-2000))+N(INDEX(周转筐出入库明细!$I$4:$I$2004,$Z504-2000))+N(INDEX(周转筐出入库明细!$J$4:$J$2004,$Z504-2000))+N(INDEX(周转筐出入库明细!$K$4:$K$2004,$Z504-2000)),IF($Z504&lt;=5200,N(INDEX(客户自备加工筐明细!$F$4:$F$1203,$Z504-4000))+N(INDEX(客户自备加工筐明细!$G$4:$G$1203,$Z504-4000)),IF($Z504&lt;=5800,IF(INDEX(次果筐明细!$G$4:$G$603,$Z504-5200)=0,"",INDEX(次果筐明细!$G$4:$G$603,$Z504-5200)),"")))))</f>
        <v/>
      </c>
      <c r="I504" s="24" t="str">
        <f>IF($Z504="","",IF($Z504&lt;=2000,IF(INDEX(包装物料出入库明细!$G$4:$G$2003,$Z504-0)=0,"",INDEX(包装物料出入库明细!$G$4:$G$2003,$Z504-0)),IF($Z504&lt;=4000,"个",IF($Z504&lt;=5200,"个",IF($Z504&lt;=5800,"个","")))))</f>
        <v/>
      </c>
      <c r="J504" s="30" t="str">
        <f t="shared" si="22"/>
        <v/>
      </c>
      <c r="K504" s="30" t="str">
        <f>IF($Z504="","",IF($Z504&lt;=2000,IF(INDEX(包装物料出入库明细!$N$4:$N$2003,$Z504-0)=0,"",INDEX(包装物料出入库明细!$N$4:$N$2003,$Z504-0)),IF($Z504&lt;=4000,IF(INDEX(周转筐出入库明细!$P$4:$P$2004,$Z504-2000)=0,"",INDEX(周转筐出入库明细!$P$4:$P$2004,$Z504-2000)),IF($Z504&lt;=5200,"",IF($Z504&lt;=5800,N(INDEX(次果筐明细!$L$4:$L$603,$Z504-5200))+N(INDEX(次果筐明细!$J$4:$J$603,$Z504-5200)),"")))))</f>
        <v/>
      </c>
      <c r="L504" s="24" t="str">
        <f>IF($Z504="","",IF($Z504&lt;=2000,IF(INDEX(包装物料出入库明细!$P$4:$P$2003,$Z504-0)=0,"",INDEX(包装物料出入库明细!$P$4:$P$2003,$Z504-0)),IF($Z504&lt;=4000,IF(INDEX(周转筐出入库明细!$Q$4:$Q$2004,$Z504-2000)=0,"",INDEX(周转筐出入库明细!$Q$4:$Q$2004,$Z504-2000)),IF($Z504&lt;=5200,"",IF($Z504&lt;=5800,IF(INDEX(次果筐明细!$M$4:$M$603,$Z504-5200)=0,"",INDEX(次果筐明细!$M$4:$M$603,$Z504-5200)),"")))))</f>
        <v/>
      </c>
      <c r="M504" s="37" t="str">
        <f>IF($Z504="","",IF($Z504&lt;=2000,IF(INDEX(包装物料出入库明细!$R$4:$R$2003,$Z504-0)=0,"",INDEX(包装物料出入库明细!$R$4:$R$2003,$Z504-0)),IF($Z504&lt;=4000,IF(INDEX(周转筐出入库明细!$W$4:$W$2004,$Z504-2000)=0,"",INDEX(周转筐出入库明细!$W$4:$W$2004,$Z504-2000)),IF($Z504&lt;=5200,IF(INDEX(客户自备加工筐明细!$L$4:$L$1203,$Z504-4000)=0,"",INDEX(客户自备加工筐明细!$L$4:$L$1203,$Z504-4000)),IF($Z504&lt;=5800,IF(INDEX(次果筐明细!$P$4:$P$603,$Z504-5200)=0,"",INDEX(次果筐明细!$P$4:$P$603,$Z504-5200)),"")))))</f>
        <v/>
      </c>
      <c r="N504" s="16" t="str">
        <f>IF($Z504="","",IF($Z504&lt;=2000,"",IF($Z504&lt;=4000,IF(INDEX(周转筐出入库明细!$D$4:$D$2004,$Z504-2000)=0,"",INDEX(周转筐出入库明细!$D$4:$D$2004,$Z504-2000)),IF($Z504&lt;=5200,IF(INDEX(客户自备加工筐明细!$C$4:$C$1203,$Z504-4000)=0,"",INDEX(客户自备加工筐明细!$C$4:$C$1203,$Z504-4000)),IF($Z504&lt;=5800,IF(INDEX(次果筐明细!$D$4:$D$603,$Z504-5200)=0,"",INDEX(次果筐明细!$D$4:$D$603,$Z504-5200)),"")))))</f>
        <v/>
      </c>
      <c r="O504" s="40" t="str">
        <f>IF($Z504="","",IF($Z504&lt;=2000,"",IF($Z504&lt;=4000,IF(N(INDEX(周转筐出入库明细!$J$4:$J$2004,$Z504-2000))+N(INDEX(周转筐出入库明细!$K$4:$K$2004,$Z504-2000))=0,"",N(INDEX(周转筐出入库明细!$J$4:$J$2004,$Z504-2000))+N(INDEX(周转筐出入库明细!$K$4:$K$2004,$Z504-2000))),IF($Z504&lt;=5200,IF(N(INDEX(客户自备加工筐明细!$G$4:$G$1203,$Z504-4000))=0,"",N(INDEX(客户自备加工筐明细!$G$4:$G$1203,$Z504-4000))),IF($Z504&lt;=5800,IF(ISNUMBER(SEARCH("退",INDEX(次果筐明细!$F$4:$F$603,$Z504-5200)&amp;"")),"",IF(N(INDEX(次果筐明细!$G$4:$G$603,$Z504-5200))=0,"",N(INDEX(次果筐明细!$G$4:$G$603,$Z504-5200)))),"")))))</f>
        <v/>
      </c>
      <c r="P504" s="40" t="str">
        <f>IF($Z504="","",IF($Z504&lt;=2000,"",IF($Z504&lt;=4000,IF(N(INDEX(周转筐出入库明细!$I$4:$I$2004,$Z504-2000))=0,"",N(INDEX(周转筐出入库明细!$I$4:$I$2004,$Z504-2000))),IF($Z504&lt;=5200,"",IF($Z504&lt;=5800,IF(ISNUMBER(SEARCH("退",INDEX(次果筐明细!$F$4:$F$603,$Z504-5200)&amp;"")),IF(N(INDEX(次果筐明细!$G$4:$G$603,$Z504-5200))=0,"",N(INDEX(次果筐明细!$G$4:$G$603,$Z504-5200))),""),"")))))</f>
        <v/>
      </c>
      <c r="Q504" s="40" t="str">
        <f>IF($Z504="","",IF($Z504&lt;=2000,"",IF($Z504&lt;=4000,IF(N(INDEX(周转筐出入库明细!$H$4:$H$2004,$Z504-2000))=0,"",N(INDEX(周转筐出入库明细!$H$4:$H$2004,$Z504-2000))),IF($Z504&lt;=5200,IF(N(INDEX(客户自备加工筐明细!$F$4:$F$1203,$Z504-4000))=0,"",N(INDEX(客户自备加工筐明细!$F$4:$F$1203,$Z504-4000))),IF($Z504&lt;=5800,"","")))))</f>
        <v/>
      </c>
      <c r="R504" s="16" t="str">
        <f>IF($Z504="","",IF($Z504&lt;=2000,IF(INDEX(包装物料出入库明细!$O$4:$O$2003,$Z504-0)=0,"",INDEX(包装物料出入库明细!$O$4:$O$2003,$Z504-0)),IF($Z504&lt;=4000,IF(INDEX(周转筐出入库明细!$M$4:$M$2004,$Z504-2000)=0,"",INDEX(周转筐出入库明细!$M$4:$M$2004,$Z504-2000)),IF($Z504&lt;=5200,IF(INDEX(客户自备加工筐明细!$H$4:$H$1203,$Z504-4000)=0,"",INDEX(客户自备加工筐明细!$H$4:$H$1203,$Z504-4000)),IF($Z504&lt;=5800,IF(INDEX(次果筐明细!$H$4:$H$603,$Z504-5200)=0,"",INDEX(次果筐明细!$H$4:$H$603,$Z504-5200)),"")))))</f>
        <v/>
      </c>
      <c r="S504" s="22" t="str">
        <f t="shared" si="23"/>
        <v/>
      </c>
      <c r="Z504" s="10" t="str">
        <f>IFERROR(MATCH(ROW()-3,_自动清单!$CQ$4:$CQ$5803,0),"")</f>
        <v/>
      </c>
    </row>
    <row r="505" spans="1:26">
      <c r="A505" s="24" t="str">
        <f t="shared" si="21"/>
        <v/>
      </c>
      <c r="B505" s="38" t="str">
        <f>IF($Z505="","",IF($Z505&lt;=2000,IF(INDEX(包装物料出入库明细!$B$4:$B$2003,$Z505-0)=0,"",INDEX(包装物料出入库明细!$B$4:$B$2003,$Z505-0)),IF($Z505&lt;=4000,IF(INDEX(周转筐出入库明细!$B$4:$B$2004,$Z505-2000)=0,"",INDEX(周转筐出入库明细!$B$4:$B$2004,$Z505-2000)),IF($Z505&lt;=5200,IF(INDEX(客户自备加工筐明细!$B$4:$B$1203,$Z505-4000)=0,"",INDEX(客户自备加工筐明细!$B$4:$B$1203,$Z505-4000)),IF($Z505&lt;=5800,IF(INDEX(次果筐明细!$B$4:$B$603,$Z505-5200)=0,"",INDEX(次果筐明细!$B$4:$B$603,$Z505-5200)),"")))))</f>
        <v/>
      </c>
      <c r="C505" s="37" t="str">
        <f>IF($Z505="","",IF($Z505&lt;=2000,IF(INDEX(包装物料出入库明细!$D$4:$D$2003,$Z505-0)=0,"",INDEX(包装物料出入库明细!$D$4:$D$2003,$Z505-0)),IF($Z505&lt;=4000,IF(INDEX(周转筐出入库明细!$C$4:$C$2004,$Z505-2000)=0,"",INDEX(周转筐出入库明细!$C$4:$C$2004,$Z505-2000)),IF($Z505&lt;=5200,IF(INDEX(客户自备加工筐明细!$E$4:$E$1203,$Z505-4000)=0,"",INDEX(客户自备加工筐明细!$E$4:$E$1203,$Z505-4000)),IF($Z505&lt;=5800,IF(INDEX(次果筐明细!$C$4:$C$603,$Z505-5200)=0,"",INDEX(次果筐明细!$C$4:$C$603,$Z505-5200)),"")))))</f>
        <v/>
      </c>
      <c r="D505" s="37" t="str">
        <f>IF($Z505="","",IF($Z505&lt;=2000,"包装物料－"&amp;INDEX(包装物料出入库明细!$H$4:$H$2003,$Z505-0),IF($Z505&lt;=4000,"周转筐－"&amp;INDEX(周转筐出入库明细!$F$4:$F$2004,$Z505-2000),IF($Z505&lt;=5200,"客户自备筐－"&amp;INDEX(客户自备加工筐明细!$J$4:$J$1203,$Z505-4000),IF($Z505&lt;=5800,"次果筐/托盘－"&amp;INDEX(次果筐明细!$F$4:$F$603,$Z505-5200),"")))))</f>
        <v/>
      </c>
      <c r="E505" s="24" t="str">
        <f>IF($Z505="","",IF($Z505&lt;=2000,IF(INDEX(包装物料出入库明细!$C$4:$C$2003,$Z505-0)=0,"",INDEX(包装物料出入库明细!$C$4:$C$2003,$Z505-0)),IF($Z505&lt;=4000,IF(INDEX(周转筐出入库明细!$E$4:$E$2004,$Z505-2000)=0,"",INDEX(周转筐出入库明细!$E$4:$E$2004,$Z505-2000)),IF($Z505&lt;=5200,IF(INDEX(客户自备加工筐明细!$D$4:$D$1203,$Z505-4000)=0,"",INDEX(客户自备加工筐明细!$D$4:$D$1203,$Z505-4000)),IF($Z505&lt;=5800,IF(INDEX(次果筐明细!$E$4:$E$603,$Z505-5200)=0,"",INDEX(次果筐明细!$E$4:$E$603,$Z505-5200)),"")))))</f>
        <v/>
      </c>
      <c r="F505" s="24" t="str">
        <f>IF($Z505="","",IF($Z505&lt;=2000,IF(INDEX(包装物料出入库明细!$E$4:$E$2003,$Z505-0)=0,"",INDEX(包装物料出入库明细!$E$4:$E$2003,$Z505-0)),IF($Z505&lt;=4000,IF(INDEX(周转筐出入库明细!$D$4:$D$2004,$Z505-2000)=0,"",INDEX(周转筐出入库明细!$D$4:$D$2004,$Z505-2000)),IF($Z505&lt;=5200,IF(INDEX(客户自备加工筐明细!$C$4:$C$1203,$Z505-4000)=0,"",INDEX(客户自备加工筐明细!$C$4:$C$1203,$Z505-4000)),IF($Z505&lt;=5800,IF(INDEX(次果筐明细!$D$4:$D$603,$Z505-5200)=0,"",INDEX(次果筐明细!$D$4:$D$603,$Z505-5200)),"")))))</f>
        <v/>
      </c>
      <c r="G505" s="24" t="str">
        <f>IF($Z505="","",IF($Z505&lt;=2000,IF(INDEX(包装物料出入库明细!$F$4:$F$2003,$Z505-0)=0,"",INDEX(包装物料出入库明细!$F$4:$F$2003,$Z505-0)),IF($Z505&lt;=4000,"",IF($Z505&lt;=5200,"",IF($Z505&lt;=5800,"","")))))</f>
        <v/>
      </c>
      <c r="H505" s="39" t="str">
        <f>IF($Z505="","",IF($Z505&lt;=2000,IF(INDEX(包装物料出入库明细!$L$4:$L$2003,$Z505-0)=0,"",INDEX(包装物料出入库明细!$L$4:$L$2003,$Z505-0)),IF($Z505&lt;=4000,N(INDEX(周转筐出入库明细!$H$4:$H$2004,$Z505-2000))+N(INDEX(周转筐出入库明细!$I$4:$I$2004,$Z505-2000))+N(INDEX(周转筐出入库明细!$J$4:$J$2004,$Z505-2000))+N(INDEX(周转筐出入库明细!$K$4:$K$2004,$Z505-2000)),IF($Z505&lt;=5200,N(INDEX(客户自备加工筐明细!$F$4:$F$1203,$Z505-4000))+N(INDEX(客户自备加工筐明细!$G$4:$G$1203,$Z505-4000)),IF($Z505&lt;=5800,IF(INDEX(次果筐明细!$G$4:$G$603,$Z505-5200)=0,"",INDEX(次果筐明细!$G$4:$G$603,$Z505-5200)),"")))))</f>
        <v/>
      </c>
      <c r="I505" s="24" t="str">
        <f>IF($Z505="","",IF($Z505&lt;=2000,IF(INDEX(包装物料出入库明细!$G$4:$G$2003,$Z505-0)=0,"",INDEX(包装物料出入库明细!$G$4:$G$2003,$Z505-0)),IF($Z505&lt;=4000,"个",IF($Z505&lt;=5200,"个",IF($Z505&lt;=5800,"个","")))))</f>
        <v/>
      </c>
      <c r="J505" s="30" t="str">
        <f t="shared" si="22"/>
        <v/>
      </c>
      <c r="K505" s="30" t="str">
        <f>IF($Z505="","",IF($Z505&lt;=2000,IF(INDEX(包装物料出入库明细!$N$4:$N$2003,$Z505-0)=0,"",INDEX(包装物料出入库明细!$N$4:$N$2003,$Z505-0)),IF($Z505&lt;=4000,IF(INDEX(周转筐出入库明细!$P$4:$P$2004,$Z505-2000)=0,"",INDEX(周转筐出入库明细!$P$4:$P$2004,$Z505-2000)),IF($Z505&lt;=5200,"",IF($Z505&lt;=5800,N(INDEX(次果筐明细!$L$4:$L$603,$Z505-5200))+N(INDEX(次果筐明细!$J$4:$J$603,$Z505-5200)),"")))))</f>
        <v/>
      </c>
      <c r="L505" s="24" t="str">
        <f>IF($Z505="","",IF($Z505&lt;=2000,IF(INDEX(包装物料出入库明细!$P$4:$P$2003,$Z505-0)=0,"",INDEX(包装物料出入库明细!$P$4:$P$2003,$Z505-0)),IF($Z505&lt;=4000,IF(INDEX(周转筐出入库明细!$Q$4:$Q$2004,$Z505-2000)=0,"",INDEX(周转筐出入库明细!$Q$4:$Q$2004,$Z505-2000)),IF($Z505&lt;=5200,"",IF($Z505&lt;=5800,IF(INDEX(次果筐明细!$M$4:$M$603,$Z505-5200)=0,"",INDEX(次果筐明细!$M$4:$M$603,$Z505-5200)),"")))))</f>
        <v/>
      </c>
      <c r="M505" s="37" t="str">
        <f>IF($Z505="","",IF($Z505&lt;=2000,IF(INDEX(包装物料出入库明细!$R$4:$R$2003,$Z505-0)=0,"",INDEX(包装物料出入库明细!$R$4:$R$2003,$Z505-0)),IF($Z505&lt;=4000,IF(INDEX(周转筐出入库明细!$W$4:$W$2004,$Z505-2000)=0,"",INDEX(周转筐出入库明细!$W$4:$W$2004,$Z505-2000)),IF($Z505&lt;=5200,IF(INDEX(客户自备加工筐明细!$L$4:$L$1203,$Z505-4000)=0,"",INDEX(客户自备加工筐明细!$L$4:$L$1203,$Z505-4000)),IF($Z505&lt;=5800,IF(INDEX(次果筐明细!$P$4:$P$603,$Z505-5200)=0,"",INDEX(次果筐明细!$P$4:$P$603,$Z505-5200)),"")))))</f>
        <v/>
      </c>
      <c r="N505" s="16" t="str">
        <f>IF($Z505="","",IF($Z505&lt;=2000,"",IF($Z505&lt;=4000,IF(INDEX(周转筐出入库明细!$D$4:$D$2004,$Z505-2000)=0,"",INDEX(周转筐出入库明细!$D$4:$D$2004,$Z505-2000)),IF($Z505&lt;=5200,IF(INDEX(客户自备加工筐明细!$C$4:$C$1203,$Z505-4000)=0,"",INDEX(客户自备加工筐明细!$C$4:$C$1203,$Z505-4000)),IF($Z505&lt;=5800,IF(INDEX(次果筐明细!$D$4:$D$603,$Z505-5200)=0,"",INDEX(次果筐明细!$D$4:$D$603,$Z505-5200)),"")))))</f>
        <v/>
      </c>
      <c r="O505" s="40" t="str">
        <f>IF($Z505="","",IF($Z505&lt;=2000,"",IF($Z505&lt;=4000,IF(N(INDEX(周转筐出入库明细!$J$4:$J$2004,$Z505-2000))+N(INDEX(周转筐出入库明细!$K$4:$K$2004,$Z505-2000))=0,"",N(INDEX(周转筐出入库明细!$J$4:$J$2004,$Z505-2000))+N(INDEX(周转筐出入库明细!$K$4:$K$2004,$Z505-2000))),IF($Z505&lt;=5200,IF(N(INDEX(客户自备加工筐明细!$G$4:$G$1203,$Z505-4000))=0,"",N(INDEX(客户自备加工筐明细!$G$4:$G$1203,$Z505-4000))),IF($Z505&lt;=5800,IF(ISNUMBER(SEARCH("退",INDEX(次果筐明细!$F$4:$F$603,$Z505-5200)&amp;"")),"",IF(N(INDEX(次果筐明细!$G$4:$G$603,$Z505-5200))=0,"",N(INDEX(次果筐明细!$G$4:$G$603,$Z505-5200)))),"")))))</f>
        <v/>
      </c>
      <c r="P505" s="40" t="str">
        <f>IF($Z505="","",IF($Z505&lt;=2000,"",IF($Z505&lt;=4000,IF(N(INDEX(周转筐出入库明细!$I$4:$I$2004,$Z505-2000))=0,"",N(INDEX(周转筐出入库明细!$I$4:$I$2004,$Z505-2000))),IF($Z505&lt;=5200,"",IF($Z505&lt;=5800,IF(ISNUMBER(SEARCH("退",INDEX(次果筐明细!$F$4:$F$603,$Z505-5200)&amp;"")),IF(N(INDEX(次果筐明细!$G$4:$G$603,$Z505-5200))=0,"",N(INDEX(次果筐明细!$G$4:$G$603,$Z505-5200))),""),"")))))</f>
        <v/>
      </c>
      <c r="Q505" s="40" t="str">
        <f>IF($Z505="","",IF($Z505&lt;=2000,"",IF($Z505&lt;=4000,IF(N(INDEX(周转筐出入库明细!$H$4:$H$2004,$Z505-2000))=0,"",N(INDEX(周转筐出入库明细!$H$4:$H$2004,$Z505-2000))),IF($Z505&lt;=5200,IF(N(INDEX(客户自备加工筐明细!$F$4:$F$1203,$Z505-4000))=0,"",N(INDEX(客户自备加工筐明细!$F$4:$F$1203,$Z505-4000))),IF($Z505&lt;=5800,"","")))))</f>
        <v/>
      </c>
      <c r="R505" s="16" t="str">
        <f>IF($Z505="","",IF($Z505&lt;=2000,IF(INDEX(包装物料出入库明细!$O$4:$O$2003,$Z505-0)=0,"",INDEX(包装物料出入库明细!$O$4:$O$2003,$Z505-0)),IF($Z505&lt;=4000,IF(INDEX(周转筐出入库明细!$M$4:$M$2004,$Z505-2000)=0,"",INDEX(周转筐出入库明细!$M$4:$M$2004,$Z505-2000)),IF($Z505&lt;=5200,IF(INDEX(客户自备加工筐明细!$H$4:$H$1203,$Z505-4000)=0,"",INDEX(客户自备加工筐明细!$H$4:$H$1203,$Z505-4000)),IF($Z505&lt;=5800,IF(INDEX(次果筐明细!$H$4:$H$603,$Z505-5200)=0,"",INDEX(次果筐明细!$H$4:$H$603,$Z505-5200)),"")))))</f>
        <v/>
      </c>
      <c r="S505" s="22" t="str">
        <f t="shared" si="23"/>
        <v/>
      </c>
      <c r="Z505" s="10" t="str">
        <f>IFERROR(MATCH(ROW()-3,_自动清单!$CQ$4:$CQ$5803,0),"")</f>
        <v/>
      </c>
    </row>
    <row r="506" spans="1:26">
      <c r="A506" s="24" t="str">
        <f t="shared" si="21"/>
        <v/>
      </c>
      <c r="B506" s="38" t="str">
        <f>IF($Z506="","",IF($Z506&lt;=2000,IF(INDEX(包装物料出入库明细!$B$4:$B$2003,$Z506-0)=0,"",INDEX(包装物料出入库明细!$B$4:$B$2003,$Z506-0)),IF($Z506&lt;=4000,IF(INDEX(周转筐出入库明细!$B$4:$B$2004,$Z506-2000)=0,"",INDEX(周转筐出入库明细!$B$4:$B$2004,$Z506-2000)),IF($Z506&lt;=5200,IF(INDEX(客户自备加工筐明细!$B$4:$B$1203,$Z506-4000)=0,"",INDEX(客户自备加工筐明细!$B$4:$B$1203,$Z506-4000)),IF($Z506&lt;=5800,IF(INDEX(次果筐明细!$B$4:$B$603,$Z506-5200)=0,"",INDEX(次果筐明细!$B$4:$B$603,$Z506-5200)),"")))))</f>
        <v/>
      </c>
      <c r="C506" s="37" t="str">
        <f>IF($Z506="","",IF($Z506&lt;=2000,IF(INDEX(包装物料出入库明细!$D$4:$D$2003,$Z506-0)=0,"",INDEX(包装物料出入库明细!$D$4:$D$2003,$Z506-0)),IF($Z506&lt;=4000,IF(INDEX(周转筐出入库明细!$C$4:$C$2004,$Z506-2000)=0,"",INDEX(周转筐出入库明细!$C$4:$C$2004,$Z506-2000)),IF($Z506&lt;=5200,IF(INDEX(客户自备加工筐明细!$E$4:$E$1203,$Z506-4000)=0,"",INDEX(客户自备加工筐明细!$E$4:$E$1203,$Z506-4000)),IF($Z506&lt;=5800,IF(INDEX(次果筐明细!$C$4:$C$603,$Z506-5200)=0,"",INDEX(次果筐明细!$C$4:$C$603,$Z506-5200)),"")))))</f>
        <v/>
      </c>
      <c r="D506" s="37" t="str">
        <f>IF($Z506="","",IF($Z506&lt;=2000,"包装物料－"&amp;INDEX(包装物料出入库明细!$H$4:$H$2003,$Z506-0),IF($Z506&lt;=4000,"周转筐－"&amp;INDEX(周转筐出入库明细!$F$4:$F$2004,$Z506-2000),IF($Z506&lt;=5200,"客户自备筐－"&amp;INDEX(客户自备加工筐明细!$J$4:$J$1203,$Z506-4000),IF($Z506&lt;=5800,"次果筐/托盘－"&amp;INDEX(次果筐明细!$F$4:$F$603,$Z506-5200),"")))))</f>
        <v/>
      </c>
      <c r="E506" s="24" t="str">
        <f>IF($Z506="","",IF($Z506&lt;=2000,IF(INDEX(包装物料出入库明细!$C$4:$C$2003,$Z506-0)=0,"",INDEX(包装物料出入库明细!$C$4:$C$2003,$Z506-0)),IF($Z506&lt;=4000,IF(INDEX(周转筐出入库明细!$E$4:$E$2004,$Z506-2000)=0,"",INDEX(周转筐出入库明细!$E$4:$E$2004,$Z506-2000)),IF($Z506&lt;=5200,IF(INDEX(客户自备加工筐明细!$D$4:$D$1203,$Z506-4000)=0,"",INDEX(客户自备加工筐明细!$D$4:$D$1203,$Z506-4000)),IF($Z506&lt;=5800,IF(INDEX(次果筐明细!$E$4:$E$603,$Z506-5200)=0,"",INDEX(次果筐明细!$E$4:$E$603,$Z506-5200)),"")))))</f>
        <v/>
      </c>
      <c r="F506" s="24" t="str">
        <f>IF($Z506="","",IF($Z506&lt;=2000,IF(INDEX(包装物料出入库明细!$E$4:$E$2003,$Z506-0)=0,"",INDEX(包装物料出入库明细!$E$4:$E$2003,$Z506-0)),IF($Z506&lt;=4000,IF(INDEX(周转筐出入库明细!$D$4:$D$2004,$Z506-2000)=0,"",INDEX(周转筐出入库明细!$D$4:$D$2004,$Z506-2000)),IF($Z506&lt;=5200,IF(INDEX(客户自备加工筐明细!$C$4:$C$1203,$Z506-4000)=0,"",INDEX(客户自备加工筐明细!$C$4:$C$1203,$Z506-4000)),IF($Z506&lt;=5800,IF(INDEX(次果筐明细!$D$4:$D$603,$Z506-5200)=0,"",INDEX(次果筐明细!$D$4:$D$603,$Z506-5200)),"")))))</f>
        <v/>
      </c>
      <c r="G506" s="24" t="str">
        <f>IF($Z506="","",IF($Z506&lt;=2000,IF(INDEX(包装物料出入库明细!$F$4:$F$2003,$Z506-0)=0,"",INDEX(包装物料出入库明细!$F$4:$F$2003,$Z506-0)),IF($Z506&lt;=4000,"",IF($Z506&lt;=5200,"",IF($Z506&lt;=5800,"","")))))</f>
        <v/>
      </c>
      <c r="H506" s="39" t="str">
        <f>IF($Z506="","",IF($Z506&lt;=2000,IF(INDEX(包装物料出入库明细!$L$4:$L$2003,$Z506-0)=0,"",INDEX(包装物料出入库明细!$L$4:$L$2003,$Z506-0)),IF($Z506&lt;=4000,N(INDEX(周转筐出入库明细!$H$4:$H$2004,$Z506-2000))+N(INDEX(周转筐出入库明细!$I$4:$I$2004,$Z506-2000))+N(INDEX(周转筐出入库明细!$J$4:$J$2004,$Z506-2000))+N(INDEX(周转筐出入库明细!$K$4:$K$2004,$Z506-2000)),IF($Z506&lt;=5200,N(INDEX(客户自备加工筐明细!$F$4:$F$1203,$Z506-4000))+N(INDEX(客户自备加工筐明细!$G$4:$G$1203,$Z506-4000)),IF($Z506&lt;=5800,IF(INDEX(次果筐明细!$G$4:$G$603,$Z506-5200)=0,"",INDEX(次果筐明细!$G$4:$G$603,$Z506-5200)),"")))))</f>
        <v/>
      </c>
      <c r="I506" s="24" t="str">
        <f>IF($Z506="","",IF($Z506&lt;=2000,IF(INDEX(包装物料出入库明细!$G$4:$G$2003,$Z506-0)=0,"",INDEX(包装物料出入库明细!$G$4:$G$2003,$Z506-0)),IF($Z506&lt;=4000,"个",IF($Z506&lt;=5200,"个",IF($Z506&lt;=5800,"个","")))))</f>
        <v/>
      </c>
      <c r="J506" s="30" t="str">
        <f t="shared" si="22"/>
        <v/>
      </c>
      <c r="K506" s="30" t="str">
        <f>IF($Z506="","",IF($Z506&lt;=2000,IF(INDEX(包装物料出入库明细!$N$4:$N$2003,$Z506-0)=0,"",INDEX(包装物料出入库明细!$N$4:$N$2003,$Z506-0)),IF($Z506&lt;=4000,IF(INDEX(周转筐出入库明细!$P$4:$P$2004,$Z506-2000)=0,"",INDEX(周转筐出入库明细!$P$4:$P$2004,$Z506-2000)),IF($Z506&lt;=5200,"",IF($Z506&lt;=5800,N(INDEX(次果筐明细!$L$4:$L$603,$Z506-5200))+N(INDEX(次果筐明细!$J$4:$J$603,$Z506-5200)),"")))))</f>
        <v/>
      </c>
      <c r="L506" s="24" t="str">
        <f>IF($Z506="","",IF($Z506&lt;=2000,IF(INDEX(包装物料出入库明细!$P$4:$P$2003,$Z506-0)=0,"",INDEX(包装物料出入库明细!$P$4:$P$2003,$Z506-0)),IF($Z506&lt;=4000,IF(INDEX(周转筐出入库明细!$Q$4:$Q$2004,$Z506-2000)=0,"",INDEX(周转筐出入库明细!$Q$4:$Q$2004,$Z506-2000)),IF($Z506&lt;=5200,"",IF($Z506&lt;=5800,IF(INDEX(次果筐明细!$M$4:$M$603,$Z506-5200)=0,"",INDEX(次果筐明细!$M$4:$M$603,$Z506-5200)),"")))))</f>
        <v/>
      </c>
      <c r="M506" s="37" t="str">
        <f>IF($Z506="","",IF($Z506&lt;=2000,IF(INDEX(包装物料出入库明细!$R$4:$R$2003,$Z506-0)=0,"",INDEX(包装物料出入库明细!$R$4:$R$2003,$Z506-0)),IF($Z506&lt;=4000,IF(INDEX(周转筐出入库明细!$W$4:$W$2004,$Z506-2000)=0,"",INDEX(周转筐出入库明细!$W$4:$W$2004,$Z506-2000)),IF($Z506&lt;=5200,IF(INDEX(客户自备加工筐明细!$L$4:$L$1203,$Z506-4000)=0,"",INDEX(客户自备加工筐明细!$L$4:$L$1203,$Z506-4000)),IF($Z506&lt;=5800,IF(INDEX(次果筐明细!$P$4:$P$603,$Z506-5200)=0,"",INDEX(次果筐明细!$P$4:$P$603,$Z506-5200)),"")))))</f>
        <v/>
      </c>
      <c r="N506" s="16" t="str">
        <f>IF($Z506="","",IF($Z506&lt;=2000,"",IF($Z506&lt;=4000,IF(INDEX(周转筐出入库明细!$D$4:$D$2004,$Z506-2000)=0,"",INDEX(周转筐出入库明细!$D$4:$D$2004,$Z506-2000)),IF($Z506&lt;=5200,IF(INDEX(客户自备加工筐明细!$C$4:$C$1203,$Z506-4000)=0,"",INDEX(客户自备加工筐明细!$C$4:$C$1203,$Z506-4000)),IF($Z506&lt;=5800,IF(INDEX(次果筐明细!$D$4:$D$603,$Z506-5200)=0,"",INDEX(次果筐明细!$D$4:$D$603,$Z506-5200)),"")))))</f>
        <v/>
      </c>
      <c r="O506" s="40" t="str">
        <f>IF($Z506="","",IF($Z506&lt;=2000,"",IF($Z506&lt;=4000,IF(N(INDEX(周转筐出入库明细!$J$4:$J$2004,$Z506-2000))+N(INDEX(周转筐出入库明细!$K$4:$K$2004,$Z506-2000))=0,"",N(INDEX(周转筐出入库明细!$J$4:$J$2004,$Z506-2000))+N(INDEX(周转筐出入库明细!$K$4:$K$2004,$Z506-2000))),IF($Z506&lt;=5200,IF(N(INDEX(客户自备加工筐明细!$G$4:$G$1203,$Z506-4000))=0,"",N(INDEX(客户自备加工筐明细!$G$4:$G$1203,$Z506-4000))),IF($Z506&lt;=5800,IF(ISNUMBER(SEARCH("退",INDEX(次果筐明细!$F$4:$F$603,$Z506-5200)&amp;"")),"",IF(N(INDEX(次果筐明细!$G$4:$G$603,$Z506-5200))=0,"",N(INDEX(次果筐明细!$G$4:$G$603,$Z506-5200)))),"")))))</f>
        <v/>
      </c>
      <c r="P506" s="40" t="str">
        <f>IF($Z506="","",IF($Z506&lt;=2000,"",IF($Z506&lt;=4000,IF(N(INDEX(周转筐出入库明细!$I$4:$I$2004,$Z506-2000))=0,"",N(INDEX(周转筐出入库明细!$I$4:$I$2004,$Z506-2000))),IF($Z506&lt;=5200,"",IF($Z506&lt;=5800,IF(ISNUMBER(SEARCH("退",INDEX(次果筐明细!$F$4:$F$603,$Z506-5200)&amp;"")),IF(N(INDEX(次果筐明细!$G$4:$G$603,$Z506-5200))=0,"",N(INDEX(次果筐明细!$G$4:$G$603,$Z506-5200))),""),"")))))</f>
        <v/>
      </c>
      <c r="Q506" s="40" t="str">
        <f>IF($Z506="","",IF($Z506&lt;=2000,"",IF($Z506&lt;=4000,IF(N(INDEX(周转筐出入库明细!$H$4:$H$2004,$Z506-2000))=0,"",N(INDEX(周转筐出入库明细!$H$4:$H$2004,$Z506-2000))),IF($Z506&lt;=5200,IF(N(INDEX(客户自备加工筐明细!$F$4:$F$1203,$Z506-4000))=0,"",N(INDEX(客户自备加工筐明细!$F$4:$F$1203,$Z506-4000))),IF($Z506&lt;=5800,"","")))))</f>
        <v/>
      </c>
      <c r="R506" s="16" t="str">
        <f>IF($Z506="","",IF($Z506&lt;=2000,IF(INDEX(包装物料出入库明细!$O$4:$O$2003,$Z506-0)=0,"",INDEX(包装物料出入库明细!$O$4:$O$2003,$Z506-0)),IF($Z506&lt;=4000,IF(INDEX(周转筐出入库明细!$M$4:$M$2004,$Z506-2000)=0,"",INDEX(周转筐出入库明细!$M$4:$M$2004,$Z506-2000)),IF($Z506&lt;=5200,IF(INDEX(客户自备加工筐明细!$H$4:$H$1203,$Z506-4000)=0,"",INDEX(客户自备加工筐明细!$H$4:$H$1203,$Z506-4000)),IF($Z506&lt;=5800,IF(INDEX(次果筐明细!$H$4:$H$603,$Z506-5200)=0,"",INDEX(次果筐明细!$H$4:$H$603,$Z506-5200)),"")))))</f>
        <v/>
      </c>
      <c r="S506" s="22" t="str">
        <f t="shared" si="23"/>
        <v/>
      </c>
      <c r="Z506" s="10" t="str">
        <f>IFERROR(MATCH(ROW()-3,_自动清单!$CQ$4:$CQ$5803,0),"")</f>
        <v/>
      </c>
    </row>
    <row r="507" spans="1:26">
      <c r="A507" s="24" t="str">
        <f t="shared" si="21"/>
        <v/>
      </c>
      <c r="B507" s="38" t="str">
        <f>IF($Z507="","",IF($Z507&lt;=2000,IF(INDEX(包装物料出入库明细!$B$4:$B$2003,$Z507-0)=0,"",INDEX(包装物料出入库明细!$B$4:$B$2003,$Z507-0)),IF($Z507&lt;=4000,IF(INDEX(周转筐出入库明细!$B$4:$B$2004,$Z507-2000)=0,"",INDEX(周转筐出入库明细!$B$4:$B$2004,$Z507-2000)),IF($Z507&lt;=5200,IF(INDEX(客户自备加工筐明细!$B$4:$B$1203,$Z507-4000)=0,"",INDEX(客户自备加工筐明细!$B$4:$B$1203,$Z507-4000)),IF($Z507&lt;=5800,IF(INDEX(次果筐明细!$B$4:$B$603,$Z507-5200)=0,"",INDEX(次果筐明细!$B$4:$B$603,$Z507-5200)),"")))))</f>
        <v/>
      </c>
      <c r="C507" s="37" t="str">
        <f>IF($Z507="","",IF($Z507&lt;=2000,IF(INDEX(包装物料出入库明细!$D$4:$D$2003,$Z507-0)=0,"",INDEX(包装物料出入库明细!$D$4:$D$2003,$Z507-0)),IF($Z507&lt;=4000,IF(INDEX(周转筐出入库明细!$C$4:$C$2004,$Z507-2000)=0,"",INDEX(周转筐出入库明细!$C$4:$C$2004,$Z507-2000)),IF($Z507&lt;=5200,IF(INDEX(客户自备加工筐明细!$E$4:$E$1203,$Z507-4000)=0,"",INDEX(客户自备加工筐明细!$E$4:$E$1203,$Z507-4000)),IF($Z507&lt;=5800,IF(INDEX(次果筐明细!$C$4:$C$603,$Z507-5200)=0,"",INDEX(次果筐明细!$C$4:$C$603,$Z507-5200)),"")))))</f>
        <v/>
      </c>
      <c r="D507" s="37" t="str">
        <f>IF($Z507="","",IF($Z507&lt;=2000,"包装物料－"&amp;INDEX(包装物料出入库明细!$H$4:$H$2003,$Z507-0),IF($Z507&lt;=4000,"周转筐－"&amp;INDEX(周转筐出入库明细!$F$4:$F$2004,$Z507-2000),IF($Z507&lt;=5200,"客户自备筐－"&amp;INDEX(客户自备加工筐明细!$J$4:$J$1203,$Z507-4000),IF($Z507&lt;=5800,"次果筐/托盘－"&amp;INDEX(次果筐明细!$F$4:$F$603,$Z507-5200),"")))))</f>
        <v/>
      </c>
      <c r="E507" s="24" t="str">
        <f>IF($Z507="","",IF($Z507&lt;=2000,IF(INDEX(包装物料出入库明细!$C$4:$C$2003,$Z507-0)=0,"",INDEX(包装物料出入库明细!$C$4:$C$2003,$Z507-0)),IF($Z507&lt;=4000,IF(INDEX(周转筐出入库明细!$E$4:$E$2004,$Z507-2000)=0,"",INDEX(周转筐出入库明细!$E$4:$E$2004,$Z507-2000)),IF($Z507&lt;=5200,IF(INDEX(客户自备加工筐明细!$D$4:$D$1203,$Z507-4000)=0,"",INDEX(客户自备加工筐明细!$D$4:$D$1203,$Z507-4000)),IF($Z507&lt;=5800,IF(INDEX(次果筐明细!$E$4:$E$603,$Z507-5200)=0,"",INDEX(次果筐明细!$E$4:$E$603,$Z507-5200)),"")))))</f>
        <v/>
      </c>
      <c r="F507" s="24" t="str">
        <f>IF($Z507="","",IF($Z507&lt;=2000,IF(INDEX(包装物料出入库明细!$E$4:$E$2003,$Z507-0)=0,"",INDEX(包装物料出入库明细!$E$4:$E$2003,$Z507-0)),IF($Z507&lt;=4000,IF(INDEX(周转筐出入库明细!$D$4:$D$2004,$Z507-2000)=0,"",INDEX(周转筐出入库明细!$D$4:$D$2004,$Z507-2000)),IF($Z507&lt;=5200,IF(INDEX(客户自备加工筐明细!$C$4:$C$1203,$Z507-4000)=0,"",INDEX(客户自备加工筐明细!$C$4:$C$1203,$Z507-4000)),IF($Z507&lt;=5800,IF(INDEX(次果筐明细!$D$4:$D$603,$Z507-5200)=0,"",INDEX(次果筐明细!$D$4:$D$603,$Z507-5200)),"")))))</f>
        <v/>
      </c>
      <c r="G507" s="24" t="str">
        <f>IF($Z507="","",IF($Z507&lt;=2000,IF(INDEX(包装物料出入库明细!$F$4:$F$2003,$Z507-0)=0,"",INDEX(包装物料出入库明细!$F$4:$F$2003,$Z507-0)),IF($Z507&lt;=4000,"",IF($Z507&lt;=5200,"",IF($Z507&lt;=5800,"","")))))</f>
        <v/>
      </c>
      <c r="H507" s="39" t="str">
        <f>IF($Z507="","",IF($Z507&lt;=2000,IF(INDEX(包装物料出入库明细!$L$4:$L$2003,$Z507-0)=0,"",INDEX(包装物料出入库明细!$L$4:$L$2003,$Z507-0)),IF($Z507&lt;=4000,N(INDEX(周转筐出入库明细!$H$4:$H$2004,$Z507-2000))+N(INDEX(周转筐出入库明细!$I$4:$I$2004,$Z507-2000))+N(INDEX(周转筐出入库明细!$J$4:$J$2004,$Z507-2000))+N(INDEX(周转筐出入库明细!$K$4:$K$2004,$Z507-2000)),IF($Z507&lt;=5200,N(INDEX(客户自备加工筐明细!$F$4:$F$1203,$Z507-4000))+N(INDEX(客户自备加工筐明细!$G$4:$G$1203,$Z507-4000)),IF($Z507&lt;=5800,IF(INDEX(次果筐明细!$G$4:$G$603,$Z507-5200)=0,"",INDEX(次果筐明细!$G$4:$G$603,$Z507-5200)),"")))))</f>
        <v/>
      </c>
      <c r="I507" s="24" t="str">
        <f>IF($Z507="","",IF($Z507&lt;=2000,IF(INDEX(包装物料出入库明细!$G$4:$G$2003,$Z507-0)=0,"",INDEX(包装物料出入库明细!$G$4:$G$2003,$Z507-0)),IF($Z507&lt;=4000,"个",IF($Z507&lt;=5200,"个",IF($Z507&lt;=5800,"个","")))))</f>
        <v/>
      </c>
      <c r="J507" s="30" t="str">
        <f t="shared" si="22"/>
        <v/>
      </c>
      <c r="K507" s="30" t="str">
        <f>IF($Z507="","",IF($Z507&lt;=2000,IF(INDEX(包装物料出入库明细!$N$4:$N$2003,$Z507-0)=0,"",INDEX(包装物料出入库明细!$N$4:$N$2003,$Z507-0)),IF($Z507&lt;=4000,IF(INDEX(周转筐出入库明细!$P$4:$P$2004,$Z507-2000)=0,"",INDEX(周转筐出入库明细!$P$4:$P$2004,$Z507-2000)),IF($Z507&lt;=5200,"",IF($Z507&lt;=5800,N(INDEX(次果筐明细!$L$4:$L$603,$Z507-5200))+N(INDEX(次果筐明细!$J$4:$J$603,$Z507-5200)),"")))))</f>
        <v/>
      </c>
      <c r="L507" s="24" t="str">
        <f>IF($Z507="","",IF($Z507&lt;=2000,IF(INDEX(包装物料出入库明细!$P$4:$P$2003,$Z507-0)=0,"",INDEX(包装物料出入库明细!$P$4:$P$2003,$Z507-0)),IF($Z507&lt;=4000,IF(INDEX(周转筐出入库明细!$Q$4:$Q$2004,$Z507-2000)=0,"",INDEX(周转筐出入库明细!$Q$4:$Q$2004,$Z507-2000)),IF($Z507&lt;=5200,"",IF($Z507&lt;=5800,IF(INDEX(次果筐明细!$M$4:$M$603,$Z507-5200)=0,"",INDEX(次果筐明细!$M$4:$M$603,$Z507-5200)),"")))))</f>
        <v/>
      </c>
      <c r="M507" s="37" t="str">
        <f>IF($Z507="","",IF($Z507&lt;=2000,IF(INDEX(包装物料出入库明细!$R$4:$R$2003,$Z507-0)=0,"",INDEX(包装物料出入库明细!$R$4:$R$2003,$Z507-0)),IF($Z507&lt;=4000,IF(INDEX(周转筐出入库明细!$W$4:$W$2004,$Z507-2000)=0,"",INDEX(周转筐出入库明细!$W$4:$W$2004,$Z507-2000)),IF($Z507&lt;=5200,IF(INDEX(客户自备加工筐明细!$L$4:$L$1203,$Z507-4000)=0,"",INDEX(客户自备加工筐明细!$L$4:$L$1203,$Z507-4000)),IF($Z507&lt;=5800,IF(INDEX(次果筐明细!$P$4:$P$603,$Z507-5200)=0,"",INDEX(次果筐明细!$P$4:$P$603,$Z507-5200)),"")))))</f>
        <v/>
      </c>
      <c r="N507" s="16" t="str">
        <f>IF($Z507="","",IF($Z507&lt;=2000,"",IF($Z507&lt;=4000,IF(INDEX(周转筐出入库明细!$D$4:$D$2004,$Z507-2000)=0,"",INDEX(周转筐出入库明细!$D$4:$D$2004,$Z507-2000)),IF($Z507&lt;=5200,IF(INDEX(客户自备加工筐明细!$C$4:$C$1203,$Z507-4000)=0,"",INDEX(客户自备加工筐明细!$C$4:$C$1203,$Z507-4000)),IF($Z507&lt;=5800,IF(INDEX(次果筐明细!$D$4:$D$603,$Z507-5200)=0,"",INDEX(次果筐明细!$D$4:$D$603,$Z507-5200)),"")))))</f>
        <v/>
      </c>
      <c r="O507" s="40" t="str">
        <f>IF($Z507="","",IF($Z507&lt;=2000,"",IF($Z507&lt;=4000,IF(N(INDEX(周转筐出入库明细!$J$4:$J$2004,$Z507-2000))+N(INDEX(周转筐出入库明细!$K$4:$K$2004,$Z507-2000))=0,"",N(INDEX(周转筐出入库明细!$J$4:$J$2004,$Z507-2000))+N(INDEX(周转筐出入库明细!$K$4:$K$2004,$Z507-2000))),IF($Z507&lt;=5200,IF(N(INDEX(客户自备加工筐明细!$G$4:$G$1203,$Z507-4000))=0,"",N(INDEX(客户自备加工筐明细!$G$4:$G$1203,$Z507-4000))),IF($Z507&lt;=5800,IF(ISNUMBER(SEARCH("退",INDEX(次果筐明细!$F$4:$F$603,$Z507-5200)&amp;"")),"",IF(N(INDEX(次果筐明细!$G$4:$G$603,$Z507-5200))=0,"",N(INDEX(次果筐明细!$G$4:$G$603,$Z507-5200)))),"")))))</f>
        <v/>
      </c>
      <c r="P507" s="40" t="str">
        <f>IF($Z507="","",IF($Z507&lt;=2000,"",IF($Z507&lt;=4000,IF(N(INDEX(周转筐出入库明细!$I$4:$I$2004,$Z507-2000))=0,"",N(INDEX(周转筐出入库明细!$I$4:$I$2004,$Z507-2000))),IF($Z507&lt;=5200,"",IF($Z507&lt;=5800,IF(ISNUMBER(SEARCH("退",INDEX(次果筐明细!$F$4:$F$603,$Z507-5200)&amp;"")),IF(N(INDEX(次果筐明细!$G$4:$G$603,$Z507-5200))=0,"",N(INDEX(次果筐明细!$G$4:$G$603,$Z507-5200))),""),"")))))</f>
        <v/>
      </c>
      <c r="Q507" s="40" t="str">
        <f>IF($Z507="","",IF($Z507&lt;=2000,"",IF($Z507&lt;=4000,IF(N(INDEX(周转筐出入库明细!$H$4:$H$2004,$Z507-2000))=0,"",N(INDEX(周转筐出入库明细!$H$4:$H$2004,$Z507-2000))),IF($Z507&lt;=5200,IF(N(INDEX(客户自备加工筐明细!$F$4:$F$1203,$Z507-4000))=0,"",N(INDEX(客户自备加工筐明细!$F$4:$F$1203,$Z507-4000))),IF($Z507&lt;=5800,"","")))))</f>
        <v/>
      </c>
      <c r="R507" s="16" t="str">
        <f>IF($Z507="","",IF($Z507&lt;=2000,IF(INDEX(包装物料出入库明细!$O$4:$O$2003,$Z507-0)=0,"",INDEX(包装物料出入库明细!$O$4:$O$2003,$Z507-0)),IF($Z507&lt;=4000,IF(INDEX(周转筐出入库明细!$M$4:$M$2004,$Z507-2000)=0,"",INDEX(周转筐出入库明细!$M$4:$M$2004,$Z507-2000)),IF($Z507&lt;=5200,IF(INDEX(客户自备加工筐明细!$H$4:$H$1203,$Z507-4000)=0,"",INDEX(客户自备加工筐明细!$H$4:$H$1203,$Z507-4000)),IF($Z507&lt;=5800,IF(INDEX(次果筐明细!$H$4:$H$603,$Z507-5200)=0,"",INDEX(次果筐明细!$H$4:$H$603,$Z507-5200)),"")))))</f>
        <v/>
      </c>
      <c r="S507" s="22" t="str">
        <f t="shared" si="23"/>
        <v/>
      </c>
      <c r="Z507" s="10" t="str">
        <f>IFERROR(MATCH(ROW()-3,_自动清单!$CQ$4:$CQ$5803,0),"")</f>
        <v/>
      </c>
    </row>
    <row r="508" spans="1:26">
      <c r="A508" s="24" t="str">
        <f t="shared" si="21"/>
        <v/>
      </c>
      <c r="B508" s="38" t="str">
        <f>IF($Z508="","",IF($Z508&lt;=2000,IF(INDEX(包装物料出入库明细!$B$4:$B$2003,$Z508-0)=0,"",INDEX(包装物料出入库明细!$B$4:$B$2003,$Z508-0)),IF($Z508&lt;=4000,IF(INDEX(周转筐出入库明细!$B$4:$B$2004,$Z508-2000)=0,"",INDEX(周转筐出入库明细!$B$4:$B$2004,$Z508-2000)),IF($Z508&lt;=5200,IF(INDEX(客户自备加工筐明细!$B$4:$B$1203,$Z508-4000)=0,"",INDEX(客户自备加工筐明细!$B$4:$B$1203,$Z508-4000)),IF($Z508&lt;=5800,IF(INDEX(次果筐明细!$B$4:$B$603,$Z508-5200)=0,"",INDEX(次果筐明细!$B$4:$B$603,$Z508-5200)),"")))))</f>
        <v/>
      </c>
      <c r="C508" s="37" t="str">
        <f>IF($Z508="","",IF($Z508&lt;=2000,IF(INDEX(包装物料出入库明细!$D$4:$D$2003,$Z508-0)=0,"",INDEX(包装物料出入库明细!$D$4:$D$2003,$Z508-0)),IF($Z508&lt;=4000,IF(INDEX(周转筐出入库明细!$C$4:$C$2004,$Z508-2000)=0,"",INDEX(周转筐出入库明细!$C$4:$C$2004,$Z508-2000)),IF($Z508&lt;=5200,IF(INDEX(客户自备加工筐明细!$E$4:$E$1203,$Z508-4000)=0,"",INDEX(客户自备加工筐明细!$E$4:$E$1203,$Z508-4000)),IF($Z508&lt;=5800,IF(INDEX(次果筐明细!$C$4:$C$603,$Z508-5200)=0,"",INDEX(次果筐明细!$C$4:$C$603,$Z508-5200)),"")))))</f>
        <v/>
      </c>
      <c r="D508" s="37" t="str">
        <f>IF($Z508="","",IF($Z508&lt;=2000,"包装物料－"&amp;INDEX(包装物料出入库明细!$H$4:$H$2003,$Z508-0),IF($Z508&lt;=4000,"周转筐－"&amp;INDEX(周转筐出入库明细!$F$4:$F$2004,$Z508-2000),IF($Z508&lt;=5200,"客户自备筐－"&amp;INDEX(客户自备加工筐明细!$J$4:$J$1203,$Z508-4000),IF($Z508&lt;=5800,"次果筐/托盘－"&amp;INDEX(次果筐明细!$F$4:$F$603,$Z508-5200),"")))))</f>
        <v/>
      </c>
      <c r="E508" s="24" t="str">
        <f>IF($Z508="","",IF($Z508&lt;=2000,IF(INDEX(包装物料出入库明细!$C$4:$C$2003,$Z508-0)=0,"",INDEX(包装物料出入库明细!$C$4:$C$2003,$Z508-0)),IF($Z508&lt;=4000,IF(INDEX(周转筐出入库明细!$E$4:$E$2004,$Z508-2000)=0,"",INDEX(周转筐出入库明细!$E$4:$E$2004,$Z508-2000)),IF($Z508&lt;=5200,IF(INDEX(客户自备加工筐明细!$D$4:$D$1203,$Z508-4000)=0,"",INDEX(客户自备加工筐明细!$D$4:$D$1203,$Z508-4000)),IF($Z508&lt;=5800,IF(INDEX(次果筐明细!$E$4:$E$603,$Z508-5200)=0,"",INDEX(次果筐明细!$E$4:$E$603,$Z508-5200)),"")))))</f>
        <v/>
      </c>
      <c r="F508" s="24" t="str">
        <f>IF($Z508="","",IF($Z508&lt;=2000,IF(INDEX(包装物料出入库明细!$E$4:$E$2003,$Z508-0)=0,"",INDEX(包装物料出入库明细!$E$4:$E$2003,$Z508-0)),IF($Z508&lt;=4000,IF(INDEX(周转筐出入库明细!$D$4:$D$2004,$Z508-2000)=0,"",INDEX(周转筐出入库明细!$D$4:$D$2004,$Z508-2000)),IF($Z508&lt;=5200,IF(INDEX(客户自备加工筐明细!$C$4:$C$1203,$Z508-4000)=0,"",INDEX(客户自备加工筐明细!$C$4:$C$1203,$Z508-4000)),IF($Z508&lt;=5800,IF(INDEX(次果筐明细!$D$4:$D$603,$Z508-5200)=0,"",INDEX(次果筐明细!$D$4:$D$603,$Z508-5200)),"")))))</f>
        <v/>
      </c>
      <c r="G508" s="24" t="str">
        <f>IF($Z508="","",IF($Z508&lt;=2000,IF(INDEX(包装物料出入库明细!$F$4:$F$2003,$Z508-0)=0,"",INDEX(包装物料出入库明细!$F$4:$F$2003,$Z508-0)),IF($Z508&lt;=4000,"",IF($Z508&lt;=5200,"",IF($Z508&lt;=5800,"","")))))</f>
        <v/>
      </c>
      <c r="H508" s="39" t="str">
        <f>IF($Z508="","",IF($Z508&lt;=2000,IF(INDEX(包装物料出入库明细!$L$4:$L$2003,$Z508-0)=0,"",INDEX(包装物料出入库明细!$L$4:$L$2003,$Z508-0)),IF($Z508&lt;=4000,N(INDEX(周转筐出入库明细!$H$4:$H$2004,$Z508-2000))+N(INDEX(周转筐出入库明细!$I$4:$I$2004,$Z508-2000))+N(INDEX(周转筐出入库明细!$J$4:$J$2004,$Z508-2000))+N(INDEX(周转筐出入库明细!$K$4:$K$2004,$Z508-2000)),IF($Z508&lt;=5200,N(INDEX(客户自备加工筐明细!$F$4:$F$1203,$Z508-4000))+N(INDEX(客户自备加工筐明细!$G$4:$G$1203,$Z508-4000)),IF($Z508&lt;=5800,IF(INDEX(次果筐明细!$G$4:$G$603,$Z508-5200)=0,"",INDEX(次果筐明细!$G$4:$G$603,$Z508-5200)),"")))))</f>
        <v/>
      </c>
      <c r="I508" s="24" t="str">
        <f>IF($Z508="","",IF($Z508&lt;=2000,IF(INDEX(包装物料出入库明细!$G$4:$G$2003,$Z508-0)=0,"",INDEX(包装物料出入库明细!$G$4:$G$2003,$Z508-0)),IF($Z508&lt;=4000,"个",IF($Z508&lt;=5200,"个",IF($Z508&lt;=5800,"个","")))))</f>
        <v/>
      </c>
      <c r="J508" s="30" t="str">
        <f t="shared" si="22"/>
        <v/>
      </c>
      <c r="K508" s="30" t="str">
        <f>IF($Z508="","",IF($Z508&lt;=2000,IF(INDEX(包装物料出入库明细!$N$4:$N$2003,$Z508-0)=0,"",INDEX(包装物料出入库明细!$N$4:$N$2003,$Z508-0)),IF($Z508&lt;=4000,IF(INDEX(周转筐出入库明细!$P$4:$P$2004,$Z508-2000)=0,"",INDEX(周转筐出入库明细!$P$4:$P$2004,$Z508-2000)),IF($Z508&lt;=5200,"",IF($Z508&lt;=5800,N(INDEX(次果筐明细!$L$4:$L$603,$Z508-5200))+N(INDEX(次果筐明细!$J$4:$J$603,$Z508-5200)),"")))))</f>
        <v/>
      </c>
      <c r="L508" s="24" t="str">
        <f>IF($Z508="","",IF($Z508&lt;=2000,IF(INDEX(包装物料出入库明细!$P$4:$P$2003,$Z508-0)=0,"",INDEX(包装物料出入库明细!$P$4:$P$2003,$Z508-0)),IF($Z508&lt;=4000,IF(INDEX(周转筐出入库明细!$Q$4:$Q$2004,$Z508-2000)=0,"",INDEX(周转筐出入库明细!$Q$4:$Q$2004,$Z508-2000)),IF($Z508&lt;=5200,"",IF($Z508&lt;=5800,IF(INDEX(次果筐明细!$M$4:$M$603,$Z508-5200)=0,"",INDEX(次果筐明细!$M$4:$M$603,$Z508-5200)),"")))))</f>
        <v/>
      </c>
      <c r="M508" s="37" t="str">
        <f>IF($Z508="","",IF($Z508&lt;=2000,IF(INDEX(包装物料出入库明细!$R$4:$R$2003,$Z508-0)=0,"",INDEX(包装物料出入库明细!$R$4:$R$2003,$Z508-0)),IF($Z508&lt;=4000,IF(INDEX(周转筐出入库明细!$W$4:$W$2004,$Z508-2000)=0,"",INDEX(周转筐出入库明细!$W$4:$W$2004,$Z508-2000)),IF($Z508&lt;=5200,IF(INDEX(客户自备加工筐明细!$L$4:$L$1203,$Z508-4000)=0,"",INDEX(客户自备加工筐明细!$L$4:$L$1203,$Z508-4000)),IF($Z508&lt;=5800,IF(INDEX(次果筐明细!$P$4:$P$603,$Z508-5200)=0,"",INDEX(次果筐明细!$P$4:$P$603,$Z508-5200)),"")))))</f>
        <v/>
      </c>
      <c r="N508" s="16" t="str">
        <f>IF($Z508="","",IF($Z508&lt;=2000,"",IF($Z508&lt;=4000,IF(INDEX(周转筐出入库明细!$D$4:$D$2004,$Z508-2000)=0,"",INDEX(周转筐出入库明细!$D$4:$D$2004,$Z508-2000)),IF($Z508&lt;=5200,IF(INDEX(客户自备加工筐明细!$C$4:$C$1203,$Z508-4000)=0,"",INDEX(客户自备加工筐明细!$C$4:$C$1203,$Z508-4000)),IF($Z508&lt;=5800,IF(INDEX(次果筐明细!$D$4:$D$603,$Z508-5200)=0,"",INDEX(次果筐明细!$D$4:$D$603,$Z508-5200)),"")))))</f>
        <v/>
      </c>
      <c r="O508" s="40" t="str">
        <f>IF($Z508="","",IF($Z508&lt;=2000,"",IF($Z508&lt;=4000,IF(N(INDEX(周转筐出入库明细!$J$4:$J$2004,$Z508-2000))+N(INDEX(周转筐出入库明细!$K$4:$K$2004,$Z508-2000))=0,"",N(INDEX(周转筐出入库明细!$J$4:$J$2004,$Z508-2000))+N(INDEX(周转筐出入库明细!$K$4:$K$2004,$Z508-2000))),IF($Z508&lt;=5200,IF(N(INDEX(客户自备加工筐明细!$G$4:$G$1203,$Z508-4000))=0,"",N(INDEX(客户自备加工筐明细!$G$4:$G$1203,$Z508-4000))),IF($Z508&lt;=5800,IF(ISNUMBER(SEARCH("退",INDEX(次果筐明细!$F$4:$F$603,$Z508-5200)&amp;"")),"",IF(N(INDEX(次果筐明细!$G$4:$G$603,$Z508-5200))=0,"",N(INDEX(次果筐明细!$G$4:$G$603,$Z508-5200)))),"")))))</f>
        <v/>
      </c>
      <c r="P508" s="40" t="str">
        <f>IF($Z508="","",IF($Z508&lt;=2000,"",IF($Z508&lt;=4000,IF(N(INDEX(周转筐出入库明细!$I$4:$I$2004,$Z508-2000))=0,"",N(INDEX(周转筐出入库明细!$I$4:$I$2004,$Z508-2000))),IF($Z508&lt;=5200,"",IF($Z508&lt;=5800,IF(ISNUMBER(SEARCH("退",INDEX(次果筐明细!$F$4:$F$603,$Z508-5200)&amp;"")),IF(N(INDEX(次果筐明细!$G$4:$G$603,$Z508-5200))=0,"",N(INDEX(次果筐明细!$G$4:$G$603,$Z508-5200))),""),"")))))</f>
        <v/>
      </c>
      <c r="Q508" s="40" t="str">
        <f>IF($Z508="","",IF($Z508&lt;=2000,"",IF($Z508&lt;=4000,IF(N(INDEX(周转筐出入库明细!$H$4:$H$2004,$Z508-2000))=0,"",N(INDEX(周转筐出入库明细!$H$4:$H$2004,$Z508-2000))),IF($Z508&lt;=5200,IF(N(INDEX(客户自备加工筐明细!$F$4:$F$1203,$Z508-4000))=0,"",N(INDEX(客户自备加工筐明细!$F$4:$F$1203,$Z508-4000))),IF($Z508&lt;=5800,"","")))))</f>
        <v/>
      </c>
      <c r="R508" s="16" t="str">
        <f>IF($Z508="","",IF($Z508&lt;=2000,IF(INDEX(包装物料出入库明细!$O$4:$O$2003,$Z508-0)=0,"",INDEX(包装物料出入库明细!$O$4:$O$2003,$Z508-0)),IF($Z508&lt;=4000,IF(INDEX(周转筐出入库明细!$M$4:$M$2004,$Z508-2000)=0,"",INDEX(周转筐出入库明细!$M$4:$M$2004,$Z508-2000)),IF($Z508&lt;=5200,IF(INDEX(客户自备加工筐明细!$H$4:$H$1203,$Z508-4000)=0,"",INDEX(客户自备加工筐明细!$H$4:$H$1203,$Z508-4000)),IF($Z508&lt;=5800,IF(INDEX(次果筐明细!$H$4:$H$603,$Z508-5200)=0,"",INDEX(次果筐明细!$H$4:$H$603,$Z508-5200)),"")))))</f>
        <v/>
      </c>
      <c r="S508" s="22" t="str">
        <f t="shared" si="23"/>
        <v/>
      </c>
      <c r="Z508" s="10" t="str">
        <f>IFERROR(MATCH(ROW()-3,_自动清单!$CQ$4:$CQ$5803,0),"")</f>
        <v/>
      </c>
    </row>
    <row r="509" spans="1:26">
      <c r="A509" s="24" t="str">
        <f t="shared" si="21"/>
        <v/>
      </c>
      <c r="B509" s="38" t="str">
        <f>IF($Z509="","",IF($Z509&lt;=2000,IF(INDEX(包装物料出入库明细!$B$4:$B$2003,$Z509-0)=0,"",INDEX(包装物料出入库明细!$B$4:$B$2003,$Z509-0)),IF($Z509&lt;=4000,IF(INDEX(周转筐出入库明细!$B$4:$B$2004,$Z509-2000)=0,"",INDEX(周转筐出入库明细!$B$4:$B$2004,$Z509-2000)),IF($Z509&lt;=5200,IF(INDEX(客户自备加工筐明细!$B$4:$B$1203,$Z509-4000)=0,"",INDEX(客户自备加工筐明细!$B$4:$B$1203,$Z509-4000)),IF($Z509&lt;=5800,IF(INDEX(次果筐明细!$B$4:$B$603,$Z509-5200)=0,"",INDEX(次果筐明细!$B$4:$B$603,$Z509-5200)),"")))))</f>
        <v/>
      </c>
      <c r="C509" s="37" t="str">
        <f>IF($Z509="","",IF($Z509&lt;=2000,IF(INDEX(包装物料出入库明细!$D$4:$D$2003,$Z509-0)=0,"",INDEX(包装物料出入库明细!$D$4:$D$2003,$Z509-0)),IF($Z509&lt;=4000,IF(INDEX(周转筐出入库明细!$C$4:$C$2004,$Z509-2000)=0,"",INDEX(周转筐出入库明细!$C$4:$C$2004,$Z509-2000)),IF($Z509&lt;=5200,IF(INDEX(客户自备加工筐明细!$E$4:$E$1203,$Z509-4000)=0,"",INDEX(客户自备加工筐明细!$E$4:$E$1203,$Z509-4000)),IF($Z509&lt;=5800,IF(INDEX(次果筐明细!$C$4:$C$603,$Z509-5200)=0,"",INDEX(次果筐明细!$C$4:$C$603,$Z509-5200)),"")))))</f>
        <v/>
      </c>
      <c r="D509" s="37" t="str">
        <f>IF($Z509="","",IF($Z509&lt;=2000,"包装物料－"&amp;INDEX(包装物料出入库明细!$H$4:$H$2003,$Z509-0),IF($Z509&lt;=4000,"周转筐－"&amp;INDEX(周转筐出入库明细!$F$4:$F$2004,$Z509-2000),IF($Z509&lt;=5200,"客户自备筐－"&amp;INDEX(客户自备加工筐明细!$J$4:$J$1203,$Z509-4000),IF($Z509&lt;=5800,"次果筐/托盘－"&amp;INDEX(次果筐明细!$F$4:$F$603,$Z509-5200),"")))))</f>
        <v/>
      </c>
      <c r="E509" s="24" t="str">
        <f>IF($Z509="","",IF($Z509&lt;=2000,IF(INDEX(包装物料出入库明细!$C$4:$C$2003,$Z509-0)=0,"",INDEX(包装物料出入库明细!$C$4:$C$2003,$Z509-0)),IF($Z509&lt;=4000,IF(INDEX(周转筐出入库明细!$E$4:$E$2004,$Z509-2000)=0,"",INDEX(周转筐出入库明细!$E$4:$E$2004,$Z509-2000)),IF($Z509&lt;=5200,IF(INDEX(客户自备加工筐明细!$D$4:$D$1203,$Z509-4000)=0,"",INDEX(客户自备加工筐明细!$D$4:$D$1203,$Z509-4000)),IF($Z509&lt;=5800,IF(INDEX(次果筐明细!$E$4:$E$603,$Z509-5200)=0,"",INDEX(次果筐明细!$E$4:$E$603,$Z509-5200)),"")))))</f>
        <v/>
      </c>
      <c r="F509" s="24" t="str">
        <f>IF($Z509="","",IF($Z509&lt;=2000,IF(INDEX(包装物料出入库明细!$E$4:$E$2003,$Z509-0)=0,"",INDEX(包装物料出入库明细!$E$4:$E$2003,$Z509-0)),IF($Z509&lt;=4000,IF(INDEX(周转筐出入库明细!$D$4:$D$2004,$Z509-2000)=0,"",INDEX(周转筐出入库明细!$D$4:$D$2004,$Z509-2000)),IF($Z509&lt;=5200,IF(INDEX(客户自备加工筐明细!$C$4:$C$1203,$Z509-4000)=0,"",INDEX(客户自备加工筐明细!$C$4:$C$1203,$Z509-4000)),IF($Z509&lt;=5800,IF(INDEX(次果筐明细!$D$4:$D$603,$Z509-5200)=0,"",INDEX(次果筐明细!$D$4:$D$603,$Z509-5200)),"")))))</f>
        <v/>
      </c>
      <c r="G509" s="24" t="str">
        <f>IF($Z509="","",IF($Z509&lt;=2000,IF(INDEX(包装物料出入库明细!$F$4:$F$2003,$Z509-0)=0,"",INDEX(包装物料出入库明细!$F$4:$F$2003,$Z509-0)),IF($Z509&lt;=4000,"",IF($Z509&lt;=5200,"",IF($Z509&lt;=5800,"","")))))</f>
        <v/>
      </c>
      <c r="H509" s="39" t="str">
        <f>IF($Z509="","",IF($Z509&lt;=2000,IF(INDEX(包装物料出入库明细!$L$4:$L$2003,$Z509-0)=0,"",INDEX(包装物料出入库明细!$L$4:$L$2003,$Z509-0)),IF($Z509&lt;=4000,N(INDEX(周转筐出入库明细!$H$4:$H$2004,$Z509-2000))+N(INDEX(周转筐出入库明细!$I$4:$I$2004,$Z509-2000))+N(INDEX(周转筐出入库明细!$J$4:$J$2004,$Z509-2000))+N(INDEX(周转筐出入库明细!$K$4:$K$2004,$Z509-2000)),IF($Z509&lt;=5200,N(INDEX(客户自备加工筐明细!$F$4:$F$1203,$Z509-4000))+N(INDEX(客户自备加工筐明细!$G$4:$G$1203,$Z509-4000)),IF($Z509&lt;=5800,IF(INDEX(次果筐明细!$G$4:$G$603,$Z509-5200)=0,"",INDEX(次果筐明细!$G$4:$G$603,$Z509-5200)),"")))))</f>
        <v/>
      </c>
      <c r="I509" s="24" t="str">
        <f>IF($Z509="","",IF($Z509&lt;=2000,IF(INDEX(包装物料出入库明细!$G$4:$G$2003,$Z509-0)=0,"",INDEX(包装物料出入库明细!$G$4:$G$2003,$Z509-0)),IF($Z509&lt;=4000,"个",IF($Z509&lt;=5200,"个",IF($Z509&lt;=5800,"个","")))))</f>
        <v/>
      </c>
      <c r="J509" s="30" t="str">
        <f t="shared" si="22"/>
        <v/>
      </c>
      <c r="K509" s="30" t="str">
        <f>IF($Z509="","",IF($Z509&lt;=2000,IF(INDEX(包装物料出入库明细!$N$4:$N$2003,$Z509-0)=0,"",INDEX(包装物料出入库明细!$N$4:$N$2003,$Z509-0)),IF($Z509&lt;=4000,IF(INDEX(周转筐出入库明细!$P$4:$P$2004,$Z509-2000)=0,"",INDEX(周转筐出入库明细!$P$4:$P$2004,$Z509-2000)),IF($Z509&lt;=5200,"",IF($Z509&lt;=5800,N(INDEX(次果筐明细!$L$4:$L$603,$Z509-5200))+N(INDEX(次果筐明细!$J$4:$J$603,$Z509-5200)),"")))))</f>
        <v/>
      </c>
      <c r="L509" s="24" t="str">
        <f>IF($Z509="","",IF($Z509&lt;=2000,IF(INDEX(包装物料出入库明细!$P$4:$P$2003,$Z509-0)=0,"",INDEX(包装物料出入库明细!$P$4:$P$2003,$Z509-0)),IF($Z509&lt;=4000,IF(INDEX(周转筐出入库明细!$Q$4:$Q$2004,$Z509-2000)=0,"",INDEX(周转筐出入库明细!$Q$4:$Q$2004,$Z509-2000)),IF($Z509&lt;=5200,"",IF($Z509&lt;=5800,IF(INDEX(次果筐明细!$M$4:$M$603,$Z509-5200)=0,"",INDEX(次果筐明细!$M$4:$M$603,$Z509-5200)),"")))))</f>
        <v/>
      </c>
      <c r="M509" s="37" t="str">
        <f>IF($Z509="","",IF($Z509&lt;=2000,IF(INDEX(包装物料出入库明细!$R$4:$R$2003,$Z509-0)=0,"",INDEX(包装物料出入库明细!$R$4:$R$2003,$Z509-0)),IF($Z509&lt;=4000,IF(INDEX(周转筐出入库明细!$W$4:$W$2004,$Z509-2000)=0,"",INDEX(周转筐出入库明细!$W$4:$W$2004,$Z509-2000)),IF($Z509&lt;=5200,IF(INDEX(客户自备加工筐明细!$L$4:$L$1203,$Z509-4000)=0,"",INDEX(客户自备加工筐明细!$L$4:$L$1203,$Z509-4000)),IF($Z509&lt;=5800,IF(INDEX(次果筐明细!$P$4:$P$603,$Z509-5200)=0,"",INDEX(次果筐明细!$P$4:$P$603,$Z509-5200)),"")))))</f>
        <v/>
      </c>
      <c r="N509" s="16" t="str">
        <f>IF($Z509="","",IF($Z509&lt;=2000,"",IF($Z509&lt;=4000,IF(INDEX(周转筐出入库明细!$D$4:$D$2004,$Z509-2000)=0,"",INDEX(周转筐出入库明细!$D$4:$D$2004,$Z509-2000)),IF($Z509&lt;=5200,IF(INDEX(客户自备加工筐明细!$C$4:$C$1203,$Z509-4000)=0,"",INDEX(客户自备加工筐明细!$C$4:$C$1203,$Z509-4000)),IF($Z509&lt;=5800,IF(INDEX(次果筐明细!$D$4:$D$603,$Z509-5200)=0,"",INDEX(次果筐明细!$D$4:$D$603,$Z509-5200)),"")))))</f>
        <v/>
      </c>
      <c r="O509" s="40" t="str">
        <f>IF($Z509="","",IF($Z509&lt;=2000,"",IF($Z509&lt;=4000,IF(N(INDEX(周转筐出入库明细!$J$4:$J$2004,$Z509-2000))+N(INDEX(周转筐出入库明细!$K$4:$K$2004,$Z509-2000))=0,"",N(INDEX(周转筐出入库明细!$J$4:$J$2004,$Z509-2000))+N(INDEX(周转筐出入库明细!$K$4:$K$2004,$Z509-2000))),IF($Z509&lt;=5200,IF(N(INDEX(客户自备加工筐明细!$G$4:$G$1203,$Z509-4000))=0,"",N(INDEX(客户自备加工筐明细!$G$4:$G$1203,$Z509-4000))),IF($Z509&lt;=5800,IF(ISNUMBER(SEARCH("退",INDEX(次果筐明细!$F$4:$F$603,$Z509-5200)&amp;"")),"",IF(N(INDEX(次果筐明细!$G$4:$G$603,$Z509-5200))=0,"",N(INDEX(次果筐明细!$G$4:$G$603,$Z509-5200)))),"")))))</f>
        <v/>
      </c>
      <c r="P509" s="40" t="str">
        <f>IF($Z509="","",IF($Z509&lt;=2000,"",IF($Z509&lt;=4000,IF(N(INDEX(周转筐出入库明细!$I$4:$I$2004,$Z509-2000))=0,"",N(INDEX(周转筐出入库明细!$I$4:$I$2004,$Z509-2000))),IF($Z509&lt;=5200,"",IF($Z509&lt;=5800,IF(ISNUMBER(SEARCH("退",INDEX(次果筐明细!$F$4:$F$603,$Z509-5200)&amp;"")),IF(N(INDEX(次果筐明细!$G$4:$G$603,$Z509-5200))=0,"",N(INDEX(次果筐明细!$G$4:$G$603,$Z509-5200))),""),"")))))</f>
        <v/>
      </c>
      <c r="Q509" s="40" t="str">
        <f>IF($Z509="","",IF($Z509&lt;=2000,"",IF($Z509&lt;=4000,IF(N(INDEX(周转筐出入库明细!$H$4:$H$2004,$Z509-2000))=0,"",N(INDEX(周转筐出入库明细!$H$4:$H$2004,$Z509-2000))),IF($Z509&lt;=5200,IF(N(INDEX(客户自备加工筐明细!$F$4:$F$1203,$Z509-4000))=0,"",N(INDEX(客户自备加工筐明细!$F$4:$F$1203,$Z509-4000))),IF($Z509&lt;=5800,"","")))))</f>
        <v/>
      </c>
      <c r="R509" s="16" t="str">
        <f>IF($Z509="","",IF($Z509&lt;=2000,IF(INDEX(包装物料出入库明细!$O$4:$O$2003,$Z509-0)=0,"",INDEX(包装物料出入库明细!$O$4:$O$2003,$Z509-0)),IF($Z509&lt;=4000,IF(INDEX(周转筐出入库明细!$M$4:$M$2004,$Z509-2000)=0,"",INDEX(周转筐出入库明细!$M$4:$M$2004,$Z509-2000)),IF($Z509&lt;=5200,IF(INDEX(客户自备加工筐明细!$H$4:$H$1203,$Z509-4000)=0,"",INDEX(客户自备加工筐明细!$H$4:$H$1203,$Z509-4000)),IF($Z509&lt;=5800,IF(INDEX(次果筐明细!$H$4:$H$603,$Z509-5200)=0,"",INDEX(次果筐明细!$H$4:$H$603,$Z509-5200)),"")))))</f>
        <v/>
      </c>
      <c r="S509" s="22" t="str">
        <f t="shared" si="23"/>
        <v/>
      </c>
      <c r="Z509" s="10" t="str">
        <f>IFERROR(MATCH(ROW()-3,_自动清单!$CQ$4:$CQ$5803,0),"")</f>
        <v/>
      </c>
    </row>
    <row r="510" spans="1:26">
      <c r="A510" s="24" t="str">
        <f t="shared" si="21"/>
        <v/>
      </c>
      <c r="B510" s="38" t="str">
        <f>IF($Z510="","",IF($Z510&lt;=2000,IF(INDEX(包装物料出入库明细!$B$4:$B$2003,$Z510-0)=0,"",INDEX(包装物料出入库明细!$B$4:$B$2003,$Z510-0)),IF($Z510&lt;=4000,IF(INDEX(周转筐出入库明细!$B$4:$B$2004,$Z510-2000)=0,"",INDEX(周转筐出入库明细!$B$4:$B$2004,$Z510-2000)),IF($Z510&lt;=5200,IF(INDEX(客户自备加工筐明细!$B$4:$B$1203,$Z510-4000)=0,"",INDEX(客户自备加工筐明细!$B$4:$B$1203,$Z510-4000)),IF($Z510&lt;=5800,IF(INDEX(次果筐明细!$B$4:$B$603,$Z510-5200)=0,"",INDEX(次果筐明细!$B$4:$B$603,$Z510-5200)),"")))))</f>
        <v/>
      </c>
      <c r="C510" s="37" t="str">
        <f>IF($Z510="","",IF($Z510&lt;=2000,IF(INDEX(包装物料出入库明细!$D$4:$D$2003,$Z510-0)=0,"",INDEX(包装物料出入库明细!$D$4:$D$2003,$Z510-0)),IF($Z510&lt;=4000,IF(INDEX(周转筐出入库明细!$C$4:$C$2004,$Z510-2000)=0,"",INDEX(周转筐出入库明细!$C$4:$C$2004,$Z510-2000)),IF($Z510&lt;=5200,IF(INDEX(客户自备加工筐明细!$E$4:$E$1203,$Z510-4000)=0,"",INDEX(客户自备加工筐明细!$E$4:$E$1203,$Z510-4000)),IF($Z510&lt;=5800,IF(INDEX(次果筐明细!$C$4:$C$603,$Z510-5200)=0,"",INDEX(次果筐明细!$C$4:$C$603,$Z510-5200)),"")))))</f>
        <v/>
      </c>
      <c r="D510" s="37" t="str">
        <f>IF($Z510="","",IF($Z510&lt;=2000,"包装物料－"&amp;INDEX(包装物料出入库明细!$H$4:$H$2003,$Z510-0),IF($Z510&lt;=4000,"周转筐－"&amp;INDEX(周转筐出入库明细!$F$4:$F$2004,$Z510-2000),IF($Z510&lt;=5200,"客户自备筐－"&amp;INDEX(客户自备加工筐明细!$J$4:$J$1203,$Z510-4000),IF($Z510&lt;=5800,"次果筐/托盘－"&amp;INDEX(次果筐明细!$F$4:$F$603,$Z510-5200),"")))))</f>
        <v/>
      </c>
      <c r="E510" s="24" t="str">
        <f>IF($Z510="","",IF($Z510&lt;=2000,IF(INDEX(包装物料出入库明细!$C$4:$C$2003,$Z510-0)=0,"",INDEX(包装物料出入库明细!$C$4:$C$2003,$Z510-0)),IF($Z510&lt;=4000,IF(INDEX(周转筐出入库明细!$E$4:$E$2004,$Z510-2000)=0,"",INDEX(周转筐出入库明细!$E$4:$E$2004,$Z510-2000)),IF($Z510&lt;=5200,IF(INDEX(客户自备加工筐明细!$D$4:$D$1203,$Z510-4000)=0,"",INDEX(客户自备加工筐明细!$D$4:$D$1203,$Z510-4000)),IF($Z510&lt;=5800,IF(INDEX(次果筐明细!$E$4:$E$603,$Z510-5200)=0,"",INDEX(次果筐明细!$E$4:$E$603,$Z510-5200)),"")))))</f>
        <v/>
      </c>
      <c r="F510" s="24" t="str">
        <f>IF($Z510="","",IF($Z510&lt;=2000,IF(INDEX(包装物料出入库明细!$E$4:$E$2003,$Z510-0)=0,"",INDEX(包装物料出入库明细!$E$4:$E$2003,$Z510-0)),IF($Z510&lt;=4000,IF(INDEX(周转筐出入库明细!$D$4:$D$2004,$Z510-2000)=0,"",INDEX(周转筐出入库明细!$D$4:$D$2004,$Z510-2000)),IF($Z510&lt;=5200,IF(INDEX(客户自备加工筐明细!$C$4:$C$1203,$Z510-4000)=0,"",INDEX(客户自备加工筐明细!$C$4:$C$1203,$Z510-4000)),IF($Z510&lt;=5800,IF(INDEX(次果筐明细!$D$4:$D$603,$Z510-5200)=0,"",INDEX(次果筐明细!$D$4:$D$603,$Z510-5200)),"")))))</f>
        <v/>
      </c>
      <c r="G510" s="24" t="str">
        <f>IF($Z510="","",IF($Z510&lt;=2000,IF(INDEX(包装物料出入库明细!$F$4:$F$2003,$Z510-0)=0,"",INDEX(包装物料出入库明细!$F$4:$F$2003,$Z510-0)),IF($Z510&lt;=4000,"",IF($Z510&lt;=5200,"",IF($Z510&lt;=5800,"","")))))</f>
        <v/>
      </c>
      <c r="H510" s="39" t="str">
        <f>IF($Z510="","",IF($Z510&lt;=2000,IF(INDEX(包装物料出入库明细!$L$4:$L$2003,$Z510-0)=0,"",INDEX(包装物料出入库明细!$L$4:$L$2003,$Z510-0)),IF($Z510&lt;=4000,N(INDEX(周转筐出入库明细!$H$4:$H$2004,$Z510-2000))+N(INDEX(周转筐出入库明细!$I$4:$I$2004,$Z510-2000))+N(INDEX(周转筐出入库明细!$J$4:$J$2004,$Z510-2000))+N(INDEX(周转筐出入库明细!$K$4:$K$2004,$Z510-2000)),IF($Z510&lt;=5200,N(INDEX(客户自备加工筐明细!$F$4:$F$1203,$Z510-4000))+N(INDEX(客户自备加工筐明细!$G$4:$G$1203,$Z510-4000)),IF($Z510&lt;=5800,IF(INDEX(次果筐明细!$G$4:$G$603,$Z510-5200)=0,"",INDEX(次果筐明细!$G$4:$G$603,$Z510-5200)),"")))))</f>
        <v/>
      </c>
      <c r="I510" s="24" t="str">
        <f>IF($Z510="","",IF($Z510&lt;=2000,IF(INDEX(包装物料出入库明细!$G$4:$G$2003,$Z510-0)=0,"",INDEX(包装物料出入库明细!$G$4:$G$2003,$Z510-0)),IF($Z510&lt;=4000,"个",IF($Z510&lt;=5200,"个",IF($Z510&lt;=5800,"个","")))))</f>
        <v/>
      </c>
      <c r="J510" s="30" t="str">
        <f t="shared" si="22"/>
        <v/>
      </c>
      <c r="K510" s="30" t="str">
        <f>IF($Z510="","",IF($Z510&lt;=2000,IF(INDEX(包装物料出入库明细!$N$4:$N$2003,$Z510-0)=0,"",INDEX(包装物料出入库明细!$N$4:$N$2003,$Z510-0)),IF($Z510&lt;=4000,IF(INDEX(周转筐出入库明细!$P$4:$P$2004,$Z510-2000)=0,"",INDEX(周转筐出入库明细!$P$4:$P$2004,$Z510-2000)),IF($Z510&lt;=5200,"",IF($Z510&lt;=5800,N(INDEX(次果筐明细!$L$4:$L$603,$Z510-5200))+N(INDEX(次果筐明细!$J$4:$J$603,$Z510-5200)),"")))))</f>
        <v/>
      </c>
      <c r="L510" s="24" t="str">
        <f>IF($Z510="","",IF($Z510&lt;=2000,IF(INDEX(包装物料出入库明细!$P$4:$P$2003,$Z510-0)=0,"",INDEX(包装物料出入库明细!$P$4:$P$2003,$Z510-0)),IF($Z510&lt;=4000,IF(INDEX(周转筐出入库明细!$Q$4:$Q$2004,$Z510-2000)=0,"",INDEX(周转筐出入库明细!$Q$4:$Q$2004,$Z510-2000)),IF($Z510&lt;=5200,"",IF($Z510&lt;=5800,IF(INDEX(次果筐明细!$M$4:$M$603,$Z510-5200)=0,"",INDEX(次果筐明细!$M$4:$M$603,$Z510-5200)),"")))))</f>
        <v/>
      </c>
      <c r="M510" s="37" t="str">
        <f>IF($Z510="","",IF($Z510&lt;=2000,IF(INDEX(包装物料出入库明细!$R$4:$R$2003,$Z510-0)=0,"",INDEX(包装物料出入库明细!$R$4:$R$2003,$Z510-0)),IF($Z510&lt;=4000,IF(INDEX(周转筐出入库明细!$W$4:$W$2004,$Z510-2000)=0,"",INDEX(周转筐出入库明细!$W$4:$W$2004,$Z510-2000)),IF($Z510&lt;=5200,IF(INDEX(客户自备加工筐明细!$L$4:$L$1203,$Z510-4000)=0,"",INDEX(客户自备加工筐明细!$L$4:$L$1203,$Z510-4000)),IF($Z510&lt;=5800,IF(INDEX(次果筐明细!$P$4:$P$603,$Z510-5200)=0,"",INDEX(次果筐明细!$P$4:$P$603,$Z510-5200)),"")))))</f>
        <v/>
      </c>
      <c r="N510" s="16" t="str">
        <f>IF($Z510="","",IF($Z510&lt;=2000,"",IF($Z510&lt;=4000,IF(INDEX(周转筐出入库明细!$D$4:$D$2004,$Z510-2000)=0,"",INDEX(周转筐出入库明细!$D$4:$D$2004,$Z510-2000)),IF($Z510&lt;=5200,IF(INDEX(客户自备加工筐明细!$C$4:$C$1203,$Z510-4000)=0,"",INDEX(客户自备加工筐明细!$C$4:$C$1203,$Z510-4000)),IF($Z510&lt;=5800,IF(INDEX(次果筐明细!$D$4:$D$603,$Z510-5200)=0,"",INDEX(次果筐明细!$D$4:$D$603,$Z510-5200)),"")))))</f>
        <v/>
      </c>
      <c r="O510" s="40" t="str">
        <f>IF($Z510="","",IF($Z510&lt;=2000,"",IF($Z510&lt;=4000,IF(N(INDEX(周转筐出入库明细!$J$4:$J$2004,$Z510-2000))+N(INDEX(周转筐出入库明细!$K$4:$K$2004,$Z510-2000))=0,"",N(INDEX(周转筐出入库明细!$J$4:$J$2004,$Z510-2000))+N(INDEX(周转筐出入库明细!$K$4:$K$2004,$Z510-2000))),IF($Z510&lt;=5200,IF(N(INDEX(客户自备加工筐明细!$G$4:$G$1203,$Z510-4000))=0,"",N(INDEX(客户自备加工筐明细!$G$4:$G$1203,$Z510-4000))),IF($Z510&lt;=5800,IF(ISNUMBER(SEARCH("退",INDEX(次果筐明细!$F$4:$F$603,$Z510-5200)&amp;"")),"",IF(N(INDEX(次果筐明细!$G$4:$G$603,$Z510-5200))=0,"",N(INDEX(次果筐明细!$G$4:$G$603,$Z510-5200)))),"")))))</f>
        <v/>
      </c>
      <c r="P510" s="40" t="str">
        <f>IF($Z510="","",IF($Z510&lt;=2000,"",IF($Z510&lt;=4000,IF(N(INDEX(周转筐出入库明细!$I$4:$I$2004,$Z510-2000))=0,"",N(INDEX(周转筐出入库明细!$I$4:$I$2004,$Z510-2000))),IF($Z510&lt;=5200,"",IF($Z510&lt;=5800,IF(ISNUMBER(SEARCH("退",INDEX(次果筐明细!$F$4:$F$603,$Z510-5200)&amp;"")),IF(N(INDEX(次果筐明细!$G$4:$G$603,$Z510-5200))=0,"",N(INDEX(次果筐明细!$G$4:$G$603,$Z510-5200))),""),"")))))</f>
        <v/>
      </c>
      <c r="Q510" s="40" t="str">
        <f>IF($Z510="","",IF($Z510&lt;=2000,"",IF($Z510&lt;=4000,IF(N(INDEX(周转筐出入库明细!$H$4:$H$2004,$Z510-2000))=0,"",N(INDEX(周转筐出入库明细!$H$4:$H$2004,$Z510-2000))),IF($Z510&lt;=5200,IF(N(INDEX(客户自备加工筐明细!$F$4:$F$1203,$Z510-4000))=0,"",N(INDEX(客户自备加工筐明细!$F$4:$F$1203,$Z510-4000))),IF($Z510&lt;=5800,"","")))))</f>
        <v/>
      </c>
      <c r="R510" s="16" t="str">
        <f>IF($Z510="","",IF($Z510&lt;=2000,IF(INDEX(包装物料出入库明细!$O$4:$O$2003,$Z510-0)=0,"",INDEX(包装物料出入库明细!$O$4:$O$2003,$Z510-0)),IF($Z510&lt;=4000,IF(INDEX(周转筐出入库明细!$M$4:$M$2004,$Z510-2000)=0,"",INDEX(周转筐出入库明细!$M$4:$M$2004,$Z510-2000)),IF($Z510&lt;=5200,IF(INDEX(客户自备加工筐明细!$H$4:$H$1203,$Z510-4000)=0,"",INDEX(客户自备加工筐明细!$H$4:$H$1203,$Z510-4000)),IF($Z510&lt;=5800,IF(INDEX(次果筐明细!$H$4:$H$603,$Z510-5200)=0,"",INDEX(次果筐明细!$H$4:$H$603,$Z510-5200)),"")))))</f>
        <v/>
      </c>
      <c r="S510" s="22" t="str">
        <f t="shared" si="23"/>
        <v/>
      </c>
      <c r="Z510" s="10" t="str">
        <f>IFERROR(MATCH(ROW()-3,_自动清单!$CQ$4:$CQ$5803,0),"")</f>
        <v/>
      </c>
    </row>
    <row r="511" spans="1:26">
      <c r="A511" s="24" t="str">
        <f t="shared" si="21"/>
        <v/>
      </c>
      <c r="B511" s="38" t="str">
        <f>IF($Z511="","",IF($Z511&lt;=2000,IF(INDEX(包装物料出入库明细!$B$4:$B$2003,$Z511-0)=0,"",INDEX(包装物料出入库明细!$B$4:$B$2003,$Z511-0)),IF($Z511&lt;=4000,IF(INDEX(周转筐出入库明细!$B$4:$B$2004,$Z511-2000)=0,"",INDEX(周转筐出入库明细!$B$4:$B$2004,$Z511-2000)),IF($Z511&lt;=5200,IF(INDEX(客户自备加工筐明细!$B$4:$B$1203,$Z511-4000)=0,"",INDEX(客户自备加工筐明细!$B$4:$B$1203,$Z511-4000)),IF($Z511&lt;=5800,IF(INDEX(次果筐明细!$B$4:$B$603,$Z511-5200)=0,"",INDEX(次果筐明细!$B$4:$B$603,$Z511-5200)),"")))))</f>
        <v/>
      </c>
      <c r="C511" s="37" t="str">
        <f>IF($Z511="","",IF($Z511&lt;=2000,IF(INDEX(包装物料出入库明细!$D$4:$D$2003,$Z511-0)=0,"",INDEX(包装物料出入库明细!$D$4:$D$2003,$Z511-0)),IF($Z511&lt;=4000,IF(INDEX(周转筐出入库明细!$C$4:$C$2004,$Z511-2000)=0,"",INDEX(周转筐出入库明细!$C$4:$C$2004,$Z511-2000)),IF($Z511&lt;=5200,IF(INDEX(客户自备加工筐明细!$E$4:$E$1203,$Z511-4000)=0,"",INDEX(客户自备加工筐明细!$E$4:$E$1203,$Z511-4000)),IF($Z511&lt;=5800,IF(INDEX(次果筐明细!$C$4:$C$603,$Z511-5200)=0,"",INDEX(次果筐明细!$C$4:$C$603,$Z511-5200)),"")))))</f>
        <v/>
      </c>
      <c r="D511" s="37" t="str">
        <f>IF($Z511="","",IF($Z511&lt;=2000,"包装物料－"&amp;INDEX(包装物料出入库明细!$H$4:$H$2003,$Z511-0),IF($Z511&lt;=4000,"周转筐－"&amp;INDEX(周转筐出入库明细!$F$4:$F$2004,$Z511-2000),IF($Z511&lt;=5200,"客户自备筐－"&amp;INDEX(客户自备加工筐明细!$J$4:$J$1203,$Z511-4000),IF($Z511&lt;=5800,"次果筐/托盘－"&amp;INDEX(次果筐明细!$F$4:$F$603,$Z511-5200),"")))))</f>
        <v/>
      </c>
      <c r="E511" s="24" t="str">
        <f>IF($Z511="","",IF($Z511&lt;=2000,IF(INDEX(包装物料出入库明细!$C$4:$C$2003,$Z511-0)=0,"",INDEX(包装物料出入库明细!$C$4:$C$2003,$Z511-0)),IF($Z511&lt;=4000,IF(INDEX(周转筐出入库明细!$E$4:$E$2004,$Z511-2000)=0,"",INDEX(周转筐出入库明细!$E$4:$E$2004,$Z511-2000)),IF($Z511&lt;=5200,IF(INDEX(客户自备加工筐明细!$D$4:$D$1203,$Z511-4000)=0,"",INDEX(客户自备加工筐明细!$D$4:$D$1203,$Z511-4000)),IF($Z511&lt;=5800,IF(INDEX(次果筐明细!$E$4:$E$603,$Z511-5200)=0,"",INDEX(次果筐明细!$E$4:$E$603,$Z511-5200)),"")))))</f>
        <v/>
      </c>
      <c r="F511" s="24" t="str">
        <f>IF($Z511="","",IF($Z511&lt;=2000,IF(INDEX(包装物料出入库明细!$E$4:$E$2003,$Z511-0)=0,"",INDEX(包装物料出入库明细!$E$4:$E$2003,$Z511-0)),IF($Z511&lt;=4000,IF(INDEX(周转筐出入库明细!$D$4:$D$2004,$Z511-2000)=0,"",INDEX(周转筐出入库明细!$D$4:$D$2004,$Z511-2000)),IF($Z511&lt;=5200,IF(INDEX(客户自备加工筐明细!$C$4:$C$1203,$Z511-4000)=0,"",INDEX(客户自备加工筐明细!$C$4:$C$1203,$Z511-4000)),IF($Z511&lt;=5800,IF(INDEX(次果筐明细!$D$4:$D$603,$Z511-5200)=0,"",INDEX(次果筐明细!$D$4:$D$603,$Z511-5200)),"")))))</f>
        <v/>
      </c>
      <c r="G511" s="24" t="str">
        <f>IF($Z511="","",IF($Z511&lt;=2000,IF(INDEX(包装物料出入库明细!$F$4:$F$2003,$Z511-0)=0,"",INDEX(包装物料出入库明细!$F$4:$F$2003,$Z511-0)),IF($Z511&lt;=4000,"",IF($Z511&lt;=5200,"",IF($Z511&lt;=5800,"","")))))</f>
        <v/>
      </c>
      <c r="H511" s="39" t="str">
        <f>IF($Z511="","",IF($Z511&lt;=2000,IF(INDEX(包装物料出入库明细!$L$4:$L$2003,$Z511-0)=0,"",INDEX(包装物料出入库明细!$L$4:$L$2003,$Z511-0)),IF($Z511&lt;=4000,N(INDEX(周转筐出入库明细!$H$4:$H$2004,$Z511-2000))+N(INDEX(周转筐出入库明细!$I$4:$I$2004,$Z511-2000))+N(INDEX(周转筐出入库明细!$J$4:$J$2004,$Z511-2000))+N(INDEX(周转筐出入库明细!$K$4:$K$2004,$Z511-2000)),IF($Z511&lt;=5200,N(INDEX(客户自备加工筐明细!$F$4:$F$1203,$Z511-4000))+N(INDEX(客户自备加工筐明细!$G$4:$G$1203,$Z511-4000)),IF($Z511&lt;=5800,IF(INDEX(次果筐明细!$G$4:$G$603,$Z511-5200)=0,"",INDEX(次果筐明细!$G$4:$G$603,$Z511-5200)),"")))))</f>
        <v/>
      </c>
      <c r="I511" s="24" t="str">
        <f>IF($Z511="","",IF($Z511&lt;=2000,IF(INDEX(包装物料出入库明细!$G$4:$G$2003,$Z511-0)=0,"",INDEX(包装物料出入库明细!$G$4:$G$2003,$Z511-0)),IF($Z511&lt;=4000,"个",IF($Z511&lt;=5200,"个",IF($Z511&lt;=5800,"个","")))))</f>
        <v/>
      </c>
      <c r="J511" s="30" t="str">
        <f t="shared" si="22"/>
        <v/>
      </c>
      <c r="K511" s="30" t="str">
        <f>IF($Z511="","",IF($Z511&lt;=2000,IF(INDEX(包装物料出入库明细!$N$4:$N$2003,$Z511-0)=0,"",INDEX(包装物料出入库明细!$N$4:$N$2003,$Z511-0)),IF($Z511&lt;=4000,IF(INDEX(周转筐出入库明细!$P$4:$P$2004,$Z511-2000)=0,"",INDEX(周转筐出入库明细!$P$4:$P$2004,$Z511-2000)),IF($Z511&lt;=5200,"",IF($Z511&lt;=5800,N(INDEX(次果筐明细!$L$4:$L$603,$Z511-5200))+N(INDEX(次果筐明细!$J$4:$J$603,$Z511-5200)),"")))))</f>
        <v/>
      </c>
      <c r="L511" s="24" t="str">
        <f>IF($Z511="","",IF($Z511&lt;=2000,IF(INDEX(包装物料出入库明细!$P$4:$P$2003,$Z511-0)=0,"",INDEX(包装物料出入库明细!$P$4:$P$2003,$Z511-0)),IF($Z511&lt;=4000,IF(INDEX(周转筐出入库明细!$Q$4:$Q$2004,$Z511-2000)=0,"",INDEX(周转筐出入库明细!$Q$4:$Q$2004,$Z511-2000)),IF($Z511&lt;=5200,"",IF($Z511&lt;=5800,IF(INDEX(次果筐明细!$M$4:$M$603,$Z511-5200)=0,"",INDEX(次果筐明细!$M$4:$M$603,$Z511-5200)),"")))))</f>
        <v/>
      </c>
      <c r="M511" s="37" t="str">
        <f>IF($Z511="","",IF($Z511&lt;=2000,IF(INDEX(包装物料出入库明细!$R$4:$R$2003,$Z511-0)=0,"",INDEX(包装物料出入库明细!$R$4:$R$2003,$Z511-0)),IF($Z511&lt;=4000,IF(INDEX(周转筐出入库明细!$W$4:$W$2004,$Z511-2000)=0,"",INDEX(周转筐出入库明细!$W$4:$W$2004,$Z511-2000)),IF($Z511&lt;=5200,IF(INDEX(客户自备加工筐明细!$L$4:$L$1203,$Z511-4000)=0,"",INDEX(客户自备加工筐明细!$L$4:$L$1203,$Z511-4000)),IF($Z511&lt;=5800,IF(INDEX(次果筐明细!$P$4:$P$603,$Z511-5200)=0,"",INDEX(次果筐明细!$P$4:$P$603,$Z511-5200)),"")))))</f>
        <v/>
      </c>
      <c r="N511" s="16" t="str">
        <f>IF($Z511="","",IF($Z511&lt;=2000,"",IF($Z511&lt;=4000,IF(INDEX(周转筐出入库明细!$D$4:$D$2004,$Z511-2000)=0,"",INDEX(周转筐出入库明细!$D$4:$D$2004,$Z511-2000)),IF($Z511&lt;=5200,IF(INDEX(客户自备加工筐明细!$C$4:$C$1203,$Z511-4000)=0,"",INDEX(客户自备加工筐明细!$C$4:$C$1203,$Z511-4000)),IF($Z511&lt;=5800,IF(INDEX(次果筐明细!$D$4:$D$603,$Z511-5200)=0,"",INDEX(次果筐明细!$D$4:$D$603,$Z511-5200)),"")))))</f>
        <v/>
      </c>
      <c r="O511" s="40" t="str">
        <f>IF($Z511="","",IF($Z511&lt;=2000,"",IF($Z511&lt;=4000,IF(N(INDEX(周转筐出入库明细!$J$4:$J$2004,$Z511-2000))+N(INDEX(周转筐出入库明细!$K$4:$K$2004,$Z511-2000))=0,"",N(INDEX(周转筐出入库明细!$J$4:$J$2004,$Z511-2000))+N(INDEX(周转筐出入库明细!$K$4:$K$2004,$Z511-2000))),IF($Z511&lt;=5200,IF(N(INDEX(客户自备加工筐明细!$G$4:$G$1203,$Z511-4000))=0,"",N(INDEX(客户自备加工筐明细!$G$4:$G$1203,$Z511-4000))),IF($Z511&lt;=5800,IF(ISNUMBER(SEARCH("退",INDEX(次果筐明细!$F$4:$F$603,$Z511-5200)&amp;"")),"",IF(N(INDEX(次果筐明细!$G$4:$G$603,$Z511-5200))=0,"",N(INDEX(次果筐明细!$G$4:$G$603,$Z511-5200)))),"")))))</f>
        <v/>
      </c>
      <c r="P511" s="40" t="str">
        <f>IF($Z511="","",IF($Z511&lt;=2000,"",IF($Z511&lt;=4000,IF(N(INDEX(周转筐出入库明细!$I$4:$I$2004,$Z511-2000))=0,"",N(INDEX(周转筐出入库明细!$I$4:$I$2004,$Z511-2000))),IF($Z511&lt;=5200,"",IF($Z511&lt;=5800,IF(ISNUMBER(SEARCH("退",INDEX(次果筐明细!$F$4:$F$603,$Z511-5200)&amp;"")),IF(N(INDEX(次果筐明细!$G$4:$G$603,$Z511-5200))=0,"",N(INDEX(次果筐明细!$G$4:$G$603,$Z511-5200))),""),"")))))</f>
        <v/>
      </c>
      <c r="Q511" s="40" t="str">
        <f>IF($Z511="","",IF($Z511&lt;=2000,"",IF($Z511&lt;=4000,IF(N(INDEX(周转筐出入库明细!$H$4:$H$2004,$Z511-2000))=0,"",N(INDEX(周转筐出入库明细!$H$4:$H$2004,$Z511-2000))),IF($Z511&lt;=5200,IF(N(INDEX(客户自备加工筐明细!$F$4:$F$1203,$Z511-4000))=0,"",N(INDEX(客户自备加工筐明细!$F$4:$F$1203,$Z511-4000))),IF($Z511&lt;=5800,"","")))))</f>
        <v/>
      </c>
      <c r="R511" s="16" t="str">
        <f>IF($Z511="","",IF($Z511&lt;=2000,IF(INDEX(包装物料出入库明细!$O$4:$O$2003,$Z511-0)=0,"",INDEX(包装物料出入库明细!$O$4:$O$2003,$Z511-0)),IF($Z511&lt;=4000,IF(INDEX(周转筐出入库明细!$M$4:$M$2004,$Z511-2000)=0,"",INDEX(周转筐出入库明细!$M$4:$M$2004,$Z511-2000)),IF($Z511&lt;=5200,IF(INDEX(客户自备加工筐明细!$H$4:$H$1203,$Z511-4000)=0,"",INDEX(客户自备加工筐明细!$H$4:$H$1203,$Z511-4000)),IF($Z511&lt;=5800,IF(INDEX(次果筐明细!$H$4:$H$603,$Z511-5200)=0,"",INDEX(次果筐明细!$H$4:$H$603,$Z511-5200)),"")))))</f>
        <v/>
      </c>
      <c r="S511" s="22" t="str">
        <f t="shared" si="23"/>
        <v/>
      </c>
      <c r="Z511" s="10" t="str">
        <f>IFERROR(MATCH(ROW()-3,_自动清单!$CQ$4:$CQ$5803,0),"")</f>
        <v/>
      </c>
    </row>
    <row r="512" spans="1:26">
      <c r="A512" s="24" t="str">
        <f t="shared" si="21"/>
        <v/>
      </c>
      <c r="B512" s="38" t="str">
        <f>IF($Z512="","",IF($Z512&lt;=2000,IF(INDEX(包装物料出入库明细!$B$4:$B$2003,$Z512-0)=0,"",INDEX(包装物料出入库明细!$B$4:$B$2003,$Z512-0)),IF($Z512&lt;=4000,IF(INDEX(周转筐出入库明细!$B$4:$B$2004,$Z512-2000)=0,"",INDEX(周转筐出入库明细!$B$4:$B$2004,$Z512-2000)),IF($Z512&lt;=5200,IF(INDEX(客户自备加工筐明细!$B$4:$B$1203,$Z512-4000)=0,"",INDEX(客户自备加工筐明细!$B$4:$B$1203,$Z512-4000)),IF($Z512&lt;=5800,IF(INDEX(次果筐明细!$B$4:$B$603,$Z512-5200)=0,"",INDEX(次果筐明细!$B$4:$B$603,$Z512-5200)),"")))))</f>
        <v/>
      </c>
      <c r="C512" s="37" t="str">
        <f>IF($Z512="","",IF($Z512&lt;=2000,IF(INDEX(包装物料出入库明细!$D$4:$D$2003,$Z512-0)=0,"",INDEX(包装物料出入库明细!$D$4:$D$2003,$Z512-0)),IF($Z512&lt;=4000,IF(INDEX(周转筐出入库明细!$C$4:$C$2004,$Z512-2000)=0,"",INDEX(周转筐出入库明细!$C$4:$C$2004,$Z512-2000)),IF($Z512&lt;=5200,IF(INDEX(客户自备加工筐明细!$E$4:$E$1203,$Z512-4000)=0,"",INDEX(客户自备加工筐明细!$E$4:$E$1203,$Z512-4000)),IF($Z512&lt;=5800,IF(INDEX(次果筐明细!$C$4:$C$603,$Z512-5200)=0,"",INDEX(次果筐明细!$C$4:$C$603,$Z512-5200)),"")))))</f>
        <v/>
      </c>
      <c r="D512" s="37" t="str">
        <f>IF($Z512="","",IF($Z512&lt;=2000,"包装物料－"&amp;INDEX(包装物料出入库明细!$H$4:$H$2003,$Z512-0),IF($Z512&lt;=4000,"周转筐－"&amp;INDEX(周转筐出入库明细!$F$4:$F$2004,$Z512-2000),IF($Z512&lt;=5200,"客户自备筐－"&amp;INDEX(客户自备加工筐明细!$J$4:$J$1203,$Z512-4000),IF($Z512&lt;=5800,"次果筐/托盘－"&amp;INDEX(次果筐明细!$F$4:$F$603,$Z512-5200),"")))))</f>
        <v/>
      </c>
      <c r="E512" s="24" t="str">
        <f>IF($Z512="","",IF($Z512&lt;=2000,IF(INDEX(包装物料出入库明细!$C$4:$C$2003,$Z512-0)=0,"",INDEX(包装物料出入库明细!$C$4:$C$2003,$Z512-0)),IF($Z512&lt;=4000,IF(INDEX(周转筐出入库明细!$E$4:$E$2004,$Z512-2000)=0,"",INDEX(周转筐出入库明细!$E$4:$E$2004,$Z512-2000)),IF($Z512&lt;=5200,IF(INDEX(客户自备加工筐明细!$D$4:$D$1203,$Z512-4000)=0,"",INDEX(客户自备加工筐明细!$D$4:$D$1203,$Z512-4000)),IF($Z512&lt;=5800,IF(INDEX(次果筐明细!$E$4:$E$603,$Z512-5200)=0,"",INDEX(次果筐明细!$E$4:$E$603,$Z512-5200)),"")))))</f>
        <v/>
      </c>
      <c r="F512" s="24" t="str">
        <f>IF($Z512="","",IF($Z512&lt;=2000,IF(INDEX(包装物料出入库明细!$E$4:$E$2003,$Z512-0)=0,"",INDEX(包装物料出入库明细!$E$4:$E$2003,$Z512-0)),IF($Z512&lt;=4000,IF(INDEX(周转筐出入库明细!$D$4:$D$2004,$Z512-2000)=0,"",INDEX(周转筐出入库明细!$D$4:$D$2004,$Z512-2000)),IF($Z512&lt;=5200,IF(INDEX(客户自备加工筐明细!$C$4:$C$1203,$Z512-4000)=0,"",INDEX(客户自备加工筐明细!$C$4:$C$1203,$Z512-4000)),IF($Z512&lt;=5800,IF(INDEX(次果筐明细!$D$4:$D$603,$Z512-5200)=0,"",INDEX(次果筐明细!$D$4:$D$603,$Z512-5200)),"")))))</f>
        <v/>
      </c>
      <c r="G512" s="24" t="str">
        <f>IF($Z512="","",IF($Z512&lt;=2000,IF(INDEX(包装物料出入库明细!$F$4:$F$2003,$Z512-0)=0,"",INDEX(包装物料出入库明细!$F$4:$F$2003,$Z512-0)),IF($Z512&lt;=4000,"",IF($Z512&lt;=5200,"",IF($Z512&lt;=5800,"","")))))</f>
        <v/>
      </c>
      <c r="H512" s="39" t="str">
        <f>IF($Z512="","",IF($Z512&lt;=2000,IF(INDEX(包装物料出入库明细!$L$4:$L$2003,$Z512-0)=0,"",INDEX(包装物料出入库明细!$L$4:$L$2003,$Z512-0)),IF($Z512&lt;=4000,N(INDEX(周转筐出入库明细!$H$4:$H$2004,$Z512-2000))+N(INDEX(周转筐出入库明细!$I$4:$I$2004,$Z512-2000))+N(INDEX(周转筐出入库明细!$J$4:$J$2004,$Z512-2000))+N(INDEX(周转筐出入库明细!$K$4:$K$2004,$Z512-2000)),IF($Z512&lt;=5200,N(INDEX(客户自备加工筐明细!$F$4:$F$1203,$Z512-4000))+N(INDEX(客户自备加工筐明细!$G$4:$G$1203,$Z512-4000)),IF($Z512&lt;=5800,IF(INDEX(次果筐明细!$G$4:$G$603,$Z512-5200)=0,"",INDEX(次果筐明细!$G$4:$G$603,$Z512-5200)),"")))))</f>
        <v/>
      </c>
      <c r="I512" s="24" t="str">
        <f>IF($Z512="","",IF($Z512&lt;=2000,IF(INDEX(包装物料出入库明细!$G$4:$G$2003,$Z512-0)=0,"",INDEX(包装物料出入库明细!$G$4:$G$2003,$Z512-0)),IF($Z512&lt;=4000,"个",IF($Z512&lt;=5200,"个",IF($Z512&lt;=5800,"个","")))))</f>
        <v/>
      </c>
      <c r="J512" s="30" t="str">
        <f t="shared" si="22"/>
        <v/>
      </c>
      <c r="K512" s="30" t="str">
        <f>IF($Z512="","",IF($Z512&lt;=2000,IF(INDEX(包装物料出入库明细!$N$4:$N$2003,$Z512-0)=0,"",INDEX(包装物料出入库明细!$N$4:$N$2003,$Z512-0)),IF($Z512&lt;=4000,IF(INDEX(周转筐出入库明细!$P$4:$P$2004,$Z512-2000)=0,"",INDEX(周转筐出入库明细!$P$4:$P$2004,$Z512-2000)),IF($Z512&lt;=5200,"",IF($Z512&lt;=5800,N(INDEX(次果筐明细!$L$4:$L$603,$Z512-5200))+N(INDEX(次果筐明细!$J$4:$J$603,$Z512-5200)),"")))))</f>
        <v/>
      </c>
      <c r="L512" s="24" t="str">
        <f>IF($Z512="","",IF($Z512&lt;=2000,IF(INDEX(包装物料出入库明细!$P$4:$P$2003,$Z512-0)=0,"",INDEX(包装物料出入库明细!$P$4:$P$2003,$Z512-0)),IF($Z512&lt;=4000,IF(INDEX(周转筐出入库明细!$Q$4:$Q$2004,$Z512-2000)=0,"",INDEX(周转筐出入库明细!$Q$4:$Q$2004,$Z512-2000)),IF($Z512&lt;=5200,"",IF($Z512&lt;=5800,IF(INDEX(次果筐明细!$M$4:$M$603,$Z512-5200)=0,"",INDEX(次果筐明细!$M$4:$M$603,$Z512-5200)),"")))))</f>
        <v/>
      </c>
      <c r="M512" s="37" t="str">
        <f>IF($Z512="","",IF($Z512&lt;=2000,IF(INDEX(包装物料出入库明细!$R$4:$R$2003,$Z512-0)=0,"",INDEX(包装物料出入库明细!$R$4:$R$2003,$Z512-0)),IF($Z512&lt;=4000,IF(INDEX(周转筐出入库明细!$W$4:$W$2004,$Z512-2000)=0,"",INDEX(周转筐出入库明细!$W$4:$W$2004,$Z512-2000)),IF($Z512&lt;=5200,IF(INDEX(客户自备加工筐明细!$L$4:$L$1203,$Z512-4000)=0,"",INDEX(客户自备加工筐明细!$L$4:$L$1203,$Z512-4000)),IF($Z512&lt;=5800,IF(INDEX(次果筐明细!$P$4:$P$603,$Z512-5200)=0,"",INDEX(次果筐明细!$P$4:$P$603,$Z512-5200)),"")))))</f>
        <v/>
      </c>
      <c r="N512" s="16" t="str">
        <f>IF($Z512="","",IF($Z512&lt;=2000,"",IF($Z512&lt;=4000,IF(INDEX(周转筐出入库明细!$D$4:$D$2004,$Z512-2000)=0,"",INDEX(周转筐出入库明细!$D$4:$D$2004,$Z512-2000)),IF($Z512&lt;=5200,IF(INDEX(客户自备加工筐明细!$C$4:$C$1203,$Z512-4000)=0,"",INDEX(客户自备加工筐明细!$C$4:$C$1203,$Z512-4000)),IF($Z512&lt;=5800,IF(INDEX(次果筐明细!$D$4:$D$603,$Z512-5200)=0,"",INDEX(次果筐明细!$D$4:$D$603,$Z512-5200)),"")))))</f>
        <v/>
      </c>
      <c r="O512" s="40" t="str">
        <f>IF($Z512="","",IF($Z512&lt;=2000,"",IF($Z512&lt;=4000,IF(N(INDEX(周转筐出入库明细!$J$4:$J$2004,$Z512-2000))+N(INDEX(周转筐出入库明细!$K$4:$K$2004,$Z512-2000))=0,"",N(INDEX(周转筐出入库明细!$J$4:$J$2004,$Z512-2000))+N(INDEX(周转筐出入库明细!$K$4:$K$2004,$Z512-2000))),IF($Z512&lt;=5200,IF(N(INDEX(客户自备加工筐明细!$G$4:$G$1203,$Z512-4000))=0,"",N(INDEX(客户自备加工筐明细!$G$4:$G$1203,$Z512-4000))),IF($Z512&lt;=5800,IF(ISNUMBER(SEARCH("退",INDEX(次果筐明细!$F$4:$F$603,$Z512-5200)&amp;"")),"",IF(N(INDEX(次果筐明细!$G$4:$G$603,$Z512-5200))=0,"",N(INDEX(次果筐明细!$G$4:$G$603,$Z512-5200)))),"")))))</f>
        <v/>
      </c>
      <c r="P512" s="40" t="str">
        <f>IF($Z512="","",IF($Z512&lt;=2000,"",IF($Z512&lt;=4000,IF(N(INDEX(周转筐出入库明细!$I$4:$I$2004,$Z512-2000))=0,"",N(INDEX(周转筐出入库明细!$I$4:$I$2004,$Z512-2000))),IF($Z512&lt;=5200,"",IF($Z512&lt;=5800,IF(ISNUMBER(SEARCH("退",INDEX(次果筐明细!$F$4:$F$603,$Z512-5200)&amp;"")),IF(N(INDEX(次果筐明细!$G$4:$G$603,$Z512-5200))=0,"",N(INDEX(次果筐明细!$G$4:$G$603,$Z512-5200))),""),"")))))</f>
        <v/>
      </c>
      <c r="Q512" s="40" t="str">
        <f>IF($Z512="","",IF($Z512&lt;=2000,"",IF($Z512&lt;=4000,IF(N(INDEX(周转筐出入库明细!$H$4:$H$2004,$Z512-2000))=0,"",N(INDEX(周转筐出入库明细!$H$4:$H$2004,$Z512-2000))),IF($Z512&lt;=5200,IF(N(INDEX(客户自备加工筐明细!$F$4:$F$1203,$Z512-4000))=0,"",N(INDEX(客户自备加工筐明细!$F$4:$F$1203,$Z512-4000))),IF($Z512&lt;=5800,"","")))))</f>
        <v/>
      </c>
      <c r="R512" s="16" t="str">
        <f>IF($Z512="","",IF($Z512&lt;=2000,IF(INDEX(包装物料出入库明细!$O$4:$O$2003,$Z512-0)=0,"",INDEX(包装物料出入库明细!$O$4:$O$2003,$Z512-0)),IF($Z512&lt;=4000,IF(INDEX(周转筐出入库明细!$M$4:$M$2004,$Z512-2000)=0,"",INDEX(周转筐出入库明细!$M$4:$M$2004,$Z512-2000)),IF($Z512&lt;=5200,IF(INDEX(客户自备加工筐明细!$H$4:$H$1203,$Z512-4000)=0,"",INDEX(客户自备加工筐明细!$H$4:$H$1203,$Z512-4000)),IF($Z512&lt;=5800,IF(INDEX(次果筐明细!$H$4:$H$603,$Z512-5200)=0,"",INDEX(次果筐明细!$H$4:$H$603,$Z512-5200)),"")))))</f>
        <v/>
      </c>
      <c r="S512" s="22" t="str">
        <f t="shared" si="23"/>
        <v/>
      </c>
      <c r="Z512" s="10" t="str">
        <f>IFERROR(MATCH(ROW()-3,_自动清单!$CQ$4:$CQ$5803,0),"")</f>
        <v/>
      </c>
    </row>
    <row r="513" spans="1:26">
      <c r="A513" s="24" t="str">
        <f t="shared" si="21"/>
        <v/>
      </c>
      <c r="B513" s="38" t="str">
        <f>IF($Z513="","",IF($Z513&lt;=2000,IF(INDEX(包装物料出入库明细!$B$4:$B$2003,$Z513-0)=0,"",INDEX(包装物料出入库明细!$B$4:$B$2003,$Z513-0)),IF($Z513&lt;=4000,IF(INDEX(周转筐出入库明细!$B$4:$B$2004,$Z513-2000)=0,"",INDEX(周转筐出入库明细!$B$4:$B$2004,$Z513-2000)),IF($Z513&lt;=5200,IF(INDEX(客户自备加工筐明细!$B$4:$B$1203,$Z513-4000)=0,"",INDEX(客户自备加工筐明细!$B$4:$B$1203,$Z513-4000)),IF($Z513&lt;=5800,IF(INDEX(次果筐明细!$B$4:$B$603,$Z513-5200)=0,"",INDEX(次果筐明细!$B$4:$B$603,$Z513-5200)),"")))))</f>
        <v/>
      </c>
      <c r="C513" s="37" t="str">
        <f>IF($Z513="","",IF($Z513&lt;=2000,IF(INDEX(包装物料出入库明细!$D$4:$D$2003,$Z513-0)=0,"",INDEX(包装物料出入库明细!$D$4:$D$2003,$Z513-0)),IF($Z513&lt;=4000,IF(INDEX(周转筐出入库明细!$C$4:$C$2004,$Z513-2000)=0,"",INDEX(周转筐出入库明细!$C$4:$C$2004,$Z513-2000)),IF($Z513&lt;=5200,IF(INDEX(客户自备加工筐明细!$E$4:$E$1203,$Z513-4000)=0,"",INDEX(客户自备加工筐明细!$E$4:$E$1203,$Z513-4000)),IF($Z513&lt;=5800,IF(INDEX(次果筐明细!$C$4:$C$603,$Z513-5200)=0,"",INDEX(次果筐明细!$C$4:$C$603,$Z513-5200)),"")))))</f>
        <v/>
      </c>
      <c r="D513" s="37" t="str">
        <f>IF($Z513="","",IF($Z513&lt;=2000,"包装物料－"&amp;INDEX(包装物料出入库明细!$H$4:$H$2003,$Z513-0),IF($Z513&lt;=4000,"周转筐－"&amp;INDEX(周转筐出入库明细!$F$4:$F$2004,$Z513-2000),IF($Z513&lt;=5200,"客户自备筐－"&amp;INDEX(客户自备加工筐明细!$J$4:$J$1203,$Z513-4000),IF($Z513&lt;=5800,"次果筐/托盘－"&amp;INDEX(次果筐明细!$F$4:$F$603,$Z513-5200),"")))))</f>
        <v/>
      </c>
      <c r="E513" s="24" t="str">
        <f>IF($Z513="","",IF($Z513&lt;=2000,IF(INDEX(包装物料出入库明细!$C$4:$C$2003,$Z513-0)=0,"",INDEX(包装物料出入库明细!$C$4:$C$2003,$Z513-0)),IF($Z513&lt;=4000,IF(INDEX(周转筐出入库明细!$E$4:$E$2004,$Z513-2000)=0,"",INDEX(周转筐出入库明细!$E$4:$E$2004,$Z513-2000)),IF($Z513&lt;=5200,IF(INDEX(客户自备加工筐明细!$D$4:$D$1203,$Z513-4000)=0,"",INDEX(客户自备加工筐明细!$D$4:$D$1203,$Z513-4000)),IF($Z513&lt;=5800,IF(INDEX(次果筐明细!$E$4:$E$603,$Z513-5200)=0,"",INDEX(次果筐明细!$E$4:$E$603,$Z513-5200)),"")))))</f>
        <v/>
      </c>
      <c r="F513" s="24" t="str">
        <f>IF($Z513="","",IF($Z513&lt;=2000,IF(INDEX(包装物料出入库明细!$E$4:$E$2003,$Z513-0)=0,"",INDEX(包装物料出入库明细!$E$4:$E$2003,$Z513-0)),IF($Z513&lt;=4000,IF(INDEX(周转筐出入库明细!$D$4:$D$2004,$Z513-2000)=0,"",INDEX(周转筐出入库明细!$D$4:$D$2004,$Z513-2000)),IF($Z513&lt;=5200,IF(INDEX(客户自备加工筐明细!$C$4:$C$1203,$Z513-4000)=0,"",INDEX(客户自备加工筐明细!$C$4:$C$1203,$Z513-4000)),IF($Z513&lt;=5800,IF(INDEX(次果筐明细!$D$4:$D$603,$Z513-5200)=0,"",INDEX(次果筐明细!$D$4:$D$603,$Z513-5200)),"")))))</f>
        <v/>
      </c>
      <c r="G513" s="24" t="str">
        <f>IF($Z513="","",IF($Z513&lt;=2000,IF(INDEX(包装物料出入库明细!$F$4:$F$2003,$Z513-0)=0,"",INDEX(包装物料出入库明细!$F$4:$F$2003,$Z513-0)),IF($Z513&lt;=4000,"",IF($Z513&lt;=5200,"",IF($Z513&lt;=5800,"","")))))</f>
        <v/>
      </c>
      <c r="H513" s="39" t="str">
        <f>IF($Z513="","",IF($Z513&lt;=2000,IF(INDEX(包装物料出入库明细!$L$4:$L$2003,$Z513-0)=0,"",INDEX(包装物料出入库明细!$L$4:$L$2003,$Z513-0)),IF($Z513&lt;=4000,N(INDEX(周转筐出入库明细!$H$4:$H$2004,$Z513-2000))+N(INDEX(周转筐出入库明细!$I$4:$I$2004,$Z513-2000))+N(INDEX(周转筐出入库明细!$J$4:$J$2004,$Z513-2000))+N(INDEX(周转筐出入库明细!$K$4:$K$2004,$Z513-2000)),IF($Z513&lt;=5200,N(INDEX(客户自备加工筐明细!$F$4:$F$1203,$Z513-4000))+N(INDEX(客户自备加工筐明细!$G$4:$G$1203,$Z513-4000)),IF($Z513&lt;=5800,IF(INDEX(次果筐明细!$G$4:$G$603,$Z513-5200)=0,"",INDEX(次果筐明细!$G$4:$G$603,$Z513-5200)),"")))))</f>
        <v/>
      </c>
      <c r="I513" s="24" t="str">
        <f>IF($Z513="","",IF($Z513&lt;=2000,IF(INDEX(包装物料出入库明细!$G$4:$G$2003,$Z513-0)=0,"",INDEX(包装物料出入库明细!$G$4:$G$2003,$Z513-0)),IF($Z513&lt;=4000,"个",IF($Z513&lt;=5200,"个",IF($Z513&lt;=5800,"个","")))))</f>
        <v/>
      </c>
      <c r="J513" s="30" t="str">
        <f t="shared" si="22"/>
        <v/>
      </c>
      <c r="K513" s="30" t="str">
        <f>IF($Z513="","",IF($Z513&lt;=2000,IF(INDEX(包装物料出入库明细!$N$4:$N$2003,$Z513-0)=0,"",INDEX(包装物料出入库明细!$N$4:$N$2003,$Z513-0)),IF($Z513&lt;=4000,IF(INDEX(周转筐出入库明细!$P$4:$P$2004,$Z513-2000)=0,"",INDEX(周转筐出入库明细!$P$4:$P$2004,$Z513-2000)),IF($Z513&lt;=5200,"",IF($Z513&lt;=5800,N(INDEX(次果筐明细!$L$4:$L$603,$Z513-5200))+N(INDEX(次果筐明细!$J$4:$J$603,$Z513-5200)),"")))))</f>
        <v/>
      </c>
      <c r="L513" s="24" t="str">
        <f>IF($Z513="","",IF($Z513&lt;=2000,IF(INDEX(包装物料出入库明细!$P$4:$P$2003,$Z513-0)=0,"",INDEX(包装物料出入库明细!$P$4:$P$2003,$Z513-0)),IF($Z513&lt;=4000,IF(INDEX(周转筐出入库明细!$Q$4:$Q$2004,$Z513-2000)=0,"",INDEX(周转筐出入库明细!$Q$4:$Q$2004,$Z513-2000)),IF($Z513&lt;=5200,"",IF($Z513&lt;=5800,IF(INDEX(次果筐明细!$M$4:$M$603,$Z513-5200)=0,"",INDEX(次果筐明细!$M$4:$M$603,$Z513-5200)),"")))))</f>
        <v/>
      </c>
      <c r="M513" s="37" t="str">
        <f>IF($Z513="","",IF($Z513&lt;=2000,IF(INDEX(包装物料出入库明细!$R$4:$R$2003,$Z513-0)=0,"",INDEX(包装物料出入库明细!$R$4:$R$2003,$Z513-0)),IF($Z513&lt;=4000,IF(INDEX(周转筐出入库明细!$W$4:$W$2004,$Z513-2000)=0,"",INDEX(周转筐出入库明细!$W$4:$W$2004,$Z513-2000)),IF($Z513&lt;=5200,IF(INDEX(客户自备加工筐明细!$L$4:$L$1203,$Z513-4000)=0,"",INDEX(客户自备加工筐明细!$L$4:$L$1203,$Z513-4000)),IF($Z513&lt;=5800,IF(INDEX(次果筐明细!$P$4:$P$603,$Z513-5200)=0,"",INDEX(次果筐明细!$P$4:$P$603,$Z513-5200)),"")))))</f>
        <v/>
      </c>
      <c r="N513" s="16" t="str">
        <f>IF($Z513="","",IF($Z513&lt;=2000,"",IF($Z513&lt;=4000,IF(INDEX(周转筐出入库明细!$D$4:$D$2004,$Z513-2000)=0,"",INDEX(周转筐出入库明细!$D$4:$D$2004,$Z513-2000)),IF($Z513&lt;=5200,IF(INDEX(客户自备加工筐明细!$C$4:$C$1203,$Z513-4000)=0,"",INDEX(客户自备加工筐明细!$C$4:$C$1203,$Z513-4000)),IF($Z513&lt;=5800,IF(INDEX(次果筐明细!$D$4:$D$603,$Z513-5200)=0,"",INDEX(次果筐明细!$D$4:$D$603,$Z513-5200)),"")))))</f>
        <v/>
      </c>
      <c r="O513" s="40" t="str">
        <f>IF($Z513="","",IF($Z513&lt;=2000,"",IF($Z513&lt;=4000,IF(N(INDEX(周转筐出入库明细!$J$4:$J$2004,$Z513-2000))+N(INDEX(周转筐出入库明细!$K$4:$K$2004,$Z513-2000))=0,"",N(INDEX(周转筐出入库明细!$J$4:$J$2004,$Z513-2000))+N(INDEX(周转筐出入库明细!$K$4:$K$2004,$Z513-2000))),IF($Z513&lt;=5200,IF(N(INDEX(客户自备加工筐明细!$G$4:$G$1203,$Z513-4000))=0,"",N(INDEX(客户自备加工筐明细!$G$4:$G$1203,$Z513-4000))),IF($Z513&lt;=5800,IF(ISNUMBER(SEARCH("退",INDEX(次果筐明细!$F$4:$F$603,$Z513-5200)&amp;"")),"",IF(N(INDEX(次果筐明细!$G$4:$G$603,$Z513-5200))=0,"",N(INDEX(次果筐明细!$G$4:$G$603,$Z513-5200)))),"")))))</f>
        <v/>
      </c>
      <c r="P513" s="40" t="str">
        <f>IF($Z513="","",IF($Z513&lt;=2000,"",IF($Z513&lt;=4000,IF(N(INDEX(周转筐出入库明细!$I$4:$I$2004,$Z513-2000))=0,"",N(INDEX(周转筐出入库明细!$I$4:$I$2004,$Z513-2000))),IF($Z513&lt;=5200,"",IF($Z513&lt;=5800,IF(ISNUMBER(SEARCH("退",INDEX(次果筐明细!$F$4:$F$603,$Z513-5200)&amp;"")),IF(N(INDEX(次果筐明细!$G$4:$G$603,$Z513-5200))=0,"",N(INDEX(次果筐明细!$G$4:$G$603,$Z513-5200))),""),"")))))</f>
        <v/>
      </c>
      <c r="Q513" s="40" t="str">
        <f>IF($Z513="","",IF($Z513&lt;=2000,"",IF($Z513&lt;=4000,IF(N(INDEX(周转筐出入库明细!$H$4:$H$2004,$Z513-2000))=0,"",N(INDEX(周转筐出入库明细!$H$4:$H$2004,$Z513-2000))),IF($Z513&lt;=5200,IF(N(INDEX(客户自备加工筐明细!$F$4:$F$1203,$Z513-4000))=0,"",N(INDEX(客户自备加工筐明细!$F$4:$F$1203,$Z513-4000))),IF($Z513&lt;=5800,"","")))))</f>
        <v/>
      </c>
      <c r="R513" s="16" t="str">
        <f>IF($Z513="","",IF($Z513&lt;=2000,IF(INDEX(包装物料出入库明细!$O$4:$O$2003,$Z513-0)=0,"",INDEX(包装物料出入库明细!$O$4:$O$2003,$Z513-0)),IF($Z513&lt;=4000,IF(INDEX(周转筐出入库明细!$M$4:$M$2004,$Z513-2000)=0,"",INDEX(周转筐出入库明细!$M$4:$M$2004,$Z513-2000)),IF($Z513&lt;=5200,IF(INDEX(客户自备加工筐明细!$H$4:$H$1203,$Z513-4000)=0,"",INDEX(客户自备加工筐明细!$H$4:$H$1203,$Z513-4000)),IF($Z513&lt;=5800,IF(INDEX(次果筐明细!$H$4:$H$603,$Z513-5200)=0,"",INDEX(次果筐明细!$H$4:$H$603,$Z513-5200)),"")))))</f>
        <v/>
      </c>
      <c r="S513" s="22" t="str">
        <f t="shared" si="23"/>
        <v/>
      </c>
      <c r="Z513" s="10" t="str">
        <f>IFERROR(MATCH(ROW()-3,_自动清单!$CQ$4:$CQ$5803,0),"")</f>
        <v/>
      </c>
    </row>
    <row r="514" spans="1:26">
      <c r="A514" s="24" t="str">
        <f t="shared" si="21"/>
        <v/>
      </c>
      <c r="B514" s="38" t="str">
        <f>IF($Z514="","",IF($Z514&lt;=2000,IF(INDEX(包装物料出入库明细!$B$4:$B$2003,$Z514-0)=0,"",INDEX(包装物料出入库明细!$B$4:$B$2003,$Z514-0)),IF($Z514&lt;=4000,IF(INDEX(周转筐出入库明细!$B$4:$B$2004,$Z514-2000)=0,"",INDEX(周转筐出入库明细!$B$4:$B$2004,$Z514-2000)),IF($Z514&lt;=5200,IF(INDEX(客户自备加工筐明细!$B$4:$B$1203,$Z514-4000)=0,"",INDEX(客户自备加工筐明细!$B$4:$B$1203,$Z514-4000)),IF($Z514&lt;=5800,IF(INDEX(次果筐明细!$B$4:$B$603,$Z514-5200)=0,"",INDEX(次果筐明细!$B$4:$B$603,$Z514-5200)),"")))))</f>
        <v/>
      </c>
      <c r="C514" s="37" t="str">
        <f>IF($Z514="","",IF($Z514&lt;=2000,IF(INDEX(包装物料出入库明细!$D$4:$D$2003,$Z514-0)=0,"",INDEX(包装物料出入库明细!$D$4:$D$2003,$Z514-0)),IF($Z514&lt;=4000,IF(INDEX(周转筐出入库明细!$C$4:$C$2004,$Z514-2000)=0,"",INDEX(周转筐出入库明细!$C$4:$C$2004,$Z514-2000)),IF($Z514&lt;=5200,IF(INDEX(客户自备加工筐明细!$E$4:$E$1203,$Z514-4000)=0,"",INDEX(客户自备加工筐明细!$E$4:$E$1203,$Z514-4000)),IF($Z514&lt;=5800,IF(INDEX(次果筐明细!$C$4:$C$603,$Z514-5200)=0,"",INDEX(次果筐明细!$C$4:$C$603,$Z514-5200)),"")))))</f>
        <v/>
      </c>
      <c r="D514" s="37" t="str">
        <f>IF($Z514="","",IF($Z514&lt;=2000,"包装物料－"&amp;INDEX(包装物料出入库明细!$H$4:$H$2003,$Z514-0),IF($Z514&lt;=4000,"周转筐－"&amp;INDEX(周转筐出入库明细!$F$4:$F$2004,$Z514-2000),IF($Z514&lt;=5200,"客户自备筐－"&amp;INDEX(客户自备加工筐明细!$J$4:$J$1203,$Z514-4000),IF($Z514&lt;=5800,"次果筐/托盘－"&amp;INDEX(次果筐明细!$F$4:$F$603,$Z514-5200),"")))))</f>
        <v/>
      </c>
      <c r="E514" s="24" t="str">
        <f>IF($Z514="","",IF($Z514&lt;=2000,IF(INDEX(包装物料出入库明细!$C$4:$C$2003,$Z514-0)=0,"",INDEX(包装物料出入库明细!$C$4:$C$2003,$Z514-0)),IF($Z514&lt;=4000,IF(INDEX(周转筐出入库明细!$E$4:$E$2004,$Z514-2000)=0,"",INDEX(周转筐出入库明细!$E$4:$E$2004,$Z514-2000)),IF($Z514&lt;=5200,IF(INDEX(客户自备加工筐明细!$D$4:$D$1203,$Z514-4000)=0,"",INDEX(客户自备加工筐明细!$D$4:$D$1203,$Z514-4000)),IF($Z514&lt;=5800,IF(INDEX(次果筐明细!$E$4:$E$603,$Z514-5200)=0,"",INDEX(次果筐明细!$E$4:$E$603,$Z514-5200)),"")))))</f>
        <v/>
      </c>
      <c r="F514" s="24" t="str">
        <f>IF($Z514="","",IF($Z514&lt;=2000,IF(INDEX(包装物料出入库明细!$E$4:$E$2003,$Z514-0)=0,"",INDEX(包装物料出入库明细!$E$4:$E$2003,$Z514-0)),IF($Z514&lt;=4000,IF(INDEX(周转筐出入库明细!$D$4:$D$2004,$Z514-2000)=0,"",INDEX(周转筐出入库明细!$D$4:$D$2004,$Z514-2000)),IF($Z514&lt;=5200,IF(INDEX(客户自备加工筐明细!$C$4:$C$1203,$Z514-4000)=0,"",INDEX(客户自备加工筐明细!$C$4:$C$1203,$Z514-4000)),IF($Z514&lt;=5800,IF(INDEX(次果筐明细!$D$4:$D$603,$Z514-5200)=0,"",INDEX(次果筐明细!$D$4:$D$603,$Z514-5200)),"")))))</f>
        <v/>
      </c>
      <c r="G514" s="24" t="str">
        <f>IF($Z514="","",IF($Z514&lt;=2000,IF(INDEX(包装物料出入库明细!$F$4:$F$2003,$Z514-0)=0,"",INDEX(包装物料出入库明细!$F$4:$F$2003,$Z514-0)),IF($Z514&lt;=4000,"",IF($Z514&lt;=5200,"",IF($Z514&lt;=5800,"","")))))</f>
        <v/>
      </c>
      <c r="H514" s="39" t="str">
        <f>IF($Z514="","",IF($Z514&lt;=2000,IF(INDEX(包装物料出入库明细!$L$4:$L$2003,$Z514-0)=0,"",INDEX(包装物料出入库明细!$L$4:$L$2003,$Z514-0)),IF($Z514&lt;=4000,N(INDEX(周转筐出入库明细!$H$4:$H$2004,$Z514-2000))+N(INDEX(周转筐出入库明细!$I$4:$I$2004,$Z514-2000))+N(INDEX(周转筐出入库明细!$J$4:$J$2004,$Z514-2000))+N(INDEX(周转筐出入库明细!$K$4:$K$2004,$Z514-2000)),IF($Z514&lt;=5200,N(INDEX(客户自备加工筐明细!$F$4:$F$1203,$Z514-4000))+N(INDEX(客户自备加工筐明细!$G$4:$G$1203,$Z514-4000)),IF($Z514&lt;=5800,IF(INDEX(次果筐明细!$G$4:$G$603,$Z514-5200)=0,"",INDEX(次果筐明细!$G$4:$G$603,$Z514-5200)),"")))))</f>
        <v/>
      </c>
      <c r="I514" s="24" t="str">
        <f>IF($Z514="","",IF($Z514&lt;=2000,IF(INDEX(包装物料出入库明细!$G$4:$G$2003,$Z514-0)=0,"",INDEX(包装物料出入库明细!$G$4:$G$2003,$Z514-0)),IF($Z514&lt;=4000,"个",IF($Z514&lt;=5200,"个",IF($Z514&lt;=5800,"个","")))))</f>
        <v/>
      </c>
      <c r="J514" s="30" t="str">
        <f t="shared" si="22"/>
        <v/>
      </c>
      <c r="K514" s="30" t="str">
        <f>IF($Z514="","",IF($Z514&lt;=2000,IF(INDEX(包装物料出入库明细!$N$4:$N$2003,$Z514-0)=0,"",INDEX(包装物料出入库明细!$N$4:$N$2003,$Z514-0)),IF($Z514&lt;=4000,IF(INDEX(周转筐出入库明细!$P$4:$P$2004,$Z514-2000)=0,"",INDEX(周转筐出入库明细!$P$4:$P$2004,$Z514-2000)),IF($Z514&lt;=5200,"",IF($Z514&lt;=5800,N(INDEX(次果筐明细!$L$4:$L$603,$Z514-5200))+N(INDEX(次果筐明细!$J$4:$J$603,$Z514-5200)),"")))))</f>
        <v/>
      </c>
      <c r="L514" s="24" t="str">
        <f>IF($Z514="","",IF($Z514&lt;=2000,IF(INDEX(包装物料出入库明细!$P$4:$P$2003,$Z514-0)=0,"",INDEX(包装物料出入库明细!$P$4:$P$2003,$Z514-0)),IF($Z514&lt;=4000,IF(INDEX(周转筐出入库明细!$Q$4:$Q$2004,$Z514-2000)=0,"",INDEX(周转筐出入库明细!$Q$4:$Q$2004,$Z514-2000)),IF($Z514&lt;=5200,"",IF($Z514&lt;=5800,IF(INDEX(次果筐明细!$M$4:$M$603,$Z514-5200)=0,"",INDEX(次果筐明细!$M$4:$M$603,$Z514-5200)),"")))))</f>
        <v/>
      </c>
      <c r="M514" s="37" t="str">
        <f>IF($Z514="","",IF($Z514&lt;=2000,IF(INDEX(包装物料出入库明细!$R$4:$R$2003,$Z514-0)=0,"",INDEX(包装物料出入库明细!$R$4:$R$2003,$Z514-0)),IF($Z514&lt;=4000,IF(INDEX(周转筐出入库明细!$W$4:$W$2004,$Z514-2000)=0,"",INDEX(周转筐出入库明细!$W$4:$W$2004,$Z514-2000)),IF($Z514&lt;=5200,IF(INDEX(客户自备加工筐明细!$L$4:$L$1203,$Z514-4000)=0,"",INDEX(客户自备加工筐明细!$L$4:$L$1203,$Z514-4000)),IF($Z514&lt;=5800,IF(INDEX(次果筐明细!$P$4:$P$603,$Z514-5200)=0,"",INDEX(次果筐明细!$P$4:$P$603,$Z514-5200)),"")))))</f>
        <v/>
      </c>
      <c r="N514" s="16" t="str">
        <f>IF($Z514="","",IF($Z514&lt;=2000,"",IF($Z514&lt;=4000,IF(INDEX(周转筐出入库明细!$D$4:$D$2004,$Z514-2000)=0,"",INDEX(周转筐出入库明细!$D$4:$D$2004,$Z514-2000)),IF($Z514&lt;=5200,IF(INDEX(客户自备加工筐明细!$C$4:$C$1203,$Z514-4000)=0,"",INDEX(客户自备加工筐明细!$C$4:$C$1203,$Z514-4000)),IF($Z514&lt;=5800,IF(INDEX(次果筐明细!$D$4:$D$603,$Z514-5200)=0,"",INDEX(次果筐明细!$D$4:$D$603,$Z514-5200)),"")))))</f>
        <v/>
      </c>
      <c r="O514" s="40" t="str">
        <f>IF($Z514="","",IF($Z514&lt;=2000,"",IF($Z514&lt;=4000,IF(N(INDEX(周转筐出入库明细!$J$4:$J$2004,$Z514-2000))+N(INDEX(周转筐出入库明细!$K$4:$K$2004,$Z514-2000))=0,"",N(INDEX(周转筐出入库明细!$J$4:$J$2004,$Z514-2000))+N(INDEX(周转筐出入库明细!$K$4:$K$2004,$Z514-2000))),IF($Z514&lt;=5200,IF(N(INDEX(客户自备加工筐明细!$G$4:$G$1203,$Z514-4000))=0,"",N(INDEX(客户自备加工筐明细!$G$4:$G$1203,$Z514-4000))),IF($Z514&lt;=5800,IF(ISNUMBER(SEARCH("退",INDEX(次果筐明细!$F$4:$F$603,$Z514-5200)&amp;"")),"",IF(N(INDEX(次果筐明细!$G$4:$G$603,$Z514-5200))=0,"",N(INDEX(次果筐明细!$G$4:$G$603,$Z514-5200)))),"")))))</f>
        <v/>
      </c>
      <c r="P514" s="40" t="str">
        <f>IF($Z514="","",IF($Z514&lt;=2000,"",IF($Z514&lt;=4000,IF(N(INDEX(周转筐出入库明细!$I$4:$I$2004,$Z514-2000))=0,"",N(INDEX(周转筐出入库明细!$I$4:$I$2004,$Z514-2000))),IF($Z514&lt;=5200,"",IF($Z514&lt;=5800,IF(ISNUMBER(SEARCH("退",INDEX(次果筐明细!$F$4:$F$603,$Z514-5200)&amp;"")),IF(N(INDEX(次果筐明细!$G$4:$G$603,$Z514-5200))=0,"",N(INDEX(次果筐明细!$G$4:$G$603,$Z514-5200))),""),"")))))</f>
        <v/>
      </c>
      <c r="Q514" s="40" t="str">
        <f>IF($Z514="","",IF($Z514&lt;=2000,"",IF($Z514&lt;=4000,IF(N(INDEX(周转筐出入库明细!$H$4:$H$2004,$Z514-2000))=0,"",N(INDEX(周转筐出入库明细!$H$4:$H$2004,$Z514-2000))),IF($Z514&lt;=5200,IF(N(INDEX(客户自备加工筐明细!$F$4:$F$1203,$Z514-4000))=0,"",N(INDEX(客户自备加工筐明细!$F$4:$F$1203,$Z514-4000))),IF($Z514&lt;=5800,"","")))))</f>
        <v/>
      </c>
      <c r="R514" s="16" t="str">
        <f>IF($Z514="","",IF($Z514&lt;=2000,IF(INDEX(包装物料出入库明细!$O$4:$O$2003,$Z514-0)=0,"",INDEX(包装物料出入库明细!$O$4:$O$2003,$Z514-0)),IF($Z514&lt;=4000,IF(INDEX(周转筐出入库明细!$M$4:$M$2004,$Z514-2000)=0,"",INDEX(周转筐出入库明细!$M$4:$M$2004,$Z514-2000)),IF($Z514&lt;=5200,IF(INDEX(客户自备加工筐明细!$H$4:$H$1203,$Z514-4000)=0,"",INDEX(客户自备加工筐明细!$H$4:$H$1203,$Z514-4000)),IF($Z514&lt;=5800,IF(INDEX(次果筐明细!$H$4:$H$603,$Z514-5200)=0,"",INDEX(次果筐明细!$H$4:$H$603,$Z514-5200)),"")))))</f>
        <v/>
      </c>
      <c r="S514" s="22" t="str">
        <f t="shared" si="23"/>
        <v/>
      </c>
      <c r="Z514" s="10" t="str">
        <f>IFERROR(MATCH(ROW()-3,_自动清单!$CQ$4:$CQ$5803,0),"")</f>
        <v/>
      </c>
    </row>
    <row r="515" spans="1:26">
      <c r="A515" s="24" t="str">
        <f t="shared" si="21"/>
        <v/>
      </c>
      <c r="B515" s="38" t="str">
        <f>IF($Z515="","",IF($Z515&lt;=2000,IF(INDEX(包装物料出入库明细!$B$4:$B$2003,$Z515-0)=0,"",INDEX(包装物料出入库明细!$B$4:$B$2003,$Z515-0)),IF($Z515&lt;=4000,IF(INDEX(周转筐出入库明细!$B$4:$B$2004,$Z515-2000)=0,"",INDEX(周转筐出入库明细!$B$4:$B$2004,$Z515-2000)),IF($Z515&lt;=5200,IF(INDEX(客户自备加工筐明细!$B$4:$B$1203,$Z515-4000)=0,"",INDEX(客户自备加工筐明细!$B$4:$B$1203,$Z515-4000)),IF($Z515&lt;=5800,IF(INDEX(次果筐明细!$B$4:$B$603,$Z515-5200)=0,"",INDEX(次果筐明细!$B$4:$B$603,$Z515-5200)),"")))))</f>
        <v/>
      </c>
      <c r="C515" s="37" t="str">
        <f>IF($Z515="","",IF($Z515&lt;=2000,IF(INDEX(包装物料出入库明细!$D$4:$D$2003,$Z515-0)=0,"",INDEX(包装物料出入库明细!$D$4:$D$2003,$Z515-0)),IF($Z515&lt;=4000,IF(INDEX(周转筐出入库明细!$C$4:$C$2004,$Z515-2000)=0,"",INDEX(周转筐出入库明细!$C$4:$C$2004,$Z515-2000)),IF($Z515&lt;=5200,IF(INDEX(客户自备加工筐明细!$E$4:$E$1203,$Z515-4000)=0,"",INDEX(客户自备加工筐明细!$E$4:$E$1203,$Z515-4000)),IF($Z515&lt;=5800,IF(INDEX(次果筐明细!$C$4:$C$603,$Z515-5200)=0,"",INDEX(次果筐明细!$C$4:$C$603,$Z515-5200)),"")))))</f>
        <v/>
      </c>
      <c r="D515" s="37" t="str">
        <f>IF($Z515="","",IF($Z515&lt;=2000,"包装物料－"&amp;INDEX(包装物料出入库明细!$H$4:$H$2003,$Z515-0),IF($Z515&lt;=4000,"周转筐－"&amp;INDEX(周转筐出入库明细!$F$4:$F$2004,$Z515-2000),IF($Z515&lt;=5200,"客户自备筐－"&amp;INDEX(客户自备加工筐明细!$J$4:$J$1203,$Z515-4000),IF($Z515&lt;=5800,"次果筐/托盘－"&amp;INDEX(次果筐明细!$F$4:$F$603,$Z515-5200),"")))))</f>
        <v/>
      </c>
      <c r="E515" s="24" t="str">
        <f>IF($Z515="","",IF($Z515&lt;=2000,IF(INDEX(包装物料出入库明细!$C$4:$C$2003,$Z515-0)=0,"",INDEX(包装物料出入库明细!$C$4:$C$2003,$Z515-0)),IF($Z515&lt;=4000,IF(INDEX(周转筐出入库明细!$E$4:$E$2004,$Z515-2000)=0,"",INDEX(周转筐出入库明细!$E$4:$E$2004,$Z515-2000)),IF($Z515&lt;=5200,IF(INDEX(客户自备加工筐明细!$D$4:$D$1203,$Z515-4000)=0,"",INDEX(客户自备加工筐明细!$D$4:$D$1203,$Z515-4000)),IF($Z515&lt;=5800,IF(INDEX(次果筐明细!$E$4:$E$603,$Z515-5200)=0,"",INDEX(次果筐明细!$E$4:$E$603,$Z515-5200)),"")))))</f>
        <v/>
      </c>
      <c r="F515" s="24" t="str">
        <f>IF($Z515="","",IF($Z515&lt;=2000,IF(INDEX(包装物料出入库明细!$E$4:$E$2003,$Z515-0)=0,"",INDEX(包装物料出入库明细!$E$4:$E$2003,$Z515-0)),IF($Z515&lt;=4000,IF(INDEX(周转筐出入库明细!$D$4:$D$2004,$Z515-2000)=0,"",INDEX(周转筐出入库明细!$D$4:$D$2004,$Z515-2000)),IF($Z515&lt;=5200,IF(INDEX(客户自备加工筐明细!$C$4:$C$1203,$Z515-4000)=0,"",INDEX(客户自备加工筐明细!$C$4:$C$1203,$Z515-4000)),IF($Z515&lt;=5800,IF(INDEX(次果筐明细!$D$4:$D$603,$Z515-5200)=0,"",INDEX(次果筐明细!$D$4:$D$603,$Z515-5200)),"")))))</f>
        <v/>
      </c>
      <c r="G515" s="24" t="str">
        <f>IF($Z515="","",IF($Z515&lt;=2000,IF(INDEX(包装物料出入库明细!$F$4:$F$2003,$Z515-0)=0,"",INDEX(包装物料出入库明细!$F$4:$F$2003,$Z515-0)),IF($Z515&lt;=4000,"",IF($Z515&lt;=5200,"",IF($Z515&lt;=5800,"","")))))</f>
        <v/>
      </c>
      <c r="H515" s="39" t="str">
        <f>IF($Z515="","",IF($Z515&lt;=2000,IF(INDEX(包装物料出入库明细!$L$4:$L$2003,$Z515-0)=0,"",INDEX(包装物料出入库明细!$L$4:$L$2003,$Z515-0)),IF($Z515&lt;=4000,N(INDEX(周转筐出入库明细!$H$4:$H$2004,$Z515-2000))+N(INDEX(周转筐出入库明细!$I$4:$I$2004,$Z515-2000))+N(INDEX(周转筐出入库明细!$J$4:$J$2004,$Z515-2000))+N(INDEX(周转筐出入库明细!$K$4:$K$2004,$Z515-2000)),IF($Z515&lt;=5200,N(INDEX(客户自备加工筐明细!$F$4:$F$1203,$Z515-4000))+N(INDEX(客户自备加工筐明细!$G$4:$G$1203,$Z515-4000)),IF($Z515&lt;=5800,IF(INDEX(次果筐明细!$G$4:$G$603,$Z515-5200)=0,"",INDEX(次果筐明细!$G$4:$G$603,$Z515-5200)),"")))))</f>
        <v/>
      </c>
      <c r="I515" s="24" t="str">
        <f>IF($Z515="","",IF($Z515&lt;=2000,IF(INDEX(包装物料出入库明细!$G$4:$G$2003,$Z515-0)=0,"",INDEX(包装物料出入库明细!$G$4:$G$2003,$Z515-0)),IF($Z515&lt;=4000,"个",IF($Z515&lt;=5200,"个",IF($Z515&lt;=5800,"个","")))))</f>
        <v/>
      </c>
      <c r="J515" s="30" t="str">
        <f t="shared" si="22"/>
        <v/>
      </c>
      <c r="K515" s="30" t="str">
        <f>IF($Z515="","",IF($Z515&lt;=2000,IF(INDEX(包装物料出入库明细!$N$4:$N$2003,$Z515-0)=0,"",INDEX(包装物料出入库明细!$N$4:$N$2003,$Z515-0)),IF($Z515&lt;=4000,IF(INDEX(周转筐出入库明细!$P$4:$P$2004,$Z515-2000)=0,"",INDEX(周转筐出入库明细!$P$4:$P$2004,$Z515-2000)),IF($Z515&lt;=5200,"",IF($Z515&lt;=5800,N(INDEX(次果筐明细!$L$4:$L$603,$Z515-5200))+N(INDEX(次果筐明细!$J$4:$J$603,$Z515-5200)),"")))))</f>
        <v/>
      </c>
      <c r="L515" s="24" t="str">
        <f>IF($Z515="","",IF($Z515&lt;=2000,IF(INDEX(包装物料出入库明细!$P$4:$P$2003,$Z515-0)=0,"",INDEX(包装物料出入库明细!$P$4:$P$2003,$Z515-0)),IF($Z515&lt;=4000,IF(INDEX(周转筐出入库明细!$Q$4:$Q$2004,$Z515-2000)=0,"",INDEX(周转筐出入库明细!$Q$4:$Q$2004,$Z515-2000)),IF($Z515&lt;=5200,"",IF($Z515&lt;=5800,IF(INDEX(次果筐明细!$M$4:$M$603,$Z515-5200)=0,"",INDEX(次果筐明细!$M$4:$M$603,$Z515-5200)),"")))))</f>
        <v/>
      </c>
      <c r="M515" s="37" t="str">
        <f>IF($Z515="","",IF($Z515&lt;=2000,IF(INDEX(包装物料出入库明细!$R$4:$R$2003,$Z515-0)=0,"",INDEX(包装物料出入库明细!$R$4:$R$2003,$Z515-0)),IF($Z515&lt;=4000,IF(INDEX(周转筐出入库明细!$W$4:$W$2004,$Z515-2000)=0,"",INDEX(周转筐出入库明细!$W$4:$W$2004,$Z515-2000)),IF($Z515&lt;=5200,IF(INDEX(客户自备加工筐明细!$L$4:$L$1203,$Z515-4000)=0,"",INDEX(客户自备加工筐明细!$L$4:$L$1203,$Z515-4000)),IF($Z515&lt;=5800,IF(INDEX(次果筐明细!$P$4:$P$603,$Z515-5200)=0,"",INDEX(次果筐明细!$P$4:$P$603,$Z515-5200)),"")))))</f>
        <v/>
      </c>
      <c r="N515" s="16" t="str">
        <f>IF($Z515="","",IF($Z515&lt;=2000,"",IF($Z515&lt;=4000,IF(INDEX(周转筐出入库明细!$D$4:$D$2004,$Z515-2000)=0,"",INDEX(周转筐出入库明细!$D$4:$D$2004,$Z515-2000)),IF($Z515&lt;=5200,IF(INDEX(客户自备加工筐明细!$C$4:$C$1203,$Z515-4000)=0,"",INDEX(客户自备加工筐明细!$C$4:$C$1203,$Z515-4000)),IF($Z515&lt;=5800,IF(INDEX(次果筐明细!$D$4:$D$603,$Z515-5200)=0,"",INDEX(次果筐明细!$D$4:$D$603,$Z515-5200)),"")))))</f>
        <v/>
      </c>
      <c r="O515" s="40" t="str">
        <f>IF($Z515="","",IF($Z515&lt;=2000,"",IF($Z515&lt;=4000,IF(N(INDEX(周转筐出入库明细!$J$4:$J$2004,$Z515-2000))+N(INDEX(周转筐出入库明细!$K$4:$K$2004,$Z515-2000))=0,"",N(INDEX(周转筐出入库明细!$J$4:$J$2004,$Z515-2000))+N(INDEX(周转筐出入库明细!$K$4:$K$2004,$Z515-2000))),IF($Z515&lt;=5200,IF(N(INDEX(客户自备加工筐明细!$G$4:$G$1203,$Z515-4000))=0,"",N(INDEX(客户自备加工筐明细!$G$4:$G$1203,$Z515-4000))),IF($Z515&lt;=5800,IF(ISNUMBER(SEARCH("退",INDEX(次果筐明细!$F$4:$F$603,$Z515-5200)&amp;"")),"",IF(N(INDEX(次果筐明细!$G$4:$G$603,$Z515-5200))=0,"",N(INDEX(次果筐明细!$G$4:$G$603,$Z515-5200)))),"")))))</f>
        <v/>
      </c>
      <c r="P515" s="40" t="str">
        <f>IF($Z515="","",IF($Z515&lt;=2000,"",IF($Z515&lt;=4000,IF(N(INDEX(周转筐出入库明细!$I$4:$I$2004,$Z515-2000))=0,"",N(INDEX(周转筐出入库明细!$I$4:$I$2004,$Z515-2000))),IF($Z515&lt;=5200,"",IF($Z515&lt;=5800,IF(ISNUMBER(SEARCH("退",INDEX(次果筐明细!$F$4:$F$603,$Z515-5200)&amp;"")),IF(N(INDEX(次果筐明细!$G$4:$G$603,$Z515-5200))=0,"",N(INDEX(次果筐明细!$G$4:$G$603,$Z515-5200))),""),"")))))</f>
        <v/>
      </c>
      <c r="Q515" s="40" t="str">
        <f>IF($Z515="","",IF($Z515&lt;=2000,"",IF($Z515&lt;=4000,IF(N(INDEX(周转筐出入库明细!$H$4:$H$2004,$Z515-2000))=0,"",N(INDEX(周转筐出入库明细!$H$4:$H$2004,$Z515-2000))),IF($Z515&lt;=5200,IF(N(INDEX(客户自备加工筐明细!$F$4:$F$1203,$Z515-4000))=0,"",N(INDEX(客户自备加工筐明细!$F$4:$F$1203,$Z515-4000))),IF($Z515&lt;=5800,"","")))))</f>
        <v/>
      </c>
      <c r="R515" s="16" t="str">
        <f>IF($Z515="","",IF($Z515&lt;=2000,IF(INDEX(包装物料出入库明细!$O$4:$O$2003,$Z515-0)=0,"",INDEX(包装物料出入库明细!$O$4:$O$2003,$Z515-0)),IF($Z515&lt;=4000,IF(INDEX(周转筐出入库明细!$M$4:$M$2004,$Z515-2000)=0,"",INDEX(周转筐出入库明细!$M$4:$M$2004,$Z515-2000)),IF($Z515&lt;=5200,IF(INDEX(客户自备加工筐明细!$H$4:$H$1203,$Z515-4000)=0,"",INDEX(客户自备加工筐明细!$H$4:$H$1203,$Z515-4000)),IF($Z515&lt;=5800,IF(INDEX(次果筐明细!$H$4:$H$603,$Z515-5200)=0,"",INDEX(次果筐明细!$H$4:$H$603,$Z515-5200)),"")))))</f>
        <v/>
      </c>
      <c r="S515" s="22" t="str">
        <f t="shared" si="23"/>
        <v/>
      </c>
      <c r="Z515" s="10" t="str">
        <f>IFERROR(MATCH(ROW()-3,_自动清单!$CQ$4:$CQ$5803,0),"")</f>
        <v/>
      </c>
    </row>
    <row r="516" spans="1:26">
      <c r="A516" s="24" t="str">
        <f t="shared" ref="A516:A579" si="24">IF($B516="","",ROW()-3)</f>
        <v/>
      </c>
      <c r="B516" s="38" t="str">
        <f>IF($Z516="","",IF($Z516&lt;=2000,IF(INDEX(包装物料出入库明细!$B$4:$B$2003,$Z516-0)=0,"",INDEX(包装物料出入库明细!$B$4:$B$2003,$Z516-0)),IF($Z516&lt;=4000,IF(INDEX(周转筐出入库明细!$B$4:$B$2004,$Z516-2000)=0,"",INDEX(周转筐出入库明细!$B$4:$B$2004,$Z516-2000)),IF($Z516&lt;=5200,IF(INDEX(客户自备加工筐明细!$B$4:$B$1203,$Z516-4000)=0,"",INDEX(客户自备加工筐明细!$B$4:$B$1203,$Z516-4000)),IF($Z516&lt;=5800,IF(INDEX(次果筐明细!$B$4:$B$603,$Z516-5200)=0,"",INDEX(次果筐明细!$B$4:$B$603,$Z516-5200)),"")))))</f>
        <v/>
      </c>
      <c r="C516" s="37" t="str">
        <f>IF($Z516="","",IF($Z516&lt;=2000,IF(INDEX(包装物料出入库明细!$D$4:$D$2003,$Z516-0)=0,"",INDEX(包装物料出入库明细!$D$4:$D$2003,$Z516-0)),IF($Z516&lt;=4000,IF(INDEX(周转筐出入库明细!$C$4:$C$2004,$Z516-2000)=0,"",INDEX(周转筐出入库明细!$C$4:$C$2004,$Z516-2000)),IF($Z516&lt;=5200,IF(INDEX(客户自备加工筐明细!$E$4:$E$1203,$Z516-4000)=0,"",INDEX(客户自备加工筐明细!$E$4:$E$1203,$Z516-4000)),IF($Z516&lt;=5800,IF(INDEX(次果筐明细!$C$4:$C$603,$Z516-5200)=0,"",INDEX(次果筐明细!$C$4:$C$603,$Z516-5200)),"")))))</f>
        <v/>
      </c>
      <c r="D516" s="37" t="str">
        <f>IF($Z516="","",IF($Z516&lt;=2000,"包装物料－"&amp;INDEX(包装物料出入库明细!$H$4:$H$2003,$Z516-0),IF($Z516&lt;=4000,"周转筐－"&amp;INDEX(周转筐出入库明细!$F$4:$F$2004,$Z516-2000),IF($Z516&lt;=5200,"客户自备筐－"&amp;INDEX(客户自备加工筐明细!$J$4:$J$1203,$Z516-4000),IF($Z516&lt;=5800,"次果筐/托盘－"&amp;INDEX(次果筐明细!$F$4:$F$603,$Z516-5200),"")))))</f>
        <v/>
      </c>
      <c r="E516" s="24" t="str">
        <f>IF($Z516="","",IF($Z516&lt;=2000,IF(INDEX(包装物料出入库明细!$C$4:$C$2003,$Z516-0)=0,"",INDEX(包装物料出入库明细!$C$4:$C$2003,$Z516-0)),IF($Z516&lt;=4000,IF(INDEX(周转筐出入库明细!$E$4:$E$2004,$Z516-2000)=0,"",INDEX(周转筐出入库明细!$E$4:$E$2004,$Z516-2000)),IF($Z516&lt;=5200,IF(INDEX(客户自备加工筐明细!$D$4:$D$1203,$Z516-4000)=0,"",INDEX(客户自备加工筐明细!$D$4:$D$1203,$Z516-4000)),IF($Z516&lt;=5800,IF(INDEX(次果筐明细!$E$4:$E$603,$Z516-5200)=0,"",INDEX(次果筐明细!$E$4:$E$603,$Z516-5200)),"")))))</f>
        <v/>
      </c>
      <c r="F516" s="24" t="str">
        <f>IF($Z516="","",IF($Z516&lt;=2000,IF(INDEX(包装物料出入库明细!$E$4:$E$2003,$Z516-0)=0,"",INDEX(包装物料出入库明细!$E$4:$E$2003,$Z516-0)),IF($Z516&lt;=4000,IF(INDEX(周转筐出入库明细!$D$4:$D$2004,$Z516-2000)=0,"",INDEX(周转筐出入库明细!$D$4:$D$2004,$Z516-2000)),IF($Z516&lt;=5200,IF(INDEX(客户自备加工筐明细!$C$4:$C$1203,$Z516-4000)=0,"",INDEX(客户自备加工筐明细!$C$4:$C$1203,$Z516-4000)),IF($Z516&lt;=5800,IF(INDEX(次果筐明细!$D$4:$D$603,$Z516-5200)=0,"",INDEX(次果筐明细!$D$4:$D$603,$Z516-5200)),"")))))</f>
        <v/>
      </c>
      <c r="G516" s="24" t="str">
        <f>IF($Z516="","",IF($Z516&lt;=2000,IF(INDEX(包装物料出入库明细!$F$4:$F$2003,$Z516-0)=0,"",INDEX(包装物料出入库明细!$F$4:$F$2003,$Z516-0)),IF($Z516&lt;=4000,"",IF($Z516&lt;=5200,"",IF($Z516&lt;=5800,"","")))))</f>
        <v/>
      </c>
      <c r="H516" s="39" t="str">
        <f>IF($Z516="","",IF($Z516&lt;=2000,IF(INDEX(包装物料出入库明细!$L$4:$L$2003,$Z516-0)=0,"",INDEX(包装物料出入库明细!$L$4:$L$2003,$Z516-0)),IF($Z516&lt;=4000,N(INDEX(周转筐出入库明细!$H$4:$H$2004,$Z516-2000))+N(INDEX(周转筐出入库明细!$I$4:$I$2004,$Z516-2000))+N(INDEX(周转筐出入库明细!$J$4:$J$2004,$Z516-2000))+N(INDEX(周转筐出入库明细!$K$4:$K$2004,$Z516-2000)),IF($Z516&lt;=5200,N(INDEX(客户自备加工筐明细!$F$4:$F$1203,$Z516-4000))+N(INDEX(客户自备加工筐明细!$G$4:$G$1203,$Z516-4000)),IF($Z516&lt;=5800,IF(INDEX(次果筐明细!$G$4:$G$603,$Z516-5200)=0,"",INDEX(次果筐明细!$G$4:$G$603,$Z516-5200)),"")))))</f>
        <v/>
      </c>
      <c r="I516" s="24" t="str">
        <f>IF($Z516="","",IF($Z516&lt;=2000,IF(INDEX(包装物料出入库明细!$G$4:$G$2003,$Z516-0)=0,"",INDEX(包装物料出入库明细!$G$4:$G$2003,$Z516-0)),IF($Z516&lt;=4000,"个",IF($Z516&lt;=5200,"个",IF($Z516&lt;=5800,"个","")))))</f>
        <v/>
      </c>
      <c r="J516" s="30" t="str">
        <f t="shared" ref="J516:J579" si="25">IF($Z516="","",IF($Z516&lt;=2000,"",IF($Z516&lt;=4000,"",IF($Z516&lt;=5200,"",IF($Z516&lt;=5800,"","")))))</f>
        <v/>
      </c>
      <c r="K516" s="30" t="str">
        <f>IF($Z516="","",IF($Z516&lt;=2000,IF(INDEX(包装物料出入库明细!$N$4:$N$2003,$Z516-0)=0,"",INDEX(包装物料出入库明细!$N$4:$N$2003,$Z516-0)),IF($Z516&lt;=4000,IF(INDEX(周转筐出入库明细!$P$4:$P$2004,$Z516-2000)=0,"",INDEX(周转筐出入库明细!$P$4:$P$2004,$Z516-2000)),IF($Z516&lt;=5200,"",IF($Z516&lt;=5800,N(INDEX(次果筐明细!$L$4:$L$603,$Z516-5200))+N(INDEX(次果筐明细!$J$4:$J$603,$Z516-5200)),"")))))</f>
        <v/>
      </c>
      <c r="L516" s="24" t="str">
        <f>IF($Z516="","",IF($Z516&lt;=2000,IF(INDEX(包装物料出入库明细!$P$4:$P$2003,$Z516-0)=0,"",INDEX(包装物料出入库明细!$P$4:$P$2003,$Z516-0)),IF($Z516&lt;=4000,IF(INDEX(周转筐出入库明细!$Q$4:$Q$2004,$Z516-2000)=0,"",INDEX(周转筐出入库明细!$Q$4:$Q$2004,$Z516-2000)),IF($Z516&lt;=5200,"",IF($Z516&lt;=5800,IF(INDEX(次果筐明细!$M$4:$M$603,$Z516-5200)=0,"",INDEX(次果筐明细!$M$4:$M$603,$Z516-5200)),"")))))</f>
        <v/>
      </c>
      <c r="M516" s="37" t="str">
        <f>IF($Z516="","",IF($Z516&lt;=2000,IF(INDEX(包装物料出入库明细!$R$4:$R$2003,$Z516-0)=0,"",INDEX(包装物料出入库明细!$R$4:$R$2003,$Z516-0)),IF($Z516&lt;=4000,IF(INDEX(周转筐出入库明细!$W$4:$W$2004,$Z516-2000)=0,"",INDEX(周转筐出入库明细!$W$4:$W$2004,$Z516-2000)),IF($Z516&lt;=5200,IF(INDEX(客户自备加工筐明细!$L$4:$L$1203,$Z516-4000)=0,"",INDEX(客户自备加工筐明细!$L$4:$L$1203,$Z516-4000)),IF($Z516&lt;=5800,IF(INDEX(次果筐明细!$P$4:$P$603,$Z516-5200)=0,"",INDEX(次果筐明细!$P$4:$P$603,$Z516-5200)),"")))))</f>
        <v/>
      </c>
      <c r="N516" s="16" t="str">
        <f>IF($Z516="","",IF($Z516&lt;=2000,"",IF($Z516&lt;=4000,IF(INDEX(周转筐出入库明细!$D$4:$D$2004,$Z516-2000)=0,"",INDEX(周转筐出入库明细!$D$4:$D$2004,$Z516-2000)),IF($Z516&lt;=5200,IF(INDEX(客户自备加工筐明细!$C$4:$C$1203,$Z516-4000)=0,"",INDEX(客户自备加工筐明细!$C$4:$C$1203,$Z516-4000)),IF($Z516&lt;=5800,IF(INDEX(次果筐明细!$D$4:$D$603,$Z516-5200)=0,"",INDEX(次果筐明细!$D$4:$D$603,$Z516-5200)),"")))))</f>
        <v/>
      </c>
      <c r="O516" s="40" t="str">
        <f>IF($Z516="","",IF($Z516&lt;=2000,"",IF($Z516&lt;=4000,IF(N(INDEX(周转筐出入库明细!$J$4:$J$2004,$Z516-2000))+N(INDEX(周转筐出入库明细!$K$4:$K$2004,$Z516-2000))=0,"",N(INDEX(周转筐出入库明细!$J$4:$J$2004,$Z516-2000))+N(INDEX(周转筐出入库明细!$K$4:$K$2004,$Z516-2000))),IF($Z516&lt;=5200,IF(N(INDEX(客户自备加工筐明细!$G$4:$G$1203,$Z516-4000))=0,"",N(INDEX(客户自备加工筐明细!$G$4:$G$1203,$Z516-4000))),IF($Z516&lt;=5800,IF(ISNUMBER(SEARCH("退",INDEX(次果筐明细!$F$4:$F$603,$Z516-5200)&amp;"")),"",IF(N(INDEX(次果筐明细!$G$4:$G$603,$Z516-5200))=0,"",N(INDEX(次果筐明细!$G$4:$G$603,$Z516-5200)))),"")))))</f>
        <v/>
      </c>
      <c r="P516" s="40" t="str">
        <f>IF($Z516="","",IF($Z516&lt;=2000,"",IF($Z516&lt;=4000,IF(N(INDEX(周转筐出入库明细!$I$4:$I$2004,$Z516-2000))=0,"",N(INDEX(周转筐出入库明细!$I$4:$I$2004,$Z516-2000))),IF($Z516&lt;=5200,"",IF($Z516&lt;=5800,IF(ISNUMBER(SEARCH("退",INDEX(次果筐明细!$F$4:$F$603,$Z516-5200)&amp;"")),IF(N(INDEX(次果筐明细!$G$4:$G$603,$Z516-5200))=0,"",N(INDEX(次果筐明细!$G$4:$G$603,$Z516-5200))),""),"")))))</f>
        <v/>
      </c>
      <c r="Q516" s="40" t="str">
        <f>IF($Z516="","",IF($Z516&lt;=2000,"",IF($Z516&lt;=4000,IF(N(INDEX(周转筐出入库明细!$H$4:$H$2004,$Z516-2000))=0,"",N(INDEX(周转筐出入库明细!$H$4:$H$2004,$Z516-2000))),IF($Z516&lt;=5200,IF(N(INDEX(客户自备加工筐明细!$F$4:$F$1203,$Z516-4000))=0,"",N(INDEX(客户自备加工筐明细!$F$4:$F$1203,$Z516-4000))),IF($Z516&lt;=5800,"","")))))</f>
        <v/>
      </c>
      <c r="R516" s="16" t="str">
        <f>IF($Z516="","",IF($Z516&lt;=2000,IF(INDEX(包装物料出入库明细!$O$4:$O$2003,$Z516-0)=0,"",INDEX(包装物料出入库明细!$O$4:$O$2003,$Z516-0)),IF($Z516&lt;=4000,IF(INDEX(周转筐出入库明细!$M$4:$M$2004,$Z516-2000)=0,"",INDEX(周转筐出入库明细!$M$4:$M$2004,$Z516-2000)),IF($Z516&lt;=5200,IF(INDEX(客户自备加工筐明细!$H$4:$H$1203,$Z516-4000)=0,"",INDEX(客户自备加工筐明细!$H$4:$H$1203,$Z516-4000)),IF($Z516&lt;=5800,IF(INDEX(次果筐明细!$H$4:$H$603,$Z516-5200)=0,"",INDEX(次果筐明细!$H$4:$H$603,$Z516-5200)),"")))))</f>
        <v/>
      </c>
      <c r="S516" s="22" t="str">
        <f t="shared" ref="S516:S579" si="26">IF($N516="","",IF(OR(LEFT($N516,2)="自备",AND($Z516&gt;4000,$Z516&lt;=5200)),"自备筐","公司筐"))</f>
        <v/>
      </c>
      <c r="Z516" s="10" t="str">
        <f>IFERROR(MATCH(ROW()-3,_自动清单!$CQ$4:$CQ$5803,0),"")</f>
        <v/>
      </c>
    </row>
    <row r="517" spans="1:26">
      <c r="A517" s="24" t="str">
        <f t="shared" si="24"/>
        <v/>
      </c>
      <c r="B517" s="38" t="str">
        <f>IF($Z517="","",IF($Z517&lt;=2000,IF(INDEX(包装物料出入库明细!$B$4:$B$2003,$Z517-0)=0,"",INDEX(包装物料出入库明细!$B$4:$B$2003,$Z517-0)),IF($Z517&lt;=4000,IF(INDEX(周转筐出入库明细!$B$4:$B$2004,$Z517-2000)=0,"",INDEX(周转筐出入库明细!$B$4:$B$2004,$Z517-2000)),IF($Z517&lt;=5200,IF(INDEX(客户自备加工筐明细!$B$4:$B$1203,$Z517-4000)=0,"",INDEX(客户自备加工筐明细!$B$4:$B$1203,$Z517-4000)),IF($Z517&lt;=5800,IF(INDEX(次果筐明细!$B$4:$B$603,$Z517-5200)=0,"",INDEX(次果筐明细!$B$4:$B$603,$Z517-5200)),"")))))</f>
        <v/>
      </c>
      <c r="C517" s="37" t="str">
        <f>IF($Z517="","",IF($Z517&lt;=2000,IF(INDEX(包装物料出入库明细!$D$4:$D$2003,$Z517-0)=0,"",INDEX(包装物料出入库明细!$D$4:$D$2003,$Z517-0)),IF($Z517&lt;=4000,IF(INDEX(周转筐出入库明细!$C$4:$C$2004,$Z517-2000)=0,"",INDEX(周转筐出入库明细!$C$4:$C$2004,$Z517-2000)),IF($Z517&lt;=5200,IF(INDEX(客户自备加工筐明细!$E$4:$E$1203,$Z517-4000)=0,"",INDEX(客户自备加工筐明细!$E$4:$E$1203,$Z517-4000)),IF($Z517&lt;=5800,IF(INDEX(次果筐明细!$C$4:$C$603,$Z517-5200)=0,"",INDEX(次果筐明细!$C$4:$C$603,$Z517-5200)),"")))))</f>
        <v/>
      </c>
      <c r="D517" s="37" t="str">
        <f>IF($Z517="","",IF($Z517&lt;=2000,"包装物料－"&amp;INDEX(包装物料出入库明细!$H$4:$H$2003,$Z517-0),IF($Z517&lt;=4000,"周转筐－"&amp;INDEX(周转筐出入库明细!$F$4:$F$2004,$Z517-2000),IF($Z517&lt;=5200,"客户自备筐－"&amp;INDEX(客户自备加工筐明细!$J$4:$J$1203,$Z517-4000),IF($Z517&lt;=5800,"次果筐/托盘－"&amp;INDEX(次果筐明细!$F$4:$F$603,$Z517-5200),"")))))</f>
        <v/>
      </c>
      <c r="E517" s="24" t="str">
        <f>IF($Z517="","",IF($Z517&lt;=2000,IF(INDEX(包装物料出入库明细!$C$4:$C$2003,$Z517-0)=0,"",INDEX(包装物料出入库明细!$C$4:$C$2003,$Z517-0)),IF($Z517&lt;=4000,IF(INDEX(周转筐出入库明细!$E$4:$E$2004,$Z517-2000)=0,"",INDEX(周转筐出入库明细!$E$4:$E$2004,$Z517-2000)),IF($Z517&lt;=5200,IF(INDEX(客户自备加工筐明细!$D$4:$D$1203,$Z517-4000)=0,"",INDEX(客户自备加工筐明细!$D$4:$D$1203,$Z517-4000)),IF($Z517&lt;=5800,IF(INDEX(次果筐明细!$E$4:$E$603,$Z517-5200)=0,"",INDEX(次果筐明细!$E$4:$E$603,$Z517-5200)),"")))))</f>
        <v/>
      </c>
      <c r="F517" s="24" t="str">
        <f>IF($Z517="","",IF($Z517&lt;=2000,IF(INDEX(包装物料出入库明细!$E$4:$E$2003,$Z517-0)=0,"",INDEX(包装物料出入库明细!$E$4:$E$2003,$Z517-0)),IF($Z517&lt;=4000,IF(INDEX(周转筐出入库明细!$D$4:$D$2004,$Z517-2000)=0,"",INDEX(周转筐出入库明细!$D$4:$D$2004,$Z517-2000)),IF($Z517&lt;=5200,IF(INDEX(客户自备加工筐明细!$C$4:$C$1203,$Z517-4000)=0,"",INDEX(客户自备加工筐明细!$C$4:$C$1203,$Z517-4000)),IF($Z517&lt;=5800,IF(INDEX(次果筐明细!$D$4:$D$603,$Z517-5200)=0,"",INDEX(次果筐明细!$D$4:$D$603,$Z517-5200)),"")))))</f>
        <v/>
      </c>
      <c r="G517" s="24" t="str">
        <f>IF($Z517="","",IF($Z517&lt;=2000,IF(INDEX(包装物料出入库明细!$F$4:$F$2003,$Z517-0)=0,"",INDEX(包装物料出入库明细!$F$4:$F$2003,$Z517-0)),IF($Z517&lt;=4000,"",IF($Z517&lt;=5200,"",IF($Z517&lt;=5800,"","")))))</f>
        <v/>
      </c>
      <c r="H517" s="39" t="str">
        <f>IF($Z517="","",IF($Z517&lt;=2000,IF(INDEX(包装物料出入库明细!$L$4:$L$2003,$Z517-0)=0,"",INDEX(包装物料出入库明细!$L$4:$L$2003,$Z517-0)),IF($Z517&lt;=4000,N(INDEX(周转筐出入库明细!$H$4:$H$2004,$Z517-2000))+N(INDEX(周转筐出入库明细!$I$4:$I$2004,$Z517-2000))+N(INDEX(周转筐出入库明细!$J$4:$J$2004,$Z517-2000))+N(INDEX(周转筐出入库明细!$K$4:$K$2004,$Z517-2000)),IF($Z517&lt;=5200,N(INDEX(客户自备加工筐明细!$F$4:$F$1203,$Z517-4000))+N(INDEX(客户自备加工筐明细!$G$4:$G$1203,$Z517-4000)),IF($Z517&lt;=5800,IF(INDEX(次果筐明细!$G$4:$G$603,$Z517-5200)=0,"",INDEX(次果筐明细!$G$4:$G$603,$Z517-5200)),"")))))</f>
        <v/>
      </c>
      <c r="I517" s="24" t="str">
        <f>IF($Z517="","",IF($Z517&lt;=2000,IF(INDEX(包装物料出入库明细!$G$4:$G$2003,$Z517-0)=0,"",INDEX(包装物料出入库明细!$G$4:$G$2003,$Z517-0)),IF($Z517&lt;=4000,"个",IF($Z517&lt;=5200,"个",IF($Z517&lt;=5800,"个","")))))</f>
        <v/>
      </c>
      <c r="J517" s="30" t="str">
        <f t="shared" si="25"/>
        <v/>
      </c>
      <c r="K517" s="30" t="str">
        <f>IF($Z517="","",IF($Z517&lt;=2000,IF(INDEX(包装物料出入库明细!$N$4:$N$2003,$Z517-0)=0,"",INDEX(包装物料出入库明细!$N$4:$N$2003,$Z517-0)),IF($Z517&lt;=4000,IF(INDEX(周转筐出入库明细!$P$4:$P$2004,$Z517-2000)=0,"",INDEX(周转筐出入库明细!$P$4:$P$2004,$Z517-2000)),IF($Z517&lt;=5200,"",IF($Z517&lt;=5800,N(INDEX(次果筐明细!$L$4:$L$603,$Z517-5200))+N(INDEX(次果筐明细!$J$4:$J$603,$Z517-5200)),"")))))</f>
        <v/>
      </c>
      <c r="L517" s="24" t="str">
        <f>IF($Z517="","",IF($Z517&lt;=2000,IF(INDEX(包装物料出入库明细!$P$4:$P$2003,$Z517-0)=0,"",INDEX(包装物料出入库明细!$P$4:$P$2003,$Z517-0)),IF($Z517&lt;=4000,IF(INDEX(周转筐出入库明细!$Q$4:$Q$2004,$Z517-2000)=0,"",INDEX(周转筐出入库明细!$Q$4:$Q$2004,$Z517-2000)),IF($Z517&lt;=5200,"",IF($Z517&lt;=5800,IF(INDEX(次果筐明细!$M$4:$M$603,$Z517-5200)=0,"",INDEX(次果筐明细!$M$4:$M$603,$Z517-5200)),"")))))</f>
        <v/>
      </c>
      <c r="M517" s="37" t="str">
        <f>IF($Z517="","",IF($Z517&lt;=2000,IF(INDEX(包装物料出入库明细!$R$4:$R$2003,$Z517-0)=0,"",INDEX(包装物料出入库明细!$R$4:$R$2003,$Z517-0)),IF($Z517&lt;=4000,IF(INDEX(周转筐出入库明细!$W$4:$W$2004,$Z517-2000)=0,"",INDEX(周转筐出入库明细!$W$4:$W$2004,$Z517-2000)),IF($Z517&lt;=5200,IF(INDEX(客户自备加工筐明细!$L$4:$L$1203,$Z517-4000)=0,"",INDEX(客户自备加工筐明细!$L$4:$L$1203,$Z517-4000)),IF($Z517&lt;=5800,IF(INDEX(次果筐明细!$P$4:$P$603,$Z517-5200)=0,"",INDEX(次果筐明细!$P$4:$P$603,$Z517-5200)),"")))))</f>
        <v/>
      </c>
      <c r="N517" s="16" t="str">
        <f>IF($Z517="","",IF($Z517&lt;=2000,"",IF($Z517&lt;=4000,IF(INDEX(周转筐出入库明细!$D$4:$D$2004,$Z517-2000)=0,"",INDEX(周转筐出入库明细!$D$4:$D$2004,$Z517-2000)),IF($Z517&lt;=5200,IF(INDEX(客户自备加工筐明细!$C$4:$C$1203,$Z517-4000)=0,"",INDEX(客户自备加工筐明细!$C$4:$C$1203,$Z517-4000)),IF($Z517&lt;=5800,IF(INDEX(次果筐明细!$D$4:$D$603,$Z517-5200)=0,"",INDEX(次果筐明细!$D$4:$D$603,$Z517-5200)),"")))))</f>
        <v/>
      </c>
      <c r="O517" s="40" t="str">
        <f>IF($Z517="","",IF($Z517&lt;=2000,"",IF($Z517&lt;=4000,IF(N(INDEX(周转筐出入库明细!$J$4:$J$2004,$Z517-2000))+N(INDEX(周转筐出入库明细!$K$4:$K$2004,$Z517-2000))=0,"",N(INDEX(周转筐出入库明细!$J$4:$J$2004,$Z517-2000))+N(INDEX(周转筐出入库明细!$K$4:$K$2004,$Z517-2000))),IF($Z517&lt;=5200,IF(N(INDEX(客户自备加工筐明细!$G$4:$G$1203,$Z517-4000))=0,"",N(INDEX(客户自备加工筐明细!$G$4:$G$1203,$Z517-4000))),IF($Z517&lt;=5800,IF(ISNUMBER(SEARCH("退",INDEX(次果筐明细!$F$4:$F$603,$Z517-5200)&amp;"")),"",IF(N(INDEX(次果筐明细!$G$4:$G$603,$Z517-5200))=0,"",N(INDEX(次果筐明细!$G$4:$G$603,$Z517-5200)))),"")))))</f>
        <v/>
      </c>
      <c r="P517" s="40" t="str">
        <f>IF($Z517="","",IF($Z517&lt;=2000,"",IF($Z517&lt;=4000,IF(N(INDEX(周转筐出入库明细!$I$4:$I$2004,$Z517-2000))=0,"",N(INDEX(周转筐出入库明细!$I$4:$I$2004,$Z517-2000))),IF($Z517&lt;=5200,"",IF($Z517&lt;=5800,IF(ISNUMBER(SEARCH("退",INDEX(次果筐明细!$F$4:$F$603,$Z517-5200)&amp;"")),IF(N(INDEX(次果筐明细!$G$4:$G$603,$Z517-5200))=0,"",N(INDEX(次果筐明细!$G$4:$G$603,$Z517-5200))),""),"")))))</f>
        <v/>
      </c>
      <c r="Q517" s="40" t="str">
        <f>IF($Z517="","",IF($Z517&lt;=2000,"",IF($Z517&lt;=4000,IF(N(INDEX(周转筐出入库明细!$H$4:$H$2004,$Z517-2000))=0,"",N(INDEX(周转筐出入库明细!$H$4:$H$2004,$Z517-2000))),IF($Z517&lt;=5200,IF(N(INDEX(客户自备加工筐明细!$F$4:$F$1203,$Z517-4000))=0,"",N(INDEX(客户自备加工筐明细!$F$4:$F$1203,$Z517-4000))),IF($Z517&lt;=5800,"","")))))</f>
        <v/>
      </c>
      <c r="R517" s="16" t="str">
        <f>IF($Z517="","",IF($Z517&lt;=2000,IF(INDEX(包装物料出入库明细!$O$4:$O$2003,$Z517-0)=0,"",INDEX(包装物料出入库明细!$O$4:$O$2003,$Z517-0)),IF($Z517&lt;=4000,IF(INDEX(周转筐出入库明细!$M$4:$M$2004,$Z517-2000)=0,"",INDEX(周转筐出入库明细!$M$4:$M$2004,$Z517-2000)),IF($Z517&lt;=5200,IF(INDEX(客户自备加工筐明细!$H$4:$H$1203,$Z517-4000)=0,"",INDEX(客户自备加工筐明细!$H$4:$H$1203,$Z517-4000)),IF($Z517&lt;=5800,IF(INDEX(次果筐明细!$H$4:$H$603,$Z517-5200)=0,"",INDEX(次果筐明细!$H$4:$H$603,$Z517-5200)),"")))))</f>
        <v/>
      </c>
      <c r="S517" s="22" t="str">
        <f t="shared" si="26"/>
        <v/>
      </c>
      <c r="Z517" s="10" t="str">
        <f>IFERROR(MATCH(ROW()-3,_自动清单!$CQ$4:$CQ$5803,0),"")</f>
        <v/>
      </c>
    </row>
    <row r="518" spans="1:26">
      <c r="A518" s="24" t="str">
        <f t="shared" si="24"/>
        <v/>
      </c>
      <c r="B518" s="38" t="str">
        <f>IF($Z518="","",IF($Z518&lt;=2000,IF(INDEX(包装物料出入库明细!$B$4:$B$2003,$Z518-0)=0,"",INDEX(包装物料出入库明细!$B$4:$B$2003,$Z518-0)),IF($Z518&lt;=4000,IF(INDEX(周转筐出入库明细!$B$4:$B$2004,$Z518-2000)=0,"",INDEX(周转筐出入库明细!$B$4:$B$2004,$Z518-2000)),IF($Z518&lt;=5200,IF(INDEX(客户自备加工筐明细!$B$4:$B$1203,$Z518-4000)=0,"",INDEX(客户自备加工筐明细!$B$4:$B$1203,$Z518-4000)),IF($Z518&lt;=5800,IF(INDEX(次果筐明细!$B$4:$B$603,$Z518-5200)=0,"",INDEX(次果筐明细!$B$4:$B$603,$Z518-5200)),"")))))</f>
        <v/>
      </c>
      <c r="C518" s="37" t="str">
        <f>IF($Z518="","",IF($Z518&lt;=2000,IF(INDEX(包装物料出入库明细!$D$4:$D$2003,$Z518-0)=0,"",INDEX(包装物料出入库明细!$D$4:$D$2003,$Z518-0)),IF($Z518&lt;=4000,IF(INDEX(周转筐出入库明细!$C$4:$C$2004,$Z518-2000)=0,"",INDEX(周转筐出入库明细!$C$4:$C$2004,$Z518-2000)),IF($Z518&lt;=5200,IF(INDEX(客户自备加工筐明细!$E$4:$E$1203,$Z518-4000)=0,"",INDEX(客户自备加工筐明细!$E$4:$E$1203,$Z518-4000)),IF($Z518&lt;=5800,IF(INDEX(次果筐明细!$C$4:$C$603,$Z518-5200)=0,"",INDEX(次果筐明细!$C$4:$C$603,$Z518-5200)),"")))))</f>
        <v/>
      </c>
      <c r="D518" s="37" t="str">
        <f>IF($Z518="","",IF($Z518&lt;=2000,"包装物料－"&amp;INDEX(包装物料出入库明细!$H$4:$H$2003,$Z518-0),IF($Z518&lt;=4000,"周转筐－"&amp;INDEX(周转筐出入库明细!$F$4:$F$2004,$Z518-2000),IF($Z518&lt;=5200,"客户自备筐－"&amp;INDEX(客户自备加工筐明细!$J$4:$J$1203,$Z518-4000),IF($Z518&lt;=5800,"次果筐/托盘－"&amp;INDEX(次果筐明细!$F$4:$F$603,$Z518-5200),"")))))</f>
        <v/>
      </c>
      <c r="E518" s="24" t="str">
        <f>IF($Z518="","",IF($Z518&lt;=2000,IF(INDEX(包装物料出入库明细!$C$4:$C$2003,$Z518-0)=0,"",INDEX(包装物料出入库明细!$C$4:$C$2003,$Z518-0)),IF($Z518&lt;=4000,IF(INDEX(周转筐出入库明细!$E$4:$E$2004,$Z518-2000)=0,"",INDEX(周转筐出入库明细!$E$4:$E$2004,$Z518-2000)),IF($Z518&lt;=5200,IF(INDEX(客户自备加工筐明细!$D$4:$D$1203,$Z518-4000)=0,"",INDEX(客户自备加工筐明细!$D$4:$D$1203,$Z518-4000)),IF($Z518&lt;=5800,IF(INDEX(次果筐明细!$E$4:$E$603,$Z518-5200)=0,"",INDEX(次果筐明细!$E$4:$E$603,$Z518-5200)),"")))))</f>
        <v/>
      </c>
      <c r="F518" s="24" t="str">
        <f>IF($Z518="","",IF($Z518&lt;=2000,IF(INDEX(包装物料出入库明细!$E$4:$E$2003,$Z518-0)=0,"",INDEX(包装物料出入库明细!$E$4:$E$2003,$Z518-0)),IF($Z518&lt;=4000,IF(INDEX(周转筐出入库明细!$D$4:$D$2004,$Z518-2000)=0,"",INDEX(周转筐出入库明细!$D$4:$D$2004,$Z518-2000)),IF($Z518&lt;=5200,IF(INDEX(客户自备加工筐明细!$C$4:$C$1203,$Z518-4000)=0,"",INDEX(客户自备加工筐明细!$C$4:$C$1203,$Z518-4000)),IF($Z518&lt;=5800,IF(INDEX(次果筐明细!$D$4:$D$603,$Z518-5200)=0,"",INDEX(次果筐明细!$D$4:$D$603,$Z518-5200)),"")))))</f>
        <v/>
      </c>
      <c r="G518" s="24" t="str">
        <f>IF($Z518="","",IF($Z518&lt;=2000,IF(INDEX(包装物料出入库明细!$F$4:$F$2003,$Z518-0)=0,"",INDEX(包装物料出入库明细!$F$4:$F$2003,$Z518-0)),IF($Z518&lt;=4000,"",IF($Z518&lt;=5200,"",IF($Z518&lt;=5800,"","")))))</f>
        <v/>
      </c>
      <c r="H518" s="39" t="str">
        <f>IF($Z518="","",IF($Z518&lt;=2000,IF(INDEX(包装物料出入库明细!$L$4:$L$2003,$Z518-0)=0,"",INDEX(包装物料出入库明细!$L$4:$L$2003,$Z518-0)),IF($Z518&lt;=4000,N(INDEX(周转筐出入库明细!$H$4:$H$2004,$Z518-2000))+N(INDEX(周转筐出入库明细!$I$4:$I$2004,$Z518-2000))+N(INDEX(周转筐出入库明细!$J$4:$J$2004,$Z518-2000))+N(INDEX(周转筐出入库明细!$K$4:$K$2004,$Z518-2000)),IF($Z518&lt;=5200,N(INDEX(客户自备加工筐明细!$F$4:$F$1203,$Z518-4000))+N(INDEX(客户自备加工筐明细!$G$4:$G$1203,$Z518-4000)),IF($Z518&lt;=5800,IF(INDEX(次果筐明细!$G$4:$G$603,$Z518-5200)=0,"",INDEX(次果筐明细!$G$4:$G$603,$Z518-5200)),"")))))</f>
        <v/>
      </c>
      <c r="I518" s="24" t="str">
        <f>IF($Z518="","",IF($Z518&lt;=2000,IF(INDEX(包装物料出入库明细!$G$4:$G$2003,$Z518-0)=0,"",INDEX(包装物料出入库明细!$G$4:$G$2003,$Z518-0)),IF($Z518&lt;=4000,"个",IF($Z518&lt;=5200,"个",IF($Z518&lt;=5800,"个","")))))</f>
        <v/>
      </c>
      <c r="J518" s="30" t="str">
        <f t="shared" si="25"/>
        <v/>
      </c>
      <c r="K518" s="30" t="str">
        <f>IF($Z518="","",IF($Z518&lt;=2000,IF(INDEX(包装物料出入库明细!$N$4:$N$2003,$Z518-0)=0,"",INDEX(包装物料出入库明细!$N$4:$N$2003,$Z518-0)),IF($Z518&lt;=4000,IF(INDEX(周转筐出入库明细!$P$4:$P$2004,$Z518-2000)=0,"",INDEX(周转筐出入库明细!$P$4:$P$2004,$Z518-2000)),IF($Z518&lt;=5200,"",IF($Z518&lt;=5800,N(INDEX(次果筐明细!$L$4:$L$603,$Z518-5200))+N(INDEX(次果筐明细!$J$4:$J$603,$Z518-5200)),"")))))</f>
        <v/>
      </c>
      <c r="L518" s="24" t="str">
        <f>IF($Z518="","",IF($Z518&lt;=2000,IF(INDEX(包装物料出入库明细!$P$4:$P$2003,$Z518-0)=0,"",INDEX(包装物料出入库明细!$P$4:$P$2003,$Z518-0)),IF($Z518&lt;=4000,IF(INDEX(周转筐出入库明细!$Q$4:$Q$2004,$Z518-2000)=0,"",INDEX(周转筐出入库明细!$Q$4:$Q$2004,$Z518-2000)),IF($Z518&lt;=5200,"",IF($Z518&lt;=5800,IF(INDEX(次果筐明细!$M$4:$M$603,$Z518-5200)=0,"",INDEX(次果筐明细!$M$4:$M$603,$Z518-5200)),"")))))</f>
        <v/>
      </c>
      <c r="M518" s="37" t="str">
        <f>IF($Z518="","",IF($Z518&lt;=2000,IF(INDEX(包装物料出入库明细!$R$4:$R$2003,$Z518-0)=0,"",INDEX(包装物料出入库明细!$R$4:$R$2003,$Z518-0)),IF($Z518&lt;=4000,IF(INDEX(周转筐出入库明细!$W$4:$W$2004,$Z518-2000)=0,"",INDEX(周转筐出入库明细!$W$4:$W$2004,$Z518-2000)),IF($Z518&lt;=5200,IF(INDEX(客户自备加工筐明细!$L$4:$L$1203,$Z518-4000)=0,"",INDEX(客户自备加工筐明细!$L$4:$L$1203,$Z518-4000)),IF($Z518&lt;=5800,IF(INDEX(次果筐明细!$P$4:$P$603,$Z518-5200)=0,"",INDEX(次果筐明细!$P$4:$P$603,$Z518-5200)),"")))))</f>
        <v/>
      </c>
      <c r="N518" s="16" t="str">
        <f>IF($Z518="","",IF($Z518&lt;=2000,"",IF($Z518&lt;=4000,IF(INDEX(周转筐出入库明细!$D$4:$D$2004,$Z518-2000)=0,"",INDEX(周转筐出入库明细!$D$4:$D$2004,$Z518-2000)),IF($Z518&lt;=5200,IF(INDEX(客户自备加工筐明细!$C$4:$C$1203,$Z518-4000)=0,"",INDEX(客户自备加工筐明细!$C$4:$C$1203,$Z518-4000)),IF($Z518&lt;=5800,IF(INDEX(次果筐明细!$D$4:$D$603,$Z518-5200)=0,"",INDEX(次果筐明细!$D$4:$D$603,$Z518-5200)),"")))))</f>
        <v/>
      </c>
      <c r="O518" s="40" t="str">
        <f>IF($Z518="","",IF($Z518&lt;=2000,"",IF($Z518&lt;=4000,IF(N(INDEX(周转筐出入库明细!$J$4:$J$2004,$Z518-2000))+N(INDEX(周转筐出入库明细!$K$4:$K$2004,$Z518-2000))=0,"",N(INDEX(周转筐出入库明细!$J$4:$J$2004,$Z518-2000))+N(INDEX(周转筐出入库明细!$K$4:$K$2004,$Z518-2000))),IF($Z518&lt;=5200,IF(N(INDEX(客户自备加工筐明细!$G$4:$G$1203,$Z518-4000))=0,"",N(INDEX(客户自备加工筐明细!$G$4:$G$1203,$Z518-4000))),IF($Z518&lt;=5800,IF(ISNUMBER(SEARCH("退",INDEX(次果筐明细!$F$4:$F$603,$Z518-5200)&amp;"")),"",IF(N(INDEX(次果筐明细!$G$4:$G$603,$Z518-5200))=0,"",N(INDEX(次果筐明细!$G$4:$G$603,$Z518-5200)))),"")))))</f>
        <v/>
      </c>
      <c r="P518" s="40" t="str">
        <f>IF($Z518="","",IF($Z518&lt;=2000,"",IF($Z518&lt;=4000,IF(N(INDEX(周转筐出入库明细!$I$4:$I$2004,$Z518-2000))=0,"",N(INDEX(周转筐出入库明细!$I$4:$I$2004,$Z518-2000))),IF($Z518&lt;=5200,"",IF($Z518&lt;=5800,IF(ISNUMBER(SEARCH("退",INDEX(次果筐明细!$F$4:$F$603,$Z518-5200)&amp;"")),IF(N(INDEX(次果筐明细!$G$4:$G$603,$Z518-5200))=0,"",N(INDEX(次果筐明细!$G$4:$G$603,$Z518-5200))),""),"")))))</f>
        <v/>
      </c>
      <c r="Q518" s="40" t="str">
        <f>IF($Z518="","",IF($Z518&lt;=2000,"",IF($Z518&lt;=4000,IF(N(INDEX(周转筐出入库明细!$H$4:$H$2004,$Z518-2000))=0,"",N(INDEX(周转筐出入库明细!$H$4:$H$2004,$Z518-2000))),IF($Z518&lt;=5200,IF(N(INDEX(客户自备加工筐明细!$F$4:$F$1203,$Z518-4000))=0,"",N(INDEX(客户自备加工筐明细!$F$4:$F$1203,$Z518-4000))),IF($Z518&lt;=5800,"","")))))</f>
        <v/>
      </c>
      <c r="R518" s="16" t="str">
        <f>IF($Z518="","",IF($Z518&lt;=2000,IF(INDEX(包装物料出入库明细!$O$4:$O$2003,$Z518-0)=0,"",INDEX(包装物料出入库明细!$O$4:$O$2003,$Z518-0)),IF($Z518&lt;=4000,IF(INDEX(周转筐出入库明细!$M$4:$M$2004,$Z518-2000)=0,"",INDEX(周转筐出入库明细!$M$4:$M$2004,$Z518-2000)),IF($Z518&lt;=5200,IF(INDEX(客户自备加工筐明细!$H$4:$H$1203,$Z518-4000)=0,"",INDEX(客户自备加工筐明细!$H$4:$H$1203,$Z518-4000)),IF($Z518&lt;=5800,IF(INDEX(次果筐明细!$H$4:$H$603,$Z518-5200)=0,"",INDEX(次果筐明细!$H$4:$H$603,$Z518-5200)),"")))))</f>
        <v/>
      </c>
      <c r="S518" s="22" t="str">
        <f t="shared" si="26"/>
        <v/>
      </c>
      <c r="Z518" s="10" t="str">
        <f>IFERROR(MATCH(ROW()-3,_自动清单!$CQ$4:$CQ$5803,0),"")</f>
        <v/>
      </c>
    </row>
    <row r="519" spans="1:26">
      <c r="A519" s="24" t="str">
        <f t="shared" si="24"/>
        <v/>
      </c>
      <c r="B519" s="38" t="str">
        <f>IF($Z519="","",IF($Z519&lt;=2000,IF(INDEX(包装物料出入库明细!$B$4:$B$2003,$Z519-0)=0,"",INDEX(包装物料出入库明细!$B$4:$B$2003,$Z519-0)),IF($Z519&lt;=4000,IF(INDEX(周转筐出入库明细!$B$4:$B$2004,$Z519-2000)=0,"",INDEX(周转筐出入库明细!$B$4:$B$2004,$Z519-2000)),IF($Z519&lt;=5200,IF(INDEX(客户自备加工筐明细!$B$4:$B$1203,$Z519-4000)=0,"",INDEX(客户自备加工筐明细!$B$4:$B$1203,$Z519-4000)),IF($Z519&lt;=5800,IF(INDEX(次果筐明细!$B$4:$B$603,$Z519-5200)=0,"",INDEX(次果筐明细!$B$4:$B$603,$Z519-5200)),"")))))</f>
        <v/>
      </c>
      <c r="C519" s="37" t="str">
        <f>IF($Z519="","",IF($Z519&lt;=2000,IF(INDEX(包装物料出入库明细!$D$4:$D$2003,$Z519-0)=0,"",INDEX(包装物料出入库明细!$D$4:$D$2003,$Z519-0)),IF($Z519&lt;=4000,IF(INDEX(周转筐出入库明细!$C$4:$C$2004,$Z519-2000)=0,"",INDEX(周转筐出入库明细!$C$4:$C$2004,$Z519-2000)),IF($Z519&lt;=5200,IF(INDEX(客户自备加工筐明细!$E$4:$E$1203,$Z519-4000)=0,"",INDEX(客户自备加工筐明细!$E$4:$E$1203,$Z519-4000)),IF($Z519&lt;=5800,IF(INDEX(次果筐明细!$C$4:$C$603,$Z519-5200)=0,"",INDEX(次果筐明细!$C$4:$C$603,$Z519-5200)),"")))))</f>
        <v/>
      </c>
      <c r="D519" s="37" t="str">
        <f>IF($Z519="","",IF($Z519&lt;=2000,"包装物料－"&amp;INDEX(包装物料出入库明细!$H$4:$H$2003,$Z519-0),IF($Z519&lt;=4000,"周转筐－"&amp;INDEX(周转筐出入库明细!$F$4:$F$2004,$Z519-2000),IF($Z519&lt;=5200,"客户自备筐－"&amp;INDEX(客户自备加工筐明细!$J$4:$J$1203,$Z519-4000),IF($Z519&lt;=5800,"次果筐/托盘－"&amp;INDEX(次果筐明细!$F$4:$F$603,$Z519-5200),"")))))</f>
        <v/>
      </c>
      <c r="E519" s="24" t="str">
        <f>IF($Z519="","",IF($Z519&lt;=2000,IF(INDEX(包装物料出入库明细!$C$4:$C$2003,$Z519-0)=0,"",INDEX(包装物料出入库明细!$C$4:$C$2003,$Z519-0)),IF($Z519&lt;=4000,IF(INDEX(周转筐出入库明细!$E$4:$E$2004,$Z519-2000)=0,"",INDEX(周转筐出入库明细!$E$4:$E$2004,$Z519-2000)),IF($Z519&lt;=5200,IF(INDEX(客户自备加工筐明细!$D$4:$D$1203,$Z519-4000)=0,"",INDEX(客户自备加工筐明细!$D$4:$D$1203,$Z519-4000)),IF($Z519&lt;=5800,IF(INDEX(次果筐明细!$E$4:$E$603,$Z519-5200)=0,"",INDEX(次果筐明细!$E$4:$E$603,$Z519-5200)),"")))))</f>
        <v/>
      </c>
      <c r="F519" s="24" t="str">
        <f>IF($Z519="","",IF($Z519&lt;=2000,IF(INDEX(包装物料出入库明细!$E$4:$E$2003,$Z519-0)=0,"",INDEX(包装物料出入库明细!$E$4:$E$2003,$Z519-0)),IF($Z519&lt;=4000,IF(INDEX(周转筐出入库明细!$D$4:$D$2004,$Z519-2000)=0,"",INDEX(周转筐出入库明细!$D$4:$D$2004,$Z519-2000)),IF($Z519&lt;=5200,IF(INDEX(客户自备加工筐明细!$C$4:$C$1203,$Z519-4000)=0,"",INDEX(客户自备加工筐明细!$C$4:$C$1203,$Z519-4000)),IF($Z519&lt;=5800,IF(INDEX(次果筐明细!$D$4:$D$603,$Z519-5200)=0,"",INDEX(次果筐明细!$D$4:$D$603,$Z519-5200)),"")))))</f>
        <v/>
      </c>
      <c r="G519" s="24" t="str">
        <f>IF($Z519="","",IF($Z519&lt;=2000,IF(INDEX(包装物料出入库明细!$F$4:$F$2003,$Z519-0)=0,"",INDEX(包装物料出入库明细!$F$4:$F$2003,$Z519-0)),IF($Z519&lt;=4000,"",IF($Z519&lt;=5200,"",IF($Z519&lt;=5800,"","")))))</f>
        <v/>
      </c>
      <c r="H519" s="39" t="str">
        <f>IF($Z519="","",IF($Z519&lt;=2000,IF(INDEX(包装物料出入库明细!$L$4:$L$2003,$Z519-0)=0,"",INDEX(包装物料出入库明细!$L$4:$L$2003,$Z519-0)),IF($Z519&lt;=4000,N(INDEX(周转筐出入库明细!$H$4:$H$2004,$Z519-2000))+N(INDEX(周转筐出入库明细!$I$4:$I$2004,$Z519-2000))+N(INDEX(周转筐出入库明细!$J$4:$J$2004,$Z519-2000))+N(INDEX(周转筐出入库明细!$K$4:$K$2004,$Z519-2000)),IF($Z519&lt;=5200,N(INDEX(客户自备加工筐明细!$F$4:$F$1203,$Z519-4000))+N(INDEX(客户自备加工筐明细!$G$4:$G$1203,$Z519-4000)),IF($Z519&lt;=5800,IF(INDEX(次果筐明细!$G$4:$G$603,$Z519-5200)=0,"",INDEX(次果筐明细!$G$4:$G$603,$Z519-5200)),"")))))</f>
        <v/>
      </c>
      <c r="I519" s="24" t="str">
        <f>IF($Z519="","",IF($Z519&lt;=2000,IF(INDEX(包装物料出入库明细!$G$4:$G$2003,$Z519-0)=0,"",INDEX(包装物料出入库明细!$G$4:$G$2003,$Z519-0)),IF($Z519&lt;=4000,"个",IF($Z519&lt;=5200,"个",IF($Z519&lt;=5800,"个","")))))</f>
        <v/>
      </c>
      <c r="J519" s="30" t="str">
        <f t="shared" si="25"/>
        <v/>
      </c>
      <c r="K519" s="30" t="str">
        <f>IF($Z519="","",IF($Z519&lt;=2000,IF(INDEX(包装物料出入库明细!$N$4:$N$2003,$Z519-0)=0,"",INDEX(包装物料出入库明细!$N$4:$N$2003,$Z519-0)),IF($Z519&lt;=4000,IF(INDEX(周转筐出入库明细!$P$4:$P$2004,$Z519-2000)=0,"",INDEX(周转筐出入库明细!$P$4:$P$2004,$Z519-2000)),IF($Z519&lt;=5200,"",IF($Z519&lt;=5800,N(INDEX(次果筐明细!$L$4:$L$603,$Z519-5200))+N(INDEX(次果筐明细!$J$4:$J$603,$Z519-5200)),"")))))</f>
        <v/>
      </c>
      <c r="L519" s="24" t="str">
        <f>IF($Z519="","",IF($Z519&lt;=2000,IF(INDEX(包装物料出入库明细!$P$4:$P$2003,$Z519-0)=0,"",INDEX(包装物料出入库明细!$P$4:$P$2003,$Z519-0)),IF($Z519&lt;=4000,IF(INDEX(周转筐出入库明细!$Q$4:$Q$2004,$Z519-2000)=0,"",INDEX(周转筐出入库明细!$Q$4:$Q$2004,$Z519-2000)),IF($Z519&lt;=5200,"",IF($Z519&lt;=5800,IF(INDEX(次果筐明细!$M$4:$M$603,$Z519-5200)=0,"",INDEX(次果筐明细!$M$4:$M$603,$Z519-5200)),"")))))</f>
        <v/>
      </c>
      <c r="M519" s="37" t="str">
        <f>IF($Z519="","",IF($Z519&lt;=2000,IF(INDEX(包装物料出入库明细!$R$4:$R$2003,$Z519-0)=0,"",INDEX(包装物料出入库明细!$R$4:$R$2003,$Z519-0)),IF($Z519&lt;=4000,IF(INDEX(周转筐出入库明细!$W$4:$W$2004,$Z519-2000)=0,"",INDEX(周转筐出入库明细!$W$4:$W$2004,$Z519-2000)),IF($Z519&lt;=5200,IF(INDEX(客户自备加工筐明细!$L$4:$L$1203,$Z519-4000)=0,"",INDEX(客户自备加工筐明细!$L$4:$L$1203,$Z519-4000)),IF($Z519&lt;=5800,IF(INDEX(次果筐明细!$P$4:$P$603,$Z519-5200)=0,"",INDEX(次果筐明细!$P$4:$P$603,$Z519-5200)),"")))))</f>
        <v/>
      </c>
      <c r="N519" s="16" t="str">
        <f>IF($Z519="","",IF($Z519&lt;=2000,"",IF($Z519&lt;=4000,IF(INDEX(周转筐出入库明细!$D$4:$D$2004,$Z519-2000)=0,"",INDEX(周转筐出入库明细!$D$4:$D$2004,$Z519-2000)),IF($Z519&lt;=5200,IF(INDEX(客户自备加工筐明细!$C$4:$C$1203,$Z519-4000)=0,"",INDEX(客户自备加工筐明细!$C$4:$C$1203,$Z519-4000)),IF($Z519&lt;=5800,IF(INDEX(次果筐明细!$D$4:$D$603,$Z519-5200)=0,"",INDEX(次果筐明细!$D$4:$D$603,$Z519-5200)),"")))))</f>
        <v/>
      </c>
      <c r="O519" s="40" t="str">
        <f>IF($Z519="","",IF($Z519&lt;=2000,"",IF($Z519&lt;=4000,IF(N(INDEX(周转筐出入库明细!$J$4:$J$2004,$Z519-2000))+N(INDEX(周转筐出入库明细!$K$4:$K$2004,$Z519-2000))=0,"",N(INDEX(周转筐出入库明细!$J$4:$J$2004,$Z519-2000))+N(INDEX(周转筐出入库明细!$K$4:$K$2004,$Z519-2000))),IF($Z519&lt;=5200,IF(N(INDEX(客户自备加工筐明细!$G$4:$G$1203,$Z519-4000))=0,"",N(INDEX(客户自备加工筐明细!$G$4:$G$1203,$Z519-4000))),IF($Z519&lt;=5800,IF(ISNUMBER(SEARCH("退",INDEX(次果筐明细!$F$4:$F$603,$Z519-5200)&amp;"")),"",IF(N(INDEX(次果筐明细!$G$4:$G$603,$Z519-5200))=0,"",N(INDEX(次果筐明细!$G$4:$G$603,$Z519-5200)))),"")))))</f>
        <v/>
      </c>
      <c r="P519" s="40" t="str">
        <f>IF($Z519="","",IF($Z519&lt;=2000,"",IF($Z519&lt;=4000,IF(N(INDEX(周转筐出入库明细!$I$4:$I$2004,$Z519-2000))=0,"",N(INDEX(周转筐出入库明细!$I$4:$I$2004,$Z519-2000))),IF($Z519&lt;=5200,"",IF($Z519&lt;=5800,IF(ISNUMBER(SEARCH("退",INDEX(次果筐明细!$F$4:$F$603,$Z519-5200)&amp;"")),IF(N(INDEX(次果筐明细!$G$4:$G$603,$Z519-5200))=0,"",N(INDEX(次果筐明细!$G$4:$G$603,$Z519-5200))),""),"")))))</f>
        <v/>
      </c>
      <c r="Q519" s="40" t="str">
        <f>IF($Z519="","",IF($Z519&lt;=2000,"",IF($Z519&lt;=4000,IF(N(INDEX(周转筐出入库明细!$H$4:$H$2004,$Z519-2000))=0,"",N(INDEX(周转筐出入库明细!$H$4:$H$2004,$Z519-2000))),IF($Z519&lt;=5200,IF(N(INDEX(客户自备加工筐明细!$F$4:$F$1203,$Z519-4000))=0,"",N(INDEX(客户自备加工筐明细!$F$4:$F$1203,$Z519-4000))),IF($Z519&lt;=5800,"","")))))</f>
        <v/>
      </c>
      <c r="R519" s="16" t="str">
        <f>IF($Z519="","",IF($Z519&lt;=2000,IF(INDEX(包装物料出入库明细!$O$4:$O$2003,$Z519-0)=0,"",INDEX(包装物料出入库明细!$O$4:$O$2003,$Z519-0)),IF($Z519&lt;=4000,IF(INDEX(周转筐出入库明细!$M$4:$M$2004,$Z519-2000)=0,"",INDEX(周转筐出入库明细!$M$4:$M$2004,$Z519-2000)),IF($Z519&lt;=5200,IF(INDEX(客户自备加工筐明细!$H$4:$H$1203,$Z519-4000)=0,"",INDEX(客户自备加工筐明细!$H$4:$H$1203,$Z519-4000)),IF($Z519&lt;=5800,IF(INDEX(次果筐明细!$H$4:$H$603,$Z519-5200)=0,"",INDEX(次果筐明细!$H$4:$H$603,$Z519-5200)),"")))))</f>
        <v/>
      </c>
      <c r="S519" s="22" t="str">
        <f t="shared" si="26"/>
        <v/>
      </c>
      <c r="Z519" s="10" t="str">
        <f>IFERROR(MATCH(ROW()-3,_自动清单!$CQ$4:$CQ$5803,0),"")</f>
        <v/>
      </c>
    </row>
    <row r="520" spans="1:26">
      <c r="A520" s="24" t="str">
        <f t="shared" si="24"/>
        <v/>
      </c>
      <c r="B520" s="38" t="str">
        <f>IF($Z520="","",IF($Z520&lt;=2000,IF(INDEX(包装物料出入库明细!$B$4:$B$2003,$Z520-0)=0,"",INDEX(包装物料出入库明细!$B$4:$B$2003,$Z520-0)),IF($Z520&lt;=4000,IF(INDEX(周转筐出入库明细!$B$4:$B$2004,$Z520-2000)=0,"",INDEX(周转筐出入库明细!$B$4:$B$2004,$Z520-2000)),IF($Z520&lt;=5200,IF(INDEX(客户自备加工筐明细!$B$4:$B$1203,$Z520-4000)=0,"",INDEX(客户自备加工筐明细!$B$4:$B$1203,$Z520-4000)),IF($Z520&lt;=5800,IF(INDEX(次果筐明细!$B$4:$B$603,$Z520-5200)=0,"",INDEX(次果筐明细!$B$4:$B$603,$Z520-5200)),"")))))</f>
        <v/>
      </c>
      <c r="C520" s="37" t="str">
        <f>IF($Z520="","",IF($Z520&lt;=2000,IF(INDEX(包装物料出入库明细!$D$4:$D$2003,$Z520-0)=0,"",INDEX(包装物料出入库明细!$D$4:$D$2003,$Z520-0)),IF($Z520&lt;=4000,IF(INDEX(周转筐出入库明细!$C$4:$C$2004,$Z520-2000)=0,"",INDEX(周转筐出入库明细!$C$4:$C$2004,$Z520-2000)),IF($Z520&lt;=5200,IF(INDEX(客户自备加工筐明细!$E$4:$E$1203,$Z520-4000)=0,"",INDEX(客户自备加工筐明细!$E$4:$E$1203,$Z520-4000)),IF($Z520&lt;=5800,IF(INDEX(次果筐明细!$C$4:$C$603,$Z520-5200)=0,"",INDEX(次果筐明细!$C$4:$C$603,$Z520-5200)),"")))))</f>
        <v/>
      </c>
      <c r="D520" s="37" t="str">
        <f>IF($Z520="","",IF($Z520&lt;=2000,"包装物料－"&amp;INDEX(包装物料出入库明细!$H$4:$H$2003,$Z520-0),IF($Z520&lt;=4000,"周转筐－"&amp;INDEX(周转筐出入库明细!$F$4:$F$2004,$Z520-2000),IF($Z520&lt;=5200,"客户自备筐－"&amp;INDEX(客户自备加工筐明细!$J$4:$J$1203,$Z520-4000),IF($Z520&lt;=5800,"次果筐/托盘－"&amp;INDEX(次果筐明细!$F$4:$F$603,$Z520-5200),"")))))</f>
        <v/>
      </c>
      <c r="E520" s="24" t="str">
        <f>IF($Z520="","",IF($Z520&lt;=2000,IF(INDEX(包装物料出入库明细!$C$4:$C$2003,$Z520-0)=0,"",INDEX(包装物料出入库明细!$C$4:$C$2003,$Z520-0)),IF($Z520&lt;=4000,IF(INDEX(周转筐出入库明细!$E$4:$E$2004,$Z520-2000)=0,"",INDEX(周转筐出入库明细!$E$4:$E$2004,$Z520-2000)),IF($Z520&lt;=5200,IF(INDEX(客户自备加工筐明细!$D$4:$D$1203,$Z520-4000)=0,"",INDEX(客户自备加工筐明细!$D$4:$D$1203,$Z520-4000)),IF($Z520&lt;=5800,IF(INDEX(次果筐明细!$E$4:$E$603,$Z520-5200)=0,"",INDEX(次果筐明细!$E$4:$E$603,$Z520-5200)),"")))))</f>
        <v/>
      </c>
      <c r="F520" s="24" t="str">
        <f>IF($Z520="","",IF($Z520&lt;=2000,IF(INDEX(包装物料出入库明细!$E$4:$E$2003,$Z520-0)=0,"",INDEX(包装物料出入库明细!$E$4:$E$2003,$Z520-0)),IF($Z520&lt;=4000,IF(INDEX(周转筐出入库明细!$D$4:$D$2004,$Z520-2000)=0,"",INDEX(周转筐出入库明细!$D$4:$D$2004,$Z520-2000)),IF($Z520&lt;=5200,IF(INDEX(客户自备加工筐明细!$C$4:$C$1203,$Z520-4000)=0,"",INDEX(客户自备加工筐明细!$C$4:$C$1203,$Z520-4000)),IF($Z520&lt;=5800,IF(INDEX(次果筐明细!$D$4:$D$603,$Z520-5200)=0,"",INDEX(次果筐明细!$D$4:$D$603,$Z520-5200)),"")))))</f>
        <v/>
      </c>
      <c r="G520" s="24" t="str">
        <f>IF($Z520="","",IF($Z520&lt;=2000,IF(INDEX(包装物料出入库明细!$F$4:$F$2003,$Z520-0)=0,"",INDEX(包装物料出入库明细!$F$4:$F$2003,$Z520-0)),IF($Z520&lt;=4000,"",IF($Z520&lt;=5200,"",IF($Z520&lt;=5800,"","")))))</f>
        <v/>
      </c>
      <c r="H520" s="39" t="str">
        <f>IF($Z520="","",IF($Z520&lt;=2000,IF(INDEX(包装物料出入库明细!$L$4:$L$2003,$Z520-0)=0,"",INDEX(包装物料出入库明细!$L$4:$L$2003,$Z520-0)),IF($Z520&lt;=4000,N(INDEX(周转筐出入库明细!$H$4:$H$2004,$Z520-2000))+N(INDEX(周转筐出入库明细!$I$4:$I$2004,$Z520-2000))+N(INDEX(周转筐出入库明细!$J$4:$J$2004,$Z520-2000))+N(INDEX(周转筐出入库明细!$K$4:$K$2004,$Z520-2000)),IF($Z520&lt;=5200,N(INDEX(客户自备加工筐明细!$F$4:$F$1203,$Z520-4000))+N(INDEX(客户自备加工筐明细!$G$4:$G$1203,$Z520-4000)),IF($Z520&lt;=5800,IF(INDEX(次果筐明细!$G$4:$G$603,$Z520-5200)=0,"",INDEX(次果筐明细!$G$4:$G$603,$Z520-5200)),"")))))</f>
        <v/>
      </c>
      <c r="I520" s="24" t="str">
        <f>IF($Z520="","",IF($Z520&lt;=2000,IF(INDEX(包装物料出入库明细!$G$4:$G$2003,$Z520-0)=0,"",INDEX(包装物料出入库明细!$G$4:$G$2003,$Z520-0)),IF($Z520&lt;=4000,"个",IF($Z520&lt;=5200,"个",IF($Z520&lt;=5800,"个","")))))</f>
        <v/>
      </c>
      <c r="J520" s="30" t="str">
        <f t="shared" si="25"/>
        <v/>
      </c>
      <c r="K520" s="30" t="str">
        <f>IF($Z520="","",IF($Z520&lt;=2000,IF(INDEX(包装物料出入库明细!$N$4:$N$2003,$Z520-0)=0,"",INDEX(包装物料出入库明细!$N$4:$N$2003,$Z520-0)),IF($Z520&lt;=4000,IF(INDEX(周转筐出入库明细!$P$4:$P$2004,$Z520-2000)=0,"",INDEX(周转筐出入库明细!$P$4:$P$2004,$Z520-2000)),IF($Z520&lt;=5200,"",IF($Z520&lt;=5800,N(INDEX(次果筐明细!$L$4:$L$603,$Z520-5200))+N(INDEX(次果筐明细!$J$4:$J$603,$Z520-5200)),"")))))</f>
        <v/>
      </c>
      <c r="L520" s="24" t="str">
        <f>IF($Z520="","",IF($Z520&lt;=2000,IF(INDEX(包装物料出入库明细!$P$4:$P$2003,$Z520-0)=0,"",INDEX(包装物料出入库明细!$P$4:$P$2003,$Z520-0)),IF($Z520&lt;=4000,IF(INDEX(周转筐出入库明细!$Q$4:$Q$2004,$Z520-2000)=0,"",INDEX(周转筐出入库明细!$Q$4:$Q$2004,$Z520-2000)),IF($Z520&lt;=5200,"",IF($Z520&lt;=5800,IF(INDEX(次果筐明细!$M$4:$M$603,$Z520-5200)=0,"",INDEX(次果筐明细!$M$4:$M$603,$Z520-5200)),"")))))</f>
        <v/>
      </c>
      <c r="M520" s="37" t="str">
        <f>IF($Z520="","",IF($Z520&lt;=2000,IF(INDEX(包装物料出入库明细!$R$4:$R$2003,$Z520-0)=0,"",INDEX(包装物料出入库明细!$R$4:$R$2003,$Z520-0)),IF($Z520&lt;=4000,IF(INDEX(周转筐出入库明细!$W$4:$W$2004,$Z520-2000)=0,"",INDEX(周转筐出入库明细!$W$4:$W$2004,$Z520-2000)),IF($Z520&lt;=5200,IF(INDEX(客户自备加工筐明细!$L$4:$L$1203,$Z520-4000)=0,"",INDEX(客户自备加工筐明细!$L$4:$L$1203,$Z520-4000)),IF($Z520&lt;=5800,IF(INDEX(次果筐明细!$P$4:$P$603,$Z520-5200)=0,"",INDEX(次果筐明细!$P$4:$P$603,$Z520-5200)),"")))))</f>
        <v/>
      </c>
      <c r="N520" s="16" t="str">
        <f>IF($Z520="","",IF($Z520&lt;=2000,"",IF($Z520&lt;=4000,IF(INDEX(周转筐出入库明细!$D$4:$D$2004,$Z520-2000)=0,"",INDEX(周转筐出入库明细!$D$4:$D$2004,$Z520-2000)),IF($Z520&lt;=5200,IF(INDEX(客户自备加工筐明细!$C$4:$C$1203,$Z520-4000)=0,"",INDEX(客户自备加工筐明细!$C$4:$C$1203,$Z520-4000)),IF($Z520&lt;=5800,IF(INDEX(次果筐明细!$D$4:$D$603,$Z520-5200)=0,"",INDEX(次果筐明细!$D$4:$D$603,$Z520-5200)),"")))))</f>
        <v/>
      </c>
      <c r="O520" s="40" t="str">
        <f>IF($Z520="","",IF($Z520&lt;=2000,"",IF($Z520&lt;=4000,IF(N(INDEX(周转筐出入库明细!$J$4:$J$2004,$Z520-2000))+N(INDEX(周转筐出入库明细!$K$4:$K$2004,$Z520-2000))=0,"",N(INDEX(周转筐出入库明细!$J$4:$J$2004,$Z520-2000))+N(INDEX(周转筐出入库明细!$K$4:$K$2004,$Z520-2000))),IF($Z520&lt;=5200,IF(N(INDEX(客户自备加工筐明细!$G$4:$G$1203,$Z520-4000))=0,"",N(INDEX(客户自备加工筐明细!$G$4:$G$1203,$Z520-4000))),IF($Z520&lt;=5800,IF(ISNUMBER(SEARCH("退",INDEX(次果筐明细!$F$4:$F$603,$Z520-5200)&amp;"")),"",IF(N(INDEX(次果筐明细!$G$4:$G$603,$Z520-5200))=0,"",N(INDEX(次果筐明细!$G$4:$G$603,$Z520-5200)))),"")))))</f>
        <v/>
      </c>
      <c r="P520" s="40" t="str">
        <f>IF($Z520="","",IF($Z520&lt;=2000,"",IF($Z520&lt;=4000,IF(N(INDEX(周转筐出入库明细!$I$4:$I$2004,$Z520-2000))=0,"",N(INDEX(周转筐出入库明细!$I$4:$I$2004,$Z520-2000))),IF($Z520&lt;=5200,"",IF($Z520&lt;=5800,IF(ISNUMBER(SEARCH("退",INDEX(次果筐明细!$F$4:$F$603,$Z520-5200)&amp;"")),IF(N(INDEX(次果筐明细!$G$4:$G$603,$Z520-5200))=0,"",N(INDEX(次果筐明细!$G$4:$G$603,$Z520-5200))),""),"")))))</f>
        <v/>
      </c>
      <c r="Q520" s="40" t="str">
        <f>IF($Z520="","",IF($Z520&lt;=2000,"",IF($Z520&lt;=4000,IF(N(INDEX(周转筐出入库明细!$H$4:$H$2004,$Z520-2000))=0,"",N(INDEX(周转筐出入库明细!$H$4:$H$2004,$Z520-2000))),IF($Z520&lt;=5200,IF(N(INDEX(客户自备加工筐明细!$F$4:$F$1203,$Z520-4000))=0,"",N(INDEX(客户自备加工筐明细!$F$4:$F$1203,$Z520-4000))),IF($Z520&lt;=5800,"","")))))</f>
        <v/>
      </c>
      <c r="R520" s="16" t="str">
        <f>IF($Z520="","",IF($Z520&lt;=2000,IF(INDEX(包装物料出入库明细!$O$4:$O$2003,$Z520-0)=0,"",INDEX(包装物料出入库明细!$O$4:$O$2003,$Z520-0)),IF($Z520&lt;=4000,IF(INDEX(周转筐出入库明细!$M$4:$M$2004,$Z520-2000)=0,"",INDEX(周转筐出入库明细!$M$4:$M$2004,$Z520-2000)),IF($Z520&lt;=5200,IF(INDEX(客户自备加工筐明细!$H$4:$H$1203,$Z520-4000)=0,"",INDEX(客户自备加工筐明细!$H$4:$H$1203,$Z520-4000)),IF($Z520&lt;=5800,IF(INDEX(次果筐明细!$H$4:$H$603,$Z520-5200)=0,"",INDEX(次果筐明细!$H$4:$H$603,$Z520-5200)),"")))))</f>
        <v/>
      </c>
      <c r="S520" s="22" t="str">
        <f t="shared" si="26"/>
        <v/>
      </c>
      <c r="Z520" s="10" t="str">
        <f>IFERROR(MATCH(ROW()-3,_自动清单!$CQ$4:$CQ$5803,0),"")</f>
        <v/>
      </c>
    </row>
    <row r="521" spans="1:26">
      <c r="A521" s="24" t="str">
        <f t="shared" si="24"/>
        <v/>
      </c>
      <c r="B521" s="38" t="str">
        <f>IF($Z521="","",IF($Z521&lt;=2000,IF(INDEX(包装物料出入库明细!$B$4:$B$2003,$Z521-0)=0,"",INDEX(包装物料出入库明细!$B$4:$B$2003,$Z521-0)),IF($Z521&lt;=4000,IF(INDEX(周转筐出入库明细!$B$4:$B$2004,$Z521-2000)=0,"",INDEX(周转筐出入库明细!$B$4:$B$2004,$Z521-2000)),IF($Z521&lt;=5200,IF(INDEX(客户自备加工筐明细!$B$4:$B$1203,$Z521-4000)=0,"",INDEX(客户自备加工筐明细!$B$4:$B$1203,$Z521-4000)),IF($Z521&lt;=5800,IF(INDEX(次果筐明细!$B$4:$B$603,$Z521-5200)=0,"",INDEX(次果筐明细!$B$4:$B$603,$Z521-5200)),"")))))</f>
        <v/>
      </c>
      <c r="C521" s="37" t="str">
        <f>IF($Z521="","",IF($Z521&lt;=2000,IF(INDEX(包装物料出入库明细!$D$4:$D$2003,$Z521-0)=0,"",INDEX(包装物料出入库明细!$D$4:$D$2003,$Z521-0)),IF($Z521&lt;=4000,IF(INDEX(周转筐出入库明细!$C$4:$C$2004,$Z521-2000)=0,"",INDEX(周转筐出入库明细!$C$4:$C$2004,$Z521-2000)),IF($Z521&lt;=5200,IF(INDEX(客户自备加工筐明细!$E$4:$E$1203,$Z521-4000)=0,"",INDEX(客户自备加工筐明细!$E$4:$E$1203,$Z521-4000)),IF($Z521&lt;=5800,IF(INDEX(次果筐明细!$C$4:$C$603,$Z521-5200)=0,"",INDEX(次果筐明细!$C$4:$C$603,$Z521-5200)),"")))))</f>
        <v/>
      </c>
      <c r="D521" s="37" t="str">
        <f>IF($Z521="","",IF($Z521&lt;=2000,"包装物料－"&amp;INDEX(包装物料出入库明细!$H$4:$H$2003,$Z521-0),IF($Z521&lt;=4000,"周转筐－"&amp;INDEX(周转筐出入库明细!$F$4:$F$2004,$Z521-2000),IF($Z521&lt;=5200,"客户自备筐－"&amp;INDEX(客户自备加工筐明细!$J$4:$J$1203,$Z521-4000),IF($Z521&lt;=5800,"次果筐/托盘－"&amp;INDEX(次果筐明细!$F$4:$F$603,$Z521-5200),"")))))</f>
        <v/>
      </c>
      <c r="E521" s="24" t="str">
        <f>IF($Z521="","",IF($Z521&lt;=2000,IF(INDEX(包装物料出入库明细!$C$4:$C$2003,$Z521-0)=0,"",INDEX(包装物料出入库明细!$C$4:$C$2003,$Z521-0)),IF($Z521&lt;=4000,IF(INDEX(周转筐出入库明细!$E$4:$E$2004,$Z521-2000)=0,"",INDEX(周转筐出入库明细!$E$4:$E$2004,$Z521-2000)),IF($Z521&lt;=5200,IF(INDEX(客户自备加工筐明细!$D$4:$D$1203,$Z521-4000)=0,"",INDEX(客户自备加工筐明细!$D$4:$D$1203,$Z521-4000)),IF($Z521&lt;=5800,IF(INDEX(次果筐明细!$E$4:$E$603,$Z521-5200)=0,"",INDEX(次果筐明细!$E$4:$E$603,$Z521-5200)),"")))))</f>
        <v/>
      </c>
      <c r="F521" s="24" t="str">
        <f>IF($Z521="","",IF($Z521&lt;=2000,IF(INDEX(包装物料出入库明细!$E$4:$E$2003,$Z521-0)=0,"",INDEX(包装物料出入库明细!$E$4:$E$2003,$Z521-0)),IF($Z521&lt;=4000,IF(INDEX(周转筐出入库明细!$D$4:$D$2004,$Z521-2000)=0,"",INDEX(周转筐出入库明细!$D$4:$D$2004,$Z521-2000)),IF($Z521&lt;=5200,IF(INDEX(客户自备加工筐明细!$C$4:$C$1203,$Z521-4000)=0,"",INDEX(客户自备加工筐明细!$C$4:$C$1203,$Z521-4000)),IF($Z521&lt;=5800,IF(INDEX(次果筐明细!$D$4:$D$603,$Z521-5200)=0,"",INDEX(次果筐明细!$D$4:$D$603,$Z521-5200)),"")))))</f>
        <v/>
      </c>
      <c r="G521" s="24" t="str">
        <f>IF($Z521="","",IF($Z521&lt;=2000,IF(INDEX(包装物料出入库明细!$F$4:$F$2003,$Z521-0)=0,"",INDEX(包装物料出入库明细!$F$4:$F$2003,$Z521-0)),IF($Z521&lt;=4000,"",IF($Z521&lt;=5200,"",IF($Z521&lt;=5800,"","")))))</f>
        <v/>
      </c>
      <c r="H521" s="39" t="str">
        <f>IF($Z521="","",IF($Z521&lt;=2000,IF(INDEX(包装物料出入库明细!$L$4:$L$2003,$Z521-0)=0,"",INDEX(包装物料出入库明细!$L$4:$L$2003,$Z521-0)),IF($Z521&lt;=4000,N(INDEX(周转筐出入库明细!$H$4:$H$2004,$Z521-2000))+N(INDEX(周转筐出入库明细!$I$4:$I$2004,$Z521-2000))+N(INDEX(周转筐出入库明细!$J$4:$J$2004,$Z521-2000))+N(INDEX(周转筐出入库明细!$K$4:$K$2004,$Z521-2000)),IF($Z521&lt;=5200,N(INDEX(客户自备加工筐明细!$F$4:$F$1203,$Z521-4000))+N(INDEX(客户自备加工筐明细!$G$4:$G$1203,$Z521-4000)),IF($Z521&lt;=5800,IF(INDEX(次果筐明细!$G$4:$G$603,$Z521-5200)=0,"",INDEX(次果筐明细!$G$4:$G$603,$Z521-5200)),"")))))</f>
        <v/>
      </c>
      <c r="I521" s="24" t="str">
        <f>IF($Z521="","",IF($Z521&lt;=2000,IF(INDEX(包装物料出入库明细!$G$4:$G$2003,$Z521-0)=0,"",INDEX(包装物料出入库明细!$G$4:$G$2003,$Z521-0)),IF($Z521&lt;=4000,"个",IF($Z521&lt;=5200,"个",IF($Z521&lt;=5800,"个","")))))</f>
        <v/>
      </c>
      <c r="J521" s="30" t="str">
        <f t="shared" si="25"/>
        <v/>
      </c>
      <c r="K521" s="30" t="str">
        <f>IF($Z521="","",IF($Z521&lt;=2000,IF(INDEX(包装物料出入库明细!$N$4:$N$2003,$Z521-0)=0,"",INDEX(包装物料出入库明细!$N$4:$N$2003,$Z521-0)),IF($Z521&lt;=4000,IF(INDEX(周转筐出入库明细!$P$4:$P$2004,$Z521-2000)=0,"",INDEX(周转筐出入库明细!$P$4:$P$2004,$Z521-2000)),IF($Z521&lt;=5200,"",IF($Z521&lt;=5800,N(INDEX(次果筐明细!$L$4:$L$603,$Z521-5200))+N(INDEX(次果筐明细!$J$4:$J$603,$Z521-5200)),"")))))</f>
        <v/>
      </c>
      <c r="L521" s="24" t="str">
        <f>IF($Z521="","",IF($Z521&lt;=2000,IF(INDEX(包装物料出入库明细!$P$4:$P$2003,$Z521-0)=0,"",INDEX(包装物料出入库明细!$P$4:$P$2003,$Z521-0)),IF($Z521&lt;=4000,IF(INDEX(周转筐出入库明细!$Q$4:$Q$2004,$Z521-2000)=0,"",INDEX(周转筐出入库明细!$Q$4:$Q$2004,$Z521-2000)),IF($Z521&lt;=5200,"",IF($Z521&lt;=5800,IF(INDEX(次果筐明细!$M$4:$M$603,$Z521-5200)=0,"",INDEX(次果筐明细!$M$4:$M$603,$Z521-5200)),"")))))</f>
        <v/>
      </c>
      <c r="M521" s="37" t="str">
        <f>IF($Z521="","",IF($Z521&lt;=2000,IF(INDEX(包装物料出入库明细!$R$4:$R$2003,$Z521-0)=0,"",INDEX(包装物料出入库明细!$R$4:$R$2003,$Z521-0)),IF($Z521&lt;=4000,IF(INDEX(周转筐出入库明细!$W$4:$W$2004,$Z521-2000)=0,"",INDEX(周转筐出入库明细!$W$4:$W$2004,$Z521-2000)),IF($Z521&lt;=5200,IF(INDEX(客户自备加工筐明细!$L$4:$L$1203,$Z521-4000)=0,"",INDEX(客户自备加工筐明细!$L$4:$L$1203,$Z521-4000)),IF($Z521&lt;=5800,IF(INDEX(次果筐明细!$P$4:$P$603,$Z521-5200)=0,"",INDEX(次果筐明细!$P$4:$P$603,$Z521-5200)),"")))))</f>
        <v/>
      </c>
      <c r="N521" s="16" t="str">
        <f>IF($Z521="","",IF($Z521&lt;=2000,"",IF($Z521&lt;=4000,IF(INDEX(周转筐出入库明细!$D$4:$D$2004,$Z521-2000)=0,"",INDEX(周转筐出入库明细!$D$4:$D$2004,$Z521-2000)),IF($Z521&lt;=5200,IF(INDEX(客户自备加工筐明细!$C$4:$C$1203,$Z521-4000)=0,"",INDEX(客户自备加工筐明细!$C$4:$C$1203,$Z521-4000)),IF($Z521&lt;=5800,IF(INDEX(次果筐明细!$D$4:$D$603,$Z521-5200)=0,"",INDEX(次果筐明细!$D$4:$D$603,$Z521-5200)),"")))))</f>
        <v/>
      </c>
      <c r="O521" s="40" t="str">
        <f>IF($Z521="","",IF($Z521&lt;=2000,"",IF($Z521&lt;=4000,IF(N(INDEX(周转筐出入库明细!$J$4:$J$2004,$Z521-2000))+N(INDEX(周转筐出入库明细!$K$4:$K$2004,$Z521-2000))=0,"",N(INDEX(周转筐出入库明细!$J$4:$J$2004,$Z521-2000))+N(INDEX(周转筐出入库明细!$K$4:$K$2004,$Z521-2000))),IF($Z521&lt;=5200,IF(N(INDEX(客户自备加工筐明细!$G$4:$G$1203,$Z521-4000))=0,"",N(INDEX(客户自备加工筐明细!$G$4:$G$1203,$Z521-4000))),IF($Z521&lt;=5800,IF(ISNUMBER(SEARCH("退",INDEX(次果筐明细!$F$4:$F$603,$Z521-5200)&amp;"")),"",IF(N(INDEX(次果筐明细!$G$4:$G$603,$Z521-5200))=0,"",N(INDEX(次果筐明细!$G$4:$G$603,$Z521-5200)))),"")))))</f>
        <v/>
      </c>
      <c r="P521" s="40" t="str">
        <f>IF($Z521="","",IF($Z521&lt;=2000,"",IF($Z521&lt;=4000,IF(N(INDEX(周转筐出入库明细!$I$4:$I$2004,$Z521-2000))=0,"",N(INDEX(周转筐出入库明细!$I$4:$I$2004,$Z521-2000))),IF($Z521&lt;=5200,"",IF($Z521&lt;=5800,IF(ISNUMBER(SEARCH("退",INDEX(次果筐明细!$F$4:$F$603,$Z521-5200)&amp;"")),IF(N(INDEX(次果筐明细!$G$4:$G$603,$Z521-5200))=0,"",N(INDEX(次果筐明细!$G$4:$G$603,$Z521-5200))),""),"")))))</f>
        <v/>
      </c>
      <c r="Q521" s="40" t="str">
        <f>IF($Z521="","",IF($Z521&lt;=2000,"",IF($Z521&lt;=4000,IF(N(INDEX(周转筐出入库明细!$H$4:$H$2004,$Z521-2000))=0,"",N(INDEX(周转筐出入库明细!$H$4:$H$2004,$Z521-2000))),IF($Z521&lt;=5200,IF(N(INDEX(客户自备加工筐明细!$F$4:$F$1203,$Z521-4000))=0,"",N(INDEX(客户自备加工筐明细!$F$4:$F$1203,$Z521-4000))),IF($Z521&lt;=5800,"","")))))</f>
        <v/>
      </c>
      <c r="R521" s="16" t="str">
        <f>IF($Z521="","",IF($Z521&lt;=2000,IF(INDEX(包装物料出入库明细!$O$4:$O$2003,$Z521-0)=0,"",INDEX(包装物料出入库明细!$O$4:$O$2003,$Z521-0)),IF($Z521&lt;=4000,IF(INDEX(周转筐出入库明细!$M$4:$M$2004,$Z521-2000)=0,"",INDEX(周转筐出入库明细!$M$4:$M$2004,$Z521-2000)),IF($Z521&lt;=5200,IF(INDEX(客户自备加工筐明细!$H$4:$H$1203,$Z521-4000)=0,"",INDEX(客户自备加工筐明细!$H$4:$H$1203,$Z521-4000)),IF($Z521&lt;=5800,IF(INDEX(次果筐明细!$H$4:$H$603,$Z521-5200)=0,"",INDEX(次果筐明细!$H$4:$H$603,$Z521-5200)),"")))))</f>
        <v/>
      </c>
      <c r="S521" s="22" t="str">
        <f t="shared" si="26"/>
        <v/>
      </c>
      <c r="Z521" s="10" t="str">
        <f>IFERROR(MATCH(ROW()-3,_自动清单!$CQ$4:$CQ$5803,0),"")</f>
        <v/>
      </c>
    </row>
    <row r="522" spans="1:26">
      <c r="A522" s="24" t="str">
        <f t="shared" si="24"/>
        <v/>
      </c>
      <c r="B522" s="38" t="str">
        <f>IF($Z522="","",IF($Z522&lt;=2000,IF(INDEX(包装物料出入库明细!$B$4:$B$2003,$Z522-0)=0,"",INDEX(包装物料出入库明细!$B$4:$B$2003,$Z522-0)),IF($Z522&lt;=4000,IF(INDEX(周转筐出入库明细!$B$4:$B$2004,$Z522-2000)=0,"",INDEX(周转筐出入库明细!$B$4:$B$2004,$Z522-2000)),IF($Z522&lt;=5200,IF(INDEX(客户自备加工筐明细!$B$4:$B$1203,$Z522-4000)=0,"",INDEX(客户自备加工筐明细!$B$4:$B$1203,$Z522-4000)),IF($Z522&lt;=5800,IF(INDEX(次果筐明细!$B$4:$B$603,$Z522-5200)=0,"",INDEX(次果筐明细!$B$4:$B$603,$Z522-5200)),"")))))</f>
        <v/>
      </c>
      <c r="C522" s="37" t="str">
        <f>IF($Z522="","",IF($Z522&lt;=2000,IF(INDEX(包装物料出入库明细!$D$4:$D$2003,$Z522-0)=0,"",INDEX(包装物料出入库明细!$D$4:$D$2003,$Z522-0)),IF($Z522&lt;=4000,IF(INDEX(周转筐出入库明细!$C$4:$C$2004,$Z522-2000)=0,"",INDEX(周转筐出入库明细!$C$4:$C$2004,$Z522-2000)),IF($Z522&lt;=5200,IF(INDEX(客户自备加工筐明细!$E$4:$E$1203,$Z522-4000)=0,"",INDEX(客户自备加工筐明细!$E$4:$E$1203,$Z522-4000)),IF($Z522&lt;=5800,IF(INDEX(次果筐明细!$C$4:$C$603,$Z522-5200)=0,"",INDEX(次果筐明细!$C$4:$C$603,$Z522-5200)),"")))))</f>
        <v/>
      </c>
      <c r="D522" s="37" t="str">
        <f>IF($Z522="","",IF($Z522&lt;=2000,"包装物料－"&amp;INDEX(包装物料出入库明细!$H$4:$H$2003,$Z522-0),IF($Z522&lt;=4000,"周转筐－"&amp;INDEX(周转筐出入库明细!$F$4:$F$2004,$Z522-2000),IF($Z522&lt;=5200,"客户自备筐－"&amp;INDEX(客户自备加工筐明细!$J$4:$J$1203,$Z522-4000),IF($Z522&lt;=5800,"次果筐/托盘－"&amp;INDEX(次果筐明细!$F$4:$F$603,$Z522-5200),"")))))</f>
        <v/>
      </c>
      <c r="E522" s="24" t="str">
        <f>IF($Z522="","",IF($Z522&lt;=2000,IF(INDEX(包装物料出入库明细!$C$4:$C$2003,$Z522-0)=0,"",INDEX(包装物料出入库明细!$C$4:$C$2003,$Z522-0)),IF($Z522&lt;=4000,IF(INDEX(周转筐出入库明细!$E$4:$E$2004,$Z522-2000)=0,"",INDEX(周转筐出入库明细!$E$4:$E$2004,$Z522-2000)),IF($Z522&lt;=5200,IF(INDEX(客户自备加工筐明细!$D$4:$D$1203,$Z522-4000)=0,"",INDEX(客户自备加工筐明细!$D$4:$D$1203,$Z522-4000)),IF($Z522&lt;=5800,IF(INDEX(次果筐明细!$E$4:$E$603,$Z522-5200)=0,"",INDEX(次果筐明细!$E$4:$E$603,$Z522-5200)),"")))))</f>
        <v/>
      </c>
      <c r="F522" s="24" t="str">
        <f>IF($Z522="","",IF($Z522&lt;=2000,IF(INDEX(包装物料出入库明细!$E$4:$E$2003,$Z522-0)=0,"",INDEX(包装物料出入库明细!$E$4:$E$2003,$Z522-0)),IF($Z522&lt;=4000,IF(INDEX(周转筐出入库明细!$D$4:$D$2004,$Z522-2000)=0,"",INDEX(周转筐出入库明细!$D$4:$D$2004,$Z522-2000)),IF($Z522&lt;=5200,IF(INDEX(客户自备加工筐明细!$C$4:$C$1203,$Z522-4000)=0,"",INDEX(客户自备加工筐明细!$C$4:$C$1203,$Z522-4000)),IF($Z522&lt;=5800,IF(INDEX(次果筐明细!$D$4:$D$603,$Z522-5200)=0,"",INDEX(次果筐明细!$D$4:$D$603,$Z522-5200)),"")))))</f>
        <v/>
      </c>
      <c r="G522" s="24" t="str">
        <f>IF($Z522="","",IF($Z522&lt;=2000,IF(INDEX(包装物料出入库明细!$F$4:$F$2003,$Z522-0)=0,"",INDEX(包装物料出入库明细!$F$4:$F$2003,$Z522-0)),IF($Z522&lt;=4000,"",IF($Z522&lt;=5200,"",IF($Z522&lt;=5800,"","")))))</f>
        <v/>
      </c>
      <c r="H522" s="39" t="str">
        <f>IF($Z522="","",IF($Z522&lt;=2000,IF(INDEX(包装物料出入库明细!$L$4:$L$2003,$Z522-0)=0,"",INDEX(包装物料出入库明细!$L$4:$L$2003,$Z522-0)),IF($Z522&lt;=4000,N(INDEX(周转筐出入库明细!$H$4:$H$2004,$Z522-2000))+N(INDEX(周转筐出入库明细!$I$4:$I$2004,$Z522-2000))+N(INDEX(周转筐出入库明细!$J$4:$J$2004,$Z522-2000))+N(INDEX(周转筐出入库明细!$K$4:$K$2004,$Z522-2000)),IF($Z522&lt;=5200,N(INDEX(客户自备加工筐明细!$F$4:$F$1203,$Z522-4000))+N(INDEX(客户自备加工筐明细!$G$4:$G$1203,$Z522-4000)),IF($Z522&lt;=5800,IF(INDEX(次果筐明细!$G$4:$G$603,$Z522-5200)=0,"",INDEX(次果筐明细!$G$4:$G$603,$Z522-5200)),"")))))</f>
        <v/>
      </c>
      <c r="I522" s="24" t="str">
        <f>IF($Z522="","",IF($Z522&lt;=2000,IF(INDEX(包装物料出入库明细!$G$4:$G$2003,$Z522-0)=0,"",INDEX(包装物料出入库明细!$G$4:$G$2003,$Z522-0)),IF($Z522&lt;=4000,"个",IF($Z522&lt;=5200,"个",IF($Z522&lt;=5800,"个","")))))</f>
        <v/>
      </c>
      <c r="J522" s="30" t="str">
        <f t="shared" si="25"/>
        <v/>
      </c>
      <c r="K522" s="30" t="str">
        <f>IF($Z522="","",IF($Z522&lt;=2000,IF(INDEX(包装物料出入库明细!$N$4:$N$2003,$Z522-0)=0,"",INDEX(包装物料出入库明细!$N$4:$N$2003,$Z522-0)),IF($Z522&lt;=4000,IF(INDEX(周转筐出入库明细!$P$4:$P$2004,$Z522-2000)=0,"",INDEX(周转筐出入库明细!$P$4:$P$2004,$Z522-2000)),IF($Z522&lt;=5200,"",IF($Z522&lt;=5800,N(INDEX(次果筐明细!$L$4:$L$603,$Z522-5200))+N(INDEX(次果筐明细!$J$4:$J$603,$Z522-5200)),"")))))</f>
        <v/>
      </c>
      <c r="L522" s="24" t="str">
        <f>IF($Z522="","",IF($Z522&lt;=2000,IF(INDEX(包装物料出入库明细!$P$4:$P$2003,$Z522-0)=0,"",INDEX(包装物料出入库明细!$P$4:$P$2003,$Z522-0)),IF($Z522&lt;=4000,IF(INDEX(周转筐出入库明细!$Q$4:$Q$2004,$Z522-2000)=0,"",INDEX(周转筐出入库明细!$Q$4:$Q$2004,$Z522-2000)),IF($Z522&lt;=5200,"",IF($Z522&lt;=5800,IF(INDEX(次果筐明细!$M$4:$M$603,$Z522-5200)=0,"",INDEX(次果筐明细!$M$4:$M$603,$Z522-5200)),"")))))</f>
        <v/>
      </c>
      <c r="M522" s="37" t="str">
        <f>IF($Z522="","",IF($Z522&lt;=2000,IF(INDEX(包装物料出入库明细!$R$4:$R$2003,$Z522-0)=0,"",INDEX(包装物料出入库明细!$R$4:$R$2003,$Z522-0)),IF($Z522&lt;=4000,IF(INDEX(周转筐出入库明细!$W$4:$W$2004,$Z522-2000)=0,"",INDEX(周转筐出入库明细!$W$4:$W$2004,$Z522-2000)),IF($Z522&lt;=5200,IF(INDEX(客户自备加工筐明细!$L$4:$L$1203,$Z522-4000)=0,"",INDEX(客户自备加工筐明细!$L$4:$L$1203,$Z522-4000)),IF($Z522&lt;=5800,IF(INDEX(次果筐明细!$P$4:$P$603,$Z522-5200)=0,"",INDEX(次果筐明细!$P$4:$P$603,$Z522-5200)),"")))))</f>
        <v/>
      </c>
      <c r="N522" s="16" t="str">
        <f>IF($Z522="","",IF($Z522&lt;=2000,"",IF($Z522&lt;=4000,IF(INDEX(周转筐出入库明细!$D$4:$D$2004,$Z522-2000)=0,"",INDEX(周转筐出入库明细!$D$4:$D$2004,$Z522-2000)),IF($Z522&lt;=5200,IF(INDEX(客户自备加工筐明细!$C$4:$C$1203,$Z522-4000)=0,"",INDEX(客户自备加工筐明细!$C$4:$C$1203,$Z522-4000)),IF($Z522&lt;=5800,IF(INDEX(次果筐明细!$D$4:$D$603,$Z522-5200)=0,"",INDEX(次果筐明细!$D$4:$D$603,$Z522-5200)),"")))))</f>
        <v/>
      </c>
      <c r="O522" s="40" t="str">
        <f>IF($Z522="","",IF($Z522&lt;=2000,"",IF($Z522&lt;=4000,IF(N(INDEX(周转筐出入库明细!$J$4:$J$2004,$Z522-2000))+N(INDEX(周转筐出入库明细!$K$4:$K$2004,$Z522-2000))=0,"",N(INDEX(周转筐出入库明细!$J$4:$J$2004,$Z522-2000))+N(INDEX(周转筐出入库明细!$K$4:$K$2004,$Z522-2000))),IF($Z522&lt;=5200,IF(N(INDEX(客户自备加工筐明细!$G$4:$G$1203,$Z522-4000))=0,"",N(INDEX(客户自备加工筐明细!$G$4:$G$1203,$Z522-4000))),IF($Z522&lt;=5800,IF(ISNUMBER(SEARCH("退",INDEX(次果筐明细!$F$4:$F$603,$Z522-5200)&amp;"")),"",IF(N(INDEX(次果筐明细!$G$4:$G$603,$Z522-5200))=0,"",N(INDEX(次果筐明细!$G$4:$G$603,$Z522-5200)))),"")))))</f>
        <v/>
      </c>
      <c r="P522" s="40" t="str">
        <f>IF($Z522="","",IF($Z522&lt;=2000,"",IF($Z522&lt;=4000,IF(N(INDEX(周转筐出入库明细!$I$4:$I$2004,$Z522-2000))=0,"",N(INDEX(周转筐出入库明细!$I$4:$I$2004,$Z522-2000))),IF($Z522&lt;=5200,"",IF($Z522&lt;=5800,IF(ISNUMBER(SEARCH("退",INDEX(次果筐明细!$F$4:$F$603,$Z522-5200)&amp;"")),IF(N(INDEX(次果筐明细!$G$4:$G$603,$Z522-5200))=0,"",N(INDEX(次果筐明细!$G$4:$G$603,$Z522-5200))),""),"")))))</f>
        <v/>
      </c>
      <c r="Q522" s="40" t="str">
        <f>IF($Z522="","",IF($Z522&lt;=2000,"",IF($Z522&lt;=4000,IF(N(INDEX(周转筐出入库明细!$H$4:$H$2004,$Z522-2000))=0,"",N(INDEX(周转筐出入库明细!$H$4:$H$2004,$Z522-2000))),IF($Z522&lt;=5200,IF(N(INDEX(客户自备加工筐明细!$F$4:$F$1203,$Z522-4000))=0,"",N(INDEX(客户自备加工筐明细!$F$4:$F$1203,$Z522-4000))),IF($Z522&lt;=5800,"","")))))</f>
        <v/>
      </c>
      <c r="R522" s="16" t="str">
        <f>IF($Z522="","",IF($Z522&lt;=2000,IF(INDEX(包装物料出入库明细!$O$4:$O$2003,$Z522-0)=0,"",INDEX(包装物料出入库明细!$O$4:$O$2003,$Z522-0)),IF($Z522&lt;=4000,IF(INDEX(周转筐出入库明细!$M$4:$M$2004,$Z522-2000)=0,"",INDEX(周转筐出入库明细!$M$4:$M$2004,$Z522-2000)),IF($Z522&lt;=5200,IF(INDEX(客户自备加工筐明细!$H$4:$H$1203,$Z522-4000)=0,"",INDEX(客户自备加工筐明细!$H$4:$H$1203,$Z522-4000)),IF($Z522&lt;=5800,IF(INDEX(次果筐明细!$H$4:$H$603,$Z522-5200)=0,"",INDEX(次果筐明细!$H$4:$H$603,$Z522-5200)),"")))))</f>
        <v/>
      </c>
      <c r="S522" s="22" t="str">
        <f t="shared" si="26"/>
        <v/>
      </c>
      <c r="Z522" s="10" t="str">
        <f>IFERROR(MATCH(ROW()-3,_自动清单!$CQ$4:$CQ$5803,0),"")</f>
        <v/>
      </c>
    </row>
    <row r="523" spans="1:26">
      <c r="A523" s="24" t="str">
        <f t="shared" si="24"/>
        <v/>
      </c>
      <c r="B523" s="38" t="str">
        <f>IF($Z523="","",IF($Z523&lt;=2000,IF(INDEX(包装物料出入库明细!$B$4:$B$2003,$Z523-0)=0,"",INDEX(包装物料出入库明细!$B$4:$B$2003,$Z523-0)),IF($Z523&lt;=4000,IF(INDEX(周转筐出入库明细!$B$4:$B$2004,$Z523-2000)=0,"",INDEX(周转筐出入库明细!$B$4:$B$2004,$Z523-2000)),IF($Z523&lt;=5200,IF(INDEX(客户自备加工筐明细!$B$4:$B$1203,$Z523-4000)=0,"",INDEX(客户自备加工筐明细!$B$4:$B$1203,$Z523-4000)),IF($Z523&lt;=5800,IF(INDEX(次果筐明细!$B$4:$B$603,$Z523-5200)=0,"",INDEX(次果筐明细!$B$4:$B$603,$Z523-5200)),"")))))</f>
        <v/>
      </c>
      <c r="C523" s="37" t="str">
        <f>IF($Z523="","",IF($Z523&lt;=2000,IF(INDEX(包装物料出入库明细!$D$4:$D$2003,$Z523-0)=0,"",INDEX(包装物料出入库明细!$D$4:$D$2003,$Z523-0)),IF($Z523&lt;=4000,IF(INDEX(周转筐出入库明细!$C$4:$C$2004,$Z523-2000)=0,"",INDEX(周转筐出入库明细!$C$4:$C$2004,$Z523-2000)),IF($Z523&lt;=5200,IF(INDEX(客户自备加工筐明细!$E$4:$E$1203,$Z523-4000)=0,"",INDEX(客户自备加工筐明细!$E$4:$E$1203,$Z523-4000)),IF($Z523&lt;=5800,IF(INDEX(次果筐明细!$C$4:$C$603,$Z523-5200)=0,"",INDEX(次果筐明细!$C$4:$C$603,$Z523-5200)),"")))))</f>
        <v/>
      </c>
      <c r="D523" s="37" t="str">
        <f>IF($Z523="","",IF($Z523&lt;=2000,"包装物料－"&amp;INDEX(包装物料出入库明细!$H$4:$H$2003,$Z523-0),IF($Z523&lt;=4000,"周转筐－"&amp;INDEX(周转筐出入库明细!$F$4:$F$2004,$Z523-2000),IF($Z523&lt;=5200,"客户自备筐－"&amp;INDEX(客户自备加工筐明细!$J$4:$J$1203,$Z523-4000),IF($Z523&lt;=5800,"次果筐/托盘－"&amp;INDEX(次果筐明细!$F$4:$F$603,$Z523-5200),"")))))</f>
        <v/>
      </c>
      <c r="E523" s="24" t="str">
        <f>IF($Z523="","",IF($Z523&lt;=2000,IF(INDEX(包装物料出入库明细!$C$4:$C$2003,$Z523-0)=0,"",INDEX(包装物料出入库明细!$C$4:$C$2003,$Z523-0)),IF($Z523&lt;=4000,IF(INDEX(周转筐出入库明细!$E$4:$E$2004,$Z523-2000)=0,"",INDEX(周转筐出入库明细!$E$4:$E$2004,$Z523-2000)),IF($Z523&lt;=5200,IF(INDEX(客户自备加工筐明细!$D$4:$D$1203,$Z523-4000)=0,"",INDEX(客户自备加工筐明细!$D$4:$D$1203,$Z523-4000)),IF($Z523&lt;=5800,IF(INDEX(次果筐明细!$E$4:$E$603,$Z523-5200)=0,"",INDEX(次果筐明细!$E$4:$E$603,$Z523-5200)),"")))))</f>
        <v/>
      </c>
      <c r="F523" s="24" t="str">
        <f>IF($Z523="","",IF($Z523&lt;=2000,IF(INDEX(包装物料出入库明细!$E$4:$E$2003,$Z523-0)=0,"",INDEX(包装物料出入库明细!$E$4:$E$2003,$Z523-0)),IF($Z523&lt;=4000,IF(INDEX(周转筐出入库明细!$D$4:$D$2004,$Z523-2000)=0,"",INDEX(周转筐出入库明细!$D$4:$D$2004,$Z523-2000)),IF($Z523&lt;=5200,IF(INDEX(客户自备加工筐明细!$C$4:$C$1203,$Z523-4000)=0,"",INDEX(客户自备加工筐明细!$C$4:$C$1203,$Z523-4000)),IF($Z523&lt;=5800,IF(INDEX(次果筐明细!$D$4:$D$603,$Z523-5200)=0,"",INDEX(次果筐明细!$D$4:$D$603,$Z523-5200)),"")))))</f>
        <v/>
      </c>
      <c r="G523" s="24" t="str">
        <f>IF($Z523="","",IF($Z523&lt;=2000,IF(INDEX(包装物料出入库明细!$F$4:$F$2003,$Z523-0)=0,"",INDEX(包装物料出入库明细!$F$4:$F$2003,$Z523-0)),IF($Z523&lt;=4000,"",IF($Z523&lt;=5200,"",IF($Z523&lt;=5800,"","")))))</f>
        <v/>
      </c>
      <c r="H523" s="39" t="str">
        <f>IF($Z523="","",IF($Z523&lt;=2000,IF(INDEX(包装物料出入库明细!$L$4:$L$2003,$Z523-0)=0,"",INDEX(包装物料出入库明细!$L$4:$L$2003,$Z523-0)),IF($Z523&lt;=4000,N(INDEX(周转筐出入库明细!$H$4:$H$2004,$Z523-2000))+N(INDEX(周转筐出入库明细!$I$4:$I$2004,$Z523-2000))+N(INDEX(周转筐出入库明细!$J$4:$J$2004,$Z523-2000))+N(INDEX(周转筐出入库明细!$K$4:$K$2004,$Z523-2000)),IF($Z523&lt;=5200,N(INDEX(客户自备加工筐明细!$F$4:$F$1203,$Z523-4000))+N(INDEX(客户自备加工筐明细!$G$4:$G$1203,$Z523-4000)),IF($Z523&lt;=5800,IF(INDEX(次果筐明细!$G$4:$G$603,$Z523-5200)=0,"",INDEX(次果筐明细!$G$4:$G$603,$Z523-5200)),"")))))</f>
        <v/>
      </c>
      <c r="I523" s="24" t="str">
        <f>IF($Z523="","",IF($Z523&lt;=2000,IF(INDEX(包装物料出入库明细!$G$4:$G$2003,$Z523-0)=0,"",INDEX(包装物料出入库明细!$G$4:$G$2003,$Z523-0)),IF($Z523&lt;=4000,"个",IF($Z523&lt;=5200,"个",IF($Z523&lt;=5800,"个","")))))</f>
        <v/>
      </c>
      <c r="J523" s="30" t="str">
        <f t="shared" si="25"/>
        <v/>
      </c>
      <c r="K523" s="30" t="str">
        <f>IF($Z523="","",IF($Z523&lt;=2000,IF(INDEX(包装物料出入库明细!$N$4:$N$2003,$Z523-0)=0,"",INDEX(包装物料出入库明细!$N$4:$N$2003,$Z523-0)),IF($Z523&lt;=4000,IF(INDEX(周转筐出入库明细!$P$4:$P$2004,$Z523-2000)=0,"",INDEX(周转筐出入库明细!$P$4:$P$2004,$Z523-2000)),IF($Z523&lt;=5200,"",IF($Z523&lt;=5800,N(INDEX(次果筐明细!$L$4:$L$603,$Z523-5200))+N(INDEX(次果筐明细!$J$4:$J$603,$Z523-5200)),"")))))</f>
        <v/>
      </c>
      <c r="L523" s="24" t="str">
        <f>IF($Z523="","",IF($Z523&lt;=2000,IF(INDEX(包装物料出入库明细!$P$4:$P$2003,$Z523-0)=0,"",INDEX(包装物料出入库明细!$P$4:$P$2003,$Z523-0)),IF($Z523&lt;=4000,IF(INDEX(周转筐出入库明细!$Q$4:$Q$2004,$Z523-2000)=0,"",INDEX(周转筐出入库明细!$Q$4:$Q$2004,$Z523-2000)),IF($Z523&lt;=5200,"",IF($Z523&lt;=5800,IF(INDEX(次果筐明细!$M$4:$M$603,$Z523-5200)=0,"",INDEX(次果筐明细!$M$4:$M$603,$Z523-5200)),"")))))</f>
        <v/>
      </c>
      <c r="M523" s="37" t="str">
        <f>IF($Z523="","",IF($Z523&lt;=2000,IF(INDEX(包装物料出入库明细!$R$4:$R$2003,$Z523-0)=0,"",INDEX(包装物料出入库明细!$R$4:$R$2003,$Z523-0)),IF($Z523&lt;=4000,IF(INDEX(周转筐出入库明细!$W$4:$W$2004,$Z523-2000)=0,"",INDEX(周转筐出入库明细!$W$4:$W$2004,$Z523-2000)),IF($Z523&lt;=5200,IF(INDEX(客户自备加工筐明细!$L$4:$L$1203,$Z523-4000)=0,"",INDEX(客户自备加工筐明细!$L$4:$L$1203,$Z523-4000)),IF($Z523&lt;=5800,IF(INDEX(次果筐明细!$P$4:$P$603,$Z523-5200)=0,"",INDEX(次果筐明细!$P$4:$P$603,$Z523-5200)),"")))))</f>
        <v/>
      </c>
      <c r="N523" s="16" t="str">
        <f>IF($Z523="","",IF($Z523&lt;=2000,"",IF($Z523&lt;=4000,IF(INDEX(周转筐出入库明细!$D$4:$D$2004,$Z523-2000)=0,"",INDEX(周转筐出入库明细!$D$4:$D$2004,$Z523-2000)),IF($Z523&lt;=5200,IF(INDEX(客户自备加工筐明细!$C$4:$C$1203,$Z523-4000)=0,"",INDEX(客户自备加工筐明细!$C$4:$C$1203,$Z523-4000)),IF($Z523&lt;=5800,IF(INDEX(次果筐明细!$D$4:$D$603,$Z523-5200)=0,"",INDEX(次果筐明细!$D$4:$D$603,$Z523-5200)),"")))))</f>
        <v/>
      </c>
      <c r="O523" s="40" t="str">
        <f>IF($Z523="","",IF($Z523&lt;=2000,"",IF($Z523&lt;=4000,IF(N(INDEX(周转筐出入库明细!$J$4:$J$2004,$Z523-2000))+N(INDEX(周转筐出入库明细!$K$4:$K$2004,$Z523-2000))=0,"",N(INDEX(周转筐出入库明细!$J$4:$J$2004,$Z523-2000))+N(INDEX(周转筐出入库明细!$K$4:$K$2004,$Z523-2000))),IF($Z523&lt;=5200,IF(N(INDEX(客户自备加工筐明细!$G$4:$G$1203,$Z523-4000))=0,"",N(INDEX(客户自备加工筐明细!$G$4:$G$1203,$Z523-4000))),IF($Z523&lt;=5800,IF(ISNUMBER(SEARCH("退",INDEX(次果筐明细!$F$4:$F$603,$Z523-5200)&amp;"")),"",IF(N(INDEX(次果筐明细!$G$4:$G$603,$Z523-5200))=0,"",N(INDEX(次果筐明细!$G$4:$G$603,$Z523-5200)))),"")))))</f>
        <v/>
      </c>
      <c r="P523" s="40" t="str">
        <f>IF($Z523="","",IF($Z523&lt;=2000,"",IF($Z523&lt;=4000,IF(N(INDEX(周转筐出入库明细!$I$4:$I$2004,$Z523-2000))=0,"",N(INDEX(周转筐出入库明细!$I$4:$I$2004,$Z523-2000))),IF($Z523&lt;=5200,"",IF($Z523&lt;=5800,IF(ISNUMBER(SEARCH("退",INDEX(次果筐明细!$F$4:$F$603,$Z523-5200)&amp;"")),IF(N(INDEX(次果筐明细!$G$4:$G$603,$Z523-5200))=0,"",N(INDEX(次果筐明细!$G$4:$G$603,$Z523-5200))),""),"")))))</f>
        <v/>
      </c>
      <c r="Q523" s="40" t="str">
        <f>IF($Z523="","",IF($Z523&lt;=2000,"",IF($Z523&lt;=4000,IF(N(INDEX(周转筐出入库明细!$H$4:$H$2004,$Z523-2000))=0,"",N(INDEX(周转筐出入库明细!$H$4:$H$2004,$Z523-2000))),IF($Z523&lt;=5200,IF(N(INDEX(客户自备加工筐明细!$F$4:$F$1203,$Z523-4000))=0,"",N(INDEX(客户自备加工筐明细!$F$4:$F$1203,$Z523-4000))),IF($Z523&lt;=5800,"","")))))</f>
        <v/>
      </c>
      <c r="R523" s="16" t="str">
        <f>IF($Z523="","",IF($Z523&lt;=2000,IF(INDEX(包装物料出入库明细!$O$4:$O$2003,$Z523-0)=0,"",INDEX(包装物料出入库明细!$O$4:$O$2003,$Z523-0)),IF($Z523&lt;=4000,IF(INDEX(周转筐出入库明细!$M$4:$M$2004,$Z523-2000)=0,"",INDEX(周转筐出入库明细!$M$4:$M$2004,$Z523-2000)),IF($Z523&lt;=5200,IF(INDEX(客户自备加工筐明细!$H$4:$H$1203,$Z523-4000)=0,"",INDEX(客户自备加工筐明细!$H$4:$H$1203,$Z523-4000)),IF($Z523&lt;=5800,IF(INDEX(次果筐明细!$H$4:$H$603,$Z523-5200)=0,"",INDEX(次果筐明细!$H$4:$H$603,$Z523-5200)),"")))))</f>
        <v/>
      </c>
      <c r="S523" s="22" t="str">
        <f t="shared" si="26"/>
        <v/>
      </c>
      <c r="Z523" s="10" t="str">
        <f>IFERROR(MATCH(ROW()-3,_自动清单!$CQ$4:$CQ$5803,0),"")</f>
        <v/>
      </c>
    </row>
    <row r="524" spans="1:26">
      <c r="A524" s="24" t="str">
        <f t="shared" si="24"/>
        <v/>
      </c>
      <c r="B524" s="38" t="str">
        <f>IF($Z524="","",IF($Z524&lt;=2000,IF(INDEX(包装物料出入库明细!$B$4:$B$2003,$Z524-0)=0,"",INDEX(包装物料出入库明细!$B$4:$B$2003,$Z524-0)),IF($Z524&lt;=4000,IF(INDEX(周转筐出入库明细!$B$4:$B$2004,$Z524-2000)=0,"",INDEX(周转筐出入库明细!$B$4:$B$2004,$Z524-2000)),IF($Z524&lt;=5200,IF(INDEX(客户自备加工筐明细!$B$4:$B$1203,$Z524-4000)=0,"",INDEX(客户自备加工筐明细!$B$4:$B$1203,$Z524-4000)),IF($Z524&lt;=5800,IF(INDEX(次果筐明细!$B$4:$B$603,$Z524-5200)=0,"",INDEX(次果筐明细!$B$4:$B$603,$Z524-5200)),"")))))</f>
        <v/>
      </c>
      <c r="C524" s="37" t="str">
        <f>IF($Z524="","",IF($Z524&lt;=2000,IF(INDEX(包装物料出入库明细!$D$4:$D$2003,$Z524-0)=0,"",INDEX(包装物料出入库明细!$D$4:$D$2003,$Z524-0)),IF($Z524&lt;=4000,IF(INDEX(周转筐出入库明细!$C$4:$C$2004,$Z524-2000)=0,"",INDEX(周转筐出入库明细!$C$4:$C$2004,$Z524-2000)),IF($Z524&lt;=5200,IF(INDEX(客户自备加工筐明细!$E$4:$E$1203,$Z524-4000)=0,"",INDEX(客户自备加工筐明细!$E$4:$E$1203,$Z524-4000)),IF($Z524&lt;=5800,IF(INDEX(次果筐明细!$C$4:$C$603,$Z524-5200)=0,"",INDEX(次果筐明细!$C$4:$C$603,$Z524-5200)),"")))))</f>
        <v/>
      </c>
      <c r="D524" s="37" t="str">
        <f>IF($Z524="","",IF($Z524&lt;=2000,"包装物料－"&amp;INDEX(包装物料出入库明细!$H$4:$H$2003,$Z524-0),IF($Z524&lt;=4000,"周转筐－"&amp;INDEX(周转筐出入库明细!$F$4:$F$2004,$Z524-2000),IF($Z524&lt;=5200,"客户自备筐－"&amp;INDEX(客户自备加工筐明细!$J$4:$J$1203,$Z524-4000),IF($Z524&lt;=5800,"次果筐/托盘－"&amp;INDEX(次果筐明细!$F$4:$F$603,$Z524-5200),"")))))</f>
        <v/>
      </c>
      <c r="E524" s="24" t="str">
        <f>IF($Z524="","",IF($Z524&lt;=2000,IF(INDEX(包装物料出入库明细!$C$4:$C$2003,$Z524-0)=0,"",INDEX(包装物料出入库明细!$C$4:$C$2003,$Z524-0)),IF($Z524&lt;=4000,IF(INDEX(周转筐出入库明细!$E$4:$E$2004,$Z524-2000)=0,"",INDEX(周转筐出入库明细!$E$4:$E$2004,$Z524-2000)),IF($Z524&lt;=5200,IF(INDEX(客户自备加工筐明细!$D$4:$D$1203,$Z524-4000)=0,"",INDEX(客户自备加工筐明细!$D$4:$D$1203,$Z524-4000)),IF($Z524&lt;=5800,IF(INDEX(次果筐明细!$E$4:$E$603,$Z524-5200)=0,"",INDEX(次果筐明细!$E$4:$E$603,$Z524-5200)),"")))))</f>
        <v/>
      </c>
      <c r="F524" s="24" t="str">
        <f>IF($Z524="","",IF($Z524&lt;=2000,IF(INDEX(包装物料出入库明细!$E$4:$E$2003,$Z524-0)=0,"",INDEX(包装物料出入库明细!$E$4:$E$2003,$Z524-0)),IF($Z524&lt;=4000,IF(INDEX(周转筐出入库明细!$D$4:$D$2004,$Z524-2000)=0,"",INDEX(周转筐出入库明细!$D$4:$D$2004,$Z524-2000)),IF($Z524&lt;=5200,IF(INDEX(客户自备加工筐明细!$C$4:$C$1203,$Z524-4000)=0,"",INDEX(客户自备加工筐明细!$C$4:$C$1203,$Z524-4000)),IF($Z524&lt;=5800,IF(INDEX(次果筐明细!$D$4:$D$603,$Z524-5200)=0,"",INDEX(次果筐明细!$D$4:$D$603,$Z524-5200)),"")))))</f>
        <v/>
      </c>
      <c r="G524" s="24" t="str">
        <f>IF($Z524="","",IF($Z524&lt;=2000,IF(INDEX(包装物料出入库明细!$F$4:$F$2003,$Z524-0)=0,"",INDEX(包装物料出入库明细!$F$4:$F$2003,$Z524-0)),IF($Z524&lt;=4000,"",IF($Z524&lt;=5200,"",IF($Z524&lt;=5800,"","")))))</f>
        <v/>
      </c>
      <c r="H524" s="39" t="str">
        <f>IF($Z524="","",IF($Z524&lt;=2000,IF(INDEX(包装物料出入库明细!$L$4:$L$2003,$Z524-0)=0,"",INDEX(包装物料出入库明细!$L$4:$L$2003,$Z524-0)),IF($Z524&lt;=4000,N(INDEX(周转筐出入库明细!$H$4:$H$2004,$Z524-2000))+N(INDEX(周转筐出入库明细!$I$4:$I$2004,$Z524-2000))+N(INDEX(周转筐出入库明细!$J$4:$J$2004,$Z524-2000))+N(INDEX(周转筐出入库明细!$K$4:$K$2004,$Z524-2000)),IF($Z524&lt;=5200,N(INDEX(客户自备加工筐明细!$F$4:$F$1203,$Z524-4000))+N(INDEX(客户自备加工筐明细!$G$4:$G$1203,$Z524-4000)),IF($Z524&lt;=5800,IF(INDEX(次果筐明细!$G$4:$G$603,$Z524-5200)=0,"",INDEX(次果筐明细!$G$4:$G$603,$Z524-5200)),"")))))</f>
        <v/>
      </c>
      <c r="I524" s="24" t="str">
        <f>IF($Z524="","",IF($Z524&lt;=2000,IF(INDEX(包装物料出入库明细!$G$4:$G$2003,$Z524-0)=0,"",INDEX(包装物料出入库明细!$G$4:$G$2003,$Z524-0)),IF($Z524&lt;=4000,"个",IF($Z524&lt;=5200,"个",IF($Z524&lt;=5800,"个","")))))</f>
        <v/>
      </c>
      <c r="J524" s="30" t="str">
        <f t="shared" si="25"/>
        <v/>
      </c>
      <c r="K524" s="30" t="str">
        <f>IF($Z524="","",IF($Z524&lt;=2000,IF(INDEX(包装物料出入库明细!$N$4:$N$2003,$Z524-0)=0,"",INDEX(包装物料出入库明细!$N$4:$N$2003,$Z524-0)),IF($Z524&lt;=4000,IF(INDEX(周转筐出入库明细!$P$4:$P$2004,$Z524-2000)=0,"",INDEX(周转筐出入库明细!$P$4:$P$2004,$Z524-2000)),IF($Z524&lt;=5200,"",IF($Z524&lt;=5800,N(INDEX(次果筐明细!$L$4:$L$603,$Z524-5200))+N(INDEX(次果筐明细!$J$4:$J$603,$Z524-5200)),"")))))</f>
        <v/>
      </c>
      <c r="L524" s="24" t="str">
        <f>IF($Z524="","",IF($Z524&lt;=2000,IF(INDEX(包装物料出入库明细!$P$4:$P$2003,$Z524-0)=0,"",INDEX(包装物料出入库明细!$P$4:$P$2003,$Z524-0)),IF($Z524&lt;=4000,IF(INDEX(周转筐出入库明细!$Q$4:$Q$2004,$Z524-2000)=0,"",INDEX(周转筐出入库明细!$Q$4:$Q$2004,$Z524-2000)),IF($Z524&lt;=5200,"",IF($Z524&lt;=5800,IF(INDEX(次果筐明细!$M$4:$M$603,$Z524-5200)=0,"",INDEX(次果筐明细!$M$4:$M$603,$Z524-5200)),"")))))</f>
        <v/>
      </c>
      <c r="M524" s="37" t="str">
        <f>IF($Z524="","",IF($Z524&lt;=2000,IF(INDEX(包装物料出入库明细!$R$4:$R$2003,$Z524-0)=0,"",INDEX(包装物料出入库明细!$R$4:$R$2003,$Z524-0)),IF($Z524&lt;=4000,IF(INDEX(周转筐出入库明细!$W$4:$W$2004,$Z524-2000)=0,"",INDEX(周转筐出入库明细!$W$4:$W$2004,$Z524-2000)),IF($Z524&lt;=5200,IF(INDEX(客户自备加工筐明细!$L$4:$L$1203,$Z524-4000)=0,"",INDEX(客户自备加工筐明细!$L$4:$L$1203,$Z524-4000)),IF($Z524&lt;=5800,IF(INDEX(次果筐明细!$P$4:$P$603,$Z524-5200)=0,"",INDEX(次果筐明细!$P$4:$P$603,$Z524-5200)),"")))))</f>
        <v/>
      </c>
      <c r="N524" s="16" t="str">
        <f>IF($Z524="","",IF($Z524&lt;=2000,"",IF($Z524&lt;=4000,IF(INDEX(周转筐出入库明细!$D$4:$D$2004,$Z524-2000)=0,"",INDEX(周转筐出入库明细!$D$4:$D$2004,$Z524-2000)),IF($Z524&lt;=5200,IF(INDEX(客户自备加工筐明细!$C$4:$C$1203,$Z524-4000)=0,"",INDEX(客户自备加工筐明细!$C$4:$C$1203,$Z524-4000)),IF($Z524&lt;=5800,IF(INDEX(次果筐明细!$D$4:$D$603,$Z524-5200)=0,"",INDEX(次果筐明细!$D$4:$D$603,$Z524-5200)),"")))))</f>
        <v/>
      </c>
      <c r="O524" s="40" t="str">
        <f>IF($Z524="","",IF($Z524&lt;=2000,"",IF($Z524&lt;=4000,IF(N(INDEX(周转筐出入库明细!$J$4:$J$2004,$Z524-2000))+N(INDEX(周转筐出入库明细!$K$4:$K$2004,$Z524-2000))=0,"",N(INDEX(周转筐出入库明细!$J$4:$J$2004,$Z524-2000))+N(INDEX(周转筐出入库明细!$K$4:$K$2004,$Z524-2000))),IF($Z524&lt;=5200,IF(N(INDEX(客户自备加工筐明细!$G$4:$G$1203,$Z524-4000))=0,"",N(INDEX(客户自备加工筐明细!$G$4:$G$1203,$Z524-4000))),IF($Z524&lt;=5800,IF(ISNUMBER(SEARCH("退",INDEX(次果筐明细!$F$4:$F$603,$Z524-5200)&amp;"")),"",IF(N(INDEX(次果筐明细!$G$4:$G$603,$Z524-5200))=0,"",N(INDEX(次果筐明细!$G$4:$G$603,$Z524-5200)))),"")))))</f>
        <v/>
      </c>
      <c r="P524" s="40" t="str">
        <f>IF($Z524="","",IF($Z524&lt;=2000,"",IF($Z524&lt;=4000,IF(N(INDEX(周转筐出入库明细!$I$4:$I$2004,$Z524-2000))=0,"",N(INDEX(周转筐出入库明细!$I$4:$I$2004,$Z524-2000))),IF($Z524&lt;=5200,"",IF($Z524&lt;=5800,IF(ISNUMBER(SEARCH("退",INDEX(次果筐明细!$F$4:$F$603,$Z524-5200)&amp;"")),IF(N(INDEX(次果筐明细!$G$4:$G$603,$Z524-5200))=0,"",N(INDEX(次果筐明细!$G$4:$G$603,$Z524-5200))),""),"")))))</f>
        <v/>
      </c>
      <c r="Q524" s="40" t="str">
        <f>IF($Z524="","",IF($Z524&lt;=2000,"",IF($Z524&lt;=4000,IF(N(INDEX(周转筐出入库明细!$H$4:$H$2004,$Z524-2000))=0,"",N(INDEX(周转筐出入库明细!$H$4:$H$2004,$Z524-2000))),IF($Z524&lt;=5200,IF(N(INDEX(客户自备加工筐明细!$F$4:$F$1203,$Z524-4000))=0,"",N(INDEX(客户自备加工筐明细!$F$4:$F$1203,$Z524-4000))),IF($Z524&lt;=5800,"","")))))</f>
        <v/>
      </c>
      <c r="R524" s="16" t="str">
        <f>IF($Z524="","",IF($Z524&lt;=2000,IF(INDEX(包装物料出入库明细!$O$4:$O$2003,$Z524-0)=0,"",INDEX(包装物料出入库明细!$O$4:$O$2003,$Z524-0)),IF($Z524&lt;=4000,IF(INDEX(周转筐出入库明细!$M$4:$M$2004,$Z524-2000)=0,"",INDEX(周转筐出入库明细!$M$4:$M$2004,$Z524-2000)),IF($Z524&lt;=5200,IF(INDEX(客户自备加工筐明细!$H$4:$H$1203,$Z524-4000)=0,"",INDEX(客户自备加工筐明细!$H$4:$H$1203,$Z524-4000)),IF($Z524&lt;=5800,IF(INDEX(次果筐明细!$H$4:$H$603,$Z524-5200)=0,"",INDEX(次果筐明细!$H$4:$H$603,$Z524-5200)),"")))))</f>
        <v/>
      </c>
      <c r="S524" s="22" t="str">
        <f t="shared" si="26"/>
        <v/>
      </c>
      <c r="Z524" s="10" t="str">
        <f>IFERROR(MATCH(ROW()-3,_自动清单!$CQ$4:$CQ$5803,0),"")</f>
        <v/>
      </c>
    </row>
    <row r="525" spans="1:26">
      <c r="A525" s="24" t="str">
        <f t="shared" si="24"/>
        <v/>
      </c>
      <c r="B525" s="38" t="str">
        <f>IF($Z525="","",IF($Z525&lt;=2000,IF(INDEX(包装物料出入库明细!$B$4:$B$2003,$Z525-0)=0,"",INDEX(包装物料出入库明细!$B$4:$B$2003,$Z525-0)),IF($Z525&lt;=4000,IF(INDEX(周转筐出入库明细!$B$4:$B$2004,$Z525-2000)=0,"",INDEX(周转筐出入库明细!$B$4:$B$2004,$Z525-2000)),IF($Z525&lt;=5200,IF(INDEX(客户自备加工筐明细!$B$4:$B$1203,$Z525-4000)=0,"",INDEX(客户自备加工筐明细!$B$4:$B$1203,$Z525-4000)),IF($Z525&lt;=5800,IF(INDEX(次果筐明细!$B$4:$B$603,$Z525-5200)=0,"",INDEX(次果筐明细!$B$4:$B$603,$Z525-5200)),"")))))</f>
        <v/>
      </c>
      <c r="C525" s="37" t="str">
        <f>IF($Z525="","",IF($Z525&lt;=2000,IF(INDEX(包装物料出入库明细!$D$4:$D$2003,$Z525-0)=0,"",INDEX(包装物料出入库明细!$D$4:$D$2003,$Z525-0)),IF($Z525&lt;=4000,IF(INDEX(周转筐出入库明细!$C$4:$C$2004,$Z525-2000)=0,"",INDEX(周转筐出入库明细!$C$4:$C$2004,$Z525-2000)),IF($Z525&lt;=5200,IF(INDEX(客户自备加工筐明细!$E$4:$E$1203,$Z525-4000)=0,"",INDEX(客户自备加工筐明细!$E$4:$E$1203,$Z525-4000)),IF($Z525&lt;=5800,IF(INDEX(次果筐明细!$C$4:$C$603,$Z525-5200)=0,"",INDEX(次果筐明细!$C$4:$C$603,$Z525-5200)),"")))))</f>
        <v/>
      </c>
      <c r="D525" s="37" t="str">
        <f>IF($Z525="","",IF($Z525&lt;=2000,"包装物料－"&amp;INDEX(包装物料出入库明细!$H$4:$H$2003,$Z525-0),IF($Z525&lt;=4000,"周转筐－"&amp;INDEX(周转筐出入库明细!$F$4:$F$2004,$Z525-2000),IF($Z525&lt;=5200,"客户自备筐－"&amp;INDEX(客户自备加工筐明细!$J$4:$J$1203,$Z525-4000),IF($Z525&lt;=5800,"次果筐/托盘－"&amp;INDEX(次果筐明细!$F$4:$F$603,$Z525-5200),"")))))</f>
        <v/>
      </c>
      <c r="E525" s="24" t="str">
        <f>IF($Z525="","",IF($Z525&lt;=2000,IF(INDEX(包装物料出入库明细!$C$4:$C$2003,$Z525-0)=0,"",INDEX(包装物料出入库明细!$C$4:$C$2003,$Z525-0)),IF($Z525&lt;=4000,IF(INDEX(周转筐出入库明细!$E$4:$E$2004,$Z525-2000)=0,"",INDEX(周转筐出入库明细!$E$4:$E$2004,$Z525-2000)),IF($Z525&lt;=5200,IF(INDEX(客户自备加工筐明细!$D$4:$D$1203,$Z525-4000)=0,"",INDEX(客户自备加工筐明细!$D$4:$D$1203,$Z525-4000)),IF($Z525&lt;=5800,IF(INDEX(次果筐明细!$E$4:$E$603,$Z525-5200)=0,"",INDEX(次果筐明细!$E$4:$E$603,$Z525-5200)),"")))))</f>
        <v/>
      </c>
      <c r="F525" s="24" t="str">
        <f>IF($Z525="","",IF($Z525&lt;=2000,IF(INDEX(包装物料出入库明细!$E$4:$E$2003,$Z525-0)=0,"",INDEX(包装物料出入库明细!$E$4:$E$2003,$Z525-0)),IF($Z525&lt;=4000,IF(INDEX(周转筐出入库明细!$D$4:$D$2004,$Z525-2000)=0,"",INDEX(周转筐出入库明细!$D$4:$D$2004,$Z525-2000)),IF($Z525&lt;=5200,IF(INDEX(客户自备加工筐明细!$C$4:$C$1203,$Z525-4000)=0,"",INDEX(客户自备加工筐明细!$C$4:$C$1203,$Z525-4000)),IF($Z525&lt;=5800,IF(INDEX(次果筐明细!$D$4:$D$603,$Z525-5200)=0,"",INDEX(次果筐明细!$D$4:$D$603,$Z525-5200)),"")))))</f>
        <v/>
      </c>
      <c r="G525" s="24" t="str">
        <f>IF($Z525="","",IF($Z525&lt;=2000,IF(INDEX(包装物料出入库明细!$F$4:$F$2003,$Z525-0)=0,"",INDEX(包装物料出入库明细!$F$4:$F$2003,$Z525-0)),IF($Z525&lt;=4000,"",IF($Z525&lt;=5200,"",IF($Z525&lt;=5800,"","")))))</f>
        <v/>
      </c>
      <c r="H525" s="39" t="str">
        <f>IF($Z525="","",IF($Z525&lt;=2000,IF(INDEX(包装物料出入库明细!$L$4:$L$2003,$Z525-0)=0,"",INDEX(包装物料出入库明细!$L$4:$L$2003,$Z525-0)),IF($Z525&lt;=4000,N(INDEX(周转筐出入库明细!$H$4:$H$2004,$Z525-2000))+N(INDEX(周转筐出入库明细!$I$4:$I$2004,$Z525-2000))+N(INDEX(周转筐出入库明细!$J$4:$J$2004,$Z525-2000))+N(INDEX(周转筐出入库明细!$K$4:$K$2004,$Z525-2000)),IF($Z525&lt;=5200,N(INDEX(客户自备加工筐明细!$F$4:$F$1203,$Z525-4000))+N(INDEX(客户自备加工筐明细!$G$4:$G$1203,$Z525-4000)),IF($Z525&lt;=5800,IF(INDEX(次果筐明细!$G$4:$G$603,$Z525-5200)=0,"",INDEX(次果筐明细!$G$4:$G$603,$Z525-5200)),"")))))</f>
        <v/>
      </c>
      <c r="I525" s="24" t="str">
        <f>IF($Z525="","",IF($Z525&lt;=2000,IF(INDEX(包装物料出入库明细!$G$4:$G$2003,$Z525-0)=0,"",INDEX(包装物料出入库明细!$G$4:$G$2003,$Z525-0)),IF($Z525&lt;=4000,"个",IF($Z525&lt;=5200,"个",IF($Z525&lt;=5800,"个","")))))</f>
        <v/>
      </c>
      <c r="J525" s="30" t="str">
        <f t="shared" si="25"/>
        <v/>
      </c>
      <c r="K525" s="30" t="str">
        <f>IF($Z525="","",IF($Z525&lt;=2000,IF(INDEX(包装物料出入库明细!$N$4:$N$2003,$Z525-0)=0,"",INDEX(包装物料出入库明细!$N$4:$N$2003,$Z525-0)),IF($Z525&lt;=4000,IF(INDEX(周转筐出入库明细!$P$4:$P$2004,$Z525-2000)=0,"",INDEX(周转筐出入库明细!$P$4:$P$2004,$Z525-2000)),IF($Z525&lt;=5200,"",IF($Z525&lt;=5800,N(INDEX(次果筐明细!$L$4:$L$603,$Z525-5200))+N(INDEX(次果筐明细!$J$4:$J$603,$Z525-5200)),"")))))</f>
        <v/>
      </c>
      <c r="L525" s="24" t="str">
        <f>IF($Z525="","",IF($Z525&lt;=2000,IF(INDEX(包装物料出入库明细!$P$4:$P$2003,$Z525-0)=0,"",INDEX(包装物料出入库明细!$P$4:$P$2003,$Z525-0)),IF($Z525&lt;=4000,IF(INDEX(周转筐出入库明细!$Q$4:$Q$2004,$Z525-2000)=0,"",INDEX(周转筐出入库明细!$Q$4:$Q$2004,$Z525-2000)),IF($Z525&lt;=5200,"",IF($Z525&lt;=5800,IF(INDEX(次果筐明细!$M$4:$M$603,$Z525-5200)=0,"",INDEX(次果筐明细!$M$4:$M$603,$Z525-5200)),"")))))</f>
        <v/>
      </c>
      <c r="M525" s="37" t="str">
        <f>IF($Z525="","",IF($Z525&lt;=2000,IF(INDEX(包装物料出入库明细!$R$4:$R$2003,$Z525-0)=0,"",INDEX(包装物料出入库明细!$R$4:$R$2003,$Z525-0)),IF($Z525&lt;=4000,IF(INDEX(周转筐出入库明细!$W$4:$W$2004,$Z525-2000)=0,"",INDEX(周转筐出入库明细!$W$4:$W$2004,$Z525-2000)),IF($Z525&lt;=5200,IF(INDEX(客户自备加工筐明细!$L$4:$L$1203,$Z525-4000)=0,"",INDEX(客户自备加工筐明细!$L$4:$L$1203,$Z525-4000)),IF($Z525&lt;=5800,IF(INDEX(次果筐明细!$P$4:$P$603,$Z525-5200)=0,"",INDEX(次果筐明细!$P$4:$P$603,$Z525-5200)),"")))))</f>
        <v/>
      </c>
      <c r="N525" s="16" t="str">
        <f>IF($Z525="","",IF($Z525&lt;=2000,"",IF($Z525&lt;=4000,IF(INDEX(周转筐出入库明细!$D$4:$D$2004,$Z525-2000)=0,"",INDEX(周转筐出入库明细!$D$4:$D$2004,$Z525-2000)),IF($Z525&lt;=5200,IF(INDEX(客户自备加工筐明细!$C$4:$C$1203,$Z525-4000)=0,"",INDEX(客户自备加工筐明细!$C$4:$C$1203,$Z525-4000)),IF($Z525&lt;=5800,IF(INDEX(次果筐明细!$D$4:$D$603,$Z525-5200)=0,"",INDEX(次果筐明细!$D$4:$D$603,$Z525-5200)),"")))))</f>
        <v/>
      </c>
      <c r="O525" s="40" t="str">
        <f>IF($Z525="","",IF($Z525&lt;=2000,"",IF($Z525&lt;=4000,IF(N(INDEX(周转筐出入库明细!$J$4:$J$2004,$Z525-2000))+N(INDEX(周转筐出入库明细!$K$4:$K$2004,$Z525-2000))=0,"",N(INDEX(周转筐出入库明细!$J$4:$J$2004,$Z525-2000))+N(INDEX(周转筐出入库明细!$K$4:$K$2004,$Z525-2000))),IF($Z525&lt;=5200,IF(N(INDEX(客户自备加工筐明细!$G$4:$G$1203,$Z525-4000))=0,"",N(INDEX(客户自备加工筐明细!$G$4:$G$1203,$Z525-4000))),IF($Z525&lt;=5800,IF(ISNUMBER(SEARCH("退",INDEX(次果筐明细!$F$4:$F$603,$Z525-5200)&amp;"")),"",IF(N(INDEX(次果筐明细!$G$4:$G$603,$Z525-5200))=0,"",N(INDEX(次果筐明细!$G$4:$G$603,$Z525-5200)))),"")))))</f>
        <v/>
      </c>
      <c r="P525" s="40" t="str">
        <f>IF($Z525="","",IF($Z525&lt;=2000,"",IF($Z525&lt;=4000,IF(N(INDEX(周转筐出入库明细!$I$4:$I$2004,$Z525-2000))=0,"",N(INDEX(周转筐出入库明细!$I$4:$I$2004,$Z525-2000))),IF($Z525&lt;=5200,"",IF($Z525&lt;=5800,IF(ISNUMBER(SEARCH("退",INDEX(次果筐明细!$F$4:$F$603,$Z525-5200)&amp;"")),IF(N(INDEX(次果筐明细!$G$4:$G$603,$Z525-5200))=0,"",N(INDEX(次果筐明细!$G$4:$G$603,$Z525-5200))),""),"")))))</f>
        <v/>
      </c>
      <c r="Q525" s="40" t="str">
        <f>IF($Z525="","",IF($Z525&lt;=2000,"",IF($Z525&lt;=4000,IF(N(INDEX(周转筐出入库明细!$H$4:$H$2004,$Z525-2000))=0,"",N(INDEX(周转筐出入库明细!$H$4:$H$2004,$Z525-2000))),IF($Z525&lt;=5200,IF(N(INDEX(客户自备加工筐明细!$F$4:$F$1203,$Z525-4000))=0,"",N(INDEX(客户自备加工筐明细!$F$4:$F$1203,$Z525-4000))),IF($Z525&lt;=5800,"","")))))</f>
        <v/>
      </c>
      <c r="R525" s="16" t="str">
        <f>IF($Z525="","",IF($Z525&lt;=2000,IF(INDEX(包装物料出入库明细!$O$4:$O$2003,$Z525-0)=0,"",INDEX(包装物料出入库明细!$O$4:$O$2003,$Z525-0)),IF($Z525&lt;=4000,IF(INDEX(周转筐出入库明细!$M$4:$M$2004,$Z525-2000)=0,"",INDEX(周转筐出入库明细!$M$4:$M$2004,$Z525-2000)),IF($Z525&lt;=5200,IF(INDEX(客户自备加工筐明细!$H$4:$H$1203,$Z525-4000)=0,"",INDEX(客户自备加工筐明细!$H$4:$H$1203,$Z525-4000)),IF($Z525&lt;=5800,IF(INDEX(次果筐明细!$H$4:$H$603,$Z525-5200)=0,"",INDEX(次果筐明细!$H$4:$H$603,$Z525-5200)),"")))))</f>
        <v/>
      </c>
      <c r="S525" s="22" t="str">
        <f t="shared" si="26"/>
        <v/>
      </c>
      <c r="Z525" s="10" t="str">
        <f>IFERROR(MATCH(ROW()-3,_自动清单!$CQ$4:$CQ$5803,0),"")</f>
        <v/>
      </c>
    </row>
    <row r="526" spans="1:26">
      <c r="A526" s="24" t="str">
        <f t="shared" si="24"/>
        <v/>
      </c>
      <c r="B526" s="38" t="str">
        <f>IF($Z526="","",IF($Z526&lt;=2000,IF(INDEX(包装物料出入库明细!$B$4:$B$2003,$Z526-0)=0,"",INDEX(包装物料出入库明细!$B$4:$B$2003,$Z526-0)),IF($Z526&lt;=4000,IF(INDEX(周转筐出入库明细!$B$4:$B$2004,$Z526-2000)=0,"",INDEX(周转筐出入库明细!$B$4:$B$2004,$Z526-2000)),IF($Z526&lt;=5200,IF(INDEX(客户自备加工筐明细!$B$4:$B$1203,$Z526-4000)=0,"",INDEX(客户自备加工筐明细!$B$4:$B$1203,$Z526-4000)),IF($Z526&lt;=5800,IF(INDEX(次果筐明细!$B$4:$B$603,$Z526-5200)=0,"",INDEX(次果筐明细!$B$4:$B$603,$Z526-5200)),"")))))</f>
        <v/>
      </c>
      <c r="C526" s="37" t="str">
        <f>IF($Z526="","",IF($Z526&lt;=2000,IF(INDEX(包装物料出入库明细!$D$4:$D$2003,$Z526-0)=0,"",INDEX(包装物料出入库明细!$D$4:$D$2003,$Z526-0)),IF($Z526&lt;=4000,IF(INDEX(周转筐出入库明细!$C$4:$C$2004,$Z526-2000)=0,"",INDEX(周转筐出入库明细!$C$4:$C$2004,$Z526-2000)),IF($Z526&lt;=5200,IF(INDEX(客户自备加工筐明细!$E$4:$E$1203,$Z526-4000)=0,"",INDEX(客户自备加工筐明细!$E$4:$E$1203,$Z526-4000)),IF($Z526&lt;=5800,IF(INDEX(次果筐明细!$C$4:$C$603,$Z526-5200)=0,"",INDEX(次果筐明细!$C$4:$C$603,$Z526-5200)),"")))))</f>
        <v/>
      </c>
      <c r="D526" s="37" t="str">
        <f>IF($Z526="","",IF($Z526&lt;=2000,"包装物料－"&amp;INDEX(包装物料出入库明细!$H$4:$H$2003,$Z526-0),IF($Z526&lt;=4000,"周转筐－"&amp;INDEX(周转筐出入库明细!$F$4:$F$2004,$Z526-2000),IF($Z526&lt;=5200,"客户自备筐－"&amp;INDEX(客户自备加工筐明细!$J$4:$J$1203,$Z526-4000),IF($Z526&lt;=5800,"次果筐/托盘－"&amp;INDEX(次果筐明细!$F$4:$F$603,$Z526-5200),"")))))</f>
        <v/>
      </c>
      <c r="E526" s="24" t="str">
        <f>IF($Z526="","",IF($Z526&lt;=2000,IF(INDEX(包装物料出入库明细!$C$4:$C$2003,$Z526-0)=0,"",INDEX(包装物料出入库明细!$C$4:$C$2003,$Z526-0)),IF($Z526&lt;=4000,IF(INDEX(周转筐出入库明细!$E$4:$E$2004,$Z526-2000)=0,"",INDEX(周转筐出入库明细!$E$4:$E$2004,$Z526-2000)),IF($Z526&lt;=5200,IF(INDEX(客户自备加工筐明细!$D$4:$D$1203,$Z526-4000)=0,"",INDEX(客户自备加工筐明细!$D$4:$D$1203,$Z526-4000)),IF($Z526&lt;=5800,IF(INDEX(次果筐明细!$E$4:$E$603,$Z526-5200)=0,"",INDEX(次果筐明细!$E$4:$E$603,$Z526-5200)),"")))))</f>
        <v/>
      </c>
      <c r="F526" s="24" t="str">
        <f>IF($Z526="","",IF($Z526&lt;=2000,IF(INDEX(包装物料出入库明细!$E$4:$E$2003,$Z526-0)=0,"",INDEX(包装物料出入库明细!$E$4:$E$2003,$Z526-0)),IF($Z526&lt;=4000,IF(INDEX(周转筐出入库明细!$D$4:$D$2004,$Z526-2000)=0,"",INDEX(周转筐出入库明细!$D$4:$D$2004,$Z526-2000)),IF($Z526&lt;=5200,IF(INDEX(客户自备加工筐明细!$C$4:$C$1203,$Z526-4000)=0,"",INDEX(客户自备加工筐明细!$C$4:$C$1203,$Z526-4000)),IF($Z526&lt;=5800,IF(INDEX(次果筐明细!$D$4:$D$603,$Z526-5200)=0,"",INDEX(次果筐明细!$D$4:$D$603,$Z526-5200)),"")))))</f>
        <v/>
      </c>
      <c r="G526" s="24" t="str">
        <f>IF($Z526="","",IF($Z526&lt;=2000,IF(INDEX(包装物料出入库明细!$F$4:$F$2003,$Z526-0)=0,"",INDEX(包装物料出入库明细!$F$4:$F$2003,$Z526-0)),IF($Z526&lt;=4000,"",IF($Z526&lt;=5200,"",IF($Z526&lt;=5800,"","")))))</f>
        <v/>
      </c>
      <c r="H526" s="39" t="str">
        <f>IF($Z526="","",IF($Z526&lt;=2000,IF(INDEX(包装物料出入库明细!$L$4:$L$2003,$Z526-0)=0,"",INDEX(包装物料出入库明细!$L$4:$L$2003,$Z526-0)),IF($Z526&lt;=4000,N(INDEX(周转筐出入库明细!$H$4:$H$2004,$Z526-2000))+N(INDEX(周转筐出入库明细!$I$4:$I$2004,$Z526-2000))+N(INDEX(周转筐出入库明细!$J$4:$J$2004,$Z526-2000))+N(INDEX(周转筐出入库明细!$K$4:$K$2004,$Z526-2000)),IF($Z526&lt;=5200,N(INDEX(客户自备加工筐明细!$F$4:$F$1203,$Z526-4000))+N(INDEX(客户自备加工筐明细!$G$4:$G$1203,$Z526-4000)),IF($Z526&lt;=5800,IF(INDEX(次果筐明细!$G$4:$G$603,$Z526-5200)=0,"",INDEX(次果筐明细!$G$4:$G$603,$Z526-5200)),"")))))</f>
        <v/>
      </c>
      <c r="I526" s="24" t="str">
        <f>IF($Z526="","",IF($Z526&lt;=2000,IF(INDEX(包装物料出入库明细!$G$4:$G$2003,$Z526-0)=0,"",INDEX(包装物料出入库明细!$G$4:$G$2003,$Z526-0)),IF($Z526&lt;=4000,"个",IF($Z526&lt;=5200,"个",IF($Z526&lt;=5800,"个","")))))</f>
        <v/>
      </c>
      <c r="J526" s="30" t="str">
        <f t="shared" si="25"/>
        <v/>
      </c>
      <c r="K526" s="30" t="str">
        <f>IF($Z526="","",IF($Z526&lt;=2000,IF(INDEX(包装物料出入库明细!$N$4:$N$2003,$Z526-0)=0,"",INDEX(包装物料出入库明细!$N$4:$N$2003,$Z526-0)),IF($Z526&lt;=4000,IF(INDEX(周转筐出入库明细!$P$4:$P$2004,$Z526-2000)=0,"",INDEX(周转筐出入库明细!$P$4:$P$2004,$Z526-2000)),IF($Z526&lt;=5200,"",IF($Z526&lt;=5800,N(INDEX(次果筐明细!$L$4:$L$603,$Z526-5200))+N(INDEX(次果筐明细!$J$4:$J$603,$Z526-5200)),"")))))</f>
        <v/>
      </c>
      <c r="L526" s="24" t="str">
        <f>IF($Z526="","",IF($Z526&lt;=2000,IF(INDEX(包装物料出入库明细!$P$4:$P$2003,$Z526-0)=0,"",INDEX(包装物料出入库明细!$P$4:$P$2003,$Z526-0)),IF($Z526&lt;=4000,IF(INDEX(周转筐出入库明细!$Q$4:$Q$2004,$Z526-2000)=0,"",INDEX(周转筐出入库明细!$Q$4:$Q$2004,$Z526-2000)),IF($Z526&lt;=5200,"",IF($Z526&lt;=5800,IF(INDEX(次果筐明细!$M$4:$M$603,$Z526-5200)=0,"",INDEX(次果筐明细!$M$4:$M$603,$Z526-5200)),"")))))</f>
        <v/>
      </c>
      <c r="M526" s="37" t="str">
        <f>IF($Z526="","",IF($Z526&lt;=2000,IF(INDEX(包装物料出入库明细!$R$4:$R$2003,$Z526-0)=0,"",INDEX(包装物料出入库明细!$R$4:$R$2003,$Z526-0)),IF($Z526&lt;=4000,IF(INDEX(周转筐出入库明细!$W$4:$W$2004,$Z526-2000)=0,"",INDEX(周转筐出入库明细!$W$4:$W$2004,$Z526-2000)),IF($Z526&lt;=5200,IF(INDEX(客户自备加工筐明细!$L$4:$L$1203,$Z526-4000)=0,"",INDEX(客户自备加工筐明细!$L$4:$L$1203,$Z526-4000)),IF($Z526&lt;=5800,IF(INDEX(次果筐明细!$P$4:$P$603,$Z526-5200)=0,"",INDEX(次果筐明细!$P$4:$P$603,$Z526-5200)),"")))))</f>
        <v/>
      </c>
      <c r="N526" s="16" t="str">
        <f>IF($Z526="","",IF($Z526&lt;=2000,"",IF($Z526&lt;=4000,IF(INDEX(周转筐出入库明细!$D$4:$D$2004,$Z526-2000)=0,"",INDEX(周转筐出入库明细!$D$4:$D$2004,$Z526-2000)),IF($Z526&lt;=5200,IF(INDEX(客户自备加工筐明细!$C$4:$C$1203,$Z526-4000)=0,"",INDEX(客户自备加工筐明细!$C$4:$C$1203,$Z526-4000)),IF($Z526&lt;=5800,IF(INDEX(次果筐明细!$D$4:$D$603,$Z526-5200)=0,"",INDEX(次果筐明细!$D$4:$D$603,$Z526-5200)),"")))))</f>
        <v/>
      </c>
      <c r="O526" s="40" t="str">
        <f>IF($Z526="","",IF($Z526&lt;=2000,"",IF($Z526&lt;=4000,IF(N(INDEX(周转筐出入库明细!$J$4:$J$2004,$Z526-2000))+N(INDEX(周转筐出入库明细!$K$4:$K$2004,$Z526-2000))=0,"",N(INDEX(周转筐出入库明细!$J$4:$J$2004,$Z526-2000))+N(INDEX(周转筐出入库明细!$K$4:$K$2004,$Z526-2000))),IF($Z526&lt;=5200,IF(N(INDEX(客户自备加工筐明细!$G$4:$G$1203,$Z526-4000))=0,"",N(INDEX(客户自备加工筐明细!$G$4:$G$1203,$Z526-4000))),IF($Z526&lt;=5800,IF(ISNUMBER(SEARCH("退",INDEX(次果筐明细!$F$4:$F$603,$Z526-5200)&amp;"")),"",IF(N(INDEX(次果筐明细!$G$4:$G$603,$Z526-5200))=0,"",N(INDEX(次果筐明细!$G$4:$G$603,$Z526-5200)))),"")))))</f>
        <v/>
      </c>
      <c r="P526" s="40" t="str">
        <f>IF($Z526="","",IF($Z526&lt;=2000,"",IF($Z526&lt;=4000,IF(N(INDEX(周转筐出入库明细!$I$4:$I$2004,$Z526-2000))=0,"",N(INDEX(周转筐出入库明细!$I$4:$I$2004,$Z526-2000))),IF($Z526&lt;=5200,"",IF($Z526&lt;=5800,IF(ISNUMBER(SEARCH("退",INDEX(次果筐明细!$F$4:$F$603,$Z526-5200)&amp;"")),IF(N(INDEX(次果筐明细!$G$4:$G$603,$Z526-5200))=0,"",N(INDEX(次果筐明细!$G$4:$G$603,$Z526-5200))),""),"")))))</f>
        <v/>
      </c>
      <c r="Q526" s="40" t="str">
        <f>IF($Z526="","",IF($Z526&lt;=2000,"",IF($Z526&lt;=4000,IF(N(INDEX(周转筐出入库明细!$H$4:$H$2004,$Z526-2000))=0,"",N(INDEX(周转筐出入库明细!$H$4:$H$2004,$Z526-2000))),IF($Z526&lt;=5200,IF(N(INDEX(客户自备加工筐明细!$F$4:$F$1203,$Z526-4000))=0,"",N(INDEX(客户自备加工筐明细!$F$4:$F$1203,$Z526-4000))),IF($Z526&lt;=5800,"","")))))</f>
        <v/>
      </c>
      <c r="R526" s="16" t="str">
        <f>IF($Z526="","",IF($Z526&lt;=2000,IF(INDEX(包装物料出入库明细!$O$4:$O$2003,$Z526-0)=0,"",INDEX(包装物料出入库明细!$O$4:$O$2003,$Z526-0)),IF($Z526&lt;=4000,IF(INDEX(周转筐出入库明细!$M$4:$M$2004,$Z526-2000)=0,"",INDEX(周转筐出入库明细!$M$4:$M$2004,$Z526-2000)),IF($Z526&lt;=5200,IF(INDEX(客户自备加工筐明细!$H$4:$H$1203,$Z526-4000)=0,"",INDEX(客户自备加工筐明细!$H$4:$H$1203,$Z526-4000)),IF($Z526&lt;=5800,IF(INDEX(次果筐明细!$H$4:$H$603,$Z526-5200)=0,"",INDEX(次果筐明细!$H$4:$H$603,$Z526-5200)),"")))))</f>
        <v/>
      </c>
      <c r="S526" s="22" t="str">
        <f t="shared" si="26"/>
        <v/>
      </c>
      <c r="Z526" s="10" t="str">
        <f>IFERROR(MATCH(ROW()-3,_自动清单!$CQ$4:$CQ$5803,0),"")</f>
        <v/>
      </c>
    </row>
    <row r="527" spans="1:26">
      <c r="A527" s="24" t="str">
        <f t="shared" si="24"/>
        <v/>
      </c>
      <c r="B527" s="38" t="str">
        <f>IF($Z527="","",IF($Z527&lt;=2000,IF(INDEX(包装物料出入库明细!$B$4:$B$2003,$Z527-0)=0,"",INDEX(包装物料出入库明细!$B$4:$B$2003,$Z527-0)),IF($Z527&lt;=4000,IF(INDEX(周转筐出入库明细!$B$4:$B$2004,$Z527-2000)=0,"",INDEX(周转筐出入库明细!$B$4:$B$2004,$Z527-2000)),IF($Z527&lt;=5200,IF(INDEX(客户自备加工筐明细!$B$4:$B$1203,$Z527-4000)=0,"",INDEX(客户自备加工筐明细!$B$4:$B$1203,$Z527-4000)),IF($Z527&lt;=5800,IF(INDEX(次果筐明细!$B$4:$B$603,$Z527-5200)=0,"",INDEX(次果筐明细!$B$4:$B$603,$Z527-5200)),"")))))</f>
        <v/>
      </c>
      <c r="C527" s="37" t="str">
        <f>IF($Z527="","",IF($Z527&lt;=2000,IF(INDEX(包装物料出入库明细!$D$4:$D$2003,$Z527-0)=0,"",INDEX(包装物料出入库明细!$D$4:$D$2003,$Z527-0)),IF($Z527&lt;=4000,IF(INDEX(周转筐出入库明细!$C$4:$C$2004,$Z527-2000)=0,"",INDEX(周转筐出入库明细!$C$4:$C$2004,$Z527-2000)),IF($Z527&lt;=5200,IF(INDEX(客户自备加工筐明细!$E$4:$E$1203,$Z527-4000)=0,"",INDEX(客户自备加工筐明细!$E$4:$E$1203,$Z527-4000)),IF($Z527&lt;=5800,IF(INDEX(次果筐明细!$C$4:$C$603,$Z527-5200)=0,"",INDEX(次果筐明细!$C$4:$C$603,$Z527-5200)),"")))))</f>
        <v/>
      </c>
      <c r="D527" s="37" t="str">
        <f>IF($Z527="","",IF($Z527&lt;=2000,"包装物料－"&amp;INDEX(包装物料出入库明细!$H$4:$H$2003,$Z527-0),IF($Z527&lt;=4000,"周转筐－"&amp;INDEX(周转筐出入库明细!$F$4:$F$2004,$Z527-2000),IF($Z527&lt;=5200,"客户自备筐－"&amp;INDEX(客户自备加工筐明细!$J$4:$J$1203,$Z527-4000),IF($Z527&lt;=5800,"次果筐/托盘－"&amp;INDEX(次果筐明细!$F$4:$F$603,$Z527-5200),"")))))</f>
        <v/>
      </c>
      <c r="E527" s="24" t="str">
        <f>IF($Z527="","",IF($Z527&lt;=2000,IF(INDEX(包装物料出入库明细!$C$4:$C$2003,$Z527-0)=0,"",INDEX(包装物料出入库明细!$C$4:$C$2003,$Z527-0)),IF($Z527&lt;=4000,IF(INDEX(周转筐出入库明细!$E$4:$E$2004,$Z527-2000)=0,"",INDEX(周转筐出入库明细!$E$4:$E$2004,$Z527-2000)),IF($Z527&lt;=5200,IF(INDEX(客户自备加工筐明细!$D$4:$D$1203,$Z527-4000)=0,"",INDEX(客户自备加工筐明细!$D$4:$D$1203,$Z527-4000)),IF($Z527&lt;=5800,IF(INDEX(次果筐明细!$E$4:$E$603,$Z527-5200)=0,"",INDEX(次果筐明细!$E$4:$E$603,$Z527-5200)),"")))))</f>
        <v/>
      </c>
      <c r="F527" s="24" t="str">
        <f>IF($Z527="","",IF($Z527&lt;=2000,IF(INDEX(包装物料出入库明细!$E$4:$E$2003,$Z527-0)=0,"",INDEX(包装物料出入库明细!$E$4:$E$2003,$Z527-0)),IF($Z527&lt;=4000,IF(INDEX(周转筐出入库明细!$D$4:$D$2004,$Z527-2000)=0,"",INDEX(周转筐出入库明细!$D$4:$D$2004,$Z527-2000)),IF($Z527&lt;=5200,IF(INDEX(客户自备加工筐明细!$C$4:$C$1203,$Z527-4000)=0,"",INDEX(客户自备加工筐明细!$C$4:$C$1203,$Z527-4000)),IF($Z527&lt;=5800,IF(INDEX(次果筐明细!$D$4:$D$603,$Z527-5200)=0,"",INDEX(次果筐明细!$D$4:$D$603,$Z527-5200)),"")))))</f>
        <v/>
      </c>
      <c r="G527" s="24" t="str">
        <f>IF($Z527="","",IF($Z527&lt;=2000,IF(INDEX(包装物料出入库明细!$F$4:$F$2003,$Z527-0)=0,"",INDEX(包装物料出入库明细!$F$4:$F$2003,$Z527-0)),IF($Z527&lt;=4000,"",IF($Z527&lt;=5200,"",IF($Z527&lt;=5800,"","")))))</f>
        <v/>
      </c>
      <c r="H527" s="39" t="str">
        <f>IF($Z527="","",IF($Z527&lt;=2000,IF(INDEX(包装物料出入库明细!$L$4:$L$2003,$Z527-0)=0,"",INDEX(包装物料出入库明细!$L$4:$L$2003,$Z527-0)),IF($Z527&lt;=4000,N(INDEX(周转筐出入库明细!$H$4:$H$2004,$Z527-2000))+N(INDEX(周转筐出入库明细!$I$4:$I$2004,$Z527-2000))+N(INDEX(周转筐出入库明细!$J$4:$J$2004,$Z527-2000))+N(INDEX(周转筐出入库明细!$K$4:$K$2004,$Z527-2000)),IF($Z527&lt;=5200,N(INDEX(客户自备加工筐明细!$F$4:$F$1203,$Z527-4000))+N(INDEX(客户自备加工筐明细!$G$4:$G$1203,$Z527-4000)),IF($Z527&lt;=5800,IF(INDEX(次果筐明细!$G$4:$G$603,$Z527-5200)=0,"",INDEX(次果筐明细!$G$4:$G$603,$Z527-5200)),"")))))</f>
        <v/>
      </c>
      <c r="I527" s="24" t="str">
        <f>IF($Z527="","",IF($Z527&lt;=2000,IF(INDEX(包装物料出入库明细!$G$4:$G$2003,$Z527-0)=0,"",INDEX(包装物料出入库明细!$G$4:$G$2003,$Z527-0)),IF($Z527&lt;=4000,"个",IF($Z527&lt;=5200,"个",IF($Z527&lt;=5800,"个","")))))</f>
        <v/>
      </c>
      <c r="J527" s="30" t="str">
        <f t="shared" si="25"/>
        <v/>
      </c>
      <c r="K527" s="30" t="str">
        <f>IF($Z527="","",IF($Z527&lt;=2000,IF(INDEX(包装物料出入库明细!$N$4:$N$2003,$Z527-0)=0,"",INDEX(包装物料出入库明细!$N$4:$N$2003,$Z527-0)),IF($Z527&lt;=4000,IF(INDEX(周转筐出入库明细!$P$4:$P$2004,$Z527-2000)=0,"",INDEX(周转筐出入库明细!$P$4:$P$2004,$Z527-2000)),IF($Z527&lt;=5200,"",IF($Z527&lt;=5800,N(INDEX(次果筐明细!$L$4:$L$603,$Z527-5200))+N(INDEX(次果筐明细!$J$4:$J$603,$Z527-5200)),"")))))</f>
        <v/>
      </c>
      <c r="L527" s="24" t="str">
        <f>IF($Z527="","",IF($Z527&lt;=2000,IF(INDEX(包装物料出入库明细!$P$4:$P$2003,$Z527-0)=0,"",INDEX(包装物料出入库明细!$P$4:$P$2003,$Z527-0)),IF($Z527&lt;=4000,IF(INDEX(周转筐出入库明细!$Q$4:$Q$2004,$Z527-2000)=0,"",INDEX(周转筐出入库明细!$Q$4:$Q$2004,$Z527-2000)),IF($Z527&lt;=5200,"",IF($Z527&lt;=5800,IF(INDEX(次果筐明细!$M$4:$M$603,$Z527-5200)=0,"",INDEX(次果筐明细!$M$4:$M$603,$Z527-5200)),"")))))</f>
        <v/>
      </c>
      <c r="M527" s="37" t="str">
        <f>IF($Z527="","",IF($Z527&lt;=2000,IF(INDEX(包装物料出入库明细!$R$4:$R$2003,$Z527-0)=0,"",INDEX(包装物料出入库明细!$R$4:$R$2003,$Z527-0)),IF($Z527&lt;=4000,IF(INDEX(周转筐出入库明细!$W$4:$W$2004,$Z527-2000)=0,"",INDEX(周转筐出入库明细!$W$4:$W$2004,$Z527-2000)),IF($Z527&lt;=5200,IF(INDEX(客户自备加工筐明细!$L$4:$L$1203,$Z527-4000)=0,"",INDEX(客户自备加工筐明细!$L$4:$L$1203,$Z527-4000)),IF($Z527&lt;=5800,IF(INDEX(次果筐明细!$P$4:$P$603,$Z527-5200)=0,"",INDEX(次果筐明细!$P$4:$P$603,$Z527-5200)),"")))))</f>
        <v/>
      </c>
      <c r="N527" s="16" t="str">
        <f>IF($Z527="","",IF($Z527&lt;=2000,"",IF($Z527&lt;=4000,IF(INDEX(周转筐出入库明细!$D$4:$D$2004,$Z527-2000)=0,"",INDEX(周转筐出入库明细!$D$4:$D$2004,$Z527-2000)),IF($Z527&lt;=5200,IF(INDEX(客户自备加工筐明细!$C$4:$C$1203,$Z527-4000)=0,"",INDEX(客户自备加工筐明细!$C$4:$C$1203,$Z527-4000)),IF($Z527&lt;=5800,IF(INDEX(次果筐明细!$D$4:$D$603,$Z527-5200)=0,"",INDEX(次果筐明细!$D$4:$D$603,$Z527-5200)),"")))))</f>
        <v/>
      </c>
      <c r="O527" s="40" t="str">
        <f>IF($Z527="","",IF($Z527&lt;=2000,"",IF($Z527&lt;=4000,IF(N(INDEX(周转筐出入库明细!$J$4:$J$2004,$Z527-2000))+N(INDEX(周转筐出入库明细!$K$4:$K$2004,$Z527-2000))=0,"",N(INDEX(周转筐出入库明细!$J$4:$J$2004,$Z527-2000))+N(INDEX(周转筐出入库明细!$K$4:$K$2004,$Z527-2000))),IF($Z527&lt;=5200,IF(N(INDEX(客户自备加工筐明细!$G$4:$G$1203,$Z527-4000))=0,"",N(INDEX(客户自备加工筐明细!$G$4:$G$1203,$Z527-4000))),IF($Z527&lt;=5800,IF(ISNUMBER(SEARCH("退",INDEX(次果筐明细!$F$4:$F$603,$Z527-5200)&amp;"")),"",IF(N(INDEX(次果筐明细!$G$4:$G$603,$Z527-5200))=0,"",N(INDEX(次果筐明细!$G$4:$G$603,$Z527-5200)))),"")))))</f>
        <v/>
      </c>
      <c r="P527" s="40" t="str">
        <f>IF($Z527="","",IF($Z527&lt;=2000,"",IF($Z527&lt;=4000,IF(N(INDEX(周转筐出入库明细!$I$4:$I$2004,$Z527-2000))=0,"",N(INDEX(周转筐出入库明细!$I$4:$I$2004,$Z527-2000))),IF($Z527&lt;=5200,"",IF($Z527&lt;=5800,IF(ISNUMBER(SEARCH("退",INDEX(次果筐明细!$F$4:$F$603,$Z527-5200)&amp;"")),IF(N(INDEX(次果筐明细!$G$4:$G$603,$Z527-5200))=0,"",N(INDEX(次果筐明细!$G$4:$G$603,$Z527-5200))),""),"")))))</f>
        <v/>
      </c>
      <c r="Q527" s="40" t="str">
        <f>IF($Z527="","",IF($Z527&lt;=2000,"",IF($Z527&lt;=4000,IF(N(INDEX(周转筐出入库明细!$H$4:$H$2004,$Z527-2000))=0,"",N(INDEX(周转筐出入库明细!$H$4:$H$2004,$Z527-2000))),IF($Z527&lt;=5200,IF(N(INDEX(客户自备加工筐明细!$F$4:$F$1203,$Z527-4000))=0,"",N(INDEX(客户自备加工筐明细!$F$4:$F$1203,$Z527-4000))),IF($Z527&lt;=5800,"","")))))</f>
        <v/>
      </c>
      <c r="R527" s="16" t="str">
        <f>IF($Z527="","",IF($Z527&lt;=2000,IF(INDEX(包装物料出入库明细!$O$4:$O$2003,$Z527-0)=0,"",INDEX(包装物料出入库明细!$O$4:$O$2003,$Z527-0)),IF($Z527&lt;=4000,IF(INDEX(周转筐出入库明细!$M$4:$M$2004,$Z527-2000)=0,"",INDEX(周转筐出入库明细!$M$4:$M$2004,$Z527-2000)),IF($Z527&lt;=5200,IF(INDEX(客户自备加工筐明细!$H$4:$H$1203,$Z527-4000)=0,"",INDEX(客户自备加工筐明细!$H$4:$H$1203,$Z527-4000)),IF($Z527&lt;=5800,IF(INDEX(次果筐明细!$H$4:$H$603,$Z527-5200)=0,"",INDEX(次果筐明细!$H$4:$H$603,$Z527-5200)),"")))))</f>
        <v/>
      </c>
      <c r="S527" s="22" t="str">
        <f t="shared" si="26"/>
        <v/>
      </c>
      <c r="Z527" s="10" t="str">
        <f>IFERROR(MATCH(ROW()-3,_自动清单!$CQ$4:$CQ$5803,0),"")</f>
        <v/>
      </c>
    </row>
    <row r="528" spans="1:26">
      <c r="A528" s="24" t="str">
        <f t="shared" si="24"/>
        <v/>
      </c>
      <c r="B528" s="38" t="str">
        <f>IF($Z528="","",IF($Z528&lt;=2000,IF(INDEX(包装物料出入库明细!$B$4:$B$2003,$Z528-0)=0,"",INDEX(包装物料出入库明细!$B$4:$B$2003,$Z528-0)),IF($Z528&lt;=4000,IF(INDEX(周转筐出入库明细!$B$4:$B$2004,$Z528-2000)=0,"",INDEX(周转筐出入库明细!$B$4:$B$2004,$Z528-2000)),IF($Z528&lt;=5200,IF(INDEX(客户自备加工筐明细!$B$4:$B$1203,$Z528-4000)=0,"",INDEX(客户自备加工筐明细!$B$4:$B$1203,$Z528-4000)),IF($Z528&lt;=5800,IF(INDEX(次果筐明细!$B$4:$B$603,$Z528-5200)=0,"",INDEX(次果筐明细!$B$4:$B$603,$Z528-5200)),"")))))</f>
        <v/>
      </c>
      <c r="C528" s="37" t="str">
        <f>IF($Z528="","",IF($Z528&lt;=2000,IF(INDEX(包装物料出入库明细!$D$4:$D$2003,$Z528-0)=0,"",INDEX(包装物料出入库明细!$D$4:$D$2003,$Z528-0)),IF($Z528&lt;=4000,IF(INDEX(周转筐出入库明细!$C$4:$C$2004,$Z528-2000)=0,"",INDEX(周转筐出入库明细!$C$4:$C$2004,$Z528-2000)),IF($Z528&lt;=5200,IF(INDEX(客户自备加工筐明细!$E$4:$E$1203,$Z528-4000)=0,"",INDEX(客户自备加工筐明细!$E$4:$E$1203,$Z528-4000)),IF($Z528&lt;=5800,IF(INDEX(次果筐明细!$C$4:$C$603,$Z528-5200)=0,"",INDEX(次果筐明细!$C$4:$C$603,$Z528-5200)),"")))))</f>
        <v/>
      </c>
      <c r="D528" s="37" t="str">
        <f>IF($Z528="","",IF($Z528&lt;=2000,"包装物料－"&amp;INDEX(包装物料出入库明细!$H$4:$H$2003,$Z528-0),IF($Z528&lt;=4000,"周转筐－"&amp;INDEX(周转筐出入库明细!$F$4:$F$2004,$Z528-2000),IF($Z528&lt;=5200,"客户自备筐－"&amp;INDEX(客户自备加工筐明细!$J$4:$J$1203,$Z528-4000),IF($Z528&lt;=5800,"次果筐/托盘－"&amp;INDEX(次果筐明细!$F$4:$F$603,$Z528-5200),"")))))</f>
        <v/>
      </c>
      <c r="E528" s="24" t="str">
        <f>IF($Z528="","",IF($Z528&lt;=2000,IF(INDEX(包装物料出入库明细!$C$4:$C$2003,$Z528-0)=0,"",INDEX(包装物料出入库明细!$C$4:$C$2003,$Z528-0)),IF($Z528&lt;=4000,IF(INDEX(周转筐出入库明细!$E$4:$E$2004,$Z528-2000)=0,"",INDEX(周转筐出入库明细!$E$4:$E$2004,$Z528-2000)),IF($Z528&lt;=5200,IF(INDEX(客户自备加工筐明细!$D$4:$D$1203,$Z528-4000)=0,"",INDEX(客户自备加工筐明细!$D$4:$D$1203,$Z528-4000)),IF($Z528&lt;=5800,IF(INDEX(次果筐明细!$E$4:$E$603,$Z528-5200)=0,"",INDEX(次果筐明细!$E$4:$E$603,$Z528-5200)),"")))))</f>
        <v/>
      </c>
      <c r="F528" s="24" t="str">
        <f>IF($Z528="","",IF($Z528&lt;=2000,IF(INDEX(包装物料出入库明细!$E$4:$E$2003,$Z528-0)=0,"",INDEX(包装物料出入库明细!$E$4:$E$2003,$Z528-0)),IF($Z528&lt;=4000,IF(INDEX(周转筐出入库明细!$D$4:$D$2004,$Z528-2000)=0,"",INDEX(周转筐出入库明细!$D$4:$D$2004,$Z528-2000)),IF($Z528&lt;=5200,IF(INDEX(客户自备加工筐明细!$C$4:$C$1203,$Z528-4000)=0,"",INDEX(客户自备加工筐明细!$C$4:$C$1203,$Z528-4000)),IF($Z528&lt;=5800,IF(INDEX(次果筐明细!$D$4:$D$603,$Z528-5200)=0,"",INDEX(次果筐明细!$D$4:$D$603,$Z528-5200)),"")))))</f>
        <v/>
      </c>
      <c r="G528" s="24" t="str">
        <f>IF($Z528="","",IF($Z528&lt;=2000,IF(INDEX(包装物料出入库明细!$F$4:$F$2003,$Z528-0)=0,"",INDEX(包装物料出入库明细!$F$4:$F$2003,$Z528-0)),IF($Z528&lt;=4000,"",IF($Z528&lt;=5200,"",IF($Z528&lt;=5800,"","")))))</f>
        <v/>
      </c>
      <c r="H528" s="39" t="str">
        <f>IF($Z528="","",IF($Z528&lt;=2000,IF(INDEX(包装物料出入库明细!$L$4:$L$2003,$Z528-0)=0,"",INDEX(包装物料出入库明细!$L$4:$L$2003,$Z528-0)),IF($Z528&lt;=4000,N(INDEX(周转筐出入库明细!$H$4:$H$2004,$Z528-2000))+N(INDEX(周转筐出入库明细!$I$4:$I$2004,$Z528-2000))+N(INDEX(周转筐出入库明细!$J$4:$J$2004,$Z528-2000))+N(INDEX(周转筐出入库明细!$K$4:$K$2004,$Z528-2000)),IF($Z528&lt;=5200,N(INDEX(客户自备加工筐明细!$F$4:$F$1203,$Z528-4000))+N(INDEX(客户自备加工筐明细!$G$4:$G$1203,$Z528-4000)),IF($Z528&lt;=5800,IF(INDEX(次果筐明细!$G$4:$G$603,$Z528-5200)=0,"",INDEX(次果筐明细!$G$4:$G$603,$Z528-5200)),"")))))</f>
        <v/>
      </c>
      <c r="I528" s="24" t="str">
        <f>IF($Z528="","",IF($Z528&lt;=2000,IF(INDEX(包装物料出入库明细!$G$4:$G$2003,$Z528-0)=0,"",INDEX(包装物料出入库明细!$G$4:$G$2003,$Z528-0)),IF($Z528&lt;=4000,"个",IF($Z528&lt;=5200,"个",IF($Z528&lt;=5800,"个","")))))</f>
        <v/>
      </c>
      <c r="J528" s="30" t="str">
        <f t="shared" si="25"/>
        <v/>
      </c>
      <c r="K528" s="30" t="str">
        <f>IF($Z528="","",IF($Z528&lt;=2000,IF(INDEX(包装物料出入库明细!$N$4:$N$2003,$Z528-0)=0,"",INDEX(包装物料出入库明细!$N$4:$N$2003,$Z528-0)),IF($Z528&lt;=4000,IF(INDEX(周转筐出入库明细!$P$4:$P$2004,$Z528-2000)=0,"",INDEX(周转筐出入库明细!$P$4:$P$2004,$Z528-2000)),IF($Z528&lt;=5200,"",IF($Z528&lt;=5800,N(INDEX(次果筐明细!$L$4:$L$603,$Z528-5200))+N(INDEX(次果筐明细!$J$4:$J$603,$Z528-5200)),"")))))</f>
        <v/>
      </c>
      <c r="L528" s="24" t="str">
        <f>IF($Z528="","",IF($Z528&lt;=2000,IF(INDEX(包装物料出入库明细!$P$4:$P$2003,$Z528-0)=0,"",INDEX(包装物料出入库明细!$P$4:$P$2003,$Z528-0)),IF($Z528&lt;=4000,IF(INDEX(周转筐出入库明细!$Q$4:$Q$2004,$Z528-2000)=0,"",INDEX(周转筐出入库明细!$Q$4:$Q$2004,$Z528-2000)),IF($Z528&lt;=5200,"",IF($Z528&lt;=5800,IF(INDEX(次果筐明细!$M$4:$M$603,$Z528-5200)=0,"",INDEX(次果筐明细!$M$4:$M$603,$Z528-5200)),"")))))</f>
        <v/>
      </c>
      <c r="M528" s="37" t="str">
        <f>IF($Z528="","",IF($Z528&lt;=2000,IF(INDEX(包装物料出入库明细!$R$4:$R$2003,$Z528-0)=0,"",INDEX(包装物料出入库明细!$R$4:$R$2003,$Z528-0)),IF($Z528&lt;=4000,IF(INDEX(周转筐出入库明细!$W$4:$W$2004,$Z528-2000)=0,"",INDEX(周转筐出入库明细!$W$4:$W$2004,$Z528-2000)),IF($Z528&lt;=5200,IF(INDEX(客户自备加工筐明细!$L$4:$L$1203,$Z528-4000)=0,"",INDEX(客户自备加工筐明细!$L$4:$L$1203,$Z528-4000)),IF($Z528&lt;=5800,IF(INDEX(次果筐明细!$P$4:$P$603,$Z528-5200)=0,"",INDEX(次果筐明细!$P$4:$P$603,$Z528-5200)),"")))))</f>
        <v/>
      </c>
      <c r="N528" s="16" t="str">
        <f>IF($Z528="","",IF($Z528&lt;=2000,"",IF($Z528&lt;=4000,IF(INDEX(周转筐出入库明细!$D$4:$D$2004,$Z528-2000)=0,"",INDEX(周转筐出入库明细!$D$4:$D$2004,$Z528-2000)),IF($Z528&lt;=5200,IF(INDEX(客户自备加工筐明细!$C$4:$C$1203,$Z528-4000)=0,"",INDEX(客户自备加工筐明细!$C$4:$C$1203,$Z528-4000)),IF($Z528&lt;=5800,IF(INDEX(次果筐明细!$D$4:$D$603,$Z528-5200)=0,"",INDEX(次果筐明细!$D$4:$D$603,$Z528-5200)),"")))))</f>
        <v/>
      </c>
      <c r="O528" s="40" t="str">
        <f>IF($Z528="","",IF($Z528&lt;=2000,"",IF($Z528&lt;=4000,IF(N(INDEX(周转筐出入库明细!$J$4:$J$2004,$Z528-2000))+N(INDEX(周转筐出入库明细!$K$4:$K$2004,$Z528-2000))=0,"",N(INDEX(周转筐出入库明细!$J$4:$J$2004,$Z528-2000))+N(INDEX(周转筐出入库明细!$K$4:$K$2004,$Z528-2000))),IF($Z528&lt;=5200,IF(N(INDEX(客户自备加工筐明细!$G$4:$G$1203,$Z528-4000))=0,"",N(INDEX(客户自备加工筐明细!$G$4:$G$1203,$Z528-4000))),IF($Z528&lt;=5800,IF(ISNUMBER(SEARCH("退",INDEX(次果筐明细!$F$4:$F$603,$Z528-5200)&amp;"")),"",IF(N(INDEX(次果筐明细!$G$4:$G$603,$Z528-5200))=0,"",N(INDEX(次果筐明细!$G$4:$G$603,$Z528-5200)))),"")))))</f>
        <v/>
      </c>
      <c r="P528" s="40" t="str">
        <f>IF($Z528="","",IF($Z528&lt;=2000,"",IF($Z528&lt;=4000,IF(N(INDEX(周转筐出入库明细!$I$4:$I$2004,$Z528-2000))=0,"",N(INDEX(周转筐出入库明细!$I$4:$I$2004,$Z528-2000))),IF($Z528&lt;=5200,"",IF($Z528&lt;=5800,IF(ISNUMBER(SEARCH("退",INDEX(次果筐明细!$F$4:$F$603,$Z528-5200)&amp;"")),IF(N(INDEX(次果筐明细!$G$4:$G$603,$Z528-5200))=0,"",N(INDEX(次果筐明细!$G$4:$G$603,$Z528-5200))),""),"")))))</f>
        <v/>
      </c>
      <c r="Q528" s="40" t="str">
        <f>IF($Z528="","",IF($Z528&lt;=2000,"",IF($Z528&lt;=4000,IF(N(INDEX(周转筐出入库明细!$H$4:$H$2004,$Z528-2000))=0,"",N(INDEX(周转筐出入库明细!$H$4:$H$2004,$Z528-2000))),IF($Z528&lt;=5200,IF(N(INDEX(客户自备加工筐明细!$F$4:$F$1203,$Z528-4000))=0,"",N(INDEX(客户自备加工筐明细!$F$4:$F$1203,$Z528-4000))),IF($Z528&lt;=5800,"","")))))</f>
        <v/>
      </c>
      <c r="R528" s="16" t="str">
        <f>IF($Z528="","",IF($Z528&lt;=2000,IF(INDEX(包装物料出入库明细!$O$4:$O$2003,$Z528-0)=0,"",INDEX(包装物料出入库明细!$O$4:$O$2003,$Z528-0)),IF($Z528&lt;=4000,IF(INDEX(周转筐出入库明细!$M$4:$M$2004,$Z528-2000)=0,"",INDEX(周转筐出入库明细!$M$4:$M$2004,$Z528-2000)),IF($Z528&lt;=5200,IF(INDEX(客户自备加工筐明细!$H$4:$H$1203,$Z528-4000)=0,"",INDEX(客户自备加工筐明细!$H$4:$H$1203,$Z528-4000)),IF($Z528&lt;=5800,IF(INDEX(次果筐明细!$H$4:$H$603,$Z528-5200)=0,"",INDEX(次果筐明细!$H$4:$H$603,$Z528-5200)),"")))))</f>
        <v/>
      </c>
      <c r="S528" s="22" t="str">
        <f t="shared" si="26"/>
        <v/>
      </c>
      <c r="Z528" s="10" t="str">
        <f>IFERROR(MATCH(ROW()-3,_自动清单!$CQ$4:$CQ$5803,0),"")</f>
        <v/>
      </c>
    </row>
    <row r="529" spans="1:26">
      <c r="A529" s="24" t="str">
        <f t="shared" si="24"/>
        <v/>
      </c>
      <c r="B529" s="38" t="str">
        <f>IF($Z529="","",IF($Z529&lt;=2000,IF(INDEX(包装物料出入库明细!$B$4:$B$2003,$Z529-0)=0,"",INDEX(包装物料出入库明细!$B$4:$B$2003,$Z529-0)),IF($Z529&lt;=4000,IF(INDEX(周转筐出入库明细!$B$4:$B$2004,$Z529-2000)=0,"",INDEX(周转筐出入库明细!$B$4:$B$2004,$Z529-2000)),IF($Z529&lt;=5200,IF(INDEX(客户自备加工筐明细!$B$4:$B$1203,$Z529-4000)=0,"",INDEX(客户自备加工筐明细!$B$4:$B$1203,$Z529-4000)),IF($Z529&lt;=5800,IF(INDEX(次果筐明细!$B$4:$B$603,$Z529-5200)=0,"",INDEX(次果筐明细!$B$4:$B$603,$Z529-5200)),"")))))</f>
        <v/>
      </c>
      <c r="C529" s="37" t="str">
        <f>IF($Z529="","",IF($Z529&lt;=2000,IF(INDEX(包装物料出入库明细!$D$4:$D$2003,$Z529-0)=0,"",INDEX(包装物料出入库明细!$D$4:$D$2003,$Z529-0)),IF($Z529&lt;=4000,IF(INDEX(周转筐出入库明细!$C$4:$C$2004,$Z529-2000)=0,"",INDEX(周转筐出入库明细!$C$4:$C$2004,$Z529-2000)),IF($Z529&lt;=5200,IF(INDEX(客户自备加工筐明细!$E$4:$E$1203,$Z529-4000)=0,"",INDEX(客户自备加工筐明细!$E$4:$E$1203,$Z529-4000)),IF($Z529&lt;=5800,IF(INDEX(次果筐明细!$C$4:$C$603,$Z529-5200)=0,"",INDEX(次果筐明细!$C$4:$C$603,$Z529-5200)),"")))))</f>
        <v/>
      </c>
      <c r="D529" s="37" t="str">
        <f>IF($Z529="","",IF($Z529&lt;=2000,"包装物料－"&amp;INDEX(包装物料出入库明细!$H$4:$H$2003,$Z529-0),IF($Z529&lt;=4000,"周转筐－"&amp;INDEX(周转筐出入库明细!$F$4:$F$2004,$Z529-2000),IF($Z529&lt;=5200,"客户自备筐－"&amp;INDEX(客户自备加工筐明细!$J$4:$J$1203,$Z529-4000),IF($Z529&lt;=5800,"次果筐/托盘－"&amp;INDEX(次果筐明细!$F$4:$F$603,$Z529-5200),"")))))</f>
        <v/>
      </c>
      <c r="E529" s="24" t="str">
        <f>IF($Z529="","",IF($Z529&lt;=2000,IF(INDEX(包装物料出入库明细!$C$4:$C$2003,$Z529-0)=0,"",INDEX(包装物料出入库明细!$C$4:$C$2003,$Z529-0)),IF($Z529&lt;=4000,IF(INDEX(周转筐出入库明细!$E$4:$E$2004,$Z529-2000)=0,"",INDEX(周转筐出入库明细!$E$4:$E$2004,$Z529-2000)),IF($Z529&lt;=5200,IF(INDEX(客户自备加工筐明细!$D$4:$D$1203,$Z529-4000)=0,"",INDEX(客户自备加工筐明细!$D$4:$D$1203,$Z529-4000)),IF($Z529&lt;=5800,IF(INDEX(次果筐明细!$E$4:$E$603,$Z529-5200)=0,"",INDEX(次果筐明细!$E$4:$E$603,$Z529-5200)),"")))))</f>
        <v/>
      </c>
      <c r="F529" s="24" t="str">
        <f>IF($Z529="","",IF($Z529&lt;=2000,IF(INDEX(包装物料出入库明细!$E$4:$E$2003,$Z529-0)=0,"",INDEX(包装物料出入库明细!$E$4:$E$2003,$Z529-0)),IF($Z529&lt;=4000,IF(INDEX(周转筐出入库明细!$D$4:$D$2004,$Z529-2000)=0,"",INDEX(周转筐出入库明细!$D$4:$D$2004,$Z529-2000)),IF($Z529&lt;=5200,IF(INDEX(客户自备加工筐明细!$C$4:$C$1203,$Z529-4000)=0,"",INDEX(客户自备加工筐明细!$C$4:$C$1203,$Z529-4000)),IF($Z529&lt;=5800,IF(INDEX(次果筐明细!$D$4:$D$603,$Z529-5200)=0,"",INDEX(次果筐明细!$D$4:$D$603,$Z529-5200)),"")))))</f>
        <v/>
      </c>
      <c r="G529" s="24" t="str">
        <f>IF($Z529="","",IF($Z529&lt;=2000,IF(INDEX(包装物料出入库明细!$F$4:$F$2003,$Z529-0)=0,"",INDEX(包装物料出入库明细!$F$4:$F$2003,$Z529-0)),IF($Z529&lt;=4000,"",IF($Z529&lt;=5200,"",IF($Z529&lt;=5800,"","")))))</f>
        <v/>
      </c>
      <c r="H529" s="39" t="str">
        <f>IF($Z529="","",IF($Z529&lt;=2000,IF(INDEX(包装物料出入库明细!$L$4:$L$2003,$Z529-0)=0,"",INDEX(包装物料出入库明细!$L$4:$L$2003,$Z529-0)),IF($Z529&lt;=4000,N(INDEX(周转筐出入库明细!$H$4:$H$2004,$Z529-2000))+N(INDEX(周转筐出入库明细!$I$4:$I$2004,$Z529-2000))+N(INDEX(周转筐出入库明细!$J$4:$J$2004,$Z529-2000))+N(INDEX(周转筐出入库明细!$K$4:$K$2004,$Z529-2000)),IF($Z529&lt;=5200,N(INDEX(客户自备加工筐明细!$F$4:$F$1203,$Z529-4000))+N(INDEX(客户自备加工筐明细!$G$4:$G$1203,$Z529-4000)),IF($Z529&lt;=5800,IF(INDEX(次果筐明细!$G$4:$G$603,$Z529-5200)=0,"",INDEX(次果筐明细!$G$4:$G$603,$Z529-5200)),"")))))</f>
        <v/>
      </c>
      <c r="I529" s="24" t="str">
        <f>IF($Z529="","",IF($Z529&lt;=2000,IF(INDEX(包装物料出入库明细!$G$4:$G$2003,$Z529-0)=0,"",INDEX(包装物料出入库明细!$G$4:$G$2003,$Z529-0)),IF($Z529&lt;=4000,"个",IF($Z529&lt;=5200,"个",IF($Z529&lt;=5800,"个","")))))</f>
        <v/>
      </c>
      <c r="J529" s="30" t="str">
        <f t="shared" si="25"/>
        <v/>
      </c>
      <c r="K529" s="30" t="str">
        <f>IF($Z529="","",IF($Z529&lt;=2000,IF(INDEX(包装物料出入库明细!$N$4:$N$2003,$Z529-0)=0,"",INDEX(包装物料出入库明细!$N$4:$N$2003,$Z529-0)),IF($Z529&lt;=4000,IF(INDEX(周转筐出入库明细!$P$4:$P$2004,$Z529-2000)=0,"",INDEX(周转筐出入库明细!$P$4:$P$2004,$Z529-2000)),IF($Z529&lt;=5200,"",IF($Z529&lt;=5800,N(INDEX(次果筐明细!$L$4:$L$603,$Z529-5200))+N(INDEX(次果筐明细!$J$4:$J$603,$Z529-5200)),"")))))</f>
        <v/>
      </c>
      <c r="L529" s="24" t="str">
        <f>IF($Z529="","",IF($Z529&lt;=2000,IF(INDEX(包装物料出入库明细!$P$4:$P$2003,$Z529-0)=0,"",INDEX(包装物料出入库明细!$P$4:$P$2003,$Z529-0)),IF($Z529&lt;=4000,IF(INDEX(周转筐出入库明细!$Q$4:$Q$2004,$Z529-2000)=0,"",INDEX(周转筐出入库明细!$Q$4:$Q$2004,$Z529-2000)),IF($Z529&lt;=5200,"",IF($Z529&lt;=5800,IF(INDEX(次果筐明细!$M$4:$M$603,$Z529-5200)=0,"",INDEX(次果筐明细!$M$4:$M$603,$Z529-5200)),"")))))</f>
        <v/>
      </c>
      <c r="M529" s="37" t="str">
        <f>IF($Z529="","",IF($Z529&lt;=2000,IF(INDEX(包装物料出入库明细!$R$4:$R$2003,$Z529-0)=0,"",INDEX(包装物料出入库明细!$R$4:$R$2003,$Z529-0)),IF($Z529&lt;=4000,IF(INDEX(周转筐出入库明细!$W$4:$W$2004,$Z529-2000)=0,"",INDEX(周转筐出入库明细!$W$4:$W$2004,$Z529-2000)),IF($Z529&lt;=5200,IF(INDEX(客户自备加工筐明细!$L$4:$L$1203,$Z529-4000)=0,"",INDEX(客户自备加工筐明细!$L$4:$L$1203,$Z529-4000)),IF($Z529&lt;=5800,IF(INDEX(次果筐明细!$P$4:$P$603,$Z529-5200)=0,"",INDEX(次果筐明细!$P$4:$P$603,$Z529-5200)),"")))))</f>
        <v/>
      </c>
      <c r="N529" s="16" t="str">
        <f>IF($Z529="","",IF($Z529&lt;=2000,"",IF($Z529&lt;=4000,IF(INDEX(周转筐出入库明细!$D$4:$D$2004,$Z529-2000)=0,"",INDEX(周转筐出入库明细!$D$4:$D$2004,$Z529-2000)),IF($Z529&lt;=5200,IF(INDEX(客户自备加工筐明细!$C$4:$C$1203,$Z529-4000)=0,"",INDEX(客户自备加工筐明细!$C$4:$C$1203,$Z529-4000)),IF($Z529&lt;=5800,IF(INDEX(次果筐明细!$D$4:$D$603,$Z529-5200)=0,"",INDEX(次果筐明细!$D$4:$D$603,$Z529-5200)),"")))))</f>
        <v/>
      </c>
      <c r="O529" s="40" t="str">
        <f>IF($Z529="","",IF($Z529&lt;=2000,"",IF($Z529&lt;=4000,IF(N(INDEX(周转筐出入库明细!$J$4:$J$2004,$Z529-2000))+N(INDEX(周转筐出入库明细!$K$4:$K$2004,$Z529-2000))=0,"",N(INDEX(周转筐出入库明细!$J$4:$J$2004,$Z529-2000))+N(INDEX(周转筐出入库明细!$K$4:$K$2004,$Z529-2000))),IF($Z529&lt;=5200,IF(N(INDEX(客户自备加工筐明细!$G$4:$G$1203,$Z529-4000))=0,"",N(INDEX(客户自备加工筐明细!$G$4:$G$1203,$Z529-4000))),IF($Z529&lt;=5800,IF(ISNUMBER(SEARCH("退",INDEX(次果筐明细!$F$4:$F$603,$Z529-5200)&amp;"")),"",IF(N(INDEX(次果筐明细!$G$4:$G$603,$Z529-5200))=0,"",N(INDEX(次果筐明细!$G$4:$G$603,$Z529-5200)))),"")))))</f>
        <v/>
      </c>
      <c r="P529" s="40" t="str">
        <f>IF($Z529="","",IF($Z529&lt;=2000,"",IF($Z529&lt;=4000,IF(N(INDEX(周转筐出入库明细!$I$4:$I$2004,$Z529-2000))=0,"",N(INDEX(周转筐出入库明细!$I$4:$I$2004,$Z529-2000))),IF($Z529&lt;=5200,"",IF($Z529&lt;=5800,IF(ISNUMBER(SEARCH("退",INDEX(次果筐明细!$F$4:$F$603,$Z529-5200)&amp;"")),IF(N(INDEX(次果筐明细!$G$4:$G$603,$Z529-5200))=0,"",N(INDEX(次果筐明细!$G$4:$G$603,$Z529-5200))),""),"")))))</f>
        <v/>
      </c>
      <c r="Q529" s="40" t="str">
        <f>IF($Z529="","",IF($Z529&lt;=2000,"",IF($Z529&lt;=4000,IF(N(INDEX(周转筐出入库明细!$H$4:$H$2004,$Z529-2000))=0,"",N(INDEX(周转筐出入库明细!$H$4:$H$2004,$Z529-2000))),IF($Z529&lt;=5200,IF(N(INDEX(客户自备加工筐明细!$F$4:$F$1203,$Z529-4000))=0,"",N(INDEX(客户自备加工筐明细!$F$4:$F$1203,$Z529-4000))),IF($Z529&lt;=5800,"","")))))</f>
        <v/>
      </c>
      <c r="R529" s="16" t="str">
        <f>IF($Z529="","",IF($Z529&lt;=2000,IF(INDEX(包装物料出入库明细!$O$4:$O$2003,$Z529-0)=0,"",INDEX(包装物料出入库明细!$O$4:$O$2003,$Z529-0)),IF($Z529&lt;=4000,IF(INDEX(周转筐出入库明细!$M$4:$M$2004,$Z529-2000)=0,"",INDEX(周转筐出入库明细!$M$4:$M$2004,$Z529-2000)),IF($Z529&lt;=5200,IF(INDEX(客户自备加工筐明细!$H$4:$H$1203,$Z529-4000)=0,"",INDEX(客户自备加工筐明细!$H$4:$H$1203,$Z529-4000)),IF($Z529&lt;=5800,IF(INDEX(次果筐明细!$H$4:$H$603,$Z529-5200)=0,"",INDEX(次果筐明细!$H$4:$H$603,$Z529-5200)),"")))))</f>
        <v/>
      </c>
      <c r="S529" s="22" t="str">
        <f t="shared" si="26"/>
        <v/>
      </c>
      <c r="Z529" s="10" t="str">
        <f>IFERROR(MATCH(ROW()-3,_自动清单!$CQ$4:$CQ$5803,0),"")</f>
        <v/>
      </c>
    </row>
    <row r="530" spans="1:26">
      <c r="A530" s="24" t="str">
        <f t="shared" si="24"/>
        <v/>
      </c>
      <c r="B530" s="38" t="str">
        <f>IF($Z530="","",IF($Z530&lt;=2000,IF(INDEX(包装物料出入库明细!$B$4:$B$2003,$Z530-0)=0,"",INDEX(包装物料出入库明细!$B$4:$B$2003,$Z530-0)),IF($Z530&lt;=4000,IF(INDEX(周转筐出入库明细!$B$4:$B$2004,$Z530-2000)=0,"",INDEX(周转筐出入库明细!$B$4:$B$2004,$Z530-2000)),IF($Z530&lt;=5200,IF(INDEX(客户自备加工筐明细!$B$4:$B$1203,$Z530-4000)=0,"",INDEX(客户自备加工筐明细!$B$4:$B$1203,$Z530-4000)),IF($Z530&lt;=5800,IF(INDEX(次果筐明细!$B$4:$B$603,$Z530-5200)=0,"",INDEX(次果筐明细!$B$4:$B$603,$Z530-5200)),"")))))</f>
        <v/>
      </c>
      <c r="C530" s="37" t="str">
        <f>IF($Z530="","",IF($Z530&lt;=2000,IF(INDEX(包装物料出入库明细!$D$4:$D$2003,$Z530-0)=0,"",INDEX(包装物料出入库明细!$D$4:$D$2003,$Z530-0)),IF($Z530&lt;=4000,IF(INDEX(周转筐出入库明细!$C$4:$C$2004,$Z530-2000)=0,"",INDEX(周转筐出入库明细!$C$4:$C$2004,$Z530-2000)),IF($Z530&lt;=5200,IF(INDEX(客户自备加工筐明细!$E$4:$E$1203,$Z530-4000)=0,"",INDEX(客户自备加工筐明细!$E$4:$E$1203,$Z530-4000)),IF($Z530&lt;=5800,IF(INDEX(次果筐明细!$C$4:$C$603,$Z530-5200)=0,"",INDEX(次果筐明细!$C$4:$C$603,$Z530-5200)),"")))))</f>
        <v/>
      </c>
      <c r="D530" s="37" t="str">
        <f>IF($Z530="","",IF($Z530&lt;=2000,"包装物料－"&amp;INDEX(包装物料出入库明细!$H$4:$H$2003,$Z530-0),IF($Z530&lt;=4000,"周转筐－"&amp;INDEX(周转筐出入库明细!$F$4:$F$2004,$Z530-2000),IF($Z530&lt;=5200,"客户自备筐－"&amp;INDEX(客户自备加工筐明细!$J$4:$J$1203,$Z530-4000),IF($Z530&lt;=5800,"次果筐/托盘－"&amp;INDEX(次果筐明细!$F$4:$F$603,$Z530-5200),"")))))</f>
        <v/>
      </c>
      <c r="E530" s="24" t="str">
        <f>IF($Z530="","",IF($Z530&lt;=2000,IF(INDEX(包装物料出入库明细!$C$4:$C$2003,$Z530-0)=0,"",INDEX(包装物料出入库明细!$C$4:$C$2003,$Z530-0)),IF($Z530&lt;=4000,IF(INDEX(周转筐出入库明细!$E$4:$E$2004,$Z530-2000)=0,"",INDEX(周转筐出入库明细!$E$4:$E$2004,$Z530-2000)),IF($Z530&lt;=5200,IF(INDEX(客户自备加工筐明细!$D$4:$D$1203,$Z530-4000)=0,"",INDEX(客户自备加工筐明细!$D$4:$D$1203,$Z530-4000)),IF($Z530&lt;=5800,IF(INDEX(次果筐明细!$E$4:$E$603,$Z530-5200)=0,"",INDEX(次果筐明细!$E$4:$E$603,$Z530-5200)),"")))))</f>
        <v/>
      </c>
      <c r="F530" s="24" t="str">
        <f>IF($Z530="","",IF($Z530&lt;=2000,IF(INDEX(包装物料出入库明细!$E$4:$E$2003,$Z530-0)=0,"",INDEX(包装物料出入库明细!$E$4:$E$2003,$Z530-0)),IF($Z530&lt;=4000,IF(INDEX(周转筐出入库明细!$D$4:$D$2004,$Z530-2000)=0,"",INDEX(周转筐出入库明细!$D$4:$D$2004,$Z530-2000)),IF($Z530&lt;=5200,IF(INDEX(客户自备加工筐明细!$C$4:$C$1203,$Z530-4000)=0,"",INDEX(客户自备加工筐明细!$C$4:$C$1203,$Z530-4000)),IF($Z530&lt;=5800,IF(INDEX(次果筐明细!$D$4:$D$603,$Z530-5200)=0,"",INDEX(次果筐明细!$D$4:$D$603,$Z530-5200)),"")))))</f>
        <v/>
      </c>
      <c r="G530" s="24" t="str">
        <f>IF($Z530="","",IF($Z530&lt;=2000,IF(INDEX(包装物料出入库明细!$F$4:$F$2003,$Z530-0)=0,"",INDEX(包装物料出入库明细!$F$4:$F$2003,$Z530-0)),IF($Z530&lt;=4000,"",IF($Z530&lt;=5200,"",IF($Z530&lt;=5800,"","")))))</f>
        <v/>
      </c>
      <c r="H530" s="39" t="str">
        <f>IF($Z530="","",IF($Z530&lt;=2000,IF(INDEX(包装物料出入库明细!$L$4:$L$2003,$Z530-0)=0,"",INDEX(包装物料出入库明细!$L$4:$L$2003,$Z530-0)),IF($Z530&lt;=4000,N(INDEX(周转筐出入库明细!$H$4:$H$2004,$Z530-2000))+N(INDEX(周转筐出入库明细!$I$4:$I$2004,$Z530-2000))+N(INDEX(周转筐出入库明细!$J$4:$J$2004,$Z530-2000))+N(INDEX(周转筐出入库明细!$K$4:$K$2004,$Z530-2000)),IF($Z530&lt;=5200,N(INDEX(客户自备加工筐明细!$F$4:$F$1203,$Z530-4000))+N(INDEX(客户自备加工筐明细!$G$4:$G$1203,$Z530-4000)),IF($Z530&lt;=5800,IF(INDEX(次果筐明细!$G$4:$G$603,$Z530-5200)=0,"",INDEX(次果筐明细!$G$4:$G$603,$Z530-5200)),"")))))</f>
        <v/>
      </c>
      <c r="I530" s="24" t="str">
        <f>IF($Z530="","",IF($Z530&lt;=2000,IF(INDEX(包装物料出入库明细!$G$4:$G$2003,$Z530-0)=0,"",INDEX(包装物料出入库明细!$G$4:$G$2003,$Z530-0)),IF($Z530&lt;=4000,"个",IF($Z530&lt;=5200,"个",IF($Z530&lt;=5800,"个","")))))</f>
        <v/>
      </c>
      <c r="J530" s="30" t="str">
        <f t="shared" si="25"/>
        <v/>
      </c>
      <c r="K530" s="30" t="str">
        <f>IF($Z530="","",IF($Z530&lt;=2000,IF(INDEX(包装物料出入库明细!$N$4:$N$2003,$Z530-0)=0,"",INDEX(包装物料出入库明细!$N$4:$N$2003,$Z530-0)),IF($Z530&lt;=4000,IF(INDEX(周转筐出入库明细!$P$4:$P$2004,$Z530-2000)=0,"",INDEX(周转筐出入库明细!$P$4:$P$2004,$Z530-2000)),IF($Z530&lt;=5200,"",IF($Z530&lt;=5800,N(INDEX(次果筐明细!$L$4:$L$603,$Z530-5200))+N(INDEX(次果筐明细!$J$4:$J$603,$Z530-5200)),"")))))</f>
        <v/>
      </c>
      <c r="L530" s="24" t="str">
        <f>IF($Z530="","",IF($Z530&lt;=2000,IF(INDEX(包装物料出入库明细!$P$4:$P$2003,$Z530-0)=0,"",INDEX(包装物料出入库明细!$P$4:$P$2003,$Z530-0)),IF($Z530&lt;=4000,IF(INDEX(周转筐出入库明细!$Q$4:$Q$2004,$Z530-2000)=0,"",INDEX(周转筐出入库明细!$Q$4:$Q$2004,$Z530-2000)),IF($Z530&lt;=5200,"",IF($Z530&lt;=5800,IF(INDEX(次果筐明细!$M$4:$M$603,$Z530-5200)=0,"",INDEX(次果筐明细!$M$4:$M$603,$Z530-5200)),"")))))</f>
        <v/>
      </c>
      <c r="M530" s="37" t="str">
        <f>IF($Z530="","",IF($Z530&lt;=2000,IF(INDEX(包装物料出入库明细!$R$4:$R$2003,$Z530-0)=0,"",INDEX(包装物料出入库明细!$R$4:$R$2003,$Z530-0)),IF($Z530&lt;=4000,IF(INDEX(周转筐出入库明细!$W$4:$W$2004,$Z530-2000)=0,"",INDEX(周转筐出入库明细!$W$4:$W$2004,$Z530-2000)),IF($Z530&lt;=5200,IF(INDEX(客户自备加工筐明细!$L$4:$L$1203,$Z530-4000)=0,"",INDEX(客户自备加工筐明细!$L$4:$L$1203,$Z530-4000)),IF($Z530&lt;=5800,IF(INDEX(次果筐明细!$P$4:$P$603,$Z530-5200)=0,"",INDEX(次果筐明细!$P$4:$P$603,$Z530-5200)),"")))))</f>
        <v/>
      </c>
      <c r="N530" s="16" t="str">
        <f>IF($Z530="","",IF($Z530&lt;=2000,"",IF($Z530&lt;=4000,IF(INDEX(周转筐出入库明细!$D$4:$D$2004,$Z530-2000)=0,"",INDEX(周转筐出入库明细!$D$4:$D$2004,$Z530-2000)),IF($Z530&lt;=5200,IF(INDEX(客户自备加工筐明细!$C$4:$C$1203,$Z530-4000)=0,"",INDEX(客户自备加工筐明细!$C$4:$C$1203,$Z530-4000)),IF($Z530&lt;=5800,IF(INDEX(次果筐明细!$D$4:$D$603,$Z530-5200)=0,"",INDEX(次果筐明细!$D$4:$D$603,$Z530-5200)),"")))))</f>
        <v/>
      </c>
      <c r="O530" s="40" t="str">
        <f>IF($Z530="","",IF($Z530&lt;=2000,"",IF($Z530&lt;=4000,IF(N(INDEX(周转筐出入库明细!$J$4:$J$2004,$Z530-2000))+N(INDEX(周转筐出入库明细!$K$4:$K$2004,$Z530-2000))=0,"",N(INDEX(周转筐出入库明细!$J$4:$J$2004,$Z530-2000))+N(INDEX(周转筐出入库明细!$K$4:$K$2004,$Z530-2000))),IF($Z530&lt;=5200,IF(N(INDEX(客户自备加工筐明细!$G$4:$G$1203,$Z530-4000))=0,"",N(INDEX(客户自备加工筐明细!$G$4:$G$1203,$Z530-4000))),IF($Z530&lt;=5800,IF(ISNUMBER(SEARCH("退",INDEX(次果筐明细!$F$4:$F$603,$Z530-5200)&amp;"")),"",IF(N(INDEX(次果筐明细!$G$4:$G$603,$Z530-5200))=0,"",N(INDEX(次果筐明细!$G$4:$G$603,$Z530-5200)))),"")))))</f>
        <v/>
      </c>
      <c r="P530" s="40" t="str">
        <f>IF($Z530="","",IF($Z530&lt;=2000,"",IF($Z530&lt;=4000,IF(N(INDEX(周转筐出入库明细!$I$4:$I$2004,$Z530-2000))=0,"",N(INDEX(周转筐出入库明细!$I$4:$I$2004,$Z530-2000))),IF($Z530&lt;=5200,"",IF($Z530&lt;=5800,IF(ISNUMBER(SEARCH("退",INDEX(次果筐明细!$F$4:$F$603,$Z530-5200)&amp;"")),IF(N(INDEX(次果筐明细!$G$4:$G$603,$Z530-5200))=0,"",N(INDEX(次果筐明细!$G$4:$G$603,$Z530-5200))),""),"")))))</f>
        <v/>
      </c>
      <c r="Q530" s="40" t="str">
        <f>IF($Z530="","",IF($Z530&lt;=2000,"",IF($Z530&lt;=4000,IF(N(INDEX(周转筐出入库明细!$H$4:$H$2004,$Z530-2000))=0,"",N(INDEX(周转筐出入库明细!$H$4:$H$2004,$Z530-2000))),IF($Z530&lt;=5200,IF(N(INDEX(客户自备加工筐明细!$F$4:$F$1203,$Z530-4000))=0,"",N(INDEX(客户自备加工筐明细!$F$4:$F$1203,$Z530-4000))),IF($Z530&lt;=5800,"","")))))</f>
        <v/>
      </c>
      <c r="R530" s="16" t="str">
        <f>IF($Z530="","",IF($Z530&lt;=2000,IF(INDEX(包装物料出入库明细!$O$4:$O$2003,$Z530-0)=0,"",INDEX(包装物料出入库明细!$O$4:$O$2003,$Z530-0)),IF($Z530&lt;=4000,IF(INDEX(周转筐出入库明细!$M$4:$M$2004,$Z530-2000)=0,"",INDEX(周转筐出入库明细!$M$4:$M$2004,$Z530-2000)),IF($Z530&lt;=5200,IF(INDEX(客户自备加工筐明细!$H$4:$H$1203,$Z530-4000)=0,"",INDEX(客户自备加工筐明细!$H$4:$H$1203,$Z530-4000)),IF($Z530&lt;=5800,IF(INDEX(次果筐明细!$H$4:$H$603,$Z530-5200)=0,"",INDEX(次果筐明细!$H$4:$H$603,$Z530-5200)),"")))))</f>
        <v/>
      </c>
      <c r="S530" s="22" t="str">
        <f t="shared" si="26"/>
        <v/>
      </c>
      <c r="Z530" s="10" t="str">
        <f>IFERROR(MATCH(ROW()-3,_自动清单!$CQ$4:$CQ$5803,0),"")</f>
        <v/>
      </c>
    </row>
    <row r="531" spans="1:26">
      <c r="A531" s="24" t="str">
        <f t="shared" si="24"/>
        <v/>
      </c>
      <c r="B531" s="38" t="str">
        <f>IF($Z531="","",IF($Z531&lt;=2000,IF(INDEX(包装物料出入库明细!$B$4:$B$2003,$Z531-0)=0,"",INDEX(包装物料出入库明细!$B$4:$B$2003,$Z531-0)),IF($Z531&lt;=4000,IF(INDEX(周转筐出入库明细!$B$4:$B$2004,$Z531-2000)=0,"",INDEX(周转筐出入库明细!$B$4:$B$2004,$Z531-2000)),IF($Z531&lt;=5200,IF(INDEX(客户自备加工筐明细!$B$4:$B$1203,$Z531-4000)=0,"",INDEX(客户自备加工筐明细!$B$4:$B$1203,$Z531-4000)),IF($Z531&lt;=5800,IF(INDEX(次果筐明细!$B$4:$B$603,$Z531-5200)=0,"",INDEX(次果筐明细!$B$4:$B$603,$Z531-5200)),"")))))</f>
        <v/>
      </c>
      <c r="C531" s="37" t="str">
        <f>IF($Z531="","",IF($Z531&lt;=2000,IF(INDEX(包装物料出入库明细!$D$4:$D$2003,$Z531-0)=0,"",INDEX(包装物料出入库明细!$D$4:$D$2003,$Z531-0)),IF($Z531&lt;=4000,IF(INDEX(周转筐出入库明细!$C$4:$C$2004,$Z531-2000)=0,"",INDEX(周转筐出入库明细!$C$4:$C$2004,$Z531-2000)),IF($Z531&lt;=5200,IF(INDEX(客户自备加工筐明细!$E$4:$E$1203,$Z531-4000)=0,"",INDEX(客户自备加工筐明细!$E$4:$E$1203,$Z531-4000)),IF($Z531&lt;=5800,IF(INDEX(次果筐明细!$C$4:$C$603,$Z531-5200)=0,"",INDEX(次果筐明细!$C$4:$C$603,$Z531-5200)),"")))))</f>
        <v/>
      </c>
      <c r="D531" s="37" t="str">
        <f>IF($Z531="","",IF($Z531&lt;=2000,"包装物料－"&amp;INDEX(包装物料出入库明细!$H$4:$H$2003,$Z531-0),IF($Z531&lt;=4000,"周转筐－"&amp;INDEX(周转筐出入库明细!$F$4:$F$2004,$Z531-2000),IF($Z531&lt;=5200,"客户自备筐－"&amp;INDEX(客户自备加工筐明细!$J$4:$J$1203,$Z531-4000),IF($Z531&lt;=5800,"次果筐/托盘－"&amp;INDEX(次果筐明细!$F$4:$F$603,$Z531-5200),"")))))</f>
        <v/>
      </c>
      <c r="E531" s="24" t="str">
        <f>IF($Z531="","",IF($Z531&lt;=2000,IF(INDEX(包装物料出入库明细!$C$4:$C$2003,$Z531-0)=0,"",INDEX(包装物料出入库明细!$C$4:$C$2003,$Z531-0)),IF($Z531&lt;=4000,IF(INDEX(周转筐出入库明细!$E$4:$E$2004,$Z531-2000)=0,"",INDEX(周转筐出入库明细!$E$4:$E$2004,$Z531-2000)),IF($Z531&lt;=5200,IF(INDEX(客户自备加工筐明细!$D$4:$D$1203,$Z531-4000)=0,"",INDEX(客户自备加工筐明细!$D$4:$D$1203,$Z531-4000)),IF($Z531&lt;=5800,IF(INDEX(次果筐明细!$E$4:$E$603,$Z531-5200)=0,"",INDEX(次果筐明细!$E$4:$E$603,$Z531-5200)),"")))))</f>
        <v/>
      </c>
      <c r="F531" s="24" t="str">
        <f>IF($Z531="","",IF($Z531&lt;=2000,IF(INDEX(包装物料出入库明细!$E$4:$E$2003,$Z531-0)=0,"",INDEX(包装物料出入库明细!$E$4:$E$2003,$Z531-0)),IF($Z531&lt;=4000,IF(INDEX(周转筐出入库明细!$D$4:$D$2004,$Z531-2000)=0,"",INDEX(周转筐出入库明细!$D$4:$D$2004,$Z531-2000)),IF($Z531&lt;=5200,IF(INDEX(客户自备加工筐明细!$C$4:$C$1203,$Z531-4000)=0,"",INDEX(客户自备加工筐明细!$C$4:$C$1203,$Z531-4000)),IF($Z531&lt;=5800,IF(INDEX(次果筐明细!$D$4:$D$603,$Z531-5200)=0,"",INDEX(次果筐明细!$D$4:$D$603,$Z531-5200)),"")))))</f>
        <v/>
      </c>
      <c r="G531" s="24" t="str">
        <f>IF($Z531="","",IF($Z531&lt;=2000,IF(INDEX(包装物料出入库明细!$F$4:$F$2003,$Z531-0)=0,"",INDEX(包装物料出入库明细!$F$4:$F$2003,$Z531-0)),IF($Z531&lt;=4000,"",IF($Z531&lt;=5200,"",IF($Z531&lt;=5800,"","")))))</f>
        <v/>
      </c>
      <c r="H531" s="39" t="str">
        <f>IF($Z531="","",IF($Z531&lt;=2000,IF(INDEX(包装物料出入库明细!$L$4:$L$2003,$Z531-0)=0,"",INDEX(包装物料出入库明细!$L$4:$L$2003,$Z531-0)),IF($Z531&lt;=4000,N(INDEX(周转筐出入库明细!$H$4:$H$2004,$Z531-2000))+N(INDEX(周转筐出入库明细!$I$4:$I$2004,$Z531-2000))+N(INDEX(周转筐出入库明细!$J$4:$J$2004,$Z531-2000))+N(INDEX(周转筐出入库明细!$K$4:$K$2004,$Z531-2000)),IF($Z531&lt;=5200,N(INDEX(客户自备加工筐明细!$F$4:$F$1203,$Z531-4000))+N(INDEX(客户自备加工筐明细!$G$4:$G$1203,$Z531-4000)),IF($Z531&lt;=5800,IF(INDEX(次果筐明细!$G$4:$G$603,$Z531-5200)=0,"",INDEX(次果筐明细!$G$4:$G$603,$Z531-5200)),"")))))</f>
        <v/>
      </c>
      <c r="I531" s="24" t="str">
        <f>IF($Z531="","",IF($Z531&lt;=2000,IF(INDEX(包装物料出入库明细!$G$4:$G$2003,$Z531-0)=0,"",INDEX(包装物料出入库明细!$G$4:$G$2003,$Z531-0)),IF($Z531&lt;=4000,"个",IF($Z531&lt;=5200,"个",IF($Z531&lt;=5800,"个","")))))</f>
        <v/>
      </c>
      <c r="J531" s="30" t="str">
        <f t="shared" si="25"/>
        <v/>
      </c>
      <c r="K531" s="30" t="str">
        <f>IF($Z531="","",IF($Z531&lt;=2000,IF(INDEX(包装物料出入库明细!$N$4:$N$2003,$Z531-0)=0,"",INDEX(包装物料出入库明细!$N$4:$N$2003,$Z531-0)),IF($Z531&lt;=4000,IF(INDEX(周转筐出入库明细!$P$4:$P$2004,$Z531-2000)=0,"",INDEX(周转筐出入库明细!$P$4:$P$2004,$Z531-2000)),IF($Z531&lt;=5200,"",IF($Z531&lt;=5800,N(INDEX(次果筐明细!$L$4:$L$603,$Z531-5200))+N(INDEX(次果筐明细!$J$4:$J$603,$Z531-5200)),"")))))</f>
        <v/>
      </c>
      <c r="L531" s="24" t="str">
        <f>IF($Z531="","",IF($Z531&lt;=2000,IF(INDEX(包装物料出入库明细!$P$4:$P$2003,$Z531-0)=0,"",INDEX(包装物料出入库明细!$P$4:$P$2003,$Z531-0)),IF($Z531&lt;=4000,IF(INDEX(周转筐出入库明细!$Q$4:$Q$2004,$Z531-2000)=0,"",INDEX(周转筐出入库明细!$Q$4:$Q$2004,$Z531-2000)),IF($Z531&lt;=5200,"",IF($Z531&lt;=5800,IF(INDEX(次果筐明细!$M$4:$M$603,$Z531-5200)=0,"",INDEX(次果筐明细!$M$4:$M$603,$Z531-5200)),"")))))</f>
        <v/>
      </c>
      <c r="M531" s="37" t="str">
        <f>IF($Z531="","",IF($Z531&lt;=2000,IF(INDEX(包装物料出入库明细!$R$4:$R$2003,$Z531-0)=0,"",INDEX(包装物料出入库明细!$R$4:$R$2003,$Z531-0)),IF($Z531&lt;=4000,IF(INDEX(周转筐出入库明细!$W$4:$W$2004,$Z531-2000)=0,"",INDEX(周转筐出入库明细!$W$4:$W$2004,$Z531-2000)),IF($Z531&lt;=5200,IF(INDEX(客户自备加工筐明细!$L$4:$L$1203,$Z531-4000)=0,"",INDEX(客户自备加工筐明细!$L$4:$L$1203,$Z531-4000)),IF($Z531&lt;=5800,IF(INDEX(次果筐明细!$P$4:$P$603,$Z531-5200)=0,"",INDEX(次果筐明细!$P$4:$P$603,$Z531-5200)),"")))))</f>
        <v/>
      </c>
      <c r="N531" s="16" t="str">
        <f>IF($Z531="","",IF($Z531&lt;=2000,"",IF($Z531&lt;=4000,IF(INDEX(周转筐出入库明细!$D$4:$D$2004,$Z531-2000)=0,"",INDEX(周转筐出入库明细!$D$4:$D$2004,$Z531-2000)),IF($Z531&lt;=5200,IF(INDEX(客户自备加工筐明细!$C$4:$C$1203,$Z531-4000)=0,"",INDEX(客户自备加工筐明细!$C$4:$C$1203,$Z531-4000)),IF($Z531&lt;=5800,IF(INDEX(次果筐明细!$D$4:$D$603,$Z531-5200)=0,"",INDEX(次果筐明细!$D$4:$D$603,$Z531-5200)),"")))))</f>
        <v/>
      </c>
      <c r="O531" s="40" t="str">
        <f>IF($Z531="","",IF($Z531&lt;=2000,"",IF($Z531&lt;=4000,IF(N(INDEX(周转筐出入库明细!$J$4:$J$2004,$Z531-2000))+N(INDEX(周转筐出入库明细!$K$4:$K$2004,$Z531-2000))=0,"",N(INDEX(周转筐出入库明细!$J$4:$J$2004,$Z531-2000))+N(INDEX(周转筐出入库明细!$K$4:$K$2004,$Z531-2000))),IF($Z531&lt;=5200,IF(N(INDEX(客户自备加工筐明细!$G$4:$G$1203,$Z531-4000))=0,"",N(INDEX(客户自备加工筐明细!$G$4:$G$1203,$Z531-4000))),IF($Z531&lt;=5800,IF(ISNUMBER(SEARCH("退",INDEX(次果筐明细!$F$4:$F$603,$Z531-5200)&amp;"")),"",IF(N(INDEX(次果筐明细!$G$4:$G$603,$Z531-5200))=0,"",N(INDEX(次果筐明细!$G$4:$G$603,$Z531-5200)))),"")))))</f>
        <v/>
      </c>
      <c r="P531" s="40" t="str">
        <f>IF($Z531="","",IF($Z531&lt;=2000,"",IF($Z531&lt;=4000,IF(N(INDEX(周转筐出入库明细!$I$4:$I$2004,$Z531-2000))=0,"",N(INDEX(周转筐出入库明细!$I$4:$I$2004,$Z531-2000))),IF($Z531&lt;=5200,"",IF($Z531&lt;=5800,IF(ISNUMBER(SEARCH("退",INDEX(次果筐明细!$F$4:$F$603,$Z531-5200)&amp;"")),IF(N(INDEX(次果筐明细!$G$4:$G$603,$Z531-5200))=0,"",N(INDEX(次果筐明细!$G$4:$G$603,$Z531-5200))),""),"")))))</f>
        <v/>
      </c>
      <c r="Q531" s="40" t="str">
        <f>IF($Z531="","",IF($Z531&lt;=2000,"",IF($Z531&lt;=4000,IF(N(INDEX(周转筐出入库明细!$H$4:$H$2004,$Z531-2000))=0,"",N(INDEX(周转筐出入库明细!$H$4:$H$2004,$Z531-2000))),IF($Z531&lt;=5200,IF(N(INDEX(客户自备加工筐明细!$F$4:$F$1203,$Z531-4000))=0,"",N(INDEX(客户自备加工筐明细!$F$4:$F$1203,$Z531-4000))),IF($Z531&lt;=5800,"","")))))</f>
        <v/>
      </c>
      <c r="R531" s="16" t="str">
        <f>IF($Z531="","",IF($Z531&lt;=2000,IF(INDEX(包装物料出入库明细!$O$4:$O$2003,$Z531-0)=0,"",INDEX(包装物料出入库明细!$O$4:$O$2003,$Z531-0)),IF($Z531&lt;=4000,IF(INDEX(周转筐出入库明细!$M$4:$M$2004,$Z531-2000)=0,"",INDEX(周转筐出入库明细!$M$4:$M$2004,$Z531-2000)),IF($Z531&lt;=5200,IF(INDEX(客户自备加工筐明细!$H$4:$H$1203,$Z531-4000)=0,"",INDEX(客户自备加工筐明细!$H$4:$H$1203,$Z531-4000)),IF($Z531&lt;=5800,IF(INDEX(次果筐明细!$H$4:$H$603,$Z531-5200)=0,"",INDEX(次果筐明细!$H$4:$H$603,$Z531-5200)),"")))))</f>
        <v/>
      </c>
      <c r="S531" s="22" t="str">
        <f t="shared" si="26"/>
        <v/>
      </c>
      <c r="Z531" s="10" t="str">
        <f>IFERROR(MATCH(ROW()-3,_自动清单!$CQ$4:$CQ$5803,0),"")</f>
        <v/>
      </c>
    </row>
    <row r="532" spans="1:26">
      <c r="A532" s="24" t="str">
        <f t="shared" si="24"/>
        <v/>
      </c>
      <c r="B532" s="38" t="str">
        <f>IF($Z532="","",IF($Z532&lt;=2000,IF(INDEX(包装物料出入库明细!$B$4:$B$2003,$Z532-0)=0,"",INDEX(包装物料出入库明细!$B$4:$B$2003,$Z532-0)),IF($Z532&lt;=4000,IF(INDEX(周转筐出入库明细!$B$4:$B$2004,$Z532-2000)=0,"",INDEX(周转筐出入库明细!$B$4:$B$2004,$Z532-2000)),IF($Z532&lt;=5200,IF(INDEX(客户自备加工筐明细!$B$4:$B$1203,$Z532-4000)=0,"",INDEX(客户自备加工筐明细!$B$4:$B$1203,$Z532-4000)),IF($Z532&lt;=5800,IF(INDEX(次果筐明细!$B$4:$B$603,$Z532-5200)=0,"",INDEX(次果筐明细!$B$4:$B$603,$Z532-5200)),"")))))</f>
        <v/>
      </c>
      <c r="C532" s="37" t="str">
        <f>IF($Z532="","",IF($Z532&lt;=2000,IF(INDEX(包装物料出入库明细!$D$4:$D$2003,$Z532-0)=0,"",INDEX(包装物料出入库明细!$D$4:$D$2003,$Z532-0)),IF($Z532&lt;=4000,IF(INDEX(周转筐出入库明细!$C$4:$C$2004,$Z532-2000)=0,"",INDEX(周转筐出入库明细!$C$4:$C$2004,$Z532-2000)),IF($Z532&lt;=5200,IF(INDEX(客户自备加工筐明细!$E$4:$E$1203,$Z532-4000)=0,"",INDEX(客户自备加工筐明细!$E$4:$E$1203,$Z532-4000)),IF($Z532&lt;=5800,IF(INDEX(次果筐明细!$C$4:$C$603,$Z532-5200)=0,"",INDEX(次果筐明细!$C$4:$C$603,$Z532-5200)),"")))))</f>
        <v/>
      </c>
      <c r="D532" s="37" t="str">
        <f>IF($Z532="","",IF($Z532&lt;=2000,"包装物料－"&amp;INDEX(包装物料出入库明细!$H$4:$H$2003,$Z532-0),IF($Z532&lt;=4000,"周转筐－"&amp;INDEX(周转筐出入库明细!$F$4:$F$2004,$Z532-2000),IF($Z532&lt;=5200,"客户自备筐－"&amp;INDEX(客户自备加工筐明细!$J$4:$J$1203,$Z532-4000),IF($Z532&lt;=5800,"次果筐/托盘－"&amp;INDEX(次果筐明细!$F$4:$F$603,$Z532-5200),"")))))</f>
        <v/>
      </c>
      <c r="E532" s="24" t="str">
        <f>IF($Z532="","",IF($Z532&lt;=2000,IF(INDEX(包装物料出入库明细!$C$4:$C$2003,$Z532-0)=0,"",INDEX(包装物料出入库明细!$C$4:$C$2003,$Z532-0)),IF($Z532&lt;=4000,IF(INDEX(周转筐出入库明细!$E$4:$E$2004,$Z532-2000)=0,"",INDEX(周转筐出入库明细!$E$4:$E$2004,$Z532-2000)),IF($Z532&lt;=5200,IF(INDEX(客户自备加工筐明细!$D$4:$D$1203,$Z532-4000)=0,"",INDEX(客户自备加工筐明细!$D$4:$D$1203,$Z532-4000)),IF($Z532&lt;=5800,IF(INDEX(次果筐明细!$E$4:$E$603,$Z532-5200)=0,"",INDEX(次果筐明细!$E$4:$E$603,$Z532-5200)),"")))))</f>
        <v/>
      </c>
      <c r="F532" s="24" t="str">
        <f>IF($Z532="","",IF($Z532&lt;=2000,IF(INDEX(包装物料出入库明细!$E$4:$E$2003,$Z532-0)=0,"",INDEX(包装物料出入库明细!$E$4:$E$2003,$Z532-0)),IF($Z532&lt;=4000,IF(INDEX(周转筐出入库明细!$D$4:$D$2004,$Z532-2000)=0,"",INDEX(周转筐出入库明细!$D$4:$D$2004,$Z532-2000)),IF($Z532&lt;=5200,IF(INDEX(客户自备加工筐明细!$C$4:$C$1203,$Z532-4000)=0,"",INDEX(客户自备加工筐明细!$C$4:$C$1203,$Z532-4000)),IF($Z532&lt;=5800,IF(INDEX(次果筐明细!$D$4:$D$603,$Z532-5200)=0,"",INDEX(次果筐明细!$D$4:$D$603,$Z532-5200)),"")))))</f>
        <v/>
      </c>
      <c r="G532" s="24" t="str">
        <f>IF($Z532="","",IF($Z532&lt;=2000,IF(INDEX(包装物料出入库明细!$F$4:$F$2003,$Z532-0)=0,"",INDEX(包装物料出入库明细!$F$4:$F$2003,$Z532-0)),IF($Z532&lt;=4000,"",IF($Z532&lt;=5200,"",IF($Z532&lt;=5800,"","")))))</f>
        <v/>
      </c>
      <c r="H532" s="39" t="str">
        <f>IF($Z532="","",IF($Z532&lt;=2000,IF(INDEX(包装物料出入库明细!$L$4:$L$2003,$Z532-0)=0,"",INDEX(包装物料出入库明细!$L$4:$L$2003,$Z532-0)),IF($Z532&lt;=4000,N(INDEX(周转筐出入库明细!$H$4:$H$2004,$Z532-2000))+N(INDEX(周转筐出入库明细!$I$4:$I$2004,$Z532-2000))+N(INDEX(周转筐出入库明细!$J$4:$J$2004,$Z532-2000))+N(INDEX(周转筐出入库明细!$K$4:$K$2004,$Z532-2000)),IF($Z532&lt;=5200,N(INDEX(客户自备加工筐明细!$F$4:$F$1203,$Z532-4000))+N(INDEX(客户自备加工筐明细!$G$4:$G$1203,$Z532-4000)),IF($Z532&lt;=5800,IF(INDEX(次果筐明细!$G$4:$G$603,$Z532-5200)=0,"",INDEX(次果筐明细!$G$4:$G$603,$Z532-5200)),"")))))</f>
        <v/>
      </c>
      <c r="I532" s="24" t="str">
        <f>IF($Z532="","",IF($Z532&lt;=2000,IF(INDEX(包装物料出入库明细!$G$4:$G$2003,$Z532-0)=0,"",INDEX(包装物料出入库明细!$G$4:$G$2003,$Z532-0)),IF($Z532&lt;=4000,"个",IF($Z532&lt;=5200,"个",IF($Z532&lt;=5800,"个","")))))</f>
        <v/>
      </c>
      <c r="J532" s="30" t="str">
        <f t="shared" si="25"/>
        <v/>
      </c>
      <c r="K532" s="30" t="str">
        <f>IF($Z532="","",IF($Z532&lt;=2000,IF(INDEX(包装物料出入库明细!$N$4:$N$2003,$Z532-0)=0,"",INDEX(包装物料出入库明细!$N$4:$N$2003,$Z532-0)),IF($Z532&lt;=4000,IF(INDEX(周转筐出入库明细!$P$4:$P$2004,$Z532-2000)=0,"",INDEX(周转筐出入库明细!$P$4:$P$2004,$Z532-2000)),IF($Z532&lt;=5200,"",IF($Z532&lt;=5800,N(INDEX(次果筐明细!$L$4:$L$603,$Z532-5200))+N(INDEX(次果筐明细!$J$4:$J$603,$Z532-5200)),"")))))</f>
        <v/>
      </c>
      <c r="L532" s="24" t="str">
        <f>IF($Z532="","",IF($Z532&lt;=2000,IF(INDEX(包装物料出入库明细!$P$4:$P$2003,$Z532-0)=0,"",INDEX(包装物料出入库明细!$P$4:$P$2003,$Z532-0)),IF($Z532&lt;=4000,IF(INDEX(周转筐出入库明细!$Q$4:$Q$2004,$Z532-2000)=0,"",INDEX(周转筐出入库明细!$Q$4:$Q$2004,$Z532-2000)),IF($Z532&lt;=5200,"",IF($Z532&lt;=5800,IF(INDEX(次果筐明细!$M$4:$M$603,$Z532-5200)=0,"",INDEX(次果筐明细!$M$4:$M$603,$Z532-5200)),"")))))</f>
        <v/>
      </c>
      <c r="M532" s="37" t="str">
        <f>IF($Z532="","",IF($Z532&lt;=2000,IF(INDEX(包装物料出入库明细!$R$4:$R$2003,$Z532-0)=0,"",INDEX(包装物料出入库明细!$R$4:$R$2003,$Z532-0)),IF($Z532&lt;=4000,IF(INDEX(周转筐出入库明细!$W$4:$W$2004,$Z532-2000)=0,"",INDEX(周转筐出入库明细!$W$4:$W$2004,$Z532-2000)),IF($Z532&lt;=5200,IF(INDEX(客户自备加工筐明细!$L$4:$L$1203,$Z532-4000)=0,"",INDEX(客户自备加工筐明细!$L$4:$L$1203,$Z532-4000)),IF($Z532&lt;=5800,IF(INDEX(次果筐明细!$P$4:$P$603,$Z532-5200)=0,"",INDEX(次果筐明细!$P$4:$P$603,$Z532-5200)),"")))))</f>
        <v/>
      </c>
      <c r="N532" s="16" t="str">
        <f>IF($Z532="","",IF($Z532&lt;=2000,"",IF($Z532&lt;=4000,IF(INDEX(周转筐出入库明细!$D$4:$D$2004,$Z532-2000)=0,"",INDEX(周转筐出入库明细!$D$4:$D$2004,$Z532-2000)),IF($Z532&lt;=5200,IF(INDEX(客户自备加工筐明细!$C$4:$C$1203,$Z532-4000)=0,"",INDEX(客户自备加工筐明细!$C$4:$C$1203,$Z532-4000)),IF($Z532&lt;=5800,IF(INDEX(次果筐明细!$D$4:$D$603,$Z532-5200)=0,"",INDEX(次果筐明细!$D$4:$D$603,$Z532-5200)),"")))))</f>
        <v/>
      </c>
      <c r="O532" s="40" t="str">
        <f>IF($Z532="","",IF($Z532&lt;=2000,"",IF($Z532&lt;=4000,IF(N(INDEX(周转筐出入库明细!$J$4:$J$2004,$Z532-2000))+N(INDEX(周转筐出入库明细!$K$4:$K$2004,$Z532-2000))=0,"",N(INDEX(周转筐出入库明细!$J$4:$J$2004,$Z532-2000))+N(INDEX(周转筐出入库明细!$K$4:$K$2004,$Z532-2000))),IF($Z532&lt;=5200,IF(N(INDEX(客户自备加工筐明细!$G$4:$G$1203,$Z532-4000))=0,"",N(INDEX(客户自备加工筐明细!$G$4:$G$1203,$Z532-4000))),IF($Z532&lt;=5800,IF(ISNUMBER(SEARCH("退",INDEX(次果筐明细!$F$4:$F$603,$Z532-5200)&amp;"")),"",IF(N(INDEX(次果筐明细!$G$4:$G$603,$Z532-5200))=0,"",N(INDEX(次果筐明细!$G$4:$G$603,$Z532-5200)))),"")))))</f>
        <v/>
      </c>
      <c r="P532" s="40" t="str">
        <f>IF($Z532="","",IF($Z532&lt;=2000,"",IF($Z532&lt;=4000,IF(N(INDEX(周转筐出入库明细!$I$4:$I$2004,$Z532-2000))=0,"",N(INDEX(周转筐出入库明细!$I$4:$I$2004,$Z532-2000))),IF($Z532&lt;=5200,"",IF($Z532&lt;=5800,IF(ISNUMBER(SEARCH("退",INDEX(次果筐明细!$F$4:$F$603,$Z532-5200)&amp;"")),IF(N(INDEX(次果筐明细!$G$4:$G$603,$Z532-5200))=0,"",N(INDEX(次果筐明细!$G$4:$G$603,$Z532-5200))),""),"")))))</f>
        <v/>
      </c>
      <c r="Q532" s="40" t="str">
        <f>IF($Z532="","",IF($Z532&lt;=2000,"",IF($Z532&lt;=4000,IF(N(INDEX(周转筐出入库明细!$H$4:$H$2004,$Z532-2000))=0,"",N(INDEX(周转筐出入库明细!$H$4:$H$2004,$Z532-2000))),IF($Z532&lt;=5200,IF(N(INDEX(客户自备加工筐明细!$F$4:$F$1203,$Z532-4000))=0,"",N(INDEX(客户自备加工筐明细!$F$4:$F$1203,$Z532-4000))),IF($Z532&lt;=5800,"","")))))</f>
        <v/>
      </c>
      <c r="R532" s="16" t="str">
        <f>IF($Z532="","",IF($Z532&lt;=2000,IF(INDEX(包装物料出入库明细!$O$4:$O$2003,$Z532-0)=0,"",INDEX(包装物料出入库明细!$O$4:$O$2003,$Z532-0)),IF($Z532&lt;=4000,IF(INDEX(周转筐出入库明细!$M$4:$M$2004,$Z532-2000)=0,"",INDEX(周转筐出入库明细!$M$4:$M$2004,$Z532-2000)),IF($Z532&lt;=5200,IF(INDEX(客户自备加工筐明细!$H$4:$H$1203,$Z532-4000)=0,"",INDEX(客户自备加工筐明细!$H$4:$H$1203,$Z532-4000)),IF($Z532&lt;=5800,IF(INDEX(次果筐明细!$H$4:$H$603,$Z532-5200)=0,"",INDEX(次果筐明细!$H$4:$H$603,$Z532-5200)),"")))))</f>
        <v/>
      </c>
      <c r="S532" s="22" t="str">
        <f t="shared" si="26"/>
        <v/>
      </c>
      <c r="Z532" s="10" t="str">
        <f>IFERROR(MATCH(ROW()-3,_自动清单!$CQ$4:$CQ$5803,0),"")</f>
        <v/>
      </c>
    </row>
    <row r="533" spans="1:26">
      <c r="A533" s="24" t="str">
        <f t="shared" si="24"/>
        <v/>
      </c>
      <c r="B533" s="38" t="str">
        <f>IF($Z533="","",IF($Z533&lt;=2000,IF(INDEX(包装物料出入库明细!$B$4:$B$2003,$Z533-0)=0,"",INDEX(包装物料出入库明细!$B$4:$B$2003,$Z533-0)),IF($Z533&lt;=4000,IF(INDEX(周转筐出入库明细!$B$4:$B$2004,$Z533-2000)=0,"",INDEX(周转筐出入库明细!$B$4:$B$2004,$Z533-2000)),IF($Z533&lt;=5200,IF(INDEX(客户自备加工筐明细!$B$4:$B$1203,$Z533-4000)=0,"",INDEX(客户自备加工筐明细!$B$4:$B$1203,$Z533-4000)),IF($Z533&lt;=5800,IF(INDEX(次果筐明细!$B$4:$B$603,$Z533-5200)=0,"",INDEX(次果筐明细!$B$4:$B$603,$Z533-5200)),"")))))</f>
        <v/>
      </c>
      <c r="C533" s="37" t="str">
        <f>IF($Z533="","",IF($Z533&lt;=2000,IF(INDEX(包装物料出入库明细!$D$4:$D$2003,$Z533-0)=0,"",INDEX(包装物料出入库明细!$D$4:$D$2003,$Z533-0)),IF($Z533&lt;=4000,IF(INDEX(周转筐出入库明细!$C$4:$C$2004,$Z533-2000)=0,"",INDEX(周转筐出入库明细!$C$4:$C$2004,$Z533-2000)),IF($Z533&lt;=5200,IF(INDEX(客户自备加工筐明细!$E$4:$E$1203,$Z533-4000)=0,"",INDEX(客户自备加工筐明细!$E$4:$E$1203,$Z533-4000)),IF($Z533&lt;=5800,IF(INDEX(次果筐明细!$C$4:$C$603,$Z533-5200)=0,"",INDEX(次果筐明细!$C$4:$C$603,$Z533-5200)),"")))))</f>
        <v/>
      </c>
      <c r="D533" s="37" t="str">
        <f>IF($Z533="","",IF($Z533&lt;=2000,"包装物料－"&amp;INDEX(包装物料出入库明细!$H$4:$H$2003,$Z533-0),IF($Z533&lt;=4000,"周转筐－"&amp;INDEX(周转筐出入库明细!$F$4:$F$2004,$Z533-2000),IF($Z533&lt;=5200,"客户自备筐－"&amp;INDEX(客户自备加工筐明细!$J$4:$J$1203,$Z533-4000),IF($Z533&lt;=5800,"次果筐/托盘－"&amp;INDEX(次果筐明细!$F$4:$F$603,$Z533-5200),"")))))</f>
        <v/>
      </c>
      <c r="E533" s="24" t="str">
        <f>IF($Z533="","",IF($Z533&lt;=2000,IF(INDEX(包装物料出入库明细!$C$4:$C$2003,$Z533-0)=0,"",INDEX(包装物料出入库明细!$C$4:$C$2003,$Z533-0)),IF($Z533&lt;=4000,IF(INDEX(周转筐出入库明细!$E$4:$E$2004,$Z533-2000)=0,"",INDEX(周转筐出入库明细!$E$4:$E$2004,$Z533-2000)),IF($Z533&lt;=5200,IF(INDEX(客户自备加工筐明细!$D$4:$D$1203,$Z533-4000)=0,"",INDEX(客户自备加工筐明细!$D$4:$D$1203,$Z533-4000)),IF($Z533&lt;=5800,IF(INDEX(次果筐明细!$E$4:$E$603,$Z533-5200)=0,"",INDEX(次果筐明细!$E$4:$E$603,$Z533-5200)),"")))))</f>
        <v/>
      </c>
      <c r="F533" s="24" t="str">
        <f>IF($Z533="","",IF($Z533&lt;=2000,IF(INDEX(包装物料出入库明细!$E$4:$E$2003,$Z533-0)=0,"",INDEX(包装物料出入库明细!$E$4:$E$2003,$Z533-0)),IF($Z533&lt;=4000,IF(INDEX(周转筐出入库明细!$D$4:$D$2004,$Z533-2000)=0,"",INDEX(周转筐出入库明细!$D$4:$D$2004,$Z533-2000)),IF($Z533&lt;=5200,IF(INDEX(客户自备加工筐明细!$C$4:$C$1203,$Z533-4000)=0,"",INDEX(客户自备加工筐明细!$C$4:$C$1203,$Z533-4000)),IF($Z533&lt;=5800,IF(INDEX(次果筐明细!$D$4:$D$603,$Z533-5200)=0,"",INDEX(次果筐明细!$D$4:$D$603,$Z533-5200)),"")))))</f>
        <v/>
      </c>
      <c r="G533" s="24" t="str">
        <f>IF($Z533="","",IF($Z533&lt;=2000,IF(INDEX(包装物料出入库明细!$F$4:$F$2003,$Z533-0)=0,"",INDEX(包装物料出入库明细!$F$4:$F$2003,$Z533-0)),IF($Z533&lt;=4000,"",IF($Z533&lt;=5200,"",IF($Z533&lt;=5800,"","")))))</f>
        <v/>
      </c>
      <c r="H533" s="39" t="str">
        <f>IF($Z533="","",IF($Z533&lt;=2000,IF(INDEX(包装物料出入库明细!$L$4:$L$2003,$Z533-0)=0,"",INDEX(包装物料出入库明细!$L$4:$L$2003,$Z533-0)),IF($Z533&lt;=4000,N(INDEX(周转筐出入库明细!$H$4:$H$2004,$Z533-2000))+N(INDEX(周转筐出入库明细!$I$4:$I$2004,$Z533-2000))+N(INDEX(周转筐出入库明细!$J$4:$J$2004,$Z533-2000))+N(INDEX(周转筐出入库明细!$K$4:$K$2004,$Z533-2000)),IF($Z533&lt;=5200,N(INDEX(客户自备加工筐明细!$F$4:$F$1203,$Z533-4000))+N(INDEX(客户自备加工筐明细!$G$4:$G$1203,$Z533-4000)),IF($Z533&lt;=5800,IF(INDEX(次果筐明细!$G$4:$G$603,$Z533-5200)=0,"",INDEX(次果筐明细!$G$4:$G$603,$Z533-5200)),"")))))</f>
        <v/>
      </c>
      <c r="I533" s="24" t="str">
        <f>IF($Z533="","",IF($Z533&lt;=2000,IF(INDEX(包装物料出入库明细!$G$4:$G$2003,$Z533-0)=0,"",INDEX(包装物料出入库明细!$G$4:$G$2003,$Z533-0)),IF($Z533&lt;=4000,"个",IF($Z533&lt;=5200,"个",IF($Z533&lt;=5800,"个","")))))</f>
        <v/>
      </c>
      <c r="J533" s="30" t="str">
        <f t="shared" si="25"/>
        <v/>
      </c>
      <c r="K533" s="30" t="str">
        <f>IF($Z533="","",IF($Z533&lt;=2000,IF(INDEX(包装物料出入库明细!$N$4:$N$2003,$Z533-0)=0,"",INDEX(包装物料出入库明细!$N$4:$N$2003,$Z533-0)),IF($Z533&lt;=4000,IF(INDEX(周转筐出入库明细!$P$4:$P$2004,$Z533-2000)=0,"",INDEX(周转筐出入库明细!$P$4:$P$2004,$Z533-2000)),IF($Z533&lt;=5200,"",IF($Z533&lt;=5800,N(INDEX(次果筐明细!$L$4:$L$603,$Z533-5200))+N(INDEX(次果筐明细!$J$4:$J$603,$Z533-5200)),"")))))</f>
        <v/>
      </c>
      <c r="L533" s="24" t="str">
        <f>IF($Z533="","",IF($Z533&lt;=2000,IF(INDEX(包装物料出入库明细!$P$4:$P$2003,$Z533-0)=0,"",INDEX(包装物料出入库明细!$P$4:$P$2003,$Z533-0)),IF($Z533&lt;=4000,IF(INDEX(周转筐出入库明细!$Q$4:$Q$2004,$Z533-2000)=0,"",INDEX(周转筐出入库明细!$Q$4:$Q$2004,$Z533-2000)),IF($Z533&lt;=5200,"",IF($Z533&lt;=5800,IF(INDEX(次果筐明细!$M$4:$M$603,$Z533-5200)=0,"",INDEX(次果筐明细!$M$4:$M$603,$Z533-5200)),"")))))</f>
        <v/>
      </c>
      <c r="M533" s="37" t="str">
        <f>IF($Z533="","",IF($Z533&lt;=2000,IF(INDEX(包装物料出入库明细!$R$4:$R$2003,$Z533-0)=0,"",INDEX(包装物料出入库明细!$R$4:$R$2003,$Z533-0)),IF($Z533&lt;=4000,IF(INDEX(周转筐出入库明细!$W$4:$W$2004,$Z533-2000)=0,"",INDEX(周转筐出入库明细!$W$4:$W$2004,$Z533-2000)),IF($Z533&lt;=5200,IF(INDEX(客户自备加工筐明细!$L$4:$L$1203,$Z533-4000)=0,"",INDEX(客户自备加工筐明细!$L$4:$L$1203,$Z533-4000)),IF($Z533&lt;=5800,IF(INDEX(次果筐明细!$P$4:$P$603,$Z533-5200)=0,"",INDEX(次果筐明细!$P$4:$P$603,$Z533-5200)),"")))))</f>
        <v/>
      </c>
      <c r="N533" s="16" t="str">
        <f>IF($Z533="","",IF($Z533&lt;=2000,"",IF($Z533&lt;=4000,IF(INDEX(周转筐出入库明细!$D$4:$D$2004,$Z533-2000)=0,"",INDEX(周转筐出入库明细!$D$4:$D$2004,$Z533-2000)),IF($Z533&lt;=5200,IF(INDEX(客户自备加工筐明细!$C$4:$C$1203,$Z533-4000)=0,"",INDEX(客户自备加工筐明细!$C$4:$C$1203,$Z533-4000)),IF($Z533&lt;=5800,IF(INDEX(次果筐明细!$D$4:$D$603,$Z533-5200)=0,"",INDEX(次果筐明细!$D$4:$D$603,$Z533-5200)),"")))))</f>
        <v/>
      </c>
      <c r="O533" s="40" t="str">
        <f>IF($Z533="","",IF($Z533&lt;=2000,"",IF($Z533&lt;=4000,IF(N(INDEX(周转筐出入库明细!$J$4:$J$2004,$Z533-2000))+N(INDEX(周转筐出入库明细!$K$4:$K$2004,$Z533-2000))=0,"",N(INDEX(周转筐出入库明细!$J$4:$J$2004,$Z533-2000))+N(INDEX(周转筐出入库明细!$K$4:$K$2004,$Z533-2000))),IF($Z533&lt;=5200,IF(N(INDEX(客户自备加工筐明细!$G$4:$G$1203,$Z533-4000))=0,"",N(INDEX(客户自备加工筐明细!$G$4:$G$1203,$Z533-4000))),IF($Z533&lt;=5800,IF(ISNUMBER(SEARCH("退",INDEX(次果筐明细!$F$4:$F$603,$Z533-5200)&amp;"")),"",IF(N(INDEX(次果筐明细!$G$4:$G$603,$Z533-5200))=0,"",N(INDEX(次果筐明细!$G$4:$G$603,$Z533-5200)))),"")))))</f>
        <v/>
      </c>
      <c r="P533" s="40" t="str">
        <f>IF($Z533="","",IF($Z533&lt;=2000,"",IF($Z533&lt;=4000,IF(N(INDEX(周转筐出入库明细!$I$4:$I$2004,$Z533-2000))=0,"",N(INDEX(周转筐出入库明细!$I$4:$I$2004,$Z533-2000))),IF($Z533&lt;=5200,"",IF($Z533&lt;=5800,IF(ISNUMBER(SEARCH("退",INDEX(次果筐明细!$F$4:$F$603,$Z533-5200)&amp;"")),IF(N(INDEX(次果筐明细!$G$4:$G$603,$Z533-5200))=0,"",N(INDEX(次果筐明细!$G$4:$G$603,$Z533-5200))),""),"")))))</f>
        <v/>
      </c>
      <c r="Q533" s="40" t="str">
        <f>IF($Z533="","",IF($Z533&lt;=2000,"",IF($Z533&lt;=4000,IF(N(INDEX(周转筐出入库明细!$H$4:$H$2004,$Z533-2000))=0,"",N(INDEX(周转筐出入库明细!$H$4:$H$2004,$Z533-2000))),IF($Z533&lt;=5200,IF(N(INDEX(客户自备加工筐明细!$F$4:$F$1203,$Z533-4000))=0,"",N(INDEX(客户自备加工筐明细!$F$4:$F$1203,$Z533-4000))),IF($Z533&lt;=5800,"","")))))</f>
        <v/>
      </c>
      <c r="R533" s="16" t="str">
        <f>IF($Z533="","",IF($Z533&lt;=2000,IF(INDEX(包装物料出入库明细!$O$4:$O$2003,$Z533-0)=0,"",INDEX(包装物料出入库明细!$O$4:$O$2003,$Z533-0)),IF($Z533&lt;=4000,IF(INDEX(周转筐出入库明细!$M$4:$M$2004,$Z533-2000)=0,"",INDEX(周转筐出入库明细!$M$4:$M$2004,$Z533-2000)),IF($Z533&lt;=5200,IF(INDEX(客户自备加工筐明细!$H$4:$H$1203,$Z533-4000)=0,"",INDEX(客户自备加工筐明细!$H$4:$H$1203,$Z533-4000)),IF($Z533&lt;=5800,IF(INDEX(次果筐明细!$H$4:$H$603,$Z533-5200)=0,"",INDEX(次果筐明细!$H$4:$H$603,$Z533-5200)),"")))))</f>
        <v/>
      </c>
      <c r="S533" s="22" t="str">
        <f t="shared" si="26"/>
        <v/>
      </c>
      <c r="Z533" s="10" t="str">
        <f>IFERROR(MATCH(ROW()-3,_自动清单!$CQ$4:$CQ$5803,0),"")</f>
        <v/>
      </c>
    </row>
    <row r="534" spans="1:26">
      <c r="A534" s="24" t="str">
        <f t="shared" si="24"/>
        <v/>
      </c>
      <c r="B534" s="38" t="str">
        <f>IF($Z534="","",IF($Z534&lt;=2000,IF(INDEX(包装物料出入库明细!$B$4:$B$2003,$Z534-0)=0,"",INDEX(包装物料出入库明细!$B$4:$B$2003,$Z534-0)),IF($Z534&lt;=4000,IF(INDEX(周转筐出入库明细!$B$4:$B$2004,$Z534-2000)=0,"",INDEX(周转筐出入库明细!$B$4:$B$2004,$Z534-2000)),IF($Z534&lt;=5200,IF(INDEX(客户自备加工筐明细!$B$4:$B$1203,$Z534-4000)=0,"",INDEX(客户自备加工筐明细!$B$4:$B$1203,$Z534-4000)),IF($Z534&lt;=5800,IF(INDEX(次果筐明细!$B$4:$B$603,$Z534-5200)=0,"",INDEX(次果筐明细!$B$4:$B$603,$Z534-5200)),"")))))</f>
        <v/>
      </c>
      <c r="C534" s="37" t="str">
        <f>IF($Z534="","",IF($Z534&lt;=2000,IF(INDEX(包装物料出入库明细!$D$4:$D$2003,$Z534-0)=0,"",INDEX(包装物料出入库明细!$D$4:$D$2003,$Z534-0)),IF($Z534&lt;=4000,IF(INDEX(周转筐出入库明细!$C$4:$C$2004,$Z534-2000)=0,"",INDEX(周转筐出入库明细!$C$4:$C$2004,$Z534-2000)),IF($Z534&lt;=5200,IF(INDEX(客户自备加工筐明细!$E$4:$E$1203,$Z534-4000)=0,"",INDEX(客户自备加工筐明细!$E$4:$E$1203,$Z534-4000)),IF($Z534&lt;=5800,IF(INDEX(次果筐明细!$C$4:$C$603,$Z534-5200)=0,"",INDEX(次果筐明细!$C$4:$C$603,$Z534-5200)),"")))))</f>
        <v/>
      </c>
      <c r="D534" s="37" t="str">
        <f>IF($Z534="","",IF($Z534&lt;=2000,"包装物料－"&amp;INDEX(包装物料出入库明细!$H$4:$H$2003,$Z534-0),IF($Z534&lt;=4000,"周转筐－"&amp;INDEX(周转筐出入库明细!$F$4:$F$2004,$Z534-2000),IF($Z534&lt;=5200,"客户自备筐－"&amp;INDEX(客户自备加工筐明细!$J$4:$J$1203,$Z534-4000),IF($Z534&lt;=5800,"次果筐/托盘－"&amp;INDEX(次果筐明细!$F$4:$F$603,$Z534-5200),"")))))</f>
        <v/>
      </c>
      <c r="E534" s="24" t="str">
        <f>IF($Z534="","",IF($Z534&lt;=2000,IF(INDEX(包装物料出入库明细!$C$4:$C$2003,$Z534-0)=0,"",INDEX(包装物料出入库明细!$C$4:$C$2003,$Z534-0)),IF($Z534&lt;=4000,IF(INDEX(周转筐出入库明细!$E$4:$E$2004,$Z534-2000)=0,"",INDEX(周转筐出入库明细!$E$4:$E$2004,$Z534-2000)),IF($Z534&lt;=5200,IF(INDEX(客户自备加工筐明细!$D$4:$D$1203,$Z534-4000)=0,"",INDEX(客户自备加工筐明细!$D$4:$D$1203,$Z534-4000)),IF($Z534&lt;=5800,IF(INDEX(次果筐明细!$E$4:$E$603,$Z534-5200)=0,"",INDEX(次果筐明细!$E$4:$E$603,$Z534-5200)),"")))))</f>
        <v/>
      </c>
      <c r="F534" s="24" t="str">
        <f>IF($Z534="","",IF($Z534&lt;=2000,IF(INDEX(包装物料出入库明细!$E$4:$E$2003,$Z534-0)=0,"",INDEX(包装物料出入库明细!$E$4:$E$2003,$Z534-0)),IF($Z534&lt;=4000,IF(INDEX(周转筐出入库明细!$D$4:$D$2004,$Z534-2000)=0,"",INDEX(周转筐出入库明细!$D$4:$D$2004,$Z534-2000)),IF($Z534&lt;=5200,IF(INDEX(客户自备加工筐明细!$C$4:$C$1203,$Z534-4000)=0,"",INDEX(客户自备加工筐明细!$C$4:$C$1203,$Z534-4000)),IF($Z534&lt;=5800,IF(INDEX(次果筐明细!$D$4:$D$603,$Z534-5200)=0,"",INDEX(次果筐明细!$D$4:$D$603,$Z534-5200)),"")))))</f>
        <v/>
      </c>
      <c r="G534" s="24" t="str">
        <f>IF($Z534="","",IF($Z534&lt;=2000,IF(INDEX(包装物料出入库明细!$F$4:$F$2003,$Z534-0)=0,"",INDEX(包装物料出入库明细!$F$4:$F$2003,$Z534-0)),IF($Z534&lt;=4000,"",IF($Z534&lt;=5200,"",IF($Z534&lt;=5800,"","")))))</f>
        <v/>
      </c>
      <c r="H534" s="39" t="str">
        <f>IF($Z534="","",IF($Z534&lt;=2000,IF(INDEX(包装物料出入库明细!$L$4:$L$2003,$Z534-0)=0,"",INDEX(包装物料出入库明细!$L$4:$L$2003,$Z534-0)),IF($Z534&lt;=4000,N(INDEX(周转筐出入库明细!$H$4:$H$2004,$Z534-2000))+N(INDEX(周转筐出入库明细!$I$4:$I$2004,$Z534-2000))+N(INDEX(周转筐出入库明细!$J$4:$J$2004,$Z534-2000))+N(INDEX(周转筐出入库明细!$K$4:$K$2004,$Z534-2000)),IF($Z534&lt;=5200,N(INDEX(客户自备加工筐明细!$F$4:$F$1203,$Z534-4000))+N(INDEX(客户自备加工筐明细!$G$4:$G$1203,$Z534-4000)),IF($Z534&lt;=5800,IF(INDEX(次果筐明细!$G$4:$G$603,$Z534-5200)=0,"",INDEX(次果筐明细!$G$4:$G$603,$Z534-5200)),"")))))</f>
        <v/>
      </c>
      <c r="I534" s="24" t="str">
        <f>IF($Z534="","",IF($Z534&lt;=2000,IF(INDEX(包装物料出入库明细!$G$4:$G$2003,$Z534-0)=0,"",INDEX(包装物料出入库明细!$G$4:$G$2003,$Z534-0)),IF($Z534&lt;=4000,"个",IF($Z534&lt;=5200,"个",IF($Z534&lt;=5800,"个","")))))</f>
        <v/>
      </c>
      <c r="J534" s="30" t="str">
        <f t="shared" si="25"/>
        <v/>
      </c>
      <c r="K534" s="30" t="str">
        <f>IF($Z534="","",IF($Z534&lt;=2000,IF(INDEX(包装物料出入库明细!$N$4:$N$2003,$Z534-0)=0,"",INDEX(包装物料出入库明细!$N$4:$N$2003,$Z534-0)),IF($Z534&lt;=4000,IF(INDEX(周转筐出入库明细!$P$4:$P$2004,$Z534-2000)=0,"",INDEX(周转筐出入库明细!$P$4:$P$2004,$Z534-2000)),IF($Z534&lt;=5200,"",IF($Z534&lt;=5800,N(INDEX(次果筐明细!$L$4:$L$603,$Z534-5200))+N(INDEX(次果筐明细!$J$4:$J$603,$Z534-5200)),"")))))</f>
        <v/>
      </c>
      <c r="L534" s="24" t="str">
        <f>IF($Z534="","",IF($Z534&lt;=2000,IF(INDEX(包装物料出入库明细!$P$4:$P$2003,$Z534-0)=0,"",INDEX(包装物料出入库明细!$P$4:$P$2003,$Z534-0)),IF($Z534&lt;=4000,IF(INDEX(周转筐出入库明细!$Q$4:$Q$2004,$Z534-2000)=0,"",INDEX(周转筐出入库明细!$Q$4:$Q$2004,$Z534-2000)),IF($Z534&lt;=5200,"",IF($Z534&lt;=5800,IF(INDEX(次果筐明细!$M$4:$M$603,$Z534-5200)=0,"",INDEX(次果筐明细!$M$4:$M$603,$Z534-5200)),"")))))</f>
        <v/>
      </c>
      <c r="M534" s="37" t="str">
        <f>IF($Z534="","",IF($Z534&lt;=2000,IF(INDEX(包装物料出入库明细!$R$4:$R$2003,$Z534-0)=0,"",INDEX(包装物料出入库明细!$R$4:$R$2003,$Z534-0)),IF($Z534&lt;=4000,IF(INDEX(周转筐出入库明细!$W$4:$W$2004,$Z534-2000)=0,"",INDEX(周转筐出入库明细!$W$4:$W$2004,$Z534-2000)),IF($Z534&lt;=5200,IF(INDEX(客户自备加工筐明细!$L$4:$L$1203,$Z534-4000)=0,"",INDEX(客户自备加工筐明细!$L$4:$L$1203,$Z534-4000)),IF($Z534&lt;=5800,IF(INDEX(次果筐明细!$P$4:$P$603,$Z534-5200)=0,"",INDEX(次果筐明细!$P$4:$P$603,$Z534-5200)),"")))))</f>
        <v/>
      </c>
      <c r="N534" s="16" t="str">
        <f>IF($Z534="","",IF($Z534&lt;=2000,"",IF($Z534&lt;=4000,IF(INDEX(周转筐出入库明细!$D$4:$D$2004,$Z534-2000)=0,"",INDEX(周转筐出入库明细!$D$4:$D$2004,$Z534-2000)),IF($Z534&lt;=5200,IF(INDEX(客户自备加工筐明细!$C$4:$C$1203,$Z534-4000)=0,"",INDEX(客户自备加工筐明细!$C$4:$C$1203,$Z534-4000)),IF($Z534&lt;=5800,IF(INDEX(次果筐明细!$D$4:$D$603,$Z534-5200)=0,"",INDEX(次果筐明细!$D$4:$D$603,$Z534-5200)),"")))))</f>
        <v/>
      </c>
      <c r="O534" s="40" t="str">
        <f>IF($Z534="","",IF($Z534&lt;=2000,"",IF($Z534&lt;=4000,IF(N(INDEX(周转筐出入库明细!$J$4:$J$2004,$Z534-2000))+N(INDEX(周转筐出入库明细!$K$4:$K$2004,$Z534-2000))=0,"",N(INDEX(周转筐出入库明细!$J$4:$J$2004,$Z534-2000))+N(INDEX(周转筐出入库明细!$K$4:$K$2004,$Z534-2000))),IF($Z534&lt;=5200,IF(N(INDEX(客户自备加工筐明细!$G$4:$G$1203,$Z534-4000))=0,"",N(INDEX(客户自备加工筐明细!$G$4:$G$1203,$Z534-4000))),IF($Z534&lt;=5800,IF(ISNUMBER(SEARCH("退",INDEX(次果筐明细!$F$4:$F$603,$Z534-5200)&amp;"")),"",IF(N(INDEX(次果筐明细!$G$4:$G$603,$Z534-5200))=0,"",N(INDEX(次果筐明细!$G$4:$G$603,$Z534-5200)))),"")))))</f>
        <v/>
      </c>
      <c r="P534" s="40" t="str">
        <f>IF($Z534="","",IF($Z534&lt;=2000,"",IF($Z534&lt;=4000,IF(N(INDEX(周转筐出入库明细!$I$4:$I$2004,$Z534-2000))=0,"",N(INDEX(周转筐出入库明细!$I$4:$I$2004,$Z534-2000))),IF($Z534&lt;=5200,"",IF($Z534&lt;=5800,IF(ISNUMBER(SEARCH("退",INDEX(次果筐明细!$F$4:$F$603,$Z534-5200)&amp;"")),IF(N(INDEX(次果筐明细!$G$4:$G$603,$Z534-5200))=0,"",N(INDEX(次果筐明细!$G$4:$G$603,$Z534-5200))),""),"")))))</f>
        <v/>
      </c>
      <c r="Q534" s="40" t="str">
        <f>IF($Z534="","",IF($Z534&lt;=2000,"",IF($Z534&lt;=4000,IF(N(INDEX(周转筐出入库明细!$H$4:$H$2004,$Z534-2000))=0,"",N(INDEX(周转筐出入库明细!$H$4:$H$2004,$Z534-2000))),IF($Z534&lt;=5200,IF(N(INDEX(客户自备加工筐明细!$F$4:$F$1203,$Z534-4000))=0,"",N(INDEX(客户自备加工筐明细!$F$4:$F$1203,$Z534-4000))),IF($Z534&lt;=5800,"","")))))</f>
        <v/>
      </c>
      <c r="R534" s="16" t="str">
        <f>IF($Z534="","",IF($Z534&lt;=2000,IF(INDEX(包装物料出入库明细!$O$4:$O$2003,$Z534-0)=0,"",INDEX(包装物料出入库明细!$O$4:$O$2003,$Z534-0)),IF($Z534&lt;=4000,IF(INDEX(周转筐出入库明细!$M$4:$M$2004,$Z534-2000)=0,"",INDEX(周转筐出入库明细!$M$4:$M$2004,$Z534-2000)),IF($Z534&lt;=5200,IF(INDEX(客户自备加工筐明细!$H$4:$H$1203,$Z534-4000)=0,"",INDEX(客户自备加工筐明细!$H$4:$H$1203,$Z534-4000)),IF($Z534&lt;=5800,IF(INDEX(次果筐明细!$H$4:$H$603,$Z534-5200)=0,"",INDEX(次果筐明细!$H$4:$H$603,$Z534-5200)),"")))))</f>
        <v/>
      </c>
      <c r="S534" s="22" t="str">
        <f t="shared" si="26"/>
        <v/>
      </c>
      <c r="Z534" s="10" t="str">
        <f>IFERROR(MATCH(ROW()-3,_自动清单!$CQ$4:$CQ$5803,0),"")</f>
        <v/>
      </c>
    </row>
    <row r="535" spans="1:26">
      <c r="A535" s="24" t="str">
        <f t="shared" si="24"/>
        <v/>
      </c>
      <c r="B535" s="38" t="str">
        <f>IF($Z535="","",IF($Z535&lt;=2000,IF(INDEX(包装物料出入库明细!$B$4:$B$2003,$Z535-0)=0,"",INDEX(包装物料出入库明细!$B$4:$B$2003,$Z535-0)),IF($Z535&lt;=4000,IF(INDEX(周转筐出入库明细!$B$4:$B$2004,$Z535-2000)=0,"",INDEX(周转筐出入库明细!$B$4:$B$2004,$Z535-2000)),IF($Z535&lt;=5200,IF(INDEX(客户自备加工筐明细!$B$4:$B$1203,$Z535-4000)=0,"",INDEX(客户自备加工筐明细!$B$4:$B$1203,$Z535-4000)),IF($Z535&lt;=5800,IF(INDEX(次果筐明细!$B$4:$B$603,$Z535-5200)=0,"",INDEX(次果筐明细!$B$4:$B$603,$Z535-5200)),"")))))</f>
        <v/>
      </c>
      <c r="C535" s="37" t="str">
        <f>IF($Z535="","",IF($Z535&lt;=2000,IF(INDEX(包装物料出入库明细!$D$4:$D$2003,$Z535-0)=0,"",INDEX(包装物料出入库明细!$D$4:$D$2003,$Z535-0)),IF($Z535&lt;=4000,IF(INDEX(周转筐出入库明细!$C$4:$C$2004,$Z535-2000)=0,"",INDEX(周转筐出入库明细!$C$4:$C$2004,$Z535-2000)),IF($Z535&lt;=5200,IF(INDEX(客户自备加工筐明细!$E$4:$E$1203,$Z535-4000)=0,"",INDEX(客户自备加工筐明细!$E$4:$E$1203,$Z535-4000)),IF($Z535&lt;=5800,IF(INDEX(次果筐明细!$C$4:$C$603,$Z535-5200)=0,"",INDEX(次果筐明细!$C$4:$C$603,$Z535-5200)),"")))))</f>
        <v/>
      </c>
      <c r="D535" s="37" t="str">
        <f>IF($Z535="","",IF($Z535&lt;=2000,"包装物料－"&amp;INDEX(包装物料出入库明细!$H$4:$H$2003,$Z535-0),IF($Z535&lt;=4000,"周转筐－"&amp;INDEX(周转筐出入库明细!$F$4:$F$2004,$Z535-2000),IF($Z535&lt;=5200,"客户自备筐－"&amp;INDEX(客户自备加工筐明细!$J$4:$J$1203,$Z535-4000),IF($Z535&lt;=5800,"次果筐/托盘－"&amp;INDEX(次果筐明细!$F$4:$F$603,$Z535-5200),"")))))</f>
        <v/>
      </c>
      <c r="E535" s="24" t="str">
        <f>IF($Z535="","",IF($Z535&lt;=2000,IF(INDEX(包装物料出入库明细!$C$4:$C$2003,$Z535-0)=0,"",INDEX(包装物料出入库明细!$C$4:$C$2003,$Z535-0)),IF($Z535&lt;=4000,IF(INDEX(周转筐出入库明细!$E$4:$E$2004,$Z535-2000)=0,"",INDEX(周转筐出入库明细!$E$4:$E$2004,$Z535-2000)),IF($Z535&lt;=5200,IF(INDEX(客户自备加工筐明细!$D$4:$D$1203,$Z535-4000)=0,"",INDEX(客户自备加工筐明细!$D$4:$D$1203,$Z535-4000)),IF($Z535&lt;=5800,IF(INDEX(次果筐明细!$E$4:$E$603,$Z535-5200)=0,"",INDEX(次果筐明细!$E$4:$E$603,$Z535-5200)),"")))))</f>
        <v/>
      </c>
      <c r="F535" s="24" t="str">
        <f>IF($Z535="","",IF($Z535&lt;=2000,IF(INDEX(包装物料出入库明细!$E$4:$E$2003,$Z535-0)=0,"",INDEX(包装物料出入库明细!$E$4:$E$2003,$Z535-0)),IF($Z535&lt;=4000,IF(INDEX(周转筐出入库明细!$D$4:$D$2004,$Z535-2000)=0,"",INDEX(周转筐出入库明细!$D$4:$D$2004,$Z535-2000)),IF($Z535&lt;=5200,IF(INDEX(客户自备加工筐明细!$C$4:$C$1203,$Z535-4000)=0,"",INDEX(客户自备加工筐明细!$C$4:$C$1203,$Z535-4000)),IF($Z535&lt;=5800,IF(INDEX(次果筐明细!$D$4:$D$603,$Z535-5200)=0,"",INDEX(次果筐明细!$D$4:$D$603,$Z535-5200)),"")))))</f>
        <v/>
      </c>
      <c r="G535" s="24" t="str">
        <f>IF($Z535="","",IF($Z535&lt;=2000,IF(INDEX(包装物料出入库明细!$F$4:$F$2003,$Z535-0)=0,"",INDEX(包装物料出入库明细!$F$4:$F$2003,$Z535-0)),IF($Z535&lt;=4000,"",IF($Z535&lt;=5200,"",IF($Z535&lt;=5800,"","")))))</f>
        <v/>
      </c>
      <c r="H535" s="39" t="str">
        <f>IF($Z535="","",IF($Z535&lt;=2000,IF(INDEX(包装物料出入库明细!$L$4:$L$2003,$Z535-0)=0,"",INDEX(包装物料出入库明细!$L$4:$L$2003,$Z535-0)),IF($Z535&lt;=4000,N(INDEX(周转筐出入库明细!$H$4:$H$2004,$Z535-2000))+N(INDEX(周转筐出入库明细!$I$4:$I$2004,$Z535-2000))+N(INDEX(周转筐出入库明细!$J$4:$J$2004,$Z535-2000))+N(INDEX(周转筐出入库明细!$K$4:$K$2004,$Z535-2000)),IF($Z535&lt;=5200,N(INDEX(客户自备加工筐明细!$F$4:$F$1203,$Z535-4000))+N(INDEX(客户自备加工筐明细!$G$4:$G$1203,$Z535-4000)),IF($Z535&lt;=5800,IF(INDEX(次果筐明细!$G$4:$G$603,$Z535-5200)=0,"",INDEX(次果筐明细!$G$4:$G$603,$Z535-5200)),"")))))</f>
        <v/>
      </c>
      <c r="I535" s="24" t="str">
        <f>IF($Z535="","",IF($Z535&lt;=2000,IF(INDEX(包装物料出入库明细!$G$4:$G$2003,$Z535-0)=0,"",INDEX(包装物料出入库明细!$G$4:$G$2003,$Z535-0)),IF($Z535&lt;=4000,"个",IF($Z535&lt;=5200,"个",IF($Z535&lt;=5800,"个","")))))</f>
        <v/>
      </c>
      <c r="J535" s="30" t="str">
        <f t="shared" si="25"/>
        <v/>
      </c>
      <c r="K535" s="30" t="str">
        <f>IF($Z535="","",IF($Z535&lt;=2000,IF(INDEX(包装物料出入库明细!$N$4:$N$2003,$Z535-0)=0,"",INDEX(包装物料出入库明细!$N$4:$N$2003,$Z535-0)),IF($Z535&lt;=4000,IF(INDEX(周转筐出入库明细!$P$4:$P$2004,$Z535-2000)=0,"",INDEX(周转筐出入库明细!$P$4:$P$2004,$Z535-2000)),IF($Z535&lt;=5200,"",IF($Z535&lt;=5800,N(INDEX(次果筐明细!$L$4:$L$603,$Z535-5200))+N(INDEX(次果筐明细!$J$4:$J$603,$Z535-5200)),"")))))</f>
        <v/>
      </c>
      <c r="L535" s="24" t="str">
        <f>IF($Z535="","",IF($Z535&lt;=2000,IF(INDEX(包装物料出入库明细!$P$4:$P$2003,$Z535-0)=0,"",INDEX(包装物料出入库明细!$P$4:$P$2003,$Z535-0)),IF($Z535&lt;=4000,IF(INDEX(周转筐出入库明细!$Q$4:$Q$2004,$Z535-2000)=0,"",INDEX(周转筐出入库明细!$Q$4:$Q$2004,$Z535-2000)),IF($Z535&lt;=5200,"",IF($Z535&lt;=5800,IF(INDEX(次果筐明细!$M$4:$M$603,$Z535-5200)=0,"",INDEX(次果筐明细!$M$4:$M$603,$Z535-5200)),"")))))</f>
        <v/>
      </c>
      <c r="M535" s="37" t="str">
        <f>IF($Z535="","",IF($Z535&lt;=2000,IF(INDEX(包装物料出入库明细!$R$4:$R$2003,$Z535-0)=0,"",INDEX(包装物料出入库明细!$R$4:$R$2003,$Z535-0)),IF($Z535&lt;=4000,IF(INDEX(周转筐出入库明细!$W$4:$W$2004,$Z535-2000)=0,"",INDEX(周转筐出入库明细!$W$4:$W$2004,$Z535-2000)),IF($Z535&lt;=5200,IF(INDEX(客户自备加工筐明细!$L$4:$L$1203,$Z535-4000)=0,"",INDEX(客户自备加工筐明细!$L$4:$L$1203,$Z535-4000)),IF($Z535&lt;=5800,IF(INDEX(次果筐明细!$P$4:$P$603,$Z535-5200)=0,"",INDEX(次果筐明细!$P$4:$P$603,$Z535-5200)),"")))))</f>
        <v/>
      </c>
      <c r="N535" s="16" t="str">
        <f>IF($Z535="","",IF($Z535&lt;=2000,"",IF($Z535&lt;=4000,IF(INDEX(周转筐出入库明细!$D$4:$D$2004,$Z535-2000)=0,"",INDEX(周转筐出入库明细!$D$4:$D$2004,$Z535-2000)),IF($Z535&lt;=5200,IF(INDEX(客户自备加工筐明细!$C$4:$C$1203,$Z535-4000)=0,"",INDEX(客户自备加工筐明细!$C$4:$C$1203,$Z535-4000)),IF($Z535&lt;=5800,IF(INDEX(次果筐明细!$D$4:$D$603,$Z535-5200)=0,"",INDEX(次果筐明细!$D$4:$D$603,$Z535-5200)),"")))))</f>
        <v/>
      </c>
      <c r="O535" s="40" t="str">
        <f>IF($Z535="","",IF($Z535&lt;=2000,"",IF($Z535&lt;=4000,IF(N(INDEX(周转筐出入库明细!$J$4:$J$2004,$Z535-2000))+N(INDEX(周转筐出入库明细!$K$4:$K$2004,$Z535-2000))=0,"",N(INDEX(周转筐出入库明细!$J$4:$J$2004,$Z535-2000))+N(INDEX(周转筐出入库明细!$K$4:$K$2004,$Z535-2000))),IF($Z535&lt;=5200,IF(N(INDEX(客户自备加工筐明细!$G$4:$G$1203,$Z535-4000))=0,"",N(INDEX(客户自备加工筐明细!$G$4:$G$1203,$Z535-4000))),IF($Z535&lt;=5800,IF(ISNUMBER(SEARCH("退",INDEX(次果筐明细!$F$4:$F$603,$Z535-5200)&amp;"")),"",IF(N(INDEX(次果筐明细!$G$4:$G$603,$Z535-5200))=0,"",N(INDEX(次果筐明细!$G$4:$G$603,$Z535-5200)))),"")))))</f>
        <v/>
      </c>
      <c r="P535" s="40" t="str">
        <f>IF($Z535="","",IF($Z535&lt;=2000,"",IF($Z535&lt;=4000,IF(N(INDEX(周转筐出入库明细!$I$4:$I$2004,$Z535-2000))=0,"",N(INDEX(周转筐出入库明细!$I$4:$I$2004,$Z535-2000))),IF($Z535&lt;=5200,"",IF($Z535&lt;=5800,IF(ISNUMBER(SEARCH("退",INDEX(次果筐明细!$F$4:$F$603,$Z535-5200)&amp;"")),IF(N(INDEX(次果筐明细!$G$4:$G$603,$Z535-5200))=0,"",N(INDEX(次果筐明细!$G$4:$G$603,$Z535-5200))),""),"")))))</f>
        <v/>
      </c>
      <c r="Q535" s="40" t="str">
        <f>IF($Z535="","",IF($Z535&lt;=2000,"",IF($Z535&lt;=4000,IF(N(INDEX(周转筐出入库明细!$H$4:$H$2004,$Z535-2000))=0,"",N(INDEX(周转筐出入库明细!$H$4:$H$2004,$Z535-2000))),IF($Z535&lt;=5200,IF(N(INDEX(客户自备加工筐明细!$F$4:$F$1203,$Z535-4000))=0,"",N(INDEX(客户自备加工筐明细!$F$4:$F$1203,$Z535-4000))),IF($Z535&lt;=5800,"","")))))</f>
        <v/>
      </c>
      <c r="R535" s="16" t="str">
        <f>IF($Z535="","",IF($Z535&lt;=2000,IF(INDEX(包装物料出入库明细!$O$4:$O$2003,$Z535-0)=0,"",INDEX(包装物料出入库明细!$O$4:$O$2003,$Z535-0)),IF($Z535&lt;=4000,IF(INDEX(周转筐出入库明细!$M$4:$M$2004,$Z535-2000)=0,"",INDEX(周转筐出入库明细!$M$4:$M$2004,$Z535-2000)),IF($Z535&lt;=5200,IF(INDEX(客户自备加工筐明细!$H$4:$H$1203,$Z535-4000)=0,"",INDEX(客户自备加工筐明细!$H$4:$H$1203,$Z535-4000)),IF($Z535&lt;=5800,IF(INDEX(次果筐明细!$H$4:$H$603,$Z535-5200)=0,"",INDEX(次果筐明细!$H$4:$H$603,$Z535-5200)),"")))))</f>
        <v/>
      </c>
      <c r="S535" s="22" t="str">
        <f t="shared" si="26"/>
        <v/>
      </c>
      <c r="Z535" s="10" t="str">
        <f>IFERROR(MATCH(ROW()-3,_自动清单!$CQ$4:$CQ$5803,0),"")</f>
        <v/>
      </c>
    </row>
    <row r="536" spans="1:26">
      <c r="A536" s="24" t="str">
        <f t="shared" si="24"/>
        <v/>
      </c>
      <c r="B536" s="38" t="str">
        <f>IF($Z536="","",IF($Z536&lt;=2000,IF(INDEX(包装物料出入库明细!$B$4:$B$2003,$Z536-0)=0,"",INDEX(包装物料出入库明细!$B$4:$B$2003,$Z536-0)),IF($Z536&lt;=4000,IF(INDEX(周转筐出入库明细!$B$4:$B$2004,$Z536-2000)=0,"",INDEX(周转筐出入库明细!$B$4:$B$2004,$Z536-2000)),IF($Z536&lt;=5200,IF(INDEX(客户自备加工筐明细!$B$4:$B$1203,$Z536-4000)=0,"",INDEX(客户自备加工筐明细!$B$4:$B$1203,$Z536-4000)),IF($Z536&lt;=5800,IF(INDEX(次果筐明细!$B$4:$B$603,$Z536-5200)=0,"",INDEX(次果筐明细!$B$4:$B$603,$Z536-5200)),"")))))</f>
        <v/>
      </c>
      <c r="C536" s="37" t="str">
        <f>IF($Z536="","",IF($Z536&lt;=2000,IF(INDEX(包装物料出入库明细!$D$4:$D$2003,$Z536-0)=0,"",INDEX(包装物料出入库明细!$D$4:$D$2003,$Z536-0)),IF($Z536&lt;=4000,IF(INDEX(周转筐出入库明细!$C$4:$C$2004,$Z536-2000)=0,"",INDEX(周转筐出入库明细!$C$4:$C$2004,$Z536-2000)),IF($Z536&lt;=5200,IF(INDEX(客户自备加工筐明细!$E$4:$E$1203,$Z536-4000)=0,"",INDEX(客户自备加工筐明细!$E$4:$E$1203,$Z536-4000)),IF($Z536&lt;=5800,IF(INDEX(次果筐明细!$C$4:$C$603,$Z536-5200)=0,"",INDEX(次果筐明细!$C$4:$C$603,$Z536-5200)),"")))))</f>
        <v/>
      </c>
      <c r="D536" s="37" t="str">
        <f>IF($Z536="","",IF($Z536&lt;=2000,"包装物料－"&amp;INDEX(包装物料出入库明细!$H$4:$H$2003,$Z536-0),IF($Z536&lt;=4000,"周转筐－"&amp;INDEX(周转筐出入库明细!$F$4:$F$2004,$Z536-2000),IF($Z536&lt;=5200,"客户自备筐－"&amp;INDEX(客户自备加工筐明细!$J$4:$J$1203,$Z536-4000),IF($Z536&lt;=5800,"次果筐/托盘－"&amp;INDEX(次果筐明细!$F$4:$F$603,$Z536-5200),"")))))</f>
        <v/>
      </c>
      <c r="E536" s="24" t="str">
        <f>IF($Z536="","",IF($Z536&lt;=2000,IF(INDEX(包装物料出入库明细!$C$4:$C$2003,$Z536-0)=0,"",INDEX(包装物料出入库明细!$C$4:$C$2003,$Z536-0)),IF($Z536&lt;=4000,IF(INDEX(周转筐出入库明细!$E$4:$E$2004,$Z536-2000)=0,"",INDEX(周转筐出入库明细!$E$4:$E$2004,$Z536-2000)),IF($Z536&lt;=5200,IF(INDEX(客户自备加工筐明细!$D$4:$D$1203,$Z536-4000)=0,"",INDEX(客户自备加工筐明细!$D$4:$D$1203,$Z536-4000)),IF($Z536&lt;=5800,IF(INDEX(次果筐明细!$E$4:$E$603,$Z536-5200)=0,"",INDEX(次果筐明细!$E$4:$E$603,$Z536-5200)),"")))))</f>
        <v/>
      </c>
      <c r="F536" s="24" t="str">
        <f>IF($Z536="","",IF($Z536&lt;=2000,IF(INDEX(包装物料出入库明细!$E$4:$E$2003,$Z536-0)=0,"",INDEX(包装物料出入库明细!$E$4:$E$2003,$Z536-0)),IF($Z536&lt;=4000,IF(INDEX(周转筐出入库明细!$D$4:$D$2004,$Z536-2000)=0,"",INDEX(周转筐出入库明细!$D$4:$D$2004,$Z536-2000)),IF($Z536&lt;=5200,IF(INDEX(客户自备加工筐明细!$C$4:$C$1203,$Z536-4000)=0,"",INDEX(客户自备加工筐明细!$C$4:$C$1203,$Z536-4000)),IF($Z536&lt;=5800,IF(INDEX(次果筐明细!$D$4:$D$603,$Z536-5200)=0,"",INDEX(次果筐明细!$D$4:$D$603,$Z536-5200)),"")))))</f>
        <v/>
      </c>
      <c r="G536" s="24" t="str">
        <f>IF($Z536="","",IF($Z536&lt;=2000,IF(INDEX(包装物料出入库明细!$F$4:$F$2003,$Z536-0)=0,"",INDEX(包装物料出入库明细!$F$4:$F$2003,$Z536-0)),IF($Z536&lt;=4000,"",IF($Z536&lt;=5200,"",IF($Z536&lt;=5800,"","")))))</f>
        <v/>
      </c>
      <c r="H536" s="39" t="str">
        <f>IF($Z536="","",IF($Z536&lt;=2000,IF(INDEX(包装物料出入库明细!$L$4:$L$2003,$Z536-0)=0,"",INDEX(包装物料出入库明细!$L$4:$L$2003,$Z536-0)),IF($Z536&lt;=4000,N(INDEX(周转筐出入库明细!$H$4:$H$2004,$Z536-2000))+N(INDEX(周转筐出入库明细!$I$4:$I$2004,$Z536-2000))+N(INDEX(周转筐出入库明细!$J$4:$J$2004,$Z536-2000))+N(INDEX(周转筐出入库明细!$K$4:$K$2004,$Z536-2000)),IF($Z536&lt;=5200,N(INDEX(客户自备加工筐明细!$F$4:$F$1203,$Z536-4000))+N(INDEX(客户自备加工筐明细!$G$4:$G$1203,$Z536-4000)),IF($Z536&lt;=5800,IF(INDEX(次果筐明细!$G$4:$G$603,$Z536-5200)=0,"",INDEX(次果筐明细!$G$4:$G$603,$Z536-5200)),"")))))</f>
        <v/>
      </c>
      <c r="I536" s="24" t="str">
        <f>IF($Z536="","",IF($Z536&lt;=2000,IF(INDEX(包装物料出入库明细!$G$4:$G$2003,$Z536-0)=0,"",INDEX(包装物料出入库明细!$G$4:$G$2003,$Z536-0)),IF($Z536&lt;=4000,"个",IF($Z536&lt;=5200,"个",IF($Z536&lt;=5800,"个","")))))</f>
        <v/>
      </c>
      <c r="J536" s="30" t="str">
        <f t="shared" si="25"/>
        <v/>
      </c>
      <c r="K536" s="30" t="str">
        <f>IF($Z536="","",IF($Z536&lt;=2000,IF(INDEX(包装物料出入库明细!$N$4:$N$2003,$Z536-0)=0,"",INDEX(包装物料出入库明细!$N$4:$N$2003,$Z536-0)),IF($Z536&lt;=4000,IF(INDEX(周转筐出入库明细!$P$4:$P$2004,$Z536-2000)=0,"",INDEX(周转筐出入库明细!$P$4:$P$2004,$Z536-2000)),IF($Z536&lt;=5200,"",IF($Z536&lt;=5800,N(INDEX(次果筐明细!$L$4:$L$603,$Z536-5200))+N(INDEX(次果筐明细!$J$4:$J$603,$Z536-5200)),"")))))</f>
        <v/>
      </c>
      <c r="L536" s="24" t="str">
        <f>IF($Z536="","",IF($Z536&lt;=2000,IF(INDEX(包装物料出入库明细!$P$4:$P$2003,$Z536-0)=0,"",INDEX(包装物料出入库明细!$P$4:$P$2003,$Z536-0)),IF($Z536&lt;=4000,IF(INDEX(周转筐出入库明细!$Q$4:$Q$2004,$Z536-2000)=0,"",INDEX(周转筐出入库明细!$Q$4:$Q$2004,$Z536-2000)),IF($Z536&lt;=5200,"",IF($Z536&lt;=5800,IF(INDEX(次果筐明细!$M$4:$M$603,$Z536-5200)=0,"",INDEX(次果筐明细!$M$4:$M$603,$Z536-5200)),"")))))</f>
        <v/>
      </c>
      <c r="M536" s="37" t="str">
        <f>IF($Z536="","",IF($Z536&lt;=2000,IF(INDEX(包装物料出入库明细!$R$4:$R$2003,$Z536-0)=0,"",INDEX(包装物料出入库明细!$R$4:$R$2003,$Z536-0)),IF($Z536&lt;=4000,IF(INDEX(周转筐出入库明细!$W$4:$W$2004,$Z536-2000)=0,"",INDEX(周转筐出入库明细!$W$4:$W$2004,$Z536-2000)),IF($Z536&lt;=5200,IF(INDEX(客户自备加工筐明细!$L$4:$L$1203,$Z536-4000)=0,"",INDEX(客户自备加工筐明细!$L$4:$L$1203,$Z536-4000)),IF($Z536&lt;=5800,IF(INDEX(次果筐明细!$P$4:$P$603,$Z536-5200)=0,"",INDEX(次果筐明细!$P$4:$P$603,$Z536-5200)),"")))))</f>
        <v/>
      </c>
      <c r="N536" s="16" t="str">
        <f>IF($Z536="","",IF($Z536&lt;=2000,"",IF($Z536&lt;=4000,IF(INDEX(周转筐出入库明细!$D$4:$D$2004,$Z536-2000)=0,"",INDEX(周转筐出入库明细!$D$4:$D$2004,$Z536-2000)),IF($Z536&lt;=5200,IF(INDEX(客户自备加工筐明细!$C$4:$C$1203,$Z536-4000)=0,"",INDEX(客户自备加工筐明细!$C$4:$C$1203,$Z536-4000)),IF($Z536&lt;=5800,IF(INDEX(次果筐明细!$D$4:$D$603,$Z536-5200)=0,"",INDEX(次果筐明细!$D$4:$D$603,$Z536-5200)),"")))))</f>
        <v/>
      </c>
      <c r="O536" s="40" t="str">
        <f>IF($Z536="","",IF($Z536&lt;=2000,"",IF($Z536&lt;=4000,IF(N(INDEX(周转筐出入库明细!$J$4:$J$2004,$Z536-2000))+N(INDEX(周转筐出入库明细!$K$4:$K$2004,$Z536-2000))=0,"",N(INDEX(周转筐出入库明细!$J$4:$J$2004,$Z536-2000))+N(INDEX(周转筐出入库明细!$K$4:$K$2004,$Z536-2000))),IF($Z536&lt;=5200,IF(N(INDEX(客户自备加工筐明细!$G$4:$G$1203,$Z536-4000))=0,"",N(INDEX(客户自备加工筐明细!$G$4:$G$1203,$Z536-4000))),IF($Z536&lt;=5800,IF(ISNUMBER(SEARCH("退",INDEX(次果筐明细!$F$4:$F$603,$Z536-5200)&amp;"")),"",IF(N(INDEX(次果筐明细!$G$4:$G$603,$Z536-5200))=0,"",N(INDEX(次果筐明细!$G$4:$G$603,$Z536-5200)))),"")))))</f>
        <v/>
      </c>
      <c r="P536" s="40" t="str">
        <f>IF($Z536="","",IF($Z536&lt;=2000,"",IF($Z536&lt;=4000,IF(N(INDEX(周转筐出入库明细!$I$4:$I$2004,$Z536-2000))=0,"",N(INDEX(周转筐出入库明细!$I$4:$I$2004,$Z536-2000))),IF($Z536&lt;=5200,"",IF($Z536&lt;=5800,IF(ISNUMBER(SEARCH("退",INDEX(次果筐明细!$F$4:$F$603,$Z536-5200)&amp;"")),IF(N(INDEX(次果筐明细!$G$4:$G$603,$Z536-5200))=0,"",N(INDEX(次果筐明细!$G$4:$G$603,$Z536-5200))),""),"")))))</f>
        <v/>
      </c>
      <c r="Q536" s="40" t="str">
        <f>IF($Z536="","",IF($Z536&lt;=2000,"",IF($Z536&lt;=4000,IF(N(INDEX(周转筐出入库明细!$H$4:$H$2004,$Z536-2000))=0,"",N(INDEX(周转筐出入库明细!$H$4:$H$2004,$Z536-2000))),IF($Z536&lt;=5200,IF(N(INDEX(客户自备加工筐明细!$F$4:$F$1203,$Z536-4000))=0,"",N(INDEX(客户自备加工筐明细!$F$4:$F$1203,$Z536-4000))),IF($Z536&lt;=5800,"","")))))</f>
        <v/>
      </c>
      <c r="R536" s="16" t="str">
        <f>IF($Z536="","",IF($Z536&lt;=2000,IF(INDEX(包装物料出入库明细!$O$4:$O$2003,$Z536-0)=0,"",INDEX(包装物料出入库明细!$O$4:$O$2003,$Z536-0)),IF($Z536&lt;=4000,IF(INDEX(周转筐出入库明细!$M$4:$M$2004,$Z536-2000)=0,"",INDEX(周转筐出入库明细!$M$4:$M$2004,$Z536-2000)),IF($Z536&lt;=5200,IF(INDEX(客户自备加工筐明细!$H$4:$H$1203,$Z536-4000)=0,"",INDEX(客户自备加工筐明细!$H$4:$H$1203,$Z536-4000)),IF($Z536&lt;=5800,IF(INDEX(次果筐明细!$H$4:$H$603,$Z536-5200)=0,"",INDEX(次果筐明细!$H$4:$H$603,$Z536-5200)),"")))))</f>
        <v/>
      </c>
      <c r="S536" s="22" t="str">
        <f t="shared" si="26"/>
        <v/>
      </c>
      <c r="Z536" s="10" t="str">
        <f>IFERROR(MATCH(ROW()-3,_自动清单!$CQ$4:$CQ$5803,0),"")</f>
        <v/>
      </c>
    </row>
    <row r="537" spans="1:26">
      <c r="A537" s="24" t="str">
        <f t="shared" si="24"/>
        <v/>
      </c>
      <c r="B537" s="38" t="str">
        <f>IF($Z537="","",IF($Z537&lt;=2000,IF(INDEX(包装物料出入库明细!$B$4:$B$2003,$Z537-0)=0,"",INDEX(包装物料出入库明细!$B$4:$B$2003,$Z537-0)),IF($Z537&lt;=4000,IF(INDEX(周转筐出入库明细!$B$4:$B$2004,$Z537-2000)=0,"",INDEX(周转筐出入库明细!$B$4:$B$2004,$Z537-2000)),IF($Z537&lt;=5200,IF(INDEX(客户自备加工筐明细!$B$4:$B$1203,$Z537-4000)=0,"",INDEX(客户自备加工筐明细!$B$4:$B$1203,$Z537-4000)),IF($Z537&lt;=5800,IF(INDEX(次果筐明细!$B$4:$B$603,$Z537-5200)=0,"",INDEX(次果筐明细!$B$4:$B$603,$Z537-5200)),"")))))</f>
        <v/>
      </c>
      <c r="C537" s="37" t="str">
        <f>IF($Z537="","",IF($Z537&lt;=2000,IF(INDEX(包装物料出入库明细!$D$4:$D$2003,$Z537-0)=0,"",INDEX(包装物料出入库明细!$D$4:$D$2003,$Z537-0)),IF($Z537&lt;=4000,IF(INDEX(周转筐出入库明细!$C$4:$C$2004,$Z537-2000)=0,"",INDEX(周转筐出入库明细!$C$4:$C$2004,$Z537-2000)),IF($Z537&lt;=5200,IF(INDEX(客户自备加工筐明细!$E$4:$E$1203,$Z537-4000)=0,"",INDEX(客户自备加工筐明细!$E$4:$E$1203,$Z537-4000)),IF($Z537&lt;=5800,IF(INDEX(次果筐明细!$C$4:$C$603,$Z537-5200)=0,"",INDEX(次果筐明细!$C$4:$C$603,$Z537-5200)),"")))))</f>
        <v/>
      </c>
      <c r="D537" s="37" t="str">
        <f>IF($Z537="","",IF($Z537&lt;=2000,"包装物料－"&amp;INDEX(包装物料出入库明细!$H$4:$H$2003,$Z537-0),IF($Z537&lt;=4000,"周转筐－"&amp;INDEX(周转筐出入库明细!$F$4:$F$2004,$Z537-2000),IF($Z537&lt;=5200,"客户自备筐－"&amp;INDEX(客户自备加工筐明细!$J$4:$J$1203,$Z537-4000),IF($Z537&lt;=5800,"次果筐/托盘－"&amp;INDEX(次果筐明细!$F$4:$F$603,$Z537-5200),"")))))</f>
        <v/>
      </c>
      <c r="E537" s="24" t="str">
        <f>IF($Z537="","",IF($Z537&lt;=2000,IF(INDEX(包装物料出入库明细!$C$4:$C$2003,$Z537-0)=0,"",INDEX(包装物料出入库明细!$C$4:$C$2003,$Z537-0)),IF($Z537&lt;=4000,IF(INDEX(周转筐出入库明细!$E$4:$E$2004,$Z537-2000)=0,"",INDEX(周转筐出入库明细!$E$4:$E$2004,$Z537-2000)),IF($Z537&lt;=5200,IF(INDEX(客户自备加工筐明细!$D$4:$D$1203,$Z537-4000)=0,"",INDEX(客户自备加工筐明细!$D$4:$D$1203,$Z537-4000)),IF($Z537&lt;=5800,IF(INDEX(次果筐明细!$E$4:$E$603,$Z537-5200)=0,"",INDEX(次果筐明细!$E$4:$E$603,$Z537-5200)),"")))))</f>
        <v/>
      </c>
      <c r="F537" s="24" t="str">
        <f>IF($Z537="","",IF($Z537&lt;=2000,IF(INDEX(包装物料出入库明细!$E$4:$E$2003,$Z537-0)=0,"",INDEX(包装物料出入库明细!$E$4:$E$2003,$Z537-0)),IF($Z537&lt;=4000,IF(INDEX(周转筐出入库明细!$D$4:$D$2004,$Z537-2000)=0,"",INDEX(周转筐出入库明细!$D$4:$D$2004,$Z537-2000)),IF($Z537&lt;=5200,IF(INDEX(客户自备加工筐明细!$C$4:$C$1203,$Z537-4000)=0,"",INDEX(客户自备加工筐明细!$C$4:$C$1203,$Z537-4000)),IF($Z537&lt;=5800,IF(INDEX(次果筐明细!$D$4:$D$603,$Z537-5200)=0,"",INDEX(次果筐明细!$D$4:$D$603,$Z537-5200)),"")))))</f>
        <v/>
      </c>
      <c r="G537" s="24" t="str">
        <f>IF($Z537="","",IF($Z537&lt;=2000,IF(INDEX(包装物料出入库明细!$F$4:$F$2003,$Z537-0)=0,"",INDEX(包装物料出入库明细!$F$4:$F$2003,$Z537-0)),IF($Z537&lt;=4000,"",IF($Z537&lt;=5200,"",IF($Z537&lt;=5800,"","")))))</f>
        <v/>
      </c>
      <c r="H537" s="39" t="str">
        <f>IF($Z537="","",IF($Z537&lt;=2000,IF(INDEX(包装物料出入库明细!$L$4:$L$2003,$Z537-0)=0,"",INDEX(包装物料出入库明细!$L$4:$L$2003,$Z537-0)),IF($Z537&lt;=4000,N(INDEX(周转筐出入库明细!$H$4:$H$2004,$Z537-2000))+N(INDEX(周转筐出入库明细!$I$4:$I$2004,$Z537-2000))+N(INDEX(周转筐出入库明细!$J$4:$J$2004,$Z537-2000))+N(INDEX(周转筐出入库明细!$K$4:$K$2004,$Z537-2000)),IF($Z537&lt;=5200,N(INDEX(客户自备加工筐明细!$F$4:$F$1203,$Z537-4000))+N(INDEX(客户自备加工筐明细!$G$4:$G$1203,$Z537-4000)),IF($Z537&lt;=5800,IF(INDEX(次果筐明细!$G$4:$G$603,$Z537-5200)=0,"",INDEX(次果筐明细!$G$4:$G$603,$Z537-5200)),"")))))</f>
        <v/>
      </c>
      <c r="I537" s="24" t="str">
        <f>IF($Z537="","",IF($Z537&lt;=2000,IF(INDEX(包装物料出入库明细!$G$4:$G$2003,$Z537-0)=0,"",INDEX(包装物料出入库明细!$G$4:$G$2003,$Z537-0)),IF($Z537&lt;=4000,"个",IF($Z537&lt;=5200,"个",IF($Z537&lt;=5800,"个","")))))</f>
        <v/>
      </c>
      <c r="J537" s="30" t="str">
        <f t="shared" si="25"/>
        <v/>
      </c>
      <c r="K537" s="30" t="str">
        <f>IF($Z537="","",IF($Z537&lt;=2000,IF(INDEX(包装物料出入库明细!$N$4:$N$2003,$Z537-0)=0,"",INDEX(包装物料出入库明细!$N$4:$N$2003,$Z537-0)),IF($Z537&lt;=4000,IF(INDEX(周转筐出入库明细!$P$4:$P$2004,$Z537-2000)=0,"",INDEX(周转筐出入库明细!$P$4:$P$2004,$Z537-2000)),IF($Z537&lt;=5200,"",IF($Z537&lt;=5800,N(INDEX(次果筐明细!$L$4:$L$603,$Z537-5200))+N(INDEX(次果筐明细!$J$4:$J$603,$Z537-5200)),"")))))</f>
        <v/>
      </c>
      <c r="L537" s="24" t="str">
        <f>IF($Z537="","",IF($Z537&lt;=2000,IF(INDEX(包装物料出入库明细!$P$4:$P$2003,$Z537-0)=0,"",INDEX(包装物料出入库明细!$P$4:$P$2003,$Z537-0)),IF($Z537&lt;=4000,IF(INDEX(周转筐出入库明细!$Q$4:$Q$2004,$Z537-2000)=0,"",INDEX(周转筐出入库明细!$Q$4:$Q$2004,$Z537-2000)),IF($Z537&lt;=5200,"",IF($Z537&lt;=5800,IF(INDEX(次果筐明细!$M$4:$M$603,$Z537-5200)=0,"",INDEX(次果筐明细!$M$4:$M$603,$Z537-5200)),"")))))</f>
        <v/>
      </c>
      <c r="M537" s="37" t="str">
        <f>IF($Z537="","",IF($Z537&lt;=2000,IF(INDEX(包装物料出入库明细!$R$4:$R$2003,$Z537-0)=0,"",INDEX(包装物料出入库明细!$R$4:$R$2003,$Z537-0)),IF($Z537&lt;=4000,IF(INDEX(周转筐出入库明细!$W$4:$W$2004,$Z537-2000)=0,"",INDEX(周转筐出入库明细!$W$4:$W$2004,$Z537-2000)),IF($Z537&lt;=5200,IF(INDEX(客户自备加工筐明细!$L$4:$L$1203,$Z537-4000)=0,"",INDEX(客户自备加工筐明细!$L$4:$L$1203,$Z537-4000)),IF($Z537&lt;=5800,IF(INDEX(次果筐明细!$P$4:$P$603,$Z537-5200)=0,"",INDEX(次果筐明细!$P$4:$P$603,$Z537-5200)),"")))))</f>
        <v/>
      </c>
      <c r="N537" s="16" t="str">
        <f>IF($Z537="","",IF($Z537&lt;=2000,"",IF($Z537&lt;=4000,IF(INDEX(周转筐出入库明细!$D$4:$D$2004,$Z537-2000)=0,"",INDEX(周转筐出入库明细!$D$4:$D$2004,$Z537-2000)),IF($Z537&lt;=5200,IF(INDEX(客户自备加工筐明细!$C$4:$C$1203,$Z537-4000)=0,"",INDEX(客户自备加工筐明细!$C$4:$C$1203,$Z537-4000)),IF($Z537&lt;=5800,IF(INDEX(次果筐明细!$D$4:$D$603,$Z537-5200)=0,"",INDEX(次果筐明细!$D$4:$D$603,$Z537-5200)),"")))))</f>
        <v/>
      </c>
      <c r="O537" s="40" t="str">
        <f>IF($Z537="","",IF($Z537&lt;=2000,"",IF($Z537&lt;=4000,IF(N(INDEX(周转筐出入库明细!$J$4:$J$2004,$Z537-2000))+N(INDEX(周转筐出入库明细!$K$4:$K$2004,$Z537-2000))=0,"",N(INDEX(周转筐出入库明细!$J$4:$J$2004,$Z537-2000))+N(INDEX(周转筐出入库明细!$K$4:$K$2004,$Z537-2000))),IF($Z537&lt;=5200,IF(N(INDEX(客户自备加工筐明细!$G$4:$G$1203,$Z537-4000))=0,"",N(INDEX(客户自备加工筐明细!$G$4:$G$1203,$Z537-4000))),IF($Z537&lt;=5800,IF(ISNUMBER(SEARCH("退",INDEX(次果筐明细!$F$4:$F$603,$Z537-5200)&amp;"")),"",IF(N(INDEX(次果筐明细!$G$4:$G$603,$Z537-5200))=0,"",N(INDEX(次果筐明细!$G$4:$G$603,$Z537-5200)))),"")))))</f>
        <v/>
      </c>
      <c r="P537" s="40" t="str">
        <f>IF($Z537="","",IF($Z537&lt;=2000,"",IF($Z537&lt;=4000,IF(N(INDEX(周转筐出入库明细!$I$4:$I$2004,$Z537-2000))=0,"",N(INDEX(周转筐出入库明细!$I$4:$I$2004,$Z537-2000))),IF($Z537&lt;=5200,"",IF($Z537&lt;=5800,IF(ISNUMBER(SEARCH("退",INDEX(次果筐明细!$F$4:$F$603,$Z537-5200)&amp;"")),IF(N(INDEX(次果筐明细!$G$4:$G$603,$Z537-5200))=0,"",N(INDEX(次果筐明细!$G$4:$G$603,$Z537-5200))),""),"")))))</f>
        <v/>
      </c>
      <c r="Q537" s="40" t="str">
        <f>IF($Z537="","",IF($Z537&lt;=2000,"",IF($Z537&lt;=4000,IF(N(INDEX(周转筐出入库明细!$H$4:$H$2004,$Z537-2000))=0,"",N(INDEX(周转筐出入库明细!$H$4:$H$2004,$Z537-2000))),IF($Z537&lt;=5200,IF(N(INDEX(客户自备加工筐明细!$F$4:$F$1203,$Z537-4000))=0,"",N(INDEX(客户自备加工筐明细!$F$4:$F$1203,$Z537-4000))),IF($Z537&lt;=5800,"","")))))</f>
        <v/>
      </c>
      <c r="R537" s="16" t="str">
        <f>IF($Z537="","",IF($Z537&lt;=2000,IF(INDEX(包装物料出入库明细!$O$4:$O$2003,$Z537-0)=0,"",INDEX(包装物料出入库明细!$O$4:$O$2003,$Z537-0)),IF($Z537&lt;=4000,IF(INDEX(周转筐出入库明细!$M$4:$M$2004,$Z537-2000)=0,"",INDEX(周转筐出入库明细!$M$4:$M$2004,$Z537-2000)),IF($Z537&lt;=5200,IF(INDEX(客户自备加工筐明细!$H$4:$H$1203,$Z537-4000)=0,"",INDEX(客户自备加工筐明细!$H$4:$H$1203,$Z537-4000)),IF($Z537&lt;=5800,IF(INDEX(次果筐明细!$H$4:$H$603,$Z537-5200)=0,"",INDEX(次果筐明细!$H$4:$H$603,$Z537-5200)),"")))))</f>
        <v/>
      </c>
      <c r="S537" s="22" t="str">
        <f t="shared" si="26"/>
        <v/>
      </c>
      <c r="Z537" s="10" t="str">
        <f>IFERROR(MATCH(ROW()-3,_自动清单!$CQ$4:$CQ$5803,0),"")</f>
        <v/>
      </c>
    </row>
    <row r="538" spans="1:26">
      <c r="A538" s="24" t="str">
        <f t="shared" si="24"/>
        <v/>
      </c>
      <c r="B538" s="38" t="str">
        <f>IF($Z538="","",IF($Z538&lt;=2000,IF(INDEX(包装物料出入库明细!$B$4:$B$2003,$Z538-0)=0,"",INDEX(包装物料出入库明细!$B$4:$B$2003,$Z538-0)),IF($Z538&lt;=4000,IF(INDEX(周转筐出入库明细!$B$4:$B$2004,$Z538-2000)=0,"",INDEX(周转筐出入库明细!$B$4:$B$2004,$Z538-2000)),IF($Z538&lt;=5200,IF(INDEX(客户自备加工筐明细!$B$4:$B$1203,$Z538-4000)=0,"",INDEX(客户自备加工筐明细!$B$4:$B$1203,$Z538-4000)),IF($Z538&lt;=5800,IF(INDEX(次果筐明细!$B$4:$B$603,$Z538-5200)=0,"",INDEX(次果筐明细!$B$4:$B$603,$Z538-5200)),"")))))</f>
        <v/>
      </c>
      <c r="C538" s="37" t="str">
        <f>IF($Z538="","",IF($Z538&lt;=2000,IF(INDEX(包装物料出入库明细!$D$4:$D$2003,$Z538-0)=0,"",INDEX(包装物料出入库明细!$D$4:$D$2003,$Z538-0)),IF($Z538&lt;=4000,IF(INDEX(周转筐出入库明细!$C$4:$C$2004,$Z538-2000)=0,"",INDEX(周转筐出入库明细!$C$4:$C$2004,$Z538-2000)),IF($Z538&lt;=5200,IF(INDEX(客户自备加工筐明细!$E$4:$E$1203,$Z538-4000)=0,"",INDEX(客户自备加工筐明细!$E$4:$E$1203,$Z538-4000)),IF($Z538&lt;=5800,IF(INDEX(次果筐明细!$C$4:$C$603,$Z538-5200)=0,"",INDEX(次果筐明细!$C$4:$C$603,$Z538-5200)),"")))))</f>
        <v/>
      </c>
      <c r="D538" s="37" t="str">
        <f>IF($Z538="","",IF($Z538&lt;=2000,"包装物料－"&amp;INDEX(包装物料出入库明细!$H$4:$H$2003,$Z538-0),IF($Z538&lt;=4000,"周转筐－"&amp;INDEX(周转筐出入库明细!$F$4:$F$2004,$Z538-2000),IF($Z538&lt;=5200,"客户自备筐－"&amp;INDEX(客户自备加工筐明细!$J$4:$J$1203,$Z538-4000),IF($Z538&lt;=5800,"次果筐/托盘－"&amp;INDEX(次果筐明细!$F$4:$F$603,$Z538-5200),"")))))</f>
        <v/>
      </c>
      <c r="E538" s="24" t="str">
        <f>IF($Z538="","",IF($Z538&lt;=2000,IF(INDEX(包装物料出入库明细!$C$4:$C$2003,$Z538-0)=0,"",INDEX(包装物料出入库明细!$C$4:$C$2003,$Z538-0)),IF($Z538&lt;=4000,IF(INDEX(周转筐出入库明细!$E$4:$E$2004,$Z538-2000)=0,"",INDEX(周转筐出入库明细!$E$4:$E$2004,$Z538-2000)),IF($Z538&lt;=5200,IF(INDEX(客户自备加工筐明细!$D$4:$D$1203,$Z538-4000)=0,"",INDEX(客户自备加工筐明细!$D$4:$D$1203,$Z538-4000)),IF($Z538&lt;=5800,IF(INDEX(次果筐明细!$E$4:$E$603,$Z538-5200)=0,"",INDEX(次果筐明细!$E$4:$E$603,$Z538-5200)),"")))))</f>
        <v/>
      </c>
      <c r="F538" s="24" t="str">
        <f>IF($Z538="","",IF($Z538&lt;=2000,IF(INDEX(包装物料出入库明细!$E$4:$E$2003,$Z538-0)=0,"",INDEX(包装物料出入库明细!$E$4:$E$2003,$Z538-0)),IF($Z538&lt;=4000,IF(INDEX(周转筐出入库明细!$D$4:$D$2004,$Z538-2000)=0,"",INDEX(周转筐出入库明细!$D$4:$D$2004,$Z538-2000)),IF($Z538&lt;=5200,IF(INDEX(客户自备加工筐明细!$C$4:$C$1203,$Z538-4000)=0,"",INDEX(客户自备加工筐明细!$C$4:$C$1203,$Z538-4000)),IF($Z538&lt;=5800,IF(INDEX(次果筐明细!$D$4:$D$603,$Z538-5200)=0,"",INDEX(次果筐明细!$D$4:$D$603,$Z538-5200)),"")))))</f>
        <v/>
      </c>
      <c r="G538" s="24" t="str">
        <f>IF($Z538="","",IF($Z538&lt;=2000,IF(INDEX(包装物料出入库明细!$F$4:$F$2003,$Z538-0)=0,"",INDEX(包装物料出入库明细!$F$4:$F$2003,$Z538-0)),IF($Z538&lt;=4000,"",IF($Z538&lt;=5200,"",IF($Z538&lt;=5800,"","")))))</f>
        <v/>
      </c>
      <c r="H538" s="39" t="str">
        <f>IF($Z538="","",IF($Z538&lt;=2000,IF(INDEX(包装物料出入库明细!$L$4:$L$2003,$Z538-0)=0,"",INDEX(包装物料出入库明细!$L$4:$L$2003,$Z538-0)),IF($Z538&lt;=4000,N(INDEX(周转筐出入库明细!$H$4:$H$2004,$Z538-2000))+N(INDEX(周转筐出入库明细!$I$4:$I$2004,$Z538-2000))+N(INDEX(周转筐出入库明细!$J$4:$J$2004,$Z538-2000))+N(INDEX(周转筐出入库明细!$K$4:$K$2004,$Z538-2000)),IF($Z538&lt;=5200,N(INDEX(客户自备加工筐明细!$F$4:$F$1203,$Z538-4000))+N(INDEX(客户自备加工筐明细!$G$4:$G$1203,$Z538-4000)),IF($Z538&lt;=5800,IF(INDEX(次果筐明细!$G$4:$G$603,$Z538-5200)=0,"",INDEX(次果筐明细!$G$4:$G$603,$Z538-5200)),"")))))</f>
        <v/>
      </c>
      <c r="I538" s="24" t="str">
        <f>IF($Z538="","",IF($Z538&lt;=2000,IF(INDEX(包装物料出入库明细!$G$4:$G$2003,$Z538-0)=0,"",INDEX(包装物料出入库明细!$G$4:$G$2003,$Z538-0)),IF($Z538&lt;=4000,"个",IF($Z538&lt;=5200,"个",IF($Z538&lt;=5800,"个","")))))</f>
        <v/>
      </c>
      <c r="J538" s="30" t="str">
        <f t="shared" si="25"/>
        <v/>
      </c>
      <c r="K538" s="30" t="str">
        <f>IF($Z538="","",IF($Z538&lt;=2000,IF(INDEX(包装物料出入库明细!$N$4:$N$2003,$Z538-0)=0,"",INDEX(包装物料出入库明细!$N$4:$N$2003,$Z538-0)),IF($Z538&lt;=4000,IF(INDEX(周转筐出入库明细!$P$4:$P$2004,$Z538-2000)=0,"",INDEX(周转筐出入库明细!$P$4:$P$2004,$Z538-2000)),IF($Z538&lt;=5200,"",IF($Z538&lt;=5800,N(INDEX(次果筐明细!$L$4:$L$603,$Z538-5200))+N(INDEX(次果筐明细!$J$4:$J$603,$Z538-5200)),"")))))</f>
        <v/>
      </c>
      <c r="L538" s="24" t="str">
        <f>IF($Z538="","",IF($Z538&lt;=2000,IF(INDEX(包装物料出入库明细!$P$4:$P$2003,$Z538-0)=0,"",INDEX(包装物料出入库明细!$P$4:$P$2003,$Z538-0)),IF($Z538&lt;=4000,IF(INDEX(周转筐出入库明细!$Q$4:$Q$2004,$Z538-2000)=0,"",INDEX(周转筐出入库明细!$Q$4:$Q$2004,$Z538-2000)),IF($Z538&lt;=5200,"",IF($Z538&lt;=5800,IF(INDEX(次果筐明细!$M$4:$M$603,$Z538-5200)=0,"",INDEX(次果筐明细!$M$4:$M$603,$Z538-5200)),"")))))</f>
        <v/>
      </c>
      <c r="M538" s="37" t="str">
        <f>IF($Z538="","",IF($Z538&lt;=2000,IF(INDEX(包装物料出入库明细!$R$4:$R$2003,$Z538-0)=0,"",INDEX(包装物料出入库明细!$R$4:$R$2003,$Z538-0)),IF($Z538&lt;=4000,IF(INDEX(周转筐出入库明细!$W$4:$W$2004,$Z538-2000)=0,"",INDEX(周转筐出入库明细!$W$4:$W$2004,$Z538-2000)),IF($Z538&lt;=5200,IF(INDEX(客户自备加工筐明细!$L$4:$L$1203,$Z538-4000)=0,"",INDEX(客户自备加工筐明细!$L$4:$L$1203,$Z538-4000)),IF($Z538&lt;=5800,IF(INDEX(次果筐明细!$P$4:$P$603,$Z538-5200)=0,"",INDEX(次果筐明细!$P$4:$P$603,$Z538-5200)),"")))))</f>
        <v/>
      </c>
      <c r="N538" s="16" t="str">
        <f>IF($Z538="","",IF($Z538&lt;=2000,"",IF($Z538&lt;=4000,IF(INDEX(周转筐出入库明细!$D$4:$D$2004,$Z538-2000)=0,"",INDEX(周转筐出入库明细!$D$4:$D$2004,$Z538-2000)),IF($Z538&lt;=5200,IF(INDEX(客户自备加工筐明细!$C$4:$C$1203,$Z538-4000)=0,"",INDEX(客户自备加工筐明细!$C$4:$C$1203,$Z538-4000)),IF($Z538&lt;=5800,IF(INDEX(次果筐明细!$D$4:$D$603,$Z538-5200)=0,"",INDEX(次果筐明细!$D$4:$D$603,$Z538-5200)),"")))))</f>
        <v/>
      </c>
      <c r="O538" s="40" t="str">
        <f>IF($Z538="","",IF($Z538&lt;=2000,"",IF($Z538&lt;=4000,IF(N(INDEX(周转筐出入库明细!$J$4:$J$2004,$Z538-2000))+N(INDEX(周转筐出入库明细!$K$4:$K$2004,$Z538-2000))=0,"",N(INDEX(周转筐出入库明细!$J$4:$J$2004,$Z538-2000))+N(INDEX(周转筐出入库明细!$K$4:$K$2004,$Z538-2000))),IF($Z538&lt;=5200,IF(N(INDEX(客户自备加工筐明细!$G$4:$G$1203,$Z538-4000))=0,"",N(INDEX(客户自备加工筐明细!$G$4:$G$1203,$Z538-4000))),IF($Z538&lt;=5800,IF(ISNUMBER(SEARCH("退",INDEX(次果筐明细!$F$4:$F$603,$Z538-5200)&amp;"")),"",IF(N(INDEX(次果筐明细!$G$4:$G$603,$Z538-5200))=0,"",N(INDEX(次果筐明细!$G$4:$G$603,$Z538-5200)))),"")))))</f>
        <v/>
      </c>
      <c r="P538" s="40" t="str">
        <f>IF($Z538="","",IF($Z538&lt;=2000,"",IF($Z538&lt;=4000,IF(N(INDEX(周转筐出入库明细!$I$4:$I$2004,$Z538-2000))=0,"",N(INDEX(周转筐出入库明细!$I$4:$I$2004,$Z538-2000))),IF($Z538&lt;=5200,"",IF($Z538&lt;=5800,IF(ISNUMBER(SEARCH("退",INDEX(次果筐明细!$F$4:$F$603,$Z538-5200)&amp;"")),IF(N(INDEX(次果筐明细!$G$4:$G$603,$Z538-5200))=0,"",N(INDEX(次果筐明细!$G$4:$G$603,$Z538-5200))),""),"")))))</f>
        <v/>
      </c>
      <c r="Q538" s="40" t="str">
        <f>IF($Z538="","",IF($Z538&lt;=2000,"",IF($Z538&lt;=4000,IF(N(INDEX(周转筐出入库明细!$H$4:$H$2004,$Z538-2000))=0,"",N(INDEX(周转筐出入库明细!$H$4:$H$2004,$Z538-2000))),IF($Z538&lt;=5200,IF(N(INDEX(客户自备加工筐明细!$F$4:$F$1203,$Z538-4000))=0,"",N(INDEX(客户自备加工筐明细!$F$4:$F$1203,$Z538-4000))),IF($Z538&lt;=5800,"","")))))</f>
        <v/>
      </c>
      <c r="R538" s="16" t="str">
        <f>IF($Z538="","",IF($Z538&lt;=2000,IF(INDEX(包装物料出入库明细!$O$4:$O$2003,$Z538-0)=0,"",INDEX(包装物料出入库明细!$O$4:$O$2003,$Z538-0)),IF($Z538&lt;=4000,IF(INDEX(周转筐出入库明细!$M$4:$M$2004,$Z538-2000)=0,"",INDEX(周转筐出入库明细!$M$4:$M$2004,$Z538-2000)),IF($Z538&lt;=5200,IF(INDEX(客户自备加工筐明细!$H$4:$H$1203,$Z538-4000)=0,"",INDEX(客户自备加工筐明细!$H$4:$H$1203,$Z538-4000)),IF($Z538&lt;=5800,IF(INDEX(次果筐明细!$H$4:$H$603,$Z538-5200)=0,"",INDEX(次果筐明细!$H$4:$H$603,$Z538-5200)),"")))))</f>
        <v/>
      </c>
      <c r="S538" s="22" t="str">
        <f t="shared" si="26"/>
        <v/>
      </c>
      <c r="Z538" s="10" t="str">
        <f>IFERROR(MATCH(ROW()-3,_自动清单!$CQ$4:$CQ$5803,0),"")</f>
        <v/>
      </c>
    </row>
    <row r="539" spans="1:26">
      <c r="A539" s="24" t="str">
        <f t="shared" si="24"/>
        <v/>
      </c>
      <c r="B539" s="38" t="str">
        <f>IF($Z539="","",IF($Z539&lt;=2000,IF(INDEX(包装物料出入库明细!$B$4:$B$2003,$Z539-0)=0,"",INDEX(包装物料出入库明细!$B$4:$B$2003,$Z539-0)),IF($Z539&lt;=4000,IF(INDEX(周转筐出入库明细!$B$4:$B$2004,$Z539-2000)=0,"",INDEX(周转筐出入库明细!$B$4:$B$2004,$Z539-2000)),IF($Z539&lt;=5200,IF(INDEX(客户自备加工筐明细!$B$4:$B$1203,$Z539-4000)=0,"",INDEX(客户自备加工筐明细!$B$4:$B$1203,$Z539-4000)),IF($Z539&lt;=5800,IF(INDEX(次果筐明细!$B$4:$B$603,$Z539-5200)=0,"",INDEX(次果筐明细!$B$4:$B$603,$Z539-5200)),"")))))</f>
        <v/>
      </c>
      <c r="C539" s="37" t="str">
        <f>IF($Z539="","",IF($Z539&lt;=2000,IF(INDEX(包装物料出入库明细!$D$4:$D$2003,$Z539-0)=0,"",INDEX(包装物料出入库明细!$D$4:$D$2003,$Z539-0)),IF($Z539&lt;=4000,IF(INDEX(周转筐出入库明细!$C$4:$C$2004,$Z539-2000)=0,"",INDEX(周转筐出入库明细!$C$4:$C$2004,$Z539-2000)),IF($Z539&lt;=5200,IF(INDEX(客户自备加工筐明细!$E$4:$E$1203,$Z539-4000)=0,"",INDEX(客户自备加工筐明细!$E$4:$E$1203,$Z539-4000)),IF($Z539&lt;=5800,IF(INDEX(次果筐明细!$C$4:$C$603,$Z539-5200)=0,"",INDEX(次果筐明细!$C$4:$C$603,$Z539-5200)),"")))))</f>
        <v/>
      </c>
      <c r="D539" s="37" t="str">
        <f>IF($Z539="","",IF($Z539&lt;=2000,"包装物料－"&amp;INDEX(包装物料出入库明细!$H$4:$H$2003,$Z539-0),IF($Z539&lt;=4000,"周转筐－"&amp;INDEX(周转筐出入库明细!$F$4:$F$2004,$Z539-2000),IF($Z539&lt;=5200,"客户自备筐－"&amp;INDEX(客户自备加工筐明细!$J$4:$J$1203,$Z539-4000),IF($Z539&lt;=5800,"次果筐/托盘－"&amp;INDEX(次果筐明细!$F$4:$F$603,$Z539-5200),"")))))</f>
        <v/>
      </c>
      <c r="E539" s="24" t="str">
        <f>IF($Z539="","",IF($Z539&lt;=2000,IF(INDEX(包装物料出入库明细!$C$4:$C$2003,$Z539-0)=0,"",INDEX(包装物料出入库明细!$C$4:$C$2003,$Z539-0)),IF($Z539&lt;=4000,IF(INDEX(周转筐出入库明细!$E$4:$E$2004,$Z539-2000)=0,"",INDEX(周转筐出入库明细!$E$4:$E$2004,$Z539-2000)),IF($Z539&lt;=5200,IF(INDEX(客户自备加工筐明细!$D$4:$D$1203,$Z539-4000)=0,"",INDEX(客户自备加工筐明细!$D$4:$D$1203,$Z539-4000)),IF($Z539&lt;=5800,IF(INDEX(次果筐明细!$E$4:$E$603,$Z539-5200)=0,"",INDEX(次果筐明细!$E$4:$E$603,$Z539-5200)),"")))))</f>
        <v/>
      </c>
      <c r="F539" s="24" t="str">
        <f>IF($Z539="","",IF($Z539&lt;=2000,IF(INDEX(包装物料出入库明细!$E$4:$E$2003,$Z539-0)=0,"",INDEX(包装物料出入库明细!$E$4:$E$2003,$Z539-0)),IF($Z539&lt;=4000,IF(INDEX(周转筐出入库明细!$D$4:$D$2004,$Z539-2000)=0,"",INDEX(周转筐出入库明细!$D$4:$D$2004,$Z539-2000)),IF($Z539&lt;=5200,IF(INDEX(客户自备加工筐明细!$C$4:$C$1203,$Z539-4000)=0,"",INDEX(客户自备加工筐明细!$C$4:$C$1203,$Z539-4000)),IF($Z539&lt;=5800,IF(INDEX(次果筐明细!$D$4:$D$603,$Z539-5200)=0,"",INDEX(次果筐明细!$D$4:$D$603,$Z539-5200)),"")))))</f>
        <v/>
      </c>
      <c r="G539" s="24" t="str">
        <f>IF($Z539="","",IF($Z539&lt;=2000,IF(INDEX(包装物料出入库明细!$F$4:$F$2003,$Z539-0)=0,"",INDEX(包装物料出入库明细!$F$4:$F$2003,$Z539-0)),IF($Z539&lt;=4000,"",IF($Z539&lt;=5200,"",IF($Z539&lt;=5800,"","")))))</f>
        <v/>
      </c>
      <c r="H539" s="39" t="str">
        <f>IF($Z539="","",IF($Z539&lt;=2000,IF(INDEX(包装物料出入库明细!$L$4:$L$2003,$Z539-0)=0,"",INDEX(包装物料出入库明细!$L$4:$L$2003,$Z539-0)),IF($Z539&lt;=4000,N(INDEX(周转筐出入库明细!$H$4:$H$2004,$Z539-2000))+N(INDEX(周转筐出入库明细!$I$4:$I$2004,$Z539-2000))+N(INDEX(周转筐出入库明细!$J$4:$J$2004,$Z539-2000))+N(INDEX(周转筐出入库明细!$K$4:$K$2004,$Z539-2000)),IF($Z539&lt;=5200,N(INDEX(客户自备加工筐明细!$F$4:$F$1203,$Z539-4000))+N(INDEX(客户自备加工筐明细!$G$4:$G$1203,$Z539-4000)),IF($Z539&lt;=5800,IF(INDEX(次果筐明细!$G$4:$G$603,$Z539-5200)=0,"",INDEX(次果筐明细!$G$4:$G$603,$Z539-5200)),"")))))</f>
        <v/>
      </c>
      <c r="I539" s="24" t="str">
        <f>IF($Z539="","",IF($Z539&lt;=2000,IF(INDEX(包装物料出入库明细!$G$4:$G$2003,$Z539-0)=0,"",INDEX(包装物料出入库明细!$G$4:$G$2003,$Z539-0)),IF($Z539&lt;=4000,"个",IF($Z539&lt;=5200,"个",IF($Z539&lt;=5800,"个","")))))</f>
        <v/>
      </c>
      <c r="J539" s="30" t="str">
        <f t="shared" si="25"/>
        <v/>
      </c>
      <c r="K539" s="30" t="str">
        <f>IF($Z539="","",IF($Z539&lt;=2000,IF(INDEX(包装物料出入库明细!$N$4:$N$2003,$Z539-0)=0,"",INDEX(包装物料出入库明细!$N$4:$N$2003,$Z539-0)),IF($Z539&lt;=4000,IF(INDEX(周转筐出入库明细!$P$4:$P$2004,$Z539-2000)=0,"",INDEX(周转筐出入库明细!$P$4:$P$2004,$Z539-2000)),IF($Z539&lt;=5200,"",IF($Z539&lt;=5800,N(INDEX(次果筐明细!$L$4:$L$603,$Z539-5200))+N(INDEX(次果筐明细!$J$4:$J$603,$Z539-5200)),"")))))</f>
        <v/>
      </c>
      <c r="L539" s="24" t="str">
        <f>IF($Z539="","",IF($Z539&lt;=2000,IF(INDEX(包装物料出入库明细!$P$4:$P$2003,$Z539-0)=0,"",INDEX(包装物料出入库明细!$P$4:$P$2003,$Z539-0)),IF($Z539&lt;=4000,IF(INDEX(周转筐出入库明细!$Q$4:$Q$2004,$Z539-2000)=0,"",INDEX(周转筐出入库明细!$Q$4:$Q$2004,$Z539-2000)),IF($Z539&lt;=5200,"",IF($Z539&lt;=5800,IF(INDEX(次果筐明细!$M$4:$M$603,$Z539-5200)=0,"",INDEX(次果筐明细!$M$4:$M$603,$Z539-5200)),"")))))</f>
        <v/>
      </c>
      <c r="M539" s="37" t="str">
        <f>IF($Z539="","",IF($Z539&lt;=2000,IF(INDEX(包装物料出入库明细!$R$4:$R$2003,$Z539-0)=0,"",INDEX(包装物料出入库明细!$R$4:$R$2003,$Z539-0)),IF($Z539&lt;=4000,IF(INDEX(周转筐出入库明细!$W$4:$W$2004,$Z539-2000)=0,"",INDEX(周转筐出入库明细!$W$4:$W$2004,$Z539-2000)),IF($Z539&lt;=5200,IF(INDEX(客户自备加工筐明细!$L$4:$L$1203,$Z539-4000)=0,"",INDEX(客户自备加工筐明细!$L$4:$L$1203,$Z539-4000)),IF($Z539&lt;=5800,IF(INDEX(次果筐明细!$P$4:$P$603,$Z539-5200)=0,"",INDEX(次果筐明细!$P$4:$P$603,$Z539-5200)),"")))))</f>
        <v/>
      </c>
      <c r="N539" s="16" t="str">
        <f>IF($Z539="","",IF($Z539&lt;=2000,"",IF($Z539&lt;=4000,IF(INDEX(周转筐出入库明细!$D$4:$D$2004,$Z539-2000)=0,"",INDEX(周转筐出入库明细!$D$4:$D$2004,$Z539-2000)),IF($Z539&lt;=5200,IF(INDEX(客户自备加工筐明细!$C$4:$C$1203,$Z539-4000)=0,"",INDEX(客户自备加工筐明细!$C$4:$C$1203,$Z539-4000)),IF($Z539&lt;=5800,IF(INDEX(次果筐明细!$D$4:$D$603,$Z539-5200)=0,"",INDEX(次果筐明细!$D$4:$D$603,$Z539-5200)),"")))))</f>
        <v/>
      </c>
      <c r="O539" s="40" t="str">
        <f>IF($Z539="","",IF($Z539&lt;=2000,"",IF($Z539&lt;=4000,IF(N(INDEX(周转筐出入库明细!$J$4:$J$2004,$Z539-2000))+N(INDEX(周转筐出入库明细!$K$4:$K$2004,$Z539-2000))=0,"",N(INDEX(周转筐出入库明细!$J$4:$J$2004,$Z539-2000))+N(INDEX(周转筐出入库明细!$K$4:$K$2004,$Z539-2000))),IF($Z539&lt;=5200,IF(N(INDEX(客户自备加工筐明细!$G$4:$G$1203,$Z539-4000))=0,"",N(INDEX(客户自备加工筐明细!$G$4:$G$1203,$Z539-4000))),IF($Z539&lt;=5800,IF(ISNUMBER(SEARCH("退",INDEX(次果筐明细!$F$4:$F$603,$Z539-5200)&amp;"")),"",IF(N(INDEX(次果筐明细!$G$4:$G$603,$Z539-5200))=0,"",N(INDEX(次果筐明细!$G$4:$G$603,$Z539-5200)))),"")))))</f>
        <v/>
      </c>
      <c r="P539" s="40" t="str">
        <f>IF($Z539="","",IF($Z539&lt;=2000,"",IF($Z539&lt;=4000,IF(N(INDEX(周转筐出入库明细!$I$4:$I$2004,$Z539-2000))=0,"",N(INDEX(周转筐出入库明细!$I$4:$I$2004,$Z539-2000))),IF($Z539&lt;=5200,"",IF($Z539&lt;=5800,IF(ISNUMBER(SEARCH("退",INDEX(次果筐明细!$F$4:$F$603,$Z539-5200)&amp;"")),IF(N(INDEX(次果筐明细!$G$4:$G$603,$Z539-5200))=0,"",N(INDEX(次果筐明细!$G$4:$G$603,$Z539-5200))),""),"")))))</f>
        <v/>
      </c>
      <c r="Q539" s="40" t="str">
        <f>IF($Z539="","",IF($Z539&lt;=2000,"",IF($Z539&lt;=4000,IF(N(INDEX(周转筐出入库明细!$H$4:$H$2004,$Z539-2000))=0,"",N(INDEX(周转筐出入库明细!$H$4:$H$2004,$Z539-2000))),IF($Z539&lt;=5200,IF(N(INDEX(客户自备加工筐明细!$F$4:$F$1203,$Z539-4000))=0,"",N(INDEX(客户自备加工筐明细!$F$4:$F$1203,$Z539-4000))),IF($Z539&lt;=5800,"","")))))</f>
        <v/>
      </c>
      <c r="R539" s="16" t="str">
        <f>IF($Z539="","",IF($Z539&lt;=2000,IF(INDEX(包装物料出入库明细!$O$4:$O$2003,$Z539-0)=0,"",INDEX(包装物料出入库明细!$O$4:$O$2003,$Z539-0)),IF($Z539&lt;=4000,IF(INDEX(周转筐出入库明细!$M$4:$M$2004,$Z539-2000)=0,"",INDEX(周转筐出入库明细!$M$4:$M$2004,$Z539-2000)),IF($Z539&lt;=5200,IF(INDEX(客户自备加工筐明细!$H$4:$H$1203,$Z539-4000)=0,"",INDEX(客户自备加工筐明细!$H$4:$H$1203,$Z539-4000)),IF($Z539&lt;=5800,IF(INDEX(次果筐明细!$H$4:$H$603,$Z539-5200)=0,"",INDEX(次果筐明细!$H$4:$H$603,$Z539-5200)),"")))))</f>
        <v/>
      </c>
      <c r="S539" s="22" t="str">
        <f t="shared" si="26"/>
        <v/>
      </c>
      <c r="Z539" s="10" t="str">
        <f>IFERROR(MATCH(ROW()-3,_自动清单!$CQ$4:$CQ$5803,0),"")</f>
        <v/>
      </c>
    </row>
    <row r="540" spans="1:26">
      <c r="A540" s="24" t="str">
        <f t="shared" si="24"/>
        <v/>
      </c>
      <c r="B540" s="38" t="str">
        <f>IF($Z540="","",IF($Z540&lt;=2000,IF(INDEX(包装物料出入库明细!$B$4:$B$2003,$Z540-0)=0,"",INDEX(包装物料出入库明细!$B$4:$B$2003,$Z540-0)),IF($Z540&lt;=4000,IF(INDEX(周转筐出入库明细!$B$4:$B$2004,$Z540-2000)=0,"",INDEX(周转筐出入库明细!$B$4:$B$2004,$Z540-2000)),IF($Z540&lt;=5200,IF(INDEX(客户自备加工筐明细!$B$4:$B$1203,$Z540-4000)=0,"",INDEX(客户自备加工筐明细!$B$4:$B$1203,$Z540-4000)),IF($Z540&lt;=5800,IF(INDEX(次果筐明细!$B$4:$B$603,$Z540-5200)=0,"",INDEX(次果筐明细!$B$4:$B$603,$Z540-5200)),"")))))</f>
        <v/>
      </c>
      <c r="C540" s="37" t="str">
        <f>IF($Z540="","",IF($Z540&lt;=2000,IF(INDEX(包装物料出入库明细!$D$4:$D$2003,$Z540-0)=0,"",INDEX(包装物料出入库明细!$D$4:$D$2003,$Z540-0)),IF($Z540&lt;=4000,IF(INDEX(周转筐出入库明细!$C$4:$C$2004,$Z540-2000)=0,"",INDEX(周转筐出入库明细!$C$4:$C$2004,$Z540-2000)),IF($Z540&lt;=5200,IF(INDEX(客户自备加工筐明细!$E$4:$E$1203,$Z540-4000)=0,"",INDEX(客户自备加工筐明细!$E$4:$E$1203,$Z540-4000)),IF($Z540&lt;=5800,IF(INDEX(次果筐明细!$C$4:$C$603,$Z540-5200)=0,"",INDEX(次果筐明细!$C$4:$C$603,$Z540-5200)),"")))))</f>
        <v/>
      </c>
      <c r="D540" s="37" t="str">
        <f>IF($Z540="","",IF($Z540&lt;=2000,"包装物料－"&amp;INDEX(包装物料出入库明细!$H$4:$H$2003,$Z540-0),IF($Z540&lt;=4000,"周转筐－"&amp;INDEX(周转筐出入库明细!$F$4:$F$2004,$Z540-2000),IF($Z540&lt;=5200,"客户自备筐－"&amp;INDEX(客户自备加工筐明细!$J$4:$J$1203,$Z540-4000),IF($Z540&lt;=5800,"次果筐/托盘－"&amp;INDEX(次果筐明细!$F$4:$F$603,$Z540-5200),"")))))</f>
        <v/>
      </c>
      <c r="E540" s="24" t="str">
        <f>IF($Z540="","",IF($Z540&lt;=2000,IF(INDEX(包装物料出入库明细!$C$4:$C$2003,$Z540-0)=0,"",INDEX(包装物料出入库明细!$C$4:$C$2003,$Z540-0)),IF($Z540&lt;=4000,IF(INDEX(周转筐出入库明细!$E$4:$E$2004,$Z540-2000)=0,"",INDEX(周转筐出入库明细!$E$4:$E$2004,$Z540-2000)),IF($Z540&lt;=5200,IF(INDEX(客户自备加工筐明细!$D$4:$D$1203,$Z540-4000)=0,"",INDEX(客户自备加工筐明细!$D$4:$D$1203,$Z540-4000)),IF($Z540&lt;=5800,IF(INDEX(次果筐明细!$E$4:$E$603,$Z540-5200)=0,"",INDEX(次果筐明细!$E$4:$E$603,$Z540-5200)),"")))))</f>
        <v/>
      </c>
      <c r="F540" s="24" t="str">
        <f>IF($Z540="","",IF($Z540&lt;=2000,IF(INDEX(包装物料出入库明细!$E$4:$E$2003,$Z540-0)=0,"",INDEX(包装物料出入库明细!$E$4:$E$2003,$Z540-0)),IF($Z540&lt;=4000,IF(INDEX(周转筐出入库明细!$D$4:$D$2004,$Z540-2000)=0,"",INDEX(周转筐出入库明细!$D$4:$D$2004,$Z540-2000)),IF($Z540&lt;=5200,IF(INDEX(客户自备加工筐明细!$C$4:$C$1203,$Z540-4000)=0,"",INDEX(客户自备加工筐明细!$C$4:$C$1203,$Z540-4000)),IF($Z540&lt;=5800,IF(INDEX(次果筐明细!$D$4:$D$603,$Z540-5200)=0,"",INDEX(次果筐明细!$D$4:$D$603,$Z540-5200)),"")))))</f>
        <v/>
      </c>
      <c r="G540" s="24" t="str">
        <f>IF($Z540="","",IF($Z540&lt;=2000,IF(INDEX(包装物料出入库明细!$F$4:$F$2003,$Z540-0)=0,"",INDEX(包装物料出入库明细!$F$4:$F$2003,$Z540-0)),IF($Z540&lt;=4000,"",IF($Z540&lt;=5200,"",IF($Z540&lt;=5800,"","")))))</f>
        <v/>
      </c>
      <c r="H540" s="39" t="str">
        <f>IF($Z540="","",IF($Z540&lt;=2000,IF(INDEX(包装物料出入库明细!$L$4:$L$2003,$Z540-0)=0,"",INDEX(包装物料出入库明细!$L$4:$L$2003,$Z540-0)),IF($Z540&lt;=4000,N(INDEX(周转筐出入库明细!$H$4:$H$2004,$Z540-2000))+N(INDEX(周转筐出入库明细!$I$4:$I$2004,$Z540-2000))+N(INDEX(周转筐出入库明细!$J$4:$J$2004,$Z540-2000))+N(INDEX(周转筐出入库明细!$K$4:$K$2004,$Z540-2000)),IF($Z540&lt;=5200,N(INDEX(客户自备加工筐明细!$F$4:$F$1203,$Z540-4000))+N(INDEX(客户自备加工筐明细!$G$4:$G$1203,$Z540-4000)),IF($Z540&lt;=5800,IF(INDEX(次果筐明细!$G$4:$G$603,$Z540-5200)=0,"",INDEX(次果筐明细!$G$4:$G$603,$Z540-5200)),"")))))</f>
        <v/>
      </c>
      <c r="I540" s="24" t="str">
        <f>IF($Z540="","",IF($Z540&lt;=2000,IF(INDEX(包装物料出入库明细!$G$4:$G$2003,$Z540-0)=0,"",INDEX(包装物料出入库明细!$G$4:$G$2003,$Z540-0)),IF($Z540&lt;=4000,"个",IF($Z540&lt;=5200,"个",IF($Z540&lt;=5800,"个","")))))</f>
        <v/>
      </c>
      <c r="J540" s="30" t="str">
        <f t="shared" si="25"/>
        <v/>
      </c>
      <c r="K540" s="30" t="str">
        <f>IF($Z540="","",IF($Z540&lt;=2000,IF(INDEX(包装物料出入库明细!$N$4:$N$2003,$Z540-0)=0,"",INDEX(包装物料出入库明细!$N$4:$N$2003,$Z540-0)),IF($Z540&lt;=4000,IF(INDEX(周转筐出入库明细!$P$4:$P$2004,$Z540-2000)=0,"",INDEX(周转筐出入库明细!$P$4:$P$2004,$Z540-2000)),IF($Z540&lt;=5200,"",IF($Z540&lt;=5800,N(INDEX(次果筐明细!$L$4:$L$603,$Z540-5200))+N(INDEX(次果筐明细!$J$4:$J$603,$Z540-5200)),"")))))</f>
        <v/>
      </c>
      <c r="L540" s="24" t="str">
        <f>IF($Z540="","",IF($Z540&lt;=2000,IF(INDEX(包装物料出入库明细!$P$4:$P$2003,$Z540-0)=0,"",INDEX(包装物料出入库明细!$P$4:$P$2003,$Z540-0)),IF($Z540&lt;=4000,IF(INDEX(周转筐出入库明细!$Q$4:$Q$2004,$Z540-2000)=0,"",INDEX(周转筐出入库明细!$Q$4:$Q$2004,$Z540-2000)),IF($Z540&lt;=5200,"",IF($Z540&lt;=5800,IF(INDEX(次果筐明细!$M$4:$M$603,$Z540-5200)=0,"",INDEX(次果筐明细!$M$4:$M$603,$Z540-5200)),"")))))</f>
        <v/>
      </c>
      <c r="M540" s="37" t="str">
        <f>IF($Z540="","",IF($Z540&lt;=2000,IF(INDEX(包装物料出入库明细!$R$4:$R$2003,$Z540-0)=0,"",INDEX(包装物料出入库明细!$R$4:$R$2003,$Z540-0)),IF($Z540&lt;=4000,IF(INDEX(周转筐出入库明细!$W$4:$W$2004,$Z540-2000)=0,"",INDEX(周转筐出入库明细!$W$4:$W$2004,$Z540-2000)),IF($Z540&lt;=5200,IF(INDEX(客户自备加工筐明细!$L$4:$L$1203,$Z540-4000)=0,"",INDEX(客户自备加工筐明细!$L$4:$L$1203,$Z540-4000)),IF($Z540&lt;=5800,IF(INDEX(次果筐明细!$P$4:$P$603,$Z540-5200)=0,"",INDEX(次果筐明细!$P$4:$P$603,$Z540-5200)),"")))))</f>
        <v/>
      </c>
      <c r="N540" s="16" t="str">
        <f>IF($Z540="","",IF($Z540&lt;=2000,"",IF($Z540&lt;=4000,IF(INDEX(周转筐出入库明细!$D$4:$D$2004,$Z540-2000)=0,"",INDEX(周转筐出入库明细!$D$4:$D$2004,$Z540-2000)),IF($Z540&lt;=5200,IF(INDEX(客户自备加工筐明细!$C$4:$C$1203,$Z540-4000)=0,"",INDEX(客户自备加工筐明细!$C$4:$C$1203,$Z540-4000)),IF($Z540&lt;=5800,IF(INDEX(次果筐明细!$D$4:$D$603,$Z540-5200)=0,"",INDEX(次果筐明细!$D$4:$D$603,$Z540-5200)),"")))))</f>
        <v/>
      </c>
      <c r="O540" s="40" t="str">
        <f>IF($Z540="","",IF($Z540&lt;=2000,"",IF($Z540&lt;=4000,IF(N(INDEX(周转筐出入库明细!$J$4:$J$2004,$Z540-2000))+N(INDEX(周转筐出入库明细!$K$4:$K$2004,$Z540-2000))=0,"",N(INDEX(周转筐出入库明细!$J$4:$J$2004,$Z540-2000))+N(INDEX(周转筐出入库明细!$K$4:$K$2004,$Z540-2000))),IF($Z540&lt;=5200,IF(N(INDEX(客户自备加工筐明细!$G$4:$G$1203,$Z540-4000))=0,"",N(INDEX(客户自备加工筐明细!$G$4:$G$1203,$Z540-4000))),IF($Z540&lt;=5800,IF(ISNUMBER(SEARCH("退",INDEX(次果筐明细!$F$4:$F$603,$Z540-5200)&amp;"")),"",IF(N(INDEX(次果筐明细!$G$4:$G$603,$Z540-5200))=0,"",N(INDEX(次果筐明细!$G$4:$G$603,$Z540-5200)))),"")))))</f>
        <v/>
      </c>
      <c r="P540" s="40" t="str">
        <f>IF($Z540="","",IF($Z540&lt;=2000,"",IF($Z540&lt;=4000,IF(N(INDEX(周转筐出入库明细!$I$4:$I$2004,$Z540-2000))=0,"",N(INDEX(周转筐出入库明细!$I$4:$I$2004,$Z540-2000))),IF($Z540&lt;=5200,"",IF($Z540&lt;=5800,IF(ISNUMBER(SEARCH("退",INDEX(次果筐明细!$F$4:$F$603,$Z540-5200)&amp;"")),IF(N(INDEX(次果筐明细!$G$4:$G$603,$Z540-5200))=0,"",N(INDEX(次果筐明细!$G$4:$G$603,$Z540-5200))),""),"")))))</f>
        <v/>
      </c>
      <c r="Q540" s="40" t="str">
        <f>IF($Z540="","",IF($Z540&lt;=2000,"",IF($Z540&lt;=4000,IF(N(INDEX(周转筐出入库明细!$H$4:$H$2004,$Z540-2000))=0,"",N(INDEX(周转筐出入库明细!$H$4:$H$2004,$Z540-2000))),IF($Z540&lt;=5200,IF(N(INDEX(客户自备加工筐明细!$F$4:$F$1203,$Z540-4000))=0,"",N(INDEX(客户自备加工筐明细!$F$4:$F$1203,$Z540-4000))),IF($Z540&lt;=5800,"","")))))</f>
        <v/>
      </c>
      <c r="R540" s="16" t="str">
        <f>IF($Z540="","",IF($Z540&lt;=2000,IF(INDEX(包装物料出入库明细!$O$4:$O$2003,$Z540-0)=0,"",INDEX(包装物料出入库明细!$O$4:$O$2003,$Z540-0)),IF($Z540&lt;=4000,IF(INDEX(周转筐出入库明细!$M$4:$M$2004,$Z540-2000)=0,"",INDEX(周转筐出入库明细!$M$4:$M$2004,$Z540-2000)),IF($Z540&lt;=5200,IF(INDEX(客户自备加工筐明细!$H$4:$H$1203,$Z540-4000)=0,"",INDEX(客户自备加工筐明细!$H$4:$H$1203,$Z540-4000)),IF($Z540&lt;=5800,IF(INDEX(次果筐明细!$H$4:$H$603,$Z540-5200)=0,"",INDEX(次果筐明细!$H$4:$H$603,$Z540-5200)),"")))))</f>
        <v/>
      </c>
      <c r="S540" s="22" t="str">
        <f t="shared" si="26"/>
        <v/>
      </c>
      <c r="Z540" s="10" t="str">
        <f>IFERROR(MATCH(ROW()-3,_自动清单!$CQ$4:$CQ$5803,0),"")</f>
        <v/>
      </c>
    </row>
    <row r="541" spans="1:26">
      <c r="A541" s="24" t="str">
        <f t="shared" si="24"/>
        <v/>
      </c>
      <c r="B541" s="38" t="str">
        <f>IF($Z541="","",IF($Z541&lt;=2000,IF(INDEX(包装物料出入库明细!$B$4:$B$2003,$Z541-0)=0,"",INDEX(包装物料出入库明细!$B$4:$B$2003,$Z541-0)),IF($Z541&lt;=4000,IF(INDEX(周转筐出入库明细!$B$4:$B$2004,$Z541-2000)=0,"",INDEX(周转筐出入库明细!$B$4:$B$2004,$Z541-2000)),IF($Z541&lt;=5200,IF(INDEX(客户自备加工筐明细!$B$4:$B$1203,$Z541-4000)=0,"",INDEX(客户自备加工筐明细!$B$4:$B$1203,$Z541-4000)),IF($Z541&lt;=5800,IF(INDEX(次果筐明细!$B$4:$B$603,$Z541-5200)=0,"",INDEX(次果筐明细!$B$4:$B$603,$Z541-5200)),"")))))</f>
        <v/>
      </c>
      <c r="C541" s="37" t="str">
        <f>IF($Z541="","",IF($Z541&lt;=2000,IF(INDEX(包装物料出入库明细!$D$4:$D$2003,$Z541-0)=0,"",INDEX(包装物料出入库明细!$D$4:$D$2003,$Z541-0)),IF($Z541&lt;=4000,IF(INDEX(周转筐出入库明细!$C$4:$C$2004,$Z541-2000)=0,"",INDEX(周转筐出入库明细!$C$4:$C$2004,$Z541-2000)),IF($Z541&lt;=5200,IF(INDEX(客户自备加工筐明细!$E$4:$E$1203,$Z541-4000)=0,"",INDEX(客户自备加工筐明细!$E$4:$E$1203,$Z541-4000)),IF($Z541&lt;=5800,IF(INDEX(次果筐明细!$C$4:$C$603,$Z541-5200)=0,"",INDEX(次果筐明细!$C$4:$C$603,$Z541-5200)),"")))))</f>
        <v/>
      </c>
      <c r="D541" s="37" t="str">
        <f>IF($Z541="","",IF($Z541&lt;=2000,"包装物料－"&amp;INDEX(包装物料出入库明细!$H$4:$H$2003,$Z541-0),IF($Z541&lt;=4000,"周转筐－"&amp;INDEX(周转筐出入库明细!$F$4:$F$2004,$Z541-2000),IF($Z541&lt;=5200,"客户自备筐－"&amp;INDEX(客户自备加工筐明细!$J$4:$J$1203,$Z541-4000),IF($Z541&lt;=5800,"次果筐/托盘－"&amp;INDEX(次果筐明细!$F$4:$F$603,$Z541-5200),"")))))</f>
        <v/>
      </c>
      <c r="E541" s="24" t="str">
        <f>IF($Z541="","",IF($Z541&lt;=2000,IF(INDEX(包装物料出入库明细!$C$4:$C$2003,$Z541-0)=0,"",INDEX(包装物料出入库明细!$C$4:$C$2003,$Z541-0)),IF($Z541&lt;=4000,IF(INDEX(周转筐出入库明细!$E$4:$E$2004,$Z541-2000)=0,"",INDEX(周转筐出入库明细!$E$4:$E$2004,$Z541-2000)),IF($Z541&lt;=5200,IF(INDEX(客户自备加工筐明细!$D$4:$D$1203,$Z541-4000)=0,"",INDEX(客户自备加工筐明细!$D$4:$D$1203,$Z541-4000)),IF($Z541&lt;=5800,IF(INDEX(次果筐明细!$E$4:$E$603,$Z541-5200)=0,"",INDEX(次果筐明细!$E$4:$E$603,$Z541-5200)),"")))))</f>
        <v/>
      </c>
      <c r="F541" s="24" t="str">
        <f>IF($Z541="","",IF($Z541&lt;=2000,IF(INDEX(包装物料出入库明细!$E$4:$E$2003,$Z541-0)=0,"",INDEX(包装物料出入库明细!$E$4:$E$2003,$Z541-0)),IF($Z541&lt;=4000,IF(INDEX(周转筐出入库明细!$D$4:$D$2004,$Z541-2000)=0,"",INDEX(周转筐出入库明细!$D$4:$D$2004,$Z541-2000)),IF($Z541&lt;=5200,IF(INDEX(客户自备加工筐明细!$C$4:$C$1203,$Z541-4000)=0,"",INDEX(客户自备加工筐明细!$C$4:$C$1203,$Z541-4000)),IF($Z541&lt;=5800,IF(INDEX(次果筐明细!$D$4:$D$603,$Z541-5200)=0,"",INDEX(次果筐明细!$D$4:$D$603,$Z541-5200)),"")))))</f>
        <v/>
      </c>
      <c r="G541" s="24" t="str">
        <f>IF($Z541="","",IF($Z541&lt;=2000,IF(INDEX(包装物料出入库明细!$F$4:$F$2003,$Z541-0)=0,"",INDEX(包装物料出入库明细!$F$4:$F$2003,$Z541-0)),IF($Z541&lt;=4000,"",IF($Z541&lt;=5200,"",IF($Z541&lt;=5800,"","")))))</f>
        <v/>
      </c>
      <c r="H541" s="39" t="str">
        <f>IF($Z541="","",IF($Z541&lt;=2000,IF(INDEX(包装物料出入库明细!$L$4:$L$2003,$Z541-0)=0,"",INDEX(包装物料出入库明细!$L$4:$L$2003,$Z541-0)),IF($Z541&lt;=4000,N(INDEX(周转筐出入库明细!$H$4:$H$2004,$Z541-2000))+N(INDEX(周转筐出入库明细!$I$4:$I$2004,$Z541-2000))+N(INDEX(周转筐出入库明细!$J$4:$J$2004,$Z541-2000))+N(INDEX(周转筐出入库明细!$K$4:$K$2004,$Z541-2000)),IF($Z541&lt;=5200,N(INDEX(客户自备加工筐明细!$F$4:$F$1203,$Z541-4000))+N(INDEX(客户自备加工筐明细!$G$4:$G$1203,$Z541-4000)),IF($Z541&lt;=5800,IF(INDEX(次果筐明细!$G$4:$G$603,$Z541-5200)=0,"",INDEX(次果筐明细!$G$4:$G$603,$Z541-5200)),"")))))</f>
        <v/>
      </c>
      <c r="I541" s="24" t="str">
        <f>IF($Z541="","",IF($Z541&lt;=2000,IF(INDEX(包装物料出入库明细!$G$4:$G$2003,$Z541-0)=0,"",INDEX(包装物料出入库明细!$G$4:$G$2003,$Z541-0)),IF($Z541&lt;=4000,"个",IF($Z541&lt;=5200,"个",IF($Z541&lt;=5800,"个","")))))</f>
        <v/>
      </c>
      <c r="J541" s="30" t="str">
        <f t="shared" si="25"/>
        <v/>
      </c>
      <c r="K541" s="30" t="str">
        <f>IF($Z541="","",IF($Z541&lt;=2000,IF(INDEX(包装物料出入库明细!$N$4:$N$2003,$Z541-0)=0,"",INDEX(包装物料出入库明细!$N$4:$N$2003,$Z541-0)),IF($Z541&lt;=4000,IF(INDEX(周转筐出入库明细!$P$4:$P$2004,$Z541-2000)=0,"",INDEX(周转筐出入库明细!$P$4:$P$2004,$Z541-2000)),IF($Z541&lt;=5200,"",IF($Z541&lt;=5800,N(INDEX(次果筐明细!$L$4:$L$603,$Z541-5200))+N(INDEX(次果筐明细!$J$4:$J$603,$Z541-5200)),"")))))</f>
        <v/>
      </c>
      <c r="L541" s="24" t="str">
        <f>IF($Z541="","",IF($Z541&lt;=2000,IF(INDEX(包装物料出入库明细!$P$4:$P$2003,$Z541-0)=0,"",INDEX(包装物料出入库明细!$P$4:$P$2003,$Z541-0)),IF($Z541&lt;=4000,IF(INDEX(周转筐出入库明细!$Q$4:$Q$2004,$Z541-2000)=0,"",INDEX(周转筐出入库明细!$Q$4:$Q$2004,$Z541-2000)),IF($Z541&lt;=5200,"",IF($Z541&lt;=5800,IF(INDEX(次果筐明细!$M$4:$M$603,$Z541-5200)=0,"",INDEX(次果筐明细!$M$4:$M$603,$Z541-5200)),"")))))</f>
        <v/>
      </c>
      <c r="M541" s="37" t="str">
        <f>IF($Z541="","",IF($Z541&lt;=2000,IF(INDEX(包装物料出入库明细!$R$4:$R$2003,$Z541-0)=0,"",INDEX(包装物料出入库明细!$R$4:$R$2003,$Z541-0)),IF($Z541&lt;=4000,IF(INDEX(周转筐出入库明细!$W$4:$W$2004,$Z541-2000)=0,"",INDEX(周转筐出入库明细!$W$4:$W$2004,$Z541-2000)),IF($Z541&lt;=5200,IF(INDEX(客户自备加工筐明细!$L$4:$L$1203,$Z541-4000)=0,"",INDEX(客户自备加工筐明细!$L$4:$L$1203,$Z541-4000)),IF($Z541&lt;=5800,IF(INDEX(次果筐明细!$P$4:$P$603,$Z541-5200)=0,"",INDEX(次果筐明细!$P$4:$P$603,$Z541-5200)),"")))))</f>
        <v/>
      </c>
      <c r="N541" s="16" t="str">
        <f>IF($Z541="","",IF($Z541&lt;=2000,"",IF($Z541&lt;=4000,IF(INDEX(周转筐出入库明细!$D$4:$D$2004,$Z541-2000)=0,"",INDEX(周转筐出入库明细!$D$4:$D$2004,$Z541-2000)),IF($Z541&lt;=5200,IF(INDEX(客户自备加工筐明细!$C$4:$C$1203,$Z541-4000)=0,"",INDEX(客户自备加工筐明细!$C$4:$C$1203,$Z541-4000)),IF($Z541&lt;=5800,IF(INDEX(次果筐明细!$D$4:$D$603,$Z541-5200)=0,"",INDEX(次果筐明细!$D$4:$D$603,$Z541-5200)),"")))))</f>
        <v/>
      </c>
      <c r="O541" s="40" t="str">
        <f>IF($Z541="","",IF($Z541&lt;=2000,"",IF($Z541&lt;=4000,IF(N(INDEX(周转筐出入库明细!$J$4:$J$2004,$Z541-2000))+N(INDEX(周转筐出入库明细!$K$4:$K$2004,$Z541-2000))=0,"",N(INDEX(周转筐出入库明细!$J$4:$J$2004,$Z541-2000))+N(INDEX(周转筐出入库明细!$K$4:$K$2004,$Z541-2000))),IF($Z541&lt;=5200,IF(N(INDEX(客户自备加工筐明细!$G$4:$G$1203,$Z541-4000))=0,"",N(INDEX(客户自备加工筐明细!$G$4:$G$1203,$Z541-4000))),IF($Z541&lt;=5800,IF(ISNUMBER(SEARCH("退",INDEX(次果筐明细!$F$4:$F$603,$Z541-5200)&amp;"")),"",IF(N(INDEX(次果筐明细!$G$4:$G$603,$Z541-5200))=0,"",N(INDEX(次果筐明细!$G$4:$G$603,$Z541-5200)))),"")))))</f>
        <v/>
      </c>
      <c r="P541" s="40" t="str">
        <f>IF($Z541="","",IF($Z541&lt;=2000,"",IF($Z541&lt;=4000,IF(N(INDEX(周转筐出入库明细!$I$4:$I$2004,$Z541-2000))=0,"",N(INDEX(周转筐出入库明细!$I$4:$I$2004,$Z541-2000))),IF($Z541&lt;=5200,"",IF($Z541&lt;=5800,IF(ISNUMBER(SEARCH("退",INDEX(次果筐明细!$F$4:$F$603,$Z541-5200)&amp;"")),IF(N(INDEX(次果筐明细!$G$4:$G$603,$Z541-5200))=0,"",N(INDEX(次果筐明细!$G$4:$G$603,$Z541-5200))),""),"")))))</f>
        <v/>
      </c>
      <c r="Q541" s="40" t="str">
        <f>IF($Z541="","",IF($Z541&lt;=2000,"",IF($Z541&lt;=4000,IF(N(INDEX(周转筐出入库明细!$H$4:$H$2004,$Z541-2000))=0,"",N(INDEX(周转筐出入库明细!$H$4:$H$2004,$Z541-2000))),IF($Z541&lt;=5200,IF(N(INDEX(客户自备加工筐明细!$F$4:$F$1203,$Z541-4000))=0,"",N(INDEX(客户自备加工筐明细!$F$4:$F$1203,$Z541-4000))),IF($Z541&lt;=5800,"","")))))</f>
        <v/>
      </c>
      <c r="R541" s="16" t="str">
        <f>IF($Z541="","",IF($Z541&lt;=2000,IF(INDEX(包装物料出入库明细!$O$4:$O$2003,$Z541-0)=0,"",INDEX(包装物料出入库明细!$O$4:$O$2003,$Z541-0)),IF($Z541&lt;=4000,IF(INDEX(周转筐出入库明细!$M$4:$M$2004,$Z541-2000)=0,"",INDEX(周转筐出入库明细!$M$4:$M$2004,$Z541-2000)),IF($Z541&lt;=5200,IF(INDEX(客户自备加工筐明细!$H$4:$H$1203,$Z541-4000)=0,"",INDEX(客户自备加工筐明细!$H$4:$H$1203,$Z541-4000)),IF($Z541&lt;=5800,IF(INDEX(次果筐明细!$H$4:$H$603,$Z541-5200)=0,"",INDEX(次果筐明细!$H$4:$H$603,$Z541-5200)),"")))))</f>
        <v/>
      </c>
      <c r="S541" s="22" t="str">
        <f t="shared" si="26"/>
        <v/>
      </c>
      <c r="Z541" s="10" t="str">
        <f>IFERROR(MATCH(ROW()-3,_自动清单!$CQ$4:$CQ$5803,0),"")</f>
        <v/>
      </c>
    </row>
    <row r="542" spans="1:26">
      <c r="A542" s="24" t="str">
        <f t="shared" si="24"/>
        <v/>
      </c>
      <c r="B542" s="38" t="str">
        <f>IF($Z542="","",IF($Z542&lt;=2000,IF(INDEX(包装物料出入库明细!$B$4:$B$2003,$Z542-0)=0,"",INDEX(包装物料出入库明细!$B$4:$B$2003,$Z542-0)),IF($Z542&lt;=4000,IF(INDEX(周转筐出入库明细!$B$4:$B$2004,$Z542-2000)=0,"",INDEX(周转筐出入库明细!$B$4:$B$2004,$Z542-2000)),IF($Z542&lt;=5200,IF(INDEX(客户自备加工筐明细!$B$4:$B$1203,$Z542-4000)=0,"",INDEX(客户自备加工筐明细!$B$4:$B$1203,$Z542-4000)),IF($Z542&lt;=5800,IF(INDEX(次果筐明细!$B$4:$B$603,$Z542-5200)=0,"",INDEX(次果筐明细!$B$4:$B$603,$Z542-5200)),"")))))</f>
        <v/>
      </c>
      <c r="C542" s="37" t="str">
        <f>IF($Z542="","",IF($Z542&lt;=2000,IF(INDEX(包装物料出入库明细!$D$4:$D$2003,$Z542-0)=0,"",INDEX(包装物料出入库明细!$D$4:$D$2003,$Z542-0)),IF($Z542&lt;=4000,IF(INDEX(周转筐出入库明细!$C$4:$C$2004,$Z542-2000)=0,"",INDEX(周转筐出入库明细!$C$4:$C$2004,$Z542-2000)),IF($Z542&lt;=5200,IF(INDEX(客户自备加工筐明细!$E$4:$E$1203,$Z542-4000)=0,"",INDEX(客户自备加工筐明细!$E$4:$E$1203,$Z542-4000)),IF($Z542&lt;=5800,IF(INDEX(次果筐明细!$C$4:$C$603,$Z542-5200)=0,"",INDEX(次果筐明细!$C$4:$C$603,$Z542-5200)),"")))))</f>
        <v/>
      </c>
      <c r="D542" s="37" t="str">
        <f>IF($Z542="","",IF($Z542&lt;=2000,"包装物料－"&amp;INDEX(包装物料出入库明细!$H$4:$H$2003,$Z542-0),IF($Z542&lt;=4000,"周转筐－"&amp;INDEX(周转筐出入库明细!$F$4:$F$2004,$Z542-2000),IF($Z542&lt;=5200,"客户自备筐－"&amp;INDEX(客户自备加工筐明细!$J$4:$J$1203,$Z542-4000),IF($Z542&lt;=5800,"次果筐/托盘－"&amp;INDEX(次果筐明细!$F$4:$F$603,$Z542-5200),"")))))</f>
        <v/>
      </c>
      <c r="E542" s="24" t="str">
        <f>IF($Z542="","",IF($Z542&lt;=2000,IF(INDEX(包装物料出入库明细!$C$4:$C$2003,$Z542-0)=0,"",INDEX(包装物料出入库明细!$C$4:$C$2003,$Z542-0)),IF($Z542&lt;=4000,IF(INDEX(周转筐出入库明细!$E$4:$E$2004,$Z542-2000)=0,"",INDEX(周转筐出入库明细!$E$4:$E$2004,$Z542-2000)),IF($Z542&lt;=5200,IF(INDEX(客户自备加工筐明细!$D$4:$D$1203,$Z542-4000)=0,"",INDEX(客户自备加工筐明细!$D$4:$D$1203,$Z542-4000)),IF($Z542&lt;=5800,IF(INDEX(次果筐明细!$E$4:$E$603,$Z542-5200)=0,"",INDEX(次果筐明细!$E$4:$E$603,$Z542-5200)),"")))))</f>
        <v/>
      </c>
      <c r="F542" s="24" t="str">
        <f>IF($Z542="","",IF($Z542&lt;=2000,IF(INDEX(包装物料出入库明细!$E$4:$E$2003,$Z542-0)=0,"",INDEX(包装物料出入库明细!$E$4:$E$2003,$Z542-0)),IF($Z542&lt;=4000,IF(INDEX(周转筐出入库明细!$D$4:$D$2004,$Z542-2000)=0,"",INDEX(周转筐出入库明细!$D$4:$D$2004,$Z542-2000)),IF($Z542&lt;=5200,IF(INDEX(客户自备加工筐明细!$C$4:$C$1203,$Z542-4000)=0,"",INDEX(客户自备加工筐明细!$C$4:$C$1203,$Z542-4000)),IF($Z542&lt;=5800,IF(INDEX(次果筐明细!$D$4:$D$603,$Z542-5200)=0,"",INDEX(次果筐明细!$D$4:$D$603,$Z542-5200)),"")))))</f>
        <v/>
      </c>
      <c r="G542" s="24" t="str">
        <f>IF($Z542="","",IF($Z542&lt;=2000,IF(INDEX(包装物料出入库明细!$F$4:$F$2003,$Z542-0)=0,"",INDEX(包装物料出入库明细!$F$4:$F$2003,$Z542-0)),IF($Z542&lt;=4000,"",IF($Z542&lt;=5200,"",IF($Z542&lt;=5800,"","")))))</f>
        <v/>
      </c>
      <c r="H542" s="39" t="str">
        <f>IF($Z542="","",IF($Z542&lt;=2000,IF(INDEX(包装物料出入库明细!$L$4:$L$2003,$Z542-0)=0,"",INDEX(包装物料出入库明细!$L$4:$L$2003,$Z542-0)),IF($Z542&lt;=4000,N(INDEX(周转筐出入库明细!$H$4:$H$2004,$Z542-2000))+N(INDEX(周转筐出入库明细!$I$4:$I$2004,$Z542-2000))+N(INDEX(周转筐出入库明细!$J$4:$J$2004,$Z542-2000))+N(INDEX(周转筐出入库明细!$K$4:$K$2004,$Z542-2000)),IF($Z542&lt;=5200,N(INDEX(客户自备加工筐明细!$F$4:$F$1203,$Z542-4000))+N(INDEX(客户自备加工筐明细!$G$4:$G$1203,$Z542-4000)),IF($Z542&lt;=5800,IF(INDEX(次果筐明细!$G$4:$G$603,$Z542-5200)=0,"",INDEX(次果筐明细!$G$4:$G$603,$Z542-5200)),"")))))</f>
        <v/>
      </c>
      <c r="I542" s="24" t="str">
        <f>IF($Z542="","",IF($Z542&lt;=2000,IF(INDEX(包装物料出入库明细!$G$4:$G$2003,$Z542-0)=0,"",INDEX(包装物料出入库明细!$G$4:$G$2003,$Z542-0)),IF($Z542&lt;=4000,"个",IF($Z542&lt;=5200,"个",IF($Z542&lt;=5800,"个","")))))</f>
        <v/>
      </c>
      <c r="J542" s="30" t="str">
        <f t="shared" si="25"/>
        <v/>
      </c>
      <c r="K542" s="30" t="str">
        <f>IF($Z542="","",IF($Z542&lt;=2000,IF(INDEX(包装物料出入库明细!$N$4:$N$2003,$Z542-0)=0,"",INDEX(包装物料出入库明细!$N$4:$N$2003,$Z542-0)),IF($Z542&lt;=4000,IF(INDEX(周转筐出入库明细!$P$4:$P$2004,$Z542-2000)=0,"",INDEX(周转筐出入库明细!$P$4:$P$2004,$Z542-2000)),IF($Z542&lt;=5200,"",IF($Z542&lt;=5800,N(INDEX(次果筐明细!$L$4:$L$603,$Z542-5200))+N(INDEX(次果筐明细!$J$4:$J$603,$Z542-5200)),"")))))</f>
        <v/>
      </c>
      <c r="L542" s="24" t="str">
        <f>IF($Z542="","",IF($Z542&lt;=2000,IF(INDEX(包装物料出入库明细!$P$4:$P$2003,$Z542-0)=0,"",INDEX(包装物料出入库明细!$P$4:$P$2003,$Z542-0)),IF($Z542&lt;=4000,IF(INDEX(周转筐出入库明细!$Q$4:$Q$2004,$Z542-2000)=0,"",INDEX(周转筐出入库明细!$Q$4:$Q$2004,$Z542-2000)),IF($Z542&lt;=5200,"",IF($Z542&lt;=5800,IF(INDEX(次果筐明细!$M$4:$M$603,$Z542-5200)=0,"",INDEX(次果筐明细!$M$4:$M$603,$Z542-5200)),"")))))</f>
        <v/>
      </c>
      <c r="M542" s="37" t="str">
        <f>IF($Z542="","",IF($Z542&lt;=2000,IF(INDEX(包装物料出入库明细!$R$4:$R$2003,$Z542-0)=0,"",INDEX(包装物料出入库明细!$R$4:$R$2003,$Z542-0)),IF($Z542&lt;=4000,IF(INDEX(周转筐出入库明细!$W$4:$W$2004,$Z542-2000)=0,"",INDEX(周转筐出入库明细!$W$4:$W$2004,$Z542-2000)),IF($Z542&lt;=5200,IF(INDEX(客户自备加工筐明细!$L$4:$L$1203,$Z542-4000)=0,"",INDEX(客户自备加工筐明细!$L$4:$L$1203,$Z542-4000)),IF($Z542&lt;=5800,IF(INDEX(次果筐明细!$P$4:$P$603,$Z542-5200)=0,"",INDEX(次果筐明细!$P$4:$P$603,$Z542-5200)),"")))))</f>
        <v/>
      </c>
      <c r="N542" s="16" t="str">
        <f>IF($Z542="","",IF($Z542&lt;=2000,"",IF($Z542&lt;=4000,IF(INDEX(周转筐出入库明细!$D$4:$D$2004,$Z542-2000)=0,"",INDEX(周转筐出入库明细!$D$4:$D$2004,$Z542-2000)),IF($Z542&lt;=5200,IF(INDEX(客户自备加工筐明细!$C$4:$C$1203,$Z542-4000)=0,"",INDEX(客户自备加工筐明细!$C$4:$C$1203,$Z542-4000)),IF($Z542&lt;=5800,IF(INDEX(次果筐明细!$D$4:$D$603,$Z542-5200)=0,"",INDEX(次果筐明细!$D$4:$D$603,$Z542-5200)),"")))))</f>
        <v/>
      </c>
      <c r="O542" s="40" t="str">
        <f>IF($Z542="","",IF($Z542&lt;=2000,"",IF($Z542&lt;=4000,IF(N(INDEX(周转筐出入库明细!$J$4:$J$2004,$Z542-2000))+N(INDEX(周转筐出入库明细!$K$4:$K$2004,$Z542-2000))=0,"",N(INDEX(周转筐出入库明细!$J$4:$J$2004,$Z542-2000))+N(INDEX(周转筐出入库明细!$K$4:$K$2004,$Z542-2000))),IF($Z542&lt;=5200,IF(N(INDEX(客户自备加工筐明细!$G$4:$G$1203,$Z542-4000))=0,"",N(INDEX(客户自备加工筐明细!$G$4:$G$1203,$Z542-4000))),IF($Z542&lt;=5800,IF(ISNUMBER(SEARCH("退",INDEX(次果筐明细!$F$4:$F$603,$Z542-5200)&amp;"")),"",IF(N(INDEX(次果筐明细!$G$4:$G$603,$Z542-5200))=0,"",N(INDEX(次果筐明细!$G$4:$G$603,$Z542-5200)))),"")))))</f>
        <v/>
      </c>
      <c r="P542" s="40" t="str">
        <f>IF($Z542="","",IF($Z542&lt;=2000,"",IF($Z542&lt;=4000,IF(N(INDEX(周转筐出入库明细!$I$4:$I$2004,$Z542-2000))=0,"",N(INDEX(周转筐出入库明细!$I$4:$I$2004,$Z542-2000))),IF($Z542&lt;=5200,"",IF($Z542&lt;=5800,IF(ISNUMBER(SEARCH("退",INDEX(次果筐明细!$F$4:$F$603,$Z542-5200)&amp;"")),IF(N(INDEX(次果筐明细!$G$4:$G$603,$Z542-5200))=0,"",N(INDEX(次果筐明细!$G$4:$G$603,$Z542-5200))),""),"")))))</f>
        <v/>
      </c>
      <c r="Q542" s="40" t="str">
        <f>IF($Z542="","",IF($Z542&lt;=2000,"",IF($Z542&lt;=4000,IF(N(INDEX(周转筐出入库明细!$H$4:$H$2004,$Z542-2000))=0,"",N(INDEX(周转筐出入库明细!$H$4:$H$2004,$Z542-2000))),IF($Z542&lt;=5200,IF(N(INDEX(客户自备加工筐明细!$F$4:$F$1203,$Z542-4000))=0,"",N(INDEX(客户自备加工筐明细!$F$4:$F$1203,$Z542-4000))),IF($Z542&lt;=5800,"","")))))</f>
        <v/>
      </c>
      <c r="R542" s="16" t="str">
        <f>IF($Z542="","",IF($Z542&lt;=2000,IF(INDEX(包装物料出入库明细!$O$4:$O$2003,$Z542-0)=0,"",INDEX(包装物料出入库明细!$O$4:$O$2003,$Z542-0)),IF($Z542&lt;=4000,IF(INDEX(周转筐出入库明细!$M$4:$M$2004,$Z542-2000)=0,"",INDEX(周转筐出入库明细!$M$4:$M$2004,$Z542-2000)),IF($Z542&lt;=5200,IF(INDEX(客户自备加工筐明细!$H$4:$H$1203,$Z542-4000)=0,"",INDEX(客户自备加工筐明细!$H$4:$H$1203,$Z542-4000)),IF($Z542&lt;=5800,IF(INDEX(次果筐明细!$H$4:$H$603,$Z542-5200)=0,"",INDEX(次果筐明细!$H$4:$H$603,$Z542-5200)),"")))))</f>
        <v/>
      </c>
      <c r="S542" s="22" t="str">
        <f t="shared" si="26"/>
        <v/>
      </c>
      <c r="Z542" s="10" t="str">
        <f>IFERROR(MATCH(ROW()-3,_自动清单!$CQ$4:$CQ$5803,0),"")</f>
        <v/>
      </c>
    </row>
    <row r="543" spans="1:26">
      <c r="A543" s="24" t="str">
        <f t="shared" si="24"/>
        <v/>
      </c>
      <c r="B543" s="38" t="str">
        <f>IF($Z543="","",IF($Z543&lt;=2000,IF(INDEX(包装物料出入库明细!$B$4:$B$2003,$Z543-0)=0,"",INDEX(包装物料出入库明细!$B$4:$B$2003,$Z543-0)),IF($Z543&lt;=4000,IF(INDEX(周转筐出入库明细!$B$4:$B$2004,$Z543-2000)=0,"",INDEX(周转筐出入库明细!$B$4:$B$2004,$Z543-2000)),IF($Z543&lt;=5200,IF(INDEX(客户自备加工筐明细!$B$4:$B$1203,$Z543-4000)=0,"",INDEX(客户自备加工筐明细!$B$4:$B$1203,$Z543-4000)),IF($Z543&lt;=5800,IF(INDEX(次果筐明细!$B$4:$B$603,$Z543-5200)=0,"",INDEX(次果筐明细!$B$4:$B$603,$Z543-5200)),"")))))</f>
        <v/>
      </c>
      <c r="C543" s="37" t="str">
        <f>IF($Z543="","",IF($Z543&lt;=2000,IF(INDEX(包装物料出入库明细!$D$4:$D$2003,$Z543-0)=0,"",INDEX(包装物料出入库明细!$D$4:$D$2003,$Z543-0)),IF($Z543&lt;=4000,IF(INDEX(周转筐出入库明细!$C$4:$C$2004,$Z543-2000)=0,"",INDEX(周转筐出入库明细!$C$4:$C$2004,$Z543-2000)),IF($Z543&lt;=5200,IF(INDEX(客户自备加工筐明细!$E$4:$E$1203,$Z543-4000)=0,"",INDEX(客户自备加工筐明细!$E$4:$E$1203,$Z543-4000)),IF($Z543&lt;=5800,IF(INDEX(次果筐明细!$C$4:$C$603,$Z543-5200)=0,"",INDEX(次果筐明细!$C$4:$C$603,$Z543-5200)),"")))))</f>
        <v/>
      </c>
      <c r="D543" s="37" t="str">
        <f>IF($Z543="","",IF($Z543&lt;=2000,"包装物料－"&amp;INDEX(包装物料出入库明细!$H$4:$H$2003,$Z543-0),IF($Z543&lt;=4000,"周转筐－"&amp;INDEX(周转筐出入库明细!$F$4:$F$2004,$Z543-2000),IF($Z543&lt;=5200,"客户自备筐－"&amp;INDEX(客户自备加工筐明细!$J$4:$J$1203,$Z543-4000),IF($Z543&lt;=5800,"次果筐/托盘－"&amp;INDEX(次果筐明细!$F$4:$F$603,$Z543-5200),"")))))</f>
        <v/>
      </c>
      <c r="E543" s="24" t="str">
        <f>IF($Z543="","",IF($Z543&lt;=2000,IF(INDEX(包装物料出入库明细!$C$4:$C$2003,$Z543-0)=0,"",INDEX(包装物料出入库明细!$C$4:$C$2003,$Z543-0)),IF($Z543&lt;=4000,IF(INDEX(周转筐出入库明细!$E$4:$E$2004,$Z543-2000)=0,"",INDEX(周转筐出入库明细!$E$4:$E$2004,$Z543-2000)),IF($Z543&lt;=5200,IF(INDEX(客户自备加工筐明细!$D$4:$D$1203,$Z543-4000)=0,"",INDEX(客户自备加工筐明细!$D$4:$D$1203,$Z543-4000)),IF($Z543&lt;=5800,IF(INDEX(次果筐明细!$E$4:$E$603,$Z543-5200)=0,"",INDEX(次果筐明细!$E$4:$E$603,$Z543-5200)),"")))))</f>
        <v/>
      </c>
      <c r="F543" s="24" t="str">
        <f>IF($Z543="","",IF($Z543&lt;=2000,IF(INDEX(包装物料出入库明细!$E$4:$E$2003,$Z543-0)=0,"",INDEX(包装物料出入库明细!$E$4:$E$2003,$Z543-0)),IF($Z543&lt;=4000,IF(INDEX(周转筐出入库明细!$D$4:$D$2004,$Z543-2000)=0,"",INDEX(周转筐出入库明细!$D$4:$D$2004,$Z543-2000)),IF($Z543&lt;=5200,IF(INDEX(客户自备加工筐明细!$C$4:$C$1203,$Z543-4000)=0,"",INDEX(客户自备加工筐明细!$C$4:$C$1203,$Z543-4000)),IF($Z543&lt;=5800,IF(INDEX(次果筐明细!$D$4:$D$603,$Z543-5200)=0,"",INDEX(次果筐明细!$D$4:$D$603,$Z543-5200)),"")))))</f>
        <v/>
      </c>
      <c r="G543" s="24" t="str">
        <f>IF($Z543="","",IF($Z543&lt;=2000,IF(INDEX(包装物料出入库明细!$F$4:$F$2003,$Z543-0)=0,"",INDEX(包装物料出入库明细!$F$4:$F$2003,$Z543-0)),IF($Z543&lt;=4000,"",IF($Z543&lt;=5200,"",IF($Z543&lt;=5800,"","")))))</f>
        <v/>
      </c>
      <c r="H543" s="39" t="str">
        <f>IF($Z543="","",IF($Z543&lt;=2000,IF(INDEX(包装物料出入库明细!$L$4:$L$2003,$Z543-0)=0,"",INDEX(包装物料出入库明细!$L$4:$L$2003,$Z543-0)),IF($Z543&lt;=4000,N(INDEX(周转筐出入库明细!$H$4:$H$2004,$Z543-2000))+N(INDEX(周转筐出入库明细!$I$4:$I$2004,$Z543-2000))+N(INDEX(周转筐出入库明细!$J$4:$J$2004,$Z543-2000))+N(INDEX(周转筐出入库明细!$K$4:$K$2004,$Z543-2000)),IF($Z543&lt;=5200,N(INDEX(客户自备加工筐明细!$F$4:$F$1203,$Z543-4000))+N(INDEX(客户自备加工筐明细!$G$4:$G$1203,$Z543-4000)),IF($Z543&lt;=5800,IF(INDEX(次果筐明细!$G$4:$G$603,$Z543-5200)=0,"",INDEX(次果筐明细!$G$4:$G$603,$Z543-5200)),"")))))</f>
        <v/>
      </c>
      <c r="I543" s="24" t="str">
        <f>IF($Z543="","",IF($Z543&lt;=2000,IF(INDEX(包装物料出入库明细!$G$4:$G$2003,$Z543-0)=0,"",INDEX(包装物料出入库明细!$G$4:$G$2003,$Z543-0)),IF($Z543&lt;=4000,"个",IF($Z543&lt;=5200,"个",IF($Z543&lt;=5800,"个","")))))</f>
        <v/>
      </c>
      <c r="J543" s="30" t="str">
        <f t="shared" si="25"/>
        <v/>
      </c>
      <c r="K543" s="30" t="str">
        <f>IF($Z543="","",IF($Z543&lt;=2000,IF(INDEX(包装物料出入库明细!$N$4:$N$2003,$Z543-0)=0,"",INDEX(包装物料出入库明细!$N$4:$N$2003,$Z543-0)),IF($Z543&lt;=4000,IF(INDEX(周转筐出入库明细!$P$4:$P$2004,$Z543-2000)=0,"",INDEX(周转筐出入库明细!$P$4:$P$2004,$Z543-2000)),IF($Z543&lt;=5200,"",IF($Z543&lt;=5800,N(INDEX(次果筐明细!$L$4:$L$603,$Z543-5200))+N(INDEX(次果筐明细!$J$4:$J$603,$Z543-5200)),"")))))</f>
        <v/>
      </c>
      <c r="L543" s="24" t="str">
        <f>IF($Z543="","",IF($Z543&lt;=2000,IF(INDEX(包装物料出入库明细!$P$4:$P$2003,$Z543-0)=0,"",INDEX(包装物料出入库明细!$P$4:$P$2003,$Z543-0)),IF($Z543&lt;=4000,IF(INDEX(周转筐出入库明细!$Q$4:$Q$2004,$Z543-2000)=0,"",INDEX(周转筐出入库明细!$Q$4:$Q$2004,$Z543-2000)),IF($Z543&lt;=5200,"",IF($Z543&lt;=5800,IF(INDEX(次果筐明细!$M$4:$M$603,$Z543-5200)=0,"",INDEX(次果筐明细!$M$4:$M$603,$Z543-5200)),"")))))</f>
        <v/>
      </c>
      <c r="M543" s="37" t="str">
        <f>IF($Z543="","",IF($Z543&lt;=2000,IF(INDEX(包装物料出入库明细!$R$4:$R$2003,$Z543-0)=0,"",INDEX(包装物料出入库明细!$R$4:$R$2003,$Z543-0)),IF($Z543&lt;=4000,IF(INDEX(周转筐出入库明细!$W$4:$W$2004,$Z543-2000)=0,"",INDEX(周转筐出入库明细!$W$4:$W$2004,$Z543-2000)),IF($Z543&lt;=5200,IF(INDEX(客户自备加工筐明细!$L$4:$L$1203,$Z543-4000)=0,"",INDEX(客户自备加工筐明细!$L$4:$L$1203,$Z543-4000)),IF($Z543&lt;=5800,IF(INDEX(次果筐明细!$P$4:$P$603,$Z543-5200)=0,"",INDEX(次果筐明细!$P$4:$P$603,$Z543-5200)),"")))))</f>
        <v/>
      </c>
      <c r="N543" s="16" t="str">
        <f>IF($Z543="","",IF($Z543&lt;=2000,"",IF($Z543&lt;=4000,IF(INDEX(周转筐出入库明细!$D$4:$D$2004,$Z543-2000)=0,"",INDEX(周转筐出入库明细!$D$4:$D$2004,$Z543-2000)),IF($Z543&lt;=5200,IF(INDEX(客户自备加工筐明细!$C$4:$C$1203,$Z543-4000)=0,"",INDEX(客户自备加工筐明细!$C$4:$C$1203,$Z543-4000)),IF($Z543&lt;=5800,IF(INDEX(次果筐明细!$D$4:$D$603,$Z543-5200)=0,"",INDEX(次果筐明细!$D$4:$D$603,$Z543-5200)),"")))))</f>
        <v/>
      </c>
      <c r="O543" s="40" t="str">
        <f>IF($Z543="","",IF($Z543&lt;=2000,"",IF($Z543&lt;=4000,IF(N(INDEX(周转筐出入库明细!$J$4:$J$2004,$Z543-2000))+N(INDEX(周转筐出入库明细!$K$4:$K$2004,$Z543-2000))=0,"",N(INDEX(周转筐出入库明细!$J$4:$J$2004,$Z543-2000))+N(INDEX(周转筐出入库明细!$K$4:$K$2004,$Z543-2000))),IF($Z543&lt;=5200,IF(N(INDEX(客户自备加工筐明细!$G$4:$G$1203,$Z543-4000))=0,"",N(INDEX(客户自备加工筐明细!$G$4:$G$1203,$Z543-4000))),IF($Z543&lt;=5800,IF(ISNUMBER(SEARCH("退",INDEX(次果筐明细!$F$4:$F$603,$Z543-5200)&amp;"")),"",IF(N(INDEX(次果筐明细!$G$4:$G$603,$Z543-5200))=0,"",N(INDEX(次果筐明细!$G$4:$G$603,$Z543-5200)))),"")))))</f>
        <v/>
      </c>
      <c r="P543" s="40" t="str">
        <f>IF($Z543="","",IF($Z543&lt;=2000,"",IF($Z543&lt;=4000,IF(N(INDEX(周转筐出入库明细!$I$4:$I$2004,$Z543-2000))=0,"",N(INDEX(周转筐出入库明细!$I$4:$I$2004,$Z543-2000))),IF($Z543&lt;=5200,"",IF($Z543&lt;=5800,IF(ISNUMBER(SEARCH("退",INDEX(次果筐明细!$F$4:$F$603,$Z543-5200)&amp;"")),IF(N(INDEX(次果筐明细!$G$4:$G$603,$Z543-5200))=0,"",N(INDEX(次果筐明细!$G$4:$G$603,$Z543-5200))),""),"")))))</f>
        <v/>
      </c>
      <c r="Q543" s="40" t="str">
        <f>IF($Z543="","",IF($Z543&lt;=2000,"",IF($Z543&lt;=4000,IF(N(INDEX(周转筐出入库明细!$H$4:$H$2004,$Z543-2000))=0,"",N(INDEX(周转筐出入库明细!$H$4:$H$2004,$Z543-2000))),IF($Z543&lt;=5200,IF(N(INDEX(客户自备加工筐明细!$F$4:$F$1203,$Z543-4000))=0,"",N(INDEX(客户自备加工筐明细!$F$4:$F$1203,$Z543-4000))),IF($Z543&lt;=5800,"","")))))</f>
        <v/>
      </c>
      <c r="R543" s="16" t="str">
        <f>IF($Z543="","",IF($Z543&lt;=2000,IF(INDEX(包装物料出入库明细!$O$4:$O$2003,$Z543-0)=0,"",INDEX(包装物料出入库明细!$O$4:$O$2003,$Z543-0)),IF($Z543&lt;=4000,IF(INDEX(周转筐出入库明细!$M$4:$M$2004,$Z543-2000)=0,"",INDEX(周转筐出入库明细!$M$4:$M$2004,$Z543-2000)),IF($Z543&lt;=5200,IF(INDEX(客户自备加工筐明细!$H$4:$H$1203,$Z543-4000)=0,"",INDEX(客户自备加工筐明细!$H$4:$H$1203,$Z543-4000)),IF($Z543&lt;=5800,IF(INDEX(次果筐明细!$H$4:$H$603,$Z543-5200)=0,"",INDEX(次果筐明细!$H$4:$H$603,$Z543-5200)),"")))))</f>
        <v/>
      </c>
      <c r="S543" s="22" t="str">
        <f t="shared" si="26"/>
        <v/>
      </c>
      <c r="Z543" s="10" t="str">
        <f>IFERROR(MATCH(ROW()-3,_自动清单!$CQ$4:$CQ$5803,0),"")</f>
        <v/>
      </c>
    </row>
    <row r="544" spans="1:26">
      <c r="A544" s="24" t="str">
        <f t="shared" si="24"/>
        <v/>
      </c>
      <c r="B544" s="38" t="str">
        <f>IF($Z544="","",IF($Z544&lt;=2000,IF(INDEX(包装物料出入库明细!$B$4:$B$2003,$Z544-0)=0,"",INDEX(包装物料出入库明细!$B$4:$B$2003,$Z544-0)),IF($Z544&lt;=4000,IF(INDEX(周转筐出入库明细!$B$4:$B$2004,$Z544-2000)=0,"",INDEX(周转筐出入库明细!$B$4:$B$2004,$Z544-2000)),IF($Z544&lt;=5200,IF(INDEX(客户自备加工筐明细!$B$4:$B$1203,$Z544-4000)=0,"",INDEX(客户自备加工筐明细!$B$4:$B$1203,$Z544-4000)),IF($Z544&lt;=5800,IF(INDEX(次果筐明细!$B$4:$B$603,$Z544-5200)=0,"",INDEX(次果筐明细!$B$4:$B$603,$Z544-5200)),"")))))</f>
        <v/>
      </c>
      <c r="C544" s="37" t="str">
        <f>IF($Z544="","",IF($Z544&lt;=2000,IF(INDEX(包装物料出入库明细!$D$4:$D$2003,$Z544-0)=0,"",INDEX(包装物料出入库明细!$D$4:$D$2003,$Z544-0)),IF($Z544&lt;=4000,IF(INDEX(周转筐出入库明细!$C$4:$C$2004,$Z544-2000)=0,"",INDEX(周转筐出入库明细!$C$4:$C$2004,$Z544-2000)),IF($Z544&lt;=5200,IF(INDEX(客户自备加工筐明细!$E$4:$E$1203,$Z544-4000)=0,"",INDEX(客户自备加工筐明细!$E$4:$E$1203,$Z544-4000)),IF($Z544&lt;=5800,IF(INDEX(次果筐明细!$C$4:$C$603,$Z544-5200)=0,"",INDEX(次果筐明细!$C$4:$C$603,$Z544-5200)),"")))))</f>
        <v/>
      </c>
      <c r="D544" s="37" t="str">
        <f>IF($Z544="","",IF($Z544&lt;=2000,"包装物料－"&amp;INDEX(包装物料出入库明细!$H$4:$H$2003,$Z544-0),IF($Z544&lt;=4000,"周转筐－"&amp;INDEX(周转筐出入库明细!$F$4:$F$2004,$Z544-2000),IF($Z544&lt;=5200,"客户自备筐－"&amp;INDEX(客户自备加工筐明细!$J$4:$J$1203,$Z544-4000),IF($Z544&lt;=5800,"次果筐/托盘－"&amp;INDEX(次果筐明细!$F$4:$F$603,$Z544-5200),"")))))</f>
        <v/>
      </c>
      <c r="E544" s="24" t="str">
        <f>IF($Z544="","",IF($Z544&lt;=2000,IF(INDEX(包装物料出入库明细!$C$4:$C$2003,$Z544-0)=0,"",INDEX(包装物料出入库明细!$C$4:$C$2003,$Z544-0)),IF($Z544&lt;=4000,IF(INDEX(周转筐出入库明细!$E$4:$E$2004,$Z544-2000)=0,"",INDEX(周转筐出入库明细!$E$4:$E$2004,$Z544-2000)),IF($Z544&lt;=5200,IF(INDEX(客户自备加工筐明细!$D$4:$D$1203,$Z544-4000)=0,"",INDEX(客户自备加工筐明细!$D$4:$D$1203,$Z544-4000)),IF($Z544&lt;=5800,IF(INDEX(次果筐明细!$E$4:$E$603,$Z544-5200)=0,"",INDEX(次果筐明细!$E$4:$E$603,$Z544-5200)),"")))))</f>
        <v/>
      </c>
      <c r="F544" s="24" t="str">
        <f>IF($Z544="","",IF($Z544&lt;=2000,IF(INDEX(包装物料出入库明细!$E$4:$E$2003,$Z544-0)=0,"",INDEX(包装物料出入库明细!$E$4:$E$2003,$Z544-0)),IF($Z544&lt;=4000,IF(INDEX(周转筐出入库明细!$D$4:$D$2004,$Z544-2000)=0,"",INDEX(周转筐出入库明细!$D$4:$D$2004,$Z544-2000)),IF($Z544&lt;=5200,IF(INDEX(客户自备加工筐明细!$C$4:$C$1203,$Z544-4000)=0,"",INDEX(客户自备加工筐明细!$C$4:$C$1203,$Z544-4000)),IF($Z544&lt;=5800,IF(INDEX(次果筐明细!$D$4:$D$603,$Z544-5200)=0,"",INDEX(次果筐明细!$D$4:$D$603,$Z544-5200)),"")))))</f>
        <v/>
      </c>
      <c r="G544" s="24" t="str">
        <f>IF($Z544="","",IF($Z544&lt;=2000,IF(INDEX(包装物料出入库明细!$F$4:$F$2003,$Z544-0)=0,"",INDEX(包装物料出入库明细!$F$4:$F$2003,$Z544-0)),IF($Z544&lt;=4000,"",IF($Z544&lt;=5200,"",IF($Z544&lt;=5800,"","")))))</f>
        <v/>
      </c>
      <c r="H544" s="39" t="str">
        <f>IF($Z544="","",IF($Z544&lt;=2000,IF(INDEX(包装物料出入库明细!$L$4:$L$2003,$Z544-0)=0,"",INDEX(包装物料出入库明细!$L$4:$L$2003,$Z544-0)),IF($Z544&lt;=4000,N(INDEX(周转筐出入库明细!$H$4:$H$2004,$Z544-2000))+N(INDEX(周转筐出入库明细!$I$4:$I$2004,$Z544-2000))+N(INDEX(周转筐出入库明细!$J$4:$J$2004,$Z544-2000))+N(INDEX(周转筐出入库明细!$K$4:$K$2004,$Z544-2000)),IF($Z544&lt;=5200,N(INDEX(客户自备加工筐明细!$F$4:$F$1203,$Z544-4000))+N(INDEX(客户自备加工筐明细!$G$4:$G$1203,$Z544-4000)),IF($Z544&lt;=5800,IF(INDEX(次果筐明细!$G$4:$G$603,$Z544-5200)=0,"",INDEX(次果筐明细!$G$4:$G$603,$Z544-5200)),"")))))</f>
        <v/>
      </c>
      <c r="I544" s="24" t="str">
        <f>IF($Z544="","",IF($Z544&lt;=2000,IF(INDEX(包装物料出入库明细!$G$4:$G$2003,$Z544-0)=0,"",INDEX(包装物料出入库明细!$G$4:$G$2003,$Z544-0)),IF($Z544&lt;=4000,"个",IF($Z544&lt;=5200,"个",IF($Z544&lt;=5800,"个","")))))</f>
        <v/>
      </c>
      <c r="J544" s="30" t="str">
        <f t="shared" si="25"/>
        <v/>
      </c>
      <c r="K544" s="30" t="str">
        <f>IF($Z544="","",IF($Z544&lt;=2000,IF(INDEX(包装物料出入库明细!$N$4:$N$2003,$Z544-0)=0,"",INDEX(包装物料出入库明细!$N$4:$N$2003,$Z544-0)),IF($Z544&lt;=4000,IF(INDEX(周转筐出入库明细!$P$4:$P$2004,$Z544-2000)=0,"",INDEX(周转筐出入库明细!$P$4:$P$2004,$Z544-2000)),IF($Z544&lt;=5200,"",IF($Z544&lt;=5800,N(INDEX(次果筐明细!$L$4:$L$603,$Z544-5200))+N(INDEX(次果筐明细!$J$4:$J$603,$Z544-5200)),"")))))</f>
        <v/>
      </c>
      <c r="L544" s="24" t="str">
        <f>IF($Z544="","",IF($Z544&lt;=2000,IF(INDEX(包装物料出入库明细!$P$4:$P$2003,$Z544-0)=0,"",INDEX(包装物料出入库明细!$P$4:$P$2003,$Z544-0)),IF($Z544&lt;=4000,IF(INDEX(周转筐出入库明细!$Q$4:$Q$2004,$Z544-2000)=0,"",INDEX(周转筐出入库明细!$Q$4:$Q$2004,$Z544-2000)),IF($Z544&lt;=5200,"",IF($Z544&lt;=5800,IF(INDEX(次果筐明细!$M$4:$M$603,$Z544-5200)=0,"",INDEX(次果筐明细!$M$4:$M$603,$Z544-5200)),"")))))</f>
        <v/>
      </c>
      <c r="M544" s="37" t="str">
        <f>IF($Z544="","",IF($Z544&lt;=2000,IF(INDEX(包装物料出入库明细!$R$4:$R$2003,$Z544-0)=0,"",INDEX(包装物料出入库明细!$R$4:$R$2003,$Z544-0)),IF($Z544&lt;=4000,IF(INDEX(周转筐出入库明细!$W$4:$W$2004,$Z544-2000)=0,"",INDEX(周转筐出入库明细!$W$4:$W$2004,$Z544-2000)),IF($Z544&lt;=5200,IF(INDEX(客户自备加工筐明细!$L$4:$L$1203,$Z544-4000)=0,"",INDEX(客户自备加工筐明细!$L$4:$L$1203,$Z544-4000)),IF($Z544&lt;=5800,IF(INDEX(次果筐明细!$P$4:$P$603,$Z544-5200)=0,"",INDEX(次果筐明细!$P$4:$P$603,$Z544-5200)),"")))))</f>
        <v/>
      </c>
      <c r="N544" s="16" t="str">
        <f>IF($Z544="","",IF($Z544&lt;=2000,"",IF($Z544&lt;=4000,IF(INDEX(周转筐出入库明细!$D$4:$D$2004,$Z544-2000)=0,"",INDEX(周转筐出入库明细!$D$4:$D$2004,$Z544-2000)),IF($Z544&lt;=5200,IF(INDEX(客户自备加工筐明细!$C$4:$C$1203,$Z544-4000)=0,"",INDEX(客户自备加工筐明细!$C$4:$C$1203,$Z544-4000)),IF($Z544&lt;=5800,IF(INDEX(次果筐明细!$D$4:$D$603,$Z544-5200)=0,"",INDEX(次果筐明细!$D$4:$D$603,$Z544-5200)),"")))))</f>
        <v/>
      </c>
      <c r="O544" s="40" t="str">
        <f>IF($Z544="","",IF($Z544&lt;=2000,"",IF($Z544&lt;=4000,IF(N(INDEX(周转筐出入库明细!$J$4:$J$2004,$Z544-2000))+N(INDEX(周转筐出入库明细!$K$4:$K$2004,$Z544-2000))=0,"",N(INDEX(周转筐出入库明细!$J$4:$J$2004,$Z544-2000))+N(INDEX(周转筐出入库明细!$K$4:$K$2004,$Z544-2000))),IF($Z544&lt;=5200,IF(N(INDEX(客户自备加工筐明细!$G$4:$G$1203,$Z544-4000))=0,"",N(INDEX(客户自备加工筐明细!$G$4:$G$1203,$Z544-4000))),IF($Z544&lt;=5800,IF(ISNUMBER(SEARCH("退",INDEX(次果筐明细!$F$4:$F$603,$Z544-5200)&amp;"")),"",IF(N(INDEX(次果筐明细!$G$4:$G$603,$Z544-5200))=0,"",N(INDEX(次果筐明细!$G$4:$G$603,$Z544-5200)))),"")))))</f>
        <v/>
      </c>
      <c r="P544" s="40" t="str">
        <f>IF($Z544="","",IF($Z544&lt;=2000,"",IF($Z544&lt;=4000,IF(N(INDEX(周转筐出入库明细!$I$4:$I$2004,$Z544-2000))=0,"",N(INDEX(周转筐出入库明细!$I$4:$I$2004,$Z544-2000))),IF($Z544&lt;=5200,"",IF($Z544&lt;=5800,IF(ISNUMBER(SEARCH("退",INDEX(次果筐明细!$F$4:$F$603,$Z544-5200)&amp;"")),IF(N(INDEX(次果筐明细!$G$4:$G$603,$Z544-5200))=0,"",N(INDEX(次果筐明细!$G$4:$G$603,$Z544-5200))),""),"")))))</f>
        <v/>
      </c>
      <c r="Q544" s="40" t="str">
        <f>IF($Z544="","",IF($Z544&lt;=2000,"",IF($Z544&lt;=4000,IF(N(INDEX(周转筐出入库明细!$H$4:$H$2004,$Z544-2000))=0,"",N(INDEX(周转筐出入库明细!$H$4:$H$2004,$Z544-2000))),IF($Z544&lt;=5200,IF(N(INDEX(客户自备加工筐明细!$F$4:$F$1203,$Z544-4000))=0,"",N(INDEX(客户自备加工筐明细!$F$4:$F$1203,$Z544-4000))),IF($Z544&lt;=5800,"","")))))</f>
        <v/>
      </c>
      <c r="R544" s="16" t="str">
        <f>IF($Z544="","",IF($Z544&lt;=2000,IF(INDEX(包装物料出入库明细!$O$4:$O$2003,$Z544-0)=0,"",INDEX(包装物料出入库明细!$O$4:$O$2003,$Z544-0)),IF($Z544&lt;=4000,IF(INDEX(周转筐出入库明细!$M$4:$M$2004,$Z544-2000)=0,"",INDEX(周转筐出入库明细!$M$4:$M$2004,$Z544-2000)),IF($Z544&lt;=5200,IF(INDEX(客户自备加工筐明细!$H$4:$H$1203,$Z544-4000)=0,"",INDEX(客户自备加工筐明细!$H$4:$H$1203,$Z544-4000)),IF($Z544&lt;=5800,IF(INDEX(次果筐明细!$H$4:$H$603,$Z544-5200)=0,"",INDEX(次果筐明细!$H$4:$H$603,$Z544-5200)),"")))))</f>
        <v/>
      </c>
      <c r="S544" s="22" t="str">
        <f t="shared" si="26"/>
        <v/>
      </c>
      <c r="Z544" s="10" t="str">
        <f>IFERROR(MATCH(ROW()-3,_自动清单!$CQ$4:$CQ$5803,0),"")</f>
        <v/>
      </c>
    </row>
    <row r="545" spans="1:26">
      <c r="A545" s="24" t="str">
        <f t="shared" si="24"/>
        <v/>
      </c>
      <c r="B545" s="38" t="str">
        <f>IF($Z545="","",IF($Z545&lt;=2000,IF(INDEX(包装物料出入库明细!$B$4:$B$2003,$Z545-0)=0,"",INDEX(包装物料出入库明细!$B$4:$B$2003,$Z545-0)),IF($Z545&lt;=4000,IF(INDEX(周转筐出入库明细!$B$4:$B$2004,$Z545-2000)=0,"",INDEX(周转筐出入库明细!$B$4:$B$2004,$Z545-2000)),IF($Z545&lt;=5200,IF(INDEX(客户自备加工筐明细!$B$4:$B$1203,$Z545-4000)=0,"",INDEX(客户自备加工筐明细!$B$4:$B$1203,$Z545-4000)),IF($Z545&lt;=5800,IF(INDEX(次果筐明细!$B$4:$B$603,$Z545-5200)=0,"",INDEX(次果筐明细!$B$4:$B$603,$Z545-5200)),"")))))</f>
        <v/>
      </c>
      <c r="C545" s="37" t="str">
        <f>IF($Z545="","",IF($Z545&lt;=2000,IF(INDEX(包装物料出入库明细!$D$4:$D$2003,$Z545-0)=0,"",INDEX(包装物料出入库明细!$D$4:$D$2003,$Z545-0)),IF($Z545&lt;=4000,IF(INDEX(周转筐出入库明细!$C$4:$C$2004,$Z545-2000)=0,"",INDEX(周转筐出入库明细!$C$4:$C$2004,$Z545-2000)),IF($Z545&lt;=5200,IF(INDEX(客户自备加工筐明细!$E$4:$E$1203,$Z545-4000)=0,"",INDEX(客户自备加工筐明细!$E$4:$E$1203,$Z545-4000)),IF($Z545&lt;=5800,IF(INDEX(次果筐明细!$C$4:$C$603,$Z545-5200)=0,"",INDEX(次果筐明细!$C$4:$C$603,$Z545-5200)),"")))))</f>
        <v/>
      </c>
      <c r="D545" s="37" t="str">
        <f>IF($Z545="","",IF($Z545&lt;=2000,"包装物料－"&amp;INDEX(包装物料出入库明细!$H$4:$H$2003,$Z545-0),IF($Z545&lt;=4000,"周转筐－"&amp;INDEX(周转筐出入库明细!$F$4:$F$2004,$Z545-2000),IF($Z545&lt;=5200,"客户自备筐－"&amp;INDEX(客户自备加工筐明细!$J$4:$J$1203,$Z545-4000),IF($Z545&lt;=5800,"次果筐/托盘－"&amp;INDEX(次果筐明细!$F$4:$F$603,$Z545-5200),"")))))</f>
        <v/>
      </c>
      <c r="E545" s="24" t="str">
        <f>IF($Z545="","",IF($Z545&lt;=2000,IF(INDEX(包装物料出入库明细!$C$4:$C$2003,$Z545-0)=0,"",INDEX(包装物料出入库明细!$C$4:$C$2003,$Z545-0)),IF($Z545&lt;=4000,IF(INDEX(周转筐出入库明细!$E$4:$E$2004,$Z545-2000)=0,"",INDEX(周转筐出入库明细!$E$4:$E$2004,$Z545-2000)),IF($Z545&lt;=5200,IF(INDEX(客户自备加工筐明细!$D$4:$D$1203,$Z545-4000)=0,"",INDEX(客户自备加工筐明细!$D$4:$D$1203,$Z545-4000)),IF($Z545&lt;=5800,IF(INDEX(次果筐明细!$E$4:$E$603,$Z545-5200)=0,"",INDEX(次果筐明细!$E$4:$E$603,$Z545-5200)),"")))))</f>
        <v/>
      </c>
      <c r="F545" s="24" t="str">
        <f>IF($Z545="","",IF($Z545&lt;=2000,IF(INDEX(包装物料出入库明细!$E$4:$E$2003,$Z545-0)=0,"",INDEX(包装物料出入库明细!$E$4:$E$2003,$Z545-0)),IF($Z545&lt;=4000,IF(INDEX(周转筐出入库明细!$D$4:$D$2004,$Z545-2000)=0,"",INDEX(周转筐出入库明细!$D$4:$D$2004,$Z545-2000)),IF($Z545&lt;=5200,IF(INDEX(客户自备加工筐明细!$C$4:$C$1203,$Z545-4000)=0,"",INDEX(客户自备加工筐明细!$C$4:$C$1203,$Z545-4000)),IF($Z545&lt;=5800,IF(INDEX(次果筐明细!$D$4:$D$603,$Z545-5200)=0,"",INDEX(次果筐明细!$D$4:$D$603,$Z545-5200)),"")))))</f>
        <v/>
      </c>
      <c r="G545" s="24" t="str">
        <f>IF($Z545="","",IF($Z545&lt;=2000,IF(INDEX(包装物料出入库明细!$F$4:$F$2003,$Z545-0)=0,"",INDEX(包装物料出入库明细!$F$4:$F$2003,$Z545-0)),IF($Z545&lt;=4000,"",IF($Z545&lt;=5200,"",IF($Z545&lt;=5800,"","")))))</f>
        <v/>
      </c>
      <c r="H545" s="39" t="str">
        <f>IF($Z545="","",IF($Z545&lt;=2000,IF(INDEX(包装物料出入库明细!$L$4:$L$2003,$Z545-0)=0,"",INDEX(包装物料出入库明细!$L$4:$L$2003,$Z545-0)),IF($Z545&lt;=4000,N(INDEX(周转筐出入库明细!$H$4:$H$2004,$Z545-2000))+N(INDEX(周转筐出入库明细!$I$4:$I$2004,$Z545-2000))+N(INDEX(周转筐出入库明细!$J$4:$J$2004,$Z545-2000))+N(INDEX(周转筐出入库明细!$K$4:$K$2004,$Z545-2000)),IF($Z545&lt;=5200,N(INDEX(客户自备加工筐明细!$F$4:$F$1203,$Z545-4000))+N(INDEX(客户自备加工筐明细!$G$4:$G$1203,$Z545-4000)),IF($Z545&lt;=5800,IF(INDEX(次果筐明细!$G$4:$G$603,$Z545-5200)=0,"",INDEX(次果筐明细!$G$4:$G$603,$Z545-5200)),"")))))</f>
        <v/>
      </c>
      <c r="I545" s="24" t="str">
        <f>IF($Z545="","",IF($Z545&lt;=2000,IF(INDEX(包装物料出入库明细!$G$4:$G$2003,$Z545-0)=0,"",INDEX(包装物料出入库明细!$G$4:$G$2003,$Z545-0)),IF($Z545&lt;=4000,"个",IF($Z545&lt;=5200,"个",IF($Z545&lt;=5800,"个","")))))</f>
        <v/>
      </c>
      <c r="J545" s="30" t="str">
        <f t="shared" si="25"/>
        <v/>
      </c>
      <c r="K545" s="30" t="str">
        <f>IF($Z545="","",IF($Z545&lt;=2000,IF(INDEX(包装物料出入库明细!$N$4:$N$2003,$Z545-0)=0,"",INDEX(包装物料出入库明细!$N$4:$N$2003,$Z545-0)),IF($Z545&lt;=4000,IF(INDEX(周转筐出入库明细!$P$4:$P$2004,$Z545-2000)=0,"",INDEX(周转筐出入库明细!$P$4:$P$2004,$Z545-2000)),IF($Z545&lt;=5200,"",IF($Z545&lt;=5800,N(INDEX(次果筐明细!$L$4:$L$603,$Z545-5200))+N(INDEX(次果筐明细!$J$4:$J$603,$Z545-5200)),"")))))</f>
        <v/>
      </c>
      <c r="L545" s="24" t="str">
        <f>IF($Z545="","",IF($Z545&lt;=2000,IF(INDEX(包装物料出入库明细!$P$4:$P$2003,$Z545-0)=0,"",INDEX(包装物料出入库明细!$P$4:$P$2003,$Z545-0)),IF($Z545&lt;=4000,IF(INDEX(周转筐出入库明细!$Q$4:$Q$2004,$Z545-2000)=0,"",INDEX(周转筐出入库明细!$Q$4:$Q$2004,$Z545-2000)),IF($Z545&lt;=5200,"",IF($Z545&lt;=5800,IF(INDEX(次果筐明细!$M$4:$M$603,$Z545-5200)=0,"",INDEX(次果筐明细!$M$4:$M$603,$Z545-5200)),"")))))</f>
        <v/>
      </c>
      <c r="M545" s="37" t="str">
        <f>IF($Z545="","",IF($Z545&lt;=2000,IF(INDEX(包装物料出入库明细!$R$4:$R$2003,$Z545-0)=0,"",INDEX(包装物料出入库明细!$R$4:$R$2003,$Z545-0)),IF($Z545&lt;=4000,IF(INDEX(周转筐出入库明细!$W$4:$W$2004,$Z545-2000)=0,"",INDEX(周转筐出入库明细!$W$4:$W$2004,$Z545-2000)),IF($Z545&lt;=5200,IF(INDEX(客户自备加工筐明细!$L$4:$L$1203,$Z545-4000)=0,"",INDEX(客户自备加工筐明细!$L$4:$L$1203,$Z545-4000)),IF($Z545&lt;=5800,IF(INDEX(次果筐明细!$P$4:$P$603,$Z545-5200)=0,"",INDEX(次果筐明细!$P$4:$P$603,$Z545-5200)),"")))))</f>
        <v/>
      </c>
      <c r="N545" s="16" t="str">
        <f>IF($Z545="","",IF($Z545&lt;=2000,"",IF($Z545&lt;=4000,IF(INDEX(周转筐出入库明细!$D$4:$D$2004,$Z545-2000)=0,"",INDEX(周转筐出入库明细!$D$4:$D$2004,$Z545-2000)),IF($Z545&lt;=5200,IF(INDEX(客户自备加工筐明细!$C$4:$C$1203,$Z545-4000)=0,"",INDEX(客户自备加工筐明细!$C$4:$C$1203,$Z545-4000)),IF($Z545&lt;=5800,IF(INDEX(次果筐明细!$D$4:$D$603,$Z545-5200)=0,"",INDEX(次果筐明细!$D$4:$D$603,$Z545-5200)),"")))))</f>
        <v/>
      </c>
      <c r="O545" s="40" t="str">
        <f>IF($Z545="","",IF($Z545&lt;=2000,"",IF($Z545&lt;=4000,IF(N(INDEX(周转筐出入库明细!$J$4:$J$2004,$Z545-2000))+N(INDEX(周转筐出入库明细!$K$4:$K$2004,$Z545-2000))=0,"",N(INDEX(周转筐出入库明细!$J$4:$J$2004,$Z545-2000))+N(INDEX(周转筐出入库明细!$K$4:$K$2004,$Z545-2000))),IF($Z545&lt;=5200,IF(N(INDEX(客户自备加工筐明细!$G$4:$G$1203,$Z545-4000))=0,"",N(INDEX(客户自备加工筐明细!$G$4:$G$1203,$Z545-4000))),IF($Z545&lt;=5800,IF(ISNUMBER(SEARCH("退",INDEX(次果筐明细!$F$4:$F$603,$Z545-5200)&amp;"")),"",IF(N(INDEX(次果筐明细!$G$4:$G$603,$Z545-5200))=0,"",N(INDEX(次果筐明细!$G$4:$G$603,$Z545-5200)))),"")))))</f>
        <v/>
      </c>
      <c r="P545" s="40" t="str">
        <f>IF($Z545="","",IF($Z545&lt;=2000,"",IF($Z545&lt;=4000,IF(N(INDEX(周转筐出入库明细!$I$4:$I$2004,$Z545-2000))=0,"",N(INDEX(周转筐出入库明细!$I$4:$I$2004,$Z545-2000))),IF($Z545&lt;=5200,"",IF($Z545&lt;=5800,IF(ISNUMBER(SEARCH("退",INDEX(次果筐明细!$F$4:$F$603,$Z545-5200)&amp;"")),IF(N(INDEX(次果筐明细!$G$4:$G$603,$Z545-5200))=0,"",N(INDEX(次果筐明细!$G$4:$G$603,$Z545-5200))),""),"")))))</f>
        <v/>
      </c>
      <c r="Q545" s="40" t="str">
        <f>IF($Z545="","",IF($Z545&lt;=2000,"",IF($Z545&lt;=4000,IF(N(INDEX(周转筐出入库明细!$H$4:$H$2004,$Z545-2000))=0,"",N(INDEX(周转筐出入库明细!$H$4:$H$2004,$Z545-2000))),IF($Z545&lt;=5200,IF(N(INDEX(客户自备加工筐明细!$F$4:$F$1203,$Z545-4000))=0,"",N(INDEX(客户自备加工筐明细!$F$4:$F$1203,$Z545-4000))),IF($Z545&lt;=5800,"","")))))</f>
        <v/>
      </c>
      <c r="R545" s="16" t="str">
        <f>IF($Z545="","",IF($Z545&lt;=2000,IF(INDEX(包装物料出入库明细!$O$4:$O$2003,$Z545-0)=0,"",INDEX(包装物料出入库明细!$O$4:$O$2003,$Z545-0)),IF($Z545&lt;=4000,IF(INDEX(周转筐出入库明细!$M$4:$M$2004,$Z545-2000)=0,"",INDEX(周转筐出入库明细!$M$4:$M$2004,$Z545-2000)),IF($Z545&lt;=5200,IF(INDEX(客户自备加工筐明细!$H$4:$H$1203,$Z545-4000)=0,"",INDEX(客户自备加工筐明细!$H$4:$H$1203,$Z545-4000)),IF($Z545&lt;=5800,IF(INDEX(次果筐明细!$H$4:$H$603,$Z545-5200)=0,"",INDEX(次果筐明细!$H$4:$H$603,$Z545-5200)),"")))))</f>
        <v/>
      </c>
      <c r="S545" s="22" t="str">
        <f t="shared" si="26"/>
        <v/>
      </c>
      <c r="Z545" s="10" t="str">
        <f>IFERROR(MATCH(ROW()-3,_自动清单!$CQ$4:$CQ$5803,0),"")</f>
        <v/>
      </c>
    </row>
    <row r="546" spans="1:26">
      <c r="A546" s="24" t="str">
        <f t="shared" si="24"/>
        <v/>
      </c>
      <c r="B546" s="38" t="str">
        <f>IF($Z546="","",IF($Z546&lt;=2000,IF(INDEX(包装物料出入库明细!$B$4:$B$2003,$Z546-0)=0,"",INDEX(包装物料出入库明细!$B$4:$B$2003,$Z546-0)),IF($Z546&lt;=4000,IF(INDEX(周转筐出入库明细!$B$4:$B$2004,$Z546-2000)=0,"",INDEX(周转筐出入库明细!$B$4:$B$2004,$Z546-2000)),IF($Z546&lt;=5200,IF(INDEX(客户自备加工筐明细!$B$4:$B$1203,$Z546-4000)=0,"",INDEX(客户自备加工筐明细!$B$4:$B$1203,$Z546-4000)),IF($Z546&lt;=5800,IF(INDEX(次果筐明细!$B$4:$B$603,$Z546-5200)=0,"",INDEX(次果筐明细!$B$4:$B$603,$Z546-5200)),"")))))</f>
        <v/>
      </c>
      <c r="C546" s="37" t="str">
        <f>IF($Z546="","",IF($Z546&lt;=2000,IF(INDEX(包装物料出入库明细!$D$4:$D$2003,$Z546-0)=0,"",INDEX(包装物料出入库明细!$D$4:$D$2003,$Z546-0)),IF($Z546&lt;=4000,IF(INDEX(周转筐出入库明细!$C$4:$C$2004,$Z546-2000)=0,"",INDEX(周转筐出入库明细!$C$4:$C$2004,$Z546-2000)),IF($Z546&lt;=5200,IF(INDEX(客户自备加工筐明细!$E$4:$E$1203,$Z546-4000)=0,"",INDEX(客户自备加工筐明细!$E$4:$E$1203,$Z546-4000)),IF($Z546&lt;=5800,IF(INDEX(次果筐明细!$C$4:$C$603,$Z546-5200)=0,"",INDEX(次果筐明细!$C$4:$C$603,$Z546-5200)),"")))))</f>
        <v/>
      </c>
      <c r="D546" s="37" t="str">
        <f>IF($Z546="","",IF($Z546&lt;=2000,"包装物料－"&amp;INDEX(包装物料出入库明细!$H$4:$H$2003,$Z546-0),IF($Z546&lt;=4000,"周转筐－"&amp;INDEX(周转筐出入库明细!$F$4:$F$2004,$Z546-2000),IF($Z546&lt;=5200,"客户自备筐－"&amp;INDEX(客户自备加工筐明细!$J$4:$J$1203,$Z546-4000),IF($Z546&lt;=5800,"次果筐/托盘－"&amp;INDEX(次果筐明细!$F$4:$F$603,$Z546-5200),"")))))</f>
        <v/>
      </c>
      <c r="E546" s="24" t="str">
        <f>IF($Z546="","",IF($Z546&lt;=2000,IF(INDEX(包装物料出入库明细!$C$4:$C$2003,$Z546-0)=0,"",INDEX(包装物料出入库明细!$C$4:$C$2003,$Z546-0)),IF($Z546&lt;=4000,IF(INDEX(周转筐出入库明细!$E$4:$E$2004,$Z546-2000)=0,"",INDEX(周转筐出入库明细!$E$4:$E$2004,$Z546-2000)),IF($Z546&lt;=5200,IF(INDEX(客户自备加工筐明细!$D$4:$D$1203,$Z546-4000)=0,"",INDEX(客户自备加工筐明细!$D$4:$D$1203,$Z546-4000)),IF($Z546&lt;=5800,IF(INDEX(次果筐明细!$E$4:$E$603,$Z546-5200)=0,"",INDEX(次果筐明细!$E$4:$E$603,$Z546-5200)),"")))))</f>
        <v/>
      </c>
      <c r="F546" s="24" t="str">
        <f>IF($Z546="","",IF($Z546&lt;=2000,IF(INDEX(包装物料出入库明细!$E$4:$E$2003,$Z546-0)=0,"",INDEX(包装物料出入库明细!$E$4:$E$2003,$Z546-0)),IF($Z546&lt;=4000,IF(INDEX(周转筐出入库明细!$D$4:$D$2004,$Z546-2000)=0,"",INDEX(周转筐出入库明细!$D$4:$D$2004,$Z546-2000)),IF($Z546&lt;=5200,IF(INDEX(客户自备加工筐明细!$C$4:$C$1203,$Z546-4000)=0,"",INDEX(客户自备加工筐明细!$C$4:$C$1203,$Z546-4000)),IF($Z546&lt;=5800,IF(INDEX(次果筐明细!$D$4:$D$603,$Z546-5200)=0,"",INDEX(次果筐明细!$D$4:$D$603,$Z546-5200)),"")))))</f>
        <v/>
      </c>
      <c r="G546" s="24" t="str">
        <f>IF($Z546="","",IF($Z546&lt;=2000,IF(INDEX(包装物料出入库明细!$F$4:$F$2003,$Z546-0)=0,"",INDEX(包装物料出入库明细!$F$4:$F$2003,$Z546-0)),IF($Z546&lt;=4000,"",IF($Z546&lt;=5200,"",IF($Z546&lt;=5800,"","")))))</f>
        <v/>
      </c>
      <c r="H546" s="39" t="str">
        <f>IF($Z546="","",IF($Z546&lt;=2000,IF(INDEX(包装物料出入库明细!$L$4:$L$2003,$Z546-0)=0,"",INDEX(包装物料出入库明细!$L$4:$L$2003,$Z546-0)),IF($Z546&lt;=4000,N(INDEX(周转筐出入库明细!$H$4:$H$2004,$Z546-2000))+N(INDEX(周转筐出入库明细!$I$4:$I$2004,$Z546-2000))+N(INDEX(周转筐出入库明细!$J$4:$J$2004,$Z546-2000))+N(INDEX(周转筐出入库明细!$K$4:$K$2004,$Z546-2000)),IF($Z546&lt;=5200,N(INDEX(客户自备加工筐明细!$F$4:$F$1203,$Z546-4000))+N(INDEX(客户自备加工筐明细!$G$4:$G$1203,$Z546-4000)),IF($Z546&lt;=5800,IF(INDEX(次果筐明细!$G$4:$G$603,$Z546-5200)=0,"",INDEX(次果筐明细!$G$4:$G$603,$Z546-5200)),"")))))</f>
        <v/>
      </c>
      <c r="I546" s="24" t="str">
        <f>IF($Z546="","",IF($Z546&lt;=2000,IF(INDEX(包装物料出入库明细!$G$4:$G$2003,$Z546-0)=0,"",INDEX(包装物料出入库明细!$G$4:$G$2003,$Z546-0)),IF($Z546&lt;=4000,"个",IF($Z546&lt;=5200,"个",IF($Z546&lt;=5800,"个","")))))</f>
        <v/>
      </c>
      <c r="J546" s="30" t="str">
        <f t="shared" si="25"/>
        <v/>
      </c>
      <c r="K546" s="30" t="str">
        <f>IF($Z546="","",IF($Z546&lt;=2000,IF(INDEX(包装物料出入库明细!$N$4:$N$2003,$Z546-0)=0,"",INDEX(包装物料出入库明细!$N$4:$N$2003,$Z546-0)),IF($Z546&lt;=4000,IF(INDEX(周转筐出入库明细!$P$4:$P$2004,$Z546-2000)=0,"",INDEX(周转筐出入库明细!$P$4:$P$2004,$Z546-2000)),IF($Z546&lt;=5200,"",IF($Z546&lt;=5800,N(INDEX(次果筐明细!$L$4:$L$603,$Z546-5200))+N(INDEX(次果筐明细!$J$4:$J$603,$Z546-5200)),"")))))</f>
        <v/>
      </c>
      <c r="L546" s="24" t="str">
        <f>IF($Z546="","",IF($Z546&lt;=2000,IF(INDEX(包装物料出入库明细!$P$4:$P$2003,$Z546-0)=0,"",INDEX(包装物料出入库明细!$P$4:$P$2003,$Z546-0)),IF($Z546&lt;=4000,IF(INDEX(周转筐出入库明细!$Q$4:$Q$2004,$Z546-2000)=0,"",INDEX(周转筐出入库明细!$Q$4:$Q$2004,$Z546-2000)),IF($Z546&lt;=5200,"",IF($Z546&lt;=5800,IF(INDEX(次果筐明细!$M$4:$M$603,$Z546-5200)=0,"",INDEX(次果筐明细!$M$4:$M$603,$Z546-5200)),"")))))</f>
        <v/>
      </c>
      <c r="M546" s="37" t="str">
        <f>IF($Z546="","",IF($Z546&lt;=2000,IF(INDEX(包装物料出入库明细!$R$4:$R$2003,$Z546-0)=0,"",INDEX(包装物料出入库明细!$R$4:$R$2003,$Z546-0)),IF($Z546&lt;=4000,IF(INDEX(周转筐出入库明细!$W$4:$W$2004,$Z546-2000)=0,"",INDEX(周转筐出入库明细!$W$4:$W$2004,$Z546-2000)),IF($Z546&lt;=5200,IF(INDEX(客户自备加工筐明细!$L$4:$L$1203,$Z546-4000)=0,"",INDEX(客户自备加工筐明细!$L$4:$L$1203,$Z546-4000)),IF($Z546&lt;=5800,IF(INDEX(次果筐明细!$P$4:$P$603,$Z546-5200)=0,"",INDEX(次果筐明细!$P$4:$P$603,$Z546-5200)),"")))))</f>
        <v/>
      </c>
      <c r="N546" s="16" t="str">
        <f>IF($Z546="","",IF($Z546&lt;=2000,"",IF($Z546&lt;=4000,IF(INDEX(周转筐出入库明细!$D$4:$D$2004,$Z546-2000)=0,"",INDEX(周转筐出入库明细!$D$4:$D$2004,$Z546-2000)),IF($Z546&lt;=5200,IF(INDEX(客户自备加工筐明细!$C$4:$C$1203,$Z546-4000)=0,"",INDEX(客户自备加工筐明细!$C$4:$C$1203,$Z546-4000)),IF($Z546&lt;=5800,IF(INDEX(次果筐明细!$D$4:$D$603,$Z546-5200)=0,"",INDEX(次果筐明细!$D$4:$D$603,$Z546-5200)),"")))))</f>
        <v/>
      </c>
      <c r="O546" s="40" t="str">
        <f>IF($Z546="","",IF($Z546&lt;=2000,"",IF($Z546&lt;=4000,IF(N(INDEX(周转筐出入库明细!$J$4:$J$2004,$Z546-2000))+N(INDEX(周转筐出入库明细!$K$4:$K$2004,$Z546-2000))=0,"",N(INDEX(周转筐出入库明细!$J$4:$J$2004,$Z546-2000))+N(INDEX(周转筐出入库明细!$K$4:$K$2004,$Z546-2000))),IF($Z546&lt;=5200,IF(N(INDEX(客户自备加工筐明细!$G$4:$G$1203,$Z546-4000))=0,"",N(INDEX(客户自备加工筐明细!$G$4:$G$1203,$Z546-4000))),IF($Z546&lt;=5800,IF(ISNUMBER(SEARCH("退",INDEX(次果筐明细!$F$4:$F$603,$Z546-5200)&amp;"")),"",IF(N(INDEX(次果筐明细!$G$4:$G$603,$Z546-5200))=0,"",N(INDEX(次果筐明细!$G$4:$G$603,$Z546-5200)))),"")))))</f>
        <v/>
      </c>
      <c r="P546" s="40" t="str">
        <f>IF($Z546="","",IF($Z546&lt;=2000,"",IF($Z546&lt;=4000,IF(N(INDEX(周转筐出入库明细!$I$4:$I$2004,$Z546-2000))=0,"",N(INDEX(周转筐出入库明细!$I$4:$I$2004,$Z546-2000))),IF($Z546&lt;=5200,"",IF($Z546&lt;=5800,IF(ISNUMBER(SEARCH("退",INDEX(次果筐明细!$F$4:$F$603,$Z546-5200)&amp;"")),IF(N(INDEX(次果筐明细!$G$4:$G$603,$Z546-5200))=0,"",N(INDEX(次果筐明细!$G$4:$G$603,$Z546-5200))),""),"")))))</f>
        <v/>
      </c>
      <c r="Q546" s="40" t="str">
        <f>IF($Z546="","",IF($Z546&lt;=2000,"",IF($Z546&lt;=4000,IF(N(INDEX(周转筐出入库明细!$H$4:$H$2004,$Z546-2000))=0,"",N(INDEX(周转筐出入库明细!$H$4:$H$2004,$Z546-2000))),IF($Z546&lt;=5200,IF(N(INDEX(客户自备加工筐明细!$F$4:$F$1203,$Z546-4000))=0,"",N(INDEX(客户自备加工筐明细!$F$4:$F$1203,$Z546-4000))),IF($Z546&lt;=5800,"","")))))</f>
        <v/>
      </c>
      <c r="R546" s="16" t="str">
        <f>IF($Z546="","",IF($Z546&lt;=2000,IF(INDEX(包装物料出入库明细!$O$4:$O$2003,$Z546-0)=0,"",INDEX(包装物料出入库明细!$O$4:$O$2003,$Z546-0)),IF($Z546&lt;=4000,IF(INDEX(周转筐出入库明细!$M$4:$M$2004,$Z546-2000)=0,"",INDEX(周转筐出入库明细!$M$4:$M$2004,$Z546-2000)),IF($Z546&lt;=5200,IF(INDEX(客户自备加工筐明细!$H$4:$H$1203,$Z546-4000)=0,"",INDEX(客户自备加工筐明细!$H$4:$H$1203,$Z546-4000)),IF($Z546&lt;=5800,IF(INDEX(次果筐明细!$H$4:$H$603,$Z546-5200)=0,"",INDEX(次果筐明细!$H$4:$H$603,$Z546-5200)),"")))))</f>
        <v/>
      </c>
      <c r="S546" s="22" t="str">
        <f t="shared" si="26"/>
        <v/>
      </c>
      <c r="Z546" s="10" t="str">
        <f>IFERROR(MATCH(ROW()-3,_自动清单!$CQ$4:$CQ$5803,0),"")</f>
        <v/>
      </c>
    </row>
    <row r="547" spans="1:26">
      <c r="A547" s="24" t="str">
        <f t="shared" si="24"/>
        <v/>
      </c>
      <c r="B547" s="38" t="str">
        <f>IF($Z547="","",IF($Z547&lt;=2000,IF(INDEX(包装物料出入库明细!$B$4:$B$2003,$Z547-0)=0,"",INDEX(包装物料出入库明细!$B$4:$B$2003,$Z547-0)),IF($Z547&lt;=4000,IF(INDEX(周转筐出入库明细!$B$4:$B$2004,$Z547-2000)=0,"",INDEX(周转筐出入库明细!$B$4:$B$2004,$Z547-2000)),IF($Z547&lt;=5200,IF(INDEX(客户自备加工筐明细!$B$4:$B$1203,$Z547-4000)=0,"",INDEX(客户自备加工筐明细!$B$4:$B$1203,$Z547-4000)),IF($Z547&lt;=5800,IF(INDEX(次果筐明细!$B$4:$B$603,$Z547-5200)=0,"",INDEX(次果筐明细!$B$4:$B$603,$Z547-5200)),"")))))</f>
        <v/>
      </c>
      <c r="C547" s="37" t="str">
        <f>IF($Z547="","",IF($Z547&lt;=2000,IF(INDEX(包装物料出入库明细!$D$4:$D$2003,$Z547-0)=0,"",INDEX(包装物料出入库明细!$D$4:$D$2003,$Z547-0)),IF($Z547&lt;=4000,IF(INDEX(周转筐出入库明细!$C$4:$C$2004,$Z547-2000)=0,"",INDEX(周转筐出入库明细!$C$4:$C$2004,$Z547-2000)),IF($Z547&lt;=5200,IF(INDEX(客户自备加工筐明细!$E$4:$E$1203,$Z547-4000)=0,"",INDEX(客户自备加工筐明细!$E$4:$E$1203,$Z547-4000)),IF($Z547&lt;=5800,IF(INDEX(次果筐明细!$C$4:$C$603,$Z547-5200)=0,"",INDEX(次果筐明细!$C$4:$C$603,$Z547-5200)),"")))))</f>
        <v/>
      </c>
      <c r="D547" s="37" t="str">
        <f>IF($Z547="","",IF($Z547&lt;=2000,"包装物料－"&amp;INDEX(包装物料出入库明细!$H$4:$H$2003,$Z547-0),IF($Z547&lt;=4000,"周转筐－"&amp;INDEX(周转筐出入库明细!$F$4:$F$2004,$Z547-2000),IF($Z547&lt;=5200,"客户自备筐－"&amp;INDEX(客户自备加工筐明细!$J$4:$J$1203,$Z547-4000),IF($Z547&lt;=5800,"次果筐/托盘－"&amp;INDEX(次果筐明细!$F$4:$F$603,$Z547-5200),"")))))</f>
        <v/>
      </c>
      <c r="E547" s="24" t="str">
        <f>IF($Z547="","",IF($Z547&lt;=2000,IF(INDEX(包装物料出入库明细!$C$4:$C$2003,$Z547-0)=0,"",INDEX(包装物料出入库明细!$C$4:$C$2003,$Z547-0)),IF($Z547&lt;=4000,IF(INDEX(周转筐出入库明细!$E$4:$E$2004,$Z547-2000)=0,"",INDEX(周转筐出入库明细!$E$4:$E$2004,$Z547-2000)),IF($Z547&lt;=5200,IF(INDEX(客户自备加工筐明细!$D$4:$D$1203,$Z547-4000)=0,"",INDEX(客户自备加工筐明细!$D$4:$D$1203,$Z547-4000)),IF($Z547&lt;=5800,IF(INDEX(次果筐明细!$E$4:$E$603,$Z547-5200)=0,"",INDEX(次果筐明细!$E$4:$E$603,$Z547-5200)),"")))))</f>
        <v/>
      </c>
      <c r="F547" s="24" t="str">
        <f>IF($Z547="","",IF($Z547&lt;=2000,IF(INDEX(包装物料出入库明细!$E$4:$E$2003,$Z547-0)=0,"",INDEX(包装物料出入库明细!$E$4:$E$2003,$Z547-0)),IF($Z547&lt;=4000,IF(INDEX(周转筐出入库明细!$D$4:$D$2004,$Z547-2000)=0,"",INDEX(周转筐出入库明细!$D$4:$D$2004,$Z547-2000)),IF($Z547&lt;=5200,IF(INDEX(客户自备加工筐明细!$C$4:$C$1203,$Z547-4000)=0,"",INDEX(客户自备加工筐明细!$C$4:$C$1203,$Z547-4000)),IF($Z547&lt;=5800,IF(INDEX(次果筐明细!$D$4:$D$603,$Z547-5200)=0,"",INDEX(次果筐明细!$D$4:$D$603,$Z547-5200)),"")))))</f>
        <v/>
      </c>
      <c r="G547" s="24" t="str">
        <f>IF($Z547="","",IF($Z547&lt;=2000,IF(INDEX(包装物料出入库明细!$F$4:$F$2003,$Z547-0)=0,"",INDEX(包装物料出入库明细!$F$4:$F$2003,$Z547-0)),IF($Z547&lt;=4000,"",IF($Z547&lt;=5200,"",IF($Z547&lt;=5800,"","")))))</f>
        <v/>
      </c>
      <c r="H547" s="39" t="str">
        <f>IF($Z547="","",IF($Z547&lt;=2000,IF(INDEX(包装物料出入库明细!$L$4:$L$2003,$Z547-0)=0,"",INDEX(包装物料出入库明细!$L$4:$L$2003,$Z547-0)),IF($Z547&lt;=4000,N(INDEX(周转筐出入库明细!$H$4:$H$2004,$Z547-2000))+N(INDEX(周转筐出入库明细!$I$4:$I$2004,$Z547-2000))+N(INDEX(周转筐出入库明细!$J$4:$J$2004,$Z547-2000))+N(INDEX(周转筐出入库明细!$K$4:$K$2004,$Z547-2000)),IF($Z547&lt;=5200,N(INDEX(客户自备加工筐明细!$F$4:$F$1203,$Z547-4000))+N(INDEX(客户自备加工筐明细!$G$4:$G$1203,$Z547-4000)),IF($Z547&lt;=5800,IF(INDEX(次果筐明细!$G$4:$G$603,$Z547-5200)=0,"",INDEX(次果筐明细!$G$4:$G$603,$Z547-5200)),"")))))</f>
        <v/>
      </c>
      <c r="I547" s="24" t="str">
        <f>IF($Z547="","",IF($Z547&lt;=2000,IF(INDEX(包装物料出入库明细!$G$4:$G$2003,$Z547-0)=0,"",INDEX(包装物料出入库明细!$G$4:$G$2003,$Z547-0)),IF($Z547&lt;=4000,"个",IF($Z547&lt;=5200,"个",IF($Z547&lt;=5800,"个","")))))</f>
        <v/>
      </c>
      <c r="J547" s="30" t="str">
        <f t="shared" si="25"/>
        <v/>
      </c>
      <c r="K547" s="30" t="str">
        <f>IF($Z547="","",IF($Z547&lt;=2000,IF(INDEX(包装物料出入库明细!$N$4:$N$2003,$Z547-0)=0,"",INDEX(包装物料出入库明细!$N$4:$N$2003,$Z547-0)),IF($Z547&lt;=4000,IF(INDEX(周转筐出入库明细!$P$4:$P$2004,$Z547-2000)=0,"",INDEX(周转筐出入库明细!$P$4:$P$2004,$Z547-2000)),IF($Z547&lt;=5200,"",IF($Z547&lt;=5800,N(INDEX(次果筐明细!$L$4:$L$603,$Z547-5200))+N(INDEX(次果筐明细!$J$4:$J$603,$Z547-5200)),"")))))</f>
        <v/>
      </c>
      <c r="L547" s="24" t="str">
        <f>IF($Z547="","",IF($Z547&lt;=2000,IF(INDEX(包装物料出入库明细!$P$4:$P$2003,$Z547-0)=0,"",INDEX(包装物料出入库明细!$P$4:$P$2003,$Z547-0)),IF($Z547&lt;=4000,IF(INDEX(周转筐出入库明细!$Q$4:$Q$2004,$Z547-2000)=0,"",INDEX(周转筐出入库明细!$Q$4:$Q$2004,$Z547-2000)),IF($Z547&lt;=5200,"",IF($Z547&lt;=5800,IF(INDEX(次果筐明细!$M$4:$M$603,$Z547-5200)=0,"",INDEX(次果筐明细!$M$4:$M$603,$Z547-5200)),"")))))</f>
        <v/>
      </c>
      <c r="M547" s="37" t="str">
        <f>IF($Z547="","",IF($Z547&lt;=2000,IF(INDEX(包装物料出入库明细!$R$4:$R$2003,$Z547-0)=0,"",INDEX(包装物料出入库明细!$R$4:$R$2003,$Z547-0)),IF($Z547&lt;=4000,IF(INDEX(周转筐出入库明细!$W$4:$W$2004,$Z547-2000)=0,"",INDEX(周转筐出入库明细!$W$4:$W$2004,$Z547-2000)),IF($Z547&lt;=5200,IF(INDEX(客户自备加工筐明细!$L$4:$L$1203,$Z547-4000)=0,"",INDEX(客户自备加工筐明细!$L$4:$L$1203,$Z547-4000)),IF($Z547&lt;=5800,IF(INDEX(次果筐明细!$P$4:$P$603,$Z547-5200)=0,"",INDEX(次果筐明细!$P$4:$P$603,$Z547-5200)),"")))))</f>
        <v/>
      </c>
      <c r="N547" s="16" t="str">
        <f>IF($Z547="","",IF($Z547&lt;=2000,"",IF($Z547&lt;=4000,IF(INDEX(周转筐出入库明细!$D$4:$D$2004,$Z547-2000)=0,"",INDEX(周转筐出入库明细!$D$4:$D$2004,$Z547-2000)),IF($Z547&lt;=5200,IF(INDEX(客户自备加工筐明细!$C$4:$C$1203,$Z547-4000)=0,"",INDEX(客户自备加工筐明细!$C$4:$C$1203,$Z547-4000)),IF($Z547&lt;=5800,IF(INDEX(次果筐明细!$D$4:$D$603,$Z547-5200)=0,"",INDEX(次果筐明细!$D$4:$D$603,$Z547-5200)),"")))))</f>
        <v/>
      </c>
      <c r="O547" s="40" t="str">
        <f>IF($Z547="","",IF($Z547&lt;=2000,"",IF($Z547&lt;=4000,IF(N(INDEX(周转筐出入库明细!$J$4:$J$2004,$Z547-2000))+N(INDEX(周转筐出入库明细!$K$4:$K$2004,$Z547-2000))=0,"",N(INDEX(周转筐出入库明细!$J$4:$J$2004,$Z547-2000))+N(INDEX(周转筐出入库明细!$K$4:$K$2004,$Z547-2000))),IF($Z547&lt;=5200,IF(N(INDEX(客户自备加工筐明细!$G$4:$G$1203,$Z547-4000))=0,"",N(INDEX(客户自备加工筐明细!$G$4:$G$1203,$Z547-4000))),IF($Z547&lt;=5800,IF(ISNUMBER(SEARCH("退",INDEX(次果筐明细!$F$4:$F$603,$Z547-5200)&amp;"")),"",IF(N(INDEX(次果筐明细!$G$4:$G$603,$Z547-5200))=0,"",N(INDEX(次果筐明细!$G$4:$G$603,$Z547-5200)))),"")))))</f>
        <v/>
      </c>
      <c r="P547" s="40" t="str">
        <f>IF($Z547="","",IF($Z547&lt;=2000,"",IF($Z547&lt;=4000,IF(N(INDEX(周转筐出入库明细!$I$4:$I$2004,$Z547-2000))=0,"",N(INDEX(周转筐出入库明细!$I$4:$I$2004,$Z547-2000))),IF($Z547&lt;=5200,"",IF($Z547&lt;=5800,IF(ISNUMBER(SEARCH("退",INDEX(次果筐明细!$F$4:$F$603,$Z547-5200)&amp;"")),IF(N(INDEX(次果筐明细!$G$4:$G$603,$Z547-5200))=0,"",N(INDEX(次果筐明细!$G$4:$G$603,$Z547-5200))),""),"")))))</f>
        <v/>
      </c>
      <c r="Q547" s="40" t="str">
        <f>IF($Z547="","",IF($Z547&lt;=2000,"",IF($Z547&lt;=4000,IF(N(INDEX(周转筐出入库明细!$H$4:$H$2004,$Z547-2000))=0,"",N(INDEX(周转筐出入库明细!$H$4:$H$2004,$Z547-2000))),IF($Z547&lt;=5200,IF(N(INDEX(客户自备加工筐明细!$F$4:$F$1203,$Z547-4000))=0,"",N(INDEX(客户自备加工筐明细!$F$4:$F$1203,$Z547-4000))),IF($Z547&lt;=5800,"","")))))</f>
        <v/>
      </c>
      <c r="R547" s="16" t="str">
        <f>IF($Z547="","",IF($Z547&lt;=2000,IF(INDEX(包装物料出入库明细!$O$4:$O$2003,$Z547-0)=0,"",INDEX(包装物料出入库明细!$O$4:$O$2003,$Z547-0)),IF($Z547&lt;=4000,IF(INDEX(周转筐出入库明细!$M$4:$M$2004,$Z547-2000)=0,"",INDEX(周转筐出入库明细!$M$4:$M$2004,$Z547-2000)),IF($Z547&lt;=5200,IF(INDEX(客户自备加工筐明细!$H$4:$H$1203,$Z547-4000)=0,"",INDEX(客户自备加工筐明细!$H$4:$H$1203,$Z547-4000)),IF($Z547&lt;=5800,IF(INDEX(次果筐明细!$H$4:$H$603,$Z547-5200)=0,"",INDEX(次果筐明细!$H$4:$H$603,$Z547-5200)),"")))))</f>
        <v/>
      </c>
      <c r="S547" s="22" t="str">
        <f t="shared" si="26"/>
        <v/>
      </c>
      <c r="Z547" s="10" t="str">
        <f>IFERROR(MATCH(ROW()-3,_自动清单!$CQ$4:$CQ$5803,0),"")</f>
        <v/>
      </c>
    </row>
    <row r="548" spans="1:26">
      <c r="A548" s="24" t="str">
        <f t="shared" si="24"/>
        <v/>
      </c>
      <c r="B548" s="38" t="str">
        <f>IF($Z548="","",IF($Z548&lt;=2000,IF(INDEX(包装物料出入库明细!$B$4:$B$2003,$Z548-0)=0,"",INDEX(包装物料出入库明细!$B$4:$B$2003,$Z548-0)),IF($Z548&lt;=4000,IF(INDEX(周转筐出入库明细!$B$4:$B$2004,$Z548-2000)=0,"",INDEX(周转筐出入库明细!$B$4:$B$2004,$Z548-2000)),IF($Z548&lt;=5200,IF(INDEX(客户自备加工筐明细!$B$4:$B$1203,$Z548-4000)=0,"",INDEX(客户自备加工筐明细!$B$4:$B$1203,$Z548-4000)),IF($Z548&lt;=5800,IF(INDEX(次果筐明细!$B$4:$B$603,$Z548-5200)=0,"",INDEX(次果筐明细!$B$4:$B$603,$Z548-5200)),"")))))</f>
        <v/>
      </c>
      <c r="C548" s="37" t="str">
        <f>IF($Z548="","",IF($Z548&lt;=2000,IF(INDEX(包装物料出入库明细!$D$4:$D$2003,$Z548-0)=0,"",INDEX(包装物料出入库明细!$D$4:$D$2003,$Z548-0)),IF($Z548&lt;=4000,IF(INDEX(周转筐出入库明细!$C$4:$C$2004,$Z548-2000)=0,"",INDEX(周转筐出入库明细!$C$4:$C$2004,$Z548-2000)),IF($Z548&lt;=5200,IF(INDEX(客户自备加工筐明细!$E$4:$E$1203,$Z548-4000)=0,"",INDEX(客户自备加工筐明细!$E$4:$E$1203,$Z548-4000)),IF($Z548&lt;=5800,IF(INDEX(次果筐明细!$C$4:$C$603,$Z548-5200)=0,"",INDEX(次果筐明细!$C$4:$C$603,$Z548-5200)),"")))))</f>
        <v/>
      </c>
      <c r="D548" s="37" t="str">
        <f>IF($Z548="","",IF($Z548&lt;=2000,"包装物料－"&amp;INDEX(包装物料出入库明细!$H$4:$H$2003,$Z548-0),IF($Z548&lt;=4000,"周转筐－"&amp;INDEX(周转筐出入库明细!$F$4:$F$2004,$Z548-2000),IF($Z548&lt;=5200,"客户自备筐－"&amp;INDEX(客户自备加工筐明细!$J$4:$J$1203,$Z548-4000),IF($Z548&lt;=5800,"次果筐/托盘－"&amp;INDEX(次果筐明细!$F$4:$F$603,$Z548-5200),"")))))</f>
        <v/>
      </c>
      <c r="E548" s="24" t="str">
        <f>IF($Z548="","",IF($Z548&lt;=2000,IF(INDEX(包装物料出入库明细!$C$4:$C$2003,$Z548-0)=0,"",INDEX(包装物料出入库明细!$C$4:$C$2003,$Z548-0)),IF($Z548&lt;=4000,IF(INDEX(周转筐出入库明细!$E$4:$E$2004,$Z548-2000)=0,"",INDEX(周转筐出入库明细!$E$4:$E$2004,$Z548-2000)),IF($Z548&lt;=5200,IF(INDEX(客户自备加工筐明细!$D$4:$D$1203,$Z548-4000)=0,"",INDEX(客户自备加工筐明细!$D$4:$D$1203,$Z548-4000)),IF($Z548&lt;=5800,IF(INDEX(次果筐明细!$E$4:$E$603,$Z548-5200)=0,"",INDEX(次果筐明细!$E$4:$E$603,$Z548-5200)),"")))))</f>
        <v/>
      </c>
      <c r="F548" s="24" t="str">
        <f>IF($Z548="","",IF($Z548&lt;=2000,IF(INDEX(包装物料出入库明细!$E$4:$E$2003,$Z548-0)=0,"",INDEX(包装物料出入库明细!$E$4:$E$2003,$Z548-0)),IF($Z548&lt;=4000,IF(INDEX(周转筐出入库明细!$D$4:$D$2004,$Z548-2000)=0,"",INDEX(周转筐出入库明细!$D$4:$D$2004,$Z548-2000)),IF($Z548&lt;=5200,IF(INDEX(客户自备加工筐明细!$C$4:$C$1203,$Z548-4000)=0,"",INDEX(客户自备加工筐明细!$C$4:$C$1203,$Z548-4000)),IF($Z548&lt;=5800,IF(INDEX(次果筐明细!$D$4:$D$603,$Z548-5200)=0,"",INDEX(次果筐明细!$D$4:$D$603,$Z548-5200)),"")))))</f>
        <v/>
      </c>
      <c r="G548" s="24" t="str">
        <f>IF($Z548="","",IF($Z548&lt;=2000,IF(INDEX(包装物料出入库明细!$F$4:$F$2003,$Z548-0)=0,"",INDEX(包装物料出入库明细!$F$4:$F$2003,$Z548-0)),IF($Z548&lt;=4000,"",IF($Z548&lt;=5200,"",IF($Z548&lt;=5800,"","")))))</f>
        <v/>
      </c>
      <c r="H548" s="39" t="str">
        <f>IF($Z548="","",IF($Z548&lt;=2000,IF(INDEX(包装物料出入库明细!$L$4:$L$2003,$Z548-0)=0,"",INDEX(包装物料出入库明细!$L$4:$L$2003,$Z548-0)),IF($Z548&lt;=4000,N(INDEX(周转筐出入库明细!$H$4:$H$2004,$Z548-2000))+N(INDEX(周转筐出入库明细!$I$4:$I$2004,$Z548-2000))+N(INDEX(周转筐出入库明细!$J$4:$J$2004,$Z548-2000))+N(INDEX(周转筐出入库明细!$K$4:$K$2004,$Z548-2000)),IF($Z548&lt;=5200,N(INDEX(客户自备加工筐明细!$F$4:$F$1203,$Z548-4000))+N(INDEX(客户自备加工筐明细!$G$4:$G$1203,$Z548-4000)),IF($Z548&lt;=5800,IF(INDEX(次果筐明细!$G$4:$G$603,$Z548-5200)=0,"",INDEX(次果筐明细!$G$4:$G$603,$Z548-5200)),"")))))</f>
        <v/>
      </c>
      <c r="I548" s="24" t="str">
        <f>IF($Z548="","",IF($Z548&lt;=2000,IF(INDEX(包装物料出入库明细!$G$4:$G$2003,$Z548-0)=0,"",INDEX(包装物料出入库明细!$G$4:$G$2003,$Z548-0)),IF($Z548&lt;=4000,"个",IF($Z548&lt;=5200,"个",IF($Z548&lt;=5800,"个","")))))</f>
        <v/>
      </c>
      <c r="J548" s="30" t="str">
        <f t="shared" si="25"/>
        <v/>
      </c>
      <c r="K548" s="30" t="str">
        <f>IF($Z548="","",IF($Z548&lt;=2000,IF(INDEX(包装物料出入库明细!$N$4:$N$2003,$Z548-0)=0,"",INDEX(包装物料出入库明细!$N$4:$N$2003,$Z548-0)),IF($Z548&lt;=4000,IF(INDEX(周转筐出入库明细!$P$4:$P$2004,$Z548-2000)=0,"",INDEX(周转筐出入库明细!$P$4:$P$2004,$Z548-2000)),IF($Z548&lt;=5200,"",IF($Z548&lt;=5800,N(INDEX(次果筐明细!$L$4:$L$603,$Z548-5200))+N(INDEX(次果筐明细!$J$4:$J$603,$Z548-5200)),"")))))</f>
        <v/>
      </c>
      <c r="L548" s="24" t="str">
        <f>IF($Z548="","",IF($Z548&lt;=2000,IF(INDEX(包装物料出入库明细!$P$4:$P$2003,$Z548-0)=0,"",INDEX(包装物料出入库明细!$P$4:$P$2003,$Z548-0)),IF($Z548&lt;=4000,IF(INDEX(周转筐出入库明细!$Q$4:$Q$2004,$Z548-2000)=0,"",INDEX(周转筐出入库明细!$Q$4:$Q$2004,$Z548-2000)),IF($Z548&lt;=5200,"",IF($Z548&lt;=5800,IF(INDEX(次果筐明细!$M$4:$M$603,$Z548-5200)=0,"",INDEX(次果筐明细!$M$4:$M$603,$Z548-5200)),"")))))</f>
        <v/>
      </c>
      <c r="M548" s="37" t="str">
        <f>IF($Z548="","",IF($Z548&lt;=2000,IF(INDEX(包装物料出入库明细!$R$4:$R$2003,$Z548-0)=0,"",INDEX(包装物料出入库明细!$R$4:$R$2003,$Z548-0)),IF($Z548&lt;=4000,IF(INDEX(周转筐出入库明细!$W$4:$W$2004,$Z548-2000)=0,"",INDEX(周转筐出入库明细!$W$4:$W$2004,$Z548-2000)),IF($Z548&lt;=5200,IF(INDEX(客户自备加工筐明细!$L$4:$L$1203,$Z548-4000)=0,"",INDEX(客户自备加工筐明细!$L$4:$L$1203,$Z548-4000)),IF($Z548&lt;=5800,IF(INDEX(次果筐明细!$P$4:$P$603,$Z548-5200)=0,"",INDEX(次果筐明细!$P$4:$P$603,$Z548-5200)),"")))))</f>
        <v/>
      </c>
      <c r="N548" s="16" t="str">
        <f>IF($Z548="","",IF($Z548&lt;=2000,"",IF($Z548&lt;=4000,IF(INDEX(周转筐出入库明细!$D$4:$D$2004,$Z548-2000)=0,"",INDEX(周转筐出入库明细!$D$4:$D$2004,$Z548-2000)),IF($Z548&lt;=5200,IF(INDEX(客户自备加工筐明细!$C$4:$C$1203,$Z548-4000)=0,"",INDEX(客户自备加工筐明细!$C$4:$C$1203,$Z548-4000)),IF($Z548&lt;=5800,IF(INDEX(次果筐明细!$D$4:$D$603,$Z548-5200)=0,"",INDEX(次果筐明细!$D$4:$D$603,$Z548-5200)),"")))))</f>
        <v/>
      </c>
      <c r="O548" s="40" t="str">
        <f>IF($Z548="","",IF($Z548&lt;=2000,"",IF($Z548&lt;=4000,IF(N(INDEX(周转筐出入库明细!$J$4:$J$2004,$Z548-2000))+N(INDEX(周转筐出入库明细!$K$4:$K$2004,$Z548-2000))=0,"",N(INDEX(周转筐出入库明细!$J$4:$J$2004,$Z548-2000))+N(INDEX(周转筐出入库明细!$K$4:$K$2004,$Z548-2000))),IF($Z548&lt;=5200,IF(N(INDEX(客户自备加工筐明细!$G$4:$G$1203,$Z548-4000))=0,"",N(INDEX(客户自备加工筐明细!$G$4:$G$1203,$Z548-4000))),IF($Z548&lt;=5800,IF(ISNUMBER(SEARCH("退",INDEX(次果筐明细!$F$4:$F$603,$Z548-5200)&amp;"")),"",IF(N(INDEX(次果筐明细!$G$4:$G$603,$Z548-5200))=0,"",N(INDEX(次果筐明细!$G$4:$G$603,$Z548-5200)))),"")))))</f>
        <v/>
      </c>
      <c r="P548" s="40" t="str">
        <f>IF($Z548="","",IF($Z548&lt;=2000,"",IF($Z548&lt;=4000,IF(N(INDEX(周转筐出入库明细!$I$4:$I$2004,$Z548-2000))=0,"",N(INDEX(周转筐出入库明细!$I$4:$I$2004,$Z548-2000))),IF($Z548&lt;=5200,"",IF($Z548&lt;=5800,IF(ISNUMBER(SEARCH("退",INDEX(次果筐明细!$F$4:$F$603,$Z548-5200)&amp;"")),IF(N(INDEX(次果筐明细!$G$4:$G$603,$Z548-5200))=0,"",N(INDEX(次果筐明细!$G$4:$G$603,$Z548-5200))),""),"")))))</f>
        <v/>
      </c>
      <c r="Q548" s="40" t="str">
        <f>IF($Z548="","",IF($Z548&lt;=2000,"",IF($Z548&lt;=4000,IF(N(INDEX(周转筐出入库明细!$H$4:$H$2004,$Z548-2000))=0,"",N(INDEX(周转筐出入库明细!$H$4:$H$2004,$Z548-2000))),IF($Z548&lt;=5200,IF(N(INDEX(客户自备加工筐明细!$F$4:$F$1203,$Z548-4000))=0,"",N(INDEX(客户自备加工筐明细!$F$4:$F$1203,$Z548-4000))),IF($Z548&lt;=5800,"","")))))</f>
        <v/>
      </c>
      <c r="R548" s="16" t="str">
        <f>IF($Z548="","",IF($Z548&lt;=2000,IF(INDEX(包装物料出入库明细!$O$4:$O$2003,$Z548-0)=0,"",INDEX(包装物料出入库明细!$O$4:$O$2003,$Z548-0)),IF($Z548&lt;=4000,IF(INDEX(周转筐出入库明细!$M$4:$M$2004,$Z548-2000)=0,"",INDEX(周转筐出入库明细!$M$4:$M$2004,$Z548-2000)),IF($Z548&lt;=5200,IF(INDEX(客户自备加工筐明细!$H$4:$H$1203,$Z548-4000)=0,"",INDEX(客户自备加工筐明细!$H$4:$H$1203,$Z548-4000)),IF($Z548&lt;=5800,IF(INDEX(次果筐明细!$H$4:$H$603,$Z548-5200)=0,"",INDEX(次果筐明细!$H$4:$H$603,$Z548-5200)),"")))))</f>
        <v/>
      </c>
      <c r="S548" s="22" t="str">
        <f t="shared" si="26"/>
        <v/>
      </c>
      <c r="Z548" s="10" t="str">
        <f>IFERROR(MATCH(ROW()-3,_自动清单!$CQ$4:$CQ$5803,0),"")</f>
        <v/>
      </c>
    </row>
    <row r="549" spans="1:26">
      <c r="A549" s="24" t="str">
        <f t="shared" si="24"/>
        <v/>
      </c>
      <c r="B549" s="38" t="str">
        <f>IF($Z549="","",IF($Z549&lt;=2000,IF(INDEX(包装物料出入库明细!$B$4:$B$2003,$Z549-0)=0,"",INDEX(包装物料出入库明细!$B$4:$B$2003,$Z549-0)),IF($Z549&lt;=4000,IF(INDEX(周转筐出入库明细!$B$4:$B$2004,$Z549-2000)=0,"",INDEX(周转筐出入库明细!$B$4:$B$2004,$Z549-2000)),IF($Z549&lt;=5200,IF(INDEX(客户自备加工筐明细!$B$4:$B$1203,$Z549-4000)=0,"",INDEX(客户自备加工筐明细!$B$4:$B$1203,$Z549-4000)),IF($Z549&lt;=5800,IF(INDEX(次果筐明细!$B$4:$B$603,$Z549-5200)=0,"",INDEX(次果筐明细!$B$4:$B$603,$Z549-5200)),"")))))</f>
        <v/>
      </c>
      <c r="C549" s="37" t="str">
        <f>IF($Z549="","",IF($Z549&lt;=2000,IF(INDEX(包装物料出入库明细!$D$4:$D$2003,$Z549-0)=0,"",INDEX(包装物料出入库明细!$D$4:$D$2003,$Z549-0)),IF($Z549&lt;=4000,IF(INDEX(周转筐出入库明细!$C$4:$C$2004,$Z549-2000)=0,"",INDEX(周转筐出入库明细!$C$4:$C$2004,$Z549-2000)),IF($Z549&lt;=5200,IF(INDEX(客户自备加工筐明细!$E$4:$E$1203,$Z549-4000)=0,"",INDEX(客户自备加工筐明细!$E$4:$E$1203,$Z549-4000)),IF($Z549&lt;=5800,IF(INDEX(次果筐明细!$C$4:$C$603,$Z549-5200)=0,"",INDEX(次果筐明细!$C$4:$C$603,$Z549-5200)),"")))))</f>
        <v/>
      </c>
      <c r="D549" s="37" t="str">
        <f>IF($Z549="","",IF($Z549&lt;=2000,"包装物料－"&amp;INDEX(包装物料出入库明细!$H$4:$H$2003,$Z549-0),IF($Z549&lt;=4000,"周转筐－"&amp;INDEX(周转筐出入库明细!$F$4:$F$2004,$Z549-2000),IF($Z549&lt;=5200,"客户自备筐－"&amp;INDEX(客户自备加工筐明细!$J$4:$J$1203,$Z549-4000),IF($Z549&lt;=5800,"次果筐/托盘－"&amp;INDEX(次果筐明细!$F$4:$F$603,$Z549-5200),"")))))</f>
        <v/>
      </c>
      <c r="E549" s="24" t="str">
        <f>IF($Z549="","",IF($Z549&lt;=2000,IF(INDEX(包装物料出入库明细!$C$4:$C$2003,$Z549-0)=0,"",INDEX(包装物料出入库明细!$C$4:$C$2003,$Z549-0)),IF($Z549&lt;=4000,IF(INDEX(周转筐出入库明细!$E$4:$E$2004,$Z549-2000)=0,"",INDEX(周转筐出入库明细!$E$4:$E$2004,$Z549-2000)),IF($Z549&lt;=5200,IF(INDEX(客户自备加工筐明细!$D$4:$D$1203,$Z549-4000)=0,"",INDEX(客户自备加工筐明细!$D$4:$D$1203,$Z549-4000)),IF($Z549&lt;=5800,IF(INDEX(次果筐明细!$E$4:$E$603,$Z549-5200)=0,"",INDEX(次果筐明细!$E$4:$E$603,$Z549-5200)),"")))))</f>
        <v/>
      </c>
      <c r="F549" s="24" t="str">
        <f>IF($Z549="","",IF($Z549&lt;=2000,IF(INDEX(包装物料出入库明细!$E$4:$E$2003,$Z549-0)=0,"",INDEX(包装物料出入库明细!$E$4:$E$2003,$Z549-0)),IF($Z549&lt;=4000,IF(INDEX(周转筐出入库明细!$D$4:$D$2004,$Z549-2000)=0,"",INDEX(周转筐出入库明细!$D$4:$D$2004,$Z549-2000)),IF($Z549&lt;=5200,IF(INDEX(客户自备加工筐明细!$C$4:$C$1203,$Z549-4000)=0,"",INDEX(客户自备加工筐明细!$C$4:$C$1203,$Z549-4000)),IF($Z549&lt;=5800,IF(INDEX(次果筐明细!$D$4:$D$603,$Z549-5200)=0,"",INDEX(次果筐明细!$D$4:$D$603,$Z549-5200)),"")))))</f>
        <v/>
      </c>
      <c r="G549" s="24" t="str">
        <f>IF($Z549="","",IF($Z549&lt;=2000,IF(INDEX(包装物料出入库明细!$F$4:$F$2003,$Z549-0)=0,"",INDEX(包装物料出入库明细!$F$4:$F$2003,$Z549-0)),IF($Z549&lt;=4000,"",IF($Z549&lt;=5200,"",IF($Z549&lt;=5800,"","")))))</f>
        <v/>
      </c>
      <c r="H549" s="39" t="str">
        <f>IF($Z549="","",IF($Z549&lt;=2000,IF(INDEX(包装物料出入库明细!$L$4:$L$2003,$Z549-0)=0,"",INDEX(包装物料出入库明细!$L$4:$L$2003,$Z549-0)),IF($Z549&lt;=4000,N(INDEX(周转筐出入库明细!$H$4:$H$2004,$Z549-2000))+N(INDEX(周转筐出入库明细!$I$4:$I$2004,$Z549-2000))+N(INDEX(周转筐出入库明细!$J$4:$J$2004,$Z549-2000))+N(INDEX(周转筐出入库明细!$K$4:$K$2004,$Z549-2000)),IF($Z549&lt;=5200,N(INDEX(客户自备加工筐明细!$F$4:$F$1203,$Z549-4000))+N(INDEX(客户自备加工筐明细!$G$4:$G$1203,$Z549-4000)),IF($Z549&lt;=5800,IF(INDEX(次果筐明细!$G$4:$G$603,$Z549-5200)=0,"",INDEX(次果筐明细!$G$4:$G$603,$Z549-5200)),"")))))</f>
        <v/>
      </c>
      <c r="I549" s="24" t="str">
        <f>IF($Z549="","",IF($Z549&lt;=2000,IF(INDEX(包装物料出入库明细!$G$4:$G$2003,$Z549-0)=0,"",INDEX(包装物料出入库明细!$G$4:$G$2003,$Z549-0)),IF($Z549&lt;=4000,"个",IF($Z549&lt;=5200,"个",IF($Z549&lt;=5800,"个","")))))</f>
        <v/>
      </c>
      <c r="J549" s="30" t="str">
        <f t="shared" si="25"/>
        <v/>
      </c>
      <c r="K549" s="30" t="str">
        <f>IF($Z549="","",IF($Z549&lt;=2000,IF(INDEX(包装物料出入库明细!$N$4:$N$2003,$Z549-0)=0,"",INDEX(包装物料出入库明细!$N$4:$N$2003,$Z549-0)),IF($Z549&lt;=4000,IF(INDEX(周转筐出入库明细!$P$4:$P$2004,$Z549-2000)=0,"",INDEX(周转筐出入库明细!$P$4:$P$2004,$Z549-2000)),IF($Z549&lt;=5200,"",IF($Z549&lt;=5800,N(INDEX(次果筐明细!$L$4:$L$603,$Z549-5200))+N(INDEX(次果筐明细!$J$4:$J$603,$Z549-5200)),"")))))</f>
        <v/>
      </c>
      <c r="L549" s="24" t="str">
        <f>IF($Z549="","",IF($Z549&lt;=2000,IF(INDEX(包装物料出入库明细!$P$4:$P$2003,$Z549-0)=0,"",INDEX(包装物料出入库明细!$P$4:$P$2003,$Z549-0)),IF($Z549&lt;=4000,IF(INDEX(周转筐出入库明细!$Q$4:$Q$2004,$Z549-2000)=0,"",INDEX(周转筐出入库明细!$Q$4:$Q$2004,$Z549-2000)),IF($Z549&lt;=5200,"",IF($Z549&lt;=5800,IF(INDEX(次果筐明细!$M$4:$M$603,$Z549-5200)=0,"",INDEX(次果筐明细!$M$4:$M$603,$Z549-5200)),"")))))</f>
        <v/>
      </c>
      <c r="M549" s="37" t="str">
        <f>IF($Z549="","",IF($Z549&lt;=2000,IF(INDEX(包装物料出入库明细!$R$4:$R$2003,$Z549-0)=0,"",INDEX(包装物料出入库明细!$R$4:$R$2003,$Z549-0)),IF($Z549&lt;=4000,IF(INDEX(周转筐出入库明细!$W$4:$W$2004,$Z549-2000)=0,"",INDEX(周转筐出入库明细!$W$4:$W$2004,$Z549-2000)),IF($Z549&lt;=5200,IF(INDEX(客户自备加工筐明细!$L$4:$L$1203,$Z549-4000)=0,"",INDEX(客户自备加工筐明细!$L$4:$L$1203,$Z549-4000)),IF($Z549&lt;=5800,IF(INDEX(次果筐明细!$P$4:$P$603,$Z549-5200)=0,"",INDEX(次果筐明细!$P$4:$P$603,$Z549-5200)),"")))))</f>
        <v/>
      </c>
      <c r="N549" s="16" t="str">
        <f>IF($Z549="","",IF($Z549&lt;=2000,"",IF($Z549&lt;=4000,IF(INDEX(周转筐出入库明细!$D$4:$D$2004,$Z549-2000)=0,"",INDEX(周转筐出入库明细!$D$4:$D$2004,$Z549-2000)),IF($Z549&lt;=5200,IF(INDEX(客户自备加工筐明细!$C$4:$C$1203,$Z549-4000)=0,"",INDEX(客户自备加工筐明细!$C$4:$C$1203,$Z549-4000)),IF($Z549&lt;=5800,IF(INDEX(次果筐明细!$D$4:$D$603,$Z549-5200)=0,"",INDEX(次果筐明细!$D$4:$D$603,$Z549-5200)),"")))))</f>
        <v/>
      </c>
      <c r="O549" s="40" t="str">
        <f>IF($Z549="","",IF($Z549&lt;=2000,"",IF($Z549&lt;=4000,IF(N(INDEX(周转筐出入库明细!$J$4:$J$2004,$Z549-2000))+N(INDEX(周转筐出入库明细!$K$4:$K$2004,$Z549-2000))=0,"",N(INDEX(周转筐出入库明细!$J$4:$J$2004,$Z549-2000))+N(INDEX(周转筐出入库明细!$K$4:$K$2004,$Z549-2000))),IF($Z549&lt;=5200,IF(N(INDEX(客户自备加工筐明细!$G$4:$G$1203,$Z549-4000))=0,"",N(INDEX(客户自备加工筐明细!$G$4:$G$1203,$Z549-4000))),IF($Z549&lt;=5800,IF(ISNUMBER(SEARCH("退",INDEX(次果筐明细!$F$4:$F$603,$Z549-5200)&amp;"")),"",IF(N(INDEX(次果筐明细!$G$4:$G$603,$Z549-5200))=0,"",N(INDEX(次果筐明细!$G$4:$G$603,$Z549-5200)))),"")))))</f>
        <v/>
      </c>
      <c r="P549" s="40" t="str">
        <f>IF($Z549="","",IF($Z549&lt;=2000,"",IF($Z549&lt;=4000,IF(N(INDEX(周转筐出入库明细!$I$4:$I$2004,$Z549-2000))=0,"",N(INDEX(周转筐出入库明细!$I$4:$I$2004,$Z549-2000))),IF($Z549&lt;=5200,"",IF($Z549&lt;=5800,IF(ISNUMBER(SEARCH("退",INDEX(次果筐明细!$F$4:$F$603,$Z549-5200)&amp;"")),IF(N(INDEX(次果筐明细!$G$4:$G$603,$Z549-5200))=0,"",N(INDEX(次果筐明细!$G$4:$G$603,$Z549-5200))),""),"")))))</f>
        <v/>
      </c>
      <c r="Q549" s="40" t="str">
        <f>IF($Z549="","",IF($Z549&lt;=2000,"",IF($Z549&lt;=4000,IF(N(INDEX(周转筐出入库明细!$H$4:$H$2004,$Z549-2000))=0,"",N(INDEX(周转筐出入库明细!$H$4:$H$2004,$Z549-2000))),IF($Z549&lt;=5200,IF(N(INDEX(客户自备加工筐明细!$F$4:$F$1203,$Z549-4000))=0,"",N(INDEX(客户自备加工筐明细!$F$4:$F$1203,$Z549-4000))),IF($Z549&lt;=5800,"","")))))</f>
        <v/>
      </c>
      <c r="R549" s="16" t="str">
        <f>IF($Z549="","",IF($Z549&lt;=2000,IF(INDEX(包装物料出入库明细!$O$4:$O$2003,$Z549-0)=0,"",INDEX(包装物料出入库明细!$O$4:$O$2003,$Z549-0)),IF($Z549&lt;=4000,IF(INDEX(周转筐出入库明细!$M$4:$M$2004,$Z549-2000)=0,"",INDEX(周转筐出入库明细!$M$4:$M$2004,$Z549-2000)),IF($Z549&lt;=5200,IF(INDEX(客户自备加工筐明细!$H$4:$H$1203,$Z549-4000)=0,"",INDEX(客户自备加工筐明细!$H$4:$H$1203,$Z549-4000)),IF($Z549&lt;=5800,IF(INDEX(次果筐明细!$H$4:$H$603,$Z549-5200)=0,"",INDEX(次果筐明细!$H$4:$H$603,$Z549-5200)),"")))))</f>
        <v/>
      </c>
      <c r="S549" s="22" t="str">
        <f t="shared" si="26"/>
        <v/>
      </c>
      <c r="Z549" s="10" t="str">
        <f>IFERROR(MATCH(ROW()-3,_自动清单!$CQ$4:$CQ$5803,0),"")</f>
        <v/>
      </c>
    </row>
    <row r="550" spans="1:26">
      <c r="A550" s="24" t="str">
        <f t="shared" si="24"/>
        <v/>
      </c>
      <c r="B550" s="38" t="str">
        <f>IF($Z550="","",IF($Z550&lt;=2000,IF(INDEX(包装物料出入库明细!$B$4:$B$2003,$Z550-0)=0,"",INDEX(包装物料出入库明细!$B$4:$B$2003,$Z550-0)),IF($Z550&lt;=4000,IF(INDEX(周转筐出入库明细!$B$4:$B$2004,$Z550-2000)=0,"",INDEX(周转筐出入库明细!$B$4:$B$2004,$Z550-2000)),IF($Z550&lt;=5200,IF(INDEX(客户自备加工筐明细!$B$4:$B$1203,$Z550-4000)=0,"",INDEX(客户自备加工筐明细!$B$4:$B$1203,$Z550-4000)),IF($Z550&lt;=5800,IF(INDEX(次果筐明细!$B$4:$B$603,$Z550-5200)=0,"",INDEX(次果筐明细!$B$4:$B$603,$Z550-5200)),"")))))</f>
        <v/>
      </c>
      <c r="C550" s="37" t="str">
        <f>IF($Z550="","",IF($Z550&lt;=2000,IF(INDEX(包装物料出入库明细!$D$4:$D$2003,$Z550-0)=0,"",INDEX(包装物料出入库明细!$D$4:$D$2003,$Z550-0)),IF($Z550&lt;=4000,IF(INDEX(周转筐出入库明细!$C$4:$C$2004,$Z550-2000)=0,"",INDEX(周转筐出入库明细!$C$4:$C$2004,$Z550-2000)),IF($Z550&lt;=5200,IF(INDEX(客户自备加工筐明细!$E$4:$E$1203,$Z550-4000)=0,"",INDEX(客户自备加工筐明细!$E$4:$E$1203,$Z550-4000)),IF($Z550&lt;=5800,IF(INDEX(次果筐明细!$C$4:$C$603,$Z550-5200)=0,"",INDEX(次果筐明细!$C$4:$C$603,$Z550-5200)),"")))))</f>
        <v/>
      </c>
      <c r="D550" s="37" t="str">
        <f>IF($Z550="","",IF($Z550&lt;=2000,"包装物料－"&amp;INDEX(包装物料出入库明细!$H$4:$H$2003,$Z550-0),IF($Z550&lt;=4000,"周转筐－"&amp;INDEX(周转筐出入库明细!$F$4:$F$2004,$Z550-2000),IF($Z550&lt;=5200,"客户自备筐－"&amp;INDEX(客户自备加工筐明细!$J$4:$J$1203,$Z550-4000),IF($Z550&lt;=5800,"次果筐/托盘－"&amp;INDEX(次果筐明细!$F$4:$F$603,$Z550-5200),"")))))</f>
        <v/>
      </c>
      <c r="E550" s="24" t="str">
        <f>IF($Z550="","",IF($Z550&lt;=2000,IF(INDEX(包装物料出入库明细!$C$4:$C$2003,$Z550-0)=0,"",INDEX(包装物料出入库明细!$C$4:$C$2003,$Z550-0)),IF($Z550&lt;=4000,IF(INDEX(周转筐出入库明细!$E$4:$E$2004,$Z550-2000)=0,"",INDEX(周转筐出入库明细!$E$4:$E$2004,$Z550-2000)),IF($Z550&lt;=5200,IF(INDEX(客户自备加工筐明细!$D$4:$D$1203,$Z550-4000)=0,"",INDEX(客户自备加工筐明细!$D$4:$D$1203,$Z550-4000)),IF($Z550&lt;=5800,IF(INDEX(次果筐明细!$E$4:$E$603,$Z550-5200)=0,"",INDEX(次果筐明细!$E$4:$E$603,$Z550-5200)),"")))))</f>
        <v/>
      </c>
      <c r="F550" s="24" t="str">
        <f>IF($Z550="","",IF($Z550&lt;=2000,IF(INDEX(包装物料出入库明细!$E$4:$E$2003,$Z550-0)=0,"",INDEX(包装物料出入库明细!$E$4:$E$2003,$Z550-0)),IF($Z550&lt;=4000,IF(INDEX(周转筐出入库明细!$D$4:$D$2004,$Z550-2000)=0,"",INDEX(周转筐出入库明细!$D$4:$D$2004,$Z550-2000)),IF($Z550&lt;=5200,IF(INDEX(客户自备加工筐明细!$C$4:$C$1203,$Z550-4000)=0,"",INDEX(客户自备加工筐明细!$C$4:$C$1203,$Z550-4000)),IF($Z550&lt;=5800,IF(INDEX(次果筐明细!$D$4:$D$603,$Z550-5200)=0,"",INDEX(次果筐明细!$D$4:$D$603,$Z550-5200)),"")))))</f>
        <v/>
      </c>
      <c r="G550" s="24" t="str">
        <f>IF($Z550="","",IF($Z550&lt;=2000,IF(INDEX(包装物料出入库明细!$F$4:$F$2003,$Z550-0)=0,"",INDEX(包装物料出入库明细!$F$4:$F$2003,$Z550-0)),IF($Z550&lt;=4000,"",IF($Z550&lt;=5200,"",IF($Z550&lt;=5800,"","")))))</f>
        <v/>
      </c>
      <c r="H550" s="39" t="str">
        <f>IF($Z550="","",IF($Z550&lt;=2000,IF(INDEX(包装物料出入库明细!$L$4:$L$2003,$Z550-0)=0,"",INDEX(包装物料出入库明细!$L$4:$L$2003,$Z550-0)),IF($Z550&lt;=4000,N(INDEX(周转筐出入库明细!$H$4:$H$2004,$Z550-2000))+N(INDEX(周转筐出入库明细!$I$4:$I$2004,$Z550-2000))+N(INDEX(周转筐出入库明细!$J$4:$J$2004,$Z550-2000))+N(INDEX(周转筐出入库明细!$K$4:$K$2004,$Z550-2000)),IF($Z550&lt;=5200,N(INDEX(客户自备加工筐明细!$F$4:$F$1203,$Z550-4000))+N(INDEX(客户自备加工筐明细!$G$4:$G$1203,$Z550-4000)),IF($Z550&lt;=5800,IF(INDEX(次果筐明细!$G$4:$G$603,$Z550-5200)=0,"",INDEX(次果筐明细!$G$4:$G$603,$Z550-5200)),"")))))</f>
        <v/>
      </c>
      <c r="I550" s="24" t="str">
        <f>IF($Z550="","",IF($Z550&lt;=2000,IF(INDEX(包装物料出入库明细!$G$4:$G$2003,$Z550-0)=0,"",INDEX(包装物料出入库明细!$G$4:$G$2003,$Z550-0)),IF($Z550&lt;=4000,"个",IF($Z550&lt;=5200,"个",IF($Z550&lt;=5800,"个","")))))</f>
        <v/>
      </c>
      <c r="J550" s="30" t="str">
        <f t="shared" si="25"/>
        <v/>
      </c>
      <c r="K550" s="30" t="str">
        <f>IF($Z550="","",IF($Z550&lt;=2000,IF(INDEX(包装物料出入库明细!$N$4:$N$2003,$Z550-0)=0,"",INDEX(包装物料出入库明细!$N$4:$N$2003,$Z550-0)),IF($Z550&lt;=4000,IF(INDEX(周转筐出入库明细!$P$4:$P$2004,$Z550-2000)=0,"",INDEX(周转筐出入库明细!$P$4:$P$2004,$Z550-2000)),IF($Z550&lt;=5200,"",IF($Z550&lt;=5800,N(INDEX(次果筐明细!$L$4:$L$603,$Z550-5200))+N(INDEX(次果筐明细!$J$4:$J$603,$Z550-5200)),"")))))</f>
        <v/>
      </c>
      <c r="L550" s="24" t="str">
        <f>IF($Z550="","",IF($Z550&lt;=2000,IF(INDEX(包装物料出入库明细!$P$4:$P$2003,$Z550-0)=0,"",INDEX(包装物料出入库明细!$P$4:$P$2003,$Z550-0)),IF($Z550&lt;=4000,IF(INDEX(周转筐出入库明细!$Q$4:$Q$2004,$Z550-2000)=0,"",INDEX(周转筐出入库明细!$Q$4:$Q$2004,$Z550-2000)),IF($Z550&lt;=5200,"",IF($Z550&lt;=5800,IF(INDEX(次果筐明细!$M$4:$M$603,$Z550-5200)=0,"",INDEX(次果筐明细!$M$4:$M$603,$Z550-5200)),"")))))</f>
        <v/>
      </c>
      <c r="M550" s="37" t="str">
        <f>IF($Z550="","",IF($Z550&lt;=2000,IF(INDEX(包装物料出入库明细!$R$4:$R$2003,$Z550-0)=0,"",INDEX(包装物料出入库明细!$R$4:$R$2003,$Z550-0)),IF($Z550&lt;=4000,IF(INDEX(周转筐出入库明细!$W$4:$W$2004,$Z550-2000)=0,"",INDEX(周转筐出入库明细!$W$4:$W$2004,$Z550-2000)),IF($Z550&lt;=5200,IF(INDEX(客户自备加工筐明细!$L$4:$L$1203,$Z550-4000)=0,"",INDEX(客户自备加工筐明细!$L$4:$L$1203,$Z550-4000)),IF($Z550&lt;=5800,IF(INDEX(次果筐明细!$P$4:$P$603,$Z550-5200)=0,"",INDEX(次果筐明细!$P$4:$P$603,$Z550-5200)),"")))))</f>
        <v/>
      </c>
      <c r="N550" s="16" t="str">
        <f>IF($Z550="","",IF($Z550&lt;=2000,"",IF($Z550&lt;=4000,IF(INDEX(周转筐出入库明细!$D$4:$D$2004,$Z550-2000)=0,"",INDEX(周转筐出入库明细!$D$4:$D$2004,$Z550-2000)),IF($Z550&lt;=5200,IF(INDEX(客户自备加工筐明细!$C$4:$C$1203,$Z550-4000)=0,"",INDEX(客户自备加工筐明细!$C$4:$C$1203,$Z550-4000)),IF($Z550&lt;=5800,IF(INDEX(次果筐明细!$D$4:$D$603,$Z550-5200)=0,"",INDEX(次果筐明细!$D$4:$D$603,$Z550-5200)),"")))))</f>
        <v/>
      </c>
      <c r="O550" s="40" t="str">
        <f>IF($Z550="","",IF($Z550&lt;=2000,"",IF($Z550&lt;=4000,IF(N(INDEX(周转筐出入库明细!$J$4:$J$2004,$Z550-2000))+N(INDEX(周转筐出入库明细!$K$4:$K$2004,$Z550-2000))=0,"",N(INDEX(周转筐出入库明细!$J$4:$J$2004,$Z550-2000))+N(INDEX(周转筐出入库明细!$K$4:$K$2004,$Z550-2000))),IF($Z550&lt;=5200,IF(N(INDEX(客户自备加工筐明细!$G$4:$G$1203,$Z550-4000))=0,"",N(INDEX(客户自备加工筐明细!$G$4:$G$1203,$Z550-4000))),IF($Z550&lt;=5800,IF(ISNUMBER(SEARCH("退",INDEX(次果筐明细!$F$4:$F$603,$Z550-5200)&amp;"")),"",IF(N(INDEX(次果筐明细!$G$4:$G$603,$Z550-5200))=0,"",N(INDEX(次果筐明细!$G$4:$G$603,$Z550-5200)))),"")))))</f>
        <v/>
      </c>
      <c r="P550" s="40" t="str">
        <f>IF($Z550="","",IF($Z550&lt;=2000,"",IF($Z550&lt;=4000,IF(N(INDEX(周转筐出入库明细!$I$4:$I$2004,$Z550-2000))=0,"",N(INDEX(周转筐出入库明细!$I$4:$I$2004,$Z550-2000))),IF($Z550&lt;=5200,"",IF($Z550&lt;=5800,IF(ISNUMBER(SEARCH("退",INDEX(次果筐明细!$F$4:$F$603,$Z550-5200)&amp;"")),IF(N(INDEX(次果筐明细!$G$4:$G$603,$Z550-5200))=0,"",N(INDEX(次果筐明细!$G$4:$G$603,$Z550-5200))),""),"")))))</f>
        <v/>
      </c>
      <c r="Q550" s="40" t="str">
        <f>IF($Z550="","",IF($Z550&lt;=2000,"",IF($Z550&lt;=4000,IF(N(INDEX(周转筐出入库明细!$H$4:$H$2004,$Z550-2000))=0,"",N(INDEX(周转筐出入库明细!$H$4:$H$2004,$Z550-2000))),IF($Z550&lt;=5200,IF(N(INDEX(客户自备加工筐明细!$F$4:$F$1203,$Z550-4000))=0,"",N(INDEX(客户自备加工筐明细!$F$4:$F$1203,$Z550-4000))),IF($Z550&lt;=5800,"","")))))</f>
        <v/>
      </c>
      <c r="R550" s="16" t="str">
        <f>IF($Z550="","",IF($Z550&lt;=2000,IF(INDEX(包装物料出入库明细!$O$4:$O$2003,$Z550-0)=0,"",INDEX(包装物料出入库明细!$O$4:$O$2003,$Z550-0)),IF($Z550&lt;=4000,IF(INDEX(周转筐出入库明细!$M$4:$M$2004,$Z550-2000)=0,"",INDEX(周转筐出入库明细!$M$4:$M$2004,$Z550-2000)),IF($Z550&lt;=5200,IF(INDEX(客户自备加工筐明细!$H$4:$H$1203,$Z550-4000)=0,"",INDEX(客户自备加工筐明细!$H$4:$H$1203,$Z550-4000)),IF($Z550&lt;=5800,IF(INDEX(次果筐明细!$H$4:$H$603,$Z550-5200)=0,"",INDEX(次果筐明细!$H$4:$H$603,$Z550-5200)),"")))))</f>
        <v/>
      </c>
      <c r="S550" s="22" t="str">
        <f t="shared" si="26"/>
        <v/>
      </c>
      <c r="Z550" s="10" t="str">
        <f>IFERROR(MATCH(ROW()-3,_自动清单!$CQ$4:$CQ$5803,0),"")</f>
        <v/>
      </c>
    </row>
    <row r="551" spans="1:26">
      <c r="A551" s="24" t="str">
        <f t="shared" si="24"/>
        <v/>
      </c>
      <c r="B551" s="38" t="str">
        <f>IF($Z551="","",IF($Z551&lt;=2000,IF(INDEX(包装物料出入库明细!$B$4:$B$2003,$Z551-0)=0,"",INDEX(包装物料出入库明细!$B$4:$B$2003,$Z551-0)),IF($Z551&lt;=4000,IF(INDEX(周转筐出入库明细!$B$4:$B$2004,$Z551-2000)=0,"",INDEX(周转筐出入库明细!$B$4:$B$2004,$Z551-2000)),IF($Z551&lt;=5200,IF(INDEX(客户自备加工筐明细!$B$4:$B$1203,$Z551-4000)=0,"",INDEX(客户自备加工筐明细!$B$4:$B$1203,$Z551-4000)),IF($Z551&lt;=5800,IF(INDEX(次果筐明细!$B$4:$B$603,$Z551-5200)=0,"",INDEX(次果筐明细!$B$4:$B$603,$Z551-5200)),"")))))</f>
        <v/>
      </c>
      <c r="C551" s="37" t="str">
        <f>IF($Z551="","",IF($Z551&lt;=2000,IF(INDEX(包装物料出入库明细!$D$4:$D$2003,$Z551-0)=0,"",INDEX(包装物料出入库明细!$D$4:$D$2003,$Z551-0)),IF($Z551&lt;=4000,IF(INDEX(周转筐出入库明细!$C$4:$C$2004,$Z551-2000)=0,"",INDEX(周转筐出入库明细!$C$4:$C$2004,$Z551-2000)),IF($Z551&lt;=5200,IF(INDEX(客户自备加工筐明细!$E$4:$E$1203,$Z551-4000)=0,"",INDEX(客户自备加工筐明细!$E$4:$E$1203,$Z551-4000)),IF($Z551&lt;=5800,IF(INDEX(次果筐明细!$C$4:$C$603,$Z551-5200)=0,"",INDEX(次果筐明细!$C$4:$C$603,$Z551-5200)),"")))))</f>
        <v/>
      </c>
      <c r="D551" s="37" t="str">
        <f>IF($Z551="","",IF($Z551&lt;=2000,"包装物料－"&amp;INDEX(包装物料出入库明细!$H$4:$H$2003,$Z551-0),IF($Z551&lt;=4000,"周转筐－"&amp;INDEX(周转筐出入库明细!$F$4:$F$2004,$Z551-2000),IF($Z551&lt;=5200,"客户自备筐－"&amp;INDEX(客户自备加工筐明细!$J$4:$J$1203,$Z551-4000),IF($Z551&lt;=5800,"次果筐/托盘－"&amp;INDEX(次果筐明细!$F$4:$F$603,$Z551-5200),"")))))</f>
        <v/>
      </c>
      <c r="E551" s="24" t="str">
        <f>IF($Z551="","",IF($Z551&lt;=2000,IF(INDEX(包装物料出入库明细!$C$4:$C$2003,$Z551-0)=0,"",INDEX(包装物料出入库明细!$C$4:$C$2003,$Z551-0)),IF($Z551&lt;=4000,IF(INDEX(周转筐出入库明细!$E$4:$E$2004,$Z551-2000)=0,"",INDEX(周转筐出入库明细!$E$4:$E$2004,$Z551-2000)),IF($Z551&lt;=5200,IF(INDEX(客户自备加工筐明细!$D$4:$D$1203,$Z551-4000)=0,"",INDEX(客户自备加工筐明细!$D$4:$D$1203,$Z551-4000)),IF($Z551&lt;=5800,IF(INDEX(次果筐明细!$E$4:$E$603,$Z551-5200)=0,"",INDEX(次果筐明细!$E$4:$E$603,$Z551-5200)),"")))))</f>
        <v/>
      </c>
      <c r="F551" s="24" t="str">
        <f>IF($Z551="","",IF($Z551&lt;=2000,IF(INDEX(包装物料出入库明细!$E$4:$E$2003,$Z551-0)=0,"",INDEX(包装物料出入库明细!$E$4:$E$2003,$Z551-0)),IF($Z551&lt;=4000,IF(INDEX(周转筐出入库明细!$D$4:$D$2004,$Z551-2000)=0,"",INDEX(周转筐出入库明细!$D$4:$D$2004,$Z551-2000)),IF($Z551&lt;=5200,IF(INDEX(客户自备加工筐明细!$C$4:$C$1203,$Z551-4000)=0,"",INDEX(客户自备加工筐明细!$C$4:$C$1203,$Z551-4000)),IF($Z551&lt;=5800,IF(INDEX(次果筐明细!$D$4:$D$603,$Z551-5200)=0,"",INDEX(次果筐明细!$D$4:$D$603,$Z551-5200)),"")))))</f>
        <v/>
      </c>
      <c r="G551" s="24" t="str">
        <f>IF($Z551="","",IF($Z551&lt;=2000,IF(INDEX(包装物料出入库明细!$F$4:$F$2003,$Z551-0)=0,"",INDEX(包装物料出入库明细!$F$4:$F$2003,$Z551-0)),IF($Z551&lt;=4000,"",IF($Z551&lt;=5200,"",IF($Z551&lt;=5800,"","")))))</f>
        <v/>
      </c>
      <c r="H551" s="39" t="str">
        <f>IF($Z551="","",IF($Z551&lt;=2000,IF(INDEX(包装物料出入库明细!$L$4:$L$2003,$Z551-0)=0,"",INDEX(包装物料出入库明细!$L$4:$L$2003,$Z551-0)),IF($Z551&lt;=4000,N(INDEX(周转筐出入库明细!$H$4:$H$2004,$Z551-2000))+N(INDEX(周转筐出入库明细!$I$4:$I$2004,$Z551-2000))+N(INDEX(周转筐出入库明细!$J$4:$J$2004,$Z551-2000))+N(INDEX(周转筐出入库明细!$K$4:$K$2004,$Z551-2000)),IF($Z551&lt;=5200,N(INDEX(客户自备加工筐明细!$F$4:$F$1203,$Z551-4000))+N(INDEX(客户自备加工筐明细!$G$4:$G$1203,$Z551-4000)),IF($Z551&lt;=5800,IF(INDEX(次果筐明细!$G$4:$G$603,$Z551-5200)=0,"",INDEX(次果筐明细!$G$4:$G$603,$Z551-5200)),"")))))</f>
        <v/>
      </c>
      <c r="I551" s="24" t="str">
        <f>IF($Z551="","",IF($Z551&lt;=2000,IF(INDEX(包装物料出入库明细!$G$4:$G$2003,$Z551-0)=0,"",INDEX(包装物料出入库明细!$G$4:$G$2003,$Z551-0)),IF($Z551&lt;=4000,"个",IF($Z551&lt;=5200,"个",IF($Z551&lt;=5800,"个","")))))</f>
        <v/>
      </c>
      <c r="J551" s="30" t="str">
        <f t="shared" si="25"/>
        <v/>
      </c>
      <c r="K551" s="30" t="str">
        <f>IF($Z551="","",IF($Z551&lt;=2000,IF(INDEX(包装物料出入库明细!$N$4:$N$2003,$Z551-0)=0,"",INDEX(包装物料出入库明细!$N$4:$N$2003,$Z551-0)),IF($Z551&lt;=4000,IF(INDEX(周转筐出入库明细!$P$4:$P$2004,$Z551-2000)=0,"",INDEX(周转筐出入库明细!$P$4:$P$2004,$Z551-2000)),IF($Z551&lt;=5200,"",IF($Z551&lt;=5800,N(INDEX(次果筐明细!$L$4:$L$603,$Z551-5200))+N(INDEX(次果筐明细!$J$4:$J$603,$Z551-5200)),"")))))</f>
        <v/>
      </c>
      <c r="L551" s="24" t="str">
        <f>IF($Z551="","",IF($Z551&lt;=2000,IF(INDEX(包装物料出入库明细!$P$4:$P$2003,$Z551-0)=0,"",INDEX(包装物料出入库明细!$P$4:$P$2003,$Z551-0)),IF($Z551&lt;=4000,IF(INDEX(周转筐出入库明细!$Q$4:$Q$2004,$Z551-2000)=0,"",INDEX(周转筐出入库明细!$Q$4:$Q$2004,$Z551-2000)),IF($Z551&lt;=5200,"",IF($Z551&lt;=5800,IF(INDEX(次果筐明细!$M$4:$M$603,$Z551-5200)=0,"",INDEX(次果筐明细!$M$4:$M$603,$Z551-5200)),"")))))</f>
        <v/>
      </c>
      <c r="M551" s="37" t="str">
        <f>IF($Z551="","",IF($Z551&lt;=2000,IF(INDEX(包装物料出入库明细!$R$4:$R$2003,$Z551-0)=0,"",INDEX(包装物料出入库明细!$R$4:$R$2003,$Z551-0)),IF($Z551&lt;=4000,IF(INDEX(周转筐出入库明细!$W$4:$W$2004,$Z551-2000)=0,"",INDEX(周转筐出入库明细!$W$4:$W$2004,$Z551-2000)),IF($Z551&lt;=5200,IF(INDEX(客户自备加工筐明细!$L$4:$L$1203,$Z551-4000)=0,"",INDEX(客户自备加工筐明细!$L$4:$L$1203,$Z551-4000)),IF($Z551&lt;=5800,IF(INDEX(次果筐明细!$P$4:$P$603,$Z551-5200)=0,"",INDEX(次果筐明细!$P$4:$P$603,$Z551-5200)),"")))))</f>
        <v/>
      </c>
      <c r="N551" s="16" t="str">
        <f>IF($Z551="","",IF($Z551&lt;=2000,"",IF($Z551&lt;=4000,IF(INDEX(周转筐出入库明细!$D$4:$D$2004,$Z551-2000)=0,"",INDEX(周转筐出入库明细!$D$4:$D$2004,$Z551-2000)),IF($Z551&lt;=5200,IF(INDEX(客户自备加工筐明细!$C$4:$C$1203,$Z551-4000)=0,"",INDEX(客户自备加工筐明细!$C$4:$C$1203,$Z551-4000)),IF($Z551&lt;=5800,IF(INDEX(次果筐明细!$D$4:$D$603,$Z551-5200)=0,"",INDEX(次果筐明细!$D$4:$D$603,$Z551-5200)),"")))))</f>
        <v/>
      </c>
      <c r="O551" s="40" t="str">
        <f>IF($Z551="","",IF($Z551&lt;=2000,"",IF($Z551&lt;=4000,IF(N(INDEX(周转筐出入库明细!$J$4:$J$2004,$Z551-2000))+N(INDEX(周转筐出入库明细!$K$4:$K$2004,$Z551-2000))=0,"",N(INDEX(周转筐出入库明细!$J$4:$J$2004,$Z551-2000))+N(INDEX(周转筐出入库明细!$K$4:$K$2004,$Z551-2000))),IF($Z551&lt;=5200,IF(N(INDEX(客户自备加工筐明细!$G$4:$G$1203,$Z551-4000))=0,"",N(INDEX(客户自备加工筐明细!$G$4:$G$1203,$Z551-4000))),IF($Z551&lt;=5800,IF(ISNUMBER(SEARCH("退",INDEX(次果筐明细!$F$4:$F$603,$Z551-5200)&amp;"")),"",IF(N(INDEX(次果筐明细!$G$4:$G$603,$Z551-5200))=0,"",N(INDEX(次果筐明细!$G$4:$G$603,$Z551-5200)))),"")))))</f>
        <v/>
      </c>
      <c r="P551" s="40" t="str">
        <f>IF($Z551="","",IF($Z551&lt;=2000,"",IF($Z551&lt;=4000,IF(N(INDEX(周转筐出入库明细!$I$4:$I$2004,$Z551-2000))=0,"",N(INDEX(周转筐出入库明细!$I$4:$I$2004,$Z551-2000))),IF($Z551&lt;=5200,"",IF($Z551&lt;=5800,IF(ISNUMBER(SEARCH("退",INDEX(次果筐明细!$F$4:$F$603,$Z551-5200)&amp;"")),IF(N(INDEX(次果筐明细!$G$4:$G$603,$Z551-5200))=0,"",N(INDEX(次果筐明细!$G$4:$G$603,$Z551-5200))),""),"")))))</f>
        <v/>
      </c>
      <c r="Q551" s="40" t="str">
        <f>IF($Z551="","",IF($Z551&lt;=2000,"",IF($Z551&lt;=4000,IF(N(INDEX(周转筐出入库明细!$H$4:$H$2004,$Z551-2000))=0,"",N(INDEX(周转筐出入库明细!$H$4:$H$2004,$Z551-2000))),IF($Z551&lt;=5200,IF(N(INDEX(客户自备加工筐明细!$F$4:$F$1203,$Z551-4000))=0,"",N(INDEX(客户自备加工筐明细!$F$4:$F$1203,$Z551-4000))),IF($Z551&lt;=5800,"","")))))</f>
        <v/>
      </c>
      <c r="R551" s="16" t="str">
        <f>IF($Z551="","",IF($Z551&lt;=2000,IF(INDEX(包装物料出入库明细!$O$4:$O$2003,$Z551-0)=0,"",INDEX(包装物料出入库明细!$O$4:$O$2003,$Z551-0)),IF($Z551&lt;=4000,IF(INDEX(周转筐出入库明细!$M$4:$M$2004,$Z551-2000)=0,"",INDEX(周转筐出入库明细!$M$4:$M$2004,$Z551-2000)),IF($Z551&lt;=5200,IF(INDEX(客户自备加工筐明细!$H$4:$H$1203,$Z551-4000)=0,"",INDEX(客户自备加工筐明细!$H$4:$H$1203,$Z551-4000)),IF($Z551&lt;=5800,IF(INDEX(次果筐明细!$H$4:$H$603,$Z551-5200)=0,"",INDEX(次果筐明细!$H$4:$H$603,$Z551-5200)),"")))))</f>
        <v/>
      </c>
      <c r="S551" s="22" t="str">
        <f t="shared" si="26"/>
        <v/>
      </c>
      <c r="Z551" s="10" t="str">
        <f>IFERROR(MATCH(ROW()-3,_自动清单!$CQ$4:$CQ$5803,0),"")</f>
        <v/>
      </c>
    </row>
    <row r="552" spans="1:26">
      <c r="A552" s="24" t="str">
        <f t="shared" si="24"/>
        <v/>
      </c>
      <c r="B552" s="38" t="str">
        <f>IF($Z552="","",IF($Z552&lt;=2000,IF(INDEX(包装物料出入库明细!$B$4:$B$2003,$Z552-0)=0,"",INDEX(包装物料出入库明细!$B$4:$B$2003,$Z552-0)),IF($Z552&lt;=4000,IF(INDEX(周转筐出入库明细!$B$4:$B$2004,$Z552-2000)=0,"",INDEX(周转筐出入库明细!$B$4:$B$2004,$Z552-2000)),IF($Z552&lt;=5200,IF(INDEX(客户自备加工筐明细!$B$4:$B$1203,$Z552-4000)=0,"",INDEX(客户自备加工筐明细!$B$4:$B$1203,$Z552-4000)),IF($Z552&lt;=5800,IF(INDEX(次果筐明细!$B$4:$B$603,$Z552-5200)=0,"",INDEX(次果筐明细!$B$4:$B$603,$Z552-5200)),"")))))</f>
        <v/>
      </c>
      <c r="C552" s="37" t="str">
        <f>IF($Z552="","",IF($Z552&lt;=2000,IF(INDEX(包装物料出入库明细!$D$4:$D$2003,$Z552-0)=0,"",INDEX(包装物料出入库明细!$D$4:$D$2003,$Z552-0)),IF($Z552&lt;=4000,IF(INDEX(周转筐出入库明细!$C$4:$C$2004,$Z552-2000)=0,"",INDEX(周转筐出入库明细!$C$4:$C$2004,$Z552-2000)),IF($Z552&lt;=5200,IF(INDEX(客户自备加工筐明细!$E$4:$E$1203,$Z552-4000)=0,"",INDEX(客户自备加工筐明细!$E$4:$E$1203,$Z552-4000)),IF($Z552&lt;=5800,IF(INDEX(次果筐明细!$C$4:$C$603,$Z552-5200)=0,"",INDEX(次果筐明细!$C$4:$C$603,$Z552-5200)),"")))))</f>
        <v/>
      </c>
      <c r="D552" s="37" t="str">
        <f>IF($Z552="","",IF($Z552&lt;=2000,"包装物料－"&amp;INDEX(包装物料出入库明细!$H$4:$H$2003,$Z552-0),IF($Z552&lt;=4000,"周转筐－"&amp;INDEX(周转筐出入库明细!$F$4:$F$2004,$Z552-2000),IF($Z552&lt;=5200,"客户自备筐－"&amp;INDEX(客户自备加工筐明细!$J$4:$J$1203,$Z552-4000),IF($Z552&lt;=5800,"次果筐/托盘－"&amp;INDEX(次果筐明细!$F$4:$F$603,$Z552-5200),"")))))</f>
        <v/>
      </c>
      <c r="E552" s="24" t="str">
        <f>IF($Z552="","",IF($Z552&lt;=2000,IF(INDEX(包装物料出入库明细!$C$4:$C$2003,$Z552-0)=0,"",INDEX(包装物料出入库明细!$C$4:$C$2003,$Z552-0)),IF($Z552&lt;=4000,IF(INDEX(周转筐出入库明细!$E$4:$E$2004,$Z552-2000)=0,"",INDEX(周转筐出入库明细!$E$4:$E$2004,$Z552-2000)),IF($Z552&lt;=5200,IF(INDEX(客户自备加工筐明细!$D$4:$D$1203,$Z552-4000)=0,"",INDEX(客户自备加工筐明细!$D$4:$D$1203,$Z552-4000)),IF($Z552&lt;=5800,IF(INDEX(次果筐明细!$E$4:$E$603,$Z552-5200)=0,"",INDEX(次果筐明细!$E$4:$E$603,$Z552-5200)),"")))))</f>
        <v/>
      </c>
      <c r="F552" s="24" t="str">
        <f>IF($Z552="","",IF($Z552&lt;=2000,IF(INDEX(包装物料出入库明细!$E$4:$E$2003,$Z552-0)=0,"",INDEX(包装物料出入库明细!$E$4:$E$2003,$Z552-0)),IF($Z552&lt;=4000,IF(INDEX(周转筐出入库明细!$D$4:$D$2004,$Z552-2000)=0,"",INDEX(周转筐出入库明细!$D$4:$D$2004,$Z552-2000)),IF($Z552&lt;=5200,IF(INDEX(客户自备加工筐明细!$C$4:$C$1203,$Z552-4000)=0,"",INDEX(客户自备加工筐明细!$C$4:$C$1203,$Z552-4000)),IF($Z552&lt;=5800,IF(INDEX(次果筐明细!$D$4:$D$603,$Z552-5200)=0,"",INDEX(次果筐明细!$D$4:$D$603,$Z552-5200)),"")))))</f>
        <v/>
      </c>
      <c r="G552" s="24" t="str">
        <f>IF($Z552="","",IF($Z552&lt;=2000,IF(INDEX(包装物料出入库明细!$F$4:$F$2003,$Z552-0)=0,"",INDEX(包装物料出入库明细!$F$4:$F$2003,$Z552-0)),IF($Z552&lt;=4000,"",IF($Z552&lt;=5200,"",IF($Z552&lt;=5800,"","")))))</f>
        <v/>
      </c>
      <c r="H552" s="39" t="str">
        <f>IF($Z552="","",IF($Z552&lt;=2000,IF(INDEX(包装物料出入库明细!$L$4:$L$2003,$Z552-0)=0,"",INDEX(包装物料出入库明细!$L$4:$L$2003,$Z552-0)),IF($Z552&lt;=4000,N(INDEX(周转筐出入库明细!$H$4:$H$2004,$Z552-2000))+N(INDEX(周转筐出入库明细!$I$4:$I$2004,$Z552-2000))+N(INDEX(周转筐出入库明细!$J$4:$J$2004,$Z552-2000))+N(INDEX(周转筐出入库明细!$K$4:$K$2004,$Z552-2000)),IF($Z552&lt;=5200,N(INDEX(客户自备加工筐明细!$F$4:$F$1203,$Z552-4000))+N(INDEX(客户自备加工筐明细!$G$4:$G$1203,$Z552-4000)),IF($Z552&lt;=5800,IF(INDEX(次果筐明细!$G$4:$G$603,$Z552-5200)=0,"",INDEX(次果筐明细!$G$4:$G$603,$Z552-5200)),"")))))</f>
        <v/>
      </c>
      <c r="I552" s="24" t="str">
        <f>IF($Z552="","",IF($Z552&lt;=2000,IF(INDEX(包装物料出入库明细!$G$4:$G$2003,$Z552-0)=0,"",INDEX(包装物料出入库明细!$G$4:$G$2003,$Z552-0)),IF($Z552&lt;=4000,"个",IF($Z552&lt;=5200,"个",IF($Z552&lt;=5800,"个","")))))</f>
        <v/>
      </c>
      <c r="J552" s="30" t="str">
        <f t="shared" si="25"/>
        <v/>
      </c>
      <c r="K552" s="30" t="str">
        <f>IF($Z552="","",IF($Z552&lt;=2000,IF(INDEX(包装物料出入库明细!$N$4:$N$2003,$Z552-0)=0,"",INDEX(包装物料出入库明细!$N$4:$N$2003,$Z552-0)),IF($Z552&lt;=4000,IF(INDEX(周转筐出入库明细!$P$4:$P$2004,$Z552-2000)=0,"",INDEX(周转筐出入库明细!$P$4:$P$2004,$Z552-2000)),IF($Z552&lt;=5200,"",IF($Z552&lt;=5800,N(INDEX(次果筐明细!$L$4:$L$603,$Z552-5200))+N(INDEX(次果筐明细!$J$4:$J$603,$Z552-5200)),"")))))</f>
        <v/>
      </c>
      <c r="L552" s="24" t="str">
        <f>IF($Z552="","",IF($Z552&lt;=2000,IF(INDEX(包装物料出入库明细!$P$4:$P$2003,$Z552-0)=0,"",INDEX(包装物料出入库明细!$P$4:$P$2003,$Z552-0)),IF($Z552&lt;=4000,IF(INDEX(周转筐出入库明细!$Q$4:$Q$2004,$Z552-2000)=0,"",INDEX(周转筐出入库明细!$Q$4:$Q$2004,$Z552-2000)),IF($Z552&lt;=5200,"",IF($Z552&lt;=5800,IF(INDEX(次果筐明细!$M$4:$M$603,$Z552-5200)=0,"",INDEX(次果筐明细!$M$4:$M$603,$Z552-5200)),"")))))</f>
        <v/>
      </c>
      <c r="M552" s="37" t="str">
        <f>IF($Z552="","",IF($Z552&lt;=2000,IF(INDEX(包装物料出入库明细!$R$4:$R$2003,$Z552-0)=0,"",INDEX(包装物料出入库明细!$R$4:$R$2003,$Z552-0)),IF($Z552&lt;=4000,IF(INDEX(周转筐出入库明细!$W$4:$W$2004,$Z552-2000)=0,"",INDEX(周转筐出入库明细!$W$4:$W$2004,$Z552-2000)),IF($Z552&lt;=5200,IF(INDEX(客户自备加工筐明细!$L$4:$L$1203,$Z552-4000)=0,"",INDEX(客户自备加工筐明细!$L$4:$L$1203,$Z552-4000)),IF($Z552&lt;=5800,IF(INDEX(次果筐明细!$P$4:$P$603,$Z552-5200)=0,"",INDEX(次果筐明细!$P$4:$P$603,$Z552-5200)),"")))))</f>
        <v/>
      </c>
      <c r="N552" s="16" t="str">
        <f>IF($Z552="","",IF($Z552&lt;=2000,"",IF($Z552&lt;=4000,IF(INDEX(周转筐出入库明细!$D$4:$D$2004,$Z552-2000)=0,"",INDEX(周转筐出入库明细!$D$4:$D$2004,$Z552-2000)),IF($Z552&lt;=5200,IF(INDEX(客户自备加工筐明细!$C$4:$C$1203,$Z552-4000)=0,"",INDEX(客户自备加工筐明细!$C$4:$C$1203,$Z552-4000)),IF($Z552&lt;=5800,IF(INDEX(次果筐明细!$D$4:$D$603,$Z552-5200)=0,"",INDEX(次果筐明细!$D$4:$D$603,$Z552-5200)),"")))))</f>
        <v/>
      </c>
      <c r="O552" s="40" t="str">
        <f>IF($Z552="","",IF($Z552&lt;=2000,"",IF($Z552&lt;=4000,IF(N(INDEX(周转筐出入库明细!$J$4:$J$2004,$Z552-2000))+N(INDEX(周转筐出入库明细!$K$4:$K$2004,$Z552-2000))=0,"",N(INDEX(周转筐出入库明细!$J$4:$J$2004,$Z552-2000))+N(INDEX(周转筐出入库明细!$K$4:$K$2004,$Z552-2000))),IF($Z552&lt;=5200,IF(N(INDEX(客户自备加工筐明细!$G$4:$G$1203,$Z552-4000))=0,"",N(INDEX(客户自备加工筐明细!$G$4:$G$1203,$Z552-4000))),IF($Z552&lt;=5800,IF(ISNUMBER(SEARCH("退",INDEX(次果筐明细!$F$4:$F$603,$Z552-5200)&amp;"")),"",IF(N(INDEX(次果筐明细!$G$4:$G$603,$Z552-5200))=0,"",N(INDEX(次果筐明细!$G$4:$G$603,$Z552-5200)))),"")))))</f>
        <v/>
      </c>
      <c r="P552" s="40" t="str">
        <f>IF($Z552="","",IF($Z552&lt;=2000,"",IF($Z552&lt;=4000,IF(N(INDEX(周转筐出入库明细!$I$4:$I$2004,$Z552-2000))=0,"",N(INDEX(周转筐出入库明细!$I$4:$I$2004,$Z552-2000))),IF($Z552&lt;=5200,"",IF($Z552&lt;=5800,IF(ISNUMBER(SEARCH("退",INDEX(次果筐明细!$F$4:$F$603,$Z552-5200)&amp;"")),IF(N(INDEX(次果筐明细!$G$4:$G$603,$Z552-5200))=0,"",N(INDEX(次果筐明细!$G$4:$G$603,$Z552-5200))),""),"")))))</f>
        <v/>
      </c>
      <c r="Q552" s="40" t="str">
        <f>IF($Z552="","",IF($Z552&lt;=2000,"",IF($Z552&lt;=4000,IF(N(INDEX(周转筐出入库明细!$H$4:$H$2004,$Z552-2000))=0,"",N(INDEX(周转筐出入库明细!$H$4:$H$2004,$Z552-2000))),IF($Z552&lt;=5200,IF(N(INDEX(客户自备加工筐明细!$F$4:$F$1203,$Z552-4000))=0,"",N(INDEX(客户自备加工筐明细!$F$4:$F$1203,$Z552-4000))),IF($Z552&lt;=5800,"","")))))</f>
        <v/>
      </c>
      <c r="R552" s="16" t="str">
        <f>IF($Z552="","",IF($Z552&lt;=2000,IF(INDEX(包装物料出入库明细!$O$4:$O$2003,$Z552-0)=0,"",INDEX(包装物料出入库明细!$O$4:$O$2003,$Z552-0)),IF($Z552&lt;=4000,IF(INDEX(周转筐出入库明细!$M$4:$M$2004,$Z552-2000)=0,"",INDEX(周转筐出入库明细!$M$4:$M$2004,$Z552-2000)),IF($Z552&lt;=5200,IF(INDEX(客户自备加工筐明细!$H$4:$H$1203,$Z552-4000)=0,"",INDEX(客户自备加工筐明细!$H$4:$H$1203,$Z552-4000)),IF($Z552&lt;=5800,IF(INDEX(次果筐明细!$H$4:$H$603,$Z552-5200)=0,"",INDEX(次果筐明细!$H$4:$H$603,$Z552-5200)),"")))))</f>
        <v/>
      </c>
      <c r="S552" s="22" t="str">
        <f t="shared" si="26"/>
        <v/>
      </c>
      <c r="Z552" s="10" t="str">
        <f>IFERROR(MATCH(ROW()-3,_自动清单!$CQ$4:$CQ$5803,0),"")</f>
        <v/>
      </c>
    </row>
    <row r="553" spans="1:26">
      <c r="A553" s="24" t="str">
        <f t="shared" si="24"/>
        <v/>
      </c>
      <c r="B553" s="38" t="str">
        <f>IF($Z553="","",IF($Z553&lt;=2000,IF(INDEX(包装物料出入库明细!$B$4:$B$2003,$Z553-0)=0,"",INDEX(包装物料出入库明细!$B$4:$B$2003,$Z553-0)),IF($Z553&lt;=4000,IF(INDEX(周转筐出入库明细!$B$4:$B$2004,$Z553-2000)=0,"",INDEX(周转筐出入库明细!$B$4:$B$2004,$Z553-2000)),IF($Z553&lt;=5200,IF(INDEX(客户自备加工筐明细!$B$4:$B$1203,$Z553-4000)=0,"",INDEX(客户自备加工筐明细!$B$4:$B$1203,$Z553-4000)),IF($Z553&lt;=5800,IF(INDEX(次果筐明细!$B$4:$B$603,$Z553-5200)=0,"",INDEX(次果筐明细!$B$4:$B$603,$Z553-5200)),"")))))</f>
        <v/>
      </c>
      <c r="C553" s="37" t="str">
        <f>IF($Z553="","",IF($Z553&lt;=2000,IF(INDEX(包装物料出入库明细!$D$4:$D$2003,$Z553-0)=0,"",INDEX(包装物料出入库明细!$D$4:$D$2003,$Z553-0)),IF($Z553&lt;=4000,IF(INDEX(周转筐出入库明细!$C$4:$C$2004,$Z553-2000)=0,"",INDEX(周转筐出入库明细!$C$4:$C$2004,$Z553-2000)),IF($Z553&lt;=5200,IF(INDEX(客户自备加工筐明细!$E$4:$E$1203,$Z553-4000)=0,"",INDEX(客户自备加工筐明细!$E$4:$E$1203,$Z553-4000)),IF($Z553&lt;=5800,IF(INDEX(次果筐明细!$C$4:$C$603,$Z553-5200)=0,"",INDEX(次果筐明细!$C$4:$C$603,$Z553-5200)),"")))))</f>
        <v/>
      </c>
      <c r="D553" s="37" t="str">
        <f>IF($Z553="","",IF($Z553&lt;=2000,"包装物料－"&amp;INDEX(包装物料出入库明细!$H$4:$H$2003,$Z553-0),IF($Z553&lt;=4000,"周转筐－"&amp;INDEX(周转筐出入库明细!$F$4:$F$2004,$Z553-2000),IF($Z553&lt;=5200,"客户自备筐－"&amp;INDEX(客户自备加工筐明细!$J$4:$J$1203,$Z553-4000),IF($Z553&lt;=5800,"次果筐/托盘－"&amp;INDEX(次果筐明细!$F$4:$F$603,$Z553-5200),"")))))</f>
        <v/>
      </c>
      <c r="E553" s="24" t="str">
        <f>IF($Z553="","",IF($Z553&lt;=2000,IF(INDEX(包装物料出入库明细!$C$4:$C$2003,$Z553-0)=0,"",INDEX(包装物料出入库明细!$C$4:$C$2003,$Z553-0)),IF($Z553&lt;=4000,IF(INDEX(周转筐出入库明细!$E$4:$E$2004,$Z553-2000)=0,"",INDEX(周转筐出入库明细!$E$4:$E$2004,$Z553-2000)),IF($Z553&lt;=5200,IF(INDEX(客户自备加工筐明细!$D$4:$D$1203,$Z553-4000)=0,"",INDEX(客户自备加工筐明细!$D$4:$D$1203,$Z553-4000)),IF($Z553&lt;=5800,IF(INDEX(次果筐明细!$E$4:$E$603,$Z553-5200)=0,"",INDEX(次果筐明细!$E$4:$E$603,$Z553-5200)),"")))))</f>
        <v/>
      </c>
      <c r="F553" s="24" t="str">
        <f>IF($Z553="","",IF($Z553&lt;=2000,IF(INDEX(包装物料出入库明细!$E$4:$E$2003,$Z553-0)=0,"",INDEX(包装物料出入库明细!$E$4:$E$2003,$Z553-0)),IF($Z553&lt;=4000,IF(INDEX(周转筐出入库明细!$D$4:$D$2004,$Z553-2000)=0,"",INDEX(周转筐出入库明细!$D$4:$D$2004,$Z553-2000)),IF($Z553&lt;=5200,IF(INDEX(客户自备加工筐明细!$C$4:$C$1203,$Z553-4000)=0,"",INDEX(客户自备加工筐明细!$C$4:$C$1203,$Z553-4000)),IF($Z553&lt;=5800,IF(INDEX(次果筐明细!$D$4:$D$603,$Z553-5200)=0,"",INDEX(次果筐明细!$D$4:$D$603,$Z553-5200)),"")))))</f>
        <v/>
      </c>
      <c r="G553" s="24" t="str">
        <f>IF($Z553="","",IF($Z553&lt;=2000,IF(INDEX(包装物料出入库明细!$F$4:$F$2003,$Z553-0)=0,"",INDEX(包装物料出入库明细!$F$4:$F$2003,$Z553-0)),IF($Z553&lt;=4000,"",IF($Z553&lt;=5200,"",IF($Z553&lt;=5800,"","")))))</f>
        <v/>
      </c>
      <c r="H553" s="39" t="str">
        <f>IF($Z553="","",IF($Z553&lt;=2000,IF(INDEX(包装物料出入库明细!$L$4:$L$2003,$Z553-0)=0,"",INDEX(包装物料出入库明细!$L$4:$L$2003,$Z553-0)),IF($Z553&lt;=4000,N(INDEX(周转筐出入库明细!$H$4:$H$2004,$Z553-2000))+N(INDEX(周转筐出入库明细!$I$4:$I$2004,$Z553-2000))+N(INDEX(周转筐出入库明细!$J$4:$J$2004,$Z553-2000))+N(INDEX(周转筐出入库明细!$K$4:$K$2004,$Z553-2000)),IF($Z553&lt;=5200,N(INDEX(客户自备加工筐明细!$F$4:$F$1203,$Z553-4000))+N(INDEX(客户自备加工筐明细!$G$4:$G$1203,$Z553-4000)),IF($Z553&lt;=5800,IF(INDEX(次果筐明细!$G$4:$G$603,$Z553-5200)=0,"",INDEX(次果筐明细!$G$4:$G$603,$Z553-5200)),"")))))</f>
        <v/>
      </c>
      <c r="I553" s="24" t="str">
        <f>IF($Z553="","",IF($Z553&lt;=2000,IF(INDEX(包装物料出入库明细!$G$4:$G$2003,$Z553-0)=0,"",INDEX(包装物料出入库明细!$G$4:$G$2003,$Z553-0)),IF($Z553&lt;=4000,"个",IF($Z553&lt;=5200,"个",IF($Z553&lt;=5800,"个","")))))</f>
        <v/>
      </c>
      <c r="J553" s="30" t="str">
        <f t="shared" si="25"/>
        <v/>
      </c>
      <c r="K553" s="30" t="str">
        <f>IF($Z553="","",IF($Z553&lt;=2000,IF(INDEX(包装物料出入库明细!$N$4:$N$2003,$Z553-0)=0,"",INDEX(包装物料出入库明细!$N$4:$N$2003,$Z553-0)),IF($Z553&lt;=4000,IF(INDEX(周转筐出入库明细!$P$4:$P$2004,$Z553-2000)=0,"",INDEX(周转筐出入库明细!$P$4:$P$2004,$Z553-2000)),IF($Z553&lt;=5200,"",IF($Z553&lt;=5800,N(INDEX(次果筐明细!$L$4:$L$603,$Z553-5200))+N(INDEX(次果筐明细!$J$4:$J$603,$Z553-5200)),"")))))</f>
        <v/>
      </c>
      <c r="L553" s="24" t="str">
        <f>IF($Z553="","",IF($Z553&lt;=2000,IF(INDEX(包装物料出入库明细!$P$4:$P$2003,$Z553-0)=0,"",INDEX(包装物料出入库明细!$P$4:$P$2003,$Z553-0)),IF($Z553&lt;=4000,IF(INDEX(周转筐出入库明细!$Q$4:$Q$2004,$Z553-2000)=0,"",INDEX(周转筐出入库明细!$Q$4:$Q$2004,$Z553-2000)),IF($Z553&lt;=5200,"",IF($Z553&lt;=5800,IF(INDEX(次果筐明细!$M$4:$M$603,$Z553-5200)=0,"",INDEX(次果筐明细!$M$4:$M$603,$Z553-5200)),"")))))</f>
        <v/>
      </c>
      <c r="M553" s="37" t="str">
        <f>IF($Z553="","",IF($Z553&lt;=2000,IF(INDEX(包装物料出入库明细!$R$4:$R$2003,$Z553-0)=0,"",INDEX(包装物料出入库明细!$R$4:$R$2003,$Z553-0)),IF($Z553&lt;=4000,IF(INDEX(周转筐出入库明细!$W$4:$W$2004,$Z553-2000)=0,"",INDEX(周转筐出入库明细!$W$4:$W$2004,$Z553-2000)),IF($Z553&lt;=5200,IF(INDEX(客户自备加工筐明细!$L$4:$L$1203,$Z553-4000)=0,"",INDEX(客户自备加工筐明细!$L$4:$L$1203,$Z553-4000)),IF($Z553&lt;=5800,IF(INDEX(次果筐明细!$P$4:$P$603,$Z553-5200)=0,"",INDEX(次果筐明细!$P$4:$P$603,$Z553-5200)),"")))))</f>
        <v/>
      </c>
      <c r="N553" s="16" t="str">
        <f>IF($Z553="","",IF($Z553&lt;=2000,"",IF($Z553&lt;=4000,IF(INDEX(周转筐出入库明细!$D$4:$D$2004,$Z553-2000)=0,"",INDEX(周转筐出入库明细!$D$4:$D$2004,$Z553-2000)),IF($Z553&lt;=5200,IF(INDEX(客户自备加工筐明细!$C$4:$C$1203,$Z553-4000)=0,"",INDEX(客户自备加工筐明细!$C$4:$C$1203,$Z553-4000)),IF($Z553&lt;=5800,IF(INDEX(次果筐明细!$D$4:$D$603,$Z553-5200)=0,"",INDEX(次果筐明细!$D$4:$D$603,$Z553-5200)),"")))))</f>
        <v/>
      </c>
      <c r="O553" s="40" t="str">
        <f>IF($Z553="","",IF($Z553&lt;=2000,"",IF($Z553&lt;=4000,IF(N(INDEX(周转筐出入库明细!$J$4:$J$2004,$Z553-2000))+N(INDEX(周转筐出入库明细!$K$4:$K$2004,$Z553-2000))=0,"",N(INDEX(周转筐出入库明细!$J$4:$J$2004,$Z553-2000))+N(INDEX(周转筐出入库明细!$K$4:$K$2004,$Z553-2000))),IF($Z553&lt;=5200,IF(N(INDEX(客户自备加工筐明细!$G$4:$G$1203,$Z553-4000))=0,"",N(INDEX(客户自备加工筐明细!$G$4:$G$1203,$Z553-4000))),IF($Z553&lt;=5800,IF(ISNUMBER(SEARCH("退",INDEX(次果筐明细!$F$4:$F$603,$Z553-5200)&amp;"")),"",IF(N(INDEX(次果筐明细!$G$4:$G$603,$Z553-5200))=0,"",N(INDEX(次果筐明细!$G$4:$G$603,$Z553-5200)))),"")))))</f>
        <v/>
      </c>
      <c r="P553" s="40" t="str">
        <f>IF($Z553="","",IF($Z553&lt;=2000,"",IF($Z553&lt;=4000,IF(N(INDEX(周转筐出入库明细!$I$4:$I$2004,$Z553-2000))=0,"",N(INDEX(周转筐出入库明细!$I$4:$I$2004,$Z553-2000))),IF($Z553&lt;=5200,"",IF($Z553&lt;=5800,IF(ISNUMBER(SEARCH("退",INDEX(次果筐明细!$F$4:$F$603,$Z553-5200)&amp;"")),IF(N(INDEX(次果筐明细!$G$4:$G$603,$Z553-5200))=0,"",N(INDEX(次果筐明细!$G$4:$G$603,$Z553-5200))),""),"")))))</f>
        <v/>
      </c>
      <c r="Q553" s="40" t="str">
        <f>IF($Z553="","",IF($Z553&lt;=2000,"",IF($Z553&lt;=4000,IF(N(INDEX(周转筐出入库明细!$H$4:$H$2004,$Z553-2000))=0,"",N(INDEX(周转筐出入库明细!$H$4:$H$2004,$Z553-2000))),IF($Z553&lt;=5200,IF(N(INDEX(客户自备加工筐明细!$F$4:$F$1203,$Z553-4000))=0,"",N(INDEX(客户自备加工筐明细!$F$4:$F$1203,$Z553-4000))),IF($Z553&lt;=5800,"","")))))</f>
        <v/>
      </c>
      <c r="R553" s="16" t="str">
        <f>IF($Z553="","",IF($Z553&lt;=2000,IF(INDEX(包装物料出入库明细!$O$4:$O$2003,$Z553-0)=0,"",INDEX(包装物料出入库明细!$O$4:$O$2003,$Z553-0)),IF($Z553&lt;=4000,IF(INDEX(周转筐出入库明细!$M$4:$M$2004,$Z553-2000)=0,"",INDEX(周转筐出入库明细!$M$4:$M$2004,$Z553-2000)),IF($Z553&lt;=5200,IF(INDEX(客户自备加工筐明细!$H$4:$H$1203,$Z553-4000)=0,"",INDEX(客户自备加工筐明细!$H$4:$H$1203,$Z553-4000)),IF($Z553&lt;=5800,IF(INDEX(次果筐明细!$H$4:$H$603,$Z553-5200)=0,"",INDEX(次果筐明细!$H$4:$H$603,$Z553-5200)),"")))))</f>
        <v/>
      </c>
      <c r="S553" s="22" t="str">
        <f t="shared" si="26"/>
        <v/>
      </c>
      <c r="Z553" s="10" t="str">
        <f>IFERROR(MATCH(ROW()-3,_自动清单!$CQ$4:$CQ$5803,0),"")</f>
        <v/>
      </c>
    </row>
    <row r="554" spans="1:26">
      <c r="A554" s="24" t="str">
        <f t="shared" si="24"/>
        <v/>
      </c>
      <c r="B554" s="38" t="str">
        <f>IF($Z554="","",IF($Z554&lt;=2000,IF(INDEX(包装物料出入库明细!$B$4:$B$2003,$Z554-0)=0,"",INDEX(包装物料出入库明细!$B$4:$B$2003,$Z554-0)),IF($Z554&lt;=4000,IF(INDEX(周转筐出入库明细!$B$4:$B$2004,$Z554-2000)=0,"",INDEX(周转筐出入库明细!$B$4:$B$2004,$Z554-2000)),IF($Z554&lt;=5200,IF(INDEX(客户自备加工筐明细!$B$4:$B$1203,$Z554-4000)=0,"",INDEX(客户自备加工筐明细!$B$4:$B$1203,$Z554-4000)),IF($Z554&lt;=5800,IF(INDEX(次果筐明细!$B$4:$B$603,$Z554-5200)=0,"",INDEX(次果筐明细!$B$4:$B$603,$Z554-5200)),"")))))</f>
        <v/>
      </c>
      <c r="C554" s="37" t="str">
        <f>IF($Z554="","",IF($Z554&lt;=2000,IF(INDEX(包装物料出入库明细!$D$4:$D$2003,$Z554-0)=0,"",INDEX(包装物料出入库明细!$D$4:$D$2003,$Z554-0)),IF($Z554&lt;=4000,IF(INDEX(周转筐出入库明细!$C$4:$C$2004,$Z554-2000)=0,"",INDEX(周转筐出入库明细!$C$4:$C$2004,$Z554-2000)),IF($Z554&lt;=5200,IF(INDEX(客户自备加工筐明细!$E$4:$E$1203,$Z554-4000)=0,"",INDEX(客户自备加工筐明细!$E$4:$E$1203,$Z554-4000)),IF($Z554&lt;=5800,IF(INDEX(次果筐明细!$C$4:$C$603,$Z554-5200)=0,"",INDEX(次果筐明细!$C$4:$C$603,$Z554-5200)),"")))))</f>
        <v/>
      </c>
      <c r="D554" s="37" t="str">
        <f>IF($Z554="","",IF($Z554&lt;=2000,"包装物料－"&amp;INDEX(包装物料出入库明细!$H$4:$H$2003,$Z554-0),IF($Z554&lt;=4000,"周转筐－"&amp;INDEX(周转筐出入库明细!$F$4:$F$2004,$Z554-2000),IF($Z554&lt;=5200,"客户自备筐－"&amp;INDEX(客户自备加工筐明细!$J$4:$J$1203,$Z554-4000),IF($Z554&lt;=5800,"次果筐/托盘－"&amp;INDEX(次果筐明细!$F$4:$F$603,$Z554-5200),"")))))</f>
        <v/>
      </c>
      <c r="E554" s="24" t="str">
        <f>IF($Z554="","",IF($Z554&lt;=2000,IF(INDEX(包装物料出入库明细!$C$4:$C$2003,$Z554-0)=0,"",INDEX(包装物料出入库明细!$C$4:$C$2003,$Z554-0)),IF($Z554&lt;=4000,IF(INDEX(周转筐出入库明细!$E$4:$E$2004,$Z554-2000)=0,"",INDEX(周转筐出入库明细!$E$4:$E$2004,$Z554-2000)),IF($Z554&lt;=5200,IF(INDEX(客户自备加工筐明细!$D$4:$D$1203,$Z554-4000)=0,"",INDEX(客户自备加工筐明细!$D$4:$D$1203,$Z554-4000)),IF($Z554&lt;=5800,IF(INDEX(次果筐明细!$E$4:$E$603,$Z554-5200)=0,"",INDEX(次果筐明细!$E$4:$E$603,$Z554-5200)),"")))))</f>
        <v/>
      </c>
      <c r="F554" s="24" t="str">
        <f>IF($Z554="","",IF($Z554&lt;=2000,IF(INDEX(包装物料出入库明细!$E$4:$E$2003,$Z554-0)=0,"",INDEX(包装物料出入库明细!$E$4:$E$2003,$Z554-0)),IF($Z554&lt;=4000,IF(INDEX(周转筐出入库明细!$D$4:$D$2004,$Z554-2000)=0,"",INDEX(周转筐出入库明细!$D$4:$D$2004,$Z554-2000)),IF($Z554&lt;=5200,IF(INDEX(客户自备加工筐明细!$C$4:$C$1203,$Z554-4000)=0,"",INDEX(客户自备加工筐明细!$C$4:$C$1203,$Z554-4000)),IF($Z554&lt;=5800,IF(INDEX(次果筐明细!$D$4:$D$603,$Z554-5200)=0,"",INDEX(次果筐明细!$D$4:$D$603,$Z554-5200)),"")))))</f>
        <v/>
      </c>
      <c r="G554" s="24" t="str">
        <f>IF($Z554="","",IF($Z554&lt;=2000,IF(INDEX(包装物料出入库明细!$F$4:$F$2003,$Z554-0)=0,"",INDEX(包装物料出入库明细!$F$4:$F$2003,$Z554-0)),IF($Z554&lt;=4000,"",IF($Z554&lt;=5200,"",IF($Z554&lt;=5800,"","")))))</f>
        <v/>
      </c>
      <c r="H554" s="39" t="str">
        <f>IF($Z554="","",IF($Z554&lt;=2000,IF(INDEX(包装物料出入库明细!$L$4:$L$2003,$Z554-0)=0,"",INDEX(包装物料出入库明细!$L$4:$L$2003,$Z554-0)),IF($Z554&lt;=4000,N(INDEX(周转筐出入库明细!$H$4:$H$2004,$Z554-2000))+N(INDEX(周转筐出入库明细!$I$4:$I$2004,$Z554-2000))+N(INDEX(周转筐出入库明细!$J$4:$J$2004,$Z554-2000))+N(INDEX(周转筐出入库明细!$K$4:$K$2004,$Z554-2000)),IF($Z554&lt;=5200,N(INDEX(客户自备加工筐明细!$F$4:$F$1203,$Z554-4000))+N(INDEX(客户自备加工筐明细!$G$4:$G$1203,$Z554-4000)),IF($Z554&lt;=5800,IF(INDEX(次果筐明细!$G$4:$G$603,$Z554-5200)=0,"",INDEX(次果筐明细!$G$4:$G$603,$Z554-5200)),"")))))</f>
        <v/>
      </c>
      <c r="I554" s="24" t="str">
        <f>IF($Z554="","",IF($Z554&lt;=2000,IF(INDEX(包装物料出入库明细!$G$4:$G$2003,$Z554-0)=0,"",INDEX(包装物料出入库明细!$G$4:$G$2003,$Z554-0)),IF($Z554&lt;=4000,"个",IF($Z554&lt;=5200,"个",IF($Z554&lt;=5800,"个","")))))</f>
        <v/>
      </c>
      <c r="J554" s="30" t="str">
        <f t="shared" si="25"/>
        <v/>
      </c>
      <c r="K554" s="30" t="str">
        <f>IF($Z554="","",IF($Z554&lt;=2000,IF(INDEX(包装物料出入库明细!$N$4:$N$2003,$Z554-0)=0,"",INDEX(包装物料出入库明细!$N$4:$N$2003,$Z554-0)),IF($Z554&lt;=4000,IF(INDEX(周转筐出入库明细!$P$4:$P$2004,$Z554-2000)=0,"",INDEX(周转筐出入库明细!$P$4:$P$2004,$Z554-2000)),IF($Z554&lt;=5200,"",IF($Z554&lt;=5800,N(INDEX(次果筐明细!$L$4:$L$603,$Z554-5200))+N(INDEX(次果筐明细!$J$4:$J$603,$Z554-5200)),"")))))</f>
        <v/>
      </c>
      <c r="L554" s="24" t="str">
        <f>IF($Z554="","",IF($Z554&lt;=2000,IF(INDEX(包装物料出入库明细!$P$4:$P$2003,$Z554-0)=0,"",INDEX(包装物料出入库明细!$P$4:$P$2003,$Z554-0)),IF($Z554&lt;=4000,IF(INDEX(周转筐出入库明细!$Q$4:$Q$2004,$Z554-2000)=0,"",INDEX(周转筐出入库明细!$Q$4:$Q$2004,$Z554-2000)),IF($Z554&lt;=5200,"",IF($Z554&lt;=5800,IF(INDEX(次果筐明细!$M$4:$M$603,$Z554-5200)=0,"",INDEX(次果筐明细!$M$4:$M$603,$Z554-5200)),"")))))</f>
        <v/>
      </c>
      <c r="M554" s="37" t="str">
        <f>IF($Z554="","",IF($Z554&lt;=2000,IF(INDEX(包装物料出入库明细!$R$4:$R$2003,$Z554-0)=0,"",INDEX(包装物料出入库明细!$R$4:$R$2003,$Z554-0)),IF($Z554&lt;=4000,IF(INDEX(周转筐出入库明细!$W$4:$W$2004,$Z554-2000)=0,"",INDEX(周转筐出入库明细!$W$4:$W$2004,$Z554-2000)),IF($Z554&lt;=5200,IF(INDEX(客户自备加工筐明细!$L$4:$L$1203,$Z554-4000)=0,"",INDEX(客户自备加工筐明细!$L$4:$L$1203,$Z554-4000)),IF($Z554&lt;=5800,IF(INDEX(次果筐明细!$P$4:$P$603,$Z554-5200)=0,"",INDEX(次果筐明细!$P$4:$P$603,$Z554-5200)),"")))))</f>
        <v/>
      </c>
      <c r="N554" s="16" t="str">
        <f>IF($Z554="","",IF($Z554&lt;=2000,"",IF($Z554&lt;=4000,IF(INDEX(周转筐出入库明细!$D$4:$D$2004,$Z554-2000)=0,"",INDEX(周转筐出入库明细!$D$4:$D$2004,$Z554-2000)),IF($Z554&lt;=5200,IF(INDEX(客户自备加工筐明细!$C$4:$C$1203,$Z554-4000)=0,"",INDEX(客户自备加工筐明细!$C$4:$C$1203,$Z554-4000)),IF($Z554&lt;=5800,IF(INDEX(次果筐明细!$D$4:$D$603,$Z554-5200)=0,"",INDEX(次果筐明细!$D$4:$D$603,$Z554-5200)),"")))))</f>
        <v/>
      </c>
      <c r="O554" s="40" t="str">
        <f>IF($Z554="","",IF($Z554&lt;=2000,"",IF($Z554&lt;=4000,IF(N(INDEX(周转筐出入库明细!$J$4:$J$2004,$Z554-2000))+N(INDEX(周转筐出入库明细!$K$4:$K$2004,$Z554-2000))=0,"",N(INDEX(周转筐出入库明细!$J$4:$J$2004,$Z554-2000))+N(INDEX(周转筐出入库明细!$K$4:$K$2004,$Z554-2000))),IF($Z554&lt;=5200,IF(N(INDEX(客户自备加工筐明细!$G$4:$G$1203,$Z554-4000))=0,"",N(INDEX(客户自备加工筐明细!$G$4:$G$1203,$Z554-4000))),IF($Z554&lt;=5800,IF(ISNUMBER(SEARCH("退",INDEX(次果筐明细!$F$4:$F$603,$Z554-5200)&amp;"")),"",IF(N(INDEX(次果筐明细!$G$4:$G$603,$Z554-5200))=0,"",N(INDEX(次果筐明细!$G$4:$G$603,$Z554-5200)))),"")))))</f>
        <v/>
      </c>
      <c r="P554" s="40" t="str">
        <f>IF($Z554="","",IF($Z554&lt;=2000,"",IF($Z554&lt;=4000,IF(N(INDEX(周转筐出入库明细!$I$4:$I$2004,$Z554-2000))=0,"",N(INDEX(周转筐出入库明细!$I$4:$I$2004,$Z554-2000))),IF($Z554&lt;=5200,"",IF($Z554&lt;=5800,IF(ISNUMBER(SEARCH("退",INDEX(次果筐明细!$F$4:$F$603,$Z554-5200)&amp;"")),IF(N(INDEX(次果筐明细!$G$4:$G$603,$Z554-5200))=0,"",N(INDEX(次果筐明细!$G$4:$G$603,$Z554-5200))),""),"")))))</f>
        <v/>
      </c>
      <c r="Q554" s="40" t="str">
        <f>IF($Z554="","",IF($Z554&lt;=2000,"",IF($Z554&lt;=4000,IF(N(INDEX(周转筐出入库明细!$H$4:$H$2004,$Z554-2000))=0,"",N(INDEX(周转筐出入库明细!$H$4:$H$2004,$Z554-2000))),IF($Z554&lt;=5200,IF(N(INDEX(客户自备加工筐明细!$F$4:$F$1203,$Z554-4000))=0,"",N(INDEX(客户自备加工筐明细!$F$4:$F$1203,$Z554-4000))),IF($Z554&lt;=5800,"","")))))</f>
        <v/>
      </c>
      <c r="R554" s="16" t="str">
        <f>IF($Z554="","",IF($Z554&lt;=2000,IF(INDEX(包装物料出入库明细!$O$4:$O$2003,$Z554-0)=0,"",INDEX(包装物料出入库明细!$O$4:$O$2003,$Z554-0)),IF($Z554&lt;=4000,IF(INDEX(周转筐出入库明细!$M$4:$M$2004,$Z554-2000)=0,"",INDEX(周转筐出入库明细!$M$4:$M$2004,$Z554-2000)),IF($Z554&lt;=5200,IF(INDEX(客户自备加工筐明细!$H$4:$H$1203,$Z554-4000)=0,"",INDEX(客户自备加工筐明细!$H$4:$H$1203,$Z554-4000)),IF($Z554&lt;=5800,IF(INDEX(次果筐明细!$H$4:$H$603,$Z554-5200)=0,"",INDEX(次果筐明细!$H$4:$H$603,$Z554-5200)),"")))))</f>
        <v/>
      </c>
      <c r="S554" s="22" t="str">
        <f t="shared" si="26"/>
        <v/>
      </c>
      <c r="Z554" s="10" t="str">
        <f>IFERROR(MATCH(ROW()-3,_自动清单!$CQ$4:$CQ$5803,0),"")</f>
        <v/>
      </c>
    </row>
    <row r="555" spans="1:26">
      <c r="A555" s="24" t="str">
        <f t="shared" si="24"/>
        <v/>
      </c>
      <c r="B555" s="38" t="str">
        <f>IF($Z555="","",IF($Z555&lt;=2000,IF(INDEX(包装物料出入库明细!$B$4:$B$2003,$Z555-0)=0,"",INDEX(包装物料出入库明细!$B$4:$B$2003,$Z555-0)),IF($Z555&lt;=4000,IF(INDEX(周转筐出入库明细!$B$4:$B$2004,$Z555-2000)=0,"",INDEX(周转筐出入库明细!$B$4:$B$2004,$Z555-2000)),IF($Z555&lt;=5200,IF(INDEX(客户自备加工筐明细!$B$4:$B$1203,$Z555-4000)=0,"",INDEX(客户自备加工筐明细!$B$4:$B$1203,$Z555-4000)),IF($Z555&lt;=5800,IF(INDEX(次果筐明细!$B$4:$B$603,$Z555-5200)=0,"",INDEX(次果筐明细!$B$4:$B$603,$Z555-5200)),"")))))</f>
        <v/>
      </c>
      <c r="C555" s="37" t="str">
        <f>IF($Z555="","",IF($Z555&lt;=2000,IF(INDEX(包装物料出入库明细!$D$4:$D$2003,$Z555-0)=0,"",INDEX(包装物料出入库明细!$D$4:$D$2003,$Z555-0)),IF($Z555&lt;=4000,IF(INDEX(周转筐出入库明细!$C$4:$C$2004,$Z555-2000)=0,"",INDEX(周转筐出入库明细!$C$4:$C$2004,$Z555-2000)),IF($Z555&lt;=5200,IF(INDEX(客户自备加工筐明细!$E$4:$E$1203,$Z555-4000)=0,"",INDEX(客户自备加工筐明细!$E$4:$E$1203,$Z555-4000)),IF($Z555&lt;=5800,IF(INDEX(次果筐明细!$C$4:$C$603,$Z555-5200)=0,"",INDEX(次果筐明细!$C$4:$C$603,$Z555-5200)),"")))))</f>
        <v/>
      </c>
      <c r="D555" s="37" t="str">
        <f>IF($Z555="","",IF($Z555&lt;=2000,"包装物料－"&amp;INDEX(包装物料出入库明细!$H$4:$H$2003,$Z555-0),IF($Z555&lt;=4000,"周转筐－"&amp;INDEX(周转筐出入库明细!$F$4:$F$2004,$Z555-2000),IF($Z555&lt;=5200,"客户自备筐－"&amp;INDEX(客户自备加工筐明细!$J$4:$J$1203,$Z555-4000),IF($Z555&lt;=5800,"次果筐/托盘－"&amp;INDEX(次果筐明细!$F$4:$F$603,$Z555-5200),"")))))</f>
        <v/>
      </c>
      <c r="E555" s="24" t="str">
        <f>IF($Z555="","",IF($Z555&lt;=2000,IF(INDEX(包装物料出入库明细!$C$4:$C$2003,$Z555-0)=0,"",INDEX(包装物料出入库明细!$C$4:$C$2003,$Z555-0)),IF($Z555&lt;=4000,IF(INDEX(周转筐出入库明细!$E$4:$E$2004,$Z555-2000)=0,"",INDEX(周转筐出入库明细!$E$4:$E$2004,$Z555-2000)),IF($Z555&lt;=5200,IF(INDEX(客户自备加工筐明细!$D$4:$D$1203,$Z555-4000)=0,"",INDEX(客户自备加工筐明细!$D$4:$D$1203,$Z555-4000)),IF($Z555&lt;=5800,IF(INDEX(次果筐明细!$E$4:$E$603,$Z555-5200)=0,"",INDEX(次果筐明细!$E$4:$E$603,$Z555-5200)),"")))))</f>
        <v/>
      </c>
      <c r="F555" s="24" t="str">
        <f>IF($Z555="","",IF($Z555&lt;=2000,IF(INDEX(包装物料出入库明细!$E$4:$E$2003,$Z555-0)=0,"",INDEX(包装物料出入库明细!$E$4:$E$2003,$Z555-0)),IF($Z555&lt;=4000,IF(INDEX(周转筐出入库明细!$D$4:$D$2004,$Z555-2000)=0,"",INDEX(周转筐出入库明细!$D$4:$D$2004,$Z555-2000)),IF($Z555&lt;=5200,IF(INDEX(客户自备加工筐明细!$C$4:$C$1203,$Z555-4000)=0,"",INDEX(客户自备加工筐明细!$C$4:$C$1203,$Z555-4000)),IF($Z555&lt;=5800,IF(INDEX(次果筐明细!$D$4:$D$603,$Z555-5200)=0,"",INDEX(次果筐明细!$D$4:$D$603,$Z555-5200)),"")))))</f>
        <v/>
      </c>
      <c r="G555" s="24" t="str">
        <f>IF($Z555="","",IF($Z555&lt;=2000,IF(INDEX(包装物料出入库明细!$F$4:$F$2003,$Z555-0)=0,"",INDEX(包装物料出入库明细!$F$4:$F$2003,$Z555-0)),IF($Z555&lt;=4000,"",IF($Z555&lt;=5200,"",IF($Z555&lt;=5800,"","")))))</f>
        <v/>
      </c>
      <c r="H555" s="39" t="str">
        <f>IF($Z555="","",IF($Z555&lt;=2000,IF(INDEX(包装物料出入库明细!$L$4:$L$2003,$Z555-0)=0,"",INDEX(包装物料出入库明细!$L$4:$L$2003,$Z555-0)),IF($Z555&lt;=4000,N(INDEX(周转筐出入库明细!$H$4:$H$2004,$Z555-2000))+N(INDEX(周转筐出入库明细!$I$4:$I$2004,$Z555-2000))+N(INDEX(周转筐出入库明细!$J$4:$J$2004,$Z555-2000))+N(INDEX(周转筐出入库明细!$K$4:$K$2004,$Z555-2000)),IF($Z555&lt;=5200,N(INDEX(客户自备加工筐明细!$F$4:$F$1203,$Z555-4000))+N(INDEX(客户自备加工筐明细!$G$4:$G$1203,$Z555-4000)),IF($Z555&lt;=5800,IF(INDEX(次果筐明细!$G$4:$G$603,$Z555-5200)=0,"",INDEX(次果筐明细!$G$4:$G$603,$Z555-5200)),"")))))</f>
        <v/>
      </c>
      <c r="I555" s="24" t="str">
        <f>IF($Z555="","",IF($Z555&lt;=2000,IF(INDEX(包装物料出入库明细!$G$4:$G$2003,$Z555-0)=0,"",INDEX(包装物料出入库明细!$G$4:$G$2003,$Z555-0)),IF($Z555&lt;=4000,"个",IF($Z555&lt;=5200,"个",IF($Z555&lt;=5800,"个","")))))</f>
        <v/>
      </c>
      <c r="J555" s="30" t="str">
        <f t="shared" si="25"/>
        <v/>
      </c>
      <c r="K555" s="30" t="str">
        <f>IF($Z555="","",IF($Z555&lt;=2000,IF(INDEX(包装物料出入库明细!$N$4:$N$2003,$Z555-0)=0,"",INDEX(包装物料出入库明细!$N$4:$N$2003,$Z555-0)),IF($Z555&lt;=4000,IF(INDEX(周转筐出入库明细!$P$4:$P$2004,$Z555-2000)=0,"",INDEX(周转筐出入库明细!$P$4:$P$2004,$Z555-2000)),IF($Z555&lt;=5200,"",IF($Z555&lt;=5800,N(INDEX(次果筐明细!$L$4:$L$603,$Z555-5200))+N(INDEX(次果筐明细!$J$4:$J$603,$Z555-5200)),"")))))</f>
        <v/>
      </c>
      <c r="L555" s="24" t="str">
        <f>IF($Z555="","",IF($Z555&lt;=2000,IF(INDEX(包装物料出入库明细!$P$4:$P$2003,$Z555-0)=0,"",INDEX(包装物料出入库明细!$P$4:$P$2003,$Z555-0)),IF($Z555&lt;=4000,IF(INDEX(周转筐出入库明细!$Q$4:$Q$2004,$Z555-2000)=0,"",INDEX(周转筐出入库明细!$Q$4:$Q$2004,$Z555-2000)),IF($Z555&lt;=5200,"",IF($Z555&lt;=5800,IF(INDEX(次果筐明细!$M$4:$M$603,$Z555-5200)=0,"",INDEX(次果筐明细!$M$4:$M$603,$Z555-5200)),"")))))</f>
        <v/>
      </c>
      <c r="M555" s="37" t="str">
        <f>IF($Z555="","",IF($Z555&lt;=2000,IF(INDEX(包装物料出入库明细!$R$4:$R$2003,$Z555-0)=0,"",INDEX(包装物料出入库明细!$R$4:$R$2003,$Z555-0)),IF($Z555&lt;=4000,IF(INDEX(周转筐出入库明细!$W$4:$W$2004,$Z555-2000)=0,"",INDEX(周转筐出入库明细!$W$4:$W$2004,$Z555-2000)),IF($Z555&lt;=5200,IF(INDEX(客户自备加工筐明细!$L$4:$L$1203,$Z555-4000)=0,"",INDEX(客户自备加工筐明细!$L$4:$L$1203,$Z555-4000)),IF($Z555&lt;=5800,IF(INDEX(次果筐明细!$P$4:$P$603,$Z555-5200)=0,"",INDEX(次果筐明细!$P$4:$P$603,$Z555-5200)),"")))))</f>
        <v/>
      </c>
      <c r="N555" s="16" t="str">
        <f>IF($Z555="","",IF($Z555&lt;=2000,"",IF($Z555&lt;=4000,IF(INDEX(周转筐出入库明细!$D$4:$D$2004,$Z555-2000)=0,"",INDEX(周转筐出入库明细!$D$4:$D$2004,$Z555-2000)),IF($Z555&lt;=5200,IF(INDEX(客户自备加工筐明细!$C$4:$C$1203,$Z555-4000)=0,"",INDEX(客户自备加工筐明细!$C$4:$C$1203,$Z555-4000)),IF($Z555&lt;=5800,IF(INDEX(次果筐明细!$D$4:$D$603,$Z555-5200)=0,"",INDEX(次果筐明细!$D$4:$D$603,$Z555-5200)),"")))))</f>
        <v/>
      </c>
      <c r="O555" s="40" t="str">
        <f>IF($Z555="","",IF($Z555&lt;=2000,"",IF($Z555&lt;=4000,IF(N(INDEX(周转筐出入库明细!$J$4:$J$2004,$Z555-2000))+N(INDEX(周转筐出入库明细!$K$4:$K$2004,$Z555-2000))=0,"",N(INDEX(周转筐出入库明细!$J$4:$J$2004,$Z555-2000))+N(INDEX(周转筐出入库明细!$K$4:$K$2004,$Z555-2000))),IF($Z555&lt;=5200,IF(N(INDEX(客户自备加工筐明细!$G$4:$G$1203,$Z555-4000))=0,"",N(INDEX(客户自备加工筐明细!$G$4:$G$1203,$Z555-4000))),IF($Z555&lt;=5800,IF(ISNUMBER(SEARCH("退",INDEX(次果筐明细!$F$4:$F$603,$Z555-5200)&amp;"")),"",IF(N(INDEX(次果筐明细!$G$4:$G$603,$Z555-5200))=0,"",N(INDEX(次果筐明细!$G$4:$G$603,$Z555-5200)))),"")))))</f>
        <v/>
      </c>
      <c r="P555" s="40" t="str">
        <f>IF($Z555="","",IF($Z555&lt;=2000,"",IF($Z555&lt;=4000,IF(N(INDEX(周转筐出入库明细!$I$4:$I$2004,$Z555-2000))=0,"",N(INDEX(周转筐出入库明细!$I$4:$I$2004,$Z555-2000))),IF($Z555&lt;=5200,"",IF($Z555&lt;=5800,IF(ISNUMBER(SEARCH("退",INDEX(次果筐明细!$F$4:$F$603,$Z555-5200)&amp;"")),IF(N(INDEX(次果筐明细!$G$4:$G$603,$Z555-5200))=0,"",N(INDEX(次果筐明细!$G$4:$G$603,$Z555-5200))),""),"")))))</f>
        <v/>
      </c>
      <c r="Q555" s="40" t="str">
        <f>IF($Z555="","",IF($Z555&lt;=2000,"",IF($Z555&lt;=4000,IF(N(INDEX(周转筐出入库明细!$H$4:$H$2004,$Z555-2000))=0,"",N(INDEX(周转筐出入库明细!$H$4:$H$2004,$Z555-2000))),IF($Z555&lt;=5200,IF(N(INDEX(客户自备加工筐明细!$F$4:$F$1203,$Z555-4000))=0,"",N(INDEX(客户自备加工筐明细!$F$4:$F$1203,$Z555-4000))),IF($Z555&lt;=5800,"","")))))</f>
        <v/>
      </c>
      <c r="R555" s="16" t="str">
        <f>IF($Z555="","",IF($Z555&lt;=2000,IF(INDEX(包装物料出入库明细!$O$4:$O$2003,$Z555-0)=0,"",INDEX(包装物料出入库明细!$O$4:$O$2003,$Z555-0)),IF($Z555&lt;=4000,IF(INDEX(周转筐出入库明细!$M$4:$M$2004,$Z555-2000)=0,"",INDEX(周转筐出入库明细!$M$4:$M$2004,$Z555-2000)),IF($Z555&lt;=5200,IF(INDEX(客户自备加工筐明细!$H$4:$H$1203,$Z555-4000)=0,"",INDEX(客户自备加工筐明细!$H$4:$H$1203,$Z555-4000)),IF($Z555&lt;=5800,IF(INDEX(次果筐明细!$H$4:$H$603,$Z555-5200)=0,"",INDEX(次果筐明细!$H$4:$H$603,$Z555-5200)),"")))))</f>
        <v/>
      </c>
      <c r="S555" s="22" t="str">
        <f t="shared" si="26"/>
        <v/>
      </c>
      <c r="Z555" s="10" t="str">
        <f>IFERROR(MATCH(ROW()-3,_自动清单!$CQ$4:$CQ$5803,0),"")</f>
        <v/>
      </c>
    </row>
    <row r="556" spans="1:26">
      <c r="A556" s="24" t="str">
        <f t="shared" si="24"/>
        <v/>
      </c>
      <c r="B556" s="38" t="str">
        <f>IF($Z556="","",IF($Z556&lt;=2000,IF(INDEX(包装物料出入库明细!$B$4:$B$2003,$Z556-0)=0,"",INDEX(包装物料出入库明细!$B$4:$B$2003,$Z556-0)),IF($Z556&lt;=4000,IF(INDEX(周转筐出入库明细!$B$4:$B$2004,$Z556-2000)=0,"",INDEX(周转筐出入库明细!$B$4:$B$2004,$Z556-2000)),IF($Z556&lt;=5200,IF(INDEX(客户自备加工筐明细!$B$4:$B$1203,$Z556-4000)=0,"",INDEX(客户自备加工筐明细!$B$4:$B$1203,$Z556-4000)),IF($Z556&lt;=5800,IF(INDEX(次果筐明细!$B$4:$B$603,$Z556-5200)=0,"",INDEX(次果筐明细!$B$4:$B$603,$Z556-5200)),"")))))</f>
        <v/>
      </c>
      <c r="C556" s="37" t="str">
        <f>IF($Z556="","",IF($Z556&lt;=2000,IF(INDEX(包装物料出入库明细!$D$4:$D$2003,$Z556-0)=0,"",INDEX(包装物料出入库明细!$D$4:$D$2003,$Z556-0)),IF($Z556&lt;=4000,IF(INDEX(周转筐出入库明细!$C$4:$C$2004,$Z556-2000)=0,"",INDEX(周转筐出入库明细!$C$4:$C$2004,$Z556-2000)),IF($Z556&lt;=5200,IF(INDEX(客户自备加工筐明细!$E$4:$E$1203,$Z556-4000)=0,"",INDEX(客户自备加工筐明细!$E$4:$E$1203,$Z556-4000)),IF($Z556&lt;=5800,IF(INDEX(次果筐明细!$C$4:$C$603,$Z556-5200)=0,"",INDEX(次果筐明细!$C$4:$C$603,$Z556-5200)),"")))))</f>
        <v/>
      </c>
      <c r="D556" s="37" t="str">
        <f>IF($Z556="","",IF($Z556&lt;=2000,"包装物料－"&amp;INDEX(包装物料出入库明细!$H$4:$H$2003,$Z556-0),IF($Z556&lt;=4000,"周转筐－"&amp;INDEX(周转筐出入库明细!$F$4:$F$2004,$Z556-2000),IF($Z556&lt;=5200,"客户自备筐－"&amp;INDEX(客户自备加工筐明细!$J$4:$J$1203,$Z556-4000),IF($Z556&lt;=5800,"次果筐/托盘－"&amp;INDEX(次果筐明细!$F$4:$F$603,$Z556-5200),"")))))</f>
        <v/>
      </c>
      <c r="E556" s="24" t="str">
        <f>IF($Z556="","",IF($Z556&lt;=2000,IF(INDEX(包装物料出入库明细!$C$4:$C$2003,$Z556-0)=0,"",INDEX(包装物料出入库明细!$C$4:$C$2003,$Z556-0)),IF($Z556&lt;=4000,IF(INDEX(周转筐出入库明细!$E$4:$E$2004,$Z556-2000)=0,"",INDEX(周转筐出入库明细!$E$4:$E$2004,$Z556-2000)),IF($Z556&lt;=5200,IF(INDEX(客户自备加工筐明细!$D$4:$D$1203,$Z556-4000)=0,"",INDEX(客户自备加工筐明细!$D$4:$D$1203,$Z556-4000)),IF($Z556&lt;=5800,IF(INDEX(次果筐明细!$E$4:$E$603,$Z556-5200)=0,"",INDEX(次果筐明细!$E$4:$E$603,$Z556-5200)),"")))))</f>
        <v/>
      </c>
      <c r="F556" s="24" t="str">
        <f>IF($Z556="","",IF($Z556&lt;=2000,IF(INDEX(包装物料出入库明细!$E$4:$E$2003,$Z556-0)=0,"",INDEX(包装物料出入库明细!$E$4:$E$2003,$Z556-0)),IF($Z556&lt;=4000,IF(INDEX(周转筐出入库明细!$D$4:$D$2004,$Z556-2000)=0,"",INDEX(周转筐出入库明细!$D$4:$D$2004,$Z556-2000)),IF($Z556&lt;=5200,IF(INDEX(客户自备加工筐明细!$C$4:$C$1203,$Z556-4000)=0,"",INDEX(客户自备加工筐明细!$C$4:$C$1203,$Z556-4000)),IF($Z556&lt;=5800,IF(INDEX(次果筐明细!$D$4:$D$603,$Z556-5200)=0,"",INDEX(次果筐明细!$D$4:$D$603,$Z556-5200)),"")))))</f>
        <v/>
      </c>
      <c r="G556" s="24" t="str">
        <f>IF($Z556="","",IF($Z556&lt;=2000,IF(INDEX(包装物料出入库明细!$F$4:$F$2003,$Z556-0)=0,"",INDEX(包装物料出入库明细!$F$4:$F$2003,$Z556-0)),IF($Z556&lt;=4000,"",IF($Z556&lt;=5200,"",IF($Z556&lt;=5800,"","")))))</f>
        <v/>
      </c>
      <c r="H556" s="39" t="str">
        <f>IF($Z556="","",IF($Z556&lt;=2000,IF(INDEX(包装物料出入库明细!$L$4:$L$2003,$Z556-0)=0,"",INDEX(包装物料出入库明细!$L$4:$L$2003,$Z556-0)),IF($Z556&lt;=4000,N(INDEX(周转筐出入库明细!$H$4:$H$2004,$Z556-2000))+N(INDEX(周转筐出入库明细!$I$4:$I$2004,$Z556-2000))+N(INDEX(周转筐出入库明细!$J$4:$J$2004,$Z556-2000))+N(INDEX(周转筐出入库明细!$K$4:$K$2004,$Z556-2000)),IF($Z556&lt;=5200,N(INDEX(客户自备加工筐明细!$F$4:$F$1203,$Z556-4000))+N(INDEX(客户自备加工筐明细!$G$4:$G$1203,$Z556-4000)),IF($Z556&lt;=5800,IF(INDEX(次果筐明细!$G$4:$G$603,$Z556-5200)=0,"",INDEX(次果筐明细!$G$4:$G$603,$Z556-5200)),"")))))</f>
        <v/>
      </c>
      <c r="I556" s="24" t="str">
        <f>IF($Z556="","",IF($Z556&lt;=2000,IF(INDEX(包装物料出入库明细!$G$4:$G$2003,$Z556-0)=0,"",INDEX(包装物料出入库明细!$G$4:$G$2003,$Z556-0)),IF($Z556&lt;=4000,"个",IF($Z556&lt;=5200,"个",IF($Z556&lt;=5800,"个","")))))</f>
        <v/>
      </c>
      <c r="J556" s="30" t="str">
        <f t="shared" si="25"/>
        <v/>
      </c>
      <c r="K556" s="30" t="str">
        <f>IF($Z556="","",IF($Z556&lt;=2000,IF(INDEX(包装物料出入库明细!$N$4:$N$2003,$Z556-0)=0,"",INDEX(包装物料出入库明细!$N$4:$N$2003,$Z556-0)),IF($Z556&lt;=4000,IF(INDEX(周转筐出入库明细!$P$4:$P$2004,$Z556-2000)=0,"",INDEX(周转筐出入库明细!$P$4:$P$2004,$Z556-2000)),IF($Z556&lt;=5200,"",IF($Z556&lt;=5800,N(INDEX(次果筐明细!$L$4:$L$603,$Z556-5200))+N(INDEX(次果筐明细!$J$4:$J$603,$Z556-5200)),"")))))</f>
        <v/>
      </c>
      <c r="L556" s="24" t="str">
        <f>IF($Z556="","",IF($Z556&lt;=2000,IF(INDEX(包装物料出入库明细!$P$4:$P$2003,$Z556-0)=0,"",INDEX(包装物料出入库明细!$P$4:$P$2003,$Z556-0)),IF($Z556&lt;=4000,IF(INDEX(周转筐出入库明细!$Q$4:$Q$2004,$Z556-2000)=0,"",INDEX(周转筐出入库明细!$Q$4:$Q$2004,$Z556-2000)),IF($Z556&lt;=5200,"",IF($Z556&lt;=5800,IF(INDEX(次果筐明细!$M$4:$M$603,$Z556-5200)=0,"",INDEX(次果筐明细!$M$4:$M$603,$Z556-5200)),"")))))</f>
        <v/>
      </c>
      <c r="M556" s="37" t="str">
        <f>IF($Z556="","",IF($Z556&lt;=2000,IF(INDEX(包装物料出入库明细!$R$4:$R$2003,$Z556-0)=0,"",INDEX(包装物料出入库明细!$R$4:$R$2003,$Z556-0)),IF($Z556&lt;=4000,IF(INDEX(周转筐出入库明细!$W$4:$W$2004,$Z556-2000)=0,"",INDEX(周转筐出入库明细!$W$4:$W$2004,$Z556-2000)),IF($Z556&lt;=5200,IF(INDEX(客户自备加工筐明细!$L$4:$L$1203,$Z556-4000)=0,"",INDEX(客户自备加工筐明细!$L$4:$L$1203,$Z556-4000)),IF($Z556&lt;=5800,IF(INDEX(次果筐明细!$P$4:$P$603,$Z556-5200)=0,"",INDEX(次果筐明细!$P$4:$P$603,$Z556-5200)),"")))))</f>
        <v/>
      </c>
      <c r="N556" s="16" t="str">
        <f>IF($Z556="","",IF($Z556&lt;=2000,"",IF($Z556&lt;=4000,IF(INDEX(周转筐出入库明细!$D$4:$D$2004,$Z556-2000)=0,"",INDEX(周转筐出入库明细!$D$4:$D$2004,$Z556-2000)),IF($Z556&lt;=5200,IF(INDEX(客户自备加工筐明细!$C$4:$C$1203,$Z556-4000)=0,"",INDEX(客户自备加工筐明细!$C$4:$C$1203,$Z556-4000)),IF($Z556&lt;=5800,IF(INDEX(次果筐明细!$D$4:$D$603,$Z556-5200)=0,"",INDEX(次果筐明细!$D$4:$D$603,$Z556-5200)),"")))))</f>
        <v/>
      </c>
      <c r="O556" s="40" t="str">
        <f>IF($Z556="","",IF($Z556&lt;=2000,"",IF($Z556&lt;=4000,IF(N(INDEX(周转筐出入库明细!$J$4:$J$2004,$Z556-2000))+N(INDEX(周转筐出入库明细!$K$4:$K$2004,$Z556-2000))=0,"",N(INDEX(周转筐出入库明细!$J$4:$J$2004,$Z556-2000))+N(INDEX(周转筐出入库明细!$K$4:$K$2004,$Z556-2000))),IF($Z556&lt;=5200,IF(N(INDEX(客户自备加工筐明细!$G$4:$G$1203,$Z556-4000))=0,"",N(INDEX(客户自备加工筐明细!$G$4:$G$1203,$Z556-4000))),IF($Z556&lt;=5800,IF(ISNUMBER(SEARCH("退",INDEX(次果筐明细!$F$4:$F$603,$Z556-5200)&amp;"")),"",IF(N(INDEX(次果筐明细!$G$4:$G$603,$Z556-5200))=0,"",N(INDEX(次果筐明细!$G$4:$G$603,$Z556-5200)))),"")))))</f>
        <v/>
      </c>
      <c r="P556" s="40" t="str">
        <f>IF($Z556="","",IF($Z556&lt;=2000,"",IF($Z556&lt;=4000,IF(N(INDEX(周转筐出入库明细!$I$4:$I$2004,$Z556-2000))=0,"",N(INDEX(周转筐出入库明细!$I$4:$I$2004,$Z556-2000))),IF($Z556&lt;=5200,"",IF($Z556&lt;=5800,IF(ISNUMBER(SEARCH("退",INDEX(次果筐明细!$F$4:$F$603,$Z556-5200)&amp;"")),IF(N(INDEX(次果筐明细!$G$4:$G$603,$Z556-5200))=0,"",N(INDEX(次果筐明细!$G$4:$G$603,$Z556-5200))),""),"")))))</f>
        <v/>
      </c>
      <c r="Q556" s="40" t="str">
        <f>IF($Z556="","",IF($Z556&lt;=2000,"",IF($Z556&lt;=4000,IF(N(INDEX(周转筐出入库明细!$H$4:$H$2004,$Z556-2000))=0,"",N(INDEX(周转筐出入库明细!$H$4:$H$2004,$Z556-2000))),IF($Z556&lt;=5200,IF(N(INDEX(客户自备加工筐明细!$F$4:$F$1203,$Z556-4000))=0,"",N(INDEX(客户自备加工筐明细!$F$4:$F$1203,$Z556-4000))),IF($Z556&lt;=5800,"","")))))</f>
        <v/>
      </c>
      <c r="R556" s="16" t="str">
        <f>IF($Z556="","",IF($Z556&lt;=2000,IF(INDEX(包装物料出入库明细!$O$4:$O$2003,$Z556-0)=0,"",INDEX(包装物料出入库明细!$O$4:$O$2003,$Z556-0)),IF($Z556&lt;=4000,IF(INDEX(周转筐出入库明细!$M$4:$M$2004,$Z556-2000)=0,"",INDEX(周转筐出入库明细!$M$4:$M$2004,$Z556-2000)),IF($Z556&lt;=5200,IF(INDEX(客户自备加工筐明细!$H$4:$H$1203,$Z556-4000)=0,"",INDEX(客户自备加工筐明细!$H$4:$H$1203,$Z556-4000)),IF($Z556&lt;=5800,IF(INDEX(次果筐明细!$H$4:$H$603,$Z556-5200)=0,"",INDEX(次果筐明细!$H$4:$H$603,$Z556-5200)),"")))))</f>
        <v/>
      </c>
      <c r="S556" s="22" t="str">
        <f t="shared" si="26"/>
        <v/>
      </c>
      <c r="Z556" s="10" t="str">
        <f>IFERROR(MATCH(ROW()-3,_自动清单!$CQ$4:$CQ$5803,0),"")</f>
        <v/>
      </c>
    </row>
    <row r="557" spans="1:26">
      <c r="A557" s="24" t="str">
        <f t="shared" si="24"/>
        <v/>
      </c>
      <c r="B557" s="38" t="str">
        <f>IF($Z557="","",IF($Z557&lt;=2000,IF(INDEX(包装物料出入库明细!$B$4:$B$2003,$Z557-0)=0,"",INDEX(包装物料出入库明细!$B$4:$B$2003,$Z557-0)),IF($Z557&lt;=4000,IF(INDEX(周转筐出入库明细!$B$4:$B$2004,$Z557-2000)=0,"",INDEX(周转筐出入库明细!$B$4:$B$2004,$Z557-2000)),IF($Z557&lt;=5200,IF(INDEX(客户自备加工筐明细!$B$4:$B$1203,$Z557-4000)=0,"",INDEX(客户自备加工筐明细!$B$4:$B$1203,$Z557-4000)),IF($Z557&lt;=5800,IF(INDEX(次果筐明细!$B$4:$B$603,$Z557-5200)=0,"",INDEX(次果筐明细!$B$4:$B$603,$Z557-5200)),"")))))</f>
        <v/>
      </c>
      <c r="C557" s="37" t="str">
        <f>IF($Z557="","",IF($Z557&lt;=2000,IF(INDEX(包装物料出入库明细!$D$4:$D$2003,$Z557-0)=0,"",INDEX(包装物料出入库明细!$D$4:$D$2003,$Z557-0)),IF($Z557&lt;=4000,IF(INDEX(周转筐出入库明细!$C$4:$C$2004,$Z557-2000)=0,"",INDEX(周转筐出入库明细!$C$4:$C$2004,$Z557-2000)),IF($Z557&lt;=5200,IF(INDEX(客户自备加工筐明细!$E$4:$E$1203,$Z557-4000)=0,"",INDEX(客户自备加工筐明细!$E$4:$E$1203,$Z557-4000)),IF($Z557&lt;=5800,IF(INDEX(次果筐明细!$C$4:$C$603,$Z557-5200)=0,"",INDEX(次果筐明细!$C$4:$C$603,$Z557-5200)),"")))))</f>
        <v/>
      </c>
      <c r="D557" s="37" t="str">
        <f>IF($Z557="","",IF($Z557&lt;=2000,"包装物料－"&amp;INDEX(包装物料出入库明细!$H$4:$H$2003,$Z557-0),IF($Z557&lt;=4000,"周转筐－"&amp;INDEX(周转筐出入库明细!$F$4:$F$2004,$Z557-2000),IF($Z557&lt;=5200,"客户自备筐－"&amp;INDEX(客户自备加工筐明细!$J$4:$J$1203,$Z557-4000),IF($Z557&lt;=5800,"次果筐/托盘－"&amp;INDEX(次果筐明细!$F$4:$F$603,$Z557-5200),"")))))</f>
        <v/>
      </c>
      <c r="E557" s="24" t="str">
        <f>IF($Z557="","",IF($Z557&lt;=2000,IF(INDEX(包装物料出入库明细!$C$4:$C$2003,$Z557-0)=0,"",INDEX(包装物料出入库明细!$C$4:$C$2003,$Z557-0)),IF($Z557&lt;=4000,IF(INDEX(周转筐出入库明细!$E$4:$E$2004,$Z557-2000)=0,"",INDEX(周转筐出入库明细!$E$4:$E$2004,$Z557-2000)),IF($Z557&lt;=5200,IF(INDEX(客户自备加工筐明细!$D$4:$D$1203,$Z557-4000)=0,"",INDEX(客户自备加工筐明细!$D$4:$D$1203,$Z557-4000)),IF($Z557&lt;=5800,IF(INDEX(次果筐明细!$E$4:$E$603,$Z557-5200)=0,"",INDEX(次果筐明细!$E$4:$E$603,$Z557-5200)),"")))))</f>
        <v/>
      </c>
      <c r="F557" s="24" t="str">
        <f>IF($Z557="","",IF($Z557&lt;=2000,IF(INDEX(包装物料出入库明细!$E$4:$E$2003,$Z557-0)=0,"",INDEX(包装物料出入库明细!$E$4:$E$2003,$Z557-0)),IF($Z557&lt;=4000,IF(INDEX(周转筐出入库明细!$D$4:$D$2004,$Z557-2000)=0,"",INDEX(周转筐出入库明细!$D$4:$D$2004,$Z557-2000)),IF($Z557&lt;=5200,IF(INDEX(客户自备加工筐明细!$C$4:$C$1203,$Z557-4000)=0,"",INDEX(客户自备加工筐明细!$C$4:$C$1203,$Z557-4000)),IF($Z557&lt;=5800,IF(INDEX(次果筐明细!$D$4:$D$603,$Z557-5200)=0,"",INDEX(次果筐明细!$D$4:$D$603,$Z557-5200)),"")))))</f>
        <v/>
      </c>
      <c r="G557" s="24" t="str">
        <f>IF($Z557="","",IF($Z557&lt;=2000,IF(INDEX(包装物料出入库明细!$F$4:$F$2003,$Z557-0)=0,"",INDEX(包装物料出入库明细!$F$4:$F$2003,$Z557-0)),IF($Z557&lt;=4000,"",IF($Z557&lt;=5200,"",IF($Z557&lt;=5800,"","")))))</f>
        <v/>
      </c>
      <c r="H557" s="39" t="str">
        <f>IF($Z557="","",IF($Z557&lt;=2000,IF(INDEX(包装物料出入库明细!$L$4:$L$2003,$Z557-0)=0,"",INDEX(包装物料出入库明细!$L$4:$L$2003,$Z557-0)),IF($Z557&lt;=4000,N(INDEX(周转筐出入库明细!$H$4:$H$2004,$Z557-2000))+N(INDEX(周转筐出入库明细!$I$4:$I$2004,$Z557-2000))+N(INDEX(周转筐出入库明细!$J$4:$J$2004,$Z557-2000))+N(INDEX(周转筐出入库明细!$K$4:$K$2004,$Z557-2000)),IF($Z557&lt;=5200,N(INDEX(客户自备加工筐明细!$F$4:$F$1203,$Z557-4000))+N(INDEX(客户自备加工筐明细!$G$4:$G$1203,$Z557-4000)),IF($Z557&lt;=5800,IF(INDEX(次果筐明细!$G$4:$G$603,$Z557-5200)=0,"",INDEX(次果筐明细!$G$4:$G$603,$Z557-5200)),"")))))</f>
        <v/>
      </c>
      <c r="I557" s="24" t="str">
        <f>IF($Z557="","",IF($Z557&lt;=2000,IF(INDEX(包装物料出入库明细!$G$4:$G$2003,$Z557-0)=0,"",INDEX(包装物料出入库明细!$G$4:$G$2003,$Z557-0)),IF($Z557&lt;=4000,"个",IF($Z557&lt;=5200,"个",IF($Z557&lt;=5800,"个","")))))</f>
        <v/>
      </c>
      <c r="J557" s="30" t="str">
        <f t="shared" si="25"/>
        <v/>
      </c>
      <c r="K557" s="30" t="str">
        <f>IF($Z557="","",IF($Z557&lt;=2000,IF(INDEX(包装物料出入库明细!$N$4:$N$2003,$Z557-0)=0,"",INDEX(包装物料出入库明细!$N$4:$N$2003,$Z557-0)),IF($Z557&lt;=4000,IF(INDEX(周转筐出入库明细!$P$4:$P$2004,$Z557-2000)=0,"",INDEX(周转筐出入库明细!$P$4:$P$2004,$Z557-2000)),IF($Z557&lt;=5200,"",IF($Z557&lt;=5800,N(INDEX(次果筐明细!$L$4:$L$603,$Z557-5200))+N(INDEX(次果筐明细!$J$4:$J$603,$Z557-5200)),"")))))</f>
        <v/>
      </c>
      <c r="L557" s="24" t="str">
        <f>IF($Z557="","",IF($Z557&lt;=2000,IF(INDEX(包装物料出入库明细!$P$4:$P$2003,$Z557-0)=0,"",INDEX(包装物料出入库明细!$P$4:$P$2003,$Z557-0)),IF($Z557&lt;=4000,IF(INDEX(周转筐出入库明细!$Q$4:$Q$2004,$Z557-2000)=0,"",INDEX(周转筐出入库明细!$Q$4:$Q$2004,$Z557-2000)),IF($Z557&lt;=5200,"",IF($Z557&lt;=5800,IF(INDEX(次果筐明细!$M$4:$M$603,$Z557-5200)=0,"",INDEX(次果筐明细!$M$4:$M$603,$Z557-5200)),"")))))</f>
        <v/>
      </c>
      <c r="M557" s="37" t="str">
        <f>IF($Z557="","",IF($Z557&lt;=2000,IF(INDEX(包装物料出入库明细!$R$4:$R$2003,$Z557-0)=0,"",INDEX(包装物料出入库明细!$R$4:$R$2003,$Z557-0)),IF($Z557&lt;=4000,IF(INDEX(周转筐出入库明细!$W$4:$W$2004,$Z557-2000)=0,"",INDEX(周转筐出入库明细!$W$4:$W$2004,$Z557-2000)),IF($Z557&lt;=5200,IF(INDEX(客户自备加工筐明细!$L$4:$L$1203,$Z557-4000)=0,"",INDEX(客户自备加工筐明细!$L$4:$L$1203,$Z557-4000)),IF($Z557&lt;=5800,IF(INDEX(次果筐明细!$P$4:$P$603,$Z557-5200)=0,"",INDEX(次果筐明细!$P$4:$P$603,$Z557-5200)),"")))))</f>
        <v/>
      </c>
      <c r="N557" s="16" t="str">
        <f>IF($Z557="","",IF($Z557&lt;=2000,"",IF($Z557&lt;=4000,IF(INDEX(周转筐出入库明细!$D$4:$D$2004,$Z557-2000)=0,"",INDEX(周转筐出入库明细!$D$4:$D$2004,$Z557-2000)),IF($Z557&lt;=5200,IF(INDEX(客户自备加工筐明细!$C$4:$C$1203,$Z557-4000)=0,"",INDEX(客户自备加工筐明细!$C$4:$C$1203,$Z557-4000)),IF($Z557&lt;=5800,IF(INDEX(次果筐明细!$D$4:$D$603,$Z557-5200)=0,"",INDEX(次果筐明细!$D$4:$D$603,$Z557-5200)),"")))))</f>
        <v/>
      </c>
      <c r="O557" s="40" t="str">
        <f>IF($Z557="","",IF($Z557&lt;=2000,"",IF($Z557&lt;=4000,IF(N(INDEX(周转筐出入库明细!$J$4:$J$2004,$Z557-2000))+N(INDEX(周转筐出入库明细!$K$4:$K$2004,$Z557-2000))=0,"",N(INDEX(周转筐出入库明细!$J$4:$J$2004,$Z557-2000))+N(INDEX(周转筐出入库明细!$K$4:$K$2004,$Z557-2000))),IF($Z557&lt;=5200,IF(N(INDEX(客户自备加工筐明细!$G$4:$G$1203,$Z557-4000))=0,"",N(INDEX(客户自备加工筐明细!$G$4:$G$1203,$Z557-4000))),IF($Z557&lt;=5800,IF(ISNUMBER(SEARCH("退",INDEX(次果筐明细!$F$4:$F$603,$Z557-5200)&amp;"")),"",IF(N(INDEX(次果筐明细!$G$4:$G$603,$Z557-5200))=0,"",N(INDEX(次果筐明细!$G$4:$G$603,$Z557-5200)))),"")))))</f>
        <v/>
      </c>
      <c r="P557" s="40" t="str">
        <f>IF($Z557="","",IF($Z557&lt;=2000,"",IF($Z557&lt;=4000,IF(N(INDEX(周转筐出入库明细!$I$4:$I$2004,$Z557-2000))=0,"",N(INDEX(周转筐出入库明细!$I$4:$I$2004,$Z557-2000))),IF($Z557&lt;=5200,"",IF($Z557&lt;=5800,IF(ISNUMBER(SEARCH("退",INDEX(次果筐明细!$F$4:$F$603,$Z557-5200)&amp;"")),IF(N(INDEX(次果筐明细!$G$4:$G$603,$Z557-5200))=0,"",N(INDEX(次果筐明细!$G$4:$G$603,$Z557-5200))),""),"")))))</f>
        <v/>
      </c>
      <c r="Q557" s="40" t="str">
        <f>IF($Z557="","",IF($Z557&lt;=2000,"",IF($Z557&lt;=4000,IF(N(INDEX(周转筐出入库明细!$H$4:$H$2004,$Z557-2000))=0,"",N(INDEX(周转筐出入库明细!$H$4:$H$2004,$Z557-2000))),IF($Z557&lt;=5200,IF(N(INDEX(客户自备加工筐明细!$F$4:$F$1203,$Z557-4000))=0,"",N(INDEX(客户自备加工筐明细!$F$4:$F$1203,$Z557-4000))),IF($Z557&lt;=5800,"","")))))</f>
        <v/>
      </c>
      <c r="R557" s="16" t="str">
        <f>IF($Z557="","",IF($Z557&lt;=2000,IF(INDEX(包装物料出入库明细!$O$4:$O$2003,$Z557-0)=0,"",INDEX(包装物料出入库明细!$O$4:$O$2003,$Z557-0)),IF($Z557&lt;=4000,IF(INDEX(周转筐出入库明细!$M$4:$M$2004,$Z557-2000)=0,"",INDEX(周转筐出入库明细!$M$4:$M$2004,$Z557-2000)),IF($Z557&lt;=5200,IF(INDEX(客户自备加工筐明细!$H$4:$H$1203,$Z557-4000)=0,"",INDEX(客户自备加工筐明细!$H$4:$H$1203,$Z557-4000)),IF($Z557&lt;=5800,IF(INDEX(次果筐明细!$H$4:$H$603,$Z557-5200)=0,"",INDEX(次果筐明细!$H$4:$H$603,$Z557-5200)),"")))))</f>
        <v/>
      </c>
      <c r="S557" s="22" t="str">
        <f t="shared" si="26"/>
        <v/>
      </c>
      <c r="Z557" s="10" t="str">
        <f>IFERROR(MATCH(ROW()-3,_自动清单!$CQ$4:$CQ$5803,0),"")</f>
        <v/>
      </c>
    </row>
    <row r="558" spans="1:26">
      <c r="A558" s="24" t="str">
        <f t="shared" si="24"/>
        <v/>
      </c>
      <c r="B558" s="38" t="str">
        <f>IF($Z558="","",IF($Z558&lt;=2000,IF(INDEX(包装物料出入库明细!$B$4:$B$2003,$Z558-0)=0,"",INDEX(包装物料出入库明细!$B$4:$B$2003,$Z558-0)),IF($Z558&lt;=4000,IF(INDEX(周转筐出入库明细!$B$4:$B$2004,$Z558-2000)=0,"",INDEX(周转筐出入库明细!$B$4:$B$2004,$Z558-2000)),IF($Z558&lt;=5200,IF(INDEX(客户自备加工筐明细!$B$4:$B$1203,$Z558-4000)=0,"",INDEX(客户自备加工筐明细!$B$4:$B$1203,$Z558-4000)),IF($Z558&lt;=5800,IF(INDEX(次果筐明细!$B$4:$B$603,$Z558-5200)=0,"",INDEX(次果筐明细!$B$4:$B$603,$Z558-5200)),"")))))</f>
        <v/>
      </c>
      <c r="C558" s="37" t="str">
        <f>IF($Z558="","",IF($Z558&lt;=2000,IF(INDEX(包装物料出入库明细!$D$4:$D$2003,$Z558-0)=0,"",INDEX(包装物料出入库明细!$D$4:$D$2003,$Z558-0)),IF($Z558&lt;=4000,IF(INDEX(周转筐出入库明细!$C$4:$C$2004,$Z558-2000)=0,"",INDEX(周转筐出入库明细!$C$4:$C$2004,$Z558-2000)),IF($Z558&lt;=5200,IF(INDEX(客户自备加工筐明细!$E$4:$E$1203,$Z558-4000)=0,"",INDEX(客户自备加工筐明细!$E$4:$E$1203,$Z558-4000)),IF($Z558&lt;=5800,IF(INDEX(次果筐明细!$C$4:$C$603,$Z558-5200)=0,"",INDEX(次果筐明细!$C$4:$C$603,$Z558-5200)),"")))))</f>
        <v/>
      </c>
      <c r="D558" s="37" t="str">
        <f>IF($Z558="","",IF($Z558&lt;=2000,"包装物料－"&amp;INDEX(包装物料出入库明细!$H$4:$H$2003,$Z558-0),IF($Z558&lt;=4000,"周转筐－"&amp;INDEX(周转筐出入库明细!$F$4:$F$2004,$Z558-2000),IF($Z558&lt;=5200,"客户自备筐－"&amp;INDEX(客户自备加工筐明细!$J$4:$J$1203,$Z558-4000),IF($Z558&lt;=5800,"次果筐/托盘－"&amp;INDEX(次果筐明细!$F$4:$F$603,$Z558-5200),"")))))</f>
        <v/>
      </c>
      <c r="E558" s="24" t="str">
        <f>IF($Z558="","",IF($Z558&lt;=2000,IF(INDEX(包装物料出入库明细!$C$4:$C$2003,$Z558-0)=0,"",INDEX(包装物料出入库明细!$C$4:$C$2003,$Z558-0)),IF($Z558&lt;=4000,IF(INDEX(周转筐出入库明细!$E$4:$E$2004,$Z558-2000)=0,"",INDEX(周转筐出入库明细!$E$4:$E$2004,$Z558-2000)),IF($Z558&lt;=5200,IF(INDEX(客户自备加工筐明细!$D$4:$D$1203,$Z558-4000)=0,"",INDEX(客户自备加工筐明细!$D$4:$D$1203,$Z558-4000)),IF($Z558&lt;=5800,IF(INDEX(次果筐明细!$E$4:$E$603,$Z558-5200)=0,"",INDEX(次果筐明细!$E$4:$E$603,$Z558-5200)),"")))))</f>
        <v/>
      </c>
      <c r="F558" s="24" t="str">
        <f>IF($Z558="","",IF($Z558&lt;=2000,IF(INDEX(包装物料出入库明细!$E$4:$E$2003,$Z558-0)=0,"",INDEX(包装物料出入库明细!$E$4:$E$2003,$Z558-0)),IF($Z558&lt;=4000,IF(INDEX(周转筐出入库明细!$D$4:$D$2004,$Z558-2000)=0,"",INDEX(周转筐出入库明细!$D$4:$D$2004,$Z558-2000)),IF($Z558&lt;=5200,IF(INDEX(客户自备加工筐明细!$C$4:$C$1203,$Z558-4000)=0,"",INDEX(客户自备加工筐明细!$C$4:$C$1203,$Z558-4000)),IF($Z558&lt;=5800,IF(INDEX(次果筐明细!$D$4:$D$603,$Z558-5200)=0,"",INDEX(次果筐明细!$D$4:$D$603,$Z558-5200)),"")))))</f>
        <v/>
      </c>
      <c r="G558" s="24" t="str">
        <f>IF($Z558="","",IF($Z558&lt;=2000,IF(INDEX(包装物料出入库明细!$F$4:$F$2003,$Z558-0)=0,"",INDEX(包装物料出入库明细!$F$4:$F$2003,$Z558-0)),IF($Z558&lt;=4000,"",IF($Z558&lt;=5200,"",IF($Z558&lt;=5800,"","")))))</f>
        <v/>
      </c>
      <c r="H558" s="39" t="str">
        <f>IF($Z558="","",IF($Z558&lt;=2000,IF(INDEX(包装物料出入库明细!$L$4:$L$2003,$Z558-0)=0,"",INDEX(包装物料出入库明细!$L$4:$L$2003,$Z558-0)),IF($Z558&lt;=4000,N(INDEX(周转筐出入库明细!$H$4:$H$2004,$Z558-2000))+N(INDEX(周转筐出入库明细!$I$4:$I$2004,$Z558-2000))+N(INDEX(周转筐出入库明细!$J$4:$J$2004,$Z558-2000))+N(INDEX(周转筐出入库明细!$K$4:$K$2004,$Z558-2000)),IF($Z558&lt;=5200,N(INDEX(客户自备加工筐明细!$F$4:$F$1203,$Z558-4000))+N(INDEX(客户自备加工筐明细!$G$4:$G$1203,$Z558-4000)),IF($Z558&lt;=5800,IF(INDEX(次果筐明细!$G$4:$G$603,$Z558-5200)=0,"",INDEX(次果筐明细!$G$4:$G$603,$Z558-5200)),"")))))</f>
        <v/>
      </c>
      <c r="I558" s="24" t="str">
        <f>IF($Z558="","",IF($Z558&lt;=2000,IF(INDEX(包装物料出入库明细!$G$4:$G$2003,$Z558-0)=0,"",INDEX(包装物料出入库明细!$G$4:$G$2003,$Z558-0)),IF($Z558&lt;=4000,"个",IF($Z558&lt;=5200,"个",IF($Z558&lt;=5800,"个","")))))</f>
        <v/>
      </c>
      <c r="J558" s="30" t="str">
        <f t="shared" si="25"/>
        <v/>
      </c>
      <c r="K558" s="30" t="str">
        <f>IF($Z558="","",IF($Z558&lt;=2000,IF(INDEX(包装物料出入库明细!$N$4:$N$2003,$Z558-0)=0,"",INDEX(包装物料出入库明细!$N$4:$N$2003,$Z558-0)),IF($Z558&lt;=4000,IF(INDEX(周转筐出入库明细!$P$4:$P$2004,$Z558-2000)=0,"",INDEX(周转筐出入库明细!$P$4:$P$2004,$Z558-2000)),IF($Z558&lt;=5200,"",IF($Z558&lt;=5800,N(INDEX(次果筐明细!$L$4:$L$603,$Z558-5200))+N(INDEX(次果筐明细!$J$4:$J$603,$Z558-5200)),"")))))</f>
        <v/>
      </c>
      <c r="L558" s="24" t="str">
        <f>IF($Z558="","",IF($Z558&lt;=2000,IF(INDEX(包装物料出入库明细!$P$4:$P$2003,$Z558-0)=0,"",INDEX(包装物料出入库明细!$P$4:$P$2003,$Z558-0)),IF($Z558&lt;=4000,IF(INDEX(周转筐出入库明细!$Q$4:$Q$2004,$Z558-2000)=0,"",INDEX(周转筐出入库明细!$Q$4:$Q$2004,$Z558-2000)),IF($Z558&lt;=5200,"",IF($Z558&lt;=5800,IF(INDEX(次果筐明细!$M$4:$M$603,$Z558-5200)=0,"",INDEX(次果筐明细!$M$4:$M$603,$Z558-5200)),"")))))</f>
        <v/>
      </c>
      <c r="M558" s="37" t="str">
        <f>IF($Z558="","",IF($Z558&lt;=2000,IF(INDEX(包装物料出入库明细!$R$4:$R$2003,$Z558-0)=0,"",INDEX(包装物料出入库明细!$R$4:$R$2003,$Z558-0)),IF($Z558&lt;=4000,IF(INDEX(周转筐出入库明细!$W$4:$W$2004,$Z558-2000)=0,"",INDEX(周转筐出入库明细!$W$4:$W$2004,$Z558-2000)),IF($Z558&lt;=5200,IF(INDEX(客户自备加工筐明细!$L$4:$L$1203,$Z558-4000)=0,"",INDEX(客户自备加工筐明细!$L$4:$L$1203,$Z558-4000)),IF($Z558&lt;=5800,IF(INDEX(次果筐明细!$P$4:$P$603,$Z558-5200)=0,"",INDEX(次果筐明细!$P$4:$P$603,$Z558-5200)),"")))))</f>
        <v/>
      </c>
      <c r="N558" s="16" t="str">
        <f>IF($Z558="","",IF($Z558&lt;=2000,"",IF($Z558&lt;=4000,IF(INDEX(周转筐出入库明细!$D$4:$D$2004,$Z558-2000)=0,"",INDEX(周转筐出入库明细!$D$4:$D$2004,$Z558-2000)),IF($Z558&lt;=5200,IF(INDEX(客户自备加工筐明细!$C$4:$C$1203,$Z558-4000)=0,"",INDEX(客户自备加工筐明细!$C$4:$C$1203,$Z558-4000)),IF($Z558&lt;=5800,IF(INDEX(次果筐明细!$D$4:$D$603,$Z558-5200)=0,"",INDEX(次果筐明细!$D$4:$D$603,$Z558-5200)),"")))))</f>
        <v/>
      </c>
      <c r="O558" s="40" t="str">
        <f>IF($Z558="","",IF($Z558&lt;=2000,"",IF($Z558&lt;=4000,IF(N(INDEX(周转筐出入库明细!$J$4:$J$2004,$Z558-2000))+N(INDEX(周转筐出入库明细!$K$4:$K$2004,$Z558-2000))=0,"",N(INDEX(周转筐出入库明细!$J$4:$J$2004,$Z558-2000))+N(INDEX(周转筐出入库明细!$K$4:$K$2004,$Z558-2000))),IF($Z558&lt;=5200,IF(N(INDEX(客户自备加工筐明细!$G$4:$G$1203,$Z558-4000))=0,"",N(INDEX(客户自备加工筐明细!$G$4:$G$1203,$Z558-4000))),IF($Z558&lt;=5800,IF(ISNUMBER(SEARCH("退",INDEX(次果筐明细!$F$4:$F$603,$Z558-5200)&amp;"")),"",IF(N(INDEX(次果筐明细!$G$4:$G$603,$Z558-5200))=0,"",N(INDEX(次果筐明细!$G$4:$G$603,$Z558-5200)))),"")))))</f>
        <v/>
      </c>
      <c r="P558" s="40" t="str">
        <f>IF($Z558="","",IF($Z558&lt;=2000,"",IF($Z558&lt;=4000,IF(N(INDEX(周转筐出入库明细!$I$4:$I$2004,$Z558-2000))=0,"",N(INDEX(周转筐出入库明细!$I$4:$I$2004,$Z558-2000))),IF($Z558&lt;=5200,"",IF($Z558&lt;=5800,IF(ISNUMBER(SEARCH("退",INDEX(次果筐明细!$F$4:$F$603,$Z558-5200)&amp;"")),IF(N(INDEX(次果筐明细!$G$4:$G$603,$Z558-5200))=0,"",N(INDEX(次果筐明细!$G$4:$G$603,$Z558-5200))),""),"")))))</f>
        <v/>
      </c>
      <c r="Q558" s="40" t="str">
        <f>IF($Z558="","",IF($Z558&lt;=2000,"",IF($Z558&lt;=4000,IF(N(INDEX(周转筐出入库明细!$H$4:$H$2004,$Z558-2000))=0,"",N(INDEX(周转筐出入库明细!$H$4:$H$2004,$Z558-2000))),IF($Z558&lt;=5200,IF(N(INDEX(客户自备加工筐明细!$F$4:$F$1203,$Z558-4000))=0,"",N(INDEX(客户自备加工筐明细!$F$4:$F$1203,$Z558-4000))),IF($Z558&lt;=5800,"","")))))</f>
        <v/>
      </c>
      <c r="R558" s="16" t="str">
        <f>IF($Z558="","",IF($Z558&lt;=2000,IF(INDEX(包装物料出入库明细!$O$4:$O$2003,$Z558-0)=0,"",INDEX(包装物料出入库明细!$O$4:$O$2003,$Z558-0)),IF($Z558&lt;=4000,IF(INDEX(周转筐出入库明细!$M$4:$M$2004,$Z558-2000)=0,"",INDEX(周转筐出入库明细!$M$4:$M$2004,$Z558-2000)),IF($Z558&lt;=5200,IF(INDEX(客户自备加工筐明细!$H$4:$H$1203,$Z558-4000)=0,"",INDEX(客户自备加工筐明细!$H$4:$H$1203,$Z558-4000)),IF($Z558&lt;=5800,IF(INDEX(次果筐明细!$H$4:$H$603,$Z558-5200)=0,"",INDEX(次果筐明细!$H$4:$H$603,$Z558-5200)),"")))))</f>
        <v/>
      </c>
      <c r="S558" s="22" t="str">
        <f t="shared" si="26"/>
        <v/>
      </c>
      <c r="Z558" s="10" t="str">
        <f>IFERROR(MATCH(ROW()-3,_自动清单!$CQ$4:$CQ$5803,0),"")</f>
        <v/>
      </c>
    </row>
    <row r="559" spans="1:26">
      <c r="A559" s="24" t="str">
        <f t="shared" si="24"/>
        <v/>
      </c>
      <c r="B559" s="38" t="str">
        <f>IF($Z559="","",IF($Z559&lt;=2000,IF(INDEX(包装物料出入库明细!$B$4:$B$2003,$Z559-0)=0,"",INDEX(包装物料出入库明细!$B$4:$B$2003,$Z559-0)),IF($Z559&lt;=4000,IF(INDEX(周转筐出入库明细!$B$4:$B$2004,$Z559-2000)=0,"",INDEX(周转筐出入库明细!$B$4:$B$2004,$Z559-2000)),IF($Z559&lt;=5200,IF(INDEX(客户自备加工筐明细!$B$4:$B$1203,$Z559-4000)=0,"",INDEX(客户自备加工筐明细!$B$4:$B$1203,$Z559-4000)),IF($Z559&lt;=5800,IF(INDEX(次果筐明细!$B$4:$B$603,$Z559-5200)=0,"",INDEX(次果筐明细!$B$4:$B$603,$Z559-5200)),"")))))</f>
        <v/>
      </c>
      <c r="C559" s="37" t="str">
        <f>IF($Z559="","",IF($Z559&lt;=2000,IF(INDEX(包装物料出入库明细!$D$4:$D$2003,$Z559-0)=0,"",INDEX(包装物料出入库明细!$D$4:$D$2003,$Z559-0)),IF($Z559&lt;=4000,IF(INDEX(周转筐出入库明细!$C$4:$C$2004,$Z559-2000)=0,"",INDEX(周转筐出入库明细!$C$4:$C$2004,$Z559-2000)),IF($Z559&lt;=5200,IF(INDEX(客户自备加工筐明细!$E$4:$E$1203,$Z559-4000)=0,"",INDEX(客户自备加工筐明细!$E$4:$E$1203,$Z559-4000)),IF($Z559&lt;=5800,IF(INDEX(次果筐明细!$C$4:$C$603,$Z559-5200)=0,"",INDEX(次果筐明细!$C$4:$C$603,$Z559-5200)),"")))))</f>
        <v/>
      </c>
      <c r="D559" s="37" t="str">
        <f>IF($Z559="","",IF($Z559&lt;=2000,"包装物料－"&amp;INDEX(包装物料出入库明细!$H$4:$H$2003,$Z559-0),IF($Z559&lt;=4000,"周转筐－"&amp;INDEX(周转筐出入库明细!$F$4:$F$2004,$Z559-2000),IF($Z559&lt;=5200,"客户自备筐－"&amp;INDEX(客户自备加工筐明细!$J$4:$J$1203,$Z559-4000),IF($Z559&lt;=5800,"次果筐/托盘－"&amp;INDEX(次果筐明细!$F$4:$F$603,$Z559-5200),"")))))</f>
        <v/>
      </c>
      <c r="E559" s="24" t="str">
        <f>IF($Z559="","",IF($Z559&lt;=2000,IF(INDEX(包装物料出入库明细!$C$4:$C$2003,$Z559-0)=0,"",INDEX(包装物料出入库明细!$C$4:$C$2003,$Z559-0)),IF($Z559&lt;=4000,IF(INDEX(周转筐出入库明细!$E$4:$E$2004,$Z559-2000)=0,"",INDEX(周转筐出入库明细!$E$4:$E$2004,$Z559-2000)),IF($Z559&lt;=5200,IF(INDEX(客户自备加工筐明细!$D$4:$D$1203,$Z559-4000)=0,"",INDEX(客户自备加工筐明细!$D$4:$D$1203,$Z559-4000)),IF($Z559&lt;=5800,IF(INDEX(次果筐明细!$E$4:$E$603,$Z559-5200)=0,"",INDEX(次果筐明细!$E$4:$E$603,$Z559-5200)),"")))))</f>
        <v/>
      </c>
      <c r="F559" s="24" t="str">
        <f>IF($Z559="","",IF($Z559&lt;=2000,IF(INDEX(包装物料出入库明细!$E$4:$E$2003,$Z559-0)=0,"",INDEX(包装物料出入库明细!$E$4:$E$2003,$Z559-0)),IF($Z559&lt;=4000,IF(INDEX(周转筐出入库明细!$D$4:$D$2004,$Z559-2000)=0,"",INDEX(周转筐出入库明细!$D$4:$D$2004,$Z559-2000)),IF($Z559&lt;=5200,IF(INDEX(客户自备加工筐明细!$C$4:$C$1203,$Z559-4000)=0,"",INDEX(客户自备加工筐明细!$C$4:$C$1203,$Z559-4000)),IF($Z559&lt;=5800,IF(INDEX(次果筐明细!$D$4:$D$603,$Z559-5200)=0,"",INDEX(次果筐明细!$D$4:$D$603,$Z559-5200)),"")))))</f>
        <v/>
      </c>
      <c r="G559" s="24" t="str">
        <f>IF($Z559="","",IF($Z559&lt;=2000,IF(INDEX(包装物料出入库明细!$F$4:$F$2003,$Z559-0)=0,"",INDEX(包装物料出入库明细!$F$4:$F$2003,$Z559-0)),IF($Z559&lt;=4000,"",IF($Z559&lt;=5200,"",IF($Z559&lt;=5800,"","")))))</f>
        <v/>
      </c>
      <c r="H559" s="39" t="str">
        <f>IF($Z559="","",IF($Z559&lt;=2000,IF(INDEX(包装物料出入库明细!$L$4:$L$2003,$Z559-0)=0,"",INDEX(包装物料出入库明细!$L$4:$L$2003,$Z559-0)),IF($Z559&lt;=4000,N(INDEX(周转筐出入库明细!$H$4:$H$2004,$Z559-2000))+N(INDEX(周转筐出入库明细!$I$4:$I$2004,$Z559-2000))+N(INDEX(周转筐出入库明细!$J$4:$J$2004,$Z559-2000))+N(INDEX(周转筐出入库明细!$K$4:$K$2004,$Z559-2000)),IF($Z559&lt;=5200,N(INDEX(客户自备加工筐明细!$F$4:$F$1203,$Z559-4000))+N(INDEX(客户自备加工筐明细!$G$4:$G$1203,$Z559-4000)),IF($Z559&lt;=5800,IF(INDEX(次果筐明细!$G$4:$G$603,$Z559-5200)=0,"",INDEX(次果筐明细!$G$4:$G$603,$Z559-5200)),"")))))</f>
        <v/>
      </c>
      <c r="I559" s="24" t="str">
        <f>IF($Z559="","",IF($Z559&lt;=2000,IF(INDEX(包装物料出入库明细!$G$4:$G$2003,$Z559-0)=0,"",INDEX(包装物料出入库明细!$G$4:$G$2003,$Z559-0)),IF($Z559&lt;=4000,"个",IF($Z559&lt;=5200,"个",IF($Z559&lt;=5800,"个","")))))</f>
        <v/>
      </c>
      <c r="J559" s="30" t="str">
        <f t="shared" si="25"/>
        <v/>
      </c>
      <c r="K559" s="30" t="str">
        <f>IF($Z559="","",IF($Z559&lt;=2000,IF(INDEX(包装物料出入库明细!$N$4:$N$2003,$Z559-0)=0,"",INDEX(包装物料出入库明细!$N$4:$N$2003,$Z559-0)),IF($Z559&lt;=4000,IF(INDEX(周转筐出入库明细!$P$4:$P$2004,$Z559-2000)=0,"",INDEX(周转筐出入库明细!$P$4:$P$2004,$Z559-2000)),IF($Z559&lt;=5200,"",IF($Z559&lt;=5800,N(INDEX(次果筐明细!$L$4:$L$603,$Z559-5200))+N(INDEX(次果筐明细!$J$4:$J$603,$Z559-5200)),"")))))</f>
        <v/>
      </c>
      <c r="L559" s="24" t="str">
        <f>IF($Z559="","",IF($Z559&lt;=2000,IF(INDEX(包装物料出入库明细!$P$4:$P$2003,$Z559-0)=0,"",INDEX(包装物料出入库明细!$P$4:$P$2003,$Z559-0)),IF($Z559&lt;=4000,IF(INDEX(周转筐出入库明细!$Q$4:$Q$2004,$Z559-2000)=0,"",INDEX(周转筐出入库明细!$Q$4:$Q$2004,$Z559-2000)),IF($Z559&lt;=5200,"",IF($Z559&lt;=5800,IF(INDEX(次果筐明细!$M$4:$M$603,$Z559-5200)=0,"",INDEX(次果筐明细!$M$4:$M$603,$Z559-5200)),"")))))</f>
        <v/>
      </c>
      <c r="M559" s="37" t="str">
        <f>IF($Z559="","",IF($Z559&lt;=2000,IF(INDEX(包装物料出入库明细!$R$4:$R$2003,$Z559-0)=0,"",INDEX(包装物料出入库明细!$R$4:$R$2003,$Z559-0)),IF($Z559&lt;=4000,IF(INDEX(周转筐出入库明细!$W$4:$W$2004,$Z559-2000)=0,"",INDEX(周转筐出入库明细!$W$4:$W$2004,$Z559-2000)),IF($Z559&lt;=5200,IF(INDEX(客户自备加工筐明细!$L$4:$L$1203,$Z559-4000)=0,"",INDEX(客户自备加工筐明细!$L$4:$L$1203,$Z559-4000)),IF($Z559&lt;=5800,IF(INDEX(次果筐明细!$P$4:$P$603,$Z559-5200)=0,"",INDEX(次果筐明细!$P$4:$P$603,$Z559-5200)),"")))))</f>
        <v/>
      </c>
      <c r="N559" s="16" t="str">
        <f>IF($Z559="","",IF($Z559&lt;=2000,"",IF($Z559&lt;=4000,IF(INDEX(周转筐出入库明细!$D$4:$D$2004,$Z559-2000)=0,"",INDEX(周转筐出入库明细!$D$4:$D$2004,$Z559-2000)),IF($Z559&lt;=5200,IF(INDEX(客户自备加工筐明细!$C$4:$C$1203,$Z559-4000)=0,"",INDEX(客户自备加工筐明细!$C$4:$C$1203,$Z559-4000)),IF($Z559&lt;=5800,IF(INDEX(次果筐明细!$D$4:$D$603,$Z559-5200)=0,"",INDEX(次果筐明细!$D$4:$D$603,$Z559-5200)),"")))))</f>
        <v/>
      </c>
      <c r="O559" s="40" t="str">
        <f>IF($Z559="","",IF($Z559&lt;=2000,"",IF($Z559&lt;=4000,IF(N(INDEX(周转筐出入库明细!$J$4:$J$2004,$Z559-2000))+N(INDEX(周转筐出入库明细!$K$4:$K$2004,$Z559-2000))=0,"",N(INDEX(周转筐出入库明细!$J$4:$J$2004,$Z559-2000))+N(INDEX(周转筐出入库明细!$K$4:$K$2004,$Z559-2000))),IF($Z559&lt;=5200,IF(N(INDEX(客户自备加工筐明细!$G$4:$G$1203,$Z559-4000))=0,"",N(INDEX(客户自备加工筐明细!$G$4:$G$1203,$Z559-4000))),IF($Z559&lt;=5800,IF(ISNUMBER(SEARCH("退",INDEX(次果筐明细!$F$4:$F$603,$Z559-5200)&amp;"")),"",IF(N(INDEX(次果筐明细!$G$4:$G$603,$Z559-5200))=0,"",N(INDEX(次果筐明细!$G$4:$G$603,$Z559-5200)))),"")))))</f>
        <v/>
      </c>
      <c r="P559" s="40" t="str">
        <f>IF($Z559="","",IF($Z559&lt;=2000,"",IF($Z559&lt;=4000,IF(N(INDEX(周转筐出入库明细!$I$4:$I$2004,$Z559-2000))=0,"",N(INDEX(周转筐出入库明细!$I$4:$I$2004,$Z559-2000))),IF($Z559&lt;=5200,"",IF($Z559&lt;=5800,IF(ISNUMBER(SEARCH("退",INDEX(次果筐明细!$F$4:$F$603,$Z559-5200)&amp;"")),IF(N(INDEX(次果筐明细!$G$4:$G$603,$Z559-5200))=0,"",N(INDEX(次果筐明细!$G$4:$G$603,$Z559-5200))),""),"")))))</f>
        <v/>
      </c>
      <c r="Q559" s="40" t="str">
        <f>IF($Z559="","",IF($Z559&lt;=2000,"",IF($Z559&lt;=4000,IF(N(INDEX(周转筐出入库明细!$H$4:$H$2004,$Z559-2000))=0,"",N(INDEX(周转筐出入库明细!$H$4:$H$2004,$Z559-2000))),IF($Z559&lt;=5200,IF(N(INDEX(客户自备加工筐明细!$F$4:$F$1203,$Z559-4000))=0,"",N(INDEX(客户自备加工筐明细!$F$4:$F$1203,$Z559-4000))),IF($Z559&lt;=5800,"","")))))</f>
        <v/>
      </c>
      <c r="R559" s="16" t="str">
        <f>IF($Z559="","",IF($Z559&lt;=2000,IF(INDEX(包装物料出入库明细!$O$4:$O$2003,$Z559-0)=0,"",INDEX(包装物料出入库明细!$O$4:$O$2003,$Z559-0)),IF($Z559&lt;=4000,IF(INDEX(周转筐出入库明细!$M$4:$M$2004,$Z559-2000)=0,"",INDEX(周转筐出入库明细!$M$4:$M$2004,$Z559-2000)),IF($Z559&lt;=5200,IF(INDEX(客户自备加工筐明细!$H$4:$H$1203,$Z559-4000)=0,"",INDEX(客户自备加工筐明细!$H$4:$H$1203,$Z559-4000)),IF($Z559&lt;=5800,IF(INDEX(次果筐明细!$H$4:$H$603,$Z559-5200)=0,"",INDEX(次果筐明细!$H$4:$H$603,$Z559-5200)),"")))))</f>
        <v/>
      </c>
      <c r="S559" s="22" t="str">
        <f t="shared" si="26"/>
        <v/>
      </c>
      <c r="Z559" s="10" t="str">
        <f>IFERROR(MATCH(ROW()-3,_自动清单!$CQ$4:$CQ$5803,0),"")</f>
        <v/>
      </c>
    </row>
    <row r="560" spans="1:26">
      <c r="A560" s="24" t="str">
        <f t="shared" si="24"/>
        <v/>
      </c>
      <c r="B560" s="38" t="str">
        <f>IF($Z560="","",IF($Z560&lt;=2000,IF(INDEX(包装物料出入库明细!$B$4:$B$2003,$Z560-0)=0,"",INDEX(包装物料出入库明细!$B$4:$B$2003,$Z560-0)),IF($Z560&lt;=4000,IF(INDEX(周转筐出入库明细!$B$4:$B$2004,$Z560-2000)=0,"",INDEX(周转筐出入库明细!$B$4:$B$2004,$Z560-2000)),IF($Z560&lt;=5200,IF(INDEX(客户自备加工筐明细!$B$4:$B$1203,$Z560-4000)=0,"",INDEX(客户自备加工筐明细!$B$4:$B$1203,$Z560-4000)),IF($Z560&lt;=5800,IF(INDEX(次果筐明细!$B$4:$B$603,$Z560-5200)=0,"",INDEX(次果筐明细!$B$4:$B$603,$Z560-5200)),"")))))</f>
        <v/>
      </c>
      <c r="C560" s="37" t="str">
        <f>IF($Z560="","",IF($Z560&lt;=2000,IF(INDEX(包装物料出入库明细!$D$4:$D$2003,$Z560-0)=0,"",INDEX(包装物料出入库明细!$D$4:$D$2003,$Z560-0)),IF($Z560&lt;=4000,IF(INDEX(周转筐出入库明细!$C$4:$C$2004,$Z560-2000)=0,"",INDEX(周转筐出入库明细!$C$4:$C$2004,$Z560-2000)),IF($Z560&lt;=5200,IF(INDEX(客户自备加工筐明细!$E$4:$E$1203,$Z560-4000)=0,"",INDEX(客户自备加工筐明细!$E$4:$E$1203,$Z560-4000)),IF($Z560&lt;=5800,IF(INDEX(次果筐明细!$C$4:$C$603,$Z560-5200)=0,"",INDEX(次果筐明细!$C$4:$C$603,$Z560-5200)),"")))))</f>
        <v/>
      </c>
      <c r="D560" s="37" t="str">
        <f>IF($Z560="","",IF($Z560&lt;=2000,"包装物料－"&amp;INDEX(包装物料出入库明细!$H$4:$H$2003,$Z560-0),IF($Z560&lt;=4000,"周转筐－"&amp;INDEX(周转筐出入库明细!$F$4:$F$2004,$Z560-2000),IF($Z560&lt;=5200,"客户自备筐－"&amp;INDEX(客户自备加工筐明细!$J$4:$J$1203,$Z560-4000),IF($Z560&lt;=5800,"次果筐/托盘－"&amp;INDEX(次果筐明细!$F$4:$F$603,$Z560-5200),"")))))</f>
        <v/>
      </c>
      <c r="E560" s="24" t="str">
        <f>IF($Z560="","",IF($Z560&lt;=2000,IF(INDEX(包装物料出入库明细!$C$4:$C$2003,$Z560-0)=0,"",INDEX(包装物料出入库明细!$C$4:$C$2003,$Z560-0)),IF($Z560&lt;=4000,IF(INDEX(周转筐出入库明细!$E$4:$E$2004,$Z560-2000)=0,"",INDEX(周转筐出入库明细!$E$4:$E$2004,$Z560-2000)),IF($Z560&lt;=5200,IF(INDEX(客户自备加工筐明细!$D$4:$D$1203,$Z560-4000)=0,"",INDEX(客户自备加工筐明细!$D$4:$D$1203,$Z560-4000)),IF($Z560&lt;=5800,IF(INDEX(次果筐明细!$E$4:$E$603,$Z560-5200)=0,"",INDEX(次果筐明细!$E$4:$E$603,$Z560-5200)),"")))))</f>
        <v/>
      </c>
      <c r="F560" s="24" t="str">
        <f>IF($Z560="","",IF($Z560&lt;=2000,IF(INDEX(包装物料出入库明细!$E$4:$E$2003,$Z560-0)=0,"",INDEX(包装物料出入库明细!$E$4:$E$2003,$Z560-0)),IF($Z560&lt;=4000,IF(INDEX(周转筐出入库明细!$D$4:$D$2004,$Z560-2000)=0,"",INDEX(周转筐出入库明细!$D$4:$D$2004,$Z560-2000)),IF($Z560&lt;=5200,IF(INDEX(客户自备加工筐明细!$C$4:$C$1203,$Z560-4000)=0,"",INDEX(客户自备加工筐明细!$C$4:$C$1203,$Z560-4000)),IF($Z560&lt;=5800,IF(INDEX(次果筐明细!$D$4:$D$603,$Z560-5200)=0,"",INDEX(次果筐明细!$D$4:$D$603,$Z560-5200)),"")))))</f>
        <v/>
      </c>
      <c r="G560" s="24" t="str">
        <f>IF($Z560="","",IF($Z560&lt;=2000,IF(INDEX(包装物料出入库明细!$F$4:$F$2003,$Z560-0)=0,"",INDEX(包装物料出入库明细!$F$4:$F$2003,$Z560-0)),IF($Z560&lt;=4000,"",IF($Z560&lt;=5200,"",IF($Z560&lt;=5800,"","")))))</f>
        <v/>
      </c>
      <c r="H560" s="39" t="str">
        <f>IF($Z560="","",IF($Z560&lt;=2000,IF(INDEX(包装物料出入库明细!$L$4:$L$2003,$Z560-0)=0,"",INDEX(包装物料出入库明细!$L$4:$L$2003,$Z560-0)),IF($Z560&lt;=4000,N(INDEX(周转筐出入库明细!$H$4:$H$2004,$Z560-2000))+N(INDEX(周转筐出入库明细!$I$4:$I$2004,$Z560-2000))+N(INDEX(周转筐出入库明细!$J$4:$J$2004,$Z560-2000))+N(INDEX(周转筐出入库明细!$K$4:$K$2004,$Z560-2000)),IF($Z560&lt;=5200,N(INDEX(客户自备加工筐明细!$F$4:$F$1203,$Z560-4000))+N(INDEX(客户自备加工筐明细!$G$4:$G$1203,$Z560-4000)),IF($Z560&lt;=5800,IF(INDEX(次果筐明细!$G$4:$G$603,$Z560-5200)=0,"",INDEX(次果筐明细!$G$4:$G$603,$Z560-5200)),"")))))</f>
        <v/>
      </c>
      <c r="I560" s="24" t="str">
        <f>IF($Z560="","",IF($Z560&lt;=2000,IF(INDEX(包装物料出入库明细!$G$4:$G$2003,$Z560-0)=0,"",INDEX(包装物料出入库明细!$G$4:$G$2003,$Z560-0)),IF($Z560&lt;=4000,"个",IF($Z560&lt;=5200,"个",IF($Z560&lt;=5800,"个","")))))</f>
        <v/>
      </c>
      <c r="J560" s="30" t="str">
        <f t="shared" si="25"/>
        <v/>
      </c>
      <c r="K560" s="30" t="str">
        <f>IF($Z560="","",IF($Z560&lt;=2000,IF(INDEX(包装物料出入库明细!$N$4:$N$2003,$Z560-0)=0,"",INDEX(包装物料出入库明细!$N$4:$N$2003,$Z560-0)),IF($Z560&lt;=4000,IF(INDEX(周转筐出入库明细!$P$4:$P$2004,$Z560-2000)=0,"",INDEX(周转筐出入库明细!$P$4:$P$2004,$Z560-2000)),IF($Z560&lt;=5200,"",IF($Z560&lt;=5800,N(INDEX(次果筐明细!$L$4:$L$603,$Z560-5200))+N(INDEX(次果筐明细!$J$4:$J$603,$Z560-5200)),"")))))</f>
        <v/>
      </c>
      <c r="L560" s="24" t="str">
        <f>IF($Z560="","",IF($Z560&lt;=2000,IF(INDEX(包装物料出入库明细!$P$4:$P$2003,$Z560-0)=0,"",INDEX(包装物料出入库明细!$P$4:$P$2003,$Z560-0)),IF($Z560&lt;=4000,IF(INDEX(周转筐出入库明细!$Q$4:$Q$2004,$Z560-2000)=0,"",INDEX(周转筐出入库明细!$Q$4:$Q$2004,$Z560-2000)),IF($Z560&lt;=5200,"",IF($Z560&lt;=5800,IF(INDEX(次果筐明细!$M$4:$M$603,$Z560-5200)=0,"",INDEX(次果筐明细!$M$4:$M$603,$Z560-5200)),"")))))</f>
        <v/>
      </c>
      <c r="M560" s="37" t="str">
        <f>IF($Z560="","",IF($Z560&lt;=2000,IF(INDEX(包装物料出入库明细!$R$4:$R$2003,$Z560-0)=0,"",INDEX(包装物料出入库明细!$R$4:$R$2003,$Z560-0)),IF($Z560&lt;=4000,IF(INDEX(周转筐出入库明细!$W$4:$W$2004,$Z560-2000)=0,"",INDEX(周转筐出入库明细!$W$4:$W$2004,$Z560-2000)),IF($Z560&lt;=5200,IF(INDEX(客户自备加工筐明细!$L$4:$L$1203,$Z560-4000)=0,"",INDEX(客户自备加工筐明细!$L$4:$L$1203,$Z560-4000)),IF($Z560&lt;=5800,IF(INDEX(次果筐明细!$P$4:$P$603,$Z560-5200)=0,"",INDEX(次果筐明细!$P$4:$P$603,$Z560-5200)),"")))))</f>
        <v/>
      </c>
      <c r="N560" s="16" t="str">
        <f>IF($Z560="","",IF($Z560&lt;=2000,"",IF($Z560&lt;=4000,IF(INDEX(周转筐出入库明细!$D$4:$D$2004,$Z560-2000)=0,"",INDEX(周转筐出入库明细!$D$4:$D$2004,$Z560-2000)),IF($Z560&lt;=5200,IF(INDEX(客户自备加工筐明细!$C$4:$C$1203,$Z560-4000)=0,"",INDEX(客户自备加工筐明细!$C$4:$C$1203,$Z560-4000)),IF($Z560&lt;=5800,IF(INDEX(次果筐明细!$D$4:$D$603,$Z560-5200)=0,"",INDEX(次果筐明细!$D$4:$D$603,$Z560-5200)),"")))))</f>
        <v/>
      </c>
      <c r="O560" s="40" t="str">
        <f>IF($Z560="","",IF($Z560&lt;=2000,"",IF($Z560&lt;=4000,IF(N(INDEX(周转筐出入库明细!$J$4:$J$2004,$Z560-2000))+N(INDEX(周转筐出入库明细!$K$4:$K$2004,$Z560-2000))=0,"",N(INDEX(周转筐出入库明细!$J$4:$J$2004,$Z560-2000))+N(INDEX(周转筐出入库明细!$K$4:$K$2004,$Z560-2000))),IF($Z560&lt;=5200,IF(N(INDEX(客户自备加工筐明细!$G$4:$G$1203,$Z560-4000))=0,"",N(INDEX(客户自备加工筐明细!$G$4:$G$1203,$Z560-4000))),IF($Z560&lt;=5800,IF(ISNUMBER(SEARCH("退",INDEX(次果筐明细!$F$4:$F$603,$Z560-5200)&amp;"")),"",IF(N(INDEX(次果筐明细!$G$4:$G$603,$Z560-5200))=0,"",N(INDEX(次果筐明细!$G$4:$G$603,$Z560-5200)))),"")))))</f>
        <v/>
      </c>
      <c r="P560" s="40" t="str">
        <f>IF($Z560="","",IF($Z560&lt;=2000,"",IF($Z560&lt;=4000,IF(N(INDEX(周转筐出入库明细!$I$4:$I$2004,$Z560-2000))=0,"",N(INDEX(周转筐出入库明细!$I$4:$I$2004,$Z560-2000))),IF($Z560&lt;=5200,"",IF($Z560&lt;=5800,IF(ISNUMBER(SEARCH("退",INDEX(次果筐明细!$F$4:$F$603,$Z560-5200)&amp;"")),IF(N(INDEX(次果筐明细!$G$4:$G$603,$Z560-5200))=0,"",N(INDEX(次果筐明细!$G$4:$G$603,$Z560-5200))),""),"")))))</f>
        <v/>
      </c>
      <c r="Q560" s="40" t="str">
        <f>IF($Z560="","",IF($Z560&lt;=2000,"",IF($Z560&lt;=4000,IF(N(INDEX(周转筐出入库明细!$H$4:$H$2004,$Z560-2000))=0,"",N(INDEX(周转筐出入库明细!$H$4:$H$2004,$Z560-2000))),IF($Z560&lt;=5200,IF(N(INDEX(客户自备加工筐明细!$F$4:$F$1203,$Z560-4000))=0,"",N(INDEX(客户自备加工筐明细!$F$4:$F$1203,$Z560-4000))),IF($Z560&lt;=5800,"","")))))</f>
        <v/>
      </c>
      <c r="R560" s="16" t="str">
        <f>IF($Z560="","",IF($Z560&lt;=2000,IF(INDEX(包装物料出入库明细!$O$4:$O$2003,$Z560-0)=0,"",INDEX(包装物料出入库明细!$O$4:$O$2003,$Z560-0)),IF($Z560&lt;=4000,IF(INDEX(周转筐出入库明细!$M$4:$M$2004,$Z560-2000)=0,"",INDEX(周转筐出入库明细!$M$4:$M$2004,$Z560-2000)),IF($Z560&lt;=5200,IF(INDEX(客户自备加工筐明细!$H$4:$H$1203,$Z560-4000)=0,"",INDEX(客户自备加工筐明细!$H$4:$H$1203,$Z560-4000)),IF($Z560&lt;=5800,IF(INDEX(次果筐明细!$H$4:$H$603,$Z560-5200)=0,"",INDEX(次果筐明细!$H$4:$H$603,$Z560-5200)),"")))))</f>
        <v/>
      </c>
      <c r="S560" s="22" t="str">
        <f t="shared" si="26"/>
        <v/>
      </c>
      <c r="Z560" s="10" t="str">
        <f>IFERROR(MATCH(ROW()-3,_自动清单!$CQ$4:$CQ$5803,0),"")</f>
        <v/>
      </c>
    </row>
    <row r="561" spans="1:26">
      <c r="A561" s="24" t="str">
        <f t="shared" si="24"/>
        <v/>
      </c>
      <c r="B561" s="38" t="str">
        <f>IF($Z561="","",IF($Z561&lt;=2000,IF(INDEX(包装物料出入库明细!$B$4:$B$2003,$Z561-0)=0,"",INDEX(包装物料出入库明细!$B$4:$B$2003,$Z561-0)),IF($Z561&lt;=4000,IF(INDEX(周转筐出入库明细!$B$4:$B$2004,$Z561-2000)=0,"",INDEX(周转筐出入库明细!$B$4:$B$2004,$Z561-2000)),IF($Z561&lt;=5200,IF(INDEX(客户自备加工筐明细!$B$4:$B$1203,$Z561-4000)=0,"",INDEX(客户自备加工筐明细!$B$4:$B$1203,$Z561-4000)),IF($Z561&lt;=5800,IF(INDEX(次果筐明细!$B$4:$B$603,$Z561-5200)=0,"",INDEX(次果筐明细!$B$4:$B$603,$Z561-5200)),"")))))</f>
        <v/>
      </c>
      <c r="C561" s="37" t="str">
        <f>IF($Z561="","",IF($Z561&lt;=2000,IF(INDEX(包装物料出入库明细!$D$4:$D$2003,$Z561-0)=0,"",INDEX(包装物料出入库明细!$D$4:$D$2003,$Z561-0)),IF($Z561&lt;=4000,IF(INDEX(周转筐出入库明细!$C$4:$C$2004,$Z561-2000)=0,"",INDEX(周转筐出入库明细!$C$4:$C$2004,$Z561-2000)),IF($Z561&lt;=5200,IF(INDEX(客户自备加工筐明细!$E$4:$E$1203,$Z561-4000)=0,"",INDEX(客户自备加工筐明细!$E$4:$E$1203,$Z561-4000)),IF($Z561&lt;=5800,IF(INDEX(次果筐明细!$C$4:$C$603,$Z561-5200)=0,"",INDEX(次果筐明细!$C$4:$C$603,$Z561-5200)),"")))))</f>
        <v/>
      </c>
      <c r="D561" s="37" t="str">
        <f>IF($Z561="","",IF($Z561&lt;=2000,"包装物料－"&amp;INDEX(包装物料出入库明细!$H$4:$H$2003,$Z561-0),IF($Z561&lt;=4000,"周转筐－"&amp;INDEX(周转筐出入库明细!$F$4:$F$2004,$Z561-2000),IF($Z561&lt;=5200,"客户自备筐－"&amp;INDEX(客户自备加工筐明细!$J$4:$J$1203,$Z561-4000),IF($Z561&lt;=5800,"次果筐/托盘－"&amp;INDEX(次果筐明细!$F$4:$F$603,$Z561-5200),"")))))</f>
        <v/>
      </c>
      <c r="E561" s="24" t="str">
        <f>IF($Z561="","",IF($Z561&lt;=2000,IF(INDEX(包装物料出入库明细!$C$4:$C$2003,$Z561-0)=0,"",INDEX(包装物料出入库明细!$C$4:$C$2003,$Z561-0)),IF($Z561&lt;=4000,IF(INDEX(周转筐出入库明细!$E$4:$E$2004,$Z561-2000)=0,"",INDEX(周转筐出入库明细!$E$4:$E$2004,$Z561-2000)),IF($Z561&lt;=5200,IF(INDEX(客户自备加工筐明细!$D$4:$D$1203,$Z561-4000)=0,"",INDEX(客户自备加工筐明细!$D$4:$D$1203,$Z561-4000)),IF($Z561&lt;=5800,IF(INDEX(次果筐明细!$E$4:$E$603,$Z561-5200)=0,"",INDEX(次果筐明细!$E$4:$E$603,$Z561-5200)),"")))))</f>
        <v/>
      </c>
      <c r="F561" s="24" t="str">
        <f>IF($Z561="","",IF($Z561&lt;=2000,IF(INDEX(包装物料出入库明细!$E$4:$E$2003,$Z561-0)=0,"",INDEX(包装物料出入库明细!$E$4:$E$2003,$Z561-0)),IF($Z561&lt;=4000,IF(INDEX(周转筐出入库明细!$D$4:$D$2004,$Z561-2000)=0,"",INDEX(周转筐出入库明细!$D$4:$D$2004,$Z561-2000)),IF($Z561&lt;=5200,IF(INDEX(客户自备加工筐明细!$C$4:$C$1203,$Z561-4000)=0,"",INDEX(客户自备加工筐明细!$C$4:$C$1203,$Z561-4000)),IF($Z561&lt;=5800,IF(INDEX(次果筐明细!$D$4:$D$603,$Z561-5200)=0,"",INDEX(次果筐明细!$D$4:$D$603,$Z561-5200)),"")))))</f>
        <v/>
      </c>
      <c r="G561" s="24" t="str">
        <f>IF($Z561="","",IF($Z561&lt;=2000,IF(INDEX(包装物料出入库明细!$F$4:$F$2003,$Z561-0)=0,"",INDEX(包装物料出入库明细!$F$4:$F$2003,$Z561-0)),IF($Z561&lt;=4000,"",IF($Z561&lt;=5200,"",IF($Z561&lt;=5800,"","")))))</f>
        <v/>
      </c>
      <c r="H561" s="39" t="str">
        <f>IF($Z561="","",IF($Z561&lt;=2000,IF(INDEX(包装物料出入库明细!$L$4:$L$2003,$Z561-0)=0,"",INDEX(包装物料出入库明细!$L$4:$L$2003,$Z561-0)),IF($Z561&lt;=4000,N(INDEX(周转筐出入库明细!$H$4:$H$2004,$Z561-2000))+N(INDEX(周转筐出入库明细!$I$4:$I$2004,$Z561-2000))+N(INDEX(周转筐出入库明细!$J$4:$J$2004,$Z561-2000))+N(INDEX(周转筐出入库明细!$K$4:$K$2004,$Z561-2000)),IF($Z561&lt;=5200,N(INDEX(客户自备加工筐明细!$F$4:$F$1203,$Z561-4000))+N(INDEX(客户自备加工筐明细!$G$4:$G$1203,$Z561-4000)),IF($Z561&lt;=5800,IF(INDEX(次果筐明细!$G$4:$G$603,$Z561-5200)=0,"",INDEX(次果筐明细!$G$4:$G$603,$Z561-5200)),"")))))</f>
        <v/>
      </c>
      <c r="I561" s="24" t="str">
        <f>IF($Z561="","",IF($Z561&lt;=2000,IF(INDEX(包装物料出入库明细!$G$4:$G$2003,$Z561-0)=0,"",INDEX(包装物料出入库明细!$G$4:$G$2003,$Z561-0)),IF($Z561&lt;=4000,"个",IF($Z561&lt;=5200,"个",IF($Z561&lt;=5800,"个","")))))</f>
        <v/>
      </c>
      <c r="J561" s="30" t="str">
        <f t="shared" si="25"/>
        <v/>
      </c>
      <c r="K561" s="30" t="str">
        <f>IF($Z561="","",IF($Z561&lt;=2000,IF(INDEX(包装物料出入库明细!$N$4:$N$2003,$Z561-0)=0,"",INDEX(包装物料出入库明细!$N$4:$N$2003,$Z561-0)),IF($Z561&lt;=4000,IF(INDEX(周转筐出入库明细!$P$4:$P$2004,$Z561-2000)=0,"",INDEX(周转筐出入库明细!$P$4:$P$2004,$Z561-2000)),IF($Z561&lt;=5200,"",IF($Z561&lt;=5800,N(INDEX(次果筐明细!$L$4:$L$603,$Z561-5200))+N(INDEX(次果筐明细!$J$4:$J$603,$Z561-5200)),"")))))</f>
        <v/>
      </c>
      <c r="L561" s="24" t="str">
        <f>IF($Z561="","",IF($Z561&lt;=2000,IF(INDEX(包装物料出入库明细!$P$4:$P$2003,$Z561-0)=0,"",INDEX(包装物料出入库明细!$P$4:$P$2003,$Z561-0)),IF($Z561&lt;=4000,IF(INDEX(周转筐出入库明细!$Q$4:$Q$2004,$Z561-2000)=0,"",INDEX(周转筐出入库明细!$Q$4:$Q$2004,$Z561-2000)),IF($Z561&lt;=5200,"",IF($Z561&lt;=5800,IF(INDEX(次果筐明细!$M$4:$M$603,$Z561-5200)=0,"",INDEX(次果筐明细!$M$4:$M$603,$Z561-5200)),"")))))</f>
        <v/>
      </c>
      <c r="M561" s="37" t="str">
        <f>IF($Z561="","",IF($Z561&lt;=2000,IF(INDEX(包装物料出入库明细!$R$4:$R$2003,$Z561-0)=0,"",INDEX(包装物料出入库明细!$R$4:$R$2003,$Z561-0)),IF($Z561&lt;=4000,IF(INDEX(周转筐出入库明细!$W$4:$W$2004,$Z561-2000)=0,"",INDEX(周转筐出入库明细!$W$4:$W$2004,$Z561-2000)),IF($Z561&lt;=5200,IF(INDEX(客户自备加工筐明细!$L$4:$L$1203,$Z561-4000)=0,"",INDEX(客户自备加工筐明细!$L$4:$L$1203,$Z561-4000)),IF($Z561&lt;=5800,IF(INDEX(次果筐明细!$P$4:$P$603,$Z561-5200)=0,"",INDEX(次果筐明细!$P$4:$P$603,$Z561-5200)),"")))))</f>
        <v/>
      </c>
      <c r="N561" s="16" t="str">
        <f>IF($Z561="","",IF($Z561&lt;=2000,"",IF($Z561&lt;=4000,IF(INDEX(周转筐出入库明细!$D$4:$D$2004,$Z561-2000)=0,"",INDEX(周转筐出入库明细!$D$4:$D$2004,$Z561-2000)),IF($Z561&lt;=5200,IF(INDEX(客户自备加工筐明细!$C$4:$C$1203,$Z561-4000)=0,"",INDEX(客户自备加工筐明细!$C$4:$C$1203,$Z561-4000)),IF($Z561&lt;=5800,IF(INDEX(次果筐明细!$D$4:$D$603,$Z561-5200)=0,"",INDEX(次果筐明细!$D$4:$D$603,$Z561-5200)),"")))))</f>
        <v/>
      </c>
      <c r="O561" s="40" t="str">
        <f>IF($Z561="","",IF($Z561&lt;=2000,"",IF($Z561&lt;=4000,IF(N(INDEX(周转筐出入库明细!$J$4:$J$2004,$Z561-2000))+N(INDEX(周转筐出入库明细!$K$4:$K$2004,$Z561-2000))=0,"",N(INDEX(周转筐出入库明细!$J$4:$J$2004,$Z561-2000))+N(INDEX(周转筐出入库明细!$K$4:$K$2004,$Z561-2000))),IF($Z561&lt;=5200,IF(N(INDEX(客户自备加工筐明细!$G$4:$G$1203,$Z561-4000))=0,"",N(INDEX(客户自备加工筐明细!$G$4:$G$1203,$Z561-4000))),IF($Z561&lt;=5800,IF(ISNUMBER(SEARCH("退",INDEX(次果筐明细!$F$4:$F$603,$Z561-5200)&amp;"")),"",IF(N(INDEX(次果筐明细!$G$4:$G$603,$Z561-5200))=0,"",N(INDEX(次果筐明细!$G$4:$G$603,$Z561-5200)))),"")))))</f>
        <v/>
      </c>
      <c r="P561" s="40" t="str">
        <f>IF($Z561="","",IF($Z561&lt;=2000,"",IF($Z561&lt;=4000,IF(N(INDEX(周转筐出入库明细!$I$4:$I$2004,$Z561-2000))=0,"",N(INDEX(周转筐出入库明细!$I$4:$I$2004,$Z561-2000))),IF($Z561&lt;=5200,"",IF($Z561&lt;=5800,IF(ISNUMBER(SEARCH("退",INDEX(次果筐明细!$F$4:$F$603,$Z561-5200)&amp;"")),IF(N(INDEX(次果筐明细!$G$4:$G$603,$Z561-5200))=0,"",N(INDEX(次果筐明细!$G$4:$G$603,$Z561-5200))),""),"")))))</f>
        <v/>
      </c>
      <c r="Q561" s="40" t="str">
        <f>IF($Z561="","",IF($Z561&lt;=2000,"",IF($Z561&lt;=4000,IF(N(INDEX(周转筐出入库明细!$H$4:$H$2004,$Z561-2000))=0,"",N(INDEX(周转筐出入库明细!$H$4:$H$2004,$Z561-2000))),IF($Z561&lt;=5200,IF(N(INDEX(客户自备加工筐明细!$F$4:$F$1203,$Z561-4000))=0,"",N(INDEX(客户自备加工筐明细!$F$4:$F$1203,$Z561-4000))),IF($Z561&lt;=5800,"","")))))</f>
        <v/>
      </c>
      <c r="R561" s="16" t="str">
        <f>IF($Z561="","",IF($Z561&lt;=2000,IF(INDEX(包装物料出入库明细!$O$4:$O$2003,$Z561-0)=0,"",INDEX(包装物料出入库明细!$O$4:$O$2003,$Z561-0)),IF($Z561&lt;=4000,IF(INDEX(周转筐出入库明细!$M$4:$M$2004,$Z561-2000)=0,"",INDEX(周转筐出入库明细!$M$4:$M$2004,$Z561-2000)),IF($Z561&lt;=5200,IF(INDEX(客户自备加工筐明细!$H$4:$H$1203,$Z561-4000)=0,"",INDEX(客户自备加工筐明细!$H$4:$H$1203,$Z561-4000)),IF($Z561&lt;=5800,IF(INDEX(次果筐明细!$H$4:$H$603,$Z561-5200)=0,"",INDEX(次果筐明细!$H$4:$H$603,$Z561-5200)),"")))))</f>
        <v/>
      </c>
      <c r="S561" s="22" t="str">
        <f t="shared" si="26"/>
        <v/>
      </c>
      <c r="Z561" s="10" t="str">
        <f>IFERROR(MATCH(ROW()-3,_自动清单!$CQ$4:$CQ$5803,0),"")</f>
        <v/>
      </c>
    </row>
    <row r="562" spans="1:26">
      <c r="A562" s="24" t="str">
        <f t="shared" si="24"/>
        <v/>
      </c>
      <c r="B562" s="38" t="str">
        <f>IF($Z562="","",IF($Z562&lt;=2000,IF(INDEX(包装物料出入库明细!$B$4:$B$2003,$Z562-0)=0,"",INDEX(包装物料出入库明细!$B$4:$B$2003,$Z562-0)),IF($Z562&lt;=4000,IF(INDEX(周转筐出入库明细!$B$4:$B$2004,$Z562-2000)=0,"",INDEX(周转筐出入库明细!$B$4:$B$2004,$Z562-2000)),IF($Z562&lt;=5200,IF(INDEX(客户自备加工筐明细!$B$4:$B$1203,$Z562-4000)=0,"",INDEX(客户自备加工筐明细!$B$4:$B$1203,$Z562-4000)),IF($Z562&lt;=5800,IF(INDEX(次果筐明细!$B$4:$B$603,$Z562-5200)=0,"",INDEX(次果筐明细!$B$4:$B$603,$Z562-5200)),"")))))</f>
        <v/>
      </c>
      <c r="C562" s="37" t="str">
        <f>IF($Z562="","",IF($Z562&lt;=2000,IF(INDEX(包装物料出入库明细!$D$4:$D$2003,$Z562-0)=0,"",INDEX(包装物料出入库明细!$D$4:$D$2003,$Z562-0)),IF($Z562&lt;=4000,IF(INDEX(周转筐出入库明细!$C$4:$C$2004,$Z562-2000)=0,"",INDEX(周转筐出入库明细!$C$4:$C$2004,$Z562-2000)),IF($Z562&lt;=5200,IF(INDEX(客户自备加工筐明细!$E$4:$E$1203,$Z562-4000)=0,"",INDEX(客户自备加工筐明细!$E$4:$E$1203,$Z562-4000)),IF($Z562&lt;=5800,IF(INDEX(次果筐明细!$C$4:$C$603,$Z562-5200)=0,"",INDEX(次果筐明细!$C$4:$C$603,$Z562-5200)),"")))))</f>
        <v/>
      </c>
      <c r="D562" s="37" t="str">
        <f>IF($Z562="","",IF($Z562&lt;=2000,"包装物料－"&amp;INDEX(包装物料出入库明细!$H$4:$H$2003,$Z562-0),IF($Z562&lt;=4000,"周转筐－"&amp;INDEX(周转筐出入库明细!$F$4:$F$2004,$Z562-2000),IF($Z562&lt;=5200,"客户自备筐－"&amp;INDEX(客户自备加工筐明细!$J$4:$J$1203,$Z562-4000),IF($Z562&lt;=5800,"次果筐/托盘－"&amp;INDEX(次果筐明细!$F$4:$F$603,$Z562-5200),"")))))</f>
        <v/>
      </c>
      <c r="E562" s="24" t="str">
        <f>IF($Z562="","",IF($Z562&lt;=2000,IF(INDEX(包装物料出入库明细!$C$4:$C$2003,$Z562-0)=0,"",INDEX(包装物料出入库明细!$C$4:$C$2003,$Z562-0)),IF($Z562&lt;=4000,IF(INDEX(周转筐出入库明细!$E$4:$E$2004,$Z562-2000)=0,"",INDEX(周转筐出入库明细!$E$4:$E$2004,$Z562-2000)),IF($Z562&lt;=5200,IF(INDEX(客户自备加工筐明细!$D$4:$D$1203,$Z562-4000)=0,"",INDEX(客户自备加工筐明细!$D$4:$D$1203,$Z562-4000)),IF($Z562&lt;=5800,IF(INDEX(次果筐明细!$E$4:$E$603,$Z562-5200)=0,"",INDEX(次果筐明细!$E$4:$E$603,$Z562-5200)),"")))))</f>
        <v/>
      </c>
      <c r="F562" s="24" t="str">
        <f>IF($Z562="","",IF($Z562&lt;=2000,IF(INDEX(包装物料出入库明细!$E$4:$E$2003,$Z562-0)=0,"",INDEX(包装物料出入库明细!$E$4:$E$2003,$Z562-0)),IF($Z562&lt;=4000,IF(INDEX(周转筐出入库明细!$D$4:$D$2004,$Z562-2000)=0,"",INDEX(周转筐出入库明细!$D$4:$D$2004,$Z562-2000)),IF($Z562&lt;=5200,IF(INDEX(客户自备加工筐明细!$C$4:$C$1203,$Z562-4000)=0,"",INDEX(客户自备加工筐明细!$C$4:$C$1203,$Z562-4000)),IF($Z562&lt;=5800,IF(INDEX(次果筐明细!$D$4:$D$603,$Z562-5200)=0,"",INDEX(次果筐明细!$D$4:$D$603,$Z562-5200)),"")))))</f>
        <v/>
      </c>
      <c r="G562" s="24" t="str">
        <f>IF($Z562="","",IF($Z562&lt;=2000,IF(INDEX(包装物料出入库明细!$F$4:$F$2003,$Z562-0)=0,"",INDEX(包装物料出入库明细!$F$4:$F$2003,$Z562-0)),IF($Z562&lt;=4000,"",IF($Z562&lt;=5200,"",IF($Z562&lt;=5800,"","")))))</f>
        <v/>
      </c>
      <c r="H562" s="39" t="str">
        <f>IF($Z562="","",IF($Z562&lt;=2000,IF(INDEX(包装物料出入库明细!$L$4:$L$2003,$Z562-0)=0,"",INDEX(包装物料出入库明细!$L$4:$L$2003,$Z562-0)),IF($Z562&lt;=4000,N(INDEX(周转筐出入库明细!$H$4:$H$2004,$Z562-2000))+N(INDEX(周转筐出入库明细!$I$4:$I$2004,$Z562-2000))+N(INDEX(周转筐出入库明细!$J$4:$J$2004,$Z562-2000))+N(INDEX(周转筐出入库明细!$K$4:$K$2004,$Z562-2000)),IF($Z562&lt;=5200,N(INDEX(客户自备加工筐明细!$F$4:$F$1203,$Z562-4000))+N(INDEX(客户自备加工筐明细!$G$4:$G$1203,$Z562-4000)),IF($Z562&lt;=5800,IF(INDEX(次果筐明细!$G$4:$G$603,$Z562-5200)=0,"",INDEX(次果筐明细!$G$4:$G$603,$Z562-5200)),"")))))</f>
        <v/>
      </c>
      <c r="I562" s="24" t="str">
        <f>IF($Z562="","",IF($Z562&lt;=2000,IF(INDEX(包装物料出入库明细!$G$4:$G$2003,$Z562-0)=0,"",INDEX(包装物料出入库明细!$G$4:$G$2003,$Z562-0)),IF($Z562&lt;=4000,"个",IF($Z562&lt;=5200,"个",IF($Z562&lt;=5800,"个","")))))</f>
        <v/>
      </c>
      <c r="J562" s="30" t="str">
        <f t="shared" si="25"/>
        <v/>
      </c>
      <c r="K562" s="30" t="str">
        <f>IF($Z562="","",IF($Z562&lt;=2000,IF(INDEX(包装物料出入库明细!$N$4:$N$2003,$Z562-0)=0,"",INDEX(包装物料出入库明细!$N$4:$N$2003,$Z562-0)),IF($Z562&lt;=4000,IF(INDEX(周转筐出入库明细!$P$4:$P$2004,$Z562-2000)=0,"",INDEX(周转筐出入库明细!$P$4:$P$2004,$Z562-2000)),IF($Z562&lt;=5200,"",IF($Z562&lt;=5800,N(INDEX(次果筐明细!$L$4:$L$603,$Z562-5200))+N(INDEX(次果筐明细!$J$4:$J$603,$Z562-5200)),"")))))</f>
        <v/>
      </c>
      <c r="L562" s="24" t="str">
        <f>IF($Z562="","",IF($Z562&lt;=2000,IF(INDEX(包装物料出入库明细!$P$4:$P$2003,$Z562-0)=0,"",INDEX(包装物料出入库明细!$P$4:$P$2003,$Z562-0)),IF($Z562&lt;=4000,IF(INDEX(周转筐出入库明细!$Q$4:$Q$2004,$Z562-2000)=0,"",INDEX(周转筐出入库明细!$Q$4:$Q$2004,$Z562-2000)),IF($Z562&lt;=5200,"",IF($Z562&lt;=5800,IF(INDEX(次果筐明细!$M$4:$M$603,$Z562-5200)=0,"",INDEX(次果筐明细!$M$4:$M$603,$Z562-5200)),"")))))</f>
        <v/>
      </c>
      <c r="M562" s="37" t="str">
        <f>IF($Z562="","",IF($Z562&lt;=2000,IF(INDEX(包装物料出入库明细!$R$4:$R$2003,$Z562-0)=0,"",INDEX(包装物料出入库明细!$R$4:$R$2003,$Z562-0)),IF($Z562&lt;=4000,IF(INDEX(周转筐出入库明细!$W$4:$W$2004,$Z562-2000)=0,"",INDEX(周转筐出入库明细!$W$4:$W$2004,$Z562-2000)),IF($Z562&lt;=5200,IF(INDEX(客户自备加工筐明细!$L$4:$L$1203,$Z562-4000)=0,"",INDEX(客户自备加工筐明细!$L$4:$L$1203,$Z562-4000)),IF($Z562&lt;=5800,IF(INDEX(次果筐明细!$P$4:$P$603,$Z562-5200)=0,"",INDEX(次果筐明细!$P$4:$P$603,$Z562-5200)),"")))))</f>
        <v/>
      </c>
      <c r="N562" s="16" t="str">
        <f>IF($Z562="","",IF($Z562&lt;=2000,"",IF($Z562&lt;=4000,IF(INDEX(周转筐出入库明细!$D$4:$D$2004,$Z562-2000)=0,"",INDEX(周转筐出入库明细!$D$4:$D$2004,$Z562-2000)),IF($Z562&lt;=5200,IF(INDEX(客户自备加工筐明细!$C$4:$C$1203,$Z562-4000)=0,"",INDEX(客户自备加工筐明细!$C$4:$C$1203,$Z562-4000)),IF($Z562&lt;=5800,IF(INDEX(次果筐明细!$D$4:$D$603,$Z562-5200)=0,"",INDEX(次果筐明细!$D$4:$D$603,$Z562-5200)),"")))))</f>
        <v/>
      </c>
      <c r="O562" s="40" t="str">
        <f>IF($Z562="","",IF($Z562&lt;=2000,"",IF($Z562&lt;=4000,IF(N(INDEX(周转筐出入库明细!$J$4:$J$2004,$Z562-2000))+N(INDEX(周转筐出入库明细!$K$4:$K$2004,$Z562-2000))=0,"",N(INDEX(周转筐出入库明细!$J$4:$J$2004,$Z562-2000))+N(INDEX(周转筐出入库明细!$K$4:$K$2004,$Z562-2000))),IF($Z562&lt;=5200,IF(N(INDEX(客户自备加工筐明细!$G$4:$G$1203,$Z562-4000))=0,"",N(INDEX(客户自备加工筐明细!$G$4:$G$1203,$Z562-4000))),IF($Z562&lt;=5800,IF(ISNUMBER(SEARCH("退",INDEX(次果筐明细!$F$4:$F$603,$Z562-5200)&amp;"")),"",IF(N(INDEX(次果筐明细!$G$4:$G$603,$Z562-5200))=0,"",N(INDEX(次果筐明细!$G$4:$G$603,$Z562-5200)))),"")))))</f>
        <v/>
      </c>
      <c r="P562" s="40" t="str">
        <f>IF($Z562="","",IF($Z562&lt;=2000,"",IF($Z562&lt;=4000,IF(N(INDEX(周转筐出入库明细!$I$4:$I$2004,$Z562-2000))=0,"",N(INDEX(周转筐出入库明细!$I$4:$I$2004,$Z562-2000))),IF($Z562&lt;=5200,"",IF($Z562&lt;=5800,IF(ISNUMBER(SEARCH("退",INDEX(次果筐明细!$F$4:$F$603,$Z562-5200)&amp;"")),IF(N(INDEX(次果筐明细!$G$4:$G$603,$Z562-5200))=0,"",N(INDEX(次果筐明细!$G$4:$G$603,$Z562-5200))),""),"")))))</f>
        <v/>
      </c>
      <c r="Q562" s="40" t="str">
        <f>IF($Z562="","",IF($Z562&lt;=2000,"",IF($Z562&lt;=4000,IF(N(INDEX(周转筐出入库明细!$H$4:$H$2004,$Z562-2000))=0,"",N(INDEX(周转筐出入库明细!$H$4:$H$2004,$Z562-2000))),IF($Z562&lt;=5200,IF(N(INDEX(客户自备加工筐明细!$F$4:$F$1203,$Z562-4000))=0,"",N(INDEX(客户自备加工筐明细!$F$4:$F$1203,$Z562-4000))),IF($Z562&lt;=5800,"","")))))</f>
        <v/>
      </c>
      <c r="R562" s="16" t="str">
        <f>IF($Z562="","",IF($Z562&lt;=2000,IF(INDEX(包装物料出入库明细!$O$4:$O$2003,$Z562-0)=0,"",INDEX(包装物料出入库明细!$O$4:$O$2003,$Z562-0)),IF($Z562&lt;=4000,IF(INDEX(周转筐出入库明细!$M$4:$M$2004,$Z562-2000)=0,"",INDEX(周转筐出入库明细!$M$4:$M$2004,$Z562-2000)),IF($Z562&lt;=5200,IF(INDEX(客户自备加工筐明细!$H$4:$H$1203,$Z562-4000)=0,"",INDEX(客户自备加工筐明细!$H$4:$H$1203,$Z562-4000)),IF($Z562&lt;=5800,IF(INDEX(次果筐明细!$H$4:$H$603,$Z562-5200)=0,"",INDEX(次果筐明细!$H$4:$H$603,$Z562-5200)),"")))))</f>
        <v/>
      </c>
      <c r="S562" s="22" t="str">
        <f t="shared" si="26"/>
        <v/>
      </c>
      <c r="Z562" s="10" t="str">
        <f>IFERROR(MATCH(ROW()-3,_自动清单!$CQ$4:$CQ$5803,0),"")</f>
        <v/>
      </c>
    </row>
    <row r="563" spans="1:26">
      <c r="A563" s="24" t="str">
        <f t="shared" si="24"/>
        <v/>
      </c>
      <c r="B563" s="38" t="str">
        <f>IF($Z563="","",IF($Z563&lt;=2000,IF(INDEX(包装物料出入库明细!$B$4:$B$2003,$Z563-0)=0,"",INDEX(包装物料出入库明细!$B$4:$B$2003,$Z563-0)),IF($Z563&lt;=4000,IF(INDEX(周转筐出入库明细!$B$4:$B$2004,$Z563-2000)=0,"",INDEX(周转筐出入库明细!$B$4:$B$2004,$Z563-2000)),IF($Z563&lt;=5200,IF(INDEX(客户自备加工筐明细!$B$4:$B$1203,$Z563-4000)=0,"",INDEX(客户自备加工筐明细!$B$4:$B$1203,$Z563-4000)),IF($Z563&lt;=5800,IF(INDEX(次果筐明细!$B$4:$B$603,$Z563-5200)=0,"",INDEX(次果筐明细!$B$4:$B$603,$Z563-5200)),"")))))</f>
        <v/>
      </c>
      <c r="C563" s="37" t="str">
        <f>IF($Z563="","",IF($Z563&lt;=2000,IF(INDEX(包装物料出入库明细!$D$4:$D$2003,$Z563-0)=0,"",INDEX(包装物料出入库明细!$D$4:$D$2003,$Z563-0)),IF($Z563&lt;=4000,IF(INDEX(周转筐出入库明细!$C$4:$C$2004,$Z563-2000)=0,"",INDEX(周转筐出入库明细!$C$4:$C$2004,$Z563-2000)),IF($Z563&lt;=5200,IF(INDEX(客户自备加工筐明细!$E$4:$E$1203,$Z563-4000)=0,"",INDEX(客户自备加工筐明细!$E$4:$E$1203,$Z563-4000)),IF($Z563&lt;=5800,IF(INDEX(次果筐明细!$C$4:$C$603,$Z563-5200)=0,"",INDEX(次果筐明细!$C$4:$C$603,$Z563-5200)),"")))))</f>
        <v/>
      </c>
      <c r="D563" s="37" t="str">
        <f>IF($Z563="","",IF($Z563&lt;=2000,"包装物料－"&amp;INDEX(包装物料出入库明细!$H$4:$H$2003,$Z563-0),IF($Z563&lt;=4000,"周转筐－"&amp;INDEX(周转筐出入库明细!$F$4:$F$2004,$Z563-2000),IF($Z563&lt;=5200,"客户自备筐－"&amp;INDEX(客户自备加工筐明细!$J$4:$J$1203,$Z563-4000),IF($Z563&lt;=5800,"次果筐/托盘－"&amp;INDEX(次果筐明细!$F$4:$F$603,$Z563-5200),"")))))</f>
        <v/>
      </c>
      <c r="E563" s="24" t="str">
        <f>IF($Z563="","",IF($Z563&lt;=2000,IF(INDEX(包装物料出入库明细!$C$4:$C$2003,$Z563-0)=0,"",INDEX(包装物料出入库明细!$C$4:$C$2003,$Z563-0)),IF($Z563&lt;=4000,IF(INDEX(周转筐出入库明细!$E$4:$E$2004,$Z563-2000)=0,"",INDEX(周转筐出入库明细!$E$4:$E$2004,$Z563-2000)),IF($Z563&lt;=5200,IF(INDEX(客户自备加工筐明细!$D$4:$D$1203,$Z563-4000)=0,"",INDEX(客户自备加工筐明细!$D$4:$D$1203,$Z563-4000)),IF($Z563&lt;=5800,IF(INDEX(次果筐明细!$E$4:$E$603,$Z563-5200)=0,"",INDEX(次果筐明细!$E$4:$E$603,$Z563-5200)),"")))))</f>
        <v/>
      </c>
      <c r="F563" s="24" t="str">
        <f>IF($Z563="","",IF($Z563&lt;=2000,IF(INDEX(包装物料出入库明细!$E$4:$E$2003,$Z563-0)=0,"",INDEX(包装物料出入库明细!$E$4:$E$2003,$Z563-0)),IF($Z563&lt;=4000,IF(INDEX(周转筐出入库明细!$D$4:$D$2004,$Z563-2000)=0,"",INDEX(周转筐出入库明细!$D$4:$D$2004,$Z563-2000)),IF($Z563&lt;=5200,IF(INDEX(客户自备加工筐明细!$C$4:$C$1203,$Z563-4000)=0,"",INDEX(客户自备加工筐明细!$C$4:$C$1203,$Z563-4000)),IF($Z563&lt;=5800,IF(INDEX(次果筐明细!$D$4:$D$603,$Z563-5200)=0,"",INDEX(次果筐明细!$D$4:$D$603,$Z563-5200)),"")))))</f>
        <v/>
      </c>
      <c r="G563" s="24" t="str">
        <f>IF($Z563="","",IF($Z563&lt;=2000,IF(INDEX(包装物料出入库明细!$F$4:$F$2003,$Z563-0)=0,"",INDEX(包装物料出入库明细!$F$4:$F$2003,$Z563-0)),IF($Z563&lt;=4000,"",IF($Z563&lt;=5200,"",IF($Z563&lt;=5800,"","")))))</f>
        <v/>
      </c>
      <c r="H563" s="39" t="str">
        <f>IF($Z563="","",IF($Z563&lt;=2000,IF(INDEX(包装物料出入库明细!$L$4:$L$2003,$Z563-0)=0,"",INDEX(包装物料出入库明细!$L$4:$L$2003,$Z563-0)),IF($Z563&lt;=4000,N(INDEX(周转筐出入库明细!$H$4:$H$2004,$Z563-2000))+N(INDEX(周转筐出入库明细!$I$4:$I$2004,$Z563-2000))+N(INDEX(周转筐出入库明细!$J$4:$J$2004,$Z563-2000))+N(INDEX(周转筐出入库明细!$K$4:$K$2004,$Z563-2000)),IF($Z563&lt;=5200,N(INDEX(客户自备加工筐明细!$F$4:$F$1203,$Z563-4000))+N(INDEX(客户自备加工筐明细!$G$4:$G$1203,$Z563-4000)),IF($Z563&lt;=5800,IF(INDEX(次果筐明细!$G$4:$G$603,$Z563-5200)=0,"",INDEX(次果筐明细!$G$4:$G$603,$Z563-5200)),"")))))</f>
        <v/>
      </c>
      <c r="I563" s="24" t="str">
        <f>IF($Z563="","",IF($Z563&lt;=2000,IF(INDEX(包装物料出入库明细!$G$4:$G$2003,$Z563-0)=0,"",INDEX(包装物料出入库明细!$G$4:$G$2003,$Z563-0)),IF($Z563&lt;=4000,"个",IF($Z563&lt;=5200,"个",IF($Z563&lt;=5800,"个","")))))</f>
        <v/>
      </c>
      <c r="J563" s="30" t="str">
        <f t="shared" si="25"/>
        <v/>
      </c>
      <c r="K563" s="30" t="str">
        <f>IF($Z563="","",IF($Z563&lt;=2000,IF(INDEX(包装物料出入库明细!$N$4:$N$2003,$Z563-0)=0,"",INDEX(包装物料出入库明细!$N$4:$N$2003,$Z563-0)),IF($Z563&lt;=4000,IF(INDEX(周转筐出入库明细!$P$4:$P$2004,$Z563-2000)=0,"",INDEX(周转筐出入库明细!$P$4:$P$2004,$Z563-2000)),IF($Z563&lt;=5200,"",IF($Z563&lt;=5800,N(INDEX(次果筐明细!$L$4:$L$603,$Z563-5200))+N(INDEX(次果筐明细!$J$4:$J$603,$Z563-5200)),"")))))</f>
        <v/>
      </c>
      <c r="L563" s="24" t="str">
        <f>IF($Z563="","",IF($Z563&lt;=2000,IF(INDEX(包装物料出入库明细!$P$4:$P$2003,$Z563-0)=0,"",INDEX(包装物料出入库明细!$P$4:$P$2003,$Z563-0)),IF($Z563&lt;=4000,IF(INDEX(周转筐出入库明细!$Q$4:$Q$2004,$Z563-2000)=0,"",INDEX(周转筐出入库明细!$Q$4:$Q$2004,$Z563-2000)),IF($Z563&lt;=5200,"",IF($Z563&lt;=5800,IF(INDEX(次果筐明细!$M$4:$M$603,$Z563-5200)=0,"",INDEX(次果筐明细!$M$4:$M$603,$Z563-5200)),"")))))</f>
        <v/>
      </c>
      <c r="M563" s="37" t="str">
        <f>IF($Z563="","",IF($Z563&lt;=2000,IF(INDEX(包装物料出入库明细!$R$4:$R$2003,$Z563-0)=0,"",INDEX(包装物料出入库明细!$R$4:$R$2003,$Z563-0)),IF($Z563&lt;=4000,IF(INDEX(周转筐出入库明细!$W$4:$W$2004,$Z563-2000)=0,"",INDEX(周转筐出入库明细!$W$4:$W$2004,$Z563-2000)),IF($Z563&lt;=5200,IF(INDEX(客户自备加工筐明细!$L$4:$L$1203,$Z563-4000)=0,"",INDEX(客户自备加工筐明细!$L$4:$L$1203,$Z563-4000)),IF($Z563&lt;=5800,IF(INDEX(次果筐明细!$P$4:$P$603,$Z563-5200)=0,"",INDEX(次果筐明细!$P$4:$P$603,$Z563-5200)),"")))))</f>
        <v/>
      </c>
      <c r="N563" s="16" t="str">
        <f>IF($Z563="","",IF($Z563&lt;=2000,"",IF($Z563&lt;=4000,IF(INDEX(周转筐出入库明细!$D$4:$D$2004,$Z563-2000)=0,"",INDEX(周转筐出入库明细!$D$4:$D$2004,$Z563-2000)),IF($Z563&lt;=5200,IF(INDEX(客户自备加工筐明细!$C$4:$C$1203,$Z563-4000)=0,"",INDEX(客户自备加工筐明细!$C$4:$C$1203,$Z563-4000)),IF($Z563&lt;=5800,IF(INDEX(次果筐明细!$D$4:$D$603,$Z563-5200)=0,"",INDEX(次果筐明细!$D$4:$D$603,$Z563-5200)),"")))))</f>
        <v/>
      </c>
      <c r="O563" s="40" t="str">
        <f>IF($Z563="","",IF($Z563&lt;=2000,"",IF($Z563&lt;=4000,IF(N(INDEX(周转筐出入库明细!$J$4:$J$2004,$Z563-2000))+N(INDEX(周转筐出入库明细!$K$4:$K$2004,$Z563-2000))=0,"",N(INDEX(周转筐出入库明细!$J$4:$J$2004,$Z563-2000))+N(INDEX(周转筐出入库明细!$K$4:$K$2004,$Z563-2000))),IF($Z563&lt;=5200,IF(N(INDEX(客户自备加工筐明细!$G$4:$G$1203,$Z563-4000))=0,"",N(INDEX(客户自备加工筐明细!$G$4:$G$1203,$Z563-4000))),IF($Z563&lt;=5800,IF(ISNUMBER(SEARCH("退",INDEX(次果筐明细!$F$4:$F$603,$Z563-5200)&amp;"")),"",IF(N(INDEX(次果筐明细!$G$4:$G$603,$Z563-5200))=0,"",N(INDEX(次果筐明细!$G$4:$G$603,$Z563-5200)))),"")))))</f>
        <v/>
      </c>
      <c r="P563" s="40" t="str">
        <f>IF($Z563="","",IF($Z563&lt;=2000,"",IF($Z563&lt;=4000,IF(N(INDEX(周转筐出入库明细!$I$4:$I$2004,$Z563-2000))=0,"",N(INDEX(周转筐出入库明细!$I$4:$I$2004,$Z563-2000))),IF($Z563&lt;=5200,"",IF($Z563&lt;=5800,IF(ISNUMBER(SEARCH("退",INDEX(次果筐明细!$F$4:$F$603,$Z563-5200)&amp;"")),IF(N(INDEX(次果筐明细!$G$4:$G$603,$Z563-5200))=0,"",N(INDEX(次果筐明细!$G$4:$G$603,$Z563-5200))),""),"")))))</f>
        <v/>
      </c>
      <c r="Q563" s="40" t="str">
        <f>IF($Z563="","",IF($Z563&lt;=2000,"",IF($Z563&lt;=4000,IF(N(INDEX(周转筐出入库明细!$H$4:$H$2004,$Z563-2000))=0,"",N(INDEX(周转筐出入库明细!$H$4:$H$2004,$Z563-2000))),IF($Z563&lt;=5200,IF(N(INDEX(客户自备加工筐明细!$F$4:$F$1203,$Z563-4000))=0,"",N(INDEX(客户自备加工筐明细!$F$4:$F$1203,$Z563-4000))),IF($Z563&lt;=5800,"","")))))</f>
        <v/>
      </c>
      <c r="R563" s="16" t="str">
        <f>IF($Z563="","",IF($Z563&lt;=2000,IF(INDEX(包装物料出入库明细!$O$4:$O$2003,$Z563-0)=0,"",INDEX(包装物料出入库明细!$O$4:$O$2003,$Z563-0)),IF($Z563&lt;=4000,IF(INDEX(周转筐出入库明细!$M$4:$M$2004,$Z563-2000)=0,"",INDEX(周转筐出入库明细!$M$4:$M$2004,$Z563-2000)),IF($Z563&lt;=5200,IF(INDEX(客户自备加工筐明细!$H$4:$H$1203,$Z563-4000)=0,"",INDEX(客户自备加工筐明细!$H$4:$H$1203,$Z563-4000)),IF($Z563&lt;=5800,IF(INDEX(次果筐明细!$H$4:$H$603,$Z563-5200)=0,"",INDEX(次果筐明细!$H$4:$H$603,$Z563-5200)),"")))))</f>
        <v/>
      </c>
      <c r="S563" s="22" t="str">
        <f t="shared" si="26"/>
        <v/>
      </c>
      <c r="Z563" s="10" t="str">
        <f>IFERROR(MATCH(ROW()-3,_自动清单!$CQ$4:$CQ$5803,0),"")</f>
        <v/>
      </c>
    </row>
    <row r="564" spans="1:26">
      <c r="A564" s="24" t="str">
        <f t="shared" si="24"/>
        <v/>
      </c>
      <c r="B564" s="38" t="str">
        <f>IF($Z564="","",IF($Z564&lt;=2000,IF(INDEX(包装物料出入库明细!$B$4:$B$2003,$Z564-0)=0,"",INDEX(包装物料出入库明细!$B$4:$B$2003,$Z564-0)),IF($Z564&lt;=4000,IF(INDEX(周转筐出入库明细!$B$4:$B$2004,$Z564-2000)=0,"",INDEX(周转筐出入库明细!$B$4:$B$2004,$Z564-2000)),IF($Z564&lt;=5200,IF(INDEX(客户自备加工筐明细!$B$4:$B$1203,$Z564-4000)=0,"",INDEX(客户自备加工筐明细!$B$4:$B$1203,$Z564-4000)),IF($Z564&lt;=5800,IF(INDEX(次果筐明细!$B$4:$B$603,$Z564-5200)=0,"",INDEX(次果筐明细!$B$4:$B$603,$Z564-5200)),"")))))</f>
        <v/>
      </c>
      <c r="C564" s="37" t="str">
        <f>IF($Z564="","",IF($Z564&lt;=2000,IF(INDEX(包装物料出入库明细!$D$4:$D$2003,$Z564-0)=0,"",INDEX(包装物料出入库明细!$D$4:$D$2003,$Z564-0)),IF($Z564&lt;=4000,IF(INDEX(周转筐出入库明细!$C$4:$C$2004,$Z564-2000)=0,"",INDEX(周转筐出入库明细!$C$4:$C$2004,$Z564-2000)),IF($Z564&lt;=5200,IF(INDEX(客户自备加工筐明细!$E$4:$E$1203,$Z564-4000)=0,"",INDEX(客户自备加工筐明细!$E$4:$E$1203,$Z564-4000)),IF($Z564&lt;=5800,IF(INDEX(次果筐明细!$C$4:$C$603,$Z564-5200)=0,"",INDEX(次果筐明细!$C$4:$C$603,$Z564-5200)),"")))))</f>
        <v/>
      </c>
      <c r="D564" s="37" t="str">
        <f>IF($Z564="","",IF($Z564&lt;=2000,"包装物料－"&amp;INDEX(包装物料出入库明细!$H$4:$H$2003,$Z564-0),IF($Z564&lt;=4000,"周转筐－"&amp;INDEX(周转筐出入库明细!$F$4:$F$2004,$Z564-2000),IF($Z564&lt;=5200,"客户自备筐－"&amp;INDEX(客户自备加工筐明细!$J$4:$J$1203,$Z564-4000),IF($Z564&lt;=5800,"次果筐/托盘－"&amp;INDEX(次果筐明细!$F$4:$F$603,$Z564-5200),"")))))</f>
        <v/>
      </c>
      <c r="E564" s="24" t="str">
        <f>IF($Z564="","",IF($Z564&lt;=2000,IF(INDEX(包装物料出入库明细!$C$4:$C$2003,$Z564-0)=0,"",INDEX(包装物料出入库明细!$C$4:$C$2003,$Z564-0)),IF($Z564&lt;=4000,IF(INDEX(周转筐出入库明细!$E$4:$E$2004,$Z564-2000)=0,"",INDEX(周转筐出入库明细!$E$4:$E$2004,$Z564-2000)),IF($Z564&lt;=5200,IF(INDEX(客户自备加工筐明细!$D$4:$D$1203,$Z564-4000)=0,"",INDEX(客户自备加工筐明细!$D$4:$D$1203,$Z564-4000)),IF($Z564&lt;=5800,IF(INDEX(次果筐明细!$E$4:$E$603,$Z564-5200)=0,"",INDEX(次果筐明细!$E$4:$E$603,$Z564-5200)),"")))))</f>
        <v/>
      </c>
      <c r="F564" s="24" t="str">
        <f>IF($Z564="","",IF($Z564&lt;=2000,IF(INDEX(包装物料出入库明细!$E$4:$E$2003,$Z564-0)=0,"",INDEX(包装物料出入库明细!$E$4:$E$2003,$Z564-0)),IF($Z564&lt;=4000,IF(INDEX(周转筐出入库明细!$D$4:$D$2004,$Z564-2000)=0,"",INDEX(周转筐出入库明细!$D$4:$D$2004,$Z564-2000)),IF($Z564&lt;=5200,IF(INDEX(客户自备加工筐明细!$C$4:$C$1203,$Z564-4000)=0,"",INDEX(客户自备加工筐明细!$C$4:$C$1203,$Z564-4000)),IF($Z564&lt;=5800,IF(INDEX(次果筐明细!$D$4:$D$603,$Z564-5200)=0,"",INDEX(次果筐明细!$D$4:$D$603,$Z564-5200)),"")))))</f>
        <v/>
      </c>
      <c r="G564" s="24" t="str">
        <f>IF($Z564="","",IF($Z564&lt;=2000,IF(INDEX(包装物料出入库明细!$F$4:$F$2003,$Z564-0)=0,"",INDEX(包装物料出入库明细!$F$4:$F$2003,$Z564-0)),IF($Z564&lt;=4000,"",IF($Z564&lt;=5200,"",IF($Z564&lt;=5800,"","")))))</f>
        <v/>
      </c>
      <c r="H564" s="39" t="str">
        <f>IF($Z564="","",IF($Z564&lt;=2000,IF(INDEX(包装物料出入库明细!$L$4:$L$2003,$Z564-0)=0,"",INDEX(包装物料出入库明细!$L$4:$L$2003,$Z564-0)),IF($Z564&lt;=4000,N(INDEX(周转筐出入库明细!$H$4:$H$2004,$Z564-2000))+N(INDEX(周转筐出入库明细!$I$4:$I$2004,$Z564-2000))+N(INDEX(周转筐出入库明细!$J$4:$J$2004,$Z564-2000))+N(INDEX(周转筐出入库明细!$K$4:$K$2004,$Z564-2000)),IF($Z564&lt;=5200,N(INDEX(客户自备加工筐明细!$F$4:$F$1203,$Z564-4000))+N(INDEX(客户自备加工筐明细!$G$4:$G$1203,$Z564-4000)),IF($Z564&lt;=5800,IF(INDEX(次果筐明细!$G$4:$G$603,$Z564-5200)=0,"",INDEX(次果筐明细!$G$4:$G$603,$Z564-5200)),"")))))</f>
        <v/>
      </c>
      <c r="I564" s="24" t="str">
        <f>IF($Z564="","",IF($Z564&lt;=2000,IF(INDEX(包装物料出入库明细!$G$4:$G$2003,$Z564-0)=0,"",INDEX(包装物料出入库明细!$G$4:$G$2003,$Z564-0)),IF($Z564&lt;=4000,"个",IF($Z564&lt;=5200,"个",IF($Z564&lt;=5800,"个","")))))</f>
        <v/>
      </c>
      <c r="J564" s="30" t="str">
        <f t="shared" si="25"/>
        <v/>
      </c>
      <c r="K564" s="30" t="str">
        <f>IF($Z564="","",IF($Z564&lt;=2000,IF(INDEX(包装物料出入库明细!$N$4:$N$2003,$Z564-0)=0,"",INDEX(包装物料出入库明细!$N$4:$N$2003,$Z564-0)),IF($Z564&lt;=4000,IF(INDEX(周转筐出入库明细!$P$4:$P$2004,$Z564-2000)=0,"",INDEX(周转筐出入库明细!$P$4:$P$2004,$Z564-2000)),IF($Z564&lt;=5200,"",IF($Z564&lt;=5800,N(INDEX(次果筐明细!$L$4:$L$603,$Z564-5200))+N(INDEX(次果筐明细!$J$4:$J$603,$Z564-5200)),"")))))</f>
        <v/>
      </c>
      <c r="L564" s="24" t="str">
        <f>IF($Z564="","",IF($Z564&lt;=2000,IF(INDEX(包装物料出入库明细!$P$4:$P$2003,$Z564-0)=0,"",INDEX(包装物料出入库明细!$P$4:$P$2003,$Z564-0)),IF($Z564&lt;=4000,IF(INDEX(周转筐出入库明细!$Q$4:$Q$2004,$Z564-2000)=0,"",INDEX(周转筐出入库明细!$Q$4:$Q$2004,$Z564-2000)),IF($Z564&lt;=5200,"",IF($Z564&lt;=5800,IF(INDEX(次果筐明细!$M$4:$M$603,$Z564-5200)=0,"",INDEX(次果筐明细!$M$4:$M$603,$Z564-5200)),"")))))</f>
        <v/>
      </c>
      <c r="M564" s="37" t="str">
        <f>IF($Z564="","",IF($Z564&lt;=2000,IF(INDEX(包装物料出入库明细!$R$4:$R$2003,$Z564-0)=0,"",INDEX(包装物料出入库明细!$R$4:$R$2003,$Z564-0)),IF($Z564&lt;=4000,IF(INDEX(周转筐出入库明细!$W$4:$W$2004,$Z564-2000)=0,"",INDEX(周转筐出入库明细!$W$4:$W$2004,$Z564-2000)),IF($Z564&lt;=5200,IF(INDEX(客户自备加工筐明细!$L$4:$L$1203,$Z564-4000)=0,"",INDEX(客户自备加工筐明细!$L$4:$L$1203,$Z564-4000)),IF($Z564&lt;=5800,IF(INDEX(次果筐明细!$P$4:$P$603,$Z564-5200)=0,"",INDEX(次果筐明细!$P$4:$P$603,$Z564-5200)),"")))))</f>
        <v/>
      </c>
      <c r="N564" s="16" t="str">
        <f>IF($Z564="","",IF($Z564&lt;=2000,"",IF($Z564&lt;=4000,IF(INDEX(周转筐出入库明细!$D$4:$D$2004,$Z564-2000)=0,"",INDEX(周转筐出入库明细!$D$4:$D$2004,$Z564-2000)),IF($Z564&lt;=5200,IF(INDEX(客户自备加工筐明细!$C$4:$C$1203,$Z564-4000)=0,"",INDEX(客户自备加工筐明细!$C$4:$C$1203,$Z564-4000)),IF($Z564&lt;=5800,IF(INDEX(次果筐明细!$D$4:$D$603,$Z564-5200)=0,"",INDEX(次果筐明细!$D$4:$D$603,$Z564-5200)),"")))))</f>
        <v/>
      </c>
      <c r="O564" s="40" t="str">
        <f>IF($Z564="","",IF($Z564&lt;=2000,"",IF($Z564&lt;=4000,IF(N(INDEX(周转筐出入库明细!$J$4:$J$2004,$Z564-2000))+N(INDEX(周转筐出入库明细!$K$4:$K$2004,$Z564-2000))=0,"",N(INDEX(周转筐出入库明细!$J$4:$J$2004,$Z564-2000))+N(INDEX(周转筐出入库明细!$K$4:$K$2004,$Z564-2000))),IF($Z564&lt;=5200,IF(N(INDEX(客户自备加工筐明细!$G$4:$G$1203,$Z564-4000))=0,"",N(INDEX(客户自备加工筐明细!$G$4:$G$1203,$Z564-4000))),IF($Z564&lt;=5800,IF(ISNUMBER(SEARCH("退",INDEX(次果筐明细!$F$4:$F$603,$Z564-5200)&amp;"")),"",IF(N(INDEX(次果筐明细!$G$4:$G$603,$Z564-5200))=0,"",N(INDEX(次果筐明细!$G$4:$G$603,$Z564-5200)))),"")))))</f>
        <v/>
      </c>
      <c r="P564" s="40" t="str">
        <f>IF($Z564="","",IF($Z564&lt;=2000,"",IF($Z564&lt;=4000,IF(N(INDEX(周转筐出入库明细!$I$4:$I$2004,$Z564-2000))=0,"",N(INDEX(周转筐出入库明细!$I$4:$I$2004,$Z564-2000))),IF($Z564&lt;=5200,"",IF($Z564&lt;=5800,IF(ISNUMBER(SEARCH("退",INDEX(次果筐明细!$F$4:$F$603,$Z564-5200)&amp;"")),IF(N(INDEX(次果筐明细!$G$4:$G$603,$Z564-5200))=0,"",N(INDEX(次果筐明细!$G$4:$G$603,$Z564-5200))),""),"")))))</f>
        <v/>
      </c>
      <c r="Q564" s="40" t="str">
        <f>IF($Z564="","",IF($Z564&lt;=2000,"",IF($Z564&lt;=4000,IF(N(INDEX(周转筐出入库明细!$H$4:$H$2004,$Z564-2000))=0,"",N(INDEX(周转筐出入库明细!$H$4:$H$2004,$Z564-2000))),IF($Z564&lt;=5200,IF(N(INDEX(客户自备加工筐明细!$F$4:$F$1203,$Z564-4000))=0,"",N(INDEX(客户自备加工筐明细!$F$4:$F$1203,$Z564-4000))),IF($Z564&lt;=5800,"","")))))</f>
        <v/>
      </c>
      <c r="R564" s="16" t="str">
        <f>IF($Z564="","",IF($Z564&lt;=2000,IF(INDEX(包装物料出入库明细!$O$4:$O$2003,$Z564-0)=0,"",INDEX(包装物料出入库明细!$O$4:$O$2003,$Z564-0)),IF($Z564&lt;=4000,IF(INDEX(周转筐出入库明细!$M$4:$M$2004,$Z564-2000)=0,"",INDEX(周转筐出入库明细!$M$4:$M$2004,$Z564-2000)),IF($Z564&lt;=5200,IF(INDEX(客户自备加工筐明细!$H$4:$H$1203,$Z564-4000)=0,"",INDEX(客户自备加工筐明细!$H$4:$H$1203,$Z564-4000)),IF($Z564&lt;=5800,IF(INDEX(次果筐明细!$H$4:$H$603,$Z564-5200)=0,"",INDEX(次果筐明细!$H$4:$H$603,$Z564-5200)),"")))))</f>
        <v/>
      </c>
      <c r="S564" s="22" t="str">
        <f t="shared" si="26"/>
        <v/>
      </c>
      <c r="Z564" s="10" t="str">
        <f>IFERROR(MATCH(ROW()-3,_自动清单!$CQ$4:$CQ$5803,0),"")</f>
        <v/>
      </c>
    </row>
    <row r="565" spans="1:26">
      <c r="A565" s="24" t="str">
        <f t="shared" si="24"/>
        <v/>
      </c>
      <c r="B565" s="38" t="str">
        <f>IF($Z565="","",IF($Z565&lt;=2000,IF(INDEX(包装物料出入库明细!$B$4:$B$2003,$Z565-0)=0,"",INDEX(包装物料出入库明细!$B$4:$B$2003,$Z565-0)),IF($Z565&lt;=4000,IF(INDEX(周转筐出入库明细!$B$4:$B$2004,$Z565-2000)=0,"",INDEX(周转筐出入库明细!$B$4:$B$2004,$Z565-2000)),IF($Z565&lt;=5200,IF(INDEX(客户自备加工筐明细!$B$4:$B$1203,$Z565-4000)=0,"",INDEX(客户自备加工筐明细!$B$4:$B$1203,$Z565-4000)),IF($Z565&lt;=5800,IF(INDEX(次果筐明细!$B$4:$B$603,$Z565-5200)=0,"",INDEX(次果筐明细!$B$4:$B$603,$Z565-5200)),"")))))</f>
        <v/>
      </c>
      <c r="C565" s="37" t="str">
        <f>IF($Z565="","",IF($Z565&lt;=2000,IF(INDEX(包装物料出入库明细!$D$4:$D$2003,$Z565-0)=0,"",INDEX(包装物料出入库明细!$D$4:$D$2003,$Z565-0)),IF($Z565&lt;=4000,IF(INDEX(周转筐出入库明细!$C$4:$C$2004,$Z565-2000)=0,"",INDEX(周转筐出入库明细!$C$4:$C$2004,$Z565-2000)),IF($Z565&lt;=5200,IF(INDEX(客户自备加工筐明细!$E$4:$E$1203,$Z565-4000)=0,"",INDEX(客户自备加工筐明细!$E$4:$E$1203,$Z565-4000)),IF($Z565&lt;=5800,IF(INDEX(次果筐明细!$C$4:$C$603,$Z565-5200)=0,"",INDEX(次果筐明细!$C$4:$C$603,$Z565-5200)),"")))))</f>
        <v/>
      </c>
      <c r="D565" s="37" t="str">
        <f>IF($Z565="","",IF($Z565&lt;=2000,"包装物料－"&amp;INDEX(包装物料出入库明细!$H$4:$H$2003,$Z565-0),IF($Z565&lt;=4000,"周转筐－"&amp;INDEX(周转筐出入库明细!$F$4:$F$2004,$Z565-2000),IF($Z565&lt;=5200,"客户自备筐－"&amp;INDEX(客户自备加工筐明细!$J$4:$J$1203,$Z565-4000),IF($Z565&lt;=5800,"次果筐/托盘－"&amp;INDEX(次果筐明细!$F$4:$F$603,$Z565-5200),"")))))</f>
        <v/>
      </c>
      <c r="E565" s="24" t="str">
        <f>IF($Z565="","",IF($Z565&lt;=2000,IF(INDEX(包装物料出入库明细!$C$4:$C$2003,$Z565-0)=0,"",INDEX(包装物料出入库明细!$C$4:$C$2003,$Z565-0)),IF($Z565&lt;=4000,IF(INDEX(周转筐出入库明细!$E$4:$E$2004,$Z565-2000)=0,"",INDEX(周转筐出入库明细!$E$4:$E$2004,$Z565-2000)),IF($Z565&lt;=5200,IF(INDEX(客户自备加工筐明细!$D$4:$D$1203,$Z565-4000)=0,"",INDEX(客户自备加工筐明细!$D$4:$D$1203,$Z565-4000)),IF($Z565&lt;=5800,IF(INDEX(次果筐明细!$E$4:$E$603,$Z565-5200)=0,"",INDEX(次果筐明细!$E$4:$E$603,$Z565-5200)),"")))))</f>
        <v/>
      </c>
      <c r="F565" s="24" t="str">
        <f>IF($Z565="","",IF($Z565&lt;=2000,IF(INDEX(包装物料出入库明细!$E$4:$E$2003,$Z565-0)=0,"",INDEX(包装物料出入库明细!$E$4:$E$2003,$Z565-0)),IF($Z565&lt;=4000,IF(INDEX(周转筐出入库明细!$D$4:$D$2004,$Z565-2000)=0,"",INDEX(周转筐出入库明细!$D$4:$D$2004,$Z565-2000)),IF($Z565&lt;=5200,IF(INDEX(客户自备加工筐明细!$C$4:$C$1203,$Z565-4000)=0,"",INDEX(客户自备加工筐明细!$C$4:$C$1203,$Z565-4000)),IF($Z565&lt;=5800,IF(INDEX(次果筐明细!$D$4:$D$603,$Z565-5200)=0,"",INDEX(次果筐明细!$D$4:$D$603,$Z565-5200)),"")))))</f>
        <v/>
      </c>
      <c r="G565" s="24" t="str">
        <f>IF($Z565="","",IF($Z565&lt;=2000,IF(INDEX(包装物料出入库明细!$F$4:$F$2003,$Z565-0)=0,"",INDEX(包装物料出入库明细!$F$4:$F$2003,$Z565-0)),IF($Z565&lt;=4000,"",IF($Z565&lt;=5200,"",IF($Z565&lt;=5800,"","")))))</f>
        <v/>
      </c>
      <c r="H565" s="39" t="str">
        <f>IF($Z565="","",IF($Z565&lt;=2000,IF(INDEX(包装物料出入库明细!$L$4:$L$2003,$Z565-0)=0,"",INDEX(包装物料出入库明细!$L$4:$L$2003,$Z565-0)),IF($Z565&lt;=4000,N(INDEX(周转筐出入库明细!$H$4:$H$2004,$Z565-2000))+N(INDEX(周转筐出入库明细!$I$4:$I$2004,$Z565-2000))+N(INDEX(周转筐出入库明细!$J$4:$J$2004,$Z565-2000))+N(INDEX(周转筐出入库明细!$K$4:$K$2004,$Z565-2000)),IF($Z565&lt;=5200,N(INDEX(客户自备加工筐明细!$F$4:$F$1203,$Z565-4000))+N(INDEX(客户自备加工筐明细!$G$4:$G$1203,$Z565-4000)),IF($Z565&lt;=5800,IF(INDEX(次果筐明细!$G$4:$G$603,$Z565-5200)=0,"",INDEX(次果筐明细!$G$4:$G$603,$Z565-5200)),"")))))</f>
        <v/>
      </c>
      <c r="I565" s="24" t="str">
        <f>IF($Z565="","",IF($Z565&lt;=2000,IF(INDEX(包装物料出入库明细!$G$4:$G$2003,$Z565-0)=0,"",INDEX(包装物料出入库明细!$G$4:$G$2003,$Z565-0)),IF($Z565&lt;=4000,"个",IF($Z565&lt;=5200,"个",IF($Z565&lt;=5800,"个","")))))</f>
        <v/>
      </c>
      <c r="J565" s="30" t="str">
        <f t="shared" si="25"/>
        <v/>
      </c>
      <c r="K565" s="30" t="str">
        <f>IF($Z565="","",IF($Z565&lt;=2000,IF(INDEX(包装物料出入库明细!$N$4:$N$2003,$Z565-0)=0,"",INDEX(包装物料出入库明细!$N$4:$N$2003,$Z565-0)),IF($Z565&lt;=4000,IF(INDEX(周转筐出入库明细!$P$4:$P$2004,$Z565-2000)=0,"",INDEX(周转筐出入库明细!$P$4:$P$2004,$Z565-2000)),IF($Z565&lt;=5200,"",IF($Z565&lt;=5800,N(INDEX(次果筐明细!$L$4:$L$603,$Z565-5200))+N(INDEX(次果筐明细!$J$4:$J$603,$Z565-5200)),"")))))</f>
        <v/>
      </c>
      <c r="L565" s="24" t="str">
        <f>IF($Z565="","",IF($Z565&lt;=2000,IF(INDEX(包装物料出入库明细!$P$4:$P$2003,$Z565-0)=0,"",INDEX(包装物料出入库明细!$P$4:$P$2003,$Z565-0)),IF($Z565&lt;=4000,IF(INDEX(周转筐出入库明细!$Q$4:$Q$2004,$Z565-2000)=0,"",INDEX(周转筐出入库明细!$Q$4:$Q$2004,$Z565-2000)),IF($Z565&lt;=5200,"",IF($Z565&lt;=5800,IF(INDEX(次果筐明细!$M$4:$M$603,$Z565-5200)=0,"",INDEX(次果筐明细!$M$4:$M$603,$Z565-5200)),"")))))</f>
        <v/>
      </c>
      <c r="M565" s="37" t="str">
        <f>IF($Z565="","",IF($Z565&lt;=2000,IF(INDEX(包装物料出入库明细!$R$4:$R$2003,$Z565-0)=0,"",INDEX(包装物料出入库明细!$R$4:$R$2003,$Z565-0)),IF($Z565&lt;=4000,IF(INDEX(周转筐出入库明细!$W$4:$W$2004,$Z565-2000)=0,"",INDEX(周转筐出入库明细!$W$4:$W$2004,$Z565-2000)),IF($Z565&lt;=5200,IF(INDEX(客户自备加工筐明细!$L$4:$L$1203,$Z565-4000)=0,"",INDEX(客户自备加工筐明细!$L$4:$L$1203,$Z565-4000)),IF($Z565&lt;=5800,IF(INDEX(次果筐明细!$P$4:$P$603,$Z565-5200)=0,"",INDEX(次果筐明细!$P$4:$P$603,$Z565-5200)),"")))))</f>
        <v/>
      </c>
      <c r="N565" s="16" t="str">
        <f>IF($Z565="","",IF($Z565&lt;=2000,"",IF($Z565&lt;=4000,IF(INDEX(周转筐出入库明细!$D$4:$D$2004,$Z565-2000)=0,"",INDEX(周转筐出入库明细!$D$4:$D$2004,$Z565-2000)),IF($Z565&lt;=5200,IF(INDEX(客户自备加工筐明细!$C$4:$C$1203,$Z565-4000)=0,"",INDEX(客户自备加工筐明细!$C$4:$C$1203,$Z565-4000)),IF($Z565&lt;=5800,IF(INDEX(次果筐明细!$D$4:$D$603,$Z565-5200)=0,"",INDEX(次果筐明细!$D$4:$D$603,$Z565-5200)),"")))))</f>
        <v/>
      </c>
      <c r="O565" s="40" t="str">
        <f>IF($Z565="","",IF($Z565&lt;=2000,"",IF($Z565&lt;=4000,IF(N(INDEX(周转筐出入库明细!$J$4:$J$2004,$Z565-2000))+N(INDEX(周转筐出入库明细!$K$4:$K$2004,$Z565-2000))=0,"",N(INDEX(周转筐出入库明细!$J$4:$J$2004,$Z565-2000))+N(INDEX(周转筐出入库明细!$K$4:$K$2004,$Z565-2000))),IF($Z565&lt;=5200,IF(N(INDEX(客户自备加工筐明细!$G$4:$G$1203,$Z565-4000))=0,"",N(INDEX(客户自备加工筐明细!$G$4:$G$1203,$Z565-4000))),IF($Z565&lt;=5800,IF(ISNUMBER(SEARCH("退",INDEX(次果筐明细!$F$4:$F$603,$Z565-5200)&amp;"")),"",IF(N(INDEX(次果筐明细!$G$4:$G$603,$Z565-5200))=0,"",N(INDEX(次果筐明细!$G$4:$G$603,$Z565-5200)))),"")))))</f>
        <v/>
      </c>
      <c r="P565" s="40" t="str">
        <f>IF($Z565="","",IF($Z565&lt;=2000,"",IF($Z565&lt;=4000,IF(N(INDEX(周转筐出入库明细!$I$4:$I$2004,$Z565-2000))=0,"",N(INDEX(周转筐出入库明细!$I$4:$I$2004,$Z565-2000))),IF($Z565&lt;=5200,"",IF($Z565&lt;=5800,IF(ISNUMBER(SEARCH("退",INDEX(次果筐明细!$F$4:$F$603,$Z565-5200)&amp;"")),IF(N(INDEX(次果筐明细!$G$4:$G$603,$Z565-5200))=0,"",N(INDEX(次果筐明细!$G$4:$G$603,$Z565-5200))),""),"")))))</f>
        <v/>
      </c>
      <c r="Q565" s="40" t="str">
        <f>IF($Z565="","",IF($Z565&lt;=2000,"",IF($Z565&lt;=4000,IF(N(INDEX(周转筐出入库明细!$H$4:$H$2004,$Z565-2000))=0,"",N(INDEX(周转筐出入库明细!$H$4:$H$2004,$Z565-2000))),IF($Z565&lt;=5200,IF(N(INDEX(客户自备加工筐明细!$F$4:$F$1203,$Z565-4000))=0,"",N(INDEX(客户自备加工筐明细!$F$4:$F$1203,$Z565-4000))),IF($Z565&lt;=5800,"","")))))</f>
        <v/>
      </c>
      <c r="R565" s="16" t="str">
        <f>IF($Z565="","",IF($Z565&lt;=2000,IF(INDEX(包装物料出入库明细!$O$4:$O$2003,$Z565-0)=0,"",INDEX(包装物料出入库明细!$O$4:$O$2003,$Z565-0)),IF($Z565&lt;=4000,IF(INDEX(周转筐出入库明细!$M$4:$M$2004,$Z565-2000)=0,"",INDEX(周转筐出入库明细!$M$4:$M$2004,$Z565-2000)),IF($Z565&lt;=5200,IF(INDEX(客户自备加工筐明细!$H$4:$H$1203,$Z565-4000)=0,"",INDEX(客户自备加工筐明细!$H$4:$H$1203,$Z565-4000)),IF($Z565&lt;=5800,IF(INDEX(次果筐明细!$H$4:$H$603,$Z565-5200)=0,"",INDEX(次果筐明细!$H$4:$H$603,$Z565-5200)),"")))))</f>
        <v/>
      </c>
      <c r="S565" s="22" t="str">
        <f t="shared" si="26"/>
        <v/>
      </c>
      <c r="Z565" s="10" t="str">
        <f>IFERROR(MATCH(ROW()-3,_自动清单!$CQ$4:$CQ$5803,0),"")</f>
        <v/>
      </c>
    </row>
    <row r="566" spans="1:26">
      <c r="A566" s="24" t="str">
        <f t="shared" si="24"/>
        <v/>
      </c>
      <c r="B566" s="38" t="str">
        <f>IF($Z566="","",IF($Z566&lt;=2000,IF(INDEX(包装物料出入库明细!$B$4:$B$2003,$Z566-0)=0,"",INDEX(包装物料出入库明细!$B$4:$B$2003,$Z566-0)),IF($Z566&lt;=4000,IF(INDEX(周转筐出入库明细!$B$4:$B$2004,$Z566-2000)=0,"",INDEX(周转筐出入库明细!$B$4:$B$2004,$Z566-2000)),IF($Z566&lt;=5200,IF(INDEX(客户自备加工筐明细!$B$4:$B$1203,$Z566-4000)=0,"",INDEX(客户自备加工筐明细!$B$4:$B$1203,$Z566-4000)),IF($Z566&lt;=5800,IF(INDEX(次果筐明细!$B$4:$B$603,$Z566-5200)=0,"",INDEX(次果筐明细!$B$4:$B$603,$Z566-5200)),"")))))</f>
        <v/>
      </c>
      <c r="C566" s="37" t="str">
        <f>IF($Z566="","",IF($Z566&lt;=2000,IF(INDEX(包装物料出入库明细!$D$4:$D$2003,$Z566-0)=0,"",INDEX(包装物料出入库明细!$D$4:$D$2003,$Z566-0)),IF($Z566&lt;=4000,IF(INDEX(周转筐出入库明细!$C$4:$C$2004,$Z566-2000)=0,"",INDEX(周转筐出入库明细!$C$4:$C$2004,$Z566-2000)),IF($Z566&lt;=5200,IF(INDEX(客户自备加工筐明细!$E$4:$E$1203,$Z566-4000)=0,"",INDEX(客户自备加工筐明细!$E$4:$E$1203,$Z566-4000)),IF($Z566&lt;=5800,IF(INDEX(次果筐明细!$C$4:$C$603,$Z566-5200)=0,"",INDEX(次果筐明细!$C$4:$C$603,$Z566-5200)),"")))))</f>
        <v/>
      </c>
      <c r="D566" s="37" t="str">
        <f>IF($Z566="","",IF($Z566&lt;=2000,"包装物料－"&amp;INDEX(包装物料出入库明细!$H$4:$H$2003,$Z566-0),IF($Z566&lt;=4000,"周转筐－"&amp;INDEX(周转筐出入库明细!$F$4:$F$2004,$Z566-2000),IF($Z566&lt;=5200,"客户自备筐－"&amp;INDEX(客户自备加工筐明细!$J$4:$J$1203,$Z566-4000),IF($Z566&lt;=5800,"次果筐/托盘－"&amp;INDEX(次果筐明细!$F$4:$F$603,$Z566-5200),"")))))</f>
        <v/>
      </c>
      <c r="E566" s="24" t="str">
        <f>IF($Z566="","",IF($Z566&lt;=2000,IF(INDEX(包装物料出入库明细!$C$4:$C$2003,$Z566-0)=0,"",INDEX(包装物料出入库明细!$C$4:$C$2003,$Z566-0)),IF($Z566&lt;=4000,IF(INDEX(周转筐出入库明细!$E$4:$E$2004,$Z566-2000)=0,"",INDEX(周转筐出入库明细!$E$4:$E$2004,$Z566-2000)),IF($Z566&lt;=5200,IF(INDEX(客户自备加工筐明细!$D$4:$D$1203,$Z566-4000)=0,"",INDEX(客户自备加工筐明细!$D$4:$D$1203,$Z566-4000)),IF($Z566&lt;=5800,IF(INDEX(次果筐明细!$E$4:$E$603,$Z566-5200)=0,"",INDEX(次果筐明细!$E$4:$E$603,$Z566-5200)),"")))))</f>
        <v/>
      </c>
      <c r="F566" s="24" t="str">
        <f>IF($Z566="","",IF($Z566&lt;=2000,IF(INDEX(包装物料出入库明细!$E$4:$E$2003,$Z566-0)=0,"",INDEX(包装物料出入库明细!$E$4:$E$2003,$Z566-0)),IF($Z566&lt;=4000,IF(INDEX(周转筐出入库明细!$D$4:$D$2004,$Z566-2000)=0,"",INDEX(周转筐出入库明细!$D$4:$D$2004,$Z566-2000)),IF($Z566&lt;=5200,IF(INDEX(客户自备加工筐明细!$C$4:$C$1203,$Z566-4000)=0,"",INDEX(客户自备加工筐明细!$C$4:$C$1203,$Z566-4000)),IF($Z566&lt;=5800,IF(INDEX(次果筐明细!$D$4:$D$603,$Z566-5200)=0,"",INDEX(次果筐明细!$D$4:$D$603,$Z566-5200)),"")))))</f>
        <v/>
      </c>
      <c r="G566" s="24" t="str">
        <f>IF($Z566="","",IF($Z566&lt;=2000,IF(INDEX(包装物料出入库明细!$F$4:$F$2003,$Z566-0)=0,"",INDEX(包装物料出入库明细!$F$4:$F$2003,$Z566-0)),IF($Z566&lt;=4000,"",IF($Z566&lt;=5200,"",IF($Z566&lt;=5800,"","")))))</f>
        <v/>
      </c>
      <c r="H566" s="39" t="str">
        <f>IF($Z566="","",IF($Z566&lt;=2000,IF(INDEX(包装物料出入库明细!$L$4:$L$2003,$Z566-0)=0,"",INDEX(包装物料出入库明细!$L$4:$L$2003,$Z566-0)),IF($Z566&lt;=4000,N(INDEX(周转筐出入库明细!$H$4:$H$2004,$Z566-2000))+N(INDEX(周转筐出入库明细!$I$4:$I$2004,$Z566-2000))+N(INDEX(周转筐出入库明细!$J$4:$J$2004,$Z566-2000))+N(INDEX(周转筐出入库明细!$K$4:$K$2004,$Z566-2000)),IF($Z566&lt;=5200,N(INDEX(客户自备加工筐明细!$F$4:$F$1203,$Z566-4000))+N(INDEX(客户自备加工筐明细!$G$4:$G$1203,$Z566-4000)),IF($Z566&lt;=5800,IF(INDEX(次果筐明细!$G$4:$G$603,$Z566-5200)=0,"",INDEX(次果筐明细!$G$4:$G$603,$Z566-5200)),"")))))</f>
        <v/>
      </c>
      <c r="I566" s="24" t="str">
        <f>IF($Z566="","",IF($Z566&lt;=2000,IF(INDEX(包装物料出入库明细!$G$4:$G$2003,$Z566-0)=0,"",INDEX(包装物料出入库明细!$G$4:$G$2003,$Z566-0)),IF($Z566&lt;=4000,"个",IF($Z566&lt;=5200,"个",IF($Z566&lt;=5800,"个","")))))</f>
        <v/>
      </c>
      <c r="J566" s="30" t="str">
        <f t="shared" si="25"/>
        <v/>
      </c>
      <c r="K566" s="30" t="str">
        <f>IF($Z566="","",IF($Z566&lt;=2000,IF(INDEX(包装物料出入库明细!$N$4:$N$2003,$Z566-0)=0,"",INDEX(包装物料出入库明细!$N$4:$N$2003,$Z566-0)),IF($Z566&lt;=4000,IF(INDEX(周转筐出入库明细!$P$4:$P$2004,$Z566-2000)=0,"",INDEX(周转筐出入库明细!$P$4:$P$2004,$Z566-2000)),IF($Z566&lt;=5200,"",IF($Z566&lt;=5800,N(INDEX(次果筐明细!$L$4:$L$603,$Z566-5200))+N(INDEX(次果筐明细!$J$4:$J$603,$Z566-5200)),"")))))</f>
        <v/>
      </c>
      <c r="L566" s="24" t="str">
        <f>IF($Z566="","",IF($Z566&lt;=2000,IF(INDEX(包装物料出入库明细!$P$4:$P$2003,$Z566-0)=0,"",INDEX(包装物料出入库明细!$P$4:$P$2003,$Z566-0)),IF($Z566&lt;=4000,IF(INDEX(周转筐出入库明细!$Q$4:$Q$2004,$Z566-2000)=0,"",INDEX(周转筐出入库明细!$Q$4:$Q$2004,$Z566-2000)),IF($Z566&lt;=5200,"",IF($Z566&lt;=5800,IF(INDEX(次果筐明细!$M$4:$M$603,$Z566-5200)=0,"",INDEX(次果筐明细!$M$4:$M$603,$Z566-5200)),"")))))</f>
        <v/>
      </c>
      <c r="M566" s="37" t="str">
        <f>IF($Z566="","",IF($Z566&lt;=2000,IF(INDEX(包装物料出入库明细!$R$4:$R$2003,$Z566-0)=0,"",INDEX(包装物料出入库明细!$R$4:$R$2003,$Z566-0)),IF($Z566&lt;=4000,IF(INDEX(周转筐出入库明细!$W$4:$W$2004,$Z566-2000)=0,"",INDEX(周转筐出入库明细!$W$4:$W$2004,$Z566-2000)),IF($Z566&lt;=5200,IF(INDEX(客户自备加工筐明细!$L$4:$L$1203,$Z566-4000)=0,"",INDEX(客户自备加工筐明细!$L$4:$L$1203,$Z566-4000)),IF($Z566&lt;=5800,IF(INDEX(次果筐明细!$P$4:$P$603,$Z566-5200)=0,"",INDEX(次果筐明细!$P$4:$P$603,$Z566-5200)),"")))))</f>
        <v/>
      </c>
      <c r="N566" s="16" t="str">
        <f>IF($Z566="","",IF($Z566&lt;=2000,"",IF($Z566&lt;=4000,IF(INDEX(周转筐出入库明细!$D$4:$D$2004,$Z566-2000)=0,"",INDEX(周转筐出入库明细!$D$4:$D$2004,$Z566-2000)),IF($Z566&lt;=5200,IF(INDEX(客户自备加工筐明细!$C$4:$C$1203,$Z566-4000)=0,"",INDEX(客户自备加工筐明细!$C$4:$C$1203,$Z566-4000)),IF($Z566&lt;=5800,IF(INDEX(次果筐明细!$D$4:$D$603,$Z566-5200)=0,"",INDEX(次果筐明细!$D$4:$D$603,$Z566-5200)),"")))))</f>
        <v/>
      </c>
      <c r="O566" s="40" t="str">
        <f>IF($Z566="","",IF($Z566&lt;=2000,"",IF($Z566&lt;=4000,IF(N(INDEX(周转筐出入库明细!$J$4:$J$2004,$Z566-2000))+N(INDEX(周转筐出入库明细!$K$4:$K$2004,$Z566-2000))=0,"",N(INDEX(周转筐出入库明细!$J$4:$J$2004,$Z566-2000))+N(INDEX(周转筐出入库明细!$K$4:$K$2004,$Z566-2000))),IF($Z566&lt;=5200,IF(N(INDEX(客户自备加工筐明细!$G$4:$G$1203,$Z566-4000))=0,"",N(INDEX(客户自备加工筐明细!$G$4:$G$1203,$Z566-4000))),IF($Z566&lt;=5800,IF(ISNUMBER(SEARCH("退",INDEX(次果筐明细!$F$4:$F$603,$Z566-5200)&amp;"")),"",IF(N(INDEX(次果筐明细!$G$4:$G$603,$Z566-5200))=0,"",N(INDEX(次果筐明细!$G$4:$G$603,$Z566-5200)))),"")))))</f>
        <v/>
      </c>
      <c r="P566" s="40" t="str">
        <f>IF($Z566="","",IF($Z566&lt;=2000,"",IF($Z566&lt;=4000,IF(N(INDEX(周转筐出入库明细!$I$4:$I$2004,$Z566-2000))=0,"",N(INDEX(周转筐出入库明细!$I$4:$I$2004,$Z566-2000))),IF($Z566&lt;=5200,"",IF($Z566&lt;=5800,IF(ISNUMBER(SEARCH("退",INDEX(次果筐明细!$F$4:$F$603,$Z566-5200)&amp;"")),IF(N(INDEX(次果筐明细!$G$4:$G$603,$Z566-5200))=0,"",N(INDEX(次果筐明细!$G$4:$G$603,$Z566-5200))),""),"")))))</f>
        <v/>
      </c>
      <c r="Q566" s="40" t="str">
        <f>IF($Z566="","",IF($Z566&lt;=2000,"",IF($Z566&lt;=4000,IF(N(INDEX(周转筐出入库明细!$H$4:$H$2004,$Z566-2000))=0,"",N(INDEX(周转筐出入库明细!$H$4:$H$2004,$Z566-2000))),IF($Z566&lt;=5200,IF(N(INDEX(客户自备加工筐明细!$F$4:$F$1203,$Z566-4000))=0,"",N(INDEX(客户自备加工筐明细!$F$4:$F$1203,$Z566-4000))),IF($Z566&lt;=5800,"","")))))</f>
        <v/>
      </c>
      <c r="R566" s="16" t="str">
        <f>IF($Z566="","",IF($Z566&lt;=2000,IF(INDEX(包装物料出入库明细!$O$4:$O$2003,$Z566-0)=0,"",INDEX(包装物料出入库明细!$O$4:$O$2003,$Z566-0)),IF($Z566&lt;=4000,IF(INDEX(周转筐出入库明细!$M$4:$M$2004,$Z566-2000)=0,"",INDEX(周转筐出入库明细!$M$4:$M$2004,$Z566-2000)),IF($Z566&lt;=5200,IF(INDEX(客户自备加工筐明细!$H$4:$H$1203,$Z566-4000)=0,"",INDEX(客户自备加工筐明细!$H$4:$H$1203,$Z566-4000)),IF($Z566&lt;=5800,IF(INDEX(次果筐明细!$H$4:$H$603,$Z566-5200)=0,"",INDEX(次果筐明细!$H$4:$H$603,$Z566-5200)),"")))))</f>
        <v/>
      </c>
      <c r="S566" s="22" t="str">
        <f t="shared" si="26"/>
        <v/>
      </c>
      <c r="Z566" s="10" t="str">
        <f>IFERROR(MATCH(ROW()-3,_自动清单!$CQ$4:$CQ$5803,0),"")</f>
        <v/>
      </c>
    </row>
    <row r="567" spans="1:26">
      <c r="A567" s="24" t="str">
        <f t="shared" si="24"/>
        <v/>
      </c>
      <c r="B567" s="38" t="str">
        <f>IF($Z567="","",IF($Z567&lt;=2000,IF(INDEX(包装物料出入库明细!$B$4:$B$2003,$Z567-0)=0,"",INDEX(包装物料出入库明细!$B$4:$B$2003,$Z567-0)),IF($Z567&lt;=4000,IF(INDEX(周转筐出入库明细!$B$4:$B$2004,$Z567-2000)=0,"",INDEX(周转筐出入库明细!$B$4:$B$2004,$Z567-2000)),IF($Z567&lt;=5200,IF(INDEX(客户自备加工筐明细!$B$4:$B$1203,$Z567-4000)=0,"",INDEX(客户自备加工筐明细!$B$4:$B$1203,$Z567-4000)),IF($Z567&lt;=5800,IF(INDEX(次果筐明细!$B$4:$B$603,$Z567-5200)=0,"",INDEX(次果筐明细!$B$4:$B$603,$Z567-5200)),"")))))</f>
        <v/>
      </c>
      <c r="C567" s="37" t="str">
        <f>IF($Z567="","",IF($Z567&lt;=2000,IF(INDEX(包装物料出入库明细!$D$4:$D$2003,$Z567-0)=0,"",INDEX(包装物料出入库明细!$D$4:$D$2003,$Z567-0)),IF($Z567&lt;=4000,IF(INDEX(周转筐出入库明细!$C$4:$C$2004,$Z567-2000)=0,"",INDEX(周转筐出入库明细!$C$4:$C$2004,$Z567-2000)),IF($Z567&lt;=5200,IF(INDEX(客户自备加工筐明细!$E$4:$E$1203,$Z567-4000)=0,"",INDEX(客户自备加工筐明细!$E$4:$E$1203,$Z567-4000)),IF($Z567&lt;=5800,IF(INDEX(次果筐明细!$C$4:$C$603,$Z567-5200)=0,"",INDEX(次果筐明细!$C$4:$C$603,$Z567-5200)),"")))))</f>
        <v/>
      </c>
      <c r="D567" s="37" t="str">
        <f>IF($Z567="","",IF($Z567&lt;=2000,"包装物料－"&amp;INDEX(包装物料出入库明细!$H$4:$H$2003,$Z567-0),IF($Z567&lt;=4000,"周转筐－"&amp;INDEX(周转筐出入库明细!$F$4:$F$2004,$Z567-2000),IF($Z567&lt;=5200,"客户自备筐－"&amp;INDEX(客户自备加工筐明细!$J$4:$J$1203,$Z567-4000),IF($Z567&lt;=5800,"次果筐/托盘－"&amp;INDEX(次果筐明细!$F$4:$F$603,$Z567-5200),"")))))</f>
        <v/>
      </c>
      <c r="E567" s="24" t="str">
        <f>IF($Z567="","",IF($Z567&lt;=2000,IF(INDEX(包装物料出入库明细!$C$4:$C$2003,$Z567-0)=0,"",INDEX(包装物料出入库明细!$C$4:$C$2003,$Z567-0)),IF($Z567&lt;=4000,IF(INDEX(周转筐出入库明细!$E$4:$E$2004,$Z567-2000)=0,"",INDEX(周转筐出入库明细!$E$4:$E$2004,$Z567-2000)),IF($Z567&lt;=5200,IF(INDEX(客户自备加工筐明细!$D$4:$D$1203,$Z567-4000)=0,"",INDEX(客户自备加工筐明细!$D$4:$D$1203,$Z567-4000)),IF($Z567&lt;=5800,IF(INDEX(次果筐明细!$E$4:$E$603,$Z567-5200)=0,"",INDEX(次果筐明细!$E$4:$E$603,$Z567-5200)),"")))))</f>
        <v/>
      </c>
      <c r="F567" s="24" t="str">
        <f>IF($Z567="","",IF($Z567&lt;=2000,IF(INDEX(包装物料出入库明细!$E$4:$E$2003,$Z567-0)=0,"",INDEX(包装物料出入库明细!$E$4:$E$2003,$Z567-0)),IF($Z567&lt;=4000,IF(INDEX(周转筐出入库明细!$D$4:$D$2004,$Z567-2000)=0,"",INDEX(周转筐出入库明细!$D$4:$D$2004,$Z567-2000)),IF($Z567&lt;=5200,IF(INDEX(客户自备加工筐明细!$C$4:$C$1203,$Z567-4000)=0,"",INDEX(客户自备加工筐明细!$C$4:$C$1203,$Z567-4000)),IF($Z567&lt;=5800,IF(INDEX(次果筐明细!$D$4:$D$603,$Z567-5200)=0,"",INDEX(次果筐明细!$D$4:$D$603,$Z567-5200)),"")))))</f>
        <v/>
      </c>
      <c r="G567" s="24" t="str">
        <f>IF($Z567="","",IF($Z567&lt;=2000,IF(INDEX(包装物料出入库明细!$F$4:$F$2003,$Z567-0)=0,"",INDEX(包装物料出入库明细!$F$4:$F$2003,$Z567-0)),IF($Z567&lt;=4000,"",IF($Z567&lt;=5200,"",IF($Z567&lt;=5800,"","")))))</f>
        <v/>
      </c>
      <c r="H567" s="39" t="str">
        <f>IF($Z567="","",IF($Z567&lt;=2000,IF(INDEX(包装物料出入库明细!$L$4:$L$2003,$Z567-0)=0,"",INDEX(包装物料出入库明细!$L$4:$L$2003,$Z567-0)),IF($Z567&lt;=4000,N(INDEX(周转筐出入库明细!$H$4:$H$2004,$Z567-2000))+N(INDEX(周转筐出入库明细!$I$4:$I$2004,$Z567-2000))+N(INDEX(周转筐出入库明细!$J$4:$J$2004,$Z567-2000))+N(INDEX(周转筐出入库明细!$K$4:$K$2004,$Z567-2000)),IF($Z567&lt;=5200,N(INDEX(客户自备加工筐明细!$F$4:$F$1203,$Z567-4000))+N(INDEX(客户自备加工筐明细!$G$4:$G$1203,$Z567-4000)),IF($Z567&lt;=5800,IF(INDEX(次果筐明细!$G$4:$G$603,$Z567-5200)=0,"",INDEX(次果筐明细!$G$4:$G$603,$Z567-5200)),"")))))</f>
        <v/>
      </c>
      <c r="I567" s="24" t="str">
        <f>IF($Z567="","",IF($Z567&lt;=2000,IF(INDEX(包装物料出入库明细!$G$4:$G$2003,$Z567-0)=0,"",INDEX(包装物料出入库明细!$G$4:$G$2003,$Z567-0)),IF($Z567&lt;=4000,"个",IF($Z567&lt;=5200,"个",IF($Z567&lt;=5800,"个","")))))</f>
        <v/>
      </c>
      <c r="J567" s="30" t="str">
        <f t="shared" si="25"/>
        <v/>
      </c>
      <c r="K567" s="30" t="str">
        <f>IF($Z567="","",IF($Z567&lt;=2000,IF(INDEX(包装物料出入库明细!$N$4:$N$2003,$Z567-0)=0,"",INDEX(包装物料出入库明细!$N$4:$N$2003,$Z567-0)),IF($Z567&lt;=4000,IF(INDEX(周转筐出入库明细!$P$4:$P$2004,$Z567-2000)=0,"",INDEX(周转筐出入库明细!$P$4:$P$2004,$Z567-2000)),IF($Z567&lt;=5200,"",IF($Z567&lt;=5800,N(INDEX(次果筐明细!$L$4:$L$603,$Z567-5200))+N(INDEX(次果筐明细!$J$4:$J$603,$Z567-5200)),"")))))</f>
        <v/>
      </c>
      <c r="L567" s="24" t="str">
        <f>IF($Z567="","",IF($Z567&lt;=2000,IF(INDEX(包装物料出入库明细!$P$4:$P$2003,$Z567-0)=0,"",INDEX(包装物料出入库明细!$P$4:$P$2003,$Z567-0)),IF($Z567&lt;=4000,IF(INDEX(周转筐出入库明细!$Q$4:$Q$2004,$Z567-2000)=0,"",INDEX(周转筐出入库明细!$Q$4:$Q$2004,$Z567-2000)),IF($Z567&lt;=5200,"",IF($Z567&lt;=5800,IF(INDEX(次果筐明细!$M$4:$M$603,$Z567-5200)=0,"",INDEX(次果筐明细!$M$4:$M$603,$Z567-5200)),"")))))</f>
        <v/>
      </c>
      <c r="M567" s="37" t="str">
        <f>IF($Z567="","",IF($Z567&lt;=2000,IF(INDEX(包装物料出入库明细!$R$4:$R$2003,$Z567-0)=0,"",INDEX(包装物料出入库明细!$R$4:$R$2003,$Z567-0)),IF($Z567&lt;=4000,IF(INDEX(周转筐出入库明细!$W$4:$W$2004,$Z567-2000)=0,"",INDEX(周转筐出入库明细!$W$4:$W$2004,$Z567-2000)),IF($Z567&lt;=5200,IF(INDEX(客户自备加工筐明细!$L$4:$L$1203,$Z567-4000)=0,"",INDEX(客户自备加工筐明细!$L$4:$L$1203,$Z567-4000)),IF($Z567&lt;=5800,IF(INDEX(次果筐明细!$P$4:$P$603,$Z567-5200)=0,"",INDEX(次果筐明细!$P$4:$P$603,$Z567-5200)),"")))))</f>
        <v/>
      </c>
      <c r="N567" s="16" t="str">
        <f>IF($Z567="","",IF($Z567&lt;=2000,"",IF($Z567&lt;=4000,IF(INDEX(周转筐出入库明细!$D$4:$D$2004,$Z567-2000)=0,"",INDEX(周转筐出入库明细!$D$4:$D$2004,$Z567-2000)),IF($Z567&lt;=5200,IF(INDEX(客户自备加工筐明细!$C$4:$C$1203,$Z567-4000)=0,"",INDEX(客户自备加工筐明细!$C$4:$C$1203,$Z567-4000)),IF($Z567&lt;=5800,IF(INDEX(次果筐明细!$D$4:$D$603,$Z567-5200)=0,"",INDEX(次果筐明细!$D$4:$D$603,$Z567-5200)),"")))))</f>
        <v/>
      </c>
      <c r="O567" s="40" t="str">
        <f>IF($Z567="","",IF($Z567&lt;=2000,"",IF($Z567&lt;=4000,IF(N(INDEX(周转筐出入库明细!$J$4:$J$2004,$Z567-2000))+N(INDEX(周转筐出入库明细!$K$4:$K$2004,$Z567-2000))=0,"",N(INDEX(周转筐出入库明细!$J$4:$J$2004,$Z567-2000))+N(INDEX(周转筐出入库明细!$K$4:$K$2004,$Z567-2000))),IF($Z567&lt;=5200,IF(N(INDEX(客户自备加工筐明细!$G$4:$G$1203,$Z567-4000))=0,"",N(INDEX(客户自备加工筐明细!$G$4:$G$1203,$Z567-4000))),IF($Z567&lt;=5800,IF(ISNUMBER(SEARCH("退",INDEX(次果筐明细!$F$4:$F$603,$Z567-5200)&amp;"")),"",IF(N(INDEX(次果筐明细!$G$4:$G$603,$Z567-5200))=0,"",N(INDEX(次果筐明细!$G$4:$G$603,$Z567-5200)))),"")))))</f>
        <v/>
      </c>
      <c r="P567" s="40" t="str">
        <f>IF($Z567="","",IF($Z567&lt;=2000,"",IF($Z567&lt;=4000,IF(N(INDEX(周转筐出入库明细!$I$4:$I$2004,$Z567-2000))=0,"",N(INDEX(周转筐出入库明细!$I$4:$I$2004,$Z567-2000))),IF($Z567&lt;=5200,"",IF($Z567&lt;=5800,IF(ISNUMBER(SEARCH("退",INDEX(次果筐明细!$F$4:$F$603,$Z567-5200)&amp;"")),IF(N(INDEX(次果筐明细!$G$4:$G$603,$Z567-5200))=0,"",N(INDEX(次果筐明细!$G$4:$G$603,$Z567-5200))),""),"")))))</f>
        <v/>
      </c>
      <c r="Q567" s="40" t="str">
        <f>IF($Z567="","",IF($Z567&lt;=2000,"",IF($Z567&lt;=4000,IF(N(INDEX(周转筐出入库明细!$H$4:$H$2004,$Z567-2000))=0,"",N(INDEX(周转筐出入库明细!$H$4:$H$2004,$Z567-2000))),IF($Z567&lt;=5200,IF(N(INDEX(客户自备加工筐明细!$F$4:$F$1203,$Z567-4000))=0,"",N(INDEX(客户自备加工筐明细!$F$4:$F$1203,$Z567-4000))),IF($Z567&lt;=5800,"","")))))</f>
        <v/>
      </c>
      <c r="R567" s="16" t="str">
        <f>IF($Z567="","",IF($Z567&lt;=2000,IF(INDEX(包装物料出入库明细!$O$4:$O$2003,$Z567-0)=0,"",INDEX(包装物料出入库明细!$O$4:$O$2003,$Z567-0)),IF($Z567&lt;=4000,IF(INDEX(周转筐出入库明细!$M$4:$M$2004,$Z567-2000)=0,"",INDEX(周转筐出入库明细!$M$4:$M$2004,$Z567-2000)),IF($Z567&lt;=5200,IF(INDEX(客户自备加工筐明细!$H$4:$H$1203,$Z567-4000)=0,"",INDEX(客户自备加工筐明细!$H$4:$H$1203,$Z567-4000)),IF($Z567&lt;=5800,IF(INDEX(次果筐明细!$H$4:$H$603,$Z567-5200)=0,"",INDEX(次果筐明细!$H$4:$H$603,$Z567-5200)),"")))))</f>
        <v/>
      </c>
      <c r="S567" s="22" t="str">
        <f t="shared" si="26"/>
        <v/>
      </c>
      <c r="Z567" s="10" t="str">
        <f>IFERROR(MATCH(ROW()-3,_自动清单!$CQ$4:$CQ$5803,0),"")</f>
        <v/>
      </c>
    </row>
    <row r="568" spans="1:26">
      <c r="A568" s="24" t="str">
        <f t="shared" si="24"/>
        <v/>
      </c>
      <c r="B568" s="38" t="str">
        <f>IF($Z568="","",IF($Z568&lt;=2000,IF(INDEX(包装物料出入库明细!$B$4:$B$2003,$Z568-0)=0,"",INDEX(包装物料出入库明细!$B$4:$B$2003,$Z568-0)),IF($Z568&lt;=4000,IF(INDEX(周转筐出入库明细!$B$4:$B$2004,$Z568-2000)=0,"",INDEX(周转筐出入库明细!$B$4:$B$2004,$Z568-2000)),IF($Z568&lt;=5200,IF(INDEX(客户自备加工筐明细!$B$4:$B$1203,$Z568-4000)=0,"",INDEX(客户自备加工筐明细!$B$4:$B$1203,$Z568-4000)),IF($Z568&lt;=5800,IF(INDEX(次果筐明细!$B$4:$B$603,$Z568-5200)=0,"",INDEX(次果筐明细!$B$4:$B$603,$Z568-5200)),"")))))</f>
        <v/>
      </c>
      <c r="C568" s="37" t="str">
        <f>IF($Z568="","",IF($Z568&lt;=2000,IF(INDEX(包装物料出入库明细!$D$4:$D$2003,$Z568-0)=0,"",INDEX(包装物料出入库明细!$D$4:$D$2003,$Z568-0)),IF($Z568&lt;=4000,IF(INDEX(周转筐出入库明细!$C$4:$C$2004,$Z568-2000)=0,"",INDEX(周转筐出入库明细!$C$4:$C$2004,$Z568-2000)),IF($Z568&lt;=5200,IF(INDEX(客户自备加工筐明细!$E$4:$E$1203,$Z568-4000)=0,"",INDEX(客户自备加工筐明细!$E$4:$E$1203,$Z568-4000)),IF($Z568&lt;=5800,IF(INDEX(次果筐明细!$C$4:$C$603,$Z568-5200)=0,"",INDEX(次果筐明细!$C$4:$C$603,$Z568-5200)),"")))))</f>
        <v/>
      </c>
      <c r="D568" s="37" t="str">
        <f>IF($Z568="","",IF($Z568&lt;=2000,"包装物料－"&amp;INDEX(包装物料出入库明细!$H$4:$H$2003,$Z568-0),IF($Z568&lt;=4000,"周转筐－"&amp;INDEX(周转筐出入库明细!$F$4:$F$2004,$Z568-2000),IF($Z568&lt;=5200,"客户自备筐－"&amp;INDEX(客户自备加工筐明细!$J$4:$J$1203,$Z568-4000),IF($Z568&lt;=5800,"次果筐/托盘－"&amp;INDEX(次果筐明细!$F$4:$F$603,$Z568-5200),"")))))</f>
        <v/>
      </c>
      <c r="E568" s="24" t="str">
        <f>IF($Z568="","",IF($Z568&lt;=2000,IF(INDEX(包装物料出入库明细!$C$4:$C$2003,$Z568-0)=0,"",INDEX(包装物料出入库明细!$C$4:$C$2003,$Z568-0)),IF($Z568&lt;=4000,IF(INDEX(周转筐出入库明细!$E$4:$E$2004,$Z568-2000)=0,"",INDEX(周转筐出入库明细!$E$4:$E$2004,$Z568-2000)),IF($Z568&lt;=5200,IF(INDEX(客户自备加工筐明细!$D$4:$D$1203,$Z568-4000)=0,"",INDEX(客户自备加工筐明细!$D$4:$D$1203,$Z568-4000)),IF($Z568&lt;=5800,IF(INDEX(次果筐明细!$E$4:$E$603,$Z568-5200)=0,"",INDEX(次果筐明细!$E$4:$E$603,$Z568-5200)),"")))))</f>
        <v/>
      </c>
      <c r="F568" s="24" t="str">
        <f>IF($Z568="","",IF($Z568&lt;=2000,IF(INDEX(包装物料出入库明细!$E$4:$E$2003,$Z568-0)=0,"",INDEX(包装物料出入库明细!$E$4:$E$2003,$Z568-0)),IF($Z568&lt;=4000,IF(INDEX(周转筐出入库明细!$D$4:$D$2004,$Z568-2000)=0,"",INDEX(周转筐出入库明细!$D$4:$D$2004,$Z568-2000)),IF($Z568&lt;=5200,IF(INDEX(客户自备加工筐明细!$C$4:$C$1203,$Z568-4000)=0,"",INDEX(客户自备加工筐明细!$C$4:$C$1203,$Z568-4000)),IF($Z568&lt;=5800,IF(INDEX(次果筐明细!$D$4:$D$603,$Z568-5200)=0,"",INDEX(次果筐明细!$D$4:$D$603,$Z568-5200)),"")))))</f>
        <v/>
      </c>
      <c r="G568" s="24" t="str">
        <f>IF($Z568="","",IF($Z568&lt;=2000,IF(INDEX(包装物料出入库明细!$F$4:$F$2003,$Z568-0)=0,"",INDEX(包装物料出入库明细!$F$4:$F$2003,$Z568-0)),IF($Z568&lt;=4000,"",IF($Z568&lt;=5200,"",IF($Z568&lt;=5800,"","")))))</f>
        <v/>
      </c>
      <c r="H568" s="39" t="str">
        <f>IF($Z568="","",IF($Z568&lt;=2000,IF(INDEX(包装物料出入库明细!$L$4:$L$2003,$Z568-0)=0,"",INDEX(包装物料出入库明细!$L$4:$L$2003,$Z568-0)),IF($Z568&lt;=4000,N(INDEX(周转筐出入库明细!$H$4:$H$2004,$Z568-2000))+N(INDEX(周转筐出入库明细!$I$4:$I$2004,$Z568-2000))+N(INDEX(周转筐出入库明细!$J$4:$J$2004,$Z568-2000))+N(INDEX(周转筐出入库明细!$K$4:$K$2004,$Z568-2000)),IF($Z568&lt;=5200,N(INDEX(客户自备加工筐明细!$F$4:$F$1203,$Z568-4000))+N(INDEX(客户自备加工筐明细!$G$4:$G$1203,$Z568-4000)),IF($Z568&lt;=5800,IF(INDEX(次果筐明细!$G$4:$G$603,$Z568-5200)=0,"",INDEX(次果筐明细!$G$4:$G$603,$Z568-5200)),"")))))</f>
        <v/>
      </c>
      <c r="I568" s="24" t="str">
        <f>IF($Z568="","",IF($Z568&lt;=2000,IF(INDEX(包装物料出入库明细!$G$4:$G$2003,$Z568-0)=0,"",INDEX(包装物料出入库明细!$G$4:$G$2003,$Z568-0)),IF($Z568&lt;=4000,"个",IF($Z568&lt;=5200,"个",IF($Z568&lt;=5800,"个","")))))</f>
        <v/>
      </c>
      <c r="J568" s="30" t="str">
        <f t="shared" si="25"/>
        <v/>
      </c>
      <c r="K568" s="30" t="str">
        <f>IF($Z568="","",IF($Z568&lt;=2000,IF(INDEX(包装物料出入库明细!$N$4:$N$2003,$Z568-0)=0,"",INDEX(包装物料出入库明细!$N$4:$N$2003,$Z568-0)),IF($Z568&lt;=4000,IF(INDEX(周转筐出入库明细!$P$4:$P$2004,$Z568-2000)=0,"",INDEX(周转筐出入库明细!$P$4:$P$2004,$Z568-2000)),IF($Z568&lt;=5200,"",IF($Z568&lt;=5800,N(INDEX(次果筐明细!$L$4:$L$603,$Z568-5200))+N(INDEX(次果筐明细!$J$4:$J$603,$Z568-5200)),"")))))</f>
        <v/>
      </c>
      <c r="L568" s="24" t="str">
        <f>IF($Z568="","",IF($Z568&lt;=2000,IF(INDEX(包装物料出入库明细!$P$4:$P$2003,$Z568-0)=0,"",INDEX(包装物料出入库明细!$P$4:$P$2003,$Z568-0)),IF($Z568&lt;=4000,IF(INDEX(周转筐出入库明细!$Q$4:$Q$2004,$Z568-2000)=0,"",INDEX(周转筐出入库明细!$Q$4:$Q$2004,$Z568-2000)),IF($Z568&lt;=5200,"",IF($Z568&lt;=5800,IF(INDEX(次果筐明细!$M$4:$M$603,$Z568-5200)=0,"",INDEX(次果筐明细!$M$4:$M$603,$Z568-5200)),"")))))</f>
        <v/>
      </c>
      <c r="M568" s="37" t="str">
        <f>IF($Z568="","",IF($Z568&lt;=2000,IF(INDEX(包装物料出入库明细!$R$4:$R$2003,$Z568-0)=0,"",INDEX(包装物料出入库明细!$R$4:$R$2003,$Z568-0)),IF($Z568&lt;=4000,IF(INDEX(周转筐出入库明细!$W$4:$W$2004,$Z568-2000)=0,"",INDEX(周转筐出入库明细!$W$4:$W$2004,$Z568-2000)),IF($Z568&lt;=5200,IF(INDEX(客户自备加工筐明细!$L$4:$L$1203,$Z568-4000)=0,"",INDEX(客户自备加工筐明细!$L$4:$L$1203,$Z568-4000)),IF($Z568&lt;=5800,IF(INDEX(次果筐明细!$P$4:$P$603,$Z568-5200)=0,"",INDEX(次果筐明细!$P$4:$P$603,$Z568-5200)),"")))))</f>
        <v/>
      </c>
      <c r="N568" s="16" t="str">
        <f>IF($Z568="","",IF($Z568&lt;=2000,"",IF($Z568&lt;=4000,IF(INDEX(周转筐出入库明细!$D$4:$D$2004,$Z568-2000)=0,"",INDEX(周转筐出入库明细!$D$4:$D$2004,$Z568-2000)),IF($Z568&lt;=5200,IF(INDEX(客户自备加工筐明细!$C$4:$C$1203,$Z568-4000)=0,"",INDEX(客户自备加工筐明细!$C$4:$C$1203,$Z568-4000)),IF($Z568&lt;=5800,IF(INDEX(次果筐明细!$D$4:$D$603,$Z568-5200)=0,"",INDEX(次果筐明细!$D$4:$D$603,$Z568-5200)),"")))))</f>
        <v/>
      </c>
      <c r="O568" s="40" t="str">
        <f>IF($Z568="","",IF($Z568&lt;=2000,"",IF($Z568&lt;=4000,IF(N(INDEX(周转筐出入库明细!$J$4:$J$2004,$Z568-2000))+N(INDEX(周转筐出入库明细!$K$4:$K$2004,$Z568-2000))=0,"",N(INDEX(周转筐出入库明细!$J$4:$J$2004,$Z568-2000))+N(INDEX(周转筐出入库明细!$K$4:$K$2004,$Z568-2000))),IF($Z568&lt;=5200,IF(N(INDEX(客户自备加工筐明细!$G$4:$G$1203,$Z568-4000))=0,"",N(INDEX(客户自备加工筐明细!$G$4:$G$1203,$Z568-4000))),IF($Z568&lt;=5800,IF(ISNUMBER(SEARCH("退",INDEX(次果筐明细!$F$4:$F$603,$Z568-5200)&amp;"")),"",IF(N(INDEX(次果筐明细!$G$4:$G$603,$Z568-5200))=0,"",N(INDEX(次果筐明细!$G$4:$G$603,$Z568-5200)))),"")))))</f>
        <v/>
      </c>
      <c r="P568" s="40" t="str">
        <f>IF($Z568="","",IF($Z568&lt;=2000,"",IF($Z568&lt;=4000,IF(N(INDEX(周转筐出入库明细!$I$4:$I$2004,$Z568-2000))=0,"",N(INDEX(周转筐出入库明细!$I$4:$I$2004,$Z568-2000))),IF($Z568&lt;=5200,"",IF($Z568&lt;=5800,IF(ISNUMBER(SEARCH("退",INDEX(次果筐明细!$F$4:$F$603,$Z568-5200)&amp;"")),IF(N(INDEX(次果筐明细!$G$4:$G$603,$Z568-5200))=0,"",N(INDEX(次果筐明细!$G$4:$G$603,$Z568-5200))),""),"")))))</f>
        <v/>
      </c>
      <c r="Q568" s="40" t="str">
        <f>IF($Z568="","",IF($Z568&lt;=2000,"",IF($Z568&lt;=4000,IF(N(INDEX(周转筐出入库明细!$H$4:$H$2004,$Z568-2000))=0,"",N(INDEX(周转筐出入库明细!$H$4:$H$2004,$Z568-2000))),IF($Z568&lt;=5200,IF(N(INDEX(客户自备加工筐明细!$F$4:$F$1203,$Z568-4000))=0,"",N(INDEX(客户自备加工筐明细!$F$4:$F$1203,$Z568-4000))),IF($Z568&lt;=5800,"","")))))</f>
        <v/>
      </c>
      <c r="R568" s="16" t="str">
        <f>IF($Z568="","",IF($Z568&lt;=2000,IF(INDEX(包装物料出入库明细!$O$4:$O$2003,$Z568-0)=0,"",INDEX(包装物料出入库明细!$O$4:$O$2003,$Z568-0)),IF($Z568&lt;=4000,IF(INDEX(周转筐出入库明细!$M$4:$M$2004,$Z568-2000)=0,"",INDEX(周转筐出入库明细!$M$4:$M$2004,$Z568-2000)),IF($Z568&lt;=5200,IF(INDEX(客户自备加工筐明细!$H$4:$H$1203,$Z568-4000)=0,"",INDEX(客户自备加工筐明细!$H$4:$H$1203,$Z568-4000)),IF($Z568&lt;=5800,IF(INDEX(次果筐明细!$H$4:$H$603,$Z568-5200)=0,"",INDEX(次果筐明细!$H$4:$H$603,$Z568-5200)),"")))))</f>
        <v/>
      </c>
      <c r="S568" s="22" t="str">
        <f t="shared" si="26"/>
        <v/>
      </c>
      <c r="Z568" s="10" t="str">
        <f>IFERROR(MATCH(ROW()-3,_自动清单!$CQ$4:$CQ$5803,0),"")</f>
        <v/>
      </c>
    </row>
    <row r="569" spans="1:26">
      <c r="A569" s="24" t="str">
        <f t="shared" si="24"/>
        <v/>
      </c>
      <c r="B569" s="38" t="str">
        <f>IF($Z569="","",IF($Z569&lt;=2000,IF(INDEX(包装物料出入库明细!$B$4:$B$2003,$Z569-0)=0,"",INDEX(包装物料出入库明细!$B$4:$B$2003,$Z569-0)),IF($Z569&lt;=4000,IF(INDEX(周转筐出入库明细!$B$4:$B$2004,$Z569-2000)=0,"",INDEX(周转筐出入库明细!$B$4:$B$2004,$Z569-2000)),IF($Z569&lt;=5200,IF(INDEX(客户自备加工筐明细!$B$4:$B$1203,$Z569-4000)=0,"",INDEX(客户自备加工筐明细!$B$4:$B$1203,$Z569-4000)),IF($Z569&lt;=5800,IF(INDEX(次果筐明细!$B$4:$B$603,$Z569-5200)=0,"",INDEX(次果筐明细!$B$4:$B$603,$Z569-5200)),"")))))</f>
        <v/>
      </c>
      <c r="C569" s="37" t="str">
        <f>IF($Z569="","",IF($Z569&lt;=2000,IF(INDEX(包装物料出入库明细!$D$4:$D$2003,$Z569-0)=0,"",INDEX(包装物料出入库明细!$D$4:$D$2003,$Z569-0)),IF($Z569&lt;=4000,IF(INDEX(周转筐出入库明细!$C$4:$C$2004,$Z569-2000)=0,"",INDEX(周转筐出入库明细!$C$4:$C$2004,$Z569-2000)),IF($Z569&lt;=5200,IF(INDEX(客户自备加工筐明细!$E$4:$E$1203,$Z569-4000)=0,"",INDEX(客户自备加工筐明细!$E$4:$E$1203,$Z569-4000)),IF($Z569&lt;=5800,IF(INDEX(次果筐明细!$C$4:$C$603,$Z569-5200)=0,"",INDEX(次果筐明细!$C$4:$C$603,$Z569-5200)),"")))))</f>
        <v/>
      </c>
      <c r="D569" s="37" t="str">
        <f>IF($Z569="","",IF($Z569&lt;=2000,"包装物料－"&amp;INDEX(包装物料出入库明细!$H$4:$H$2003,$Z569-0),IF($Z569&lt;=4000,"周转筐－"&amp;INDEX(周转筐出入库明细!$F$4:$F$2004,$Z569-2000),IF($Z569&lt;=5200,"客户自备筐－"&amp;INDEX(客户自备加工筐明细!$J$4:$J$1203,$Z569-4000),IF($Z569&lt;=5800,"次果筐/托盘－"&amp;INDEX(次果筐明细!$F$4:$F$603,$Z569-5200),"")))))</f>
        <v/>
      </c>
      <c r="E569" s="24" t="str">
        <f>IF($Z569="","",IF($Z569&lt;=2000,IF(INDEX(包装物料出入库明细!$C$4:$C$2003,$Z569-0)=0,"",INDEX(包装物料出入库明细!$C$4:$C$2003,$Z569-0)),IF($Z569&lt;=4000,IF(INDEX(周转筐出入库明细!$E$4:$E$2004,$Z569-2000)=0,"",INDEX(周转筐出入库明细!$E$4:$E$2004,$Z569-2000)),IF($Z569&lt;=5200,IF(INDEX(客户自备加工筐明细!$D$4:$D$1203,$Z569-4000)=0,"",INDEX(客户自备加工筐明细!$D$4:$D$1203,$Z569-4000)),IF($Z569&lt;=5800,IF(INDEX(次果筐明细!$E$4:$E$603,$Z569-5200)=0,"",INDEX(次果筐明细!$E$4:$E$603,$Z569-5200)),"")))))</f>
        <v/>
      </c>
      <c r="F569" s="24" t="str">
        <f>IF($Z569="","",IF($Z569&lt;=2000,IF(INDEX(包装物料出入库明细!$E$4:$E$2003,$Z569-0)=0,"",INDEX(包装物料出入库明细!$E$4:$E$2003,$Z569-0)),IF($Z569&lt;=4000,IF(INDEX(周转筐出入库明细!$D$4:$D$2004,$Z569-2000)=0,"",INDEX(周转筐出入库明细!$D$4:$D$2004,$Z569-2000)),IF($Z569&lt;=5200,IF(INDEX(客户自备加工筐明细!$C$4:$C$1203,$Z569-4000)=0,"",INDEX(客户自备加工筐明细!$C$4:$C$1203,$Z569-4000)),IF($Z569&lt;=5800,IF(INDEX(次果筐明细!$D$4:$D$603,$Z569-5200)=0,"",INDEX(次果筐明细!$D$4:$D$603,$Z569-5200)),"")))))</f>
        <v/>
      </c>
      <c r="G569" s="24" t="str">
        <f>IF($Z569="","",IF($Z569&lt;=2000,IF(INDEX(包装物料出入库明细!$F$4:$F$2003,$Z569-0)=0,"",INDEX(包装物料出入库明细!$F$4:$F$2003,$Z569-0)),IF($Z569&lt;=4000,"",IF($Z569&lt;=5200,"",IF($Z569&lt;=5800,"","")))))</f>
        <v/>
      </c>
      <c r="H569" s="39" t="str">
        <f>IF($Z569="","",IF($Z569&lt;=2000,IF(INDEX(包装物料出入库明细!$L$4:$L$2003,$Z569-0)=0,"",INDEX(包装物料出入库明细!$L$4:$L$2003,$Z569-0)),IF($Z569&lt;=4000,N(INDEX(周转筐出入库明细!$H$4:$H$2004,$Z569-2000))+N(INDEX(周转筐出入库明细!$I$4:$I$2004,$Z569-2000))+N(INDEX(周转筐出入库明细!$J$4:$J$2004,$Z569-2000))+N(INDEX(周转筐出入库明细!$K$4:$K$2004,$Z569-2000)),IF($Z569&lt;=5200,N(INDEX(客户自备加工筐明细!$F$4:$F$1203,$Z569-4000))+N(INDEX(客户自备加工筐明细!$G$4:$G$1203,$Z569-4000)),IF($Z569&lt;=5800,IF(INDEX(次果筐明细!$G$4:$G$603,$Z569-5200)=0,"",INDEX(次果筐明细!$G$4:$G$603,$Z569-5200)),"")))))</f>
        <v/>
      </c>
      <c r="I569" s="24" t="str">
        <f>IF($Z569="","",IF($Z569&lt;=2000,IF(INDEX(包装物料出入库明细!$G$4:$G$2003,$Z569-0)=0,"",INDEX(包装物料出入库明细!$G$4:$G$2003,$Z569-0)),IF($Z569&lt;=4000,"个",IF($Z569&lt;=5200,"个",IF($Z569&lt;=5800,"个","")))))</f>
        <v/>
      </c>
      <c r="J569" s="30" t="str">
        <f t="shared" si="25"/>
        <v/>
      </c>
      <c r="K569" s="30" t="str">
        <f>IF($Z569="","",IF($Z569&lt;=2000,IF(INDEX(包装物料出入库明细!$N$4:$N$2003,$Z569-0)=0,"",INDEX(包装物料出入库明细!$N$4:$N$2003,$Z569-0)),IF($Z569&lt;=4000,IF(INDEX(周转筐出入库明细!$P$4:$P$2004,$Z569-2000)=0,"",INDEX(周转筐出入库明细!$P$4:$P$2004,$Z569-2000)),IF($Z569&lt;=5200,"",IF($Z569&lt;=5800,N(INDEX(次果筐明细!$L$4:$L$603,$Z569-5200))+N(INDEX(次果筐明细!$J$4:$J$603,$Z569-5200)),"")))))</f>
        <v/>
      </c>
      <c r="L569" s="24" t="str">
        <f>IF($Z569="","",IF($Z569&lt;=2000,IF(INDEX(包装物料出入库明细!$P$4:$P$2003,$Z569-0)=0,"",INDEX(包装物料出入库明细!$P$4:$P$2003,$Z569-0)),IF($Z569&lt;=4000,IF(INDEX(周转筐出入库明细!$Q$4:$Q$2004,$Z569-2000)=0,"",INDEX(周转筐出入库明细!$Q$4:$Q$2004,$Z569-2000)),IF($Z569&lt;=5200,"",IF($Z569&lt;=5800,IF(INDEX(次果筐明细!$M$4:$M$603,$Z569-5200)=0,"",INDEX(次果筐明细!$M$4:$M$603,$Z569-5200)),"")))))</f>
        <v/>
      </c>
      <c r="M569" s="37" t="str">
        <f>IF($Z569="","",IF($Z569&lt;=2000,IF(INDEX(包装物料出入库明细!$R$4:$R$2003,$Z569-0)=0,"",INDEX(包装物料出入库明细!$R$4:$R$2003,$Z569-0)),IF($Z569&lt;=4000,IF(INDEX(周转筐出入库明细!$W$4:$W$2004,$Z569-2000)=0,"",INDEX(周转筐出入库明细!$W$4:$W$2004,$Z569-2000)),IF($Z569&lt;=5200,IF(INDEX(客户自备加工筐明细!$L$4:$L$1203,$Z569-4000)=0,"",INDEX(客户自备加工筐明细!$L$4:$L$1203,$Z569-4000)),IF($Z569&lt;=5800,IF(INDEX(次果筐明细!$P$4:$P$603,$Z569-5200)=0,"",INDEX(次果筐明细!$P$4:$P$603,$Z569-5200)),"")))))</f>
        <v/>
      </c>
      <c r="N569" s="16" t="str">
        <f>IF($Z569="","",IF($Z569&lt;=2000,"",IF($Z569&lt;=4000,IF(INDEX(周转筐出入库明细!$D$4:$D$2004,$Z569-2000)=0,"",INDEX(周转筐出入库明细!$D$4:$D$2004,$Z569-2000)),IF($Z569&lt;=5200,IF(INDEX(客户自备加工筐明细!$C$4:$C$1203,$Z569-4000)=0,"",INDEX(客户自备加工筐明细!$C$4:$C$1203,$Z569-4000)),IF($Z569&lt;=5800,IF(INDEX(次果筐明细!$D$4:$D$603,$Z569-5200)=0,"",INDEX(次果筐明细!$D$4:$D$603,$Z569-5200)),"")))))</f>
        <v/>
      </c>
      <c r="O569" s="40" t="str">
        <f>IF($Z569="","",IF($Z569&lt;=2000,"",IF($Z569&lt;=4000,IF(N(INDEX(周转筐出入库明细!$J$4:$J$2004,$Z569-2000))+N(INDEX(周转筐出入库明细!$K$4:$K$2004,$Z569-2000))=0,"",N(INDEX(周转筐出入库明细!$J$4:$J$2004,$Z569-2000))+N(INDEX(周转筐出入库明细!$K$4:$K$2004,$Z569-2000))),IF($Z569&lt;=5200,IF(N(INDEX(客户自备加工筐明细!$G$4:$G$1203,$Z569-4000))=0,"",N(INDEX(客户自备加工筐明细!$G$4:$G$1203,$Z569-4000))),IF($Z569&lt;=5800,IF(ISNUMBER(SEARCH("退",INDEX(次果筐明细!$F$4:$F$603,$Z569-5200)&amp;"")),"",IF(N(INDEX(次果筐明细!$G$4:$G$603,$Z569-5200))=0,"",N(INDEX(次果筐明细!$G$4:$G$603,$Z569-5200)))),"")))))</f>
        <v/>
      </c>
      <c r="P569" s="40" t="str">
        <f>IF($Z569="","",IF($Z569&lt;=2000,"",IF($Z569&lt;=4000,IF(N(INDEX(周转筐出入库明细!$I$4:$I$2004,$Z569-2000))=0,"",N(INDEX(周转筐出入库明细!$I$4:$I$2004,$Z569-2000))),IF($Z569&lt;=5200,"",IF($Z569&lt;=5800,IF(ISNUMBER(SEARCH("退",INDEX(次果筐明细!$F$4:$F$603,$Z569-5200)&amp;"")),IF(N(INDEX(次果筐明细!$G$4:$G$603,$Z569-5200))=0,"",N(INDEX(次果筐明细!$G$4:$G$603,$Z569-5200))),""),"")))))</f>
        <v/>
      </c>
      <c r="Q569" s="40" t="str">
        <f>IF($Z569="","",IF($Z569&lt;=2000,"",IF($Z569&lt;=4000,IF(N(INDEX(周转筐出入库明细!$H$4:$H$2004,$Z569-2000))=0,"",N(INDEX(周转筐出入库明细!$H$4:$H$2004,$Z569-2000))),IF($Z569&lt;=5200,IF(N(INDEX(客户自备加工筐明细!$F$4:$F$1203,$Z569-4000))=0,"",N(INDEX(客户自备加工筐明细!$F$4:$F$1203,$Z569-4000))),IF($Z569&lt;=5800,"","")))))</f>
        <v/>
      </c>
      <c r="R569" s="16" t="str">
        <f>IF($Z569="","",IF($Z569&lt;=2000,IF(INDEX(包装物料出入库明细!$O$4:$O$2003,$Z569-0)=0,"",INDEX(包装物料出入库明细!$O$4:$O$2003,$Z569-0)),IF($Z569&lt;=4000,IF(INDEX(周转筐出入库明细!$M$4:$M$2004,$Z569-2000)=0,"",INDEX(周转筐出入库明细!$M$4:$M$2004,$Z569-2000)),IF($Z569&lt;=5200,IF(INDEX(客户自备加工筐明细!$H$4:$H$1203,$Z569-4000)=0,"",INDEX(客户自备加工筐明细!$H$4:$H$1203,$Z569-4000)),IF($Z569&lt;=5800,IF(INDEX(次果筐明细!$H$4:$H$603,$Z569-5200)=0,"",INDEX(次果筐明细!$H$4:$H$603,$Z569-5200)),"")))))</f>
        <v/>
      </c>
      <c r="S569" s="22" t="str">
        <f t="shared" si="26"/>
        <v/>
      </c>
      <c r="Z569" s="10" t="str">
        <f>IFERROR(MATCH(ROW()-3,_自动清单!$CQ$4:$CQ$5803,0),"")</f>
        <v/>
      </c>
    </row>
    <row r="570" spans="1:26">
      <c r="A570" s="24" t="str">
        <f t="shared" si="24"/>
        <v/>
      </c>
      <c r="B570" s="38" t="str">
        <f>IF($Z570="","",IF($Z570&lt;=2000,IF(INDEX(包装物料出入库明细!$B$4:$B$2003,$Z570-0)=0,"",INDEX(包装物料出入库明细!$B$4:$B$2003,$Z570-0)),IF($Z570&lt;=4000,IF(INDEX(周转筐出入库明细!$B$4:$B$2004,$Z570-2000)=0,"",INDEX(周转筐出入库明细!$B$4:$B$2004,$Z570-2000)),IF($Z570&lt;=5200,IF(INDEX(客户自备加工筐明细!$B$4:$B$1203,$Z570-4000)=0,"",INDEX(客户自备加工筐明细!$B$4:$B$1203,$Z570-4000)),IF($Z570&lt;=5800,IF(INDEX(次果筐明细!$B$4:$B$603,$Z570-5200)=0,"",INDEX(次果筐明细!$B$4:$B$603,$Z570-5200)),"")))))</f>
        <v/>
      </c>
      <c r="C570" s="37" t="str">
        <f>IF($Z570="","",IF($Z570&lt;=2000,IF(INDEX(包装物料出入库明细!$D$4:$D$2003,$Z570-0)=0,"",INDEX(包装物料出入库明细!$D$4:$D$2003,$Z570-0)),IF($Z570&lt;=4000,IF(INDEX(周转筐出入库明细!$C$4:$C$2004,$Z570-2000)=0,"",INDEX(周转筐出入库明细!$C$4:$C$2004,$Z570-2000)),IF($Z570&lt;=5200,IF(INDEX(客户自备加工筐明细!$E$4:$E$1203,$Z570-4000)=0,"",INDEX(客户自备加工筐明细!$E$4:$E$1203,$Z570-4000)),IF($Z570&lt;=5800,IF(INDEX(次果筐明细!$C$4:$C$603,$Z570-5200)=0,"",INDEX(次果筐明细!$C$4:$C$603,$Z570-5200)),"")))))</f>
        <v/>
      </c>
      <c r="D570" s="37" t="str">
        <f>IF($Z570="","",IF($Z570&lt;=2000,"包装物料－"&amp;INDEX(包装物料出入库明细!$H$4:$H$2003,$Z570-0),IF($Z570&lt;=4000,"周转筐－"&amp;INDEX(周转筐出入库明细!$F$4:$F$2004,$Z570-2000),IF($Z570&lt;=5200,"客户自备筐－"&amp;INDEX(客户自备加工筐明细!$J$4:$J$1203,$Z570-4000),IF($Z570&lt;=5800,"次果筐/托盘－"&amp;INDEX(次果筐明细!$F$4:$F$603,$Z570-5200),"")))))</f>
        <v/>
      </c>
      <c r="E570" s="24" t="str">
        <f>IF($Z570="","",IF($Z570&lt;=2000,IF(INDEX(包装物料出入库明细!$C$4:$C$2003,$Z570-0)=0,"",INDEX(包装物料出入库明细!$C$4:$C$2003,$Z570-0)),IF($Z570&lt;=4000,IF(INDEX(周转筐出入库明细!$E$4:$E$2004,$Z570-2000)=0,"",INDEX(周转筐出入库明细!$E$4:$E$2004,$Z570-2000)),IF($Z570&lt;=5200,IF(INDEX(客户自备加工筐明细!$D$4:$D$1203,$Z570-4000)=0,"",INDEX(客户自备加工筐明细!$D$4:$D$1203,$Z570-4000)),IF($Z570&lt;=5800,IF(INDEX(次果筐明细!$E$4:$E$603,$Z570-5200)=0,"",INDEX(次果筐明细!$E$4:$E$603,$Z570-5200)),"")))))</f>
        <v/>
      </c>
      <c r="F570" s="24" t="str">
        <f>IF($Z570="","",IF($Z570&lt;=2000,IF(INDEX(包装物料出入库明细!$E$4:$E$2003,$Z570-0)=0,"",INDEX(包装物料出入库明细!$E$4:$E$2003,$Z570-0)),IF($Z570&lt;=4000,IF(INDEX(周转筐出入库明细!$D$4:$D$2004,$Z570-2000)=0,"",INDEX(周转筐出入库明细!$D$4:$D$2004,$Z570-2000)),IF($Z570&lt;=5200,IF(INDEX(客户自备加工筐明细!$C$4:$C$1203,$Z570-4000)=0,"",INDEX(客户自备加工筐明细!$C$4:$C$1203,$Z570-4000)),IF($Z570&lt;=5800,IF(INDEX(次果筐明细!$D$4:$D$603,$Z570-5200)=0,"",INDEX(次果筐明细!$D$4:$D$603,$Z570-5200)),"")))))</f>
        <v/>
      </c>
      <c r="G570" s="24" t="str">
        <f>IF($Z570="","",IF($Z570&lt;=2000,IF(INDEX(包装物料出入库明细!$F$4:$F$2003,$Z570-0)=0,"",INDEX(包装物料出入库明细!$F$4:$F$2003,$Z570-0)),IF($Z570&lt;=4000,"",IF($Z570&lt;=5200,"",IF($Z570&lt;=5800,"","")))))</f>
        <v/>
      </c>
      <c r="H570" s="39" t="str">
        <f>IF($Z570="","",IF($Z570&lt;=2000,IF(INDEX(包装物料出入库明细!$L$4:$L$2003,$Z570-0)=0,"",INDEX(包装物料出入库明细!$L$4:$L$2003,$Z570-0)),IF($Z570&lt;=4000,N(INDEX(周转筐出入库明细!$H$4:$H$2004,$Z570-2000))+N(INDEX(周转筐出入库明细!$I$4:$I$2004,$Z570-2000))+N(INDEX(周转筐出入库明细!$J$4:$J$2004,$Z570-2000))+N(INDEX(周转筐出入库明细!$K$4:$K$2004,$Z570-2000)),IF($Z570&lt;=5200,N(INDEX(客户自备加工筐明细!$F$4:$F$1203,$Z570-4000))+N(INDEX(客户自备加工筐明细!$G$4:$G$1203,$Z570-4000)),IF($Z570&lt;=5800,IF(INDEX(次果筐明细!$G$4:$G$603,$Z570-5200)=0,"",INDEX(次果筐明细!$G$4:$G$603,$Z570-5200)),"")))))</f>
        <v/>
      </c>
      <c r="I570" s="24" t="str">
        <f>IF($Z570="","",IF($Z570&lt;=2000,IF(INDEX(包装物料出入库明细!$G$4:$G$2003,$Z570-0)=0,"",INDEX(包装物料出入库明细!$G$4:$G$2003,$Z570-0)),IF($Z570&lt;=4000,"个",IF($Z570&lt;=5200,"个",IF($Z570&lt;=5800,"个","")))))</f>
        <v/>
      </c>
      <c r="J570" s="30" t="str">
        <f t="shared" si="25"/>
        <v/>
      </c>
      <c r="K570" s="30" t="str">
        <f>IF($Z570="","",IF($Z570&lt;=2000,IF(INDEX(包装物料出入库明细!$N$4:$N$2003,$Z570-0)=0,"",INDEX(包装物料出入库明细!$N$4:$N$2003,$Z570-0)),IF($Z570&lt;=4000,IF(INDEX(周转筐出入库明细!$P$4:$P$2004,$Z570-2000)=0,"",INDEX(周转筐出入库明细!$P$4:$P$2004,$Z570-2000)),IF($Z570&lt;=5200,"",IF($Z570&lt;=5800,N(INDEX(次果筐明细!$L$4:$L$603,$Z570-5200))+N(INDEX(次果筐明细!$J$4:$J$603,$Z570-5200)),"")))))</f>
        <v/>
      </c>
      <c r="L570" s="24" t="str">
        <f>IF($Z570="","",IF($Z570&lt;=2000,IF(INDEX(包装物料出入库明细!$P$4:$P$2003,$Z570-0)=0,"",INDEX(包装物料出入库明细!$P$4:$P$2003,$Z570-0)),IF($Z570&lt;=4000,IF(INDEX(周转筐出入库明细!$Q$4:$Q$2004,$Z570-2000)=0,"",INDEX(周转筐出入库明细!$Q$4:$Q$2004,$Z570-2000)),IF($Z570&lt;=5200,"",IF($Z570&lt;=5800,IF(INDEX(次果筐明细!$M$4:$M$603,$Z570-5200)=0,"",INDEX(次果筐明细!$M$4:$M$603,$Z570-5200)),"")))))</f>
        <v/>
      </c>
      <c r="M570" s="37" t="str">
        <f>IF($Z570="","",IF($Z570&lt;=2000,IF(INDEX(包装物料出入库明细!$R$4:$R$2003,$Z570-0)=0,"",INDEX(包装物料出入库明细!$R$4:$R$2003,$Z570-0)),IF($Z570&lt;=4000,IF(INDEX(周转筐出入库明细!$W$4:$W$2004,$Z570-2000)=0,"",INDEX(周转筐出入库明细!$W$4:$W$2004,$Z570-2000)),IF($Z570&lt;=5200,IF(INDEX(客户自备加工筐明细!$L$4:$L$1203,$Z570-4000)=0,"",INDEX(客户自备加工筐明细!$L$4:$L$1203,$Z570-4000)),IF($Z570&lt;=5800,IF(INDEX(次果筐明细!$P$4:$P$603,$Z570-5200)=0,"",INDEX(次果筐明细!$P$4:$P$603,$Z570-5200)),"")))))</f>
        <v/>
      </c>
      <c r="N570" s="16" t="str">
        <f>IF($Z570="","",IF($Z570&lt;=2000,"",IF($Z570&lt;=4000,IF(INDEX(周转筐出入库明细!$D$4:$D$2004,$Z570-2000)=0,"",INDEX(周转筐出入库明细!$D$4:$D$2004,$Z570-2000)),IF($Z570&lt;=5200,IF(INDEX(客户自备加工筐明细!$C$4:$C$1203,$Z570-4000)=0,"",INDEX(客户自备加工筐明细!$C$4:$C$1203,$Z570-4000)),IF($Z570&lt;=5800,IF(INDEX(次果筐明细!$D$4:$D$603,$Z570-5200)=0,"",INDEX(次果筐明细!$D$4:$D$603,$Z570-5200)),"")))))</f>
        <v/>
      </c>
      <c r="O570" s="40" t="str">
        <f>IF($Z570="","",IF($Z570&lt;=2000,"",IF($Z570&lt;=4000,IF(N(INDEX(周转筐出入库明细!$J$4:$J$2004,$Z570-2000))+N(INDEX(周转筐出入库明细!$K$4:$K$2004,$Z570-2000))=0,"",N(INDEX(周转筐出入库明细!$J$4:$J$2004,$Z570-2000))+N(INDEX(周转筐出入库明细!$K$4:$K$2004,$Z570-2000))),IF($Z570&lt;=5200,IF(N(INDEX(客户自备加工筐明细!$G$4:$G$1203,$Z570-4000))=0,"",N(INDEX(客户自备加工筐明细!$G$4:$G$1203,$Z570-4000))),IF($Z570&lt;=5800,IF(ISNUMBER(SEARCH("退",INDEX(次果筐明细!$F$4:$F$603,$Z570-5200)&amp;"")),"",IF(N(INDEX(次果筐明细!$G$4:$G$603,$Z570-5200))=0,"",N(INDEX(次果筐明细!$G$4:$G$603,$Z570-5200)))),"")))))</f>
        <v/>
      </c>
      <c r="P570" s="40" t="str">
        <f>IF($Z570="","",IF($Z570&lt;=2000,"",IF($Z570&lt;=4000,IF(N(INDEX(周转筐出入库明细!$I$4:$I$2004,$Z570-2000))=0,"",N(INDEX(周转筐出入库明细!$I$4:$I$2004,$Z570-2000))),IF($Z570&lt;=5200,"",IF($Z570&lt;=5800,IF(ISNUMBER(SEARCH("退",INDEX(次果筐明细!$F$4:$F$603,$Z570-5200)&amp;"")),IF(N(INDEX(次果筐明细!$G$4:$G$603,$Z570-5200))=0,"",N(INDEX(次果筐明细!$G$4:$G$603,$Z570-5200))),""),"")))))</f>
        <v/>
      </c>
      <c r="Q570" s="40" t="str">
        <f>IF($Z570="","",IF($Z570&lt;=2000,"",IF($Z570&lt;=4000,IF(N(INDEX(周转筐出入库明细!$H$4:$H$2004,$Z570-2000))=0,"",N(INDEX(周转筐出入库明细!$H$4:$H$2004,$Z570-2000))),IF($Z570&lt;=5200,IF(N(INDEX(客户自备加工筐明细!$F$4:$F$1203,$Z570-4000))=0,"",N(INDEX(客户自备加工筐明细!$F$4:$F$1203,$Z570-4000))),IF($Z570&lt;=5800,"","")))))</f>
        <v/>
      </c>
      <c r="R570" s="16" t="str">
        <f>IF($Z570="","",IF($Z570&lt;=2000,IF(INDEX(包装物料出入库明细!$O$4:$O$2003,$Z570-0)=0,"",INDEX(包装物料出入库明细!$O$4:$O$2003,$Z570-0)),IF($Z570&lt;=4000,IF(INDEX(周转筐出入库明细!$M$4:$M$2004,$Z570-2000)=0,"",INDEX(周转筐出入库明细!$M$4:$M$2004,$Z570-2000)),IF($Z570&lt;=5200,IF(INDEX(客户自备加工筐明细!$H$4:$H$1203,$Z570-4000)=0,"",INDEX(客户自备加工筐明细!$H$4:$H$1203,$Z570-4000)),IF($Z570&lt;=5800,IF(INDEX(次果筐明细!$H$4:$H$603,$Z570-5200)=0,"",INDEX(次果筐明细!$H$4:$H$603,$Z570-5200)),"")))))</f>
        <v/>
      </c>
      <c r="S570" s="22" t="str">
        <f t="shared" si="26"/>
        <v/>
      </c>
      <c r="Z570" s="10" t="str">
        <f>IFERROR(MATCH(ROW()-3,_自动清单!$CQ$4:$CQ$5803,0),"")</f>
        <v/>
      </c>
    </row>
    <row r="571" spans="1:26">
      <c r="A571" s="24" t="str">
        <f t="shared" si="24"/>
        <v/>
      </c>
      <c r="B571" s="38" t="str">
        <f>IF($Z571="","",IF($Z571&lt;=2000,IF(INDEX(包装物料出入库明细!$B$4:$B$2003,$Z571-0)=0,"",INDEX(包装物料出入库明细!$B$4:$B$2003,$Z571-0)),IF($Z571&lt;=4000,IF(INDEX(周转筐出入库明细!$B$4:$B$2004,$Z571-2000)=0,"",INDEX(周转筐出入库明细!$B$4:$B$2004,$Z571-2000)),IF($Z571&lt;=5200,IF(INDEX(客户自备加工筐明细!$B$4:$B$1203,$Z571-4000)=0,"",INDEX(客户自备加工筐明细!$B$4:$B$1203,$Z571-4000)),IF($Z571&lt;=5800,IF(INDEX(次果筐明细!$B$4:$B$603,$Z571-5200)=0,"",INDEX(次果筐明细!$B$4:$B$603,$Z571-5200)),"")))))</f>
        <v/>
      </c>
      <c r="C571" s="37" t="str">
        <f>IF($Z571="","",IF($Z571&lt;=2000,IF(INDEX(包装物料出入库明细!$D$4:$D$2003,$Z571-0)=0,"",INDEX(包装物料出入库明细!$D$4:$D$2003,$Z571-0)),IF($Z571&lt;=4000,IF(INDEX(周转筐出入库明细!$C$4:$C$2004,$Z571-2000)=0,"",INDEX(周转筐出入库明细!$C$4:$C$2004,$Z571-2000)),IF($Z571&lt;=5200,IF(INDEX(客户自备加工筐明细!$E$4:$E$1203,$Z571-4000)=0,"",INDEX(客户自备加工筐明细!$E$4:$E$1203,$Z571-4000)),IF($Z571&lt;=5800,IF(INDEX(次果筐明细!$C$4:$C$603,$Z571-5200)=0,"",INDEX(次果筐明细!$C$4:$C$603,$Z571-5200)),"")))))</f>
        <v/>
      </c>
      <c r="D571" s="37" t="str">
        <f>IF($Z571="","",IF($Z571&lt;=2000,"包装物料－"&amp;INDEX(包装物料出入库明细!$H$4:$H$2003,$Z571-0),IF($Z571&lt;=4000,"周转筐－"&amp;INDEX(周转筐出入库明细!$F$4:$F$2004,$Z571-2000),IF($Z571&lt;=5200,"客户自备筐－"&amp;INDEX(客户自备加工筐明细!$J$4:$J$1203,$Z571-4000),IF($Z571&lt;=5800,"次果筐/托盘－"&amp;INDEX(次果筐明细!$F$4:$F$603,$Z571-5200),"")))))</f>
        <v/>
      </c>
      <c r="E571" s="24" t="str">
        <f>IF($Z571="","",IF($Z571&lt;=2000,IF(INDEX(包装物料出入库明细!$C$4:$C$2003,$Z571-0)=0,"",INDEX(包装物料出入库明细!$C$4:$C$2003,$Z571-0)),IF($Z571&lt;=4000,IF(INDEX(周转筐出入库明细!$E$4:$E$2004,$Z571-2000)=0,"",INDEX(周转筐出入库明细!$E$4:$E$2004,$Z571-2000)),IF($Z571&lt;=5200,IF(INDEX(客户自备加工筐明细!$D$4:$D$1203,$Z571-4000)=0,"",INDEX(客户自备加工筐明细!$D$4:$D$1203,$Z571-4000)),IF($Z571&lt;=5800,IF(INDEX(次果筐明细!$E$4:$E$603,$Z571-5200)=0,"",INDEX(次果筐明细!$E$4:$E$603,$Z571-5200)),"")))))</f>
        <v/>
      </c>
      <c r="F571" s="24" t="str">
        <f>IF($Z571="","",IF($Z571&lt;=2000,IF(INDEX(包装物料出入库明细!$E$4:$E$2003,$Z571-0)=0,"",INDEX(包装物料出入库明细!$E$4:$E$2003,$Z571-0)),IF($Z571&lt;=4000,IF(INDEX(周转筐出入库明细!$D$4:$D$2004,$Z571-2000)=0,"",INDEX(周转筐出入库明细!$D$4:$D$2004,$Z571-2000)),IF($Z571&lt;=5200,IF(INDEX(客户自备加工筐明细!$C$4:$C$1203,$Z571-4000)=0,"",INDEX(客户自备加工筐明细!$C$4:$C$1203,$Z571-4000)),IF($Z571&lt;=5800,IF(INDEX(次果筐明细!$D$4:$D$603,$Z571-5200)=0,"",INDEX(次果筐明细!$D$4:$D$603,$Z571-5200)),"")))))</f>
        <v/>
      </c>
      <c r="G571" s="24" t="str">
        <f>IF($Z571="","",IF($Z571&lt;=2000,IF(INDEX(包装物料出入库明细!$F$4:$F$2003,$Z571-0)=0,"",INDEX(包装物料出入库明细!$F$4:$F$2003,$Z571-0)),IF($Z571&lt;=4000,"",IF($Z571&lt;=5200,"",IF($Z571&lt;=5800,"","")))))</f>
        <v/>
      </c>
      <c r="H571" s="39" t="str">
        <f>IF($Z571="","",IF($Z571&lt;=2000,IF(INDEX(包装物料出入库明细!$L$4:$L$2003,$Z571-0)=0,"",INDEX(包装物料出入库明细!$L$4:$L$2003,$Z571-0)),IF($Z571&lt;=4000,N(INDEX(周转筐出入库明细!$H$4:$H$2004,$Z571-2000))+N(INDEX(周转筐出入库明细!$I$4:$I$2004,$Z571-2000))+N(INDEX(周转筐出入库明细!$J$4:$J$2004,$Z571-2000))+N(INDEX(周转筐出入库明细!$K$4:$K$2004,$Z571-2000)),IF($Z571&lt;=5200,N(INDEX(客户自备加工筐明细!$F$4:$F$1203,$Z571-4000))+N(INDEX(客户自备加工筐明细!$G$4:$G$1203,$Z571-4000)),IF($Z571&lt;=5800,IF(INDEX(次果筐明细!$G$4:$G$603,$Z571-5200)=0,"",INDEX(次果筐明细!$G$4:$G$603,$Z571-5200)),"")))))</f>
        <v/>
      </c>
      <c r="I571" s="24" t="str">
        <f>IF($Z571="","",IF($Z571&lt;=2000,IF(INDEX(包装物料出入库明细!$G$4:$G$2003,$Z571-0)=0,"",INDEX(包装物料出入库明细!$G$4:$G$2003,$Z571-0)),IF($Z571&lt;=4000,"个",IF($Z571&lt;=5200,"个",IF($Z571&lt;=5800,"个","")))))</f>
        <v/>
      </c>
      <c r="J571" s="30" t="str">
        <f t="shared" si="25"/>
        <v/>
      </c>
      <c r="K571" s="30" t="str">
        <f>IF($Z571="","",IF($Z571&lt;=2000,IF(INDEX(包装物料出入库明细!$N$4:$N$2003,$Z571-0)=0,"",INDEX(包装物料出入库明细!$N$4:$N$2003,$Z571-0)),IF($Z571&lt;=4000,IF(INDEX(周转筐出入库明细!$P$4:$P$2004,$Z571-2000)=0,"",INDEX(周转筐出入库明细!$P$4:$P$2004,$Z571-2000)),IF($Z571&lt;=5200,"",IF($Z571&lt;=5800,N(INDEX(次果筐明细!$L$4:$L$603,$Z571-5200))+N(INDEX(次果筐明细!$J$4:$J$603,$Z571-5200)),"")))))</f>
        <v/>
      </c>
      <c r="L571" s="24" t="str">
        <f>IF($Z571="","",IF($Z571&lt;=2000,IF(INDEX(包装物料出入库明细!$P$4:$P$2003,$Z571-0)=0,"",INDEX(包装物料出入库明细!$P$4:$P$2003,$Z571-0)),IF($Z571&lt;=4000,IF(INDEX(周转筐出入库明细!$Q$4:$Q$2004,$Z571-2000)=0,"",INDEX(周转筐出入库明细!$Q$4:$Q$2004,$Z571-2000)),IF($Z571&lt;=5200,"",IF($Z571&lt;=5800,IF(INDEX(次果筐明细!$M$4:$M$603,$Z571-5200)=0,"",INDEX(次果筐明细!$M$4:$M$603,$Z571-5200)),"")))))</f>
        <v/>
      </c>
      <c r="M571" s="37" t="str">
        <f>IF($Z571="","",IF($Z571&lt;=2000,IF(INDEX(包装物料出入库明细!$R$4:$R$2003,$Z571-0)=0,"",INDEX(包装物料出入库明细!$R$4:$R$2003,$Z571-0)),IF($Z571&lt;=4000,IF(INDEX(周转筐出入库明细!$W$4:$W$2004,$Z571-2000)=0,"",INDEX(周转筐出入库明细!$W$4:$W$2004,$Z571-2000)),IF($Z571&lt;=5200,IF(INDEX(客户自备加工筐明细!$L$4:$L$1203,$Z571-4000)=0,"",INDEX(客户自备加工筐明细!$L$4:$L$1203,$Z571-4000)),IF($Z571&lt;=5800,IF(INDEX(次果筐明细!$P$4:$P$603,$Z571-5200)=0,"",INDEX(次果筐明细!$P$4:$P$603,$Z571-5200)),"")))))</f>
        <v/>
      </c>
      <c r="N571" s="16" t="str">
        <f>IF($Z571="","",IF($Z571&lt;=2000,"",IF($Z571&lt;=4000,IF(INDEX(周转筐出入库明细!$D$4:$D$2004,$Z571-2000)=0,"",INDEX(周转筐出入库明细!$D$4:$D$2004,$Z571-2000)),IF($Z571&lt;=5200,IF(INDEX(客户自备加工筐明细!$C$4:$C$1203,$Z571-4000)=0,"",INDEX(客户自备加工筐明细!$C$4:$C$1203,$Z571-4000)),IF($Z571&lt;=5800,IF(INDEX(次果筐明细!$D$4:$D$603,$Z571-5200)=0,"",INDEX(次果筐明细!$D$4:$D$603,$Z571-5200)),"")))))</f>
        <v/>
      </c>
      <c r="O571" s="40" t="str">
        <f>IF($Z571="","",IF($Z571&lt;=2000,"",IF($Z571&lt;=4000,IF(N(INDEX(周转筐出入库明细!$J$4:$J$2004,$Z571-2000))+N(INDEX(周转筐出入库明细!$K$4:$K$2004,$Z571-2000))=0,"",N(INDEX(周转筐出入库明细!$J$4:$J$2004,$Z571-2000))+N(INDEX(周转筐出入库明细!$K$4:$K$2004,$Z571-2000))),IF($Z571&lt;=5200,IF(N(INDEX(客户自备加工筐明细!$G$4:$G$1203,$Z571-4000))=0,"",N(INDEX(客户自备加工筐明细!$G$4:$G$1203,$Z571-4000))),IF($Z571&lt;=5800,IF(ISNUMBER(SEARCH("退",INDEX(次果筐明细!$F$4:$F$603,$Z571-5200)&amp;"")),"",IF(N(INDEX(次果筐明细!$G$4:$G$603,$Z571-5200))=0,"",N(INDEX(次果筐明细!$G$4:$G$603,$Z571-5200)))),"")))))</f>
        <v/>
      </c>
      <c r="P571" s="40" t="str">
        <f>IF($Z571="","",IF($Z571&lt;=2000,"",IF($Z571&lt;=4000,IF(N(INDEX(周转筐出入库明细!$I$4:$I$2004,$Z571-2000))=0,"",N(INDEX(周转筐出入库明细!$I$4:$I$2004,$Z571-2000))),IF($Z571&lt;=5200,"",IF($Z571&lt;=5800,IF(ISNUMBER(SEARCH("退",INDEX(次果筐明细!$F$4:$F$603,$Z571-5200)&amp;"")),IF(N(INDEX(次果筐明细!$G$4:$G$603,$Z571-5200))=0,"",N(INDEX(次果筐明细!$G$4:$G$603,$Z571-5200))),""),"")))))</f>
        <v/>
      </c>
      <c r="Q571" s="40" t="str">
        <f>IF($Z571="","",IF($Z571&lt;=2000,"",IF($Z571&lt;=4000,IF(N(INDEX(周转筐出入库明细!$H$4:$H$2004,$Z571-2000))=0,"",N(INDEX(周转筐出入库明细!$H$4:$H$2004,$Z571-2000))),IF($Z571&lt;=5200,IF(N(INDEX(客户自备加工筐明细!$F$4:$F$1203,$Z571-4000))=0,"",N(INDEX(客户自备加工筐明细!$F$4:$F$1203,$Z571-4000))),IF($Z571&lt;=5800,"","")))))</f>
        <v/>
      </c>
      <c r="R571" s="16" t="str">
        <f>IF($Z571="","",IF($Z571&lt;=2000,IF(INDEX(包装物料出入库明细!$O$4:$O$2003,$Z571-0)=0,"",INDEX(包装物料出入库明细!$O$4:$O$2003,$Z571-0)),IF($Z571&lt;=4000,IF(INDEX(周转筐出入库明细!$M$4:$M$2004,$Z571-2000)=0,"",INDEX(周转筐出入库明细!$M$4:$M$2004,$Z571-2000)),IF($Z571&lt;=5200,IF(INDEX(客户自备加工筐明细!$H$4:$H$1203,$Z571-4000)=0,"",INDEX(客户自备加工筐明细!$H$4:$H$1203,$Z571-4000)),IF($Z571&lt;=5800,IF(INDEX(次果筐明细!$H$4:$H$603,$Z571-5200)=0,"",INDEX(次果筐明细!$H$4:$H$603,$Z571-5200)),"")))))</f>
        <v/>
      </c>
      <c r="S571" s="22" t="str">
        <f t="shared" si="26"/>
        <v/>
      </c>
      <c r="Z571" s="10" t="str">
        <f>IFERROR(MATCH(ROW()-3,_自动清单!$CQ$4:$CQ$5803,0),"")</f>
        <v/>
      </c>
    </row>
    <row r="572" spans="1:26">
      <c r="A572" s="24" t="str">
        <f t="shared" si="24"/>
        <v/>
      </c>
      <c r="B572" s="38" t="str">
        <f>IF($Z572="","",IF($Z572&lt;=2000,IF(INDEX(包装物料出入库明细!$B$4:$B$2003,$Z572-0)=0,"",INDEX(包装物料出入库明细!$B$4:$B$2003,$Z572-0)),IF($Z572&lt;=4000,IF(INDEX(周转筐出入库明细!$B$4:$B$2004,$Z572-2000)=0,"",INDEX(周转筐出入库明细!$B$4:$B$2004,$Z572-2000)),IF($Z572&lt;=5200,IF(INDEX(客户自备加工筐明细!$B$4:$B$1203,$Z572-4000)=0,"",INDEX(客户自备加工筐明细!$B$4:$B$1203,$Z572-4000)),IF($Z572&lt;=5800,IF(INDEX(次果筐明细!$B$4:$B$603,$Z572-5200)=0,"",INDEX(次果筐明细!$B$4:$B$603,$Z572-5200)),"")))))</f>
        <v/>
      </c>
      <c r="C572" s="37" t="str">
        <f>IF($Z572="","",IF($Z572&lt;=2000,IF(INDEX(包装物料出入库明细!$D$4:$D$2003,$Z572-0)=0,"",INDEX(包装物料出入库明细!$D$4:$D$2003,$Z572-0)),IF($Z572&lt;=4000,IF(INDEX(周转筐出入库明细!$C$4:$C$2004,$Z572-2000)=0,"",INDEX(周转筐出入库明细!$C$4:$C$2004,$Z572-2000)),IF($Z572&lt;=5200,IF(INDEX(客户自备加工筐明细!$E$4:$E$1203,$Z572-4000)=0,"",INDEX(客户自备加工筐明细!$E$4:$E$1203,$Z572-4000)),IF($Z572&lt;=5800,IF(INDEX(次果筐明细!$C$4:$C$603,$Z572-5200)=0,"",INDEX(次果筐明细!$C$4:$C$603,$Z572-5200)),"")))))</f>
        <v/>
      </c>
      <c r="D572" s="37" t="str">
        <f>IF($Z572="","",IF($Z572&lt;=2000,"包装物料－"&amp;INDEX(包装物料出入库明细!$H$4:$H$2003,$Z572-0),IF($Z572&lt;=4000,"周转筐－"&amp;INDEX(周转筐出入库明细!$F$4:$F$2004,$Z572-2000),IF($Z572&lt;=5200,"客户自备筐－"&amp;INDEX(客户自备加工筐明细!$J$4:$J$1203,$Z572-4000),IF($Z572&lt;=5800,"次果筐/托盘－"&amp;INDEX(次果筐明细!$F$4:$F$603,$Z572-5200),"")))))</f>
        <v/>
      </c>
      <c r="E572" s="24" t="str">
        <f>IF($Z572="","",IF($Z572&lt;=2000,IF(INDEX(包装物料出入库明细!$C$4:$C$2003,$Z572-0)=0,"",INDEX(包装物料出入库明细!$C$4:$C$2003,$Z572-0)),IF($Z572&lt;=4000,IF(INDEX(周转筐出入库明细!$E$4:$E$2004,$Z572-2000)=0,"",INDEX(周转筐出入库明细!$E$4:$E$2004,$Z572-2000)),IF($Z572&lt;=5200,IF(INDEX(客户自备加工筐明细!$D$4:$D$1203,$Z572-4000)=0,"",INDEX(客户自备加工筐明细!$D$4:$D$1203,$Z572-4000)),IF($Z572&lt;=5800,IF(INDEX(次果筐明细!$E$4:$E$603,$Z572-5200)=0,"",INDEX(次果筐明细!$E$4:$E$603,$Z572-5200)),"")))))</f>
        <v/>
      </c>
      <c r="F572" s="24" t="str">
        <f>IF($Z572="","",IF($Z572&lt;=2000,IF(INDEX(包装物料出入库明细!$E$4:$E$2003,$Z572-0)=0,"",INDEX(包装物料出入库明细!$E$4:$E$2003,$Z572-0)),IF($Z572&lt;=4000,IF(INDEX(周转筐出入库明细!$D$4:$D$2004,$Z572-2000)=0,"",INDEX(周转筐出入库明细!$D$4:$D$2004,$Z572-2000)),IF($Z572&lt;=5200,IF(INDEX(客户自备加工筐明细!$C$4:$C$1203,$Z572-4000)=0,"",INDEX(客户自备加工筐明细!$C$4:$C$1203,$Z572-4000)),IF($Z572&lt;=5800,IF(INDEX(次果筐明细!$D$4:$D$603,$Z572-5200)=0,"",INDEX(次果筐明细!$D$4:$D$603,$Z572-5200)),"")))))</f>
        <v/>
      </c>
      <c r="G572" s="24" t="str">
        <f>IF($Z572="","",IF($Z572&lt;=2000,IF(INDEX(包装物料出入库明细!$F$4:$F$2003,$Z572-0)=0,"",INDEX(包装物料出入库明细!$F$4:$F$2003,$Z572-0)),IF($Z572&lt;=4000,"",IF($Z572&lt;=5200,"",IF($Z572&lt;=5800,"","")))))</f>
        <v/>
      </c>
      <c r="H572" s="39" t="str">
        <f>IF($Z572="","",IF($Z572&lt;=2000,IF(INDEX(包装物料出入库明细!$L$4:$L$2003,$Z572-0)=0,"",INDEX(包装物料出入库明细!$L$4:$L$2003,$Z572-0)),IF($Z572&lt;=4000,N(INDEX(周转筐出入库明细!$H$4:$H$2004,$Z572-2000))+N(INDEX(周转筐出入库明细!$I$4:$I$2004,$Z572-2000))+N(INDEX(周转筐出入库明细!$J$4:$J$2004,$Z572-2000))+N(INDEX(周转筐出入库明细!$K$4:$K$2004,$Z572-2000)),IF($Z572&lt;=5200,N(INDEX(客户自备加工筐明细!$F$4:$F$1203,$Z572-4000))+N(INDEX(客户自备加工筐明细!$G$4:$G$1203,$Z572-4000)),IF($Z572&lt;=5800,IF(INDEX(次果筐明细!$G$4:$G$603,$Z572-5200)=0,"",INDEX(次果筐明细!$G$4:$G$603,$Z572-5200)),"")))))</f>
        <v/>
      </c>
      <c r="I572" s="24" t="str">
        <f>IF($Z572="","",IF($Z572&lt;=2000,IF(INDEX(包装物料出入库明细!$G$4:$G$2003,$Z572-0)=0,"",INDEX(包装物料出入库明细!$G$4:$G$2003,$Z572-0)),IF($Z572&lt;=4000,"个",IF($Z572&lt;=5200,"个",IF($Z572&lt;=5800,"个","")))))</f>
        <v/>
      </c>
      <c r="J572" s="30" t="str">
        <f t="shared" si="25"/>
        <v/>
      </c>
      <c r="K572" s="30" t="str">
        <f>IF($Z572="","",IF($Z572&lt;=2000,IF(INDEX(包装物料出入库明细!$N$4:$N$2003,$Z572-0)=0,"",INDEX(包装物料出入库明细!$N$4:$N$2003,$Z572-0)),IF($Z572&lt;=4000,IF(INDEX(周转筐出入库明细!$P$4:$P$2004,$Z572-2000)=0,"",INDEX(周转筐出入库明细!$P$4:$P$2004,$Z572-2000)),IF($Z572&lt;=5200,"",IF($Z572&lt;=5800,N(INDEX(次果筐明细!$L$4:$L$603,$Z572-5200))+N(INDEX(次果筐明细!$J$4:$J$603,$Z572-5200)),"")))))</f>
        <v/>
      </c>
      <c r="L572" s="24" t="str">
        <f>IF($Z572="","",IF($Z572&lt;=2000,IF(INDEX(包装物料出入库明细!$P$4:$P$2003,$Z572-0)=0,"",INDEX(包装物料出入库明细!$P$4:$P$2003,$Z572-0)),IF($Z572&lt;=4000,IF(INDEX(周转筐出入库明细!$Q$4:$Q$2004,$Z572-2000)=0,"",INDEX(周转筐出入库明细!$Q$4:$Q$2004,$Z572-2000)),IF($Z572&lt;=5200,"",IF($Z572&lt;=5800,IF(INDEX(次果筐明细!$M$4:$M$603,$Z572-5200)=0,"",INDEX(次果筐明细!$M$4:$M$603,$Z572-5200)),"")))))</f>
        <v/>
      </c>
      <c r="M572" s="37" t="str">
        <f>IF($Z572="","",IF($Z572&lt;=2000,IF(INDEX(包装物料出入库明细!$R$4:$R$2003,$Z572-0)=0,"",INDEX(包装物料出入库明细!$R$4:$R$2003,$Z572-0)),IF($Z572&lt;=4000,IF(INDEX(周转筐出入库明细!$W$4:$W$2004,$Z572-2000)=0,"",INDEX(周转筐出入库明细!$W$4:$W$2004,$Z572-2000)),IF($Z572&lt;=5200,IF(INDEX(客户自备加工筐明细!$L$4:$L$1203,$Z572-4000)=0,"",INDEX(客户自备加工筐明细!$L$4:$L$1203,$Z572-4000)),IF($Z572&lt;=5800,IF(INDEX(次果筐明细!$P$4:$P$603,$Z572-5200)=0,"",INDEX(次果筐明细!$P$4:$P$603,$Z572-5200)),"")))))</f>
        <v/>
      </c>
      <c r="N572" s="16" t="str">
        <f>IF($Z572="","",IF($Z572&lt;=2000,"",IF($Z572&lt;=4000,IF(INDEX(周转筐出入库明细!$D$4:$D$2004,$Z572-2000)=0,"",INDEX(周转筐出入库明细!$D$4:$D$2004,$Z572-2000)),IF($Z572&lt;=5200,IF(INDEX(客户自备加工筐明细!$C$4:$C$1203,$Z572-4000)=0,"",INDEX(客户自备加工筐明细!$C$4:$C$1203,$Z572-4000)),IF($Z572&lt;=5800,IF(INDEX(次果筐明细!$D$4:$D$603,$Z572-5200)=0,"",INDEX(次果筐明细!$D$4:$D$603,$Z572-5200)),"")))))</f>
        <v/>
      </c>
      <c r="O572" s="40" t="str">
        <f>IF($Z572="","",IF($Z572&lt;=2000,"",IF($Z572&lt;=4000,IF(N(INDEX(周转筐出入库明细!$J$4:$J$2004,$Z572-2000))+N(INDEX(周转筐出入库明细!$K$4:$K$2004,$Z572-2000))=0,"",N(INDEX(周转筐出入库明细!$J$4:$J$2004,$Z572-2000))+N(INDEX(周转筐出入库明细!$K$4:$K$2004,$Z572-2000))),IF($Z572&lt;=5200,IF(N(INDEX(客户自备加工筐明细!$G$4:$G$1203,$Z572-4000))=0,"",N(INDEX(客户自备加工筐明细!$G$4:$G$1203,$Z572-4000))),IF($Z572&lt;=5800,IF(ISNUMBER(SEARCH("退",INDEX(次果筐明细!$F$4:$F$603,$Z572-5200)&amp;"")),"",IF(N(INDEX(次果筐明细!$G$4:$G$603,$Z572-5200))=0,"",N(INDEX(次果筐明细!$G$4:$G$603,$Z572-5200)))),"")))))</f>
        <v/>
      </c>
      <c r="P572" s="40" t="str">
        <f>IF($Z572="","",IF($Z572&lt;=2000,"",IF($Z572&lt;=4000,IF(N(INDEX(周转筐出入库明细!$I$4:$I$2004,$Z572-2000))=0,"",N(INDEX(周转筐出入库明细!$I$4:$I$2004,$Z572-2000))),IF($Z572&lt;=5200,"",IF($Z572&lt;=5800,IF(ISNUMBER(SEARCH("退",INDEX(次果筐明细!$F$4:$F$603,$Z572-5200)&amp;"")),IF(N(INDEX(次果筐明细!$G$4:$G$603,$Z572-5200))=0,"",N(INDEX(次果筐明细!$G$4:$G$603,$Z572-5200))),""),"")))))</f>
        <v/>
      </c>
      <c r="Q572" s="40" t="str">
        <f>IF($Z572="","",IF($Z572&lt;=2000,"",IF($Z572&lt;=4000,IF(N(INDEX(周转筐出入库明细!$H$4:$H$2004,$Z572-2000))=0,"",N(INDEX(周转筐出入库明细!$H$4:$H$2004,$Z572-2000))),IF($Z572&lt;=5200,IF(N(INDEX(客户自备加工筐明细!$F$4:$F$1203,$Z572-4000))=0,"",N(INDEX(客户自备加工筐明细!$F$4:$F$1203,$Z572-4000))),IF($Z572&lt;=5800,"","")))))</f>
        <v/>
      </c>
      <c r="R572" s="16" t="str">
        <f>IF($Z572="","",IF($Z572&lt;=2000,IF(INDEX(包装物料出入库明细!$O$4:$O$2003,$Z572-0)=0,"",INDEX(包装物料出入库明细!$O$4:$O$2003,$Z572-0)),IF($Z572&lt;=4000,IF(INDEX(周转筐出入库明细!$M$4:$M$2004,$Z572-2000)=0,"",INDEX(周转筐出入库明细!$M$4:$M$2004,$Z572-2000)),IF($Z572&lt;=5200,IF(INDEX(客户自备加工筐明细!$H$4:$H$1203,$Z572-4000)=0,"",INDEX(客户自备加工筐明细!$H$4:$H$1203,$Z572-4000)),IF($Z572&lt;=5800,IF(INDEX(次果筐明细!$H$4:$H$603,$Z572-5200)=0,"",INDEX(次果筐明细!$H$4:$H$603,$Z572-5200)),"")))))</f>
        <v/>
      </c>
      <c r="S572" s="22" t="str">
        <f t="shared" si="26"/>
        <v/>
      </c>
      <c r="Z572" s="10" t="str">
        <f>IFERROR(MATCH(ROW()-3,_自动清单!$CQ$4:$CQ$5803,0),"")</f>
        <v/>
      </c>
    </row>
    <row r="573" spans="1:26">
      <c r="A573" s="24" t="str">
        <f t="shared" si="24"/>
        <v/>
      </c>
      <c r="B573" s="38" t="str">
        <f>IF($Z573="","",IF($Z573&lt;=2000,IF(INDEX(包装物料出入库明细!$B$4:$B$2003,$Z573-0)=0,"",INDEX(包装物料出入库明细!$B$4:$B$2003,$Z573-0)),IF($Z573&lt;=4000,IF(INDEX(周转筐出入库明细!$B$4:$B$2004,$Z573-2000)=0,"",INDEX(周转筐出入库明细!$B$4:$B$2004,$Z573-2000)),IF($Z573&lt;=5200,IF(INDEX(客户自备加工筐明细!$B$4:$B$1203,$Z573-4000)=0,"",INDEX(客户自备加工筐明细!$B$4:$B$1203,$Z573-4000)),IF($Z573&lt;=5800,IF(INDEX(次果筐明细!$B$4:$B$603,$Z573-5200)=0,"",INDEX(次果筐明细!$B$4:$B$603,$Z573-5200)),"")))))</f>
        <v/>
      </c>
      <c r="C573" s="37" t="str">
        <f>IF($Z573="","",IF($Z573&lt;=2000,IF(INDEX(包装物料出入库明细!$D$4:$D$2003,$Z573-0)=0,"",INDEX(包装物料出入库明细!$D$4:$D$2003,$Z573-0)),IF($Z573&lt;=4000,IF(INDEX(周转筐出入库明细!$C$4:$C$2004,$Z573-2000)=0,"",INDEX(周转筐出入库明细!$C$4:$C$2004,$Z573-2000)),IF($Z573&lt;=5200,IF(INDEX(客户自备加工筐明细!$E$4:$E$1203,$Z573-4000)=0,"",INDEX(客户自备加工筐明细!$E$4:$E$1203,$Z573-4000)),IF($Z573&lt;=5800,IF(INDEX(次果筐明细!$C$4:$C$603,$Z573-5200)=0,"",INDEX(次果筐明细!$C$4:$C$603,$Z573-5200)),"")))))</f>
        <v/>
      </c>
      <c r="D573" s="37" t="str">
        <f>IF($Z573="","",IF($Z573&lt;=2000,"包装物料－"&amp;INDEX(包装物料出入库明细!$H$4:$H$2003,$Z573-0),IF($Z573&lt;=4000,"周转筐－"&amp;INDEX(周转筐出入库明细!$F$4:$F$2004,$Z573-2000),IF($Z573&lt;=5200,"客户自备筐－"&amp;INDEX(客户自备加工筐明细!$J$4:$J$1203,$Z573-4000),IF($Z573&lt;=5800,"次果筐/托盘－"&amp;INDEX(次果筐明细!$F$4:$F$603,$Z573-5200),"")))))</f>
        <v/>
      </c>
      <c r="E573" s="24" t="str">
        <f>IF($Z573="","",IF($Z573&lt;=2000,IF(INDEX(包装物料出入库明细!$C$4:$C$2003,$Z573-0)=0,"",INDEX(包装物料出入库明细!$C$4:$C$2003,$Z573-0)),IF($Z573&lt;=4000,IF(INDEX(周转筐出入库明细!$E$4:$E$2004,$Z573-2000)=0,"",INDEX(周转筐出入库明细!$E$4:$E$2004,$Z573-2000)),IF($Z573&lt;=5200,IF(INDEX(客户自备加工筐明细!$D$4:$D$1203,$Z573-4000)=0,"",INDEX(客户自备加工筐明细!$D$4:$D$1203,$Z573-4000)),IF($Z573&lt;=5800,IF(INDEX(次果筐明细!$E$4:$E$603,$Z573-5200)=0,"",INDEX(次果筐明细!$E$4:$E$603,$Z573-5200)),"")))))</f>
        <v/>
      </c>
      <c r="F573" s="24" t="str">
        <f>IF($Z573="","",IF($Z573&lt;=2000,IF(INDEX(包装物料出入库明细!$E$4:$E$2003,$Z573-0)=0,"",INDEX(包装物料出入库明细!$E$4:$E$2003,$Z573-0)),IF($Z573&lt;=4000,IF(INDEX(周转筐出入库明细!$D$4:$D$2004,$Z573-2000)=0,"",INDEX(周转筐出入库明细!$D$4:$D$2004,$Z573-2000)),IF($Z573&lt;=5200,IF(INDEX(客户自备加工筐明细!$C$4:$C$1203,$Z573-4000)=0,"",INDEX(客户自备加工筐明细!$C$4:$C$1203,$Z573-4000)),IF($Z573&lt;=5800,IF(INDEX(次果筐明细!$D$4:$D$603,$Z573-5200)=0,"",INDEX(次果筐明细!$D$4:$D$603,$Z573-5200)),"")))))</f>
        <v/>
      </c>
      <c r="G573" s="24" t="str">
        <f>IF($Z573="","",IF($Z573&lt;=2000,IF(INDEX(包装物料出入库明细!$F$4:$F$2003,$Z573-0)=0,"",INDEX(包装物料出入库明细!$F$4:$F$2003,$Z573-0)),IF($Z573&lt;=4000,"",IF($Z573&lt;=5200,"",IF($Z573&lt;=5800,"","")))))</f>
        <v/>
      </c>
      <c r="H573" s="39" t="str">
        <f>IF($Z573="","",IF($Z573&lt;=2000,IF(INDEX(包装物料出入库明细!$L$4:$L$2003,$Z573-0)=0,"",INDEX(包装物料出入库明细!$L$4:$L$2003,$Z573-0)),IF($Z573&lt;=4000,N(INDEX(周转筐出入库明细!$H$4:$H$2004,$Z573-2000))+N(INDEX(周转筐出入库明细!$I$4:$I$2004,$Z573-2000))+N(INDEX(周转筐出入库明细!$J$4:$J$2004,$Z573-2000))+N(INDEX(周转筐出入库明细!$K$4:$K$2004,$Z573-2000)),IF($Z573&lt;=5200,N(INDEX(客户自备加工筐明细!$F$4:$F$1203,$Z573-4000))+N(INDEX(客户自备加工筐明细!$G$4:$G$1203,$Z573-4000)),IF($Z573&lt;=5800,IF(INDEX(次果筐明细!$G$4:$G$603,$Z573-5200)=0,"",INDEX(次果筐明细!$G$4:$G$603,$Z573-5200)),"")))))</f>
        <v/>
      </c>
      <c r="I573" s="24" t="str">
        <f>IF($Z573="","",IF($Z573&lt;=2000,IF(INDEX(包装物料出入库明细!$G$4:$G$2003,$Z573-0)=0,"",INDEX(包装物料出入库明细!$G$4:$G$2003,$Z573-0)),IF($Z573&lt;=4000,"个",IF($Z573&lt;=5200,"个",IF($Z573&lt;=5800,"个","")))))</f>
        <v/>
      </c>
      <c r="J573" s="30" t="str">
        <f t="shared" si="25"/>
        <v/>
      </c>
      <c r="K573" s="30" t="str">
        <f>IF($Z573="","",IF($Z573&lt;=2000,IF(INDEX(包装物料出入库明细!$N$4:$N$2003,$Z573-0)=0,"",INDEX(包装物料出入库明细!$N$4:$N$2003,$Z573-0)),IF($Z573&lt;=4000,IF(INDEX(周转筐出入库明细!$P$4:$P$2004,$Z573-2000)=0,"",INDEX(周转筐出入库明细!$P$4:$P$2004,$Z573-2000)),IF($Z573&lt;=5200,"",IF($Z573&lt;=5800,N(INDEX(次果筐明细!$L$4:$L$603,$Z573-5200))+N(INDEX(次果筐明细!$J$4:$J$603,$Z573-5200)),"")))))</f>
        <v/>
      </c>
      <c r="L573" s="24" t="str">
        <f>IF($Z573="","",IF($Z573&lt;=2000,IF(INDEX(包装物料出入库明细!$P$4:$P$2003,$Z573-0)=0,"",INDEX(包装物料出入库明细!$P$4:$P$2003,$Z573-0)),IF($Z573&lt;=4000,IF(INDEX(周转筐出入库明细!$Q$4:$Q$2004,$Z573-2000)=0,"",INDEX(周转筐出入库明细!$Q$4:$Q$2004,$Z573-2000)),IF($Z573&lt;=5200,"",IF($Z573&lt;=5800,IF(INDEX(次果筐明细!$M$4:$M$603,$Z573-5200)=0,"",INDEX(次果筐明细!$M$4:$M$603,$Z573-5200)),"")))))</f>
        <v/>
      </c>
      <c r="M573" s="37" t="str">
        <f>IF($Z573="","",IF($Z573&lt;=2000,IF(INDEX(包装物料出入库明细!$R$4:$R$2003,$Z573-0)=0,"",INDEX(包装物料出入库明细!$R$4:$R$2003,$Z573-0)),IF($Z573&lt;=4000,IF(INDEX(周转筐出入库明细!$W$4:$W$2004,$Z573-2000)=0,"",INDEX(周转筐出入库明细!$W$4:$W$2004,$Z573-2000)),IF($Z573&lt;=5200,IF(INDEX(客户自备加工筐明细!$L$4:$L$1203,$Z573-4000)=0,"",INDEX(客户自备加工筐明细!$L$4:$L$1203,$Z573-4000)),IF($Z573&lt;=5800,IF(INDEX(次果筐明细!$P$4:$P$603,$Z573-5200)=0,"",INDEX(次果筐明细!$P$4:$P$603,$Z573-5200)),"")))))</f>
        <v/>
      </c>
      <c r="N573" s="16" t="str">
        <f>IF($Z573="","",IF($Z573&lt;=2000,"",IF($Z573&lt;=4000,IF(INDEX(周转筐出入库明细!$D$4:$D$2004,$Z573-2000)=0,"",INDEX(周转筐出入库明细!$D$4:$D$2004,$Z573-2000)),IF($Z573&lt;=5200,IF(INDEX(客户自备加工筐明细!$C$4:$C$1203,$Z573-4000)=0,"",INDEX(客户自备加工筐明细!$C$4:$C$1203,$Z573-4000)),IF($Z573&lt;=5800,IF(INDEX(次果筐明细!$D$4:$D$603,$Z573-5200)=0,"",INDEX(次果筐明细!$D$4:$D$603,$Z573-5200)),"")))))</f>
        <v/>
      </c>
      <c r="O573" s="40" t="str">
        <f>IF($Z573="","",IF($Z573&lt;=2000,"",IF($Z573&lt;=4000,IF(N(INDEX(周转筐出入库明细!$J$4:$J$2004,$Z573-2000))+N(INDEX(周转筐出入库明细!$K$4:$K$2004,$Z573-2000))=0,"",N(INDEX(周转筐出入库明细!$J$4:$J$2004,$Z573-2000))+N(INDEX(周转筐出入库明细!$K$4:$K$2004,$Z573-2000))),IF($Z573&lt;=5200,IF(N(INDEX(客户自备加工筐明细!$G$4:$G$1203,$Z573-4000))=0,"",N(INDEX(客户自备加工筐明细!$G$4:$G$1203,$Z573-4000))),IF($Z573&lt;=5800,IF(ISNUMBER(SEARCH("退",INDEX(次果筐明细!$F$4:$F$603,$Z573-5200)&amp;"")),"",IF(N(INDEX(次果筐明细!$G$4:$G$603,$Z573-5200))=0,"",N(INDEX(次果筐明细!$G$4:$G$603,$Z573-5200)))),"")))))</f>
        <v/>
      </c>
      <c r="P573" s="40" t="str">
        <f>IF($Z573="","",IF($Z573&lt;=2000,"",IF($Z573&lt;=4000,IF(N(INDEX(周转筐出入库明细!$I$4:$I$2004,$Z573-2000))=0,"",N(INDEX(周转筐出入库明细!$I$4:$I$2004,$Z573-2000))),IF($Z573&lt;=5200,"",IF($Z573&lt;=5800,IF(ISNUMBER(SEARCH("退",INDEX(次果筐明细!$F$4:$F$603,$Z573-5200)&amp;"")),IF(N(INDEX(次果筐明细!$G$4:$G$603,$Z573-5200))=0,"",N(INDEX(次果筐明细!$G$4:$G$603,$Z573-5200))),""),"")))))</f>
        <v/>
      </c>
      <c r="Q573" s="40" t="str">
        <f>IF($Z573="","",IF($Z573&lt;=2000,"",IF($Z573&lt;=4000,IF(N(INDEX(周转筐出入库明细!$H$4:$H$2004,$Z573-2000))=0,"",N(INDEX(周转筐出入库明细!$H$4:$H$2004,$Z573-2000))),IF($Z573&lt;=5200,IF(N(INDEX(客户自备加工筐明细!$F$4:$F$1203,$Z573-4000))=0,"",N(INDEX(客户自备加工筐明细!$F$4:$F$1203,$Z573-4000))),IF($Z573&lt;=5800,"","")))))</f>
        <v/>
      </c>
      <c r="R573" s="16" t="str">
        <f>IF($Z573="","",IF($Z573&lt;=2000,IF(INDEX(包装物料出入库明细!$O$4:$O$2003,$Z573-0)=0,"",INDEX(包装物料出入库明细!$O$4:$O$2003,$Z573-0)),IF($Z573&lt;=4000,IF(INDEX(周转筐出入库明细!$M$4:$M$2004,$Z573-2000)=0,"",INDEX(周转筐出入库明细!$M$4:$M$2004,$Z573-2000)),IF($Z573&lt;=5200,IF(INDEX(客户自备加工筐明细!$H$4:$H$1203,$Z573-4000)=0,"",INDEX(客户自备加工筐明细!$H$4:$H$1203,$Z573-4000)),IF($Z573&lt;=5800,IF(INDEX(次果筐明细!$H$4:$H$603,$Z573-5200)=0,"",INDEX(次果筐明细!$H$4:$H$603,$Z573-5200)),"")))))</f>
        <v/>
      </c>
      <c r="S573" s="22" t="str">
        <f t="shared" si="26"/>
        <v/>
      </c>
      <c r="Z573" s="10" t="str">
        <f>IFERROR(MATCH(ROW()-3,_自动清单!$CQ$4:$CQ$5803,0),"")</f>
        <v/>
      </c>
    </row>
    <row r="574" spans="1:26">
      <c r="A574" s="24" t="str">
        <f t="shared" si="24"/>
        <v/>
      </c>
      <c r="B574" s="38" t="str">
        <f>IF($Z574="","",IF($Z574&lt;=2000,IF(INDEX(包装物料出入库明细!$B$4:$B$2003,$Z574-0)=0,"",INDEX(包装物料出入库明细!$B$4:$B$2003,$Z574-0)),IF($Z574&lt;=4000,IF(INDEX(周转筐出入库明细!$B$4:$B$2004,$Z574-2000)=0,"",INDEX(周转筐出入库明细!$B$4:$B$2004,$Z574-2000)),IF($Z574&lt;=5200,IF(INDEX(客户自备加工筐明细!$B$4:$B$1203,$Z574-4000)=0,"",INDEX(客户自备加工筐明细!$B$4:$B$1203,$Z574-4000)),IF($Z574&lt;=5800,IF(INDEX(次果筐明细!$B$4:$B$603,$Z574-5200)=0,"",INDEX(次果筐明细!$B$4:$B$603,$Z574-5200)),"")))))</f>
        <v/>
      </c>
      <c r="C574" s="37" t="str">
        <f>IF($Z574="","",IF($Z574&lt;=2000,IF(INDEX(包装物料出入库明细!$D$4:$D$2003,$Z574-0)=0,"",INDEX(包装物料出入库明细!$D$4:$D$2003,$Z574-0)),IF($Z574&lt;=4000,IF(INDEX(周转筐出入库明细!$C$4:$C$2004,$Z574-2000)=0,"",INDEX(周转筐出入库明细!$C$4:$C$2004,$Z574-2000)),IF($Z574&lt;=5200,IF(INDEX(客户自备加工筐明细!$E$4:$E$1203,$Z574-4000)=0,"",INDEX(客户自备加工筐明细!$E$4:$E$1203,$Z574-4000)),IF($Z574&lt;=5800,IF(INDEX(次果筐明细!$C$4:$C$603,$Z574-5200)=0,"",INDEX(次果筐明细!$C$4:$C$603,$Z574-5200)),"")))))</f>
        <v/>
      </c>
      <c r="D574" s="37" t="str">
        <f>IF($Z574="","",IF($Z574&lt;=2000,"包装物料－"&amp;INDEX(包装物料出入库明细!$H$4:$H$2003,$Z574-0),IF($Z574&lt;=4000,"周转筐－"&amp;INDEX(周转筐出入库明细!$F$4:$F$2004,$Z574-2000),IF($Z574&lt;=5200,"客户自备筐－"&amp;INDEX(客户自备加工筐明细!$J$4:$J$1203,$Z574-4000),IF($Z574&lt;=5800,"次果筐/托盘－"&amp;INDEX(次果筐明细!$F$4:$F$603,$Z574-5200),"")))))</f>
        <v/>
      </c>
      <c r="E574" s="24" t="str">
        <f>IF($Z574="","",IF($Z574&lt;=2000,IF(INDEX(包装物料出入库明细!$C$4:$C$2003,$Z574-0)=0,"",INDEX(包装物料出入库明细!$C$4:$C$2003,$Z574-0)),IF($Z574&lt;=4000,IF(INDEX(周转筐出入库明细!$E$4:$E$2004,$Z574-2000)=0,"",INDEX(周转筐出入库明细!$E$4:$E$2004,$Z574-2000)),IF($Z574&lt;=5200,IF(INDEX(客户自备加工筐明细!$D$4:$D$1203,$Z574-4000)=0,"",INDEX(客户自备加工筐明细!$D$4:$D$1203,$Z574-4000)),IF($Z574&lt;=5800,IF(INDEX(次果筐明细!$E$4:$E$603,$Z574-5200)=0,"",INDEX(次果筐明细!$E$4:$E$603,$Z574-5200)),"")))))</f>
        <v/>
      </c>
      <c r="F574" s="24" t="str">
        <f>IF($Z574="","",IF($Z574&lt;=2000,IF(INDEX(包装物料出入库明细!$E$4:$E$2003,$Z574-0)=0,"",INDEX(包装物料出入库明细!$E$4:$E$2003,$Z574-0)),IF($Z574&lt;=4000,IF(INDEX(周转筐出入库明细!$D$4:$D$2004,$Z574-2000)=0,"",INDEX(周转筐出入库明细!$D$4:$D$2004,$Z574-2000)),IF($Z574&lt;=5200,IF(INDEX(客户自备加工筐明细!$C$4:$C$1203,$Z574-4000)=0,"",INDEX(客户自备加工筐明细!$C$4:$C$1203,$Z574-4000)),IF($Z574&lt;=5800,IF(INDEX(次果筐明细!$D$4:$D$603,$Z574-5200)=0,"",INDEX(次果筐明细!$D$4:$D$603,$Z574-5200)),"")))))</f>
        <v/>
      </c>
      <c r="G574" s="24" t="str">
        <f>IF($Z574="","",IF($Z574&lt;=2000,IF(INDEX(包装物料出入库明细!$F$4:$F$2003,$Z574-0)=0,"",INDEX(包装物料出入库明细!$F$4:$F$2003,$Z574-0)),IF($Z574&lt;=4000,"",IF($Z574&lt;=5200,"",IF($Z574&lt;=5800,"","")))))</f>
        <v/>
      </c>
      <c r="H574" s="39" t="str">
        <f>IF($Z574="","",IF($Z574&lt;=2000,IF(INDEX(包装物料出入库明细!$L$4:$L$2003,$Z574-0)=0,"",INDEX(包装物料出入库明细!$L$4:$L$2003,$Z574-0)),IF($Z574&lt;=4000,N(INDEX(周转筐出入库明细!$H$4:$H$2004,$Z574-2000))+N(INDEX(周转筐出入库明细!$I$4:$I$2004,$Z574-2000))+N(INDEX(周转筐出入库明细!$J$4:$J$2004,$Z574-2000))+N(INDEX(周转筐出入库明细!$K$4:$K$2004,$Z574-2000)),IF($Z574&lt;=5200,N(INDEX(客户自备加工筐明细!$F$4:$F$1203,$Z574-4000))+N(INDEX(客户自备加工筐明细!$G$4:$G$1203,$Z574-4000)),IF($Z574&lt;=5800,IF(INDEX(次果筐明细!$G$4:$G$603,$Z574-5200)=0,"",INDEX(次果筐明细!$G$4:$G$603,$Z574-5200)),"")))))</f>
        <v/>
      </c>
      <c r="I574" s="24" t="str">
        <f>IF($Z574="","",IF($Z574&lt;=2000,IF(INDEX(包装物料出入库明细!$G$4:$G$2003,$Z574-0)=0,"",INDEX(包装物料出入库明细!$G$4:$G$2003,$Z574-0)),IF($Z574&lt;=4000,"个",IF($Z574&lt;=5200,"个",IF($Z574&lt;=5800,"个","")))))</f>
        <v/>
      </c>
      <c r="J574" s="30" t="str">
        <f t="shared" si="25"/>
        <v/>
      </c>
      <c r="K574" s="30" t="str">
        <f>IF($Z574="","",IF($Z574&lt;=2000,IF(INDEX(包装物料出入库明细!$N$4:$N$2003,$Z574-0)=0,"",INDEX(包装物料出入库明细!$N$4:$N$2003,$Z574-0)),IF($Z574&lt;=4000,IF(INDEX(周转筐出入库明细!$P$4:$P$2004,$Z574-2000)=0,"",INDEX(周转筐出入库明细!$P$4:$P$2004,$Z574-2000)),IF($Z574&lt;=5200,"",IF($Z574&lt;=5800,N(INDEX(次果筐明细!$L$4:$L$603,$Z574-5200))+N(INDEX(次果筐明细!$J$4:$J$603,$Z574-5200)),"")))))</f>
        <v/>
      </c>
      <c r="L574" s="24" t="str">
        <f>IF($Z574="","",IF($Z574&lt;=2000,IF(INDEX(包装物料出入库明细!$P$4:$P$2003,$Z574-0)=0,"",INDEX(包装物料出入库明细!$P$4:$P$2003,$Z574-0)),IF($Z574&lt;=4000,IF(INDEX(周转筐出入库明细!$Q$4:$Q$2004,$Z574-2000)=0,"",INDEX(周转筐出入库明细!$Q$4:$Q$2004,$Z574-2000)),IF($Z574&lt;=5200,"",IF($Z574&lt;=5800,IF(INDEX(次果筐明细!$M$4:$M$603,$Z574-5200)=0,"",INDEX(次果筐明细!$M$4:$M$603,$Z574-5200)),"")))))</f>
        <v/>
      </c>
      <c r="M574" s="37" t="str">
        <f>IF($Z574="","",IF($Z574&lt;=2000,IF(INDEX(包装物料出入库明细!$R$4:$R$2003,$Z574-0)=0,"",INDEX(包装物料出入库明细!$R$4:$R$2003,$Z574-0)),IF($Z574&lt;=4000,IF(INDEX(周转筐出入库明细!$W$4:$W$2004,$Z574-2000)=0,"",INDEX(周转筐出入库明细!$W$4:$W$2004,$Z574-2000)),IF($Z574&lt;=5200,IF(INDEX(客户自备加工筐明细!$L$4:$L$1203,$Z574-4000)=0,"",INDEX(客户自备加工筐明细!$L$4:$L$1203,$Z574-4000)),IF($Z574&lt;=5800,IF(INDEX(次果筐明细!$P$4:$P$603,$Z574-5200)=0,"",INDEX(次果筐明细!$P$4:$P$603,$Z574-5200)),"")))))</f>
        <v/>
      </c>
      <c r="N574" s="16" t="str">
        <f>IF($Z574="","",IF($Z574&lt;=2000,"",IF($Z574&lt;=4000,IF(INDEX(周转筐出入库明细!$D$4:$D$2004,$Z574-2000)=0,"",INDEX(周转筐出入库明细!$D$4:$D$2004,$Z574-2000)),IF($Z574&lt;=5200,IF(INDEX(客户自备加工筐明细!$C$4:$C$1203,$Z574-4000)=0,"",INDEX(客户自备加工筐明细!$C$4:$C$1203,$Z574-4000)),IF($Z574&lt;=5800,IF(INDEX(次果筐明细!$D$4:$D$603,$Z574-5200)=0,"",INDEX(次果筐明细!$D$4:$D$603,$Z574-5200)),"")))))</f>
        <v/>
      </c>
      <c r="O574" s="40" t="str">
        <f>IF($Z574="","",IF($Z574&lt;=2000,"",IF($Z574&lt;=4000,IF(N(INDEX(周转筐出入库明细!$J$4:$J$2004,$Z574-2000))+N(INDEX(周转筐出入库明细!$K$4:$K$2004,$Z574-2000))=0,"",N(INDEX(周转筐出入库明细!$J$4:$J$2004,$Z574-2000))+N(INDEX(周转筐出入库明细!$K$4:$K$2004,$Z574-2000))),IF($Z574&lt;=5200,IF(N(INDEX(客户自备加工筐明细!$G$4:$G$1203,$Z574-4000))=0,"",N(INDEX(客户自备加工筐明细!$G$4:$G$1203,$Z574-4000))),IF($Z574&lt;=5800,IF(ISNUMBER(SEARCH("退",INDEX(次果筐明细!$F$4:$F$603,$Z574-5200)&amp;"")),"",IF(N(INDEX(次果筐明细!$G$4:$G$603,$Z574-5200))=0,"",N(INDEX(次果筐明细!$G$4:$G$603,$Z574-5200)))),"")))))</f>
        <v/>
      </c>
      <c r="P574" s="40" t="str">
        <f>IF($Z574="","",IF($Z574&lt;=2000,"",IF($Z574&lt;=4000,IF(N(INDEX(周转筐出入库明细!$I$4:$I$2004,$Z574-2000))=0,"",N(INDEX(周转筐出入库明细!$I$4:$I$2004,$Z574-2000))),IF($Z574&lt;=5200,"",IF($Z574&lt;=5800,IF(ISNUMBER(SEARCH("退",INDEX(次果筐明细!$F$4:$F$603,$Z574-5200)&amp;"")),IF(N(INDEX(次果筐明细!$G$4:$G$603,$Z574-5200))=0,"",N(INDEX(次果筐明细!$G$4:$G$603,$Z574-5200))),""),"")))))</f>
        <v/>
      </c>
      <c r="Q574" s="40" t="str">
        <f>IF($Z574="","",IF($Z574&lt;=2000,"",IF($Z574&lt;=4000,IF(N(INDEX(周转筐出入库明细!$H$4:$H$2004,$Z574-2000))=0,"",N(INDEX(周转筐出入库明细!$H$4:$H$2004,$Z574-2000))),IF($Z574&lt;=5200,IF(N(INDEX(客户自备加工筐明细!$F$4:$F$1203,$Z574-4000))=0,"",N(INDEX(客户自备加工筐明细!$F$4:$F$1203,$Z574-4000))),IF($Z574&lt;=5800,"","")))))</f>
        <v/>
      </c>
      <c r="R574" s="16" t="str">
        <f>IF($Z574="","",IF($Z574&lt;=2000,IF(INDEX(包装物料出入库明细!$O$4:$O$2003,$Z574-0)=0,"",INDEX(包装物料出入库明细!$O$4:$O$2003,$Z574-0)),IF($Z574&lt;=4000,IF(INDEX(周转筐出入库明细!$M$4:$M$2004,$Z574-2000)=0,"",INDEX(周转筐出入库明细!$M$4:$M$2004,$Z574-2000)),IF($Z574&lt;=5200,IF(INDEX(客户自备加工筐明细!$H$4:$H$1203,$Z574-4000)=0,"",INDEX(客户自备加工筐明细!$H$4:$H$1203,$Z574-4000)),IF($Z574&lt;=5800,IF(INDEX(次果筐明细!$H$4:$H$603,$Z574-5200)=0,"",INDEX(次果筐明细!$H$4:$H$603,$Z574-5200)),"")))))</f>
        <v/>
      </c>
      <c r="S574" s="22" t="str">
        <f t="shared" si="26"/>
        <v/>
      </c>
      <c r="Z574" s="10" t="str">
        <f>IFERROR(MATCH(ROW()-3,_自动清单!$CQ$4:$CQ$5803,0),"")</f>
        <v/>
      </c>
    </row>
    <row r="575" spans="1:26">
      <c r="A575" s="24" t="str">
        <f t="shared" si="24"/>
        <v/>
      </c>
      <c r="B575" s="38" t="str">
        <f>IF($Z575="","",IF($Z575&lt;=2000,IF(INDEX(包装物料出入库明细!$B$4:$B$2003,$Z575-0)=0,"",INDEX(包装物料出入库明细!$B$4:$B$2003,$Z575-0)),IF($Z575&lt;=4000,IF(INDEX(周转筐出入库明细!$B$4:$B$2004,$Z575-2000)=0,"",INDEX(周转筐出入库明细!$B$4:$B$2004,$Z575-2000)),IF($Z575&lt;=5200,IF(INDEX(客户自备加工筐明细!$B$4:$B$1203,$Z575-4000)=0,"",INDEX(客户自备加工筐明细!$B$4:$B$1203,$Z575-4000)),IF($Z575&lt;=5800,IF(INDEX(次果筐明细!$B$4:$B$603,$Z575-5200)=0,"",INDEX(次果筐明细!$B$4:$B$603,$Z575-5200)),"")))))</f>
        <v/>
      </c>
      <c r="C575" s="37" t="str">
        <f>IF($Z575="","",IF($Z575&lt;=2000,IF(INDEX(包装物料出入库明细!$D$4:$D$2003,$Z575-0)=0,"",INDEX(包装物料出入库明细!$D$4:$D$2003,$Z575-0)),IF($Z575&lt;=4000,IF(INDEX(周转筐出入库明细!$C$4:$C$2004,$Z575-2000)=0,"",INDEX(周转筐出入库明细!$C$4:$C$2004,$Z575-2000)),IF($Z575&lt;=5200,IF(INDEX(客户自备加工筐明细!$E$4:$E$1203,$Z575-4000)=0,"",INDEX(客户自备加工筐明细!$E$4:$E$1203,$Z575-4000)),IF($Z575&lt;=5800,IF(INDEX(次果筐明细!$C$4:$C$603,$Z575-5200)=0,"",INDEX(次果筐明细!$C$4:$C$603,$Z575-5200)),"")))))</f>
        <v/>
      </c>
      <c r="D575" s="37" t="str">
        <f>IF($Z575="","",IF($Z575&lt;=2000,"包装物料－"&amp;INDEX(包装物料出入库明细!$H$4:$H$2003,$Z575-0),IF($Z575&lt;=4000,"周转筐－"&amp;INDEX(周转筐出入库明细!$F$4:$F$2004,$Z575-2000),IF($Z575&lt;=5200,"客户自备筐－"&amp;INDEX(客户自备加工筐明细!$J$4:$J$1203,$Z575-4000),IF($Z575&lt;=5800,"次果筐/托盘－"&amp;INDEX(次果筐明细!$F$4:$F$603,$Z575-5200),"")))))</f>
        <v/>
      </c>
      <c r="E575" s="24" t="str">
        <f>IF($Z575="","",IF($Z575&lt;=2000,IF(INDEX(包装物料出入库明细!$C$4:$C$2003,$Z575-0)=0,"",INDEX(包装物料出入库明细!$C$4:$C$2003,$Z575-0)),IF($Z575&lt;=4000,IF(INDEX(周转筐出入库明细!$E$4:$E$2004,$Z575-2000)=0,"",INDEX(周转筐出入库明细!$E$4:$E$2004,$Z575-2000)),IF($Z575&lt;=5200,IF(INDEX(客户自备加工筐明细!$D$4:$D$1203,$Z575-4000)=0,"",INDEX(客户自备加工筐明细!$D$4:$D$1203,$Z575-4000)),IF($Z575&lt;=5800,IF(INDEX(次果筐明细!$E$4:$E$603,$Z575-5200)=0,"",INDEX(次果筐明细!$E$4:$E$603,$Z575-5200)),"")))))</f>
        <v/>
      </c>
      <c r="F575" s="24" t="str">
        <f>IF($Z575="","",IF($Z575&lt;=2000,IF(INDEX(包装物料出入库明细!$E$4:$E$2003,$Z575-0)=0,"",INDEX(包装物料出入库明细!$E$4:$E$2003,$Z575-0)),IF($Z575&lt;=4000,IF(INDEX(周转筐出入库明细!$D$4:$D$2004,$Z575-2000)=0,"",INDEX(周转筐出入库明细!$D$4:$D$2004,$Z575-2000)),IF($Z575&lt;=5200,IF(INDEX(客户自备加工筐明细!$C$4:$C$1203,$Z575-4000)=0,"",INDEX(客户自备加工筐明细!$C$4:$C$1203,$Z575-4000)),IF($Z575&lt;=5800,IF(INDEX(次果筐明细!$D$4:$D$603,$Z575-5200)=0,"",INDEX(次果筐明细!$D$4:$D$603,$Z575-5200)),"")))))</f>
        <v/>
      </c>
      <c r="G575" s="24" t="str">
        <f>IF($Z575="","",IF($Z575&lt;=2000,IF(INDEX(包装物料出入库明细!$F$4:$F$2003,$Z575-0)=0,"",INDEX(包装物料出入库明细!$F$4:$F$2003,$Z575-0)),IF($Z575&lt;=4000,"",IF($Z575&lt;=5200,"",IF($Z575&lt;=5800,"","")))))</f>
        <v/>
      </c>
      <c r="H575" s="39" t="str">
        <f>IF($Z575="","",IF($Z575&lt;=2000,IF(INDEX(包装物料出入库明细!$L$4:$L$2003,$Z575-0)=0,"",INDEX(包装物料出入库明细!$L$4:$L$2003,$Z575-0)),IF($Z575&lt;=4000,N(INDEX(周转筐出入库明细!$H$4:$H$2004,$Z575-2000))+N(INDEX(周转筐出入库明细!$I$4:$I$2004,$Z575-2000))+N(INDEX(周转筐出入库明细!$J$4:$J$2004,$Z575-2000))+N(INDEX(周转筐出入库明细!$K$4:$K$2004,$Z575-2000)),IF($Z575&lt;=5200,N(INDEX(客户自备加工筐明细!$F$4:$F$1203,$Z575-4000))+N(INDEX(客户自备加工筐明细!$G$4:$G$1203,$Z575-4000)),IF($Z575&lt;=5800,IF(INDEX(次果筐明细!$G$4:$G$603,$Z575-5200)=0,"",INDEX(次果筐明细!$G$4:$G$603,$Z575-5200)),"")))))</f>
        <v/>
      </c>
      <c r="I575" s="24" t="str">
        <f>IF($Z575="","",IF($Z575&lt;=2000,IF(INDEX(包装物料出入库明细!$G$4:$G$2003,$Z575-0)=0,"",INDEX(包装物料出入库明细!$G$4:$G$2003,$Z575-0)),IF($Z575&lt;=4000,"个",IF($Z575&lt;=5200,"个",IF($Z575&lt;=5800,"个","")))))</f>
        <v/>
      </c>
      <c r="J575" s="30" t="str">
        <f t="shared" si="25"/>
        <v/>
      </c>
      <c r="K575" s="30" t="str">
        <f>IF($Z575="","",IF($Z575&lt;=2000,IF(INDEX(包装物料出入库明细!$N$4:$N$2003,$Z575-0)=0,"",INDEX(包装物料出入库明细!$N$4:$N$2003,$Z575-0)),IF($Z575&lt;=4000,IF(INDEX(周转筐出入库明细!$P$4:$P$2004,$Z575-2000)=0,"",INDEX(周转筐出入库明细!$P$4:$P$2004,$Z575-2000)),IF($Z575&lt;=5200,"",IF($Z575&lt;=5800,N(INDEX(次果筐明细!$L$4:$L$603,$Z575-5200))+N(INDEX(次果筐明细!$J$4:$J$603,$Z575-5200)),"")))))</f>
        <v/>
      </c>
      <c r="L575" s="24" t="str">
        <f>IF($Z575="","",IF($Z575&lt;=2000,IF(INDEX(包装物料出入库明细!$P$4:$P$2003,$Z575-0)=0,"",INDEX(包装物料出入库明细!$P$4:$P$2003,$Z575-0)),IF($Z575&lt;=4000,IF(INDEX(周转筐出入库明细!$Q$4:$Q$2004,$Z575-2000)=0,"",INDEX(周转筐出入库明细!$Q$4:$Q$2004,$Z575-2000)),IF($Z575&lt;=5200,"",IF($Z575&lt;=5800,IF(INDEX(次果筐明细!$M$4:$M$603,$Z575-5200)=0,"",INDEX(次果筐明细!$M$4:$M$603,$Z575-5200)),"")))))</f>
        <v/>
      </c>
      <c r="M575" s="37" t="str">
        <f>IF($Z575="","",IF($Z575&lt;=2000,IF(INDEX(包装物料出入库明细!$R$4:$R$2003,$Z575-0)=0,"",INDEX(包装物料出入库明细!$R$4:$R$2003,$Z575-0)),IF($Z575&lt;=4000,IF(INDEX(周转筐出入库明细!$W$4:$W$2004,$Z575-2000)=0,"",INDEX(周转筐出入库明细!$W$4:$W$2004,$Z575-2000)),IF($Z575&lt;=5200,IF(INDEX(客户自备加工筐明细!$L$4:$L$1203,$Z575-4000)=0,"",INDEX(客户自备加工筐明细!$L$4:$L$1203,$Z575-4000)),IF($Z575&lt;=5800,IF(INDEX(次果筐明细!$P$4:$P$603,$Z575-5200)=0,"",INDEX(次果筐明细!$P$4:$P$603,$Z575-5200)),"")))))</f>
        <v/>
      </c>
      <c r="N575" s="16" t="str">
        <f>IF($Z575="","",IF($Z575&lt;=2000,"",IF($Z575&lt;=4000,IF(INDEX(周转筐出入库明细!$D$4:$D$2004,$Z575-2000)=0,"",INDEX(周转筐出入库明细!$D$4:$D$2004,$Z575-2000)),IF($Z575&lt;=5200,IF(INDEX(客户自备加工筐明细!$C$4:$C$1203,$Z575-4000)=0,"",INDEX(客户自备加工筐明细!$C$4:$C$1203,$Z575-4000)),IF($Z575&lt;=5800,IF(INDEX(次果筐明细!$D$4:$D$603,$Z575-5200)=0,"",INDEX(次果筐明细!$D$4:$D$603,$Z575-5200)),"")))))</f>
        <v/>
      </c>
      <c r="O575" s="40" t="str">
        <f>IF($Z575="","",IF($Z575&lt;=2000,"",IF($Z575&lt;=4000,IF(N(INDEX(周转筐出入库明细!$J$4:$J$2004,$Z575-2000))+N(INDEX(周转筐出入库明细!$K$4:$K$2004,$Z575-2000))=0,"",N(INDEX(周转筐出入库明细!$J$4:$J$2004,$Z575-2000))+N(INDEX(周转筐出入库明细!$K$4:$K$2004,$Z575-2000))),IF($Z575&lt;=5200,IF(N(INDEX(客户自备加工筐明细!$G$4:$G$1203,$Z575-4000))=0,"",N(INDEX(客户自备加工筐明细!$G$4:$G$1203,$Z575-4000))),IF($Z575&lt;=5800,IF(ISNUMBER(SEARCH("退",INDEX(次果筐明细!$F$4:$F$603,$Z575-5200)&amp;"")),"",IF(N(INDEX(次果筐明细!$G$4:$G$603,$Z575-5200))=0,"",N(INDEX(次果筐明细!$G$4:$G$603,$Z575-5200)))),"")))))</f>
        <v/>
      </c>
      <c r="P575" s="40" t="str">
        <f>IF($Z575="","",IF($Z575&lt;=2000,"",IF($Z575&lt;=4000,IF(N(INDEX(周转筐出入库明细!$I$4:$I$2004,$Z575-2000))=0,"",N(INDEX(周转筐出入库明细!$I$4:$I$2004,$Z575-2000))),IF($Z575&lt;=5200,"",IF($Z575&lt;=5800,IF(ISNUMBER(SEARCH("退",INDEX(次果筐明细!$F$4:$F$603,$Z575-5200)&amp;"")),IF(N(INDEX(次果筐明细!$G$4:$G$603,$Z575-5200))=0,"",N(INDEX(次果筐明细!$G$4:$G$603,$Z575-5200))),""),"")))))</f>
        <v/>
      </c>
      <c r="Q575" s="40" t="str">
        <f>IF($Z575="","",IF($Z575&lt;=2000,"",IF($Z575&lt;=4000,IF(N(INDEX(周转筐出入库明细!$H$4:$H$2004,$Z575-2000))=0,"",N(INDEX(周转筐出入库明细!$H$4:$H$2004,$Z575-2000))),IF($Z575&lt;=5200,IF(N(INDEX(客户自备加工筐明细!$F$4:$F$1203,$Z575-4000))=0,"",N(INDEX(客户自备加工筐明细!$F$4:$F$1203,$Z575-4000))),IF($Z575&lt;=5800,"","")))))</f>
        <v/>
      </c>
      <c r="R575" s="16" t="str">
        <f>IF($Z575="","",IF($Z575&lt;=2000,IF(INDEX(包装物料出入库明细!$O$4:$O$2003,$Z575-0)=0,"",INDEX(包装物料出入库明细!$O$4:$O$2003,$Z575-0)),IF($Z575&lt;=4000,IF(INDEX(周转筐出入库明细!$M$4:$M$2004,$Z575-2000)=0,"",INDEX(周转筐出入库明细!$M$4:$M$2004,$Z575-2000)),IF($Z575&lt;=5200,IF(INDEX(客户自备加工筐明细!$H$4:$H$1203,$Z575-4000)=0,"",INDEX(客户自备加工筐明细!$H$4:$H$1203,$Z575-4000)),IF($Z575&lt;=5800,IF(INDEX(次果筐明细!$H$4:$H$603,$Z575-5200)=0,"",INDEX(次果筐明细!$H$4:$H$603,$Z575-5200)),"")))))</f>
        <v/>
      </c>
      <c r="S575" s="22" t="str">
        <f t="shared" si="26"/>
        <v/>
      </c>
      <c r="Z575" s="10" t="str">
        <f>IFERROR(MATCH(ROW()-3,_自动清单!$CQ$4:$CQ$5803,0),"")</f>
        <v/>
      </c>
    </row>
    <row r="576" spans="1:26">
      <c r="A576" s="24" t="str">
        <f t="shared" si="24"/>
        <v/>
      </c>
      <c r="B576" s="38" t="str">
        <f>IF($Z576="","",IF($Z576&lt;=2000,IF(INDEX(包装物料出入库明细!$B$4:$B$2003,$Z576-0)=0,"",INDEX(包装物料出入库明细!$B$4:$B$2003,$Z576-0)),IF($Z576&lt;=4000,IF(INDEX(周转筐出入库明细!$B$4:$B$2004,$Z576-2000)=0,"",INDEX(周转筐出入库明细!$B$4:$B$2004,$Z576-2000)),IF($Z576&lt;=5200,IF(INDEX(客户自备加工筐明细!$B$4:$B$1203,$Z576-4000)=0,"",INDEX(客户自备加工筐明细!$B$4:$B$1203,$Z576-4000)),IF($Z576&lt;=5800,IF(INDEX(次果筐明细!$B$4:$B$603,$Z576-5200)=0,"",INDEX(次果筐明细!$B$4:$B$603,$Z576-5200)),"")))))</f>
        <v/>
      </c>
      <c r="C576" s="37" t="str">
        <f>IF($Z576="","",IF($Z576&lt;=2000,IF(INDEX(包装物料出入库明细!$D$4:$D$2003,$Z576-0)=0,"",INDEX(包装物料出入库明细!$D$4:$D$2003,$Z576-0)),IF($Z576&lt;=4000,IF(INDEX(周转筐出入库明细!$C$4:$C$2004,$Z576-2000)=0,"",INDEX(周转筐出入库明细!$C$4:$C$2004,$Z576-2000)),IF($Z576&lt;=5200,IF(INDEX(客户自备加工筐明细!$E$4:$E$1203,$Z576-4000)=0,"",INDEX(客户自备加工筐明细!$E$4:$E$1203,$Z576-4000)),IF($Z576&lt;=5800,IF(INDEX(次果筐明细!$C$4:$C$603,$Z576-5200)=0,"",INDEX(次果筐明细!$C$4:$C$603,$Z576-5200)),"")))))</f>
        <v/>
      </c>
      <c r="D576" s="37" t="str">
        <f>IF($Z576="","",IF($Z576&lt;=2000,"包装物料－"&amp;INDEX(包装物料出入库明细!$H$4:$H$2003,$Z576-0),IF($Z576&lt;=4000,"周转筐－"&amp;INDEX(周转筐出入库明细!$F$4:$F$2004,$Z576-2000),IF($Z576&lt;=5200,"客户自备筐－"&amp;INDEX(客户自备加工筐明细!$J$4:$J$1203,$Z576-4000),IF($Z576&lt;=5800,"次果筐/托盘－"&amp;INDEX(次果筐明细!$F$4:$F$603,$Z576-5200),"")))))</f>
        <v/>
      </c>
      <c r="E576" s="24" t="str">
        <f>IF($Z576="","",IF($Z576&lt;=2000,IF(INDEX(包装物料出入库明细!$C$4:$C$2003,$Z576-0)=0,"",INDEX(包装物料出入库明细!$C$4:$C$2003,$Z576-0)),IF($Z576&lt;=4000,IF(INDEX(周转筐出入库明细!$E$4:$E$2004,$Z576-2000)=0,"",INDEX(周转筐出入库明细!$E$4:$E$2004,$Z576-2000)),IF($Z576&lt;=5200,IF(INDEX(客户自备加工筐明细!$D$4:$D$1203,$Z576-4000)=0,"",INDEX(客户自备加工筐明细!$D$4:$D$1203,$Z576-4000)),IF($Z576&lt;=5800,IF(INDEX(次果筐明细!$E$4:$E$603,$Z576-5200)=0,"",INDEX(次果筐明细!$E$4:$E$603,$Z576-5200)),"")))))</f>
        <v/>
      </c>
      <c r="F576" s="24" t="str">
        <f>IF($Z576="","",IF($Z576&lt;=2000,IF(INDEX(包装物料出入库明细!$E$4:$E$2003,$Z576-0)=0,"",INDEX(包装物料出入库明细!$E$4:$E$2003,$Z576-0)),IF($Z576&lt;=4000,IF(INDEX(周转筐出入库明细!$D$4:$D$2004,$Z576-2000)=0,"",INDEX(周转筐出入库明细!$D$4:$D$2004,$Z576-2000)),IF($Z576&lt;=5200,IF(INDEX(客户自备加工筐明细!$C$4:$C$1203,$Z576-4000)=0,"",INDEX(客户自备加工筐明细!$C$4:$C$1203,$Z576-4000)),IF($Z576&lt;=5800,IF(INDEX(次果筐明细!$D$4:$D$603,$Z576-5200)=0,"",INDEX(次果筐明细!$D$4:$D$603,$Z576-5200)),"")))))</f>
        <v/>
      </c>
      <c r="G576" s="24" t="str">
        <f>IF($Z576="","",IF($Z576&lt;=2000,IF(INDEX(包装物料出入库明细!$F$4:$F$2003,$Z576-0)=0,"",INDEX(包装物料出入库明细!$F$4:$F$2003,$Z576-0)),IF($Z576&lt;=4000,"",IF($Z576&lt;=5200,"",IF($Z576&lt;=5800,"","")))))</f>
        <v/>
      </c>
      <c r="H576" s="39" t="str">
        <f>IF($Z576="","",IF($Z576&lt;=2000,IF(INDEX(包装物料出入库明细!$L$4:$L$2003,$Z576-0)=0,"",INDEX(包装物料出入库明细!$L$4:$L$2003,$Z576-0)),IF($Z576&lt;=4000,N(INDEX(周转筐出入库明细!$H$4:$H$2004,$Z576-2000))+N(INDEX(周转筐出入库明细!$I$4:$I$2004,$Z576-2000))+N(INDEX(周转筐出入库明细!$J$4:$J$2004,$Z576-2000))+N(INDEX(周转筐出入库明细!$K$4:$K$2004,$Z576-2000)),IF($Z576&lt;=5200,N(INDEX(客户自备加工筐明细!$F$4:$F$1203,$Z576-4000))+N(INDEX(客户自备加工筐明细!$G$4:$G$1203,$Z576-4000)),IF($Z576&lt;=5800,IF(INDEX(次果筐明细!$G$4:$G$603,$Z576-5200)=0,"",INDEX(次果筐明细!$G$4:$G$603,$Z576-5200)),"")))))</f>
        <v/>
      </c>
      <c r="I576" s="24" t="str">
        <f>IF($Z576="","",IF($Z576&lt;=2000,IF(INDEX(包装物料出入库明细!$G$4:$G$2003,$Z576-0)=0,"",INDEX(包装物料出入库明细!$G$4:$G$2003,$Z576-0)),IF($Z576&lt;=4000,"个",IF($Z576&lt;=5200,"个",IF($Z576&lt;=5800,"个","")))))</f>
        <v/>
      </c>
      <c r="J576" s="30" t="str">
        <f t="shared" si="25"/>
        <v/>
      </c>
      <c r="K576" s="30" t="str">
        <f>IF($Z576="","",IF($Z576&lt;=2000,IF(INDEX(包装物料出入库明细!$N$4:$N$2003,$Z576-0)=0,"",INDEX(包装物料出入库明细!$N$4:$N$2003,$Z576-0)),IF($Z576&lt;=4000,IF(INDEX(周转筐出入库明细!$P$4:$P$2004,$Z576-2000)=0,"",INDEX(周转筐出入库明细!$P$4:$P$2004,$Z576-2000)),IF($Z576&lt;=5200,"",IF($Z576&lt;=5800,N(INDEX(次果筐明细!$L$4:$L$603,$Z576-5200))+N(INDEX(次果筐明细!$J$4:$J$603,$Z576-5200)),"")))))</f>
        <v/>
      </c>
      <c r="L576" s="24" t="str">
        <f>IF($Z576="","",IF($Z576&lt;=2000,IF(INDEX(包装物料出入库明细!$P$4:$P$2003,$Z576-0)=0,"",INDEX(包装物料出入库明细!$P$4:$P$2003,$Z576-0)),IF($Z576&lt;=4000,IF(INDEX(周转筐出入库明细!$Q$4:$Q$2004,$Z576-2000)=0,"",INDEX(周转筐出入库明细!$Q$4:$Q$2004,$Z576-2000)),IF($Z576&lt;=5200,"",IF($Z576&lt;=5800,IF(INDEX(次果筐明细!$M$4:$M$603,$Z576-5200)=0,"",INDEX(次果筐明细!$M$4:$M$603,$Z576-5200)),"")))))</f>
        <v/>
      </c>
      <c r="M576" s="37" t="str">
        <f>IF($Z576="","",IF($Z576&lt;=2000,IF(INDEX(包装物料出入库明细!$R$4:$R$2003,$Z576-0)=0,"",INDEX(包装物料出入库明细!$R$4:$R$2003,$Z576-0)),IF($Z576&lt;=4000,IF(INDEX(周转筐出入库明细!$W$4:$W$2004,$Z576-2000)=0,"",INDEX(周转筐出入库明细!$W$4:$W$2004,$Z576-2000)),IF($Z576&lt;=5200,IF(INDEX(客户自备加工筐明细!$L$4:$L$1203,$Z576-4000)=0,"",INDEX(客户自备加工筐明细!$L$4:$L$1203,$Z576-4000)),IF($Z576&lt;=5800,IF(INDEX(次果筐明细!$P$4:$P$603,$Z576-5200)=0,"",INDEX(次果筐明细!$P$4:$P$603,$Z576-5200)),"")))))</f>
        <v/>
      </c>
      <c r="N576" s="16" t="str">
        <f>IF($Z576="","",IF($Z576&lt;=2000,"",IF($Z576&lt;=4000,IF(INDEX(周转筐出入库明细!$D$4:$D$2004,$Z576-2000)=0,"",INDEX(周转筐出入库明细!$D$4:$D$2004,$Z576-2000)),IF($Z576&lt;=5200,IF(INDEX(客户自备加工筐明细!$C$4:$C$1203,$Z576-4000)=0,"",INDEX(客户自备加工筐明细!$C$4:$C$1203,$Z576-4000)),IF($Z576&lt;=5800,IF(INDEX(次果筐明细!$D$4:$D$603,$Z576-5200)=0,"",INDEX(次果筐明细!$D$4:$D$603,$Z576-5200)),"")))))</f>
        <v/>
      </c>
      <c r="O576" s="40" t="str">
        <f>IF($Z576="","",IF($Z576&lt;=2000,"",IF($Z576&lt;=4000,IF(N(INDEX(周转筐出入库明细!$J$4:$J$2004,$Z576-2000))+N(INDEX(周转筐出入库明细!$K$4:$K$2004,$Z576-2000))=0,"",N(INDEX(周转筐出入库明细!$J$4:$J$2004,$Z576-2000))+N(INDEX(周转筐出入库明细!$K$4:$K$2004,$Z576-2000))),IF($Z576&lt;=5200,IF(N(INDEX(客户自备加工筐明细!$G$4:$G$1203,$Z576-4000))=0,"",N(INDEX(客户自备加工筐明细!$G$4:$G$1203,$Z576-4000))),IF($Z576&lt;=5800,IF(ISNUMBER(SEARCH("退",INDEX(次果筐明细!$F$4:$F$603,$Z576-5200)&amp;"")),"",IF(N(INDEX(次果筐明细!$G$4:$G$603,$Z576-5200))=0,"",N(INDEX(次果筐明细!$G$4:$G$603,$Z576-5200)))),"")))))</f>
        <v/>
      </c>
      <c r="P576" s="40" t="str">
        <f>IF($Z576="","",IF($Z576&lt;=2000,"",IF($Z576&lt;=4000,IF(N(INDEX(周转筐出入库明细!$I$4:$I$2004,$Z576-2000))=0,"",N(INDEX(周转筐出入库明细!$I$4:$I$2004,$Z576-2000))),IF($Z576&lt;=5200,"",IF($Z576&lt;=5800,IF(ISNUMBER(SEARCH("退",INDEX(次果筐明细!$F$4:$F$603,$Z576-5200)&amp;"")),IF(N(INDEX(次果筐明细!$G$4:$G$603,$Z576-5200))=0,"",N(INDEX(次果筐明细!$G$4:$G$603,$Z576-5200))),""),"")))))</f>
        <v/>
      </c>
      <c r="Q576" s="40" t="str">
        <f>IF($Z576="","",IF($Z576&lt;=2000,"",IF($Z576&lt;=4000,IF(N(INDEX(周转筐出入库明细!$H$4:$H$2004,$Z576-2000))=0,"",N(INDEX(周转筐出入库明细!$H$4:$H$2004,$Z576-2000))),IF($Z576&lt;=5200,IF(N(INDEX(客户自备加工筐明细!$F$4:$F$1203,$Z576-4000))=0,"",N(INDEX(客户自备加工筐明细!$F$4:$F$1203,$Z576-4000))),IF($Z576&lt;=5800,"","")))))</f>
        <v/>
      </c>
      <c r="R576" s="16" t="str">
        <f>IF($Z576="","",IF($Z576&lt;=2000,IF(INDEX(包装物料出入库明细!$O$4:$O$2003,$Z576-0)=0,"",INDEX(包装物料出入库明细!$O$4:$O$2003,$Z576-0)),IF($Z576&lt;=4000,IF(INDEX(周转筐出入库明细!$M$4:$M$2004,$Z576-2000)=0,"",INDEX(周转筐出入库明细!$M$4:$M$2004,$Z576-2000)),IF($Z576&lt;=5200,IF(INDEX(客户自备加工筐明细!$H$4:$H$1203,$Z576-4000)=0,"",INDEX(客户自备加工筐明细!$H$4:$H$1203,$Z576-4000)),IF($Z576&lt;=5800,IF(INDEX(次果筐明细!$H$4:$H$603,$Z576-5200)=0,"",INDEX(次果筐明细!$H$4:$H$603,$Z576-5200)),"")))))</f>
        <v/>
      </c>
      <c r="S576" s="22" t="str">
        <f t="shared" si="26"/>
        <v/>
      </c>
      <c r="Z576" s="10" t="str">
        <f>IFERROR(MATCH(ROW()-3,_自动清单!$CQ$4:$CQ$5803,0),"")</f>
        <v/>
      </c>
    </row>
    <row r="577" spans="1:26">
      <c r="A577" s="24" t="str">
        <f t="shared" si="24"/>
        <v/>
      </c>
      <c r="B577" s="38" t="str">
        <f>IF($Z577="","",IF($Z577&lt;=2000,IF(INDEX(包装物料出入库明细!$B$4:$B$2003,$Z577-0)=0,"",INDEX(包装物料出入库明细!$B$4:$B$2003,$Z577-0)),IF($Z577&lt;=4000,IF(INDEX(周转筐出入库明细!$B$4:$B$2004,$Z577-2000)=0,"",INDEX(周转筐出入库明细!$B$4:$B$2004,$Z577-2000)),IF($Z577&lt;=5200,IF(INDEX(客户自备加工筐明细!$B$4:$B$1203,$Z577-4000)=0,"",INDEX(客户自备加工筐明细!$B$4:$B$1203,$Z577-4000)),IF($Z577&lt;=5800,IF(INDEX(次果筐明细!$B$4:$B$603,$Z577-5200)=0,"",INDEX(次果筐明细!$B$4:$B$603,$Z577-5200)),"")))))</f>
        <v/>
      </c>
      <c r="C577" s="37" t="str">
        <f>IF($Z577="","",IF($Z577&lt;=2000,IF(INDEX(包装物料出入库明细!$D$4:$D$2003,$Z577-0)=0,"",INDEX(包装物料出入库明细!$D$4:$D$2003,$Z577-0)),IF($Z577&lt;=4000,IF(INDEX(周转筐出入库明细!$C$4:$C$2004,$Z577-2000)=0,"",INDEX(周转筐出入库明细!$C$4:$C$2004,$Z577-2000)),IF($Z577&lt;=5200,IF(INDEX(客户自备加工筐明细!$E$4:$E$1203,$Z577-4000)=0,"",INDEX(客户自备加工筐明细!$E$4:$E$1203,$Z577-4000)),IF($Z577&lt;=5800,IF(INDEX(次果筐明细!$C$4:$C$603,$Z577-5200)=0,"",INDEX(次果筐明细!$C$4:$C$603,$Z577-5200)),"")))))</f>
        <v/>
      </c>
      <c r="D577" s="37" t="str">
        <f>IF($Z577="","",IF($Z577&lt;=2000,"包装物料－"&amp;INDEX(包装物料出入库明细!$H$4:$H$2003,$Z577-0),IF($Z577&lt;=4000,"周转筐－"&amp;INDEX(周转筐出入库明细!$F$4:$F$2004,$Z577-2000),IF($Z577&lt;=5200,"客户自备筐－"&amp;INDEX(客户自备加工筐明细!$J$4:$J$1203,$Z577-4000),IF($Z577&lt;=5800,"次果筐/托盘－"&amp;INDEX(次果筐明细!$F$4:$F$603,$Z577-5200),"")))))</f>
        <v/>
      </c>
      <c r="E577" s="24" t="str">
        <f>IF($Z577="","",IF($Z577&lt;=2000,IF(INDEX(包装物料出入库明细!$C$4:$C$2003,$Z577-0)=0,"",INDEX(包装物料出入库明细!$C$4:$C$2003,$Z577-0)),IF($Z577&lt;=4000,IF(INDEX(周转筐出入库明细!$E$4:$E$2004,$Z577-2000)=0,"",INDEX(周转筐出入库明细!$E$4:$E$2004,$Z577-2000)),IF($Z577&lt;=5200,IF(INDEX(客户自备加工筐明细!$D$4:$D$1203,$Z577-4000)=0,"",INDEX(客户自备加工筐明细!$D$4:$D$1203,$Z577-4000)),IF($Z577&lt;=5800,IF(INDEX(次果筐明细!$E$4:$E$603,$Z577-5200)=0,"",INDEX(次果筐明细!$E$4:$E$603,$Z577-5200)),"")))))</f>
        <v/>
      </c>
      <c r="F577" s="24" t="str">
        <f>IF($Z577="","",IF($Z577&lt;=2000,IF(INDEX(包装物料出入库明细!$E$4:$E$2003,$Z577-0)=0,"",INDEX(包装物料出入库明细!$E$4:$E$2003,$Z577-0)),IF($Z577&lt;=4000,IF(INDEX(周转筐出入库明细!$D$4:$D$2004,$Z577-2000)=0,"",INDEX(周转筐出入库明细!$D$4:$D$2004,$Z577-2000)),IF($Z577&lt;=5200,IF(INDEX(客户自备加工筐明细!$C$4:$C$1203,$Z577-4000)=0,"",INDEX(客户自备加工筐明细!$C$4:$C$1203,$Z577-4000)),IF($Z577&lt;=5800,IF(INDEX(次果筐明细!$D$4:$D$603,$Z577-5200)=0,"",INDEX(次果筐明细!$D$4:$D$603,$Z577-5200)),"")))))</f>
        <v/>
      </c>
      <c r="G577" s="24" t="str">
        <f>IF($Z577="","",IF($Z577&lt;=2000,IF(INDEX(包装物料出入库明细!$F$4:$F$2003,$Z577-0)=0,"",INDEX(包装物料出入库明细!$F$4:$F$2003,$Z577-0)),IF($Z577&lt;=4000,"",IF($Z577&lt;=5200,"",IF($Z577&lt;=5800,"","")))))</f>
        <v/>
      </c>
      <c r="H577" s="39" t="str">
        <f>IF($Z577="","",IF($Z577&lt;=2000,IF(INDEX(包装物料出入库明细!$L$4:$L$2003,$Z577-0)=0,"",INDEX(包装物料出入库明细!$L$4:$L$2003,$Z577-0)),IF($Z577&lt;=4000,N(INDEX(周转筐出入库明细!$H$4:$H$2004,$Z577-2000))+N(INDEX(周转筐出入库明细!$I$4:$I$2004,$Z577-2000))+N(INDEX(周转筐出入库明细!$J$4:$J$2004,$Z577-2000))+N(INDEX(周转筐出入库明细!$K$4:$K$2004,$Z577-2000)),IF($Z577&lt;=5200,N(INDEX(客户自备加工筐明细!$F$4:$F$1203,$Z577-4000))+N(INDEX(客户自备加工筐明细!$G$4:$G$1203,$Z577-4000)),IF($Z577&lt;=5800,IF(INDEX(次果筐明细!$G$4:$G$603,$Z577-5200)=0,"",INDEX(次果筐明细!$G$4:$G$603,$Z577-5200)),"")))))</f>
        <v/>
      </c>
      <c r="I577" s="24" t="str">
        <f>IF($Z577="","",IF($Z577&lt;=2000,IF(INDEX(包装物料出入库明细!$G$4:$G$2003,$Z577-0)=0,"",INDEX(包装物料出入库明细!$G$4:$G$2003,$Z577-0)),IF($Z577&lt;=4000,"个",IF($Z577&lt;=5200,"个",IF($Z577&lt;=5800,"个","")))))</f>
        <v/>
      </c>
      <c r="J577" s="30" t="str">
        <f t="shared" si="25"/>
        <v/>
      </c>
      <c r="K577" s="30" t="str">
        <f>IF($Z577="","",IF($Z577&lt;=2000,IF(INDEX(包装物料出入库明细!$N$4:$N$2003,$Z577-0)=0,"",INDEX(包装物料出入库明细!$N$4:$N$2003,$Z577-0)),IF($Z577&lt;=4000,IF(INDEX(周转筐出入库明细!$P$4:$P$2004,$Z577-2000)=0,"",INDEX(周转筐出入库明细!$P$4:$P$2004,$Z577-2000)),IF($Z577&lt;=5200,"",IF($Z577&lt;=5800,N(INDEX(次果筐明细!$L$4:$L$603,$Z577-5200))+N(INDEX(次果筐明细!$J$4:$J$603,$Z577-5200)),"")))))</f>
        <v/>
      </c>
      <c r="L577" s="24" t="str">
        <f>IF($Z577="","",IF($Z577&lt;=2000,IF(INDEX(包装物料出入库明细!$P$4:$P$2003,$Z577-0)=0,"",INDEX(包装物料出入库明细!$P$4:$P$2003,$Z577-0)),IF($Z577&lt;=4000,IF(INDEX(周转筐出入库明细!$Q$4:$Q$2004,$Z577-2000)=0,"",INDEX(周转筐出入库明细!$Q$4:$Q$2004,$Z577-2000)),IF($Z577&lt;=5200,"",IF($Z577&lt;=5800,IF(INDEX(次果筐明细!$M$4:$M$603,$Z577-5200)=0,"",INDEX(次果筐明细!$M$4:$M$603,$Z577-5200)),"")))))</f>
        <v/>
      </c>
      <c r="M577" s="37" t="str">
        <f>IF($Z577="","",IF($Z577&lt;=2000,IF(INDEX(包装物料出入库明细!$R$4:$R$2003,$Z577-0)=0,"",INDEX(包装物料出入库明细!$R$4:$R$2003,$Z577-0)),IF($Z577&lt;=4000,IF(INDEX(周转筐出入库明细!$W$4:$W$2004,$Z577-2000)=0,"",INDEX(周转筐出入库明细!$W$4:$W$2004,$Z577-2000)),IF($Z577&lt;=5200,IF(INDEX(客户自备加工筐明细!$L$4:$L$1203,$Z577-4000)=0,"",INDEX(客户自备加工筐明细!$L$4:$L$1203,$Z577-4000)),IF($Z577&lt;=5800,IF(INDEX(次果筐明细!$P$4:$P$603,$Z577-5200)=0,"",INDEX(次果筐明细!$P$4:$P$603,$Z577-5200)),"")))))</f>
        <v/>
      </c>
      <c r="N577" s="16" t="str">
        <f>IF($Z577="","",IF($Z577&lt;=2000,"",IF($Z577&lt;=4000,IF(INDEX(周转筐出入库明细!$D$4:$D$2004,$Z577-2000)=0,"",INDEX(周转筐出入库明细!$D$4:$D$2004,$Z577-2000)),IF($Z577&lt;=5200,IF(INDEX(客户自备加工筐明细!$C$4:$C$1203,$Z577-4000)=0,"",INDEX(客户自备加工筐明细!$C$4:$C$1203,$Z577-4000)),IF($Z577&lt;=5800,IF(INDEX(次果筐明细!$D$4:$D$603,$Z577-5200)=0,"",INDEX(次果筐明细!$D$4:$D$603,$Z577-5200)),"")))))</f>
        <v/>
      </c>
      <c r="O577" s="40" t="str">
        <f>IF($Z577="","",IF($Z577&lt;=2000,"",IF($Z577&lt;=4000,IF(N(INDEX(周转筐出入库明细!$J$4:$J$2004,$Z577-2000))+N(INDEX(周转筐出入库明细!$K$4:$K$2004,$Z577-2000))=0,"",N(INDEX(周转筐出入库明细!$J$4:$J$2004,$Z577-2000))+N(INDEX(周转筐出入库明细!$K$4:$K$2004,$Z577-2000))),IF($Z577&lt;=5200,IF(N(INDEX(客户自备加工筐明细!$G$4:$G$1203,$Z577-4000))=0,"",N(INDEX(客户自备加工筐明细!$G$4:$G$1203,$Z577-4000))),IF($Z577&lt;=5800,IF(ISNUMBER(SEARCH("退",INDEX(次果筐明细!$F$4:$F$603,$Z577-5200)&amp;"")),"",IF(N(INDEX(次果筐明细!$G$4:$G$603,$Z577-5200))=0,"",N(INDEX(次果筐明细!$G$4:$G$603,$Z577-5200)))),"")))))</f>
        <v/>
      </c>
      <c r="P577" s="40" t="str">
        <f>IF($Z577="","",IF($Z577&lt;=2000,"",IF($Z577&lt;=4000,IF(N(INDEX(周转筐出入库明细!$I$4:$I$2004,$Z577-2000))=0,"",N(INDEX(周转筐出入库明细!$I$4:$I$2004,$Z577-2000))),IF($Z577&lt;=5200,"",IF($Z577&lt;=5800,IF(ISNUMBER(SEARCH("退",INDEX(次果筐明细!$F$4:$F$603,$Z577-5200)&amp;"")),IF(N(INDEX(次果筐明细!$G$4:$G$603,$Z577-5200))=0,"",N(INDEX(次果筐明细!$G$4:$G$603,$Z577-5200))),""),"")))))</f>
        <v/>
      </c>
      <c r="Q577" s="40" t="str">
        <f>IF($Z577="","",IF($Z577&lt;=2000,"",IF($Z577&lt;=4000,IF(N(INDEX(周转筐出入库明细!$H$4:$H$2004,$Z577-2000))=0,"",N(INDEX(周转筐出入库明细!$H$4:$H$2004,$Z577-2000))),IF($Z577&lt;=5200,IF(N(INDEX(客户自备加工筐明细!$F$4:$F$1203,$Z577-4000))=0,"",N(INDEX(客户自备加工筐明细!$F$4:$F$1203,$Z577-4000))),IF($Z577&lt;=5800,"","")))))</f>
        <v/>
      </c>
      <c r="R577" s="16" t="str">
        <f>IF($Z577="","",IF($Z577&lt;=2000,IF(INDEX(包装物料出入库明细!$O$4:$O$2003,$Z577-0)=0,"",INDEX(包装物料出入库明细!$O$4:$O$2003,$Z577-0)),IF($Z577&lt;=4000,IF(INDEX(周转筐出入库明细!$M$4:$M$2004,$Z577-2000)=0,"",INDEX(周转筐出入库明细!$M$4:$M$2004,$Z577-2000)),IF($Z577&lt;=5200,IF(INDEX(客户自备加工筐明细!$H$4:$H$1203,$Z577-4000)=0,"",INDEX(客户自备加工筐明细!$H$4:$H$1203,$Z577-4000)),IF($Z577&lt;=5800,IF(INDEX(次果筐明细!$H$4:$H$603,$Z577-5200)=0,"",INDEX(次果筐明细!$H$4:$H$603,$Z577-5200)),"")))))</f>
        <v/>
      </c>
      <c r="S577" s="22" t="str">
        <f t="shared" si="26"/>
        <v/>
      </c>
      <c r="Z577" s="10" t="str">
        <f>IFERROR(MATCH(ROW()-3,_自动清单!$CQ$4:$CQ$5803,0),"")</f>
        <v/>
      </c>
    </row>
    <row r="578" spans="1:26">
      <c r="A578" s="24" t="str">
        <f t="shared" si="24"/>
        <v/>
      </c>
      <c r="B578" s="38" t="str">
        <f>IF($Z578="","",IF($Z578&lt;=2000,IF(INDEX(包装物料出入库明细!$B$4:$B$2003,$Z578-0)=0,"",INDEX(包装物料出入库明细!$B$4:$B$2003,$Z578-0)),IF($Z578&lt;=4000,IF(INDEX(周转筐出入库明细!$B$4:$B$2004,$Z578-2000)=0,"",INDEX(周转筐出入库明细!$B$4:$B$2004,$Z578-2000)),IF($Z578&lt;=5200,IF(INDEX(客户自备加工筐明细!$B$4:$B$1203,$Z578-4000)=0,"",INDEX(客户自备加工筐明细!$B$4:$B$1203,$Z578-4000)),IF($Z578&lt;=5800,IF(INDEX(次果筐明细!$B$4:$B$603,$Z578-5200)=0,"",INDEX(次果筐明细!$B$4:$B$603,$Z578-5200)),"")))))</f>
        <v/>
      </c>
      <c r="C578" s="37" t="str">
        <f>IF($Z578="","",IF($Z578&lt;=2000,IF(INDEX(包装物料出入库明细!$D$4:$D$2003,$Z578-0)=0,"",INDEX(包装物料出入库明细!$D$4:$D$2003,$Z578-0)),IF($Z578&lt;=4000,IF(INDEX(周转筐出入库明细!$C$4:$C$2004,$Z578-2000)=0,"",INDEX(周转筐出入库明细!$C$4:$C$2004,$Z578-2000)),IF($Z578&lt;=5200,IF(INDEX(客户自备加工筐明细!$E$4:$E$1203,$Z578-4000)=0,"",INDEX(客户自备加工筐明细!$E$4:$E$1203,$Z578-4000)),IF($Z578&lt;=5800,IF(INDEX(次果筐明细!$C$4:$C$603,$Z578-5200)=0,"",INDEX(次果筐明细!$C$4:$C$603,$Z578-5200)),"")))))</f>
        <v/>
      </c>
      <c r="D578" s="37" t="str">
        <f>IF($Z578="","",IF($Z578&lt;=2000,"包装物料－"&amp;INDEX(包装物料出入库明细!$H$4:$H$2003,$Z578-0),IF($Z578&lt;=4000,"周转筐－"&amp;INDEX(周转筐出入库明细!$F$4:$F$2004,$Z578-2000),IF($Z578&lt;=5200,"客户自备筐－"&amp;INDEX(客户自备加工筐明细!$J$4:$J$1203,$Z578-4000),IF($Z578&lt;=5800,"次果筐/托盘－"&amp;INDEX(次果筐明细!$F$4:$F$603,$Z578-5200),"")))))</f>
        <v/>
      </c>
      <c r="E578" s="24" t="str">
        <f>IF($Z578="","",IF($Z578&lt;=2000,IF(INDEX(包装物料出入库明细!$C$4:$C$2003,$Z578-0)=0,"",INDEX(包装物料出入库明细!$C$4:$C$2003,$Z578-0)),IF($Z578&lt;=4000,IF(INDEX(周转筐出入库明细!$E$4:$E$2004,$Z578-2000)=0,"",INDEX(周转筐出入库明细!$E$4:$E$2004,$Z578-2000)),IF($Z578&lt;=5200,IF(INDEX(客户自备加工筐明细!$D$4:$D$1203,$Z578-4000)=0,"",INDEX(客户自备加工筐明细!$D$4:$D$1203,$Z578-4000)),IF($Z578&lt;=5800,IF(INDEX(次果筐明细!$E$4:$E$603,$Z578-5200)=0,"",INDEX(次果筐明细!$E$4:$E$603,$Z578-5200)),"")))))</f>
        <v/>
      </c>
      <c r="F578" s="24" t="str">
        <f>IF($Z578="","",IF($Z578&lt;=2000,IF(INDEX(包装物料出入库明细!$E$4:$E$2003,$Z578-0)=0,"",INDEX(包装物料出入库明细!$E$4:$E$2003,$Z578-0)),IF($Z578&lt;=4000,IF(INDEX(周转筐出入库明细!$D$4:$D$2004,$Z578-2000)=0,"",INDEX(周转筐出入库明细!$D$4:$D$2004,$Z578-2000)),IF($Z578&lt;=5200,IF(INDEX(客户自备加工筐明细!$C$4:$C$1203,$Z578-4000)=0,"",INDEX(客户自备加工筐明细!$C$4:$C$1203,$Z578-4000)),IF($Z578&lt;=5800,IF(INDEX(次果筐明细!$D$4:$D$603,$Z578-5200)=0,"",INDEX(次果筐明细!$D$4:$D$603,$Z578-5200)),"")))))</f>
        <v/>
      </c>
      <c r="G578" s="24" t="str">
        <f>IF($Z578="","",IF($Z578&lt;=2000,IF(INDEX(包装物料出入库明细!$F$4:$F$2003,$Z578-0)=0,"",INDEX(包装物料出入库明细!$F$4:$F$2003,$Z578-0)),IF($Z578&lt;=4000,"",IF($Z578&lt;=5200,"",IF($Z578&lt;=5800,"","")))))</f>
        <v/>
      </c>
      <c r="H578" s="39" t="str">
        <f>IF($Z578="","",IF($Z578&lt;=2000,IF(INDEX(包装物料出入库明细!$L$4:$L$2003,$Z578-0)=0,"",INDEX(包装物料出入库明细!$L$4:$L$2003,$Z578-0)),IF($Z578&lt;=4000,N(INDEX(周转筐出入库明细!$H$4:$H$2004,$Z578-2000))+N(INDEX(周转筐出入库明细!$I$4:$I$2004,$Z578-2000))+N(INDEX(周转筐出入库明细!$J$4:$J$2004,$Z578-2000))+N(INDEX(周转筐出入库明细!$K$4:$K$2004,$Z578-2000)),IF($Z578&lt;=5200,N(INDEX(客户自备加工筐明细!$F$4:$F$1203,$Z578-4000))+N(INDEX(客户自备加工筐明细!$G$4:$G$1203,$Z578-4000)),IF($Z578&lt;=5800,IF(INDEX(次果筐明细!$G$4:$G$603,$Z578-5200)=0,"",INDEX(次果筐明细!$G$4:$G$603,$Z578-5200)),"")))))</f>
        <v/>
      </c>
      <c r="I578" s="24" t="str">
        <f>IF($Z578="","",IF($Z578&lt;=2000,IF(INDEX(包装物料出入库明细!$G$4:$G$2003,$Z578-0)=0,"",INDEX(包装物料出入库明细!$G$4:$G$2003,$Z578-0)),IF($Z578&lt;=4000,"个",IF($Z578&lt;=5200,"个",IF($Z578&lt;=5800,"个","")))))</f>
        <v/>
      </c>
      <c r="J578" s="30" t="str">
        <f t="shared" si="25"/>
        <v/>
      </c>
      <c r="K578" s="30" t="str">
        <f>IF($Z578="","",IF($Z578&lt;=2000,IF(INDEX(包装物料出入库明细!$N$4:$N$2003,$Z578-0)=0,"",INDEX(包装物料出入库明细!$N$4:$N$2003,$Z578-0)),IF($Z578&lt;=4000,IF(INDEX(周转筐出入库明细!$P$4:$P$2004,$Z578-2000)=0,"",INDEX(周转筐出入库明细!$P$4:$P$2004,$Z578-2000)),IF($Z578&lt;=5200,"",IF($Z578&lt;=5800,N(INDEX(次果筐明细!$L$4:$L$603,$Z578-5200))+N(INDEX(次果筐明细!$J$4:$J$603,$Z578-5200)),"")))))</f>
        <v/>
      </c>
      <c r="L578" s="24" t="str">
        <f>IF($Z578="","",IF($Z578&lt;=2000,IF(INDEX(包装物料出入库明细!$P$4:$P$2003,$Z578-0)=0,"",INDEX(包装物料出入库明细!$P$4:$P$2003,$Z578-0)),IF($Z578&lt;=4000,IF(INDEX(周转筐出入库明细!$Q$4:$Q$2004,$Z578-2000)=0,"",INDEX(周转筐出入库明细!$Q$4:$Q$2004,$Z578-2000)),IF($Z578&lt;=5200,"",IF($Z578&lt;=5800,IF(INDEX(次果筐明细!$M$4:$M$603,$Z578-5200)=0,"",INDEX(次果筐明细!$M$4:$M$603,$Z578-5200)),"")))))</f>
        <v/>
      </c>
      <c r="M578" s="37" t="str">
        <f>IF($Z578="","",IF($Z578&lt;=2000,IF(INDEX(包装物料出入库明细!$R$4:$R$2003,$Z578-0)=0,"",INDEX(包装物料出入库明细!$R$4:$R$2003,$Z578-0)),IF($Z578&lt;=4000,IF(INDEX(周转筐出入库明细!$W$4:$W$2004,$Z578-2000)=0,"",INDEX(周转筐出入库明细!$W$4:$W$2004,$Z578-2000)),IF($Z578&lt;=5200,IF(INDEX(客户自备加工筐明细!$L$4:$L$1203,$Z578-4000)=0,"",INDEX(客户自备加工筐明细!$L$4:$L$1203,$Z578-4000)),IF($Z578&lt;=5800,IF(INDEX(次果筐明细!$P$4:$P$603,$Z578-5200)=0,"",INDEX(次果筐明细!$P$4:$P$603,$Z578-5200)),"")))))</f>
        <v/>
      </c>
      <c r="N578" s="16" t="str">
        <f>IF($Z578="","",IF($Z578&lt;=2000,"",IF($Z578&lt;=4000,IF(INDEX(周转筐出入库明细!$D$4:$D$2004,$Z578-2000)=0,"",INDEX(周转筐出入库明细!$D$4:$D$2004,$Z578-2000)),IF($Z578&lt;=5200,IF(INDEX(客户自备加工筐明细!$C$4:$C$1203,$Z578-4000)=0,"",INDEX(客户自备加工筐明细!$C$4:$C$1203,$Z578-4000)),IF($Z578&lt;=5800,IF(INDEX(次果筐明细!$D$4:$D$603,$Z578-5200)=0,"",INDEX(次果筐明细!$D$4:$D$603,$Z578-5200)),"")))))</f>
        <v/>
      </c>
      <c r="O578" s="40" t="str">
        <f>IF($Z578="","",IF($Z578&lt;=2000,"",IF($Z578&lt;=4000,IF(N(INDEX(周转筐出入库明细!$J$4:$J$2004,$Z578-2000))+N(INDEX(周转筐出入库明细!$K$4:$K$2004,$Z578-2000))=0,"",N(INDEX(周转筐出入库明细!$J$4:$J$2004,$Z578-2000))+N(INDEX(周转筐出入库明细!$K$4:$K$2004,$Z578-2000))),IF($Z578&lt;=5200,IF(N(INDEX(客户自备加工筐明细!$G$4:$G$1203,$Z578-4000))=0,"",N(INDEX(客户自备加工筐明细!$G$4:$G$1203,$Z578-4000))),IF($Z578&lt;=5800,IF(ISNUMBER(SEARCH("退",INDEX(次果筐明细!$F$4:$F$603,$Z578-5200)&amp;"")),"",IF(N(INDEX(次果筐明细!$G$4:$G$603,$Z578-5200))=0,"",N(INDEX(次果筐明细!$G$4:$G$603,$Z578-5200)))),"")))))</f>
        <v/>
      </c>
      <c r="P578" s="40" t="str">
        <f>IF($Z578="","",IF($Z578&lt;=2000,"",IF($Z578&lt;=4000,IF(N(INDEX(周转筐出入库明细!$I$4:$I$2004,$Z578-2000))=0,"",N(INDEX(周转筐出入库明细!$I$4:$I$2004,$Z578-2000))),IF($Z578&lt;=5200,"",IF($Z578&lt;=5800,IF(ISNUMBER(SEARCH("退",INDEX(次果筐明细!$F$4:$F$603,$Z578-5200)&amp;"")),IF(N(INDEX(次果筐明细!$G$4:$G$603,$Z578-5200))=0,"",N(INDEX(次果筐明细!$G$4:$G$603,$Z578-5200))),""),"")))))</f>
        <v/>
      </c>
      <c r="Q578" s="40" t="str">
        <f>IF($Z578="","",IF($Z578&lt;=2000,"",IF($Z578&lt;=4000,IF(N(INDEX(周转筐出入库明细!$H$4:$H$2004,$Z578-2000))=0,"",N(INDEX(周转筐出入库明细!$H$4:$H$2004,$Z578-2000))),IF($Z578&lt;=5200,IF(N(INDEX(客户自备加工筐明细!$F$4:$F$1203,$Z578-4000))=0,"",N(INDEX(客户自备加工筐明细!$F$4:$F$1203,$Z578-4000))),IF($Z578&lt;=5800,"","")))))</f>
        <v/>
      </c>
      <c r="R578" s="16" t="str">
        <f>IF($Z578="","",IF($Z578&lt;=2000,IF(INDEX(包装物料出入库明细!$O$4:$O$2003,$Z578-0)=0,"",INDEX(包装物料出入库明细!$O$4:$O$2003,$Z578-0)),IF($Z578&lt;=4000,IF(INDEX(周转筐出入库明细!$M$4:$M$2004,$Z578-2000)=0,"",INDEX(周转筐出入库明细!$M$4:$M$2004,$Z578-2000)),IF($Z578&lt;=5200,IF(INDEX(客户自备加工筐明细!$H$4:$H$1203,$Z578-4000)=0,"",INDEX(客户自备加工筐明细!$H$4:$H$1203,$Z578-4000)),IF($Z578&lt;=5800,IF(INDEX(次果筐明细!$H$4:$H$603,$Z578-5200)=0,"",INDEX(次果筐明细!$H$4:$H$603,$Z578-5200)),"")))))</f>
        <v/>
      </c>
      <c r="S578" s="22" t="str">
        <f t="shared" si="26"/>
        <v/>
      </c>
      <c r="Z578" s="10" t="str">
        <f>IFERROR(MATCH(ROW()-3,_自动清单!$CQ$4:$CQ$5803,0),"")</f>
        <v/>
      </c>
    </row>
    <row r="579" spans="1:26">
      <c r="A579" s="24" t="str">
        <f t="shared" si="24"/>
        <v/>
      </c>
      <c r="B579" s="38" t="str">
        <f>IF($Z579="","",IF($Z579&lt;=2000,IF(INDEX(包装物料出入库明细!$B$4:$B$2003,$Z579-0)=0,"",INDEX(包装物料出入库明细!$B$4:$B$2003,$Z579-0)),IF($Z579&lt;=4000,IF(INDEX(周转筐出入库明细!$B$4:$B$2004,$Z579-2000)=0,"",INDEX(周转筐出入库明细!$B$4:$B$2004,$Z579-2000)),IF($Z579&lt;=5200,IF(INDEX(客户自备加工筐明细!$B$4:$B$1203,$Z579-4000)=0,"",INDEX(客户自备加工筐明细!$B$4:$B$1203,$Z579-4000)),IF($Z579&lt;=5800,IF(INDEX(次果筐明细!$B$4:$B$603,$Z579-5200)=0,"",INDEX(次果筐明细!$B$4:$B$603,$Z579-5200)),"")))))</f>
        <v/>
      </c>
      <c r="C579" s="37" t="str">
        <f>IF($Z579="","",IF($Z579&lt;=2000,IF(INDEX(包装物料出入库明细!$D$4:$D$2003,$Z579-0)=0,"",INDEX(包装物料出入库明细!$D$4:$D$2003,$Z579-0)),IF($Z579&lt;=4000,IF(INDEX(周转筐出入库明细!$C$4:$C$2004,$Z579-2000)=0,"",INDEX(周转筐出入库明细!$C$4:$C$2004,$Z579-2000)),IF($Z579&lt;=5200,IF(INDEX(客户自备加工筐明细!$E$4:$E$1203,$Z579-4000)=0,"",INDEX(客户自备加工筐明细!$E$4:$E$1203,$Z579-4000)),IF($Z579&lt;=5800,IF(INDEX(次果筐明细!$C$4:$C$603,$Z579-5200)=0,"",INDEX(次果筐明细!$C$4:$C$603,$Z579-5200)),"")))))</f>
        <v/>
      </c>
      <c r="D579" s="37" t="str">
        <f>IF($Z579="","",IF($Z579&lt;=2000,"包装物料－"&amp;INDEX(包装物料出入库明细!$H$4:$H$2003,$Z579-0),IF($Z579&lt;=4000,"周转筐－"&amp;INDEX(周转筐出入库明细!$F$4:$F$2004,$Z579-2000),IF($Z579&lt;=5200,"客户自备筐－"&amp;INDEX(客户自备加工筐明细!$J$4:$J$1203,$Z579-4000),IF($Z579&lt;=5800,"次果筐/托盘－"&amp;INDEX(次果筐明细!$F$4:$F$603,$Z579-5200),"")))))</f>
        <v/>
      </c>
      <c r="E579" s="24" t="str">
        <f>IF($Z579="","",IF($Z579&lt;=2000,IF(INDEX(包装物料出入库明细!$C$4:$C$2003,$Z579-0)=0,"",INDEX(包装物料出入库明细!$C$4:$C$2003,$Z579-0)),IF($Z579&lt;=4000,IF(INDEX(周转筐出入库明细!$E$4:$E$2004,$Z579-2000)=0,"",INDEX(周转筐出入库明细!$E$4:$E$2004,$Z579-2000)),IF($Z579&lt;=5200,IF(INDEX(客户自备加工筐明细!$D$4:$D$1203,$Z579-4000)=0,"",INDEX(客户自备加工筐明细!$D$4:$D$1203,$Z579-4000)),IF($Z579&lt;=5800,IF(INDEX(次果筐明细!$E$4:$E$603,$Z579-5200)=0,"",INDEX(次果筐明细!$E$4:$E$603,$Z579-5200)),"")))))</f>
        <v/>
      </c>
      <c r="F579" s="24" t="str">
        <f>IF($Z579="","",IF($Z579&lt;=2000,IF(INDEX(包装物料出入库明细!$E$4:$E$2003,$Z579-0)=0,"",INDEX(包装物料出入库明细!$E$4:$E$2003,$Z579-0)),IF($Z579&lt;=4000,IF(INDEX(周转筐出入库明细!$D$4:$D$2004,$Z579-2000)=0,"",INDEX(周转筐出入库明细!$D$4:$D$2004,$Z579-2000)),IF($Z579&lt;=5200,IF(INDEX(客户自备加工筐明细!$C$4:$C$1203,$Z579-4000)=0,"",INDEX(客户自备加工筐明细!$C$4:$C$1203,$Z579-4000)),IF($Z579&lt;=5800,IF(INDEX(次果筐明细!$D$4:$D$603,$Z579-5200)=0,"",INDEX(次果筐明细!$D$4:$D$603,$Z579-5200)),"")))))</f>
        <v/>
      </c>
      <c r="G579" s="24" t="str">
        <f>IF($Z579="","",IF($Z579&lt;=2000,IF(INDEX(包装物料出入库明细!$F$4:$F$2003,$Z579-0)=0,"",INDEX(包装物料出入库明细!$F$4:$F$2003,$Z579-0)),IF($Z579&lt;=4000,"",IF($Z579&lt;=5200,"",IF($Z579&lt;=5800,"","")))))</f>
        <v/>
      </c>
      <c r="H579" s="39" t="str">
        <f>IF($Z579="","",IF($Z579&lt;=2000,IF(INDEX(包装物料出入库明细!$L$4:$L$2003,$Z579-0)=0,"",INDEX(包装物料出入库明细!$L$4:$L$2003,$Z579-0)),IF($Z579&lt;=4000,N(INDEX(周转筐出入库明细!$H$4:$H$2004,$Z579-2000))+N(INDEX(周转筐出入库明细!$I$4:$I$2004,$Z579-2000))+N(INDEX(周转筐出入库明细!$J$4:$J$2004,$Z579-2000))+N(INDEX(周转筐出入库明细!$K$4:$K$2004,$Z579-2000)),IF($Z579&lt;=5200,N(INDEX(客户自备加工筐明细!$F$4:$F$1203,$Z579-4000))+N(INDEX(客户自备加工筐明细!$G$4:$G$1203,$Z579-4000)),IF($Z579&lt;=5800,IF(INDEX(次果筐明细!$G$4:$G$603,$Z579-5200)=0,"",INDEX(次果筐明细!$G$4:$G$603,$Z579-5200)),"")))))</f>
        <v/>
      </c>
      <c r="I579" s="24" t="str">
        <f>IF($Z579="","",IF($Z579&lt;=2000,IF(INDEX(包装物料出入库明细!$G$4:$G$2003,$Z579-0)=0,"",INDEX(包装物料出入库明细!$G$4:$G$2003,$Z579-0)),IF($Z579&lt;=4000,"个",IF($Z579&lt;=5200,"个",IF($Z579&lt;=5800,"个","")))))</f>
        <v/>
      </c>
      <c r="J579" s="30" t="str">
        <f t="shared" si="25"/>
        <v/>
      </c>
      <c r="K579" s="30" t="str">
        <f>IF($Z579="","",IF($Z579&lt;=2000,IF(INDEX(包装物料出入库明细!$N$4:$N$2003,$Z579-0)=0,"",INDEX(包装物料出入库明细!$N$4:$N$2003,$Z579-0)),IF($Z579&lt;=4000,IF(INDEX(周转筐出入库明细!$P$4:$P$2004,$Z579-2000)=0,"",INDEX(周转筐出入库明细!$P$4:$P$2004,$Z579-2000)),IF($Z579&lt;=5200,"",IF($Z579&lt;=5800,N(INDEX(次果筐明细!$L$4:$L$603,$Z579-5200))+N(INDEX(次果筐明细!$J$4:$J$603,$Z579-5200)),"")))))</f>
        <v/>
      </c>
      <c r="L579" s="24" t="str">
        <f>IF($Z579="","",IF($Z579&lt;=2000,IF(INDEX(包装物料出入库明细!$P$4:$P$2003,$Z579-0)=0,"",INDEX(包装物料出入库明细!$P$4:$P$2003,$Z579-0)),IF($Z579&lt;=4000,IF(INDEX(周转筐出入库明细!$Q$4:$Q$2004,$Z579-2000)=0,"",INDEX(周转筐出入库明细!$Q$4:$Q$2004,$Z579-2000)),IF($Z579&lt;=5200,"",IF($Z579&lt;=5800,IF(INDEX(次果筐明细!$M$4:$M$603,$Z579-5200)=0,"",INDEX(次果筐明细!$M$4:$M$603,$Z579-5200)),"")))))</f>
        <v/>
      </c>
      <c r="M579" s="37" t="str">
        <f>IF($Z579="","",IF($Z579&lt;=2000,IF(INDEX(包装物料出入库明细!$R$4:$R$2003,$Z579-0)=0,"",INDEX(包装物料出入库明细!$R$4:$R$2003,$Z579-0)),IF($Z579&lt;=4000,IF(INDEX(周转筐出入库明细!$W$4:$W$2004,$Z579-2000)=0,"",INDEX(周转筐出入库明细!$W$4:$W$2004,$Z579-2000)),IF($Z579&lt;=5200,IF(INDEX(客户自备加工筐明细!$L$4:$L$1203,$Z579-4000)=0,"",INDEX(客户自备加工筐明细!$L$4:$L$1203,$Z579-4000)),IF($Z579&lt;=5800,IF(INDEX(次果筐明细!$P$4:$P$603,$Z579-5200)=0,"",INDEX(次果筐明细!$P$4:$P$603,$Z579-5200)),"")))))</f>
        <v/>
      </c>
      <c r="N579" s="16" t="str">
        <f>IF($Z579="","",IF($Z579&lt;=2000,"",IF($Z579&lt;=4000,IF(INDEX(周转筐出入库明细!$D$4:$D$2004,$Z579-2000)=0,"",INDEX(周转筐出入库明细!$D$4:$D$2004,$Z579-2000)),IF($Z579&lt;=5200,IF(INDEX(客户自备加工筐明细!$C$4:$C$1203,$Z579-4000)=0,"",INDEX(客户自备加工筐明细!$C$4:$C$1203,$Z579-4000)),IF($Z579&lt;=5800,IF(INDEX(次果筐明细!$D$4:$D$603,$Z579-5200)=0,"",INDEX(次果筐明细!$D$4:$D$603,$Z579-5200)),"")))))</f>
        <v/>
      </c>
      <c r="O579" s="40" t="str">
        <f>IF($Z579="","",IF($Z579&lt;=2000,"",IF($Z579&lt;=4000,IF(N(INDEX(周转筐出入库明细!$J$4:$J$2004,$Z579-2000))+N(INDEX(周转筐出入库明细!$K$4:$K$2004,$Z579-2000))=0,"",N(INDEX(周转筐出入库明细!$J$4:$J$2004,$Z579-2000))+N(INDEX(周转筐出入库明细!$K$4:$K$2004,$Z579-2000))),IF($Z579&lt;=5200,IF(N(INDEX(客户自备加工筐明细!$G$4:$G$1203,$Z579-4000))=0,"",N(INDEX(客户自备加工筐明细!$G$4:$G$1203,$Z579-4000))),IF($Z579&lt;=5800,IF(ISNUMBER(SEARCH("退",INDEX(次果筐明细!$F$4:$F$603,$Z579-5200)&amp;"")),"",IF(N(INDEX(次果筐明细!$G$4:$G$603,$Z579-5200))=0,"",N(INDEX(次果筐明细!$G$4:$G$603,$Z579-5200)))),"")))))</f>
        <v/>
      </c>
      <c r="P579" s="40" t="str">
        <f>IF($Z579="","",IF($Z579&lt;=2000,"",IF($Z579&lt;=4000,IF(N(INDEX(周转筐出入库明细!$I$4:$I$2004,$Z579-2000))=0,"",N(INDEX(周转筐出入库明细!$I$4:$I$2004,$Z579-2000))),IF($Z579&lt;=5200,"",IF($Z579&lt;=5800,IF(ISNUMBER(SEARCH("退",INDEX(次果筐明细!$F$4:$F$603,$Z579-5200)&amp;"")),IF(N(INDEX(次果筐明细!$G$4:$G$603,$Z579-5200))=0,"",N(INDEX(次果筐明细!$G$4:$G$603,$Z579-5200))),""),"")))))</f>
        <v/>
      </c>
      <c r="Q579" s="40" t="str">
        <f>IF($Z579="","",IF($Z579&lt;=2000,"",IF($Z579&lt;=4000,IF(N(INDEX(周转筐出入库明细!$H$4:$H$2004,$Z579-2000))=0,"",N(INDEX(周转筐出入库明细!$H$4:$H$2004,$Z579-2000))),IF($Z579&lt;=5200,IF(N(INDEX(客户自备加工筐明细!$F$4:$F$1203,$Z579-4000))=0,"",N(INDEX(客户自备加工筐明细!$F$4:$F$1203,$Z579-4000))),IF($Z579&lt;=5800,"","")))))</f>
        <v/>
      </c>
      <c r="R579" s="16" t="str">
        <f>IF($Z579="","",IF($Z579&lt;=2000,IF(INDEX(包装物料出入库明细!$O$4:$O$2003,$Z579-0)=0,"",INDEX(包装物料出入库明细!$O$4:$O$2003,$Z579-0)),IF($Z579&lt;=4000,IF(INDEX(周转筐出入库明细!$M$4:$M$2004,$Z579-2000)=0,"",INDEX(周转筐出入库明细!$M$4:$M$2004,$Z579-2000)),IF($Z579&lt;=5200,IF(INDEX(客户自备加工筐明细!$H$4:$H$1203,$Z579-4000)=0,"",INDEX(客户自备加工筐明细!$H$4:$H$1203,$Z579-4000)),IF($Z579&lt;=5800,IF(INDEX(次果筐明细!$H$4:$H$603,$Z579-5200)=0,"",INDEX(次果筐明细!$H$4:$H$603,$Z579-5200)),"")))))</f>
        <v/>
      </c>
      <c r="S579" s="22" t="str">
        <f t="shared" si="26"/>
        <v/>
      </c>
      <c r="Z579" s="10" t="str">
        <f>IFERROR(MATCH(ROW()-3,_自动清单!$CQ$4:$CQ$5803,0),"")</f>
        <v/>
      </c>
    </row>
    <row r="580" spans="1:26">
      <c r="A580" s="24" t="str">
        <f t="shared" ref="A580:A643" si="27">IF($B580="","",ROW()-3)</f>
        <v/>
      </c>
      <c r="B580" s="38" t="str">
        <f>IF($Z580="","",IF($Z580&lt;=2000,IF(INDEX(包装物料出入库明细!$B$4:$B$2003,$Z580-0)=0,"",INDEX(包装物料出入库明细!$B$4:$B$2003,$Z580-0)),IF($Z580&lt;=4000,IF(INDEX(周转筐出入库明细!$B$4:$B$2004,$Z580-2000)=0,"",INDEX(周转筐出入库明细!$B$4:$B$2004,$Z580-2000)),IF($Z580&lt;=5200,IF(INDEX(客户自备加工筐明细!$B$4:$B$1203,$Z580-4000)=0,"",INDEX(客户自备加工筐明细!$B$4:$B$1203,$Z580-4000)),IF($Z580&lt;=5800,IF(INDEX(次果筐明细!$B$4:$B$603,$Z580-5200)=0,"",INDEX(次果筐明细!$B$4:$B$603,$Z580-5200)),"")))))</f>
        <v/>
      </c>
      <c r="C580" s="37" t="str">
        <f>IF($Z580="","",IF($Z580&lt;=2000,IF(INDEX(包装物料出入库明细!$D$4:$D$2003,$Z580-0)=0,"",INDEX(包装物料出入库明细!$D$4:$D$2003,$Z580-0)),IF($Z580&lt;=4000,IF(INDEX(周转筐出入库明细!$C$4:$C$2004,$Z580-2000)=0,"",INDEX(周转筐出入库明细!$C$4:$C$2004,$Z580-2000)),IF($Z580&lt;=5200,IF(INDEX(客户自备加工筐明细!$E$4:$E$1203,$Z580-4000)=0,"",INDEX(客户自备加工筐明细!$E$4:$E$1203,$Z580-4000)),IF($Z580&lt;=5800,IF(INDEX(次果筐明细!$C$4:$C$603,$Z580-5200)=0,"",INDEX(次果筐明细!$C$4:$C$603,$Z580-5200)),"")))))</f>
        <v/>
      </c>
      <c r="D580" s="37" t="str">
        <f>IF($Z580="","",IF($Z580&lt;=2000,"包装物料－"&amp;INDEX(包装物料出入库明细!$H$4:$H$2003,$Z580-0),IF($Z580&lt;=4000,"周转筐－"&amp;INDEX(周转筐出入库明细!$F$4:$F$2004,$Z580-2000),IF($Z580&lt;=5200,"客户自备筐－"&amp;INDEX(客户自备加工筐明细!$J$4:$J$1203,$Z580-4000),IF($Z580&lt;=5800,"次果筐/托盘－"&amp;INDEX(次果筐明细!$F$4:$F$603,$Z580-5200),"")))))</f>
        <v/>
      </c>
      <c r="E580" s="24" t="str">
        <f>IF($Z580="","",IF($Z580&lt;=2000,IF(INDEX(包装物料出入库明细!$C$4:$C$2003,$Z580-0)=0,"",INDEX(包装物料出入库明细!$C$4:$C$2003,$Z580-0)),IF($Z580&lt;=4000,IF(INDEX(周转筐出入库明细!$E$4:$E$2004,$Z580-2000)=0,"",INDEX(周转筐出入库明细!$E$4:$E$2004,$Z580-2000)),IF($Z580&lt;=5200,IF(INDEX(客户自备加工筐明细!$D$4:$D$1203,$Z580-4000)=0,"",INDEX(客户自备加工筐明细!$D$4:$D$1203,$Z580-4000)),IF($Z580&lt;=5800,IF(INDEX(次果筐明细!$E$4:$E$603,$Z580-5200)=0,"",INDEX(次果筐明细!$E$4:$E$603,$Z580-5200)),"")))))</f>
        <v/>
      </c>
      <c r="F580" s="24" t="str">
        <f>IF($Z580="","",IF($Z580&lt;=2000,IF(INDEX(包装物料出入库明细!$E$4:$E$2003,$Z580-0)=0,"",INDEX(包装物料出入库明细!$E$4:$E$2003,$Z580-0)),IF($Z580&lt;=4000,IF(INDEX(周转筐出入库明细!$D$4:$D$2004,$Z580-2000)=0,"",INDEX(周转筐出入库明细!$D$4:$D$2004,$Z580-2000)),IF($Z580&lt;=5200,IF(INDEX(客户自备加工筐明细!$C$4:$C$1203,$Z580-4000)=0,"",INDEX(客户自备加工筐明细!$C$4:$C$1203,$Z580-4000)),IF($Z580&lt;=5800,IF(INDEX(次果筐明细!$D$4:$D$603,$Z580-5200)=0,"",INDEX(次果筐明细!$D$4:$D$603,$Z580-5200)),"")))))</f>
        <v/>
      </c>
      <c r="G580" s="24" t="str">
        <f>IF($Z580="","",IF($Z580&lt;=2000,IF(INDEX(包装物料出入库明细!$F$4:$F$2003,$Z580-0)=0,"",INDEX(包装物料出入库明细!$F$4:$F$2003,$Z580-0)),IF($Z580&lt;=4000,"",IF($Z580&lt;=5200,"",IF($Z580&lt;=5800,"","")))))</f>
        <v/>
      </c>
      <c r="H580" s="39" t="str">
        <f>IF($Z580="","",IF($Z580&lt;=2000,IF(INDEX(包装物料出入库明细!$L$4:$L$2003,$Z580-0)=0,"",INDEX(包装物料出入库明细!$L$4:$L$2003,$Z580-0)),IF($Z580&lt;=4000,N(INDEX(周转筐出入库明细!$H$4:$H$2004,$Z580-2000))+N(INDEX(周转筐出入库明细!$I$4:$I$2004,$Z580-2000))+N(INDEX(周转筐出入库明细!$J$4:$J$2004,$Z580-2000))+N(INDEX(周转筐出入库明细!$K$4:$K$2004,$Z580-2000)),IF($Z580&lt;=5200,N(INDEX(客户自备加工筐明细!$F$4:$F$1203,$Z580-4000))+N(INDEX(客户自备加工筐明细!$G$4:$G$1203,$Z580-4000)),IF($Z580&lt;=5800,IF(INDEX(次果筐明细!$G$4:$G$603,$Z580-5200)=0,"",INDEX(次果筐明细!$G$4:$G$603,$Z580-5200)),"")))))</f>
        <v/>
      </c>
      <c r="I580" s="24" t="str">
        <f>IF($Z580="","",IF($Z580&lt;=2000,IF(INDEX(包装物料出入库明细!$G$4:$G$2003,$Z580-0)=0,"",INDEX(包装物料出入库明细!$G$4:$G$2003,$Z580-0)),IF($Z580&lt;=4000,"个",IF($Z580&lt;=5200,"个",IF($Z580&lt;=5800,"个","")))))</f>
        <v/>
      </c>
      <c r="J580" s="30" t="str">
        <f t="shared" ref="J580:J643" si="28">IF($Z580="","",IF($Z580&lt;=2000,"",IF($Z580&lt;=4000,"",IF($Z580&lt;=5200,"",IF($Z580&lt;=5800,"","")))))</f>
        <v/>
      </c>
      <c r="K580" s="30" t="str">
        <f>IF($Z580="","",IF($Z580&lt;=2000,IF(INDEX(包装物料出入库明细!$N$4:$N$2003,$Z580-0)=0,"",INDEX(包装物料出入库明细!$N$4:$N$2003,$Z580-0)),IF($Z580&lt;=4000,IF(INDEX(周转筐出入库明细!$P$4:$P$2004,$Z580-2000)=0,"",INDEX(周转筐出入库明细!$P$4:$P$2004,$Z580-2000)),IF($Z580&lt;=5200,"",IF($Z580&lt;=5800,N(INDEX(次果筐明细!$L$4:$L$603,$Z580-5200))+N(INDEX(次果筐明细!$J$4:$J$603,$Z580-5200)),"")))))</f>
        <v/>
      </c>
      <c r="L580" s="24" t="str">
        <f>IF($Z580="","",IF($Z580&lt;=2000,IF(INDEX(包装物料出入库明细!$P$4:$P$2003,$Z580-0)=0,"",INDEX(包装物料出入库明细!$P$4:$P$2003,$Z580-0)),IF($Z580&lt;=4000,IF(INDEX(周转筐出入库明细!$Q$4:$Q$2004,$Z580-2000)=0,"",INDEX(周转筐出入库明细!$Q$4:$Q$2004,$Z580-2000)),IF($Z580&lt;=5200,"",IF($Z580&lt;=5800,IF(INDEX(次果筐明细!$M$4:$M$603,$Z580-5200)=0,"",INDEX(次果筐明细!$M$4:$M$603,$Z580-5200)),"")))))</f>
        <v/>
      </c>
      <c r="M580" s="37" t="str">
        <f>IF($Z580="","",IF($Z580&lt;=2000,IF(INDEX(包装物料出入库明细!$R$4:$R$2003,$Z580-0)=0,"",INDEX(包装物料出入库明细!$R$4:$R$2003,$Z580-0)),IF($Z580&lt;=4000,IF(INDEX(周转筐出入库明细!$W$4:$W$2004,$Z580-2000)=0,"",INDEX(周转筐出入库明细!$W$4:$W$2004,$Z580-2000)),IF($Z580&lt;=5200,IF(INDEX(客户自备加工筐明细!$L$4:$L$1203,$Z580-4000)=0,"",INDEX(客户自备加工筐明细!$L$4:$L$1203,$Z580-4000)),IF($Z580&lt;=5800,IF(INDEX(次果筐明细!$P$4:$P$603,$Z580-5200)=0,"",INDEX(次果筐明细!$P$4:$P$603,$Z580-5200)),"")))))</f>
        <v/>
      </c>
      <c r="N580" s="16" t="str">
        <f>IF($Z580="","",IF($Z580&lt;=2000,"",IF($Z580&lt;=4000,IF(INDEX(周转筐出入库明细!$D$4:$D$2004,$Z580-2000)=0,"",INDEX(周转筐出入库明细!$D$4:$D$2004,$Z580-2000)),IF($Z580&lt;=5200,IF(INDEX(客户自备加工筐明细!$C$4:$C$1203,$Z580-4000)=0,"",INDEX(客户自备加工筐明细!$C$4:$C$1203,$Z580-4000)),IF($Z580&lt;=5800,IF(INDEX(次果筐明细!$D$4:$D$603,$Z580-5200)=0,"",INDEX(次果筐明细!$D$4:$D$603,$Z580-5200)),"")))))</f>
        <v/>
      </c>
      <c r="O580" s="40" t="str">
        <f>IF($Z580="","",IF($Z580&lt;=2000,"",IF($Z580&lt;=4000,IF(N(INDEX(周转筐出入库明细!$J$4:$J$2004,$Z580-2000))+N(INDEX(周转筐出入库明细!$K$4:$K$2004,$Z580-2000))=0,"",N(INDEX(周转筐出入库明细!$J$4:$J$2004,$Z580-2000))+N(INDEX(周转筐出入库明细!$K$4:$K$2004,$Z580-2000))),IF($Z580&lt;=5200,IF(N(INDEX(客户自备加工筐明细!$G$4:$G$1203,$Z580-4000))=0,"",N(INDEX(客户自备加工筐明细!$G$4:$G$1203,$Z580-4000))),IF($Z580&lt;=5800,IF(ISNUMBER(SEARCH("退",INDEX(次果筐明细!$F$4:$F$603,$Z580-5200)&amp;"")),"",IF(N(INDEX(次果筐明细!$G$4:$G$603,$Z580-5200))=0,"",N(INDEX(次果筐明细!$G$4:$G$603,$Z580-5200)))),"")))))</f>
        <v/>
      </c>
      <c r="P580" s="40" t="str">
        <f>IF($Z580="","",IF($Z580&lt;=2000,"",IF($Z580&lt;=4000,IF(N(INDEX(周转筐出入库明细!$I$4:$I$2004,$Z580-2000))=0,"",N(INDEX(周转筐出入库明细!$I$4:$I$2004,$Z580-2000))),IF($Z580&lt;=5200,"",IF($Z580&lt;=5800,IF(ISNUMBER(SEARCH("退",INDEX(次果筐明细!$F$4:$F$603,$Z580-5200)&amp;"")),IF(N(INDEX(次果筐明细!$G$4:$G$603,$Z580-5200))=0,"",N(INDEX(次果筐明细!$G$4:$G$603,$Z580-5200))),""),"")))))</f>
        <v/>
      </c>
      <c r="Q580" s="40" t="str">
        <f>IF($Z580="","",IF($Z580&lt;=2000,"",IF($Z580&lt;=4000,IF(N(INDEX(周转筐出入库明细!$H$4:$H$2004,$Z580-2000))=0,"",N(INDEX(周转筐出入库明细!$H$4:$H$2004,$Z580-2000))),IF($Z580&lt;=5200,IF(N(INDEX(客户自备加工筐明细!$F$4:$F$1203,$Z580-4000))=0,"",N(INDEX(客户自备加工筐明细!$F$4:$F$1203,$Z580-4000))),IF($Z580&lt;=5800,"","")))))</f>
        <v/>
      </c>
      <c r="R580" s="16" t="str">
        <f>IF($Z580="","",IF($Z580&lt;=2000,IF(INDEX(包装物料出入库明细!$O$4:$O$2003,$Z580-0)=0,"",INDEX(包装物料出入库明细!$O$4:$O$2003,$Z580-0)),IF($Z580&lt;=4000,IF(INDEX(周转筐出入库明细!$M$4:$M$2004,$Z580-2000)=0,"",INDEX(周转筐出入库明细!$M$4:$M$2004,$Z580-2000)),IF($Z580&lt;=5200,IF(INDEX(客户自备加工筐明细!$H$4:$H$1203,$Z580-4000)=0,"",INDEX(客户自备加工筐明细!$H$4:$H$1203,$Z580-4000)),IF($Z580&lt;=5800,IF(INDEX(次果筐明细!$H$4:$H$603,$Z580-5200)=0,"",INDEX(次果筐明细!$H$4:$H$603,$Z580-5200)),"")))))</f>
        <v/>
      </c>
      <c r="S580" s="22" t="str">
        <f t="shared" ref="S580:S643" si="29">IF($N580="","",IF(OR(LEFT($N580,2)="自备",AND($Z580&gt;4000,$Z580&lt;=5200)),"自备筐","公司筐"))</f>
        <v/>
      </c>
      <c r="Z580" s="10" t="str">
        <f>IFERROR(MATCH(ROW()-3,_自动清单!$CQ$4:$CQ$5803,0),"")</f>
        <v/>
      </c>
    </row>
    <row r="581" spans="1:26">
      <c r="A581" s="24" t="str">
        <f t="shared" si="27"/>
        <v/>
      </c>
      <c r="B581" s="38" t="str">
        <f>IF($Z581="","",IF($Z581&lt;=2000,IF(INDEX(包装物料出入库明细!$B$4:$B$2003,$Z581-0)=0,"",INDEX(包装物料出入库明细!$B$4:$B$2003,$Z581-0)),IF($Z581&lt;=4000,IF(INDEX(周转筐出入库明细!$B$4:$B$2004,$Z581-2000)=0,"",INDEX(周转筐出入库明细!$B$4:$B$2004,$Z581-2000)),IF($Z581&lt;=5200,IF(INDEX(客户自备加工筐明细!$B$4:$B$1203,$Z581-4000)=0,"",INDEX(客户自备加工筐明细!$B$4:$B$1203,$Z581-4000)),IF($Z581&lt;=5800,IF(INDEX(次果筐明细!$B$4:$B$603,$Z581-5200)=0,"",INDEX(次果筐明细!$B$4:$B$603,$Z581-5200)),"")))))</f>
        <v/>
      </c>
      <c r="C581" s="37" t="str">
        <f>IF($Z581="","",IF($Z581&lt;=2000,IF(INDEX(包装物料出入库明细!$D$4:$D$2003,$Z581-0)=0,"",INDEX(包装物料出入库明细!$D$4:$D$2003,$Z581-0)),IF($Z581&lt;=4000,IF(INDEX(周转筐出入库明细!$C$4:$C$2004,$Z581-2000)=0,"",INDEX(周转筐出入库明细!$C$4:$C$2004,$Z581-2000)),IF($Z581&lt;=5200,IF(INDEX(客户自备加工筐明细!$E$4:$E$1203,$Z581-4000)=0,"",INDEX(客户自备加工筐明细!$E$4:$E$1203,$Z581-4000)),IF($Z581&lt;=5800,IF(INDEX(次果筐明细!$C$4:$C$603,$Z581-5200)=0,"",INDEX(次果筐明细!$C$4:$C$603,$Z581-5200)),"")))))</f>
        <v/>
      </c>
      <c r="D581" s="37" t="str">
        <f>IF($Z581="","",IF($Z581&lt;=2000,"包装物料－"&amp;INDEX(包装物料出入库明细!$H$4:$H$2003,$Z581-0),IF($Z581&lt;=4000,"周转筐－"&amp;INDEX(周转筐出入库明细!$F$4:$F$2004,$Z581-2000),IF($Z581&lt;=5200,"客户自备筐－"&amp;INDEX(客户自备加工筐明细!$J$4:$J$1203,$Z581-4000),IF($Z581&lt;=5800,"次果筐/托盘－"&amp;INDEX(次果筐明细!$F$4:$F$603,$Z581-5200),"")))))</f>
        <v/>
      </c>
      <c r="E581" s="24" t="str">
        <f>IF($Z581="","",IF($Z581&lt;=2000,IF(INDEX(包装物料出入库明细!$C$4:$C$2003,$Z581-0)=0,"",INDEX(包装物料出入库明细!$C$4:$C$2003,$Z581-0)),IF($Z581&lt;=4000,IF(INDEX(周转筐出入库明细!$E$4:$E$2004,$Z581-2000)=0,"",INDEX(周转筐出入库明细!$E$4:$E$2004,$Z581-2000)),IF($Z581&lt;=5200,IF(INDEX(客户自备加工筐明细!$D$4:$D$1203,$Z581-4000)=0,"",INDEX(客户自备加工筐明细!$D$4:$D$1203,$Z581-4000)),IF($Z581&lt;=5800,IF(INDEX(次果筐明细!$E$4:$E$603,$Z581-5200)=0,"",INDEX(次果筐明细!$E$4:$E$603,$Z581-5200)),"")))))</f>
        <v/>
      </c>
      <c r="F581" s="24" t="str">
        <f>IF($Z581="","",IF($Z581&lt;=2000,IF(INDEX(包装物料出入库明细!$E$4:$E$2003,$Z581-0)=0,"",INDEX(包装物料出入库明细!$E$4:$E$2003,$Z581-0)),IF($Z581&lt;=4000,IF(INDEX(周转筐出入库明细!$D$4:$D$2004,$Z581-2000)=0,"",INDEX(周转筐出入库明细!$D$4:$D$2004,$Z581-2000)),IF($Z581&lt;=5200,IF(INDEX(客户自备加工筐明细!$C$4:$C$1203,$Z581-4000)=0,"",INDEX(客户自备加工筐明细!$C$4:$C$1203,$Z581-4000)),IF($Z581&lt;=5800,IF(INDEX(次果筐明细!$D$4:$D$603,$Z581-5200)=0,"",INDEX(次果筐明细!$D$4:$D$603,$Z581-5200)),"")))))</f>
        <v/>
      </c>
      <c r="G581" s="24" t="str">
        <f>IF($Z581="","",IF($Z581&lt;=2000,IF(INDEX(包装物料出入库明细!$F$4:$F$2003,$Z581-0)=0,"",INDEX(包装物料出入库明细!$F$4:$F$2003,$Z581-0)),IF($Z581&lt;=4000,"",IF($Z581&lt;=5200,"",IF($Z581&lt;=5800,"","")))))</f>
        <v/>
      </c>
      <c r="H581" s="39" t="str">
        <f>IF($Z581="","",IF($Z581&lt;=2000,IF(INDEX(包装物料出入库明细!$L$4:$L$2003,$Z581-0)=0,"",INDEX(包装物料出入库明细!$L$4:$L$2003,$Z581-0)),IF($Z581&lt;=4000,N(INDEX(周转筐出入库明细!$H$4:$H$2004,$Z581-2000))+N(INDEX(周转筐出入库明细!$I$4:$I$2004,$Z581-2000))+N(INDEX(周转筐出入库明细!$J$4:$J$2004,$Z581-2000))+N(INDEX(周转筐出入库明细!$K$4:$K$2004,$Z581-2000)),IF($Z581&lt;=5200,N(INDEX(客户自备加工筐明细!$F$4:$F$1203,$Z581-4000))+N(INDEX(客户自备加工筐明细!$G$4:$G$1203,$Z581-4000)),IF($Z581&lt;=5800,IF(INDEX(次果筐明细!$G$4:$G$603,$Z581-5200)=0,"",INDEX(次果筐明细!$G$4:$G$603,$Z581-5200)),"")))))</f>
        <v/>
      </c>
      <c r="I581" s="24" t="str">
        <f>IF($Z581="","",IF($Z581&lt;=2000,IF(INDEX(包装物料出入库明细!$G$4:$G$2003,$Z581-0)=0,"",INDEX(包装物料出入库明细!$G$4:$G$2003,$Z581-0)),IF($Z581&lt;=4000,"个",IF($Z581&lt;=5200,"个",IF($Z581&lt;=5800,"个","")))))</f>
        <v/>
      </c>
      <c r="J581" s="30" t="str">
        <f t="shared" si="28"/>
        <v/>
      </c>
      <c r="K581" s="30" t="str">
        <f>IF($Z581="","",IF($Z581&lt;=2000,IF(INDEX(包装物料出入库明细!$N$4:$N$2003,$Z581-0)=0,"",INDEX(包装物料出入库明细!$N$4:$N$2003,$Z581-0)),IF($Z581&lt;=4000,IF(INDEX(周转筐出入库明细!$P$4:$P$2004,$Z581-2000)=0,"",INDEX(周转筐出入库明细!$P$4:$P$2004,$Z581-2000)),IF($Z581&lt;=5200,"",IF($Z581&lt;=5800,N(INDEX(次果筐明细!$L$4:$L$603,$Z581-5200))+N(INDEX(次果筐明细!$J$4:$J$603,$Z581-5200)),"")))))</f>
        <v/>
      </c>
      <c r="L581" s="24" t="str">
        <f>IF($Z581="","",IF($Z581&lt;=2000,IF(INDEX(包装物料出入库明细!$P$4:$P$2003,$Z581-0)=0,"",INDEX(包装物料出入库明细!$P$4:$P$2003,$Z581-0)),IF($Z581&lt;=4000,IF(INDEX(周转筐出入库明细!$Q$4:$Q$2004,$Z581-2000)=0,"",INDEX(周转筐出入库明细!$Q$4:$Q$2004,$Z581-2000)),IF($Z581&lt;=5200,"",IF($Z581&lt;=5800,IF(INDEX(次果筐明细!$M$4:$M$603,$Z581-5200)=0,"",INDEX(次果筐明细!$M$4:$M$603,$Z581-5200)),"")))))</f>
        <v/>
      </c>
      <c r="M581" s="37" t="str">
        <f>IF($Z581="","",IF($Z581&lt;=2000,IF(INDEX(包装物料出入库明细!$R$4:$R$2003,$Z581-0)=0,"",INDEX(包装物料出入库明细!$R$4:$R$2003,$Z581-0)),IF($Z581&lt;=4000,IF(INDEX(周转筐出入库明细!$W$4:$W$2004,$Z581-2000)=0,"",INDEX(周转筐出入库明细!$W$4:$W$2004,$Z581-2000)),IF($Z581&lt;=5200,IF(INDEX(客户自备加工筐明细!$L$4:$L$1203,$Z581-4000)=0,"",INDEX(客户自备加工筐明细!$L$4:$L$1203,$Z581-4000)),IF($Z581&lt;=5800,IF(INDEX(次果筐明细!$P$4:$P$603,$Z581-5200)=0,"",INDEX(次果筐明细!$P$4:$P$603,$Z581-5200)),"")))))</f>
        <v/>
      </c>
      <c r="N581" s="16" t="str">
        <f>IF($Z581="","",IF($Z581&lt;=2000,"",IF($Z581&lt;=4000,IF(INDEX(周转筐出入库明细!$D$4:$D$2004,$Z581-2000)=0,"",INDEX(周转筐出入库明细!$D$4:$D$2004,$Z581-2000)),IF($Z581&lt;=5200,IF(INDEX(客户自备加工筐明细!$C$4:$C$1203,$Z581-4000)=0,"",INDEX(客户自备加工筐明细!$C$4:$C$1203,$Z581-4000)),IF($Z581&lt;=5800,IF(INDEX(次果筐明细!$D$4:$D$603,$Z581-5200)=0,"",INDEX(次果筐明细!$D$4:$D$603,$Z581-5200)),"")))))</f>
        <v/>
      </c>
      <c r="O581" s="40" t="str">
        <f>IF($Z581="","",IF($Z581&lt;=2000,"",IF($Z581&lt;=4000,IF(N(INDEX(周转筐出入库明细!$J$4:$J$2004,$Z581-2000))+N(INDEX(周转筐出入库明细!$K$4:$K$2004,$Z581-2000))=0,"",N(INDEX(周转筐出入库明细!$J$4:$J$2004,$Z581-2000))+N(INDEX(周转筐出入库明细!$K$4:$K$2004,$Z581-2000))),IF($Z581&lt;=5200,IF(N(INDEX(客户自备加工筐明细!$G$4:$G$1203,$Z581-4000))=0,"",N(INDEX(客户自备加工筐明细!$G$4:$G$1203,$Z581-4000))),IF($Z581&lt;=5800,IF(ISNUMBER(SEARCH("退",INDEX(次果筐明细!$F$4:$F$603,$Z581-5200)&amp;"")),"",IF(N(INDEX(次果筐明细!$G$4:$G$603,$Z581-5200))=0,"",N(INDEX(次果筐明细!$G$4:$G$603,$Z581-5200)))),"")))))</f>
        <v/>
      </c>
      <c r="P581" s="40" t="str">
        <f>IF($Z581="","",IF($Z581&lt;=2000,"",IF($Z581&lt;=4000,IF(N(INDEX(周转筐出入库明细!$I$4:$I$2004,$Z581-2000))=0,"",N(INDEX(周转筐出入库明细!$I$4:$I$2004,$Z581-2000))),IF($Z581&lt;=5200,"",IF($Z581&lt;=5800,IF(ISNUMBER(SEARCH("退",INDEX(次果筐明细!$F$4:$F$603,$Z581-5200)&amp;"")),IF(N(INDEX(次果筐明细!$G$4:$G$603,$Z581-5200))=0,"",N(INDEX(次果筐明细!$G$4:$G$603,$Z581-5200))),""),"")))))</f>
        <v/>
      </c>
      <c r="Q581" s="40" t="str">
        <f>IF($Z581="","",IF($Z581&lt;=2000,"",IF($Z581&lt;=4000,IF(N(INDEX(周转筐出入库明细!$H$4:$H$2004,$Z581-2000))=0,"",N(INDEX(周转筐出入库明细!$H$4:$H$2004,$Z581-2000))),IF($Z581&lt;=5200,IF(N(INDEX(客户自备加工筐明细!$F$4:$F$1203,$Z581-4000))=0,"",N(INDEX(客户自备加工筐明细!$F$4:$F$1203,$Z581-4000))),IF($Z581&lt;=5800,"","")))))</f>
        <v/>
      </c>
      <c r="R581" s="16" t="str">
        <f>IF($Z581="","",IF($Z581&lt;=2000,IF(INDEX(包装物料出入库明细!$O$4:$O$2003,$Z581-0)=0,"",INDEX(包装物料出入库明细!$O$4:$O$2003,$Z581-0)),IF($Z581&lt;=4000,IF(INDEX(周转筐出入库明细!$M$4:$M$2004,$Z581-2000)=0,"",INDEX(周转筐出入库明细!$M$4:$M$2004,$Z581-2000)),IF($Z581&lt;=5200,IF(INDEX(客户自备加工筐明细!$H$4:$H$1203,$Z581-4000)=0,"",INDEX(客户自备加工筐明细!$H$4:$H$1203,$Z581-4000)),IF($Z581&lt;=5800,IF(INDEX(次果筐明细!$H$4:$H$603,$Z581-5200)=0,"",INDEX(次果筐明细!$H$4:$H$603,$Z581-5200)),"")))))</f>
        <v/>
      </c>
      <c r="S581" s="22" t="str">
        <f t="shared" si="29"/>
        <v/>
      </c>
      <c r="Z581" s="10" t="str">
        <f>IFERROR(MATCH(ROW()-3,_自动清单!$CQ$4:$CQ$5803,0),"")</f>
        <v/>
      </c>
    </row>
    <row r="582" spans="1:26">
      <c r="A582" s="24" t="str">
        <f t="shared" si="27"/>
        <v/>
      </c>
      <c r="B582" s="38" t="str">
        <f>IF($Z582="","",IF($Z582&lt;=2000,IF(INDEX(包装物料出入库明细!$B$4:$B$2003,$Z582-0)=0,"",INDEX(包装物料出入库明细!$B$4:$B$2003,$Z582-0)),IF($Z582&lt;=4000,IF(INDEX(周转筐出入库明细!$B$4:$B$2004,$Z582-2000)=0,"",INDEX(周转筐出入库明细!$B$4:$B$2004,$Z582-2000)),IF($Z582&lt;=5200,IF(INDEX(客户自备加工筐明细!$B$4:$B$1203,$Z582-4000)=0,"",INDEX(客户自备加工筐明细!$B$4:$B$1203,$Z582-4000)),IF($Z582&lt;=5800,IF(INDEX(次果筐明细!$B$4:$B$603,$Z582-5200)=0,"",INDEX(次果筐明细!$B$4:$B$603,$Z582-5200)),"")))))</f>
        <v/>
      </c>
      <c r="C582" s="37" t="str">
        <f>IF($Z582="","",IF($Z582&lt;=2000,IF(INDEX(包装物料出入库明细!$D$4:$D$2003,$Z582-0)=0,"",INDEX(包装物料出入库明细!$D$4:$D$2003,$Z582-0)),IF($Z582&lt;=4000,IF(INDEX(周转筐出入库明细!$C$4:$C$2004,$Z582-2000)=0,"",INDEX(周转筐出入库明细!$C$4:$C$2004,$Z582-2000)),IF($Z582&lt;=5200,IF(INDEX(客户自备加工筐明细!$E$4:$E$1203,$Z582-4000)=0,"",INDEX(客户自备加工筐明细!$E$4:$E$1203,$Z582-4000)),IF($Z582&lt;=5800,IF(INDEX(次果筐明细!$C$4:$C$603,$Z582-5200)=0,"",INDEX(次果筐明细!$C$4:$C$603,$Z582-5200)),"")))))</f>
        <v/>
      </c>
      <c r="D582" s="37" t="str">
        <f>IF($Z582="","",IF($Z582&lt;=2000,"包装物料－"&amp;INDEX(包装物料出入库明细!$H$4:$H$2003,$Z582-0),IF($Z582&lt;=4000,"周转筐－"&amp;INDEX(周转筐出入库明细!$F$4:$F$2004,$Z582-2000),IF($Z582&lt;=5200,"客户自备筐－"&amp;INDEX(客户自备加工筐明细!$J$4:$J$1203,$Z582-4000),IF($Z582&lt;=5800,"次果筐/托盘－"&amp;INDEX(次果筐明细!$F$4:$F$603,$Z582-5200),"")))))</f>
        <v/>
      </c>
      <c r="E582" s="24" t="str">
        <f>IF($Z582="","",IF($Z582&lt;=2000,IF(INDEX(包装物料出入库明细!$C$4:$C$2003,$Z582-0)=0,"",INDEX(包装物料出入库明细!$C$4:$C$2003,$Z582-0)),IF($Z582&lt;=4000,IF(INDEX(周转筐出入库明细!$E$4:$E$2004,$Z582-2000)=0,"",INDEX(周转筐出入库明细!$E$4:$E$2004,$Z582-2000)),IF($Z582&lt;=5200,IF(INDEX(客户自备加工筐明细!$D$4:$D$1203,$Z582-4000)=0,"",INDEX(客户自备加工筐明细!$D$4:$D$1203,$Z582-4000)),IF($Z582&lt;=5800,IF(INDEX(次果筐明细!$E$4:$E$603,$Z582-5200)=0,"",INDEX(次果筐明细!$E$4:$E$603,$Z582-5200)),"")))))</f>
        <v/>
      </c>
      <c r="F582" s="24" t="str">
        <f>IF($Z582="","",IF($Z582&lt;=2000,IF(INDEX(包装物料出入库明细!$E$4:$E$2003,$Z582-0)=0,"",INDEX(包装物料出入库明细!$E$4:$E$2003,$Z582-0)),IF($Z582&lt;=4000,IF(INDEX(周转筐出入库明细!$D$4:$D$2004,$Z582-2000)=0,"",INDEX(周转筐出入库明细!$D$4:$D$2004,$Z582-2000)),IF($Z582&lt;=5200,IF(INDEX(客户自备加工筐明细!$C$4:$C$1203,$Z582-4000)=0,"",INDEX(客户自备加工筐明细!$C$4:$C$1203,$Z582-4000)),IF($Z582&lt;=5800,IF(INDEX(次果筐明细!$D$4:$D$603,$Z582-5200)=0,"",INDEX(次果筐明细!$D$4:$D$603,$Z582-5200)),"")))))</f>
        <v/>
      </c>
      <c r="G582" s="24" t="str">
        <f>IF($Z582="","",IF($Z582&lt;=2000,IF(INDEX(包装物料出入库明细!$F$4:$F$2003,$Z582-0)=0,"",INDEX(包装物料出入库明细!$F$4:$F$2003,$Z582-0)),IF($Z582&lt;=4000,"",IF($Z582&lt;=5200,"",IF($Z582&lt;=5800,"","")))))</f>
        <v/>
      </c>
      <c r="H582" s="39" t="str">
        <f>IF($Z582="","",IF($Z582&lt;=2000,IF(INDEX(包装物料出入库明细!$L$4:$L$2003,$Z582-0)=0,"",INDEX(包装物料出入库明细!$L$4:$L$2003,$Z582-0)),IF($Z582&lt;=4000,N(INDEX(周转筐出入库明细!$H$4:$H$2004,$Z582-2000))+N(INDEX(周转筐出入库明细!$I$4:$I$2004,$Z582-2000))+N(INDEX(周转筐出入库明细!$J$4:$J$2004,$Z582-2000))+N(INDEX(周转筐出入库明细!$K$4:$K$2004,$Z582-2000)),IF($Z582&lt;=5200,N(INDEX(客户自备加工筐明细!$F$4:$F$1203,$Z582-4000))+N(INDEX(客户自备加工筐明细!$G$4:$G$1203,$Z582-4000)),IF($Z582&lt;=5800,IF(INDEX(次果筐明细!$G$4:$G$603,$Z582-5200)=0,"",INDEX(次果筐明细!$G$4:$G$603,$Z582-5200)),"")))))</f>
        <v/>
      </c>
      <c r="I582" s="24" t="str">
        <f>IF($Z582="","",IF($Z582&lt;=2000,IF(INDEX(包装物料出入库明细!$G$4:$G$2003,$Z582-0)=0,"",INDEX(包装物料出入库明细!$G$4:$G$2003,$Z582-0)),IF($Z582&lt;=4000,"个",IF($Z582&lt;=5200,"个",IF($Z582&lt;=5800,"个","")))))</f>
        <v/>
      </c>
      <c r="J582" s="30" t="str">
        <f t="shared" si="28"/>
        <v/>
      </c>
      <c r="K582" s="30" t="str">
        <f>IF($Z582="","",IF($Z582&lt;=2000,IF(INDEX(包装物料出入库明细!$N$4:$N$2003,$Z582-0)=0,"",INDEX(包装物料出入库明细!$N$4:$N$2003,$Z582-0)),IF($Z582&lt;=4000,IF(INDEX(周转筐出入库明细!$P$4:$P$2004,$Z582-2000)=0,"",INDEX(周转筐出入库明细!$P$4:$P$2004,$Z582-2000)),IF($Z582&lt;=5200,"",IF($Z582&lt;=5800,N(INDEX(次果筐明细!$L$4:$L$603,$Z582-5200))+N(INDEX(次果筐明细!$J$4:$J$603,$Z582-5200)),"")))))</f>
        <v/>
      </c>
      <c r="L582" s="24" t="str">
        <f>IF($Z582="","",IF($Z582&lt;=2000,IF(INDEX(包装物料出入库明细!$P$4:$P$2003,$Z582-0)=0,"",INDEX(包装物料出入库明细!$P$4:$P$2003,$Z582-0)),IF($Z582&lt;=4000,IF(INDEX(周转筐出入库明细!$Q$4:$Q$2004,$Z582-2000)=0,"",INDEX(周转筐出入库明细!$Q$4:$Q$2004,$Z582-2000)),IF($Z582&lt;=5200,"",IF($Z582&lt;=5800,IF(INDEX(次果筐明细!$M$4:$M$603,$Z582-5200)=0,"",INDEX(次果筐明细!$M$4:$M$603,$Z582-5200)),"")))))</f>
        <v/>
      </c>
      <c r="M582" s="37" t="str">
        <f>IF($Z582="","",IF($Z582&lt;=2000,IF(INDEX(包装物料出入库明细!$R$4:$R$2003,$Z582-0)=0,"",INDEX(包装物料出入库明细!$R$4:$R$2003,$Z582-0)),IF($Z582&lt;=4000,IF(INDEX(周转筐出入库明细!$W$4:$W$2004,$Z582-2000)=0,"",INDEX(周转筐出入库明细!$W$4:$W$2004,$Z582-2000)),IF($Z582&lt;=5200,IF(INDEX(客户自备加工筐明细!$L$4:$L$1203,$Z582-4000)=0,"",INDEX(客户自备加工筐明细!$L$4:$L$1203,$Z582-4000)),IF($Z582&lt;=5800,IF(INDEX(次果筐明细!$P$4:$P$603,$Z582-5200)=0,"",INDEX(次果筐明细!$P$4:$P$603,$Z582-5200)),"")))))</f>
        <v/>
      </c>
      <c r="N582" s="16" t="str">
        <f>IF($Z582="","",IF($Z582&lt;=2000,"",IF($Z582&lt;=4000,IF(INDEX(周转筐出入库明细!$D$4:$D$2004,$Z582-2000)=0,"",INDEX(周转筐出入库明细!$D$4:$D$2004,$Z582-2000)),IF($Z582&lt;=5200,IF(INDEX(客户自备加工筐明细!$C$4:$C$1203,$Z582-4000)=0,"",INDEX(客户自备加工筐明细!$C$4:$C$1203,$Z582-4000)),IF($Z582&lt;=5800,IF(INDEX(次果筐明细!$D$4:$D$603,$Z582-5200)=0,"",INDEX(次果筐明细!$D$4:$D$603,$Z582-5200)),"")))))</f>
        <v/>
      </c>
      <c r="O582" s="40" t="str">
        <f>IF($Z582="","",IF($Z582&lt;=2000,"",IF($Z582&lt;=4000,IF(N(INDEX(周转筐出入库明细!$J$4:$J$2004,$Z582-2000))+N(INDEX(周转筐出入库明细!$K$4:$K$2004,$Z582-2000))=0,"",N(INDEX(周转筐出入库明细!$J$4:$J$2004,$Z582-2000))+N(INDEX(周转筐出入库明细!$K$4:$K$2004,$Z582-2000))),IF($Z582&lt;=5200,IF(N(INDEX(客户自备加工筐明细!$G$4:$G$1203,$Z582-4000))=0,"",N(INDEX(客户自备加工筐明细!$G$4:$G$1203,$Z582-4000))),IF($Z582&lt;=5800,IF(ISNUMBER(SEARCH("退",INDEX(次果筐明细!$F$4:$F$603,$Z582-5200)&amp;"")),"",IF(N(INDEX(次果筐明细!$G$4:$G$603,$Z582-5200))=0,"",N(INDEX(次果筐明细!$G$4:$G$603,$Z582-5200)))),"")))))</f>
        <v/>
      </c>
      <c r="P582" s="40" t="str">
        <f>IF($Z582="","",IF($Z582&lt;=2000,"",IF($Z582&lt;=4000,IF(N(INDEX(周转筐出入库明细!$I$4:$I$2004,$Z582-2000))=0,"",N(INDEX(周转筐出入库明细!$I$4:$I$2004,$Z582-2000))),IF($Z582&lt;=5200,"",IF($Z582&lt;=5800,IF(ISNUMBER(SEARCH("退",INDEX(次果筐明细!$F$4:$F$603,$Z582-5200)&amp;"")),IF(N(INDEX(次果筐明细!$G$4:$G$603,$Z582-5200))=0,"",N(INDEX(次果筐明细!$G$4:$G$603,$Z582-5200))),""),"")))))</f>
        <v/>
      </c>
      <c r="Q582" s="40" t="str">
        <f>IF($Z582="","",IF($Z582&lt;=2000,"",IF($Z582&lt;=4000,IF(N(INDEX(周转筐出入库明细!$H$4:$H$2004,$Z582-2000))=0,"",N(INDEX(周转筐出入库明细!$H$4:$H$2004,$Z582-2000))),IF($Z582&lt;=5200,IF(N(INDEX(客户自备加工筐明细!$F$4:$F$1203,$Z582-4000))=0,"",N(INDEX(客户自备加工筐明细!$F$4:$F$1203,$Z582-4000))),IF($Z582&lt;=5800,"","")))))</f>
        <v/>
      </c>
      <c r="R582" s="16" t="str">
        <f>IF($Z582="","",IF($Z582&lt;=2000,IF(INDEX(包装物料出入库明细!$O$4:$O$2003,$Z582-0)=0,"",INDEX(包装物料出入库明细!$O$4:$O$2003,$Z582-0)),IF($Z582&lt;=4000,IF(INDEX(周转筐出入库明细!$M$4:$M$2004,$Z582-2000)=0,"",INDEX(周转筐出入库明细!$M$4:$M$2004,$Z582-2000)),IF($Z582&lt;=5200,IF(INDEX(客户自备加工筐明细!$H$4:$H$1203,$Z582-4000)=0,"",INDEX(客户自备加工筐明细!$H$4:$H$1203,$Z582-4000)),IF($Z582&lt;=5800,IF(INDEX(次果筐明细!$H$4:$H$603,$Z582-5200)=0,"",INDEX(次果筐明细!$H$4:$H$603,$Z582-5200)),"")))))</f>
        <v/>
      </c>
      <c r="S582" s="22" t="str">
        <f t="shared" si="29"/>
        <v/>
      </c>
      <c r="Z582" s="10" t="str">
        <f>IFERROR(MATCH(ROW()-3,_自动清单!$CQ$4:$CQ$5803,0),"")</f>
        <v/>
      </c>
    </row>
    <row r="583" spans="1:26">
      <c r="A583" s="24" t="str">
        <f t="shared" si="27"/>
        <v/>
      </c>
      <c r="B583" s="38" t="str">
        <f>IF($Z583="","",IF($Z583&lt;=2000,IF(INDEX(包装物料出入库明细!$B$4:$B$2003,$Z583-0)=0,"",INDEX(包装物料出入库明细!$B$4:$B$2003,$Z583-0)),IF($Z583&lt;=4000,IF(INDEX(周转筐出入库明细!$B$4:$B$2004,$Z583-2000)=0,"",INDEX(周转筐出入库明细!$B$4:$B$2004,$Z583-2000)),IF($Z583&lt;=5200,IF(INDEX(客户自备加工筐明细!$B$4:$B$1203,$Z583-4000)=0,"",INDEX(客户自备加工筐明细!$B$4:$B$1203,$Z583-4000)),IF($Z583&lt;=5800,IF(INDEX(次果筐明细!$B$4:$B$603,$Z583-5200)=0,"",INDEX(次果筐明细!$B$4:$B$603,$Z583-5200)),"")))))</f>
        <v/>
      </c>
      <c r="C583" s="37" t="str">
        <f>IF($Z583="","",IF($Z583&lt;=2000,IF(INDEX(包装物料出入库明细!$D$4:$D$2003,$Z583-0)=0,"",INDEX(包装物料出入库明细!$D$4:$D$2003,$Z583-0)),IF($Z583&lt;=4000,IF(INDEX(周转筐出入库明细!$C$4:$C$2004,$Z583-2000)=0,"",INDEX(周转筐出入库明细!$C$4:$C$2004,$Z583-2000)),IF($Z583&lt;=5200,IF(INDEX(客户自备加工筐明细!$E$4:$E$1203,$Z583-4000)=0,"",INDEX(客户自备加工筐明细!$E$4:$E$1203,$Z583-4000)),IF($Z583&lt;=5800,IF(INDEX(次果筐明细!$C$4:$C$603,$Z583-5200)=0,"",INDEX(次果筐明细!$C$4:$C$603,$Z583-5200)),"")))))</f>
        <v/>
      </c>
      <c r="D583" s="37" t="str">
        <f>IF($Z583="","",IF($Z583&lt;=2000,"包装物料－"&amp;INDEX(包装物料出入库明细!$H$4:$H$2003,$Z583-0),IF($Z583&lt;=4000,"周转筐－"&amp;INDEX(周转筐出入库明细!$F$4:$F$2004,$Z583-2000),IF($Z583&lt;=5200,"客户自备筐－"&amp;INDEX(客户自备加工筐明细!$J$4:$J$1203,$Z583-4000),IF($Z583&lt;=5800,"次果筐/托盘－"&amp;INDEX(次果筐明细!$F$4:$F$603,$Z583-5200),"")))))</f>
        <v/>
      </c>
      <c r="E583" s="24" t="str">
        <f>IF($Z583="","",IF($Z583&lt;=2000,IF(INDEX(包装物料出入库明细!$C$4:$C$2003,$Z583-0)=0,"",INDEX(包装物料出入库明细!$C$4:$C$2003,$Z583-0)),IF($Z583&lt;=4000,IF(INDEX(周转筐出入库明细!$E$4:$E$2004,$Z583-2000)=0,"",INDEX(周转筐出入库明细!$E$4:$E$2004,$Z583-2000)),IF($Z583&lt;=5200,IF(INDEX(客户自备加工筐明细!$D$4:$D$1203,$Z583-4000)=0,"",INDEX(客户自备加工筐明细!$D$4:$D$1203,$Z583-4000)),IF($Z583&lt;=5800,IF(INDEX(次果筐明细!$E$4:$E$603,$Z583-5200)=0,"",INDEX(次果筐明细!$E$4:$E$603,$Z583-5200)),"")))))</f>
        <v/>
      </c>
      <c r="F583" s="24" t="str">
        <f>IF($Z583="","",IF($Z583&lt;=2000,IF(INDEX(包装物料出入库明细!$E$4:$E$2003,$Z583-0)=0,"",INDEX(包装物料出入库明细!$E$4:$E$2003,$Z583-0)),IF($Z583&lt;=4000,IF(INDEX(周转筐出入库明细!$D$4:$D$2004,$Z583-2000)=0,"",INDEX(周转筐出入库明细!$D$4:$D$2004,$Z583-2000)),IF($Z583&lt;=5200,IF(INDEX(客户自备加工筐明细!$C$4:$C$1203,$Z583-4000)=0,"",INDEX(客户自备加工筐明细!$C$4:$C$1203,$Z583-4000)),IF($Z583&lt;=5800,IF(INDEX(次果筐明细!$D$4:$D$603,$Z583-5200)=0,"",INDEX(次果筐明细!$D$4:$D$603,$Z583-5200)),"")))))</f>
        <v/>
      </c>
      <c r="G583" s="24" t="str">
        <f>IF($Z583="","",IF($Z583&lt;=2000,IF(INDEX(包装物料出入库明细!$F$4:$F$2003,$Z583-0)=0,"",INDEX(包装物料出入库明细!$F$4:$F$2003,$Z583-0)),IF($Z583&lt;=4000,"",IF($Z583&lt;=5200,"",IF($Z583&lt;=5800,"","")))))</f>
        <v/>
      </c>
      <c r="H583" s="39" t="str">
        <f>IF($Z583="","",IF($Z583&lt;=2000,IF(INDEX(包装物料出入库明细!$L$4:$L$2003,$Z583-0)=0,"",INDEX(包装物料出入库明细!$L$4:$L$2003,$Z583-0)),IF($Z583&lt;=4000,N(INDEX(周转筐出入库明细!$H$4:$H$2004,$Z583-2000))+N(INDEX(周转筐出入库明细!$I$4:$I$2004,$Z583-2000))+N(INDEX(周转筐出入库明细!$J$4:$J$2004,$Z583-2000))+N(INDEX(周转筐出入库明细!$K$4:$K$2004,$Z583-2000)),IF($Z583&lt;=5200,N(INDEX(客户自备加工筐明细!$F$4:$F$1203,$Z583-4000))+N(INDEX(客户自备加工筐明细!$G$4:$G$1203,$Z583-4000)),IF($Z583&lt;=5800,IF(INDEX(次果筐明细!$G$4:$G$603,$Z583-5200)=0,"",INDEX(次果筐明细!$G$4:$G$603,$Z583-5200)),"")))))</f>
        <v/>
      </c>
      <c r="I583" s="24" t="str">
        <f>IF($Z583="","",IF($Z583&lt;=2000,IF(INDEX(包装物料出入库明细!$G$4:$G$2003,$Z583-0)=0,"",INDEX(包装物料出入库明细!$G$4:$G$2003,$Z583-0)),IF($Z583&lt;=4000,"个",IF($Z583&lt;=5200,"个",IF($Z583&lt;=5800,"个","")))))</f>
        <v/>
      </c>
      <c r="J583" s="30" t="str">
        <f t="shared" si="28"/>
        <v/>
      </c>
      <c r="K583" s="30" t="str">
        <f>IF($Z583="","",IF($Z583&lt;=2000,IF(INDEX(包装物料出入库明细!$N$4:$N$2003,$Z583-0)=0,"",INDEX(包装物料出入库明细!$N$4:$N$2003,$Z583-0)),IF($Z583&lt;=4000,IF(INDEX(周转筐出入库明细!$P$4:$P$2004,$Z583-2000)=0,"",INDEX(周转筐出入库明细!$P$4:$P$2004,$Z583-2000)),IF($Z583&lt;=5200,"",IF($Z583&lt;=5800,N(INDEX(次果筐明细!$L$4:$L$603,$Z583-5200))+N(INDEX(次果筐明细!$J$4:$J$603,$Z583-5200)),"")))))</f>
        <v/>
      </c>
      <c r="L583" s="24" t="str">
        <f>IF($Z583="","",IF($Z583&lt;=2000,IF(INDEX(包装物料出入库明细!$P$4:$P$2003,$Z583-0)=0,"",INDEX(包装物料出入库明细!$P$4:$P$2003,$Z583-0)),IF($Z583&lt;=4000,IF(INDEX(周转筐出入库明细!$Q$4:$Q$2004,$Z583-2000)=0,"",INDEX(周转筐出入库明细!$Q$4:$Q$2004,$Z583-2000)),IF($Z583&lt;=5200,"",IF($Z583&lt;=5800,IF(INDEX(次果筐明细!$M$4:$M$603,$Z583-5200)=0,"",INDEX(次果筐明细!$M$4:$M$603,$Z583-5200)),"")))))</f>
        <v/>
      </c>
      <c r="M583" s="37" t="str">
        <f>IF($Z583="","",IF($Z583&lt;=2000,IF(INDEX(包装物料出入库明细!$R$4:$R$2003,$Z583-0)=0,"",INDEX(包装物料出入库明细!$R$4:$R$2003,$Z583-0)),IF($Z583&lt;=4000,IF(INDEX(周转筐出入库明细!$W$4:$W$2004,$Z583-2000)=0,"",INDEX(周转筐出入库明细!$W$4:$W$2004,$Z583-2000)),IF($Z583&lt;=5200,IF(INDEX(客户自备加工筐明细!$L$4:$L$1203,$Z583-4000)=0,"",INDEX(客户自备加工筐明细!$L$4:$L$1203,$Z583-4000)),IF($Z583&lt;=5800,IF(INDEX(次果筐明细!$P$4:$P$603,$Z583-5200)=0,"",INDEX(次果筐明细!$P$4:$P$603,$Z583-5200)),"")))))</f>
        <v/>
      </c>
      <c r="N583" s="16" t="str">
        <f>IF($Z583="","",IF($Z583&lt;=2000,"",IF($Z583&lt;=4000,IF(INDEX(周转筐出入库明细!$D$4:$D$2004,$Z583-2000)=0,"",INDEX(周转筐出入库明细!$D$4:$D$2004,$Z583-2000)),IF($Z583&lt;=5200,IF(INDEX(客户自备加工筐明细!$C$4:$C$1203,$Z583-4000)=0,"",INDEX(客户自备加工筐明细!$C$4:$C$1203,$Z583-4000)),IF($Z583&lt;=5800,IF(INDEX(次果筐明细!$D$4:$D$603,$Z583-5200)=0,"",INDEX(次果筐明细!$D$4:$D$603,$Z583-5200)),"")))))</f>
        <v/>
      </c>
      <c r="O583" s="40" t="str">
        <f>IF($Z583="","",IF($Z583&lt;=2000,"",IF($Z583&lt;=4000,IF(N(INDEX(周转筐出入库明细!$J$4:$J$2004,$Z583-2000))+N(INDEX(周转筐出入库明细!$K$4:$K$2004,$Z583-2000))=0,"",N(INDEX(周转筐出入库明细!$J$4:$J$2004,$Z583-2000))+N(INDEX(周转筐出入库明细!$K$4:$K$2004,$Z583-2000))),IF($Z583&lt;=5200,IF(N(INDEX(客户自备加工筐明细!$G$4:$G$1203,$Z583-4000))=0,"",N(INDEX(客户自备加工筐明细!$G$4:$G$1203,$Z583-4000))),IF($Z583&lt;=5800,IF(ISNUMBER(SEARCH("退",INDEX(次果筐明细!$F$4:$F$603,$Z583-5200)&amp;"")),"",IF(N(INDEX(次果筐明细!$G$4:$G$603,$Z583-5200))=0,"",N(INDEX(次果筐明细!$G$4:$G$603,$Z583-5200)))),"")))))</f>
        <v/>
      </c>
      <c r="P583" s="40" t="str">
        <f>IF($Z583="","",IF($Z583&lt;=2000,"",IF($Z583&lt;=4000,IF(N(INDEX(周转筐出入库明细!$I$4:$I$2004,$Z583-2000))=0,"",N(INDEX(周转筐出入库明细!$I$4:$I$2004,$Z583-2000))),IF($Z583&lt;=5200,"",IF($Z583&lt;=5800,IF(ISNUMBER(SEARCH("退",INDEX(次果筐明细!$F$4:$F$603,$Z583-5200)&amp;"")),IF(N(INDEX(次果筐明细!$G$4:$G$603,$Z583-5200))=0,"",N(INDEX(次果筐明细!$G$4:$G$603,$Z583-5200))),""),"")))))</f>
        <v/>
      </c>
      <c r="Q583" s="40" t="str">
        <f>IF($Z583="","",IF($Z583&lt;=2000,"",IF($Z583&lt;=4000,IF(N(INDEX(周转筐出入库明细!$H$4:$H$2004,$Z583-2000))=0,"",N(INDEX(周转筐出入库明细!$H$4:$H$2004,$Z583-2000))),IF($Z583&lt;=5200,IF(N(INDEX(客户自备加工筐明细!$F$4:$F$1203,$Z583-4000))=0,"",N(INDEX(客户自备加工筐明细!$F$4:$F$1203,$Z583-4000))),IF($Z583&lt;=5800,"","")))))</f>
        <v/>
      </c>
      <c r="R583" s="16" t="str">
        <f>IF($Z583="","",IF($Z583&lt;=2000,IF(INDEX(包装物料出入库明细!$O$4:$O$2003,$Z583-0)=0,"",INDEX(包装物料出入库明细!$O$4:$O$2003,$Z583-0)),IF($Z583&lt;=4000,IF(INDEX(周转筐出入库明细!$M$4:$M$2004,$Z583-2000)=0,"",INDEX(周转筐出入库明细!$M$4:$M$2004,$Z583-2000)),IF($Z583&lt;=5200,IF(INDEX(客户自备加工筐明细!$H$4:$H$1203,$Z583-4000)=0,"",INDEX(客户自备加工筐明细!$H$4:$H$1203,$Z583-4000)),IF($Z583&lt;=5800,IF(INDEX(次果筐明细!$H$4:$H$603,$Z583-5200)=0,"",INDEX(次果筐明细!$H$4:$H$603,$Z583-5200)),"")))))</f>
        <v/>
      </c>
      <c r="S583" s="22" t="str">
        <f t="shared" si="29"/>
        <v/>
      </c>
      <c r="Z583" s="10" t="str">
        <f>IFERROR(MATCH(ROW()-3,_自动清单!$CQ$4:$CQ$5803,0),"")</f>
        <v/>
      </c>
    </row>
    <row r="584" spans="1:26">
      <c r="A584" s="24" t="str">
        <f t="shared" si="27"/>
        <v/>
      </c>
      <c r="B584" s="38" t="str">
        <f>IF($Z584="","",IF($Z584&lt;=2000,IF(INDEX(包装物料出入库明细!$B$4:$B$2003,$Z584-0)=0,"",INDEX(包装物料出入库明细!$B$4:$B$2003,$Z584-0)),IF($Z584&lt;=4000,IF(INDEX(周转筐出入库明细!$B$4:$B$2004,$Z584-2000)=0,"",INDEX(周转筐出入库明细!$B$4:$B$2004,$Z584-2000)),IF($Z584&lt;=5200,IF(INDEX(客户自备加工筐明细!$B$4:$B$1203,$Z584-4000)=0,"",INDEX(客户自备加工筐明细!$B$4:$B$1203,$Z584-4000)),IF($Z584&lt;=5800,IF(INDEX(次果筐明细!$B$4:$B$603,$Z584-5200)=0,"",INDEX(次果筐明细!$B$4:$B$603,$Z584-5200)),"")))))</f>
        <v/>
      </c>
      <c r="C584" s="37" t="str">
        <f>IF($Z584="","",IF($Z584&lt;=2000,IF(INDEX(包装物料出入库明细!$D$4:$D$2003,$Z584-0)=0,"",INDEX(包装物料出入库明细!$D$4:$D$2003,$Z584-0)),IF($Z584&lt;=4000,IF(INDEX(周转筐出入库明细!$C$4:$C$2004,$Z584-2000)=0,"",INDEX(周转筐出入库明细!$C$4:$C$2004,$Z584-2000)),IF($Z584&lt;=5200,IF(INDEX(客户自备加工筐明细!$E$4:$E$1203,$Z584-4000)=0,"",INDEX(客户自备加工筐明细!$E$4:$E$1203,$Z584-4000)),IF($Z584&lt;=5800,IF(INDEX(次果筐明细!$C$4:$C$603,$Z584-5200)=0,"",INDEX(次果筐明细!$C$4:$C$603,$Z584-5200)),"")))))</f>
        <v/>
      </c>
      <c r="D584" s="37" t="str">
        <f>IF($Z584="","",IF($Z584&lt;=2000,"包装物料－"&amp;INDEX(包装物料出入库明细!$H$4:$H$2003,$Z584-0),IF($Z584&lt;=4000,"周转筐－"&amp;INDEX(周转筐出入库明细!$F$4:$F$2004,$Z584-2000),IF($Z584&lt;=5200,"客户自备筐－"&amp;INDEX(客户自备加工筐明细!$J$4:$J$1203,$Z584-4000),IF($Z584&lt;=5800,"次果筐/托盘－"&amp;INDEX(次果筐明细!$F$4:$F$603,$Z584-5200),"")))))</f>
        <v/>
      </c>
      <c r="E584" s="24" t="str">
        <f>IF($Z584="","",IF($Z584&lt;=2000,IF(INDEX(包装物料出入库明细!$C$4:$C$2003,$Z584-0)=0,"",INDEX(包装物料出入库明细!$C$4:$C$2003,$Z584-0)),IF($Z584&lt;=4000,IF(INDEX(周转筐出入库明细!$E$4:$E$2004,$Z584-2000)=0,"",INDEX(周转筐出入库明细!$E$4:$E$2004,$Z584-2000)),IF($Z584&lt;=5200,IF(INDEX(客户自备加工筐明细!$D$4:$D$1203,$Z584-4000)=0,"",INDEX(客户自备加工筐明细!$D$4:$D$1203,$Z584-4000)),IF($Z584&lt;=5800,IF(INDEX(次果筐明细!$E$4:$E$603,$Z584-5200)=0,"",INDEX(次果筐明细!$E$4:$E$603,$Z584-5200)),"")))))</f>
        <v/>
      </c>
      <c r="F584" s="24" t="str">
        <f>IF($Z584="","",IF($Z584&lt;=2000,IF(INDEX(包装物料出入库明细!$E$4:$E$2003,$Z584-0)=0,"",INDEX(包装物料出入库明细!$E$4:$E$2003,$Z584-0)),IF($Z584&lt;=4000,IF(INDEX(周转筐出入库明细!$D$4:$D$2004,$Z584-2000)=0,"",INDEX(周转筐出入库明细!$D$4:$D$2004,$Z584-2000)),IF($Z584&lt;=5200,IF(INDEX(客户自备加工筐明细!$C$4:$C$1203,$Z584-4000)=0,"",INDEX(客户自备加工筐明细!$C$4:$C$1203,$Z584-4000)),IF($Z584&lt;=5800,IF(INDEX(次果筐明细!$D$4:$D$603,$Z584-5200)=0,"",INDEX(次果筐明细!$D$4:$D$603,$Z584-5200)),"")))))</f>
        <v/>
      </c>
      <c r="G584" s="24" t="str">
        <f>IF($Z584="","",IF($Z584&lt;=2000,IF(INDEX(包装物料出入库明细!$F$4:$F$2003,$Z584-0)=0,"",INDEX(包装物料出入库明细!$F$4:$F$2003,$Z584-0)),IF($Z584&lt;=4000,"",IF($Z584&lt;=5200,"",IF($Z584&lt;=5800,"","")))))</f>
        <v/>
      </c>
      <c r="H584" s="39" t="str">
        <f>IF($Z584="","",IF($Z584&lt;=2000,IF(INDEX(包装物料出入库明细!$L$4:$L$2003,$Z584-0)=0,"",INDEX(包装物料出入库明细!$L$4:$L$2003,$Z584-0)),IF($Z584&lt;=4000,N(INDEX(周转筐出入库明细!$H$4:$H$2004,$Z584-2000))+N(INDEX(周转筐出入库明细!$I$4:$I$2004,$Z584-2000))+N(INDEX(周转筐出入库明细!$J$4:$J$2004,$Z584-2000))+N(INDEX(周转筐出入库明细!$K$4:$K$2004,$Z584-2000)),IF($Z584&lt;=5200,N(INDEX(客户自备加工筐明细!$F$4:$F$1203,$Z584-4000))+N(INDEX(客户自备加工筐明细!$G$4:$G$1203,$Z584-4000)),IF($Z584&lt;=5800,IF(INDEX(次果筐明细!$G$4:$G$603,$Z584-5200)=0,"",INDEX(次果筐明细!$G$4:$G$603,$Z584-5200)),"")))))</f>
        <v/>
      </c>
      <c r="I584" s="24" t="str">
        <f>IF($Z584="","",IF($Z584&lt;=2000,IF(INDEX(包装物料出入库明细!$G$4:$G$2003,$Z584-0)=0,"",INDEX(包装物料出入库明细!$G$4:$G$2003,$Z584-0)),IF($Z584&lt;=4000,"个",IF($Z584&lt;=5200,"个",IF($Z584&lt;=5800,"个","")))))</f>
        <v/>
      </c>
      <c r="J584" s="30" t="str">
        <f t="shared" si="28"/>
        <v/>
      </c>
      <c r="K584" s="30" t="str">
        <f>IF($Z584="","",IF($Z584&lt;=2000,IF(INDEX(包装物料出入库明细!$N$4:$N$2003,$Z584-0)=0,"",INDEX(包装物料出入库明细!$N$4:$N$2003,$Z584-0)),IF($Z584&lt;=4000,IF(INDEX(周转筐出入库明细!$P$4:$P$2004,$Z584-2000)=0,"",INDEX(周转筐出入库明细!$P$4:$P$2004,$Z584-2000)),IF($Z584&lt;=5200,"",IF($Z584&lt;=5800,N(INDEX(次果筐明细!$L$4:$L$603,$Z584-5200))+N(INDEX(次果筐明细!$J$4:$J$603,$Z584-5200)),"")))))</f>
        <v/>
      </c>
      <c r="L584" s="24" t="str">
        <f>IF($Z584="","",IF($Z584&lt;=2000,IF(INDEX(包装物料出入库明细!$P$4:$P$2003,$Z584-0)=0,"",INDEX(包装物料出入库明细!$P$4:$P$2003,$Z584-0)),IF($Z584&lt;=4000,IF(INDEX(周转筐出入库明细!$Q$4:$Q$2004,$Z584-2000)=0,"",INDEX(周转筐出入库明细!$Q$4:$Q$2004,$Z584-2000)),IF($Z584&lt;=5200,"",IF($Z584&lt;=5800,IF(INDEX(次果筐明细!$M$4:$M$603,$Z584-5200)=0,"",INDEX(次果筐明细!$M$4:$M$603,$Z584-5200)),"")))))</f>
        <v/>
      </c>
      <c r="M584" s="37" t="str">
        <f>IF($Z584="","",IF($Z584&lt;=2000,IF(INDEX(包装物料出入库明细!$R$4:$R$2003,$Z584-0)=0,"",INDEX(包装物料出入库明细!$R$4:$R$2003,$Z584-0)),IF($Z584&lt;=4000,IF(INDEX(周转筐出入库明细!$W$4:$W$2004,$Z584-2000)=0,"",INDEX(周转筐出入库明细!$W$4:$W$2004,$Z584-2000)),IF($Z584&lt;=5200,IF(INDEX(客户自备加工筐明细!$L$4:$L$1203,$Z584-4000)=0,"",INDEX(客户自备加工筐明细!$L$4:$L$1203,$Z584-4000)),IF($Z584&lt;=5800,IF(INDEX(次果筐明细!$P$4:$P$603,$Z584-5200)=0,"",INDEX(次果筐明细!$P$4:$P$603,$Z584-5200)),"")))))</f>
        <v/>
      </c>
      <c r="N584" s="16" t="str">
        <f>IF($Z584="","",IF($Z584&lt;=2000,"",IF($Z584&lt;=4000,IF(INDEX(周转筐出入库明细!$D$4:$D$2004,$Z584-2000)=0,"",INDEX(周转筐出入库明细!$D$4:$D$2004,$Z584-2000)),IF($Z584&lt;=5200,IF(INDEX(客户自备加工筐明细!$C$4:$C$1203,$Z584-4000)=0,"",INDEX(客户自备加工筐明细!$C$4:$C$1203,$Z584-4000)),IF($Z584&lt;=5800,IF(INDEX(次果筐明细!$D$4:$D$603,$Z584-5200)=0,"",INDEX(次果筐明细!$D$4:$D$603,$Z584-5200)),"")))))</f>
        <v/>
      </c>
      <c r="O584" s="40" t="str">
        <f>IF($Z584="","",IF($Z584&lt;=2000,"",IF($Z584&lt;=4000,IF(N(INDEX(周转筐出入库明细!$J$4:$J$2004,$Z584-2000))+N(INDEX(周转筐出入库明细!$K$4:$K$2004,$Z584-2000))=0,"",N(INDEX(周转筐出入库明细!$J$4:$J$2004,$Z584-2000))+N(INDEX(周转筐出入库明细!$K$4:$K$2004,$Z584-2000))),IF($Z584&lt;=5200,IF(N(INDEX(客户自备加工筐明细!$G$4:$G$1203,$Z584-4000))=0,"",N(INDEX(客户自备加工筐明细!$G$4:$G$1203,$Z584-4000))),IF($Z584&lt;=5800,IF(ISNUMBER(SEARCH("退",INDEX(次果筐明细!$F$4:$F$603,$Z584-5200)&amp;"")),"",IF(N(INDEX(次果筐明细!$G$4:$G$603,$Z584-5200))=0,"",N(INDEX(次果筐明细!$G$4:$G$603,$Z584-5200)))),"")))))</f>
        <v/>
      </c>
      <c r="P584" s="40" t="str">
        <f>IF($Z584="","",IF($Z584&lt;=2000,"",IF($Z584&lt;=4000,IF(N(INDEX(周转筐出入库明细!$I$4:$I$2004,$Z584-2000))=0,"",N(INDEX(周转筐出入库明细!$I$4:$I$2004,$Z584-2000))),IF($Z584&lt;=5200,"",IF($Z584&lt;=5800,IF(ISNUMBER(SEARCH("退",INDEX(次果筐明细!$F$4:$F$603,$Z584-5200)&amp;"")),IF(N(INDEX(次果筐明细!$G$4:$G$603,$Z584-5200))=0,"",N(INDEX(次果筐明细!$G$4:$G$603,$Z584-5200))),""),"")))))</f>
        <v/>
      </c>
      <c r="Q584" s="40" t="str">
        <f>IF($Z584="","",IF($Z584&lt;=2000,"",IF($Z584&lt;=4000,IF(N(INDEX(周转筐出入库明细!$H$4:$H$2004,$Z584-2000))=0,"",N(INDEX(周转筐出入库明细!$H$4:$H$2004,$Z584-2000))),IF($Z584&lt;=5200,IF(N(INDEX(客户自备加工筐明细!$F$4:$F$1203,$Z584-4000))=0,"",N(INDEX(客户自备加工筐明细!$F$4:$F$1203,$Z584-4000))),IF($Z584&lt;=5800,"","")))))</f>
        <v/>
      </c>
      <c r="R584" s="16" t="str">
        <f>IF($Z584="","",IF($Z584&lt;=2000,IF(INDEX(包装物料出入库明细!$O$4:$O$2003,$Z584-0)=0,"",INDEX(包装物料出入库明细!$O$4:$O$2003,$Z584-0)),IF($Z584&lt;=4000,IF(INDEX(周转筐出入库明细!$M$4:$M$2004,$Z584-2000)=0,"",INDEX(周转筐出入库明细!$M$4:$M$2004,$Z584-2000)),IF($Z584&lt;=5200,IF(INDEX(客户自备加工筐明细!$H$4:$H$1203,$Z584-4000)=0,"",INDEX(客户自备加工筐明细!$H$4:$H$1203,$Z584-4000)),IF($Z584&lt;=5800,IF(INDEX(次果筐明细!$H$4:$H$603,$Z584-5200)=0,"",INDEX(次果筐明细!$H$4:$H$603,$Z584-5200)),"")))))</f>
        <v/>
      </c>
      <c r="S584" s="22" t="str">
        <f t="shared" si="29"/>
        <v/>
      </c>
      <c r="Z584" s="10" t="str">
        <f>IFERROR(MATCH(ROW()-3,_自动清单!$CQ$4:$CQ$5803,0),"")</f>
        <v/>
      </c>
    </row>
    <row r="585" spans="1:26">
      <c r="A585" s="24" t="str">
        <f t="shared" si="27"/>
        <v/>
      </c>
      <c r="B585" s="38" t="str">
        <f>IF($Z585="","",IF($Z585&lt;=2000,IF(INDEX(包装物料出入库明细!$B$4:$B$2003,$Z585-0)=0,"",INDEX(包装物料出入库明细!$B$4:$B$2003,$Z585-0)),IF($Z585&lt;=4000,IF(INDEX(周转筐出入库明细!$B$4:$B$2004,$Z585-2000)=0,"",INDEX(周转筐出入库明细!$B$4:$B$2004,$Z585-2000)),IF($Z585&lt;=5200,IF(INDEX(客户自备加工筐明细!$B$4:$B$1203,$Z585-4000)=0,"",INDEX(客户自备加工筐明细!$B$4:$B$1203,$Z585-4000)),IF($Z585&lt;=5800,IF(INDEX(次果筐明细!$B$4:$B$603,$Z585-5200)=0,"",INDEX(次果筐明细!$B$4:$B$603,$Z585-5200)),"")))))</f>
        <v/>
      </c>
      <c r="C585" s="37" t="str">
        <f>IF($Z585="","",IF($Z585&lt;=2000,IF(INDEX(包装物料出入库明细!$D$4:$D$2003,$Z585-0)=0,"",INDEX(包装物料出入库明细!$D$4:$D$2003,$Z585-0)),IF($Z585&lt;=4000,IF(INDEX(周转筐出入库明细!$C$4:$C$2004,$Z585-2000)=0,"",INDEX(周转筐出入库明细!$C$4:$C$2004,$Z585-2000)),IF($Z585&lt;=5200,IF(INDEX(客户自备加工筐明细!$E$4:$E$1203,$Z585-4000)=0,"",INDEX(客户自备加工筐明细!$E$4:$E$1203,$Z585-4000)),IF($Z585&lt;=5800,IF(INDEX(次果筐明细!$C$4:$C$603,$Z585-5200)=0,"",INDEX(次果筐明细!$C$4:$C$603,$Z585-5200)),"")))))</f>
        <v/>
      </c>
      <c r="D585" s="37" t="str">
        <f>IF($Z585="","",IF($Z585&lt;=2000,"包装物料－"&amp;INDEX(包装物料出入库明细!$H$4:$H$2003,$Z585-0),IF($Z585&lt;=4000,"周转筐－"&amp;INDEX(周转筐出入库明细!$F$4:$F$2004,$Z585-2000),IF($Z585&lt;=5200,"客户自备筐－"&amp;INDEX(客户自备加工筐明细!$J$4:$J$1203,$Z585-4000),IF($Z585&lt;=5800,"次果筐/托盘－"&amp;INDEX(次果筐明细!$F$4:$F$603,$Z585-5200),"")))))</f>
        <v/>
      </c>
      <c r="E585" s="24" t="str">
        <f>IF($Z585="","",IF($Z585&lt;=2000,IF(INDEX(包装物料出入库明细!$C$4:$C$2003,$Z585-0)=0,"",INDEX(包装物料出入库明细!$C$4:$C$2003,$Z585-0)),IF($Z585&lt;=4000,IF(INDEX(周转筐出入库明细!$E$4:$E$2004,$Z585-2000)=0,"",INDEX(周转筐出入库明细!$E$4:$E$2004,$Z585-2000)),IF($Z585&lt;=5200,IF(INDEX(客户自备加工筐明细!$D$4:$D$1203,$Z585-4000)=0,"",INDEX(客户自备加工筐明细!$D$4:$D$1203,$Z585-4000)),IF($Z585&lt;=5800,IF(INDEX(次果筐明细!$E$4:$E$603,$Z585-5200)=0,"",INDEX(次果筐明细!$E$4:$E$603,$Z585-5200)),"")))))</f>
        <v/>
      </c>
      <c r="F585" s="24" t="str">
        <f>IF($Z585="","",IF($Z585&lt;=2000,IF(INDEX(包装物料出入库明细!$E$4:$E$2003,$Z585-0)=0,"",INDEX(包装物料出入库明细!$E$4:$E$2003,$Z585-0)),IF($Z585&lt;=4000,IF(INDEX(周转筐出入库明细!$D$4:$D$2004,$Z585-2000)=0,"",INDEX(周转筐出入库明细!$D$4:$D$2004,$Z585-2000)),IF($Z585&lt;=5200,IF(INDEX(客户自备加工筐明细!$C$4:$C$1203,$Z585-4000)=0,"",INDEX(客户自备加工筐明细!$C$4:$C$1203,$Z585-4000)),IF($Z585&lt;=5800,IF(INDEX(次果筐明细!$D$4:$D$603,$Z585-5200)=0,"",INDEX(次果筐明细!$D$4:$D$603,$Z585-5200)),"")))))</f>
        <v/>
      </c>
      <c r="G585" s="24" t="str">
        <f>IF($Z585="","",IF($Z585&lt;=2000,IF(INDEX(包装物料出入库明细!$F$4:$F$2003,$Z585-0)=0,"",INDEX(包装物料出入库明细!$F$4:$F$2003,$Z585-0)),IF($Z585&lt;=4000,"",IF($Z585&lt;=5200,"",IF($Z585&lt;=5800,"","")))))</f>
        <v/>
      </c>
      <c r="H585" s="39" t="str">
        <f>IF($Z585="","",IF($Z585&lt;=2000,IF(INDEX(包装物料出入库明细!$L$4:$L$2003,$Z585-0)=0,"",INDEX(包装物料出入库明细!$L$4:$L$2003,$Z585-0)),IF($Z585&lt;=4000,N(INDEX(周转筐出入库明细!$H$4:$H$2004,$Z585-2000))+N(INDEX(周转筐出入库明细!$I$4:$I$2004,$Z585-2000))+N(INDEX(周转筐出入库明细!$J$4:$J$2004,$Z585-2000))+N(INDEX(周转筐出入库明细!$K$4:$K$2004,$Z585-2000)),IF($Z585&lt;=5200,N(INDEX(客户自备加工筐明细!$F$4:$F$1203,$Z585-4000))+N(INDEX(客户自备加工筐明细!$G$4:$G$1203,$Z585-4000)),IF($Z585&lt;=5800,IF(INDEX(次果筐明细!$G$4:$G$603,$Z585-5200)=0,"",INDEX(次果筐明细!$G$4:$G$603,$Z585-5200)),"")))))</f>
        <v/>
      </c>
      <c r="I585" s="24" t="str">
        <f>IF($Z585="","",IF($Z585&lt;=2000,IF(INDEX(包装物料出入库明细!$G$4:$G$2003,$Z585-0)=0,"",INDEX(包装物料出入库明细!$G$4:$G$2003,$Z585-0)),IF($Z585&lt;=4000,"个",IF($Z585&lt;=5200,"个",IF($Z585&lt;=5800,"个","")))))</f>
        <v/>
      </c>
      <c r="J585" s="30" t="str">
        <f t="shared" si="28"/>
        <v/>
      </c>
      <c r="K585" s="30" t="str">
        <f>IF($Z585="","",IF($Z585&lt;=2000,IF(INDEX(包装物料出入库明细!$N$4:$N$2003,$Z585-0)=0,"",INDEX(包装物料出入库明细!$N$4:$N$2003,$Z585-0)),IF($Z585&lt;=4000,IF(INDEX(周转筐出入库明细!$P$4:$P$2004,$Z585-2000)=0,"",INDEX(周转筐出入库明细!$P$4:$P$2004,$Z585-2000)),IF($Z585&lt;=5200,"",IF($Z585&lt;=5800,N(INDEX(次果筐明细!$L$4:$L$603,$Z585-5200))+N(INDEX(次果筐明细!$J$4:$J$603,$Z585-5200)),"")))))</f>
        <v/>
      </c>
      <c r="L585" s="24" t="str">
        <f>IF($Z585="","",IF($Z585&lt;=2000,IF(INDEX(包装物料出入库明细!$P$4:$P$2003,$Z585-0)=0,"",INDEX(包装物料出入库明细!$P$4:$P$2003,$Z585-0)),IF($Z585&lt;=4000,IF(INDEX(周转筐出入库明细!$Q$4:$Q$2004,$Z585-2000)=0,"",INDEX(周转筐出入库明细!$Q$4:$Q$2004,$Z585-2000)),IF($Z585&lt;=5200,"",IF($Z585&lt;=5800,IF(INDEX(次果筐明细!$M$4:$M$603,$Z585-5200)=0,"",INDEX(次果筐明细!$M$4:$M$603,$Z585-5200)),"")))))</f>
        <v/>
      </c>
      <c r="M585" s="37" t="str">
        <f>IF($Z585="","",IF($Z585&lt;=2000,IF(INDEX(包装物料出入库明细!$R$4:$R$2003,$Z585-0)=0,"",INDEX(包装物料出入库明细!$R$4:$R$2003,$Z585-0)),IF($Z585&lt;=4000,IF(INDEX(周转筐出入库明细!$W$4:$W$2004,$Z585-2000)=0,"",INDEX(周转筐出入库明细!$W$4:$W$2004,$Z585-2000)),IF($Z585&lt;=5200,IF(INDEX(客户自备加工筐明细!$L$4:$L$1203,$Z585-4000)=0,"",INDEX(客户自备加工筐明细!$L$4:$L$1203,$Z585-4000)),IF($Z585&lt;=5800,IF(INDEX(次果筐明细!$P$4:$P$603,$Z585-5200)=0,"",INDEX(次果筐明细!$P$4:$P$603,$Z585-5200)),"")))))</f>
        <v/>
      </c>
      <c r="N585" s="16" t="str">
        <f>IF($Z585="","",IF($Z585&lt;=2000,"",IF($Z585&lt;=4000,IF(INDEX(周转筐出入库明细!$D$4:$D$2004,$Z585-2000)=0,"",INDEX(周转筐出入库明细!$D$4:$D$2004,$Z585-2000)),IF($Z585&lt;=5200,IF(INDEX(客户自备加工筐明细!$C$4:$C$1203,$Z585-4000)=0,"",INDEX(客户自备加工筐明细!$C$4:$C$1203,$Z585-4000)),IF($Z585&lt;=5800,IF(INDEX(次果筐明细!$D$4:$D$603,$Z585-5200)=0,"",INDEX(次果筐明细!$D$4:$D$603,$Z585-5200)),"")))))</f>
        <v/>
      </c>
      <c r="O585" s="40" t="str">
        <f>IF($Z585="","",IF($Z585&lt;=2000,"",IF($Z585&lt;=4000,IF(N(INDEX(周转筐出入库明细!$J$4:$J$2004,$Z585-2000))+N(INDEX(周转筐出入库明细!$K$4:$K$2004,$Z585-2000))=0,"",N(INDEX(周转筐出入库明细!$J$4:$J$2004,$Z585-2000))+N(INDEX(周转筐出入库明细!$K$4:$K$2004,$Z585-2000))),IF($Z585&lt;=5200,IF(N(INDEX(客户自备加工筐明细!$G$4:$G$1203,$Z585-4000))=0,"",N(INDEX(客户自备加工筐明细!$G$4:$G$1203,$Z585-4000))),IF($Z585&lt;=5800,IF(ISNUMBER(SEARCH("退",INDEX(次果筐明细!$F$4:$F$603,$Z585-5200)&amp;"")),"",IF(N(INDEX(次果筐明细!$G$4:$G$603,$Z585-5200))=0,"",N(INDEX(次果筐明细!$G$4:$G$603,$Z585-5200)))),"")))))</f>
        <v/>
      </c>
      <c r="P585" s="40" t="str">
        <f>IF($Z585="","",IF($Z585&lt;=2000,"",IF($Z585&lt;=4000,IF(N(INDEX(周转筐出入库明细!$I$4:$I$2004,$Z585-2000))=0,"",N(INDEX(周转筐出入库明细!$I$4:$I$2004,$Z585-2000))),IF($Z585&lt;=5200,"",IF($Z585&lt;=5800,IF(ISNUMBER(SEARCH("退",INDEX(次果筐明细!$F$4:$F$603,$Z585-5200)&amp;"")),IF(N(INDEX(次果筐明细!$G$4:$G$603,$Z585-5200))=0,"",N(INDEX(次果筐明细!$G$4:$G$603,$Z585-5200))),""),"")))))</f>
        <v/>
      </c>
      <c r="Q585" s="40" t="str">
        <f>IF($Z585="","",IF($Z585&lt;=2000,"",IF($Z585&lt;=4000,IF(N(INDEX(周转筐出入库明细!$H$4:$H$2004,$Z585-2000))=0,"",N(INDEX(周转筐出入库明细!$H$4:$H$2004,$Z585-2000))),IF($Z585&lt;=5200,IF(N(INDEX(客户自备加工筐明细!$F$4:$F$1203,$Z585-4000))=0,"",N(INDEX(客户自备加工筐明细!$F$4:$F$1203,$Z585-4000))),IF($Z585&lt;=5800,"","")))))</f>
        <v/>
      </c>
      <c r="R585" s="16" t="str">
        <f>IF($Z585="","",IF($Z585&lt;=2000,IF(INDEX(包装物料出入库明细!$O$4:$O$2003,$Z585-0)=0,"",INDEX(包装物料出入库明细!$O$4:$O$2003,$Z585-0)),IF($Z585&lt;=4000,IF(INDEX(周转筐出入库明细!$M$4:$M$2004,$Z585-2000)=0,"",INDEX(周转筐出入库明细!$M$4:$M$2004,$Z585-2000)),IF($Z585&lt;=5200,IF(INDEX(客户自备加工筐明细!$H$4:$H$1203,$Z585-4000)=0,"",INDEX(客户自备加工筐明细!$H$4:$H$1203,$Z585-4000)),IF($Z585&lt;=5800,IF(INDEX(次果筐明细!$H$4:$H$603,$Z585-5200)=0,"",INDEX(次果筐明细!$H$4:$H$603,$Z585-5200)),"")))))</f>
        <v/>
      </c>
      <c r="S585" s="22" t="str">
        <f t="shared" si="29"/>
        <v/>
      </c>
      <c r="Z585" s="10" t="str">
        <f>IFERROR(MATCH(ROW()-3,_自动清单!$CQ$4:$CQ$5803,0),"")</f>
        <v/>
      </c>
    </row>
    <row r="586" spans="1:26">
      <c r="A586" s="24" t="str">
        <f t="shared" si="27"/>
        <v/>
      </c>
      <c r="B586" s="38" t="str">
        <f>IF($Z586="","",IF($Z586&lt;=2000,IF(INDEX(包装物料出入库明细!$B$4:$B$2003,$Z586-0)=0,"",INDEX(包装物料出入库明细!$B$4:$B$2003,$Z586-0)),IF($Z586&lt;=4000,IF(INDEX(周转筐出入库明细!$B$4:$B$2004,$Z586-2000)=0,"",INDEX(周转筐出入库明细!$B$4:$B$2004,$Z586-2000)),IF($Z586&lt;=5200,IF(INDEX(客户自备加工筐明细!$B$4:$B$1203,$Z586-4000)=0,"",INDEX(客户自备加工筐明细!$B$4:$B$1203,$Z586-4000)),IF($Z586&lt;=5800,IF(INDEX(次果筐明细!$B$4:$B$603,$Z586-5200)=0,"",INDEX(次果筐明细!$B$4:$B$603,$Z586-5200)),"")))))</f>
        <v/>
      </c>
      <c r="C586" s="37" t="str">
        <f>IF($Z586="","",IF($Z586&lt;=2000,IF(INDEX(包装物料出入库明细!$D$4:$D$2003,$Z586-0)=0,"",INDEX(包装物料出入库明细!$D$4:$D$2003,$Z586-0)),IF($Z586&lt;=4000,IF(INDEX(周转筐出入库明细!$C$4:$C$2004,$Z586-2000)=0,"",INDEX(周转筐出入库明细!$C$4:$C$2004,$Z586-2000)),IF($Z586&lt;=5200,IF(INDEX(客户自备加工筐明细!$E$4:$E$1203,$Z586-4000)=0,"",INDEX(客户自备加工筐明细!$E$4:$E$1203,$Z586-4000)),IF($Z586&lt;=5800,IF(INDEX(次果筐明细!$C$4:$C$603,$Z586-5200)=0,"",INDEX(次果筐明细!$C$4:$C$603,$Z586-5200)),"")))))</f>
        <v/>
      </c>
      <c r="D586" s="37" t="str">
        <f>IF($Z586="","",IF($Z586&lt;=2000,"包装物料－"&amp;INDEX(包装物料出入库明细!$H$4:$H$2003,$Z586-0),IF($Z586&lt;=4000,"周转筐－"&amp;INDEX(周转筐出入库明细!$F$4:$F$2004,$Z586-2000),IF($Z586&lt;=5200,"客户自备筐－"&amp;INDEX(客户自备加工筐明细!$J$4:$J$1203,$Z586-4000),IF($Z586&lt;=5800,"次果筐/托盘－"&amp;INDEX(次果筐明细!$F$4:$F$603,$Z586-5200),"")))))</f>
        <v/>
      </c>
      <c r="E586" s="24" t="str">
        <f>IF($Z586="","",IF($Z586&lt;=2000,IF(INDEX(包装物料出入库明细!$C$4:$C$2003,$Z586-0)=0,"",INDEX(包装物料出入库明细!$C$4:$C$2003,$Z586-0)),IF($Z586&lt;=4000,IF(INDEX(周转筐出入库明细!$E$4:$E$2004,$Z586-2000)=0,"",INDEX(周转筐出入库明细!$E$4:$E$2004,$Z586-2000)),IF($Z586&lt;=5200,IF(INDEX(客户自备加工筐明细!$D$4:$D$1203,$Z586-4000)=0,"",INDEX(客户自备加工筐明细!$D$4:$D$1203,$Z586-4000)),IF($Z586&lt;=5800,IF(INDEX(次果筐明细!$E$4:$E$603,$Z586-5200)=0,"",INDEX(次果筐明细!$E$4:$E$603,$Z586-5200)),"")))))</f>
        <v/>
      </c>
      <c r="F586" s="24" t="str">
        <f>IF($Z586="","",IF($Z586&lt;=2000,IF(INDEX(包装物料出入库明细!$E$4:$E$2003,$Z586-0)=0,"",INDEX(包装物料出入库明细!$E$4:$E$2003,$Z586-0)),IF($Z586&lt;=4000,IF(INDEX(周转筐出入库明细!$D$4:$D$2004,$Z586-2000)=0,"",INDEX(周转筐出入库明细!$D$4:$D$2004,$Z586-2000)),IF($Z586&lt;=5200,IF(INDEX(客户自备加工筐明细!$C$4:$C$1203,$Z586-4000)=0,"",INDEX(客户自备加工筐明细!$C$4:$C$1203,$Z586-4000)),IF($Z586&lt;=5800,IF(INDEX(次果筐明细!$D$4:$D$603,$Z586-5200)=0,"",INDEX(次果筐明细!$D$4:$D$603,$Z586-5200)),"")))))</f>
        <v/>
      </c>
      <c r="G586" s="24" t="str">
        <f>IF($Z586="","",IF($Z586&lt;=2000,IF(INDEX(包装物料出入库明细!$F$4:$F$2003,$Z586-0)=0,"",INDEX(包装物料出入库明细!$F$4:$F$2003,$Z586-0)),IF($Z586&lt;=4000,"",IF($Z586&lt;=5200,"",IF($Z586&lt;=5800,"","")))))</f>
        <v/>
      </c>
      <c r="H586" s="39" t="str">
        <f>IF($Z586="","",IF($Z586&lt;=2000,IF(INDEX(包装物料出入库明细!$L$4:$L$2003,$Z586-0)=0,"",INDEX(包装物料出入库明细!$L$4:$L$2003,$Z586-0)),IF($Z586&lt;=4000,N(INDEX(周转筐出入库明细!$H$4:$H$2004,$Z586-2000))+N(INDEX(周转筐出入库明细!$I$4:$I$2004,$Z586-2000))+N(INDEX(周转筐出入库明细!$J$4:$J$2004,$Z586-2000))+N(INDEX(周转筐出入库明细!$K$4:$K$2004,$Z586-2000)),IF($Z586&lt;=5200,N(INDEX(客户自备加工筐明细!$F$4:$F$1203,$Z586-4000))+N(INDEX(客户自备加工筐明细!$G$4:$G$1203,$Z586-4000)),IF($Z586&lt;=5800,IF(INDEX(次果筐明细!$G$4:$G$603,$Z586-5200)=0,"",INDEX(次果筐明细!$G$4:$G$603,$Z586-5200)),"")))))</f>
        <v/>
      </c>
      <c r="I586" s="24" t="str">
        <f>IF($Z586="","",IF($Z586&lt;=2000,IF(INDEX(包装物料出入库明细!$G$4:$G$2003,$Z586-0)=0,"",INDEX(包装物料出入库明细!$G$4:$G$2003,$Z586-0)),IF($Z586&lt;=4000,"个",IF($Z586&lt;=5200,"个",IF($Z586&lt;=5800,"个","")))))</f>
        <v/>
      </c>
      <c r="J586" s="30" t="str">
        <f t="shared" si="28"/>
        <v/>
      </c>
      <c r="K586" s="30" t="str">
        <f>IF($Z586="","",IF($Z586&lt;=2000,IF(INDEX(包装物料出入库明细!$N$4:$N$2003,$Z586-0)=0,"",INDEX(包装物料出入库明细!$N$4:$N$2003,$Z586-0)),IF($Z586&lt;=4000,IF(INDEX(周转筐出入库明细!$P$4:$P$2004,$Z586-2000)=0,"",INDEX(周转筐出入库明细!$P$4:$P$2004,$Z586-2000)),IF($Z586&lt;=5200,"",IF($Z586&lt;=5800,N(INDEX(次果筐明细!$L$4:$L$603,$Z586-5200))+N(INDEX(次果筐明细!$J$4:$J$603,$Z586-5200)),"")))))</f>
        <v/>
      </c>
      <c r="L586" s="24" t="str">
        <f>IF($Z586="","",IF($Z586&lt;=2000,IF(INDEX(包装物料出入库明细!$P$4:$P$2003,$Z586-0)=0,"",INDEX(包装物料出入库明细!$P$4:$P$2003,$Z586-0)),IF($Z586&lt;=4000,IF(INDEX(周转筐出入库明细!$Q$4:$Q$2004,$Z586-2000)=0,"",INDEX(周转筐出入库明细!$Q$4:$Q$2004,$Z586-2000)),IF($Z586&lt;=5200,"",IF($Z586&lt;=5800,IF(INDEX(次果筐明细!$M$4:$M$603,$Z586-5200)=0,"",INDEX(次果筐明细!$M$4:$M$603,$Z586-5200)),"")))))</f>
        <v/>
      </c>
      <c r="M586" s="37" t="str">
        <f>IF($Z586="","",IF($Z586&lt;=2000,IF(INDEX(包装物料出入库明细!$R$4:$R$2003,$Z586-0)=0,"",INDEX(包装物料出入库明细!$R$4:$R$2003,$Z586-0)),IF($Z586&lt;=4000,IF(INDEX(周转筐出入库明细!$W$4:$W$2004,$Z586-2000)=0,"",INDEX(周转筐出入库明细!$W$4:$W$2004,$Z586-2000)),IF($Z586&lt;=5200,IF(INDEX(客户自备加工筐明细!$L$4:$L$1203,$Z586-4000)=0,"",INDEX(客户自备加工筐明细!$L$4:$L$1203,$Z586-4000)),IF($Z586&lt;=5800,IF(INDEX(次果筐明细!$P$4:$P$603,$Z586-5200)=0,"",INDEX(次果筐明细!$P$4:$P$603,$Z586-5200)),"")))))</f>
        <v/>
      </c>
      <c r="N586" s="16" t="str">
        <f>IF($Z586="","",IF($Z586&lt;=2000,"",IF($Z586&lt;=4000,IF(INDEX(周转筐出入库明细!$D$4:$D$2004,$Z586-2000)=0,"",INDEX(周转筐出入库明细!$D$4:$D$2004,$Z586-2000)),IF($Z586&lt;=5200,IF(INDEX(客户自备加工筐明细!$C$4:$C$1203,$Z586-4000)=0,"",INDEX(客户自备加工筐明细!$C$4:$C$1203,$Z586-4000)),IF($Z586&lt;=5800,IF(INDEX(次果筐明细!$D$4:$D$603,$Z586-5200)=0,"",INDEX(次果筐明细!$D$4:$D$603,$Z586-5200)),"")))))</f>
        <v/>
      </c>
      <c r="O586" s="40" t="str">
        <f>IF($Z586="","",IF($Z586&lt;=2000,"",IF($Z586&lt;=4000,IF(N(INDEX(周转筐出入库明细!$J$4:$J$2004,$Z586-2000))+N(INDEX(周转筐出入库明细!$K$4:$K$2004,$Z586-2000))=0,"",N(INDEX(周转筐出入库明细!$J$4:$J$2004,$Z586-2000))+N(INDEX(周转筐出入库明细!$K$4:$K$2004,$Z586-2000))),IF($Z586&lt;=5200,IF(N(INDEX(客户自备加工筐明细!$G$4:$G$1203,$Z586-4000))=0,"",N(INDEX(客户自备加工筐明细!$G$4:$G$1203,$Z586-4000))),IF($Z586&lt;=5800,IF(ISNUMBER(SEARCH("退",INDEX(次果筐明细!$F$4:$F$603,$Z586-5200)&amp;"")),"",IF(N(INDEX(次果筐明细!$G$4:$G$603,$Z586-5200))=0,"",N(INDEX(次果筐明细!$G$4:$G$603,$Z586-5200)))),"")))))</f>
        <v/>
      </c>
      <c r="P586" s="40" t="str">
        <f>IF($Z586="","",IF($Z586&lt;=2000,"",IF($Z586&lt;=4000,IF(N(INDEX(周转筐出入库明细!$I$4:$I$2004,$Z586-2000))=0,"",N(INDEX(周转筐出入库明细!$I$4:$I$2004,$Z586-2000))),IF($Z586&lt;=5200,"",IF($Z586&lt;=5800,IF(ISNUMBER(SEARCH("退",INDEX(次果筐明细!$F$4:$F$603,$Z586-5200)&amp;"")),IF(N(INDEX(次果筐明细!$G$4:$G$603,$Z586-5200))=0,"",N(INDEX(次果筐明细!$G$4:$G$603,$Z586-5200))),""),"")))))</f>
        <v/>
      </c>
      <c r="Q586" s="40" t="str">
        <f>IF($Z586="","",IF($Z586&lt;=2000,"",IF($Z586&lt;=4000,IF(N(INDEX(周转筐出入库明细!$H$4:$H$2004,$Z586-2000))=0,"",N(INDEX(周转筐出入库明细!$H$4:$H$2004,$Z586-2000))),IF($Z586&lt;=5200,IF(N(INDEX(客户自备加工筐明细!$F$4:$F$1203,$Z586-4000))=0,"",N(INDEX(客户自备加工筐明细!$F$4:$F$1203,$Z586-4000))),IF($Z586&lt;=5800,"","")))))</f>
        <v/>
      </c>
      <c r="R586" s="16" t="str">
        <f>IF($Z586="","",IF($Z586&lt;=2000,IF(INDEX(包装物料出入库明细!$O$4:$O$2003,$Z586-0)=0,"",INDEX(包装物料出入库明细!$O$4:$O$2003,$Z586-0)),IF($Z586&lt;=4000,IF(INDEX(周转筐出入库明细!$M$4:$M$2004,$Z586-2000)=0,"",INDEX(周转筐出入库明细!$M$4:$M$2004,$Z586-2000)),IF($Z586&lt;=5200,IF(INDEX(客户自备加工筐明细!$H$4:$H$1203,$Z586-4000)=0,"",INDEX(客户自备加工筐明细!$H$4:$H$1203,$Z586-4000)),IF($Z586&lt;=5800,IF(INDEX(次果筐明细!$H$4:$H$603,$Z586-5200)=0,"",INDEX(次果筐明细!$H$4:$H$603,$Z586-5200)),"")))))</f>
        <v/>
      </c>
      <c r="S586" s="22" t="str">
        <f t="shared" si="29"/>
        <v/>
      </c>
      <c r="Z586" s="10" t="str">
        <f>IFERROR(MATCH(ROW()-3,_自动清单!$CQ$4:$CQ$5803,0),"")</f>
        <v/>
      </c>
    </row>
    <row r="587" spans="1:26">
      <c r="A587" s="24" t="str">
        <f t="shared" si="27"/>
        <v/>
      </c>
      <c r="B587" s="38" t="str">
        <f>IF($Z587="","",IF($Z587&lt;=2000,IF(INDEX(包装物料出入库明细!$B$4:$B$2003,$Z587-0)=0,"",INDEX(包装物料出入库明细!$B$4:$B$2003,$Z587-0)),IF($Z587&lt;=4000,IF(INDEX(周转筐出入库明细!$B$4:$B$2004,$Z587-2000)=0,"",INDEX(周转筐出入库明细!$B$4:$B$2004,$Z587-2000)),IF($Z587&lt;=5200,IF(INDEX(客户自备加工筐明细!$B$4:$B$1203,$Z587-4000)=0,"",INDEX(客户自备加工筐明细!$B$4:$B$1203,$Z587-4000)),IF($Z587&lt;=5800,IF(INDEX(次果筐明细!$B$4:$B$603,$Z587-5200)=0,"",INDEX(次果筐明细!$B$4:$B$603,$Z587-5200)),"")))))</f>
        <v/>
      </c>
      <c r="C587" s="37" t="str">
        <f>IF($Z587="","",IF($Z587&lt;=2000,IF(INDEX(包装物料出入库明细!$D$4:$D$2003,$Z587-0)=0,"",INDEX(包装物料出入库明细!$D$4:$D$2003,$Z587-0)),IF($Z587&lt;=4000,IF(INDEX(周转筐出入库明细!$C$4:$C$2004,$Z587-2000)=0,"",INDEX(周转筐出入库明细!$C$4:$C$2004,$Z587-2000)),IF($Z587&lt;=5200,IF(INDEX(客户自备加工筐明细!$E$4:$E$1203,$Z587-4000)=0,"",INDEX(客户自备加工筐明细!$E$4:$E$1203,$Z587-4000)),IF($Z587&lt;=5800,IF(INDEX(次果筐明细!$C$4:$C$603,$Z587-5200)=0,"",INDEX(次果筐明细!$C$4:$C$603,$Z587-5200)),"")))))</f>
        <v/>
      </c>
      <c r="D587" s="37" t="str">
        <f>IF($Z587="","",IF($Z587&lt;=2000,"包装物料－"&amp;INDEX(包装物料出入库明细!$H$4:$H$2003,$Z587-0),IF($Z587&lt;=4000,"周转筐－"&amp;INDEX(周转筐出入库明细!$F$4:$F$2004,$Z587-2000),IF($Z587&lt;=5200,"客户自备筐－"&amp;INDEX(客户自备加工筐明细!$J$4:$J$1203,$Z587-4000),IF($Z587&lt;=5800,"次果筐/托盘－"&amp;INDEX(次果筐明细!$F$4:$F$603,$Z587-5200),"")))))</f>
        <v/>
      </c>
      <c r="E587" s="24" t="str">
        <f>IF($Z587="","",IF($Z587&lt;=2000,IF(INDEX(包装物料出入库明细!$C$4:$C$2003,$Z587-0)=0,"",INDEX(包装物料出入库明细!$C$4:$C$2003,$Z587-0)),IF($Z587&lt;=4000,IF(INDEX(周转筐出入库明细!$E$4:$E$2004,$Z587-2000)=0,"",INDEX(周转筐出入库明细!$E$4:$E$2004,$Z587-2000)),IF($Z587&lt;=5200,IF(INDEX(客户自备加工筐明细!$D$4:$D$1203,$Z587-4000)=0,"",INDEX(客户自备加工筐明细!$D$4:$D$1203,$Z587-4000)),IF($Z587&lt;=5800,IF(INDEX(次果筐明细!$E$4:$E$603,$Z587-5200)=0,"",INDEX(次果筐明细!$E$4:$E$603,$Z587-5200)),"")))))</f>
        <v/>
      </c>
      <c r="F587" s="24" t="str">
        <f>IF($Z587="","",IF($Z587&lt;=2000,IF(INDEX(包装物料出入库明细!$E$4:$E$2003,$Z587-0)=0,"",INDEX(包装物料出入库明细!$E$4:$E$2003,$Z587-0)),IF($Z587&lt;=4000,IF(INDEX(周转筐出入库明细!$D$4:$D$2004,$Z587-2000)=0,"",INDEX(周转筐出入库明细!$D$4:$D$2004,$Z587-2000)),IF($Z587&lt;=5200,IF(INDEX(客户自备加工筐明细!$C$4:$C$1203,$Z587-4000)=0,"",INDEX(客户自备加工筐明细!$C$4:$C$1203,$Z587-4000)),IF($Z587&lt;=5800,IF(INDEX(次果筐明细!$D$4:$D$603,$Z587-5200)=0,"",INDEX(次果筐明细!$D$4:$D$603,$Z587-5200)),"")))))</f>
        <v/>
      </c>
      <c r="G587" s="24" t="str">
        <f>IF($Z587="","",IF($Z587&lt;=2000,IF(INDEX(包装物料出入库明细!$F$4:$F$2003,$Z587-0)=0,"",INDEX(包装物料出入库明细!$F$4:$F$2003,$Z587-0)),IF($Z587&lt;=4000,"",IF($Z587&lt;=5200,"",IF($Z587&lt;=5800,"","")))))</f>
        <v/>
      </c>
      <c r="H587" s="39" t="str">
        <f>IF($Z587="","",IF($Z587&lt;=2000,IF(INDEX(包装物料出入库明细!$L$4:$L$2003,$Z587-0)=0,"",INDEX(包装物料出入库明细!$L$4:$L$2003,$Z587-0)),IF($Z587&lt;=4000,N(INDEX(周转筐出入库明细!$H$4:$H$2004,$Z587-2000))+N(INDEX(周转筐出入库明细!$I$4:$I$2004,$Z587-2000))+N(INDEX(周转筐出入库明细!$J$4:$J$2004,$Z587-2000))+N(INDEX(周转筐出入库明细!$K$4:$K$2004,$Z587-2000)),IF($Z587&lt;=5200,N(INDEX(客户自备加工筐明细!$F$4:$F$1203,$Z587-4000))+N(INDEX(客户自备加工筐明细!$G$4:$G$1203,$Z587-4000)),IF($Z587&lt;=5800,IF(INDEX(次果筐明细!$G$4:$G$603,$Z587-5200)=0,"",INDEX(次果筐明细!$G$4:$G$603,$Z587-5200)),"")))))</f>
        <v/>
      </c>
      <c r="I587" s="24" t="str">
        <f>IF($Z587="","",IF($Z587&lt;=2000,IF(INDEX(包装物料出入库明细!$G$4:$G$2003,$Z587-0)=0,"",INDEX(包装物料出入库明细!$G$4:$G$2003,$Z587-0)),IF($Z587&lt;=4000,"个",IF($Z587&lt;=5200,"个",IF($Z587&lt;=5800,"个","")))))</f>
        <v/>
      </c>
      <c r="J587" s="30" t="str">
        <f t="shared" si="28"/>
        <v/>
      </c>
      <c r="K587" s="30" t="str">
        <f>IF($Z587="","",IF($Z587&lt;=2000,IF(INDEX(包装物料出入库明细!$N$4:$N$2003,$Z587-0)=0,"",INDEX(包装物料出入库明细!$N$4:$N$2003,$Z587-0)),IF($Z587&lt;=4000,IF(INDEX(周转筐出入库明细!$P$4:$P$2004,$Z587-2000)=0,"",INDEX(周转筐出入库明细!$P$4:$P$2004,$Z587-2000)),IF($Z587&lt;=5200,"",IF($Z587&lt;=5800,N(INDEX(次果筐明细!$L$4:$L$603,$Z587-5200))+N(INDEX(次果筐明细!$J$4:$J$603,$Z587-5200)),"")))))</f>
        <v/>
      </c>
      <c r="L587" s="24" t="str">
        <f>IF($Z587="","",IF($Z587&lt;=2000,IF(INDEX(包装物料出入库明细!$P$4:$P$2003,$Z587-0)=0,"",INDEX(包装物料出入库明细!$P$4:$P$2003,$Z587-0)),IF($Z587&lt;=4000,IF(INDEX(周转筐出入库明细!$Q$4:$Q$2004,$Z587-2000)=0,"",INDEX(周转筐出入库明细!$Q$4:$Q$2004,$Z587-2000)),IF($Z587&lt;=5200,"",IF($Z587&lt;=5800,IF(INDEX(次果筐明细!$M$4:$M$603,$Z587-5200)=0,"",INDEX(次果筐明细!$M$4:$M$603,$Z587-5200)),"")))))</f>
        <v/>
      </c>
      <c r="M587" s="37" t="str">
        <f>IF($Z587="","",IF($Z587&lt;=2000,IF(INDEX(包装物料出入库明细!$R$4:$R$2003,$Z587-0)=0,"",INDEX(包装物料出入库明细!$R$4:$R$2003,$Z587-0)),IF($Z587&lt;=4000,IF(INDEX(周转筐出入库明细!$W$4:$W$2004,$Z587-2000)=0,"",INDEX(周转筐出入库明细!$W$4:$W$2004,$Z587-2000)),IF($Z587&lt;=5200,IF(INDEX(客户自备加工筐明细!$L$4:$L$1203,$Z587-4000)=0,"",INDEX(客户自备加工筐明细!$L$4:$L$1203,$Z587-4000)),IF($Z587&lt;=5800,IF(INDEX(次果筐明细!$P$4:$P$603,$Z587-5200)=0,"",INDEX(次果筐明细!$P$4:$P$603,$Z587-5200)),"")))))</f>
        <v/>
      </c>
      <c r="N587" s="16" t="str">
        <f>IF($Z587="","",IF($Z587&lt;=2000,"",IF($Z587&lt;=4000,IF(INDEX(周转筐出入库明细!$D$4:$D$2004,$Z587-2000)=0,"",INDEX(周转筐出入库明细!$D$4:$D$2004,$Z587-2000)),IF($Z587&lt;=5200,IF(INDEX(客户自备加工筐明细!$C$4:$C$1203,$Z587-4000)=0,"",INDEX(客户自备加工筐明细!$C$4:$C$1203,$Z587-4000)),IF($Z587&lt;=5800,IF(INDEX(次果筐明细!$D$4:$D$603,$Z587-5200)=0,"",INDEX(次果筐明细!$D$4:$D$603,$Z587-5200)),"")))))</f>
        <v/>
      </c>
      <c r="O587" s="40" t="str">
        <f>IF($Z587="","",IF($Z587&lt;=2000,"",IF($Z587&lt;=4000,IF(N(INDEX(周转筐出入库明细!$J$4:$J$2004,$Z587-2000))+N(INDEX(周转筐出入库明细!$K$4:$K$2004,$Z587-2000))=0,"",N(INDEX(周转筐出入库明细!$J$4:$J$2004,$Z587-2000))+N(INDEX(周转筐出入库明细!$K$4:$K$2004,$Z587-2000))),IF($Z587&lt;=5200,IF(N(INDEX(客户自备加工筐明细!$G$4:$G$1203,$Z587-4000))=0,"",N(INDEX(客户自备加工筐明细!$G$4:$G$1203,$Z587-4000))),IF($Z587&lt;=5800,IF(ISNUMBER(SEARCH("退",INDEX(次果筐明细!$F$4:$F$603,$Z587-5200)&amp;"")),"",IF(N(INDEX(次果筐明细!$G$4:$G$603,$Z587-5200))=0,"",N(INDEX(次果筐明细!$G$4:$G$603,$Z587-5200)))),"")))))</f>
        <v/>
      </c>
      <c r="P587" s="40" t="str">
        <f>IF($Z587="","",IF($Z587&lt;=2000,"",IF($Z587&lt;=4000,IF(N(INDEX(周转筐出入库明细!$I$4:$I$2004,$Z587-2000))=0,"",N(INDEX(周转筐出入库明细!$I$4:$I$2004,$Z587-2000))),IF($Z587&lt;=5200,"",IF($Z587&lt;=5800,IF(ISNUMBER(SEARCH("退",INDEX(次果筐明细!$F$4:$F$603,$Z587-5200)&amp;"")),IF(N(INDEX(次果筐明细!$G$4:$G$603,$Z587-5200))=0,"",N(INDEX(次果筐明细!$G$4:$G$603,$Z587-5200))),""),"")))))</f>
        <v/>
      </c>
      <c r="Q587" s="40" t="str">
        <f>IF($Z587="","",IF($Z587&lt;=2000,"",IF($Z587&lt;=4000,IF(N(INDEX(周转筐出入库明细!$H$4:$H$2004,$Z587-2000))=0,"",N(INDEX(周转筐出入库明细!$H$4:$H$2004,$Z587-2000))),IF($Z587&lt;=5200,IF(N(INDEX(客户自备加工筐明细!$F$4:$F$1203,$Z587-4000))=0,"",N(INDEX(客户自备加工筐明细!$F$4:$F$1203,$Z587-4000))),IF($Z587&lt;=5800,"","")))))</f>
        <v/>
      </c>
      <c r="R587" s="16" t="str">
        <f>IF($Z587="","",IF($Z587&lt;=2000,IF(INDEX(包装物料出入库明细!$O$4:$O$2003,$Z587-0)=0,"",INDEX(包装物料出入库明细!$O$4:$O$2003,$Z587-0)),IF($Z587&lt;=4000,IF(INDEX(周转筐出入库明细!$M$4:$M$2004,$Z587-2000)=0,"",INDEX(周转筐出入库明细!$M$4:$M$2004,$Z587-2000)),IF($Z587&lt;=5200,IF(INDEX(客户自备加工筐明细!$H$4:$H$1203,$Z587-4000)=0,"",INDEX(客户自备加工筐明细!$H$4:$H$1203,$Z587-4000)),IF($Z587&lt;=5800,IF(INDEX(次果筐明细!$H$4:$H$603,$Z587-5200)=0,"",INDEX(次果筐明细!$H$4:$H$603,$Z587-5200)),"")))))</f>
        <v/>
      </c>
      <c r="S587" s="22" t="str">
        <f t="shared" si="29"/>
        <v/>
      </c>
      <c r="Z587" s="10" t="str">
        <f>IFERROR(MATCH(ROW()-3,_自动清单!$CQ$4:$CQ$5803,0),"")</f>
        <v/>
      </c>
    </row>
    <row r="588" spans="1:26">
      <c r="A588" s="24" t="str">
        <f t="shared" si="27"/>
        <v/>
      </c>
      <c r="B588" s="38" t="str">
        <f>IF($Z588="","",IF($Z588&lt;=2000,IF(INDEX(包装物料出入库明细!$B$4:$B$2003,$Z588-0)=0,"",INDEX(包装物料出入库明细!$B$4:$B$2003,$Z588-0)),IF($Z588&lt;=4000,IF(INDEX(周转筐出入库明细!$B$4:$B$2004,$Z588-2000)=0,"",INDEX(周转筐出入库明细!$B$4:$B$2004,$Z588-2000)),IF($Z588&lt;=5200,IF(INDEX(客户自备加工筐明细!$B$4:$B$1203,$Z588-4000)=0,"",INDEX(客户自备加工筐明细!$B$4:$B$1203,$Z588-4000)),IF($Z588&lt;=5800,IF(INDEX(次果筐明细!$B$4:$B$603,$Z588-5200)=0,"",INDEX(次果筐明细!$B$4:$B$603,$Z588-5200)),"")))))</f>
        <v/>
      </c>
      <c r="C588" s="37" t="str">
        <f>IF($Z588="","",IF($Z588&lt;=2000,IF(INDEX(包装物料出入库明细!$D$4:$D$2003,$Z588-0)=0,"",INDEX(包装物料出入库明细!$D$4:$D$2003,$Z588-0)),IF($Z588&lt;=4000,IF(INDEX(周转筐出入库明细!$C$4:$C$2004,$Z588-2000)=0,"",INDEX(周转筐出入库明细!$C$4:$C$2004,$Z588-2000)),IF($Z588&lt;=5200,IF(INDEX(客户自备加工筐明细!$E$4:$E$1203,$Z588-4000)=0,"",INDEX(客户自备加工筐明细!$E$4:$E$1203,$Z588-4000)),IF($Z588&lt;=5800,IF(INDEX(次果筐明细!$C$4:$C$603,$Z588-5200)=0,"",INDEX(次果筐明细!$C$4:$C$603,$Z588-5200)),"")))))</f>
        <v/>
      </c>
      <c r="D588" s="37" t="str">
        <f>IF($Z588="","",IF($Z588&lt;=2000,"包装物料－"&amp;INDEX(包装物料出入库明细!$H$4:$H$2003,$Z588-0),IF($Z588&lt;=4000,"周转筐－"&amp;INDEX(周转筐出入库明细!$F$4:$F$2004,$Z588-2000),IF($Z588&lt;=5200,"客户自备筐－"&amp;INDEX(客户自备加工筐明细!$J$4:$J$1203,$Z588-4000),IF($Z588&lt;=5800,"次果筐/托盘－"&amp;INDEX(次果筐明细!$F$4:$F$603,$Z588-5200),"")))))</f>
        <v/>
      </c>
      <c r="E588" s="24" t="str">
        <f>IF($Z588="","",IF($Z588&lt;=2000,IF(INDEX(包装物料出入库明细!$C$4:$C$2003,$Z588-0)=0,"",INDEX(包装物料出入库明细!$C$4:$C$2003,$Z588-0)),IF($Z588&lt;=4000,IF(INDEX(周转筐出入库明细!$E$4:$E$2004,$Z588-2000)=0,"",INDEX(周转筐出入库明细!$E$4:$E$2004,$Z588-2000)),IF($Z588&lt;=5200,IF(INDEX(客户自备加工筐明细!$D$4:$D$1203,$Z588-4000)=0,"",INDEX(客户自备加工筐明细!$D$4:$D$1203,$Z588-4000)),IF($Z588&lt;=5800,IF(INDEX(次果筐明细!$E$4:$E$603,$Z588-5200)=0,"",INDEX(次果筐明细!$E$4:$E$603,$Z588-5200)),"")))))</f>
        <v/>
      </c>
      <c r="F588" s="24" t="str">
        <f>IF($Z588="","",IF($Z588&lt;=2000,IF(INDEX(包装物料出入库明细!$E$4:$E$2003,$Z588-0)=0,"",INDEX(包装物料出入库明细!$E$4:$E$2003,$Z588-0)),IF($Z588&lt;=4000,IF(INDEX(周转筐出入库明细!$D$4:$D$2004,$Z588-2000)=0,"",INDEX(周转筐出入库明细!$D$4:$D$2004,$Z588-2000)),IF($Z588&lt;=5200,IF(INDEX(客户自备加工筐明细!$C$4:$C$1203,$Z588-4000)=0,"",INDEX(客户自备加工筐明细!$C$4:$C$1203,$Z588-4000)),IF($Z588&lt;=5800,IF(INDEX(次果筐明细!$D$4:$D$603,$Z588-5200)=0,"",INDEX(次果筐明细!$D$4:$D$603,$Z588-5200)),"")))))</f>
        <v/>
      </c>
      <c r="G588" s="24" t="str">
        <f>IF($Z588="","",IF($Z588&lt;=2000,IF(INDEX(包装物料出入库明细!$F$4:$F$2003,$Z588-0)=0,"",INDEX(包装物料出入库明细!$F$4:$F$2003,$Z588-0)),IF($Z588&lt;=4000,"",IF($Z588&lt;=5200,"",IF($Z588&lt;=5800,"","")))))</f>
        <v/>
      </c>
      <c r="H588" s="39" t="str">
        <f>IF($Z588="","",IF($Z588&lt;=2000,IF(INDEX(包装物料出入库明细!$L$4:$L$2003,$Z588-0)=0,"",INDEX(包装物料出入库明细!$L$4:$L$2003,$Z588-0)),IF($Z588&lt;=4000,N(INDEX(周转筐出入库明细!$H$4:$H$2004,$Z588-2000))+N(INDEX(周转筐出入库明细!$I$4:$I$2004,$Z588-2000))+N(INDEX(周转筐出入库明细!$J$4:$J$2004,$Z588-2000))+N(INDEX(周转筐出入库明细!$K$4:$K$2004,$Z588-2000)),IF($Z588&lt;=5200,N(INDEX(客户自备加工筐明细!$F$4:$F$1203,$Z588-4000))+N(INDEX(客户自备加工筐明细!$G$4:$G$1203,$Z588-4000)),IF($Z588&lt;=5800,IF(INDEX(次果筐明细!$G$4:$G$603,$Z588-5200)=0,"",INDEX(次果筐明细!$G$4:$G$603,$Z588-5200)),"")))))</f>
        <v/>
      </c>
      <c r="I588" s="24" t="str">
        <f>IF($Z588="","",IF($Z588&lt;=2000,IF(INDEX(包装物料出入库明细!$G$4:$G$2003,$Z588-0)=0,"",INDEX(包装物料出入库明细!$G$4:$G$2003,$Z588-0)),IF($Z588&lt;=4000,"个",IF($Z588&lt;=5200,"个",IF($Z588&lt;=5800,"个","")))))</f>
        <v/>
      </c>
      <c r="J588" s="30" t="str">
        <f t="shared" si="28"/>
        <v/>
      </c>
      <c r="K588" s="30" t="str">
        <f>IF($Z588="","",IF($Z588&lt;=2000,IF(INDEX(包装物料出入库明细!$N$4:$N$2003,$Z588-0)=0,"",INDEX(包装物料出入库明细!$N$4:$N$2003,$Z588-0)),IF($Z588&lt;=4000,IF(INDEX(周转筐出入库明细!$P$4:$P$2004,$Z588-2000)=0,"",INDEX(周转筐出入库明细!$P$4:$P$2004,$Z588-2000)),IF($Z588&lt;=5200,"",IF($Z588&lt;=5800,N(INDEX(次果筐明细!$L$4:$L$603,$Z588-5200))+N(INDEX(次果筐明细!$J$4:$J$603,$Z588-5200)),"")))))</f>
        <v/>
      </c>
      <c r="L588" s="24" t="str">
        <f>IF($Z588="","",IF($Z588&lt;=2000,IF(INDEX(包装物料出入库明细!$P$4:$P$2003,$Z588-0)=0,"",INDEX(包装物料出入库明细!$P$4:$P$2003,$Z588-0)),IF($Z588&lt;=4000,IF(INDEX(周转筐出入库明细!$Q$4:$Q$2004,$Z588-2000)=0,"",INDEX(周转筐出入库明细!$Q$4:$Q$2004,$Z588-2000)),IF($Z588&lt;=5200,"",IF($Z588&lt;=5800,IF(INDEX(次果筐明细!$M$4:$M$603,$Z588-5200)=0,"",INDEX(次果筐明细!$M$4:$M$603,$Z588-5200)),"")))))</f>
        <v/>
      </c>
      <c r="M588" s="37" t="str">
        <f>IF($Z588="","",IF($Z588&lt;=2000,IF(INDEX(包装物料出入库明细!$R$4:$R$2003,$Z588-0)=0,"",INDEX(包装物料出入库明细!$R$4:$R$2003,$Z588-0)),IF($Z588&lt;=4000,IF(INDEX(周转筐出入库明细!$W$4:$W$2004,$Z588-2000)=0,"",INDEX(周转筐出入库明细!$W$4:$W$2004,$Z588-2000)),IF($Z588&lt;=5200,IF(INDEX(客户自备加工筐明细!$L$4:$L$1203,$Z588-4000)=0,"",INDEX(客户自备加工筐明细!$L$4:$L$1203,$Z588-4000)),IF($Z588&lt;=5800,IF(INDEX(次果筐明细!$P$4:$P$603,$Z588-5200)=0,"",INDEX(次果筐明细!$P$4:$P$603,$Z588-5200)),"")))))</f>
        <v/>
      </c>
      <c r="N588" s="16" t="str">
        <f>IF($Z588="","",IF($Z588&lt;=2000,"",IF($Z588&lt;=4000,IF(INDEX(周转筐出入库明细!$D$4:$D$2004,$Z588-2000)=0,"",INDEX(周转筐出入库明细!$D$4:$D$2004,$Z588-2000)),IF($Z588&lt;=5200,IF(INDEX(客户自备加工筐明细!$C$4:$C$1203,$Z588-4000)=0,"",INDEX(客户自备加工筐明细!$C$4:$C$1203,$Z588-4000)),IF($Z588&lt;=5800,IF(INDEX(次果筐明细!$D$4:$D$603,$Z588-5200)=0,"",INDEX(次果筐明细!$D$4:$D$603,$Z588-5200)),"")))))</f>
        <v/>
      </c>
      <c r="O588" s="40" t="str">
        <f>IF($Z588="","",IF($Z588&lt;=2000,"",IF($Z588&lt;=4000,IF(N(INDEX(周转筐出入库明细!$J$4:$J$2004,$Z588-2000))+N(INDEX(周转筐出入库明细!$K$4:$K$2004,$Z588-2000))=0,"",N(INDEX(周转筐出入库明细!$J$4:$J$2004,$Z588-2000))+N(INDEX(周转筐出入库明细!$K$4:$K$2004,$Z588-2000))),IF($Z588&lt;=5200,IF(N(INDEX(客户自备加工筐明细!$G$4:$G$1203,$Z588-4000))=0,"",N(INDEX(客户自备加工筐明细!$G$4:$G$1203,$Z588-4000))),IF($Z588&lt;=5800,IF(ISNUMBER(SEARCH("退",INDEX(次果筐明细!$F$4:$F$603,$Z588-5200)&amp;"")),"",IF(N(INDEX(次果筐明细!$G$4:$G$603,$Z588-5200))=0,"",N(INDEX(次果筐明细!$G$4:$G$603,$Z588-5200)))),"")))))</f>
        <v/>
      </c>
      <c r="P588" s="40" t="str">
        <f>IF($Z588="","",IF($Z588&lt;=2000,"",IF($Z588&lt;=4000,IF(N(INDEX(周转筐出入库明细!$I$4:$I$2004,$Z588-2000))=0,"",N(INDEX(周转筐出入库明细!$I$4:$I$2004,$Z588-2000))),IF($Z588&lt;=5200,"",IF($Z588&lt;=5800,IF(ISNUMBER(SEARCH("退",INDEX(次果筐明细!$F$4:$F$603,$Z588-5200)&amp;"")),IF(N(INDEX(次果筐明细!$G$4:$G$603,$Z588-5200))=0,"",N(INDEX(次果筐明细!$G$4:$G$603,$Z588-5200))),""),"")))))</f>
        <v/>
      </c>
      <c r="Q588" s="40" t="str">
        <f>IF($Z588="","",IF($Z588&lt;=2000,"",IF($Z588&lt;=4000,IF(N(INDEX(周转筐出入库明细!$H$4:$H$2004,$Z588-2000))=0,"",N(INDEX(周转筐出入库明细!$H$4:$H$2004,$Z588-2000))),IF($Z588&lt;=5200,IF(N(INDEX(客户自备加工筐明细!$F$4:$F$1203,$Z588-4000))=0,"",N(INDEX(客户自备加工筐明细!$F$4:$F$1203,$Z588-4000))),IF($Z588&lt;=5800,"","")))))</f>
        <v/>
      </c>
      <c r="R588" s="16" t="str">
        <f>IF($Z588="","",IF($Z588&lt;=2000,IF(INDEX(包装物料出入库明细!$O$4:$O$2003,$Z588-0)=0,"",INDEX(包装物料出入库明细!$O$4:$O$2003,$Z588-0)),IF($Z588&lt;=4000,IF(INDEX(周转筐出入库明细!$M$4:$M$2004,$Z588-2000)=0,"",INDEX(周转筐出入库明细!$M$4:$M$2004,$Z588-2000)),IF($Z588&lt;=5200,IF(INDEX(客户自备加工筐明细!$H$4:$H$1203,$Z588-4000)=0,"",INDEX(客户自备加工筐明细!$H$4:$H$1203,$Z588-4000)),IF($Z588&lt;=5800,IF(INDEX(次果筐明细!$H$4:$H$603,$Z588-5200)=0,"",INDEX(次果筐明细!$H$4:$H$603,$Z588-5200)),"")))))</f>
        <v/>
      </c>
      <c r="S588" s="22" t="str">
        <f t="shared" si="29"/>
        <v/>
      </c>
      <c r="Z588" s="10" t="str">
        <f>IFERROR(MATCH(ROW()-3,_自动清单!$CQ$4:$CQ$5803,0),"")</f>
        <v/>
      </c>
    </row>
    <row r="589" spans="1:26">
      <c r="A589" s="24" t="str">
        <f t="shared" si="27"/>
        <v/>
      </c>
      <c r="B589" s="38" t="str">
        <f>IF($Z589="","",IF($Z589&lt;=2000,IF(INDEX(包装物料出入库明细!$B$4:$B$2003,$Z589-0)=0,"",INDEX(包装物料出入库明细!$B$4:$B$2003,$Z589-0)),IF($Z589&lt;=4000,IF(INDEX(周转筐出入库明细!$B$4:$B$2004,$Z589-2000)=0,"",INDEX(周转筐出入库明细!$B$4:$B$2004,$Z589-2000)),IF($Z589&lt;=5200,IF(INDEX(客户自备加工筐明细!$B$4:$B$1203,$Z589-4000)=0,"",INDEX(客户自备加工筐明细!$B$4:$B$1203,$Z589-4000)),IF($Z589&lt;=5800,IF(INDEX(次果筐明细!$B$4:$B$603,$Z589-5200)=0,"",INDEX(次果筐明细!$B$4:$B$603,$Z589-5200)),"")))))</f>
        <v/>
      </c>
      <c r="C589" s="37" t="str">
        <f>IF($Z589="","",IF($Z589&lt;=2000,IF(INDEX(包装物料出入库明细!$D$4:$D$2003,$Z589-0)=0,"",INDEX(包装物料出入库明细!$D$4:$D$2003,$Z589-0)),IF($Z589&lt;=4000,IF(INDEX(周转筐出入库明细!$C$4:$C$2004,$Z589-2000)=0,"",INDEX(周转筐出入库明细!$C$4:$C$2004,$Z589-2000)),IF($Z589&lt;=5200,IF(INDEX(客户自备加工筐明细!$E$4:$E$1203,$Z589-4000)=0,"",INDEX(客户自备加工筐明细!$E$4:$E$1203,$Z589-4000)),IF($Z589&lt;=5800,IF(INDEX(次果筐明细!$C$4:$C$603,$Z589-5200)=0,"",INDEX(次果筐明细!$C$4:$C$603,$Z589-5200)),"")))))</f>
        <v/>
      </c>
      <c r="D589" s="37" t="str">
        <f>IF($Z589="","",IF($Z589&lt;=2000,"包装物料－"&amp;INDEX(包装物料出入库明细!$H$4:$H$2003,$Z589-0),IF($Z589&lt;=4000,"周转筐－"&amp;INDEX(周转筐出入库明细!$F$4:$F$2004,$Z589-2000),IF($Z589&lt;=5200,"客户自备筐－"&amp;INDEX(客户自备加工筐明细!$J$4:$J$1203,$Z589-4000),IF($Z589&lt;=5800,"次果筐/托盘－"&amp;INDEX(次果筐明细!$F$4:$F$603,$Z589-5200),"")))))</f>
        <v/>
      </c>
      <c r="E589" s="24" t="str">
        <f>IF($Z589="","",IF($Z589&lt;=2000,IF(INDEX(包装物料出入库明细!$C$4:$C$2003,$Z589-0)=0,"",INDEX(包装物料出入库明细!$C$4:$C$2003,$Z589-0)),IF($Z589&lt;=4000,IF(INDEX(周转筐出入库明细!$E$4:$E$2004,$Z589-2000)=0,"",INDEX(周转筐出入库明细!$E$4:$E$2004,$Z589-2000)),IF($Z589&lt;=5200,IF(INDEX(客户自备加工筐明细!$D$4:$D$1203,$Z589-4000)=0,"",INDEX(客户自备加工筐明细!$D$4:$D$1203,$Z589-4000)),IF($Z589&lt;=5800,IF(INDEX(次果筐明细!$E$4:$E$603,$Z589-5200)=0,"",INDEX(次果筐明细!$E$4:$E$603,$Z589-5200)),"")))))</f>
        <v/>
      </c>
      <c r="F589" s="24" t="str">
        <f>IF($Z589="","",IF($Z589&lt;=2000,IF(INDEX(包装物料出入库明细!$E$4:$E$2003,$Z589-0)=0,"",INDEX(包装物料出入库明细!$E$4:$E$2003,$Z589-0)),IF($Z589&lt;=4000,IF(INDEX(周转筐出入库明细!$D$4:$D$2004,$Z589-2000)=0,"",INDEX(周转筐出入库明细!$D$4:$D$2004,$Z589-2000)),IF($Z589&lt;=5200,IF(INDEX(客户自备加工筐明细!$C$4:$C$1203,$Z589-4000)=0,"",INDEX(客户自备加工筐明细!$C$4:$C$1203,$Z589-4000)),IF($Z589&lt;=5800,IF(INDEX(次果筐明细!$D$4:$D$603,$Z589-5200)=0,"",INDEX(次果筐明细!$D$4:$D$603,$Z589-5200)),"")))))</f>
        <v/>
      </c>
      <c r="G589" s="24" t="str">
        <f>IF($Z589="","",IF($Z589&lt;=2000,IF(INDEX(包装物料出入库明细!$F$4:$F$2003,$Z589-0)=0,"",INDEX(包装物料出入库明细!$F$4:$F$2003,$Z589-0)),IF($Z589&lt;=4000,"",IF($Z589&lt;=5200,"",IF($Z589&lt;=5800,"","")))))</f>
        <v/>
      </c>
      <c r="H589" s="39" t="str">
        <f>IF($Z589="","",IF($Z589&lt;=2000,IF(INDEX(包装物料出入库明细!$L$4:$L$2003,$Z589-0)=0,"",INDEX(包装物料出入库明细!$L$4:$L$2003,$Z589-0)),IF($Z589&lt;=4000,N(INDEX(周转筐出入库明细!$H$4:$H$2004,$Z589-2000))+N(INDEX(周转筐出入库明细!$I$4:$I$2004,$Z589-2000))+N(INDEX(周转筐出入库明细!$J$4:$J$2004,$Z589-2000))+N(INDEX(周转筐出入库明细!$K$4:$K$2004,$Z589-2000)),IF($Z589&lt;=5200,N(INDEX(客户自备加工筐明细!$F$4:$F$1203,$Z589-4000))+N(INDEX(客户自备加工筐明细!$G$4:$G$1203,$Z589-4000)),IF($Z589&lt;=5800,IF(INDEX(次果筐明细!$G$4:$G$603,$Z589-5200)=0,"",INDEX(次果筐明细!$G$4:$G$603,$Z589-5200)),"")))))</f>
        <v/>
      </c>
      <c r="I589" s="24" t="str">
        <f>IF($Z589="","",IF($Z589&lt;=2000,IF(INDEX(包装物料出入库明细!$G$4:$G$2003,$Z589-0)=0,"",INDEX(包装物料出入库明细!$G$4:$G$2003,$Z589-0)),IF($Z589&lt;=4000,"个",IF($Z589&lt;=5200,"个",IF($Z589&lt;=5800,"个","")))))</f>
        <v/>
      </c>
      <c r="J589" s="30" t="str">
        <f t="shared" si="28"/>
        <v/>
      </c>
      <c r="K589" s="30" t="str">
        <f>IF($Z589="","",IF($Z589&lt;=2000,IF(INDEX(包装物料出入库明细!$N$4:$N$2003,$Z589-0)=0,"",INDEX(包装物料出入库明细!$N$4:$N$2003,$Z589-0)),IF($Z589&lt;=4000,IF(INDEX(周转筐出入库明细!$P$4:$P$2004,$Z589-2000)=0,"",INDEX(周转筐出入库明细!$P$4:$P$2004,$Z589-2000)),IF($Z589&lt;=5200,"",IF($Z589&lt;=5800,N(INDEX(次果筐明细!$L$4:$L$603,$Z589-5200))+N(INDEX(次果筐明细!$J$4:$J$603,$Z589-5200)),"")))))</f>
        <v/>
      </c>
      <c r="L589" s="24" t="str">
        <f>IF($Z589="","",IF($Z589&lt;=2000,IF(INDEX(包装物料出入库明细!$P$4:$P$2003,$Z589-0)=0,"",INDEX(包装物料出入库明细!$P$4:$P$2003,$Z589-0)),IF($Z589&lt;=4000,IF(INDEX(周转筐出入库明细!$Q$4:$Q$2004,$Z589-2000)=0,"",INDEX(周转筐出入库明细!$Q$4:$Q$2004,$Z589-2000)),IF($Z589&lt;=5200,"",IF($Z589&lt;=5800,IF(INDEX(次果筐明细!$M$4:$M$603,$Z589-5200)=0,"",INDEX(次果筐明细!$M$4:$M$603,$Z589-5200)),"")))))</f>
        <v/>
      </c>
      <c r="M589" s="37" t="str">
        <f>IF($Z589="","",IF($Z589&lt;=2000,IF(INDEX(包装物料出入库明细!$R$4:$R$2003,$Z589-0)=0,"",INDEX(包装物料出入库明细!$R$4:$R$2003,$Z589-0)),IF($Z589&lt;=4000,IF(INDEX(周转筐出入库明细!$W$4:$W$2004,$Z589-2000)=0,"",INDEX(周转筐出入库明细!$W$4:$W$2004,$Z589-2000)),IF($Z589&lt;=5200,IF(INDEX(客户自备加工筐明细!$L$4:$L$1203,$Z589-4000)=0,"",INDEX(客户自备加工筐明细!$L$4:$L$1203,$Z589-4000)),IF($Z589&lt;=5800,IF(INDEX(次果筐明细!$P$4:$P$603,$Z589-5200)=0,"",INDEX(次果筐明细!$P$4:$P$603,$Z589-5200)),"")))))</f>
        <v/>
      </c>
      <c r="N589" s="16" t="str">
        <f>IF($Z589="","",IF($Z589&lt;=2000,"",IF($Z589&lt;=4000,IF(INDEX(周转筐出入库明细!$D$4:$D$2004,$Z589-2000)=0,"",INDEX(周转筐出入库明细!$D$4:$D$2004,$Z589-2000)),IF($Z589&lt;=5200,IF(INDEX(客户自备加工筐明细!$C$4:$C$1203,$Z589-4000)=0,"",INDEX(客户自备加工筐明细!$C$4:$C$1203,$Z589-4000)),IF($Z589&lt;=5800,IF(INDEX(次果筐明细!$D$4:$D$603,$Z589-5200)=0,"",INDEX(次果筐明细!$D$4:$D$603,$Z589-5200)),"")))))</f>
        <v/>
      </c>
      <c r="O589" s="40" t="str">
        <f>IF($Z589="","",IF($Z589&lt;=2000,"",IF($Z589&lt;=4000,IF(N(INDEX(周转筐出入库明细!$J$4:$J$2004,$Z589-2000))+N(INDEX(周转筐出入库明细!$K$4:$K$2004,$Z589-2000))=0,"",N(INDEX(周转筐出入库明细!$J$4:$J$2004,$Z589-2000))+N(INDEX(周转筐出入库明细!$K$4:$K$2004,$Z589-2000))),IF($Z589&lt;=5200,IF(N(INDEX(客户自备加工筐明细!$G$4:$G$1203,$Z589-4000))=0,"",N(INDEX(客户自备加工筐明细!$G$4:$G$1203,$Z589-4000))),IF($Z589&lt;=5800,IF(ISNUMBER(SEARCH("退",INDEX(次果筐明细!$F$4:$F$603,$Z589-5200)&amp;"")),"",IF(N(INDEX(次果筐明细!$G$4:$G$603,$Z589-5200))=0,"",N(INDEX(次果筐明细!$G$4:$G$603,$Z589-5200)))),"")))))</f>
        <v/>
      </c>
      <c r="P589" s="40" t="str">
        <f>IF($Z589="","",IF($Z589&lt;=2000,"",IF($Z589&lt;=4000,IF(N(INDEX(周转筐出入库明细!$I$4:$I$2004,$Z589-2000))=0,"",N(INDEX(周转筐出入库明细!$I$4:$I$2004,$Z589-2000))),IF($Z589&lt;=5200,"",IF($Z589&lt;=5800,IF(ISNUMBER(SEARCH("退",INDEX(次果筐明细!$F$4:$F$603,$Z589-5200)&amp;"")),IF(N(INDEX(次果筐明细!$G$4:$G$603,$Z589-5200))=0,"",N(INDEX(次果筐明细!$G$4:$G$603,$Z589-5200))),""),"")))))</f>
        <v/>
      </c>
      <c r="Q589" s="40" t="str">
        <f>IF($Z589="","",IF($Z589&lt;=2000,"",IF($Z589&lt;=4000,IF(N(INDEX(周转筐出入库明细!$H$4:$H$2004,$Z589-2000))=0,"",N(INDEX(周转筐出入库明细!$H$4:$H$2004,$Z589-2000))),IF($Z589&lt;=5200,IF(N(INDEX(客户自备加工筐明细!$F$4:$F$1203,$Z589-4000))=0,"",N(INDEX(客户自备加工筐明细!$F$4:$F$1203,$Z589-4000))),IF($Z589&lt;=5800,"","")))))</f>
        <v/>
      </c>
      <c r="R589" s="16" t="str">
        <f>IF($Z589="","",IF($Z589&lt;=2000,IF(INDEX(包装物料出入库明细!$O$4:$O$2003,$Z589-0)=0,"",INDEX(包装物料出入库明细!$O$4:$O$2003,$Z589-0)),IF($Z589&lt;=4000,IF(INDEX(周转筐出入库明细!$M$4:$M$2004,$Z589-2000)=0,"",INDEX(周转筐出入库明细!$M$4:$M$2004,$Z589-2000)),IF($Z589&lt;=5200,IF(INDEX(客户自备加工筐明细!$H$4:$H$1203,$Z589-4000)=0,"",INDEX(客户自备加工筐明细!$H$4:$H$1203,$Z589-4000)),IF($Z589&lt;=5800,IF(INDEX(次果筐明细!$H$4:$H$603,$Z589-5200)=0,"",INDEX(次果筐明细!$H$4:$H$603,$Z589-5200)),"")))))</f>
        <v/>
      </c>
      <c r="S589" s="22" t="str">
        <f t="shared" si="29"/>
        <v/>
      </c>
      <c r="Z589" s="10" t="str">
        <f>IFERROR(MATCH(ROW()-3,_自动清单!$CQ$4:$CQ$5803,0),"")</f>
        <v/>
      </c>
    </row>
    <row r="590" spans="1:26">
      <c r="A590" s="24" t="str">
        <f t="shared" si="27"/>
        <v/>
      </c>
      <c r="B590" s="38" t="str">
        <f>IF($Z590="","",IF($Z590&lt;=2000,IF(INDEX(包装物料出入库明细!$B$4:$B$2003,$Z590-0)=0,"",INDEX(包装物料出入库明细!$B$4:$B$2003,$Z590-0)),IF($Z590&lt;=4000,IF(INDEX(周转筐出入库明细!$B$4:$B$2004,$Z590-2000)=0,"",INDEX(周转筐出入库明细!$B$4:$B$2004,$Z590-2000)),IF($Z590&lt;=5200,IF(INDEX(客户自备加工筐明细!$B$4:$B$1203,$Z590-4000)=0,"",INDEX(客户自备加工筐明细!$B$4:$B$1203,$Z590-4000)),IF($Z590&lt;=5800,IF(INDEX(次果筐明细!$B$4:$B$603,$Z590-5200)=0,"",INDEX(次果筐明细!$B$4:$B$603,$Z590-5200)),"")))))</f>
        <v/>
      </c>
      <c r="C590" s="37" t="str">
        <f>IF($Z590="","",IF($Z590&lt;=2000,IF(INDEX(包装物料出入库明细!$D$4:$D$2003,$Z590-0)=0,"",INDEX(包装物料出入库明细!$D$4:$D$2003,$Z590-0)),IF($Z590&lt;=4000,IF(INDEX(周转筐出入库明细!$C$4:$C$2004,$Z590-2000)=0,"",INDEX(周转筐出入库明细!$C$4:$C$2004,$Z590-2000)),IF($Z590&lt;=5200,IF(INDEX(客户自备加工筐明细!$E$4:$E$1203,$Z590-4000)=0,"",INDEX(客户自备加工筐明细!$E$4:$E$1203,$Z590-4000)),IF($Z590&lt;=5800,IF(INDEX(次果筐明细!$C$4:$C$603,$Z590-5200)=0,"",INDEX(次果筐明细!$C$4:$C$603,$Z590-5200)),"")))))</f>
        <v/>
      </c>
      <c r="D590" s="37" t="str">
        <f>IF($Z590="","",IF($Z590&lt;=2000,"包装物料－"&amp;INDEX(包装物料出入库明细!$H$4:$H$2003,$Z590-0),IF($Z590&lt;=4000,"周转筐－"&amp;INDEX(周转筐出入库明细!$F$4:$F$2004,$Z590-2000),IF($Z590&lt;=5200,"客户自备筐－"&amp;INDEX(客户自备加工筐明细!$J$4:$J$1203,$Z590-4000),IF($Z590&lt;=5800,"次果筐/托盘－"&amp;INDEX(次果筐明细!$F$4:$F$603,$Z590-5200),"")))))</f>
        <v/>
      </c>
      <c r="E590" s="24" t="str">
        <f>IF($Z590="","",IF($Z590&lt;=2000,IF(INDEX(包装物料出入库明细!$C$4:$C$2003,$Z590-0)=0,"",INDEX(包装物料出入库明细!$C$4:$C$2003,$Z590-0)),IF($Z590&lt;=4000,IF(INDEX(周转筐出入库明细!$E$4:$E$2004,$Z590-2000)=0,"",INDEX(周转筐出入库明细!$E$4:$E$2004,$Z590-2000)),IF($Z590&lt;=5200,IF(INDEX(客户自备加工筐明细!$D$4:$D$1203,$Z590-4000)=0,"",INDEX(客户自备加工筐明细!$D$4:$D$1203,$Z590-4000)),IF($Z590&lt;=5800,IF(INDEX(次果筐明细!$E$4:$E$603,$Z590-5200)=0,"",INDEX(次果筐明细!$E$4:$E$603,$Z590-5200)),"")))))</f>
        <v/>
      </c>
      <c r="F590" s="24" t="str">
        <f>IF($Z590="","",IF($Z590&lt;=2000,IF(INDEX(包装物料出入库明细!$E$4:$E$2003,$Z590-0)=0,"",INDEX(包装物料出入库明细!$E$4:$E$2003,$Z590-0)),IF($Z590&lt;=4000,IF(INDEX(周转筐出入库明细!$D$4:$D$2004,$Z590-2000)=0,"",INDEX(周转筐出入库明细!$D$4:$D$2004,$Z590-2000)),IF($Z590&lt;=5200,IF(INDEX(客户自备加工筐明细!$C$4:$C$1203,$Z590-4000)=0,"",INDEX(客户自备加工筐明细!$C$4:$C$1203,$Z590-4000)),IF($Z590&lt;=5800,IF(INDEX(次果筐明细!$D$4:$D$603,$Z590-5200)=0,"",INDEX(次果筐明细!$D$4:$D$603,$Z590-5200)),"")))))</f>
        <v/>
      </c>
      <c r="G590" s="24" t="str">
        <f>IF($Z590="","",IF($Z590&lt;=2000,IF(INDEX(包装物料出入库明细!$F$4:$F$2003,$Z590-0)=0,"",INDEX(包装物料出入库明细!$F$4:$F$2003,$Z590-0)),IF($Z590&lt;=4000,"",IF($Z590&lt;=5200,"",IF($Z590&lt;=5800,"","")))))</f>
        <v/>
      </c>
      <c r="H590" s="39" t="str">
        <f>IF($Z590="","",IF($Z590&lt;=2000,IF(INDEX(包装物料出入库明细!$L$4:$L$2003,$Z590-0)=0,"",INDEX(包装物料出入库明细!$L$4:$L$2003,$Z590-0)),IF($Z590&lt;=4000,N(INDEX(周转筐出入库明细!$H$4:$H$2004,$Z590-2000))+N(INDEX(周转筐出入库明细!$I$4:$I$2004,$Z590-2000))+N(INDEX(周转筐出入库明细!$J$4:$J$2004,$Z590-2000))+N(INDEX(周转筐出入库明细!$K$4:$K$2004,$Z590-2000)),IF($Z590&lt;=5200,N(INDEX(客户自备加工筐明细!$F$4:$F$1203,$Z590-4000))+N(INDEX(客户自备加工筐明细!$G$4:$G$1203,$Z590-4000)),IF($Z590&lt;=5800,IF(INDEX(次果筐明细!$G$4:$G$603,$Z590-5200)=0,"",INDEX(次果筐明细!$G$4:$G$603,$Z590-5200)),"")))))</f>
        <v/>
      </c>
      <c r="I590" s="24" t="str">
        <f>IF($Z590="","",IF($Z590&lt;=2000,IF(INDEX(包装物料出入库明细!$G$4:$G$2003,$Z590-0)=0,"",INDEX(包装物料出入库明细!$G$4:$G$2003,$Z590-0)),IF($Z590&lt;=4000,"个",IF($Z590&lt;=5200,"个",IF($Z590&lt;=5800,"个","")))))</f>
        <v/>
      </c>
      <c r="J590" s="30" t="str">
        <f t="shared" si="28"/>
        <v/>
      </c>
      <c r="K590" s="30" t="str">
        <f>IF($Z590="","",IF($Z590&lt;=2000,IF(INDEX(包装物料出入库明细!$N$4:$N$2003,$Z590-0)=0,"",INDEX(包装物料出入库明细!$N$4:$N$2003,$Z590-0)),IF($Z590&lt;=4000,IF(INDEX(周转筐出入库明细!$P$4:$P$2004,$Z590-2000)=0,"",INDEX(周转筐出入库明细!$P$4:$P$2004,$Z590-2000)),IF($Z590&lt;=5200,"",IF($Z590&lt;=5800,N(INDEX(次果筐明细!$L$4:$L$603,$Z590-5200))+N(INDEX(次果筐明细!$J$4:$J$603,$Z590-5200)),"")))))</f>
        <v/>
      </c>
      <c r="L590" s="24" t="str">
        <f>IF($Z590="","",IF($Z590&lt;=2000,IF(INDEX(包装物料出入库明细!$P$4:$P$2003,$Z590-0)=0,"",INDEX(包装物料出入库明细!$P$4:$P$2003,$Z590-0)),IF($Z590&lt;=4000,IF(INDEX(周转筐出入库明细!$Q$4:$Q$2004,$Z590-2000)=0,"",INDEX(周转筐出入库明细!$Q$4:$Q$2004,$Z590-2000)),IF($Z590&lt;=5200,"",IF($Z590&lt;=5800,IF(INDEX(次果筐明细!$M$4:$M$603,$Z590-5200)=0,"",INDEX(次果筐明细!$M$4:$M$603,$Z590-5200)),"")))))</f>
        <v/>
      </c>
      <c r="M590" s="37" t="str">
        <f>IF($Z590="","",IF($Z590&lt;=2000,IF(INDEX(包装物料出入库明细!$R$4:$R$2003,$Z590-0)=0,"",INDEX(包装物料出入库明细!$R$4:$R$2003,$Z590-0)),IF($Z590&lt;=4000,IF(INDEX(周转筐出入库明细!$W$4:$W$2004,$Z590-2000)=0,"",INDEX(周转筐出入库明细!$W$4:$W$2004,$Z590-2000)),IF($Z590&lt;=5200,IF(INDEX(客户自备加工筐明细!$L$4:$L$1203,$Z590-4000)=0,"",INDEX(客户自备加工筐明细!$L$4:$L$1203,$Z590-4000)),IF($Z590&lt;=5800,IF(INDEX(次果筐明细!$P$4:$P$603,$Z590-5200)=0,"",INDEX(次果筐明细!$P$4:$P$603,$Z590-5200)),"")))))</f>
        <v/>
      </c>
      <c r="N590" s="16" t="str">
        <f>IF($Z590="","",IF($Z590&lt;=2000,"",IF($Z590&lt;=4000,IF(INDEX(周转筐出入库明细!$D$4:$D$2004,$Z590-2000)=0,"",INDEX(周转筐出入库明细!$D$4:$D$2004,$Z590-2000)),IF($Z590&lt;=5200,IF(INDEX(客户自备加工筐明细!$C$4:$C$1203,$Z590-4000)=0,"",INDEX(客户自备加工筐明细!$C$4:$C$1203,$Z590-4000)),IF($Z590&lt;=5800,IF(INDEX(次果筐明细!$D$4:$D$603,$Z590-5200)=0,"",INDEX(次果筐明细!$D$4:$D$603,$Z590-5200)),"")))))</f>
        <v/>
      </c>
      <c r="O590" s="40" t="str">
        <f>IF($Z590="","",IF($Z590&lt;=2000,"",IF($Z590&lt;=4000,IF(N(INDEX(周转筐出入库明细!$J$4:$J$2004,$Z590-2000))+N(INDEX(周转筐出入库明细!$K$4:$K$2004,$Z590-2000))=0,"",N(INDEX(周转筐出入库明细!$J$4:$J$2004,$Z590-2000))+N(INDEX(周转筐出入库明细!$K$4:$K$2004,$Z590-2000))),IF($Z590&lt;=5200,IF(N(INDEX(客户自备加工筐明细!$G$4:$G$1203,$Z590-4000))=0,"",N(INDEX(客户自备加工筐明细!$G$4:$G$1203,$Z590-4000))),IF($Z590&lt;=5800,IF(ISNUMBER(SEARCH("退",INDEX(次果筐明细!$F$4:$F$603,$Z590-5200)&amp;"")),"",IF(N(INDEX(次果筐明细!$G$4:$G$603,$Z590-5200))=0,"",N(INDEX(次果筐明细!$G$4:$G$603,$Z590-5200)))),"")))))</f>
        <v/>
      </c>
      <c r="P590" s="40" t="str">
        <f>IF($Z590="","",IF($Z590&lt;=2000,"",IF($Z590&lt;=4000,IF(N(INDEX(周转筐出入库明细!$I$4:$I$2004,$Z590-2000))=0,"",N(INDEX(周转筐出入库明细!$I$4:$I$2004,$Z590-2000))),IF($Z590&lt;=5200,"",IF($Z590&lt;=5800,IF(ISNUMBER(SEARCH("退",INDEX(次果筐明细!$F$4:$F$603,$Z590-5200)&amp;"")),IF(N(INDEX(次果筐明细!$G$4:$G$603,$Z590-5200))=0,"",N(INDEX(次果筐明细!$G$4:$G$603,$Z590-5200))),""),"")))))</f>
        <v/>
      </c>
      <c r="Q590" s="40" t="str">
        <f>IF($Z590="","",IF($Z590&lt;=2000,"",IF($Z590&lt;=4000,IF(N(INDEX(周转筐出入库明细!$H$4:$H$2004,$Z590-2000))=0,"",N(INDEX(周转筐出入库明细!$H$4:$H$2004,$Z590-2000))),IF($Z590&lt;=5200,IF(N(INDEX(客户自备加工筐明细!$F$4:$F$1203,$Z590-4000))=0,"",N(INDEX(客户自备加工筐明细!$F$4:$F$1203,$Z590-4000))),IF($Z590&lt;=5800,"","")))))</f>
        <v/>
      </c>
      <c r="R590" s="16" t="str">
        <f>IF($Z590="","",IF($Z590&lt;=2000,IF(INDEX(包装物料出入库明细!$O$4:$O$2003,$Z590-0)=0,"",INDEX(包装物料出入库明细!$O$4:$O$2003,$Z590-0)),IF($Z590&lt;=4000,IF(INDEX(周转筐出入库明细!$M$4:$M$2004,$Z590-2000)=0,"",INDEX(周转筐出入库明细!$M$4:$M$2004,$Z590-2000)),IF($Z590&lt;=5200,IF(INDEX(客户自备加工筐明细!$H$4:$H$1203,$Z590-4000)=0,"",INDEX(客户自备加工筐明细!$H$4:$H$1203,$Z590-4000)),IF($Z590&lt;=5800,IF(INDEX(次果筐明细!$H$4:$H$603,$Z590-5200)=0,"",INDEX(次果筐明细!$H$4:$H$603,$Z590-5200)),"")))))</f>
        <v/>
      </c>
      <c r="S590" s="22" t="str">
        <f t="shared" si="29"/>
        <v/>
      </c>
      <c r="Z590" s="10" t="str">
        <f>IFERROR(MATCH(ROW()-3,_自动清单!$CQ$4:$CQ$5803,0),"")</f>
        <v/>
      </c>
    </row>
    <row r="591" spans="1:26">
      <c r="A591" s="24" t="str">
        <f t="shared" si="27"/>
        <v/>
      </c>
      <c r="B591" s="38" t="str">
        <f>IF($Z591="","",IF($Z591&lt;=2000,IF(INDEX(包装物料出入库明细!$B$4:$B$2003,$Z591-0)=0,"",INDEX(包装物料出入库明细!$B$4:$B$2003,$Z591-0)),IF($Z591&lt;=4000,IF(INDEX(周转筐出入库明细!$B$4:$B$2004,$Z591-2000)=0,"",INDEX(周转筐出入库明细!$B$4:$B$2004,$Z591-2000)),IF($Z591&lt;=5200,IF(INDEX(客户自备加工筐明细!$B$4:$B$1203,$Z591-4000)=0,"",INDEX(客户自备加工筐明细!$B$4:$B$1203,$Z591-4000)),IF($Z591&lt;=5800,IF(INDEX(次果筐明细!$B$4:$B$603,$Z591-5200)=0,"",INDEX(次果筐明细!$B$4:$B$603,$Z591-5200)),"")))))</f>
        <v/>
      </c>
      <c r="C591" s="37" t="str">
        <f>IF($Z591="","",IF($Z591&lt;=2000,IF(INDEX(包装物料出入库明细!$D$4:$D$2003,$Z591-0)=0,"",INDEX(包装物料出入库明细!$D$4:$D$2003,$Z591-0)),IF($Z591&lt;=4000,IF(INDEX(周转筐出入库明细!$C$4:$C$2004,$Z591-2000)=0,"",INDEX(周转筐出入库明细!$C$4:$C$2004,$Z591-2000)),IF($Z591&lt;=5200,IF(INDEX(客户自备加工筐明细!$E$4:$E$1203,$Z591-4000)=0,"",INDEX(客户自备加工筐明细!$E$4:$E$1203,$Z591-4000)),IF($Z591&lt;=5800,IF(INDEX(次果筐明细!$C$4:$C$603,$Z591-5200)=0,"",INDEX(次果筐明细!$C$4:$C$603,$Z591-5200)),"")))))</f>
        <v/>
      </c>
      <c r="D591" s="37" t="str">
        <f>IF($Z591="","",IF($Z591&lt;=2000,"包装物料－"&amp;INDEX(包装物料出入库明细!$H$4:$H$2003,$Z591-0),IF($Z591&lt;=4000,"周转筐－"&amp;INDEX(周转筐出入库明细!$F$4:$F$2004,$Z591-2000),IF($Z591&lt;=5200,"客户自备筐－"&amp;INDEX(客户自备加工筐明细!$J$4:$J$1203,$Z591-4000),IF($Z591&lt;=5800,"次果筐/托盘－"&amp;INDEX(次果筐明细!$F$4:$F$603,$Z591-5200),"")))))</f>
        <v/>
      </c>
      <c r="E591" s="24" t="str">
        <f>IF($Z591="","",IF($Z591&lt;=2000,IF(INDEX(包装物料出入库明细!$C$4:$C$2003,$Z591-0)=0,"",INDEX(包装物料出入库明细!$C$4:$C$2003,$Z591-0)),IF($Z591&lt;=4000,IF(INDEX(周转筐出入库明细!$E$4:$E$2004,$Z591-2000)=0,"",INDEX(周转筐出入库明细!$E$4:$E$2004,$Z591-2000)),IF($Z591&lt;=5200,IF(INDEX(客户自备加工筐明细!$D$4:$D$1203,$Z591-4000)=0,"",INDEX(客户自备加工筐明细!$D$4:$D$1203,$Z591-4000)),IF($Z591&lt;=5800,IF(INDEX(次果筐明细!$E$4:$E$603,$Z591-5200)=0,"",INDEX(次果筐明细!$E$4:$E$603,$Z591-5200)),"")))))</f>
        <v/>
      </c>
      <c r="F591" s="24" t="str">
        <f>IF($Z591="","",IF($Z591&lt;=2000,IF(INDEX(包装物料出入库明细!$E$4:$E$2003,$Z591-0)=0,"",INDEX(包装物料出入库明细!$E$4:$E$2003,$Z591-0)),IF($Z591&lt;=4000,IF(INDEX(周转筐出入库明细!$D$4:$D$2004,$Z591-2000)=0,"",INDEX(周转筐出入库明细!$D$4:$D$2004,$Z591-2000)),IF($Z591&lt;=5200,IF(INDEX(客户自备加工筐明细!$C$4:$C$1203,$Z591-4000)=0,"",INDEX(客户自备加工筐明细!$C$4:$C$1203,$Z591-4000)),IF($Z591&lt;=5800,IF(INDEX(次果筐明细!$D$4:$D$603,$Z591-5200)=0,"",INDEX(次果筐明细!$D$4:$D$603,$Z591-5200)),"")))))</f>
        <v/>
      </c>
      <c r="G591" s="24" t="str">
        <f>IF($Z591="","",IF($Z591&lt;=2000,IF(INDEX(包装物料出入库明细!$F$4:$F$2003,$Z591-0)=0,"",INDEX(包装物料出入库明细!$F$4:$F$2003,$Z591-0)),IF($Z591&lt;=4000,"",IF($Z591&lt;=5200,"",IF($Z591&lt;=5800,"","")))))</f>
        <v/>
      </c>
      <c r="H591" s="39" t="str">
        <f>IF($Z591="","",IF($Z591&lt;=2000,IF(INDEX(包装物料出入库明细!$L$4:$L$2003,$Z591-0)=0,"",INDEX(包装物料出入库明细!$L$4:$L$2003,$Z591-0)),IF($Z591&lt;=4000,N(INDEX(周转筐出入库明细!$H$4:$H$2004,$Z591-2000))+N(INDEX(周转筐出入库明细!$I$4:$I$2004,$Z591-2000))+N(INDEX(周转筐出入库明细!$J$4:$J$2004,$Z591-2000))+N(INDEX(周转筐出入库明细!$K$4:$K$2004,$Z591-2000)),IF($Z591&lt;=5200,N(INDEX(客户自备加工筐明细!$F$4:$F$1203,$Z591-4000))+N(INDEX(客户自备加工筐明细!$G$4:$G$1203,$Z591-4000)),IF($Z591&lt;=5800,IF(INDEX(次果筐明细!$G$4:$G$603,$Z591-5200)=0,"",INDEX(次果筐明细!$G$4:$G$603,$Z591-5200)),"")))))</f>
        <v/>
      </c>
      <c r="I591" s="24" t="str">
        <f>IF($Z591="","",IF($Z591&lt;=2000,IF(INDEX(包装物料出入库明细!$G$4:$G$2003,$Z591-0)=0,"",INDEX(包装物料出入库明细!$G$4:$G$2003,$Z591-0)),IF($Z591&lt;=4000,"个",IF($Z591&lt;=5200,"个",IF($Z591&lt;=5800,"个","")))))</f>
        <v/>
      </c>
      <c r="J591" s="30" t="str">
        <f t="shared" si="28"/>
        <v/>
      </c>
      <c r="K591" s="30" t="str">
        <f>IF($Z591="","",IF($Z591&lt;=2000,IF(INDEX(包装物料出入库明细!$N$4:$N$2003,$Z591-0)=0,"",INDEX(包装物料出入库明细!$N$4:$N$2003,$Z591-0)),IF($Z591&lt;=4000,IF(INDEX(周转筐出入库明细!$P$4:$P$2004,$Z591-2000)=0,"",INDEX(周转筐出入库明细!$P$4:$P$2004,$Z591-2000)),IF($Z591&lt;=5200,"",IF($Z591&lt;=5800,N(INDEX(次果筐明细!$L$4:$L$603,$Z591-5200))+N(INDEX(次果筐明细!$J$4:$J$603,$Z591-5200)),"")))))</f>
        <v/>
      </c>
      <c r="L591" s="24" t="str">
        <f>IF($Z591="","",IF($Z591&lt;=2000,IF(INDEX(包装物料出入库明细!$P$4:$P$2003,$Z591-0)=0,"",INDEX(包装物料出入库明细!$P$4:$P$2003,$Z591-0)),IF($Z591&lt;=4000,IF(INDEX(周转筐出入库明细!$Q$4:$Q$2004,$Z591-2000)=0,"",INDEX(周转筐出入库明细!$Q$4:$Q$2004,$Z591-2000)),IF($Z591&lt;=5200,"",IF($Z591&lt;=5800,IF(INDEX(次果筐明细!$M$4:$M$603,$Z591-5200)=0,"",INDEX(次果筐明细!$M$4:$M$603,$Z591-5200)),"")))))</f>
        <v/>
      </c>
      <c r="M591" s="37" t="str">
        <f>IF($Z591="","",IF($Z591&lt;=2000,IF(INDEX(包装物料出入库明细!$R$4:$R$2003,$Z591-0)=0,"",INDEX(包装物料出入库明细!$R$4:$R$2003,$Z591-0)),IF($Z591&lt;=4000,IF(INDEX(周转筐出入库明细!$W$4:$W$2004,$Z591-2000)=0,"",INDEX(周转筐出入库明细!$W$4:$W$2004,$Z591-2000)),IF($Z591&lt;=5200,IF(INDEX(客户自备加工筐明细!$L$4:$L$1203,$Z591-4000)=0,"",INDEX(客户自备加工筐明细!$L$4:$L$1203,$Z591-4000)),IF($Z591&lt;=5800,IF(INDEX(次果筐明细!$P$4:$P$603,$Z591-5200)=0,"",INDEX(次果筐明细!$P$4:$P$603,$Z591-5200)),"")))))</f>
        <v/>
      </c>
      <c r="N591" s="16" t="str">
        <f>IF($Z591="","",IF($Z591&lt;=2000,"",IF($Z591&lt;=4000,IF(INDEX(周转筐出入库明细!$D$4:$D$2004,$Z591-2000)=0,"",INDEX(周转筐出入库明细!$D$4:$D$2004,$Z591-2000)),IF($Z591&lt;=5200,IF(INDEX(客户自备加工筐明细!$C$4:$C$1203,$Z591-4000)=0,"",INDEX(客户自备加工筐明细!$C$4:$C$1203,$Z591-4000)),IF($Z591&lt;=5800,IF(INDEX(次果筐明细!$D$4:$D$603,$Z591-5200)=0,"",INDEX(次果筐明细!$D$4:$D$603,$Z591-5200)),"")))))</f>
        <v/>
      </c>
      <c r="O591" s="40" t="str">
        <f>IF($Z591="","",IF($Z591&lt;=2000,"",IF($Z591&lt;=4000,IF(N(INDEX(周转筐出入库明细!$J$4:$J$2004,$Z591-2000))+N(INDEX(周转筐出入库明细!$K$4:$K$2004,$Z591-2000))=0,"",N(INDEX(周转筐出入库明细!$J$4:$J$2004,$Z591-2000))+N(INDEX(周转筐出入库明细!$K$4:$K$2004,$Z591-2000))),IF($Z591&lt;=5200,IF(N(INDEX(客户自备加工筐明细!$G$4:$G$1203,$Z591-4000))=0,"",N(INDEX(客户自备加工筐明细!$G$4:$G$1203,$Z591-4000))),IF($Z591&lt;=5800,IF(ISNUMBER(SEARCH("退",INDEX(次果筐明细!$F$4:$F$603,$Z591-5200)&amp;"")),"",IF(N(INDEX(次果筐明细!$G$4:$G$603,$Z591-5200))=0,"",N(INDEX(次果筐明细!$G$4:$G$603,$Z591-5200)))),"")))))</f>
        <v/>
      </c>
      <c r="P591" s="40" t="str">
        <f>IF($Z591="","",IF($Z591&lt;=2000,"",IF($Z591&lt;=4000,IF(N(INDEX(周转筐出入库明细!$I$4:$I$2004,$Z591-2000))=0,"",N(INDEX(周转筐出入库明细!$I$4:$I$2004,$Z591-2000))),IF($Z591&lt;=5200,"",IF($Z591&lt;=5800,IF(ISNUMBER(SEARCH("退",INDEX(次果筐明细!$F$4:$F$603,$Z591-5200)&amp;"")),IF(N(INDEX(次果筐明细!$G$4:$G$603,$Z591-5200))=0,"",N(INDEX(次果筐明细!$G$4:$G$603,$Z591-5200))),""),"")))))</f>
        <v/>
      </c>
      <c r="Q591" s="40" t="str">
        <f>IF($Z591="","",IF($Z591&lt;=2000,"",IF($Z591&lt;=4000,IF(N(INDEX(周转筐出入库明细!$H$4:$H$2004,$Z591-2000))=0,"",N(INDEX(周转筐出入库明细!$H$4:$H$2004,$Z591-2000))),IF($Z591&lt;=5200,IF(N(INDEX(客户自备加工筐明细!$F$4:$F$1203,$Z591-4000))=0,"",N(INDEX(客户自备加工筐明细!$F$4:$F$1203,$Z591-4000))),IF($Z591&lt;=5800,"","")))))</f>
        <v/>
      </c>
      <c r="R591" s="16" t="str">
        <f>IF($Z591="","",IF($Z591&lt;=2000,IF(INDEX(包装物料出入库明细!$O$4:$O$2003,$Z591-0)=0,"",INDEX(包装物料出入库明细!$O$4:$O$2003,$Z591-0)),IF($Z591&lt;=4000,IF(INDEX(周转筐出入库明细!$M$4:$M$2004,$Z591-2000)=0,"",INDEX(周转筐出入库明细!$M$4:$M$2004,$Z591-2000)),IF($Z591&lt;=5200,IF(INDEX(客户自备加工筐明细!$H$4:$H$1203,$Z591-4000)=0,"",INDEX(客户自备加工筐明细!$H$4:$H$1203,$Z591-4000)),IF($Z591&lt;=5800,IF(INDEX(次果筐明细!$H$4:$H$603,$Z591-5200)=0,"",INDEX(次果筐明细!$H$4:$H$603,$Z591-5200)),"")))))</f>
        <v/>
      </c>
      <c r="S591" s="22" t="str">
        <f t="shared" si="29"/>
        <v/>
      </c>
      <c r="Z591" s="10" t="str">
        <f>IFERROR(MATCH(ROW()-3,_自动清单!$CQ$4:$CQ$5803,0),"")</f>
        <v/>
      </c>
    </row>
    <row r="592" spans="1:26">
      <c r="A592" s="24" t="str">
        <f t="shared" si="27"/>
        <v/>
      </c>
      <c r="B592" s="38" t="str">
        <f>IF($Z592="","",IF($Z592&lt;=2000,IF(INDEX(包装物料出入库明细!$B$4:$B$2003,$Z592-0)=0,"",INDEX(包装物料出入库明细!$B$4:$B$2003,$Z592-0)),IF($Z592&lt;=4000,IF(INDEX(周转筐出入库明细!$B$4:$B$2004,$Z592-2000)=0,"",INDEX(周转筐出入库明细!$B$4:$B$2004,$Z592-2000)),IF($Z592&lt;=5200,IF(INDEX(客户自备加工筐明细!$B$4:$B$1203,$Z592-4000)=0,"",INDEX(客户自备加工筐明细!$B$4:$B$1203,$Z592-4000)),IF($Z592&lt;=5800,IF(INDEX(次果筐明细!$B$4:$B$603,$Z592-5200)=0,"",INDEX(次果筐明细!$B$4:$B$603,$Z592-5200)),"")))))</f>
        <v/>
      </c>
      <c r="C592" s="37" t="str">
        <f>IF($Z592="","",IF($Z592&lt;=2000,IF(INDEX(包装物料出入库明细!$D$4:$D$2003,$Z592-0)=0,"",INDEX(包装物料出入库明细!$D$4:$D$2003,$Z592-0)),IF($Z592&lt;=4000,IF(INDEX(周转筐出入库明细!$C$4:$C$2004,$Z592-2000)=0,"",INDEX(周转筐出入库明细!$C$4:$C$2004,$Z592-2000)),IF($Z592&lt;=5200,IF(INDEX(客户自备加工筐明细!$E$4:$E$1203,$Z592-4000)=0,"",INDEX(客户自备加工筐明细!$E$4:$E$1203,$Z592-4000)),IF($Z592&lt;=5800,IF(INDEX(次果筐明细!$C$4:$C$603,$Z592-5200)=0,"",INDEX(次果筐明细!$C$4:$C$603,$Z592-5200)),"")))))</f>
        <v/>
      </c>
      <c r="D592" s="37" t="str">
        <f>IF($Z592="","",IF($Z592&lt;=2000,"包装物料－"&amp;INDEX(包装物料出入库明细!$H$4:$H$2003,$Z592-0),IF($Z592&lt;=4000,"周转筐－"&amp;INDEX(周转筐出入库明细!$F$4:$F$2004,$Z592-2000),IF($Z592&lt;=5200,"客户自备筐－"&amp;INDEX(客户自备加工筐明细!$J$4:$J$1203,$Z592-4000),IF($Z592&lt;=5800,"次果筐/托盘－"&amp;INDEX(次果筐明细!$F$4:$F$603,$Z592-5200),"")))))</f>
        <v/>
      </c>
      <c r="E592" s="24" t="str">
        <f>IF($Z592="","",IF($Z592&lt;=2000,IF(INDEX(包装物料出入库明细!$C$4:$C$2003,$Z592-0)=0,"",INDEX(包装物料出入库明细!$C$4:$C$2003,$Z592-0)),IF($Z592&lt;=4000,IF(INDEX(周转筐出入库明细!$E$4:$E$2004,$Z592-2000)=0,"",INDEX(周转筐出入库明细!$E$4:$E$2004,$Z592-2000)),IF($Z592&lt;=5200,IF(INDEX(客户自备加工筐明细!$D$4:$D$1203,$Z592-4000)=0,"",INDEX(客户自备加工筐明细!$D$4:$D$1203,$Z592-4000)),IF($Z592&lt;=5800,IF(INDEX(次果筐明细!$E$4:$E$603,$Z592-5200)=0,"",INDEX(次果筐明细!$E$4:$E$603,$Z592-5200)),"")))))</f>
        <v/>
      </c>
      <c r="F592" s="24" t="str">
        <f>IF($Z592="","",IF($Z592&lt;=2000,IF(INDEX(包装物料出入库明细!$E$4:$E$2003,$Z592-0)=0,"",INDEX(包装物料出入库明细!$E$4:$E$2003,$Z592-0)),IF($Z592&lt;=4000,IF(INDEX(周转筐出入库明细!$D$4:$D$2004,$Z592-2000)=0,"",INDEX(周转筐出入库明细!$D$4:$D$2004,$Z592-2000)),IF($Z592&lt;=5200,IF(INDEX(客户自备加工筐明细!$C$4:$C$1203,$Z592-4000)=0,"",INDEX(客户自备加工筐明细!$C$4:$C$1203,$Z592-4000)),IF($Z592&lt;=5800,IF(INDEX(次果筐明细!$D$4:$D$603,$Z592-5200)=0,"",INDEX(次果筐明细!$D$4:$D$603,$Z592-5200)),"")))))</f>
        <v/>
      </c>
      <c r="G592" s="24" t="str">
        <f>IF($Z592="","",IF($Z592&lt;=2000,IF(INDEX(包装物料出入库明细!$F$4:$F$2003,$Z592-0)=0,"",INDEX(包装物料出入库明细!$F$4:$F$2003,$Z592-0)),IF($Z592&lt;=4000,"",IF($Z592&lt;=5200,"",IF($Z592&lt;=5800,"","")))))</f>
        <v/>
      </c>
      <c r="H592" s="39" t="str">
        <f>IF($Z592="","",IF($Z592&lt;=2000,IF(INDEX(包装物料出入库明细!$L$4:$L$2003,$Z592-0)=0,"",INDEX(包装物料出入库明细!$L$4:$L$2003,$Z592-0)),IF($Z592&lt;=4000,N(INDEX(周转筐出入库明细!$H$4:$H$2004,$Z592-2000))+N(INDEX(周转筐出入库明细!$I$4:$I$2004,$Z592-2000))+N(INDEX(周转筐出入库明细!$J$4:$J$2004,$Z592-2000))+N(INDEX(周转筐出入库明细!$K$4:$K$2004,$Z592-2000)),IF($Z592&lt;=5200,N(INDEX(客户自备加工筐明细!$F$4:$F$1203,$Z592-4000))+N(INDEX(客户自备加工筐明细!$G$4:$G$1203,$Z592-4000)),IF($Z592&lt;=5800,IF(INDEX(次果筐明细!$G$4:$G$603,$Z592-5200)=0,"",INDEX(次果筐明细!$G$4:$G$603,$Z592-5200)),"")))))</f>
        <v/>
      </c>
      <c r="I592" s="24" t="str">
        <f>IF($Z592="","",IF($Z592&lt;=2000,IF(INDEX(包装物料出入库明细!$G$4:$G$2003,$Z592-0)=0,"",INDEX(包装物料出入库明细!$G$4:$G$2003,$Z592-0)),IF($Z592&lt;=4000,"个",IF($Z592&lt;=5200,"个",IF($Z592&lt;=5800,"个","")))))</f>
        <v/>
      </c>
      <c r="J592" s="30" t="str">
        <f t="shared" si="28"/>
        <v/>
      </c>
      <c r="K592" s="30" t="str">
        <f>IF($Z592="","",IF($Z592&lt;=2000,IF(INDEX(包装物料出入库明细!$N$4:$N$2003,$Z592-0)=0,"",INDEX(包装物料出入库明细!$N$4:$N$2003,$Z592-0)),IF($Z592&lt;=4000,IF(INDEX(周转筐出入库明细!$P$4:$P$2004,$Z592-2000)=0,"",INDEX(周转筐出入库明细!$P$4:$P$2004,$Z592-2000)),IF($Z592&lt;=5200,"",IF($Z592&lt;=5800,N(INDEX(次果筐明细!$L$4:$L$603,$Z592-5200))+N(INDEX(次果筐明细!$J$4:$J$603,$Z592-5200)),"")))))</f>
        <v/>
      </c>
      <c r="L592" s="24" t="str">
        <f>IF($Z592="","",IF($Z592&lt;=2000,IF(INDEX(包装物料出入库明细!$P$4:$P$2003,$Z592-0)=0,"",INDEX(包装物料出入库明细!$P$4:$P$2003,$Z592-0)),IF($Z592&lt;=4000,IF(INDEX(周转筐出入库明细!$Q$4:$Q$2004,$Z592-2000)=0,"",INDEX(周转筐出入库明细!$Q$4:$Q$2004,$Z592-2000)),IF($Z592&lt;=5200,"",IF($Z592&lt;=5800,IF(INDEX(次果筐明细!$M$4:$M$603,$Z592-5200)=0,"",INDEX(次果筐明细!$M$4:$M$603,$Z592-5200)),"")))))</f>
        <v/>
      </c>
      <c r="M592" s="37" t="str">
        <f>IF($Z592="","",IF($Z592&lt;=2000,IF(INDEX(包装物料出入库明细!$R$4:$R$2003,$Z592-0)=0,"",INDEX(包装物料出入库明细!$R$4:$R$2003,$Z592-0)),IF($Z592&lt;=4000,IF(INDEX(周转筐出入库明细!$W$4:$W$2004,$Z592-2000)=0,"",INDEX(周转筐出入库明细!$W$4:$W$2004,$Z592-2000)),IF($Z592&lt;=5200,IF(INDEX(客户自备加工筐明细!$L$4:$L$1203,$Z592-4000)=0,"",INDEX(客户自备加工筐明细!$L$4:$L$1203,$Z592-4000)),IF($Z592&lt;=5800,IF(INDEX(次果筐明细!$P$4:$P$603,$Z592-5200)=0,"",INDEX(次果筐明细!$P$4:$P$603,$Z592-5200)),"")))))</f>
        <v/>
      </c>
      <c r="N592" s="16" t="str">
        <f>IF($Z592="","",IF($Z592&lt;=2000,"",IF($Z592&lt;=4000,IF(INDEX(周转筐出入库明细!$D$4:$D$2004,$Z592-2000)=0,"",INDEX(周转筐出入库明细!$D$4:$D$2004,$Z592-2000)),IF($Z592&lt;=5200,IF(INDEX(客户自备加工筐明细!$C$4:$C$1203,$Z592-4000)=0,"",INDEX(客户自备加工筐明细!$C$4:$C$1203,$Z592-4000)),IF($Z592&lt;=5800,IF(INDEX(次果筐明细!$D$4:$D$603,$Z592-5200)=0,"",INDEX(次果筐明细!$D$4:$D$603,$Z592-5200)),"")))))</f>
        <v/>
      </c>
      <c r="O592" s="40" t="str">
        <f>IF($Z592="","",IF($Z592&lt;=2000,"",IF($Z592&lt;=4000,IF(N(INDEX(周转筐出入库明细!$J$4:$J$2004,$Z592-2000))+N(INDEX(周转筐出入库明细!$K$4:$K$2004,$Z592-2000))=0,"",N(INDEX(周转筐出入库明细!$J$4:$J$2004,$Z592-2000))+N(INDEX(周转筐出入库明细!$K$4:$K$2004,$Z592-2000))),IF($Z592&lt;=5200,IF(N(INDEX(客户自备加工筐明细!$G$4:$G$1203,$Z592-4000))=0,"",N(INDEX(客户自备加工筐明细!$G$4:$G$1203,$Z592-4000))),IF($Z592&lt;=5800,IF(ISNUMBER(SEARCH("退",INDEX(次果筐明细!$F$4:$F$603,$Z592-5200)&amp;"")),"",IF(N(INDEX(次果筐明细!$G$4:$G$603,$Z592-5200))=0,"",N(INDEX(次果筐明细!$G$4:$G$603,$Z592-5200)))),"")))))</f>
        <v/>
      </c>
      <c r="P592" s="40" t="str">
        <f>IF($Z592="","",IF($Z592&lt;=2000,"",IF($Z592&lt;=4000,IF(N(INDEX(周转筐出入库明细!$I$4:$I$2004,$Z592-2000))=0,"",N(INDEX(周转筐出入库明细!$I$4:$I$2004,$Z592-2000))),IF($Z592&lt;=5200,"",IF($Z592&lt;=5800,IF(ISNUMBER(SEARCH("退",INDEX(次果筐明细!$F$4:$F$603,$Z592-5200)&amp;"")),IF(N(INDEX(次果筐明细!$G$4:$G$603,$Z592-5200))=0,"",N(INDEX(次果筐明细!$G$4:$G$603,$Z592-5200))),""),"")))))</f>
        <v/>
      </c>
      <c r="Q592" s="40" t="str">
        <f>IF($Z592="","",IF($Z592&lt;=2000,"",IF($Z592&lt;=4000,IF(N(INDEX(周转筐出入库明细!$H$4:$H$2004,$Z592-2000))=0,"",N(INDEX(周转筐出入库明细!$H$4:$H$2004,$Z592-2000))),IF($Z592&lt;=5200,IF(N(INDEX(客户自备加工筐明细!$F$4:$F$1203,$Z592-4000))=0,"",N(INDEX(客户自备加工筐明细!$F$4:$F$1203,$Z592-4000))),IF($Z592&lt;=5800,"","")))))</f>
        <v/>
      </c>
      <c r="R592" s="16" t="str">
        <f>IF($Z592="","",IF($Z592&lt;=2000,IF(INDEX(包装物料出入库明细!$O$4:$O$2003,$Z592-0)=0,"",INDEX(包装物料出入库明细!$O$4:$O$2003,$Z592-0)),IF($Z592&lt;=4000,IF(INDEX(周转筐出入库明细!$M$4:$M$2004,$Z592-2000)=0,"",INDEX(周转筐出入库明细!$M$4:$M$2004,$Z592-2000)),IF($Z592&lt;=5200,IF(INDEX(客户自备加工筐明细!$H$4:$H$1203,$Z592-4000)=0,"",INDEX(客户自备加工筐明细!$H$4:$H$1203,$Z592-4000)),IF($Z592&lt;=5800,IF(INDEX(次果筐明细!$H$4:$H$603,$Z592-5200)=0,"",INDEX(次果筐明细!$H$4:$H$603,$Z592-5200)),"")))))</f>
        <v/>
      </c>
      <c r="S592" s="22" t="str">
        <f t="shared" si="29"/>
        <v/>
      </c>
      <c r="Z592" s="10" t="str">
        <f>IFERROR(MATCH(ROW()-3,_自动清单!$CQ$4:$CQ$5803,0),"")</f>
        <v/>
      </c>
    </row>
    <row r="593" spans="1:26">
      <c r="A593" s="24" t="str">
        <f t="shared" si="27"/>
        <v/>
      </c>
      <c r="B593" s="38" t="str">
        <f>IF($Z593="","",IF($Z593&lt;=2000,IF(INDEX(包装物料出入库明细!$B$4:$B$2003,$Z593-0)=0,"",INDEX(包装物料出入库明细!$B$4:$B$2003,$Z593-0)),IF($Z593&lt;=4000,IF(INDEX(周转筐出入库明细!$B$4:$B$2004,$Z593-2000)=0,"",INDEX(周转筐出入库明细!$B$4:$B$2004,$Z593-2000)),IF($Z593&lt;=5200,IF(INDEX(客户自备加工筐明细!$B$4:$B$1203,$Z593-4000)=0,"",INDEX(客户自备加工筐明细!$B$4:$B$1203,$Z593-4000)),IF($Z593&lt;=5800,IF(INDEX(次果筐明细!$B$4:$B$603,$Z593-5200)=0,"",INDEX(次果筐明细!$B$4:$B$603,$Z593-5200)),"")))))</f>
        <v/>
      </c>
      <c r="C593" s="37" t="str">
        <f>IF($Z593="","",IF($Z593&lt;=2000,IF(INDEX(包装物料出入库明细!$D$4:$D$2003,$Z593-0)=0,"",INDEX(包装物料出入库明细!$D$4:$D$2003,$Z593-0)),IF($Z593&lt;=4000,IF(INDEX(周转筐出入库明细!$C$4:$C$2004,$Z593-2000)=0,"",INDEX(周转筐出入库明细!$C$4:$C$2004,$Z593-2000)),IF($Z593&lt;=5200,IF(INDEX(客户自备加工筐明细!$E$4:$E$1203,$Z593-4000)=0,"",INDEX(客户自备加工筐明细!$E$4:$E$1203,$Z593-4000)),IF($Z593&lt;=5800,IF(INDEX(次果筐明细!$C$4:$C$603,$Z593-5200)=0,"",INDEX(次果筐明细!$C$4:$C$603,$Z593-5200)),"")))))</f>
        <v/>
      </c>
      <c r="D593" s="37" t="str">
        <f>IF($Z593="","",IF($Z593&lt;=2000,"包装物料－"&amp;INDEX(包装物料出入库明细!$H$4:$H$2003,$Z593-0),IF($Z593&lt;=4000,"周转筐－"&amp;INDEX(周转筐出入库明细!$F$4:$F$2004,$Z593-2000),IF($Z593&lt;=5200,"客户自备筐－"&amp;INDEX(客户自备加工筐明细!$J$4:$J$1203,$Z593-4000),IF($Z593&lt;=5800,"次果筐/托盘－"&amp;INDEX(次果筐明细!$F$4:$F$603,$Z593-5200),"")))))</f>
        <v/>
      </c>
      <c r="E593" s="24" t="str">
        <f>IF($Z593="","",IF($Z593&lt;=2000,IF(INDEX(包装物料出入库明细!$C$4:$C$2003,$Z593-0)=0,"",INDEX(包装物料出入库明细!$C$4:$C$2003,$Z593-0)),IF($Z593&lt;=4000,IF(INDEX(周转筐出入库明细!$E$4:$E$2004,$Z593-2000)=0,"",INDEX(周转筐出入库明细!$E$4:$E$2004,$Z593-2000)),IF($Z593&lt;=5200,IF(INDEX(客户自备加工筐明细!$D$4:$D$1203,$Z593-4000)=0,"",INDEX(客户自备加工筐明细!$D$4:$D$1203,$Z593-4000)),IF($Z593&lt;=5800,IF(INDEX(次果筐明细!$E$4:$E$603,$Z593-5200)=0,"",INDEX(次果筐明细!$E$4:$E$603,$Z593-5200)),"")))))</f>
        <v/>
      </c>
      <c r="F593" s="24" t="str">
        <f>IF($Z593="","",IF($Z593&lt;=2000,IF(INDEX(包装物料出入库明细!$E$4:$E$2003,$Z593-0)=0,"",INDEX(包装物料出入库明细!$E$4:$E$2003,$Z593-0)),IF($Z593&lt;=4000,IF(INDEX(周转筐出入库明细!$D$4:$D$2004,$Z593-2000)=0,"",INDEX(周转筐出入库明细!$D$4:$D$2004,$Z593-2000)),IF($Z593&lt;=5200,IF(INDEX(客户自备加工筐明细!$C$4:$C$1203,$Z593-4000)=0,"",INDEX(客户自备加工筐明细!$C$4:$C$1203,$Z593-4000)),IF($Z593&lt;=5800,IF(INDEX(次果筐明细!$D$4:$D$603,$Z593-5200)=0,"",INDEX(次果筐明细!$D$4:$D$603,$Z593-5200)),"")))))</f>
        <v/>
      </c>
      <c r="G593" s="24" t="str">
        <f>IF($Z593="","",IF($Z593&lt;=2000,IF(INDEX(包装物料出入库明细!$F$4:$F$2003,$Z593-0)=0,"",INDEX(包装物料出入库明细!$F$4:$F$2003,$Z593-0)),IF($Z593&lt;=4000,"",IF($Z593&lt;=5200,"",IF($Z593&lt;=5800,"","")))))</f>
        <v/>
      </c>
      <c r="H593" s="39" t="str">
        <f>IF($Z593="","",IF($Z593&lt;=2000,IF(INDEX(包装物料出入库明细!$L$4:$L$2003,$Z593-0)=0,"",INDEX(包装物料出入库明细!$L$4:$L$2003,$Z593-0)),IF($Z593&lt;=4000,N(INDEX(周转筐出入库明细!$H$4:$H$2004,$Z593-2000))+N(INDEX(周转筐出入库明细!$I$4:$I$2004,$Z593-2000))+N(INDEX(周转筐出入库明细!$J$4:$J$2004,$Z593-2000))+N(INDEX(周转筐出入库明细!$K$4:$K$2004,$Z593-2000)),IF($Z593&lt;=5200,N(INDEX(客户自备加工筐明细!$F$4:$F$1203,$Z593-4000))+N(INDEX(客户自备加工筐明细!$G$4:$G$1203,$Z593-4000)),IF($Z593&lt;=5800,IF(INDEX(次果筐明细!$G$4:$G$603,$Z593-5200)=0,"",INDEX(次果筐明细!$G$4:$G$603,$Z593-5200)),"")))))</f>
        <v/>
      </c>
      <c r="I593" s="24" t="str">
        <f>IF($Z593="","",IF($Z593&lt;=2000,IF(INDEX(包装物料出入库明细!$G$4:$G$2003,$Z593-0)=0,"",INDEX(包装物料出入库明细!$G$4:$G$2003,$Z593-0)),IF($Z593&lt;=4000,"个",IF($Z593&lt;=5200,"个",IF($Z593&lt;=5800,"个","")))))</f>
        <v/>
      </c>
      <c r="J593" s="30" t="str">
        <f t="shared" si="28"/>
        <v/>
      </c>
      <c r="K593" s="30" t="str">
        <f>IF($Z593="","",IF($Z593&lt;=2000,IF(INDEX(包装物料出入库明细!$N$4:$N$2003,$Z593-0)=0,"",INDEX(包装物料出入库明细!$N$4:$N$2003,$Z593-0)),IF($Z593&lt;=4000,IF(INDEX(周转筐出入库明细!$P$4:$P$2004,$Z593-2000)=0,"",INDEX(周转筐出入库明细!$P$4:$P$2004,$Z593-2000)),IF($Z593&lt;=5200,"",IF($Z593&lt;=5800,N(INDEX(次果筐明细!$L$4:$L$603,$Z593-5200))+N(INDEX(次果筐明细!$J$4:$J$603,$Z593-5200)),"")))))</f>
        <v/>
      </c>
      <c r="L593" s="24" t="str">
        <f>IF($Z593="","",IF($Z593&lt;=2000,IF(INDEX(包装物料出入库明细!$P$4:$P$2003,$Z593-0)=0,"",INDEX(包装物料出入库明细!$P$4:$P$2003,$Z593-0)),IF($Z593&lt;=4000,IF(INDEX(周转筐出入库明细!$Q$4:$Q$2004,$Z593-2000)=0,"",INDEX(周转筐出入库明细!$Q$4:$Q$2004,$Z593-2000)),IF($Z593&lt;=5200,"",IF($Z593&lt;=5800,IF(INDEX(次果筐明细!$M$4:$M$603,$Z593-5200)=0,"",INDEX(次果筐明细!$M$4:$M$603,$Z593-5200)),"")))))</f>
        <v/>
      </c>
      <c r="M593" s="37" t="str">
        <f>IF($Z593="","",IF($Z593&lt;=2000,IF(INDEX(包装物料出入库明细!$R$4:$R$2003,$Z593-0)=0,"",INDEX(包装物料出入库明细!$R$4:$R$2003,$Z593-0)),IF($Z593&lt;=4000,IF(INDEX(周转筐出入库明细!$W$4:$W$2004,$Z593-2000)=0,"",INDEX(周转筐出入库明细!$W$4:$W$2004,$Z593-2000)),IF($Z593&lt;=5200,IF(INDEX(客户自备加工筐明细!$L$4:$L$1203,$Z593-4000)=0,"",INDEX(客户自备加工筐明细!$L$4:$L$1203,$Z593-4000)),IF($Z593&lt;=5800,IF(INDEX(次果筐明细!$P$4:$P$603,$Z593-5200)=0,"",INDEX(次果筐明细!$P$4:$P$603,$Z593-5200)),"")))))</f>
        <v/>
      </c>
      <c r="N593" s="16" t="str">
        <f>IF($Z593="","",IF($Z593&lt;=2000,"",IF($Z593&lt;=4000,IF(INDEX(周转筐出入库明细!$D$4:$D$2004,$Z593-2000)=0,"",INDEX(周转筐出入库明细!$D$4:$D$2004,$Z593-2000)),IF($Z593&lt;=5200,IF(INDEX(客户自备加工筐明细!$C$4:$C$1203,$Z593-4000)=0,"",INDEX(客户自备加工筐明细!$C$4:$C$1203,$Z593-4000)),IF($Z593&lt;=5800,IF(INDEX(次果筐明细!$D$4:$D$603,$Z593-5200)=0,"",INDEX(次果筐明细!$D$4:$D$603,$Z593-5200)),"")))))</f>
        <v/>
      </c>
      <c r="O593" s="40" t="str">
        <f>IF($Z593="","",IF($Z593&lt;=2000,"",IF($Z593&lt;=4000,IF(N(INDEX(周转筐出入库明细!$J$4:$J$2004,$Z593-2000))+N(INDEX(周转筐出入库明细!$K$4:$K$2004,$Z593-2000))=0,"",N(INDEX(周转筐出入库明细!$J$4:$J$2004,$Z593-2000))+N(INDEX(周转筐出入库明细!$K$4:$K$2004,$Z593-2000))),IF($Z593&lt;=5200,IF(N(INDEX(客户自备加工筐明细!$G$4:$G$1203,$Z593-4000))=0,"",N(INDEX(客户自备加工筐明细!$G$4:$G$1203,$Z593-4000))),IF($Z593&lt;=5800,IF(ISNUMBER(SEARCH("退",INDEX(次果筐明细!$F$4:$F$603,$Z593-5200)&amp;"")),"",IF(N(INDEX(次果筐明细!$G$4:$G$603,$Z593-5200))=0,"",N(INDEX(次果筐明细!$G$4:$G$603,$Z593-5200)))),"")))))</f>
        <v/>
      </c>
      <c r="P593" s="40" t="str">
        <f>IF($Z593="","",IF($Z593&lt;=2000,"",IF($Z593&lt;=4000,IF(N(INDEX(周转筐出入库明细!$I$4:$I$2004,$Z593-2000))=0,"",N(INDEX(周转筐出入库明细!$I$4:$I$2004,$Z593-2000))),IF($Z593&lt;=5200,"",IF($Z593&lt;=5800,IF(ISNUMBER(SEARCH("退",INDEX(次果筐明细!$F$4:$F$603,$Z593-5200)&amp;"")),IF(N(INDEX(次果筐明细!$G$4:$G$603,$Z593-5200))=0,"",N(INDEX(次果筐明细!$G$4:$G$603,$Z593-5200))),""),"")))))</f>
        <v/>
      </c>
      <c r="Q593" s="40" t="str">
        <f>IF($Z593="","",IF($Z593&lt;=2000,"",IF($Z593&lt;=4000,IF(N(INDEX(周转筐出入库明细!$H$4:$H$2004,$Z593-2000))=0,"",N(INDEX(周转筐出入库明细!$H$4:$H$2004,$Z593-2000))),IF($Z593&lt;=5200,IF(N(INDEX(客户自备加工筐明细!$F$4:$F$1203,$Z593-4000))=0,"",N(INDEX(客户自备加工筐明细!$F$4:$F$1203,$Z593-4000))),IF($Z593&lt;=5800,"","")))))</f>
        <v/>
      </c>
      <c r="R593" s="16" t="str">
        <f>IF($Z593="","",IF($Z593&lt;=2000,IF(INDEX(包装物料出入库明细!$O$4:$O$2003,$Z593-0)=0,"",INDEX(包装物料出入库明细!$O$4:$O$2003,$Z593-0)),IF($Z593&lt;=4000,IF(INDEX(周转筐出入库明细!$M$4:$M$2004,$Z593-2000)=0,"",INDEX(周转筐出入库明细!$M$4:$M$2004,$Z593-2000)),IF($Z593&lt;=5200,IF(INDEX(客户自备加工筐明细!$H$4:$H$1203,$Z593-4000)=0,"",INDEX(客户自备加工筐明细!$H$4:$H$1203,$Z593-4000)),IF($Z593&lt;=5800,IF(INDEX(次果筐明细!$H$4:$H$603,$Z593-5200)=0,"",INDEX(次果筐明细!$H$4:$H$603,$Z593-5200)),"")))))</f>
        <v/>
      </c>
      <c r="S593" s="22" t="str">
        <f t="shared" si="29"/>
        <v/>
      </c>
      <c r="Z593" s="10" t="str">
        <f>IFERROR(MATCH(ROW()-3,_自动清单!$CQ$4:$CQ$5803,0),"")</f>
        <v/>
      </c>
    </row>
    <row r="594" spans="1:26">
      <c r="A594" s="24" t="str">
        <f t="shared" si="27"/>
        <v/>
      </c>
      <c r="B594" s="38" t="str">
        <f>IF($Z594="","",IF($Z594&lt;=2000,IF(INDEX(包装物料出入库明细!$B$4:$B$2003,$Z594-0)=0,"",INDEX(包装物料出入库明细!$B$4:$B$2003,$Z594-0)),IF($Z594&lt;=4000,IF(INDEX(周转筐出入库明细!$B$4:$B$2004,$Z594-2000)=0,"",INDEX(周转筐出入库明细!$B$4:$B$2004,$Z594-2000)),IF($Z594&lt;=5200,IF(INDEX(客户自备加工筐明细!$B$4:$B$1203,$Z594-4000)=0,"",INDEX(客户自备加工筐明细!$B$4:$B$1203,$Z594-4000)),IF($Z594&lt;=5800,IF(INDEX(次果筐明细!$B$4:$B$603,$Z594-5200)=0,"",INDEX(次果筐明细!$B$4:$B$603,$Z594-5200)),"")))))</f>
        <v/>
      </c>
      <c r="C594" s="37" t="str">
        <f>IF($Z594="","",IF($Z594&lt;=2000,IF(INDEX(包装物料出入库明细!$D$4:$D$2003,$Z594-0)=0,"",INDEX(包装物料出入库明细!$D$4:$D$2003,$Z594-0)),IF($Z594&lt;=4000,IF(INDEX(周转筐出入库明细!$C$4:$C$2004,$Z594-2000)=0,"",INDEX(周转筐出入库明细!$C$4:$C$2004,$Z594-2000)),IF($Z594&lt;=5200,IF(INDEX(客户自备加工筐明细!$E$4:$E$1203,$Z594-4000)=0,"",INDEX(客户自备加工筐明细!$E$4:$E$1203,$Z594-4000)),IF($Z594&lt;=5800,IF(INDEX(次果筐明细!$C$4:$C$603,$Z594-5200)=0,"",INDEX(次果筐明细!$C$4:$C$603,$Z594-5200)),"")))))</f>
        <v/>
      </c>
      <c r="D594" s="37" t="str">
        <f>IF($Z594="","",IF($Z594&lt;=2000,"包装物料－"&amp;INDEX(包装物料出入库明细!$H$4:$H$2003,$Z594-0),IF($Z594&lt;=4000,"周转筐－"&amp;INDEX(周转筐出入库明细!$F$4:$F$2004,$Z594-2000),IF($Z594&lt;=5200,"客户自备筐－"&amp;INDEX(客户自备加工筐明细!$J$4:$J$1203,$Z594-4000),IF($Z594&lt;=5800,"次果筐/托盘－"&amp;INDEX(次果筐明细!$F$4:$F$603,$Z594-5200),"")))))</f>
        <v/>
      </c>
      <c r="E594" s="24" t="str">
        <f>IF($Z594="","",IF($Z594&lt;=2000,IF(INDEX(包装物料出入库明细!$C$4:$C$2003,$Z594-0)=0,"",INDEX(包装物料出入库明细!$C$4:$C$2003,$Z594-0)),IF($Z594&lt;=4000,IF(INDEX(周转筐出入库明细!$E$4:$E$2004,$Z594-2000)=0,"",INDEX(周转筐出入库明细!$E$4:$E$2004,$Z594-2000)),IF($Z594&lt;=5200,IF(INDEX(客户自备加工筐明细!$D$4:$D$1203,$Z594-4000)=0,"",INDEX(客户自备加工筐明细!$D$4:$D$1203,$Z594-4000)),IF($Z594&lt;=5800,IF(INDEX(次果筐明细!$E$4:$E$603,$Z594-5200)=0,"",INDEX(次果筐明细!$E$4:$E$603,$Z594-5200)),"")))))</f>
        <v/>
      </c>
      <c r="F594" s="24" t="str">
        <f>IF($Z594="","",IF($Z594&lt;=2000,IF(INDEX(包装物料出入库明细!$E$4:$E$2003,$Z594-0)=0,"",INDEX(包装物料出入库明细!$E$4:$E$2003,$Z594-0)),IF($Z594&lt;=4000,IF(INDEX(周转筐出入库明细!$D$4:$D$2004,$Z594-2000)=0,"",INDEX(周转筐出入库明细!$D$4:$D$2004,$Z594-2000)),IF($Z594&lt;=5200,IF(INDEX(客户自备加工筐明细!$C$4:$C$1203,$Z594-4000)=0,"",INDEX(客户自备加工筐明细!$C$4:$C$1203,$Z594-4000)),IF($Z594&lt;=5800,IF(INDEX(次果筐明细!$D$4:$D$603,$Z594-5200)=0,"",INDEX(次果筐明细!$D$4:$D$603,$Z594-5200)),"")))))</f>
        <v/>
      </c>
      <c r="G594" s="24" t="str">
        <f>IF($Z594="","",IF($Z594&lt;=2000,IF(INDEX(包装物料出入库明细!$F$4:$F$2003,$Z594-0)=0,"",INDEX(包装物料出入库明细!$F$4:$F$2003,$Z594-0)),IF($Z594&lt;=4000,"",IF($Z594&lt;=5200,"",IF($Z594&lt;=5800,"","")))))</f>
        <v/>
      </c>
      <c r="H594" s="39" t="str">
        <f>IF($Z594="","",IF($Z594&lt;=2000,IF(INDEX(包装物料出入库明细!$L$4:$L$2003,$Z594-0)=0,"",INDEX(包装物料出入库明细!$L$4:$L$2003,$Z594-0)),IF($Z594&lt;=4000,N(INDEX(周转筐出入库明细!$H$4:$H$2004,$Z594-2000))+N(INDEX(周转筐出入库明细!$I$4:$I$2004,$Z594-2000))+N(INDEX(周转筐出入库明细!$J$4:$J$2004,$Z594-2000))+N(INDEX(周转筐出入库明细!$K$4:$K$2004,$Z594-2000)),IF($Z594&lt;=5200,N(INDEX(客户自备加工筐明细!$F$4:$F$1203,$Z594-4000))+N(INDEX(客户自备加工筐明细!$G$4:$G$1203,$Z594-4000)),IF($Z594&lt;=5800,IF(INDEX(次果筐明细!$G$4:$G$603,$Z594-5200)=0,"",INDEX(次果筐明细!$G$4:$G$603,$Z594-5200)),"")))))</f>
        <v/>
      </c>
      <c r="I594" s="24" t="str">
        <f>IF($Z594="","",IF($Z594&lt;=2000,IF(INDEX(包装物料出入库明细!$G$4:$G$2003,$Z594-0)=0,"",INDEX(包装物料出入库明细!$G$4:$G$2003,$Z594-0)),IF($Z594&lt;=4000,"个",IF($Z594&lt;=5200,"个",IF($Z594&lt;=5800,"个","")))))</f>
        <v/>
      </c>
      <c r="J594" s="30" t="str">
        <f t="shared" si="28"/>
        <v/>
      </c>
      <c r="K594" s="30" t="str">
        <f>IF($Z594="","",IF($Z594&lt;=2000,IF(INDEX(包装物料出入库明细!$N$4:$N$2003,$Z594-0)=0,"",INDEX(包装物料出入库明细!$N$4:$N$2003,$Z594-0)),IF($Z594&lt;=4000,IF(INDEX(周转筐出入库明细!$P$4:$P$2004,$Z594-2000)=0,"",INDEX(周转筐出入库明细!$P$4:$P$2004,$Z594-2000)),IF($Z594&lt;=5200,"",IF($Z594&lt;=5800,N(INDEX(次果筐明细!$L$4:$L$603,$Z594-5200))+N(INDEX(次果筐明细!$J$4:$J$603,$Z594-5200)),"")))))</f>
        <v/>
      </c>
      <c r="L594" s="24" t="str">
        <f>IF($Z594="","",IF($Z594&lt;=2000,IF(INDEX(包装物料出入库明细!$P$4:$P$2003,$Z594-0)=0,"",INDEX(包装物料出入库明细!$P$4:$P$2003,$Z594-0)),IF($Z594&lt;=4000,IF(INDEX(周转筐出入库明细!$Q$4:$Q$2004,$Z594-2000)=0,"",INDEX(周转筐出入库明细!$Q$4:$Q$2004,$Z594-2000)),IF($Z594&lt;=5200,"",IF($Z594&lt;=5800,IF(INDEX(次果筐明细!$M$4:$M$603,$Z594-5200)=0,"",INDEX(次果筐明细!$M$4:$M$603,$Z594-5200)),"")))))</f>
        <v/>
      </c>
      <c r="M594" s="37" t="str">
        <f>IF($Z594="","",IF($Z594&lt;=2000,IF(INDEX(包装物料出入库明细!$R$4:$R$2003,$Z594-0)=0,"",INDEX(包装物料出入库明细!$R$4:$R$2003,$Z594-0)),IF($Z594&lt;=4000,IF(INDEX(周转筐出入库明细!$W$4:$W$2004,$Z594-2000)=0,"",INDEX(周转筐出入库明细!$W$4:$W$2004,$Z594-2000)),IF($Z594&lt;=5200,IF(INDEX(客户自备加工筐明细!$L$4:$L$1203,$Z594-4000)=0,"",INDEX(客户自备加工筐明细!$L$4:$L$1203,$Z594-4000)),IF($Z594&lt;=5800,IF(INDEX(次果筐明细!$P$4:$P$603,$Z594-5200)=0,"",INDEX(次果筐明细!$P$4:$P$603,$Z594-5200)),"")))))</f>
        <v/>
      </c>
      <c r="N594" s="16" t="str">
        <f>IF($Z594="","",IF($Z594&lt;=2000,"",IF($Z594&lt;=4000,IF(INDEX(周转筐出入库明细!$D$4:$D$2004,$Z594-2000)=0,"",INDEX(周转筐出入库明细!$D$4:$D$2004,$Z594-2000)),IF($Z594&lt;=5200,IF(INDEX(客户自备加工筐明细!$C$4:$C$1203,$Z594-4000)=0,"",INDEX(客户自备加工筐明细!$C$4:$C$1203,$Z594-4000)),IF($Z594&lt;=5800,IF(INDEX(次果筐明细!$D$4:$D$603,$Z594-5200)=0,"",INDEX(次果筐明细!$D$4:$D$603,$Z594-5200)),"")))))</f>
        <v/>
      </c>
      <c r="O594" s="40" t="str">
        <f>IF($Z594="","",IF($Z594&lt;=2000,"",IF($Z594&lt;=4000,IF(N(INDEX(周转筐出入库明细!$J$4:$J$2004,$Z594-2000))+N(INDEX(周转筐出入库明细!$K$4:$K$2004,$Z594-2000))=0,"",N(INDEX(周转筐出入库明细!$J$4:$J$2004,$Z594-2000))+N(INDEX(周转筐出入库明细!$K$4:$K$2004,$Z594-2000))),IF($Z594&lt;=5200,IF(N(INDEX(客户自备加工筐明细!$G$4:$G$1203,$Z594-4000))=0,"",N(INDEX(客户自备加工筐明细!$G$4:$G$1203,$Z594-4000))),IF($Z594&lt;=5800,IF(ISNUMBER(SEARCH("退",INDEX(次果筐明细!$F$4:$F$603,$Z594-5200)&amp;"")),"",IF(N(INDEX(次果筐明细!$G$4:$G$603,$Z594-5200))=0,"",N(INDEX(次果筐明细!$G$4:$G$603,$Z594-5200)))),"")))))</f>
        <v/>
      </c>
      <c r="P594" s="40" t="str">
        <f>IF($Z594="","",IF($Z594&lt;=2000,"",IF($Z594&lt;=4000,IF(N(INDEX(周转筐出入库明细!$I$4:$I$2004,$Z594-2000))=0,"",N(INDEX(周转筐出入库明细!$I$4:$I$2004,$Z594-2000))),IF($Z594&lt;=5200,"",IF($Z594&lt;=5800,IF(ISNUMBER(SEARCH("退",INDEX(次果筐明细!$F$4:$F$603,$Z594-5200)&amp;"")),IF(N(INDEX(次果筐明细!$G$4:$G$603,$Z594-5200))=0,"",N(INDEX(次果筐明细!$G$4:$G$603,$Z594-5200))),""),"")))))</f>
        <v/>
      </c>
      <c r="Q594" s="40" t="str">
        <f>IF($Z594="","",IF($Z594&lt;=2000,"",IF($Z594&lt;=4000,IF(N(INDEX(周转筐出入库明细!$H$4:$H$2004,$Z594-2000))=0,"",N(INDEX(周转筐出入库明细!$H$4:$H$2004,$Z594-2000))),IF($Z594&lt;=5200,IF(N(INDEX(客户自备加工筐明细!$F$4:$F$1203,$Z594-4000))=0,"",N(INDEX(客户自备加工筐明细!$F$4:$F$1203,$Z594-4000))),IF($Z594&lt;=5800,"","")))))</f>
        <v/>
      </c>
      <c r="R594" s="16" t="str">
        <f>IF($Z594="","",IF($Z594&lt;=2000,IF(INDEX(包装物料出入库明细!$O$4:$O$2003,$Z594-0)=0,"",INDEX(包装物料出入库明细!$O$4:$O$2003,$Z594-0)),IF($Z594&lt;=4000,IF(INDEX(周转筐出入库明细!$M$4:$M$2004,$Z594-2000)=0,"",INDEX(周转筐出入库明细!$M$4:$M$2004,$Z594-2000)),IF($Z594&lt;=5200,IF(INDEX(客户自备加工筐明细!$H$4:$H$1203,$Z594-4000)=0,"",INDEX(客户自备加工筐明细!$H$4:$H$1203,$Z594-4000)),IF($Z594&lt;=5800,IF(INDEX(次果筐明细!$H$4:$H$603,$Z594-5200)=0,"",INDEX(次果筐明细!$H$4:$H$603,$Z594-5200)),"")))))</f>
        <v/>
      </c>
      <c r="S594" s="22" t="str">
        <f t="shared" si="29"/>
        <v/>
      </c>
      <c r="Z594" s="10" t="str">
        <f>IFERROR(MATCH(ROW()-3,_自动清单!$CQ$4:$CQ$5803,0),"")</f>
        <v/>
      </c>
    </row>
    <row r="595" spans="1:26">
      <c r="A595" s="24" t="str">
        <f t="shared" si="27"/>
        <v/>
      </c>
      <c r="B595" s="38" t="str">
        <f>IF($Z595="","",IF($Z595&lt;=2000,IF(INDEX(包装物料出入库明细!$B$4:$B$2003,$Z595-0)=0,"",INDEX(包装物料出入库明细!$B$4:$B$2003,$Z595-0)),IF($Z595&lt;=4000,IF(INDEX(周转筐出入库明细!$B$4:$B$2004,$Z595-2000)=0,"",INDEX(周转筐出入库明细!$B$4:$B$2004,$Z595-2000)),IF($Z595&lt;=5200,IF(INDEX(客户自备加工筐明细!$B$4:$B$1203,$Z595-4000)=0,"",INDEX(客户自备加工筐明细!$B$4:$B$1203,$Z595-4000)),IF($Z595&lt;=5800,IF(INDEX(次果筐明细!$B$4:$B$603,$Z595-5200)=0,"",INDEX(次果筐明细!$B$4:$B$603,$Z595-5200)),"")))))</f>
        <v/>
      </c>
      <c r="C595" s="37" t="str">
        <f>IF($Z595="","",IF($Z595&lt;=2000,IF(INDEX(包装物料出入库明细!$D$4:$D$2003,$Z595-0)=0,"",INDEX(包装物料出入库明细!$D$4:$D$2003,$Z595-0)),IF($Z595&lt;=4000,IF(INDEX(周转筐出入库明细!$C$4:$C$2004,$Z595-2000)=0,"",INDEX(周转筐出入库明细!$C$4:$C$2004,$Z595-2000)),IF($Z595&lt;=5200,IF(INDEX(客户自备加工筐明细!$E$4:$E$1203,$Z595-4000)=0,"",INDEX(客户自备加工筐明细!$E$4:$E$1203,$Z595-4000)),IF($Z595&lt;=5800,IF(INDEX(次果筐明细!$C$4:$C$603,$Z595-5200)=0,"",INDEX(次果筐明细!$C$4:$C$603,$Z595-5200)),"")))))</f>
        <v/>
      </c>
      <c r="D595" s="37" t="str">
        <f>IF($Z595="","",IF($Z595&lt;=2000,"包装物料－"&amp;INDEX(包装物料出入库明细!$H$4:$H$2003,$Z595-0),IF($Z595&lt;=4000,"周转筐－"&amp;INDEX(周转筐出入库明细!$F$4:$F$2004,$Z595-2000),IF($Z595&lt;=5200,"客户自备筐－"&amp;INDEX(客户自备加工筐明细!$J$4:$J$1203,$Z595-4000),IF($Z595&lt;=5800,"次果筐/托盘－"&amp;INDEX(次果筐明细!$F$4:$F$603,$Z595-5200),"")))))</f>
        <v/>
      </c>
      <c r="E595" s="24" t="str">
        <f>IF($Z595="","",IF($Z595&lt;=2000,IF(INDEX(包装物料出入库明细!$C$4:$C$2003,$Z595-0)=0,"",INDEX(包装物料出入库明细!$C$4:$C$2003,$Z595-0)),IF($Z595&lt;=4000,IF(INDEX(周转筐出入库明细!$E$4:$E$2004,$Z595-2000)=0,"",INDEX(周转筐出入库明细!$E$4:$E$2004,$Z595-2000)),IF($Z595&lt;=5200,IF(INDEX(客户自备加工筐明细!$D$4:$D$1203,$Z595-4000)=0,"",INDEX(客户自备加工筐明细!$D$4:$D$1203,$Z595-4000)),IF($Z595&lt;=5800,IF(INDEX(次果筐明细!$E$4:$E$603,$Z595-5200)=0,"",INDEX(次果筐明细!$E$4:$E$603,$Z595-5200)),"")))))</f>
        <v/>
      </c>
      <c r="F595" s="24" t="str">
        <f>IF($Z595="","",IF($Z595&lt;=2000,IF(INDEX(包装物料出入库明细!$E$4:$E$2003,$Z595-0)=0,"",INDEX(包装物料出入库明细!$E$4:$E$2003,$Z595-0)),IF($Z595&lt;=4000,IF(INDEX(周转筐出入库明细!$D$4:$D$2004,$Z595-2000)=0,"",INDEX(周转筐出入库明细!$D$4:$D$2004,$Z595-2000)),IF($Z595&lt;=5200,IF(INDEX(客户自备加工筐明细!$C$4:$C$1203,$Z595-4000)=0,"",INDEX(客户自备加工筐明细!$C$4:$C$1203,$Z595-4000)),IF($Z595&lt;=5800,IF(INDEX(次果筐明细!$D$4:$D$603,$Z595-5200)=0,"",INDEX(次果筐明细!$D$4:$D$603,$Z595-5200)),"")))))</f>
        <v/>
      </c>
      <c r="G595" s="24" t="str">
        <f>IF($Z595="","",IF($Z595&lt;=2000,IF(INDEX(包装物料出入库明细!$F$4:$F$2003,$Z595-0)=0,"",INDEX(包装物料出入库明细!$F$4:$F$2003,$Z595-0)),IF($Z595&lt;=4000,"",IF($Z595&lt;=5200,"",IF($Z595&lt;=5800,"","")))))</f>
        <v/>
      </c>
      <c r="H595" s="39" t="str">
        <f>IF($Z595="","",IF($Z595&lt;=2000,IF(INDEX(包装物料出入库明细!$L$4:$L$2003,$Z595-0)=0,"",INDEX(包装物料出入库明细!$L$4:$L$2003,$Z595-0)),IF($Z595&lt;=4000,N(INDEX(周转筐出入库明细!$H$4:$H$2004,$Z595-2000))+N(INDEX(周转筐出入库明细!$I$4:$I$2004,$Z595-2000))+N(INDEX(周转筐出入库明细!$J$4:$J$2004,$Z595-2000))+N(INDEX(周转筐出入库明细!$K$4:$K$2004,$Z595-2000)),IF($Z595&lt;=5200,N(INDEX(客户自备加工筐明细!$F$4:$F$1203,$Z595-4000))+N(INDEX(客户自备加工筐明细!$G$4:$G$1203,$Z595-4000)),IF($Z595&lt;=5800,IF(INDEX(次果筐明细!$G$4:$G$603,$Z595-5200)=0,"",INDEX(次果筐明细!$G$4:$G$603,$Z595-5200)),"")))))</f>
        <v/>
      </c>
      <c r="I595" s="24" t="str">
        <f>IF($Z595="","",IF($Z595&lt;=2000,IF(INDEX(包装物料出入库明细!$G$4:$G$2003,$Z595-0)=0,"",INDEX(包装物料出入库明细!$G$4:$G$2003,$Z595-0)),IF($Z595&lt;=4000,"个",IF($Z595&lt;=5200,"个",IF($Z595&lt;=5800,"个","")))))</f>
        <v/>
      </c>
      <c r="J595" s="30" t="str">
        <f t="shared" si="28"/>
        <v/>
      </c>
      <c r="K595" s="30" t="str">
        <f>IF($Z595="","",IF($Z595&lt;=2000,IF(INDEX(包装物料出入库明细!$N$4:$N$2003,$Z595-0)=0,"",INDEX(包装物料出入库明细!$N$4:$N$2003,$Z595-0)),IF($Z595&lt;=4000,IF(INDEX(周转筐出入库明细!$P$4:$P$2004,$Z595-2000)=0,"",INDEX(周转筐出入库明细!$P$4:$P$2004,$Z595-2000)),IF($Z595&lt;=5200,"",IF($Z595&lt;=5800,N(INDEX(次果筐明细!$L$4:$L$603,$Z595-5200))+N(INDEX(次果筐明细!$J$4:$J$603,$Z595-5200)),"")))))</f>
        <v/>
      </c>
      <c r="L595" s="24" t="str">
        <f>IF($Z595="","",IF($Z595&lt;=2000,IF(INDEX(包装物料出入库明细!$P$4:$P$2003,$Z595-0)=0,"",INDEX(包装物料出入库明细!$P$4:$P$2003,$Z595-0)),IF($Z595&lt;=4000,IF(INDEX(周转筐出入库明细!$Q$4:$Q$2004,$Z595-2000)=0,"",INDEX(周转筐出入库明细!$Q$4:$Q$2004,$Z595-2000)),IF($Z595&lt;=5200,"",IF($Z595&lt;=5800,IF(INDEX(次果筐明细!$M$4:$M$603,$Z595-5200)=0,"",INDEX(次果筐明细!$M$4:$M$603,$Z595-5200)),"")))))</f>
        <v/>
      </c>
      <c r="M595" s="37" t="str">
        <f>IF($Z595="","",IF($Z595&lt;=2000,IF(INDEX(包装物料出入库明细!$R$4:$R$2003,$Z595-0)=0,"",INDEX(包装物料出入库明细!$R$4:$R$2003,$Z595-0)),IF($Z595&lt;=4000,IF(INDEX(周转筐出入库明细!$W$4:$W$2004,$Z595-2000)=0,"",INDEX(周转筐出入库明细!$W$4:$W$2004,$Z595-2000)),IF($Z595&lt;=5200,IF(INDEX(客户自备加工筐明细!$L$4:$L$1203,$Z595-4000)=0,"",INDEX(客户自备加工筐明细!$L$4:$L$1203,$Z595-4000)),IF($Z595&lt;=5800,IF(INDEX(次果筐明细!$P$4:$P$603,$Z595-5200)=0,"",INDEX(次果筐明细!$P$4:$P$603,$Z595-5200)),"")))))</f>
        <v/>
      </c>
      <c r="N595" s="16" t="str">
        <f>IF($Z595="","",IF($Z595&lt;=2000,"",IF($Z595&lt;=4000,IF(INDEX(周转筐出入库明细!$D$4:$D$2004,$Z595-2000)=0,"",INDEX(周转筐出入库明细!$D$4:$D$2004,$Z595-2000)),IF($Z595&lt;=5200,IF(INDEX(客户自备加工筐明细!$C$4:$C$1203,$Z595-4000)=0,"",INDEX(客户自备加工筐明细!$C$4:$C$1203,$Z595-4000)),IF($Z595&lt;=5800,IF(INDEX(次果筐明细!$D$4:$D$603,$Z595-5200)=0,"",INDEX(次果筐明细!$D$4:$D$603,$Z595-5200)),"")))))</f>
        <v/>
      </c>
      <c r="O595" s="40" t="str">
        <f>IF($Z595="","",IF($Z595&lt;=2000,"",IF($Z595&lt;=4000,IF(N(INDEX(周转筐出入库明细!$J$4:$J$2004,$Z595-2000))+N(INDEX(周转筐出入库明细!$K$4:$K$2004,$Z595-2000))=0,"",N(INDEX(周转筐出入库明细!$J$4:$J$2004,$Z595-2000))+N(INDEX(周转筐出入库明细!$K$4:$K$2004,$Z595-2000))),IF($Z595&lt;=5200,IF(N(INDEX(客户自备加工筐明细!$G$4:$G$1203,$Z595-4000))=0,"",N(INDEX(客户自备加工筐明细!$G$4:$G$1203,$Z595-4000))),IF($Z595&lt;=5800,IF(ISNUMBER(SEARCH("退",INDEX(次果筐明细!$F$4:$F$603,$Z595-5200)&amp;"")),"",IF(N(INDEX(次果筐明细!$G$4:$G$603,$Z595-5200))=0,"",N(INDEX(次果筐明细!$G$4:$G$603,$Z595-5200)))),"")))))</f>
        <v/>
      </c>
      <c r="P595" s="40" t="str">
        <f>IF($Z595="","",IF($Z595&lt;=2000,"",IF($Z595&lt;=4000,IF(N(INDEX(周转筐出入库明细!$I$4:$I$2004,$Z595-2000))=0,"",N(INDEX(周转筐出入库明细!$I$4:$I$2004,$Z595-2000))),IF($Z595&lt;=5200,"",IF($Z595&lt;=5800,IF(ISNUMBER(SEARCH("退",INDEX(次果筐明细!$F$4:$F$603,$Z595-5200)&amp;"")),IF(N(INDEX(次果筐明细!$G$4:$G$603,$Z595-5200))=0,"",N(INDEX(次果筐明细!$G$4:$G$603,$Z595-5200))),""),"")))))</f>
        <v/>
      </c>
      <c r="Q595" s="40" t="str">
        <f>IF($Z595="","",IF($Z595&lt;=2000,"",IF($Z595&lt;=4000,IF(N(INDEX(周转筐出入库明细!$H$4:$H$2004,$Z595-2000))=0,"",N(INDEX(周转筐出入库明细!$H$4:$H$2004,$Z595-2000))),IF($Z595&lt;=5200,IF(N(INDEX(客户自备加工筐明细!$F$4:$F$1203,$Z595-4000))=0,"",N(INDEX(客户自备加工筐明细!$F$4:$F$1203,$Z595-4000))),IF($Z595&lt;=5800,"","")))))</f>
        <v/>
      </c>
      <c r="R595" s="16" t="str">
        <f>IF($Z595="","",IF($Z595&lt;=2000,IF(INDEX(包装物料出入库明细!$O$4:$O$2003,$Z595-0)=0,"",INDEX(包装物料出入库明细!$O$4:$O$2003,$Z595-0)),IF($Z595&lt;=4000,IF(INDEX(周转筐出入库明细!$M$4:$M$2004,$Z595-2000)=0,"",INDEX(周转筐出入库明细!$M$4:$M$2004,$Z595-2000)),IF($Z595&lt;=5200,IF(INDEX(客户自备加工筐明细!$H$4:$H$1203,$Z595-4000)=0,"",INDEX(客户自备加工筐明细!$H$4:$H$1203,$Z595-4000)),IF($Z595&lt;=5800,IF(INDEX(次果筐明细!$H$4:$H$603,$Z595-5200)=0,"",INDEX(次果筐明细!$H$4:$H$603,$Z595-5200)),"")))))</f>
        <v/>
      </c>
      <c r="S595" s="22" t="str">
        <f t="shared" si="29"/>
        <v/>
      </c>
      <c r="Z595" s="10" t="str">
        <f>IFERROR(MATCH(ROW()-3,_自动清单!$CQ$4:$CQ$5803,0),"")</f>
        <v/>
      </c>
    </row>
    <row r="596" spans="1:26">
      <c r="A596" s="24" t="str">
        <f t="shared" si="27"/>
        <v/>
      </c>
      <c r="B596" s="38" t="str">
        <f>IF($Z596="","",IF($Z596&lt;=2000,IF(INDEX(包装物料出入库明细!$B$4:$B$2003,$Z596-0)=0,"",INDEX(包装物料出入库明细!$B$4:$B$2003,$Z596-0)),IF($Z596&lt;=4000,IF(INDEX(周转筐出入库明细!$B$4:$B$2004,$Z596-2000)=0,"",INDEX(周转筐出入库明细!$B$4:$B$2004,$Z596-2000)),IF($Z596&lt;=5200,IF(INDEX(客户自备加工筐明细!$B$4:$B$1203,$Z596-4000)=0,"",INDEX(客户自备加工筐明细!$B$4:$B$1203,$Z596-4000)),IF($Z596&lt;=5800,IF(INDEX(次果筐明细!$B$4:$B$603,$Z596-5200)=0,"",INDEX(次果筐明细!$B$4:$B$603,$Z596-5200)),"")))))</f>
        <v/>
      </c>
      <c r="C596" s="37" t="str">
        <f>IF($Z596="","",IF($Z596&lt;=2000,IF(INDEX(包装物料出入库明细!$D$4:$D$2003,$Z596-0)=0,"",INDEX(包装物料出入库明细!$D$4:$D$2003,$Z596-0)),IF($Z596&lt;=4000,IF(INDEX(周转筐出入库明细!$C$4:$C$2004,$Z596-2000)=0,"",INDEX(周转筐出入库明细!$C$4:$C$2004,$Z596-2000)),IF($Z596&lt;=5200,IF(INDEX(客户自备加工筐明细!$E$4:$E$1203,$Z596-4000)=0,"",INDEX(客户自备加工筐明细!$E$4:$E$1203,$Z596-4000)),IF($Z596&lt;=5800,IF(INDEX(次果筐明细!$C$4:$C$603,$Z596-5200)=0,"",INDEX(次果筐明细!$C$4:$C$603,$Z596-5200)),"")))))</f>
        <v/>
      </c>
      <c r="D596" s="37" t="str">
        <f>IF($Z596="","",IF($Z596&lt;=2000,"包装物料－"&amp;INDEX(包装物料出入库明细!$H$4:$H$2003,$Z596-0),IF($Z596&lt;=4000,"周转筐－"&amp;INDEX(周转筐出入库明细!$F$4:$F$2004,$Z596-2000),IF($Z596&lt;=5200,"客户自备筐－"&amp;INDEX(客户自备加工筐明细!$J$4:$J$1203,$Z596-4000),IF($Z596&lt;=5800,"次果筐/托盘－"&amp;INDEX(次果筐明细!$F$4:$F$603,$Z596-5200),"")))))</f>
        <v/>
      </c>
      <c r="E596" s="24" t="str">
        <f>IF($Z596="","",IF($Z596&lt;=2000,IF(INDEX(包装物料出入库明细!$C$4:$C$2003,$Z596-0)=0,"",INDEX(包装物料出入库明细!$C$4:$C$2003,$Z596-0)),IF($Z596&lt;=4000,IF(INDEX(周转筐出入库明细!$E$4:$E$2004,$Z596-2000)=0,"",INDEX(周转筐出入库明细!$E$4:$E$2004,$Z596-2000)),IF($Z596&lt;=5200,IF(INDEX(客户自备加工筐明细!$D$4:$D$1203,$Z596-4000)=0,"",INDEX(客户自备加工筐明细!$D$4:$D$1203,$Z596-4000)),IF($Z596&lt;=5800,IF(INDEX(次果筐明细!$E$4:$E$603,$Z596-5200)=0,"",INDEX(次果筐明细!$E$4:$E$603,$Z596-5200)),"")))))</f>
        <v/>
      </c>
      <c r="F596" s="24" t="str">
        <f>IF($Z596="","",IF($Z596&lt;=2000,IF(INDEX(包装物料出入库明细!$E$4:$E$2003,$Z596-0)=0,"",INDEX(包装物料出入库明细!$E$4:$E$2003,$Z596-0)),IF($Z596&lt;=4000,IF(INDEX(周转筐出入库明细!$D$4:$D$2004,$Z596-2000)=0,"",INDEX(周转筐出入库明细!$D$4:$D$2004,$Z596-2000)),IF($Z596&lt;=5200,IF(INDEX(客户自备加工筐明细!$C$4:$C$1203,$Z596-4000)=0,"",INDEX(客户自备加工筐明细!$C$4:$C$1203,$Z596-4000)),IF($Z596&lt;=5800,IF(INDEX(次果筐明细!$D$4:$D$603,$Z596-5200)=0,"",INDEX(次果筐明细!$D$4:$D$603,$Z596-5200)),"")))))</f>
        <v/>
      </c>
      <c r="G596" s="24" t="str">
        <f>IF($Z596="","",IF($Z596&lt;=2000,IF(INDEX(包装物料出入库明细!$F$4:$F$2003,$Z596-0)=0,"",INDEX(包装物料出入库明细!$F$4:$F$2003,$Z596-0)),IF($Z596&lt;=4000,"",IF($Z596&lt;=5200,"",IF($Z596&lt;=5800,"","")))))</f>
        <v/>
      </c>
      <c r="H596" s="39" t="str">
        <f>IF($Z596="","",IF($Z596&lt;=2000,IF(INDEX(包装物料出入库明细!$L$4:$L$2003,$Z596-0)=0,"",INDEX(包装物料出入库明细!$L$4:$L$2003,$Z596-0)),IF($Z596&lt;=4000,N(INDEX(周转筐出入库明细!$H$4:$H$2004,$Z596-2000))+N(INDEX(周转筐出入库明细!$I$4:$I$2004,$Z596-2000))+N(INDEX(周转筐出入库明细!$J$4:$J$2004,$Z596-2000))+N(INDEX(周转筐出入库明细!$K$4:$K$2004,$Z596-2000)),IF($Z596&lt;=5200,N(INDEX(客户自备加工筐明细!$F$4:$F$1203,$Z596-4000))+N(INDEX(客户自备加工筐明细!$G$4:$G$1203,$Z596-4000)),IF($Z596&lt;=5800,IF(INDEX(次果筐明细!$G$4:$G$603,$Z596-5200)=0,"",INDEX(次果筐明细!$G$4:$G$603,$Z596-5200)),"")))))</f>
        <v/>
      </c>
      <c r="I596" s="24" t="str">
        <f>IF($Z596="","",IF($Z596&lt;=2000,IF(INDEX(包装物料出入库明细!$G$4:$G$2003,$Z596-0)=0,"",INDEX(包装物料出入库明细!$G$4:$G$2003,$Z596-0)),IF($Z596&lt;=4000,"个",IF($Z596&lt;=5200,"个",IF($Z596&lt;=5800,"个","")))))</f>
        <v/>
      </c>
      <c r="J596" s="30" t="str">
        <f t="shared" si="28"/>
        <v/>
      </c>
      <c r="K596" s="30" t="str">
        <f>IF($Z596="","",IF($Z596&lt;=2000,IF(INDEX(包装物料出入库明细!$N$4:$N$2003,$Z596-0)=0,"",INDEX(包装物料出入库明细!$N$4:$N$2003,$Z596-0)),IF($Z596&lt;=4000,IF(INDEX(周转筐出入库明细!$P$4:$P$2004,$Z596-2000)=0,"",INDEX(周转筐出入库明细!$P$4:$P$2004,$Z596-2000)),IF($Z596&lt;=5200,"",IF($Z596&lt;=5800,N(INDEX(次果筐明细!$L$4:$L$603,$Z596-5200))+N(INDEX(次果筐明细!$J$4:$J$603,$Z596-5200)),"")))))</f>
        <v/>
      </c>
      <c r="L596" s="24" t="str">
        <f>IF($Z596="","",IF($Z596&lt;=2000,IF(INDEX(包装物料出入库明细!$P$4:$P$2003,$Z596-0)=0,"",INDEX(包装物料出入库明细!$P$4:$P$2003,$Z596-0)),IF($Z596&lt;=4000,IF(INDEX(周转筐出入库明细!$Q$4:$Q$2004,$Z596-2000)=0,"",INDEX(周转筐出入库明细!$Q$4:$Q$2004,$Z596-2000)),IF($Z596&lt;=5200,"",IF($Z596&lt;=5800,IF(INDEX(次果筐明细!$M$4:$M$603,$Z596-5200)=0,"",INDEX(次果筐明细!$M$4:$M$603,$Z596-5200)),"")))))</f>
        <v/>
      </c>
      <c r="M596" s="37" t="str">
        <f>IF($Z596="","",IF($Z596&lt;=2000,IF(INDEX(包装物料出入库明细!$R$4:$R$2003,$Z596-0)=0,"",INDEX(包装物料出入库明细!$R$4:$R$2003,$Z596-0)),IF($Z596&lt;=4000,IF(INDEX(周转筐出入库明细!$W$4:$W$2004,$Z596-2000)=0,"",INDEX(周转筐出入库明细!$W$4:$W$2004,$Z596-2000)),IF($Z596&lt;=5200,IF(INDEX(客户自备加工筐明细!$L$4:$L$1203,$Z596-4000)=0,"",INDEX(客户自备加工筐明细!$L$4:$L$1203,$Z596-4000)),IF($Z596&lt;=5800,IF(INDEX(次果筐明细!$P$4:$P$603,$Z596-5200)=0,"",INDEX(次果筐明细!$P$4:$P$603,$Z596-5200)),"")))))</f>
        <v/>
      </c>
      <c r="N596" s="16" t="str">
        <f>IF($Z596="","",IF($Z596&lt;=2000,"",IF($Z596&lt;=4000,IF(INDEX(周转筐出入库明细!$D$4:$D$2004,$Z596-2000)=0,"",INDEX(周转筐出入库明细!$D$4:$D$2004,$Z596-2000)),IF($Z596&lt;=5200,IF(INDEX(客户自备加工筐明细!$C$4:$C$1203,$Z596-4000)=0,"",INDEX(客户自备加工筐明细!$C$4:$C$1203,$Z596-4000)),IF($Z596&lt;=5800,IF(INDEX(次果筐明细!$D$4:$D$603,$Z596-5200)=0,"",INDEX(次果筐明细!$D$4:$D$603,$Z596-5200)),"")))))</f>
        <v/>
      </c>
      <c r="O596" s="40" t="str">
        <f>IF($Z596="","",IF($Z596&lt;=2000,"",IF($Z596&lt;=4000,IF(N(INDEX(周转筐出入库明细!$J$4:$J$2004,$Z596-2000))+N(INDEX(周转筐出入库明细!$K$4:$K$2004,$Z596-2000))=0,"",N(INDEX(周转筐出入库明细!$J$4:$J$2004,$Z596-2000))+N(INDEX(周转筐出入库明细!$K$4:$K$2004,$Z596-2000))),IF($Z596&lt;=5200,IF(N(INDEX(客户自备加工筐明细!$G$4:$G$1203,$Z596-4000))=0,"",N(INDEX(客户自备加工筐明细!$G$4:$G$1203,$Z596-4000))),IF($Z596&lt;=5800,IF(ISNUMBER(SEARCH("退",INDEX(次果筐明细!$F$4:$F$603,$Z596-5200)&amp;"")),"",IF(N(INDEX(次果筐明细!$G$4:$G$603,$Z596-5200))=0,"",N(INDEX(次果筐明细!$G$4:$G$603,$Z596-5200)))),"")))))</f>
        <v/>
      </c>
      <c r="P596" s="40" t="str">
        <f>IF($Z596="","",IF($Z596&lt;=2000,"",IF($Z596&lt;=4000,IF(N(INDEX(周转筐出入库明细!$I$4:$I$2004,$Z596-2000))=0,"",N(INDEX(周转筐出入库明细!$I$4:$I$2004,$Z596-2000))),IF($Z596&lt;=5200,"",IF($Z596&lt;=5800,IF(ISNUMBER(SEARCH("退",INDEX(次果筐明细!$F$4:$F$603,$Z596-5200)&amp;"")),IF(N(INDEX(次果筐明细!$G$4:$G$603,$Z596-5200))=0,"",N(INDEX(次果筐明细!$G$4:$G$603,$Z596-5200))),""),"")))))</f>
        <v/>
      </c>
      <c r="Q596" s="40" t="str">
        <f>IF($Z596="","",IF($Z596&lt;=2000,"",IF($Z596&lt;=4000,IF(N(INDEX(周转筐出入库明细!$H$4:$H$2004,$Z596-2000))=0,"",N(INDEX(周转筐出入库明细!$H$4:$H$2004,$Z596-2000))),IF($Z596&lt;=5200,IF(N(INDEX(客户自备加工筐明细!$F$4:$F$1203,$Z596-4000))=0,"",N(INDEX(客户自备加工筐明细!$F$4:$F$1203,$Z596-4000))),IF($Z596&lt;=5800,"","")))))</f>
        <v/>
      </c>
      <c r="R596" s="16" t="str">
        <f>IF($Z596="","",IF($Z596&lt;=2000,IF(INDEX(包装物料出入库明细!$O$4:$O$2003,$Z596-0)=0,"",INDEX(包装物料出入库明细!$O$4:$O$2003,$Z596-0)),IF($Z596&lt;=4000,IF(INDEX(周转筐出入库明细!$M$4:$M$2004,$Z596-2000)=0,"",INDEX(周转筐出入库明细!$M$4:$M$2004,$Z596-2000)),IF($Z596&lt;=5200,IF(INDEX(客户自备加工筐明细!$H$4:$H$1203,$Z596-4000)=0,"",INDEX(客户自备加工筐明细!$H$4:$H$1203,$Z596-4000)),IF($Z596&lt;=5800,IF(INDEX(次果筐明细!$H$4:$H$603,$Z596-5200)=0,"",INDEX(次果筐明细!$H$4:$H$603,$Z596-5200)),"")))))</f>
        <v/>
      </c>
      <c r="S596" s="22" t="str">
        <f t="shared" si="29"/>
        <v/>
      </c>
      <c r="Z596" s="10" t="str">
        <f>IFERROR(MATCH(ROW()-3,_自动清单!$CQ$4:$CQ$5803,0),"")</f>
        <v/>
      </c>
    </row>
    <row r="597" spans="1:26">
      <c r="A597" s="24" t="str">
        <f t="shared" si="27"/>
        <v/>
      </c>
      <c r="B597" s="38" t="str">
        <f>IF($Z597="","",IF($Z597&lt;=2000,IF(INDEX(包装物料出入库明细!$B$4:$B$2003,$Z597-0)=0,"",INDEX(包装物料出入库明细!$B$4:$B$2003,$Z597-0)),IF($Z597&lt;=4000,IF(INDEX(周转筐出入库明细!$B$4:$B$2004,$Z597-2000)=0,"",INDEX(周转筐出入库明细!$B$4:$B$2004,$Z597-2000)),IF($Z597&lt;=5200,IF(INDEX(客户自备加工筐明细!$B$4:$B$1203,$Z597-4000)=0,"",INDEX(客户自备加工筐明细!$B$4:$B$1203,$Z597-4000)),IF($Z597&lt;=5800,IF(INDEX(次果筐明细!$B$4:$B$603,$Z597-5200)=0,"",INDEX(次果筐明细!$B$4:$B$603,$Z597-5200)),"")))))</f>
        <v/>
      </c>
      <c r="C597" s="37" t="str">
        <f>IF($Z597="","",IF($Z597&lt;=2000,IF(INDEX(包装物料出入库明细!$D$4:$D$2003,$Z597-0)=0,"",INDEX(包装物料出入库明细!$D$4:$D$2003,$Z597-0)),IF($Z597&lt;=4000,IF(INDEX(周转筐出入库明细!$C$4:$C$2004,$Z597-2000)=0,"",INDEX(周转筐出入库明细!$C$4:$C$2004,$Z597-2000)),IF($Z597&lt;=5200,IF(INDEX(客户自备加工筐明细!$E$4:$E$1203,$Z597-4000)=0,"",INDEX(客户自备加工筐明细!$E$4:$E$1203,$Z597-4000)),IF($Z597&lt;=5800,IF(INDEX(次果筐明细!$C$4:$C$603,$Z597-5200)=0,"",INDEX(次果筐明细!$C$4:$C$603,$Z597-5200)),"")))))</f>
        <v/>
      </c>
      <c r="D597" s="37" t="str">
        <f>IF($Z597="","",IF($Z597&lt;=2000,"包装物料－"&amp;INDEX(包装物料出入库明细!$H$4:$H$2003,$Z597-0),IF($Z597&lt;=4000,"周转筐－"&amp;INDEX(周转筐出入库明细!$F$4:$F$2004,$Z597-2000),IF($Z597&lt;=5200,"客户自备筐－"&amp;INDEX(客户自备加工筐明细!$J$4:$J$1203,$Z597-4000),IF($Z597&lt;=5800,"次果筐/托盘－"&amp;INDEX(次果筐明细!$F$4:$F$603,$Z597-5200),"")))))</f>
        <v/>
      </c>
      <c r="E597" s="24" t="str">
        <f>IF($Z597="","",IF($Z597&lt;=2000,IF(INDEX(包装物料出入库明细!$C$4:$C$2003,$Z597-0)=0,"",INDEX(包装物料出入库明细!$C$4:$C$2003,$Z597-0)),IF($Z597&lt;=4000,IF(INDEX(周转筐出入库明细!$E$4:$E$2004,$Z597-2000)=0,"",INDEX(周转筐出入库明细!$E$4:$E$2004,$Z597-2000)),IF($Z597&lt;=5200,IF(INDEX(客户自备加工筐明细!$D$4:$D$1203,$Z597-4000)=0,"",INDEX(客户自备加工筐明细!$D$4:$D$1203,$Z597-4000)),IF($Z597&lt;=5800,IF(INDEX(次果筐明细!$E$4:$E$603,$Z597-5200)=0,"",INDEX(次果筐明细!$E$4:$E$603,$Z597-5200)),"")))))</f>
        <v/>
      </c>
      <c r="F597" s="24" t="str">
        <f>IF($Z597="","",IF($Z597&lt;=2000,IF(INDEX(包装物料出入库明细!$E$4:$E$2003,$Z597-0)=0,"",INDEX(包装物料出入库明细!$E$4:$E$2003,$Z597-0)),IF($Z597&lt;=4000,IF(INDEX(周转筐出入库明细!$D$4:$D$2004,$Z597-2000)=0,"",INDEX(周转筐出入库明细!$D$4:$D$2004,$Z597-2000)),IF($Z597&lt;=5200,IF(INDEX(客户自备加工筐明细!$C$4:$C$1203,$Z597-4000)=0,"",INDEX(客户自备加工筐明细!$C$4:$C$1203,$Z597-4000)),IF($Z597&lt;=5800,IF(INDEX(次果筐明细!$D$4:$D$603,$Z597-5200)=0,"",INDEX(次果筐明细!$D$4:$D$603,$Z597-5200)),"")))))</f>
        <v/>
      </c>
      <c r="G597" s="24" t="str">
        <f>IF($Z597="","",IF($Z597&lt;=2000,IF(INDEX(包装物料出入库明细!$F$4:$F$2003,$Z597-0)=0,"",INDEX(包装物料出入库明细!$F$4:$F$2003,$Z597-0)),IF($Z597&lt;=4000,"",IF($Z597&lt;=5200,"",IF($Z597&lt;=5800,"","")))))</f>
        <v/>
      </c>
      <c r="H597" s="39" t="str">
        <f>IF($Z597="","",IF($Z597&lt;=2000,IF(INDEX(包装物料出入库明细!$L$4:$L$2003,$Z597-0)=0,"",INDEX(包装物料出入库明细!$L$4:$L$2003,$Z597-0)),IF($Z597&lt;=4000,N(INDEX(周转筐出入库明细!$H$4:$H$2004,$Z597-2000))+N(INDEX(周转筐出入库明细!$I$4:$I$2004,$Z597-2000))+N(INDEX(周转筐出入库明细!$J$4:$J$2004,$Z597-2000))+N(INDEX(周转筐出入库明细!$K$4:$K$2004,$Z597-2000)),IF($Z597&lt;=5200,N(INDEX(客户自备加工筐明细!$F$4:$F$1203,$Z597-4000))+N(INDEX(客户自备加工筐明细!$G$4:$G$1203,$Z597-4000)),IF($Z597&lt;=5800,IF(INDEX(次果筐明细!$G$4:$G$603,$Z597-5200)=0,"",INDEX(次果筐明细!$G$4:$G$603,$Z597-5200)),"")))))</f>
        <v/>
      </c>
      <c r="I597" s="24" t="str">
        <f>IF($Z597="","",IF($Z597&lt;=2000,IF(INDEX(包装物料出入库明细!$G$4:$G$2003,$Z597-0)=0,"",INDEX(包装物料出入库明细!$G$4:$G$2003,$Z597-0)),IF($Z597&lt;=4000,"个",IF($Z597&lt;=5200,"个",IF($Z597&lt;=5800,"个","")))))</f>
        <v/>
      </c>
      <c r="J597" s="30" t="str">
        <f t="shared" si="28"/>
        <v/>
      </c>
      <c r="K597" s="30" t="str">
        <f>IF($Z597="","",IF($Z597&lt;=2000,IF(INDEX(包装物料出入库明细!$N$4:$N$2003,$Z597-0)=0,"",INDEX(包装物料出入库明细!$N$4:$N$2003,$Z597-0)),IF($Z597&lt;=4000,IF(INDEX(周转筐出入库明细!$P$4:$P$2004,$Z597-2000)=0,"",INDEX(周转筐出入库明细!$P$4:$P$2004,$Z597-2000)),IF($Z597&lt;=5200,"",IF($Z597&lt;=5800,N(INDEX(次果筐明细!$L$4:$L$603,$Z597-5200))+N(INDEX(次果筐明细!$J$4:$J$603,$Z597-5200)),"")))))</f>
        <v/>
      </c>
      <c r="L597" s="24" t="str">
        <f>IF($Z597="","",IF($Z597&lt;=2000,IF(INDEX(包装物料出入库明细!$P$4:$P$2003,$Z597-0)=0,"",INDEX(包装物料出入库明细!$P$4:$P$2003,$Z597-0)),IF($Z597&lt;=4000,IF(INDEX(周转筐出入库明细!$Q$4:$Q$2004,$Z597-2000)=0,"",INDEX(周转筐出入库明细!$Q$4:$Q$2004,$Z597-2000)),IF($Z597&lt;=5200,"",IF($Z597&lt;=5800,IF(INDEX(次果筐明细!$M$4:$M$603,$Z597-5200)=0,"",INDEX(次果筐明细!$M$4:$M$603,$Z597-5200)),"")))))</f>
        <v/>
      </c>
      <c r="M597" s="37" t="str">
        <f>IF($Z597="","",IF($Z597&lt;=2000,IF(INDEX(包装物料出入库明细!$R$4:$R$2003,$Z597-0)=0,"",INDEX(包装物料出入库明细!$R$4:$R$2003,$Z597-0)),IF($Z597&lt;=4000,IF(INDEX(周转筐出入库明细!$W$4:$W$2004,$Z597-2000)=0,"",INDEX(周转筐出入库明细!$W$4:$W$2004,$Z597-2000)),IF($Z597&lt;=5200,IF(INDEX(客户自备加工筐明细!$L$4:$L$1203,$Z597-4000)=0,"",INDEX(客户自备加工筐明细!$L$4:$L$1203,$Z597-4000)),IF($Z597&lt;=5800,IF(INDEX(次果筐明细!$P$4:$P$603,$Z597-5200)=0,"",INDEX(次果筐明细!$P$4:$P$603,$Z597-5200)),"")))))</f>
        <v/>
      </c>
      <c r="N597" s="16" t="str">
        <f>IF($Z597="","",IF($Z597&lt;=2000,"",IF($Z597&lt;=4000,IF(INDEX(周转筐出入库明细!$D$4:$D$2004,$Z597-2000)=0,"",INDEX(周转筐出入库明细!$D$4:$D$2004,$Z597-2000)),IF($Z597&lt;=5200,IF(INDEX(客户自备加工筐明细!$C$4:$C$1203,$Z597-4000)=0,"",INDEX(客户自备加工筐明细!$C$4:$C$1203,$Z597-4000)),IF($Z597&lt;=5800,IF(INDEX(次果筐明细!$D$4:$D$603,$Z597-5200)=0,"",INDEX(次果筐明细!$D$4:$D$603,$Z597-5200)),"")))))</f>
        <v/>
      </c>
      <c r="O597" s="40" t="str">
        <f>IF($Z597="","",IF($Z597&lt;=2000,"",IF($Z597&lt;=4000,IF(N(INDEX(周转筐出入库明细!$J$4:$J$2004,$Z597-2000))+N(INDEX(周转筐出入库明细!$K$4:$K$2004,$Z597-2000))=0,"",N(INDEX(周转筐出入库明细!$J$4:$J$2004,$Z597-2000))+N(INDEX(周转筐出入库明细!$K$4:$K$2004,$Z597-2000))),IF($Z597&lt;=5200,IF(N(INDEX(客户自备加工筐明细!$G$4:$G$1203,$Z597-4000))=0,"",N(INDEX(客户自备加工筐明细!$G$4:$G$1203,$Z597-4000))),IF($Z597&lt;=5800,IF(ISNUMBER(SEARCH("退",INDEX(次果筐明细!$F$4:$F$603,$Z597-5200)&amp;"")),"",IF(N(INDEX(次果筐明细!$G$4:$G$603,$Z597-5200))=0,"",N(INDEX(次果筐明细!$G$4:$G$603,$Z597-5200)))),"")))))</f>
        <v/>
      </c>
      <c r="P597" s="40" t="str">
        <f>IF($Z597="","",IF($Z597&lt;=2000,"",IF($Z597&lt;=4000,IF(N(INDEX(周转筐出入库明细!$I$4:$I$2004,$Z597-2000))=0,"",N(INDEX(周转筐出入库明细!$I$4:$I$2004,$Z597-2000))),IF($Z597&lt;=5200,"",IF($Z597&lt;=5800,IF(ISNUMBER(SEARCH("退",INDEX(次果筐明细!$F$4:$F$603,$Z597-5200)&amp;"")),IF(N(INDEX(次果筐明细!$G$4:$G$603,$Z597-5200))=0,"",N(INDEX(次果筐明细!$G$4:$G$603,$Z597-5200))),""),"")))))</f>
        <v/>
      </c>
      <c r="Q597" s="40" t="str">
        <f>IF($Z597="","",IF($Z597&lt;=2000,"",IF($Z597&lt;=4000,IF(N(INDEX(周转筐出入库明细!$H$4:$H$2004,$Z597-2000))=0,"",N(INDEX(周转筐出入库明细!$H$4:$H$2004,$Z597-2000))),IF($Z597&lt;=5200,IF(N(INDEX(客户自备加工筐明细!$F$4:$F$1203,$Z597-4000))=0,"",N(INDEX(客户自备加工筐明细!$F$4:$F$1203,$Z597-4000))),IF($Z597&lt;=5800,"","")))))</f>
        <v/>
      </c>
      <c r="R597" s="16" t="str">
        <f>IF($Z597="","",IF($Z597&lt;=2000,IF(INDEX(包装物料出入库明细!$O$4:$O$2003,$Z597-0)=0,"",INDEX(包装物料出入库明细!$O$4:$O$2003,$Z597-0)),IF($Z597&lt;=4000,IF(INDEX(周转筐出入库明细!$M$4:$M$2004,$Z597-2000)=0,"",INDEX(周转筐出入库明细!$M$4:$M$2004,$Z597-2000)),IF($Z597&lt;=5200,IF(INDEX(客户自备加工筐明细!$H$4:$H$1203,$Z597-4000)=0,"",INDEX(客户自备加工筐明细!$H$4:$H$1203,$Z597-4000)),IF($Z597&lt;=5800,IF(INDEX(次果筐明细!$H$4:$H$603,$Z597-5200)=0,"",INDEX(次果筐明细!$H$4:$H$603,$Z597-5200)),"")))))</f>
        <v/>
      </c>
      <c r="S597" s="22" t="str">
        <f t="shared" si="29"/>
        <v/>
      </c>
      <c r="Z597" s="10" t="str">
        <f>IFERROR(MATCH(ROW()-3,_自动清单!$CQ$4:$CQ$5803,0),"")</f>
        <v/>
      </c>
    </row>
    <row r="598" spans="1:26">
      <c r="A598" s="24" t="str">
        <f t="shared" si="27"/>
        <v/>
      </c>
      <c r="B598" s="38" t="str">
        <f>IF($Z598="","",IF($Z598&lt;=2000,IF(INDEX(包装物料出入库明细!$B$4:$B$2003,$Z598-0)=0,"",INDEX(包装物料出入库明细!$B$4:$B$2003,$Z598-0)),IF($Z598&lt;=4000,IF(INDEX(周转筐出入库明细!$B$4:$B$2004,$Z598-2000)=0,"",INDEX(周转筐出入库明细!$B$4:$B$2004,$Z598-2000)),IF($Z598&lt;=5200,IF(INDEX(客户自备加工筐明细!$B$4:$B$1203,$Z598-4000)=0,"",INDEX(客户自备加工筐明细!$B$4:$B$1203,$Z598-4000)),IF($Z598&lt;=5800,IF(INDEX(次果筐明细!$B$4:$B$603,$Z598-5200)=0,"",INDEX(次果筐明细!$B$4:$B$603,$Z598-5200)),"")))))</f>
        <v/>
      </c>
      <c r="C598" s="37" t="str">
        <f>IF($Z598="","",IF($Z598&lt;=2000,IF(INDEX(包装物料出入库明细!$D$4:$D$2003,$Z598-0)=0,"",INDEX(包装物料出入库明细!$D$4:$D$2003,$Z598-0)),IF($Z598&lt;=4000,IF(INDEX(周转筐出入库明细!$C$4:$C$2004,$Z598-2000)=0,"",INDEX(周转筐出入库明细!$C$4:$C$2004,$Z598-2000)),IF($Z598&lt;=5200,IF(INDEX(客户自备加工筐明细!$E$4:$E$1203,$Z598-4000)=0,"",INDEX(客户自备加工筐明细!$E$4:$E$1203,$Z598-4000)),IF($Z598&lt;=5800,IF(INDEX(次果筐明细!$C$4:$C$603,$Z598-5200)=0,"",INDEX(次果筐明细!$C$4:$C$603,$Z598-5200)),"")))))</f>
        <v/>
      </c>
      <c r="D598" s="37" t="str">
        <f>IF($Z598="","",IF($Z598&lt;=2000,"包装物料－"&amp;INDEX(包装物料出入库明细!$H$4:$H$2003,$Z598-0),IF($Z598&lt;=4000,"周转筐－"&amp;INDEX(周转筐出入库明细!$F$4:$F$2004,$Z598-2000),IF($Z598&lt;=5200,"客户自备筐－"&amp;INDEX(客户自备加工筐明细!$J$4:$J$1203,$Z598-4000),IF($Z598&lt;=5800,"次果筐/托盘－"&amp;INDEX(次果筐明细!$F$4:$F$603,$Z598-5200),"")))))</f>
        <v/>
      </c>
      <c r="E598" s="24" t="str">
        <f>IF($Z598="","",IF($Z598&lt;=2000,IF(INDEX(包装物料出入库明细!$C$4:$C$2003,$Z598-0)=0,"",INDEX(包装物料出入库明细!$C$4:$C$2003,$Z598-0)),IF($Z598&lt;=4000,IF(INDEX(周转筐出入库明细!$E$4:$E$2004,$Z598-2000)=0,"",INDEX(周转筐出入库明细!$E$4:$E$2004,$Z598-2000)),IF($Z598&lt;=5200,IF(INDEX(客户自备加工筐明细!$D$4:$D$1203,$Z598-4000)=0,"",INDEX(客户自备加工筐明细!$D$4:$D$1203,$Z598-4000)),IF($Z598&lt;=5800,IF(INDEX(次果筐明细!$E$4:$E$603,$Z598-5200)=0,"",INDEX(次果筐明细!$E$4:$E$603,$Z598-5200)),"")))))</f>
        <v/>
      </c>
      <c r="F598" s="24" t="str">
        <f>IF($Z598="","",IF($Z598&lt;=2000,IF(INDEX(包装物料出入库明细!$E$4:$E$2003,$Z598-0)=0,"",INDEX(包装物料出入库明细!$E$4:$E$2003,$Z598-0)),IF($Z598&lt;=4000,IF(INDEX(周转筐出入库明细!$D$4:$D$2004,$Z598-2000)=0,"",INDEX(周转筐出入库明细!$D$4:$D$2004,$Z598-2000)),IF($Z598&lt;=5200,IF(INDEX(客户自备加工筐明细!$C$4:$C$1203,$Z598-4000)=0,"",INDEX(客户自备加工筐明细!$C$4:$C$1203,$Z598-4000)),IF($Z598&lt;=5800,IF(INDEX(次果筐明细!$D$4:$D$603,$Z598-5200)=0,"",INDEX(次果筐明细!$D$4:$D$603,$Z598-5200)),"")))))</f>
        <v/>
      </c>
      <c r="G598" s="24" t="str">
        <f>IF($Z598="","",IF($Z598&lt;=2000,IF(INDEX(包装物料出入库明细!$F$4:$F$2003,$Z598-0)=0,"",INDEX(包装物料出入库明细!$F$4:$F$2003,$Z598-0)),IF($Z598&lt;=4000,"",IF($Z598&lt;=5200,"",IF($Z598&lt;=5800,"","")))))</f>
        <v/>
      </c>
      <c r="H598" s="39" t="str">
        <f>IF($Z598="","",IF($Z598&lt;=2000,IF(INDEX(包装物料出入库明细!$L$4:$L$2003,$Z598-0)=0,"",INDEX(包装物料出入库明细!$L$4:$L$2003,$Z598-0)),IF($Z598&lt;=4000,N(INDEX(周转筐出入库明细!$H$4:$H$2004,$Z598-2000))+N(INDEX(周转筐出入库明细!$I$4:$I$2004,$Z598-2000))+N(INDEX(周转筐出入库明细!$J$4:$J$2004,$Z598-2000))+N(INDEX(周转筐出入库明细!$K$4:$K$2004,$Z598-2000)),IF($Z598&lt;=5200,N(INDEX(客户自备加工筐明细!$F$4:$F$1203,$Z598-4000))+N(INDEX(客户自备加工筐明细!$G$4:$G$1203,$Z598-4000)),IF($Z598&lt;=5800,IF(INDEX(次果筐明细!$G$4:$G$603,$Z598-5200)=0,"",INDEX(次果筐明细!$G$4:$G$603,$Z598-5200)),"")))))</f>
        <v/>
      </c>
      <c r="I598" s="24" t="str">
        <f>IF($Z598="","",IF($Z598&lt;=2000,IF(INDEX(包装物料出入库明细!$G$4:$G$2003,$Z598-0)=0,"",INDEX(包装物料出入库明细!$G$4:$G$2003,$Z598-0)),IF($Z598&lt;=4000,"个",IF($Z598&lt;=5200,"个",IF($Z598&lt;=5800,"个","")))))</f>
        <v/>
      </c>
      <c r="J598" s="30" t="str">
        <f t="shared" si="28"/>
        <v/>
      </c>
      <c r="K598" s="30" t="str">
        <f>IF($Z598="","",IF($Z598&lt;=2000,IF(INDEX(包装物料出入库明细!$N$4:$N$2003,$Z598-0)=0,"",INDEX(包装物料出入库明细!$N$4:$N$2003,$Z598-0)),IF($Z598&lt;=4000,IF(INDEX(周转筐出入库明细!$P$4:$P$2004,$Z598-2000)=0,"",INDEX(周转筐出入库明细!$P$4:$P$2004,$Z598-2000)),IF($Z598&lt;=5200,"",IF($Z598&lt;=5800,N(INDEX(次果筐明细!$L$4:$L$603,$Z598-5200))+N(INDEX(次果筐明细!$J$4:$J$603,$Z598-5200)),"")))))</f>
        <v/>
      </c>
      <c r="L598" s="24" t="str">
        <f>IF($Z598="","",IF($Z598&lt;=2000,IF(INDEX(包装物料出入库明细!$P$4:$P$2003,$Z598-0)=0,"",INDEX(包装物料出入库明细!$P$4:$P$2003,$Z598-0)),IF($Z598&lt;=4000,IF(INDEX(周转筐出入库明细!$Q$4:$Q$2004,$Z598-2000)=0,"",INDEX(周转筐出入库明细!$Q$4:$Q$2004,$Z598-2000)),IF($Z598&lt;=5200,"",IF($Z598&lt;=5800,IF(INDEX(次果筐明细!$M$4:$M$603,$Z598-5200)=0,"",INDEX(次果筐明细!$M$4:$M$603,$Z598-5200)),"")))))</f>
        <v/>
      </c>
      <c r="M598" s="37" t="str">
        <f>IF($Z598="","",IF($Z598&lt;=2000,IF(INDEX(包装物料出入库明细!$R$4:$R$2003,$Z598-0)=0,"",INDEX(包装物料出入库明细!$R$4:$R$2003,$Z598-0)),IF($Z598&lt;=4000,IF(INDEX(周转筐出入库明细!$W$4:$W$2004,$Z598-2000)=0,"",INDEX(周转筐出入库明细!$W$4:$W$2004,$Z598-2000)),IF($Z598&lt;=5200,IF(INDEX(客户自备加工筐明细!$L$4:$L$1203,$Z598-4000)=0,"",INDEX(客户自备加工筐明细!$L$4:$L$1203,$Z598-4000)),IF($Z598&lt;=5800,IF(INDEX(次果筐明细!$P$4:$P$603,$Z598-5200)=0,"",INDEX(次果筐明细!$P$4:$P$603,$Z598-5200)),"")))))</f>
        <v/>
      </c>
      <c r="N598" s="16" t="str">
        <f>IF($Z598="","",IF($Z598&lt;=2000,"",IF($Z598&lt;=4000,IF(INDEX(周转筐出入库明细!$D$4:$D$2004,$Z598-2000)=0,"",INDEX(周转筐出入库明细!$D$4:$D$2004,$Z598-2000)),IF($Z598&lt;=5200,IF(INDEX(客户自备加工筐明细!$C$4:$C$1203,$Z598-4000)=0,"",INDEX(客户自备加工筐明细!$C$4:$C$1203,$Z598-4000)),IF($Z598&lt;=5800,IF(INDEX(次果筐明细!$D$4:$D$603,$Z598-5200)=0,"",INDEX(次果筐明细!$D$4:$D$603,$Z598-5200)),"")))))</f>
        <v/>
      </c>
      <c r="O598" s="40" t="str">
        <f>IF($Z598="","",IF($Z598&lt;=2000,"",IF($Z598&lt;=4000,IF(N(INDEX(周转筐出入库明细!$J$4:$J$2004,$Z598-2000))+N(INDEX(周转筐出入库明细!$K$4:$K$2004,$Z598-2000))=0,"",N(INDEX(周转筐出入库明细!$J$4:$J$2004,$Z598-2000))+N(INDEX(周转筐出入库明细!$K$4:$K$2004,$Z598-2000))),IF($Z598&lt;=5200,IF(N(INDEX(客户自备加工筐明细!$G$4:$G$1203,$Z598-4000))=0,"",N(INDEX(客户自备加工筐明细!$G$4:$G$1203,$Z598-4000))),IF($Z598&lt;=5800,IF(ISNUMBER(SEARCH("退",INDEX(次果筐明细!$F$4:$F$603,$Z598-5200)&amp;"")),"",IF(N(INDEX(次果筐明细!$G$4:$G$603,$Z598-5200))=0,"",N(INDEX(次果筐明细!$G$4:$G$603,$Z598-5200)))),"")))))</f>
        <v/>
      </c>
      <c r="P598" s="40" t="str">
        <f>IF($Z598="","",IF($Z598&lt;=2000,"",IF($Z598&lt;=4000,IF(N(INDEX(周转筐出入库明细!$I$4:$I$2004,$Z598-2000))=0,"",N(INDEX(周转筐出入库明细!$I$4:$I$2004,$Z598-2000))),IF($Z598&lt;=5200,"",IF($Z598&lt;=5800,IF(ISNUMBER(SEARCH("退",INDEX(次果筐明细!$F$4:$F$603,$Z598-5200)&amp;"")),IF(N(INDEX(次果筐明细!$G$4:$G$603,$Z598-5200))=0,"",N(INDEX(次果筐明细!$G$4:$G$603,$Z598-5200))),""),"")))))</f>
        <v/>
      </c>
      <c r="Q598" s="40" t="str">
        <f>IF($Z598="","",IF($Z598&lt;=2000,"",IF($Z598&lt;=4000,IF(N(INDEX(周转筐出入库明细!$H$4:$H$2004,$Z598-2000))=0,"",N(INDEX(周转筐出入库明细!$H$4:$H$2004,$Z598-2000))),IF($Z598&lt;=5200,IF(N(INDEX(客户自备加工筐明细!$F$4:$F$1203,$Z598-4000))=0,"",N(INDEX(客户自备加工筐明细!$F$4:$F$1203,$Z598-4000))),IF($Z598&lt;=5800,"","")))))</f>
        <v/>
      </c>
      <c r="R598" s="16" t="str">
        <f>IF($Z598="","",IF($Z598&lt;=2000,IF(INDEX(包装物料出入库明细!$O$4:$O$2003,$Z598-0)=0,"",INDEX(包装物料出入库明细!$O$4:$O$2003,$Z598-0)),IF($Z598&lt;=4000,IF(INDEX(周转筐出入库明细!$M$4:$M$2004,$Z598-2000)=0,"",INDEX(周转筐出入库明细!$M$4:$M$2004,$Z598-2000)),IF($Z598&lt;=5200,IF(INDEX(客户自备加工筐明细!$H$4:$H$1203,$Z598-4000)=0,"",INDEX(客户自备加工筐明细!$H$4:$H$1203,$Z598-4000)),IF($Z598&lt;=5800,IF(INDEX(次果筐明细!$H$4:$H$603,$Z598-5200)=0,"",INDEX(次果筐明细!$H$4:$H$603,$Z598-5200)),"")))))</f>
        <v/>
      </c>
      <c r="S598" s="22" t="str">
        <f t="shared" si="29"/>
        <v/>
      </c>
      <c r="Z598" s="10" t="str">
        <f>IFERROR(MATCH(ROW()-3,_自动清单!$CQ$4:$CQ$5803,0),"")</f>
        <v/>
      </c>
    </row>
    <row r="599" spans="1:26">
      <c r="A599" s="24" t="str">
        <f t="shared" si="27"/>
        <v/>
      </c>
      <c r="B599" s="38" t="str">
        <f>IF($Z599="","",IF($Z599&lt;=2000,IF(INDEX(包装物料出入库明细!$B$4:$B$2003,$Z599-0)=0,"",INDEX(包装物料出入库明细!$B$4:$B$2003,$Z599-0)),IF($Z599&lt;=4000,IF(INDEX(周转筐出入库明细!$B$4:$B$2004,$Z599-2000)=0,"",INDEX(周转筐出入库明细!$B$4:$B$2004,$Z599-2000)),IF($Z599&lt;=5200,IF(INDEX(客户自备加工筐明细!$B$4:$B$1203,$Z599-4000)=0,"",INDEX(客户自备加工筐明细!$B$4:$B$1203,$Z599-4000)),IF($Z599&lt;=5800,IF(INDEX(次果筐明细!$B$4:$B$603,$Z599-5200)=0,"",INDEX(次果筐明细!$B$4:$B$603,$Z599-5200)),"")))))</f>
        <v/>
      </c>
      <c r="C599" s="37" t="str">
        <f>IF($Z599="","",IF($Z599&lt;=2000,IF(INDEX(包装物料出入库明细!$D$4:$D$2003,$Z599-0)=0,"",INDEX(包装物料出入库明细!$D$4:$D$2003,$Z599-0)),IF($Z599&lt;=4000,IF(INDEX(周转筐出入库明细!$C$4:$C$2004,$Z599-2000)=0,"",INDEX(周转筐出入库明细!$C$4:$C$2004,$Z599-2000)),IF($Z599&lt;=5200,IF(INDEX(客户自备加工筐明细!$E$4:$E$1203,$Z599-4000)=0,"",INDEX(客户自备加工筐明细!$E$4:$E$1203,$Z599-4000)),IF($Z599&lt;=5800,IF(INDEX(次果筐明细!$C$4:$C$603,$Z599-5200)=0,"",INDEX(次果筐明细!$C$4:$C$603,$Z599-5200)),"")))))</f>
        <v/>
      </c>
      <c r="D599" s="37" t="str">
        <f>IF($Z599="","",IF($Z599&lt;=2000,"包装物料－"&amp;INDEX(包装物料出入库明细!$H$4:$H$2003,$Z599-0),IF($Z599&lt;=4000,"周转筐－"&amp;INDEX(周转筐出入库明细!$F$4:$F$2004,$Z599-2000),IF($Z599&lt;=5200,"客户自备筐－"&amp;INDEX(客户自备加工筐明细!$J$4:$J$1203,$Z599-4000),IF($Z599&lt;=5800,"次果筐/托盘－"&amp;INDEX(次果筐明细!$F$4:$F$603,$Z599-5200),"")))))</f>
        <v/>
      </c>
      <c r="E599" s="24" t="str">
        <f>IF($Z599="","",IF($Z599&lt;=2000,IF(INDEX(包装物料出入库明细!$C$4:$C$2003,$Z599-0)=0,"",INDEX(包装物料出入库明细!$C$4:$C$2003,$Z599-0)),IF($Z599&lt;=4000,IF(INDEX(周转筐出入库明细!$E$4:$E$2004,$Z599-2000)=0,"",INDEX(周转筐出入库明细!$E$4:$E$2004,$Z599-2000)),IF($Z599&lt;=5200,IF(INDEX(客户自备加工筐明细!$D$4:$D$1203,$Z599-4000)=0,"",INDEX(客户自备加工筐明细!$D$4:$D$1203,$Z599-4000)),IF($Z599&lt;=5800,IF(INDEX(次果筐明细!$E$4:$E$603,$Z599-5200)=0,"",INDEX(次果筐明细!$E$4:$E$603,$Z599-5200)),"")))))</f>
        <v/>
      </c>
      <c r="F599" s="24" t="str">
        <f>IF($Z599="","",IF($Z599&lt;=2000,IF(INDEX(包装物料出入库明细!$E$4:$E$2003,$Z599-0)=0,"",INDEX(包装物料出入库明细!$E$4:$E$2003,$Z599-0)),IF($Z599&lt;=4000,IF(INDEX(周转筐出入库明细!$D$4:$D$2004,$Z599-2000)=0,"",INDEX(周转筐出入库明细!$D$4:$D$2004,$Z599-2000)),IF($Z599&lt;=5200,IF(INDEX(客户自备加工筐明细!$C$4:$C$1203,$Z599-4000)=0,"",INDEX(客户自备加工筐明细!$C$4:$C$1203,$Z599-4000)),IF($Z599&lt;=5800,IF(INDEX(次果筐明细!$D$4:$D$603,$Z599-5200)=0,"",INDEX(次果筐明细!$D$4:$D$603,$Z599-5200)),"")))))</f>
        <v/>
      </c>
      <c r="G599" s="24" t="str">
        <f>IF($Z599="","",IF($Z599&lt;=2000,IF(INDEX(包装物料出入库明细!$F$4:$F$2003,$Z599-0)=0,"",INDEX(包装物料出入库明细!$F$4:$F$2003,$Z599-0)),IF($Z599&lt;=4000,"",IF($Z599&lt;=5200,"",IF($Z599&lt;=5800,"","")))))</f>
        <v/>
      </c>
      <c r="H599" s="39" t="str">
        <f>IF($Z599="","",IF($Z599&lt;=2000,IF(INDEX(包装物料出入库明细!$L$4:$L$2003,$Z599-0)=0,"",INDEX(包装物料出入库明细!$L$4:$L$2003,$Z599-0)),IF($Z599&lt;=4000,N(INDEX(周转筐出入库明细!$H$4:$H$2004,$Z599-2000))+N(INDEX(周转筐出入库明细!$I$4:$I$2004,$Z599-2000))+N(INDEX(周转筐出入库明细!$J$4:$J$2004,$Z599-2000))+N(INDEX(周转筐出入库明细!$K$4:$K$2004,$Z599-2000)),IF($Z599&lt;=5200,N(INDEX(客户自备加工筐明细!$F$4:$F$1203,$Z599-4000))+N(INDEX(客户自备加工筐明细!$G$4:$G$1203,$Z599-4000)),IF($Z599&lt;=5800,IF(INDEX(次果筐明细!$G$4:$G$603,$Z599-5200)=0,"",INDEX(次果筐明细!$G$4:$G$603,$Z599-5200)),"")))))</f>
        <v/>
      </c>
      <c r="I599" s="24" t="str">
        <f>IF($Z599="","",IF($Z599&lt;=2000,IF(INDEX(包装物料出入库明细!$G$4:$G$2003,$Z599-0)=0,"",INDEX(包装物料出入库明细!$G$4:$G$2003,$Z599-0)),IF($Z599&lt;=4000,"个",IF($Z599&lt;=5200,"个",IF($Z599&lt;=5800,"个","")))))</f>
        <v/>
      </c>
      <c r="J599" s="30" t="str">
        <f t="shared" si="28"/>
        <v/>
      </c>
      <c r="K599" s="30" t="str">
        <f>IF($Z599="","",IF($Z599&lt;=2000,IF(INDEX(包装物料出入库明细!$N$4:$N$2003,$Z599-0)=0,"",INDEX(包装物料出入库明细!$N$4:$N$2003,$Z599-0)),IF($Z599&lt;=4000,IF(INDEX(周转筐出入库明细!$P$4:$P$2004,$Z599-2000)=0,"",INDEX(周转筐出入库明细!$P$4:$P$2004,$Z599-2000)),IF($Z599&lt;=5200,"",IF($Z599&lt;=5800,N(INDEX(次果筐明细!$L$4:$L$603,$Z599-5200))+N(INDEX(次果筐明细!$J$4:$J$603,$Z599-5200)),"")))))</f>
        <v/>
      </c>
      <c r="L599" s="24" t="str">
        <f>IF($Z599="","",IF($Z599&lt;=2000,IF(INDEX(包装物料出入库明细!$P$4:$P$2003,$Z599-0)=0,"",INDEX(包装物料出入库明细!$P$4:$P$2003,$Z599-0)),IF($Z599&lt;=4000,IF(INDEX(周转筐出入库明细!$Q$4:$Q$2004,$Z599-2000)=0,"",INDEX(周转筐出入库明细!$Q$4:$Q$2004,$Z599-2000)),IF($Z599&lt;=5200,"",IF($Z599&lt;=5800,IF(INDEX(次果筐明细!$M$4:$M$603,$Z599-5200)=0,"",INDEX(次果筐明细!$M$4:$M$603,$Z599-5200)),"")))))</f>
        <v/>
      </c>
      <c r="M599" s="37" t="str">
        <f>IF($Z599="","",IF($Z599&lt;=2000,IF(INDEX(包装物料出入库明细!$R$4:$R$2003,$Z599-0)=0,"",INDEX(包装物料出入库明细!$R$4:$R$2003,$Z599-0)),IF($Z599&lt;=4000,IF(INDEX(周转筐出入库明细!$W$4:$W$2004,$Z599-2000)=0,"",INDEX(周转筐出入库明细!$W$4:$W$2004,$Z599-2000)),IF($Z599&lt;=5200,IF(INDEX(客户自备加工筐明细!$L$4:$L$1203,$Z599-4000)=0,"",INDEX(客户自备加工筐明细!$L$4:$L$1203,$Z599-4000)),IF($Z599&lt;=5800,IF(INDEX(次果筐明细!$P$4:$P$603,$Z599-5200)=0,"",INDEX(次果筐明细!$P$4:$P$603,$Z599-5200)),"")))))</f>
        <v/>
      </c>
      <c r="N599" s="16" t="str">
        <f>IF($Z599="","",IF($Z599&lt;=2000,"",IF($Z599&lt;=4000,IF(INDEX(周转筐出入库明细!$D$4:$D$2004,$Z599-2000)=0,"",INDEX(周转筐出入库明细!$D$4:$D$2004,$Z599-2000)),IF($Z599&lt;=5200,IF(INDEX(客户自备加工筐明细!$C$4:$C$1203,$Z599-4000)=0,"",INDEX(客户自备加工筐明细!$C$4:$C$1203,$Z599-4000)),IF($Z599&lt;=5800,IF(INDEX(次果筐明细!$D$4:$D$603,$Z599-5200)=0,"",INDEX(次果筐明细!$D$4:$D$603,$Z599-5200)),"")))))</f>
        <v/>
      </c>
      <c r="O599" s="40" t="str">
        <f>IF($Z599="","",IF($Z599&lt;=2000,"",IF($Z599&lt;=4000,IF(N(INDEX(周转筐出入库明细!$J$4:$J$2004,$Z599-2000))+N(INDEX(周转筐出入库明细!$K$4:$K$2004,$Z599-2000))=0,"",N(INDEX(周转筐出入库明细!$J$4:$J$2004,$Z599-2000))+N(INDEX(周转筐出入库明细!$K$4:$K$2004,$Z599-2000))),IF($Z599&lt;=5200,IF(N(INDEX(客户自备加工筐明细!$G$4:$G$1203,$Z599-4000))=0,"",N(INDEX(客户自备加工筐明细!$G$4:$G$1203,$Z599-4000))),IF($Z599&lt;=5800,IF(ISNUMBER(SEARCH("退",INDEX(次果筐明细!$F$4:$F$603,$Z599-5200)&amp;"")),"",IF(N(INDEX(次果筐明细!$G$4:$G$603,$Z599-5200))=0,"",N(INDEX(次果筐明细!$G$4:$G$603,$Z599-5200)))),"")))))</f>
        <v/>
      </c>
      <c r="P599" s="40" t="str">
        <f>IF($Z599="","",IF($Z599&lt;=2000,"",IF($Z599&lt;=4000,IF(N(INDEX(周转筐出入库明细!$I$4:$I$2004,$Z599-2000))=0,"",N(INDEX(周转筐出入库明细!$I$4:$I$2004,$Z599-2000))),IF($Z599&lt;=5200,"",IF($Z599&lt;=5800,IF(ISNUMBER(SEARCH("退",INDEX(次果筐明细!$F$4:$F$603,$Z599-5200)&amp;"")),IF(N(INDEX(次果筐明细!$G$4:$G$603,$Z599-5200))=0,"",N(INDEX(次果筐明细!$G$4:$G$603,$Z599-5200))),""),"")))))</f>
        <v/>
      </c>
      <c r="Q599" s="40" t="str">
        <f>IF($Z599="","",IF($Z599&lt;=2000,"",IF($Z599&lt;=4000,IF(N(INDEX(周转筐出入库明细!$H$4:$H$2004,$Z599-2000))=0,"",N(INDEX(周转筐出入库明细!$H$4:$H$2004,$Z599-2000))),IF($Z599&lt;=5200,IF(N(INDEX(客户自备加工筐明细!$F$4:$F$1203,$Z599-4000))=0,"",N(INDEX(客户自备加工筐明细!$F$4:$F$1203,$Z599-4000))),IF($Z599&lt;=5800,"","")))))</f>
        <v/>
      </c>
      <c r="R599" s="16" t="str">
        <f>IF($Z599="","",IF($Z599&lt;=2000,IF(INDEX(包装物料出入库明细!$O$4:$O$2003,$Z599-0)=0,"",INDEX(包装物料出入库明细!$O$4:$O$2003,$Z599-0)),IF($Z599&lt;=4000,IF(INDEX(周转筐出入库明细!$M$4:$M$2004,$Z599-2000)=0,"",INDEX(周转筐出入库明细!$M$4:$M$2004,$Z599-2000)),IF($Z599&lt;=5200,IF(INDEX(客户自备加工筐明细!$H$4:$H$1203,$Z599-4000)=0,"",INDEX(客户自备加工筐明细!$H$4:$H$1203,$Z599-4000)),IF($Z599&lt;=5800,IF(INDEX(次果筐明细!$H$4:$H$603,$Z599-5200)=0,"",INDEX(次果筐明细!$H$4:$H$603,$Z599-5200)),"")))))</f>
        <v/>
      </c>
      <c r="S599" s="22" t="str">
        <f t="shared" si="29"/>
        <v/>
      </c>
      <c r="Z599" s="10" t="str">
        <f>IFERROR(MATCH(ROW()-3,_自动清单!$CQ$4:$CQ$5803,0),"")</f>
        <v/>
      </c>
    </row>
    <row r="600" spans="1:26">
      <c r="A600" s="24" t="str">
        <f t="shared" si="27"/>
        <v/>
      </c>
      <c r="B600" s="38" t="str">
        <f>IF($Z600="","",IF($Z600&lt;=2000,IF(INDEX(包装物料出入库明细!$B$4:$B$2003,$Z600-0)=0,"",INDEX(包装物料出入库明细!$B$4:$B$2003,$Z600-0)),IF($Z600&lt;=4000,IF(INDEX(周转筐出入库明细!$B$4:$B$2004,$Z600-2000)=0,"",INDEX(周转筐出入库明细!$B$4:$B$2004,$Z600-2000)),IF($Z600&lt;=5200,IF(INDEX(客户自备加工筐明细!$B$4:$B$1203,$Z600-4000)=0,"",INDEX(客户自备加工筐明细!$B$4:$B$1203,$Z600-4000)),IF($Z600&lt;=5800,IF(INDEX(次果筐明细!$B$4:$B$603,$Z600-5200)=0,"",INDEX(次果筐明细!$B$4:$B$603,$Z600-5200)),"")))))</f>
        <v/>
      </c>
      <c r="C600" s="37" t="str">
        <f>IF($Z600="","",IF($Z600&lt;=2000,IF(INDEX(包装物料出入库明细!$D$4:$D$2003,$Z600-0)=0,"",INDEX(包装物料出入库明细!$D$4:$D$2003,$Z600-0)),IF($Z600&lt;=4000,IF(INDEX(周转筐出入库明细!$C$4:$C$2004,$Z600-2000)=0,"",INDEX(周转筐出入库明细!$C$4:$C$2004,$Z600-2000)),IF($Z600&lt;=5200,IF(INDEX(客户自备加工筐明细!$E$4:$E$1203,$Z600-4000)=0,"",INDEX(客户自备加工筐明细!$E$4:$E$1203,$Z600-4000)),IF($Z600&lt;=5800,IF(INDEX(次果筐明细!$C$4:$C$603,$Z600-5200)=0,"",INDEX(次果筐明细!$C$4:$C$603,$Z600-5200)),"")))))</f>
        <v/>
      </c>
      <c r="D600" s="37" t="str">
        <f>IF($Z600="","",IF($Z600&lt;=2000,"包装物料－"&amp;INDEX(包装物料出入库明细!$H$4:$H$2003,$Z600-0),IF($Z600&lt;=4000,"周转筐－"&amp;INDEX(周转筐出入库明细!$F$4:$F$2004,$Z600-2000),IF($Z600&lt;=5200,"客户自备筐－"&amp;INDEX(客户自备加工筐明细!$J$4:$J$1203,$Z600-4000),IF($Z600&lt;=5800,"次果筐/托盘－"&amp;INDEX(次果筐明细!$F$4:$F$603,$Z600-5200),"")))))</f>
        <v/>
      </c>
      <c r="E600" s="24" t="str">
        <f>IF($Z600="","",IF($Z600&lt;=2000,IF(INDEX(包装物料出入库明细!$C$4:$C$2003,$Z600-0)=0,"",INDEX(包装物料出入库明细!$C$4:$C$2003,$Z600-0)),IF($Z600&lt;=4000,IF(INDEX(周转筐出入库明细!$E$4:$E$2004,$Z600-2000)=0,"",INDEX(周转筐出入库明细!$E$4:$E$2004,$Z600-2000)),IF($Z600&lt;=5200,IF(INDEX(客户自备加工筐明细!$D$4:$D$1203,$Z600-4000)=0,"",INDEX(客户自备加工筐明细!$D$4:$D$1203,$Z600-4000)),IF($Z600&lt;=5800,IF(INDEX(次果筐明细!$E$4:$E$603,$Z600-5200)=0,"",INDEX(次果筐明细!$E$4:$E$603,$Z600-5200)),"")))))</f>
        <v/>
      </c>
      <c r="F600" s="24" t="str">
        <f>IF($Z600="","",IF($Z600&lt;=2000,IF(INDEX(包装物料出入库明细!$E$4:$E$2003,$Z600-0)=0,"",INDEX(包装物料出入库明细!$E$4:$E$2003,$Z600-0)),IF($Z600&lt;=4000,IF(INDEX(周转筐出入库明细!$D$4:$D$2004,$Z600-2000)=0,"",INDEX(周转筐出入库明细!$D$4:$D$2004,$Z600-2000)),IF($Z600&lt;=5200,IF(INDEX(客户自备加工筐明细!$C$4:$C$1203,$Z600-4000)=0,"",INDEX(客户自备加工筐明细!$C$4:$C$1203,$Z600-4000)),IF($Z600&lt;=5800,IF(INDEX(次果筐明细!$D$4:$D$603,$Z600-5200)=0,"",INDEX(次果筐明细!$D$4:$D$603,$Z600-5200)),"")))))</f>
        <v/>
      </c>
      <c r="G600" s="24" t="str">
        <f>IF($Z600="","",IF($Z600&lt;=2000,IF(INDEX(包装物料出入库明细!$F$4:$F$2003,$Z600-0)=0,"",INDEX(包装物料出入库明细!$F$4:$F$2003,$Z600-0)),IF($Z600&lt;=4000,"",IF($Z600&lt;=5200,"",IF($Z600&lt;=5800,"","")))))</f>
        <v/>
      </c>
      <c r="H600" s="39" t="str">
        <f>IF($Z600="","",IF($Z600&lt;=2000,IF(INDEX(包装物料出入库明细!$L$4:$L$2003,$Z600-0)=0,"",INDEX(包装物料出入库明细!$L$4:$L$2003,$Z600-0)),IF($Z600&lt;=4000,N(INDEX(周转筐出入库明细!$H$4:$H$2004,$Z600-2000))+N(INDEX(周转筐出入库明细!$I$4:$I$2004,$Z600-2000))+N(INDEX(周转筐出入库明细!$J$4:$J$2004,$Z600-2000))+N(INDEX(周转筐出入库明细!$K$4:$K$2004,$Z600-2000)),IF($Z600&lt;=5200,N(INDEX(客户自备加工筐明细!$F$4:$F$1203,$Z600-4000))+N(INDEX(客户自备加工筐明细!$G$4:$G$1203,$Z600-4000)),IF($Z600&lt;=5800,IF(INDEX(次果筐明细!$G$4:$G$603,$Z600-5200)=0,"",INDEX(次果筐明细!$G$4:$G$603,$Z600-5200)),"")))))</f>
        <v/>
      </c>
      <c r="I600" s="24" t="str">
        <f>IF($Z600="","",IF($Z600&lt;=2000,IF(INDEX(包装物料出入库明细!$G$4:$G$2003,$Z600-0)=0,"",INDEX(包装物料出入库明细!$G$4:$G$2003,$Z600-0)),IF($Z600&lt;=4000,"个",IF($Z600&lt;=5200,"个",IF($Z600&lt;=5800,"个","")))))</f>
        <v/>
      </c>
      <c r="J600" s="30" t="str">
        <f t="shared" si="28"/>
        <v/>
      </c>
      <c r="K600" s="30" t="str">
        <f>IF($Z600="","",IF($Z600&lt;=2000,IF(INDEX(包装物料出入库明细!$N$4:$N$2003,$Z600-0)=0,"",INDEX(包装物料出入库明细!$N$4:$N$2003,$Z600-0)),IF($Z600&lt;=4000,IF(INDEX(周转筐出入库明细!$P$4:$P$2004,$Z600-2000)=0,"",INDEX(周转筐出入库明细!$P$4:$P$2004,$Z600-2000)),IF($Z600&lt;=5200,"",IF($Z600&lt;=5800,N(INDEX(次果筐明细!$L$4:$L$603,$Z600-5200))+N(INDEX(次果筐明细!$J$4:$J$603,$Z600-5200)),"")))))</f>
        <v/>
      </c>
      <c r="L600" s="24" t="str">
        <f>IF($Z600="","",IF($Z600&lt;=2000,IF(INDEX(包装物料出入库明细!$P$4:$P$2003,$Z600-0)=0,"",INDEX(包装物料出入库明细!$P$4:$P$2003,$Z600-0)),IF($Z600&lt;=4000,IF(INDEX(周转筐出入库明细!$Q$4:$Q$2004,$Z600-2000)=0,"",INDEX(周转筐出入库明细!$Q$4:$Q$2004,$Z600-2000)),IF($Z600&lt;=5200,"",IF($Z600&lt;=5800,IF(INDEX(次果筐明细!$M$4:$M$603,$Z600-5200)=0,"",INDEX(次果筐明细!$M$4:$M$603,$Z600-5200)),"")))))</f>
        <v/>
      </c>
      <c r="M600" s="37" t="str">
        <f>IF($Z600="","",IF($Z600&lt;=2000,IF(INDEX(包装物料出入库明细!$R$4:$R$2003,$Z600-0)=0,"",INDEX(包装物料出入库明细!$R$4:$R$2003,$Z600-0)),IF($Z600&lt;=4000,IF(INDEX(周转筐出入库明细!$W$4:$W$2004,$Z600-2000)=0,"",INDEX(周转筐出入库明细!$W$4:$W$2004,$Z600-2000)),IF($Z600&lt;=5200,IF(INDEX(客户自备加工筐明细!$L$4:$L$1203,$Z600-4000)=0,"",INDEX(客户自备加工筐明细!$L$4:$L$1203,$Z600-4000)),IF($Z600&lt;=5800,IF(INDEX(次果筐明细!$P$4:$P$603,$Z600-5200)=0,"",INDEX(次果筐明细!$P$4:$P$603,$Z600-5200)),"")))))</f>
        <v/>
      </c>
      <c r="N600" s="16" t="str">
        <f>IF($Z600="","",IF($Z600&lt;=2000,"",IF($Z600&lt;=4000,IF(INDEX(周转筐出入库明细!$D$4:$D$2004,$Z600-2000)=0,"",INDEX(周转筐出入库明细!$D$4:$D$2004,$Z600-2000)),IF($Z600&lt;=5200,IF(INDEX(客户自备加工筐明细!$C$4:$C$1203,$Z600-4000)=0,"",INDEX(客户自备加工筐明细!$C$4:$C$1203,$Z600-4000)),IF($Z600&lt;=5800,IF(INDEX(次果筐明细!$D$4:$D$603,$Z600-5200)=0,"",INDEX(次果筐明细!$D$4:$D$603,$Z600-5200)),"")))))</f>
        <v/>
      </c>
      <c r="O600" s="40" t="str">
        <f>IF($Z600="","",IF($Z600&lt;=2000,"",IF($Z600&lt;=4000,IF(N(INDEX(周转筐出入库明细!$J$4:$J$2004,$Z600-2000))+N(INDEX(周转筐出入库明细!$K$4:$K$2004,$Z600-2000))=0,"",N(INDEX(周转筐出入库明细!$J$4:$J$2004,$Z600-2000))+N(INDEX(周转筐出入库明细!$K$4:$K$2004,$Z600-2000))),IF($Z600&lt;=5200,IF(N(INDEX(客户自备加工筐明细!$G$4:$G$1203,$Z600-4000))=0,"",N(INDEX(客户自备加工筐明细!$G$4:$G$1203,$Z600-4000))),IF($Z600&lt;=5800,IF(ISNUMBER(SEARCH("退",INDEX(次果筐明细!$F$4:$F$603,$Z600-5200)&amp;"")),"",IF(N(INDEX(次果筐明细!$G$4:$G$603,$Z600-5200))=0,"",N(INDEX(次果筐明细!$G$4:$G$603,$Z600-5200)))),"")))))</f>
        <v/>
      </c>
      <c r="P600" s="40" t="str">
        <f>IF($Z600="","",IF($Z600&lt;=2000,"",IF($Z600&lt;=4000,IF(N(INDEX(周转筐出入库明细!$I$4:$I$2004,$Z600-2000))=0,"",N(INDEX(周转筐出入库明细!$I$4:$I$2004,$Z600-2000))),IF($Z600&lt;=5200,"",IF($Z600&lt;=5800,IF(ISNUMBER(SEARCH("退",INDEX(次果筐明细!$F$4:$F$603,$Z600-5200)&amp;"")),IF(N(INDEX(次果筐明细!$G$4:$G$603,$Z600-5200))=0,"",N(INDEX(次果筐明细!$G$4:$G$603,$Z600-5200))),""),"")))))</f>
        <v/>
      </c>
      <c r="Q600" s="40" t="str">
        <f>IF($Z600="","",IF($Z600&lt;=2000,"",IF($Z600&lt;=4000,IF(N(INDEX(周转筐出入库明细!$H$4:$H$2004,$Z600-2000))=0,"",N(INDEX(周转筐出入库明细!$H$4:$H$2004,$Z600-2000))),IF($Z600&lt;=5200,IF(N(INDEX(客户自备加工筐明细!$F$4:$F$1203,$Z600-4000))=0,"",N(INDEX(客户自备加工筐明细!$F$4:$F$1203,$Z600-4000))),IF($Z600&lt;=5800,"","")))))</f>
        <v/>
      </c>
      <c r="R600" s="16" t="str">
        <f>IF($Z600="","",IF($Z600&lt;=2000,IF(INDEX(包装物料出入库明细!$O$4:$O$2003,$Z600-0)=0,"",INDEX(包装物料出入库明细!$O$4:$O$2003,$Z600-0)),IF($Z600&lt;=4000,IF(INDEX(周转筐出入库明细!$M$4:$M$2004,$Z600-2000)=0,"",INDEX(周转筐出入库明细!$M$4:$M$2004,$Z600-2000)),IF($Z600&lt;=5200,IF(INDEX(客户自备加工筐明细!$H$4:$H$1203,$Z600-4000)=0,"",INDEX(客户自备加工筐明细!$H$4:$H$1203,$Z600-4000)),IF($Z600&lt;=5800,IF(INDEX(次果筐明细!$H$4:$H$603,$Z600-5200)=0,"",INDEX(次果筐明细!$H$4:$H$603,$Z600-5200)),"")))))</f>
        <v/>
      </c>
      <c r="S600" s="22" t="str">
        <f t="shared" si="29"/>
        <v/>
      </c>
      <c r="Z600" s="10" t="str">
        <f>IFERROR(MATCH(ROW()-3,_自动清单!$CQ$4:$CQ$5803,0),"")</f>
        <v/>
      </c>
    </row>
    <row r="601" spans="1:26">
      <c r="A601" s="24" t="str">
        <f t="shared" si="27"/>
        <v/>
      </c>
      <c r="B601" s="38" t="str">
        <f>IF($Z601="","",IF($Z601&lt;=2000,IF(INDEX(包装物料出入库明细!$B$4:$B$2003,$Z601-0)=0,"",INDEX(包装物料出入库明细!$B$4:$B$2003,$Z601-0)),IF($Z601&lt;=4000,IF(INDEX(周转筐出入库明细!$B$4:$B$2004,$Z601-2000)=0,"",INDEX(周转筐出入库明细!$B$4:$B$2004,$Z601-2000)),IF($Z601&lt;=5200,IF(INDEX(客户自备加工筐明细!$B$4:$B$1203,$Z601-4000)=0,"",INDEX(客户自备加工筐明细!$B$4:$B$1203,$Z601-4000)),IF($Z601&lt;=5800,IF(INDEX(次果筐明细!$B$4:$B$603,$Z601-5200)=0,"",INDEX(次果筐明细!$B$4:$B$603,$Z601-5200)),"")))))</f>
        <v/>
      </c>
      <c r="C601" s="37" t="str">
        <f>IF($Z601="","",IF($Z601&lt;=2000,IF(INDEX(包装物料出入库明细!$D$4:$D$2003,$Z601-0)=0,"",INDEX(包装物料出入库明细!$D$4:$D$2003,$Z601-0)),IF($Z601&lt;=4000,IF(INDEX(周转筐出入库明细!$C$4:$C$2004,$Z601-2000)=0,"",INDEX(周转筐出入库明细!$C$4:$C$2004,$Z601-2000)),IF($Z601&lt;=5200,IF(INDEX(客户自备加工筐明细!$E$4:$E$1203,$Z601-4000)=0,"",INDEX(客户自备加工筐明细!$E$4:$E$1203,$Z601-4000)),IF($Z601&lt;=5800,IF(INDEX(次果筐明细!$C$4:$C$603,$Z601-5200)=0,"",INDEX(次果筐明细!$C$4:$C$603,$Z601-5200)),"")))))</f>
        <v/>
      </c>
      <c r="D601" s="37" t="str">
        <f>IF($Z601="","",IF($Z601&lt;=2000,"包装物料－"&amp;INDEX(包装物料出入库明细!$H$4:$H$2003,$Z601-0),IF($Z601&lt;=4000,"周转筐－"&amp;INDEX(周转筐出入库明细!$F$4:$F$2004,$Z601-2000),IF($Z601&lt;=5200,"客户自备筐－"&amp;INDEX(客户自备加工筐明细!$J$4:$J$1203,$Z601-4000),IF($Z601&lt;=5800,"次果筐/托盘－"&amp;INDEX(次果筐明细!$F$4:$F$603,$Z601-5200),"")))))</f>
        <v/>
      </c>
      <c r="E601" s="24" t="str">
        <f>IF($Z601="","",IF($Z601&lt;=2000,IF(INDEX(包装物料出入库明细!$C$4:$C$2003,$Z601-0)=0,"",INDEX(包装物料出入库明细!$C$4:$C$2003,$Z601-0)),IF($Z601&lt;=4000,IF(INDEX(周转筐出入库明细!$E$4:$E$2004,$Z601-2000)=0,"",INDEX(周转筐出入库明细!$E$4:$E$2004,$Z601-2000)),IF($Z601&lt;=5200,IF(INDEX(客户自备加工筐明细!$D$4:$D$1203,$Z601-4000)=0,"",INDEX(客户自备加工筐明细!$D$4:$D$1203,$Z601-4000)),IF($Z601&lt;=5800,IF(INDEX(次果筐明细!$E$4:$E$603,$Z601-5200)=0,"",INDEX(次果筐明细!$E$4:$E$603,$Z601-5200)),"")))))</f>
        <v/>
      </c>
      <c r="F601" s="24" t="str">
        <f>IF($Z601="","",IF($Z601&lt;=2000,IF(INDEX(包装物料出入库明细!$E$4:$E$2003,$Z601-0)=0,"",INDEX(包装物料出入库明细!$E$4:$E$2003,$Z601-0)),IF($Z601&lt;=4000,IF(INDEX(周转筐出入库明细!$D$4:$D$2004,$Z601-2000)=0,"",INDEX(周转筐出入库明细!$D$4:$D$2004,$Z601-2000)),IF($Z601&lt;=5200,IF(INDEX(客户自备加工筐明细!$C$4:$C$1203,$Z601-4000)=0,"",INDEX(客户自备加工筐明细!$C$4:$C$1203,$Z601-4000)),IF($Z601&lt;=5800,IF(INDEX(次果筐明细!$D$4:$D$603,$Z601-5200)=0,"",INDEX(次果筐明细!$D$4:$D$603,$Z601-5200)),"")))))</f>
        <v/>
      </c>
      <c r="G601" s="24" t="str">
        <f>IF($Z601="","",IF($Z601&lt;=2000,IF(INDEX(包装物料出入库明细!$F$4:$F$2003,$Z601-0)=0,"",INDEX(包装物料出入库明细!$F$4:$F$2003,$Z601-0)),IF($Z601&lt;=4000,"",IF($Z601&lt;=5200,"",IF($Z601&lt;=5800,"","")))))</f>
        <v/>
      </c>
      <c r="H601" s="39" t="str">
        <f>IF($Z601="","",IF($Z601&lt;=2000,IF(INDEX(包装物料出入库明细!$L$4:$L$2003,$Z601-0)=0,"",INDEX(包装物料出入库明细!$L$4:$L$2003,$Z601-0)),IF($Z601&lt;=4000,N(INDEX(周转筐出入库明细!$H$4:$H$2004,$Z601-2000))+N(INDEX(周转筐出入库明细!$I$4:$I$2004,$Z601-2000))+N(INDEX(周转筐出入库明细!$J$4:$J$2004,$Z601-2000))+N(INDEX(周转筐出入库明细!$K$4:$K$2004,$Z601-2000)),IF($Z601&lt;=5200,N(INDEX(客户自备加工筐明细!$F$4:$F$1203,$Z601-4000))+N(INDEX(客户自备加工筐明细!$G$4:$G$1203,$Z601-4000)),IF($Z601&lt;=5800,IF(INDEX(次果筐明细!$G$4:$G$603,$Z601-5200)=0,"",INDEX(次果筐明细!$G$4:$G$603,$Z601-5200)),"")))))</f>
        <v/>
      </c>
      <c r="I601" s="24" t="str">
        <f>IF($Z601="","",IF($Z601&lt;=2000,IF(INDEX(包装物料出入库明细!$G$4:$G$2003,$Z601-0)=0,"",INDEX(包装物料出入库明细!$G$4:$G$2003,$Z601-0)),IF($Z601&lt;=4000,"个",IF($Z601&lt;=5200,"个",IF($Z601&lt;=5800,"个","")))))</f>
        <v/>
      </c>
      <c r="J601" s="30" t="str">
        <f t="shared" si="28"/>
        <v/>
      </c>
      <c r="K601" s="30" t="str">
        <f>IF($Z601="","",IF($Z601&lt;=2000,IF(INDEX(包装物料出入库明细!$N$4:$N$2003,$Z601-0)=0,"",INDEX(包装物料出入库明细!$N$4:$N$2003,$Z601-0)),IF($Z601&lt;=4000,IF(INDEX(周转筐出入库明细!$P$4:$P$2004,$Z601-2000)=0,"",INDEX(周转筐出入库明细!$P$4:$P$2004,$Z601-2000)),IF($Z601&lt;=5200,"",IF($Z601&lt;=5800,N(INDEX(次果筐明细!$L$4:$L$603,$Z601-5200))+N(INDEX(次果筐明细!$J$4:$J$603,$Z601-5200)),"")))))</f>
        <v/>
      </c>
      <c r="L601" s="24" t="str">
        <f>IF($Z601="","",IF($Z601&lt;=2000,IF(INDEX(包装物料出入库明细!$P$4:$P$2003,$Z601-0)=0,"",INDEX(包装物料出入库明细!$P$4:$P$2003,$Z601-0)),IF($Z601&lt;=4000,IF(INDEX(周转筐出入库明细!$Q$4:$Q$2004,$Z601-2000)=0,"",INDEX(周转筐出入库明细!$Q$4:$Q$2004,$Z601-2000)),IF($Z601&lt;=5200,"",IF($Z601&lt;=5800,IF(INDEX(次果筐明细!$M$4:$M$603,$Z601-5200)=0,"",INDEX(次果筐明细!$M$4:$M$603,$Z601-5200)),"")))))</f>
        <v/>
      </c>
      <c r="M601" s="37" t="str">
        <f>IF($Z601="","",IF($Z601&lt;=2000,IF(INDEX(包装物料出入库明细!$R$4:$R$2003,$Z601-0)=0,"",INDEX(包装物料出入库明细!$R$4:$R$2003,$Z601-0)),IF($Z601&lt;=4000,IF(INDEX(周转筐出入库明细!$W$4:$W$2004,$Z601-2000)=0,"",INDEX(周转筐出入库明细!$W$4:$W$2004,$Z601-2000)),IF($Z601&lt;=5200,IF(INDEX(客户自备加工筐明细!$L$4:$L$1203,$Z601-4000)=0,"",INDEX(客户自备加工筐明细!$L$4:$L$1203,$Z601-4000)),IF($Z601&lt;=5800,IF(INDEX(次果筐明细!$P$4:$P$603,$Z601-5200)=0,"",INDEX(次果筐明细!$P$4:$P$603,$Z601-5200)),"")))))</f>
        <v/>
      </c>
      <c r="N601" s="16" t="str">
        <f>IF($Z601="","",IF($Z601&lt;=2000,"",IF($Z601&lt;=4000,IF(INDEX(周转筐出入库明细!$D$4:$D$2004,$Z601-2000)=0,"",INDEX(周转筐出入库明细!$D$4:$D$2004,$Z601-2000)),IF($Z601&lt;=5200,IF(INDEX(客户自备加工筐明细!$C$4:$C$1203,$Z601-4000)=0,"",INDEX(客户自备加工筐明细!$C$4:$C$1203,$Z601-4000)),IF($Z601&lt;=5800,IF(INDEX(次果筐明细!$D$4:$D$603,$Z601-5200)=0,"",INDEX(次果筐明细!$D$4:$D$603,$Z601-5200)),"")))))</f>
        <v/>
      </c>
      <c r="O601" s="40" t="str">
        <f>IF($Z601="","",IF($Z601&lt;=2000,"",IF($Z601&lt;=4000,IF(N(INDEX(周转筐出入库明细!$J$4:$J$2004,$Z601-2000))+N(INDEX(周转筐出入库明细!$K$4:$K$2004,$Z601-2000))=0,"",N(INDEX(周转筐出入库明细!$J$4:$J$2004,$Z601-2000))+N(INDEX(周转筐出入库明细!$K$4:$K$2004,$Z601-2000))),IF($Z601&lt;=5200,IF(N(INDEX(客户自备加工筐明细!$G$4:$G$1203,$Z601-4000))=0,"",N(INDEX(客户自备加工筐明细!$G$4:$G$1203,$Z601-4000))),IF($Z601&lt;=5800,IF(ISNUMBER(SEARCH("退",INDEX(次果筐明细!$F$4:$F$603,$Z601-5200)&amp;"")),"",IF(N(INDEX(次果筐明细!$G$4:$G$603,$Z601-5200))=0,"",N(INDEX(次果筐明细!$G$4:$G$603,$Z601-5200)))),"")))))</f>
        <v/>
      </c>
      <c r="P601" s="40" t="str">
        <f>IF($Z601="","",IF($Z601&lt;=2000,"",IF($Z601&lt;=4000,IF(N(INDEX(周转筐出入库明细!$I$4:$I$2004,$Z601-2000))=0,"",N(INDEX(周转筐出入库明细!$I$4:$I$2004,$Z601-2000))),IF($Z601&lt;=5200,"",IF($Z601&lt;=5800,IF(ISNUMBER(SEARCH("退",INDEX(次果筐明细!$F$4:$F$603,$Z601-5200)&amp;"")),IF(N(INDEX(次果筐明细!$G$4:$G$603,$Z601-5200))=0,"",N(INDEX(次果筐明细!$G$4:$G$603,$Z601-5200))),""),"")))))</f>
        <v/>
      </c>
      <c r="Q601" s="40" t="str">
        <f>IF($Z601="","",IF($Z601&lt;=2000,"",IF($Z601&lt;=4000,IF(N(INDEX(周转筐出入库明细!$H$4:$H$2004,$Z601-2000))=0,"",N(INDEX(周转筐出入库明细!$H$4:$H$2004,$Z601-2000))),IF($Z601&lt;=5200,IF(N(INDEX(客户自备加工筐明细!$F$4:$F$1203,$Z601-4000))=0,"",N(INDEX(客户自备加工筐明细!$F$4:$F$1203,$Z601-4000))),IF($Z601&lt;=5800,"","")))))</f>
        <v/>
      </c>
      <c r="R601" s="16" t="str">
        <f>IF($Z601="","",IF($Z601&lt;=2000,IF(INDEX(包装物料出入库明细!$O$4:$O$2003,$Z601-0)=0,"",INDEX(包装物料出入库明细!$O$4:$O$2003,$Z601-0)),IF($Z601&lt;=4000,IF(INDEX(周转筐出入库明细!$M$4:$M$2004,$Z601-2000)=0,"",INDEX(周转筐出入库明细!$M$4:$M$2004,$Z601-2000)),IF($Z601&lt;=5200,IF(INDEX(客户自备加工筐明细!$H$4:$H$1203,$Z601-4000)=0,"",INDEX(客户自备加工筐明细!$H$4:$H$1203,$Z601-4000)),IF($Z601&lt;=5800,IF(INDEX(次果筐明细!$H$4:$H$603,$Z601-5200)=0,"",INDEX(次果筐明细!$H$4:$H$603,$Z601-5200)),"")))))</f>
        <v/>
      </c>
      <c r="S601" s="22" t="str">
        <f t="shared" si="29"/>
        <v/>
      </c>
      <c r="Z601" s="10" t="str">
        <f>IFERROR(MATCH(ROW()-3,_自动清单!$CQ$4:$CQ$5803,0),"")</f>
        <v/>
      </c>
    </row>
    <row r="602" spans="1:26">
      <c r="A602" s="24" t="str">
        <f t="shared" si="27"/>
        <v/>
      </c>
      <c r="B602" s="38" t="str">
        <f>IF($Z602="","",IF($Z602&lt;=2000,IF(INDEX(包装物料出入库明细!$B$4:$B$2003,$Z602-0)=0,"",INDEX(包装物料出入库明细!$B$4:$B$2003,$Z602-0)),IF($Z602&lt;=4000,IF(INDEX(周转筐出入库明细!$B$4:$B$2004,$Z602-2000)=0,"",INDEX(周转筐出入库明细!$B$4:$B$2004,$Z602-2000)),IF($Z602&lt;=5200,IF(INDEX(客户自备加工筐明细!$B$4:$B$1203,$Z602-4000)=0,"",INDEX(客户自备加工筐明细!$B$4:$B$1203,$Z602-4000)),IF($Z602&lt;=5800,IF(INDEX(次果筐明细!$B$4:$B$603,$Z602-5200)=0,"",INDEX(次果筐明细!$B$4:$B$603,$Z602-5200)),"")))))</f>
        <v/>
      </c>
      <c r="C602" s="37" t="str">
        <f>IF($Z602="","",IF($Z602&lt;=2000,IF(INDEX(包装物料出入库明细!$D$4:$D$2003,$Z602-0)=0,"",INDEX(包装物料出入库明细!$D$4:$D$2003,$Z602-0)),IF($Z602&lt;=4000,IF(INDEX(周转筐出入库明细!$C$4:$C$2004,$Z602-2000)=0,"",INDEX(周转筐出入库明细!$C$4:$C$2004,$Z602-2000)),IF($Z602&lt;=5200,IF(INDEX(客户自备加工筐明细!$E$4:$E$1203,$Z602-4000)=0,"",INDEX(客户自备加工筐明细!$E$4:$E$1203,$Z602-4000)),IF($Z602&lt;=5800,IF(INDEX(次果筐明细!$C$4:$C$603,$Z602-5200)=0,"",INDEX(次果筐明细!$C$4:$C$603,$Z602-5200)),"")))))</f>
        <v/>
      </c>
      <c r="D602" s="37" t="str">
        <f>IF($Z602="","",IF($Z602&lt;=2000,"包装物料－"&amp;INDEX(包装物料出入库明细!$H$4:$H$2003,$Z602-0),IF($Z602&lt;=4000,"周转筐－"&amp;INDEX(周转筐出入库明细!$F$4:$F$2004,$Z602-2000),IF($Z602&lt;=5200,"客户自备筐－"&amp;INDEX(客户自备加工筐明细!$J$4:$J$1203,$Z602-4000),IF($Z602&lt;=5800,"次果筐/托盘－"&amp;INDEX(次果筐明细!$F$4:$F$603,$Z602-5200),"")))))</f>
        <v/>
      </c>
      <c r="E602" s="24" t="str">
        <f>IF($Z602="","",IF($Z602&lt;=2000,IF(INDEX(包装物料出入库明细!$C$4:$C$2003,$Z602-0)=0,"",INDEX(包装物料出入库明细!$C$4:$C$2003,$Z602-0)),IF($Z602&lt;=4000,IF(INDEX(周转筐出入库明细!$E$4:$E$2004,$Z602-2000)=0,"",INDEX(周转筐出入库明细!$E$4:$E$2004,$Z602-2000)),IF($Z602&lt;=5200,IF(INDEX(客户自备加工筐明细!$D$4:$D$1203,$Z602-4000)=0,"",INDEX(客户自备加工筐明细!$D$4:$D$1203,$Z602-4000)),IF($Z602&lt;=5800,IF(INDEX(次果筐明细!$E$4:$E$603,$Z602-5200)=0,"",INDEX(次果筐明细!$E$4:$E$603,$Z602-5200)),"")))))</f>
        <v/>
      </c>
      <c r="F602" s="24" t="str">
        <f>IF($Z602="","",IF($Z602&lt;=2000,IF(INDEX(包装物料出入库明细!$E$4:$E$2003,$Z602-0)=0,"",INDEX(包装物料出入库明细!$E$4:$E$2003,$Z602-0)),IF($Z602&lt;=4000,IF(INDEX(周转筐出入库明细!$D$4:$D$2004,$Z602-2000)=0,"",INDEX(周转筐出入库明细!$D$4:$D$2004,$Z602-2000)),IF($Z602&lt;=5200,IF(INDEX(客户自备加工筐明细!$C$4:$C$1203,$Z602-4000)=0,"",INDEX(客户自备加工筐明细!$C$4:$C$1203,$Z602-4000)),IF($Z602&lt;=5800,IF(INDEX(次果筐明细!$D$4:$D$603,$Z602-5200)=0,"",INDEX(次果筐明细!$D$4:$D$603,$Z602-5200)),"")))))</f>
        <v/>
      </c>
      <c r="G602" s="24" t="str">
        <f>IF($Z602="","",IF($Z602&lt;=2000,IF(INDEX(包装物料出入库明细!$F$4:$F$2003,$Z602-0)=0,"",INDEX(包装物料出入库明细!$F$4:$F$2003,$Z602-0)),IF($Z602&lt;=4000,"",IF($Z602&lt;=5200,"",IF($Z602&lt;=5800,"","")))))</f>
        <v/>
      </c>
      <c r="H602" s="39" t="str">
        <f>IF($Z602="","",IF($Z602&lt;=2000,IF(INDEX(包装物料出入库明细!$L$4:$L$2003,$Z602-0)=0,"",INDEX(包装物料出入库明细!$L$4:$L$2003,$Z602-0)),IF($Z602&lt;=4000,N(INDEX(周转筐出入库明细!$H$4:$H$2004,$Z602-2000))+N(INDEX(周转筐出入库明细!$I$4:$I$2004,$Z602-2000))+N(INDEX(周转筐出入库明细!$J$4:$J$2004,$Z602-2000))+N(INDEX(周转筐出入库明细!$K$4:$K$2004,$Z602-2000)),IF($Z602&lt;=5200,N(INDEX(客户自备加工筐明细!$F$4:$F$1203,$Z602-4000))+N(INDEX(客户自备加工筐明细!$G$4:$G$1203,$Z602-4000)),IF($Z602&lt;=5800,IF(INDEX(次果筐明细!$G$4:$G$603,$Z602-5200)=0,"",INDEX(次果筐明细!$G$4:$G$603,$Z602-5200)),"")))))</f>
        <v/>
      </c>
      <c r="I602" s="24" t="str">
        <f>IF($Z602="","",IF($Z602&lt;=2000,IF(INDEX(包装物料出入库明细!$G$4:$G$2003,$Z602-0)=0,"",INDEX(包装物料出入库明细!$G$4:$G$2003,$Z602-0)),IF($Z602&lt;=4000,"个",IF($Z602&lt;=5200,"个",IF($Z602&lt;=5800,"个","")))))</f>
        <v/>
      </c>
      <c r="J602" s="30" t="str">
        <f t="shared" si="28"/>
        <v/>
      </c>
      <c r="K602" s="30" t="str">
        <f>IF($Z602="","",IF($Z602&lt;=2000,IF(INDEX(包装物料出入库明细!$N$4:$N$2003,$Z602-0)=0,"",INDEX(包装物料出入库明细!$N$4:$N$2003,$Z602-0)),IF($Z602&lt;=4000,IF(INDEX(周转筐出入库明细!$P$4:$P$2004,$Z602-2000)=0,"",INDEX(周转筐出入库明细!$P$4:$P$2004,$Z602-2000)),IF($Z602&lt;=5200,"",IF($Z602&lt;=5800,N(INDEX(次果筐明细!$L$4:$L$603,$Z602-5200))+N(INDEX(次果筐明细!$J$4:$J$603,$Z602-5200)),"")))))</f>
        <v/>
      </c>
      <c r="L602" s="24" t="str">
        <f>IF($Z602="","",IF($Z602&lt;=2000,IF(INDEX(包装物料出入库明细!$P$4:$P$2003,$Z602-0)=0,"",INDEX(包装物料出入库明细!$P$4:$P$2003,$Z602-0)),IF($Z602&lt;=4000,IF(INDEX(周转筐出入库明细!$Q$4:$Q$2004,$Z602-2000)=0,"",INDEX(周转筐出入库明细!$Q$4:$Q$2004,$Z602-2000)),IF($Z602&lt;=5200,"",IF($Z602&lt;=5800,IF(INDEX(次果筐明细!$M$4:$M$603,$Z602-5200)=0,"",INDEX(次果筐明细!$M$4:$M$603,$Z602-5200)),"")))))</f>
        <v/>
      </c>
      <c r="M602" s="37" t="str">
        <f>IF($Z602="","",IF($Z602&lt;=2000,IF(INDEX(包装物料出入库明细!$R$4:$R$2003,$Z602-0)=0,"",INDEX(包装物料出入库明细!$R$4:$R$2003,$Z602-0)),IF($Z602&lt;=4000,IF(INDEX(周转筐出入库明细!$W$4:$W$2004,$Z602-2000)=0,"",INDEX(周转筐出入库明细!$W$4:$W$2004,$Z602-2000)),IF($Z602&lt;=5200,IF(INDEX(客户自备加工筐明细!$L$4:$L$1203,$Z602-4000)=0,"",INDEX(客户自备加工筐明细!$L$4:$L$1203,$Z602-4000)),IF($Z602&lt;=5800,IF(INDEX(次果筐明细!$P$4:$P$603,$Z602-5200)=0,"",INDEX(次果筐明细!$P$4:$P$603,$Z602-5200)),"")))))</f>
        <v/>
      </c>
      <c r="N602" s="16" t="str">
        <f>IF($Z602="","",IF($Z602&lt;=2000,"",IF($Z602&lt;=4000,IF(INDEX(周转筐出入库明细!$D$4:$D$2004,$Z602-2000)=0,"",INDEX(周转筐出入库明细!$D$4:$D$2004,$Z602-2000)),IF($Z602&lt;=5200,IF(INDEX(客户自备加工筐明细!$C$4:$C$1203,$Z602-4000)=0,"",INDEX(客户自备加工筐明细!$C$4:$C$1203,$Z602-4000)),IF($Z602&lt;=5800,IF(INDEX(次果筐明细!$D$4:$D$603,$Z602-5200)=0,"",INDEX(次果筐明细!$D$4:$D$603,$Z602-5200)),"")))))</f>
        <v/>
      </c>
      <c r="O602" s="40" t="str">
        <f>IF($Z602="","",IF($Z602&lt;=2000,"",IF($Z602&lt;=4000,IF(N(INDEX(周转筐出入库明细!$J$4:$J$2004,$Z602-2000))+N(INDEX(周转筐出入库明细!$K$4:$K$2004,$Z602-2000))=0,"",N(INDEX(周转筐出入库明细!$J$4:$J$2004,$Z602-2000))+N(INDEX(周转筐出入库明细!$K$4:$K$2004,$Z602-2000))),IF($Z602&lt;=5200,IF(N(INDEX(客户自备加工筐明细!$G$4:$G$1203,$Z602-4000))=0,"",N(INDEX(客户自备加工筐明细!$G$4:$G$1203,$Z602-4000))),IF($Z602&lt;=5800,IF(ISNUMBER(SEARCH("退",INDEX(次果筐明细!$F$4:$F$603,$Z602-5200)&amp;"")),"",IF(N(INDEX(次果筐明细!$G$4:$G$603,$Z602-5200))=0,"",N(INDEX(次果筐明细!$G$4:$G$603,$Z602-5200)))),"")))))</f>
        <v/>
      </c>
      <c r="P602" s="40" t="str">
        <f>IF($Z602="","",IF($Z602&lt;=2000,"",IF($Z602&lt;=4000,IF(N(INDEX(周转筐出入库明细!$I$4:$I$2004,$Z602-2000))=0,"",N(INDEX(周转筐出入库明细!$I$4:$I$2004,$Z602-2000))),IF($Z602&lt;=5200,"",IF($Z602&lt;=5800,IF(ISNUMBER(SEARCH("退",INDEX(次果筐明细!$F$4:$F$603,$Z602-5200)&amp;"")),IF(N(INDEX(次果筐明细!$G$4:$G$603,$Z602-5200))=0,"",N(INDEX(次果筐明细!$G$4:$G$603,$Z602-5200))),""),"")))))</f>
        <v/>
      </c>
      <c r="Q602" s="40" t="str">
        <f>IF($Z602="","",IF($Z602&lt;=2000,"",IF($Z602&lt;=4000,IF(N(INDEX(周转筐出入库明细!$H$4:$H$2004,$Z602-2000))=0,"",N(INDEX(周转筐出入库明细!$H$4:$H$2004,$Z602-2000))),IF($Z602&lt;=5200,IF(N(INDEX(客户自备加工筐明细!$F$4:$F$1203,$Z602-4000))=0,"",N(INDEX(客户自备加工筐明细!$F$4:$F$1203,$Z602-4000))),IF($Z602&lt;=5800,"","")))))</f>
        <v/>
      </c>
      <c r="R602" s="16" t="str">
        <f>IF($Z602="","",IF($Z602&lt;=2000,IF(INDEX(包装物料出入库明细!$O$4:$O$2003,$Z602-0)=0,"",INDEX(包装物料出入库明细!$O$4:$O$2003,$Z602-0)),IF($Z602&lt;=4000,IF(INDEX(周转筐出入库明细!$M$4:$M$2004,$Z602-2000)=0,"",INDEX(周转筐出入库明细!$M$4:$M$2004,$Z602-2000)),IF($Z602&lt;=5200,IF(INDEX(客户自备加工筐明细!$H$4:$H$1203,$Z602-4000)=0,"",INDEX(客户自备加工筐明细!$H$4:$H$1203,$Z602-4000)),IF($Z602&lt;=5800,IF(INDEX(次果筐明细!$H$4:$H$603,$Z602-5200)=0,"",INDEX(次果筐明细!$H$4:$H$603,$Z602-5200)),"")))))</f>
        <v/>
      </c>
      <c r="S602" s="22" t="str">
        <f t="shared" si="29"/>
        <v/>
      </c>
      <c r="Z602" s="10" t="str">
        <f>IFERROR(MATCH(ROW()-3,_自动清单!$CQ$4:$CQ$5803,0),"")</f>
        <v/>
      </c>
    </row>
    <row r="603" spans="1:26">
      <c r="A603" s="24" t="str">
        <f t="shared" si="27"/>
        <v/>
      </c>
      <c r="B603" s="38" t="str">
        <f>IF($Z603="","",IF($Z603&lt;=2000,IF(INDEX(包装物料出入库明细!$B$4:$B$2003,$Z603-0)=0,"",INDEX(包装物料出入库明细!$B$4:$B$2003,$Z603-0)),IF($Z603&lt;=4000,IF(INDEX(周转筐出入库明细!$B$4:$B$2004,$Z603-2000)=0,"",INDEX(周转筐出入库明细!$B$4:$B$2004,$Z603-2000)),IF($Z603&lt;=5200,IF(INDEX(客户自备加工筐明细!$B$4:$B$1203,$Z603-4000)=0,"",INDEX(客户自备加工筐明细!$B$4:$B$1203,$Z603-4000)),IF($Z603&lt;=5800,IF(INDEX(次果筐明细!$B$4:$B$603,$Z603-5200)=0,"",INDEX(次果筐明细!$B$4:$B$603,$Z603-5200)),"")))))</f>
        <v/>
      </c>
      <c r="C603" s="37" t="str">
        <f>IF($Z603="","",IF($Z603&lt;=2000,IF(INDEX(包装物料出入库明细!$D$4:$D$2003,$Z603-0)=0,"",INDEX(包装物料出入库明细!$D$4:$D$2003,$Z603-0)),IF($Z603&lt;=4000,IF(INDEX(周转筐出入库明细!$C$4:$C$2004,$Z603-2000)=0,"",INDEX(周转筐出入库明细!$C$4:$C$2004,$Z603-2000)),IF($Z603&lt;=5200,IF(INDEX(客户自备加工筐明细!$E$4:$E$1203,$Z603-4000)=0,"",INDEX(客户自备加工筐明细!$E$4:$E$1203,$Z603-4000)),IF($Z603&lt;=5800,IF(INDEX(次果筐明细!$C$4:$C$603,$Z603-5200)=0,"",INDEX(次果筐明细!$C$4:$C$603,$Z603-5200)),"")))))</f>
        <v/>
      </c>
      <c r="D603" s="37" t="str">
        <f>IF($Z603="","",IF($Z603&lt;=2000,"包装物料－"&amp;INDEX(包装物料出入库明细!$H$4:$H$2003,$Z603-0),IF($Z603&lt;=4000,"周转筐－"&amp;INDEX(周转筐出入库明细!$F$4:$F$2004,$Z603-2000),IF($Z603&lt;=5200,"客户自备筐－"&amp;INDEX(客户自备加工筐明细!$J$4:$J$1203,$Z603-4000),IF($Z603&lt;=5800,"次果筐/托盘－"&amp;INDEX(次果筐明细!$F$4:$F$603,$Z603-5200),"")))))</f>
        <v/>
      </c>
      <c r="E603" s="24" t="str">
        <f>IF($Z603="","",IF($Z603&lt;=2000,IF(INDEX(包装物料出入库明细!$C$4:$C$2003,$Z603-0)=0,"",INDEX(包装物料出入库明细!$C$4:$C$2003,$Z603-0)),IF($Z603&lt;=4000,IF(INDEX(周转筐出入库明细!$E$4:$E$2004,$Z603-2000)=0,"",INDEX(周转筐出入库明细!$E$4:$E$2004,$Z603-2000)),IF($Z603&lt;=5200,IF(INDEX(客户自备加工筐明细!$D$4:$D$1203,$Z603-4000)=0,"",INDEX(客户自备加工筐明细!$D$4:$D$1203,$Z603-4000)),IF($Z603&lt;=5800,IF(INDEX(次果筐明细!$E$4:$E$603,$Z603-5200)=0,"",INDEX(次果筐明细!$E$4:$E$603,$Z603-5200)),"")))))</f>
        <v/>
      </c>
      <c r="F603" s="24" t="str">
        <f>IF($Z603="","",IF($Z603&lt;=2000,IF(INDEX(包装物料出入库明细!$E$4:$E$2003,$Z603-0)=0,"",INDEX(包装物料出入库明细!$E$4:$E$2003,$Z603-0)),IF($Z603&lt;=4000,IF(INDEX(周转筐出入库明细!$D$4:$D$2004,$Z603-2000)=0,"",INDEX(周转筐出入库明细!$D$4:$D$2004,$Z603-2000)),IF($Z603&lt;=5200,IF(INDEX(客户自备加工筐明细!$C$4:$C$1203,$Z603-4000)=0,"",INDEX(客户自备加工筐明细!$C$4:$C$1203,$Z603-4000)),IF($Z603&lt;=5800,IF(INDEX(次果筐明细!$D$4:$D$603,$Z603-5200)=0,"",INDEX(次果筐明细!$D$4:$D$603,$Z603-5200)),"")))))</f>
        <v/>
      </c>
      <c r="G603" s="24" t="str">
        <f>IF($Z603="","",IF($Z603&lt;=2000,IF(INDEX(包装物料出入库明细!$F$4:$F$2003,$Z603-0)=0,"",INDEX(包装物料出入库明细!$F$4:$F$2003,$Z603-0)),IF($Z603&lt;=4000,"",IF($Z603&lt;=5200,"",IF($Z603&lt;=5800,"","")))))</f>
        <v/>
      </c>
      <c r="H603" s="39" t="str">
        <f>IF($Z603="","",IF($Z603&lt;=2000,IF(INDEX(包装物料出入库明细!$L$4:$L$2003,$Z603-0)=0,"",INDEX(包装物料出入库明细!$L$4:$L$2003,$Z603-0)),IF($Z603&lt;=4000,N(INDEX(周转筐出入库明细!$H$4:$H$2004,$Z603-2000))+N(INDEX(周转筐出入库明细!$I$4:$I$2004,$Z603-2000))+N(INDEX(周转筐出入库明细!$J$4:$J$2004,$Z603-2000))+N(INDEX(周转筐出入库明细!$K$4:$K$2004,$Z603-2000)),IF($Z603&lt;=5200,N(INDEX(客户自备加工筐明细!$F$4:$F$1203,$Z603-4000))+N(INDEX(客户自备加工筐明细!$G$4:$G$1203,$Z603-4000)),IF($Z603&lt;=5800,IF(INDEX(次果筐明细!$G$4:$G$603,$Z603-5200)=0,"",INDEX(次果筐明细!$G$4:$G$603,$Z603-5200)),"")))))</f>
        <v/>
      </c>
      <c r="I603" s="24" t="str">
        <f>IF($Z603="","",IF($Z603&lt;=2000,IF(INDEX(包装物料出入库明细!$G$4:$G$2003,$Z603-0)=0,"",INDEX(包装物料出入库明细!$G$4:$G$2003,$Z603-0)),IF($Z603&lt;=4000,"个",IF($Z603&lt;=5200,"个",IF($Z603&lt;=5800,"个","")))))</f>
        <v/>
      </c>
      <c r="J603" s="30" t="str">
        <f t="shared" si="28"/>
        <v/>
      </c>
      <c r="K603" s="30" t="str">
        <f>IF($Z603="","",IF($Z603&lt;=2000,IF(INDEX(包装物料出入库明细!$N$4:$N$2003,$Z603-0)=0,"",INDEX(包装物料出入库明细!$N$4:$N$2003,$Z603-0)),IF($Z603&lt;=4000,IF(INDEX(周转筐出入库明细!$P$4:$P$2004,$Z603-2000)=0,"",INDEX(周转筐出入库明细!$P$4:$P$2004,$Z603-2000)),IF($Z603&lt;=5200,"",IF($Z603&lt;=5800,N(INDEX(次果筐明细!$L$4:$L$603,$Z603-5200))+N(INDEX(次果筐明细!$J$4:$J$603,$Z603-5200)),"")))))</f>
        <v/>
      </c>
      <c r="L603" s="24" t="str">
        <f>IF($Z603="","",IF($Z603&lt;=2000,IF(INDEX(包装物料出入库明细!$P$4:$P$2003,$Z603-0)=0,"",INDEX(包装物料出入库明细!$P$4:$P$2003,$Z603-0)),IF($Z603&lt;=4000,IF(INDEX(周转筐出入库明细!$Q$4:$Q$2004,$Z603-2000)=0,"",INDEX(周转筐出入库明细!$Q$4:$Q$2004,$Z603-2000)),IF($Z603&lt;=5200,"",IF($Z603&lt;=5800,IF(INDEX(次果筐明细!$M$4:$M$603,$Z603-5200)=0,"",INDEX(次果筐明细!$M$4:$M$603,$Z603-5200)),"")))))</f>
        <v/>
      </c>
      <c r="M603" s="37" t="str">
        <f>IF($Z603="","",IF($Z603&lt;=2000,IF(INDEX(包装物料出入库明细!$R$4:$R$2003,$Z603-0)=0,"",INDEX(包装物料出入库明细!$R$4:$R$2003,$Z603-0)),IF($Z603&lt;=4000,IF(INDEX(周转筐出入库明细!$W$4:$W$2004,$Z603-2000)=0,"",INDEX(周转筐出入库明细!$W$4:$W$2004,$Z603-2000)),IF($Z603&lt;=5200,IF(INDEX(客户自备加工筐明细!$L$4:$L$1203,$Z603-4000)=0,"",INDEX(客户自备加工筐明细!$L$4:$L$1203,$Z603-4000)),IF($Z603&lt;=5800,IF(INDEX(次果筐明细!$P$4:$P$603,$Z603-5200)=0,"",INDEX(次果筐明细!$P$4:$P$603,$Z603-5200)),"")))))</f>
        <v/>
      </c>
      <c r="N603" s="16" t="str">
        <f>IF($Z603="","",IF($Z603&lt;=2000,"",IF($Z603&lt;=4000,IF(INDEX(周转筐出入库明细!$D$4:$D$2004,$Z603-2000)=0,"",INDEX(周转筐出入库明细!$D$4:$D$2004,$Z603-2000)),IF($Z603&lt;=5200,IF(INDEX(客户自备加工筐明细!$C$4:$C$1203,$Z603-4000)=0,"",INDEX(客户自备加工筐明细!$C$4:$C$1203,$Z603-4000)),IF($Z603&lt;=5800,IF(INDEX(次果筐明细!$D$4:$D$603,$Z603-5200)=0,"",INDEX(次果筐明细!$D$4:$D$603,$Z603-5200)),"")))))</f>
        <v/>
      </c>
      <c r="O603" s="40" t="str">
        <f>IF($Z603="","",IF($Z603&lt;=2000,"",IF($Z603&lt;=4000,IF(N(INDEX(周转筐出入库明细!$J$4:$J$2004,$Z603-2000))+N(INDEX(周转筐出入库明细!$K$4:$K$2004,$Z603-2000))=0,"",N(INDEX(周转筐出入库明细!$J$4:$J$2004,$Z603-2000))+N(INDEX(周转筐出入库明细!$K$4:$K$2004,$Z603-2000))),IF($Z603&lt;=5200,IF(N(INDEX(客户自备加工筐明细!$G$4:$G$1203,$Z603-4000))=0,"",N(INDEX(客户自备加工筐明细!$G$4:$G$1203,$Z603-4000))),IF($Z603&lt;=5800,IF(ISNUMBER(SEARCH("退",INDEX(次果筐明细!$F$4:$F$603,$Z603-5200)&amp;"")),"",IF(N(INDEX(次果筐明细!$G$4:$G$603,$Z603-5200))=0,"",N(INDEX(次果筐明细!$G$4:$G$603,$Z603-5200)))),"")))))</f>
        <v/>
      </c>
      <c r="P603" s="40" t="str">
        <f>IF($Z603="","",IF($Z603&lt;=2000,"",IF($Z603&lt;=4000,IF(N(INDEX(周转筐出入库明细!$I$4:$I$2004,$Z603-2000))=0,"",N(INDEX(周转筐出入库明细!$I$4:$I$2004,$Z603-2000))),IF($Z603&lt;=5200,"",IF($Z603&lt;=5800,IF(ISNUMBER(SEARCH("退",INDEX(次果筐明细!$F$4:$F$603,$Z603-5200)&amp;"")),IF(N(INDEX(次果筐明细!$G$4:$G$603,$Z603-5200))=0,"",N(INDEX(次果筐明细!$G$4:$G$603,$Z603-5200))),""),"")))))</f>
        <v/>
      </c>
      <c r="Q603" s="40" t="str">
        <f>IF($Z603="","",IF($Z603&lt;=2000,"",IF($Z603&lt;=4000,IF(N(INDEX(周转筐出入库明细!$H$4:$H$2004,$Z603-2000))=0,"",N(INDEX(周转筐出入库明细!$H$4:$H$2004,$Z603-2000))),IF($Z603&lt;=5200,IF(N(INDEX(客户自备加工筐明细!$F$4:$F$1203,$Z603-4000))=0,"",N(INDEX(客户自备加工筐明细!$F$4:$F$1203,$Z603-4000))),IF($Z603&lt;=5800,"","")))))</f>
        <v/>
      </c>
      <c r="R603" s="16" t="str">
        <f>IF($Z603="","",IF($Z603&lt;=2000,IF(INDEX(包装物料出入库明细!$O$4:$O$2003,$Z603-0)=0,"",INDEX(包装物料出入库明细!$O$4:$O$2003,$Z603-0)),IF($Z603&lt;=4000,IF(INDEX(周转筐出入库明细!$M$4:$M$2004,$Z603-2000)=0,"",INDEX(周转筐出入库明细!$M$4:$M$2004,$Z603-2000)),IF($Z603&lt;=5200,IF(INDEX(客户自备加工筐明细!$H$4:$H$1203,$Z603-4000)=0,"",INDEX(客户自备加工筐明细!$H$4:$H$1203,$Z603-4000)),IF($Z603&lt;=5800,IF(INDEX(次果筐明细!$H$4:$H$603,$Z603-5200)=0,"",INDEX(次果筐明细!$H$4:$H$603,$Z603-5200)),"")))))</f>
        <v/>
      </c>
      <c r="S603" s="22" t="str">
        <f t="shared" si="29"/>
        <v/>
      </c>
      <c r="Z603" s="10" t="str">
        <f>IFERROR(MATCH(ROW()-3,_自动清单!$CQ$4:$CQ$5803,0),"")</f>
        <v/>
      </c>
    </row>
    <row r="604" spans="1:26">
      <c r="A604" s="24" t="str">
        <f t="shared" si="27"/>
        <v/>
      </c>
      <c r="B604" s="38" t="str">
        <f>IF($Z604="","",IF($Z604&lt;=2000,IF(INDEX(包装物料出入库明细!$B$4:$B$2003,$Z604-0)=0,"",INDEX(包装物料出入库明细!$B$4:$B$2003,$Z604-0)),IF($Z604&lt;=4000,IF(INDEX(周转筐出入库明细!$B$4:$B$2004,$Z604-2000)=0,"",INDEX(周转筐出入库明细!$B$4:$B$2004,$Z604-2000)),IF($Z604&lt;=5200,IF(INDEX(客户自备加工筐明细!$B$4:$B$1203,$Z604-4000)=0,"",INDEX(客户自备加工筐明细!$B$4:$B$1203,$Z604-4000)),IF($Z604&lt;=5800,IF(INDEX(次果筐明细!$B$4:$B$603,$Z604-5200)=0,"",INDEX(次果筐明细!$B$4:$B$603,$Z604-5200)),"")))))</f>
        <v/>
      </c>
      <c r="C604" s="37" t="str">
        <f>IF($Z604="","",IF($Z604&lt;=2000,IF(INDEX(包装物料出入库明细!$D$4:$D$2003,$Z604-0)=0,"",INDEX(包装物料出入库明细!$D$4:$D$2003,$Z604-0)),IF($Z604&lt;=4000,IF(INDEX(周转筐出入库明细!$C$4:$C$2004,$Z604-2000)=0,"",INDEX(周转筐出入库明细!$C$4:$C$2004,$Z604-2000)),IF($Z604&lt;=5200,IF(INDEX(客户自备加工筐明细!$E$4:$E$1203,$Z604-4000)=0,"",INDEX(客户自备加工筐明细!$E$4:$E$1203,$Z604-4000)),IF($Z604&lt;=5800,IF(INDEX(次果筐明细!$C$4:$C$603,$Z604-5200)=0,"",INDEX(次果筐明细!$C$4:$C$603,$Z604-5200)),"")))))</f>
        <v/>
      </c>
      <c r="D604" s="37" t="str">
        <f>IF($Z604="","",IF($Z604&lt;=2000,"包装物料－"&amp;INDEX(包装物料出入库明细!$H$4:$H$2003,$Z604-0),IF($Z604&lt;=4000,"周转筐－"&amp;INDEX(周转筐出入库明细!$F$4:$F$2004,$Z604-2000),IF($Z604&lt;=5200,"客户自备筐－"&amp;INDEX(客户自备加工筐明细!$J$4:$J$1203,$Z604-4000),IF($Z604&lt;=5800,"次果筐/托盘－"&amp;INDEX(次果筐明细!$F$4:$F$603,$Z604-5200),"")))))</f>
        <v/>
      </c>
      <c r="E604" s="24" t="str">
        <f>IF($Z604="","",IF($Z604&lt;=2000,IF(INDEX(包装物料出入库明细!$C$4:$C$2003,$Z604-0)=0,"",INDEX(包装物料出入库明细!$C$4:$C$2003,$Z604-0)),IF($Z604&lt;=4000,IF(INDEX(周转筐出入库明细!$E$4:$E$2004,$Z604-2000)=0,"",INDEX(周转筐出入库明细!$E$4:$E$2004,$Z604-2000)),IF($Z604&lt;=5200,IF(INDEX(客户自备加工筐明细!$D$4:$D$1203,$Z604-4000)=0,"",INDEX(客户自备加工筐明细!$D$4:$D$1203,$Z604-4000)),IF($Z604&lt;=5800,IF(INDEX(次果筐明细!$E$4:$E$603,$Z604-5200)=0,"",INDEX(次果筐明细!$E$4:$E$603,$Z604-5200)),"")))))</f>
        <v/>
      </c>
      <c r="F604" s="24" t="str">
        <f>IF($Z604="","",IF($Z604&lt;=2000,IF(INDEX(包装物料出入库明细!$E$4:$E$2003,$Z604-0)=0,"",INDEX(包装物料出入库明细!$E$4:$E$2003,$Z604-0)),IF($Z604&lt;=4000,IF(INDEX(周转筐出入库明细!$D$4:$D$2004,$Z604-2000)=0,"",INDEX(周转筐出入库明细!$D$4:$D$2004,$Z604-2000)),IF($Z604&lt;=5200,IF(INDEX(客户自备加工筐明细!$C$4:$C$1203,$Z604-4000)=0,"",INDEX(客户自备加工筐明细!$C$4:$C$1203,$Z604-4000)),IF($Z604&lt;=5800,IF(INDEX(次果筐明细!$D$4:$D$603,$Z604-5200)=0,"",INDEX(次果筐明细!$D$4:$D$603,$Z604-5200)),"")))))</f>
        <v/>
      </c>
      <c r="G604" s="24" t="str">
        <f>IF($Z604="","",IF($Z604&lt;=2000,IF(INDEX(包装物料出入库明细!$F$4:$F$2003,$Z604-0)=0,"",INDEX(包装物料出入库明细!$F$4:$F$2003,$Z604-0)),IF($Z604&lt;=4000,"",IF($Z604&lt;=5200,"",IF($Z604&lt;=5800,"","")))))</f>
        <v/>
      </c>
      <c r="H604" s="39" t="str">
        <f>IF($Z604="","",IF($Z604&lt;=2000,IF(INDEX(包装物料出入库明细!$L$4:$L$2003,$Z604-0)=0,"",INDEX(包装物料出入库明细!$L$4:$L$2003,$Z604-0)),IF($Z604&lt;=4000,N(INDEX(周转筐出入库明细!$H$4:$H$2004,$Z604-2000))+N(INDEX(周转筐出入库明细!$I$4:$I$2004,$Z604-2000))+N(INDEX(周转筐出入库明细!$J$4:$J$2004,$Z604-2000))+N(INDEX(周转筐出入库明细!$K$4:$K$2004,$Z604-2000)),IF($Z604&lt;=5200,N(INDEX(客户自备加工筐明细!$F$4:$F$1203,$Z604-4000))+N(INDEX(客户自备加工筐明细!$G$4:$G$1203,$Z604-4000)),IF($Z604&lt;=5800,IF(INDEX(次果筐明细!$G$4:$G$603,$Z604-5200)=0,"",INDEX(次果筐明细!$G$4:$G$603,$Z604-5200)),"")))))</f>
        <v/>
      </c>
      <c r="I604" s="24" t="str">
        <f>IF($Z604="","",IF($Z604&lt;=2000,IF(INDEX(包装物料出入库明细!$G$4:$G$2003,$Z604-0)=0,"",INDEX(包装物料出入库明细!$G$4:$G$2003,$Z604-0)),IF($Z604&lt;=4000,"个",IF($Z604&lt;=5200,"个",IF($Z604&lt;=5800,"个","")))))</f>
        <v/>
      </c>
      <c r="J604" s="30" t="str">
        <f t="shared" si="28"/>
        <v/>
      </c>
      <c r="K604" s="30" t="str">
        <f>IF($Z604="","",IF($Z604&lt;=2000,IF(INDEX(包装物料出入库明细!$N$4:$N$2003,$Z604-0)=0,"",INDEX(包装物料出入库明细!$N$4:$N$2003,$Z604-0)),IF($Z604&lt;=4000,IF(INDEX(周转筐出入库明细!$P$4:$P$2004,$Z604-2000)=0,"",INDEX(周转筐出入库明细!$P$4:$P$2004,$Z604-2000)),IF($Z604&lt;=5200,"",IF($Z604&lt;=5800,N(INDEX(次果筐明细!$L$4:$L$603,$Z604-5200))+N(INDEX(次果筐明细!$J$4:$J$603,$Z604-5200)),"")))))</f>
        <v/>
      </c>
      <c r="L604" s="24" t="str">
        <f>IF($Z604="","",IF($Z604&lt;=2000,IF(INDEX(包装物料出入库明细!$P$4:$P$2003,$Z604-0)=0,"",INDEX(包装物料出入库明细!$P$4:$P$2003,$Z604-0)),IF($Z604&lt;=4000,IF(INDEX(周转筐出入库明细!$Q$4:$Q$2004,$Z604-2000)=0,"",INDEX(周转筐出入库明细!$Q$4:$Q$2004,$Z604-2000)),IF($Z604&lt;=5200,"",IF($Z604&lt;=5800,IF(INDEX(次果筐明细!$M$4:$M$603,$Z604-5200)=0,"",INDEX(次果筐明细!$M$4:$M$603,$Z604-5200)),"")))))</f>
        <v/>
      </c>
      <c r="M604" s="37" t="str">
        <f>IF($Z604="","",IF($Z604&lt;=2000,IF(INDEX(包装物料出入库明细!$R$4:$R$2003,$Z604-0)=0,"",INDEX(包装物料出入库明细!$R$4:$R$2003,$Z604-0)),IF($Z604&lt;=4000,IF(INDEX(周转筐出入库明细!$W$4:$W$2004,$Z604-2000)=0,"",INDEX(周转筐出入库明细!$W$4:$W$2004,$Z604-2000)),IF($Z604&lt;=5200,IF(INDEX(客户自备加工筐明细!$L$4:$L$1203,$Z604-4000)=0,"",INDEX(客户自备加工筐明细!$L$4:$L$1203,$Z604-4000)),IF($Z604&lt;=5800,IF(INDEX(次果筐明细!$P$4:$P$603,$Z604-5200)=0,"",INDEX(次果筐明细!$P$4:$P$603,$Z604-5200)),"")))))</f>
        <v/>
      </c>
      <c r="N604" s="16" t="str">
        <f>IF($Z604="","",IF($Z604&lt;=2000,"",IF($Z604&lt;=4000,IF(INDEX(周转筐出入库明细!$D$4:$D$2004,$Z604-2000)=0,"",INDEX(周转筐出入库明细!$D$4:$D$2004,$Z604-2000)),IF($Z604&lt;=5200,IF(INDEX(客户自备加工筐明细!$C$4:$C$1203,$Z604-4000)=0,"",INDEX(客户自备加工筐明细!$C$4:$C$1203,$Z604-4000)),IF($Z604&lt;=5800,IF(INDEX(次果筐明细!$D$4:$D$603,$Z604-5200)=0,"",INDEX(次果筐明细!$D$4:$D$603,$Z604-5200)),"")))))</f>
        <v/>
      </c>
      <c r="O604" s="40" t="str">
        <f>IF($Z604="","",IF($Z604&lt;=2000,"",IF($Z604&lt;=4000,IF(N(INDEX(周转筐出入库明细!$J$4:$J$2004,$Z604-2000))+N(INDEX(周转筐出入库明细!$K$4:$K$2004,$Z604-2000))=0,"",N(INDEX(周转筐出入库明细!$J$4:$J$2004,$Z604-2000))+N(INDEX(周转筐出入库明细!$K$4:$K$2004,$Z604-2000))),IF($Z604&lt;=5200,IF(N(INDEX(客户自备加工筐明细!$G$4:$G$1203,$Z604-4000))=0,"",N(INDEX(客户自备加工筐明细!$G$4:$G$1203,$Z604-4000))),IF($Z604&lt;=5800,IF(ISNUMBER(SEARCH("退",INDEX(次果筐明细!$F$4:$F$603,$Z604-5200)&amp;"")),"",IF(N(INDEX(次果筐明细!$G$4:$G$603,$Z604-5200))=0,"",N(INDEX(次果筐明细!$G$4:$G$603,$Z604-5200)))),"")))))</f>
        <v/>
      </c>
      <c r="P604" s="40" t="str">
        <f>IF($Z604="","",IF($Z604&lt;=2000,"",IF($Z604&lt;=4000,IF(N(INDEX(周转筐出入库明细!$I$4:$I$2004,$Z604-2000))=0,"",N(INDEX(周转筐出入库明细!$I$4:$I$2004,$Z604-2000))),IF($Z604&lt;=5200,"",IF($Z604&lt;=5800,IF(ISNUMBER(SEARCH("退",INDEX(次果筐明细!$F$4:$F$603,$Z604-5200)&amp;"")),IF(N(INDEX(次果筐明细!$G$4:$G$603,$Z604-5200))=0,"",N(INDEX(次果筐明细!$G$4:$G$603,$Z604-5200))),""),"")))))</f>
        <v/>
      </c>
      <c r="Q604" s="40" t="str">
        <f>IF($Z604="","",IF($Z604&lt;=2000,"",IF($Z604&lt;=4000,IF(N(INDEX(周转筐出入库明细!$H$4:$H$2004,$Z604-2000))=0,"",N(INDEX(周转筐出入库明细!$H$4:$H$2004,$Z604-2000))),IF($Z604&lt;=5200,IF(N(INDEX(客户自备加工筐明细!$F$4:$F$1203,$Z604-4000))=0,"",N(INDEX(客户自备加工筐明细!$F$4:$F$1203,$Z604-4000))),IF($Z604&lt;=5800,"","")))))</f>
        <v/>
      </c>
      <c r="R604" s="16" t="str">
        <f>IF($Z604="","",IF($Z604&lt;=2000,IF(INDEX(包装物料出入库明细!$O$4:$O$2003,$Z604-0)=0,"",INDEX(包装物料出入库明细!$O$4:$O$2003,$Z604-0)),IF($Z604&lt;=4000,IF(INDEX(周转筐出入库明细!$M$4:$M$2004,$Z604-2000)=0,"",INDEX(周转筐出入库明细!$M$4:$M$2004,$Z604-2000)),IF($Z604&lt;=5200,IF(INDEX(客户自备加工筐明细!$H$4:$H$1203,$Z604-4000)=0,"",INDEX(客户自备加工筐明细!$H$4:$H$1203,$Z604-4000)),IF($Z604&lt;=5800,IF(INDEX(次果筐明细!$H$4:$H$603,$Z604-5200)=0,"",INDEX(次果筐明细!$H$4:$H$603,$Z604-5200)),"")))))</f>
        <v/>
      </c>
      <c r="S604" s="22" t="str">
        <f t="shared" si="29"/>
        <v/>
      </c>
      <c r="Z604" s="10" t="str">
        <f>IFERROR(MATCH(ROW()-3,_自动清单!$CQ$4:$CQ$5803,0),"")</f>
        <v/>
      </c>
    </row>
    <row r="605" spans="1:26">
      <c r="A605" s="24" t="str">
        <f t="shared" si="27"/>
        <v/>
      </c>
      <c r="B605" s="38" t="str">
        <f>IF($Z605="","",IF($Z605&lt;=2000,IF(INDEX(包装物料出入库明细!$B$4:$B$2003,$Z605-0)=0,"",INDEX(包装物料出入库明细!$B$4:$B$2003,$Z605-0)),IF($Z605&lt;=4000,IF(INDEX(周转筐出入库明细!$B$4:$B$2004,$Z605-2000)=0,"",INDEX(周转筐出入库明细!$B$4:$B$2004,$Z605-2000)),IF($Z605&lt;=5200,IF(INDEX(客户自备加工筐明细!$B$4:$B$1203,$Z605-4000)=0,"",INDEX(客户自备加工筐明细!$B$4:$B$1203,$Z605-4000)),IF($Z605&lt;=5800,IF(INDEX(次果筐明细!$B$4:$B$603,$Z605-5200)=0,"",INDEX(次果筐明细!$B$4:$B$603,$Z605-5200)),"")))))</f>
        <v/>
      </c>
      <c r="C605" s="37" t="str">
        <f>IF($Z605="","",IF($Z605&lt;=2000,IF(INDEX(包装物料出入库明细!$D$4:$D$2003,$Z605-0)=0,"",INDEX(包装物料出入库明细!$D$4:$D$2003,$Z605-0)),IF($Z605&lt;=4000,IF(INDEX(周转筐出入库明细!$C$4:$C$2004,$Z605-2000)=0,"",INDEX(周转筐出入库明细!$C$4:$C$2004,$Z605-2000)),IF($Z605&lt;=5200,IF(INDEX(客户自备加工筐明细!$E$4:$E$1203,$Z605-4000)=0,"",INDEX(客户自备加工筐明细!$E$4:$E$1203,$Z605-4000)),IF($Z605&lt;=5800,IF(INDEX(次果筐明细!$C$4:$C$603,$Z605-5200)=0,"",INDEX(次果筐明细!$C$4:$C$603,$Z605-5200)),"")))))</f>
        <v/>
      </c>
      <c r="D605" s="37" t="str">
        <f>IF($Z605="","",IF($Z605&lt;=2000,"包装物料－"&amp;INDEX(包装物料出入库明细!$H$4:$H$2003,$Z605-0),IF($Z605&lt;=4000,"周转筐－"&amp;INDEX(周转筐出入库明细!$F$4:$F$2004,$Z605-2000),IF($Z605&lt;=5200,"客户自备筐－"&amp;INDEX(客户自备加工筐明细!$J$4:$J$1203,$Z605-4000),IF($Z605&lt;=5800,"次果筐/托盘－"&amp;INDEX(次果筐明细!$F$4:$F$603,$Z605-5200),"")))))</f>
        <v/>
      </c>
      <c r="E605" s="24" t="str">
        <f>IF($Z605="","",IF($Z605&lt;=2000,IF(INDEX(包装物料出入库明细!$C$4:$C$2003,$Z605-0)=0,"",INDEX(包装物料出入库明细!$C$4:$C$2003,$Z605-0)),IF($Z605&lt;=4000,IF(INDEX(周转筐出入库明细!$E$4:$E$2004,$Z605-2000)=0,"",INDEX(周转筐出入库明细!$E$4:$E$2004,$Z605-2000)),IF($Z605&lt;=5200,IF(INDEX(客户自备加工筐明细!$D$4:$D$1203,$Z605-4000)=0,"",INDEX(客户自备加工筐明细!$D$4:$D$1203,$Z605-4000)),IF($Z605&lt;=5800,IF(INDEX(次果筐明细!$E$4:$E$603,$Z605-5200)=0,"",INDEX(次果筐明细!$E$4:$E$603,$Z605-5200)),"")))))</f>
        <v/>
      </c>
      <c r="F605" s="24" t="str">
        <f>IF($Z605="","",IF($Z605&lt;=2000,IF(INDEX(包装物料出入库明细!$E$4:$E$2003,$Z605-0)=0,"",INDEX(包装物料出入库明细!$E$4:$E$2003,$Z605-0)),IF($Z605&lt;=4000,IF(INDEX(周转筐出入库明细!$D$4:$D$2004,$Z605-2000)=0,"",INDEX(周转筐出入库明细!$D$4:$D$2004,$Z605-2000)),IF($Z605&lt;=5200,IF(INDEX(客户自备加工筐明细!$C$4:$C$1203,$Z605-4000)=0,"",INDEX(客户自备加工筐明细!$C$4:$C$1203,$Z605-4000)),IF($Z605&lt;=5800,IF(INDEX(次果筐明细!$D$4:$D$603,$Z605-5200)=0,"",INDEX(次果筐明细!$D$4:$D$603,$Z605-5200)),"")))))</f>
        <v/>
      </c>
      <c r="G605" s="24" t="str">
        <f>IF($Z605="","",IF($Z605&lt;=2000,IF(INDEX(包装物料出入库明细!$F$4:$F$2003,$Z605-0)=0,"",INDEX(包装物料出入库明细!$F$4:$F$2003,$Z605-0)),IF($Z605&lt;=4000,"",IF($Z605&lt;=5200,"",IF($Z605&lt;=5800,"","")))))</f>
        <v/>
      </c>
      <c r="H605" s="39" t="str">
        <f>IF($Z605="","",IF($Z605&lt;=2000,IF(INDEX(包装物料出入库明细!$L$4:$L$2003,$Z605-0)=0,"",INDEX(包装物料出入库明细!$L$4:$L$2003,$Z605-0)),IF($Z605&lt;=4000,N(INDEX(周转筐出入库明细!$H$4:$H$2004,$Z605-2000))+N(INDEX(周转筐出入库明细!$I$4:$I$2004,$Z605-2000))+N(INDEX(周转筐出入库明细!$J$4:$J$2004,$Z605-2000))+N(INDEX(周转筐出入库明细!$K$4:$K$2004,$Z605-2000)),IF($Z605&lt;=5200,N(INDEX(客户自备加工筐明细!$F$4:$F$1203,$Z605-4000))+N(INDEX(客户自备加工筐明细!$G$4:$G$1203,$Z605-4000)),IF($Z605&lt;=5800,IF(INDEX(次果筐明细!$G$4:$G$603,$Z605-5200)=0,"",INDEX(次果筐明细!$G$4:$G$603,$Z605-5200)),"")))))</f>
        <v/>
      </c>
      <c r="I605" s="24" t="str">
        <f>IF($Z605="","",IF($Z605&lt;=2000,IF(INDEX(包装物料出入库明细!$G$4:$G$2003,$Z605-0)=0,"",INDEX(包装物料出入库明细!$G$4:$G$2003,$Z605-0)),IF($Z605&lt;=4000,"个",IF($Z605&lt;=5200,"个",IF($Z605&lt;=5800,"个","")))))</f>
        <v/>
      </c>
      <c r="J605" s="30" t="str">
        <f t="shared" si="28"/>
        <v/>
      </c>
      <c r="K605" s="30" t="str">
        <f>IF($Z605="","",IF($Z605&lt;=2000,IF(INDEX(包装物料出入库明细!$N$4:$N$2003,$Z605-0)=0,"",INDEX(包装物料出入库明细!$N$4:$N$2003,$Z605-0)),IF($Z605&lt;=4000,IF(INDEX(周转筐出入库明细!$P$4:$P$2004,$Z605-2000)=0,"",INDEX(周转筐出入库明细!$P$4:$P$2004,$Z605-2000)),IF($Z605&lt;=5200,"",IF($Z605&lt;=5800,N(INDEX(次果筐明细!$L$4:$L$603,$Z605-5200))+N(INDEX(次果筐明细!$J$4:$J$603,$Z605-5200)),"")))))</f>
        <v/>
      </c>
      <c r="L605" s="24" t="str">
        <f>IF($Z605="","",IF($Z605&lt;=2000,IF(INDEX(包装物料出入库明细!$P$4:$P$2003,$Z605-0)=0,"",INDEX(包装物料出入库明细!$P$4:$P$2003,$Z605-0)),IF($Z605&lt;=4000,IF(INDEX(周转筐出入库明细!$Q$4:$Q$2004,$Z605-2000)=0,"",INDEX(周转筐出入库明细!$Q$4:$Q$2004,$Z605-2000)),IF($Z605&lt;=5200,"",IF($Z605&lt;=5800,IF(INDEX(次果筐明细!$M$4:$M$603,$Z605-5200)=0,"",INDEX(次果筐明细!$M$4:$M$603,$Z605-5200)),"")))))</f>
        <v/>
      </c>
      <c r="M605" s="37" t="str">
        <f>IF($Z605="","",IF($Z605&lt;=2000,IF(INDEX(包装物料出入库明细!$R$4:$R$2003,$Z605-0)=0,"",INDEX(包装物料出入库明细!$R$4:$R$2003,$Z605-0)),IF($Z605&lt;=4000,IF(INDEX(周转筐出入库明细!$W$4:$W$2004,$Z605-2000)=0,"",INDEX(周转筐出入库明细!$W$4:$W$2004,$Z605-2000)),IF($Z605&lt;=5200,IF(INDEX(客户自备加工筐明细!$L$4:$L$1203,$Z605-4000)=0,"",INDEX(客户自备加工筐明细!$L$4:$L$1203,$Z605-4000)),IF($Z605&lt;=5800,IF(INDEX(次果筐明细!$P$4:$P$603,$Z605-5200)=0,"",INDEX(次果筐明细!$P$4:$P$603,$Z605-5200)),"")))))</f>
        <v/>
      </c>
      <c r="N605" s="16" t="str">
        <f>IF($Z605="","",IF($Z605&lt;=2000,"",IF($Z605&lt;=4000,IF(INDEX(周转筐出入库明细!$D$4:$D$2004,$Z605-2000)=0,"",INDEX(周转筐出入库明细!$D$4:$D$2004,$Z605-2000)),IF($Z605&lt;=5200,IF(INDEX(客户自备加工筐明细!$C$4:$C$1203,$Z605-4000)=0,"",INDEX(客户自备加工筐明细!$C$4:$C$1203,$Z605-4000)),IF($Z605&lt;=5800,IF(INDEX(次果筐明细!$D$4:$D$603,$Z605-5200)=0,"",INDEX(次果筐明细!$D$4:$D$603,$Z605-5200)),"")))))</f>
        <v/>
      </c>
      <c r="O605" s="40" t="str">
        <f>IF($Z605="","",IF($Z605&lt;=2000,"",IF($Z605&lt;=4000,IF(N(INDEX(周转筐出入库明细!$J$4:$J$2004,$Z605-2000))+N(INDEX(周转筐出入库明细!$K$4:$K$2004,$Z605-2000))=0,"",N(INDEX(周转筐出入库明细!$J$4:$J$2004,$Z605-2000))+N(INDEX(周转筐出入库明细!$K$4:$K$2004,$Z605-2000))),IF($Z605&lt;=5200,IF(N(INDEX(客户自备加工筐明细!$G$4:$G$1203,$Z605-4000))=0,"",N(INDEX(客户自备加工筐明细!$G$4:$G$1203,$Z605-4000))),IF($Z605&lt;=5800,IF(ISNUMBER(SEARCH("退",INDEX(次果筐明细!$F$4:$F$603,$Z605-5200)&amp;"")),"",IF(N(INDEX(次果筐明细!$G$4:$G$603,$Z605-5200))=0,"",N(INDEX(次果筐明细!$G$4:$G$603,$Z605-5200)))),"")))))</f>
        <v/>
      </c>
      <c r="P605" s="40" t="str">
        <f>IF($Z605="","",IF($Z605&lt;=2000,"",IF($Z605&lt;=4000,IF(N(INDEX(周转筐出入库明细!$I$4:$I$2004,$Z605-2000))=0,"",N(INDEX(周转筐出入库明细!$I$4:$I$2004,$Z605-2000))),IF($Z605&lt;=5200,"",IF($Z605&lt;=5800,IF(ISNUMBER(SEARCH("退",INDEX(次果筐明细!$F$4:$F$603,$Z605-5200)&amp;"")),IF(N(INDEX(次果筐明细!$G$4:$G$603,$Z605-5200))=0,"",N(INDEX(次果筐明细!$G$4:$G$603,$Z605-5200))),""),"")))))</f>
        <v/>
      </c>
      <c r="Q605" s="40" t="str">
        <f>IF($Z605="","",IF($Z605&lt;=2000,"",IF($Z605&lt;=4000,IF(N(INDEX(周转筐出入库明细!$H$4:$H$2004,$Z605-2000))=0,"",N(INDEX(周转筐出入库明细!$H$4:$H$2004,$Z605-2000))),IF($Z605&lt;=5200,IF(N(INDEX(客户自备加工筐明细!$F$4:$F$1203,$Z605-4000))=0,"",N(INDEX(客户自备加工筐明细!$F$4:$F$1203,$Z605-4000))),IF($Z605&lt;=5800,"","")))))</f>
        <v/>
      </c>
      <c r="R605" s="16" t="str">
        <f>IF($Z605="","",IF($Z605&lt;=2000,IF(INDEX(包装物料出入库明细!$O$4:$O$2003,$Z605-0)=0,"",INDEX(包装物料出入库明细!$O$4:$O$2003,$Z605-0)),IF($Z605&lt;=4000,IF(INDEX(周转筐出入库明细!$M$4:$M$2004,$Z605-2000)=0,"",INDEX(周转筐出入库明细!$M$4:$M$2004,$Z605-2000)),IF($Z605&lt;=5200,IF(INDEX(客户自备加工筐明细!$H$4:$H$1203,$Z605-4000)=0,"",INDEX(客户自备加工筐明细!$H$4:$H$1203,$Z605-4000)),IF($Z605&lt;=5800,IF(INDEX(次果筐明细!$H$4:$H$603,$Z605-5200)=0,"",INDEX(次果筐明细!$H$4:$H$603,$Z605-5200)),"")))))</f>
        <v/>
      </c>
      <c r="S605" s="22" t="str">
        <f t="shared" si="29"/>
        <v/>
      </c>
      <c r="Z605" s="10" t="str">
        <f>IFERROR(MATCH(ROW()-3,_自动清单!$CQ$4:$CQ$5803,0),"")</f>
        <v/>
      </c>
    </row>
    <row r="606" spans="1:26">
      <c r="A606" s="24" t="str">
        <f t="shared" si="27"/>
        <v/>
      </c>
      <c r="B606" s="38" t="str">
        <f>IF($Z606="","",IF($Z606&lt;=2000,IF(INDEX(包装物料出入库明细!$B$4:$B$2003,$Z606-0)=0,"",INDEX(包装物料出入库明细!$B$4:$B$2003,$Z606-0)),IF($Z606&lt;=4000,IF(INDEX(周转筐出入库明细!$B$4:$B$2004,$Z606-2000)=0,"",INDEX(周转筐出入库明细!$B$4:$B$2004,$Z606-2000)),IF($Z606&lt;=5200,IF(INDEX(客户自备加工筐明细!$B$4:$B$1203,$Z606-4000)=0,"",INDEX(客户自备加工筐明细!$B$4:$B$1203,$Z606-4000)),IF($Z606&lt;=5800,IF(INDEX(次果筐明细!$B$4:$B$603,$Z606-5200)=0,"",INDEX(次果筐明细!$B$4:$B$603,$Z606-5200)),"")))))</f>
        <v/>
      </c>
      <c r="C606" s="37" t="str">
        <f>IF($Z606="","",IF($Z606&lt;=2000,IF(INDEX(包装物料出入库明细!$D$4:$D$2003,$Z606-0)=0,"",INDEX(包装物料出入库明细!$D$4:$D$2003,$Z606-0)),IF($Z606&lt;=4000,IF(INDEX(周转筐出入库明细!$C$4:$C$2004,$Z606-2000)=0,"",INDEX(周转筐出入库明细!$C$4:$C$2004,$Z606-2000)),IF($Z606&lt;=5200,IF(INDEX(客户自备加工筐明细!$E$4:$E$1203,$Z606-4000)=0,"",INDEX(客户自备加工筐明细!$E$4:$E$1203,$Z606-4000)),IF($Z606&lt;=5800,IF(INDEX(次果筐明细!$C$4:$C$603,$Z606-5200)=0,"",INDEX(次果筐明细!$C$4:$C$603,$Z606-5200)),"")))))</f>
        <v/>
      </c>
      <c r="D606" s="37" t="str">
        <f>IF($Z606="","",IF($Z606&lt;=2000,"包装物料－"&amp;INDEX(包装物料出入库明细!$H$4:$H$2003,$Z606-0),IF($Z606&lt;=4000,"周转筐－"&amp;INDEX(周转筐出入库明细!$F$4:$F$2004,$Z606-2000),IF($Z606&lt;=5200,"客户自备筐－"&amp;INDEX(客户自备加工筐明细!$J$4:$J$1203,$Z606-4000),IF($Z606&lt;=5800,"次果筐/托盘－"&amp;INDEX(次果筐明细!$F$4:$F$603,$Z606-5200),"")))))</f>
        <v/>
      </c>
      <c r="E606" s="24" t="str">
        <f>IF($Z606="","",IF($Z606&lt;=2000,IF(INDEX(包装物料出入库明细!$C$4:$C$2003,$Z606-0)=0,"",INDEX(包装物料出入库明细!$C$4:$C$2003,$Z606-0)),IF($Z606&lt;=4000,IF(INDEX(周转筐出入库明细!$E$4:$E$2004,$Z606-2000)=0,"",INDEX(周转筐出入库明细!$E$4:$E$2004,$Z606-2000)),IF($Z606&lt;=5200,IF(INDEX(客户自备加工筐明细!$D$4:$D$1203,$Z606-4000)=0,"",INDEX(客户自备加工筐明细!$D$4:$D$1203,$Z606-4000)),IF($Z606&lt;=5800,IF(INDEX(次果筐明细!$E$4:$E$603,$Z606-5200)=0,"",INDEX(次果筐明细!$E$4:$E$603,$Z606-5200)),"")))))</f>
        <v/>
      </c>
      <c r="F606" s="24" t="str">
        <f>IF($Z606="","",IF($Z606&lt;=2000,IF(INDEX(包装物料出入库明细!$E$4:$E$2003,$Z606-0)=0,"",INDEX(包装物料出入库明细!$E$4:$E$2003,$Z606-0)),IF($Z606&lt;=4000,IF(INDEX(周转筐出入库明细!$D$4:$D$2004,$Z606-2000)=0,"",INDEX(周转筐出入库明细!$D$4:$D$2004,$Z606-2000)),IF($Z606&lt;=5200,IF(INDEX(客户自备加工筐明细!$C$4:$C$1203,$Z606-4000)=0,"",INDEX(客户自备加工筐明细!$C$4:$C$1203,$Z606-4000)),IF($Z606&lt;=5800,IF(INDEX(次果筐明细!$D$4:$D$603,$Z606-5200)=0,"",INDEX(次果筐明细!$D$4:$D$603,$Z606-5200)),"")))))</f>
        <v/>
      </c>
      <c r="G606" s="24" t="str">
        <f>IF($Z606="","",IF($Z606&lt;=2000,IF(INDEX(包装物料出入库明细!$F$4:$F$2003,$Z606-0)=0,"",INDEX(包装物料出入库明细!$F$4:$F$2003,$Z606-0)),IF($Z606&lt;=4000,"",IF($Z606&lt;=5200,"",IF($Z606&lt;=5800,"","")))))</f>
        <v/>
      </c>
      <c r="H606" s="39" t="str">
        <f>IF($Z606="","",IF($Z606&lt;=2000,IF(INDEX(包装物料出入库明细!$L$4:$L$2003,$Z606-0)=0,"",INDEX(包装物料出入库明细!$L$4:$L$2003,$Z606-0)),IF($Z606&lt;=4000,N(INDEX(周转筐出入库明细!$H$4:$H$2004,$Z606-2000))+N(INDEX(周转筐出入库明细!$I$4:$I$2004,$Z606-2000))+N(INDEX(周转筐出入库明细!$J$4:$J$2004,$Z606-2000))+N(INDEX(周转筐出入库明细!$K$4:$K$2004,$Z606-2000)),IF($Z606&lt;=5200,N(INDEX(客户自备加工筐明细!$F$4:$F$1203,$Z606-4000))+N(INDEX(客户自备加工筐明细!$G$4:$G$1203,$Z606-4000)),IF($Z606&lt;=5800,IF(INDEX(次果筐明细!$G$4:$G$603,$Z606-5200)=0,"",INDEX(次果筐明细!$G$4:$G$603,$Z606-5200)),"")))))</f>
        <v/>
      </c>
      <c r="I606" s="24" t="str">
        <f>IF($Z606="","",IF($Z606&lt;=2000,IF(INDEX(包装物料出入库明细!$G$4:$G$2003,$Z606-0)=0,"",INDEX(包装物料出入库明细!$G$4:$G$2003,$Z606-0)),IF($Z606&lt;=4000,"个",IF($Z606&lt;=5200,"个",IF($Z606&lt;=5800,"个","")))))</f>
        <v/>
      </c>
      <c r="J606" s="30" t="str">
        <f t="shared" si="28"/>
        <v/>
      </c>
      <c r="K606" s="30" t="str">
        <f>IF($Z606="","",IF($Z606&lt;=2000,IF(INDEX(包装物料出入库明细!$N$4:$N$2003,$Z606-0)=0,"",INDEX(包装物料出入库明细!$N$4:$N$2003,$Z606-0)),IF($Z606&lt;=4000,IF(INDEX(周转筐出入库明细!$P$4:$P$2004,$Z606-2000)=0,"",INDEX(周转筐出入库明细!$P$4:$P$2004,$Z606-2000)),IF($Z606&lt;=5200,"",IF($Z606&lt;=5800,N(INDEX(次果筐明细!$L$4:$L$603,$Z606-5200))+N(INDEX(次果筐明细!$J$4:$J$603,$Z606-5200)),"")))))</f>
        <v/>
      </c>
      <c r="L606" s="24" t="str">
        <f>IF($Z606="","",IF($Z606&lt;=2000,IF(INDEX(包装物料出入库明细!$P$4:$P$2003,$Z606-0)=0,"",INDEX(包装物料出入库明细!$P$4:$P$2003,$Z606-0)),IF($Z606&lt;=4000,IF(INDEX(周转筐出入库明细!$Q$4:$Q$2004,$Z606-2000)=0,"",INDEX(周转筐出入库明细!$Q$4:$Q$2004,$Z606-2000)),IF($Z606&lt;=5200,"",IF($Z606&lt;=5800,IF(INDEX(次果筐明细!$M$4:$M$603,$Z606-5200)=0,"",INDEX(次果筐明细!$M$4:$M$603,$Z606-5200)),"")))))</f>
        <v/>
      </c>
      <c r="M606" s="37" t="str">
        <f>IF($Z606="","",IF($Z606&lt;=2000,IF(INDEX(包装物料出入库明细!$R$4:$R$2003,$Z606-0)=0,"",INDEX(包装物料出入库明细!$R$4:$R$2003,$Z606-0)),IF($Z606&lt;=4000,IF(INDEX(周转筐出入库明细!$W$4:$W$2004,$Z606-2000)=0,"",INDEX(周转筐出入库明细!$W$4:$W$2004,$Z606-2000)),IF($Z606&lt;=5200,IF(INDEX(客户自备加工筐明细!$L$4:$L$1203,$Z606-4000)=0,"",INDEX(客户自备加工筐明细!$L$4:$L$1203,$Z606-4000)),IF($Z606&lt;=5800,IF(INDEX(次果筐明细!$P$4:$P$603,$Z606-5200)=0,"",INDEX(次果筐明细!$P$4:$P$603,$Z606-5200)),"")))))</f>
        <v/>
      </c>
      <c r="N606" s="16" t="str">
        <f>IF($Z606="","",IF($Z606&lt;=2000,"",IF($Z606&lt;=4000,IF(INDEX(周转筐出入库明细!$D$4:$D$2004,$Z606-2000)=0,"",INDEX(周转筐出入库明细!$D$4:$D$2004,$Z606-2000)),IF($Z606&lt;=5200,IF(INDEX(客户自备加工筐明细!$C$4:$C$1203,$Z606-4000)=0,"",INDEX(客户自备加工筐明细!$C$4:$C$1203,$Z606-4000)),IF($Z606&lt;=5800,IF(INDEX(次果筐明细!$D$4:$D$603,$Z606-5200)=0,"",INDEX(次果筐明细!$D$4:$D$603,$Z606-5200)),"")))))</f>
        <v/>
      </c>
      <c r="O606" s="40" t="str">
        <f>IF($Z606="","",IF($Z606&lt;=2000,"",IF($Z606&lt;=4000,IF(N(INDEX(周转筐出入库明细!$J$4:$J$2004,$Z606-2000))+N(INDEX(周转筐出入库明细!$K$4:$K$2004,$Z606-2000))=0,"",N(INDEX(周转筐出入库明细!$J$4:$J$2004,$Z606-2000))+N(INDEX(周转筐出入库明细!$K$4:$K$2004,$Z606-2000))),IF($Z606&lt;=5200,IF(N(INDEX(客户自备加工筐明细!$G$4:$G$1203,$Z606-4000))=0,"",N(INDEX(客户自备加工筐明细!$G$4:$G$1203,$Z606-4000))),IF($Z606&lt;=5800,IF(ISNUMBER(SEARCH("退",INDEX(次果筐明细!$F$4:$F$603,$Z606-5200)&amp;"")),"",IF(N(INDEX(次果筐明细!$G$4:$G$603,$Z606-5200))=0,"",N(INDEX(次果筐明细!$G$4:$G$603,$Z606-5200)))),"")))))</f>
        <v/>
      </c>
      <c r="P606" s="40" t="str">
        <f>IF($Z606="","",IF($Z606&lt;=2000,"",IF($Z606&lt;=4000,IF(N(INDEX(周转筐出入库明细!$I$4:$I$2004,$Z606-2000))=0,"",N(INDEX(周转筐出入库明细!$I$4:$I$2004,$Z606-2000))),IF($Z606&lt;=5200,"",IF($Z606&lt;=5800,IF(ISNUMBER(SEARCH("退",INDEX(次果筐明细!$F$4:$F$603,$Z606-5200)&amp;"")),IF(N(INDEX(次果筐明细!$G$4:$G$603,$Z606-5200))=0,"",N(INDEX(次果筐明细!$G$4:$G$603,$Z606-5200))),""),"")))))</f>
        <v/>
      </c>
      <c r="Q606" s="40" t="str">
        <f>IF($Z606="","",IF($Z606&lt;=2000,"",IF($Z606&lt;=4000,IF(N(INDEX(周转筐出入库明细!$H$4:$H$2004,$Z606-2000))=0,"",N(INDEX(周转筐出入库明细!$H$4:$H$2004,$Z606-2000))),IF($Z606&lt;=5200,IF(N(INDEX(客户自备加工筐明细!$F$4:$F$1203,$Z606-4000))=0,"",N(INDEX(客户自备加工筐明细!$F$4:$F$1203,$Z606-4000))),IF($Z606&lt;=5800,"","")))))</f>
        <v/>
      </c>
      <c r="R606" s="16" t="str">
        <f>IF($Z606="","",IF($Z606&lt;=2000,IF(INDEX(包装物料出入库明细!$O$4:$O$2003,$Z606-0)=0,"",INDEX(包装物料出入库明细!$O$4:$O$2003,$Z606-0)),IF($Z606&lt;=4000,IF(INDEX(周转筐出入库明细!$M$4:$M$2004,$Z606-2000)=0,"",INDEX(周转筐出入库明细!$M$4:$M$2004,$Z606-2000)),IF($Z606&lt;=5200,IF(INDEX(客户自备加工筐明细!$H$4:$H$1203,$Z606-4000)=0,"",INDEX(客户自备加工筐明细!$H$4:$H$1203,$Z606-4000)),IF($Z606&lt;=5800,IF(INDEX(次果筐明细!$H$4:$H$603,$Z606-5200)=0,"",INDEX(次果筐明细!$H$4:$H$603,$Z606-5200)),"")))))</f>
        <v/>
      </c>
      <c r="S606" s="22" t="str">
        <f t="shared" si="29"/>
        <v/>
      </c>
      <c r="Z606" s="10" t="str">
        <f>IFERROR(MATCH(ROW()-3,_自动清单!$CQ$4:$CQ$5803,0),"")</f>
        <v/>
      </c>
    </row>
    <row r="607" spans="1:26">
      <c r="A607" s="24" t="str">
        <f t="shared" si="27"/>
        <v/>
      </c>
      <c r="B607" s="38" t="str">
        <f>IF($Z607="","",IF($Z607&lt;=2000,IF(INDEX(包装物料出入库明细!$B$4:$B$2003,$Z607-0)=0,"",INDEX(包装物料出入库明细!$B$4:$B$2003,$Z607-0)),IF($Z607&lt;=4000,IF(INDEX(周转筐出入库明细!$B$4:$B$2004,$Z607-2000)=0,"",INDEX(周转筐出入库明细!$B$4:$B$2004,$Z607-2000)),IF($Z607&lt;=5200,IF(INDEX(客户自备加工筐明细!$B$4:$B$1203,$Z607-4000)=0,"",INDEX(客户自备加工筐明细!$B$4:$B$1203,$Z607-4000)),IF($Z607&lt;=5800,IF(INDEX(次果筐明细!$B$4:$B$603,$Z607-5200)=0,"",INDEX(次果筐明细!$B$4:$B$603,$Z607-5200)),"")))))</f>
        <v/>
      </c>
      <c r="C607" s="37" t="str">
        <f>IF($Z607="","",IF($Z607&lt;=2000,IF(INDEX(包装物料出入库明细!$D$4:$D$2003,$Z607-0)=0,"",INDEX(包装物料出入库明细!$D$4:$D$2003,$Z607-0)),IF($Z607&lt;=4000,IF(INDEX(周转筐出入库明细!$C$4:$C$2004,$Z607-2000)=0,"",INDEX(周转筐出入库明细!$C$4:$C$2004,$Z607-2000)),IF($Z607&lt;=5200,IF(INDEX(客户自备加工筐明细!$E$4:$E$1203,$Z607-4000)=0,"",INDEX(客户自备加工筐明细!$E$4:$E$1203,$Z607-4000)),IF($Z607&lt;=5800,IF(INDEX(次果筐明细!$C$4:$C$603,$Z607-5200)=0,"",INDEX(次果筐明细!$C$4:$C$603,$Z607-5200)),"")))))</f>
        <v/>
      </c>
      <c r="D607" s="37" t="str">
        <f>IF($Z607="","",IF($Z607&lt;=2000,"包装物料－"&amp;INDEX(包装物料出入库明细!$H$4:$H$2003,$Z607-0),IF($Z607&lt;=4000,"周转筐－"&amp;INDEX(周转筐出入库明细!$F$4:$F$2004,$Z607-2000),IF($Z607&lt;=5200,"客户自备筐－"&amp;INDEX(客户自备加工筐明细!$J$4:$J$1203,$Z607-4000),IF($Z607&lt;=5800,"次果筐/托盘－"&amp;INDEX(次果筐明细!$F$4:$F$603,$Z607-5200),"")))))</f>
        <v/>
      </c>
      <c r="E607" s="24" t="str">
        <f>IF($Z607="","",IF($Z607&lt;=2000,IF(INDEX(包装物料出入库明细!$C$4:$C$2003,$Z607-0)=0,"",INDEX(包装物料出入库明细!$C$4:$C$2003,$Z607-0)),IF($Z607&lt;=4000,IF(INDEX(周转筐出入库明细!$E$4:$E$2004,$Z607-2000)=0,"",INDEX(周转筐出入库明细!$E$4:$E$2004,$Z607-2000)),IF($Z607&lt;=5200,IF(INDEX(客户自备加工筐明细!$D$4:$D$1203,$Z607-4000)=0,"",INDEX(客户自备加工筐明细!$D$4:$D$1203,$Z607-4000)),IF($Z607&lt;=5800,IF(INDEX(次果筐明细!$E$4:$E$603,$Z607-5200)=0,"",INDEX(次果筐明细!$E$4:$E$603,$Z607-5200)),"")))))</f>
        <v/>
      </c>
      <c r="F607" s="24" t="str">
        <f>IF($Z607="","",IF($Z607&lt;=2000,IF(INDEX(包装物料出入库明细!$E$4:$E$2003,$Z607-0)=0,"",INDEX(包装物料出入库明细!$E$4:$E$2003,$Z607-0)),IF($Z607&lt;=4000,IF(INDEX(周转筐出入库明细!$D$4:$D$2004,$Z607-2000)=0,"",INDEX(周转筐出入库明细!$D$4:$D$2004,$Z607-2000)),IF($Z607&lt;=5200,IF(INDEX(客户自备加工筐明细!$C$4:$C$1203,$Z607-4000)=0,"",INDEX(客户自备加工筐明细!$C$4:$C$1203,$Z607-4000)),IF($Z607&lt;=5800,IF(INDEX(次果筐明细!$D$4:$D$603,$Z607-5200)=0,"",INDEX(次果筐明细!$D$4:$D$603,$Z607-5200)),"")))))</f>
        <v/>
      </c>
      <c r="G607" s="24" t="str">
        <f>IF($Z607="","",IF($Z607&lt;=2000,IF(INDEX(包装物料出入库明细!$F$4:$F$2003,$Z607-0)=0,"",INDEX(包装物料出入库明细!$F$4:$F$2003,$Z607-0)),IF($Z607&lt;=4000,"",IF($Z607&lt;=5200,"",IF($Z607&lt;=5800,"","")))))</f>
        <v/>
      </c>
      <c r="H607" s="39" t="str">
        <f>IF($Z607="","",IF($Z607&lt;=2000,IF(INDEX(包装物料出入库明细!$L$4:$L$2003,$Z607-0)=0,"",INDEX(包装物料出入库明细!$L$4:$L$2003,$Z607-0)),IF($Z607&lt;=4000,N(INDEX(周转筐出入库明细!$H$4:$H$2004,$Z607-2000))+N(INDEX(周转筐出入库明细!$I$4:$I$2004,$Z607-2000))+N(INDEX(周转筐出入库明细!$J$4:$J$2004,$Z607-2000))+N(INDEX(周转筐出入库明细!$K$4:$K$2004,$Z607-2000)),IF($Z607&lt;=5200,N(INDEX(客户自备加工筐明细!$F$4:$F$1203,$Z607-4000))+N(INDEX(客户自备加工筐明细!$G$4:$G$1203,$Z607-4000)),IF($Z607&lt;=5800,IF(INDEX(次果筐明细!$G$4:$G$603,$Z607-5200)=0,"",INDEX(次果筐明细!$G$4:$G$603,$Z607-5200)),"")))))</f>
        <v/>
      </c>
      <c r="I607" s="24" t="str">
        <f>IF($Z607="","",IF($Z607&lt;=2000,IF(INDEX(包装物料出入库明细!$G$4:$G$2003,$Z607-0)=0,"",INDEX(包装物料出入库明细!$G$4:$G$2003,$Z607-0)),IF($Z607&lt;=4000,"个",IF($Z607&lt;=5200,"个",IF($Z607&lt;=5800,"个","")))))</f>
        <v/>
      </c>
      <c r="J607" s="30" t="str">
        <f t="shared" si="28"/>
        <v/>
      </c>
      <c r="K607" s="30" t="str">
        <f>IF($Z607="","",IF($Z607&lt;=2000,IF(INDEX(包装物料出入库明细!$N$4:$N$2003,$Z607-0)=0,"",INDEX(包装物料出入库明细!$N$4:$N$2003,$Z607-0)),IF($Z607&lt;=4000,IF(INDEX(周转筐出入库明细!$P$4:$P$2004,$Z607-2000)=0,"",INDEX(周转筐出入库明细!$P$4:$P$2004,$Z607-2000)),IF($Z607&lt;=5200,"",IF($Z607&lt;=5800,N(INDEX(次果筐明细!$L$4:$L$603,$Z607-5200))+N(INDEX(次果筐明细!$J$4:$J$603,$Z607-5200)),"")))))</f>
        <v/>
      </c>
      <c r="L607" s="24" t="str">
        <f>IF($Z607="","",IF($Z607&lt;=2000,IF(INDEX(包装物料出入库明细!$P$4:$P$2003,$Z607-0)=0,"",INDEX(包装物料出入库明细!$P$4:$P$2003,$Z607-0)),IF($Z607&lt;=4000,IF(INDEX(周转筐出入库明细!$Q$4:$Q$2004,$Z607-2000)=0,"",INDEX(周转筐出入库明细!$Q$4:$Q$2004,$Z607-2000)),IF($Z607&lt;=5200,"",IF($Z607&lt;=5800,IF(INDEX(次果筐明细!$M$4:$M$603,$Z607-5200)=0,"",INDEX(次果筐明细!$M$4:$M$603,$Z607-5200)),"")))))</f>
        <v/>
      </c>
      <c r="M607" s="37" t="str">
        <f>IF($Z607="","",IF($Z607&lt;=2000,IF(INDEX(包装物料出入库明细!$R$4:$R$2003,$Z607-0)=0,"",INDEX(包装物料出入库明细!$R$4:$R$2003,$Z607-0)),IF($Z607&lt;=4000,IF(INDEX(周转筐出入库明细!$W$4:$W$2004,$Z607-2000)=0,"",INDEX(周转筐出入库明细!$W$4:$W$2004,$Z607-2000)),IF($Z607&lt;=5200,IF(INDEX(客户自备加工筐明细!$L$4:$L$1203,$Z607-4000)=0,"",INDEX(客户自备加工筐明细!$L$4:$L$1203,$Z607-4000)),IF($Z607&lt;=5800,IF(INDEX(次果筐明细!$P$4:$P$603,$Z607-5200)=0,"",INDEX(次果筐明细!$P$4:$P$603,$Z607-5200)),"")))))</f>
        <v/>
      </c>
      <c r="N607" s="16" t="str">
        <f>IF($Z607="","",IF($Z607&lt;=2000,"",IF($Z607&lt;=4000,IF(INDEX(周转筐出入库明细!$D$4:$D$2004,$Z607-2000)=0,"",INDEX(周转筐出入库明细!$D$4:$D$2004,$Z607-2000)),IF($Z607&lt;=5200,IF(INDEX(客户自备加工筐明细!$C$4:$C$1203,$Z607-4000)=0,"",INDEX(客户自备加工筐明细!$C$4:$C$1203,$Z607-4000)),IF($Z607&lt;=5800,IF(INDEX(次果筐明细!$D$4:$D$603,$Z607-5200)=0,"",INDEX(次果筐明细!$D$4:$D$603,$Z607-5200)),"")))))</f>
        <v/>
      </c>
      <c r="O607" s="40" t="str">
        <f>IF($Z607="","",IF($Z607&lt;=2000,"",IF($Z607&lt;=4000,IF(N(INDEX(周转筐出入库明细!$J$4:$J$2004,$Z607-2000))+N(INDEX(周转筐出入库明细!$K$4:$K$2004,$Z607-2000))=0,"",N(INDEX(周转筐出入库明细!$J$4:$J$2004,$Z607-2000))+N(INDEX(周转筐出入库明细!$K$4:$K$2004,$Z607-2000))),IF($Z607&lt;=5200,IF(N(INDEX(客户自备加工筐明细!$G$4:$G$1203,$Z607-4000))=0,"",N(INDEX(客户自备加工筐明细!$G$4:$G$1203,$Z607-4000))),IF($Z607&lt;=5800,IF(ISNUMBER(SEARCH("退",INDEX(次果筐明细!$F$4:$F$603,$Z607-5200)&amp;"")),"",IF(N(INDEX(次果筐明细!$G$4:$G$603,$Z607-5200))=0,"",N(INDEX(次果筐明细!$G$4:$G$603,$Z607-5200)))),"")))))</f>
        <v/>
      </c>
      <c r="P607" s="40" t="str">
        <f>IF($Z607="","",IF($Z607&lt;=2000,"",IF($Z607&lt;=4000,IF(N(INDEX(周转筐出入库明细!$I$4:$I$2004,$Z607-2000))=0,"",N(INDEX(周转筐出入库明细!$I$4:$I$2004,$Z607-2000))),IF($Z607&lt;=5200,"",IF($Z607&lt;=5800,IF(ISNUMBER(SEARCH("退",INDEX(次果筐明细!$F$4:$F$603,$Z607-5200)&amp;"")),IF(N(INDEX(次果筐明细!$G$4:$G$603,$Z607-5200))=0,"",N(INDEX(次果筐明细!$G$4:$G$603,$Z607-5200))),""),"")))))</f>
        <v/>
      </c>
      <c r="Q607" s="40" t="str">
        <f>IF($Z607="","",IF($Z607&lt;=2000,"",IF($Z607&lt;=4000,IF(N(INDEX(周转筐出入库明细!$H$4:$H$2004,$Z607-2000))=0,"",N(INDEX(周转筐出入库明细!$H$4:$H$2004,$Z607-2000))),IF($Z607&lt;=5200,IF(N(INDEX(客户自备加工筐明细!$F$4:$F$1203,$Z607-4000))=0,"",N(INDEX(客户自备加工筐明细!$F$4:$F$1203,$Z607-4000))),IF($Z607&lt;=5800,"","")))))</f>
        <v/>
      </c>
      <c r="R607" s="16" t="str">
        <f>IF($Z607="","",IF($Z607&lt;=2000,IF(INDEX(包装物料出入库明细!$O$4:$O$2003,$Z607-0)=0,"",INDEX(包装物料出入库明细!$O$4:$O$2003,$Z607-0)),IF($Z607&lt;=4000,IF(INDEX(周转筐出入库明细!$M$4:$M$2004,$Z607-2000)=0,"",INDEX(周转筐出入库明细!$M$4:$M$2004,$Z607-2000)),IF($Z607&lt;=5200,IF(INDEX(客户自备加工筐明细!$H$4:$H$1203,$Z607-4000)=0,"",INDEX(客户自备加工筐明细!$H$4:$H$1203,$Z607-4000)),IF($Z607&lt;=5800,IF(INDEX(次果筐明细!$H$4:$H$603,$Z607-5200)=0,"",INDEX(次果筐明细!$H$4:$H$603,$Z607-5200)),"")))))</f>
        <v/>
      </c>
      <c r="S607" s="22" t="str">
        <f t="shared" si="29"/>
        <v/>
      </c>
      <c r="Z607" s="10" t="str">
        <f>IFERROR(MATCH(ROW()-3,_自动清单!$CQ$4:$CQ$5803,0),"")</f>
        <v/>
      </c>
    </row>
    <row r="608" spans="1:26">
      <c r="A608" s="24" t="str">
        <f t="shared" si="27"/>
        <v/>
      </c>
      <c r="B608" s="38" t="str">
        <f>IF($Z608="","",IF($Z608&lt;=2000,IF(INDEX(包装物料出入库明细!$B$4:$B$2003,$Z608-0)=0,"",INDEX(包装物料出入库明细!$B$4:$B$2003,$Z608-0)),IF($Z608&lt;=4000,IF(INDEX(周转筐出入库明细!$B$4:$B$2004,$Z608-2000)=0,"",INDEX(周转筐出入库明细!$B$4:$B$2004,$Z608-2000)),IF($Z608&lt;=5200,IF(INDEX(客户自备加工筐明细!$B$4:$B$1203,$Z608-4000)=0,"",INDEX(客户自备加工筐明细!$B$4:$B$1203,$Z608-4000)),IF($Z608&lt;=5800,IF(INDEX(次果筐明细!$B$4:$B$603,$Z608-5200)=0,"",INDEX(次果筐明细!$B$4:$B$603,$Z608-5200)),"")))))</f>
        <v/>
      </c>
      <c r="C608" s="37" t="str">
        <f>IF($Z608="","",IF($Z608&lt;=2000,IF(INDEX(包装物料出入库明细!$D$4:$D$2003,$Z608-0)=0,"",INDEX(包装物料出入库明细!$D$4:$D$2003,$Z608-0)),IF($Z608&lt;=4000,IF(INDEX(周转筐出入库明细!$C$4:$C$2004,$Z608-2000)=0,"",INDEX(周转筐出入库明细!$C$4:$C$2004,$Z608-2000)),IF($Z608&lt;=5200,IF(INDEX(客户自备加工筐明细!$E$4:$E$1203,$Z608-4000)=0,"",INDEX(客户自备加工筐明细!$E$4:$E$1203,$Z608-4000)),IF($Z608&lt;=5800,IF(INDEX(次果筐明细!$C$4:$C$603,$Z608-5200)=0,"",INDEX(次果筐明细!$C$4:$C$603,$Z608-5200)),"")))))</f>
        <v/>
      </c>
      <c r="D608" s="37" t="str">
        <f>IF($Z608="","",IF($Z608&lt;=2000,"包装物料－"&amp;INDEX(包装物料出入库明细!$H$4:$H$2003,$Z608-0),IF($Z608&lt;=4000,"周转筐－"&amp;INDEX(周转筐出入库明细!$F$4:$F$2004,$Z608-2000),IF($Z608&lt;=5200,"客户自备筐－"&amp;INDEX(客户自备加工筐明细!$J$4:$J$1203,$Z608-4000),IF($Z608&lt;=5800,"次果筐/托盘－"&amp;INDEX(次果筐明细!$F$4:$F$603,$Z608-5200),"")))))</f>
        <v/>
      </c>
      <c r="E608" s="24" t="str">
        <f>IF($Z608="","",IF($Z608&lt;=2000,IF(INDEX(包装物料出入库明细!$C$4:$C$2003,$Z608-0)=0,"",INDEX(包装物料出入库明细!$C$4:$C$2003,$Z608-0)),IF($Z608&lt;=4000,IF(INDEX(周转筐出入库明细!$E$4:$E$2004,$Z608-2000)=0,"",INDEX(周转筐出入库明细!$E$4:$E$2004,$Z608-2000)),IF($Z608&lt;=5200,IF(INDEX(客户自备加工筐明细!$D$4:$D$1203,$Z608-4000)=0,"",INDEX(客户自备加工筐明细!$D$4:$D$1203,$Z608-4000)),IF($Z608&lt;=5800,IF(INDEX(次果筐明细!$E$4:$E$603,$Z608-5200)=0,"",INDEX(次果筐明细!$E$4:$E$603,$Z608-5200)),"")))))</f>
        <v/>
      </c>
      <c r="F608" s="24" t="str">
        <f>IF($Z608="","",IF($Z608&lt;=2000,IF(INDEX(包装物料出入库明细!$E$4:$E$2003,$Z608-0)=0,"",INDEX(包装物料出入库明细!$E$4:$E$2003,$Z608-0)),IF($Z608&lt;=4000,IF(INDEX(周转筐出入库明细!$D$4:$D$2004,$Z608-2000)=0,"",INDEX(周转筐出入库明细!$D$4:$D$2004,$Z608-2000)),IF($Z608&lt;=5200,IF(INDEX(客户自备加工筐明细!$C$4:$C$1203,$Z608-4000)=0,"",INDEX(客户自备加工筐明细!$C$4:$C$1203,$Z608-4000)),IF($Z608&lt;=5800,IF(INDEX(次果筐明细!$D$4:$D$603,$Z608-5200)=0,"",INDEX(次果筐明细!$D$4:$D$603,$Z608-5200)),"")))))</f>
        <v/>
      </c>
      <c r="G608" s="24" t="str">
        <f>IF($Z608="","",IF($Z608&lt;=2000,IF(INDEX(包装物料出入库明细!$F$4:$F$2003,$Z608-0)=0,"",INDEX(包装物料出入库明细!$F$4:$F$2003,$Z608-0)),IF($Z608&lt;=4000,"",IF($Z608&lt;=5200,"",IF($Z608&lt;=5800,"","")))))</f>
        <v/>
      </c>
      <c r="H608" s="39" t="str">
        <f>IF($Z608="","",IF($Z608&lt;=2000,IF(INDEX(包装物料出入库明细!$L$4:$L$2003,$Z608-0)=0,"",INDEX(包装物料出入库明细!$L$4:$L$2003,$Z608-0)),IF($Z608&lt;=4000,N(INDEX(周转筐出入库明细!$H$4:$H$2004,$Z608-2000))+N(INDEX(周转筐出入库明细!$I$4:$I$2004,$Z608-2000))+N(INDEX(周转筐出入库明细!$J$4:$J$2004,$Z608-2000))+N(INDEX(周转筐出入库明细!$K$4:$K$2004,$Z608-2000)),IF($Z608&lt;=5200,N(INDEX(客户自备加工筐明细!$F$4:$F$1203,$Z608-4000))+N(INDEX(客户自备加工筐明细!$G$4:$G$1203,$Z608-4000)),IF($Z608&lt;=5800,IF(INDEX(次果筐明细!$G$4:$G$603,$Z608-5200)=0,"",INDEX(次果筐明细!$G$4:$G$603,$Z608-5200)),"")))))</f>
        <v/>
      </c>
      <c r="I608" s="24" t="str">
        <f>IF($Z608="","",IF($Z608&lt;=2000,IF(INDEX(包装物料出入库明细!$G$4:$G$2003,$Z608-0)=0,"",INDEX(包装物料出入库明细!$G$4:$G$2003,$Z608-0)),IF($Z608&lt;=4000,"个",IF($Z608&lt;=5200,"个",IF($Z608&lt;=5800,"个","")))))</f>
        <v/>
      </c>
      <c r="J608" s="30" t="str">
        <f t="shared" si="28"/>
        <v/>
      </c>
      <c r="K608" s="30" t="str">
        <f>IF($Z608="","",IF($Z608&lt;=2000,IF(INDEX(包装物料出入库明细!$N$4:$N$2003,$Z608-0)=0,"",INDEX(包装物料出入库明细!$N$4:$N$2003,$Z608-0)),IF($Z608&lt;=4000,IF(INDEX(周转筐出入库明细!$P$4:$P$2004,$Z608-2000)=0,"",INDEX(周转筐出入库明细!$P$4:$P$2004,$Z608-2000)),IF($Z608&lt;=5200,"",IF($Z608&lt;=5800,N(INDEX(次果筐明细!$L$4:$L$603,$Z608-5200))+N(INDEX(次果筐明细!$J$4:$J$603,$Z608-5200)),"")))))</f>
        <v/>
      </c>
      <c r="L608" s="24" t="str">
        <f>IF($Z608="","",IF($Z608&lt;=2000,IF(INDEX(包装物料出入库明细!$P$4:$P$2003,$Z608-0)=0,"",INDEX(包装物料出入库明细!$P$4:$P$2003,$Z608-0)),IF($Z608&lt;=4000,IF(INDEX(周转筐出入库明细!$Q$4:$Q$2004,$Z608-2000)=0,"",INDEX(周转筐出入库明细!$Q$4:$Q$2004,$Z608-2000)),IF($Z608&lt;=5200,"",IF($Z608&lt;=5800,IF(INDEX(次果筐明细!$M$4:$M$603,$Z608-5200)=0,"",INDEX(次果筐明细!$M$4:$M$603,$Z608-5200)),"")))))</f>
        <v/>
      </c>
      <c r="M608" s="37" t="str">
        <f>IF($Z608="","",IF($Z608&lt;=2000,IF(INDEX(包装物料出入库明细!$R$4:$R$2003,$Z608-0)=0,"",INDEX(包装物料出入库明细!$R$4:$R$2003,$Z608-0)),IF($Z608&lt;=4000,IF(INDEX(周转筐出入库明细!$W$4:$W$2004,$Z608-2000)=0,"",INDEX(周转筐出入库明细!$W$4:$W$2004,$Z608-2000)),IF($Z608&lt;=5200,IF(INDEX(客户自备加工筐明细!$L$4:$L$1203,$Z608-4000)=0,"",INDEX(客户自备加工筐明细!$L$4:$L$1203,$Z608-4000)),IF($Z608&lt;=5800,IF(INDEX(次果筐明细!$P$4:$P$603,$Z608-5200)=0,"",INDEX(次果筐明细!$P$4:$P$603,$Z608-5200)),"")))))</f>
        <v/>
      </c>
      <c r="N608" s="16" t="str">
        <f>IF($Z608="","",IF($Z608&lt;=2000,"",IF($Z608&lt;=4000,IF(INDEX(周转筐出入库明细!$D$4:$D$2004,$Z608-2000)=0,"",INDEX(周转筐出入库明细!$D$4:$D$2004,$Z608-2000)),IF($Z608&lt;=5200,IF(INDEX(客户自备加工筐明细!$C$4:$C$1203,$Z608-4000)=0,"",INDEX(客户自备加工筐明细!$C$4:$C$1203,$Z608-4000)),IF($Z608&lt;=5800,IF(INDEX(次果筐明细!$D$4:$D$603,$Z608-5200)=0,"",INDEX(次果筐明细!$D$4:$D$603,$Z608-5200)),"")))))</f>
        <v/>
      </c>
      <c r="O608" s="40" t="str">
        <f>IF($Z608="","",IF($Z608&lt;=2000,"",IF($Z608&lt;=4000,IF(N(INDEX(周转筐出入库明细!$J$4:$J$2004,$Z608-2000))+N(INDEX(周转筐出入库明细!$K$4:$K$2004,$Z608-2000))=0,"",N(INDEX(周转筐出入库明细!$J$4:$J$2004,$Z608-2000))+N(INDEX(周转筐出入库明细!$K$4:$K$2004,$Z608-2000))),IF($Z608&lt;=5200,IF(N(INDEX(客户自备加工筐明细!$G$4:$G$1203,$Z608-4000))=0,"",N(INDEX(客户自备加工筐明细!$G$4:$G$1203,$Z608-4000))),IF($Z608&lt;=5800,IF(ISNUMBER(SEARCH("退",INDEX(次果筐明细!$F$4:$F$603,$Z608-5200)&amp;"")),"",IF(N(INDEX(次果筐明细!$G$4:$G$603,$Z608-5200))=0,"",N(INDEX(次果筐明细!$G$4:$G$603,$Z608-5200)))),"")))))</f>
        <v/>
      </c>
      <c r="P608" s="40" t="str">
        <f>IF($Z608="","",IF($Z608&lt;=2000,"",IF($Z608&lt;=4000,IF(N(INDEX(周转筐出入库明细!$I$4:$I$2004,$Z608-2000))=0,"",N(INDEX(周转筐出入库明细!$I$4:$I$2004,$Z608-2000))),IF($Z608&lt;=5200,"",IF($Z608&lt;=5800,IF(ISNUMBER(SEARCH("退",INDEX(次果筐明细!$F$4:$F$603,$Z608-5200)&amp;"")),IF(N(INDEX(次果筐明细!$G$4:$G$603,$Z608-5200))=0,"",N(INDEX(次果筐明细!$G$4:$G$603,$Z608-5200))),""),"")))))</f>
        <v/>
      </c>
      <c r="Q608" s="40" t="str">
        <f>IF($Z608="","",IF($Z608&lt;=2000,"",IF($Z608&lt;=4000,IF(N(INDEX(周转筐出入库明细!$H$4:$H$2004,$Z608-2000))=0,"",N(INDEX(周转筐出入库明细!$H$4:$H$2004,$Z608-2000))),IF($Z608&lt;=5200,IF(N(INDEX(客户自备加工筐明细!$F$4:$F$1203,$Z608-4000))=0,"",N(INDEX(客户自备加工筐明细!$F$4:$F$1203,$Z608-4000))),IF($Z608&lt;=5800,"","")))))</f>
        <v/>
      </c>
      <c r="R608" s="16" t="str">
        <f>IF($Z608="","",IF($Z608&lt;=2000,IF(INDEX(包装物料出入库明细!$O$4:$O$2003,$Z608-0)=0,"",INDEX(包装物料出入库明细!$O$4:$O$2003,$Z608-0)),IF($Z608&lt;=4000,IF(INDEX(周转筐出入库明细!$M$4:$M$2004,$Z608-2000)=0,"",INDEX(周转筐出入库明细!$M$4:$M$2004,$Z608-2000)),IF($Z608&lt;=5200,IF(INDEX(客户自备加工筐明细!$H$4:$H$1203,$Z608-4000)=0,"",INDEX(客户自备加工筐明细!$H$4:$H$1203,$Z608-4000)),IF($Z608&lt;=5800,IF(INDEX(次果筐明细!$H$4:$H$603,$Z608-5200)=0,"",INDEX(次果筐明细!$H$4:$H$603,$Z608-5200)),"")))))</f>
        <v/>
      </c>
      <c r="S608" s="22" t="str">
        <f t="shared" si="29"/>
        <v/>
      </c>
      <c r="Z608" s="10" t="str">
        <f>IFERROR(MATCH(ROW()-3,_自动清单!$CQ$4:$CQ$5803,0),"")</f>
        <v/>
      </c>
    </row>
    <row r="609" spans="1:26">
      <c r="A609" s="24" t="str">
        <f t="shared" si="27"/>
        <v/>
      </c>
      <c r="B609" s="38" t="str">
        <f>IF($Z609="","",IF($Z609&lt;=2000,IF(INDEX(包装物料出入库明细!$B$4:$B$2003,$Z609-0)=0,"",INDEX(包装物料出入库明细!$B$4:$B$2003,$Z609-0)),IF($Z609&lt;=4000,IF(INDEX(周转筐出入库明细!$B$4:$B$2004,$Z609-2000)=0,"",INDEX(周转筐出入库明细!$B$4:$B$2004,$Z609-2000)),IF($Z609&lt;=5200,IF(INDEX(客户自备加工筐明细!$B$4:$B$1203,$Z609-4000)=0,"",INDEX(客户自备加工筐明细!$B$4:$B$1203,$Z609-4000)),IF($Z609&lt;=5800,IF(INDEX(次果筐明细!$B$4:$B$603,$Z609-5200)=0,"",INDEX(次果筐明细!$B$4:$B$603,$Z609-5200)),"")))))</f>
        <v/>
      </c>
      <c r="C609" s="37" t="str">
        <f>IF($Z609="","",IF($Z609&lt;=2000,IF(INDEX(包装物料出入库明细!$D$4:$D$2003,$Z609-0)=0,"",INDEX(包装物料出入库明细!$D$4:$D$2003,$Z609-0)),IF($Z609&lt;=4000,IF(INDEX(周转筐出入库明细!$C$4:$C$2004,$Z609-2000)=0,"",INDEX(周转筐出入库明细!$C$4:$C$2004,$Z609-2000)),IF($Z609&lt;=5200,IF(INDEX(客户自备加工筐明细!$E$4:$E$1203,$Z609-4000)=0,"",INDEX(客户自备加工筐明细!$E$4:$E$1203,$Z609-4000)),IF($Z609&lt;=5800,IF(INDEX(次果筐明细!$C$4:$C$603,$Z609-5200)=0,"",INDEX(次果筐明细!$C$4:$C$603,$Z609-5200)),"")))))</f>
        <v/>
      </c>
      <c r="D609" s="37" t="str">
        <f>IF($Z609="","",IF($Z609&lt;=2000,"包装物料－"&amp;INDEX(包装物料出入库明细!$H$4:$H$2003,$Z609-0),IF($Z609&lt;=4000,"周转筐－"&amp;INDEX(周转筐出入库明细!$F$4:$F$2004,$Z609-2000),IF($Z609&lt;=5200,"客户自备筐－"&amp;INDEX(客户自备加工筐明细!$J$4:$J$1203,$Z609-4000),IF($Z609&lt;=5800,"次果筐/托盘－"&amp;INDEX(次果筐明细!$F$4:$F$603,$Z609-5200),"")))))</f>
        <v/>
      </c>
      <c r="E609" s="24" t="str">
        <f>IF($Z609="","",IF($Z609&lt;=2000,IF(INDEX(包装物料出入库明细!$C$4:$C$2003,$Z609-0)=0,"",INDEX(包装物料出入库明细!$C$4:$C$2003,$Z609-0)),IF($Z609&lt;=4000,IF(INDEX(周转筐出入库明细!$E$4:$E$2004,$Z609-2000)=0,"",INDEX(周转筐出入库明细!$E$4:$E$2004,$Z609-2000)),IF($Z609&lt;=5200,IF(INDEX(客户自备加工筐明细!$D$4:$D$1203,$Z609-4000)=0,"",INDEX(客户自备加工筐明细!$D$4:$D$1203,$Z609-4000)),IF($Z609&lt;=5800,IF(INDEX(次果筐明细!$E$4:$E$603,$Z609-5200)=0,"",INDEX(次果筐明细!$E$4:$E$603,$Z609-5200)),"")))))</f>
        <v/>
      </c>
      <c r="F609" s="24" t="str">
        <f>IF($Z609="","",IF($Z609&lt;=2000,IF(INDEX(包装物料出入库明细!$E$4:$E$2003,$Z609-0)=0,"",INDEX(包装物料出入库明细!$E$4:$E$2003,$Z609-0)),IF($Z609&lt;=4000,IF(INDEX(周转筐出入库明细!$D$4:$D$2004,$Z609-2000)=0,"",INDEX(周转筐出入库明细!$D$4:$D$2004,$Z609-2000)),IF($Z609&lt;=5200,IF(INDEX(客户自备加工筐明细!$C$4:$C$1203,$Z609-4000)=0,"",INDEX(客户自备加工筐明细!$C$4:$C$1203,$Z609-4000)),IF($Z609&lt;=5800,IF(INDEX(次果筐明细!$D$4:$D$603,$Z609-5200)=0,"",INDEX(次果筐明细!$D$4:$D$603,$Z609-5200)),"")))))</f>
        <v/>
      </c>
      <c r="G609" s="24" t="str">
        <f>IF($Z609="","",IF($Z609&lt;=2000,IF(INDEX(包装物料出入库明细!$F$4:$F$2003,$Z609-0)=0,"",INDEX(包装物料出入库明细!$F$4:$F$2003,$Z609-0)),IF($Z609&lt;=4000,"",IF($Z609&lt;=5200,"",IF($Z609&lt;=5800,"","")))))</f>
        <v/>
      </c>
      <c r="H609" s="39" t="str">
        <f>IF($Z609="","",IF($Z609&lt;=2000,IF(INDEX(包装物料出入库明细!$L$4:$L$2003,$Z609-0)=0,"",INDEX(包装物料出入库明细!$L$4:$L$2003,$Z609-0)),IF($Z609&lt;=4000,N(INDEX(周转筐出入库明细!$H$4:$H$2004,$Z609-2000))+N(INDEX(周转筐出入库明细!$I$4:$I$2004,$Z609-2000))+N(INDEX(周转筐出入库明细!$J$4:$J$2004,$Z609-2000))+N(INDEX(周转筐出入库明细!$K$4:$K$2004,$Z609-2000)),IF($Z609&lt;=5200,N(INDEX(客户自备加工筐明细!$F$4:$F$1203,$Z609-4000))+N(INDEX(客户自备加工筐明细!$G$4:$G$1203,$Z609-4000)),IF($Z609&lt;=5800,IF(INDEX(次果筐明细!$G$4:$G$603,$Z609-5200)=0,"",INDEX(次果筐明细!$G$4:$G$603,$Z609-5200)),"")))))</f>
        <v/>
      </c>
      <c r="I609" s="24" t="str">
        <f>IF($Z609="","",IF($Z609&lt;=2000,IF(INDEX(包装物料出入库明细!$G$4:$G$2003,$Z609-0)=0,"",INDEX(包装物料出入库明细!$G$4:$G$2003,$Z609-0)),IF($Z609&lt;=4000,"个",IF($Z609&lt;=5200,"个",IF($Z609&lt;=5800,"个","")))))</f>
        <v/>
      </c>
      <c r="J609" s="30" t="str">
        <f t="shared" si="28"/>
        <v/>
      </c>
      <c r="K609" s="30" t="str">
        <f>IF($Z609="","",IF($Z609&lt;=2000,IF(INDEX(包装物料出入库明细!$N$4:$N$2003,$Z609-0)=0,"",INDEX(包装物料出入库明细!$N$4:$N$2003,$Z609-0)),IF($Z609&lt;=4000,IF(INDEX(周转筐出入库明细!$P$4:$P$2004,$Z609-2000)=0,"",INDEX(周转筐出入库明细!$P$4:$P$2004,$Z609-2000)),IF($Z609&lt;=5200,"",IF($Z609&lt;=5800,N(INDEX(次果筐明细!$L$4:$L$603,$Z609-5200))+N(INDEX(次果筐明细!$J$4:$J$603,$Z609-5200)),"")))))</f>
        <v/>
      </c>
      <c r="L609" s="24" t="str">
        <f>IF($Z609="","",IF($Z609&lt;=2000,IF(INDEX(包装物料出入库明细!$P$4:$P$2003,$Z609-0)=0,"",INDEX(包装物料出入库明细!$P$4:$P$2003,$Z609-0)),IF($Z609&lt;=4000,IF(INDEX(周转筐出入库明细!$Q$4:$Q$2004,$Z609-2000)=0,"",INDEX(周转筐出入库明细!$Q$4:$Q$2004,$Z609-2000)),IF($Z609&lt;=5200,"",IF($Z609&lt;=5800,IF(INDEX(次果筐明细!$M$4:$M$603,$Z609-5200)=0,"",INDEX(次果筐明细!$M$4:$M$603,$Z609-5200)),"")))))</f>
        <v/>
      </c>
      <c r="M609" s="37" t="str">
        <f>IF($Z609="","",IF($Z609&lt;=2000,IF(INDEX(包装物料出入库明细!$R$4:$R$2003,$Z609-0)=0,"",INDEX(包装物料出入库明细!$R$4:$R$2003,$Z609-0)),IF($Z609&lt;=4000,IF(INDEX(周转筐出入库明细!$W$4:$W$2004,$Z609-2000)=0,"",INDEX(周转筐出入库明细!$W$4:$W$2004,$Z609-2000)),IF($Z609&lt;=5200,IF(INDEX(客户自备加工筐明细!$L$4:$L$1203,$Z609-4000)=0,"",INDEX(客户自备加工筐明细!$L$4:$L$1203,$Z609-4000)),IF($Z609&lt;=5800,IF(INDEX(次果筐明细!$P$4:$P$603,$Z609-5200)=0,"",INDEX(次果筐明细!$P$4:$P$603,$Z609-5200)),"")))))</f>
        <v/>
      </c>
      <c r="N609" s="16" t="str">
        <f>IF($Z609="","",IF($Z609&lt;=2000,"",IF($Z609&lt;=4000,IF(INDEX(周转筐出入库明细!$D$4:$D$2004,$Z609-2000)=0,"",INDEX(周转筐出入库明细!$D$4:$D$2004,$Z609-2000)),IF($Z609&lt;=5200,IF(INDEX(客户自备加工筐明细!$C$4:$C$1203,$Z609-4000)=0,"",INDEX(客户自备加工筐明细!$C$4:$C$1203,$Z609-4000)),IF($Z609&lt;=5800,IF(INDEX(次果筐明细!$D$4:$D$603,$Z609-5200)=0,"",INDEX(次果筐明细!$D$4:$D$603,$Z609-5200)),"")))))</f>
        <v/>
      </c>
      <c r="O609" s="40" t="str">
        <f>IF($Z609="","",IF($Z609&lt;=2000,"",IF($Z609&lt;=4000,IF(N(INDEX(周转筐出入库明细!$J$4:$J$2004,$Z609-2000))+N(INDEX(周转筐出入库明细!$K$4:$K$2004,$Z609-2000))=0,"",N(INDEX(周转筐出入库明细!$J$4:$J$2004,$Z609-2000))+N(INDEX(周转筐出入库明细!$K$4:$K$2004,$Z609-2000))),IF($Z609&lt;=5200,IF(N(INDEX(客户自备加工筐明细!$G$4:$G$1203,$Z609-4000))=0,"",N(INDEX(客户自备加工筐明细!$G$4:$G$1203,$Z609-4000))),IF($Z609&lt;=5800,IF(ISNUMBER(SEARCH("退",INDEX(次果筐明细!$F$4:$F$603,$Z609-5200)&amp;"")),"",IF(N(INDEX(次果筐明细!$G$4:$G$603,$Z609-5200))=0,"",N(INDEX(次果筐明细!$G$4:$G$603,$Z609-5200)))),"")))))</f>
        <v/>
      </c>
      <c r="P609" s="40" t="str">
        <f>IF($Z609="","",IF($Z609&lt;=2000,"",IF($Z609&lt;=4000,IF(N(INDEX(周转筐出入库明细!$I$4:$I$2004,$Z609-2000))=0,"",N(INDEX(周转筐出入库明细!$I$4:$I$2004,$Z609-2000))),IF($Z609&lt;=5200,"",IF($Z609&lt;=5800,IF(ISNUMBER(SEARCH("退",INDEX(次果筐明细!$F$4:$F$603,$Z609-5200)&amp;"")),IF(N(INDEX(次果筐明细!$G$4:$G$603,$Z609-5200))=0,"",N(INDEX(次果筐明细!$G$4:$G$603,$Z609-5200))),""),"")))))</f>
        <v/>
      </c>
      <c r="Q609" s="40" t="str">
        <f>IF($Z609="","",IF($Z609&lt;=2000,"",IF($Z609&lt;=4000,IF(N(INDEX(周转筐出入库明细!$H$4:$H$2004,$Z609-2000))=0,"",N(INDEX(周转筐出入库明细!$H$4:$H$2004,$Z609-2000))),IF($Z609&lt;=5200,IF(N(INDEX(客户自备加工筐明细!$F$4:$F$1203,$Z609-4000))=0,"",N(INDEX(客户自备加工筐明细!$F$4:$F$1203,$Z609-4000))),IF($Z609&lt;=5800,"","")))))</f>
        <v/>
      </c>
      <c r="R609" s="16" t="str">
        <f>IF($Z609="","",IF($Z609&lt;=2000,IF(INDEX(包装物料出入库明细!$O$4:$O$2003,$Z609-0)=0,"",INDEX(包装物料出入库明细!$O$4:$O$2003,$Z609-0)),IF($Z609&lt;=4000,IF(INDEX(周转筐出入库明细!$M$4:$M$2004,$Z609-2000)=0,"",INDEX(周转筐出入库明细!$M$4:$M$2004,$Z609-2000)),IF($Z609&lt;=5200,IF(INDEX(客户自备加工筐明细!$H$4:$H$1203,$Z609-4000)=0,"",INDEX(客户自备加工筐明细!$H$4:$H$1203,$Z609-4000)),IF($Z609&lt;=5800,IF(INDEX(次果筐明细!$H$4:$H$603,$Z609-5200)=0,"",INDEX(次果筐明细!$H$4:$H$603,$Z609-5200)),"")))))</f>
        <v/>
      </c>
      <c r="S609" s="22" t="str">
        <f t="shared" si="29"/>
        <v/>
      </c>
      <c r="Z609" s="10" t="str">
        <f>IFERROR(MATCH(ROW()-3,_自动清单!$CQ$4:$CQ$5803,0),"")</f>
        <v/>
      </c>
    </row>
    <row r="610" spans="1:26">
      <c r="A610" s="24" t="str">
        <f t="shared" si="27"/>
        <v/>
      </c>
      <c r="B610" s="38" t="str">
        <f>IF($Z610="","",IF($Z610&lt;=2000,IF(INDEX(包装物料出入库明细!$B$4:$B$2003,$Z610-0)=0,"",INDEX(包装物料出入库明细!$B$4:$B$2003,$Z610-0)),IF($Z610&lt;=4000,IF(INDEX(周转筐出入库明细!$B$4:$B$2004,$Z610-2000)=0,"",INDEX(周转筐出入库明细!$B$4:$B$2004,$Z610-2000)),IF($Z610&lt;=5200,IF(INDEX(客户自备加工筐明细!$B$4:$B$1203,$Z610-4000)=0,"",INDEX(客户自备加工筐明细!$B$4:$B$1203,$Z610-4000)),IF($Z610&lt;=5800,IF(INDEX(次果筐明细!$B$4:$B$603,$Z610-5200)=0,"",INDEX(次果筐明细!$B$4:$B$603,$Z610-5200)),"")))))</f>
        <v/>
      </c>
      <c r="C610" s="37" t="str">
        <f>IF($Z610="","",IF($Z610&lt;=2000,IF(INDEX(包装物料出入库明细!$D$4:$D$2003,$Z610-0)=0,"",INDEX(包装物料出入库明细!$D$4:$D$2003,$Z610-0)),IF($Z610&lt;=4000,IF(INDEX(周转筐出入库明细!$C$4:$C$2004,$Z610-2000)=0,"",INDEX(周转筐出入库明细!$C$4:$C$2004,$Z610-2000)),IF($Z610&lt;=5200,IF(INDEX(客户自备加工筐明细!$E$4:$E$1203,$Z610-4000)=0,"",INDEX(客户自备加工筐明细!$E$4:$E$1203,$Z610-4000)),IF($Z610&lt;=5800,IF(INDEX(次果筐明细!$C$4:$C$603,$Z610-5200)=0,"",INDEX(次果筐明细!$C$4:$C$603,$Z610-5200)),"")))))</f>
        <v/>
      </c>
      <c r="D610" s="37" t="str">
        <f>IF($Z610="","",IF($Z610&lt;=2000,"包装物料－"&amp;INDEX(包装物料出入库明细!$H$4:$H$2003,$Z610-0),IF($Z610&lt;=4000,"周转筐－"&amp;INDEX(周转筐出入库明细!$F$4:$F$2004,$Z610-2000),IF($Z610&lt;=5200,"客户自备筐－"&amp;INDEX(客户自备加工筐明细!$J$4:$J$1203,$Z610-4000),IF($Z610&lt;=5800,"次果筐/托盘－"&amp;INDEX(次果筐明细!$F$4:$F$603,$Z610-5200),"")))))</f>
        <v/>
      </c>
      <c r="E610" s="24" t="str">
        <f>IF($Z610="","",IF($Z610&lt;=2000,IF(INDEX(包装物料出入库明细!$C$4:$C$2003,$Z610-0)=0,"",INDEX(包装物料出入库明细!$C$4:$C$2003,$Z610-0)),IF($Z610&lt;=4000,IF(INDEX(周转筐出入库明细!$E$4:$E$2004,$Z610-2000)=0,"",INDEX(周转筐出入库明细!$E$4:$E$2004,$Z610-2000)),IF($Z610&lt;=5200,IF(INDEX(客户自备加工筐明细!$D$4:$D$1203,$Z610-4000)=0,"",INDEX(客户自备加工筐明细!$D$4:$D$1203,$Z610-4000)),IF($Z610&lt;=5800,IF(INDEX(次果筐明细!$E$4:$E$603,$Z610-5200)=0,"",INDEX(次果筐明细!$E$4:$E$603,$Z610-5200)),"")))))</f>
        <v/>
      </c>
      <c r="F610" s="24" t="str">
        <f>IF($Z610="","",IF($Z610&lt;=2000,IF(INDEX(包装物料出入库明细!$E$4:$E$2003,$Z610-0)=0,"",INDEX(包装物料出入库明细!$E$4:$E$2003,$Z610-0)),IF($Z610&lt;=4000,IF(INDEX(周转筐出入库明细!$D$4:$D$2004,$Z610-2000)=0,"",INDEX(周转筐出入库明细!$D$4:$D$2004,$Z610-2000)),IF($Z610&lt;=5200,IF(INDEX(客户自备加工筐明细!$C$4:$C$1203,$Z610-4000)=0,"",INDEX(客户自备加工筐明细!$C$4:$C$1203,$Z610-4000)),IF($Z610&lt;=5800,IF(INDEX(次果筐明细!$D$4:$D$603,$Z610-5200)=0,"",INDEX(次果筐明细!$D$4:$D$603,$Z610-5200)),"")))))</f>
        <v/>
      </c>
      <c r="G610" s="24" t="str">
        <f>IF($Z610="","",IF($Z610&lt;=2000,IF(INDEX(包装物料出入库明细!$F$4:$F$2003,$Z610-0)=0,"",INDEX(包装物料出入库明细!$F$4:$F$2003,$Z610-0)),IF($Z610&lt;=4000,"",IF($Z610&lt;=5200,"",IF($Z610&lt;=5800,"","")))))</f>
        <v/>
      </c>
      <c r="H610" s="39" t="str">
        <f>IF($Z610="","",IF($Z610&lt;=2000,IF(INDEX(包装物料出入库明细!$L$4:$L$2003,$Z610-0)=0,"",INDEX(包装物料出入库明细!$L$4:$L$2003,$Z610-0)),IF($Z610&lt;=4000,N(INDEX(周转筐出入库明细!$H$4:$H$2004,$Z610-2000))+N(INDEX(周转筐出入库明细!$I$4:$I$2004,$Z610-2000))+N(INDEX(周转筐出入库明细!$J$4:$J$2004,$Z610-2000))+N(INDEX(周转筐出入库明细!$K$4:$K$2004,$Z610-2000)),IF($Z610&lt;=5200,N(INDEX(客户自备加工筐明细!$F$4:$F$1203,$Z610-4000))+N(INDEX(客户自备加工筐明细!$G$4:$G$1203,$Z610-4000)),IF($Z610&lt;=5800,IF(INDEX(次果筐明细!$G$4:$G$603,$Z610-5200)=0,"",INDEX(次果筐明细!$G$4:$G$603,$Z610-5200)),"")))))</f>
        <v/>
      </c>
      <c r="I610" s="24" t="str">
        <f>IF($Z610="","",IF($Z610&lt;=2000,IF(INDEX(包装物料出入库明细!$G$4:$G$2003,$Z610-0)=0,"",INDEX(包装物料出入库明细!$G$4:$G$2003,$Z610-0)),IF($Z610&lt;=4000,"个",IF($Z610&lt;=5200,"个",IF($Z610&lt;=5800,"个","")))))</f>
        <v/>
      </c>
      <c r="J610" s="30" t="str">
        <f t="shared" si="28"/>
        <v/>
      </c>
      <c r="K610" s="30" t="str">
        <f>IF($Z610="","",IF($Z610&lt;=2000,IF(INDEX(包装物料出入库明细!$N$4:$N$2003,$Z610-0)=0,"",INDEX(包装物料出入库明细!$N$4:$N$2003,$Z610-0)),IF($Z610&lt;=4000,IF(INDEX(周转筐出入库明细!$P$4:$P$2004,$Z610-2000)=0,"",INDEX(周转筐出入库明细!$P$4:$P$2004,$Z610-2000)),IF($Z610&lt;=5200,"",IF($Z610&lt;=5800,N(INDEX(次果筐明细!$L$4:$L$603,$Z610-5200))+N(INDEX(次果筐明细!$J$4:$J$603,$Z610-5200)),"")))))</f>
        <v/>
      </c>
      <c r="L610" s="24" t="str">
        <f>IF($Z610="","",IF($Z610&lt;=2000,IF(INDEX(包装物料出入库明细!$P$4:$P$2003,$Z610-0)=0,"",INDEX(包装物料出入库明细!$P$4:$P$2003,$Z610-0)),IF($Z610&lt;=4000,IF(INDEX(周转筐出入库明细!$Q$4:$Q$2004,$Z610-2000)=0,"",INDEX(周转筐出入库明细!$Q$4:$Q$2004,$Z610-2000)),IF($Z610&lt;=5200,"",IF($Z610&lt;=5800,IF(INDEX(次果筐明细!$M$4:$M$603,$Z610-5200)=0,"",INDEX(次果筐明细!$M$4:$M$603,$Z610-5200)),"")))))</f>
        <v/>
      </c>
      <c r="M610" s="37" t="str">
        <f>IF($Z610="","",IF($Z610&lt;=2000,IF(INDEX(包装物料出入库明细!$R$4:$R$2003,$Z610-0)=0,"",INDEX(包装物料出入库明细!$R$4:$R$2003,$Z610-0)),IF($Z610&lt;=4000,IF(INDEX(周转筐出入库明细!$W$4:$W$2004,$Z610-2000)=0,"",INDEX(周转筐出入库明细!$W$4:$W$2004,$Z610-2000)),IF($Z610&lt;=5200,IF(INDEX(客户自备加工筐明细!$L$4:$L$1203,$Z610-4000)=0,"",INDEX(客户自备加工筐明细!$L$4:$L$1203,$Z610-4000)),IF($Z610&lt;=5800,IF(INDEX(次果筐明细!$P$4:$P$603,$Z610-5200)=0,"",INDEX(次果筐明细!$P$4:$P$603,$Z610-5200)),"")))))</f>
        <v/>
      </c>
      <c r="N610" s="16" t="str">
        <f>IF($Z610="","",IF($Z610&lt;=2000,"",IF($Z610&lt;=4000,IF(INDEX(周转筐出入库明细!$D$4:$D$2004,$Z610-2000)=0,"",INDEX(周转筐出入库明细!$D$4:$D$2004,$Z610-2000)),IF($Z610&lt;=5200,IF(INDEX(客户自备加工筐明细!$C$4:$C$1203,$Z610-4000)=0,"",INDEX(客户自备加工筐明细!$C$4:$C$1203,$Z610-4000)),IF($Z610&lt;=5800,IF(INDEX(次果筐明细!$D$4:$D$603,$Z610-5200)=0,"",INDEX(次果筐明细!$D$4:$D$603,$Z610-5200)),"")))))</f>
        <v/>
      </c>
      <c r="O610" s="40" t="str">
        <f>IF($Z610="","",IF($Z610&lt;=2000,"",IF($Z610&lt;=4000,IF(N(INDEX(周转筐出入库明细!$J$4:$J$2004,$Z610-2000))+N(INDEX(周转筐出入库明细!$K$4:$K$2004,$Z610-2000))=0,"",N(INDEX(周转筐出入库明细!$J$4:$J$2004,$Z610-2000))+N(INDEX(周转筐出入库明细!$K$4:$K$2004,$Z610-2000))),IF($Z610&lt;=5200,IF(N(INDEX(客户自备加工筐明细!$G$4:$G$1203,$Z610-4000))=0,"",N(INDEX(客户自备加工筐明细!$G$4:$G$1203,$Z610-4000))),IF($Z610&lt;=5800,IF(ISNUMBER(SEARCH("退",INDEX(次果筐明细!$F$4:$F$603,$Z610-5200)&amp;"")),"",IF(N(INDEX(次果筐明细!$G$4:$G$603,$Z610-5200))=0,"",N(INDEX(次果筐明细!$G$4:$G$603,$Z610-5200)))),"")))))</f>
        <v/>
      </c>
      <c r="P610" s="40" t="str">
        <f>IF($Z610="","",IF($Z610&lt;=2000,"",IF($Z610&lt;=4000,IF(N(INDEX(周转筐出入库明细!$I$4:$I$2004,$Z610-2000))=0,"",N(INDEX(周转筐出入库明细!$I$4:$I$2004,$Z610-2000))),IF($Z610&lt;=5200,"",IF($Z610&lt;=5800,IF(ISNUMBER(SEARCH("退",INDEX(次果筐明细!$F$4:$F$603,$Z610-5200)&amp;"")),IF(N(INDEX(次果筐明细!$G$4:$G$603,$Z610-5200))=0,"",N(INDEX(次果筐明细!$G$4:$G$603,$Z610-5200))),""),"")))))</f>
        <v/>
      </c>
      <c r="Q610" s="40" t="str">
        <f>IF($Z610="","",IF($Z610&lt;=2000,"",IF($Z610&lt;=4000,IF(N(INDEX(周转筐出入库明细!$H$4:$H$2004,$Z610-2000))=0,"",N(INDEX(周转筐出入库明细!$H$4:$H$2004,$Z610-2000))),IF($Z610&lt;=5200,IF(N(INDEX(客户自备加工筐明细!$F$4:$F$1203,$Z610-4000))=0,"",N(INDEX(客户自备加工筐明细!$F$4:$F$1203,$Z610-4000))),IF($Z610&lt;=5800,"","")))))</f>
        <v/>
      </c>
      <c r="R610" s="16" t="str">
        <f>IF($Z610="","",IF($Z610&lt;=2000,IF(INDEX(包装物料出入库明细!$O$4:$O$2003,$Z610-0)=0,"",INDEX(包装物料出入库明细!$O$4:$O$2003,$Z610-0)),IF($Z610&lt;=4000,IF(INDEX(周转筐出入库明细!$M$4:$M$2004,$Z610-2000)=0,"",INDEX(周转筐出入库明细!$M$4:$M$2004,$Z610-2000)),IF($Z610&lt;=5200,IF(INDEX(客户自备加工筐明细!$H$4:$H$1203,$Z610-4000)=0,"",INDEX(客户自备加工筐明细!$H$4:$H$1203,$Z610-4000)),IF($Z610&lt;=5800,IF(INDEX(次果筐明细!$H$4:$H$603,$Z610-5200)=0,"",INDEX(次果筐明细!$H$4:$H$603,$Z610-5200)),"")))))</f>
        <v/>
      </c>
      <c r="S610" s="22" t="str">
        <f t="shared" si="29"/>
        <v/>
      </c>
      <c r="Z610" s="10" t="str">
        <f>IFERROR(MATCH(ROW()-3,_自动清单!$CQ$4:$CQ$5803,0),"")</f>
        <v/>
      </c>
    </row>
    <row r="611" spans="1:26">
      <c r="A611" s="24" t="str">
        <f t="shared" si="27"/>
        <v/>
      </c>
      <c r="B611" s="38" t="str">
        <f>IF($Z611="","",IF($Z611&lt;=2000,IF(INDEX(包装物料出入库明细!$B$4:$B$2003,$Z611-0)=0,"",INDEX(包装物料出入库明细!$B$4:$B$2003,$Z611-0)),IF($Z611&lt;=4000,IF(INDEX(周转筐出入库明细!$B$4:$B$2004,$Z611-2000)=0,"",INDEX(周转筐出入库明细!$B$4:$B$2004,$Z611-2000)),IF($Z611&lt;=5200,IF(INDEX(客户自备加工筐明细!$B$4:$B$1203,$Z611-4000)=0,"",INDEX(客户自备加工筐明细!$B$4:$B$1203,$Z611-4000)),IF($Z611&lt;=5800,IF(INDEX(次果筐明细!$B$4:$B$603,$Z611-5200)=0,"",INDEX(次果筐明细!$B$4:$B$603,$Z611-5200)),"")))))</f>
        <v/>
      </c>
      <c r="C611" s="37" t="str">
        <f>IF($Z611="","",IF($Z611&lt;=2000,IF(INDEX(包装物料出入库明细!$D$4:$D$2003,$Z611-0)=0,"",INDEX(包装物料出入库明细!$D$4:$D$2003,$Z611-0)),IF($Z611&lt;=4000,IF(INDEX(周转筐出入库明细!$C$4:$C$2004,$Z611-2000)=0,"",INDEX(周转筐出入库明细!$C$4:$C$2004,$Z611-2000)),IF($Z611&lt;=5200,IF(INDEX(客户自备加工筐明细!$E$4:$E$1203,$Z611-4000)=0,"",INDEX(客户自备加工筐明细!$E$4:$E$1203,$Z611-4000)),IF($Z611&lt;=5800,IF(INDEX(次果筐明细!$C$4:$C$603,$Z611-5200)=0,"",INDEX(次果筐明细!$C$4:$C$603,$Z611-5200)),"")))))</f>
        <v/>
      </c>
      <c r="D611" s="37" t="str">
        <f>IF($Z611="","",IF($Z611&lt;=2000,"包装物料－"&amp;INDEX(包装物料出入库明细!$H$4:$H$2003,$Z611-0),IF($Z611&lt;=4000,"周转筐－"&amp;INDEX(周转筐出入库明细!$F$4:$F$2004,$Z611-2000),IF($Z611&lt;=5200,"客户自备筐－"&amp;INDEX(客户自备加工筐明细!$J$4:$J$1203,$Z611-4000),IF($Z611&lt;=5800,"次果筐/托盘－"&amp;INDEX(次果筐明细!$F$4:$F$603,$Z611-5200),"")))))</f>
        <v/>
      </c>
      <c r="E611" s="24" t="str">
        <f>IF($Z611="","",IF($Z611&lt;=2000,IF(INDEX(包装物料出入库明细!$C$4:$C$2003,$Z611-0)=0,"",INDEX(包装物料出入库明细!$C$4:$C$2003,$Z611-0)),IF($Z611&lt;=4000,IF(INDEX(周转筐出入库明细!$E$4:$E$2004,$Z611-2000)=0,"",INDEX(周转筐出入库明细!$E$4:$E$2004,$Z611-2000)),IF($Z611&lt;=5200,IF(INDEX(客户自备加工筐明细!$D$4:$D$1203,$Z611-4000)=0,"",INDEX(客户自备加工筐明细!$D$4:$D$1203,$Z611-4000)),IF($Z611&lt;=5800,IF(INDEX(次果筐明细!$E$4:$E$603,$Z611-5200)=0,"",INDEX(次果筐明细!$E$4:$E$603,$Z611-5200)),"")))))</f>
        <v/>
      </c>
      <c r="F611" s="24" t="str">
        <f>IF($Z611="","",IF($Z611&lt;=2000,IF(INDEX(包装物料出入库明细!$E$4:$E$2003,$Z611-0)=0,"",INDEX(包装物料出入库明细!$E$4:$E$2003,$Z611-0)),IF($Z611&lt;=4000,IF(INDEX(周转筐出入库明细!$D$4:$D$2004,$Z611-2000)=0,"",INDEX(周转筐出入库明细!$D$4:$D$2004,$Z611-2000)),IF($Z611&lt;=5200,IF(INDEX(客户自备加工筐明细!$C$4:$C$1203,$Z611-4000)=0,"",INDEX(客户自备加工筐明细!$C$4:$C$1203,$Z611-4000)),IF($Z611&lt;=5800,IF(INDEX(次果筐明细!$D$4:$D$603,$Z611-5200)=0,"",INDEX(次果筐明细!$D$4:$D$603,$Z611-5200)),"")))))</f>
        <v/>
      </c>
      <c r="G611" s="24" t="str">
        <f>IF($Z611="","",IF($Z611&lt;=2000,IF(INDEX(包装物料出入库明细!$F$4:$F$2003,$Z611-0)=0,"",INDEX(包装物料出入库明细!$F$4:$F$2003,$Z611-0)),IF($Z611&lt;=4000,"",IF($Z611&lt;=5200,"",IF($Z611&lt;=5800,"","")))))</f>
        <v/>
      </c>
      <c r="H611" s="39" t="str">
        <f>IF($Z611="","",IF($Z611&lt;=2000,IF(INDEX(包装物料出入库明细!$L$4:$L$2003,$Z611-0)=0,"",INDEX(包装物料出入库明细!$L$4:$L$2003,$Z611-0)),IF($Z611&lt;=4000,N(INDEX(周转筐出入库明细!$H$4:$H$2004,$Z611-2000))+N(INDEX(周转筐出入库明细!$I$4:$I$2004,$Z611-2000))+N(INDEX(周转筐出入库明细!$J$4:$J$2004,$Z611-2000))+N(INDEX(周转筐出入库明细!$K$4:$K$2004,$Z611-2000)),IF($Z611&lt;=5200,N(INDEX(客户自备加工筐明细!$F$4:$F$1203,$Z611-4000))+N(INDEX(客户自备加工筐明细!$G$4:$G$1203,$Z611-4000)),IF($Z611&lt;=5800,IF(INDEX(次果筐明细!$G$4:$G$603,$Z611-5200)=0,"",INDEX(次果筐明细!$G$4:$G$603,$Z611-5200)),"")))))</f>
        <v/>
      </c>
      <c r="I611" s="24" t="str">
        <f>IF($Z611="","",IF($Z611&lt;=2000,IF(INDEX(包装物料出入库明细!$G$4:$G$2003,$Z611-0)=0,"",INDEX(包装物料出入库明细!$G$4:$G$2003,$Z611-0)),IF($Z611&lt;=4000,"个",IF($Z611&lt;=5200,"个",IF($Z611&lt;=5800,"个","")))))</f>
        <v/>
      </c>
      <c r="J611" s="30" t="str">
        <f t="shared" si="28"/>
        <v/>
      </c>
      <c r="K611" s="30" t="str">
        <f>IF($Z611="","",IF($Z611&lt;=2000,IF(INDEX(包装物料出入库明细!$N$4:$N$2003,$Z611-0)=0,"",INDEX(包装物料出入库明细!$N$4:$N$2003,$Z611-0)),IF($Z611&lt;=4000,IF(INDEX(周转筐出入库明细!$P$4:$P$2004,$Z611-2000)=0,"",INDEX(周转筐出入库明细!$P$4:$P$2004,$Z611-2000)),IF($Z611&lt;=5200,"",IF($Z611&lt;=5800,N(INDEX(次果筐明细!$L$4:$L$603,$Z611-5200))+N(INDEX(次果筐明细!$J$4:$J$603,$Z611-5200)),"")))))</f>
        <v/>
      </c>
      <c r="L611" s="24" t="str">
        <f>IF($Z611="","",IF($Z611&lt;=2000,IF(INDEX(包装物料出入库明细!$P$4:$P$2003,$Z611-0)=0,"",INDEX(包装物料出入库明细!$P$4:$P$2003,$Z611-0)),IF($Z611&lt;=4000,IF(INDEX(周转筐出入库明细!$Q$4:$Q$2004,$Z611-2000)=0,"",INDEX(周转筐出入库明细!$Q$4:$Q$2004,$Z611-2000)),IF($Z611&lt;=5200,"",IF($Z611&lt;=5800,IF(INDEX(次果筐明细!$M$4:$M$603,$Z611-5200)=0,"",INDEX(次果筐明细!$M$4:$M$603,$Z611-5200)),"")))))</f>
        <v/>
      </c>
      <c r="M611" s="37" t="str">
        <f>IF($Z611="","",IF($Z611&lt;=2000,IF(INDEX(包装物料出入库明细!$R$4:$R$2003,$Z611-0)=0,"",INDEX(包装物料出入库明细!$R$4:$R$2003,$Z611-0)),IF($Z611&lt;=4000,IF(INDEX(周转筐出入库明细!$W$4:$W$2004,$Z611-2000)=0,"",INDEX(周转筐出入库明细!$W$4:$W$2004,$Z611-2000)),IF($Z611&lt;=5200,IF(INDEX(客户自备加工筐明细!$L$4:$L$1203,$Z611-4000)=0,"",INDEX(客户自备加工筐明细!$L$4:$L$1203,$Z611-4000)),IF($Z611&lt;=5800,IF(INDEX(次果筐明细!$P$4:$P$603,$Z611-5200)=0,"",INDEX(次果筐明细!$P$4:$P$603,$Z611-5200)),"")))))</f>
        <v/>
      </c>
      <c r="N611" s="16" t="str">
        <f>IF($Z611="","",IF($Z611&lt;=2000,"",IF($Z611&lt;=4000,IF(INDEX(周转筐出入库明细!$D$4:$D$2004,$Z611-2000)=0,"",INDEX(周转筐出入库明细!$D$4:$D$2004,$Z611-2000)),IF($Z611&lt;=5200,IF(INDEX(客户自备加工筐明细!$C$4:$C$1203,$Z611-4000)=0,"",INDEX(客户自备加工筐明细!$C$4:$C$1203,$Z611-4000)),IF($Z611&lt;=5800,IF(INDEX(次果筐明细!$D$4:$D$603,$Z611-5200)=0,"",INDEX(次果筐明细!$D$4:$D$603,$Z611-5200)),"")))))</f>
        <v/>
      </c>
      <c r="O611" s="40" t="str">
        <f>IF($Z611="","",IF($Z611&lt;=2000,"",IF($Z611&lt;=4000,IF(N(INDEX(周转筐出入库明细!$J$4:$J$2004,$Z611-2000))+N(INDEX(周转筐出入库明细!$K$4:$K$2004,$Z611-2000))=0,"",N(INDEX(周转筐出入库明细!$J$4:$J$2004,$Z611-2000))+N(INDEX(周转筐出入库明细!$K$4:$K$2004,$Z611-2000))),IF($Z611&lt;=5200,IF(N(INDEX(客户自备加工筐明细!$G$4:$G$1203,$Z611-4000))=0,"",N(INDEX(客户自备加工筐明细!$G$4:$G$1203,$Z611-4000))),IF($Z611&lt;=5800,IF(ISNUMBER(SEARCH("退",INDEX(次果筐明细!$F$4:$F$603,$Z611-5200)&amp;"")),"",IF(N(INDEX(次果筐明细!$G$4:$G$603,$Z611-5200))=0,"",N(INDEX(次果筐明细!$G$4:$G$603,$Z611-5200)))),"")))))</f>
        <v/>
      </c>
      <c r="P611" s="40" t="str">
        <f>IF($Z611="","",IF($Z611&lt;=2000,"",IF($Z611&lt;=4000,IF(N(INDEX(周转筐出入库明细!$I$4:$I$2004,$Z611-2000))=0,"",N(INDEX(周转筐出入库明细!$I$4:$I$2004,$Z611-2000))),IF($Z611&lt;=5200,"",IF($Z611&lt;=5800,IF(ISNUMBER(SEARCH("退",INDEX(次果筐明细!$F$4:$F$603,$Z611-5200)&amp;"")),IF(N(INDEX(次果筐明细!$G$4:$G$603,$Z611-5200))=0,"",N(INDEX(次果筐明细!$G$4:$G$603,$Z611-5200))),""),"")))))</f>
        <v/>
      </c>
      <c r="Q611" s="40" t="str">
        <f>IF($Z611="","",IF($Z611&lt;=2000,"",IF($Z611&lt;=4000,IF(N(INDEX(周转筐出入库明细!$H$4:$H$2004,$Z611-2000))=0,"",N(INDEX(周转筐出入库明细!$H$4:$H$2004,$Z611-2000))),IF($Z611&lt;=5200,IF(N(INDEX(客户自备加工筐明细!$F$4:$F$1203,$Z611-4000))=0,"",N(INDEX(客户自备加工筐明细!$F$4:$F$1203,$Z611-4000))),IF($Z611&lt;=5800,"","")))))</f>
        <v/>
      </c>
      <c r="R611" s="16" t="str">
        <f>IF($Z611="","",IF($Z611&lt;=2000,IF(INDEX(包装物料出入库明细!$O$4:$O$2003,$Z611-0)=0,"",INDEX(包装物料出入库明细!$O$4:$O$2003,$Z611-0)),IF($Z611&lt;=4000,IF(INDEX(周转筐出入库明细!$M$4:$M$2004,$Z611-2000)=0,"",INDEX(周转筐出入库明细!$M$4:$M$2004,$Z611-2000)),IF($Z611&lt;=5200,IF(INDEX(客户自备加工筐明细!$H$4:$H$1203,$Z611-4000)=0,"",INDEX(客户自备加工筐明细!$H$4:$H$1203,$Z611-4000)),IF($Z611&lt;=5800,IF(INDEX(次果筐明细!$H$4:$H$603,$Z611-5200)=0,"",INDEX(次果筐明细!$H$4:$H$603,$Z611-5200)),"")))))</f>
        <v/>
      </c>
      <c r="S611" s="22" t="str">
        <f t="shared" si="29"/>
        <v/>
      </c>
      <c r="Z611" s="10" t="str">
        <f>IFERROR(MATCH(ROW()-3,_自动清单!$CQ$4:$CQ$5803,0),"")</f>
        <v/>
      </c>
    </row>
    <row r="612" spans="1:26">
      <c r="A612" s="24" t="str">
        <f t="shared" si="27"/>
        <v/>
      </c>
      <c r="B612" s="38" t="str">
        <f>IF($Z612="","",IF($Z612&lt;=2000,IF(INDEX(包装物料出入库明细!$B$4:$B$2003,$Z612-0)=0,"",INDEX(包装物料出入库明细!$B$4:$B$2003,$Z612-0)),IF($Z612&lt;=4000,IF(INDEX(周转筐出入库明细!$B$4:$B$2004,$Z612-2000)=0,"",INDEX(周转筐出入库明细!$B$4:$B$2004,$Z612-2000)),IF($Z612&lt;=5200,IF(INDEX(客户自备加工筐明细!$B$4:$B$1203,$Z612-4000)=0,"",INDEX(客户自备加工筐明细!$B$4:$B$1203,$Z612-4000)),IF($Z612&lt;=5800,IF(INDEX(次果筐明细!$B$4:$B$603,$Z612-5200)=0,"",INDEX(次果筐明细!$B$4:$B$603,$Z612-5200)),"")))))</f>
        <v/>
      </c>
      <c r="C612" s="37" t="str">
        <f>IF($Z612="","",IF($Z612&lt;=2000,IF(INDEX(包装物料出入库明细!$D$4:$D$2003,$Z612-0)=0,"",INDEX(包装物料出入库明细!$D$4:$D$2003,$Z612-0)),IF($Z612&lt;=4000,IF(INDEX(周转筐出入库明细!$C$4:$C$2004,$Z612-2000)=0,"",INDEX(周转筐出入库明细!$C$4:$C$2004,$Z612-2000)),IF($Z612&lt;=5200,IF(INDEX(客户自备加工筐明细!$E$4:$E$1203,$Z612-4000)=0,"",INDEX(客户自备加工筐明细!$E$4:$E$1203,$Z612-4000)),IF($Z612&lt;=5800,IF(INDEX(次果筐明细!$C$4:$C$603,$Z612-5200)=0,"",INDEX(次果筐明细!$C$4:$C$603,$Z612-5200)),"")))))</f>
        <v/>
      </c>
      <c r="D612" s="37" t="str">
        <f>IF($Z612="","",IF($Z612&lt;=2000,"包装物料－"&amp;INDEX(包装物料出入库明细!$H$4:$H$2003,$Z612-0),IF($Z612&lt;=4000,"周转筐－"&amp;INDEX(周转筐出入库明细!$F$4:$F$2004,$Z612-2000),IF($Z612&lt;=5200,"客户自备筐－"&amp;INDEX(客户自备加工筐明细!$J$4:$J$1203,$Z612-4000),IF($Z612&lt;=5800,"次果筐/托盘－"&amp;INDEX(次果筐明细!$F$4:$F$603,$Z612-5200),"")))))</f>
        <v/>
      </c>
      <c r="E612" s="24" t="str">
        <f>IF($Z612="","",IF($Z612&lt;=2000,IF(INDEX(包装物料出入库明细!$C$4:$C$2003,$Z612-0)=0,"",INDEX(包装物料出入库明细!$C$4:$C$2003,$Z612-0)),IF($Z612&lt;=4000,IF(INDEX(周转筐出入库明细!$E$4:$E$2004,$Z612-2000)=0,"",INDEX(周转筐出入库明细!$E$4:$E$2004,$Z612-2000)),IF($Z612&lt;=5200,IF(INDEX(客户自备加工筐明细!$D$4:$D$1203,$Z612-4000)=0,"",INDEX(客户自备加工筐明细!$D$4:$D$1203,$Z612-4000)),IF($Z612&lt;=5800,IF(INDEX(次果筐明细!$E$4:$E$603,$Z612-5200)=0,"",INDEX(次果筐明细!$E$4:$E$603,$Z612-5200)),"")))))</f>
        <v/>
      </c>
      <c r="F612" s="24" t="str">
        <f>IF($Z612="","",IF($Z612&lt;=2000,IF(INDEX(包装物料出入库明细!$E$4:$E$2003,$Z612-0)=0,"",INDEX(包装物料出入库明细!$E$4:$E$2003,$Z612-0)),IF($Z612&lt;=4000,IF(INDEX(周转筐出入库明细!$D$4:$D$2004,$Z612-2000)=0,"",INDEX(周转筐出入库明细!$D$4:$D$2004,$Z612-2000)),IF($Z612&lt;=5200,IF(INDEX(客户自备加工筐明细!$C$4:$C$1203,$Z612-4000)=0,"",INDEX(客户自备加工筐明细!$C$4:$C$1203,$Z612-4000)),IF($Z612&lt;=5800,IF(INDEX(次果筐明细!$D$4:$D$603,$Z612-5200)=0,"",INDEX(次果筐明细!$D$4:$D$603,$Z612-5200)),"")))))</f>
        <v/>
      </c>
      <c r="G612" s="24" t="str">
        <f>IF($Z612="","",IF($Z612&lt;=2000,IF(INDEX(包装物料出入库明细!$F$4:$F$2003,$Z612-0)=0,"",INDEX(包装物料出入库明细!$F$4:$F$2003,$Z612-0)),IF($Z612&lt;=4000,"",IF($Z612&lt;=5200,"",IF($Z612&lt;=5800,"","")))))</f>
        <v/>
      </c>
      <c r="H612" s="39" t="str">
        <f>IF($Z612="","",IF($Z612&lt;=2000,IF(INDEX(包装物料出入库明细!$L$4:$L$2003,$Z612-0)=0,"",INDEX(包装物料出入库明细!$L$4:$L$2003,$Z612-0)),IF($Z612&lt;=4000,N(INDEX(周转筐出入库明细!$H$4:$H$2004,$Z612-2000))+N(INDEX(周转筐出入库明细!$I$4:$I$2004,$Z612-2000))+N(INDEX(周转筐出入库明细!$J$4:$J$2004,$Z612-2000))+N(INDEX(周转筐出入库明细!$K$4:$K$2004,$Z612-2000)),IF($Z612&lt;=5200,N(INDEX(客户自备加工筐明细!$F$4:$F$1203,$Z612-4000))+N(INDEX(客户自备加工筐明细!$G$4:$G$1203,$Z612-4000)),IF($Z612&lt;=5800,IF(INDEX(次果筐明细!$G$4:$G$603,$Z612-5200)=0,"",INDEX(次果筐明细!$G$4:$G$603,$Z612-5200)),"")))))</f>
        <v/>
      </c>
      <c r="I612" s="24" t="str">
        <f>IF($Z612="","",IF($Z612&lt;=2000,IF(INDEX(包装物料出入库明细!$G$4:$G$2003,$Z612-0)=0,"",INDEX(包装物料出入库明细!$G$4:$G$2003,$Z612-0)),IF($Z612&lt;=4000,"个",IF($Z612&lt;=5200,"个",IF($Z612&lt;=5800,"个","")))))</f>
        <v/>
      </c>
      <c r="J612" s="30" t="str">
        <f t="shared" si="28"/>
        <v/>
      </c>
      <c r="K612" s="30" t="str">
        <f>IF($Z612="","",IF($Z612&lt;=2000,IF(INDEX(包装物料出入库明细!$N$4:$N$2003,$Z612-0)=0,"",INDEX(包装物料出入库明细!$N$4:$N$2003,$Z612-0)),IF($Z612&lt;=4000,IF(INDEX(周转筐出入库明细!$P$4:$P$2004,$Z612-2000)=0,"",INDEX(周转筐出入库明细!$P$4:$P$2004,$Z612-2000)),IF($Z612&lt;=5200,"",IF($Z612&lt;=5800,N(INDEX(次果筐明细!$L$4:$L$603,$Z612-5200))+N(INDEX(次果筐明细!$J$4:$J$603,$Z612-5200)),"")))))</f>
        <v/>
      </c>
      <c r="L612" s="24" t="str">
        <f>IF($Z612="","",IF($Z612&lt;=2000,IF(INDEX(包装物料出入库明细!$P$4:$P$2003,$Z612-0)=0,"",INDEX(包装物料出入库明细!$P$4:$P$2003,$Z612-0)),IF($Z612&lt;=4000,IF(INDEX(周转筐出入库明细!$Q$4:$Q$2004,$Z612-2000)=0,"",INDEX(周转筐出入库明细!$Q$4:$Q$2004,$Z612-2000)),IF($Z612&lt;=5200,"",IF($Z612&lt;=5800,IF(INDEX(次果筐明细!$M$4:$M$603,$Z612-5200)=0,"",INDEX(次果筐明细!$M$4:$M$603,$Z612-5200)),"")))))</f>
        <v/>
      </c>
      <c r="M612" s="37" t="str">
        <f>IF($Z612="","",IF($Z612&lt;=2000,IF(INDEX(包装物料出入库明细!$R$4:$R$2003,$Z612-0)=0,"",INDEX(包装物料出入库明细!$R$4:$R$2003,$Z612-0)),IF($Z612&lt;=4000,IF(INDEX(周转筐出入库明细!$W$4:$W$2004,$Z612-2000)=0,"",INDEX(周转筐出入库明细!$W$4:$W$2004,$Z612-2000)),IF($Z612&lt;=5200,IF(INDEX(客户自备加工筐明细!$L$4:$L$1203,$Z612-4000)=0,"",INDEX(客户自备加工筐明细!$L$4:$L$1203,$Z612-4000)),IF($Z612&lt;=5800,IF(INDEX(次果筐明细!$P$4:$P$603,$Z612-5200)=0,"",INDEX(次果筐明细!$P$4:$P$603,$Z612-5200)),"")))))</f>
        <v/>
      </c>
      <c r="N612" s="16" t="str">
        <f>IF($Z612="","",IF($Z612&lt;=2000,"",IF($Z612&lt;=4000,IF(INDEX(周转筐出入库明细!$D$4:$D$2004,$Z612-2000)=0,"",INDEX(周转筐出入库明细!$D$4:$D$2004,$Z612-2000)),IF($Z612&lt;=5200,IF(INDEX(客户自备加工筐明细!$C$4:$C$1203,$Z612-4000)=0,"",INDEX(客户自备加工筐明细!$C$4:$C$1203,$Z612-4000)),IF($Z612&lt;=5800,IF(INDEX(次果筐明细!$D$4:$D$603,$Z612-5200)=0,"",INDEX(次果筐明细!$D$4:$D$603,$Z612-5200)),"")))))</f>
        <v/>
      </c>
      <c r="O612" s="40" t="str">
        <f>IF($Z612="","",IF($Z612&lt;=2000,"",IF($Z612&lt;=4000,IF(N(INDEX(周转筐出入库明细!$J$4:$J$2004,$Z612-2000))+N(INDEX(周转筐出入库明细!$K$4:$K$2004,$Z612-2000))=0,"",N(INDEX(周转筐出入库明细!$J$4:$J$2004,$Z612-2000))+N(INDEX(周转筐出入库明细!$K$4:$K$2004,$Z612-2000))),IF($Z612&lt;=5200,IF(N(INDEX(客户自备加工筐明细!$G$4:$G$1203,$Z612-4000))=0,"",N(INDEX(客户自备加工筐明细!$G$4:$G$1203,$Z612-4000))),IF($Z612&lt;=5800,IF(ISNUMBER(SEARCH("退",INDEX(次果筐明细!$F$4:$F$603,$Z612-5200)&amp;"")),"",IF(N(INDEX(次果筐明细!$G$4:$G$603,$Z612-5200))=0,"",N(INDEX(次果筐明细!$G$4:$G$603,$Z612-5200)))),"")))))</f>
        <v/>
      </c>
      <c r="P612" s="40" t="str">
        <f>IF($Z612="","",IF($Z612&lt;=2000,"",IF($Z612&lt;=4000,IF(N(INDEX(周转筐出入库明细!$I$4:$I$2004,$Z612-2000))=0,"",N(INDEX(周转筐出入库明细!$I$4:$I$2004,$Z612-2000))),IF($Z612&lt;=5200,"",IF($Z612&lt;=5800,IF(ISNUMBER(SEARCH("退",INDEX(次果筐明细!$F$4:$F$603,$Z612-5200)&amp;"")),IF(N(INDEX(次果筐明细!$G$4:$G$603,$Z612-5200))=0,"",N(INDEX(次果筐明细!$G$4:$G$603,$Z612-5200))),""),"")))))</f>
        <v/>
      </c>
      <c r="Q612" s="40" t="str">
        <f>IF($Z612="","",IF($Z612&lt;=2000,"",IF($Z612&lt;=4000,IF(N(INDEX(周转筐出入库明细!$H$4:$H$2004,$Z612-2000))=0,"",N(INDEX(周转筐出入库明细!$H$4:$H$2004,$Z612-2000))),IF($Z612&lt;=5200,IF(N(INDEX(客户自备加工筐明细!$F$4:$F$1203,$Z612-4000))=0,"",N(INDEX(客户自备加工筐明细!$F$4:$F$1203,$Z612-4000))),IF($Z612&lt;=5800,"","")))))</f>
        <v/>
      </c>
      <c r="R612" s="16" t="str">
        <f>IF($Z612="","",IF($Z612&lt;=2000,IF(INDEX(包装物料出入库明细!$O$4:$O$2003,$Z612-0)=0,"",INDEX(包装物料出入库明细!$O$4:$O$2003,$Z612-0)),IF($Z612&lt;=4000,IF(INDEX(周转筐出入库明细!$M$4:$M$2004,$Z612-2000)=0,"",INDEX(周转筐出入库明细!$M$4:$M$2004,$Z612-2000)),IF($Z612&lt;=5200,IF(INDEX(客户自备加工筐明细!$H$4:$H$1203,$Z612-4000)=0,"",INDEX(客户自备加工筐明细!$H$4:$H$1203,$Z612-4000)),IF($Z612&lt;=5800,IF(INDEX(次果筐明细!$H$4:$H$603,$Z612-5200)=0,"",INDEX(次果筐明细!$H$4:$H$603,$Z612-5200)),"")))))</f>
        <v/>
      </c>
      <c r="S612" s="22" t="str">
        <f t="shared" si="29"/>
        <v/>
      </c>
      <c r="Z612" s="10" t="str">
        <f>IFERROR(MATCH(ROW()-3,_自动清单!$CQ$4:$CQ$5803,0),"")</f>
        <v/>
      </c>
    </row>
    <row r="613" spans="1:26">
      <c r="A613" s="24" t="str">
        <f t="shared" si="27"/>
        <v/>
      </c>
      <c r="B613" s="38" t="str">
        <f>IF($Z613="","",IF($Z613&lt;=2000,IF(INDEX(包装物料出入库明细!$B$4:$B$2003,$Z613-0)=0,"",INDEX(包装物料出入库明细!$B$4:$B$2003,$Z613-0)),IF($Z613&lt;=4000,IF(INDEX(周转筐出入库明细!$B$4:$B$2004,$Z613-2000)=0,"",INDEX(周转筐出入库明细!$B$4:$B$2004,$Z613-2000)),IF($Z613&lt;=5200,IF(INDEX(客户自备加工筐明细!$B$4:$B$1203,$Z613-4000)=0,"",INDEX(客户自备加工筐明细!$B$4:$B$1203,$Z613-4000)),IF($Z613&lt;=5800,IF(INDEX(次果筐明细!$B$4:$B$603,$Z613-5200)=0,"",INDEX(次果筐明细!$B$4:$B$603,$Z613-5200)),"")))))</f>
        <v/>
      </c>
      <c r="C613" s="37" t="str">
        <f>IF($Z613="","",IF($Z613&lt;=2000,IF(INDEX(包装物料出入库明细!$D$4:$D$2003,$Z613-0)=0,"",INDEX(包装物料出入库明细!$D$4:$D$2003,$Z613-0)),IF($Z613&lt;=4000,IF(INDEX(周转筐出入库明细!$C$4:$C$2004,$Z613-2000)=0,"",INDEX(周转筐出入库明细!$C$4:$C$2004,$Z613-2000)),IF($Z613&lt;=5200,IF(INDEX(客户自备加工筐明细!$E$4:$E$1203,$Z613-4000)=0,"",INDEX(客户自备加工筐明细!$E$4:$E$1203,$Z613-4000)),IF($Z613&lt;=5800,IF(INDEX(次果筐明细!$C$4:$C$603,$Z613-5200)=0,"",INDEX(次果筐明细!$C$4:$C$603,$Z613-5200)),"")))))</f>
        <v/>
      </c>
      <c r="D613" s="37" t="str">
        <f>IF($Z613="","",IF($Z613&lt;=2000,"包装物料－"&amp;INDEX(包装物料出入库明细!$H$4:$H$2003,$Z613-0),IF($Z613&lt;=4000,"周转筐－"&amp;INDEX(周转筐出入库明细!$F$4:$F$2004,$Z613-2000),IF($Z613&lt;=5200,"客户自备筐－"&amp;INDEX(客户自备加工筐明细!$J$4:$J$1203,$Z613-4000),IF($Z613&lt;=5800,"次果筐/托盘－"&amp;INDEX(次果筐明细!$F$4:$F$603,$Z613-5200),"")))))</f>
        <v/>
      </c>
      <c r="E613" s="24" t="str">
        <f>IF($Z613="","",IF($Z613&lt;=2000,IF(INDEX(包装物料出入库明细!$C$4:$C$2003,$Z613-0)=0,"",INDEX(包装物料出入库明细!$C$4:$C$2003,$Z613-0)),IF($Z613&lt;=4000,IF(INDEX(周转筐出入库明细!$E$4:$E$2004,$Z613-2000)=0,"",INDEX(周转筐出入库明细!$E$4:$E$2004,$Z613-2000)),IF($Z613&lt;=5200,IF(INDEX(客户自备加工筐明细!$D$4:$D$1203,$Z613-4000)=0,"",INDEX(客户自备加工筐明细!$D$4:$D$1203,$Z613-4000)),IF($Z613&lt;=5800,IF(INDEX(次果筐明细!$E$4:$E$603,$Z613-5200)=0,"",INDEX(次果筐明细!$E$4:$E$603,$Z613-5200)),"")))))</f>
        <v/>
      </c>
      <c r="F613" s="24" t="str">
        <f>IF($Z613="","",IF($Z613&lt;=2000,IF(INDEX(包装物料出入库明细!$E$4:$E$2003,$Z613-0)=0,"",INDEX(包装物料出入库明细!$E$4:$E$2003,$Z613-0)),IF($Z613&lt;=4000,IF(INDEX(周转筐出入库明细!$D$4:$D$2004,$Z613-2000)=0,"",INDEX(周转筐出入库明细!$D$4:$D$2004,$Z613-2000)),IF($Z613&lt;=5200,IF(INDEX(客户自备加工筐明细!$C$4:$C$1203,$Z613-4000)=0,"",INDEX(客户自备加工筐明细!$C$4:$C$1203,$Z613-4000)),IF($Z613&lt;=5800,IF(INDEX(次果筐明细!$D$4:$D$603,$Z613-5200)=0,"",INDEX(次果筐明细!$D$4:$D$603,$Z613-5200)),"")))))</f>
        <v/>
      </c>
      <c r="G613" s="24" t="str">
        <f>IF($Z613="","",IF($Z613&lt;=2000,IF(INDEX(包装物料出入库明细!$F$4:$F$2003,$Z613-0)=0,"",INDEX(包装物料出入库明细!$F$4:$F$2003,$Z613-0)),IF($Z613&lt;=4000,"",IF($Z613&lt;=5200,"",IF($Z613&lt;=5800,"","")))))</f>
        <v/>
      </c>
      <c r="H613" s="39" t="str">
        <f>IF($Z613="","",IF($Z613&lt;=2000,IF(INDEX(包装物料出入库明细!$L$4:$L$2003,$Z613-0)=0,"",INDEX(包装物料出入库明细!$L$4:$L$2003,$Z613-0)),IF($Z613&lt;=4000,N(INDEX(周转筐出入库明细!$H$4:$H$2004,$Z613-2000))+N(INDEX(周转筐出入库明细!$I$4:$I$2004,$Z613-2000))+N(INDEX(周转筐出入库明细!$J$4:$J$2004,$Z613-2000))+N(INDEX(周转筐出入库明细!$K$4:$K$2004,$Z613-2000)),IF($Z613&lt;=5200,N(INDEX(客户自备加工筐明细!$F$4:$F$1203,$Z613-4000))+N(INDEX(客户自备加工筐明细!$G$4:$G$1203,$Z613-4000)),IF($Z613&lt;=5800,IF(INDEX(次果筐明细!$G$4:$G$603,$Z613-5200)=0,"",INDEX(次果筐明细!$G$4:$G$603,$Z613-5200)),"")))))</f>
        <v/>
      </c>
      <c r="I613" s="24" t="str">
        <f>IF($Z613="","",IF($Z613&lt;=2000,IF(INDEX(包装物料出入库明细!$G$4:$G$2003,$Z613-0)=0,"",INDEX(包装物料出入库明细!$G$4:$G$2003,$Z613-0)),IF($Z613&lt;=4000,"个",IF($Z613&lt;=5200,"个",IF($Z613&lt;=5800,"个","")))))</f>
        <v/>
      </c>
      <c r="J613" s="30" t="str">
        <f t="shared" si="28"/>
        <v/>
      </c>
      <c r="K613" s="30" t="str">
        <f>IF($Z613="","",IF($Z613&lt;=2000,IF(INDEX(包装物料出入库明细!$N$4:$N$2003,$Z613-0)=0,"",INDEX(包装物料出入库明细!$N$4:$N$2003,$Z613-0)),IF($Z613&lt;=4000,IF(INDEX(周转筐出入库明细!$P$4:$P$2004,$Z613-2000)=0,"",INDEX(周转筐出入库明细!$P$4:$P$2004,$Z613-2000)),IF($Z613&lt;=5200,"",IF($Z613&lt;=5800,N(INDEX(次果筐明细!$L$4:$L$603,$Z613-5200))+N(INDEX(次果筐明细!$J$4:$J$603,$Z613-5200)),"")))))</f>
        <v/>
      </c>
      <c r="L613" s="24" t="str">
        <f>IF($Z613="","",IF($Z613&lt;=2000,IF(INDEX(包装物料出入库明细!$P$4:$P$2003,$Z613-0)=0,"",INDEX(包装物料出入库明细!$P$4:$P$2003,$Z613-0)),IF($Z613&lt;=4000,IF(INDEX(周转筐出入库明细!$Q$4:$Q$2004,$Z613-2000)=0,"",INDEX(周转筐出入库明细!$Q$4:$Q$2004,$Z613-2000)),IF($Z613&lt;=5200,"",IF($Z613&lt;=5800,IF(INDEX(次果筐明细!$M$4:$M$603,$Z613-5200)=0,"",INDEX(次果筐明细!$M$4:$M$603,$Z613-5200)),"")))))</f>
        <v/>
      </c>
      <c r="M613" s="37" t="str">
        <f>IF($Z613="","",IF($Z613&lt;=2000,IF(INDEX(包装物料出入库明细!$R$4:$R$2003,$Z613-0)=0,"",INDEX(包装物料出入库明细!$R$4:$R$2003,$Z613-0)),IF($Z613&lt;=4000,IF(INDEX(周转筐出入库明细!$W$4:$W$2004,$Z613-2000)=0,"",INDEX(周转筐出入库明细!$W$4:$W$2004,$Z613-2000)),IF($Z613&lt;=5200,IF(INDEX(客户自备加工筐明细!$L$4:$L$1203,$Z613-4000)=0,"",INDEX(客户自备加工筐明细!$L$4:$L$1203,$Z613-4000)),IF($Z613&lt;=5800,IF(INDEX(次果筐明细!$P$4:$P$603,$Z613-5200)=0,"",INDEX(次果筐明细!$P$4:$P$603,$Z613-5200)),"")))))</f>
        <v/>
      </c>
      <c r="N613" s="16" t="str">
        <f>IF($Z613="","",IF($Z613&lt;=2000,"",IF($Z613&lt;=4000,IF(INDEX(周转筐出入库明细!$D$4:$D$2004,$Z613-2000)=0,"",INDEX(周转筐出入库明细!$D$4:$D$2004,$Z613-2000)),IF($Z613&lt;=5200,IF(INDEX(客户自备加工筐明细!$C$4:$C$1203,$Z613-4000)=0,"",INDEX(客户自备加工筐明细!$C$4:$C$1203,$Z613-4000)),IF($Z613&lt;=5800,IF(INDEX(次果筐明细!$D$4:$D$603,$Z613-5200)=0,"",INDEX(次果筐明细!$D$4:$D$603,$Z613-5200)),"")))))</f>
        <v/>
      </c>
      <c r="O613" s="40" t="str">
        <f>IF($Z613="","",IF($Z613&lt;=2000,"",IF($Z613&lt;=4000,IF(N(INDEX(周转筐出入库明细!$J$4:$J$2004,$Z613-2000))+N(INDEX(周转筐出入库明细!$K$4:$K$2004,$Z613-2000))=0,"",N(INDEX(周转筐出入库明细!$J$4:$J$2004,$Z613-2000))+N(INDEX(周转筐出入库明细!$K$4:$K$2004,$Z613-2000))),IF($Z613&lt;=5200,IF(N(INDEX(客户自备加工筐明细!$G$4:$G$1203,$Z613-4000))=0,"",N(INDEX(客户自备加工筐明细!$G$4:$G$1203,$Z613-4000))),IF($Z613&lt;=5800,IF(ISNUMBER(SEARCH("退",INDEX(次果筐明细!$F$4:$F$603,$Z613-5200)&amp;"")),"",IF(N(INDEX(次果筐明细!$G$4:$G$603,$Z613-5200))=0,"",N(INDEX(次果筐明细!$G$4:$G$603,$Z613-5200)))),"")))))</f>
        <v/>
      </c>
      <c r="P613" s="40" t="str">
        <f>IF($Z613="","",IF($Z613&lt;=2000,"",IF($Z613&lt;=4000,IF(N(INDEX(周转筐出入库明细!$I$4:$I$2004,$Z613-2000))=0,"",N(INDEX(周转筐出入库明细!$I$4:$I$2004,$Z613-2000))),IF($Z613&lt;=5200,"",IF($Z613&lt;=5800,IF(ISNUMBER(SEARCH("退",INDEX(次果筐明细!$F$4:$F$603,$Z613-5200)&amp;"")),IF(N(INDEX(次果筐明细!$G$4:$G$603,$Z613-5200))=0,"",N(INDEX(次果筐明细!$G$4:$G$603,$Z613-5200))),""),"")))))</f>
        <v/>
      </c>
      <c r="Q613" s="40" t="str">
        <f>IF($Z613="","",IF($Z613&lt;=2000,"",IF($Z613&lt;=4000,IF(N(INDEX(周转筐出入库明细!$H$4:$H$2004,$Z613-2000))=0,"",N(INDEX(周转筐出入库明细!$H$4:$H$2004,$Z613-2000))),IF($Z613&lt;=5200,IF(N(INDEX(客户自备加工筐明细!$F$4:$F$1203,$Z613-4000))=0,"",N(INDEX(客户自备加工筐明细!$F$4:$F$1203,$Z613-4000))),IF($Z613&lt;=5800,"","")))))</f>
        <v/>
      </c>
      <c r="R613" s="16" t="str">
        <f>IF($Z613="","",IF($Z613&lt;=2000,IF(INDEX(包装物料出入库明细!$O$4:$O$2003,$Z613-0)=0,"",INDEX(包装物料出入库明细!$O$4:$O$2003,$Z613-0)),IF($Z613&lt;=4000,IF(INDEX(周转筐出入库明细!$M$4:$M$2004,$Z613-2000)=0,"",INDEX(周转筐出入库明细!$M$4:$M$2004,$Z613-2000)),IF($Z613&lt;=5200,IF(INDEX(客户自备加工筐明细!$H$4:$H$1203,$Z613-4000)=0,"",INDEX(客户自备加工筐明细!$H$4:$H$1203,$Z613-4000)),IF($Z613&lt;=5800,IF(INDEX(次果筐明细!$H$4:$H$603,$Z613-5200)=0,"",INDEX(次果筐明细!$H$4:$H$603,$Z613-5200)),"")))))</f>
        <v/>
      </c>
      <c r="S613" s="22" t="str">
        <f t="shared" si="29"/>
        <v/>
      </c>
      <c r="Z613" s="10" t="str">
        <f>IFERROR(MATCH(ROW()-3,_自动清单!$CQ$4:$CQ$5803,0),"")</f>
        <v/>
      </c>
    </row>
    <row r="614" spans="1:26">
      <c r="A614" s="24" t="str">
        <f t="shared" si="27"/>
        <v/>
      </c>
      <c r="B614" s="38" t="str">
        <f>IF($Z614="","",IF($Z614&lt;=2000,IF(INDEX(包装物料出入库明细!$B$4:$B$2003,$Z614-0)=0,"",INDEX(包装物料出入库明细!$B$4:$B$2003,$Z614-0)),IF($Z614&lt;=4000,IF(INDEX(周转筐出入库明细!$B$4:$B$2004,$Z614-2000)=0,"",INDEX(周转筐出入库明细!$B$4:$B$2004,$Z614-2000)),IF($Z614&lt;=5200,IF(INDEX(客户自备加工筐明细!$B$4:$B$1203,$Z614-4000)=0,"",INDEX(客户自备加工筐明细!$B$4:$B$1203,$Z614-4000)),IF($Z614&lt;=5800,IF(INDEX(次果筐明细!$B$4:$B$603,$Z614-5200)=0,"",INDEX(次果筐明细!$B$4:$B$603,$Z614-5200)),"")))))</f>
        <v/>
      </c>
      <c r="C614" s="37" t="str">
        <f>IF($Z614="","",IF($Z614&lt;=2000,IF(INDEX(包装物料出入库明细!$D$4:$D$2003,$Z614-0)=0,"",INDEX(包装物料出入库明细!$D$4:$D$2003,$Z614-0)),IF($Z614&lt;=4000,IF(INDEX(周转筐出入库明细!$C$4:$C$2004,$Z614-2000)=0,"",INDEX(周转筐出入库明细!$C$4:$C$2004,$Z614-2000)),IF($Z614&lt;=5200,IF(INDEX(客户自备加工筐明细!$E$4:$E$1203,$Z614-4000)=0,"",INDEX(客户自备加工筐明细!$E$4:$E$1203,$Z614-4000)),IF($Z614&lt;=5800,IF(INDEX(次果筐明细!$C$4:$C$603,$Z614-5200)=0,"",INDEX(次果筐明细!$C$4:$C$603,$Z614-5200)),"")))))</f>
        <v/>
      </c>
      <c r="D614" s="37" t="str">
        <f>IF($Z614="","",IF($Z614&lt;=2000,"包装物料－"&amp;INDEX(包装物料出入库明细!$H$4:$H$2003,$Z614-0),IF($Z614&lt;=4000,"周转筐－"&amp;INDEX(周转筐出入库明细!$F$4:$F$2004,$Z614-2000),IF($Z614&lt;=5200,"客户自备筐－"&amp;INDEX(客户自备加工筐明细!$J$4:$J$1203,$Z614-4000),IF($Z614&lt;=5800,"次果筐/托盘－"&amp;INDEX(次果筐明细!$F$4:$F$603,$Z614-5200),"")))))</f>
        <v/>
      </c>
      <c r="E614" s="24" t="str">
        <f>IF($Z614="","",IF($Z614&lt;=2000,IF(INDEX(包装物料出入库明细!$C$4:$C$2003,$Z614-0)=0,"",INDEX(包装物料出入库明细!$C$4:$C$2003,$Z614-0)),IF($Z614&lt;=4000,IF(INDEX(周转筐出入库明细!$E$4:$E$2004,$Z614-2000)=0,"",INDEX(周转筐出入库明细!$E$4:$E$2004,$Z614-2000)),IF($Z614&lt;=5200,IF(INDEX(客户自备加工筐明细!$D$4:$D$1203,$Z614-4000)=0,"",INDEX(客户自备加工筐明细!$D$4:$D$1203,$Z614-4000)),IF($Z614&lt;=5800,IF(INDEX(次果筐明细!$E$4:$E$603,$Z614-5200)=0,"",INDEX(次果筐明细!$E$4:$E$603,$Z614-5200)),"")))))</f>
        <v/>
      </c>
      <c r="F614" s="24" t="str">
        <f>IF($Z614="","",IF($Z614&lt;=2000,IF(INDEX(包装物料出入库明细!$E$4:$E$2003,$Z614-0)=0,"",INDEX(包装物料出入库明细!$E$4:$E$2003,$Z614-0)),IF($Z614&lt;=4000,IF(INDEX(周转筐出入库明细!$D$4:$D$2004,$Z614-2000)=0,"",INDEX(周转筐出入库明细!$D$4:$D$2004,$Z614-2000)),IF($Z614&lt;=5200,IF(INDEX(客户自备加工筐明细!$C$4:$C$1203,$Z614-4000)=0,"",INDEX(客户自备加工筐明细!$C$4:$C$1203,$Z614-4000)),IF($Z614&lt;=5800,IF(INDEX(次果筐明细!$D$4:$D$603,$Z614-5200)=0,"",INDEX(次果筐明细!$D$4:$D$603,$Z614-5200)),"")))))</f>
        <v/>
      </c>
      <c r="G614" s="24" t="str">
        <f>IF($Z614="","",IF($Z614&lt;=2000,IF(INDEX(包装物料出入库明细!$F$4:$F$2003,$Z614-0)=0,"",INDEX(包装物料出入库明细!$F$4:$F$2003,$Z614-0)),IF($Z614&lt;=4000,"",IF($Z614&lt;=5200,"",IF($Z614&lt;=5800,"","")))))</f>
        <v/>
      </c>
      <c r="H614" s="39" t="str">
        <f>IF($Z614="","",IF($Z614&lt;=2000,IF(INDEX(包装物料出入库明细!$L$4:$L$2003,$Z614-0)=0,"",INDEX(包装物料出入库明细!$L$4:$L$2003,$Z614-0)),IF($Z614&lt;=4000,N(INDEX(周转筐出入库明细!$H$4:$H$2004,$Z614-2000))+N(INDEX(周转筐出入库明细!$I$4:$I$2004,$Z614-2000))+N(INDEX(周转筐出入库明细!$J$4:$J$2004,$Z614-2000))+N(INDEX(周转筐出入库明细!$K$4:$K$2004,$Z614-2000)),IF($Z614&lt;=5200,N(INDEX(客户自备加工筐明细!$F$4:$F$1203,$Z614-4000))+N(INDEX(客户自备加工筐明细!$G$4:$G$1203,$Z614-4000)),IF($Z614&lt;=5800,IF(INDEX(次果筐明细!$G$4:$G$603,$Z614-5200)=0,"",INDEX(次果筐明细!$G$4:$G$603,$Z614-5200)),"")))))</f>
        <v/>
      </c>
      <c r="I614" s="24" t="str">
        <f>IF($Z614="","",IF($Z614&lt;=2000,IF(INDEX(包装物料出入库明细!$G$4:$G$2003,$Z614-0)=0,"",INDEX(包装物料出入库明细!$G$4:$G$2003,$Z614-0)),IF($Z614&lt;=4000,"个",IF($Z614&lt;=5200,"个",IF($Z614&lt;=5800,"个","")))))</f>
        <v/>
      </c>
      <c r="J614" s="30" t="str">
        <f t="shared" si="28"/>
        <v/>
      </c>
      <c r="K614" s="30" t="str">
        <f>IF($Z614="","",IF($Z614&lt;=2000,IF(INDEX(包装物料出入库明细!$N$4:$N$2003,$Z614-0)=0,"",INDEX(包装物料出入库明细!$N$4:$N$2003,$Z614-0)),IF($Z614&lt;=4000,IF(INDEX(周转筐出入库明细!$P$4:$P$2004,$Z614-2000)=0,"",INDEX(周转筐出入库明细!$P$4:$P$2004,$Z614-2000)),IF($Z614&lt;=5200,"",IF($Z614&lt;=5800,N(INDEX(次果筐明细!$L$4:$L$603,$Z614-5200))+N(INDEX(次果筐明细!$J$4:$J$603,$Z614-5200)),"")))))</f>
        <v/>
      </c>
      <c r="L614" s="24" t="str">
        <f>IF($Z614="","",IF($Z614&lt;=2000,IF(INDEX(包装物料出入库明细!$P$4:$P$2003,$Z614-0)=0,"",INDEX(包装物料出入库明细!$P$4:$P$2003,$Z614-0)),IF($Z614&lt;=4000,IF(INDEX(周转筐出入库明细!$Q$4:$Q$2004,$Z614-2000)=0,"",INDEX(周转筐出入库明细!$Q$4:$Q$2004,$Z614-2000)),IF($Z614&lt;=5200,"",IF($Z614&lt;=5800,IF(INDEX(次果筐明细!$M$4:$M$603,$Z614-5200)=0,"",INDEX(次果筐明细!$M$4:$M$603,$Z614-5200)),"")))))</f>
        <v/>
      </c>
      <c r="M614" s="37" t="str">
        <f>IF($Z614="","",IF($Z614&lt;=2000,IF(INDEX(包装物料出入库明细!$R$4:$R$2003,$Z614-0)=0,"",INDEX(包装物料出入库明细!$R$4:$R$2003,$Z614-0)),IF($Z614&lt;=4000,IF(INDEX(周转筐出入库明细!$W$4:$W$2004,$Z614-2000)=0,"",INDEX(周转筐出入库明细!$W$4:$W$2004,$Z614-2000)),IF($Z614&lt;=5200,IF(INDEX(客户自备加工筐明细!$L$4:$L$1203,$Z614-4000)=0,"",INDEX(客户自备加工筐明细!$L$4:$L$1203,$Z614-4000)),IF($Z614&lt;=5800,IF(INDEX(次果筐明细!$P$4:$P$603,$Z614-5200)=0,"",INDEX(次果筐明细!$P$4:$P$603,$Z614-5200)),"")))))</f>
        <v/>
      </c>
      <c r="N614" s="16" t="str">
        <f>IF($Z614="","",IF($Z614&lt;=2000,"",IF($Z614&lt;=4000,IF(INDEX(周转筐出入库明细!$D$4:$D$2004,$Z614-2000)=0,"",INDEX(周转筐出入库明细!$D$4:$D$2004,$Z614-2000)),IF($Z614&lt;=5200,IF(INDEX(客户自备加工筐明细!$C$4:$C$1203,$Z614-4000)=0,"",INDEX(客户自备加工筐明细!$C$4:$C$1203,$Z614-4000)),IF($Z614&lt;=5800,IF(INDEX(次果筐明细!$D$4:$D$603,$Z614-5200)=0,"",INDEX(次果筐明细!$D$4:$D$603,$Z614-5200)),"")))))</f>
        <v/>
      </c>
      <c r="O614" s="40" t="str">
        <f>IF($Z614="","",IF($Z614&lt;=2000,"",IF($Z614&lt;=4000,IF(N(INDEX(周转筐出入库明细!$J$4:$J$2004,$Z614-2000))+N(INDEX(周转筐出入库明细!$K$4:$K$2004,$Z614-2000))=0,"",N(INDEX(周转筐出入库明细!$J$4:$J$2004,$Z614-2000))+N(INDEX(周转筐出入库明细!$K$4:$K$2004,$Z614-2000))),IF($Z614&lt;=5200,IF(N(INDEX(客户自备加工筐明细!$G$4:$G$1203,$Z614-4000))=0,"",N(INDEX(客户自备加工筐明细!$G$4:$G$1203,$Z614-4000))),IF($Z614&lt;=5800,IF(ISNUMBER(SEARCH("退",INDEX(次果筐明细!$F$4:$F$603,$Z614-5200)&amp;"")),"",IF(N(INDEX(次果筐明细!$G$4:$G$603,$Z614-5200))=0,"",N(INDEX(次果筐明细!$G$4:$G$603,$Z614-5200)))),"")))))</f>
        <v/>
      </c>
      <c r="P614" s="40" t="str">
        <f>IF($Z614="","",IF($Z614&lt;=2000,"",IF($Z614&lt;=4000,IF(N(INDEX(周转筐出入库明细!$I$4:$I$2004,$Z614-2000))=0,"",N(INDEX(周转筐出入库明细!$I$4:$I$2004,$Z614-2000))),IF($Z614&lt;=5200,"",IF($Z614&lt;=5800,IF(ISNUMBER(SEARCH("退",INDEX(次果筐明细!$F$4:$F$603,$Z614-5200)&amp;"")),IF(N(INDEX(次果筐明细!$G$4:$G$603,$Z614-5200))=0,"",N(INDEX(次果筐明细!$G$4:$G$603,$Z614-5200))),""),"")))))</f>
        <v/>
      </c>
      <c r="Q614" s="40" t="str">
        <f>IF($Z614="","",IF($Z614&lt;=2000,"",IF($Z614&lt;=4000,IF(N(INDEX(周转筐出入库明细!$H$4:$H$2004,$Z614-2000))=0,"",N(INDEX(周转筐出入库明细!$H$4:$H$2004,$Z614-2000))),IF($Z614&lt;=5200,IF(N(INDEX(客户自备加工筐明细!$F$4:$F$1203,$Z614-4000))=0,"",N(INDEX(客户自备加工筐明细!$F$4:$F$1203,$Z614-4000))),IF($Z614&lt;=5800,"","")))))</f>
        <v/>
      </c>
      <c r="R614" s="16" t="str">
        <f>IF($Z614="","",IF($Z614&lt;=2000,IF(INDEX(包装物料出入库明细!$O$4:$O$2003,$Z614-0)=0,"",INDEX(包装物料出入库明细!$O$4:$O$2003,$Z614-0)),IF($Z614&lt;=4000,IF(INDEX(周转筐出入库明细!$M$4:$M$2004,$Z614-2000)=0,"",INDEX(周转筐出入库明细!$M$4:$M$2004,$Z614-2000)),IF($Z614&lt;=5200,IF(INDEX(客户自备加工筐明细!$H$4:$H$1203,$Z614-4000)=0,"",INDEX(客户自备加工筐明细!$H$4:$H$1203,$Z614-4000)),IF($Z614&lt;=5800,IF(INDEX(次果筐明细!$H$4:$H$603,$Z614-5200)=0,"",INDEX(次果筐明细!$H$4:$H$603,$Z614-5200)),"")))))</f>
        <v/>
      </c>
      <c r="S614" s="22" t="str">
        <f t="shared" si="29"/>
        <v/>
      </c>
      <c r="Z614" s="10" t="str">
        <f>IFERROR(MATCH(ROW()-3,_自动清单!$CQ$4:$CQ$5803,0),"")</f>
        <v/>
      </c>
    </row>
    <row r="615" spans="1:26">
      <c r="A615" s="24" t="str">
        <f t="shared" si="27"/>
        <v/>
      </c>
      <c r="B615" s="38" t="str">
        <f>IF($Z615="","",IF($Z615&lt;=2000,IF(INDEX(包装物料出入库明细!$B$4:$B$2003,$Z615-0)=0,"",INDEX(包装物料出入库明细!$B$4:$B$2003,$Z615-0)),IF($Z615&lt;=4000,IF(INDEX(周转筐出入库明细!$B$4:$B$2004,$Z615-2000)=0,"",INDEX(周转筐出入库明细!$B$4:$B$2004,$Z615-2000)),IF($Z615&lt;=5200,IF(INDEX(客户自备加工筐明细!$B$4:$B$1203,$Z615-4000)=0,"",INDEX(客户自备加工筐明细!$B$4:$B$1203,$Z615-4000)),IF($Z615&lt;=5800,IF(INDEX(次果筐明细!$B$4:$B$603,$Z615-5200)=0,"",INDEX(次果筐明细!$B$4:$B$603,$Z615-5200)),"")))))</f>
        <v/>
      </c>
      <c r="C615" s="37" t="str">
        <f>IF($Z615="","",IF($Z615&lt;=2000,IF(INDEX(包装物料出入库明细!$D$4:$D$2003,$Z615-0)=0,"",INDEX(包装物料出入库明细!$D$4:$D$2003,$Z615-0)),IF($Z615&lt;=4000,IF(INDEX(周转筐出入库明细!$C$4:$C$2004,$Z615-2000)=0,"",INDEX(周转筐出入库明细!$C$4:$C$2004,$Z615-2000)),IF($Z615&lt;=5200,IF(INDEX(客户自备加工筐明细!$E$4:$E$1203,$Z615-4000)=0,"",INDEX(客户自备加工筐明细!$E$4:$E$1203,$Z615-4000)),IF($Z615&lt;=5800,IF(INDEX(次果筐明细!$C$4:$C$603,$Z615-5200)=0,"",INDEX(次果筐明细!$C$4:$C$603,$Z615-5200)),"")))))</f>
        <v/>
      </c>
      <c r="D615" s="37" t="str">
        <f>IF($Z615="","",IF($Z615&lt;=2000,"包装物料－"&amp;INDEX(包装物料出入库明细!$H$4:$H$2003,$Z615-0),IF($Z615&lt;=4000,"周转筐－"&amp;INDEX(周转筐出入库明细!$F$4:$F$2004,$Z615-2000),IF($Z615&lt;=5200,"客户自备筐－"&amp;INDEX(客户自备加工筐明细!$J$4:$J$1203,$Z615-4000),IF($Z615&lt;=5800,"次果筐/托盘－"&amp;INDEX(次果筐明细!$F$4:$F$603,$Z615-5200),"")))))</f>
        <v/>
      </c>
      <c r="E615" s="24" t="str">
        <f>IF($Z615="","",IF($Z615&lt;=2000,IF(INDEX(包装物料出入库明细!$C$4:$C$2003,$Z615-0)=0,"",INDEX(包装物料出入库明细!$C$4:$C$2003,$Z615-0)),IF($Z615&lt;=4000,IF(INDEX(周转筐出入库明细!$E$4:$E$2004,$Z615-2000)=0,"",INDEX(周转筐出入库明细!$E$4:$E$2004,$Z615-2000)),IF($Z615&lt;=5200,IF(INDEX(客户自备加工筐明细!$D$4:$D$1203,$Z615-4000)=0,"",INDEX(客户自备加工筐明细!$D$4:$D$1203,$Z615-4000)),IF($Z615&lt;=5800,IF(INDEX(次果筐明细!$E$4:$E$603,$Z615-5200)=0,"",INDEX(次果筐明细!$E$4:$E$603,$Z615-5200)),"")))))</f>
        <v/>
      </c>
      <c r="F615" s="24" t="str">
        <f>IF($Z615="","",IF($Z615&lt;=2000,IF(INDEX(包装物料出入库明细!$E$4:$E$2003,$Z615-0)=0,"",INDEX(包装物料出入库明细!$E$4:$E$2003,$Z615-0)),IF($Z615&lt;=4000,IF(INDEX(周转筐出入库明细!$D$4:$D$2004,$Z615-2000)=0,"",INDEX(周转筐出入库明细!$D$4:$D$2004,$Z615-2000)),IF($Z615&lt;=5200,IF(INDEX(客户自备加工筐明细!$C$4:$C$1203,$Z615-4000)=0,"",INDEX(客户自备加工筐明细!$C$4:$C$1203,$Z615-4000)),IF($Z615&lt;=5800,IF(INDEX(次果筐明细!$D$4:$D$603,$Z615-5200)=0,"",INDEX(次果筐明细!$D$4:$D$603,$Z615-5200)),"")))))</f>
        <v/>
      </c>
      <c r="G615" s="24" t="str">
        <f>IF($Z615="","",IF($Z615&lt;=2000,IF(INDEX(包装物料出入库明细!$F$4:$F$2003,$Z615-0)=0,"",INDEX(包装物料出入库明细!$F$4:$F$2003,$Z615-0)),IF($Z615&lt;=4000,"",IF($Z615&lt;=5200,"",IF($Z615&lt;=5800,"","")))))</f>
        <v/>
      </c>
      <c r="H615" s="39" t="str">
        <f>IF($Z615="","",IF($Z615&lt;=2000,IF(INDEX(包装物料出入库明细!$L$4:$L$2003,$Z615-0)=0,"",INDEX(包装物料出入库明细!$L$4:$L$2003,$Z615-0)),IF($Z615&lt;=4000,N(INDEX(周转筐出入库明细!$H$4:$H$2004,$Z615-2000))+N(INDEX(周转筐出入库明细!$I$4:$I$2004,$Z615-2000))+N(INDEX(周转筐出入库明细!$J$4:$J$2004,$Z615-2000))+N(INDEX(周转筐出入库明细!$K$4:$K$2004,$Z615-2000)),IF($Z615&lt;=5200,N(INDEX(客户自备加工筐明细!$F$4:$F$1203,$Z615-4000))+N(INDEX(客户自备加工筐明细!$G$4:$G$1203,$Z615-4000)),IF($Z615&lt;=5800,IF(INDEX(次果筐明细!$G$4:$G$603,$Z615-5200)=0,"",INDEX(次果筐明细!$G$4:$G$603,$Z615-5200)),"")))))</f>
        <v/>
      </c>
      <c r="I615" s="24" t="str">
        <f>IF($Z615="","",IF($Z615&lt;=2000,IF(INDEX(包装物料出入库明细!$G$4:$G$2003,$Z615-0)=0,"",INDEX(包装物料出入库明细!$G$4:$G$2003,$Z615-0)),IF($Z615&lt;=4000,"个",IF($Z615&lt;=5200,"个",IF($Z615&lt;=5800,"个","")))))</f>
        <v/>
      </c>
      <c r="J615" s="30" t="str">
        <f t="shared" si="28"/>
        <v/>
      </c>
      <c r="K615" s="30" t="str">
        <f>IF($Z615="","",IF($Z615&lt;=2000,IF(INDEX(包装物料出入库明细!$N$4:$N$2003,$Z615-0)=0,"",INDEX(包装物料出入库明细!$N$4:$N$2003,$Z615-0)),IF($Z615&lt;=4000,IF(INDEX(周转筐出入库明细!$P$4:$P$2004,$Z615-2000)=0,"",INDEX(周转筐出入库明细!$P$4:$P$2004,$Z615-2000)),IF($Z615&lt;=5200,"",IF($Z615&lt;=5800,N(INDEX(次果筐明细!$L$4:$L$603,$Z615-5200))+N(INDEX(次果筐明细!$J$4:$J$603,$Z615-5200)),"")))))</f>
        <v/>
      </c>
      <c r="L615" s="24" t="str">
        <f>IF($Z615="","",IF($Z615&lt;=2000,IF(INDEX(包装物料出入库明细!$P$4:$P$2003,$Z615-0)=0,"",INDEX(包装物料出入库明细!$P$4:$P$2003,$Z615-0)),IF($Z615&lt;=4000,IF(INDEX(周转筐出入库明细!$Q$4:$Q$2004,$Z615-2000)=0,"",INDEX(周转筐出入库明细!$Q$4:$Q$2004,$Z615-2000)),IF($Z615&lt;=5200,"",IF($Z615&lt;=5800,IF(INDEX(次果筐明细!$M$4:$M$603,$Z615-5200)=0,"",INDEX(次果筐明细!$M$4:$M$603,$Z615-5200)),"")))))</f>
        <v/>
      </c>
      <c r="M615" s="37" t="str">
        <f>IF($Z615="","",IF($Z615&lt;=2000,IF(INDEX(包装物料出入库明细!$R$4:$R$2003,$Z615-0)=0,"",INDEX(包装物料出入库明细!$R$4:$R$2003,$Z615-0)),IF($Z615&lt;=4000,IF(INDEX(周转筐出入库明细!$W$4:$W$2004,$Z615-2000)=0,"",INDEX(周转筐出入库明细!$W$4:$W$2004,$Z615-2000)),IF($Z615&lt;=5200,IF(INDEX(客户自备加工筐明细!$L$4:$L$1203,$Z615-4000)=0,"",INDEX(客户自备加工筐明细!$L$4:$L$1203,$Z615-4000)),IF($Z615&lt;=5800,IF(INDEX(次果筐明细!$P$4:$P$603,$Z615-5200)=0,"",INDEX(次果筐明细!$P$4:$P$603,$Z615-5200)),"")))))</f>
        <v/>
      </c>
      <c r="N615" s="16" t="str">
        <f>IF($Z615="","",IF($Z615&lt;=2000,"",IF($Z615&lt;=4000,IF(INDEX(周转筐出入库明细!$D$4:$D$2004,$Z615-2000)=0,"",INDEX(周转筐出入库明细!$D$4:$D$2004,$Z615-2000)),IF($Z615&lt;=5200,IF(INDEX(客户自备加工筐明细!$C$4:$C$1203,$Z615-4000)=0,"",INDEX(客户自备加工筐明细!$C$4:$C$1203,$Z615-4000)),IF($Z615&lt;=5800,IF(INDEX(次果筐明细!$D$4:$D$603,$Z615-5200)=0,"",INDEX(次果筐明细!$D$4:$D$603,$Z615-5200)),"")))))</f>
        <v/>
      </c>
      <c r="O615" s="40" t="str">
        <f>IF($Z615="","",IF($Z615&lt;=2000,"",IF($Z615&lt;=4000,IF(N(INDEX(周转筐出入库明细!$J$4:$J$2004,$Z615-2000))+N(INDEX(周转筐出入库明细!$K$4:$K$2004,$Z615-2000))=0,"",N(INDEX(周转筐出入库明细!$J$4:$J$2004,$Z615-2000))+N(INDEX(周转筐出入库明细!$K$4:$K$2004,$Z615-2000))),IF($Z615&lt;=5200,IF(N(INDEX(客户自备加工筐明细!$G$4:$G$1203,$Z615-4000))=0,"",N(INDEX(客户自备加工筐明细!$G$4:$G$1203,$Z615-4000))),IF($Z615&lt;=5800,IF(ISNUMBER(SEARCH("退",INDEX(次果筐明细!$F$4:$F$603,$Z615-5200)&amp;"")),"",IF(N(INDEX(次果筐明细!$G$4:$G$603,$Z615-5200))=0,"",N(INDEX(次果筐明细!$G$4:$G$603,$Z615-5200)))),"")))))</f>
        <v/>
      </c>
      <c r="P615" s="40" t="str">
        <f>IF($Z615="","",IF($Z615&lt;=2000,"",IF($Z615&lt;=4000,IF(N(INDEX(周转筐出入库明细!$I$4:$I$2004,$Z615-2000))=0,"",N(INDEX(周转筐出入库明细!$I$4:$I$2004,$Z615-2000))),IF($Z615&lt;=5200,"",IF($Z615&lt;=5800,IF(ISNUMBER(SEARCH("退",INDEX(次果筐明细!$F$4:$F$603,$Z615-5200)&amp;"")),IF(N(INDEX(次果筐明细!$G$4:$G$603,$Z615-5200))=0,"",N(INDEX(次果筐明细!$G$4:$G$603,$Z615-5200))),""),"")))))</f>
        <v/>
      </c>
      <c r="Q615" s="40" t="str">
        <f>IF($Z615="","",IF($Z615&lt;=2000,"",IF($Z615&lt;=4000,IF(N(INDEX(周转筐出入库明细!$H$4:$H$2004,$Z615-2000))=0,"",N(INDEX(周转筐出入库明细!$H$4:$H$2004,$Z615-2000))),IF($Z615&lt;=5200,IF(N(INDEX(客户自备加工筐明细!$F$4:$F$1203,$Z615-4000))=0,"",N(INDEX(客户自备加工筐明细!$F$4:$F$1203,$Z615-4000))),IF($Z615&lt;=5800,"","")))))</f>
        <v/>
      </c>
      <c r="R615" s="16" t="str">
        <f>IF($Z615="","",IF($Z615&lt;=2000,IF(INDEX(包装物料出入库明细!$O$4:$O$2003,$Z615-0)=0,"",INDEX(包装物料出入库明细!$O$4:$O$2003,$Z615-0)),IF($Z615&lt;=4000,IF(INDEX(周转筐出入库明细!$M$4:$M$2004,$Z615-2000)=0,"",INDEX(周转筐出入库明细!$M$4:$M$2004,$Z615-2000)),IF($Z615&lt;=5200,IF(INDEX(客户自备加工筐明细!$H$4:$H$1203,$Z615-4000)=0,"",INDEX(客户自备加工筐明细!$H$4:$H$1203,$Z615-4000)),IF($Z615&lt;=5800,IF(INDEX(次果筐明细!$H$4:$H$603,$Z615-5200)=0,"",INDEX(次果筐明细!$H$4:$H$603,$Z615-5200)),"")))))</f>
        <v/>
      </c>
      <c r="S615" s="22" t="str">
        <f t="shared" si="29"/>
        <v/>
      </c>
      <c r="Z615" s="10" t="str">
        <f>IFERROR(MATCH(ROW()-3,_自动清单!$CQ$4:$CQ$5803,0),"")</f>
        <v/>
      </c>
    </row>
    <row r="616" spans="1:26">
      <c r="A616" s="24" t="str">
        <f t="shared" si="27"/>
        <v/>
      </c>
      <c r="B616" s="38" t="str">
        <f>IF($Z616="","",IF($Z616&lt;=2000,IF(INDEX(包装物料出入库明细!$B$4:$B$2003,$Z616-0)=0,"",INDEX(包装物料出入库明细!$B$4:$B$2003,$Z616-0)),IF($Z616&lt;=4000,IF(INDEX(周转筐出入库明细!$B$4:$B$2004,$Z616-2000)=0,"",INDEX(周转筐出入库明细!$B$4:$B$2004,$Z616-2000)),IF($Z616&lt;=5200,IF(INDEX(客户自备加工筐明细!$B$4:$B$1203,$Z616-4000)=0,"",INDEX(客户自备加工筐明细!$B$4:$B$1203,$Z616-4000)),IF($Z616&lt;=5800,IF(INDEX(次果筐明细!$B$4:$B$603,$Z616-5200)=0,"",INDEX(次果筐明细!$B$4:$B$603,$Z616-5200)),"")))))</f>
        <v/>
      </c>
      <c r="C616" s="37" t="str">
        <f>IF($Z616="","",IF($Z616&lt;=2000,IF(INDEX(包装物料出入库明细!$D$4:$D$2003,$Z616-0)=0,"",INDEX(包装物料出入库明细!$D$4:$D$2003,$Z616-0)),IF($Z616&lt;=4000,IF(INDEX(周转筐出入库明细!$C$4:$C$2004,$Z616-2000)=0,"",INDEX(周转筐出入库明细!$C$4:$C$2004,$Z616-2000)),IF($Z616&lt;=5200,IF(INDEX(客户自备加工筐明细!$E$4:$E$1203,$Z616-4000)=0,"",INDEX(客户自备加工筐明细!$E$4:$E$1203,$Z616-4000)),IF($Z616&lt;=5800,IF(INDEX(次果筐明细!$C$4:$C$603,$Z616-5200)=0,"",INDEX(次果筐明细!$C$4:$C$603,$Z616-5200)),"")))))</f>
        <v/>
      </c>
      <c r="D616" s="37" t="str">
        <f>IF($Z616="","",IF($Z616&lt;=2000,"包装物料－"&amp;INDEX(包装物料出入库明细!$H$4:$H$2003,$Z616-0),IF($Z616&lt;=4000,"周转筐－"&amp;INDEX(周转筐出入库明细!$F$4:$F$2004,$Z616-2000),IF($Z616&lt;=5200,"客户自备筐－"&amp;INDEX(客户自备加工筐明细!$J$4:$J$1203,$Z616-4000),IF($Z616&lt;=5800,"次果筐/托盘－"&amp;INDEX(次果筐明细!$F$4:$F$603,$Z616-5200),"")))))</f>
        <v/>
      </c>
      <c r="E616" s="24" t="str">
        <f>IF($Z616="","",IF($Z616&lt;=2000,IF(INDEX(包装物料出入库明细!$C$4:$C$2003,$Z616-0)=0,"",INDEX(包装物料出入库明细!$C$4:$C$2003,$Z616-0)),IF($Z616&lt;=4000,IF(INDEX(周转筐出入库明细!$E$4:$E$2004,$Z616-2000)=0,"",INDEX(周转筐出入库明细!$E$4:$E$2004,$Z616-2000)),IF($Z616&lt;=5200,IF(INDEX(客户自备加工筐明细!$D$4:$D$1203,$Z616-4000)=0,"",INDEX(客户自备加工筐明细!$D$4:$D$1203,$Z616-4000)),IF($Z616&lt;=5800,IF(INDEX(次果筐明细!$E$4:$E$603,$Z616-5200)=0,"",INDEX(次果筐明细!$E$4:$E$603,$Z616-5200)),"")))))</f>
        <v/>
      </c>
      <c r="F616" s="24" t="str">
        <f>IF($Z616="","",IF($Z616&lt;=2000,IF(INDEX(包装物料出入库明细!$E$4:$E$2003,$Z616-0)=0,"",INDEX(包装物料出入库明细!$E$4:$E$2003,$Z616-0)),IF($Z616&lt;=4000,IF(INDEX(周转筐出入库明细!$D$4:$D$2004,$Z616-2000)=0,"",INDEX(周转筐出入库明细!$D$4:$D$2004,$Z616-2000)),IF($Z616&lt;=5200,IF(INDEX(客户自备加工筐明细!$C$4:$C$1203,$Z616-4000)=0,"",INDEX(客户自备加工筐明细!$C$4:$C$1203,$Z616-4000)),IF($Z616&lt;=5800,IF(INDEX(次果筐明细!$D$4:$D$603,$Z616-5200)=0,"",INDEX(次果筐明细!$D$4:$D$603,$Z616-5200)),"")))))</f>
        <v/>
      </c>
      <c r="G616" s="24" t="str">
        <f>IF($Z616="","",IF($Z616&lt;=2000,IF(INDEX(包装物料出入库明细!$F$4:$F$2003,$Z616-0)=0,"",INDEX(包装物料出入库明细!$F$4:$F$2003,$Z616-0)),IF($Z616&lt;=4000,"",IF($Z616&lt;=5200,"",IF($Z616&lt;=5800,"","")))))</f>
        <v/>
      </c>
      <c r="H616" s="39" t="str">
        <f>IF($Z616="","",IF($Z616&lt;=2000,IF(INDEX(包装物料出入库明细!$L$4:$L$2003,$Z616-0)=0,"",INDEX(包装物料出入库明细!$L$4:$L$2003,$Z616-0)),IF($Z616&lt;=4000,N(INDEX(周转筐出入库明细!$H$4:$H$2004,$Z616-2000))+N(INDEX(周转筐出入库明细!$I$4:$I$2004,$Z616-2000))+N(INDEX(周转筐出入库明细!$J$4:$J$2004,$Z616-2000))+N(INDEX(周转筐出入库明细!$K$4:$K$2004,$Z616-2000)),IF($Z616&lt;=5200,N(INDEX(客户自备加工筐明细!$F$4:$F$1203,$Z616-4000))+N(INDEX(客户自备加工筐明细!$G$4:$G$1203,$Z616-4000)),IF($Z616&lt;=5800,IF(INDEX(次果筐明细!$G$4:$G$603,$Z616-5200)=0,"",INDEX(次果筐明细!$G$4:$G$603,$Z616-5200)),"")))))</f>
        <v/>
      </c>
      <c r="I616" s="24" t="str">
        <f>IF($Z616="","",IF($Z616&lt;=2000,IF(INDEX(包装物料出入库明细!$G$4:$G$2003,$Z616-0)=0,"",INDEX(包装物料出入库明细!$G$4:$G$2003,$Z616-0)),IF($Z616&lt;=4000,"个",IF($Z616&lt;=5200,"个",IF($Z616&lt;=5800,"个","")))))</f>
        <v/>
      </c>
      <c r="J616" s="30" t="str">
        <f t="shared" si="28"/>
        <v/>
      </c>
      <c r="K616" s="30" t="str">
        <f>IF($Z616="","",IF($Z616&lt;=2000,IF(INDEX(包装物料出入库明细!$N$4:$N$2003,$Z616-0)=0,"",INDEX(包装物料出入库明细!$N$4:$N$2003,$Z616-0)),IF($Z616&lt;=4000,IF(INDEX(周转筐出入库明细!$P$4:$P$2004,$Z616-2000)=0,"",INDEX(周转筐出入库明细!$P$4:$P$2004,$Z616-2000)),IF($Z616&lt;=5200,"",IF($Z616&lt;=5800,N(INDEX(次果筐明细!$L$4:$L$603,$Z616-5200))+N(INDEX(次果筐明细!$J$4:$J$603,$Z616-5200)),"")))))</f>
        <v/>
      </c>
      <c r="L616" s="24" t="str">
        <f>IF($Z616="","",IF($Z616&lt;=2000,IF(INDEX(包装物料出入库明细!$P$4:$P$2003,$Z616-0)=0,"",INDEX(包装物料出入库明细!$P$4:$P$2003,$Z616-0)),IF($Z616&lt;=4000,IF(INDEX(周转筐出入库明细!$Q$4:$Q$2004,$Z616-2000)=0,"",INDEX(周转筐出入库明细!$Q$4:$Q$2004,$Z616-2000)),IF($Z616&lt;=5200,"",IF($Z616&lt;=5800,IF(INDEX(次果筐明细!$M$4:$M$603,$Z616-5200)=0,"",INDEX(次果筐明细!$M$4:$M$603,$Z616-5200)),"")))))</f>
        <v/>
      </c>
      <c r="M616" s="37" t="str">
        <f>IF($Z616="","",IF($Z616&lt;=2000,IF(INDEX(包装物料出入库明细!$R$4:$R$2003,$Z616-0)=0,"",INDEX(包装物料出入库明细!$R$4:$R$2003,$Z616-0)),IF($Z616&lt;=4000,IF(INDEX(周转筐出入库明细!$W$4:$W$2004,$Z616-2000)=0,"",INDEX(周转筐出入库明细!$W$4:$W$2004,$Z616-2000)),IF($Z616&lt;=5200,IF(INDEX(客户自备加工筐明细!$L$4:$L$1203,$Z616-4000)=0,"",INDEX(客户自备加工筐明细!$L$4:$L$1203,$Z616-4000)),IF($Z616&lt;=5800,IF(INDEX(次果筐明细!$P$4:$P$603,$Z616-5200)=0,"",INDEX(次果筐明细!$P$4:$P$603,$Z616-5200)),"")))))</f>
        <v/>
      </c>
      <c r="N616" s="16" t="str">
        <f>IF($Z616="","",IF($Z616&lt;=2000,"",IF($Z616&lt;=4000,IF(INDEX(周转筐出入库明细!$D$4:$D$2004,$Z616-2000)=0,"",INDEX(周转筐出入库明细!$D$4:$D$2004,$Z616-2000)),IF($Z616&lt;=5200,IF(INDEX(客户自备加工筐明细!$C$4:$C$1203,$Z616-4000)=0,"",INDEX(客户自备加工筐明细!$C$4:$C$1203,$Z616-4000)),IF($Z616&lt;=5800,IF(INDEX(次果筐明细!$D$4:$D$603,$Z616-5200)=0,"",INDEX(次果筐明细!$D$4:$D$603,$Z616-5200)),"")))))</f>
        <v/>
      </c>
      <c r="O616" s="40" t="str">
        <f>IF($Z616="","",IF($Z616&lt;=2000,"",IF($Z616&lt;=4000,IF(N(INDEX(周转筐出入库明细!$J$4:$J$2004,$Z616-2000))+N(INDEX(周转筐出入库明细!$K$4:$K$2004,$Z616-2000))=0,"",N(INDEX(周转筐出入库明细!$J$4:$J$2004,$Z616-2000))+N(INDEX(周转筐出入库明细!$K$4:$K$2004,$Z616-2000))),IF($Z616&lt;=5200,IF(N(INDEX(客户自备加工筐明细!$G$4:$G$1203,$Z616-4000))=0,"",N(INDEX(客户自备加工筐明细!$G$4:$G$1203,$Z616-4000))),IF($Z616&lt;=5800,IF(ISNUMBER(SEARCH("退",INDEX(次果筐明细!$F$4:$F$603,$Z616-5200)&amp;"")),"",IF(N(INDEX(次果筐明细!$G$4:$G$603,$Z616-5200))=0,"",N(INDEX(次果筐明细!$G$4:$G$603,$Z616-5200)))),"")))))</f>
        <v/>
      </c>
      <c r="P616" s="40" t="str">
        <f>IF($Z616="","",IF($Z616&lt;=2000,"",IF($Z616&lt;=4000,IF(N(INDEX(周转筐出入库明细!$I$4:$I$2004,$Z616-2000))=0,"",N(INDEX(周转筐出入库明细!$I$4:$I$2004,$Z616-2000))),IF($Z616&lt;=5200,"",IF($Z616&lt;=5800,IF(ISNUMBER(SEARCH("退",INDEX(次果筐明细!$F$4:$F$603,$Z616-5200)&amp;"")),IF(N(INDEX(次果筐明细!$G$4:$G$603,$Z616-5200))=0,"",N(INDEX(次果筐明细!$G$4:$G$603,$Z616-5200))),""),"")))))</f>
        <v/>
      </c>
      <c r="Q616" s="40" t="str">
        <f>IF($Z616="","",IF($Z616&lt;=2000,"",IF($Z616&lt;=4000,IF(N(INDEX(周转筐出入库明细!$H$4:$H$2004,$Z616-2000))=0,"",N(INDEX(周转筐出入库明细!$H$4:$H$2004,$Z616-2000))),IF($Z616&lt;=5200,IF(N(INDEX(客户自备加工筐明细!$F$4:$F$1203,$Z616-4000))=0,"",N(INDEX(客户自备加工筐明细!$F$4:$F$1203,$Z616-4000))),IF($Z616&lt;=5800,"","")))))</f>
        <v/>
      </c>
      <c r="R616" s="16" t="str">
        <f>IF($Z616="","",IF($Z616&lt;=2000,IF(INDEX(包装物料出入库明细!$O$4:$O$2003,$Z616-0)=0,"",INDEX(包装物料出入库明细!$O$4:$O$2003,$Z616-0)),IF($Z616&lt;=4000,IF(INDEX(周转筐出入库明细!$M$4:$M$2004,$Z616-2000)=0,"",INDEX(周转筐出入库明细!$M$4:$M$2004,$Z616-2000)),IF($Z616&lt;=5200,IF(INDEX(客户自备加工筐明细!$H$4:$H$1203,$Z616-4000)=0,"",INDEX(客户自备加工筐明细!$H$4:$H$1203,$Z616-4000)),IF($Z616&lt;=5800,IF(INDEX(次果筐明细!$H$4:$H$603,$Z616-5200)=0,"",INDEX(次果筐明细!$H$4:$H$603,$Z616-5200)),"")))))</f>
        <v/>
      </c>
      <c r="S616" s="22" t="str">
        <f t="shared" si="29"/>
        <v/>
      </c>
      <c r="Z616" s="10" t="str">
        <f>IFERROR(MATCH(ROW()-3,_自动清单!$CQ$4:$CQ$5803,0),"")</f>
        <v/>
      </c>
    </row>
    <row r="617" spans="1:26">
      <c r="A617" s="24" t="str">
        <f t="shared" si="27"/>
        <v/>
      </c>
      <c r="B617" s="38" t="str">
        <f>IF($Z617="","",IF($Z617&lt;=2000,IF(INDEX(包装物料出入库明细!$B$4:$B$2003,$Z617-0)=0,"",INDEX(包装物料出入库明细!$B$4:$B$2003,$Z617-0)),IF($Z617&lt;=4000,IF(INDEX(周转筐出入库明细!$B$4:$B$2004,$Z617-2000)=0,"",INDEX(周转筐出入库明细!$B$4:$B$2004,$Z617-2000)),IF($Z617&lt;=5200,IF(INDEX(客户自备加工筐明细!$B$4:$B$1203,$Z617-4000)=0,"",INDEX(客户自备加工筐明细!$B$4:$B$1203,$Z617-4000)),IF($Z617&lt;=5800,IF(INDEX(次果筐明细!$B$4:$B$603,$Z617-5200)=0,"",INDEX(次果筐明细!$B$4:$B$603,$Z617-5200)),"")))))</f>
        <v/>
      </c>
      <c r="C617" s="37" t="str">
        <f>IF($Z617="","",IF($Z617&lt;=2000,IF(INDEX(包装物料出入库明细!$D$4:$D$2003,$Z617-0)=0,"",INDEX(包装物料出入库明细!$D$4:$D$2003,$Z617-0)),IF($Z617&lt;=4000,IF(INDEX(周转筐出入库明细!$C$4:$C$2004,$Z617-2000)=0,"",INDEX(周转筐出入库明细!$C$4:$C$2004,$Z617-2000)),IF($Z617&lt;=5200,IF(INDEX(客户自备加工筐明细!$E$4:$E$1203,$Z617-4000)=0,"",INDEX(客户自备加工筐明细!$E$4:$E$1203,$Z617-4000)),IF($Z617&lt;=5800,IF(INDEX(次果筐明细!$C$4:$C$603,$Z617-5200)=0,"",INDEX(次果筐明细!$C$4:$C$603,$Z617-5200)),"")))))</f>
        <v/>
      </c>
      <c r="D617" s="37" t="str">
        <f>IF($Z617="","",IF($Z617&lt;=2000,"包装物料－"&amp;INDEX(包装物料出入库明细!$H$4:$H$2003,$Z617-0),IF($Z617&lt;=4000,"周转筐－"&amp;INDEX(周转筐出入库明细!$F$4:$F$2004,$Z617-2000),IF($Z617&lt;=5200,"客户自备筐－"&amp;INDEX(客户自备加工筐明细!$J$4:$J$1203,$Z617-4000),IF($Z617&lt;=5800,"次果筐/托盘－"&amp;INDEX(次果筐明细!$F$4:$F$603,$Z617-5200),"")))))</f>
        <v/>
      </c>
      <c r="E617" s="24" t="str">
        <f>IF($Z617="","",IF($Z617&lt;=2000,IF(INDEX(包装物料出入库明细!$C$4:$C$2003,$Z617-0)=0,"",INDEX(包装物料出入库明细!$C$4:$C$2003,$Z617-0)),IF($Z617&lt;=4000,IF(INDEX(周转筐出入库明细!$E$4:$E$2004,$Z617-2000)=0,"",INDEX(周转筐出入库明细!$E$4:$E$2004,$Z617-2000)),IF($Z617&lt;=5200,IF(INDEX(客户自备加工筐明细!$D$4:$D$1203,$Z617-4000)=0,"",INDEX(客户自备加工筐明细!$D$4:$D$1203,$Z617-4000)),IF($Z617&lt;=5800,IF(INDEX(次果筐明细!$E$4:$E$603,$Z617-5200)=0,"",INDEX(次果筐明细!$E$4:$E$603,$Z617-5200)),"")))))</f>
        <v/>
      </c>
      <c r="F617" s="24" t="str">
        <f>IF($Z617="","",IF($Z617&lt;=2000,IF(INDEX(包装物料出入库明细!$E$4:$E$2003,$Z617-0)=0,"",INDEX(包装物料出入库明细!$E$4:$E$2003,$Z617-0)),IF($Z617&lt;=4000,IF(INDEX(周转筐出入库明细!$D$4:$D$2004,$Z617-2000)=0,"",INDEX(周转筐出入库明细!$D$4:$D$2004,$Z617-2000)),IF($Z617&lt;=5200,IF(INDEX(客户自备加工筐明细!$C$4:$C$1203,$Z617-4000)=0,"",INDEX(客户自备加工筐明细!$C$4:$C$1203,$Z617-4000)),IF($Z617&lt;=5800,IF(INDEX(次果筐明细!$D$4:$D$603,$Z617-5200)=0,"",INDEX(次果筐明细!$D$4:$D$603,$Z617-5200)),"")))))</f>
        <v/>
      </c>
      <c r="G617" s="24" t="str">
        <f>IF($Z617="","",IF($Z617&lt;=2000,IF(INDEX(包装物料出入库明细!$F$4:$F$2003,$Z617-0)=0,"",INDEX(包装物料出入库明细!$F$4:$F$2003,$Z617-0)),IF($Z617&lt;=4000,"",IF($Z617&lt;=5200,"",IF($Z617&lt;=5800,"","")))))</f>
        <v/>
      </c>
      <c r="H617" s="39" t="str">
        <f>IF($Z617="","",IF($Z617&lt;=2000,IF(INDEX(包装物料出入库明细!$L$4:$L$2003,$Z617-0)=0,"",INDEX(包装物料出入库明细!$L$4:$L$2003,$Z617-0)),IF($Z617&lt;=4000,N(INDEX(周转筐出入库明细!$H$4:$H$2004,$Z617-2000))+N(INDEX(周转筐出入库明细!$I$4:$I$2004,$Z617-2000))+N(INDEX(周转筐出入库明细!$J$4:$J$2004,$Z617-2000))+N(INDEX(周转筐出入库明细!$K$4:$K$2004,$Z617-2000)),IF($Z617&lt;=5200,N(INDEX(客户自备加工筐明细!$F$4:$F$1203,$Z617-4000))+N(INDEX(客户自备加工筐明细!$G$4:$G$1203,$Z617-4000)),IF($Z617&lt;=5800,IF(INDEX(次果筐明细!$G$4:$G$603,$Z617-5200)=0,"",INDEX(次果筐明细!$G$4:$G$603,$Z617-5200)),"")))))</f>
        <v/>
      </c>
      <c r="I617" s="24" t="str">
        <f>IF($Z617="","",IF($Z617&lt;=2000,IF(INDEX(包装物料出入库明细!$G$4:$G$2003,$Z617-0)=0,"",INDEX(包装物料出入库明细!$G$4:$G$2003,$Z617-0)),IF($Z617&lt;=4000,"个",IF($Z617&lt;=5200,"个",IF($Z617&lt;=5800,"个","")))))</f>
        <v/>
      </c>
      <c r="J617" s="30" t="str">
        <f t="shared" si="28"/>
        <v/>
      </c>
      <c r="K617" s="30" t="str">
        <f>IF($Z617="","",IF($Z617&lt;=2000,IF(INDEX(包装物料出入库明细!$N$4:$N$2003,$Z617-0)=0,"",INDEX(包装物料出入库明细!$N$4:$N$2003,$Z617-0)),IF($Z617&lt;=4000,IF(INDEX(周转筐出入库明细!$P$4:$P$2004,$Z617-2000)=0,"",INDEX(周转筐出入库明细!$P$4:$P$2004,$Z617-2000)),IF($Z617&lt;=5200,"",IF($Z617&lt;=5800,N(INDEX(次果筐明细!$L$4:$L$603,$Z617-5200))+N(INDEX(次果筐明细!$J$4:$J$603,$Z617-5200)),"")))))</f>
        <v/>
      </c>
      <c r="L617" s="24" t="str">
        <f>IF($Z617="","",IF($Z617&lt;=2000,IF(INDEX(包装物料出入库明细!$P$4:$P$2003,$Z617-0)=0,"",INDEX(包装物料出入库明细!$P$4:$P$2003,$Z617-0)),IF($Z617&lt;=4000,IF(INDEX(周转筐出入库明细!$Q$4:$Q$2004,$Z617-2000)=0,"",INDEX(周转筐出入库明细!$Q$4:$Q$2004,$Z617-2000)),IF($Z617&lt;=5200,"",IF($Z617&lt;=5800,IF(INDEX(次果筐明细!$M$4:$M$603,$Z617-5200)=0,"",INDEX(次果筐明细!$M$4:$M$603,$Z617-5200)),"")))))</f>
        <v/>
      </c>
      <c r="M617" s="37" t="str">
        <f>IF($Z617="","",IF($Z617&lt;=2000,IF(INDEX(包装物料出入库明细!$R$4:$R$2003,$Z617-0)=0,"",INDEX(包装物料出入库明细!$R$4:$R$2003,$Z617-0)),IF($Z617&lt;=4000,IF(INDEX(周转筐出入库明细!$W$4:$W$2004,$Z617-2000)=0,"",INDEX(周转筐出入库明细!$W$4:$W$2004,$Z617-2000)),IF($Z617&lt;=5200,IF(INDEX(客户自备加工筐明细!$L$4:$L$1203,$Z617-4000)=0,"",INDEX(客户自备加工筐明细!$L$4:$L$1203,$Z617-4000)),IF($Z617&lt;=5800,IF(INDEX(次果筐明细!$P$4:$P$603,$Z617-5200)=0,"",INDEX(次果筐明细!$P$4:$P$603,$Z617-5200)),"")))))</f>
        <v/>
      </c>
      <c r="N617" s="16" t="str">
        <f>IF($Z617="","",IF($Z617&lt;=2000,"",IF($Z617&lt;=4000,IF(INDEX(周转筐出入库明细!$D$4:$D$2004,$Z617-2000)=0,"",INDEX(周转筐出入库明细!$D$4:$D$2004,$Z617-2000)),IF($Z617&lt;=5200,IF(INDEX(客户自备加工筐明细!$C$4:$C$1203,$Z617-4000)=0,"",INDEX(客户自备加工筐明细!$C$4:$C$1203,$Z617-4000)),IF($Z617&lt;=5800,IF(INDEX(次果筐明细!$D$4:$D$603,$Z617-5200)=0,"",INDEX(次果筐明细!$D$4:$D$603,$Z617-5200)),"")))))</f>
        <v/>
      </c>
      <c r="O617" s="40" t="str">
        <f>IF($Z617="","",IF($Z617&lt;=2000,"",IF($Z617&lt;=4000,IF(N(INDEX(周转筐出入库明细!$J$4:$J$2004,$Z617-2000))+N(INDEX(周转筐出入库明细!$K$4:$K$2004,$Z617-2000))=0,"",N(INDEX(周转筐出入库明细!$J$4:$J$2004,$Z617-2000))+N(INDEX(周转筐出入库明细!$K$4:$K$2004,$Z617-2000))),IF($Z617&lt;=5200,IF(N(INDEX(客户自备加工筐明细!$G$4:$G$1203,$Z617-4000))=0,"",N(INDEX(客户自备加工筐明细!$G$4:$G$1203,$Z617-4000))),IF($Z617&lt;=5800,IF(ISNUMBER(SEARCH("退",INDEX(次果筐明细!$F$4:$F$603,$Z617-5200)&amp;"")),"",IF(N(INDEX(次果筐明细!$G$4:$G$603,$Z617-5200))=0,"",N(INDEX(次果筐明细!$G$4:$G$603,$Z617-5200)))),"")))))</f>
        <v/>
      </c>
      <c r="P617" s="40" t="str">
        <f>IF($Z617="","",IF($Z617&lt;=2000,"",IF($Z617&lt;=4000,IF(N(INDEX(周转筐出入库明细!$I$4:$I$2004,$Z617-2000))=0,"",N(INDEX(周转筐出入库明细!$I$4:$I$2004,$Z617-2000))),IF($Z617&lt;=5200,"",IF($Z617&lt;=5800,IF(ISNUMBER(SEARCH("退",INDEX(次果筐明细!$F$4:$F$603,$Z617-5200)&amp;"")),IF(N(INDEX(次果筐明细!$G$4:$G$603,$Z617-5200))=0,"",N(INDEX(次果筐明细!$G$4:$G$603,$Z617-5200))),""),"")))))</f>
        <v/>
      </c>
      <c r="Q617" s="40" t="str">
        <f>IF($Z617="","",IF($Z617&lt;=2000,"",IF($Z617&lt;=4000,IF(N(INDEX(周转筐出入库明细!$H$4:$H$2004,$Z617-2000))=0,"",N(INDEX(周转筐出入库明细!$H$4:$H$2004,$Z617-2000))),IF($Z617&lt;=5200,IF(N(INDEX(客户自备加工筐明细!$F$4:$F$1203,$Z617-4000))=0,"",N(INDEX(客户自备加工筐明细!$F$4:$F$1203,$Z617-4000))),IF($Z617&lt;=5800,"","")))))</f>
        <v/>
      </c>
      <c r="R617" s="16" t="str">
        <f>IF($Z617="","",IF($Z617&lt;=2000,IF(INDEX(包装物料出入库明细!$O$4:$O$2003,$Z617-0)=0,"",INDEX(包装物料出入库明细!$O$4:$O$2003,$Z617-0)),IF($Z617&lt;=4000,IF(INDEX(周转筐出入库明细!$M$4:$M$2004,$Z617-2000)=0,"",INDEX(周转筐出入库明细!$M$4:$M$2004,$Z617-2000)),IF($Z617&lt;=5200,IF(INDEX(客户自备加工筐明细!$H$4:$H$1203,$Z617-4000)=0,"",INDEX(客户自备加工筐明细!$H$4:$H$1203,$Z617-4000)),IF($Z617&lt;=5800,IF(INDEX(次果筐明细!$H$4:$H$603,$Z617-5200)=0,"",INDEX(次果筐明细!$H$4:$H$603,$Z617-5200)),"")))))</f>
        <v/>
      </c>
      <c r="S617" s="22" t="str">
        <f t="shared" si="29"/>
        <v/>
      </c>
      <c r="Z617" s="10" t="str">
        <f>IFERROR(MATCH(ROW()-3,_自动清单!$CQ$4:$CQ$5803,0),"")</f>
        <v/>
      </c>
    </row>
    <row r="618" spans="1:26">
      <c r="A618" s="24" t="str">
        <f t="shared" si="27"/>
        <v/>
      </c>
      <c r="B618" s="38" t="str">
        <f>IF($Z618="","",IF($Z618&lt;=2000,IF(INDEX(包装物料出入库明细!$B$4:$B$2003,$Z618-0)=0,"",INDEX(包装物料出入库明细!$B$4:$B$2003,$Z618-0)),IF($Z618&lt;=4000,IF(INDEX(周转筐出入库明细!$B$4:$B$2004,$Z618-2000)=0,"",INDEX(周转筐出入库明细!$B$4:$B$2004,$Z618-2000)),IF($Z618&lt;=5200,IF(INDEX(客户自备加工筐明细!$B$4:$B$1203,$Z618-4000)=0,"",INDEX(客户自备加工筐明细!$B$4:$B$1203,$Z618-4000)),IF($Z618&lt;=5800,IF(INDEX(次果筐明细!$B$4:$B$603,$Z618-5200)=0,"",INDEX(次果筐明细!$B$4:$B$603,$Z618-5200)),"")))))</f>
        <v/>
      </c>
      <c r="C618" s="37" t="str">
        <f>IF($Z618="","",IF($Z618&lt;=2000,IF(INDEX(包装物料出入库明细!$D$4:$D$2003,$Z618-0)=0,"",INDEX(包装物料出入库明细!$D$4:$D$2003,$Z618-0)),IF($Z618&lt;=4000,IF(INDEX(周转筐出入库明细!$C$4:$C$2004,$Z618-2000)=0,"",INDEX(周转筐出入库明细!$C$4:$C$2004,$Z618-2000)),IF($Z618&lt;=5200,IF(INDEX(客户自备加工筐明细!$E$4:$E$1203,$Z618-4000)=0,"",INDEX(客户自备加工筐明细!$E$4:$E$1203,$Z618-4000)),IF($Z618&lt;=5800,IF(INDEX(次果筐明细!$C$4:$C$603,$Z618-5200)=0,"",INDEX(次果筐明细!$C$4:$C$603,$Z618-5200)),"")))))</f>
        <v/>
      </c>
      <c r="D618" s="37" t="str">
        <f>IF($Z618="","",IF($Z618&lt;=2000,"包装物料－"&amp;INDEX(包装物料出入库明细!$H$4:$H$2003,$Z618-0),IF($Z618&lt;=4000,"周转筐－"&amp;INDEX(周转筐出入库明细!$F$4:$F$2004,$Z618-2000),IF($Z618&lt;=5200,"客户自备筐－"&amp;INDEX(客户自备加工筐明细!$J$4:$J$1203,$Z618-4000),IF($Z618&lt;=5800,"次果筐/托盘－"&amp;INDEX(次果筐明细!$F$4:$F$603,$Z618-5200),"")))))</f>
        <v/>
      </c>
      <c r="E618" s="24" t="str">
        <f>IF($Z618="","",IF($Z618&lt;=2000,IF(INDEX(包装物料出入库明细!$C$4:$C$2003,$Z618-0)=0,"",INDEX(包装物料出入库明细!$C$4:$C$2003,$Z618-0)),IF($Z618&lt;=4000,IF(INDEX(周转筐出入库明细!$E$4:$E$2004,$Z618-2000)=0,"",INDEX(周转筐出入库明细!$E$4:$E$2004,$Z618-2000)),IF($Z618&lt;=5200,IF(INDEX(客户自备加工筐明细!$D$4:$D$1203,$Z618-4000)=0,"",INDEX(客户自备加工筐明细!$D$4:$D$1203,$Z618-4000)),IF($Z618&lt;=5800,IF(INDEX(次果筐明细!$E$4:$E$603,$Z618-5200)=0,"",INDEX(次果筐明细!$E$4:$E$603,$Z618-5200)),"")))))</f>
        <v/>
      </c>
      <c r="F618" s="24" t="str">
        <f>IF($Z618="","",IF($Z618&lt;=2000,IF(INDEX(包装物料出入库明细!$E$4:$E$2003,$Z618-0)=0,"",INDEX(包装物料出入库明细!$E$4:$E$2003,$Z618-0)),IF($Z618&lt;=4000,IF(INDEX(周转筐出入库明细!$D$4:$D$2004,$Z618-2000)=0,"",INDEX(周转筐出入库明细!$D$4:$D$2004,$Z618-2000)),IF($Z618&lt;=5200,IF(INDEX(客户自备加工筐明细!$C$4:$C$1203,$Z618-4000)=0,"",INDEX(客户自备加工筐明细!$C$4:$C$1203,$Z618-4000)),IF($Z618&lt;=5800,IF(INDEX(次果筐明细!$D$4:$D$603,$Z618-5200)=0,"",INDEX(次果筐明细!$D$4:$D$603,$Z618-5200)),"")))))</f>
        <v/>
      </c>
      <c r="G618" s="24" t="str">
        <f>IF($Z618="","",IF($Z618&lt;=2000,IF(INDEX(包装物料出入库明细!$F$4:$F$2003,$Z618-0)=0,"",INDEX(包装物料出入库明细!$F$4:$F$2003,$Z618-0)),IF($Z618&lt;=4000,"",IF($Z618&lt;=5200,"",IF($Z618&lt;=5800,"","")))))</f>
        <v/>
      </c>
      <c r="H618" s="39" t="str">
        <f>IF($Z618="","",IF($Z618&lt;=2000,IF(INDEX(包装物料出入库明细!$L$4:$L$2003,$Z618-0)=0,"",INDEX(包装物料出入库明细!$L$4:$L$2003,$Z618-0)),IF($Z618&lt;=4000,N(INDEX(周转筐出入库明细!$H$4:$H$2004,$Z618-2000))+N(INDEX(周转筐出入库明细!$I$4:$I$2004,$Z618-2000))+N(INDEX(周转筐出入库明细!$J$4:$J$2004,$Z618-2000))+N(INDEX(周转筐出入库明细!$K$4:$K$2004,$Z618-2000)),IF($Z618&lt;=5200,N(INDEX(客户自备加工筐明细!$F$4:$F$1203,$Z618-4000))+N(INDEX(客户自备加工筐明细!$G$4:$G$1203,$Z618-4000)),IF($Z618&lt;=5800,IF(INDEX(次果筐明细!$G$4:$G$603,$Z618-5200)=0,"",INDEX(次果筐明细!$G$4:$G$603,$Z618-5200)),"")))))</f>
        <v/>
      </c>
      <c r="I618" s="24" t="str">
        <f>IF($Z618="","",IF($Z618&lt;=2000,IF(INDEX(包装物料出入库明细!$G$4:$G$2003,$Z618-0)=0,"",INDEX(包装物料出入库明细!$G$4:$G$2003,$Z618-0)),IF($Z618&lt;=4000,"个",IF($Z618&lt;=5200,"个",IF($Z618&lt;=5800,"个","")))))</f>
        <v/>
      </c>
      <c r="J618" s="30" t="str">
        <f t="shared" si="28"/>
        <v/>
      </c>
      <c r="K618" s="30" t="str">
        <f>IF($Z618="","",IF($Z618&lt;=2000,IF(INDEX(包装物料出入库明细!$N$4:$N$2003,$Z618-0)=0,"",INDEX(包装物料出入库明细!$N$4:$N$2003,$Z618-0)),IF($Z618&lt;=4000,IF(INDEX(周转筐出入库明细!$P$4:$P$2004,$Z618-2000)=0,"",INDEX(周转筐出入库明细!$P$4:$P$2004,$Z618-2000)),IF($Z618&lt;=5200,"",IF($Z618&lt;=5800,N(INDEX(次果筐明细!$L$4:$L$603,$Z618-5200))+N(INDEX(次果筐明细!$J$4:$J$603,$Z618-5200)),"")))))</f>
        <v/>
      </c>
      <c r="L618" s="24" t="str">
        <f>IF($Z618="","",IF($Z618&lt;=2000,IF(INDEX(包装物料出入库明细!$P$4:$P$2003,$Z618-0)=0,"",INDEX(包装物料出入库明细!$P$4:$P$2003,$Z618-0)),IF($Z618&lt;=4000,IF(INDEX(周转筐出入库明细!$Q$4:$Q$2004,$Z618-2000)=0,"",INDEX(周转筐出入库明细!$Q$4:$Q$2004,$Z618-2000)),IF($Z618&lt;=5200,"",IF($Z618&lt;=5800,IF(INDEX(次果筐明细!$M$4:$M$603,$Z618-5200)=0,"",INDEX(次果筐明细!$M$4:$M$603,$Z618-5200)),"")))))</f>
        <v/>
      </c>
      <c r="M618" s="37" t="str">
        <f>IF($Z618="","",IF($Z618&lt;=2000,IF(INDEX(包装物料出入库明细!$R$4:$R$2003,$Z618-0)=0,"",INDEX(包装物料出入库明细!$R$4:$R$2003,$Z618-0)),IF($Z618&lt;=4000,IF(INDEX(周转筐出入库明细!$W$4:$W$2004,$Z618-2000)=0,"",INDEX(周转筐出入库明细!$W$4:$W$2004,$Z618-2000)),IF($Z618&lt;=5200,IF(INDEX(客户自备加工筐明细!$L$4:$L$1203,$Z618-4000)=0,"",INDEX(客户自备加工筐明细!$L$4:$L$1203,$Z618-4000)),IF($Z618&lt;=5800,IF(INDEX(次果筐明细!$P$4:$P$603,$Z618-5200)=0,"",INDEX(次果筐明细!$P$4:$P$603,$Z618-5200)),"")))))</f>
        <v/>
      </c>
      <c r="N618" s="16" t="str">
        <f>IF($Z618="","",IF($Z618&lt;=2000,"",IF($Z618&lt;=4000,IF(INDEX(周转筐出入库明细!$D$4:$D$2004,$Z618-2000)=0,"",INDEX(周转筐出入库明细!$D$4:$D$2004,$Z618-2000)),IF($Z618&lt;=5200,IF(INDEX(客户自备加工筐明细!$C$4:$C$1203,$Z618-4000)=0,"",INDEX(客户自备加工筐明细!$C$4:$C$1203,$Z618-4000)),IF($Z618&lt;=5800,IF(INDEX(次果筐明细!$D$4:$D$603,$Z618-5200)=0,"",INDEX(次果筐明细!$D$4:$D$603,$Z618-5200)),"")))))</f>
        <v/>
      </c>
      <c r="O618" s="40" t="str">
        <f>IF($Z618="","",IF($Z618&lt;=2000,"",IF($Z618&lt;=4000,IF(N(INDEX(周转筐出入库明细!$J$4:$J$2004,$Z618-2000))+N(INDEX(周转筐出入库明细!$K$4:$K$2004,$Z618-2000))=0,"",N(INDEX(周转筐出入库明细!$J$4:$J$2004,$Z618-2000))+N(INDEX(周转筐出入库明细!$K$4:$K$2004,$Z618-2000))),IF($Z618&lt;=5200,IF(N(INDEX(客户自备加工筐明细!$G$4:$G$1203,$Z618-4000))=0,"",N(INDEX(客户自备加工筐明细!$G$4:$G$1203,$Z618-4000))),IF($Z618&lt;=5800,IF(ISNUMBER(SEARCH("退",INDEX(次果筐明细!$F$4:$F$603,$Z618-5200)&amp;"")),"",IF(N(INDEX(次果筐明细!$G$4:$G$603,$Z618-5200))=0,"",N(INDEX(次果筐明细!$G$4:$G$603,$Z618-5200)))),"")))))</f>
        <v/>
      </c>
      <c r="P618" s="40" t="str">
        <f>IF($Z618="","",IF($Z618&lt;=2000,"",IF($Z618&lt;=4000,IF(N(INDEX(周转筐出入库明细!$I$4:$I$2004,$Z618-2000))=0,"",N(INDEX(周转筐出入库明细!$I$4:$I$2004,$Z618-2000))),IF($Z618&lt;=5200,"",IF($Z618&lt;=5800,IF(ISNUMBER(SEARCH("退",INDEX(次果筐明细!$F$4:$F$603,$Z618-5200)&amp;"")),IF(N(INDEX(次果筐明细!$G$4:$G$603,$Z618-5200))=0,"",N(INDEX(次果筐明细!$G$4:$G$603,$Z618-5200))),""),"")))))</f>
        <v/>
      </c>
      <c r="Q618" s="40" t="str">
        <f>IF($Z618="","",IF($Z618&lt;=2000,"",IF($Z618&lt;=4000,IF(N(INDEX(周转筐出入库明细!$H$4:$H$2004,$Z618-2000))=0,"",N(INDEX(周转筐出入库明细!$H$4:$H$2004,$Z618-2000))),IF($Z618&lt;=5200,IF(N(INDEX(客户自备加工筐明细!$F$4:$F$1203,$Z618-4000))=0,"",N(INDEX(客户自备加工筐明细!$F$4:$F$1203,$Z618-4000))),IF($Z618&lt;=5800,"","")))))</f>
        <v/>
      </c>
      <c r="R618" s="16" t="str">
        <f>IF($Z618="","",IF($Z618&lt;=2000,IF(INDEX(包装物料出入库明细!$O$4:$O$2003,$Z618-0)=0,"",INDEX(包装物料出入库明细!$O$4:$O$2003,$Z618-0)),IF($Z618&lt;=4000,IF(INDEX(周转筐出入库明细!$M$4:$M$2004,$Z618-2000)=0,"",INDEX(周转筐出入库明细!$M$4:$M$2004,$Z618-2000)),IF($Z618&lt;=5200,IF(INDEX(客户自备加工筐明细!$H$4:$H$1203,$Z618-4000)=0,"",INDEX(客户自备加工筐明细!$H$4:$H$1203,$Z618-4000)),IF($Z618&lt;=5800,IF(INDEX(次果筐明细!$H$4:$H$603,$Z618-5200)=0,"",INDEX(次果筐明细!$H$4:$H$603,$Z618-5200)),"")))))</f>
        <v/>
      </c>
      <c r="S618" s="22" t="str">
        <f t="shared" si="29"/>
        <v/>
      </c>
      <c r="Z618" s="10" t="str">
        <f>IFERROR(MATCH(ROW()-3,_自动清单!$CQ$4:$CQ$5803,0),"")</f>
        <v/>
      </c>
    </row>
    <row r="619" spans="1:26">
      <c r="A619" s="24" t="str">
        <f t="shared" si="27"/>
        <v/>
      </c>
      <c r="B619" s="38" t="str">
        <f>IF($Z619="","",IF($Z619&lt;=2000,IF(INDEX(包装物料出入库明细!$B$4:$B$2003,$Z619-0)=0,"",INDEX(包装物料出入库明细!$B$4:$B$2003,$Z619-0)),IF($Z619&lt;=4000,IF(INDEX(周转筐出入库明细!$B$4:$B$2004,$Z619-2000)=0,"",INDEX(周转筐出入库明细!$B$4:$B$2004,$Z619-2000)),IF($Z619&lt;=5200,IF(INDEX(客户自备加工筐明细!$B$4:$B$1203,$Z619-4000)=0,"",INDEX(客户自备加工筐明细!$B$4:$B$1203,$Z619-4000)),IF($Z619&lt;=5800,IF(INDEX(次果筐明细!$B$4:$B$603,$Z619-5200)=0,"",INDEX(次果筐明细!$B$4:$B$603,$Z619-5200)),"")))))</f>
        <v/>
      </c>
      <c r="C619" s="37" t="str">
        <f>IF($Z619="","",IF($Z619&lt;=2000,IF(INDEX(包装物料出入库明细!$D$4:$D$2003,$Z619-0)=0,"",INDEX(包装物料出入库明细!$D$4:$D$2003,$Z619-0)),IF($Z619&lt;=4000,IF(INDEX(周转筐出入库明细!$C$4:$C$2004,$Z619-2000)=0,"",INDEX(周转筐出入库明细!$C$4:$C$2004,$Z619-2000)),IF($Z619&lt;=5200,IF(INDEX(客户自备加工筐明细!$E$4:$E$1203,$Z619-4000)=0,"",INDEX(客户自备加工筐明细!$E$4:$E$1203,$Z619-4000)),IF($Z619&lt;=5800,IF(INDEX(次果筐明细!$C$4:$C$603,$Z619-5200)=0,"",INDEX(次果筐明细!$C$4:$C$603,$Z619-5200)),"")))))</f>
        <v/>
      </c>
      <c r="D619" s="37" t="str">
        <f>IF($Z619="","",IF($Z619&lt;=2000,"包装物料－"&amp;INDEX(包装物料出入库明细!$H$4:$H$2003,$Z619-0),IF($Z619&lt;=4000,"周转筐－"&amp;INDEX(周转筐出入库明细!$F$4:$F$2004,$Z619-2000),IF($Z619&lt;=5200,"客户自备筐－"&amp;INDEX(客户自备加工筐明细!$J$4:$J$1203,$Z619-4000),IF($Z619&lt;=5800,"次果筐/托盘－"&amp;INDEX(次果筐明细!$F$4:$F$603,$Z619-5200),"")))))</f>
        <v/>
      </c>
      <c r="E619" s="24" t="str">
        <f>IF($Z619="","",IF($Z619&lt;=2000,IF(INDEX(包装物料出入库明细!$C$4:$C$2003,$Z619-0)=0,"",INDEX(包装物料出入库明细!$C$4:$C$2003,$Z619-0)),IF($Z619&lt;=4000,IF(INDEX(周转筐出入库明细!$E$4:$E$2004,$Z619-2000)=0,"",INDEX(周转筐出入库明细!$E$4:$E$2004,$Z619-2000)),IF($Z619&lt;=5200,IF(INDEX(客户自备加工筐明细!$D$4:$D$1203,$Z619-4000)=0,"",INDEX(客户自备加工筐明细!$D$4:$D$1203,$Z619-4000)),IF($Z619&lt;=5800,IF(INDEX(次果筐明细!$E$4:$E$603,$Z619-5200)=0,"",INDEX(次果筐明细!$E$4:$E$603,$Z619-5200)),"")))))</f>
        <v/>
      </c>
      <c r="F619" s="24" t="str">
        <f>IF($Z619="","",IF($Z619&lt;=2000,IF(INDEX(包装物料出入库明细!$E$4:$E$2003,$Z619-0)=0,"",INDEX(包装物料出入库明细!$E$4:$E$2003,$Z619-0)),IF($Z619&lt;=4000,IF(INDEX(周转筐出入库明细!$D$4:$D$2004,$Z619-2000)=0,"",INDEX(周转筐出入库明细!$D$4:$D$2004,$Z619-2000)),IF($Z619&lt;=5200,IF(INDEX(客户自备加工筐明细!$C$4:$C$1203,$Z619-4000)=0,"",INDEX(客户自备加工筐明细!$C$4:$C$1203,$Z619-4000)),IF($Z619&lt;=5800,IF(INDEX(次果筐明细!$D$4:$D$603,$Z619-5200)=0,"",INDEX(次果筐明细!$D$4:$D$603,$Z619-5200)),"")))))</f>
        <v/>
      </c>
      <c r="G619" s="24" t="str">
        <f>IF($Z619="","",IF($Z619&lt;=2000,IF(INDEX(包装物料出入库明细!$F$4:$F$2003,$Z619-0)=0,"",INDEX(包装物料出入库明细!$F$4:$F$2003,$Z619-0)),IF($Z619&lt;=4000,"",IF($Z619&lt;=5200,"",IF($Z619&lt;=5800,"","")))))</f>
        <v/>
      </c>
      <c r="H619" s="39" t="str">
        <f>IF($Z619="","",IF($Z619&lt;=2000,IF(INDEX(包装物料出入库明细!$L$4:$L$2003,$Z619-0)=0,"",INDEX(包装物料出入库明细!$L$4:$L$2003,$Z619-0)),IF($Z619&lt;=4000,N(INDEX(周转筐出入库明细!$H$4:$H$2004,$Z619-2000))+N(INDEX(周转筐出入库明细!$I$4:$I$2004,$Z619-2000))+N(INDEX(周转筐出入库明细!$J$4:$J$2004,$Z619-2000))+N(INDEX(周转筐出入库明细!$K$4:$K$2004,$Z619-2000)),IF($Z619&lt;=5200,N(INDEX(客户自备加工筐明细!$F$4:$F$1203,$Z619-4000))+N(INDEX(客户自备加工筐明细!$G$4:$G$1203,$Z619-4000)),IF($Z619&lt;=5800,IF(INDEX(次果筐明细!$G$4:$G$603,$Z619-5200)=0,"",INDEX(次果筐明细!$G$4:$G$603,$Z619-5200)),"")))))</f>
        <v/>
      </c>
      <c r="I619" s="24" t="str">
        <f>IF($Z619="","",IF($Z619&lt;=2000,IF(INDEX(包装物料出入库明细!$G$4:$G$2003,$Z619-0)=0,"",INDEX(包装物料出入库明细!$G$4:$G$2003,$Z619-0)),IF($Z619&lt;=4000,"个",IF($Z619&lt;=5200,"个",IF($Z619&lt;=5800,"个","")))))</f>
        <v/>
      </c>
      <c r="J619" s="30" t="str">
        <f t="shared" si="28"/>
        <v/>
      </c>
      <c r="K619" s="30" t="str">
        <f>IF($Z619="","",IF($Z619&lt;=2000,IF(INDEX(包装物料出入库明细!$N$4:$N$2003,$Z619-0)=0,"",INDEX(包装物料出入库明细!$N$4:$N$2003,$Z619-0)),IF($Z619&lt;=4000,IF(INDEX(周转筐出入库明细!$P$4:$P$2004,$Z619-2000)=0,"",INDEX(周转筐出入库明细!$P$4:$P$2004,$Z619-2000)),IF($Z619&lt;=5200,"",IF($Z619&lt;=5800,N(INDEX(次果筐明细!$L$4:$L$603,$Z619-5200))+N(INDEX(次果筐明细!$J$4:$J$603,$Z619-5200)),"")))))</f>
        <v/>
      </c>
      <c r="L619" s="24" t="str">
        <f>IF($Z619="","",IF($Z619&lt;=2000,IF(INDEX(包装物料出入库明细!$P$4:$P$2003,$Z619-0)=0,"",INDEX(包装物料出入库明细!$P$4:$P$2003,$Z619-0)),IF($Z619&lt;=4000,IF(INDEX(周转筐出入库明细!$Q$4:$Q$2004,$Z619-2000)=0,"",INDEX(周转筐出入库明细!$Q$4:$Q$2004,$Z619-2000)),IF($Z619&lt;=5200,"",IF($Z619&lt;=5800,IF(INDEX(次果筐明细!$M$4:$M$603,$Z619-5200)=0,"",INDEX(次果筐明细!$M$4:$M$603,$Z619-5200)),"")))))</f>
        <v/>
      </c>
      <c r="M619" s="37" t="str">
        <f>IF($Z619="","",IF($Z619&lt;=2000,IF(INDEX(包装物料出入库明细!$R$4:$R$2003,$Z619-0)=0,"",INDEX(包装物料出入库明细!$R$4:$R$2003,$Z619-0)),IF($Z619&lt;=4000,IF(INDEX(周转筐出入库明细!$W$4:$W$2004,$Z619-2000)=0,"",INDEX(周转筐出入库明细!$W$4:$W$2004,$Z619-2000)),IF($Z619&lt;=5200,IF(INDEX(客户自备加工筐明细!$L$4:$L$1203,$Z619-4000)=0,"",INDEX(客户自备加工筐明细!$L$4:$L$1203,$Z619-4000)),IF($Z619&lt;=5800,IF(INDEX(次果筐明细!$P$4:$P$603,$Z619-5200)=0,"",INDEX(次果筐明细!$P$4:$P$603,$Z619-5200)),"")))))</f>
        <v/>
      </c>
      <c r="N619" s="16" t="str">
        <f>IF($Z619="","",IF($Z619&lt;=2000,"",IF($Z619&lt;=4000,IF(INDEX(周转筐出入库明细!$D$4:$D$2004,$Z619-2000)=0,"",INDEX(周转筐出入库明细!$D$4:$D$2004,$Z619-2000)),IF($Z619&lt;=5200,IF(INDEX(客户自备加工筐明细!$C$4:$C$1203,$Z619-4000)=0,"",INDEX(客户自备加工筐明细!$C$4:$C$1203,$Z619-4000)),IF($Z619&lt;=5800,IF(INDEX(次果筐明细!$D$4:$D$603,$Z619-5200)=0,"",INDEX(次果筐明细!$D$4:$D$603,$Z619-5200)),"")))))</f>
        <v/>
      </c>
      <c r="O619" s="40" t="str">
        <f>IF($Z619="","",IF($Z619&lt;=2000,"",IF($Z619&lt;=4000,IF(N(INDEX(周转筐出入库明细!$J$4:$J$2004,$Z619-2000))+N(INDEX(周转筐出入库明细!$K$4:$K$2004,$Z619-2000))=0,"",N(INDEX(周转筐出入库明细!$J$4:$J$2004,$Z619-2000))+N(INDEX(周转筐出入库明细!$K$4:$K$2004,$Z619-2000))),IF($Z619&lt;=5200,IF(N(INDEX(客户自备加工筐明细!$G$4:$G$1203,$Z619-4000))=0,"",N(INDEX(客户自备加工筐明细!$G$4:$G$1203,$Z619-4000))),IF($Z619&lt;=5800,IF(ISNUMBER(SEARCH("退",INDEX(次果筐明细!$F$4:$F$603,$Z619-5200)&amp;"")),"",IF(N(INDEX(次果筐明细!$G$4:$G$603,$Z619-5200))=0,"",N(INDEX(次果筐明细!$G$4:$G$603,$Z619-5200)))),"")))))</f>
        <v/>
      </c>
      <c r="P619" s="40" t="str">
        <f>IF($Z619="","",IF($Z619&lt;=2000,"",IF($Z619&lt;=4000,IF(N(INDEX(周转筐出入库明细!$I$4:$I$2004,$Z619-2000))=0,"",N(INDEX(周转筐出入库明细!$I$4:$I$2004,$Z619-2000))),IF($Z619&lt;=5200,"",IF($Z619&lt;=5800,IF(ISNUMBER(SEARCH("退",INDEX(次果筐明细!$F$4:$F$603,$Z619-5200)&amp;"")),IF(N(INDEX(次果筐明细!$G$4:$G$603,$Z619-5200))=0,"",N(INDEX(次果筐明细!$G$4:$G$603,$Z619-5200))),""),"")))))</f>
        <v/>
      </c>
      <c r="Q619" s="40" t="str">
        <f>IF($Z619="","",IF($Z619&lt;=2000,"",IF($Z619&lt;=4000,IF(N(INDEX(周转筐出入库明细!$H$4:$H$2004,$Z619-2000))=0,"",N(INDEX(周转筐出入库明细!$H$4:$H$2004,$Z619-2000))),IF($Z619&lt;=5200,IF(N(INDEX(客户自备加工筐明细!$F$4:$F$1203,$Z619-4000))=0,"",N(INDEX(客户自备加工筐明细!$F$4:$F$1203,$Z619-4000))),IF($Z619&lt;=5800,"","")))))</f>
        <v/>
      </c>
      <c r="R619" s="16" t="str">
        <f>IF($Z619="","",IF($Z619&lt;=2000,IF(INDEX(包装物料出入库明细!$O$4:$O$2003,$Z619-0)=0,"",INDEX(包装物料出入库明细!$O$4:$O$2003,$Z619-0)),IF($Z619&lt;=4000,IF(INDEX(周转筐出入库明细!$M$4:$M$2004,$Z619-2000)=0,"",INDEX(周转筐出入库明细!$M$4:$M$2004,$Z619-2000)),IF($Z619&lt;=5200,IF(INDEX(客户自备加工筐明细!$H$4:$H$1203,$Z619-4000)=0,"",INDEX(客户自备加工筐明细!$H$4:$H$1203,$Z619-4000)),IF($Z619&lt;=5800,IF(INDEX(次果筐明细!$H$4:$H$603,$Z619-5200)=0,"",INDEX(次果筐明细!$H$4:$H$603,$Z619-5200)),"")))))</f>
        <v/>
      </c>
      <c r="S619" s="22" t="str">
        <f t="shared" si="29"/>
        <v/>
      </c>
      <c r="Z619" s="10" t="str">
        <f>IFERROR(MATCH(ROW()-3,_自动清单!$CQ$4:$CQ$5803,0),"")</f>
        <v/>
      </c>
    </row>
    <row r="620" spans="1:26">
      <c r="A620" s="24" t="str">
        <f t="shared" si="27"/>
        <v/>
      </c>
      <c r="B620" s="38" t="str">
        <f>IF($Z620="","",IF($Z620&lt;=2000,IF(INDEX(包装物料出入库明细!$B$4:$B$2003,$Z620-0)=0,"",INDEX(包装物料出入库明细!$B$4:$B$2003,$Z620-0)),IF($Z620&lt;=4000,IF(INDEX(周转筐出入库明细!$B$4:$B$2004,$Z620-2000)=0,"",INDEX(周转筐出入库明细!$B$4:$B$2004,$Z620-2000)),IF($Z620&lt;=5200,IF(INDEX(客户自备加工筐明细!$B$4:$B$1203,$Z620-4000)=0,"",INDEX(客户自备加工筐明细!$B$4:$B$1203,$Z620-4000)),IF($Z620&lt;=5800,IF(INDEX(次果筐明细!$B$4:$B$603,$Z620-5200)=0,"",INDEX(次果筐明细!$B$4:$B$603,$Z620-5200)),"")))))</f>
        <v/>
      </c>
      <c r="C620" s="37" t="str">
        <f>IF($Z620="","",IF($Z620&lt;=2000,IF(INDEX(包装物料出入库明细!$D$4:$D$2003,$Z620-0)=0,"",INDEX(包装物料出入库明细!$D$4:$D$2003,$Z620-0)),IF($Z620&lt;=4000,IF(INDEX(周转筐出入库明细!$C$4:$C$2004,$Z620-2000)=0,"",INDEX(周转筐出入库明细!$C$4:$C$2004,$Z620-2000)),IF($Z620&lt;=5200,IF(INDEX(客户自备加工筐明细!$E$4:$E$1203,$Z620-4000)=0,"",INDEX(客户自备加工筐明细!$E$4:$E$1203,$Z620-4000)),IF($Z620&lt;=5800,IF(INDEX(次果筐明细!$C$4:$C$603,$Z620-5200)=0,"",INDEX(次果筐明细!$C$4:$C$603,$Z620-5200)),"")))))</f>
        <v/>
      </c>
      <c r="D620" s="37" t="str">
        <f>IF($Z620="","",IF($Z620&lt;=2000,"包装物料－"&amp;INDEX(包装物料出入库明细!$H$4:$H$2003,$Z620-0),IF($Z620&lt;=4000,"周转筐－"&amp;INDEX(周转筐出入库明细!$F$4:$F$2004,$Z620-2000),IF($Z620&lt;=5200,"客户自备筐－"&amp;INDEX(客户自备加工筐明细!$J$4:$J$1203,$Z620-4000),IF($Z620&lt;=5800,"次果筐/托盘－"&amp;INDEX(次果筐明细!$F$4:$F$603,$Z620-5200),"")))))</f>
        <v/>
      </c>
      <c r="E620" s="24" t="str">
        <f>IF($Z620="","",IF($Z620&lt;=2000,IF(INDEX(包装物料出入库明细!$C$4:$C$2003,$Z620-0)=0,"",INDEX(包装物料出入库明细!$C$4:$C$2003,$Z620-0)),IF($Z620&lt;=4000,IF(INDEX(周转筐出入库明细!$E$4:$E$2004,$Z620-2000)=0,"",INDEX(周转筐出入库明细!$E$4:$E$2004,$Z620-2000)),IF($Z620&lt;=5200,IF(INDEX(客户自备加工筐明细!$D$4:$D$1203,$Z620-4000)=0,"",INDEX(客户自备加工筐明细!$D$4:$D$1203,$Z620-4000)),IF($Z620&lt;=5800,IF(INDEX(次果筐明细!$E$4:$E$603,$Z620-5200)=0,"",INDEX(次果筐明细!$E$4:$E$603,$Z620-5200)),"")))))</f>
        <v/>
      </c>
      <c r="F620" s="24" t="str">
        <f>IF($Z620="","",IF($Z620&lt;=2000,IF(INDEX(包装物料出入库明细!$E$4:$E$2003,$Z620-0)=0,"",INDEX(包装物料出入库明细!$E$4:$E$2003,$Z620-0)),IF($Z620&lt;=4000,IF(INDEX(周转筐出入库明细!$D$4:$D$2004,$Z620-2000)=0,"",INDEX(周转筐出入库明细!$D$4:$D$2004,$Z620-2000)),IF($Z620&lt;=5200,IF(INDEX(客户自备加工筐明细!$C$4:$C$1203,$Z620-4000)=0,"",INDEX(客户自备加工筐明细!$C$4:$C$1203,$Z620-4000)),IF($Z620&lt;=5800,IF(INDEX(次果筐明细!$D$4:$D$603,$Z620-5200)=0,"",INDEX(次果筐明细!$D$4:$D$603,$Z620-5200)),"")))))</f>
        <v/>
      </c>
      <c r="G620" s="24" t="str">
        <f>IF($Z620="","",IF($Z620&lt;=2000,IF(INDEX(包装物料出入库明细!$F$4:$F$2003,$Z620-0)=0,"",INDEX(包装物料出入库明细!$F$4:$F$2003,$Z620-0)),IF($Z620&lt;=4000,"",IF($Z620&lt;=5200,"",IF($Z620&lt;=5800,"","")))))</f>
        <v/>
      </c>
      <c r="H620" s="39" t="str">
        <f>IF($Z620="","",IF($Z620&lt;=2000,IF(INDEX(包装物料出入库明细!$L$4:$L$2003,$Z620-0)=0,"",INDEX(包装物料出入库明细!$L$4:$L$2003,$Z620-0)),IF($Z620&lt;=4000,N(INDEX(周转筐出入库明细!$H$4:$H$2004,$Z620-2000))+N(INDEX(周转筐出入库明细!$I$4:$I$2004,$Z620-2000))+N(INDEX(周转筐出入库明细!$J$4:$J$2004,$Z620-2000))+N(INDEX(周转筐出入库明细!$K$4:$K$2004,$Z620-2000)),IF($Z620&lt;=5200,N(INDEX(客户自备加工筐明细!$F$4:$F$1203,$Z620-4000))+N(INDEX(客户自备加工筐明细!$G$4:$G$1203,$Z620-4000)),IF($Z620&lt;=5800,IF(INDEX(次果筐明细!$G$4:$G$603,$Z620-5200)=0,"",INDEX(次果筐明细!$G$4:$G$603,$Z620-5200)),"")))))</f>
        <v/>
      </c>
      <c r="I620" s="24" t="str">
        <f>IF($Z620="","",IF($Z620&lt;=2000,IF(INDEX(包装物料出入库明细!$G$4:$G$2003,$Z620-0)=0,"",INDEX(包装物料出入库明细!$G$4:$G$2003,$Z620-0)),IF($Z620&lt;=4000,"个",IF($Z620&lt;=5200,"个",IF($Z620&lt;=5800,"个","")))))</f>
        <v/>
      </c>
      <c r="J620" s="30" t="str">
        <f t="shared" si="28"/>
        <v/>
      </c>
      <c r="K620" s="30" t="str">
        <f>IF($Z620="","",IF($Z620&lt;=2000,IF(INDEX(包装物料出入库明细!$N$4:$N$2003,$Z620-0)=0,"",INDEX(包装物料出入库明细!$N$4:$N$2003,$Z620-0)),IF($Z620&lt;=4000,IF(INDEX(周转筐出入库明细!$P$4:$P$2004,$Z620-2000)=0,"",INDEX(周转筐出入库明细!$P$4:$P$2004,$Z620-2000)),IF($Z620&lt;=5200,"",IF($Z620&lt;=5800,N(INDEX(次果筐明细!$L$4:$L$603,$Z620-5200))+N(INDEX(次果筐明细!$J$4:$J$603,$Z620-5200)),"")))))</f>
        <v/>
      </c>
      <c r="L620" s="24" t="str">
        <f>IF($Z620="","",IF($Z620&lt;=2000,IF(INDEX(包装物料出入库明细!$P$4:$P$2003,$Z620-0)=0,"",INDEX(包装物料出入库明细!$P$4:$P$2003,$Z620-0)),IF($Z620&lt;=4000,IF(INDEX(周转筐出入库明细!$Q$4:$Q$2004,$Z620-2000)=0,"",INDEX(周转筐出入库明细!$Q$4:$Q$2004,$Z620-2000)),IF($Z620&lt;=5200,"",IF($Z620&lt;=5800,IF(INDEX(次果筐明细!$M$4:$M$603,$Z620-5200)=0,"",INDEX(次果筐明细!$M$4:$M$603,$Z620-5200)),"")))))</f>
        <v/>
      </c>
      <c r="M620" s="37" t="str">
        <f>IF($Z620="","",IF($Z620&lt;=2000,IF(INDEX(包装物料出入库明细!$R$4:$R$2003,$Z620-0)=0,"",INDEX(包装物料出入库明细!$R$4:$R$2003,$Z620-0)),IF($Z620&lt;=4000,IF(INDEX(周转筐出入库明细!$W$4:$W$2004,$Z620-2000)=0,"",INDEX(周转筐出入库明细!$W$4:$W$2004,$Z620-2000)),IF($Z620&lt;=5200,IF(INDEX(客户自备加工筐明细!$L$4:$L$1203,$Z620-4000)=0,"",INDEX(客户自备加工筐明细!$L$4:$L$1203,$Z620-4000)),IF($Z620&lt;=5800,IF(INDEX(次果筐明细!$P$4:$P$603,$Z620-5200)=0,"",INDEX(次果筐明细!$P$4:$P$603,$Z620-5200)),"")))))</f>
        <v/>
      </c>
      <c r="N620" s="16" t="str">
        <f>IF($Z620="","",IF($Z620&lt;=2000,"",IF($Z620&lt;=4000,IF(INDEX(周转筐出入库明细!$D$4:$D$2004,$Z620-2000)=0,"",INDEX(周转筐出入库明细!$D$4:$D$2004,$Z620-2000)),IF($Z620&lt;=5200,IF(INDEX(客户自备加工筐明细!$C$4:$C$1203,$Z620-4000)=0,"",INDEX(客户自备加工筐明细!$C$4:$C$1203,$Z620-4000)),IF($Z620&lt;=5800,IF(INDEX(次果筐明细!$D$4:$D$603,$Z620-5200)=0,"",INDEX(次果筐明细!$D$4:$D$603,$Z620-5200)),"")))))</f>
        <v/>
      </c>
      <c r="O620" s="40" t="str">
        <f>IF($Z620="","",IF($Z620&lt;=2000,"",IF($Z620&lt;=4000,IF(N(INDEX(周转筐出入库明细!$J$4:$J$2004,$Z620-2000))+N(INDEX(周转筐出入库明细!$K$4:$K$2004,$Z620-2000))=0,"",N(INDEX(周转筐出入库明细!$J$4:$J$2004,$Z620-2000))+N(INDEX(周转筐出入库明细!$K$4:$K$2004,$Z620-2000))),IF($Z620&lt;=5200,IF(N(INDEX(客户自备加工筐明细!$G$4:$G$1203,$Z620-4000))=0,"",N(INDEX(客户自备加工筐明细!$G$4:$G$1203,$Z620-4000))),IF($Z620&lt;=5800,IF(ISNUMBER(SEARCH("退",INDEX(次果筐明细!$F$4:$F$603,$Z620-5200)&amp;"")),"",IF(N(INDEX(次果筐明细!$G$4:$G$603,$Z620-5200))=0,"",N(INDEX(次果筐明细!$G$4:$G$603,$Z620-5200)))),"")))))</f>
        <v/>
      </c>
      <c r="P620" s="40" t="str">
        <f>IF($Z620="","",IF($Z620&lt;=2000,"",IF($Z620&lt;=4000,IF(N(INDEX(周转筐出入库明细!$I$4:$I$2004,$Z620-2000))=0,"",N(INDEX(周转筐出入库明细!$I$4:$I$2004,$Z620-2000))),IF($Z620&lt;=5200,"",IF($Z620&lt;=5800,IF(ISNUMBER(SEARCH("退",INDEX(次果筐明细!$F$4:$F$603,$Z620-5200)&amp;"")),IF(N(INDEX(次果筐明细!$G$4:$G$603,$Z620-5200))=0,"",N(INDEX(次果筐明细!$G$4:$G$603,$Z620-5200))),""),"")))))</f>
        <v/>
      </c>
      <c r="Q620" s="40" t="str">
        <f>IF($Z620="","",IF($Z620&lt;=2000,"",IF($Z620&lt;=4000,IF(N(INDEX(周转筐出入库明细!$H$4:$H$2004,$Z620-2000))=0,"",N(INDEX(周转筐出入库明细!$H$4:$H$2004,$Z620-2000))),IF($Z620&lt;=5200,IF(N(INDEX(客户自备加工筐明细!$F$4:$F$1203,$Z620-4000))=0,"",N(INDEX(客户自备加工筐明细!$F$4:$F$1203,$Z620-4000))),IF($Z620&lt;=5800,"","")))))</f>
        <v/>
      </c>
      <c r="R620" s="16" t="str">
        <f>IF($Z620="","",IF($Z620&lt;=2000,IF(INDEX(包装物料出入库明细!$O$4:$O$2003,$Z620-0)=0,"",INDEX(包装物料出入库明细!$O$4:$O$2003,$Z620-0)),IF($Z620&lt;=4000,IF(INDEX(周转筐出入库明细!$M$4:$M$2004,$Z620-2000)=0,"",INDEX(周转筐出入库明细!$M$4:$M$2004,$Z620-2000)),IF($Z620&lt;=5200,IF(INDEX(客户自备加工筐明细!$H$4:$H$1203,$Z620-4000)=0,"",INDEX(客户自备加工筐明细!$H$4:$H$1203,$Z620-4000)),IF($Z620&lt;=5800,IF(INDEX(次果筐明细!$H$4:$H$603,$Z620-5200)=0,"",INDEX(次果筐明细!$H$4:$H$603,$Z620-5200)),"")))))</f>
        <v/>
      </c>
      <c r="S620" s="22" t="str">
        <f t="shared" si="29"/>
        <v/>
      </c>
      <c r="Z620" s="10" t="str">
        <f>IFERROR(MATCH(ROW()-3,_自动清单!$CQ$4:$CQ$5803,0),"")</f>
        <v/>
      </c>
    </row>
    <row r="621" spans="1:26">
      <c r="A621" s="24" t="str">
        <f t="shared" si="27"/>
        <v/>
      </c>
      <c r="B621" s="38" t="str">
        <f>IF($Z621="","",IF($Z621&lt;=2000,IF(INDEX(包装物料出入库明细!$B$4:$B$2003,$Z621-0)=0,"",INDEX(包装物料出入库明细!$B$4:$B$2003,$Z621-0)),IF($Z621&lt;=4000,IF(INDEX(周转筐出入库明细!$B$4:$B$2004,$Z621-2000)=0,"",INDEX(周转筐出入库明细!$B$4:$B$2004,$Z621-2000)),IF($Z621&lt;=5200,IF(INDEX(客户自备加工筐明细!$B$4:$B$1203,$Z621-4000)=0,"",INDEX(客户自备加工筐明细!$B$4:$B$1203,$Z621-4000)),IF($Z621&lt;=5800,IF(INDEX(次果筐明细!$B$4:$B$603,$Z621-5200)=0,"",INDEX(次果筐明细!$B$4:$B$603,$Z621-5200)),"")))))</f>
        <v/>
      </c>
      <c r="C621" s="37" t="str">
        <f>IF($Z621="","",IF($Z621&lt;=2000,IF(INDEX(包装物料出入库明细!$D$4:$D$2003,$Z621-0)=0,"",INDEX(包装物料出入库明细!$D$4:$D$2003,$Z621-0)),IF($Z621&lt;=4000,IF(INDEX(周转筐出入库明细!$C$4:$C$2004,$Z621-2000)=0,"",INDEX(周转筐出入库明细!$C$4:$C$2004,$Z621-2000)),IF($Z621&lt;=5200,IF(INDEX(客户自备加工筐明细!$E$4:$E$1203,$Z621-4000)=0,"",INDEX(客户自备加工筐明细!$E$4:$E$1203,$Z621-4000)),IF($Z621&lt;=5800,IF(INDEX(次果筐明细!$C$4:$C$603,$Z621-5200)=0,"",INDEX(次果筐明细!$C$4:$C$603,$Z621-5200)),"")))))</f>
        <v/>
      </c>
      <c r="D621" s="37" t="str">
        <f>IF($Z621="","",IF($Z621&lt;=2000,"包装物料－"&amp;INDEX(包装物料出入库明细!$H$4:$H$2003,$Z621-0),IF($Z621&lt;=4000,"周转筐－"&amp;INDEX(周转筐出入库明细!$F$4:$F$2004,$Z621-2000),IF($Z621&lt;=5200,"客户自备筐－"&amp;INDEX(客户自备加工筐明细!$J$4:$J$1203,$Z621-4000),IF($Z621&lt;=5800,"次果筐/托盘－"&amp;INDEX(次果筐明细!$F$4:$F$603,$Z621-5200),"")))))</f>
        <v/>
      </c>
      <c r="E621" s="24" t="str">
        <f>IF($Z621="","",IF($Z621&lt;=2000,IF(INDEX(包装物料出入库明细!$C$4:$C$2003,$Z621-0)=0,"",INDEX(包装物料出入库明细!$C$4:$C$2003,$Z621-0)),IF($Z621&lt;=4000,IF(INDEX(周转筐出入库明细!$E$4:$E$2004,$Z621-2000)=0,"",INDEX(周转筐出入库明细!$E$4:$E$2004,$Z621-2000)),IF($Z621&lt;=5200,IF(INDEX(客户自备加工筐明细!$D$4:$D$1203,$Z621-4000)=0,"",INDEX(客户自备加工筐明细!$D$4:$D$1203,$Z621-4000)),IF($Z621&lt;=5800,IF(INDEX(次果筐明细!$E$4:$E$603,$Z621-5200)=0,"",INDEX(次果筐明细!$E$4:$E$603,$Z621-5200)),"")))))</f>
        <v/>
      </c>
      <c r="F621" s="24" t="str">
        <f>IF($Z621="","",IF($Z621&lt;=2000,IF(INDEX(包装物料出入库明细!$E$4:$E$2003,$Z621-0)=0,"",INDEX(包装物料出入库明细!$E$4:$E$2003,$Z621-0)),IF($Z621&lt;=4000,IF(INDEX(周转筐出入库明细!$D$4:$D$2004,$Z621-2000)=0,"",INDEX(周转筐出入库明细!$D$4:$D$2004,$Z621-2000)),IF($Z621&lt;=5200,IF(INDEX(客户自备加工筐明细!$C$4:$C$1203,$Z621-4000)=0,"",INDEX(客户自备加工筐明细!$C$4:$C$1203,$Z621-4000)),IF($Z621&lt;=5800,IF(INDEX(次果筐明细!$D$4:$D$603,$Z621-5200)=0,"",INDEX(次果筐明细!$D$4:$D$603,$Z621-5200)),"")))))</f>
        <v/>
      </c>
      <c r="G621" s="24" t="str">
        <f>IF($Z621="","",IF($Z621&lt;=2000,IF(INDEX(包装物料出入库明细!$F$4:$F$2003,$Z621-0)=0,"",INDEX(包装物料出入库明细!$F$4:$F$2003,$Z621-0)),IF($Z621&lt;=4000,"",IF($Z621&lt;=5200,"",IF($Z621&lt;=5800,"","")))))</f>
        <v/>
      </c>
      <c r="H621" s="39" t="str">
        <f>IF($Z621="","",IF($Z621&lt;=2000,IF(INDEX(包装物料出入库明细!$L$4:$L$2003,$Z621-0)=0,"",INDEX(包装物料出入库明细!$L$4:$L$2003,$Z621-0)),IF($Z621&lt;=4000,N(INDEX(周转筐出入库明细!$H$4:$H$2004,$Z621-2000))+N(INDEX(周转筐出入库明细!$I$4:$I$2004,$Z621-2000))+N(INDEX(周转筐出入库明细!$J$4:$J$2004,$Z621-2000))+N(INDEX(周转筐出入库明细!$K$4:$K$2004,$Z621-2000)),IF($Z621&lt;=5200,N(INDEX(客户自备加工筐明细!$F$4:$F$1203,$Z621-4000))+N(INDEX(客户自备加工筐明细!$G$4:$G$1203,$Z621-4000)),IF($Z621&lt;=5800,IF(INDEX(次果筐明细!$G$4:$G$603,$Z621-5200)=0,"",INDEX(次果筐明细!$G$4:$G$603,$Z621-5200)),"")))))</f>
        <v/>
      </c>
      <c r="I621" s="24" t="str">
        <f>IF($Z621="","",IF($Z621&lt;=2000,IF(INDEX(包装物料出入库明细!$G$4:$G$2003,$Z621-0)=0,"",INDEX(包装物料出入库明细!$G$4:$G$2003,$Z621-0)),IF($Z621&lt;=4000,"个",IF($Z621&lt;=5200,"个",IF($Z621&lt;=5800,"个","")))))</f>
        <v/>
      </c>
      <c r="J621" s="30" t="str">
        <f t="shared" si="28"/>
        <v/>
      </c>
      <c r="K621" s="30" t="str">
        <f>IF($Z621="","",IF($Z621&lt;=2000,IF(INDEX(包装物料出入库明细!$N$4:$N$2003,$Z621-0)=0,"",INDEX(包装物料出入库明细!$N$4:$N$2003,$Z621-0)),IF($Z621&lt;=4000,IF(INDEX(周转筐出入库明细!$P$4:$P$2004,$Z621-2000)=0,"",INDEX(周转筐出入库明细!$P$4:$P$2004,$Z621-2000)),IF($Z621&lt;=5200,"",IF($Z621&lt;=5800,N(INDEX(次果筐明细!$L$4:$L$603,$Z621-5200))+N(INDEX(次果筐明细!$J$4:$J$603,$Z621-5200)),"")))))</f>
        <v/>
      </c>
      <c r="L621" s="24" t="str">
        <f>IF($Z621="","",IF($Z621&lt;=2000,IF(INDEX(包装物料出入库明细!$P$4:$P$2003,$Z621-0)=0,"",INDEX(包装物料出入库明细!$P$4:$P$2003,$Z621-0)),IF($Z621&lt;=4000,IF(INDEX(周转筐出入库明细!$Q$4:$Q$2004,$Z621-2000)=0,"",INDEX(周转筐出入库明细!$Q$4:$Q$2004,$Z621-2000)),IF($Z621&lt;=5200,"",IF($Z621&lt;=5800,IF(INDEX(次果筐明细!$M$4:$M$603,$Z621-5200)=0,"",INDEX(次果筐明细!$M$4:$M$603,$Z621-5200)),"")))))</f>
        <v/>
      </c>
      <c r="M621" s="37" t="str">
        <f>IF($Z621="","",IF($Z621&lt;=2000,IF(INDEX(包装物料出入库明细!$R$4:$R$2003,$Z621-0)=0,"",INDEX(包装物料出入库明细!$R$4:$R$2003,$Z621-0)),IF($Z621&lt;=4000,IF(INDEX(周转筐出入库明细!$W$4:$W$2004,$Z621-2000)=0,"",INDEX(周转筐出入库明细!$W$4:$W$2004,$Z621-2000)),IF($Z621&lt;=5200,IF(INDEX(客户自备加工筐明细!$L$4:$L$1203,$Z621-4000)=0,"",INDEX(客户自备加工筐明细!$L$4:$L$1203,$Z621-4000)),IF($Z621&lt;=5800,IF(INDEX(次果筐明细!$P$4:$P$603,$Z621-5200)=0,"",INDEX(次果筐明细!$P$4:$P$603,$Z621-5200)),"")))))</f>
        <v/>
      </c>
      <c r="N621" s="16" t="str">
        <f>IF($Z621="","",IF($Z621&lt;=2000,"",IF($Z621&lt;=4000,IF(INDEX(周转筐出入库明细!$D$4:$D$2004,$Z621-2000)=0,"",INDEX(周转筐出入库明细!$D$4:$D$2004,$Z621-2000)),IF($Z621&lt;=5200,IF(INDEX(客户自备加工筐明细!$C$4:$C$1203,$Z621-4000)=0,"",INDEX(客户自备加工筐明细!$C$4:$C$1203,$Z621-4000)),IF($Z621&lt;=5800,IF(INDEX(次果筐明细!$D$4:$D$603,$Z621-5200)=0,"",INDEX(次果筐明细!$D$4:$D$603,$Z621-5200)),"")))))</f>
        <v/>
      </c>
      <c r="O621" s="40" t="str">
        <f>IF($Z621="","",IF($Z621&lt;=2000,"",IF($Z621&lt;=4000,IF(N(INDEX(周转筐出入库明细!$J$4:$J$2004,$Z621-2000))+N(INDEX(周转筐出入库明细!$K$4:$K$2004,$Z621-2000))=0,"",N(INDEX(周转筐出入库明细!$J$4:$J$2004,$Z621-2000))+N(INDEX(周转筐出入库明细!$K$4:$K$2004,$Z621-2000))),IF($Z621&lt;=5200,IF(N(INDEX(客户自备加工筐明细!$G$4:$G$1203,$Z621-4000))=0,"",N(INDEX(客户自备加工筐明细!$G$4:$G$1203,$Z621-4000))),IF($Z621&lt;=5800,IF(ISNUMBER(SEARCH("退",INDEX(次果筐明细!$F$4:$F$603,$Z621-5200)&amp;"")),"",IF(N(INDEX(次果筐明细!$G$4:$G$603,$Z621-5200))=0,"",N(INDEX(次果筐明细!$G$4:$G$603,$Z621-5200)))),"")))))</f>
        <v/>
      </c>
      <c r="P621" s="40" t="str">
        <f>IF($Z621="","",IF($Z621&lt;=2000,"",IF($Z621&lt;=4000,IF(N(INDEX(周转筐出入库明细!$I$4:$I$2004,$Z621-2000))=0,"",N(INDEX(周转筐出入库明细!$I$4:$I$2004,$Z621-2000))),IF($Z621&lt;=5200,"",IF($Z621&lt;=5800,IF(ISNUMBER(SEARCH("退",INDEX(次果筐明细!$F$4:$F$603,$Z621-5200)&amp;"")),IF(N(INDEX(次果筐明细!$G$4:$G$603,$Z621-5200))=0,"",N(INDEX(次果筐明细!$G$4:$G$603,$Z621-5200))),""),"")))))</f>
        <v/>
      </c>
      <c r="Q621" s="40" t="str">
        <f>IF($Z621="","",IF($Z621&lt;=2000,"",IF($Z621&lt;=4000,IF(N(INDEX(周转筐出入库明细!$H$4:$H$2004,$Z621-2000))=0,"",N(INDEX(周转筐出入库明细!$H$4:$H$2004,$Z621-2000))),IF($Z621&lt;=5200,IF(N(INDEX(客户自备加工筐明细!$F$4:$F$1203,$Z621-4000))=0,"",N(INDEX(客户自备加工筐明细!$F$4:$F$1203,$Z621-4000))),IF($Z621&lt;=5800,"","")))))</f>
        <v/>
      </c>
      <c r="R621" s="16" t="str">
        <f>IF($Z621="","",IF($Z621&lt;=2000,IF(INDEX(包装物料出入库明细!$O$4:$O$2003,$Z621-0)=0,"",INDEX(包装物料出入库明细!$O$4:$O$2003,$Z621-0)),IF($Z621&lt;=4000,IF(INDEX(周转筐出入库明细!$M$4:$M$2004,$Z621-2000)=0,"",INDEX(周转筐出入库明细!$M$4:$M$2004,$Z621-2000)),IF($Z621&lt;=5200,IF(INDEX(客户自备加工筐明细!$H$4:$H$1203,$Z621-4000)=0,"",INDEX(客户自备加工筐明细!$H$4:$H$1203,$Z621-4000)),IF($Z621&lt;=5800,IF(INDEX(次果筐明细!$H$4:$H$603,$Z621-5200)=0,"",INDEX(次果筐明细!$H$4:$H$603,$Z621-5200)),"")))))</f>
        <v/>
      </c>
      <c r="S621" s="22" t="str">
        <f t="shared" si="29"/>
        <v/>
      </c>
      <c r="Z621" s="10" t="str">
        <f>IFERROR(MATCH(ROW()-3,_自动清单!$CQ$4:$CQ$5803,0),"")</f>
        <v/>
      </c>
    </row>
    <row r="622" spans="1:26">
      <c r="A622" s="24" t="str">
        <f t="shared" si="27"/>
        <v/>
      </c>
      <c r="B622" s="38" t="str">
        <f>IF($Z622="","",IF($Z622&lt;=2000,IF(INDEX(包装物料出入库明细!$B$4:$B$2003,$Z622-0)=0,"",INDEX(包装物料出入库明细!$B$4:$B$2003,$Z622-0)),IF($Z622&lt;=4000,IF(INDEX(周转筐出入库明细!$B$4:$B$2004,$Z622-2000)=0,"",INDEX(周转筐出入库明细!$B$4:$B$2004,$Z622-2000)),IF($Z622&lt;=5200,IF(INDEX(客户自备加工筐明细!$B$4:$B$1203,$Z622-4000)=0,"",INDEX(客户自备加工筐明细!$B$4:$B$1203,$Z622-4000)),IF($Z622&lt;=5800,IF(INDEX(次果筐明细!$B$4:$B$603,$Z622-5200)=0,"",INDEX(次果筐明细!$B$4:$B$603,$Z622-5200)),"")))))</f>
        <v/>
      </c>
      <c r="C622" s="37" t="str">
        <f>IF($Z622="","",IF($Z622&lt;=2000,IF(INDEX(包装物料出入库明细!$D$4:$D$2003,$Z622-0)=0,"",INDEX(包装物料出入库明细!$D$4:$D$2003,$Z622-0)),IF($Z622&lt;=4000,IF(INDEX(周转筐出入库明细!$C$4:$C$2004,$Z622-2000)=0,"",INDEX(周转筐出入库明细!$C$4:$C$2004,$Z622-2000)),IF($Z622&lt;=5200,IF(INDEX(客户自备加工筐明细!$E$4:$E$1203,$Z622-4000)=0,"",INDEX(客户自备加工筐明细!$E$4:$E$1203,$Z622-4000)),IF($Z622&lt;=5800,IF(INDEX(次果筐明细!$C$4:$C$603,$Z622-5200)=0,"",INDEX(次果筐明细!$C$4:$C$603,$Z622-5200)),"")))))</f>
        <v/>
      </c>
      <c r="D622" s="37" t="str">
        <f>IF($Z622="","",IF($Z622&lt;=2000,"包装物料－"&amp;INDEX(包装物料出入库明细!$H$4:$H$2003,$Z622-0),IF($Z622&lt;=4000,"周转筐－"&amp;INDEX(周转筐出入库明细!$F$4:$F$2004,$Z622-2000),IF($Z622&lt;=5200,"客户自备筐－"&amp;INDEX(客户自备加工筐明细!$J$4:$J$1203,$Z622-4000),IF($Z622&lt;=5800,"次果筐/托盘－"&amp;INDEX(次果筐明细!$F$4:$F$603,$Z622-5200),"")))))</f>
        <v/>
      </c>
      <c r="E622" s="24" t="str">
        <f>IF($Z622="","",IF($Z622&lt;=2000,IF(INDEX(包装物料出入库明细!$C$4:$C$2003,$Z622-0)=0,"",INDEX(包装物料出入库明细!$C$4:$C$2003,$Z622-0)),IF($Z622&lt;=4000,IF(INDEX(周转筐出入库明细!$E$4:$E$2004,$Z622-2000)=0,"",INDEX(周转筐出入库明细!$E$4:$E$2004,$Z622-2000)),IF($Z622&lt;=5200,IF(INDEX(客户自备加工筐明细!$D$4:$D$1203,$Z622-4000)=0,"",INDEX(客户自备加工筐明细!$D$4:$D$1203,$Z622-4000)),IF($Z622&lt;=5800,IF(INDEX(次果筐明细!$E$4:$E$603,$Z622-5200)=0,"",INDEX(次果筐明细!$E$4:$E$603,$Z622-5200)),"")))))</f>
        <v/>
      </c>
      <c r="F622" s="24" t="str">
        <f>IF($Z622="","",IF($Z622&lt;=2000,IF(INDEX(包装物料出入库明细!$E$4:$E$2003,$Z622-0)=0,"",INDEX(包装物料出入库明细!$E$4:$E$2003,$Z622-0)),IF($Z622&lt;=4000,IF(INDEX(周转筐出入库明细!$D$4:$D$2004,$Z622-2000)=0,"",INDEX(周转筐出入库明细!$D$4:$D$2004,$Z622-2000)),IF($Z622&lt;=5200,IF(INDEX(客户自备加工筐明细!$C$4:$C$1203,$Z622-4000)=0,"",INDEX(客户自备加工筐明细!$C$4:$C$1203,$Z622-4000)),IF($Z622&lt;=5800,IF(INDEX(次果筐明细!$D$4:$D$603,$Z622-5200)=0,"",INDEX(次果筐明细!$D$4:$D$603,$Z622-5200)),"")))))</f>
        <v/>
      </c>
      <c r="G622" s="24" t="str">
        <f>IF($Z622="","",IF($Z622&lt;=2000,IF(INDEX(包装物料出入库明细!$F$4:$F$2003,$Z622-0)=0,"",INDEX(包装物料出入库明细!$F$4:$F$2003,$Z622-0)),IF($Z622&lt;=4000,"",IF($Z622&lt;=5200,"",IF($Z622&lt;=5800,"","")))))</f>
        <v/>
      </c>
      <c r="H622" s="39" t="str">
        <f>IF($Z622="","",IF($Z622&lt;=2000,IF(INDEX(包装物料出入库明细!$L$4:$L$2003,$Z622-0)=0,"",INDEX(包装物料出入库明细!$L$4:$L$2003,$Z622-0)),IF($Z622&lt;=4000,N(INDEX(周转筐出入库明细!$H$4:$H$2004,$Z622-2000))+N(INDEX(周转筐出入库明细!$I$4:$I$2004,$Z622-2000))+N(INDEX(周转筐出入库明细!$J$4:$J$2004,$Z622-2000))+N(INDEX(周转筐出入库明细!$K$4:$K$2004,$Z622-2000)),IF($Z622&lt;=5200,N(INDEX(客户自备加工筐明细!$F$4:$F$1203,$Z622-4000))+N(INDEX(客户自备加工筐明细!$G$4:$G$1203,$Z622-4000)),IF($Z622&lt;=5800,IF(INDEX(次果筐明细!$G$4:$G$603,$Z622-5200)=0,"",INDEX(次果筐明细!$G$4:$G$603,$Z622-5200)),"")))))</f>
        <v/>
      </c>
      <c r="I622" s="24" t="str">
        <f>IF($Z622="","",IF($Z622&lt;=2000,IF(INDEX(包装物料出入库明细!$G$4:$G$2003,$Z622-0)=0,"",INDEX(包装物料出入库明细!$G$4:$G$2003,$Z622-0)),IF($Z622&lt;=4000,"个",IF($Z622&lt;=5200,"个",IF($Z622&lt;=5800,"个","")))))</f>
        <v/>
      </c>
      <c r="J622" s="30" t="str">
        <f t="shared" si="28"/>
        <v/>
      </c>
      <c r="K622" s="30" t="str">
        <f>IF($Z622="","",IF($Z622&lt;=2000,IF(INDEX(包装物料出入库明细!$N$4:$N$2003,$Z622-0)=0,"",INDEX(包装物料出入库明细!$N$4:$N$2003,$Z622-0)),IF($Z622&lt;=4000,IF(INDEX(周转筐出入库明细!$P$4:$P$2004,$Z622-2000)=0,"",INDEX(周转筐出入库明细!$P$4:$P$2004,$Z622-2000)),IF($Z622&lt;=5200,"",IF($Z622&lt;=5800,N(INDEX(次果筐明细!$L$4:$L$603,$Z622-5200))+N(INDEX(次果筐明细!$J$4:$J$603,$Z622-5200)),"")))))</f>
        <v/>
      </c>
      <c r="L622" s="24" t="str">
        <f>IF($Z622="","",IF($Z622&lt;=2000,IF(INDEX(包装物料出入库明细!$P$4:$P$2003,$Z622-0)=0,"",INDEX(包装物料出入库明细!$P$4:$P$2003,$Z622-0)),IF($Z622&lt;=4000,IF(INDEX(周转筐出入库明细!$Q$4:$Q$2004,$Z622-2000)=0,"",INDEX(周转筐出入库明细!$Q$4:$Q$2004,$Z622-2000)),IF($Z622&lt;=5200,"",IF($Z622&lt;=5800,IF(INDEX(次果筐明细!$M$4:$M$603,$Z622-5200)=0,"",INDEX(次果筐明细!$M$4:$M$603,$Z622-5200)),"")))))</f>
        <v/>
      </c>
      <c r="M622" s="37" t="str">
        <f>IF($Z622="","",IF($Z622&lt;=2000,IF(INDEX(包装物料出入库明细!$R$4:$R$2003,$Z622-0)=0,"",INDEX(包装物料出入库明细!$R$4:$R$2003,$Z622-0)),IF($Z622&lt;=4000,IF(INDEX(周转筐出入库明细!$W$4:$W$2004,$Z622-2000)=0,"",INDEX(周转筐出入库明细!$W$4:$W$2004,$Z622-2000)),IF($Z622&lt;=5200,IF(INDEX(客户自备加工筐明细!$L$4:$L$1203,$Z622-4000)=0,"",INDEX(客户自备加工筐明细!$L$4:$L$1203,$Z622-4000)),IF($Z622&lt;=5800,IF(INDEX(次果筐明细!$P$4:$P$603,$Z622-5200)=0,"",INDEX(次果筐明细!$P$4:$P$603,$Z622-5200)),"")))))</f>
        <v/>
      </c>
      <c r="N622" s="16" t="str">
        <f>IF($Z622="","",IF($Z622&lt;=2000,"",IF($Z622&lt;=4000,IF(INDEX(周转筐出入库明细!$D$4:$D$2004,$Z622-2000)=0,"",INDEX(周转筐出入库明细!$D$4:$D$2004,$Z622-2000)),IF($Z622&lt;=5200,IF(INDEX(客户自备加工筐明细!$C$4:$C$1203,$Z622-4000)=0,"",INDEX(客户自备加工筐明细!$C$4:$C$1203,$Z622-4000)),IF($Z622&lt;=5800,IF(INDEX(次果筐明细!$D$4:$D$603,$Z622-5200)=0,"",INDEX(次果筐明细!$D$4:$D$603,$Z622-5200)),"")))))</f>
        <v/>
      </c>
      <c r="O622" s="40" t="str">
        <f>IF($Z622="","",IF($Z622&lt;=2000,"",IF($Z622&lt;=4000,IF(N(INDEX(周转筐出入库明细!$J$4:$J$2004,$Z622-2000))+N(INDEX(周转筐出入库明细!$K$4:$K$2004,$Z622-2000))=0,"",N(INDEX(周转筐出入库明细!$J$4:$J$2004,$Z622-2000))+N(INDEX(周转筐出入库明细!$K$4:$K$2004,$Z622-2000))),IF($Z622&lt;=5200,IF(N(INDEX(客户自备加工筐明细!$G$4:$G$1203,$Z622-4000))=0,"",N(INDEX(客户自备加工筐明细!$G$4:$G$1203,$Z622-4000))),IF($Z622&lt;=5800,IF(ISNUMBER(SEARCH("退",INDEX(次果筐明细!$F$4:$F$603,$Z622-5200)&amp;"")),"",IF(N(INDEX(次果筐明细!$G$4:$G$603,$Z622-5200))=0,"",N(INDEX(次果筐明细!$G$4:$G$603,$Z622-5200)))),"")))))</f>
        <v/>
      </c>
      <c r="P622" s="40" t="str">
        <f>IF($Z622="","",IF($Z622&lt;=2000,"",IF($Z622&lt;=4000,IF(N(INDEX(周转筐出入库明细!$I$4:$I$2004,$Z622-2000))=0,"",N(INDEX(周转筐出入库明细!$I$4:$I$2004,$Z622-2000))),IF($Z622&lt;=5200,"",IF($Z622&lt;=5800,IF(ISNUMBER(SEARCH("退",INDEX(次果筐明细!$F$4:$F$603,$Z622-5200)&amp;"")),IF(N(INDEX(次果筐明细!$G$4:$G$603,$Z622-5200))=0,"",N(INDEX(次果筐明细!$G$4:$G$603,$Z622-5200))),""),"")))))</f>
        <v/>
      </c>
      <c r="Q622" s="40" t="str">
        <f>IF($Z622="","",IF($Z622&lt;=2000,"",IF($Z622&lt;=4000,IF(N(INDEX(周转筐出入库明细!$H$4:$H$2004,$Z622-2000))=0,"",N(INDEX(周转筐出入库明细!$H$4:$H$2004,$Z622-2000))),IF($Z622&lt;=5200,IF(N(INDEX(客户自备加工筐明细!$F$4:$F$1203,$Z622-4000))=0,"",N(INDEX(客户自备加工筐明细!$F$4:$F$1203,$Z622-4000))),IF($Z622&lt;=5800,"","")))))</f>
        <v/>
      </c>
      <c r="R622" s="16" t="str">
        <f>IF($Z622="","",IF($Z622&lt;=2000,IF(INDEX(包装物料出入库明细!$O$4:$O$2003,$Z622-0)=0,"",INDEX(包装物料出入库明细!$O$4:$O$2003,$Z622-0)),IF($Z622&lt;=4000,IF(INDEX(周转筐出入库明细!$M$4:$M$2004,$Z622-2000)=0,"",INDEX(周转筐出入库明细!$M$4:$M$2004,$Z622-2000)),IF($Z622&lt;=5200,IF(INDEX(客户自备加工筐明细!$H$4:$H$1203,$Z622-4000)=0,"",INDEX(客户自备加工筐明细!$H$4:$H$1203,$Z622-4000)),IF($Z622&lt;=5800,IF(INDEX(次果筐明细!$H$4:$H$603,$Z622-5200)=0,"",INDEX(次果筐明细!$H$4:$H$603,$Z622-5200)),"")))))</f>
        <v/>
      </c>
      <c r="S622" s="22" t="str">
        <f t="shared" si="29"/>
        <v/>
      </c>
      <c r="Z622" s="10" t="str">
        <f>IFERROR(MATCH(ROW()-3,_自动清单!$CQ$4:$CQ$5803,0),"")</f>
        <v/>
      </c>
    </row>
    <row r="623" spans="1:26">
      <c r="A623" s="24" t="str">
        <f t="shared" si="27"/>
        <v/>
      </c>
      <c r="B623" s="38" t="str">
        <f>IF($Z623="","",IF($Z623&lt;=2000,IF(INDEX(包装物料出入库明细!$B$4:$B$2003,$Z623-0)=0,"",INDEX(包装物料出入库明细!$B$4:$B$2003,$Z623-0)),IF($Z623&lt;=4000,IF(INDEX(周转筐出入库明细!$B$4:$B$2004,$Z623-2000)=0,"",INDEX(周转筐出入库明细!$B$4:$B$2004,$Z623-2000)),IF($Z623&lt;=5200,IF(INDEX(客户自备加工筐明细!$B$4:$B$1203,$Z623-4000)=0,"",INDEX(客户自备加工筐明细!$B$4:$B$1203,$Z623-4000)),IF($Z623&lt;=5800,IF(INDEX(次果筐明细!$B$4:$B$603,$Z623-5200)=0,"",INDEX(次果筐明细!$B$4:$B$603,$Z623-5200)),"")))))</f>
        <v/>
      </c>
      <c r="C623" s="37" t="str">
        <f>IF($Z623="","",IF($Z623&lt;=2000,IF(INDEX(包装物料出入库明细!$D$4:$D$2003,$Z623-0)=0,"",INDEX(包装物料出入库明细!$D$4:$D$2003,$Z623-0)),IF($Z623&lt;=4000,IF(INDEX(周转筐出入库明细!$C$4:$C$2004,$Z623-2000)=0,"",INDEX(周转筐出入库明细!$C$4:$C$2004,$Z623-2000)),IF($Z623&lt;=5200,IF(INDEX(客户自备加工筐明细!$E$4:$E$1203,$Z623-4000)=0,"",INDEX(客户自备加工筐明细!$E$4:$E$1203,$Z623-4000)),IF($Z623&lt;=5800,IF(INDEX(次果筐明细!$C$4:$C$603,$Z623-5200)=0,"",INDEX(次果筐明细!$C$4:$C$603,$Z623-5200)),"")))))</f>
        <v/>
      </c>
      <c r="D623" s="37" t="str">
        <f>IF($Z623="","",IF($Z623&lt;=2000,"包装物料－"&amp;INDEX(包装物料出入库明细!$H$4:$H$2003,$Z623-0),IF($Z623&lt;=4000,"周转筐－"&amp;INDEX(周转筐出入库明细!$F$4:$F$2004,$Z623-2000),IF($Z623&lt;=5200,"客户自备筐－"&amp;INDEX(客户自备加工筐明细!$J$4:$J$1203,$Z623-4000),IF($Z623&lt;=5800,"次果筐/托盘－"&amp;INDEX(次果筐明细!$F$4:$F$603,$Z623-5200),"")))))</f>
        <v/>
      </c>
      <c r="E623" s="24" t="str">
        <f>IF($Z623="","",IF($Z623&lt;=2000,IF(INDEX(包装物料出入库明细!$C$4:$C$2003,$Z623-0)=0,"",INDEX(包装物料出入库明细!$C$4:$C$2003,$Z623-0)),IF($Z623&lt;=4000,IF(INDEX(周转筐出入库明细!$E$4:$E$2004,$Z623-2000)=0,"",INDEX(周转筐出入库明细!$E$4:$E$2004,$Z623-2000)),IF($Z623&lt;=5200,IF(INDEX(客户自备加工筐明细!$D$4:$D$1203,$Z623-4000)=0,"",INDEX(客户自备加工筐明细!$D$4:$D$1203,$Z623-4000)),IF($Z623&lt;=5800,IF(INDEX(次果筐明细!$E$4:$E$603,$Z623-5200)=0,"",INDEX(次果筐明细!$E$4:$E$603,$Z623-5200)),"")))))</f>
        <v/>
      </c>
      <c r="F623" s="24" t="str">
        <f>IF($Z623="","",IF($Z623&lt;=2000,IF(INDEX(包装物料出入库明细!$E$4:$E$2003,$Z623-0)=0,"",INDEX(包装物料出入库明细!$E$4:$E$2003,$Z623-0)),IF($Z623&lt;=4000,IF(INDEX(周转筐出入库明细!$D$4:$D$2004,$Z623-2000)=0,"",INDEX(周转筐出入库明细!$D$4:$D$2004,$Z623-2000)),IF($Z623&lt;=5200,IF(INDEX(客户自备加工筐明细!$C$4:$C$1203,$Z623-4000)=0,"",INDEX(客户自备加工筐明细!$C$4:$C$1203,$Z623-4000)),IF($Z623&lt;=5800,IF(INDEX(次果筐明细!$D$4:$D$603,$Z623-5200)=0,"",INDEX(次果筐明细!$D$4:$D$603,$Z623-5200)),"")))))</f>
        <v/>
      </c>
      <c r="G623" s="24" t="str">
        <f>IF($Z623="","",IF($Z623&lt;=2000,IF(INDEX(包装物料出入库明细!$F$4:$F$2003,$Z623-0)=0,"",INDEX(包装物料出入库明细!$F$4:$F$2003,$Z623-0)),IF($Z623&lt;=4000,"",IF($Z623&lt;=5200,"",IF($Z623&lt;=5800,"","")))))</f>
        <v/>
      </c>
      <c r="H623" s="39" t="str">
        <f>IF($Z623="","",IF($Z623&lt;=2000,IF(INDEX(包装物料出入库明细!$L$4:$L$2003,$Z623-0)=0,"",INDEX(包装物料出入库明细!$L$4:$L$2003,$Z623-0)),IF($Z623&lt;=4000,N(INDEX(周转筐出入库明细!$H$4:$H$2004,$Z623-2000))+N(INDEX(周转筐出入库明细!$I$4:$I$2004,$Z623-2000))+N(INDEX(周转筐出入库明细!$J$4:$J$2004,$Z623-2000))+N(INDEX(周转筐出入库明细!$K$4:$K$2004,$Z623-2000)),IF($Z623&lt;=5200,N(INDEX(客户自备加工筐明细!$F$4:$F$1203,$Z623-4000))+N(INDEX(客户自备加工筐明细!$G$4:$G$1203,$Z623-4000)),IF($Z623&lt;=5800,IF(INDEX(次果筐明细!$G$4:$G$603,$Z623-5200)=0,"",INDEX(次果筐明细!$G$4:$G$603,$Z623-5200)),"")))))</f>
        <v/>
      </c>
      <c r="I623" s="24" t="str">
        <f>IF($Z623="","",IF($Z623&lt;=2000,IF(INDEX(包装物料出入库明细!$G$4:$G$2003,$Z623-0)=0,"",INDEX(包装物料出入库明细!$G$4:$G$2003,$Z623-0)),IF($Z623&lt;=4000,"个",IF($Z623&lt;=5200,"个",IF($Z623&lt;=5800,"个","")))))</f>
        <v/>
      </c>
      <c r="J623" s="30" t="str">
        <f t="shared" si="28"/>
        <v/>
      </c>
      <c r="K623" s="30" t="str">
        <f>IF($Z623="","",IF($Z623&lt;=2000,IF(INDEX(包装物料出入库明细!$N$4:$N$2003,$Z623-0)=0,"",INDEX(包装物料出入库明细!$N$4:$N$2003,$Z623-0)),IF($Z623&lt;=4000,IF(INDEX(周转筐出入库明细!$P$4:$P$2004,$Z623-2000)=0,"",INDEX(周转筐出入库明细!$P$4:$P$2004,$Z623-2000)),IF($Z623&lt;=5200,"",IF($Z623&lt;=5800,N(INDEX(次果筐明细!$L$4:$L$603,$Z623-5200))+N(INDEX(次果筐明细!$J$4:$J$603,$Z623-5200)),"")))))</f>
        <v/>
      </c>
      <c r="L623" s="24" t="str">
        <f>IF($Z623="","",IF($Z623&lt;=2000,IF(INDEX(包装物料出入库明细!$P$4:$P$2003,$Z623-0)=0,"",INDEX(包装物料出入库明细!$P$4:$P$2003,$Z623-0)),IF($Z623&lt;=4000,IF(INDEX(周转筐出入库明细!$Q$4:$Q$2004,$Z623-2000)=0,"",INDEX(周转筐出入库明细!$Q$4:$Q$2004,$Z623-2000)),IF($Z623&lt;=5200,"",IF($Z623&lt;=5800,IF(INDEX(次果筐明细!$M$4:$M$603,$Z623-5200)=0,"",INDEX(次果筐明细!$M$4:$M$603,$Z623-5200)),"")))))</f>
        <v/>
      </c>
      <c r="M623" s="37" t="str">
        <f>IF($Z623="","",IF($Z623&lt;=2000,IF(INDEX(包装物料出入库明细!$R$4:$R$2003,$Z623-0)=0,"",INDEX(包装物料出入库明细!$R$4:$R$2003,$Z623-0)),IF($Z623&lt;=4000,IF(INDEX(周转筐出入库明细!$W$4:$W$2004,$Z623-2000)=0,"",INDEX(周转筐出入库明细!$W$4:$W$2004,$Z623-2000)),IF($Z623&lt;=5200,IF(INDEX(客户自备加工筐明细!$L$4:$L$1203,$Z623-4000)=0,"",INDEX(客户自备加工筐明细!$L$4:$L$1203,$Z623-4000)),IF($Z623&lt;=5800,IF(INDEX(次果筐明细!$P$4:$P$603,$Z623-5200)=0,"",INDEX(次果筐明细!$P$4:$P$603,$Z623-5200)),"")))))</f>
        <v/>
      </c>
      <c r="N623" s="16" t="str">
        <f>IF($Z623="","",IF($Z623&lt;=2000,"",IF($Z623&lt;=4000,IF(INDEX(周转筐出入库明细!$D$4:$D$2004,$Z623-2000)=0,"",INDEX(周转筐出入库明细!$D$4:$D$2004,$Z623-2000)),IF($Z623&lt;=5200,IF(INDEX(客户自备加工筐明细!$C$4:$C$1203,$Z623-4000)=0,"",INDEX(客户自备加工筐明细!$C$4:$C$1203,$Z623-4000)),IF($Z623&lt;=5800,IF(INDEX(次果筐明细!$D$4:$D$603,$Z623-5200)=0,"",INDEX(次果筐明细!$D$4:$D$603,$Z623-5200)),"")))))</f>
        <v/>
      </c>
      <c r="O623" s="40" t="str">
        <f>IF($Z623="","",IF($Z623&lt;=2000,"",IF($Z623&lt;=4000,IF(N(INDEX(周转筐出入库明细!$J$4:$J$2004,$Z623-2000))+N(INDEX(周转筐出入库明细!$K$4:$K$2004,$Z623-2000))=0,"",N(INDEX(周转筐出入库明细!$J$4:$J$2004,$Z623-2000))+N(INDEX(周转筐出入库明细!$K$4:$K$2004,$Z623-2000))),IF($Z623&lt;=5200,IF(N(INDEX(客户自备加工筐明细!$G$4:$G$1203,$Z623-4000))=0,"",N(INDEX(客户自备加工筐明细!$G$4:$G$1203,$Z623-4000))),IF($Z623&lt;=5800,IF(ISNUMBER(SEARCH("退",INDEX(次果筐明细!$F$4:$F$603,$Z623-5200)&amp;"")),"",IF(N(INDEX(次果筐明细!$G$4:$G$603,$Z623-5200))=0,"",N(INDEX(次果筐明细!$G$4:$G$603,$Z623-5200)))),"")))))</f>
        <v/>
      </c>
      <c r="P623" s="40" t="str">
        <f>IF($Z623="","",IF($Z623&lt;=2000,"",IF($Z623&lt;=4000,IF(N(INDEX(周转筐出入库明细!$I$4:$I$2004,$Z623-2000))=0,"",N(INDEX(周转筐出入库明细!$I$4:$I$2004,$Z623-2000))),IF($Z623&lt;=5200,"",IF($Z623&lt;=5800,IF(ISNUMBER(SEARCH("退",INDEX(次果筐明细!$F$4:$F$603,$Z623-5200)&amp;"")),IF(N(INDEX(次果筐明细!$G$4:$G$603,$Z623-5200))=0,"",N(INDEX(次果筐明细!$G$4:$G$603,$Z623-5200))),""),"")))))</f>
        <v/>
      </c>
      <c r="Q623" s="40" t="str">
        <f>IF($Z623="","",IF($Z623&lt;=2000,"",IF($Z623&lt;=4000,IF(N(INDEX(周转筐出入库明细!$H$4:$H$2004,$Z623-2000))=0,"",N(INDEX(周转筐出入库明细!$H$4:$H$2004,$Z623-2000))),IF($Z623&lt;=5200,IF(N(INDEX(客户自备加工筐明细!$F$4:$F$1203,$Z623-4000))=0,"",N(INDEX(客户自备加工筐明细!$F$4:$F$1203,$Z623-4000))),IF($Z623&lt;=5800,"","")))))</f>
        <v/>
      </c>
      <c r="R623" s="16" t="str">
        <f>IF($Z623="","",IF($Z623&lt;=2000,IF(INDEX(包装物料出入库明细!$O$4:$O$2003,$Z623-0)=0,"",INDEX(包装物料出入库明细!$O$4:$O$2003,$Z623-0)),IF($Z623&lt;=4000,IF(INDEX(周转筐出入库明细!$M$4:$M$2004,$Z623-2000)=0,"",INDEX(周转筐出入库明细!$M$4:$M$2004,$Z623-2000)),IF($Z623&lt;=5200,IF(INDEX(客户自备加工筐明细!$H$4:$H$1203,$Z623-4000)=0,"",INDEX(客户自备加工筐明细!$H$4:$H$1203,$Z623-4000)),IF($Z623&lt;=5800,IF(INDEX(次果筐明细!$H$4:$H$603,$Z623-5200)=0,"",INDEX(次果筐明细!$H$4:$H$603,$Z623-5200)),"")))))</f>
        <v/>
      </c>
      <c r="S623" s="22" t="str">
        <f t="shared" si="29"/>
        <v/>
      </c>
      <c r="Z623" s="10" t="str">
        <f>IFERROR(MATCH(ROW()-3,_自动清单!$CQ$4:$CQ$5803,0),"")</f>
        <v/>
      </c>
    </row>
    <row r="624" spans="1:26">
      <c r="A624" s="24" t="str">
        <f t="shared" si="27"/>
        <v/>
      </c>
      <c r="B624" s="38" t="str">
        <f>IF($Z624="","",IF($Z624&lt;=2000,IF(INDEX(包装物料出入库明细!$B$4:$B$2003,$Z624-0)=0,"",INDEX(包装物料出入库明细!$B$4:$B$2003,$Z624-0)),IF($Z624&lt;=4000,IF(INDEX(周转筐出入库明细!$B$4:$B$2004,$Z624-2000)=0,"",INDEX(周转筐出入库明细!$B$4:$B$2004,$Z624-2000)),IF($Z624&lt;=5200,IF(INDEX(客户自备加工筐明细!$B$4:$B$1203,$Z624-4000)=0,"",INDEX(客户自备加工筐明细!$B$4:$B$1203,$Z624-4000)),IF($Z624&lt;=5800,IF(INDEX(次果筐明细!$B$4:$B$603,$Z624-5200)=0,"",INDEX(次果筐明细!$B$4:$B$603,$Z624-5200)),"")))))</f>
        <v/>
      </c>
      <c r="C624" s="37" t="str">
        <f>IF($Z624="","",IF($Z624&lt;=2000,IF(INDEX(包装物料出入库明细!$D$4:$D$2003,$Z624-0)=0,"",INDEX(包装物料出入库明细!$D$4:$D$2003,$Z624-0)),IF($Z624&lt;=4000,IF(INDEX(周转筐出入库明细!$C$4:$C$2004,$Z624-2000)=0,"",INDEX(周转筐出入库明细!$C$4:$C$2004,$Z624-2000)),IF($Z624&lt;=5200,IF(INDEX(客户自备加工筐明细!$E$4:$E$1203,$Z624-4000)=0,"",INDEX(客户自备加工筐明细!$E$4:$E$1203,$Z624-4000)),IF($Z624&lt;=5800,IF(INDEX(次果筐明细!$C$4:$C$603,$Z624-5200)=0,"",INDEX(次果筐明细!$C$4:$C$603,$Z624-5200)),"")))))</f>
        <v/>
      </c>
      <c r="D624" s="37" t="str">
        <f>IF($Z624="","",IF($Z624&lt;=2000,"包装物料－"&amp;INDEX(包装物料出入库明细!$H$4:$H$2003,$Z624-0),IF($Z624&lt;=4000,"周转筐－"&amp;INDEX(周转筐出入库明细!$F$4:$F$2004,$Z624-2000),IF($Z624&lt;=5200,"客户自备筐－"&amp;INDEX(客户自备加工筐明细!$J$4:$J$1203,$Z624-4000),IF($Z624&lt;=5800,"次果筐/托盘－"&amp;INDEX(次果筐明细!$F$4:$F$603,$Z624-5200),"")))))</f>
        <v/>
      </c>
      <c r="E624" s="24" t="str">
        <f>IF($Z624="","",IF($Z624&lt;=2000,IF(INDEX(包装物料出入库明细!$C$4:$C$2003,$Z624-0)=0,"",INDEX(包装物料出入库明细!$C$4:$C$2003,$Z624-0)),IF($Z624&lt;=4000,IF(INDEX(周转筐出入库明细!$E$4:$E$2004,$Z624-2000)=0,"",INDEX(周转筐出入库明细!$E$4:$E$2004,$Z624-2000)),IF($Z624&lt;=5200,IF(INDEX(客户自备加工筐明细!$D$4:$D$1203,$Z624-4000)=0,"",INDEX(客户自备加工筐明细!$D$4:$D$1203,$Z624-4000)),IF($Z624&lt;=5800,IF(INDEX(次果筐明细!$E$4:$E$603,$Z624-5200)=0,"",INDEX(次果筐明细!$E$4:$E$603,$Z624-5200)),"")))))</f>
        <v/>
      </c>
      <c r="F624" s="24" t="str">
        <f>IF($Z624="","",IF($Z624&lt;=2000,IF(INDEX(包装物料出入库明细!$E$4:$E$2003,$Z624-0)=0,"",INDEX(包装物料出入库明细!$E$4:$E$2003,$Z624-0)),IF($Z624&lt;=4000,IF(INDEX(周转筐出入库明细!$D$4:$D$2004,$Z624-2000)=0,"",INDEX(周转筐出入库明细!$D$4:$D$2004,$Z624-2000)),IF($Z624&lt;=5200,IF(INDEX(客户自备加工筐明细!$C$4:$C$1203,$Z624-4000)=0,"",INDEX(客户自备加工筐明细!$C$4:$C$1203,$Z624-4000)),IF($Z624&lt;=5800,IF(INDEX(次果筐明细!$D$4:$D$603,$Z624-5200)=0,"",INDEX(次果筐明细!$D$4:$D$603,$Z624-5200)),"")))))</f>
        <v/>
      </c>
      <c r="G624" s="24" t="str">
        <f>IF($Z624="","",IF($Z624&lt;=2000,IF(INDEX(包装物料出入库明细!$F$4:$F$2003,$Z624-0)=0,"",INDEX(包装物料出入库明细!$F$4:$F$2003,$Z624-0)),IF($Z624&lt;=4000,"",IF($Z624&lt;=5200,"",IF($Z624&lt;=5800,"","")))))</f>
        <v/>
      </c>
      <c r="H624" s="39" t="str">
        <f>IF($Z624="","",IF($Z624&lt;=2000,IF(INDEX(包装物料出入库明细!$L$4:$L$2003,$Z624-0)=0,"",INDEX(包装物料出入库明细!$L$4:$L$2003,$Z624-0)),IF($Z624&lt;=4000,N(INDEX(周转筐出入库明细!$H$4:$H$2004,$Z624-2000))+N(INDEX(周转筐出入库明细!$I$4:$I$2004,$Z624-2000))+N(INDEX(周转筐出入库明细!$J$4:$J$2004,$Z624-2000))+N(INDEX(周转筐出入库明细!$K$4:$K$2004,$Z624-2000)),IF($Z624&lt;=5200,N(INDEX(客户自备加工筐明细!$F$4:$F$1203,$Z624-4000))+N(INDEX(客户自备加工筐明细!$G$4:$G$1203,$Z624-4000)),IF($Z624&lt;=5800,IF(INDEX(次果筐明细!$G$4:$G$603,$Z624-5200)=0,"",INDEX(次果筐明细!$G$4:$G$603,$Z624-5200)),"")))))</f>
        <v/>
      </c>
      <c r="I624" s="24" t="str">
        <f>IF($Z624="","",IF($Z624&lt;=2000,IF(INDEX(包装物料出入库明细!$G$4:$G$2003,$Z624-0)=0,"",INDEX(包装物料出入库明细!$G$4:$G$2003,$Z624-0)),IF($Z624&lt;=4000,"个",IF($Z624&lt;=5200,"个",IF($Z624&lt;=5800,"个","")))))</f>
        <v/>
      </c>
      <c r="J624" s="30" t="str">
        <f t="shared" si="28"/>
        <v/>
      </c>
      <c r="K624" s="30" t="str">
        <f>IF($Z624="","",IF($Z624&lt;=2000,IF(INDEX(包装物料出入库明细!$N$4:$N$2003,$Z624-0)=0,"",INDEX(包装物料出入库明细!$N$4:$N$2003,$Z624-0)),IF($Z624&lt;=4000,IF(INDEX(周转筐出入库明细!$P$4:$P$2004,$Z624-2000)=0,"",INDEX(周转筐出入库明细!$P$4:$P$2004,$Z624-2000)),IF($Z624&lt;=5200,"",IF($Z624&lt;=5800,N(INDEX(次果筐明细!$L$4:$L$603,$Z624-5200))+N(INDEX(次果筐明细!$J$4:$J$603,$Z624-5200)),"")))))</f>
        <v/>
      </c>
      <c r="L624" s="24" t="str">
        <f>IF($Z624="","",IF($Z624&lt;=2000,IF(INDEX(包装物料出入库明细!$P$4:$P$2003,$Z624-0)=0,"",INDEX(包装物料出入库明细!$P$4:$P$2003,$Z624-0)),IF($Z624&lt;=4000,IF(INDEX(周转筐出入库明细!$Q$4:$Q$2004,$Z624-2000)=0,"",INDEX(周转筐出入库明细!$Q$4:$Q$2004,$Z624-2000)),IF($Z624&lt;=5200,"",IF($Z624&lt;=5800,IF(INDEX(次果筐明细!$M$4:$M$603,$Z624-5200)=0,"",INDEX(次果筐明细!$M$4:$M$603,$Z624-5200)),"")))))</f>
        <v/>
      </c>
      <c r="M624" s="37" t="str">
        <f>IF($Z624="","",IF($Z624&lt;=2000,IF(INDEX(包装物料出入库明细!$R$4:$R$2003,$Z624-0)=0,"",INDEX(包装物料出入库明细!$R$4:$R$2003,$Z624-0)),IF($Z624&lt;=4000,IF(INDEX(周转筐出入库明细!$W$4:$W$2004,$Z624-2000)=0,"",INDEX(周转筐出入库明细!$W$4:$W$2004,$Z624-2000)),IF($Z624&lt;=5200,IF(INDEX(客户自备加工筐明细!$L$4:$L$1203,$Z624-4000)=0,"",INDEX(客户自备加工筐明细!$L$4:$L$1203,$Z624-4000)),IF($Z624&lt;=5800,IF(INDEX(次果筐明细!$P$4:$P$603,$Z624-5200)=0,"",INDEX(次果筐明细!$P$4:$P$603,$Z624-5200)),"")))))</f>
        <v/>
      </c>
      <c r="N624" s="16" t="str">
        <f>IF($Z624="","",IF($Z624&lt;=2000,"",IF($Z624&lt;=4000,IF(INDEX(周转筐出入库明细!$D$4:$D$2004,$Z624-2000)=0,"",INDEX(周转筐出入库明细!$D$4:$D$2004,$Z624-2000)),IF($Z624&lt;=5200,IF(INDEX(客户自备加工筐明细!$C$4:$C$1203,$Z624-4000)=0,"",INDEX(客户自备加工筐明细!$C$4:$C$1203,$Z624-4000)),IF($Z624&lt;=5800,IF(INDEX(次果筐明细!$D$4:$D$603,$Z624-5200)=0,"",INDEX(次果筐明细!$D$4:$D$603,$Z624-5200)),"")))))</f>
        <v/>
      </c>
      <c r="O624" s="40" t="str">
        <f>IF($Z624="","",IF($Z624&lt;=2000,"",IF($Z624&lt;=4000,IF(N(INDEX(周转筐出入库明细!$J$4:$J$2004,$Z624-2000))+N(INDEX(周转筐出入库明细!$K$4:$K$2004,$Z624-2000))=0,"",N(INDEX(周转筐出入库明细!$J$4:$J$2004,$Z624-2000))+N(INDEX(周转筐出入库明细!$K$4:$K$2004,$Z624-2000))),IF($Z624&lt;=5200,IF(N(INDEX(客户自备加工筐明细!$G$4:$G$1203,$Z624-4000))=0,"",N(INDEX(客户自备加工筐明细!$G$4:$G$1203,$Z624-4000))),IF($Z624&lt;=5800,IF(ISNUMBER(SEARCH("退",INDEX(次果筐明细!$F$4:$F$603,$Z624-5200)&amp;"")),"",IF(N(INDEX(次果筐明细!$G$4:$G$603,$Z624-5200))=0,"",N(INDEX(次果筐明细!$G$4:$G$603,$Z624-5200)))),"")))))</f>
        <v/>
      </c>
      <c r="P624" s="40" t="str">
        <f>IF($Z624="","",IF($Z624&lt;=2000,"",IF($Z624&lt;=4000,IF(N(INDEX(周转筐出入库明细!$I$4:$I$2004,$Z624-2000))=0,"",N(INDEX(周转筐出入库明细!$I$4:$I$2004,$Z624-2000))),IF($Z624&lt;=5200,"",IF($Z624&lt;=5800,IF(ISNUMBER(SEARCH("退",INDEX(次果筐明细!$F$4:$F$603,$Z624-5200)&amp;"")),IF(N(INDEX(次果筐明细!$G$4:$G$603,$Z624-5200))=0,"",N(INDEX(次果筐明细!$G$4:$G$603,$Z624-5200))),""),"")))))</f>
        <v/>
      </c>
      <c r="Q624" s="40" t="str">
        <f>IF($Z624="","",IF($Z624&lt;=2000,"",IF($Z624&lt;=4000,IF(N(INDEX(周转筐出入库明细!$H$4:$H$2004,$Z624-2000))=0,"",N(INDEX(周转筐出入库明细!$H$4:$H$2004,$Z624-2000))),IF($Z624&lt;=5200,IF(N(INDEX(客户自备加工筐明细!$F$4:$F$1203,$Z624-4000))=0,"",N(INDEX(客户自备加工筐明细!$F$4:$F$1203,$Z624-4000))),IF($Z624&lt;=5800,"","")))))</f>
        <v/>
      </c>
      <c r="R624" s="16" t="str">
        <f>IF($Z624="","",IF($Z624&lt;=2000,IF(INDEX(包装物料出入库明细!$O$4:$O$2003,$Z624-0)=0,"",INDEX(包装物料出入库明细!$O$4:$O$2003,$Z624-0)),IF($Z624&lt;=4000,IF(INDEX(周转筐出入库明细!$M$4:$M$2004,$Z624-2000)=0,"",INDEX(周转筐出入库明细!$M$4:$M$2004,$Z624-2000)),IF($Z624&lt;=5200,IF(INDEX(客户自备加工筐明细!$H$4:$H$1203,$Z624-4000)=0,"",INDEX(客户自备加工筐明细!$H$4:$H$1203,$Z624-4000)),IF($Z624&lt;=5800,IF(INDEX(次果筐明细!$H$4:$H$603,$Z624-5200)=0,"",INDEX(次果筐明细!$H$4:$H$603,$Z624-5200)),"")))))</f>
        <v/>
      </c>
      <c r="S624" s="22" t="str">
        <f t="shared" si="29"/>
        <v/>
      </c>
      <c r="Z624" s="10" t="str">
        <f>IFERROR(MATCH(ROW()-3,_自动清单!$CQ$4:$CQ$5803,0),"")</f>
        <v/>
      </c>
    </row>
    <row r="625" spans="1:26">
      <c r="A625" s="24" t="str">
        <f t="shared" si="27"/>
        <v/>
      </c>
      <c r="B625" s="38" t="str">
        <f>IF($Z625="","",IF($Z625&lt;=2000,IF(INDEX(包装物料出入库明细!$B$4:$B$2003,$Z625-0)=0,"",INDEX(包装物料出入库明细!$B$4:$B$2003,$Z625-0)),IF($Z625&lt;=4000,IF(INDEX(周转筐出入库明细!$B$4:$B$2004,$Z625-2000)=0,"",INDEX(周转筐出入库明细!$B$4:$B$2004,$Z625-2000)),IF($Z625&lt;=5200,IF(INDEX(客户自备加工筐明细!$B$4:$B$1203,$Z625-4000)=0,"",INDEX(客户自备加工筐明细!$B$4:$B$1203,$Z625-4000)),IF($Z625&lt;=5800,IF(INDEX(次果筐明细!$B$4:$B$603,$Z625-5200)=0,"",INDEX(次果筐明细!$B$4:$B$603,$Z625-5200)),"")))))</f>
        <v/>
      </c>
      <c r="C625" s="37" t="str">
        <f>IF($Z625="","",IF($Z625&lt;=2000,IF(INDEX(包装物料出入库明细!$D$4:$D$2003,$Z625-0)=0,"",INDEX(包装物料出入库明细!$D$4:$D$2003,$Z625-0)),IF($Z625&lt;=4000,IF(INDEX(周转筐出入库明细!$C$4:$C$2004,$Z625-2000)=0,"",INDEX(周转筐出入库明细!$C$4:$C$2004,$Z625-2000)),IF($Z625&lt;=5200,IF(INDEX(客户自备加工筐明细!$E$4:$E$1203,$Z625-4000)=0,"",INDEX(客户自备加工筐明细!$E$4:$E$1203,$Z625-4000)),IF($Z625&lt;=5800,IF(INDEX(次果筐明细!$C$4:$C$603,$Z625-5200)=0,"",INDEX(次果筐明细!$C$4:$C$603,$Z625-5200)),"")))))</f>
        <v/>
      </c>
      <c r="D625" s="37" t="str">
        <f>IF($Z625="","",IF($Z625&lt;=2000,"包装物料－"&amp;INDEX(包装物料出入库明细!$H$4:$H$2003,$Z625-0),IF($Z625&lt;=4000,"周转筐－"&amp;INDEX(周转筐出入库明细!$F$4:$F$2004,$Z625-2000),IF($Z625&lt;=5200,"客户自备筐－"&amp;INDEX(客户自备加工筐明细!$J$4:$J$1203,$Z625-4000),IF($Z625&lt;=5800,"次果筐/托盘－"&amp;INDEX(次果筐明细!$F$4:$F$603,$Z625-5200),"")))))</f>
        <v/>
      </c>
      <c r="E625" s="24" t="str">
        <f>IF($Z625="","",IF($Z625&lt;=2000,IF(INDEX(包装物料出入库明细!$C$4:$C$2003,$Z625-0)=0,"",INDEX(包装物料出入库明细!$C$4:$C$2003,$Z625-0)),IF($Z625&lt;=4000,IF(INDEX(周转筐出入库明细!$E$4:$E$2004,$Z625-2000)=0,"",INDEX(周转筐出入库明细!$E$4:$E$2004,$Z625-2000)),IF($Z625&lt;=5200,IF(INDEX(客户自备加工筐明细!$D$4:$D$1203,$Z625-4000)=0,"",INDEX(客户自备加工筐明细!$D$4:$D$1203,$Z625-4000)),IF($Z625&lt;=5800,IF(INDEX(次果筐明细!$E$4:$E$603,$Z625-5200)=0,"",INDEX(次果筐明细!$E$4:$E$603,$Z625-5200)),"")))))</f>
        <v/>
      </c>
      <c r="F625" s="24" t="str">
        <f>IF($Z625="","",IF($Z625&lt;=2000,IF(INDEX(包装物料出入库明细!$E$4:$E$2003,$Z625-0)=0,"",INDEX(包装物料出入库明细!$E$4:$E$2003,$Z625-0)),IF($Z625&lt;=4000,IF(INDEX(周转筐出入库明细!$D$4:$D$2004,$Z625-2000)=0,"",INDEX(周转筐出入库明细!$D$4:$D$2004,$Z625-2000)),IF($Z625&lt;=5200,IF(INDEX(客户自备加工筐明细!$C$4:$C$1203,$Z625-4000)=0,"",INDEX(客户自备加工筐明细!$C$4:$C$1203,$Z625-4000)),IF($Z625&lt;=5800,IF(INDEX(次果筐明细!$D$4:$D$603,$Z625-5200)=0,"",INDEX(次果筐明细!$D$4:$D$603,$Z625-5200)),"")))))</f>
        <v/>
      </c>
      <c r="G625" s="24" t="str">
        <f>IF($Z625="","",IF($Z625&lt;=2000,IF(INDEX(包装物料出入库明细!$F$4:$F$2003,$Z625-0)=0,"",INDEX(包装物料出入库明细!$F$4:$F$2003,$Z625-0)),IF($Z625&lt;=4000,"",IF($Z625&lt;=5200,"",IF($Z625&lt;=5800,"","")))))</f>
        <v/>
      </c>
      <c r="H625" s="39" t="str">
        <f>IF($Z625="","",IF($Z625&lt;=2000,IF(INDEX(包装物料出入库明细!$L$4:$L$2003,$Z625-0)=0,"",INDEX(包装物料出入库明细!$L$4:$L$2003,$Z625-0)),IF($Z625&lt;=4000,N(INDEX(周转筐出入库明细!$H$4:$H$2004,$Z625-2000))+N(INDEX(周转筐出入库明细!$I$4:$I$2004,$Z625-2000))+N(INDEX(周转筐出入库明细!$J$4:$J$2004,$Z625-2000))+N(INDEX(周转筐出入库明细!$K$4:$K$2004,$Z625-2000)),IF($Z625&lt;=5200,N(INDEX(客户自备加工筐明细!$F$4:$F$1203,$Z625-4000))+N(INDEX(客户自备加工筐明细!$G$4:$G$1203,$Z625-4000)),IF($Z625&lt;=5800,IF(INDEX(次果筐明细!$G$4:$G$603,$Z625-5200)=0,"",INDEX(次果筐明细!$G$4:$G$603,$Z625-5200)),"")))))</f>
        <v/>
      </c>
      <c r="I625" s="24" t="str">
        <f>IF($Z625="","",IF($Z625&lt;=2000,IF(INDEX(包装物料出入库明细!$G$4:$G$2003,$Z625-0)=0,"",INDEX(包装物料出入库明细!$G$4:$G$2003,$Z625-0)),IF($Z625&lt;=4000,"个",IF($Z625&lt;=5200,"个",IF($Z625&lt;=5800,"个","")))))</f>
        <v/>
      </c>
      <c r="J625" s="30" t="str">
        <f t="shared" si="28"/>
        <v/>
      </c>
      <c r="K625" s="30" t="str">
        <f>IF($Z625="","",IF($Z625&lt;=2000,IF(INDEX(包装物料出入库明细!$N$4:$N$2003,$Z625-0)=0,"",INDEX(包装物料出入库明细!$N$4:$N$2003,$Z625-0)),IF($Z625&lt;=4000,IF(INDEX(周转筐出入库明细!$P$4:$P$2004,$Z625-2000)=0,"",INDEX(周转筐出入库明细!$P$4:$P$2004,$Z625-2000)),IF($Z625&lt;=5200,"",IF($Z625&lt;=5800,N(INDEX(次果筐明细!$L$4:$L$603,$Z625-5200))+N(INDEX(次果筐明细!$J$4:$J$603,$Z625-5200)),"")))))</f>
        <v/>
      </c>
      <c r="L625" s="24" t="str">
        <f>IF($Z625="","",IF($Z625&lt;=2000,IF(INDEX(包装物料出入库明细!$P$4:$P$2003,$Z625-0)=0,"",INDEX(包装物料出入库明细!$P$4:$P$2003,$Z625-0)),IF($Z625&lt;=4000,IF(INDEX(周转筐出入库明细!$Q$4:$Q$2004,$Z625-2000)=0,"",INDEX(周转筐出入库明细!$Q$4:$Q$2004,$Z625-2000)),IF($Z625&lt;=5200,"",IF($Z625&lt;=5800,IF(INDEX(次果筐明细!$M$4:$M$603,$Z625-5200)=0,"",INDEX(次果筐明细!$M$4:$M$603,$Z625-5200)),"")))))</f>
        <v/>
      </c>
      <c r="M625" s="37" t="str">
        <f>IF($Z625="","",IF($Z625&lt;=2000,IF(INDEX(包装物料出入库明细!$R$4:$R$2003,$Z625-0)=0,"",INDEX(包装物料出入库明细!$R$4:$R$2003,$Z625-0)),IF($Z625&lt;=4000,IF(INDEX(周转筐出入库明细!$W$4:$W$2004,$Z625-2000)=0,"",INDEX(周转筐出入库明细!$W$4:$W$2004,$Z625-2000)),IF($Z625&lt;=5200,IF(INDEX(客户自备加工筐明细!$L$4:$L$1203,$Z625-4000)=0,"",INDEX(客户自备加工筐明细!$L$4:$L$1203,$Z625-4000)),IF($Z625&lt;=5800,IF(INDEX(次果筐明细!$P$4:$P$603,$Z625-5200)=0,"",INDEX(次果筐明细!$P$4:$P$603,$Z625-5200)),"")))))</f>
        <v/>
      </c>
      <c r="N625" s="16" t="str">
        <f>IF($Z625="","",IF($Z625&lt;=2000,"",IF($Z625&lt;=4000,IF(INDEX(周转筐出入库明细!$D$4:$D$2004,$Z625-2000)=0,"",INDEX(周转筐出入库明细!$D$4:$D$2004,$Z625-2000)),IF($Z625&lt;=5200,IF(INDEX(客户自备加工筐明细!$C$4:$C$1203,$Z625-4000)=0,"",INDEX(客户自备加工筐明细!$C$4:$C$1203,$Z625-4000)),IF($Z625&lt;=5800,IF(INDEX(次果筐明细!$D$4:$D$603,$Z625-5200)=0,"",INDEX(次果筐明细!$D$4:$D$603,$Z625-5200)),"")))))</f>
        <v/>
      </c>
      <c r="O625" s="40" t="str">
        <f>IF($Z625="","",IF($Z625&lt;=2000,"",IF($Z625&lt;=4000,IF(N(INDEX(周转筐出入库明细!$J$4:$J$2004,$Z625-2000))+N(INDEX(周转筐出入库明细!$K$4:$K$2004,$Z625-2000))=0,"",N(INDEX(周转筐出入库明细!$J$4:$J$2004,$Z625-2000))+N(INDEX(周转筐出入库明细!$K$4:$K$2004,$Z625-2000))),IF($Z625&lt;=5200,IF(N(INDEX(客户自备加工筐明细!$G$4:$G$1203,$Z625-4000))=0,"",N(INDEX(客户自备加工筐明细!$G$4:$G$1203,$Z625-4000))),IF($Z625&lt;=5800,IF(ISNUMBER(SEARCH("退",INDEX(次果筐明细!$F$4:$F$603,$Z625-5200)&amp;"")),"",IF(N(INDEX(次果筐明细!$G$4:$G$603,$Z625-5200))=0,"",N(INDEX(次果筐明细!$G$4:$G$603,$Z625-5200)))),"")))))</f>
        <v/>
      </c>
      <c r="P625" s="40" t="str">
        <f>IF($Z625="","",IF($Z625&lt;=2000,"",IF($Z625&lt;=4000,IF(N(INDEX(周转筐出入库明细!$I$4:$I$2004,$Z625-2000))=0,"",N(INDEX(周转筐出入库明细!$I$4:$I$2004,$Z625-2000))),IF($Z625&lt;=5200,"",IF($Z625&lt;=5800,IF(ISNUMBER(SEARCH("退",INDEX(次果筐明细!$F$4:$F$603,$Z625-5200)&amp;"")),IF(N(INDEX(次果筐明细!$G$4:$G$603,$Z625-5200))=0,"",N(INDEX(次果筐明细!$G$4:$G$603,$Z625-5200))),""),"")))))</f>
        <v/>
      </c>
      <c r="Q625" s="40" t="str">
        <f>IF($Z625="","",IF($Z625&lt;=2000,"",IF($Z625&lt;=4000,IF(N(INDEX(周转筐出入库明细!$H$4:$H$2004,$Z625-2000))=0,"",N(INDEX(周转筐出入库明细!$H$4:$H$2004,$Z625-2000))),IF($Z625&lt;=5200,IF(N(INDEX(客户自备加工筐明细!$F$4:$F$1203,$Z625-4000))=0,"",N(INDEX(客户自备加工筐明细!$F$4:$F$1203,$Z625-4000))),IF($Z625&lt;=5800,"","")))))</f>
        <v/>
      </c>
      <c r="R625" s="16" t="str">
        <f>IF($Z625="","",IF($Z625&lt;=2000,IF(INDEX(包装物料出入库明细!$O$4:$O$2003,$Z625-0)=0,"",INDEX(包装物料出入库明细!$O$4:$O$2003,$Z625-0)),IF($Z625&lt;=4000,IF(INDEX(周转筐出入库明细!$M$4:$M$2004,$Z625-2000)=0,"",INDEX(周转筐出入库明细!$M$4:$M$2004,$Z625-2000)),IF($Z625&lt;=5200,IF(INDEX(客户自备加工筐明细!$H$4:$H$1203,$Z625-4000)=0,"",INDEX(客户自备加工筐明细!$H$4:$H$1203,$Z625-4000)),IF($Z625&lt;=5800,IF(INDEX(次果筐明细!$H$4:$H$603,$Z625-5200)=0,"",INDEX(次果筐明细!$H$4:$H$603,$Z625-5200)),"")))))</f>
        <v/>
      </c>
      <c r="S625" s="22" t="str">
        <f t="shared" si="29"/>
        <v/>
      </c>
      <c r="Z625" s="10" t="str">
        <f>IFERROR(MATCH(ROW()-3,_自动清单!$CQ$4:$CQ$5803,0),"")</f>
        <v/>
      </c>
    </row>
    <row r="626" spans="1:26">
      <c r="A626" s="24" t="str">
        <f t="shared" si="27"/>
        <v/>
      </c>
      <c r="B626" s="38" t="str">
        <f>IF($Z626="","",IF($Z626&lt;=2000,IF(INDEX(包装物料出入库明细!$B$4:$B$2003,$Z626-0)=0,"",INDEX(包装物料出入库明细!$B$4:$B$2003,$Z626-0)),IF($Z626&lt;=4000,IF(INDEX(周转筐出入库明细!$B$4:$B$2004,$Z626-2000)=0,"",INDEX(周转筐出入库明细!$B$4:$B$2004,$Z626-2000)),IF($Z626&lt;=5200,IF(INDEX(客户自备加工筐明细!$B$4:$B$1203,$Z626-4000)=0,"",INDEX(客户自备加工筐明细!$B$4:$B$1203,$Z626-4000)),IF($Z626&lt;=5800,IF(INDEX(次果筐明细!$B$4:$B$603,$Z626-5200)=0,"",INDEX(次果筐明细!$B$4:$B$603,$Z626-5200)),"")))))</f>
        <v/>
      </c>
      <c r="C626" s="37" t="str">
        <f>IF($Z626="","",IF($Z626&lt;=2000,IF(INDEX(包装物料出入库明细!$D$4:$D$2003,$Z626-0)=0,"",INDEX(包装物料出入库明细!$D$4:$D$2003,$Z626-0)),IF($Z626&lt;=4000,IF(INDEX(周转筐出入库明细!$C$4:$C$2004,$Z626-2000)=0,"",INDEX(周转筐出入库明细!$C$4:$C$2004,$Z626-2000)),IF($Z626&lt;=5200,IF(INDEX(客户自备加工筐明细!$E$4:$E$1203,$Z626-4000)=0,"",INDEX(客户自备加工筐明细!$E$4:$E$1203,$Z626-4000)),IF($Z626&lt;=5800,IF(INDEX(次果筐明细!$C$4:$C$603,$Z626-5200)=0,"",INDEX(次果筐明细!$C$4:$C$603,$Z626-5200)),"")))))</f>
        <v/>
      </c>
      <c r="D626" s="37" t="str">
        <f>IF($Z626="","",IF($Z626&lt;=2000,"包装物料－"&amp;INDEX(包装物料出入库明细!$H$4:$H$2003,$Z626-0),IF($Z626&lt;=4000,"周转筐－"&amp;INDEX(周转筐出入库明细!$F$4:$F$2004,$Z626-2000),IF($Z626&lt;=5200,"客户自备筐－"&amp;INDEX(客户自备加工筐明细!$J$4:$J$1203,$Z626-4000),IF($Z626&lt;=5800,"次果筐/托盘－"&amp;INDEX(次果筐明细!$F$4:$F$603,$Z626-5200),"")))))</f>
        <v/>
      </c>
      <c r="E626" s="24" t="str">
        <f>IF($Z626="","",IF($Z626&lt;=2000,IF(INDEX(包装物料出入库明细!$C$4:$C$2003,$Z626-0)=0,"",INDEX(包装物料出入库明细!$C$4:$C$2003,$Z626-0)),IF($Z626&lt;=4000,IF(INDEX(周转筐出入库明细!$E$4:$E$2004,$Z626-2000)=0,"",INDEX(周转筐出入库明细!$E$4:$E$2004,$Z626-2000)),IF($Z626&lt;=5200,IF(INDEX(客户自备加工筐明细!$D$4:$D$1203,$Z626-4000)=0,"",INDEX(客户自备加工筐明细!$D$4:$D$1203,$Z626-4000)),IF($Z626&lt;=5800,IF(INDEX(次果筐明细!$E$4:$E$603,$Z626-5200)=0,"",INDEX(次果筐明细!$E$4:$E$603,$Z626-5200)),"")))))</f>
        <v/>
      </c>
      <c r="F626" s="24" t="str">
        <f>IF($Z626="","",IF($Z626&lt;=2000,IF(INDEX(包装物料出入库明细!$E$4:$E$2003,$Z626-0)=0,"",INDEX(包装物料出入库明细!$E$4:$E$2003,$Z626-0)),IF($Z626&lt;=4000,IF(INDEX(周转筐出入库明细!$D$4:$D$2004,$Z626-2000)=0,"",INDEX(周转筐出入库明细!$D$4:$D$2004,$Z626-2000)),IF($Z626&lt;=5200,IF(INDEX(客户自备加工筐明细!$C$4:$C$1203,$Z626-4000)=0,"",INDEX(客户自备加工筐明细!$C$4:$C$1203,$Z626-4000)),IF($Z626&lt;=5800,IF(INDEX(次果筐明细!$D$4:$D$603,$Z626-5200)=0,"",INDEX(次果筐明细!$D$4:$D$603,$Z626-5200)),"")))))</f>
        <v/>
      </c>
      <c r="G626" s="24" t="str">
        <f>IF($Z626="","",IF($Z626&lt;=2000,IF(INDEX(包装物料出入库明细!$F$4:$F$2003,$Z626-0)=0,"",INDEX(包装物料出入库明细!$F$4:$F$2003,$Z626-0)),IF($Z626&lt;=4000,"",IF($Z626&lt;=5200,"",IF($Z626&lt;=5800,"","")))))</f>
        <v/>
      </c>
      <c r="H626" s="39" t="str">
        <f>IF($Z626="","",IF($Z626&lt;=2000,IF(INDEX(包装物料出入库明细!$L$4:$L$2003,$Z626-0)=0,"",INDEX(包装物料出入库明细!$L$4:$L$2003,$Z626-0)),IF($Z626&lt;=4000,N(INDEX(周转筐出入库明细!$H$4:$H$2004,$Z626-2000))+N(INDEX(周转筐出入库明细!$I$4:$I$2004,$Z626-2000))+N(INDEX(周转筐出入库明细!$J$4:$J$2004,$Z626-2000))+N(INDEX(周转筐出入库明细!$K$4:$K$2004,$Z626-2000)),IF($Z626&lt;=5200,N(INDEX(客户自备加工筐明细!$F$4:$F$1203,$Z626-4000))+N(INDEX(客户自备加工筐明细!$G$4:$G$1203,$Z626-4000)),IF($Z626&lt;=5800,IF(INDEX(次果筐明细!$G$4:$G$603,$Z626-5200)=0,"",INDEX(次果筐明细!$G$4:$G$603,$Z626-5200)),"")))))</f>
        <v/>
      </c>
      <c r="I626" s="24" t="str">
        <f>IF($Z626="","",IF($Z626&lt;=2000,IF(INDEX(包装物料出入库明细!$G$4:$G$2003,$Z626-0)=0,"",INDEX(包装物料出入库明细!$G$4:$G$2003,$Z626-0)),IF($Z626&lt;=4000,"个",IF($Z626&lt;=5200,"个",IF($Z626&lt;=5800,"个","")))))</f>
        <v/>
      </c>
      <c r="J626" s="30" t="str">
        <f t="shared" si="28"/>
        <v/>
      </c>
      <c r="K626" s="30" t="str">
        <f>IF($Z626="","",IF($Z626&lt;=2000,IF(INDEX(包装物料出入库明细!$N$4:$N$2003,$Z626-0)=0,"",INDEX(包装物料出入库明细!$N$4:$N$2003,$Z626-0)),IF($Z626&lt;=4000,IF(INDEX(周转筐出入库明细!$P$4:$P$2004,$Z626-2000)=0,"",INDEX(周转筐出入库明细!$P$4:$P$2004,$Z626-2000)),IF($Z626&lt;=5200,"",IF($Z626&lt;=5800,N(INDEX(次果筐明细!$L$4:$L$603,$Z626-5200))+N(INDEX(次果筐明细!$J$4:$J$603,$Z626-5200)),"")))))</f>
        <v/>
      </c>
      <c r="L626" s="24" t="str">
        <f>IF($Z626="","",IF($Z626&lt;=2000,IF(INDEX(包装物料出入库明细!$P$4:$P$2003,$Z626-0)=0,"",INDEX(包装物料出入库明细!$P$4:$P$2003,$Z626-0)),IF($Z626&lt;=4000,IF(INDEX(周转筐出入库明细!$Q$4:$Q$2004,$Z626-2000)=0,"",INDEX(周转筐出入库明细!$Q$4:$Q$2004,$Z626-2000)),IF($Z626&lt;=5200,"",IF($Z626&lt;=5800,IF(INDEX(次果筐明细!$M$4:$M$603,$Z626-5200)=0,"",INDEX(次果筐明细!$M$4:$M$603,$Z626-5200)),"")))))</f>
        <v/>
      </c>
      <c r="M626" s="37" t="str">
        <f>IF($Z626="","",IF($Z626&lt;=2000,IF(INDEX(包装物料出入库明细!$R$4:$R$2003,$Z626-0)=0,"",INDEX(包装物料出入库明细!$R$4:$R$2003,$Z626-0)),IF($Z626&lt;=4000,IF(INDEX(周转筐出入库明细!$W$4:$W$2004,$Z626-2000)=0,"",INDEX(周转筐出入库明细!$W$4:$W$2004,$Z626-2000)),IF($Z626&lt;=5200,IF(INDEX(客户自备加工筐明细!$L$4:$L$1203,$Z626-4000)=0,"",INDEX(客户自备加工筐明细!$L$4:$L$1203,$Z626-4000)),IF($Z626&lt;=5800,IF(INDEX(次果筐明细!$P$4:$P$603,$Z626-5200)=0,"",INDEX(次果筐明细!$P$4:$P$603,$Z626-5200)),"")))))</f>
        <v/>
      </c>
      <c r="N626" s="16" t="str">
        <f>IF($Z626="","",IF($Z626&lt;=2000,"",IF($Z626&lt;=4000,IF(INDEX(周转筐出入库明细!$D$4:$D$2004,$Z626-2000)=0,"",INDEX(周转筐出入库明细!$D$4:$D$2004,$Z626-2000)),IF($Z626&lt;=5200,IF(INDEX(客户自备加工筐明细!$C$4:$C$1203,$Z626-4000)=0,"",INDEX(客户自备加工筐明细!$C$4:$C$1203,$Z626-4000)),IF($Z626&lt;=5800,IF(INDEX(次果筐明细!$D$4:$D$603,$Z626-5200)=0,"",INDEX(次果筐明细!$D$4:$D$603,$Z626-5200)),"")))))</f>
        <v/>
      </c>
      <c r="O626" s="40" t="str">
        <f>IF($Z626="","",IF($Z626&lt;=2000,"",IF($Z626&lt;=4000,IF(N(INDEX(周转筐出入库明细!$J$4:$J$2004,$Z626-2000))+N(INDEX(周转筐出入库明细!$K$4:$K$2004,$Z626-2000))=0,"",N(INDEX(周转筐出入库明细!$J$4:$J$2004,$Z626-2000))+N(INDEX(周转筐出入库明细!$K$4:$K$2004,$Z626-2000))),IF($Z626&lt;=5200,IF(N(INDEX(客户自备加工筐明细!$G$4:$G$1203,$Z626-4000))=0,"",N(INDEX(客户自备加工筐明细!$G$4:$G$1203,$Z626-4000))),IF($Z626&lt;=5800,IF(ISNUMBER(SEARCH("退",INDEX(次果筐明细!$F$4:$F$603,$Z626-5200)&amp;"")),"",IF(N(INDEX(次果筐明细!$G$4:$G$603,$Z626-5200))=0,"",N(INDEX(次果筐明细!$G$4:$G$603,$Z626-5200)))),"")))))</f>
        <v/>
      </c>
      <c r="P626" s="40" t="str">
        <f>IF($Z626="","",IF($Z626&lt;=2000,"",IF($Z626&lt;=4000,IF(N(INDEX(周转筐出入库明细!$I$4:$I$2004,$Z626-2000))=0,"",N(INDEX(周转筐出入库明细!$I$4:$I$2004,$Z626-2000))),IF($Z626&lt;=5200,"",IF($Z626&lt;=5800,IF(ISNUMBER(SEARCH("退",INDEX(次果筐明细!$F$4:$F$603,$Z626-5200)&amp;"")),IF(N(INDEX(次果筐明细!$G$4:$G$603,$Z626-5200))=0,"",N(INDEX(次果筐明细!$G$4:$G$603,$Z626-5200))),""),"")))))</f>
        <v/>
      </c>
      <c r="Q626" s="40" t="str">
        <f>IF($Z626="","",IF($Z626&lt;=2000,"",IF($Z626&lt;=4000,IF(N(INDEX(周转筐出入库明细!$H$4:$H$2004,$Z626-2000))=0,"",N(INDEX(周转筐出入库明细!$H$4:$H$2004,$Z626-2000))),IF($Z626&lt;=5200,IF(N(INDEX(客户自备加工筐明细!$F$4:$F$1203,$Z626-4000))=0,"",N(INDEX(客户自备加工筐明细!$F$4:$F$1203,$Z626-4000))),IF($Z626&lt;=5800,"","")))))</f>
        <v/>
      </c>
      <c r="R626" s="16" t="str">
        <f>IF($Z626="","",IF($Z626&lt;=2000,IF(INDEX(包装物料出入库明细!$O$4:$O$2003,$Z626-0)=0,"",INDEX(包装物料出入库明细!$O$4:$O$2003,$Z626-0)),IF($Z626&lt;=4000,IF(INDEX(周转筐出入库明细!$M$4:$M$2004,$Z626-2000)=0,"",INDEX(周转筐出入库明细!$M$4:$M$2004,$Z626-2000)),IF($Z626&lt;=5200,IF(INDEX(客户自备加工筐明细!$H$4:$H$1203,$Z626-4000)=0,"",INDEX(客户自备加工筐明细!$H$4:$H$1203,$Z626-4000)),IF($Z626&lt;=5800,IF(INDEX(次果筐明细!$H$4:$H$603,$Z626-5200)=0,"",INDEX(次果筐明细!$H$4:$H$603,$Z626-5200)),"")))))</f>
        <v/>
      </c>
      <c r="S626" s="22" t="str">
        <f t="shared" si="29"/>
        <v/>
      </c>
      <c r="Z626" s="10" t="str">
        <f>IFERROR(MATCH(ROW()-3,_自动清单!$CQ$4:$CQ$5803,0),"")</f>
        <v/>
      </c>
    </row>
    <row r="627" spans="1:26">
      <c r="A627" s="24" t="str">
        <f t="shared" si="27"/>
        <v/>
      </c>
      <c r="B627" s="38" t="str">
        <f>IF($Z627="","",IF($Z627&lt;=2000,IF(INDEX(包装物料出入库明细!$B$4:$B$2003,$Z627-0)=0,"",INDEX(包装物料出入库明细!$B$4:$B$2003,$Z627-0)),IF($Z627&lt;=4000,IF(INDEX(周转筐出入库明细!$B$4:$B$2004,$Z627-2000)=0,"",INDEX(周转筐出入库明细!$B$4:$B$2004,$Z627-2000)),IF($Z627&lt;=5200,IF(INDEX(客户自备加工筐明细!$B$4:$B$1203,$Z627-4000)=0,"",INDEX(客户自备加工筐明细!$B$4:$B$1203,$Z627-4000)),IF($Z627&lt;=5800,IF(INDEX(次果筐明细!$B$4:$B$603,$Z627-5200)=0,"",INDEX(次果筐明细!$B$4:$B$603,$Z627-5200)),"")))))</f>
        <v/>
      </c>
      <c r="C627" s="37" t="str">
        <f>IF($Z627="","",IF($Z627&lt;=2000,IF(INDEX(包装物料出入库明细!$D$4:$D$2003,$Z627-0)=0,"",INDEX(包装物料出入库明细!$D$4:$D$2003,$Z627-0)),IF($Z627&lt;=4000,IF(INDEX(周转筐出入库明细!$C$4:$C$2004,$Z627-2000)=0,"",INDEX(周转筐出入库明细!$C$4:$C$2004,$Z627-2000)),IF($Z627&lt;=5200,IF(INDEX(客户自备加工筐明细!$E$4:$E$1203,$Z627-4000)=0,"",INDEX(客户自备加工筐明细!$E$4:$E$1203,$Z627-4000)),IF($Z627&lt;=5800,IF(INDEX(次果筐明细!$C$4:$C$603,$Z627-5200)=0,"",INDEX(次果筐明细!$C$4:$C$603,$Z627-5200)),"")))))</f>
        <v/>
      </c>
      <c r="D627" s="37" t="str">
        <f>IF($Z627="","",IF($Z627&lt;=2000,"包装物料－"&amp;INDEX(包装物料出入库明细!$H$4:$H$2003,$Z627-0),IF($Z627&lt;=4000,"周转筐－"&amp;INDEX(周转筐出入库明细!$F$4:$F$2004,$Z627-2000),IF($Z627&lt;=5200,"客户自备筐－"&amp;INDEX(客户自备加工筐明细!$J$4:$J$1203,$Z627-4000),IF($Z627&lt;=5800,"次果筐/托盘－"&amp;INDEX(次果筐明细!$F$4:$F$603,$Z627-5200),"")))))</f>
        <v/>
      </c>
      <c r="E627" s="24" t="str">
        <f>IF($Z627="","",IF($Z627&lt;=2000,IF(INDEX(包装物料出入库明细!$C$4:$C$2003,$Z627-0)=0,"",INDEX(包装物料出入库明细!$C$4:$C$2003,$Z627-0)),IF($Z627&lt;=4000,IF(INDEX(周转筐出入库明细!$E$4:$E$2004,$Z627-2000)=0,"",INDEX(周转筐出入库明细!$E$4:$E$2004,$Z627-2000)),IF($Z627&lt;=5200,IF(INDEX(客户自备加工筐明细!$D$4:$D$1203,$Z627-4000)=0,"",INDEX(客户自备加工筐明细!$D$4:$D$1203,$Z627-4000)),IF($Z627&lt;=5800,IF(INDEX(次果筐明细!$E$4:$E$603,$Z627-5200)=0,"",INDEX(次果筐明细!$E$4:$E$603,$Z627-5200)),"")))))</f>
        <v/>
      </c>
      <c r="F627" s="24" t="str">
        <f>IF($Z627="","",IF($Z627&lt;=2000,IF(INDEX(包装物料出入库明细!$E$4:$E$2003,$Z627-0)=0,"",INDEX(包装物料出入库明细!$E$4:$E$2003,$Z627-0)),IF($Z627&lt;=4000,IF(INDEX(周转筐出入库明细!$D$4:$D$2004,$Z627-2000)=0,"",INDEX(周转筐出入库明细!$D$4:$D$2004,$Z627-2000)),IF($Z627&lt;=5200,IF(INDEX(客户自备加工筐明细!$C$4:$C$1203,$Z627-4000)=0,"",INDEX(客户自备加工筐明细!$C$4:$C$1203,$Z627-4000)),IF($Z627&lt;=5800,IF(INDEX(次果筐明细!$D$4:$D$603,$Z627-5200)=0,"",INDEX(次果筐明细!$D$4:$D$603,$Z627-5200)),"")))))</f>
        <v/>
      </c>
      <c r="G627" s="24" t="str">
        <f>IF($Z627="","",IF($Z627&lt;=2000,IF(INDEX(包装物料出入库明细!$F$4:$F$2003,$Z627-0)=0,"",INDEX(包装物料出入库明细!$F$4:$F$2003,$Z627-0)),IF($Z627&lt;=4000,"",IF($Z627&lt;=5200,"",IF($Z627&lt;=5800,"","")))))</f>
        <v/>
      </c>
      <c r="H627" s="39" t="str">
        <f>IF($Z627="","",IF($Z627&lt;=2000,IF(INDEX(包装物料出入库明细!$L$4:$L$2003,$Z627-0)=0,"",INDEX(包装物料出入库明细!$L$4:$L$2003,$Z627-0)),IF($Z627&lt;=4000,N(INDEX(周转筐出入库明细!$H$4:$H$2004,$Z627-2000))+N(INDEX(周转筐出入库明细!$I$4:$I$2004,$Z627-2000))+N(INDEX(周转筐出入库明细!$J$4:$J$2004,$Z627-2000))+N(INDEX(周转筐出入库明细!$K$4:$K$2004,$Z627-2000)),IF($Z627&lt;=5200,N(INDEX(客户自备加工筐明细!$F$4:$F$1203,$Z627-4000))+N(INDEX(客户自备加工筐明细!$G$4:$G$1203,$Z627-4000)),IF($Z627&lt;=5800,IF(INDEX(次果筐明细!$G$4:$G$603,$Z627-5200)=0,"",INDEX(次果筐明细!$G$4:$G$603,$Z627-5200)),"")))))</f>
        <v/>
      </c>
      <c r="I627" s="24" t="str">
        <f>IF($Z627="","",IF($Z627&lt;=2000,IF(INDEX(包装物料出入库明细!$G$4:$G$2003,$Z627-0)=0,"",INDEX(包装物料出入库明细!$G$4:$G$2003,$Z627-0)),IF($Z627&lt;=4000,"个",IF($Z627&lt;=5200,"个",IF($Z627&lt;=5800,"个","")))))</f>
        <v/>
      </c>
      <c r="J627" s="30" t="str">
        <f t="shared" si="28"/>
        <v/>
      </c>
      <c r="K627" s="30" t="str">
        <f>IF($Z627="","",IF($Z627&lt;=2000,IF(INDEX(包装物料出入库明细!$N$4:$N$2003,$Z627-0)=0,"",INDEX(包装物料出入库明细!$N$4:$N$2003,$Z627-0)),IF($Z627&lt;=4000,IF(INDEX(周转筐出入库明细!$P$4:$P$2004,$Z627-2000)=0,"",INDEX(周转筐出入库明细!$P$4:$P$2004,$Z627-2000)),IF($Z627&lt;=5200,"",IF($Z627&lt;=5800,N(INDEX(次果筐明细!$L$4:$L$603,$Z627-5200))+N(INDEX(次果筐明细!$J$4:$J$603,$Z627-5200)),"")))))</f>
        <v/>
      </c>
      <c r="L627" s="24" t="str">
        <f>IF($Z627="","",IF($Z627&lt;=2000,IF(INDEX(包装物料出入库明细!$P$4:$P$2003,$Z627-0)=0,"",INDEX(包装物料出入库明细!$P$4:$P$2003,$Z627-0)),IF($Z627&lt;=4000,IF(INDEX(周转筐出入库明细!$Q$4:$Q$2004,$Z627-2000)=0,"",INDEX(周转筐出入库明细!$Q$4:$Q$2004,$Z627-2000)),IF($Z627&lt;=5200,"",IF($Z627&lt;=5800,IF(INDEX(次果筐明细!$M$4:$M$603,$Z627-5200)=0,"",INDEX(次果筐明细!$M$4:$M$603,$Z627-5200)),"")))))</f>
        <v/>
      </c>
      <c r="M627" s="37" t="str">
        <f>IF($Z627="","",IF($Z627&lt;=2000,IF(INDEX(包装物料出入库明细!$R$4:$R$2003,$Z627-0)=0,"",INDEX(包装物料出入库明细!$R$4:$R$2003,$Z627-0)),IF($Z627&lt;=4000,IF(INDEX(周转筐出入库明细!$W$4:$W$2004,$Z627-2000)=0,"",INDEX(周转筐出入库明细!$W$4:$W$2004,$Z627-2000)),IF($Z627&lt;=5200,IF(INDEX(客户自备加工筐明细!$L$4:$L$1203,$Z627-4000)=0,"",INDEX(客户自备加工筐明细!$L$4:$L$1203,$Z627-4000)),IF($Z627&lt;=5800,IF(INDEX(次果筐明细!$P$4:$P$603,$Z627-5200)=0,"",INDEX(次果筐明细!$P$4:$P$603,$Z627-5200)),"")))))</f>
        <v/>
      </c>
      <c r="N627" s="16" t="str">
        <f>IF($Z627="","",IF($Z627&lt;=2000,"",IF($Z627&lt;=4000,IF(INDEX(周转筐出入库明细!$D$4:$D$2004,$Z627-2000)=0,"",INDEX(周转筐出入库明细!$D$4:$D$2004,$Z627-2000)),IF($Z627&lt;=5200,IF(INDEX(客户自备加工筐明细!$C$4:$C$1203,$Z627-4000)=0,"",INDEX(客户自备加工筐明细!$C$4:$C$1203,$Z627-4000)),IF($Z627&lt;=5800,IF(INDEX(次果筐明细!$D$4:$D$603,$Z627-5200)=0,"",INDEX(次果筐明细!$D$4:$D$603,$Z627-5200)),"")))))</f>
        <v/>
      </c>
      <c r="O627" s="40" t="str">
        <f>IF($Z627="","",IF($Z627&lt;=2000,"",IF($Z627&lt;=4000,IF(N(INDEX(周转筐出入库明细!$J$4:$J$2004,$Z627-2000))+N(INDEX(周转筐出入库明细!$K$4:$K$2004,$Z627-2000))=0,"",N(INDEX(周转筐出入库明细!$J$4:$J$2004,$Z627-2000))+N(INDEX(周转筐出入库明细!$K$4:$K$2004,$Z627-2000))),IF($Z627&lt;=5200,IF(N(INDEX(客户自备加工筐明细!$G$4:$G$1203,$Z627-4000))=0,"",N(INDEX(客户自备加工筐明细!$G$4:$G$1203,$Z627-4000))),IF($Z627&lt;=5800,IF(ISNUMBER(SEARCH("退",INDEX(次果筐明细!$F$4:$F$603,$Z627-5200)&amp;"")),"",IF(N(INDEX(次果筐明细!$G$4:$G$603,$Z627-5200))=0,"",N(INDEX(次果筐明细!$G$4:$G$603,$Z627-5200)))),"")))))</f>
        <v/>
      </c>
      <c r="P627" s="40" t="str">
        <f>IF($Z627="","",IF($Z627&lt;=2000,"",IF($Z627&lt;=4000,IF(N(INDEX(周转筐出入库明细!$I$4:$I$2004,$Z627-2000))=0,"",N(INDEX(周转筐出入库明细!$I$4:$I$2004,$Z627-2000))),IF($Z627&lt;=5200,"",IF($Z627&lt;=5800,IF(ISNUMBER(SEARCH("退",INDEX(次果筐明细!$F$4:$F$603,$Z627-5200)&amp;"")),IF(N(INDEX(次果筐明细!$G$4:$G$603,$Z627-5200))=0,"",N(INDEX(次果筐明细!$G$4:$G$603,$Z627-5200))),""),"")))))</f>
        <v/>
      </c>
      <c r="Q627" s="40" t="str">
        <f>IF($Z627="","",IF($Z627&lt;=2000,"",IF($Z627&lt;=4000,IF(N(INDEX(周转筐出入库明细!$H$4:$H$2004,$Z627-2000))=0,"",N(INDEX(周转筐出入库明细!$H$4:$H$2004,$Z627-2000))),IF($Z627&lt;=5200,IF(N(INDEX(客户自备加工筐明细!$F$4:$F$1203,$Z627-4000))=0,"",N(INDEX(客户自备加工筐明细!$F$4:$F$1203,$Z627-4000))),IF($Z627&lt;=5800,"","")))))</f>
        <v/>
      </c>
      <c r="R627" s="16" t="str">
        <f>IF($Z627="","",IF($Z627&lt;=2000,IF(INDEX(包装物料出入库明细!$O$4:$O$2003,$Z627-0)=0,"",INDEX(包装物料出入库明细!$O$4:$O$2003,$Z627-0)),IF($Z627&lt;=4000,IF(INDEX(周转筐出入库明细!$M$4:$M$2004,$Z627-2000)=0,"",INDEX(周转筐出入库明细!$M$4:$M$2004,$Z627-2000)),IF($Z627&lt;=5200,IF(INDEX(客户自备加工筐明细!$H$4:$H$1203,$Z627-4000)=0,"",INDEX(客户自备加工筐明细!$H$4:$H$1203,$Z627-4000)),IF($Z627&lt;=5800,IF(INDEX(次果筐明细!$H$4:$H$603,$Z627-5200)=0,"",INDEX(次果筐明细!$H$4:$H$603,$Z627-5200)),"")))))</f>
        <v/>
      </c>
      <c r="S627" s="22" t="str">
        <f t="shared" si="29"/>
        <v/>
      </c>
      <c r="Z627" s="10" t="str">
        <f>IFERROR(MATCH(ROW()-3,_自动清单!$CQ$4:$CQ$5803,0),"")</f>
        <v/>
      </c>
    </row>
    <row r="628" spans="1:26">
      <c r="A628" s="24" t="str">
        <f t="shared" si="27"/>
        <v/>
      </c>
      <c r="B628" s="38" t="str">
        <f>IF($Z628="","",IF($Z628&lt;=2000,IF(INDEX(包装物料出入库明细!$B$4:$B$2003,$Z628-0)=0,"",INDEX(包装物料出入库明细!$B$4:$B$2003,$Z628-0)),IF($Z628&lt;=4000,IF(INDEX(周转筐出入库明细!$B$4:$B$2004,$Z628-2000)=0,"",INDEX(周转筐出入库明细!$B$4:$B$2004,$Z628-2000)),IF($Z628&lt;=5200,IF(INDEX(客户自备加工筐明细!$B$4:$B$1203,$Z628-4000)=0,"",INDEX(客户自备加工筐明细!$B$4:$B$1203,$Z628-4000)),IF($Z628&lt;=5800,IF(INDEX(次果筐明细!$B$4:$B$603,$Z628-5200)=0,"",INDEX(次果筐明细!$B$4:$B$603,$Z628-5200)),"")))))</f>
        <v/>
      </c>
      <c r="C628" s="37" t="str">
        <f>IF($Z628="","",IF($Z628&lt;=2000,IF(INDEX(包装物料出入库明细!$D$4:$D$2003,$Z628-0)=0,"",INDEX(包装物料出入库明细!$D$4:$D$2003,$Z628-0)),IF($Z628&lt;=4000,IF(INDEX(周转筐出入库明细!$C$4:$C$2004,$Z628-2000)=0,"",INDEX(周转筐出入库明细!$C$4:$C$2004,$Z628-2000)),IF($Z628&lt;=5200,IF(INDEX(客户自备加工筐明细!$E$4:$E$1203,$Z628-4000)=0,"",INDEX(客户自备加工筐明细!$E$4:$E$1203,$Z628-4000)),IF($Z628&lt;=5800,IF(INDEX(次果筐明细!$C$4:$C$603,$Z628-5200)=0,"",INDEX(次果筐明细!$C$4:$C$603,$Z628-5200)),"")))))</f>
        <v/>
      </c>
      <c r="D628" s="37" t="str">
        <f>IF($Z628="","",IF($Z628&lt;=2000,"包装物料－"&amp;INDEX(包装物料出入库明细!$H$4:$H$2003,$Z628-0),IF($Z628&lt;=4000,"周转筐－"&amp;INDEX(周转筐出入库明细!$F$4:$F$2004,$Z628-2000),IF($Z628&lt;=5200,"客户自备筐－"&amp;INDEX(客户自备加工筐明细!$J$4:$J$1203,$Z628-4000),IF($Z628&lt;=5800,"次果筐/托盘－"&amp;INDEX(次果筐明细!$F$4:$F$603,$Z628-5200),"")))))</f>
        <v/>
      </c>
      <c r="E628" s="24" t="str">
        <f>IF($Z628="","",IF($Z628&lt;=2000,IF(INDEX(包装物料出入库明细!$C$4:$C$2003,$Z628-0)=0,"",INDEX(包装物料出入库明细!$C$4:$C$2003,$Z628-0)),IF($Z628&lt;=4000,IF(INDEX(周转筐出入库明细!$E$4:$E$2004,$Z628-2000)=0,"",INDEX(周转筐出入库明细!$E$4:$E$2004,$Z628-2000)),IF($Z628&lt;=5200,IF(INDEX(客户自备加工筐明细!$D$4:$D$1203,$Z628-4000)=0,"",INDEX(客户自备加工筐明细!$D$4:$D$1203,$Z628-4000)),IF($Z628&lt;=5800,IF(INDEX(次果筐明细!$E$4:$E$603,$Z628-5200)=0,"",INDEX(次果筐明细!$E$4:$E$603,$Z628-5200)),"")))))</f>
        <v/>
      </c>
      <c r="F628" s="24" t="str">
        <f>IF($Z628="","",IF($Z628&lt;=2000,IF(INDEX(包装物料出入库明细!$E$4:$E$2003,$Z628-0)=0,"",INDEX(包装物料出入库明细!$E$4:$E$2003,$Z628-0)),IF($Z628&lt;=4000,IF(INDEX(周转筐出入库明细!$D$4:$D$2004,$Z628-2000)=0,"",INDEX(周转筐出入库明细!$D$4:$D$2004,$Z628-2000)),IF($Z628&lt;=5200,IF(INDEX(客户自备加工筐明细!$C$4:$C$1203,$Z628-4000)=0,"",INDEX(客户自备加工筐明细!$C$4:$C$1203,$Z628-4000)),IF($Z628&lt;=5800,IF(INDEX(次果筐明细!$D$4:$D$603,$Z628-5200)=0,"",INDEX(次果筐明细!$D$4:$D$603,$Z628-5200)),"")))))</f>
        <v/>
      </c>
      <c r="G628" s="24" t="str">
        <f>IF($Z628="","",IF($Z628&lt;=2000,IF(INDEX(包装物料出入库明细!$F$4:$F$2003,$Z628-0)=0,"",INDEX(包装物料出入库明细!$F$4:$F$2003,$Z628-0)),IF($Z628&lt;=4000,"",IF($Z628&lt;=5200,"",IF($Z628&lt;=5800,"","")))))</f>
        <v/>
      </c>
      <c r="H628" s="39" t="str">
        <f>IF($Z628="","",IF($Z628&lt;=2000,IF(INDEX(包装物料出入库明细!$L$4:$L$2003,$Z628-0)=0,"",INDEX(包装物料出入库明细!$L$4:$L$2003,$Z628-0)),IF($Z628&lt;=4000,N(INDEX(周转筐出入库明细!$H$4:$H$2004,$Z628-2000))+N(INDEX(周转筐出入库明细!$I$4:$I$2004,$Z628-2000))+N(INDEX(周转筐出入库明细!$J$4:$J$2004,$Z628-2000))+N(INDEX(周转筐出入库明细!$K$4:$K$2004,$Z628-2000)),IF($Z628&lt;=5200,N(INDEX(客户自备加工筐明细!$F$4:$F$1203,$Z628-4000))+N(INDEX(客户自备加工筐明细!$G$4:$G$1203,$Z628-4000)),IF($Z628&lt;=5800,IF(INDEX(次果筐明细!$G$4:$G$603,$Z628-5200)=0,"",INDEX(次果筐明细!$G$4:$G$603,$Z628-5200)),"")))))</f>
        <v/>
      </c>
      <c r="I628" s="24" t="str">
        <f>IF($Z628="","",IF($Z628&lt;=2000,IF(INDEX(包装物料出入库明细!$G$4:$G$2003,$Z628-0)=0,"",INDEX(包装物料出入库明细!$G$4:$G$2003,$Z628-0)),IF($Z628&lt;=4000,"个",IF($Z628&lt;=5200,"个",IF($Z628&lt;=5800,"个","")))))</f>
        <v/>
      </c>
      <c r="J628" s="30" t="str">
        <f t="shared" si="28"/>
        <v/>
      </c>
      <c r="K628" s="30" t="str">
        <f>IF($Z628="","",IF($Z628&lt;=2000,IF(INDEX(包装物料出入库明细!$N$4:$N$2003,$Z628-0)=0,"",INDEX(包装物料出入库明细!$N$4:$N$2003,$Z628-0)),IF($Z628&lt;=4000,IF(INDEX(周转筐出入库明细!$P$4:$P$2004,$Z628-2000)=0,"",INDEX(周转筐出入库明细!$P$4:$P$2004,$Z628-2000)),IF($Z628&lt;=5200,"",IF($Z628&lt;=5800,N(INDEX(次果筐明细!$L$4:$L$603,$Z628-5200))+N(INDEX(次果筐明细!$J$4:$J$603,$Z628-5200)),"")))))</f>
        <v/>
      </c>
      <c r="L628" s="24" t="str">
        <f>IF($Z628="","",IF($Z628&lt;=2000,IF(INDEX(包装物料出入库明细!$P$4:$P$2003,$Z628-0)=0,"",INDEX(包装物料出入库明细!$P$4:$P$2003,$Z628-0)),IF($Z628&lt;=4000,IF(INDEX(周转筐出入库明细!$Q$4:$Q$2004,$Z628-2000)=0,"",INDEX(周转筐出入库明细!$Q$4:$Q$2004,$Z628-2000)),IF($Z628&lt;=5200,"",IF($Z628&lt;=5800,IF(INDEX(次果筐明细!$M$4:$M$603,$Z628-5200)=0,"",INDEX(次果筐明细!$M$4:$M$603,$Z628-5200)),"")))))</f>
        <v/>
      </c>
      <c r="M628" s="37" t="str">
        <f>IF($Z628="","",IF($Z628&lt;=2000,IF(INDEX(包装物料出入库明细!$R$4:$R$2003,$Z628-0)=0,"",INDEX(包装物料出入库明细!$R$4:$R$2003,$Z628-0)),IF($Z628&lt;=4000,IF(INDEX(周转筐出入库明细!$W$4:$W$2004,$Z628-2000)=0,"",INDEX(周转筐出入库明细!$W$4:$W$2004,$Z628-2000)),IF($Z628&lt;=5200,IF(INDEX(客户自备加工筐明细!$L$4:$L$1203,$Z628-4000)=0,"",INDEX(客户自备加工筐明细!$L$4:$L$1203,$Z628-4000)),IF($Z628&lt;=5800,IF(INDEX(次果筐明细!$P$4:$P$603,$Z628-5200)=0,"",INDEX(次果筐明细!$P$4:$P$603,$Z628-5200)),"")))))</f>
        <v/>
      </c>
      <c r="N628" s="16" t="str">
        <f>IF($Z628="","",IF($Z628&lt;=2000,"",IF($Z628&lt;=4000,IF(INDEX(周转筐出入库明细!$D$4:$D$2004,$Z628-2000)=0,"",INDEX(周转筐出入库明细!$D$4:$D$2004,$Z628-2000)),IF($Z628&lt;=5200,IF(INDEX(客户自备加工筐明细!$C$4:$C$1203,$Z628-4000)=0,"",INDEX(客户自备加工筐明细!$C$4:$C$1203,$Z628-4000)),IF($Z628&lt;=5800,IF(INDEX(次果筐明细!$D$4:$D$603,$Z628-5200)=0,"",INDEX(次果筐明细!$D$4:$D$603,$Z628-5200)),"")))))</f>
        <v/>
      </c>
      <c r="O628" s="40" t="str">
        <f>IF($Z628="","",IF($Z628&lt;=2000,"",IF($Z628&lt;=4000,IF(N(INDEX(周转筐出入库明细!$J$4:$J$2004,$Z628-2000))+N(INDEX(周转筐出入库明细!$K$4:$K$2004,$Z628-2000))=0,"",N(INDEX(周转筐出入库明细!$J$4:$J$2004,$Z628-2000))+N(INDEX(周转筐出入库明细!$K$4:$K$2004,$Z628-2000))),IF($Z628&lt;=5200,IF(N(INDEX(客户自备加工筐明细!$G$4:$G$1203,$Z628-4000))=0,"",N(INDEX(客户自备加工筐明细!$G$4:$G$1203,$Z628-4000))),IF($Z628&lt;=5800,IF(ISNUMBER(SEARCH("退",INDEX(次果筐明细!$F$4:$F$603,$Z628-5200)&amp;"")),"",IF(N(INDEX(次果筐明细!$G$4:$G$603,$Z628-5200))=0,"",N(INDEX(次果筐明细!$G$4:$G$603,$Z628-5200)))),"")))))</f>
        <v/>
      </c>
      <c r="P628" s="40" t="str">
        <f>IF($Z628="","",IF($Z628&lt;=2000,"",IF($Z628&lt;=4000,IF(N(INDEX(周转筐出入库明细!$I$4:$I$2004,$Z628-2000))=0,"",N(INDEX(周转筐出入库明细!$I$4:$I$2004,$Z628-2000))),IF($Z628&lt;=5200,"",IF($Z628&lt;=5800,IF(ISNUMBER(SEARCH("退",INDEX(次果筐明细!$F$4:$F$603,$Z628-5200)&amp;"")),IF(N(INDEX(次果筐明细!$G$4:$G$603,$Z628-5200))=0,"",N(INDEX(次果筐明细!$G$4:$G$603,$Z628-5200))),""),"")))))</f>
        <v/>
      </c>
      <c r="Q628" s="40" t="str">
        <f>IF($Z628="","",IF($Z628&lt;=2000,"",IF($Z628&lt;=4000,IF(N(INDEX(周转筐出入库明细!$H$4:$H$2004,$Z628-2000))=0,"",N(INDEX(周转筐出入库明细!$H$4:$H$2004,$Z628-2000))),IF($Z628&lt;=5200,IF(N(INDEX(客户自备加工筐明细!$F$4:$F$1203,$Z628-4000))=0,"",N(INDEX(客户自备加工筐明细!$F$4:$F$1203,$Z628-4000))),IF($Z628&lt;=5800,"","")))))</f>
        <v/>
      </c>
      <c r="R628" s="16" t="str">
        <f>IF($Z628="","",IF($Z628&lt;=2000,IF(INDEX(包装物料出入库明细!$O$4:$O$2003,$Z628-0)=0,"",INDEX(包装物料出入库明细!$O$4:$O$2003,$Z628-0)),IF($Z628&lt;=4000,IF(INDEX(周转筐出入库明细!$M$4:$M$2004,$Z628-2000)=0,"",INDEX(周转筐出入库明细!$M$4:$M$2004,$Z628-2000)),IF($Z628&lt;=5200,IF(INDEX(客户自备加工筐明细!$H$4:$H$1203,$Z628-4000)=0,"",INDEX(客户自备加工筐明细!$H$4:$H$1203,$Z628-4000)),IF($Z628&lt;=5800,IF(INDEX(次果筐明细!$H$4:$H$603,$Z628-5200)=0,"",INDEX(次果筐明细!$H$4:$H$603,$Z628-5200)),"")))))</f>
        <v/>
      </c>
      <c r="S628" s="22" t="str">
        <f t="shared" si="29"/>
        <v/>
      </c>
      <c r="Z628" s="10" t="str">
        <f>IFERROR(MATCH(ROW()-3,_自动清单!$CQ$4:$CQ$5803,0),"")</f>
        <v/>
      </c>
    </row>
    <row r="629" spans="1:26">
      <c r="A629" s="24" t="str">
        <f t="shared" si="27"/>
        <v/>
      </c>
      <c r="B629" s="38" t="str">
        <f>IF($Z629="","",IF($Z629&lt;=2000,IF(INDEX(包装物料出入库明细!$B$4:$B$2003,$Z629-0)=0,"",INDEX(包装物料出入库明细!$B$4:$B$2003,$Z629-0)),IF($Z629&lt;=4000,IF(INDEX(周转筐出入库明细!$B$4:$B$2004,$Z629-2000)=0,"",INDEX(周转筐出入库明细!$B$4:$B$2004,$Z629-2000)),IF($Z629&lt;=5200,IF(INDEX(客户自备加工筐明细!$B$4:$B$1203,$Z629-4000)=0,"",INDEX(客户自备加工筐明细!$B$4:$B$1203,$Z629-4000)),IF($Z629&lt;=5800,IF(INDEX(次果筐明细!$B$4:$B$603,$Z629-5200)=0,"",INDEX(次果筐明细!$B$4:$B$603,$Z629-5200)),"")))))</f>
        <v/>
      </c>
      <c r="C629" s="37" t="str">
        <f>IF($Z629="","",IF($Z629&lt;=2000,IF(INDEX(包装物料出入库明细!$D$4:$D$2003,$Z629-0)=0,"",INDEX(包装物料出入库明细!$D$4:$D$2003,$Z629-0)),IF($Z629&lt;=4000,IF(INDEX(周转筐出入库明细!$C$4:$C$2004,$Z629-2000)=0,"",INDEX(周转筐出入库明细!$C$4:$C$2004,$Z629-2000)),IF($Z629&lt;=5200,IF(INDEX(客户自备加工筐明细!$E$4:$E$1203,$Z629-4000)=0,"",INDEX(客户自备加工筐明细!$E$4:$E$1203,$Z629-4000)),IF($Z629&lt;=5800,IF(INDEX(次果筐明细!$C$4:$C$603,$Z629-5200)=0,"",INDEX(次果筐明细!$C$4:$C$603,$Z629-5200)),"")))))</f>
        <v/>
      </c>
      <c r="D629" s="37" t="str">
        <f>IF($Z629="","",IF($Z629&lt;=2000,"包装物料－"&amp;INDEX(包装物料出入库明细!$H$4:$H$2003,$Z629-0),IF($Z629&lt;=4000,"周转筐－"&amp;INDEX(周转筐出入库明细!$F$4:$F$2004,$Z629-2000),IF($Z629&lt;=5200,"客户自备筐－"&amp;INDEX(客户自备加工筐明细!$J$4:$J$1203,$Z629-4000),IF($Z629&lt;=5800,"次果筐/托盘－"&amp;INDEX(次果筐明细!$F$4:$F$603,$Z629-5200),"")))))</f>
        <v/>
      </c>
      <c r="E629" s="24" t="str">
        <f>IF($Z629="","",IF($Z629&lt;=2000,IF(INDEX(包装物料出入库明细!$C$4:$C$2003,$Z629-0)=0,"",INDEX(包装物料出入库明细!$C$4:$C$2003,$Z629-0)),IF($Z629&lt;=4000,IF(INDEX(周转筐出入库明细!$E$4:$E$2004,$Z629-2000)=0,"",INDEX(周转筐出入库明细!$E$4:$E$2004,$Z629-2000)),IF($Z629&lt;=5200,IF(INDEX(客户自备加工筐明细!$D$4:$D$1203,$Z629-4000)=0,"",INDEX(客户自备加工筐明细!$D$4:$D$1203,$Z629-4000)),IF($Z629&lt;=5800,IF(INDEX(次果筐明细!$E$4:$E$603,$Z629-5200)=0,"",INDEX(次果筐明细!$E$4:$E$603,$Z629-5200)),"")))))</f>
        <v/>
      </c>
      <c r="F629" s="24" t="str">
        <f>IF($Z629="","",IF($Z629&lt;=2000,IF(INDEX(包装物料出入库明细!$E$4:$E$2003,$Z629-0)=0,"",INDEX(包装物料出入库明细!$E$4:$E$2003,$Z629-0)),IF($Z629&lt;=4000,IF(INDEX(周转筐出入库明细!$D$4:$D$2004,$Z629-2000)=0,"",INDEX(周转筐出入库明细!$D$4:$D$2004,$Z629-2000)),IF($Z629&lt;=5200,IF(INDEX(客户自备加工筐明细!$C$4:$C$1203,$Z629-4000)=0,"",INDEX(客户自备加工筐明细!$C$4:$C$1203,$Z629-4000)),IF($Z629&lt;=5800,IF(INDEX(次果筐明细!$D$4:$D$603,$Z629-5200)=0,"",INDEX(次果筐明细!$D$4:$D$603,$Z629-5200)),"")))))</f>
        <v/>
      </c>
      <c r="G629" s="24" t="str">
        <f>IF($Z629="","",IF($Z629&lt;=2000,IF(INDEX(包装物料出入库明细!$F$4:$F$2003,$Z629-0)=0,"",INDEX(包装物料出入库明细!$F$4:$F$2003,$Z629-0)),IF($Z629&lt;=4000,"",IF($Z629&lt;=5200,"",IF($Z629&lt;=5800,"","")))))</f>
        <v/>
      </c>
      <c r="H629" s="39" t="str">
        <f>IF($Z629="","",IF($Z629&lt;=2000,IF(INDEX(包装物料出入库明细!$L$4:$L$2003,$Z629-0)=0,"",INDEX(包装物料出入库明细!$L$4:$L$2003,$Z629-0)),IF($Z629&lt;=4000,N(INDEX(周转筐出入库明细!$H$4:$H$2004,$Z629-2000))+N(INDEX(周转筐出入库明细!$I$4:$I$2004,$Z629-2000))+N(INDEX(周转筐出入库明细!$J$4:$J$2004,$Z629-2000))+N(INDEX(周转筐出入库明细!$K$4:$K$2004,$Z629-2000)),IF($Z629&lt;=5200,N(INDEX(客户自备加工筐明细!$F$4:$F$1203,$Z629-4000))+N(INDEX(客户自备加工筐明细!$G$4:$G$1203,$Z629-4000)),IF($Z629&lt;=5800,IF(INDEX(次果筐明细!$G$4:$G$603,$Z629-5200)=0,"",INDEX(次果筐明细!$G$4:$G$603,$Z629-5200)),"")))))</f>
        <v/>
      </c>
      <c r="I629" s="24" t="str">
        <f>IF($Z629="","",IF($Z629&lt;=2000,IF(INDEX(包装物料出入库明细!$G$4:$G$2003,$Z629-0)=0,"",INDEX(包装物料出入库明细!$G$4:$G$2003,$Z629-0)),IF($Z629&lt;=4000,"个",IF($Z629&lt;=5200,"个",IF($Z629&lt;=5800,"个","")))))</f>
        <v/>
      </c>
      <c r="J629" s="30" t="str">
        <f t="shared" si="28"/>
        <v/>
      </c>
      <c r="K629" s="30" t="str">
        <f>IF($Z629="","",IF($Z629&lt;=2000,IF(INDEX(包装物料出入库明细!$N$4:$N$2003,$Z629-0)=0,"",INDEX(包装物料出入库明细!$N$4:$N$2003,$Z629-0)),IF($Z629&lt;=4000,IF(INDEX(周转筐出入库明细!$P$4:$P$2004,$Z629-2000)=0,"",INDEX(周转筐出入库明细!$P$4:$P$2004,$Z629-2000)),IF($Z629&lt;=5200,"",IF($Z629&lt;=5800,N(INDEX(次果筐明细!$L$4:$L$603,$Z629-5200))+N(INDEX(次果筐明细!$J$4:$J$603,$Z629-5200)),"")))))</f>
        <v/>
      </c>
      <c r="L629" s="24" t="str">
        <f>IF($Z629="","",IF($Z629&lt;=2000,IF(INDEX(包装物料出入库明细!$P$4:$P$2003,$Z629-0)=0,"",INDEX(包装物料出入库明细!$P$4:$P$2003,$Z629-0)),IF($Z629&lt;=4000,IF(INDEX(周转筐出入库明细!$Q$4:$Q$2004,$Z629-2000)=0,"",INDEX(周转筐出入库明细!$Q$4:$Q$2004,$Z629-2000)),IF($Z629&lt;=5200,"",IF($Z629&lt;=5800,IF(INDEX(次果筐明细!$M$4:$M$603,$Z629-5200)=0,"",INDEX(次果筐明细!$M$4:$M$603,$Z629-5200)),"")))))</f>
        <v/>
      </c>
      <c r="M629" s="37" t="str">
        <f>IF($Z629="","",IF($Z629&lt;=2000,IF(INDEX(包装物料出入库明细!$R$4:$R$2003,$Z629-0)=0,"",INDEX(包装物料出入库明细!$R$4:$R$2003,$Z629-0)),IF($Z629&lt;=4000,IF(INDEX(周转筐出入库明细!$W$4:$W$2004,$Z629-2000)=0,"",INDEX(周转筐出入库明细!$W$4:$W$2004,$Z629-2000)),IF($Z629&lt;=5200,IF(INDEX(客户自备加工筐明细!$L$4:$L$1203,$Z629-4000)=0,"",INDEX(客户自备加工筐明细!$L$4:$L$1203,$Z629-4000)),IF($Z629&lt;=5800,IF(INDEX(次果筐明细!$P$4:$P$603,$Z629-5200)=0,"",INDEX(次果筐明细!$P$4:$P$603,$Z629-5200)),"")))))</f>
        <v/>
      </c>
      <c r="N629" s="16" t="str">
        <f>IF($Z629="","",IF($Z629&lt;=2000,"",IF($Z629&lt;=4000,IF(INDEX(周转筐出入库明细!$D$4:$D$2004,$Z629-2000)=0,"",INDEX(周转筐出入库明细!$D$4:$D$2004,$Z629-2000)),IF($Z629&lt;=5200,IF(INDEX(客户自备加工筐明细!$C$4:$C$1203,$Z629-4000)=0,"",INDEX(客户自备加工筐明细!$C$4:$C$1203,$Z629-4000)),IF($Z629&lt;=5800,IF(INDEX(次果筐明细!$D$4:$D$603,$Z629-5200)=0,"",INDEX(次果筐明细!$D$4:$D$603,$Z629-5200)),"")))))</f>
        <v/>
      </c>
      <c r="O629" s="40" t="str">
        <f>IF($Z629="","",IF($Z629&lt;=2000,"",IF($Z629&lt;=4000,IF(N(INDEX(周转筐出入库明细!$J$4:$J$2004,$Z629-2000))+N(INDEX(周转筐出入库明细!$K$4:$K$2004,$Z629-2000))=0,"",N(INDEX(周转筐出入库明细!$J$4:$J$2004,$Z629-2000))+N(INDEX(周转筐出入库明细!$K$4:$K$2004,$Z629-2000))),IF($Z629&lt;=5200,IF(N(INDEX(客户自备加工筐明细!$G$4:$G$1203,$Z629-4000))=0,"",N(INDEX(客户自备加工筐明细!$G$4:$G$1203,$Z629-4000))),IF($Z629&lt;=5800,IF(ISNUMBER(SEARCH("退",INDEX(次果筐明细!$F$4:$F$603,$Z629-5200)&amp;"")),"",IF(N(INDEX(次果筐明细!$G$4:$G$603,$Z629-5200))=0,"",N(INDEX(次果筐明细!$G$4:$G$603,$Z629-5200)))),"")))))</f>
        <v/>
      </c>
      <c r="P629" s="40" t="str">
        <f>IF($Z629="","",IF($Z629&lt;=2000,"",IF($Z629&lt;=4000,IF(N(INDEX(周转筐出入库明细!$I$4:$I$2004,$Z629-2000))=0,"",N(INDEX(周转筐出入库明细!$I$4:$I$2004,$Z629-2000))),IF($Z629&lt;=5200,"",IF($Z629&lt;=5800,IF(ISNUMBER(SEARCH("退",INDEX(次果筐明细!$F$4:$F$603,$Z629-5200)&amp;"")),IF(N(INDEX(次果筐明细!$G$4:$G$603,$Z629-5200))=0,"",N(INDEX(次果筐明细!$G$4:$G$603,$Z629-5200))),""),"")))))</f>
        <v/>
      </c>
      <c r="Q629" s="40" t="str">
        <f>IF($Z629="","",IF($Z629&lt;=2000,"",IF($Z629&lt;=4000,IF(N(INDEX(周转筐出入库明细!$H$4:$H$2004,$Z629-2000))=0,"",N(INDEX(周转筐出入库明细!$H$4:$H$2004,$Z629-2000))),IF($Z629&lt;=5200,IF(N(INDEX(客户自备加工筐明细!$F$4:$F$1203,$Z629-4000))=0,"",N(INDEX(客户自备加工筐明细!$F$4:$F$1203,$Z629-4000))),IF($Z629&lt;=5800,"","")))))</f>
        <v/>
      </c>
      <c r="R629" s="16" t="str">
        <f>IF($Z629="","",IF($Z629&lt;=2000,IF(INDEX(包装物料出入库明细!$O$4:$O$2003,$Z629-0)=0,"",INDEX(包装物料出入库明细!$O$4:$O$2003,$Z629-0)),IF($Z629&lt;=4000,IF(INDEX(周转筐出入库明细!$M$4:$M$2004,$Z629-2000)=0,"",INDEX(周转筐出入库明细!$M$4:$M$2004,$Z629-2000)),IF($Z629&lt;=5200,IF(INDEX(客户自备加工筐明细!$H$4:$H$1203,$Z629-4000)=0,"",INDEX(客户自备加工筐明细!$H$4:$H$1203,$Z629-4000)),IF($Z629&lt;=5800,IF(INDEX(次果筐明细!$H$4:$H$603,$Z629-5200)=0,"",INDEX(次果筐明细!$H$4:$H$603,$Z629-5200)),"")))))</f>
        <v/>
      </c>
      <c r="S629" s="22" t="str">
        <f t="shared" si="29"/>
        <v/>
      </c>
      <c r="Z629" s="10" t="str">
        <f>IFERROR(MATCH(ROW()-3,_自动清单!$CQ$4:$CQ$5803,0),"")</f>
        <v/>
      </c>
    </row>
    <row r="630" spans="1:26">
      <c r="A630" s="24" t="str">
        <f t="shared" si="27"/>
        <v/>
      </c>
      <c r="B630" s="38" t="str">
        <f>IF($Z630="","",IF($Z630&lt;=2000,IF(INDEX(包装物料出入库明细!$B$4:$B$2003,$Z630-0)=0,"",INDEX(包装物料出入库明细!$B$4:$B$2003,$Z630-0)),IF($Z630&lt;=4000,IF(INDEX(周转筐出入库明细!$B$4:$B$2004,$Z630-2000)=0,"",INDEX(周转筐出入库明细!$B$4:$B$2004,$Z630-2000)),IF($Z630&lt;=5200,IF(INDEX(客户自备加工筐明细!$B$4:$B$1203,$Z630-4000)=0,"",INDEX(客户自备加工筐明细!$B$4:$B$1203,$Z630-4000)),IF($Z630&lt;=5800,IF(INDEX(次果筐明细!$B$4:$B$603,$Z630-5200)=0,"",INDEX(次果筐明细!$B$4:$B$603,$Z630-5200)),"")))))</f>
        <v/>
      </c>
      <c r="C630" s="37" t="str">
        <f>IF($Z630="","",IF($Z630&lt;=2000,IF(INDEX(包装物料出入库明细!$D$4:$D$2003,$Z630-0)=0,"",INDEX(包装物料出入库明细!$D$4:$D$2003,$Z630-0)),IF($Z630&lt;=4000,IF(INDEX(周转筐出入库明细!$C$4:$C$2004,$Z630-2000)=0,"",INDEX(周转筐出入库明细!$C$4:$C$2004,$Z630-2000)),IF($Z630&lt;=5200,IF(INDEX(客户自备加工筐明细!$E$4:$E$1203,$Z630-4000)=0,"",INDEX(客户自备加工筐明细!$E$4:$E$1203,$Z630-4000)),IF($Z630&lt;=5800,IF(INDEX(次果筐明细!$C$4:$C$603,$Z630-5200)=0,"",INDEX(次果筐明细!$C$4:$C$603,$Z630-5200)),"")))))</f>
        <v/>
      </c>
      <c r="D630" s="37" t="str">
        <f>IF($Z630="","",IF($Z630&lt;=2000,"包装物料－"&amp;INDEX(包装物料出入库明细!$H$4:$H$2003,$Z630-0),IF($Z630&lt;=4000,"周转筐－"&amp;INDEX(周转筐出入库明细!$F$4:$F$2004,$Z630-2000),IF($Z630&lt;=5200,"客户自备筐－"&amp;INDEX(客户自备加工筐明细!$J$4:$J$1203,$Z630-4000),IF($Z630&lt;=5800,"次果筐/托盘－"&amp;INDEX(次果筐明细!$F$4:$F$603,$Z630-5200),"")))))</f>
        <v/>
      </c>
      <c r="E630" s="24" t="str">
        <f>IF($Z630="","",IF($Z630&lt;=2000,IF(INDEX(包装物料出入库明细!$C$4:$C$2003,$Z630-0)=0,"",INDEX(包装物料出入库明细!$C$4:$C$2003,$Z630-0)),IF($Z630&lt;=4000,IF(INDEX(周转筐出入库明细!$E$4:$E$2004,$Z630-2000)=0,"",INDEX(周转筐出入库明细!$E$4:$E$2004,$Z630-2000)),IF($Z630&lt;=5200,IF(INDEX(客户自备加工筐明细!$D$4:$D$1203,$Z630-4000)=0,"",INDEX(客户自备加工筐明细!$D$4:$D$1203,$Z630-4000)),IF($Z630&lt;=5800,IF(INDEX(次果筐明细!$E$4:$E$603,$Z630-5200)=0,"",INDEX(次果筐明细!$E$4:$E$603,$Z630-5200)),"")))))</f>
        <v/>
      </c>
      <c r="F630" s="24" t="str">
        <f>IF($Z630="","",IF($Z630&lt;=2000,IF(INDEX(包装物料出入库明细!$E$4:$E$2003,$Z630-0)=0,"",INDEX(包装物料出入库明细!$E$4:$E$2003,$Z630-0)),IF($Z630&lt;=4000,IF(INDEX(周转筐出入库明细!$D$4:$D$2004,$Z630-2000)=0,"",INDEX(周转筐出入库明细!$D$4:$D$2004,$Z630-2000)),IF($Z630&lt;=5200,IF(INDEX(客户自备加工筐明细!$C$4:$C$1203,$Z630-4000)=0,"",INDEX(客户自备加工筐明细!$C$4:$C$1203,$Z630-4000)),IF($Z630&lt;=5800,IF(INDEX(次果筐明细!$D$4:$D$603,$Z630-5200)=0,"",INDEX(次果筐明细!$D$4:$D$603,$Z630-5200)),"")))))</f>
        <v/>
      </c>
      <c r="G630" s="24" t="str">
        <f>IF($Z630="","",IF($Z630&lt;=2000,IF(INDEX(包装物料出入库明细!$F$4:$F$2003,$Z630-0)=0,"",INDEX(包装物料出入库明细!$F$4:$F$2003,$Z630-0)),IF($Z630&lt;=4000,"",IF($Z630&lt;=5200,"",IF($Z630&lt;=5800,"","")))))</f>
        <v/>
      </c>
      <c r="H630" s="39" t="str">
        <f>IF($Z630="","",IF($Z630&lt;=2000,IF(INDEX(包装物料出入库明细!$L$4:$L$2003,$Z630-0)=0,"",INDEX(包装物料出入库明细!$L$4:$L$2003,$Z630-0)),IF($Z630&lt;=4000,N(INDEX(周转筐出入库明细!$H$4:$H$2004,$Z630-2000))+N(INDEX(周转筐出入库明细!$I$4:$I$2004,$Z630-2000))+N(INDEX(周转筐出入库明细!$J$4:$J$2004,$Z630-2000))+N(INDEX(周转筐出入库明细!$K$4:$K$2004,$Z630-2000)),IF($Z630&lt;=5200,N(INDEX(客户自备加工筐明细!$F$4:$F$1203,$Z630-4000))+N(INDEX(客户自备加工筐明细!$G$4:$G$1203,$Z630-4000)),IF($Z630&lt;=5800,IF(INDEX(次果筐明细!$G$4:$G$603,$Z630-5200)=0,"",INDEX(次果筐明细!$G$4:$G$603,$Z630-5200)),"")))))</f>
        <v/>
      </c>
      <c r="I630" s="24" t="str">
        <f>IF($Z630="","",IF($Z630&lt;=2000,IF(INDEX(包装物料出入库明细!$G$4:$G$2003,$Z630-0)=0,"",INDEX(包装物料出入库明细!$G$4:$G$2003,$Z630-0)),IF($Z630&lt;=4000,"个",IF($Z630&lt;=5200,"个",IF($Z630&lt;=5800,"个","")))))</f>
        <v/>
      </c>
      <c r="J630" s="30" t="str">
        <f t="shared" si="28"/>
        <v/>
      </c>
      <c r="K630" s="30" t="str">
        <f>IF($Z630="","",IF($Z630&lt;=2000,IF(INDEX(包装物料出入库明细!$N$4:$N$2003,$Z630-0)=0,"",INDEX(包装物料出入库明细!$N$4:$N$2003,$Z630-0)),IF($Z630&lt;=4000,IF(INDEX(周转筐出入库明细!$P$4:$P$2004,$Z630-2000)=0,"",INDEX(周转筐出入库明细!$P$4:$P$2004,$Z630-2000)),IF($Z630&lt;=5200,"",IF($Z630&lt;=5800,N(INDEX(次果筐明细!$L$4:$L$603,$Z630-5200))+N(INDEX(次果筐明细!$J$4:$J$603,$Z630-5200)),"")))))</f>
        <v/>
      </c>
      <c r="L630" s="24" t="str">
        <f>IF($Z630="","",IF($Z630&lt;=2000,IF(INDEX(包装物料出入库明细!$P$4:$P$2003,$Z630-0)=0,"",INDEX(包装物料出入库明细!$P$4:$P$2003,$Z630-0)),IF($Z630&lt;=4000,IF(INDEX(周转筐出入库明细!$Q$4:$Q$2004,$Z630-2000)=0,"",INDEX(周转筐出入库明细!$Q$4:$Q$2004,$Z630-2000)),IF($Z630&lt;=5200,"",IF($Z630&lt;=5800,IF(INDEX(次果筐明细!$M$4:$M$603,$Z630-5200)=0,"",INDEX(次果筐明细!$M$4:$M$603,$Z630-5200)),"")))))</f>
        <v/>
      </c>
      <c r="M630" s="37" t="str">
        <f>IF($Z630="","",IF($Z630&lt;=2000,IF(INDEX(包装物料出入库明细!$R$4:$R$2003,$Z630-0)=0,"",INDEX(包装物料出入库明细!$R$4:$R$2003,$Z630-0)),IF($Z630&lt;=4000,IF(INDEX(周转筐出入库明细!$W$4:$W$2004,$Z630-2000)=0,"",INDEX(周转筐出入库明细!$W$4:$W$2004,$Z630-2000)),IF($Z630&lt;=5200,IF(INDEX(客户自备加工筐明细!$L$4:$L$1203,$Z630-4000)=0,"",INDEX(客户自备加工筐明细!$L$4:$L$1203,$Z630-4000)),IF($Z630&lt;=5800,IF(INDEX(次果筐明细!$P$4:$P$603,$Z630-5200)=0,"",INDEX(次果筐明细!$P$4:$P$603,$Z630-5200)),"")))))</f>
        <v/>
      </c>
      <c r="N630" s="16" t="str">
        <f>IF($Z630="","",IF($Z630&lt;=2000,"",IF($Z630&lt;=4000,IF(INDEX(周转筐出入库明细!$D$4:$D$2004,$Z630-2000)=0,"",INDEX(周转筐出入库明细!$D$4:$D$2004,$Z630-2000)),IF($Z630&lt;=5200,IF(INDEX(客户自备加工筐明细!$C$4:$C$1203,$Z630-4000)=0,"",INDEX(客户自备加工筐明细!$C$4:$C$1203,$Z630-4000)),IF($Z630&lt;=5800,IF(INDEX(次果筐明细!$D$4:$D$603,$Z630-5200)=0,"",INDEX(次果筐明细!$D$4:$D$603,$Z630-5200)),"")))))</f>
        <v/>
      </c>
      <c r="O630" s="40" t="str">
        <f>IF($Z630="","",IF($Z630&lt;=2000,"",IF($Z630&lt;=4000,IF(N(INDEX(周转筐出入库明细!$J$4:$J$2004,$Z630-2000))+N(INDEX(周转筐出入库明细!$K$4:$K$2004,$Z630-2000))=0,"",N(INDEX(周转筐出入库明细!$J$4:$J$2004,$Z630-2000))+N(INDEX(周转筐出入库明细!$K$4:$K$2004,$Z630-2000))),IF($Z630&lt;=5200,IF(N(INDEX(客户自备加工筐明细!$G$4:$G$1203,$Z630-4000))=0,"",N(INDEX(客户自备加工筐明细!$G$4:$G$1203,$Z630-4000))),IF($Z630&lt;=5800,IF(ISNUMBER(SEARCH("退",INDEX(次果筐明细!$F$4:$F$603,$Z630-5200)&amp;"")),"",IF(N(INDEX(次果筐明细!$G$4:$G$603,$Z630-5200))=0,"",N(INDEX(次果筐明细!$G$4:$G$603,$Z630-5200)))),"")))))</f>
        <v/>
      </c>
      <c r="P630" s="40" t="str">
        <f>IF($Z630="","",IF($Z630&lt;=2000,"",IF($Z630&lt;=4000,IF(N(INDEX(周转筐出入库明细!$I$4:$I$2004,$Z630-2000))=0,"",N(INDEX(周转筐出入库明细!$I$4:$I$2004,$Z630-2000))),IF($Z630&lt;=5200,"",IF($Z630&lt;=5800,IF(ISNUMBER(SEARCH("退",INDEX(次果筐明细!$F$4:$F$603,$Z630-5200)&amp;"")),IF(N(INDEX(次果筐明细!$G$4:$G$603,$Z630-5200))=0,"",N(INDEX(次果筐明细!$G$4:$G$603,$Z630-5200))),""),"")))))</f>
        <v/>
      </c>
      <c r="Q630" s="40" t="str">
        <f>IF($Z630="","",IF($Z630&lt;=2000,"",IF($Z630&lt;=4000,IF(N(INDEX(周转筐出入库明细!$H$4:$H$2004,$Z630-2000))=0,"",N(INDEX(周转筐出入库明细!$H$4:$H$2004,$Z630-2000))),IF($Z630&lt;=5200,IF(N(INDEX(客户自备加工筐明细!$F$4:$F$1203,$Z630-4000))=0,"",N(INDEX(客户自备加工筐明细!$F$4:$F$1203,$Z630-4000))),IF($Z630&lt;=5800,"","")))))</f>
        <v/>
      </c>
      <c r="R630" s="16" t="str">
        <f>IF($Z630="","",IF($Z630&lt;=2000,IF(INDEX(包装物料出入库明细!$O$4:$O$2003,$Z630-0)=0,"",INDEX(包装物料出入库明细!$O$4:$O$2003,$Z630-0)),IF($Z630&lt;=4000,IF(INDEX(周转筐出入库明细!$M$4:$M$2004,$Z630-2000)=0,"",INDEX(周转筐出入库明细!$M$4:$M$2004,$Z630-2000)),IF($Z630&lt;=5200,IF(INDEX(客户自备加工筐明细!$H$4:$H$1203,$Z630-4000)=0,"",INDEX(客户自备加工筐明细!$H$4:$H$1203,$Z630-4000)),IF($Z630&lt;=5800,IF(INDEX(次果筐明细!$H$4:$H$603,$Z630-5200)=0,"",INDEX(次果筐明细!$H$4:$H$603,$Z630-5200)),"")))))</f>
        <v/>
      </c>
      <c r="S630" s="22" t="str">
        <f t="shared" si="29"/>
        <v/>
      </c>
      <c r="Z630" s="10" t="str">
        <f>IFERROR(MATCH(ROW()-3,_自动清单!$CQ$4:$CQ$5803,0),"")</f>
        <v/>
      </c>
    </row>
    <row r="631" spans="1:26">
      <c r="A631" s="24" t="str">
        <f t="shared" si="27"/>
        <v/>
      </c>
      <c r="B631" s="38" t="str">
        <f>IF($Z631="","",IF($Z631&lt;=2000,IF(INDEX(包装物料出入库明细!$B$4:$B$2003,$Z631-0)=0,"",INDEX(包装物料出入库明细!$B$4:$B$2003,$Z631-0)),IF($Z631&lt;=4000,IF(INDEX(周转筐出入库明细!$B$4:$B$2004,$Z631-2000)=0,"",INDEX(周转筐出入库明细!$B$4:$B$2004,$Z631-2000)),IF($Z631&lt;=5200,IF(INDEX(客户自备加工筐明细!$B$4:$B$1203,$Z631-4000)=0,"",INDEX(客户自备加工筐明细!$B$4:$B$1203,$Z631-4000)),IF($Z631&lt;=5800,IF(INDEX(次果筐明细!$B$4:$B$603,$Z631-5200)=0,"",INDEX(次果筐明细!$B$4:$B$603,$Z631-5200)),"")))))</f>
        <v/>
      </c>
      <c r="C631" s="37" t="str">
        <f>IF($Z631="","",IF($Z631&lt;=2000,IF(INDEX(包装物料出入库明细!$D$4:$D$2003,$Z631-0)=0,"",INDEX(包装物料出入库明细!$D$4:$D$2003,$Z631-0)),IF($Z631&lt;=4000,IF(INDEX(周转筐出入库明细!$C$4:$C$2004,$Z631-2000)=0,"",INDEX(周转筐出入库明细!$C$4:$C$2004,$Z631-2000)),IF($Z631&lt;=5200,IF(INDEX(客户自备加工筐明细!$E$4:$E$1203,$Z631-4000)=0,"",INDEX(客户自备加工筐明细!$E$4:$E$1203,$Z631-4000)),IF($Z631&lt;=5800,IF(INDEX(次果筐明细!$C$4:$C$603,$Z631-5200)=0,"",INDEX(次果筐明细!$C$4:$C$603,$Z631-5200)),"")))))</f>
        <v/>
      </c>
      <c r="D631" s="37" t="str">
        <f>IF($Z631="","",IF($Z631&lt;=2000,"包装物料－"&amp;INDEX(包装物料出入库明细!$H$4:$H$2003,$Z631-0),IF($Z631&lt;=4000,"周转筐－"&amp;INDEX(周转筐出入库明细!$F$4:$F$2004,$Z631-2000),IF($Z631&lt;=5200,"客户自备筐－"&amp;INDEX(客户自备加工筐明细!$J$4:$J$1203,$Z631-4000),IF($Z631&lt;=5800,"次果筐/托盘－"&amp;INDEX(次果筐明细!$F$4:$F$603,$Z631-5200),"")))))</f>
        <v/>
      </c>
      <c r="E631" s="24" t="str">
        <f>IF($Z631="","",IF($Z631&lt;=2000,IF(INDEX(包装物料出入库明细!$C$4:$C$2003,$Z631-0)=0,"",INDEX(包装物料出入库明细!$C$4:$C$2003,$Z631-0)),IF($Z631&lt;=4000,IF(INDEX(周转筐出入库明细!$E$4:$E$2004,$Z631-2000)=0,"",INDEX(周转筐出入库明细!$E$4:$E$2004,$Z631-2000)),IF($Z631&lt;=5200,IF(INDEX(客户自备加工筐明细!$D$4:$D$1203,$Z631-4000)=0,"",INDEX(客户自备加工筐明细!$D$4:$D$1203,$Z631-4000)),IF($Z631&lt;=5800,IF(INDEX(次果筐明细!$E$4:$E$603,$Z631-5200)=0,"",INDEX(次果筐明细!$E$4:$E$603,$Z631-5200)),"")))))</f>
        <v/>
      </c>
      <c r="F631" s="24" t="str">
        <f>IF($Z631="","",IF($Z631&lt;=2000,IF(INDEX(包装物料出入库明细!$E$4:$E$2003,$Z631-0)=0,"",INDEX(包装物料出入库明细!$E$4:$E$2003,$Z631-0)),IF($Z631&lt;=4000,IF(INDEX(周转筐出入库明细!$D$4:$D$2004,$Z631-2000)=0,"",INDEX(周转筐出入库明细!$D$4:$D$2004,$Z631-2000)),IF($Z631&lt;=5200,IF(INDEX(客户自备加工筐明细!$C$4:$C$1203,$Z631-4000)=0,"",INDEX(客户自备加工筐明细!$C$4:$C$1203,$Z631-4000)),IF($Z631&lt;=5800,IF(INDEX(次果筐明细!$D$4:$D$603,$Z631-5200)=0,"",INDEX(次果筐明细!$D$4:$D$603,$Z631-5200)),"")))))</f>
        <v/>
      </c>
      <c r="G631" s="24" t="str">
        <f>IF($Z631="","",IF($Z631&lt;=2000,IF(INDEX(包装物料出入库明细!$F$4:$F$2003,$Z631-0)=0,"",INDEX(包装物料出入库明细!$F$4:$F$2003,$Z631-0)),IF($Z631&lt;=4000,"",IF($Z631&lt;=5200,"",IF($Z631&lt;=5800,"","")))))</f>
        <v/>
      </c>
      <c r="H631" s="39" t="str">
        <f>IF($Z631="","",IF($Z631&lt;=2000,IF(INDEX(包装物料出入库明细!$L$4:$L$2003,$Z631-0)=0,"",INDEX(包装物料出入库明细!$L$4:$L$2003,$Z631-0)),IF($Z631&lt;=4000,N(INDEX(周转筐出入库明细!$H$4:$H$2004,$Z631-2000))+N(INDEX(周转筐出入库明细!$I$4:$I$2004,$Z631-2000))+N(INDEX(周转筐出入库明细!$J$4:$J$2004,$Z631-2000))+N(INDEX(周转筐出入库明细!$K$4:$K$2004,$Z631-2000)),IF($Z631&lt;=5200,N(INDEX(客户自备加工筐明细!$F$4:$F$1203,$Z631-4000))+N(INDEX(客户自备加工筐明细!$G$4:$G$1203,$Z631-4000)),IF($Z631&lt;=5800,IF(INDEX(次果筐明细!$G$4:$G$603,$Z631-5200)=0,"",INDEX(次果筐明细!$G$4:$G$603,$Z631-5200)),"")))))</f>
        <v/>
      </c>
      <c r="I631" s="24" t="str">
        <f>IF($Z631="","",IF($Z631&lt;=2000,IF(INDEX(包装物料出入库明细!$G$4:$G$2003,$Z631-0)=0,"",INDEX(包装物料出入库明细!$G$4:$G$2003,$Z631-0)),IF($Z631&lt;=4000,"个",IF($Z631&lt;=5200,"个",IF($Z631&lt;=5800,"个","")))))</f>
        <v/>
      </c>
      <c r="J631" s="30" t="str">
        <f t="shared" si="28"/>
        <v/>
      </c>
      <c r="K631" s="30" t="str">
        <f>IF($Z631="","",IF($Z631&lt;=2000,IF(INDEX(包装物料出入库明细!$N$4:$N$2003,$Z631-0)=0,"",INDEX(包装物料出入库明细!$N$4:$N$2003,$Z631-0)),IF($Z631&lt;=4000,IF(INDEX(周转筐出入库明细!$P$4:$P$2004,$Z631-2000)=0,"",INDEX(周转筐出入库明细!$P$4:$P$2004,$Z631-2000)),IF($Z631&lt;=5200,"",IF($Z631&lt;=5800,N(INDEX(次果筐明细!$L$4:$L$603,$Z631-5200))+N(INDEX(次果筐明细!$J$4:$J$603,$Z631-5200)),"")))))</f>
        <v/>
      </c>
      <c r="L631" s="24" t="str">
        <f>IF($Z631="","",IF($Z631&lt;=2000,IF(INDEX(包装物料出入库明细!$P$4:$P$2003,$Z631-0)=0,"",INDEX(包装物料出入库明细!$P$4:$P$2003,$Z631-0)),IF($Z631&lt;=4000,IF(INDEX(周转筐出入库明细!$Q$4:$Q$2004,$Z631-2000)=0,"",INDEX(周转筐出入库明细!$Q$4:$Q$2004,$Z631-2000)),IF($Z631&lt;=5200,"",IF($Z631&lt;=5800,IF(INDEX(次果筐明细!$M$4:$M$603,$Z631-5200)=0,"",INDEX(次果筐明细!$M$4:$M$603,$Z631-5200)),"")))))</f>
        <v/>
      </c>
      <c r="M631" s="37" t="str">
        <f>IF($Z631="","",IF($Z631&lt;=2000,IF(INDEX(包装物料出入库明细!$R$4:$R$2003,$Z631-0)=0,"",INDEX(包装物料出入库明细!$R$4:$R$2003,$Z631-0)),IF($Z631&lt;=4000,IF(INDEX(周转筐出入库明细!$W$4:$W$2004,$Z631-2000)=0,"",INDEX(周转筐出入库明细!$W$4:$W$2004,$Z631-2000)),IF($Z631&lt;=5200,IF(INDEX(客户自备加工筐明细!$L$4:$L$1203,$Z631-4000)=0,"",INDEX(客户自备加工筐明细!$L$4:$L$1203,$Z631-4000)),IF($Z631&lt;=5800,IF(INDEX(次果筐明细!$P$4:$P$603,$Z631-5200)=0,"",INDEX(次果筐明细!$P$4:$P$603,$Z631-5200)),"")))))</f>
        <v/>
      </c>
      <c r="N631" s="16" t="str">
        <f>IF($Z631="","",IF($Z631&lt;=2000,"",IF($Z631&lt;=4000,IF(INDEX(周转筐出入库明细!$D$4:$D$2004,$Z631-2000)=0,"",INDEX(周转筐出入库明细!$D$4:$D$2004,$Z631-2000)),IF($Z631&lt;=5200,IF(INDEX(客户自备加工筐明细!$C$4:$C$1203,$Z631-4000)=0,"",INDEX(客户自备加工筐明细!$C$4:$C$1203,$Z631-4000)),IF($Z631&lt;=5800,IF(INDEX(次果筐明细!$D$4:$D$603,$Z631-5200)=0,"",INDEX(次果筐明细!$D$4:$D$603,$Z631-5200)),"")))))</f>
        <v/>
      </c>
      <c r="O631" s="40" t="str">
        <f>IF($Z631="","",IF($Z631&lt;=2000,"",IF($Z631&lt;=4000,IF(N(INDEX(周转筐出入库明细!$J$4:$J$2004,$Z631-2000))+N(INDEX(周转筐出入库明细!$K$4:$K$2004,$Z631-2000))=0,"",N(INDEX(周转筐出入库明细!$J$4:$J$2004,$Z631-2000))+N(INDEX(周转筐出入库明细!$K$4:$K$2004,$Z631-2000))),IF($Z631&lt;=5200,IF(N(INDEX(客户自备加工筐明细!$G$4:$G$1203,$Z631-4000))=0,"",N(INDEX(客户自备加工筐明细!$G$4:$G$1203,$Z631-4000))),IF($Z631&lt;=5800,IF(ISNUMBER(SEARCH("退",INDEX(次果筐明细!$F$4:$F$603,$Z631-5200)&amp;"")),"",IF(N(INDEX(次果筐明细!$G$4:$G$603,$Z631-5200))=0,"",N(INDEX(次果筐明细!$G$4:$G$603,$Z631-5200)))),"")))))</f>
        <v/>
      </c>
      <c r="P631" s="40" t="str">
        <f>IF($Z631="","",IF($Z631&lt;=2000,"",IF($Z631&lt;=4000,IF(N(INDEX(周转筐出入库明细!$I$4:$I$2004,$Z631-2000))=0,"",N(INDEX(周转筐出入库明细!$I$4:$I$2004,$Z631-2000))),IF($Z631&lt;=5200,"",IF($Z631&lt;=5800,IF(ISNUMBER(SEARCH("退",INDEX(次果筐明细!$F$4:$F$603,$Z631-5200)&amp;"")),IF(N(INDEX(次果筐明细!$G$4:$G$603,$Z631-5200))=0,"",N(INDEX(次果筐明细!$G$4:$G$603,$Z631-5200))),""),"")))))</f>
        <v/>
      </c>
      <c r="Q631" s="40" t="str">
        <f>IF($Z631="","",IF($Z631&lt;=2000,"",IF($Z631&lt;=4000,IF(N(INDEX(周转筐出入库明细!$H$4:$H$2004,$Z631-2000))=0,"",N(INDEX(周转筐出入库明细!$H$4:$H$2004,$Z631-2000))),IF($Z631&lt;=5200,IF(N(INDEX(客户自备加工筐明细!$F$4:$F$1203,$Z631-4000))=0,"",N(INDEX(客户自备加工筐明细!$F$4:$F$1203,$Z631-4000))),IF($Z631&lt;=5800,"","")))))</f>
        <v/>
      </c>
      <c r="R631" s="16" t="str">
        <f>IF($Z631="","",IF($Z631&lt;=2000,IF(INDEX(包装物料出入库明细!$O$4:$O$2003,$Z631-0)=0,"",INDEX(包装物料出入库明细!$O$4:$O$2003,$Z631-0)),IF($Z631&lt;=4000,IF(INDEX(周转筐出入库明细!$M$4:$M$2004,$Z631-2000)=0,"",INDEX(周转筐出入库明细!$M$4:$M$2004,$Z631-2000)),IF($Z631&lt;=5200,IF(INDEX(客户自备加工筐明细!$H$4:$H$1203,$Z631-4000)=0,"",INDEX(客户自备加工筐明细!$H$4:$H$1203,$Z631-4000)),IF($Z631&lt;=5800,IF(INDEX(次果筐明细!$H$4:$H$603,$Z631-5200)=0,"",INDEX(次果筐明细!$H$4:$H$603,$Z631-5200)),"")))))</f>
        <v/>
      </c>
      <c r="S631" s="22" t="str">
        <f t="shared" si="29"/>
        <v/>
      </c>
      <c r="Z631" s="10" t="str">
        <f>IFERROR(MATCH(ROW()-3,_自动清单!$CQ$4:$CQ$5803,0),"")</f>
        <v/>
      </c>
    </row>
    <row r="632" spans="1:26">
      <c r="A632" s="24" t="str">
        <f t="shared" si="27"/>
        <v/>
      </c>
      <c r="B632" s="38" t="str">
        <f>IF($Z632="","",IF($Z632&lt;=2000,IF(INDEX(包装物料出入库明细!$B$4:$B$2003,$Z632-0)=0,"",INDEX(包装物料出入库明细!$B$4:$B$2003,$Z632-0)),IF($Z632&lt;=4000,IF(INDEX(周转筐出入库明细!$B$4:$B$2004,$Z632-2000)=0,"",INDEX(周转筐出入库明细!$B$4:$B$2004,$Z632-2000)),IF($Z632&lt;=5200,IF(INDEX(客户自备加工筐明细!$B$4:$B$1203,$Z632-4000)=0,"",INDEX(客户自备加工筐明细!$B$4:$B$1203,$Z632-4000)),IF($Z632&lt;=5800,IF(INDEX(次果筐明细!$B$4:$B$603,$Z632-5200)=0,"",INDEX(次果筐明细!$B$4:$B$603,$Z632-5200)),"")))))</f>
        <v/>
      </c>
      <c r="C632" s="37" t="str">
        <f>IF($Z632="","",IF($Z632&lt;=2000,IF(INDEX(包装物料出入库明细!$D$4:$D$2003,$Z632-0)=0,"",INDEX(包装物料出入库明细!$D$4:$D$2003,$Z632-0)),IF($Z632&lt;=4000,IF(INDEX(周转筐出入库明细!$C$4:$C$2004,$Z632-2000)=0,"",INDEX(周转筐出入库明细!$C$4:$C$2004,$Z632-2000)),IF($Z632&lt;=5200,IF(INDEX(客户自备加工筐明细!$E$4:$E$1203,$Z632-4000)=0,"",INDEX(客户自备加工筐明细!$E$4:$E$1203,$Z632-4000)),IF($Z632&lt;=5800,IF(INDEX(次果筐明细!$C$4:$C$603,$Z632-5200)=0,"",INDEX(次果筐明细!$C$4:$C$603,$Z632-5200)),"")))))</f>
        <v/>
      </c>
      <c r="D632" s="37" t="str">
        <f>IF($Z632="","",IF($Z632&lt;=2000,"包装物料－"&amp;INDEX(包装物料出入库明细!$H$4:$H$2003,$Z632-0),IF($Z632&lt;=4000,"周转筐－"&amp;INDEX(周转筐出入库明细!$F$4:$F$2004,$Z632-2000),IF($Z632&lt;=5200,"客户自备筐－"&amp;INDEX(客户自备加工筐明细!$J$4:$J$1203,$Z632-4000),IF($Z632&lt;=5800,"次果筐/托盘－"&amp;INDEX(次果筐明细!$F$4:$F$603,$Z632-5200),"")))))</f>
        <v/>
      </c>
      <c r="E632" s="24" t="str">
        <f>IF($Z632="","",IF($Z632&lt;=2000,IF(INDEX(包装物料出入库明细!$C$4:$C$2003,$Z632-0)=0,"",INDEX(包装物料出入库明细!$C$4:$C$2003,$Z632-0)),IF($Z632&lt;=4000,IF(INDEX(周转筐出入库明细!$E$4:$E$2004,$Z632-2000)=0,"",INDEX(周转筐出入库明细!$E$4:$E$2004,$Z632-2000)),IF($Z632&lt;=5200,IF(INDEX(客户自备加工筐明细!$D$4:$D$1203,$Z632-4000)=0,"",INDEX(客户自备加工筐明细!$D$4:$D$1203,$Z632-4000)),IF($Z632&lt;=5800,IF(INDEX(次果筐明细!$E$4:$E$603,$Z632-5200)=0,"",INDEX(次果筐明细!$E$4:$E$603,$Z632-5200)),"")))))</f>
        <v/>
      </c>
      <c r="F632" s="24" t="str">
        <f>IF($Z632="","",IF($Z632&lt;=2000,IF(INDEX(包装物料出入库明细!$E$4:$E$2003,$Z632-0)=0,"",INDEX(包装物料出入库明细!$E$4:$E$2003,$Z632-0)),IF($Z632&lt;=4000,IF(INDEX(周转筐出入库明细!$D$4:$D$2004,$Z632-2000)=0,"",INDEX(周转筐出入库明细!$D$4:$D$2004,$Z632-2000)),IF($Z632&lt;=5200,IF(INDEX(客户自备加工筐明细!$C$4:$C$1203,$Z632-4000)=0,"",INDEX(客户自备加工筐明细!$C$4:$C$1203,$Z632-4000)),IF($Z632&lt;=5800,IF(INDEX(次果筐明细!$D$4:$D$603,$Z632-5200)=0,"",INDEX(次果筐明细!$D$4:$D$603,$Z632-5200)),"")))))</f>
        <v/>
      </c>
      <c r="G632" s="24" t="str">
        <f>IF($Z632="","",IF($Z632&lt;=2000,IF(INDEX(包装物料出入库明细!$F$4:$F$2003,$Z632-0)=0,"",INDEX(包装物料出入库明细!$F$4:$F$2003,$Z632-0)),IF($Z632&lt;=4000,"",IF($Z632&lt;=5200,"",IF($Z632&lt;=5800,"","")))))</f>
        <v/>
      </c>
      <c r="H632" s="39" t="str">
        <f>IF($Z632="","",IF($Z632&lt;=2000,IF(INDEX(包装物料出入库明细!$L$4:$L$2003,$Z632-0)=0,"",INDEX(包装物料出入库明细!$L$4:$L$2003,$Z632-0)),IF($Z632&lt;=4000,N(INDEX(周转筐出入库明细!$H$4:$H$2004,$Z632-2000))+N(INDEX(周转筐出入库明细!$I$4:$I$2004,$Z632-2000))+N(INDEX(周转筐出入库明细!$J$4:$J$2004,$Z632-2000))+N(INDEX(周转筐出入库明细!$K$4:$K$2004,$Z632-2000)),IF($Z632&lt;=5200,N(INDEX(客户自备加工筐明细!$F$4:$F$1203,$Z632-4000))+N(INDEX(客户自备加工筐明细!$G$4:$G$1203,$Z632-4000)),IF($Z632&lt;=5800,IF(INDEX(次果筐明细!$G$4:$G$603,$Z632-5200)=0,"",INDEX(次果筐明细!$G$4:$G$603,$Z632-5200)),"")))))</f>
        <v/>
      </c>
      <c r="I632" s="24" t="str">
        <f>IF($Z632="","",IF($Z632&lt;=2000,IF(INDEX(包装物料出入库明细!$G$4:$G$2003,$Z632-0)=0,"",INDEX(包装物料出入库明细!$G$4:$G$2003,$Z632-0)),IF($Z632&lt;=4000,"个",IF($Z632&lt;=5200,"个",IF($Z632&lt;=5800,"个","")))))</f>
        <v/>
      </c>
      <c r="J632" s="30" t="str">
        <f t="shared" si="28"/>
        <v/>
      </c>
      <c r="K632" s="30" t="str">
        <f>IF($Z632="","",IF($Z632&lt;=2000,IF(INDEX(包装物料出入库明细!$N$4:$N$2003,$Z632-0)=0,"",INDEX(包装物料出入库明细!$N$4:$N$2003,$Z632-0)),IF($Z632&lt;=4000,IF(INDEX(周转筐出入库明细!$P$4:$P$2004,$Z632-2000)=0,"",INDEX(周转筐出入库明细!$P$4:$P$2004,$Z632-2000)),IF($Z632&lt;=5200,"",IF($Z632&lt;=5800,N(INDEX(次果筐明细!$L$4:$L$603,$Z632-5200))+N(INDEX(次果筐明细!$J$4:$J$603,$Z632-5200)),"")))))</f>
        <v/>
      </c>
      <c r="L632" s="24" t="str">
        <f>IF($Z632="","",IF($Z632&lt;=2000,IF(INDEX(包装物料出入库明细!$P$4:$P$2003,$Z632-0)=0,"",INDEX(包装物料出入库明细!$P$4:$P$2003,$Z632-0)),IF($Z632&lt;=4000,IF(INDEX(周转筐出入库明细!$Q$4:$Q$2004,$Z632-2000)=0,"",INDEX(周转筐出入库明细!$Q$4:$Q$2004,$Z632-2000)),IF($Z632&lt;=5200,"",IF($Z632&lt;=5800,IF(INDEX(次果筐明细!$M$4:$M$603,$Z632-5200)=0,"",INDEX(次果筐明细!$M$4:$M$603,$Z632-5200)),"")))))</f>
        <v/>
      </c>
      <c r="M632" s="37" t="str">
        <f>IF($Z632="","",IF($Z632&lt;=2000,IF(INDEX(包装物料出入库明细!$R$4:$R$2003,$Z632-0)=0,"",INDEX(包装物料出入库明细!$R$4:$R$2003,$Z632-0)),IF($Z632&lt;=4000,IF(INDEX(周转筐出入库明细!$W$4:$W$2004,$Z632-2000)=0,"",INDEX(周转筐出入库明细!$W$4:$W$2004,$Z632-2000)),IF($Z632&lt;=5200,IF(INDEX(客户自备加工筐明细!$L$4:$L$1203,$Z632-4000)=0,"",INDEX(客户自备加工筐明细!$L$4:$L$1203,$Z632-4000)),IF($Z632&lt;=5800,IF(INDEX(次果筐明细!$P$4:$P$603,$Z632-5200)=0,"",INDEX(次果筐明细!$P$4:$P$603,$Z632-5200)),"")))))</f>
        <v/>
      </c>
      <c r="N632" s="16" t="str">
        <f>IF($Z632="","",IF($Z632&lt;=2000,"",IF($Z632&lt;=4000,IF(INDEX(周转筐出入库明细!$D$4:$D$2004,$Z632-2000)=0,"",INDEX(周转筐出入库明细!$D$4:$D$2004,$Z632-2000)),IF($Z632&lt;=5200,IF(INDEX(客户自备加工筐明细!$C$4:$C$1203,$Z632-4000)=0,"",INDEX(客户自备加工筐明细!$C$4:$C$1203,$Z632-4000)),IF($Z632&lt;=5800,IF(INDEX(次果筐明细!$D$4:$D$603,$Z632-5200)=0,"",INDEX(次果筐明细!$D$4:$D$603,$Z632-5200)),"")))))</f>
        <v/>
      </c>
      <c r="O632" s="40" t="str">
        <f>IF($Z632="","",IF($Z632&lt;=2000,"",IF($Z632&lt;=4000,IF(N(INDEX(周转筐出入库明细!$J$4:$J$2004,$Z632-2000))+N(INDEX(周转筐出入库明细!$K$4:$K$2004,$Z632-2000))=0,"",N(INDEX(周转筐出入库明细!$J$4:$J$2004,$Z632-2000))+N(INDEX(周转筐出入库明细!$K$4:$K$2004,$Z632-2000))),IF($Z632&lt;=5200,IF(N(INDEX(客户自备加工筐明细!$G$4:$G$1203,$Z632-4000))=0,"",N(INDEX(客户自备加工筐明细!$G$4:$G$1203,$Z632-4000))),IF($Z632&lt;=5800,IF(ISNUMBER(SEARCH("退",INDEX(次果筐明细!$F$4:$F$603,$Z632-5200)&amp;"")),"",IF(N(INDEX(次果筐明细!$G$4:$G$603,$Z632-5200))=0,"",N(INDEX(次果筐明细!$G$4:$G$603,$Z632-5200)))),"")))))</f>
        <v/>
      </c>
      <c r="P632" s="40" t="str">
        <f>IF($Z632="","",IF($Z632&lt;=2000,"",IF($Z632&lt;=4000,IF(N(INDEX(周转筐出入库明细!$I$4:$I$2004,$Z632-2000))=0,"",N(INDEX(周转筐出入库明细!$I$4:$I$2004,$Z632-2000))),IF($Z632&lt;=5200,"",IF($Z632&lt;=5800,IF(ISNUMBER(SEARCH("退",INDEX(次果筐明细!$F$4:$F$603,$Z632-5200)&amp;"")),IF(N(INDEX(次果筐明细!$G$4:$G$603,$Z632-5200))=0,"",N(INDEX(次果筐明细!$G$4:$G$603,$Z632-5200))),""),"")))))</f>
        <v/>
      </c>
      <c r="Q632" s="40" t="str">
        <f>IF($Z632="","",IF($Z632&lt;=2000,"",IF($Z632&lt;=4000,IF(N(INDEX(周转筐出入库明细!$H$4:$H$2004,$Z632-2000))=0,"",N(INDEX(周转筐出入库明细!$H$4:$H$2004,$Z632-2000))),IF($Z632&lt;=5200,IF(N(INDEX(客户自备加工筐明细!$F$4:$F$1203,$Z632-4000))=0,"",N(INDEX(客户自备加工筐明细!$F$4:$F$1203,$Z632-4000))),IF($Z632&lt;=5800,"","")))))</f>
        <v/>
      </c>
      <c r="R632" s="16" t="str">
        <f>IF($Z632="","",IF($Z632&lt;=2000,IF(INDEX(包装物料出入库明细!$O$4:$O$2003,$Z632-0)=0,"",INDEX(包装物料出入库明细!$O$4:$O$2003,$Z632-0)),IF($Z632&lt;=4000,IF(INDEX(周转筐出入库明细!$M$4:$M$2004,$Z632-2000)=0,"",INDEX(周转筐出入库明细!$M$4:$M$2004,$Z632-2000)),IF($Z632&lt;=5200,IF(INDEX(客户自备加工筐明细!$H$4:$H$1203,$Z632-4000)=0,"",INDEX(客户自备加工筐明细!$H$4:$H$1203,$Z632-4000)),IF($Z632&lt;=5800,IF(INDEX(次果筐明细!$H$4:$H$603,$Z632-5200)=0,"",INDEX(次果筐明细!$H$4:$H$603,$Z632-5200)),"")))))</f>
        <v/>
      </c>
      <c r="S632" s="22" t="str">
        <f t="shared" si="29"/>
        <v/>
      </c>
      <c r="Z632" s="10" t="str">
        <f>IFERROR(MATCH(ROW()-3,_自动清单!$CQ$4:$CQ$5803,0),"")</f>
        <v/>
      </c>
    </row>
    <row r="633" spans="1:26">
      <c r="A633" s="24" t="str">
        <f t="shared" si="27"/>
        <v/>
      </c>
      <c r="B633" s="38" t="str">
        <f>IF($Z633="","",IF($Z633&lt;=2000,IF(INDEX(包装物料出入库明细!$B$4:$B$2003,$Z633-0)=0,"",INDEX(包装物料出入库明细!$B$4:$B$2003,$Z633-0)),IF($Z633&lt;=4000,IF(INDEX(周转筐出入库明细!$B$4:$B$2004,$Z633-2000)=0,"",INDEX(周转筐出入库明细!$B$4:$B$2004,$Z633-2000)),IF($Z633&lt;=5200,IF(INDEX(客户自备加工筐明细!$B$4:$B$1203,$Z633-4000)=0,"",INDEX(客户自备加工筐明细!$B$4:$B$1203,$Z633-4000)),IF($Z633&lt;=5800,IF(INDEX(次果筐明细!$B$4:$B$603,$Z633-5200)=0,"",INDEX(次果筐明细!$B$4:$B$603,$Z633-5200)),"")))))</f>
        <v/>
      </c>
      <c r="C633" s="37" t="str">
        <f>IF($Z633="","",IF($Z633&lt;=2000,IF(INDEX(包装物料出入库明细!$D$4:$D$2003,$Z633-0)=0,"",INDEX(包装物料出入库明细!$D$4:$D$2003,$Z633-0)),IF($Z633&lt;=4000,IF(INDEX(周转筐出入库明细!$C$4:$C$2004,$Z633-2000)=0,"",INDEX(周转筐出入库明细!$C$4:$C$2004,$Z633-2000)),IF($Z633&lt;=5200,IF(INDEX(客户自备加工筐明细!$E$4:$E$1203,$Z633-4000)=0,"",INDEX(客户自备加工筐明细!$E$4:$E$1203,$Z633-4000)),IF($Z633&lt;=5800,IF(INDEX(次果筐明细!$C$4:$C$603,$Z633-5200)=0,"",INDEX(次果筐明细!$C$4:$C$603,$Z633-5200)),"")))))</f>
        <v/>
      </c>
      <c r="D633" s="37" t="str">
        <f>IF($Z633="","",IF($Z633&lt;=2000,"包装物料－"&amp;INDEX(包装物料出入库明细!$H$4:$H$2003,$Z633-0),IF($Z633&lt;=4000,"周转筐－"&amp;INDEX(周转筐出入库明细!$F$4:$F$2004,$Z633-2000),IF($Z633&lt;=5200,"客户自备筐－"&amp;INDEX(客户自备加工筐明细!$J$4:$J$1203,$Z633-4000),IF($Z633&lt;=5800,"次果筐/托盘－"&amp;INDEX(次果筐明细!$F$4:$F$603,$Z633-5200),"")))))</f>
        <v/>
      </c>
      <c r="E633" s="24" t="str">
        <f>IF($Z633="","",IF($Z633&lt;=2000,IF(INDEX(包装物料出入库明细!$C$4:$C$2003,$Z633-0)=0,"",INDEX(包装物料出入库明细!$C$4:$C$2003,$Z633-0)),IF($Z633&lt;=4000,IF(INDEX(周转筐出入库明细!$E$4:$E$2004,$Z633-2000)=0,"",INDEX(周转筐出入库明细!$E$4:$E$2004,$Z633-2000)),IF($Z633&lt;=5200,IF(INDEX(客户自备加工筐明细!$D$4:$D$1203,$Z633-4000)=0,"",INDEX(客户自备加工筐明细!$D$4:$D$1203,$Z633-4000)),IF($Z633&lt;=5800,IF(INDEX(次果筐明细!$E$4:$E$603,$Z633-5200)=0,"",INDEX(次果筐明细!$E$4:$E$603,$Z633-5200)),"")))))</f>
        <v/>
      </c>
      <c r="F633" s="24" t="str">
        <f>IF($Z633="","",IF($Z633&lt;=2000,IF(INDEX(包装物料出入库明细!$E$4:$E$2003,$Z633-0)=0,"",INDEX(包装物料出入库明细!$E$4:$E$2003,$Z633-0)),IF($Z633&lt;=4000,IF(INDEX(周转筐出入库明细!$D$4:$D$2004,$Z633-2000)=0,"",INDEX(周转筐出入库明细!$D$4:$D$2004,$Z633-2000)),IF($Z633&lt;=5200,IF(INDEX(客户自备加工筐明细!$C$4:$C$1203,$Z633-4000)=0,"",INDEX(客户自备加工筐明细!$C$4:$C$1203,$Z633-4000)),IF($Z633&lt;=5800,IF(INDEX(次果筐明细!$D$4:$D$603,$Z633-5200)=0,"",INDEX(次果筐明细!$D$4:$D$603,$Z633-5200)),"")))))</f>
        <v/>
      </c>
      <c r="G633" s="24" t="str">
        <f>IF($Z633="","",IF($Z633&lt;=2000,IF(INDEX(包装物料出入库明细!$F$4:$F$2003,$Z633-0)=0,"",INDEX(包装物料出入库明细!$F$4:$F$2003,$Z633-0)),IF($Z633&lt;=4000,"",IF($Z633&lt;=5200,"",IF($Z633&lt;=5800,"","")))))</f>
        <v/>
      </c>
      <c r="H633" s="39" t="str">
        <f>IF($Z633="","",IF($Z633&lt;=2000,IF(INDEX(包装物料出入库明细!$L$4:$L$2003,$Z633-0)=0,"",INDEX(包装物料出入库明细!$L$4:$L$2003,$Z633-0)),IF($Z633&lt;=4000,N(INDEX(周转筐出入库明细!$H$4:$H$2004,$Z633-2000))+N(INDEX(周转筐出入库明细!$I$4:$I$2004,$Z633-2000))+N(INDEX(周转筐出入库明细!$J$4:$J$2004,$Z633-2000))+N(INDEX(周转筐出入库明细!$K$4:$K$2004,$Z633-2000)),IF($Z633&lt;=5200,N(INDEX(客户自备加工筐明细!$F$4:$F$1203,$Z633-4000))+N(INDEX(客户自备加工筐明细!$G$4:$G$1203,$Z633-4000)),IF($Z633&lt;=5800,IF(INDEX(次果筐明细!$G$4:$G$603,$Z633-5200)=0,"",INDEX(次果筐明细!$G$4:$G$603,$Z633-5200)),"")))))</f>
        <v/>
      </c>
      <c r="I633" s="24" t="str">
        <f>IF($Z633="","",IF($Z633&lt;=2000,IF(INDEX(包装物料出入库明细!$G$4:$G$2003,$Z633-0)=0,"",INDEX(包装物料出入库明细!$G$4:$G$2003,$Z633-0)),IF($Z633&lt;=4000,"个",IF($Z633&lt;=5200,"个",IF($Z633&lt;=5800,"个","")))))</f>
        <v/>
      </c>
      <c r="J633" s="30" t="str">
        <f t="shared" si="28"/>
        <v/>
      </c>
      <c r="K633" s="30" t="str">
        <f>IF($Z633="","",IF($Z633&lt;=2000,IF(INDEX(包装物料出入库明细!$N$4:$N$2003,$Z633-0)=0,"",INDEX(包装物料出入库明细!$N$4:$N$2003,$Z633-0)),IF($Z633&lt;=4000,IF(INDEX(周转筐出入库明细!$P$4:$P$2004,$Z633-2000)=0,"",INDEX(周转筐出入库明细!$P$4:$P$2004,$Z633-2000)),IF($Z633&lt;=5200,"",IF($Z633&lt;=5800,N(INDEX(次果筐明细!$L$4:$L$603,$Z633-5200))+N(INDEX(次果筐明细!$J$4:$J$603,$Z633-5200)),"")))))</f>
        <v/>
      </c>
      <c r="L633" s="24" t="str">
        <f>IF($Z633="","",IF($Z633&lt;=2000,IF(INDEX(包装物料出入库明细!$P$4:$P$2003,$Z633-0)=0,"",INDEX(包装物料出入库明细!$P$4:$P$2003,$Z633-0)),IF($Z633&lt;=4000,IF(INDEX(周转筐出入库明细!$Q$4:$Q$2004,$Z633-2000)=0,"",INDEX(周转筐出入库明细!$Q$4:$Q$2004,$Z633-2000)),IF($Z633&lt;=5200,"",IF($Z633&lt;=5800,IF(INDEX(次果筐明细!$M$4:$M$603,$Z633-5200)=0,"",INDEX(次果筐明细!$M$4:$M$603,$Z633-5200)),"")))))</f>
        <v/>
      </c>
      <c r="M633" s="37" t="str">
        <f>IF($Z633="","",IF($Z633&lt;=2000,IF(INDEX(包装物料出入库明细!$R$4:$R$2003,$Z633-0)=0,"",INDEX(包装物料出入库明细!$R$4:$R$2003,$Z633-0)),IF($Z633&lt;=4000,IF(INDEX(周转筐出入库明细!$W$4:$W$2004,$Z633-2000)=0,"",INDEX(周转筐出入库明细!$W$4:$W$2004,$Z633-2000)),IF($Z633&lt;=5200,IF(INDEX(客户自备加工筐明细!$L$4:$L$1203,$Z633-4000)=0,"",INDEX(客户自备加工筐明细!$L$4:$L$1203,$Z633-4000)),IF($Z633&lt;=5800,IF(INDEX(次果筐明细!$P$4:$P$603,$Z633-5200)=0,"",INDEX(次果筐明细!$P$4:$P$603,$Z633-5200)),"")))))</f>
        <v/>
      </c>
      <c r="N633" s="16" t="str">
        <f>IF($Z633="","",IF($Z633&lt;=2000,"",IF($Z633&lt;=4000,IF(INDEX(周转筐出入库明细!$D$4:$D$2004,$Z633-2000)=0,"",INDEX(周转筐出入库明细!$D$4:$D$2004,$Z633-2000)),IF($Z633&lt;=5200,IF(INDEX(客户自备加工筐明细!$C$4:$C$1203,$Z633-4000)=0,"",INDEX(客户自备加工筐明细!$C$4:$C$1203,$Z633-4000)),IF($Z633&lt;=5800,IF(INDEX(次果筐明细!$D$4:$D$603,$Z633-5200)=0,"",INDEX(次果筐明细!$D$4:$D$603,$Z633-5200)),"")))))</f>
        <v/>
      </c>
      <c r="O633" s="40" t="str">
        <f>IF($Z633="","",IF($Z633&lt;=2000,"",IF($Z633&lt;=4000,IF(N(INDEX(周转筐出入库明细!$J$4:$J$2004,$Z633-2000))+N(INDEX(周转筐出入库明细!$K$4:$K$2004,$Z633-2000))=0,"",N(INDEX(周转筐出入库明细!$J$4:$J$2004,$Z633-2000))+N(INDEX(周转筐出入库明细!$K$4:$K$2004,$Z633-2000))),IF($Z633&lt;=5200,IF(N(INDEX(客户自备加工筐明细!$G$4:$G$1203,$Z633-4000))=0,"",N(INDEX(客户自备加工筐明细!$G$4:$G$1203,$Z633-4000))),IF($Z633&lt;=5800,IF(ISNUMBER(SEARCH("退",INDEX(次果筐明细!$F$4:$F$603,$Z633-5200)&amp;"")),"",IF(N(INDEX(次果筐明细!$G$4:$G$603,$Z633-5200))=0,"",N(INDEX(次果筐明细!$G$4:$G$603,$Z633-5200)))),"")))))</f>
        <v/>
      </c>
      <c r="P633" s="40" t="str">
        <f>IF($Z633="","",IF($Z633&lt;=2000,"",IF($Z633&lt;=4000,IF(N(INDEX(周转筐出入库明细!$I$4:$I$2004,$Z633-2000))=0,"",N(INDEX(周转筐出入库明细!$I$4:$I$2004,$Z633-2000))),IF($Z633&lt;=5200,"",IF($Z633&lt;=5800,IF(ISNUMBER(SEARCH("退",INDEX(次果筐明细!$F$4:$F$603,$Z633-5200)&amp;"")),IF(N(INDEX(次果筐明细!$G$4:$G$603,$Z633-5200))=0,"",N(INDEX(次果筐明细!$G$4:$G$603,$Z633-5200))),""),"")))))</f>
        <v/>
      </c>
      <c r="Q633" s="40" t="str">
        <f>IF($Z633="","",IF($Z633&lt;=2000,"",IF($Z633&lt;=4000,IF(N(INDEX(周转筐出入库明细!$H$4:$H$2004,$Z633-2000))=0,"",N(INDEX(周转筐出入库明细!$H$4:$H$2004,$Z633-2000))),IF($Z633&lt;=5200,IF(N(INDEX(客户自备加工筐明细!$F$4:$F$1203,$Z633-4000))=0,"",N(INDEX(客户自备加工筐明细!$F$4:$F$1203,$Z633-4000))),IF($Z633&lt;=5800,"","")))))</f>
        <v/>
      </c>
      <c r="R633" s="16" t="str">
        <f>IF($Z633="","",IF($Z633&lt;=2000,IF(INDEX(包装物料出入库明细!$O$4:$O$2003,$Z633-0)=0,"",INDEX(包装物料出入库明细!$O$4:$O$2003,$Z633-0)),IF($Z633&lt;=4000,IF(INDEX(周转筐出入库明细!$M$4:$M$2004,$Z633-2000)=0,"",INDEX(周转筐出入库明细!$M$4:$M$2004,$Z633-2000)),IF($Z633&lt;=5200,IF(INDEX(客户自备加工筐明细!$H$4:$H$1203,$Z633-4000)=0,"",INDEX(客户自备加工筐明细!$H$4:$H$1203,$Z633-4000)),IF($Z633&lt;=5800,IF(INDEX(次果筐明细!$H$4:$H$603,$Z633-5200)=0,"",INDEX(次果筐明细!$H$4:$H$603,$Z633-5200)),"")))))</f>
        <v/>
      </c>
      <c r="S633" s="22" t="str">
        <f t="shared" si="29"/>
        <v/>
      </c>
      <c r="Z633" s="10" t="str">
        <f>IFERROR(MATCH(ROW()-3,_自动清单!$CQ$4:$CQ$5803,0),"")</f>
        <v/>
      </c>
    </row>
    <row r="634" spans="1:26">
      <c r="A634" s="24" t="str">
        <f t="shared" si="27"/>
        <v/>
      </c>
      <c r="B634" s="38" t="str">
        <f>IF($Z634="","",IF($Z634&lt;=2000,IF(INDEX(包装物料出入库明细!$B$4:$B$2003,$Z634-0)=0,"",INDEX(包装物料出入库明细!$B$4:$B$2003,$Z634-0)),IF($Z634&lt;=4000,IF(INDEX(周转筐出入库明细!$B$4:$B$2004,$Z634-2000)=0,"",INDEX(周转筐出入库明细!$B$4:$B$2004,$Z634-2000)),IF($Z634&lt;=5200,IF(INDEX(客户自备加工筐明细!$B$4:$B$1203,$Z634-4000)=0,"",INDEX(客户自备加工筐明细!$B$4:$B$1203,$Z634-4000)),IF($Z634&lt;=5800,IF(INDEX(次果筐明细!$B$4:$B$603,$Z634-5200)=0,"",INDEX(次果筐明细!$B$4:$B$603,$Z634-5200)),"")))))</f>
        <v/>
      </c>
      <c r="C634" s="37" t="str">
        <f>IF($Z634="","",IF($Z634&lt;=2000,IF(INDEX(包装物料出入库明细!$D$4:$D$2003,$Z634-0)=0,"",INDEX(包装物料出入库明细!$D$4:$D$2003,$Z634-0)),IF($Z634&lt;=4000,IF(INDEX(周转筐出入库明细!$C$4:$C$2004,$Z634-2000)=0,"",INDEX(周转筐出入库明细!$C$4:$C$2004,$Z634-2000)),IF($Z634&lt;=5200,IF(INDEX(客户自备加工筐明细!$E$4:$E$1203,$Z634-4000)=0,"",INDEX(客户自备加工筐明细!$E$4:$E$1203,$Z634-4000)),IF($Z634&lt;=5800,IF(INDEX(次果筐明细!$C$4:$C$603,$Z634-5200)=0,"",INDEX(次果筐明细!$C$4:$C$603,$Z634-5200)),"")))))</f>
        <v/>
      </c>
      <c r="D634" s="37" t="str">
        <f>IF($Z634="","",IF($Z634&lt;=2000,"包装物料－"&amp;INDEX(包装物料出入库明细!$H$4:$H$2003,$Z634-0),IF($Z634&lt;=4000,"周转筐－"&amp;INDEX(周转筐出入库明细!$F$4:$F$2004,$Z634-2000),IF($Z634&lt;=5200,"客户自备筐－"&amp;INDEX(客户自备加工筐明细!$J$4:$J$1203,$Z634-4000),IF($Z634&lt;=5800,"次果筐/托盘－"&amp;INDEX(次果筐明细!$F$4:$F$603,$Z634-5200),"")))))</f>
        <v/>
      </c>
      <c r="E634" s="24" t="str">
        <f>IF($Z634="","",IF($Z634&lt;=2000,IF(INDEX(包装物料出入库明细!$C$4:$C$2003,$Z634-0)=0,"",INDEX(包装物料出入库明细!$C$4:$C$2003,$Z634-0)),IF($Z634&lt;=4000,IF(INDEX(周转筐出入库明细!$E$4:$E$2004,$Z634-2000)=0,"",INDEX(周转筐出入库明细!$E$4:$E$2004,$Z634-2000)),IF($Z634&lt;=5200,IF(INDEX(客户自备加工筐明细!$D$4:$D$1203,$Z634-4000)=0,"",INDEX(客户自备加工筐明细!$D$4:$D$1203,$Z634-4000)),IF($Z634&lt;=5800,IF(INDEX(次果筐明细!$E$4:$E$603,$Z634-5200)=0,"",INDEX(次果筐明细!$E$4:$E$603,$Z634-5200)),"")))))</f>
        <v/>
      </c>
      <c r="F634" s="24" t="str">
        <f>IF($Z634="","",IF($Z634&lt;=2000,IF(INDEX(包装物料出入库明细!$E$4:$E$2003,$Z634-0)=0,"",INDEX(包装物料出入库明细!$E$4:$E$2003,$Z634-0)),IF($Z634&lt;=4000,IF(INDEX(周转筐出入库明细!$D$4:$D$2004,$Z634-2000)=0,"",INDEX(周转筐出入库明细!$D$4:$D$2004,$Z634-2000)),IF($Z634&lt;=5200,IF(INDEX(客户自备加工筐明细!$C$4:$C$1203,$Z634-4000)=0,"",INDEX(客户自备加工筐明细!$C$4:$C$1203,$Z634-4000)),IF($Z634&lt;=5800,IF(INDEX(次果筐明细!$D$4:$D$603,$Z634-5200)=0,"",INDEX(次果筐明细!$D$4:$D$603,$Z634-5200)),"")))))</f>
        <v/>
      </c>
      <c r="G634" s="24" t="str">
        <f>IF($Z634="","",IF($Z634&lt;=2000,IF(INDEX(包装物料出入库明细!$F$4:$F$2003,$Z634-0)=0,"",INDEX(包装物料出入库明细!$F$4:$F$2003,$Z634-0)),IF($Z634&lt;=4000,"",IF($Z634&lt;=5200,"",IF($Z634&lt;=5800,"","")))))</f>
        <v/>
      </c>
      <c r="H634" s="39" t="str">
        <f>IF($Z634="","",IF($Z634&lt;=2000,IF(INDEX(包装物料出入库明细!$L$4:$L$2003,$Z634-0)=0,"",INDEX(包装物料出入库明细!$L$4:$L$2003,$Z634-0)),IF($Z634&lt;=4000,N(INDEX(周转筐出入库明细!$H$4:$H$2004,$Z634-2000))+N(INDEX(周转筐出入库明细!$I$4:$I$2004,$Z634-2000))+N(INDEX(周转筐出入库明细!$J$4:$J$2004,$Z634-2000))+N(INDEX(周转筐出入库明细!$K$4:$K$2004,$Z634-2000)),IF($Z634&lt;=5200,N(INDEX(客户自备加工筐明细!$F$4:$F$1203,$Z634-4000))+N(INDEX(客户自备加工筐明细!$G$4:$G$1203,$Z634-4000)),IF($Z634&lt;=5800,IF(INDEX(次果筐明细!$G$4:$G$603,$Z634-5200)=0,"",INDEX(次果筐明细!$G$4:$G$603,$Z634-5200)),"")))))</f>
        <v/>
      </c>
      <c r="I634" s="24" t="str">
        <f>IF($Z634="","",IF($Z634&lt;=2000,IF(INDEX(包装物料出入库明细!$G$4:$G$2003,$Z634-0)=0,"",INDEX(包装物料出入库明细!$G$4:$G$2003,$Z634-0)),IF($Z634&lt;=4000,"个",IF($Z634&lt;=5200,"个",IF($Z634&lt;=5800,"个","")))))</f>
        <v/>
      </c>
      <c r="J634" s="30" t="str">
        <f t="shared" si="28"/>
        <v/>
      </c>
      <c r="K634" s="30" t="str">
        <f>IF($Z634="","",IF($Z634&lt;=2000,IF(INDEX(包装物料出入库明细!$N$4:$N$2003,$Z634-0)=0,"",INDEX(包装物料出入库明细!$N$4:$N$2003,$Z634-0)),IF($Z634&lt;=4000,IF(INDEX(周转筐出入库明细!$P$4:$P$2004,$Z634-2000)=0,"",INDEX(周转筐出入库明细!$P$4:$P$2004,$Z634-2000)),IF($Z634&lt;=5200,"",IF($Z634&lt;=5800,N(INDEX(次果筐明细!$L$4:$L$603,$Z634-5200))+N(INDEX(次果筐明细!$J$4:$J$603,$Z634-5200)),"")))))</f>
        <v/>
      </c>
      <c r="L634" s="24" t="str">
        <f>IF($Z634="","",IF($Z634&lt;=2000,IF(INDEX(包装物料出入库明细!$P$4:$P$2003,$Z634-0)=0,"",INDEX(包装物料出入库明细!$P$4:$P$2003,$Z634-0)),IF($Z634&lt;=4000,IF(INDEX(周转筐出入库明细!$Q$4:$Q$2004,$Z634-2000)=0,"",INDEX(周转筐出入库明细!$Q$4:$Q$2004,$Z634-2000)),IF($Z634&lt;=5200,"",IF($Z634&lt;=5800,IF(INDEX(次果筐明细!$M$4:$M$603,$Z634-5200)=0,"",INDEX(次果筐明细!$M$4:$M$603,$Z634-5200)),"")))))</f>
        <v/>
      </c>
      <c r="M634" s="37" t="str">
        <f>IF($Z634="","",IF($Z634&lt;=2000,IF(INDEX(包装物料出入库明细!$R$4:$R$2003,$Z634-0)=0,"",INDEX(包装物料出入库明细!$R$4:$R$2003,$Z634-0)),IF($Z634&lt;=4000,IF(INDEX(周转筐出入库明细!$W$4:$W$2004,$Z634-2000)=0,"",INDEX(周转筐出入库明细!$W$4:$W$2004,$Z634-2000)),IF($Z634&lt;=5200,IF(INDEX(客户自备加工筐明细!$L$4:$L$1203,$Z634-4000)=0,"",INDEX(客户自备加工筐明细!$L$4:$L$1203,$Z634-4000)),IF($Z634&lt;=5800,IF(INDEX(次果筐明细!$P$4:$P$603,$Z634-5200)=0,"",INDEX(次果筐明细!$P$4:$P$603,$Z634-5200)),"")))))</f>
        <v/>
      </c>
      <c r="N634" s="16" t="str">
        <f>IF($Z634="","",IF($Z634&lt;=2000,"",IF($Z634&lt;=4000,IF(INDEX(周转筐出入库明细!$D$4:$D$2004,$Z634-2000)=0,"",INDEX(周转筐出入库明细!$D$4:$D$2004,$Z634-2000)),IF($Z634&lt;=5200,IF(INDEX(客户自备加工筐明细!$C$4:$C$1203,$Z634-4000)=0,"",INDEX(客户自备加工筐明细!$C$4:$C$1203,$Z634-4000)),IF($Z634&lt;=5800,IF(INDEX(次果筐明细!$D$4:$D$603,$Z634-5200)=0,"",INDEX(次果筐明细!$D$4:$D$603,$Z634-5200)),"")))))</f>
        <v/>
      </c>
      <c r="O634" s="40" t="str">
        <f>IF($Z634="","",IF($Z634&lt;=2000,"",IF($Z634&lt;=4000,IF(N(INDEX(周转筐出入库明细!$J$4:$J$2004,$Z634-2000))+N(INDEX(周转筐出入库明细!$K$4:$K$2004,$Z634-2000))=0,"",N(INDEX(周转筐出入库明细!$J$4:$J$2004,$Z634-2000))+N(INDEX(周转筐出入库明细!$K$4:$K$2004,$Z634-2000))),IF($Z634&lt;=5200,IF(N(INDEX(客户自备加工筐明细!$G$4:$G$1203,$Z634-4000))=0,"",N(INDEX(客户自备加工筐明细!$G$4:$G$1203,$Z634-4000))),IF($Z634&lt;=5800,IF(ISNUMBER(SEARCH("退",INDEX(次果筐明细!$F$4:$F$603,$Z634-5200)&amp;"")),"",IF(N(INDEX(次果筐明细!$G$4:$G$603,$Z634-5200))=0,"",N(INDEX(次果筐明细!$G$4:$G$603,$Z634-5200)))),"")))))</f>
        <v/>
      </c>
      <c r="P634" s="40" t="str">
        <f>IF($Z634="","",IF($Z634&lt;=2000,"",IF($Z634&lt;=4000,IF(N(INDEX(周转筐出入库明细!$I$4:$I$2004,$Z634-2000))=0,"",N(INDEX(周转筐出入库明细!$I$4:$I$2004,$Z634-2000))),IF($Z634&lt;=5200,"",IF($Z634&lt;=5800,IF(ISNUMBER(SEARCH("退",INDEX(次果筐明细!$F$4:$F$603,$Z634-5200)&amp;"")),IF(N(INDEX(次果筐明细!$G$4:$G$603,$Z634-5200))=0,"",N(INDEX(次果筐明细!$G$4:$G$603,$Z634-5200))),""),"")))))</f>
        <v/>
      </c>
      <c r="Q634" s="40" t="str">
        <f>IF($Z634="","",IF($Z634&lt;=2000,"",IF($Z634&lt;=4000,IF(N(INDEX(周转筐出入库明细!$H$4:$H$2004,$Z634-2000))=0,"",N(INDEX(周转筐出入库明细!$H$4:$H$2004,$Z634-2000))),IF($Z634&lt;=5200,IF(N(INDEX(客户自备加工筐明细!$F$4:$F$1203,$Z634-4000))=0,"",N(INDEX(客户自备加工筐明细!$F$4:$F$1203,$Z634-4000))),IF($Z634&lt;=5800,"","")))))</f>
        <v/>
      </c>
      <c r="R634" s="16" t="str">
        <f>IF($Z634="","",IF($Z634&lt;=2000,IF(INDEX(包装物料出入库明细!$O$4:$O$2003,$Z634-0)=0,"",INDEX(包装物料出入库明细!$O$4:$O$2003,$Z634-0)),IF($Z634&lt;=4000,IF(INDEX(周转筐出入库明细!$M$4:$M$2004,$Z634-2000)=0,"",INDEX(周转筐出入库明细!$M$4:$M$2004,$Z634-2000)),IF($Z634&lt;=5200,IF(INDEX(客户自备加工筐明细!$H$4:$H$1203,$Z634-4000)=0,"",INDEX(客户自备加工筐明细!$H$4:$H$1203,$Z634-4000)),IF($Z634&lt;=5800,IF(INDEX(次果筐明细!$H$4:$H$603,$Z634-5200)=0,"",INDEX(次果筐明细!$H$4:$H$603,$Z634-5200)),"")))))</f>
        <v/>
      </c>
      <c r="S634" s="22" t="str">
        <f t="shared" si="29"/>
        <v/>
      </c>
      <c r="Z634" s="10" t="str">
        <f>IFERROR(MATCH(ROW()-3,_自动清单!$CQ$4:$CQ$5803,0),"")</f>
        <v/>
      </c>
    </row>
    <row r="635" spans="1:26">
      <c r="A635" s="24" t="str">
        <f t="shared" si="27"/>
        <v/>
      </c>
      <c r="B635" s="38" t="str">
        <f>IF($Z635="","",IF($Z635&lt;=2000,IF(INDEX(包装物料出入库明细!$B$4:$B$2003,$Z635-0)=0,"",INDEX(包装物料出入库明细!$B$4:$B$2003,$Z635-0)),IF($Z635&lt;=4000,IF(INDEX(周转筐出入库明细!$B$4:$B$2004,$Z635-2000)=0,"",INDEX(周转筐出入库明细!$B$4:$B$2004,$Z635-2000)),IF($Z635&lt;=5200,IF(INDEX(客户自备加工筐明细!$B$4:$B$1203,$Z635-4000)=0,"",INDEX(客户自备加工筐明细!$B$4:$B$1203,$Z635-4000)),IF($Z635&lt;=5800,IF(INDEX(次果筐明细!$B$4:$B$603,$Z635-5200)=0,"",INDEX(次果筐明细!$B$4:$B$603,$Z635-5200)),"")))))</f>
        <v/>
      </c>
      <c r="C635" s="37" t="str">
        <f>IF($Z635="","",IF($Z635&lt;=2000,IF(INDEX(包装物料出入库明细!$D$4:$D$2003,$Z635-0)=0,"",INDEX(包装物料出入库明细!$D$4:$D$2003,$Z635-0)),IF($Z635&lt;=4000,IF(INDEX(周转筐出入库明细!$C$4:$C$2004,$Z635-2000)=0,"",INDEX(周转筐出入库明细!$C$4:$C$2004,$Z635-2000)),IF($Z635&lt;=5200,IF(INDEX(客户自备加工筐明细!$E$4:$E$1203,$Z635-4000)=0,"",INDEX(客户自备加工筐明细!$E$4:$E$1203,$Z635-4000)),IF($Z635&lt;=5800,IF(INDEX(次果筐明细!$C$4:$C$603,$Z635-5200)=0,"",INDEX(次果筐明细!$C$4:$C$603,$Z635-5200)),"")))))</f>
        <v/>
      </c>
      <c r="D635" s="37" t="str">
        <f>IF($Z635="","",IF($Z635&lt;=2000,"包装物料－"&amp;INDEX(包装物料出入库明细!$H$4:$H$2003,$Z635-0),IF($Z635&lt;=4000,"周转筐－"&amp;INDEX(周转筐出入库明细!$F$4:$F$2004,$Z635-2000),IF($Z635&lt;=5200,"客户自备筐－"&amp;INDEX(客户自备加工筐明细!$J$4:$J$1203,$Z635-4000),IF($Z635&lt;=5800,"次果筐/托盘－"&amp;INDEX(次果筐明细!$F$4:$F$603,$Z635-5200),"")))))</f>
        <v/>
      </c>
      <c r="E635" s="24" t="str">
        <f>IF($Z635="","",IF($Z635&lt;=2000,IF(INDEX(包装物料出入库明细!$C$4:$C$2003,$Z635-0)=0,"",INDEX(包装物料出入库明细!$C$4:$C$2003,$Z635-0)),IF($Z635&lt;=4000,IF(INDEX(周转筐出入库明细!$E$4:$E$2004,$Z635-2000)=0,"",INDEX(周转筐出入库明细!$E$4:$E$2004,$Z635-2000)),IF($Z635&lt;=5200,IF(INDEX(客户自备加工筐明细!$D$4:$D$1203,$Z635-4000)=0,"",INDEX(客户自备加工筐明细!$D$4:$D$1203,$Z635-4000)),IF($Z635&lt;=5800,IF(INDEX(次果筐明细!$E$4:$E$603,$Z635-5200)=0,"",INDEX(次果筐明细!$E$4:$E$603,$Z635-5200)),"")))))</f>
        <v/>
      </c>
      <c r="F635" s="24" t="str">
        <f>IF($Z635="","",IF($Z635&lt;=2000,IF(INDEX(包装物料出入库明细!$E$4:$E$2003,$Z635-0)=0,"",INDEX(包装物料出入库明细!$E$4:$E$2003,$Z635-0)),IF($Z635&lt;=4000,IF(INDEX(周转筐出入库明细!$D$4:$D$2004,$Z635-2000)=0,"",INDEX(周转筐出入库明细!$D$4:$D$2004,$Z635-2000)),IF($Z635&lt;=5200,IF(INDEX(客户自备加工筐明细!$C$4:$C$1203,$Z635-4000)=0,"",INDEX(客户自备加工筐明细!$C$4:$C$1203,$Z635-4000)),IF($Z635&lt;=5800,IF(INDEX(次果筐明细!$D$4:$D$603,$Z635-5200)=0,"",INDEX(次果筐明细!$D$4:$D$603,$Z635-5200)),"")))))</f>
        <v/>
      </c>
      <c r="G635" s="24" t="str">
        <f>IF($Z635="","",IF($Z635&lt;=2000,IF(INDEX(包装物料出入库明细!$F$4:$F$2003,$Z635-0)=0,"",INDEX(包装物料出入库明细!$F$4:$F$2003,$Z635-0)),IF($Z635&lt;=4000,"",IF($Z635&lt;=5200,"",IF($Z635&lt;=5800,"","")))))</f>
        <v/>
      </c>
      <c r="H635" s="39" t="str">
        <f>IF($Z635="","",IF($Z635&lt;=2000,IF(INDEX(包装物料出入库明细!$L$4:$L$2003,$Z635-0)=0,"",INDEX(包装物料出入库明细!$L$4:$L$2003,$Z635-0)),IF($Z635&lt;=4000,N(INDEX(周转筐出入库明细!$H$4:$H$2004,$Z635-2000))+N(INDEX(周转筐出入库明细!$I$4:$I$2004,$Z635-2000))+N(INDEX(周转筐出入库明细!$J$4:$J$2004,$Z635-2000))+N(INDEX(周转筐出入库明细!$K$4:$K$2004,$Z635-2000)),IF($Z635&lt;=5200,N(INDEX(客户自备加工筐明细!$F$4:$F$1203,$Z635-4000))+N(INDEX(客户自备加工筐明细!$G$4:$G$1203,$Z635-4000)),IF($Z635&lt;=5800,IF(INDEX(次果筐明细!$G$4:$G$603,$Z635-5200)=0,"",INDEX(次果筐明细!$G$4:$G$603,$Z635-5200)),"")))))</f>
        <v/>
      </c>
      <c r="I635" s="24" t="str">
        <f>IF($Z635="","",IF($Z635&lt;=2000,IF(INDEX(包装物料出入库明细!$G$4:$G$2003,$Z635-0)=0,"",INDEX(包装物料出入库明细!$G$4:$G$2003,$Z635-0)),IF($Z635&lt;=4000,"个",IF($Z635&lt;=5200,"个",IF($Z635&lt;=5800,"个","")))))</f>
        <v/>
      </c>
      <c r="J635" s="30" t="str">
        <f t="shared" si="28"/>
        <v/>
      </c>
      <c r="K635" s="30" t="str">
        <f>IF($Z635="","",IF($Z635&lt;=2000,IF(INDEX(包装物料出入库明细!$N$4:$N$2003,$Z635-0)=0,"",INDEX(包装物料出入库明细!$N$4:$N$2003,$Z635-0)),IF($Z635&lt;=4000,IF(INDEX(周转筐出入库明细!$P$4:$P$2004,$Z635-2000)=0,"",INDEX(周转筐出入库明细!$P$4:$P$2004,$Z635-2000)),IF($Z635&lt;=5200,"",IF($Z635&lt;=5800,N(INDEX(次果筐明细!$L$4:$L$603,$Z635-5200))+N(INDEX(次果筐明细!$J$4:$J$603,$Z635-5200)),"")))))</f>
        <v/>
      </c>
      <c r="L635" s="24" t="str">
        <f>IF($Z635="","",IF($Z635&lt;=2000,IF(INDEX(包装物料出入库明细!$P$4:$P$2003,$Z635-0)=0,"",INDEX(包装物料出入库明细!$P$4:$P$2003,$Z635-0)),IF($Z635&lt;=4000,IF(INDEX(周转筐出入库明细!$Q$4:$Q$2004,$Z635-2000)=0,"",INDEX(周转筐出入库明细!$Q$4:$Q$2004,$Z635-2000)),IF($Z635&lt;=5200,"",IF($Z635&lt;=5800,IF(INDEX(次果筐明细!$M$4:$M$603,$Z635-5200)=0,"",INDEX(次果筐明细!$M$4:$M$603,$Z635-5200)),"")))))</f>
        <v/>
      </c>
      <c r="M635" s="37" t="str">
        <f>IF($Z635="","",IF($Z635&lt;=2000,IF(INDEX(包装物料出入库明细!$R$4:$R$2003,$Z635-0)=0,"",INDEX(包装物料出入库明细!$R$4:$R$2003,$Z635-0)),IF($Z635&lt;=4000,IF(INDEX(周转筐出入库明细!$W$4:$W$2004,$Z635-2000)=0,"",INDEX(周转筐出入库明细!$W$4:$W$2004,$Z635-2000)),IF($Z635&lt;=5200,IF(INDEX(客户自备加工筐明细!$L$4:$L$1203,$Z635-4000)=0,"",INDEX(客户自备加工筐明细!$L$4:$L$1203,$Z635-4000)),IF($Z635&lt;=5800,IF(INDEX(次果筐明细!$P$4:$P$603,$Z635-5200)=0,"",INDEX(次果筐明细!$P$4:$P$603,$Z635-5200)),"")))))</f>
        <v/>
      </c>
      <c r="N635" s="16" t="str">
        <f>IF($Z635="","",IF($Z635&lt;=2000,"",IF($Z635&lt;=4000,IF(INDEX(周转筐出入库明细!$D$4:$D$2004,$Z635-2000)=0,"",INDEX(周转筐出入库明细!$D$4:$D$2004,$Z635-2000)),IF($Z635&lt;=5200,IF(INDEX(客户自备加工筐明细!$C$4:$C$1203,$Z635-4000)=0,"",INDEX(客户自备加工筐明细!$C$4:$C$1203,$Z635-4000)),IF($Z635&lt;=5800,IF(INDEX(次果筐明细!$D$4:$D$603,$Z635-5200)=0,"",INDEX(次果筐明细!$D$4:$D$603,$Z635-5200)),"")))))</f>
        <v/>
      </c>
      <c r="O635" s="40" t="str">
        <f>IF($Z635="","",IF($Z635&lt;=2000,"",IF($Z635&lt;=4000,IF(N(INDEX(周转筐出入库明细!$J$4:$J$2004,$Z635-2000))+N(INDEX(周转筐出入库明细!$K$4:$K$2004,$Z635-2000))=0,"",N(INDEX(周转筐出入库明细!$J$4:$J$2004,$Z635-2000))+N(INDEX(周转筐出入库明细!$K$4:$K$2004,$Z635-2000))),IF($Z635&lt;=5200,IF(N(INDEX(客户自备加工筐明细!$G$4:$G$1203,$Z635-4000))=0,"",N(INDEX(客户自备加工筐明细!$G$4:$G$1203,$Z635-4000))),IF($Z635&lt;=5800,IF(ISNUMBER(SEARCH("退",INDEX(次果筐明细!$F$4:$F$603,$Z635-5200)&amp;"")),"",IF(N(INDEX(次果筐明细!$G$4:$G$603,$Z635-5200))=0,"",N(INDEX(次果筐明细!$G$4:$G$603,$Z635-5200)))),"")))))</f>
        <v/>
      </c>
      <c r="P635" s="40" t="str">
        <f>IF($Z635="","",IF($Z635&lt;=2000,"",IF($Z635&lt;=4000,IF(N(INDEX(周转筐出入库明细!$I$4:$I$2004,$Z635-2000))=0,"",N(INDEX(周转筐出入库明细!$I$4:$I$2004,$Z635-2000))),IF($Z635&lt;=5200,"",IF($Z635&lt;=5800,IF(ISNUMBER(SEARCH("退",INDEX(次果筐明细!$F$4:$F$603,$Z635-5200)&amp;"")),IF(N(INDEX(次果筐明细!$G$4:$G$603,$Z635-5200))=0,"",N(INDEX(次果筐明细!$G$4:$G$603,$Z635-5200))),""),"")))))</f>
        <v/>
      </c>
      <c r="Q635" s="40" t="str">
        <f>IF($Z635="","",IF($Z635&lt;=2000,"",IF($Z635&lt;=4000,IF(N(INDEX(周转筐出入库明细!$H$4:$H$2004,$Z635-2000))=0,"",N(INDEX(周转筐出入库明细!$H$4:$H$2004,$Z635-2000))),IF($Z635&lt;=5200,IF(N(INDEX(客户自备加工筐明细!$F$4:$F$1203,$Z635-4000))=0,"",N(INDEX(客户自备加工筐明细!$F$4:$F$1203,$Z635-4000))),IF($Z635&lt;=5800,"","")))))</f>
        <v/>
      </c>
      <c r="R635" s="16" t="str">
        <f>IF($Z635="","",IF($Z635&lt;=2000,IF(INDEX(包装物料出入库明细!$O$4:$O$2003,$Z635-0)=0,"",INDEX(包装物料出入库明细!$O$4:$O$2003,$Z635-0)),IF($Z635&lt;=4000,IF(INDEX(周转筐出入库明细!$M$4:$M$2004,$Z635-2000)=0,"",INDEX(周转筐出入库明细!$M$4:$M$2004,$Z635-2000)),IF($Z635&lt;=5200,IF(INDEX(客户自备加工筐明细!$H$4:$H$1203,$Z635-4000)=0,"",INDEX(客户自备加工筐明细!$H$4:$H$1203,$Z635-4000)),IF($Z635&lt;=5800,IF(INDEX(次果筐明细!$H$4:$H$603,$Z635-5200)=0,"",INDEX(次果筐明细!$H$4:$H$603,$Z635-5200)),"")))))</f>
        <v/>
      </c>
      <c r="S635" s="22" t="str">
        <f t="shared" si="29"/>
        <v/>
      </c>
      <c r="Z635" s="10" t="str">
        <f>IFERROR(MATCH(ROW()-3,_自动清单!$CQ$4:$CQ$5803,0),"")</f>
        <v/>
      </c>
    </row>
    <row r="636" spans="1:26">
      <c r="A636" s="24" t="str">
        <f t="shared" si="27"/>
        <v/>
      </c>
      <c r="B636" s="38" t="str">
        <f>IF($Z636="","",IF($Z636&lt;=2000,IF(INDEX(包装物料出入库明细!$B$4:$B$2003,$Z636-0)=0,"",INDEX(包装物料出入库明细!$B$4:$B$2003,$Z636-0)),IF($Z636&lt;=4000,IF(INDEX(周转筐出入库明细!$B$4:$B$2004,$Z636-2000)=0,"",INDEX(周转筐出入库明细!$B$4:$B$2004,$Z636-2000)),IF($Z636&lt;=5200,IF(INDEX(客户自备加工筐明细!$B$4:$B$1203,$Z636-4000)=0,"",INDEX(客户自备加工筐明细!$B$4:$B$1203,$Z636-4000)),IF($Z636&lt;=5800,IF(INDEX(次果筐明细!$B$4:$B$603,$Z636-5200)=0,"",INDEX(次果筐明细!$B$4:$B$603,$Z636-5200)),"")))))</f>
        <v/>
      </c>
      <c r="C636" s="37" t="str">
        <f>IF($Z636="","",IF($Z636&lt;=2000,IF(INDEX(包装物料出入库明细!$D$4:$D$2003,$Z636-0)=0,"",INDEX(包装物料出入库明细!$D$4:$D$2003,$Z636-0)),IF($Z636&lt;=4000,IF(INDEX(周转筐出入库明细!$C$4:$C$2004,$Z636-2000)=0,"",INDEX(周转筐出入库明细!$C$4:$C$2004,$Z636-2000)),IF($Z636&lt;=5200,IF(INDEX(客户自备加工筐明细!$E$4:$E$1203,$Z636-4000)=0,"",INDEX(客户自备加工筐明细!$E$4:$E$1203,$Z636-4000)),IF($Z636&lt;=5800,IF(INDEX(次果筐明细!$C$4:$C$603,$Z636-5200)=0,"",INDEX(次果筐明细!$C$4:$C$603,$Z636-5200)),"")))))</f>
        <v/>
      </c>
      <c r="D636" s="37" t="str">
        <f>IF($Z636="","",IF($Z636&lt;=2000,"包装物料－"&amp;INDEX(包装物料出入库明细!$H$4:$H$2003,$Z636-0),IF($Z636&lt;=4000,"周转筐－"&amp;INDEX(周转筐出入库明细!$F$4:$F$2004,$Z636-2000),IF($Z636&lt;=5200,"客户自备筐－"&amp;INDEX(客户自备加工筐明细!$J$4:$J$1203,$Z636-4000),IF($Z636&lt;=5800,"次果筐/托盘－"&amp;INDEX(次果筐明细!$F$4:$F$603,$Z636-5200),"")))))</f>
        <v/>
      </c>
      <c r="E636" s="24" t="str">
        <f>IF($Z636="","",IF($Z636&lt;=2000,IF(INDEX(包装物料出入库明细!$C$4:$C$2003,$Z636-0)=0,"",INDEX(包装物料出入库明细!$C$4:$C$2003,$Z636-0)),IF($Z636&lt;=4000,IF(INDEX(周转筐出入库明细!$E$4:$E$2004,$Z636-2000)=0,"",INDEX(周转筐出入库明细!$E$4:$E$2004,$Z636-2000)),IF($Z636&lt;=5200,IF(INDEX(客户自备加工筐明细!$D$4:$D$1203,$Z636-4000)=0,"",INDEX(客户自备加工筐明细!$D$4:$D$1203,$Z636-4000)),IF($Z636&lt;=5800,IF(INDEX(次果筐明细!$E$4:$E$603,$Z636-5200)=0,"",INDEX(次果筐明细!$E$4:$E$603,$Z636-5200)),"")))))</f>
        <v/>
      </c>
      <c r="F636" s="24" t="str">
        <f>IF($Z636="","",IF($Z636&lt;=2000,IF(INDEX(包装物料出入库明细!$E$4:$E$2003,$Z636-0)=0,"",INDEX(包装物料出入库明细!$E$4:$E$2003,$Z636-0)),IF($Z636&lt;=4000,IF(INDEX(周转筐出入库明细!$D$4:$D$2004,$Z636-2000)=0,"",INDEX(周转筐出入库明细!$D$4:$D$2004,$Z636-2000)),IF($Z636&lt;=5200,IF(INDEX(客户自备加工筐明细!$C$4:$C$1203,$Z636-4000)=0,"",INDEX(客户自备加工筐明细!$C$4:$C$1203,$Z636-4000)),IF($Z636&lt;=5800,IF(INDEX(次果筐明细!$D$4:$D$603,$Z636-5200)=0,"",INDEX(次果筐明细!$D$4:$D$603,$Z636-5200)),"")))))</f>
        <v/>
      </c>
      <c r="G636" s="24" t="str">
        <f>IF($Z636="","",IF($Z636&lt;=2000,IF(INDEX(包装物料出入库明细!$F$4:$F$2003,$Z636-0)=0,"",INDEX(包装物料出入库明细!$F$4:$F$2003,$Z636-0)),IF($Z636&lt;=4000,"",IF($Z636&lt;=5200,"",IF($Z636&lt;=5800,"","")))))</f>
        <v/>
      </c>
      <c r="H636" s="39" t="str">
        <f>IF($Z636="","",IF($Z636&lt;=2000,IF(INDEX(包装物料出入库明细!$L$4:$L$2003,$Z636-0)=0,"",INDEX(包装物料出入库明细!$L$4:$L$2003,$Z636-0)),IF($Z636&lt;=4000,N(INDEX(周转筐出入库明细!$H$4:$H$2004,$Z636-2000))+N(INDEX(周转筐出入库明细!$I$4:$I$2004,$Z636-2000))+N(INDEX(周转筐出入库明细!$J$4:$J$2004,$Z636-2000))+N(INDEX(周转筐出入库明细!$K$4:$K$2004,$Z636-2000)),IF($Z636&lt;=5200,N(INDEX(客户自备加工筐明细!$F$4:$F$1203,$Z636-4000))+N(INDEX(客户自备加工筐明细!$G$4:$G$1203,$Z636-4000)),IF($Z636&lt;=5800,IF(INDEX(次果筐明细!$G$4:$G$603,$Z636-5200)=0,"",INDEX(次果筐明细!$G$4:$G$603,$Z636-5200)),"")))))</f>
        <v/>
      </c>
      <c r="I636" s="24" t="str">
        <f>IF($Z636="","",IF($Z636&lt;=2000,IF(INDEX(包装物料出入库明细!$G$4:$G$2003,$Z636-0)=0,"",INDEX(包装物料出入库明细!$G$4:$G$2003,$Z636-0)),IF($Z636&lt;=4000,"个",IF($Z636&lt;=5200,"个",IF($Z636&lt;=5800,"个","")))))</f>
        <v/>
      </c>
      <c r="J636" s="30" t="str">
        <f t="shared" si="28"/>
        <v/>
      </c>
      <c r="K636" s="30" t="str">
        <f>IF($Z636="","",IF($Z636&lt;=2000,IF(INDEX(包装物料出入库明细!$N$4:$N$2003,$Z636-0)=0,"",INDEX(包装物料出入库明细!$N$4:$N$2003,$Z636-0)),IF($Z636&lt;=4000,IF(INDEX(周转筐出入库明细!$P$4:$P$2004,$Z636-2000)=0,"",INDEX(周转筐出入库明细!$P$4:$P$2004,$Z636-2000)),IF($Z636&lt;=5200,"",IF($Z636&lt;=5800,N(INDEX(次果筐明细!$L$4:$L$603,$Z636-5200))+N(INDEX(次果筐明细!$J$4:$J$603,$Z636-5200)),"")))))</f>
        <v/>
      </c>
      <c r="L636" s="24" t="str">
        <f>IF($Z636="","",IF($Z636&lt;=2000,IF(INDEX(包装物料出入库明细!$P$4:$P$2003,$Z636-0)=0,"",INDEX(包装物料出入库明细!$P$4:$P$2003,$Z636-0)),IF($Z636&lt;=4000,IF(INDEX(周转筐出入库明细!$Q$4:$Q$2004,$Z636-2000)=0,"",INDEX(周转筐出入库明细!$Q$4:$Q$2004,$Z636-2000)),IF($Z636&lt;=5200,"",IF($Z636&lt;=5800,IF(INDEX(次果筐明细!$M$4:$M$603,$Z636-5200)=0,"",INDEX(次果筐明细!$M$4:$M$603,$Z636-5200)),"")))))</f>
        <v/>
      </c>
      <c r="M636" s="37" t="str">
        <f>IF($Z636="","",IF($Z636&lt;=2000,IF(INDEX(包装物料出入库明细!$R$4:$R$2003,$Z636-0)=0,"",INDEX(包装物料出入库明细!$R$4:$R$2003,$Z636-0)),IF($Z636&lt;=4000,IF(INDEX(周转筐出入库明细!$W$4:$W$2004,$Z636-2000)=0,"",INDEX(周转筐出入库明细!$W$4:$W$2004,$Z636-2000)),IF($Z636&lt;=5200,IF(INDEX(客户自备加工筐明细!$L$4:$L$1203,$Z636-4000)=0,"",INDEX(客户自备加工筐明细!$L$4:$L$1203,$Z636-4000)),IF($Z636&lt;=5800,IF(INDEX(次果筐明细!$P$4:$P$603,$Z636-5200)=0,"",INDEX(次果筐明细!$P$4:$P$603,$Z636-5200)),"")))))</f>
        <v/>
      </c>
      <c r="N636" s="16" t="str">
        <f>IF($Z636="","",IF($Z636&lt;=2000,"",IF($Z636&lt;=4000,IF(INDEX(周转筐出入库明细!$D$4:$D$2004,$Z636-2000)=0,"",INDEX(周转筐出入库明细!$D$4:$D$2004,$Z636-2000)),IF($Z636&lt;=5200,IF(INDEX(客户自备加工筐明细!$C$4:$C$1203,$Z636-4000)=0,"",INDEX(客户自备加工筐明细!$C$4:$C$1203,$Z636-4000)),IF($Z636&lt;=5800,IF(INDEX(次果筐明细!$D$4:$D$603,$Z636-5200)=0,"",INDEX(次果筐明细!$D$4:$D$603,$Z636-5200)),"")))))</f>
        <v/>
      </c>
      <c r="O636" s="40" t="str">
        <f>IF($Z636="","",IF($Z636&lt;=2000,"",IF($Z636&lt;=4000,IF(N(INDEX(周转筐出入库明细!$J$4:$J$2004,$Z636-2000))+N(INDEX(周转筐出入库明细!$K$4:$K$2004,$Z636-2000))=0,"",N(INDEX(周转筐出入库明细!$J$4:$J$2004,$Z636-2000))+N(INDEX(周转筐出入库明细!$K$4:$K$2004,$Z636-2000))),IF($Z636&lt;=5200,IF(N(INDEX(客户自备加工筐明细!$G$4:$G$1203,$Z636-4000))=0,"",N(INDEX(客户自备加工筐明细!$G$4:$G$1203,$Z636-4000))),IF($Z636&lt;=5800,IF(ISNUMBER(SEARCH("退",INDEX(次果筐明细!$F$4:$F$603,$Z636-5200)&amp;"")),"",IF(N(INDEX(次果筐明细!$G$4:$G$603,$Z636-5200))=0,"",N(INDEX(次果筐明细!$G$4:$G$603,$Z636-5200)))),"")))))</f>
        <v/>
      </c>
      <c r="P636" s="40" t="str">
        <f>IF($Z636="","",IF($Z636&lt;=2000,"",IF($Z636&lt;=4000,IF(N(INDEX(周转筐出入库明细!$I$4:$I$2004,$Z636-2000))=0,"",N(INDEX(周转筐出入库明细!$I$4:$I$2004,$Z636-2000))),IF($Z636&lt;=5200,"",IF($Z636&lt;=5800,IF(ISNUMBER(SEARCH("退",INDEX(次果筐明细!$F$4:$F$603,$Z636-5200)&amp;"")),IF(N(INDEX(次果筐明细!$G$4:$G$603,$Z636-5200))=0,"",N(INDEX(次果筐明细!$G$4:$G$603,$Z636-5200))),""),"")))))</f>
        <v/>
      </c>
      <c r="Q636" s="40" t="str">
        <f>IF($Z636="","",IF($Z636&lt;=2000,"",IF($Z636&lt;=4000,IF(N(INDEX(周转筐出入库明细!$H$4:$H$2004,$Z636-2000))=0,"",N(INDEX(周转筐出入库明细!$H$4:$H$2004,$Z636-2000))),IF($Z636&lt;=5200,IF(N(INDEX(客户自备加工筐明细!$F$4:$F$1203,$Z636-4000))=0,"",N(INDEX(客户自备加工筐明细!$F$4:$F$1203,$Z636-4000))),IF($Z636&lt;=5800,"","")))))</f>
        <v/>
      </c>
      <c r="R636" s="16" t="str">
        <f>IF($Z636="","",IF($Z636&lt;=2000,IF(INDEX(包装物料出入库明细!$O$4:$O$2003,$Z636-0)=0,"",INDEX(包装物料出入库明细!$O$4:$O$2003,$Z636-0)),IF($Z636&lt;=4000,IF(INDEX(周转筐出入库明细!$M$4:$M$2004,$Z636-2000)=0,"",INDEX(周转筐出入库明细!$M$4:$M$2004,$Z636-2000)),IF($Z636&lt;=5200,IF(INDEX(客户自备加工筐明细!$H$4:$H$1203,$Z636-4000)=0,"",INDEX(客户自备加工筐明细!$H$4:$H$1203,$Z636-4000)),IF($Z636&lt;=5800,IF(INDEX(次果筐明细!$H$4:$H$603,$Z636-5200)=0,"",INDEX(次果筐明细!$H$4:$H$603,$Z636-5200)),"")))))</f>
        <v/>
      </c>
      <c r="S636" s="22" t="str">
        <f t="shared" si="29"/>
        <v/>
      </c>
      <c r="Z636" s="10" t="str">
        <f>IFERROR(MATCH(ROW()-3,_自动清单!$CQ$4:$CQ$5803,0),"")</f>
        <v/>
      </c>
    </row>
    <row r="637" spans="1:26">
      <c r="A637" s="24" t="str">
        <f t="shared" si="27"/>
        <v/>
      </c>
      <c r="B637" s="38" t="str">
        <f>IF($Z637="","",IF($Z637&lt;=2000,IF(INDEX(包装物料出入库明细!$B$4:$B$2003,$Z637-0)=0,"",INDEX(包装物料出入库明细!$B$4:$B$2003,$Z637-0)),IF($Z637&lt;=4000,IF(INDEX(周转筐出入库明细!$B$4:$B$2004,$Z637-2000)=0,"",INDEX(周转筐出入库明细!$B$4:$B$2004,$Z637-2000)),IF($Z637&lt;=5200,IF(INDEX(客户自备加工筐明细!$B$4:$B$1203,$Z637-4000)=0,"",INDEX(客户自备加工筐明细!$B$4:$B$1203,$Z637-4000)),IF($Z637&lt;=5800,IF(INDEX(次果筐明细!$B$4:$B$603,$Z637-5200)=0,"",INDEX(次果筐明细!$B$4:$B$603,$Z637-5200)),"")))))</f>
        <v/>
      </c>
      <c r="C637" s="37" t="str">
        <f>IF($Z637="","",IF($Z637&lt;=2000,IF(INDEX(包装物料出入库明细!$D$4:$D$2003,$Z637-0)=0,"",INDEX(包装物料出入库明细!$D$4:$D$2003,$Z637-0)),IF($Z637&lt;=4000,IF(INDEX(周转筐出入库明细!$C$4:$C$2004,$Z637-2000)=0,"",INDEX(周转筐出入库明细!$C$4:$C$2004,$Z637-2000)),IF($Z637&lt;=5200,IF(INDEX(客户自备加工筐明细!$E$4:$E$1203,$Z637-4000)=0,"",INDEX(客户自备加工筐明细!$E$4:$E$1203,$Z637-4000)),IF($Z637&lt;=5800,IF(INDEX(次果筐明细!$C$4:$C$603,$Z637-5200)=0,"",INDEX(次果筐明细!$C$4:$C$603,$Z637-5200)),"")))))</f>
        <v/>
      </c>
      <c r="D637" s="37" t="str">
        <f>IF($Z637="","",IF($Z637&lt;=2000,"包装物料－"&amp;INDEX(包装物料出入库明细!$H$4:$H$2003,$Z637-0),IF($Z637&lt;=4000,"周转筐－"&amp;INDEX(周转筐出入库明细!$F$4:$F$2004,$Z637-2000),IF($Z637&lt;=5200,"客户自备筐－"&amp;INDEX(客户自备加工筐明细!$J$4:$J$1203,$Z637-4000),IF($Z637&lt;=5800,"次果筐/托盘－"&amp;INDEX(次果筐明细!$F$4:$F$603,$Z637-5200),"")))))</f>
        <v/>
      </c>
      <c r="E637" s="24" t="str">
        <f>IF($Z637="","",IF($Z637&lt;=2000,IF(INDEX(包装物料出入库明细!$C$4:$C$2003,$Z637-0)=0,"",INDEX(包装物料出入库明细!$C$4:$C$2003,$Z637-0)),IF($Z637&lt;=4000,IF(INDEX(周转筐出入库明细!$E$4:$E$2004,$Z637-2000)=0,"",INDEX(周转筐出入库明细!$E$4:$E$2004,$Z637-2000)),IF($Z637&lt;=5200,IF(INDEX(客户自备加工筐明细!$D$4:$D$1203,$Z637-4000)=0,"",INDEX(客户自备加工筐明细!$D$4:$D$1203,$Z637-4000)),IF($Z637&lt;=5800,IF(INDEX(次果筐明细!$E$4:$E$603,$Z637-5200)=0,"",INDEX(次果筐明细!$E$4:$E$603,$Z637-5200)),"")))))</f>
        <v/>
      </c>
      <c r="F637" s="24" t="str">
        <f>IF($Z637="","",IF($Z637&lt;=2000,IF(INDEX(包装物料出入库明细!$E$4:$E$2003,$Z637-0)=0,"",INDEX(包装物料出入库明细!$E$4:$E$2003,$Z637-0)),IF($Z637&lt;=4000,IF(INDEX(周转筐出入库明细!$D$4:$D$2004,$Z637-2000)=0,"",INDEX(周转筐出入库明细!$D$4:$D$2004,$Z637-2000)),IF($Z637&lt;=5200,IF(INDEX(客户自备加工筐明细!$C$4:$C$1203,$Z637-4000)=0,"",INDEX(客户自备加工筐明细!$C$4:$C$1203,$Z637-4000)),IF($Z637&lt;=5800,IF(INDEX(次果筐明细!$D$4:$D$603,$Z637-5200)=0,"",INDEX(次果筐明细!$D$4:$D$603,$Z637-5200)),"")))))</f>
        <v/>
      </c>
      <c r="G637" s="24" t="str">
        <f>IF($Z637="","",IF($Z637&lt;=2000,IF(INDEX(包装物料出入库明细!$F$4:$F$2003,$Z637-0)=0,"",INDEX(包装物料出入库明细!$F$4:$F$2003,$Z637-0)),IF($Z637&lt;=4000,"",IF($Z637&lt;=5200,"",IF($Z637&lt;=5800,"","")))))</f>
        <v/>
      </c>
      <c r="H637" s="39" t="str">
        <f>IF($Z637="","",IF($Z637&lt;=2000,IF(INDEX(包装物料出入库明细!$L$4:$L$2003,$Z637-0)=0,"",INDEX(包装物料出入库明细!$L$4:$L$2003,$Z637-0)),IF($Z637&lt;=4000,N(INDEX(周转筐出入库明细!$H$4:$H$2004,$Z637-2000))+N(INDEX(周转筐出入库明细!$I$4:$I$2004,$Z637-2000))+N(INDEX(周转筐出入库明细!$J$4:$J$2004,$Z637-2000))+N(INDEX(周转筐出入库明细!$K$4:$K$2004,$Z637-2000)),IF($Z637&lt;=5200,N(INDEX(客户自备加工筐明细!$F$4:$F$1203,$Z637-4000))+N(INDEX(客户自备加工筐明细!$G$4:$G$1203,$Z637-4000)),IF($Z637&lt;=5800,IF(INDEX(次果筐明细!$G$4:$G$603,$Z637-5200)=0,"",INDEX(次果筐明细!$G$4:$G$603,$Z637-5200)),"")))))</f>
        <v/>
      </c>
      <c r="I637" s="24" t="str">
        <f>IF($Z637="","",IF($Z637&lt;=2000,IF(INDEX(包装物料出入库明细!$G$4:$G$2003,$Z637-0)=0,"",INDEX(包装物料出入库明细!$G$4:$G$2003,$Z637-0)),IF($Z637&lt;=4000,"个",IF($Z637&lt;=5200,"个",IF($Z637&lt;=5800,"个","")))))</f>
        <v/>
      </c>
      <c r="J637" s="30" t="str">
        <f t="shared" si="28"/>
        <v/>
      </c>
      <c r="K637" s="30" t="str">
        <f>IF($Z637="","",IF($Z637&lt;=2000,IF(INDEX(包装物料出入库明细!$N$4:$N$2003,$Z637-0)=0,"",INDEX(包装物料出入库明细!$N$4:$N$2003,$Z637-0)),IF($Z637&lt;=4000,IF(INDEX(周转筐出入库明细!$P$4:$P$2004,$Z637-2000)=0,"",INDEX(周转筐出入库明细!$P$4:$P$2004,$Z637-2000)),IF($Z637&lt;=5200,"",IF($Z637&lt;=5800,N(INDEX(次果筐明细!$L$4:$L$603,$Z637-5200))+N(INDEX(次果筐明细!$J$4:$J$603,$Z637-5200)),"")))))</f>
        <v/>
      </c>
      <c r="L637" s="24" t="str">
        <f>IF($Z637="","",IF($Z637&lt;=2000,IF(INDEX(包装物料出入库明细!$P$4:$P$2003,$Z637-0)=0,"",INDEX(包装物料出入库明细!$P$4:$P$2003,$Z637-0)),IF($Z637&lt;=4000,IF(INDEX(周转筐出入库明细!$Q$4:$Q$2004,$Z637-2000)=0,"",INDEX(周转筐出入库明细!$Q$4:$Q$2004,$Z637-2000)),IF($Z637&lt;=5200,"",IF($Z637&lt;=5800,IF(INDEX(次果筐明细!$M$4:$M$603,$Z637-5200)=0,"",INDEX(次果筐明细!$M$4:$M$603,$Z637-5200)),"")))))</f>
        <v/>
      </c>
      <c r="M637" s="37" t="str">
        <f>IF($Z637="","",IF($Z637&lt;=2000,IF(INDEX(包装物料出入库明细!$R$4:$R$2003,$Z637-0)=0,"",INDEX(包装物料出入库明细!$R$4:$R$2003,$Z637-0)),IF($Z637&lt;=4000,IF(INDEX(周转筐出入库明细!$W$4:$W$2004,$Z637-2000)=0,"",INDEX(周转筐出入库明细!$W$4:$W$2004,$Z637-2000)),IF($Z637&lt;=5200,IF(INDEX(客户自备加工筐明细!$L$4:$L$1203,$Z637-4000)=0,"",INDEX(客户自备加工筐明细!$L$4:$L$1203,$Z637-4000)),IF($Z637&lt;=5800,IF(INDEX(次果筐明细!$P$4:$P$603,$Z637-5200)=0,"",INDEX(次果筐明细!$P$4:$P$603,$Z637-5200)),"")))))</f>
        <v/>
      </c>
      <c r="N637" s="16" t="str">
        <f>IF($Z637="","",IF($Z637&lt;=2000,"",IF($Z637&lt;=4000,IF(INDEX(周转筐出入库明细!$D$4:$D$2004,$Z637-2000)=0,"",INDEX(周转筐出入库明细!$D$4:$D$2004,$Z637-2000)),IF($Z637&lt;=5200,IF(INDEX(客户自备加工筐明细!$C$4:$C$1203,$Z637-4000)=0,"",INDEX(客户自备加工筐明细!$C$4:$C$1203,$Z637-4000)),IF($Z637&lt;=5800,IF(INDEX(次果筐明细!$D$4:$D$603,$Z637-5200)=0,"",INDEX(次果筐明细!$D$4:$D$603,$Z637-5200)),"")))))</f>
        <v/>
      </c>
      <c r="O637" s="40" t="str">
        <f>IF($Z637="","",IF($Z637&lt;=2000,"",IF($Z637&lt;=4000,IF(N(INDEX(周转筐出入库明细!$J$4:$J$2004,$Z637-2000))+N(INDEX(周转筐出入库明细!$K$4:$K$2004,$Z637-2000))=0,"",N(INDEX(周转筐出入库明细!$J$4:$J$2004,$Z637-2000))+N(INDEX(周转筐出入库明细!$K$4:$K$2004,$Z637-2000))),IF($Z637&lt;=5200,IF(N(INDEX(客户自备加工筐明细!$G$4:$G$1203,$Z637-4000))=0,"",N(INDEX(客户自备加工筐明细!$G$4:$G$1203,$Z637-4000))),IF($Z637&lt;=5800,IF(ISNUMBER(SEARCH("退",INDEX(次果筐明细!$F$4:$F$603,$Z637-5200)&amp;"")),"",IF(N(INDEX(次果筐明细!$G$4:$G$603,$Z637-5200))=0,"",N(INDEX(次果筐明细!$G$4:$G$603,$Z637-5200)))),"")))))</f>
        <v/>
      </c>
      <c r="P637" s="40" t="str">
        <f>IF($Z637="","",IF($Z637&lt;=2000,"",IF($Z637&lt;=4000,IF(N(INDEX(周转筐出入库明细!$I$4:$I$2004,$Z637-2000))=0,"",N(INDEX(周转筐出入库明细!$I$4:$I$2004,$Z637-2000))),IF($Z637&lt;=5200,"",IF($Z637&lt;=5800,IF(ISNUMBER(SEARCH("退",INDEX(次果筐明细!$F$4:$F$603,$Z637-5200)&amp;"")),IF(N(INDEX(次果筐明细!$G$4:$G$603,$Z637-5200))=0,"",N(INDEX(次果筐明细!$G$4:$G$603,$Z637-5200))),""),"")))))</f>
        <v/>
      </c>
      <c r="Q637" s="40" t="str">
        <f>IF($Z637="","",IF($Z637&lt;=2000,"",IF($Z637&lt;=4000,IF(N(INDEX(周转筐出入库明细!$H$4:$H$2004,$Z637-2000))=0,"",N(INDEX(周转筐出入库明细!$H$4:$H$2004,$Z637-2000))),IF($Z637&lt;=5200,IF(N(INDEX(客户自备加工筐明细!$F$4:$F$1203,$Z637-4000))=0,"",N(INDEX(客户自备加工筐明细!$F$4:$F$1203,$Z637-4000))),IF($Z637&lt;=5800,"","")))))</f>
        <v/>
      </c>
      <c r="R637" s="16" t="str">
        <f>IF($Z637="","",IF($Z637&lt;=2000,IF(INDEX(包装物料出入库明细!$O$4:$O$2003,$Z637-0)=0,"",INDEX(包装物料出入库明细!$O$4:$O$2003,$Z637-0)),IF($Z637&lt;=4000,IF(INDEX(周转筐出入库明细!$M$4:$M$2004,$Z637-2000)=0,"",INDEX(周转筐出入库明细!$M$4:$M$2004,$Z637-2000)),IF($Z637&lt;=5200,IF(INDEX(客户自备加工筐明细!$H$4:$H$1203,$Z637-4000)=0,"",INDEX(客户自备加工筐明细!$H$4:$H$1203,$Z637-4000)),IF($Z637&lt;=5800,IF(INDEX(次果筐明细!$H$4:$H$603,$Z637-5200)=0,"",INDEX(次果筐明细!$H$4:$H$603,$Z637-5200)),"")))))</f>
        <v/>
      </c>
      <c r="S637" s="22" t="str">
        <f t="shared" si="29"/>
        <v/>
      </c>
      <c r="Z637" s="10" t="str">
        <f>IFERROR(MATCH(ROW()-3,_自动清单!$CQ$4:$CQ$5803,0),"")</f>
        <v/>
      </c>
    </row>
    <row r="638" spans="1:26">
      <c r="A638" s="24" t="str">
        <f t="shared" si="27"/>
        <v/>
      </c>
      <c r="B638" s="38" t="str">
        <f>IF($Z638="","",IF($Z638&lt;=2000,IF(INDEX(包装物料出入库明细!$B$4:$B$2003,$Z638-0)=0,"",INDEX(包装物料出入库明细!$B$4:$B$2003,$Z638-0)),IF($Z638&lt;=4000,IF(INDEX(周转筐出入库明细!$B$4:$B$2004,$Z638-2000)=0,"",INDEX(周转筐出入库明细!$B$4:$B$2004,$Z638-2000)),IF($Z638&lt;=5200,IF(INDEX(客户自备加工筐明细!$B$4:$B$1203,$Z638-4000)=0,"",INDEX(客户自备加工筐明细!$B$4:$B$1203,$Z638-4000)),IF($Z638&lt;=5800,IF(INDEX(次果筐明细!$B$4:$B$603,$Z638-5200)=0,"",INDEX(次果筐明细!$B$4:$B$603,$Z638-5200)),"")))))</f>
        <v/>
      </c>
      <c r="C638" s="37" t="str">
        <f>IF($Z638="","",IF($Z638&lt;=2000,IF(INDEX(包装物料出入库明细!$D$4:$D$2003,$Z638-0)=0,"",INDEX(包装物料出入库明细!$D$4:$D$2003,$Z638-0)),IF($Z638&lt;=4000,IF(INDEX(周转筐出入库明细!$C$4:$C$2004,$Z638-2000)=0,"",INDEX(周转筐出入库明细!$C$4:$C$2004,$Z638-2000)),IF($Z638&lt;=5200,IF(INDEX(客户自备加工筐明细!$E$4:$E$1203,$Z638-4000)=0,"",INDEX(客户自备加工筐明细!$E$4:$E$1203,$Z638-4000)),IF($Z638&lt;=5800,IF(INDEX(次果筐明细!$C$4:$C$603,$Z638-5200)=0,"",INDEX(次果筐明细!$C$4:$C$603,$Z638-5200)),"")))))</f>
        <v/>
      </c>
      <c r="D638" s="37" t="str">
        <f>IF($Z638="","",IF($Z638&lt;=2000,"包装物料－"&amp;INDEX(包装物料出入库明细!$H$4:$H$2003,$Z638-0),IF($Z638&lt;=4000,"周转筐－"&amp;INDEX(周转筐出入库明细!$F$4:$F$2004,$Z638-2000),IF($Z638&lt;=5200,"客户自备筐－"&amp;INDEX(客户自备加工筐明细!$J$4:$J$1203,$Z638-4000),IF($Z638&lt;=5800,"次果筐/托盘－"&amp;INDEX(次果筐明细!$F$4:$F$603,$Z638-5200),"")))))</f>
        <v/>
      </c>
      <c r="E638" s="24" t="str">
        <f>IF($Z638="","",IF($Z638&lt;=2000,IF(INDEX(包装物料出入库明细!$C$4:$C$2003,$Z638-0)=0,"",INDEX(包装物料出入库明细!$C$4:$C$2003,$Z638-0)),IF($Z638&lt;=4000,IF(INDEX(周转筐出入库明细!$E$4:$E$2004,$Z638-2000)=0,"",INDEX(周转筐出入库明细!$E$4:$E$2004,$Z638-2000)),IF($Z638&lt;=5200,IF(INDEX(客户自备加工筐明细!$D$4:$D$1203,$Z638-4000)=0,"",INDEX(客户自备加工筐明细!$D$4:$D$1203,$Z638-4000)),IF($Z638&lt;=5800,IF(INDEX(次果筐明细!$E$4:$E$603,$Z638-5200)=0,"",INDEX(次果筐明细!$E$4:$E$603,$Z638-5200)),"")))))</f>
        <v/>
      </c>
      <c r="F638" s="24" t="str">
        <f>IF($Z638="","",IF($Z638&lt;=2000,IF(INDEX(包装物料出入库明细!$E$4:$E$2003,$Z638-0)=0,"",INDEX(包装物料出入库明细!$E$4:$E$2003,$Z638-0)),IF($Z638&lt;=4000,IF(INDEX(周转筐出入库明细!$D$4:$D$2004,$Z638-2000)=0,"",INDEX(周转筐出入库明细!$D$4:$D$2004,$Z638-2000)),IF($Z638&lt;=5200,IF(INDEX(客户自备加工筐明细!$C$4:$C$1203,$Z638-4000)=0,"",INDEX(客户自备加工筐明细!$C$4:$C$1203,$Z638-4000)),IF($Z638&lt;=5800,IF(INDEX(次果筐明细!$D$4:$D$603,$Z638-5200)=0,"",INDEX(次果筐明细!$D$4:$D$603,$Z638-5200)),"")))))</f>
        <v/>
      </c>
      <c r="G638" s="24" t="str">
        <f>IF($Z638="","",IF($Z638&lt;=2000,IF(INDEX(包装物料出入库明细!$F$4:$F$2003,$Z638-0)=0,"",INDEX(包装物料出入库明细!$F$4:$F$2003,$Z638-0)),IF($Z638&lt;=4000,"",IF($Z638&lt;=5200,"",IF($Z638&lt;=5800,"","")))))</f>
        <v/>
      </c>
      <c r="H638" s="39" t="str">
        <f>IF($Z638="","",IF($Z638&lt;=2000,IF(INDEX(包装物料出入库明细!$L$4:$L$2003,$Z638-0)=0,"",INDEX(包装物料出入库明细!$L$4:$L$2003,$Z638-0)),IF($Z638&lt;=4000,N(INDEX(周转筐出入库明细!$H$4:$H$2004,$Z638-2000))+N(INDEX(周转筐出入库明细!$I$4:$I$2004,$Z638-2000))+N(INDEX(周转筐出入库明细!$J$4:$J$2004,$Z638-2000))+N(INDEX(周转筐出入库明细!$K$4:$K$2004,$Z638-2000)),IF($Z638&lt;=5200,N(INDEX(客户自备加工筐明细!$F$4:$F$1203,$Z638-4000))+N(INDEX(客户自备加工筐明细!$G$4:$G$1203,$Z638-4000)),IF($Z638&lt;=5800,IF(INDEX(次果筐明细!$G$4:$G$603,$Z638-5200)=0,"",INDEX(次果筐明细!$G$4:$G$603,$Z638-5200)),"")))))</f>
        <v/>
      </c>
      <c r="I638" s="24" t="str">
        <f>IF($Z638="","",IF($Z638&lt;=2000,IF(INDEX(包装物料出入库明细!$G$4:$G$2003,$Z638-0)=0,"",INDEX(包装物料出入库明细!$G$4:$G$2003,$Z638-0)),IF($Z638&lt;=4000,"个",IF($Z638&lt;=5200,"个",IF($Z638&lt;=5800,"个","")))))</f>
        <v/>
      </c>
      <c r="J638" s="30" t="str">
        <f t="shared" si="28"/>
        <v/>
      </c>
      <c r="K638" s="30" t="str">
        <f>IF($Z638="","",IF($Z638&lt;=2000,IF(INDEX(包装物料出入库明细!$N$4:$N$2003,$Z638-0)=0,"",INDEX(包装物料出入库明细!$N$4:$N$2003,$Z638-0)),IF($Z638&lt;=4000,IF(INDEX(周转筐出入库明细!$P$4:$P$2004,$Z638-2000)=0,"",INDEX(周转筐出入库明细!$P$4:$P$2004,$Z638-2000)),IF($Z638&lt;=5200,"",IF($Z638&lt;=5800,N(INDEX(次果筐明细!$L$4:$L$603,$Z638-5200))+N(INDEX(次果筐明细!$J$4:$J$603,$Z638-5200)),"")))))</f>
        <v/>
      </c>
      <c r="L638" s="24" t="str">
        <f>IF($Z638="","",IF($Z638&lt;=2000,IF(INDEX(包装物料出入库明细!$P$4:$P$2003,$Z638-0)=0,"",INDEX(包装物料出入库明细!$P$4:$P$2003,$Z638-0)),IF($Z638&lt;=4000,IF(INDEX(周转筐出入库明细!$Q$4:$Q$2004,$Z638-2000)=0,"",INDEX(周转筐出入库明细!$Q$4:$Q$2004,$Z638-2000)),IF($Z638&lt;=5200,"",IF($Z638&lt;=5800,IF(INDEX(次果筐明细!$M$4:$M$603,$Z638-5200)=0,"",INDEX(次果筐明细!$M$4:$M$603,$Z638-5200)),"")))))</f>
        <v/>
      </c>
      <c r="M638" s="37" t="str">
        <f>IF($Z638="","",IF($Z638&lt;=2000,IF(INDEX(包装物料出入库明细!$R$4:$R$2003,$Z638-0)=0,"",INDEX(包装物料出入库明细!$R$4:$R$2003,$Z638-0)),IF($Z638&lt;=4000,IF(INDEX(周转筐出入库明细!$W$4:$W$2004,$Z638-2000)=0,"",INDEX(周转筐出入库明细!$W$4:$W$2004,$Z638-2000)),IF($Z638&lt;=5200,IF(INDEX(客户自备加工筐明细!$L$4:$L$1203,$Z638-4000)=0,"",INDEX(客户自备加工筐明细!$L$4:$L$1203,$Z638-4000)),IF($Z638&lt;=5800,IF(INDEX(次果筐明细!$P$4:$P$603,$Z638-5200)=0,"",INDEX(次果筐明细!$P$4:$P$603,$Z638-5200)),"")))))</f>
        <v/>
      </c>
      <c r="N638" s="16" t="str">
        <f>IF($Z638="","",IF($Z638&lt;=2000,"",IF($Z638&lt;=4000,IF(INDEX(周转筐出入库明细!$D$4:$D$2004,$Z638-2000)=0,"",INDEX(周转筐出入库明细!$D$4:$D$2004,$Z638-2000)),IF($Z638&lt;=5200,IF(INDEX(客户自备加工筐明细!$C$4:$C$1203,$Z638-4000)=0,"",INDEX(客户自备加工筐明细!$C$4:$C$1203,$Z638-4000)),IF($Z638&lt;=5800,IF(INDEX(次果筐明细!$D$4:$D$603,$Z638-5200)=0,"",INDEX(次果筐明细!$D$4:$D$603,$Z638-5200)),"")))))</f>
        <v/>
      </c>
      <c r="O638" s="40" t="str">
        <f>IF($Z638="","",IF($Z638&lt;=2000,"",IF($Z638&lt;=4000,IF(N(INDEX(周转筐出入库明细!$J$4:$J$2004,$Z638-2000))+N(INDEX(周转筐出入库明细!$K$4:$K$2004,$Z638-2000))=0,"",N(INDEX(周转筐出入库明细!$J$4:$J$2004,$Z638-2000))+N(INDEX(周转筐出入库明细!$K$4:$K$2004,$Z638-2000))),IF($Z638&lt;=5200,IF(N(INDEX(客户自备加工筐明细!$G$4:$G$1203,$Z638-4000))=0,"",N(INDEX(客户自备加工筐明细!$G$4:$G$1203,$Z638-4000))),IF($Z638&lt;=5800,IF(ISNUMBER(SEARCH("退",INDEX(次果筐明细!$F$4:$F$603,$Z638-5200)&amp;"")),"",IF(N(INDEX(次果筐明细!$G$4:$G$603,$Z638-5200))=0,"",N(INDEX(次果筐明细!$G$4:$G$603,$Z638-5200)))),"")))))</f>
        <v/>
      </c>
      <c r="P638" s="40" t="str">
        <f>IF($Z638="","",IF($Z638&lt;=2000,"",IF($Z638&lt;=4000,IF(N(INDEX(周转筐出入库明细!$I$4:$I$2004,$Z638-2000))=0,"",N(INDEX(周转筐出入库明细!$I$4:$I$2004,$Z638-2000))),IF($Z638&lt;=5200,"",IF($Z638&lt;=5800,IF(ISNUMBER(SEARCH("退",INDEX(次果筐明细!$F$4:$F$603,$Z638-5200)&amp;"")),IF(N(INDEX(次果筐明细!$G$4:$G$603,$Z638-5200))=0,"",N(INDEX(次果筐明细!$G$4:$G$603,$Z638-5200))),""),"")))))</f>
        <v/>
      </c>
      <c r="Q638" s="40" t="str">
        <f>IF($Z638="","",IF($Z638&lt;=2000,"",IF($Z638&lt;=4000,IF(N(INDEX(周转筐出入库明细!$H$4:$H$2004,$Z638-2000))=0,"",N(INDEX(周转筐出入库明细!$H$4:$H$2004,$Z638-2000))),IF($Z638&lt;=5200,IF(N(INDEX(客户自备加工筐明细!$F$4:$F$1203,$Z638-4000))=0,"",N(INDEX(客户自备加工筐明细!$F$4:$F$1203,$Z638-4000))),IF($Z638&lt;=5800,"","")))))</f>
        <v/>
      </c>
      <c r="R638" s="16" t="str">
        <f>IF($Z638="","",IF($Z638&lt;=2000,IF(INDEX(包装物料出入库明细!$O$4:$O$2003,$Z638-0)=0,"",INDEX(包装物料出入库明细!$O$4:$O$2003,$Z638-0)),IF($Z638&lt;=4000,IF(INDEX(周转筐出入库明细!$M$4:$M$2004,$Z638-2000)=0,"",INDEX(周转筐出入库明细!$M$4:$M$2004,$Z638-2000)),IF($Z638&lt;=5200,IF(INDEX(客户自备加工筐明细!$H$4:$H$1203,$Z638-4000)=0,"",INDEX(客户自备加工筐明细!$H$4:$H$1203,$Z638-4000)),IF($Z638&lt;=5800,IF(INDEX(次果筐明细!$H$4:$H$603,$Z638-5200)=0,"",INDEX(次果筐明细!$H$4:$H$603,$Z638-5200)),"")))))</f>
        <v/>
      </c>
      <c r="S638" s="22" t="str">
        <f t="shared" si="29"/>
        <v/>
      </c>
      <c r="Z638" s="10" t="str">
        <f>IFERROR(MATCH(ROW()-3,_自动清单!$CQ$4:$CQ$5803,0),"")</f>
        <v/>
      </c>
    </row>
    <row r="639" spans="1:26">
      <c r="A639" s="24" t="str">
        <f t="shared" si="27"/>
        <v/>
      </c>
      <c r="B639" s="38" t="str">
        <f>IF($Z639="","",IF($Z639&lt;=2000,IF(INDEX(包装物料出入库明细!$B$4:$B$2003,$Z639-0)=0,"",INDEX(包装物料出入库明细!$B$4:$B$2003,$Z639-0)),IF($Z639&lt;=4000,IF(INDEX(周转筐出入库明细!$B$4:$B$2004,$Z639-2000)=0,"",INDEX(周转筐出入库明细!$B$4:$B$2004,$Z639-2000)),IF($Z639&lt;=5200,IF(INDEX(客户自备加工筐明细!$B$4:$B$1203,$Z639-4000)=0,"",INDEX(客户自备加工筐明细!$B$4:$B$1203,$Z639-4000)),IF($Z639&lt;=5800,IF(INDEX(次果筐明细!$B$4:$B$603,$Z639-5200)=0,"",INDEX(次果筐明细!$B$4:$B$603,$Z639-5200)),"")))))</f>
        <v/>
      </c>
      <c r="C639" s="37" t="str">
        <f>IF($Z639="","",IF($Z639&lt;=2000,IF(INDEX(包装物料出入库明细!$D$4:$D$2003,$Z639-0)=0,"",INDEX(包装物料出入库明细!$D$4:$D$2003,$Z639-0)),IF($Z639&lt;=4000,IF(INDEX(周转筐出入库明细!$C$4:$C$2004,$Z639-2000)=0,"",INDEX(周转筐出入库明细!$C$4:$C$2004,$Z639-2000)),IF($Z639&lt;=5200,IF(INDEX(客户自备加工筐明细!$E$4:$E$1203,$Z639-4000)=0,"",INDEX(客户自备加工筐明细!$E$4:$E$1203,$Z639-4000)),IF($Z639&lt;=5800,IF(INDEX(次果筐明细!$C$4:$C$603,$Z639-5200)=0,"",INDEX(次果筐明细!$C$4:$C$603,$Z639-5200)),"")))))</f>
        <v/>
      </c>
      <c r="D639" s="37" t="str">
        <f>IF($Z639="","",IF($Z639&lt;=2000,"包装物料－"&amp;INDEX(包装物料出入库明细!$H$4:$H$2003,$Z639-0),IF($Z639&lt;=4000,"周转筐－"&amp;INDEX(周转筐出入库明细!$F$4:$F$2004,$Z639-2000),IF($Z639&lt;=5200,"客户自备筐－"&amp;INDEX(客户自备加工筐明细!$J$4:$J$1203,$Z639-4000),IF($Z639&lt;=5800,"次果筐/托盘－"&amp;INDEX(次果筐明细!$F$4:$F$603,$Z639-5200),"")))))</f>
        <v/>
      </c>
      <c r="E639" s="24" t="str">
        <f>IF($Z639="","",IF($Z639&lt;=2000,IF(INDEX(包装物料出入库明细!$C$4:$C$2003,$Z639-0)=0,"",INDEX(包装物料出入库明细!$C$4:$C$2003,$Z639-0)),IF($Z639&lt;=4000,IF(INDEX(周转筐出入库明细!$E$4:$E$2004,$Z639-2000)=0,"",INDEX(周转筐出入库明细!$E$4:$E$2004,$Z639-2000)),IF($Z639&lt;=5200,IF(INDEX(客户自备加工筐明细!$D$4:$D$1203,$Z639-4000)=0,"",INDEX(客户自备加工筐明细!$D$4:$D$1203,$Z639-4000)),IF($Z639&lt;=5800,IF(INDEX(次果筐明细!$E$4:$E$603,$Z639-5200)=0,"",INDEX(次果筐明细!$E$4:$E$603,$Z639-5200)),"")))))</f>
        <v/>
      </c>
      <c r="F639" s="24" t="str">
        <f>IF($Z639="","",IF($Z639&lt;=2000,IF(INDEX(包装物料出入库明细!$E$4:$E$2003,$Z639-0)=0,"",INDEX(包装物料出入库明细!$E$4:$E$2003,$Z639-0)),IF($Z639&lt;=4000,IF(INDEX(周转筐出入库明细!$D$4:$D$2004,$Z639-2000)=0,"",INDEX(周转筐出入库明细!$D$4:$D$2004,$Z639-2000)),IF($Z639&lt;=5200,IF(INDEX(客户自备加工筐明细!$C$4:$C$1203,$Z639-4000)=0,"",INDEX(客户自备加工筐明细!$C$4:$C$1203,$Z639-4000)),IF($Z639&lt;=5800,IF(INDEX(次果筐明细!$D$4:$D$603,$Z639-5200)=0,"",INDEX(次果筐明细!$D$4:$D$603,$Z639-5200)),"")))))</f>
        <v/>
      </c>
      <c r="G639" s="24" t="str">
        <f>IF($Z639="","",IF($Z639&lt;=2000,IF(INDEX(包装物料出入库明细!$F$4:$F$2003,$Z639-0)=0,"",INDEX(包装物料出入库明细!$F$4:$F$2003,$Z639-0)),IF($Z639&lt;=4000,"",IF($Z639&lt;=5200,"",IF($Z639&lt;=5800,"","")))))</f>
        <v/>
      </c>
      <c r="H639" s="39" t="str">
        <f>IF($Z639="","",IF($Z639&lt;=2000,IF(INDEX(包装物料出入库明细!$L$4:$L$2003,$Z639-0)=0,"",INDEX(包装物料出入库明细!$L$4:$L$2003,$Z639-0)),IF($Z639&lt;=4000,N(INDEX(周转筐出入库明细!$H$4:$H$2004,$Z639-2000))+N(INDEX(周转筐出入库明细!$I$4:$I$2004,$Z639-2000))+N(INDEX(周转筐出入库明细!$J$4:$J$2004,$Z639-2000))+N(INDEX(周转筐出入库明细!$K$4:$K$2004,$Z639-2000)),IF($Z639&lt;=5200,N(INDEX(客户自备加工筐明细!$F$4:$F$1203,$Z639-4000))+N(INDEX(客户自备加工筐明细!$G$4:$G$1203,$Z639-4000)),IF($Z639&lt;=5800,IF(INDEX(次果筐明细!$G$4:$G$603,$Z639-5200)=0,"",INDEX(次果筐明细!$G$4:$G$603,$Z639-5200)),"")))))</f>
        <v/>
      </c>
      <c r="I639" s="24" t="str">
        <f>IF($Z639="","",IF($Z639&lt;=2000,IF(INDEX(包装物料出入库明细!$G$4:$G$2003,$Z639-0)=0,"",INDEX(包装物料出入库明细!$G$4:$G$2003,$Z639-0)),IF($Z639&lt;=4000,"个",IF($Z639&lt;=5200,"个",IF($Z639&lt;=5800,"个","")))))</f>
        <v/>
      </c>
      <c r="J639" s="30" t="str">
        <f t="shared" si="28"/>
        <v/>
      </c>
      <c r="K639" s="30" t="str">
        <f>IF($Z639="","",IF($Z639&lt;=2000,IF(INDEX(包装物料出入库明细!$N$4:$N$2003,$Z639-0)=0,"",INDEX(包装物料出入库明细!$N$4:$N$2003,$Z639-0)),IF($Z639&lt;=4000,IF(INDEX(周转筐出入库明细!$P$4:$P$2004,$Z639-2000)=0,"",INDEX(周转筐出入库明细!$P$4:$P$2004,$Z639-2000)),IF($Z639&lt;=5200,"",IF($Z639&lt;=5800,N(INDEX(次果筐明细!$L$4:$L$603,$Z639-5200))+N(INDEX(次果筐明细!$J$4:$J$603,$Z639-5200)),"")))))</f>
        <v/>
      </c>
      <c r="L639" s="24" t="str">
        <f>IF($Z639="","",IF($Z639&lt;=2000,IF(INDEX(包装物料出入库明细!$P$4:$P$2003,$Z639-0)=0,"",INDEX(包装物料出入库明细!$P$4:$P$2003,$Z639-0)),IF($Z639&lt;=4000,IF(INDEX(周转筐出入库明细!$Q$4:$Q$2004,$Z639-2000)=0,"",INDEX(周转筐出入库明细!$Q$4:$Q$2004,$Z639-2000)),IF($Z639&lt;=5200,"",IF($Z639&lt;=5800,IF(INDEX(次果筐明细!$M$4:$M$603,$Z639-5200)=0,"",INDEX(次果筐明细!$M$4:$M$603,$Z639-5200)),"")))))</f>
        <v/>
      </c>
      <c r="M639" s="37" t="str">
        <f>IF($Z639="","",IF($Z639&lt;=2000,IF(INDEX(包装物料出入库明细!$R$4:$R$2003,$Z639-0)=0,"",INDEX(包装物料出入库明细!$R$4:$R$2003,$Z639-0)),IF($Z639&lt;=4000,IF(INDEX(周转筐出入库明细!$W$4:$W$2004,$Z639-2000)=0,"",INDEX(周转筐出入库明细!$W$4:$W$2004,$Z639-2000)),IF($Z639&lt;=5200,IF(INDEX(客户自备加工筐明细!$L$4:$L$1203,$Z639-4000)=0,"",INDEX(客户自备加工筐明细!$L$4:$L$1203,$Z639-4000)),IF($Z639&lt;=5800,IF(INDEX(次果筐明细!$P$4:$P$603,$Z639-5200)=0,"",INDEX(次果筐明细!$P$4:$P$603,$Z639-5200)),"")))))</f>
        <v/>
      </c>
      <c r="N639" s="16" t="str">
        <f>IF($Z639="","",IF($Z639&lt;=2000,"",IF($Z639&lt;=4000,IF(INDEX(周转筐出入库明细!$D$4:$D$2004,$Z639-2000)=0,"",INDEX(周转筐出入库明细!$D$4:$D$2004,$Z639-2000)),IF($Z639&lt;=5200,IF(INDEX(客户自备加工筐明细!$C$4:$C$1203,$Z639-4000)=0,"",INDEX(客户自备加工筐明细!$C$4:$C$1203,$Z639-4000)),IF($Z639&lt;=5800,IF(INDEX(次果筐明细!$D$4:$D$603,$Z639-5200)=0,"",INDEX(次果筐明细!$D$4:$D$603,$Z639-5200)),"")))))</f>
        <v/>
      </c>
      <c r="O639" s="40" t="str">
        <f>IF($Z639="","",IF($Z639&lt;=2000,"",IF($Z639&lt;=4000,IF(N(INDEX(周转筐出入库明细!$J$4:$J$2004,$Z639-2000))+N(INDEX(周转筐出入库明细!$K$4:$K$2004,$Z639-2000))=0,"",N(INDEX(周转筐出入库明细!$J$4:$J$2004,$Z639-2000))+N(INDEX(周转筐出入库明细!$K$4:$K$2004,$Z639-2000))),IF($Z639&lt;=5200,IF(N(INDEX(客户自备加工筐明细!$G$4:$G$1203,$Z639-4000))=0,"",N(INDEX(客户自备加工筐明细!$G$4:$G$1203,$Z639-4000))),IF($Z639&lt;=5800,IF(ISNUMBER(SEARCH("退",INDEX(次果筐明细!$F$4:$F$603,$Z639-5200)&amp;"")),"",IF(N(INDEX(次果筐明细!$G$4:$G$603,$Z639-5200))=0,"",N(INDEX(次果筐明细!$G$4:$G$603,$Z639-5200)))),"")))))</f>
        <v/>
      </c>
      <c r="P639" s="40" t="str">
        <f>IF($Z639="","",IF($Z639&lt;=2000,"",IF($Z639&lt;=4000,IF(N(INDEX(周转筐出入库明细!$I$4:$I$2004,$Z639-2000))=0,"",N(INDEX(周转筐出入库明细!$I$4:$I$2004,$Z639-2000))),IF($Z639&lt;=5200,"",IF($Z639&lt;=5800,IF(ISNUMBER(SEARCH("退",INDEX(次果筐明细!$F$4:$F$603,$Z639-5200)&amp;"")),IF(N(INDEX(次果筐明细!$G$4:$G$603,$Z639-5200))=0,"",N(INDEX(次果筐明细!$G$4:$G$603,$Z639-5200))),""),"")))))</f>
        <v/>
      </c>
      <c r="Q639" s="40" t="str">
        <f>IF($Z639="","",IF($Z639&lt;=2000,"",IF($Z639&lt;=4000,IF(N(INDEX(周转筐出入库明细!$H$4:$H$2004,$Z639-2000))=0,"",N(INDEX(周转筐出入库明细!$H$4:$H$2004,$Z639-2000))),IF($Z639&lt;=5200,IF(N(INDEX(客户自备加工筐明细!$F$4:$F$1203,$Z639-4000))=0,"",N(INDEX(客户自备加工筐明细!$F$4:$F$1203,$Z639-4000))),IF($Z639&lt;=5800,"","")))))</f>
        <v/>
      </c>
      <c r="R639" s="16" t="str">
        <f>IF($Z639="","",IF($Z639&lt;=2000,IF(INDEX(包装物料出入库明细!$O$4:$O$2003,$Z639-0)=0,"",INDEX(包装物料出入库明细!$O$4:$O$2003,$Z639-0)),IF($Z639&lt;=4000,IF(INDEX(周转筐出入库明细!$M$4:$M$2004,$Z639-2000)=0,"",INDEX(周转筐出入库明细!$M$4:$M$2004,$Z639-2000)),IF($Z639&lt;=5200,IF(INDEX(客户自备加工筐明细!$H$4:$H$1203,$Z639-4000)=0,"",INDEX(客户自备加工筐明细!$H$4:$H$1203,$Z639-4000)),IF($Z639&lt;=5800,IF(INDEX(次果筐明细!$H$4:$H$603,$Z639-5200)=0,"",INDEX(次果筐明细!$H$4:$H$603,$Z639-5200)),"")))))</f>
        <v/>
      </c>
      <c r="S639" s="22" t="str">
        <f t="shared" si="29"/>
        <v/>
      </c>
      <c r="Z639" s="10" t="str">
        <f>IFERROR(MATCH(ROW()-3,_自动清单!$CQ$4:$CQ$5803,0),"")</f>
        <v/>
      </c>
    </row>
    <row r="640" spans="1:26">
      <c r="A640" s="24" t="str">
        <f t="shared" si="27"/>
        <v/>
      </c>
      <c r="B640" s="38" t="str">
        <f>IF($Z640="","",IF($Z640&lt;=2000,IF(INDEX(包装物料出入库明细!$B$4:$B$2003,$Z640-0)=0,"",INDEX(包装物料出入库明细!$B$4:$B$2003,$Z640-0)),IF($Z640&lt;=4000,IF(INDEX(周转筐出入库明细!$B$4:$B$2004,$Z640-2000)=0,"",INDEX(周转筐出入库明细!$B$4:$B$2004,$Z640-2000)),IF($Z640&lt;=5200,IF(INDEX(客户自备加工筐明细!$B$4:$B$1203,$Z640-4000)=0,"",INDEX(客户自备加工筐明细!$B$4:$B$1203,$Z640-4000)),IF($Z640&lt;=5800,IF(INDEX(次果筐明细!$B$4:$B$603,$Z640-5200)=0,"",INDEX(次果筐明细!$B$4:$B$603,$Z640-5200)),"")))))</f>
        <v/>
      </c>
      <c r="C640" s="37" t="str">
        <f>IF($Z640="","",IF($Z640&lt;=2000,IF(INDEX(包装物料出入库明细!$D$4:$D$2003,$Z640-0)=0,"",INDEX(包装物料出入库明细!$D$4:$D$2003,$Z640-0)),IF($Z640&lt;=4000,IF(INDEX(周转筐出入库明细!$C$4:$C$2004,$Z640-2000)=0,"",INDEX(周转筐出入库明细!$C$4:$C$2004,$Z640-2000)),IF($Z640&lt;=5200,IF(INDEX(客户自备加工筐明细!$E$4:$E$1203,$Z640-4000)=0,"",INDEX(客户自备加工筐明细!$E$4:$E$1203,$Z640-4000)),IF($Z640&lt;=5800,IF(INDEX(次果筐明细!$C$4:$C$603,$Z640-5200)=0,"",INDEX(次果筐明细!$C$4:$C$603,$Z640-5200)),"")))))</f>
        <v/>
      </c>
      <c r="D640" s="37" t="str">
        <f>IF($Z640="","",IF($Z640&lt;=2000,"包装物料－"&amp;INDEX(包装物料出入库明细!$H$4:$H$2003,$Z640-0),IF($Z640&lt;=4000,"周转筐－"&amp;INDEX(周转筐出入库明细!$F$4:$F$2004,$Z640-2000),IF($Z640&lt;=5200,"客户自备筐－"&amp;INDEX(客户自备加工筐明细!$J$4:$J$1203,$Z640-4000),IF($Z640&lt;=5800,"次果筐/托盘－"&amp;INDEX(次果筐明细!$F$4:$F$603,$Z640-5200),"")))))</f>
        <v/>
      </c>
      <c r="E640" s="24" t="str">
        <f>IF($Z640="","",IF($Z640&lt;=2000,IF(INDEX(包装物料出入库明细!$C$4:$C$2003,$Z640-0)=0,"",INDEX(包装物料出入库明细!$C$4:$C$2003,$Z640-0)),IF($Z640&lt;=4000,IF(INDEX(周转筐出入库明细!$E$4:$E$2004,$Z640-2000)=0,"",INDEX(周转筐出入库明细!$E$4:$E$2004,$Z640-2000)),IF($Z640&lt;=5200,IF(INDEX(客户自备加工筐明细!$D$4:$D$1203,$Z640-4000)=0,"",INDEX(客户自备加工筐明细!$D$4:$D$1203,$Z640-4000)),IF($Z640&lt;=5800,IF(INDEX(次果筐明细!$E$4:$E$603,$Z640-5200)=0,"",INDEX(次果筐明细!$E$4:$E$603,$Z640-5200)),"")))))</f>
        <v/>
      </c>
      <c r="F640" s="24" t="str">
        <f>IF($Z640="","",IF($Z640&lt;=2000,IF(INDEX(包装物料出入库明细!$E$4:$E$2003,$Z640-0)=0,"",INDEX(包装物料出入库明细!$E$4:$E$2003,$Z640-0)),IF($Z640&lt;=4000,IF(INDEX(周转筐出入库明细!$D$4:$D$2004,$Z640-2000)=0,"",INDEX(周转筐出入库明细!$D$4:$D$2004,$Z640-2000)),IF($Z640&lt;=5200,IF(INDEX(客户自备加工筐明细!$C$4:$C$1203,$Z640-4000)=0,"",INDEX(客户自备加工筐明细!$C$4:$C$1203,$Z640-4000)),IF($Z640&lt;=5800,IF(INDEX(次果筐明细!$D$4:$D$603,$Z640-5200)=0,"",INDEX(次果筐明细!$D$4:$D$603,$Z640-5200)),"")))))</f>
        <v/>
      </c>
      <c r="G640" s="24" t="str">
        <f>IF($Z640="","",IF($Z640&lt;=2000,IF(INDEX(包装物料出入库明细!$F$4:$F$2003,$Z640-0)=0,"",INDEX(包装物料出入库明细!$F$4:$F$2003,$Z640-0)),IF($Z640&lt;=4000,"",IF($Z640&lt;=5200,"",IF($Z640&lt;=5800,"","")))))</f>
        <v/>
      </c>
      <c r="H640" s="39" t="str">
        <f>IF($Z640="","",IF($Z640&lt;=2000,IF(INDEX(包装物料出入库明细!$L$4:$L$2003,$Z640-0)=0,"",INDEX(包装物料出入库明细!$L$4:$L$2003,$Z640-0)),IF($Z640&lt;=4000,N(INDEX(周转筐出入库明细!$H$4:$H$2004,$Z640-2000))+N(INDEX(周转筐出入库明细!$I$4:$I$2004,$Z640-2000))+N(INDEX(周转筐出入库明细!$J$4:$J$2004,$Z640-2000))+N(INDEX(周转筐出入库明细!$K$4:$K$2004,$Z640-2000)),IF($Z640&lt;=5200,N(INDEX(客户自备加工筐明细!$F$4:$F$1203,$Z640-4000))+N(INDEX(客户自备加工筐明细!$G$4:$G$1203,$Z640-4000)),IF($Z640&lt;=5800,IF(INDEX(次果筐明细!$G$4:$G$603,$Z640-5200)=0,"",INDEX(次果筐明细!$G$4:$G$603,$Z640-5200)),"")))))</f>
        <v/>
      </c>
      <c r="I640" s="24" t="str">
        <f>IF($Z640="","",IF($Z640&lt;=2000,IF(INDEX(包装物料出入库明细!$G$4:$G$2003,$Z640-0)=0,"",INDEX(包装物料出入库明细!$G$4:$G$2003,$Z640-0)),IF($Z640&lt;=4000,"个",IF($Z640&lt;=5200,"个",IF($Z640&lt;=5800,"个","")))))</f>
        <v/>
      </c>
      <c r="J640" s="30" t="str">
        <f t="shared" si="28"/>
        <v/>
      </c>
      <c r="K640" s="30" t="str">
        <f>IF($Z640="","",IF($Z640&lt;=2000,IF(INDEX(包装物料出入库明细!$N$4:$N$2003,$Z640-0)=0,"",INDEX(包装物料出入库明细!$N$4:$N$2003,$Z640-0)),IF($Z640&lt;=4000,IF(INDEX(周转筐出入库明细!$P$4:$P$2004,$Z640-2000)=0,"",INDEX(周转筐出入库明细!$P$4:$P$2004,$Z640-2000)),IF($Z640&lt;=5200,"",IF($Z640&lt;=5800,N(INDEX(次果筐明细!$L$4:$L$603,$Z640-5200))+N(INDEX(次果筐明细!$J$4:$J$603,$Z640-5200)),"")))))</f>
        <v/>
      </c>
      <c r="L640" s="24" t="str">
        <f>IF($Z640="","",IF($Z640&lt;=2000,IF(INDEX(包装物料出入库明细!$P$4:$P$2003,$Z640-0)=0,"",INDEX(包装物料出入库明细!$P$4:$P$2003,$Z640-0)),IF($Z640&lt;=4000,IF(INDEX(周转筐出入库明细!$Q$4:$Q$2004,$Z640-2000)=0,"",INDEX(周转筐出入库明细!$Q$4:$Q$2004,$Z640-2000)),IF($Z640&lt;=5200,"",IF($Z640&lt;=5800,IF(INDEX(次果筐明细!$M$4:$M$603,$Z640-5200)=0,"",INDEX(次果筐明细!$M$4:$M$603,$Z640-5200)),"")))))</f>
        <v/>
      </c>
      <c r="M640" s="37" t="str">
        <f>IF($Z640="","",IF($Z640&lt;=2000,IF(INDEX(包装物料出入库明细!$R$4:$R$2003,$Z640-0)=0,"",INDEX(包装物料出入库明细!$R$4:$R$2003,$Z640-0)),IF($Z640&lt;=4000,IF(INDEX(周转筐出入库明细!$W$4:$W$2004,$Z640-2000)=0,"",INDEX(周转筐出入库明细!$W$4:$W$2004,$Z640-2000)),IF($Z640&lt;=5200,IF(INDEX(客户自备加工筐明细!$L$4:$L$1203,$Z640-4000)=0,"",INDEX(客户自备加工筐明细!$L$4:$L$1203,$Z640-4000)),IF($Z640&lt;=5800,IF(INDEX(次果筐明细!$P$4:$P$603,$Z640-5200)=0,"",INDEX(次果筐明细!$P$4:$P$603,$Z640-5200)),"")))))</f>
        <v/>
      </c>
      <c r="N640" s="16" t="str">
        <f>IF($Z640="","",IF($Z640&lt;=2000,"",IF($Z640&lt;=4000,IF(INDEX(周转筐出入库明细!$D$4:$D$2004,$Z640-2000)=0,"",INDEX(周转筐出入库明细!$D$4:$D$2004,$Z640-2000)),IF($Z640&lt;=5200,IF(INDEX(客户自备加工筐明细!$C$4:$C$1203,$Z640-4000)=0,"",INDEX(客户自备加工筐明细!$C$4:$C$1203,$Z640-4000)),IF($Z640&lt;=5800,IF(INDEX(次果筐明细!$D$4:$D$603,$Z640-5200)=0,"",INDEX(次果筐明细!$D$4:$D$603,$Z640-5200)),"")))))</f>
        <v/>
      </c>
      <c r="O640" s="40" t="str">
        <f>IF($Z640="","",IF($Z640&lt;=2000,"",IF($Z640&lt;=4000,IF(N(INDEX(周转筐出入库明细!$J$4:$J$2004,$Z640-2000))+N(INDEX(周转筐出入库明细!$K$4:$K$2004,$Z640-2000))=0,"",N(INDEX(周转筐出入库明细!$J$4:$J$2004,$Z640-2000))+N(INDEX(周转筐出入库明细!$K$4:$K$2004,$Z640-2000))),IF($Z640&lt;=5200,IF(N(INDEX(客户自备加工筐明细!$G$4:$G$1203,$Z640-4000))=0,"",N(INDEX(客户自备加工筐明细!$G$4:$G$1203,$Z640-4000))),IF($Z640&lt;=5800,IF(ISNUMBER(SEARCH("退",INDEX(次果筐明细!$F$4:$F$603,$Z640-5200)&amp;"")),"",IF(N(INDEX(次果筐明细!$G$4:$G$603,$Z640-5200))=0,"",N(INDEX(次果筐明细!$G$4:$G$603,$Z640-5200)))),"")))))</f>
        <v/>
      </c>
      <c r="P640" s="40" t="str">
        <f>IF($Z640="","",IF($Z640&lt;=2000,"",IF($Z640&lt;=4000,IF(N(INDEX(周转筐出入库明细!$I$4:$I$2004,$Z640-2000))=0,"",N(INDEX(周转筐出入库明细!$I$4:$I$2004,$Z640-2000))),IF($Z640&lt;=5200,"",IF($Z640&lt;=5800,IF(ISNUMBER(SEARCH("退",INDEX(次果筐明细!$F$4:$F$603,$Z640-5200)&amp;"")),IF(N(INDEX(次果筐明细!$G$4:$G$603,$Z640-5200))=0,"",N(INDEX(次果筐明细!$G$4:$G$603,$Z640-5200))),""),"")))))</f>
        <v/>
      </c>
      <c r="Q640" s="40" t="str">
        <f>IF($Z640="","",IF($Z640&lt;=2000,"",IF($Z640&lt;=4000,IF(N(INDEX(周转筐出入库明细!$H$4:$H$2004,$Z640-2000))=0,"",N(INDEX(周转筐出入库明细!$H$4:$H$2004,$Z640-2000))),IF($Z640&lt;=5200,IF(N(INDEX(客户自备加工筐明细!$F$4:$F$1203,$Z640-4000))=0,"",N(INDEX(客户自备加工筐明细!$F$4:$F$1203,$Z640-4000))),IF($Z640&lt;=5800,"","")))))</f>
        <v/>
      </c>
      <c r="R640" s="16" t="str">
        <f>IF($Z640="","",IF($Z640&lt;=2000,IF(INDEX(包装物料出入库明细!$O$4:$O$2003,$Z640-0)=0,"",INDEX(包装物料出入库明细!$O$4:$O$2003,$Z640-0)),IF($Z640&lt;=4000,IF(INDEX(周转筐出入库明细!$M$4:$M$2004,$Z640-2000)=0,"",INDEX(周转筐出入库明细!$M$4:$M$2004,$Z640-2000)),IF($Z640&lt;=5200,IF(INDEX(客户自备加工筐明细!$H$4:$H$1203,$Z640-4000)=0,"",INDEX(客户自备加工筐明细!$H$4:$H$1203,$Z640-4000)),IF($Z640&lt;=5800,IF(INDEX(次果筐明细!$H$4:$H$603,$Z640-5200)=0,"",INDEX(次果筐明细!$H$4:$H$603,$Z640-5200)),"")))))</f>
        <v/>
      </c>
      <c r="S640" s="22" t="str">
        <f t="shared" si="29"/>
        <v/>
      </c>
      <c r="Z640" s="10" t="str">
        <f>IFERROR(MATCH(ROW()-3,_自动清单!$CQ$4:$CQ$5803,0),"")</f>
        <v/>
      </c>
    </row>
    <row r="641" spans="1:26">
      <c r="A641" s="24" t="str">
        <f t="shared" si="27"/>
        <v/>
      </c>
      <c r="B641" s="38" t="str">
        <f>IF($Z641="","",IF($Z641&lt;=2000,IF(INDEX(包装物料出入库明细!$B$4:$B$2003,$Z641-0)=0,"",INDEX(包装物料出入库明细!$B$4:$B$2003,$Z641-0)),IF($Z641&lt;=4000,IF(INDEX(周转筐出入库明细!$B$4:$B$2004,$Z641-2000)=0,"",INDEX(周转筐出入库明细!$B$4:$B$2004,$Z641-2000)),IF($Z641&lt;=5200,IF(INDEX(客户自备加工筐明细!$B$4:$B$1203,$Z641-4000)=0,"",INDEX(客户自备加工筐明细!$B$4:$B$1203,$Z641-4000)),IF($Z641&lt;=5800,IF(INDEX(次果筐明细!$B$4:$B$603,$Z641-5200)=0,"",INDEX(次果筐明细!$B$4:$B$603,$Z641-5200)),"")))))</f>
        <v/>
      </c>
      <c r="C641" s="37" t="str">
        <f>IF($Z641="","",IF($Z641&lt;=2000,IF(INDEX(包装物料出入库明细!$D$4:$D$2003,$Z641-0)=0,"",INDEX(包装物料出入库明细!$D$4:$D$2003,$Z641-0)),IF($Z641&lt;=4000,IF(INDEX(周转筐出入库明细!$C$4:$C$2004,$Z641-2000)=0,"",INDEX(周转筐出入库明细!$C$4:$C$2004,$Z641-2000)),IF($Z641&lt;=5200,IF(INDEX(客户自备加工筐明细!$E$4:$E$1203,$Z641-4000)=0,"",INDEX(客户自备加工筐明细!$E$4:$E$1203,$Z641-4000)),IF($Z641&lt;=5800,IF(INDEX(次果筐明细!$C$4:$C$603,$Z641-5200)=0,"",INDEX(次果筐明细!$C$4:$C$603,$Z641-5200)),"")))))</f>
        <v/>
      </c>
      <c r="D641" s="37" t="str">
        <f>IF($Z641="","",IF($Z641&lt;=2000,"包装物料－"&amp;INDEX(包装物料出入库明细!$H$4:$H$2003,$Z641-0),IF($Z641&lt;=4000,"周转筐－"&amp;INDEX(周转筐出入库明细!$F$4:$F$2004,$Z641-2000),IF($Z641&lt;=5200,"客户自备筐－"&amp;INDEX(客户自备加工筐明细!$J$4:$J$1203,$Z641-4000),IF($Z641&lt;=5800,"次果筐/托盘－"&amp;INDEX(次果筐明细!$F$4:$F$603,$Z641-5200),"")))))</f>
        <v/>
      </c>
      <c r="E641" s="24" t="str">
        <f>IF($Z641="","",IF($Z641&lt;=2000,IF(INDEX(包装物料出入库明细!$C$4:$C$2003,$Z641-0)=0,"",INDEX(包装物料出入库明细!$C$4:$C$2003,$Z641-0)),IF($Z641&lt;=4000,IF(INDEX(周转筐出入库明细!$E$4:$E$2004,$Z641-2000)=0,"",INDEX(周转筐出入库明细!$E$4:$E$2004,$Z641-2000)),IF($Z641&lt;=5200,IF(INDEX(客户自备加工筐明细!$D$4:$D$1203,$Z641-4000)=0,"",INDEX(客户自备加工筐明细!$D$4:$D$1203,$Z641-4000)),IF($Z641&lt;=5800,IF(INDEX(次果筐明细!$E$4:$E$603,$Z641-5200)=0,"",INDEX(次果筐明细!$E$4:$E$603,$Z641-5200)),"")))))</f>
        <v/>
      </c>
      <c r="F641" s="24" t="str">
        <f>IF($Z641="","",IF($Z641&lt;=2000,IF(INDEX(包装物料出入库明细!$E$4:$E$2003,$Z641-0)=0,"",INDEX(包装物料出入库明细!$E$4:$E$2003,$Z641-0)),IF($Z641&lt;=4000,IF(INDEX(周转筐出入库明细!$D$4:$D$2004,$Z641-2000)=0,"",INDEX(周转筐出入库明细!$D$4:$D$2004,$Z641-2000)),IF($Z641&lt;=5200,IF(INDEX(客户自备加工筐明细!$C$4:$C$1203,$Z641-4000)=0,"",INDEX(客户自备加工筐明细!$C$4:$C$1203,$Z641-4000)),IF($Z641&lt;=5800,IF(INDEX(次果筐明细!$D$4:$D$603,$Z641-5200)=0,"",INDEX(次果筐明细!$D$4:$D$603,$Z641-5200)),"")))))</f>
        <v/>
      </c>
      <c r="G641" s="24" t="str">
        <f>IF($Z641="","",IF($Z641&lt;=2000,IF(INDEX(包装物料出入库明细!$F$4:$F$2003,$Z641-0)=0,"",INDEX(包装物料出入库明细!$F$4:$F$2003,$Z641-0)),IF($Z641&lt;=4000,"",IF($Z641&lt;=5200,"",IF($Z641&lt;=5800,"","")))))</f>
        <v/>
      </c>
      <c r="H641" s="39" t="str">
        <f>IF($Z641="","",IF($Z641&lt;=2000,IF(INDEX(包装物料出入库明细!$L$4:$L$2003,$Z641-0)=0,"",INDEX(包装物料出入库明细!$L$4:$L$2003,$Z641-0)),IF($Z641&lt;=4000,N(INDEX(周转筐出入库明细!$H$4:$H$2004,$Z641-2000))+N(INDEX(周转筐出入库明细!$I$4:$I$2004,$Z641-2000))+N(INDEX(周转筐出入库明细!$J$4:$J$2004,$Z641-2000))+N(INDEX(周转筐出入库明细!$K$4:$K$2004,$Z641-2000)),IF($Z641&lt;=5200,N(INDEX(客户自备加工筐明细!$F$4:$F$1203,$Z641-4000))+N(INDEX(客户自备加工筐明细!$G$4:$G$1203,$Z641-4000)),IF($Z641&lt;=5800,IF(INDEX(次果筐明细!$G$4:$G$603,$Z641-5200)=0,"",INDEX(次果筐明细!$G$4:$G$603,$Z641-5200)),"")))))</f>
        <v/>
      </c>
      <c r="I641" s="24" t="str">
        <f>IF($Z641="","",IF($Z641&lt;=2000,IF(INDEX(包装物料出入库明细!$G$4:$G$2003,$Z641-0)=0,"",INDEX(包装物料出入库明细!$G$4:$G$2003,$Z641-0)),IF($Z641&lt;=4000,"个",IF($Z641&lt;=5200,"个",IF($Z641&lt;=5800,"个","")))))</f>
        <v/>
      </c>
      <c r="J641" s="30" t="str">
        <f t="shared" si="28"/>
        <v/>
      </c>
      <c r="K641" s="30" t="str">
        <f>IF($Z641="","",IF($Z641&lt;=2000,IF(INDEX(包装物料出入库明细!$N$4:$N$2003,$Z641-0)=0,"",INDEX(包装物料出入库明细!$N$4:$N$2003,$Z641-0)),IF($Z641&lt;=4000,IF(INDEX(周转筐出入库明细!$P$4:$P$2004,$Z641-2000)=0,"",INDEX(周转筐出入库明细!$P$4:$P$2004,$Z641-2000)),IF($Z641&lt;=5200,"",IF($Z641&lt;=5800,N(INDEX(次果筐明细!$L$4:$L$603,$Z641-5200))+N(INDEX(次果筐明细!$J$4:$J$603,$Z641-5200)),"")))))</f>
        <v/>
      </c>
      <c r="L641" s="24" t="str">
        <f>IF($Z641="","",IF($Z641&lt;=2000,IF(INDEX(包装物料出入库明细!$P$4:$P$2003,$Z641-0)=0,"",INDEX(包装物料出入库明细!$P$4:$P$2003,$Z641-0)),IF($Z641&lt;=4000,IF(INDEX(周转筐出入库明细!$Q$4:$Q$2004,$Z641-2000)=0,"",INDEX(周转筐出入库明细!$Q$4:$Q$2004,$Z641-2000)),IF($Z641&lt;=5200,"",IF($Z641&lt;=5800,IF(INDEX(次果筐明细!$M$4:$M$603,$Z641-5200)=0,"",INDEX(次果筐明细!$M$4:$M$603,$Z641-5200)),"")))))</f>
        <v/>
      </c>
      <c r="M641" s="37" t="str">
        <f>IF($Z641="","",IF($Z641&lt;=2000,IF(INDEX(包装物料出入库明细!$R$4:$R$2003,$Z641-0)=0,"",INDEX(包装物料出入库明细!$R$4:$R$2003,$Z641-0)),IF($Z641&lt;=4000,IF(INDEX(周转筐出入库明细!$W$4:$W$2004,$Z641-2000)=0,"",INDEX(周转筐出入库明细!$W$4:$W$2004,$Z641-2000)),IF($Z641&lt;=5200,IF(INDEX(客户自备加工筐明细!$L$4:$L$1203,$Z641-4000)=0,"",INDEX(客户自备加工筐明细!$L$4:$L$1203,$Z641-4000)),IF($Z641&lt;=5800,IF(INDEX(次果筐明细!$P$4:$P$603,$Z641-5200)=0,"",INDEX(次果筐明细!$P$4:$P$603,$Z641-5200)),"")))))</f>
        <v/>
      </c>
      <c r="N641" s="16" t="str">
        <f>IF($Z641="","",IF($Z641&lt;=2000,"",IF($Z641&lt;=4000,IF(INDEX(周转筐出入库明细!$D$4:$D$2004,$Z641-2000)=0,"",INDEX(周转筐出入库明细!$D$4:$D$2004,$Z641-2000)),IF($Z641&lt;=5200,IF(INDEX(客户自备加工筐明细!$C$4:$C$1203,$Z641-4000)=0,"",INDEX(客户自备加工筐明细!$C$4:$C$1203,$Z641-4000)),IF($Z641&lt;=5800,IF(INDEX(次果筐明细!$D$4:$D$603,$Z641-5200)=0,"",INDEX(次果筐明细!$D$4:$D$603,$Z641-5200)),"")))))</f>
        <v/>
      </c>
      <c r="O641" s="40" t="str">
        <f>IF($Z641="","",IF($Z641&lt;=2000,"",IF($Z641&lt;=4000,IF(N(INDEX(周转筐出入库明细!$J$4:$J$2004,$Z641-2000))+N(INDEX(周转筐出入库明细!$K$4:$K$2004,$Z641-2000))=0,"",N(INDEX(周转筐出入库明细!$J$4:$J$2004,$Z641-2000))+N(INDEX(周转筐出入库明细!$K$4:$K$2004,$Z641-2000))),IF($Z641&lt;=5200,IF(N(INDEX(客户自备加工筐明细!$G$4:$G$1203,$Z641-4000))=0,"",N(INDEX(客户自备加工筐明细!$G$4:$G$1203,$Z641-4000))),IF($Z641&lt;=5800,IF(ISNUMBER(SEARCH("退",INDEX(次果筐明细!$F$4:$F$603,$Z641-5200)&amp;"")),"",IF(N(INDEX(次果筐明细!$G$4:$G$603,$Z641-5200))=0,"",N(INDEX(次果筐明细!$G$4:$G$603,$Z641-5200)))),"")))))</f>
        <v/>
      </c>
      <c r="P641" s="40" t="str">
        <f>IF($Z641="","",IF($Z641&lt;=2000,"",IF($Z641&lt;=4000,IF(N(INDEX(周转筐出入库明细!$I$4:$I$2004,$Z641-2000))=0,"",N(INDEX(周转筐出入库明细!$I$4:$I$2004,$Z641-2000))),IF($Z641&lt;=5200,"",IF($Z641&lt;=5800,IF(ISNUMBER(SEARCH("退",INDEX(次果筐明细!$F$4:$F$603,$Z641-5200)&amp;"")),IF(N(INDEX(次果筐明细!$G$4:$G$603,$Z641-5200))=0,"",N(INDEX(次果筐明细!$G$4:$G$603,$Z641-5200))),""),"")))))</f>
        <v/>
      </c>
      <c r="Q641" s="40" t="str">
        <f>IF($Z641="","",IF($Z641&lt;=2000,"",IF($Z641&lt;=4000,IF(N(INDEX(周转筐出入库明细!$H$4:$H$2004,$Z641-2000))=0,"",N(INDEX(周转筐出入库明细!$H$4:$H$2004,$Z641-2000))),IF($Z641&lt;=5200,IF(N(INDEX(客户自备加工筐明细!$F$4:$F$1203,$Z641-4000))=0,"",N(INDEX(客户自备加工筐明细!$F$4:$F$1203,$Z641-4000))),IF($Z641&lt;=5800,"","")))))</f>
        <v/>
      </c>
      <c r="R641" s="16" t="str">
        <f>IF($Z641="","",IF($Z641&lt;=2000,IF(INDEX(包装物料出入库明细!$O$4:$O$2003,$Z641-0)=0,"",INDEX(包装物料出入库明细!$O$4:$O$2003,$Z641-0)),IF($Z641&lt;=4000,IF(INDEX(周转筐出入库明细!$M$4:$M$2004,$Z641-2000)=0,"",INDEX(周转筐出入库明细!$M$4:$M$2004,$Z641-2000)),IF($Z641&lt;=5200,IF(INDEX(客户自备加工筐明细!$H$4:$H$1203,$Z641-4000)=0,"",INDEX(客户自备加工筐明细!$H$4:$H$1203,$Z641-4000)),IF($Z641&lt;=5800,IF(INDEX(次果筐明细!$H$4:$H$603,$Z641-5200)=0,"",INDEX(次果筐明细!$H$4:$H$603,$Z641-5200)),"")))))</f>
        <v/>
      </c>
      <c r="S641" s="22" t="str">
        <f t="shared" si="29"/>
        <v/>
      </c>
      <c r="Z641" s="10" t="str">
        <f>IFERROR(MATCH(ROW()-3,_自动清单!$CQ$4:$CQ$5803,0),"")</f>
        <v/>
      </c>
    </row>
    <row r="642" spans="1:26">
      <c r="A642" s="24" t="str">
        <f t="shared" si="27"/>
        <v/>
      </c>
      <c r="B642" s="38" t="str">
        <f>IF($Z642="","",IF($Z642&lt;=2000,IF(INDEX(包装物料出入库明细!$B$4:$B$2003,$Z642-0)=0,"",INDEX(包装物料出入库明细!$B$4:$B$2003,$Z642-0)),IF($Z642&lt;=4000,IF(INDEX(周转筐出入库明细!$B$4:$B$2004,$Z642-2000)=0,"",INDEX(周转筐出入库明细!$B$4:$B$2004,$Z642-2000)),IF($Z642&lt;=5200,IF(INDEX(客户自备加工筐明细!$B$4:$B$1203,$Z642-4000)=0,"",INDEX(客户自备加工筐明细!$B$4:$B$1203,$Z642-4000)),IF($Z642&lt;=5800,IF(INDEX(次果筐明细!$B$4:$B$603,$Z642-5200)=0,"",INDEX(次果筐明细!$B$4:$B$603,$Z642-5200)),"")))))</f>
        <v/>
      </c>
      <c r="C642" s="37" t="str">
        <f>IF($Z642="","",IF($Z642&lt;=2000,IF(INDEX(包装物料出入库明细!$D$4:$D$2003,$Z642-0)=0,"",INDEX(包装物料出入库明细!$D$4:$D$2003,$Z642-0)),IF($Z642&lt;=4000,IF(INDEX(周转筐出入库明细!$C$4:$C$2004,$Z642-2000)=0,"",INDEX(周转筐出入库明细!$C$4:$C$2004,$Z642-2000)),IF($Z642&lt;=5200,IF(INDEX(客户自备加工筐明细!$E$4:$E$1203,$Z642-4000)=0,"",INDEX(客户自备加工筐明细!$E$4:$E$1203,$Z642-4000)),IF($Z642&lt;=5800,IF(INDEX(次果筐明细!$C$4:$C$603,$Z642-5200)=0,"",INDEX(次果筐明细!$C$4:$C$603,$Z642-5200)),"")))))</f>
        <v/>
      </c>
      <c r="D642" s="37" t="str">
        <f>IF($Z642="","",IF($Z642&lt;=2000,"包装物料－"&amp;INDEX(包装物料出入库明细!$H$4:$H$2003,$Z642-0),IF($Z642&lt;=4000,"周转筐－"&amp;INDEX(周转筐出入库明细!$F$4:$F$2004,$Z642-2000),IF($Z642&lt;=5200,"客户自备筐－"&amp;INDEX(客户自备加工筐明细!$J$4:$J$1203,$Z642-4000),IF($Z642&lt;=5800,"次果筐/托盘－"&amp;INDEX(次果筐明细!$F$4:$F$603,$Z642-5200),"")))))</f>
        <v/>
      </c>
      <c r="E642" s="24" t="str">
        <f>IF($Z642="","",IF($Z642&lt;=2000,IF(INDEX(包装物料出入库明细!$C$4:$C$2003,$Z642-0)=0,"",INDEX(包装物料出入库明细!$C$4:$C$2003,$Z642-0)),IF($Z642&lt;=4000,IF(INDEX(周转筐出入库明细!$E$4:$E$2004,$Z642-2000)=0,"",INDEX(周转筐出入库明细!$E$4:$E$2004,$Z642-2000)),IF($Z642&lt;=5200,IF(INDEX(客户自备加工筐明细!$D$4:$D$1203,$Z642-4000)=0,"",INDEX(客户自备加工筐明细!$D$4:$D$1203,$Z642-4000)),IF($Z642&lt;=5800,IF(INDEX(次果筐明细!$E$4:$E$603,$Z642-5200)=0,"",INDEX(次果筐明细!$E$4:$E$603,$Z642-5200)),"")))))</f>
        <v/>
      </c>
      <c r="F642" s="24" t="str">
        <f>IF($Z642="","",IF($Z642&lt;=2000,IF(INDEX(包装物料出入库明细!$E$4:$E$2003,$Z642-0)=0,"",INDEX(包装物料出入库明细!$E$4:$E$2003,$Z642-0)),IF($Z642&lt;=4000,IF(INDEX(周转筐出入库明细!$D$4:$D$2004,$Z642-2000)=0,"",INDEX(周转筐出入库明细!$D$4:$D$2004,$Z642-2000)),IF($Z642&lt;=5200,IF(INDEX(客户自备加工筐明细!$C$4:$C$1203,$Z642-4000)=0,"",INDEX(客户自备加工筐明细!$C$4:$C$1203,$Z642-4000)),IF($Z642&lt;=5800,IF(INDEX(次果筐明细!$D$4:$D$603,$Z642-5200)=0,"",INDEX(次果筐明细!$D$4:$D$603,$Z642-5200)),"")))))</f>
        <v/>
      </c>
      <c r="G642" s="24" t="str">
        <f>IF($Z642="","",IF($Z642&lt;=2000,IF(INDEX(包装物料出入库明细!$F$4:$F$2003,$Z642-0)=0,"",INDEX(包装物料出入库明细!$F$4:$F$2003,$Z642-0)),IF($Z642&lt;=4000,"",IF($Z642&lt;=5200,"",IF($Z642&lt;=5800,"","")))))</f>
        <v/>
      </c>
      <c r="H642" s="39" t="str">
        <f>IF($Z642="","",IF($Z642&lt;=2000,IF(INDEX(包装物料出入库明细!$L$4:$L$2003,$Z642-0)=0,"",INDEX(包装物料出入库明细!$L$4:$L$2003,$Z642-0)),IF($Z642&lt;=4000,N(INDEX(周转筐出入库明细!$H$4:$H$2004,$Z642-2000))+N(INDEX(周转筐出入库明细!$I$4:$I$2004,$Z642-2000))+N(INDEX(周转筐出入库明细!$J$4:$J$2004,$Z642-2000))+N(INDEX(周转筐出入库明细!$K$4:$K$2004,$Z642-2000)),IF($Z642&lt;=5200,N(INDEX(客户自备加工筐明细!$F$4:$F$1203,$Z642-4000))+N(INDEX(客户自备加工筐明细!$G$4:$G$1203,$Z642-4000)),IF($Z642&lt;=5800,IF(INDEX(次果筐明细!$G$4:$G$603,$Z642-5200)=0,"",INDEX(次果筐明细!$G$4:$G$603,$Z642-5200)),"")))))</f>
        <v/>
      </c>
      <c r="I642" s="24" t="str">
        <f>IF($Z642="","",IF($Z642&lt;=2000,IF(INDEX(包装物料出入库明细!$G$4:$G$2003,$Z642-0)=0,"",INDEX(包装物料出入库明细!$G$4:$G$2003,$Z642-0)),IF($Z642&lt;=4000,"个",IF($Z642&lt;=5200,"个",IF($Z642&lt;=5800,"个","")))))</f>
        <v/>
      </c>
      <c r="J642" s="30" t="str">
        <f t="shared" si="28"/>
        <v/>
      </c>
      <c r="K642" s="30" t="str">
        <f>IF($Z642="","",IF($Z642&lt;=2000,IF(INDEX(包装物料出入库明细!$N$4:$N$2003,$Z642-0)=0,"",INDEX(包装物料出入库明细!$N$4:$N$2003,$Z642-0)),IF($Z642&lt;=4000,IF(INDEX(周转筐出入库明细!$P$4:$P$2004,$Z642-2000)=0,"",INDEX(周转筐出入库明细!$P$4:$P$2004,$Z642-2000)),IF($Z642&lt;=5200,"",IF($Z642&lt;=5800,N(INDEX(次果筐明细!$L$4:$L$603,$Z642-5200))+N(INDEX(次果筐明细!$J$4:$J$603,$Z642-5200)),"")))))</f>
        <v/>
      </c>
      <c r="L642" s="24" t="str">
        <f>IF($Z642="","",IF($Z642&lt;=2000,IF(INDEX(包装物料出入库明细!$P$4:$P$2003,$Z642-0)=0,"",INDEX(包装物料出入库明细!$P$4:$P$2003,$Z642-0)),IF($Z642&lt;=4000,IF(INDEX(周转筐出入库明细!$Q$4:$Q$2004,$Z642-2000)=0,"",INDEX(周转筐出入库明细!$Q$4:$Q$2004,$Z642-2000)),IF($Z642&lt;=5200,"",IF($Z642&lt;=5800,IF(INDEX(次果筐明细!$M$4:$M$603,$Z642-5200)=0,"",INDEX(次果筐明细!$M$4:$M$603,$Z642-5200)),"")))))</f>
        <v/>
      </c>
      <c r="M642" s="37" t="str">
        <f>IF($Z642="","",IF($Z642&lt;=2000,IF(INDEX(包装物料出入库明细!$R$4:$R$2003,$Z642-0)=0,"",INDEX(包装物料出入库明细!$R$4:$R$2003,$Z642-0)),IF($Z642&lt;=4000,IF(INDEX(周转筐出入库明细!$W$4:$W$2004,$Z642-2000)=0,"",INDEX(周转筐出入库明细!$W$4:$W$2004,$Z642-2000)),IF($Z642&lt;=5200,IF(INDEX(客户自备加工筐明细!$L$4:$L$1203,$Z642-4000)=0,"",INDEX(客户自备加工筐明细!$L$4:$L$1203,$Z642-4000)),IF($Z642&lt;=5800,IF(INDEX(次果筐明细!$P$4:$P$603,$Z642-5200)=0,"",INDEX(次果筐明细!$P$4:$P$603,$Z642-5200)),"")))))</f>
        <v/>
      </c>
      <c r="N642" s="16" t="str">
        <f>IF($Z642="","",IF($Z642&lt;=2000,"",IF($Z642&lt;=4000,IF(INDEX(周转筐出入库明细!$D$4:$D$2004,$Z642-2000)=0,"",INDEX(周转筐出入库明细!$D$4:$D$2004,$Z642-2000)),IF($Z642&lt;=5200,IF(INDEX(客户自备加工筐明细!$C$4:$C$1203,$Z642-4000)=0,"",INDEX(客户自备加工筐明细!$C$4:$C$1203,$Z642-4000)),IF($Z642&lt;=5800,IF(INDEX(次果筐明细!$D$4:$D$603,$Z642-5200)=0,"",INDEX(次果筐明细!$D$4:$D$603,$Z642-5200)),"")))))</f>
        <v/>
      </c>
      <c r="O642" s="40" t="str">
        <f>IF($Z642="","",IF($Z642&lt;=2000,"",IF($Z642&lt;=4000,IF(N(INDEX(周转筐出入库明细!$J$4:$J$2004,$Z642-2000))+N(INDEX(周转筐出入库明细!$K$4:$K$2004,$Z642-2000))=0,"",N(INDEX(周转筐出入库明细!$J$4:$J$2004,$Z642-2000))+N(INDEX(周转筐出入库明细!$K$4:$K$2004,$Z642-2000))),IF($Z642&lt;=5200,IF(N(INDEX(客户自备加工筐明细!$G$4:$G$1203,$Z642-4000))=0,"",N(INDEX(客户自备加工筐明细!$G$4:$G$1203,$Z642-4000))),IF($Z642&lt;=5800,IF(ISNUMBER(SEARCH("退",INDEX(次果筐明细!$F$4:$F$603,$Z642-5200)&amp;"")),"",IF(N(INDEX(次果筐明细!$G$4:$G$603,$Z642-5200))=0,"",N(INDEX(次果筐明细!$G$4:$G$603,$Z642-5200)))),"")))))</f>
        <v/>
      </c>
      <c r="P642" s="40" t="str">
        <f>IF($Z642="","",IF($Z642&lt;=2000,"",IF($Z642&lt;=4000,IF(N(INDEX(周转筐出入库明细!$I$4:$I$2004,$Z642-2000))=0,"",N(INDEX(周转筐出入库明细!$I$4:$I$2004,$Z642-2000))),IF($Z642&lt;=5200,"",IF($Z642&lt;=5800,IF(ISNUMBER(SEARCH("退",INDEX(次果筐明细!$F$4:$F$603,$Z642-5200)&amp;"")),IF(N(INDEX(次果筐明细!$G$4:$G$603,$Z642-5200))=0,"",N(INDEX(次果筐明细!$G$4:$G$603,$Z642-5200))),""),"")))))</f>
        <v/>
      </c>
      <c r="Q642" s="40" t="str">
        <f>IF($Z642="","",IF($Z642&lt;=2000,"",IF($Z642&lt;=4000,IF(N(INDEX(周转筐出入库明细!$H$4:$H$2004,$Z642-2000))=0,"",N(INDEX(周转筐出入库明细!$H$4:$H$2004,$Z642-2000))),IF($Z642&lt;=5200,IF(N(INDEX(客户自备加工筐明细!$F$4:$F$1203,$Z642-4000))=0,"",N(INDEX(客户自备加工筐明细!$F$4:$F$1203,$Z642-4000))),IF($Z642&lt;=5800,"","")))))</f>
        <v/>
      </c>
      <c r="R642" s="16" t="str">
        <f>IF($Z642="","",IF($Z642&lt;=2000,IF(INDEX(包装物料出入库明细!$O$4:$O$2003,$Z642-0)=0,"",INDEX(包装物料出入库明细!$O$4:$O$2003,$Z642-0)),IF($Z642&lt;=4000,IF(INDEX(周转筐出入库明细!$M$4:$M$2004,$Z642-2000)=0,"",INDEX(周转筐出入库明细!$M$4:$M$2004,$Z642-2000)),IF($Z642&lt;=5200,IF(INDEX(客户自备加工筐明细!$H$4:$H$1203,$Z642-4000)=0,"",INDEX(客户自备加工筐明细!$H$4:$H$1203,$Z642-4000)),IF($Z642&lt;=5800,IF(INDEX(次果筐明细!$H$4:$H$603,$Z642-5200)=0,"",INDEX(次果筐明细!$H$4:$H$603,$Z642-5200)),"")))))</f>
        <v/>
      </c>
      <c r="S642" s="22" t="str">
        <f t="shared" si="29"/>
        <v/>
      </c>
      <c r="Z642" s="10" t="str">
        <f>IFERROR(MATCH(ROW()-3,_自动清单!$CQ$4:$CQ$5803,0),"")</f>
        <v/>
      </c>
    </row>
    <row r="643" spans="1:26">
      <c r="A643" s="24" t="str">
        <f t="shared" si="27"/>
        <v/>
      </c>
      <c r="B643" s="38" t="str">
        <f>IF($Z643="","",IF($Z643&lt;=2000,IF(INDEX(包装物料出入库明细!$B$4:$B$2003,$Z643-0)=0,"",INDEX(包装物料出入库明细!$B$4:$B$2003,$Z643-0)),IF($Z643&lt;=4000,IF(INDEX(周转筐出入库明细!$B$4:$B$2004,$Z643-2000)=0,"",INDEX(周转筐出入库明细!$B$4:$B$2004,$Z643-2000)),IF($Z643&lt;=5200,IF(INDEX(客户自备加工筐明细!$B$4:$B$1203,$Z643-4000)=0,"",INDEX(客户自备加工筐明细!$B$4:$B$1203,$Z643-4000)),IF($Z643&lt;=5800,IF(INDEX(次果筐明细!$B$4:$B$603,$Z643-5200)=0,"",INDEX(次果筐明细!$B$4:$B$603,$Z643-5200)),"")))))</f>
        <v/>
      </c>
      <c r="C643" s="37" t="str">
        <f>IF($Z643="","",IF($Z643&lt;=2000,IF(INDEX(包装物料出入库明细!$D$4:$D$2003,$Z643-0)=0,"",INDEX(包装物料出入库明细!$D$4:$D$2003,$Z643-0)),IF($Z643&lt;=4000,IF(INDEX(周转筐出入库明细!$C$4:$C$2004,$Z643-2000)=0,"",INDEX(周转筐出入库明细!$C$4:$C$2004,$Z643-2000)),IF($Z643&lt;=5200,IF(INDEX(客户自备加工筐明细!$E$4:$E$1203,$Z643-4000)=0,"",INDEX(客户自备加工筐明细!$E$4:$E$1203,$Z643-4000)),IF($Z643&lt;=5800,IF(INDEX(次果筐明细!$C$4:$C$603,$Z643-5200)=0,"",INDEX(次果筐明细!$C$4:$C$603,$Z643-5200)),"")))))</f>
        <v/>
      </c>
      <c r="D643" s="37" t="str">
        <f>IF($Z643="","",IF($Z643&lt;=2000,"包装物料－"&amp;INDEX(包装物料出入库明细!$H$4:$H$2003,$Z643-0),IF($Z643&lt;=4000,"周转筐－"&amp;INDEX(周转筐出入库明细!$F$4:$F$2004,$Z643-2000),IF($Z643&lt;=5200,"客户自备筐－"&amp;INDEX(客户自备加工筐明细!$J$4:$J$1203,$Z643-4000),IF($Z643&lt;=5800,"次果筐/托盘－"&amp;INDEX(次果筐明细!$F$4:$F$603,$Z643-5200),"")))))</f>
        <v/>
      </c>
      <c r="E643" s="24" t="str">
        <f>IF($Z643="","",IF($Z643&lt;=2000,IF(INDEX(包装物料出入库明细!$C$4:$C$2003,$Z643-0)=0,"",INDEX(包装物料出入库明细!$C$4:$C$2003,$Z643-0)),IF($Z643&lt;=4000,IF(INDEX(周转筐出入库明细!$E$4:$E$2004,$Z643-2000)=0,"",INDEX(周转筐出入库明细!$E$4:$E$2004,$Z643-2000)),IF($Z643&lt;=5200,IF(INDEX(客户自备加工筐明细!$D$4:$D$1203,$Z643-4000)=0,"",INDEX(客户自备加工筐明细!$D$4:$D$1203,$Z643-4000)),IF($Z643&lt;=5800,IF(INDEX(次果筐明细!$E$4:$E$603,$Z643-5200)=0,"",INDEX(次果筐明细!$E$4:$E$603,$Z643-5200)),"")))))</f>
        <v/>
      </c>
      <c r="F643" s="24" t="str">
        <f>IF($Z643="","",IF($Z643&lt;=2000,IF(INDEX(包装物料出入库明细!$E$4:$E$2003,$Z643-0)=0,"",INDEX(包装物料出入库明细!$E$4:$E$2003,$Z643-0)),IF($Z643&lt;=4000,IF(INDEX(周转筐出入库明细!$D$4:$D$2004,$Z643-2000)=0,"",INDEX(周转筐出入库明细!$D$4:$D$2004,$Z643-2000)),IF($Z643&lt;=5200,IF(INDEX(客户自备加工筐明细!$C$4:$C$1203,$Z643-4000)=0,"",INDEX(客户自备加工筐明细!$C$4:$C$1203,$Z643-4000)),IF($Z643&lt;=5800,IF(INDEX(次果筐明细!$D$4:$D$603,$Z643-5200)=0,"",INDEX(次果筐明细!$D$4:$D$603,$Z643-5200)),"")))))</f>
        <v/>
      </c>
      <c r="G643" s="24" t="str">
        <f>IF($Z643="","",IF($Z643&lt;=2000,IF(INDEX(包装物料出入库明细!$F$4:$F$2003,$Z643-0)=0,"",INDEX(包装物料出入库明细!$F$4:$F$2003,$Z643-0)),IF($Z643&lt;=4000,"",IF($Z643&lt;=5200,"",IF($Z643&lt;=5800,"","")))))</f>
        <v/>
      </c>
      <c r="H643" s="39" t="str">
        <f>IF($Z643="","",IF($Z643&lt;=2000,IF(INDEX(包装物料出入库明细!$L$4:$L$2003,$Z643-0)=0,"",INDEX(包装物料出入库明细!$L$4:$L$2003,$Z643-0)),IF($Z643&lt;=4000,N(INDEX(周转筐出入库明细!$H$4:$H$2004,$Z643-2000))+N(INDEX(周转筐出入库明细!$I$4:$I$2004,$Z643-2000))+N(INDEX(周转筐出入库明细!$J$4:$J$2004,$Z643-2000))+N(INDEX(周转筐出入库明细!$K$4:$K$2004,$Z643-2000)),IF($Z643&lt;=5200,N(INDEX(客户自备加工筐明细!$F$4:$F$1203,$Z643-4000))+N(INDEX(客户自备加工筐明细!$G$4:$G$1203,$Z643-4000)),IF($Z643&lt;=5800,IF(INDEX(次果筐明细!$G$4:$G$603,$Z643-5200)=0,"",INDEX(次果筐明细!$G$4:$G$603,$Z643-5200)),"")))))</f>
        <v/>
      </c>
      <c r="I643" s="24" t="str">
        <f>IF($Z643="","",IF($Z643&lt;=2000,IF(INDEX(包装物料出入库明细!$G$4:$G$2003,$Z643-0)=0,"",INDEX(包装物料出入库明细!$G$4:$G$2003,$Z643-0)),IF($Z643&lt;=4000,"个",IF($Z643&lt;=5200,"个",IF($Z643&lt;=5800,"个","")))))</f>
        <v/>
      </c>
      <c r="J643" s="30" t="str">
        <f t="shared" si="28"/>
        <v/>
      </c>
      <c r="K643" s="30" t="str">
        <f>IF($Z643="","",IF($Z643&lt;=2000,IF(INDEX(包装物料出入库明细!$N$4:$N$2003,$Z643-0)=0,"",INDEX(包装物料出入库明细!$N$4:$N$2003,$Z643-0)),IF($Z643&lt;=4000,IF(INDEX(周转筐出入库明细!$P$4:$P$2004,$Z643-2000)=0,"",INDEX(周转筐出入库明细!$P$4:$P$2004,$Z643-2000)),IF($Z643&lt;=5200,"",IF($Z643&lt;=5800,N(INDEX(次果筐明细!$L$4:$L$603,$Z643-5200))+N(INDEX(次果筐明细!$J$4:$J$603,$Z643-5200)),"")))))</f>
        <v/>
      </c>
      <c r="L643" s="24" t="str">
        <f>IF($Z643="","",IF($Z643&lt;=2000,IF(INDEX(包装物料出入库明细!$P$4:$P$2003,$Z643-0)=0,"",INDEX(包装物料出入库明细!$P$4:$P$2003,$Z643-0)),IF($Z643&lt;=4000,IF(INDEX(周转筐出入库明细!$Q$4:$Q$2004,$Z643-2000)=0,"",INDEX(周转筐出入库明细!$Q$4:$Q$2004,$Z643-2000)),IF($Z643&lt;=5200,"",IF($Z643&lt;=5800,IF(INDEX(次果筐明细!$M$4:$M$603,$Z643-5200)=0,"",INDEX(次果筐明细!$M$4:$M$603,$Z643-5200)),"")))))</f>
        <v/>
      </c>
      <c r="M643" s="37" t="str">
        <f>IF($Z643="","",IF($Z643&lt;=2000,IF(INDEX(包装物料出入库明细!$R$4:$R$2003,$Z643-0)=0,"",INDEX(包装物料出入库明细!$R$4:$R$2003,$Z643-0)),IF($Z643&lt;=4000,IF(INDEX(周转筐出入库明细!$W$4:$W$2004,$Z643-2000)=0,"",INDEX(周转筐出入库明细!$W$4:$W$2004,$Z643-2000)),IF($Z643&lt;=5200,IF(INDEX(客户自备加工筐明细!$L$4:$L$1203,$Z643-4000)=0,"",INDEX(客户自备加工筐明细!$L$4:$L$1203,$Z643-4000)),IF($Z643&lt;=5800,IF(INDEX(次果筐明细!$P$4:$P$603,$Z643-5200)=0,"",INDEX(次果筐明细!$P$4:$P$603,$Z643-5200)),"")))))</f>
        <v/>
      </c>
      <c r="N643" s="16" t="str">
        <f>IF($Z643="","",IF($Z643&lt;=2000,"",IF($Z643&lt;=4000,IF(INDEX(周转筐出入库明细!$D$4:$D$2004,$Z643-2000)=0,"",INDEX(周转筐出入库明细!$D$4:$D$2004,$Z643-2000)),IF($Z643&lt;=5200,IF(INDEX(客户自备加工筐明细!$C$4:$C$1203,$Z643-4000)=0,"",INDEX(客户自备加工筐明细!$C$4:$C$1203,$Z643-4000)),IF($Z643&lt;=5800,IF(INDEX(次果筐明细!$D$4:$D$603,$Z643-5200)=0,"",INDEX(次果筐明细!$D$4:$D$603,$Z643-5200)),"")))))</f>
        <v/>
      </c>
      <c r="O643" s="40" t="str">
        <f>IF($Z643="","",IF($Z643&lt;=2000,"",IF($Z643&lt;=4000,IF(N(INDEX(周转筐出入库明细!$J$4:$J$2004,$Z643-2000))+N(INDEX(周转筐出入库明细!$K$4:$K$2004,$Z643-2000))=0,"",N(INDEX(周转筐出入库明细!$J$4:$J$2004,$Z643-2000))+N(INDEX(周转筐出入库明细!$K$4:$K$2004,$Z643-2000))),IF($Z643&lt;=5200,IF(N(INDEX(客户自备加工筐明细!$G$4:$G$1203,$Z643-4000))=0,"",N(INDEX(客户自备加工筐明细!$G$4:$G$1203,$Z643-4000))),IF($Z643&lt;=5800,IF(ISNUMBER(SEARCH("退",INDEX(次果筐明细!$F$4:$F$603,$Z643-5200)&amp;"")),"",IF(N(INDEX(次果筐明细!$G$4:$G$603,$Z643-5200))=0,"",N(INDEX(次果筐明细!$G$4:$G$603,$Z643-5200)))),"")))))</f>
        <v/>
      </c>
      <c r="P643" s="40" t="str">
        <f>IF($Z643="","",IF($Z643&lt;=2000,"",IF($Z643&lt;=4000,IF(N(INDEX(周转筐出入库明细!$I$4:$I$2004,$Z643-2000))=0,"",N(INDEX(周转筐出入库明细!$I$4:$I$2004,$Z643-2000))),IF($Z643&lt;=5200,"",IF($Z643&lt;=5800,IF(ISNUMBER(SEARCH("退",INDEX(次果筐明细!$F$4:$F$603,$Z643-5200)&amp;"")),IF(N(INDEX(次果筐明细!$G$4:$G$603,$Z643-5200))=0,"",N(INDEX(次果筐明细!$G$4:$G$603,$Z643-5200))),""),"")))))</f>
        <v/>
      </c>
      <c r="Q643" s="40" t="str">
        <f>IF($Z643="","",IF($Z643&lt;=2000,"",IF($Z643&lt;=4000,IF(N(INDEX(周转筐出入库明细!$H$4:$H$2004,$Z643-2000))=0,"",N(INDEX(周转筐出入库明细!$H$4:$H$2004,$Z643-2000))),IF($Z643&lt;=5200,IF(N(INDEX(客户自备加工筐明细!$F$4:$F$1203,$Z643-4000))=0,"",N(INDEX(客户自备加工筐明细!$F$4:$F$1203,$Z643-4000))),IF($Z643&lt;=5800,"","")))))</f>
        <v/>
      </c>
      <c r="R643" s="16" t="str">
        <f>IF($Z643="","",IF($Z643&lt;=2000,IF(INDEX(包装物料出入库明细!$O$4:$O$2003,$Z643-0)=0,"",INDEX(包装物料出入库明细!$O$4:$O$2003,$Z643-0)),IF($Z643&lt;=4000,IF(INDEX(周转筐出入库明细!$M$4:$M$2004,$Z643-2000)=0,"",INDEX(周转筐出入库明细!$M$4:$M$2004,$Z643-2000)),IF($Z643&lt;=5200,IF(INDEX(客户自备加工筐明细!$H$4:$H$1203,$Z643-4000)=0,"",INDEX(客户自备加工筐明细!$H$4:$H$1203,$Z643-4000)),IF($Z643&lt;=5800,IF(INDEX(次果筐明细!$H$4:$H$603,$Z643-5200)=0,"",INDEX(次果筐明细!$H$4:$H$603,$Z643-5200)),"")))))</f>
        <v/>
      </c>
      <c r="S643" s="22" t="str">
        <f t="shared" si="29"/>
        <v/>
      </c>
      <c r="Z643" s="10" t="str">
        <f>IFERROR(MATCH(ROW()-3,_自动清单!$CQ$4:$CQ$5803,0),"")</f>
        <v/>
      </c>
    </row>
    <row r="644" spans="1:26">
      <c r="A644" s="24" t="str">
        <f t="shared" ref="A644:A707" si="30">IF($B644="","",ROW()-3)</f>
        <v/>
      </c>
      <c r="B644" s="38" t="str">
        <f>IF($Z644="","",IF($Z644&lt;=2000,IF(INDEX(包装物料出入库明细!$B$4:$B$2003,$Z644-0)=0,"",INDEX(包装物料出入库明细!$B$4:$B$2003,$Z644-0)),IF($Z644&lt;=4000,IF(INDEX(周转筐出入库明细!$B$4:$B$2004,$Z644-2000)=0,"",INDEX(周转筐出入库明细!$B$4:$B$2004,$Z644-2000)),IF($Z644&lt;=5200,IF(INDEX(客户自备加工筐明细!$B$4:$B$1203,$Z644-4000)=0,"",INDEX(客户自备加工筐明细!$B$4:$B$1203,$Z644-4000)),IF($Z644&lt;=5800,IF(INDEX(次果筐明细!$B$4:$B$603,$Z644-5200)=0,"",INDEX(次果筐明细!$B$4:$B$603,$Z644-5200)),"")))))</f>
        <v/>
      </c>
      <c r="C644" s="37" t="str">
        <f>IF($Z644="","",IF($Z644&lt;=2000,IF(INDEX(包装物料出入库明细!$D$4:$D$2003,$Z644-0)=0,"",INDEX(包装物料出入库明细!$D$4:$D$2003,$Z644-0)),IF($Z644&lt;=4000,IF(INDEX(周转筐出入库明细!$C$4:$C$2004,$Z644-2000)=0,"",INDEX(周转筐出入库明细!$C$4:$C$2004,$Z644-2000)),IF($Z644&lt;=5200,IF(INDEX(客户自备加工筐明细!$E$4:$E$1203,$Z644-4000)=0,"",INDEX(客户自备加工筐明细!$E$4:$E$1203,$Z644-4000)),IF($Z644&lt;=5800,IF(INDEX(次果筐明细!$C$4:$C$603,$Z644-5200)=0,"",INDEX(次果筐明细!$C$4:$C$603,$Z644-5200)),"")))))</f>
        <v/>
      </c>
      <c r="D644" s="37" t="str">
        <f>IF($Z644="","",IF($Z644&lt;=2000,"包装物料－"&amp;INDEX(包装物料出入库明细!$H$4:$H$2003,$Z644-0),IF($Z644&lt;=4000,"周转筐－"&amp;INDEX(周转筐出入库明细!$F$4:$F$2004,$Z644-2000),IF($Z644&lt;=5200,"客户自备筐－"&amp;INDEX(客户自备加工筐明细!$J$4:$J$1203,$Z644-4000),IF($Z644&lt;=5800,"次果筐/托盘－"&amp;INDEX(次果筐明细!$F$4:$F$603,$Z644-5200),"")))))</f>
        <v/>
      </c>
      <c r="E644" s="24" t="str">
        <f>IF($Z644="","",IF($Z644&lt;=2000,IF(INDEX(包装物料出入库明细!$C$4:$C$2003,$Z644-0)=0,"",INDEX(包装物料出入库明细!$C$4:$C$2003,$Z644-0)),IF($Z644&lt;=4000,IF(INDEX(周转筐出入库明细!$E$4:$E$2004,$Z644-2000)=0,"",INDEX(周转筐出入库明细!$E$4:$E$2004,$Z644-2000)),IF($Z644&lt;=5200,IF(INDEX(客户自备加工筐明细!$D$4:$D$1203,$Z644-4000)=0,"",INDEX(客户自备加工筐明细!$D$4:$D$1203,$Z644-4000)),IF($Z644&lt;=5800,IF(INDEX(次果筐明细!$E$4:$E$603,$Z644-5200)=0,"",INDEX(次果筐明细!$E$4:$E$603,$Z644-5200)),"")))))</f>
        <v/>
      </c>
      <c r="F644" s="24" t="str">
        <f>IF($Z644="","",IF($Z644&lt;=2000,IF(INDEX(包装物料出入库明细!$E$4:$E$2003,$Z644-0)=0,"",INDEX(包装物料出入库明细!$E$4:$E$2003,$Z644-0)),IF($Z644&lt;=4000,IF(INDEX(周转筐出入库明细!$D$4:$D$2004,$Z644-2000)=0,"",INDEX(周转筐出入库明细!$D$4:$D$2004,$Z644-2000)),IF($Z644&lt;=5200,IF(INDEX(客户自备加工筐明细!$C$4:$C$1203,$Z644-4000)=0,"",INDEX(客户自备加工筐明细!$C$4:$C$1203,$Z644-4000)),IF($Z644&lt;=5800,IF(INDEX(次果筐明细!$D$4:$D$603,$Z644-5200)=0,"",INDEX(次果筐明细!$D$4:$D$603,$Z644-5200)),"")))))</f>
        <v/>
      </c>
      <c r="G644" s="24" t="str">
        <f>IF($Z644="","",IF($Z644&lt;=2000,IF(INDEX(包装物料出入库明细!$F$4:$F$2003,$Z644-0)=0,"",INDEX(包装物料出入库明细!$F$4:$F$2003,$Z644-0)),IF($Z644&lt;=4000,"",IF($Z644&lt;=5200,"",IF($Z644&lt;=5800,"","")))))</f>
        <v/>
      </c>
      <c r="H644" s="39" t="str">
        <f>IF($Z644="","",IF($Z644&lt;=2000,IF(INDEX(包装物料出入库明细!$L$4:$L$2003,$Z644-0)=0,"",INDEX(包装物料出入库明细!$L$4:$L$2003,$Z644-0)),IF($Z644&lt;=4000,N(INDEX(周转筐出入库明细!$H$4:$H$2004,$Z644-2000))+N(INDEX(周转筐出入库明细!$I$4:$I$2004,$Z644-2000))+N(INDEX(周转筐出入库明细!$J$4:$J$2004,$Z644-2000))+N(INDEX(周转筐出入库明细!$K$4:$K$2004,$Z644-2000)),IF($Z644&lt;=5200,N(INDEX(客户自备加工筐明细!$F$4:$F$1203,$Z644-4000))+N(INDEX(客户自备加工筐明细!$G$4:$G$1203,$Z644-4000)),IF($Z644&lt;=5800,IF(INDEX(次果筐明细!$G$4:$G$603,$Z644-5200)=0,"",INDEX(次果筐明细!$G$4:$G$603,$Z644-5200)),"")))))</f>
        <v/>
      </c>
      <c r="I644" s="24" t="str">
        <f>IF($Z644="","",IF($Z644&lt;=2000,IF(INDEX(包装物料出入库明细!$G$4:$G$2003,$Z644-0)=0,"",INDEX(包装物料出入库明细!$G$4:$G$2003,$Z644-0)),IF($Z644&lt;=4000,"个",IF($Z644&lt;=5200,"个",IF($Z644&lt;=5800,"个","")))))</f>
        <v/>
      </c>
      <c r="J644" s="30" t="str">
        <f t="shared" ref="J644:J707" si="31">IF($Z644="","",IF($Z644&lt;=2000,"",IF($Z644&lt;=4000,"",IF($Z644&lt;=5200,"",IF($Z644&lt;=5800,"","")))))</f>
        <v/>
      </c>
      <c r="K644" s="30" t="str">
        <f>IF($Z644="","",IF($Z644&lt;=2000,IF(INDEX(包装物料出入库明细!$N$4:$N$2003,$Z644-0)=0,"",INDEX(包装物料出入库明细!$N$4:$N$2003,$Z644-0)),IF($Z644&lt;=4000,IF(INDEX(周转筐出入库明细!$P$4:$P$2004,$Z644-2000)=0,"",INDEX(周转筐出入库明细!$P$4:$P$2004,$Z644-2000)),IF($Z644&lt;=5200,"",IF($Z644&lt;=5800,N(INDEX(次果筐明细!$L$4:$L$603,$Z644-5200))+N(INDEX(次果筐明细!$J$4:$J$603,$Z644-5200)),"")))))</f>
        <v/>
      </c>
      <c r="L644" s="24" t="str">
        <f>IF($Z644="","",IF($Z644&lt;=2000,IF(INDEX(包装物料出入库明细!$P$4:$P$2003,$Z644-0)=0,"",INDEX(包装物料出入库明细!$P$4:$P$2003,$Z644-0)),IF($Z644&lt;=4000,IF(INDEX(周转筐出入库明细!$Q$4:$Q$2004,$Z644-2000)=0,"",INDEX(周转筐出入库明细!$Q$4:$Q$2004,$Z644-2000)),IF($Z644&lt;=5200,"",IF($Z644&lt;=5800,IF(INDEX(次果筐明细!$M$4:$M$603,$Z644-5200)=0,"",INDEX(次果筐明细!$M$4:$M$603,$Z644-5200)),"")))))</f>
        <v/>
      </c>
      <c r="M644" s="37" t="str">
        <f>IF($Z644="","",IF($Z644&lt;=2000,IF(INDEX(包装物料出入库明细!$R$4:$R$2003,$Z644-0)=0,"",INDEX(包装物料出入库明细!$R$4:$R$2003,$Z644-0)),IF($Z644&lt;=4000,IF(INDEX(周转筐出入库明细!$W$4:$W$2004,$Z644-2000)=0,"",INDEX(周转筐出入库明细!$W$4:$W$2004,$Z644-2000)),IF($Z644&lt;=5200,IF(INDEX(客户自备加工筐明细!$L$4:$L$1203,$Z644-4000)=0,"",INDEX(客户自备加工筐明细!$L$4:$L$1203,$Z644-4000)),IF($Z644&lt;=5800,IF(INDEX(次果筐明细!$P$4:$P$603,$Z644-5200)=0,"",INDEX(次果筐明细!$P$4:$P$603,$Z644-5200)),"")))))</f>
        <v/>
      </c>
      <c r="N644" s="16" t="str">
        <f>IF($Z644="","",IF($Z644&lt;=2000,"",IF($Z644&lt;=4000,IF(INDEX(周转筐出入库明细!$D$4:$D$2004,$Z644-2000)=0,"",INDEX(周转筐出入库明细!$D$4:$D$2004,$Z644-2000)),IF($Z644&lt;=5200,IF(INDEX(客户自备加工筐明细!$C$4:$C$1203,$Z644-4000)=0,"",INDEX(客户自备加工筐明细!$C$4:$C$1203,$Z644-4000)),IF($Z644&lt;=5800,IF(INDEX(次果筐明细!$D$4:$D$603,$Z644-5200)=0,"",INDEX(次果筐明细!$D$4:$D$603,$Z644-5200)),"")))))</f>
        <v/>
      </c>
      <c r="O644" s="40" t="str">
        <f>IF($Z644="","",IF($Z644&lt;=2000,"",IF($Z644&lt;=4000,IF(N(INDEX(周转筐出入库明细!$J$4:$J$2004,$Z644-2000))+N(INDEX(周转筐出入库明细!$K$4:$K$2004,$Z644-2000))=0,"",N(INDEX(周转筐出入库明细!$J$4:$J$2004,$Z644-2000))+N(INDEX(周转筐出入库明细!$K$4:$K$2004,$Z644-2000))),IF($Z644&lt;=5200,IF(N(INDEX(客户自备加工筐明细!$G$4:$G$1203,$Z644-4000))=0,"",N(INDEX(客户自备加工筐明细!$G$4:$G$1203,$Z644-4000))),IF($Z644&lt;=5800,IF(ISNUMBER(SEARCH("退",INDEX(次果筐明细!$F$4:$F$603,$Z644-5200)&amp;"")),"",IF(N(INDEX(次果筐明细!$G$4:$G$603,$Z644-5200))=0,"",N(INDEX(次果筐明细!$G$4:$G$603,$Z644-5200)))),"")))))</f>
        <v/>
      </c>
      <c r="P644" s="40" t="str">
        <f>IF($Z644="","",IF($Z644&lt;=2000,"",IF($Z644&lt;=4000,IF(N(INDEX(周转筐出入库明细!$I$4:$I$2004,$Z644-2000))=0,"",N(INDEX(周转筐出入库明细!$I$4:$I$2004,$Z644-2000))),IF($Z644&lt;=5200,"",IF($Z644&lt;=5800,IF(ISNUMBER(SEARCH("退",INDEX(次果筐明细!$F$4:$F$603,$Z644-5200)&amp;"")),IF(N(INDEX(次果筐明细!$G$4:$G$603,$Z644-5200))=0,"",N(INDEX(次果筐明细!$G$4:$G$603,$Z644-5200))),""),"")))))</f>
        <v/>
      </c>
      <c r="Q644" s="40" t="str">
        <f>IF($Z644="","",IF($Z644&lt;=2000,"",IF($Z644&lt;=4000,IF(N(INDEX(周转筐出入库明细!$H$4:$H$2004,$Z644-2000))=0,"",N(INDEX(周转筐出入库明细!$H$4:$H$2004,$Z644-2000))),IF($Z644&lt;=5200,IF(N(INDEX(客户自备加工筐明细!$F$4:$F$1203,$Z644-4000))=0,"",N(INDEX(客户自备加工筐明细!$F$4:$F$1203,$Z644-4000))),IF($Z644&lt;=5800,"","")))))</f>
        <v/>
      </c>
      <c r="R644" s="16" t="str">
        <f>IF($Z644="","",IF($Z644&lt;=2000,IF(INDEX(包装物料出入库明细!$O$4:$O$2003,$Z644-0)=0,"",INDEX(包装物料出入库明细!$O$4:$O$2003,$Z644-0)),IF($Z644&lt;=4000,IF(INDEX(周转筐出入库明细!$M$4:$M$2004,$Z644-2000)=0,"",INDEX(周转筐出入库明细!$M$4:$M$2004,$Z644-2000)),IF($Z644&lt;=5200,IF(INDEX(客户自备加工筐明细!$H$4:$H$1203,$Z644-4000)=0,"",INDEX(客户自备加工筐明细!$H$4:$H$1203,$Z644-4000)),IF($Z644&lt;=5800,IF(INDEX(次果筐明细!$H$4:$H$603,$Z644-5200)=0,"",INDEX(次果筐明细!$H$4:$H$603,$Z644-5200)),"")))))</f>
        <v/>
      </c>
      <c r="S644" s="22" t="str">
        <f t="shared" ref="S644:S707" si="32">IF($N644="","",IF(OR(LEFT($N644,2)="自备",AND($Z644&gt;4000,$Z644&lt;=5200)),"自备筐","公司筐"))</f>
        <v/>
      </c>
      <c r="Z644" s="10" t="str">
        <f>IFERROR(MATCH(ROW()-3,_自动清单!$CQ$4:$CQ$5803,0),"")</f>
        <v/>
      </c>
    </row>
    <row r="645" spans="1:26">
      <c r="A645" s="24" t="str">
        <f t="shared" si="30"/>
        <v/>
      </c>
      <c r="B645" s="38" t="str">
        <f>IF($Z645="","",IF($Z645&lt;=2000,IF(INDEX(包装物料出入库明细!$B$4:$B$2003,$Z645-0)=0,"",INDEX(包装物料出入库明细!$B$4:$B$2003,$Z645-0)),IF($Z645&lt;=4000,IF(INDEX(周转筐出入库明细!$B$4:$B$2004,$Z645-2000)=0,"",INDEX(周转筐出入库明细!$B$4:$B$2004,$Z645-2000)),IF($Z645&lt;=5200,IF(INDEX(客户自备加工筐明细!$B$4:$B$1203,$Z645-4000)=0,"",INDEX(客户自备加工筐明细!$B$4:$B$1203,$Z645-4000)),IF($Z645&lt;=5800,IF(INDEX(次果筐明细!$B$4:$B$603,$Z645-5200)=0,"",INDEX(次果筐明细!$B$4:$B$603,$Z645-5200)),"")))))</f>
        <v/>
      </c>
      <c r="C645" s="37" t="str">
        <f>IF($Z645="","",IF($Z645&lt;=2000,IF(INDEX(包装物料出入库明细!$D$4:$D$2003,$Z645-0)=0,"",INDEX(包装物料出入库明细!$D$4:$D$2003,$Z645-0)),IF($Z645&lt;=4000,IF(INDEX(周转筐出入库明细!$C$4:$C$2004,$Z645-2000)=0,"",INDEX(周转筐出入库明细!$C$4:$C$2004,$Z645-2000)),IF($Z645&lt;=5200,IF(INDEX(客户自备加工筐明细!$E$4:$E$1203,$Z645-4000)=0,"",INDEX(客户自备加工筐明细!$E$4:$E$1203,$Z645-4000)),IF($Z645&lt;=5800,IF(INDEX(次果筐明细!$C$4:$C$603,$Z645-5200)=0,"",INDEX(次果筐明细!$C$4:$C$603,$Z645-5200)),"")))))</f>
        <v/>
      </c>
      <c r="D645" s="37" t="str">
        <f>IF($Z645="","",IF($Z645&lt;=2000,"包装物料－"&amp;INDEX(包装物料出入库明细!$H$4:$H$2003,$Z645-0),IF($Z645&lt;=4000,"周转筐－"&amp;INDEX(周转筐出入库明细!$F$4:$F$2004,$Z645-2000),IF($Z645&lt;=5200,"客户自备筐－"&amp;INDEX(客户自备加工筐明细!$J$4:$J$1203,$Z645-4000),IF($Z645&lt;=5800,"次果筐/托盘－"&amp;INDEX(次果筐明细!$F$4:$F$603,$Z645-5200),"")))))</f>
        <v/>
      </c>
      <c r="E645" s="24" t="str">
        <f>IF($Z645="","",IF($Z645&lt;=2000,IF(INDEX(包装物料出入库明细!$C$4:$C$2003,$Z645-0)=0,"",INDEX(包装物料出入库明细!$C$4:$C$2003,$Z645-0)),IF($Z645&lt;=4000,IF(INDEX(周转筐出入库明细!$E$4:$E$2004,$Z645-2000)=0,"",INDEX(周转筐出入库明细!$E$4:$E$2004,$Z645-2000)),IF($Z645&lt;=5200,IF(INDEX(客户自备加工筐明细!$D$4:$D$1203,$Z645-4000)=0,"",INDEX(客户自备加工筐明细!$D$4:$D$1203,$Z645-4000)),IF($Z645&lt;=5800,IF(INDEX(次果筐明细!$E$4:$E$603,$Z645-5200)=0,"",INDEX(次果筐明细!$E$4:$E$603,$Z645-5200)),"")))))</f>
        <v/>
      </c>
      <c r="F645" s="24" t="str">
        <f>IF($Z645="","",IF($Z645&lt;=2000,IF(INDEX(包装物料出入库明细!$E$4:$E$2003,$Z645-0)=0,"",INDEX(包装物料出入库明细!$E$4:$E$2003,$Z645-0)),IF($Z645&lt;=4000,IF(INDEX(周转筐出入库明细!$D$4:$D$2004,$Z645-2000)=0,"",INDEX(周转筐出入库明细!$D$4:$D$2004,$Z645-2000)),IF($Z645&lt;=5200,IF(INDEX(客户自备加工筐明细!$C$4:$C$1203,$Z645-4000)=0,"",INDEX(客户自备加工筐明细!$C$4:$C$1203,$Z645-4000)),IF($Z645&lt;=5800,IF(INDEX(次果筐明细!$D$4:$D$603,$Z645-5200)=0,"",INDEX(次果筐明细!$D$4:$D$603,$Z645-5200)),"")))))</f>
        <v/>
      </c>
      <c r="G645" s="24" t="str">
        <f>IF($Z645="","",IF($Z645&lt;=2000,IF(INDEX(包装物料出入库明细!$F$4:$F$2003,$Z645-0)=0,"",INDEX(包装物料出入库明细!$F$4:$F$2003,$Z645-0)),IF($Z645&lt;=4000,"",IF($Z645&lt;=5200,"",IF($Z645&lt;=5800,"","")))))</f>
        <v/>
      </c>
      <c r="H645" s="39" t="str">
        <f>IF($Z645="","",IF($Z645&lt;=2000,IF(INDEX(包装物料出入库明细!$L$4:$L$2003,$Z645-0)=0,"",INDEX(包装物料出入库明细!$L$4:$L$2003,$Z645-0)),IF($Z645&lt;=4000,N(INDEX(周转筐出入库明细!$H$4:$H$2004,$Z645-2000))+N(INDEX(周转筐出入库明细!$I$4:$I$2004,$Z645-2000))+N(INDEX(周转筐出入库明细!$J$4:$J$2004,$Z645-2000))+N(INDEX(周转筐出入库明细!$K$4:$K$2004,$Z645-2000)),IF($Z645&lt;=5200,N(INDEX(客户自备加工筐明细!$F$4:$F$1203,$Z645-4000))+N(INDEX(客户自备加工筐明细!$G$4:$G$1203,$Z645-4000)),IF($Z645&lt;=5800,IF(INDEX(次果筐明细!$G$4:$G$603,$Z645-5200)=0,"",INDEX(次果筐明细!$G$4:$G$603,$Z645-5200)),"")))))</f>
        <v/>
      </c>
      <c r="I645" s="24" t="str">
        <f>IF($Z645="","",IF($Z645&lt;=2000,IF(INDEX(包装物料出入库明细!$G$4:$G$2003,$Z645-0)=0,"",INDEX(包装物料出入库明细!$G$4:$G$2003,$Z645-0)),IF($Z645&lt;=4000,"个",IF($Z645&lt;=5200,"个",IF($Z645&lt;=5800,"个","")))))</f>
        <v/>
      </c>
      <c r="J645" s="30" t="str">
        <f t="shared" si="31"/>
        <v/>
      </c>
      <c r="K645" s="30" t="str">
        <f>IF($Z645="","",IF($Z645&lt;=2000,IF(INDEX(包装物料出入库明细!$N$4:$N$2003,$Z645-0)=0,"",INDEX(包装物料出入库明细!$N$4:$N$2003,$Z645-0)),IF($Z645&lt;=4000,IF(INDEX(周转筐出入库明细!$P$4:$P$2004,$Z645-2000)=0,"",INDEX(周转筐出入库明细!$P$4:$P$2004,$Z645-2000)),IF($Z645&lt;=5200,"",IF($Z645&lt;=5800,N(INDEX(次果筐明细!$L$4:$L$603,$Z645-5200))+N(INDEX(次果筐明细!$J$4:$J$603,$Z645-5200)),"")))))</f>
        <v/>
      </c>
      <c r="L645" s="24" t="str">
        <f>IF($Z645="","",IF($Z645&lt;=2000,IF(INDEX(包装物料出入库明细!$P$4:$P$2003,$Z645-0)=0,"",INDEX(包装物料出入库明细!$P$4:$P$2003,$Z645-0)),IF($Z645&lt;=4000,IF(INDEX(周转筐出入库明细!$Q$4:$Q$2004,$Z645-2000)=0,"",INDEX(周转筐出入库明细!$Q$4:$Q$2004,$Z645-2000)),IF($Z645&lt;=5200,"",IF($Z645&lt;=5800,IF(INDEX(次果筐明细!$M$4:$M$603,$Z645-5200)=0,"",INDEX(次果筐明细!$M$4:$M$603,$Z645-5200)),"")))))</f>
        <v/>
      </c>
      <c r="M645" s="37" t="str">
        <f>IF($Z645="","",IF($Z645&lt;=2000,IF(INDEX(包装物料出入库明细!$R$4:$R$2003,$Z645-0)=0,"",INDEX(包装物料出入库明细!$R$4:$R$2003,$Z645-0)),IF($Z645&lt;=4000,IF(INDEX(周转筐出入库明细!$W$4:$W$2004,$Z645-2000)=0,"",INDEX(周转筐出入库明细!$W$4:$W$2004,$Z645-2000)),IF($Z645&lt;=5200,IF(INDEX(客户自备加工筐明细!$L$4:$L$1203,$Z645-4000)=0,"",INDEX(客户自备加工筐明细!$L$4:$L$1203,$Z645-4000)),IF($Z645&lt;=5800,IF(INDEX(次果筐明细!$P$4:$P$603,$Z645-5200)=0,"",INDEX(次果筐明细!$P$4:$P$603,$Z645-5200)),"")))))</f>
        <v/>
      </c>
      <c r="N645" s="16" t="str">
        <f>IF($Z645="","",IF($Z645&lt;=2000,"",IF($Z645&lt;=4000,IF(INDEX(周转筐出入库明细!$D$4:$D$2004,$Z645-2000)=0,"",INDEX(周转筐出入库明细!$D$4:$D$2004,$Z645-2000)),IF($Z645&lt;=5200,IF(INDEX(客户自备加工筐明细!$C$4:$C$1203,$Z645-4000)=0,"",INDEX(客户自备加工筐明细!$C$4:$C$1203,$Z645-4000)),IF($Z645&lt;=5800,IF(INDEX(次果筐明细!$D$4:$D$603,$Z645-5200)=0,"",INDEX(次果筐明细!$D$4:$D$603,$Z645-5200)),"")))))</f>
        <v/>
      </c>
      <c r="O645" s="40" t="str">
        <f>IF($Z645="","",IF($Z645&lt;=2000,"",IF($Z645&lt;=4000,IF(N(INDEX(周转筐出入库明细!$J$4:$J$2004,$Z645-2000))+N(INDEX(周转筐出入库明细!$K$4:$K$2004,$Z645-2000))=0,"",N(INDEX(周转筐出入库明细!$J$4:$J$2004,$Z645-2000))+N(INDEX(周转筐出入库明细!$K$4:$K$2004,$Z645-2000))),IF($Z645&lt;=5200,IF(N(INDEX(客户自备加工筐明细!$G$4:$G$1203,$Z645-4000))=0,"",N(INDEX(客户自备加工筐明细!$G$4:$G$1203,$Z645-4000))),IF($Z645&lt;=5800,IF(ISNUMBER(SEARCH("退",INDEX(次果筐明细!$F$4:$F$603,$Z645-5200)&amp;"")),"",IF(N(INDEX(次果筐明细!$G$4:$G$603,$Z645-5200))=0,"",N(INDEX(次果筐明细!$G$4:$G$603,$Z645-5200)))),"")))))</f>
        <v/>
      </c>
      <c r="P645" s="40" t="str">
        <f>IF($Z645="","",IF($Z645&lt;=2000,"",IF($Z645&lt;=4000,IF(N(INDEX(周转筐出入库明细!$I$4:$I$2004,$Z645-2000))=0,"",N(INDEX(周转筐出入库明细!$I$4:$I$2004,$Z645-2000))),IF($Z645&lt;=5200,"",IF($Z645&lt;=5800,IF(ISNUMBER(SEARCH("退",INDEX(次果筐明细!$F$4:$F$603,$Z645-5200)&amp;"")),IF(N(INDEX(次果筐明细!$G$4:$G$603,$Z645-5200))=0,"",N(INDEX(次果筐明细!$G$4:$G$603,$Z645-5200))),""),"")))))</f>
        <v/>
      </c>
      <c r="Q645" s="40" t="str">
        <f>IF($Z645="","",IF($Z645&lt;=2000,"",IF($Z645&lt;=4000,IF(N(INDEX(周转筐出入库明细!$H$4:$H$2004,$Z645-2000))=0,"",N(INDEX(周转筐出入库明细!$H$4:$H$2004,$Z645-2000))),IF($Z645&lt;=5200,IF(N(INDEX(客户自备加工筐明细!$F$4:$F$1203,$Z645-4000))=0,"",N(INDEX(客户自备加工筐明细!$F$4:$F$1203,$Z645-4000))),IF($Z645&lt;=5800,"","")))))</f>
        <v/>
      </c>
      <c r="R645" s="16" t="str">
        <f>IF($Z645="","",IF($Z645&lt;=2000,IF(INDEX(包装物料出入库明细!$O$4:$O$2003,$Z645-0)=0,"",INDEX(包装物料出入库明细!$O$4:$O$2003,$Z645-0)),IF($Z645&lt;=4000,IF(INDEX(周转筐出入库明细!$M$4:$M$2004,$Z645-2000)=0,"",INDEX(周转筐出入库明细!$M$4:$M$2004,$Z645-2000)),IF($Z645&lt;=5200,IF(INDEX(客户自备加工筐明细!$H$4:$H$1203,$Z645-4000)=0,"",INDEX(客户自备加工筐明细!$H$4:$H$1203,$Z645-4000)),IF($Z645&lt;=5800,IF(INDEX(次果筐明细!$H$4:$H$603,$Z645-5200)=0,"",INDEX(次果筐明细!$H$4:$H$603,$Z645-5200)),"")))))</f>
        <v/>
      </c>
      <c r="S645" s="22" t="str">
        <f t="shared" si="32"/>
        <v/>
      </c>
      <c r="Z645" s="10" t="str">
        <f>IFERROR(MATCH(ROW()-3,_自动清单!$CQ$4:$CQ$5803,0),"")</f>
        <v/>
      </c>
    </row>
    <row r="646" spans="1:26">
      <c r="A646" s="24" t="str">
        <f t="shared" si="30"/>
        <v/>
      </c>
      <c r="B646" s="38" t="str">
        <f>IF($Z646="","",IF($Z646&lt;=2000,IF(INDEX(包装物料出入库明细!$B$4:$B$2003,$Z646-0)=0,"",INDEX(包装物料出入库明细!$B$4:$B$2003,$Z646-0)),IF($Z646&lt;=4000,IF(INDEX(周转筐出入库明细!$B$4:$B$2004,$Z646-2000)=0,"",INDEX(周转筐出入库明细!$B$4:$B$2004,$Z646-2000)),IF($Z646&lt;=5200,IF(INDEX(客户自备加工筐明细!$B$4:$B$1203,$Z646-4000)=0,"",INDEX(客户自备加工筐明细!$B$4:$B$1203,$Z646-4000)),IF($Z646&lt;=5800,IF(INDEX(次果筐明细!$B$4:$B$603,$Z646-5200)=0,"",INDEX(次果筐明细!$B$4:$B$603,$Z646-5200)),"")))))</f>
        <v/>
      </c>
      <c r="C646" s="37" t="str">
        <f>IF($Z646="","",IF($Z646&lt;=2000,IF(INDEX(包装物料出入库明细!$D$4:$D$2003,$Z646-0)=0,"",INDEX(包装物料出入库明细!$D$4:$D$2003,$Z646-0)),IF($Z646&lt;=4000,IF(INDEX(周转筐出入库明细!$C$4:$C$2004,$Z646-2000)=0,"",INDEX(周转筐出入库明细!$C$4:$C$2004,$Z646-2000)),IF($Z646&lt;=5200,IF(INDEX(客户自备加工筐明细!$E$4:$E$1203,$Z646-4000)=0,"",INDEX(客户自备加工筐明细!$E$4:$E$1203,$Z646-4000)),IF($Z646&lt;=5800,IF(INDEX(次果筐明细!$C$4:$C$603,$Z646-5200)=0,"",INDEX(次果筐明细!$C$4:$C$603,$Z646-5200)),"")))))</f>
        <v/>
      </c>
      <c r="D646" s="37" t="str">
        <f>IF($Z646="","",IF($Z646&lt;=2000,"包装物料－"&amp;INDEX(包装物料出入库明细!$H$4:$H$2003,$Z646-0),IF($Z646&lt;=4000,"周转筐－"&amp;INDEX(周转筐出入库明细!$F$4:$F$2004,$Z646-2000),IF($Z646&lt;=5200,"客户自备筐－"&amp;INDEX(客户自备加工筐明细!$J$4:$J$1203,$Z646-4000),IF($Z646&lt;=5800,"次果筐/托盘－"&amp;INDEX(次果筐明细!$F$4:$F$603,$Z646-5200),"")))))</f>
        <v/>
      </c>
      <c r="E646" s="24" t="str">
        <f>IF($Z646="","",IF($Z646&lt;=2000,IF(INDEX(包装物料出入库明细!$C$4:$C$2003,$Z646-0)=0,"",INDEX(包装物料出入库明细!$C$4:$C$2003,$Z646-0)),IF($Z646&lt;=4000,IF(INDEX(周转筐出入库明细!$E$4:$E$2004,$Z646-2000)=0,"",INDEX(周转筐出入库明细!$E$4:$E$2004,$Z646-2000)),IF($Z646&lt;=5200,IF(INDEX(客户自备加工筐明细!$D$4:$D$1203,$Z646-4000)=0,"",INDEX(客户自备加工筐明细!$D$4:$D$1203,$Z646-4000)),IF($Z646&lt;=5800,IF(INDEX(次果筐明细!$E$4:$E$603,$Z646-5200)=0,"",INDEX(次果筐明细!$E$4:$E$603,$Z646-5200)),"")))))</f>
        <v/>
      </c>
      <c r="F646" s="24" t="str">
        <f>IF($Z646="","",IF($Z646&lt;=2000,IF(INDEX(包装物料出入库明细!$E$4:$E$2003,$Z646-0)=0,"",INDEX(包装物料出入库明细!$E$4:$E$2003,$Z646-0)),IF($Z646&lt;=4000,IF(INDEX(周转筐出入库明细!$D$4:$D$2004,$Z646-2000)=0,"",INDEX(周转筐出入库明细!$D$4:$D$2004,$Z646-2000)),IF($Z646&lt;=5200,IF(INDEX(客户自备加工筐明细!$C$4:$C$1203,$Z646-4000)=0,"",INDEX(客户自备加工筐明细!$C$4:$C$1203,$Z646-4000)),IF($Z646&lt;=5800,IF(INDEX(次果筐明细!$D$4:$D$603,$Z646-5200)=0,"",INDEX(次果筐明细!$D$4:$D$603,$Z646-5200)),"")))))</f>
        <v/>
      </c>
      <c r="G646" s="24" t="str">
        <f>IF($Z646="","",IF($Z646&lt;=2000,IF(INDEX(包装物料出入库明细!$F$4:$F$2003,$Z646-0)=0,"",INDEX(包装物料出入库明细!$F$4:$F$2003,$Z646-0)),IF($Z646&lt;=4000,"",IF($Z646&lt;=5200,"",IF($Z646&lt;=5800,"","")))))</f>
        <v/>
      </c>
      <c r="H646" s="39" t="str">
        <f>IF($Z646="","",IF($Z646&lt;=2000,IF(INDEX(包装物料出入库明细!$L$4:$L$2003,$Z646-0)=0,"",INDEX(包装物料出入库明细!$L$4:$L$2003,$Z646-0)),IF($Z646&lt;=4000,N(INDEX(周转筐出入库明细!$H$4:$H$2004,$Z646-2000))+N(INDEX(周转筐出入库明细!$I$4:$I$2004,$Z646-2000))+N(INDEX(周转筐出入库明细!$J$4:$J$2004,$Z646-2000))+N(INDEX(周转筐出入库明细!$K$4:$K$2004,$Z646-2000)),IF($Z646&lt;=5200,N(INDEX(客户自备加工筐明细!$F$4:$F$1203,$Z646-4000))+N(INDEX(客户自备加工筐明细!$G$4:$G$1203,$Z646-4000)),IF($Z646&lt;=5800,IF(INDEX(次果筐明细!$G$4:$G$603,$Z646-5200)=0,"",INDEX(次果筐明细!$G$4:$G$603,$Z646-5200)),"")))))</f>
        <v/>
      </c>
      <c r="I646" s="24" t="str">
        <f>IF($Z646="","",IF($Z646&lt;=2000,IF(INDEX(包装物料出入库明细!$G$4:$G$2003,$Z646-0)=0,"",INDEX(包装物料出入库明细!$G$4:$G$2003,$Z646-0)),IF($Z646&lt;=4000,"个",IF($Z646&lt;=5200,"个",IF($Z646&lt;=5800,"个","")))))</f>
        <v/>
      </c>
      <c r="J646" s="30" t="str">
        <f t="shared" si="31"/>
        <v/>
      </c>
      <c r="K646" s="30" t="str">
        <f>IF($Z646="","",IF($Z646&lt;=2000,IF(INDEX(包装物料出入库明细!$N$4:$N$2003,$Z646-0)=0,"",INDEX(包装物料出入库明细!$N$4:$N$2003,$Z646-0)),IF($Z646&lt;=4000,IF(INDEX(周转筐出入库明细!$P$4:$P$2004,$Z646-2000)=0,"",INDEX(周转筐出入库明细!$P$4:$P$2004,$Z646-2000)),IF($Z646&lt;=5200,"",IF($Z646&lt;=5800,N(INDEX(次果筐明细!$L$4:$L$603,$Z646-5200))+N(INDEX(次果筐明细!$J$4:$J$603,$Z646-5200)),"")))))</f>
        <v/>
      </c>
      <c r="L646" s="24" t="str">
        <f>IF($Z646="","",IF($Z646&lt;=2000,IF(INDEX(包装物料出入库明细!$P$4:$P$2003,$Z646-0)=0,"",INDEX(包装物料出入库明细!$P$4:$P$2003,$Z646-0)),IF($Z646&lt;=4000,IF(INDEX(周转筐出入库明细!$Q$4:$Q$2004,$Z646-2000)=0,"",INDEX(周转筐出入库明细!$Q$4:$Q$2004,$Z646-2000)),IF($Z646&lt;=5200,"",IF($Z646&lt;=5800,IF(INDEX(次果筐明细!$M$4:$M$603,$Z646-5200)=0,"",INDEX(次果筐明细!$M$4:$M$603,$Z646-5200)),"")))))</f>
        <v/>
      </c>
      <c r="M646" s="37" t="str">
        <f>IF($Z646="","",IF($Z646&lt;=2000,IF(INDEX(包装物料出入库明细!$R$4:$R$2003,$Z646-0)=0,"",INDEX(包装物料出入库明细!$R$4:$R$2003,$Z646-0)),IF($Z646&lt;=4000,IF(INDEX(周转筐出入库明细!$W$4:$W$2004,$Z646-2000)=0,"",INDEX(周转筐出入库明细!$W$4:$W$2004,$Z646-2000)),IF($Z646&lt;=5200,IF(INDEX(客户自备加工筐明细!$L$4:$L$1203,$Z646-4000)=0,"",INDEX(客户自备加工筐明细!$L$4:$L$1203,$Z646-4000)),IF($Z646&lt;=5800,IF(INDEX(次果筐明细!$P$4:$P$603,$Z646-5200)=0,"",INDEX(次果筐明细!$P$4:$P$603,$Z646-5200)),"")))))</f>
        <v/>
      </c>
      <c r="N646" s="16" t="str">
        <f>IF($Z646="","",IF($Z646&lt;=2000,"",IF($Z646&lt;=4000,IF(INDEX(周转筐出入库明细!$D$4:$D$2004,$Z646-2000)=0,"",INDEX(周转筐出入库明细!$D$4:$D$2004,$Z646-2000)),IF($Z646&lt;=5200,IF(INDEX(客户自备加工筐明细!$C$4:$C$1203,$Z646-4000)=0,"",INDEX(客户自备加工筐明细!$C$4:$C$1203,$Z646-4000)),IF($Z646&lt;=5800,IF(INDEX(次果筐明细!$D$4:$D$603,$Z646-5200)=0,"",INDEX(次果筐明细!$D$4:$D$603,$Z646-5200)),"")))))</f>
        <v/>
      </c>
      <c r="O646" s="40" t="str">
        <f>IF($Z646="","",IF($Z646&lt;=2000,"",IF($Z646&lt;=4000,IF(N(INDEX(周转筐出入库明细!$J$4:$J$2004,$Z646-2000))+N(INDEX(周转筐出入库明细!$K$4:$K$2004,$Z646-2000))=0,"",N(INDEX(周转筐出入库明细!$J$4:$J$2004,$Z646-2000))+N(INDEX(周转筐出入库明细!$K$4:$K$2004,$Z646-2000))),IF($Z646&lt;=5200,IF(N(INDEX(客户自备加工筐明细!$G$4:$G$1203,$Z646-4000))=0,"",N(INDEX(客户自备加工筐明细!$G$4:$G$1203,$Z646-4000))),IF($Z646&lt;=5800,IF(ISNUMBER(SEARCH("退",INDEX(次果筐明细!$F$4:$F$603,$Z646-5200)&amp;"")),"",IF(N(INDEX(次果筐明细!$G$4:$G$603,$Z646-5200))=0,"",N(INDEX(次果筐明细!$G$4:$G$603,$Z646-5200)))),"")))))</f>
        <v/>
      </c>
      <c r="P646" s="40" t="str">
        <f>IF($Z646="","",IF($Z646&lt;=2000,"",IF($Z646&lt;=4000,IF(N(INDEX(周转筐出入库明细!$I$4:$I$2004,$Z646-2000))=0,"",N(INDEX(周转筐出入库明细!$I$4:$I$2004,$Z646-2000))),IF($Z646&lt;=5200,"",IF($Z646&lt;=5800,IF(ISNUMBER(SEARCH("退",INDEX(次果筐明细!$F$4:$F$603,$Z646-5200)&amp;"")),IF(N(INDEX(次果筐明细!$G$4:$G$603,$Z646-5200))=0,"",N(INDEX(次果筐明细!$G$4:$G$603,$Z646-5200))),""),"")))))</f>
        <v/>
      </c>
      <c r="Q646" s="40" t="str">
        <f>IF($Z646="","",IF($Z646&lt;=2000,"",IF($Z646&lt;=4000,IF(N(INDEX(周转筐出入库明细!$H$4:$H$2004,$Z646-2000))=0,"",N(INDEX(周转筐出入库明细!$H$4:$H$2004,$Z646-2000))),IF($Z646&lt;=5200,IF(N(INDEX(客户自备加工筐明细!$F$4:$F$1203,$Z646-4000))=0,"",N(INDEX(客户自备加工筐明细!$F$4:$F$1203,$Z646-4000))),IF($Z646&lt;=5800,"","")))))</f>
        <v/>
      </c>
      <c r="R646" s="16" t="str">
        <f>IF($Z646="","",IF($Z646&lt;=2000,IF(INDEX(包装物料出入库明细!$O$4:$O$2003,$Z646-0)=0,"",INDEX(包装物料出入库明细!$O$4:$O$2003,$Z646-0)),IF($Z646&lt;=4000,IF(INDEX(周转筐出入库明细!$M$4:$M$2004,$Z646-2000)=0,"",INDEX(周转筐出入库明细!$M$4:$M$2004,$Z646-2000)),IF($Z646&lt;=5200,IF(INDEX(客户自备加工筐明细!$H$4:$H$1203,$Z646-4000)=0,"",INDEX(客户自备加工筐明细!$H$4:$H$1203,$Z646-4000)),IF($Z646&lt;=5800,IF(INDEX(次果筐明细!$H$4:$H$603,$Z646-5200)=0,"",INDEX(次果筐明细!$H$4:$H$603,$Z646-5200)),"")))))</f>
        <v/>
      </c>
      <c r="S646" s="22" t="str">
        <f t="shared" si="32"/>
        <v/>
      </c>
      <c r="Z646" s="10" t="str">
        <f>IFERROR(MATCH(ROW()-3,_自动清单!$CQ$4:$CQ$5803,0),"")</f>
        <v/>
      </c>
    </row>
    <row r="647" spans="1:26">
      <c r="A647" s="24" t="str">
        <f t="shared" si="30"/>
        <v/>
      </c>
      <c r="B647" s="38" t="str">
        <f>IF($Z647="","",IF($Z647&lt;=2000,IF(INDEX(包装物料出入库明细!$B$4:$B$2003,$Z647-0)=0,"",INDEX(包装物料出入库明细!$B$4:$B$2003,$Z647-0)),IF($Z647&lt;=4000,IF(INDEX(周转筐出入库明细!$B$4:$B$2004,$Z647-2000)=0,"",INDEX(周转筐出入库明细!$B$4:$B$2004,$Z647-2000)),IF($Z647&lt;=5200,IF(INDEX(客户自备加工筐明细!$B$4:$B$1203,$Z647-4000)=0,"",INDEX(客户自备加工筐明细!$B$4:$B$1203,$Z647-4000)),IF($Z647&lt;=5800,IF(INDEX(次果筐明细!$B$4:$B$603,$Z647-5200)=0,"",INDEX(次果筐明细!$B$4:$B$603,$Z647-5200)),"")))))</f>
        <v/>
      </c>
      <c r="C647" s="37" t="str">
        <f>IF($Z647="","",IF($Z647&lt;=2000,IF(INDEX(包装物料出入库明细!$D$4:$D$2003,$Z647-0)=0,"",INDEX(包装物料出入库明细!$D$4:$D$2003,$Z647-0)),IF($Z647&lt;=4000,IF(INDEX(周转筐出入库明细!$C$4:$C$2004,$Z647-2000)=0,"",INDEX(周转筐出入库明细!$C$4:$C$2004,$Z647-2000)),IF($Z647&lt;=5200,IF(INDEX(客户自备加工筐明细!$E$4:$E$1203,$Z647-4000)=0,"",INDEX(客户自备加工筐明细!$E$4:$E$1203,$Z647-4000)),IF($Z647&lt;=5800,IF(INDEX(次果筐明细!$C$4:$C$603,$Z647-5200)=0,"",INDEX(次果筐明细!$C$4:$C$603,$Z647-5200)),"")))))</f>
        <v/>
      </c>
      <c r="D647" s="37" t="str">
        <f>IF($Z647="","",IF($Z647&lt;=2000,"包装物料－"&amp;INDEX(包装物料出入库明细!$H$4:$H$2003,$Z647-0),IF($Z647&lt;=4000,"周转筐－"&amp;INDEX(周转筐出入库明细!$F$4:$F$2004,$Z647-2000),IF($Z647&lt;=5200,"客户自备筐－"&amp;INDEX(客户自备加工筐明细!$J$4:$J$1203,$Z647-4000),IF($Z647&lt;=5800,"次果筐/托盘－"&amp;INDEX(次果筐明细!$F$4:$F$603,$Z647-5200),"")))))</f>
        <v/>
      </c>
      <c r="E647" s="24" t="str">
        <f>IF($Z647="","",IF($Z647&lt;=2000,IF(INDEX(包装物料出入库明细!$C$4:$C$2003,$Z647-0)=0,"",INDEX(包装物料出入库明细!$C$4:$C$2003,$Z647-0)),IF($Z647&lt;=4000,IF(INDEX(周转筐出入库明细!$E$4:$E$2004,$Z647-2000)=0,"",INDEX(周转筐出入库明细!$E$4:$E$2004,$Z647-2000)),IF($Z647&lt;=5200,IF(INDEX(客户自备加工筐明细!$D$4:$D$1203,$Z647-4000)=0,"",INDEX(客户自备加工筐明细!$D$4:$D$1203,$Z647-4000)),IF($Z647&lt;=5800,IF(INDEX(次果筐明细!$E$4:$E$603,$Z647-5200)=0,"",INDEX(次果筐明细!$E$4:$E$603,$Z647-5200)),"")))))</f>
        <v/>
      </c>
      <c r="F647" s="24" t="str">
        <f>IF($Z647="","",IF($Z647&lt;=2000,IF(INDEX(包装物料出入库明细!$E$4:$E$2003,$Z647-0)=0,"",INDEX(包装物料出入库明细!$E$4:$E$2003,$Z647-0)),IF($Z647&lt;=4000,IF(INDEX(周转筐出入库明细!$D$4:$D$2004,$Z647-2000)=0,"",INDEX(周转筐出入库明细!$D$4:$D$2004,$Z647-2000)),IF($Z647&lt;=5200,IF(INDEX(客户自备加工筐明细!$C$4:$C$1203,$Z647-4000)=0,"",INDEX(客户自备加工筐明细!$C$4:$C$1203,$Z647-4000)),IF($Z647&lt;=5800,IF(INDEX(次果筐明细!$D$4:$D$603,$Z647-5200)=0,"",INDEX(次果筐明细!$D$4:$D$603,$Z647-5200)),"")))))</f>
        <v/>
      </c>
      <c r="G647" s="24" t="str">
        <f>IF($Z647="","",IF($Z647&lt;=2000,IF(INDEX(包装物料出入库明细!$F$4:$F$2003,$Z647-0)=0,"",INDEX(包装物料出入库明细!$F$4:$F$2003,$Z647-0)),IF($Z647&lt;=4000,"",IF($Z647&lt;=5200,"",IF($Z647&lt;=5800,"","")))))</f>
        <v/>
      </c>
      <c r="H647" s="39" t="str">
        <f>IF($Z647="","",IF($Z647&lt;=2000,IF(INDEX(包装物料出入库明细!$L$4:$L$2003,$Z647-0)=0,"",INDEX(包装物料出入库明细!$L$4:$L$2003,$Z647-0)),IF($Z647&lt;=4000,N(INDEX(周转筐出入库明细!$H$4:$H$2004,$Z647-2000))+N(INDEX(周转筐出入库明细!$I$4:$I$2004,$Z647-2000))+N(INDEX(周转筐出入库明细!$J$4:$J$2004,$Z647-2000))+N(INDEX(周转筐出入库明细!$K$4:$K$2004,$Z647-2000)),IF($Z647&lt;=5200,N(INDEX(客户自备加工筐明细!$F$4:$F$1203,$Z647-4000))+N(INDEX(客户自备加工筐明细!$G$4:$G$1203,$Z647-4000)),IF($Z647&lt;=5800,IF(INDEX(次果筐明细!$G$4:$G$603,$Z647-5200)=0,"",INDEX(次果筐明细!$G$4:$G$603,$Z647-5200)),"")))))</f>
        <v/>
      </c>
      <c r="I647" s="24" t="str">
        <f>IF($Z647="","",IF($Z647&lt;=2000,IF(INDEX(包装物料出入库明细!$G$4:$G$2003,$Z647-0)=0,"",INDEX(包装物料出入库明细!$G$4:$G$2003,$Z647-0)),IF($Z647&lt;=4000,"个",IF($Z647&lt;=5200,"个",IF($Z647&lt;=5800,"个","")))))</f>
        <v/>
      </c>
      <c r="J647" s="30" t="str">
        <f t="shared" si="31"/>
        <v/>
      </c>
      <c r="K647" s="30" t="str">
        <f>IF($Z647="","",IF($Z647&lt;=2000,IF(INDEX(包装物料出入库明细!$N$4:$N$2003,$Z647-0)=0,"",INDEX(包装物料出入库明细!$N$4:$N$2003,$Z647-0)),IF($Z647&lt;=4000,IF(INDEX(周转筐出入库明细!$P$4:$P$2004,$Z647-2000)=0,"",INDEX(周转筐出入库明细!$P$4:$P$2004,$Z647-2000)),IF($Z647&lt;=5200,"",IF($Z647&lt;=5800,N(INDEX(次果筐明细!$L$4:$L$603,$Z647-5200))+N(INDEX(次果筐明细!$J$4:$J$603,$Z647-5200)),"")))))</f>
        <v/>
      </c>
      <c r="L647" s="24" t="str">
        <f>IF($Z647="","",IF($Z647&lt;=2000,IF(INDEX(包装物料出入库明细!$P$4:$P$2003,$Z647-0)=0,"",INDEX(包装物料出入库明细!$P$4:$P$2003,$Z647-0)),IF($Z647&lt;=4000,IF(INDEX(周转筐出入库明细!$Q$4:$Q$2004,$Z647-2000)=0,"",INDEX(周转筐出入库明细!$Q$4:$Q$2004,$Z647-2000)),IF($Z647&lt;=5200,"",IF($Z647&lt;=5800,IF(INDEX(次果筐明细!$M$4:$M$603,$Z647-5200)=0,"",INDEX(次果筐明细!$M$4:$M$603,$Z647-5200)),"")))))</f>
        <v/>
      </c>
      <c r="M647" s="37" t="str">
        <f>IF($Z647="","",IF($Z647&lt;=2000,IF(INDEX(包装物料出入库明细!$R$4:$R$2003,$Z647-0)=0,"",INDEX(包装物料出入库明细!$R$4:$R$2003,$Z647-0)),IF($Z647&lt;=4000,IF(INDEX(周转筐出入库明细!$W$4:$W$2004,$Z647-2000)=0,"",INDEX(周转筐出入库明细!$W$4:$W$2004,$Z647-2000)),IF($Z647&lt;=5200,IF(INDEX(客户自备加工筐明细!$L$4:$L$1203,$Z647-4000)=0,"",INDEX(客户自备加工筐明细!$L$4:$L$1203,$Z647-4000)),IF($Z647&lt;=5800,IF(INDEX(次果筐明细!$P$4:$P$603,$Z647-5200)=0,"",INDEX(次果筐明细!$P$4:$P$603,$Z647-5200)),"")))))</f>
        <v/>
      </c>
      <c r="N647" s="16" t="str">
        <f>IF($Z647="","",IF($Z647&lt;=2000,"",IF($Z647&lt;=4000,IF(INDEX(周转筐出入库明细!$D$4:$D$2004,$Z647-2000)=0,"",INDEX(周转筐出入库明细!$D$4:$D$2004,$Z647-2000)),IF($Z647&lt;=5200,IF(INDEX(客户自备加工筐明细!$C$4:$C$1203,$Z647-4000)=0,"",INDEX(客户自备加工筐明细!$C$4:$C$1203,$Z647-4000)),IF($Z647&lt;=5800,IF(INDEX(次果筐明细!$D$4:$D$603,$Z647-5200)=0,"",INDEX(次果筐明细!$D$4:$D$603,$Z647-5200)),"")))))</f>
        <v/>
      </c>
      <c r="O647" s="40" t="str">
        <f>IF($Z647="","",IF($Z647&lt;=2000,"",IF($Z647&lt;=4000,IF(N(INDEX(周转筐出入库明细!$J$4:$J$2004,$Z647-2000))+N(INDEX(周转筐出入库明细!$K$4:$K$2004,$Z647-2000))=0,"",N(INDEX(周转筐出入库明细!$J$4:$J$2004,$Z647-2000))+N(INDEX(周转筐出入库明细!$K$4:$K$2004,$Z647-2000))),IF($Z647&lt;=5200,IF(N(INDEX(客户自备加工筐明细!$G$4:$G$1203,$Z647-4000))=0,"",N(INDEX(客户自备加工筐明细!$G$4:$G$1203,$Z647-4000))),IF($Z647&lt;=5800,IF(ISNUMBER(SEARCH("退",INDEX(次果筐明细!$F$4:$F$603,$Z647-5200)&amp;"")),"",IF(N(INDEX(次果筐明细!$G$4:$G$603,$Z647-5200))=0,"",N(INDEX(次果筐明细!$G$4:$G$603,$Z647-5200)))),"")))))</f>
        <v/>
      </c>
      <c r="P647" s="40" t="str">
        <f>IF($Z647="","",IF($Z647&lt;=2000,"",IF($Z647&lt;=4000,IF(N(INDEX(周转筐出入库明细!$I$4:$I$2004,$Z647-2000))=0,"",N(INDEX(周转筐出入库明细!$I$4:$I$2004,$Z647-2000))),IF($Z647&lt;=5200,"",IF($Z647&lt;=5800,IF(ISNUMBER(SEARCH("退",INDEX(次果筐明细!$F$4:$F$603,$Z647-5200)&amp;"")),IF(N(INDEX(次果筐明细!$G$4:$G$603,$Z647-5200))=0,"",N(INDEX(次果筐明细!$G$4:$G$603,$Z647-5200))),""),"")))))</f>
        <v/>
      </c>
      <c r="Q647" s="40" t="str">
        <f>IF($Z647="","",IF($Z647&lt;=2000,"",IF($Z647&lt;=4000,IF(N(INDEX(周转筐出入库明细!$H$4:$H$2004,$Z647-2000))=0,"",N(INDEX(周转筐出入库明细!$H$4:$H$2004,$Z647-2000))),IF($Z647&lt;=5200,IF(N(INDEX(客户自备加工筐明细!$F$4:$F$1203,$Z647-4000))=0,"",N(INDEX(客户自备加工筐明细!$F$4:$F$1203,$Z647-4000))),IF($Z647&lt;=5800,"","")))))</f>
        <v/>
      </c>
      <c r="R647" s="16" t="str">
        <f>IF($Z647="","",IF($Z647&lt;=2000,IF(INDEX(包装物料出入库明细!$O$4:$O$2003,$Z647-0)=0,"",INDEX(包装物料出入库明细!$O$4:$O$2003,$Z647-0)),IF($Z647&lt;=4000,IF(INDEX(周转筐出入库明细!$M$4:$M$2004,$Z647-2000)=0,"",INDEX(周转筐出入库明细!$M$4:$M$2004,$Z647-2000)),IF($Z647&lt;=5200,IF(INDEX(客户自备加工筐明细!$H$4:$H$1203,$Z647-4000)=0,"",INDEX(客户自备加工筐明细!$H$4:$H$1203,$Z647-4000)),IF($Z647&lt;=5800,IF(INDEX(次果筐明细!$H$4:$H$603,$Z647-5200)=0,"",INDEX(次果筐明细!$H$4:$H$603,$Z647-5200)),"")))))</f>
        <v/>
      </c>
      <c r="S647" s="22" t="str">
        <f t="shared" si="32"/>
        <v/>
      </c>
      <c r="Z647" s="10" t="str">
        <f>IFERROR(MATCH(ROW()-3,_自动清单!$CQ$4:$CQ$5803,0),"")</f>
        <v/>
      </c>
    </row>
    <row r="648" spans="1:26">
      <c r="A648" s="24" t="str">
        <f t="shared" si="30"/>
        <v/>
      </c>
      <c r="B648" s="38" t="str">
        <f>IF($Z648="","",IF($Z648&lt;=2000,IF(INDEX(包装物料出入库明细!$B$4:$B$2003,$Z648-0)=0,"",INDEX(包装物料出入库明细!$B$4:$B$2003,$Z648-0)),IF($Z648&lt;=4000,IF(INDEX(周转筐出入库明细!$B$4:$B$2004,$Z648-2000)=0,"",INDEX(周转筐出入库明细!$B$4:$B$2004,$Z648-2000)),IF($Z648&lt;=5200,IF(INDEX(客户自备加工筐明细!$B$4:$B$1203,$Z648-4000)=0,"",INDEX(客户自备加工筐明细!$B$4:$B$1203,$Z648-4000)),IF($Z648&lt;=5800,IF(INDEX(次果筐明细!$B$4:$B$603,$Z648-5200)=0,"",INDEX(次果筐明细!$B$4:$B$603,$Z648-5200)),"")))))</f>
        <v/>
      </c>
      <c r="C648" s="37" t="str">
        <f>IF($Z648="","",IF($Z648&lt;=2000,IF(INDEX(包装物料出入库明细!$D$4:$D$2003,$Z648-0)=0,"",INDEX(包装物料出入库明细!$D$4:$D$2003,$Z648-0)),IF($Z648&lt;=4000,IF(INDEX(周转筐出入库明细!$C$4:$C$2004,$Z648-2000)=0,"",INDEX(周转筐出入库明细!$C$4:$C$2004,$Z648-2000)),IF($Z648&lt;=5200,IF(INDEX(客户自备加工筐明细!$E$4:$E$1203,$Z648-4000)=0,"",INDEX(客户自备加工筐明细!$E$4:$E$1203,$Z648-4000)),IF($Z648&lt;=5800,IF(INDEX(次果筐明细!$C$4:$C$603,$Z648-5200)=0,"",INDEX(次果筐明细!$C$4:$C$603,$Z648-5200)),"")))))</f>
        <v/>
      </c>
      <c r="D648" s="37" t="str">
        <f>IF($Z648="","",IF($Z648&lt;=2000,"包装物料－"&amp;INDEX(包装物料出入库明细!$H$4:$H$2003,$Z648-0),IF($Z648&lt;=4000,"周转筐－"&amp;INDEX(周转筐出入库明细!$F$4:$F$2004,$Z648-2000),IF($Z648&lt;=5200,"客户自备筐－"&amp;INDEX(客户自备加工筐明细!$J$4:$J$1203,$Z648-4000),IF($Z648&lt;=5800,"次果筐/托盘－"&amp;INDEX(次果筐明细!$F$4:$F$603,$Z648-5200),"")))))</f>
        <v/>
      </c>
      <c r="E648" s="24" t="str">
        <f>IF($Z648="","",IF($Z648&lt;=2000,IF(INDEX(包装物料出入库明细!$C$4:$C$2003,$Z648-0)=0,"",INDEX(包装物料出入库明细!$C$4:$C$2003,$Z648-0)),IF($Z648&lt;=4000,IF(INDEX(周转筐出入库明细!$E$4:$E$2004,$Z648-2000)=0,"",INDEX(周转筐出入库明细!$E$4:$E$2004,$Z648-2000)),IF($Z648&lt;=5200,IF(INDEX(客户自备加工筐明细!$D$4:$D$1203,$Z648-4000)=0,"",INDEX(客户自备加工筐明细!$D$4:$D$1203,$Z648-4000)),IF($Z648&lt;=5800,IF(INDEX(次果筐明细!$E$4:$E$603,$Z648-5200)=0,"",INDEX(次果筐明细!$E$4:$E$603,$Z648-5200)),"")))))</f>
        <v/>
      </c>
      <c r="F648" s="24" t="str">
        <f>IF($Z648="","",IF($Z648&lt;=2000,IF(INDEX(包装物料出入库明细!$E$4:$E$2003,$Z648-0)=0,"",INDEX(包装物料出入库明细!$E$4:$E$2003,$Z648-0)),IF($Z648&lt;=4000,IF(INDEX(周转筐出入库明细!$D$4:$D$2004,$Z648-2000)=0,"",INDEX(周转筐出入库明细!$D$4:$D$2004,$Z648-2000)),IF($Z648&lt;=5200,IF(INDEX(客户自备加工筐明细!$C$4:$C$1203,$Z648-4000)=0,"",INDEX(客户自备加工筐明细!$C$4:$C$1203,$Z648-4000)),IF($Z648&lt;=5800,IF(INDEX(次果筐明细!$D$4:$D$603,$Z648-5200)=0,"",INDEX(次果筐明细!$D$4:$D$603,$Z648-5200)),"")))))</f>
        <v/>
      </c>
      <c r="G648" s="24" t="str">
        <f>IF($Z648="","",IF($Z648&lt;=2000,IF(INDEX(包装物料出入库明细!$F$4:$F$2003,$Z648-0)=0,"",INDEX(包装物料出入库明细!$F$4:$F$2003,$Z648-0)),IF($Z648&lt;=4000,"",IF($Z648&lt;=5200,"",IF($Z648&lt;=5800,"","")))))</f>
        <v/>
      </c>
      <c r="H648" s="39" t="str">
        <f>IF($Z648="","",IF($Z648&lt;=2000,IF(INDEX(包装物料出入库明细!$L$4:$L$2003,$Z648-0)=0,"",INDEX(包装物料出入库明细!$L$4:$L$2003,$Z648-0)),IF($Z648&lt;=4000,N(INDEX(周转筐出入库明细!$H$4:$H$2004,$Z648-2000))+N(INDEX(周转筐出入库明细!$I$4:$I$2004,$Z648-2000))+N(INDEX(周转筐出入库明细!$J$4:$J$2004,$Z648-2000))+N(INDEX(周转筐出入库明细!$K$4:$K$2004,$Z648-2000)),IF($Z648&lt;=5200,N(INDEX(客户自备加工筐明细!$F$4:$F$1203,$Z648-4000))+N(INDEX(客户自备加工筐明细!$G$4:$G$1203,$Z648-4000)),IF($Z648&lt;=5800,IF(INDEX(次果筐明细!$G$4:$G$603,$Z648-5200)=0,"",INDEX(次果筐明细!$G$4:$G$603,$Z648-5200)),"")))))</f>
        <v/>
      </c>
      <c r="I648" s="24" t="str">
        <f>IF($Z648="","",IF($Z648&lt;=2000,IF(INDEX(包装物料出入库明细!$G$4:$G$2003,$Z648-0)=0,"",INDEX(包装物料出入库明细!$G$4:$G$2003,$Z648-0)),IF($Z648&lt;=4000,"个",IF($Z648&lt;=5200,"个",IF($Z648&lt;=5800,"个","")))))</f>
        <v/>
      </c>
      <c r="J648" s="30" t="str">
        <f t="shared" si="31"/>
        <v/>
      </c>
      <c r="K648" s="30" t="str">
        <f>IF($Z648="","",IF($Z648&lt;=2000,IF(INDEX(包装物料出入库明细!$N$4:$N$2003,$Z648-0)=0,"",INDEX(包装物料出入库明细!$N$4:$N$2003,$Z648-0)),IF($Z648&lt;=4000,IF(INDEX(周转筐出入库明细!$P$4:$P$2004,$Z648-2000)=0,"",INDEX(周转筐出入库明细!$P$4:$P$2004,$Z648-2000)),IF($Z648&lt;=5200,"",IF($Z648&lt;=5800,N(INDEX(次果筐明细!$L$4:$L$603,$Z648-5200))+N(INDEX(次果筐明细!$J$4:$J$603,$Z648-5200)),"")))))</f>
        <v/>
      </c>
      <c r="L648" s="24" t="str">
        <f>IF($Z648="","",IF($Z648&lt;=2000,IF(INDEX(包装物料出入库明细!$P$4:$P$2003,$Z648-0)=0,"",INDEX(包装物料出入库明细!$P$4:$P$2003,$Z648-0)),IF($Z648&lt;=4000,IF(INDEX(周转筐出入库明细!$Q$4:$Q$2004,$Z648-2000)=0,"",INDEX(周转筐出入库明细!$Q$4:$Q$2004,$Z648-2000)),IF($Z648&lt;=5200,"",IF($Z648&lt;=5800,IF(INDEX(次果筐明细!$M$4:$M$603,$Z648-5200)=0,"",INDEX(次果筐明细!$M$4:$M$603,$Z648-5200)),"")))))</f>
        <v/>
      </c>
      <c r="M648" s="37" t="str">
        <f>IF($Z648="","",IF($Z648&lt;=2000,IF(INDEX(包装物料出入库明细!$R$4:$R$2003,$Z648-0)=0,"",INDEX(包装物料出入库明细!$R$4:$R$2003,$Z648-0)),IF($Z648&lt;=4000,IF(INDEX(周转筐出入库明细!$W$4:$W$2004,$Z648-2000)=0,"",INDEX(周转筐出入库明细!$W$4:$W$2004,$Z648-2000)),IF($Z648&lt;=5200,IF(INDEX(客户自备加工筐明细!$L$4:$L$1203,$Z648-4000)=0,"",INDEX(客户自备加工筐明细!$L$4:$L$1203,$Z648-4000)),IF($Z648&lt;=5800,IF(INDEX(次果筐明细!$P$4:$P$603,$Z648-5200)=0,"",INDEX(次果筐明细!$P$4:$P$603,$Z648-5200)),"")))))</f>
        <v/>
      </c>
      <c r="N648" s="16" t="str">
        <f>IF($Z648="","",IF($Z648&lt;=2000,"",IF($Z648&lt;=4000,IF(INDEX(周转筐出入库明细!$D$4:$D$2004,$Z648-2000)=0,"",INDEX(周转筐出入库明细!$D$4:$D$2004,$Z648-2000)),IF($Z648&lt;=5200,IF(INDEX(客户自备加工筐明细!$C$4:$C$1203,$Z648-4000)=0,"",INDEX(客户自备加工筐明细!$C$4:$C$1203,$Z648-4000)),IF($Z648&lt;=5800,IF(INDEX(次果筐明细!$D$4:$D$603,$Z648-5200)=0,"",INDEX(次果筐明细!$D$4:$D$603,$Z648-5200)),"")))))</f>
        <v/>
      </c>
      <c r="O648" s="40" t="str">
        <f>IF($Z648="","",IF($Z648&lt;=2000,"",IF($Z648&lt;=4000,IF(N(INDEX(周转筐出入库明细!$J$4:$J$2004,$Z648-2000))+N(INDEX(周转筐出入库明细!$K$4:$K$2004,$Z648-2000))=0,"",N(INDEX(周转筐出入库明细!$J$4:$J$2004,$Z648-2000))+N(INDEX(周转筐出入库明细!$K$4:$K$2004,$Z648-2000))),IF($Z648&lt;=5200,IF(N(INDEX(客户自备加工筐明细!$G$4:$G$1203,$Z648-4000))=0,"",N(INDEX(客户自备加工筐明细!$G$4:$G$1203,$Z648-4000))),IF($Z648&lt;=5800,IF(ISNUMBER(SEARCH("退",INDEX(次果筐明细!$F$4:$F$603,$Z648-5200)&amp;"")),"",IF(N(INDEX(次果筐明细!$G$4:$G$603,$Z648-5200))=0,"",N(INDEX(次果筐明细!$G$4:$G$603,$Z648-5200)))),"")))))</f>
        <v/>
      </c>
      <c r="P648" s="40" t="str">
        <f>IF($Z648="","",IF($Z648&lt;=2000,"",IF($Z648&lt;=4000,IF(N(INDEX(周转筐出入库明细!$I$4:$I$2004,$Z648-2000))=0,"",N(INDEX(周转筐出入库明细!$I$4:$I$2004,$Z648-2000))),IF($Z648&lt;=5200,"",IF($Z648&lt;=5800,IF(ISNUMBER(SEARCH("退",INDEX(次果筐明细!$F$4:$F$603,$Z648-5200)&amp;"")),IF(N(INDEX(次果筐明细!$G$4:$G$603,$Z648-5200))=0,"",N(INDEX(次果筐明细!$G$4:$G$603,$Z648-5200))),""),"")))))</f>
        <v/>
      </c>
      <c r="Q648" s="40" t="str">
        <f>IF($Z648="","",IF($Z648&lt;=2000,"",IF($Z648&lt;=4000,IF(N(INDEX(周转筐出入库明细!$H$4:$H$2004,$Z648-2000))=0,"",N(INDEX(周转筐出入库明细!$H$4:$H$2004,$Z648-2000))),IF($Z648&lt;=5200,IF(N(INDEX(客户自备加工筐明细!$F$4:$F$1203,$Z648-4000))=0,"",N(INDEX(客户自备加工筐明细!$F$4:$F$1203,$Z648-4000))),IF($Z648&lt;=5800,"","")))))</f>
        <v/>
      </c>
      <c r="R648" s="16" t="str">
        <f>IF($Z648="","",IF($Z648&lt;=2000,IF(INDEX(包装物料出入库明细!$O$4:$O$2003,$Z648-0)=0,"",INDEX(包装物料出入库明细!$O$4:$O$2003,$Z648-0)),IF($Z648&lt;=4000,IF(INDEX(周转筐出入库明细!$M$4:$M$2004,$Z648-2000)=0,"",INDEX(周转筐出入库明细!$M$4:$M$2004,$Z648-2000)),IF($Z648&lt;=5200,IF(INDEX(客户自备加工筐明细!$H$4:$H$1203,$Z648-4000)=0,"",INDEX(客户自备加工筐明细!$H$4:$H$1203,$Z648-4000)),IF($Z648&lt;=5800,IF(INDEX(次果筐明细!$H$4:$H$603,$Z648-5200)=0,"",INDEX(次果筐明细!$H$4:$H$603,$Z648-5200)),"")))))</f>
        <v/>
      </c>
      <c r="S648" s="22" t="str">
        <f t="shared" si="32"/>
        <v/>
      </c>
      <c r="Z648" s="10" t="str">
        <f>IFERROR(MATCH(ROW()-3,_自动清单!$CQ$4:$CQ$5803,0),"")</f>
        <v/>
      </c>
    </row>
    <row r="649" spans="1:26">
      <c r="A649" s="24" t="str">
        <f t="shared" si="30"/>
        <v/>
      </c>
      <c r="B649" s="38" t="str">
        <f>IF($Z649="","",IF($Z649&lt;=2000,IF(INDEX(包装物料出入库明细!$B$4:$B$2003,$Z649-0)=0,"",INDEX(包装物料出入库明细!$B$4:$B$2003,$Z649-0)),IF($Z649&lt;=4000,IF(INDEX(周转筐出入库明细!$B$4:$B$2004,$Z649-2000)=0,"",INDEX(周转筐出入库明细!$B$4:$B$2004,$Z649-2000)),IF($Z649&lt;=5200,IF(INDEX(客户自备加工筐明细!$B$4:$B$1203,$Z649-4000)=0,"",INDEX(客户自备加工筐明细!$B$4:$B$1203,$Z649-4000)),IF($Z649&lt;=5800,IF(INDEX(次果筐明细!$B$4:$B$603,$Z649-5200)=0,"",INDEX(次果筐明细!$B$4:$B$603,$Z649-5200)),"")))))</f>
        <v/>
      </c>
      <c r="C649" s="37" t="str">
        <f>IF($Z649="","",IF($Z649&lt;=2000,IF(INDEX(包装物料出入库明细!$D$4:$D$2003,$Z649-0)=0,"",INDEX(包装物料出入库明细!$D$4:$D$2003,$Z649-0)),IF($Z649&lt;=4000,IF(INDEX(周转筐出入库明细!$C$4:$C$2004,$Z649-2000)=0,"",INDEX(周转筐出入库明细!$C$4:$C$2004,$Z649-2000)),IF($Z649&lt;=5200,IF(INDEX(客户自备加工筐明细!$E$4:$E$1203,$Z649-4000)=0,"",INDEX(客户自备加工筐明细!$E$4:$E$1203,$Z649-4000)),IF($Z649&lt;=5800,IF(INDEX(次果筐明细!$C$4:$C$603,$Z649-5200)=0,"",INDEX(次果筐明细!$C$4:$C$603,$Z649-5200)),"")))))</f>
        <v/>
      </c>
      <c r="D649" s="37" t="str">
        <f>IF($Z649="","",IF($Z649&lt;=2000,"包装物料－"&amp;INDEX(包装物料出入库明细!$H$4:$H$2003,$Z649-0),IF($Z649&lt;=4000,"周转筐－"&amp;INDEX(周转筐出入库明细!$F$4:$F$2004,$Z649-2000),IF($Z649&lt;=5200,"客户自备筐－"&amp;INDEX(客户自备加工筐明细!$J$4:$J$1203,$Z649-4000),IF($Z649&lt;=5800,"次果筐/托盘－"&amp;INDEX(次果筐明细!$F$4:$F$603,$Z649-5200),"")))))</f>
        <v/>
      </c>
      <c r="E649" s="24" t="str">
        <f>IF($Z649="","",IF($Z649&lt;=2000,IF(INDEX(包装物料出入库明细!$C$4:$C$2003,$Z649-0)=0,"",INDEX(包装物料出入库明细!$C$4:$C$2003,$Z649-0)),IF($Z649&lt;=4000,IF(INDEX(周转筐出入库明细!$E$4:$E$2004,$Z649-2000)=0,"",INDEX(周转筐出入库明细!$E$4:$E$2004,$Z649-2000)),IF($Z649&lt;=5200,IF(INDEX(客户自备加工筐明细!$D$4:$D$1203,$Z649-4000)=0,"",INDEX(客户自备加工筐明细!$D$4:$D$1203,$Z649-4000)),IF($Z649&lt;=5800,IF(INDEX(次果筐明细!$E$4:$E$603,$Z649-5200)=0,"",INDEX(次果筐明细!$E$4:$E$603,$Z649-5200)),"")))))</f>
        <v/>
      </c>
      <c r="F649" s="24" t="str">
        <f>IF($Z649="","",IF($Z649&lt;=2000,IF(INDEX(包装物料出入库明细!$E$4:$E$2003,$Z649-0)=0,"",INDEX(包装物料出入库明细!$E$4:$E$2003,$Z649-0)),IF($Z649&lt;=4000,IF(INDEX(周转筐出入库明细!$D$4:$D$2004,$Z649-2000)=0,"",INDEX(周转筐出入库明细!$D$4:$D$2004,$Z649-2000)),IF($Z649&lt;=5200,IF(INDEX(客户自备加工筐明细!$C$4:$C$1203,$Z649-4000)=0,"",INDEX(客户自备加工筐明细!$C$4:$C$1203,$Z649-4000)),IF($Z649&lt;=5800,IF(INDEX(次果筐明细!$D$4:$D$603,$Z649-5200)=0,"",INDEX(次果筐明细!$D$4:$D$603,$Z649-5200)),"")))))</f>
        <v/>
      </c>
      <c r="G649" s="24" t="str">
        <f>IF($Z649="","",IF($Z649&lt;=2000,IF(INDEX(包装物料出入库明细!$F$4:$F$2003,$Z649-0)=0,"",INDEX(包装物料出入库明细!$F$4:$F$2003,$Z649-0)),IF($Z649&lt;=4000,"",IF($Z649&lt;=5200,"",IF($Z649&lt;=5800,"","")))))</f>
        <v/>
      </c>
      <c r="H649" s="39" t="str">
        <f>IF($Z649="","",IF($Z649&lt;=2000,IF(INDEX(包装物料出入库明细!$L$4:$L$2003,$Z649-0)=0,"",INDEX(包装物料出入库明细!$L$4:$L$2003,$Z649-0)),IF($Z649&lt;=4000,N(INDEX(周转筐出入库明细!$H$4:$H$2004,$Z649-2000))+N(INDEX(周转筐出入库明细!$I$4:$I$2004,$Z649-2000))+N(INDEX(周转筐出入库明细!$J$4:$J$2004,$Z649-2000))+N(INDEX(周转筐出入库明细!$K$4:$K$2004,$Z649-2000)),IF($Z649&lt;=5200,N(INDEX(客户自备加工筐明细!$F$4:$F$1203,$Z649-4000))+N(INDEX(客户自备加工筐明细!$G$4:$G$1203,$Z649-4000)),IF($Z649&lt;=5800,IF(INDEX(次果筐明细!$G$4:$G$603,$Z649-5200)=0,"",INDEX(次果筐明细!$G$4:$G$603,$Z649-5200)),"")))))</f>
        <v/>
      </c>
      <c r="I649" s="24" t="str">
        <f>IF($Z649="","",IF($Z649&lt;=2000,IF(INDEX(包装物料出入库明细!$G$4:$G$2003,$Z649-0)=0,"",INDEX(包装物料出入库明细!$G$4:$G$2003,$Z649-0)),IF($Z649&lt;=4000,"个",IF($Z649&lt;=5200,"个",IF($Z649&lt;=5800,"个","")))))</f>
        <v/>
      </c>
      <c r="J649" s="30" t="str">
        <f t="shared" si="31"/>
        <v/>
      </c>
      <c r="K649" s="30" t="str">
        <f>IF($Z649="","",IF($Z649&lt;=2000,IF(INDEX(包装物料出入库明细!$N$4:$N$2003,$Z649-0)=0,"",INDEX(包装物料出入库明细!$N$4:$N$2003,$Z649-0)),IF($Z649&lt;=4000,IF(INDEX(周转筐出入库明细!$P$4:$P$2004,$Z649-2000)=0,"",INDEX(周转筐出入库明细!$P$4:$P$2004,$Z649-2000)),IF($Z649&lt;=5200,"",IF($Z649&lt;=5800,N(INDEX(次果筐明细!$L$4:$L$603,$Z649-5200))+N(INDEX(次果筐明细!$J$4:$J$603,$Z649-5200)),"")))))</f>
        <v/>
      </c>
      <c r="L649" s="24" t="str">
        <f>IF($Z649="","",IF($Z649&lt;=2000,IF(INDEX(包装物料出入库明细!$P$4:$P$2003,$Z649-0)=0,"",INDEX(包装物料出入库明细!$P$4:$P$2003,$Z649-0)),IF($Z649&lt;=4000,IF(INDEX(周转筐出入库明细!$Q$4:$Q$2004,$Z649-2000)=0,"",INDEX(周转筐出入库明细!$Q$4:$Q$2004,$Z649-2000)),IF($Z649&lt;=5200,"",IF($Z649&lt;=5800,IF(INDEX(次果筐明细!$M$4:$M$603,$Z649-5200)=0,"",INDEX(次果筐明细!$M$4:$M$603,$Z649-5200)),"")))))</f>
        <v/>
      </c>
      <c r="M649" s="37" t="str">
        <f>IF($Z649="","",IF($Z649&lt;=2000,IF(INDEX(包装物料出入库明细!$R$4:$R$2003,$Z649-0)=0,"",INDEX(包装物料出入库明细!$R$4:$R$2003,$Z649-0)),IF($Z649&lt;=4000,IF(INDEX(周转筐出入库明细!$W$4:$W$2004,$Z649-2000)=0,"",INDEX(周转筐出入库明细!$W$4:$W$2004,$Z649-2000)),IF($Z649&lt;=5200,IF(INDEX(客户自备加工筐明细!$L$4:$L$1203,$Z649-4000)=0,"",INDEX(客户自备加工筐明细!$L$4:$L$1203,$Z649-4000)),IF($Z649&lt;=5800,IF(INDEX(次果筐明细!$P$4:$P$603,$Z649-5200)=0,"",INDEX(次果筐明细!$P$4:$P$603,$Z649-5200)),"")))))</f>
        <v/>
      </c>
      <c r="N649" s="16" t="str">
        <f>IF($Z649="","",IF($Z649&lt;=2000,"",IF($Z649&lt;=4000,IF(INDEX(周转筐出入库明细!$D$4:$D$2004,$Z649-2000)=0,"",INDEX(周转筐出入库明细!$D$4:$D$2004,$Z649-2000)),IF($Z649&lt;=5200,IF(INDEX(客户自备加工筐明细!$C$4:$C$1203,$Z649-4000)=0,"",INDEX(客户自备加工筐明细!$C$4:$C$1203,$Z649-4000)),IF($Z649&lt;=5800,IF(INDEX(次果筐明细!$D$4:$D$603,$Z649-5200)=0,"",INDEX(次果筐明细!$D$4:$D$603,$Z649-5200)),"")))))</f>
        <v/>
      </c>
      <c r="O649" s="40" t="str">
        <f>IF($Z649="","",IF($Z649&lt;=2000,"",IF($Z649&lt;=4000,IF(N(INDEX(周转筐出入库明细!$J$4:$J$2004,$Z649-2000))+N(INDEX(周转筐出入库明细!$K$4:$K$2004,$Z649-2000))=0,"",N(INDEX(周转筐出入库明细!$J$4:$J$2004,$Z649-2000))+N(INDEX(周转筐出入库明细!$K$4:$K$2004,$Z649-2000))),IF($Z649&lt;=5200,IF(N(INDEX(客户自备加工筐明细!$G$4:$G$1203,$Z649-4000))=0,"",N(INDEX(客户自备加工筐明细!$G$4:$G$1203,$Z649-4000))),IF($Z649&lt;=5800,IF(ISNUMBER(SEARCH("退",INDEX(次果筐明细!$F$4:$F$603,$Z649-5200)&amp;"")),"",IF(N(INDEX(次果筐明细!$G$4:$G$603,$Z649-5200))=0,"",N(INDEX(次果筐明细!$G$4:$G$603,$Z649-5200)))),"")))))</f>
        <v/>
      </c>
      <c r="P649" s="40" t="str">
        <f>IF($Z649="","",IF($Z649&lt;=2000,"",IF($Z649&lt;=4000,IF(N(INDEX(周转筐出入库明细!$I$4:$I$2004,$Z649-2000))=0,"",N(INDEX(周转筐出入库明细!$I$4:$I$2004,$Z649-2000))),IF($Z649&lt;=5200,"",IF($Z649&lt;=5800,IF(ISNUMBER(SEARCH("退",INDEX(次果筐明细!$F$4:$F$603,$Z649-5200)&amp;"")),IF(N(INDEX(次果筐明细!$G$4:$G$603,$Z649-5200))=0,"",N(INDEX(次果筐明细!$G$4:$G$603,$Z649-5200))),""),"")))))</f>
        <v/>
      </c>
      <c r="Q649" s="40" t="str">
        <f>IF($Z649="","",IF($Z649&lt;=2000,"",IF($Z649&lt;=4000,IF(N(INDEX(周转筐出入库明细!$H$4:$H$2004,$Z649-2000))=0,"",N(INDEX(周转筐出入库明细!$H$4:$H$2004,$Z649-2000))),IF($Z649&lt;=5200,IF(N(INDEX(客户自备加工筐明细!$F$4:$F$1203,$Z649-4000))=0,"",N(INDEX(客户自备加工筐明细!$F$4:$F$1203,$Z649-4000))),IF($Z649&lt;=5800,"","")))))</f>
        <v/>
      </c>
      <c r="R649" s="16" t="str">
        <f>IF($Z649="","",IF($Z649&lt;=2000,IF(INDEX(包装物料出入库明细!$O$4:$O$2003,$Z649-0)=0,"",INDEX(包装物料出入库明细!$O$4:$O$2003,$Z649-0)),IF($Z649&lt;=4000,IF(INDEX(周转筐出入库明细!$M$4:$M$2004,$Z649-2000)=0,"",INDEX(周转筐出入库明细!$M$4:$M$2004,$Z649-2000)),IF($Z649&lt;=5200,IF(INDEX(客户自备加工筐明细!$H$4:$H$1203,$Z649-4000)=0,"",INDEX(客户自备加工筐明细!$H$4:$H$1203,$Z649-4000)),IF($Z649&lt;=5800,IF(INDEX(次果筐明细!$H$4:$H$603,$Z649-5200)=0,"",INDEX(次果筐明细!$H$4:$H$603,$Z649-5200)),"")))))</f>
        <v/>
      </c>
      <c r="S649" s="22" t="str">
        <f t="shared" si="32"/>
        <v/>
      </c>
      <c r="Z649" s="10" t="str">
        <f>IFERROR(MATCH(ROW()-3,_自动清单!$CQ$4:$CQ$5803,0),"")</f>
        <v/>
      </c>
    </row>
    <row r="650" spans="1:26">
      <c r="A650" s="24" t="str">
        <f t="shared" si="30"/>
        <v/>
      </c>
      <c r="B650" s="38" t="str">
        <f>IF($Z650="","",IF($Z650&lt;=2000,IF(INDEX(包装物料出入库明细!$B$4:$B$2003,$Z650-0)=0,"",INDEX(包装物料出入库明细!$B$4:$B$2003,$Z650-0)),IF($Z650&lt;=4000,IF(INDEX(周转筐出入库明细!$B$4:$B$2004,$Z650-2000)=0,"",INDEX(周转筐出入库明细!$B$4:$B$2004,$Z650-2000)),IF($Z650&lt;=5200,IF(INDEX(客户自备加工筐明细!$B$4:$B$1203,$Z650-4000)=0,"",INDEX(客户自备加工筐明细!$B$4:$B$1203,$Z650-4000)),IF($Z650&lt;=5800,IF(INDEX(次果筐明细!$B$4:$B$603,$Z650-5200)=0,"",INDEX(次果筐明细!$B$4:$B$603,$Z650-5200)),"")))))</f>
        <v/>
      </c>
      <c r="C650" s="37" t="str">
        <f>IF($Z650="","",IF($Z650&lt;=2000,IF(INDEX(包装物料出入库明细!$D$4:$D$2003,$Z650-0)=0,"",INDEX(包装物料出入库明细!$D$4:$D$2003,$Z650-0)),IF($Z650&lt;=4000,IF(INDEX(周转筐出入库明细!$C$4:$C$2004,$Z650-2000)=0,"",INDEX(周转筐出入库明细!$C$4:$C$2004,$Z650-2000)),IF($Z650&lt;=5200,IF(INDEX(客户自备加工筐明细!$E$4:$E$1203,$Z650-4000)=0,"",INDEX(客户自备加工筐明细!$E$4:$E$1203,$Z650-4000)),IF($Z650&lt;=5800,IF(INDEX(次果筐明细!$C$4:$C$603,$Z650-5200)=0,"",INDEX(次果筐明细!$C$4:$C$603,$Z650-5200)),"")))))</f>
        <v/>
      </c>
      <c r="D650" s="37" t="str">
        <f>IF($Z650="","",IF($Z650&lt;=2000,"包装物料－"&amp;INDEX(包装物料出入库明细!$H$4:$H$2003,$Z650-0),IF($Z650&lt;=4000,"周转筐－"&amp;INDEX(周转筐出入库明细!$F$4:$F$2004,$Z650-2000),IF($Z650&lt;=5200,"客户自备筐－"&amp;INDEX(客户自备加工筐明细!$J$4:$J$1203,$Z650-4000),IF($Z650&lt;=5800,"次果筐/托盘－"&amp;INDEX(次果筐明细!$F$4:$F$603,$Z650-5200),"")))))</f>
        <v/>
      </c>
      <c r="E650" s="24" t="str">
        <f>IF($Z650="","",IF($Z650&lt;=2000,IF(INDEX(包装物料出入库明细!$C$4:$C$2003,$Z650-0)=0,"",INDEX(包装物料出入库明细!$C$4:$C$2003,$Z650-0)),IF($Z650&lt;=4000,IF(INDEX(周转筐出入库明细!$E$4:$E$2004,$Z650-2000)=0,"",INDEX(周转筐出入库明细!$E$4:$E$2004,$Z650-2000)),IF($Z650&lt;=5200,IF(INDEX(客户自备加工筐明细!$D$4:$D$1203,$Z650-4000)=0,"",INDEX(客户自备加工筐明细!$D$4:$D$1203,$Z650-4000)),IF($Z650&lt;=5800,IF(INDEX(次果筐明细!$E$4:$E$603,$Z650-5200)=0,"",INDEX(次果筐明细!$E$4:$E$603,$Z650-5200)),"")))))</f>
        <v/>
      </c>
      <c r="F650" s="24" t="str">
        <f>IF($Z650="","",IF($Z650&lt;=2000,IF(INDEX(包装物料出入库明细!$E$4:$E$2003,$Z650-0)=0,"",INDEX(包装物料出入库明细!$E$4:$E$2003,$Z650-0)),IF($Z650&lt;=4000,IF(INDEX(周转筐出入库明细!$D$4:$D$2004,$Z650-2000)=0,"",INDEX(周转筐出入库明细!$D$4:$D$2004,$Z650-2000)),IF($Z650&lt;=5200,IF(INDEX(客户自备加工筐明细!$C$4:$C$1203,$Z650-4000)=0,"",INDEX(客户自备加工筐明细!$C$4:$C$1203,$Z650-4000)),IF($Z650&lt;=5800,IF(INDEX(次果筐明细!$D$4:$D$603,$Z650-5200)=0,"",INDEX(次果筐明细!$D$4:$D$603,$Z650-5200)),"")))))</f>
        <v/>
      </c>
      <c r="G650" s="24" t="str">
        <f>IF($Z650="","",IF($Z650&lt;=2000,IF(INDEX(包装物料出入库明细!$F$4:$F$2003,$Z650-0)=0,"",INDEX(包装物料出入库明细!$F$4:$F$2003,$Z650-0)),IF($Z650&lt;=4000,"",IF($Z650&lt;=5200,"",IF($Z650&lt;=5800,"","")))))</f>
        <v/>
      </c>
      <c r="H650" s="39" t="str">
        <f>IF($Z650="","",IF($Z650&lt;=2000,IF(INDEX(包装物料出入库明细!$L$4:$L$2003,$Z650-0)=0,"",INDEX(包装物料出入库明细!$L$4:$L$2003,$Z650-0)),IF($Z650&lt;=4000,N(INDEX(周转筐出入库明细!$H$4:$H$2004,$Z650-2000))+N(INDEX(周转筐出入库明细!$I$4:$I$2004,$Z650-2000))+N(INDEX(周转筐出入库明细!$J$4:$J$2004,$Z650-2000))+N(INDEX(周转筐出入库明细!$K$4:$K$2004,$Z650-2000)),IF($Z650&lt;=5200,N(INDEX(客户自备加工筐明细!$F$4:$F$1203,$Z650-4000))+N(INDEX(客户自备加工筐明细!$G$4:$G$1203,$Z650-4000)),IF($Z650&lt;=5800,IF(INDEX(次果筐明细!$G$4:$G$603,$Z650-5200)=0,"",INDEX(次果筐明细!$G$4:$G$603,$Z650-5200)),"")))))</f>
        <v/>
      </c>
      <c r="I650" s="24" t="str">
        <f>IF($Z650="","",IF($Z650&lt;=2000,IF(INDEX(包装物料出入库明细!$G$4:$G$2003,$Z650-0)=0,"",INDEX(包装物料出入库明细!$G$4:$G$2003,$Z650-0)),IF($Z650&lt;=4000,"个",IF($Z650&lt;=5200,"个",IF($Z650&lt;=5800,"个","")))))</f>
        <v/>
      </c>
      <c r="J650" s="30" t="str">
        <f t="shared" si="31"/>
        <v/>
      </c>
      <c r="K650" s="30" t="str">
        <f>IF($Z650="","",IF($Z650&lt;=2000,IF(INDEX(包装物料出入库明细!$N$4:$N$2003,$Z650-0)=0,"",INDEX(包装物料出入库明细!$N$4:$N$2003,$Z650-0)),IF($Z650&lt;=4000,IF(INDEX(周转筐出入库明细!$P$4:$P$2004,$Z650-2000)=0,"",INDEX(周转筐出入库明细!$P$4:$P$2004,$Z650-2000)),IF($Z650&lt;=5200,"",IF($Z650&lt;=5800,N(INDEX(次果筐明细!$L$4:$L$603,$Z650-5200))+N(INDEX(次果筐明细!$J$4:$J$603,$Z650-5200)),"")))))</f>
        <v/>
      </c>
      <c r="L650" s="24" t="str">
        <f>IF($Z650="","",IF($Z650&lt;=2000,IF(INDEX(包装物料出入库明细!$P$4:$P$2003,$Z650-0)=0,"",INDEX(包装物料出入库明细!$P$4:$P$2003,$Z650-0)),IF($Z650&lt;=4000,IF(INDEX(周转筐出入库明细!$Q$4:$Q$2004,$Z650-2000)=0,"",INDEX(周转筐出入库明细!$Q$4:$Q$2004,$Z650-2000)),IF($Z650&lt;=5200,"",IF($Z650&lt;=5800,IF(INDEX(次果筐明细!$M$4:$M$603,$Z650-5200)=0,"",INDEX(次果筐明细!$M$4:$M$603,$Z650-5200)),"")))))</f>
        <v/>
      </c>
      <c r="M650" s="37" t="str">
        <f>IF($Z650="","",IF($Z650&lt;=2000,IF(INDEX(包装物料出入库明细!$R$4:$R$2003,$Z650-0)=0,"",INDEX(包装物料出入库明细!$R$4:$R$2003,$Z650-0)),IF($Z650&lt;=4000,IF(INDEX(周转筐出入库明细!$W$4:$W$2004,$Z650-2000)=0,"",INDEX(周转筐出入库明细!$W$4:$W$2004,$Z650-2000)),IF($Z650&lt;=5200,IF(INDEX(客户自备加工筐明细!$L$4:$L$1203,$Z650-4000)=0,"",INDEX(客户自备加工筐明细!$L$4:$L$1203,$Z650-4000)),IF($Z650&lt;=5800,IF(INDEX(次果筐明细!$P$4:$P$603,$Z650-5200)=0,"",INDEX(次果筐明细!$P$4:$P$603,$Z650-5200)),"")))))</f>
        <v/>
      </c>
      <c r="N650" s="16" t="str">
        <f>IF($Z650="","",IF($Z650&lt;=2000,"",IF($Z650&lt;=4000,IF(INDEX(周转筐出入库明细!$D$4:$D$2004,$Z650-2000)=0,"",INDEX(周转筐出入库明细!$D$4:$D$2004,$Z650-2000)),IF($Z650&lt;=5200,IF(INDEX(客户自备加工筐明细!$C$4:$C$1203,$Z650-4000)=0,"",INDEX(客户自备加工筐明细!$C$4:$C$1203,$Z650-4000)),IF($Z650&lt;=5800,IF(INDEX(次果筐明细!$D$4:$D$603,$Z650-5200)=0,"",INDEX(次果筐明细!$D$4:$D$603,$Z650-5200)),"")))))</f>
        <v/>
      </c>
      <c r="O650" s="40" t="str">
        <f>IF($Z650="","",IF($Z650&lt;=2000,"",IF($Z650&lt;=4000,IF(N(INDEX(周转筐出入库明细!$J$4:$J$2004,$Z650-2000))+N(INDEX(周转筐出入库明细!$K$4:$K$2004,$Z650-2000))=0,"",N(INDEX(周转筐出入库明细!$J$4:$J$2004,$Z650-2000))+N(INDEX(周转筐出入库明细!$K$4:$K$2004,$Z650-2000))),IF($Z650&lt;=5200,IF(N(INDEX(客户自备加工筐明细!$G$4:$G$1203,$Z650-4000))=0,"",N(INDEX(客户自备加工筐明细!$G$4:$G$1203,$Z650-4000))),IF($Z650&lt;=5800,IF(ISNUMBER(SEARCH("退",INDEX(次果筐明细!$F$4:$F$603,$Z650-5200)&amp;"")),"",IF(N(INDEX(次果筐明细!$G$4:$G$603,$Z650-5200))=0,"",N(INDEX(次果筐明细!$G$4:$G$603,$Z650-5200)))),"")))))</f>
        <v/>
      </c>
      <c r="P650" s="40" t="str">
        <f>IF($Z650="","",IF($Z650&lt;=2000,"",IF($Z650&lt;=4000,IF(N(INDEX(周转筐出入库明细!$I$4:$I$2004,$Z650-2000))=0,"",N(INDEX(周转筐出入库明细!$I$4:$I$2004,$Z650-2000))),IF($Z650&lt;=5200,"",IF($Z650&lt;=5800,IF(ISNUMBER(SEARCH("退",INDEX(次果筐明细!$F$4:$F$603,$Z650-5200)&amp;"")),IF(N(INDEX(次果筐明细!$G$4:$G$603,$Z650-5200))=0,"",N(INDEX(次果筐明细!$G$4:$G$603,$Z650-5200))),""),"")))))</f>
        <v/>
      </c>
      <c r="Q650" s="40" t="str">
        <f>IF($Z650="","",IF($Z650&lt;=2000,"",IF($Z650&lt;=4000,IF(N(INDEX(周转筐出入库明细!$H$4:$H$2004,$Z650-2000))=0,"",N(INDEX(周转筐出入库明细!$H$4:$H$2004,$Z650-2000))),IF($Z650&lt;=5200,IF(N(INDEX(客户自备加工筐明细!$F$4:$F$1203,$Z650-4000))=0,"",N(INDEX(客户自备加工筐明细!$F$4:$F$1203,$Z650-4000))),IF($Z650&lt;=5800,"","")))))</f>
        <v/>
      </c>
      <c r="R650" s="16" t="str">
        <f>IF($Z650="","",IF($Z650&lt;=2000,IF(INDEX(包装物料出入库明细!$O$4:$O$2003,$Z650-0)=0,"",INDEX(包装物料出入库明细!$O$4:$O$2003,$Z650-0)),IF($Z650&lt;=4000,IF(INDEX(周转筐出入库明细!$M$4:$M$2004,$Z650-2000)=0,"",INDEX(周转筐出入库明细!$M$4:$M$2004,$Z650-2000)),IF($Z650&lt;=5200,IF(INDEX(客户自备加工筐明细!$H$4:$H$1203,$Z650-4000)=0,"",INDEX(客户自备加工筐明细!$H$4:$H$1203,$Z650-4000)),IF($Z650&lt;=5800,IF(INDEX(次果筐明细!$H$4:$H$603,$Z650-5200)=0,"",INDEX(次果筐明细!$H$4:$H$603,$Z650-5200)),"")))))</f>
        <v/>
      </c>
      <c r="S650" s="22" t="str">
        <f t="shared" si="32"/>
        <v/>
      </c>
      <c r="Z650" s="10" t="str">
        <f>IFERROR(MATCH(ROW()-3,_自动清单!$CQ$4:$CQ$5803,0),"")</f>
        <v/>
      </c>
    </row>
    <row r="651" spans="1:26">
      <c r="A651" s="24" t="str">
        <f t="shared" si="30"/>
        <v/>
      </c>
      <c r="B651" s="38" t="str">
        <f>IF($Z651="","",IF($Z651&lt;=2000,IF(INDEX(包装物料出入库明细!$B$4:$B$2003,$Z651-0)=0,"",INDEX(包装物料出入库明细!$B$4:$B$2003,$Z651-0)),IF($Z651&lt;=4000,IF(INDEX(周转筐出入库明细!$B$4:$B$2004,$Z651-2000)=0,"",INDEX(周转筐出入库明细!$B$4:$B$2004,$Z651-2000)),IF($Z651&lt;=5200,IF(INDEX(客户自备加工筐明细!$B$4:$B$1203,$Z651-4000)=0,"",INDEX(客户自备加工筐明细!$B$4:$B$1203,$Z651-4000)),IF($Z651&lt;=5800,IF(INDEX(次果筐明细!$B$4:$B$603,$Z651-5200)=0,"",INDEX(次果筐明细!$B$4:$B$603,$Z651-5200)),"")))))</f>
        <v/>
      </c>
      <c r="C651" s="37" t="str">
        <f>IF($Z651="","",IF($Z651&lt;=2000,IF(INDEX(包装物料出入库明细!$D$4:$D$2003,$Z651-0)=0,"",INDEX(包装物料出入库明细!$D$4:$D$2003,$Z651-0)),IF($Z651&lt;=4000,IF(INDEX(周转筐出入库明细!$C$4:$C$2004,$Z651-2000)=0,"",INDEX(周转筐出入库明细!$C$4:$C$2004,$Z651-2000)),IF($Z651&lt;=5200,IF(INDEX(客户自备加工筐明细!$E$4:$E$1203,$Z651-4000)=0,"",INDEX(客户自备加工筐明细!$E$4:$E$1203,$Z651-4000)),IF($Z651&lt;=5800,IF(INDEX(次果筐明细!$C$4:$C$603,$Z651-5200)=0,"",INDEX(次果筐明细!$C$4:$C$603,$Z651-5200)),"")))))</f>
        <v/>
      </c>
      <c r="D651" s="37" t="str">
        <f>IF($Z651="","",IF($Z651&lt;=2000,"包装物料－"&amp;INDEX(包装物料出入库明细!$H$4:$H$2003,$Z651-0),IF($Z651&lt;=4000,"周转筐－"&amp;INDEX(周转筐出入库明细!$F$4:$F$2004,$Z651-2000),IF($Z651&lt;=5200,"客户自备筐－"&amp;INDEX(客户自备加工筐明细!$J$4:$J$1203,$Z651-4000),IF($Z651&lt;=5800,"次果筐/托盘－"&amp;INDEX(次果筐明细!$F$4:$F$603,$Z651-5200),"")))))</f>
        <v/>
      </c>
      <c r="E651" s="24" t="str">
        <f>IF($Z651="","",IF($Z651&lt;=2000,IF(INDEX(包装物料出入库明细!$C$4:$C$2003,$Z651-0)=0,"",INDEX(包装物料出入库明细!$C$4:$C$2003,$Z651-0)),IF($Z651&lt;=4000,IF(INDEX(周转筐出入库明细!$E$4:$E$2004,$Z651-2000)=0,"",INDEX(周转筐出入库明细!$E$4:$E$2004,$Z651-2000)),IF($Z651&lt;=5200,IF(INDEX(客户自备加工筐明细!$D$4:$D$1203,$Z651-4000)=0,"",INDEX(客户自备加工筐明细!$D$4:$D$1203,$Z651-4000)),IF($Z651&lt;=5800,IF(INDEX(次果筐明细!$E$4:$E$603,$Z651-5200)=0,"",INDEX(次果筐明细!$E$4:$E$603,$Z651-5200)),"")))))</f>
        <v/>
      </c>
      <c r="F651" s="24" t="str">
        <f>IF($Z651="","",IF($Z651&lt;=2000,IF(INDEX(包装物料出入库明细!$E$4:$E$2003,$Z651-0)=0,"",INDEX(包装物料出入库明细!$E$4:$E$2003,$Z651-0)),IF($Z651&lt;=4000,IF(INDEX(周转筐出入库明细!$D$4:$D$2004,$Z651-2000)=0,"",INDEX(周转筐出入库明细!$D$4:$D$2004,$Z651-2000)),IF($Z651&lt;=5200,IF(INDEX(客户自备加工筐明细!$C$4:$C$1203,$Z651-4000)=0,"",INDEX(客户自备加工筐明细!$C$4:$C$1203,$Z651-4000)),IF($Z651&lt;=5800,IF(INDEX(次果筐明细!$D$4:$D$603,$Z651-5200)=0,"",INDEX(次果筐明细!$D$4:$D$603,$Z651-5200)),"")))))</f>
        <v/>
      </c>
      <c r="G651" s="24" t="str">
        <f>IF($Z651="","",IF($Z651&lt;=2000,IF(INDEX(包装物料出入库明细!$F$4:$F$2003,$Z651-0)=0,"",INDEX(包装物料出入库明细!$F$4:$F$2003,$Z651-0)),IF($Z651&lt;=4000,"",IF($Z651&lt;=5200,"",IF($Z651&lt;=5800,"","")))))</f>
        <v/>
      </c>
      <c r="H651" s="39" t="str">
        <f>IF($Z651="","",IF($Z651&lt;=2000,IF(INDEX(包装物料出入库明细!$L$4:$L$2003,$Z651-0)=0,"",INDEX(包装物料出入库明细!$L$4:$L$2003,$Z651-0)),IF($Z651&lt;=4000,N(INDEX(周转筐出入库明细!$H$4:$H$2004,$Z651-2000))+N(INDEX(周转筐出入库明细!$I$4:$I$2004,$Z651-2000))+N(INDEX(周转筐出入库明细!$J$4:$J$2004,$Z651-2000))+N(INDEX(周转筐出入库明细!$K$4:$K$2004,$Z651-2000)),IF($Z651&lt;=5200,N(INDEX(客户自备加工筐明细!$F$4:$F$1203,$Z651-4000))+N(INDEX(客户自备加工筐明细!$G$4:$G$1203,$Z651-4000)),IF($Z651&lt;=5800,IF(INDEX(次果筐明细!$G$4:$G$603,$Z651-5200)=0,"",INDEX(次果筐明细!$G$4:$G$603,$Z651-5200)),"")))))</f>
        <v/>
      </c>
      <c r="I651" s="24" t="str">
        <f>IF($Z651="","",IF($Z651&lt;=2000,IF(INDEX(包装物料出入库明细!$G$4:$G$2003,$Z651-0)=0,"",INDEX(包装物料出入库明细!$G$4:$G$2003,$Z651-0)),IF($Z651&lt;=4000,"个",IF($Z651&lt;=5200,"个",IF($Z651&lt;=5800,"个","")))))</f>
        <v/>
      </c>
      <c r="J651" s="30" t="str">
        <f t="shared" si="31"/>
        <v/>
      </c>
      <c r="K651" s="30" t="str">
        <f>IF($Z651="","",IF($Z651&lt;=2000,IF(INDEX(包装物料出入库明细!$N$4:$N$2003,$Z651-0)=0,"",INDEX(包装物料出入库明细!$N$4:$N$2003,$Z651-0)),IF($Z651&lt;=4000,IF(INDEX(周转筐出入库明细!$P$4:$P$2004,$Z651-2000)=0,"",INDEX(周转筐出入库明细!$P$4:$P$2004,$Z651-2000)),IF($Z651&lt;=5200,"",IF($Z651&lt;=5800,N(INDEX(次果筐明细!$L$4:$L$603,$Z651-5200))+N(INDEX(次果筐明细!$J$4:$J$603,$Z651-5200)),"")))))</f>
        <v/>
      </c>
      <c r="L651" s="24" t="str">
        <f>IF($Z651="","",IF($Z651&lt;=2000,IF(INDEX(包装物料出入库明细!$P$4:$P$2003,$Z651-0)=0,"",INDEX(包装物料出入库明细!$P$4:$P$2003,$Z651-0)),IF($Z651&lt;=4000,IF(INDEX(周转筐出入库明细!$Q$4:$Q$2004,$Z651-2000)=0,"",INDEX(周转筐出入库明细!$Q$4:$Q$2004,$Z651-2000)),IF($Z651&lt;=5200,"",IF($Z651&lt;=5800,IF(INDEX(次果筐明细!$M$4:$M$603,$Z651-5200)=0,"",INDEX(次果筐明细!$M$4:$M$603,$Z651-5200)),"")))))</f>
        <v/>
      </c>
      <c r="M651" s="37" t="str">
        <f>IF($Z651="","",IF($Z651&lt;=2000,IF(INDEX(包装物料出入库明细!$R$4:$R$2003,$Z651-0)=0,"",INDEX(包装物料出入库明细!$R$4:$R$2003,$Z651-0)),IF($Z651&lt;=4000,IF(INDEX(周转筐出入库明细!$W$4:$W$2004,$Z651-2000)=0,"",INDEX(周转筐出入库明细!$W$4:$W$2004,$Z651-2000)),IF($Z651&lt;=5200,IF(INDEX(客户自备加工筐明细!$L$4:$L$1203,$Z651-4000)=0,"",INDEX(客户自备加工筐明细!$L$4:$L$1203,$Z651-4000)),IF($Z651&lt;=5800,IF(INDEX(次果筐明细!$P$4:$P$603,$Z651-5200)=0,"",INDEX(次果筐明细!$P$4:$P$603,$Z651-5200)),"")))))</f>
        <v/>
      </c>
      <c r="N651" s="16" t="str">
        <f>IF($Z651="","",IF($Z651&lt;=2000,"",IF($Z651&lt;=4000,IF(INDEX(周转筐出入库明细!$D$4:$D$2004,$Z651-2000)=0,"",INDEX(周转筐出入库明细!$D$4:$D$2004,$Z651-2000)),IF($Z651&lt;=5200,IF(INDEX(客户自备加工筐明细!$C$4:$C$1203,$Z651-4000)=0,"",INDEX(客户自备加工筐明细!$C$4:$C$1203,$Z651-4000)),IF($Z651&lt;=5800,IF(INDEX(次果筐明细!$D$4:$D$603,$Z651-5200)=0,"",INDEX(次果筐明细!$D$4:$D$603,$Z651-5200)),"")))))</f>
        <v/>
      </c>
      <c r="O651" s="40" t="str">
        <f>IF($Z651="","",IF($Z651&lt;=2000,"",IF($Z651&lt;=4000,IF(N(INDEX(周转筐出入库明细!$J$4:$J$2004,$Z651-2000))+N(INDEX(周转筐出入库明细!$K$4:$K$2004,$Z651-2000))=0,"",N(INDEX(周转筐出入库明细!$J$4:$J$2004,$Z651-2000))+N(INDEX(周转筐出入库明细!$K$4:$K$2004,$Z651-2000))),IF($Z651&lt;=5200,IF(N(INDEX(客户自备加工筐明细!$G$4:$G$1203,$Z651-4000))=0,"",N(INDEX(客户自备加工筐明细!$G$4:$G$1203,$Z651-4000))),IF($Z651&lt;=5800,IF(ISNUMBER(SEARCH("退",INDEX(次果筐明细!$F$4:$F$603,$Z651-5200)&amp;"")),"",IF(N(INDEX(次果筐明细!$G$4:$G$603,$Z651-5200))=0,"",N(INDEX(次果筐明细!$G$4:$G$603,$Z651-5200)))),"")))))</f>
        <v/>
      </c>
      <c r="P651" s="40" t="str">
        <f>IF($Z651="","",IF($Z651&lt;=2000,"",IF($Z651&lt;=4000,IF(N(INDEX(周转筐出入库明细!$I$4:$I$2004,$Z651-2000))=0,"",N(INDEX(周转筐出入库明细!$I$4:$I$2004,$Z651-2000))),IF($Z651&lt;=5200,"",IF($Z651&lt;=5800,IF(ISNUMBER(SEARCH("退",INDEX(次果筐明细!$F$4:$F$603,$Z651-5200)&amp;"")),IF(N(INDEX(次果筐明细!$G$4:$G$603,$Z651-5200))=0,"",N(INDEX(次果筐明细!$G$4:$G$603,$Z651-5200))),""),"")))))</f>
        <v/>
      </c>
      <c r="Q651" s="40" t="str">
        <f>IF($Z651="","",IF($Z651&lt;=2000,"",IF($Z651&lt;=4000,IF(N(INDEX(周转筐出入库明细!$H$4:$H$2004,$Z651-2000))=0,"",N(INDEX(周转筐出入库明细!$H$4:$H$2004,$Z651-2000))),IF($Z651&lt;=5200,IF(N(INDEX(客户自备加工筐明细!$F$4:$F$1203,$Z651-4000))=0,"",N(INDEX(客户自备加工筐明细!$F$4:$F$1203,$Z651-4000))),IF($Z651&lt;=5800,"","")))))</f>
        <v/>
      </c>
      <c r="R651" s="16" t="str">
        <f>IF($Z651="","",IF($Z651&lt;=2000,IF(INDEX(包装物料出入库明细!$O$4:$O$2003,$Z651-0)=0,"",INDEX(包装物料出入库明细!$O$4:$O$2003,$Z651-0)),IF($Z651&lt;=4000,IF(INDEX(周转筐出入库明细!$M$4:$M$2004,$Z651-2000)=0,"",INDEX(周转筐出入库明细!$M$4:$M$2004,$Z651-2000)),IF($Z651&lt;=5200,IF(INDEX(客户自备加工筐明细!$H$4:$H$1203,$Z651-4000)=0,"",INDEX(客户自备加工筐明细!$H$4:$H$1203,$Z651-4000)),IF($Z651&lt;=5800,IF(INDEX(次果筐明细!$H$4:$H$603,$Z651-5200)=0,"",INDEX(次果筐明细!$H$4:$H$603,$Z651-5200)),"")))))</f>
        <v/>
      </c>
      <c r="S651" s="22" t="str">
        <f t="shared" si="32"/>
        <v/>
      </c>
      <c r="Z651" s="10" t="str">
        <f>IFERROR(MATCH(ROW()-3,_自动清单!$CQ$4:$CQ$5803,0),"")</f>
        <v/>
      </c>
    </row>
    <row r="652" spans="1:26">
      <c r="A652" s="24" t="str">
        <f t="shared" si="30"/>
        <v/>
      </c>
      <c r="B652" s="38" t="str">
        <f>IF($Z652="","",IF($Z652&lt;=2000,IF(INDEX(包装物料出入库明细!$B$4:$B$2003,$Z652-0)=0,"",INDEX(包装物料出入库明细!$B$4:$B$2003,$Z652-0)),IF($Z652&lt;=4000,IF(INDEX(周转筐出入库明细!$B$4:$B$2004,$Z652-2000)=0,"",INDEX(周转筐出入库明细!$B$4:$B$2004,$Z652-2000)),IF($Z652&lt;=5200,IF(INDEX(客户自备加工筐明细!$B$4:$B$1203,$Z652-4000)=0,"",INDEX(客户自备加工筐明细!$B$4:$B$1203,$Z652-4000)),IF($Z652&lt;=5800,IF(INDEX(次果筐明细!$B$4:$B$603,$Z652-5200)=0,"",INDEX(次果筐明细!$B$4:$B$603,$Z652-5200)),"")))))</f>
        <v/>
      </c>
      <c r="C652" s="37" t="str">
        <f>IF($Z652="","",IF($Z652&lt;=2000,IF(INDEX(包装物料出入库明细!$D$4:$D$2003,$Z652-0)=0,"",INDEX(包装物料出入库明细!$D$4:$D$2003,$Z652-0)),IF($Z652&lt;=4000,IF(INDEX(周转筐出入库明细!$C$4:$C$2004,$Z652-2000)=0,"",INDEX(周转筐出入库明细!$C$4:$C$2004,$Z652-2000)),IF($Z652&lt;=5200,IF(INDEX(客户自备加工筐明细!$E$4:$E$1203,$Z652-4000)=0,"",INDEX(客户自备加工筐明细!$E$4:$E$1203,$Z652-4000)),IF($Z652&lt;=5800,IF(INDEX(次果筐明细!$C$4:$C$603,$Z652-5200)=0,"",INDEX(次果筐明细!$C$4:$C$603,$Z652-5200)),"")))))</f>
        <v/>
      </c>
      <c r="D652" s="37" t="str">
        <f>IF($Z652="","",IF($Z652&lt;=2000,"包装物料－"&amp;INDEX(包装物料出入库明细!$H$4:$H$2003,$Z652-0),IF($Z652&lt;=4000,"周转筐－"&amp;INDEX(周转筐出入库明细!$F$4:$F$2004,$Z652-2000),IF($Z652&lt;=5200,"客户自备筐－"&amp;INDEX(客户自备加工筐明细!$J$4:$J$1203,$Z652-4000),IF($Z652&lt;=5800,"次果筐/托盘－"&amp;INDEX(次果筐明细!$F$4:$F$603,$Z652-5200),"")))))</f>
        <v/>
      </c>
      <c r="E652" s="24" t="str">
        <f>IF($Z652="","",IF($Z652&lt;=2000,IF(INDEX(包装物料出入库明细!$C$4:$C$2003,$Z652-0)=0,"",INDEX(包装物料出入库明细!$C$4:$C$2003,$Z652-0)),IF($Z652&lt;=4000,IF(INDEX(周转筐出入库明细!$E$4:$E$2004,$Z652-2000)=0,"",INDEX(周转筐出入库明细!$E$4:$E$2004,$Z652-2000)),IF($Z652&lt;=5200,IF(INDEX(客户自备加工筐明细!$D$4:$D$1203,$Z652-4000)=0,"",INDEX(客户自备加工筐明细!$D$4:$D$1203,$Z652-4000)),IF($Z652&lt;=5800,IF(INDEX(次果筐明细!$E$4:$E$603,$Z652-5200)=0,"",INDEX(次果筐明细!$E$4:$E$603,$Z652-5200)),"")))))</f>
        <v/>
      </c>
      <c r="F652" s="24" t="str">
        <f>IF($Z652="","",IF($Z652&lt;=2000,IF(INDEX(包装物料出入库明细!$E$4:$E$2003,$Z652-0)=0,"",INDEX(包装物料出入库明细!$E$4:$E$2003,$Z652-0)),IF($Z652&lt;=4000,IF(INDEX(周转筐出入库明细!$D$4:$D$2004,$Z652-2000)=0,"",INDEX(周转筐出入库明细!$D$4:$D$2004,$Z652-2000)),IF($Z652&lt;=5200,IF(INDEX(客户自备加工筐明细!$C$4:$C$1203,$Z652-4000)=0,"",INDEX(客户自备加工筐明细!$C$4:$C$1203,$Z652-4000)),IF($Z652&lt;=5800,IF(INDEX(次果筐明细!$D$4:$D$603,$Z652-5200)=0,"",INDEX(次果筐明细!$D$4:$D$603,$Z652-5200)),"")))))</f>
        <v/>
      </c>
      <c r="G652" s="24" t="str">
        <f>IF($Z652="","",IF($Z652&lt;=2000,IF(INDEX(包装物料出入库明细!$F$4:$F$2003,$Z652-0)=0,"",INDEX(包装物料出入库明细!$F$4:$F$2003,$Z652-0)),IF($Z652&lt;=4000,"",IF($Z652&lt;=5200,"",IF($Z652&lt;=5800,"","")))))</f>
        <v/>
      </c>
      <c r="H652" s="39" t="str">
        <f>IF($Z652="","",IF($Z652&lt;=2000,IF(INDEX(包装物料出入库明细!$L$4:$L$2003,$Z652-0)=0,"",INDEX(包装物料出入库明细!$L$4:$L$2003,$Z652-0)),IF($Z652&lt;=4000,N(INDEX(周转筐出入库明细!$H$4:$H$2004,$Z652-2000))+N(INDEX(周转筐出入库明细!$I$4:$I$2004,$Z652-2000))+N(INDEX(周转筐出入库明细!$J$4:$J$2004,$Z652-2000))+N(INDEX(周转筐出入库明细!$K$4:$K$2004,$Z652-2000)),IF($Z652&lt;=5200,N(INDEX(客户自备加工筐明细!$F$4:$F$1203,$Z652-4000))+N(INDEX(客户自备加工筐明细!$G$4:$G$1203,$Z652-4000)),IF($Z652&lt;=5800,IF(INDEX(次果筐明细!$G$4:$G$603,$Z652-5200)=0,"",INDEX(次果筐明细!$G$4:$G$603,$Z652-5200)),"")))))</f>
        <v/>
      </c>
      <c r="I652" s="24" t="str">
        <f>IF($Z652="","",IF($Z652&lt;=2000,IF(INDEX(包装物料出入库明细!$G$4:$G$2003,$Z652-0)=0,"",INDEX(包装物料出入库明细!$G$4:$G$2003,$Z652-0)),IF($Z652&lt;=4000,"个",IF($Z652&lt;=5200,"个",IF($Z652&lt;=5800,"个","")))))</f>
        <v/>
      </c>
      <c r="J652" s="30" t="str">
        <f t="shared" si="31"/>
        <v/>
      </c>
      <c r="K652" s="30" t="str">
        <f>IF($Z652="","",IF($Z652&lt;=2000,IF(INDEX(包装物料出入库明细!$N$4:$N$2003,$Z652-0)=0,"",INDEX(包装物料出入库明细!$N$4:$N$2003,$Z652-0)),IF($Z652&lt;=4000,IF(INDEX(周转筐出入库明细!$P$4:$P$2004,$Z652-2000)=0,"",INDEX(周转筐出入库明细!$P$4:$P$2004,$Z652-2000)),IF($Z652&lt;=5200,"",IF($Z652&lt;=5800,N(INDEX(次果筐明细!$L$4:$L$603,$Z652-5200))+N(INDEX(次果筐明细!$J$4:$J$603,$Z652-5200)),"")))))</f>
        <v/>
      </c>
      <c r="L652" s="24" t="str">
        <f>IF($Z652="","",IF($Z652&lt;=2000,IF(INDEX(包装物料出入库明细!$P$4:$P$2003,$Z652-0)=0,"",INDEX(包装物料出入库明细!$P$4:$P$2003,$Z652-0)),IF($Z652&lt;=4000,IF(INDEX(周转筐出入库明细!$Q$4:$Q$2004,$Z652-2000)=0,"",INDEX(周转筐出入库明细!$Q$4:$Q$2004,$Z652-2000)),IF($Z652&lt;=5200,"",IF($Z652&lt;=5800,IF(INDEX(次果筐明细!$M$4:$M$603,$Z652-5200)=0,"",INDEX(次果筐明细!$M$4:$M$603,$Z652-5200)),"")))))</f>
        <v/>
      </c>
      <c r="M652" s="37" t="str">
        <f>IF($Z652="","",IF($Z652&lt;=2000,IF(INDEX(包装物料出入库明细!$R$4:$R$2003,$Z652-0)=0,"",INDEX(包装物料出入库明细!$R$4:$R$2003,$Z652-0)),IF($Z652&lt;=4000,IF(INDEX(周转筐出入库明细!$W$4:$W$2004,$Z652-2000)=0,"",INDEX(周转筐出入库明细!$W$4:$W$2004,$Z652-2000)),IF($Z652&lt;=5200,IF(INDEX(客户自备加工筐明细!$L$4:$L$1203,$Z652-4000)=0,"",INDEX(客户自备加工筐明细!$L$4:$L$1203,$Z652-4000)),IF($Z652&lt;=5800,IF(INDEX(次果筐明细!$P$4:$P$603,$Z652-5200)=0,"",INDEX(次果筐明细!$P$4:$P$603,$Z652-5200)),"")))))</f>
        <v/>
      </c>
      <c r="N652" s="16" t="str">
        <f>IF($Z652="","",IF($Z652&lt;=2000,"",IF($Z652&lt;=4000,IF(INDEX(周转筐出入库明细!$D$4:$D$2004,$Z652-2000)=0,"",INDEX(周转筐出入库明细!$D$4:$D$2004,$Z652-2000)),IF($Z652&lt;=5200,IF(INDEX(客户自备加工筐明细!$C$4:$C$1203,$Z652-4000)=0,"",INDEX(客户自备加工筐明细!$C$4:$C$1203,$Z652-4000)),IF($Z652&lt;=5800,IF(INDEX(次果筐明细!$D$4:$D$603,$Z652-5200)=0,"",INDEX(次果筐明细!$D$4:$D$603,$Z652-5200)),"")))))</f>
        <v/>
      </c>
      <c r="O652" s="40" t="str">
        <f>IF($Z652="","",IF($Z652&lt;=2000,"",IF($Z652&lt;=4000,IF(N(INDEX(周转筐出入库明细!$J$4:$J$2004,$Z652-2000))+N(INDEX(周转筐出入库明细!$K$4:$K$2004,$Z652-2000))=0,"",N(INDEX(周转筐出入库明细!$J$4:$J$2004,$Z652-2000))+N(INDEX(周转筐出入库明细!$K$4:$K$2004,$Z652-2000))),IF($Z652&lt;=5200,IF(N(INDEX(客户自备加工筐明细!$G$4:$G$1203,$Z652-4000))=0,"",N(INDEX(客户自备加工筐明细!$G$4:$G$1203,$Z652-4000))),IF($Z652&lt;=5800,IF(ISNUMBER(SEARCH("退",INDEX(次果筐明细!$F$4:$F$603,$Z652-5200)&amp;"")),"",IF(N(INDEX(次果筐明细!$G$4:$G$603,$Z652-5200))=0,"",N(INDEX(次果筐明细!$G$4:$G$603,$Z652-5200)))),"")))))</f>
        <v/>
      </c>
      <c r="P652" s="40" t="str">
        <f>IF($Z652="","",IF($Z652&lt;=2000,"",IF($Z652&lt;=4000,IF(N(INDEX(周转筐出入库明细!$I$4:$I$2004,$Z652-2000))=0,"",N(INDEX(周转筐出入库明细!$I$4:$I$2004,$Z652-2000))),IF($Z652&lt;=5200,"",IF($Z652&lt;=5800,IF(ISNUMBER(SEARCH("退",INDEX(次果筐明细!$F$4:$F$603,$Z652-5200)&amp;"")),IF(N(INDEX(次果筐明细!$G$4:$G$603,$Z652-5200))=0,"",N(INDEX(次果筐明细!$G$4:$G$603,$Z652-5200))),""),"")))))</f>
        <v/>
      </c>
      <c r="Q652" s="40" t="str">
        <f>IF($Z652="","",IF($Z652&lt;=2000,"",IF($Z652&lt;=4000,IF(N(INDEX(周转筐出入库明细!$H$4:$H$2004,$Z652-2000))=0,"",N(INDEX(周转筐出入库明细!$H$4:$H$2004,$Z652-2000))),IF($Z652&lt;=5200,IF(N(INDEX(客户自备加工筐明细!$F$4:$F$1203,$Z652-4000))=0,"",N(INDEX(客户自备加工筐明细!$F$4:$F$1203,$Z652-4000))),IF($Z652&lt;=5800,"","")))))</f>
        <v/>
      </c>
      <c r="R652" s="16" t="str">
        <f>IF($Z652="","",IF($Z652&lt;=2000,IF(INDEX(包装物料出入库明细!$O$4:$O$2003,$Z652-0)=0,"",INDEX(包装物料出入库明细!$O$4:$O$2003,$Z652-0)),IF($Z652&lt;=4000,IF(INDEX(周转筐出入库明细!$M$4:$M$2004,$Z652-2000)=0,"",INDEX(周转筐出入库明细!$M$4:$M$2004,$Z652-2000)),IF($Z652&lt;=5200,IF(INDEX(客户自备加工筐明细!$H$4:$H$1203,$Z652-4000)=0,"",INDEX(客户自备加工筐明细!$H$4:$H$1203,$Z652-4000)),IF($Z652&lt;=5800,IF(INDEX(次果筐明细!$H$4:$H$603,$Z652-5200)=0,"",INDEX(次果筐明细!$H$4:$H$603,$Z652-5200)),"")))))</f>
        <v/>
      </c>
      <c r="S652" s="22" t="str">
        <f t="shared" si="32"/>
        <v/>
      </c>
      <c r="Z652" s="10" t="str">
        <f>IFERROR(MATCH(ROW()-3,_自动清单!$CQ$4:$CQ$5803,0),"")</f>
        <v/>
      </c>
    </row>
    <row r="653" spans="1:26">
      <c r="A653" s="24" t="str">
        <f t="shared" si="30"/>
        <v/>
      </c>
      <c r="B653" s="38" t="str">
        <f>IF($Z653="","",IF($Z653&lt;=2000,IF(INDEX(包装物料出入库明细!$B$4:$B$2003,$Z653-0)=0,"",INDEX(包装物料出入库明细!$B$4:$B$2003,$Z653-0)),IF($Z653&lt;=4000,IF(INDEX(周转筐出入库明细!$B$4:$B$2004,$Z653-2000)=0,"",INDEX(周转筐出入库明细!$B$4:$B$2004,$Z653-2000)),IF($Z653&lt;=5200,IF(INDEX(客户自备加工筐明细!$B$4:$B$1203,$Z653-4000)=0,"",INDEX(客户自备加工筐明细!$B$4:$B$1203,$Z653-4000)),IF($Z653&lt;=5800,IF(INDEX(次果筐明细!$B$4:$B$603,$Z653-5200)=0,"",INDEX(次果筐明细!$B$4:$B$603,$Z653-5200)),"")))))</f>
        <v/>
      </c>
      <c r="C653" s="37" t="str">
        <f>IF($Z653="","",IF($Z653&lt;=2000,IF(INDEX(包装物料出入库明细!$D$4:$D$2003,$Z653-0)=0,"",INDEX(包装物料出入库明细!$D$4:$D$2003,$Z653-0)),IF($Z653&lt;=4000,IF(INDEX(周转筐出入库明细!$C$4:$C$2004,$Z653-2000)=0,"",INDEX(周转筐出入库明细!$C$4:$C$2004,$Z653-2000)),IF($Z653&lt;=5200,IF(INDEX(客户自备加工筐明细!$E$4:$E$1203,$Z653-4000)=0,"",INDEX(客户自备加工筐明细!$E$4:$E$1203,$Z653-4000)),IF($Z653&lt;=5800,IF(INDEX(次果筐明细!$C$4:$C$603,$Z653-5200)=0,"",INDEX(次果筐明细!$C$4:$C$603,$Z653-5200)),"")))))</f>
        <v/>
      </c>
      <c r="D653" s="37" t="str">
        <f>IF($Z653="","",IF($Z653&lt;=2000,"包装物料－"&amp;INDEX(包装物料出入库明细!$H$4:$H$2003,$Z653-0),IF($Z653&lt;=4000,"周转筐－"&amp;INDEX(周转筐出入库明细!$F$4:$F$2004,$Z653-2000),IF($Z653&lt;=5200,"客户自备筐－"&amp;INDEX(客户自备加工筐明细!$J$4:$J$1203,$Z653-4000),IF($Z653&lt;=5800,"次果筐/托盘－"&amp;INDEX(次果筐明细!$F$4:$F$603,$Z653-5200),"")))))</f>
        <v/>
      </c>
      <c r="E653" s="24" t="str">
        <f>IF($Z653="","",IF($Z653&lt;=2000,IF(INDEX(包装物料出入库明细!$C$4:$C$2003,$Z653-0)=0,"",INDEX(包装物料出入库明细!$C$4:$C$2003,$Z653-0)),IF($Z653&lt;=4000,IF(INDEX(周转筐出入库明细!$E$4:$E$2004,$Z653-2000)=0,"",INDEX(周转筐出入库明细!$E$4:$E$2004,$Z653-2000)),IF($Z653&lt;=5200,IF(INDEX(客户自备加工筐明细!$D$4:$D$1203,$Z653-4000)=0,"",INDEX(客户自备加工筐明细!$D$4:$D$1203,$Z653-4000)),IF($Z653&lt;=5800,IF(INDEX(次果筐明细!$E$4:$E$603,$Z653-5200)=0,"",INDEX(次果筐明细!$E$4:$E$603,$Z653-5200)),"")))))</f>
        <v/>
      </c>
      <c r="F653" s="24" t="str">
        <f>IF($Z653="","",IF($Z653&lt;=2000,IF(INDEX(包装物料出入库明细!$E$4:$E$2003,$Z653-0)=0,"",INDEX(包装物料出入库明细!$E$4:$E$2003,$Z653-0)),IF($Z653&lt;=4000,IF(INDEX(周转筐出入库明细!$D$4:$D$2004,$Z653-2000)=0,"",INDEX(周转筐出入库明细!$D$4:$D$2004,$Z653-2000)),IF($Z653&lt;=5200,IF(INDEX(客户自备加工筐明细!$C$4:$C$1203,$Z653-4000)=0,"",INDEX(客户自备加工筐明细!$C$4:$C$1203,$Z653-4000)),IF($Z653&lt;=5800,IF(INDEX(次果筐明细!$D$4:$D$603,$Z653-5200)=0,"",INDEX(次果筐明细!$D$4:$D$603,$Z653-5200)),"")))))</f>
        <v/>
      </c>
      <c r="G653" s="24" t="str">
        <f>IF($Z653="","",IF($Z653&lt;=2000,IF(INDEX(包装物料出入库明细!$F$4:$F$2003,$Z653-0)=0,"",INDEX(包装物料出入库明细!$F$4:$F$2003,$Z653-0)),IF($Z653&lt;=4000,"",IF($Z653&lt;=5200,"",IF($Z653&lt;=5800,"","")))))</f>
        <v/>
      </c>
      <c r="H653" s="39" t="str">
        <f>IF($Z653="","",IF($Z653&lt;=2000,IF(INDEX(包装物料出入库明细!$L$4:$L$2003,$Z653-0)=0,"",INDEX(包装物料出入库明细!$L$4:$L$2003,$Z653-0)),IF($Z653&lt;=4000,N(INDEX(周转筐出入库明细!$H$4:$H$2004,$Z653-2000))+N(INDEX(周转筐出入库明细!$I$4:$I$2004,$Z653-2000))+N(INDEX(周转筐出入库明细!$J$4:$J$2004,$Z653-2000))+N(INDEX(周转筐出入库明细!$K$4:$K$2004,$Z653-2000)),IF($Z653&lt;=5200,N(INDEX(客户自备加工筐明细!$F$4:$F$1203,$Z653-4000))+N(INDEX(客户自备加工筐明细!$G$4:$G$1203,$Z653-4000)),IF($Z653&lt;=5800,IF(INDEX(次果筐明细!$G$4:$G$603,$Z653-5200)=0,"",INDEX(次果筐明细!$G$4:$G$603,$Z653-5200)),"")))))</f>
        <v/>
      </c>
      <c r="I653" s="24" t="str">
        <f>IF($Z653="","",IF($Z653&lt;=2000,IF(INDEX(包装物料出入库明细!$G$4:$G$2003,$Z653-0)=0,"",INDEX(包装物料出入库明细!$G$4:$G$2003,$Z653-0)),IF($Z653&lt;=4000,"个",IF($Z653&lt;=5200,"个",IF($Z653&lt;=5800,"个","")))))</f>
        <v/>
      </c>
      <c r="J653" s="30" t="str">
        <f t="shared" si="31"/>
        <v/>
      </c>
      <c r="K653" s="30" t="str">
        <f>IF($Z653="","",IF($Z653&lt;=2000,IF(INDEX(包装物料出入库明细!$N$4:$N$2003,$Z653-0)=0,"",INDEX(包装物料出入库明细!$N$4:$N$2003,$Z653-0)),IF($Z653&lt;=4000,IF(INDEX(周转筐出入库明细!$P$4:$P$2004,$Z653-2000)=0,"",INDEX(周转筐出入库明细!$P$4:$P$2004,$Z653-2000)),IF($Z653&lt;=5200,"",IF($Z653&lt;=5800,N(INDEX(次果筐明细!$L$4:$L$603,$Z653-5200))+N(INDEX(次果筐明细!$J$4:$J$603,$Z653-5200)),"")))))</f>
        <v/>
      </c>
      <c r="L653" s="24" t="str">
        <f>IF($Z653="","",IF($Z653&lt;=2000,IF(INDEX(包装物料出入库明细!$P$4:$P$2003,$Z653-0)=0,"",INDEX(包装物料出入库明细!$P$4:$P$2003,$Z653-0)),IF($Z653&lt;=4000,IF(INDEX(周转筐出入库明细!$Q$4:$Q$2004,$Z653-2000)=0,"",INDEX(周转筐出入库明细!$Q$4:$Q$2004,$Z653-2000)),IF($Z653&lt;=5200,"",IF($Z653&lt;=5800,IF(INDEX(次果筐明细!$M$4:$M$603,$Z653-5200)=0,"",INDEX(次果筐明细!$M$4:$M$603,$Z653-5200)),"")))))</f>
        <v/>
      </c>
      <c r="M653" s="37" t="str">
        <f>IF($Z653="","",IF($Z653&lt;=2000,IF(INDEX(包装物料出入库明细!$R$4:$R$2003,$Z653-0)=0,"",INDEX(包装物料出入库明细!$R$4:$R$2003,$Z653-0)),IF($Z653&lt;=4000,IF(INDEX(周转筐出入库明细!$W$4:$W$2004,$Z653-2000)=0,"",INDEX(周转筐出入库明细!$W$4:$W$2004,$Z653-2000)),IF($Z653&lt;=5200,IF(INDEX(客户自备加工筐明细!$L$4:$L$1203,$Z653-4000)=0,"",INDEX(客户自备加工筐明细!$L$4:$L$1203,$Z653-4000)),IF($Z653&lt;=5800,IF(INDEX(次果筐明细!$P$4:$P$603,$Z653-5200)=0,"",INDEX(次果筐明细!$P$4:$P$603,$Z653-5200)),"")))))</f>
        <v/>
      </c>
      <c r="N653" s="16" t="str">
        <f>IF($Z653="","",IF($Z653&lt;=2000,"",IF($Z653&lt;=4000,IF(INDEX(周转筐出入库明细!$D$4:$D$2004,$Z653-2000)=0,"",INDEX(周转筐出入库明细!$D$4:$D$2004,$Z653-2000)),IF($Z653&lt;=5200,IF(INDEX(客户自备加工筐明细!$C$4:$C$1203,$Z653-4000)=0,"",INDEX(客户自备加工筐明细!$C$4:$C$1203,$Z653-4000)),IF($Z653&lt;=5800,IF(INDEX(次果筐明细!$D$4:$D$603,$Z653-5200)=0,"",INDEX(次果筐明细!$D$4:$D$603,$Z653-5200)),"")))))</f>
        <v/>
      </c>
      <c r="O653" s="40" t="str">
        <f>IF($Z653="","",IF($Z653&lt;=2000,"",IF($Z653&lt;=4000,IF(N(INDEX(周转筐出入库明细!$J$4:$J$2004,$Z653-2000))+N(INDEX(周转筐出入库明细!$K$4:$K$2004,$Z653-2000))=0,"",N(INDEX(周转筐出入库明细!$J$4:$J$2004,$Z653-2000))+N(INDEX(周转筐出入库明细!$K$4:$K$2004,$Z653-2000))),IF($Z653&lt;=5200,IF(N(INDEX(客户自备加工筐明细!$G$4:$G$1203,$Z653-4000))=0,"",N(INDEX(客户自备加工筐明细!$G$4:$G$1203,$Z653-4000))),IF($Z653&lt;=5800,IF(ISNUMBER(SEARCH("退",INDEX(次果筐明细!$F$4:$F$603,$Z653-5200)&amp;"")),"",IF(N(INDEX(次果筐明细!$G$4:$G$603,$Z653-5200))=0,"",N(INDEX(次果筐明细!$G$4:$G$603,$Z653-5200)))),"")))))</f>
        <v/>
      </c>
      <c r="P653" s="40" t="str">
        <f>IF($Z653="","",IF($Z653&lt;=2000,"",IF($Z653&lt;=4000,IF(N(INDEX(周转筐出入库明细!$I$4:$I$2004,$Z653-2000))=0,"",N(INDEX(周转筐出入库明细!$I$4:$I$2004,$Z653-2000))),IF($Z653&lt;=5200,"",IF($Z653&lt;=5800,IF(ISNUMBER(SEARCH("退",INDEX(次果筐明细!$F$4:$F$603,$Z653-5200)&amp;"")),IF(N(INDEX(次果筐明细!$G$4:$G$603,$Z653-5200))=0,"",N(INDEX(次果筐明细!$G$4:$G$603,$Z653-5200))),""),"")))))</f>
        <v/>
      </c>
      <c r="Q653" s="40" t="str">
        <f>IF($Z653="","",IF($Z653&lt;=2000,"",IF($Z653&lt;=4000,IF(N(INDEX(周转筐出入库明细!$H$4:$H$2004,$Z653-2000))=0,"",N(INDEX(周转筐出入库明细!$H$4:$H$2004,$Z653-2000))),IF($Z653&lt;=5200,IF(N(INDEX(客户自备加工筐明细!$F$4:$F$1203,$Z653-4000))=0,"",N(INDEX(客户自备加工筐明细!$F$4:$F$1203,$Z653-4000))),IF($Z653&lt;=5800,"","")))))</f>
        <v/>
      </c>
      <c r="R653" s="16" t="str">
        <f>IF($Z653="","",IF($Z653&lt;=2000,IF(INDEX(包装物料出入库明细!$O$4:$O$2003,$Z653-0)=0,"",INDEX(包装物料出入库明细!$O$4:$O$2003,$Z653-0)),IF($Z653&lt;=4000,IF(INDEX(周转筐出入库明细!$M$4:$M$2004,$Z653-2000)=0,"",INDEX(周转筐出入库明细!$M$4:$M$2004,$Z653-2000)),IF($Z653&lt;=5200,IF(INDEX(客户自备加工筐明细!$H$4:$H$1203,$Z653-4000)=0,"",INDEX(客户自备加工筐明细!$H$4:$H$1203,$Z653-4000)),IF($Z653&lt;=5800,IF(INDEX(次果筐明细!$H$4:$H$603,$Z653-5200)=0,"",INDEX(次果筐明细!$H$4:$H$603,$Z653-5200)),"")))))</f>
        <v/>
      </c>
      <c r="S653" s="22" t="str">
        <f t="shared" si="32"/>
        <v/>
      </c>
      <c r="Z653" s="10" t="str">
        <f>IFERROR(MATCH(ROW()-3,_自动清单!$CQ$4:$CQ$5803,0),"")</f>
        <v/>
      </c>
    </row>
    <row r="654" spans="1:26">
      <c r="A654" s="24" t="str">
        <f t="shared" si="30"/>
        <v/>
      </c>
      <c r="B654" s="38" t="str">
        <f>IF($Z654="","",IF($Z654&lt;=2000,IF(INDEX(包装物料出入库明细!$B$4:$B$2003,$Z654-0)=0,"",INDEX(包装物料出入库明细!$B$4:$B$2003,$Z654-0)),IF($Z654&lt;=4000,IF(INDEX(周转筐出入库明细!$B$4:$B$2004,$Z654-2000)=0,"",INDEX(周转筐出入库明细!$B$4:$B$2004,$Z654-2000)),IF($Z654&lt;=5200,IF(INDEX(客户自备加工筐明细!$B$4:$B$1203,$Z654-4000)=0,"",INDEX(客户自备加工筐明细!$B$4:$B$1203,$Z654-4000)),IF($Z654&lt;=5800,IF(INDEX(次果筐明细!$B$4:$B$603,$Z654-5200)=0,"",INDEX(次果筐明细!$B$4:$B$603,$Z654-5200)),"")))))</f>
        <v/>
      </c>
      <c r="C654" s="37" t="str">
        <f>IF($Z654="","",IF($Z654&lt;=2000,IF(INDEX(包装物料出入库明细!$D$4:$D$2003,$Z654-0)=0,"",INDEX(包装物料出入库明细!$D$4:$D$2003,$Z654-0)),IF($Z654&lt;=4000,IF(INDEX(周转筐出入库明细!$C$4:$C$2004,$Z654-2000)=0,"",INDEX(周转筐出入库明细!$C$4:$C$2004,$Z654-2000)),IF($Z654&lt;=5200,IF(INDEX(客户自备加工筐明细!$E$4:$E$1203,$Z654-4000)=0,"",INDEX(客户自备加工筐明细!$E$4:$E$1203,$Z654-4000)),IF($Z654&lt;=5800,IF(INDEX(次果筐明细!$C$4:$C$603,$Z654-5200)=0,"",INDEX(次果筐明细!$C$4:$C$603,$Z654-5200)),"")))))</f>
        <v/>
      </c>
      <c r="D654" s="37" t="str">
        <f>IF($Z654="","",IF($Z654&lt;=2000,"包装物料－"&amp;INDEX(包装物料出入库明细!$H$4:$H$2003,$Z654-0),IF($Z654&lt;=4000,"周转筐－"&amp;INDEX(周转筐出入库明细!$F$4:$F$2004,$Z654-2000),IF($Z654&lt;=5200,"客户自备筐－"&amp;INDEX(客户自备加工筐明细!$J$4:$J$1203,$Z654-4000),IF($Z654&lt;=5800,"次果筐/托盘－"&amp;INDEX(次果筐明细!$F$4:$F$603,$Z654-5200),"")))))</f>
        <v/>
      </c>
      <c r="E654" s="24" t="str">
        <f>IF($Z654="","",IF($Z654&lt;=2000,IF(INDEX(包装物料出入库明细!$C$4:$C$2003,$Z654-0)=0,"",INDEX(包装物料出入库明细!$C$4:$C$2003,$Z654-0)),IF($Z654&lt;=4000,IF(INDEX(周转筐出入库明细!$E$4:$E$2004,$Z654-2000)=0,"",INDEX(周转筐出入库明细!$E$4:$E$2004,$Z654-2000)),IF($Z654&lt;=5200,IF(INDEX(客户自备加工筐明细!$D$4:$D$1203,$Z654-4000)=0,"",INDEX(客户自备加工筐明细!$D$4:$D$1203,$Z654-4000)),IF($Z654&lt;=5800,IF(INDEX(次果筐明细!$E$4:$E$603,$Z654-5200)=0,"",INDEX(次果筐明细!$E$4:$E$603,$Z654-5200)),"")))))</f>
        <v/>
      </c>
      <c r="F654" s="24" t="str">
        <f>IF($Z654="","",IF($Z654&lt;=2000,IF(INDEX(包装物料出入库明细!$E$4:$E$2003,$Z654-0)=0,"",INDEX(包装物料出入库明细!$E$4:$E$2003,$Z654-0)),IF($Z654&lt;=4000,IF(INDEX(周转筐出入库明细!$D$4:$D$2004,$Z654-2000)=0,"",INDEX(周转筐出入库明细!$D$4:$D$2004,$Z654-2000)),IF($Z654&lt;=5200,IF(INDEX(客户自备加工筐明细!$C$4:$C$1203,$Z654-4000)=0,"",INDEX(客户自备加工筐明细!$C$4:$C$1203,$Z654-4000)),IF($Z654&lt;=5800,IF(INDEX(次果筐明细!$D$4:$D$603,$Z654-5200)=0,"",INDEX(次果筐明细!$D$4:$D$603,$Z654-5200)),"")))))</f>
        <v/>
      </c>
      <c r="G654" s="24" t="str">
        <f>IF($Z654="","",IF($Z654&lt;=2000,IF(INDEX(包装物料出入库明细!$F$4:$F$2003,$Z654-0)=0,"",INDEX(包装物料出入库明细!$F$4:$F$2003,$Z654-0)),IF($Z654&lt;=4000,"",IF($Z654&lt;=5200,"",IF($Z654&lt;=5800,"","")))))</f>
        <v/>
      </c>
      <c r="H654" s="39" t="str">
        <f>IF($Z654="","",IF($Z654&lt;=2000,IF(INDEX(包装物料出入库明细!$L$4:$L$2003,$Z654-0)=0,"",INDEX(包装物料出入库明细!$L$4:$L$2003,$Z654-0)),IF($Z654&lt;=4000,N(INDEX(周转筐出入库明细!$H$4:$H$2004,$Z654-2000))+N(INDEX(周转筐出入库明细!$I$4:$I$2004,$Z654-2000))+N(INDEX(周转筐出入库明细!$J$4:$J$2004,$Z654-2000))+N(INDEX(周转筐出入库明细!$K$4:$K$2004,$Z654-2000)),IF($Z654&lt;=5200,N(INDEX(客户自备加工筐明细!$F$4:$F$1203,$Z654-4000))+N(INDEX(客户自备加工筐明细!$G$4:$G$1203,$Z654-4000)),IF($Z654&lt;=5800,IF(INDEX(次果筐明细!$G$4:$G$603,$Z654-5200)=0,"",INDEX(次果筐明细!$G$4:$G$603,$Z654-5200)),"")))))</f>
        <v/>
      </c>
      <c r="I654" s="24" t="str">
        <f>IF($Z654="","",IF($Z654&lt;=2000,IF(INDEX(包装物料出入库明细!$G$4:$G$2003,$Z654-0)=0,"",INDEX(包装物料出入库明细!$G$4:$G$2003,$Z654-0)),IF($Z654&lt;=4000,"个",IF($Z654&lt;=5200,"个",IF($Z654&lt;=5800,"个","")))))</f>
        <v/>
      </c>
      <c r="J654" s="30" t="str">
        <f t="shared" si="31"/>
        <v/>
      </c>
      <c r="K654" s="30" t="str">
        <f>IF($Z654="","",IF($Z654&lt;=2000,IF(INDEX(包装物料出入库明细!$N$4:$N$2003,$Z654-0)=0,"",INDEX(包装物料出入库明细!$N$4:$N$2003,$Z654-0)),IF($Z654&lt;=4000,IF(INDEX(周转筐出入库明细!$P$4:$P$2004,$Z654-2000)=0,"",INDEX(周转筐出入库明细!$P$4:$P$2004,$Z654-2000)),IF($Z654&lt;=5200,"",IF($Z654&lt;=5800,N(INDEX(次果筐明细!$L$4:$L$603,$Z654-5200))+N(INDEX(次果筐明细!$J$4:$J$603,$Z654-5200)),"")))))</f>
        <v/>
      </c>
      <c r="L654" s="24" t="str">
        <f>IF($Z654="","",IF($Z654&lt;=2000,IF(INDEX(包装物料出入库明细!$P$4:$P$2003,$Z654-0)=0,"",INDEX(包装物料出入库明细!$P$4:$P$2003,$Z654-0)),IF($Z654&lt;=4000,IF(INDEX(周转筐出入库明细!$Q$4:$Q$2004,$Z654-2000)=0,"",INDEX(周转筐出入库明细!$Q$4:$Q$2004,$Z654-2000)),IF($Z654&lt;=5200,"",IF($Z654&lt;=5800,IF(INDEX(次果筐明细!$M$4:$M$603,$Z654-5200)=0,"",INDEX(次果筐明细!$M$4:$M$603,$Z654-5200)),"")))))</f>
        <v/>
      </c>
      <c r="M654" s="37" t="str">
        <f>IF($Z654="","",IF($Z654&lt;=2000,IF(INDEX(包装物料出入库明细!$R$4:$R$2003,$Z654-0)=0,"",INDEX(包装物料出入库明细!$R$4:$R$2003,$Z654-0)),IF($Z654&lt;=4000,IF(INDEX(周转筐出入库明细!$W$4:$W$2004,$Z654-2000)=0,"",INDEX(周转筐出入库明细!$W$4:$W$2004,$Z654-2000)),IF($Z654&lt;=5200,IF(INDEX(客户自备加工筐明细!$L$4:$L$1203,$Z654-4000)=0,"",INDEX(客户自备加工筐明细!$L$4:$L$1203,$Z654-4000)),IF($Z654&lt;=5800,IF(INDEX(次果筐明细!$P$4:$P$603,$Z654-5200)=0,"",INDEX(次果筐明细!$P$4:$P$603,$Z654-5200)),"")))))</f>
        <v/>
      </c>
      <c r="N654" s="16" t="str">
        <f>IF($Z654="","",IF($Z654&lt;=2000,"",IF($Z654&lt;=4000,IF(INDEX(周转筐出入库明细!$D$4:$D$2004,$Z654-2000)=0,"",INDEX(周转筐出入库明细!$D$4:$D$2004,$Z654-2000)),IF($Z654&lt;=5200,IF(INDEX(客户自备加工筐明细!$C$4:$C$1203,$Z654-4000)=0,"",INDEX(客户自备加工筐明细!$C$4:$C$1203,$Z654-4000)),IF($Z654&lt;=5800,IF(INDEX(次果筐明细!$D$4:$D$603,$Z654-5200)=0,"",INDEX(次果筐明细!$D$4:$D$603,$Z654-5200)),"")))))</f>
        <v/>
      </c>
      <c r="O654" s="40" t="str">
        <f>IF($Z654="","",IF($Z654&lt;=2000,"",IF($Z654&lt;=4000,IF(N(INDEX(周转筐出入库明细!$J$4:$J$2004,$Z654-2000))+N(INDEX(周转筐出入库明细!$K$4:$K$2004,$Z654-2000))=0,"",N(INDEX(周转筐出入库明细!$J$4:$J$2004,$Z654-2000))+N(INDEX(周转筐出入库明细!$K$4:$K$2004,$Z654-2000))),IF($Z654&lt;=5200,IF(N(INDEX(客户自备加工筐明细!$G$4:$G$1203,$Z654-4000))=0,"",N(INDEX(客户自备加工筐明细!$G$4:$G$1203,$Z654-4000))),IF($Z654&lt;=5800,IF(ISNUMBER(SEARCH("退",INDEX(次果筐明细!$F$4:$F$603,$Z654-5200)&amp;"")),"",IF(N(INDEX(次果筐明细!$G$4:$G$603,$Z654-5200))=0,"",N(INDEX(次果筐明细!$G$4:$G$603,$Z654-5200)))),"")))))</f>
        <v/>
      </c>
      <c r="P654" s="40" t="str">
        <f>IF($Z654="","",IF($Z654&lt;=2000,"",IF($Z654&lt;=4000,IF(N(INDEX(周转筐出入库明细!$I$4:$I$2004,$Z654-2000))=0,"",N(INDEX(周转筐出入库明细!$I$4:$I$2004,$Z654-2000))),IF($Z654&lt;=5200,"",IF($Z654&lt;=5800,IF(ISNUMBER(SEARCH("退",INDEX(次果筐明细!$F$4:$F$603,$Z654-5200)&amp;"")),IF(N(INDEX(次果筐明细!$G$4:$G$603,$Z654-5200))=0,"",N(INDEX(次果筐明细!$G$4:$G$603,$Z654-5200))),""),"")))))</f>
        <v/>
      </c>
      <c r="Q654" s="40" t="str">
        <f>IF($Z654="","",IF($Z654&lt;=2000,"",IF($Z654&lt;=4000,IF(N(INDEX(周转筐出入库明细!$H$4:$H$2004,$Z654-2000))=0,"",N(INDEX(周转筐出入库明细!$H$4:$H$2004,$Z654-2000))),IF($Z654&lt;=5200,IF(N(INDEX(客户自备加工筐明细!$F$4:$F$1203,$Z654-4000))=0,"",N(INDEX(客户自备加工筐明细!$F$4:$F$1203,$Z654-4000))),IF($Z654&lt;=5800,"","")))))</f>
        <v/>
      </c>
      <c r="R654" s="16" t="str">
        <f>IF($Z654="","",IF($Z654&lt;=2000,IF(INDEX(包装物料出入库明细!$O$4:$O$2003,$Z654-0)=0,"",INDEX(包装物料出入库明细!$O$4:$O$2003,$Z654-0)),IF($Z654&lt;=4000,IF(INDEX(周转筐出入库明细!$M$4:$M$2004,$Z654-2000)=0,"",INDEX(周转筐出入库明细!$M$4:$M$2004,$Z654-2000)),IF($Z654&lt;=5200,IF(INDEX(客户自备加工筐明细!$H$4:$H$1203,$Z654-4000)=0,"",INDEX(客户自备加工筐明细!$H$4:$H$1203,$Z654-4000)),IF($Z654&lt;=5800,IF(INDEX(次果筐明细!$H$4:$H$603,$Z654-5200)=0,"",INDEX(次果筐明细!$H$4:$H$603,$Z654-5200)),"")))))</f>
        <v/>
      </c>
      <c r="S654" s="22" t="str">
        <f t="shared" si="32"/>
        <v/>
      </c>
      <c r="Z654" s="10" t="str">
        <f>IFERROR(MATCH(ROW()-3,_自动清单!$CQ$4:$CQ$5803,0),"")</f>
        <v/>
      </c>
    </row>
    <row r="655" spans="1:26">
      <c r="A655" s="24" t="str">
        <f t="shared" si="30"/>
        <v/>
      </c>
      <c r="B655" s="38" t="str">
        <f>IF($Z655="","",IF($Z655&lt;=2000,IF(INDEX(包装物料出入库明细!$B$4:$B$2003,$Z655-0)=0,"",INDEX(包装物料出入库明细!$B$4:$B$2003,$Z655-0)),IF($Z655&lt;=4000,IF(INDEX(周转筐出入库明细!$B$4:$B$2004,$Z655-2000)=0,"",INDEX(周转筐出入库明细!$B$4:$B$2004,$Z655-2000)),IF($Z655&lt;=5200,IF(INDEX(客户自备加工筐明细!$B$4:$B$1203,$Z655-4000)=0,"",INDEX(客户自备加工筐明细!$B$4:$B$1203,$Z655-4000)),IF($Z655&lt;=5800,IF(INDEX(次果筐明细!$B$4:$B$603,$Z655-5200)=0,"",INDEX(次果筐明细!$B$4:$B$603,$Z655-5200)),"")))))</f>
        <v/>
      </c>
      <c r="C655" s="37" t="str">
        <f>IF($Z655="","",IF($Z655&lt;=2000,IF(INDEX(包装物料出入库明细!$D$4:$D$2003,$Z655-0)=0,"",INDEX(包装物料出入库明细!$D$4:$D$2003,$Z655-0)),IF($Z655&lt;=4000,IF(INDEX(周转筐出入库明细!$C$4:$C$2004,$Z655-2000)=0,"",INDEX(周转筐出入库明细!$C$4:$C$2004,$Z655-2000)),IF($Z655&lt;=5200,IF(INDEX(客户自备加工筐明细!$E$4:$E$1203,$Z655-4000)=0,"",INDEX(客户自备加工筐明细!$E$4:$E$1203,$Z655-4000)),IF($Z655&lt;=5800,IF(INDEX(次果筐明细!$C$4:$C$603,$Z655-5200)=0,"",INDEX(次果筐明细!$C$4:$C$603,$Z655-5200)),"")))))</f>
        <v/>
      </c>
      <c r="D655" s="37" t="str">
        <f>IF($Z655="","",IF($Z655&lt;=2000,"包装物料－"&amp;INDEX(包装物料出入库明细!$H$4:$H$2003,$Z655-0),IF($Z655&lt;=4000,"周转筐－"&amp;INDEX(周转筐出入库明细!$F$4:$F$2004,$Z655-2000),IF($Z655&lt;=5200,"客户自备筐－"&amp;INDEX(客户自备加工筐明细!$J$4:$J$1203,$Z655-4000),IF($Z655&lt;=5800,"次果筐/托盘－"&amp;INDEX(次果筐明细!$F$4:$F$603,$Z655-5200),"")))))</f>
        <v/>
      </c>
      <c r="E655" s="24" t="str">
        <f>IF($Z655="","",IF($Z655&lt;=2000,IF(INDEX(包装物料出入库明细!$C$4:$C$2003,$Z655-0)=0,"",INDEX(包装物料出入库明细!$C$4:$C$2003,$Z655-0)),IF($Z655&lt;=4000,IF(INDEX(周转筐出入库明细!$E$4:$E$2004,$Z655-2000)=0,"",INDEX(周转筐出入库明细!$E$4:$E$2004,$Z655-2000)),IF($Z655&lt;=5200,IF(INDEX(客户自备加工筐明细!$D$4:$D$1203,$Z655-4000)=0,"",INDEX(客户自备加工筐明细!$D$4:$D$1203,$Z655-4000)),IF($Z655&lt;=5800,IF(INDEX(次果筐明细!$E$4:$E$603,$Z655-5200)=0,"",INDEX(次果筐明细!$E$4:$E$603,$Z655-5200)),"")))))</f>
        <v/>
      </c>
      <c r="F655" s="24" t="str">
        <f>IF($Z655="","",IF($Z655&lt;=2000,IF(INDEX(包装物料出入库明细!$E$4:$E$2003,$Z655-0)=0,"",INDEX(包装物料出入库明细!$E$4:$E$2003,$Z655-0)),IF($Z655&lt;=4000,IF(INDEX(周转筐出入库明细!$D$4:$D$2004,$Z655-2000)=0,"",INDEX(周转筐出入库明细!$D$4:$D$2004,$Z655-2000)),IF($Z655&lt;=5200,IF(INDEX(客户自备加工筐明细!$C$4:$C$1203,$Z655-4000)=0,"",INDEX(客户自备加工筐明细!$C$4:$C$1203,$Z655-4000)),IF($Z655&lt;=5800,IF(INDEX(次果筐明细!$D$4:$D$603,$Z655-5200)=0,"",INDEX(次果筐明细!$D$4:$D$603,$Z655-5200)),"")))))</f>
        <v/>
      </c>
      <c r="G655" s="24" t="str">
        <f>IF($Z655="","",IF($Z655&lt;=2000,IF(INDEX(包装物料出入库明细!$F$4:$F$2003,$Z655-0)=0,"",INDEX(包装物料出入库明细!$F$4:$F$2003,$Z655-0)),IF($Z655&lt;=4000,"",IF($Z655&lt;=5200,"",IF($Z655&lt;=5800,"","")))))</f>
        <v/>
      </c>
      <c r="H655" s="39" t="str">
        <f>IF($Z655="","",IF($Z655&lt;=2000,IF(INDEX(包装物料出入库明细!$L$4:$L$2003,$Z655-0)=0,"",INDEX(包装物料出入库明细!$L$4:$L$2003,$Z655-0)),IF($Z655&lt;=4000,N(INDEX(周转筐出入库明细!$H$4:$H$2004,$Z655-2000))+N(INDEX(周转筐出入库明细!$I$4:$I$2004,$Z655-2000))+N(INDEX(周转筐出入库明细!$J$4:$J$2004,$Z655-2000))+N(INDEX(周转筐出入库明细!$K$4:$K$2004,$Z655-2000)),IF($Z655&lt;=5200,N(INDEX(客户自备加工筐明细!$F$4:$F$1203,$Z655-4000))+N(INDEX(客户自备加工筐明细!$G$4:$G$1203,$Z655-4000)),IF($Z655&lt;=5800,IF(INDEX(次果筐明细!$G$4:$G$603,$Z655-5200)=0,"",INDEX(次果筐明细!$G$4:$G$603,$Z655-5200)),"")))))</f>
        <v/>
      </c>
      <c r="I655" s="24" t="str">
        <f>IF($Z655="","",IF($Z655&lt;=2000,IF(INDEX(包装物料出入库明细!$G$4:$G$2003,$Z655-0)=0,"",INDEX(包装物料出入库明细!$G$4:$G$2003,$Z655-0)),IF($Z655&lt;=4000,"个",IF($Z655&lt;=5200,"个",IF($Z655&lt;=5800,"个","")))))</f>
        <v/>
      </c>
      <c r="J655" s="30" t="str">
        <f t="shared" si="31"/>
        <v/>
      </c>
      <c r="K655" s="30" t="str">
        <f>IF($Z655="","",IF($Z655&lt;=2000,IF(INDEX(包装物料出入库明细!$N$4:$N$2003,$Z655-0)=0,"",INDEX(包装物料出入库明细!$N$4:$N$2003,$Z655-0)),IF($Z655&lt;=4000,IF(INDEX(周转筐出入库明细!$P$4:$P$2004,$Z655-2000)=0,"",INDEX(周转筐出入库明细!$P$4:$P$2004,$Z655-2000)),IF($Z655&lt;=5200,"",IF($Z655&lt;=5800,N(INDEX(次果筐明细!$L$4:$L$603,$Z655-5200))+N(INDEX(次果筐明细!$J$4:$J$603,$Z655-5200)),"")))))</f>
        <v/>
      </c>
      <c r="L655" s="24" t="str">
        <f>IF($Z655="","",IF($Z655&lt;=2000,IF(INDEX(包装物料出入库明细!$P$4:$P$2003,$Z655-0)=0,"",INDEX(包装物料出入库明细!$P$4:$P$2003,$Z655-0)),IF($Z655&lt;=4000,IF(INDEX(周转筐出入库明细!$Q$4:$Q$2004,$Z655-2000)=0,"",INDEX(周转筐出入库明细!$Q$4:$Q$2004,$Z655-2000)),IF($Z655&lt;=5200,"",IF($Z655&lt;=5800,IF(INDEX(次果筐明细!$M$4:$M$603,$Z655-5200)=0,"",INDEX(次果筐明细!$M$4:$M$603,$Z655-5200)),"")))))</f>
        <v/>
      </c>
      <c r="M655" s="37" t="str">
        <f>IF($Z655="","",IF($Z655&lt;=2000,IF(INDEX(包装物料出入库明细!$R$4:$R$2003,$Z655-0)=0,"",INDEX(包装物料出入库明细!$R$4:$R$2003,$Z655-0)),IF($Z655&lt;=4000,IF(INDEX(周转筐出入库明细!$W$4:$W$2004,$Z655-2000)=0,"",INDEX(周转筐出入库明细!$W$4:$W$2004,$Z655-2000)),IF($Z655&lt;=5200,IF(INDEX(客户自备加工筐明细!$L$4:$L$1203,$Z655-4000)=0,"",INDEX(客户自备加工筐明细!$L$4:$L$1203,$Z655-4000)),IF($Z655&lt;=5800,IF(INDEX(次果筐明细!$P$4:$P$603,$Z655-5200)=0,"",INDEX(次果筐明细!$P$4:$P$603,$Z655-5200)),"")))))</f>
        <v/>
      </c>
      <c r="N655" s="16" t="str">
        <f>IF($Z655="","",IF($Z655&lt;=2000,"",IF($Z655&lt;=4000,IF(INDEX(周转筐出入库明细!$D$4:$D$2004,$Z655-2000)=0,"",INDEX(周转筐出入库明细!$D$4:$D$2004,$Z655-2000)),IF($Z655&lt;=5200,IF(INDEX(客户自备加工筐明细!$C$4:$C$1203,$Z655-4000)=0,"",INDEX(客户自备加工筐明细!$C$4:$C$1203,$Z655-4000)),IF($Z655&lt;=5800,IF(INDEX(次果筐明细!$D$4:$D$603,$Z655-5200)=0,"",INDEX(次果筐明细!$D$4:$D$603,$Z655-5200)),"")))))</f>
        <v/>
      </c>
      <c r="O655" s="40" t="str">
        <f>IF($Z655="","",IF($Z655&lt;=2000,"",IF($Z655&lt;=4000,IF(N(INDEX(周转筐出入库明细!$J$4:$J$2004,$Z655-2000))+N(INDEX(周转筐出入库明细!$K$4:$K$2004,$Z655-2000))=0,"",N(INDEX(周转筐出入库明细!$J$4:$J$2004,$Z655-2000))+N(INDEX(周转筐出入库明细!$K$4:$K$2004,$Z655-2000))),IF($Z655&lt;=5200,IF(N(INDEX(客户自备加工筐明细!$G$4:$G$1203,$Z655-4000))=0,"",N(INDEX(客户自备加工筐明细!$G$4:$G$1203,$Z655-4000))),IF($Z655&lt;=5800,IF(ISNUMBER(SEARCH("退",INDEX(次果筐明细!$F$4:$F$603,$Z655-5200)&amp;"")),"",IF(N(INDEX(次果筐明细!$G$4:$G$603,$Z655-5200))=0,"",N(INDEX(次果筐明细!$G$4:$G$603,$Z655-5200)))),"")))))</f>
        <v/>
      </c>
      <c r="P655" s="40" t="str">
        <f>IF($Z655="","",IF($Z655&lt;=2000,"",IF($Z655&lt;=4000,IF(N(INDEX(周转筐出入库明细!$I$4:$I$2004,$Z655-2000))=0,"",N(INDEX(周转筐出入库明细!$I$4:$I$2004,$Z655-2000))),IF($Z655&lt;=5200,"",IF($Z655&lt;=5800,IF(ISNUMBER(SEARCH("退",INDEX(次果筐明细!$F$4:$F$603,$Z655-5200)&amp;"")),IF(N(INDEX(次果筐明细!$G$4:$G$603,$Z655-5200))=0,"",N(INDEX(次果筐明细!$G$4:$G$603,$Z655-5200))),""),"")))))</f>
        <v/>
      </c>
      <c r="Q655" s="40" t="str">
        <f>IF($Z655="","",IF($Z655&lt;=2000,"",IF($Z655&lt;=4000,IF(N(INDEX(周转筐出入库明细!$H$4:$H$2004,$Z655-2000))=0,"",N(INDEX(周转筐出入库明细!$H$4:$H$2004,$Z655-2000))),IF($Z655&lt;=5200,IF(N(INDEX(客户自备加工筐明细!$F$4:$F$1203,$Z655-4000))=0,"",N(INDEX(客户自备加工筐明细!$F$4:$F$1203,$Z655-4000))),IF($Z655&lt;=5800,"","")))))</f>
        <v/>
      </c>
      <c r="R655" s="16" t="str">
        <f>IF($Z655="","",IF($Z655&lt;=2000,IF(INDEX(包装物料出入库明细!$O$4:$O$2003,$Z655-0)=0,"",INDEX(包装物料出入库明细!$O$4:$O$2003,$Z655-0)),IF($Z655&lt;=4000,IF(INDEX(周转筐出入库明细!$M$4:$M$2004,$Z655-2000)=0,"",INDEX(周转筐出入库明细!$M$4:$M$2004,$Z655-2000)),IF($Z655&lt;=5200,IF(INDEX(客户自备加工筐明细!$H$4:$H$1203,$Z655-4000)=0,"",INDEX(客户自备加工筐明细!$H$4:$H$1203,$Z655-4000)),IF($Z655&lt;=5800,IF(INDEX(次果筐明细!$H$4:$H$603,$Z655-5200)=0,"",INDEX(次果筐明细!$H$4:$H$603,$Z655-5200)),"")))))</f>
        <v/>
      </c>
      <c r="S655" s="22" t="str">
        <f t="shared" si="32"/>
        <v/>
      </c>
      <c r="Z655" s="10" t="str">
        <f>IFERROR(MATCH(ROW()-3,_自动清单!$CQ$4:$CQ$5803,0),"")</f>
        <v/>
      </c>
    </row>
    <row r="656" spans="1:26">
      <c r="A656" s="24" t="str">
        <f t="shared" si="30"/>
        <v/>
      </c>
      <c r="B656" s="38" t="str">
        <f>IF($Z656="","",IF($Z656&lt;=2000,IF(INDEX(包装物料出入库明细!$B$4:$B$2003,$Z656-0)=0,"",INDEX(包装物料出入库明细!$B$4:$B$2003,$Z656-0)),IF($Z656&lt;=4000,IF(INDEX(周转筐出入库明细!$B$4:$B$2004,$Z656-2000)=0,"",INDEX(周转筐出入库明细!$B$4:$B$2004,$Z656-2000)),IF($Z656&lt;=5200,IF(INDEX(客户自备加工筐明细!$B$4:$B$1203,$Z656-4000)=0,"",INDEX(客户自备加工筐明细!$B$4:$B$1203,$Z656-4000)),IF($Z656&lt;=5800,IF(INDEX(次果筐明细!$B$4:$B$603,$Z656-5200)=0,"",INDEX(次果筐明细!$B$4:$B$603,$Z656-5200)),"")))))</f>
        <v/>
      </c>
      <c r="C656" s="37" t="str">
        <f>IF($Z656="","",IF($Z656&lt;=2000,IF(INDEX(包装物料出入库明细!$D$4:$D$2003,$Z656-0)=0,"",INDEX(包装物料出入库明细!$D$4:$D$2003,$Z656-0)),IF($Z656&lt;=4000,IF(INDEX(周转筐出入库明细!$C$4:$C$2004,$Z656-2000)=0,"",INDEX(周转筐出入库明细!$C$4:$C$2004,$Z656-2000)),IF($Z656&lt;=5200,IF(INDEX(客户自备加工筐明细!$E$4:$E$1203,$Z656-4000)=0,"",INDEX(客户自备加工筐明细!$E$4:$E$1203,$Z656-4000)),IF($Z656&lt;=5800,IF(INDEX(次果筐明细!$C$4:$C$603,$Z656-5200)=0,"",INDEX(次果筐明细!$C$4:$C$603,$Z656-5200)),"")))))</f>
        <v/>
      </c>
      <c r="D656" s="37" t="str">
        <f>IF($Z656="","",IF($Z656&lt;=2000,"包装物料－"&amp;INDEX(包装物料出入库明细!$H$4:$H$2003,$Z656-0),IF($Z656&lt;=4000,"周转筐－"&amp;INDEX(周转筐出入库明细!$F$4:$F$2004,$Z656-2000),IF($Z656&lt;=5200,"客户自备筐－"&amp;INDEX(客户自备加工筐明细!$J$4:$J$1203,$Z656-4000),IF($Z656&lt;=5800,"次果筐/托盘－"&amp;INDEX(次果筐明细!$F$4:$F$603,$Z656-5200),"")))))</f>
        <v/>
      </c>
      <c r="E656" s="24" t="str">
        <f>IF($Z656="","",IF($Z656&lt;=2000,IF(INDEX(包装物料出入库明细!$C$4:$C$2003,$Z656-0)=0,"",INDEX(包装物料出入库明细!$C$4:$C$2003,$Z656-0)),IF($Z656&lt;=4000,IF(INDEX(周转筐出入库明细!$E$4:$E$2004,$Z656-2000)=0,"",INDEX(周转筐出入库明细!$E$4:$E$2004,$Z656-2000)),IF($Z656&lt;=5200,IF(INDEX(客户自备加工筐明细!$D$4:$D$1203,$Z656-4000)=0,"",INDEX(客户自备加工筐明细!$D$4:$D$1203,$Z656-4000)),IF($Z656&lt;=5800,IF(INDEX(次果筐明细!$E$4:$E$603,$Z656-5200)=0,"",INDEX(次果筐明细!$E$4:$E$603,$Z656-5200)),"")))))</f>
        <v/>
      </c>
      <c r="F656" s="24" t="str">
        <f>IF($Z656="","",IF($Z656&lt;=2000,IF(INDEX(包装物料出入库明细!$E$4:$E$2003,$Z656-0)=0,"",INDEX(包装物料出入库明细!$E$4:$E$2003,$Z656-0)),IF($Z656&lt;=4000,IF(INDEX(周转筐出入库明细!$D$4:$D$2004,$Z656-2000)=0,"",INDEX(周转筐出入库明细!$D$4:$D$2004,$Z656-2000)),IF($Z656&lt;=5200,IF(INDEX(客户自备加工筐明细!$C$4:$C$1203,$Z656-4000)=0,"",INDEX(客户自备加工筐明细!$C$4:$C$1203,$Z656-4000)),IF($Z656&lt;=5800,IF(INDEX(次果筐明细!$D$4:$D$603,$Z656-5200)=0,"",INDEX(次果筐明细!$D$4:$D$603,$Z656-5200)),"")))))</f>
        <v/>
      </c>
      <c r="G656" s="24" t="str">
        <f>IF($Z656="","",IF($Z656&lt;=2000,IF(INDEX(包装物料出入库明细!$F$4:$F$2003,$Z656-0)=0,"",INDEX(包装物料出入库明细!$F$4:$F$2003,$Z656-0)),IF($Z656&lt;=4000,"",IF($Z656&lt;=5200,"",IF($Z656&lt;=5800,"","")))))</f>
        <v/>
      </c>
      <c r="H656" s="39" t="str">
        <f>IF($Z656="","",IF($Z656&lt;=2000,IF(INDEX(包装物料出入库明细!$L$4:$L$2003,$Z656-0)=0,"",INDEX(包装物料出入库明细!$L$4:$L$2003,$Z656-0)),IF($Z656&lt;=4000,N(INDEX(周转筐出入库明细!$H$4:$H$2004,$Z656-2000))+N(INDEX(周转筐出入库明细!$I$4:$I$2004,$Z656-2000))+N(INDEX(周转筐出入库明细!$J$4:$J$2004,$Z656-2000))+N(INDEX(周转筐出入库明细!$K$4:$K$2004,$Z656-2000)),IF($Z656&lt;=5200,N(INDEX(客户自备加工筐明细!$F$4:$F$1203,$Z656-4000))+N(INDEX(客户自备加工筐明细!$G$4:$G$1203,$Z656-4000)),IF($Z656&lt;=5800,IF(INDEX(次果筐明细!$G$4:$G$603,$Z656-5200)=0,"",INDEX(次果筐明细!$G$4:$G$603,$Z656-5200)),"")))))</f>
        <v/>
      </c>
      <c r="I656" s="24" t="str">
        <f>IF($Z656="","",IF($Z656&lt;=2000,IF(INDEX(包装物料出入库明细!$G$4:$G$2003,$Z656-0)=0,"",INDEX(包装物料出入库明细!$G$4:$G$2003,$Z656-0)),IF($Z656&lt;=4000,"个",IF($Z656&lt;=5200,"个",IF($Z656&lt;=5800,"个","")))))</f>
        <v/>
      </c>
      <c r="J656" s="30" t="str">
        <f t="shared" si="31"/>
        <v/>
      </c>
      <c r="K656" s="30" t="str">
        <f>IF($Z656="","",IF($Z656&lt;=2000,IF(INDEX(包装物料出入库明细!$N$4:$N$2003,$Z656-0)=0,"",INDEX(包装物料出入库明细!$N$4:$N$2003,$Z656-0)),IF($Z656&lt;=4000,IF(INDEX(周转筐出入库明细!$P$4:$P$2004,$Z656-2000)=0,"",INDEX(周转筐出入库明细!$P$4:$P$2004,$Z656-2000)),IF($Z656&lt;=5200,"",IF($Z656&lt;=5800,N(INDEX(次果筐明细!$L$4:$L$603,$Z656-5200))+N(INDEX(次果筐明细!$J$4:$J$603,$Z656-5200)),"")))))</f>
        <v/>
      </c>
      <c r="L656" s="24" t="str">
        <f>IF($Z656="","",IF($Z656&lt;=2000,IF(INDEX(包装物料出入库明细!$P$4:$P$2003,$Z656-0)=0,"",INDEX(包装物料出入库明细!$P$4:$P$2003,$Z656-0)),IF($Z656&lt;=4000,IF(INDEX(周转筐出入库明细!$Q$4:$Q$2004,$Z656-2000)=0,"",INDEX(周转筐出入库明细!$Q$4:$Q$2004,$Z656-2000)),IF($Z656&lt;=5200,"",IF($Z656&lt;=5800,IF(INDEX(次果筐明细!$M$4:$M$603,$Z656-5200)=0,"",INDEX(次果筐明细!$M$4:$M$603,$Z656-5200)),"")))))</f>
        <v/>
      </c>
      <c r="M656" s="37" t="str">
        <f>IF($Z656="","",IF($Z656&lt;=2000,IF(INDEX(包装物料出入库明细!$R$4:$R$2003,$Z656-0)=0,"",INDEX(包装物料出入库明细!$R$4:$R$2003,$Z656-0)),IF($Z656&lt;=4000,IF(INDEX(周转筐出入库明细!$W$4:$W$2004,$Z656-2000)=0,"",INDEX(周转筐出入库明细!$W$4:$W$2004,$Z656-2000)),IF($Z656&lt;=5200,IF(INDEX(客户自备加工筐明细!$L$4:$L$1203,$Z656-4000)=0,"",INDEX(客户自备加工筐明细!$L$4:$L$1203,$Z656-4000)),IF($Z656&lt;=5800,IF(INDEX(次果筐明细!$P$4:$P$603,$Z656-5200)=0,"",INDEX(次果筐明细!$P$4:$P$603,$Z656-5200)),"")))))</f>
        <v/>
      </c>
      <c r="N656" s="16" t="str">
        <f>IF($Z656="","",IF($Z656&lt;=2000,"",IF($Z656&lt;=4000,IF(INDEX(周转筐出入库明细!$D$4:$D$2004,$Z656-2000)=0,"",INDEX(周转筐出入库明细!$D$4:$D$2004,$Z656-2000)),IF($Z656&lt;=5200,IF(INDEX(客户自备加工筐明细!$C$4:$C$1203,$Z656-4000)=0,"",INDEX(客户自备加工筐明细!$C$4:$C$1203,$Z656-4000)),IF($Z656&lt;=5800,IF(INDEX(次果筐明细!$D$4:$D$603,$Z656-5200)=0,"",INDEX(次果筐明细!$D$4:$D$603,$Z656-5200)),"")))))</f>
        <v/>
      </c>
      <c r="O656" s="40" t="str">
        <f>IF($Z656="","",IF($Z656&lt;=2000,"",IF($Z656&lt;=4000,IF(N(INDEX(周转筐出入库明细!$J$4:$J$2004,$Z656-2000))+N(INDEX(周转筐出入库明细!$K$4:$K$2004,$Z656-2000))=0,"",N(INDEX(周转筐出入库明细!$J$4:$J$2004,$Z656-2000))+N(INDEX(周转筐出入库明细!$K$4:$K$2004,$Z656-2000))),IF($Z656&lt;=5200,IF(N(INDEX(客户自备加工筐明细!$G$4:$G$1203,$Z656-4000))=0,"",N(INDEX(客户自备加工筐明细!$G$4:$G$1203,$Z656-4000))),IF($Z656&lt;=5800,IF(ISNUMBER(SEARCH("退",INDEX(次果筐明细!$F$4:$F$603,$Z656-5200)&amp;"")),"",IF(N(INDEX(次果筐明细!$G$4:$G$603,$Z656-5200))=0,"",N(INDEX(次果筐明细!$G$4:$G$603,$Z656-5200)))),"")))))</f>
        <v/>
      </c>
      <c r="P656" s="40" t="str">
        <f>IF($Z656="","",IF($Z656&lt;=2000,"",IF($Z656&lt;=4000,IF(N(INDEX(周转筐出入库明细!$I$4:$I$2004,$Z656-2000))=0,"",N(INDEX(周转筐出入库明细!$I$4:$I$2004,$Z656-2000))),IF($Z656&lt;=5200,"",IF($Z656&lt;=5800,IF(ISNUMBER(SEARCH("退",INDEX(次果筐明细!$F$4:$F$603,$Z656-5200)&amp;"")),IF(N(INDEX(次果筐明细!$G$4:$G$603,$Z656-5200))=0,"",N(INDEX(次果筐明细!$G$4:$G$603,$Z656-5200))),""),"")))))</f>
        <v/>
      </c>
      <c r="Q656" s="40" t="str">
        <f>IF($Z656="","",IF($Z656&lt;=2000,"",IF($Z656&lt;=4000,IF(N(INDEX(周转筐出入库明细!$H$4:$H$2004,$Z656-2000))=0,"",N(INDEX(周转筐出入库明细!$H$4:$H$2004,$Z656-2000))),IF($Z656&lt;=5200,IF(N(INDEX(客户自备加工筐明细!$F$4:$F$1203,$Z656-4000))=0,"",N(INDEX(客户自备加工筐明细!$F$4:$F$1203,$Z656-4000))),IF($Z656&lt;=5800,"","")))))</f>
        <v/>
      </c>
      <c r="R656" s="16" t="str">
        <f>IF($Z656="","",IF($Z656&lt;=2000,IF(INDEX(包装物料出入库明细!$O$4:$O$2003,$Z656-0)=0,"",INDEX(包装物料出入库明细!$O$4:$O$2003,$Z656-0)),IF($Z656&lt;=4000,IF(INDEX(周转筐出入库明细!$M$4:$M$2004,$Z656-2000)=0,"",INDEX(周转筐出入库明细!$M$4:$M$2004,$Z656-2000)),IF($Z656&lt;=5200,IF(INDEX(客户自备加工筐明细!$H$4:$H$1203,$Z656-4000)=0,"",INDEX(客户自备加工筐明细!$H$4:$H$1203,$Z656-4000)),IF($Z656&lt;=5800,IF(INDEX(次果筐明细!$H$4:$H$603,$Z656-5200)=0,"",INDEX(次果筐明细!$H$4:$H$603,$Z656-5200)),"")))))</f>
        <v/>
      </c>
      <c r="S656" s="22" t="str">
        <f t="shared" si="32"/>
        <v/>
      </c>
      <c r="Z656" s="10" t="str">
        <f>IFERROR(MATCH(ROW()-3,_自动清单!$CQ$4:$CQ$5803,0),"")</f>
        <v/>
      </c>
    </row>
    <row r="657" spans="1:26">
      <c r="A657" s="24" t="str">
        <f t="shared" si="30"/>
        <v/>
      </c>
      <c r="B657" s="38" t="str">
        <f>IF($Z657="","",IF($Z657&lt;=2000,IF(INDEX(包装物料出入库明细!$B$4:$B$2003,$Z657-0)=0,"",INDEX(包装物料出入库明细!$B$4:$B$2003,$Z657-0)),IF($Z657&lt;=4000,IF(INDEX(周转筐出入库明细!$B$4:$B$2004,$Z657-2000)=0,"",INDEX(周转筐出入库明细!$B$4:$B$2004,$Z657-2000)),IF($Z657&lt;=5200,IF(INDEX(客户自备加工筐明细!$B$4:$B$1203,$Z657-4000)=0,"",INDEX(客户自备加工筐明细!$B$4:$B$1203,$Z657-4000)),IF($Z657&lt;=5800,IF(INDEX(次果筐明细!$B$4:$B$603,$Z657-5200)=0,"",INDEX(次果筐明细!$B$4:$B$603,$Z657-5200)),"")))))</f>
        <v/>
      </c>
      <c r="C657" s="37" t="str">
        <f>IF($Z657="","",IF($Z657&lt;=2000,IF(INDEX(包装物料出入库明细!$D$4:$D$2003,$Z657-0)=0,"",INDEX(包装物料出入库明细!$D$4:$D$2003,$Z657-0)),IF($Z657&lt;=4000,IF(INDEX(周转筐出入库明细!$C$4:$C$2004,$Z657-2000)=0,"",INDEX(周转筐出入库明细!$C$4:$C$2004,$Z657-2000)),IF($Z657&lt;=5200,IF(INDEX(客户自备加工筐明细!$E$4:$E$1203,$Z657-4000)=0,"",INDEX(客户自备加工筐明细!$E$4:$E$1203,$Z657-4000)),IF($Z657&lt;=5800,IF(INDEX(次果筐明细!$C$4:$C$603,$Z657-5200)=0,"",INDEX(次果筐明细!$C$4:$C$603,$Z657-5200)),"")))))</f>
        <v/>
      </c>
      <c r="D657" s="37" t="str">
        <f>IF($Z657="","",IF($Z657&lt;=2000,"包装物料－"&amp;INDEX(包装物料出入库明细!$H$4:$H$2003,$Z657-0),IF($Z657&lt;=4000,"周转筐－"&amp;INDEX(周转筐出入库明细!$F$4:$F$2004,$Z657-2000),IF($Z657&lt;=5200,"客户自备筐－"&amp;INDEX(客户自备加工筐明细!$J$4:$J$1203,$Z657-4000),IF($Z657&lt;=5800,"次果筐/托盘－"&amp;INDEX(次果筐明细!$F$4:$F$603,$Z657-5200),"")))))</f>
        <v/>
      </c>
      <c r="E657" s="24" t="str">
        <f>IF($Z657="","",IF($Z657&lt;=2000,IF(INDEX(包装物料出入库明细!$C$4:$C$2003,$Z657-0)=0,"",INDEX(包装物料出入库明细!$C$4:$C$2003,$Z657-0)),IF($Z657&lt;=4000,IF(INDEX(周转筐出入库明细!$E$4:$E$2004,$Z657-2000)=0,"",INDEX(周转筐出入库明细!$E$4:$E$2004,$Z657-2000)),IF($Z657&lt;=5200,IF(INDEX(客户自备加工筐明细!$D$4:$D$1203,$Z657-4000)=0,"",INDEX(客户自备加工筐明细!$D$4:$D$1203,$Z657-4000)),IF($Z657&lt;=5800,IF(INDEX(次果筐明细!$E$4:$E$603,$Z657-5200)=0,"",INDEX(次果筐明细!$E$4:$E$603,$Z657-5200)),"")))))</f>
        <v/>
      </c>
      <c r="F657" s="24" t="str">
        <f>IF($Z657="","",IF($Z657&lt;=2000,IF(INDEX(包装物料出入库明细!$E$4:$E$2003,$Z657-0)=0,"",INDEX(包装物料出入库明细!$E$4:$E$2003,$Z657-0)),IF($Z657&lt;=4000,IF(INDEX(周转筐出入库明细!$D$4:$D$2004,$Z657-2000)=0,"",INDEX(周转筐出入库明细!$D$4:$D$2004,$Z657-2000)),IF($Z657&lt;=5200,IF(INDEX(客户自备加工筐明细!$C$4:$C$1203,$Z657-4000)=0,"",INDEX(客户自备加工筐明细!$C$4:$C$1203,$Z657-4000)),IF($Z657&lt;=5800,IF(INDEX(次果筐明细!$D$4:$D$603,$Z657-5200)=0,"",INDEX(次果筐明细!$D$4:$D$603,$Z657-5200)),"")))))</f>
        <v/>
      </c>
      <c r="G657" s="24" t="str">
        <f>IF($Z657="","",IF($Z657&lt;=2000,IF(INDEX(包装物料出入库明细!$F$4:$F$2003,$Z657-0)=0,"",INDEX(包装物料出入库明细!$F$4:$F$2003,$Z657-0)),IF($Z657&lt;=4000,"",IF($Z657&lt;=5200,"",IF($Z657&lt;=5800,"","")))))</f>
        <v/>
      </c>
      <c r="H657" s="39" t="str">
        <f>IF($Z657="","",IF($Z657&lt;=2000,IF(INDEX(包装物料出入库明细!$L$4:$L$2003,$Z657-0)=0,"",INDEX(包装物料出入库明细!$L$4:$L$2003,$Z657-0)),IF($Z657&lt;=4000,N(INDEX(周转筐出入库明细!$H$4:$H$2004,$Z657-2000))+N(INDEX(周转筐出入库明细!$I$4:$I$2004,$Z657-2000))+N(INDEX(周转筐出入库明细!$J$4:$J$2004,$Z657-2000))+N(INDEX(周转筐出入库明细!$K$4:$K$2004,$Z657-2000)),IF($Z657&lt;=5200,N(INDEX(客户自备加工筐明细!$F$4:$F$1203,$Z657-4000))+N(INDEX(客户自备加工筐明细!$G$4:$G$1203,$Z657-4000)),IF($Z657&lt;=5800,IF(INDEX(次果筐明细!$G$4:$G$603,$Z657-5200)=0,"",INDEX(次果筐明细!$G$4:$G$603,$Z657-5200)),"")))))</f>
        <v/>
      </c>
      <c r="I657" s="24" t="str">
        <f>IF($Z657="","",IF($Z657&lt;=2000,IF(INDEX(包装物料出入库明细!$G$4:$G$2003,$Z657-0)=0,"",INDEX(包装物料出入库明细!$G$4:$G$2003,$Z657-0)),IF($Z657&lt;=4000,"个",IF($Z657&lt;=5200,"个",IF($Z657&lt;=5800,"个","")))))</f>
        <v/>
      </c>
      <c r="J657" s="30" t="str">
        <f t="shared" si="31"/>
        <v/>
      </c>
      <c r="K657" s="30" t="str">
        <f>IF($Z657="","",IF($Z657&lt;=2000,IF(INDEX(包装物料出入库明细!$N$4:$N$2003,$Z657-0)=0,"",INDEX(包装物料出入库明细!$N$4:$N$2003,$Z657-0)),IF($Z657&lt;=4000,IF(INDEX(周转筐出入库明细!$P$4:$P$2004,$Z657-2000)=0,"",INDEX(周转筐出入库明细!$P$4:$P$2004,$Z657-2000)),IF($Z657&lt;=5200,"",IF($Z657&lt;=5800,N(INDEX(次果筐明细!$L$4:$L$603,$Z657-5200))+N(INDEX(次果筐明细!$J$4:$J$603,$Z657-5200)),"")))))</f>
        <v/>
      </c>
      <c r="L657" s="24" t="str">
        <f>IF($Z657="","",IF($Z657&lt;=2000,IF(INDEX(包装物料出入库明细!$P$4:$P$2003,$Z657-0)=0,"",INDEX(包装物料出入库明细!$P$4:$P$2003,$Z657-0)),IF($Z657&lt;=4000,IF(INDEX(周转筐出入库明细!$Q$4:$Q$2004,$Z657-2000)=0,"",INDEX(周转筐出入库明细!$Q$4:$Q$2004,$Z657-2000)),IF($Z657&lt;=5200,"",IF($Z657&lt;=5800,IF(INDEX(次果筐明细!$M$4:$M$603,$Z657-5200)=0,"",INDEX(次果筐明细!$M$4:$M$603,$Z657-5200)),"")))))</f>
        <v/>
      </c>
      <c r="M657" s="37" t="str">
        <f>IF($Z657="","",IF($Z657&lt;=2000,IF(INDEX(包装物料出入库明细!$R$4:$R$2003,$Z657-0)=0,"",INDEX(包装物料出入库明细!$R$4:$R$2003,$Z657-0)),IF($Z657&lt;=4000,IF(INDEX(周转筐出入库明细!$W$4:$W$2004,$Z657-2000)=0,"",INDEX(周转筐出入库明细!$W$4:$W$2004,$Z657-2000)),IF($Z657&lt;=5200,IF(INDEX(客户自备加工筐明细!$L$4:$L$1203,$Z657-4000)=0,"",INDEX(客户自备加工筐明细!$L$4:$L$1203,$Z657-4000)),IF($Z657&lt;=5800,IF(INDEX(次果筐明细!$P$4:$P$603,$Z657-5200)=0,"",INDEX(次果筐明细!$P$4:$P$603,$Z657-5200)),"")))))</f>
        <v/>
      </c>
      <c r="N657" s="16" t="str">
        <f>IF($Z657="","",IF($Z657&lt;=2000,"",IF($Z657&lt;=4000,IF(INDEX(周转筐出入库明细!$D$4:$D$2004,$Z657-2000)=0,"",INDEX(周转筐出入库明细!$D$4:$D$2004,$Z657-2000)),IF($Z657&lt;=5200,IF(INDEX(客户自备加工筐明细!$C$4:$C$1203,$Z657-4000)=0,"",INDEX(客户自备加工筐明细!$C$4:$C$1203,$Z657-4000)),IF($Z657&lt;=5800,IF(INDEX(次果筐明细!$D$4:$D$603,$Z657-5200)=0,"",INDEX(次果筐明细!$D$4:$D$603,$Z657-5200)),"")))))</f>
        <v/>
      </c>
      <c r="O657" s="40" t="str">
        <f>IF($Z657="","",IF($Z657&lt;=2000,"",IF($Z657&lt;=4000,IF(N(INDEX(周转筐出入库明细!$J$4:$J$2004,$Z657-2000))+N(INDEX(周转筐出入库明细!$K$4:$K$2004,$Z657-2000))=0,"",N(INDEX(周转筐出入库明细!$J$4:$J$2004,$Z657-2000))+N(INDEX(周转筐出入库明细!$K$4:$K$2004,$Z657-2000))),IF($Z657&lt;=5200,IF(N(INDEX(客户自备加工筐明细!$G$4:$G$1203,$Z657-4000))=0,"",N(INDEX(客户自备加工筐明细!$G$4:$G$1203,$Z657-4000))),IF($Z657&lt;=5800,IF(ISNUMBER(SEARCH("退",INDEX(次果筐明细!$F$4:$F$603,$Z657-5200)&amp;"")),"",IF(N(INDEX(次果筐明细!$G$4:$G$603,$Z657-5200))=0,"",N(INDEX(次果筐明细!$G$4:$G$603,$Z657-5200)))),"")))))</f>
        <v/>
      </c>
      <c r="P657" s="40" t="str">
        <f>IF($Z657="","",IF($Z657&lt;=2000,"",IF($Z657&lt;=4000,IF(N(INDEX(周转筐出入库明细!$I$4:$I$2004,$Z657-2000))=0,"",N(INDEX(周转筐出入库明细!$I$4:$I$2004,$Z657-2000))),IF($Z657&lt;=5200,"",IF($Z657&lt;=5800,IF(ISNUMBER(SEARCH("退",INDEX(次果筐明细!$F$4:$F$603,$Z657-5200)&amp;"")),IF(N(INDEX(次果筐明细!$G$4:$G$603,$Z657-5200))=0,"",N(INDEX(次果筐明细!$G$4:$G$603,$Z657-5200))),""),"")))))</f>
        <v/>
      </c>
      <c r="Q657" s="40" t="str">
        <f>IF($Z657="","",IF($Z657&lt;=2000,"",IF($Z657&lt;=4000,IF(N(INDEX(周转筐出入库明细!$H$4:$H$2004,$Z657-2000))=0,"",N(INDEX(周转筐出入库明细!$H$4:$H$2004,$Z657-2000))),IF($Z657&lt;=5200,IF(N(INDEX(客户自备加工筐明细!$F$4:$F$1203,$Z657-4000))=0,"",N(INDEX(客户自备加工筐明细!$F$4:$F$1203,$Z657-4000))),IF($Z657&lt;=5800,"","")))))</f>
        <v/>
      </c>
      <c r="R657" s="16" t="str">
        <f>IF($Z657="","",IF($Z657&lt;=2000,IF(INDEX(包装物料出入库明细!$O$4:$O$2003,$Z657-0)=0,"",INDEX(包装物料出入库明细!$O$4:$O$2003,$Z657-0)),IF($Z657&lt;=4000,IF(INDEX(周转筐出入库明细!$M$4:$M$2004,$Z657-2000)=0,"",INDEX(周转筐出入库明细!$M$4:$M$2004,$Z657-2000)),IF($Z657&lt;=5200,IF(INDEX(客户自备加工筐明细!$H$4:$H$1203,$Z657-4000)=0,"",INDEX(客户自备加工筐明细!$H$4:$H$1203,$Z657-4000)),IF($Z657&lt;=5800,IF(INDEX(次果筐明细!$H$4:$H$603,$Z657-5200)=0,"",INDEX(次果筐明细!$H$4:$H$603,$Z657-5200)),"")))))</f>
        <v/>
      </c>
      <c r="S657" s="22" t="str">
        <f t="shared" si="32"/>
        <v/>
      </c>
      <c r="Z657" s="10" t="str">
        <f>IFERROR(MATCH(ROW()-3,_自动清单!$CQ$4:$CQ$5803,0),"")</f>
        <v/>
      </c>
    </row>
    <row r="658" spans="1:26">
      <c r="A658" s="24" t="str">
        <f t="shared" si="30"/>
        <v/>
      </c>
      <c r="B658" s="38" t="str">
        <f>IF($Z658="","",IF($Z658&lt;=2000,IF(INDEX(包装物料出入库明细!$B$4:$B$2003,$Z658-0)=0,"",INDEX(包装物料出入库明细!$B$4:$B$2003,$Z658-0)),IF($Z658&lt;=4000,IF(INDEX(周转筐出入库明细!$B$4:$B$2004,$Z658-2000)=0,"",INDEX(周转筐出入库明细!$B$4:$B$2004,$Z658-2000)),IF($Z658&lt;=5200,IF(INDEX(客户自备加工筐明细!$B$4:$B$1203,$Z658-4000)=0,"",INDEX(客户自备加工筐明细!$B$4:$B$1203,$Z658-4000)),IF($Z658&lt;=5800,IF(INDEX(次果筐明细!$B$4:$B$603,$Z658-5200)=0,"",INDEX(次果筐明细!$B$4:$B$603,$Z658-5200)),"")))))</f>
        <v/>
      </c>
      <c r="C658" s="37" t="str">
        <f>IF($Z658="","",IF($Z658&lt;=2000,IF(INDEX(包装物料出入库明细!$D$4:$D$2003,$Z658-0)=0,"",INDEX(包装物料出入库明细!$D$4:$D$2003,$Z658-0)),IF($Z658&lt;=4000,IF(INDEX(周转筐出入库明细!$C$4:$C$2004,$Z658-2000)=0,"",INDEX(周转筐出入库明细!$C$4:$C$2004,$Z658-2000)),IF($Z658&lt;=5200,IF(INDEX(客户自备加工筐明细!$E$4:$E$1203,$Z658-4000)=0,"",INDEX(客户自备加工筐明细!$E$4:$E$1203,$Z658-4000)),IF($Z658&lt;=5800,IF(INDEX(次果筐明细!$C$4:$C$603,$Z658-5200)=0,"",INDEX(次果筐明细!$C$4:$C$603,$Z658-5200)),"")))))</f>
        <v/>
      </c>
      <c r="D658" s="37" t="str">
        <f>IF($Z658="","",IF($Z658&lt;=2000,"包装物料－"&amp;INDEX(包装物料出入库明细!$H$4:$H$2003,$Z658-0),IF($Z658&lt;=4000,"周转筐－"&amp;INDEX(周转筐出入库明细!$F$4:$F$2004,$Z658-2000),IF($Z658&lt;=5200,"客户自备筐－"&amp;INDEX(客户自备加工筐明细!$J$4:$J$1203,$Z658-4000),IF($Z658&lt;=5800,"次果筐/托盘－"&amp;INDEX(次果筐明细!$F$4:$F$603,$Z658-5200),"")))))</f>
        <v/>
      </c>
      <c r="E658" s="24" t="str">
        <f>IF($Z658="","",IF($Z658&lt;=2000,IF(INDEX(包装物料出入库明细!$C$4:$C$2003,$Z658-0)=0,"",INDEX(包装物料出入库明细!$C$4:$C$2003,$Z658-0)),IF($Z658&lt;=4000,IF(INDEX(周转筐出入库明细!$E$4:$E$2004,$Z658-2000)=0,"",INDEX(周转筐出入库明细!$E$4:$E$2004,$Z658-2000)),IF($Z658&lt;=5200,IF(INDEX(客户自备加工筐明细!$D$4:$D$1203,$Z658-4000)=0,"",INDEX(客户自备加工筐明细!$D$4:$D$1203,$Z658-4000)),IF($Z658&lt;=5800,IF(INDEX(次果筐明细!$E$4:$E$603,$Z658-5200)=0,"",INDEX(次果筐明细!$E$4:$E$603,$Z658-5200)),"")))))</f>
        <v/>
      </c>
      <c r="F658" s="24" t="str">
        <f>IF($Z658="","",IF($Z658&lt;=2000,IF(INDEX(包装物料出入库明细!$E$4:$E$2003,$Z658-0)=0,"",INDEX(包装物料出入库明细!$E$4:$E$2003,$Z658-0)),IF($Z658&lt;=4000,IF(INDEX(周转筐出入库明细!$D$4:$D$2004,$Z658-2000)=0,"",INDEX(周转筐出入库明细!$D$4:$D$2004,$Z658-2000)),IF($Z658&lt;=5200,IF(INDEX(客户自备加工筐明细!$C$4:$C$1203,$Z658-4000)=0,"",INDEX(客户自备加工筐明细!$C$4:$C$1203,$Z658-4000)),IF($Z658&lt;=5800,IF(INDEX(次果筐明细!$D$4:$D$603,$Z658-5200)=0,"",INDEX(次果筐明细!$D$4:$D$603,$Z658-5200)),"")))))</f>
        <v/>
      </c>
      <c r="G658" s="24" t="str">
        <f>IF($Z658="","",IF($Z658&lt;=2000,IF(INDEX(包装物料出入库明细!$F$4:$F$2003,$Z658-0)=0,"",INDEX(包装物料出入库明细!$F$4:$F$2003,$Z658-0)),IF($Z658&lt;=4000,"",IF($Z658&lt;=5200,"",IF($Z658&lt;=5800,"","")))))</f>
        <v/>
      </c>
      <c r="H658" s="39" t="str">
        <f>IF($Z658="","",IF($Z658&lt;=2000,IF(INDEX(包装物料出入库明细!$L$4:$L$2003,$Z658-0)=0,"",INDEX(包装物料出入库明细!$L$4:$L$2003,$Z658-0)),IF($Z658&lt;=4000,N(INDEX(周转筐出入库明细!$H$4:$H$2004,$Z658-2000))+N(INDEX(周转筐出入库明细!$I$4:$I$2004,$Z658-2000))+N(INDEX(周转筐出入库明细!$J$4:$J$2004,$Z658-2000))+N(INDEX(周转筐出入库明细!$K$4:$K$2004,$Z658-2000)),IF($Z658&lt;=5200,N(INDEX(客户自备加工筐明细!$F$4:$F$1203,$Z658-4000))+N(INDEX(客户自备加工筐明细!$G$4:$G$1203,$Z658-4000)),IF($Z658&lt;=5800,IF(INDEX(次果筐明细!$G$4:$G$603,$Z658-5200)=0,"",INDEX(次果筐明细!$G$4:$G$603,$Z658-5200)),"")))))</f>
        <v/>
      </c>
      <c r="I658" s="24" t="str">
        <f>IF($Z658="","",IF($Z658&lt;=2000,IF(INDEX(包装物料出入库明细!$G$4:$G$2003,$Z658-0)=0,"",INDEX(包装物料出入库明细!$G$4:$G$2003,$Z658-0)),IF($Z658&lt;=4000,"个",IF($Z658&lt;=5200,"个",IF($Z658&lt;=5800,"个","")))))</f>
        <v/>
      </c>
      <c r="J658" s="30" t="str">
        <f t="shared" si="31"/>
        <v/>
      </c>
      <c r="K658" s="30" t="str">
        <f>IF($Z658="","",IF($Z658&lt;=2000,IF(INDEX(包装物料出入库明细!$N$4:$N$2003,$Z658-0)=0,"",INDEX(包装物料出入库明细!$N$4:$N$2003,$Z658-0)),IF($Z658&lt;=4000,IF(INDEX(周转筐出入库明细!$P$4:$P$2004,$Z658-2000)=0,"",INDEX(周转筐出入库明细!$P$4:$P$2004,$Z658-2000)),IF($Z658&lt;=5200,"",IF($Z658&lt;=5800,N(INDEX(次果筐明细!$L$4:$L$603,$Z658-5200))+N(INDEX(次果筐明细!$J$4:$J$603,$Z658-5200)),"")))))</f>
        <v/>
      </c>
      <c r="L658" s="24" t="str">
        <f>IF($Z658="","",IF($Z658&lt;=2000,IF(INDEX(包装物料出入库明细!$P$4:$P$2003,$Z658-0)=0,"",INDEX(包装物料出入库明细!$P$4:$P$2003,$Z658-0)),IF($Z658&lt;=4000,IF(INDEX(周转筐出入库明细!$Q$4:$Q$2004,$Z658-2000)=0,"",INDEX(周转筐出入库明细!$Q$4:$Q$2004,$Z658-2000)),IF($Z658&lt;=5200,"",IF($Z658&lt;=5800,IF(INDEX(次果筐明细!$M$4:$M$603,$Z658-5200)=0,"",INDEX(次果筐明细!$M$4:$M$603,$Z658-5200)),"")))))</f>
        <v/>
      </c>
      <c r="M658" s="37" t="str">
        <f>IF($Z658="","",IF($Z658&lt;=2000,IF(INDEX(包装物料出入库明细!$R$4:$R$2003,$Z658-0)=0,"",INDEX(包装物料出入库明细!$R$4:$R$2003,$Z658-0)),IF($Z658&lt;=4000,IF(INDEX(周转筐出入库明细!$W$4:$W$2004,$Z658-2000)=0,"",INDEX(周转筐出入库明细!$W$4:$W$2004,$Z658-2000)),IF($Z658&lt;=5200,IF(INDEX(客户自备加工筐明细!$L$4:$L$1203,$Z658-4000)=0,"",INDEX(客户自备加工筐明细!$L$4:$L$1203,$Z658-4000)),IF($Z658&lt;=5800,IF(INDEX(次果筐明细!$P$4:$P$603,$Z658-5200)=0,"",INDEX(次果筐明细!$P$4:$P$603,$Z658-5200)),"")))))</f>
        <v/>
      </c>
      <c r="N658" s="16" t="str">
        <f>IF($Z658="","",IF($Z658&lt;=2000,"",IF($Z658&lt;=4000,IF(INDEX(周转筐出入库明细!$D$4:$D$2004,$Z658-2000)=0,"",INDEX(周转筐出入库明细!$D$4:$D$2004,$Z658-2000)),IF($Z658&lt;=5200,IF(INDEX(客户自备加工筐明细!$C$4:$C$1203,$Z658-4000)=0,"",INDEX(客户自备加工筐明细!$C$4:$C$1203,$Z658-4000)),IF($Z658&lt;=5800,IF(INDEX(次果筐明细!$D$4:$D$603,$Z658-5200)=0,"",INDEX(次果筐明细!$D$4:$D$603,$Z658-5200)),"")))))</f>
        <v/>
      </c>
      <c r="O658" s="40" t="str">
        <f>IF($Z658="","",IF($Z658&lt;=2000,"",IF($Z658&lt;=4000,IF(N(INDEX(周转筐出入库明细!$J$4:$J$2004,$Z658-2000))+N(INDEX(周转筐出入库明细!$K$4:$K$2004,$Z658-2000))=0,"",N(INDEX(周转筐出入库明细!$J$4:$J$2004,$Z658-2000))+N(INDEX(周转筐出入库明细!$K$4:$K$2004,$Z658-2000))),IF($Z658&lt;=5200,IF(N(INDEX(客户自备加工筐明细!$G$4:$G$1203,$Z658-4000))=0,"",N(INDEX(客户自备加工筐明细!$G$4:$G$1203,$Z658-4000))),IF($Z658&lt;=5800,IF(ISNUMBER(SEARCH("退",INDEX(次果筐明细!$F$4:$F$603,$Z658-5200)&amp;"")),"",IF(N(INDEX(次果筐明细!$G$4:$G$603,$Z658-5200))=0,"",N(INDEX(次果筐明细!$G$4:$G$603,$Z658-5200)))),"")))))</f>
        <v/>
      </c>
      <c r="P658" s="40" t="str">
        <f>IF($Z658="","",IF($Z658&lt;=2000,"",IF($Z658&lt;=4000,IF(N(INDEX(周转筐出入库明细!$I$4:$I$2004,$Z658-2000))=0,"",N(INDEX(周转筐出入库明细!$I$4:$I$2004,$Z658-2000))),IF($Z658&lt;=5200,"",IF($Z658&lt;=5800,IF(ISNUMBER(SEARCH("退",INDEX(次果筐明细!$F$4:$F$603,$Z658-5200)&amp;"")),IF(N(INDEX(次果筐明细!$G$4:$G$603,$Z658-5200))=0,"",N(INDEX(次果筐明细!$G$4:$G$603,$Z658-5200))),""),"")))))</f>
        <v/>
      </c>
      <c r="Q658" s="40" t="str">
        <f>IF($Z658="","",IF($Z658&lt;=2000,"",IF($Z658&lt;=4000,IF(N(INDEX(周转筐出入库明细!$H$4:$H$2004,$Z658-2000))=0,"",N(INDEX(周转筐出入库明细!$H$4:$H$2004,$Z658-2000))),IF($Z658&lt;=5200,IF(N(INDEX(客户自备加工筐明细!$F$4:$F$1203,$Z658-4000))=0,"",N(INDEX(客户自备加工筐明细!$F$4:$F$1203,$Z658-4000))),IF($Z658&lt;=5800,"","")))))</f>
        <v/>
      </c>
      <c r="R658" s="16" t="str">
        <f>IF($Z658="","",IF($Z658&lt;=2000,IF(INDEX(包装物料出入库明细!$O$4:$O$2003,$Z658-0)=0,"",INDEX(包装物料出入库明细!$O$4:$O$2003,$Z658-0)),IF($Z658&lt;=4000,IF(INDEX(周转筐出入库明细!$M$4:$M$2004,$Z658-2000)=0,"",INDEX(周转筐出入库明细!$M$4:$M$2004,$Z658-2000)),IF($Z658&lt;=5200,IF(INDEX(客户自备加工筐明细!$H$4:$H$1203,$Z658-4000)=0,"",INDEX(客户自备加工筐明细!$H$4:$H$1203,$Z658-4000)),IF($Z658&lt;=5800,IF(INDEX(次果筐明细!$H$4:$H$603,$Z658-5200)=0,"",INDEX(次果筐明细!$H$4:$H$603,$Z658-5200)),"")))))</f>
        <v/>
      </c>
      <c r="S658" s="22" t="str">
        <f t="shared" si="32"/>
        <v/>
      </c>
      <c r="Z658" s="10" t="str">
        <f>IFERROR(MATCH(ROW()-3,_自动清单!$CQ$4:$CQ$5803,0),"")</f>
        <v/>
      </c>
    </row>
    <row r="659" spans="1:26">
      <c r="A659" s="24" t="str">
        <f t="shared" si="30"/>
        <v/>
      </c>
      <c r="B659" s="38" t="str">
        <f>IF($Z659="","",IF($Z659&lt;=2000,IF(INDEX(包装物料出入库明细!$B$4:$B$2003,$Z659-0)=0,"",INDEX(包装物料出入库明细!$B$4:$B$2003,$Z659-0)),IF($Z659&lt;=4000,IF(INDEX(周转筐出入库明细!$B$4:$B$2004,$Z659-2000)=0,"",INDEX(周转筐出入库明细!$B$4:$B$2004,$Z659-2000)),IF($Z659&lt;=5200,IF(INDEX(客户自备加工筐明细!$B$4:$B$1203,$Z659-4000)=0,"",INDEX(客户自备加工筐明细!$B$4:$B$1203,$Z659-4000)),IF($Z659&lt;=5800,IF(INDEX(次果筐明细!$B$4:$B$603,$Z659-5200)=0,"",INDEX(次果筐明细!$B$4:$B$603,$Z659-5200)),"")))))</f>
        <v/>
      </c>
      <c r="C659" s="37" t="str">
        <f>IF($Z659="","",IF($Z659&lt;=2000,IF(INDEX(包装物料出入库明细!$D$4:$D$2003,$Z659-0)=0,"",INDEX(包装物料出入库明细!$D$4:$D$2003,$Z659-0)),IF($Z659&lt;=4000,IF(INDEX(周转筐出入库明细!$C$4:$C$2004,$Z659-2000)=0,"",INDEX(周转筐出入库明细!$C$4:$C$2004,$Z659-2000)),IF($Z659&lt;=5200,IF(INDEX(客户自备加工筐明细!$E$4:$E$1203,$Z659-4000)=0,"",INDEX(客户自备加工筐明细!$E$4:$E$1203,$Z659-4000)),IF($Z659&lt;=5800,IF(INDEX(次果筐明细!$C$4:$C$603,$Z659-5200)=0,"",INDEX(次果筐明细!$C$4:$C$603,$Z659-5200)),"")))))</f>
        <v/>
      </c>
      <c r="D659" s="37" t="str">
        <f>IF($Z659="","",IF($Z659&lt;=2000,"包装物料－"&amp;INDEX(包装物料出入库明细!$H$4:$H$2003,$Z659-0),IF($Z659&lt;=4000,"周转筐－"&amp;INDEX(周转筐出入库明细!$F$4:$F$2004,$Z659-2000),IF($Z659&lt;=5200,"客户自备筐－"&amp;INDEX(客户自备加工筐明细!$J$4:$J$1203,$Z659-4000),IF($Z659&lt;=5800,"次果筐/托盘－"&amp;INDEX(次果筐明细!$F$4:$F$603,$Z659-5200),"")))))</f>
        <v/>
      </c>
      <c r="E659" s="24" t="str">
        <f>IF($Z659="","",IF($Z659&lt;=2000,IF(INDEX(包装物料出入库明细!$C$4:$C$2003,$Z659-0)=0,"",INDEX(包装物料出入库明细!$C$4:$C$2003,$Z659-0)),IF($Z659&lt;=4000,IF(INDEX(周转筐出入库明细!$E$4:$E$2004,$Z659-2000)=0,"",INDEX(周转筐出入库明细!$E$4:$E$2004,$Z659-2000)),IF($Z659&lt;=5200,IF(INDEX(客户自备加工筐明细!$D$4:$D$1203,$Z659-4000)=0,"",INDEX(客户自备加工筐明细!$D$4:$D$1203,$Z659-4000)),IF($Z659&lt;=5800,IF(INDEX(次果筐明细!$E$4:$E$603,$Z659-5200)=0,"",INDEX(次果筐明细!$E$4:$E$603,$Z659-5200)),"")))))</f>
        <v/>
      </c>
      <c r="F659" s="24" t="str">
        <f>IF($Z659="","",IF($Z659&lt;=2000,IF(INDEX(包装物料出入库明细!$E$4:$E$2003,$Z659-0)=0,"",INDEX(包装物料出入库明细!$E$4:$E$2003,$Z659-0)),IF($Z659&lt;=4000,IF(INDEX(周转筐出入库明细!$D$4:$D$2004,$Z659-2000)=0,"",INDEX(周转筐出入库明细!$D$4:$D$2004,$Z659-2000)),IF($Z659&lt;=5200,IF(INDEX(客户自备加工筐明细!$C$4:$C$1203,$Z659-4000)=0,"",INDEX(客户自备加工筐明细!$C$4:$C$1203,$Z659-4000)),IF($Z659&lt;=5800,IF(INDEX(次果筐明细!$D$4:$D$603,$Z659-5200)=0,"",INDEX(次果筐明细!$D$4:$D$603,$Z659-5200)),"")))))</f>
        <v/>
      </c>
      <c r="G659" s="24" t="str">
        <f>IF($Z659="","",IF($Z659&lt;=2000,IF(INDEX(包装物料出入库明细!$F$4:$F$2003,$Z659-0)=0,"",INDEX(包装物料出入库明细!$F$4:$F$2003,$Z659-0)),IF($Z659&lt;=4000,"",IF($Z659&lt;=5200,"",IF($Z659&lt;=5800,"","")))))</f>
        <v/>
      </c>
      <c r="H659" s="39" t="str">
        <f>IF($Z659="","",IF($Z659&lt;=2000,IF(INDEX(包装物料出入库明细!$L$4:$L$2003,$Z659-0)=0,"",INDEX(包装物料出入库明细!$L$4:$L$2003,$Z659-0)),IF($Z659&lt;=4000,N(INDEX(周转筐出入库明细!$H$4:$H$2004,$Z659-2000))+N(INDEX(周转筐出入库明细!$I$4:$I$2004,$Z659-2000))+N(INDEX(周转筐出入库明细!$J$4:$J$2004,$Z659-2000))+N(INDEX(周转筐出入库明细!$K$4:$K$2004,$Z659-2000)),IF($Z659&lt;=5200,N(INDEX(客户自备加工筐明细!$F$4:$F$1203,$Z659-4000))+N(INDEX(客户自备加工筐明细!$G$4:$G$1203,$Z659-4000)),IF($Z659&lt;=5800,IF(INDEX(次果筐明细!$G$4:$G$603,$Z659-5200)=0,"",INDEX(次果筐明细!$G$4:$G$603,$Z659-5200)),"")))))</f>
        <v/>
      </c>
      <c r="I659" s="24" t="str">
        <f>IF($Z659="","",IF($Z659&lt;=2000,IF(INDEX(包装物料出入库明细!$G$4:$G$2003,$Z659-0)=0,"",INDEX(包装物料出入库明细!$G$4:$G$2003,$Z659-0)),IF($Z659&lt;=4000,"个",IF($Z659&lt;=5200,"个",IF($Z659&lt;=5800,"个","")))))</f>
        <v/>
      </c>
      <c r="J659" s="30" t="str">
        <f t="shared" si="31"/>
        <v/>
      </c>
      <c r="K659" s="30" t="str">
        <f>IF($Z659="","",IF($Z659&lt;=2000,IF(INDEX(包装物料出入库明细!$N$4:$N$2003,$Z659-0)=0,"",INDEX(包装物料出入库明细!$N$4:$N$2003,$Z659-0)),IF($Z659&lt;=4000,IF(INDEX(周转筐出入库明细!$P$4:$P$2004,$Z659-2000)=0,"",INDEX(周转筐出入库明细!$P$4:$P$2004,$Z659-2000)),IF($Z659&lt;=5200,"",IF($Z659&lt;=5800,N(INDEX(次果筐明细!$L$4:$L$603,$Z659-5200))+N(INDEX(次果筐明细!$J$4:$J$603,$Z659-5200)),"")))))</f>
        <v/>
      </c>
      <c r="L659" s="24" t="str">
        <f>IF($Z659="","",IF($Z659&lt;=2000,IF(INDEX(包装物料出入库明细!$P$4:$P$2003,$Z659-0)=0,"",INDEX(包装物料出入库明细!$P$4:$P$2003,$Z659-0)),IF($Z659&lt;=4000,IF(INDEX(周转筐出入库明细!$Q$4:$Q$2004,$Z659-2000)=0,"",INDEX(周转筐出入库明细!$Q$4:$Q$2004,$Z659-2000)),IF($Z659&lt;=5200,"",IF($Z659&lt;=5800,IF(INDEX(次果筐明细!$M$4:$M$603,$Z659-5200)=0,"",INDEX(次果筐明细!$M$4:$M$603,$Z659-5200)),"")))))</f>
        <v/>
      </c>
      <c r="M659" s="37" t="str">
        <f>IF($Z659="","",IF($Z659&lt;=2000,IF(INDEX(包装物料出入库明细!$R$4:$R$2003,$Z659-0)=0,"",INDEX(包装物料出入库明细!$R$4:$R$2003,$Z659-0)),IF($Z659&lt;=4000,IF(INDEX(周转筐出入库明细!$W$4:$W$2004,$Z659-2000)=0,"",INDEX(周转筐出入库明细!$W$4:$W$2004,$Z659-2000)),IF($Z659&lt;=5200,IF(INDEX(客户自备加工筐明细!$L$4:$L$1203,$Z659-4000)=0,"",INDEX(客户自备加工筐明细!$L$4:$L$1203,$Z659-4000)),IF($Z659&lt;=5800,IF(INDEX(次果筐明细!$P$4:$P$603,$Z659-5200)=0,"",INDEX(次果筐明细!$P$4:$P$603,$Z659-5200)),"")))))</f>
        <v/>
      </c>
      <c r="N659" s="16" t="str">
        <f>IF($Z659="","",IF($Z659&lt;=2000,"",IF($Z659&lt;=4000,IF(INDEX(周转筐出入库明细!$D$4:$D$2004,$Z659-2000)=0,"",INDEX(周转筐出入库明细!$D$4:$D$2004,$Z659-2000)),IF($Z659&lt;=5200,IF(INDEX(客户自备加工筐明细!$C$4:$C$1203,$Z659-4000)=0,"",INDEX(客户自备加工筐明细!$C$4:$C$1203,$Z659-4000)),IF($Z659&lt;=5800,IF(INDEX(次果筐明细!$D$4:$D$603,$Z659-5200)=0,"",INDEX(次果筐明细!$D$4:$D$603,$Z659-5200)),"")))))</f>
        <v/>
      </c>
      <c r="O659" s="40" t="str">
        <f>IF($Z659="","",IF($Z659&lt;=2000,"",IF($Z659&lt;=4000,IF(N(INDEX(周转筐出入库明细!$J$4:$J$2004,$Z659-2000))+N(INDEX(周转筐出入库明细!$K$4:$K$2004,$Z659-2000))=0,"",N(INDEX(周转筐出入库明细!$J$4:$J$2004,$Z659-2000))+N(INDEX(周转筐出入库明细!$K$4:$K$2004,$Z659-2000))),IF($Z659&lt;=5200,IF(N(INDEX(客户自备加工筐明细!$G$4:$G$1203,$Z659-4000))=0,"",N(INDEX(客户自备加工筐明细!$G$4:$G$1203,$Z659-4000))),IF($Z659&lt;=5800,IF(ISNUMBER(SEARCH("退",INDEX(次果筐明细!$F$4:$F$603,$Z659-5200)&amp;"")),"",IF(N(INDEX(次果筐明细!$G$4:$G$603,$Z659-5200))=0,"",N(INDEX(次果筐明细!$G$4:$G$603,$Z659-5200)))),"")))))</f>
        <v/>
      </c>
      <c r="P659" s="40" t="str">
        <f>IF($Z659="","",IF($Z659&lt;=2000,"",IF($Z659&lt;=4000,IF(N(INDEX(周转筐出入库明细!$I$4:$I$2004,$Z659-2000))=0,"",N(INDEX(周转筐出入库明细!$I$4:$I$2004,$Z659-2000))),IF($Z659&lt;=5200,"",IF($Z659&lt;=5800,IF(ISNUMBER(SEARCH("退",INDEX(次果筐明细!$F$4:$F$603,$Z659-5200)&amp;"")),IF(N(INDEX(次果筐明细!$G$4:$G$603,$Z659-5200))=0,"",N(INDEX(次果筐明细!$G$4:$G$603,$Z659-5200))),""),"")))))</f>
        <v/>
      </c>
      <c r="Q659" s="40" t="str">
        <f>IF($Z659="","",IF($Z659&lt;=2000,"",IF($Z659&lt;=4000,IF(N(INDEX(周转筐出入库明细!$H$4:$H$2004,$Z659-2000))=0,"",N(INDEX(周转筐出入库明细!$H$4:$H$2004,$Z659-2000))),IF($Z659&lt;=5200,IF(N(INDEX(客户自备加工筐明细!$F$4:$F$1203,$Z659-4000))=0,"",N(INDEX(客户自备加工筐明细!$F$4:$F$1203,$Z659-4000))),IF($Z659&lt;=5800,"","")))))</f>
        <v/>
      </c>
      <c r="R659" s="16" t="str">
        <f>IF($Z659="","",IF($Z659&lt;=2000,IF(INDEX(包装物料出入库明细!$O$4:$O$2003,$Z659-0)=0,"",INDEX(包装物料出入库明细!$O$4:$O$2003,$Z659-0)),IF($Z659&lt;=4000,IF(INDEX(周转筐出入库明细!$M$4:$M$2004,$Z659-2000)=0,"",INDEX(周转筐出入库明细!$M$4:$M$2004,$Z659-2000)),IF($Z659&lt;=5200,IF(INDEX(客户自备加工筐明细!$H$4:$H$1203,$Z659-4000)=0,"",INDEX(客户自备加工筐明细!$H$4:$H$1203,$Z659-4000)),IF($Z659&lt;=5800,IF(INDEX(次果筐明细!$H$4:$H$603,$Z659-5200)=0,"",INDEX(次果筐明细!$H$4:$H$603,$Z659-5200)),"")))))</f>
        <v/>
      </c>
      <c r="S659" s="22" t="str">
        <f t="shared" si="32"/>
        <v/>
      </c>
      <c r="Z659" s="10" t="str">
        <f>IFERROR(MATCH(ROW()-3,_自动清单!$CQ$4:$CQ$5803,0),"")</f>
        <v/>
      </c>
    </row>
    <row r="660" spans="1:26">
      <c r="A660" s="24" t="str">
        <f t="shared" si="30"/>
        <v/>
      </c>
      <c r="B660" s="38" t="str">
        <f>IF($Z660="","",IF($Z660&lt;=2000,IF(INDEX(包装物料出入库明细!$B$4:$B$2003,$Z660-0)=0,"",INDEX(包装物料出入库明细!$B$4:$B$2003,$Z660-0)),IF($Z660&lt;=4000,IF(INDEX(周转筐出入库明细!$B$4:$B$2004,$Z660-2000)=0,"",INDEX(周转筐出入库明细!$B$4:$B$2004,$Z660-2000)),IF($Z660&lt;=5200,IF(INDEX(客户自备加工筐明细!$B$4:$B$1203,$Z660-4000)=0,"",INDEX(客户自备加工筐明细!$B$4:$B$1203,$Z660-4000)),IF($Z660&lt;=5800,IF(INDEX(次果筐明细!$B$4:$B$603,$Z660-5200)=0,"",INDEX(次果筐明细!$B$4:$B$603,$Z660-5200)),"")))))</f>
        <v/>
      </c>
      <c r="C660" s="37" t="str">
        <f>IF($Z660="","",IF($Z660&lt;=2000,IF(INDEX(包装物料出入库明细!$D$4:$D$2003,$Z660-0)=0,"",INDEX(包装物料出入库明细!$D$4:$D$2003,$Z660-0)),IF($Z660&lt;=4000,IF(INDEX(周转筐出入库明细!$C$4:$C$2004,$Z660-2000)=0,"",INDEX(周转筐出入库明细!$C$4:$C$2004,$Z660-2000)),IF($Z660&lt;=5200,IF(INDEX(客户自备加工筐明细!$E$4:$E$1203,$Z660-4000)=0,"",INDEX(客户自备加工筐明细!$E$4:$E$1203,$Z660-4000)),IF($Z660&lt;=5800,IF(INDEX(次果筐明细!$C$4:$C$603,$Z660-5200)=0,"",INDEX(次果筐明细!$C$4:$C$603,$Z660-5200)),"")))))</f>
        <v/>
      </c>
      <c r="D660" s="37" t="str">
        <f>IF($Z660="","",IF($Z660&lt;=2000,"包装物料－"&amp;INDEX(包装物料出入库明细!$H$4:$H$2003,$Z660-0),IF($Z660&lt;=4000,"周转筐－"&amp;INDEX(周转筐出入库明细!$F$4:$F$2004,$Z660-2000),IF($Z660&lt;=5200,"客户自备筐－"&amp;INDEX(客户自备加工筐明细!$J$4:$J$1203,$Z660-4000),IF($Z660&lt;=5800,"次果筐/托盘－"&amp;INDEX(次果筐明细!$F$4:$F$603,$Z660-5200),"")))))</f>
        <v/>
      </c>
      <c r="E660" s="24" t="str">
        <f>IF($Z660="","",IF($Z660&lt;=2000,IF(INDEX(包装物料出入库明细!$C$4:$C$2003,$Z660-0)=0,"",INDEX(包装物料出入库明细!$C$4:$C$2003,$Z660-0)),IF($Z660&lt;=4000,IF(INDEX(周转筐出入库明细!$E$4:$E$2004,$Z660-2000)=0,"",INDEX(周转筐出入库明细!$E$4:$E$2004,$Z660-2000)),IF($Z660&lt;=5200,IF(INDEX(客户自备加工筐明细!$D$4:$D$1203,$Z660-4000)=0,"",INDEX(客户自备加工筐明细!$D$4:$D$1203,$Z660-4000)),IF($Z660&lt;=5800,IF(INDEX(次果筐明细!$E$4:$E$603,$Z660-5200)=0,"",INDEX(次果筐明细!$E$4:$E$603,$Z660-5200)),"")))))</f>
        <v/>
      </c>
      <c r="F660" s="24" t="str">
        <f>IF($Z660="","",IF($Z660&lt;=2000,IF(INDEX(包装物料出入库明细!$E$4:$E$2003,$Z660-0)=0,"",INDEX(包装物料出入库明细!$E$4:$E$2003,$Z660-0)),IF($Z660&lt;=4000,IF(INDEX(周转筐出入库明细!$D$4:$D$2004,$Z660-2000)=0,"",INDEX(周转筐出入库明细!$D$4:$D$2004,$Z660-2000)),IF($Z660&lt;=5200,IF(INDEX(客户自备加工筐明细!$C$4:$C$1203,$Z660-4000)=0,"",INDEX(客户自备加工筐明细!$C$4:$C$1203,$Z660-4000)),IF($Z660&lt;=5800,IF(INDEX(次果筐明细!$D$4:$D$603,$Z660-5200)=0,"",INDEX(次果筐明细!$D$4:$D$603,$Z660-5200)),"")))))</f>
        <v/>
      </c>
      <c r="G660" s="24" t="str">
        <f>IF($Z660="","",IF($Z660&lt;=2000,IF(INDEX(包装物料出入库明细!$F$4:$F$2003,$Z660-0)=0,"",INDEX(包装物料出入库明细!$F$4:$F$2003,$Z660-0)),IF($Z660&lt;=4000,"",IF($Z660&lt;=5200,"",IF($Z660&lt;=5800,"","")))))</f>
        <v/>
      </c>
      <c r="H660" s="39" t="str">
        <f>IF($Z660="","",IF($Z660&lt;=2000,IF(INDEX(包装物料出入库明细!$L$4:$L$2003,$Z660-0)=0,"",INDEX(包装物料出入库明细!$L$4:$L$2003,$Z660-0)),IF($Z660&lt;=4000,N(INDEX(周转筐出入库明细!$H$4:$H$2004,$Z660-2000))+N(INDEX(周转筐出入库明细!$I$4:$I$2004,$Z660-2000))+N(INDEX(周转筐出入库明细!$J$4:$J$2004,$Z660-2000))+N(INDEX(周转筐出入库明细!$K$4:$K$2004,$Z660-2000)),IF($Z660&lt;=5200,N(INDEX(客户自备加工筐明细!$F$4:$F$1203,$Z660-4000))+N(INDEX(客户自备加工筐明细!$G$4:$G$1203,$Z660-4000)),IF($Z660&lt;=5800,IF(INDEX(次果筐明细!$G$4:$G$603,$Z660-5200)=0,"",INDEX(次果筐明细!$G$4:$G$603,$Z660-5200)),"")))))</f>
        <v/>
      </c>
      <c r="I660" s="24" t="str">
        <f>IF($Z660="","",IF($Z660&lt;=2000,IF(INDEX(包装物料出入库明细!$G$4:$G$2003,$Z660-0)=0,"",INDEX(包装物料出入库明细!$G$4:$G$2003,$Z660-0)),IF($Z660&lt;=4000,"个",IF($Z660&lt;=5200,"个",IF($Z660&lt;=5800,"个","")))))</f>
        <v/>
      </c>
      <c r="J660" s="30" t="str">
        <f t="shared" si="31"/>
        <v/>
      </c>
      <c r="K660" s="30" t="str">
        <f>IF($Z660="","",IF($Z660&lt;=2000,IF(INDEX(包装物料出入库明细!$N$4:$N$2003,$Z660-0)=0,"",INDEX(包装物料出入库明细!$N$4:$N$2003,$Z660-0)),IF($Z660&lt;=4000,IF(INDEX(周转筐出入库明细!$P$4:$P$2004,$Z660-2000)=0,"",INDEX(周转筐出入库明细!$P$4:$P$2004,$Z660-2000)),IF($Z660&lt;=5200,"",IF($Z660&lt;=5800,N(INDEX(次果筐明细!$L$4:$L$603,$Z660-5200))+N(INDEX(次果筐明细!$J$4:$J$603,$Z660-5200)),"")))))</f>
        <v/>
      </c>
      <c r="L660" s="24" t="str">
        <f>IF($Z660="","",IF($Z660&lt;=2000,IF(INDEX(包装物料出入库明细!$P$4:$P$2003,$Z660-0)=0,"",INDEX(包装物料出入库明细!$P$4:$P$2003,$Z660-0)),IF($Z660&lt;=4000,IF(INDEX(周转筐出入库明细!$Q$4:$Q$2004,$Z660-2000)=0,"",INDEX(周转筐出入库明细!$Q$4:$Q$2004,$Z660-2000)),IF($Z660&lt;=5200,"",IF($Z660&lt;=5800,IF(INDEX(次果筐明细!$M$4:$M$603,$Z660-5200)=0,"",INDEX(次果筐明细!$M$4:$M$603,$Z660-5200)),"")))))</f>
        <v/>
      </c>
      <c r="M660" s="37" t="str">
        <f>IF($Z660="","",IF($Z660&lt;=2000,IF(INDEX(包装物料出入库明细!$R$4:$R$2003,$Z660-0)=0,"",INDEX(包装物料出入库明细!$R$4:$R$2003,$Z660-0)),IF($Z660&lt;=4000,IF(INDEX(周转筐出入库明细!$W$4:$W$2004,$Z660-2000)=0,"",INDEX(周转筐出入库明细!$W$4:$W$2004,$Z660-2000)),IF($Z660&lt;=5200,IF(INDEX(客户自备加工筐明细!$L$4:$L$1203,$Z660-4000)=0,"",INDEX(客户自备加工筐明细!$L$4:$L$1203,$Z660-4000)),IF($Z660&lt;=5800,IF(INDEX(次果筐明细!$P$4:$P$603,$Z660-5200)=0,"",INDEX(次果筐明细!$P$4:$P$603,$Z660-5200)),"")))))</f>
        <v/>
      </c>
      <c r="N660" s="16" t="str">
        <f>IF($Z660="","",IF($Z660&lt;=2000,"",IF($Z660&lt;=4000,IF(INDEX(周转筐出入库明细!$D$4:$D$2004,$Z660-2000)=0,"",INDEX(周转筐出入库明细!$D$4:$D$2004,$Z660-2000)),IF($Z660&lt;=5200,IF(INDEX(客户自备加工筐明细!$C$4:$C$1203,$Z660-4000)=0,"",INDEX(客户自备加工筐明细!$C$4:$C$1203,$Z660-4000)),IF($Z660&lt;=5800,IF(INDEX(次果筐明细!$D$4:$D$603,$Z660-5200)=0,"",INDEX(次果筐明细!$D$4:$D$603,$Z660-5200)),"")))))</f>
        <v/>
      </c>
      <c r="O660" s="40" t="str">
        <f>IF($Z660="","",IF($Z660&lt;=2000,"",IF($Z660&lt;=4000,IF(N(INDEX(周转筐出入库明细!$J$4:$J$2004,$Z660-2000))+N(INDEX(周转筐出入库明细!$K$4:$K$2004,$Z660-2000))=0,"",N(INDEX(周转筐出入库明细!$J$4:$J$2004,$Z660-2000))+N(INDEX(周转筐出入库明细!$K$4:$K$2004,$Z660-2000))),IF($Z660&lt;=5200,IF(N(INDEX(客户自备加工筐明细!$G$4:$G$1203,$Z660-4000))=0,"",N(INDEX(客户自备加工筐明细!$G$4:$G$1203,$Z660-4000))),IF($Z660&lt;=5800,IF(ISNUMBER(SEARCH("退",INDEX(次果筐明细!$F$4:$F$603,$Z660-5200)&amp;"")),"",IF(N(INDEX(次果筐明细!$G$4:$G$603,$Z660-5200))=0,"",N(INDEX(次果筐明细!$G$4:$G$603,$Z660-5200)))),"")))))</f>
        <v/>
      </c>
      <c r="P660" s="40" t="str">
        <f>IF($Z660="","",IF($Z660&lt;=2000,"",IF($Z660&lt;=4000,IF(N(INDEX(周转筐出入库明细!$I$4:$I$2004,$Z660-2000))=0,"",N(INDEX(周转筐出入库明细!$I$4:$I$2004,$Z660-2000))),IF($Z660&lt;=5200,"",IF($Z660&lt;=5800,IF(ISNUMBER(SEARCH("退",INDEX(次果筐明细!$F$4:$F$603,$Z660-5200)&amp;"")),IF(N(INDEX(次果筐明细!$G$4:$G$603,$Z660-5200))=0,"",N(INDEX(次果筐明细!$G$4:$G$603,$Z660-5200))),""),"")))))</f>
        <v/>
      </c>
      <c r="Q660" s="40" t="str">
        <f>IF($Z660="","",IF($Z660&lt;=2000,"",IF($Z660&lt;=4000,IF(N(INDEX(周转筐出入库明细!$H$4:$H$2004,$Z660-2000))=0,"",N(INDEX(周转筐出入库明细!$H$4:$H$2004,$Z660-2000))),IF($Z660&lt;=5200,IF(N(INDEX(客户自备加工筐明细!$F$4:$F$1203,$Z660-4000))=0,"",N(INDEX(客户自备加工筐明细!$F$4:$F$1203,$Z660-4000))),IF($Z660&lt;=5800,"","")))))</f>
        <v/>
      </c>
      <c r="R660" s="16" t="str">
        <f>IF($Z660="","",IF($Z660&lt;=2000,IF(INDEX(包装物料出入库明细!$O$4:$O$2003,$Z660-0)=0,"",INDEX(包装物料出入库明细!$O$4:$O$2003,$Z660-0)),IF($Z660&lt;=4000,IF(INDEX(周转筐出入库明细!$M$4:$M$2004,$Z660-2000)=0,"",INDEX(周转筐出入库明细!$M$4:$M$2004,$Z660-2000)),IF($Z660&lt;=5200,IF(INDEX(客户自备加工筐明细!$H$4:$H$1203,$Z660-4000)=0,"",INDEX(客户自备加工筐明细!$H$4:$H$1203,$Z660-4000)),IF($Z660&lt;=5800,IF(INDEX(次果筐明细!$H$4:$H$603,$Z660-5200)=0,"",INDEX(次果筐明细!$H$4:$H$603,$Z660-5200)),"")))))</f>
        <v/>
      </c>
      <c r="S660" s="22" t="str">
        <f t="shared" si="32"/>
        <v/>
      </c>
      <c r="Z660" s="10" t="str">
        <f>IFERROR(MATCH(ROW()-3,_自动清单!$CQ$4:$CQ$5803,0),"")</f>
        <v/>
      </c>
    </row>
    <row r="661" spans="1:26">
      <c r="A661" s="24" t="str">
        <f t="shared" si="30"/>
        <v/>
      </c>
      <c r="B661" s="38" t="str">
        <f>IF($Z661="","",IF($Z661&lt;=2000,IF(INDEX(包装物料出入库明细!$B$4:$B$2003,$Z661-0)=0,"",INDEX(包装物料出入库明细!$B$4:$B$2003,$Z661-0)),IF($Z661&lt;=4000,IF(INDEX(周转筐出入库明细!$B$4:$B$2004,$Z661-2000)=0,"",INDEX(周转筐出入库明细!$B$4:$B$2004,$Z661-2000)),IF($Z661&lt;=5200,IF(INDEX(客户自备加工筐明细!$B$4:$B$1203,$Z661-4000)=0,"",INDEX(客户自备加工筐明细!$B$4:$B$1203,$Z661-4000)),IF($Z661&lt;=5800,IF(INDEX(次果筐明细!$B$4:$B$603,$Z661-5200)=0,"",INDEX(次果筐明细!$B$4:$B$603,$Z661-5200)),"")))))</f>
        <v/>
      </c>
      <c r="C661" s="37" t="str">
        <f>IF($Z661="","",IF($Z661&lt;=2000,IF(INDEX(包装物料出入库明细!$D$4:$D$2003,$Z661-0)=0,"",INDEX(包装物料出入库明细!$D$4:$D$2003,$Z661-0)),IF($Z661&lt;=4000,IF(INDEX(周转筐出入库明细!$C$4:$C$2004,$Z661-2000)=0,"",INDEX(周转筐出入库明细!$C$4:$C$2004,$Z661-2000)),IF($Z661&lt;=5200,IF(INDEX(客户自备加工筐明细!$E$4:$E$1203,$Z661-4000)=0,"",INDEX(客户自备加工筐明细!$E$4:$E$1203,$Z661-4000)),IF($Z661&lt;=5800,IF(INDEX(次果筐明细!$C$4:$C$603,$Z661-5200)=0,"",INDEX(次果筐明细!$C$4:$C$603,$Z661-5200)),"")))))</f>
        <v/>
      </c>
      <c r="D661" s="37" t="str">
        <f>IF($Z661="","",IF($Z661&lt;=2000,"包装物料－"&amp;INDEX(包装物料出入库明细!$H$4:$H$2003,$Z661-0),IF($Z661&lt;=4000,"周转筐－"&amp;INDEX(周转筐出入库明细!$F$4:$F$2004,$Z661-2000),IF($Z661&lt;=5200,"客户自备筐－"&amp;INDEX(客户自备加工筐明细!$J$4:$J$1203,$Z661-4000),IF($Z661&lt;=5800,"次果筐/托盘－"&amp;INDEX(次果筐明细!$F$4:$F$603,$Z661-5200),"")))))</f>
        <v/>
      </c>
      <c r="E661" s="24" t="str">
        <f>IF($Z661="","",IF($Z661&lt;=2000,IF(INDEX(包装物料出入库明细!$C$4:$C$2003,$Z661-0)=0,"",INDEX(包装物料出入库明细!$C$4:$C$2003,$Z661-0)),IF($Z661&lt;=4000,IF(INDEX(周转筐出入库明细!$E$4:$E$2004,$Z661-2000)=0,"",INDEX(周转筐出入库明细!$E$4:$E$2004,$Z661-2000)),IF($Z661&lt;=5200,IF(INDEX(客户自备加工筐明细!$D$4:$D$1203,$Z661-4000)=0,"",INDEX(客户自备加工筐明细!$D$4:$D$1203,$Z661-4000)),IF($Z661&lt;=5800,IF(INDEX(次果筐明细!$E$4:$E$603,$Z661-5200)=0,"",INDEX(次果筐明细!$E$4:$E$603,$Z661-5200)),"")))))</f>
        <v/>
      </c>
      <c r="F661" s="24" t="str">
        <f>IF($Z661="","",IF($Z661&lt;=2000,IF(INDEX(包装物料出入库明细!$E$4:$E$2003,$Z661-0)=0,"",INDEX(包装物料出入库明细!$E$4:$E$2003,$Z661-0)),IF($Z661&lt;=4000,IF(INDEX(周转筐出入库明细!$D$4:$D$2004,$Z661-2000)=0,"",INDEX(周转筐出入库明细!$D$4:$D$2004,$Z661-2000)),IF($Z661&lt;=5200,IF(INDEX(客户自备加工筐明细!$C$4:$C$1203,$Z661-4000)=0,"",INDEX(客户自备加工筐明细!$C$4:$C$1203,$Z661-4000)),IF($Z661&lt;=5800,IF(INDEX(次果筐明细!$D$4:$D$603,$Z661-5200)=0,"",INDEX(次果筐明细!$D$4:$D$603,$Z661-5200)),"")))))</f>
        <v/>
      </c>
      <c r="G661" s="24" t="str">
        <f>IF($Z661="","",IF($Z661&lt;=2000,IF(INDEX(包装物料出入库明细!$F$4:$F$2003,$Z661-0)=0,"",INDEX(包装物料出入库明细!$F$4:$F$2003,$Z661-0)),IF($Z661&lt;=4000,"",IF($Z661&lt;=5200,"",IF($Z661&lt;=5800,"","")))))</f>
        <v/>
      </c>
      <c r="H661" s="39" t="str">
        <f>IF($Z661="","",IF($Z661&lt;=2000,IF(INDEX(包装物料出入库明细!$L$4:$L$2003,$Z661-0)=0,"",INDEX(包装物料出入库明细!$L$4:$L$2003,$Z661-0)),IF($Z661&lt;=4000,N(INDEX(周转筐出入库明细!$H$4:$H$2004,$Z661-2000))+N(INDEX(周转筐出入库明细!$I$4:$I$2004,$Z661-2000))+N(INDEX(周转筐出入库明细!$J$4:$J$2004,$Z661-2000))+N(INDEX(周转筐出入库明细!$K$4:$K$2004,$Z661-2000)),IF($Z661&lt;=5200,N(INDEX(客户自备加工筐明细!$F$4:$F$1203,$Z661-4000))+N(INDEX(客户自备加工筐明细!$G$4:$G$1203,$Z661-4000)),IF($Z661&lt;=5800,IF(INDEX(次果筐明细!$G$4:$G$603,$Z661-5200)=0,"",INDEX(次果筐明细!$G$4:$G$603,$Z661-5200)),"")))))</f>
        <v/>
      </c>
      <c r="I661" s="24" t="str">
        <f>IF($Z661="","",IF($Z661&lt;=2000,IF(INDEX(包装物料出入库明细!$G$4:$G$2003,$Z661-0)=0,"",INDEX(包装物料出入库明细!$G$4:$G$2003,$Z661-0)),IF($Z661&lt;=4000,"个",IF($Z661&lt;=5200,"个",IF($Z661&lt;=5800,"个","")))))</f>
        <v/>
      </c>
      <c r="J661" s="30" t="str">
        <f t="shared" si="31"/>
        <v/>
      </c>
      <c r="K661" s="30" t="str">
        <f>IF($Z661="","",IF($Z661&lt;=2000,IF(INDEX(包装物料出入库明细!$N$4:$N$2003,$Z661-0)=0,"",INDEX(包装物料出入库明细!$N$4:$N$2003,$Z661-0)),IF($Z661&lt;=4000,IF(INDEX(周转筐出入库明细!$P$4:$P$2004,$Z661-2000)=0,"",INDEX(周转筐出入库明细!$P$4:$P$2004,$Z661-2000)),IF($Z661&lt;=5200,"",IF($Z661&lt;=5800,N(INDEX(次果筐明细!$L$4:$L$603,$Z661-5200))+N(INDEX(次果筐明细!$J$4:$J$603,$Z661-5200)),"")))))</f>
        <v/>
      </c>
      <c r="L661" s="24" t="str">
        <f>IF($Z661="","",IF($Z661&lt;=2000,IF(INDEX(包装物料出入库明细!$P$4:$P$2003,$Z661-0)=0,"",INDEX(包装物料出入库明细!$P$4:$P$2003,$Z661-0)),IF($Z661&lt;=4000,IF(INDEX(周转筐出入库明细!$Q$4:$Q$2004,$Z661-2000)=0,"",INDEX(周转筐出入库明细!$Q$4:$Q$2004,$Z661-2000)),IF($Z661&lt;=5200,"",IF($Z661&lt;=5800,IF(INDEX(次果筐明细!$M$4:$M$603,$Z661-5200)=0,"",INDEX(次果筐明细!$M$4:$M$603,$Z661-5200)),"")))))</f>
        <v/>
      </c>
      <c r="M661" s="37" t="str">
        <f>IF($Z661="","",IF($Z661&lt;=2000,IF(INDEX(包装物料出入库明细!$R$4:$R$2003,$Z661-0)=0,"",INDEX(包装物料出入库明细!$R$4:$R$2003,$Z661-0)),IF($Z661&lt;=4000,IF(INDEX(周转筐出入库明细!$W$4:$W$2004,$Z661-2000)=0,"",INDEX(周转筐出入库明细!$W$4:$W$2004,$Z661-2000)),IF($Z661&lt;=5200,IF(INDEX(客户自备加工筐明细!$L$4:$L$1203,$Z661-4000)=0,"",INDEX(客户自备加工筐明细!$L$4:$L$1203,$Z661-4000)),IF($Z661&lt;=5800,IF(INDEX(次果筐明细!$P$4:$P$603,$Z661-5200)=0,"",INDEX(次果筐明细!$P$4:$P$603,$Z661-5200)),"")))))</f>
        <v/>
      </c>
      <c r="N661" s="16" t="str">
        <f>IF($Z661="","",IF($Z661&lt;=2000,"",IF($Z661&lt;=4000,IF(INDEX(周转筐出入库明细!$D$4:$D$2004,$Z661-2000)=0,"",INDEX(周转筐出入库明细!$D$4:$D$2004,$Z661-2000)),IF($Z661&lt;=5200,IF(INDEX(客户自备加工筐明细!$C$4:$C$1203,$Z661-4000)=0,"",INDEX(客户自备加工筐明细!$C$4:$C$1203,$Z661-4000)),IF($Z661&lt;=5800,IF(INDEX(次果筐明细!$D$4:$D$603,$Z661-5200)=0,"",INDEX(次果筐明细!$D$4:$D$603,$Z661-5200)),"")))))</f>
        <v/>
      </c>
      <c r="O661" s="40" t="str">
        <f>IF($Z661="","",IF($Z661&lt;=2000,"",IF($Z661&lt;=4000,IF(N(INDEX(周转筐出入库明细!$J$4:$J$2004,$Z661-2000))+N(INDEX(周转筐出入库明细!$K$4:$K$2004,$Z661-2000))=0,"",N(INDEX(周转筐出入库明细!$J$4:$J$2004,$Z661-2000))+N(INDEX(周转筐出入库明细!$K$4:$K$2004,$Z661-2000))),IF($Z661&lt;=5200,IF(N(INDEX(客户自备加工筐明细!$G$4:$G$1203,$Z661-4000))=0,"",N(INDEX(客户自备加工筐明细!$G$4:$G$1203,$Z661-4000))),IF($Z661&lt;=5800,IF(ISNUMBER(SEARCH("退",INDEX(次果筐明细!$F$4:$F$603,$Z661-5200)&amp;"")),"",IF(N(INDEX(次果筐明细!$G$4:$G$603,$Z661-5200))=0,"",N(INDEX(次果筐明细!$G$4:$G$603,$Z661-5200)))),"")))))</f>
        <v/>
      </c>
      <c r="P661" s="40" t="str">
        <f>IF($Z661="","",IF($Z661&lt;=2000,"",IF($Z661&lt;=4000,IF(N(INDEX(周转筐出入库明细!$I$4:$I$2004,$Z661-2000))=0,"",N(INDEX(周转筐出入库明细!$I$4:$I$2004,$Z661-2000))),IF($Z661&lt;=5200,"",IF($Z661&lt;=5800,IF(ISNUMBER(SEARCH("退",INDEX(次果筐明细!$F$4:$F$603,$Z661-5200)&amp;"")),IF(N(INDEX(次果筐明细!$G$4:$G$603,$Z661-5200))=0,"",N(INDEX(次果筐明细!$G$4:$G$603,$Z661-5200))),""),"")))))</f>
        <v/>
      </c>
      <c r="Q661" s="40" t="str">
        <f>IF($Z661="","",IF($Z661&lt;=2000,"",IF($Z661&lt;=4000,IF(N(INDEX(周转筐出入库明细!$H$4:$H$2004,$Z661-2000))=0,"",N(INDEX(周转筐出入库明细!$H$4:$H$2004,$Z661-2000))),IF($Z661&lt;=5200,IF(N(INDEX(客户自备加工筐明细!$F$4:$F$1203,$Z661-4000))=0,"",N(INDEX(客户自备加工筐明细!$F$4:$F$1203,$Z661-4000))),IF($Z661&lt;=5800,"","")))))</f>
        <v/>
      </c>
      <c r="R661" s="16" t="str">
        <f>IF($Z661="","",IF($Z661&lt;=2000,IF(INDEX(包装物料出入库明细!$O$4:$O$2003,$Z661-0)=0,"",INDEX(包装物料出入库明细!$O$4:$O$2003,$Z661-0)),IF($Z661&lt;=4000,IF(INDEX(周转筐出入库明细!$M$4:$M$2004,$Z661-2000)=0,"",INDEX(周转筐出入库明细!$M$4:$M$2004,$Z661-2000)),IF($Z661&lt;=5200,IF(INDEX(客户自备加工筐明细!$H$4:$H$1203,$Z661-4000)=0,"",INDEX(客户自备加工筐明细!$H$4:$H$1203,$Z661-4000)),IF($Z661&lt;=5800,IF(INDEX(次果筐明细!$H$4:$H$603,$Z661-5200)=0,"",INDEX(次果筐明细!$H$4:$H$603,$Z661-5200)),"")))))</f>
        <v/>
      </c>
      <c r="S661" s="22" t="str">
        <f t="shared" si="32"/>
        <v/>
      </c>
      <c r="Z661" s="10" t="str">
        <f>IFERROR(MATCH(ROW()-3,_自动清单!$CQ$4:$CQ$5803,0),"")</f>
        <v/>
      </c>
    </row>
    <row r="662" spans="1:26">
      <c r="A662" s="24" t="str">
        <f t="shared" si="30"/>
        <v/>
      </c>
      <c r="B662" s="38" t="str">
        <f>IF($Z662="","",IF($Z662&lt;=2000,IF(INDEX(包装物料出入库明细!$B$4:$B$2003,$Z662-0)=0,"",INDEX(包装物料出入库明细!$B$4:$B$2003,$Z662-0)),IF($Z662&lt;=4000,IF(INDEX(周转筐出入库明细!$B$4:$B$2004,$Z662-2000)=0,"",INDEX(周转筐出入库明细!$B$4:$B$2004,$Z662-2000)),IF($Z662&lt;=5200,IF(INDEX(客户自备加工筐明细!$B$4:$B$1203,$Z662-4000)=0,"",INDEX(客户自备加工筐明细!$B$4:$B$1203,$Z662-4000)),IF($Z662&lt;=5800,IF(INDEX(次果筐明细!$B$4:$B$603,$Z662-5200)=0,"",INDEX(次果筐明细!$B$4:$B$603,$Z662-5200)),"")))))</f>
        <v/>
      </c>
      <c r="C662" s="37" t="str">
        <f>IF($Z662="","",IF($Z662&lt;=2000,IF(INDEX(包装物料出入库明细!$D$4:$D$2003,$Z662-0)=0,"",INDEX(包装物料出入库明细!$D$4:$D$2003,$Z662-0)),IF($Z662&lt;=4000,IF(INDEX(周转筐出入库明细!$C$4:$C$2004,$Z662-2000)=0,"",INDEX(周转筐出入库明细!$C$4:$C$2004,$Z662-2000)),IF($Z662&lt;=5200,IF(INDEX(客户自备加工筐明细!$E$4:$E$1203,$Z662-4000)=0,"",INDEX(客户自备加工筐明细!$E$4:$E$1203,$Z662-4000)),IF($Z662&lt;=5800,IF(INDEX(次果筐明细!$C$4:$C$603,$Z662-5200)=0,"",INDEX(次果筐明细!$C$4:$C$603,$Z662-5200)),"")))))</f>
        <v/>
      </c>
      <c r="D662" s="37" t="str">
        <f>IF($Z662="","",IF($Z662&lt;=2000,"包装物料－"&amp;INDEX(包装物料出入库明细!$H$4:$H$2003,$Z662-0),IF($Z662&lt;=4000,"周转筐－"&amp;INDEX(周转筐出入库明细!$F$4:$F$2004,$Z662-2000),IF($Z662&lt;=5200,"客户自备筐－"&amp;INDEX(客户自备加工筐明细!$J$4:$J$1203,$Z662-4000),IF($Z662&lt;=5800,"次果筐/托盘－"&amp;INDEX(次果筐明细!$F$4:$F$603,$Z662-5200),"")))))</f>
        <v/>
      </c>
      <c r="E662" s="24" t="str">
        <f>IF($Z662="","",IF($Z662&lt;=2000,IF(INDEX(包装物料出入库明细!$C$4:$C$2003,$Z662-0)=0,"",INDEX(包装物料出入库明细!$C$4:$C$2003,$Z662-0)),IF($Z662&lt;=4000,IF(INDEX(周转筐出入库明细!$E$4:$E$2004,$Z662-2000)=0,"",INDEX(周转筐出入库明细!$E$4:$E$2004,$Z662-2000)),IF($Z662&lt;=5200,IF(INDEX(客户自备加工筐明细!$D$4:$D$1203,$Z662-4000)=0,"",INDEX(客户自备加工筐明细!$D$4:$D$1203,$Z662-4000)),IF($Z662&lt;=5800,IF(INDEX(次果筐明细!$E$4:$E$603,$Z662-5200)=0,"",INDEX(次果筐明细!$E$4:$E$603,$Z662-5200)),"")))))</f>
        <v/>
      </c>
      <c r="F662" s="24" t="str">
        <f>IF($Z662="","",IF($Z662&lt;=2000,IF(INDEX(包装物料出入库明细!$E$4:$E$2003,$Z662-0)=0,"",INDEX(包装物料出入库明细!$E$4:$E$2003,$Z662-0)),IF($Z662&lt;=4000,IF(INDEX(周转筐出入库明细!$D$4:$D$2004,$Z662-2000)=0,"",INDEX(周转筐出入库明细!$D$4:$D$2004,$Z662-2000)),IF($Z662&lt;=5200,IF(INDEX(客户自备加工筐明细!$C$4:$C$1203,$Z662-4000)=0,"",INDEX(客户自备加工筐明细!$C$4:$C$1203,$Z662-4000)),IF($Z662&lt;=5800,IF(INDEX(次果筐明细!$D$4:$D$603,$Z662-5200)=0,"",INDEX(次果筐明细!$D$4:$D$603,$Z662-5200)),"")))))</f>
        <v/>
      </c>
      <c r="G662" s="24" t="str">
        <f>IF($Z662="","",IF($Z662&lt;=2000,IF(INDEX(包装物料出入库明细!$F$4:$F$2003,$Z662-0)=0,"",INDEX(包装物料出入库明细!$F$4:$F$2003,$Z662-0)),IF($Z662&lt;=4000,"",IF($Z662&lt;=5200,"",IF($Z662&lt;=5800,"","")))))</f>
        <v/>
      </c>
      <c r="H662" s="39" t="str">
        <f>IF($Z662="","",IF($Z662&lt;=2000,IF(INDEX(包装物料出入库明细!$L$4:$L$2003,$Z662-0)=0,"",INDEX(包装物料出入库明细!$L$4:$L$2003,$Z662-0)),IF($Z662&lt;=4000,N(INDEX(周转筐出入库明细!$H$4:$H$2004,$Z662-2000))+N(INDEX(周转筐出入库明细!$I$4:$I$2004,$Z662-2000))+N(INDEX(周转筐出入库明细!$J$4:$J$2004,$Z662-2000))+N(INDEX(周转筐出入库明细!$K$4:$K$2004,$Z662-2000)),IF($Z662&lt;=5200,N(INDEX(客户自备加工筐明细!$F$4:$F$1203,$Z662-4000))+N(INDEX(客户自备加工筐明细!$G$4:$G$1203,$Z662-4000)),IF($Z662&lt;=5800,IF(INDEX(次果筐明细!$G$4:$G$603,$Z662-5200)=0,"",INDEX(次果筐明细!$G$4:$G$603,$Z662-5200)),"")))))</f>
        <v/>
      </c>
      <c r="I662" s="24" t="str">
        <f>IF($Z662="","",IF($Z662&lt;=2000,IF(INDEX(包装物料出入库明细!$G$4:$G$2003,$Z662-0)=0,"",INDEX(包装物料出入库明细!$G$4:$G$2003,$Z662-0)),IF($Z662&lt;=4000,"个",IF($Z662&lt;=5200,"个",IF($Z662&lt;=5800,"个","")))))</f>
        <v/>
      </c>
      <c r="J662" s="30" t="str">
        <f t="shared" si="31"/>
        <v/>
      </c>
      <c r="K662" s="30" t="str">
        <f>IF($Z662="","",IF($Z662&lt;=2000,IF(INDEX(包装物料出入库明细!$N$4:$N$2003,$Z662-0)=0,"",INDEX(包装物料出入库明细!$N$4:$N$2003,$Z662-0)),IF($Z662&lt;=4000,IF(INDEX(周转筐出入库明细!$P$4:$P$2004,$Z662-2000)=0,"",INDEX(周转筐出入库明细!$P$4:$P$2004,$Z662-2000)),IF($Z662&lt;=5200,"",IF($Z662&lt;=5800,N(INDEX(次果筐明细!$L$4:$L$603,$Z662-5200))+N(INDEX(次果筐明细!$J$4:$J$603,$Z662-5200)),"")))))</f>
        <v/>
      </c>
      <c r="L662" s="24" t="str">
        <f>IF($Z662="","",IF($Z662&lt;=2000,IF(INDEX(包装物料出入库明细!$P$4:$P$2003,$Z662-0)=0,"",INDEX(包装物料出入库明细!$P$4:$P$2003,$Z662-0)),IF($Z662&lt;=4000,IF(INDEX(周转筐出入库明细!$Q$4:$Q$2004,$Z662-2000)=0,"",INDEX(周转筐出入库明细!$Q$4:$Q$2004,$Z662-2000)),IF($Z662&lt;=5200,"",IF($Z662&lt;=5800,IF(INDEX(次果筐明细!$M$4:$M$603,$Z662-5200)=0,"",INDEX(次果筐明细!$M$4:$M$603,$Z662-5200)),"")))))</f>
        <v/>
      </c>
      <c r="M662" s="37" t="str">
        <f>IF($Z662="","",IF($Z662&lt;=2000,IF(INDEX(包装物料出入库明细!$R$4:$R$2003,$Z662-0)=0,"",INDEX(包装物料出入库明细!$R$4:$R$2003,$Z662-0)),IF($Z662&lt;=4000,IF(INDEX(周转筐出入库明细!$W$4:$W$2004,$Z662-2000)=0,"",INDEX(周转筐出入库明细!$W$4:$W$2004,$Z662-2000)),IF($Z662&lt;=5200,IF(INDEX(客户自备加工筐明细!$L$4:$L$1203,$Z662-4000)=0,"",INDEX(客户自备加工筐明细!$L$4:$L$1203,$Z662-4000)),IF($Z662&lt;=5800,IF(INDEX(次果筐明细!$P$4:$P$603,$Z662-5200)=0,"",INDEX(次果筐明细!$P$4:$P$603,$Z662-5200)),"")))))</f>
        <v/>
      </c>
      <c r="N662" s="16" t="str">
        <f>IF($Z662="","",IF($Z662&lt;=2000,"",IF($Z662&lt;=4000,IF(INDEX(周转筐出入库明细!$D$4:$D$2004,$Z662-2000)=0,"",INDEX(周转筐出入库明细!$D$4:$D$2004,$Z662-2000)),IF($Z662&lt;=5200,IF(INDEX(客户自备加工筐明细!$C$4:$C$1203,$Z662-4000)=0,"",INDEX(客户自备加工筐明细!$C$4:$C$1203,$Z662-4000)),IF($Z662&lt;=5800,IF(INDEX(次果筐明细!$D$4:$D$603,$Z662-5200)=0,"",INDEX(次果筐明细!$D$4:$D$603,$Z662-5200)),"")))))</f>
        <v/>
      </c>
      <c r="O662" s="40" t="str">
        <f>IF($Z662="","",IF($Z662&lt;=2000,"",IF($Z662&lt;=4000,IF(N(INDEX(周转筐出入库明细!$J$4:$J$2004,$Z662-2000))+N(INDEX(周转筐出入库明细!$K$4:$K$2004,$Z662-2000))=0,"",N(INDEX(周转筐出入库明细!$J$4:$J$2004,$Z662-2000))+N(INDEX(周转筐出入库明细!$K$4:$K$2004,$Z662-2000))),IF($Z662&lt;=5200,IF(N(INDEX(客户自备加工筐明细!$G$4:$G$1203,$Z662-4000))=0,"",N(INDEX(客户自备加工筐明细!$G$4:$G$1203,$Z662-4000))),IF($Z662&lt;=5800,IF(ISNUMBER(SEARCH("退",INDEX(次果筐明细!$F$4:$F$603,$Z662-5200)&amp;"")),"",IF(N(INDEX(次果筐明细!$G$4:$G$603,$Z662-5200))=0,"",N(INDEX(次果筐明细!$G$4:$G$603,$Z662-5200)))),"")))))</f>
        <v/>
      </c>
      <c r="P662" s="40" t="str">
        <f>IF($Z662="","",IF($Z662&lt;=2000,"",IF($Z662&lt;=4000,IF(N(INDEX(周转筐出入库明细!$I$4:$I$2004,$Z662-2000))=0,"",N(INDEX(周转筐出入库明细!$I$4:$I$2004,$Z662-2000))),IF($Z662&lt;=5200,"",IF($Z662&lt;=5800,IF(ISNUMBER(SEARCH("退",INDEX(次果筐明细!$F$4:$F$603,$Z662-5200)&amp;"")),IF(N(INDEX(次果筐明细!$G$4:$G$603,$Z662-5200))=0,"",N(INDEX(次果筐明细!$G$4:$G$603,$Z662-5200))),""),"")))))</f>
        <v/>
      </c>
      <c r="Q662" s="40" t="str">
        <f>IF($Z662="","",IF($Z662&lt;=2000,"",IF($Z662&lt;=4000,IF(N(INDEX(周转筐出入库明细!$H$4:$H$2004,$Z662-2000))=0,"",N(INDEX(周转筐出入库明细!$H$4:$H$2004,$Z662-2000))),IF($Z662&lt;=5200,IF(N(INDEX(客户自备加工筐明细!$F$4:$F$1203,$Z662-4000))=0,"",N(INDEX(客户自备加工筐明细!$F$4:$F$1203,$Z662-4000))),IF($Z662&lt;=5800,"","")))))</f>
        <v/>
      </c>
      <c r="R662" s="16" t="str">
        <f>IF($Z662="","",IF($Z662&lt;=2000,IF(INDEX(包装物料出入库明细!$O$4:$O$2003,$Z662-0)=0,"",INDEX(包装物料出入库明细!$O$4:$O$2003,$Z662-0)),IF($Z662&lt;=4000,IF(INDEX(周转筐出入库明细!$M$4:$M$2004,$Z662-2000)=0,"",INDEX(周转筐出入库明细!$M$4:$M$2004,$Z662-2000)),IF($Z662&lt;=5200,IF(INDEX(客户自备加工筐明细!$H$4:$H$1203,$Z662-4000)=0,"",INDEX(客户自备加工筐明细!$H$4:$H$1203,$Z662-4000)),IF($Z662&lt;=5800,IF(INDEX(次果筐明细!$H$4:$H$603,$Z662-5200)=0,"",INDEX(次果筐明细!$H$4:$H$603,$Z662-5200)),"")))))</f>
        <v/>
      </c>
      <c r="S662" s="22" t="str">
        <f t="shared" si="32"/>
        <v/>
      </c>
      <c r="Z662" s="10" t="str">
        <f>IFERROR(MATCH(ROW()-3,_自动清单!$CQ$4:$CQ$5803,0),"")</f>
        <v/>
      </c>
    </row>
    <row r="663" spans="1:26">
      <c r="A663" s="24" t="str">
        <f t="shared" si="30"/>
        <v/>
      </c>
      <c r="B663" s="38" t="str">
        <f>IF($Z663="","",IF($Z663&lt;=2000,IF(INDEX(包装物料出入库明细!$B$4:$B$2003,$Z663-0)=0,"",INDEX(包装物料出入库明细!$B$4:$B$2003,$Z663-0)),IF($Z663&lt;=4000,IF(INDEX(周转筐出入库明细!$B$4:$B$2004,$Z663-2000)=0,"",INDEX(周转筐出入库明细!$B$4:$B$2004,$Z663-2000)),IF($Z663&lt;=5200,IF(INDEX(客户自备加工筐明细!$B$4:$B$1203,$Z663-4000)=0,"",INDEX(客户自备加工筐明细!$B$4:$B$1203,$Z663-4000)),IF($Z663&lt;=5800,IF(INDEX(次果筐明细!$B$4:$B$603,$Z663-5200)=0,"",INDEX(次果筐明细!$B$4:$B$603,$Z663-5200)),"")))))</f>
        <v/>
      </c>
      <c r="C663" s="37" t="str">
        <f>IF($Z663="","",IF($Z663&lt;=2000,IF(INDEX(包装物料出入库明细!$D$4:$D$2003,$Z663-0)=0,"",INDEX(包装物料出入库明细!$D$4:$D$2003,$Z663-0)),IF($Z663&lt;=4000,IF(INDEX(周转筐出入库明细!$C$4:$C$2004,$Z663-2000)=0,"",INDEX(周转筐出入库明细!$C$4:$C$2004,$Z663-2000)),IF($Z663&lt;=5200,IF(INDEX(客户自备加工筐明细!$E$4:$E$1203,$Z663-4000)=0,"",INDEX(客户自备加工筐明细!$E$4:$E$1203,$Z663-4000)),IF($Z663&lt;=5800,IF(INDEX(次果筐明细!$C$4:$C$603,$Z663-5200)=0,"",INDEX(次果筐明细!$C$4:$C$603,$Z663-5200)),"")))))</f>
        <v/>
      </c>
      <c r="D663" s="37" t="str">
        <f>IF($Z663="","",IF($Z663&lt;=2000,"包装物料－"&amp;INDEX(包装物料出入库明细!$H$4:$H$2003,$Z663-0),IF($Z663&lt;=4000,"周转筐－"&amp;INDEX(周转筐出入库明细!$F$4:$F$2004,$Z663-2000),IF($Z663&lt;=5200,"客户自备筐－"&amp;INDEX(客户自备加工筐明细!$J$4:$J$1203,$Z663-4000),IF($Z663&lt;=5800,"次果筐/托盘－"&amp;INDEX(次果筐明细!$F$4:$F$603,$Z663-5200),"")))))</f>
        <v/>
      </c>
      <c r="E663" s="24" t="str">
        <f>IF($Z663="","",IF($Z663&lt;=2000,IF(INDEX(包装物料出入库明细!$C$4:$C$2003,$Z663-0)=0,"",INDEX(包装物料出入库明细!$C$4:$C$2003,$Z663-0)),IF($Z663&lt;=4000,IF(INDEX(周转筐出入库明细!$E$4:$E$2004,$Z663-2000)=0,"",INDEX(周转筐出入库明细!$E$4:$E$2004,$Z663-2000)),IF($Z663&lt;=5200,IF(INDEX(客户自备加工筐明细!$D$4:$D$1203,$Z663-4000)=0,"",INDEX(客户自备加工筐明细!$D$4:$D$1203,$Z663-4000)),IF($Z663&lt;=5800,IF(INDEX(次果筐明细!$E$4:$E$603,$Z663-5200)=0,"",INDEX(次果筐明细!$E$4:$E$603,$Z663-5200)),"")))))</f>
        <v/>
      </c>
      <c r="F663" s="24" t="str">
        <f>IF($Z663="","",IF($Z663&lt;=2000,IF(INDEX(包装物料出入库明细!$E$4:$E$2003,$Z663-0)=0,"",INDEX(包装物料出入库明细!$E$4:$E$2003,$Z663-0)),IF($Z663&lt;=4000,IF(INDEX(周转筐出入库明细!$D$4:$D$2004,$Z663-2000)=0,"",INDEX(周转筐出入库明细!$D$4:$D$2004,$Z663-2000)),IF($Z663&lt;=5200,IF(INDEX(客户自备加工筐明细!$C$4:$C$1203,$Z663-4000)=0,"",INDEX(客户自备加工筐明细!$C$4:$C$1203,$Z663-4000)),IF($Z663&lt;=5800,IF(INDEX(次果筐明细!$D$4:$D$603,$Z663-5200)=0,"",INDEX(次果筐明细!$D$4:$D$603,$Z663-5200)),"")))))</f>
        <v/>
      </c>
      <c r="G663" s="24" t="str">
        <f>IF($Z663="","",IF($Z663&lt;=2000,IF(INDEX(包装物料出入库明细!$F$4:$F$2003,$Z663-0)=0,"",INDEX(包装物料出入库明细!$F$4:$F$2003,$Z663-0)),IF($Z663&lt;=4000,"",IF($Z663&lt;=5200,"",IF($Z663&lt;=5800,"","")))))</f>
        <v/>
      </c>
      <c r="H663" s="39" t="str">
        <f>IF($Z663="","",IF($Z663&lt;=2000,IF(INDEX(包装物料出入库明细!$L$4:$L$2003,$Z663-0)=0,"",INDEX(包装物料出入库明细!$L$4:$L$2003,$Z663-0)),IF($Z663&lt;=4000,N(INDEX(周转筐出入库明细!$H$4:$H$2004,$Z663-2000))+N(INDEX(周转筐出入库明细!$I$4:$I$2004,$Z663-2000))+N(INDEX(周转筐出入库明细!$J$4:$J$2004,$Z663-2000))+N(INDEX(周转筐出入库明细!$K$4:$K$2004,$Z663-2000)),IF($Z663&lt;=5200,N(INDEX(客户自备加工筐明细!$F$4:$F$1203,$Z663-4000))+N(INDEX(客户自备加工筐明细!$G$4:$G$1203,$Z663-4000)),IF($Z663&lt;=5800,IF(INDEX(次果筐明细!$G$4:$G$603,$Z663-5200)=0,"",INDEX(次果筐明细!$G$4:$G$603,$Z663-5200)),"")))))</f>
        <v/>
      </c>
      <c r="I663" s="24" t="str">
        <f>IF($Z663="","",IF($Z663&lt;=2000,IF(INDEX(包装物料出入库明细!$G$4:$G$2003,$Z663-0)=0,"",INDEX(包装物料出入库明细!$G$4:$G$2003,$Z663-0)),IF($Z663&lt;=4000,"个",IF($Z663&lt;=5200,"个",IF($Z663&lt;=5800,"个","")))))</f>
        <v/>
      </c>
      <c r="J663" s="30" t="str">
        <f t="shared" si="31"/>
        <v/>
      </c>
      <c r="K663" s="30" t="str">
        <f>IF($Z663="","",IF($Z663&lt;=2000,IF(INDEX(包装物料出入库明细!$N$4:$N$2003,$Z663-0)=0,"",INDEX(包装物料出入库明细!$N$4:$N$2003,$Z663-0)),IF($Z663&lt;=4000,IF(INDEX(周转筐出入库明细!$P$4:$P$2004,$Z663-2000)=0,"",INDEX(周转筐出入库明细!$P$4:$P$2004,$Z663-2000)),IF($Z663&lt;=5200,"",IF($Z663&lt;=5800,N(INDEX(次果筐明细!$L$4:$L$603,$Z663-5200))+N(INDEX(次果筐明细!$J$4:$J$603,$Z663-5200)),"")))))</f>
        <v/>
      </c>
      <c r="L663" s="24" t="str">
        <f>IF($Z663="","",IF($Z663&lt;=2000,IF(INDEX(包装物料出入库明细!$P$4:$P$2003,$Z663-0)=0,"",INDEX(包装物料出入库明细!$P$4:$P$2003,$Z663-0)),IF($Z663&lt;=4000,IF(INDEX(周转筐出入库明细!$Q$4:$Q$2004,$Z663-2000)=0,"",INDEX(周转筐出入库明细!$Q$4:$Q$2004,$Z663-2000)),IF($Z663&lt;=5200,"",IF($Z663&lt;=5800,IF(INDEX(次果筐明细!$M$4:$M$603,$Z663-5200)=0,"",INDEX(次果筐明细!$M$4:$M$603,$Z663-5200)),"")))))</f>
        <v/>
      </c>
      <c r="M663" s="37" t="str">
        <f>IF($Z663="","",IF($Z663&lt;=2000,IF(INDEX(包装物料出入库明细!$R$4:$R$2003,$Z663-0)=0,"",INDEX(包装物料出入库明细!$R$4:$R$2003,$Z663-0)),IF($Z663&lt;=4000,IF(INDEX(周转筐出入库明细!$W$4:$W$2004,$Z663-2000)=0,"",INDEX(周转筐出入库明细!$W$4:$W$2004,$Z663-2000)),IF($Z663&lt;=5200,IF(INDEX(客户自备加工筐明细!$L$4:$L$1203,$Z663-4000)=0,"",INDEX(客户自备加工筐明细!$L$4:$L$1203,$Z663-4000)),IF($Z663&lt;=5800,IF(INDEX(次果筐明细!$P$4:$P$603,$Z663-5200)=0,"",INDEX(次果筐明细!$P$4:$P$603,$Z663-5200)),"")))))</f>
        <v/>
      </c>
      <c r="N663" s="16" t="str">
        <f>IF($Z663="","",IF($Z663&lt;=2000,"",IF($Z663&lt;=4000,IF(INDEX(周转筐出入库明细!$D$4:$D$2004,$Z663-2000)=0,"",INDEX(周转筐出入库明细!$D$4:$D$2004,$Z663-2000)),IF($Z663&lt;=5200,IF(INDEX(客户自备加工筐明细!$C$4:$C$1203,$Z663-4000)=0,"",INDEX(客户自备加工筐明细!$C$4:$C$1203,$Z663-4000)),IF($Z663&lt;=5800,IF(INDEX(次果筐明细!$D$4:$D$603,$Z663-5200)=0,"",INDEX(次果筐明细!$D$4:$D$603,$Z663-5200)),"")))))</f>
        <v/>
      </c>
      <c r="O663" s="40" t="str">
        <f>IF($Z663="","",IF($Z663&lt;=2000,"",IF($Z663&lt;=4000,IF(N(INDEX(周转筐出入库明细!$J$4:$J$2004,$Z663-2000))+N(INDEX(周转筐出入库明细!$K$4:$K$2004,$Z663-2000))=0,"",N(INDEX(周转筐出入库明细!$J$4:$J$2004,$Z663-2000))+N(INDEX(周转筐出入库明细!$K$4:$K$2004,$Z663-2000))),IF($Z663&lt;=5200,IF(N(INDEX(客户自备加工筐明细!$G$4:$G$1203,$Z663-4000))=0,"",N(INDEX(客户自备加工筐明细!$G$4:$G$1203,$Z663-4000))),IF($Z663&lt;=5800,IF(ISNUMBER(SEARCH("退",INDEX(次果筐明细!$F$4:$F$603,$Z663-5200)&amp;"")),"",IF(N(INDEX(次果筐明细!$G$4:$G$603,$Z663-5200))=0,"",N(INDEX(次果筐明细!$G$4:$G$603,$Z663-5200)))),"")))))</f>
        <v/>
      </c>
      <c r="P663" s="40" t="str">
        <f>IF($Z663="","",IF($Z663&lt;=2000,"",IF($Z663&lt;=4000,IF(N(INDEX(周转筐出入库明细!$I$4:$I$2004,$Z663-2000))=0,"",N(INDEX(周转筐出入库明细!$I$4:$I$2004,$Z663-2000))),IF($Z663&lt;=5200,"",IF($Z663&lt;=5800,IF(ISNUMBER(SEARCH("退",INDEX(次果筐明细!$F$4:$F$603,$Z663-5200)&amp;"")),IF(N(INDEX(次果筐明细!$G$4:$G$603,$Z663-5200))=0,"",N(INDEX(次果筐明细!$G$4:$G$603,$Z663-5200))),""),"")))))</f>
        <v/>
      </c>
      <c r="Q663" s="40" t="str">
        <f>IF($Z663="","",IF($Z663&lt;=2000,"",IF($Z663&lt;=4000,IF(N(INDEX(周转筐出入库明细!$H$4:$H$2004,$Z663-2000))=0,"",N(INDEX(周转筐出入库明细!$H$4:$H$2004,$Z663-2000))),IF($Z663&lt;=5200,IF(N(INDEX(客户自备加工筐明细!$F$4:$F$1203,$Z663-4000))=0,"",N(INDEX(客户自备加工筐明细!$F$4:$F$1203,$Z663-4000))),IF($Z663&lt;=5800,"","")))))</f>
        <v/>
      </c>
      <c r="R663" s="16" t="str">
        <f>IF($Z663="","",IF($Z663&lt;=2000,IF(INDEX(包装物料出入库明细!$O$4:$O$2003,$Z663-0)=0,"",INDEX(包装物料出入库明细!$O$4:$O$2003,$Z663-0)),IF($Z663&lt;=4000,IF(INDEX(周转筐出入库明细!$M$4:$M$2004,$Z663-2000)=0,"",INDEX(周转筐出入库明细!$M$4:$M$2004,$Z663-2000)),IF($Z663&lt;=5200,IF(INDEX(客户自备加工筐明细!$H$4:$H$1203,$Z663-4000)=0,"",INDEX(客户自备加工筐明细!$H$4:$H$1203,$Z663-4000)),IF($Z663&lt;=5800,IF(INDEX(次果筐明细!$H$4:$H$603,$Z663-5200)=0,"",INDEX(次果筐明细!$H$4:$H$603,$Z663-5200)),"")))))</f>
        <v/>
      </c>
      <c r="S663" s="22" t="str">
        <f t="shared" si="32"/>
        <v/>
      </c>
      <c r="Z663" s="10" t="str">
        <f>IFERROR(MATCH(ROW()-3,_自动清单!$CQ$4:$CQ$5803,0),"")</f>
        <v/>
      </c>
    </row>
    <row r="664" spans="1:26">
      <c r="A664" s="24" t="str">
        <f t="shared" si="30"/>
        <v/>
      </c>
      <c r="B664" s="38" t="str">
        <f>IF($Z664="","",IF($Z664&lt;=2000,IF(INDEX(包装物料出入库明细!$B$4:$B$2003,$Z664-0)=0,"",INDEX(包装物料出入库明细!$B$4:$B$2003,$Z664-0)),IF($Z664&lt;=4000,IF(INDEX(周转筐出入库明细!$B$4:$B$2004,$Z664-2000)=0,"",INDEX(周转筐出入库明细!$B$4:$B$2004,$Z664-2000)),IF($Z664&lt;=5200,IF(INDEX(客户自备加工筐明细!$B$4:$B$1203,$Z664-4000)=0,"",INDEX(客户自备加工筐明细!$B$4:$B$1203,$Z664-4000)),IF($Z664&lt;=5800,IF(INDEX(次果筐明细!$B$4:$B$603,$Z664-5200)=0,"",INDEX(次果筐明细!$B$4:$B$603,$Z664-5200)),"")))))</f>
        <v/>
      </c>
      <c r="C664" s="37" t="str">
        <f>IF($Z664="","",IF($Z664&lt;=2000,IF(INDEX(包装物料出入库明细!$D$4:$D$2003,$Z664-0)=0,"",INDEX(包装物料出入库明细!$D$4:$D$2003,$Z664-0)),IF($Z664&lt;=4000,IF(INDEX(周转筐出入库明细!$C$4:$C$2004,$Z664-2000)=0,"",INDEX(周转筐出入库明细!$C$4:$C$2004,$Z664-2000)),IF($Z664&lt;=5200,IF(INDEX(客户自备加工筐明细!$E$4:$E$1203,$Z664-4000)=0,"",INDEX(客户自备加工筐明细!$E$4:$E$1203,$Z664-4000)),IF($Z664&lt;=5800,IF(INDEX(次果筐明细!$C$4:$C$603,$Z664-5200)=0,"",INDEX(次果筐明细!$C$4:$C$603,$Z664-5200)),"")))))</f>
        <v/>
      </c>
      <c r="D664" s="37" t="str">
        <f>IF($Z664="","",IF($Z664&lt;=2000,"包装物料－"&amp;INDEX(包装物料出入库明细!$H$4:$H$2003,$Z664-0),IF($Z664&lt;=4000,"周转筐－"&amp;INDEX(周转筐出入库明细!$F$4:$F$2004,$Z664-2000),IF($Z664&lt;=5200,"客户自备筐－"&amp;INDEX(客户自备加工筐明细!$J$4:$J$1203,$Z664-4000),IF($Z664&lt;=5800,"次果筐/托盘－"&amp;INDEX(次果筐明细!$F$4:$F$603,$Z664-5200),"")))))</f>
        <v/>
      </c>
      <c r="E664" s="24" t="str">
        <f>IF($Z664="","",IF($Z664&lt;=2000,IF(INDEX(包装物料出入库明细!$C$4:$C$2003,$Z664-0)=0,"",INDEX(包装物料出入库明细!$C$4:$C$2003,$Z664-0)),IF($Z664&lt;=4000,IF(INDEX(周转筐出入库明细!$E$4:$E$2004,$Z664-2000)=0,"",INDEX(周转筐出入库明细!$E$4:$E$2004,$Z664-2000)),IF($Z664&lt;=5200,IF(INDEX(客户自备加工筐明细!$D$4:$D$1203,$Z664-4000)=0,"",INDEX(客户自备加工筐明细!$D$4:$D$1203,$Z664-4000)),IF($Z664&lt;=5800,IF(INDEX(次果筐明细!$E$4:$E$603,$Z664-5200)=0,"",INDEX(次果筐明细!$E$4:$E$603,$Z664-5200)),"")))))</f>
        <v/>
      </c>
      <c r="F664" s="24" t="str">
        <f>IF($Z664="","",IF($Z664&lt;=2000,IF(INDEX(包装物料出入库明细!$E$4:$E$2003,$Z664-0)=0,"",INDEX(包装物料出入库明细!$E$4:$E$2003,$Z664-0)),IF($Z664&lt;=4000,IF(INDEX(周转筐出入库明细!$D$4:$D$2004,$Z664-2000)=0,"",INDEX(周转筐出入库明细!$D$4:$D$2004,$Z664-2000)),IF($Z664&lt;=5200,IF(INDEX(客户自备加工筐明细!$C$4:$C$1203,$Z664-4000)=0,"",INDEX(客户自备加工筐明细!$C$4:$C$1203,$Z664-4000)),IF($Z664&lt;=5800,IF(INDEX(次果筐明细!$D$4:$D$603,$Z664-5200)=0,"",INDEX(次果筐明细!$D$4:$D$603,$Z664-5200)),"")))))</f>
        <v/>
      </c>
      <c r="G664" s="24" t="str">
        <f>IF($Z664="","",IF($Z664&lt;=2000,IF(INDEX(包装物料出入库明细!$F$4:$F$2003,$Z664-0)=0,"",INDEX(包装物料出入库明细!$F$4:$F$2003,$Z664-0)),IF($Z664&lt;=4000,"",IF($Z664&lt;=5200,"",IF($Z664&lt;=5800,"","")))))</f>
        <v/>
      </c>
      <c r="H664" s="39" t="str">
        <f>IF($Z664="","",IF($Z664&lt;=2000,IF(INDEX(包装物料出入库明细!$L$4:$L$2003,$Z664-0)=0,"",INDEX(包装物料出入库明细!$L$4:$L$2003,$Z664-0)),IF($Z664&lt;=4000,N(INDEX(周转筐出入库明细!$H$4:$H$2004,$Z664-2000))+N(INDEX(周转筐出入库明细!$I$4:$I$2004,$Z664-2000))+N(INDEX(周转筐出入库明细!$J$4:$J$2004,$Z664-2000))+N(INDEX(周转筐出入库明细!$K$4:$K$2004,$Z664-2000)),IF($Z664&lt;=5200,N(INDEX(客户自备加工筐明细!$F$4:$F$1203,$Z664-4000))+N(INDEX(客户自备加工筐明细!$G$4:$G$1203,$Z664-4000)),IF($Z664&lt;=5800,IF(INDEX(次果筐明细!$G$4:$G$603,$Z664-5200)=0,"",INDEX(次果筐明细!$G$4:$G$603,$Z664-5200)),"")))))</f>
        <v/>
      </c>
      <c r="I664" s="24" t="str">
        <f>IF($Z664="","",IF($Z664&lt;=2000,IF(INDEX(包装物料出入库明细!$G$4:$G$2003,$Z664-0)=0,"",INDEX(包装物料出入库明细!$G$4:$G$2003,$Z664-0)),IF($Z664&lt;=4000,"个",IF($Z664&lt;=5200,"个",IF($Z664&lt;=5800,"个","")))))</f>
        <v/>
      </c>
      <c r="J664" s="30" t="str">
        <f t="shared" si="31"/>
        <v/>
      </c>
      <c r="K664" s="30" t="str">
        <f>IF($Z664="","",IF($Z664&lt;=2000,IF(INDEX(包装物料出入库明细!$N$4:$N$2003,$Z664-0)=0,"",INDEX(包装物料出入库明细!$N$4:$N$2003,$Z664-0)),IF($Z664&lt;=4000,IF(INDEX(周转筐出入库明细!$P$4:$P$2004,$Z664-2000)=0,"",INDEX(周转筐出入库明细!$P$4:$P$2004,$Z664-2000)),IF($Z664&lt;=5200,"",IF($Z664&lt;=5800,N(INDEX(次果筐明细!$L$4:$L$603,$Z664-5200))+N(INDEX(次果筐明细!$J$4:$J$603,$Z664-5200)),"")))))</f>
        <v/>
      </c>
      <c r="L664" s="24" t="str">
        <f>IF($Z664="","",IF($Z664&lt;=2000,IF(INDEX(包装物料出入库明细!$P$4:$P$2003,$Z664-0)=0,"",INDEX(包装物料出入库明细!$P$4:$P$2003,$Z664-0)),IF($Z664&lt;=4000,IF(INDEX(周转筐出入库明细!$Q$4:$Q$2004,$Z664-2000)=0,"",INDEX(周转筐出入库明细!$Q$4:$Q$2004,$Z664-2000)),IF($Z664&lt;=5200,"",IF($Z664&lt;=5800,IF(INDEX(次果筐明细!$M$4:$M$603,$Z664-5200)=0,"",INDEX(次果筐明细!$M$4:$M$603,$Z664-5200)),"")))))</f>
        <v/>
      </c>
      <c r="M664" s="37" t="str">
        <f>IF($Z664="","",IF($Z664&lt;=2000,IF(INDEX(包装物料出入库明细!$R$4:$R$2003,$Z664-0)=0,"",INDEX(包装物料出入库明细!$R$4:$R$2003,$Z664-0)),IF($Z664&lt;=4000,IF(INDEX(周转筐出入库明细!$W$4:$W$2004,$Z664-2000)=0,"",INDEX(周转筐出入库明细!$W$4:$W$2004,$Z664-2000)),IF($Z664&lt;=5200,IF(INDEX(客户自备加工筐明细!$L$4:$L$1203,$Z664-4000)=0,"",INDEX(客户自备加工筐明细!$L$4:$L$1203,$Z664-4000)),IF($Z664&lt;=5800,IF(INDEX(次果筐明细!$P$4:$P$603,$Z664-5200)=0,"",INDEX(次果筐明细!$P$4:$P$603,$Z664-5200)),"")))))</f>
        <v/>
      </c>
      <c r="N664" s="16" t="str">
        <f>IF($Z664="","",IF($Z664&lt;=2000,"",IF($Z664&lt;=4000,IF(INDEX(周转筐出入库明细!$D$4:$D$2004,$Z664-2000)=0,"",INDEX(周转筐出入库明细!$D$4:$D$2004,$Z664-2000)),IF($Z664&lt;=5200,IF(INDEX(客户自备加工筐明细!$C$4:$C$1203,$Z664-4000)=0,"",INDEX(客户自备加工筐明细!$C$4:$C$1203,$Z664-4000)),IF($Z664&lt;=5800,IF(INDEX(次果筐明细!$D$4:$D$603,$Z664-5200)=0,"",INDEX(次果筐明细!$D$4:$D$603,$Z664-5200)),"")))))</f>
        <v/>
      </c>
      <c r="O664" s="40" t="str">
        <f>IF($Z664="","",IF($Z664&lt;=2000,"",IF($Z664&lt;=4000,IF(N(INDEX(周转筐出入库明细!$J$4:$J$2004,$Z664-2000))+N(INDEX(周转筐出入库明细!$K$4:$K$2004,$Z664-2000))=0,"",N(INDEX(周转筐出入库明细!$J$4:$J$2004,$Z664-2000))+N(INDEX(周转筐出入库明细!$K$4:$K$2004,$Z664-2000))),IF($Z664&lt;=5200,IF(N(INDEX(客户自备加工筐明细!$G$4:$G$1203,$Z664-4000))=0,"",N(INDEX(客户自备加工筐明细!$G$4:$G$1203,$Z664-4000))),IF($Z664&lt;=5800,IF(ISNUMBER(SEARCH("退",INDEX(次果筐明细!$F$4:$F$603,$Z664-5200)&amp;"")),"",IF(N(INDEX(次果筐明细!$G$4:$G$603,$Z664-5200))=0,"",N(INDEX(次果筐明细!$G$4:$G$603,$Z664-5200)))),"")))))</f>
        <v/>
      </c>
      <c r="P664" s="40" t="str">
        <f>IF($Z664="","",IF($Z664&lt;=2000,"",IF($Z664&lt;=4000,IF(N(INDEX(周转筐出入库明细!$I$4:$I$2004,$Z664-2000))=0,"",N(INDEX(周转筐出入库明细!$I$4:$I$2004,$Z664-2000))),IF($Z664&lt;=5200,"",IF($Z664&lt;=5800,IF(ISNUMBER(SEARCH("退",INDEX(次果筐明细!$F$4:$F$603,$Z664-5200)&amp;"")),IF(N(INDEX(次果筐明细!$G$4:$G$603,$Z664-5200))=0,"",N(INDEX(次果筐明细!$G$4:$G$603,$Z664-5200))),""),"")))))</f>
        <v/>
      </c>
      <c r="Q664" s="40" t="str">
        <f>IF($Z664="","",IF($Z664&lt;=2000,"",IF($Z664&lt;=4000,IF(N(INDEX(周转筐出入库明细!$H$4:$H$2004,$Z664-2000))=0,"",N(INDEX(周转筐出入库明细!$H$4:$H$2004,$Z664-2000))),IF($Z664&lt;=5200,IF(N(INDEX(客户自备加工筐明细!$F$4:$F$1203,$Z664-4000))=0,"",N(INDEX(客户自备加工筐明细!$F$4:$F$1203,$Z664-4000))),IF($Z664&lt;=5800,"","")))))</f>
        <v/>
      </c>
      <c r="R664" s="16" t="str">
        <f>IF($Z664="","",IF($Z664&lt;=2000,IF(INDEX(包装物料出入库明细!$O$4:$O$2003,$Z664-0)=0,"",INDEX(包装物料出入库明细!$O$4:$O$2003,$Z664-0)),IF($Z664&lt;=4000,IF(INDEX(周转筐出入库明细!$M$4:$M$2004,$Z664-2000)=0,"",INDEX(周转筐出入库明细!$M$4:$M$2004,$Z664-2000)),IF($Z664&lt;=5200,IF(INDEX(客户自备加工筐明细!$H$4:$H$1203,$Z664-4000)=0,"",INDEX(客户自备加工筐明细!$H$4:$H$1203,$Z664-4000)),IF($Z664&lt;=5800,IF(INDEX(次果筐明细!$H$4:$H$603,$Z664-5200)=0,"",INDEX(次果筐明细!$H$4:$H$603,$Z664-5200)),"")))))</f>
        <v/>
      </c>
      <c r="S664" s="22" t="str">
        <f t="shared" si="32"/>
        <v/>
      </c>
      <c r="Z664" s="10" t="str">
        <f>IFERROR(MATCH(ROW()-3,_自动清单!$CQ$4:$CQ$5803,0),"")</f>
        <v/>
      </c>
    </row>
    <row r="665" spans="1:26">
      <c r="A665" s="24" t="str">
        <f t="shared" si="30"/>
        <v/>
      </c>
      <c r="B665" s="38" t="str">
        <f>IF($Z665="","",IF($Z665&lt;=2000,IF(INDEX(包装物料出入库明细!$B$4:$B$2003,$Z665-0)=0,"",INDEX(包装物料出入库明细!$B$4:$B$2003,$Z665-0)),IF($Z665&lt;=4000,IF(INDEX(周转筐出入库明细!$B$4:$B$2004,$Z665-2000)=0,"",INDEX(周转筐出入库明细!$B$4:$B$2004,$Z665-2000)),IF($Z665&lt;=5200,IF(INDEX(客户自备加工筐明细!$B$4:$B$1203,$Z665-4000)=0,"",INDEX(客户自备加工筐明细!$B$4:$B$1203,$Z665-4000)),IF($Z665&lt;=5800,IF(INDEX(次果筐明细!$B$4:$B$603,$Z665-5200)=0,"",INDEX(次果筐明细!$B$4:$B$603,$Z665-5200)),"")))))</f>
        <v/>
      </c>
      <c r="C665" s="37" t="str">
        <f>IF($Z665="","",IF($Z665&lt;=2000,IF(INDEX(包装物料出入库明细!$D$4:$D$2003,$Z665-0)=0,"",INDEX(包装物料出入库明细!$D$4:$D$2003,$Z665-0)),IF($Z665&lt;=4000,IF(INDEX(周转筐出入库明细!$C$4:$C$2004,$Z665-2000)=0,"",INDEX(周转筐出入库明细!$C$4:$C$2004,$Z665-2000)),IF($Z665&lt;=5200,IF(INDEX(客户自备加工筐明细!$E$4:$E$1203,$Z665-4000)=0,"",INDEX(客户自备加工筐明细!$E$4:$E$1203,$Z665-4000)),IF($Z665&lt;=5800,IF(INDEX(次果筐明细!$C$4:$C$603,$Z665-5200)=0,"",INDEX(次果筐明细!$C$4:$C$603,$Z665-5200)),"")))))</f>
        <v/>
      </c>
      <c r="D665" s="37" t="str">
        <f>IF($Z665="","",IF($Z665&lt;=2000,"包装物料－"&amp;INDEX(包装物料出入库明细!$H$4:$H$2003,$Z665-0),IF($Z665&lt;=4000,"周转筐－"&amp;INDEX(周转筐出入库明细!$F$4:$F$2004,$Z665-2000),IF($Z665&lt;=5200,"客户自备筐－"&amp;INDEX(客户自备加工筐明细!$J$4:$J$1203,$Z665-4000),IF($Z665&lt;=5800,"次果筐/托盘－"&amp;INDEX(次果筐明细!$F$4:$F$603,$Z665-5200),"")))))</f>
        <v/>
      </c>
      <c r="E665" s="24" t="str">
        <f>IF($Z665="","",IF($Z665&lt;=2000,IF(INDEX(包装物料出入库明细!$C$4:$C$2003,$Z665-0)=0,"",INDEX(包装物料出入库明细!$C$4:$C$2003,$Z665-0)),IF($Z665&lt;=4000,IF(INDEX(周转筐出入库明细!$E$4:$E$2004,$Z665-2000)=0,"",INDEX(周转筐出入库明细!$E$4:$E$2004,$Z665-2000)),IF($Z665&lt;=5200,IF(INDEX(客户自备加工筐明细!$D$4:$D$1203,$Z665-4000)=0,"",INDEX(客户自备加工筐明细!$D$4:$D$1203,$Z665-4000)),IF($Z665&lt;=5800,IF(INDEX(次果筐明细!$E$4:$E$603,$Z665-5200)=0,"",INDEX(次果筐明细!$E$4:$E$603,$Z665-5200)),"")))))</f>
        <v/>
      </c>
      <c r="F665" s="24" t="str">
        <f>IF($Z665="","",IF($Z665&lt;=2000,IF(INDEX(包装物料出入库明细!$E$4:$E$2003,$Z665-0)=0,"",INDEX(包装物料出入库明细!$E$4:$E$2003,$Z665-0)),IF($Z665&lt;=4000,IF(INDEX(周转筐出入库明细!$D$4:$D$2004,$Z665-2000)=0,"",INDEX(周转筐出入库明细!$D$4:$D$2004,$Z665-2000)),IF($Z665&lt;=5200,IF(INDEX(客户自备加工筐明细!$C$4:$C$1203,$Z665-4000)=0,"",INDEX(客户自备加工筐明细!$C$4:$C$1203,$Z665-4000)),IF($Z665&lt;=5800,IF(INDEX(次果筐明细!$D$4:$D$603,$Z665-5200)=0,"",INDEX(次果筐明细!$D$4:$D$603,$Z665-5200)),"")))))</f>
        <v/>
      </c>
      <c r="G665" s="24" t="str">
        <f>IF($Z665="","",IF($Z665&lt;=2000,IF(INDEX(包装物料出入库明细!$F$4:$F$2003,$Z665-0)=0,"",INDEX(包装物料出入库明细!$F$4:$F$2003,$Z665-0)),IF($Z665&lt;=4000,"",IF($Z665&lt;=5200,"",IF($Z665&lt;=5800,"","")))))</f>
        <v/>
      </c>
      <c r="H665" s="39" t="str">
        <f>IF($Z665="","",IF($Z665&lt;=2000,IF(INDEX(包装物料出入库明细!$L$4:$L$2003,$Z665-0)=0,"",INDEX(包装物料出入库明细!$L$4:$L$2003,$Z665-0)),IF($Z665&lt;=4000,N(INDEX(周转筐出入库明细!$H$4:$H$2004,$Z665-2000))+N(INDEX(周转筐出入库明细!$I$4:$I$2004,$Z665-2000))+N(INDEX(周转筐出入库明细!$J$4:$J$2004,$Z665-2000))+N(INDEX(周转筐出入库明细!$K$4:$K$2004,$Z665-2000)),IF($Z665&lt;=5200,N(INDEX(客户自备加工筐明细!$F$4:$F$1203,$Z665-4000))+N(INDEX(客户自备加工筐明细!$G$4:$G$1203,$Z665-4000)),IF($Z665&lt;=5800,IF(INDEX(次果筐明细!$G$4:$G$603,$Z665-5200)=0,"",INDEX(次果筐明细!$G$4:$G$603,$Z665-5200)),"")))))</f>
        <v/>
      </c>
      <c r="I665" s="24" t="str">
        <f>IF($Z665="","",IF($Z665&lt;=2000,IF(INDEX(包装物料出入库明细!$G$4:$G$2003,$Z665-0)=0,"",INDEX(包装物料出入库明细!$G$4:$G$2003,$Z665-0)),IF($Z665&lt;=4000,"个",IF($Z665&lt;=5200,"个",IF($Z665&lt;=5800,"个","")))))</f>
        <v/>
      </c>
      <c r="J665" s="30" t="str">
        <f t="shared" si="31"/>
        <v/>
      </c>
      <c r="K665" s="30" t="str">
        <f>IF($Z665="","",IF($Z665&lt;=2000,IF(INDEX(包装物料出入库明细!$N$4:$N$2003,$Z665-0)=0,"",INDEX(包装物料出入库明细!$N$4:$N$2003,$Z665-0)),IF($Z665&lt;=4000,IF(INDEX(周转筐出入库明细!$P$4:$P$2004,$Z665-2000)=0,"",INDEX(周转筐出入库明细!$P$4:$P$2004,$Z665-2000)),IF($Z665&lt;=5200,"",IF($Z665&lt;=5800,N(INDEX(次果筐明细!$L$4:$L$603,$Z665-5200))+N(INDEX(次果筐明细!$J$4:$J$603,$Z665-5200)),"")))))</f>
        <v/>
      </c>
      <c r="L665" s="24" t="str">
        <f>IF($Z665="","",IF($Z665&lt;=2000,IF(INDEX(包装物料出入库明细!$P$4:$P$2003,$Z665-0)=0,"",INDEX(包装物料出入库明细!$P$4:$P$2003,$Z665-0)),IF($Z665&lt;=4000,IF(INDEX(周转筐出入库明细!$Q$4:$Q$2004,$Z665-2000)=0,"",INDEX(周转筐出入库明细!$Q$4:$Q$2004,$Z665-2000)),IF($Z665&lt;=5200,"",IF($Z665&lt;=5800,IF(INDEX(次果筐明细!$M$4:$M$603,$Z665-5200)=0,"",INDEX(次果筐明细!$M$4:$M$603,$Z665-5200)),"")))))</f>
        <v/>
      </c>
      <c r="M665" s="37" t="str">
        <f>IF($Z665="","",IF($Z665&lt;=2000,IF(INDEX(包装物料出入库明细!$R$4:$R$2003,$Z665-0)=0,"",INDEX(包装物料出入库明细!$R$4:$R$2003,$Z665-0)),IF($Z665&lt;=4000,IF(INDEX(周转筐出入库明细!$W$4:$W$2004,$Z665-2000)=0,"",INDEX(周转筐出入库明细!$W$4:$W$2004,$Z665-2000)),IF($Z665&lt;=5200,IF(INDEX(客户自备加工筐明细!$L$4:$L$1203,$Z665-4000)=0,"",INDEX(客户自备加工筐明细!$L$4:$L$1203,$Z665-4000)),IF($Z665&lt;=5800,IF(INDEX(次果筐明细!$P$4:$P$603,$Z665-5200)=0,"",INDEX(次果筐明细!$P$4:$P$603,$Z665-5200)),"")))))</f>
        <v/>
      </c>
      <c r="N665" s="16" t="str">
        <f>IF($Z665="","",IF($Z665&lt;=2000,"",IF($Z665&lt;=4000,IF(INDEX(周转筐出入库明细!$D$4:$D$2004,$Z665-2000)=0,"",INDEX(周转筐出入库明细!$D$4:$D$2004,$Z665-2000)),IF($Z665&lt;=5200,IF(INDEX(客户自备加工筐明细!$C$4:$C$1203,$Z665-4000)=0,"",INDEX(客户自备加工筐明细!$C$4:$C$1203,$Z665-4000)),IF($Z665&lt;=5800,IF(INDEX(次果筐明细!$D$4:$D$603,$Z665-5200)=0,"",INDEX(次果筐明细!$D$4:$D$603,$Z665-5200)),"")))))</f>
        <v/>
      </c>
      <c r="O665" s="40" t="str">
        <f>IF($Z665="","",IF($Z665&lt;=2000,"",IF($Z665&lt;=4000,IF(N(INDEX(周转筐出入库明细!$J$4:$J$2004,$Z665-2000))+N(INDEX(周转筐出入库明细!$K$4:$K$2004,$Z665-2000))=0,"",N(INDEX(周转筐出入库明细!$J$4:$J$2004,$Z665-2000))+N(INDEX(周转筐出入库明细!$K$4:$K$2004,$Z665-2000))),IF($Z665&lt;=5200,IF(N(INDEX(客户自备加工筐明细!$G$4:$G$1203,$Z665-4000))=0,"",N(INDEX(客户自备加工筐明细!$G$4:$G$1203,$Z665-4000))),IF($Z665&lt;=5800,IF(ISNUMBER(SEARCH("退",INDEX(次果筐明细!$F$4:$F$603,$Z665-5200)&amp;"")),"",IF(N(INDEX(次果筐明细!$G$4:$G$603,$Z665-5200))=0,"",N(INDEX(次果筐明细!$G$4:$G$603,$Z665-5200)))),"")))))</f>
        <v/>
      </c>
      <c r="P665" s="40" t="str">
        <f>IF($Z665="","",IF($Z665&lt;=2000,"",IF($Z665&lt;=4000,IF(N(INDEX(周转筐出入库明细!$I$4:$I$2004,$Z665-2000))=0,"",N(INDEX(周转筐出入库明细!$I$4:$I$2004,$Z665-2000))),IF($Z665&lt;=5200,"",IF($Z665&lt;=5800,IF(ISNUMBER(SEARCH("退",INDEX(次果筐明细!$F$4:$F$603,$Z665-5200)&amp;"")),IF(N(INDEX(次果筐明细!$G$4:$G$603,$Z665-5200))=0,"",N(INDEX(次果筐明细!$G$4:$G$603,$Z665-5200))),""),"")))))</f>
        <v/>
      </c>
      <c r="Q665" s="40" t="str">
        <f>IF($Z665="","",IF($Z665&lt;=2000,"",IF($Z665&lt;=4000,IF(N(INDEX(周转筐出入库明细!$H$4:$H$2004,$Z665-2000))=0,"",N(INDEX(周转筐出入库明细!$H$4:$H$2004,$Z665-2000))),IF($Z665&lt;=5200,IF(N(INDEX(客户自备加工筐明细!$F$4:$F$1203,$Z665-4000))=0,"",N(INDEX(客户自备加工筐明细!$F$4:$F$1203,$Z665-4000))),IF($Z665&lt;=5800,"","")))))</f>
        <v/>
      </c>
      <c r="R665" s="16" t="str">
        <f>IF($Z665="","",IF($Z665&lt;=2000,IF(INDEX(包装物料出入库明细!$O$4:$O$2003,$Z665-0)=0,"",INDEX(包装物料出入库明细!$O$4:$O$2003,$Z665-0)),IF($Z665&lt;=4000,IF(INDEX(周转筐出入库明细!$M$4:$M$2004,$Z665-2000)=0,"",INDEX(周转筐出入库明细!$M$4:$M$2004,$Z665-2000)),IF($Z665&lt;=5200,IF(INDEX(客户自备加工筐明细!$H$4:$H$1203,$Z665-4000)=0,"",INDEX(客户自备加工筐明细!$H$4:$H$1203,$Z665-4000)),IF($Z665&lt;=5800,IF(INDEX(次果筐明细!$H$4:$H$603,$Z665-5200)=0,"",INDEX(次果筐明细!$H$4:$H$603,$Z665-5200)),"")))))</f>
        <v/>
      </c>
      <c r="S665" s="22" t="str">
        <f t="shared" si="32"/>
        <v/>
      </c>
      <c r="Z665" s="10" t="str">
        <f>IFERROR(MATCH(ROW()-3,_自动清单!$CQ$4:$CQ$5803,0),"")</f>
        <v/>
      </c>
    </row>
    <row r="666" spans="1:26">
      <c r="A666" s="24" t="str">
        <f t="shared" si="30"/>
        <v/>
      </c>
      <c r="B666" s="38" t="str">
        <f>IF($Z666="","",IF($Z666&lt;=2000,IF(INDEX(包装物料出入库明细!$B$4:$B$2003,$Z666-0)=0,"",INDEX(包装物料出入库明细!$B$4:$B$2003,$Z666-0)),IF($Z666&lt;=4000,IF(INDEX(周转筐出入库明细!$B$4:$B$2004,$Z666-2000)=0,"",INDEX(周转筐出入库明细!$B$4:$B$2004,$Z666-2000)),IF($Z666&lt;=5200,IF(INDEX(客户自备加工筐明细!$B$4:$B$1203,$Z666-4000)=0,"",INDEX(客户自备加工筐明细!$B$4:$B$1203,$Z666-4000)),IF($Z666&lt;=5800,IF(INDEX(次果筐明细!$B$4:$B$603,$Z666-5200)=0,"",INDEX(次果筐明细!$B$4:$B$603,$Z666-5200)),"")))))</f>
        <v/>
      </c>
      <c r="C666" s="37" t="str">
        <f>IF($Z666="","",IF($Z666&lt;=2000,IF(INDEX(包装物料出入库明细!$D$4:$D$2003,$Z666-0)=0,"",INDEX(包装物料出入库明细!$D$4:$D$2003,$Z666-0)),IF($Z666&lt;=4000,IF(INDEX(周转筐出入库明细!$C$4:$C$2004,$Z666-2000)=0,"",INDEX(周转筐出入库明细!$C$4:$C$2004,$Z666-2000)),IF($Z666&lt;=5200,IF(INDEX(客户自备加工筐明细!$E$4:$E$1203,$Z666-4000)=0,"",INDEX(客户自备加工筐明细!$E$4:$E$1203,$Z666-4000)),IF($Z666&lt;=5800,IF(INDEX(次果筐明细!$C$4:$C$603,$Z666-5200)=0,"",INDEX(次果筐明细!$C$4:$C$603,$Z666-5200)),"")))))</f>
        <v/>
      </c>
      <c r="D666" s="37" t="str">
        <f>IF($Z666="","",IF($Z666&lt;=2000,"包装物料－"&amp;INDEX(包装物料出入库明细!$H$4:$H$2003,$Z666-0),IF($Z666&lt;=4000,"周转筐－"&amp;INDEX(周转筐出入库明细!$F$4:$F$2004,$Z666-2000),IF($Z666&lt;=5200,"客户自备筐－"&amp;INDEX(客户自备加工筐明细!$J$4:$J$1203,$Z666-4000),IF($Z666&lt;=5800,"次果筐/托盘－"&amp;INDEX(次果筐明细!$F$4:$F$603,$Z666-5200),"")))))</f>
        <v/>
      </c>
      <c r="E666" s="24" t="str">
        <f>IF($Z666="","",IF($Z666&lt;=2000,IF(INDEX(包装物料出入库明细!$C$4:$C$2003,$Z666-0)=0,"",INDEX(包装物料出入库明细!$C$4:$C$2003,$Z666-0)),IF($Z666&lt;=4000,IF(INDEX(周转筐出入库明细!$E$4:$E$2004,$Z666-2000)=0,"",INDEX(周转筐出入库明细!$E$4:$E$2004,$Z666-2000)),IF($Z666&lt;=5200,IF(INDEX(客户自备加工筐明细!$D$4:$D$1203,$Z666-4000)=0,"",INDEX(客户自备加工筐明细!$D$4:$D$1203,$Z666-4000)),IF($Z666&lt;=5800,IF(INDEX(次果筐明细!$E$4:$E$603,$Z666-5200)=0,"",INDEX(次果筐明细!$E$4:$E$603,$Z666-5200)),"")))))</f>
        <v/>
      </c>
      <c r="F666" s="24" t="str">
        <f>IF($Z666="","",IF($Z666&lt;=2000,IF(INDEX(包装物料出入库明细!$E$4:$E$2003,$Z666-0)=0,"",INDEX(包装物料出入库明细!$E$4:$E$2003,$Z666-0)),IF($Z666&lt;=4000,IF(INDEX(周转筐出入库明细!$D$4:$D$2004,$Z666-2000)=0,"",INDEX(周转筐出入库明细!$D$4:$D$2004,$Z666-2000)),IF($Z666&lt;=5200,IF(INDEX(客户自备加工筐明细!$C$4:$C$1203,$Z666-4000)=0,"",INDEX(客户自备加工筐明细!$C$4:$C$1203,$Z666-4000)),IF($Z666&lt;=5800,IF(INDEX(次果筐明细!$D$4:$D$603,$Z666-5200)=0,"",INDEX(次果筐明细!$D$4:$D$603,$Z666-5200)),"")))))</f>
        <v/>
      </c>
      <c r="G666" s="24" t="str">
        <f>IF($Z666="","",IF($Z666&lt;=2000,IF(INDEX(包装物料出入库明细!$F$4:$F$2003,$Z666-0)=0,"",INDEX(包装物料出入库明细!$F$4:$F$2003,$Z666-0)),IF($Z666&lt;=4000,"",IF($Z666&lt;=5200,"",IF($Z666&lt;=5800,"","")))))</f>
        <v/>
      </c>
      <c r="H666" s="39" t="str">
        <f>IF($Z666="","",IF($Z666&lt;=2000,IF(INDEX(包装物料出入库明细!$L$4:$L$2003,$Z666-0)=0,"",INDEX(包装物料出入库明细!$L$4:$L$2003,$Z666-0)),IF($Z666&lt;=4000,N(INDEX(周转筐出入库明细!$H$4:$H$2004,$Z666-2000))+N(INDEX(周转筐出入库明细!$I$4:$I$2004,$Z666-2000))+N(INDEX(周转筐出入库明细!$J$4:$J$2004,$Z666-2000))+N(INDEX(周转筐出入库明细!$K$4:$K$2004,$Z666-2000)),IF($Z666&lt;=5200,N(INDEX(客户自备加工筐明细!$F$4:$F$1203,$Z666-4000))+N(INDEX(客户自备加工筐明细!$G$4:$G$1203,$Z666-4000)),IF($Z666&lt;=5800,IF(INDEX(次果筐明细!$G$4:$G$603,$Z666-5200)=0,"",INDEX(次果筐明细!$G$4:$G$603,$Z666-5200)),"")))))</f>
        <v/>
      </c>
      <c r="I666" s="24" t="str">
        <f>IF($Z666="","",IF($Z666&lt;=2000,IF(INDEX(包装物料出入库明细!$G$4:$G$2003,$Z666-0)=0,"",INDEX(包装物料出入库明细!$G$4:$G$2003,$Z666-0)),IF($Z666&lt;=4000,"个",IF($Z666&lt;=5200,"个",IF($Z666&lt;=5800,"个","")))))</f>
        <v/>
      </c>
      <c r="J666" s="30" t="str">
        <f t="shared" si="31"/>
        <v/>
      </c>
      <c r="K666" s="30" t="str">
        <f>IF($Z666="","",IF($Z666&lt;=2000,IF(INDEX(包装物料出入库明细!$N$4:$N$2003,$Z666-0)=0,"",INDEX(包装物料出入库明细!$N$4:$N$2003,$Z666-0)),IF($Z666&lt;=4000,IF(INDEX(周转筐出入库明细!$P$4:$P$2004,$Z666-2000)=0,"",INDEX(周转筐出入库明细!$P$4:$P$2004,$Z666-2000)),IF($Z666&lt;=5200,"",IF($Z666&lt;=5800,N(INDEX(次果筐明细!$L$4:$L$603,$Z666-5200))+N(INDEX(次果筐明细!$J$4:$J$603,$Z666-5200)),"")))))</f>
        <v/>
      </c>
      <c r="L666" s="24" t="str">
        <f>IF($Z666="","",IF($Z666&lt;=2000,IF(INDEX(包装物料出入库明细!$P$4:$P$2003,$Z666-0)=0,"",INDEX(包装物料出入库明细!$P$4:$P$2003,$Z666-0)),IF($Z666&lt;=4000,IF(INDEX(周转筐出入库明细!$Q$4:$Q$2004,$Z666-2000)=0,"",INDEX(周转筐出入库明细!$Q$4:$Q$2004,$Z666-2000)),IF($Z666&lt;=5200,"",IF($Z666&lt;=5800,IF(INDEX(次果筐明细!$M$4:$M$603,$Z666-5200)=0,"",INDEX(次果筐明细!$M$4:$M$603,$Z666-5200)),"")))))</f>
        <v/>
      </c>
      <c r="M666" s="37" t="str">
        <f>IF($Z666="","",IF($Z666&lt;=2000,IF(INDEX(包装物料出入库明细!$R$4:$R$2003,$Z666-0)=0,"",INDEX(包装物料出入库明细!$R$4:$R$2003,$Z666-0)),IF($Z666&lt;=4000,IF(INDEX(周转筐出入库明细!$W$4:$W$2004,$Z666-2000)=0,"",INDEX(周转筐出入库明细!$W$4:$W$2004,$Z666-2000)),IF($Z666&lt;=5200,IF(INDEX(客户自备加工筐明细!$L$4:$L$1203,$Z666-4000)=0,"",INDEX(客户自备加工筐明细!$L$4:$L$1203,$Z666-4000)),IF($Z666&lt;=5800,IF(INDEX(次果筐明细!$P$4:$P$603,$Z666-5200)=0,"",INDEX(次果筐明细!$P$4:$P$603,$Z666-5200)),"")))))</f>
        <v/>
      </c>
      <c r="N666" s="16" t="str">
        <f>IF($Z666="","",IF($Z666&lt;=2000,"",IF($Z666&lt;=4000,IF(INDEX(周转筐出入库明细!$D$4:$D$2004,$Z666-2000)=0,"",INDEX(周转筐出入库明细!$D$4:$D$2004,$Z666-2000)),IF($Z666&lt;=5200,IF(INDEX(客户自备加工筐明细!$C$4:$C$1203,$Z666-4000)=0,"",INDEX(客户自备加工筐明细!$C$4:$C$1203,$Z666-4000)),IF($Z666&lt;=5800,IF(INDEX(次果筐明细!$D$4:$D$603,$Z666-5200)=0,"",INDEX(次果筐明细!$D$4:$D$603,$Z666-5200)),"")))))</f>
        <v/>
      </c>
      <c r="O666" s="40" t="str">
        <f>IF($Z666="","",IF($Z666&lt;=2000,"",IF($Z666&lt;=4000,IF(N(INDEX(周转筐出入库明细!$J$4:$J$2004,$Z666-2000))+N(INDEX(周转筐出入库明细!$K$4:$K$2004,$Z666-2000))=0,"",N(INDEX(周转筐出入库明细!$J$4:$J$2004,$Z666-2000))+N(INDEX(周转筐出入库明细!$K$4:$K$2004,$Z666-2000))),IF($Z666&lt;=5200,IF(N(INDEX(客户自备加工筐明细!$G$4:$G$1203,$Z666-4000))=0,"",N(INDEX(客户自备加工筐明细!$G$4:$G$1203,$Z666-4000))),IF($Z666&lt;=5800,IF(ISNUMBER(SEARCH("退",INDEX(次果筐明细!$F$4:$F$603,$Z666-5200)&amp;"")),"",IF(N(INDEX(次果筐明细!$G$4:$G$603,$Z666-5200))=0,"",N(INDEX(次果筐明细!$G$4:$G$603,$Z666-5200)))),"")))))</f>
        <v/>
      </c>
      <c r="P666" s="40" t="str">
        <f>IF($Z666="","",IF($Z666&lt;=2000,"",IF($Z666&lt;=4000,IF(N(INDEX(周转筐出入库明细!$I$4:$I$2004,$Z666-2000))=0,"",N(INDEX(周转筐出入库明细!$I$4:$I$2004,$Z666-2000))),IF($Z666&lt;=5200,"",IF($Z666&lt;=5800,IF(ISNUMBER(SEARCH("退",INDEX(次果筐明细!$F$4:$F$603,$Z666-5200)&amp;"")),IF(N(INDEX(次果筐明细!$G$4:$G$603,$Z666-5200))=0,"",N(INDEX(次果筐明细!$G$4:$G$603,$Z666-5200))),""),"")))))</f>
        <v/>
      </c>
      <c r="Q666" s="40" t="str">
        <f>IF($Z666="","",IF($Z666&lt;=2000,"",IF($Z666&lt;=4000,IF(N(INDEX(周转筐出入库明细!$H$4:$H$2004,$Z666-2000))=0,"",N(INDEX(周转筐出入库明细!$H$4:$H$2004,$Z666-2000))),IF($Z666&lt;=5200,IF(N(INDEX(客户自备加工筐明细!$F$4:$F$1203,$Z666-4000))=0,"",N(INDEX(客户自备加工筐明细!$F$4:$F$1203,$Z666-4000))),IF($Z666&lt;=5800,"","")))))</f>
        <v/>
      </c>
      <c r="R666" s="16" t="str">
        <f>IF($Z666="","",IF($Z666&lt;=2000,IF(INDEX(包装物料出入库明细!$O$4:$O$2003,$Z666-0)=0,"",INDEX(包装物料出入库明细!$O$4:$O$2003,$Z666-0)),IF($Z666&lt;=4000,IF(INDEX(周转筐出入库明细!$M$4:$M$2004,$Z666-2000)=0,"",INDEX(周转筐出入库明细!$M$4:$M$2004,$Z666-2000)),IF($Z666&lt;=5200,IF(INDEX(客户自备加工筐明细!$H$4:$H$1203,$Z666-4000)=0,"",INDEX(客户自备加工筐明细!$H$4:$H$1203,$Z666-4000)),IF($Z666&lt;=5800,IF(INDEX(次果筐明细!$H$4:$H$603,$Z666-5200)=0,"",INDEX(次果筐明细!$H$4:$H$603,$Z666-5200)),"")))))</f>
        <v/>
      </c>
      <c r="S666" s="22" t="str">
        <f t="shared" si="32"/>
        <v/>
      </c>
      <c r="Z666" s="10" t="str">
        <f>IFERROR(MATCH(ROW()-3,_自动清单!$CQ$4:$CQ$5803,0),"")</f>
        <v/>
      </c>
    </row>
    <row r="667" spans="1:26">
      <c r="A667" s="24" t="str">
        <f t="shared" si="30"/>
        <v/>
      </c>
      <c r="B667" s="38" t="str">
        <f>IF($Z667="","",IF($Z667&lt;=2000,IF(INDEX(包装物料出入库明细!$B$4:$B$2003,$Z667-0)=0,"",INDEX(包装物料出入库明细!$B$4:$B$2003,$Z667-0)),IF($Z667&lt;=4000,IF(INDEX(周转筐出入库明细!$B$4:$B$2004,$Z667-2000)=0,"",INDEX(周转筐出入库明细!$B$4:$B$2004,$Z667-2000)),IF($Z667&lt;=5200,IF(INDEX(客户自备加工筐明细!$B$4:$B$1203,$Z667-4000)=0,"",INDEX(客户自备加工筐明细!$B$4:$B$1203,$Z667-4000)),IF($Z667&lt;=5800,IF(INDEX(次果筐明细!$B$4:$B$603,$Z667-5200)=0,"",INDEX(次果筐明细!$B$4:$B$603,$Z667-5200)),"")))))</f>
        <v/>
      </c>
      <c r="C667" s="37" t="str">
        <f>IF($Z667="","",IF($Z667&lt;=2000,IF(INDEX(包装物料出入库明细!$D$4:$D$2003,$Z667-0)=0,"",INDEX(包装物料出入库明细!$D$4:$D$2003,$Z667-0)),IF($Z667&lt;=4000,IF(INDEX(周转筐出入库明细!$C$4:$C$2004,$Z667-2000)=0,"",INDEX(周转筐出入库明细!$C$4:$C$2004,$Z667-2000)),IF($Z667&lt;=5200,IF(INDEX(客户自备加工筐明细!$E$4:$E$1203,$Z667-4000)=0,"",INDEX(客户自备加工筐明细!$E$4:$E$1203,$Z667-4000)),IF($Z667&lt;=5800,IF(INDEX(次果筐明细!$C$4:$C$603,$Z667-5200)=0,"",INDEX(次果筐明细!$C$4:$C$603,$Z667-5200)),"")))))</f>
        <v/>
      </c>
      <c r="D667" s="37" t="str">
        <f>IF($Z667="","",IF($Z667&lt;=2000,"包装物料－"&amp;INDEX(包装物料出入库明细!$H$4:$H$2003,$Z667-0),IF($Z667&lt;=4000,"周转筐－"&amp;INDEX(周转筐出入库明细!$F$4:$F$2004,$Z667-2000),IF($Z667&lt;=5200,"客户自备筐－"&amp;INDEX(客户自备加工筐明细!$J$4:$J$1203,$Z667-4000),IF($Z667&lt;=5800,"次果筐/托盘－"&amp;INDEX(次果筐明细!$F$4:$F$603,$Z667-5200),"")))))</f>
        <v/>
      </c>
      <c r="E667" s="24" t="str">
        <f>IF($Z667="","",IF($Z667&lt;=2000,IF(INDEX(包装物料出入库明细!$C$4:$C$2003,$Z667-0)=0,"",INDEX(包装物料出入库明细!$C$4:$C$2003,$Z667-0)),IF($Z667&lt;=4000,IF(INDEX(周转筐出入库明细!$E$4:$E$2004,$Z667-2000)=0,"",INDEX(周转筐出入库明细!$E$4:$E$2004,$Z667-2000)),IF($Z667&lt;=5200,IF(INDEX(客户自备加工筐明细!$D$4:$D$1203,$Z667-4000)=0,"",INDEX(客户自备加工筐明细!$D$4:$D$1203,$Z667-4000)),IF($Z667&lt;=5800,IF(INDEX(次果筐明细!$E$4:$E$603,$Z667-5200)=0,"",INDEX(次果筐明细!$E$4:$E$603,$Z667-5200)),"")))))</f>
        <v/>
      </c>
      <c r="F667" s="24" t="str">
        <f>IF($Z667="","",IF($Z667&lt;=2000,IF(INDEX(包装物料出入库明细!$E$4:$E$2003,$Z667-0)=0,"",INDEX(包装物料出入库明细!$E$4:$E$2003,$Z667-0)),IF($Z667&lt;=4000,IF(INDEX(周转筐出入库明细!$D$4:$D$2004,$Z667-2000)=0,"",INDEX(周转筐出入库明细!$D$4:$D$2004,$Z667-2000)),IF($Z667&lt;=5200,IF(INDEX(客户自备加工筐明细!$C$4:$C$1203,$Z667-4000)=0,"",INDEX(客户自备加工筐明细!$C$4:$C$1203,$Z667-4000)),IF($Z667&lt;=5800,IF(INDEX(次果筐明细!$D$4:$D$603,$Z667-5200)=0,"",INDEX(次果筐明细!$D$4:$D$603,$Z667-5200)),"")))))</f>
        <v/>
      </c>
      <c r="G667" s="24" t="str">
        <f>IF($Z667="","",IF($Z667&lt;=2000,IF(INDEX(包装物料出入库明细!$F$4:$F$2003,$Z667-0)=0,"",INDEX(包装物料出入库明细!$F$4:$F$2003,$Z667-0)),IF($Z667&lt;=4000,"",IF($Z667&lt;=5200,"",IF($Z667&lt;=5800,"","")))))</f>
        <v/>
      </c>
      <c r="H667" s="39" t="str">
        <f>IF($Z667="","",IF($Z667&lt;=2000,IF(INDEX(包装物料出入库明细!$L$4:$L$2003,$Z667-0)=0,"",INDEX(包装物料出入库明细!$L$4:$L$2003,$Z667-0)),IF($Z667&lt;=4000,N(INDEX(周转筐出入库明细!$H$4:$H$2004,$Z667-2000))+N(INDEX(周转筐出入库明细!$I$4:$I$2004,$Z667-2000))+N(INDEX(周转筐出入库明细!$J$4:$J$2004,$Z667-2000))+N(INDEX(周转筐出入库明细!$K$4:$K$2004,$Z667-2000)),IF($Z667&lt;=5200,N(INDEX(客户自备加工筐明细!$F$4:$F$1203,$Z667-4000))+N(INDEX(客户自备加工筐明细!$G$4:$G$1203,$Z667-4000)),IF($Z667&lt;=5800,IF(INDEX(次果筐明细!$G$4:$G$603,$Z667-5200)=0,"",INDEX(次果筐明细!$G$4:$G$603,$Z667-5200)),"")))))</f>
        <v/>
      </c>
      <c r="I667" s="24" t="str">
        <f>IF($Z667="","",IF($Z667&lt;=2000,IF(INDEX(包装物料出入库明细!$G$4:$G$2003,$Z667-0)=0,"",INDEX(包装物料出入库明细!$G$4:$G$2003,$Z667-0)),IF($Z667&lt;=4000,"个",IF($Z667&lt;=5200,"个",IF($Z667&lt;=5800,"个","")))))</f>
        <v/>
      </c>
      <c r="J667" s="30" t="str">
        <f t="shared" si="31"/>
        <v/>
      </c>
      <c r="K667" s="30" t="str">
        <f>IF($Z667="","",IF($Z667&lt;=2000,IF(INDEX(包装物料出入库明细!$N$4:$N$2003,$Z667-0)=0,"",INDEX(包装物料出入库明细!$N$4:$N$2003,$Z667-0)),IF($Z667&lt;=4000,IF(INDEX(周转筐出入库明细!$P$4:$P$2004,$Z667-2000)=0,"",INDEX(周转筐出入库明细!$P$4:$P$2004,$Z667-2000)),IF($Z667&lt;=5200,"",IF($Z667&lt;=5800,N(INDEX(次果筐明细!$L$4:$L$603,$Z667-5200))+N(INDEX(次果筐明细!$J$4:$J$603,$Z667-5200)),"")))))</f>
        <v/>
      </c>
      <c r="L667" s="24" t="str">
        <f>IF($Z667="","",IF($Z667&lt;=2000,IF(INDEX(包装物料出入库明细!$P$4:$P$2003,$Z667-0)=0,"",INDEX(包装物料出入库明细!$P$4:$P$2003,$Z667-0)),IF($Z667&lt;=4000,IF(INDEX(周转筐出入库明细!$Q$4:$Q$2004,$Z667-2000)=0,"",INDEX(周转筐出入库明细!$Q$4:$Q$2004,$Z667-2000)),IF($Z667&lt;=5200,"",IF($Z667&lt;=5800,IF(INDEX(次果筐明细!$M$4:$M$603,$Z667-5200)=0,"",INDEX(次果筐明细!$M$4:$M$603,$Z667-5200)),"")))))</f>
        <v/>
      </c>
      <c r="M667" s="37" t="str">
        <f>IF($Z667="","",IF($Z667&lt;=2000,IF(INDEX(包装物料出入库明细!$R$4:$R$2003,$Z667-0)=0,"",INDEX(包装物料出入库明细!$R$4:$R$2003,$Z667-0)),IF($Z667&lt;=4000,IF(INDEX(周转筐出入库明细!$W$4:$W$2004,$Z667-2000)=0,"",INDEX(周转筐出入库明细!$W$4:$W$2004,$Z667-2000)),IF($Z667&lt;=5200,IF(INDEX(客户自备加工筐明细!$L$4:$L$1203,$Z667-4000)=0,"",INDEX(客户自备加工筐明细!$L$4:$L$1203,$Z667-4000)),IF($Z667&lt;=5800,IF(INDEX(次果筐明细!$P$4:$P$603,$Z667-5200)=0,"",INDEX(次果筐明细!$P$4:$P$603,$Z667-5200)),"")))))</f>
        <v/>
      </c>
      <c r="N667" s="16" t="str">
        <f>IF($Z667="","",IF($Z667&lt;=2000,"",IF($Z667&lt;=4000,IF(INDEX(周转筐出入库明细!$D$4:$D$2004,$Z667-2000)=0,"",INDEX(周转筐出入库明细!$D$4:$D$2004,$Z667-2000)),IF($Z667&lt;=5200,IF(INDEX(客户自备加工筐明细!$C$4:$C$1203,$Z667-4000)=0,"",INDEX(客户自备加工筐明细!$C$4:$C$1203,$Z667-4000)),IF($Z667&lt;=5800,IF(INDEX(次果筐明细!$D$4:$D$603,$Z667-5200)=0,"",INDEX(次果筐明细!$D$4:$D$603,$Z667-5200)),"")))))</f>
        <v/>
      </c>
      <c r="O667" s="40" t="str">
        <f>IF($Z667="","",IF($Z667&lt;=2000,"",IF($Z667&lt;=4000,IF(N(INDEX(周转筐出入库明细!$J$4:$J$2004,$Z667-2000))+N(INDEX(周转筐出入库明细!$K$4:$K$2004,$Z667-2000))=0,"",N(INDEX(周转筐出入库明细!$J$4:$J$2004,$Z667-2000))+N(INDEX(周转筐出入库明细!$K$4:$K$2004,$Z667-2000))),IF($Z667&lt;=5200,IF(N(INDEX(客户自备加工筐明细!$G$4:$G$1203,$Z667-4000))=0,"",N(INDEX(客户自备加工筐明细!$G$4:$G$1203,$Z667-4000))),IF($Z667&lt;=5800,IF(ISNUMBER(SEARCH("退",INDEX(次果筐明细!$F$4:$F$603,$Z667-5200)&amp;"")),"",IF(N(INDEX(次果筐明细!$G$4:$G$603,$Z667-5200))=0,"",N(INDEX(次果筐明细!$G$4:$G$603,$Z667-5200)))),"")))))</f>
        <v/>
      </c>
      <c r="P667" s="40" t="str">
        <f>IF($Z667="","",IF($Z667&lt;=2000,"",IF($Z667&lt;=4000,IF(N(INDEX(周转筐出入库明细!$I$4:$I$2004,$Z667-2000))=0,"",N(INDEX(周转筐出入库明细!$I$4:$I$2004,$Z667-2000))),IF($Z667&lt;=5200,"",IF($Z667&lt;=5800,IF(ISNUMBER(SEARCH("退",INDEX(次果筐明细!$F$4:$F$603,$Z667-5200)&amp;"")),IF(N(INDEX(次果筐明细!$G$4:$G$603,$Z667-5200))=0,"",N(INDEX(次果筐明细!$G$4:$G$603,$Z667-5200))),""),"")))))</f>
        <v/>
      </c>
      <c r="Q667" s="40" t="str">
        <f>IF($Z667="","",IF($Z667&lt;=2000,"",IF($Z667&lt;=4000,IF(N(INDEX(周转筐出入库明细!$H$4:$H$2004,$Z667-2000))=0,"",N(INDEX(周转筐出入库明细!$H$4:$H$2004,$Z667-2000))),IF($Z667&lt;=5200,IF(N(INDEX(客户自备加工筐明细!$F$4:$F$1203,$Z667-4000))=0,"",N(INDEX(客户自备加工筐明细!$F$4:$F$1203,$Z667-4000))),IF($Z667&lt;=5800,"","")))))</f>
        <v/>
      </c>
      <c r="R667" s="16" t="str">
        <f>IF($Z667="","",IF($Z667&lt;=2000,IF(INDEX(包装物料出入库明细!$O$4:$O$2003,$Z667-0)=0,"",INDEX(包装物料出入库明细!$O$4:$O$2003,$Z667-0)),IF($Z667&lt;=4000,IF(INDEX(周转筐出入库明细!$M$4:$M$2004,$Z667-2000)=0,"",INDEX(周转筐出入库明细!$M$4:$M$2004,$Z667-2000)),IF($Z667&lt;=5200,IF(INDEX(客户自备加工筐明细!$H$4:$H$1203,$Z667-4000)=0,"",INDEX(客户自备加工筐明细!$H$4:$H$1203,$Z667-4000)),IF($Z667&lt;=5800,IF(INDEX(次果筐明细!$H$4:$H$603,$Z667-5200)=0,"",INDEX(次果筐明细!$H$4:$H$603,$Z667-5200)),"")))))</f>
        <v/>
      </c>
      <c r="S667" s="22" t="str">
        <f t="shared" si="32"/>
        <v/>
      </c>
      <c r="Z667" s="10" t="str">
        <f>IFERROR(MATCH(ROW()-3,_自动清单!$CQ$4:$CQ$5803,0),"")</f>
        <v/>
      </c>
    </row>
    <row r="668" spans="1:26">
      <c r="A668" s="24" t="str">
        <f t="shared" si="30"/>
        <v/>
      </c>
      <c r="B668" s="38" t="str">
        <f>IF($Z668="","",IF($Z668&lt;=2000,IF(INDEX(包装物料出入库明细!$B$4:$B$2003,$Z668-0)=0,"",INDEX(包装物料出入库明细!$B$4:$B$2003,$Z668-0)),IF($Z668&lt;=4000,IF(INDEX(周转筐出入库明细!$B$4:$B$2004,$Z668-2000)=0,"",INDEX(周转筐出入库明细!$B$4:$B$2004,$Z668-2000)),IF($Z668&lt;=5200,IF(INDEX(客户自备加工筐明细!$B$4:$B$1203,$Z668-4000)=0,"",INDEX(客户自备加工筐明细!$B$4:$B$1203,$Z668-4000)),IF($Z668&lt;=5800,IF(INDEX(次果筐明细!$B$4:$B$603,$Z668-5200)=0,"",INDEX(次果筐明细!$B$4:$B$603,$Z668-5200)),"")))))</f>
        <v/>
      </c>
      <c r="C668" s="37" t="str">
        <f>IF($Z668="","",IF($Z668&lt;=2000,IF(INDEX(包装物料出入库明细!$D$4:$D$2003,$Z668-0)=0,"",INDEX(包装物料出入库明细!$D$4:$D$2003,$Z668-0)),IF($Z668&lt;=4000,IF(INDEX(周转筐出入库明细!$C$4:$C$2004,$Z668-2000)=0,"",INDEX(周转筐出入库明细!$C$4:$C$2004,$Z668-2000)),IF($Z668&lt;=5200,IF(INDEX(客户自备加工筐明细!$E$4:$E$1203,$Z668-4000)=0,"",INDEX(客户自备加工筐明细!$E$4:$E$1203,$Z668-4000)),IF($Z668&lt;=5800,IF(INDEX(次果筐明细!$C$4:$C$603,$Z668-5200)=0,"",INDEX(次果筐明细!$C$4:$C$603,$Z668-5200)),"")))))</f>
        <v/>
      </c>
      <c r="D668" s="37" t="str">
        <f>IF($Z668="","",IF($Z668&lt;=2000,"包装物料－"&amp;INDEX(包装物料出入库明细!$H$4:$H$2003,$Z668-0),IF($Z668&lt;=4000,"周转筐－"&amp;INDEX(周转筐出入库明细!$F$4:$F$2004,$Z668-2000),IF($Z668&lt;=5200,"客户自备筐－"&amp;INDEX(客户自备加工筐明细!$J$4:$J$1203,$Z668-4000),IF($Z668&lt;=5800,"次果筐/托盘－"&amp;INDEX(次果筐明细!$F$4:$F$603,$Z668-5200),"")))))</f>
        <v/>
      </c>
      <c r="E668" s="24" t="str">
        <f>IF($Z668="","",IF($Z668&lt;=2000,IF(INDEX(包装物料出入库明细!$C$4:$C$2003,$Z668-0)=0,"",INDEX(包装物料出入库明细!$C$4:$C$2003,$Z668-0)),IF($Z668&lt;=4000,IF(INDEX(周转筐出入库明细!$E$4:$E$2004,$Z668-2000)=0,"",INDEX(周转筐出入库明细!$E$4:$E$2004,$Z668-2000)),IF($Z668&lt;=5200,IF(INDEX(客户自备加工筐明细!$D$4:$D$1203,$Z668-4000)=0,"",INDEX(客户自备加工筐明细!$D$4:$D$1203,$Z668-4000)),IF($Z668&lt;=5800,IF(INDEX(次果筐明细!$E$4:$E$603,$Z668-5200)=0,"",INDEX(次果筐明细!$E$4:$E$603,$Z668-5200)),"")))))</f>
        <v/>
      </c>
      <c r="F668" s="24" t="str">
        <f>IF($Z668="","",IF($Z668&lt;=2000,IF(INDEX(包装物料出入库明细!$E$4:$E$2003,$Z668-0)=0,"",INDEX(包装物料出入库明细!$E$4:$E$2003,$Z668-0)),IF($Z668&lt;=4000,IF(INDEX(周转筐出入库明细!$D$4:$D$2004,$Z668-2000)=0,"",INDEX(周转筐出入库明细!$D$4:$D$2004,$Z668-2000)),IF($Z668&lt;=5200,IF(INDEX(客户自备加工筐明细!$C$4:$C$1203,$Z668-4000)=0,"",INDEX(客户自备加工筐明细!$C$4:$C$1203,$Z668-4000)),IF($Z668&lt;=5800,IF(INDEX(次果筐明细!$D$4:$D$603,$Z668-5200)=0,"",INDEX(次果筐明细!$D$4:$D$603,$Z668-5200)),"")))))</f>
        <v/>
      </c>
      <c r="G668" s="24" t="str">
        <f>IF($Z668="","",IF($Z668&lt;=2000,IF(INDEX(包装物料出入库明细!$F$4:$F$2003,$Z668-0)=0,"",INDEX(包装物料出入库明细!$F$4:$F$2003,$Z668-0)),IF($Z668&lt;=4000,"",IF($Z668&lt;=5200,"",IF($Z668&lt;=5800,"","")))))</f>
        <v/>
      </c>
      <c r="H668" s="39" t="str">
        <f>IF($Z668="","",IF($Z668&lt;=2000,IF(INDEX(包装物料出入库明细!$L$4:$L$2003,$Z668-0)=0,"",INDEX(包装物料出入库明细!$L$4:$L$2003,$Z668-0)),IF($Z668&lt;=4000,N(INDEX(周转筐出入库明细!$H$4:$H$2004,$Z668-2000))+N(INDEX(周转筐出入库明细!$I$4:$I$2004,$Z668-2000))+N(INDEX(周转筐出入库明细!$J$4:$J$2004,$Z668-2000))+N(INDEX(周转筐出入库明细!$K$4:$K$2004,$Z668-2000)),IF($Z668&lt;=5200,N(INDEX(客户自备加工筐明细!$F$4:$F$1203,$Z668-4000))+N(INDEX(客户自备加工筐明细!$G$4:$G$1203,$Z668-4000)),IF($Z668&lt;=5800,IF(INDEX(次果筐明细!$G$4:$G$603,$Z668-5200)=0,"",INDEX(次果筐明细!$G$4:$G$603,$Z668-5200)),"")))))</f>
        <v/>
      </c>
      <c r="I668" s="24" t="str">
        <f>IF($Z668="","",IF($Z668&lt;=2000,IF(INDEX(包装物料出入库明细!$G$4:$G$2003,$Z668-0)=0,"",INDEX(包装物料出入库明细!$G$4:$G$2003,$Z668-0)),IF($Z668&lt;=4000,"个",IF($Z668&lt;=5200,"个",IF($Z668&lt;=5800,"个","")))))</f>
        <v/>
      </c>
      <c r="J668" s="30" t="str">
        <f t="shared" si="31"/>
        <v/>
      </c>
      <c r="K668" s="30" t="str">
        <f>IF($Z668="","",IF($Z668&lt;=2000,IF(INDEX(包装物料出入库明细!$N$4:$N$2003,$Z668-0)=0,"",INDEX(包装物料出入库明细!$N$4:$N$2003,$Z668-0)),IF($Z668&lt;=4000,IF(INDEX(周转筐出入库明细!$P$4:$P$2004,$Z668-2000)=0,"",INDEX(周转筐出入库明细!$P$4:$P$2004,$Z668-2000)),IF($Z668&lt;=5200,"",IF($Z668&lt;=5800,N(INDEX(次果筐明细!$L$4:$L$603,$Z668-5200))+N(INDEX(次果筐明细!$J$4:$J$603,$Z668-5200)),"")))))</f>
        <v/>
      </c>
      <c r="L668" s="24" t="str">
        <f>IF($Z668="","",IF($Z668&lt;=2000,IF(INDEX(包装物料出入库明细!$P$4:$P$2003,$Z668-0)=0,"",INDEX(包装物料出入库明细!$P$4:$P$2003,$Z668-0)),IF($Z668&lt;=4000,IF(INDEX(周转筐出入库明细!$Q$4:$Q$2004,$Z668-2000)=0,"",INDEX(周转筐出入库明细!$Q$4:$Q$2004,$Z668-2000)),IF($Z668&lt;=5200,"",IF($Z668&lt;=5800,IF(INDEX(次果筐明细!$M$4:$M$603,$Z668-5200)=0,"",INDEX(次果筐明细!$M$4:$M$603,$Z668-5200)),"")))))</f>
        <v/>
      </c>
      <c r="M668" s="37" t="str">
        <f>IF($Z668="","",IF($Z668&lt;=2000,IF(INDEX(包装物料出入库明细!$R$4:$R$2003,$Z668-0)=0,"",INDEX(包装物料出入库明细!$R$4:$R$2003,$Z668-0)),IF($Z668&lt;=4000,IF(INDEX(周转筐出入库明细!$W$4:$W$2004,$Z668-2000)=0,"",INDEX(周转筐出入库明细!$W$4:$W$2004,$Z668-2000)),IF($Z668&lt;=5200,IF(INDEX(客户自备加工筐明细!$L$4:$L$1203,$Z668-4000)=0,"",INDEX(客户自备加工筐明细!$L$4:$L$1203,$Z668-4000)),IF($Z668&lt;=5800,IF(INDEX(次果筐明细!$P$4:$P$603,$Z668-5200)=0,"",INDEX(次果筐明细!$P$4:$P$603,$Z668-5200)),"")))))</f>
        <v/>
      </c>
      <c r="N668" s="16" t="str">
        <f>IF($Z668="","",IF($Z668&lt;=2000,"",IF($Z668&lt;=4000,IF(INDEX(周转筐出入库明细!$D$4:$D$2004,$Z668-2000)=0,"",INDEX(周转筐出入库明细!$D$4:$D$2004,$Z668-2000)),IF($Z668&lt;=5200,IF(INDEX(客户自备加工筐明细!$C$4:$C$1203,$Z668-4000)=0,"",INDEX(客户自备加工筐明细!$C$4:$C$1203,$Z668-4000)),IF($Z668&lt;=5800,IF(INDEX(次果筐明细!$D$4:$D$603,$Z668-5200)=0,"",INDEX(次果筐明细!$D$4:$D$603,$Z668-5200)),"")))))</f>
        <v/>
      </c>
      <c r="O668" s="40" t="str">
        <f>IF($Z668="","",IF($Z668&lt;=2000,"",IF($Z668&lt;=4000,IF(N(INDEX(周转筐出入库明细!$J$4:$J$2004,$Z668-2000))+N(INDEX(周转筐出入库明细!$K$4:$K$2004,$Z668-2000))=0,"",N(INDEX(周转筐出入库明细!$J$4:$J$2004,$Z668-2000))+N(INDEX(周转筐出入库明细!$K$4:$K$2004,$Z668-2000))),IF($Z668&lt;=5200,IF(N(INDEX(客户自备加工筐明细!$G$4:$G$1203,$Z668-4000))=0,"",N(INDEX(客户自备加工筐明细!$G$4:$G$1203,$Z668-4000))),IF($Z668&lt;=5800,IF(ISNUMBER(SEARCH("退",INDEX(次果筐明细!$F$4:$F$603,$Z668-5200)&amp;"")),"",IF(N(INDEX(次果筐明细!$G$4:$G$603,$Z668-5200))=0,"",N(INDEX(次果筐明细!$G$4:$G$603,$Z668-5200)))),"")))))</f>
        <v/>
      </c>
      <c r="P668" s="40" t="str">
        <f>IF($Z668="","",IF($Z668&lt;=2000,"",IF($Z668&lt;=4000,IF(N(INDEX(周转筐出入库明细!$I$4:$I$2004,$Z668-2000))=0,"",N(INDEX(周转筐出入库明细!$I$4:$I$2004,$Z668-2000))),IF($Z668&lt;=5200,"",IF($Z668&lt;=5800,IF(ISNUMBER(SEARCH("退",INDEX(次果筐明细!$F$4:$F$603,$Z668-5200)&amp;"")),IF(N(INDEX(次果筐明细!$G$4:$G$603,$Z668-5200))=0,"",N(INDEX(次果筐明细!$G$4:$G$603,$Z668-5200))),""),"")))))</f>
        <v/>
      </c>
      <c r="Q668" s="40" t="str">
        <f>IF($Z668="","",IF($Z668&lt;=2000,"",IF($Z668&lt;=4000,IF(N(INDEX(周转筐出入库明细!$H$4:$H$2004,$Z668-2000))=0,"",N(INDEX(周转筐出入库明细!$H$4:$H$2004,$Z668-2000))),IF($Z668&lt;=5200,IF(N(INDEX(客户自备加工筐明细!$F$4:$F$1203,$Z668-4000))=0,"",N(INDEX(客户自备加工筐明细!$F$4:$F$1203,$Z668-4000))),IF($Z668&lt;=5800,"","")))))</f>
        <v/>
      </c>
      <c r="R668" s="16" t="str">
        <f>IF($Z668="","",IF($Z668&lt;=2000,IF(INDEX(包装物料出入库明细!$O$4:$O$2003,$Z668-0)=0,"",INDEX(包装物料出入库明细!$O$4:$O$2003,$Z668-0)),IF($Z668&lt;=4000,IF(INDEX(周转筐出入库明细!$M$4:$M$2004,$Z668-2000)=0,"",INDEX(周转筐出入库明细!$M$4:$M$2004,$Z668-2000)),IF($Z668&lt;=5200,IF(INDEX(客户自备加工筐明细!$H$4:$H$1203,$Z668-4000)=0,"",INDEX(客户自备加工筐明细!$H$4:$H$1203,$Z668-4000)),IF($Z668&lt;=5800,IF(INDEX(次果筐明细!$H$4:$H$603,$Z668-5200)=0,"",INDEX(次果筐明细!$H$4:$H$603,$Z668-5200)),"")))))</f>
        <v/>
      </c>
      <c r="S668" s="22" t="str">
        <f t="shared" si="32"/>
        <v/>
      </c>
      <c r="Z668" s="10" t="str">
        <f>IFERROR(MATCH(ROW()-3,_自动清单!$CQ$4:$CQ$5803,0),"")</f>
        <v/>
      </c>
    </row>
    <row r="669" spans="1:26">
      <c r="A669" s="24" t="str">
        <f t="shared" si="30"/>
        <v/>
      </c>
      <c r="B669" s="38" t="str">
        <f>IF($Z669="","",IF($Z669&lt;=2000,IF(INDEX(包装物料出入库明细!$B$4:$B$2003,$Z669-0)=0,"",INDEX(包装物料出入库明细!$B$4:$B$2003,$Z669-0)),IF($Z669&lt;=4000,IF(INDEX(周转筐出入库明细!$B$4:$B$2004,$Z669-2000)=0,"",INDEX(周转筐出入库明细!$B$4:$B$2004,$Z669-2000)),IF($Z669&lt;=5200,IF(INDEX(客户自备加工筐明细!$B$4:$B$1203,$Z669-4000)=0,"",INDEX(客户自备加工筐明细!$B$4:$B$1203,$Z669-4000)),IF($Z669&lt;=5800,IF(INDEX(次果筐明细!$B$4:$B$603,$Z669-5200)=0,"",INDEX(次果筐明细!$B$4:$B$603,$Z669-5200)),"")))))</f>
        <v/>
      </c>
      <c r="C669" s="37" t="str">
        <f>IF($Z669="","",IF($Z669&lt;=2000,IF(INDEX(包装物料出入库明细!$D$4:$D$2003,$Z669-0)=0,"",INDEX(包装物料出入库明细!$D$4:$D$2003,$Z669-0)),IF($Z669&lt;=4000,IF(INDEX(周转筐出入库明细!$C$4:$C$2004,$Z669-2000)=0,"",INDEX(周转筐出入库明细!$C$4:$C$2004,$Z669-2000)),IF($Z669&lt;=5200,IF(INDEX(客户自备加工筐明细!$E$4:$E$1203,$Z669-4000)=0,"",INDEX(客户自备加工筐明细!$E$4:$E$1203,$Z669-4000)),IF($Z669&lt;=5800,IF(INDEX(次果筐明细!$C$4:$C$603,$Z669-5200)=0,"",INDEX(次果筐明细!$C$4:$C$603,$Z669-5200)),"")))))</f>
        <v/>
      </c>
      <c r="D669" s="37" t="str">
        <f>IF($Z669="","",IF($Z669&lt;=2000,"包装物料－"&amp;INDEX(包装物料出入库明细!$H$4:$H$2003,$Z669-0),IF($Z669&lt;=4000,"周转筐－"&amp;INDEX(周转筐出入库明细!$F$4:$F$2004,$Z669-2000),IF($Z669&lt;=5200,"客户自备筐－"&amp;INDEX(客户自备加工筐明细!$J$4:$J$1203,$Z669-4000),IF($Z669&lt;=5800,"次果筐/托盘－"&amp;INDEX(次果筐明细!$F$4:$F$603,$Z669-5200),"")))))</f>
        <v/>
      </c>
      <c r="E669" s="24" t="str">
        <f>IF($Z669="","",IF($Z669&lt;=2000,IF(INDEX(包装物料出入库明细!$C$4:$C$2003,$Z669-0)=0,"",INDEX(包装物料出入库明细!$C$4:$C$2003,$Z669-0)),IF($Z669&lt;=4000,IF(INDEX(周转筐出入库明细!$E$4:$E$2004,$Z669-2000)=0,"",INDEX(周转筐出入库明细!$E$4:$E$2004,$Z669-2000)),IF($Z669&lt;=5200,IF(INDEX(客户自备加工筐明细!$D$4:$D$1203,$Z669-4000)=0,"",INDEX(客户自备加工筐明细!$D$4:$D$1203,$Z669-4000)),IF($Z669&lt;=5800,IF(INDEX(次果筐明细!$E$4:$E$603,$Z669-5200)=0,"",INDEX(次果筐明细!$E$4:$E$603,$Z669-5200)),"")))))</f>
        <v/>
      </c>
      <c r="F669" s="24" t="str">
        <f>IF($Z669="","",IF($Z669&lt;=2000,IF(INDEX(包装物料出入库明细!$E$4:$E$2003,$Z669-0)=0,"",INDEX(包装物料出入库明细!$E$4:$E$2003,$Z669-0)),IF($Z669&lt;=4000,IF(INDEX(周转筐出入库明细!$D$4:$D$2004,$Z669-2000)=0,"",INDEX(周转筐出入库明细!$D$4:$D$2004,$Z669-2000)),IF($Z669&lt;=5200,IF(INDEX(客户自备加工筐明细!$C$4:$C$1203,$Z669-4000)=0,"",INDEX(客户自备加工筐明细!$C$4:$C$1203,$Z669-4000)),IF($Z669&lt;=5800,IF(INDEX(次果筐明细!$D$4:$D$603,$Z669-5200)=0,"",INDEX(次果筐明细!$D$4:$D$603,$Z669-5200)),"")))))</f>
        <v/>
      </c>
      <c r="G669" s="24" t="str">
        <f>IF($Z669="","",IF($Z669&lt;=2000,IF(INDEX(包装物料出入库明细!$F$4:$F$2003,$Z669-0)=0,"",INDEX(包装物料出入库明细!$F$4:$F$2003,$Z669-0)),IF($Z669&lt;=4000,"",IF($Z669&lt;=5200,"",IF($Z669&lt;=5800,"","")))))</f>
        <v/>
      </c>
      <c r="H669" s="39" t="str">
        <f>IF($Z669="","",IF($Z669&lt;=2000,IF(INDEX(包装物料出入库明细!$L$4:$L$2003,$Z669-0)=0,"",INDEX(包装物料出入库明细!$L$4:$L$2003,$Z669-0)),IF($Z669&lt;=4000,N(INDEX(周转筐出入库明细!$H$4:$H$2004,$Z669-2000))+N(INDEX(周转筐出入库明细!$I$4:$I$2004,$Z669-2000))+N(INDEX(周转筐出入库明细!$J$4:$J$2004,$Z669-2000))+N(INDEX(周转筐出入库明细!$K$4:$K$2004,$Z669-2000)),IF($Z669&lt;=5200,N(INDEX(客户自备加工筐明细!$F$4:$F$1203,$Z669-4000))+N(INDEX(客户自备加工筐明细!$G$4:$G$1203,$Z669-4000)),IF($Z669&lt;=5800,IF(INDEX(次果筐明细!$G$4:$G$603,$Z669-5200)=0,"",INDEX(次果筐明细!$G$4:$G$603,$Z669-5200)),"")))))</f>
        <v/>
      </c>
      <c r="I669" s="24" t="str">
        <f>IF($Z669="","",IF($Z669&lt;=2000,IF(INDEX(包装物料出入库明细!$G$4:$G$2003,$Z669-0)=0,"",INDEX(包装物料出入库明细!$G$4:$G$2003,$Z669-0)),IF($Z669&lt;=4000,"个",IF($Z669&lt;=5200,"个",IF($Z669&lt;=5800,"个","")))))</f>
        <v/>
      </c>
      <c r="J669" s="30" t="str">
        <f t="shared" si="31"/>
        <v/>
      </c>
      <c r="K669" s="30" t="str">
        <f>IF($Z669="","",IF($Z669&lt;=2000,IF(INDEX(包装物料出入库明细!$N$4:$N$2003,$Z669-0)=0,"",INDEX(包装物料出入库明细!$N$4:$N$2003,$Z669-0)),IF($Z669&lt;=4000,IF(INDEX(周转筐出入库明细!$P$4:$P$2004,$Z669-2000)=0,"",INDEX(周转筐出入库明细!$P$4:$P$2004,$Z669-2000)),IF($Z669&lt;=5200,"",IF($Z669&lt;=5800,N(INDEX(次果筐明细!$L$4:$L$603,$Z669-5200))+N(INDEX(次果筐明细!$J$4:$J$603,$Z669-5200)),"")))))</f>
        <v/>
      </c>
      <c r="L669" s="24" t="str">
        <f>IF($Z669="","",IF($Z669&lt;=2000,IF(INDEX(包装物料出入库明细!$P$4:$P$2003,$Z669-0)=0,"",INDEX(包装物料出入库明细!$P$4:$P$2003,$Z669-0)),IF($Z669&lt;=4000,IF(INDEX(周转筐出入库明细!$Q$4:$Q$2004,$Z669-2000)=0,"",INDEX(周转筐出入库明细!$Q$4:$Q$2004,$Z669-2000)),IF($Z669&lt;=5200,"",IF($Z669&lt;=5800,IF(INDEX(次果筐明细!$M$4:$M$603,$Z669-5200)=0,"",INDEX(次果筐明细!$M$4:$M$603,$Z669-5200)),"")))))</f>
        <v/>
      </c>
      <c r="M669" s="37" t="str">
        <f>IF($Z669="","",IF($Z669&lt;=2000,IF(INDEX(包装物料出入库明细!$R$4:$R$2003,$Z669-0)=0,"",INDEX(包装物料出入库明细!$R$4:$R$2003,$Z669-0)),IF($Z669&lt;=4000,IF(INDEX(周转筐出入库明细!$W$4:$W$2004,$Z669-2000)=0,"",INDEX(周转筐出入库明细!$W$4:$W$2004,$Z669-2000)),IF($Z669&lt;=5200,IF(INDEX(客户自备加工筐明细!$L$4:$L$1203,$Z669-4000)=0,"",INDEX(客户自备加工筐明细!$L$4:$L$1203,$Z669-4000)),IF($Z669&lt;=5800,IF(INDEX(次果筐明细!$P$4:$P$603,$Z669-5200)=0,"",INDEX(次果筐明细!$P$4:$P$603,$Z669-5200)),"")))))</f>
        <v/>
      </c>
      <c r="N669" s="16" t="str">
        <f>IF($Z669="","",IF($Z669&lt;=2000,"",IF($Z669&lt;=4000,IF(INDEX(周转筐出入库明细!$D$4:$D$2004,$Z669-2000)=0,"",INDEX(周转筐出入库明细!$D$4:$D$2004,$Z669-2000)),IF($Z669&lt;=5200,IF(INDEX(客户自备加工筐明细!$C$4:$C$1203,$Z669-4000)=0,"",INDEX(客户自备加工筐明细!$C$4:$C$1203,$Z669-4000)),IF($Z669&lt;=5800,IF(INDEX(次果筐明细!$D$4:$D$603,$Z669-5200)=0,"",INDEX(次果筐明细!$D$4:$D$603,$Z669-5200)),"")))))</f>
        <v/>
      </c>
      <c r="O669" s="40" t="str">
        <f>IF($Z669="","",IF($Z669&lt;=2000,"",IF($Z669&lt;=4000,IF(N(INDEX(周转筐出入库明细!$J$4:$J$2004,$Z669-2000))+N(INDEX(周转筐出入库明细!$K$4:$K$2004,$Z669-2000))=0,"",N(INDEX(周转筐出入库明细!$J$4:$J$2004,$Z669-2000))+N(INDEX(周转筐出入库明细!$K$4:$K$2004,$Z669-2000))),IF($Z669&lt;=5200,IF(N(INDEX(客户自备加工筐明细!$G$4:$G$1203,$Z669-4000))=0,"",N(INDEX(客户自备加工筐明细!$G$4:$G$1203,$Z669-4000))),IF($Z669&lt;=5800,IF(ISNUMBER(SEARCH("退",INDEX(次果筐明细!$F$4:$F$603,$Z669-5200)&amp;"")),"",IF(N(INDEX(次果筐明细!$G$4:$G$603,$Z669-5200))=0,"",N(INDEX(次果筐明细!$G$4:$G$603,$Z669-5200)))),"")))))</f>
        <v/>
      </c>
      <c r="P669" s="40" t="str">
        <f>IF($Z669="","",IF($Z669&lt;=2000,"",IF($Z669&lt;=4000,IF(N(INDEX(周转筐出入库明细!$I$4:$I$2004,$Z669-2000))=0,"",N(INDEX(周转筐出入库明细!$I$4:$I$2004,$Z669-2000))),IF($Z669&lt;=5200,"",IF($Z669&lt;=5800,IF(ISNUMBER(SEARCH("退",INDEX(次果筐明细!$F$4:$F$603,$Z669-5200)&amp;"")),IF(N(INDEX(次果筐明细!$G$4:$G$603,$Z669-5200))=0,"",N(INDEX(次果筐明细!$G$4:$G$603,$Z669-5200))),""),"")))))</f>
        <v/>
      </c>
      <c r="Q669" s="40" t="str">
        <f>IF($Z669="","",IF($Z669&lt;=2000,"",IF($Z669&lt;=4000,IF(N(INDEX(周转筐出入库明细!$H$4:$H$2004,$Z669-2000))=0,"",N(INDEX(周转筐出入库明细!$H$4:$H$2004,$Z669-2000))),IF($Z669&lt;=5200,IF(N(INDEX(客户自备加工筐明细!$F$4:$F$1203,$Z669-4000))=0,"",N(INDEX(客户自备加工筐明细!$F$4:$F$1203,$Z669-4000))),IF($Z669&lt;=5800,"","")))))</f>
        <v/>
      </c>
      <c r="R669" s="16" t="str">
        <f>IF($Z669="","",IF($Z669&lt;=2000,IF(INDEX(包装物料出入库明细!$O$4:$O$2003,$Z669-0)=0,"",INDEX(包装物料出入库明细!$O$4:$O$2003,$Z669-0)),IF($Z669&lt;=4000,IF(INDEX(周转筐出入库明细!$M$4:$M$2004,$Z669-2000)=0,"",INDEX(周转筐出入库明细!$M$4:$M$2004,$Z669-2000)),IF($Z669&lt;=5200,IF(INDEX(客户自备加工筐明细!$H$4:$H$1203,$Z669-4000)=0,"",INDEX(客户自备加工筐明细!$H$4:$H$1203,$Z669-4000)),IF($Z669&lt;=5800,IF(INDEX(次果筐明细!$H$4:$H$603,$Z669-5200)=0,"",INDEX(次果筐明细!$H$4:$H$603,$Z669-5200)),"")))))</f>
        <v/>
      </c>
      <c r="S669" s="22" t="str">
        <f t="shared" si="32"/>
        <v/>
      </c>
      <c r="Z669" s="10" t="str">
        <f>IFERROR(MATCH(ROW()-3,_自动清单!$CQ$4:$CQ$5803,0),"")</f>
        <v/>
      </c>
    </row>
    <row r="670" spans="1:26">
      <c r="A670" s="24" t="str">
        <f t="shared" si="30"/>
        <v/>
      </c>
      <c r="B670" s="38" t="str">
        <f>IF($Z670="","",IF($Z670&lt;=2000,IF(INDEX(包装物料出入库明细!$B$4:$B$2003,$Z670-0)=0,"",INDEX(包装物料出入库明细!$B$4:$B$2003,$Z670-0)),IF($Z670&lt;=4000,IF(INDEX(周转筐出入库明细!$B$4:$B$2004,$Z670-2000)=0,"",INDEX(周转筐出入库明细!$B$4:$B$2004,$Z670-2000)),IF($Z670&lt;=5200,IF(INDEX(客户自备加工筐明细!$B$4:$B$1203,$Z670-4000)=0,"",INDEX(客户自备加工筐明细!$B$4:$B$1203,$Z670-4000)),IF($Z670&lt;=5800,IF(INDEX(次果筐明细!$B$4:$B$603,$Z670-5200)=0,"",INDEX(次果筐明细!$B$4:$B$603,$Z670-5200)),"")))))</f>
        <v/>
      </c>
      <c r="C670" s="37" t="str">
        <f>IF($Z670="","",IF($Z670&lt;=2000,IF(INDEX(包装物料出入库明细!$D$4:$D$2003,$Z670-0)=0,"",INDEX(包装物料出入库明细!$D$4:$D$2003,$Z670-0)),IF($Z670&lt;=4000,IF(INDEX(周转筐出入库明细!$C$4:$C$2004,$Z670-2000)=0,"",INDEX(周转筐出入库明细!$C$4:$C$2004,$Z670-2000)),IF($Z670&lt;=5200,IF(INDEX(客户自备加工筐明细!$E$4:$E$1203,$Z670-4000)=0,"",INDEX(客户自备加工筐明细!$E$4:$E$1203,$Z670-4000)),IF($Z670&lt;=5800,IF(INDEX(次果筐明细!$C$4:$C$603,$Z670-5200)=0,"",INDEX(次果筐明细!$C$4:$C$603,$Z670-5200)),"")))))</f>
        <v/>
      </c>
      <c r="D670" s="37" t="str">
        <f>IF($Z670="","",IF($Z670&lt;=2000,"包装物料－"&amp;INDEX(包装物料出入库明细!$H$4:$H$2003,$Z670-0),IF($Z670&lt;=4000,"周转筐－"&amp;INDEX(周转筐出入库明细!$F$4:$F$2004,$Z670-2000),IF($Z670&lt;=5200,"客户自备筐－"&amp;INDEX(客户自备加工筐明细!$J$4:$J$1203,$Z670-4000),IF($Z670&lt;=5800,"次果筐/托盘－"&amp;INDEX(次果筐明细!$F$4:$F$603,$Z670-5200),"")))))</f>
        <v/>
      </c>
      <c r="E670" s="24" t="str">
        <f>IF($Z670="","",IF($Z670&lt;=2000,IF(INDEX(包装物料出入库明细!$C$4:$C$2003,$Z670-0)=0,"",INDEX(包装物料出入库明细!$C$4:$C$2003,$Z670-0)),IF($Z670&lt;=4000,IF(INDEX(周转筐出入库明细!$E$4:$E$2004,$Z670-2000)=0,"",INDEX(周转筐出入库明细!$E$4:$E$2004,$Z670-2000)),IF($Z670&lt;=5200,IF(INDEX(客户自备加工筐明细!$D$4:$D$1203,$Z670-4000)=0,"",INDEX(客户自备加工筐明细!$D$4:$D$1203,$Z670-4000)),IF($Z670&lt;=5800,IF(INDEX(次果筐明细!$E$4:$E$603,$Z670-5200)=0,"",INDEX(次果筐明细!$E$4:$E$603,$Z670-5200)),"")))))</f>
        <v/>
      </c>
      <c r="F670" s="24" t="str">
        <f>IF($Z670="","",IF($Z670&lt;=2000,IF(INDEX(包装物料出入库明细!$E$4:$E$2003,$Z670-0)=0,"",INDEX(包装物料出入库明细!$E$4:$E$2003,$Z670-0)),IF($Z670&lt;=4000,IF(INDEX(周转筐出入库明细!$D$4:$D$2004,$Z670-2000)=0,"",INDEX(周转筐出入库明细!$D$4:$D$2004,$Z670-2000)),IF($Z670&lt;=5200,IF(INDEX(客户自备加工筐明细!$C$4:$C$1203,$Z670-4000)=0,"",INDEX(客户自备加工筐明细!$C$4:$C$1203,$Z670-4000)),IF($Z670&lt;=5800,IF(INDEX(次果筐明细!$D$4:$D$603,$Z670-5200)=0,"",INDEX(次果筐明细!$D$4:$D$603,$Z670-5200)),"")))))</f>
        <v/>
      </c>
      <c r="G670" s="24" t="str">
        <f>IF($Z670="","",IF($Z670&lt;=2000,IF(INDEX(包装物料出入库明细!$F$4:$F$2003,$Z670-0)=0,"",INDEX(包装物料出入库明细!$F$4:$F$2003,$Z670-0)),IF($Z670&lt;=4000,"",IF($Z670&lt;=5200,"",IF($Z670&lt;=5800,"","")))))</f>
        <v/>
      </c>
      <c r="H670" s="39" t="str">
        <f>IF($Z670="","",IF($Z670&lt;=2000,IF(INDEX(包装物料出入库明细!$L$4:$L$2003,$Z670-0)=0,"",INDEX(包装物料出入库明细!$L$4:$L$2003,$Z670-0)),IF($Z670&lt;=4000,N(INDEX(周转筐出入库明细!$H$4:$H$2004,$Z670-2000))+N(INDEX(周转筐出入库明细!$I$4:$I$2004,$Z670-2000))+N(INDEX(周转筐出入库明细!$J$4:$J$2004,$Z670-2000))+N(INDEX(周转筐出入库明细!$K$4:$K$2004,$Z670-2000)),IF($Z670&lt;=5200,N(INDEX(客户自备加工筐明细!$F$4:$F$1203,$Z670-4000))+N(INDEX(客户自备加工筐明细!$G$4:$G$1203,$Z670-4000)),IF($Z670&lt;=5800,IF(INDEX(次果筐明细!$G$4:$G$603,$Z670-5200)=0,"",INDEX(次果筐明细!$G$4:$G$603,$Z670-5200)),"")))))</f>
        <v/>
      </c>
      <c r="I670" s="24" t="str">
        <f>IF($Z670="","",IF($Z670&lt;=2000,IF(INDEX(包装物料出入库明细!$G$4:$G$2003,$Z670-0)=0,"",INDEX(包装物料出入库明细!$G$4:$G$2003,$Z670-0)),IF($Z670&lt;=4000,"个",IF($Z670&lt;=5200,"个",IF($Z670&lt;=5800,"个","")))))</f>
        <v/>
      </c>
      <c r="J670" s="30" t="str">
        <f t="shared" si="31"/>
        <v/>
      </c>
      <c r="K670" s="30" t="str">
        <f>IF($Z670="","",IF($Z670&lt;=2000,IF(INDEX(包装物料出入库明细!$N$4:$N$2003,$Z670-0)=0,"",INDEX(包装物料出入库明细!$N$4:$N$2003,$Z670-0)),IF($Z670&lt;=4000,IF(INDEX(周转筐出入库明细!$P$4:$P$2004,$Z670-2000)=0,"",INDEX(周转筐出入库明细!$P$4:$P$2004,$Z670-2000)),IF($Z670&lt;=5200,"",IF($Z670&lt;=5800,N(INDEX(次果筐明细!$L$4:$L$603,$Z670-5200))+N(INDEX(次果筐明细!$J$4:$J$603,$Z670-5200)),"")))))</f>
        <v/>
      </c>
      <c r="L670" s="24" t="str">
        <f>IF($Z670="","",IF($Z670&lt;=2000,IF(INDEX(包装物料出入库明细!$P$4:$P$2003,$Z670-0)=0,"",INDEX(包装物料出入库明细!$P$4:$P$2003,$Z670-0)),IF($Z670&lt;=4000,IF(INDEX(周转筐出入库明细!$Q$4:$Q$2004,$Z670-2000)=0,"",INDEX(周转筐出入库明细!$Q$4:$Q$2004,$Z670-2000)),IF($Z670&lt;=5200,"",IF($Z670&lt;=5800,IF(INDEX(次果筐明细!$M$4:$M$603,$Z670-5200)=0,"",INDEX(次果筐明细!$M$4:$M$603,$Z670-5200)),"")))))</f>
        <v/>
      </c>
      <c r="M670" s="37" t="str">
        <f>IF($Z670="","",IF($Z670&lt;=2000,IF(INDEX(包装物料出入库明细!$R$4:$R$2003,$Z670-0)=0,"",INDEX(包装物料出入库明细!$R$4:$R$2003,$Z670-0)),IF($Z670&lt;=4000,IF(INDEX(周转筐出入库明细!$W$4:$W$2004,$Z670-2000)=0,"",INDEX(周转筐出入库明细!$W$4:$W$2004,$Z670-2000)),IF($Z670&lt;=5200,IF(INDEX(客户自备加工筐明细!$L$4:$L$1203,$Z670-4000)=0,"",INDEX(客户自备加工筐明细!$L$4:$L$1203,$Z670-4000)),IF($Z670&lt;=5800,IF(INDEX(次果筐明细!$P$4:$P$603,$Z670-5200)=0,"",INDEX(次果筐明细!$P$4:$P$603,$Z670-5200)),"")))))</f>
        <v/>
      </c>
      <c r="N670" s="16" t="str">
        <f>IF($Z670="","",IF($Z670&lt;=2000,"",IF($Z670&lt;=4000,IF(INDEX(周转筐出入库明细!$D$4:$D$2004,$Z670-2000)=0,"",INDEX(周转筐出入库明细!$D$4:$D$2004,$Z670-2000)),IF($Z670&lt;=5200,IF(INDEX(客户自备加工筐明细!$C$4:$C$1203,$Z670-4000)=0,"",INDEX(客户自备加工筐明细!$C$4:$C$1203,$Z670-4000)),IF($Z670&lt;=5800,IF(INDEX(次果筐明细!$D$4:$D$603,$Z670-5200)=0,"",INDEX(次果筐明细!$D$4:$D$603,$Z670-5200)),"")))))</f>
        <v/>
      </c>
      <c r="O670" s="40" t="str">
        <f>IF($Z670="","",IF($Z670&lt;=2000,"",IF($Z670&lt;=4000,IF(N(INDEX(周转筐出入库明细!$J$4:$J$2004,$Z670-2000))+N(INDEX(周转筐出入库明细!$K$4:$K$2004,$Z670-2000))=0,"",N(INDEX(周转筐出入库明细!$J$4:$J$2004,$Z670-2000))+N(INDEX(周转筐出入库明细!$K$4:$K$2004,$Z670-2000))),IF($Z670&lt;=5200,IF(N(INDEX(客户自备加工筐明细!$G$4:$G$1203,$Z670-4000))=0,"",N(INDEX(客户自备加工筐明细!$G$4:$G$1203,$Z670-4000))),IF($Z670&lt;=5800,IF(ISNUMBER(SEARCH("退",INDEX(次果筐明细!$F$4:$F$603,$Z670-5200)&amp;"")),"",IF(N(INDEX(次果筐明细!$G$4:$G$603,$Z670-5200))=0,"",N(INDEX(次果筐明细!$G$4:$G$603,$Z670-5200)))),"")))))</f>
        <v/>
      </c>
      <c r="P670" s="40" t="str">
        <f>IF($Z670="","",IF($Z670&lt;=2000,"",IF($Z670&lt;=4000,IF(N(INDEX(周转筐出入库明细!$I$4:$I$2004,$Z670-2000))=0,"",N(INDEX(周转筐出入库明细!$I$4:$I$2004,$Z670-2000))),IF($Z670&lt;=5200,"",IF($Z670&lt;=5800,IF(ISNUMBER(SEARCH("退",INDEX(次果筐明细!$F$4:$F$603,$Z670-5200)&amp;"")),IF(N(INDEX(次果筐明细!$G$4:$G$603,$Z670-5200))=0,"",N(INDEX(次果筐明细!$G$4:$G$603,$Z670-5200))),""),"")))))</f>
        <v/>
      </c>
      <c r="Q670" s="40" t="str">
        <f>IF($Z670="","",IF($Z670&lt;=2000,"",IF($Z670&lt;=4000,IF(N(INDEX(周转筐出入库明细!$H$4:$H$2004,$Z670-2000))=0,"",N(INDEX(周转筐出入库明细!$H$4:$H$2004,$Z670-2000))),IF($Z670&lt;=5200,IF(N(INDEX(客户自备加工筐明细!$F$4:$F$1203,$Z670-4000))=0,"",N(INDEX(客户自备加工筐明细!$F$4:$F$1203,$Z670-4000))),IF($Z670&lt;=5800,"","")))))</f>
        <v/>
      </c>
      <c r="R670" s="16" t="str">
        <f>IF($Z670="","",IF($Z670&lt;=2000,IF(INDEX(包装物料出入库明细!$O$4:$O$2003,$Z670-0)=0,"",INDEX(包装物料出入库明细!$O$4:$O$2003,$Z670-0)),IF($Z670&lt;=4000,IF(INDEX(周转筐出入库明细!$M$4:$M$2004,$Z670-2000)=0,"",INDEX(周转筐出入库明细!$M$4:$M$2004,$Z670-2000)),IF($Z670&lt;=5200,IF(INDEX(客户自备加工筐明细!$H$4:$H$1203,$Z670-4000)=0,"",INDEX(客户自备加工筐明细!$H$4:$H$1203,$Z670-4000)),IF($Z670&lt;=5800,IF(INDEX(次果筐明细!$H$4:$H$603,$Z670-5200)=0,"",INDEX(次果筐明细!$H$4:$H$603,$Z670-5200)),"")))))</f>
        <v/>
      </c>
      <c r="S670" s="22" t="str">
        <f t="shared" si="32"/>
        <v/>
      </c>
      <c r="Z670" s="10" t="str">
        <f>IFERROR(MATCH(ROW()-3,_自动清单!$CQ$4:$CQ$5803,0),"")</f>
        <v/>
      </c>
    </row>
    <row r="671" spans="1:26">
      <c r="A671" s="24" t="str">
        <f t="shared" si="30"/>
        <v/>
      </c>
      <c r="B671" s="38" t="str">
        <f>IF($Z671="","",IF($Z671&lt;=2000,IF(INDEX(包装物料出入库明细!$B$4:$B$2003,$Z671-0)=0,"",INDEX(包装物料出入库明细!$B$4:$B$2003,$Z671-0)),IF($Z671&lt;=4000,IF(INDEX(周转筐出入库明细!$B$4:$B$2004,$Z671-2000)=0,"",INDEX(周转筐出入库明细!$B$4:$B$2004,$Z671-2000)),IF($Z671&lt;=5200,IF(INDEX(客户自备加工筐明细!$B$4:$B$1203,$Z671-4000)=0,"",INDEX(客户自备加工筐明细!$B$4:$B$1203,$Z671-4000)),IF($Z671&lt;=5800,IF(INDEX(次果筐明细!$B$4:$B$603,$Z671-5200)=0,"",INDEX(次果筐明细!$B$4:$B$603,$Z671-5200)),"")))))</f>
        <v/>
      </c>
      <c r="C671" s="37" t="str">
        <f>IF($Z671="","",IF($Z671&lt;=2000,IF(INDEX(包装物料出入库明细!$D$4:$D$2003,$Z671-0)=0,"",INDEX(包装物料出入库明细!$D$4:$D$2003,$Z671-0)),IF($Z671&lt;=4000,IF(INDEX(周转筐出入库明细!$C$4:$C$2004,$Z671-2000)=0,"",INDEX(周转筐出入库明细!$C$4:$C$2004,$Z671-2000)),IF($Z671&lt;=5200,IF(INDEX(客户自备加工筐明细!$E$4:$E$1203,$Z671-4000)=0,"",INDEX(客户自备加工筐明细!$E$4:$E$1203,$Z671-4000)),IF($Z671&lt;=5800,IF(INDEX(次果筐明细!$C$4:$C$603,$Z671-5200)=0,"",INDEX(次果筐明细!$C$4:$C$603,$Z671-5200)),"")))))</f>
        <v/>
      </c>
      <c r="D671" s="37" t="str">
        <f>IF($Z671="","",IF($Z671&lt;=2000,"包装物料－"&amp;INDEX(包装物料出入库明细!$H$4:$H$2003,$Z671-0),IF($Z671&lt;=4000,"周转筐－"&amp;INDEX(周转筐出入库明细!$F$4:$F$2004,$Z671-2000),IF($Z671&lt;=5200,"客户自备筐－"&amp;INDEX(客户自备加工筐明细!$J$4:$J$1203,$Z671-4000),IF($Z671&lt;=5800,"次果筐/托盘－"&amp;INDEX(次果筐明细!$F$4:$F$603,$Z671-5200),"")))))</f>
        <v/>
      </c>
      <c r="E671" s="24" t="str">
        <f>IF($Z671="","",IF($Z671&lt;=2000,IF(INDEX(包装物料出入库明细!$C$4:$C$2003,$Z671-0)=0,"",INDEX(包装物料出入库明细!$C$4:$C$2003,$Z671-0)),IF($Z671&lt;=4000,IF(INDEX(周转筐出入库明细!$E$4:$E$2004,$Z671-2000)=0,"",INDEX(周转筐出入库明细!$E$4:$E$2004,$Z671-2000)),IF($Z671&lt;=5200,IF(INDEX(客户自备加工筐明细!$D$4:$D$1203,$Z671-4000)=0,"",INDEX(客户自备加工筐明细!$D$4:$D$1203,$Z671-4000)),IF($Z671&lt;=5800,IF(INDEX(次果筐明细!$E$4:$E$603,$Z671-5200)=0,"",INDEX(次果筐明细!$E$4:$E$603,$Z671-5200)),"")))))</f>
        <v/>
      </c>
      <c r="F671" s="24" t="str">
        <f>IF($Z671="","",IF($Z671&lt;=2000,IF(INDEX(包装物料出入库明细!$E$4:$E$2003,$Z671-0)=0,"",INDEX(包装物料出入库明细!$E$4:$E$2003,$Z671-0)),IF($Z671&lt;=4000,IF(INDEX(周转筐出入库明细!$D$4:$D$2004,$Z671-2000)=0,"",INDEX(周转筐出入库明细!$D$4:$D$2004,$Z671-2000)),IF($Z671&lt;=5200,IF(INDEX(客户自备加工筐明细!$C$4:$C$1203,$Z671-4000)=0,"",INDEX(客户自备加工筐明细!$C$4:$C$1203,$Z671-4000)),IF($Z671&lt;=5800,IF(INDEX(次果筐明细!$D$4:$D$603,$Z671-5200)=0,"",INDEX(次果筐明细!$D$4:$D$603,$Z671-5200)),"")))))</f>
        <v/>
      </c>
      <c r="G671" s="24" t="str">
        <f>IF($Z671="","",IF($Z671&lt;=2000,IF(INDEX(包装物料出入库明细!$F$4:$F$2003,$Z671-0)=0,"",INDEX(包装物料出入库明细!$F$4:$F$2003,$Z671-0)),IF($Z671&lt;=4000,"",IF($Z671&lt;=5200,"",IF($Z671&lt;=5800,"","")))))</f>
        <v/>
      </c>
      <c r="H671" s="39" t="str">
        <f>IF($Z671="","",IF($Z671&lt;=2000,IF(INDEX(包装物料出入库明细!$L$4:$L$2003,$Z671-0)=0,"",INDEX(包装物料出入库明细!$L$4:$L$2003,$Z671-0)),IF($Z671&lt;=4000,N(INDEX(周转筐出入库明细!$H$4:$H$2004,$Z671-2000))+N(INDEX(周转筐出入库明细!$I$4:$I$2004,$Z671-2000))+N(INDEX(周转筐出入库明细!$J$4:$J$2004,$Z671-2000))+N(INDEX(周转筐出入库明细!$K$4:$K$2004,$Z671-2000)),IF($Z671&lt;=5200,N(INDEX(客户自备加工筐明细!$F$4:$F$1203,$Z671-4000))+N(INDEX(客户自备加工筐明细!$G$4:$G$1203,$Z671-4000)),IF($Z671&lt;=5800,IF(INDEX(次果筐明细!$G$4:$G$603,$Z671-5200)=0,"",INDEX(次果筐明细!$G$4:$G$603,$Z671-5200)),"")))))</f>
        <v/>
      </c>
      <c r="I671" s="24" t="str">
        <f>IF($Z671="","",IF($Z671&lt;=2000,IF(INDEX(包装物料出入库明细!$G$4:$G$2003,$Z671-0)=0,"",INDEX(包装物料出入库明细!$G$4:$G$2003,$Z671-0)),IF($Z671&lt;=4000,"个",IF($Z671&lt;=5200,"个",IF($Z671&lt;=5800,"个","")))))</f>
        <v/>
      </c>
      <c r="J671" s="30" t="str">
        <f t="shared" si="31"/>
        <v/>
      </c>
      <c r="K671" s="30" t="str">
        <f>IF($Z671="","",IF($Z671&lt;=2000,IF(INDEX(包装物料出入库明细!$N$4:$N$2003,$Z671-0)=0,"",INDEX(包装物料出入库明细!$N$4:$N$2003,$Z671-0)),IF($Z671&lt;=4000,IF(INDEX(周转筐出入库明细!$P$4:$P$2004,$Z671-2000)=0,"",INDEX(周转筐出入库明细!$P$4:$P$2004,$Z671-2000)),IF($Z671&lt;=5200,"",IF($Z671&lt;=5800,N(INDEX(次果筐明细!$L$4:$L$603,$Z671-5200))+N(INDEX(次果筐明细!$J$4:$J$603,$Z671-5200)),"")))))</f>
        <v/>
      </c>
      <c r="L671" s="24" t="str">
        <f>IF($Z671="","",IF($Z671&lt;=2000,IF(INDEX(包装物料出入库明细!$P$4:$P$2003,$Z671-0)=0,"",INDEX(包装物料出入库明细!$P$4:$P$2003,$Z671-0)),IF($Z671&lt;=4000,IF(INDEX(周转筐出入库明细!$Q$4:$Q$2004,$Z671-2000)=0,"",INDEX(周转筐出入库明细!$Q$4:$Q$2004,$Z671-2000)),IF($Z671&lt;=5200,"",IF($Z671&lt;=5800,IF(INDEX(次果筐明细!$M$4:$M$603,$Z671-5200)=0,"",INDEX(次果筐明细!$M$4:$M$603,$Z671-5200)),"")))))</f>
        <v/>
      </c>
      <c r="M671" s="37" t="str">
        <f>IF($Z671="","",IF($Z671&lt;=2000,IF(INDEX(包装物料出入库明细!$R$4:$R$2003,$Z671-0)=0,"",INDEX(包装物料出入库明细!$R$4:$R$2003,$Z671-0)),IF($Z671&lt;=4000,IF(INDEX(周转筐出入库明细!$W$4:$W$2004,$Z671-2000)=0,"",INDEX(周转筐出入库明细!$W$4:$W$2004,$Z671-2000)),IF($Z671&lt;=5200,IF(INDEX(客户自备加工筐明细!$L$4:$L$1203,$Z671-4000)=0,"",INDEX(客户自备加工筐明细!$L$4:$L$1203,$Z671-4000)),IF($Z671&lt;=5800,IF(INDEX(次果筐明细!$P$4:$P$603,$Z671-5200)=0,"",INDEX(次果筐明细!$P$4:$P$603,$Z671-5200)),"")))))</f>
        <v/>
      </c>
      <c r="N671" s="16" t="str">
        <f>IF($Z671="","",IF($Z671&lt;=2000,"",IF($Z671&lt;=4000,IF(INDEX(周转筐出入库明细!$D$4:$D$2004,$Z671-2000)=0,"",INDEX(周转筐出入库明细!$D$4:$D$2004,$Z671-2000)),IF($Z671&lt;=5200,IF(INDEX(客户自备加工筐明细!$C$4:$C$1203,$Z671-4000)=0,"",INDEX(客户自备加工筐明细!$C$4:$C$1203,$Z671-4000)),IF($Z671&lt;=5800,IF(INDEX(次果筐明细!$D$4:$D$603,$Z671-5200)=0,"",INDEX(次果筐明细!$D$4:$D$603,$Z671-5200)),"")))))</f>
        <v/>
      </c>
      <c r="O671" s="40" t="str">
        <f>IF($Z671="","",IF($Z671&lt;=2000,"",IF($Z671&lt;=4000,IF(N(INDEX(周转筐出入库明细!$J$4:$J$2004,$Z671-2000))+N(INDEX(周转筐出入库明细!$K$4:$K$2004,$Z671-2000))=0,"",N(INDEX(周转筐出入库明细!$J$4:$J$2004,$Z671-2000))+N(INDEX(周转筐出入库明细!$K$4:$K$2004,$Z671-2000))),IF($Z671&lt;=5200,IF(N(INDEX(客户自备加工筐明细!$G$4:$G$1203,$Z671-4000))=0,"",N(INDEX(客户自备加工筐明细!$G$4:$G$1203,$Z671-4000))),IF($Z671&lt;=5800,IF(ISNUMBER(SEARCH("退",INDEX(次果筐明细!$F$4:$F$603,$Z671-5200)&amp;"")),"",IF(N(INDEX(次果筐明细!$G$4:$G$603,$Z671-5200))=0,"",N(INDEX(次果筐明细!$G$4:$G$603,$Z671-5200)))),"")))))</f>
        <v/>
      </c>
      <c r="P671" s="40" t="str">
        <f>IF($Z671="","",IF($Z671&lt;=2000,"",IF($Z671&lt;=4000,IF(N(INDEX(周转筐出入库明细!$I$4:$I$2004,$Z671-2000))=0,"",N(INDEX(周转筐出入库明细!$I$4:$I$2004,$Z671-2000))),IF($Z671&lt;=5200,"",IF($Z671&lt;=5800,IF(ISNUMBER(SEARCH("退",INDEX(次果筐明细!$F$4:$F$603,$Z671-5200)&amp;"")),IF(N(INDEX(次果筐明细!$G$4:$G$603,$Z671-5200))=0,"",N(INDEX(次果筐明细!$G$4:$G$603,$Z671-5200))),""),"")))))</f>
        <v/>
      </c>
      <c r="Q671" s="40" t="str">
        <f>IF($Z671="","",IF($Z671&lt;=2000,"",IF($Z671&lt;=4000,IF(N(INDEX(周转筐出入库明细!$H$4:$H$2004,$Z671-2000))=0,"",N(INDEX(周转筐出入库明细!$H$4:$H$2004,$Z671-2000))),IF($Z671&lt;=5200,IF(N(INDEX(客户自备加工筐明细!$F$4:$F$1203,$Z671-4000))=0,"",N(INDEX(客户自备加工筐明细!$F$4:$F$1203,$Z671-4000))),IF($Z671&lt;=5800,"","")))))</f>
        <v/>
      </c>
      <c r="R671" s="16" t="str">
        <f>IF($Z671="","",IF($Z671&lt;=2000,IF(INDEX(包装物料出入库明细!$O$4:$O$2003,$Z671-0)=0,"",INDEX(包装物料出入库明细!$O$4:$O$2003,$Z671-0)),IF($Z671&lt;=4000,IF(INDEX(周转筐出入库明细!$M$4:$M$2004,$Z671-2000)=0,"",INDEX(周转筐出入库明细!$M$4:$M$2004,$Z671-2000)),IF($Z671&lt;=5200,IF(INDEX(客户自备加工筐明细!$H$4:$H$1203,$Z671-4000)=0,"",INDEX(客户自备加工筐明细!$H$4:$H$1203,$Z671-4000)),IF($Z671&lt;=5800,IF(INDEX(次果筐明细!$H$4:$H$603,$Z671-5200)=0,"",INDEX(次果筐明细!$H$4:$H$603,$Z671-5200)),"")))))</f>
        <v/>
      </c>
      <c r="S671" s="22" t="str">
        <f t="shared" si="32"/>
        <v/>
      </c>
      <c r="Z671" s="10" t="str">
        <f>IFERROR(MATCH(ROW()-3,_自动清单!$CQ$4:$CQ$5803,0),"")</f>
        <v/>
      </c>
    </row>
    <row r="672" spans="1:26">
      <c r="A672" s="24" t="str">
        <f t="shared" si="30"/>
        <v/>
      </c>
      <c r="B672" s="38" t="str">
        <f>IF($Z672="","",IF($Z672&lt;=2000,IF(INDEX(包装物料出入库明细!$B$4:$B$2003,$Z672-0)=0,"",INDEX(包装物料出入库明细!$B$4:$B$2003,$Z672-0)),IF($Z672&lt;=4000,IF(INDEX(周转筐出入库明细!$B$4:$B$2004,$Z672-2000)=0,"",INDEX(周转筐出入库明细!$B$4:$B$2004,$Z672-2000)),IF($Z672&lt;=5200,IF(INDEX(客户自备加工筐明细!$B$4:$B$1203,$Z672-4000)=0,"",INDEX(客户自备加工筐明细!$B$4:$B$1203,$Z672-4000)),IF($Z672&lt;=5800,IF(INDEX(次果筐明细!$B$4:$B$603,$Z672-5200)=0,"",INDEX(次果筐明细!$B$4:$B$603,$Z672-5200)),"")))))</f>
        <v/>
      </c>
      <c r="C672" s="37" t="str">
        <f>IF($Z672="","",IF($Z672&lt;=2000,IF(INDEX(包装物料出入库明细!$D$4:$D$2003,$Z672-0)=0,"",INDEX(包装物料出入库明细!$D$4:$D$2003,$Z672-0)),IF($Z672&lt;=4000,IF(INDEX(周转筐出入库明细!$C$4:$C$2004,$Z672-2000)=0,"",INDEX(周转筐出入库明细!$C$4:$C$2004,$Z672-2000)),IF($Z672&lt;=5200,IF(INDEX(客户自备加工筐明细!$E$4:$E$1203,$Z672-4000)=0,"",INDEX(客户自备加工筐明细!$E$4:$E$1203,$Z672-4000)),IF($Z672&lt;=5800,IF(INDEX(次果筐明细!$C$4:$C$603,$Z672-5200)=0,"",INDEX(次果筐明细!$C$4:$C$603,$Z672-5200)),"")))))</f>
        <v/>
      </c>
      <c r="D672" s="37" t="str">
        <f>IF($Z672="","",IF($Z672&lt;=2000,"包装物料－"&amp;INDEX(包装物料出入库明细!$H$4:$H$2003,$Z672-0),IF($Z672&lt;=4000,"周转筐－"&amp;INDEX(周转筐出入库明细!$F$4:$F$2004,$Z672-2000),IF($Z672&lt;=5200,"客户自备筐－"&amp;INDEX(客户自备加工筐明细!$J$4:$J$1203,$Z672-4000),IF($Z672&lt;=5800,"次果筐/托盘－"&amp;INDEX(次果筐明细!$F$4:$F$603,$Z672-5200),"")))))</f>
        <v/>
      </c>
      <c r="E672" s="24" t="str">
        <f>IF($Z672="","",IF($Z672&lt;=2000,IF(INDEX(包装物料出入库明细!$C$4:$C$2003,$Z672-0)=0,"",INDEX(包装物料出入库明细!$C$4:$C$2003,$Z672-0)),IF($Z672&lt;=4000,IF(INDEX(周转筐出入库明细!$E$4:$E$2004,$Z672-2000)=0,"",INDEX(周转筐出入库明细!$E$4:$E$2004,$Z672-2000)),IF($Z672&lt;=5200,IF(INDEX(客户自备加工筐明细!$D$4:$D$1203,$Z672-4000)=0,"",INDEX(客户自备加工筐明细!$D$4:$D$1203,$Z672-4000)),IF($Z672&lt;=5800,IF(INDEX(次果筐明细!$E$4:$E$603,$Z672-5200)=0,"",INDEX(次果筐明细!$E$4:$E$603,$Z672-5200)),"")))))</f>
        <v/>
      </c>
      <c r="F672" s="24" t="str">
        <f>IF($Z672="","",IF($Z672&lt;=2000,IF(INDEX(包装物料出入库明细!$E$4:$E$2003,$Z672-0)=0,"",INDEX(包装物料出入库明细!$E$4:$E$2003,$Z672-0)),IF($Z672&lt;=4000,IF(INDEX(周转筐出入库明细!$D$4:$D$2004,$Z672-2000)=0,"",INDEX(周转筐出入库明细!$D$4:$D$2004,$Z672-2000)),IF($Z672&lt;=5200,IF(INDEX(客户自备加工筐明细!$C$4:$C$1203,$Z672-4000)=0,"",INDEX(客户自备加工筐明细!$C$4:$C$1203,$Z672-4000)),IF($Z672&lt;=5800,IF(INDEX(次果筐明细!$D$4:$D$603,$Z672-5200)=0,"",INDEX(次果筐明细!$D$4:$D$603,$Z672-5200)),"")))))</f>
        <v/>
      </c>
      <c r="G672" s="24" t="str">
        <f>IF($Z672="","",IF($Z672&lt;=2000,IF(INDEX(包装物料出入库明细!$F$4:$F$2003,$Z672-0)=0,"",INDEX(包装物料出入库明细!$F$4:$F$2003,$Z672-0)),IF($Z672&lt;=4000,"",IF($Z672&lt;=5200,"",IF($Z672&lt;=5800,"","")))))</f>
        <v/>
      </c>
      <c r="H672" s="39" t="str">
        <f>IF($Z672="","",IF($Z672&lt;=2000,IF(INDEX(包装物料出入库明细!$L$4:$L$2003,$Z672-0)=0,"",INDEX(包装物料出入库明细!$L$4:$L$2003,$Z672-0)),IF($Z672&lt;=4000,N(INDEX(周转筐出入库明细!$H$4:$H$2004,$Z672-2000))+N(INDEX(周转筐出入库明细!$I$4:$I$2004,$Z672-2000))+N(INDEX(周转筐出入库明细!$J$4:$J$2004,$Z672-2000))+N(INDEX(周转筐出入库明细!$K$4:$K$2004,$Z672-2000)),IF($Z672&lt;=5200,N(INDEX(客户自备加工筐明细!$F$4:$F$1203,$Z672-4000))+N(INDEX(客户自备加工筐明细!$G$4:$G$1203,$Z672-4000)),IF($Z672&lt;=5800,IF(INDEX(次果筐明细!$G$4:$G$603,$Z672-5200)=0,"",INDEX(次果筐明细!$G$4:$G$603,$Z672-5200)),"")))))</f>
        <v/>
      </c>
      <c r="I672" s="24" t="str">
        <f>IF($Z672="","",IF($Z672&lt;=2000,IF(INDEX(包装物料出入库明细!$G$4:$G$2003,$Z672-0)=0,"",INDEX(包装物料出入库明细!$G$4:$G$2003,$Z672-0)),IF($Z672&lt;=4000,"个",IF($Z672&lt;=5200,"个",IF($Z672&lt;=5800,"个","")))))</f>
        <v/>
      </c>
      <c r="J672" s="30" t="str">
        <f t="shared" si="31"/>
        <v/>
      </c>
      <c r="K672" s="30" t="str">
        <f>IF($Z672="","",IF($Z672&lt;=2000,IF(INDEX(包装物料出入库明细!$N$4:$N$2003,$Z672-0)=0,"",INDEX(包装物料出入库明细!$N$4:$N$2003,$Z672-0)),IF($Z672&lt;=4000,IF(INDEX(周转筐出入库明细!$P$4:$P$2004,$Z672-2000)=0,"",INDEX(周转筐出入库明细!$P$4:$P$2004,$Z672-2000)),IF($Z672&lt;=5200,"",IF($Z672&lt;=5800,N(INDEX(次果筐明细!$L$4:$L$603,$Z672-5200))+N(INDEX(次果筐明细!$J$4:$J$603,$Z672-5200)),"")))))</f>
        <v/>
      </c>
      <c r="L672" s="24" t="str">
        <f>IF($Z672="","",IF($Z672&lt;=2000,IF(INDEX(包装物料出入库明细!$P$4:$P$2003,$Z672-0)=0,"",INDEX(包装物料出入库明细!$P$4:$P$2003,$Z672-0)),IF($Z672&lt;=4000,IF(INDEX(周转筐出入库明细!$Q$4:$Q$2004,$Z672-2000)=0,"",INDEX(周转筐出入库明细!$Q$4:$Q$2004,$Z672-2000)),IF($Z672&lt;=5200,"",IF($Z672&lt;=5800,IF(INDEX(次果筐明细!$M$4:$M$603,$Z672-5200)=0,"",INDEX(次果筐明细!$M$4:$M$603,$Z672-5200)),"")))))</f>
        <v/>
      </c>
      <c r="M672" s="37" t="str">
        <f>IF($Z672="","",IF($Z672&lt;=2000,IF(INDEX(包装物料出入库明细!$R$4:$R$2003,$Z672-0)=0,"",INDEX(包装物料出入库明细!$R$4:$R$2003,$Z672-0)),IF($Z672&lt;=4000,IF(INDEX(周转筐出入库明细!$W$4:$W$2004,$Z672-2000)=0,"",INDEX(周转筐出入库明细!$W$4:$W$2004,$Z672-2000)),IF($Z672&lt;=5200,IF(INDEX(客户自备加工筐明细!$L$4:$L$1203,$Z672-4000)=0,"",INDEX(客户自备加工筐明细!$L$4:$L$1203,$Z672-4000)),IF($Z672&lt;=5800,IF(INDEX(次果筐明细!$P$4:$P$603,$Z672-5200)=0,"",INDEX(次果筐明细!$P$4:$P$603,$Z672-5200)),"")))))</f>
        <v/>
      </c>
      <c r="N672" s="16" t="str">
        <f>IF($Z672="","",IF($Z672&lt;=2000,"",IF($Z672&lt;=4000,IF(INDEX(周转筐出入库明细!$D$4:$D$2004,$Z672-2000)=0,"",INDEX(周转筐出入库明细!$D$4:$D$2004,$Z672-2000)),IF($Z672&lt;=5200,IF(INDEX(客户自备加工筐明细!$C$4:$C$1203,$Z672-4000)=0,"",INDEX(客户自备加工筐明细!$C$4:$C$1203,$Z672-4000)),IF($Z672&lt;=5800,IF(INDEX(次果筐明细!$D$4:$D$603,$Z672-5200)=0,"",INDEX(次果筐明细!$D$4:$D$603,$Z672-5200)),"")))))</f>
        <v/>
      </c>
      <c r="O672" s="40" t="str">
        <f>IF($Z672="","",IF($Z672&lt;=2000,"",IF($Z672&lt;=4000,IF(N(INDEX(周转筐出入库明细!$J$4:$J$2004,$Z672-2000))+N(INDEX(周转筐出入库明细!$K$4:$K$2004,$Z672-2000))=0,"",N(INDEX(周转筐出入库明细!$J$4:$J$2004,$Z672-2000))+N(INDEX(周转筐出入库明细!$K$4:$K$2004,$Z672-2000))),IF($Z672&lt;=5200,IF(N(INDEX(客户自备加工筐明细!$G$4:$G$1203,$Z672-4000))=0,"",N(INDEX(客户自备加工筐明细!$G$4:$G$1203,$Z672-4000))),IF($Z672&lt;=5800,IF(ISNUMBER(SEARCH("退",INDEX(次果筐明细!$F$4:$F$603,$Z672-5200)&amp;"")),"",IF(N(INDEX(次果筐明细!$G$4:$G$603,$Z672-5200))=0,"",N(INDEX(次果筐明细!$G$4:$G$603,$Z672-5200)))),"")))))</f>
        <v/>
      </c>
      <c r="P672" s="40" t="str">
        <f>IF($Z672="","",IF($Z672&lt;=2000,"",IF($Z672&lt;=4000,IF(N(INDEX(周转筐出入库明细!$I$4:$I$2004,$Z672-2000))=0,"",N(INDEX(周转筐出入库明细!$I$4:$I$2004,$Z672-2000))),IF($Z672&lt;=5200,"",IF($Z672&lt;=5800,IF(ISNUMBER(SEARCH("退",INDEX(次果筐明细!$F$4:$F$603,$Z672-5200)&amp;"")),IF(N(INDEX(次果筐明细!$G$4:$G$603,$Z672-5200))=0,"",N(INDEX(次果筐明细!$G$4:$G$603,$Z672-5200))),""),"")))))</f>
        <v/>
      </c>
      <c r="Q672" s="40" t="str">
        <f>IF($Z672="","",IF($Z672&lt;=2000,"",IF($Z672&lt;=4000,IF(N(INDEX(周转筐出入库明细!$H$4:$H$2004,$Z672-2000))=0,"",N(INDEX(周转筐出入库明细!$H$4:$H$2004,$Z672-2000))),IF($Z672&lt;=5200,IF(N(INDEX(客户自备加工筐明细!$F$4:$F$1203,$Z672-4000))=0,"",N(INDEX(客户自备加工筐明细!$F$4:$F$1203,$Z672-4000))),IF($Z672&lt;=5800,"","")))))</f>
        <v/>
      </c>
      <c r="R672" s="16" t="str">
        <f>IF($Z672="","",IF($Z672&lt;=2000,IF(INDEX(包装物料出入库明细!$O$4:$O$2003,$Z672-0)=0,"",INDEX(包装物料出入库明细!$O$4:$O$2003,$Z672-0)),IF($Z672&lt;=4000,IF(INDEX(周转筐出入库明细!$M$4:$M$2004,$Z672-2000)=0,"",INDEX(周转筐出入库明细!$M$4:$M$2004,$Z672-2000)),IF($Z672&lt;=5200,IF(INDEX(客户自备加工筐明细!$H$4:$H$1203,$Z672-4000)=0,"",INDEX(客户自备加工筐明细!$H$4:$H$1203,$Z672-4000)),IF($Z672&lt;=5800,IF(INDEX(次果筐明细!$H$4:$H$603,$Z672-5200)=0,"",INDEX(次果筐明细!$H$4:$H$603,$Z672-5200)),"")))))</f>
        <v/>
      </c>
      <c r="S672" s="22" t="str">
        <f t="shared" si="32"/>
        <v/>
      </c>
      <c r="Z672" s="10" t="str">
        <f>IFERROR(MATCH(ROW()-3,_自动清单!$CQ$4:$CQ$5803,0),"")</f>
        <v/>
      </c>
    </row>
    <row r="673" spans="1:26">
      <c r="A673" s="24" t="str">
        <f t="shared" si="30"/>
        <v/>
      </c>
      <c r="B673" s="38" t="str">
        <f>IF($Z673="","",IF($Z673&lt;=2000,IF(INDEX(包装物料出入库明细!$B$4:$B$2003,$Z673-0)=0,"",INDEX(包装物料出入库明细!$B$4:$B$2003,$Z673-0)),IF($Z673&lt;=4000,IF(INDEX(周转筐出入库明细!$B$4:$B$2004,$Z673-2000)=0,"",INDEX(周转筐出入库明细!$B$4:$B$2004,$Z673-2000)),IF($Z673&lt;=5200,IF(INDEX(客户自备加工筐明细!$B$4:$B$1203,$Z673-4000)=0,"",INDEX(客户自备加工筐明细!$B$4:$B$1203,$Z673-4000)),IF($Z673&lt;=5800,IF(INDEX(次果筐明细!$B$4:$B$603,$Z673-5200)=0,"",INDEX(次果筐明细!$B$4:$B$603,$Z673-5200)),"")))))</f>
        <v/>
      </c>
      <c r="C673" s="37" t="str">
        <f>IF($Z673="","",IF($Z673&lt;=2000,IF(INDEX(包装物料出入库明细!$D$4:$D$2003,$Z673-0)=0,"",INDEX(包装物料出入库明细!$D$4:$D$2003,$Z673-0)),IF($Z673&lt;=4000,IF(INDEX(周转筐出入库明细!$C$4:$C$2004,$Z673-2000)=0,"",INDEX(周转筐出入库明细!$C$4:$C$2004,$Z673-2000)),IF($Z673&lt;=5200,IF(INDEX(客户自备加工筐明细!$E$4:$E$1203,$Z673-4000)=0,"",INDEX(客户自备加工筐明细!$E$4:$E$1203,$Z673-4000)),IF($Z673&lt;=5800,IF(INDEX(次果筐明细!$C$4:$C$603,$Z673-5200)=0,"",INDEX(次果筐明细!$C$4:$C$603,$Z673-5200)),"")))))</f>
        <v/>
      </c>
      <c r="D673" s="37" t="str">
        <f>IF($Z673="","",IF($Z673&lt;=2000,"包装物料－"&amp;INDEX(包装物料出入库明细!$H$4:$H$2003,$Z673-0),IF($Z673&lt;=4000,"周转筐－"&amp;INDEX(周转筐出入库明细!$F$4:$F$2004,$Z673-2000),IF($Z673&lt;=5200,"客户自备筐－"&amp;INDEX(客户自备加工筐明细!$J$4:$J$1203,$Z673-4000),IF($Z673&lt;=5800,"次果筐/托盘－"&amp;INDEX(次果筐明细!$F$4:$F$603,$Z673-5200),"")))))</f>
        <v/>
      </c>
      <c r="E673" s="24" t="str">
        <f>IF($Z673="","",IF($Z673&lt;=2000,IF(INDEX(包装物料出入库明细!$C$4:$C$2003,$Z673-0)=0,"",INDEX(包装物料出入库明细!$C$4:$C$2003,$Z673-0)),IF($Z673&lt;=4000,IF(INDEX(周转筐出入库明细!$E$4:$E$2004,$Z673-2000)=0,"",INDEX(周转筐出入库明细!$E$4:$E$2004,$Z673-2000)),IF($Z673&lt;=5200,IF(INDEX(客户自备加工筐明细!$D$4:$D$1203,$Z673-4000)=0,"",INDEX(客户自备加工筐明细!$D$4:$D$1203,$Z673-4000)),IF($Z673&lt;=5800,IF(INDEX(次果筐明细!$E$4:$E$603,$Z673-5200)=0,"",INDEX(次果筐明细!$E$4:$E$603,$Z673-5200)),"")))))</f>
        <v/>
      </c>
      <c r="F673" s="24" t="str">
        <f>IF($Z673="","",IF($Z673&lt;=2000,IF(INDEX(包装物料出入库明细!$E$4:$E$2003,$Z673-0)=0,"",INDEX(包装物料出入库明细!$E$4:$E$2003,$Z673-0)),IF($Z673&lt;=4000,IF(INDEX(周转筐出入库明细!$D$4:$D$2004,$Z673-2000)=0,"",INDEX(周转筐出入库明细!$D$4:$D$2004,$Z673-2000)),IF($Z673&lt;=5200,IF(INDEX(客户自备加工筐明细!$C$4:$C$1203,$Z673-4000)=0,"",INDEX(客户自备加工筐明细!$C$4:$C$1203,$Z673-4000)),IF($Z673&lt;=5800,IF(INDEX(次果筐明细!$D$4:$D$603,$Z673-5200)=0,"",INDEX(次果筐明细!$D$4:$D$603,$Z673-5200)),"")))))</f>
        <v/>
      </c>
      <c r="G673" s="24" t="str">
        <f>IF($Z673="","",IF($Z673&lt;=2000,IF(INDEX(包装物料出入库明细!$F$4:$F$2003,$Z673-0)=0,"",INDEX(包装物料出入库明细!$F$4:$F$2003,$Z673-0)),IF($Z673&lt;=4000,"",IF($Z673&lt;=5200,"",IF($Z673&lt;=5800,"","")))))</f>
        <v/>
      </c>
      <c r="H673" s="39" t="str">
        <f>IF($Z673="","",IF($Z673&lt;=2000,IF(INDEX(包装物料出入库明细!$L$4:$L$2003,$Z673-0)=0,"",INDEX(包装物料出入库明细!$L$4:$L$2003,$Z673-0)),IF($Z673&lt;=4000,N(INDEX(周转筐出入库明细!$H$4:$H$2004,$Z673-2000))+N(INDEX(周转筐出入库明细!$I$4:$I$2004,$Z673-2000))+N(INDEX(周转筐出入库明细!$J$4:$J$2004,$Z673-2000))+N(INDEX(周转筐出入库明细!$K$4:$K$2004,$Z673-2000)),IF($Z673&lt;=5200,N(INDEX(客户自备加工筐明细!$F$4:$F$1203,$Z673-4000))+N(INDEX(客户自备加工筐明细!$G$4:$G$1203,$Z673-4000)),IF($Z673&lt;=5800,IF(INDEX(次果筐明细!$G$4:$G$603,$Z673-5200)=0,"",INDEX(次果筐明细!$G$4:$G$603,$Z673-5200)),"")))))</f>
        <v/>
      </c>
      <c r="I673" s="24" t="str">
        <f>IF($Z673="","",IF($Z673&lt;=2000,IF(INDEX(包装物料出入库明细!$G$4:$G$2003,$Z673-0)=0,"",INDEX(包装物料出入库明细!$G$4:$G$2003,$Z673-0)),IF($Z673&lt;=4000,"个",IF($Z673&lt;=5200,"个",IF($Z673&lt;=5800,"个","")))))</f>
        <v/>
      </c>
      <c r="J673" s="30" t="str">
        <f t="shared" si="31"/>
        <v/>
      </c>
      <c r="K673" s="30" t="str">
        <f>IF($Z673="","",IF($Z673&lt;=2000,IF(INDEX(包装物料出入库明细!$N$4:$N$2003,$Z673-0)=0,"",INDEX(包装物料出入库明细!$N$4:$N$2003,$Z673-0)),IF($Z673&lt;=4000,IF(INDEX(周转筐出入库明细!$P$4:$P$2004,$Z673-2000)=0,"",INDEX(周转筐出入库明细!$P$4:$P$2004,$Z673-2000)),IF($Z673&lt;=5200,"",IF($Z673&lt;=5800,N(INDEX(次果筐明细!$L$4:$L$603,$Z673-5200))+N(INDEX(次果筐明细!$J$4:$J$603,$Z673-5200)),"")))))</f>
        <v/>
      </c>
      <c r="L673" s="24" t="str">
        <f>IF($Z673="","",IF($Z673&lt;=2000,IF(INDEX(包装物料出入库明细!$P$4:$P$2003,$Z673-0)=0,"",INDEX(包装物料出入库明细!$P$4:$P$2003,$Z673-0)),IF($Z673&lt;=4000,IF(INDEX(周转筐出入库明细!$Q$4:$Q$2004,$Z673-2000)=0,"",INDEX(周转筐出入库明细!$Q$4:$Q$2004,$Z673-2000)),IF($Z673&lt;=5200,"",IF($Z673&lt;=5800,IF(INDEX(次果筐明细!$M$4:$M$603,$Z673-5200)=0,"",INDEX(次果筐明细!$M$4:$M$603,$Z673-5200)),"")))))</f>
        <v/>
      </c>
      <c r="M673" s="37" t="str">
        <f>IF($Z673="","",IF($Z673&lt;=2000,IF(INDEX(包装物料出入库明细!$R$4:$R$2003,$Z673-0)=0,"",INDEX(包装物料出入库明细!$R$4:$R$2003,$Z673-0)),IF($Z673&lt;=4000,IF(INDEX(周转筐出入库明细!$W$4:$W$2004,$Z673-2000)=0,"",INDEX(周转筐出入库明细!$W$4:$W$2004,$Z673-2000)),IF($Z673&lt;=5200,IF(INDEX(客户自备加工筐明细!$L$4:$L$1203,$Z673-4000)=0,"",INDEX(客户自备加工筐明细!$L$4:$L$1203,$Z673-4000)),IF($Z673&lt;=5800,IF(INDEX(次果筐明细!$P$4:$P$603,$Z673-5200)=0,"",INDEX(次果筐明细!$P$4:$P$603,$Z673-5200)),"")))))</f>
        <v/>
      </c>
      <c r="N673" s="16" t="str">
        <f>IF($Z673="","",IF($Z673&lt;=2000,"",IF($Z673&lt;=4000,IF(INDEX(周转筐出入库明细!$D$4:$D$2004,$Z673-2000)=0,"",INDEX(周转筐出入库明细!$D$4:$D$2004,$Z673-2000)),IF($Z673&lt;=5200,IF(INDEX(客户自备加工筐明细!$C$4:$C$1203,$Z673-4000)=0,"",INDEX(客户自备加工筐明细!$C$4:$C$1203,$Z673-4000)),IF($Z673&lt;=5800,IF(INDEX(次果筐明细!$D$4:$D$603,$Z673-5200)=0,"",INDEX(次果筐明细!$D$4:$D$603,$Z673-5200)),"")))))</f>
        <v/>
      </c>
      <c r="O673" s="40" t="str">
        <f>IF($Z673="","",IF($Z673&lt;=2000,"",IF($Z673&lt;=4000,IF(N(INDEX(周转筐出入库明细!$J$4:$J$2004,$Z673-2000))+N(INDEX(周转筐出入库明细!$K$4:$K$2004,$Z673-2000))=0,"",N(INDEX(周转筐出入库明细!$J$4:$J$2004,$Z673-2000))+N(INDEX(周转筐出入库明细!$K$4:$K$2004,$Z673-2000))),IF($Z673&lt;=5200,IF(N(INDEX(客户自备加工筐明细!$G$4:$G$1203,$Z673-4000))=0,"",N(INDEX(客户自备加工筐明细!$G$4:$G$1203,$Z673-4000))),IF($Z673&lt;=5800,IF(ISNUMBER(SEARCH("退",INDEX(次果筐明细!$F$4:$F$603,$Z673-5200)&amp;"")),"",IF(N(INDEX(次果筐明细!$G$4:$G$603,$Z673-5200))=0,"",N(INDEX(次果筐明细!$G$4:$G$603,$Z673-5200)))),"")))))</f>
        <v/>
      </c>
      <c r="P673" s="40" t="str">
        <f>IF($Z673="","",IF($Z673&lt;=2000,"",IF($Z673&lt;=4000,IF(N(INDEX(周转筐出入库明细!$I$4:$I$2004,$Z673-2000))=0,"",N(INDEX(周转筐出入库明细!$I$4:$I$2004,$Z673-2000))),IF($Z673&lt;=5200,"",IF($Z673&lt;=5800,IF(ISNUMBER(SEARCH("退",INDEX(次果筐明细!$F$4:$F$603,$Z673-5200)&amp;"")),IF(N(INDEX(次果筐明细!$G$4:$G$603,$Z673-5200))=0,"",N(INDEX(次果筐明细!$G$4:$G$603,$Z673-5200))),""),"")))))</f>
        <v/>
      </c>
      <c r="Q673" s="40" t="str">
        <f>IF($Z673="","",IF($Z673&lt;=2000,"",IF($Z673&lt;=4000,IF(N(INDEX(周转筐出入库明细!$H$4:$H$2004,$Z673-2000))=0,"",N(INDEX(周转筐出入库明细!$H$4:$H$2004,$Z673-2000))),IF($Z673&lt;=5200,IF(N(INDEX(客户自备加工筐明细!$F$4:$F$1203,$Z673-4000))=0,"",N(INDEX(客户自备加工筐明细!$F$4:$F$1203,$Z673-4000))),IF($Z673&lt;=5800,"","")))))</f>
        <v/>
      </c>
      <c r="R673" s="16" t="str">
        <f>IF($Z673="","",IF($Z673&lt;=2000,IF(INDEX(包装物料出入库明细!$O$4:$O$2003,$Z673-0)=0,"",INDEX(包装物料出入库明细!$O$4:$O$2003,$Z673-0)),IF($Z673&lt;=4000,IF(INDEX(周转筐出入库明细!$M$4:$M$2004,$Z673-2000)=0,"",INDEX(周转筐出入库明细!$M$4:$M$2004,$Z673-2000)),IF($Z673&lt;=5200,IF(INDEX(客户自备加工筐明细!$H$4:$H$1203,$Z673-4000)=0,"",INDEX(客户自备加工筐明细!$H$4:$H$1203,$Z673-4000)),IF($Z673&lt;=5800,IF(INDEX(次果筐明细!$H$4:$H$603,$Z673-5200)=0,"",INDEX(次果筐明细!$H$4:$H$603,$Z673-5200)),"")))))</f>
        <v/>
      </c>
      <c r="S673" s="22" t="str">
        <f t="shared" si="32"/>
        <v/>
      </c>
      <c r="Z673" s="10" t="str">
        <f>IFERROR(MATCH(ROW()-3,_自动清单!$CQ$4:$CQ$5803,0),"")</f>
        <v/>
      </c>
    </row>
    <row r="674" spans="1:26">
      <c r="A674" s="24" t="str">
        <f t="shared" si="30"/>
        <v/>
      </c>
      <c r="B674" s="38" t="str">
        <f>IF($Z674="","",IF($Z674&lt;=2000,IF(INDEX(包装物料出入库明细!$B$4:$B$2003,$Z674-0)=0,"",INDEX(包装物料出入库明细!$B$4:$B$2003,$Z674-0)),IF($Z674&lt;=4000,IF(INDEX(周转筐出入库明细!$B$4:$B$2004,$Z674-2000)=0,"",INDEX(周转筐出入库明细!$B$4:$B$2004,$Z674-2000)),IF($Z674&lt;=5200,IF(INDEX(客户自备加工筐明细!$B$4:$B$1203,$Z674-4000)=0,"",INDEX(客户自备加工筐明细!$B$4:$B$1203,$Z674-4000)),IF($Z674&lt;=5800,IF(INDEX(次果筐明细!$B$4:$B$603,$Z674-5200)=0,"",INDEX(次果筐明细!$B$4:$B$603,$Z674-5200)),"")))))</f>
        <v/>
      </c>
      <c r="C674" s="37" t="str">
        <f>IF($Z674="","",IF($Z674&lt;=2000,IF(INDEX(包装物料出入库明细!$D$4:$D$2003,$Z674-0)=0,"",INDEX(包装物料出入库明细!$D$4:$D$2003,$Z674-0)),IF($Z674&lt;=4000,IF(INDEX(周转筐出入库明细!$C$4:$C$2004,$Z674-2000)=0,"",INDEX(周转筐出入库明细!$C$4:$C$2004,$Z674-2000)),IF($Z674&lt;=5200,IF(INDEX(客户自备加工筐明细!$E$4:$E$1203,$Z674-4000)=0,"",INDEX(客户自备加工筐明细!$E$4:$E$1203,$Z674-4000)),IF($Z674&lt;=5800,IF(INDEX(次果筐明细!$C$4:$C$603,$Z674-5200)=0,"",INDEX(次果筐明细!$C$4:$C$603,$Z674-5200)),"")))))</f>
        <v/>
      </c>
      <c r="D674" s="37" t="str">
        <f>IF($Z674="","",IF($Z674&lt;=2000,"包装物料－"&amp;INDEX(包装物料出入库明细!$H$4:$H$2003,$Z674-0),IF($Z674&lt;=4000,"周转筐－"&amp;INDEX(周转筐出入库明细!$F$4:$F$2004,$Z674-2000),IF($Z674&lt;=5200,"客户自备筐－"&amp;INDEX(客户自备加工筐明细!$J$4:$J$1203,$Z674-4000),IF($Z674&lt;=5800,"次果筐/托盘－"&amp;INDEX(次果筐明细!$F$4:$F$603,$Z674-5200),"")))))</f>
        <v/>
      </c>
      <c r="E674" s="24" t="str">
        <f>IF($Z674="","",IF($Z674&lt;=2000,IF(INDEX(包装物料出入库明细!$C$4:$C$2003,$Z674-0)=0,"",INDEX(包装物料出入库明细!$C$4:$C$2003,$Z674-0)),IF($Z674&lt;=4000,IF(INDEX(周转筐出入库明细!$E$4:$E$2004,$Z674-2000)=0,"",INDEX(周转筐出入库明细!$E$4:$E$2004,$Z674-2000)),IF($Z674&lt;=5200,IF(INDEX(客户自备加工筐明细!$D$4:$D$1203,$Z674-4000)=0,"",INDEX(客户自备加工筐明细!$D$4:$D$1203,$Z674-4000)),IF($Z674&lt;=5800,IF(INDEX(次果筐明细!$E$4:$E$603,$Z674-5200)=0,"",INDEX(次果筐明细!$E$4:$E$603,$Z674-5200)),"")))))</f>
        <v/>
      </c>
      <c r="F674" s="24" t="str">
        <f>IF($Z674="","",IF($Z674&lt;=2000,IF(INDEX(包装物料出入库明细!$E$4:$E$2003,$Z674-0)=0,"",INDEX(包装物料出入库明细!$E$4:$E$2003,$Z674-0)),IF($Z674&lt;=4000,IF(INDEX(周转筐出入库明细!$D$4:$D$2004,$Z674-2000)=0,"",INDEX(周转筐出入库明细!$D$4:$D$2004,$Z674-2000)),IF($Z674&lt;=5200,IF(INDEX(客户自备加工筐明细!$C$4:$C$1203,$Z674-4000)=0,"",INDEX(客户自备加工筐明细!$C$4:$C$1203,$Z674-4000)),IF($Z674&lt;=5800,IF(INDEX(次果筐明细!$D$4:$D$603,$Z674-5200)=0,"",INDEX(次果筐明细!$D$4:$D$603,$Z674-5200)),"")))))</f>
        <v/>
      </c>
      <c r="G674" s="24" t="str">
        <f>IF($Z674="","",IF($Z674&lt;=2000,IF(INDEX(包装物料出入库明细!$F$4:$F$2003,$Z674-0)=0,"",INDEX(包装物料出入库明细!$F$4:$F$2003,$Z674-0)),IF($Z674&lt;=4000,"",IF($Z674&lt;=5200,"",IF($Z674&lt;=5800,"","")))))</f>
        <v/>
      </c>
      <c r="H674" s="39" t="str">
        <f>IF($Z674="","",IF($Z674&lt;=2000,IF(INDEX(包装物料出入库明细!$L$4:$L$2003,$Z674-0)=0,"",INDEX(包装物料出入库明细!$L$4:$L$2003,$Z674-0)),IF($Z674&lt;=4000,N(INDEX(周转筐出入库明细!$H$4:$H$2004,$Z674-2000))+N(INDEX(周转筐出入库明细!$I$4:$I$2004,$Z674-2000))+N(INDEX(周转筐出入库明细!$J$4:$J$2004,$Z674-2000))+N(INDEX(周转筐出入库明细!$K$4:$K$2004,$Z674-2000)),IF($Z674&lt;=5200,N(INDEX(客户自备加工筐明细!$F$4:$F$1203,$Z674-4000))+N(INDEX(客户自备加工筐明细!$G$4:$G$1203,$Z674-4000)),IF($Z674&lt;=5800,IF(INDEX(次果筐明细!$G$4:$G$603,$Z674-5200)=0,"",INDEX(次果筐明细!$G$4:$G$603,$Z674-5200)),"")))))</f>
        <v/>
      </c>
      <c r="I674" s="24" t="str">
        <f>IF($Z674="","",IF($Z674&lt;=2000,IF(INDEX(包装物料出入库明细!$G$4:$G$2003,$Z674-0)=0,"",INDEX(包装物料出入库明细!$G$4:$G$2003,$Z674-0)),IF($Z674&lt;=4000,"个",IF($Z674&lt;=5200,"个",IF($Z674&lt;=5800,"个","")))))</f>
        <v/>
      </c>
      <c r="J674" s="30" t="str">
        <f t="shared" si="31"/>
        <v/>
      </c>
      <c r="K674" s="30" t="str">
        <f>IF($Z674="","",IF($Z674&lt;=2000,IF(INDEX(包装物料出入库明细!$N$4:$N$2003,$Z674-0)=0,"",INDEX(包装物料出入库明细!$N$4:$N$2003,$Z674-0)),IF($Z674&lt;=4000,IF(INDEX(周转筐出入库明细!$P$4:$P$2004,$Z674-2000)=0,"",INDEX(周转筐出入库明细!$P$4:$P$2004,$Z674-2000)),IF($Z674&lt;=5200,"",IF($Z674&lt;=5800,N(INDEX(次果筐明细!$L$4:$L$603,$Z674-5200))+N(INDEX(次果筐明细!$J$4:$J$603,$Z674-5200)),"")))))</f>
        <v/>
      </c>
      <c r="L674" s="24" t="str">
        <f>IF($Z674="","",IF($Z674&lt;=2000,IF(INDEX(包装物料出入库明细!$P$4:$P$2003,$Z674-0)=0,"",INDEX(包装物料出入库明细!$P$4:$P$2003,$Z674-0)),IF($Z674&lt;=4000,IF(INDEX(周转筐出入库明细!$Q$4:$Q$2004,$Z674-2000)=0,"",INDEX(周转筐出入库明细!$Q$4:$Q$2004,$Z674-2000)),IF($Z674&lt;=5200,"",IF($Z674&lt;=5800,IF(INDEX(次果筐明细!$M$4:$M$603,$Z674-5200)=0,"",INDEX(次果筐明细!$M$4:$M$603,$Z674-5200)),"")))))</f>
        <v/>
      </c>
      <c r="M674" s="37" t="str">
        <f>IF($Z674="","",IF($Z674&lt;=2000,IF(INDEX(包装物料出入库明细!$R$4:$R$2003,$Z674-0)=0,"",INDEX(包装物料出入库明细!$R$4:$R$2003,$Z674-0)),IF($Z674&lt;=4000,IF(INDEX(周转筐出入库明细!$W$4:$W$2004,$Z674-2000)=0,"",INDEX(周转筐出入库明细!$W$4:$W$2004,$Z674-2000)),IF($Z674&lt;=5200,IF(INDEX(客户自备加工筐明细!$L$4:$L$1203,$Z674-4000)=0,"",INDEX(客户自备加工筐明细!$L$4:$L$1203,$Z674-4000)),IF($Z674&lt;=5800,IF(INDEX(次果筐明细!$P$4:$P$603,$Z674-5200)=0,"",INDEX(次果筐明细!$P$4:$P$603,$Z674-5200)),"")))))</f>
        <v/>
      </c>
      <c r="N674" s="16" t="str">
        <f>IF($Z674="","",IF($Z674&lt;=2000,"",IF($Z674&lt;=4000,IF(INDEX(周转筐出入库明细!$D$4:$D$2004,$Z674-2000)=0,"",INDEX(周转筐出入库明细!$D$4:$D$2004,$Z674-2000)),IF($Z674&lt;=5200,IF(INDEX(客户自备加工筐明细!$C$4:$C$1203,$Z674-4000)=0,"",INDEX(客户自备加工筐明细!$C$4:$C$1203,$Z674-4000)),IF($Z674&lt;=5800,IF(INDEX(次果筐明细!$D$4:$D$603,$Z674-5200)=0,"",INDEX(次果筐明细!$D$4:$D$603,$Z674-5200)),"")))))</f>
        <v/>
      </c>
      <c r="O674" s="40" t="str">
        <f>IF($Z674="","",IF($Z674&lt;=2000,"",IF($Z674&lt;=4000,IF(N(INDEX(周转筐出入库明细!$J$4:$J$2004,$Z674-2000))+N(INDEX(周转筐出入库明细!$K$4:$K$2004,$Z674-2000))=0,"",N(INDEX(周转筐出入库明细!$J$4:$J$2004,$Z674-2000))+N(INDEX(周转筐出入库明细!$K$4:$K$2004,$Z674-2000))),IF($Z674&lt;=5200,IF(N(INDEX(客户自备加工筐明细!$G$4:$G$1203,$Z674-4000))=0,"",N(INDEX(客户自备加工筐明细!$G$4:$G$1203,$Z674-4000))),IF($Z674&lt;=5800,IF(ISNUMBER(SEARCH("退",INDEX(次果筐明细!$F$4:$F$603,$Z674-5200)&amp;"")),"",IF(N(INDEX(次果筐明细!$G$4:$G$603,$Z674-5200))=0,"",N(INDEX(次果筐明细!$G$4:$G$603,$Z674-5200)))),"")))))</f>
        <v/>
      </c>
      <c r="P674" s="40" t="str">
        <f>IF($Z674="","",IF($Z674&lt;=2000,"",IF($Z674&lt;=4000,IF(N(INDEX(周转筐出入库明细!$I$4:$I$2004,$Z674-2000))=0,"",N(INDEX(周转筐出入库明细!$I$4:$I$2004,$Z674-2000))),IF($Z674&lt;=5200,"",IF($Z674&lt;=5800,IF(ISNUMBER(SEARCH("退",INDEX(次果筐明细!$F$4:$F$603,$Z674-5200)&amp;"")),IF(N(INDEX(次果筐明细!$G$4:$G$603,$Z674-5200))=0,"",N(INDEX(次果筐明细!$G$4:$G$603,$Z674-5200))),""),"")))))</f>
        <v/>
      </c>
      <c r="Q674" s="40" t="str">
        <f>IF($Z674="","",IF($Z674&lt;=2000,"",IF($Z674&lt;=4000,IF(N(INDEX(周转筐出入库明细!$H$4:$H$2004,$Z674-2000))=0,"",N(INDEX(周转筐出入库明细!$H$4:$H$2004,$Z674-2000))),IF($Z674&lt;=5200,IF(N(INDEX(客户自备加工筐明细!$F$4:$F$1203,$Z674-4000))=0,"",N(INDEX(客户自备加工筐明细!$F$4:$F$1203,$Z674-4000))),IF($Z674&lt;=5800,"","")))))</f>
        <v/>
      </c>
      <c r="R674" s="16" t="str">
        <f>IF($Z674="","",IF($Z674&lt;=2000,IF(INDEX(包装物料出入库明细!$O$4:$O$2003,$Z674-0)=0,"",INDEX(包装物料出入库明细!$O$4:$O$2003,$Z674-0)),IF($Z674&lt;=4000,IF(INDEX(周转筐出入库明细!$M$4:$M$2004,$Z674-2000)=0,"",INDEX(周转筐出入库明细!$M$4:$M$2004,$Z674-2000)),IF($Z674&lt;=5200,IF(INDEX(客户自备加工筐明细!$H$4:$H$1203,$Z674-4000)=0,"",INDEX(客户自备加工筐明细!$H$4:$H$1203,$Z674-4000)),IF($Z674&lt;=5800,IF(INDEX(次果筐明细!$H$4:$H$603,$Z674-5200)=0,"",INDEX(次果筐明细!$H$4:$H$603,$Z674-5200)),"")))))</f>
        <v/>
      </c>
      <c r="S674" s="22" t="str">
        <f t="shared" si="32"/>
        <v/>
      </c>
      <c r="Z674" s="10" t="str">
        <f>IFERROR(MATCH(ROW()-3,_自动清单!$CQ$4:$CQ$5803,0),"")</f>
        <v/>
      </c>
    </row>
    <row r="675" spans="1:26">
      <c r="A675" s="24" t="str">
        <f t="shared" si="30"/>
        <v/>
      </c>
      <c r="B675" s="38" t="str">
        <f>IF($Z675="","",IF($Z675&lt;=2000,IF(INDEX(包装物料出入库明细!$B$4:$B$2003,$Z675-0)=0,"",INDEX(包装物料出入库明细!$B$4:$B$2003,$Z675-0)),IF($Z675&lt;=4000,IF(INDEX(周转筐出入库明细!$B$4:$B$2004,$Z675-2000)=0,"",INDEX(周转筐出入库明细!$B$4:$B$2004,$Z675-2000)),IF($Z675&lt;=5200,IF(INDEX(客户自备加工筐明细!$B$4:$B$1203,$Z675-4000)=0,"",INDEX(客户自备加工筐明细!$B$4:$B$1203,$Z675-4000)),IF($Z675&lt;=5800,IF(INDEX(次果筐明细!$B$4:$B$603,$Z675-5200)=0,"",INDEX(次果筐明细!$B$4:$B$603,$Z675-5200)),"")))))</f>
        <v/>
      </c>
      <c r="C675" s="37" t="str">
        <f>IF($Z675="","",IF($Z675&lt;=2000,IF(INDEX(包装物料出入库明细!$D$4:$D$2003,$Z675-0)=0,"",INDEX(包装物料出入库明细!$D$4:$D$2003,$Z675-0)),IF($Z675&lt;=4000,IF(INDEX(周转筐出入库明细!$C$4:$C$2004,$Z675-2000)=0,"",INDEX(周转筐出入库明细!$C$4:$C$2004,$Z675-2000)),IF($Z675&lt;=5200,IF(INDEX(客户自备加工筐明细!$E$4:$E$1203,$Z675-4000)=0,"",INDEX(客户自备加工筐明细!$E$4:$E$1203,$Z675-4000)),IF($Z675&lt;=5800,IF(INDEX(次果筐明细!$C$4:$C$603,$Z675-5200)=0,"",INDEX(次果筐明细!$C$4:$C$603,$Z675-5200)),"")))))</f>
        <v/>
      </c>
      <c r="D675" s="37" t="str">
        <f>IF($Z675="","",IF($Z675&lt;=2000,"包装物料－"&amp;INDEX(包装物料出入库明细!$H$4:$H$2003,$Z675-0),IF($Z675&lt;=4000,"周转筐－"&amp;INDEX(周转筐出入库明细!$F$4:$F$2004,$Z675-2000),IF($Z675&lt;=5200,"客户自备筐－"&amp;INDEX(客户自备加工筐明细!$J$4:$J$1203,$Z675-4000),IF($Z675&lt;=5800,"次果筐/托盘－"&amp;INDEX(次果筐明细!$F$4:$F$603,$Z675-5200),"")))))</f>
        <v/>
      </c>
      <c r="E675" s="24" t="str">
        <f>IF($Z675="","",IF($Z675&lt;=2000,IF(INDEX(包装物料出入库明细!$C$4:$C$2003,$Z675-0)=0,"",INDEX(包装物料出入库明细!$C$4:$C$2003,$Z675-0)),IF($Z675&lt;=4000,IF(INDEX(周转筐出入库明细!$E$4:$E$2004,$Z675-2000)=0,"",INDEX(周转筐出入库明细!$E$4:$E$2004,$Z675-2000)),IF($Z675&lt;=5200,IF(INDEX(客户自备加工筐明细!$D$4:$D$1203,$Z675-4000)=0,"",INDEX(客户自备加工筐明细!$D$4:$D$1203,$Z675-4000)),IF($Z675&lt;=5800,IF(INDEX(次果筐明细!$E$4:$E$603,$Z675-5200)=0,"",INDEX(次果筐明细!$E$4:$E$603,$Z675-5200)),"")))))</f>
        <v/>
      </c>
      <c r="F675" s="24" t="str">
        <f>IF($Z675="","",IF($Z675&lt;=2000,IF(INDEX(包装物料出入库明细!$E$4:$E$2003,$Z675-0)=0,"",INDEX(包装物料出入库明细!$E$4:$E$2003,$Z675-0)),IF($Z675&lt;=4000,IF(INDEX(周转筐出入库明细!$D$4:$D$2004,$Z675-2000)=0,"",INDEX(周转筐出入库明细!$D$4:$D$2004,$Z675-2000)),IF($Z675&lt;=5200,IF(INDEX(客户自备加工筐明细!$C$4:$C$1203,$Z675-4000)=0,"",INDEX(客户自备加工筐明细!$C$4:$C$1203,$Z675-4000)),IF($Z675&lt;=5800,IF(INDEX(次果筐明细!$D$4:$D$603,$Z675-5200)=0,"",INDEX(次果筐明细!$D$4:$D$603,$Z675-5200)),"")))))</f>
        <v/>
      </c>
      <c r="G675" s="24" t="str">
        <f>IF($Z675="","",IF($Z675&lt;=2000,IF(INDEX(包装物料出入库明细!$F$4:$F$2003,$Z675-0)=0,"",INDEX(包装物料出入库明细!$F$4:$F$2003,$Z675-0)),IF($Z675&lt;=4000,"",IF($Z675&lt;=5200,"",IF($Z675&lt;=5800,"","")))))</f>
        <v/>
      </c>
      <c r="H675" s="39" t="str">
        <f>IF($Z675="","",IF($Z675&lt;=2000,IF(INDEX(包装物料出入库明细!$L$4:$L$2003,$Z675-0)=0,"",INDEX(包装物料出入库明细!$L$4:$L$2003,$Z675-0)),IF($Z675&lt;=4000,N(INDEX(周转筐出入库明细!$H$4:$H$2004,$Z675-2000))+N(INDEX(周转筐出入库明细!$I$4:$I$2004,$Z675-2000))+N(INDEX(周转筐出入库明细!$J$4:$J$2004,$Z675-2000))+N(INDEX(周转筐出入库明细!$K$4:$K$2004,$Z675-2000)),IF($Z675&lt;=5200,N(INDEX(客户自备加工筐明细!$F$4:$F$1203,$Z675-4000))+N(INDEX(客户自备加工筐明细!$G$4:$G$1203,$Z675-4000)),IF($Z675&lt;=5800,IF(INDEX(次果筐明细!$G$4:$G$603,$Z675-5200)=0,"",INDEX(次果筐明细!$G$4:$G$603,$Z675-5200)),"")))))</f>
        <v/>
      </c>
      <c r="I675" s="24" t="str">
        <f>IF($Z675="","",IF($Z675&lt;=2000,IF(INDEX(包装物料出入库明细!$G$4:$G$2003,$Z675-0)=0,"",INDEX(包装物料出入库明细!$G$4:$G$2003,$Z675-0)),IF($Z675&lt;=4000,"个",IF($Z675&lt;=5200,"个",IF($Z675&lt;=5800,"个","")))))</f>
        <v/>
      </c>
      <c r="J675" s="30" t="str">
        <f t="shared" si="31"/>
        <v/>
      </c>
      <c r="K675" s="30" t="str">
        <f>IF($Z675="","",IF($Z675&lt;=2000,IF(INDEX(包装物料出入库明细!$N$4:$N$2003,$Z675-0)=0,"",INDEX(包装物料出入库明细!$N$4:$N$2003,$Z675-0)),IF($Z675&lt;=4000,IF(INDEX(周转筐出入库明细!$P$4:$P$2004,$Z675-2000)=0,"",INDEX(周转筐出入库明细!$P$4:$P$2004,$Z675-2000)),IF($Z675&lt;=5200,"",IF($Z675&lt;=5800,N(INDEX(次果筐明细!$L$4:$L$603,$Z675-5200))+N(INDEX(次果筐明细!$J$4:$J$603,$Z675-5200)),"")))))</f>
        <v/>
      </c>
      <c r="L675" s="24" t="str">
        <f>IF($Z675="","",IF($Z675&lt;=2000,IF(INDEX(包装物料出入库明细!$P$4:$P$2003,$Z675-0)=0,"",INDEX(包装物料出入库明细!$P$4:$P$2003,$Z675-0)),IF($Z675&lt;=4000,IF(INDEX(周转筐出入库明细!$Q$4:$Q$2004,$Z675-2000)=0,"",INDEX(周转筐出入库明细!$Q$4:$Q$2004,$Z675-2000)),IF($Z675&lt;=5200,"",IF($Z675&lt;=5800,IF(INDEX(次果筐明细!$M$4:$M$603,$Z675-5200)=0,"",INDEX(次果筐明细!$M$4:$M$603,$Z675-5200)),"")))))</f>
        <v/>
      </c>
      <c r="M675" s="37" t="str">
        <f>IF($Z675="","",IF($Z675&lt;=2000,IF(INDEX(包装物料出入库明细!$R$4:$R$2003,$Z675-0)=0,"",INDEX(包装物料出入库明细!$R$4:$R$2003,$Z675-0)),IF($Z675&lt;=4000,IF(INDEX(周转筐出入库明细!$W$4:$W$2004,$Z675-2000)=0,"",INDEX(周转筐出入库明细!$W$4:$W$2004,$Z675-2000)),IF($Z675&lt;=5200,IF(INDEX(客户自备加工筐明细!$L$4:$L$1203,$Z675-4000)=0,"",INDEX(客户自备加工筐明细!$L$4:$L$1203,$Z675-4000)),IF($Z675&lt;=5800,IF(INDEX(次果筐明细!$P$4:$P$603,$Z675-5200)=0,"",INDEX(次果筐明细!$P$4:$P$603,$Z675-5200)),"")))))</f>
        <v/>
      </c>
      <c r="N675" s="16" t="str">
        <f>IF($Z675="","",IF($Z675&lt;=2000,"",IF($Z675&lt;=4000,IF(INDEX(周转筐出入库明细!$D$4:$D$2004,$Z675-2000)=0,"",INDEX(周转筐出入库明细!$D$4:$D$2004,$Z675-2000)),IF($Z675&lt;=5200,IF(INDEX(客户自备加工筐明细!$C$4:$C$1203,$Z675-4000)=0,"",INDEX(客户自备加工筐明细!$C$4:$C$1203,$Z675-4000)),IF($Z675&lt;=5800,IF(INDEX(次果筐明细!$D$4:$D$603,$Z675-5200)=0,"",INDEX(次果筐明细!$D$4:$D$603,$Z675-5200)),"")))))</f>
        <v/>
      </c>
      <c r="O675" s="40" t="str">
        <f>IF($Z675="","",IF($Z675&lt;=2000,"",IF($Z675&lt;=4000,IF(N(INDEX(周转筐出入库明细!$J$4:$J$2004,$Z675-2000))+N(INDEX(周转筐出入库明细!$K$4:$K$2004,$Z675-2000))=0,"",N(INDEX(周转筐出入库明细!$J$4:$J$2004,$Z675-2000))+N(INDEX(周转筐出入库明细!$K$4:$K$2004,$Z675-2000))),IF($Z675&lt;=5200,IF(N(INDEX(客户自备加工筐明细!$G$4:$G$1203,$Z675-4000))=0,"",N(INDEX(客户自备加工筐明细!$G$4:$G$1203,$Z675-4000))),IF($Z675&lt;=5800,IF(ISNUMBER(SEARCH("退",INDEX(次果筐明细!$F$4:$F$603,$Z675-5200)&amp;"")),"",IF(N(INDEX(次果筐明细!$G$4:$G$603,$Z675-5200))=0,"",N(INDEX(次果筐明细!$G$4:$G$603,$Z675-5200)))),"")))))</f>
        <v/>
      </c>
      <c r="P675" s="40" t="str">
        <f>IF($Z675="","",IF($Z675&lt;=2000,"",IF($Z675&lt;=4000,IF(N(INDEX(周转筐出入库明细!$I$4:$I$2004,$Z675-2000))=0,"",N(INDEX(周转筐出入库明细!$I$4:$I$2004,$Z675-2000))),IF($Z675&lt;=5200,"",IF($Z675&lt;=5800,IF(ISNUMBER(SEARCH("退",INDEX(次果筐明细!$F$4:$F$603,$Z675-5200)&amp;"")),IF(N(INDEX(次果筐明细!$G$4:$G$603,$Z675-5200))=0,"",N(INDEX(次果筐明细!$G$4:$G$603,$Z675-5200))),""),"")))))</f>
        <v/>
      </c>
      <c r="Q675" s="40" t="str">
        <f>IF($Z675="","",IF($Z675&lt;=2000,"",IF($Z675&lt;=4000,IF(N(INDEX(周转筐出入库明细!$H$4:$H$2004,$Z675-2000))=0,"",N(INDEX(周转筐出入库明细!$H$4:$H$2004,$Z675-2000))),IF($Z675&lt;=5200,IF(N(INDEX(客户自备加工筐明细!$F$4:$F$1203,$Z675-4000))=0,"",N(INDEX(客户自备加工筐明细!$F$4:$F$1203,$Z675-4000))),IF($Z675&lt;=5800,"","")))))</f>
        <v/>
      </c>
      <c r="R675" s="16" t="str">
        <f>IF($Z675="","",IF($Z675&lt;=2000,IF(INDEX(包装物料出入库明细!$O$4:$O$2003,$Z675-0)=0,"",INDEX(包装物料出入库明细!$O$4:$O$2003,$Z675-0)),IF($Z675&lt;=4000,IF(INDEX(周转筐出入库明细!$M$4:$M$2004,$Z675-2000)=0,"",INDEX(周转筐出入库明细!$M$4:$M$2004,$Z675-2000)),IF($Z675&lt;=5200,IF(INDEX(客户自备加工筐明细!$H$4:$H$1203,$Z675-4000)=0,"",INDEX(客户自备加工筐明细!$H$4:$H$1203,$Z675-4000)),IF($Z675&lt;=5800,IF(INDEX(次果筐明细!$H$4:$H$603,$Z675-5200)=0,"",INDEX(次果筐明细!$H$4:$H$603,$Z675-5200)),"")))))</f>
        <v/>
      </c>
      <c r="S675" s="22" t="str">
        <f t="shared" si="32"/>
        <v/>
      </c>
      <c r="Z675" s="10" t="str">
        <f>IFERROR(MATCH(ROW()-3,_自动清单!$CQ$4:$CQ$5803,0),"")</f>
        <v/>
      </c>
    </row>
    <row r="676" spans="1:26">
      <c r="A676" s="24" t="str">
        <f t="shared" si="30"/>
        <v/>
      </c>
      <c r="B676" s="38" t="str">
        <f>IF($Z676="","",IF($Z676&lt;=2000,IF(INDEX(包装物料出入库明细!$B$4:$B$2003,$Z676-0)=0,"",INDEX(包装物料出入库明细!$B$4:$B$2003,$Z676-0)),IF($Z676&lt;=4000,IF(INDEX(周转筐出入库明细!$B$4:$B$2004,$Z676-2000)=0,"",INDEX(周转筐出入库明细!$B$4:$B$2004,$Z676-2000)),IF($Z676&lt;=5200,IF(INDEX(客户自备加工筐明细!$B$4:$B$1203,$Z676-4000)=0,"",INDEX(客户自备加工筐明细!$B$4:$B$1203,$Z676-4000)),IF($Z676&lt;=5800,IF(INDEX(次果筐明细!$B$4:$B$603,$Z676-5200)=0,"",INDEX(次果筐明细!$B$4:$B$603,$Z676-5200)),"")))))</f>
        <v/>
      </c>
      <c r="C676" s="37" t="str">
        <f>IF($Z676="","",IF($Z676&lt;=2000,IF(INDEX(包装物料出入库明细!$D$4:$D$2003,$Z676-0)=0,"",INDEX(包装物料出入库明细!$D$4:$D$2003,$Z676-0)),IF($Z676&lt;=4000,IF(INDEX(周转筐出入库明细!$C$4:$C$2004,$Z676-2000)=0,"",INDEX(周转筐出入库明细!$C$4:$C$2004,$Z676-2000)),IF($Z676&lt;=5200,IF(INDEX(客户自备加工筐明细!$E$4:$E$1203,$Z676-4000)=0,"",INDEX(客户自备加工筐明细!$E$4:$E$1203,$Z676-4000)),IF($Z676&lt;=5800,IF(INDEX(次果筐明细!$C$4:$C$603,$Z676-5200)=0,"",INDEX(次果筐明细!$C$4:$C$603,$Z676-5200)),"")))))</f>
        <v/>
      </c>
      <c r="D676" s="37" t="str">
        <f>IF($Z676="","",IF($Z676&lt;=2000,"包装物料－"&amp;INDEX(包装物料出入库明细!$H$4:$H$2003,$Z676-0),IF($Z676&lt;=4000,"周转筐－"&amp;INDEX(周转筐出入库明细!$F$4:$F$2004,$Z676-2000),IF($Z676&lt;=5200,"客户自备筐－"&amp;INDEX(客户自备加工筐明细!$J$4:$J$1203,$Z676-4000),IF($Z676&lt;=5800,"次果筐/托盘－"&amp;INDEX(次果筐明细!$F$4:$F$603,$Z676-5200),"")))))</f>
        <v/>
      </c>
      <c r="E676" s="24" t="str">
        <f>IF($Z676="","",IF($Z676&lt;=2000,IF(INDEX(包装物料出入库明细!$C$4:$C$2003,$Z676-0)=0,"",INDEX(包装物料出入库明细!$C$4:$C$2003,$Z676-0)),IF($Z676&lt;=4000,IF(INDEX(周转筐出入库明细!$E$4:$E$2004,$Z676-2000)=0,"",INDEX(周转筐出入库明细!$E$4:$E$2004,$Z676-2000)),IF($Z676&lt;=5200,IF(INDEX(客户自备加工筐明细!$D$4:$D$1203,$Z676-4000)=0,"",INDEX(客户自备加工筐明细!$D$4:$D$1203,$Z676-4000)),IF($Z676&lt;=5800,IF(INDEX(次果筐明细!$E$4:$E$603,$Z676-5200)=0,"",INDEX(次果筐明细!$E$4:$E$603,$Z676-5200)),"")))))</f>
        <v/>
      </c>
      <c r="F676" s="24" t="str">
        <f>IF($Z676="","",IF($Z676&lt;=2000,IF(INDEX(包装物料出入库明细!$E$4:$E$2003,$Z676-0)=0,"",INDEX(包装物料出入库明细!$E$4:$E$2003,$Z676-0)),IF($Z676&lt;=4000,IF(INDEX(周转筐出入库明细!$D$4:$D$2004,$Z676-2000)=0,"",INDEX(周转筐出入库明细!$D$4:$D$2004,$Z676-2000)),IF($Z676&lt;=5200,IF(INDEX(客户自备加工筐明细!$C$4:$C$1203,$Z676-4000)=0,"",INDEX(客户自备加工筐明细!$C$4:$C$1203,$Z676-4000)),IF($Z676&lt;=5800,IF(INDEX(次果筐明细!$D$4:$D$603,$Z676-5200)=0,"",INDEX(次果筐明细!$D$4:$D$603,$Z676-5200)),"")))))</f>
        <v/>
      </c>
      <c r="G676" s="24" t="str">
        <f>IF($Z676="","",IF($Z676&lt;=2000,IF(INDEX(包装物料出入库明细!$F$4:$F$2003,$Z676-0)=0,"",INDEX(包装物料出入库明细!$F$4:$F$2003,$Z676-0)),IF($Z676&lt;=4000,"",IF($Z676&lt;=5200,"",IF($Z676&lt;=5800,"","")))))</f>
        <v/>
      </c>
      <c r="H676" s="39" t="str">
        <f>IF($Z676="","",IF($Z676&lt;=2000,IF(INDEX(包装物料出入库明细!$L$4:$L$2003,$Z676-0)=0,"",INDEX(包装物料出入库明细!$L$4:$L$2003,$Z676-0)),IF($Z676&lt;=4000,N(INDEX(周转筐出入库明细!$H$4:$H$2004,$Z676-2000))+N(INDEX(周转筐出入库明细!$I$4:$I$2004,$Z676-2000))+N(INDEX(周转筐出入库明细!$J$4:$J$2004,$Z676-2000))+N(INDEX(周转筐出入库明细!$K$4:$K$2004,$Z676-2000)),IF($Z676&lt;=5200,N(INDEX(客户自备加工筐明细!$F$4:$F$1203,$Z676-4000))+N(INDEX(客户自备加工筐明细!$G$4:$G$1203,$Z676-4000)),IF($Z676&lt;=5800,IF(INDEX(次果筐明细!$G$4:$G$603,$Z676-5200)=0,"",INDEX(次果筐明细!$G$4:$G$603,$Z676-5200)),"")))))</f>
        <v/>
      </c>
      <c r="I676" s="24" t="str">
        <f>IF($Z676="","",IF($Z676&lt;=2000,IF(INDEX(包装物料出入库明细!$G$4:$G$2003,$Z676-0)=0,"",INDEX(包装物料出入库明细!$G$4:$G$2003,$Z676-0)),IF($Z676&lt;=4000,"个",IF($Z676&lt;=5200,"个",IF($Z676&lt;=5800,"个","")))))</f>
        <v/>
      </c>
      <c r="J676" s="30" t="str">
        <f t="shared" si="31"/>
        <v/>
      </c>
      <c r="K676" s="30" t="str">
        <f>IF($Z676="","",IF($Z676&lt;=2000,IF(INDEX(包装物料出入库明细!$N$4:$N$2003,$Z676-0)=0,"",INDEX(包装物料出入库明细!$N$4:$N$2003,$Z676-0)),IF($Z676&lt;=4000,IF(INDEX(周转筐出入库明细!$P$4:$P$2004,$Z676-2000)=0,"",INDEX(周转筐出入库明细!$P$4:$P$2004,$Z676-2000)),IF($Z676&lt;=5200,"",IF($Z676&lt;=5800,N(INDEX(次果筐明细!$L$4:$L$603,$Z676-5200))+N(INDEX(次果筐明细!$J$4:$J$603,$Z676-5200)),"")))))</f>
        <v/>
      </c>
      <c r="L676" s="24" t="str">
        <f>IF($Z676="","",IF($Z676&lt;=2000,IF(INDEX(包装物料出入库明细!$P$4:$P$2003,$Z676-0)=0,"",INDEX(包装物料出入库明细!$P$4:$P$2003,$Z676-0)),IF($Z676&lt;=4000,IF(INDEX(周转筐出入库明细!$Q$4:$Q$2004,$Z676-2000)=0,"",INDEX(周转筐出入库明细!$Q$4:$Q$2004,$Z676-2000)),IF($Z676&lt;=5200,"",IF($Z676&lt;=5800,IF(INDEX(次果筐明细!$M$4:$M$603,$Z676-5200)=0,"",INDEX(次果筐明细!$M$4:$M$603,$Z676-5200)),"")))))</f>
        <v/>
      </c>
      <c r="M676" s="37" t="str">
        <f>IF($Z676="","",IF($Z676&lt;=2000,IF(INDEX(包装物料出入库明细!$R$4:$R$2003,$Z676-0)=0,"",INDEX(包装物料出入库明细!$R$4:$R$2003,$Z676-0)),IF($Z676&lt;=4000,IF(INDEX(周转筐出入库明细!$W$4:$W$2004,$Z676-2000)=0,"",INDEX(周转筐出入库明细!$W$4:$W$2004,$Z676-2000)),IF($Z676&lt;=5200,IF(INDEX(客户自备加工筐明细!$L$4:$L$1203,$Z676-4000)=0,"",INDEX(客户自备加工筐明细!$L$4:$L$1203,$Z676-4000)),IF($Z676&lt;=5800,IF(INDEX(次果筐明细!$P$4:$P$603,$Z676-5200)=0,"",INDEX(次果筐明细!$P$4:$P$603,$Z676-5200)),"")))))</f>
        <v/>
      </c>
      <c r="N676" s="16" t="str">
        <f>IF($Z676="","",IF($Z676&lt;=2000,"",IF($Z676&lt;=4000,IF(INDEX(周转筐出入库明细!$D$4:$D$2004,$Z676-2000)=0,"",INDEX(周转筐出入库明细!$D$4:$D$2004,$Z676-2000)),IF($Z676&lt;=5200,IF(INDEX(客户自备加工筐明细!$C$4:$C$1203,$Z676-4000)=0,"",INDEX(客户自备加工筐明细!$C$4:$C$1203,$Z676-4000)),IF($Z676&lt;=5800,IF(INDEX(次果筐明细!$D$4:$D$603,$Z676-5200)=0,"",INDEX(次果筐明细!$D$4:$D$603,$Z676-5200)),"")))))</f>
        <v/>
      </c>
      <c r="O676" s="40" t="str">
        <f>IF($Z676="","",IF($Z676&lt;=2000,"",IF($Z676&lt;=4000,IF(N(INDEX(周转筐出入库明细!$J$4:$J$2004,$Z676-2000))+N(INDEX(周转筐出入库明细!$K$4:$K$2004,$Z676-2000))=0,"",N(INDEX(周转筐出入库明细!$J$4:$J$2004,$Z676-2000))+N(INDEX(周转筐出入库明细!$K$4:$K$2004,$Z676-2000))),IF($Z676&lt;=5200,IF(N(INDEX(客户自备加工筐明细!$G$4:$G$1203,$Z676-4000))=0,"",N(INDEX(客户自备加工筐明细!$G$4:$G$1203,$Z676-4000))),IF($Z676&lt;=5800,IF(ISNUMBER(SEARCH("退",INDEX(次果筐明细!$F$4:$F$603,$Z676-5200)&amp;"")),"",IF(N(INDEX(次果筐明细!$G$4:$G$603,$Z676-5200))=0,"",N(INDEX(次果筐明细!$G$4:$G$603,$Z676-5200)))),"")))))</f>
        <v/>
      </c>
      <c r="P676" s="40" t="str">
        <f>IF($Z676="","",IF($Z676&lt;=2000,"",IF($Z676&lt;=4000,IF(N(INDEX(周转筐出入库明细!$I$4:$I$2004,$Z676-2000))=0,"",N(INDEX(周转筐出入库明细!$I$4:$I$2004,$Z676-2000))),IF($Z676&lt;=5200,"",IF($Z676&lt;=5800,IF(ISNUMBER(SEARCH("退",INDEX(次果筐明细!$F$4:$F$603,$Z676-5200)&amp;"")),IF(N(INDEX(次果筐明细!$G$4:$G$603,$Z676-5200))=0,"",N(INDEX(次果筐明细!$G$4:$G$603,$Z676-5200))),""),"")))))</f>
        <v/>
      </c>
      <c r="Q676" s="40" t="str">
        <f>IF($Z676="","",IF($Z676&lt;=2000,"",IF($Z676&lt;=4000,IF(N(INDEX(周转筐出入库明细!$H$4:$H$2004,$Z676-2000))=0,"",N(INDEX(周转筐出入库明细!$H$4:$H$2004,$Z676-2000))),IF($Z676&lt;=5200,IF(N(INDEX(客户自备加工筐明细!$F$4:$F$1203,$Z676-4000))=0,"",N(INDEX(客户自备加工筐明细!$F$4:$F$1203,$Z676-4000))),IF($Z676&lt;=5800,"","")))))</f>
        <v/>
      </c>
      <c r="R676" s="16" t="str">
        <f>IF($Z676="","",IF($Z676&lt;=2000,IF(INDEX(包装物料出入库明细!$O$4:$O$2003,$Z676-0)=0,"",INDEX(包装物料出入库明细!$O$4:$O$2003,$Z676-0)),IF($Z676&lt;=4000,IF(INDEX(周转筐出入库明细!$M$4:$M$2004,$Z676-2000)=0,"",INDEX(周转筐出入库明细!$M$4:$M$2004,$Z676-2000)),IF($Z676&lt;=5200,IF(INDEX(客户自备加工筐明细!$H$4:$H$1203,$Z676-4000)=0,"",INDEX(客户自备加工筐明细!$H$4:$H$1203,$Z676-4000)),IF($Z676&lt;=5800,IF(INDEX(次果筐明细!$H$4:$H$603,$Z676-5200)=0,"",INDEX(次果筐明细!$H$4:$H$603,$Z676-5200)),"")))))</f>
        <v/>
      </c>
      <c r="S676" s="22" t="str">
        <f t="shared" si="32"/>
        <v/>
      </c>
      <c r="Z676" s="10" t="str">
        <f>IFERROR(MATCH(ROW()-3,_自动清单!$CQ$4:$CQ$5803,0),"")</f>
        <v/>
      </c>
    </row>
    <row r="677" spans="1:26">
      <c r="A677" s="24" t="str">
        <f t="shared" si="30"/>
        <v/>
      </c>
      <c r="B677" s="38" t="str">
        <f>IF($Z677="","",IF($Z677&lt;=2000,IF(INDEX(包装物料出入库明细!$B$4:$B$2003,$Z677-0)=0,"",INDEX(包装物料出入库明细!$B$4:$B$2003,$Z677-0)),IF($Z677&lt;=4000,IF(INDEX(周转筐出入库明细!$B$4:$B$2004,$Z677-2000)=0,"",INDEX(周转筐出入库明细!$B$4:$B$2004,$Z677-2000)),IF($Z677&lt;=5200,IF(INDEX(客户自备加工筐明细!$B$4:$B$1203,$Z677-4000)=0,"",INDEX(客户自备加工筐明细!$B$4:$B$1203,$Z677-4000)),IF($Z677&lt;=5800,IF(INDEX(次果筐明细!$B$4:$B$603,$Z677-5200)=0,"",INDEX(次果筐明细!$B$4:$B$603,$Z677-5200)),"")))))</f>
        <v/>
      </c>
      <c r="C677" s="37" t="str">
        <f>IF($Z677="","",IF($Z677&lt;=2000,IF(INDEX(包装物料出入库明细!$D$4:$D$2003,$Z677-0)=0,"",INDEX(包装物料出入库明细!$D$4:$D$2003,$Z677-0)),IF($Z677&lt;=4000,IF(INDEX(周转筐出入库明细!$C$4:$C$2004,$Z677-2000)=0,"",INDEX(周转筐出入库明细!$C$4:$C$2004,$Z677-2000)),IF($Z677&lt;=5200,IF(INDEX(客户自备加工筐明细!$E$4:$E$1203,$Z677-4000)=0,"",INDEX(客户自备加工筐明细!$E$4:$E$1203,$Z677-4000)),IF($Z677&lt;=5800,IF(INDEX(次果筐明细!$C$4:$C$603,$Z677-5200)=0,"",INDEX(次果筐明细!$C$4:$C$603,$Z677-5200)),"")))))</f>
        <v/>
      </c>
      <c r="D677" s="37" t="str">
        <f>IF($Z677="","",IF($Z677&lt;=2000,"包装物料－"&amp;INDEX(包装物料出入库明细!$H$4:$H$2003,$Z677-0),IF($Z677&lt;=4000,"周转筐－"&amp;INDEX(周转筐出入库明细!$F$4:$F$2004,$Z677-2000),IF($Z677&lt;=5200,"客户自备筐－"&amp;INDEX(客户自备加工筐明细!$J$4:$J$1203,$Z677-4000),IF($Z677&lt;=5800,"次果筐/托盘－"&amp;INDEX(次果筐明细!$F$4:$F$603,$Z677-5200),"")))))</f>
        <v/>
      </c>
      <c r="E677" s="24" t="str">
        <f>IF($Z677="","",IF($Z677&lt;=2000,IF(INDEX(包装物料出入库明细!$C$4:$C$2003,$Z677-0)=0,"",INDEX(包装物料出入库明细!$C$4:$C$2003,$Z677-0)),IF($Z677&lt;=4000,IF(INDEX(周转筐出入库明细!$E$4:$E$2004,$Z677-2000)=0,"",INDEX(周转筐出入库明细!$E$4:$E$2004,$Z677-2000)),IF($Z677&lt;=5200,IF(INDEX(客户自备加工筐明细!$D$4:$D$1203,$Z677-4000)=0,"",INDEX(客户自备加工筐明细!$D$4:$D$1203,$Z677-4000)),IF($Z677&lt;=5800,IF(INDEX(次果筐明细!$E$4:$E$603,$Z677-5200)=0,"",INDEX(次果筐明细!$E$4:$E$603,$Z677-5200)),"")))))</f>
        <v/>
      </c>
      <c r="F677" s="24" t="str">
        <f>IF($Z677="","",IF($Z677&lt;=2000,IF(INDEX(包装物料出入库明细!$E$4:$E$2003,$Z677-0)=0,"",INDEX(包装物料出入库明细!$E$4:$E$2003,$Z677-0)),IF($Z677&lt;=4000,IF(INDEX(周转筐出入库明细!$D$4:$D$2004,$Z677-2000)=0,"",INDEX(周转筐出入库明细!$D$4:$D$2004,$Z677-2000)),IF($Z677&lt;=5200,IF(INDEX(客户自备加工筐明细!$C$4:$C$1203,$Z677-4000)=0,"",INDEX(客户自备加工筐明细!$C$4:$C$1203,$Z677-4000)),IF($Z677&lt;=5800,IF(INDEX(次果筐明细!$D$4:$D$603,$Z677-5200)=0,"",INDEX(次果筐明细!$D$4:$D$603,$Z677-5200)),"")))))</f>
        <v/>
      </c>
      <c r="G677" s="24" t="str">
        <f>IF($Z677="","",IF($Z677&lt;=2000,IF(INDEX(包装物料出入库明细!$F$4:$F$2003,$Z677-0)=0,"",INDEX(包装物料出入库明细!$F$4:$F$2003,$Z677-0)),IF($Z677&lt;=4000,"",IF($Z677&lt;=5200,"",IF($Z677&lt;=5800,"","")))))</f>
        <v/>
      </c>
      <c r="H677" s="39" t="str">
        <f>IF($Z677="","",IF($Z677&lt;=2000,IF(INDEX(包装物料出入库明细!$L$4:$L$2003,$Z677-0)=0,"",INDEX(包装物料出入库明细!$L$4:$L$2003,$Z677-0)),IF($Z677&lt;=4000,N(INDEX(周转筐出入库明细!$H$4:$H$2004,$Z677-2000))+N(INDEX(周转筐出入库明细!$I$4:$I$2004,$Z677-2000))+N(INDEX(周转筐出入库明细!$J$4:$J$2004,$Z677-2000))+N(INDEX(周转筐出入库明细!$K$4:$K$2004,$Z677-2000)),IF($Z677&lt;=5200,N(INDEX(客户自备加工筐明细!$F$4:$F$1203,$Z677-4000))+N(INDEX(客户自备加工筐明细!$G$4:$G$1203,$Z677-4000)),IF($Z677&lt;=5800,IF(INDEX(次果筐明细!$G$4:$G$603,$Z677-5200)=0,"",INDEX(次果筐明细!$G$4:$G$603,$Z677-5200)),"")))))</f>
        <v/>
      </c>
      <c r="I677" s="24" t="str">
        <f>IF($Z677="","",IF($Z677&lt;=2000,IF(INDEX(包装物料出入库明细!$G$4:$G$2003,$Z677-0)=0,"",INDEX(包装物料出入库明细!$G$4:$G$2003,$Z677-0)),IF($Z677&lt;=4000,"个",IF($Z677&lt;=5200,"个",IF($Z677&lt;=5800,"个","")))))</f>
        <v/>
      </c>
      <c r="J677" s="30" t="str">
        <f t="shared" si="31"/>
        <v/>
      </c>
      <c r="K677" s="30" t="str">
        <f>IF($Z677="","",IF($Z677&lt;=2000,IF(INDEX(包装物料出入库明细!$N$4:$N$2003,$Z677-0)=0,"",INDEX(包装物料出入库明细!$N$4:$N$2003,$Z677-0)),IF($Z677&lt;=4000,IF(INDEX(周转筐出入库明细!$P$4:$P$2004,$Z677-2000)=0,"",INDEX(周转筐出入库明细!$P$4:$P$2004,$Z677-2000)),IF($Z677&lt;=5200,"",IF($Z677&lt;=5800,N(INDEX(次果筐明细!$L$4:$L$603,$Z677-5200))+N(INDEX(次果筐明细!$J$4:$J$603,$Z677-5200)),"")))))</f>
        <v/>
      </c>
      <c r="L677" s="24" t="str">
        <f>IF($Z677="","",IF($Z677&lt;=2000,IF(INDEX(包装物料出入库明细!$P$4:$P$2003,$Z677-0)=0,"",INDEX(包装物料出入库明细!$P$4:$P$2003,$Z677-0)),IF($Z677&lt;=4000,IF(INDEX(周转筐出入库明细!$Q$4:$Q$2004,$Z677-2000)=0,"",INDEX(周转筐出入库明细!$Q$4:$Q$2004,$Z677-2000)),IF($Z677&lt;=5200,"",IF($Z677&lt;=5800,IF(INDEX(次果筐明细!$M$4:$M$603,$Z677-5200)=0,"",INDEX(次果筐明细!$M$4:$M$603,$Z677-5200)),"")))))</f>
        <v/>
      </c>
      <c r="M677" s="37" t="str">
        <f>IF($Z677="","",IF($Z677&lt;=2000,IF(INDEX(包装物料出入库明细!$R$4:$R$2003,$Z677-0)=0,"",INDEX(包装物料出入库明细!$R$4:$R$2003,$Z677-0)),IF($Z677&lt;=4000,IF(INDEX(周转筐出入库明细!$W$4:$W$2004,$Z677-2000)=0,"",INDEX(周转筐出入库明细!$W$4:$W$2004,$Z677-2000)),IF($Z677&lt;=5200,IF(INDEX(客户自备加工筐明细!$L$4:$L$1203,$Z677-4000)=0,"",INDEX(客户自备加工筐明细!$L$4:$L$1203,$Z677-4000)),IF($Z677&lt;=5800,IF(INDEX(次果筐明细!$P$4:$P$603,$Z677-5200)=0,"",INDEX(次果筐明细!$P$4:$P$603,$Z677-5200)),"")))))</f>
        <v/>
      </c>
      <c r="N677" s="16" t="str">
        <f>IF($Z677="","",IF($Z677&lt;=2000,"",IF($Z677&lt;=4000,IF(INDEX(周转筐出入库明细!$D$4:$D$2004,$Z677-2000)=0,"",INDEX(周转筐出入库明细!$D$4:$D$2004,$Z677-2000)),IF($Z677&lt;=5200,IF(INDEX(客户自备加工筐明细!$C$4:$C$1203,$Z677-4000)=0,"",INDEX(客户自备加工筐明细!$C$4:$C$1203,$Z677-4000)),IF($Z677&lt;=5800,IF(INDEX(次果筐明细!$D$4:$D$603,$Z677-5200)=0,"",INDEX(次果筐明细!$D$4:$D$603,$Z677-5200)),"")))))</f>
        <v/>
      </c>
      <c r="O677" s="40" t="str">
        <f>IF($Z677="","",IF($Z677&lt;=2000,"",IF($Z677&lt;=4000,IF(N(INDEX(周转筐出入库明细!$J$4:$J$2004,$Z677-2000))+N(INDEX(周转筐出入库明细!$K$4:$K$2004,$Z677-2000))=0,"",N(INDEX(周转筐出入库明细!$J$4:$J$2004,$Z677-2000))+N(INDEX(周转筐出入库明细!$K$4:$K$2004,$Z677-2000))),IF($Z677&lt;=5200,IF(N(INDEX(客户自备加工筐明细!$G$4:$G$1203,$Z677-4000))=0,"",N(INDEX(客户自备加工筐明细!$G$4:$G$1203,$Z677-4000))),IF($Z677&lt;=5800,IF(ISNUMBER(SEARCH("退",INDEX(次果筐明细!$F$4:$F$603,$Z677-5200)&amp;"")),"",IF(N(INDEX(次果筐明细!$G$4:$G$603,$Z677-5200))=0,"",N(INDEX(次果筐明细!$G$4:$G$603,$Z677-5200)))),"")))))</f>
        <v/>
      </c>
      <c r="P677" s="40" t="str">
        <f>IF($Z677="","",IF($Z677&lt;=2000,"",IF($Z677&lt;=4000,IF(N(INDEX(周转筐出入库明细!$I$4:$I$2004,$Z677-2000))=0,"",N(INDEX(周转筐出入库明细!$I$4:$I$2004,$Z677-2000))),IF($Z677&lt;=5200,"",IF($Z677&lt;=5800,IF(ISNUMBER(SEARCH("退",INDEX(次果筐明细!$F$4:$F$603,$Z677-5200)&amp;"")),IF(N(INDEX(次果筐明细!$G$4:$G$603,$Z677-5200))=0,"",N(INDEX(次果筐明细!$G$4:$G$603,$Z677-5200))),""),"")))))</f>
        <v/>
      </c>
      <c r="Q677" s="40" t="str">
        <f>IF($Z677="","",IF($Z677&lt;=2000,"",IF($Z677&lt;=4000,IF(N(INDEX(周转筐出入库明细!$H$4:$H$2004,$Z677-2000))=0,"",N(INDEX(周转筐出入库明细!$H$4:$H$2004,$Z677-2000))),IF($Z677&lt;=5200,IF(N(INDEX(客户自备加工筐明细!$F$4:$F$1203,$Z677-4000))=0,"",N(INDEX(客户自备加工筐明细!$F$4:$F$1203,$Z677-4000))),IF($Z677&lt;=5800,"","")))))</f>
        <v/>
      </c>
      <c r="R677" s="16" t="str">
        <f>IF($Z677="","",IF($Z677&lt;=2000,IF(INDEX(包装物料出入库明细!$O$4:$O$2003,$Z677-0)=0,"",INDEX(包装物料出入库明细!$O$4:$O$2003,$Z677-0)),IF($Z677&lt;=4000,IF(INDEX(周转筐出入库明细!$M$4:$M$2004,$Z677-2000)=0,"",INDEX(周转筐出入库明细!$M$4:$M$2004,$Z677-2000)),IF($Z677&lt;=5200,IF(INDEX(客户自备加工筐明细!$H$4:$H$1203,$Z677-4000)=0,"",INDEX(客户自备加工筐明细!$H$4:$H$1203,$Z677-4000)),IF($Z677&lt;=5800,IF(INDEX(次果筐明细!$H$4:$H$603,$Z677-5200)=0,"",INDEX(次果筐明细!$H$4:$H$603,$Z677-5200)),"")))))</f>
        <v/>
      </c>
      <c r="S677" s="22" t="str">
        <f t="shared" si="32"/>
        <v/>
      </c>
      <c r="Z677" s="10" t="str">
        <f>IFERROR(MATCH(ROW()-3,_自动清单!$CQ$4:$CQ$5803,0),"")</f>
        <v/>
      </c>
    </row>
    <row r="678" spans="1:26">
      <c r="A678" s="24" t="str">
        <f t="shared" si="30"/>
        <v/>
      </c>
      <c r="B678" s="38" t="str">
        <f>IF($Z678="","",IF($Z678&lt;=2000,IF(INDEX(包装物料出入库明细!$B$4:$B$2003,$Z678-0)=0,"",INDEX(包装物料出入库明细!$B$4:$B$2003,$Z678-0)),IF($Z678&lt;=4000,IF(INDEX(周转筐出入库明细!$B$4:$B$2004,$Z678-2000)=0,"",INDEX(周转筐出入库明细!$B$4:$B$2004,$Z678-2000)),IF($Z678&lt;=5200,IF(INDEX(客户自备加工筐明细!$B$4:$B$1203,$Z678-4000)=0,"",INDEX(客户自备加工筐明细!$B$4:$B$1203,$Z678-4000)),IF($Z678&lt;=5800,IF(INDEX(次果筐明细!$B$4:$B$603,$Z678-5200)=0,"",INDEX(次果筐明细!$B$4:$B$603,$Z678-5200)),"")))))</f>
        <v/>
      </c>
      <c r="C678" s="37" t="str">
        <f>IF($Z678="","",IF($Z678&lt;=2000,IF(INDEX(包装物料出入库明细!$D$4:$D$2003,$Z678-0)=0,"",INDEX(包装物料出入库明细!$D$4:$D$2003,$Z678-0)),IF($Z678&lt;=4000,IF(INDEX(周转筐出入库明细!$C$4:$C$2004,$Z678-2000)=0,"",INDEX(周转筐出入库明细!$C$4:$C$2004,$Z678-2000)),IF($Z678&lt;=5200,IF(INDEX(客户自备加工筐明细!$E$4:$E$1203,$Z678-4000)=0,"",INDEX(客户自备加工筐明细!$E$4:$E$1203,$Z678-4000)),IF($Z678&lt;=5800,IF(INDEX(次果筐明细!$C$4:$C$603,$Z678-5200)=0,"",INDEX(次果筐明细!$C$4:$C$603,$Z678-5200)),"")))))</f>
        <v/>
      </c>
      <c r="D678" s="37" t="str">
        <f>IF($Z678="","",IF($Z678&lt;=2000,"包装物料－"&amp;INDEX(包装物料出入库明细!$H$4:$H$2003,$Z678-0),IF($Z678&lt;=4000,"周转筐－"&amp;INDEX(周转筐出入库明细!$F$4:$F$2004,$Z678-2000),IF($Z678&lt;=5200,"客户自备筐－"&amp;INDEX(客户自备加工筐明细!$J$4:$J$1203,$Z678-4000),IF($Z678&lt;=5800,"次果筐/托盘－"&amp;INDEX(次果筐明细!$F$4:$F$603,$Z678-5200),"")))))</f>
        <v/>
      </c>
      <c r="E678" s="24" t="str">
        <f>IF($Z678="","",IF($Z678&lt;=2000,IF(INDEX(包装物料出入库明细!$C$4:$C$2003,$Z678-0)=0,"",INDEX(包装物料出入库明细!$C$4:$C$2003,$Z678-0)),IF($Z678&lt;=4000,IF(INDEX(周转筐出入库明细!$E$4:$E$2004,$Z678-2000)=0,"",INDEX(周转筐出入库明细!$E$4:$E$2004,$Z678-2000)),IF($Z678&lt;=5200,IF(INDEX(客户自备加工筐明细!$D$4:$D$1203,$Z678-4000)=0,"",INDEX(客户自备加工筐明细!$D$4:$D$1203,$Z678-4000)),IF($Z678&lt;=5800,IF(INDEX(次果筐明细!$E$4:$E$603,$Z678-5200)=0,"",INDEX(次果筐明细!$E$4:$E$603,$Z678-5200)),"")))))</f>
        <v/>
      </c>
      <c r="F678" s="24" t="str">
        <f>IF($Z678="","",IF($Z678&lt;=2000,IF(INDEX(包装物料出入库明细!$E$4:$E$2003,$Z678-0)=0,"",INDEX(包装物料出入库明细!$E$4:$E$2003,$Z678-0)),IF($Z678&lt;=4000,IF(INDEX(周转筐出入库明细!$D$4:$D$2004,$Z678-2000)=0,"",INDEX(周转筐出入库明细!$D$4:$D$2004,$Z678-2000)),IF($Z678&lt;=5200,IF(INDEX(客户自备加工筐明细!$C$4:$C$1203,$Z678-4000)=0,"",INDEX(客户自备加工筐明细!$C$4:$C$1203,$Z678-4000)),IF($Z678&lt;=5800,IF(INDEX(次果筐明细!$D$4:$D$603,$Z678-5200)=0,"",INDEX(次果筐明细!$D$4:$D$603,$Z678-5200)),"")))))</f>
        <v/>
      </c>
      <c r="G678" s="24" t="str">
        <f>IF($Z678="","",IF($Z678&lt;=2000,IF(INDEX(包装物料出入库明细!$F$4:$F$2003,$Z678-0)=0,"",INDEX(包装物料出入库明细!$F$4:$F$2003,$Z678-0)),IF($Z678&lt;=4000,"",IF($Z678&lt;=5200,"",IF($Z678&lt;=5800,"","")))))</f>
        <v/>
      </c>
      <c r="H678" s="39" t="str">
        <f>IF($Z678="","",IF($Z678&lt;=2000,IF(INDEX(包装物料出入库明细!$L$4:$L$2003,$Z678-0)=0,"",INDEX(包装物料出入库明细!$L$4:$L$2003,$Z678-0)),IF($Z678&lt;=4000,N(INDEX(周转筐出入库明细!$H$4:$H$2004,$Z678-2000))+N(INDEX(周转筐出入库明细!$I$4:$I$2004,$Z678-2000))+N(INDEX(周转筐出入库明细!$J$4:$J$2004,$Z678-2000))+N(INDEX(周转筐出入库明细!$K$4:$K$2004,$Z678-2000)),IF($Z678&lt;=5200,N(INDEX(客户自备加工筐明细!$F$4:$F$1203,$Z678-4000))+N(INDEX(客户自备加工筐明细!$G$4:$G$1203,$Z678-4000)),IF($Z678&lt;=5800,IF(INDEX(次果筐明细!$G$4:$G$603,$Z678-5200)=0,"",INDEX(次果筐明细!$G$4:$G$603,$Z678-5200)),"")))))</f>
        <v/>
      </c>
      <c r="I678" s="24" t="str">
        <f>IF($Z678="","",IF($Z678&lt;=2000,IF(INDEX(包装物料出入库明细!$G$4:$G$2003,$Z678-0)=0,"",INDEX(包装物料出入库明细!$G$4:$G$2003,$Z678-0)),IF($Z678&lt;=4000,"个",IF($Z678&lt;=5200,"个",IF($Z678&lt;=5800,"个","")))))</f>
        <v/>
      </c>
      <c r="J678" s="30" t="str">
        <f t="shared" si="31"/>
        <v/>
      </c>
      <c r="K678" s="30" t="str">
        <f>IF($Z678="","",IF($Z678&lt;=2000,IF(INDEX(包装物料出入库明细!$N$4:$N$2003,$Z678-0)=0,"",INDEX(包装物料出入库明细!$N$4:$N$2003,$Z678-0)),IF($Z678&lt;=4000,IF(INDEX(周转筐出入库明细!$P$4:$P$2004,$Z678-2000)=0,"",INDEX(周转筐出入库明细!$P$4:$P$2004,$Z678-2000)),IF($Z678&lt;=5200,"",IF($Z678&lt;=5800,N(INDEX(次果筐明细!$L$4:$L$603,$Z678-5200))+N(INDEX(次果筐明细!$J$4:$J$603,$Z678-5200)),"")))))</f>
        <v/>
      </c>
      <c r="L678" s="24" t="str">
        <f>IF($Z678="","",IF($Z678&lt;=2000,IF(INDEX(包装物料出入库明细!$P$4:$P$2003,$Z678-0)=0,"",INDEX(包装物料出入库明细!$P$4:$P$2003,$Z678-0)),IF($Z678&lt;=4000,IF(INDEX(周转筐出入库明细!$Q$4:$Q$2004,$Z678-2000)=0,"",INDEX(周转筐出入库明细!$Q$4:$Q$2004,$Z678-2000)),IF($Z678&lt;=5200,"",IF($Z678&lt;=5800,IF(INDEX(次果筐明细!$M$4:$M$603,$Z678-5200)=0,"",INDEX(次果筐明细!$M$4:$M$603,$Z678-5200)),"")))))</f>
        <v/>
      </c>
      <c r="M678" s="37" t="str">
        <f>IF($Z678="","",IF($Z678&lt;=2000,IF(INDEX(包装物料出入库明细!$R$4:$R$2003,$Z678-0)=0,"",INDEX(包装物料出入库明细!$R$4:$R$2003,$Z678-0)),IF($Z678&lt;=4000,IF(INDEX(周转筐出入库明细!$W$4:$W$2004,$Z678-2000)=0,"",INDEX(周转筐出入库明细!$W$4:$W$2004,$Z678-2000)),IF($Z678&lt;=5200,IF(INDEX(客户自备加工筐明细!$L$4:$L$1203,$Z678-4000)=0,"",INDEX(客户自备加工筐明细!$L$4:$L$1203,$Z678-4000)),IF($Z678&lt;=5800,IF(INDEX(次果筐明细!$P$4:$P$603,$Z678-5200)=0,"",INDEX(次果筐明细!$P$4:$P$603,$Z678-5200)),"")))))</f>
        <v/>
      </c>
      <c r="N678" s="16" t="str">
        <f>IF($Z678="","",IF($Z678&lt;=2000,"",IF($Z678&lt;=4000,IF(INDEX(周转筐出入库明细!$D$4:$D$2004,$Z678-2000)=0,"",INDEX(周转筐出入库明细!$D$4:$D$2004,$Z678-2000)),IF($Z678&lt;=5200,IF(INDEX(客户自备加工筐明细!$C$4:$C$1203,$Z678-4000)=0,"",INDEX(客户自备加工筐明细!$C$4:$C$1203,$Z678-4000)),IF($Z678&lt;=5800,IF(INDEX(次果筐明细!$D$4:$D$603,$Z678-5200)=0,"",INDEX(次果筐明细!$D$4:$D$603,$Z678-5200)),"")))))</f>
        <v/>
      </c>
      <c r="O678" s="40" t="str">
        <f>IF($Z678="","",IF($Z678&lt;=2000,"",IF($Z678&lt;=4000,IF(N(INDEX(周转筐出入库明细!$J$4:$J$2004,$Z678-2000))+N(INDEX(周转筐出入库明细!$K$4:$K$2004,$Z678-2000))=0,"",N(INDEX(周转筐出入库明细!$J$4:$J$2004,$Z678-2000))+N(INDEX(周转筐出入库明细!$K$4:$K$2004,$Z678-2000))),IF($Z678&lt;=5200,IF(N(INDEX(客户自备加工筐明细!$G$4:$G$1203,$Z678-4000))=0,"",N(INDEX(客户自备加工筐明细!$G$4:$G$1203,$Z678-4000))),IF($Z678&lt;=5800,IF(ISNUMBER(SEARCH("退",INDEX(次果筐明细!$F$4:$F$603,$Z678-5200)&amp;"")),"",IF(N(INDEX(次果筐明细!$G$4:$G$603,$Z678-5200))=0,"",N(INDEX(次果筐明细!$G$4:$G$603,$Z678-5200)))),"")))))</f>
        <v/>
      </c>
      <c r="P678" s="40" t="str">
        <f>IF($Z678="","",IF($Z678&lt;=2000,"",IF($Z678&lt;=4000,IF(N(INDEX(周转筐出入库明细!$I$4:$I$2004,$Z678-2000))=0,"",N(INDEX(周转筐出入库明细!$I$4:$I$2004,$Z678-2000))),IF($Z678&lt;=5200,"",IF($Z678&lt;=5800,IF(ISNUMBER(SEARCH("退",INDEX(次果筐明细!$F$4:$F$603,$Z678-5200)&amp;"")),IF(N(INDEX(次果筐明细!$G$4:$G$603,$Z678-5200))=0,"",N(INDEX(次果筐明细!$G$4:$G$603,$Z678-5200))),""),"")))))</f>
        <v/>
      </c>
      <c r="Q678" s="40" t="str">
        <f>IF($Z678="","",IF($Z678&lt;=2000,"",IF($Z678&lt;=4000,IF(N(INDEX(周转筐出入库明细!$H$4:$H$2004,$Z678-2000))=0,"",N(INDEX(周转筐出入库明细!$H$4:$H$2004,$Z678-2000))),IF($Z678&lt;=5200,IF(N(INDEX(客户自备加工筐明细!$F$4:$F$1203,$Z678-4000))=0,"",N(INDEX(客户自备加工筐明细!$F$4:$F$1203,$Z678-4000))),IF($Z678&lt;=5800,"","")))))</f>
        <v/>
      </c>
      <c r="R678" s="16" t="str">
        <f>IF($Z678="","",IF($Z678&lt;=2000,IF(INDEX(包装物料出入库明细!$O$4:$O$2003,$Z678-0)=0,"",INDEX(包装物料出入库明细!$O$4:$O$2003,$Z678-0)),IF($Z678&lt;=4000,IF(INDEX(周转筐出入库明细!$M$4:$M$2004,$Z678-2000)=0,"",INDEX(周转筐出入库明细!$M$4:$M$2004,$Z678-2000)),IF($Z678&lt;=5200,IF(INDEX(客户自备加工筐明细!$H$4:$H$1203,$Z678-4000)=0,"",INDEX(客户自备加工筐明细!$H$4:$H$1203,$Z678-4000)),IF($Z678&lt;=5800,IF(INDEX(次果筐明细!$H$4:$H$603,$Z678-5200)=0,"",INDEX(次果筐明细!$H$4:$H$603,$Z678-5200)),"")))))</f>
        <v/>
      </c>
      <c r="S678" s="22" t="str">
        <f t="shared" si="32"/>
        <v/>
      </c>
      <c r="Z678" s="10" t="str">
        <f>IFERROR(MATCH(ROW()-3,_自动清单!$CQ$4:$CQ$5803,0),"")</f>
        <v/>
      </c>
    </row>
    <row r="679" spans="1:26">
      <c r="A679" s="24" t="str">
        <f t="shared" si="30"/>
        <v/>
      </c>
      <c r="B679" s="38" t="str">
        <f>IF($Z679="","",IF($Z679&lt;=2000,IF(INDEX(包装物料出入库明细!$B$4:$B$2003,$Z679-0)=0,"",INDEX(包装物料出入库明细!$B$4:$B$2003,$Z679-0)),IF($Z679&lt;=4000,IF(INDEX(周转筐出入库明细!$B$4:$B$2004,$Z679-2000)=0,"",INDEX(周转筐出入库明细!$B$4:$B$2004,$Z679-2000)),IF($Z679&lt;=5200,IF(INDEX(客户自备加工筐明细!$B$4:$B$1203,$Z679-4000)=0,"",INDEX(客户自备加工筐明细!$B$4:$B$1203,$Z679-4000)),IF($Z679&lt;=5800,IF(INDEX(次果筐明细!$B$4:$B$603,$Z679-5200)=0,"",INDEX(次果筐明细!$B$4:$B$603,$Z679-5200)),"")))))</f>
        <v/>
      </c>
      <c r="C679" s="37" t="str">
        <f>IF($Z679="","",IF($Z679&lt;=2000,IF(INDEX(包装物料出入库明细!$D$4:$D$2003,$Z679-0)=0,"",INDEX(包装物料出入库明细!$D$4:$D$2003,$Z679-0)),IF($Z679&lt;=4000,IF(INDEX(周转筐出入库明细!$C$4:$C$2004,$Z679-2000)=0,"",INDEX(周转筐出入库明细!$C$4:$C$2004,$Z679-2000)),IF($Z679&lt;=5200,IF(INDEX(客户自备加工筐明细!$E$4:$E$1203,$Z679-4000)=0,"",INDEX(客户自备加工筐明细!$E$4:$E$1203,$Z679-4000)),IF($Z679&lt;=5800,IF(INDEX(次果筐明细!$C$4:$C$603,$Z679-5200)=0,"",INDEX(次果筐明细!$C$4:$C$603,$Z679-5200)),"")))))</f>
        <v/>
      </c>
      <c r="D679" s="37" t="str">
        <f>IF($Z679="","",IF($Z679&lt;=2000,"包装物料－"&amp;INDEX(包装物料出入库明细!$H$4:$H$2003,$Z679-0),IF($Z679&lt;=4000,"周转筐－"&amp;INDEX(周转筐出入库明细!$F$4:$F$2004,$Z679-2000),IF($Z679&lt;=5200,"客户自备筐－"&amp;INDEX(客户自备加工筐明细!$J$4:$J$1203,$Z679-4000),IF($Z679&lt;=5800,"次果筐/托盘－"&amp;INDEX(次果筐明细!$F$4:$F$603,$Z679-5200),"")))))</f>
        <v/>
      </c>
      <c r="E679" s="24" t="str">
        <f>IF($Z679="","",IF($Z679&lt;=2000,IF(INDEX(包装物料出入库明细!$C$4:$C$2003,$Z679-0)=0,"",INDEX(包装物料出入库明细!$C$4:$C$2003,$Z679-0)),IF($Z679&lt;=4000,IF(INDEX(周转筐出入库明细!$E$4:$E$2004,$Z679-2000)=0,"",INDEX(周转筐出入库明细!$E$4:$E$2004,$Z679-2000)),IF($Z679&lt;=5200,IF(INDEX(客户自备加工筐明细!$D$4:$D$1203,$Z679-4000)=0,"",INDEX(客户自备加工筐明细!$D$4:$D$1203,$Z679-4000)),IF($Z679&lt;=5800,IF(INDEX(次果筐明细!$E$4:$E$603,$Z679-5200)=0,"",INDEX(次果筐明细!$E$4:$E$603,$Z679-5200)),"")))))</f>
        <v/>
      </c>
      <c r="F679" s="24" t="str">
        <f>IF($Z679="","",IF($Z679&lt;=2000,IF(INDEX(包装物料出入库明细!$E$4:$E$2003,$Z679-0)=0,"",INDEX(包装物料出入库明细!$E$4:$E$2003,$Z679-0)),IF($Z679&lt;=4000,IF(INDEX(周转筐出入库明细!$D$4:$D$2004,$Z679-2000)=0,"",INDEX(周转筐出入库明细!$D$4:$D$2004,$Z679-2000)),IF($Z679&lt;=5200,IF(INDEX(客户自备加工筐明细!$C$4:$C$1203,$Z679-4000)=0,"",INDEX(客户自备加工筐明细!$C$4:$C$1203,$Z679-4000)),IF($Z679&lt;=5800,IF(INDEX(次果筐明细!$D$4:$D$603,$Z679-5200)=0,"",INDEX(次果筐明细!$D$4:$D$603,$Z679-5200)),"")))))</f>
        <v/>
      </c>
      <c r="G679" s="24" t="str">
        <f>IF($Z679="","",IF($Z679&lt;=2000,IF(INDEX(包装物料出入库明细!$F$4:$F$2003,$Z679-0)=0,"",INDEX(包装物料出入库明细!$F$4:$F$2003,$Z679-0)),IF($Z679&lt;=4000,"",IF($Z679&lt;=5200,"",IF($Z679&lt;=5800,"","")))))</f>
        <v/>
      </c>
      <c r="H679" s="39" t="str">
        <f>IF($Z679="","",IF($Z679&lt;=2000,IF(INDEX(包装物料出入库明细!$L$4:$L$2003,$Z679-0)=0,"",INDEX(包装物料出入库明细!$L$4:$L$2003,$Z679-0)),IF($Z679&lt;=4000,N(INDEX(周转筐出入库明细!$H$4:$H$2004,$Z679-2000))+N(INDEX(周转筐出入库明细!$I$4:$I$2004,$Z679-2000))+N(INDEX(周转筐出入库明细!$J$4:$J$2004,$Z679-2000))+N(INDEX(周转筐出入库明细!$K$4:$K$2004,$Z679-2000)),IF($Z679&lt;=5200,N(INDEX(客户自备加工筐明细!$F$4:$F$1203,$Z679-4000))+N(INDEX(客户自备加工筐明细!$G$4:$G$1203,$Z679-4000)),IF($Z679&lt;=5800,IF(INDEX(次果筐明细!$G$4:$G$603,$Z679-5200)=0,"",INDEX(次果筐明细!$G$4:$G$603,$Z679-5200)),"")))))</f>
        <v/>
      </c>
      <c r="I679" s="24" t="str">
        <f>IF($Z679="","",IF($Z679&lt;=2000,IF(INDEX(包装物料出入库明细!$G$4:$G$2003,$Z679-0)=0,"",INDEX(包装物料出入库明细!$G$4:$G$2003,$Z679-0)),IF($Z679&lt;=4000,"个",IF($Z679&lt;=5200,"个",IF($Z679&lt;=5800,"个","")))))</f>
        <v/>
      </c>
      <c r="J679" s="30" t="str">
        <f t="shared" si="31"/>
        <v/>
      </c>
      <c r="K679" s="30" t="str">
        <f>IF($Z679="","",IF($Z679&lt;=2000,IF(INDEX(包装物料出入库明细!$N$4:$N$2003,$Z679-0)=0,"",INDEX(包装物料出入库明细!$N$4:$N$2003,$Z679-0)),IF($Z679&lt;=4000,IF(INDEX(周转筐出入库明细!$P$4:$P$2004,$Z679-2000)=0,"",INDEX(周转筐出入库明细!$P$4:$P$2004,$Z679-2000)),IF($Z679&lt;=5200,"",IF($Z679&lt;=5800,N(INDEX(次果筐明细!$L$4:$L$603,$Z679-5200))+N(INDEX(次果筐明细!$J$4:$J$603,$Z679-5200)),"")))))</f>
        <v/>
      </c>
      <c r="L679" s="24" t="str">
        <f>IF($Z679="","",IF($Z679&lt;=2000,IF(INDEX(包装物料出入库明细!$P$4:$P$2003,$Z679-0)=0,"",INDEX(包装物料出入库明细!$P$4:$P$2003,$Z679-0)),IF($Z679&lt;=4000,IF(INDEX(周转筐出入库明细!$Q$4:$Q$2004,$Z679-2000)=0,"",INDEX(周转筐出入库明细!$Q$4:$Q$2004,$Z679-2000)),IF($Z679&lt;=5200,"",IF($Z679&lt;=5800,IF(INDEX(次果筐明细!$M$4:$M$603,$Z679-5200)=0,"",INDEX(次果筐明细!$M$4:$M$603,$Z679-5200)),"")))))</f>
        <v/>
      </c>
      <c r="M679" s="37" t="str">
        <f>IF($Z679="","",IF($Z679&lt;=2000,IF(INDEX(包装物料出入库明细!$R$4:$R$2003,$Z679-0)=0,"",INDEX(包装物料出入库明细!$R$4:$R$2003,$Z679-0)),IF($Z679&lt;=4000,IF(INDEX(周转筐出入库明细!$W$4:$W$2004,$Z679-2000)=0,"",INDEX(周转筐出入库明细!$W$4:$W$2004,$Z679-2000)),IF($Z679&lt;=5200,IF(INDEX(客户自备加工筐明细!$L$4:$L$1203,$Z679-4000)=0,"",INDEX(客户自备加工筐明细!$L$4:$L$1203,$Z679-4000)),IF($Z679&lt;=5800,IF(INDEX(次果筐明细!$P$4:$P$603,$Z679-5200)=0,"",INDEX(次果筐明细!$P$4:$P$603,$Z679-5200)),"")))))</f>
        <v/>
      </c>
      <c r="N679" s="16" t="str">
        <f>IF($Z679="","",IF($Z679&lt;=2000,"",IF($Z679&lt;=4000,IF(INDEX(周转筐出入库明细!$D$4:$D$2004,$Z679-2000)=0,"",INDEX(周转筐出入库明细!$D$4:$D$2004,$Z679-2000)),IF($Z679&lt;=5200,IF(INDEX(客户自备加工筐明细!$C$4:$C$1203,$Z679-4000)=0,"",INDEX(客户自备加工筐明细!$C$4:$C$1203,$Z679-4000)),IF($Z679&lt;=5800,IF(INDEX(次果筐明细!$D$4:$D$603,$Z679-5200)=0,"",INDEX(次果筐明细!$D$4:$D$603,$Z679-5200)),"")))))</f>
        <v/>
      </c>
      <c r="O679" s="40" t="str">
        <f>IF($Z679="","",IF($Z679&lt;=2000,"",IF($Z679&lt;=4000,IF(N(INDEX(周转筐出入库明细!$J$4:$J$2004,$Z679-2000))+N(INDEX(周转筐出入库明细!$K$4:$K$2004,$Z679-2000))=0,"",N(INDEX(周转筐出入库明细!$J$4:$J$2004,$Z679-2000))+N(INDEX(周转筐出入库明细!$K$4:$K$2004,$Z679-2000))),IF($Z679&lt;=5200,IF(N(INDEX(客户自备加工筐明细!$G$4:$G$1203,$Z679-4000))=0,"",N(INDEX(客户自备加工筐明细!$G$4:$G$1203,$Z679-4000))),IF($Z679&lt;=5800,IF(ISNUMBER(SEARCH("退",INDEX(次果筐明细!$F$4:$F$603,$Z679-5200)&amp;"")),"",IF(N(INDEX(次果筐明细!$G$4:$G$603,$Z679-5200))=0,"",N(INDEX(次果筐明细!$G$4:$G$603,$Z679-5200)))),"")))))</f>
        <v/>
      </c>
      <c r="P679" s="40" t="str">
        <f>IF($Z679="","",IF($Z679&lt;=2000,"",IF($Z679&lt;=4000,IF(N(INDEX(周转筐出入库明细!$I$4:$I$2004,$Z679-2000))=0,"",N(INDEX(周转筐出入库明细!$I$4:$I$2004,$Z679-2000))),IF($Z679&lt;=5200,"",IF($Z679&lt;=5800,IF(ISNUMBER(SEARCH("退",INDEX(次果筐明细!$F$4:$F$603,$Z679-5200)&amp;"")),IF(N(INDEX(次果筐明细!$G$4:$G$603,$Z679-5200))=0,"",N(INDEX(次果筐明细!$G$4:$G$603,$Z679-5200))),""),"")))))</f>
        <v/>
      </c>
      <c r="Q679" s="40" t="str">
        <f>IF($Z679="","",IF($Z679&lt;=2000,"",IF($Z679&lt;=4000,IF(N(INDEX(周转筐出入库明细!$H$4:$H$2004,$Z679-2000))=0,"",N(INDEX(周转筐出入库明细!$H$4:$H$2004,$Z679-2000))),IF($Z679&lt;=5200,IF(N(INDEX(客户自备加工筐明细!$F$4:$F$1203,$Z679-4000))=0,"",N(INDEX(客户自备加工筐明细!$F$4:$F$1203,$Z679-4000))),IF($Z679&lt;=5800,"","")))))</f>
        <v/>
      </c>
      <c r="R679" s="16" t="str">
        <f>IF($Z679="","",IF($Z679&lt;=2000,IF(INDEX(包装物料出入库明细!$O$4:$O$2003,$Z679-0)=0,"",INDEX(包装物料出入库明细!$O$4:$O$2003,$Z679-0)),IF($Z679&lt;=4000,IF(INDEX(周转筐出入库明细!$M$4:$M$2004,$Z679-2000)=0,"",INDEX(周转筐出入库明细!$M$4:$M$2004,$Z679-2000)),IF($Z679&lt;=5200,IF(INDEX(客户自备加工筐明细!$H$4:$H$1203,$Z679-4000)=0,"",INDEX(客户自备加工筐明细!$H$4:$H$1203,$Z679-4000)),IF($Z679&lt;=5800,IF(INDEX(次果筐明细!$H$4:$H$603,$Z679-5200)=0,"",INDEX(次果筐明细!$H$4:$H$603,$Z679-5200)),"")))))</f>
        <v/>
      </c>
      <c r="S679" s="22" t="str">
        <f t="shared" si="32"/>
        <v/>
      </c>
      <c r="Z679" s="10" t="str">
        <f>IFERROR(MATCH(ROW()-3,_自动清单!$CQ$4:$CQ$5803,0),"")</f>
        <v/>
      </c>
    </row>
    <row r="680" spans="1:26">
      <c r="A680" s="24" t="str">
        <f t="shared" si="30"/>
        <v/>
      </c>
      <c r="B680" s="38" t="str">
        <f>IF($Z680="","",IF($Z680&lt;=2000,IF(INDEX(包装物料出入库明细!$B$4:$B$2003,$Z680-0)=0,"",INDEX(包装物料出入库明细!$B$4:$B$2003,$Z680-0)),IF($Z680&lt;=4000,IF(INDEX(周转筐出入库明细!$B$4:$B$2004,$Z680-2000)=0,"",INDEX(周转筐出入库明细!$B$4:$B$2004,$Z680-2000)),IF($Z680&lt;=5200,IF(INDEX(客户自备加工筐明细!$B$4:$B$1203,$Z680-4000)=0,"",INDEX(客户自备加工筐明细!$B$4:$B$1203,$Z680-4000)),IF($Z680&lt;=5800,IF(INDEX(次果筐明细!$B$4:$B$603,$Z680-5200)=0,"",INDEX(次果筐明细!$B$4:$B$603,$Z680-5200)),"")))))</f>
        <v/>
      </c>
      <c r="C680" s="37" t="str">
        <f>IF($Z680="","",IF($Z680&lt;=2000,IF(INDEX(包装物料出入库明细!$D$4:$D$2003,$Z680-0)=0,"",INDEX(包装物料出入库明细!$D$4:$D$2003,$Z680-0)),IF($Z680&lt;=4000,IF(INDEX(周转筐出入库明细!$C$4:$C$2004,$Z680-2000)=0,"",INDEX(周转筐出入库明细!$C$4:$C$2004,$Z680-2000)),IF($Z680&lt;=5200,IF(INDEX(客户自备加工筐明细!$E$4:$E$1203,$Z680-4000)=0,"",INDEX(客户自备加工筐明细!$E$4:$E$1203,$Z680-4000)),IF($Z680&lt;=5800,IF(INDEX(次果筐明细!$C$4:$C$603,$Z680-5200)=0,"",INDEX(次果筐明细!$C$4:$C$603,$Z680-5200)),"")))))</f>
        <v/>
      </c>
      <c r="D680" s="37" t="str">
        <f>IF($Z680="","",IF($Z680&lt;=2000,"包装物料－"&amp;INDEX(包装物料出入库明细!$H$4:$H$2003,$Z680-0),IF($Z680&lt;=4000,"周转筐－"&amp;INDEX(周转筐出入库明细!$F$4:$F$2004,$Z680-2000),IF($Z680&lt;=5200,"客户自备筐－"&amp;INDEX(客户自备加工筐明细!$J$4:$J$1203,$Z680-4000),IF($Z680&lt;=5800,"次果筐/托盘－"&amp;INDEX(次果筐明细!$F$4:$F$603,$Z680-5200),"")))))</f>
        <v/>
      </c>
      <c r="E680" s="24" t="str">
        <f>IF($Z680="","",IF($Z680&lt;=2000,IF(INDEX(包装物料出入库明细!$C$4:$C$2003,$Z680-0)=0,"",INDEX(包装物料出入库明细!$C$4:$C$2003,$Z680-0)),IF($Z680&lt;=4000,IF(INDEX(周转筐出入库明细!$E$4:$E$2004,$Z680-2000)=0,"",INDEX(周转筐出入库明细!$E$4:$E$2004,$Z680-2000)),IF($Z680&lt;=5200,IF(INDEX(客户自备加工筐明细!$D$4:$D$1203,$Z680-4000)=0,"",INDEX(客户自备加工筐明细!$D$4:$D$1203,$Z680-4000)),IF($Z680&lt;=5800,IF(INDEX(次果筐明细!$E$4:$E$603,$Z680-5200)=0,"",INDEX(次果筐明细!$E$4:$E$603,$Z680-5200)),"")))))</f>
        <v/>
      </c>
      <c r="F680" s="24" t="str">
        <f>IF($Z680="","",IF($Z680&lt;=2000,IF(INDEX(包装物料出入库明细!$E$4:$E$2003,$Z680-0)=0,"",INDEX(包装物料出入库明细!$E$4:$E$2003,$Z680-0)),IF($Z680&lt;=4000,IF(INDEX(周转筐出入库明细!$D$4:$D$2004,$Z680-2000)=0,"",INDEX(周转筐出入库明细!$D$4:$D$2004,$Z680-2000)),IF($Z680&lt;=5200,IF(INDEX(客户自备加工筐明细!$C$4:$C$1203,$Z680-4000)=0,"",INDEX(客户自备加工筐明细!$C$4:$C$1203,$Z680-4000)),IF($Z680&lt;=5800,IF(INDEX(次果筐明细!$D$4:$D$603,$Z680-5200)=0,"",INDEX(次果筐明细!$D$4:$D$603,$Z680-5200)),"")))))</f>
        <v/>
      </c>
      <c r="G680" s="24" t="str">
        <f>IF($Z680="","",IF($Z680&lt;=2000,IF(INDEX(包装物料出入库明细!$F$4:$F$2003,$Z680-0)=0,"",INDEX(包装物料出入库明细!$F$4:$F$2003,$Z680-0)),IF($Z680&lt;=4000,"",IF($Z680&lt;=5200,"",IF($Z680&lt;=5800,"","")))))</f>
        <v/>
      </c>
      <c r="H680" s="39" t="str">
        <f>IF($Z680="","",IF($Z680&lt;=2000,IF(INDEX(包装物料出入库明细!$L$4:$L$2003,$Z680-0)=0,"",INDEX(包装物料出入库明细!$L$4:$L$2003,$Z680-0)),IF($Z680&lt;=4000,N(INDEX(周转筐出入库明细!$H$4:$H$2004,$Z680-2000))+N(INDEX(周转筐出入库明细!$I$4:$I$2004,$Z680-2000))+N(INDEX(周转筐出入库明细!$J$4:$J$2004,$Z680-2000))+N(INDEX(周转筐出入库明细!$K$4:$K$2004,$Z680-2000)),IF($Z680&lt;=5200,N(INDEX(客户自备加工筐明细!$F$4:$F$1203,$Z680-4000))+N(INDEX(客户自备加工筐明细!$G$4:$G$1203,$Z680-4000)),IF($Z680&lt;=5800,IF(INDEX(次果筐明细!$G$4:$G$603,$Z680-5200)=0,"",INDEX(次果筐明细!$G$4:$G$603,$Z680-5200)),"")))))</f>
        <v/>
      </c>
      <c r="I680" s="24" t="str">
        <f>IF($Z680="","",IF($Z680&lt;=2000,IF(INDEX(包装物料出入库明细!$G$4:$G$2003,$Z680-0)=0,"",INDEX(包装物料出入库明细!$G$4:$G$2003,$Z680-0)),IF($Z680&lt;=4000,"个",IF($Z680&lt;=5200,"个",IF($Z680&lt;=5800,"个","")))))</f>
        <v/>
      </c>
      <c r="J680" s="30" t="str">
        <f t="shared" si="31"/>
        <v/>
      </c>
      <c r="K680" s="30" t="str">
        <f>IF($Z680="","",IF($Z680&lt;=2000,IF(INDEX(包装物料出入库明细!$N$4:$N$2003,$Z680-0)=0,"",INDEX(包装物料出入库明细!$N$4:$N$2003,$Z680-0)),IF($Z680&lt;=4000,IF(INDEX(周转筐出入库明细!$P$4:$P$2004,$Z680-2000)=0,"",INDEX(周转筐出入库明细!$P$4:$P$2004,$Z680-2000)),IF($Z680&lt;=5200,"",IF($Z680&lt;=5800,N(INDEX(次果筐明细!$L$4:$L$603,$Z680-5200))+N(INDEX(次果筐明细!$J$4:$J$603,$Z680-5200)),"")))))</f>
        <v/>
      </c>
      <c r="L680" s="24" t="str">
        <f>IF($Z680="","",IF($Z680&lt;=2000,IF(INDEX(包装物料出入库明细!$P$4:$P$2003,$Z680-0)=0,"",INDEX(包装物料出入库明细!$P$4:$P$2003,$Z680-0)),IF($Z680&lt;=4000,IF(INDEX(周转筐出入库明细!$Q$4:$Q$2004,$Z680-2000)=0,"",INDEX(周转筐出入库明细!$Q$4:$Q$2004,$Z680-2000)),IF($Z680&lt;=5200,"",IF($Z680&lt;=5800,IF(INDEX(次果筐明细!$M$4:$M$603,$Z680-5200)=0,"",INDEX(次果筐明细!$M$4:$M$603,$Z680-5200)),"")))))</f>
        <v/>
      </c>
      <c r="M680" s="37" t="str">
        <f>IF($Z680="","",IF($Z680&lt;=2000,IF(INDEX(包装物料出入库明细!$R$4:$R$2003,$Z680-0)=0,"",INDEX(包装物料出入库明细!$R$4:$R$2003,$Z680-0)),IF($Z680&lt;=4000,IF(INDEX(周转筐出入库明细!$W$4:$W$2004,$Z680-2000)=0,"",INDEX(周转筐出入库明细!$W$4:$W$2004,$Z680-2000)),IF($Z680&lt;=5200,IF(INDEX(客户自备加工筐明细!$L$4:$L$1203,$Z680-4000)=0,"",INDEX(客户自备加工筐明细!$L$4:$L$1203,$Z680-4000)),IF($Z680&lt;=5800,IF(INDEX(次果筐明细!$P$4:$P$603,$Z680-5200)=0,"",INDEX(次果筐明细!$P$4:$P$603,$Z680-5200)),"")))))</f>
        <v/>
      </c>
      <c r="N680" s="16" t="str">
        <f>IF($Z680="","",IF($Z680&lt;=2000,"",IF($Z680&lt;=4000,IF(INDEX(周转筐出入库明细!$D$4:$D$2004,$Z680-2000)=0,"",INDEX(周转筐出入库明细!$D$4:$D$2004,$Z680-2000)),IF($Z680&lt;=5200,IF(INDEX(客户自备加工筐明细!$C$4:$C$1203,$Z680-4000)=0,"",INDEX(客户自备加工筐明细!$C$4:$C$1203,$Z680-4000)),IF($Z680&lt;=5800,IF(INDEX(次果筐明细!$D$4:$D$603,$Z680-5200)=0,"",INDEX(次果筐明细!$D$4:$D$603,$Z680-5200)),"")))))</f>
        <v/>
      </c>
      <c r="O680" s="40" t="str">
        <f>IF($Z680="","",IF($Z680&lt;=2000,"",IF($Z680&lt;=4000,IF(N(INDEX(周转筐出入库明细!$J$4:$J$2004,$Z680-2000))+N(INDEX(周转筐出入库明细!$K$4:$K$2004,$Z680-2000))=0,"",N(INDEX(周转筐出入库明细!$J$4:$J$2004,$Z680-2000))+N(INDEX(周转筐出入库明细!$K$4:$K$2004,$Z680-2000))),IF($Z680&lt;=5200,IF(N(INDEX(客户自备加工筐明细!$G$4:$G$1203,$Z680-4000))=0,"",N(INDEX(客户自备加工筐明细!$G$4:$G$1203,$Z680-4000))),IF($Z680&lt;=5800,IF(ISNUMBER(SEARCH("退",INDEX(次果筐明细!$F$4:$F$603,$Z680-5200)&amp;"")),"",IF(N(INDEX(次果筐明细!$G$4:$G$603,$Z680-5200))=0,"",N(INDEX(次果筐明细!$G$4:$G$603,$Z680-5200)))),"")))))</f>
        <v/>
      </c>
      <c r="P680" s="40" t="str">
        <f>IF($Z680="","",IF($Z680&lt;=2000,"",IF($Z680&lt;=4000,IF(N(INDEX(周转筐出入库明细!$I$4:$I$2004,$Z680-2000))=0,"",N(INDEX(周转筐出入库明细!$I$4:$I$2004,$Z680-2000))),IF($Z680&lt;=5200,"",IF($Z680&lt;=5800,IF(ISNUMBER(SEARCH("退",INDEX(次果筐明细!$F$4:$F$603,$Z680-5200)&amp;"")),IF(N(INDEX(次果筐明细!$G$4:$G$603,$Z680-5200))=0,"",N(INDEX(次果筐明细!$G$4:$G$603,$Z680-5200))),""),"")))))</f>
        <v/>
      </c>
      <c r="Q680" s="40" t="str">
        <f>IF($Z680="","",IF($Z680&lt;=2000,"",IF($Z680&lt;=4000,IF(N(INDEX(周转筐出入库明细!$H$4:$H$2004,$Z680-2000))=0,"",N(INDEX(周转筐出入库明细!$H$4:$H$2004,$Z680-2000))),IF($Z680&lt;=5200,IF(N(INDEX(客户自备加工筐明细!$F$4:$F$1203,$Z680-4000))=0,"",N(INDEX(客户自备加工筐明细!$F$4:$F$1203,$Z680-4000))),IF($Z680&lt;=5800,"","")))))</f>
        <v/>
      </c>
      <c r="R680" s="16" t="str">
        <f>IF($Z680="","",IF($Z680&lt;=2000,IF(INDEX(包装物料出入库明细!$O$4:$O$2003,$Z680-0)=0,"",INDEX(包装物料出入库明细!$O$4:$O$2003,$Z680-0)),IF($Z680&lt;=4000,IF(INDEX(周转筐出入库明细!$M$4:$M$2004,$Z680-2000)=0,"",INDEX(周转筐出入库明细!$M$4:$M$2004,$Z680-2000)),IF($Z680&lt;=5200,IF(INDEX(客户自备加工筐明细!$H$4:$H$1203,$Z680-4000)=0,"",INDEX(客户自备加工筐明细!$H$4:$H$1203,$Z680-4000)),IF($Z680&lt;=5800,IF(INDEX(次果筐明细!$H$4:$H$603,$Z680-5200)=0,"",INDEX(次果筐明细!$H$4:$H$603,$Z680-5200)),"")))))</f>
        <v/>
      </c>
      <c r="S680" s="22" t="str">
        <f t="shared" si="32"/>
        <v/>
      </c>
      <c r="Z680" s="10" t="str">
        <f>IFERROR(MATCH(ROW()-3,_自动清单!$CQ$4:$CQ$5803,0),"")</f>
        <v/>
      </c>
    </row>
    <row r="681" spans="1:26">
      <c r="A681" s="24" t="str">
        <f t="shared" si="30"/>
        <v/>
      </c>
      <c r="B681" s="38" t="str">
        <f>IF($Z681="","",IF($Z681&lt;=2000,IF(INDEX(包装物料出入库明细!$B$4:$B$2003,$Z681-0)=0,"",INDEX(包装物料出入库明细!$B$4:$B$2003,$Z681-0)),IF($Z681&lt;=4000,IF(INDEX(周转筐出入库明细!$B$4:$B$2004,$Z681-2000)=0,"",INDEX(周转筐出入库明细!$B$4:$B$2004,$Z681-2000)),IF($Z681&lt;=5200,IF(INDEX(客户自备加工筐明细!$B$4:$B$1203,$Z681-4000)=0,"",INDEX(客户自备加工筐明细!$B$4:$B$1203,$Z681-4000)),IF($Z681&lt;=5800,IF(INDEX(次果筐明细!$B$4:$B$603,$Z681-5200)=0,"",INDEX(次果筐明细!$B$4:$B$603,$Z681-5200)),"")))))</f>
        <v/>
      </c>
      <c r="C681" s="37" t="str">
        <f>IF($Z681="","",IF($Z681&lt;=2000,IF(INDEX(包装物料出入库明细!$D$4:$D$2003,$Z681-0)=0,"",INDEX(包装物料出入库明细!$D$4:$D$2003,$Z681-0)),IF($Z681&lt;=4000,IF(INDEX(周转筐出入库明细!$C$4:$C$2004,$Z681-2000)=0,"",INDEX(周转筐出入库明细!$C$4:$C$2004,$Z681-2000)),IF($Z681&lt;=5200,IF(INDEX(客户自备加工筐明细!$E$4:$E$1203,$Z681-4000)=0,"",INDEX(客户自备加工筐明细!$E$4:$E$1203,$Z681-4000)),IF($Z681&lt;=5800,IF(INDEX(次果筐明细!$C$4:$C$603,$Z681-5200)=0,"",INDEX(次果筐明细!$C$4:$C$603,$Z681-5200)),"")))))</f>
        <v/>
      </c>
      <c r="D681" s="37" t="str">
        <f>IF($Z681="","",IF($Z681&lt;=2000,"包装物料－"&amp;INDEX(包装物料出入库明细!$H$4:$H$2003,$Z681-0),IF($Z681&lt;=4000,"周转筐－"&amp;INDEX(周转筐出入库明细!$F$4:$F$2004,$Z681-2000),IF($Z681&lt;=5200,"客户自备筐－"&amp;INDEX(客户自备加工筐明细!$J$4:$J$1203,$Z681-4000),IF($Z681&lt;=5800,"次果筐/托盘－"&amp;INDEX(次果筐明细!$F$4:$F$603,$Z681-5200),"")))))</f>
        <v/>
      </c>
      <c r="E681" s="24" t="str">
        <f>IF($Z681="","",IF($Z681&lt;=2000,IF(INDEX(包装物料出入库明细!$C$4:$C$2003,$Z681-0)=0,"",INDEX(包装物料出入库明细!$C$4:$C$2003,$Z681-0)),IF($Z681&lt;=4000,IF(INDEX(周转筐出入库明细!$E$4:$E$2004,$Z681-2000)=0,"",INDEX(周转筐出入库明细!$E$4:$E$2004,$Z681-2000)),IF($Z681&lt;=5200,IF(INDEX(客户自备加工筐明细!$D$4:$D$1203,$Z681-4000)=0,"",INDEX(客户自备加工筐明细!$D$4:$D$1203,$Z681-4000)),IF($Z681&lt;=5800,IF(INDEX(次果筐明细!$E$4:$E$603,$Z681-5200)=0,"",INDEX(次果筐明细!$E$4:$E$603,$Z681-5200)),"")))))</f>
        <v/>
      </c>
      <c r="F681" s="24" t="str">
        <f>IF($Z681="","",IF($Z681&lt;=2000,IF(INDEX(包装物料出入库明细!$E$4:$E$2003,$Z681-0)=0,"",INDEX(包装物料出入库明细!$E$4:$E$2003,$Z681-0)),IF($Z681&lt;=4000,IF(INDEX(周转筐出入库明细!$D$4:$D$2004,$Z681-2000)=0,"",INDEX(周转筐出入库明细!$D$4:$D$2004,$Z681-2000)),IF($Z681&lt;=5200,IF(INDEX(客户自备加工筐明细!$C$4:$C$1203,$Z681-4000)=0,"",INDEX(客户自备加工筐明细!$C$4:$C$1203,$Z681-4000)),IF($Z681&lt;=5800,IF(INDEX(次果筐明细!$D$4:$D$603,$Z681-5200)=0,"",INDEX(次果筐明细!$D$4:$D$603,$Z681-5200)),"")))))</f>
        <v/>
      </c>
      <c r="G681" s="24" t="str">
        <f>IF($Z681="","",IF($Z681&lt;=2000,IF(INDEX(包装物料出入库明细!$F$4:$F$2003,$Z681-0)=0,"",INDEX(包装物料出入库明细!$F$4:$F$2003,$Z681-0)),IF($Z681&lt;=4000,"",IF($Z681&lt;=5200,"",IF($Z681&lt;=5800,"","")))))</f>
        <v/>
      </c>
      <c r="H681" s="39" t="str">
        <f>IF($Z681="","",IF($Z681&lt;=2000,IF(INDEX(包装物料出入库明细!$L$4:$L$2003,$Z681-0)=0,"",INDEX(包装物料出入库明细!$L$4:$L$2003,$Z681-0)),IF($Z681&lt;=4000,N(INDEX(周转筐出入库明细!$H$4:$H$2004,$Z681-2000))+N(INDEX(周转筐出入库明细!$I$4:$I$2004,$Z681-2000))+N(INDEX(周转筐出入库明细!$J$4:$J$2004,$Z681-2000))+N(INDEX(周转筐出入库明细!$K$4:$K$2004,$Z681-2000)),IF($Z681&lt;=5200,N(INDEX(客户自备加工筐明细!$F$4:$F$1203,$Z681-4000))+N(INDEX(客户自备加工筐明细!$G$4:$G$1203,$Z681-4000)),IF($Z681&lt;=5800,IF(INDEX(次果筐明细!$G$4:$G$603,$Z681-5200)=0,"",INDEX(次果筐明细!$G$4:$G$603,$Z681-5200)),"")))))</f>
        <v/>
      </c>
      <c r="I681" s="24" t="str">
        <f>IF($Z681="","",IF($Z681&lt;=2000,IF(INDEX(包装物料出入库明细!$G$4:$G$2003,$Z681-0)=0,"",INDEX(包装物料出入库明细!$G$4:$G$2003,$Z681-0)),IF($Z681&lt;=4000,"个",IF($Z681&lt;=5200,"个",IF($Z681&lt;=5800,"个","")))))</f>
        <v/>
      </c>
      <c r="J681" s="30" t="str">
        <f t="shared" si="31"/>
        <v/>
      </c>
      <c r="K681" s="30" t="str">
        <f>IF($Z681="","",IF($Z681&lt;=2000,IF(INDEX(包装物料出入库明细!$N$4:$N$2003,$Z681-0)=0,"",INDEX(包装物料出入库明细!$N$4:$N$2003,$Z681-0)),IF($Z681&lt;=4000,IF(INDEX(周转筐出入库明细!$P$4:$P$2004,$Z681-2000)=0,"",INDEX(周转筐出入库明细!$P$4:$P$2004,$Z681-2000)),IF($Z681&lt;=5200,"",IF($Z681&lt;=5800,N(INDEX(次果筐明细!$L$4:$L$603,$Z681-5200))+N(INDEX(次果筐明细!$J$4:$J$603,$Z681-5200)),"")))))</f>
        <v/>
      </c>
      <c r="L681" s="24" t="str">
        <f>IF($Z681="","",IF($Z681&lt;=2000,IF(INDEX(包装物料出入库明细!$P$4:$P$2003,$Z681-0)=0,"",INDEX(包装物料出入库明细!$P$4:$P$2003,$Z681-0)),IF($Z681&lt;=4000,IF(INDEX(周转筐出入库明细!$Q$4:$Q$2004,$Z681-2000)=0,"",INDEX(周转筐出入库明细!$Q$4:$Q$2004,$Z681-2000)),IF($Z681&lt;=5200,"",IF($Z681&lt;=5800,IF(INDEX(次果筐明细!$M$4:$M$603,$Z681-5200)=0,"",INDEX(次果筐明细!$M$4:$M$603,$Z681-5200)),"")))))</f>
        <v/>
      </c>
      <c r="M681" s="37" t="str">
        <f>IF($Z681="","",IF($Z681&lt;=2000,IF(INDEX(包装物料出入库明细!$R$4:$R$2003,$Z681-0)=0,"",INDEX(包装物料出入库明细!$R$4:$R$2003,$Z681-0)),IF($Z681&lt;=4000,IF(INDEX(周转筐出入库明细!$W$4:$W$2004,$Z681-2000)=0,"",INDEX(周转筐出入库明细!$W$4:$W$2004,$Z681-2000)),IF($Z681&lt;=5200,IF(INDEX(客户自备加工筐明细!$L$4:$L$1203,$Z681-4000)=0,"",INDEX(客户自备加工筐明细!$L$4:$L$1203,$Z681-4000)),IF($Z681&lt;=5800,IF(INDEX(次果筐明细!$P$4:$P$603,$Z681-5200)=0,"",INDEX(次果筐明细!$P$4:$P$603,$Z681-5200)),"")))))</f>
        <v/>
      </c>
      <c r="N681" s="16" t="str">
        <f>IF($Z681="","",IF($Z681&lt;=2000,"",IF($Z681&lt;=4000,IF(INDEX(周转筐出入库明细!$D$4:$D$2004,$Z681-2000)=0,"",INDEX(周转筐出入库明细!$D$4:$D$2004,$Z681-2000)),IF($Z681&lt;=5200,IF(INDEX(客户自备加工筐明细!$C$4:$C$1203,$Z681-4000)=0,"",INDEX(客户自备加工筐明细!$C$4:$C$1203,$Z681-4000)),IF($Z681&lt;=5800,IF(INDEX(次果筐明细!$D$4:$D$603,$Z681-5200)=0,"",INDEX(次果筐明细!$D$4:$D$603,$Z681-5200)),"")))))</f>
        <v/>
      </c>
      <c r="O681" s="40" t="str">
        <f>IF($Z681="","",IF($Z681&lt;=2000,"",IF($Z681&lt;=4000,IF(N(INDEX(周转筐出入库明细!$J$4:$J$2004,$Z681-2000))+N(INDEX(周转筐出入库明细!$K$4:$K$2004,$Z681-2000))=0,"",N(INDEX(周转筐出入库明细!$J$4:$J$2004,$Z681-2000))+N(INDEX(周转筐出入库明细!$K$4:$K$2004,$Z681-2000))),IF($Z681&lt;=5200,IF(N(INDEX(客户自备加工筐明细!$G$4:$G$1203,$Z681-4000))=0,"",N(INDEX(客户自备加工筐明细!$G$4:$G$1203,$Z681-4000))),IF($Z681&lt;=5800,IF(ISNUMBER(SEARCH("退",INDEX(次果筐明细!$F$4:$F$603,$Z681-5200)&amp;"")),"",IF(N(INDEX(次果筐明细!$G$4:$G$603,$Z681-5200))=0,"",N(INDEX(次果筐明细!$G$4:$G$603,$Z681-5200)))),"")))))</f>
        <v/>
      </c>
      <c r="P681" s="40" t="str">
        <f>IF($Z681="","",IF($Z681&lt;=2000,"",IF($Z681&lt;=4000,IF(N(INDEX(周转筐出入库明细!$I$4:$I$2004,$Z681-2000))=0,"",N(INDEX(周转筐出入库明细!$I$4:$I$2004,$Z681-2000))),IF($Z681&lt;=5200,"",IF($Z681&lt;=5800,IF(ISNUMBER(SEARCH("退",INDEX(次果筐明细!$F$4:$F$603,$Z681-5200)&amp;"")),IF(N(INDEX(次果筐明细!$G$4:$G$603,$Z681-5200))=0,"",N(INDEX(次果筐明细!$G$4:$G$603,$Z681-5200))),""),"")))))</f>
        <v/>
      </c>
      <c r="Q681" s="40" t="str">
        <f>IF($Z681="","",IF($Z681&lt;=2000,"",IF($Z681&lt;=4000,IF(N(INDEX(周转筐出入库明细!$H$4:$H$2004,$Z681-2000))=0,"",N(INDEX(周转筐出入库明细!$H$4:$H$2004,$Z681-2000))),IF($Z681&lt;=5200,IF(N(INDEX(客户自备加工筐明细!$F$4:$F$1203,$Z681-4000))=0,"",N(INDEX(客户自备加工筐明细!$F$4:$F$1203,$Z681-4000))),IF($Z681&lt;=5800,"","")))))</f>
        <v/>
      </c>
      <c r="R681" s="16" t="str">
        <f>IF($Z681="","",IF($Z681&lt;=2000,IF(INDEX(包装物料出入库明细!$O$4:$O$2003,$Z681-0)=0,"",INDEX(包装物料出入库明细!$O$4:$O$2003,$Z681-0)),IF($Z681&lt;=4000,IF(INDEX(周转筐出入库明细!$M$4:$M$2004,$Z681-2000)=0,"",INDEX(周转筐出入库明细!$M$4:$M$2004,$Z681-2000)),IF($Z681&lt;=5200,IF(INDEX(客户自备加工筐明细!$H$4:$H$1203,$Z681-4000)=0,"",INDEX(客户自备加工筐明细!$H$4:$H$1203,$Z681-4000)),IF($Z681&lt;=5800,IF(INDEX(次果筐明细!$H$4:$H$603,$Z681-5200)=0,"",INDEX(次果筐明细!$H$4:$H$603,$Z681-5200)),"")))))</f>
        <v/>
      </c>
      <c r="S681" s="22" t="str">
        <f t="shared" si="32"/>
        <v/>
      </c>
      <c r="Z681" s="10" t="str">
        <f>IFERROR(MATCH(ROW()-3,_自动清单!$CQ$4:$CQ$5803,0),"")</f>
        <v/>
      </c>
    </row>
    <row r="682" spans="1:26">
      <c r="A682" s="24" t="str">
        <f t="shared" si="30"/>
        <v/>
      </c>
      <c r="B682" s="38" t="str">
        <f>IF($Z682="","",IF($Z682&lt;=2000,IF(INDEX(包装物料出入库明细!$B$4:$B$2003,$Z682-0)=0,"",INDEX(包装物料出入库明细!$B$4:$B$2003,$Z682-0)),IF($Z682&lt;=4000,IF(INDEX(周转筐出入库明细!$B$4:$B$2004,$Z682-2000)=0,"",INDEX(周转筐出入库明细!$B$4:$B$2004,$Z682-2000)),IF($Z682&lt;=5200,IF(INDEX(客户自备加工筐明细!$B$4:$B$1203,$Z682-4000)=0,"",INDEX(客户自备加工筐明细!$B$4:$B$1203,$Z682-4000)),IF($Z682&lt;=5800,IF(INDEX(次果筐明细!$B$4:$B$603,$Z682-5200)=0,"",INDEX(次果筐明细!$B$4:$B$603,$Z682-5200)),"")))))</f>
        <v/>
      </c>
      <c r="C682" s="37" t="str">
        <f>IF($Z682="","",IF($Z682&lt;=2000,IF(INDEX(包装物料出入库明细!$D$4:$D$2003,$Z682-0)=0,"",INDEX(包装物料出入库明细!$D$4:$D$2003,$Z682-0)),IF($Z682&lt;=4000,IF(INDEX(周转筐出入库明细!$C$4:$C$2004,$Z682-2000)=0,"",INDEX(周转筐出入库明细!$C$4:$C$2004,$Z682-2000)),IF($Z682&lt;=5200,IF(INDEX(客户自备加工筐明细!$E$4:$E$1203,$Z682-4000)=0,"",INDEX(客户自备加工筐明细!$E$4:$E$1203,$Z682-4000)),IF($Z682&lt;=5800,IF(INDEX(次果筐明细!$C$4:$C$603,$Z682-5200)=0,"",INDEX(次果筐明细!$C$4:$C$603,$Z682-5200)),"")))))</f>
        <v/>
      </c>
      <c r="D682" s="37" t="str">
        <f>IF($Z682="","",IF($Z682&lt;=2000,"包装物料－"&amp;INDEX(包装物料出入库明细!$H$4:$H$2003,$Z682-0),IF($Z682&lt;=4000,"周转筐－"&amp;INDEX(周转筐出入库明细!$F$4:$F$2004,$Z682-2000),IF($Z682&lt;=5200,"客户自备筐－"&amp;INDEX(客户自备加工筐明细!$J$4:$J$1203,$Z682-4000),IF($Z682&lt;=5800,"次果筐/托盘－"&amp;INDEX(次果筐明细!$F$4:$F$603,$Z682-5200),"")))))</f>
        <v/>
      </c>
      <c r="E682" s="24" t="str">
        <f>IF($Z682="","",IF($Z682&lt;=2000,IF(INDEX(包装物料出入库明细!$C$4:$C$2003,$Z682-0)=0,"",INDEX(包装物料出入库明细!$C$4:$C$2003,$Z682-0)),IF($Z682&lt;=4000,IF(INDEX(周转筐出入库明细!$E$4:$E$2004,$Z682-2000)=0,"",INDEX(周转筐出入库明细!$E$4:$E$2004,$Z682-2000)),IF($Z682&lt;=5200,IF(INDEX(客户自备加工筐明细!$D$4:$D$1203,$Z682-4000)=0,"",INDEX(客户自备加工筐明细!$D$4:$D$1203,$Z682-4000)),IF($Z682&lt;=5800,IF(INDEX(次果筐明细!$E$4:$E$603,$Z682-5200)=0,"",INDEX(次果筐明细!$E$4:$E$603,$Z682-5200)),"")))))</f>
        <v/>
      </c>
      <c r="F682" s="24" t="str">
        <f>IF($Z682="","",IF($Z682&lt;=2000,IF(INDEX(包装物料出入库明细!$E$4:$E$2003,$Z682-0)=0,"",INDEX(包装物料出入库明细!$E$4:$E$2003,$Z682-0)),IF($Z682&lt;=4000,IF(INDEX(周转筐出入库明细!$D$4:$D$2004,$Z682-2000)=0,"",INDEX(周转筐出入库明细!$D$4:$D$2004,$Z682-2000)),IF($Z682&lt;=5200,IF(INDEX(客户自备加工筐明细!$C$4:$C$1203,$Z682-4000)=0,"",INDEX(客户自备加工筐明细!$C$4:$C$1203,$Z682-4000)),IF($Z682&lt;=5800,IF(INDEX(次果筐明细!$D$4:$D$603,$Z682-5200)=0,"",INDEX(次果筐明细!$D$4:$D$603,$Z682-5200)),"")))))</f>
        <v/>
      </c>
      <c r="G682" s="24" t="str">
        <f>IF($Z682="","",IF($Z682&lt;=2000,IF(INDEX(包装物料出入库明细!$F$4:$F$2003,$Z682-0)=0,"",INDEX(包装物料出入库明细!$F$4:$F$2003,$Z682-0)),IF($Z682&lt;=4000,"",IF($Z682&lt;=5200,"",IF($Z682&lt;=5800,"","")))))</f>
        <v/>
      </c>
      <c r="H682" s="39" t="str">
        <f>IF($Z682="","",IF($Z682&lt;=2000,IF(INDEX(包装物料出入库明细!$L$4:$L$2003,$Z682-0)=0,"",INDEX(包装物料出入库明细!$L$4:$L$2003,$Z682-0)),IF($Z682&lt;=4000,N(INDEX(周转筐出入库明细!$H$4:$H$2004,$Z682-2000))+N(INDEX(周转筐出入库明细!$I$4:$I$2004,$Z682-2000))+N(INDEX(周转筐出入库明细!$J$4:$J$2004,$Z682-2000))+N(INDEX(周转筐出入库明细!$K$4:$K$2004,$Z682-2000)),IF($Z682&lt;=5200,N(INDEX(客户自备加工筐明细!$F$4:$F$1203,$Z682-4000))+N(INDEX(客户自备加工筐明细!$G$4:$G$1203,$Z682-4000)),IF($Z682&lt;=5800,IF(INDEX(次果筐明细!$G$4:$G$603,$Z682-5200)=0,"",INDEX(次果筐明细!$G$4:$G$603,$Z682-5200)),"")))))</f>
        <v/>
      </c>
      <c r="I682" s="24" t="str">
        <f>IF($Z682="","",IF($Z682&lt;=2000,IF(INDEX(包装物料出入库明细!$G$4:$G$2003,$Z682-0)=0,"",INDEX(包装物料出入库明细!$G$4:$G$2003,$Z682-0)),IF($Z682&lt;=4000,"个",IF($Z682&lt;=5200,"个",IF($Z682&lt;=5800,"个","")))))</f>
        <v/>
      </c>
      <c r="J682" s="30" t="str">
        <f t="shared" si="31"/>
        <v/>
      </c>
      <c r="K682" s="30" t="str">
        <f>IF($Z682="","",IF($Z682&lt;=2000,IF(INDEX(包装物料出入库明细!$N$4:$N$2003,$Z682-0)=0,"",INDEX(包装物料出入库明细!$N$4:$N$2003,$Z682-0)),IF($Z682&lt;=4000,IF(INDEX(周转筐出入库明细!$P$4:$P$2004,$Z682-2000)=0,"",INDEX(周转筐出入库明细!$P$4:$P$2004,$Z682-2000)),IF($Z682&lt;=5200,"",IF($Z682&lt;=5800,N(INDEX(次果筐明细!$L$4:$L$603,$Z682-5200))+N(INDEX(次果筐明细!$J$4:$J$603,$Z682-5200)),"")))))</f>
        <v/>
      </c>
      <c r="L682" s="24" t="str">
        <f>IF($Z682="","",IF($Z682&lt;=2000,IF(INDEX(包装物料出入库明细!$P$4:$P$2003,$Z682-0)=0,"",INDEX(包装物料出入库明细!$P$4:$P$2003,$Z682-0)),IF($Z682&lt;=4000,IF(INDEX(周转筐出入库明细!$Q$4:$Q$2004,$Z682-2000)=0,"",INDEX(周转筐出入库明细!$Q$4:$Q$2004,$Z682-2000)),IF($Z682&lt;=5200,"",IF($Z682&lt;=5800,IF(INDEX(次果筐明细!$M$4:$M$603,$Z682-5200)=0,"",INDEX(次果筐明细!$M$4:$M$603,$Z682-5200)),"")))))</f>
        <v/>
      </c>
      <c r="M682" s="37" t="str">
        <f>IF($Z682="","",IF($Z682&lt;=2000,IF(INDEX(包装物料出入库明细!$R$4:$R$2003,$Z682-0)=0,"",INDEX(包装物料出入库明细!$R$4:$R$2003,$Z682-0)),IF($Z682&lt;=4000,IF(INDEX(周转筐出入库明细!$W$4:$W$2004,$Z682-2000)=0,"",INDEX(周转筐出入库明细!$W$4:$W$2004,$Z682-2000)),IF($Z682&lt;=5200,IF(INDEX(客户自备加工筐明细!$L$4:$L$1203,$Z682-4000)=0,"",INDEX(客户自备加工筐明细!$L$4:$L$1203,$Z682-4000)),IF($Z682&lt;=5800,IF(INDEX(次果筐明细!$P$4:$P$603,$Z682-5200)=0,"",INDEX(次果筐明细!$P$4:$P$603,$Z682-5200)),"")))))</f>
        <v/>
      </c>
      <c r="N682" s="16" t="str">
        <f>IF($Z682="","",IF($Z682&lt;=2000,"",IF($Z682&lt;=4000,IF(INDEX(周转筐出入库明细!$D$4:$D$2004,$Z682-2000)=0,"",INDEX(周转筐出入库明细!$D$4:$D$2004,$Z682-2000)),IF($Z682&lt;=5200,IF(INDEX(客户自备加工筐明细!$C$4:$C$1203,$Z682-4000)=0,"",INDEX(客户自备加工筐明细!$C$4:$C$1203,$Z682-4000)),IF($Z682&lt;=5800,IF(INDEX(次果筐明细!$D$4:$D$603,$Z682-5200)=0,"",INDEX(次果筐明细!$D$4:$D$603,$Z682-5200)),"")))))</f>
        <v/>
      </c>
      <c r="O682" s="40" t="str">
        <f>IF($Z682="","",IF($Z682&lt;=2000,"",IF($Z682&lt;=4000,IF(N(INDEX(周转筐出入库明细!$J$4:$J$2004,$Z682-2000))+N(INDEX(周转筐出入库明细!$K$4:$K$2004,$Z682-2000))=0,"",N(INDEX(周转筐出入库明细!$J$4:$J$2004,$Z682-2000))+N(INDEX(周转筐出入库明细!$K$4:$K$2004,$Z682-2000))),IF($Z682&lt;=5200,IF(N(INDEX(客户自备加工筐明细!$G$4:$G$1203,$Z682-4000))=0,"",N(INDEX(客户自备加工筐明细!$G$4:$G$1203,$Z682-4000))),IF($Z682&lt;=5800,IF(ISNUMBER(SEARCH("退",INDEX(次果筐明细!$F$4:$F$603,$Z682-5200)&amp;"")),"",IF(N(INDEX(次果筐明细!$G$4:$G$603,$Z682-5200))=0,"",N(INDEX(次果筐明细!$G$4:$G$603,$Z682-5200)))),"")))))</f>
        <v/>
      </c>
      <c r="P682" s="40" t="str">
        <f>IF($Z682="","",IF($Z682&lt;=2000,"",IF($Z682&lt;=4000,IF(N(INDEX(周转筐出入库明细!$I$4:$I$2004,$Z682-2000))=0,"",N(INDEX(周转筐出入库明细!$I$4:$I$2004,$Z682-2000))),IF($Z682&lt;=5200,"",IF($Z682&lt;=5800,IF(ISNUMBER(SEARCH("退",INDEX(次果筐明细!$F$4:$F$603,$Z682-5200)&amp;"")),IF(N(INDEX(次果筐明细!$G$4:$G$603,$Z682-5200))=0,"",N(INDEX(次果筐明细!$G$4:$G$603,$Z682-5200))),""),"")))))</f>
        <v/>
      </c>
      <c r="Q682" s="40" t="str">
        <f>IF($Z682="","",IF($Z682&lt;=2000,"",IF($Z682&lt;=4000,IF(N(INDEX(周转筐出入库明细!$H$4:$H$2004,$Z682-2000))=0,"",N(INDEX(周转筐出入库明细!$H$4:$H$2004,$Z682-2000))),IF($Z682&lt;=5200,IF(N(INDEX(客户自备加工筐明细!$F$4:$F$1203,$Z682-4000))=0,"",N(INDEX(客户自备加工筐明细!$F$4:$F$1203,$Z682-4000))),IF($Z682&lt;=5800,"","")))))</f>
        <v/>
      </c>
      <c r="R682" s="16" t="str">
        <f>IF($Z682="","",IF($Z682&lt;=2000,IF(INDEX(包装物料出入库明细!$O$4:$O$2003,$Z682-0)=0,"",INDEX(包装物料出入库明细!$O$4:$O$2003,$Z682-0)),IF($Z682&lt;=4000,IF(INDEX(周转筐出入库明细!$M$4:$M$2004,$Z682-2000)=0,"",INDEX(周转筐出入库明细!$M$4:$M$2004,$Z682-2000)),IF($Z682&lt;=5200,IF(INDEX(客户自备加工筐明细!$H$4:$H$1203,$Z682-4000)=0,"",INDEX(客户自备加工筐明细!$H$4:$H$1203,$Z682-4000)),IF($Z682&lt;=5800,IF(INDEX(次果筐明细!$H$4:$H$603,$Z682-5200)=0,"",INDEX(次果筐明细!$H$4:$H$603,$Z682-5200)),"")))))</f>
        <v/>
      </c>
      <c r="S682" s="22" t="str">
        <f t="shared" si="32"/>
        <v/>
      </c>
      <c r="Z682" s="10" t="str">
        <f>IFERROR(MATCH(ROW()-3,_自动清单!$CQ$4:$CQ$5803,0),"")</f>
        <v/>
      </c>
    </row>
    <row r="683" spans="1:26">
      <c r="A683" s="24" t="str">
        <f t="shared" si="30"/>
        <v/>
      </c>
      <c r="B683" s="38" t="str">
        <f>IF($Z683="","",IF($Z683&lt;=2000,IF(INDEX(包装物料出入库明细!$B$4:$B$2003,$Z683-0)=0,"",INDEX(包装物料出入库明细!$B$4:$B$2003,$Z683-0)),IF($Z683&lt;=4000,IF(INDEX(周转筐出入库明细!$B$4:$B$2004,$Z683-2000)=0,"",INDEX(周转筐出入库明细!$B$4:$B$2004,$Z683-2000)),IF($Z683&lt;=5200,IF(INDEX(客户自备加工筐明细!$B$4:$B$1203,$Z683-4000)=0,"",INDEX(客户自备加工筐明细!$B$4:$B$1203,$Z683-4000)),IF($Z683&lt;=5800,IF(INDEX(次果筐明细!$B$4:$B$603,$Z683-5200)=0,"",INDEX(次果筐明细!$B$4:$B$603,$Z683-5200)),"")))))</f>
        <v/>
      </c>
      <c r="C683" s="37" t="str">
        <f>IF($Z683="","",IF($Z683&lt;=2000,IF(INDEX(包装物料出入库明细!$D$4:$D$2003,$Z683-0)=0,"",INDEX(包装物料出入库明细!$D$4:$D$2003,$Z683-0)),IF($Z683&lt;=4000,IF(INDEX(周转筐出入库明细!$C$4:$C$2004,$Z683-2000)=0,"",INDEX(周转筐出入库明细!$C$4:$C$2004,$Z683-2000)),IF($Z683&lt;=5200,IF(INDEX(客户自备加工筐明细!$E$4:$E$1203,$Z683-4000)=0,"",INDEX(客户自备加工筐明细!$E$4:$E$1203,$Z683-4000)),IF($Z683&lt;=5800,IF(INDEX(次果筐明细!$C$4:$C$603,$Z683-5200)=0,"",INDEX(次果筐明细!$C$4:$C$603,$Z683-5200)),"")))))</f>
        <v/>
      </c>
      <c r="D683" s="37" t="str">
        <f>IF($Z683="","",IF($Z683&lt;=2000,"包装物料－"&amp;INDEX(包装物料出入库明细!$H$4:$H$2003,$Z683-0),IF($Z683&lt;=4000,"周转筐－"&amp;INDEX(周转筐出入库明细!$F$4:$F$2004,$Z683-2000),IF($Z683&lt;=5200,"客户自备筐－"&amp;INDEX(客户自备加工筐明细!$J$4:$J$1203,$Z683-4000),IF($Z683&lt;=5800,"次果筐/托盘－"&amp;INDEX(次果筐明细!$F$4:$F$603,$Z683-5200),"")))))</f>
        <v/>
      </c>
      <c r="E683" s="24" t="str">
        <f>IF($Z683="","",IF($Z683&lt;=2000,IF(INDEX(包装物料出入库明细!$C$4:$C$2003,$Z683-0)=0,"",INDEX(包装物料出入库明细!$C$4:$C$2003,$Z683-0)),IF($Z683&lt;=4000,IF(INDEX(周转筐出入库明细!$E$4:$E$2004,$Z683-2000)=0,"",INDEX(周转筐出入库明细!$E$4:$E$2004,$Z683-2000)),IF($Z683&lt;=5200,IF(INDEX(客户自备加工筐明细!$D$4:$D$1203,$Z683-4000)=0,"",INDEX(客户自备加工筐明细!$D$4:$D$1203,$Z683-4000)),IF($Z683&lt;=5800,IF(INDEX(次果筐明细!$E$4:$E$603,$Z683-5200)=0,"",INDEX(次果筐明细!$E$4:$E$603,$Z683-5200)),"")))))</f>
        <v/>
      </c>
      <c r="F683" s="24" t="str">
        <f>IF($Z683="","",IF($Z683&lt;=2000,IF(INDEX(包装物料出入库明细!$E$4:$E$2003,$Z683-0)=0,"",INDEX(包装物料出入库明细!$E$4:$E$2003,$Z683-0)),IF($Z683&lt;=4000,IF(INDEX(周转筐出入库明细!$D$4:$D$2004,$Z683-2000)=0,"",INDEX(周转筐出入库明细!$D$4:$D$2004,$Z683-2000)),IF($Z683&lt;=5200,IF(INDEX(客户自备加工筐明细!$C$4:$C$1203,$Z683-4000)=0,"",INDEX(客户自备加工筐明细!$C$4:$C$1203,$Z683-4000)),IF($Z683&lt;=5800,IF(INDEX(次果筐明细!$D$4:$D$603,$Z683-5200)=0,"",INDEX(次果筐明细!$D$4:$D$603,$Z683-5200)),"")))))</f>
        <v/>
      </c>
      <c r="G683" s="24" t="str">
        <f>IF($Z683="","",IF($Z683&lt;=2000,IF(INDEX(包装物料出入库明细!$F$4:$F$2003,$Z683-0)=0,"",INDEX(包装物料出入库明细!$F$4:$F$2003,$Z683-0)),IF($Z683&lt;=4000,"",IF($Z683&lt;=5200,"",IF($Z683&lt;=5800,"","")))))</f>
        <v/>
      </c>
      <c r="H683" s="39" t="str">
        <f>IF($Z683="","",IF($Z683&lt;=2000,IF(INDEX(包装物料出入库明细!$L$4:$L$2003,$Z683-0)=0,"",INDEX(包装物料出入库明细!$L$4:$L$2003,$Z683-0)),IF($Z683&lt;=4000,N(INDEX(周转筐出入库明细!$H$4:$H$2004,$Z683-2000))+N(INDEX(周转筐出入库明细!$I$4:$I$2004,$Z683-2000))+N(INDEX(周转筐出入库明细!$J$4:$J$2004,$Z683-2000))+N(INDEX(周转筐出入库明细!$K$4:$K$2004,$Z683-2000)),IF($Z683&lt;=5200,N(INDEX(客户自备加工筐明细!$F$4:$F$1203,$Z683-4000))+N(INDEX(客户自备加工筐明细!$G$4:$G$1203,$Z683-4000)),IF($Z683&lt;=5800,IF(INDEX(次果筐明细!$G$4:$G$603,$Z683-5200)=0,"",INDEX(次果筐明细!$G$4:$G$603,$Z683-5200)),"")))))</f>
        <v/>
      </c>
      <c r="I683" s="24" t="str">
        <f>IF($Z683="","",IF($Z683&lt;=2000,IF(INDEX(包装物料出入库明细!$G$4:$G$2003,$Z683-0)=0,"",INDEX(包装物料出入库明细!$G$4:$G$2003,$Z683-0)),IF($Z683&lt;=4000,"个",IF($Z683&lt;=5200,"个",IF($Z683&lt;=5800,"个","")))))</f>
        <v/>
      </c>
      <c r="J683" s="30" t="str">
        <f t="shared" si="31"/>
        <v/>
      </c>
      <c r="K683" s="30" t="str">
        <f>IF($Z683="","",IF($Z683&lt;=2000,IF(INDEX(包装物料出入库明细!$N$4:$N$2003,$Z683-0)=0,"",INDEX(包装物料出入库明细!$N$4:$N$2003,$Z683-0)),IF($Z683&lt;=4000,IF(INDEX(周转筐出入库明细!$P$4:$P$2004,$Z683-2000)=0,"",INDEX(周转筐出入库明细!$P$4:$P$2004,$Z683-2000)),IF($Z683&lt;=5200,"",IF($Z683&lt;=5800,N(INDEX(次果筐明细!$L$4:$L$603,$Z683-5200))+N(INDEX(次果筐明细!$J$4:$J$603,$Z683-5200)),"")))))</f>
        <v/>
      </c>
      <c r="L683" s="24" t="str">
        <f>IF($Z683="","",IF($Z683&lt;=2000,IF(INDEX(包装物料出入库明细!$P$4:$P$2003,$Z683-0)=0,"",INDEX(包装物料出入库明细!$P$4:$P$2003,$Z683-0)),IF($Z683&lt;=4000,IF(INDEX(周转筐出入库明细!$Q$4:$Q$2004,$Z683-2000)=0,"",INDEX(周转筐出入库明细!$Q$4:$Q$2004,$Z683-2000)),IF($Z683&lt;=5200,"",IF($Z683&lt;=5800,IF(INDEX(次果筐明细!$M$4:$M$603,$Z683-5200)=0,"",INDEX(次果筐明细!$M$4:$M$603,$Z683-5200)),"")))))</f>
        <v/>
      </c>
      <c r="M683" s="37" t="str">
        <f>IF($Z683="","",IF($Z683&lt;=2000,IF(INDEX(包装物料出入库明细!$R$4:$R$2003,$Z683-0)=0,"",INDEX(包装物料出入库明细!$R$4:$R$2003,$Z683-0)),IF($Z683&lt;=4000,IF(INDEX(周转筐出入库明细!$W$4:$W$2004,$Z683-2000)=0,"",INDEX(周转筐出入库明细!$W$4:$W$2004,$Z683-2000)),IF($Z683&lt;=5200,IF(INDEX(客户自备加工筐明细!$L$4:$L$1203,$Z683-4000)=0,"",INDEX(客户自备加工筐明细!$L$4:$L$1203,$Z683-4000)),IF($Z683&lt;=5800,IF(INDEX(次果筐明细!$P$4:$P$603,$Z683-5200)=0,"",INDEX(次果筐明细!$P$4:$P$603,$Z683-5200)),"")))))</f>
        <v/>
      </c>
      <c r="N683" s="16" t="str">
        <f>IF($Z683="","",IF($Z683&lt;=2000,"",IF($Z683&lt;=4000,IF(INDEX(周转筐出入库明细!$D$4:$D$2004,$Z683-2000)=0,"",INDEX(周转筐出入库明细!$D$4:$D$2004,$Z683-2000)),IF($Z683&lt;=5200,IF(INDEX(客户自备加工筐明细!$C$4:$C$1203,$Z683-4000)=0,"",INDEX(客户自备加工筐明细!$C$4:$C$1203,$Z683-4000)),IF($Z683&lt;=5800,IF(INDEX(次果筐明细!$D$4:$D$603,$Z683-5200)=0,"",INDEX(次果筐明细!$D$4:$D$603,$Z683-5200)),"")))))</f>
        <v/>
      </c>
      <c r="O683" s="40" t="str">
        <f>IF($Z683="","",IF($Z683&lt;=2000,"",IF($Z683&lt;=4000,IF(N(INDEX(周转筐出入库明细!$J$4:$J$2004,$Z683-2000))+N(INDEX(周转筐出入库明细!$K$4:$K$2004,$Z683-2000))=0,"",N(INDEX(周转筐出入库明细!$J$4:$J$2004,$Z683-2000))+N(INDEX(周转筐出入库明细!$K$4:$K$2004,$Z683-2000))),IF($Z683&lt;=5200,IF(N(INDEX(客户自备加工筐明细!$G$4:$G$1203,$Z683-4000))=0,"",N(INDEX(客户自备加工筐明细!$G$4:$G$1203,$Z683-4000))),IF($Z683&lt;=5800,IF(ISNUMBER(SEARCH("退",INDEX(次果筐明细!$F$4:$F$603,$Z683-5200)&amp;"")),"",IF(N(INDEX(次果筐明细!$G$4:$G$603,$Z683-5200))=0,"",N(INDEX(次果筐明细!$G$4:$G$603,$Z683-5200)))),"")))))</f>
        <v/>
      </c>
      <c r="P683" s="40" t="str">
        <f>IF($Z683="","",IF($Z683&lt;=2000,"",IF($Z683&lt;=4000,IF(N(INDEX(周转筐出入库明细!$I$4:$I$2004,$Z683-2000))=0,"",N(INDEX(周转筐出入库明细!$I$4:$I$2004,$Z683-2000))),IF($Z683&lt;=5200,"",IF($Z683&lt;=5800,IF(ISNUMBER(SEARCH("退",INDEX(次果筐明细!$F$4:$F$603,$Z683-5200)&amp;"")),IF(N(INDEX(次果筐明细!$G$4:$G$603,$Z683-5200))=0,"",N(INDEX(次果筐明细!$G$4:$G$603,$Z683-5200))),""),"")))))</f>
        <v/>
      </c>
      <c r="Q683" s="40" t="str">
        <f>IF($Z683="","",IF($Z683&lt;=2000,"",IF($Z683&lt;=4000,IF(N(INDEX(周转筐出入库明细!$H$4:$H$2004,$Z683-2000))=0,"",N(INDEX(周转筐出入库明细!$H$4:$H$2004,$Z683-2000))),IF($Z683&lt;=5200,IF(N(INDEX(客户自备加工筐明细!$F$4:$F$1203,$Z683-4000))=0,"",N(INDEX(客户自备加工筐明细!$F$4:$F$1203,$Z683-4000))),IF($Z683&lt;=5800,"","")))))</f>
        <v/>
      </c>
      <c r="R683" s="16" t="str">
        <f>IF($Z683="","",IF($Z683&lt;=2000,IF(INDEX(包装物料出入库明细!$O$4:$O$2003,$Z683-0)=0,"",INDEX(包装物料出入库明细!$O$4:$O$2003,$Z683-0)),IF($Z683&lt;=4000,IF(INDEX(周转筐出入库明细!$M$4:$M$2004,$Z683-2000)=0,"",INDEX(周转筐出入库明细!$M$4:$M$2004,$Z683-2000)),IF($Z683&lt;=5200,IF(INDEX(客户自备加工筐明细!$H$4:$H$1203,$Z683-4000)=0,"",INDEX(客户自备加工筐明细!$H$4:$H$1203,$Z683-4000)),IF($Z683&lt;=5800,IF(INDEX(次果筐明细!$H$4:$H$603,$Z683-5200)=0,"",INDEX(次果筐明细!$H$4:$H$603,$Z683-5200)),"")))))</f>
        <v/>
      </c>
      <c r="S683" s="22" t="str">
        <f t="shared" si="32"/>
        <v/>
      </c>
      <c r="Z683" s="10" t="str">
        <f>IFERROR(MATCH(ROW()-3,_自动清单!$CQ$4:$CQ$5803,0),"")</f>
        <v/>
      </c>
    </row>
    <row r="684" spans="1:26">
      <c r="A684" s="24" t="str">
        <f t="shared" si="30"/>
        <v/>
      </c>
      <c r="B684" s="38" t="str">
        <f>IF($Z684="","",IF($Z684&lt;=2000,IF(INDEX(包装物料出入库明细!$B$4:$B$2003,$Z684-0)=0,"",INDEX(包装物料出入库明细!$B$4:$B$2003,$Z684-0)),IF($Z684&lt;=4000,IF(INDEX(周转筐出入库明细!$B$4:$B$2004,$Z684-2000)=0,"",INDEX(周转筐出入库明细!$B$4:$B$2004,$Z684-2000)),IF($Z684&lt;=5200,IF(INDEX(客户自备加工筐明细!$B$4:$B$1203,$Z684-4000)=0,"",INDEX(客户自备加工筐明细!$B$4:$B$1203,$Z684-4000)),IF($Z684&lt;=5800,IF(INDEX(次果筐明细!$B$4:$B$603,$Z684-5200)=0,"",INDEX(次果筐明细!$B$4:$B$603,$Z684-5200)),"")))))</f>
        <v/>
      </c>
      <c r="C684" s="37" t="str">
        <f>IF($Z684="","",IF($Z684&lt;=2000,IF(INDEX(包装物料出入库明细!$D$4:$D$2003,$Z684-0)=0,"",INDEX(包装物料出入库明细!$D$4:$D$2003,$Z684-0)),IF($Z684&lt;=4000,IF(INDEX(周转筐出入库明细!$C$4:$C$2004,$Z684-2000)=0,"",INDEX(周转筐出入库明细!$C$4:$C$2004,$Z684-2000)),IF($Z684&lt;=5200,IF(INDEX(客户自备加工筐明细!$E$4:$E$1203,$Z684-4000)=0,"",INDEX(客户自备加工筐明细!$E$4:$E$1203,$Z684-4000)),IF($Z684&lt;=5800,IF(INDEX(次果筐明细!$C$4:$C$603,$Z684-5200)=0,"",INDEX(次果筐明细!$C$4:$C$603,$Z684-5200)),"")))))</f>
        <v/>
      </c>
      <c r="D684" s="37" t="str">
        <f>IF($Z684="","",IF($Z684&lt;=2000,"包装物料－"&amp;INDEX(包装物料出入库明细!$H$4:$H$2003,$Z684-0),IF($Z684&lt;=4000,"周转筐－"&amp;INDEX(周转筐出入库明细!$F$4:$F$2004,$Z684-2000),IF($Z684&lt;=5200,"客户自备筐－"&amp;INDEX(客户自备加工筐明细!$J$4:$J$1203,$Z684-4000),IF($Z684&lt;=5800,"次果筐/托盘－"&amp;INDEX(次果筐明细!$F$4:$F$603,$Z684-5200),"")))))</f>
        <v/>
      </c>
      <c r="E684" s="24" t="str">
        <f>IF($Z684="","",IF($Z684&lt;=2000,IF(INDEX(包装物料出入库明细!$C$4:$C$2003,$Z684-0)=0,"",INDEX(包装物料出入库明细!$C$4:$C$2003,$Z684-0)),IF($Z684&lt;=4000,IF(INDEX(周转筐出入库明细!$E$4:$E$2004,$Z684-2000)=0,"",INDEX(周转筐出入库明细!$E$4:$E$2004,$Z684-2000)),IF($Z684&lt;=5200,IF(INDEX(客户自备加工筐明细!$D$4:$D$1203,$Z684-4000)=0,"",INDEX(客户自备加工筐明细!$D$4:$D$1203,$Z684-4000)),IF($Z684&lt;=5800,IF(INDEX(次果筐明细!$E$4:$E$603,$Z684-5200)=0,"",INDEX(次果筐明细!$E$4:$E$603,$Z684-5200)),"")))))</f>
        <v/>
      </c>
      <c r="F684" s="24" t="str">
        <f>IF($Z684="","",IF($Z684&lt;=2000,IF(INDEX(包装物料出入库明细!$E$4:$E$2003,$Z684-0)=0,"",INDEX(包装物料出入库明细!$E$4:$E$2003,$Z684-0)),IF($Z684&lt;=4000,IF(INDEX(周转筐出入库明细!$D$4:$D$2004,$Z684-2000)=0,"",INDEX(周转筐出入库明细!$D$4:$D$2004,$Z684-2000)),IF($Z684&lt;=5200,IF(INDEX(客户自备加工筐明细!$C$4:$C$1203,$Z684-4000)=0,"",INDEX(客户自备加工筐明细!$C$4:$C$1203,$Z684-4000)),IF($Z684&lt;=5800,IF(INDEX(次果筐明细!$D$4:$D$603,$Z684-5200)=0,"",INDEX(次果筐明细!$D$4:$D$603,$Z684-5200)),"")))))</f>
        <v/>
      </c>
      <c r="G684" s="24" t="str">
        <f>IF($Z684="","",IF($Z684&lt;=2000,IF(INDEX(包装物料出入库明细!$F$4:$F$2003,$Z684-0)=0,"",INDEX(包装物料出入库明细!$F$4:$F$2003,$Z684-0)),IF($Z684&lt;=4000,"",IF($Z684&lt;=5200,"",IF($Z684&lt;=5800,"","")))))</f>
        <v/>
      </c>
      <c r="H684" s="39" t="str">
        <f>IF($Z684="","",IF($Z684&lt;=2000,IF(INDEX(包装物料出入库明细!$L$4:$L$2003,$Z684-0)=0,"",INDEX(包装物料出入库明细!$L$4:$L$2003,$Z684-0)),IF($Z684&lt;=4000,N(INDEX(周转筐出入库明细!$H$4:$H$2004,$Z684-2000))+N(INDEX(周转筐出入库明细!$I$4:$I$2004,$Z684-2000))+N(INDEX(周转筐出入库明细!$J$4:$J$2004,$Z684-2000))+N(INDEX(周转筐出入库明细!$K$4:$K$2004,$Z684-2000)),IF($Z684&lt;=5200,N(INDEX(客户自备加工筐明细!$F$4:$F$1203,$Z684-4000))+N(INDEX(客户自备加工筐明细!$G$4:$G$1203,$Z684-4000)),IF($Z684&lt;=5800,IF(INDEX(次果筐明细!$G$4:$G$603,$Z684-5200)=0,"",INDEX(次果筐明细!$G$4:$G$603,$Z684-5200)),"")))))</f>
        <v/>
      </c>
      <c r="I684" s="24" t="str">
        <f>IF($Z684="","",IF($Z684&lt;=2000,IF(INDEX(包装物料出入库明细!$G$4:$G$2003,$Z684-0)=0,"",INDEX(包装物料出入库明细!$G$4:$G$2003,$Z684-0)),IF($Z684&lt;=4000,"个",IF($Z684&lt;=5200,"个",IF($Z684&lt;=5800,"个","")))))</f>
        <v/>
      </c>
      <c r="J684" s="30" t="str">
        <f t="shared" si="31"/>
        <v/>
      </c>
      <c r="K684" s="30" t="str">
        <f>IF($Z684="","",IF($Z684&lt;=2000,IF(INDEX(包装物料出入库明细!$N$4:$N$2003,$Z684-0)=0,"",INDEX(包装物料出入库明细!$N$4:$N$2003,$Z684-0)),IF($Z684&lt;=4000,IF(INDEX(周转筐出入库明细!$P$4:$P$2004,$Z684-2000)=0,"",INDEX(周转筐出入库明细!$P$4:$P$2004,$Z684-2000)),IF($Z684&lt;=5200,"",IF($Z684&lt;=5800,N(INDEX(次果筐明细!$L$4:$L$603,$Z684-5200))+N(INDEX(次果筐明细!$J$4:$J$603,$Z684-5200)),"")))))</f>
        <v/>
      </c>
      <c r="L684" s="24" t="str">
        <f>IF($Z684="","",IF($Z684&lt;=2000,IF(INDEX(包装物料出入库明细!$P$4:$P$2003,$Z684-0)=0,"",INDEX(包装物料出入库明细!$P$4:$P$2003,$Z684-0)),IF($Z684&lt;=4000,IF(INDEX(周转筐出入库明细!$Q$4:$Q$2004,$Z684-2000)=0,"",INDEX(周转筐出入库明细!$Q$4:$Q$2004,$Z684-2000)),IF($Z684&lt;=5200,"",IF($Z684&lt;=5800,IF(INDEX(次果筐明细!$M$4:$M$603,$Z684-5200)=0,"",INDEX(次果筐明细!$M$4:$M$603,$Z684-5200)),"")))))</f>
        <v/>
      </c>
      <c r="M684" s="37" t="str">
        <f>IF($Z684="","",IF($Z684&lt;=2000,IF(INDEX(包装物料出入库明细!$R$4:$R$2003,$Z684-0)=0,"",INDEX(包装物料出入库明细!$R$4:$R$2003,$Z684-0)),IF($Z684&lt;=4000,IF(INDEX(周转筐出入库明细!$W$4:$W$2004,$Z684-2000)=0,"",INDEX(周转筐出入库明细!$W$4:$W$2004,$Z684-2000)),IF($Z684&lt;=5200,IF(INDEX(客户自备加工筐明细!$L$4:$L$1203,$Z684-4000)=0,"",INDEX(客户自备加工筐明细!$L$4:$L$1203,$Z684-4000)),IF($Z684&lt;=5800,IF(INDEX(次果筐明细!$P$4:$P$603,$Z684-5200)=0,"",INDEX(次果筐明细!$P$4:$P$603,$Z684-5200)),"")))))</f>
        <v/>
      </c>
      <c r="N684" s="16" t="str">
        <f>IF($Z684="","",IF($Z684&lt;=2000,"",IF($Z684&lt;=4000,IF(INDEX(周转筐出入库明细!$D$4:$D$2004,$Z684-2000)=0,"",INDEX(周转筐出入库明细!$D$4:$D$2004,$Z684-2000)),IF($Z684&lt;=5200,IF(INDEX(客户自备加工筐明细!$C$4:$C$1203,$Z684-4000)=0,"",INDEX(客户自备加工筐明细!$C$4:$C$1203,$Z684-4000)),IF($Z684&lt;=5800,IF(INDEX(次果筐明细!$D$4:$D$603,$Z684-5200)=0,"",INDEX(次果筐明细!$D$4:$D$603,$Z684-5200)),"")))))</f>
        <v/>
      </c>
      <c r="O684" s="40" t="str">
        <f>IF($Z684="","",IF($Z684&lt;=2000,"",IF($Z684&lt;=4000,IF(N(INDEX(周转筐出入库明细!$J$4:$J$2004,$Z684-2000))+N(INDEX(周转筐出入库明细!$K$4:$K$2004,$Z684-2000))=0,"",N(INDEX(周转筐出入库明细!$J$4:$J$2004,$Z684-2000))+N(INDEX(周转筐出入库明细!$K$4:$K$2004,$Z684-2000))),IF($Z684&lt;=5200,IF(N(INDEX(客户自备加工筐明细!$G$4:$G$1203,$Z684-4000))=0,"",N(INDEX(客户自备加工筐明细!$G$4:$G$1203,$Z684-4000))),IF($Z684&lt;=5800,IF(ISNUMBER(SEARCH("退",INDEX(次果筐明细!$F$4:$F$603,$Z684-5200)&amp;"")),"",IF(N(INDEX(次果筐明细!$G$4:$G$603,$Z684-5200))=0,"",N(INDEX(次果筐明细!$G$4:$G$603,$Z684-5200)))),"")))))</f>
        <v/>
      </c>
      <c r="P684" s="40" t="str">
        <f>IF($Z684="","",IF($Z684&lt;=2000,"",IF($Z684&lt;=4000,IF(N(INDEX(周转筐出入库明细!$I$4:$I$2004,$Z684-2000))=0,"",N(INDEX(周转筐出入库明细!$I$4:$I$2004,$Z684-2000))),IF($Z684&lt;=5200,"",IF($Z684&lt;=5800,IF(ISNUMBER(SEARCH("退",INDEX(次果筐明细!$F$4:$F$603,$Z684-5200)&amp;"")),IF(N(INDEX(次果筐明细!$G$4:$G$603,$Z684-5200))=0,"",N(INDEX(次果筐明细!$G$4:$G$603,$Z684-5200))),""),"")))))</f>
        <v/>
      </c>
      <c r="Q684" s="40" t="str">
        <f>IF($Z684="","",IF($Z684&lt;=2000,"",IF($Z684&lt;=4000,IF(N(INDEX(周转筐出入库明细!$H$4:$H$2004,$Z684-2000))=0,"",N(INDEX(周转筐出入库明细!$H$4:$H$2004,$Z684-2000))),IF($Z684&lt;=5200,IF(N(INDEX(客户自备加工筐明细!$F$4:$F$1203,$Z684-4000))=0,"",N(INDEX(客户自备加工筐明细!$F$4:$F$1203,$Z684-4000))),IF($Z684&lt;=5800,"","")))))</f>
        <v/>
      </c>
      <c r="R684" s="16" t="str">
        <f>IF($Z684="","",IF($Z684&lt;=2000,IF(INDEX(包装物料出入库明细!$O$4:$O$2003,$Z684-0)=0,"",INDEX(包装物料出入库明细!$O$4:$O$2003,$Z684-0)),IF($Z684&lt;=4000,IF(INDEX(周转筐出入库明细!$M$4:$M$2004,$Z684-2000)=0,"",INDEX(周转筐出入库明细!$M$4:$M$2004,$Z684-2000)),IF($Z684&lt;=5200,IF(INDEX(客户自备加工筐明细!$H$4:$H$1203,$Z684-4000)=0,"",INDEX(客户自备加工筐明细!$H$4:$H$1203,$Z684-4000)),IF($Z684&lt;=5800,IF(INDEX(次果筐明细!$H$4:$H$603,$Z684-5200)=0,"",INDEX(次果筐明细!$H$4:$H$603,$Z684-5200)),"")))))</f>
        <v/>
      </c>
      <c r="S684" s="22" t="str">
        <f t="shared" si="32"/>
        <v/>
      </c>
      <c r="Z684" s="10" t="str">
        <f>IFERROR(MATCH(ROW()-3,_自动清单!$CQ$4:$CQ$5803,0),"")</f>
        <v/>
      </c>
    </row>
    <row r="685" spans="1:26">
      <c r="A685" s="24" t="str">
        <f t="shared" si="30"/>
        <v/>
      </c>
      <c r="B685" s="38" t="str">
        <f>IF($Z685="","",IF($Z685&lt;=2000,IF(INDEX(包装物料出入库明细!$B$4:$B$2003,$Z685-0)=0,"",INDEX(包装物料出入库明细!$B$4:$B$2003,$Z685-0)),IF($Z685&lt;=4000,IF(INDEX(周转筐出入库明细!$B$4:$B$2004,$Z685-2000)=0,"",INDEX(周转筐出入库明细!$B$4:$B$2004,$Z685-2000)),IF($Z685&lt;=5200,IF(INDEX(客户自备加工筐明细!$B$4:$B$1203,$Z685-4000)=0,"",INDEX(客户自备加工筐明细!$B$4:$B$1203,$Z685-4000)),IF($Z685&lt;=5800,IF(INDEX(次果筐明细!$B$4:$B$603,$Z685-5200)=0,"",INDEX(次果筐明细!$B$4:$B$603,$Z685-5200)),"")))))</f>
        <v/>
      </c>
      <c r="C685" s="37" t="str">
        <f>IF($Z685="","",IF($Z685&lt;=2000,IF(INDEX(包装物料出入库明细!$D$4:$D$2003,$Z685-0)=0,"",INDEX(包装物料出入库明细!$D$4:$D$2003,$Z685-0)),IF($Z685&lt;=4000,IF(INDEX(周转筐出入库明细!$C$4:$C$2004,$Z685-2000)=0,"",INDEX(周转筐出入库明细!$C$4:$C$2004,$Z685-2000)),IF($Z685&lt;=5200,IF(INDEX(客户自备加工筐明细!$E$4:$E$1203,$Z685-4000)=0,"",INDEX(客户自备加工筐明细!$E$4:$E$1203,$Z685-4000)),IF($Z685&lt;=5800,IF(INDEX(次果筐明细!$C$4:$C$603,$Z685-5200)=0,"",INDEX(次果筐明细!$C$4:$C$603,$Z685-5200)),"")))))</f>
        <v/>
      </c>
      <c r="D685" s="37" t="str">
        <f>IF($Z685="","",IF($Z685&lt;=2000,"包装物料－"&amp;INDEX(包装物料出入库明细!$H$4:$H$2003,$Z685-0),IF($Z685&lt;=4000,"周转筐－"&amp;INDEX(周转筐出入库明细!$F$4:$F$2004,$Z685-2000),IF($Z685&lt;=5200,"客户自备筐－"&amp;INDEX(客户自备加工筐明细!$J$4:$J$1203,$Z685-4000),IF($Z685&lt;=5800,"次果筐/托盘－"&amp;INDEX(次果筐明细!$F$4:$F$603,$Z685-5200),"")))))</f>
        <v/>
      </c>
      <c r="E685" s="24" t="str">
        <f>IF($Z685="","",IF($Z685&lt;=2000,IF(INDEX(包装物料出入库明细!$C$4:$C$2003,$Z685-0)=0,"",INDEX(包装物料出入库明细!$C$4:$C$2003,$Z685-0)),IF($Z685&lt;=4000,IF(INDEX(周转筐出入库明细!$E$4:$E$2004,$Z685-2000)=0,"",INDEX(周转筐出入库明细!$E$4:$E$2004,$Z685-2000)),IF($Z685&lt;=5200,IF(INDEX(客户自备加工筐明细!$D$4:$D$1203,$Z685-4000)=0,"",INDEX(客户自备加工筐明细!$D$4:$D$1203,$Z685-4000)),IF($Z685&lt;=5800,IF(INDEX(次果筐明细!$E$4:$E$603,$Z685-5200)=0,"",INDEX(次果筐明细!$E$4:$E$603,$Z685-5200)),"")))))</f>
        <v/>
      </c>
      <c r="F685" s="24" t="str">
        <f>IF($Z685="","",IF($Z685&lt;=2000,IF(INDEX(包装物料出入库明细!$E$4:$E$2003,$Z685-0)=0,"",INDEX(包装物料出入库明细!$E$4:$E$2003,$Z685-0)),IF($Z685&lt;=4000,IF(INDEX(周转筐出入库明细!$D$4:$D$2004,$Z685-2000)=0,"",INDEX(周转筐出入库明细!$D$4:$D$2004,$Z685-2000)),IF($Z685&lt;=5200,IF(INDEX(客户自备加工筐明细!$C$4:$C$1203,$Z685-4000)=0,"",INDEX(客户自备加工筐明细!$C$4:$C$1203,$Z685-4000)),IF($Z685&lt;=5800,IF(INDEX(次果筐明细!$D$4:$D$603,$Z685-5200)=0,"",INDEX(次果筐明细!$D$4:$D$603,$Z685-5200)),"")))))</f>
        <v/>
      </c>
      <c r="G685" s="24" t="str">
        <f>IF($Z685="","",IF($Z685&lt;=2000,IF(INDEX(包装物料出入库明细!$F$4:$F$2003,$Z685-0)=0,"",INDEX(包装物料出入库明细!$F$4:$F$2003,$Z685-0)),IF($Z685&lt;=4000,"",IF($Z685&lt;=5200,"",IF($Z685&lt;=5800,"","")))))</f>
        <v/>
      </c>
      <c r="H685" s="39" t="str">
        <f>IF($Z685="","",IF($Z685&lt;=2000,IF(INDEX(包装物料出入库明细!$L$4:$L$2003,$Z685-0)=0,"",INDEX(包装物料出入库明细!$L$4:$L$2003,$Z685-0)),IF($Z685&lt;=4000,N(INDEX(周转筐出入库明细!$H$4:$H$2004,$Z685-2000))+N(INDEX(周转筐出入库明细!$I$4:$I$2004,$Z685-2000))+N(INDEX(周转筐出入库明细!$J$4:$J$2004,$Z685-2000))+N(INDEX(周转筐出入库明细!$K$4:$K$2004,$Z685-2000)),IF($Z685&lt;=5200,N(INDEX(客户自备加工筐明细!$F$4:$F$1203,$Z685-4000))+N(INDEX(客户自备加工筐明细!$G$4:$G$1203,$Z685-4000)),IF($Z685&lt;=5800,IF(INDEX(次果筐明细!$G$4:$G$603,$Z685-5200)=0,"",INDEX(次果筐明细!$G$4:$G$603,$Z685-5200)),"")))))</f>
        <v/>
      </c>
      <c r="I685" s="24" t="str">
        <f>IF($Z685="","",IF($Z685&lt;=2000,IF(INDEX(包装物料出入库明细!$G$4:$G$2003,$Z685-0)=0,"",INDEX(包装物料出入库明细!$G$4:$G$2003,$Z685-0)),IF($Z685&lt;=4000,"个",IF($Z685&lt;=5200,"个",IF($Z685&lt;=5800,"个","")))))</f>
        <v/>
      </c>
      <c r="J685" s="30" t="str">
        <f t="shared" si="31"/>
        <v/>
      </c>
      <c r="K685" s="30" t="str">
        <f>IF($Z685="","",IF($Z685&lt;=2000,IF(INDEX(包装物料出入库明细!$N$4:$N$2003,$Z685-0)=0,"",INDEX(包装物料出入库明细!$N$4:$N$2003,$Z685-0)),IF($Z685&lt;=4000,IF(INDEX(周转筐出入库明细!$P$4:$P$2004,$Z685-2000)=0,"",INDEX(周转筐出入库明细!$P$4:$P$2004,$Z685-2000)),IF($Z685&lt;=5200,"",IF($Z685&lt;=5800,N(INDEX(次果筐明细!$L$4:$L$603,$Z685-5200))+N(INDEX(次果筐明细!$J$4:$J$603,$Z685-5200)),"")))))</f>
        <v/>
      </c>
      <c r="L685" s="24" t="str">
        <f>IF($Z685="","",IF($Z685&lt;=2000,IF(INDEX(包装物料出入库明细!$P$4:$P$2003,$Z685-0)=0,"",INDEX(包装物料出入库明细!$P$4:$P$2003,$Z685-0)),IF($Z685&lt;=4000,IF(INDEX(周转筐出入库明细!$Q$4:$Q$2004,$Z685-2000)=0,"",INDEX(周转筐出入库明细!$Q$4:$Q$2004,$Z685-2000)),IF($Z685&lt;=5200,"",IF($Z685&lt;=5800,IF(INDEX(次果筐明细!$M$4:$M$603,$Z685-5200)=0,"",INDEX(次果筐明细!$M$4:$M$603,$Z685-5200)),"")))))</f>
        <v/>
      </c>
      <c r="M685" s="37" t="str">
        <f>IF($Z685="","",IF($Z685&lt;=2000,IF(INDEX(包装物料出入库明细!$R$4:$R$2003,$Z685-0)=0,"",INDEX(包装物料出入库明细!$R$4:$R$2003,$Z685-0)),IF($Z685&lt;=4000,IF(INDEX(周转筐出入库明细!$W$4:$W$2004,$Z685-2000)=0,"",INDEX(周转筐出入库明细!$W$4:$W$2004,$Z685-2000)),IF($Z685&lt;=5200,IF(INDEX(客户自备加工筐明细!$L$4:$L$1203,$Z685-4000)=0,"",INDEX(客户自备加工筐明细!$L$4:$L$1203,$Z685-4000)),IF($Z685&lt;=5800,IF(INDEX(次果筐明细!$P$4:$P$603,$Z685-5200)=0,"",INDEX(次果筐明细!$P$4:$P$603,$Z685-5200)),"")))))</f>
        <v/>
      </c>
      <c r="N685" s="16" t="str">
        <f>IF($Z685="","",IF($Z685&lt;=2000,"",IF($Z685&lt;=4000,IF(INDEX(周转筐出入库明细!$D$4:$D$2004,$Z685-2000)=0,"",INDEX(周转筐出入库明细!$D$4:$D$2004,$Z685-2000)),IF($Z685&lt;=5200,IF(INDEX(客户自备加工筐明细!$C$4:$C$1203,$Z685-4000)=0,"",INDEX(客户自备加工筐明细!$C$4:$C$1203,$Z685-4000)),IF($Z685&lt;=5800,IF(INDEX(次果筐明细!$D$4:$D$603,$Z685-5200)=0,"",INDEX(次果筐明细!$D$4:$D$603,$Z685-5200)),"")))))</f>
        <v/>
      </c>
      <c r="O685" s="40" t="str">
        <f>IF($Z685="","",IF($Z685&lt;=2000,"",IF($Z685&lt;=4000,IF(N(INDEX(周转筐出入库明细!$J$4:$J$2004,$Z685-2000))+N(INDEX(周转筐出入库明细!$K$4:$K$2004,$Z685-2000))=0,"",N(INDEX(周转筐出入库明细!$J$4:$J$2004,$Z685-2000))+N(INDEX(周转筐出入库明细!$K$4:$K$2004,$Z685-2000))),IF($Z685&lt;=5200,IF(N(INDEX(客户自备加工筐明细!$G$4:$G$1203,$Z685-4000))=0,"",N(INDEX(客户自备加工筐明细!$G$4:$G$1203,$Z685-4000))),IF($Z685&lt;=5800,IF(ISNUMBER(SEARCH("退",INDEX(次果筐明细!$F$4:$F$603,$Z685-5200)&amp;"")),"",IF(N(INDEX(次果筐明细!$G$4:$G$603,$Z685-5200))=0,"",N(INDEX(次果筐明细!$G$4:$G$603,$Z685-5200)))),"")))))</f>
        <v/>
      </c>
      <c r="P685" s="40" t="str">
        <f>IF($Z685="","",IF($Z685&lt;=2000,"",IF($Z685&lt;=4000,IF(N(INDEX(周转筐出入库明细!$I$4:$I$2004,$Z685-2000))=0,"",N(INDEX(周转筐出入库明细!$I$4:$I$2004,$Z685-2000))),IF($Z685&lt;=5200,"",IF($Z685&lt;=5800,IF(ISNUMBER(SEARCH("退",INDEX(次果筐明细!$F$4:$F$603,$Z685-5200)&amp;"")),IF(N(INDEX(次果筐明细!$G$4:$G$603,$Z685-5200))=0,"",N(INDEX(次果筐明细!$G$4:$G$603,$Z685-5200))),""),"")))))</f>
        <v/>
      </c>
      <c r="Q685" s="40" t="str">
        <f>IF($Z685="","",IF($Z685&lt;=2000,"",IF($Z685&lt;=4000,IF(N(INDEX(周转筐出入库明细!$H$4:$H$2004,$Z685-2000))=0,"",N(INDEX(周转筐出入库明细!$H$4:$H$2004,$Z685-2000))),IF($Z685&lt;=5200,IF(N(INDEX(客户自备加工筐明细!$F$4:$F$1203,$Z685-4000))=0,"",N(INDEX(客户自备加工筐明细!$F$4:$F$1203,$Z685-4000))),IF($Z685&lt;=5800,"","")))))</f>
        <v/>
      </c>
      <c r="R685" s="16" t="str">
        <f>IF($Z685="","",IF($Z685&lt;=2000,IF(INDEX(包装物料出入库明细!$O$4:$O$2003,$Z685-0)=0,"",INDEX(包装物料出入库明细!$O$4:$O$2003,$Z685-0)),IF($Z685&lt;=4000,IF(INDEX(周转筐出入库明细!$M$4:$M$2004,$Z685-2000)=0,"",INDEX(周转筐出入库明细!$M$4:$M$2004,$Z685-2000)),IF($Z685&lt;=5200,IF(INDEX(客户自备加工筐明细!$H$4:$H$1203,$Z685-4000)=0,"",INDEX(客户自备加工筐明细!$H$4:$H$1203,$Z685-4000)),IF($Z685&lt;=5800,IF(INDEX(次果筐明细!$H$4:$H$603,$Z685-5200)=0,"",INDEX(次果筐明细!$H$4:$H$603,$Z685-5200)),"")))))</f>
        <v/>
      </c>
      <c r="S685" s="22" t="str">
        <f t="shared" si="32"/>
        <v/>
      </c>
      <c r="Z685" s="10" t="str">
        <f>IFERROR(MATCH(ROW()-3,_自动清单!$CQ$4:$CQ$5803,0),"")</f>
        <v/>
      </c>
    </row>
    <row r="686" spans="1:26">
      <c r="A686" s="24" t="str">
        <f t="shared" si="30"/>
        <v/>
      </c>
      <c r="B686" s="38" t="str">
        <f>IF($Z686="","",IF($Z686&lt;=2000,IF(INDEX(包装物料出入库明细!$B$4:$B$2003,$Z686-0)=0,"",INDEX(包装物料出入库明细!$B$4:$B$2003,$Z686-0)),IF($Z686&lt;=4000,IF(INDEX(周转筐出入库明细!$B$4:$B$2004,$Z686-2000)=0,"",INDEX(周转筐出入库明细!$B$4:$B$2004,$Z686-2000)),IF($Z686&lt;=5200,IF(INDEX(客户自备加工筐明细!$B$4:$B$1203,$Z686-4000)=0,"",INDEX(客户自备加工筐明细!$B$4:$B$1203,$Z686-4000)),IF($Z686&lt;=5800,IF(INDEX(次果筐明细!$B$4:$B$603,$Z686-5200)=0,"",INDEX(次果筐明细!$B$4:$B$603,$Z686-5200)),"")))))</f>
        <v/>
      </c>
      <c r="C686" s="37" t="str">
        <f>IF($Z686="","",IF($Z686&lt;=2000,IF(INDEX(包装物料出入库明细!$D$4:$D$2003,$Z686-0)=0,"",INDEX(包装物料出入库明细!$D$4:$D$2003,$Z686-0)),IF($Z686&lt;=4000,IF(INDEX(周转筐出入库明细!$C$4:$C$2004,$Z686-2000)=0,"",INDEX(周转筐出入库明细!$C$4:$C$2004,$Z686-2000)),IF($Z686&lt;=5200,IF(INDEX(客户自备加工筐明细!$E$4:$E$1203,$Z686-4000)=0,"",INDEX(客户自备加工筐明细!$E$4:$E$1203,$Z686-4000)),IF($Z686&lt;=5800,IF(INDEX(次果筐明细!$C$4:$C$603,$Z686-5200)=0,"",INDEX(次果筐明细!$C$4:$C$603,$Z686-5200)),"")))))</f>
        <v/>
      </c>
      <c r="D686" s="37" t="str">
        <f>IF($Z686="","",IF($Z686&lt;=2000,"包装物料－"&amp;INDEX(包装物料出入库明细!$H$4:$H$2003,$Z686-0),IF($Z686&lt;=4000,"周转筐－"&amp;INDEX(周转筐出入库明细!$F$4:$F$2004,$Z686-2000),IF($Z686&lt;=5200,"客户自备筐－"&amp;INDEX(客户自备加工筐明细!$J$4:$J$1203,$Z686-4000),IF($Z686&lt;=5800,"次果筐/托盘－"&amp;INDEX(次果筐明细!$F$4:$F$603,$Z686-5200),"")))))</f>
        <v/>
      </c>
      <c r="E686" s="24" t="str">
        <f>IF($Z686="","",IF($Z686&lt;=2000,IF(INDEX(包装物料出入库明细!$C$4:$C$2003,$Z686-0)=0,"",INDEX(包装物料出入库明细!$C$4:$C$2003,$Z686-0)),IF($Z686&lt;=4000,IF(INDEX(周转筐出入库明细!$E$4:$E$2004,$Z686-2000)=0,"",INDEX(周转筐出入库明细!$E$4:$E$2004,$Z686-2000)),IF($Z686&lt;=5200,IF(INDEX(客户自备加工筐明细!$D$4:$D$1203,$Z686-4000)=0,"",INDEX(客户自备加工筐明细!$D$4:$D$1203,$Z686-4000)),IF($Z686&lt;=5800,IF(INDEX(次果筐明细!$E$4:$E$603,$Z686-5200)=0,"",INDEX(次果筐明细!$E$4:$E$603,$Z686-5200)),"")))))</f>
        <v/>
      </c>
      <c r="F686" s="24" t="str">
        <f>IF($Z686="","",IF($Z686&lt;=2000,IF(INDEX(包装物料出入库明细!$E$4:$E$2003,$Z686-0)=0,"",INDEX(包装物料出入库明细!$E$4:$E$2003,$Z686-0)),IF($Z686&lt;=4000,IF(INDEX(周转筐出入库明细!$D$4:$D$2004,$Z686-2000)=0,"",INDEX(周转筐出入库明细!$D$4:$D$2004,$Z686-2000)),IF($Z686&lt;=5200,IF(INDEX(客户自备加工筐明细!$C$4:$C$1203,$Z686-4000)=0,"",INDEX(客户自备加工筐明细!$C$4:$C$1203,$Z686-4000)),IF($Z686&lt;=5800,IF(INDEX(次果筐明细!$D$4:$D$603,$Z686-5200)=0,"",INDEX(次果筐明细!$D$4:$D$603,$Z686-5200)),"")))))</f>
        <v/>
      </c>
      <c r="G686" s="24" t="str">
        <f>IF($Z686="","",IF($Z686&lt;=2000,IF(INDEX(包装物料出入库明细!$F$4:$F$2003,$Z686-0)=0,"",INDEX(包装物料出入库明细!$F$4:$F$2003,$Z686-0)),IF($Z686&lt;=4000,"",IF($Z686&lt;=5200,"",IF($Z686&lt;=5800,"","")))))</f>
        <v/>
      </c>
      <c r="H686" s="39" t="str">
        <f>IF($Z686="","",IF($Z686&lt;=2000,IF(INDEX(包装物料出入库明细!$L$4:$L$2003,$Z686-0)=0,"",INDEX(包装物料出入库明细!$L$4:$L$2003,$Z686-0)),IF($Z686&lt;=4000,N(INDEX(周转筐出入库明细!$H$4:$H$2004,$Z686-2000))+N(INDEX(周转筐出入库明细!$I$4:$I$2004,$Z686-2000))+N(INDEX(周转筐出入库明细!$J$4:$J$2004,$Z686-2000))+N(INDEX(周转筐出入库明细!$K$4:$K$2004,$Z686-2000)),IF($Z686&lt;=5200,N(INDEX(客户自备加工筐明细!$F$4:$F$1203,$Z686-4000))+N(INDEX(客户自备加工筐明细!$G$4:$G$1203,$Z686-4000)),IF($Z686&lt;=5800,IF(INDEX(次果筐明细!$G$4:$G$603,$Z686-5200)=0,"",INDEX(次果筐明细!$G$4:$G$603,$Z686-5200)),"")))))</f>
        <v/>
      </c>
      <c r="I686" s="24" t="str">
        <f>IF($Z686="","",IF($Z686&lt;=2000,IF(INDEX(包装物料出入库明细!$G$4:$G$2003,$Z686-0)=0,"",INDEX(包装物料出入库明细!$G$4:$G$2003,$Z686-0)),IF($Z686&lt;=4000,"个",IF($Z686&lt;=5200,"个",IF($Z686&lt;=5800,"个","")))))</f>
        <v/>
      </c>
      <c r="J686" s="30" t="str">
        <f t="shared" si="31"/>
        <v/>
      </c>
      <c r="K686" s="30" t="str">
        <f>IF($Z686="","",IF($Z686&lt;=2000,IF(INDEX(包装物料出入库明细!$N$4:$N$2003,$Z686-0)=0,"",INDEX(包装物料出入库明细!$N$4:$N$2003,$Z686-0)),IF($Z686&lt;=4000,IF(INDEX(周转筐出入库明细!$P$4:$P$2004,$Z686-2000)=0,"",INDEX(周转筐出入库明细!$P$4:$P$2004,$Z686-2000)),IF($Z686&lt;=5200,"",IF($Z686&lt;=5800,N(INDEX(次果筐明细!$L$4:$L$603,$Z686-5200))+N(INDEX(次果筐明细!$J$4:$J$603,$Z686-5200)),"")))))</f>
        <v/>
      </c>
      <c r="L686" s="24" t="str">
        <f>IF($Z686="","",IF($Z686&lt;=2000,IF(INDEX(包装物料出入库明细!$P$4:$P$2003,$Z686-0)=0,"",INDEX(包装物料出入库明细!$P$4:$P$2003,$Z686-0)),IF($Z686&lt;=4000,IF(INDEX(周转筐出入库明细!$Q$4:$Q$2004,$Z686-2000)=0,"",INDEX(周转筐出入库明细!$Q$4:$Q$2004,$Z686-2000)),IF($Z686&lt;=5200,"",IF($Z686&lt;=5800,IF(INDEX(次果筐明细!$M$4:$M$603,$Z686-5200)=0,"",INDEX(次果筐明细!$M$4:$M$603,$Z686-5200)),"")))))</f>
        <v/>
      </c>
      <c r="M686" s="37" t="str">
        <f>IF($Z686="","",IF($Z686&lt;=2000,IF(INDEX(包装物料出入库明细!$R$4:$R$2003,$Z686-0)=0,"",INDEX(包装物料出入库明细!$R$4:$R$2003,$Z686-0)),IF($Z686&lt;=4000,IF(INDEX(周转筐出入库明细!$W$4:$W$2004,$Z686-2000)=0,"",INDEX(周转筐出入库明细!$W$4:$W$2004,$Z686-2000)),IF($Z686&lt;=5200,IF(INDEX(客户自备加工筐明细!$L$4:$L$1203,$Z686-4000)=0,"",INDEX(客户自备加工筐明细!$L$4:$L$1203,$Z686-4000)),IF($Z686&lt;=5800,IF(INDEX(次果筐明细!$P$4:$P$603,$Z686-5200)=0,"",INDEX(次果筐明细!$P$4:$P$603,$Z686-5200)),"")))))</f>
        <v/>
      </c>
      <c r="N686" s="16" t="str">
        <f>IF($Z686="","",IF($Z686&lt;=2000,"",IF($Z686&lt;=4000,IF(INDEX(周转筐出入库明细!$D$4:$D$2004,$Z686-2000)=0,"",INDEX(周转筐出入库明细!$D$4:$D$2004,$Z686-2000)),IF($Z686&lt;=5200,IF(INDEX(客户自备加工筐明细!$C$4:$C$1203,$Z686-4000)=0,"",INDEX(客户自备加工筐明细!$C$4:$C$1203,$Z686-4000)),IF($Z686&lt;=5800,IF(INDEX(次果筐明细!$D$4:$D$603,$Z686-5200)=0,"",INDEX(次果筐明细!$D$4:$D$603,$Z686-5200)),"")))))</f>
        <v/>
      </c>
      <c r="O686" s="40" t="str">
        <f>IF($Z686="","",IF($Z686&lt;=2000,"",IF($Z686&lt;=4000,IF(N(INDEX(周转筐出入库明细!$J$4:$J$2004,$Z686-2000))+N(INDEX(周转筐出入库明细!$K$4:$K$2004,$Z686-2000))=0,"",N(INDEX(周转筐出入库明细!$J$4:$J$2004,$Z686-2000))+N(INDEX(周转筐出入库明细!$K$4:$K$2004,$Z686-2000))),IF($Z686&lt;=5200,IF(N(INDEX(客户自备加工筐明细!$G$4:$G$1203,$Z686-4000))=0,"",N(INDEX(客户自备加工筐明细!$G$4:$G$1203,$Z686-4000))),IF($Z686&lt;=5800,IF(ISNUMBER(SEARCH("退",INDEX(次果筐明细!$F$4:$F$603,$Z686-5200)&amp;"")),"",IF(N(INDEX(次果筐明细!$G$4:$G$603,$Z686-5200))=0,"",N(INDEX(次果筐明细!$G$4:$G$603,$Z686-5200)))),"")))))</f>
        <v/>
      </c>
      <c r="P686" s="40" t="str">
        <f>IF($Z686="","",IF($Z686&lt;=2000,"",IF($Z686&lt;=4000,IF(N(INDEX(周转筐出入库明细!$I$4:$I$2004,$Z686-2000))=0,"",N(INDEX(周转筐出入库明细!$I$4:$I$2004,$Z686-2000))),IF($Z686&lt;=5200,"",IF($Z686&lt;=5800,IF(ISNUMBER(SEARCH("退",INDEX(次果筐明细!$F$4:$F$603,$Z686-5200)&amp;"")),IF(N(INDEX(次果筐明细!$G$4:$G$603,$Z686-5200))=0,"",N(INDEX(次果筐明细!$G$4:$G$603,$Z686-5200))),""),"")))))</f>
        <v/>
      </c>
      <c r="Q686" s="40" t="str">
        <f>IF($Z686="","",IF($Z686&lt;=2000,"",IF($Z686&lt;=4000,IF(N(INDEX(周转筐出入库明细!$H$4:$H$2004,$Z686-2000))=0,"",N(INDEX(周转筐出入库明细!$H$4:$H$2004,$Z686-2000))),IF($Z686&lt;=5200,IF(N(INDEX(客户自备加工筐明细!$F$4:$F$1203,$Z686-4000))=0,"",N(INDEX(客户自备加工筐明细!$F$4:$F$1203,$Z686-4000))),IF($Z686&lt;=5800,"","")))))</f>
        <v/>
      </c>
      <c r="R686" s="16" t="str">
        <f>IF($Z686="","",IF($Z686&lt;=2000,IF(INDEX(包装物料出入库明细!$O$4:$O$2003,$Z686-0)=0,"",INDEX(包装物料出入库明细!$O$4:$O$2003,$Z686-0)),IF($Z686&lt;=4000,IF(INDEX(周转筐出入库明细!$M$4:$M$2004,$Z686-2000)=0,"",INDEX(周转筐出入库明细!$M$4:$M$2004,$Z686-2000)),IF($Z686&lt;=5200,IF(INDEX(客户自备加工筐明细!$H$4:$H$1203,$Z686-4000)=0,"",INDEX(客户自备加工筐明细!$H$4:$H$1203,$Z686-4000)),IF($Z686&lt;=5800,IF(INDEX(次果筐明细!$H$4:$H$603,$Z686-5200)=0,"",INDEX(次果筐明细!$H$4:$H$603,$Z686-5200)),"")))))</f>
        <v/>
      </c>
      <c r="S686" s="22" t="str">
        <f t="shared" si="32"/>
        <v/>
      </c>
      <c r="Z686" s="10" t="str">
        <f>IFERROR(MATCH(ROW()-3,_自动清单!$CQ$4:$CQ$5803,0),"")</f>
        <v/>
      </c>
    </row>
    <row r="687" spans="1:26">
      <c r="A687" s="24" t="str">
        <f t="shared" si="30"/>
        <v/>
      </c>
      <c r="B687" s="38" t="str">
        <f>IF($Z687="","",IF($Z687&lt;=2000,IF(INDEX(包装物料出入库明细!$B$4:$B$2003,$Z687-0)=0,"",INDEX(包装物料出入库明细!$B$4:$B$2003,$Z687-0)),IF($Z687&lt;=4000,IF(INDEX(周转筐出入库明细!$B$4:$B$2004,$Z687-2000)=0,"",INDEX(周转筐出入库明细!$B$4:$B$2004,$Z687-2000)),IF($Z687&lt;=5200,IF(INDEX(客户自备加工筐明细!$B$4:$B$1203,$Z687-4000)=0,"",INDEX(客户自备加工筐明细!$B$4:$B$1203,$Z687-4000)),IF($Z687&lt;=5800,IF(INDEX(次果筐明细!$B$4:$B$603,$Z687-5200)=0,"",INDEX(次果筐明细!$B$4:$B$603,$Z687-5200)),"")))))</f>
        <v/>
      </c>
      <c r="C687" s="37" t="str">
        <f>IF($Z687="","",IF($Z687&lt;=2000,IF(INDEX(包装物料出入库明细!$D$4:$D$2003,$Z687-0)=0,"",INDEX(包装物料出入库明细!$D$4:$D$2003,$Z687-0)),IF($Z687&lt;=4000,IF(INDEX(周转筐出入库明细!$C$4:$C$2004,$Z687-2000)=0,"",INDEX(周转筐出入库明细!$C$4:$C$2004,$Z687-2000)),IF($Z687&lt;=5200,IF(INDEX(客户自备加工筐明细!$E$4:$E$1203,$Z687-4000)=0,"",INDEX(客户自备加工筐明细!$E$4:$E$1203,$Z687-4000)),IF($Z687&lt;=5800,IF(INDEX(次果筐明细!$C$4:$C$603,$Z687-5200)=0,"",INDEX(次果筐明细!$C$4:$C$603,$Z687-5200)),"")))))</f>
        <v/>
      </c>
      <c r="D687" s="37" t="str">
        <f>IF($Z687="","",IF($Z687&lt;=2000,"包装物料－"&amp;INDEX(包装物料出入库明细!$H$4:$H$2003,$Z687-0),IF($Z687&lt;=4000,"周转筐－"&amp;INDEX(周转筐出入库明细!$F$4:$F$2004,$Z687-2000),IF($Z687&lt;=5200,"客户自备筐－"&amp;INDEX(客户自备加工筐明细!$J$4:$J$1203,$Z687-4000),IF($Z687&lt;=5800,"次果筐/托盘－"&amp;INDEX(次果筐明细!$F$4:$F$603,$Z687-5200),"")))))</f>
        <v/>
      </c>
      <c r="E687" s="24" t="str">
        <f>IF($Z687="","",IF($Z687&lt;=2000,IF(INDEX(包装物料出入库明细!$C$4:$C$2003,$Z687-0)=0,"",INDEX(包装物料出入库明细!$C$4:$C$2003,$Z687-0)),IF($Z687&lt;=4000,IF(INDEX(周转筐出入库明细!$E$4:$E$2004,$Z687-2000)=0,"",INDEX(周转筐出入库明细!$E$4:$E$2004,$Z687-2000)),IF($Z687&lt;=5200,IF(INDEX(客户自备加工筐明细!$D$4:$D$1203,$Z687-4000)=0,"",INDEX(客户自备加工筐明细!$D$4:$D$1203,$Z687-4000)),IF($Z687&lt;=5800,IF(INDEX(次果筐明细!$E$4:$E$603,$Z687-5200)=0,"",INDEX(次果筐明细!$E$4:$E$603,$Z687-5200)),"")))))</f>
        <v/>
      </c>
      <c r="F687" s="24" t="str">
        <f>IF($Z687="","",IF($Z687&lt;=2000,IF(INDEX(包装物料出入库明细!$E$4:$E$2003,$Z687-0)=0,"",INDEX(包装物料出入库明细!$E$4:$E$2003,$Z687-0)),IF($Z687&lt;=4000,IF(INDEX(周转筐出入库明细!$D$4:$D$2004,$Z687-2000)=0,"",INDEX(周转筐出入库明细!$D$4:$D$2004,$Z687-2000)),IF($Z687&lt;=5200,IF(INDEX(客户自备加工筐明细!$C$4:$C$1203,$Z687-4000)=0,"",INDEX(客户自备加工筐明细!$C$4:$C$1203,$Z687-4000)),IF($Z687&lt;=5800,IF(INDEX(次果筐明细!$D$4:$D$603,$Z687-5200)=0,"",INDEX(次果筐明细!$D$4:$D$603,$Z687-5200)),"")))))</f>
        <v/>
      </c>
      <c r="G687" s="24" t="str">
        <f>IF($Z687="","",IF($Z687&lt;=2000,IF(INDEX(包装物料出入库明细!$F$4:$F$2003,$Z687-0)=0,"",INDEX(包装物料出入库明细!$F$4:$F$2003,$Z687-0)),IF($Z687&lt;=4000,"",IF($Z687&lt;=5200,"",IF($Z687&lt;=5800,"","")))))</f>
        <v/>
      </c>
      <c r="H687" s="39" t="str">
        <f>IF($Z687="","",IF($Z687&lt;=2000,IF(INDEX(包装物料出入库明细!$L$4:$L$2003,$Z687-0)=0,"",INDEX(包装物料出入库明细!$L$4:$L$2003,$Z687-0)),IF($Z687&lt;=4000,N(INDEX(周转筐出入库明细!$H$4:$H$2004,$Z687-2000))+N(INDEX(周转筐出入库明细!$I$4:$I$2004,$Z687-2000))+N(INDEX(周转筐出入库明细!$J$4:$J$2004,$Z687-2000))+N(INDEX(周转筐出入库明细!$K$4:$K$2004,$Z687-2000)),IF($Z687&lt;=5200,N(INDEX(客户自备加工筐明细!$F$4:$F$1203,$Z687-4000))+N(INDEX(客户自备加工筐明细!$G$4:$G$1203,$Z687-4000)),IF($Z687&lt;=5800,IF(INDEX(次果筐明细!$G$4:$G$603,$Z687-5200)=0,"",INDEX(次果筐明细!$G$4:$G$603,$Z687-5200)),"")))))</f>
        <v/>
      </c>
      <c r="I687" s="24" t="str">
        <f>IF($Z687="","",IF($Z687&lt;=2000,IF(INDEX(包装物料出入库明细!$G$4:$G$2003,$Z687-0)=0,"",INDEX(包装物料出入库明细!$G$4:$G$2003,$Z687-0)),IF($Z687&lt;=4000,"个",IF($Z687&lt;=5200,"个",IF($Z687&lt;=5800,"个","")))))</f>
        <v/>
      </c>
      <c r="J687" s="30" t="str">
        <f t="shared" si="31"/>
        <v/>
      </c>
      <c r="K687" s="30" t="str">
        <f>IF($Z687="","",IF($Z687&lt;=2000,IF(INDEX(包装物料出入库明细!$N$4:$N$2003,$Z687-0)=0,"",INDEX(包装物料出入库明细!$N$4:$N$2003,$Z687-0)),IF($Z687&lt;=4000,IF(INDEX(周转筐出入库明细!$P$4:$P$2004,$Z687-2000)=0,"",INDEX(周转筐出入库明细!$P$4:$P$2004,$Z687-2000)),IF($Z687&lt;=5200,"",IF($Z687&lt;=5800,N(INDEX(次果筐明细!$L$4:$L$603,$Z687-5200))+N(INDEX(次果筐明细!$J$4:$J$603,$Z687-5200)),"")))))</f>
        <v/>
      </c>
      <c r="L687" s="24" t="str">
        <f>IF($Z687="","",IF($Z687&lt;=2000,IF(INDEX(包装物料出入库明细!$P$4:$P$2003,$Z687-0)=0,"",INDEX(包装物料出入库明细!$P$4:$P$2003,$Z687-0)),IF($Z687&lt;=4000,IF(INDEX(周转筐出入库明细!$Q$4:$Q$2004,$Z687-2000)=0,"",INDEX(周转筐出入库明细!$Q$4:$Q$2004,$Z687-2000)),IF($Z687&lt;=5200,"",IF($Z687&lt;=5800,IF(INDEX(次果筐明细!$M$4:$M$603,$Z687-5200)=0,"",INDEX(次果筐明细!$M$4:$M$603,$Z687-5200)),"")))))</f>
        <v/>
      </c>
      <c r="M687" s="37" t="str">
        <f>IF($Z687="","",IF($Z687&lt;=2000,IF(INDEX(包装物料出入库明细!$R$4:$R$2003,$Z687-0)=0,"",INDEX(包装物料出入库明细!$R$4:$R$2003,$Z687-0)),IF($Z687&lt;=4000,IF(INDEX(周转筐出入库明细!$W$4:$W$2004,$Z687-2000)=0,"",INDEX(周转筐出入库明细!$W$4:$W$2004,$Z687-2000)),IF($Z687&lt;=5200,IF(INDEX(客户自备加工筐明细!$L$4:$L$1203,$Z687-4000)=0,"",INDEX(客户自备加工筐明细!$L$4:$L$1203,$Z687-4000)),IF($Z687&lt;=5800,IF(INDEX(次果筐明细!$P$4:$P$603,$Z687-5200)=0,"",INDEX(次果筐明细!$P$4:$P$603,$Z687-5200)),"")))))</f>
        <v/>
      </c>
      <c r="N687" s="16" t="str">
        <f>IF($Z687="","",IF($Z687&lt;=2000,"",IF($Z687&lt;=4000,IF(INDEX(周转筐出入库明细!$D$4:$D$2004,$Z687-2000)=0,"",INDEX(周转筐出入库明细!$D$4:$D$2004,$Z687-2000)),IF($Z687&lt;=5200,IF(INDEX(客户自备加工筐明细!$C$4:$C$1203,$Z687-4000)=0,"",INDEX(客户自备加工筐明细!$C$4:$C$1203,$Z687-4000)),IF($Z687&lt;=5800,IF(INDEX(次果筐明细!$D$4:$D$603,$Z687-5200)=0,"",INDEX(次果筐明细!$D$4:$D$603,$Z687-5200)),"")))))</f>
        <v/>
      </c>
      <c r="O687" s="40" t="str">
        <f>IF($Z687="","",IF($Z687&lt;=2000,"",IF($Z687&lt;=4000,IF(N(INDEX(周转筐出入库明细!$J$4:$J$2004,$Z687-2000))+N(INDEX(周转筐出入库明细!$K$4:$K$2004,$Z687-2000))=0,"",N(INDEX(周转筐出入库明细!$J$4:$J$2004,$Z687-2000))+N(INDEX(周转筐出入库明细!$K$4:$K$2004,$Z687-2000))),IF($Z687&lt;=5200,IF(N(INDEX(客户自备加工筐明细!$G$4:$G$1203,$Z687-4000))=0,"",N(INDEX(客户自备加工筐明细!$G$4:$G$1203,$Z687-4000))),IF($Z687&lt;=5800,IF(ISNUMBER(SEARCH("退",INDEX(次果筐明细!$F$4:$F$603,$Z687-5200)&amp;"")),"",IF(N(INDEX(次果筐明细!$G$4:$G$603,$Z687-5200))=0,"",N(INDEX(次果筐明细!$G$4:$G$603,$Z687-5200)))),"")))))</f>
        <v/>
      </c>
      <c r="P687" s="40" t="str">
        <f>IF($Z687="","",IF($Z687&lt;=2000,"",IF($Z687&lt;=4000,IF(N(INDEX(周转筐出入库明细!$I$4:$I$2004,$Z687-2000))=0,"",N(INDEX(周转筐出入库明细!$I$4:$I$2004,$Z687-2000))),IF($Z687&lt;=5200,"",IF($Z687&lt;=5800,IF(ISNUMBER(SEARCH("退",INDEX(次果筐明细!$F$4:$F$603,$Z687-5200)&amp;"")),IF(N(INDEX(次果筐明细!$G$4:$G$603,$Z687-5200))=0,"",N(INDEX(次果筐明细!$G$4:$G$603,$Z687-5200))),""),"")))))</f>
        <v/>
      </c>
      <c r="Q687" s="40" t="str">
        <f>IF($Z687="","",IF($Z687&lt;=2000,"",IF($Z687&lt;=4000,IF(N(INDEX(周转筐出入库明细!$H$4:$H$2004,$Z687-2000))=0,"",N(INDEX(周转筐出入库明细!$H$4:$H$2004,$Z687-2000))),IF($Z687&lt;=5200,IF(N(INDEX(客户自备加工筐明细!$F$4:$F$1203,$Z687-4000))=0,"",N(INDEX(客户自备加工筐明细!$F$4:$F$1203,$Z687-4000))),IF($Z687&lt;=5800,"","")))))</f>
        <v/>
      </c>
      <c r="R687" s="16" t="str">
        <f>IF($Z687="","",IF($Z687&lt;=2000,IF(INDEX(包装物料出入库明细!$O$4:$O$2003,$Z687-0)=0,"",INDEX(包装物料出入库明细!$O$4:$O$2003,$Z687-0)),IF($Z687&lt;=4000,IF(INDEX(周转筐出入库明细!$M$4:$M$2004,$Z687-2000)=0,"",INDEX(周转筐出入库明细!$M$4:$M$2004,$Z687-2000)),IF($Z687&lt;=5200,IF(INDEX(客户自备加工筐明细!$H$4:$H$1203,$Z687-4000)=0,"",INDEX(客户自备加工筐明细!$H$4:$H$1203,$Z687-4000)),IF($Z687&lt;=5800,IF(INDEX(次果筐明细!$H$4:$H$603,$Z687-5200)=0,"",INDEX(次果筐明细!$H$4:$H$603,$Z687-5200)),"")))))</f>
        <v/>
      </c>
      <c r="S687" s="22" t="str">
        <f t="shared" si="32"/>
        <v/>
      </c>
      <c r="Z687" s="10" t="str">
        <f>IFERROR(MATCH(ROW()-3,_自动清单!$CQ$4:$CQ$5803,0),"")</f>
        <v/>
      </c>
    </row>
    <row r="688" spans="1:26">
      <c r="A688" s="24" t="str">
        <f t="shared" si="30"/>
        <v/>
      </c>
      <c r="B688" s="38" t="str">
        <f>IF($Z688="","",IF($Z688&lt;=2000,IF(INDEX(包装物料出入库明细!$B$4:$B$2003,$Z688-0)=0,"",INDEX(包装物料出入库明细!$B$4:$B$2003,$Z688-0)),IF($Z688&lt;=4000,IF(INDEX(周转筐出入库明细!$B$4:$B$2004,$Z688-2000)=0,"",INDEX(周转筐出入库明细!$B$4:$B$2004,$Z688-2000)),IF($Z688&lt;=5200,IF(INDEX(客户自备加工筐明细!$B$4:$B$1203,$Z688-4000)=0,"",INDEX(客户自备加工筐明细!$B$4:$B$1203,$Z688-4000)),IF($Z688&lt;=5800,IF(INDEX(次果筐明细!$B$4:$B$603,$Z688-5200)=0,"",INDEX(次果筐明细!$B$4:$B$603,$Z688-5200)),"")))))</f>
        <v/>
      </c>
      <c r="C688" s="37" t="str">
        <f>IF($Z688="","",IF($Z688&lt;=2000,IF(INDEX(包装物料出入库明细!$D$4:$D$2003,$Z688-0)=0,"",INDEX(包装物料出入库明细!$D$4:$D$2003,$Z688-0)),IF($Z688&lt;=4000,IF(INDEX(周转筐出入库明细!$C$4:$C$2004,$Z688-2000)=0,"",INDEX(周转筐出入库明细!$C$4:$C$2004,$Z688-2000)),IF($Z688&lt;=5200,IF(INDEX(客户自备加工筐明细!$E$4:$E$1203,$Z688-4000)=0,"",INDEX(客户自备加工筐明细!$E$4:$E$1203,$Z688-4000)),IF($Z688&lt;=5800,IF(INDEX(次果筐明细!$C$4:$C$603,$Z688-5200)=0,"",INDEX(次果筐明细!$C$4:$C$603,$Z688-5200)),"")))))</f>
        <v/>
      </c>
      <c r="D688" s="37" t="str">
        <f>IF($Z688="","",IF($Z688&lt;=2000,"包装物料－"&amp;INDEX(包装物料出入库明细!$H$4:$H$2003,$Z688-0),IF($Z688&lt;=4000,"周转筐－"&amp;INDEX(周转筐出入库明细!$F$4:$F$2004,$Z688-2000),IF($Z688&lt;=5200,"客户自备筐－"&amp;INDEX(客户自备加工筐明细!$J$4:$J$1203,$Z688-4000),IF($Z688&lt;=5800,"次果筐/托盘－"&amp;INDEX(次果筐明细!$F$4:$F$603,$Z688-5200),"")))))</f>
        <v/>
      </c>
      <c r="E688" s="24" t="str">
        <f>IF($Z688="","",IF($Z688&lt;=2000,IF(INDEX(包装物料出入库明细!$C$4:$C$2003,$Z688-0)=0,"",INDEX(包装物料出入库明细!$C$4:$C$2003,$Z688-0)),IF($Z688&lt;=4000,IF(INDEX(周转筐出入库明细!$E$4:$E$2004,$Z688-2000)=0,"",INDEX(周转筐出入库明细!$E$4:$E$2004,$Z688-2000)),IF($Z688&lt;=5200,IF(INDEX(客户自备加工筐明细!$D$4:$D$1203,$Z688-4000)=0,"",INDEX(客户自备加工筐明细!$D$4:$D$1203,$Z688-4000)),IF($Z688&lt;=5800,IF(INDEX(次果筐明细!$E$4:$E$603,$Z688-5200)=0,"",INDEX(次果筐明细!$E$4:$E$603,$Z688-5200)),"")))))</f>
        <v/>
      </c>
      <c r="F688" s="24" t="str">
        <f>IF($Z688="","",IF($Z688&lt;=2000,IF(INDEX(包装物料出入库明细!$E$4:$E$2003,$Z688-0)=0,"",INDEX(包装物料出入库明细!$E$4:$E$2003,$Z688-0)),IF($Z688&lt;=4000,IF(INDEX(周转筐出入库明细!$D$4:$D$2004,$Z688-2000)=0,"",INDEX(周转筐出入库明细!$D$4:$D$2004,$Z688-2000)),IF($Z688&lt;=5200,IF(INDEX(客户自备加工筐明细!$C$4:$C$1203,$Z688-4000)=0,"",INDEX(客户自备加工筐明细!$C$4:$C$1203,$Z688-4000)),IF($Z688&lt;=5800,IF(INDEX(次果筐明细!$D$4:$D$603,$Z688-5200)=0,"",INDEX(次果筐明细!$D$4:$D$603,$Z688-5200)),"")))))</f>
        <v/>
      </c>
      <c r="G688" s="24" t="str">
        <f>IF($Z688="","",IF($Z688&lt;=2000,IF(INDEX(包装物料出入库明细!$F$4:$F$2003,$Z688-0)=0,"",INDEX(包装物料出入库明细!$F$4:$F$2003,$Z688-0)),IF($Z688&lt;=4000,"",IF($Z688&lt;=5200,"",IF($Z688&lt;=5800,"","")))))</f>
        <v/>
      </c>
      <c r="H688" s="39" t="str">
        <f>IF($Z688="","",IF($Z688&lt;=2000,IF(INDEX(包装物料出入库明细!$L$4:$L$2003,$Z688-0)=0,"",INDEX(包装物料出入库明细!$L$4:$L$2003,$Z688-0)),IF($Z688&lt;=4000,N(INDEX(周转筐出入库明细!$H$4:$H$2004,$Z688-2000))+N(INDEX(周转筐出入库明细!$I$4:$I$2004,$Z688-2000))+N(INDEX(周转筐出入库明细!$J$4:$J$2004,$Z688-2000))+N(INDEX(周转筐出入库明细!$K$4:$K$2004,$Z688-2000)),IF($Z688&lt;=5200,N(INDEX(客户自备加工筐明细!$F$4:$F$1203,$Z688-4000))+N(INDEX(客户自备加工筐明细!$G$4:$G$1203,$Z688-4000)),IF($Z688&lt;=5800,IF(INDEX(次果筐明细!$G$4:$G$603,$Z688-5200)=0,"",INDEX(次果筐明细!$G$4:$G$603,$Z688-5200)),"")))))</f>
        <v/>
      </c>
      <c r="I688" s="24" t="str">
        <f>IF($Z688="","",IF($Z688&lt;=2000,IF(INDEX(包装物料出入库明细!$G$4:$G$2003,$Z688-0)=0,"",INDEX(包装物料出入库明细!$G$4:$G$2003,$Z688-0)),IF($Z688&lt;=4000,"个",IF($Z688&lt;=5200,"个",IF($Z688&lt;=5800,"个","")))))</f>
        <v/>
      </c>
      <c r="J688" s="30" t="str">
        <f t="shared" si="31"/>
        <v/>
      </c>
      <c r="K688" s="30" t="str">
        <f>IF($Z688="","",IF($Z688&lt;=2000,IF(INDEX(包装物料出入库明细!$N$4:$N$2003,$Z688-0)=0,"",INDEX(包装物料出入库明细!$N$4:$N$2003,$Z688-0)),IF($Z688&lt;=4000,IF(INDEX(周转筐出入库明细!$P$4:$P$2004,$Z688-2000)=0,"",INDEX(周转筐出入库明细!$P$4:$P$2004,$Z688-2000)),IF($Z688&lt;=5200,"",IF($Z688&lt;=5800,N(INDEX(次果筐明细!$L$4:$L$603,$Z688-5200))+N(INDEX(次果筐明细!$J$4:$J$603,$Z688-5200)),"")))))</f>
        <v/>
      </c>
      <c r="L688" s="24" t="str">
        <f>IF($Z688="","",IF($Z688&lt;=2000,IF(INDEX(包装物料出入库明细!$P$4:$P$2003,$Z688-0)=0,"",INDEX(包装物料出入库明细!$P$4:$P$2003,$Z688-0)),IF($Z688&lt;=4000,IF(INDEX(周转筐出入库明细!$Q$4:$Q$2004,$Z688-2000)=0,"",INDEX(周转筐出入库明细!$Q$4:$Q$2004,$Z688-2000)),IF($Z688&lt;=5200,"",IF($Z688&lt;=5800,IF(INDEX(次果筐明细!$M$4:$M$603,$Z688-5200)=0,"",INDEX(次果筐明细!$M$4:$M$603,$Z688-5200)),"")))))</f>
        <v/>
      </c>
      <c r="M688" s="37" t="str">
        <f>IF($Z688="","",IF($Z688&lt;=2000,IF(INDEX(包装物料出入库明细!$R$4:$R$2003,$Z688-0)=0,"",INDEX(包装物料出入库明细!$R$4:$R$2003,$Z688-0)),IF($Z688&lt;=4000,IF(INDEX(周转筐出入库明细!$W$4:$W$2004,$Z688-2000)=0,"",INDEX(周转筐出入库明细!$W$4:$W$2004,$Z688-2000)),IF($Z688&lt;=5200,IF(INDEX(客户自备加工筐明细!$L$4:$L$1203,$Z688-4000)=0,"",INDEX(客户自备加工筐明细!$L$4:$L$1203,$Z688-4000)),IF($Z688&lt;=5800,IF(INDEX(次果筐明细!$P$4:$P$603,$Z688-5200)=0,"",INDEX(次果筐明细!$P$4:$P$603,$Z688-5200)),"")))))</f>
        <v/>
      </c>
      <c r="N688" s="16" t="str">
        <f>IF($Z688="","",IF($Z688&lt;=2000,"",IF($Z688&lt;=4000,IF(INDEX(周转筐出入库明细!$D$4:$D$2004,$Z688-2000)=0,"",INDEX(周转筐出入库明细!$D$4:$D$2004,$Z688-2000)),IF($Z688&lt;=5200,IF(INDEX(客户自备加工筐明细!$C$4:$C$1203,$Z688-4000)=0,"",INDEX(客户自备加工筐明细!$C$4:$C$1203,$Z688-4000)),IF($Z688&lt;=5800,IF(INDEX(次果筐明细!$D$4:$D$603,$Z688-5200)=0,"",INDEX(次果筐明细!$D$4:$D$603,$Z688-5200)),"")))))</f>
        <v/>
      </c>
      <c r="O688" s="40" t="str">
        <f>IF($Z688="","",IF($Z688&lt;=2000,"",IF($Z688&lt;=4000,IF(N(INDEX(周转筐出入库明细!$J$4:$J$2004,$Z688-2000))+N(INDEX(周转筐出入库明细!$K$4:$K$2004,$Z688-2000))=0,"",N(INDEX(周转筐出入库明细!$J$4:$J$2004,$Z688-2000))+N(INDEX(周转筐出入库明细!$K$4:$K$2004,$Z688-2000))),IF($Z688&lt;=5200,IF(N(INDEX(客户自备加工筐明细!$G$4:$G$1203,$Z688-4000))=0,"",N(INDEX(客户自备加工筐明细!$G$4:$G$1203,$Z688-4000))),IF($Z688&lt;=5800,IF(ISNUMBER(SEARCH("退",INDEX(次果筐明细!$F$4:$F$603,$Z688-5200)&amp;"")),"",IF(N(INDEX(次果筐明细!$G$4:$G$603,$Z688-5200))=0,"",N(INDEX(次果筐明细!$G$4:$G$603,$Z688-5200)))),"")))))</f>
        <v/>
      </c>
      <c r="P688" s="40" t="str">
        <f>IF($Z688="","",IF($Z688&lt;=2000,"",IF($Z688&lt;=4000,IF(N(INDEX(周转筐出入库明细!$I$4:$I$2004,$Z688-2000))=0,"",N(INDEX(周转筐出入库明细!$I$4:$I$2004,$Z688-2000))),IF($Z688&lt;=5200,"",IF($Z688&lt;=5800,IF(ISNUMBER(SEARCH("退",INDEX(次果筐明细!$F$4:$F$603,$Z688-5200)&amp;"")),IF(N(INDEX(次果筐明细!$G$4:$G$603,$Z688-5200))=0,"",N(INDEX(次果筐明细!$G$4:$G$603,$Z688-5200))),""),"")))))</f>
        <v/>
      </c>
      <c r="Q688" s="40" t="str">
        <f>IF($Z688="","",IF($Z688&lt;=2000,"",IF($Z688&lt;=4000,IF(N(INDEX(周转筐出入库明细!$H$4:$H$2004,$Z688-2000))=0,"",N(INDEX(周转筐出入库明细!$H$4:$H$2004,$Z688-2000))),IF($Z688&lt;=5200,IF(N(INDEX(客户自备加工筐明细!$F$4:$F$1203,$Z688-4000))=0,"",N(INDEX(客户自备加工筐明细!$F$4:$F$1203,$Z688-4000))),IF($Z688&lt;=5800,"","")))))</f>
        <v/>
      </c>
      <c r="R688" s="16" t="str">
        <f>IF($Z688="","",IF($Z688&lt;=2000,IF(INDEX(包装物料出入库明细!$O$4:$O$2003,$Z688-0)=0,"",INDEX(包装物料出入库明细!$O$4:$O$2003,$Z688-0)),IF($Z688&lt;=4000,IF(INDEX(周转筐出入库明细!$M$4:$M$2004,$Z688-2000)=0,"",INDEX(周转筐出入库明细!$M$4:$M$2004,$Z688-2000)),IF($Z688&lt;=5200,IF(INDEX(客户自备加工筐明细!$H$4:$H$1203,$Z688-4000)=0,"",INDEX(客户自备加工筐明细!$H$4:$H$1203,$Z688-4000)),IF($Z688&lt;=5800,IF(INDEX(次果筐明细!$H$4:$H$603,$Z688-5200)=0,"",INDEX(次果筐明细!$H$4:$H$603,$Z688-5200)),"")))))</f>
        <v/>
      </c>
      <c r="S688" s="22" t="str">
        <f t="shared" si="32"/>
        <v/>
      </c>
      <c r="Z688" s="10" t="str">
        <f>IFERROR(MATCH(ROW()-3,_自动清单!$CQ$4:$CQ$5803,0),"")</f>
        <v/>
      </c>
    </row>
    <row r="689" spans="1:26">
      <c r="A689" s="24" t="str">
        <f t="shared" si="30"/>
        <v/>
      </c>
      <c r="B689" s="38" t="str">
        <f>IF($Z689="","",IF($Z689&lt;=2000,IF(INDEX(包装物料出入库明细!$B$4:$B$2003,$Z689-0)=0,"",INDEX(包装物料出入库明细!$B$4:$B$2003,$Z689-0)),IF($Z689&lt;=4000,IF(INDEX(周转筐出入库明细!$B$4:$B$2004,$Z689-2000)=0,"",INDEX(周转筐出入库明细!$B$4:$B$2004,$Z689-2000)),IF($Z689&lt;=5200,IF(INDEX(客户自备加工筐明细!$B$4:$B$1203,$Z689-4000)=0,"",INDEX(客户自备加工筐明细!$B$4:$B$1203,$Z689-4000)),IF($Z689&lt;=5800,IF(INDEX(次果筐明细!$B$4:$B$603,$Z689-5200)=0,"",INDEX(次果筐明细!$B$4:$B$603,$Z689-5200)),"")))))</f>
        <v/>
      </c>
      <c r="C689" s="37" t="str">
        <f>IF($Z689="","",IF($Z689&lt;=2000,IF(INDEX(包装物料出入库明细!$D$4:$D$2003,$Z689-0)=0,"",INDEX(包装物料出入库明细!$D$4:$D$2003,$Z689-0)),IF($Z689&lt;=4000,IF(INDEX(周转筐出入库明细!$C$4:$C$2004,$Z689-2000)=0,"",INDEX(周转筐出入库明细!$C$4:$C$2004,$Z689-2000)),IF($Z689&lt;=5200,IF(INDEX(客户自备加工筐明细!$E$4:$E$1203,$Z689-4000)=0,"",INDEX(客户自备加工筐明细!$E$4:$E$1203,$Z689-4000)),IF($Z689&lt;=5800,IF(INDEX(次果筐明细!$C$4:$C$603,$Z689-5200)=0,"",INDEX(次果筐明细!$C$4:$C$603,$Z689-5200)),"")))))</f>
        <v/>
      </c>
      <c r="D689" s="37" t="str">
        <f>IF($Z689="","",IF($Z689&lt;=2000,"包装物料－"&amp;INDEX(包装物料出入库明细!$H$4:$H$2003,$Z689-0),IF($Z689&lt;=4000,"周转筐－"&amp;INDEX(周转筐出入库明细!$F$4:$F$2004,$Z689-2000),IF($Z689&lt;=5200,"客户自备筐－"&amp;INDEX(客户自备加工筐明细!$J$4:$J$1203,$Z689-4000),IF($Z689&lt;=5800,"次果筐/托盘－"&amp;INDEX(次果筐明细!$F$4:$F$603,$Z689-5200),"")))))</f>
        <v/>
      </c>
      <c r="E689" s="24" t="str">
        <f>IF($Z689="","",IF($Z689&lt;=2000,IF(INDEX(包装物料出入库明细!$C$4:$C$2003,$Z689-0)=0,"",INDEX(包装物料出入库明细!$C$4:$C$2003,$Z689-0)),IF($Z689&lt;=4000,IF(INDEX(周转筐出入库明细!$E$4:$E$2004,$Z689-2000)=0,"",INDEX(周转筐出入库明细!$E$4:$E$2004,$Z689-2000)),IF($Z689&lt;=5200,IF(INDEX(客户自备加工筐明细!$D$4:$D$1203,$Z689-4000)=0,"",INDEX(客户自备加工筐明细!$D$4:$D$1203,$Z689-4000)),IF($Z689&lt;=5800,IF(INDEX(次果筐明细!$E$4:$E$603,$Z689-5200)=0,"",INDEX(次果筐明细!$E$4:$E$603,$Z689-5200)),"")))))</f>
        <v/>
      </c>
      <c r="F689" s="24" t="str">
        <f>IF($Z689="","",IF($Z689&lt;=2000,IF(INDEX(包装物料出入库明细!$E$4:$E$2003,$Z689-0)=0,"",INDEX(包装物料出入库明细!$E$4:$E$2003,$Z689-0)),IF($Z689&lt;=4000,IF(INDEX(周转筐出入库明细!$D$4:$D$2004,$Z689-2000)=0,"",INDEX(周转筐出入库明细!$D$4:$D$2004,$Z689-2000)),IF($Z689&lt;=5200,IF(INDEX(客户自备加工筐明细!$C$4:$C$1203,$Z689-4000)=0,"",INDEX(客户自备加工筐明细!$C$4:$C$1203,$Z689-4000)),IF($Z689&lt;=5800,IF(INDEX(次果筐明细!$D$4:$D$603,$Z689-5200)=0,"",INDEX(次果筐明细!$D$4:$D$603,$Z689-5200)),"")))))</f>
        <v/>
      </c>
      <c r="G689" s="24" t="str">
        <f>IF($Z689="","",IF($Z689&lt;=2000,IF(INDEX(包装物料出入库明细!$F$4:$F$2003,$Z689-0)=0,"",INDEX(包装物料出入库明细!$F$4:$F$2003,$Z689-0)),IF($Z689&lt;=4000,"",IF($Z689&lt;=5200,"",IF($Z689&lt;=5800,"","")))))</f>
        <v/>
      </c>
      <c r="H689" s="39" t="str">
        <f>IF($Z689="","",IF($Z689&lt;=2000,IF(INDEX(包装物料出入库明细!$L$4:$L$2003,$Z689-0)=0,"",INDEX(包装物料出入库明细!$L$4:$L$2003,$Z689-0)),IF($Z689&lt;=4000,N(INDEX(周转筐出入库明细!$H$4:$H$2004,$Z689-2000))+N(INDEX(周转筐出入库明细!$I$4:$I$2004,$Z689-2000))+N(INDEX(周转筐出入库明细!$J$4:$J$2004,$Z689-2000))+N(INDEX(周转筐出入库明细!$K$4:$K$2004,$Z689-2000)),IF($Z689&lt;=5200,N(INDEX(客户自备加工筐明细!$F$4:$F$1203,$Z689-4000))+N(INDEX(客户自备加工筐明细!$G$4:$G$1203,$Z689-4000)),IF($Z689&lt;=5800,IF(INDEX(次果筐明细!$G$4:$G$603,$Z689-5200)=0,"",INDEX(次果筐明细!$G$4:$G$603,$Z689-5200)),"")))))</f>
        <v/>
      </c>
      <c r="I689" s="24" t="str">
        <f>IF($Z689="","",IF($Z689&lt;=2000,IF(INDEX(包装物料出入库明细!$G$4:$G$2003,$Z689-0)=0,"",INDEX(包装物料出入库明细!$G$4:$G$2003,$Z689-0)),IF($Z689&lt;=4000,"个",IF($Z689&lt;=5200,"个",IF($Z689&lt;=5800,"个","")))))</f>
        <v/>
      </c>
      <c r="J689" s="30" t="str">
        <f t="shared" si="31"/>
        <v/>
      </c>
      <c r="K689" s="30" t="str">
        <f>IF($Z689="","",IF($Z689&lt;=2000,IF(INDEX(包装物料出入库明细!$N$4:$N$2003,$Z689-0)=0,"",INDEX(包装物料出入库明细!$N$4:$N$2003,$Z689-0)),IF($Z689&lt;=4000,IF(INDEX(周转筐出入库明细!$P$4:$P$2004,$Z689-2000)=0,"",INDEX(周转筐出入库明细!$P$4:$P$2004,$Z689-2000)),IF($Z689&lt;=5200,"",IF($Z689&lt;=5800,N(INDEX(次果筐明细!$L$4:$L$603,$Z689-5200))+N(INDEX(次果筐明细!$J$4:$J$603,$Z689-5200)),"")))))</f>
        <v/>
      </c>
      <c r="L689" s="24" t="str">
        <f>IF($Z689="","",IF($Z689&lt;=2000,IF(INDEX(包装物料出入库明细!$P$4:$P$2003,$Z689-0)=0,"",INDEX(包装物料出入库明细!$P$4:$P$2003,$Z689-0)),IF($Z689&lt;=4000,IF(INDEX(周转筐出入库明细!$Q$4:$Q$2004,$Z689-2000)=0,"",INDEX(周转筐出入库明细!$Q$4:$Q$2004,$Z689-2000)),IF($Z689&lt;=5200,"",IF($Z689&lt;=5800,IF(INDEX(次果筐明细!$M$4:$M$603,$Z689-5200)=0,"",INDEX(次果筐明细!$M$4:$M$603,$Z689-5200)),"")))))</f>
        <v/>
      </c>
      <c r="M689" s="37" t="str">
        <f>IF($Z689="","",IF($Z689&lt;=2000,IF(INDEX(包装物料出入库明细!$R$4:$R$2003,$Z689-0)=0,"",INDEX(包装物料出入库明细!$R$4:$R$2003,$Z689-0)),IF($Z689&lt;=4000,IF(INDEX(周转筐出入库明细!$W$4:$W$2004,$Z689-2000)=0,"",INDEX(周转筐出入库明细!$W$4:$W$2004,$Z689-2000)),IF($Z689&lt;=5200,IF(INDEX(客户自备加工筐明细!$L$4:$L$1203,$Z689-4000)=0,"",INDEX(客户自备加工筐明细!$L$4:$L$1203,$Z689-4000)),IF($Z689&lt;=5800,IF(INDEX(次果筐明细!$P$4:$P$603,$Z689-5200)=0,"",INDEX(次果筐明细!$P$4:$P$603,$Z689-5200)),"")))))</f>
        <v/>
      </c>
      <c r="N689" s="16" t="str">
        <f>IF($Z689="","",IF($Z689&lt;=2000,"",IF($Z689&lt;=4000,IF(INDEX(周转筐出入库明细!$D$4:$D$2004,$Z689-2000)=0,"",INDEX(周转筐出入库明细!$D$4:$D$2004,$Z689-2000)),IF($Z689&lt;=5200,IF(INDEX(客户自备加工筐明细!$C$4:$C$1203,$Z689-4000)=0,"",INDEX(客户自备加工筐明细!$C$4:$C$1203,$Z689-4000)),IF($Z689&lt;=5800,IF(INDEX(次果筐明细!$D$4:$D$603,$Z689-5200)=0,"",INDEX(次果筐明细!$D$4:$D$603,$Z689-5200)),"")))))</f>
        <v/>
      </c>
      <c r="O689" s="40" t="str">
        <f>IF($Z689="","",IF($Z689&lt;=2000,"",IF($Z689&lt;=4000,IF(N(INDEX(周转筐出入库明细!$J$4:$J$2004,$Z689-2000))+N(INDEX(周转筐出入库明细!$K$4:$K$2004,$Z689-2000))=0,"",N(INDEX(周转筐出入库明细!$J$4:$J$2004,$Z689-2000))+N(INDEX(周转筐出入库明细!$K$4:$K$2004,$Z689-2000))),IF($Z689&lt;=5200,IF(N(INDEX(客户自备加工筐明细!$G$4:$G$1203,$Z689-4000))=0,"",N(INDEX(客户自备加工筐明细!$G$4:$G$1203,$Z689-4000))),IF($Z689&lt;=5800,IF(ISNUMBER(SEARCH("退",INDEX(次果筐明细!$F$4:$F$603,$Z689-5200)&amp;"")),"",IF(N(INDEX(次果筐明细!$G$4:$G$603,$Z689-5200))=0,"",N(INDEX(次果筐明细!$G$4:$G$603,$Z689-5200)))),"")))))</f>
        <v/>
      </c>
      <c r="P689" s="40" t="str">
        <f>IF($Z689="","",IF($Z689&lt;=2000,"",IF($Z689&lt;=4000,IF(N(INDEX(周转筐出入库明细!$I$4:$I$2004,$Z689-2000))=0,"",N(INDEX(周转筐出入库明细!$I$4:$I$2004,$Z689-2000))),IF($Z689&lt;=5200,"",IF($Z689&lt;=5800,IF(ISNUMBER(SEARCH("退",INDEX(次果筐明细!$F$4:$F$603,$Z689-5200)&amp;"")),IF(N(INDEX(次果筐明细!$G$4:$G$603,$Z689-5200))=0,"",N(INDEX(次果筐明细!$G$4:$G$603,$Z689-5200))),""),"")))))</f>
        <v/>
      </c>
      <c r="Q689" s="40" t="str">
        <f>IF($Z689="","",IF($Z689&lt;=2000,"",IF($Z689&lt;=4000,IF(N(INDEX(周转筐出入库明细!$H$4:$H$2004,$Z689-2000))=0,"",N(INDEX(周转筐出入库明细!$H$4:$H$2004,$Z689-2000))),IF($Z689&lt;=5200,IF(N(INDEX(客户自备加工筐明细!$F$4:$F$1203,$Z689-4000))=0,"",N(INDEX(客户自备加工筐明细!$F$4:$F$1203,$Z689-4000))),IF($Z689&lt;=5800,"","")))))</f>
        <v/>
      </c>
      <c r="R689" s="16" t="str">
        <f>IF($Z689="","",IF($Z689&lt;=2000,IF(INDEX(包装物料出入库明细!$O$4:$O$2003,$Z689-0)=0,"",INDEX(包装物料出入库明细!$O$4:$O$2003,$Z689-0)),IF($Z689&lt;=4000,IF(INDEX(周转筐出入库明细!$M$4:$M$2004,$Z689-2000)=0,"",INDEX(周转筐出入库明细!$M$4:$M$2004,$Z689-2000)),IF($Z689&lt;=5200,IF(INDEX(客户自备加工筐明细!$H$4:$H$1203,$Z689-4000)=0,"",INDEX(客户自备加工筐明细!$H$4:$H$1203,$Z689-4000)),IF($Z689&lt;=5800,IF(INDEX(次果筐明细!$H$4:$H$603,$Z689-5200)=0,"",INDEX(次果筐明细!$H$4:$H$603,$Z689-5200)),"")))))</f>
        <v/>
      </c>
      <c r="S689" s="22" t="str">
        <f t="shared" si="32"/>
        <v/>
      </c>
      <c r="Z689" s="10" t="str">
        <f>IFERROR(MATCH(ROW()-3,_自动清单!$CQ$4:$CQ$5803,0),"")</f>
        <v/>
      </c>
    </row>
    <row r="690" spans="1:26">
      <c r="A690" s="24" t="str">
        <f t="shared" si="30"/>
        <v/>
      </c>
      <c r="B690" s="38" t="str">
        <f>IF($Z690="","",IF($Z690&lt;=2000,IF(INDEX(包装物料出入库明细!$B$4:$B$2003,$Z690-0)=0,"",INDEX(包装物料出入库明细!$B$4:$B$2003,$Z690-0)),IF($Z690&lt;=4000,IF(INDEX(周转筐出入库明细!$B$4:$B$2004,$Z690-2000)=0,"",INDEX(周转筐出入库明细!$B$4:$B$2004,$Z690-2000)),IF($Z690&lt;=5200,IF(INDEX(客户自备加工筐明细!$B$4:$B$1203,$Z690-4000)=0,"",INDEX(客户自备加工筐明细!$B$4:$B$1203,$Z690-4000)),IF($Z690&lt;=5800,IF(INDEX(次果筐明细!$B$4:$B$603,$Z690-5200)=0,"",INDEX(次果筐明细!$B$4:$B$603,$Z690-5200)),"")))))</f>
        <v/>
      </c>
      <c r="C690" s="37" t="str">
        <f>IF($Z690="","",IF($Z690&lt;=2000,IF(INDEX(包装物料出入库明细!$D$4:$D$2003,$Z690-0)=0,"",INDEX(包装物料出入库明细!$D$4:$D$2003,$Z690-0)),IF($Z690&lt;=4000,IF(INDEX(周转筐出入库明细!$C$4:$C$2004,$Z690-2000)=0,"",INDEX(周转筐出入库明细!$C$4:$C$2004,$Z690-2000)),IF($Z690&lt;=5200,IF(INDEX(客户自备加工筐明细!$E$4:$E$1203,$Z690-4000)=0,"",INDEX(客户自备加工筐明细!$E$4:$E$1203,$Z690-4000)),IF($Z690&lt;=5800,IF(INDEX(次果筐明细!$C$4:$C$603,$Z690-5200)=0,"",INDEX(次果筐明细!$C$4:$C$603,$Z690-5200)),"")))))</f>
        <v/>
      </c>
      <c r="D690" s="37" t="str">
        <f>IF($Z690="","",IF($Z690&lt;=2000,"包装物料－"&amp;INDEX(包装物料出入库明细!$H$4:$H$2003,$Z690-0),IF($Z690&lt;=4000,"周转筐－"&amp;INDEX(周转筐出入库明细!$F$4:$F$2004,$Z690-2000),IF($Z690&lt;=5200,"客户自备筐－"&amp;INDEX(客户自备加工筐明细!$J$4:$J$1203,$Z690-4000),IF($Z690&lt;=5800,"次果筐/托盘－"&amp;INDEX(次果筐明细!$F$4:$F$603,$Z690-5200),"")))))</f>
        <v/>
      </c>
      <c r="E690" s="24" t="str">
        <f>IF($Z690="","",IF($Z690&lt;=2000,IF(INDEX(包装物料出入库明细!$C$4:$C$2003,$Z690-0)=0,"",INDEX(包装物料出入库明细!$C$4:$C$2003,$Z690-0)),IF($Z690&lt;=4000,IF(INDEX(周转筐出入库明细!$E$4:$E$2004,$Z690-2000)=0,"",INDEX(周转筐出入库明细!$E$4:$E$2004,$Z690-2000)),IF($Z690&lt;=5200,IF(INDEX(客户自备加工筐明细!$D$4:$D$1203,$Z690-4000)=0,"",INDEX(客户自备加工筐明细!$D$4:$D$1203,$Z690-4000)),IF($Z690&lt;=5800,IF(INDEX(次果筐明细!$E$4:$E$603,$Z690-5200)=0,"",INDEX(次果筐明细!$E$4:$E$603,$Z690-5200)),"")))))</f>
        <v/>
      </c>
      <c r="F690" s="24" t="str">
        <f>IF($Z690="","",IF($Z690&lt;=2000,IF(INDEX(包装物料出入库明细!$E$4:$E$2003,$Z690-0)=0,"",INDEX(包装物料出入库明细!$E$4:$E$2003,$Z690-0)),IF($Z690&lt;=4000,IF(INDEX(周转筐出入库明细!$D$4:$D$2004,$Z690-2000)=0,"",INDEX(周转筐出入库明细!$D$4:$D$2004,$Z690-2000)),IF($Z690&lt;=5200,IF(INDEX(客户自备加工筐明细!$C$4:$C$1203,$Z690-4000)=0,"",INDEX(客户自备加工筐明细!$C$4:$C$1203,$Z690-4000)),IF($Z690&lt;=5800,IF(INDEX(次果筐明细!$D$4:$D$603,$Z690-5200)=0,"",INDEX(次果筐明细!$D$4:$D$603,$Z690-5200)),"")))))</f>
        <v/>
      </c>
      <c r="G690" s="24" t="str">
        <f>IF($Z690="","",IF($Z690&lt;=2000,IF(INDEX(包装物料出入库明细!$F$4:$F$2003,$Z690-0)=0,"",INDEX(包装物料出入库明细!$F$4:$F$2003,$Z690-0)),IF($Z690&lt;=4000,"",IF($Z690&lt;=5200,"",IF($Z690&lt;=5800,"","")))))</f>
        <v/>
      </c>
      <c r="H690" s="39" t="str">
        <f>IF($Z690="","",IF($Z690&lt;=2000,IF(INDEX(包装物料出入库明细!$L$4:$L$2003,$Z690-0)=0,"",INDEX(包装物料出入库明细!$L$4:$L$2003,$Z690-0)),IF($Z690&lt;=4000,N(INDEX(周转筐出入库明细!$H$4:$H$2004,$Z690-2000))+N(INDEX(周转筐出入库明细!$I$4:$I$2004,$Z690-2000))+N(INDEX(周转筐出入库明细!$J$4:$J$2004,$Z690-2000))+N(INDEX(周转筐出入库明细!$K$4:$K$2004,$Z690-2000)),IF($Z690&lt;=5200,N(INDEX(客户自备加工筐明细!$F$4:$F$1203,$Z690-4000))+N(INDEX(客户自备加工筐明细!$G$4:$G$1203,$Z690-4000)),IF($Z690&lt;=5800,IF(INDEX(次果筐明细!$G$4:$G$603,$Z690-5200)=0,"",INDEX(次果筐明细!$G$4:$G$603,$Z690-5200)),"")))))</f>
        <v/>
      </c>
      <c r="I690" s="24" t="str">
        <f>IF($Z690="","",IF($Z690&lt;=2000,IF(INDEX(包装物料出入库明细!$G$4:$G$2003,$Z690-0)=0,"",INDEX(包装物料出入库明细!$G$4:$G$2003,$Z690-0)),IF($Z690&lt;=4000,"个",IF($Z690&lt;=5200,"个",IF($Z690&lt;=5800,"个","")))))</f>
        <v/>
      </c>
      <c r="J690" s="30" t="str">
        <f t="shared" si="31"/>
        <v/>
      </c>
      <c r="K690" s="30" t="str">
        <f>IF($Z690="","",IF($Z690&lt;=2000,IF(INDEX(包装物料出入库明细!$N$4:$N$2003,$Z690-0)=0,"",INDEX(包装物料出入库明细!$N$4:$N$2003,$Z690-0)),IF($Z690&lt;=4000,IF(INDEX(周转筐出入库明细!$P$4:$P$2004,$Z690-2000)=0,"",INDEX(周转筐出入库明细!$P$4:$P$2004,$Z690-2000)),IF($Z690&lt;=5200,"",IF($Z690&lt;=5800,N(INDEX(次果筐明细!$L$4:$L$603,$Z690-5200))+N(INDEX(次果筐明细!$J$4:$J$603,$Z690-5200)),"")))))</f>
        <v/>
      </c>
      <c r="L690" s="24" t="str">
        <f>IF($Z690="","",IF($Z690&lt;=2000,IF(INDEX(包装物料出入库明细!$P$4:$P$2003,$Z690-0)=0,"",INDEX(包装物料出入库明细!$P$4:$P$2003,$Z690-0)),IF($Z690&lt;=4000,IF(INDEX(周转筐出入库明细!$Q$4:$Q$2004,$Z690-2000)=0,"",INDEX(周转筐出入库明细!$Q$4:$Q$2004,$Z690-2000)),IF($Z690&lt;=5200,"",IF($Z690&lt;=5800,IF(INDEX(次果筐明细!$M$4:$M$603,$Z690-5200)=0,"",INDEX(次果筐明细!$M$4:$M$603,$Z690-5200)),"")))))</f>
        <v/>
      </c>
      <c r="M690" s="37" t="str">
        <f>IF($Z690="","",IF($Z690&lt;=2000,IF(INDEX(包装物料出入库明细!$R$4:$R$2003,$Z690-0)=0,"",INDEX(包装物料出入库明细!$R$4:$R$2003,$Z690-0)),IF($Z690&lt;=4000,IF(INDEX(周转筐出入库明细!$W$4:$W$2004,$Z690-2000)=0,"",INDEX(周转筐出入库明细!$W$4:$W$2004,$Z690-2000)),IF($Z690&lt;=5200,IF(INDEX(客户自备加工筐明细!$L$4:$L$1203,$Z690-4000)=0,"",INDEX(客户自备加工筐明细!$L$4:$L$1203,$Z690-4000)),IF($Z690&lt;=5800,IF(INDEX(次果筐明细!$P$4:$P$603,$Z690-5200)=0,"",INDEX(次果筐明细!$P$4:$P$603,$Z690-5200)),"")))))</f>
        <v/>
      </c>
      <c r="N690" s="16" t="str">
        <f>IF($Z690="","",IF($Z690&lt;=2000,"",IF($Z690&lt;=4000,IF(INDEX(周转筐出入库明细!$D$4:$D$2004,$Z690-2000)=0,"",INDEX(周转筐出入库明细!$D$4:$D$2004,$Z690-2000)),IF($Z690&lt;=5200,IF(INDEX(客户自备加工筐明细!$C$4:$C$1203,$Z690-4000)=0,"",INDEX(客户自备加工筐明细!$C$4:$C$1203,$Z690-4000)),IF($Z690&lt;=5800,IF(INDEX(次果筐明细!$D$4:$D$603,$Z690-5200)=0,"",INDEX(次果筐明细!$D$4:$D$603,$Z690-5200)),"")))))</f>
        <v/>
      </c>
      <c r="O690" s="40" t="str">
        <f>IF($Z690="","",IF($Z690&lt;=2000,"",IF($Z690&lt;=4000,IF(N(INDEX(周转筐出入库明细!$J$4:$J$2004,$Z690-2000))+N(INDEX(周转筐出入库明细!$K$4:$K$2004,$Z690-2000))=0,"",N(INDEX(周转筐出入库明细!$J$4:$J$2004,$Z690-2000))+N(INDEX(周转筐出入库明细!$K$4:$K$2004,$Z690-2000))),IF($Z690&lt;=5200,IF(N(INDEX(客户自备加工筐明细!$G$4:$G$1203,$Z690-4000))=0,"",N(INDEX(客户自备加工筐明细!$G$4:$G$1203,$Z690-4000))),IF($Z690&lt;=5800,IF(ISNUMBER(SEARCH("退",INDEX(次果筐明细!$F$4:$F$603,$Z690-5200)&amp;"")),"",IF(N(INDEX(次果筐明细!$G$4:$G$603,$Z690-5200))=0,"",N(INDEX(次果筐明细!$G$4:$G$603,$Z690-5200)))),"")))))</f>
        <v/>
      </c>
      <c r="P690" s="40" t="str">
        <f>IF($Z690="","",IF($Z690&lt;=2000,"",IF($Z690&lt;=4000,IF(N(INDEX(周转筐出入库明细!$I$4:$I$2004,$Z690-2000))=0,"",N(INDEX(周转筐出入库明细!$I$4:$I$2004,$Z690-2000))),IF($Z690&lt;=5200,"",IF($Z690&lt;=5800,IF(ISNUMBER(SEARCH("退",INDEX(次果筐明细!$F$4:$F$603,$Z690-5200)&amp;"")),IF(N(INDEX(次果筐明细!$G$4:$G$603,$Z690-5200))=0,"",N(INDEX(次果筐明细!$G$4:$G$603,$Z690-5200))),""),"")))))</f>
        <v/>
      </c>
      <c r="Q690" s="40" t="str">
        <f>IF($Z690="","",IF($Z690&lt;=2000,"",IF($Z690&lt;=4000,IF(N(INDEX(周转筐出入库明细!$H$4:$H$2004,$Z690-2000))=0,"",N(INDEX(周转筐出入库明细!$H$4:$H$2004,$Z690-2000))),IF($Z690&lt;=5200,IF(N(INDEX(客户自备加工筐明细!$F$4:$F$1203,$Z690-4000))=0,"",N(INDEX(客户自备加工筐明细!$F$4:$F$1203,$Z690-4000))),IF($Z690&lt;=5800,"","")))))</f>
        <v/>
      </c>
      <c r="R690" s="16" t="str">
        <f>IF($Z690="","",IF($Z690&lt;=2000,IF(INDEX(包装物料出入库明细!$O$4:$O$2003,$Z690-0)=0,"",INDEX(包装物料出入库明细!$O$4:$O$2003,$Z690-0)),IF($Z690&lt;=4000,IF(INDEX(周转筐出入库明细!$M$4:$M$2004,$Z690-2000)=0,"",INDEX(周转筐出入库明细!$M$4:$M$2004,$Z690-2000)),IF($Z690&lt;=5200,IF(INDEX(客户自备加工筐明细!$H$4:$H$1203,$Z690-4000)=0,"",INDEX(客户自备加工筐明细!$H$4:$H$1203,$Z690-4000)),IF($Z690&lt;=5800,IF(INDEX(次果筐明细!$H$4:$H$603,$Z690-5200)=0,"",INDEX(次果筐明细!$H$4:$H$603,$Z690-5200)),"")))))</f>
        <v/>
      </c>
      <c r="S690" s="22" t="str">
        <f t="shared" si="32"/>
        <v/>
      </c>
      <c r="Z690" s="10" t="str">
        <f>IFERROR(MATCH(ROW()-3,_自动清单!$CQ$4:$CQ$5803,0),"")</f>
        <v/>
      </c>
    </row>
    <row r="691" spans="1:26">
      <c r="A691" s="24" t="str">
        <f t="shared" si="30"/>
        <v/>
      </c>
      <c r="B691" s="38" t="str">
        <f>IF($Z691="","",IF($Z691&lt;=2000,IF(INDEX(包装物料出入库明细!$B$4:$B$2003,$Z691-0)=0,"",INDEX(包装物料出入库明细!$B$4:$B$2003,$Z691-0)),IF($Z691&lt;=4000,IF(INDEX(周转筐出入库明细!$B$4:$B$2004,$Z691-2000)=0,"",INDEX(周转筐出入库明细!$B$4:$B$2004,$Z691-2000)),IF($Z691&lt;=5200,IF(INDEX(客户自备加工筐明细!$B$4:$B$1203,$Z691-4000)=0,"",INDEX(客户自备加工筐明细!$B$4:$B$1203,$Z691-4000)),IF($Z691&lt;=5800,IF(INDEX(次果筐明细!$B$4:$B$603,$Z691-5200)=0,"",INDEX(次果筐明细!$B$4:$B$603,$Z691-5200)),"")))))</f>
        <v/>
      </c>
      <c r="C691" s="37" t="str">
        <f>IF($Z691="","",IF($Z691&lt;=2000,IF(INDEX(包装物料出入库明细!$D$4:$D$2003,$Z691-0)=0,"",INDEX(包装物料出入库明细!$D$4:$D$2003,$Z691-0)),IF($Z691&lt;=4000,IF(INDEX(周转筐出入库明细!$C$4:$C$2004,$Z691-2000)=0,"",INDEX(周转筐出入库明细!$C$4:$C$2004,$Z691-2000)),IF($Z691&lt;=5200,IF(INDEX(客户自备加工筐明细!$E$4:$E$1203,$Z691-4000)=0,"",INDEX(客户自备加工筐明细!$E$4:$E$1203,$Z691-4000)),IF($Z691&lt;=5800,IF(INDEX(次果筐明细!$C$4:$C$603,$Z691-5200)=0,"",INDEX(次果筐明细!$C$4:$C$603,$Z691-5200)),"")))))</f>
        <v/>
      </c>
      <c r="D691" s="37" t="str">
        <f>IF($Z691="","",IF($Z691&lt;=2000,"包装物料－"&amp;INDEX(包装物料出入库明细!$H$4:$H$2003,$Z691-0),IF($Z691&lt;=4000,"周转筐－"&amp;INDEX(周转筐出入库明细!$F$4:$F$2004,$Z691-2000),IF($Z691&lt;=5200,"客户自备筐－"&amp;INDEX(客户自备加工筐明细!$J$4:$J$1203,$Z691-4000),IF($Z691&lt;=5800,"次果筐/托盘－"&amp;INDEX(次果筐明细!$F$4:$F$603,$Z691-5200),"")))))</f>
        <v/>
      </c>
      <c r="E691" s="24" t="str">
        <f>IF($Z691="","",IF($Z691&lt;=2000,IF(INDEX(包装物料出入库明细!$C$4:$C$2003,$Z691-0)=0,"",INDEX(包装物料出入库明细!$C$4:$C$2003,$Z691-0)),IF($Z691&lt;=4000,IF(INDEX(周转筐出入库明细!$E$4:$E$2004,$Z691-2000)=0,"",INDEX(周转筐出入库明细!$E$4:$E$2004,$Z691-2000)),IF($Z691&lt;=5200,IF(INDEX(客户自备加工筐明细!$D$4:$D$1203,$Z691-4000)=0,"",INDEX(客户自备加工筐明细!$D$4:$D$1203,$Z691-4000)),IF($Z691&lt;=5800,IF(INDEX(次果筐明细!$E$4:$E$603,$Z691-5200)=0,"",INDEX(次果筐明细!$E$4:$E$603,$Z691-5200)),"")))))</f>
        <v/>
      </c>
      <c r="F691" s="24" t="str">
        <f>IF($Z691="","",IF($Z691&lt;=2000,IF(INDEX(包装物料出入库明细!$E$4:$E$2003,$Z691-0)=0,"",INDEX(包装物料出入库明细!$E$4:$E$2003,$Z691-0)),IF($Z691&lt;=4000,IF(INDEX(周转筐出入库明细!$D$4:$D$2004,$Z691-2000)=0,"",INDEX(周转筐出入库明细!$D$4:$D$2004,$Z691-2000)),IF($Z691&lt;=5200,IF(INDEX(客户自备加工筐明细!$C$4:$C$1203,$Z691-4000)=0,"",INDEX(客户自备加工筐明细!$C$4:$C$1203,$Z691-4000)),IF($Z691&lt;=5800,IF(INDEX(次果筐明细!$D$4:$D$603,$Z691-5200)=0,"",INDEX(次果筐明细!$D$4:$D$603,$Z691-5200)),"")))))</f>
        <v/>
      </c>
      <c r="G691" s="24" t="str">
        <f>IF($Z691="","",IF($Z691&lt;=2000,IF(INDEX(包装物料出入库明细!$F$4:$F$2003,$Z691-0)=0,"",INDEX(包装物料出入库明细!$F$4:$F$2003,$Z691-0)),IF($Z691&lt;=4000,"",IF($Z691&lt;=5200,"",IF($Z691&lt;=5800,"","")))))</f>
        <v/>
      </c>
      <c r="H691" s="39" t="str">
        <f>IF($Z691="","",IF($Z691&lt;=2000,IF(INDEX(包装物料出入库明细!$L$4:$L$2003,$Z691-0)=0,"",INDEX(包装物料出入库明细!$L$4:$L$2003,$Z691-0)),IF($Z691&lt;=4000,N(INDEX(周转筐出入库明细!$H$4:$H$2004,$Z691-2000))+N(INDEX(周转筐出入库明细!$I$4:$I$2004,$Z691-2000))+N(INDEX(周转筐出入库明细!$J$4:$J$2004,$Z691-2000))+N(INDEX(周转筐出入库明细!$K$4:$K$2004,$Z691-2000)),IF($Z691&lt;=5200,N(INDEX(客户自备加工筐明细!$F$4:$F$1203,$Z691-4000))+N(INDEX(客户自备加工筐明细!$G$4:$G$1203,$Z691-4000)),IF($Z691&lt;=5800,IF(INDEX(次果筐明细!$G$4:$G$603,$Z691-5200)=0,"",INDEX(次果筐明细!$G$4:$G$603,$Z691-5200)),"")))))</f>
        <v/>
      </c>
      <c r="I691" s="24" t="str">
        <f>IF($Z691="","",IF($Z691&lt;=2000,IF(INDEX(包装物料出入库明细!$G$4:$G$2003,$Z691-0)=0,"",INDEX(包装物料出入库明细!$G$4:$G$2003,$Z691-0)),IF($Z691&lt;=4000,"个",IF($Z691&lt;=5200,"个",IF($Z691&lt;=5800,"个","")))))</f>
        <v/>
      </c>
      <c r="J691" s="30" t="str">
        <f t="shared" si="31"/>
        <v/>
      </c>
      <c r="K691" s="30" t="str">
        <f>IF($Z691="","",IF($Z691&lt;=2000,IF(INDEX(包装物料出入库明细!$N$4:$N$2003,$Z691-0)=0,"",INDEX(包装物料出入库明细!$N$4:$N$2003,$Z691-0)),IF($Z691&lt;=4000,IF(INDEX(周转筐出入库明细!$P$4:$P$2004,$Z691-2000)=0,"",INDEX(周转筐出入库明细!$P$4:$P$2004,$Z691-2000)),IF($Z691&lt;=5200,"",IF($Z691&lt;=5800,N(INDEX(次果筐明细!$L$4:$L$603,$Z691-5200))+N(INDEX(次果筐明细!$J$4:$J$603,$Z691-5200)),"")))))</f>
        <v/>
      </c>
      <c r="L691" s="24" t="str">
        <f>IF($Z691="","",IF($Z691&lt;=2000,IF(INDEX(包装物料出入库明细!$P$4:$P$2003,$Z691-0)=0,"",INDEX(包装物料出入库明细!$P$4:$P$2003,$Z691-0)),IF($Z691&lt;=4000,IF(INDEX(周转筐出入库明细!$Q$4:$Q$2004,$Z691-2000)=0,"",INDEX(周转筐出入库明细!$Q$4:$Q$2004,$Z691-2000)),IF($Z691&lt;=5200,"",IF($Z691&lt;=5800,IF(INDEX(次果筐明细!$M$4:$M$603,$Z691-5200)=0,"",INDEX(次果筐明细!$M$4:$M$603,$Z691-5200)),"")))))</f>
        <v/>
      </c>
      <c r="M691" s="37" t="str">
        <f>IF($Z691="","",IF($Z691&lt;=2000,IF(INDEX(包装物料出入库明细!$R$4:$R$2003,$Z691-0)=0,"",INDEX(包装物料出入库明细!$R$4:$R$2003,$Z691-0)),IF($Z691&lt;=4000,IF(INDEX(周转筐出入库明细!$W$4:$W$2004,$Z691-2000)=0,"",INDEX(周转筐出入库明细!$W$4:$W$2004,$Z691-2000)),IF($Z691&lt;=5200,IF(INDEX(客户自备加工筐明细!$L$4:$L$1203,$Z691-4000)=0,"",INDEX(客户自备加工筐明细!$L$4:$L$1203,$Z691-4000)),IF($Z691&lt;=5800,IF(INDEX(次果筐明细!$P$4:$P$603,$Z691-5200)=0,"",INDEX(次果筐明细!$P$4:$P$603,$Z691-5200)),"")))))</f>
        <v/>
      </c>
      <c r="N691" s="16" t="str">
        <f>IF($Z691="","",IF($Z691&lt;=2000,"",IF($Z691&lt;=4000,IF(INDEX(周转筐出入库明细!$D$4:$D$2004,$Z691-2000)=0,"",INDEX(周转筐出入库明细!$D$4:$D$2004,$Z691-2000)),IF($Z691&lt;=5200,IF(INDEX(客户自备加工筐明细!$C$4:$C$1203,$Z691-4000)=0,"",INDEX(客户自备加工筐明细!$C$4:$C$1203,$Z691-4000)),IF($Z691&lt;=5800,IF(INDEX(次果筐明细!$D$4:$D$603,$Z691-5200)=0,"",INDEX(次果筐明细!$D$4:$D$603,$Z691-5200)),"")))))</f>
        <v/>
      </c>
      <c r="O691" s="40" t="str">
        <f>IF($Z691="","",IF($Z691&lt;=2000,"",IF($Z691&lt;=4000,IF(N(INDEX(周转筐出入库明细!$J$4:$J$2004,$Z691-2000))+N(INDEX(周转筐出入库明细!$K$4:$K$2004,$Z691-2000))=0,"",N(INDEX(周转筐出入库明细!$J$4:$J$2004,$Z691-2000))+N(INDEX(周转筐出入库明细!$K$4:$K$2004,$Z691-2000))),IF($Z691&lt;=5200,IF(N(INDEX(客户自备加工筐明细!$G$4:$G$1203,$Z691-4000))=0,"",N(INDEX(客户自备加工筐明细!$G$4:$G$1203,$Z691-4000))),IF($Z691&lt;=5800,IF(ISNUMBER(SEARCH("退",INDEX(次果筐明细!$F$4:$F$603,$Z691-5200)&amp;"")),"",IF(N(INDEX(次果筐明细!$G$4:$G$603,$Z691-5200))=0,"",N(INDEX(次果筐明细!$G$4:$G$603,$Z691-5200)))),"")))))</f>
        <v/>
      </c>
      <c r="P691" s="40" t="str">
        <f>IF($Z691="","",IF($Z691&lt;=2000,"",IF($Z691&lt;=4000,IF(N(INDEX(周转筐出入库明细!$I$4:$I$2004,$Z691-2000))=0,"",N(INDEX(周转筐出入库明细!$I$4:$I$2004,$Z691-2000))),IF($Z691&lt;=5200,"",IF($Z691&lt;=5800,IF(ISNUMBER(SEARCH("退",INDEX(次果筐明细!$F$4:$F$603,$Z691-5200)&amp;"")),IF(N(INDEX(次果筐明细!$G$4:$G$603,$Z691-5200))=0,"",N(INDEX(次果筐明细!$G$4:$G$603,$Z691-5200))),""),"")))))</f>
        <v/>
      </c>
      <c r="Q691" s="40" t="str">
        <f>IF($Z691="","",IF($Z691&lt;=2000,"",IF($Z691&lt;=4000,IF(N(INDEX(周转筐出入库明细!$H$4:$H$2004,$Z691-2000))=0,"",N(INDEX(周转筐出入库明细!$H$4:$H$2004,$Z691-2000))),IF($Z691&lt;=5200,IF(N(INDEX(客户自备加工筐明细!$F$4:$F$1203,$Z691-4000))=0,"",N(INDEX(客户自备加工筐明细!$F$4:$F$1203,$Z691-4000))),IF($Z691&lt;=5800,"","")))))</f>
        <v/>
      </c>
      <c r="R691" s="16" t="str">
        <f>IF($Z691="","",IF($Z691&lt;=2000,IF(INDEX(包装物料出入库明细!$O$4:$O$2003,$Z691-0)=0,"",INDEX(包装物料出入库明细!$O$4:$O$2003,$Z691-0)),IF($Z691&lt;=4000,IF(INDEX(周转筐出入库明细!$M$4:$M$2004,$Z691-2000)=0,"",INDEX(周转筐出入库明细!$M$4:$M$2004,$Z691-2000)),IF($Z691&lt;=5200,IF(INDEX(客户自备加工筐明细!$H$4:$H$1203,$Z691-4000)=0,"",INDEX(客户自备加工筐明细!$H$4:$H$1203,$Z691-4000)),IF($Z691&lt;=5800,IF(INDEX(次果筐明细!$H$4:$H$603,$Z691-5200)=0,"",INDEX(次果筐明细!$H$4:$H$603,$Z691-5200)),"")))))</f>
        <v/>
      </c>
      <c r="S691" s="22" t="str">
        <f t="shared" si="32"/>
        <v/>
      </c>
      <c r="Z691" s="10" t="str">
        <f>IFERROR(MATCH(ROW()-3,_自动清单!$CQ$4:$CQ$5803,0),"")</f>
        <v/>
      </c>
    </row>
    <row r="692" spans="1:26">
      <c r="A692" s="24" t="str">
        <f t="shared" si="30"/>
        <v/>
      </c>
      <c r="B692" s="38" t="str">
        <f>IF($Z692="","",IF($Z692&lt;=2000,IF(INDEX(包装物料出入库明细!$B$4:$B$2003,$Z692-0)=0,"",INDEX(包装物料出入库明细!$B$4:$B$2003,$Z692-0)),IF($Z692&lt;=4000,IF(INDEX(周转筐出入库明细!$B$4:$B$2004,$Z692-2000)=0,"",INDEX(周转筐出入库明细!$B$4:$B$2004,$Z692-2000)),IF($Z692&lt;=5200,IF(INDEX(客户自备加工筐明细!$B$4:$B$1203,$Z692-4000)=0,"",INDEX(客户自备加工筐明细!$B$4:$B$1203,$Z692-4000)),IF($Z692&lt;=5800,IF(INDEX(次果筐明细!$B$4:$B$603,$Z692-5200)=0,"",INDEX(次果筐明细!$B$4:$B$603,$Z692-5200)),"")))))</f>
        <v/>
      </c>
      <c r="C692" s="37" t="str">
        <f>IF($Z692="","",IF($Z692&lt;=2000,IF(INDEX(包装物料出入库明细!$D$4:$D$2003,$Z692-0)=0,"",INDEX(包装物料出入库明细!$D$4:$D$2003,$Z692-0)),IF($Z692&lt;=4000,IF(INDEX(周转筐出入库明细!$C$4:$C$2004,$Z692-2000)=0,"",INDEX(周转筐出入库明细!$C$4:$C$2004,$Z692-2000)),IF($Z692&lt;=5200,IF(INDEX(客户自备加工筐明细!$E$4:$E$1203,$Z692-4000)=0,"",INDEX(客户自备加工筐明细!$E$4:$E$1203,$Z692-4000)),IF($Z692&lt;=5800,IF(INDEX(次果筐明细!$C$4:$C$603,$Z692-5200)=0,"",INDEX(次果筐明细!$C$4:$C$603,$Z692-5200)),"")))))</f>
        <v/>
      </c>
      <c r="D692" s="37" t="str">
        <f>IF($Z692="","",IF($Z692&lt;=2000,"包装物料－"&amp;INDEX(包装物料出入库明细!$H$4:$H$2003,$Z692-0),IF($Z692&lt;=4000,"周转筐－"&amp;INDEX(周转筐出入库明细!$F$4:$F$2004,$Z692-2000),IF($Z692&lt;=5200,"客户自备筐－"&amp;INDEX(客户自备加工筐明细!$J$4:$J$1203,$Z692-4000),IF($Z692&lt;=5800,"次果筐/托盘－"&amp;INDEX(次果筐明细!$F$4:$F$603,$Z692-5200),"")))))</f>
        <v/>
      </c>
      <c r="E692" s="24" t="str">
        <f>IF($Z692="","",IF($Z692&lt;=2000,IF(INDEX(包装物料出入库明细!$C$4:$C$2003,$Z692-0)=0,"",INDEX(包装物料出入库明细!$C$4:$C$2003,$Z692-0)),IF($Z692&lt;=4000,IF(INDEX(周转筐出入库明细!$E$4:$E$2004,$Z692-2000)=0,"",INDEX(周转筐出入库明细!$E$4:$E$2004,$Z692-2000)),IF($Z692&lt;=5200,IF(INDEX(客户自备加工筐明细!$D$4:$D$1203,$Z692-4000)=0,"",INDEX(客户自备加工筐明细!$D$4:$D$1203,$Z692-4000)),IF($Z692&lt;=5800,IF(INDEX(次果筐明细!$E$4:$E$603,$Z692-5200)=0,"",INDEX(次果筐明细!$E$4:$E$603,$Z692-5200)),"")))))</f>
        <v/>
      </c>
      <c r="F692" s="24" t="str">
        <f>IF($Z692="","",IF($Z692&lt;=2000,IF(INDEX(包装物料出入库明细!$E$4:$E$2003,$Z692-0)=0,"",INDEX(包装物料出入库明细!$E$4:$E$2003,$Z692-0)),IF($Z692&lt;=4000,IF(INDEX(周转筐出入库明细!$D$4:$D$2004,$Z692-2000)=0,"",INDEX(周转筐出入库明细!$D$4:$D$2004,$Z692-2000)),IF($Z692&lt;=5200,IF(INDEX(客户自备加工筐明细!$C$4:$C$1203,$Z692-4000)=0,"",INDEX(客户自备加工筐明细!$C$4:$C$1203,$Z692-4000)),IF($Z692&lt;=5800,IF(INDEX(次果筐明细!$D$4:$D$603,$Z692-5200)=0,"",INDEX(次果筐明细!$D$4:$D$603,$Z692-5200)),"")))))</f>
        <v/>
      </c>
      <c r="G692" s="24" t="str">
        <f>IF($Z692="","",IF($Z692&lt;=2000,IF(INDEX(包装物料出入库明细!$F$4:$F$2003,$Z692-0)=0,"",INDEX(包装物料出入库明细!$F$4:$F$2003,$Z692-0)),IF($Z692&lt;=4000,"",IF($Z692&lt;=5200,"",IF($Z692&lt;=5800,"","")))))</f>
        <v/>
      </c>
      <c r="H692" s="39" t="str">
        <f>IF($Z692="","",IF($Z692&lt;=2000,IF(INDEX(包装物料出入库明细!$L$4:$L$2003,$Z692-0)=0,"",INDEX(包装物料出入库明细!$L$4:$L$2003,$Z692-0)),IF($Z692&lt;=4000,N(INDEX(周转筐出入库明细!$H$4:$H$2004,$Z692-2000))+N(INDEX(周转筐出入库明细!$I$4:$I$2004,$Z692-2000))+N(INDEX(周转筐出入库明细!$J$4:$J$2004,$Z692-2000))+N(INDEX(周转筐出入库明细!$K$4:$K$2004,$Z692-2000)),IF($Z692&lt;=5200,N(INDEX(客户自备加工筐明细!$F$4:$F$1203,$Z692-4000))+N(INDEX(客户自备加工筐明细!$G$4:$G$1203,$Z692-4000)),IF($Z692&lt;=5800,IF(INDEX(次果筐明细!$G$4:$G$603,$Z692-5200)=0,"",INDEX(次果筐明细!$G$4:$G$603,$Z692-5200)),"")))))</f>
        <v/>
      </c>
      <c r="I692" s="24" t="str">
        <f>IF($Z692="","",IF($Z692&lt;=2000,IF(INDEX(包装物料出入库明细!$G$4:$G$2003,$Z692-0)=0,"",INDEX(包装物料出入库明细!$G$4:$G$2003,$Z692-0)),IF($Z692&lt;=4000,"个",IF($Z692&lt;=5200,"个",IF($Z692&lt;=5800,"个","")))))</f>
        <v/>
      </c>
      <c r="J692" s="30" t="str">
        <f t="shared" si="31"/>
        <v/>
      </c>
      <c r="K692" s="30" t="str">
        <f>IF($Z692="","",IF($Z692&lt;=2000,IF(INDEX(包装物料出入库明细!$N$4:$N$2003,$Z692-0)=0,"",INDEX(包装物料出入库明细!$N$4:$N$2003,$Z692-0)),IF($Z692&lt;=4000,IF(INDEX(周转筐出入库明细!$P$4:$P$2004,$Z692-2000)=0,"",INDEX(周转筐出入库明细!$P$4:$P$2004,$Z692-2000)),IF($Z692&lt;=5200,"",IF($Z692&lt;=5800,N(INDEX(次果筐明细!$L$4:$L$603,$Z692-5200))+N(INDEX(次果筐明细!$J$4:$J$603,$Z692-5200)),"")))))</f>
        <v/>
      </c>
      <c r="L692" s="24" t="str">
        <f>IF($Z692="","",IF($Z692&lt;=2000,IF(INDEX(包装物料出入库明细!$P$4:$P$2003,$Z692-0)=0,"",INDEX(包装物料出入库明细!$P$4:$P$2003,$Z692-0)),IF($Z692&lt;=4000,IF(INDEX(周转筐出入库明细!$Q$4:$Q$2004,$Z692-2000)=0,"",INDEX(周转筐出入库明细!$Q$4:$Q$2004,$Z692-2000)),IF($Z692&lt;=5200,"",IF($Z692&lt;=5800,IF(INDEX(次果筐明细!$M$4:$M$603,$Z692-5200)=0,"",INDEX(次果筐明细!$M$4:$M$603,$Z692-5200)),"")))))</f>
        <v/>
      </c>
      <c r="M692" s="37" t="str">
        <f>IF($Z692="","",IF($Z692&lt;=2000,IF(INDEX(包装物料出入库明细!$R$4:$R$2003,$Z692-0)=0,"",INDEX(包装物料出入库明细!$R$4:$R$2003,$Z692-0)),IF($Z692&lt;=4000,IF(INDEX(周转筐出入库明细!$W$4:$W$2004,$Z692-2000)=0,"",INDEX(周转筐出入库明细!$W$4:$W$2004,$Z692-2000)),IF($Z692&lt;=5200,IF(INDEX(客户自备加工筐明细!$L$4:$L$1203,$Z692-4000)=0,"",INDEX(客户自备加工筐明细!$L$4:$L$1203,$Z692-4000)),IF($Z692&lt;=5800,IF(INDEX(次果筐明细!$P$4:$P$603,$Z692-5200)=0,"",INDEX(次果筐明细!$P$4:$P$603,$Z692-5200)),"")))))</f>
        <v/>
      </c>
      <c r="N692" s="16" t="str">
        <f>IF($Z692="","",IF($Z692&lt;=2000,"",IF($Z692&lt;=4000,IF(INDEX(周转筐出入库明细!$D$4:$D$2004,$Z692-2000)=0,"",INDEX(周转筐出入库明细!$D$4:$D$2004,$Z692-2000)),IF($Z692&lt;=5200,IF(INDEX(客户自备加工筐明细!$C$4:$C$1203,$Z692-4000)=0,"",INDEX(客户自备加工筐明细!$C$4:$C$1203,$Z692-4000)),IF($Z692&lt;=5800,IF(INDEX(次果筐明细!$D$4:$D$603,$Z692-5200)=0,"",INDEX(次果筐明细!$D$4:$D$603,$Z692-5200)),"")))))</f>
        <v/>
      </c>
      <c r="O692" s="40" t="str">
        <f>IF($Z692="","",IF($Z692&lt;=2000,"",IF($Z692&lt;=4000,IF(N(INDEX(周转筐出入库明细!$J$4:$J$2004,$Z692-2000))+N(INDEX(周转筐出入库明细!$K$4:$K$2004,$Z692-2000))=0,"",N(INDEX(周转筐出入库明细!$J$4:$J$2004,$Z692-2000))+N(INDEX(周转筐出入库明细!$K$4:$K$2004,$Z692-2000))),IF($Z692&lt;=5200,IF(N(INDEX(客户自备加工筐明细!$G$4:$G$1203,$Z692-4000))=0,"",N(INDEX(客户自备加工筐明细!$G$4:$G$1203,$Z692-4000))),IF($Z692&lt;=5800,IF(ISNUMBER(SEARCH("退",INDEX(次果筐明细!$F$4:$F$603,$Z692-5200)&amp;"")),"",IF(N(INDEX(次果筐明细!$G$4:$G$603,$Z692-5200))=0,"",N(INDEX(次果筐明细!$G$4:$G$603,$Z692-5200)))),"")))))</f>
        <v/>
      </c>
      <c r="P692" s="40" t="str">
        <f>IF($Z692="","",IF($Z692&lt;=2000,"",IF($Z692&lt;=4000,IF(N(INDEX(周转筐出入库明细!$I$4:$I$2004,$Z692-2000))=0,"",N(INDEX(周转筐出入库明细!$I$4:$I$2004,$Z692-2000))),IF($Z692&lt;=5200,"",IF($Z692&lt;=5800,IF(ISNUMBER(SEARCH("退",INDEX(次果筐明细!$F$4:$F$603,$Z692-5200)&amp;"")),IF(N(INDEX(次果筐明细!$G$4:$G$603,$Z692-5200))=0,"",N(INDEX(次果筐明细!$G$4:$G$603,$Z692-5200))),""),"")))))</f>
        <v/>
      </c>
      <c r="Q692" s="40" t="str">
        <f>IF($Z692="","",IF($Z692&lt;=2000,"",IF($Z692&lt;=4000,IF(N(INDEX(周转筐出入库明细!$H$4:$H$2004,$Z692-2000))=0,"",N(INDEX(周转筐出入库明细!$H$4:$H$2004,$Z692-2000))),IF($Z692&lt;=5200,IF(N(INDEX(客户自备加工筐明细!$F$4:$F$1203,$Z692-4000))=0,"",N(INDEX(客户自备加工筐明细!$F$4:$F$1203,$Z692-4000))),IF($Z692&lt;=5800,"","")))))</f>
        <v/>
      </c>
      <c r="R692" s="16" t="str">
        <f>IF($Z692="","",IF($Z692&lt;=2000,IF(INDEX(包装物料出入库明细!$O$4:$O$2003,$Z692-0)=0,"",INDEX(包装物料出入库明细!$O$4:$O$2003,$Z692-0)),IF($Z692&lt;=4000,IF(INDEX(周转筐出入库明细!$M$4:$M$2004,$Z692-2000)=0,"",INDEX(周转筐出入库明细!$M$4:$M$2004,$Z692-2000)),IF($Z692&lt;=5200,IF(INDEX(客户自备加工筐明细!$H$4:$H$1203,$Z692-4000)=0,"",INDEX(客户自备加工筐明细!$H$4:$H$1203,$Z692-4000)),IF($Z692&lt;=5800,IF(INDEX(次果筐明细!$H$4:$H$603,$Z692-5200)=0,"",INDEX(次果筐明细!$H$4:$H$603,$Z692-5200)),"")))))</f>
        <v/>
      </c>
      <c r="S692" s="22" t="str">
        <f t="shared" si="32"/>
        <v/>
      </c>
      <c r="Z692" s="10" t="str">
        <f>IFERROR(MATCH(ROW()-3,_自动清单!$CQ$4:$CQ$5803,0),"")</f>
        <v/>
      </c>
    </row>
    <row r="693" spans="1:26">
      <c r="A693" s="24" t="str">
        <f t="shared" si="30"/>
        <v/>
      </c>
      <c r="B693" s="38" t="str">
        <f>IF($Z693="","",IF($Z693&lt;=2000,IF(INDEX(包装物料出入库明细!$B$4:$B$2003,$Z693-0)=0,"",INDEX(包装物料出入库明细!$B$4:$B$2003,$Z693-0)),IF($Z693&lt;=4000,IF(INDEX(周转筐出入库明细!$B$4:$B$2004,$Z693-2000)=0,"",INDEX(周转筐出入库明细!$B$4:$B$2004,$Z693-2000)),IF($Z693&lt;=5200,IF(INDEX(客户自备加工筐明细!$B$4:$B$1203,$Z693-4000)=0,"",INDEX(客户自备加工筐明细!$B$4:$B$1203,$Z693-4000)),IF($Z693&lt;=5800,IF(INDEX(次果筐明细!$B$4:$B$603,$Z693-5200)=0,"",INDEX(次果筐明细!$B$4:$B$603,$Z693-5200)),"")))))</f>
        <v/>
      </c>
      <c r="C693" s="37" t="str">
        <f>IF($Z693="","",IF($Z693&lt;=2000,IF(INDEX(包装物料出入库明细!$D$4:$D$2003,$Z693-0)=0,"",INDEX(包装物料出入库明细!$D$4:$D$2003,$Z693-0)),IF($Z693&lt;=4000,IF(INDEX(周转筐出入库明细!$C$4:$C$2004,$Z693-2000)=0,"",INDEX(周转筐出入库明细!$C$4:$C$2004,$Z693-2000)),IF($Z693&lt;=5200,IF(INDEX(客户自备加工筐明细!$E$4:$E$1203,$Z693-4000)=0,"",INDEX(客户自备加工筐明细!$E$4:$E$1203,$Z693-4000)),IF($Z693&lt;=5800,IF(INDEX(次果筐明细!$C$4:$C$603,$Z693-5200)=0,"",INDEX(次果筐明细!$C$4:$C$603,$Z693-5200)),"")))))</f>
        <v/>
      </c>
      <c r="D693" s="37" t="str">
        <f>IF($Z693="","",IF($Z693&lt;=2000,"包装物料－"&amp;INDEX(包装物料出入库明细!$H$4:$H$2003,$Z693-0),IF($Z693&lt;=4000,"周转筐－"&amp;INDEX(周转筐出入库明细!$F$4:$F$2004,$Z693-2000),IF($Z693&lt;=5200,"客户自备筐－"&amp;INDEX(客户自备加工筐明细!$J$4:$J$1203,$Z693-4000),IF($Z693&lt;=5800,"次果筐/托盘－"&amp;INDEX(次果筐明细!$F$4:$F$603,$Z693-5200),"")))))</f>
        <v/>
      </c>
      <c r="E693" s="24" t="str">
        <f>IF($Z693="","",IF($Z693&lt;=2000,IF(INDEX(包装物料出入库明细!$C$4:$C$2003,$Z693-0)=0,"",INDEX(包装物料出入库明细!$C$4:$C$2003,$Z693-0)),IF($Z693&lt;=4000,IF(INDEX(周转筐出入库明细!$E$4:$E$2004,$Z693-2000)=0,"",INDEX(周转筐出入库明细!$E$4:$E$2004,$Z693-2000)),IF($Z693&lt;=5200,IF(INDEX(客户自备加工筐明细!$D$4:$D$1203,$Z693-4000)=0,"",INDEX(客户自备加工筐明细!$D$4:$D$1203,$Z693-4000)),IF($Z693&lt;=5800,IF(INDEX(次果筐明细!$E$4:$E$603,$Z693-5200)=0,"",INDEX(次果筐明细!$E$4:$E$603,$Z693-5200)),"")))))</f>
        <v/>
      </c>
      <c r="F693" s="24" t="str">
        <f>IF($Z693="","",IF($Z693&lt;=2000,IF(INDEX(包装物料出入库明细!$E$4:$E$2003,$Z693-0)=0,"",INDEX(包装物料出入库明细!$E$4:$E$2003,$Z693-0)),IF($Z693&lt;=4000,IF(INDEX(周转筐出入库明细!$D$4:$D$2004,$Z693-2000)=0,"",INDEX(周转筐出入库明细!$D$4:$D$2004,$Z693-2000)),IF($Z693&lt;=5200,IF(INDEX(客户自备加工筐明细!$C$4:$C$1203,$Z693-4000)=0,"",INDEX(客户自备加工筐明细!$C$4:$C$1203,$Z693-4000)),IF($Z693&lt;=5800,IF(INDEX(次果筐明细!$D$4:$D$603,$Z693-5200)=0,"",INDEX(次果筐明细!$D$4:$D$603,$Z693-5200)),"")))))</f>
        <v/>
      </c>
      <c r="G693" s="24" t="str">
        <f>IF($Z693="","",IF($Z693&lt;=2000,IF(INDEX(包装物料出入库明细!$F$4:$F$2003,$Z693-0)=0,"",INDEX(包装物料出入库明细!$F$4:$F$2003,$Z693-0)),IF($Z693&lt;=4000,"",IF($Z693&lt;=5200,"",IF($Z693&lt;=5800,"","")))))</f>
        <v/>
      </c>
      <c r="H693" s="39" t="str">
        <f>IF($Z693="","",IF($Z693&lt;=2000,IF(INDEX(包装物料出入库明细!$L$4:$L$2003,$Z693-0)=0,"",INDEX(包装物料出入库明细!$L$4:$L$2003,$Z693-0)),IF($Z693&lt;=4000,N(INDEX(周转筐出入库明细!$H$4:$H$2004,$Z693-2000))+N(INDEX(周转筐出入库明细!$I$4:$I$2004,$Z693-2000))+N(INDEX(周转筐出入库明细!$J$4:$J$2004,$Z693-2000))+N(INDEX(周转筐出入库明细!$K$4:$K$2004,$Z693-2000)),IF($Z693&lt;=5200,N(INDEX(客户自备加工筐明细!$F$4:$F$1203,$Z693-4000))+N(INDEX(客户自备加工筐明细!$G$4:$G$1203,$Z693-4000)),IF($Z693&lt;=5800,IF(INDEX(次果筐明细!$G$4:$G$603,$Z693-5200)=0,"",INDEX(次果筐明细!$G$4:$G$603,$Z693-5200)),"")))))</f>
        <v/>
      </c>
      <c r="I693" s="24" t="str">
        <f>IF($Z693="","",IF($Z693&lt;=2000,IF(INDEX(包装物料出入库明细!$G$4:$G$2003,$Z693-0)=0,"",INDEX(包装物料出入库明细!$G$4:$G$2003,$Z693-0)),IF($Z693&lt;=4000,"个",IF($Z693&lt;=5200,"个",IF($Z693&lt;=5800,"个","")))))</f>
        <v/>
      </c>
      <c r="J693" s="30" t="str">
        <f t="shared" si="31"/>
        <v/>
      </c>
      <c r="K693" s="30" t="str">
        <f>IF($Z693="","",IF($Z693&lt;=2000,IF(INDEX(包装物料出入库明细!$N$4:$N$2003,$Z693-0)=0,"",INDEX(包装物料出入库明细!$N$4:$N$2003,$Z693-0)),IF($Z693&lt;=4000,IF(INDEX(周转筐出入库明细!$P$4:$P$2004,$Z693-2000)=0,"",INDEX(周转筐出入库明细!$P$4:$P$2004,$Z693-2000)),IF($Z693&lt;=5200,"",IF($Z693&lt;=5800,N(INDEX(次果筐明细!$L$4:$L$603,$Z693-5200))+N(INDEX(次果筐明细!$J$4:$J$603,$Z693-5200)),"")))))</f>
        <v/>
      </c>
      <c r="L693" s="24" t="str">
        <f>IF($Z693="","",IF($Z693&lt;=2000,IF(INDEX(包装物料出入库明细!$P$4:$P$2003,$Z693-0)=0,"",INDEX(包装物料出入库明细!$P$4:$P$2003,$Z693-0)),IF($Z693&lt;=4000,IF(INDEX(周转筐出入库明细!$Q$4:$Q$2004,$Z693-2000)=0,"",INDEX(周转筐出入库明细!$Q$4:$Q$2004,$Z693-2000)),IF($Z693&lt;=5200,"",IF($Z693&lt;=5800,IF(INDEX(次果筐明细!$M$4:$M$603,$Z693-5200)=0,"",INDEX(次果筐明细!$M$4:$M$603,$Z693-5200)),"")))))</f>
        <v/>
      </c>
      <c r="M693" s="37" t="str">
        <f>IF($Z693="","",IF($Z693&lt;=2000,IF(INDEX(包装物料出入库明细!$R$4:$R$2003,$Z693-0)=0,"",INDEX(包装物料出入库明细!$R$4:$R$2003,$Z693-0)),IF($Z693&lt;=4000,IF(INDEX(周转筐出入库明细!$W$4:$W$2004,$Z693-2000)=0,"",INDEX(周转筐出入库明细!$W$4:$W$2004,$Z693-2000)),IF($Z693&lt;=5200,IF(INDEX(客户自备加工筐明细!$L$4:$L$1203,$Z693-4000)=0,"",INDEX(客户自备加工筐明细!$L$4:$L$1203,$Z693-4000)),IF($Z693&lt;=5800,IF(INDEX(次果筐明细!$P$4:$P$603,$Z693-5200)=0,"",INDEX(次果筐明细!$P$4:$P$603,$Z693-5200)),"")))))</f>
        <v/>
      </c>
      <c r="N693" s="16" t="str">
        <f>IF($Z693="","",IF($Z693&lt;=2000,"",IF($Z693&lt;=4000,IF(INDEX(周转筐出入库明细!$D$4:$D$2004,$Z693-2000)=0,"",INDEX(周转筐出入库明细!$D$4:$D$2004,$Z693-2000)),IF($Z693&lt;=5200,IF(INDEX(客户自备加工筐明细!$C$4:$C$1203,$Z693-4000)=0,"",INDEX(客户自备加工筐明细!$C$4:$C$1203,$Z693-4000)),IF($Z693&lt;=5800,IF(INDEX(次果筐明细!$D$4:$D$603,$Z693-5200)=0,"",INDEX(次果筐明细!$D$4:$D$603,$Z693-5200)),"")))))</f>
        <v/>
      </c>
      <c r="O693" s="40" t="str">
        <f>IF($Z693="","",IF($Z693&lt;=2000,"",IF($Z693&lt;=4000,IF(N(INDEX(周转筐出入库明细!$J$4:$J$2004,$Z693-2000))+N(INDEX(周转筐出入库明细!$K$4:$K$2004,$Z693-2000))=0,"",N(INDEX(周转筐出入库明细!$J$4:$J$2004,$Z693-2000))+N(INDEX(周转筐出入库明细!$K$4:$K$2004,$Z693-2000))),IF($Z693&lt;=5200,IF(N(INDEX(客户自备加工筐明细!$G$4:$G$1203,$Z693-4000))=0,"",N(INDEX(客户自备加工筐明细!$G$4:$G$1203,$Z693-4000))),IF($Z693&lt;=5800,IF(ISNUMBER(SEARCH("退",INDEX(次果筐明细!$F$4:$F$603,$Z693-5200)&amp;"")),"",IF(N(INDEX(次果筐明细!$G$4:$G$603,$Z693-5200))=0,"",N(INDEX(次果筐明细!$G$4:$G$603,$Z693-5200)))),"")))))</f>
        <v/>
      </c>
      <c r="P693" s="40" t="str">
        <f>IF($Z693="","",IF($Z693&lt;=2000,"",IF($Z693&lt;=4000,IF(N(INDEX(周转筐出入库明细!$I$4:$I$2004,$Z693-2000))=0,"",N(INDEX(周转筐出入库明细!$I$4:$I$2004,$Z693-2000))),IF($Z693&lt;=5200,"",IF($Z693&lt;=5800,IF(ISNUMBER(SEARCH("退",INDEX(次果筐明细!$F$4:$F$603,$Z693-5200)&amp;"")),IF(N(INDEX(次果筐明细!$G$4:$G$603,$Z693-5200))=0,"",N(INDEX(次果筐明细!$G$4:$G$603,$Z693-5200))),""),"")))))</f>
        <v/>
      </c>
      <c r="Q693" s="40" t="str">
        <f>IF($Z693="","",IF($Z693&lt;=2000,"",IF($Z693&lt;=4000,IF(N(INDEX(周转筐出入库明细!$H$4:$H$2004,$Z693-2000))=0,"",N(INDEX(周转筐出入库明细!$H$4:$H$2004,$Z693-2000))),IF($Z693&lt;=5200,IF(N(INDEX(客户自备加工筐明细!$F$4:$F$1203,$Z693-4000))=0,"",N(INDEX(客户自备加工筐明细!$F$4:$F$1203,$Z693-4000))),IF($Z693&lt;=5800,"","")))))</f>
        <v/>
      </c>
      <c r="R693" s="16" t="str">
        <f>IF($Z693="","",IF($Z693&lt;=2000,IF(INDEX(包装物料出入库明细!$O$4:$O$2003,$Z693-0)=0,"",INDEX(包装物料出入库明细!$O$4:$O$2003,$Z693-0)),IF($Z693&lt;=4000,IF(INDEX(周转筐出入库明细!$M$4:$M$2004,$Z693-2000)=0,"",INDEX(周转筐出入库明细!$M$4:$M$2004,$Z693-2000)),IF($Z693&lt;=5200,IF(INDEX(客户自备加工筐明细!$H$4:$H$1203,$Z693-4000)=0,"",INDEX(客户自备加工筐明细!$H$4:$H$1203,$Z693-4000)),IF($Z693&lt;=5800,IF(INDEX(次果筐明细!$H$4:$H$603,$Z693-5200)=0,"",INDEX(次果筐明细!$H$4:$H$603,$Z693-5200)),"")))))</f>
        <v/>
      </c>
      <c r="S693" s="22" t="str">
        <f t="shared" si="32"/>
        <v/>
      </c>
      <c r="Z693" s="10" t="str">
        <f>IFERROR(MATCH(ROW()-3,_自动清单!$CQ$4:$CQ$5803,0),"")</f>
        <v/>
      </c>
    </row>
    <row r="694" spans="1:26">
      <c r="A694" s="24" t="str">
        <f t="shared" si="30"/>
        <v/>
      </c>
      <c r="B694" s="38" t="str">
        <f>IF($Z694="","",IF($Z694&lt;=2000,IF(INDEX(包装物料出入库明细!$B$4:$B$2003,$Z694-0)=0,"",INDEX(包装物料出入库明细!$B$4:$B$2003,$Z694-0)),IF($Z694&lt;=4000,IF(INDEX(周转筐出入库明细!$B$4:$B$2004,$Z694-2000)=0,"",INDEX(周转筐出入库明细!$B$4:$B$2004,$Z694-2000)),IF($Z694&lt;=5200,IF(INDEX(客户自备加工筐明细!$B$4:$B$1203,$Z694-4000)=0,"",INDEX(客户自备加工筐明细!$B$4:$B$1203,$Z694-4000)),IF($Z694&lt;=5800,IF(INDEX(次果筐明细!$B$4:$B$603,$Z694-5200)=0,"",INDEX(次果筐明细!$B$4:$B$603,$Z694-5200)),"")))))</f>
        <v/>
      </c>
      <c r="C694" s="37" t="str">
        <f>IF($Z694="","",IF($Z694&lt;=2000,IF(INDEX(包装物料出入库明细!$D$4:$D$2003,$Z694-0)=0,"",INDEX(包装物料出入库明细!$D$4:$D$2003,$Z694-0)),IF($Z694&lt;=4000,IF(INDEX(周转筐出入库明细!$C$4:$C$2004,$Z694-2000)=0,"",INDEX(周转筐出入库明细!$C$4:$C$2004,$Z694-2000)),IF($Z694&lt;=5200,IF(INDEX(客户自备加工筐明细!$E$4:$E$1203,$Z694-4000)=0,"",INDEX(客户自备加工筐明细!$E$4:$E$1203,$Z694-4000)),IF($Z694&lt;=5800,IF(INDEX(次果筐明细!$C$4:$C$603,$Z694-5200)=0,"",INDEX(次果筐明细!$C$4:$C$603,$Z694-5200)),"")))))</f>
        <v/>
      </c>
      <c r="D694" s="37" t="str">
        <f>IF($Z694="","",IF($Z694&lt;=2000,"包装物料－"&amp;INDEX(包装物料出入库明细!$H$4:$H$2003,$Z694-0),IF($Z694&lt;=4000,"周转筐－"&amp;INDEX(周转筐出入库明细!$F$4:$F$2004,$Z694-2000),IF($Z694&lt;=5200,"客户自备筐－"&amp;INDEX(客户自备加工筐明细!$J$4:$J$1203,$Z694-4000),IF($Z694&lt;=5800,"次果筐/托盘－"&amp;INDEX(次果筐明细!$F$4:$F$603,$Z694-5200),"")))))</f>
        <v/>
      </c>
      <c r="E694" s="24" t="str">
        <f>IF($Z694="","",IF($Z694&lt;=2000,IF(INDEX(包装物料出入库明细!$C$4:$C$2003,$Z694-0)=0,"",INDEX(包装物料出入库明细!$C$4:$C$2003,$Z694-0)),IF($Z694&lt;=4000,IF(INDEX(周转筐出入库明细!$E$4:$E$2004,$Z694-2000)=0,"",INDEX(周转筐出入库明细!$E$4:$E$2004,$Z694-2000)),IF($Z694&lt;=5200,IF(INDEX(客户自备加工筐明细!$D$4:$D$1203,$Z694-4000)=0,"",INDEX(客户自备加工筐明细!$D$4:$D$1203,$Z694-4000)),IF($Z694&lt;=5800,IF(INDEX(次果筐明细!$E$4:$E$603,$Z694-5200)=0,"",INDEX(次果筐明细!$E$4:$E$603,$Z694-5200)),"")))))</f>
        <v/>
      </c>
      <c r="F694" s="24" t="str">
        <f>IF($Z694="","",IF($Z694&lt;=2000,IF(INDEX(包装物料出入库明细!$E$4:$E$2003,$Z694-0)=0,"",INDEX(包装物料出入库明细!$E$4:$E$2003,$Z694-0)),IF($Z694&lt;=4000,IF(INDEX(周转筐出入库明细!$D$4:$D$2004,$Z694-2000)=0,"",INDEX(周转筐出入库明细!$D$4:$D$2004,$Z694-2000)),IF($Z694&lt;=5200,IF(INDEX(客户自备加工筐明细!$C$4:$C$1203,$Z694-4000)=0,"",INDEX(客户自备加工筐明细!$C$4:$C$1203,$Z694-4000)),IF($Z694&lt;=5800,IF(INDEX(次果筐明细!$D$4:$D$603,$Z694-5200)=0,"",INDEX(次果筐明细!$D$4:$D$603,$Z694-5200)),"")))))</f>
        <v/>
      </c>
      <c r="G694" s="24" t="str">
        <f>IF($Z694="","",IF($Z694&lt;=2000,IF(INDEX(包装物料出入库明细!$F$4:$F$2003,$Z694-0)=0,"",INDEX(包装物料出入库明细!$F$4:$F$2003,$Z694-0)),IF($Z694&lt;=4000,"",IF($Z694&lt;=5200,"",IF($Z694&lt;=5800,"","")))))</f>
        <v/>
      </c>
      <c r="H694" s="39" t="str">
        <f>IF($Z694="","",IF($Z694&lt;=2000,IF(INDEX(包装物料出入库明细!$L$4:$L$2003,$Z694-0)=0,"",INDEX(包装物料出入库明细!$L$4:$L$2003,$Z694-0)),IF($Z694&lt;=4000,N(INDEX(周转筐出入库明细!$H$4:$H$2004,$Z694-2000))+N(INDEX(周转筐出入库明细!$I$4:$I$2004,$Z694-2000))+N(INDEX(周转筐出入库明细!$J$4:$J$2004,$Z694-2000))+N(INDEX(周转筐出入库明细!$K$4:$K$2004,$Z694-2000)),IF($Z694&lt;=5200,N(INDEX(客户自备加工筐明细!$F$4:$F$1203,$Z694-4000))+N(INDEX(客户自备加工筐明细!$G$4:$G$1203,$Z694-4000)),IF($Z694&lt;=5800,IF(INDEX(次果筐明细!$G$4:$G$603,$Z694-5200)=0,"",INDEX(次果筐明细!$G$4:$G$603,$Z694-5200)),"")))))</f>
        <v/>
      </c>
      <c r="I694" s="24" t="str">
        <f>IF($Z694="","",IF($Z694&lt;=2000,IF(INDEX(包装物料出入库明细!$G$4:$G$2003,$Z694-0)=0,"",INDEX(包装物料出入库明细!$G$4:$G$2003,$Z694-0)),IF($Z694&lt;=4000,"个",IF($Z694&lt;=5200,"个",IF($Z694&lt;=5800,"个","")))))</f>
        <v/>
      </c>
      <c r="J694" s="30" t="str">
        <f t="shared" si="31"/>
        <v/>
      </c>
      <c r="K694" s="30" t="str">
        <f>IF($Z694="","",IF($Z694&lt;=2000,IF(INDEX(包装物料出入库明细!$N$4:$N$2003,$Z694-0)=0,"",INDEX(包装物料出入库明细!$N$4:$N$2003,$Z694-0)),IF($Z694&lt;=4000,IF(INDEX(周转筐出入库明细!$P$4:$P$2004,$Z694-2000)=0,"",INDEX(周转筐出入库明细!$P$4:$P$2004,$Z694-2000)),IF($Z694&lt;=5200,"",IF($Z694&lt;=5800,N(INDEX(次果筐明细!$L$4:$L$603,$Z694-5200))+N(INDEX(次果筐明细!$J$4:$J$603,$Z694-5200)),"")))))</f>
        <v/>
      </c>
      <c r="L694" s="24" t="str">
        <f>IF($Z694="","",IF($Z694&lt;=2000,IF(INDEX(包装物料出入库明细!$P$4:$P$2003,$Z694-0)=0,"",INDEX(包装物料出入库明细!$P$4:$P$2003,$Z694-0)),IF($Z694&lt;=4000,IF(INDEX(周转筐出入库明细!$Q$4:$Q$2004,$Z694-2000)=0,"",INDEX(周转筐出入库明细!$Q$4:$Q$2004,$Z694-2000)),IF($Z694&lt;=5200,"",IF($Z694&lt;=5800,IF(INDEX(次果筐明细!$M$4:$M$603,$Z694-5200)=0,"",INDEX(次果筐明细!$M$4:$M$603,$Z694-5200)),"")))))</f>
        <v/>
      </c>
      <c r="M694" s="37" t="str">
        <f>IF($Z694="","",IF($Z694&lt;=2000,IF(INDEX(包装物料出入库明细!$R$4:$R$2003,$Z694-0)=0,"",INDEX(包装物料出入库明细!$R$4:$R$2003,$Z694-0)),IF($Z694&lt;=4000,IF(INDEX(周转筐出入库明细!$W$4:$W$2004,$Z694-2000)=0,"",INDEX(周转筐出入库明细!$W$4:$W$2004,$Z694-2000)),IF($Z694&lt;=5200,IF(INDEX(客户自备加工筐明细!$L$4:$L$1203,$Z694-4000)=0,"",INDEX(客户自备加工筐明细!$L$4:$L$1203,$Z694-4000)),IF($Z694&lt;=5800,IF(INDEX(次果筐明细!$P$4:$P$603,$Z694-5200)=0,"",INDEX(次果筐明细!$P$4:$P$603,$Z694-5200)),"")))))</f>
        <v/>
      </c>
      <c r="N694" s="16" t="str">
        <f>IF($Z694="","",IF($Z694&lt;=2000,"",IF($Z694&lt;=4000,IF(INDEX(周转筐出入库明细!$D$4:$D$2004,$Z694-2000)=0,"",INDEX(周转筐出入库明细!$D$4:$D$2004,$Z694-2000)),IF($Z694&lt;=5200,IF(INDEX(客户自备加工筐明细!$C$4:$C$1203,$Z694-4000)=0,"",INDEX(客户自备加工筐明细!$C$4:$C$1203,$Z694-4000)),IF($Z694&lt;=5800,IF(INDEX(次果筐明细!$D$4:$D$603,$Z694-5200)=0,"",INDEX(次果筐明细!$D$4:$D$603,$Z694-5200)),"")))))</f>
        <v/>
      </c>
      <c r="O694" s="40" t="str">
        <f>IF($Z694="","",IF($Z694&lt;=2000,"",IF($Z694&lt;=4000,IF(N(INDEX(周转筐出入库明细!$J$4:$J$2004,$Z694-2000))+N(INDEX(周转筐出入库明细!$K$4:$K$2004,$Z694-2000))=0,"",N(INDEX(周转筐出入库明细!$J$4:$J$2004,$Z694-2000))+N(INDEX(周转筐出入库明细!$K$4:$K$2004,$Z694-2000))),IF($Z694&lt;=5200,IF(N(INDEX(客户自备加工筐明细!$G$4:$G$1203,$Z694-4000))=0,"",N(INDEX(客户自备加工筐明细!$G$4:$G$1203,$Z694-4000))),IF($Z694&lt;=5800,IF(ISNUMBER(SEARCH("退",INDEX(次果筐明细!$F$4:$F$603,$Z694-5200)&amp;"")),"",IF(N(INDEX(次果筐明细!$G$4:$G$603,$Z694-5200))=0,"",N(INDEX(次果筐明细!$G$4:$G$603,$Z694-5200)))),"")))))</f>
        <v/>
      </c>
      <c r="P694" s="40" t="str">
        <f>IF($Z694="","",IF($Z694&lt;=2000,"",IF($Z694&lt;=4000,IF(N(INDEX(周转筐出入库明细!$I$4:$I$2004,$Z694-2000))=0,"",N(INDEX(周转筐出入库明细!$I$4:$I$2004,$Z694-2000))),IF($Z694&lt;=5200,"",IF($Z694&lt;=5800,IF(ISNUMBER(SEARCH("退",INDEX(次果筐明细!$F$4:$F$603,$Z694-5200)&amp;"")),IF(N(INDEX(次果筐明细!$G$4:$G$603,$Z694-5200))=0,"",N(INDEX(次果筐明细!$G$4:$G$603,$Z694-5200))),""),"")))))</f>
        <v/>
      </c>
      <c r="Q694" s="40" t="str">
        <f>IF($Z694="","",IF($Z694&lt;=2000,"",IF($Z694&lt;=4000,IF(N(INDEX(周转筐出入库明细!$H$4:$H$2004,$Z694-2000))=0,"",N(INDEX(周转筐出入库明细!$H$4:$H$2004,$Z694-2000))),IF($Z694&lt;=5200,IF(N(INDEX(客户自备加工筐明细!$F$4:$F$1203,$Z694-4000))=0,"",N(INDEX(客户自备加工筐明细!$F$4:$F$1203,$Z694-4000))),IF($Z694&lt;=5800,"","")))))</f>
        <v/>
      </c>
      <c r="R694" s="16" t="str">
        <f>IF($Z694="","",IF($Z694&lt;=2000,IF(INDEX(包装物料出入库明细!$O$4:$O$2003,$Z694-0)=0,"",INDEX(包装物料出入库明细!$O$4:$O$2003,$Z694-0)),IF($Z694&lt;=4000,IF(INDEX(周转筐出入库明细!$M$4:$M$2004,$Z694-2000)=0,"",INDEX(周转筐出入库明细!$M$4:$M$2004,$Z694-2000)),IF($Z694&lt;=5200,IF(INDEX(客户自备加工筐明细!$H$4:$H$1203,$Z694-4000)=0,"",INDEX(客户自备加工筐明细!$H$4:$H$1203,$Z694-4000)),IF($Z694&lt;=5800,IF(INDEX(次果筐明细!$H$4:$H$603,$Z694-5200)=0,"",INDEX(次果筐明细!$H$4:$H$603,$Z694-5200)),"")))))</f>
        <v/>
      </c>
      <c r="S694" s="22" t="str">
        <f t="shared" si="32"/>
        <v/>
      </c>
      <c r="Z694" s="10" t="str">
        <f>IFERROR(MATCH(ROW()-3,_自动清单!$CQ$4:$CQ$5803,0),"")</f>
        <v/>
      </c>
    </row>
    <row r="695" spans="1:26">
      <c r="A695" s="24" t="str">
        <f t="shared" si="30"/>
        <v/>
      </c>
      <c r="B695" s="38" t="str">
        <f>IF($Z695="","",IF($Z695&lt;=2000,IF(INDEX(包装物料出入库明细!$B$4:$B$2003,$Z695-0)=0,"",INDEX(包装物料出入库明细!$B$4:$B$2003,$Z695-0)),IF($Z695&lt;=4000,IF(INDEX(周转筐出入库明细!$B$4:$B$2004,$Z695-2000)=0,"",INDEX(周转筐出入库明细!$B$4:$B$2004,$Z695-2000)),IF($Z695&lt;=5200,IF(INDEX(客户自备加工筐明细!$B$4:$B$1203,$Z695-4000)=0,"",INDEX(客户自备加工筐明细!$B$4:$B$1203,$Z695-4000)),IF($Z695&lt;=5800,IF(INDEX(次果筐明细!$B$4:$B$603,$Z695-5200)=0,"",INDEX(次果筐明细!$B$4:$B$603,$Z695-5200)),"")))))</f>
        <v/>
      </c>
      <c r="C695" s="37" t="str">
        <f>IF($Z695="","",IF($Z695&lt;=2000,IF(INDEX(包装物料出入库明细!$D$4:$D$2003,$Z695-0)=0,"",INDEX(包装物料出入库明细!$D$4:$D$2003,$Z695-0)),IF($Z695&lt;=4000,IF(INDEX(周转筐出入库明细!$C$4:$C$2004,$Z695-2000)=0,"",INDEX(周转筐出入库明细!$C$4:$C$2004,$Z695-2000)),IF($Z695&lt;=5200,IF(INDEX(客户自备加工筐明细!$E$4:$E$1203,$Z695-4000)=0,"",INDEX(客户自备加工筐明细!$E$4:$E$1203,$Z695-4000)),IF($Z695&lt;=5800,IF(INDEX(次果筐明细!$C$4:$C$603,$Z695-5200)=0,"",INDEX(次果筐明细!$C$4:$C$603,$Z695-5200)),"")))))</f>
        <v/>
      </c>
      <c r="D695" s="37" t="str">
        <f>IF($Z695="","",IF($Z695&lt;=2000,"包装物料－"&amp;INDEX(包装物料出入库明细!$H$4:$H$2003,$Z695-0),IF($Z695&lt;=4000,"周转筐－"&amp;INDEX(周转筐出入库明细!$F$4:$F$2004,$Z695-2000),IF($Z695&lt;=5200,"客户自备筐－"&amp;INDEX(客户自备加工筐明细!$J$4:$J$1203,$Z695-4000),IF($Z695&lt;=5800,"次果筐/托盘－"&amp;INDEX(次果筐明细!$F$4:$F$603,$Z695-5200),"")))))</f>
        <v/>
      </c>
      <c r="E695" s="24" t="str">
        <f>IF($Z695="","",IF($Z695&lt;=2000,IF(INDEX(包装物料出入库明细!$C$4:$C$2003,$Z695-0)=0,"",INDEX(包装物料出入库明细!$C$4:$C$2003,$Z695-0)),IF($Z695&lt;=4000,IF(INDEX(周转筐出入库明细!$E$4:$E$2004,$Z695-2000)=0,"",INDEX(周转筐出入库明细!$E$4:$E$2004,$Z695-2000)),IF($Z695&lt;=5200,IF(INDEX(客户自备加工筐明细!$D$4:$D$1203,$Z695-4000)=0,"",INDEX(客户自备加工筐明细!$D$4:$D$1203,$Z695-4000)),IF($Z695&lt;=5800,IF(INDEX(次果筐明细!$E$4:$E$603,$Z695-5200)=0,"",INDEX(次果筐明细!$E$4:$E$603,$Z695-5200)),"")))))</f>
        <v/>
      </c>
      <c r="F695" s="24" t="str">
        <f>IF($Z695="","",IF($Z695&lt;=2000,IF(INDEX(包装物料出入库明细!$E$4:$E$2003,$Z695-0)=0,"",INDEX(包装物料出入库明细!$E$4:$E$2003,$Z695-0)),IF($Z695&lt;=4000,IF(INDEX(周转筐出入库明细!$D$4:$D$2004,$Z695-2000)=0,"",INDEX(周转筐出入库明细!$D$4:$D$2004,$Z695-2000)),IF($Z695&lt;=5200,IF(INDEX(客户自备加工筐明细!$C$4:$C$1203,$Z695-4000)=0,"",INDEX(客户自备加工筐明细!$C$4:$C$1203,$Z695-4000)),IF($Z695&lt;=5800,IF(INDEX(次果筐明细!$D$4:$D$603,$Z695-5200)=0,"",INDEX(次果筐明细!$D$4:$D$603,$Z695-5200)),"")))))</f>
        <v/>
      </c>
      <c r="G695" s="24" t="str">
        <f>IF($Z695="","",IF($Z695&lt;=2000,IF(INDEX(包装物料出入库明细!$F$4:$F$2003,$Z695-0)=0,"",INDEX(包装物料出入库明细!$F$4:$F$2003,$Z695-0)),IF($Z695&lt;=4000,"",IF($Z695&lt;=5200,"",IF($Z695&lt;=5800,"","")))))</f>
        <v/>
      </c>
      <c r="H695" s="39" t="str">
        <f>IF($Z695="","",IF($Z695&lt;=2000,IF(INDEX(包装物料出入库明细!$L$4:$L$2003,$Z695-0)=0,"",INDEX(包装物料出入库明细!$L$4:$L$2003,$Z695-0)),IF($Z695&lt;=4000,N(INDEX(周转筐出入库明细!$H$4:$H$2004,$Z695-2000))+N(INDEX(周转筐出入库明细!$I$4:$I$2004,$Z695-2000))+N(INDEX(周转筐出入库明细!$J$4:$J$2004,$Z695-2000))+N(INDEX(周转筐出入库明细!$K$4:$K$2004,$Z695-2000)),IF($Z695&lt;=5200,N(INDEX(客户自备加工筐明细!$F$4:$F$1203,$Z695-4000))+N(INDEX(客户自备加工筐明细!$G$4:$G$1203,$Z695-4000)),IF($Z695&lt;=5800,IF(INDEX(次果筐明细!$G$4:$G$603,$Z695-5200)=0,"",INDEX(次果筐明细!$G$4:$G$603,$Z695-5200)),"")))))</f>
        <v/>
      </c>
      <c r="I695" s="24" t="str">
        <f>IF($Z695="","",IF($Z695&lt;=2000,IF(INDEX(包装物料出入库明细!$G$4:$G$2003,$Z695-0)=0,"",INDEX(包装物料出入库明细!$G$4:$G$2003,$Z695-0)),IF($Z695&lt;=4000,"个",IF($Z695&lt;=5200,"个",IF($Z695&lt;=5800,"个","")))))</f>
        <v/>
      </c>
      <c r="J695" s="30" t="str">
        <f t="shared" si="31"/>
        <v/>
      </c>
      <c r="K695" s="30" t="str">
        <f>IF($Z695="","",IF($Z695&lt;=2000,IF(INDEX(包装物料出入库明细!$N$4:$N$2003,$Z695-0)=0,"",INDEX(包装物料出入库明细!$N$4:$N$2003,$Z695-0)),IF($Z695&lt;=4000,IF(INDEX(周转筐出入库明细!$P$4:$P$2004,$Z695-2000)=0,"",INDEX(周转筐出入库明细!$P$4:$P$2004,$Z695-2000)),IF($Z695&lt;=5200,"",IF($Z695&lt;=5800,N(INDEX(次果筐明细!$L$4:$L$603,$Z695-5200))+N(INDEX(次果筐明细!$J$4:$J$603,$Z695-5200)),"")))))</f>
        <v/>
      </c>
      <c r="L695" s="24" t="str">
        <f>IF($Z695="","",IF($Z695&lt;=2000,IF(INDEX(包装物料出入库明细!$P$4:$P$2003,$Z695-0)=0,"",INDEX(包装物料出入库明细!$P$4:$P$2003,$Z695-0)),IF($Z695&lt;=4000,IF(INDEX(周转筐出入库明细!$Q$4:$Q$2004,$Z695-2000)=0,"",INDEX(周转筐出入库明细!$Q$4:$Q$2004,$Z695-2000)),IF($Z695&lt;=5200,"",IF($Z695&lt;=5800,IF(INDEX(次果筐明细!$M$4:$M$603,$Z695-5200)=0,"",INDEX(次果筐明细!$M$4:$M$603,$Z695-5200)),"")))))</f>
        <v/>
      </c>
      <c r="M695" s="37" t="str">
        <f>IF($Z695="","",IF($Z695&lt;=2000,IF(INDEX(包装物料出入库明细!$R$4:$R$2003,$Z695-0)=0,"",INDEX(包装物料出入库明细!$R$4:$R$2003,$Z695-0)),IF($Z695&lt;=4000,IF(INDEX(周转筐出入库明细!$W$4:$W$2004,$Z695-2000)=0,"",INDEX(周转筐出入库明细!$W$4:$W$2004,$Z695-2000)),IF($Z695&lt;=5200,IF(INDEX(客户自备加工筐明细!$L$4:$L$1203,$Z695-4000)=0,"",INDEX(客户自备加工筐明细!$L$4:$L$1203,$Z695-4000)),IF($Z695&lt;=5800,IF(INDEX(次果筐明细!$P$4:$P$603,$Z695-5200)=0,"",INDEX(次果筐明细!$P$4:$P$603,$Z695-5200)),"")))))</f>
        <v/>
      </c>
      <c r="N695" s="16" t="str">
        <f>IF($Z695="","",IF($Z695&lt;=2000,"",IF($Z695&lt;=4000,IF(INDEX(周转筐出入库明细!$D$4:$D$2004,$Z695-2000)=0,"",INDEX(周转筐出入库明细!$D$4:$D$2004,$Z695-2000)),IF($Z695&lt;=5200,IF(INDEX(客户自备加工筐明细!$C$4:$C$1203,$Z695-4000)=0,"",INDEX(客户自备加工筐明细!$C$4:$C$1203,$Z695-4000)),IF($Z695&lt;=5800,IF(INDEX(次果筐明细!$D$4:$D$603,$Z695-5200)=0,"",INDEX(次果筐明细!$D$4:$D$603,$Z695-5200)),"")))))</f>
        <v/>
      </c>
      <c r="O695" s="40" t="str">
        <f>IF($Z695="","",IF($Z695&lt;=2000,"",IF($Z695&lt;=4000,IF(N(INDEX(周转筐出入库明细!$J$4:$J$2004,$Z695-2000))+N(INDEX(周转筐出入库明细!$K$4:$K$2004,$Z695-2000))=0,"",N(INDEX(周转筐出入库明细!$J$4:$J$2004,$Z695-2000))+N(INDEX(周转筐出入库明细!$K$4:$K$2004,$Z695-2000))),IF($Z695&lt;=5200,IF(N(INDEX(客户自备加工筐明细!$G$4:$G$1203,$Z695-4000))=0,"",N(INDEX(客户自备加工筐明细!$G$4:$G$1203,$Z695-4000))),IF($Z695&lt;=5800,IF(ISNUMBER(SEARCH("退",INDEX(次果筐明细!$F$4:$F$603,$Z695-5200)&amp;"")),"",IF(N(INDEX(次果筐明细!$G$4:$G$603,$Z695-5200))=0,"",N(INDEX(次果筐明细!$G$4:$G$603,$Z695-5200)))),"")))))</f>
        <v/>
      </c>
      <c r="P695" s="40" t="str">
        <f>IF($Z695="","",IF($Z695&lt;=2000,"",IF($Z695&lt;=4000,IF(N(INDEX(周转筐出入库明细!$I$4:$I$2004,$Z695-2000))=0,"",N(INDEX(周转筐出入库明细!$I$4:$I$2004,$Z695-2000))),IF($Z695&lt;=5200,"",IF($Z695&lt;=5800,IF(ISNUMBER(SEARCH("退",INDEX(次果筐明细!$F$4:$F$603,$Z695-5200)&amp;"")),IF(N(INDEX(次果筐明细!$G$4:$G$603,$Z695-5200))=0,"",N(INDEX(次果筐明细!$G$4:$G$603,$Z695-5200))),""),"")))))</f>
        <v/>
      </c>
      <c r="Q695" s="40" t="str">
        <f>IF($Z695="","",IF($Z695&lt;=2000,"",IF($Z695&lt;=4000,IF(N(INDEX(周转筐出入库明细!$H$4:$H$2004,$Z695-2000))=0,"",N(INDEX(周转筐出入库明细!$H$4:$H$2004,$Z695-2000))),IF($Z695&lt;=5200,IF(N(INDEX(客户自备加工筐明细!$F$4:$F$1203,$Z695-4000))=0,"",N(INDEX(客户自备加工筐明细!$F$4:$F$1203,$Z695-4000))),IF($Z695&lt;=5800,"","")))))</f>
        <v/>
      </c>
      <c r="R695" s="16" t="str">
        <f>IF($Z695="","",IF($Z695&lt;=2000,IF(INDEX(包装物料出入库明细!$O$4:$O$2003,$Z695-0)=0,"",INDEX(包装物料出入库明细!$O$4:$O$2003,$Z695-0)),IF($Z695&lt;=4000,IF(INDEX(周转筐出入库明细!$M$4:$M$2004,$Z695-2000)=0,"",INDEX(周转筐出入库明细!$M$4:$M$2004,$Z695-2000)),IF($Z695&lt;=5200,IF(INDEX(客户自备加工筐明细!$H$4:$H$1203,$Z695-4000)=0,"",INDEX(客户自备加工筐明细!$H$4:$H$1203,$Z695-4000)),IF($Z695&lt;=5800,IF(INDEX(次果筐明细!$H$4:$H$603,$Z695-5200)=0,"",INDEX(次果筐明细!$H$4:$H$603,$Z695-5200)),"")))))</f>
        <v/>
      </c>
      <c r="S695" s="22" t="str">
        <f t="shared" si="32"/>
        <v/>
      </c>
      <c r="Z695" s="10" t="str">
        <f>IFERROR(MATCH(ROW()-3,_自动清单!$CQ$4:$CQ$5803,0),"")</f>
        <v/>
      </c>
    </row>
    <row r="696" spans="1:26">
      <c r="A696" s="24" t="str">
        <f t="shared" si="30"/>
        <v/>
      </c>
      <c r="B696" s="38" t="str">
        <f>IF($Z696="","",IF($Z696&lt;=2000,IF(INDEX(包装物料出入库明细!$B$4:$B$2003,$Z696-0)=0,"",INDEX(包装物料出入库明细!$B$4:$B$2003,$Z696-0)),IF($Z696&lt;=4000,IF(INDEX(周转筐出入库明细!$B$4:$B$2004,$Z696-2000)=0,"",INDEX(周转筐出入库明细!$B$4:$B$2004,$Z696-2000)),IF($Z696&lt;=5200,IF(INDEX(客户自备加工筐明细!$B$4:$B$1203,$Z696-4000)=0,"",INDEX(客户自备加工筐明细!$B$4:$B$1203,$Z696-4000)),IF($Z696&lt;=5800,IF(INDEX(次果筐明细!$B$4:$B$603,$Z696-5200)=0,"",INDEX(次果筐明细!$B$4:$B$603,$Z696-5200)),"")))))</f>
        <v/>
      </c>
      <c r="C696" s="37" t="str">
        <f>IF($Z696="","",IF($Z696&lt;=2000,IF(INDEX(包装物料出入库明细!$D$4:$D$2003,$Z696-0)=0,"",INDEX(包装物料出入库明细!$D$4:$D$2003,$Z696-0)),IF($Z696&lt;=4000,IF(INDEX(周转筐出入库明细!$C$4:$C$2004,$Z696-2000)=0,"",INDEX(周转筐出入库明细!$C$4:$C$2004,$Z696-2000)),IF($Z696&lt;=5200,IF(INDEX(客户自备加工筐明细!$E$4:$E$1203,$Z696-4000)=0,"",INDEX(客户自备加工筐明细!$E$4:$E$1203,$Z696-4000)),IF($Z696&lt;=5800,IF(INDEX(次果筐明细!$C$4:$C$603,$Z696-5200)=0,"",INDEX(次果筐明细!$C$4:$C$603,$Z696-5200)),"")))))</f>
        <v/>
      </c>
      <c r="D696" s="37" t="str">
        <f>IF($Z696="","",IF($Z696&lt;=2000,"包装物料－"&amp;INDEX(包装物料出入库明细!$H$4:$H$2003,$Z696-0),IF($Z696&lt;=4000,"周转筐－"&amp;INDEX(周转筐出入库明细!$F$4:$F$2004,$Z696-2000),IF($Z696&lt;=5200,"客户自备筐－"&amp;INDEX(客户自备加工筐明细!$J$4:$J$1203,$Z696-4000),IF($Z696&lt;=5800,"次果筐/托盘－"&amp;INDEX(次果筐明细!$F$4:$F$603,$Z696-5200),"")))))</f>
        <v/>
      </c>
      <c r="E696" s="24" t="str">
        <f>IF($Z696="","",IF($Z696&lt;=2000,IF(INDEX(包装物料出入库明细!$C$4:$C$2003,$Z696-0)=0,"",INDEX(包装物料出入库明细!$C$4:$C$2003,$Z696-0)),IF($Z696&lt;=4000,IF(INDEX(周转筐出入库明细!$E$4:$E$2004,$Z696-2000)=0,"",INDEX(周转筐出入库明细!$E$4:$E$2004,$Z696-2000)),IF($Z696&lt;=5200,IF(INDEX(客户自备加工筐明细!$D$4:$D$1203,$Z696-4000)=0,"",INDEX(客户自备加工筐明细!$D$4:$D$1203,$Z696-4000)),IF($Z696&lt;=5800,IF(INDEX(次果筐明细!$E$4:$E$603,$Z696-5200)=0,"",INDEX(次果筐明细!$E$4:$E$603,$Z696-5200)),"")))))</f>
        <v/>
      </c>
      <c r="F696" s="24" t="str">
        <f>IF($Z696="","",IF($Z696&lt;=2000,IF(INDEX(包装物料出入库明细!$E$4:$E$2003,$Z696-0)=0,"",INDEX(包装物料出入库明细!$E$4:$E$2003,$Z696-0)),IF($Z696&lt;=4000,IF(INDEX(周转筐出入库明细!$D$4:$D$2004,$Z696-2000)=0,"",INDEX(周转筐出入库明细!$D$4:$D$2004,$Z696-2000)),IF($Z696&lt;=5200,IF(INDEX(客户自备加工筐明细!$C$4:$C$1203,$Z696-4000)=0,"",INDEX(客户自备加工筐明细!$C$4:$C$1203,$Z696-4000)),IF($Z696&lt;=5800,IF(INDEX(次果筐明细!$D$4:$D$603,$Z696-5200)=0,"",INDEX(次果筐明细!$D$4:$D$603,$Z696-5200)),"")))))</f>
        <v/>
      </c>
      <c r="G696" s="24" t="str">
        <f>IF($Z696="","",IF($Z696&lt;=2000,IF(INDEX(包装物料出入库明细!$F$4:$F$2003,$Z696-0)=0,"",INDEX(包装物料出入库明细!$F$4:$F$2003,$Z696-0)),IF($Z696&lt;=4000,"",IF($Z696&lt;=5200,"",IF($Z696&lt;=5800,"","")))))</f>
        <v/>
      </c>
      <c r="H696" s="39" t="str">
        <f>IF($Z696="","",IF($Z696&lt;=2000,IF(INDEX(包装物料出入库明细!$L$4:$L$2003,$Z696-0)=0,"",INDEX(包装物料出入库明细!$L$4:$L$2003,$Z696-0)),IF($Z696&lt;=4000,N(INDEX(周转筐出入库明细!$H$4:$H$2004,$Z696-2000))+N(INDEX(周转筐出入库明细!$I$4:$I$2004,$Z696-2000))+N(INDEX(周转筐出入库明细!$J$4:$J$2004,$Z696-2000))+N(INDEX(周转筐出入库明细!$K$4:$K$2004,$Z696-2000)),IF($Z696&lt;=5200,N(INDEX(客户自备加工筐明细!$F$4:$F$1203,$Z696-4000))+N(INDEX(客户自备加工筐明细!$G$4:$G$1203,$Z696-4000)),IF($Z696&lt;=5800,IF(INDEX(次果筐明细!$G$4:$G$603,$Z696-5200)=0,"",INDEX(次果筐明细!$G$4:$G$603,$Z696-5200)),"")))))</f>
        <v/>
      </c>
      <c r="I696" s="24" t="str">
        <f>IF($Z696="","",IF($Z696&lt;=2000,IF(INDEX(包装物料出入库明细!$G$4:$G$2003,$Z696-0)=0,"",INDEX(包装物料出入库明细!$G$4:$G$2003,$Z696-0)),IF($Z696&lt;=4000,"个",IF($Z696&lt;=5200,"个",IF($Z696&lt;=5800,"个","")))))</f>
        <v/>
      </c>
      <c r="J696" s="30" t="str">
        <f t="shared" si="31"/>
        <v/>
      </c>
      <c r="K696" s="30" t="str">
        <f>IF($Z696="","",IF($Z696&lt;=2000,IF(INDEX(包装物料出入库明细!$N$4:$N$2003,$Z696-0)=0,"",INDEX(包装物料出入库明细!$N$4:$N$2003,$Z696-0)),IF($Z696&lt;=4000,IF(INDEX(周转筐出入库明细!$P$4:$P$2004,$Z696-2000)=0,"",INDEX(周转筐出入库明细!$P$4:$P$2004,$Z696-2000)),IF($Z696&lt;=5200,"",IF($Z696&lt;=5800,N(INDEX(次果筐明细!$L$4:$L$603,$Z696-5200))+N(INDEX(次果筐明细!$J$4:$J$603,$Z696-5200)),"")))))</f>
        <v/>
      </c>
      <c r="L696" s="24" t="str">
        <f>IF($Z696="","",IF($Z696&lt;=2000,IF(INDEX(包装物料出入库明细!$P$4:$P$2003,$Z696-0)=0,"",INDEX(包装物料出入库明细!$P$4:$P$2003,$Z696-0)),IF($Z696&lt;=4000,IF(INDEX(周转筐出入库明细!$Q$4:$Q$2004,$Z696-2000)=0,"",INDEX(周转筐出入库明细!$Q$4:$Q$2004,$Z696-2000)),IF($Z696&lt;=5200,"",IF($Z696&lt;=5800,IF(INDEX(次果筐明细!$M$4:$M$603,$Z696-5200)=0,"",INDEX(次果筐明细!$M$4:$M$603,$Z696-5200)),"")))))</f>
        <v/>
      </c>
      <c r="M696" s="37" t="str">
        <f>IF($Z696="","",IF($Z696&lt;=2000,IF(INDEX(包装物料出入库明细!$R$4:$R$2003,$Z696-0)=0,"",INDEX(包装物料出入库明细!$R$4:$R$2003,$Z696-0)),IF($Z696&lt;=4000,IF(INDEX(周转筐出入库明细!$W$4:$W$2004,$Z696-2000)=0,"",INDEX(周转筐出入库明细!$W$4:$W$2004,$Z696-2000)),IF($Z696&lt;=5200,IF(INDEX(客户自备加工筐明细!$L$4:$L$1203,$Z696-4000)=0,"",INDEX(客户自备加工筐明细!$L$4:$L$1203,$Z696-4000)),IF($Z696&lt;=5800,IF(INDEX(次果筐明细!$P$4:$P$603,$Z696-5200)=0,"",INDEX(次果筐明细!$P$4:$P$603,$Z696-5200)),"")))))</f>
        <v/>
      </c>
      <c r="N696" s="16" t="str">
        <f>IF($Z696="","",IF($Z696&lt;=2000,"",IF($Z696&lt;=4000,IF(INDEX(周转筐出入库明细!$D$4:$D$2004,$Z696-2000)=0,"",INDEX(周转筐出入库明细!$D$4:$D$2004,$Z696-2000)),IF($Z696&lt;=5200,IF(INDEX(客户自备加工筐明细!$C$4:$C$1203,$Z696-4000)=0,"",INDEX(客户自备加工筐明细!$C$4:$C$1203,$Z696-4000)),IF($Z696&lt;=5800,IF(INDEX(次果筐明细!$D$4:$D$603,$Z696-5200)=0,"",INDEX(次果筐明细!$D$4:$D$603,$Z696-5200)),"")))))</f>
        <v/>
      </c>
      <c r="O696" s="40" t="str">
        <f>IF($Z696="","",IF($Z696&lt;=2000,"",IF($Z696&lt;=4000,IF(N(INDEX(周转筐出入库明细!$J$4:$J$2004,$Z696-2000))+N(INDEX(周转筐出入库明细!$K$4:$K$2004,$Z696-2000))=0,"",N(INDEX(周转筐出入库明细!$J$4:$J$2004,$Z696-2000))+N(INDEX(周转筐出入库明细!$K$4:$K$2004,$Z696-2000))),IF($Z696&lt;=5200,IF(N(INDEX(客户自备加工筐明细!$G$4:$G$1203,$Z696-4000))=0,"",N(INDEX(客户自备加工筐明细!$G$4:$G$1203,$Z696-4000))),IF($Z696&lt;=5800,IF(ISNUMBER(SEARCH("退",INDEX(次果筐明细!$F$4:$F$603,$Z696-5200)&amp;"")),"",IF(N(INDEX(次果筐明细!$G$4:$G$603,$Z696-5200))=0,"",N(INDEX(次果筐明细!$G$4:$G$603,$Z696-5200)))),"")))))</f>
        <v/>
      </c>
      <c r="P696" s="40" t="str">
        <f>IF($Z696="","",IF($Z696&lt;=2000,"",IF($Z696&lt;=4000,IF(N(INDEX(周转筐出入库明细!$I$4:$I$2004,$Z696-2000))=0,"",N(INDEX(周转筐出入库明细!$I$4:$I$2004,$Z696-2000))),IF($Z696&lt;=5200,"",IF($Z696&lt;=5800,IF(ISNUMBER(SEARCH("退",INDEX(次果筐明细!$F$4:$F$603,$Z696-5200)&amp;"")),IF(N(INDEX(次果筐明细!$G$4:$G$603,$Z696-5200))=0,"",N(INDEX(次果筐明细!$G$4:$G$603,$Z696-5200))),""),"")))))</f>
        <v/>
      </c>
      <c r="Q696" s="40" t="str">
        <f>IF($Z696="","",IF($Z696&lt;=2000,"",IF($Z696&lt;=4000,IF(N(INDEX(周转筐出入库明细!$H$4:$H$2004,$Z696-2000))=0,"",N(INDEX(周转筐出入库明细!$H$4:$H$2004,$Z696-2000))),IF($Z696&lt;=5200,IF(N(INDEX(客户自备加工筐明细!$F$4:$F$1203,$Z696-4000))=0,"",N(INDEX(客户自备加工筐明细!$F$4:$F$1203,$Z696-4000))),IF($Z696&lt;=5800,"","")))))</f>
        <v/>
      </c>
      <c r="R696" s="16" t="str">
        <f>IF($Z696="","",IF($Z696&lt;=2000,IF(INDEX(包装物料出入库明细!$O$4:$O$2003,$Z696-0)=0,"",INDEX(包装物料出入库明细!$O$4:$O$2003,$Z696-0)),IF($Z696&lt;=4000,IF(INDEX(周转筐出入库明细!$M$4:$M$2004,$Z696-2000)=0,"",INDEX(周转筐出入库明细!$M$4:$M$2004,$Z696-2000)),IF($Z696&lt;=5200,IF(INDEX(客户自备加工筐明细!$H$4:$H$1203,$Z696-4000)=0,"",INDEX(客户自备加工筐明细!$H$4:$H$1203,$Z696-4000)),IF($Z696&lt;=5800,IF(INDEX(次果筐明细!$H$4:$H$603,$Z696-5200)=0,"",INDEX(次果筐明细!$H$4:$H$603,$Z696-5200)),"")))))</f>
        <v/>
      </c>
      <c r="S696" s="22" t="str">
        <f t="shared" si="32"/>
        <v/>
      </c>
      <c r="Z696" s="10" t="str">
        <f>IFERROR(MATCH(ROW()-3,_自动清单!$CQ$4:$CQ$5803,0),"")</f>
        <v/>
      </c>
    </row>
    <row r="697" spans="1:26">
      <c r="A697" s="24" t="str">
        <f t="shared" si="30"/>
        <v/>
      </c>
      <c r="B697" s="38" t="str">
        <f>IF($Z697="","",IF($Z697&lt;=2000,IF(INDEX(包装物料出入库明细!$B$4:$B$2003,$Z697-0)=0,"",INDEX(包装物料出入库明细!$B$4:$B$2003,$Z697-0)),IF($Z697&lt;=4000,IF(INDEX(周转筐出入库明细!$B$4:$B$2004,$Z697-2000)=0,"",INDEX(周转筐出入库明细!$B$4:$B$2004,$Z697-2000)),IF($Z697&lt;=5200,IF(INDEX(客户自备加工筐明细!$B$4:$B$1203,$Z697-4000)=0,"",INDEX(客户自备加工筐明细!$B$4:$B$1203,$Z697-4000)),IF($Z697&lt;=5800,IF(INDEX(次果筐明细!$B$4:$B$603,$Z697-5200)=0,"",INDEX(次果筐明细!$B$4:$B$603,$Z697-5200)),"")))))</f>
        <v/>
      </c>
      <c r="C697" s="37" t="str">
        <f>IF($Z697="","",IF($Z697&lt;=2000,IF(INDEX(包装物料出入库明细!$D$4:$D$2003,$Z697-0)=0,"",INDEX(包装物料出入库明细!$D$4:$D$2003,$Z697-0)),IF($Z697&lt;=4000,IF(INDEX(周转筐出入库明细!$C$4:$C$2004,$Z697-2000)=0,"",INDEX(周转筐出入库明细!$C$4:$C$2004,$Z697-2000)),IF($Z697&lt;=5200,IF(INDEX(客户自备加工筐明细!$E$4:$E$1203,$Z697-4000)=0,"",INDEX(客户自备加工筐明细!$E$4:$E$1203,$Z697-4000)),IF($Z697&lt;=5800,IF(INDEX(次果筐明细!$C$4:$C$603,$Z697-5200)=0,"",INDEX(次果筐明细!$C$4:$C$603,$Z697-5200)),"")))))</f>
        <v/>
      </c>
      <c r="D697" s="37" t="str">
        <f>IF($Z697="","",IF($Z697&lt;=2000,"包装物料－"&amp;INDEX(包装物料出入库明细!$H$4:$H$2003,$Z697-0),IF($Z697&lt;=4000,"周转筐－"&amp;INDEX(周转筐出入库明细!$F$4:$F$2004,$Z697-2000),IF($Z697&lt;=5200,"客户自备筐－"&amp;INDEX(客户自备加工筐明细!$J$4:$J$1203,$Z697-4000),IF($Z697&lt;=5800,"次果筐/托盘－"&amp;INDEX(次果筐明细!$F$4:$F$603,$Z697-5200),"")))))</f>
        <v/>
      </c>
      <c r="E697" s="24" t="str">
        <f>IF($Z697="","",IF($Z697&lt;=2000,IF(INDEX(包装物料出入库明细!$C$4:$C$2003,$Z697-0)=0,"",INDEX(包装物料出入库明细!$C$4:$C$2003,$Z697-0)),IF($Z697&lt;=4000,IF(INDEX(周转筐出入库明细!$E$4:$E$2004,$Z697-2000)=0,"",INDEX(周转筐出入库明细!$E$4:$E$2004,$Z697-2000)),IF($Z697&lt;=5200,IF(INDEX(客户自备加工筐明细!$D$4:$D$1203,$Z697-4000)=0,"",INDEX(客户自备加工筐明细!$D$4:$D$1203,$Z697-4000)),IF($Z697&lt;=5800,IF(INDEX(次果筐明细!$E$4:$E$603,$Z697-5200)=0,"",INDEX(次果筐明细!$E$4:$E$603,$Z697-5200)),"")))))</f>
        <v/>
      </c>
      <c r="F697" s="24" t="str">
        <f>IF($Z697="","",IF($Z697&lt;=2000,IF(INDEX(包装物料出入库明细!$E$4:$E$2003,$Z697-0)=0,"",INDEX(包装物料出入库明细!$E$4:$E$2003,$Z697-0)),IF($Z697&lt;=4000,IF(INDEX(周转筐出入库明细!$D$4:$D$2004,$Z697-2000)=0,"",INDEX(周转筐出入库明细!$D$4:$D$2004,$Z697-2000)),IF($Z697&lt;=5200,IF(INDEX(客户自备加工筐明细!$C$4:$C$1203,$Z697-4000)=0,"",INDEX(客户自备加工筐明细!$C$4:$C$1203,$Z697-4000)),IF($Z697&lt;=5800,IF(INDEX(次果筐明细!$D$4:$D$603,$Z697-5200)=0,"",INDEX(次果筐明细!$D$4:$D$603,$Z697-5200)),"")))))</f>
        <v/>
      </c>
      <c r="G697" s="24" t="str">
        <f>IF($Z697="","",IF($Z697&lt;=2000,IF(INDEX(包装物料出入库明细!$F$4:$F$2003,$Z697-0)=0,"",INDEX(包装物料出入库明细!$F$4:$F$2003,$Z697-0)),IF($Z697&lt;=4000,"",IF($Z697&lt;=5200,"",IF($Z697&lt;=5800,"","")))))</f>
        <v/>
      </c>
      <c r="H697" s="39" t="str">
        <f>IF($Z697="","",IF($Z697&lt;=2000,IF(INDEX(包装物料出入库明细!$L$4:$L$2003,$Z697-0)=0,"",INDEX(包装物料出入库明细!$L$4:$L$2003,$Z697-0)),IF($Z697&lt;=4000,N(INDEX(周转筐出入库明细!$H$4:$H$2004,$Z697-2000))+N(INDEX(周转筐出入库明细!$I$4:$I$2004,$Z697-2000))+N(INDEX(周转筐出入库明细!$J$4:$J$2004,$Z697-2000))+N(INDEX(周转筐出入库明细!$K$4:$K$2004,$Z697-2000)),IF($Z697&lt;=5200,N(INDEX(客户自备加工筐明细!$F$4:$F$1203,$Z697-4000))+N(INDEX(客户自备加工筐明细!$G$4:$G$1203,$Z697-4000)),IF($Z697&lt;=5800,IF(INDEX(次果筐明细!$G$4:$G$603,$Z697-5200)=0,"",INDEX(次果筐明细!$G$4:$G$603,$Z697-5200)),"")))))</f>
        <v/>
      </c>
      <c r="I697" s="24" t="str">
        <f>IF($Z697="","",IF($Z697&lt;=2000,IF(INDEX(包装物料出入库明细!$G$4:$G$2003,$Z697-0)=0,"",INDEX(包装物料出入库明细!$G$4:$G$2003,$Z697-0)),IF($Z697&lt;=4000,"个",IF($Z697&lt;=5200,"个",IF($Z697&lt;=5800,"个","")))))</f>
        <v/>
      </c>
      <c r="J697" s="30" t="str">
        <f t="shared" si="31"/>
        <v/>
      </c>
      <c r="K697" s="30" t="str">
        <f>IF($Z697="","",IF($Z697&lt;=2000,IF(INDEX(包装物料出入库明细!$N$4:$N$2003,$Z697-0)=0,"",INDEX(包装物料出入库明细!$N$4:$N$2003,$Z697-0)),IF($Z697&lt;=4000,IF(INDEX(周转筐出入库明细!$P$4:$P$2004,$Z697-2000)=0,"",INDEX(周转筐出入库明细!$P$4:$P$2004,$Z697-2000)),IF($Z697&lt;=5200,"",IF($Z697&lt;=5800,N(INDEX(次果筐明细!$L$4:$L$603,$Z697-5200))+N(INDEX(次果筐明细!$J$4:$J$603,$Z697-5200)),"")))))</f>
        <v/>
      </c>
      <c r="L697" s="24" t="str">
        <f>IF($Z697="","",IF($Z697&lt;=2000,IF(INDEX(包装物料出入库明细!$P$4:$P$2003,$Z697-0)=0,"",INDEX(包装物料出入库明细!$P$4:$P$2003,$Z697-0)),IF($Z697&lt;=4000,IF(INDEX(周转筐出入库明细!$Q$4:$Q$2004,$Z697-2000)=0,"",INDEX(周转筐出入库明细!$Q$4:$Q$2004,$Z697-2000)),IF($Z697&lt;=5200,"",IF($Z697&lt;=5800,IF(INDEX(次果筐明细!$M$4:$M$603,$Z697-5200)=0,"",INDEX(次果筐明细!$M$4:$M$603,$Z697-5200)),"")))))</f>
        <v/>
      </c>
      <c r="M697" s="37" t="str">
        <f>IF($Z697="","",IF($Z697&lt;=2000,IF(INDEX(包装物料出入库明细!$R$4:$R$2003,$Z697-0)=0,"",INDEX(包装物料出入库明细!$R$4:$R$2003,$Z697-0)),IF($Z697&lt;=4000,IF(INDEX(周转筐出入库明细!$W$4:$W$2004,$Z697-2000)=0,"",INDEX(周转筐出入库明细!$W$4:$W$2004,$Z697-2000)),IF($Z697&lt;=5200,IF(INDEX(客户自备加工筐明细!$L$4:$L$1203,$Z697-4000)=0,"",INDEX(客户自备加工筐明细!$L$4:$L$1203,$Z697-4000)),IF($Z697&lt;=5800,IF(INDEX(次果筐明细!$P$4:$P$603,$Z697-5200)=0,"",INDEX(次果筐明细!$P$4:$P$603,$Z697-5200)),"")))))</f>
        <v/>
      </c>
      <c r="N697" s="16" t="str">
        <f>IF($Z697="","",IF($Z697&lt;=2000,"",IF($Z697&lt;=4000,IF(INDEX(周转筐出入库明细!$D$4:$D$2004,$Z697-2000)=0,"",INDEX(周转筐出入库明细!$D$4:$D$2004,$Z697-2000)),IF($Z697&lt;=5200,IF(INDEX(客户自备加工筐明细!$C$4:$C$1203,$Z697-4000)=0,"",INDEX(客户自备加工筐明细!$C$4:$C$1203,$Z697-4000)),IF($Z697&lt;=5800,IF(INDEX(次果筐明细!$D$4:$D$603,$Z697-5200)=0,"",INDEX(次果筐明细!$D$4:$D$603,$Z697-5200)),"")))))</f>
        <v/>
      </c>
      <c r="O697" s="40" t="str">
        <f>IF($Z697="","",IF($Z697&lt;=2000,"",IF($Z697&lt;=4000,IF(N(INDEX(周转筐出入库明细!$J$4:$J$2004,$Z697-2000))+N(INDEX(周转筐出入库明细!$K$4:$K$2004,$Z697-2000))=0,"",N(INDEX(周转筐出入库明细!$J$4:$J$2004,$Z697-2000))+N(INDEX(周转筐出入库明细!$K$4:$K$2004,$Z697-2000))),IF($Z697&lt;=5200,IF(N(INDEX(客户自备加工筐明细!$G$4:$G$1203,$Z697-4000))=0,"",N(INDEX(客户自备加工筐明细!$G$4:$G$1203,$Z697-4000))),IF($Z697&lt;=5800,IF(ISNUMBER(SEARCH("退",INDEX(次果筐明细!$F$4:$F$603,$Z697-5200)&amp;"")),"",IF(N(INDEX(次果筐明细!$G$4:$G$603,$Z697-5200))=0,"",N(INDEX(次果筐明细!$G$4:$G$603,$Z697-5200)))),"")))))</f>
        <v/>
      </c>
      <c r="P697" s="40" t="str">
        <f>IF($Z697="","",IF($Z697&lt;=2000,"",IF($Z697&lt;=4000,IF(N(INDEX(周转筐出入库明细!$I$4:$I$2004,$Z697-2000))=0,"",N(INDEX(周转筐出入库明细!$I$4:$I$2004,$Z697-2000))),IF($Z697&lt;=5200,"",IF($Z697&lt;=5800,IF(ISNUMBER(SEARCH("退",INDEX(次果筐明细!$F$4:$F$603,$Z697-5200)&amp;"")),IF(N(INDEX(次果筐明细!$G$4:$G$603,$Z697-5200))=0,"",N(INDEX(次果筐明细!$G$4:$G$603,$Z697-5200))),""),"")))))</f>
        <v/>
      </c>
      <c r="Q697" s="40" t="str">
        <f>IF($Z697="","",IF($Z697&lt;=2000,"",IF($Z697&lt;=4000,IF(N(INDEX(周转筐出入库明细!$H$4:$H$2004,$Z697-2000))=0,"",N(INDEX(周转筐出入库明细!$H$4:$H$2004,$Z697-2000))),IF($Z697&lt;=5200,IF(N(INDEX(客户自备加工筐明细!$F$4:$F$1203,$Z697-4000))=0,"",N(INDEX(客户自备加工筐明细!$F$4:$F$1203,$Z697-4000))),IF($Z697&lt;=5800,"","")))))</f>
        <v/>
      </c>
      <c r="R697" s="16" t="str">
        <f>IF($Z697="","",IF($Z697&lt;=2000,IF(INDEX(包装物料出入库明细!$O$4:$O$2003,$Z697-0)=0,"",INDEX(包装物料出入库明细!$O$4:$O$2003,$Z697-0)),IF($Z697&lt;=4000,IF(INDEX(周转筐出入库明细!$M$4:$M$2004,$Z697-2000)=0,"",INDEX(周转筐出入库明细!$M$4:$M$2004,$Z697-2000)),IF($Z697&lt;=5200,IF(INDEX(客户自备加工筐明细!$H$4:$H$1203,$Z697-4000)=0,"",INDEX(客户自备加工筐明细!$H$4:$H$1203,$Z697-4000)),IF($Z697&lt;=5800,IF(INDEX(次果筐明细!$H$4:$H$603,$Z697-5200)=0,"",INDEX(次果筐明细!$H$4:$H$603,$Z697-5200)),"")))))</f>
        <v/>
      </c>
      <c r="S697" s="22" t="str">
        <f t="shared" si="32"/>
        <v/>
      </c>
      <c r="Z697" s="10" t="str">
        <f>IFERROR(MATCH(ROW()-3,_自动清单!$CQ$4:$CQ$5803,0),"")</f>
        <v/>
      </c>
    </row>
    <row r="698" spans="1:26">
      <c r="A698" s="24" t="str">
        <f t="shared" si="30"/>
        <v/>
      </c>
      <c r="B698" s="38" t="str">
        <f>IF($Z698="","",IF($Z698&lt;=2000,IF(INDEX(包装物料出入库明细!$B$4:$B$2003,$Z698-0)=0,"",INDEX(包装物料出入库明细!$B$4:$B$2003,$Z698-0)),IF($Z698&lt;=4000,IF(INDEX(周转筐出入库明细!$B$4:$B$2004,$Z698-2000)=0,"",INDEX(周转筐出入库明细!$B$4:$B$2004,$Z698-2000)),IF($Z698&lt;=5200,IF(INDEX(客户自备加工筐明细!$B$4:$B$1203,$Z698-4000)=0,"",INDEX(客户自备加工筐明细!$B$4:$B$1203,$Z698-4000)),IF($Z698&lt;=5800,IF(INDEX(次果筐明细!$B$4:$B$603,$Z698-5200)=0,"",INDEX(次果筐明细!$B$4:$B$603,$Z698-5200)),"")))))</f>
        <v/>
      </c>
      <c r="C698" s="37" t="str">
        <f>IF($Z698="","",IF($Z698&lt;=2000,IF(INDEX(包装物料出入库明细!$D$4:$D$2003,$Z698-0)=0,"",INDEX(包装物料出入库明细!$D$4:$D$2003,$Z698-0)),IF($Z698&lt;=4000,IF(INDEX(周转筐出入库明细!$C$4:$C$2004,$Z698-2000)=0,"",INDEX(周转筐出入库明细!$C$4:$C$2004,$Z698-2000)),IF($Z698&lt;=5200,IF(INDEX(客户自备加工筐明细!$E$4:$E$1203,$Z698-4000)=0,"",INDEX(客户自备加工筐明细!$E$4:$E$1203,$Z698-4000)),IF($Z698&lt;=5800,IF(INDEX(次果筐明细!$C$4:$C$603,$Z698-5200)=0,"",INDEX(次果筐明细!$C$4:$C$603,$Z698-5200)),"")))))</f>
        <v/>
      </c>
      <c r="D698" s="37" t="str">
        <f>IF($Z698="","",IF($Z698&lt;=2000,"包装物料－"&amp;INDEX(包装物料出入库明细!$H$4:$H$2003,$Z698-0),IF($Z698&lt;=4000,"周转筐－"&amp;INDEX(周转筐出入库明细!$F$4:$F$2004,$Z698-2000),IF($Z698&lt;=5200,"客户自备筐－"&amp;INDEX(客户自备加工筐明细!$J$4:$J$1203,$Z698-4000),IF($Z698&lt;=5800,"次果筐/托盘－"&amp;INDEX(次果筐明细!$F$4:$F$603,$Z698-5200),"")))))</f>
        <v/>
      </c>
      <c r="E698" s="24" t="str">
        <f>IF($Z698="","",IF($Z698&lt;=2000,IF(INDEX(包装物料出入库明细!$C$4:$C$2003,$Z698-0)=0,"",INDEX(包装物料出入库明细!$C$4:$C$2003,$Z698-0)),IF($Z698&lt;=4000,IF(INDEX(周转筐出入库明细!$E$4:$E$2004,$Z698-2000)=0,"",INDEX(周转筐出入库明细!$E$4:$E$2004,$Z698-2000)),IF($Z698&lt;=5200,IF(INDEX(客户自备加工筐明细!$D$4:$D$1203,$Z698-4000)=0,"",INDEX(客户自备加工筐明细!$D$4:$D$1203,$Z698-4000)),IF($Z698&lt;=5800,IF(INDEX(次果筐明细!$E$4:$E$603,$Z698-5200)=0,"",INDEX(次果筐明细!$E$4:$E$603,$Z698-5200)),"")))))</f>
        <v/>
      </c>
      <c r="F698" s="24" t="str">
        <f>IF($Z698="","",IF($Z698&lt;=2000,IF(INDEX(包装物料出入库明细!$E$4:$E$2003,$Z698-0)=0,"",INDEX(包装物料出入库明细!$E$4:$E$2003,$Z698-0)),IF($Z698&lt;=4000,IF(INDEX(周转筐出入库明细!$D$4:$D$2004,$Z698-2000)=0,"",INDEX(周转筐出入库明细!$D$4:$D$2004,$Z698-2000)),IF($Z698&lt;=5200,IF(INDEX(客户自备加工筐明细!$C$4:$C$1203,$Z698-4000)=0,"",INDEX(客户自备加工筐明细!$C$4:$C$1203,$Z698-4000)),IF($Z698&lt;=5800,IF(INDEX(次果筐明细!$D$4:$D$603,$Z698-5200)=0,"",INDEX(次果筐明细!$D$4:$D$603,$Z698-5200)),"")))))</f>
        <v/>
      </c>
      <c r="G698" s="24" t="str">
        <f>IF($Z698="","",IF($Z698&lt;=2000,IF(INDEX(包装物料出入库明细!$F$4:$F$2003,$Z698-0)=0,"",INDEX(包装物料出入库明细!$F$4:$F$2003,$Z698-0)),IF($Z698&lt;=4000,"",IF($Z698&lt;=5200,"",IF($Z698&lt;=5800,"","")))))</f>
        <v/>
      </c>
      <c r="H698" s="39" t="str">
        <f>IF($Z698="","",IF($Z698&lt;=2000,IF(INDEX(包装物料出入库明细!$L$4:$L$2003,$Z698-0)=0,"",INDEX(包装物料出入库明细!$L$4:$L$2003,$Z698-0)),IF($Z698&lt;=4000,N(INDEX(周转筐出入库明细!$H$4:$H$2004,$Z698-2000))+N(INDEX(周转筐出入库明细!$I$4:$I$2004,$Z698-2000))+N(INDEX(周转筐出入库明细!$J$4:$J$2004,$Z698-2000))+N(INDEX(周转筐出入库明细!$K$4:$K$2004,$Z698-2000)),IF($Z698&lt;=5200,N(INDEX(客户自备加工筐明细!$F$4:$F$1203,$Z698-4000))+N(INDEX(客户自备加工筐明细!$G$4:$G$1203,$Z698-4000)),IF($Z698&lt;=5800,IF(INDEX(次果筐明细!$G$4:$G$603,$Z698-5200)=0,"",INDEX(次果筐明细!$G$4:$G$603,$Z698-5200)),"")))))</f>
        <v/>
      </c>
      <c r="I698" s="24" t="str">
        <f>IF($Z698="","",IF($Z698&lt;=2000,IF(INDEX(包装物料出入库明细!$G$4:$G$2003,$Z698-0)=0,"",INDEX(包装物料出入库明细!$G$4:$G$2003,$Z698-0)),IF($Z698&lt;=4000,"个",IF($Z698&lt;=5200,"个",IF($Z698&lt;=5800,"个","")))))</f>
        <v/>
      </c>
      <c r="J698" s="30" t="str">
        <f t="shared" si="31"/>
        <v/>
      </c>
      <c r="K698" s="30" t="str">
        <f>IF($Z698="","",IF($Z698&lt;=2000,IF(INDEX(包装物料出入库明细!$N$4:$N$2003,$Z698-0)=0,"",INDEX(包装物料出入库明细!$N$4:$N$2003,$Z698-0)),IF($Z698&lt;=4000,IF(INDEX(周转筐出入库明细!$P$4:$P$2004,$Z698-2000)=0,"",INDEX(周转筐出入库明细!$P$4:$P$2004,$Z698-2000)),IF($Z698&lt;=5200,"",IF($Z698&lt;=5800,N(INDEX(次果筐明细!$L$4:$L$603,$Z698-5200))+N(INDEX(次果筐明细!$J$4:$J$603,$Z698-5200)),"")))))</f>
        <v/>
      </c>
      <c r="L698" s="24" t="str">
        <f>IF($Z698="","",IF($Z698&lt;=2000,IF(INDEX(包装物料出入库明细!$P$4:$P$2003,$Z698-0)=0,"",INDEX(包装物料出入库明细!$P$4:$P$2003,$Z698-0)),IF($Z698&lt;=4000,IF(INDEX(周转筐出入库明细!$Q$4:$Q$2004,$Z698-2000)=0,"",INDEX(周转筐出入库明细!$Q$4:$Q$2004,$Z698-2000)),IF($Z698&lt;=5200,"",IF($Z698&lt;=5800,IF(INDEX(次果筐明细!$M$4:$M$603,$Z698-5200)=0,"",INDEX(次果筐明细!$M$4:$M$603,$Z698-5200)),"")))))</f>
        <v/>
      </c>
      <c r="M698" s="37" t="str">
        <f>IF($Z698="","",IF($Z698&lt;=2000,IF(INDEX(包装物料出入库明细!$R$4:$R$2003,$Z698-0)=0,"",INDEX(包装物料出入库明细!$R$4:$R$2003,$Z698-0)),IF($Z698&lt;=4000,IF(INDEX(周转筐出入库明细!$W$4:$W$2004,$Z698-2000)=0,"",INDEX(周转筐出入库明细!$W$4:$W$2004,$Z698-2000)),IF($Z698&lt;=5200,IF(INDEX(客户自备加工筐明细!$L$4:$L$1203,$Z698-4000)=0,"",INDEX(客户自备加工筐明细!$L$4:$L$1203,$Z698-4000)),IF($Z698&lt;=5800,IF(INDEX(次果筐明细!$P$4:$P$603,$Z698-5200)=0,"",INDEX(次果筐明细!$P$4:$P$603,$Z698-5200)),"")))))</f>
        <v/>
      </c>
      <c r="N698" s="16" t="str">
        <f>IF($Z698="","",IF($Z698&lt;=2000,"",IF($Z698&lt;=4000,IF(INDEX(周转筐出入库明细!$D$4:$D$2004,$Z698-2000)=0,"",INDEX(周转筐出入库明细!$D$4:$D$2004,$Z698-2000)),IF($Z698&lt;=5200,IF(INDEX(客户自备加工筐明细!$C$4:$C$1203,$Z698-4000)=0,"",INDEX(客户自备加工筐明细!$C$4:$C$1203,$Z698-4000)),IF($Z698&lt;=5800,IF(INDEX(次果筐明细!$D$4:$D$603,$Z698-5200)=0,"",INDEX(次果筐明细!$D$4:$D$603,$Z698-5200)),"")))))</f>
        <v/>
      </c>
      <c r="O698" s="40" t="str">
        <f>IF($Z698="","",IF($Z698&lt;=2000,"",IF($Z698&lt;=4000,IF(N(INDEX(周转筐出入库明细!$J$4:$J$2004,$Z698-2000))+N(INDEX(周转筐出入库明细!$K$4:$K$2004,$Z698-2000))=0,"",N(INDEX(周转筐出入库明细!$J$4:$J$2004,$Z698-2000))+N(INDEX(周转筐出入库明细!$K$4:$K$2004,$Z698-2000))),IF($Z698&lt;=5200,IF(N(INDEX(客户自备加工筐明细!$G$4:$G$1203,$Z698-4000))=0,"",N(INDEX(客户自备加工筐明细!$G$4:$G$1203,$Z698-4000))),IF($Z698&lt;=5800,IF(ISNUMBER(SEARCH("退",INDEX(次果筐明细!$F$4:$F$603,$Z698-5200)&amp;"")),"",IF(N(INDEX(次果筐明细!$G$4:$G$603,$Z698-5200))=0,"",N(INDEX(次果筐明细!$G$4:$G$603,$Z698-5200)))),"")))))</f>
        <v/>
      </c>
      <c r="P698" s="40" t="str">
        <f>IF($Z698="","",IF($Z698&lt;=2000,"",IF($Z698&lt;=4000,IF(N(INDEX(周转筐出入库明细!$I$4:$I$2004,$Z698-2000))=0,"",N(INDEX(周转筐出入库明细!$I$4:$I$2004,$Z698-2000))),IF($Z698&lt;=5200,"",IF($Z698&lt;=5800,IF(ISNUMBER(SEARCH("退",INDEX(次果筐明细!$F$4:$F$603,$Z698-5200)&amp;"")),IF(N(INDEX(次果筐明细!$G$4:$G$603,$Z698-5200))=0,"",N(INDEX(次果筐明细!$G$4:$G$603,$Z698-5200))),""),"")))))</f>
        <v/>
      </c>
      <c r="Q698" s="40" t="str">
        <f>IF($Z698="","",IF($Z698&lt;=2000,"",IF($Z698&lt;=4000,IF(N(INDEX(周转筐出入库明细!$H$4:$H$2004,$Z698-2000))=0,"",N(INDEX(周转筐出入库明细!$H$4:$H$2004,$Z698-2000))),IF($Z698&lt;=5200,IF(N(INDEX(客户自备加工筐明细!$F$4:$F$1203,$Z698-4000))=0,"",N(INDEX(客户自备加工筐明细!$F$4:$F$1203,$Z698-4000))),IF($Z698&lt;=5800,"","")))))</f>
        <v/>
      </c>
      <c r="R698" s="16" t="str">
        <f>IF($Z698="","",IF($Z698&lt;=2000,IF(INDEX(包装物料出入库明细!$O$4:$O$2003,$Z698-0)=0,"",INDEX(包装物料出入库明细!$O$4:$O$2003,$Z698-0)),IF($Z698&lt;=4000,IF(INDEX(周转筐出入库明细!$M$4:$M$2004,$Z698-2000)=0,"",INDEX(周转筐出入库明细!$M$4:$M$2004,$Z698-2000)),IF($Z698&lt;=5200,IF(INDEX(客户自备加工筐明细!$H$4:$H$1203,$Z698-4000)=0,"",INDEX(客户自备加工筐明细!$H$4:$H$1203,$Z698-4000)),IF($Z698&lt;=5800,IF(INDEX(次果筐明细!$H$4:$H$603,$Z698-5200)=0,"",INDEX(次果筐明细!$H$4:$H$603,$Z698-5200)),"")))))</f>
        <v/>
      </c>
      <c r="S698" s="22" t="str">
        <f t="shared" si="32"/>
        <v/>
      </c>
      <c r="Z698" s="10" t="str">
        <f>IFERROR(MATCH(ROW()-3,_自动清单!$CQ$4:$CQ$5803,0),"")</f>
        <v/>
      </c>
    </row>
    <row r="699" spans="1:26">
      <c r="A699" s="24" t="str">
        <f t="shared" si="30"/>
        <v/>
      </c>
      <c r="B699" s="38" t="str">
        <f>IF($Z699="","",IF($Z699&lt;=2000,IF(INDEX(包装物料出入库明细!$B$4:$B$2003,$Z699-0)=0,"",INDEX(包装物料出入库明细!$B$4:$B$2003,$Z699-0)),IF($Z699&lt;=4000,IF(INDEX(周转筐出入库明细!$B$4:$B$2004,$Z699-2000)=0,"",INDEX(周转筐出入库明细!$B$4:$B$2004,$Z699-2000)),IF($Z699&lt;=5200,IF(INDEX(客户自备加工筐明细!$B$4:$B$1203,$Z699-4000)=0,"",INDEX(客户自备加工筐明细!$B$4:$B$1203,$Z699-4000)),IF($Z699&lt;=5800,IF(INDEX(次果筐明细!$B$4:$B$603,$Z699-5200)=0,"",INDEX(次果筐明细!$B$4:$B$603,$Z699-5200)),"")))))</f>
        <v/>
      </c>
      <c r="C699" s="37" t="str">
        <f>IF($Z699="","",IF($Z699&lt;=2000,IF(INDEX(包装物料出入库明细!$D$4:$D$2003,$Z699-0)=0,"",INDEX(包装物料出入库明细!$D$4:$D$2003,$Z699-0)),IF($Z699&lt;=4000,IF(INDEX(周转筐出入库明细!$C$4:$C$2004,$Z699-2000)=0,"",INDEX(周转筐出入库明细!$C$4:$C$2004,$Z699-2000)),IF($Z699&lt;=5200,IF(INDEX(客户自备加工筐明细!$E$4:$E$1203,$Z699-4000)=0,"",INDEX(客户自备加工筐明细!$E$4:$E$1203,$Z699-4000)),IF($Z699&lt;=5800,IF(INDEX(次果筐明细!$C$4:$C$603,$Z699-5200)=0,"",INDEX(次果筐明细!$C$4:$C$603,$Z699-5200)),"")))))</f>
        <v/>
      </c>
      <c r="D699" s="37" t="str">
        <f>IF($Z699="","",IF($Z699&lt;=2000,"包装物料－"&amp;INDEX(包装物料出入库明细!$H$4:$H$2003,$Z699-0),IF($Z699&lt;=4000,"周转筐－"&amp;INDEX(周转筐出入库明细!$F$4:$F$2004,$Z699-2000),IF($Z699&lt;=5200,"客户自备筐－"&amp;INDEX(客户自备加工筐明细!$J$4:$J$1203,$Z699-4000),IF($Z699&lt;=5800,"次果筐/托盘－"&amp;INDEX(次果筐明细!$F$4:$F$603,$Z699-5200),"")))))</f>
        <v/>
      </c>
      <c r="E699" s="24" t="str">
        <f>IF($Z699="","",IF($Z699&lt;=2000,IF(INDEX(包装物料出入库明细!$C$4:$C$2003,$Z699-0)=0,"",INDEX(包装物料出入库明细!$C$4:$C$2003,$Z699-0)),IF($Z699&lt;=4000,IF(INDEX(周转筐出入库明细!$E$4:$E$2004,$Z699-2000)=0,"",INDEX(周转筐出入库明细!$E$4:$E$2004,$Z699-2000)),IF($Z699&lt;=5200,IF(INDEX(客户自备加工筐明细!$D$4:$D$1203,$Z699-4000)=0,"",INDEX(客户自备加工筐明细!$D$4:$D$1203,$Z699-4000)),IF($Z699&lt;=5800,IF(INDEX(次果筐明细!$E$4:$E$603,$Z699-5200)=0,"",INDEX(次果筐明细!$E$4:$E$603,$Z699-5200)),"")))))</f>
        <v/>
      </c>
      <c r="F699" s="24" t="str">
        <f>IF($Z699="","",IF($Z699&lt;=2000,IF(INDEX(包装物料出入库明细!$E$4:$E$2003,$Z699-0)=0,"",INDEX(包装物料出入库明细!$E$4:$E$2003,$Z699-0)),IF($Z699&lt;=4000,IF(INDEX(周转筐出入库明细!$D$4:$D$2004,$Z699-2000)=0,"",INDEX(周转筐出入库明细!$D$4:$D$2004,$Z699-2000)),IF($Z699&lt;=5200,IF(INDEX(客户自备加工筐明细!$C$4:$C$1203,$Z699-4000)=0,"",INDEX(客户自备加工筐明细!$C$4:$C$1203,$Z699-4000)),IF($Z699&lt;=5800,IF(INDEX(次果筐明细!$D$4:$D$603,$Z699-5200)=0,"",INDEX(次果筐明细!$D$4:$D$603,$Z699-5200)),"")))))</f>
        <v/>
      </c>
      <c r="G699" s="24" t="str">
        <f>IF($Z699="","",IF($Z699&lt;=2000,IF(INDEX(包装物料出入库明细!$F$4:$F$2003,$Z699-0)=0,"",INDEX(包装物料出入库明细!$F$4:$F$2003,$Z699-0)),IF($Z699&lt;=4000,"",IF($Z699&lt;=5200,"",IF($Z699&lt;=5800,"","")))))</f>
        <v/>
      </c>
      <c r="H699" s="39" t="str">
        <f>IF($Z699="","",IF($Z699&lt;=2000,IF(INDEX(包装物料出入库明细!$L$4:$L$2003,$Z699-0)=0,"",INDEX(包装物料出入库明细!$L$4:$L$2003,$Z699-0)),IF($Z699&lt;=4000,N(INDEX(周转筐出入库明细!$H$4:$H$2004,$Z699-2000))+N(INDEX(周转筐出入库明细!$I$4:$I$2004,$Z699-2000))+N(INDEX(周转筐出入库明细!$J$4:$J$2004,$Z699-2000))+N(INDEX(周转筐出入库明细!$K$4:$K$2004,$Z699-2000)),IF($Z699&lt;=5200,N(INDEX(客户自备加工筐明细!$F$4:$F$1203,$Z699-4000))+N(INDEX(客户自备加工筐明细!$G$4:$G$1203,$Z699-4000)),IF($Z699&lt;=5800,IF(INDEX(次果筐明细!$G$4:$G$603,$Z699-5200)=0,"",INDEX(次果筐明细!$G$4:$G$603,$Z699-5200)),"")))))</f>
        <v/>
      </c>
      <c r="I699" s="24" t="str">
        <f>IF($Z699="","",IF($Z699&lt;=2000,IF(INDEX(包装物料出入库明细!$G$4:$G$2003,$Z699-0)=0,"",INDEX(包装物料出入库明细!$G$4:$G$2003,$Z699-0)),IF($Z699&lt;=4000,"个",IF($Z699&lt;=5200,"个",IF($Z699&lt;=5800,"个","")))))</f>
        <v/>
      </c>
      <c r="J699" s="30" t="str">
        <f t="shared" si="31"/>
        <v/>
      </c>
      <c r="K699" s="30" t="str">
        <f>IF($Z699="","",IF($Z699&lt;=2000,IF(INDEX(包装物料出入库明细!$N$4:$N$2003,$Z699-0)=0,"",INDEX(包装物料出入库明细!$N$4:$N$2003,$Z699-0)),IF($Z699&lt;=4000,IF(INDEX(周转筐出入库明细!$P$4:$P$2004,$Z699-2000)=0,"",INDEX(周转筐出入库明细!$P$4:$P$2004,$Z699-2000)),IF($Z699&lt;=5200,"",IF($Z699&lt;=5800,N(INDEX(次果筐明细!$L$4:$L$603,$Z699-5200))+N(INDEX(次果筐明细!$J$4:$J$603,$Z699-5200)),"")))))</f>
        <v/>
      </c>
      <c r="L699" s="24" t="str">
        <f>IF($Z699="","",IF($Z699&lt;=2000,IF(INDEX(包装物料出入库明细!$P$4:$P$2003,$Z699-0)=0,"",INDEX(包装物料出入库明细!$P$4:$P$2003,$Z699-0)),IF($Z699&lt;=4000,IF(INDEX(周转筐出入库明细!$Q$4:$Q$2004,$Z699-2000)=0,"",INDEX(周转筐出入库明细!$Q$4:$Q$2004,$Z699-2000)),IF($Z699&lt;=5200,"",IF($Z699&lt;=5800,IF(INDEX(次果筐明细!$M$4:$M$603,$Z699-5200)=0,"",INDEX(次果筐明细!$M$4:$M$603,$Z699-5200)),"")))))</f>
        <v/>
      </c>
      <c r="M699" s="37" t="str">
        <f>IF($Z699="","",IF($Z699&lt;=2000,IF(INDEX(包装物料出入库明细!$R$4:$R$2003,$Z699-0)=0,"",INDEX(包装物料出入库明细!$R$4:$R$2003,$Z699-0)),IF($Z699&lt;=4000,IF(INDEX(周转筐出入库明细!$W$4:$W$2004,$Z699-2000)=0,"",INDEX(周转筐出入库明细!$W$4:$W$2004,$Z699-2000)),IF($Z699&lt;=5200,IF(INDEX(客户自备加工筐明细!$L$4:$L$1203,$Z699-4000)=0,"",INDEX(客户自备加工筐明细!$L$4:$L$1203,$Z699-4000)),IF($Z699&lt;=5800,IF(INDEX(次果筐明细!$P$4:$P$603,$Z699-5200)=0,"",INDEX(次果筐明细!$P$4:$P$603,$Z699-5200)),"")))))</f>
        <v/>
      </c>
      <c r="N699" s="16" t="str">
        <f>IF($Z699="","",IF($Z699&lt;=2000,"",IF($Z699&lt;=4000,IF(INDEX(周转筐出入库明细!$D$4:$D$2004,$Z699-2000)=0,"",INDEX(周转筐出入库明细!$D$4:$D$2004,$Z699-2000)),IF($Z699&lt;=5200,IF(INDEX(客户自备加工筐明细!$C$4:$C$1203,$Z699-4000)=0,"",INDEX(客户自备加工筐明细!$C$4:$C$1203,$Z699-4000)),IF($Z699&lt;=5800,IF(INDEX(次果筐明细!$D$4:$D$603,$Z699-5200)=0,"",INDEX(次果筐明细!$D$4:$D$603,$Z699-5200)),"")))))</f>
        <v/>
      </c>
      <c r="O699" s="40" t="str">
        <f>IF($Z699="","",IF($Z699&lt;=2000,"",IF($Z699&lt;=4000,IF(N(INDEX(周转筐出入库明细!$J$4:$J$2004,$Z699-2000))+N(INDEX(周转筐出入库明细!$K$4:$K$2004,$Z699-2000))=0,"",N(INDEX(周转筐出入库明细!$J$4:$J$2004,$Z699-2000))+N(INDEX(周转筐出入库明细!$K$4:$K$2004,$Z699-2000))),IF($Z699&lt;=5200,IF(N(INDEX(客户自备加工筐明细!$G$4:$G$1203,$Z699-4000))=0,"",N(INDEX(客户自备加工筐明细!$G$4:$G$1203,$Z699-4000))),IF($Z699&lt;=5800,IF(ISNUMBER(SEARCH("退",INDEX(次果筐明细!$F$4:$F$603,$Z699-5200)&amp;"")),"",IF(N(INDEX(次果筐明细!$G$4:$G$603,$Z699-5200))=0,"",N(INDEX(次果筐明细!$G$4:$G$603,$Z699-5200)))),"")))))</f>
        <v/>
      </c>
      <c r="P699" s="40" t="str">
        <f>IF($Z699="","",IF($Z699&lt;=2000,"",IF($Z699&lt;=4000,IF(N(INDEX(周转筐出入库明细!$I$4:$I$2004,$Z699-2000))=0,"",N(INDEX(周转筐出入库明细!$I$4:$I$2004,$Z699-2000))),IF($Z699&lt;=5200,"",IF($Z699&lt;=5800,IF(ISNUMBER(SEARCH("退",INDEX(次果筐明细!$F$4:$F$603,$Z699-5200)&amp;"")),IF(N(INDEX(次果筐明细!$G$4:$G$603,$Z699-5200))=0,"",N(INDEX(次果筐明细!$G$4:$G$603,$Z699-5200))),""),"")))))</f>
        <v/>
      </c>
      <c r="Q699" s="40" t="str">
        <f>IF($Z699="","",IF($Z699&lt;=2000,"",IF($Z699&lt;=4000,IF(N(INDEX(周转筐出入库明细!$H$4:$H$2004,$Z699-2000))=0,"",N(INDEX(周转筐出入库明细!$H$4:$H$2004,$Z699-2000))),IF($Z699&lt;=5200,IF(N(INDEX(客户自备加工筐明细!$F$4:$F$1203,$Z699-4000))=0,"",N(INDEX(客户自备加工筐明细!$F$4:$F$1203,$Z699-4000))),IF($Z699&lt;=5800,"","")))))</f>
        <v/>
      </c>
      <c r="R699" s="16" t="str">
        <f>IF($Z699="","",IF($Z699&lt;=2000,IF(INDEX(包装物料出入库明细!$O$4:$O$2003,$Z699-0)=0,"",INDEX(包装物料出入库明细!$O$4:$O$2003,$Z699-0)),IF($Z699&lt;=4000,IF(INDEX(周转筐出入库明细!$M$4:$M$2004,$Z699-2000)=0,"",INDEX(周转筐出入库明细!$M$4:$M$2004,$Z699-2000)),IF($Z699&lt;=5200,IF(INDEX(客户自备加工筐明细!$H$4:$H$1203,$Z699-4000)=0,"",INDEX(客户自备加工筐明细!$H$4:$H$1203,$Z699-4000)),IF($Z699&lt;=5800,IF(INDEX(次果筐明细!$H$4:$H$603,$Z699-5200)=0,"",INDEX(次果筐明细!$H$4:$H$603,$Z699-5200)),"")))))</f>
        <v/>
      </c>
      <c r="S699" s="22" t="str">
        <f t="shared" si="32"/>
        <v/>
      </c>
      <c r="Z699" s="10" t="str">
        <f>IFERROR(MATCH(ROW()-3,_自动清单!$CQ$4:$CQ$5803,0),"")</f>
        <v/>
      </c>
    </row>
    <row r="700" spans="1:26">
      <c r="A700" s="24" t="str">
        <f t="shared" si="30"/>
        <v/>
      </c>
      <c r="B700" s="38" t="str">
        <f>IF($Z700="","",IF($Z700&lt;=2000,IF(INDEX(包装物料出入库明细!$B$4:$B$2003,$Z700-0)=0,"",INDEX(包装物料出入库明细!$B$4:$B$2003,$Z700-0)),IF($Z700&lt;=4000,IF(INDEX(周转筐出入库明细!$B$4:$B$2004,$Z700-2000)=0,"",INDEX(周转筐出入库明细!$B$4:$B$2004,$Z700-2000)),IF($Z700&lt;=5200,IF(INDEX(客户自备加工筐明细!$B$4:$B$1203,$Z700-4000)=0,"",INDEX(客户自备加工筐明细!$B$4:$B$1203,$Z700-4000)),IF($Z700&lt;=5800,IF(INDEX(次果筐明细!$B$4:$B$603,$Z700-5200)=0,"",INDEX(次果筐明细!$B$4:$B$603,$Z700-5200)),"")))))</f>
        <v/>
      </c>
      <c r="C700" s="37" t="str">
        <f>IF($Z700="","",IF($Z700&lt;=2000,IF(INDEX(包装物料出入库明细!$D$4:$D$2003,$Z700-0)=0,"",INDEX(包装物料出入库明细!$D$4:$D$2003,$Z700-0)),IF($Z700&lt;=4000,IF(INDEX(周转筐出入库明细!$C$4:$C$2004,$Z700-2000)=0,"",INDEX(周转筐出入库明细!$C$4:$C$2004,$Z700-2000)),IF($Z700&lt;=5200,IF(INDEX(客户自备加工筐明细!$E$4:$E$1203,$Z700-4000)=0,"",INDEX(客户自备加工筐明细!$E$4:$E$1203,$Z700-4000)),IF($Z700&lt;=5800,IF(INDEX(次果筐明细!$C$4:$C$603,$Z700-5200)=0,"",INDEX(次果筐明细!$C$4:$C$603,$Z700-5200)),"")))))</f>
        <v/>
      </c>
      <c r="D700" s="37" t="str">
        <f>IF($Z700="","",IF($Z700&lt;=2000,"包装物料－"&amp;INDEX(包装物料出入库明细!$H$4:$H$2003,$Z700-0),IF($Z700&lt;=4000,"周转筐－"&amp;INDEX(周转筐出入库明细!$F$4:$F$2004,$Z700-2000),IF($Z700&lt;=5200,"客户自备筐－"&amp;INDEX(客户自备加工筐明细!$J$4:$J$1203,$Z700-4000),IF($Z700&lt;=5800,"次果筐/托盘－"&amp;INDEX(次果筐明细!$F$4:$F$603,$Z700-5200),"")))))</f>
        <v/>
      </c>
      <c r="E700" s="24" t="str">
        <f>IF($Z700="","",IF($Z700&lt;=2000,IF(INDEX(包装物料出入库明细!$C$4:$C$2003,$Z700-0)=0,"",INDEX(包装物料出入库明细!$C$4:$C$2003,$Z700-0)),IF($Z700&lt;=4000,IF(INDEX(周转筐出入库明细!$E$4:$E$2004,$Z700-2000)=0,"",INDEX(周转筐出入库明细!$E$4:$E$2004,$Z700-2000)),IF($Z700&lt;=5200,IF(INDEX(客户自备加工筐明细!$D$4:$D$1203,$Z700-4000)=0,"",INDEX(客户自备加工筐明细!$D$4:$D$1203,$Z700-4000)),IF($Z700&lt;=5800,IF(INDEX(次果筐明细!$E$4:$E$603,$Z700-5200)=0,"",INDEX(次果筐明细!$E$4:$E$603,$Z700-5200)),"")))))</f>
        <v/>
      </c>
      <c r="F700" s="24" t="str">
        <f>IF($Z700="","",IF($Z700&lt;=2000,IF(INDEX(包装物料出入库明细!$E$4:$E$2003,$Z700-0)=0,"",INDEX(包装物料出入库明细!$E$4:$E$2003,$Z700-0)),IF($Z700&lt;=4000,IF(INDEX(周转筐出入库明细!$D$4:$D$2004,$Z700-2000)=0,"",INDEX(周转筐出入库明细!$D$4:$D$2004,$Z700-2000)),IF($Z700&lt;=5200,IF(INDEX(客户自备加工筐明细!$C$4:$C$1203,$Z700-4000)=0,"",INDEX(客户自备加工筐明细!$C$4:$C$1203,$Z700-4000)),IF($Z700&lt;=5800,IF(INDEX(次果筐明细!$D$4:$D$603,$Z700-5200)=0,"",INDEX(次果筐明细!$D$4:$D$603,$Z700-5200)),"")))))</f>
        <v/>
      </c>
      <c r="G700" s="24" t="str">
        <f>IF($Z700="","",IF($Z700&lt;=2000,IF(INDEX(包装物料出入库明细!$F$4:$F$2003,$Z700-0)=0,"",INDEX(包装物料出入库明细!$F$4:$F$2003,$Z700-0)),IF($Z700&lt;=4000,"",IF($Z700&lt;=5200,"",IF($Z700&lt;=5800,"","")))))</f>
        <v/>
      </c>
      <c r="H700" s="39" t="str">
        <f>IF($Z700="","",IF($Z700&lt;=2000,IF(INDEX(包装物料出入库明细!$L$4:$L$2003,$Z700-0)=0,"",INDEX(包装物料出入库明细!$L$4:$L$2003,$Z700-0)),IF($Z700&lt;=4000,N(INDEX(周转筐出入库明细!$H$4:$H$2004,$Z700-2000))+N(INDEX(周转筐出入库明细!$I$4:$I$2004,$Z700-2000))+N(INDEX(周转筐出入库明细!$J$4:$J$2004,$Z700-2000))+N(INDEX(周转筐出入库明细!$K$4:$K$2004,$Z700-2000)),IF($Z700&lt;=5200,N(INDEX(客户自备加工筐明细!$F$4:$F$1203,$Z700-4000))+N(INDEX(客户自备加工筐明细!$G$4:$G$1203,$Z700-4000)),IF($Z700&lt;=5800,IF(INDEX(次果筐明细!$G$4:$G$603,$Z700-5200)=0,"",INDEX(次果筐明细!$G$4:$G$603,$Z700-5200)),"")))))</f>
        <v/>
      </c>
      <c r="I700" s="24" t="str">
        <f>IF($Z700="","",IF($Z700&lt;=2000,IF(INDEX(包装物料出入库明细!$G$4:$G$2003,$Z700-0)=0,"",INDEX(包装物料出入库明细!$G$4:$G$2003,$Z700-0)),IF($Z700&lt;=4000,"个",IF($Z700&lt;=5200,"个",IF($Z700&lt;=5800,"个","")))))</f>
        <v/>
      </c>
      <c r="J700" s="30" t="str">
        <f t="shared" si="31"/>
        <v/>
      </c>
      <c r="K700" s="30" t="str">
        <f>IF($Z700="","",IF($Z700&lt;=2000,IF(INDEX(包装物料出入库明细!$N$4:$N$2003,$Z700-0)=0,"",INDEX(包装物料出入库明细!$N$4:$N$2003,$Z700-0)),IF($Z700&lt;=4000,IF(INDEX(周转筐出入库明细!$P$4:$P$2004,$Z700-2000)=0,"",INDEX(周转筐出入库明细!$P$4:$P$2004,$Z700-2000)),IF($Z700&lt;=5200,"",IF($Z700&lt;=5800,N(INDEX(次果筐明细!$L$4:$L$603,$Z700-5200))+N(INDEX(次果筐明细!$J$4:$J$603,$Z700-5200)),"")))))</f>
        <v/>
      </c>
      <c r="L700" s="24" t="str">
        <f>IF($Z700="","",IF($Z700&lt;=2000,IF(INDEX(包装物料出入库明细!$P$4:$P$2003,$Z700-0)=0,"",INDEX(包装物料出入库明细!$P$4:$P$2003,$Z700-0)),IF($Z700&lt;=4000,IF(INDEX(周转筐出入库明细!$Q$4:$Q$2004,$Z700-2000)=0,"",INDEX(周转筐出入库明细!$Q$4:$Q$2004,$Z700-2000)),IF($Z700&lt;=5200,"",IF($Z700&lt;=5800,IF(INDEX(次果筐明细!$M$4:$M$603,$Z700-5200)=0,"",INDEX(次果筐明细!$M$4:$M$603,$Z700-5200)),"")))))</f>
        <v/>
      </c>
      <c r="M700" s="37" t="str">
        <f>IF($Z700="","",IF($Z700&lt;=2000,IF(INDEX(包装物料出入库明细!$R$4:$R$2003,$Z700-0)=0,"",INDEX(包装物料出入库明细!$R$4:$R$2003,$Z700-0)),IF($Z700&lt;=4000,IF(INDEX(周转筐出入库明细!$W$4:$W$2004,$Z700-2000)=0,"",INDEX(周转筐出入库明细!$W$4:$W$2004,$Z700-2000)),IF($Z700&lt;=5200,IF(INDEX(客户自备加工筐明细!$L$4:$L$1203,$Z700-4000)=0,"",INDEX(客户自备加工筐明细!$L$4:$L$1203,$Z700-4000)),IF($Z700&lt;=5800,IF(INDEX(次果筐明细!$P$4:$P$603,$Z700-5200)=0,"",INDEX(次果筐明细!$P$4:$P$603,$Z700-5200)),"")))))</f>
        <v/>
      </c>
      <c r="N700" s="16" t="str">
        <f>IF($Z700="","",IF($Z700&lt;=2000,"",IF($Z700&lt;=4000,IF(INDEX(周转筐出入库明细!$D$4:$D$2004,$Z700-2000)=0,"",INDEX(周转筐出入库明细!$D$4:$D$2004,$Z700-2000)),IF($Z700&lt;=5200,IF(INDEX(客户自备加工筐明细!$C$4:$C$1203,$Z700-4000)=0,"",INDEX(客户自备加工筐明细!$C$4:$C$1203,$Z700-4000)),IF($Z700&lt;=5800,IF(INDEX(次果筐明细!$D$4:$D$603,$Z700-5200)=0,"",INDEX(次果筐明细!$D$4:$D$603,$Z700-5200)),"")))))</f>
        <v/>
      </c>
      <c r="O700" s="40" t="str">
        <f>IF($Z700="","",IF($Z700&lt;=2000,"",IF($Z700&lt;=4000,IF(N(INDEX(周转筐出入库明细!$J$4:$J$2004,$Z700-2000))+N(INDEX(周转筐出入库明细!$K$4:$K$2004,$Z700-2000))=0,"",N(INDEX(周转筐出入库明细!$J$4:$J$2004,$Z700-2000))+N(INDEX(周转筐出入库明细!$K$4:$K$2004,$Z700-2000))),IF($Z700&lt;=5200,IF(N(INDEX(客户自备加工筐明细!$G$4:$G$1203,$Z700-4000))=0,"",N(INDEX(客户自备加工筐明细!$G$4:$G$1203,$Z700-4000))),IF($Z700&lt;=5800,IF(ISNUMBER(SEARCH("退",INDEX(次果筐明细!$F$4:$F$603,$Z700-5200)&amp;"")),"",IF(N(INDEX(次果筐明细!$G$4:$G$603,$Z700-5200))=0,"",N(INDEX(次果筐明细!$G$4:$G$603,$Z700-5200)))),"")))))</f>
        <v/>
      </c>
      <c r="P700" s="40" t="str">
        <f>IF($Z700="","",IF($Z700&lt;=2000,"",IF($Z700&lt;=4000,IF(N(INDEX(周转筐出入库明细!$I$4:$I$2004,$Z700-2000))=0,"",N(INDEX(周转筐出入库明细!$I$4:$I$2004,$Z700-2000))),IF($Z700&lt;=5200,"",IF($Z700&lt;=5800,IF(ISNUMBER(SEARCH("退",INDEX(次果筐明细!$F$4:$F$603,$Z700-5200)&amp;"")),IF(N(INDEX(次果筐明细!$G$4:$G$603,$Z700-5200))=0,"",N(INDEX(次果筐明细!$G$4:$G$603,$Z700-5200))),""),"")))))</f>
        <v/>
      </c>
      <c r="Q700" s="40" t="str">
        <f>IF($Z700="","",IF($Z700&lt;=2000,"",IF($Z700&lt;=4000,IF(N(INDEX(周转筐出入库明细!$H$4:$H$2004,$Z700-2000))=0,"",N(INDEX(周转筐出入库明细!$H$4:$H$2004,$Z700-2000))),IF($Z700&lt;=5200,IF(N(INDEX(客户自备加工筐明细!$F$4:$F$1203,$Z700-4000))=0,"",N(INDEX(客户自备加工筐明细!$F$4:$F$1203,$Z700-4000))),IF($Z700&lt;=5800,"","")))))</f>
        <v/>
      </c>
      <c r="R700" s="16" t="str">
        <f>IF($Z700="","",IF($Z700&lt;=2000,IF(INDEX(包装物料出入库明细!$O$4:$O$2003,$Z700-0)=0,"",INDEX(包装物料出入库明细!$O$4:$O$2003,$Z700-0)),IF($Z700&lt;=4000,IF(INDEX(周转筐出入库明细!$M$4:$M$2004,$Z700-2000)=0,"",INDEX(周转筐出入库明细!$M$4:$M$2004,$Z700-2000)),IF($Z700&lt;=5200,IF(INDEX(客户自备加工筐明细!$H$4:$H$1203,$Z700-4000)=0,"",INDEX(客户自备加工筐明细!$H$4:$H$1203,$Z700-4000)),IF($Z700&lt;=5800,IF(INDEX(次果筐明细!$H$4:$H$603,$Z700-5200)=0,"",INDEX(次果筐明细!$H$4:$H$603,$Z700-5200)),"")))))</f>
        <v/>
      </c>
      <c r="S700" s="22" t="str">
        <f t="shared" si="32"/>
        <v/>
      </c>
      <c r="Z700" s="10" t="str">
        <f>IFERROR(MATCH(ROW()-3,_自动清单!$CQ$4:$CQ$5803,0),"")</f>
        <v/>
      </c>
    </row>
    <row r="701" spans="1:26">
      <c r="A701" s="24" t="str">
        <f t="shared" si="30"/>
        <v/>
      </c>
      <c r="B701" s="38" t="str">
        <f>IF($Z701="","",IF($Z701&lt;=2000,IF(INDEX(包装物料出入库明细!$B$4:$B$2003,$Z701-0)=0,"",INDEX(包装物料出入库明细!$B$4:$B$2003,$Z701-0)),IF($Z701&lt;=4000,IF(INDEX(周转筐出入库明细!$B$4:$B$2004,$Z701-2000)=0,"",INDEX(周转筐出入库明细!$B$4:$B$2004,$Z701-2000)),IF($Z701&lt;=5200,IF(INDEX(客户自备加工筐明细!$B$4:$B$1203,$Z701-4000)=0,"",INDEX(客户自备加工筐明细!$B$4:$B$1203,$Z701-4000)),IF($Z701&lt;=5800,IF(INDEX(次果筐明细!$B$4:$B$603,$Z701-5200)=0,"",INDEX(次果筐明细!$B$4:$B$603,$Z701-5200)),"")))))</f>
        <v/>
      </c>
      <c r="C701" s="37" t="str">
        <f>IF($Z701="","",IF($Z701&lt;=2000,IF(INDEX(包装物料出入库明细!$D$4:$D$2003,$Z701-0)=0,"",INDEX(包装物料出入库明细!$D$4:$D$2003,$Z701-0)),IF($Z701&lt;=4000,IF(INDEX(周转筐出入库明细!$C$4:$C$2004,$Z701-2000)=0,"",INDEX(周转筐出入库明细!$C$4:$C$2004,$Z701-2000)),IF($Z701&lt;=5200,IF(INDEX(客户自备加工筐明细!$E$4:$E$1203,$Z701-4000)=0,"",INDEX(客户自备加工筐明细!$E$4:$E$1203,$Z701-4000)),IF($Z701&lt;=5800,IF(INDEX(次果筐明细!$C$4:$C$603,$Z701-5200)=0,"",INDEX(次果筐明细!$C$4:$C$603,$Z701-5200)),"")))))</f>
        <v/>
      </c>
      <c r="D701" s="37" t="str">
        <f>IF($Z701="","",IF($Z701&lt;=2000,"包装物料－"&amp;INDEX(包装物料出入库明细!$H$4:$H$2003,$Z701-0),IF($Z701&lt;=4000,"周转筐－"&amp;INDEX(周转筐出入库明细!$F$4:$F$2004,$Z701-2000),IF($Z701&lt;=5200,"客户自备筐－"&amp;INDEX(客户自备加工筐明细!$J$4:$J$1203,$Z701-4000),IF($Z701&lt;=5800,"次果筐/托盘－"&amp;INDEX(次果筐明细!$F$4:$F$603,$Z701-5200),"")))))</f>
        <v/>
      </c>
      <c r="E701" s="24" t="str">
        <f>IF($Z701="","",IF($Z701&lt;=2000,IF(INDEX(包装物料出入库明细!$C$4:$C$2003,$Z701-0)=0,"",INDEX(包装物料出入库明细!$C$4:$C$2003,$Z701-0)),IF($Z701&lt;=4000,IF(INDEX(周转筐出入库明细!$E$4:$E$2004,$Z701-2000)=0,"",INDEX(周转筐出入库明细!$E$4:$E$2004,$Z701-2000)),IF($Z701&lt;=5200,IF(INDEX(客户自备加工筐明细!$D$4:$D$1203,$Z701-4000)=0,"",INDEX(客户自备加工筐明细!$D$4:$D$1203,$Z701-4000)),IF($Z701&lt;=5800,IF(INDEX(次果筐明细!$E$4:$E$603,$Z701-5200)=0,"",INDEX(次果筐明细!$E$4:$E$603,$Z701-5200)),"")))))</f>
        <v/>
      </c>
      <c r="F701" s="24" t="str">
        <f>IF($Z701="","",IF($Z701&lt;=2000,IF(INDEX(包装物料出入库明细!$E$4:$E$2003,$Z701-0)=0,"",INDEX(包装物料出入库明细!$E$4:$E$2003,$Z701-0)),IF($Z701&lt;=4000,IF(INDEX(周转筐出入库明细!$D$4:$D$2004,$Z701-2000)=0,"",INDEX(周转筐出入库明细!$D$4:$D$2004,$Z701-2000)),IF($Z701&lt;=5200,IF(INDEX(客户自备加工筐明细!$C$4:$C$1203,$Z701-4000)=0,"",INDEX(客户自备加工筐明细!$C$4:$C$1203,$Z701-4000)),IF($Z701&lt;=5800,IF(INDEX(次果筐明细!$D$4:$D$603,$Z701-5200)=0,"",INDEX(次果筐明细!$D$4:$D$603,$Z701-5200)),"")))))</f>
        <v/>
      </c>
      <c r="G701" s="24" t="str">
        <f>IF($Z701="","",IF($Z701&lt;=2000,IF(INDEX(包装物料出入库明细!$F$4:$F$2003,$Z701-0)=0,"",INDEX(包装物料出入库明细!$F$4:$F$2003,$Z701-0)),IF($Z701&lt;=4000,"",IF($Z701&lt;=5200,"",IF($Z701&lt;=5800,"","")))))</f>
        <v/>
      </c>
      <c r="H701" s="39" t="str">
        <f>IF($Z701="","",IF($Z701&lt;=2000,IF(INDEX(包装物料出入库明细!$L$4:$L$2003,$Z701-0)=0,"",INDEX(包装物料出入库明细!$L$4:$L$2003,$Z701-0)),IF($Z701&lt;=4000,N(INDEX(周转筐出入库明细!$H$4:$H$2004,$Z701-2000))+N(INDEX(周转筐出入库明细!$I$4:$I$2004,$Z701-2000))+N(INDEX(周转筐出入库明细!$J$4:$J$2004,$Z701-2000))+N(INDEX(周转筐出入库明细!$K$4:$K$2004,$Z701-2000)),IF($Z701&lt;=5200,N(INDEX(客户自备加工筐明细!$F$4:$F$1203,$Z701-4000))+N(INDEX(客户自备加工筐明细!$G$4:$G$1203,$Z701-4000)),IF($Z701&lt;=5800,IF(INDEX(次果筐明细!$G$4:$G$603,$Z701-5200)=0,"",INDEX(次果筐明细!$G$4:$G$603,$Z701-5200)),"")))))</f>
        <v/>
      </c>
      <c r="I701" s="24" t="str">
        <f>IF($Z701="","",IF($Z701&lt;=2000,IF(INDEX(包装物料出入库明细!$G$4:$G$2003,$Z701-0)=0,"",INDEX(包装物料出入库明细!$G$4:$G$2003,$Z701-0)),IF($Z701&lt;=4000,"个",IF($Z701&lt;=5200,"个",IF($Z701&lt;=5800,"个","")))))</f>
        <v/>
      </c>
      <c r="J701" s="30" t="str">
        <f t="shared" si="31"/>
        <v/>
      </c>
      <c r="K701" s="30" t="str">
        <f>IF($Z701="","",IF($Z701&lt;=2000,IF(INDEX(包装物料出入库明细!$N$4:$N$2003,$Z701-0)=0,"",INDEX(包装物料出入库明细!$N$4:$N$2003,$Z701-0)),IF($Z701&lt;=4000,IF(INDEX(周转筐出入库明细!$P$4:$P$2004,$Z701-2000)=0,"",INDEX(周转筐出入库明细!$P$4:$P$2004,$Z701-2000)),IF($Z701&lt;=5200,"",IF($Z701&lt;=5800,N(INDEX(次果筐明细!$L$4:$L$603,$Z701-5200))+N(INDEX(次果筐明细!$J$4:$J$603,$Z701-5200)),"")))))</f>
        <v/>
      </c>
      <c r="L701" s="24" t="str">
        <f>IF($Z701="","",IF($Z701&lt;=2000,IF(INDEX(包装物料出入库明细!$P$4:$P$2003,$Z701-0)=0,"",INDEX(包装物料出入库明细!$P$4:$P$2003,$Z701-0)),IF($Z701&lt;=4000,IF(INDEX(周转筐出入库明细!$Q$4:$Q$2004,$Z701-2000)=0,"",INDEX(周转筐出入库明细!$Q$4:$Q$2004,$Z701-2000)),IF($Z701&lt;=5200,"",IF($Z701&lt;=5800,IF(INDEX(次果筐明细!$M$4:$M$603,$Z701-5200)=0,"",INDEX(次果筐明细!$M$4:$M$603,$Z701-5200)),"")))))</f>
        <v/>
      </c>
      <c r="M701" s="37" t="str">
        <f>IF($Z701="","",IF($Z701&lt;=2000,IF(INDEX(包装物料出入库明细!$R$4:$R$2003,$Z701-0)=0,"",INDEX(包装物料出入库明细!$R$4:$R$2003,$Z701-0)),IF($Z701&lt;=4000,IF(INDEX(周转筐出入库明细!$W$4:$W$2004,$Z701-2000)=0,"",INDEX(周转筐出入库明细!$W$4:$W$2004,$Z701-2000)),IF($Z701&lt;=5200,IF(INDEX(客户自备加工筐明细!$L$4:$L$1203,$Z701-4000)=0,"",INDEX(客户自备加工筐明细!$L$4:$L$1203,$Z701-4000)),IF($Z701&lt;=5800,IF(INDEX(次果筐明细!$P$4:$P$603,$Z701-5200)=0,"",INDEX(次果筐明细!$P$4:$P$603,$Z701-5200)),"")))))</f>
        <v/>
      </c>
      <c r="N701" s="16" t="str">
        <f>IF($Z701="","",IF($Z701&lt;=2000,"",IF($Z701&lt;=4000,IF(INDEX(周转筐出入库明细!$D$4:$D$2004,$Z701-2000)=0,"",INDEX(周转筐出入库明细!$D$4:$D$2004,$Z701-2000)),IF($Z701&lt;=5200,IF(INDEX(客户自备加工筐明细!$C$4:$C$1203,$Z701-4000)=0,"",INDEX(客户自备加工筐明细!$C$4:$C$1203,$Z701-4000)),IF($Z701&lt;=5800,IF(INDEX(次果筐明细!$D$4:$D$603,$Z701-5200)=0,"",INDEX(次果筐明细!$D$4:$D$603,$Z701-5200)),"")))))</f>
        <v/>
      </c>
      <c r="O701" s="40" t="str">
        <f>IF($Z701="","",IF($Z701&lt;=2000,"",IF($Z701&lt;=4000,IF(N(INDEX(周转筐出入库明细!$J$4:$J$2004,$Z701-2000))+N(INDEX(周转筐出入库明细!$K$4:$K$2004,$Z701-2000))=0,"",N(INDEX(周转筐出入库明细!$J$4:$J$2004,$Z701-2000))+N(INDEX(周转筐出入库明细!$K$4:$K$2004,$Z701-2000))),IF($Z701&lt;=5200,IF(N(INDEX(客户自备加工筐明细!$G$4:$G$1203,$Z701-4000))=0,"",N(INDEX(客户自备加工筐明细!$G$4:$G$1203,$Z701-4000))),IF($Z701&lt;=5800,IF(ISNUMBER(SEARCH("退",INDEX(次果筐明细!$F$4:$F$603,$Z701-5200)&amp;"")),"",IF(N(INDEX(次果筐明细!$G$4:$G$603,$Z701-5200))=0,"",N(INDEX(次果筐明细!$G$4:$G$603,$Z701-5200)))),"")))))</f>
        <v/>
      </c>
      <c r="P701" s="40" t="str">
        <f>IF($Z701="","",IF($Z701&lt;=2000,"",IF($Z701&lt;=4000,IF(N(INDEX(周转筐出入库明细!$I$4:$I$2004,$Z701-2000))=0,"",N(INDEX(周转筐出入库明细!$I$4:$I$2004,$Z701-2000))),IF($Z701&lt;=5200,"",IF($Z701&lt;=5800,IF(ISNUMBER(SEARCH("退",INDEX(次果筐明细!$F$4:$F$603,$Z701-5200)&amp;"")),IF(N(INDEX(次果筐明细!$G$4:$G$603,$Z701-5200))=0,"",N(INDEX(次果筐明细!$G$4:$G$603,$Z701-5200))),""),"")))))</f>
        <v/>
      </c>
      <c r="Q701" s="40" t="str">
        <f>IF($Z701="","",IF($Z701&lt;=2000,"",IF($Z701&lt;=4000,IF(N(INDEX(周转筐出入库明细!$H$4:$H$2004,$Z701-2000))=0,"",N(INDEX(周转筐出入库明细!$H$4:$H$2004,$Z701-2000))),IF($Z701&lt;=5200,IF(N(INDEX(客户自备加工筐明细!$F$4:$F$1203,$Z701-4000))=0,"",N(INDEX(客户自备加工筐明细!$F$4:$F$1203,$Z701-4000))),IF($Z701&lt;=5800,"","")))))</f>
        <v/>
      </c>
      <c r="R701" s="16" t="str">
        <f>IF($Z701="","",IF($Z701&lt;=2000,IF(INDEX(包装物料出入库明细!$O$4:$O$2003,$Z701-0)=0,"",INDEX(包装物料出入库明细!$O$4:$O$2003,$Z701-0)),IF($Z701&lt;=4000,IF(INDEX(周转筐出入库明细!$M$4:$M$2004,$Z701-2000)=0,"",INDEX(周转筐出入库明细!$M$4:$M$2004,$Z701-2000)),IF($Z701&lt;=5200,IF(INDEX(客户自备加工筐明细!$H$4:$H$1203,$Z701-4000)=0,"",INDEX(客户自备加工筐明细!$H$4:$H$1203,$Z701-4000)),IF($Z701&lt;=5800,IF(INDEX(次果筐明细!$H$4:$H$603,$Z701-5200)=0,"",INDEX(次果筐明细!$H$4:$H$603,$Z701-5200)),"")))))</f>
        <v/>
      </c>
      <c r="S701" s="22" t="str">
        <f t="shared" si="32"/>
        <v/>
      </c>
      <c r="Z701" s="10" t="str">
        <f>IFERROR(MATCH(ROW()-3,_自动清单!$CQ$4:$CQ$5803,0),"")</f>
        <v/>
      </c>
    </row>
    <row r="702" spans="1:26">
      <c r="A702" s="24" t="str">
        <f t="shared" si="30"/>
        <v/>
      </c>
      <c r="B702" s="38" t="str">
        <f>IF($Z702="","",IF($Z702&lt;=2000,IF(INDEX(包装物料出入库明细!$B$4:$B$2003,$Z702-0)=0,"",INDEX(包装物料出入库明细!$B$4:$B$2003,$Z702-0)),IF($Z702&lt;=4000,IF(INDEX(周转筐出入库明细!$B$4:$B$2004,$Z702-2000)=0,"",INDEX(周转筐出入库明细!$B$4:$B$2004,$Z702-2000)),IF($Z702&lt;=5200,IF(INDEX(客户自备加工筐明细!$B$4:$B$1203,$Z702-4000)=0,"",INDEX(客户自备加工筐明细!$B$4:$B$1203,$Z702-4000)),IF($Z702&lt;=5800,IF(INDEX(次果筐明细!$B$4:$B$603,$Z702-5200)=0,"",INDEX(次果筐明细!$B$4:$B$603,$Z702-5200)),"")))))</f>
        <v/>
      </c>
      <c r="C702" s="37" t="str">
        <f>IF($Z702="","",IF($Z702&lt;=2000,IF(INDEX(包装物料出入库明细!$D$4:$D$2003,$Z702-0)=0,"",INDEX(包装物料出入库明细!$D$4:$D$2003,$Z702-0)),IF($Z702&lt;=4000,IF(INDEX(周转筐出入库明细!$C$4:$C$2004,$Z702-2000)=0,"",INDEX(周转筐出入库明细!$C$4:$C$2004,$Z702-2000)),IF($Z702&lt;=5200,IF(INDEX(客户自备加工筐明细!$E$4:$E$1203,$Z702-4000)=0,"",INDEX(客户自备加工筐明细!$E$4:$E$1203,$Z702-4000)),IF($Z702&lt;=5800,IF(INDEX(次果筐明细!$C$4:$C$603,$Z702-5200)=0,"",INDEX(次果筐明细!$C$4:$C$603,$Z702-5200)),"")))))</f>
        <v/>
      </c>
      <c r="D702" s="37" t="str">
        <f>IF($Z702="","",IF($Z702&lt;=2000,"包装物料－"&amp;INDEX(包装物料出入库明细!$H$4:$H$2003,$Z702-0),IF($Z702&lt;=4000,"周转筐－"&amp;INDEX(周转筐出入库明细!$F$4:$F$2004,$Z702-2000),IF($Z702&lt;=5200,"客户自备筐－"&amp;INDEX(客户自备加工筐明细!$J$4:$J$1203,$Z702-4000),IF($Z702&lt;=5800,"次果筐/托盘－"&amp;INDEX(次果筐明细!$F$4:$F$603,$Z702-5200),"")))))</f>
        <v/>
      </c>
      <c r="E702" s="24" t="str">
        <f>IF($Z702="","",IF($Z702&lt;=2000,IF(INDEX(包装物料出入库明细!$C$4:$C$2003,$Z702-0)=0,"",INDEX(包装物料出入库明细!$C$4:$C$2003,$Z702-0)),IF($Z702&lt;=4000,IF(INDEX(周转筐出入库明细!$E$4:$E$2004,$Z702-2000)=0,"",INDEX(周转筐出入库明细!$E$4:$E$2004,$Z702-2000)),IF($Z702&lt;=5200,IF(INDEX(客户自备加工筐明细!$D$4:$D$1203,$Z702-4000)=0,"",INDEX(客户自备加工筐明细!$D$4:$D$1203,$Z702-4000)),IF($Z702&lt;=5800,IF(INDEX(次果筐明细!$E$4:$E$603,$Z702-5200)=0,"",INDEX(次果筐明细!$E$4:$E$603,$Z702-5200)),"")))))</f>
        <v/>
      </c>
      <c r="F702" s="24" t="str">
        <f>IF($Z702="","",IF($Z702&lt;=2000,IF(INDEX(包装物料出入库明细!$E$4:$E$2003,$Z702-0)=0,"",INDEX(包装物料出入库明细!$E$4:$E$2003,$Z702-0)),IF($Z702&lt;=4000,IF(INDEX(周转筐出入库明细!$D$4:$D$2004,$Z702-2000)=0,"",INDEX(周转筐出入库明细!$D$4:$D$2004,$Z702-2000)),IF($Z702&lt;=5200,IF(INDEX(客户自备加工筐明细!$C$4:$C$1203,$Z702-4000)=0,"",INDEX(客户自备加工筐明细!$C$4:$C$1203,$Z702-4000)),IF($Z702&lt;=5800,IF(INDEX(次果筐明细!$D$4:$D$603,$Z702-5200)=0,"",INDEX(次果筐明细!$D$4:$D$603,$Z702-5200)),"")))))</f>
        <v/>
      </c>
      <c r="G702" s="24" t="str">
        <f>IF($Z702="","",IF($Z702&lt;=2000,IF(INDEX(包装物料出入库明细!$F$4:$F$2003,$Z702-0)=0,"",INDEX(包装物料出入库明细!$F$4:$F$2003,$Z702-0)),IF($Z702&lt;=4000,"",IF($Z702&lt;=5200,"",IF($Z702&lt;=5800,"","")))))</f>
        <v/>
      </c>
      <c r="H702" s="39" t="str">
        <f>IF($Z702="","",IF($Z702&lt;=2000,IF(INDEX(包装物料出入库明细!$L$4:$L$2003,$Z702-0)=0,"",INDEX(包装物料出入库明细!$L$4:$L$2003,$Z702-0)),IF($Z702&lt;=4000,N(INDEX(周转筐出入库明细!$H$4:$H$2004,$Z702-2000))+N(INDEX(周转筐出入库明细!$I$4:$I$2004,$Z702-2000))+N(INDEX(周转筐出入库明细!$J$4:$J$2004,$Z702-2000))+N(INDEX(周转筐出入库明细!$K$4:$K$2004,$Z702-2000)),IF($Z702&lt;=5200,N(INDEX(客户自备加工筐明细!$F$4:$F$1203,$Z702-4000))+N(INDEX(客户自备加工筐明细!$G$4:$G$1203,$Z702-4000)),IF($Z702&lt;=5800,IF(INDEX(次果筐明细!$G$4:$G$603,$Z702-5200)=0,"",INDEX(次果筐明细!$G$4:$G$603,$Z702-5200)),"")))))</f>
        <v/>
      </c>
      <c r="I702" s="24" t="str">
        <f>IF($Z702="","",IF($Z702&lt;=2000,IF(INDEX(包装物料出入库明细!$G$4:$G$2003,$Z702-0)=0,"",INDEX(包装物料出入库明细!$G$4:$G$2003,$Z702-0)),IF($Z702&lt;=4000,"个",IF($Z702&lt;=5200,"个",IF($Z702&lt;=5800,"个","")))))</f>
        <v/>
      </c>
      <c r="J702" s="30" t="str">
        <f t="shared" si="31"/>
        <v/>
      </c>
      <c r="K702" s="30" t="str">
        <f>IF($Z702="","",IF($Z702&lt;=2000,IF(INDEX(包装物料出入库明细!$N$4:$N$2003,$Z702-0)=0,"",INDEX(包装物料出入库明细!$N$4:$N$2003,$Z702-0)),IF($Z702&lt;=4000,IF(INDEX(周转筐出入库明细!$P$4:$P$2004,$Z702-2000)=0,"",INDEX(周转筐出入库明细!$P$4:$P$2004,$Z702-2000)),IF($Z702&lt;=5200,"",IF($Z702&lt;=5800,N(INDEX(次果筐明细!$L$4:$L$603,$Z702-5200))+N(INDEX(次果筐明细!$J$4:$J$603,$Z702-5200)),"")))))</f>
        <v/>
      </c>
      <c r="L702" s="24" t="str">
        <f>IF($Z702="","",IF($Z702&lt;=2000,IF(INDEX(包装物料出入库明细!$P$4:$P$2003,$Z702-0)=0,"",INDEX(包装物料出入库明细!$P$4:$P$2003,$Z702-0)),IF($Z702&lt;=4000,IF(INDEX(周转筐出入库明细!$Q$4:$Q$2004,$Z702-2000)=0,"",INDEX(周转筐出入库明细!$Q$4:$Q$2004,$Z702-2000)),IF($Z702&lt;=5200,"",IF($Z702&lt;=5800,IF(INDEX(次果筐明细!$M$4:$M$603,$Z702-5200)=0,"",INDEX(次果筐明细!$M$4:$M$603,$Z702-5200)),"")))))</f>
        <v/>
      </c>
      <c r="M702" s="37" t="str">
        <f>IF($Z702="","",IF($Z702&lt;=2000,IF(INDEX(包装物料出入库明细!$R$4:$R$2003,$Z702-0)=0,"",INDEX(包装物料出入库明细!$R$4:$R$2003,$Z702-0)),IF($Z702&lt;=4000,IF(INDEX(周转筐出入库明细!$W$4:$W$2004,$Z702-2000)=0,"",INDEX(周转筐出入库明细!$W$4:$W$2004,$Z702-2000)),IF($Z702&lt;=5200,IF(INDEX(客户自备加工筐明细!$L$4:$L$1203,$Z702-4000)=0,"",INDEX(客户自备加工筐明细!$L$4:$L$1203,$Z702-4000)),IF($Z702&lt;=5800,IF(INDEX(次果筐明细!$P$4:$P$603,$Z702-5200)=0,"",INDEX(次果筐明细!$P$4:$P$603,$Z702-5200)),"")))))</f>
        <v/>
      </c>
      <c r="N702" s="16" t="str">
        <f>IF($Z702="","",IF($Z702&lt;=2000,"",IF($Z702&lt;=4000,IF(INDEX(周转筐出入库明细!$D$4:$D$2004,$Z702-2000)=0,"",INDEX(周转筐出入库明细!$D$4:$D$2004,$Z702-2000)),IF($Z702&lt;=5200,IF(INDEX(客户自备加工筐明细!$C$4:$C$1203,$Z702-4000)=0,"",INDEX(客户自备加工筐明细!$C$4:$C$1203,$Z702-4000)),IF($Z702&lt;=5800,IF(INDEX(次果筐明细!$D$4:$D$603,$Z702-5200)=0,"",INDEX(次果筐明细!$D$4:$D$603,$Z702-5200)),"")))))</f>
        <v/>
      </c>
      <c r="O702" s="40" t="str">
        <f>IF($Z702="","",IF($Z702&lt;=2000,"",IF($Z702&lt;=4000,IF(N(INDEX(周转筐出入库明细!$J$4:$J$2004,$Z702-2000))+N(INDEX(周转筐出入库明细!$K$4:$K$2004,$Z702-2000))=0,"",N(INDEX(周转筐出入库明细!$J$4:$J$2004,$Z702-2000))+N(INDEX(周转筐出入库明细!$K$4:$K$2004,$Z702-2000))),IF($Z702&lt;=5200,IF(N(INDEX(客户自备加工筐明细!$G$4:$G$1203,$Z702-4000))=0,"",N(INDEX(客户自备加工筐明细!$G$4:$G$1203,$Z702-4000))),IF($Z702&lt;=5800,IF(ISNUMBER(SEARCH("退",INDEX(次果筐明细!$F$4:$F$603,$Z702-5200)&amp;"")),"",IF(N(INDEX(次果筐明细!$G$4:$G$603,$Z702-5200))=0,"",N(INDEX(次果筐明细!$G$4:$G$603,$Z702-5200)))),"")))))</f>
        <v/>
      </c>
      <c r="P702" s="40" t="str">
        <f>IF($Z702="","",IF($Z702&lt;=2000,"",IF($Z702&lt;=4000,IF(N(INDEX(周转筐出入库明细!$I$4:$I$2004,$Z702-2000))=0,"",N(INDEX(周转筐出入库明细!$I$4:$I$2004,$Z702-2000))),IF($Z702&lt;=5200,"",IF($Z702&lt;=5800,IF(ISNUMBER(SEARCH("退",INDEX(次果筐明细!$F$4:$F$603,$Z702-5200)&amp;"")),IF(N(INDEX(次果筐明细!$G$4:$G$603,$Z702-5200))=0,"",N(INDEX(次果筐明细!$G$4:$G$603,$Z702-5200))),""),"")))))</f>
        <v/>
      </c>
      <c r="Q702" s="40" t="str">
        <f>IF($Z702="","",IF($Z702&lt;=2000,"",IF($Z702&lt;=4000,IF(N(INDEX(周转筐出入库明细!$H$4:$H$2004,$Z702-2000))=0,"",N(INDEX(周转筐出入库明细!$H$4:$H$2004,$Z702-2000))),IF($Z702&lt;=5200,IF(N(INDEX(客户自备加工筐明细!$F$4:$F$1203,$Z702-4000))=0,"",N(INDEX(客户自备加工筐明细!$F$4:$F$1203,$Z702-4000))),IF($Z702&lt;=5800,"","")))))</f>
        <v/>
      </c>
      <c r="R702" s="16" t="str">
        <f>IF($Z702="","",IF($Z702&lt;=2000,IF(INDEX(包装物料出入库明细!$O$4:$O$2003,$Z702-0)=0,"",INDEX(包装物料出入库明细!$O$4:$O$2003,$Z702-0)),IF($Z702&lt;=4000,IF(INDEX(周转筐出入库明细!$M$4:$M$2004,$Z702-2000)=0,"",INDEX(周转筐出入库明细!$M$4:$M$2004,$Z702-2000)),IF($Z702&lt;=5200,IF(INDEX(客户自备加工筐明细!$H$4:$H$1203,$Z702-4000)=0,"",INDEX(客户自备加工筐明细!$H$4:$H$1203,$Z702-4000)),IF($Z702&lt;=5800,IF(INDEX(次果筐明细!$H$4:$H$603,$Z702-5200)=0,"",INDEX(次果筐明细!$H$4:$H$603,$Z702-5200)),"")))))</f>
        <v/>
      </c>
      <c r="S702" s="22" t="str">
        <f t="shared" si="32"/>
        <v/>
      </c>
      <c r="Z702" s="10" t="str">
        <f>IFERROR(MATCH(ROW()-3,_自动清单!$CQ$4:$CQ$5803,0),"")</f>
        <v/>
      </c>
    </row>
    <row r="703" spans="1:26">
      <c r="A703" s="24" t="str">
        <f t="shared" si="30"/>
        <v/>
      </c>
      <c r="B703" s="38" t="str">
        <f>IF($Z703="","",IF($Z703&lt;=2000,IF(INDEX(包装物料出入库明细!$B$4:$B$2003,$Z703-0)=0,"",INDEX(包装物料出入库明细!$B$4:$B$2003,$Z703-0)),IF($Z703&lt;=4000,IF(INDEX(周转筐出入库明细!$B$4:$B$2004,$Z703-2000)=0,"",INDEX(周转筐出入库明细!$B$4:$B$2004,$Z703-2000)),IF($Z703&lt;=5200,IF(INDEX(客户自备加工筐明细!$B$4:$B$1203,$Z703-4000)=0,"",INDEX(客户自备加工筐明细!$B$4:$B$1203,$Z703-4000)),IF($Z703&lt;=5800,IF(INDEX(次果筐明细!$B$4:$B$603,$Z703-5200)=0,"",INDEX(次果筐明细!$B$4:$B$603,$Z703-5200)),"")))))</f>
        <v/>
      </c>
      <c r="C703" s="37" t="str">
        <f>IF($Z703="","",IF($Z703&lt;=2000,IF(INDEX(包装物料出入库明细!$D$4:$D$2003,$Z703-0)=0,"",INDEX(包装物料出入库明细!$D$4:$D$2003,$Z703-0)),IF($Z703&lt;=4000,IF(INDEX(周转筐出入库明细!$C$4:$C$2004,$Z703-2000)=0,"",INDEX(周转筐出入库明细!$C$4:$C$2004,$Z703-2000)),IF($Z703&lt;=5200,IF(INDEX(客户自备加工筐明细!$E$4:$E$1203,$Z703-4000)=0,"",INDEX(客户自备加工筐明细!$E$4:$E$1203,$Z703-4000)),IF($Z703&lt;=5800,IF(INDEX(次果筐明细!$C$4:$C$603,$Z703-5200)=0,"",INDEX(次果筐明细!$C$4:$C$603,$Z703-5200)),"")))))</f>
        <v/>
      </c>
      <c r="D703" s="37" t="str">
        <f>IF($Z703="","",IF($Z703&lt;=2000,"包装物料－"&amp;INDEX(包装物料出入库明细!$H$4:$H$2003,$Z703-0),IF($Z703&lt;=4000,"周转筐－"&amp;INDEX(周转筐出入库明细!$F$4:$F$2004,$Z703-2000),IF($Z703&lt;=5200,"客户自备筐－"&amp;INDEX(客户自备加工筐明细!$J$4:$J$1203,$Z703-4000),IF($Z703&lt;=5800,"次果筐/托盘－"&amp;INDEX(次果筐明细!$F$4:$F$603,$Z703-5200),"")))))</f>
        <v/>
      </c>
      <c r="E703" s="24" t="str">
        <f>IF($Z703="","",IF($Z703&lt;=2000,IF(INDEX(包装物料出入库明细!$C$4:$C$2003,$Z703-0)=0,"",INDEX(包装物料出入库明细!$C$4:$C$2003,$Z703-0)),IF($Z703&lt;=4000,IF(INDEX(周转筐出入库明细!$E$4:$E$2004,$Z703-2000)=0,"",INDEX(周转筐出入库明细!$E$4:$E$2004,$Z703-2000)),IF($Z703&lt;=5200,IF(INDEX(客户自备加工筐明细!$D$4:$D$1203,$Z703-4000)=0,"",INDEX(客户自备加工筐明细!$D$4:$D$1203,$Z703-4000)),IF($Z703&lt;=5800,IF(INDEX(次果筐明细!$E$4:$E$603,$Z703-5200)=0,"",INDEX(次果筐明细!$E$4:$E$603,$Z703-5200)),"")))))</f>
        <v/>
      </c>
      <c r="F703" s="24" t="str">
        <f>IF($Z703="","",IF($Z703&lt;=2000,IF(INDEX(包装物料出入库明细!$E$4:$E$2003,$Z703-0)=0,"",INDEX(包装物料出入库明细!$E$4:$E$2003,$Z703-0)),IF($Z703&lt;=4000,IF(INDEX(周转筐出入库明细!$D$4:$D$2004,$Z703-2000)=0,"",INDEX(周转筐出入库明细!$D$4:$D$2004,$Z703-2000)),IF($Z703&lt;=5200,IF(INDEX(客户自备加工筐明细!$C$4:$C$1203,$Z703-4000)=0,"",INDEX(客户自备加工筐明细!$C$4:$C$1203,$Z703-4000)),IF($Z703&lt;=5800,IF(INDEX(次果筐明细!$D$4:$D$603,$Z703-5200)=0,"",INDEX(次果筐明细!$D$4:$D$603,$Z703-5200)),"")))))</f>
        <v/>
      </c>
      <c r="G703" s="24" t="str">
        <f>IF($Z703="","",IF($Z703&lt;=2000,IF(INDEX(包装物料出入库明细!$F$4:$F$2003,$Z703-0)=0,"",INDEX(包装物料出入库明细!$F$4:$F$2003,$Z703-0)),IF($Z703&lt;=4000,"",IF($Z703&lt;=5200,"",IF($Z703&lt;=5800,"","")))))</f>
        <v/>
      </c>
      <c r="H703" s="39" t="str">
        <f>IF($Z703="","",IF($Z703&lt;=2000,IF(INDEX(包装物料出入库明细!$L$4:$L$2003,$Z703-0)=0,"",INDEX(包装物料出入库明细!$L$4:$L$2003,$Z703-0)),IF($Z703&lt;=4000,N(INDEX(周转筐出入库明细!$H$4:$H$2004,$Z703-2000))+N(INDEX(周转筐出入库明细!$I$4:$I$2004,$Z703-2000))+N(INDEX(周转筐出入库明细!$J$4:$J$2004,$Z703-2000))+N(INDEX(周转筐出入库明细!$K$4:$K$2004,$Z703-2000)),IF($Z703&lt;=5200,N(INDEX(客户自备加工筐明细!$F$4:$F$1203,$Z703-4000))+N(INDEX(客户自备加工筐明细!$G$4:$G$1203,$Z703-4000)),IF($Z703&lt;=5800,IF(INDEX(次果筐明细!$G$4:$G$603,$Z703-5200)=0,"",INDEX(次果筐明细!$G$4:$G$603,$Z703-5200)),"")))))</f>
        <v/>
      </c>
      <c r="I703" s="24" t="str">
        <f>IF($Z703="","",IF($Z703&lt;=2000,IF(INDEX(包装物料出入库明细!$G$4:$G$2003,$Z703-0)=0,"",INDEX(包装物料出入库明细!$G$4:$G$2003,$Z703-0)),IF($Z703&lt;=4000,"个",IF($Z703&lt;=5200,"个",IF($Z703&lt;=5800,"个","")))))</f>
        <v/>
      </c>
      <c r="J703" s="30" t="str">
        <f t="shared" si="31"/>
        <v/>
      </c>
      <c r="K703" s="30" t="str">
        <f>IF($Z703="","",IF($Z703&lt;=2000,IF(INDEX(包装物料出入库明细!$N$4:$N$2003,$Z703-0)=0,"",INDEX(包装物料出入库明细!$N$4:$N$2003,$Z703-0)),IF($Z703&lt;=4000,IF(INDEX(周转筐出入库明细!$P$4:$P$2004,$Z703-2000)=0,"",INDEX(周转筐出入库明细!$P$4:$P$2004,$Z703-2000)),IF($Z703&lt;=5200,"",IF($Z703&lt;=5800,N(INDEX(次果筐明细!$L$4:$L$603,$Z703-5200))+N(INDEX(次果筐明细!$J$4:$J$603,$Z703-5200)),"")))))</f>
        <v/>
      </c>
      <c r="L703" s="24" t="str">
        <f>IF($Z703="","",IF($Z703&lt;=2000,IF(INDEX(包装物料出入库明细!$P$4:$P$2003,$Z703-0)=0,"",INDEX(包装物料出入库明细!$P$4:$P$2003,$Z703-0)),IF($Z703&lt;=4000,IF(INDEX(周转筐出入库明细!$Q$4:$Q$2004,$Z703-2000)=0,"",INDEX(周转筐出入库明细!$Q$4:$Q$2004,$Z703-2000)),IF($Z703&lt;=5200,"",IF($Z703&lt;=5800,IF(INDEX(次果筐明细!$M$4:$M$603,$Z703-5200)=0,"",INDEX(次果筐明细!$M$4:$M$603,$Z703-5200)),"")))))</f>
        <v/>
      </c>
      <c r="M703" s="37" t="str">
        <f>IF($Z703="","",IF($Z703&lt;=2000,IF(INDEX(包装物料出入库明细!$R$4:$R$2003,$Z703-0)=0,"",INDEX(包装物料出入库明细!$R$4:$R$2003,$Z703-0)),IF($Z703&lt;=4000,IF(INDEX(周转筐出入库明细!$W$4:$W$2004,$Z703-2000)=0,"",INDEX(周转筐出入库明细!$W$4:$W$2004,$Z703-2000)),IF($Z703&lt;=5200,IF(INDEX(客户自备加工筐明细!$L$4:$L$1203,$Z703-4000)=0,"",INDEX(客户自备加工筐明细!$L$4:$L$1203,$Z703-4000)),IF($Z703&lt;=5800,IF(INDEX(次果筐明细!$P$4:$P$603,$Z703-5200)=0,"",INDEX(次果筐明细!$P$4:$P$603,$Z703-5200)),"")))))</f>
        <v/>
      </c>
      <c r="N703" s="16" t="str">
        <f>IF($Z703="","",IF($Z703&lt;=2000,"",IF($Z703&lt;=4000,IF(INDEX(周转筐出入库明细!$D$4:$D$2004,$Z703-2000)=0,"",INDEX(周转筐出入库明细!$D$4:$D$2004,$Z703-2000)),IF($Z703&lt;=5200,IF(INDEX(客户自备加工筐明细!$C$4:$C$1203,$Z703-4000)=0,"",INDEX(客户自备加工筐明细!$C$4:$C$1203,$Z703-4000)),IF($Z703&lt;=5800,IF(INDEX(次果筐明细!$D$4:$D$603,$Z703-5200)=0,"",INDEX(次果筐明细!$D$4:$D$603,$Z703-5200)),"")))))</f>
        <v/>
      </c>
      <c r="O703" s="40" t="str">
        <f>IF($Z703="","",IF($Z703&lt;=2000,"",IF($Z703&lt;=4000,IF(N(INDEX(周转筐出入库明细!$J$4:$J$2004,$Z703-2000))+N(INDEX(周转筐出入库明细!$K$4:$K$2004,$Z703-2000))=0,"",N(INDEX(周转筐出入库明细!$J$4:$J$2004,$Z703-2000))+N(INDEX(周转筐出入库明细!$K$4:$K$2004,$Z703-2000))),IF($Z703&lt;=5200,IF(N(INDEX(客户自备加工筐明细!$G$4:$G$1203,$Z703-4000))=0,"",N(INDEX(客户自备加工筐明细!$G$4:$G$1203,$Z703-4000))),IF($Z703&lt;=5800,IF(ISNUMBER(SEARCH("退",INDEX(次果筐明细!$F$4:$F$603,$Z703-5200)&amp;"")),"",IF(N(INDEX(次果筐明细!$G$4:$G$603,$Z703-5200))=0,"",N(INDEX(次果筐明细!$G$4:$G$603,$Z703-5200)))),"")))))</f>
        <v/>
      </c>
      <c r="P703" s="40" t="str">
        <f>IF($Z703="","",IF($Z703&lt;=2000,"",IF($Z703&lt;=4000,IF(N(INDEX(周转筐出入库明细!$I$4:$I$2004,$Z703-2000))=0,"",N(INDEX(周转筐出入库明细!$I$4:$I$2004,$Z703-2000))),IF($Z703&lt;=5200,"",IF($Z703&lt;=5800,IF(ISNUMBER(SEARCH("退",INDEX(次果筐明细!$F$4:$F$603,$Z703-5200)&amp;"")),IF(N(INDEX(次果筐明细!$G$4:$G$603,$Z703-5200))=0,"",N(INDEX(次果筐明细!$G$4:$G$603,$Z703-5200))),""),"")))))</f>
        <v/>
      </c>
      <c r="Q703" s="40" t="str">
        <f>IF($Z703="","",IF($Z703&lt;=2000,"",IF($Z703&lt;=4000,IF(N(INDEX(周转筐出入库明细!$H$4:$H$2004,$Z703-2000))=0,"",N(INDEX(周转筐出入库明细!$H$4:$H$2004,$Z703-2000))),IF($Z703&lt;=5200,IF(N(INDEX(客户自备加工筐明细!$F$4:$F$1203,$Z703-4000))=0,"",N(INDEX(客户自备加工筐明细!$F$4:$F$1203,$Z703-4000))),IF($Z703&lt;=5800,"","")))))</f>
        <v/>
      </c>
      <c r="R703" s="16" t="str">
        <f>IF($Z703="","",IF($Z703&lt;=2000,IF(INDEX(包装物料出入库明细!$O$4:$O$2003,$Z703-0)=0,"",INDEX(包装物料出入库明细!$O$4:$O$2003,$Z703-0)),IF($Z703&lt;=4000,IF(INDEX(周转筐出入库明细!$M$4:$M$2004,$Z703-2000)=0,"",INDEX(周转筐出入库明细!$M$4:$M$2004,$Z703-2000)),IF($Z703&lt;=5200,IF(INDEX(客户自备加工筐明细!$H$4:$H$1203,$Z703-4000)=0,"",INDEX(客户自备加工筐明细!$H$4:$H$1203,$Z703-4000)),IF($Z703&lt;=5800,IF(INDEX(次果筐明细!$H$4:$H$603,$Z703-5200)=0,"",INDEX(次果筐明细!$H$4:$H$603,$Z703-5200)),"")))))</f>
        <v/>
      </c>
      <c r="S703" s="22" t="str">
        <f t="shared" si="32"/>
        <v/>
      </c>
      <c r="Z703" s="10" t="str">
        <f>IFERROR(MATCH(ROW()-3,_自动清单!$CQ$4:$CQ$5803,0),"")</f>
        <v/>
      </c>
    </row>
    <row r="704" spans="1:26">
      <c r="A704" s="24" t="str">
        <f t="shared" si="30"/>
        <v/>
      </c>
      <c r="B704" s="38" t="str">
        <f>IF($Z704="","",IF($Z704&lt;=2000,IF(INDEX(包装物料出入库明细!$B$4:$B$2003,$Z704-0)=0,"",INDEX(包装物料出入库明细!$B$4:$B$2003,$Z704-0)),IF($Z704&lt;=4000,IF(INDEX(周转筐出入库明细!$B$4:$B$2004,$Z704-2000)=0,"",INDEX(周转筐出入库明细!$B$4:$B$2004,$Z704-2000)),IF($Z704&lt;=5200,IF(INDEX(客户自备加工筐明细!$B$4:$B$1203,$Z704-4000)=0,"",INDEX(客户自备加工筐明细!$B$4:$B$1203,$Z704-4000)),IF($Z704&lt;=5800,IF(INDEX(次果筐明细!$B$4:$B$603,$Z704-5200)=0,"",INDEX(次果筐明细!$B$4:$B$603,$Z704-5200)),"")))))</f>
        <v/>
      </c>
      <c r="C704" s="37" t="str">
        <f>IF($Z704="","",IF($Z704&lt;=2000,IF(INDEX(包装物料出入库明细!$D$4:$D$2003,$Z704-0)=0,"",INDEX(包装物料出入库明细!$D$4:$D$2003,$Z704-0)),IF($Z704&lt;=4000,IF(INDEX(周转筐出入库明细!$C$4:$C$2004,$Z704-2000)=0,"",INDEX(周转筐出入库明细!$C$4:$C$2004,$Z704-2000)),IF($Z704&lt;=5200,IF(INDEX(客户自备加工筐明细!$E$4:$E$1203,$Z704-4000)=0,"",INDEX(客户自备加工筐明细!$E$4:$E$1203,$Z704-4000)),IF($Z704&lt;=5800,IF(INDEX(次果筐明细!$C$4:$C$603,$Z704-5200)=0,"",INDEX(次果筐明细!$C$4:$C$603,$Z704-5200)),"")))))</f>
        <v/>
      </c>
      <c r="D704" s="37" t="str">
        <f>IF($Z704="","",IF($Z704&lt;=2000,"包装物料－"&amp;INDEX(包装物料出入库明细!$H$4:$H$2003,$Z704-0),IF($Z704&lt;=4000,"周转筐－"&amp;INDEX(周转筐出入库明细!$F$4:$F$2004,$Z704-2000),IF($Z704&lt;=5200,"客户自备筐－"&amp;INDEX(客户自备加工筐明细!$J$4:$J$1203,$Z704-4000),IF($Z704&lt;=5800,"次果筐/托盘－"&amp;INDEX(次果筐明细!$F$4:$F$603,$Z704-5200),"")))))</f>
        <v/>
      </c>
      <c r="E704" s="24" t="str">
        <f>IF($Z704="","",IF($Z704&lt;=2000,IF(INDEX(包装物料出入库明细!$C$4:$C$2003,$Z704-0)=0,"",INDEX(包装物料出入库明细!$C$4:$C$2003,$Z704-0)),IF($Z704&lt;=4000,IF(INDEX(周转筐出入库明细!$E$4:$E$2004,$Z704-2000)=0,"",INDEX(周转筐出入库明细!$E$4:$E$2004,$Z704-2000)),IF($Z704&lt;=5200,IF(INDEX(客户自备加工筐明细!$D$4:$D$1203,$Z704-4000)=0,"",INDEX(客户自备加工筐明细!$D$4:$D$1203,$Z704-4000)),IF($Z704&lt;=5800,IF(INDEX(次果筐明细!$E$4:$E$603,$Z704-5200)=0,"",INDEX(次果筐明细!$E$4:$E$603,$Z704-5200)),"")))))</f>
        <v/>
      </c>
      <c r="F704" s="24" t="str">
        <f>IF($Z704="","",IF($Z704&lt;=2000,IF(INDEX(包装物料出入库明细!$E$4:$E$2003,$Z704-0)=0,"",INDEX(包装物料出入库明细!$E$4:$E$2003,$Z704-0)),IF($Z704&lt;=4000,IF(INDEX(周转筐出入库明细!$D$4:$D$2004,$Z704-2000)=0,"",INDEX(周转筐出入库明细!$D$4:$D$2004,$Z704-2000)),IF($Z704&lt;=5200,IF(INDEX(客户自备加工筐明细!$C$4:$C$1203,$Z704-4000)=0,"",INDEX(客户自备加工筐明细!$C$4:$C$1203,$Z704-4000)),IF($Z704&lt;=5800,IF(INDEX(次果筐明细!$D$4:$D$603,$Z704-5200)=0,"",INDEX(次果筐明细!$D$4:$D$603,$Z704-5200)),"")))))</f>
        <v/>
      </c>
      <c r="G704" s="24" t="str">
        <f>IF($Z704="","",IF($Z704&lt;=2000,IF(INDEX(包装物料出入库明细!$F$4:$F$2003,$Z704-0)=0,"",INDEX(包装物料出入库明细!$F$4:$F$2003,$Z704-0)),IF($Z704&lt;=4000,"",IF($Z704&lt;=5200,"",IF($Z704&lt;=5800,"","")))))</f>
        <v/>
      </c>
      <c r="H704" s="39" t="str">
        <f>IF($Z704="","",IF($Z704&lt;=2000,IF(INDEX(包装物料出入库明细!$L$4:$L$2003,$Z704-0)=0,"",INDEX(包装物料出入库明细!$L$4:$L$2003,$Z704-0)),IF($Z704&lt;=4000,N(INDEX(周转筐出入库明细!$H$4:$H$2004,$Z704-2000))+N(INDEX(周转筐出入库明细!$I$4:$I$2004,$Z704-2000))+N(INDEX(周转筐出入库明细!$J$4:$J$2004,$Z704-2000))+N(INDEX(周转筐出入库明细!$K$4:$K$2004,$Z704-2000)),IF($Z704&lt;=5200,N(INDEX(客户自备加工筐明细!$F$4:$F$1203,$Z704-4000))+N(INDEX(客户自备加工筐明细!$G$4:$G$1203,$Z704-4000)),IF($Z704&lt;=5800,IF(INDEX(次果筐明细!$G$4:$G$603,$Z704-5200)=0,"",INDEX(次果筐明细!$G$4:$G$603,$Z704-5200)),"")))))</f>
        <v/>
      </c>
      <c r="I704" s="24" t="str">
        <f>IF($Z704="","",IF($Z704&lt;=2000,IF(INDEX(包装物料出入库明细!$G$4:$G$2003,$Z704-0)=0,"",INDEX(包装物料出入库明细!$G$4:$G$2003,$Z704-0)),IF($Z704&lt;=4000,"个",IF($Z704&lt;=5200,"个",IF($Z704&lt;=5800,"个","")))))</f>
        <v/>
      </c>
      <c r="J704" s="30" t="str">
        <f t="shared" si="31"/>
        <v/>
      </c>
      <c r="K704" s="30" t="str">
        <f>IF($Z704="","",IF($Z704&lt;=2000,IF(INDEX(包装物料出入库明细!$N$4:$N$2003,$Z704-0)=0,"",INDEX(包装物料出入库明细!$N$4:$N$2003,$Z704-0)),IF($Z704&lt;=4000,IF(INDEX(周转筐出入库明细!$P$4:$P$2004,$Z704-2000)=0,"",INDEX(周转筐出入库明细!$P$4:$P$2004,$Z704-2000)),IF($Z704&lt;=5200,"",IF($Z704&lt;=5800,N(INDEX(次果筐明细!$L$4:$L$603,$Z704-5200))+N(INDEX(次果筐明细!$J$4:$J$603,$Z704-5200)),"")))))</f>
        <v/>
      </c>
      <c r="L704" s="24" t="str">
        <f>IF($Z704="","",IF($Z704&lt;=2000,IF(INDEX(包装物料出入库明细!$P$4:$P$2003,$Z704-0)=0,"",INDEX(包装物料出入库明细!$P$4:$P$2003,$Z704-0)),IF($Z704&lt;=4000,IF(INDEX(周转筐出入库明细!$Q$4:$Q$2004,$Z704-2000)=0,"",INDEX(周转筐出入库明细!$Q$4:$Q$2004,$Z704-2000)),IF($Z704&lt;=5200,"",IF($Z704&lt;=5800,IF(INDEX(次果筐明细!$M$4:$M$603,$Z704-5200)=0,"",INDEX(次果筐明细!$M$4:$M$603,$Z704-5200)),"")))))</f>
        <v/>
      </c>
      <c r="M704" s="37" t="str">
        <f>IF($Z704="","",IF($Z704&lt;=2000,IF(INDEX(包装物料出入库明细!$R$4:$R$2003,$Z704-0)=0,"",INDEX(包装物料出入库明细!$R$4:$R$2003,$Z704-0)),IF($Z704&lt;=4000,IF(INDEX(周转筐出入库明细!$W$4:$W$2004,$Z704-2000)=0,"",INDEX(周转筐出入库明细!$W$4:$W$2004,$Z704-2000)),IF($Z704&lt;=5200,IF(INDEX(客户自备加工筐明细!$L$4:$L$1203,$Z704-4000)=0,"",INDEX(客户自备加工筐明细!$L$4:$L$1203,$Z704-4000)),IF($Z704&lt;=5800,IF(INDEX(次果筐明细!$P$4:$P$603,$Z704-5200)=0,"",INDEX(次果筐明细!$P$4:$P$603,$Z704-5200)),"")))))</f>
        <v/>
      </c>
      <c r="N704" s="16" t="str">
        <f>IF($Z704="","",IF($Z704&lt;=2000,"",IF($Z704&lt;=4000,IF(INDEX(周转筐出入库明细!$D$4:$D$2004,$Z704-2000)=0,"",INDEX(周转筐出入库明细!$D$4:$D$2004,$Z704-2000)),IF($Z704&lt;=5200,IF(INDEX(客户自备加工筐明细!$C$4:$C$1203,$Z704-4000)=0,"",INDEX(客户自备加工筐明细!$C$4:$C$1203,$Z704-4000)),IF($Z704&lt;=5800,IF(INDEX(次果筐明细!$D$4:$D$603,$Z704-5200)=0,"",INDEX(次果筐明细!$D$4:$D$603,$Z704-5200)),"")))))</f>
        <v/>
      </c>
      <c r="O704" s="40" t="str">
        <f>IF($Z704="","",IF($Z704&lt;=2000,"",IF($Z704&lt;=4000,IF(N(INDEX(周转筐出入库明细!$J$4:$J$2004,$Z704-2000))+N(INDEX(周转筐出入库明细!$K$4:$K$2004,$Z704-2000))=0,"",N(INDEX(周转筐出入库明细!$J$4:$J$2004,$Z704-2000))+N(INDEX(周转筐出入库明细!$K$4:$K$2004,$Z704-2000))),IF($Z704&lt;=5200,IF(N(INDEX(客户自备加工筐明细!$G$4:$G$1203,$Z704-4000))=0,"",N(INDEX(客户自备加工筐明细!$G$4:$G$1203,$Z704-4000))),IF($Z704&lt;=5800,IF(ISNUMBER(SEARCH("退",INDEX(次果筐明细!$F$4:$F$603,$Z704-5200)&amp;"")),"",IF(N(INDEX(次果筐明细!$G$4:$G$603,$Z704-5200))=0,"",N(INDEX(次果筐明细!$G$4:$G$603,$Z704-5200)))),"")))))</f>
        <v/>
      </c>
      <c r="P704" s="40" t="str">
        <f>IF($Z704="","",IF($Z704&lt;=2000,"",IF($Z704&lt;=4000,IF(N(INDEX(周转筐出入库明细!$I$4:$I$2004,$Z704-2000))=0,"",N(INDEX(周转筐出入库明细!$I$4:$I$2004,$Z704-2000))),IF($Z704&lt;=5200,"",IF($Z704&lt;=5800,IF(ISNUMBER(SEARCH("退",INDEX(次果筐明细!$F$4:$F$603,$Z704-5200)&amp;"")),IF(N(INDEX(次果筐明细!$G$4:$G$603,$Z704-5200))=0,"",N(INDEX(次果筐明细!$G$4:$G$603,$Z704-5200))),""),"")))))</f>
        <v/>
      </c>
      <c r="Q704" s="40" t="str">
        <f>IF($Z704="","",IF($Z704&lt;=2000,"",IF($Z704&lt;=4000,IF(N(INDEX(周转筐出入库明细!$H$4:$H$2004,$Z704-2000))=0,"",N(INDEX(周转筐出入库明细!$H$4:$H$2004,$Z704-2000))),IF($Z704&lt;=5200,IF(N(INDEX(客户自备加工筐明细!$F$4:$F$1203,$Z704-4000))=0,"",N(INDEX(客户自备加工筐明细!$F$4:$F$1203,$Z704-4000))),IF($Z704&lt;=5800,"","")))))</f>
        <v/>
      </c>
      <c r="R704" s="16" t="str">
        <f>IF($Z704="","",IF($Z704&lt;=2000,IF(INDEX(包装物料出入库明细!$O$4:$O$2003,$Z704-0)=0,"",INDEX(包装物料出入库明细!$O$4:$O$2003,$Z704-0)),IF($Z704&lt;=4000,IF(INDEX(周转筐出入库明细!$M$4:$M$2004,$Z704-2000)=0,"",INDEX(周转筐出入库明细!$M$4:$M$2004,$Z704-2000)),IF($Z704&lt;=5200,IF(INDEX(客户自备加工筐明细!$H$4:$H$1203,$Z704-4000)=0,"",INDEX(客户自备加工筐明细!$H$4:$H$1203,$Z704-4000)),IF($Z704&lt;=5800,IF(INDEX(次果筐明细!$H$4:$H$603,$Z704-5200)=0,"",INDEX(次果筐明细!$H$4:$H$603,$Z704-5200)),"")))))</f>
        <v/>
      </c>
      <c r="S704" s="22" t="str">
        <f t="shared" si="32"/>
        <v/>
      </c>
      <c r="Z704" s="10" t="str">
        <f>IFERROR(MATCH(ROW()-3,_自动清单!$CQ$4:$CQ$5803,0),"")</f>
        <v/>
      </c>
    </row>
    <row r="705" spans="1:26">
      <c r="A705" s="24" t="str">
        <f t="shared" si="30"/>
        <v/>
      </c>
      <c r="B705" s="38" t="str">
        <f>IF($Z705="","",IF($Z705&lt;=2000,IF(INDEX(包装物料出入库明细!$B$4:$B$2003,$Z705-0)=0,"",INDEX(包装物料出入库明细!$B$4:$B$2003,$Z705-0)),IF($Z705&lt;=4000,IF(INDEX(周转筐出入库明细!$B$4:$B$2004,$Z705-2000)=0,"",INDEX(周转筐出入库明细!$B$4:$B$2004,$Z705-2000)),IF($Z705&lt;=5200,IF(INDEX(客户自备加工筐明细!$B$4:$B$1203,$Z705-4000)=0,"",INDEX(客户自备加工筐明细!$B$4:$B$1203,$Z705-4000)),IF($Z705&lt;=5800,IF(INDEX(次果筐明细!$B$4:$B$603,$Z705-5200)=0,"",INDEX(次果筐明细!$B$4:$B$603,$Z705-5200)),"")))))</f>
        <v/>
      </c>
      <c r="C705" s="37" t="str">
        <f>IF($Z705="","",IF($Z705&lt;=2000,IF(INDEX(包装物料出入库明细!$D$4:$D$2003,$Z705-0)=0,"",INDEX(包装物料出入库明细!$D$4:$D$2003,$Z705-0)),IF($Z705&lt;=4000,IF(INDEX(周转筐出入库明细!$C$4:$C$2004,$Z705-2000)=0,"",INDEX(周转筐出入库明细!$C$4:$C$2004,$Z705-2000)),IF($Z705&lt;=5200,IF(INDEX(客户自备加工筐明细!$E$4:$E$1203,$Z705-4000)=0,"",INDEX(客户自备加工筐明细!$E$4:$E$1203,$Z705-4000)),IF($Z705&lt;=5800,IF(INDEX(次果筐明细!$C$4:$C$603,$Z705-5200)=0,"",INDEX(次果筐明细!$C$4:$C$603,$Z705-5200)),"")))))</f>
        <v/>
      </c>
      <c r="D705" s="37" t="str">
        <f>IF($Z705="","",IF($Z705&lt;=2000,"包装物料－"&amp;INDEX(包装物料出入库明细!$H$4:$H$2003,$Z705-0),IF($Z705&lt;=4000,"周转筐－"&amp;INDEX(周转筐出入库明细!$F$4:$F$2004,$Z705-2000),IF($Z705&lt;=5200,"客户自备筐－"&amp;INDEX(客户自备加工筐明细!$J$4:$J$1203,$Z705-4000),IF($Z705&lt;=5800,"次果筐/托盘－"&amp;INDEX(次果筐明细!$F$4:$F$603,$Z705-5200),"")))))</f>
        <v/>
      </c>
      <c r="E705" s="24" t="str">
        <f>IF($Z705="","",IF($Z705&lt;=2000,IF(INDEX(包装物料出入库明细!$C$4:$C$2003,$Z705-0)=0,"",INDEX(包装物料出入库明细!$C$4:$C$2003,$Z705-0)),IF($Z705&lt;=4000,IF(INDEX(周转筐出入库明细!$E$4:$E$2004,$Z705-2000)=0,"",INDEX(周转筐出入库明细!$E$4:$E$2004,$Z705-2000)),IF($Z705&lt;=5200,IF(INDEX(客户自备加工筐明细!$D$4:$D$1203,$Z705-4000)=0,"",INDEX(客户自备加工筐明细!$D$4:$D$1203,$Z705-4000)),IF($Z705&lt;=5800,IF(INDEX(次果筐明细!$E$4:$E$603,$Z705-5200)=0,"",INDEX(次果筐明细!$E$4:$E$603,$Z705-5200)),"")))))</f>
        <v/>
      </c>
      <c r="F705" s="24" t="str">
        <f>IF($Z705="","",IF($Z705&lt;=2000,IF(INDEX(包装物料出入库明细!$E$4:$E$2003,$Z705-0)=0,"",INDEX(包装物料出入库明细!$E$4:$E$2003,$Z705-0)),IF($Z705&lt;=4000,IF(INDEX(周转筐出入库明细!$D$4:$D$2004,$Z705-2000)=0,"",INDEX(周转筐出入库明细!$D$4:$D$2004,$Z705-2000)),IF($Z705&lt;=5200,IF(INDEX(客户自备加工筐明细!$C$4:$C$1203,$Z705-4000)=0,"",INDEX(客户自备加工筐明细!$C$4:$C$1203,$Z705-4000)),IF($Z705&lt;=5800,IF(INDEX(次果筐明细!$D$4:$D$603,$Z705-5200)=0,"",INDEX(次果筐明细!$D$4:$D$603,$Z705-5200)),"")))))</f>
        <v/>
      </c>
      <c r="G705" s="24" t="str">
        <f>IF($Z705="","",IF($Z705&lt;=2000,IF(INDEX(包装物料出入库明细!$F$4:$F$2003,$Z705-0)=0,"",INDEX(包装物料出入库明细!$F$4:$F$2003,$Z705-0)),IF($Z705&lt;=4000,"",IF($Z705&lt;=5200,"",IF($Z705&lt;=5800,"","")))))</f>
        <v/>
      </c>
      <c r="H705" s="39" t="str">
        <f>IF($Z705="","",IF($Z705&lt;=2000,IF(INDEX(包装物料出入库明细!$L$4:$L$2003,$Z705-0)=0,"",INDEX(包装物料出入库明细!$L$4:$L$2003,$Z705-0)),IF($Z705&lt;=4000,N(INDEX(周转筐出入库明细!$H$4:$H$2004,$Z705-2000))+N(INDEX(周转筐出入库明细!$I$4:$I$2004,$Z705-2000))+N(INDEX(周转筐出入库明细!$J$4:$J$2004,$Z705-2000))+N(INDEX(周转筐出入库明细!$K$4:$K$2004,$Z705-2000)),IF($Z705&lt;=5200,N(INDEX(客户自备加工筐明细!$F$4:$F$1203,$Z705-4000))+N(INDEX(客户自备加工筐明细!$G$4:$G$1203,$Z705-4000)),IF($Z705&lt;=5800,IF(INDEX(次果筐明细!$G$4:$G$603,$Z705-5200)=0,"",INDEX(次果筐明细!$G$4:$G$603,$Z705-5200)),"")))))</f>
        <v/>
      </c>
      <c r="I705" s="24" t="str">
        <f>IF($Z705="","",IF($Z705&lt;=2000,IF(INDEX(包装物料出入库明细!$G$4:$G$2003,$Z705-0)=0,"",INDEX(包装物料出入库明细!$G$4:$G$2003,$Z705-0)),IF($Z705&lt;=4000,"个",IF($Z705&lt;=5200,"个",IF($Z705&lt;=5800,"个","")))))</f>
        <v/>
      </c>
      <c r="J705" s="30" t="str">
        <f t="shared" si="31"/>
        <v/>
      </c>
      <c r="K705" s="30" t="str">
        <f>IF($Z705="","",IF($Z705&lt;=2000,IF(INDEX(包装物料出入库明细!$N$4:$N$2003,$Z705-0)=0,"",INDEX(包装物料出入库明细!$N$4:$N$2003,$Z705-0)),IF($Z705&lt;=4000,IF(INDEX(周转筐出入库明细!$P$4:$P$2004,$Z705-2000)=0,"",INDEX(周转筐出入库明细!$P$4:$P$2004,$Z705-2000)),IF($Z705&lt;=5200,"",IF($Z705&lt;=5800,N(INDEX(次果筐明细!$L$4:$L$603,$Z705-5200))+N(INDEX(次果筐明细!$J$4:$J$603,$Z705-5200)),"")))))</f>
        <v/>
      </c>
      <c r="L705" s="24" t="str">
        <f>IF($Z705="","",IF($Z705&lt;=2000,IF(INDEX(包装物料出入库明细!$P$4:$P$2003,$Z705-0)=0,"",INDEX(包装物料出入库明细!$P$4:$P$2003,$Z705-0)),IF($Z705&lt;=4000,IF(INDEX(周转筐出入库明细!$Q$4:$Q$2004,$Z705-2000)=0,"",INDEX(周转筐出入库明细!$Q$4:$Q$2004,$Z705-2000)),IF($Z705&lt;=5200,"",IF($Z705&lt;=5800,IF(INDEX(次果筐明细!$M$4:$M$603,$Z705-5200)=0,"",INDEX(次果筐明细!$M$4:$M$603,$Z705-5200)),"")))))</f>
        <v/>
      </c>
      <c r="M705" s="37" t="str">
        <f>IF($Z705="","",IF($Z705&lt;=2000,IF(INDEX(包装物料出入库明细!$R$4:$R$2003,$Z705-0)=0,"",INDEX(包装物料出入库明细!$R$4:$R$2003,$Z705-0)),IF($Z705&lt;=4000,IF(INDEX(周转筐出入库明细!$W$4:$W$2004,$Z705-2000)=0,"",INDEX(周转筐出入库明细!$W$4:$W$2004,$Z705-2000)),IF($Z705&lt;=5200,IF(INDEX(客户自备加工筐明细!$L$4:$L$1203,$Z705-4000)=0,"",INDEX(客户自备加工筐明细!$L$4:$L$1203,$Z705-4000)),IF($Z705&lt;=5800,IF(INDEX(次果筐明细!$P$4:$P$603,$Z705-5200)=0,"",INDEX(次果筐明细!$P$4:$P$603,$Z705-5200)),"")))))</f>
        <v/>
      </c>
      <c r="N705" s="16" t="str">
        <f>IF($Z705="","",IF($Z705&lt;=2000,"",IF($Z705&lt;=4000,IF(INDEX(周转筐出入库明细!$D$4:$D$2004,$Z705-2000)=0,"",INDEX(周转筐出入库明细!$D$4:$D$2004,$Z705-2000)),IF($Z705&lt;=5200,IF(INDEX(客户自备加工筐明细!$C$4:$C$1203,$Z705-4000)=0,"",INDEX(客户自备加工筐明细!$C$4:$C$1203,$Z705-4000)),IF($Z705&lt;=5800,IF(INDEX(次果筐明细!$D$4:$D$603,$Z705-5200)=0,"",INDEX(次果筐明细!$D$4:$D$603,$Z705-5200)),"")))))</f>
        <v/>
      </c>
      <c r="O705" s="40" t="str">
        <f>IF($Z705="","",IF($Z705&lt;=2000,"",IF($Z705&lt;=4000,IF(N(INDEX(周转筐出入库明细!$J$4:$J$2004,$Z705-2000))+N(INDEX(周转筐出入库明细!$K$4:$K$2004,$Z705-2000))=0,"",N(INDEX(周转筐出入库明细!$J$4:$J$2004,$Z705-2000))+N(INDEX(周转筐出入库明细!$K$4:$K$2004,$Z705-2000))),IF($Z705&lt;=5200,IF(N(INDEX(客户自备加工筐明细!$G$4:$G$1203,$Z705-4000))=0,"",N(INDEX(客户自备加工筐明细!$G$4:$G$1203,$Z705-4000))),IF($Z705&lt;=5800,IF(ISNUMBER(SEARCH("退",INDEX(次果筐明细!$F$4:$F$603,$Z705-5200)&amp;"")),"",IF(N(INDEX(次果筐明细!$G$4:$G$603,$Z705-5200))=0,"",N(INDEX(次果筐明细!$G$4:$G$603,$Z705-5200)))),"")))))</f>
        <v/>
      </c>
      <c r="P705" s="40" t="str">
        <f>IF($Z705="","",IF($Z705&lt;=2000,"",IF($Z705&lt;=4000,IF(N(INDEX(周转筐出入库明细!$I$4:$I$2004,$Z705-2000))=0,"",N(INDEX(周转筐出入库明细!$I$4:$I$2004,$Z705-2000))),IF($Z705&lt;=5200,"",IF($Z705&lt;=5800,IF(ISNUMBER(SEARCH("退",INDEX(次果筐明细!$F$4:$F$603,$Z705-5200)&amp;"")),IF(N(INDEX(次果筐明细!$G$4:$G$603,$Z705-5200))=0,"",N(INDEX(次果筐明细!$G$4:$G$603,$Z705-5200))),""),"")))))</f>
        <v/>
      </c>
      <c r="Q705" s="40" t="str">
        <f>IF($Z705="","",IF($Z705&lt;=2000,"",IF($Z705&lt;=4000,IF(N(INDEX(周转筐出入库明细!$H$4:$H$2004,$Z705-2000))=0,"",N(INDEX(周转筐出入库明细!$H$4:$H$2004,$Z705-2000))),IF($Z705&lt;=5200,IF(N(INDEX(客户自备加工筐明细!$F$4:$F$1203,$Z705-4000))=0,"",N(INDEX(客户自备加工筐明细!$F$4:$F$1203,$Z705-4000))),IF($Z705&lt;=5800,"","")))))</f>
        <v/>
      </c>
      <c r="R705" s="16" t="str">
        <f>IF($Z705="","",IF($Z705&lt;=2000,IF(INDEX(包装物料出入库明细!$O$4:$O$2003,$Z705-0)=0,"",INDEX(包装物料出入库明细!$O$4:$O$2003,$Z705-0)),IF($Z705&lt;=4000,IF(INDEX(周转筐出入库明细!$M$4:$M$2004,$Z705-2000)=0,"",INDEX(周转筐出入库明细!$M$4:$M$2004,$Z705-2000)),IF($Z705&lt;=5200,IF(INDEX(客户自备加工筐明细!$H$4:$H$1203,$Z705-4000)=0,"",INDEX(客户自备加工筐明细!$H$4:$H$1203,$Z705-4000)),IF($Z705&lt;=5800,IF(INDEX(次果筐明细!$H$4:$H$603,$Z705-5200)=0,"",INDEX(次果筐明细!$H$4:$H$603,$Z705-5200)),"")))))</f>
        <v/>
      </c>
      <c r="S705" s="22" t="str">
        <f t="shared" si="32"/>
        <v/>
      </c>
      <c r="Z705" s="10" t="str">
        <f>IFERROR(MATCH(ROW()-3,_自动清单!$CQ$4:$CQ$5803,0),"")</f>
        <v/>
      </c>
    </row>
    <row r="706" spans="1:26">
      <c r="A706" s="24" t="str">
        <f t="shared" si="30"/>
        <v/>
      </c>
      <c r="B706" s="38" t="str">
        <f>IF($Z706="","",IF($Z706&lt;=2000,IF(INDEX(包装物料出入库明细!$B$4:$B$2003,$Z706-0)=0,"",INDEX(包装物料出入库明细!$B$4:$B$2003,$Z706-0)),IF($Z706&lt;=4000,IF(INDEX(周转筐出入库明细!$B$4:$B$2004,$Z706-2000)=0,"",INDEX(周转筐出入库明细!$B$4:$B$2004,$Z706-2000)),IF($Z706&lt;=5200,IF(INDEX(客户自备加工筐明细!$B$4:$B$1203,$Z706-4000)=0,"",INDEX(客户自备加工筐明细!$B$4:$B$1203,$Z706-4000)),IF($Z706&lt;=5800,IF(INDEX(次果筐明细!$B$4:$B$603,$Z706-5200)=0,"",INDEX(次果筐明细!$B$4:$B$603,$Z706-5200)),"")))))</f>
        <v/>
      </c>
      <c r="C706" s="37" t="str">
        <f>IF($Z706="","",IF($Z706&lt;=2000,IF(INDEX(包装物料出入库明细!$D$4:$D$2003,$Z706-0)=0,"",INDEX(包装物料出入库明细!$D$4:$D$2003,$Z706-0)),IF($Z706&lt;=4000,IF(INDEX(周转筐出入库明细!$C$4:$C$2004,$Z706-2000)=0,"",INDEX(周转筐出入库明细!$C$4:$C$2004,$Z706-2000)),IF($Z706&lt;=5200,IF(INDEX(客户自备加工筐明细!$E$4:$E$1203,$Z706-4000)=0,"",INDEX(客户自备加工筐明细!$E$4:$E$1203,$Z706-4000)),IF($Z706&lt;=5800,IF(INDEX(次果筐明细!$C$4:$C$603,$Z706-5200)=0,"",INDEX(次果筐明细!$C$4:$C$603,$Z706-5200)),"")))))</f>
        <v/>
      </c>
      <c r="D706" s="37" t="str">
        <f>IF($Z706="","",IF($Z706&lt;=2000,"包装物料－"&amp;INDEX(包装物料出入库明细!$H$4:$H$2003,$Z706-0),IF($Z706&lt;=4000,"周转筐－"&amp;INDEX(周转筐出入库明细!$F$4:$F$2004,$Z706-2000),IF($Z706&lt;=5200,"客户自备筐－"&amp;INDEX(客户自备加工筐明细!$J$4:$J$1203,$Z706-4000),IF($Z706&lt;=5800,"次果筐/托盘－"&amp;INDEX(次果筐明细!$F$4:$F$603,$Z706-5200),"")))))</f>
        <v/>
      </c>
      <c r="E706" s="24" t="str">
        <f>IF($Z706="","",IF($Z706&lt;=2000,IF(INDEX(包装物料出入库明细!$C$4:$C$2003,$Z706-0)=0,"",INDEX(包装物料出入库明细!$C$4:$C$2003,$Z706-0)),IF($Z706&lt;=4000,IF(INDEX(周转筐出入库明细!$E$4:$E$2004,$Z706-2000)=0,"",INDEX(周转筐出入库明细!$E$4:$E$2004,$Z706-2000)),IF($Z706&lt;=5200,IF(INDEX(客户自备加工筐明细!$D$4:$D$1203,$Z706-4000)=0,"",INDEX(客户自备加工筐明细!$D$4:$D$1203,$Z706-4000)),IF($Z706&lt;=5800,IF(INDEX(次果筐明细!$E$4:$E$603,$Z706-5200)=0,"",INDEX(次果筐明细!$E$4:$E$603,$Z706-5200)),"")))))</f>
        <v/>
      </c>
      <c r="F706" s="24" t="str">
        <f>IF($Z706="","",IF($Z706&lt;=2000,IF(INDEX(包装物料出入库明细!$E$4:$E$2003,$Z706-0)=0,"",INDEX(包装物料出入库明细!$E$4:$E$2003,$Z706-0)),IF($Z706&lt;=4000,IF(INDEX(周转筐出入库明细!$D$4:$D$2004,$Z706-2000)=0,"",INDEX(周转筐出入库明细!$D$4:$D$2004,$Z706-2000)),IF($Z706&lt;=5200,IF(INDEX(客户自备加工筐明细!$C$4:$C$1203,$Z706-4000)=0,"",INDEX(客户自备加工筐明细!$C$4:$C$1203,$Z706-4000)),IF($Z706&lt;=5800,IF(INDEX(次果筐明细!$D$4:$D$603,$Z706-5200)=0,"",INDEX(次果筐明细!$D$4:$D$603,$Z706-5200)),"")))))</f>
        <v/>
      </c>
      <c r="G706" s="24" t="str">
        <f>IF($Z706="","",IF($Z706&lt;=2000,IF(INDEX(包装物料出入库明细!$F$4:$F$2003,$Z706-0)=0,"",INDEX(包装物料出入库明细!$F$4:$F$2003,$Z706-0)),IF($Z706&lt;=4000,"",IF($Z706&lt;=5200,"",IF($Z706&lt;=5800,"","")))))</f>
        <v/>
      </c>
      <c r="H706" s="39" t="str">
        <f>IF($Z706="","",IF($Z706&lt;=2000,IF(INDEX(包装物料出入库明细!$L$4:$L$2003,$Z706-0)=0,"",INDEX(包装物料出入库明细!$L$4:$L$2003,$Z706-0)),IF($Z706&lt;=4000,N(INDEX(周转筐出入库明细!$H$4:$H$2004,$Z706-2000))+N(INDEX(周转筐出入库明细!$I$4:$I$2004,$Z706-2000))+N(INDEX(周转筐出入库明细!$J$4:$J$2004,$Z706-2000))+N(INDEX(周转筐出入库明细!$K$4:$K$2004,$Z706-2000)),IF($Z706&lt;=5200,N(INDEX(客户自备加工筐明细!$F$4:$F$1203,$Z706-4000))+N(INDEX(客户自备加工筐明细!$G$4:$G$1203,$Z706-4000)),IF($Z706&lt;=5800,IF(INDEX(次果筐明细!$G$4:$G$603,$Z706-5200)=0,"",INDEX(次果筐明细!$G$4:$G$603,$Z706-5200)),"")))))</f>
        <v/>
      </c>
      <c r="I706" s="24" t="str">
        <f>IF($Z706="","",IF($Z706&lt;=2000,IF(INDEX(包装物料出入库明细!$G$4:$G$2003,$Z706-0)=0,"",INDEX(包装物料出入库明细!$G$4:$G$2003,$Z706-0)),IF($Z706&lt;=4000,"个",IF($Z706&lt;=5200,"个",IF($Z706&lt;=5800,"个","")))))</f>
        <v/>
      </c>
      <c r="J706" s="30" t="str">
        <f t="shared" si="31"/>
        <v/>
      </c>
      <c r="K706" s="30" t="str">
        <f>IF($Z706="","",IF($Z706&lt;=2000,IF(INDEX(包装物料出入库明细!$N$4:$N$2003,$Z706-0)=0,"",INDEX(包装物料出入库明细!$N$4:$N$2003,$Z706-0)),IF($Z706&lt;=4000,IF(INDEX(周转筐出入库明细!$P$4:$P$2004,$Z706-2000)=0,"",INDEX(周转筐出入库明细!$P$4:$P$2004,$Z706-2000)),IF($Z706&lt;=5200,"",IF($Z706&lt;=5800,N(INDEX(次果筐明细!$L$4:$L$603,$Z706-5200))+N(INDEX(次果筐明细!$J$4:$J$603,$Z706-5200)),"")))))</f>
        <v/>
      </c>
      <c r="L706" s="24" t="str">
        <f>IF($Z706="","",IF($Z706&lt;=2000,IF(INDEX(包装物料出入库明细!$P$4:$P$2003,$Z706-0)=0,"",INDEX(包装物料出入库明细!$P$4:$P$2003,$Z706-0)),IF($Z706&lt;=4000,IF(INDEX(周转筐出入库明细!$Q$4:$Q$2004,$Z706-2000)=0,"",INDEX(周转筐出入库明细!$Q$4:$Q$2004,$Z706-2000)),IF($Z706&lt;=5200,"",IF($Z706&lt;=5800,IF(INDEX(次果筐明细!$M$4:$M$603,$Z706-5200)=0,"",INDEX(次果筐明细!$M$4:$M$603,$Z706-5200)),"")))))</f>
        <v/>
      </c>
      <c r="M706" s="37" t="str">
        <f>IF($Z706="","",IF($Z706&lt;=2000,IF(INDEX(包装物料出入库明细!$R$4:$R$2003,$Z706-0)=0,"",INDEX(包装物料出入库明细!$R$4:$R$2003,$Z706-0)),IF($Z706&lt;=4000,IF(INDEX(周转筐出入库明细!$W$4:$W$2004,$Z706-2000)=0,"",INDEX(周转筐出入库明细!$W$4:$W$2004,$Z706-2000)),IF($Z706&lt;=5200,IF(INDEX(客户自备加工筐明细!$L$4:$L$1203,$Z706-4000)=0,"",INDEX(客户自备加工筐明细!$L$4:$L$1203,$Z706-4000)),IF($Z706&lt;=5800,IF(INDEX(次果筐明细!$P$4:$P$603,$Z706-5200)=0,"",INDEX(次果筐明细!$P$4:$P$603,$Z706-5200)),"")))))</f>
        <v/>
      </c>
      <c r="N706" s="16" t="str">
        <f>IF($Z706="","",IF($Z706&lt;=2000,"",IF($Z706&lt;=4000,IF(INDEX(周转筐出入库明细!$D$4:$D$2004,$Z706-2000)=0,"",INDEX(周转筐出入库明细!$D$4:$D$2004,$Z706-2000)),IF($Z706&lt;=5200,IF(INDEX(客户自备加工筐明细!$C$4:$C$1203,$Z706-4000)=0,"",INDEX(客户自备加工筐明细!$C$4:$C$1203,$Z706-4000)),IF($Z706&lt;=5800,IF(INDEX(次果筐明细!$D$4:$D$603,$Z706-5200)=0,"",INDEX(次果筐明细!$D$4:$D$603,$Z706-5200)),"")))))</f>
        <v/>
      </c>
      <c r="O706" s="40" t="str">
        <f>IF($Z706="","",IF($Z706&lt;=2000,"",IF($Z706&lt;=4000,IF(N(INDEX(周转筐出入库明细!$J$4:$J$2004,$Z706-2000))+N(INDEX(周转筐出入库明细!$K$4:$K$2004,$Z706-2000))=0,"",N(INDEX(周转筐出入库明细!$J$4:$J$2004,$Z706-2000))+N(INDEX(周转筐出入库明细!$K$4:$K$2004,$Z706-2000))),IF($Z706&lt;=5200,IF(N(INDEX(客户自备加工筐明细!$G$4:$G$1203,$Z706-4000))=0,"",N(INDEX(客户自备加工筐明细!$G$4:$G$1203,$Z706-4000))),IF($Z706&lt;=5800,IF(ISNUMBER(SEARCH("退",INDEX(次果筐明细!$F$4:$F$603,$Z706-5200)&amp;"")),"",IF(N(INDEX(次果筐明细!$G$4:$G$603,$Z706-5200))=0,"",N(INDEX(次果筐明细!$G$4:$G$603,$Z706-5200)))),"")))))</f>
        <v/>
      </c>
      <c r="P706" s="40" t="str">
        <f>IF($Z706="","",IF($Z706&lt;=2000,"",IF($Z706&lt;=4000,IF(N(INDEX(周转筐出入库明细!$I$4:$I$2004,$Z706-2000))=0,"",N(INDEX(周转筐出入库明细!$I$4:$I$2004,$Z706-2000))),IF($Z706&lt;=5200,"",IF($Z706&lt;=5800,IF(ISNUMBER(SEARCH("退",INDEX(次果筐明细!$F$4:$F$603,$Z706-5200)&amp;"")),IF(N(INDEX(次果筐明细!$G$4:$G$603,$Z706-5200))=0,"",N(INDEX(次果筐明细!$G$4:$G$603,$Z706-5200))),""),"")))))</f>
        <v/>
      </c>
      <c r="Q706" s="40" t="str">
        <f>IF($Z706="","",IF($Z706&lt;=2000,"",IF($Z706&lt;=4000,IF(N(INDEX(周转筐出入库明细!$H$4:$H$2004,$Z706-2000))=0,"",N(INDEX(周转筐出入库明细!$H$4:$H$2004,$Z706-2000))),IF($Z706&lt;=5200,IF(N(INDEX(客户自备加工筐明细!$F$4:$F$1203,$Z706-4000))=0,"",N(INDEX(客户自备加工筐明细!$F$4:$F$1203,$Z706-4000))),IF($Z706&lt;=5800,"","")))))</f>
        <v/>
      </c>
      <c r="R706" s="16" t="str">
        <f>IF($Z706="","",IF($Z706&lt;=2000,IF(INDEX(包装物料出入库明细!$O$4:$O$2003,$Z706-0)=0,"",INDEX(包装物料出入库明细!$O$4:$O$2003,$Z706-0)),IF($Z706&lt;=4000,IF(INDEX(周转筐出入库明细!$M$4:$M$2004,$Z706-2000)=0,"",INDEX(周转筐出入库明细!$M$4:$M$2004,$Z706-2000)),IF($Z706&lt;=5200,IF(INDEX(客户自备加工筐明细!$H$4:$H$1203,$Z706-4000)=0,"",INDEX(客户自备加工筐明细!$H$4:$H$1203,$Z706-4000)),IF($Z706&lt;=5800,IF(INDEX(次果筐明细!$H$4:$H$603,$Z706-5200)=0,"",INDEX(次果筐明细!$H$4:$H$603,$Z706-5200)),"")))))</f>
        <v/>
      </c>
      <c r="S706" s="22" t="str">
        <f t="shared" si="32"/>
        <v/>
      </c>
      <c r="Z706" s="10" t="str">
        <f>IFERROR(MATCH(ROW()-3,_自动清单!$CQ$4:$CQ$5803,0),"")</f>
        <v/>
      </c>
    </row>
    <row r="707" spans="1:26">
      <c r="A707" s="24" t="str">
        <f t="shared" si="30"/>
        <v/>
      </c>
      <c r="B707" s="38" t="str">
        <f>IF($Z707="","",IF($Z707&lt;=2000,IF(INDEX(包装物料出入库明细!$B$4:$B$2003,$Z707-0)=0,"",INDEX(包装物料出入库明细!$B$4:$B$2003,$Z707-0)),IF($Z707&lt;=4000,IF(INDEX(周转筐出入库明细!$B$4:$B$2004,$Z707-2000)=0,"",INDEX(周转筐出入库明细!$B$4:$B$2004,$Z707-2000)),IF($Z707&lt;=5200,IF(INDEX(客户自备加工筐明细!$B$4:$B$1203,$Z707-4000)=0,"",INDEX(客户自备加工筐明细!$B$4:$B$1203,$Z707-4000)),IF($Z707&lt;=5800,IF(INDEX(次果筐明细!$B$4:$B$603,$Z707-5200)=0,"",INDEX(次果筐明细!$B$4:$B$603,$Z707-5200)),"")))))</f>
        <v/>
      </c>
      <c r="C707" s="37" t="str">
        <f>IF($Z707="","",IF($Z707&lt;=2000,IF(INDEX(包装物料出入库明细!$D$4:$D$2003,$Z707-0)=0,"",INDEX(包装物料出入库明细!$D$4:$D$2003,$Z707-0)),IF($Z707&lt;=4000,IF(INDEX(周转筐出入库明细!$C$4:$C$2004,$Z707-2000)=0,"",INDEX(周转筐出入库明细!$C$4:$C$2004,$Z707-2000)),IF($Z707&lt;=5200,IF(INDEX(客户自备加工筐明细!$E$4:$E$1203,$Z707-4000)=0,"",INDEX(客户自备加工筐明细!$E$4:$E$1203,$Z707-4000)),IF($Z707&lt;=5800,IF(INDEX(次果筐明细!$C$4:$C$603,$Z707-5200)=0,"",INDEX(次果筐明细!$C$4:$C$603,$Z707-5200)),"")))))</f>
        <v/>
      </c>
      <c r="D707" s="37" t="str">
        <f>IF($Z707="","",IF($Z707&lt;=2000,"包装物料－"&amp;INDEX(包装物料出入库明细!$H$4:$H$2003,$Z707-0),IF($Z707&lt;=4000,"周转筐－"&amp;INDEX(周转筐出入库明细!$F$4:$F$2004,$Z707-2000),IF($Z707&lt;=5200,"客户自备筐－"&amp;INDEX(客户自备加工筐明细!$J$4:$J$1203,$Z707-4000),IF($Z707&lt;=5800,"次果筐/托盘－"&amp;INDEX(次果筐明细!$F$4:$F$603,$Z707-5200),"")))))</f>
        <v/>
      </c>
      <c r="E707" s="24" t="str">
        <f>IF($Z707="","",IF($Z707&lt;=2000,IF(INDEX(包装物料出入库明细!$C$4:$C$2003,$Z707-0)=0,"",INDEX(包装物料出入库明细!$C$4:$C$2003,$Z707-0)),IF($Z707&lt;=4000,IF(INDEX(周转筐出入库明细!$E$4:$E$2004,$Z707-2000)=0,"",INDEX(周转筐出入库明细!$E$4:$E$2004,$Z707-2000)),IF($Z707&lt;=5200,IF(INDEX(客户自备加工筐明细!$D$4:$D$1203,$Z707-4000)=0,"",INDEX(客户自备加工筐明细!$D$4:$D$1203,$Z707-4000)),IF($Z707&lt;=5800,IF(INDEX(次果筐明细!$E$4:$E$603,$Z707-5200)=0,"",INDEX(次果筐明细!$E$4:$E$603,$Z707-5200)),"")))))</f>
        <v/>
      </c>
      <c r="F707" s="24" t="str">
        <f>IF($Z707="","",IF($Z707&lt;=2000,IF(INDEX(包装物料出入库明细!$E$4:$E$2003,$Z707-0)=0,"",INDEX(包装物料出入库明细!$E$4:$E$2003,$Z707-0)),IF($Z707&lt;=4000,IF(INDEX(周转筐出入库明细!$D$4:$D$2004,$Z707-2000)=0,"",INDEX(周转筐出入库明细!$D$4:$D$2004,$Z707-2000)),IF($Z707&lt;=5200,IF(INDEX(客户自备加工筐明细!$C$4:$C$1203,$Z707-4000)=0,"",INDEX(客户自备加工筐明细!$C$4:$C$1203,$Z707-4000)),IF($Z707&lt;=5800,IF(INDEX(次果筐明细!$D$4:$D$603,$Z707-5200)=0,"",INDEX(次果筐明细!$D$4:$D$603,$Z707-5200)),"")))))</f>
        <v/>
      </c>
      <c r="G707" s="24" t="str">
        <f>IF($Z707="","",IF($Z707&lt;=2000,IF(INDEX(包装物料出入库明细!$F$4:$F$2003,$Z707-0)=0,"",INDEX(包装物料出入库明细!$F$4:$F$2003,$Z707-0)),IF($Z707&lt;=4000,"",IF($Z707&lt;=5200,"",IF($Z707&lt;=5800,"","")))))</f>
        <v/>
      </c>
      <c r="H707" s="39" t="str">
        <f>IF($Z707="","",IF($Z707&lt;=2000,IF(INDEX(包装物料出入库明细!$L$4:$L$2003,$Z707-0)=0,"",INDEX(包装物料出入库明细!$L$4:$L$2003,$Z707-0)),IF($Z707&lt;=4000,N(INDEX(周转筐出入库明细!$H$4:$H$2004,$Z707-2000))+N(INDEX(周转筐出入库明细!$I$4:$I$2004,$Z707-2000))+N(INDEX(周转筐出入库明细!$J$4:$J$2004,$Z707-2000))+N(INDEX(周转筐出入库明细!$K$4:$K$2004,$Z707-2000)),IF($Z707&lt;=5200,N(INDEX(客户自备加工筐明细!$F$4:$F$1203,$Z707-4000))+N(INDEX(客户自备加工筐明细!$G$4:$G$1203,$Z707-4000)),IF($Z707&lt;=5800,IF(INDEX(次果筐明细!$G$4:$G$603,$Z707-5200)=0,"",INDEX(次果筐明细!$G$4:$G$603,$Z707-5200)),"")))))</f>
        <v/>
      </c>
      <c r="I707" s="24" t="str">
        <f>IF($Z707="","",IF($Z707&lt;=2000,IF(INDEX(包装物料出入库明细!$G$4:$G$2003,$Z707-0)=0,"",INDEX(包装物料出入库明细!$G$4:$G$2003,$Z707-0)),IF($Z707&lt;=4000,"个",IF($Z707&lt;=5200,"个",IF($Z707&lt;=5800,"个","")))))</f>
        <v/>
      </c>
      <c r="J707" s="30" t="str">
        <f t="shared" si="31"/>
        <v/>
      </c>
      <c r="K707" s="30" t="str">
        <f>IF($Z707="","",IF($Z707&lt;=2000,IF(INDEX(包装物料出入库明细!$N$4:$N$2003,$Z707-0)=0,"",INDEX(包装物料出入库明细!$N$4:$N$2003,$Z707-0)),IF($Z707&lt;=4000,IF(INDEX(周转筐出入库明细!$P$4:$P$2004,$Z707-2000)=0,"",INDEX(周转筐出入库明细!$P$4:$P$2004,$Z707-2000)),IF($Z707&lt;=5200,"",IF($Z707&lt;=5800,N(INDEX(次果筐明细!$L$4:$L$603,$Z707-5200))+N(INDEX(次果筐明细!$J$4:$J$603,$Z707-5200)),"")))))</f>
        <v/>
      </c>
      <c r="L707" s="24" t="str">
        <f>IF($Z707="","",IF($Z707&lt;=2000,IF(INDEX(包装物料出入库明细!$P$4:$P$2003,$Z707-0)=0,"",INDEX(包装物料出入库明细!$P$4:$P$2003,$Z707-0)),IF($Z707&lt;=4000,IF(INDEX(周转筐出入库明细!$Q$4:$Q$2004,$Z707-2000)=0,"",INDEX(周转筐出入库明细!$Q$4:$Q$2004,$Z707-2000)),IF($Z707&lt;=5200,"",IF($Z707&lt;=5800,IF(INDEX(次果筐明细!$M$4:$M$603,$Z707-5200)=0,"",INDEX(次果筐明细!$M$4:$M$603,$Z707-5200)),"")))))</f>
        <v/>
      </c>
      <c r="M707" s="37" t="str">
        <f>IF($Z707="","",IF($Z707&lt;=2000,IF(INDEX(包装物料出入库明细!$R$4:$R$2003,$Z707-0)=0,"",INDEX(包装物料出入库明细!$R$4:$R$2003,$Z707-0)),IF($Z707&lt;=4000,IF(INDEX(周转筐出入库明细!$W$4:$W$2004,$Z707-2000)=0,"",INDEX(周转筐出入库明细!$W$4:$W$2004,$Z707-2000)),IF($Z707&lt;=5200,IF(INDEX(客户自备加工筐明细!$L$4:$L$1203,$Z707-4000)=0,"",INDEX(客户自备加工筐明细!$L$4:$L$1203,$Z707-4000)),IF($Z707&lt;=5800,IF(INDEX(次果筐明细!$P$4:$P$603,$Z707-5200)=0,"",INDEX(次果筐明细!$P$4:$P$603,$Z707-5200)),"")))))</f>
        <v/>
      </c>
      <c r="N707" s="16" t="str">
        <f>IF($Z707="","",IF($Z707&lt;=2000,"",IF($Z707&lt;=4000,IF(INDEX(周转筐出入库明细!$D$4:$D$2004,$Z707-2000)=0,"",INDEX(周转筐出入库明细!$D$4:$D$2004,$Z707-2000)),IF($Z707&lt;=5200,IF(INDEX(客户自备加工筐明细!$C$4:$C$1203,$Z707-4000)=0,"",INDEX(客户自备加工筐明细!$C$4:$C$1203,$Z707-4000)),IF($Z707&lt;=5800,IF(INDEX(次果筐明细!$D$4:$D$603,$Z707-5200)=0,"",INDEX(次果筐明细!$D$4:$D$603,$Z707-5200)),"")))))</f>
        <v/>
      </c>
      <c r="O707" s="40" t="str">
        <f>IF($Z707="","",IF($Z707&lt;=2000,"",IF($Z707&lt;=4000,IF(N(INDEX(周转筐出入库明细!$J$4:$J$2004,$Z707-2000))+N(INDEX(周转筐出入库明细!$K$4:$K$2004,$Z707-2000))=0,"",N(INDEX(周转筐出入库明细!$J$4:$J$2004,$Z707-2000))+N(INDEX(周转筐出入库明细!$K$4:$K$2004,$Z707-2000))),IF($Z707&lt;=5200,IF(N(INDEX(客户自备加工筐明细!$G$4:$G$1203,$Z707-4000))=0,"",N(INDEX(客户自备加工筐明细!$G$4:$G$1203,$Z707-4000))),IF($Z707&lt;=5800,IF(ISNUMBER(SEARCH("退",INDEX(次果筐明细!$F$4:$F$603,$Z707-5200)&amp;"")),"",IF(N(INDEX(次果筐明细!$G$4:$G$603,$Z707-5200))=0,"",N(INDEX(次果筐明细!$G$4:$G$603,$Z707-5200)))),"")))))</f>
        <v/>
      </c>
      <c r="P707" s="40" t="str">
        <f>IF($Z707="","",IF($Z707&lt;=2000,"",IF($Z707&lt;=4000,IF(N(INDEX(周转筐出入库明细!$I$4:$I$2004,$Z707-2000))=0,"",N(INDEX(周转筐出入库明细!$I$4:$I$2004,$Z707-2000))),IF($Z707&lt;=5200,"",IF($Z707&lt;=5800,IF(ISNUMBER(SEARCH("退",INDEX(次果筐明细!$F$4:$F$603,$Z707-5200)&amp;"")),IF(N(INDEX(次果筐明细!$G$4:$G$603,$Z707-5200))=0,"",N(INDEX(次果筐明细!$G$4:$G$603,$Z707-5200))),""),"")))))</f>
        <v/>
      </c>
      <c r="Q707" s="40" t="str">
        <f>IF($Z707="","",IF($Z707&lt;=2000,"",IF($Z707&lt;=4000,IF(N(INDEX(周转筐出入库明细!$H$4:$H$2004,$Z707-2000))=0,"",N(INDEX(周转筐出入库明细!$H$4:$H$2004,$Z707-2000))),IF($Z707&lt;=5200,IF(N(INDEX(客户自备加工筐明细!$F$4:$F$1203,$Z707-4000))=0,"",N(INDEX(客户自备加工筐明细!$F$4:$F$1203,$Z707-4000))),IF($Z707&lt;=5800,"","")))))</f>
        <v/>
      </c>
      <c r="R707" s="16" t="str">
        <f>IF($Z707="","",IF($Z707&lt;=2000,IF(INDEX(包装物料出入库明细!$O$4:$O$2003,$Z707-0)=0,"",INDEX(包装物料出入库明细!$O$4:$O$2003,$Z707-0)),IF($Z707&lt;=4000,IF(INDEX(周转筐出入库明细!$M$4:$M$2004,$Z707-2000)=0,"",INDEX(周转筐出入库明细!$M$4:$M$2004,$Z707-2000)),IF($Z707&lt;=5200,IF(INDEX(客户自备加工筐明细!$H$4:$H$1203,$Z707-4000)=0,"",INDEX(客户自备加工筐明细!$H$4:$H$1203,$Z707-4000)),IF($Z707&lt;=5800,IF(INDEX(次果筐明细!$H$4:$H$603,$Z707-5200)=0,"",INDEX(次果筐明细!$H$4:$H$603,$Z707-5200)),"")))))</f>
        <v/>
      </c>
      <c r="S707" s="22" t="str">
        <f t="shared" si="32"/>
        <v/>
      </c>
      <c r="Z707" s="10" t="str">
        <f>IFERROR(MATCH(ROW()-3,_自动清单!$CQ$4:$CQ$5803,0),"")</f>
        <v/>
      </c>
    </row>
    <row r="708" spans="1:26">
      <c r="A708" s="24" t="str">
        <f t="shared" ref="A708:A771" si="33">IF($B708="","",ROW()-3)</f>
        <v/>
      </c>
      <c r="B708" s="38" t="str">
        <f>IF($Z708="","",IF($Z708&lt;=2000,IF(INDEX(包装物料出入库明细!$B$4:$B$2003,$Z708-0)=0,"",INDEX(包装物料出入库明细!$B$4:$B$2003,$Z708-0)),IF($Z708&lt;=4000,IF(INDEX(周转筐出入库明细!$B$4:$B$2004,$Z708-2000)=0,"",INDEX(周转筐出入库明细!$B$4:$B$2004,$Z708-2000)),IF($Z708&lt;=5200,IF(INDEX(客户自备加工筐明细!$B$4:$B$1203,$Z708-4000)=0,"",INDEX(客户自备加工筐明细!$B$4:$B$1203,$Z708-4000)),IF($Z708&lt;=5800,IF(INDEX(次果筐明细!$B$4:$B$603,$Z708-5200)=0,"",INDEX(次果筐明细!$B$4:$B$603,$Z708-5200)),"")))))</f>
        <v/>
      </c>
      <c r="C708" s="37" t="str">
        <f>IF($Z708="","",IF($Z708&lt;=2000,IF(INDEX(包装物料出入库明细!$D$4:$D$2003,$Z708-0)=0,"",INDEX(包装物料出入库明细!$D$4:$D$2003,$Z708-0)),IF($Z708&lt;=4000,IF(INDEX(周转筐出入库明细!$C$4:$C$2004,$Z708-2000)=0,"",INDEX(周转筐出入库明细!$C$4:$C$2004,$Z708-2000)),IF($Z708&lt;=5200,IF(INDEX(客户自备加工筐明细!$E$4:$E$1203,$Z708-4000)=0,"",INDEX(客户自备加工筐明细!$E$4:$E$1203,$Z708-4000)),IF($Z708&lt;=5800,IF(INDEX(次果筐明细!$C$4:$C$603,$Z708-5200)=0,"",INDEX(次果筐明细!$C$4:$C$603,$Z708-5200)),"")))))</f>
        <v/>
      </c>
      <c r="D708" s="37" t="str">
        <f>IF($Z708="","",IF($Z708&lt;=2000,"包装物料－"&amp;INDEX(包装物料出入库明细!$H$4:$H$2003,$Z708-0),IF($Z708&lt;=4000,"周转筐－"&amp;INDEX(周转筐出入库明细!$F$4:$F$2004,$Z708-2000),IF($Z708&lt;=5200,"客户自备筐－"&amp;INDEX(客户自备加工筐明细!$J$4:$J$1203,$Z708-4000),IF($Z708&lt;=5800,"次果筐/托盘－"&amp;INDEX(次果筐明细!$F$4:$F$603,$Z708-5200),"")))))</f>
        <v/>
      </c>
      <c r="E708" s="24" t="str">
        <f>IF($Z708="","",IF($Z708&lt;=2000,IF(INDEX(包装物料出入库明细!$C$4:$C$2003,$Z708-0)=0,"",INDEX(包装物料出入库明细!$C$4:$C$2003,$Z708-0)),IF($Z708&lt;=4000,IF(INDEX(周转筐出入库明细!$E$4:$E$2004,$Z708-2000)=0,"",INDEX(周转筐出入库明细!$E$4:$E$2004,$Z708-2000)),IF($Z708&lt;=5200,IF(INDEX(客户自备加工筐明细!$D$4:$D$1203,$Z708-4000)=0,"",INDEX(客户自备加工筐明细!$D$4:$D$1203,$Z708-4000)),IF($Z708&lt;=5800,IF(INDEX(次果筐明细!$E$4:$E$603,$Z708-5200)=0,"",INDEX(次果筐明细!$E$4:$E$603,$Z708-5200)),"")))))</f>
        <v/>
      </c>
      <c r="F708" s="24" t="str">
        <f>IF($Z708="","",IF($Z708&lt;=2000,IF(INDEX(包装物料出入库明细!$E$4:$E$2003,$Z708-0)=0,"",INDEX(包装物料出入库明细!$E$4:$E$2003,$Z708-0)),IF($Z708&lt;=4000,IF(INDEX(周转筐出入库明细!$D$4:$D$2004,$Z708-2000)=0,"",INDEX(周转筐出入库明细!$D$4:$D$2004,$Z708-2000)),IF($Z708&lt;=5200,IF(INDEX(客户自备加工筐明细!$C$4:$C$1203,$Z708-4000)=0,"",INDEX(客户自备加工筐明细!$C$4:$C$1203,$Z708-4000)),IF($Z708&lt;=5800,IF(INDEX(次果筐明细!$D$4:$D$603,$Z708-5200)=0,"",INDEX(次果筐明细!$D$4:$D$603,$Z708-5200)),"")))))</f>
        <v/>
      </c>
      <c r="G708" s="24" t="str">
        <f>IF($Z708="","",IF($Z708&lt;=2000,IF(INDEX(包装物料出入库明细!$F$4:$F$2003,$Z708-0)=0,"",INDEX(包装物料出入库明细!$F$4:$F$2003,$Z708-0)),IF($Z708&lt;=4000,"",IF($Z708&lt;=5200,"",IF($Z708&lt;=5800,"","")))))</f>
        <v/>
      </c>
      <c r="H708" s="39" t="str">
        <f>IF($Z708="","",IF($Z708&lt;=2000,IF(INDEX(包装物料出入库明细!$L$4:$L$2003,$Z708-0)=0,"",INDEX(包装物料出入库明细!$L$4:$L$2003,$Z708-0)),IF($Z708&lt;=4000,N(INDEX(周转筐出入库明细!$H$4:$H$2004,$Z708-2000))+N(INDEX(周转筐出入库明细!$I$4:$I$2004,$Z708-2000))+N(INDEX(周转筐出入库明细!$J$4:$J$2004,$Z708-2000))+N(INDEX(周转筐出入库明细!$K$4:$K$2004,$Z708-2000)),IF($Z708&lt;=5200,N(INDEX(客户自备加工筐明细!$F$4:$F$1203,$Z708-4000))+N(INDEX(客户自备加工筐明细!$G$4:$G$1203,$Z708-4000)),IF($Z708&lt;=5800,IF(INDEX(次果筐明细!$G$4:$G$603,$Z708-5200)=0,"",INDEX(次果筐明细!$G$4:$G$603,$Z708-5200)),"")))))</f>
        <v/>
      </c>
      <c r="I708" s="24" t="str">
        <f>IF($Z708="","",IF($Z708&lt;=2000,IF(INDEX(包装物料出入库明细!$G$4:$G$2003,$Z708-0)=0,"",INDEX(包装物料出入库明细!$G$4:$G$2003,$Z708-0)),IF($Z708&lt;=4000,"个",IF($Z708&lt;=5200,"个",IF($Z708&lt;=5800,"个","")))))</f>
        <v/>
      </c>
      <c r="J708" s="30" t="str">
        <f t="shared" ref="J708:J771" si="34">IF($Z708="","",IF($Z708&lt;=2000,"",IF($Z708&lt;=4000,"",IF($Z708&lt;=5200,"",IF($Z708&lt;=5800,"","")))))</f>
        <v/>
      </c>
      <c r="K708" s="30" t="str">
        <f>IF($Z708="","",IF($Z708&lt;=2000,IF(INDEX(包装物料出入库明细!$N$4:$N$2003,$Z708-0)=0,"",INDEX(包装物料出入库明细!$N$4:$N$2003,$Z708-0)),IF($Z708&lt;=4000,IF(INDEX(周转筐出入库明细!$P$4:$P$2004,$Z708-2000)=0,"",INDEX(周转筐出入库明细!$P$4:$P$2004,$Z708-2000)),IF($Z708&lt;=5200,"",IF($Z708&lt;=5800,N(INDEX(次果筐明细!$L$4:$L$603,$Z708-5200))+N(INDEX(次果筐明细!$J$4:$J$603,$Z708-5200)),"")))))</f>
        <v/>
      </c>
      <c r="L708" s="24" t="str">
        <f>IF($Z708="","",IF($Z708&lt;=2000,IF(INDEX(包装物料出入库明细!$P$4:$P$2003,$Z708-0)=0,"",INDEX(包装物料出入库明细!$P$4:$P$2003,$Z708-0)),IF($Z708&lt;=4000,IF(INDEX(周转筐出入库明细!$Q$4:$Q$2004,$Z708-2000)=0,"",INDEX(周转筐出入库明细!$Q$4:$Q$2004,$Z708-2000)),IF($Z708&lt;=5200,"",IF($Z708&lt;=5800,IF(INDEX(次果筐明细!$M$4:$M$603,$Z708-5200)=0,"",INDEX(次果筐明细!$M$4:$M$603,$Z708-5200)),"")))))</f>
        <v/>
      </c>
      <c r="M708" s="37" t="str">
        <f>IF($Z708="","",IF($Z708&lt;=2000,IF(INDEX(包装物料出入库明细!$R$4:$R$2003,$Z708-0)=0,"",INDEX(包装物料出入库明细!$R$4:$R$2003,$Z708-0)),IF($Z708&lt;=4000,IF(INDEX(周转筐出入库明细!$W$4:$W$2004,$Z708-2000)=0,"",INDEX(周转筐出入库明细!$W$4:$W$2004,$Z708-2000)),IF($Z708&lt;=5200,IF(INDEX(客户自备加工筐明细!$L$4:$L$1203,$Z708-4000)=0,"",INDEX(客户自备加工筐明细!$L$4:$L$1203,$Z708-4000)),IF($Z708&lt;=5800,IF(INDEX(次果筐明细!$P$4:$P$603,$Z708-5200)=0,"",INDEX(次果筐明细!$P$4:$P$603,$Z708-5200)),"")))))</f>
        <v/>
      </c>
      <c r="N708" s="16" t="str">
        <f>IF($Z708="","",IF($Z708&lt;=2000,"",IF($Z708&lt;=4000,IF(INDEX(周转筐出入库明细!$D$4:$D$2004,$Z708-2000)=0,"",INDEX(周转筐出入库明细!$D$4:$D$2004,$Z708-2000)),IF($Z708&lt;=5200,IF(INDEX(客户自备加工筐明细!$C$4:$C$1203,$Z708-4000)=0,"",INDEX(客户自备加工筐明细!$C$4:$C$1203,$Z708-4000)),IF($Z708&lt;=5800,IF(INDEX(次果筐明细!$D$4:$D$603,$Z708-5200)=0,"",INDEX(次果筐明细!$D$4:$D$603,$Z708-5200)),"")))))</f>
        <v/>
      </c>
      <c r="O708" s="40" t="str">
        <f>IF($Z708="","",IF($Z708&lt;=2000,"",IF($Z708&lt;=4000,IF(N(INDEX(周转筐出入库明细!$J$4:$J$2004,$Z708-2000))+N(INDEX(周转筐出入库明细!$K$4:$K$2004,$Z708-2000))=0,"",N(INDEX(周转筐出入库明细!$J$4:$J$2004,$Z708-2000))+N(INDEX(周转筐出入库明细!$K$4:$K$2004,$Z708-2000))),IF($Z708&lt;=5200,IF(N(INDEX(客户自备加工筐明细!$G$4:$G$1203,$Z708-4000))=0,"",N(INDEX(客户自备加工筐明细!$G$4:$G$1203,$Z708-4000))),IF($Z708&lt;=5800,IF(ISNUMBER(SEARCH("退",INDEX(次果筐明细!$F$4:$F$603,$Z708-5200)&amp;"")),"",IF(N(INDEX(次果筐明细!$G$4:$G$603,$Z708-5200))=0,"",N(INDEX(次果筐明细!$G$4:$G$603,$Z708-5200)))),"")))))</f>
        <v/>
      </c>
      <c r="P708" s="40" t="str">
        <f>IF($Z708="","",IF($Z708&lt;=2000,"",IF($Z708&lt;=4000,IF(N(INDEX(周转筐出入库明细!$I$4:$I$2004,$Z708-2000))=0,"",N(INDEX(周转筐出入库明细!$I$4:$I$2004,$Z708-2000))),IF($Z708&lt;=5200,"",IF($Z708&lt;=5800,IF(ISNUMBER(SEARCH("退",INDEX(次果筐明细!$F$4:$F$603,$Z708-5200)&amp;"")),IF(N(INDEX(次果筐明细!$G$4:$G$603,$Z708-5200))=0,"",N(INDEX(次果筐明细!$G$4:$G$603,$Z708-5200))),""),"")))))</f>
        <v/>
      </c>
      <c r="Q708" s="40" t="str">
        <f>IF($Z708="","",IF($Z708&lt;=2000,"",IF($Z708&lt;=4000,IF(N(INDEX(周转筐出入库明细!$H$4:$H$2004,$Z708-2000))=0,"",N(INDEX(周转筐出入库明细!$H$4:$H$2004,$Z708-2000))),IF($Z708&lt;=5200,IF(N(INDEX(客户自备加工筐明细!$F$4:$F$1203,$Z708-4000))=0,"",N(INDEX(客户自备加工筐明细!$F$4:$F$1203,$Z708-4000))),IF($Z708&lt;=5800,"","")))))</f>
        <v/>
      </c>
      <c r="R708" s="16" t="str">
        <f>IF($Z708="","",IF($Z708&lt;=2000,IF(INDEX(包装物料出入库明细!$O$4:$O$2003,$Z708-0)=0,"",INDEX(包装物料出入库明细!$O$4:$O$2003,$Z708-0)),IF($Z708&lt;=4000,IF(INDEX(周转筐出入库明细!$M$4:$M$2004,$Z708-2000)=0,"",INDEX(周转筐出入库明细!$M$4:$M$2004,$Z708-2000)),IF($Z708&lt;=5200,IF(INDEX(客户自备加工筐明细!$H$4:$H$1203,$Z708-4000)=0,"",INDEX(客户自备加工筐明细!$H$4:$H$1203,$Z708-4000)),IF($Z708&lt;=5800,IF(INDEX(次果筐明细!$H$4:$H$603,$Z708-5200)=0,"",INDEX(次果筐明细!$H$4:$H$603,$Z708-5200)),"")))))</f>
        <v/>
      </c>
      <c r="S708" s="22" t="str">
        <f t="shared" ref="S708:S771" si="35">IF($N708="","",IF(OR(LEFT($N708,2)="自备",AND($Z708&gt;4000,$Z708&lt;=5200)),"自备筐","公司筐"))</f>
        <v/>
      </c>
      <c r="Z708" s="10" t="str">
        <f>IFERROR(MATCH(ROW()-3,_自动清单!$CQ$4:$CQ$5803,0),"")</f>
        <v/>
      </c>
    </row>
    <row r="709" spans="1:26">
      <c r="A709" s="24" t="str">
        <f t="shared" si="33"/>
        <v/>
      </c>
      <c r="B709" s="38" t="str">
        <f>IF($Z709="","",IF($Z709&lt;=2000,IF(INDEX(包装物料出入库明细!$B$4:$B$2003,$Z709-0)=0,"",INDEX(包装物料出入库明细!$B$4:$B$2003,$Z709-0)),IF($Z709&lt;=4000,IF(INDEX(周转筐出入库明细!$B$4:$B$2004,$Z709-2000)=0,"",INDEX(周转筐出入库明细!$B$4:$B$2004,$Z709-2000)),IF($Z709&lt;=5200,IF(INDEX(客户自备加工筐明细!$B$4:$B$1203,$Z709-4000)=0,"",INDEX(客户自备加工筐明细!$B$4:$B$1203,$Z709-4000)),IF($Z709&lt;=5800,IF(INDEX(次果筐明细!$B$4:$B$603,$Z709-5200)=0,"",INDEX(次果筐明细!$B$4:$B$603,$Z709-5200)),"")))))</f>
        <v/>
      </c>
      <c r="C709" s="37" t="str">
        <f>IF($Z709="","",IF($Z709&lt;=2000,IF(INDEX(包装物料出入库明细!$D$4:$D$2003,$Z709-0)=0,"",INDEX(包装物料出入库明细!$D$4:$D$2003,$Z709-0)),IF($Z709&lt;=4000,IF(INDEX(周转筐出入库明细!$C$4:$C$2004,$Z709-2000)=0,"",INDEX(周转筐出入库明细!$C$4:$C$2004,$Z709-2000)),IF($Z709&lt;=5200,IF(INDEX(客户自备加工筐明细!$E$4:$E$1203,$Z709-4000)=0,"",INDEX(客户自备加工筐明细!$E$4:$E$1203,$Z709-4000)),IF($Z709&lt;=5800,IF(INDEX(次果筐明细!$C$4:$C$603,$Z709-5200)=0,"",INDEX(次果筐明细!$C$4:$C$603,$Z709-5200)),"")))))</f>
        <v/>
      </c>
      <c r="D709" s="37" t="str">
        <f>IF($Z709="","",IF($Z709&lt;=2000,"包装物料－"&amp;INDEX(包装物料出入库明细!$H$4:$H$2003,$Z709-0),IF($Z709&lt;=4000,"周转筐－"&amp;INDEX(周转筐出入库明细!$F$4:$F$2004,$Z709-2000),IF($Z709&lt;=5200,"客户自备筐－"&amp;INDEX(客户自备加工筐明细!$J$4:$J$1203,$Z709-4000),IF($Z709&lt;=5800,"次果筐/托盘－"&amp;INDEX(次果筐明细!$F$4:$F$603,$Z709-5200),"")))))</f>
        <v/>
      </c>
      <c r="E709" s="24" t="str">
        <f>IF($Z709="","",IF($Z709&lt;=2000,IF(INDEX(包装物料出入库明细!$C$4:$C$2003,$Z709-0)=0,"",INDEX(包装物料出入库明细!$C$4:$C$2003,$Z709-0)),IF($Z709&lt;=4000,IF(INDEX(周转筐出入库明细!$E$4:$E$2004,$Z709-2000)=0,"",INDEX(周转筐出入库明细!$E$4:$E$2004,$Z709-2000)),IF($Z709&lt;=5200,IF(INDEX(客户自备加工筐明细!$D$4:$D$1203,$Z709-4000)=0,"",INDEX(客户自备加工筐明细!$D$4:$D$1203,$Z709-4000)),IF($Z709&lt;=5800,IF(INDEX(次果筐明细!$E$4:$E$603,$Z709-5200)=0,"",INDEX(次果筐明细!$E$4:$E$603,$Z709-5200)),"")))))</f>
        <v/>
      </c>
      <c r="F709" s="24" t="str">
        <f>IF($Z709="","",IF($Z709&lt;=2000,IF(INDEX(包装物料出入库明细!$E$4:$E$2003,$Z709-0)=0,"",INDEX(包装物料出入库明细!$E$4:$E$2003,$Z709-0)),IF($Z709&lt;=4000,IF(INDEX(周转筐出入库明细!$D$4:$D$2004,$Z709-2000)=0,"",INDEX(周转筐出入库明细!$D$4:$D$2004,$Z709-2000)),IF($Z709&lt;=5200,IF(INDEX(客户自备加工筐明细!$C$4:$C$1203,$Z709-4000)=0,"",INDEX(客户自备加工筐明细!$C$4:$C$1203,$Z709-4000)),IF($Z709&lt;=5800,IF(INDEX(次果筐明细!$D$4:$D$603,$Z709-5200)=0,"",INDEX(次果筐明细!$D$4:$D$603,$Z709-5200)),"")))))</f>
        <v/>
      </c>
      <c r="G709" s="24" t="str">
        <f>IF($Z709="","",IF($Z709&lt;=2000,IF(INDEX(包装物料出入库明细!$F$4:$F$2003,$Z709-0)=0,"",INDEX(包装物料出入库明细!$F$4:$F$2003,$Z709-0)),IF($Z709&lt;=4000,"",IF($Z709&lt;=5200,"",IF($Z709&lt;=5800,"","")))))</f>
        <v/>
      </c>
      <c r="H709" s="39" t="str">
        <f>IF($Z709="","",IF($Z709&lt;=2000,IF(INDEX(包装物料出入库明细!$L$4:$L$2003,$Z709-0)=0,"",INDEX(包装物料出入库明细!$L$4:$L$2003,$Z709-0)),IF($Z709&lt;=4000,N(INDEX(周转筐出入库明细!$H$4:$H$2004,$Z709-2000))+N(INDEX(周转筐出入库明细!$I$4:$I$2004,$Z709-2000))+N(INDEX(周转筐出入库明细!$J$4:$J$2004,$Z709-2000))+N(INDEX(周转筐出入库明细!$K$4:$K$2004,$Z709-2000)),IF($Z709&lt;=5200,N(INDEX(客户自备加工筐明细!$F$4:$F$1203,$Z709-4000))+N(INDEX(客户自备加工筐明细!$G$4:$G$1203,$Z709-4000)),IF($Z709&lt;=5800,IF(INDEX(次果筐明细!$G$4:$G$603,$Z709-5200)=0,"",INDEX(次果筐明细!$G$4:$G$603,$Z709-5200)),"")))))</f>
        <v/>
      </c>
      <c r="I709" s="24" t="str">
        <f>IF($Z709="","",IF($Z709&lt;=2000,IF(INDEX(包装物料出入库明细!$G$4:$G$2003,$Z709-0)=0,"",INDEX(包装物料出入库明细!$G$4:$G$2003,$Z709-0)),IF($Z709&lt;=4000,"个",IF($Z709&lt;=5200,"个",IF($Z709&lt;=5800,"个","")))))</f>
        <v/>
      </c>
      <c r="J709" s="30" t="str">
        <f t="shared" si="34"/>
        <v/>
      </c>
      <c r="K709" s="30" t="str">
        <f>IF($Z709="","",IF($Z709&lt;=2000,IF(INDEX(包装物料出入库明细!$N$4:$N$2003,$Z709-0)=0,"",INDEX(包装物料出入库明细!$N$4:$N$2003,$Z709-0)),IF($Z709&lt;=4000,IF(INDEX(周转筐出入库明细!$P$4:$P$2004,$Z709-2000)=0,"",INDEX(周转筐出入库明细!$P$4:$P$2004,$Z709-2000)),IF($Z709&lt;=5200,"",IF($Z709&lt;=5800,N(INDEX(次果筐明细!$L$4:$L$603,$Z709-5200))+N(INDEX(次果筐明细!$J$4:$J$603,$Z709-5200)),"")))))</f>
        <v/>
      </c>
      <c r="L709" s="24" t="str">
        <f>IF($Z709="","",IF($Z709&lt;=2000,IF(INDEX(包装物料出入库明细!$P$4:$P$2003,$Z709-0)=0,"",INDEX(包装物料出入库明细!$P$4:$P$2003,$Z709-0)),IF($Z709&lt;=4000,IF(INDEX(周转筐出入库明细!$Q$4:$Q$2004,$Z709-2000)=0,"",INDEX(周转筐出入库明细!$Q$4:$Q$2004,$Z709-2000)),IF($Z709&lt;=5200,"",IF($Z709&lt;=5800,IF(INDEX(次果筐明细!$M$4:$M$603,$Z709-5200)=0,"",INDEX(次果筐明细!$M$4:$M$603,$Z709-5200)),"")))))</f>
        <v/>
      </c>
      <c r="M709" s="37" t="str">
        <f>IF($Z709="","",IF($Z709&lt;=2000,IF(INDEX(包装物料出入库明细!$R$4:$R$2003,$Z709-0)=0,"",INDEX(包装物料出入库明细!$R$4:$R$2003,$Z709-0)),IF($Z709&lt;=4000,IF(INDEX(周转筐出入库明细!$W$4:$W$2004,$Z709-2000)=0,"",INDEX(周转筐出入库明细!$W$4:$W$2004,$Z709-2000)),IF($Z709&lt;=5200,IF(INDEX(客户自备加工筐明细!$L$4:$L$1203,$Z709-4000)=0,"",INDEX(客户自备加工筐明细!$L$4:$L$1203,$Z709-4000)),IF($Z709&lt;=5800,IF(INDEX(次果筐明细!$P$4:$P$603,$Z709-5200)=0,"",INDEX(次果筐明细!$P$4:$P$603,$Z709-5200)),"")))))</f>
        <v/>
      </c>
      <c r="N709" s="16" t="str">
        <f>IF($Z709="","",IF($Z709&lt;=2000,"",IF($Z709&lt;=4000,IF(INDEX(周转筐出入库明细!$D$4:$D$2004,$Z709-2000)=0,"",INDEX(周转筐出入库明细!$D$4:$D$2004,$Z709-2000)),IF($Z709&lt;=5200,IF(INDEX(客户自备加工筐明细!$C$4:$C$1203,$Z709-4000)=0,"",INDEX(客户自备加工筐明细!$C$4:$C$1203,$Z709-4000)),IF($Z709&lt;=5800,IF(INDEX(次果筐明细!$D$4:$D$603,$Z709-5200)=0,"",INDEX(次果筐明细!$D$4:$D$603,$Z709-5200)),"")))))</f>
        <v/>
      </c>
      <c r="O709" s="40" t="str">
        <f>IF($Z709="","",IF($Z709&lt;=2000,"",IF($Z709&lt;=4000,IF(N(INDEX(周转筐出入库明细!$J$4:$J$2004,$Z709-2000))+N(INDEX(周转筐出入库明细!$K$4:$K$2004,$Z709-2000))=0,"",N(INDEX(周转筐出入库明细!$J$4:$J$2004,$Z709-2000))+N(INDEX(周转筐出入库明细!$K$4:$K$2004,$Z709-2000))),IF($Z709&lt;=5200,IF(N(INDEX(客户自备加工筐明细!$G$4:$G$1203,$Z709-4000))=0,"",N(INDEX(客户自备加工筐明细!$G$4:$G$1203,$Z709-4000))),IF($Z709&lt;=5800,IF(ISNUMBER(SEARCH("退",INDEX(次果筐明细!$F$4:$F$603,$Z709-5200)&amp;"")),"",IF(N(INDEX(次果筐明细!$G$4:$G$603,$Z709-5200))=0,"",N(INDEX(次果筐明细!$G$4:$G$603,$Z709-5200)))),"")))))</f>
        <v/>
      </c>
      <c r="P709" s="40" t="str">
        <f>IF($Z709="","",IF($Z709&lt;=2000,"",IF($Z709&lt;=4000,IF(N(INDEX(周转筐出入库明细!$I$4:$I$2004,$Z709-2000))=0,"",N(INDEX(周转筐出入库明细!$I$4:$I$2004,$Z709-2000))),IF($Z709&lt;=5200,"",IF($Z709&lt;=5800,IF(ISNUMBER(SEARCH("退",INDEX(次果筐明细!$F$4:$F$603,$Z709-5200)&amp;"")),IF(N(INDEX(次果筐明细!$G$4:$G$603,$Z709-5200))=0,"",N(INDEX(次果筐明细!$G$4:$G$603,$Z709-5200))),""),"")))))</f>
        <v/>
      </c>
      <c r="Q709" s="40" t="str">
        <f>IF($Z709="","",IF($Z709&lt;=2000,"",IF($Z709&lt;=4000,IF(N(INDEX(周转筐出入库明细!$H$4:$H$2004,$Z709-2000))=0,"",N(INDEX(周转筐出入库明细!$H$4:$H$2004,$Z709-2000))),IF($Z709&lt;=5200,IF(N(INDEX(客户自备加工筐明细!$F$4:$F$1203,$Z709-4000))=0,"",N(INDEX(客户自备加工筐明细!$F$4:$F$1203,$Z709-4000))),IF($Z709&lt;=5800,"","")))))</f>
        <v/>
      </c>
      <c r="R709" s="16" t="str">
        <f>IF($Z709="","",IF($Z709&lt;=2000,IF(INDEX(包装物料出入库明细!$O$4:$O$2003,$Z709-0)=0,"",INDEX(包装物料出入库明细!$O$4:$O$2003,$Z709-0)),IF($Z709&lt;=4000,IF(INDEX(周转筐出入库明细!$M$4:$M$2004,$Z709-2000)=0,"",INDEX(周转筐出入库明细!$M$4:$M$2004,$Z709-2000)),IF($Z709&lt;=5200,IF(INDEX(客户自备加工筐明细!$H$4:$H$1203,$Z709-4000)=0,"",INDEX(客户自备加工筐明细!$H$4:$H$1203,$Z709-4000)),IF($Z709&lt;=5800,IF(INDEX(次果筐明细!$H$4:$H$603,$Z709-5200)=0,"",INDEX(次果筐明细!$H$4:$H$603,$Z709-5200)),"")))))</f>
        <v/>
      </c>
      <c r="S709" s="22" t="str">
        <f t="shared" si="35"/>
        <v/>
      </c>
      <c r="Z709" s="10" t="str">
        <f>IFERROR(MATCH(ROW()-3,_自动清单!$CQ$4:$CQ$5803,0),"")</f>
        <v/>
      </c>
    </row>
    <row r="710" spans="1:26">
      <c r="A710" s="24" t="str">
        <f t="shared" si="33"/>
        <v/>
      </c>
      <c r="B710" s="38" t="str">
        <f>IF($Z710="","",IF($Z710&lt;=2000,IF(INDEX(包装物料出入库明细!$B$4:$B$2003,$Z710-0)=0,"",INDEX(包装物料出入库明细!$B$4:$B$2003,$Z710-0)),IF($Z710&lt;=4000,IF(INDEX(周转筐出入库明细!$B$4:$B$2004,$Z710-2000)=0,"",INDEX(周转筐出入库明细!$B$4:$B$2004,$Z710-2000)),IF($Z710&lt;=5200,IF(INDEX(客户自备加工筐明细!$B$4:$B$1203,$Z710-4000)=0,"",INDEX(客户自备加工筐明细!$B$4:$B$1203,$Z710-4000)),IF($Z710&lt;=5800,IF(INDEX(次果筐明细!$B$4:$B$603,$Z710-5200)=0,"",INDEX(次果筐明细!$B$4:$B$603,$Z710-5200)),"")))))</f>
        <v/>
      </c>
      <c r="C710" s="37" t="str">
        <f>IF($Z710="","",IF($Z710&lt;=2000,IF(INDEX(包装物料出入库明细!$D$4:$D$2003,$Z710-0)=0,"",INDEX(包装物料出入库明细!$D$4:$D$2003,$Z710-0)),IF($Z710&lt;=4000,IF(INDEX(周转筐出入库明细!$C$4:$C$2004,$Z710-2000)=0,"",INDEX(周转筐出入库明细!$C$4:$C$2004,$Z710-2000)),IF($Z710&lt;=5200,IF(INDEX(客户自备加工筐明细!$E$4:$E$1203,$Z710-4000)=0,"",INDEX(客户自备加工筐明细!$E$4:$E$1203,$Z710-4000)),IF($Z710&lt;=5800,IF(INDEX(次果筐明细!$C$4:$C$603,$Z710-5200)=0,"",INDEX(次果筐明细!$C$4:$C$603,$Z710-5200)),"")))))</f>
        <v/>
      </c>
      <c r="D710" s="37" t="str">
        <f>IF($Z710="","",IF($Z710&lt;=2000,"包装物料－"&amp;INDEX(包装物料出入库明细!$H$4:$H$2003,$Z710-0),IF($Z710&lt;=4000,"周转筐－"&amp;INDEX(周转筐出入库明细!$F$4:$F$2004,$Z710-2000),IF($Z710&lt;=5200,"客户自备筐－"&amp;INDEX(客户自备加工筐明细!$J$4:$J$1203,$Z710-4000),IF($Z710&lt;=5800,"次果筐/托盘－"&amp;INDEX(次果筐明细!$F$4:$F$603,$Z710-5200),"")))))</f>
        <v/>
      </c>
      <c r="E710" s="24" t="str">
        <f>IF($Z710="","",IF($Z710&lt;=2000,IF(INDEX(包装物料出入库明细!$C$4:$C$2003,$Z710-0)=0,"",INDEX(包装物料出入库明细!$C$4:$C$2003,$Z710-0)),IF($Z710&lt;=4000,IF(INDEX(周转筐出入库明细!$E$4:$E$2004,$Z710-2000)=0,"",INDEX(周转筐出入库明细!$E$4:$E$2004,$Z710-2000)),IF($Z710&lt;=5200,IF(INDEX(客户自备加工筐明细!$D$4:$D$1203,$Z710-4000)=0,"",INDEX(客户自备加工筐明细!$D$4:$D$1203,$Z710-4000)),IF($Z710&lt;=5800,IF(INDEX(次果筐明细!$E$4:$E$603,$Z710-5200)=0,"",INDEX(次果筐明细!$E$4:$E$603,$Z710-5200)),"")))))</f>
        <v/>
      </c>
      <c r="F710" s="24" t="str">
        <f>IF($Z710="","",IF($Z710&lt;=2000,IF(INDEX(包装物料出入库明细!$E$4:$E$2003,$Z710-0)=0,"",INDEX(包装物料出入库明细!$E$4:$E$2003,$Z710-0)),IF($Z710&lt;=4000,IF(INDEX(周转筐出入库明细!$D$4:$D$2004,$Z710-2000)=0,"",INDEX(周转筐出入库明细!$D$4:$D$2004,$Z710-2000)),IF($Z710&lt;=5200,IF(INDEX(客户自备加工筐明细!$C$4:$C$1203,$Z710-4000)=0,"",INDEX(客户自备加工筐明细!$C$4:$C$1203,$Z710-4000)),IF($Z710&lt;=5800,IF(INDEX(次果筐明细!$D$4:$D$603,$Z710-5200)=0,"",INDEX(次果筐明细!$D$4:$D$603,$Z710-5200)),"")))))</f>
        <v/>
      </c>
      <c r="G710" s="24" t="str">
        <f>IF($Z710="","",IF($Z710&lt;=2000,IF(INDEX(包装物料出入库明细!$F$4:$F$2003,$Z710-0)=0,"",INDEX(包装物料出入库明细!$F$4:$F$2003,$Z710-0)),IF($Z710&lt;=4000,"",IF($Z710&lt;=5200,"",IF($Z710&lt;=5800,"","")))))</f>
        <v/>
      </c>
      <c r="H710" s="39" t="str">
        <f>IF($Z710="","",IF($Z710&lt;=2000,IF(INDEX(包装物料出入库明细!$L$4:$L$2003,$Z710-0)=0,"",INDEX(包装物料出入库明细!$L$4:$L$2003,$Z710-0)),IF($Z710&lt;=4000,N(INDEX(周转筐出入库明细!$H$4:$H$2004,$Z710-2000))+N(INDEX(周转筐出入库明细!$I$4:$I$2004,$Z710-2000))+N(INDEX(周转筐出入库明细!$J$4:$J$2004,$Z710-2000))+N(INDEX(周转筐出入库明细!$K$4:$K$2004,$Z710-2000)),IF($Z710&lt;=5200,N(INDEX(客户自备加工筐明细!$F$4:$F$1203,$Z710-4000))+N(INDEX(客户自备加工筐明细!$G$4:$G$1203,$Z710-4000)),IF($Z710&lt;=5800,IF(INDEX(次果筐明细!$G$4:$G$603,$Z710-5200)=0,"",INDEX(次果筐明细!$G$4:$G$603,$Z710-5200)),"")))))</f>
        <v/>
      </c>
      <c r="I710" s="24" t="str">
        <f>IF($Z710="","",IF($Z710&lt;=2000,IF(INDEX(包装物料出入库明细!$G$4:$G$2003,$Z710-0)=0,"",INDEX(包装物料出入库明细!$G$4:$G$2003,$Z710-0)),IF($Z710&lt;=4000,"个",IF($Z710&lt;=5200,"个",IF($Z710&lt;=5800,"个","")))))</f>
        <v/>
      </c>
      <c r="J710" s="30" t="str">
        <f t="shared" si="34"/>
        <v/>
      </c>
      <c r="K710" s="30" t="str">
        <f>IF($Z710="","",IF($Z710&lt;=2000,IF(INDEX(包装物料出入库明细!$N$4:$N$2003,$Z710-0)=0,"",INDEX(包装物料出入库明细!$N$4:$N$2003,$Z710-0)),IF($Z710&lt;=4000,IF(INDEX(周转筐出入库明细!$P$4:$P$2004,$Z710-2000)=0,"",INDEX(周转筐出入库明细!$P$4:$P$2004,$Z710-2000)),IF($Z710&lt;=5200,"",IF($Z710&lt;=5800,N(INDEX(次果筐明细!$L$4:$L$603,$Z710-5200))+N(INDEX(次果筐明细!$J$4:$J$603,$Z710-5200)),"")))))</f>
        <v/>
      </c>
      <c r="L710" s="24" t="str">
        <f>IF($Z710="","",IF($Z710&lt;=2000,IF(INDEX(包装物料出入库明细!$P$4:$P$2003,$Z710-0)=0,"",INDEX(包装物料出入库明细!$P$4:$P$2003,$Z710-0)),IF($Z710&lt;=4000,IF(INDEX(周转筐出入库明细!$Q$4:$Q$2004,$Z710-2000)=0,"",INDEX(周转筐出入库明细!$Q$4:$Q$2004,$Z710-2000)),IF($Z710&lt;=5200,"",IF($Z710&lt;=5800,IF(INDEX(次果筐明细!$M$4:$M$603,$Z710-5200)=0,"",INDEX(次果筐明细!$M$4:$M$603,$Z710-5200)),"")))))</f>
        <v/>
      </c>
      <c r="M710" s="37" t="str">
        <f>IF($Z710="","",IF($Z710&lt;=2000,IF(INDEX(包装物料出入库明细!$R$4:$R$2003,$Z710-0)=0,"",INDEX(包装物料出入库明细!$R$4:$R$2003,$Z710-0)),IF($Z710&lt;=4000,IF(INDEX(周转筐出入库明细!$W$4:$W$2004,$Z710-2000)=0,"",INDEX(周转筐出入库明细!$W$4:$W$2004,$Z710-2000)),IF($Z710&lt;=5200,IF(INDEX(客户自备加工筐明细!$L$4:$L$1203,$Z710-4000)=0,"",INDEX(客户自备加工筐明细!$L$4:$L$1203,$Z710-4000)),IF($Z710&lt;=5800,IF(INDEX(次果筐明细!$P$4:$P$603,$Z710-5200)=0,"",INDEX(次果筐明细!$P$4:$P$603,$Z710-5200)),"")))))</f>
        <v/>
      </c>
      <c r="N710" s="16" t="str">
        <f>IF($Z710="","",IF($Z710&lt;=2000,"",IF($Z710&lt;=4000,IF(INDEX(周转筐出入库明细!$D$4:$D$2004,$Z710-2000)=0,"",INDEX(周转筐出入库明细!$D$4:$D$2004,$Z710-2000)),IF($Z710&lt;=5200,IF(INDEX(客户自备加工筐明细!$C$4:$C$1203,$Z710-4000)=0,"",INDEX(客户自备加工筐明细!$C$4:$C$1203,$Z710-4000)),IF($Z710&lt;=5800,IF(INDEX(次果筐明细!$D$4:$D$603,$Z710-5200)=0,"",INDEX(次果筐明细!$D$4:$D$603,$Z710-5200)),"")))))</f>
        <v/>
      </c>
      <c r="O710" s="40" t="str">
        <f>IF($Z710="","",IF($Z710&lt;=2000,"",IF($Z710&lt;=4000,IF(N(INDEX(周转筐出入库明细!$J$4:$J$2004,$Z710-2000))+N(INDEX(周转筐出入库明细!$K$4:$K$2004,$Z710-2000))=0,"",N(INDEX(周转筐出入库明细!$J$4:$J$2004,$Z710-2000))+N(INDEX(周转筐出入库明细!$K$4:$K$2004,$Z710-2000))),IF($Z710&lt;=5200,IF(N(INDEX(客户自备加工筐明细!$G$4:$G$1203,$Z710-4000))=0,"",N(INDEX(客户自备加工筐明细!$G$4:$G$1203,$Z710-4000))),IF($Z710&lt;=5800,IF(ISNUMBER(SEARCH("退",INDEX(次果筐明细!$F$4:$F$603,$Z710-5200)&amp;"")),"",IF(N(INDEX(次果筐明细!$G$4:$G$603,$Z710-5200))=0,"",N(INDEX(次果筐明细!$G$4:$G$603,$Z710-5200)))),"")))))</f>
        <v/>
      </c>
      <c r="P710" s="40" t="str">
        <f>IF($Z710="","",IF($Z710&lt;=2000,"",IF($Z710&lt;=4000,IF(N(INDEX(周转筐出入库明细!$I$4:$I$2004,$Z710-2000))=0,"",N(INDEX(周转筐出入库明细!$I$4:$I$2004,$Z710-2000))),IF($Z710&lt;=5200,"",IF($Z710&lt;=5800,IF(ISNUMBER(SEARCH("退",INDEX(次果筐明细!$F$4:$F$603,$Z710-5200)&amp;"")),IF(N(INDEX(次果筐明细!$G$4:$G$603,$Z710-5200))=0,"",N(INDEX(次果筐明细!$G$4:$G$603,$Z710-5200))),""),"")))))</f>
        <v/>
      </c>
      <c r="Q710" s="40" t="str">
        <f>IF($Z710="","",IF($Z710&lt;=2000,"",IF($Z710&lt;=4000,IF(N(INDEX(周转筐出入库明细!$H$4:$H$2004,$Z710-2000))=0,"",N(INDEX(周转筐出入库明细!$H$4:$H$2004,$Z710-2000))),IF($Z710&lt;=5200,IF(N(INDEX(客户自备加工筐明细!$F$4:$F$1203,$Z710-4000))=0,"",N(INDEX(客户自备加工筐明细!$F$4:$F$1203,$Z710-4000))),IF($Z710&lt;=5800,"","")))))</f>
        <v/>
      </c>
      <c r="R710" s="16" t="str">
        <f>IF($Z710="","",IF($Z710&lt;=2000,IF(INDEX(包装物料出入库明细!$O$4:$O$2003,$Z710-0)=0,"",INDEX(包装物料出入库明细!$O$4:$O$2003,$Z710-0)),IF($Z710&lt;=4000,IF(INDEX(周转筐出入库明细!$M$4:$M$2004,$Z710-2000)=0,"",INDEX(周转筐出入库明细!$M$4:$M$2004,$Z710-2000)),IF($Z710&lt;=5200,IF(INDEX(客户自备加工筐明细!$H$4:$H$1203,$Z710-4000)=0,"",INDEX(客户自备加工筐明细!$H$4:$H$1203,$Z710-4000)),IF($Z710&lt;=5800,IF(INDEX(次果筐明细!$H$4:$H$603,$Z710-5200)=0,"",INDEX(次果筐明细!$H$4:$H$603,$Z710-5200)),"")))))</f>
        <v/>
      </c>
      <c r="S710" s="22" t="str">
        <f t="shared" si="35"/>
        <v/>
      </c>
      <c r="Z710" s="10" t="str">
        <f>IFERROR(MATCH(ROW()-3,_自动清单!$CQ$4:$CQ$5803,0),"")</f>
        <v/>
      </c>
    </row>
    <row r="711" spans="1:26">
      <c r="A711" s="24" t="str">
        <f t="shared" si="33"/>
        <v/>
      </c>
      <c r="B711" s="38" t="str">
        <f>IF($Z711="","",IF($Z711&lt;=2000,IF(INDEX(包装物料出入库明细!$B$4:$B$2003,$Z711-0)=0,"",INDEX(包装物料出入库明细!$B$4:$B$2003,$Z711-0)),IF($Z711&lt;=4000,IF(INDEX(周转筐出入库明细!$B$4:$B$2004,$Z711-2000)=0,"",INDEX(周转筐出入库明细!$B$4:$B$2004,$Z711-2000)),IF($Z711&lt;=5200,IF(INDEX(客户自备加工筐明细!$B$4:$B$1203,$Z711-4000)=0,"",INDEX(客户自备加工筐明细!$B$4:$B$1203,$Z711-4000)),IF($Z711&lt;=5800,IF(INDEX(次果筐明细!$B$4:$B$603,$Z711-5200)=0,"",INDEX(次果筐明细!$B$4:$B$603,$Z711-5200)),"")))))</f>
        <v/>
      </c>
      <c r="C711" s="37" t="str">
        <f>IF($Z711="","",IF($Z711&lt;=2000,IF(INDEX(包装物料出入库明细!$D$4:$D$2003,$Z711-0)=0,"",INDEX(包装物料出入库明细!$D$4:$D$2003,$Z711-0)),IF($Z711&lt;=4000,IF(INDEX(周转筐出入库明细!$C$4:$C$2004,$Z711-2000)=0,"",INDEX(周转筐出入库明细!$C$4:$C$2004,$Z711-2000)),IF($Z711&lt;=5200,IF(INDEX(客户自备加工筐明细!$E$4:$E$1203,$Z711-4000)=0,"",INDEX(客户自备加工筐明细!$E$4:$E$1203,$Z711-4000)),IF($Z711&lt;=5800,IF(INDEX(次果筐明细!$C$4:$C$603,$Z711-5200)=0,"",INDEX(次果筐明细!$C$4:$C$603,$Z711-5200)),"")))))</f>
        <v/>
      </c>
      <c r="D711" s="37" t="str">
        <f>IF($Z711="","",IF($Z711&lt;=2000,"包装物料－"&amp;INDEX(包装物料出入库明细!$H$4:$H$2003,$Z711-0),IF($Z711&lt;=4000,"周转筐－"&amp;INDEX(周转筐出入库明细!$F$4:$F$2004,$Z711-2000),IF($Z711&lt;=5200,"客户自备筐－"&amp;INDEX(客户自备加工筐明细!$J$4:$J$1203,$Z711-4000),IF($Z711&lt;=5800,"次果筐/托盘－"&amp;INDEX(次果筐明细!$F$4:$F$603,$Z711-5200),"")))))</f>
        <v/>
      </c>
      <c r="E711" s="24" t="str">
        <f>IF($Z711="","",IF($Z711&lt;=2000,IF(INDEX(包装物料出入库明细!$C$4:$C$2003,$Z711-0)=0,"",INDEX(包装物料出入库明细!$C$4:$C$2003,$Z711-0)),IF($Z711&lt;=4000,IF(INDEX(周转筐出入库明细!$E$4:$E$2004,$Z711-2000)=0,"",INDEX(周转筐出入库明细!$E$4:$E$2004,$Z711-2000)),IF($Z711&lt;=5200,IF(INDEX(客户自备加工筐明细!$D$4:$D$1203,$Z711-4000)=0,"",INDEX(客户自备加工筐明细!$D$4:$D$1203,$Z711-4000)),IF($Z711&lt;=5800,IF(INDEX(次果筐明细!$E$4:$E$603,$Z711-5200)=0,"",INDEX(次果筐明细!$E$4:$E$603,$Z711-5200)),"")))))</f>
        <v/>
      </c>
      <c r="F711" s="24" t="str">
        <f>IF($Z711="","",IF($Z711&lt;=2000,IF(INDEX(包装物料出入库明细!$E$4:$E$2003,$Z711-0)=0,"",INDEX(包装物料出入库明细!$E$4:$E$2003,$Z711-0)),IF($Z711&lt;=4000,IF(INDEX(周转筐出入库明细!$D$4:$D$2004,$Z711-2000)=0,"",INDEX(周转筐出入库明细!$D$4:$D$2004,$Z711-2000)),IF($Z711&lt;=5200,IF(INDEX(客户自备加工筐明细!$C$4:$C$1203,$Z711-4000)=0,"",INDEX(客户自备加工筐明细!$C$4:$C$1203,$Z711-4000)),IF($Z711&lt;=5800,IF(INDEX(次果筐明细!$D$4:$D$603,$Z711-5200)=0,"",INDEX(次果筐明细!$D$4:$D$603,$Z711-5200)),"")))))</f>
        <v/>
      </c>
      <c r="G711" s="24" t="str">
        <f>IF($Z711="","",IF($Z711&lt;=2000,IF(INDEX(包装物料出入库明细!$F$4:$F$2003,$Z711-0)=0,"",INDEX(包装物料出入库明细!$F$4:$F$2003,$Z711-0)),IF($Z711&lt;=4000,"",IF($Z711&lt;=5200,"",IF($Z711&lt;=5800,"","")))))</f>
        <v/>
      </c>
      <c r="H711" s="39" t="str">
        <f>IF($Z711="","",IF($Z711&lt;=2000,IF(INDEX(包装物料出入库明细!$L$4:$L$2003,$Z711-0)=0,"",INDEX(包装物料出入库明细!$L$4:$L$2003,$Z711-0)),IF($Z711&lt;=4000,N(INDEX(周转筐出入库明细!$H$4:$H$2004,$Z711-2000))+N(INDEX(周转筐出入库明细!$I$4:$I$2004,$Z711-2000))+N(INDEX(周转筐出入库明细!$J$4:$J$2004,$Z711-2000))+N(INDEX(周转筐出入库明细!$K$4:$K$2004,$Z711-2000)),IF($Z711&lt;=5200,N(INDEX(客户自备加工筐明细!$F$4:$F$1203,$Z711-4000))+N(INDEX(客户自备加工筐明细!$G$4:$G$1203,$Z711-4000)),IF($Z711&lt;=5800,IF(INDEX(次果筐明细!$G$4:$G$603,$Z711-5200)=0,"",INDEX(次果筐明细!$G$4:$G$603,$Z711-5200)),"")))))</f>
        <v/>
      </c>
      <c r="I711" s="24" t="str">
        <f>IF($Z711="","",IF($Z711&lt;=2000,IF(INDEX(包装物料出入库明细!$G$4:$G$2003,$Z711-0)=0,"",INDEX(包装物料出入库明细!$G$4:$G$2003,$Z711-0)),IF($Z711&lt;=4000,"个",IF($Z711&lt;=5200,"个",IF($Z711&lt;=5800,"个","")))))</f>
        <v/>
      </c>
      <c r="J711" s="30" t="str">
        <f t="shared" si="34"/>
        <v/>
      </c>
      <c r="K711" s="30" t="str">
        <f>IF($Z711="","",IF($Z711&lt;=2000,IF(INDEX(包装物料出入库明细!$N$4:$N$2003,$Z711-0)=0,"",INDEX(包装物料出入库明细!$N$4:$N$2003,$Z711-0)),IF($Z711&lt;=4000,IF(INDEX(周转筐出入库明细!$P$4:$P$2004,$Z711-2000)=0,"",INDEX(周转筐出入库明细!$P$4:$P$2004,$Z711-2000)),IF($Z711&lt;=5200,"",IF($Z711&lt;=5800,N(INDEX(次果筐明细!$L$4:$L$603,$Z711-5200))+N(INDEX(次果筐明细!$J$4:$J$603,$Z711-5200)),"")))))</f>
        <v/>
      </c>
      <c r="L711" s="24" t="str">
        <f>IF($Z711="","",IF($Z711&lt;=2000,IF(INDEX(包装物料出入库明细!$P$4:$P$2003,$Z711-0)=0,"",INDEX(包装物料出入库明细!$P$4:$P$2003,$Z711-0)),IF($Z711&lt;=4000,IF(INDEX(周转筐出入库明细!$Q$4:$Q$2004,$Z711-2000)=0,"",INDEX(周转筐出入库明细!$Q$4:$Q$2004,$Z711-2000)),IF($Z711&lt;=5200,"",IF($Z711&lt;=5800,IF(INDEX(次果筐明细!$M$4:$M$603,$Z711-5200)=0,"",INDEX(次果筐明细!$M$4:$M$603,$Z711-5200)),"")))))</f>
        <v/>
      </c>
      <c r="M711" s="37" t="str">
        <f>IF($Z711="","",IF($Z711&lt;=2000,IF(INDEX(包装物料出入库明细!$R$4:$R$2003,$Z711-0)=0,"",INDEX(包装物料出入库明细!$R$4:$R$2003,$Z711-0)),IF($Z711&lt;=4000,IF(INDEX(周转筐出入库明细!$W$4:$W$2004,$Z711-2000)=0,"",INDEX(周转筐出入库明细!$W$4:$W$2004,$Z711-2000)),IF($Z711&lt;=5200,IF(INDEX(客户自备加工筐明细!$L$4:$L$1203,$Z711-4000)=0,"",INDEX(客户自备加工筐明细!$L$4:$L$1203,$Z711-4000)),IF($Z711&lt;=5800,IF(INDEX(次果筐明细!$P$4:$P$603,$Z711-5200)=0,"",INDEX(次果筐明细!$P$4:$P$603,$Z711-5200)),"")))))</f>
        <v/>
      </c>
      <c r="N711" s="16" t="str">
        <f>IF($Z711="","",IF($Z711&lt;=2000,"",IF($Z711&lt;=4000,IF(INDEX(周转筐出入库明细!$D$4:$D$2004,$Z711-2000)=0,"",INDEX(周转筐出入库明细!$D$4:$D$2004,$Z711-2000)),IF($Z711&lt;=5200,IF(INDEX(客户自备加工筐明细!$C$4:$C$1203,$Z711-4000)=0,"",INDEX(客户自备加工筐明细!$C$4:$C$1203,$Z711-4000)),IF($Z711&lt;=5800,IF(INDEX(次果筐明细!$D$4:$D$603,$Z711-5200)=0,"",INDEX(次果筐明细!$D$4:$D$603,$Z711-5200)),"")))))</f>
        <v/>
      </c>
      <c r="O711" s="40" t="str">
        <f>IF($Z711="","",IF($Z711&lt;=2000,"",IF($Z711&lt;=4000,IF(N(INDEX(周转筐出入库明细!$J$4:$J$2004,$Z711-2000))+N(INDEX(周转筐出入库明细!$K$4:$K$2004,$Z711-2000))=0,"",N(INDEX(周转筐出入库明细!$J$4:$J$2004,$Z711-2000))+N(INDEX(周转筐出入库明细!$K$4:$K$2004,$Z711-2000))),IF($Z711&lt;=5200,IF(N(INDEX(客户自备加工筐明细!$G$4:$G$1203,$Z711-4000))=0,"",N(INDEX(客户自备加工筐明细!$G$4:$G$1203,$Z711-4000))),IF($Z711&lt;=5800,IF(ISNUMBER(SEARCH("退",INDEX(次果筐明细!$F$4:$F$603,$Z711-5200)&amp;"")),"",IF(N(INDEX(次果筐明细!$G$4:$G$603,$Z711-5200))=0,"",N(INDEX(次果筐明细!$G$4:$G$603,$Z711-5200)))),"")))))</f>
        <v/>
      </c>
      <c r="P711" s="40" t="str">
        <f>IF($Z711="","",IF($Z711&lt;=2000,"",IF($Z711&lt;=4000,IF(N(INDEX(周转筐出入库明细!$I$4:$I$2004,$Z711-2000))=0,"",N(INDEX(周转筐出入库明细!$I$4:$I$2004,$Z711-2000))),IF($Z711&lt;=5200,"",IF($Z711&lt;=5800,IF(ISNUMBER(SEARCH("退",INDEX(次果筐明细!$F$4:$F$603,$Z711-5200)&amp;"")),IF(N(INDEX(次果筐明细!$G$4:$G$603,$Z711-5200))=0,"",N(INDEX(次果筐明细!$G$4:$G$603,$Z711-5200))),""),"")))))</f>
        <v/>
      </c>
      <c r="Q711" s="40" t="str">
        <f>IF($Z711="","",IF($Z711&lt;=2000,"",IF($Z711&lt;=4000,IF(N(INDEX(周转筐出入库明细!$H$4:$H$2004,$Z711-2000))=0,"",N(INDEX(周转筐出入库明细!$H$4:$H$2004,$Z711-2000))),IF($Z711&lt;=5200,IF(N(INDEX(客户自备加工筐明细!$F$4:$F$1203,$Z711-4000))=0,"",N(INDEX(客户自备加工筐明细!$F$4:$F$1203,$Z711-4000))),IF($Z711&lt;=5800,"","")))))</f>
        <v/>
      </c>
      <c r="R711" s="16" t="str">
        <f>IF($Z711="","",IF($Z711&lt;=2000,IF(INDEX(包装物料出入库明细!$O$4:$O$2003,$Z711-0)=0,"",INDEX(包装物料出入库明细!$O$4:$O$2003,$Z711-0)),IF($Z711&lt;=4000,IF(INDEX(周转筐出入库明细!$M$4:$M$2004,$Z711-2000)=0,"",INDEX(周转筐出入库明细!$M$4:$M$2004,$Z711-2000)),IF($Z711&lt;=5200,IF(INDEX(客户自备加工筐明细!$H$4:$H$1203,$Z711-4000)=0,"",INDEX(客户自备加工筐明细!$H$4:$H$1203,$Z711-4000)),IF($Z711&lt;=5800,IF(INDEX(次果筐明细!$H$4:$H$603,$Z711-5200)=0,"",INDEX(次果筐明细!$H$4:$H$603,$Z711-5200)),"")))))</f>
        <v/>
      </c>
      <c r="S711" s="22" t="str">
        <f t="shared" si="35"/>
        <v/>
      </c>
      <c r="Z711" s="10" t="str">
        <f>IFERROR(MATCH(ROW()-3,_自动清单!$CQ$4:$CQ$5803,0),"")</f>
        <v/>
      </c>
    </row>
    <row r="712" spans="1:26">
      <c r="A712" s="24" t="str">
        <f t="shared" si="33"/>
        <v/>
      </c>
      <c r="B712" s="38" t="str">
        <f>IF($Z712="","",IF($Z712&lt;=2000,IF(INDEX(包装物料出入库明细!$B$4:$B$2003,$Z712-0)=0,"",INDEX(包装物料出入库明细!$B$4:$B$2003,$Z712-0)),IF($Z712&lt;=4000,IF(INDEX(周转筐出入库明细!$B$4:$B$2004,$Z712-2000)=0,"",INDEX(周转筐出入库明细!$B$4:$B$2004,$Z712-2000)),IF($Z712&lt;=5200,IF(INDEX(客户自备加工筐明细!$B$4:$B$1203,$Z712-4000)=0,"",INDEX(客户自备加工筐明细!$B$4:$B$1203,$Z712-4000)),IF($Z712&lt;=5800,IF(INDEX(次果筐明细!$B$4:$B$603,$Z712-5200)=0,"",INDEX(次果筐明细!$B$4:$B$603,$Z712-5200)),"")))))</f>
        <v/>
      </c>
      <c r="C712" s="37" t="str">
        <f>IF($Z712="","",IF($Z712&lt;=2000,IF(INDEX(包装物料出入库明细!$D$4:$D$2003,$Z712-0)=0,"",INDEX(包装物料出入库明细!$D$4:$D$2003,$Z712-0)),IF($Z712&lt;=4000,IF(INDEX(周转筐出入库明细!$C$4:$C$2004,$Z712-2000)=0,"",INDEX(周转筐出入库明细!$C$4:$C$2004,$Z712-2000)),IF($Z712&lt;=5200,IF(INDEX(客户自备加工筐明细!$E$4:$E$1203,$Z712-4000)=0,"",INDEX(客户自备加工筐明细!$E$4:$E$1203,$Z712-4000)),IF($Z712&lt;=5800,IF(INDEX(次果筐明细!$C$4:$C$603,$Z712-5200)=0,"",INDEX(次果筐明细!$C$4:$C$603,$Z712-5200)),"")))))</f>
        <v/>
      </c>
      <c r="D712" s="37" t="str">
        <f>IF($Z712="","",IF($Z712&lt;=2000,"包装物料－"&amp;INDEX(包装物料出入库明细!$H$4:$H$2003,$Z712-0),IF($Z712&lt;=4000,"周转筐－"&amp;INDEX(周转筐出入库明细!$F$4:$F$2004,$Z712-2000),IF($Z712&lt;=5200,"客户自备筐－"&amp;INDEX(客户自备加工筐明细!$J$4:$J$1203,$Z712-4000),IF($Z712&lt;=5800,"次果筐/托盘－"&amp;INDEX(次果筐明细!$F$4:$F$603,$Z712-5200),"")))))</f>
        <v/>
      </c>
      <c r="E712" s="24" t="str">
        <f>IF($Z712="","",IF($Z712&lt;=2000,IF(INDEX(包装物料出入库明细!$C$4:$C$2003,$Z712-0)=0,"",INDEX(包装物料出入库明细!$C$4:$C$2003,$Z712-0)),IF($Z712&lt;=4000,IF(INDEX(周转筐出入库明细!$E$4:$E$2004,$Z712-2000)=0,"",INDEX(周转筐出入库明细!$E$4:$E$2004,$Z712-2000)),IF($Z712&lt;=5200,IF(INDEX(客户自备加工筐明细!$D$4:$D$1203,$Z712-4000)=0,"",INDEX(客户自备加工筐明细!$D$4:$D$1203,$Z712-4000)),IF($Z712&lt;=5800,IF(INDEX(次果筐明细!$E$4:$E$603,$Z712-5200)=0,"",INDEX(次果筐明细!$E$4:$E$603,$Z712-5200)),"")))))</f>
        <v/>
      </c>
      <c r="F712" s="24" t="str">
        <f>IF($Z712="","",IF($Z712&lt;=2000,IF(INDEX(包装物料出入库明细!$E$4:$E$2003,$Z712-0)=0,"",INDEX(包装物料出入库明细!$E$4:$E$2003,$Z712-0)),IF($Z712&lt;=4000,IF(INDEX(周转筐出入库明细!$D$4:$D$2004,$Z712-2000)=0,"",INDEX(周转筐出入库明细!$D$4:$D$2004,$Z712-2000)),IF($Z712&lt;=5200,IF(INDEX(客户自备加工筐明细!$C$4:$C$1203,$Z712-4000)=0,"",INDEX(客户自备加工筐明细!$C$4:$C$1203,$Z712-4000)),IF($Z712&lt;=5800,IF(INDEX(次果筐明细!$D$4:$D$603,$Z712-5200)=0,"",INDEX(次果筐明细!$D$4:$D$603,$Z712-5200)),"")))))</f>
        <v/>
      </c>
      <c r="G712" s="24" t="str">
        <f>IF($Z712="","",IF($Z712&lt;=2000,IF(INDEX(包装物料出入库明细!$F$4:$F$2003,$Z712-0)=0,"",INDEX(包装物料出入库明细!$F$4:$F$2003,$Z712-0)),IF($Z712&lt;=4000,"",IF($Z712&lt;=5200,"",IF($Z712&lt;=5800,"","")))))</f>
        <v/>
      </c>
      <c r="H712" s="39" t="str">
        <f>IF($Z712="","",IF($Z712&lt;=2000,IF(INDEX(包装物料出入库明细!$L$4:$L$2003,$Z712-0)=0,"",INDEX(包装物料出入库明细!$L$4:$L$2003,$Z712-0)),IF($Z712&lt;=4000,N(INDEX(周转筐出入库明细!$H$4:$H$2004,$Z712-2000))+N(INDEX(周转筐出入库明细!$I$4:$I$2004,$Z712-2000))+N(INDEX(周转筐出入库明细!$J$4:$J$2004,$Z712-2000))+N(INDEX(周转筐出入库明细!$K$4:$K$2004,$Z712-2000)),IF($Z712&lt;=5200,N(INDEX(客户自备加工筐明细!$F$4:$F$1203,$Z712-4000))+N(INDEX(客户自备加工筐明细!$G$4:$G$1203,$Z712-4000)),IF($Z712&lt;=5800,IF(INDEX(次果筐明细!$G$4:$G$603,$Z712-5200)=0,"",INDEX(次果筐明细!$G$4:$G$603,$Z712-5200)),"")))))</f>
        <v/>
      </c>
      <c r="I712" s="24" t="str">
        <f>IF($Z712="","",IF($Z712&lt;=2000,IF(INDEX(包装物料出入库明细!$G$4:$G$2003,$Z712-0)=0,"",INDEX(包装物料出入库明细!$G$4:$G$2003,$Z712-0)),IF($Z712&lt;=4000,"个",IF($Z712&lt;=5200,"个",IF($Z712&lt;=5800,"个","")))))</f>
        <v/>
      </c>
      <c r="J712" s="30" t="str">
        <f t="shared" si="34"/>
        <v/>
      </c>
      <c r="K712" s="30" t="str">
        <f>IF($Z712="","",IF($Z712&lt;=2000,IF(INDEX(包装物料出入库明细!$N$4:$N$2003,$Z712-0)=0,"",INDEX(包装物料出入库明细!$N$4:$N$2003,$Z712-0)),IF($Z712&lt;=4000,IF(INDEX(周转筐出入库明细!$P$4:$P$2004,$Z712-2000)=0,"",INDEX(周转筐出入库明细!$P$4:$P$2004,$Z712-2000)),IF($Z712&lt;=5200,"",IF($Z712&lt;=5800,N(INDEX(次果筐明细!$L$4:$L$603,$Z712-5200))+N(INDEX(次果筐明细!$J$4:$J$603,$Z712-5200)),"")))))</f>
        <v/>
      </c>
      <c r="L712" s="24" t="str">
        <f>IF($Z712="","",IF($Z712&lt;=2000,IF(INDEX(包装物料出入库明细!$P$4:$P$2003,$Z712-0)=0,"",INDEX(包装物料出入库明细!$P$4:$P$2003,$Z712-0)),IF($Z712&lt;=4000,IF(INDEX(周转筐出入库明细!$Q$4:$Q$2004,$Z712-2000)=0,"",INDEX(周转筐出入库明细!$Q$4:$Q$2004,$Z712-2000)),IF($Z712&lt;=5200,"",IF($Z712&lt;=5800,IF(INDEX(次果筐明细!$M$4:$M$603,$Z712-5200)=0,"",INDEX(次果筐明细!$M$4:$M$603,$Z712-5200)),"")))))</f>
        <v/>
      </c>
      <c r="M712" s="37" t="str">
        <f>IF($Z712="","",IF($Z712&lt;=2000,IF(INDEX(包装物料出入库明细!$R$4:$R$2003,$Z712-0)=0,"",INDEX(包装物料出入库明细!$R$4:$R$2003,$Z712-0)),IF($Z712&lt;=4000,IF(INDEX(周转筐出入库明细!$W$4:$W$2004,$Z712-2000)=0,"",INDEX(周转筐出入库明细!$W$4:$W$2004,$Z712-2000)),IF($Z712&lt;=5200,IF(INDEX(客户自备加工筐明细!$L$4:$L$1203,$Z712-4000)=0,"",INDEX(客户自备加工筐明细!$L$4:$L$1203,$Z712-4000)),IF($Z712&lt;=5800,IF(INDEX(次果筐明细!$P$4:$P$603,$Z712-5200)=0,"",INDEX(次果筐明细!$P$4:$P$603,$Z712-5200)),"")))))</f>
        <v/>
      </c>
      <c r="N712" s="16" t="str">
        <f>IF($Z712="","",IF($Z712&lt;=2000,"",IF($Z712&lt;=4000,IF(INDEX(周转筐出入库明细!$D$4:$D$2004,$Z712-2000)=0,"",INDEX(周转筐出入库明细!$D$4:$D$2004,$Z712-2000)),IF($Z712&lt;=5200,IF(INDEX(客户自备加工筐明细!$C$4:$C$1203,$Z712-4000)=0,"",INDEX(客户自备加工筐明细!$C$4:$C$1203,$Z712-4000)),IF($Z712&lt;=5800,IF(INDEX(次果筐明细!$D$4:$D$603,$Z712-5200)=0,"",INDEX(次果筐明细!$D$4:$D$603,$Z712-5200)),"")))))</f>
        <v/>
      </c>
      <c r="O712" s="40" t="str">
        <f>IF($Z712="","",IF($Z712&lt;=2000,"",IF($Z712&lt;=4000,IF(N(INDEX(周转筐出入库明细!$J$4:$J$2004,$Z712-2000))+N(INDEX(周转筐出入库明细!$K$4:$K$2004,$Z712-2000))=0,"",N(INDEX(周转筐出入库明细!$J$4:$J$2004,$Z712-2000))+N(INDEX(周转筐出入库明细!$K$4:$K$2004,$Z712-2000))),IF($Z712&lt;=5200,IF(N(INDEX(客户自备加工筐明细!$G$4:$G$1203,$Z712-4000))=0,"",N(INDEX(客户自备加工筐明细!$G$4:$G$1203,$Z712-4000))),IF($Z712&lt;=5800,IF(ISNUMBER(SEARCH("退",INDEX(次果筐明细!$F$4:$F$603,$Z712-5200)&amp;"")),"",IF(N(INDEX(次果筐明细!$G$4:$G$603,$Z712-5200))=0,"",N(INDEX(次果筐明细!$G$4:$G$603,$Z712-5200)))),"")))))</f>
        <v/>
      </c>
      <c r="P712" s="40" t="str">
        <f>IF($Z712="","",IF($Z712&lt;=2000,"",IF($Z712&lt;=4000,IF(N(INDEX(周转筐出入库明细!$I$4:$I$2004,$Z712-2000))=0,"",N(INDEX(周转筐出入库明细!$I$4:$I$2004,$Z712-2000))),IF($Z712&lt;=5200,"",IF($Z712&lt;=5800,IF(ISNUMBER(SEARCH("退",INDEX(次果筐明细!$F$4:$F$603,$Z712-5200)&amp;"")),IF(N(INDEX(次果筐明细!$G$4:$G$603,$Z712-5200))=0,"",N(INDEX(次果筐明细!$G$4:$G$603,$Z712-5200))),""),"")))))</f>
        <v/>
      </c>
      <c r="Q712" s="40" t="str">
        <f>IF($Z712="","",IF($Z712&lt;=2000,"",IF($Z712&lt;=4000,IF(N(INDEX(周转筐出入库明细!$H$4:$H$2004,$Z712-2000))=0,"",N(INDEX(周转筐出入库明细!$H$4:$H$2004,$Z712-2000))),IF($Z712&lt;=5200,IF(N(INDEX(客户自备加工筐明细!$F$4:$F$1203,$Z712-4000))=0,"",N(INDEX(客户自备加工筐明细!$F$4:$F$1203,$Z712-4000))),IF($Z712&lt;=5800,"","")))))</f>
        <v/>
      </c>
      <c r="R712" s="16" t="str">
        <f>IF($Z712="","",IF($Z712&lt;=2000,IF(INDEX(包装物料出入库明细!$O$4:$O$2003,$Z712-0)=0,"",INDEX(包装物料出入库明细!$O$4:$O$2003,$Z712-0)),IF($Z712&lt;=4000,IF(INDEX(周转筐出入库明细!$M$4:$M$2004,$Z712-2000)=0,"",INDEX(周转筐出入库明细!$M$4:$M$2004,$Z712-2000)),IF($Z712&lt;=5200,IF(INDEX(客户自备加工筐明细!$H$4:$H$1203,$Z712-4000)=0,"",INDEX(客户自备加工筐明细!$H$4:$H$1203,$Z712-4000)),IF($Z712&lt;=5800,IF(INDEX(次果筐明细!$H$4:$H$603,$Z712-5200)=0,"",INDEX(次果筐明细!$H$4:$H$603,$Z712-5200)),"")))))</f>
        <v/>
      </c>
      <c r="S712" s="22" t="str">
        <f t="shared" si="35"/>
        <v/>
      </c>
      <c r="Z712" s="10" t="str">
        <f>IFERROR(MATCH(ROW()-3,_自动清单!$CQ$4:$CQ$5803,0),"")</f>
        <v/>
      </c>
    </row>
    <row r="713" spans="1:26">
      <c r="A713" s="24" t="str">
        <f t="shared" si="33"/>
        <v/>
      </c>
      <c r="B713" s="38" t="str">
        <f>IF($Z713="","",IF($Z713&lt;=2000,IF(INDEX(包装物料出入库明细!$B$4:$B$2003,$Z713-0)=0,"",INDEX(包装物料出入库明细!$B$4:$B$2003,$Z713-0)),IF($Z713&lt;=4000,IF(INDEX(周转筐出入库明细!$B$4:$B$2004,$Z713-2000)=0,"",INDEX(周转筐出入库明细!$B$4:$B$2004,$Z713-2000)),IF($Z713&lt;=5200,IF(INDEX(客户自备加工筐明细!$B$4:$B$1203,$Z713-4000)=0,"",INDEX(客户自备加工筐明细!$B$4:$B$1203,$Z713-4000)),IF($Z713&lt;=5800,IF(INDEX(次果筐明细!$B$4:$B$603,$Z713-5200)=0,"",INDEX(次果筐明细!$B$4:$B$603,$Z713-5200)),"")))))</f>
        <v/>
      </c>
      <c r="C713" s="37" t="str">
        <f>IF($Z713="","",IF($Z713&lt;=2000,IF(INDEX(包装物料出入库明细!$D$4:$D$2003,$Z713-0)=0,"",INDEX(包装物料出入库明细!$D$4:$D$2003,$Z713-0)),IF($Z713&lt;=4000,IF(INDEX(周转筐出入库明细!$C$4:$C$2004,$Z713-2000)=0,"",INDEX(周转筐出入库明细!$C$4:$C$2004,$Z713-2000)),IF($Z713&lt;=5200,IF(INDEX(客户自备加工筐明细!$E$4:$E$1203,$Z713-4000)=0,"",INDEX(客户自备加工筐明细!$E$4:$E$1203,$Z713-4000)),IF($Z713&lt;=5800,IF(INDEX(次果筐明细!$C$4:$C$603,$Z713-5200)=0,"",INDEX(次果筐明细!$C$4:$C$603,$Z713-5200)),"")))))</f>
        <v/>
      </c>
      <c r="D713" s="37" t="str">
        <f>IF($Z713="","",IF($Z713&lt;=2000,"包装物料－"&amp;INDEX(包装物料出入库明细!$H$4:$H$2003,$Z713-0),IF($Z713&lt;=4000,"周转筐－"&amp;INDEX(周转筐出入库明细!$F$4:$F$2004,$Z713-2000),IF($Z713&lt;=5200,"客户自备筐－"&amp;INDEX(客户自备加工筐明细!$J$4:$J$1203,$Z713-4000),IF($Z713&lt;=5800,"次果筐/托盘－"&amp;INDEX(次果筐明细!$F$4:$F$603,$Z713-5200),"")))))</f>
        <v/>
      </c>
      <c r="E713" s="24" t="str">
        <f>IF($Z713="","",IF($Z713&lt;=2000,IF(INDEX(包装物料出入库明细!$C$4:$C$2003,$Z713-0)=0,"",INDEX(包装物料出入库明细!$C$4:$C$2003,$Z713-0)),IF($Z713&lt;=4000,IF(INDEX(周转筐出入库明细!$E$4:$E$2004,$Z713-2000)=0,"",INDEX(周转筐出入库明细!$E$4:$E$2004,$Z713-2000)),IF($Z713&lt;=5200,IF(INDEX(客户自备加工筐明细!$D$4:$D$1203,$Z713-4000)=0,"",INDEX(客户自备加工筐明细!$D$4:$D$1203,$Z713-4000)),IF($Z713&lt;=5800,IF(INDEX(次果筐明细!$E$4:$E$603,$Z713-5200)=0,"",INDEX(次果筐明细!$E$4:$E$603,$Z713-5200)),"")))))</f>
        <v/>
      </c>
      <c r="F713" s="24" t="str">
        <f>IF($Z713="","",IF($Z713&lt;=2000,IF(INDEX(包装物料出入库明细!$E$4:$E$2003,$Z713-0)=0,"",INDEX(包装物料出入库明细!$E$4:$E$2003,$Z713-0)),IF($Z713&lt;=4000,IF(INDEX(周转筐出入库明细!$D$4:$D$2004,$Z713-2000)=0,"",INDEX(周转筐出入库明细!$D$4:$D$2004,$Z713-2000)),IF($Z713&lt;=5200,IF(INDEX(客户自备加工筐明细!$C$4:$C$1203,$Z713-4000)=0,"",INDEX(客户自备加工筐明细!$C$4:$C$1203,$Z713-4000)),IF($Z713&lt;=5800,IF(INDEX(次果筐明细!$D$4:$D$603,$Z713-5200)=0,"",INDEX(次果筐明细!$D$4:$D$603,$Z713-5200)),"")))))</f>
        <v/>
      </c>
      <c r="G713" s="24" t="str">
        <f>IF($Z713="","",IF($Z713&lt;=2000,IF(INDEX(包装物料出入库明细!$F$4:$F$2003,$Z713-0)=0,"",INDEX(包装物料出入库明细!$F$4:$F$2003,$Z713-0)),IF($Z713&lt;=4000,"",IF($Z713&lt;=5200,"",IF($Z713&lt;=5800,"","")))))</f>
        <v/>
      </c>
      <c r="H713" s="39" t="str">
        <f>IF($Z713="","",IF($Z713&lt;=2000,IF(INDEX(包装物料出入库明细!$L$4:$L$2003,$Z713-0)=0,"",INDEX(包装物料出入库明细!$L$4:$L$2003,$Z713-0)),IF($Z713&lt;=4000,N(INDEX(周转筐出入库明细!$H$4:$H$2004,$Z713-2000))+N(INDEX(周转筐出入库明细!$I$4:$I$2004,$Z713-2000))+N(INDEX(周转筐出入库明细!$J$4:$J$2004,$Z713-2000))+N(INDEX(周转筐出入库明细!$K$4:$K$2004,$Z713-2000)),IF($Z713&lt;=5200,N(INDEX(客户自备加工筐明细!$F$4:$F$1203,$Z713-4000))+N(INDEX(客户自备加工筐明细!$G$4:$G$1203,$Z713-4000)),IF($Z713&lt;=5800,IF(INDEX(次果筐明细!$G$4:$G$603,$Z713-5200)=0,"",INDEX(次果筐明细!$G$4:$G$603,$Z713-5200)),"")))))</f>
        <v/>
      </c>
      <c r="I713" s="24" t="str">
        <f>IF($Z713="","",IF($Z713&lt;=2000,IF(INDEX(包装物料出入库明细!$G$4:$G$2003,$Z713-0)=0,"",INDEX(包装物料出入库明细!$G$4:$G$2003,$Z713-0)),IF($Z713&lt;=4000,"个",IF($Z713&lt;=5200,"个",IF($Z713&lt;=5800,"个","")))))</f>
        <v/>
      </c>
      <c r="J713" s="30" t="str">
        <f t="shared" si="34"/>
        <v/>
      </c>
      <c r="K713" s="30" t="str">
        <f>IF($Z713="","",IF($Z713&lt;=2000,IF(INDEX(包装物料出入库明细!$N$4:$N$2003,$Z713-0)=0,"",INDEX(包装物料出入库明细!$N$4:$N$2003,$Z713-0)),IF($Z713&lt;=4000,IF(INDEX(周转筐出入库明细!$P$4:$P$2004,$Z713-2000)=0,"",INDEX(周转筐出入库明细!$P$4:$P$2004,$Z713-2000)),IF($Z713&lt;=5200,"",IF($Z713&lt;=5800,N(INDEX(次果筐明细!$L$4:$L$603,$Z713-5200))+N(INDEX(次果筐明细!$J$4:$J$603,$Z713-5200)),"")))))</f>
        <v/>
      </c>
      <c r="L713" s="24" t="str">
        <f>IF($Z713="","",IF($Z713&lt;=2000,IF(INDEX(包装物料出入库明细!$P$4:$P$2003,$Z713-0)=0,"",INDEX(包装物料出入库明细!$P$4:$P$2003,$Z713-0)),IF($Z713&lt;=4000,IF(INDEX(周转筐出入库明细!$Q$4:$Q$2004,$Z713-2000)=0,"",INDEX(周转筐出入库明细!$Q$4:$Q$2004,$Z713-2000)),IF($Z713&lt;=5200,"",IF($Z713&lt;=5800,IF(INDEX(次果筐明细!$M$4:$M$603,$Z713-5200)=0,"",INDEX(次果筐明细!$M$4:$M$603,$Z713-5200)),"")))))</f>
        <v/>
      </c>
      <c r="M713" s="37" t="str">
        <f>IF($Z713="","",IF($Z713&lt;=2000,IF(INDEX(包装物料出入库明细!$R$4:$R$2003,$Z713-0)=0,"",INDEX(包装物料出入库明细!$R$4:$R$2003,$Z713-0)),IF($Z713&lt;=4000,IF(INDEX(周转筐出入库明细!$W$4:$W$2004,$Z713-2000)=0,"",INDEX(周转筐出入库明细!$W$4:$W$2004,$Z713-2000)),IF($Z713&lt;=5200,IF(INDEX(客户自备加工筐明细!$L$4:$L$1203,$Z713-4000)=0,"",INDEX(客户自备加工筐明细!$L$4:$L$1203,$Z713-4000)),IF($Z713&lt;=5800,IF(INDEX(次果筐明细!$P$4:$P$603,$Z713-5200)=0,"",INDEX(次果筐明细!$P$4:$P$603,$Z713-5200)),"")))))</f>
        <v/>
      </c>
      <c r="N713" s="16" t="str">
        <f>IF($Z713="","",IF($Z713&lt;=2000,"",IF($Z713&lt;=4000,IF(INDEX(周转筐出入库明细!$D$4:$D$2004,$Z713-2000)=0,"",INDEX(周转筐出入库明细!$D$4:$D$2004,$Z713-2000)),IF($Z713&lt;=5200,IF(INDEX(客户自备加工筐明细!$C$4:$C$1203,$Z713-4000)=0,"",INDEX(客户自备加工筐明细!$C$4:$C$1203,$Z713-4000)),IF($Z713&lt;=5800,IF(INDEX(次果筐明细!$D$4:$D$603,$Z713-5200)=0,"",INDEX(次果筐明细!$D$4:$D$603,$Z713-5200)),"")))))</f>
        <v/>
      </c>
      <c r="O713" s="40" t="str">
        <f>IF($Z713="","",IF($Z713&lt;=2000,"",IF($Z713&lt;=4000,IF(N(INDEX(周转筐出入库明细!$J$4:$J$2004,$Z713-2000))+N(INDEX(周转筐出入库明细!$K$4:$K$2004,$Z713-2000))=0,"",N(INDEX(周转筐出入库明细!$J$4:$J$2004,$Z713-2000))+N(INDEX(周转筐出入库明细!$K$4:$K$2004,$Z713-2000))),IF($Z713&lt;=5200,IF(N(INDEX(客户自备加工筐明细!$G$4:$G$1203,$Z713-4000))=0,"",N(INDEX(客户自备加工筐明细!$G$4:$G$1203,$Z713-4000))),IF($Z713&lt;=5800,IF(ISNUMBER(SEARCH("退",INDEX(次果筐明细!$F$4:$F$603,$Z713-5200)&amp;"")),"",IF(N(INDEX(次果筐明细!$G$4:$G$603,$Z713-5200))=0,"",N(INDEX(次果筐明细!$G$4:$G$603,$Z713-5200)))),"")))))</f>
        <v/>
      </c>
      <c r="P713" s="40" t="str">
        <f>IF($Z713="","",IF($Z713&lt;=2000,"",IF($Z713&lt;=4000,IF(N(INDEX(周转筐出入库明细!$I$4:$I$2004,$Z713-2000))=0,"",N(INDEX(周转筐出入库明细!$I$4:$I$2004,$Z713-2000))),IF($Z713&lt;=5200,"",IF($Z713&lt;=5800,IF(ISNUMBER(SEARCH("退",INDEX(次果筐明细!$F$4:$F$603,$Z713-5200)&amp;"")),IF(N(INDEX(次果筐明细!$G$4:$G$603,$Z713-5200))=0,"",N(INDEX(次果筐明细!$G$4:$G$603,$Z713-5200))),""),"")))))</f>
        <v/>
      </c>
      <c r="Q713" s="40" t="str">
        <f>IF($Z713="","",IF($Z713&lt;=2000,"",IF($Z713&lt;=4000,IF(N(INDEX(周转筐出入库明细!$H$4:$H$2004,$Z713-2000))=0,"",N(INDEX(周转筐出入库明细!$H$4:$H$2004,$Z713-2000))),IF($Z713&lt;=5200,IF(N(INDEX(客户自备加工筐明细!$F$4:$F$1203,$Z713-4000))=0,"",N(INDEX(客户自备加工筐明细!$F$4:$F$1203,$Z713-4000))),IF($Z713&lt;=5800,"","")))))</f>
        <v/>
      </c>
      <c r="R713" s="16" t="str">
        <f>IF($Z713="","",IF($Z713&lt;=2000,IF(INDEX(包装物料出入库明细!$O$4:$O$2003,$Z713-0)=0,"",INDEX(包装物料出入库明细!$O$4:$O$2003,$Z713-0)),IF($Z713&lt;=4000,IF(INDEX(周转筐出入库明细!$M$4:$M$2004,$Z713-2000)=0,"",INDEX(周转筐出入库明细!$M$4:$M$2004,$Z713-2000)),IF($Z713&lt;=5200,IF(INDEX(客户自备加工筐明细!$H$4:$H$1203,$Z713-4000)=0,"",INDEX(客户自备加工筐明细!$H$4:$H$1203,$Z713-4000)),IF($Z713&lt;=5800,IF(INDEX(次果筐明细!$H$4:$H$603,$Z713-5200)=0,"",INDEX(次果筐明细!$H$4:$H$603,$Z713-5200)),"")))))</f>
        <v/>
      </c>
      <c r="S713" s="22" t="str">
        <f t="shared" si="35"/>
        <v/>
      </c>
      <c r="Z713" s="10" t="str">
        <f>IFERROR(MATCH(ROW()-3,_自动清单!$CQ$4:$CQ$5803,0),"")</f>
        <v/>
      </c>
    </row>
    <row r="714" spans="1:26">
      <c r="A714" s="24" t="str">
        <f t="shared" si="33"/>
        <v/>
      </c>
      <c r="B714" s="38" t="str">
        <f>IF($Z714="","",IF($Z714&lt;=2000,IF(INDEX(包装物料出入库明细!$B$4:$B$2003,$Z714-0)=0,"",INDEX(包装物料出入库明细!$B$4:$B$2003,$Z714-0)),IF($Z714&lt;=4000,IF(INDEX(周转筐出入库明细!$B$4:$B$2004,$Z714-2000)=0,"",INDEX(周转筐出入库明细!$B$4:$B$2004,$Z714-2000)),IF($Z714&lt;=5200,IF(INDEX(客户自备加工筐明细!$B$4:$B$1203,$Z714-4000)=0,"",INDEX(客户自备加工筐明细!$B$4:$B$1203,$Z714-4000)),IF($Z714&lt;=5800,IF(INDEX(次果筐明细!$B$4:$B$603,$Z714-5200)=0,"",INDEX(次果筐明细!$B$4:$B$603,$Z714-5200)),"")))))</f>
        <v/>
      </c>
      <c r="C714" s="37" t="str">
        <f>IF($Z714="","",IF($Z714&lt;=2000,IF(INDEX(包装物料出入库明细!$D$4:$D$2003,$Z714-0)=0,"",INDEX(包装物料出入库明细!$D$4:$D$2003,$Z714-0)),IF($Z714&lt;=4000,IF(INDEX(周转筐出入库明细!$C$4:$C$2004,$Z714-2000)=0,"",INDEX(周转筐出入库明细!$C$4:$C$2004,$Z714-2000)),IF($Z714&lt;=5200,IF(INDEX(客户自备加工筐明细!$E$4:$E$1203,$Z714-4000)=0,"",INDEX(客户自备加工筐明细!$E$4:$E$1203,$Z714-4000)),IF($Z714&lt;=5800,IF(INDEX(次果筐明细!$C$4:$C$603,$Z714-5200)=0,"",INDEX(次果筐明细!$C$4:$C$603,$Z714-5200)),"")))))</f>
        <v/>
      </c>
      <c r="D714" s="37" t="str">
        <f>IF($Z714="","",IF($Z714&lt;=2000,"包装物料－"&amp;INDEX(包装物料出入库明细!$H$4:$H$2003,$Z714-0),IF($Z714&lt;=4000,"周转筐－"&amp;INDEX(周转筐出入库明细!$F$4:$F$2004,$Z714-2000),IF($Z714&lt;=5200,"客户自备筐－"&amp;INDEX(客户自备加工筐明细!$J$4:$J$1203,$Z714-4000),IF($Z714&lt;=5800,"次果筐/托盘－"&amp;INDEX(次果筐明细!$F$4:$F$603,$Z714-5200),"")))))</f>
        <v/>
      </c>
      <c r="E714" s="24" t="str">
        <f>IF($Z714="","",IF($Z714&lt;=2000,IF(INDEX(包装物料出入库明细!$C$4:$C$2003,$Z714-0)=0,"",INDEX(包装物料出入库明细!$C$4:$C$2003,$Z714-0)),IF($Z714&lt;=4000,IF(INDEX(周转筐出入库明细!$E$4:$E$2004,$Z714-2000)=0,"",INDEX(周转筐出入库明细!$E$4:$E$2004,$Z714-2000)),IF($Z714&lt;=5200,IF(INDEX(客户自备加工筐明细!$D$4:$D$1203,$Z714-4000)=0,"",INDEX(客户自备加工筐明细!$D$4:$D$1203,$Z714-4000)),IF($Z714&lt;=5800,IF(INDEX(次果筐明细!$E$4:$E$603,$Z714-5200)=0,"",INDEX(次果筐明细!$E$4:$E$603,$Z714-5200)),"")))))</f>
        <v/>
      </c>
      <c r="F714" s="24" t="str">
        <f>IF($Z714="","",IF($Z714&lt;=2000,IF(INDEX(包装物料出入库明细!$E$4:$E$2003,$Z714-0)=0,"",INDEX(包装物料出入库明细!$E$4:$E$2003,$Z714-0)),IF($Z714&lt;=4000,IF(INDEX(周转筐出入库明细!$D$4:$D$2004,$Z714-2000)=0,"",INDEX(周转筐出入库明细!$D$4:$D$2004,$Z714-2000)),IF($Z714&lt;=5200,IF(INDEX(客户自备加工筐明细!$C$4:$C$1203,$Z714-4000)=0,"",INDEX(客户自备加工筐明细!$C$4:$C$1203,$Z714-4000)),IF($Z714&lt;=5800,IF(INDEX(次果筐明细!$D$4:$D$603,$Z714-5200)=0,"",INDEX(次果筐明细!$D$4:$D$603,$Z714-5200)),"")))))</f>
        <v/>
      </c>
      <c r="G714" s="24" t="str">
        <f>IF($Z714="","",IF($Z714&lt;=2000,IF(INDEX(包装物料出入库明细!$F$4:$F$2003,$Z714-0)=0,"",INDEX(包装物料出入库明细!$F$4:$F$2003,$Z714-0)),IF($Z714&lt;=4000,"",IF($Z714&lt;=5200,"",IF($Z714&lt;=5800,"","")))))</f>
        <v/>
      </c>
      <c r="H714" s="39" t="str">
        <f>IF($Z714="","",IF($Z714&lt;=2000,IF(INDEX(包装物料出入库明细!$L$4:$L$2003,$Z714-0)=0,"",INDEX(包装物料出入库明细!$L$4:$L$2003,$Z714-0)),IF($Z714&lt;=4000,N(INDEX(周转筐出入库明细!$H$4:$H$2004,$Z714-2000))+N(INDEX(周转筐出入库明细!$I$4:$I$2004,$Z714-2000))+N(INDEX(周转筐出入库明细!$J$4:$J$2004,$Z714-2000))+N(INDEX(周转筐出入库明细!$K$4:$K$2004,$Z714-2000)),IF($Z714&lt;=5200,N(INDEX(客户自备加工筐明细!$F$4:$F$1203,$Z714-4000))+N(INDEX(客户自备加工筐明细!$G$4:$G$1203,$Z714-4000)),IF($Z714&lt;=5800,IF(INDEX(次果筐明细!$G$4:$G$603,$Z714-5200)=0,"",INDEX(次果筐明细!$G$4:$G$603,$Z714-5200)),"")))))</f>
        <v/>
      </c>
      <c r="I714" s="24" t="str">
        <f>IF($Z714="","",IF($Z714&lt;=2000,IF(INDEX(包装物料出入库明细!$G$4:$G$2003,$Z714-0)=0,"",INDEX(包装物料出入库明细!$G$4:$G$2003,$Z714-0)),IF($Z714&lt;=4000,"个",IF($Z714&lt;=5200,"个",IF($Z714&lt;=5800,"个","")))))</f>
        <v/>
      </c>
      <c r="J714" s="30" t="str">
        <f t="shared" si="34"/>
        <v/>
      </c>
      <c r="K714" s="30" t="str">
        <f>IF($Z714="","",IF($Z714&lt;=2000,IF(INDEX(包装物料出入库明细!$N$4:$N$2003,$Z714-0)=0,"",INDEX(包装物料出入库明细!$N$4:$N$2003,$Z714-0)),IF($Z714&lt;=4000,IF(INDEX(周转筐出入库明细!$P$4:$P$2004,$Z714-2000)=0,"",INDEX(周转筐出入库明细!$P$4:$P$2004,$Z714-2000)),IF($Z714&lt;=5200,"",IF($Z714&lt;=5800,N(INDEX(次果筐明细!$L$4:$L$603,$Z714-5200))+N(INDEX(次果筐明细!$J$4:$J$603,$Z714-5200)),"")))))</f>
        <v/>
      </c>
      <c r="L714" s="24" t="str">
        <f>IF($Z714="","",IF($Z714&lt;=2000,IF(INDEX(包装物料出入库明细!$P$4:$P$2003,$Z714-0)=0,"",INDEX(包装物料出入库明细!$P$4:$P$2003,$Z714-0)),IF($Z714&lt;=4000,IF(INDEX(周转筐出入库明细!$Q$4:$Q$2004,$Z714-2000)=0,"",INDEX(周转筐出入库明细!$Q$4:$Q$2004,$Z714-2000)),IF($Z714&lt;=5200,"",IF($Z714&lt;=5800,IF(INDEX(次果筐明细!$M$4:$M$603,$Z714-5200)=0,"",INDEX(次果筐明细!$M$4:$M$603,$Z714-5200)),"")))))</f>
        <v/>
      </c>
      <c r="M714" s="37" t="str">
        <f>IF($Z714="","",IF($Z714&lt;=2000,IF(INDEX(包装物料出入库明细!$R$4:$R$2003,$Z714-0)=0,"",INDEX(包装物料出入库明细!$R$4:$R$2003,$Z714-0)),IF($Z714&lt;=4000,IF(INDEX(周转筐出入库明细!$W$4:$W$2004,$Z714-2000)=0,"",INDEX(周转筐出入库明细!$W$4:$W$2004,$Z714-2000)),IF($Z714&lt;=5200,IF(INDEX(客户自备加工筐明细!$L$4:$L$1203,$Z714-4000)=0,"",INDEX(客户自备加工筐明细!$L$4:$L$1203,$Z714-4000)),IF($Z714&lt;=5800,IF(INDEX(次果筐明细!$P$4:$P$603,$Z714-5200)=0,"",INDEX(次果筐明细!$P$4:$P$603,$Z714-5200)),"")))))</f>
        <v/>
      </c>
      <c r="N714" s="16" t="str">
        <f>IF($Z714="","",IF($Z714&lt;=2000,"",IF($Z714&lt;=4000,IF(INDEX(周转筐出入库明细!$D$4:$D$2004,$Z714-2000)=0,"",INDEX(周转筐出入库明细!$D$4:$D$2004,$Z714-2000)),IF($Z714&lt;=5200,IF(INDEX(客户自备加工筐明细!$C$4:$C$1203,$Z714-4000)=0,"",INDEX(客户自备加工筐明细!$C$4:$C$1203,$Z714-4000)),IF($Z714&lt;=5800,IF(INDEX(次果筐明细!$D$4:$D$603,$Z714-5200)=0,"",INDEX(次果筐明细!$D$4:$D$603,$Z714-5200)),"")))))</f>
        <v/>
      </c>
      <c r="O714" s="40" t="str">
        <f>IF($Z714="","",IF($Z714&lt;=2000,"",IF($Z714&lt;=4000,IF(N(INDEX(周转筐出入库明细!$J$4:$J$2004,$Z714-2000))+N(INDEX(周转筐出入库明细!$K$4:$K$2004,$Z714-2000))=0,"",N(INDEX(周转筐出入库明细!$J$4:$J$2004,$Z714-2000))+N(INDEX(周转筐出入库明细!$K$4:$K$2004,$Z714-2000))),IF($Z714&lt;=5200,IF(N(INDEX(客户自备加工筐明细!$G$4:$G$1203,$Z714-4000))=0,"",N(INDEX(客户自备加工筐明细!$G$4:$G$1203,$Z714-4000))),IF($Z714&lt;=5800,IF(ISNUMBER(SEARCH("退",INDEX(次果筐明细!$F$4:$F$603,$Z714-5200)&amp;"")),"",IF(N(INDEX(次果筐明细!$G$4:$G$603,$Z714-5200))=0,"",N(INDEX(次果筐明细!$G$4:$G$603,$Z714-5200)))),"")))))</f>
        <v/>
      </c>
      <c r="P714" s="40" t="str">
        <f>IF($Z714="","",IF($Z714&lt;=2000,"",IF($Z714&lt;=4000,IF(N(INDEX(周转筐出入库明细!$I$4:$I$2004,$Z714-2000))=0,"",N(INDEX(周转筐出入库明细!$I$4:$I$2004,$Z714-2000))),IF($Z714&lt;=5200,"",IF($Z714&lt;=5800,IF(ISNUMBER(SEARCH("退",INDEX(次果筐明细!$F$4:$F$603,$Z714-5200)&amp;"")),IF(N(INDEX(次果筐明细!$G$4:$G$603,$Z714-5200))=0,"",N(INDEX(次果筐明细!$G$4:$G$603,$Z714-5200))),""),"")))))</f>
        <v/>
      </c>
      <c r="Q714" s="40" t="str">
        <f>IF($Z714="","",IF($Z714&lt;=2000,"",IF($Z714&lt;=4000,IF(N(INDEX(周转筐出入库明细!$H$4:$H$2004,$Z714-2000))=0,"",N(INDEX(周转筐出入库明细!$H$4:$H$2004,$Z714-2000))),IF($Z714&lt;=5200,IF(N(INDEX(客户自备加工筐明细!$F$4:$F$1203,$Z714-4000))=0,"",N(INDEX(客户自备加工筐明细!$F$4:$F$1203,$Z714-4000))),IF($Z714&lt;=5800,"","")))))</f>
        <v/>
      </c>
      <c r="R714" s="16" t="str">
        <f>IF($Z714="","",IF($Z714&lt;=2000,IF(INDEX(包装物料出入库明细!$O$4:$O$2003,$Z714-0)=0,"",INDEX(包装物料出入库明细!$O$4:$O$2003,$Z714-0)),IF($Z714&lt;=4000,IF(INDEX(周转筐出入库明细!$M$4:$M$2004,$Z714-2000)=0,"",INDEX(周转筐出入库明细!$M$4:$M$2004,$Z714-2000)),IF($Z714&lt;=5200,IF(INDEX(客户自备加工筐明细!$H$4:$H$1203,$Z714-4000)=0,"",INDEX(客户自备加工筐明细!$H$4:$H$1203,$Z714-4000)),IF($Z714&lt;=5800,IF(INDEX(次果筐明细!$H$4:$H$603,$Z714-5200)=0,"",INDEX(次果筐明细!$H$4:$H$603,$Z714-5200)),"")))))</f>
        <v/>
      </c>
      <c r="S714" s="22" t="str">
        <f t="shared" si="35"/>
        <v/>
      </c>
      <c r="Z714" s="10" t="str">
        <f>IFERROR(MATCH(ROW()-3,_自动清单!$CQ$4:$CQ$5803,0),"")</f>
        <v/>
      </c>
    </row>
    <row r="715" spans="1:26">
      <c r="A715" s="24" t="str">
        <f t="shared" si="33"/>
        <v/>
      </c>
      <c r="B715" s="38" t="str">
        <f>IF($Z715="","",IF($Z715&lt;=2000,IF(INDEX(包装物料出入库明细!$B$4:$B$2003,$Z715-0)=0,"",INDEX(包装物料出入库明细!$B$4:$B$2003,$Z715-0)),IF($Z715&lt;=4000,IF(INDEX(周转筐出入库明细!$B$4:$B$2004,$Z715-2000)=0,"",INDEX(周转筐出入库明细!$B$4:$B$2004,$Z715-2000)),IF($Z715&lt;=5200,IF(INDEX(客户自备加工筐明细!$B$4:$B$1203,$Z715-4000)=0,"",INDEX(客户自备加工筐明细!$B$4:$B$1203,$Z715-4000)),IF($Z715&lt;=5800,IF(INDEX(次果筐明细!$B$4:$B$603,$Z715-5200)=0,"",INDEX(次果筐明细!$B$4:$B$603,$Z715-5200)),"")))))</f>
        <v/>
      </c>
      <c r="C715" s="37" t="str">
        <f>IF($Z715="","",IF($Z715&lt;=2000,IF(INDEX(包装物料出入库明细!$D$4:$D$2003,$Z715-0)=0,"",INDEX(包装物料出入库明细!$D$4:$D$2003,$Z715-0)),IF($Z715&lt;=4000,IF(INDEX(周转筐出入库明细!$C$4:$C$2004,$Z715-2000)=0,"",INDEX(周转筐出入库明细!$C$4:$C$2004,$Z715-2000)),IF($Z715&lt;=5200,IF(INDEX(客户自备加工筐明细!$E$4:$E$1203,$Z715-4000)=0,"",INDEX(客户自备加工筐明细!$E$4:$E$1203,$Z715-4000)),IF($Z715&lt;=5800,IF(INDEX(次果筐明细!$C$4:$C$603,$Z715-5200)=0,"",INDEX(次果筐明细!$C$4:$C$603,$Z715-5200)),"")))))</f>
        <v/>
      </c>
      <c r="D715" s="37" t="str">
        <f>IF($Z715="","",IF($Z715&lt;=2000,"包装物料－"&amp;INDEX(包装物料出入库明细!$H$4:$H$2003,$Z715-0),IF($Z715&lt;=4000,"周转筐－"&amp;INDEX(周转筐出入库明细!$F$4:$F$2004,$Z715-2000),IF($Z715&lt;=5200,"客户自备筐－"&amp;INDEX(客户自备加工筐明细!$J$4:$J$1203,$Z715-4000),IF($Z715&lt;=5800,"次果筐/托盘－"&amp;INDEX(次果筐明细!$F$4:$F$603,$Z715-5200),"")))))</f>
        <v/>
      </c>
      <c r="E715" s="24" t="str">
        <f>IF($Z715="","",IF($Z715&lt;=2000,IF(INDEX(包装物料出入库明细!$C$4:$C$2003,$Z715-0)=0,"",INDEX(包装物料出入库明细!$C$4:$C$2003,$Z715-0)),IF($Z715&lt;=4000,IF(INDEX(周转筐出入库明细!$E$4:$E$2004,$Z715-2000)=0,"",INDEX(周转筐出入库明细!$E$4:$E$2004,$Z715-2000)),IF($Z715&lt;=5200,IF(INDEX(客户自备加工筐明细!$D$4:$D$1203,$Z715-4000)=0,"",INDEX(客户自备加工筐明细!$D$4:$D$1203,$Z715-4000)),IF($Z715&lt;=5800,IF(INDEX(次果筐明细!$E$4:$E$603,$Z715-5200)=0,"",INDEX(次果筐明细!$E$4:$E$603,$Z715-5200)),"")))))</f>
        <v/>
      </c>
      <c r="F715" s="24" t="str">
        <f>IF($Z715="","",IF($Z715&lt;=2000,IF(INDEX(包装物料出入库明细!$E$4:$E$2003,$Z715-0)=0,"",INDEX(包装物料出入库明细!$E$4:$E$2003,$Z715-0)),IF($Z715&lt;=4000,IF(INDEX(周转筐出入库明细!$D$4:$D$2004,$Z715-2000)=0,"",INDEX(周转筐出入库明细!$D$4:$D$2004,$Z715-2000)),IF($Z715&lt;=5200,IF(INDEX(客户自备加工筐明细!$C$4:$C$1203,$Z715-4000)=0,"",INDEX(客户自备加工筐明细!$C$4:$C$1203,$Z715-4000)),IF($Z715&lt;=5800,IF(INDEX(次果筐明细!$D$4:$D$603,$Z715-5200)=0,"",INDEX(次果筐明细!$D$4:$D$603,$Z715-5200)),"")))))</f>
        <v/>
      </c>
      <c r="G715" s="24" t="str">
        <f>IF($Z715="","",IF($Z715&lt;=2000,IF(INDEX(包装物料出入库明细!$F$4:$F$2003,$Z715-0)=0,"",INDEX(包装物料出入库明细!$F$4:$F$2003,$Z715-0)),IF($Z715&lt;=4000,"",IF($Z715&lt;=5200,"",IF($Z715&lt;=5800,"","")))))</f>
        <v/>
      </c>
      <c r="H715" s="39" t="str">
        <f>IF($Z715="","",IF($Z715&lt;=2000,IF(INDEX(包装物料出入库明细!$L$4:$L$2003,$Z715-0)=0,"",INDEX(包装物料出入库明细!$L$4:$L$2003,$Z715-0)),IF($Z715&lt;=4000,N(INDEX(周转筐出入库明细!$H$4:$H$2004,$Z715-2000))+N(INDEX(周转筐出入库明细!$I$4:$I$2004,$Z715-2000))+N(INDEX(周转筐出入库明细!$J$4:$J$2004,$Z715-2000))+N(INDEX(周转筐出入库明细!$K$4:$K$2004,$Z715-2000)),IF($Z715&lt;=5200,N(INDEX(客户自备加工筐明细!$F$4:$F$1203,$Z715-4000))+N(INDEX(客户自备加工筐明细!$G$4:$G$1203,$Z715-4000)),IF($Z715&lt;=5800,IF(INDEX(次果筐明细!$G$4:$G$603,$Z715-5200)=0,"",INDEX(次果筐明细!$G$4:$G$603,$Z715-5200)),"")))))</f>
        <v/>
      </c>
      <c r="I715" s="24" t="str">
        <f>IF($Z715="","",IF($Z715&lt;=2000,IF(INDEX(包装物料出入库明细!$G$4:$G$2003,$Z715-0)=0,"",INDEX(包装物料出入库明细!$G$4:$G$2003,$Z715-0)),IF($Z715&lt;=4000,"个",IF($Z715&lt;=5200,"个",IF($Z715&lt;=5800,"个","")))))</f>
        <v/>
      </c>
      <c r="J715" s="30" t="str">
        <f t="shared" si="34"/>
        <v/>
      </c>
      <c r="K715" s="30" t="str">
        <f>IF($Z715="","",IF($Z715&lt;=2000,IF(INDEX(包装物料出入库明细!$N$4:$N$2003,$Z715-0)=0,"",INDEX(包装物料出入库明细!$N$4:$N$2003,$Z715-0)),IF($Z715&lt;=4000,IF(INDEX(周转筐出入库明细!$P$4:$P$2004,$Z715-2000)=0,"",INDEX(周转筐出入库明细!$P$4:$P$2004,$Z715-2000)),IF($Z715&lt;=5200,"",IF($Z715&lt;=5800,N(INDEX(次果筐明细!$L$4:$L$603,$Z715-5200))+N(INDEX(次果筐明细!$J$4:$J$603,$Z715-5200)),"")))))</f>
        <v/>
      </c>
      <c r="L715" s="24" t="str">
        <f>IF($Z715="","",IF($Z715&lt;=2000,IF(INDEX(包装物料出入库明细!$P$4:$P$2003,$Z715-0)=0,"",INDEX(包装物料出入库明细!$P$4:$P$2003,$Z715-0)),IF($Z715&lt;=4000,IF(INDEX(周转筐出入库明细!$Q$4:$Q$2004,$Z715-2000)=0,"",INDEX(周转筐出入库明细!$Q$4:$Q$2004,$Z715-2000)),IF($Z715&lt;=5200,"",IF($Z715&lt;=5800,IF(INDEX(次果筐明细!$M$4:$M$603,$Z715-5200)=0,"",INDEX(次果筐明细!$M$4:$M$603,$Z715-5200)),"")))))</f>
        <v/>
      </c>
      <c r="M715" s="37" t="str">
        <f>IF($Z715="","",IF($Z715&lt;=2000,IF(INDEX(包装物料出入库明细!$R$4:$R$2003,$Z715-0)=0,"",INDEX(包装物料出入库明细!$R$4:$R$2003,$Z715-0)),IF($Z715&lt;=4000,IF(INDEX(周转筐出入库明细!$W$4:$W$2004,$Z715-2000)=0,"",INDEX(周转筐出入库明细!$W$4:$W$2004,$Z715-2000)),IF($Z715&lt;=5200,IF(INDEX(客户自备加工筐明细!$L$4:$L$1203,$Z715-4000)=0,"",INDEX(客户自备加工筐明细!$L$4:$L$1203,$Z715-4000)),IF($Z715&lt;=5800,IF(INDEX(次果筐明细!$P$4:$P$603,$Z715-5200)=0,"",INDEX(次果筐明细!$P$4:$P$603,$Z715-5200)),"")))))</f>
        <v/>
      </c>
      <c r="N715" s="16" t="str">
        <f>IF($Z715="","",IF($Z715&lt;=2000,"",IF($Z715&lt;=4000,IF(INDEX(周转筐出入库明细!$D$4:$D$2004,$Z715-2000)=0,"",INDEX(周转筐出入库明细!$D$4:$D$2004,$Z715-2000)),IF($Z715&lt;=5200,IF(INDEX(客户自备加工筐明细!$C$4:$C$1203,$Z715-4000)=0,"",INDEX(客户自备加工筐明细!$C$4:$C$1203,$Z715-4000)),IF($Z715&lt;=5800,IF(INDEX(次果筐明细!$D$4:$D$603,$Z715-5200)=0,"",INDEX(次果筐明细!$D$4:$D$603,$Z715-5200)),"")))))</f>
        <v/>
      </c>
      <c r="O715" s="40" t="str">
        <f>IF($Z715="","",IF($Z715&lt;=2000,"",IF($Z715&lt;=4000,IF(N(INDEX(周转筐出入库明细!$J$4:$J$2004,$Z715-2000))+N(INDEX(周转筐出入库明细!$K$4:$K$2004,$Z715-2000))=0,"",N(INDEX(周转筐出入库明细!$J$4:$J$2004,$Z715-2000))+N(INDEX(周转筐出入库明细!$K$4:$K$2004,$Z715-2000))),IF($Z715&lt;=5200,IF(N(INDEX(客户自备加工筐明细!$G$4:$G$1203,$Z715-4000))=0,"",N(INDEX(客户自备加工筐明细!$G$4:$G$1203,$Z715-4000))),IF($Z715&lt;=5800,IF(ISNUMBER(SEARCH("退",INDEX(次果筐明细!$F$4:$F$603,$Z715-5200)&amp;"")),"",IF(N(INDEX(次果筐明细!$G$4:$G$603,$Z715-5200))=0,"",N(INDEX(次果筐明细!$G$4:$G$603,$Z715-5200)))),"")))))</f>
        <v/>
      </c>
      <c r="P715" s="40" t="str">
        <f>IF($Z715="","",IF($Z715&lt;=2000,"",IF($Z715&lt;=4000,IF(N(INDEX(周转筐出入库明细!$I$4:$I$2004,$Z715-2000))=0,"",N(INDEX(周转筐出入库明细!$I$4:$I$2004,$Z715-2000))),IF($Z715&lt;=5200,"",IF($Z715&lt;=5800,IF(ISNUMBER(SEARCH("退",INDEX(次果筐明细!$F$4:$F$603,$Z715-5200)&amp;"")),IF(N(INDEX(次果筐明细!$G$4:$G$603,$Z715-5200))=0,"",N(INDEX(次果筐明细!$G$4:$G$603,$Z715-5200))),""),"")))))</f>
        <v/>
      </c>
      <c r="Q715" s="40" t="str">
        <f>IF($Z715="","",IF($Z715&lt;=2000,"",IF($Z715&lt;=4000,IF(N(INDEX(周转筐出入库明细!$H$4:$H$2004,$Z715-2000))=0,"",N(INDEX(周转筐出入库明细!$H$4:$H$2004,$Z715-2000))),IF($Z715&lt;=5200,IF(N(INDEX(客户自备加工筐明细!$F$4:$F$1203,$Z715-4000))=0,"",N(INDEX(客户自备加工筐明细!$F$4:$F$1203,$Z715-4000))),IF($Z715&lt;=5800,"","")))))</f>
        <v/>
      </c>
      <c r="R715" s="16" t="str">
        <f>IF($Z715="","",IF($Z715&lt;=2000,IF(INDEX(包装物料出入库明细!$O$4:$O$2003,$Z715-0)=0,"",INDEX(包装物料出入库明细!$O$4:$O$2003,$Z715-0)),IF($Z715&lt;=4000,IF(INDEX(周转筐出入库明细!$M$4:$M$2004,$Z715-2000)=0,"",INDEX(周转筐出入库明细!$M$4:$M$2004,$Z715-2000)),IF($Z715&lt;=5200,IF(INDEX(客户自备加工筐明细!$H$4:$H$1203,$Z715-4000)=0,"",INDEX(客户自备加工筐明细!$H$4:$H$1203,$Z715-4000)),IF($Z715&lt;=5800,IF(INDEX(次果筐明细!$H$4:$H$603,$Z715-5200)=0,"",INDEX(次果筐明细!$H$4:$H$603,$Z715-5200)),"")))))</f>
        <v/>
      </c>
      <c r="S715" s="22" t="str">
        <f t="shared" si="35"/>
        <v/>
      </c>
      <c r="Z715" s="10" t="str">
        <f>IFERROR(MATCH(ROW()-3,_自动清单!$CQ$4:$CQ$5803,0),"")</f>
        <v/>
      </c>
    </row>
    <row r="716" spans="1:26">
      <c r="A716" s="24" t="str">
        <f t="shared" si="33"/>
        <v/>
      </c>
      <c r="B716" s="38" t="str">
        <f>IF($Z716="","",IF($Z716&lt;=2000,IF(INDEX(包装物料出入库明细!$B$4:$B$2003,$Z716-0)=0,"",INDEX(包装物料出入库明细!$B$4:$B$2003,$Z716-0)),IF($Z716&lt;=4000,IF(INDEX(周转筐出入库明细!$B$4:$B$2004,$Z716-2000)=0,"",INDEX(周转筐出入库明细!$B$4:$B$2004,$Z716-2000)),IF($Z716&lt;=5200,IF(INDEX(客户自备加工筐明细!$B$4:$B$1203,$Z716-4000)=0,"",INDEX(客户自备加工筐明细!$B$4:$B$1203,$Z716-4000)),IF($Z716&lt;=5800,IF(INDEX(次果筐明细!$B$4:$B$603,$Z716-5200)=0,"",INDEX(次果筐明细!$B$4:$B$603,$Z716-5200)),"")))))</f>
        <v/>
      </c>
      <c r="C716" s="37" t="str">
        <f>IF($Z716="","",IF($Z716&lt;=2000,IF(INDEX(包装物料出入库明细!$D$4:$D$2003,$Z716-0)=0,"",INDEX(包装物料出入库明细!$D$4:$D$2003,$Z716-0)),IF($Z716&lt;=4000,IF(INDEX(周转筐出入库明细!$C$4:$C$2004,$Z716-2000)=0,"",INDEX(周转筐出入库明细!$C$4:$C$2004,$Z716-2000)),IF($Z716&lt;=5200,IF(INDEX(客户自备加工筐明细!$E$4:$E$1203,$Z716-4000)=0,"",INDEX(客户自备加工筐明细!$E$4:$E$1203,$Z716-4000)),IF($Z716&lt;=5800,IF(INDEX(次果筐明细!$C$4:$C$603,$Z716-5200)=0,"",INDEX(次果筐明细!$C$4:$C$603,$Z716-5200)),"")))))</f>
        <v/>
      </c>
      <c r="D716" s="37" t="str">
        <f>IF($Z716="","",IF($Z716&lt;=2000,"包装物料－"&amp;INDEX(包装物料出入库明细!$H$4:$H$2003,$Z716-0),IF($Z716&lt;=4000,"周转筐－"&amp;INDEX(周转筐出入库明细!$F$4:$F$2004,$Z716-2000),IF($Z716&lt;=5200,"客户自备筐－"&amp;INDEX(客户自备加工筐明细!$J$4:$J$1203,$Z716-4000),IF($Z716&lt;=5800,"次果筐/托盘－"&amp;INDEX(次果筐明细!$F$4:$F$603,$Z716-5200),"")))))</f>
        <v/>
      </c>
      <c r="E716" s="24" t="str">
        <f>IF($Z716="","",IF($Z716&lt;=2000,IF(INDEX(包装物料出入库明细!$C$4:$C$2003,$Z716-0)=0,"",INDEX(包装物料出入库明细!$C$4:$C$2003,$Z716-0)),IF($Z716&lt;=4000,IF(INDEX(周转筐出入库明细!$E$4:$E$2004,$Z716-2000)=0,"",INDEX(周转筐出入库明细!$E$4:$E$2004,$Z716-2000)),IF($Z716&lt;=5200,IF(INDEX(客户自备加工筐明细!$D$4:$D$1203,$Z716-4000)=0,"",INDEX(客户自备加工筐明细!$D$4:$D$1203,$Z716-4000)),IF($Z716&lt;=5800,IF(INDEX(次果筐明细!$E$4:$E$603,$Z716-5200)=0,"",INDEX(次果筐明细!$E$4:$E$603,$Z716-5200)),"")))))</f>
        <v/>
      </c>
      <c r="F716" s="24" t="str">
        <f>IF($Z716="","",IF($Z716&lt;=2000,IF(INDEX(包装物料出入库明细!$E$4:$E$2003,$Z716-0)=0,"",INDEX(包装物料出入库明细!$E$4:$E$2003,$Z716-0)),IF($Z716&lt;=4000,IF(INDEX(周转筐出入库明细!$D$4:$D$2004,$Z716-2000)=0,"",INDEX(周转筐出入库明细!$D$4:$D$2004,$Z716-2000)),IF($Z716&lt;=5200,IF(INDEX(客户自备加工筐明细!$C$4:$C$1203,$Z716-4000)=0,"",INDEX(客户自备加工筐明细!$C$4:$C$1203,$Z716-4000)),IF($Z716&lt;=5800,IF(INDEX(次果筐明细!$D$4:$D$603,$Z716-5200)=0,"",INDEX(次果筐明细!$D$4:$D$603,$Z716-5200)),"")))))</f>
        <v/>
      </c>
      <c r="G716" s="24" t="str">
        <f>IF($Z716="","",IF($Z716&lt;=2000,IF(INDEX(包装物料出入库明细!$F$4:$F$2003,$Z716-0)=0,"",INDEX(包装物料出入库明细!$F$4:$F$2003,$Z716-0)),IF($Z716&lt;=4000,"",IF($Z716&lt;=5200,"",IF($Z716&lt;=5800,"","")))))</f>
        <v/>
      </c>
      <c r="H716" s="39" t="str">
        <f>IF($Z716="","",IF($Z716&lt;=2000,IF(INDEX(包装物料出入库明细!$L$4:$L$2003,$Z716-0)=0,"",INDEX(包装物料出入库明细!$L$4:$L$2003,$Z716-0)),IF($Z716&lt;=4000,N(INDEX(周转筐出入库明细!$H$4:$H$2004,$Z716-2000))+N(INDEX(周转筐出入库明细!$I$4:$I$2004,$Z716-2000))+N(INDEX(周转筐出入库明细!$J$4:$J$2004,$Z716-2000))+N(INDEX(周转筐出入库明细!$K$4:$K$2004,$Z716-2000)),IF($Z716&lt;=5200,N(INDEX(客户自备加工筐明细!$F$4:$F$1203,$Z716-4000))+N(INDEX(客户自备加工筐明细!$G$4:$G$1203,$Z716-4000)),IF($Z716&lt;=5800,IF(INDEX(次果筐明细!$G$4:$G$603,$Z716-5200)=0,"",INDEX(次果筐明细!$G$4:$G$603,$Z716-5200)),"")))))</f>
        <v/>
      </c>
      <c r="I716" s="24" t="str">
        <f>IF($Z716="","",IF($Z716&lt;=2000,IF(INDEX(包装物料出入库明细!$G$4:$G$2003,$Z716-0)=0,"",INDEX(包装物料出入库明细!$G$4:$G$2003,$Z716-0)),IF($Z716&lt;=4000,"个",IF($Z716&lt;=5200,"个",IF($Z716&lt;=5800,"个","")))))</f>
        <v/>
      </c>
      <c r="J716" s="30" t="str">
        <f t="shared" si="34"/>
        <v/>
      </c>
      <c r="K716" s="30" t="str">
        <f>IF($Z716="","",IF($Z716&lt;=2000,IF(INDEX(包装物料出入库明细!$N$4:$N$2003,$Z716-0)=0,"",INDEX(包装物料出入库明细!$N$4:$N$2003,$Z716-0)),IF($Z716&lt;=4000,IF(INDEX(周转筐出入库明细!$P$4:$P$2004,$Z716-2000)=0,"",INDEX(周转筐出入库明细!$P$4:$P$2004,$Z716-2000)),IF($Z716&lt;=5200,"",IF($Z716&lt;=5800,N(INDEX(次果筐明细!$L$4:$L$603,$Z716-5200))+N(INDEX(次果筐明细!$J$4:$J$603,$Z716-5200)),"")))))</f>
        <v/>
      </c>
      <c r="L716" s="24" t="str">
        <f>IF($Z716="","",IF($Z716&lt;=2000,IF(INDEX(包装物料出入库明细!$P$4:$P$2003,$Z716-0)=0,"",INDEX(包装物料出入库明细!$P$4:$P$2003,$Z716-0)),IF($Z716&lt;=4000,IF(INDEX(周转筐出入库明细!$Q$4:$Q$2004,$Z716-2000)=0,"",INDEX(周转筐出入库明细!$Q$4:$Q$2004,$Z716-2000)),IF($Z716&lt;=5200,"",IF($Z716&lt;=5800,IF(INDEX(次果筐明细!$M$4:$M$603,$Z716-5200)=0,"",INDEX(次果筐明细!$M$4:$M$603,$Z716-5200)),"")))))</f>
        <v/>
      </c>
      <c r="M716" s="37" t="str">
        <f>IF($Z716="","",IF($Z716&lt;=2000,IF(INDEX(包装物料出入库明细!$R$4:$R$2003,$Z716-0)=0,"",INDEX(包装物料出入库明细!$R$4:$R$2003,$Z716-0)),IF($Z716&lt;=4000,IF(INDEX(周转筐出入库明细!$W$4:$W$2004,$Z716-2000)=0,"",INDEX(周转筐出入库明细!$W$4:$W$2004,$Z716-2000)),IF($Z716&lt;=5200,IF(INDEX(客户自备加工筐明细!$L$4:$L$1203,$Z716-4000)=0,"",INDEX(客户自备加工筐明细!$L$4:$L$1203,$Z716-4000)),IF($Z716&lt;=5800,IF(INDEX(次果筐明细!$P$4:$P$603,$Z716-5200)=0,"",INDEX(次果筐明细!$P$4:$P$603,$Z716-5200)),"")))))</f>
        <v/>
      </c>
      <c r="N716" s="16" t="str">
        <f>IF($Z716="","",IF($Z716&lt;=2000,"",IF($Z716&lt;=4000,IF(INDEX(周转筐出入库明细!$D$4:$D$2004,$Z716-2000)=0,"",INDEX(周转筐出入库明细!$D$4:$D$2004,$Z716-2000)),IF($Z716&lt;=5200,IF(INDEX(客户自备加工筐明细!$C$4:$C$1203,$Z716-4000)=0,"",INDEX(客户自备加工筐明细!$C$4:$C$1203,$Z716-4000)),IF($Z716&lt;=5800,IF(INDEX(次果筐明细!$D$4:$D$603,$Z716-5200)=0,"",INDEX(次果筐明细!$D$4:$D$603,$Z716-5200)),"")))))</f>
        <v/>
      </c>
      <c r="O716" s="40" t="str">
        <f>IF($Z716="","",IF($Z716&lt;=2000,"",IF($Z716&lt;=4000,IF(N(INDEX(周转筐出入库明细!$J$4:$J$2004,$Z716-2000))+N(INDEX(周转筐出入库明细!$K$4:$K$2004,$Z716-2000))=0,"",N(INDEX(周转筐出入库明细!$J$4:$J$2004,$Z716-2000))+N(INDEX(周转筐出入库明细!$K$4:$K$2004,$Z716-2000))),IF($Z716&lt;=5200,IF(N(INDEX(客户自备加工筐明细!$G$4:$G$1203,$Z716-4000))=0,"",N(INDEX(客户自备加工筐明细!$G$4:$G$1203,$Z716-4000))),IF($Z716&lt;=5800,IF(ISNUMBER(SEARCH("退",INDEX(次果筐明细!$F$4:$F$603,$Z716-5200)&amp;"")),"",IF(N(INDEX(次果筐明细!$G$4:$G$603,$Z716-5200))=0,"",N(INDEX(次果筐明细!$G$4:$G$603,$Z716-5200)))),"")))))</f>
        <v/>
      </c>
      <c r="P716" s="40" t="str">
        <f>IF($Z716="","",IF($Z716&lt;=2000,"",IF($Z716&lt;=4000,IF(N(INDEX(周转筐出入库明细!$I$4:$I$2004,$Z716-2000))=0,"",N(INDEX(周转筐出入库明细!$I$4:$I$2004,$Z716-2000))),IF($Z716&lt;=5200,"",IF($Z716&lt;=5800,IF(ISNUMBER(SEARCH("退",INDEX(次果筐明细!$F$4:$F$603,$Z716-5200)&amp;"")),IF(N(INDEX(次果筐明细!$G$4:$G$603,$Z716-5200))=0,"",N(INDEX(次果筐明细!$G$4:$G$603,$Z716-5200))),""),"")))))</f>
        <v/>
      </c>
      <c r="Q716" s="40" t="str">
        <f>IF($Z716="","",IF($Z716&lt;=2000,"",IF($Z716&lt;=4000,IF(N(INDEX(周转筐出入库明细!$H$4:$H$2004,$Z716-2000))=0,"",N(INDEX(周转筐出入库明细!$H$4:$H$2004,$Z716-2000))),IF($Z716&lt;=5200,IF(N(INDEX(客户自备加工筐明细!$F$4:$F$1203,$Z716-4000))=0,"",N(INDEX(客户自备加工筐明细!$F$4:$F$1203,$Z716-4000))),IF($Z716&lt;=5800,"","")))))</f>
        <v/>
      </c>
      <c r="R716" s="16" t="str">
        <f>IF($Z716="","",IF($Z716&lt;=2000,IF(INDEX(包装物料出入库明细!$O$4:$O$2003,$Z716-0)=0,"",INDEX(包装物料出入库明细!$O$4:$O$2003,$Z716-0)),IF($Z716&lt;=4000,IF(INDEX(周转筐出入库明细!$M$4:$M$2004,$Z716-2000)=0,"",INDEX(周转筐出入库明细!$M$4:$M$2004,$Z716-2000)),IF($Z716&lt;=5200,IF(INDEX(客户自备加工筐明细!$H$4:$H$1203,$Z716-4000)=0,"",INDEX(客户自备加工筐明细!$H$4:$H$1203,$Z716-4000)),IF($Z716&lt;=5800,IF(INDEX(次果筐明细!$H$4:$H$603,$Z716-5200)=0,"",INDEX(次果筐明细!$H$4:$H$603,$Z716-5200)),"")))))</f>
        <v/>
      </c>
      <c r="S716" s="22" t="str">
        <f t="shared" si="35"/>
        <v/>
      </c>
      <c r="Z716" s="10" t="str">
        <f>IFERROR(MATCH(ROW()-3,_自动清单!$CQ$4:$CQ$5803,0),"")</f>
        <v/>
      </c>
    </row>
    <row r="717" spans="1:26">
      <c r="A717" s="24" t="str">
        <f t="shared" si="33"/>
        <v/>
      </c>
      <c r="B717" s="38" t="str">
        <f>IF($Z717="","",IF($Z717&lt;=2000,IF(INDEX(包装物料出入库明细!$B$4:$B$2003,$Z717-0)=0,"",INDEX(包装物料出入库明细!$B$4:$B$2003,$Z717-0)),IF($Z717&lt;=4000,IF(INDEX(周转筐出入库明细!$B$4:$B$2004,$Z717-2000)=0,"",INDEX(周转筐出入库明细!$B$4:$B$2004,$Z717-2000)),IF($Z717&lt;=5200,IF(INDEX(客户自备加工筐明细!$B$4:$B$1203,$Z717-4000)=0,"",INDEX(客户自备加工筐明细!$B$4:$B$1203,$Z717-4000)),IF($Z717&lt;=5800,IF(INDEX(次果筐明细!$B$4:$B$603,$Z717-5200)=0,"",INDEX(次果筐明细!$B$4:$B$603,$Z717-5200)),"")))))</f>
        <v/>
      </c>
      <c r="C717" s="37" t="str">
        <f>IF($Z717="","",IF($Z717&lt;=2000,IF(INDEX(包装物料出入库明细!$D$4:$D$2003,$Z717-0)=0,"",INDEX(包装物料出入库明细!$D$4:$D$2003,$Z717-0)),IF($Z717&lt;=4000,IF(INDEX(周转筐出入库明细!$C$4:$C$2004,$Z717-2000)=0,"",INDEX(周转筐出入库明细!$C$4:$C$2004,$Z717-2000)),IF($Z717&lt;=5200,IF(INDEX(客户自备加工筐明细!$E$4:$E$1203,$Z717-4000)=0,"",INDEX(客户自备加工筐明细!$E$4:$E$1203,$Z717-4000)),IF($Z717&lt;=5800,IF(INDEX(次果筐明细!$C$4:$C$603,$Z717-5200)=0,"",INDEX(次果筐明细!$C$4:$C$603,$Z717-5200)),"")))))</f>
        <v/>
      </c>
      <c r="D717" s="37" t="str">
        <f>IF($Z717="","",IF($Z717&lt;=2000,"包装物料－"&amp;INDEX(包装物料出入库明细!$H$4:$H$2003,$Z717-0),IF($Z717&lt;=4000,"周转筐－"&amp;INDEX(周转筐出入库明细!$F$4:$F$2004,$Z717-2000),IF($Z717&lt;=5200,"客户自备筐－"&amp;INDEX(客户自备加工筐明细!$J$4:$J$1203,$Z717-4000),IF($Z717&lt;=5800,"次果筐/托盘－"&amp;INDEX(次果筐明细!$F$4:$F$603,$Z717-5200),"")))))</f>
        <v/>
      </c>
      <c r="E717" s="24" t="str">
        <f>IF($Z717="","",IF($Z717&lt;=2000,IF(INDEX(包装物料出入库明细!$C$4:$C$2003,$Z717-0)=0,"",INDEX(包装物料出入库明细!$C$4:$C$2003,$Z717-0)),IF($Z717&lt;=4000,IF(INDEX(周转筐出入库明细!$E$4:$E$2004,$Z717-2000)=0,"",INDEX(周转筐出入库明细!$E$4:$E$2004,$Z717-2000)),IF($Z717&lt;=5200,IF(INDEX(客户自备加工筐明细!$D$4:$D$1203,$Z717-4000)=0,"",INDEX(客户自备加工筐明细!$D$4:$D$1203,$Z717-4000)),IF($Z717&lt;=5800,IF(INDEX(次果筐明细!$E$4:$E$603,$Z717-5200)=0,"",INDEX(次果筐明细!$E$4:$E$603,$Z717-5200)),"")))))</f>
        <v/>
      </c>
      <c r="F717" s="24" t="str">
        <f>IF($Z717="","",IF($Z717&lt;=2000,IF(INDEX(包装物料出入库明细!$E$4:$E$2003,$Z717-0)=0,"",INDEX(包装物料出入库明细!$E$4:$E$2003,$Z717-0)),IF($Z717&lt;=4000,IF(INDEX(周转筐出入库明细!$D$4:$D$2004,$Z717-2000)=0,"",INDEX(周转筐出入库明细!$D$4:$D$2004,$Z717-2000)),IF($Z717&lt;=5200,IF(INDEX(客户自备加工筐明细!$C$4:$C$1203,$Z717-4000)=0,"",INDEX(客户自备加工筐明细!$C$4:$C$1203,$Z717-4000)),IF($Z717&lt;=5800,IF(INDEX(次果筐明细!$D$4:$D$603,$Z717-5200)=0,"",INDEX(次果筐明细!$D$4:$D$603,$Z717-5200)),"")))))</f>
        <v/>
      </c>
      <c r="G717" s="24" t="str">
        <f>IF($Z717="","",IF($Z717&lt;=2000,IF(INDEX(包装物料出入库明细!$F$4:$F$2003,$Z717-0)=0,"",INDEX(包装物料出入库明细!$F$4:$F$2003,$Z717-0)),IF($Z717&lt;=4000,"",IF($Z717&lt;=5200,"",IF($Z717&lt;=5800,"","")))))</f>
        <v/>
      </c>
      <c r="H717" s="39" t="str">
        <f>IF($Z717="","",IF($Z717&lt;=2000,IF(INDEX(包装物料出入库明细!$L$4:$L$2003,$Z717-0)=0,"",INDEX(包装物料出入库明细!$L$4:$L$2003,$Z717-0)),IF($Z717&lt;=4000,N(INDEX(周转筐出入库明细!$H$4:$H$2004,$Z717-2000))+N(INDEX(周转筐出入库明细!$I$4:$I$2004,$Z717-2000))+N(INDEX(周转筐出入库明细!$J$4:$J$2004,$Z717-2000))+N(INDEX(周转筐出入库明细!$K$4:$K$2004,$Z717-2000)),IF($Z717&lt;=5200,N(INDEX(客户自备加工筐明细!$F$4:$F$1203,$Z717-4000))+N(INDEX(客户自备加工筐明细!$G$4:$G$1203,$Z717-4000)),IF($Z717&lt;=5800,IF(INDEX(次果筐明细!$G$4:$G$603,$Z717-5200)=0,"",INDEX(次果筐明细!$G$4:$G$603,$Z717-5200)),"")))))</f>
        <v/>
      </c>
      <c r="I717" s="24" t="str">
        <f>IF($Z717="","",IF($Z717&lt;=2000,IF(INDEX(包装物料出入库明细!$G$4:$G$2003,$Z717-0)=0,"",INDEX(包装物料出入库明细!$G$4:$G$2003,$Z717-0)),IF($Z717&lt;=4000,"个",IF($Z717&lt;=5200,"个",IF($Z717&lt;=5800,"个","")))))</f>
        <v/>
      </c>
      <c r="J717" s="30" t="str">
        <f t="shared" si="34"/>
        <v/>
      </c>
      <c r="K717" s="30" t="str">
        <f>IF($Z717="","",IF($Z717&lt;=2000,IF(INDEX(包装物料出入库明细!$N$4:$N$2003,$Z717-0)=0,"",INDEX(包装物料出入库明细!$N$4:$N$2003,$Z717-0)),IF($Z717&lt;=4000,IF(INDEX(周转筐出入库明细!$P$4:$P$2004,$Z717-2000)=0,"",INDEX(周转筐出入库明细!$P$4:$P$2004,$Z717-2000)),IF($Z717&lt;=5200,"",IF($Z717&lt;=5800,N(INDEX(次果筐明细!$L$4:$L$603,$Z717-5200))+N(INDEX(次果筐明细!$J$4:$J$603,$Z717-5200)),"")))))</f>
        <v/>
      </c>
      <c r="L717" s="24" t="str">
        <f>IF($Z717="","",IF($Z717&lt;=2000,IF(INDEX(包装物料出入库明细!$P$4:$P$2003,$Z717-0)=0,"",INDEX(包装物料出入库明细!$P$4:$P$2003,$Z717-0)),IF($Z717&lt;=4000,IF(INDEX(周转筐出入库明细!$Q$4:$Q$2004,$Z717-2000)=0,"",INDEX(周转筐出入库明细!$Q$4:$Q$2004,$Z717-2000)),IF($Z717&lt;=5200,"",IF($Z717&lt;=5800,IF(INDEX(次果筐明细!$M$4:$M$603,$Z717-5200)=0,"",INDEX(次果筐明细!$M$4:$M$603,$Z717-5200)),"")))))</f>
        <v/>
      </c>
      <c r="M717" s="37" t="str">
        <f>IF($Z717="","",IF($Z717&lt;=2000,IF(INDEX(包装物料出入库明细!$R$4:$R$2003,$Z717-0)=0,"",INDEX(包装物料出入库明细!$R$4:$R$2003,$Z717-0)),IF($Z717&lt;=4000,IF(INDEX(周转筐出入库明细!$W$4:$W$2004,$Z717-2000)=0,"",INDEX(周转筐出入库明细!$W$4:$W$2004,$Z717-2000)),IF($Z717&lt;=5200,IF(INDEX(客户自备加工筐明细!$L$4:$L$1203,$Z717-4000)=0,"",INDEX(客户自备加工筐明细!$L$4:$L$1203,$Z717-4000)),IF($Z717&lt;=5800,IF(INDEX(次果筐明细!$P$4:$P$603,$Z717-5200)=0,"",INDEX(次果筐明细!$P$4:$P$603,$Z717-5200)),"")))))</f>
        <v/>
      </c>
      <c r="N717" s="16" t="str">
        <f>IF($Z717="","",IF($Z717&lt;=2000,"",IF($Z717&lt;=4000,IF(INDEX(周转筐出入库明细!$D$4:$D$2004,$Z717-2000)=0,"",INDEX(周转筐出入库明细!$D$4:$D$2004,$Z717-2000)),IF($Z717&lt;=5200,IF(INDEX(客户自备加工筐明细!$C$4:$C$1203,$Z717-4000)=0,"",INDEX(客户自备加工筐明细!$C$4:$C$1203,$Z717-4000)),IF($Z717&lt;=5800,IF(INDEX(次果筐明细!$D$4:$D$603,$Z717-5200)=0,"",INDEX(次果筐明细!$D$4:$D$603,$Z717-5200)),"")))))</f>
        <v/>
      </c>
      <c r="O717" s="40" t="str">
        <f>IF($Z717="","",IF($Z717&lt;=2000,"",IF($Z717&lt;=4000,IF(N(INDEX(周转筐出入库明细!$J$4:$J$2004,$Z717-2000))+N(INDEX(周转筐出入库明细!$K$4:$K$2004,$Z717-2000))=0,"",N(INDEX(周转筐出入库明细!$J$4:$J$2004,$Z717-2000))+N(INDEX(周转筐出入库明细!$K$4:$K$2004,$Z717-2000))),IF($Z717&lt;=5200,IF(N(INDEX(客户自备加工筐明细!$G$4:$G$1203,$Z717-4000))=0,"",N(INDEX(客户自备加工筐明细!$G$4:$G$1203,$Z717-4000))),IF($Z717&lt;=5800,IF(ISNUMBER(SEARCH("退",INDEX(次果筐明细!$F$4:$F$603,$Z717-5200)&amp;"")),"",IF(N(INDEX(次果筐明细!$G$4:$G$603,$Z717-5200))=0,"",N(INDEX(次果筐明细!$G$4:$G$603,$Z717-5200)))),"")))))</f>
        <v/>
      </c>
      <c r="P717" s="40" t="str">
        <f>IF($Z717="","",IF($Z717&lt;=2000,"",IF($Z717&lt;=4000,IF(N(INDEX(周转筐出入库明细!$I$4:$I$2004,$Z717-2000))=0,"",N(INDEX(周转筐出入库明细!$I$4:$I$2004,$Z717-2000))),IF($Z717&lt;=5200,"",IF($Z717&lt;=5800,IF(ISNUMBER(SEARCH("退",INDEX(次果筐明细!$F$4:$F$603,$Z717-5200)&amp;"")),IF(N(INDEX(次果筐明细!$G$4:$G$603,$Z717-5200))=0,"",N(INDEX(次果筐明细!$G$4:$G$603,$Z717-5200))),""),"")))))</f>
        <v/>
      </c>
      <c r="Q717" s="40" t="str">
        <f>IF($Z717="","",IF($Z717&lt;=2000,"",IF($Z717&lt;=4000,IF(N(INDEX(周转筐出入库明细!$H$4:$H$2004,$Z717-2000))=0,"",N(INDEX(周转筐出入库明细!$H$4:$H$2004,$Z717-2000))),IF($Z717&lt;=5200,IF(N(INDEX(客户自备加工筐明细!$F$4:$F$1203,$Z717-4000))=0,"",N(INDEX(客户自备加工筐明细!$F$4:$F$1203,$Z717-4000))),IF($Z717&lt;=5800,"","")))))</f>
        <v/>
      </c>
      <c r="R717" s="16" t="str">
        <f>IF($Z717="","",IF($Z717&lt;=2000,IF(INDEX(包装物料出入库明细!$O$4:$O$2003,$Z717-0)=0,"",INDEX(包装物料出入库明细!$O$4:$O$2003,$Z717-0)),IF($Z717&lt;=4000,IF(INDEX(周转筐出入库明细!$M$4:$M$2004,$Z717-2000)=0,"",INDEX(周转筐出入库明细!$M$4:$M$2004,$Z717-2000)),IF($Z717&lt;=5200,IF(INDEX(客户自备加工筐明细!$H$4:$H$1203,$Z717-4000)=0,"",INDEX(客户自备加工筐明细!$H$4:$H$1203,$Z717-4000)),IF($Z717&lt;=5800,IF(INDEX(次果筐明细!$H$4:$H$603,$Z717-5200)=0,"",INDEX(次果筐明细!$H$4:$H$603,$Z717-5200)),"")))))</f>
        <v/>
      </c>
      <c r="S717" s="22" t="str">
        <f t="shared" si="35"/>
        <v/>
      </c>
      <c r="Z717" s="10" t="str">
        <f>IFERROR(MATCH(ROW()-3,_自动清单!$CQ$4:$CQ$5803,0),"")</f>
        <v/>
      </c>
    </row>
    <row r="718" spans="1:26">
      <c r="A718" s="24" t="str">
        <f t="shared" si="33"/>
        <v/>
      </c>
      <c r="B718" s="38" t="str">
        <f>IF($Z718="","",IF($Z718&lt;=2000,IF(INDEX(包装物料出入库明细!$B$4:$B$2003,$Z718-0)=0,"",INDEX(包装物料出入库明细!$B$4:$B$2003,$Z718-0)),IF($Z718&lt;=4000,IF(INDEX(周转筐出入库明细!$B$4:$B$2004,$Z718-2000)=0,"",INDEX(周转筐出入库明细!$B$4:$B$2004,$Z718-2000)),IF($Z718&lt;=5200,IF(INDEX(客户自备加工筐明细!$B$4:$B$1203,$Z718-4000)=0,"",INDEX(客户自备加工筐明细!$B$4:$B$1203,$Z718-4000)),IF($Z718&lt;=5800,IF(INDEX(次果筐明细!$B$4:$B$603,$Z718-5200)=0,"",INDEX(次果筐明细!$B$4:$B$603,$Z718-5200)),"")))))</f>
        <v/>
      </c>
      <c r="C718" s="37" t="str">
        <f>IF($Z718="","",IF($Z718&lt;=2000,IF(INDEX(包装物料出入库明细!$D$4:$D$2003,$Z718-0)=0,"",INDEX(包装物料出入库明细!$D$4:$D$2003,$Z718-0)),IF($Z718&lt;=4000,IF(INDEX(周转筐出入库明细!$C$4:$C$2004,$Z718-2000)=0,"",INDEX(周转筐出入库明细!$C$4:$C$2004,$Z718-2000)),IF($Z718&lt;=5200,IF(INDEX(客户自备加工筐明细!$E$4:$E$1203,$Z718-4000)=0,"",INDEX(客户自备加工筐明细!$E$4:$E$1203,$Z718-4000)),IF($Z718&lt;=5800,IF(INDEX(次果筐明细!$C$4:$C$603,$Z718-5200)=0,"",INDEX(次果筐明细!$C$4:$C$603,$Z718-5200)),"")))))</f>
        <v/>
      </c>
      <c r="D718" s="37" t="str">
        <f>IF($Z718="","",IF($Z718&lt;=2000,"包装物料－"&amp;INDEX(包装物料出入库明细!$H$4:$H$2003,$Z718-0),IF($Z718&lt;=4000,"周转筐－"&amp;INDEX(周转筐出入库明细!$F$4:$F$2004,$Z718-2000),IF($Z718&lt;=5200,"客户自备筐－"&amp;INDEX(客户自备加工筐明细!$J$4:$J$1203,$Z718-4000),IF($Z718&lt;=5800,"次果筐/托盘－"&amp;INDEX(次果筐明细!$F$4:$F$603,$Z718-5200),"")))))</f>
        <v/>
      </c>
      <c r="E718" s="24" t="str">
        <f>IF($Z718="","",IF($Z718&lt;=2000,IF(INDEX(包装物料出入库明细!$C$4:$C$2003,$Z718-0)=0,"",INDEX(包装物料出入库明细!$C$4:$C$2003,$Z718-0)),IF($Z718&lt;=4000,IF(INDEX(周转筐出入库明细!$E$4:$E$2004,$Z718-2000)=0,"",INDEX(周转筐出入库明细!$E$4:$E$2004,$Z718-2000)),IF($Z718&lt;=5200,IF(INDEX(客户自备加工筐明细!$D$4:$D$1203,$Z718-4000)=0,"",INDEX(客户自备加工筐明细!$D$4:$D$1203,$Z718-4000)),IF($Z718&lt;=5800,IF(INDEX(次果筐明细!$E$4:$E$603,$Z718-5200)=0,"",INDEX(次果筐明细!$E$4:$E$603,$Z718-5200)),"")))))</f>
        <v/>
      </c>
      <c r="F718" s="24" t="str">
        <f>IF($Z718="","",IF($Z718&lt;=2000,IF(INDEX(包装物料出入库明细!$E$4:$E$2003,$Z718-0)=0,"",INDEX(包装物料出入库明细!$E$4:$E$2003,$Z718-0)),IF($Z718&lt;=4000,IF(INDEX(周转筐出入库明细!$D$4:$D$2004,$Z718-2000)=0,"",INDEX(周转筐出入库明细!$D$4:$D$2004,$Z718-2000)),IF($Z718&lt;=5200,IF(INDEX(客户自备加工筐明细!$C$4:$C$1203,$Z718-4000)=0,"",INDEX(客户自备加工筐明细!$C$4:$C$1203,$Z718-4000)),IF($Z718&lt;=5800,IF(INDEX(次果筐明细!$D$4:$D$603,$Z718-5200)=0,"",INDEX(次果筐明细!$D$4:$D$603,$Z718-5200)),"")))))</f>
        <v/>
      </c>
      <c r="G718" s="24" t="str">
        <f>IF($Z718="","",IF($Z718&lt;=2000,IF(INDEX(包装物料出入库明细!$F$4:$F$2003,$Z718-0)=0,"",INDEX(包装物料出入库明细!$F$4:$F$2003,$Z718-0)),IF($Z718&lt;=4000,"",IF($Z718&lt;=5200,"",IF($Z718&lt;=5800,"","")))))</f>
        <v/>
      </c>
      <c r="H718" s="39" t="str">
        <f>IF($Z718="","",IF($Z718&lt;=2000,IF(INDEX(包装物料出入库明细!$L$4:$L$2003,$Z718-0)=0,"",INDEX(包装物料出入库明细!$L$4:$L$2003,$Z718-0)),IF($Z718&lt;=4000,N(INDEX(周转筐出入库明细!$H$4:$H$2004,$Z718-2000))+N(INDEX(周转筐出入库明细!$I$4:$I$2004,$Z718-2000))+N(INDEX(周转筐出入库明细!$J$4:$J$2004,$Z718-2000))+N(INDEX(周转筐出入库明细!$K$4:$K$2004,$Z718-2000)),IF($Z718&lt;=5200,N(INDEX(客户自备加工筐明细!$F$4:$F$1203,$Z718-4000))+N(INDEX(客户自备加工筐明细!$G$4:$G$1203,$Z718-4000)),IF($Z718&lt;=5800,IF(INDEX(次果筐明细!$G$4:$G$603,$Z718-5200)=0,"",INDEX(次果筐明细!$G$4:$G$603,$Z718-5200)),"")))))</f>
        <v/>
      </c>
      <c r="I718" s="24" t="str">
        <f>IF($Z718="","",IF($Z718&lt;=2000,IF(INDEX(包装物料出入库明细!$G$4:$G$2003,$Z718-0)=0,"",INDEX(包装物料出入库明细!$G$4:$G$2003,$Z718-0)),IF($Z718&lt;=4000,"个",IF($Z718&lt;=5200,"个",IF($Z718&lt;=5800,"个","")))))</f>
        <v/>
      </c>
      <c r="J718" s="30" t="str">
        <f t="shared" si="34"/>
        <v/>
      </c>
      <c r="K718" s="30" t="str">
        <f>IF($Z718="","",IF($Z718&lt;=2000,IF(INDEX(包装物料出入库明细!$N$4:$N$2003,$Z718-0)=0,"",INDEX(包装物料出入库明细!$N$4:$N$2003,$Z718-0)),IF($Z718&lt;=4000,IF(INDEX(周转筐出入库明细!$P$4:$P$2004,$Z718-2000)=0,"",INDEX(周转筐出入库明细!$P$4:$P$2004,$Z718-2000)),IF($Z718&lt;=5200,"",IF($Z718&lt;=5800,N(INDEX(次果筐明细!$L$4:$L$603,$Z718-5200))+N(INDEX(次果筐明细!$J$4:$J$603,$Z718-5200)),"")))))</f>
        <v/>
      </c>
      <c r="L718" s="24" t="str">
        <f>IF($Z718="","",IF($Z718&lt;=2000,IF(INDEX(包装物料出入库明细!$P$4:$P$2003,$Z718-0)=0,"",INDEX(包装物料出入库明细!$P$4:$P$2003,$Z718-0)),IF($Z718&lt;=4000,IF(INDEX(周转筐出入库明细!$Q$4:$Q$2004,$Z718-2000)=0,"",INDEX(周转筐出入库明细!$Q$4:$Q$2004,$Z718-2000)),IF($Z718&lt;=5200,"",IF($Z718&lt;=5800,IF(INDEX(次果筐明细!$M$4:$M$603,$Z718-5200)=0,"",INDEX(次果筐明细!$M$4:$M$603,$Z718-5200)),"")))))</f>
        <v/>
      </c>
      <c r="M718" s="37" t="str">
        <f>IF($Z718="","",IF($Z718&lt;=2000,IF(INDEX(包装物料出入库明细!$R$4:$R$2003,$Z718-0)=0,"",INDEX(包装物料出入库明细!$R$4:$R$2003,$Z718-0)),IF($Z718&lt;=4000,IF(INDEX(周转筐出入库明细!$W$4:$W$2004,$Z718-2000)=0,"",INDEX(周转筐出入库明细!$W$4:$W$2004,$Z718-2000)),IF($Z718&lt;=5200,IF(INDEX(客户自备加工筐明细!$L$4:$L$1203,$Z718-4000)=0,"",INDEX(客户自备加工筐明细!$L$4:$L$1203,$Z718-4000)),IF($Z718&lt;=5800,IF(INDEX(次果筐明细!$P$4:$P$603,$Z718-5200)=0,"",INDEX(次果筐明细!$P$4:$P$603,$Z718-5200)),"")))))</f>
        <v/>
      </c>
      <c r="N718" s="16" t="str">
        <f>IF($Z718="","",IF($Z718&lt;=2000,"",IF($Z718&lt;=4000,IF(INDEX(周转筐出入库明细!$D$4:$D$2004,$Z718-2000)=0,"",INDEX(周转筐出入库明细!$D$4:$D$2004,$Z718-2000)),IF($Z718&lt;=5200,IF(INDEX(客户自备加工筐明细!$C$4:$C$1203,$Z718-4000)=0,"",INDEX(客户自备加工筐明细!$C$4:$C$1203,$Z718-4000)),IF($Z718&lt;=5800,IF(INDEX(次果筐明细!$D$4:$D$603,$Z718-5200)=0,"",INDEX(次果筐明细!$D$4:$D$603,$Z718-5200)),"")))))</f>
        <v/>
      </c>
      <c r="O718" s="40" t="str">
        <f>IF($Z718="","",IF($Z718&lt;=2000,"",IF($Z718&lt;=4000,IF(N(INDEX(周转筐出入库明细!$J$4:$J$2004,$Z718-2000))+N(INDEX(周转筐出入库明细!$K$4:$K$2004,$Z718-2000))=0,"",N(INDEX(周转筐出入库明细!$J$4:$J$2004,$Z718-2000))+N(INDEX(周转筐出入库明细!$K$4:$K$2004,$Z718-2000))),IF($Z718&lt;=5200,IF(N(INDEX(客户自备加工筐明细!$G$4:$G$1203,$Z718-4000))=0,"",N(INDEX(客户自备加工筐明细!$G$4:$G$1203,$Z718-4000))),IF($Z718&lt;=5800,IF(ISNUMBER(SEARCH("退",INDEX(次果筐明细!$F$4:$F$603,$Z718-5200)&amp;"")),"",IF(N(INDEX(次果筐明细!$G$4:$G$603,$Z718-5200))=0,"",N(INDEX(次果筐明细!$G$4:$G$603,$Z718-5200)))),"")))))</f>
        <v/>
      </c>
      <c r="P718" s="40" t="str">
        <f>IF($Z718="","",IF($Z718&lt;=2000,"",IF($Z718&lt;=4000,IF(N(INDEX(周转筐出入库明细!$I$4:$I$2004,$Z718-2000))=0,"",N(INDEX(周转筐出入库明细!$I$4:$I$2004,$Z718-2000))),IF($Z718&lt;=5200,"",IF($Z718&lt;=5800,IF(ISNUMBER(SEARCH("退",INDEX(次果筐明细!$F$4:$F$603,$Z718-5200)&amp;"")),IF(N(INDEX(次果筐明细!$G$4:$G$603,$Z718-5200))=0,"",N(INDEX(次果筐明细!$G$4:$G$603,$Z718-5200))),""),"")))))</f>
        <v/>
      </c>
      <c r="Q718" s="40" t="str">
        <f>IF($Z718="","",IF($Z718&lt;=2000,"",IF($Z718&lt;=4000,IF(N(INDEX(周转筐出入库明细!$H$4:$H$2004,$Z718-2000))=0,"",N(INDEX(周转筐出入库明细!$H$4:$H$2004,$Z718-2000))),IF($Z718&lt;=5200,IF(N(INDEX(客户自备加工筐明细!$F$4:$F$1203,$Z718-4000))=0,"",N(INDEX(客户自备加工筐明细!$F$4:$F$1203,$Z718-4000))),IF($Z718&lt;=5800,"","")))))</f>
        <v/>
      </c>
      <c r="R718" s="16" t="str">
        <f>IF($Z718="","",IF($Z718&lt;=2000,IF(INDEX(包装物料出入库明细!$O$4:$O$2003,$Z718-0)=0,"",INDEX(包装物料出入库明细!$O$4:$O$2003,$Z718-0)),IF($Z718&lt;=4000,IF(INDEX(周转筐出入库明细!$M$4:$M$2004,$Z718-2000)=0,"",INDEX(周转筐出入库明细!$M$4:$M$2004,$Z718-2000)),IF($Z718&lt;=5200,IF(INDEX(客户自备加工筐明细!$H$4:$H$1203,$Z718-4000)=0,"",INDEX(客户自备加工筐明细!$H$4:$H$1203,$Z718-4000)),IF($Z718&lt;=5800,IF(INDEX(次果筐明细!$H$4:$H$603,$Z718-5200)=0,"",INDEX(次果筐明细!$H$4:$H$603,$Z718-5200)),"")))))</f>
        <v/>
      </c>
      <c r="S718" s="22" t="str">
        <f t="shared" si="35"/>
        <v/>
      </c>
      <c r="Z718" s="10" t="str">
        <f>IFERROR(MATCH(ROW()-3,_自动清单!$CQ$4:$CQ$5803,0),"")</f>
        <v/>
      </c>
    </row>
    <row r="719" spans="1:26">
      <c r="A719" s="24" t="str">
        <f t="shared" si="33"/>
        <v/>
      </c>
      <c r="B719" s="38" t="str">
        <f>IF($Z719="","",IF($Z719&lt;=2000,IF(INDEX(包装物料出入库明细!$B$4:$B$2003,$Z719-0)=0,"",INDEX(包装物料出入库明细!$B$4:$B$2003,$Z719-0)),IF($Z719&lt;=4000,IF(INDEX(周转筐出入库明细!$B$4:$B$2004,$Z719-2000)=0,"",INDEX(周转筐出入库明细!$B$4:$B$2004,$Z719-2000)),IF($Z719&lt;=5200,IF(INDEX(客户自备加工筐明细!$B$4:$B$1203,$Z719-4000)=0,"",INDEX(客户自备加工筐明细!$B$4:$B$1203,$Z719-4000)),IF($Z719&lt;=5800,IF(INDEX(次果筐明细!$B$4:$B$603,$Z719-5200)=0,"",INDEX(次果筐明细!$B$4:$B$603,$Z719-5200)),"")))))</f>
        <v/>
      </c>
      <c r="C719" s="37" t="str">
        <f>IF($Z719="","",IF($Z719&lt;=2000,IF(INDEX(包装物料出入库明细!$D$4:$D$2003,$Z719-0)=0,"",INDEX(包装物料出入库明细!$D$4:$D$2003,$Z719-0)),IF($Z719&lt;=4000,IF(INDEX(周转筐出入库明细!$C$4:$C$2004,$Z719-2000)=0,"",INDEX(周转筐出入库明细!$C$4:$C$2004,$Z719-2000)),IF($Z719&lt;=5200,IF(INDEX(客户自备加工筐明细!$E$4:$E$1203,$Z719-4000)=0,"",INDEX(客户自备加工筐明细!$E$4:$E$1203,$Z719-4000)),IF($Z719&lt;=5800,IF(INDEX(次果筐明细!$C$4:$C$603,$Z719-5200)=0,"",INDEX(次果筐明细!$C$4:$C$603,$Z719-5200)),"")))))</f>
        <v/>
      </c>
      <c r="D719" s="37" t="str">
        <f>IF($Z719="","",IF($Z719&lt;=2000,"包装物料－"&amp;INDEX(包装物料出入库明细!$H$4:$H$2003,$Z719-0),IF($Z719&lt;=4000,"周转筐－"&amp;INDEX(周转筐出入库明细!$F$4:$F$2004,$Z719-2000),IF($Z719&lt;=5200,"客户自备筐－"&amp;INDEX(客户自备加工筐明细!$J$4:$J$1203,$Z719-4000),IF($Z719&lt;=5800,"次果筐/托盘－"&amp;INDEX(次果筐明细!$F$4:$F$603,$Z719-5200),"")))))</f>
        <v/>
      </c>
      <c r="E719" s="24" t="str">
        <f>IF($Z719="","",IF($Z719&lt;=2000,IF(INDEX(包装物料出入库明细!$C$4:$C$2003,$Z719-0)=0,"",INDEX(包装物料出入库明细!$C$4:$C$2003,$Z719-0)),IF($Z719&lt;=4000,IF(INDEX(周转筐出入库明细!$E$4:$E$2004,$Z719-2000)=0,"",INDEX(周转筐出入库明细!$E$4:$E$2004,$Z719-2000)),IF($Z719&lt;=5200,IF(INDEX(客户自备加工筐明细!$D$4:$D$1203,$Z719-4000)=0,"",INDEX(客户自备加工筐明细!$D$4:$D$1203,$Z719-4000)),IF($Z719&lt;=5800,IF(INDEX(次果筐明细!$E$4:$E$603,$Z719-5200)=0,"",INDEX(次果筐明细!$E$4:$E$603,$Z719-5200)),"")))))</f>
        <v/>
      </c>
      <c r="F719" s="24" t="str">
        <f>IF($Z719="","",IF($Z719&lt;=2000,IF(INDEX(包装物料出入库明细!$E$4:$E$2003,$Z719-0)=0,"",INDEX(包装物料出入库明细!$E$4:$E$2003,$Z719-0)),IF($Z719&lt;=4000,IF(INDEX(周转筐出入库明细!$D$4:$D$2004,$Z719-2000)=0,"",INDEX(周转筐出入库明细!$D$4:$D$2004,$Z719-2000)),IF($Z719&lt;=5200,IF(INDEX(客户自备加工筐明细!$C$4:$C$1203,$Z719-4000)=0,"",INDEX(客户自备加工筐明细!$C$4:$C$1203,$Z719-4000)),IF($Z719&lt;=5800,IF(INDEX(次果筐明细!$D$4:$D$603,$Z719-5200)=0,"",INDEX(次果筐明细!$D$4:$D$603,$Z719-5200)),"")))))</f>
        <v/>
      </c>
      <c r="G719" s="24" t="str">
        <f>IF($Z719="","",IF($Z719&lt;=2000,IF(INDEX(包装物料出入库明细!$F$4:$F$2003,$Z719-0)=0,"",INDEX(包装物料出入库明细!$F$4:$F$2003,$Z719-0)),IF($Z719&lt;=4000,"",IF($Z719&lt;=5200,"",IF($Z719&lt;=5800,"","")))))</f>
        <v/>
      </c>
      <c r="H719" s="39" t="str">
        <f>IF($Z719="","",IF($Z719&lt;=2000,IF(INDEX(包装物料出入库明细!$L$4:$L$2003,$Z719-0)=0,"",INDEX(包装物料出入库明细!$L$4:$L$2003,$Z719-0)),IF($Z719&lt;=4000,N(INDEX(周转筐出入库明细!$H$4:$H$2004,$Z719-2000))+N(INDEX(周转筐出入库明细!$I$4:$I$2004,$Z719-2000))+N(INDEX(周转筐出入库明细!$J$4:$J$2004,$Z719-2000))+N(INDEX(周转筐出入库明细!$K$4:$K$2004,$Z719-2000)),IF($Z719&lt;=5200,N(INDEX(客户自备加工筐明细!$F$4:$F$1203,$Z719-4000))+N(INDEX(客户自备加工筐明细!$G$4:$G$1203,$Z719-4000)),IF($Z719&lt;=5800,IF(INDEX(次果筐明细!$G$4:$G$603,$Z719-5200)=0,"",INDEX(次果筐明细!$G$4:$G$603,$Z719-5200)),"")))))</f>
        <v/>
      </c>
      <c r="I719" s="24" t="str">
        <f>IF($Z719="","",IF($Z719&lt;=2000,IF(INDEX(包装物料出入库明细!$G$4:$G$2003,$Z719-0)=0,"",INDEX(包装物料出入库明细!$G$4:$G$2003,$Z719-0)),IF($Z719&lt;=4000,"个",IF($Z719&lt;=5200,"个",IF($Z719&lt;=5800,"个","")))))</f>
        <v/>
      </c>
      <c r="J719" s="30" t="str">
        <f t="shared" si="34"/>
        <v/>
      </c>
      <c r="K719" s="30" t="str">
        <f>IF($Z719="","",IF($Z719&lt;=2000,IF(INDEX(包装物料出入库明细!$N$4:$N$2003,$Z719-0)=0,"",INDEX(包装物料出入库明细!$N$4:$N$2003,$Z719-0)),IF($Z719&lt;=4000,IF(INDEX(周转筐出入库明细!$P$4:$P$2004,$Z719-2000)=0,"",INDEX(周转筐出入库明细!$P$4:$P$2004,$Z719-2000)),IF($Z719&lt;=5200,"",IF($Z719&lt;=5800,N(INDEX(次果筐明细!$L$4:$L$603,$Z719-5200))+N(INDEX(次果筐明细!$J$4:$J$603,$Z719-5200)),"")))))</f>
        <v/>
      </c>
      <c r="L719" s="24" t="str">
        <f>IF($Z719="","",IF($Z719&lt;=2000,IF(INDEX(包装物料出入库明细!$P$4:$P$2003,$Z719-0)=0,"",INDEX(包装物料出入库明细!$P$4:$P$2003,$Z719-0)),IF($Z719&lt;=4000,IF(INDEX(周转筐出入库明细!$Q$4:$Q$2004,$Z719-2000)=0,"",INDEX(周转筐出入库明细!$Q$4:$Q$2004,$Z719-2000)),IF($Z719&lt;=5200,"",IF($Z719&lt;=5800,IF(INDEX(次果筐明细!$M$4:$M$603,$Z719-5200)=0,"",INDEX(次果筐明细!$M$4:$M$603,$Z719-5200)),"")))))</f>
        <v/>
      </c>
      <c r="M719" s="37" t="str">
        <f>IF($Z719="","",IF($Z719&lt;=2000,IF(INDEX(包装物料出入库明细!$R$4:$R$2003,$Z719-0)=0,"",INDEX(包装物料出入库明细!$R$4:$R$2003,$Z719-0)),IF($Z719&lt;=4000,IF(INDEX(周转筐出入库明细!$W$4:$W$2004,$Z719-2000)=0,"",INDEX(周转筐出入库明细!$W$4:$W$2004,$Z719-2000)),IF($Z719&lt;=5200,IF(INDEX(客户自备加工筐明细!$L$4:$L$1203,$Z719-4000)=0,"",INDEX(客户自备加工筐明细!$L$4:$L$1203,$Z719-4000)),IF($Z719&lt;=5800,IF(INDEX(次果筐明细!$P$4:$P$603,$Z719-5200)=0,"",INDEX(次果筐明细!$P$4:$P$603,$Z719-5200)),"")))))</f>
        <v/>
      </c>
      <c r="N719" s="16" t="str">
        <f>IF($Z719="","",IF($Z719&lt;=2000,"",IF($Z719&lt;=4000,IF(INDEX(周转筐出入库明细!$D$4:$D$2004,$Z719-2000)=0,"",INDEX(周转筐出入库明细!$D$4:$D$2004,$Z719-2000)),IF($Z719&lt;=5200,IF(INDEX(客户自备加工筐明细!$C$4:$C$1203,$Z719-4000)=0,"",INDEX(客户自备加工筐明细!$C$4:$C$1203,$Z719-4000)),IF($Z719&lt;=5800,IF(INDEX(次果筐明细!$D$4:$D$603,$Z719-5200)=0,"",INDEX(次果筐明细!$D$4:$D$603,$Z719-5200)),"")))))</f>
        <v/>
      </c>
      <c r="O719" s="40" t="str">
        <f>IF($Z719="","",IF($Z719&lt;=2000,"",IF($Z719&lt;=4000,IF(N(INDEX(周转筐出入库明细!$J$4:$J$2004,$Z719-2000))+N(INDEX(周转筐出入库明细!$K$4:$K$2004,$Z719-2000))=0,"",N(INDEX(周转筐出入库明细!$J$4:$J$2004,$Z719-2000))+N(INDEX(周转筐出入库明细!$K$4:$K$2004,$Z719-2000))),IF($Z719&lt;=5200,IF(N(INDEX(客户自备加工筐明细!$G$4:$G$1203,$Z719-4000))=0,"",N(INDEX(客户自备加工筐明细!$G$4:$G$1203,$Z719-4000))),IF($Z719&lt;=5800,IF(ISNUMBER(SEARCH("退",INDEX(次果筐明细!$F$4:$F$603,$Z719-5200)&amp;"")),"",IF(N(INDEX(次果筐明细!$G$4:$G$603,$Z719-5200))=0,"",N(INDEX(次果筐明细!$G$4:$G$603,$Z719-5200)))),"")))))</f>
        <v/>
      </c>
      <c r="P719" s="40" t="str">
        <f>IF($Z719="","",IF($Z719&lt;=2000,"",IF($Z719&lt;=4000,IF(N(INDEX(周转筐出入库明细!$I$4:$I$2004,$Z719-2000))=0,"",N(INDEX(周转筐出入库明细!$I$4:$I$2004,$Z719-2000))),IF($Z719&lt;=5200,"",IF($Z719&lt;=5800,IF(ISNUMBER(SEARCH("退",INDEX(次果筐明细!$F$4:$F$603,$Z719-5200)&amp;"")),IF(N(INDEX(次果筐明细!$G$4:$G$603,$Z719-5200))=0,"",N(INDEX(次果筐明细!$G$4:$G$603,$Z719-5200))),""),"")))))</f>
        <v/>
      </c>
      <c r="Q719" s="40" t="str">
        <f>IF($Z719="","",IF($Z719&lt;=2000,"",IF($Z719&lt;=4000,IF(N(INDEX(周转筐出入库明细!$H$4:$H$2004,$Z719-2000))=0,"",N(INDEX(周转筐出入库明细!$H$4:$H$2004,$Z719-2000))),IF($Z719&lt;=5200,IF(N(INDEX(客户自备加工筐明细!$F$4:$F$1203,$Z719-4000))=0,"",N(INDEX(客户自备加工筐明细!$F$4:$F$1203,$Z719-4000))),IF($Z719&lt;=5800,"","")))))</f>
        <v/>
      </c>
      <c r="R719" s="16" t="str">
        <f>IF($Z719="","",IF($Z719&lt;=2000,IF(INDEX(包装物料出入库明细!$O$4:$O$2003,$Z719-0)=0,"",INDEX(包装物料出入库明细!$O$4:$O$2003,$Z719-0)),IF($Z719&lt;=4000,IF(INDEX(周转筐出入库明细!$M$4:$M$2004,$Z719-2000)=0,"",INDEX(周转筐出入库明细!$M$4:$M$2004,$Z719-2000)),IF($Z719&lt;=5200,IF(INDEX(客户自备加工筐明细!$H$4:$H$1203,$Z719-4000)=0,"",INDEX(客户自备加工筐明细!$H$4:$H$1203,$Z719-4000)),IF($Z719&lt;=5800,IF(INDEX(次果筐明细!$H$4:$H$603,$Z719-5200)=0,"",INDEX(次果筐明细!$H$4:$H$603,$Z719-5200)),"")))))</f>
        <v/>
      </c>
      <c r="S719" s="22" t="str">
        <f t="shared" si="35"/>
        <v/>
      </c>
      <c r="Z719" s="10" t="str">
        <f>IFERROR(MATCH(ROW()-3,_自动清单!$CQ$4:$CQ$5803,0),"")</f>
        <v/>
      </c>
    </row>
    <row r="720" spans="1:26">
      <c r="A720" s="24" t="str">
        <f t="shared" si="33"/>
        <v/>
      </c>
      <c r="B720" s="38" t="str">
        <f>IF($Z720="","",IF($Z720&lt;=2000,IF(INDEX(包装物料出入库明细!$B$4:$B$2003,$Z720-0)=0,"",INDEX(包装物料出入库明细!$B$4:$B$2003,$Z720-0)),IF($Z720&lt;=4000,IF(INDEX(周转筐出入库明细!$B$4:$B$2004,$Z720-2000)=0,"",INDEX(周转筐出入库明细!$B$4:$B$2004,$Z720-2000)),IF($Z720&lt;=5200,IF(INDEX(客户自备加工筐明细!$B$4:$B$1203,$Z720-4000)=0,"",INDEX(客户自备加工筐明细!$B$4:$B$1203,$Z720-4000)),IF($Z720&lt;=5800,IF(INDEX(次果筐明细!$B$4:$B$603,$Z720-5200)=0,"",INDEX(次果筐明细!$B$4:$B$603,$Z720-5200)),"")))))</f>
        <v/>
      </c>
      <c r="C720" s="37" t="str">
        <f>IF($Z720="","",IF($Z720&lt;=2000,IF(INDEX(包装物料出入库明细!$D$4:$D$2003,$Z720-0)=0,"",INDEX(包装物料出入库明细!$D$4:$D$2003,$Z720-0)),IF($Z720&lt;=4000,IF(INDEX(周转筐出入库明细!$C$4:$C$2004,$Z720-2000)=0,"",INDEX(周转筐出入库明细!$C$4:$C$2004,$Z720-2000)),IF($Z720&lt;=5200,IF(INDEX(客户自备加工筐明细!$E$4:$E$1203,$Z720-4000)=0,"",INDEX(客户自备加工筐明细!$E$4:$E$1203,$Z720-4000)),IF($Z720&lt;=5800,IF(INDEX(次果筐明细!$C$4:$C$603,$Z720-5200)=0,"",INDEX(次果筐明细!$C$4:$C$603,$Z720-5200)),"")))))</f>
        <v/>
      </c>
      <c r="D720" s="37" t="str">
        <f>IF($Z720="","",IF($Z720&lt;=2000,"包装物料－"&amp;INDEX(包装物料出入库明细!$H$4:$H$2003,$Z720-0),IF($Z720&lt;=4000,"周转筐－"&amp;INDEX(周转筐出入库明细!$F$4:$F$2004,$Z720-2000),IF($Z720&lt;=5200,"客户自备筐－"&amp;INDEX(客户自备加工筐明细!$J$4:$J$1203,$Z720-4000),IF($Z720&lt;=5800,"次果筐/托盘－"&amp;INDEX(次果筐明细!$F$4:$F$603,$Z720-5200),"")))))</f>
        <v/>
      </c>
      <c r="E720" s="24" t="str">
        <f>IF($Z720="","",IF($Z720&lt;=2000,IF(INDEX(包装物料出入库明细!$C$4:$C$2003,$Z720-0)=0,"",INDEX(包装物料出入库明细!$C$4:$C$2003,$Z720-0)),IF($Z720&lt;=4000,IF(INDEX(周转筐出入库明细!$E$4:$E$2004,$Z720-2000)=0,"",INDEX(周转筐出入库明细!$E$4:$E$2004,$Z720-2000)),IF($Z720&lt;=5200,IF(INDEX(客户自备加工筐明细!$D$4:$D$1203,$Z720-4000)=0,"",INDEX(客户自备加工筐明细!$D$4:$D$1203,$Z720-4000)),IF($Z720&lt;=5800,IF(INDEX(次果筐明细!$E$4:$E$603,$Z720-5200)=0,"",INDEX(次果筐明细!$E$4:$E$603,$Z720-5200)),"")))))</f>
        <v/>
      </c>
      <c r="F720" s="24" t="str">
        <f>IF($Z720="","",IF($Z720&lt;=2000,IF(INDEX(包装物料出入库明细!$E$4:$E$2003,$Z720-0)=0,"",INDEX(包装物料出入库明细!$E$4:$E$2003,$Z720-0)),IF($Z720&lt;=4000,IF(INDEX(周转筐出入库明细!$D$4:$D$2004,$Z720-2000)=0,"",INDEX(周转筐出入库明细!$D$4:$D$2004,$Z720-2000)),IF($Z720&lt;=5200,IF(INDEX(客户自备加工筐明细!$C$4:$C$1203,$Z720-4000)=0,"",INDEX(客户自备加工筐明细!$C$4:$C$1203,$Z720-4000)),IF($Z720&lt;=5800,IF(INDEX(次果筐明细!$D$4:$D$603,$Z720-5200)=0,"",INDEX(次果筐明细!$D$4:$D$603,$Z720-5200)),"")))))</f>
        <v/>
      </c>
      <c r="G720" s="24" t="str">
        <f>IF($Z720="","",IF($Z720&lt;=2000,IF(INDEX(包装物料出入库明细!$F$4:$F$2003,$Z720-0)=0,"",INDEX(包装物料出入库明细!$F$4:$F$2003,$Z720-0)),IF($Z720&lt;=4000,"",IF($Z720&lt;=5200,"",IF($Z720&lt;=5800,"","")))))</f>
        <v/>
      </c>
      <c r="H720" s="39" t="str">
        <f>IF($Z720="","",IF($Z720&lt;=2000,IF(INDEX(包装物料出入库明细!$L$4:$L$2003,$Z720-0)=0,"",INDEX(包装物料出入库明细!$L$4:$L$2003,$Z720-0)),IF($Z720&lt;=4000,N(INDEX(周转筐出入库明细!$H$4:$H$2004,$Z720-2000))+N(INDEX(周转筐出入库明细!$I$4:$I$2004,$Z720-2000))+N(INDEX(周转筐出入库明细!$J$4:$J$2004,$Z720-2000))+N(INDEX(周转筐出入库明细!$K$4:$K$2004,$Z720-2000)),IF($Z720&lt;=5200,N(INDEX(客户自备加工筐明细!$F$4:$F$1203,$Z720-4000))+N(INDEX(客户自备加工筐明细!$G$4:$G$1203,$Z720-4000)),IF($Z720&lt;=5800,IF(INDEX(次果筐明细!$G$4:$G$603,$Z720-5200)=0,"",INDEX(次果筐明细!$G$4:$G$603,$Z720-5200)),"")))))</f>
        <v/>
      </c>
      <c r="I720" s="24" t="str">
        <f>IF($Z720="","",IF($Z720&lt;=2000,IF(INDEX(包装物料出入库明细!$G$4:$G$2003,$Z720-0)=0,"",INDEX(包装物料出入库明细!$G$4:$G$2003,$Z720-0)),IF($Z720&lt;=4000,"个",IF($Z720&lt;=5200,"个",IF($Z720&lt;=5800,"个","")))))</f>
        <v/>
      </c>
      <c r="J720" s="30" t="str">
        <f t="shared" si="34"/>
        <v/>
      </c>
      <c r="K720" s="30" t="str">
        <f>IF($Z720="","",IF($Z720&lt;=2000,IF(INDEX(包装物料出入库明细!$N$4:$N$2003,$Z720-0)=0,"",INDEX(包装物料出入库明细!$N$4:$N$2003,$Z720-0)),IF($Z720&lt;=4000,IF(INDEX(周转筐出入库明细!$P$4:$P$2004,$Z720-2000)=0,"",INDEX(周转筐出入库明细!$P$4:$P$2004,$Z720-2000)),IF($Z720&lt;=5200,"",IF($Z720&lt;=5800,N(INDEX(次果筐明细!$L$4:$L$603,$Z720-5200))+N(INDEX(次果筐明细!$J$4:$J$603,$Z720-5200)),"")))))</f>
        <v/>
      </c>
      <c r="L720" s="24" t="str">
        <f>IF($Z720="","",IF($Z720&lt;=2000,IF(INDEX(包装物料出入库明细!$P$4:$P$2003,$Z720-0)=0,"",INDEX(包装物料出入库明细!$P$4:$P$2003,$Z720-0)),IF($Z720&lt;=4000,IF(INDEX(周转筐出入库明细!$Q$4:$Q$2004,$Z720-2000)=0,"",INDEX(周转筐出入库明细!$Q$4:$Q$2004,$Z720-2000)),IF($Z720&lt;=5200,"",IF($Z720&lt;=5800,IF(INDEX(次果筐明细!$M$4:$M$603,$Z720-5200)=0,"",INDEX(次果筐明细!$M$4:$M$603,$Z720-5200)),"")))))</f>
        <v/>
      </c>
      <c r="M720" s="37" t="str">
        <f>IF($Z720="","",IF($Z720&lt;=2000,IF(INDEX(包装物料出入库明细!$R$4:$R$2003,$Z720-0)=0,"",INDEX(包装物料出入库明细!$R$4:$R$2003,$Z720-0)),IF($Z720&lt;=4000,IF(INDEX(周转筐出入库明细!$W$4:$W$2004,$Z720-2000)=0,"",INDEX(周转筐出入库明细!$W$4:$W$2004,$Z720-2000)),IF($Z720&lt;=5200,IF(INDEX(客户自备加工筐明细!$L$4:$L$1203,$Z720-4000)=0,"",INDEX(客户自备加工筐明细!$L$4:$L$1203,$Z720-4000)),IF($Z720&lt;=5800,IF(INDEX(次果筐明细!$P$4:$P$603,$Z720-5200)=0,"",INDEX(次果筐明细!$P$4:$P$603,$Z720-5200)),"")))))</f>
        <v/>
      </c>
      <c r="N720" s="16" t="str">
        <f>IF($Z720="","",IF($Z720&lt;=2000,"",IF($Z720&lt;=4000,IF(INDEX(周转筐出入库明细!$D$4:$D$2004,$Z720-2000)=0,"",INDEX(周转筐出入库明细!$D$4:$D$2004,$Z720-2000)),IF($Z720&lt;=5200,IF(INDEX(客户自备加工筐明细!$C$4:$C$1203,$Z720-4000)=0,"",INDEX(客户自备加工筐明细!$C$4:$C$1203,$Z720-4000)),IF($Z720&lt;=5800,IF(INDEX(次果筐明细!$D$4:$D$603,$Z720-5200)=0,"",INDEX(次果筐明细!$D$4:$D$603,$Z720-5200)),"")))))</f>
        <v/>
      </c>
      <c r="O720" s="40" t="str">
        <f>IF($Z720="","",IF($Z720&lt;=2000,"",IF($Z720&lt;=4000,IF(N(INDEX(周转筐出入库明细!$J$4:$J$2004,$Z720-2000))+N(INDEX(周转筐出入库明细!$K$4:$K$2004,$Z720-2000))=0,"",N(INDEX(周转筐出入库明细!$J$4:$J$2004,$Z720-2000))+N(INDEX(周转筐出入库明细!$K$4:$K$2004,$Z720-2000))),IF($Z720&lt;=5200,IF(N(INDEX(客户自备加工筐明细!$G$4:$G$1203,$Z720-4000))=0,"",N(INDEX(客户自备加工筐明细!$G$4:$G$1203,$Z720-4000))),IF($Z720&lt;=5800,IF(ISNUMBER(SEARCH("退",INDEX(次果筐明细!$F$4:$F$603,$Z720-5200)&amp;"")),"",IF(N(INDEX(次果筐明细!$G$4:$G$603,$Z720-5200))=0,"",N(INDEX(次果筐明细!$G$4:$G$603,$Z720-5200)))),"")))))</f>
        <v/>
      </c>
      <c r="P720" s="40" t="str">
        <f>IF($Z720="","",IF($Z720&lt;=2000,"",IF($Z720&lt;=4000,IF(N(INDEX(周转筐出入库明细!$I$4:$I$2004,$Z720-2000))=0,"",N(INDEX(周转筐出入库明细!$I$4:$I$2004,$Z720-2000))),IF($Z720&lt;=5200,"",IF($Z720&lt;=5800,IF(ISNUMBER(SEARCH("退",INDEX(次果筐明细!$F$4:$F$603,$Z720-5200)&amp;"")),IF(N(INDEX(次果筐明细!$G$4:$G$603,$Z720-5200))=0,"",N(INDEX(次果筐明细!$G$4:$G$603,$Z720-5200))),""),"")))))</f>
        <v/>
      </c>
      <c r="Q720" s="40" t="str">
        <f>IF($Z720="","",IF($Z720&lt;=2000,"",IF($Z720&lt;=4000,IF(N(INDEX(周转筐出入库明细!$H$4:$H$2004,$Z720-2000))=0,"",N(INDEX(周转筐出入库明细!$H$4:$H$2004,$Z720-2000))),IF($Z720&lt;=5200,IF(N(INDEX(客户自备加工筐明细!$F$4:$F$1203,$Z720-4000))=0,"",N(INDEX(客户自备加工筐明细!$F$4:$F$1203,$Z720-4000))),IF($Z720&lt;=5800,"","")))))</f>
        <v/>
      </c>
      <c r="R720" s="16" t="str">
        <f>IF($Z720="","",IF($Z720&lt;=2000,IF(INDEX(包装物料出入库明细!$O$4:$O$2003,$Z720-0)=0,"",INDEX(包装物料出入库明细!$O$4:$O$2003,$Z720-0)),IF($Z720&lt;=4000,IF(INDEX(周转筐出入库明细!$M$4:$M$2004,$Z720-2000)=0,"",INDEX(周转筐出入库明细!$M$4:$M$2004,$Z720-2000)),IF($Z720&lt;=5200,IF(INDEX(客户自备加工筐明细!$H$4:$H$1203,$Z720-4000)=0,"",INDEX(客户自备加工筐明细!$H$4:$H$1203,$Z720-4000)),IF($Z720&lt;=5800,IF(INDEX(次果筐明细!$H$4:$H$603,$Z720-5200)=0,"",INDEX(次果筐明细!$H$4:$H$603,$Z720-5200)),"")))))</f>
        <v/>
      </c>
      <c r="S720" s="22" t="str">
        <f t="shared" si="35"/>
        <v/>
      </c>
      <c r="Z720" s="10" t="str">
        <f>IFERROR(MATCH(ROW()-3,_自动清单!$CQ$4:$CQ$5803,0),"")</f>
        <v/>
      </c>
    </row>
    <row r="721" spans="1:26">
      <c r="A721" s="24" t="str">
        <f t="shared" si="33"/>
        <v/>
      </c>
      <c r="B721" s="38" t="str">
        <f>IF($Z721="","",IF($Z721&lt;=2000,IF(INDEX(包装物料出入库明细!$B$4:$B$2003,$Z721-0)=0,"",INDEX(包装物料出入库明细!$B$4:$B$2003,$Z721-0)),IF($Z721&lt;=4000,IF(INDEX(周转筐出入库明细!$B$4:$B$2004,$Z721-2000)=0,"",INDEX(周转筐出入库明细!$B$4:$B$2004,$Z721-2000)),IF($Z721&lt;=5200,IF(INDEX(客户自备加工筐明细!$B$4:$B$1203,$Z721-4000)=0,"",INDEX(客户自备加工筐明细!$B$4:$B$1203,$Z721-4000)),IF($Z721&lt;=5800,IF(INDEX(次果筐明细!$B$4:$B$603,$Z721-5200)=0,"",INDEX(次果筐明细!$B$4:$B$603,$Z721-5200)),"")))))</f>
        <v/>
      </c>
      <c r="C721" s="37" t="str">
        <f>IF($Z721="","",IF($Z721&lt;=2000,IF(INDEX(包装物料出入库明细!$D$4:$D$2003,$Z721-0)=0,"",INDEX(包装物料出入库明细!$D$4:$D$2003,$Z721-0)),IF($Z721&lt;=4000,IF(INDEX(周转筐出入库明细!$C$4:$C$2004,$Z721-2000)=0,"",INDEX(周转筐出入库明细!$C$4:$C$2004,$Z721-2000)),IF($Z721&lt;=5200,IF(INDEX(客户自备加工筐明细!$E$4:$E$1203,$Z721-4000)=0,"",INDEX(客户自备加工筐明细!$E$4:$E$1203,$Z721-4000)),IF($Z721&lt;=5800,IF(INDEX(次果筐明细!$C$4:$C$603,$Z721-5200)=0,"",INDEX(次果筐明细!$C$4:$C$603,$Z721-5200)),"")))))</f>
        <v/>
      </c>
      <c r="D721" s="37" t="str">
        <f>IF($Z721="","",IF($Z721&lt;=2000,"包装物料－"&amp;INDEX(包装物料出入库明细!$H$4:$H$2003,$Z721-0),IF($Z721&lt;=4000,"周转筐－"&amp;INDEX(周转筐出入库明细!$F$4:$F$2004,$Z721-2000),IF($Z721&lt;=5200,"客户自备筐－"&amp;INDEX(客户自备加工筐明细!$J$4:$J$1203,$Z721-4000),IF($Z721&lt;=5800,"次果筐/托盘－"&amp;INDEX(次果筐明细!$F$4:$F$603,$Z721-5200),"")))))</f>
        <v/>
      </c>
      <c r="E721" s="24" t="str">
        <f>IF($Z721="","",IF($Z721&lt;=2000,IF(INDEX(包装物料出入库明细!$C$4:$C$2003,$Z721-0)=0,"",INDEX(包装物料出入库明细!$C$4:$C$2003,$Z721-0)),IF($Z721&lt;=4000,IF(INDEX(周转筐出入库明细!$E$4:$E$2004,$Z721-2000)=0,"",INDEX(周转筐出入库明细!$E$4:$E$2004,$Z721-2000)),IF($Z721&lt;=5200,IF(INDEX(客户自备加工筐明细!$D$4:$D$1203,$Z721-4000)=0,"",INDEX(客户自备加工筐明细!$D$4:$D$1203,$Z721-4000)),IF($Z721&lt;=5800,IF(INDEX(次果筐明细!$E$4:$E$603,$Z721-5200)=0,"",INDEX(次果筐明细!$E$4:$E$603,$Z721-5200)),"")))))</f>
        <v/>
      </c>
      <c r="F721" s="24" t="str">
        <f>IF($Z721="","",IF($Z721&lt;=2000,IF(INDEX(包装物料出入库明细!$E$4:$E$2003,$Z721-0)=0,"",INDEX(包装物料出入库明细!$E$4:$E$2003,$Z721-0)),IF($Z721&lt;=4000,IF(INDEX(周转筐出入库明细!$D$4:$D$2004,$Z721-2000)=0,"",INDEX(周转筐出入库明细!$D$4:$D$2004,$Z721-2000)),IF($Z721&lt;=5200,IF(INDEX(客户自备加工筐明细!$C$4:$C$1203,$Z721-4000)=0,"",INDEX(客户自备加工筐明细!$C$4:$C$1203,$Z721-4000)),IF($Z721&lt;=5800,IF(INDEX(次果筐明细!$D$4:$D$603,$Z721-5200)=0,"",INDEX(次果筐明细!$D$4:$D$603,$Z721-5200)),"")))))</f>
        <v/>
      </c>
      <c r="G721" s="24" t="str">
        <f>IF($Z721="","",IF($Z721&lt;=2000,IF(INDEX(包装物料出入库明细!$F$4:$F$2003,$Z721-0)=0,"",INDEX(包装物料出入库明细!$F$4:$F$2003,$Z721-0)),IF($Z721&lt;=4000,"",IF($Z721&lt;=5200,"",IF($Z721&lt;=5800,"","")))))</f>
        <v/>
      </c>
      <c r="H721" s="39" t="str">
        <f>IF($Z721="","",IF($Z721&lt;=2000,IF(INDEX(包装物料出入库明细!$L$4:$L$2003,$Z721-0)=0,"",INDEX(包装物料出入库明细!$L$4:$L$2003,$Z721-0)),IF($Z721&lt;=4000,N(INDEX(周转筐出入库明细!$H$4:$H$2004,$Z721-2000))+N(INDEX(周转筐出入库明细!$I$4:$I$2004,$Z721-2000))+N(INDEX(周转筐出入库明细!$J$4:$J$2004,$Z721-2000))+N(INDEX(周转筐出入库明细!$K$4:$K$2004,$Z721-2000)),IF($Z721&lt;=5200,N(INDEX(客户自备加工筐明细!$F$4:$F$1203,$Z721-4000))+N(INDEX(客户自备加工筐明细!$G$4:$G$1203,$Z721-4000)),IF($Z721&lt;=5800,IF(INDEX(次果筐明细!$G$4:$G$603,$Z721-5200)=0,"",INDEX(次果筐明细!$G$4:$G$603,$Z721-5200)),"")))))</f>
        <v/>
      </c>
      <c r="I721" s="24" t="str">
        <f>IF($Z721="","",IF($Z721&lt;=2000,IF(INDEX(包装物料出入库明细!$G$4:$G$2003,$Z721-0)=0,"",INDEX(包装物料出入库明细!$G$4:$G$2003,$Z721-0)),IF($Z721&lt;=4000,"个",IF($Z721&lt;=5200,"个",IF($Z721&lt;=5800,"个","")))))</f>
        <v/>
      </c>
      <c r="J721" s="30" t="str">
        <f t="shared" si="34"/>
        <v/>
      </c>
      <c r="K721" s="30" t="str">
        <f>IF($Z721="","",IF($Z721&lt;=2000,IF(INDEX(包装物料出入库明细!$N$4:$N$2003,$Z721-0)=0,"",INDEX(包装物料出入库明细!$N$4:$N$2003,$Z721-0)),IF($Z721&lt;=4000,IF(INDEX(周转筐出入库明细!$P$4:$P$2004,$Z721-2000)=0,"",INDEX(周转筐出入库明细!$P$4:$P$2004,$Z721-2000)),IF($Z721&lt;=5200,"",IF($Z721&lt;=5800,N(INDEX(次果筐明细!$L$4:$L$603,$Z721-5200))+N(INDEX(次果筐明细!$J$4:$J$603,$Z721-5200)),"")))))</f>
        <v/>
      </c>
      <c r="L721" s="24" t="str">
        <f>IF($Z721="","",IF($Z721&lt;=2000,IF(INDEX(包装物料出入库明细!$P$4:$P$2003,$Z721-0)=0,"",INDEX(包装物料出入库明细!$P$4:$P$2003,$Z721-0)),IF($Z721&lt;=4000,IF(INDEX(周转筐出入库明细!$Q$4:$Q$2004,$Z721-2000)=0,"",INDEX(周转筐出入库明细!$Q$4:$Q$2004,$Z721-2000)),IF($Z721&lt;=5200,"",IF($Z721&lt;=5800,IF(INDEX(次果筐明细!$M$4:$M$603,$Z721-5200)=0,"",INDEX(次果筐明细!$M$4:$M$603,$Z721-5200)),"")))))</f>
        <v/>
      </c>
      <c r="M721" s="37" t="str">
        <f>IF($Z721="","",IF($Z721&lt;=2000,IF(INDEX(包装物料出入库明细!$R$4:$R$2003,$Z721-0)=0,"",INDEX(包装物料出入库明细!$R$4:$R$2003,$Z721-0)),IF($Z721&lt;=4000,IF(INDEX(周转筐出入库明细!$W$4:$W$2004,$Z721-2000)=0,"",INDEX(周转筐出入库明细!$W$4:$W$2004,$Z721-2000)),IF($Z721&lt;=5200,IF(INDEX(客户自备加工筐明细!$L$4:$L$1203,$Z721-4000)=0,"",INDEX(客户自备加工筐明细!$L$4:$L$1203,$Z721-4000)),IF($Z721&lt;=5800,IF(INDEX(次果筐明细!$P$4:$P$603,$Z721-5200)=0,"",INDEX(次果筐明细!$P$4:$P$603,$Z721-5200)),"")))))</f>
        <v/>
      </c>
      <c r="N721" s="16" t="str">
        <f>IF($Z721="","",IF($Z721&lt;=2000,"",IF($Z721&lt;=4000,IF(INDEX(周转筐出入库明细!$D$4:$D$2004,$Z721-2000)=0,"",INDEX(周转筐出入库明细!$D$4:$D$2004,$Z721-2000)),IF($Z721&lt;=5200,IF(INDEX(客户自备加工筐明细!$C$4:$C$1203,$Z721-4000)=0,"",INDEX(客户自备加工筐明细!$C$4:$C$1203,$Z721-4000)),IF($Z721&lt;=5800,IF(INDEX(次果筐明细!$D$4:$D$603,$Z721-5200)=0,"",INDEX(次果筐明细!$D$4:$D$603,$Z721-5200)),"")))))</f>
        <v/>
      </c>
      <c r="O721" s="40" t="str">
        <f>IF($Z721="","",IF($Z721&lt;=2000,"",IF($Z721&lt;=4000,IF(N(INDEX(周转筐出入库明细!$J$4:$J$2004,$Z721-2000))+N(INDEX(周转筐出入库明细!$K$4:$K$2004,$Z721-2000))=0,"",N(INDEX(周转筐出入库明细!$J$4:$J$2004,$Z721-2000))+N(INDEX(周转筐出入库明细!$K$4:$K$2004,$Z721-2000))),IF($Z721&lt;=5200,IF(N(INDEX(客户自备加工筐明细!$G$4:$G$1203,$Z721-4000))=0,"",N(INDEX(客户自备加工筐明细!$G$4:$G$1203,$Z721-4000))),IF($Z721&lt;=5800,IF(ISNUMBER(SEARCH("退",INDEX(次果筐明细!$F$4:$F$603,$Z721-5200)&amp;"")),"",IF(N(INDEX(次果筐明细!$G$4:$G$603,$Z721-5200))=0,"",N(INDEX(次果筐明细!$G$4:$G$603,$Z721-5200)))),"")))))</f>
        <v/>
      </c>
      <c r="P721" s="40" t="str">
        <f>IF($Z721="","",IF($Z721&lt;=2000,"",IF($Z721&lt;=4000,IF(N(INDEX(周转筐出入库明细!$I$4:$I$2004,$Z721-2000))=0,"",N(INDEX(周转筐出入库明细!$I$4:$I$2004,$Z721-2000))),IF($Z721&lt;=5200,"",IF($Z721&lt;=5800,IF(ISNUMBER(SEARCH("退",INDEX(次果筐明细!$F$4:$F$603,$Z721-5200)&amp;"")),IF(N(INDEX(次果筐明细!$G$4:$G$603,$Z721-5200))=0,"",N(INDEX(次果筐明细!$G$4:$G$603,$Z721-5200))),""),"")))))</f>
        <v/>
      </c>
      <c r="Q721" s="40" t="str">
        <f>IF($Z721="","",IF($Z721&lt;=2000,"",IF($Z721&lt;=4000,IF(N(INDEX(周转筐出入库明细!$H$4:$H$2004,$Z721-2000))=0,"",N(INDEX(周转筐出入库明细!$H$4:$H$2004,$Z721-2000))),IF($Z721&lt;=5200,IF(N(INDEX(客户自备加工筐明细!$F$4:$F$1203,$Z721-4000))=0,"",N(INDEX(客户自备加工筐明细!$F$4:$F$1203,$Z721-4000))),IF($Z721&lt;=5800,"","")))))</f>
        <v/>
      </c>
      <c r="R721" s="16" t="str">
        <f>IF($Z721="","",IF($Z721&lt;=2000,IF(INDEX(包装物料出入库明细!$O$4:$O$2003,$Z721-0)=0,"",INDEX(包装物料出入库明细!$O$4:$O$2003,$Z721-0)),IF($Z721&lt;=4000,IF(INDEX(周转筐出入库明细!$M$4:$M$2004,$Z721-2000)=0,"",INDEX(周转筐出入库明细!$M$4:$M$2004,$Z721-2000)),IF($Z721&lt;=5200,IF(INDEX(客户自备加工筐明细!$H$4:$H$1203,$Z721-4000)=0,"",INDEX(客户自备加工筐明细!$H$4:$H$1203,$Z721-4000)),IF($Z721&lt;=5800,IF(INDEX(次果筐明细!$H$4:$H$603,$Z721-5200)=0,"",INDEX(次果筐明细!$H$4:$H$603,$Z721-5200)),"")))))</f>
        <v/>
      </c>
      <c r="S721" s="22" t="str">
        <f t="shared" si="35"/>
        <v/>
      </c>
      <c r="Z721" s="10" t="str">
        <f>IFERROR(MATCH(ROW()-3,_自动清单!$CQ$4:$CQ$5803,0),"")</f>
        <v/>
      </c>
    </row>
    <row r="722" spans="1:26">
      <c r="A722" s="24" t="str">
        <f t="shared" si="33"/>
        <v/>
      </c>
      <c r="B722" s="38" t="str">
        <f>IF($Z722="","",IF($Z722&lt;=2000,IF(INDEX(包装物料出入库明细!$B$4:$B$2003,$Z722-0)=0,"",INDEX(包装物料出入库明细!$B$4:$B$2003,$Z722-0)),IF($Z722&lt;=4000,IF(INDEX(周转筐出入库明细!$B$4:$B$2004,$Z722-2000)=0,"",INDEX(周转筐出入库明细!$B$4:$B$2004,$Z722-2000)),IF($Z722&lt;=5200,IF(INDEX(客户自备加工筐明细!$B$4:$B$1203,$Z722-4000)=0,"",INDEX(客户自备加工筐明细!$B$4:$B$1203,$Z722-4000)),IF($Z722&lt;=5800,IF(INDEX(次果筐明细!$B$4:$B$603,$Z722-5200)=0,"",INDEX(次果筐明细!$B$4:$B$603,$Z722-5200)),"")))))</f>
        <v/>
      </c>
      <c r="C722" s="37" t="str">
        <f>IF($Z722="","",IF($Z722&lt;=2000,IF(INDEX(包装物料出入库明细!$D$4:$D$2003,$Z722-0)=0,"",INDEX(包装物料出入库明细!$D$4:$D$2003,$Z722-0)),IF($Z722&lt;=4000,IF(INDEX(周转筐出入库明细!$C$4:$C$2004,$Z722-2000)=0,"",INDEX(周转筐出入库明细!$C$4:$C$2004,$Z722-2000)),IF($Z722&lt;=5200,IF(INDEX(客户自备加工筐明细!$E$4:$E$1203,$Z722-4000)=0,"",INDEX(客户自备加工筐明细!$E$4:$E$1203,$Z722-4000)),IF($Z722&lt;=5800,IF(INDEX(次果筐明细!$C$4:$C$603,$Z722-5200)=0,"",INDEX(次果筐明细!$C$4:$C$603,$Z722-5200)),"")))))</f>
        <v/>
      </c>
      <c r="D722" s="37" t="str">
        <f>IF($Z722="","",IF($Z722&lt;=2000,"包装物料－"&amp;INDEX(包装物料出入库明细!$H$4:$H$2003,$Z722-0),IF($Z722&lt;=4000,"周转筐－"&amp;INDEX(周转筐出入库明细!$F$4:$F$2004,$Z722-2000),IF($Z722&lt;=5200,"客户自备筐－"&amp;INDEX(客户自备加工筐明细!$J$4:$J$1203,$Z722-4000),IF($Z722&lt;=5800,"次果筐/托盘－"&amp;INDEX(次果筐明细!$F$4:$F$603,$Z722-5200),"")))))</f>
        <v/>
      </c>
      <c r="E722" s="24" t="str">
        <f>IF($Z722="","",IF($Z722&lt;=2000,IF(INDEX(包装物料出入库明细!$C$4:$C$2003,$Z722-0)=0,"",INDEX(包装物料出入库明细!$C$4:$C$2003,$Z722-0)),IF($Z722&lt;=4000,IF(INDEX(周转筐出入库明细!$E$4:$E$2004,$Z722-2000)=0,"",INDEX(周转筐出入库明细!$E$4:$E$2004,$Z722-2000)),IF($Z722&lt;=5200,IF(INDEX(客户自备加工筐明细!$D$4:$D$1203,$Z722-4000)=0,"",INDEX(客户自备加工筐明细!$D$4:$D$1203,$Z722-4000)),IF($Z722&lt;=5800,IF(INDEX(次果筐明细!$E$4:$E$603,$Z722-5200)=0,"",INDEX(次果筐明细!$E$4:$E$603,$Z722-5200)),"")))))</f>
        <v/>
      </c>
      <c r="F722" s="24" t="str">
        <f>IF($Z722="","",IF($Z722&lt;=2000,IF(INDEX(包装物料出入库明细!$E$4:$E$2003,$Z722-0)=0,"",INDEX(包装物料出入库明细!$E$4:$E$2003,$Z722-0)),IF($Z722&lt;=4000,IF(INDEX(周转筐出入库明细!$D$4:$D$2004,$Z722-2000)=0,"",INDEX(周转筐出入库明细!$D$4:$D$2004,$Z722-2000)),IF($Z722&lt;=5200,IF(INDEX(客户自备加工筐明细!$C$4:$C$1203,$Z722-4000)=0,"",INDEX(客户自备加工筐明细!$C$4:$C$1203,$Z722-4000)),IF($Z722&lt;=5800,IF(INDEX(次果筐明细!$D$4:$D$603,$Z722-5200)=0,"",INDEX(次果筐明细!$D$4:$D$603,$Z722-5200)),"")))))</f>
        <v/>
      </c>
      <c r="G722" s="24" t="str">
        <f>IF($Z722="","",IF($Z722&lt;=2000,IF(INDEX(包装物料出入库明细!$F$4:$F$2003,$Z722-0)=0,"",INDEX(包装物料出入库明细!$F$4:$F$2003,$Z722-0)),IF($Z722&lt;=4000,"",IF($Z722&lt;=5200,"",IF($Z722&lt;=5800,"","")))))</f>
        <v/>
      </c>
      <c r="H722" s="39" t="str">
        <f>IF($Z722="","",IF($Z722&lt;=2000,IF(INDEX(包装物料出入库明细!$L$4:$L$2003,$Z722-0)=0,"",INDEX(包装物料出入库明细!$L$4:$L$2003,$Z722-0)),IF($Z722&lt;=4000,N(INDEX(周转筐出入库明细!$H$4:$H$2004,$Z722-2000))+N(INDEX(周转筐出入库明细!$I$4:$I$2004,$Z722-2000))+N(INDEX(周转筐出入库明细!$J$4:$J$2004,$Z722-2000))+N(INDEX(周转筐出入库明细!$K$4:$K$2004,$Z722-2000)),IF($Z722&lt;=5200,N(INDEX(客户自备加工筐明细!$F$4:$F$1203,$Z722-4000))+N(INDEX(客户自备加工筐明细!$G$4:$G$1203,$Z722-4000)),IF($Z722&lt;=5800,IF(INDEX(次果筐明细!$G$4:$G$603,$Z722-5200)=0,"",INDEX(次果筐明细!$G$4:$G$603,$Z722-5200)),"")))))</f>
        <v/>
      </c>
      <c r="I722" s="24" t="str">
        <f>IF($Z722="","",IF($Z722&lt;=2000,IF(INDEX(包装物料出入库明细!$G$4:$G$2003,$Z722-0)=0,"",INDEX(包装物料出入库明细!$G$4:$G$2003,$Z722-0)),IF($Z722&lt;=4000,"个",IF($Z722&lt;=5200,"个",IF($Z722&lt;=5800,"个","")))))</f>
        <v/>
      </c>
      <c r="J722" s="30" t="str">
        <f t="shared" si="34"/>
        <v/>
      </c>
      <c r="K722" s="30" t="str">
        <f>IF($Z722="","",IF($Z722&lt;=2000,IF(INDEX(包装物料出入库明细!$N$4:$N$2003,$Z722-0)=0,"",INDEX(包装物料出入库明细!$N$4:$N$2003,$Z722-0)),IF($Z722&lt;=4000,IF(INDEX(周转筐出入库明细!$P$4:$P$2004,$Z722-2000)=0,"",INDEX(周转筐出入库明细!$P$4:$P$2004,$Z722-2000)),IF($Z722&lt;=5200,"",IF($Z722&lt;=5800,N(INDEX(次果筐明细!$L$4:$L$603,$Z722-5200))+N(INDEX(次果筐明细!$J$4:$J$603,$Z722-5200)),"")))))</f>
        <v/>
      </c>
      <c r="L722" s="24" t="str">
        <f>IF($Z722="","",IF($Z722&lt;=2000,IF(INDEX(包装物料出入库明细!$P$4:$P$2003,$Z722-0)=0,"",INDEX(包装物料出入库明细!$P$4:$P$2003,$Z722-0)),IF($Z722&lt;=4000,IF(INDEX(周转筐出入库明细!$Q$4:$Q$2004,$Z722-2000)=0,"",INDEX(周转筐出入库明细!$Q$4:$Q$2004,$Z722-2000)),IF($Z722&lt;=5200,"",IF($Z722&lt;=5800,IF(INDEX(次果筐明细!$M$4:$M$603,$Z722-5200)=0,"",INDEX(次果筐明细!$M$4:$M$603,$Z722-5200)),"")))))</f>
        <v/>
      </c>
      <c r="M722" s="37" t="str">
        <f>IF($Z722="","",IF($Z722&lt;=2000,IF(INDEX(包装物料出入库明细!$R$4:$R$2003,$Z722-0)=0,"",INDEX(包装物料出入库明细!$R$4:$R$2003,$Z722-0)),IF($Z722&lt;=4000,IF(INDEX(周转筐出入库明细!$W$4:$W$2004,$Z722-2000)=0,"",INDEX(周转筐出入库明细!$W$4:$W$2004,$Z722-2000)),IF($Z722&lt;=5200,IF(INDEX(客户自备加工筐明细!$L$4:$L$1203,$Z722-4000)=0,"",INDEX(客户自备加工筐明细!$L$4:$L$1203,$Z722-4000)),IF($Z722&lt;=5800,IF(INDEX(次果筐明细!$P$4:$P$603,$Z722-5200)=0,"",INDEX(次果筐明细!$P$4:$P$603,$Z722-5200)),"")))))</f>
        <v/>
      </c>
      <c r="N722" s="16" t="str">
        <f>IF($Z722="","",IF($Z722&lt;=2000,"",IF($Z722&lt;=4000,IF(INDEX(周转筐出入库明细!$D$4:$D$2004,$Z722-2000)=0,"",INDEX(周转筐出入库明细!$D$4:$D$2004,$Z722-2000)),IF($Z722&lt;=5200,IF(INDEX(客户自备加工筐明细!$C$4:$C$1203,$Z722-4000)=0,"",INDEX(客户自备加工筐明细!$C$4:$C$1203,$Z722-4000)),IF($Z722&lt;=5800,IF(INDEX(次果筐明细!$D$4:$D$603,$Z722-5200)=0,"",INDEX(次果筐明细!$D$4:$D$603,$Z722-5200)),"")))))</f>
        <v/>
      </c>
      <c r="O722" s="40" t="str">
        <f>IF($Z722="","",IF($Z722&lt;=2000,"",IF($Z722&lt;=4000,IF(N(INDEX(周转筐出入库明细!$J$4:$J$2004,$Z722-2000))+N(INDEX(周转筐出入库明细!$K$4:$K$2004,$Z722-2000))=0,"",N(INDEX(周转筐出入库明细!$J$4:$J$2004,$Z722-2000))+N(INDEX(周转筐出入库明细!$K$4:$K$2004,$Z722-2000))),IF($Z722&lt;=5200,IF(N(INDEX(客户自备加工筐明细!$G$4:$G$1203,$Z722-4000))=0,"",N(INDEX(客户自备加工筐明细!$G$4:$G$1203,$Z722-4000))),IF($Z722&lt;=5800,IF(ISNUMBER(SEARCH("退",INDEX(次果筐明细!$F$4:$F$603,$Z722-5200)&amp;"")),"",IF(N(INDEX(次果筐明细!$G$4:$G$603,$Z722-5200))=0,"",N(INDEX(次果筐明细!$G$4:$G$603,$Z722-5200)))),"")))))</f>
        <v/>
      </c>
      <c r="P722" s="40" t="str">
        <f>IF($Z722="","",IF($Z722&lt;=2000,"",IF($Z722&lt;=4000,IF(N(INDEX(周转筐出入库明细!$I$4:$I$2004,$Z722-2000))=0,"",N(INDEX(周转筐出入库明细!$I$4:$I$2004,$Z722-2000))),IF($Z722&lt;=5200,"",IF($Z722&lt;=5800,IF(ISNUMBER(SEARCH("退",INDEX(次果筐明细!$F$4:$F$603,$Z722-5200)&amp;"")),IF(N(INDEX(次果筐明细!$G$4:$G$603,$Z722-5200))=0,"",N(INDEX(次果筐明细!$G$4:$G$603,$Z722-5200))),""),"")))))</f>
        <v/>
      </c>
      <c r="Q722" s="40" t="str">
        <f>IF($Z722="","",IF($Z722&lt;=2000,"",IF($Z722&lt;=4000,IF(N(INDEX(周转筐出入库明细!$H$4:$H$2004,$Z722-2000))=0,"",N(INDEX(周转筐出入库明细!$H$4:$H$2004,$Z722-2000))),IF($Z722&lt;=5200,IF(N(INDEX(客户自备加工筐明细!$F$4:$F$1203,$Z722-4000))=0,"",N(INDEX(客户自备加工筐明细!$F$4:$F$1203,$Z722-4000))),IF($Z722&lt;=5800,"","")))))</f>
        <v/>
      </c>
      <c r="R722" s="16" t="str">
        <f>IF($Z722="","",IF($Z722&lt;=2000,IF(INDEX(包装物料出入库明细!$O$4:$O$2003,$Z722-0)=0,"",INDEX(包装物料出入库明细!$O$4:$O$2003,$Z722-0)),IF($Z722&lt;=4000,IF(INDEX(周转筐出入库明细!$M$4:$M$2004,$Z722-2000)=0,"",INDEX(周转筐出入库明细!$M$4:$M$2004,$Z722-2000)),IF($Z722&lt;=5200,IF(INDEX(客户自备加工筐明细!$H$4:$H$1203,$Z722-4000)=0,"",INDEX(客户自备加工筐明细!$H$4:$H$1203,$Z722-4000)),IF($Z722&lt;=5800,IF(INDEX(次果筐明细!$H$4:$H$603,$Z722-5200)=0,"",INDEX(次果筐明细!$H$4:$H$603,$Z722-5200)),"")))))</f>
        <v/>
      </c>
      <c r="S722" s="22" t="str">
        <f t="shared" si="35"/>
        <v/>
      </c>
      <c r="Z722" s="10" t="str">
        <f>IFERROR(MATCH(ROW()-3,_自动清单!$CQ$4:$CQ$5803,0),"")</f>
        <v/>
      </c>
    </row>
    <row r="723" spans="1:26">
      <c r="A723" s="24" t="str">
        <f t="shared" si="33"/>
        <v/>
      </c>
      <c r="B723" s="38" t="str">
        <f>IF($Z723="","",IF($Z723&lt;=2000,IF(INDEX(包装物料出入库明细!$B$4:$B$2003,$Z723-0)=0,"",INDEX(包装物料出入库明细!$B$4:$B$2003,$Z723-0)),IF($Z723&lt;=4000,IF(INDEX(周转筐出入库明细!$B$4:$B$2004,$Z723-2000)=0,"",INDEX(周转筐出入库明细!$B$4:$B$2004,$Z723-2000)),IF($Z723&lt;=5200,IF(INDEX(客户自备加工筐明细!$B$4:$B$1203,$Z723-4000)=0,"",INDEX(客户自备加工筐明细!$B$4:$B$1203,$Z723-4000)),IF($Z723&lt;=5800,IF(INDEX(次果筐明细!$B$4:$B$603,$Z723-5200)=0,"",INDEX(次果筐明细!$B$4:$B$603,$Z723-5200)),"")))))</f>
        <v/>
      </c>
      <c r="C723" s="37" t="str">
        <f>IF($Z723="","",IF($Z723&lt;=2000,IF(INDEX(包装物料出入库明细!$D$4:$D$2003,$Z723-0)=0,"",INDEX(包装物料出入库明细!$D$4:$D$2003,$Z723-0)),IF($Z723&lt;=4000,IF(INDEX(周转筐出入库明细!$C$4:$C$2004,$Z723-2000)=0,"",INDEX(周转筐出入库明细!$C$4:$C$2004,$Z723-2000)),IF($Z723&lt;=5200,IF(INDEX(客户自备加工筐明细!$E$4:$E$1203,$Z723-4000)=0,"",INDEX(客户自备加工筐明细!$E$4:$E$1203,$Z723-4000)),IF($Z723&lt;=5800,IF(INDEX(次果筐明细!$C$4:$C$603,$Z723-5200)=0,"",INDEX(次果筐明细!$C$4:$C$603,$Z723-5200)),"")))))</f>
        <v/>
      </c>
      <c r="D723" s="37" t="str">
        <f>IF($Z723="","",IF($Z723&lt;=2000,"包装物料－"&amp;INDEX(包装物料出入库明细!$H$4:$H$2003,$Z723-0),IF($Z723&lt;=4000,"周转筐－"&amp;INDEX(周转筐出入库明细!$F$4:$F$2004,$Z723-2000),IF($Z723&lt;=5200,"客户自备筐－"&amp;INDEX(客户自备加工筐明细!$J$4:$J$1203,$Z723-4000),IF($Z723&lt;=5800,"次果筐/托盘－"&amp;INDEX(次果筐明细!$F$4:$F$603,$Z723-5200),"")))))</f>
        <v/>
      </c>
      <c r="E723" s="24" t="str">
        <f>IF($Z723="","",IF($Z723&lt;=2000,IF(INDEX(包装物料出入库明细!$C$4:$C$2003,$Z723-0)=0,"",INDEX(包装物料出入库明细!$C$4:$C$2003,$Z723-0)),IF($Z723&lt;=4000,IF(INDEX(周转筐出入库明细!$E$4:$E$2004,$Z723-2000)=0,"",INDEX(周转筐出入库明细!$E$4:$E$2004,$Z723-2000)),IF($Z723&lt;=5200,IF(INDEX(客户自备加工筐明细!$D$4:$D$1203,$Z723-4000)=0,"",INDEX(客户自备加工筐明细!$D$4:$D$1203,$Z723-4000)),IF($Z723&lt;=5800,IF(INDEX(次果筐明细!$E$4:$E$603,$Z723-5200)=0,"",INDEX(次果筐明细!$E$4:$E$603,$Z723-5200)),"")))))</f>
        <v/>
      </c>
      <c r="F723" s="24" t="str">
        <f>IF($Z723="","",IF($Z723&lt;=2000,IF(INDEX(包装物料出入库明细!$E$4:$E$2003,$Z723-0)=0,"",INDEX(包装物料出入库明细!$E$4:$E$2003,$Z723-0)),IF($Z723&lt;=4000,IF(INDEX(周转筐出入库明细!$D$4:$D$2004,$Z723-2000)=0,"",INDEX(周转筐出入库明细!$D$4:$D$2004,$Z723-2000)),IF($Z723&lt;=5200,IF(INDEX(客户自备加工筐明细!$C$4:$C$1203,$Z723-4000)=0,"",INDEX(客户自备加工筐明细!$C$4:$C$1203,$Z723-4000)),IF($Z723&lt;=5800,IF(INDEX(次果筐明细!$D$4:$D$603,$Z723-5200)=0,"",INDEX(次果筐明细!$D$4:$D$603,$Z723-5200)),"")))))</f>
        <v/>
      </c>
      <c r="G723" s="24" t="str">
        <f>IF($Z723="","",IF($Z723&lt;=2000,IF(INDEX(包装物料出入库明细!$F$4:$F$2003,$Z723-0)=0,"",INDEX(包装物料出入库明细!$F$4:$F$2003,$Z723-0)),IF($Z723&lt;=4000,"",IF($Z723&lt;=5200,"",IF($Z723&lt;=5800,"","")))))</f>
        <v/>
      </c>
      <c r="H723" s="39" t="str">
        <f>IF($Z723="","",IF($Z723&lt;=2000,IF(INDEX(包装物料出入库明细!$L$4:$L$2003,$Z723-0)=0,"",INDEX(包装物料出入库明细!$L$4:$L$2003,$Z723-0)),IF($Z723&lt;=4000,N(INDEX(周转筐出入库明细!$H$4:$H$2004,$Z723-2000))+N(INDEX(周转筐出入库明细!$I$4:$I$2004,$Z723-2000))+N(INDEX(周转筐出入库明细!$J$4:$J$2004,$Z723-2000))+N(INDEX(周转筐出入库明细!$K$4:$K$2004,$Z723-2000)),IF($Z723&lt;=5200,N(INDEX(客户自备加工筐明细!$F$4:$F$1203,$Z723-4000))+N(INDEX(客户自备加工筐明细!$G$4:$G$1203,$Z723-4000)),IF($Z723&lt;=5800,IF(INDEX(次果筐明细!$G$4:$G$603,$Z723-5200)=0,"",INDEX(次果筐明细!$G$4:$G$603,$Z723-5200)),"")))))</f>
        <v/>
      </c>
      <c r="I723" s="24" t="str">
        <f>IF($Z723="","",IF($Z723&lt;=2000,IF(INDEX(包装物料出入库明细!$G$4:$G$2003,$Z723-0)=0,"",INDEX(包装物料出入库明细!$G$4:$G$2003,$Z723-0)),IF($Z723&lt;=4000,"个",IF($Z723&lt;=5200,"个",IF($Z723&lt;=5800,"个","")))))</f>
        <v/>
      </c>
      <c r="J723" s="30" t="str">
        <f t="shared" si="34"/>
        <v/>
      </c>
      <c r="K723" s="30" t="str">
        <f>IF($Z723="","",IF($Z723&lt;=2000,IF(INDEX(包装物料出入库明细!$N$4:$N$2003,$Z723-0)=0,"",INDEX(包装物料出入库明细!$N$4:$N$2003,$Z723-0)),IF($Z723&lt;=4000,IF(INDEX(周转筐出入库明细!$P$4:$P$2004,$Z723-2000)=0,"",INDEX(周转筐出入库明细!$P$4:$P$2004,$Z723-2000)),IF($Z723&lt;=5200,"",IF($Z723&lt;=5800,N(INDEX(次果筐明细!$L$4:$L$603,$Z723-5200))+N(INDEX(次果筐明细!$J$4:$J$603,$Z723-5200)),"")))))</f>
        <v/>
      </c>
      <c r="L723" s="24" t="str">
        <f>IF($Z723="","",IF($Z723&lt;=2000,IF(INDEX(包装物料出入库明细!$P$4:$P$2003,$Z723-0)=0,"",INDEX(包装物料出入库明细!$P$4:$P$2003,$Z723-0)),IF($Z723&lt;=4000,IF(INDEX(周转筐出入库明细!$Q$4:$Q$2004,$Z723-2000)=0,"",INDEX(周转筐出入库明细!$Q$4:$Q$2004,$Z723-2000)),IF($Z723&lt;=5200,"",IF($Z723&lt;=5800,IF(INDEX(次果筐明细!$M$4:$M$603,$Z723-5200)=0,"",INDEX(次果筐明细!$M$4:$M$603,$Z723-5200)),"")))))</f>
        <v/>
      </c>
      <c r="M723" s="37" t="str">
        <f>IF($Z723="","",IF($Z723&lt;=2000,IF(INDEX(包装物料出入库明细!$R$4:$R$2003,$Z723-0)=0,"",INDEX(包装物料出入库明细!$R$4:$R$2003,$Z723-0)),IF($Z723&lt;=4000,IF(INDEX(周转筐出入库明细!$W$4:$W$2004,$Z723-2000)=0,"",INDEX(周转筐出入库明细!$W$4:$W$2004,$Z723-2000)),IF($Z723&lt;=5200,IF(INDEX(客户自备加工筐明细!$L$4:$L$1203,$Z723-4000)=0,"",INDEX(客户自备加工筐明细!$L$4:$L$1203,$Z723-4000)),IF($Z723&lt;=5800,IF(INDEX(次果筐明细!$P$4:$P$603,$Z723-5200)=0,"",INDEX(次果筐明细!$P$4:$P$603,$Z723-5200)),"")))))</f>
        <v/>
      </c>
      <c r="N723" s="16" t="str">
        <f>IF($Z723="","",IF($Z723&lt;=2000,"",IF($Z723&lt;=4000,IF(INDEX(周转筐出入库明细!$D$4:$D$2004,$Z723-2000)=0,"",INDEX(周转筐出入库明细!$D$4:$D$2004,$Z723-2000)),IF($Z723&lt;=5200,IF(INDEX(客户自备加工筐明细!$C$4:$C$1203,$Z723-4000)=0,"",INDEX(客户自备加工筐明细!$C$4:$C$1203,$Z723-4000)),IF($Z723&lt;=5800,IF(INDEX(次果筐明细!$D$4:$D$603,$Z723-5200)=0,"",INDEX(次果筐明细!$D$4:$D$603,$Z723-5200)),"")))))</f>
        <v/>
      </c>
      <c r="O723" s="40" t="str">
        <f>IF($Z723="","",IF($Z723&lt;=2000,"",IF($Z723&lt;=4000,IF(N(INDEX(周转筐出入库明细!$J$4:$J$2004,$Z723-2000))+N(INDEX(周转筐出入库明细!$K$4:$K$2004,$Z723-2000))=0,"",N(INDEX(周转筐出入库明细!$J$4:$J$2004,$Z723-2000))+N(INDEX(周转筐出入库明细!$K$4:$K$2004,$Z723-2000))),IF($Z723&lt;=5200,IF(N(INDEX(客户自备加工筐明细!$G$4:$G$1203,$Z723-4000))=0,"",N(INDEX(客户自备加工筐明细!$G$4:$G$1203,$Z723-4000))),IF($Z723&lt;=5800,IF(ISNUMBER(SEARCH("退",INDEX(次果筐明细!$F$4:$F$603,$Z723-5200)&amp;"")),"",IF(N(INDEX(次果筐明细!$G$4:$G$603,$Z723-5200))=0,"",N(INDEX(次果筐明细!$G$4:$G$603,$Z723-5200)))),"")))))</f>
        <v/>
      </c>
      <c r="P723" s="40" t="str">
        <f>IF($Z723="","",IF($Z723&lt;=2000,"",IF($Z723&lt;=4000,IF(N(INDEX(周转筐出入库明细!$I$4:$I$2004,$Z723-2000))=0,"",N(INDEX(周转筐出入库明细!$I$4:$I$2004,$Z723-2000))),IF($Z723&lt;=5200,"",IF($Z723&lt;=5800,IF(ISNUMBER(SEARCH("退",INDEX(次果筐明细!$F$4:$F$603,$Z723-5200)&amp;"")),IF(N(INDEX(次果筐明细!$G$4:$G$603,$Z723-5200))=0,"",N(INDEX(次果筐明细!$G$4:$G$603,$Z723-5200))),""),"")))))</f>
        <v/>
      </c>
      <c r="Q723" s="40" t="str">
        <f>IF($Z723="","",IF($Z723&lt;=2000,"",IF($Z723&lt;=4000,IF(N(INDEX(周转筐出入库明细!$H$4:$H$2004,$Z723-2000))=0,"",N(INDEX(周转筐出入库明细!$H$4:$H$2004,$Z723-2000))),IF($Z723&lt;=5200,IF(N(INDEX(客户自备加工筐明细!$F$4:$F$1203,$Z723-4000))=0,"",N(INDEX(客户自备加工筐明细!$F$4:$F$1203,$Z723-4000))),IF($Z723&lt;=5800,"","")))))</f>
        <v/>
      </c>
      <c r="R723" s="16" t="str">
        <f>IF($Z723="","",IF($Z723&lt;=2000,IF(INDEX(包装物料出入库明细!$O$4:$O$2003,$Z723-0)=0,"",INDEX(包装物料出入库明细!$O$4:$O$2003,$Z723-0)),IF($Z723&lt;=4000,IF(INDEX(周转筐出入库明细!$M$4:$M$2004,$Z723-2000)=0,"",INDEX(周转筐出入库明细!$M$4:$M$2004,$Z723-2000)),IF($Z723&lt;=5200,IF(INDEX(客户自备加工筐明细!$H$4:$H$1203,$Z723-4000)=0,"",INDEX(客户自备加工筐明细!$H$4:$H$1203,$Z723-4000)),IF($Z723&lt;=5800,IF(INDEX(次果筐明细!$H$4:$H$603,$Z723-5200)=0,"",INDEX(次果筐明细!$H$4:$H$603,$Z723-5200)),"")))))</f>
        <v/>
      </c>
      <c r="S723" s="22" t="str">
        <f t="shared" si="35"/>
        <v/>
      </c>
      <c r="Z723" s="10" t="str">
        <f>IFERROR(MATCH(ROW()-3,_自动清单!$CQ$4:$CQ$5803,0),"")</f>
        <v/>
      </c>
    </row>
    <row r="724" spans="1:26">
      <c r="A724" s="24" t="str">
        <f t="shared" si="33"/>
        <v/>
      </c>
      <c r="B724" s="38" t="str">
        <f>IF($Z724="","",IF($Z724&lt;=2000,IF(INDEX(包装物料出入库明细!$B$4:$B$2003,$Z724-0)=0,"",INDEX(包装物料出入库明细!$B$4:$B$2003,$Z724-0)),IF($Z724&lt;=4000,IF(INDEX(周转筐出入库明细!$B$4:$B$2004,$Z724-2000)=0,"",INDEX(周转筐出入库明细!$B$4:$B$2004,$Z724-2000)),IF($Z724&lt;=5200,IF(INDEX(客户自备加工筐明细!$B$4:$B$1203,$Z724-4000)=0,"",INDEX(客户自备加工筐明细!$B$4:$B$1203,$Z724-4000)),IF($Z724&lt;=5800,IF(INDEX(次果筐明细!$B$4:$B$603,$Z724-5200)=0,"",INDEX(次果筐明细!$B$4:$B$603,$Z724-5200)),"")))))</f>
        <v/>
      </c>
      <c r="C724" s="37" t="str">
        <f>IF($Z724="","",IF($Z724&lt;=2000,IF(INDEX(包装物料出入库明细!$D$4:$D$2003,$Z724-0)=0,"",INDEX(包装物料出入库明细!$D$4:$D$2003,$Z724-0)),IF($Z724&lt;=4000,IF(INDEX(周转筐出入库明细!$C$4:$C$2004,$Z724-2000)=0,"",INDEX(周转筐出入库明细!$C$4:$C$2004,$Z724-2000)),IF($Z724&lt;=5200,IF(INDEX(客户自备加工筐明细!$E$4:$E$1203,$Z724-4000)=0,"",INDEX(客户自备加工筐明细!$E$4:$E$1203,$Z724-4000)),IF($Z724&lt;=5800,IF(INDEX(次果筐明细!$C$4:$C$603,$Z724-5200)=0,"",INDEX(次果筐明细!$C$4:$C$603,$Z724-5200)),"")))))</f>
        <v/>
      </c>
      <c r="D724" s="37" t="str">
        <f>IF($Z724="","",IF($Z724&lt;=2000,"包装物料－"&amp;INDEX(包装物料出入库明细!$H$4:$H$2003,$Z724-0),IF($Z724&lt;=4000,"周转筐－"&amp;INDEX(周转筐出入库明细!$F$4:$F$2004,$Z724-2000),IF($Z724&lt;=5200,"客户自备筐－"&amp;INDEX(客户自备加工筐明细!$J$4:$J$1203,$Z724-4000),IF($Z724&lt;=5800,"次果筐/托盘－"&amp;INDEX(次果筐明细!$F$4:$F$603,$Z724-5200),"")))))</f>
        <v/>
      </c>
      <c r="E724" s="24" t="str">
        <f>IF($Z724="","",IF($Z724&lt;=2000,IF(INDEX(包装物料出入库明细!$C$4:$C$2003,$Z724-0)=0,"",INDEX(包装物料出入库明细!$C$4:$C$2003,$Z724-0)),IF($Z724&lt;=4000,IF(INDEX(周转筐出入库明细!$E$4:$E$2004,$Z724-2000)=0,"",INDEX(周转筐出入库明细!$E$4:$E$2004,$Z724-2000)),IF($Z724&lt;=5200,IF(INDEX(客户自备加工筐明细!$D$4:$D$1203,$Z724-4000)=0,"",INDEX(客户自备加工筐明细!$D$4:$D$1203,$Z724-4000)),IF($Z724&lt;=5800,IF(INDEX(次果筐明细!$E$4:$E$603,$Z724-5200)=0,"",INDEX(次果筐明细!$E$4:$E$603,$Z724-5200)),"")))))</f>
        <v/>
      </c>
      <c r="F724" s="24" t="str">
        <f>IF($Z724="","",IF($Z724&lt;=2000,IF(INDEX(包装物料出入库明细!$E$4:$E$2003,$Z724-0)=0,"",INDEX(包装物料出入库明细!$E$4:$E$2003,$Z724-0)),IF($Z724&lt;=4000,IF(INDEX(周转筐出入库明细!$D$4:$D$2004,$Z724-2000)=0,"",INDEX(周转筐出入库明细!$D$4:$D$2004,$Z724-2000)),IF($Z724&lt;=5200,IF(INDEX(客户自备加工筐明细!$C$4:$C$1203,$Z724-4000)=0,"",INDEX(客户自备加工筐明细!$C$4:$C$1203,$Z724-4000)),IF($Z724&lt;=5800,IF(INDEX(次果筐明细!$D$4:$D$603,$Z724-5200)=0,"",INDEX(次果筐明细!$D$4:$D$603,$Z724-5200)),"")))))</f>
        <v/>
      </c>
      <c r="G724" s="24" t="str">
        <f>IF($Z724="","",IF($Z724&lt;=2000,IF(INDEX(包装物料出入库明细!$F$4:$F$2003,$Z724-0)=0,"",INDEX(包装物料出入库明细!$F$4:$F$2003,$Z724-0)),IF($Z724&lt;=4000,"",IF($Z724&lt;=5200,"",IF($Z724&lt;=5800,"","")))))</f>
        <v/>
      </c>
      <c r="H724" s="39" t="str">
        <f>IF($Z724="","",IF($Z724&lt;=2000,IF(INDEX(包装物料出入库明细!$L$4:$L$2003,$Z724-0)=0,"",INDEX(包装物料出入库明细!$L$4:$L$2003,$Z724-0)),IF($Z724&lt;=4000,N(INDEX(周转筐出入库明细!$H$4:$H$2004,$Z724-2000))+N(INDEX(周转筐出入库明细!$I$4:$I$2004,$Z724-2000))+N(INDEX(周转筐出入库明细!$J$4:$J$2004,$Z724-2000))+N(INDEX(周转筐出入库明细!$K$4:$K$2004,$Z724-2000)),IF($Z724&lt;=5200,N(INDEX(客户自备加工筐明细!$F$4:$F$1203,$Z724-4000))+N(INDEX(客户自备加工筐明细!$G$4:$G$1203,$Z724-4000)),IF($Z724&lt;=5800,IF(INDEX(次果筐明细!$G$4:$G$603,$Z724-5200)=0,"",INDEX(次果筐明细!$G$4:$G$603,$Z724-5200)),"")))))</f>
        <v/>
      </c>
      <c r="I724" s="24" t="str">
        <f>IF($Z724="","",IF($Z724&lt;=2000,IF(INDEX(包装物料出入库明细!$G$4:$G$2003,$Z724-0)=0,"",INDEX(包装物料出入库明细!$G$4:$G$2003,$Z724-0)),IF($Z724&lt;=4000,"个",IF($Z724&lt;=5200,"个",IF($Z724&lt;=5800,"个","")))))</f>
        <v/>
      </c>
      <c r="J724" s="30" t="str">
        <f t="shared" si="34"/>
        <v/>
      </c>
      <c r="K724" s="30" t="str">
        <f>IF($Z724="","",IF($Z724&lt;=2000,IF(INDEX(包装物料出入库明细!$N$4:$N$2003,$Z724-0)=0,"",INDEX(包装物料出入库明细!$N$4:$N$2003,$Z724-0)),IF($Z724&lt;=4000,IF(INDEX(周转筐出入库明细!$P$4:$P$2004,$Z724-2000)=0,"",INDEX(周转筐出入库明细!$P$4:$P$2004,$Z724-2000)),IF($Z724&lt;=5200,"",IF($Z724&lt;=5800,N(INDEX(次果筐明细!$L$4:$L$603,$Z724-5200))+N(INDEX(次果筐明细!$J$4:$J$603,$Z724-5200)),"")))))</f>
        <v/>
      </c>
      <c r="L724" s="24" t="str">
        <f>IF($Z724="","",IF($Z724&lt;=2000,IF(INDEX(包装物料出入库明细!$P$4:$P$2003,$Z724-0)=0,"",INDEX(包装物料出入库明细!$P$4:$P$2003,$Z724-0)),IF($Z724&lt;=4000,IF(INDEX(周转筐出入库明细!$Q$4:$Q$2004,$Z724-2000)=0,"",INDEX(周转筐出入库明细!$Q$4:$Q$2004,$Z724-2000)),IF($Z724&lt;=5200,"",IF($Z724&lt;=5800,IF(INDEX(次果筐明细!$M$4:$M$603,$Z724-5200)=0,"",INDEX(次果筐明细!$M$4:$M$603,$Z724-5200)),"")))))</f>
        <v/>
      </c>
      <c r="M724" s="37" t="str">
        <f>IF($Z724="","",IF($Z724&lt;=2000,IF(INDEX(包装物料出入库明细!$R$4:$R$2003,$Z724-0)=0,"",INDEX(包装物料出入库明细!$R$4:$R$2003,$Z724-0)),IF($Z724&lt;=4000,IF(INDEX(周转筐出入库明细!$W$4:$W$2004,$Z724-2000)=0,"",INDEX(周转筐出入库明细!$W$4:$W$2004,$Z724-2000)),IF($Z724&lt;=5200,IF(INDEX(客户自备加工筐明细!$L$4:$L$1203,$Z724-4000)=0,"",INDEX(客户自备加工筐明细!$L$4:$L$1203,$Z724-4000)),IF($Z724&lt;=5800,IF(INDEX(次果筐明细!$P$4:$P$603,$Z724-5200)=0,"",INDEX(次果筐明细!$P$4:$P$603,$Z724-5200)),"")))))</f>
        <v/>
      </c>
      <c r="N724" s="16" t="str">
        <f>IF($Z724="","",IF($Z724&lt;=2000,"",IF($Z724&lt;=4000,IF(INDEX(周转筐出入库明细!$D$4:$D$2004,$Z724-2000)=0,"",INDEX(周转筐出入库明细!$D$4:$D$2004,$Z724-2000)),IF($Z724&lt;=5200,IF(INDEX(客户自备加工筐明细!$C$4:$C$1203,$Z724-4000)=0,"",INDEX(客户自备加工筐明细!$C$4:$C$1203,$Z724-4000)),IF($Z724&lt;=5800,IF(INDEX(次果筐明细!$D$4:$D$603,$Z724-5200)=0,"",INDEX(次果筐明细!$D$4:$D$603,$Z724-5200)),"")))))</f>
        <v/>
      </c>
      <c r="O724" s="40" t="str">
        <f>IF($Z724="","",IF($Z724&lt;=2000,"",IF($Z724&lt;=4000,IF(N(INDEX(周转筐出入库明细!$J$4:$J$2004,$Z724-2000))+N(INDEX(周转筐出入库明细!$K$4:$K$2004,$Z724-2000))=0,"",N(INDEX(周转筐出入库明细!$J$4:$J$2004,$Z724-2000))+N(INDEX(周转筐出入库明细!$K$4:$K$2004,$Z724-2000))),IF($Z724&lt;=5200,IF(N(INDEX(客户自备加工筐明细!$G$4:$G$1203,$Z724-4000))=0,"",N(INDEX(客户自备加工筐明细!$G$4:$G$1203,$Z724-4000))),IF($Z724&lt;=5800,IF(ISNUMBER(SEARCH("退",INDEX(次果筐明细!$F$4:$F$603,$Z724-5200)&amp;"")),"",IF(N(INDEX(次果筐明细!$G$4:$G$603,$Z724-5200))=0,"",N(INDEX(次果筐明细!$G$4:$G$603,$Z724-5200)))),"")))))</f>
        <v/>
      </c>
      <c r="P724" s="40" t="str">
        <f>IF($Z724="","",IF($Z724&lt;=2000,"",IF($Z724&lt;=4000,IF(N(INDEX(周转筐出入库明细!$I$4:$I$2004,$Z724-2000))=0,"",N(INDEX(周转筐出入库明细!$I$4:$I$2004,$Z724-2000))),IF($Z724&lt;=5200,"",IF($Z724&lt;=5800,IF(ISNUMBER(SEARCH("退",INDEX(次果筐明细!$F$4:$F$603,$Z724-5200)&amp;"")),IF(N(INDEX(次果筐明细!$G$4:$G$603,$Z724-5200))=0,"",N(INDEX(次果筐明细!$G$4:$G$603,$Z724-5200))),""),"")))))</f>
        <v/>
      </c>
      <c r="Q724" s="40" t="str">
        <f>IF($Z724="","",IF($Z724&lt;=2000,"",IF($Z724&lt;=4000,IF(N(INDEX(周转筐出入库明细!$H$4:$H$2004,$Z724-2000))=0,"",N(INDEX(周转筐出入库明细!$H$4:$H$2004,$Z724-2000))),IF($Z724&lt;=5200,IF(N(INDEX(客户自备加工筐明细!$F$4:$F$1203,$Z724-4000))=0,"",N(INDEX(客户自备加工筐明细!$F$4:$F$1203,$Z724-4000))),IF($Z724&lt;=5800,"","")))))</f>
        <v/>
      </c>
      <c r="R724" s="16" t="str">
        <f>IF($Z724="","",IF($Z724&lt;=2000,IF(INDEX(包装物料出入库明细!$O$4:$O$2003,$Z724-0)=0,"",INDEX(包装物料出入库明细!$O$4:$O$2003,$Z724-0)),IF($Z724&lt;=4000,IF(INDEX(周转筐出入库明细!$M$4:$M$2004,$Z724-2000)=0,"",INDEX(周转筐出入库明细!$M$4:$M$2004,$Z724-2000)),IF($Z724&lt;=5200,IF(INDEX(客户自备加工筐明细!$H$4:$H$1203,$Z724-4000)=0,"",INDEX(客户自备加工筐明细!$H$4:$H$1203,$Z724-4000)),IF($Z724&lt;=5800,IF(INDEX(次果筐明细!$H$4:$H$603,$Z724-5200)=0,"",INDEX(次果筐明细!$H$4:$H$603,$Z724-5200)),"")))))</f>
        <v/>
      </c>
      <c r="S724" s="22" t="str">
        <f t="shared" si="35"/>
        <v/>
      </c>
      <c r="Z724" s="10" t="str">
        <f>IFERROR(MATCH(ROW()-3,_自动清单!$CQ$4:$CQ$5803,0),"")</f>
        <v/>
      </c>
    </row>
    <row r="725" spans="1:26">
      <c r="A725" s="24" t="str">
        <f t="shared" si="33"/>
        <v/>
      </c>
      <c r="B725" s="38" t="str">
        <f>IF($Z725="","",IF($Z725&lt;=2000,IF(INDEX(包装物料出入库明细!$B$4:$B$2003,$Z725-0)=0,"",INDEX(包装物料出入库明细!$B$4:$B$2003,$Z725-0)),IF($Z725&lt;=4000,IF(INDEX(周转筐出入库明细!$B$4:$B$2004,$Z725-2000)=0,"",INDEX(周转筐出入库明细!$B$4:$B$2004,$Z725-2000)),IF($Z725&lt;=5200,IF(INDEX(客户自备加工筐明细!$B$4:$B$1203,$Z725-4000)=0,"",INDEX(客户自备加工筐明细!$B$4:$B$1203,$Z725-4000)),IF($Z725&lt;=5800,IF(INDEX(次果筐明细!$B$4:$B$603,$Z725-5200)=0,"",INDEX(次果筐明细!$B$4:$B$603,$Z725-5200)),"")))))</f>
        <v/>
      </c>
      <c r="C725" s="37" t="str">
        <f>IF($Z725="","",IF($Z725&lt;=2000,IF(INDEX(包装物料出入库明细!$D$4:$D$2003,$Z725-0)=0,"",INDEX(包装物料出入库明细!$D$4:$D$2003,$Z725-0)),IF($Z725&lt;=4000,IF(INDEX(周转筐出入库明细!$C$4:$C$2004,$Z725-2000)=0,"",INDEX(周转筐出入库明细!$C$4:$C$2004,$Z725-2000)),IF($Z725&lt;=5200,IF(INDEX(客户自备加工筐明细!$E$4:$E$1203,$Z725-4000)=0,"",INDEX(客户自备加工筐明细!$E$4:$E$1203,$Z725-4000)),IF($Z725&lt;=5800,IF(INDEX(次果筐明细!$C$4:$C$603,$Z725-5200)=0,"",INDEX(次果筐明细!$C$4:$C$603,$Z725-5200)),"")))))</f>
        <v/>
      </c>
      <c r="D725" s="37" t="str">
        <f>IF($Z725="","",IF($Z725&lt;=2000,"包装物料－"&amp;INDEX(包装物料出入库明细!$H$4:$H$2003,$Z725-0),IF($Z725&lt;=4000,"周转筐－"&amp;INDEX(周转筐出入库明细!$F$4:$F$2004,$Z725-2000),IF($Z725&lt;=5200,"客户自备筐－"&amp;INDEX(客户自备加工筐明细!$J$4:$J$1203,$Z725-4000),IF($Z725&lt;=5800,"次果筐/托盘－"&amp;INDEX(次果筐明细!$F$4:$F$603,$Z725-5200),"")))))</f>
        <v/>
      </c>
      <c r="E725" s="24" t="str">
        <f>IF($Z725="","",IF($Z725&lt;=2000,IF(INDEX(包装物料出入库明细!$C$4:$C$2003,$Z725-0)=0,"",INDEX(包装物料出入库明细!$C$4:$C$2003,$Z725-0)),IF($Z725&lt;=4000,IF(INDEX(周转筐出入库明细!$E$4:$E$2004,$Z725-2000)=0,"",INDEX(周转筐出入库明细!$E$4:$E$2004,$Z725-2000)),IF($Z725&lt;=5200,IF(INDEX(客户自备加工筐明细!$D$4:$D$1203,$Z725-4000)=0,"",INDEX(客户自备加工筐明细!$D$4:$D$1203,$Z725-4000)),IF($Z725&lt;=5800,IF(INDEX(次果筐明细!$E$4:$E$603,$Z725-5200)=0,"",INDEX(次果筐明细!$E$4:$E$603,$Z725-5200)),"")))))</f>
        <v/>
      </c>
      <c r="F725" s="24" t="str">
        <f>IF($Z725="","",IF($Z725&lt;=2000,IF(INDEX(包装物料出入库明细!$E$4:$E$2003,$Z725-0)=0,"",INDEX(包装物料出入库明细!$E$4:$E$2003,$Z725-0)),IF($Z725&lt;=4000,IF(INDEX(周转筐出入库明细!$D$4:$D$2004,$Z725-2000)=0,"",INDEX(周转筐出入库明细!$D$4:$D$2004,$Z725-2000)),IF($Z725&lt;=5200,IF(INDEX(客户自备加工筐明细!$C$4:$C$1203,$Z725-4000)=0,"",INDEX(客户自备加工筐明细!$C$4:$C$1203,$Z725-4000)),IF($Z725&lt;=5800,IF(INDEX(次果筐明细!$D$4:$D$603,$Z725-5200)=0,"",INDEX(次果筐明细!$D$4:$D$603,$Z725-5200)),"")))))</f>
        <v/>
      </c>
      <c r="G725" s="24" t="str">
        <f>IF($Z725="","",IF($Z725&lt;=2000,IF(INDEX(包装物料出入库明细!$F$4:$F$2003,$Z725-0)=0,"",INDEX(包装物料出入库明细!$F$4:$F$2003,$Z725-0)),IF($Z725&lt;=4000,"",IF($Z725&lt;=5200,"",IF($Z725&lt;=5800,"","")))))</f>
        <v/>
      </c>
      <c r="H725" s="39" t="str">
        <f>IF($Z725="","",IF($Z725&lt;=2000,IF(INDEX(包装物料出入库明细!$L$4:$L$2003,$Z725-0)=0,"",INDEX(包装物料出入库明细!$L$4:$L$2003,$Z725-0)),IF($Z725&lt;=4000,N(INDEX(周转筐出入库明细!$H$4:$H$2004,$Z725-2000))+N(INDEX(周转筐出入库明细!$I$4:$I$2004,$Z725-2000))+N(INDEX(周转筐出入库明细!$J$4:$J$2004,$Z725-2000))+N(INDEX(周转筐出入库明细!$K$4:$K$2004,$Z725-2000)),IF($Z725&lt;=5200,N(INDEX(客户自备加工筐明细!$F$4:$F$1203,$Z725-4000))+N(INDEX(客户自备加工筐明细!$G$4:$G$1203,$Z725-4000)),IF($Z725&lt;=5800,IF(INDEX(次果筐明细!$G$4:$G$603,$Z725-5200)=0,"",INDEX(次果筐明细!$G$4:$G$603,$Z725-5200)),"")))))</f>
        <v/>
      </c>
      <c r="I725" s="24" t="str">
        <f>IF($Z725="","",IF($Z725&lt;=2000,IF(INDEX(包装物料出入库明细!$G$4:$G$2003,$Z725-0)=0,"",INDEX(包装物料出入库明细!$G$4:$G$2003,$Z725-0)),IF($Z725&lt;=4000,"个",IF($Z725&lt;=5200,"个",IF($Z725&lt;=5800,"个","")))))</f>
        <v/>
      </c>
      <c r="J725" s="30" t="str">
        <f t="shared" si="34"/>
        <v/>
      </c>
      <c r="K725" s="30" t="str">
        <f>IF($Z725="","",IF($Z725&lt;=2000,IF(INDEX(包装物料出入库明细!$N$4:$N$2003,$Z725-0)=0,"",INDEX(包装物料出入库明细!$N$4:$N$2003,$Z725-0)),IF($Z725&lt;=4000,IF(INDEX(周转筐出入库明细!$P$4:$P$2004,$Z725-2000)=0,"",INDEX(周转筐出入库明细!$P$4:$P$2004,$Z725-2000)),IF($Z725&lt;=5200,"",IF($Z725&lt;=5800,N(INDEX(次果筐明细!$L$4:$L$603,$Z725-5200))+N(INDEX(次果筐明细!$J$4:$J$603,$Z725-5200)),"")))))</f>
        <v/>
      </c>
      <c r="L725" s="24" t="str">
        <f>IF($Z725="","",IF($Z725&lt;=2000,IF(INDEX(包装物料出入库明细!$P$4:$P$2003,$Z725-0)=0,"",INDEX(包装物料出入库明细!$P$4:$P$2003,$Z725-0)),IF($Z725&lt;=4000,IF(INDEX(周转筐出入库明细!$Q$4:$Q$2004,$Z725-2000)=0,"",INDEX(周转筐出入库明细!$Q$4:$Q$2004,$Z725-2000)),IF($Z725&lt;=5200,"",IF($Z725&lt;=5800,IF(INDEX(次果筐明细!$M$4:$M$603,$Z725-5200)=0,"",INDEX(次果筐明细!$M$4:$M$603,$Z725-5200)),"")))))</f>
        <v/>
      </c>
      <c r="M725" s="37" t="str">
        <f>IF($Z725="","",IF($Z725&lt;=2000,IF(INDEX(包装物料出入库明细!$R$4:$R$2003,$Z725-0)=0,"",INDEX(包装物料出入库明细!$R$4:$R$2003,$Z725-0)),IF($Z725&lt;=4000,IF(INDEX(周转筐出入库明细!$W$4:$W$2004,$Z725-2000)=0,"",INDEX(周转筐出入库明细!$W$4:$W$2004,$Z725-2000)),IF($Z725&lt;=5200,IF(INDEX(客户自备加工筐明细!$L$4:$L$1203,$Z725-4000)=0,"",INDEX(客户自备加工筐明细!$L$4:$L$1203,$Z725-4000)),IF($Z725&lt;=5800,IF(INDEX(次果筐明细!$P$4:$P$603,$Z725-5200)=0,"",INDEX(次果筐明细!$P$4:$P$603,$Z725-5200)),"")))))</f>
        <v/>
      </c>
      <c r="N725" s="16" t="str">
        <f>IF($Z725="","",IF($Z725&lt;=2000,"",IF($Z725&lt;=4000,IF(INDEX(周转筐出入库明细!$D$4:$D$2004,$Z725-2000)=0,"",INDEX(周转筐出入库明细!$D$4:$D$2004,$Z725-2000)),IF($Z725&lt;=5200,IF(INDEX(客户自备加工筐明细!$C$4:$C$1203,$Z725-4000)=0,"",INDEX(客户自备加工筐明细!$C$4:$C$1203,$Z725-4000)),IF($Z725&lt;=5800,IF(INDEX(次果筐明细!$D$4:$D$603,$Z725-5200)=0,"",INDEX(次果筐明细!$D$4:$D$603,$Z725-5200)),"")))))</f>
        <v/>
      </c>
      <c r="O725" s="40" t="str">
        <f>IF($Z725="","",IF($Z725&lt;=2000,"",IF($Z725&lt;=4000,IF(N(INDEX(周转筐出入库明细!$J$4:$J$2004,$Z725-2000))+N(INDEX(周转筐出入库明细!$K$4:$K$2004,$Z725-2000))=0,"",N(INDEX(周转筐出入库明细!$J$4:$J$2004,$Z725-2000))+N(INDEX(周转筐出入库明细!$K$4:$K$2004,$Z725-2000))),IF($Z725&lt;=5200,IF(N(INDEX(客户自备加工筐明细!$G$4:$G$1203,$Z725-4000))=0,"",N(INDEX(客户自备加工筐明细!$G$4:$G$1203,$Z725-4000))),IF($Z725&lt;=5800,IF(ISNUMBER(SEARCH("退",INDEX(次果筐明细!$F$4:$F$603,$Z725-5200)&amp;"")),"",IF(N(INDEX(次果筐明细!$G$4:$G$603,$Z725-5200))=0,"",N(INDEX(次果筐明细!$G$4:$G$603,$Z725-5200)))),"")))))</f>
        <v/>
      </c>
      <c r="P725" s="40" t="str">
        <f>IF($Z725="","",IF($Z725&lt;=2000,"",IF($Z725&lt;=4000,IF(N(INDEX(周转筐出入库明细!$I$4:$I$2004,$Z725-2000))=0,"",N(INDEX(周转筐出入库明细!$I$4:$I$2004,$Z725-2000))),IF($Z725&lt;=5200,"",IF($Z725&lt;=5800,IF(ISNUMBER(SEARCH("退",INDEX(次果筐明细!$F$4:$F$603,$Z725-5200)&amp;"")),IF(N(INDEX(次果筐明细!$G$4:$G$603,$Z725-5200))=0,"",N(INDEX(次果筐明细!$G$4:$G$603,$Z725-5200))),""),"")))))</f>
        <v/>
      </c>
      <c r="Q725" s="40" t="str">
        <f>IF($Z725="","",IF($Z725&lt;=2000,"",IF($Z725&lt;=4000,IF(N(INDEX(周转筐出入库明细!$H$4:$H$2004,$Z725-2000))=0,"",N(INDEX(周转筐出入库明细!$H$4:$H$2004,$Z725-2000))),IF($Z725&lt;=5200,IF(N(INDEX(客户自备加工筐明细!$F$4:$F$1203,$Z725-4000))=0,"",N(INDEX(客户自备加工筐明细!$F$4:$F$1203,$Z725-4000))),IF($Z725&lt;=5800,"","")))))</f>
        <v/>
      </c>
      <c r="R725" s="16" t="str">
        <f>IF($Z725="","",IF($Z725&lt;=2000,IF(INDEX(包装物料出入库明细!$O$4:$O$2003,$Z725-0)=0,"",INDEX(包装物料出入库明细!$O$4:$O$2003,$Z725-0)),IF($Z725&lt;=4000,IF(INDEX(周转筐出入库明细!$M$4:$M$2004,$Z725-2000)=0,"",INDEX(周转筐出入库明细!$M$4:$M$2004,$Z725-2000)),IF($Z725&lt;=5200,IF(INDEX(客户自备加工筐明细!$H$4:$H$1203,$Z725-4000)=0,"",INDEX(客户自备加工筐明细!$H$4:$H$1203,$Z725-4000)),IF($Z725&lt;=5800,IF(INDEX(次果筐明细!$H$4:$H$603,$Z725-5200)=0,"",INDEX(次果筐明细!$H$4:$H$603,$Z725-5200)),"")))))</f>
        <v/>
      </c>
      <c r="S725" s="22" t="str">
        <f t="shared" si="35"/>
        <v/>
      </c>
      <c r="Z725" s="10" t="str">
        <f>IFERROR(MATCH(ROW()-3,_自动清单!$CQ$4:$CQ$5803,0),"")</f>
        <v/>
      </c>
    </row>
    <row r="726" spans="1:26">
      <c r="A726" s="24" t="str">
        <f t="shared" si="33"/>
        <v/>
      </c>
      <c r="B726" s="38" t="str">
        <f>IF($Z726="","",IF($Z726&lt;=2000,IF(INDEX(包装物料出入库明细!$B$4:$B$2003,$Z726-0)=0,"",INDEX(包装物料出入库明细!$B$4:$B$2003,$Z726-0)),IF($Z726&lt;=4000,IF(INDEX(周转筐出入库明细!$B$4:$B$2004,$Z726-2000)=0,"",INDEX(周转筐出入库明细!$B$4:$B$2004,$Z726-2000)),IF($Z726&lt;=5200,IF(INDEX(客户自备加工筐明细!$B$4:$B$1203,$Z726-4000)=0,"",INDEX(客户自备加工筐明细!$B$4:$B$1203,$Z726-4000)),IF($Z726&lt;=5800,IF(INDEX(次果筐明细!$B$4:$B$603,$Z726-5200)=0,"",INDEX(次果筐明细!$B$4:$B$603,$Z726-5200)),"")))))</f>
        <v/>
      </c>
      <c r="C726" s="37" t="str">
        <f>IF($Z726="","",IF($Z726&lt;=2000,IF(INDEX(包装物料出入库明细!$D$4:$D$2003,$Z726-0)=0,"",INDEX(包装物料出入库明细!$D$4:$D$2003,$Z726-0)),IF($Z726&lt;=4000,IF(INDEX(周转筐出入库明细!$C$4:$C$2004,$Z726-2000)=0,"",INDEX(周转筐出入库明细!$C$4:$C$2004,$Z726-2000)),IF($Z726&lt;=5200,IF(INDEX(客户自备加工筐明细!$E$4:$E$1203,$Z726-4000)=0,"",INDEX(客户自备加工筐明细!$E$4:$E$1203,$Z726-4000)),IF($Z726&lt;=5800,IF(INDEX(次果筐明细!$C$4:$C$603,$Z726-5200)=0,"",INDEX(次果筐明细!$C$4:$C$603,$Z726-5200)),"")))))</f>
        <v/>
      </c>
      <c r="D726" s="37" t="str">
        <f>IF($Z726="","",IF($Z726&lt;=2000,"包装物料－"&amp;INDEX(包装物料出入库明细!$H$4:$H$2003,$Z726-0),IF($Z726&lt;=4000,"周转筐－"&amp;INDEX(周转筐出入库明细!$F$4:$F$2004,$Z726-2000),IF($Z726&lt;=5200,"客户自备筐－"&amp;INDEX(客户自备加工筐明细!$J$4:$J$1203,$Z726-4000),IF($Z726&lt;=5800,"次果筐/托盘－"&amp;INDEX(次果筐明细!$F$4:$F$603,$Z726-5200),"")))))</f>
        <v/>
      </c>
      <c r="E726" s="24" t="str">
        <f>IF($Z726="","",IF($Z726&lt;=2000,IF(INDEX(包装物料出入库明细!$C$4:$C$2003,$Z726-0)=0,"",INDEX(包装物料出入库明细!$C$4:$C$2003,$Z726-0)),IF($Z726&lt;=4000,IF(INDEX(周转筐出入库明细!$E$4:$E$2004,$Z726-2000)=0,"",INDEX(周转筐出入库明细!$E$4:$E$2004,$Z726-2000)),IF($Z726&lt;=5200,IF(INDEX(客户自备加工筐明细!$D$4:$D$1203,$Z726-4000)=0,"",INDEX(客户自备加工筐明细!$D$4:$D$1203,$Z726-4000)),IF($Z726&lt;=5800,IF(INDEX(次果筐明细!$E$4:$E$603,$Z726-5200)=0,"",INDEX(次果筐明细!$E$4:$E$603,$Z726-5200)),"")))))</f>
        <v/>
      </c>
      <c r="F726" s="24" t="str">
        <f>IF($Z726="","",IF($Z726&lt;=2000,IF(INDEX(包装物料出入库明细!$E$4:$E$2003,$Z726-0)=0,"",INDEX(包装物料出入库明细!$E$4:$E$2003,$Z726-0)),IF($Z726&lt;=4000,IF(INDEX(周转筐出入库明细!$D$4:$D$2004,$Z726-2000)=0,"",INDEX(周转筐出入库明细!$D$4:$D$2004,$Z726-2000)),IF($Z726&lt;=5200,IF(INDEX(客户自备加工筐明细!$C$4:$C$1203,$Z726-4000)=0,"",INDEX(客户自备加工筐明细!$C$4:$C$1203,$Z726-4000)),IF($Z726&lt;=5800,IF(INDEX(次果筐明细!$D$4:$D$603,$Z726-5200)=0,"",INDEX(次果筐明细!$D$4:$D$603,$Z726-5200)),"")))))</f>
        <v/>
      </c>
      <c r="G726" s="24" t="str">
        <f>IF($Z726="","",IF($Z726&lt;=2000,IF(INDEX(包装物料出入库明细!$F$4:$F$2003,$Z726-0)=0,"",INDEX(包装物料出入库明细!$F$4:$F$2003,$Z726-0)),IF($Z726&lt;=4000,"",IF($Z726&lt;=5200,"",IF($Z726&lt;=5800,"","")))))</f>
        <v/>
      </c>
      <c r="H726" s="39" t="str">
        <f>IF($Z726="","",IF($Z726&lt;=2000,IF(INDEX(包装物料出入库明细!$L$4:$L$2003,$Z726-0)=0,"",INDEX(包装物料出入库明细!$L$4:$L$2003,$Z726-0)),IF($Z726&lt;=4000,N(INDEX(周转筐出入库明细!$H$4:$H$2004,$Z726-2000))+N(INDEX(周转筐出入库明细!$I$4:$I$2004,$Z726-2000))+N(INDEX(周转筐出入库明细!$J$4:$J$2004,$Z726-2000))+N(INDEX(周转筐出入库明细!$K$4:$K$2004,$Z726-2000)),IF($Z726&lt;=5200,N(INDEX(客户自备加工筐明细!$F$4:$F$1203,$Z726-4000))+N(INDEX(客户自备加工筐明细!$G$4:$G$1203,$Z726-4000)),IF($Z726&lt;=5800,IF(INDEX(次果筐明细!$G$4:$G$603,$Z726-5200)=0,"",INDEX(次果筐明细!$G$4:$G$603,$Z726-5200)),"")))))</f>
        <v/>
      </c>
      <c r="I726" s="24" t="str">
        <f>IF($Z726="","",IF($Z726&lt;=2000,IF(INDEX(包装物料出入库明细!$G$4:$G$2003,$Z726-0)=0,"",INDEX(包装物料出入库明细!$G$4:$G$2003,$Z726-0)),IF($Z726&lt;=4000,"个",IF($Z726&lt;=5200,"个",IF($Z726&lt;=5800,"个","")))))</f>
        <v/>
      </c>
      <c r="J726" s="30" t="str">
        <f t="shared" si="34"/>
        <v/>
      </c>
      <c r="K726" s="30" t="str">
        <f>IF($Z726="","",IF($Z726&lt;=2000,IF(INDEX(包装物料出入库明细!$N$4:$N$2003,$Z726-0)=0,"",INDEX(包装物料出入库明细!$N$4:$N$2003,$Z726-0)),IF($Z726&lt;=4000,IF(INDEX(周转筐出入库明细!$P$4:$P$2004,$Z726-2000)=0,"",INDEX(周转筐出入库明细!$P$4:$P$2004,$Z726-2000)),IF($Z726&lt;=5200,"",IF($Z726&lt;=5800,N(INDEX(次果筐明细!$L$4:$L$603,$Z726-5200))+N(INDEX(次果筐明细!$J$4:$J$603,$Z726-5200)),"")))))</f>
        <v/>
      </c>
      <c r="L726" s="24" t="str">
        <f>IF($Z726="","",IF($Z726&lt;=2000,IF(INDEX(包装物料出入库明细!$P$4:$P$2003,$Z726-0)=0,"",INDEX(包装物料出入库明细!$P$4:$P$2003,$Z726-0)),IF($Z726&lt;=4000,IF(INDEX(周转筐出入库明细!$Q$4:$Q$2004,$Z726-2000)=0,"",INDEX(周转筐出入库明细!$Q$4:$Q$2004,$Z726-2000)),IF($Z726&lt;=5200,"",IF($Z726&lt;=5800,IF(INDEX(次果筐明细!$M$4:$M$603,$Z726-5200)=0,"",INDEX(次果筐明细!$M$4:$M$603,$Z726-5200)),"")))))</f>
        <v/>
      </c>
      <c r="M726" s="37" t="str">
        <f>IF($Z726="","",IF($Z726&lt;=2000,IF(INDEX(包装物料出入库明细!$R$4:$R$2003,$Z726-0)=0,"",INDEX(包装物料出入库明细!$R$4:$R$2003,$Z726-0)),IF($Z726&lt;=4000,IF(INDEX(周转筐出入库明细!$W$4:$W$2004,$Z726-2000)=0,"",INDEX(周转筐出入库明细!$W$4:$W$2004,$Z726-2000)),IF($Z726&lt;=5200,IF(INDEX(客户自备加工筐明细!$L$4:$L$1203,$Z726-4000)=0,"",INDEX(客户自备加工筐明细!$L$4:$L$1203,$Z726-4000)),IF($Z726&lt;=5800,IF(INDEX(次果筐明细!$P$4:$P$603,$Z726-5200)=0,"",INDEX(次果筐明细!$P$4:$P$603,$Z726-5200)),"")))))</f>
        <v/>
      </c>
      <c r="N726" s="16" t="str">
        <f>IF($Z726="","",IF($Z726&lt;=2000,"",IF($Z726&lt;=4000,IF(INDEX(周转筐出入库明细!$D$4:$D$2004,$Z726-2000)=0,"",INDEX(周转筐出入库明细!$D$4:$D$2004,$Z726-2000)),IF($Z726&lt;=5200,IF(INDEX(客户自备加工筐明细!$C$4:$C$1203,$Z726-4000)=0,"",INDEX(客户自备加工筐明细!$C$4:$C$1203,$Z726-4000)),IF($Z726&lt;=5800,IF(INDEX(次果筐明细!$D$4:$D$603,$Z726-5200)=0,"",INDEX(次果筐明细!$D$4:$D$603,$Z726-5200)),"")))))</f>
        <v/>
      </c>
      <c r="O726" s="40" t="str">
        <f>IF($Z726="","",IF($Z726&lt;=2000,"",IF($Z726&lt;=4000,IF(N(INDEX(周转筐出入库明细!$J$4:$J$2004,$Z726-2000))+N(INDEX(周转筐出入库明细!$K$4:$K$2004,$Z726-2000))=0,"",N(INDEX(周转筐出入库明细!$J$4:$J$2004,$Z726-2000))+N(INDEX(周转筐出入库明细!$K$4:$K$2004,$Z726-2000))),IF($Z726&lt;=5200,IF(N(INDEX(客户自备加工筐明细!$G$4:$G$1203,$Z726-4000))=0,"",N(INDEX(客户自备加工筐明细!$G$4:$G$1203,$Z726-4000))),IF($Z726&lt;=5800,IF(ISNUMBER(SEARCH("退",INDEX(次果筐明细!$F$4:$F$603,$Z726-5200)&amp;"")),"",IF(N(INDEX(次果筐明细!$G$4:$G$603,$Z726-5200))=0,"",N(INDEX(次果筐明细!$G$4:$G$603,$Z726-5200)))),"")))))</f>
        <v/>
      </c>
      <c r="P726" s="40" t="str">
        <f>IF($Z726="","",IF($Z726&lt;=2000,"",IF($Z726&lt;=4000,IF(N(INDEX(周转筐出入库明细!$I$4:$I$2004,$Z726-2000))=0,"",N(INDEX(周转筐出入库明细!$I$4:$I$2004,$Z726-2000))),IF($Z726&lt;=5200,"",IF($Z726&lt;=5800,IF(ISNUMBER(SEARCH("退",INDEX(次果筐明细!$F$4:$F$603,$Z726-5200)&amp;"")),IF(N(INDEX(次果筐明细!$G$4:$G$603,$Z726-5200))=0,"",N(INDEX(次果筐明细!$G$4:$G$603,$Z726-5200))),""),"")))))</f>
        <v/>
      </c>
      <c r="Q726" s="40" t="str">
        <f>IF($Z726="","",IF($Z726&lt;=2000,"",IF($Z726&lt;=4000,IF(N(INDEX(周转筐出入库明细!$H$4:$H$2004,$Z726-2000))=0,"",N(INDEX(周转筐出入库明细!$H$4:$H$2004,$Z726-2000))),IF($Z726&lt;=5200,IF(N(INDEX(客户自备加工筐明细!$F$4:$F$1203,$Z726-4000))=0,"",N(INDEX(客户自备加工筐明细!$F$4:$F$1203,$Z726-4000))),IF($Z726&lt;=5800,"","")))))</f>
        <v/>
      </c>
      <c r="R726" s="16" t="str">
        <f>IF($Z726="","",IF($Z726&lt;=2000,IF(INDEX(包装物料出入库明细!$O$4:$O$2003,$Z726-0)=0,"",INDEX(包装物料出入库明细!$O$4:$O$2003,$Z726-0)),IF($Z726&lt;=4000,IF(INDEX(周转筐出入库明细!$M$4:$M$2004,$Z726-2000)=0,"",INDEX(周转筐出入库明细!$M$4:$M$2004,$Z726-2000)),IF($Z726&lt;=5200,IF(INDEX(客户自备加工筐明细!$H$4:$H$1203,$Z726-4000)=0,"",INDEX(客户自备加工筐明细!$H$4:$H$1203,$Z726-4000)),IF($Z726&lt;=5800,IF(INDEX(次果筐明细!$H$4:$H$603,$Z726-5200)=0,"",INDEX(次果筐明细!$H$4:$H$603,$Z726-5200)),"")))))</f>
        <v/>
      </c>
      <c r="S726" s="22" t="str">
        <f t="shared" si="35"/>
        <v/>
      </c>
      <c r="Z726" s="10" t="str">
        <f>IFERROR(MATCH(ROW()-3,_自动清单!$CQ$4:$CQ$5803,0),"")</f>
        <v/>
      </c>
    </row>
    <row r="727" spans="1:26">
      <c r="A727" s="24" t="str">
        <f t="shared" si="33"/>
        <v/>
      </c>
      <c r="B727" s="38" t="str">
        <f>IF($Z727="","",IF($Z727&lt;=2000,IF(INDEX(包装物料出入库明细!$B$4:$B$2003,$Z727-0)=0,"",INDEX(包装物料出入库明细!$B$4:$B$2003,$Z727-0)),IF($Z727&lt;=4000,IF(INDEX(周转筐出入库明细!$B$4:$B$2004,$Z727-2000)=0,"",INDEX(周转筐出入库明细!$B$4:$B$2004,$Z727-2000)),IF($Z727&lt;=5200,IF(INDEX(客户自备加工筐明细!$B$4:$B$1203,$Z727-4000)=0,"",INDEX(客户自备加工筐明细!$B$4:$B$1203,$Z727-4000)),IF($Z727&lt;=5800,IF(INDEX(次果筐明细!$B$4:$B$603,$Z727-5200)=0,"",INDEX(次果筐明细!$B$4:$B$603,$Z727-5200)),"")))))</f>
        <v/>
      </c>
      <c r="C727" s="37" t="str">
        <f>IF($Z727="","",IF($Z727&lt;=2000,IF(INDEX(包装物料出入库明细!$D$4:$D$2003,$Z727-0)=0,"",INDEX(包装物料出入库明细!$D$4:$D$2003,$Z727-0)),IF($Z727&lt;=4000,IF(INDEX(周转筐出入库明细!$C$4:$C$2004,$Z727-2000)=0,"",INDEX(周转筐出入库明细!$C$4:$C$2004,$Z727-2000)),IF($Z727&lt;=5200,IF(INDEX(客户自备加工筐明细!$E$4:$E$1203,$Z727-4000)=0,"",INDEX(客户自备加工筐明细!$E$4:$E$1203,$Z727-4000)),IF($Z727&lt;=5800,IF(INDEX(次果筐明细!$C$4:$C$603,$Z727-5200)=0,"",INDEX(次果筐明细!$C$4:$C$603,$Z727-5200)),"")))))</f>
        <v/>
      </c>
      <c r="D727" s="37" t="str">
        <f>IF($Z727="","",IF($Z727&lt;=2000,"包装物料－"&amp;INDEX(包装物料出入库明细!$H$4:$H$2003,$Z727-0),IF($Z727&lt;=4000,"周转筐－"&amp;INDEX(周转筐出入库明细!$F$4:$F$2004,$Z727-2000),IF($Z727&lt;=5200,"客户自备筐－"&amp;INDEX(客户自备加工筐明细!$J$4:$J$1203,$Z727-4000),IF($Z727&lt;=5800,"次果筐/托盘－"&amp;INDEX(次果筐明细!$F$4:$F$603,$Z727-5200),"")))))</f>
        <v/>
      </c>
      <c r="E727" s="24" t="str">
        <f>IF($Z727="","",IF($Z727&lt;=2000,IF(INDEX(包装物料出入库明细!$C$4:$C$2003,$Z727-0)=0,"",INDEX(包装物料出入库明细!$C$4:$C$2003,$Z727-0)),IF($Z727&lt;=4000,IF(INDEX(周转筐出入库明细!$E$4:$E$2004,$Z727-2000)=0,"",INDEX(周转筐出入库明细!$E$4:$E$2004,$Z727-2000)),IF($Z727&lt;=5200,IF(INDEX(客户自备加工筐明细!$D$4:$D$1203,$Z727-4000)=0,"",INDEX(客户自备加工筐明细!$D$4:$D$1203,$Z727-4000)),IF($Z727&lt;=5800,IF(INDEX(次果筐明细!$E$4:$E$603,$Z727-5200)=0,"",INDEX(次果筐明细!$E$4:$E$603,$Z727-5200)),"")))))</f>
        <v/>
      </c>
      <c r="F727" s="24" t="str">
        <f>IF($Z727="","",IF($Z727&lt;=2000,IF(INDEX(包装物料出入库明细!$E$4:$E$2003,$Z727-0)=0,"",INDEX(包装物料出入库明细!$E$4:$E$2003,$Z727-0)),IF($Z727&lt;=4000,IF(INDEX(周转筐出入库明细!$D$4:$D$2004,$Z727-2000)=0,"",INDEX(周转筐出入库明细!$D$4:$D$2004,$Z727-2000)),IF($Z727&lt;=5200,IF(INDEX(客户自备加工筐明细!$C$4:$C$1203,$Z727-4000)=0,"",INDEX(客户自备加工筐明细!$C$4:$C$1203,$Z727-4000)),IF($Z727&lt;=5800,IF(INDEX(次果筐明细!$D$4:$D$603,$Z727-5200)=0,"",INDEX(次果筐明细!$D$4:$D$603,$Z727-5200)),"")))))</f>
        <v/>
      </c>
      <c r="G727" s="24" t="str">
        <f>IF($Z727="","",IF($Z727&lt;=2000,IF(INDEX(包装物料出入库明细!$F$4:$F$2003,$Z727-0)=0,"",INDEX(包装物料出入库明细!$F$4:$F$2003,$Z727-0)),IF($Z727&lt;=4000,"",IF($Z727&lt;=5200,"",IF($Z727&lt;=5800,"","")))))</f>
        <v/>
      </c>
      <c r="H727" s="39" t="str">
        <f>IF($Z727="","",IF($Z727&lt;=2000,IF(INDEX(包装物料出入库明细!$L$4:$L$2003,$Z727-0)=0,"",INDEX(包装物料出入库明细!$L$4:$L$2003,$Z727-0)),IF($Z727&lt;=4000,N(INDEX(周转筐出入库明细!$H$4:$H$2004,$Z727-2000))+N(INDEX(周转筐出入库明细!$I$4:$I$2004,$Z727-2000))+N(INDEX(周转筐出入库明细!$J$4:$J$2004,$Z727-2000))+N(INDEX(周转筐出入库明细!$K$4:$K$2004,$Z727-2000)),IF($Z727&lt;=5200,N(INDEX(客户自备加工筐明细!$F$4:$F$1203,$Z727-4000))+N(INDEX(客户自备加工筐明细!$G$4:$G$1203,$Z727-4000)),IF($Z727&lt;=5800,IF(INDEX(次果筐明细!$G$4:$G$603,$Z727-5200)=0,"",INDEX(次果筐明细!$G$4:$G$603,$Z727-5200)),"")))))</f>
        <v/>
      </c>
      <c r="I727" s="24" t="str">
        <f>IF($Z727="","",IF($Z727&lt;=2000,IF(INDEX(包装物料出入库明细!$G$4:$G$2003,$Z727-0)=0,"",INDEX(包装物料出入库明细!$G$4:$G$2003,$Z727-0)),IF($Z727&lt;=4000,"个",IF($Z727&lt;=5200,"个",IF($Z727&lt;=5800,"个","")))))</f>
        <v/>
      </c>
      <c r="J727" s="30" t="str">
        <f t="shared" si="34"/>
        <v/>
      </c>
      <c r="K727" s="30" t="str">
        <f>IF($Z727="","",IF($Z727&lt;=2000,IF(INDEX(包装物料出入库明细!$N$4:$N$2003,$Z727-0)=0,"",INDEX(包装物料出入库明细!$N$4:$N$2003,$Z727-0)),IF($Z727&lt;=4000,IF(INDEX(周转筐出入库明细!$P$4:$P$2004,$Z727-2000)=0,"",INDEX(周转筐出入库明细!$P$4:$P$2004,$Z727-2000)),IF($Z727&lt;=5200,"",IF($Z727&lt;=5800,N(INDEX(次果筐明细!$L$4:$L$603,$Z727-5200))+N(INDEX(次果筐明细!$J$4:$J$603,$Z727-5200)),"")))))</f>
        <v/>
      </c>
      <c r="L727" s="24" t="str">
        <f>IF($Z727="","",IF($Z727&lt;=2000,IF(INDEX(包装物料出入库明细!$P$4:$P$2003,$Z727-0)=0,"",INDEX(包装物料出入库明细!$P$4:$P$2003,$Z727-0)),IF($Z727&lt;=4000,IF(INDEX(周转筐出入库明细!$Q$4:$Q$2004,$Z727-2000)=0,"",INDEX(周转筐出入库明细!$Q$4:$Q$2004,$Z727-2000)),IF($Z727&lt;=5200,"",IF($Z727&lt;=5800,IF(INDEX(次果筐明细!$M$4:$M$603,$Z727-5200)=0,"",INDEX(次果筐明细!$M$4:$M$603,$Z727-5200)),"")))))</f>
        <v/>
      </c>
      <c r="M727" s="37" t="str">
        <f>IF($Z727="","",IF($Z727&lt;=2000,IF(INDEX(包装物料出入库明细!$R$4:$R$2003,$Z727-0)=0,"",INDEX(包装物料出入库明细!$R$4:$R$2003,$Z727-0)),IF($Z727&lt;=4000,IF(INDEX(周转筐出入库明细!$W$4:$W$2004,$Z727-2000)=0,"",INDEX(周转筐出入库明细!$W$4:$W$2004,$Z727-2000)),IF($Z727&lt;=5200,IF(INDEX(客户自备加工筐明细!$L$4:$L$1203,$Z727-4000)=0,"",INDEX(客户自备加工筐明细!$L$4:$L$1203,$Z727-4000)),IF($Z727&lt;=5800,IF(INDEX(次果筐明细!$P$4:$P$603,$Z727-5200)=0,"",INDEX(次果筐明细!$P$4:$P$603,$Z727-5200)),"")))))</f>
        <v/>
      </c>
      <c r="N727" s="16" t="str">
        <f>IF($Z727="","",IF($Z727&lt;=2000,"",IF($Z727&lt;=4000,IF(INDEX(周转筐出入库明细!$D$4:$D$2004,$Z727-2000)=0,"",INDEX(周转筐出入库明细!$D$4:$D$2004,$Z727-2000)),IF($Z727&lt;=5200,IF(INDEX(客户自备加工筐明细!$C$4:$C$1203,$Z727-4000)=0,"",INDEX(客户自备加工筐明细!$C$4:$C$1203,$Z727-4000)),IF($Z727&lt;=5800,IF(INDEX(次果筐明细!$D$4:$D$603,$Z727-5200)=0,"",INDEX(次果筐明细!$D$4:$D$603,$Z727-5200)),"")))))</f>
        <v/>
      </c>
      <c r="O727" s="40" t="str">
        <f>IF($Z727="","",IF($Z727&lt;=2000,"",IF($Z727&lt;=4000,IF(N(INDEX(周转筐出入库明细!$J$4:$J$2004,$Z727-2000))+N(INDEX(周转筐出入库明细!$K$4:$K$2004,$Z727-2000))=0,"",N(INDEX(周转筐出入库明细!$J$4:$J$2004,$Z727-2000))+N(INDEX(周转筐出入库明细!$K$4:$K$2004,$Z727-2000))),IF($Z727&lt;=5200,IF(N(INDEX(客户自备加工筐明细!$G$4:$G$1203,$Z727-4000))=0,"",N(INDEX(客户自备加工筐明细!$G$4:$G$1203,$Z727-4000))),IF($Z727&lt;=5800,IF(ISNUMBER(SEARCH("退",INDEX(次果筐明细!$F$4:$F$603,$Z727-5200)&amp;"")),"",IF(N(INDEX(次果筐明细!$G$4:$G$603,$Z727-5200))=0,"",N(INDEX(次果筐明细!$G$4:$G$603,$Z727-5200)))),"")))))</f>
        <v/>
      </c>
      <c r="P727" s="40" t="str">
        <f>IF($Z727="","",IF($Z727&lt;=2000,"",IF($Z727&lt;=4000,IF(N(INDEX(周转筐出入库明细!$I$4:$I$2004,$Z727-2000))=0,"",N(INDEX(周转筐出入库明细!$I$4:$I$2004,$Z727-2000))),IF($Z727&lt;=5200,"",IF($Z727&lt;=5800,IF(ISNUMBER(SEARCH("退",INDEX(次果筐明细!$F$4:$F$603,$Z727-5200)&amp;"")),IF(N(INDEX(次果筐明细!$G$4:$G$603,$Z727-5200))=0,"",N(INDEX(次果筐明细!$G$4:$G$603,$Z727-5200))),""),"")))))</f>
        <v/>
      </c>
      <c r="Q727" s="40" t="str">
        <f>IF($Z727="","",IF($Z727&lt;=2000,"",IF($Z727&lt;=4000,IF(N(INDEX(周转筐出入库明细!$H$4:$H$2004,$Z727-2000))=0,"",N(INDEX(周转筐出入库明细!$H$4:$H$2004,$Z727-2000))),IF($Z727&lt;=5200,IF(N(INDEX(客户自备加工筐明细!$F$4:$F$1203,$Z727-4000))=0,"",N(INDEX(客户自备加工筐明细!$F$4:$F$1203,$Z727-4000))),IF($Z727&lt;=5800,"","")))))</f>
        <v/>
      </c>
      <c r="R727" s="16" t="str">
        <f>IF($Z727="","",IF($Z727&lt;=2000,IF(INDEX(包装物料出入库明细!$O$4:$O$2003,$Z727-0)=0,"",INDEX(包装物料出入库明细!$O$4:$O$2003,$Z727-0)),IF($Z727&lt;=4000,IF(INDEX(周转筐出入库明细!$M$4:$M$2004,$Z727-2000)=0,"",INDEX(周转筐出入库明细!$M$4:$M$2004,$Z727-2000)),IF($Z727&lt;=5200,IF(INDEX(客户自备加工筐明细!$H$4:$H$1203,$Z727-4000)=0,"",INDEX(客户自备加工筐明细!$H$4:$H$1203,$Z727-4000)),IF($Z727&lt;=5800,IF(INDEX(次果筐明细!$H$4:$H$603,$Z727-5200)=0,"",INDEX(次果筐明细!$H$4:$H$603,$Z727-5200)),"")))))</f>
        <v/>
      </c>
      <c r="S727" s="22" t="str">
        <f t="shared" si="35"/>
        <v/>
      </c>
      <c r="Z727" s="10" t="str">
        <f>IFERROR(MATCH(ROW()-3,_自动清单!$CQ$4:$CQ$5803,0),"")</f>
        <v/>
      </c>
    </row>
    <row r="728" spans="1:26">
      <c r="A728" s="24" t="str">
        <f t="shared" si="33"/>
        <v/>
      </c>
      <c r="B728" s="38" t="str">
        <f>IF($Z728="","",IF($Z728&lt;=2000,IF(INDEX(包装物料出入库明细!$B$4:$B$2003,$Z728-0)=0,"",INDEX(包装物料出入库明细!$B$4:$B$2003,$Z728-0)),IF($Z728&lt;=4000,IF(INDEX(周转筐出入库明细!$B$4:$B$2004,$Z728-2000)=0,"",INDEX(周转筐出入库明细!$B$4:$B$2004,$Z728-2000)),IF($Z728&lt;=5200,IF(INDEX(客户自备加工筐明细!$B$4:$B$1203,$Z728-4000)=0,"",INDEX(客户自备加工筐明细!$B$4:$B$1203,$Z728-4000)),IF($Z728&lt;=5800,IF(INDEX(次果筐明细!$B$4:$B$603,$Z728-5200)=0,"",INDEX(次果筐明细!$B$4:$B$603,$Z728-5200)),"")))))</f>
        <v/>
      </c>
      <c r="C728" s="37" t="str">
        <f>IF($Z728="","",IF($Z728&lt;=2000,IF(INDEX(包装物料出入库明细!$D$4:$D$2003,$Z728-0)=0,"",INDEX(包装物料出入库明细!$D$4:$D$2003,$Z728-0)),IF($Z728&lt;=4000,IF(INDEX(周转筐出入库明细!$C$4:$C$2004,$Z728-2000)=0,"",INDEX(周转筐出入库明细!$C$4:$C$2004,$Z728-2000)),IF($Z728&lt;=5200,IF(INDEX(客户自备加工筐明细!$E$4:$E$1203,$Z728-4000)=0,"",INDEX(客户自备加工筐明细!$E$4:$E$1203,$Z728-4000)),IF($Z728&lt;=5800,IF(INDEX(次果筐明细!$C$4:$C$603,$Z728-5200)=0,"",INDEX(次果筐明细!$C$4:$C$603,$Z728-5200)),"")))))</f>
        <v/>
      </c>
      <c r="D728" s="37" t="str">
        <f>IF($Z728="","",IF($Z728&lt;=2000,"包装物料－"&amp;INDEX(包装物料出入库明细!$H$4:$H$2003,$Z728-0),IF($Z728&lt;=4000,"周转筐－"&amp;INDEX(周转筐出入库明细!$F$4:$F$2004,$Z728-2000),IF($Z728&lt;=5200,"客户自备筐－"&amp;INDEX(客户自备加工筐明细!$J$4:$J$1203,$Z728-4000),IF($Z728&lt;=5800,"次果筐/托盘－"&amp;INDEX(次果筐明细!$F$4:$F$603,$Z728-5200),"")))))</f>
        <v/>
      </c>
      <c r="E728" s="24" t="str">
        <f>IF($Z728="","",IF($Z728&lt;=2000,IF(INDEX(包装物料出入库明细!$C$4:$C$2003,$Z728-0)=0,"",INDEX(包装物料出入库明细!$C$4:$C$2003,$Z728-0)),IF($Z728&lt;=4000,IF(INDEX(周转筐出入库明细!$E$4:$E$2004,$Z728-2000)=0,"",INDEX(周转筐出入库明细!$E$4:$E$2004,$Z728-2000)),IF($Z728&lt;=5200,IF(INDEX(客户自备加工筐明细!$D$4:$D$1203,$Z728-4000)=0,"",INDEX(客户自备加工筐明细!$D$4:$D$1203,$Z728-4000)),IF($Z728&lt;=5800,IF(INDEX(次果筐明细!$E$4:$E$603,$Z728-5200)=0,"",INDEX(次果筐明细!$E$4:$E$603,$Z728-5200)),"")))))</f>
        <v/>
      </c>
      <c r="F728" s="24" t="str">
        <f>IF($Z728="","",IF($Z728&lt;=2000,IF(INDEX(包装物料出入库明细!$E$4:$E$2003,$Z728-0)=0,"",INDEX(包装物料出入库明细!$E$4:$E$2003,$Z728-0)),IF($Z728&lt;=4000,IF(INDEX(周转筐出入库明细!$D$4:$D$2004,$Z728-2000)=0,"",INDEX(周转筐出入库明细!$D$4:$D$2004,$Z728-2000)),IF($Z728&lt;=5200,IF(INDEX(客户自备加工筐明细!$C$4:$C$1203,$Z728-4000)=0,"",INDEX(客户自备加工筐明细!$C$4:$C$1203,$Z728-4000)),IF($Z728&lt;=5800,IF(INDEX(次果筐明细!$D$4:$D$603,$Z728-5200)=0,"",INDEX(次果筐明细!$D$4:$D$603,$Z728-5200)),"")))))</f>
        <v/>
      </c>
      <c r="G728" s="24" t="str">
        <f>IF($Z728="","",IF($Z728&lt;=2000,IF(INDEX(包装物料出入库明细!$F$4:$F$2003,$Z728-0)=0,"",INDEX(包装物料出入库明细!$F$4:$F$2003,$Z728-0)),IF($Z728&lt;=4000,"",IF($Z728&lt;=5200,"",IF($Z728&lt;=5800,"","")))))</f>
        <v/>
      </c>
      <c r="H728" s="39" t="str">
        <f>IF($Z728="","",IF($Z728&lt;=2000,IF(INDEX(包装物料出入库明细!$L$4:$L$2003,$Z728-0)=0,"",INDEX(包装物料出入库明细!$L$4:$L$2003,$Z728-0)),IF($Z728&lt;=4000,N(INDEX(周转筐出入库明细!$H$4:$H$2004,$Z728-2000))+N(INDEX(周转筐出入库明细!$I$4:$I$2004,$Z728-2000))+N(INDEX(周转筐出入库明细!$J$4:$J$2004,$Z728-2000))+N(INDEX(周转筐出入库明细!$K$4:$K$2004,$Z728-2000)),IF($Z728&lt;=5200,N(INDEX(客户自备加工筐明细!$F$4:$F$1203,$Z728-4000))+N(INDEX(客户自备加工筐明细!$G$4:$G$1203,$Z728-4000)),IF($Z728&lt;=5800,IF(INDEX(次果筐明细!$G$4:$G$603,$Z728-5200)=0,"",INDEX(次果筐明细!$G$4:$G$603,$Z728-5200)),"")))))</f>
        <v/>
      </c>
      <c r="I728" s="24" t="str">
        <f>IF($Z728="","",IF($Z728&lt;=2000,IF(INDEX(包装物料出入库明细!$G$4:$G$2003,$Z728-0)=0,"",INDEX(包装物料出入库明细!$G$4:$G$2003,$Z728-0)),IF($Z728&lt;=4000,"个",IF($Z728&lt;=5200,"个",IF($Z728&lt;=5800,"个","")))))</f>
        <v/>
      </c>
      <c r="J728" s="30" t="str">
        <f t="shared" si="34"/>
        <v/>
      </c>
      <c r="K728" s="30" t="str">
        <f>IF($Z728="","",IF($Z728&lt;=2000,IF(INDEX(包装物料出入库明细!$N$4:$N$2003,$Z728-0)=0,"",INDEX(包装物料出入库明细!$N$4:$N$2003,$Z728-0)),IF($Z728&lt;=4000,IF(INDEX(周转筐出入库明细!$P$4:$P$2004,$Z728-2000)=0,"",INDEX(周转筐出入库明细!$P$4:$P$2004,$Z728-2000)),IF($Z728&lt;=5200,"",IF($Z728&lt;=5800,N(INDEX(次果筐明细!$L$4:$L$603,$Z728-5200))+N(INDEX(次果筐明细!$J$4:$J$603,$Z728-5200)),"")))))</f>
        <v/>
      </c>
      <c r="L728" s="24" t="str">
        <f>IF($Z728="","",IF($Z728&lt;=2000,IF(INDEX(包装物料出入库明细!$P$4:$P$2003,$Z728-0)=0,"",INDEX(包装物料出入库明细!$P$4:$P$2003,$Z728-0)),IF($Z728&lt;=4000,IF(INDEX(周转筐出入库明细!$Q$4:$Q$2004,$Z728-2000)=0,"",INDEX(周转筐出入库明细!$Q$4:$Q$2004,$Z728-2000)),IF($Z728&lt;=5200,"",IF($Z728&lt;=5800,IF(INDEX(次果筐明细!$M$4:$M$603,$Z728-5200)=0,"",INDEX(次果筐明细!$M$4:$M$603,$Z728-5200)),"")))))</f>
        <v/>
      </c>
      <c r="M728" s="37" t="str">
        <f>IF($Z728="","",IF($Z728&lt;=2000,IF(INDEX(包装物料出入库明细!$R$4:$R$2003,$Z728-0)=0,"",INDEX(包装物料出入库明细!$R$4:$R$2003,$Z728-0)),IF($Z728&lt;=4000,IF(INDEX(周转筐出入库明细!$W$4:$W$2004,$Z728-2000)=0,"",INDEX(周转筐出入库明细!$W$4:$W$2004,$Z728-2000)),IF($Z728&lt;=5200,IF(INDEX(客户自备加工筐明细!$L$4:$L$1203,$Z728-4000)=0,"",INDEX(客户自备加工筐明细!$L$4:$L$1203,$Z728-4000)),IF($Z728&lt;=5800,IF(INDEX(次果筐明细!$P$4:$P$603,$Z728-5200)=0,"",INDEX(次果筐明细!$P$4:$P$603,$Z728-5200)),"")))))</f>
        <v/>
      </c>
      <c r="N728" s="16" t="str">
        <f>IF($Z728="","",IF($Z728&lt;=2000,"",IF($Z728&lt;=4000,IF(INDEX(周转筐出入库明细!$D$4:$D$2004,$Z728-2000)=0,"",INDEX(周转筐出入库明细!$D$4:$D$2004,$Z728-2000)),IF($Z728&lt;=5200,IF(INDEX(客户自备加工筐明细!$C$4:$C$1203,$Z728-4000)=0,"",INDEX(客户自备加工筐明细!$C$4:$C$1203,$Z728-4000)),IF($Z728&lt;=5800,IF(INDEX(次果筐明细!$D$4:$D$603,$Z728-5200)=0,"",INDEX(次果筐明细!$D$4:$D$603,$Z728-5200)),"")))))</f>
        <v/>
      </c>
      <c r="O728" s="40" t="str">
        <f>IF($Z728="","",IF($Z728&lt;=2000,"",IF($Z728&lt;=4000,IF(N(INDEX(周转筐出入库明细!$J$4:$J$2004,$Z728-2000))+N(INDEX(周转筐出入库明细!$K$4:$K$2004,$Z728-2000))=0,"",N(INDEX(周转筐出入库明细!$J$4:$J$2004,$Z728-2000))+N(INDEX(周转筐出入库明细!$K$4:$K$2004,$Z728-2000))),IF($Z728&lt;=5200,IF(N(INDEX(客户自备加工筐明细!$G$4:$G$1203,$Z728-4000))=0,"",N(INDEX(客户自备加工筐明细!$G$4:$G$1203,$Z728-4000))),IF($Z728&lt;=5800,IF(ISNUMBER(SEARCH("退",INDEX(次果筐明细!$F$4:$F$603,$Z728-5200)&amp;"")),"",IF(N(INDEX(次果筐明细!$G$4:$G$603,$Z728-5200))=0,"",N(INDEX(次果筐明细!$G$4:$G$603,$Z728-5200)))),"")))))</f>
        <v/>
      </c>
      <c r="P728" s="40" t="str">
        <f>IF($Z728="","",IF($Z728&lt;=2000,"",IF($Z728&lt;=4000,IF(N(INDEX(周转筐出入库明细!$I$4:$I$2004,$Z728-2000))=0,"",N(INDEX(周转筐出入库明细!$I$4:$I$2004,$Z728-2000))),IF($Z728&lt;=5200,"",IF($Z728&lt;=5800,IF(ISNUMBER(SEARCH("退",INDEX(次果筐明细!$F$4:$F$603,$Z728-5200)&amp;"")),IF(N(INDEX(次果筐明细!$G$4:$G$603,$Z728-5200))=0,"",N(INDEX(次果筐明细!$G$4:$G$603,$Z728-5200))),""),"")))))</f>
        <v/>
      </c>
      <c r="Q728" s="40" t="str">
        <f>IF($Z728="","",IF($Z728&lt;=2000,"",IF($Z728&lt;=4000,IF(N(INDEX(周转筐出入库明细!$H$4:$H$2004,$Z728-2000))=0,"",N(INDEX(周转筐出入库明细!$H$4:$H$2004,$Z728-2000))),IF($Z728&lt;=5200,IF(N(INDEX(客户自备加工筐明细!$F$4:$F$1203,$Z728-4000))=0,"",N(INDEX(客户自备加工筐明细!$F$4:$F$1203,$Z728-4000))),IF($Z728&lt;=5800,"","")))))</f>
        <v/>
      </c>
      <c r="R728" s="16" t="str">
        <f>IF($Z728="","",IF($Z728&lt;=2000,IF(INDEX(包装物料出入库明细!$O$4:$O$2003,$Z728-0)=0,"",INDEX(包装物料出入库明细!$O$4:$O$2003,$Z728-0)),IF($Z728&lt;=4000,IF(INDEX(周转筐出入库明细!$M$4:$M$2004,$Z728-2000)=0,"",INDEX(周转筐出入库明细!$M$4:$M$2004,$Z728-2000)),IF($Z728&lt;=5200,IF(INDEX(客户自备加工筐明细!$H$4:$H$1203,$Z728-4000)=0,"",INDEX(客户自备加工筐明细!$H$4:$H$1203,$Z728-4000)),IF($Z728&lt;=5800,IF(INDEX(次果筐明细!$H$4:$H$603,$Z728-5200)=0,"",INDEX(次果筐明细!$H$4:$H$603,$Z728-5200)),"")))))</f>
        <v/>
      </c>
      <c r="S728" s="22" t="str">
        <f t="shared" si="35"/>
        <v/>
      </c>
      <c r="Z728" s="10" t="str">
        <f>IFERROR(MATCH(ROW()-3,_自动清单!$CQ$4:$CQ$5803,0),"")</f>
        <v/>
      </c>
    </row>
    <row r="729" spans="1:26">
      <c r="A729" s="24" t="str">
        <f t="shared" si="33"/>
        <v/>
      </c>
      <c r="B729" s="38" t="str">
        <f>IF($Z729="","",IF($Z729&lt;=2000,IF(INDEX(包装物料出入库明细!$B$4:$B$2003,$Z729-0)=0,"",INDEX(包装物料出入库明细!$B$4:$B$2003,$Z729-0)),IF($Z729&lt;=4000,IF(INDEX(周转筐出入库明细!$B$4:$B$2004,$Z729-2000)=0,"",INDEX(周转筐出入库明细!$B$4:$B$2004,$Z729-2000)),IF($Z729&lt;=5200,IF(INDEX(客户自备加工筐明细!$B$4:$B$1203,$Z729-4000)=0,"",INDEX(客户自备加工筐明细!$B$4:$B$1203,$Z729-4000)),IF($Z729&lt;=5800,IF(INDEX(次果筐明细!$B$4:$B$603,$Z729-5200)=0,"",INDEX(次果筐明细!$B$4:$B$603,$Z729-5200)),"")))))</f>
        <v/>
      </c>
      <c r="C729" s="37" t="str">
        <f>IF($Z729="","",IF($Z729&lt;=2000,IF(INDEX(包装物料出入库明细!$D$4:$D$2003,$Z729-0)=0,"",INDEX(包装物料出入库明细!$D$4:$D$2003,$Z729-0)),IF($Z729&lt;=4000,IF(INDEX(周转筐出入库明细!$C$4:$C$2004,$Z729-2000)=0,"",INDEX(周转筐出入库明细!$C$4:$C$2004,$Z729-2000)),IF($Z729&lt;=5200,IF(INDEX(客户自备加工筐明细!$E$4:$E$1203,$Z729-4000)=0,"",INDEX(客户自备加工筐明细!$E$4:$E$1203,$Z729-4000)),IF($Z729&lt;=5800,IF(INDEX(次果筐明细!$C$4:$C$603,$Z729-5200)=0,"",INDEX(次果筐明细!$C$4:$C$603,$Z729-5200)),"")))))</f>
        <v/>
      </c>
      <c r="D729" s="37" t="str">
        <f>IF($Z729="","",IF($Z729&lt;=2000,"包装物料－"&amp;INDEX(包装物料出入库明细!$H$4:$H$2003,$Z729-0),IF($Z729&lt;=4000,"周转筐－"&amp;INDEX(周转筐出入库明细!$F$4:$F$2004,$Z729-2000),IF($Z729&lt;=5200,"客户自备筐－"&amp;INDEX(客户自备加工筐明细!$J$4:$J$1203,$Z729-4000),IF($Z729&lt;=5800,"次果筐/托盘－"&amp;INDEX(次果筐明细!$F$4:$F$603,$Z729-5200),"")))))</f>
        <v/>
      </c>
      <c r="E729" s="24" t="str">
        <f>IF($Z729="","",IF($Z729&lt;=2000,IF(INDEX(包装物料出入库明细!$C$4:$C$2003,$Z729-0)=0,"",INDEX(包装物料出入库明细!$C$4:$C$2003,$Z729-0)),IF($Z729&lt;=4000,IF(INDEX(周转筐出入库明细!$E$4:$E$2004,$Z729-2000)=0,"",INDEX(周转筐出入库明细!$E$4:$E$2004,$Z729-2000)),IF($Z729&lt;=5200,IF(INDEX(客户自备加工筐明细!$D$4:$D$1203,$Z729-4000)=0,"",INDEX(客户自备加工筐明细!$D$4:$D$1203,$Z729-4000)),IF($Z729&lt;=5800,IF(INDEX(次果筐明细!$E$4:$E$603,$Z729-5200)=0,"",INDEX(次果筐明细!$E$4:$E$603,$Z729-5200)),"")))))</f>
        <v/>
      </c>
      <c r="F729" s="24" t="str">
        <f>IF($Z729="","",IF($Z729&lt;=2000,IF(INDEX(包装物料出入库明细!$E$4:$E$2003,$Z729-0)=0,"",INDEX(包装物料出入库明细!$E$4:$E$2003,$Z729-0)),IF($Z729&lt;=4000,IF(INDEX(周转筐出入库明细!$D$4:$D$2004,$Z729-2000)=0,"",INDEX(周转筐出入库明细!$D$4:$D$2004,$Z729-2000)),IF($Z729&lt;=5200,IF(INDEX(客户自备加工筐明细!$C$4:$C$1203,$Z729-4000)=0,"",INDEX(客户自备加工筐明细!$C$4:$C$1203,$Z729-4000)),IF($Z729&lt;=5800,IF(INDEX(次果筐明细!$D$4:$D$603,$Z729-5200)=0,"",INDEX(次果筐明细!$D$4:$D$603,$Z729-5200)),"")))))</f>
        <v/>
      </c>
      <c r="G729" s="24" t="str">
        <f>IF($Z729="","",IF($Z729&lt;=2000,IF(INDEX(包装物料出入库明细!$F$4:$F$2003,$Z729-0)=0,"",INDEX(包装物料出入库明细!$F$4:$F$2003,$Z729-0)),IF($Z729&lt;=4000,"",IF($Z729&lt;=5200,"",IF($Z729&lt;=5800,"","")))))</f>
        <v/>
      </c>
      <c r="H729" s="39" t="str">
        <f>IF($Z729="","",IF($Z729&lt;=2000,IF(INDEX(包装物料出入库明细!$L$4:$L$2003,$Z729-0)=0,"",INDEX(包装物料出入库明细!$L$4:$L$2003,$Z729-0)),IF($Z729&lt;=4000,N(INDEX(周转筐出入库明细!$H$4:$H$2004,$Z729-2000))+N(INDEX(周转筐出入库明细!$I$4:$I$2004,$Z729-2000))+N(INDEX(周转筐出入库明细!$J$4:$J$2004,$Z729-2000))+N(INDEX(周转筐出入库明细!$K$4:$K$2004,$Z729-2000)),IF($Z729&lt;=5200,N(INDEX(客户自备加工筐明细!$F$4:$F$1203,$Z729-4000))+N(INDEX(客户自备加工筐明细!$G$4:$G$1203,$Z729-4000)),IF($Z729&lt;=5800,IF(INDEX(次果筐明细!$G$4:$G$603,$Z729-5200)=0,"",INDEX(次果筐明细!$G$4:$G$603,$Z729-5200)),"")))))</f>
        <v/>
      </c>
      <c r="I729" s="24" t="str">
        <f>IF($Z729="","",IF($Z729&lt;=2000,IF(INDEX(包装物料出入库明细!$G$4:$G$2003,$Z729-0)=0,"",INDEX(包装物料出入库明细!$G$4:$G$2003,$Z729-0)),IF($Z729&lt;=4000,"个",IF($Z729&lt;=5200,"个",IF($Z729&lt;=5800,"个","")))))</f>
        <v/>
      </c>
      <c r="J729" s="30" t="str">
        <f t="shared" si="34"/>
        <v/>
      </c>
      <c r="K729" s="30" t="str">
        <f>IF($Z729="","",IF($Z729&lt;=2000,IF(INDEX(包装物料出入库明细!$N$4:$N$2003,$Z729-0)=0,"",INDEX(包装物料出入库明细!$N$4:$N$2003,$Z729-0)),IF($Z729&lt;=4000,IF(INDEX(周转筐出入库明细!$P$4:$P$2004,$Z729-2000)=0,"",INDEX(周转筐出入库明细!$P$4:$P$2004,$Z729-2000)),IF($Z729&lt;=5200,"",IF($Z729&lt;=5800,N(INDEX(次果筐明细!$L$4:$L$603,$Z729-5200))+N(INDEX(次果筐明细!$J$4:$J$603,$Z729-5200)),"")))))</f>
        <v/>
      </c>
      <c r="L729" s="24" t="str">
        <f>IF($Z729="","",IF($Z729&lt;=2000,IF(INDEX(包装物料出入库明细!$P$4:$P$2003,$Z729-0)=0,"",INDEX(包装物料出入库明细!$P$4:$P$2003,$Z729-0)),IF($Z729&lt;=4000,IF(INDEX(周转筐出入库明细!$Q$4:$Q$2004,$Z729-2000)=0,"",INDEX(周转筐出入库明细!$Q$4:$Q$2004,$Z729-2000)),IF($Z729&lt;=5200,"",IF($Z729&lt;=5800,IF(INDEX(次果筐明细!$M$4:$M$603,$Z729-5200)=0,"",INDEX(次果筐明细!$M$4:$M$603,$Z729-5200)),"")))))</f>
        <v/>
      </c>
      <c r="M729" s="37" t="str">
        <f>IF($Z729="","",IF($Z729&lt;=2000,IF(INDEX(包装物料出入库明细!$R$4:$R$2003,$Z729-0)=0,"",INDEX(包装物料出入库明细!$R$4:$R$2003,$Z729-0)),IF($Z729&lt;=4000,IF(INDEX(周转筐出入库明细!$W$4:$W$2004,$Z729-2000)=0,"",INDEX(周转筐出入库明细!$W$4:$W$2004,$Z729-2000)),IF($Z729&lt;=5200,IF(INDEX(客户自备加工筐明细!$L$4:$L$1203,$Z729-4000)=0,"",INDEX(客户自备加工筐明细!$L$4:$L$1203,$Z729-4000)),IF($Z729&lt;=5800,IF(INDEX(次果筐明细!$P$4:$P$603,$Z729-5200)=0,"",INDEX(次果筐明细!$P$4:$P$603,$Z729-5200)),"")))))</f>
        <v/>
      </c>
      <c r="N729" s="16" t="str">
        <f>IF($Z729="","",IF($Z729&lt;=2000,"",IF($Z729&lt;=4000,IF(INDEX(周转筐出入库明细!$D$4:$D$2004,$Z729-2000)=0,"",INDEX(周转筐出入库明细!$D$4:$D$2004,$Z729-2000)),IF($Z729&lt;=5200,IF(INDEX(客户自备加工筐明细!$C$4:$C$1203,$Z729-4000)=0,"",INDEX(客户自备加工筐明细!$C$4:$C$1203,$Z729-4000)),IF($Z729&lt;=5800,IF(INDEX(次果筐明细!$D$4:$D$603,$Z729-5200)=0,"",INDEX(次果筐明细!$D$4:$D$603,$Z729-5200)),"")))))</f>
        <v/>
      </c>
      <c r="O729" s="40" t="str">
        <f>IF($Z729="","",IF($Z729&lt;=2000,"",IF($Z729&lt;=4000,IF(N(INDEX(周转筐出入库明细!$J$4:$J$2004,$Z729-2000))+N(INDEX(周转筐出入库明细!$K$4:$K$2004,$Z729-2000))=0,"",N(INDEX(周转筐出入库明细!$J$4:$J$2004,$Z729-2000))+N(INDEX(周转筐出入库明细!$K$4:$K$2004,$Z729-2000))),IF($Z729&lt;=5200,IF(N(INDEX(客户自备加工筐明细!$G$4:$G$1203,$Z729-4000))=0,"",N(INDEX(客户自备加工筐明细!$G$4:$G$1203,$Z729-4000))),IF($Z729&lt;=5800,IF(ISNUMBER(SEARCH("退",INDEX(次果筐明细!$F$4:$F$603,$Z729-5200)&amp;"")),"",IF(N(INDEX(次果筐明细!$G$4:$G$603,$Z729-5200))=0,"",N(INDEX(次果筐明细!$G$4:$G$603,$Z729-5200)))),"")))))</f>
        <v/>
      </c>
      <c r="P729" s="40" t="str">
        <f>IF($Z729="","",IF($Z729&lt;=2000,"",IF($Z729&lt;=4000,IF(N(INDEX(周转筐出入库明细!$I$4:$I$2004,$Z729-2000))=0,"",N(INDEX(周转筐出入库明细!$I$4:$I$2004,$Z729-2000))),IF($Z729&lt;=5200,"",IF($Z729&lt;=5800,IF(ISNUMBER(SEARCH("退",INDEX(次果筐明细!$F$4:$F$603,$Z729-5200)&amp;"")),IF(N(INDEX(次果筐明细!$G$4:$G$603,$Z729-5200))=0,"",N(INDEX(次果筐明细!$G$4:$G$603,$Z729-5200))),""),"")))))</f>
        <v/>
      </c>
      <c r="Q729" s="40" t="str">
        <f>IF($Z729="","",IF($Z729&lt;=2000,"",IF($Z729&lt;=4000,IF(N(INDEX(周转筐出入库明细!$H$4:$H$2004,$Z729-2000))=0,"",N(INDEX(周转筐出入库明细!$H$4:$H$2004,$Z729-2000))),IF($Z729&lt;=5200,IF(N(INDEX(客户自备加工筐明细!$F$4:$F$1203,$Z729-4000))=0,"",N(INDEX(客户自备加工筐明细!$F$4:$F$1203,$Z729-4000))),IF($Z729&lt;=5800,"","")))))</f>
        <v/>
      </c>
      <c r="R729" s="16" t="str">
        <f>IF($Z729="","",IF($Z729&lt;=2000,IF(INDEX(包装物料出入库明细!$O$4:$O$2003,$Z729-0)=0,"",INDEX(包装物料出入库明细!$O$4:$O$2003,$Z729-0)),IF($Z729&lt;=4000,IF(INDEX(周转筐出入库明细!$M$4:$M$2004,$Z729-2000)=0,"",INDEX(周转筐出入库明细!$M$4:$M$2004,$Z729-2000)),IF($Z729&lt;=5200,IF(INDEX(客户自备加工筐明细!$H$4:$H$1203,$Z729-4000)=0,"",INDEX(客户自备加工筐明细!$H$4:$H$1203,$Z729-4000)),IF($Z729&lt;=5800,IF(INDEX(次果筐明细!$H$4:$H$603,$Z729-5200)=0,"",INDEX(次果筐明细!$H$4:$H$603,$Z729-5200)),"")))))</f>
        <v/>
      </c>
      <c r="S729" s="22" t="str">
        <f t="shared" si="35"/>
        <v/>
      </c>
      <c r="Z729" s="10" t="str">
        <f>IFERROR(MATCH(ROW()-3,_自动清单!$CQ$4:$CQ$5803,0),"")</f>
        <v/>
      </c>
    </row>
    <row r="730" spans="1:26">
      <c r="A730" s="24" t="str">
        <f t="shared" si="33"/>
        <v/>
      </c>
      <c r="B730" s="38" t="str">
        <f>IF($Z730="","",IF($Z730&lt;=2000,IF(INDEX(包装物料出入库明细!$B$4:$B$2003,$Z730-0)=0,"",INDEX(包装物料出入库明细!$B$4:$B$2003,$Z730-0)),IF($Z730&lt;=4000,IF(INDEX(周转筐出入库明细!$B$4:$B$2004,$Z730-2000)=0,"",INDEX(周转筐出入库明细!$B$4:$B$2004,$Z730-2000)),IF($Z730&lt;=5200,IF(INDEX(客户自备加工筐明细!$B$4:$B$1203,$Z730-4000)=0,"",INDEX(客户自备加工筐明细!$B$4:$B$1203,$Z730-4000)),IF($Z730&lt;=5800,IF(INDEX(次果筐明细!$B$4:$B$603,$Z730-5200)=0,"",INDEX(次果筐明细!$B$4:$B$603,$Z730-5200)),"")))))</f>
        <v/>
      </c>
      <c r="C730" s="37" t="str">
        <f>IF($Z730="","",IF($Z730&lt;=2000,IF(INDEX(包装物料出入库明细!$D$4:$D$2003,$Z730-0)=0,"",INDEX(包装物料出入库明细!$D$4:$D$2003,$Z730-0)),IF($Z730&lt;=4000,IF(INDEX(周转筐出入库明细!$C$4:$C$2004,$Z730-2000)=0,"",INDEX(周转筐出入库明细!$C$4:$C$2004,$Z730-2000)),IF($Z730&lt;=5200,IF(INDEX(客户自备加工筐明细!$E$4:$E$1203,$Z730-4000)=0,"",INDEX(客户自备加工筐明细!$E$4:$E$1203,$Z730-4000)),IF($Z730&lt;=5800,IF(INDEX(次果筐明细!$C$4:$C$603,$Z730-5200)=0,"",INDEX(次果筐明细!$C$4:$C$603,$Z730-5200)),"")))))</f>
        <v/>
      </c>
      <c r="D730" s="37" t="str">
        <f>IF($Z730="","",IF($Z730&lt;=2000,"包装物料－"&amp;INDEX(包装物料出入库明细!$H$4:$H$2003,$Z730-0),IF($Z730&lt;=4000,"周转筐－"&amp;INDEX(周转筐出入库明细!$F$4:$F$2004,$Z730-2000),IF($Z730&lt;=5200,"客户自备筐－"&amp;INDEX(客户自备加工筐明细!$J$4:$J$1203,$Z730-4000),IF($Z730&lt;=5800,"次果筐/托盘－"&amp;INDEX(次果筐明细!$F$4:$F$603,$Z730-5200),"")))))</f>
        <v/>
      </c>
      <c r="E730" s="24" t="str">
        <f>IF($Z730="","",IF($Z730&lt;=2000,IF(INDEX(包装物料出入库明细!$C$4:$C$2003,$Z730-0)=0,"",INDEX(包装物料出入库明细!$C$4:$C$2003,$Z730-0)),IF($Z730&lt;=4000,IF(INDEX(周转筐出入库明细!$E$4:$E$2004,$Z730-2000)=0,"",INDEX(周转筐出入库明细!$E$4:$E$2004,$Z730-2000)),IF($Z730&lt;=5200,IF(INDEX(客户自备加工筐明细!$D$4:$D$1203,$Z730-4000)=0,"",INDEX(客户自备加工筐明细!$D$4:$D$1203,$Z730-4000)),IF($Z730&lt;=5800,IF(INDEX(次果筐明细!$E$4:$E$603,$Z730-5200)=0,"",INDEX(次果筐明细!$E$4:$E$603,$Z730-5200)),"")))))</f>
        <v/>
      </c>
      <c r="F730" s="24" t="str">
        <f>IF($Z730="","",IF($Z730&lt;=2000,IF(INDEX(包装物料出入库明细!$E$4:$E$2003,$Z730-0)=0,"",INDEX(包装物料出入库明细!$E$4:$E$2003,$Z730-0)),IF($Z730&lt;=4000,IF(INDEX(周转筐出入库明细!$D$4:$D$2004,$Z730-2000)=0,"",INDEX(周转筐出入库明细!$D$4:$D$2004,$Z730-2000)),IF($Z730&lt;=5200,IF(INDEX(客户自备加工筐明细!$C$4:$C$1203,$Z730-4000)=0,"",INDEX(客户自备加工筐明细!$C$4:$C$1203,$Z730-4000)),IF($Z730&lt;=5800,IF(INDEX(次果筐明细!$D$4:$D$603,$Z730-5200)=0,"",INDEX(次果筐明细!$D$4:$D$603,$Z730-5200)),"")))))</f>
        <v/>
      </c>
      <c r="G730" s="24" t="str">
        <f>IF($Z730="","",IF($Z730&lt;=2000,IF(INDEX(包装物料出入库明细!$F$4:$F$2003,$Z730-0)=0,"",INDEX(包装物料出入库明细!$F$4:$F$2003,$Z730-0)),IF($Z730&lt;=4000,"",IF($Z730&lt;=5200,"",IF($Z730&lt;=5800,"","")))))</f>
        <v/>
      </c>
      <c r="H730" s="39" t="str">
        <f>IF($Z730="","",IF($Z730&lt;=2000,IF(INDEX(包装物料出入库明细!$L$4:$L$2003,$Z730-0)=0,"",INDEX(包装物料出入库明细!$L$4:$L$2003,$Z730-0)),IF($Z730&lt;=4000,N(INDEX(周转筐出入库明细!$H$4:$H$2004,$Z730-2000))+N(INDEX(周转筐出入库明细!$I$4:$I$2004,$Z730-2000))+N(INDEX(周转筐出入库明细!$J$4:$J$2004,$Z730-2000))+N(INDEX(周转筐出入库明细!$K$4:$K$2004,$Z730-2000)),IF($Z730&lt;=5200,N(INDEX(客户自备加工筐明细!$F$4:$F$1203,$Z730-4000))+N(INDEX(客户自备加工筐明细!$G$4:$G$1203,$Z730-4000)),IF($Z730&lt;=5800,IF(INDEX(次果筐明细!$G$4:$G$603,$Z730-5200)=0,"",INDEX(次果筐明细!$G$4:$G$603,$Z730-5200)),"")))))</f>
        <v/>
      </c>
      <c r="I730" s="24" t="str">
        <f>IF($Z730="","",IF($Z730&lt;=2000,IF(INDEX(包装物料出入库明细!$G$4:$G$2003,$Z730-0)=0,"",INDEX(包装物料出入库明细!$G$4:$G$2003,$Z730-0)),IF($Z730&lt;=4000,"个",IF($Z730&lt;=5200,"个",IF($Z730&lt;=5800,"个","")))))</f>
        <v/>
      </c>
      <c r="J730" s="30" t="str">
        <f t="shared" si="34"/>
        <v/>
      </c>
      <c r="K730" s="30" t="str">
        <f>IF($Z730="","",IF($Z730&lt;=2000,IF(INDEX(包装物料出入库明细!$N$4:$N$2003,$Z730-0)=0,"",INDEX(包装物料出入库明细!$N$4:$N$2003,$Z730-0)),IF($Z730&lt;=4000,IF(INDEX(周转筐出入库明细!$P$4:$P$2004,$Z730-2000)=0,"",INDEX(周转筐出入库明细!$P$4:$P$2004,$Z730-2000)),IF($Z730&lt;=5200,"",IF($Z730&lt;=5800,N(INDEX(次果筐明细!$L$4:$L$603,$Z730-5200))+N(INDEX(次果筐明细!$J$4:$J$603,$Z730-5200)),"")))))</f>
        <v/>
      </c>
      <c r="L730" s="24" t="str">
        <f>IF($Z730="","",IF($Z730&lt;=2000,IF(INDEX(包装物料出入库明细!$P$4:$P$2003,$Z730-0)=0,"",INDEX(包装物料出入库明细!$P$4:$P$2003,$Z730-0)),IF($Z730&lt;=4000,IF(INDEX(周转筐出入库明细!$Q$4:$Q$2004,$Z730-2000)=0,"",INDEX(周转筐出入库明细!$Q$4:$Q$2004,$Z730-2000)),IF($Z730&lt;=5200,"",IF($Z730&lt;=5800,IF(INDEX(次果筐明细!$M$4:$M$603,$Z730-5200)=0,"",INDEX(次果筐明细!$M$4:$M$603,$Z730-5200)),"")))))</f>
        <v/>
      </c>
      <c r="M730" s="37" t="str">
        <f>IF($Z730="","",IF($Z730&lt;=2000,IF(INDEX(包装物料出入库明细!$R$4:$R$2003,$Z730-0)=0,"",INDEX(包装物料出入库明细!$R$4:$R$2003,$Z730-0)),IF($Z730&lt;=4000,IF(INDEX(周转筐出入库明细!$W$4:$W$2004,$Z730-2000)=0,"",INDEX(周转筐出入库明细!$W$4:$W$2004,$Z730-2000)),IF($Z730&lt;=5200,IF(INDEX(客户自备加工筐明细!$L$4:$L$1203,$Z730-4000)=0,"",INDEX(客户自备加工筐明细!$L$4:$L$1203,$Z730-4000)),IF($Z730&lt;=5800,IF(INDEX(次果筐明细!$P$4:$P$603,$Z730-5200)=0,"",INDEX(次果筐明细!$P$4:$P$603,$Z730-5200)),"")))))</f>
        <v/>
      </c>
      <c r="N730" s="16" t="str">
        <f>IF($Z730="","",IF($Z730&lt;=2000,"",IF($Z730&lt;=4000,IF(INDEX(周转筐出入库明细!$D$4:$D$2004,$Z730-2000)=0,"",INDEX(周转筐出入库明细!$D$4:$D$2004,$Z730-2000)),IF($Z730&lt;=5200,IF(INDEX(客户自备加工筐明细!$C$4:$C$1203,$Z730-4000)=0,"",INDEX(客户自备加工筐明细!$C$4:$C$1203,$Z730-4000)),IF($Z730&lt;=5800,IF(INDEX(次果筐明细!$D$4:$D$603,$Z730-5200)=0,"",INDEX(次果筐明细!$D$4:$D$603,$Z730-5200)),"")))))</f>
        <v/>
      </c>
      <c r="O730" s="40" t="str">
        <f>IF($Z730="","",IF($Z730&lt;=2000,"",IF($Z730&lt;=4000,IF(N(INDEX(周转筐出入库明细!$J$4:$J$2004,$Z730-2000))+N(INDEX(周转筐出入库明细!$K$4:$K$2004,$Z730-2000))=0,"",N(INDEX(周转筐出入库明细!$J$4:$J$2004,$Z730-2000))+N(INDEX(周转筐出入库明细!$K$4:$K$2004,$Z730-2000))),IF($Z730&lt;=5200,IF(N(INDEX(客户自备加工筐明细!$G$4:$G$1203,$Z730-4000))=0,"",N(INDEX(客户自备加工筐明细!$G$4:$G$1203,$Z730-4000))),IF($Z730&lt;=5800,IF(ISNUMBER(SEARCH("退",INDEX(次果筐明细!$F$4:$F$603,$Z730-5200)&amp;"")),"",IF(N(INDEX(次果筐明细!$G$4:$G$603,$Z730-5200))=0,"",N(INDEX(次果筐明细!$G$4:$G$603,$Z730-5200)))),"")))))</f>
        <v/>
      </c>
      <c r="P730" s="40" t="str">
        <f>IF($Z730="","",IF($Z730&lt;=2000,"",IF($Z730&lt;=4000,IF(N(INDEX(周转筐出入库明细!$I$4:$I$2004,$Z730-2000))=0,"",N(INDEX(周转筐出入库明细!$I$4:$I$2004,$Z730-2000))),IF($Z730&lt;=5200,"",IF($Z730&lt;=5800,IF(ISNUMBER(SEARCH("退",INDEX(次果筐明细!$F$4:$F$603,$Z730-5200)&amp;"")),IF(N(INDEX(次果筐明细!$G$4:$G$603,$Z730-5200))=0,"",N(INDEX(次果筐明细!$G$4:$G$603,$Z730-5200))),""),"")))))</f>
        <v/>
      </c>
      <c r="Q730" s="40" t="str">
        <f>IF($Z730="","",IF($Z730&lt;=2000,"",IF($Z730&lt;=4000,IF(N(INDEX(周转筐出入库明细!$H$4:$H$2004,$Z730-2000))=0,"",N(INDEX(周转筐出入库明细!$H$4:$H$2004,$Z730-2000))),IF($Z730&lt;=5200,IF(N(INDEX(客户自备加工筐明细!$F$4:$F$1203,$Z730-4000))=0,"",N(INDEX(客户自备加工筐明细!$F$4:$F$1203,$Z730-4000))),IF($Z730&lt;=5800,"","")))))</f>
        <v/>
      </c>
      <c r="R730" s="16" t="str">
        <f>IF($Z730="","",IF($Z730&lt;=2000,IF(INDEX(包装物料出入库明细!$O$4:$O$2003,$Z730-0)=0,"",INDEX(包装物料出入库明细!$O$4:$O$2003,$Z730-0)),IF($Z730&lt;=4000,IF(INDEX(周转筐出入库明细!$M$4:$M$2004,$Z730-2000)=0,"",INDEX(周转筐出入库明细!$M$4:$M$2004,$Z730-2000)),IF($Z730&lt;=5200,IF(INDEX(客户自备加工筐明细!$H$4:$H$1203,$Z730-4000)=0,"",INDEX(客户自备加工筐明细!$H$4:$H$1203,$Z730-4000)),IF($Z730&lt;=5800,IF(INDEX(次果筐明细!$H$4:$H$603,$Z730-5200)=0,"",INDEX(次果筐明细!$H$4:$H$603,$Z730-5200)),"")))))</f>
        <v/>
      </c>
      <c r="S730" s="22" t="str">
        <f t="shared" si="35"/>
        <v/>
      </c>
      <c r="Z730" s="10" t="str">
        <f>IFERROR(MATCH(ROW()-3,_自动清单!$CQ$4:$CQ$5803,0),"")</f>
        <v/>
      </c>
    </row>
    <row r="731" spans="1:26">
      <c r="A731" s="24" t="str">
        <f t="shared" si="33"/>
        <v/>
      </c>
      <c r="B731" s="38" t="str">
        <f>IF($Z731="","",IF($Z731&lt;=2000,IF(INDEX(包装物料出入库明细!$B$4:$B$2003,$Z731-0)=0,"",INDEX(包装物料出入库明细!$B$4:$B$2003,$Z731-0)),IF($Z731&lt;=4000,IF(INDEX(周转筐出入库明细!$B$4:$B$2004,$Z731-2000)=0,"",INDEX(周转筐出入库明细!$B$4:$B$2004,$Z731-2000)),IF($Z731&lt;=5200,IF(INDEX(客户自备加工筐明细!$B$4:$B$1203,$Z731-4000)=0,"",INDEX(客户自备加工筐明细!$B$4:$B$1203,$Z731-4000)),IF($Z731&lt;=5800,IF(INDEX(次果筐明细!$B$4:$B$603,$Z731-5200)=0,"",INDEX(次果筐明细!$B$4:$B$603,$Z731-5200)),"")))))</f>
        <v/>
      </c>
      <c r="C731" s="37" t="str">
        <f>IF($Z731="","",IF($Z731&lt;=2000,IF(INDEX(包装物料出入库明细!$D$4:$D$2003,$Z731-0)=0,"",INDEX(包装物料出入库明细!$D$4:$D$2003,$Z731-0)),IF($Z731&lt;=4000,IF(INDEX(周转筐出入库明细!$C$4:$C$2004,$Z731-2000)=0,"",INDEX(周转筐出入库明细!$C$4:$C$2004,$Z731-2000)),IF($Z731&lt;=5200,IF(INDEX(客户自备加工筐明细!$E$4:$E$1203,$Z731-4000)=0,"",INDEX(客户自备加工筐明细!$E$4:$E$1203,$Z731-4000)),IF($Z731&lt;=5800,IF(INDEX(次果筐明细!$C$4:$C$603,$Z731-5200)=0,"",INDEX(次果筐明细!$C$4:$C$603,$Z731-5200)),"")))))</f>
        <v/>
      </c>
      <c r="D731" s="37" t="str">
        <f>IF($Z731="","",IF($Z731&lt;=2000,"包装物料－"&amp;INDEX(包装物料出入库明细!$H$4:$H$2003,$Z731-0),IF($Z731&lt;=4000,"周转筐－"&amp;INDEX(周转筐出入库明细!$F$4:$F$2004,$Z731-2000),IF($Z731&lt;=5200,"客户自备筐－"&amp;INDEX(客户自备加工筐明细!$J$4:$J$1203,$Z731-4000),IF($Z731&lt;=5800,"次果筐/托盘－"&amp;INDEX(次果筐明细!$F$4:$F$603,$Z731-5200),"")))))</f>
        <v/>
      </c>
      <c r="E731" s="24" t="str">
        <f>IF($Z731="","",IF($Z731&lt;=2000,IF(INDEX(包装物料出入库明细!$C$4:$C$2003,$Z731-0)=0,"",INDEX(包装物料出入库明细!$C$4:$C$2003,$Z731-0)),IF($Z731&lt;=4000,IF(INDEX(周转筐出入库明细!$E$4:$E$2004,$Z731-2000)=0,"",INDEX(周转筐出入库明细!$E$4:$E$2004,$Z731-2000)),IF($Z731&lt;=5200,IF(INDEX(客户自备加工筐明细!$D$4:$D$1203,$Z731-4000)=0,"",INDEX(客户自备加工筐明细!$D$4:$D$1203,$Z731-4000)),IF($Z731&lt;=5800,IF(INDEX(次果筐明细!$E$4:$E$603,$Z731-5200)=0,"",INDEX(次果筐明细!$E$4:$E$603,$Z731-5200)),"")))))</f>
        <v/>
      </c>
      <c r="F731" s="24" t="str">
        <f>IF($Z731="","",IF($Z731&lt;=2000,IF(INDEX(包装物料出入库明细!$E$4:$E$2003,$Z731-0)=0,"",INDEX(包装物料出入库明细!$E$4:$E$2003,$Z731-0)),IF($Z731&lt;=4000,IF(INDEX(周转筐出入库明细!$D$4:$D$2004,$Z731-2000)=0,"",INDEX(周转筐出入库明细!$D$4:$D$2004,$Z731-2000)),IF($Z731&lt;=5200,IF(INDEX(客户自备加工筐明细!$C$4:$C$1203,$Z731-4000)=0,"",INDEX(客户自备加工筐明细!$C$4:$C$1203,$Z731-4000)),IF($Z731&lt;=5800,IF(INDEX(次果筐明细!$D$4:$D$603,$Z731-5200)=0,"",INDEX(次果筐明细!$D$4:$D$603,$Z731-5200)),"")))))</f>
        <v/>
      </c>
      <c r="G731" s="24" t="str">
        <f>IF($Z731="","",IF($Z731&lt;=2000,IF(INDEX(包装物料出入库明细!$F$4:$F$2003,$Z731-0)=0,"",INDEX(包装物料出入库明细!$F$4:$F$2003,$Z731-0)),IF($Z731&lt;=4000,"",IF($Z731&lt;=5200,"",IF($Z731&lt;=5800,"","")))))</f>
        <v/>
      </c>
      <c r="H731" s="39" t="str">
        <f>IF($Z731="","",IF($Z731&lt;=2000,IF(INDEX(包装物料出入库明细!$L$4:$L$2003,$Z731-0)=0,"",INDEX(包装物料出入库明细!$L$4:$L$2003,$Z731-0)),IF($Z731&lt;=4000,N(INDEX(周转筐出入库明细!$H$4:$H$2004,$Z731-2000))+N(INDEX(周转筐出入库明细!$I$4:$I$2004,$Z731-2000))+N(INDEX(周转筐出入库明细!$J$4:$J$2004,$Z731-2000))+N(INDEX(周转筐出入库明细!$K$4:$K$2004,$Z731-2000)),IF($Z731&lt;=5200,N(INDEX(客户自备加工筐明细!$F$4:$F$1203,$Z731-4000))+N(INDEX(客户自备加工筐明细!$G$4:$G$1203,$Z731-4000)),IF($Z731&lt;=5800,IF(INDEX(次果筐明细!$G$4:$G$603,$Z731-5200)=0,"",INDEX(次果筐明细!$G$4:$G$603,$Z731-5200)),"")))))</f>
        <v/>
      </c>
      <c r="I731" s="24" t="str">
        <f>IF($Z731="","",IF($Z731&lt;=2000,IF(INDEX(包装物料出入库明细!$G$4:$G$2003,$Z731-0)=0,"",INDEX(包装物料出入库明细!$G$4:$G$2003,$Z731-0)),IF($Z731&lt;=4000,"个",IF($Z731&lt;=5200,"个",IF($Z731&lt;=5800,"个","")))))</f>
        <v/>
      </c>
      <c r="J731" s="30" t="str">
        <f t="shared" si="34"/>
        <v/>
      </c>
      <c r="K731" s="30" t="str">
        <f>IF($Z731="","",IF($Z731&lt;=2000,IF(INDEX(包装物料出入库明细!$N$4:$N$2003,$Z731-0)=0,"",INDEX(包装物料出入库明细!$N$4:$N$2003,$Z731-0)),IF($Z731&lt;=4000,IF(INDEX(周转筐出入库明细!$P$4:$P$2004,$Z731-2000)=0,"",INDEX(周转筐出入库明细!$P$4:$P$2004,$Z731-2000)),IF($Z731&lt;=5200,"",IF($Z731&lt;=5800,N(INDEX(次果筐明细!$L$4:$L$603,$Z731-5200))+N(INDEX(次果筐明细!$J$4:$J$603,$Z731-5200)),"")))))</f>
        <v/>
      </c>
      <c r="L731" s="24" t="str">
        <f>IF($Z731="","",IF($Z731&lt;=2000,IF(INDEX(包装物料出入库明细!$P$4:$P$2003,$Z731-0)=0,"",INDEX(包装物料出入库明细!$P$4:$P$2003,$Z731-0)),IF($Z731&lt;=4000,IF(INDEX(周转筐出入库明细!$Q$4:$Q$2004,$Z731-2000)=0,"",INDEX(周转筐出入库明细!$Q$4:$Q$2004,$Z731-2000)),IF($Z731&lt;=5200,"",IF($Z731&lt;=5800,IF(INDEX(次果筐明细!$M$4:$M$603,$Z731-5200)=0,"",INDEX(次果筐明细!$M$4:$M$603,$Z731-5200)),"")))))</f>
        <v/>
      </c>
      <c r="M731" s="37" t="str">
        <f>IF($Z731="","",IF($Z731&lt;=2000,IF(INDEX(包装物料出入库明细!$R$4:$R$2003,$Z731-0)=0,"",INDEX(包装物料出入库明细!$R$4:$R$2003,$Z731-0)),IF($Z731&lt;=4000,IF(INDEX(周转筐出入库明细!$W$4:$W$2004,$Z731-2000)=0,"",INDEX(周转筐出入库明细!$W$4:$W$2004,$Z731-2000)),IF($Z731&lt;=5200,IF(INDEX(客户自备加工筐明细!$L$4:$L$1203,$Z731-4000)=0,"",INDEX(客户自备加工筐明细!$L$4:$L$1203,$Z731-4000)),IF($Z731&lt;=5800,IF(INDEX(次果筐明细!$P$4:$P$603,$Z731-5200)=0,"",INDEX(次果筐明细!$P$4:$P$603,$Z731-5200)),"")))))</f>
        <v/>
      </c>
      <c r="N731" s="16" t="str">
        <f>IF($Z731="","",IF($Z731&lt;=2000,"",IF($Z731&lt;=4000,IF(INDEX(周转筐出入库明细!$D$4:$D$2004,$Z731-2000)=0,"",INDEX(周转筐出入库明细!$D$4:$D$2004,$Z731-2000)),IF($Z731&lt;=5200,IF(INDEX(客户自备加工筐明细!$C$4:$C$1203,$Z731-4000)=0,"",INDEX(客户自备加工筐明细!$C$4:$C$1203,$Z731-4000)),IF($Z731&lt;=5800,IF(INDEX(次果筐明细!$D$4:$D$603,$Z731-5200)=0,"",INDEX(次果筐明细!$D$4:$D$603,$Z731-5200)),"")))))</f>
        <v/>
      </c>
      <c r="O731" s="40" t="str">
        <f>IF($Z731="","",IF($Z731&lt;=2000,"",IF($Z731&lt;=4000,IF(N(INDEX(周转筐出入库明细!$J$4:$J$2004,$Z731-2000))+N(INDEX(周转筐出入库明细!$K$4:$K$2004,$Z731-2000))=0,"",N(INDEX(周转筐出入库明细!$J$4:$J$2004,$Z731-2000))+N(INDEX(周转筐出入库明细!$K$4:$K$2004,$Z731-2000))),IF($Z731&lt;=5200,IF(N(INDEX(客户自备加工筐明细!$G$4:$G$1203,$Z731-4000))=0,"",N(INDEX(客户自备加工筐明细!$G$4:$G$1203,$Z731-4000))),IF($Z731&lt;=5800,IF(ISNUMBER(SEARCH("退",INDEX(次果筐明细!$F$4:$F$603,$Z731-5200)&amp;"")),"",IF(N(INDEX(次果筐明细!$G$4:$G$603,$Z731-5200))=0,"",N(INDEX(次果筐明细!$G$4:$G$603,$Z731-5200)))),"")))))</f>
        <v/>
      </c>
      <c r="P731" s="40" t="str">
        <f>IF($Z731="","",IF($Z731&lt;=2000,"",IF($Z731&lt;=4000,IF(N(INDEX(周转筐出入库明细!$I$4:$I$2004,$Z731-2000))=0,"",N(INDEX(周转筐出入库明细!$I$4:$I$2004,$Z731-2000))),IF($Z731&lt;=5200,"",IF($Z731&lt;=5800,IF(ISNUMBER(SEARCH("退",INDEX(次果筐明细!$F$4:$F$603,$Z731-5200)&amp;"")),IF(N(INDEX(次果筐明细!$G$4:$G$603,$Z731-5200))=0,"",N(INDEX(次果筐明细!$G$4:$G$603,$Z731-5200))),""),"")))))</f>
        <v/>
      </c>
      <c r="Q731" s="40" t="str">
        <f>IF($Z731="","",IF($Z731&lt;=2000,"",IF($Z731&lt;=4000,IF(N(INDEX(周转筐出入库明细!$H$4:$H$2004,$Z731-2000))=0,"",N(INDEX(周转筐出入库明细!$H$4:$H$2004,$Z731-2000))),IF($Z731&lt;=5200,IF(N(INDEX(客户自备加工筐明细!$F$4:$F$1203,$Z731-4000))=0,"",N(INDEX(客户自备加工筐明细!$F$4:$F$1203,$Z731-4000))),IF($Z731&lt;=5800,"","")))))</f>
        <v/>
      </c>
      <c r="R731" s="16" t="str">
        <f>IF($Z731="","",IF($Z731&lt;=2000,IF(INDEX(包装物料出入库明细!$O$4:$O$2003,$Z731-0)=0,"",INDEX(包装物料出入库明细!$O$4:$O$2003,$Z731-0)),IF($Z731&lt;=4000,IF(INDEX(周转筐出入库明细!$M$4:$M$2004,$Z731-2000)=0,"",INDEX(周转筐出入库明细!$M$4:$M$2004,$Z731-2000)),IF($Z731&lt;=5200,IF(INDEX(客户自备加工筐明细!$H$4:$H$1203,$Z731-4000)=0,"",INDEX(客户自备加工筐明细!$H$4:$H$1203,$Z731-4000)),IF($Z731&lt;=5800,IF(INDEX(次果筐明细!$H$4:$H$603,$Z731-5200)=0,"",INDEX(次果筐明细!$H$4:$H$603,$Z731-5200)),"")))))</f>
        <v/>
      </c>
      <c r="S731" s="22" t="str">
        <f t="shared" si="35"/>
        <v/>
      </c>
      <c r="Z731" s="10" t="str">
        <f>IFERROR(MATCH(ROW()-3,_自动清单!$CQ$4:$CQ$5803,0),"")</f>
        <v/>
      </c>
    </row>
    <row r="732" spans="1:26">
      <c r="A732" s="24" t="str">
        <f t="shared" si="33"/>
        <v/>
      </c>
      <c r="B732" s="38" t="str">
        <f>IF($Z732="","",IF($Z732&lt;=2000,IF(INDEX(包装物料出入库明细!$B$4:$B$2003,$Z732-0)=0,"",INDEX(包装物料出入库明细!$B$4:$B$2003,$Z732-0)),IF($Z732&lt;=4000,IF(INDEX(周转筐出入库明细!$B$4:$B$2004,$Z732-2000)=0,"",INDEX(周转筐出入库明细!$B$4:$B$2004,$Z732-2000)),IF($Z732&lt;=5200,IF(INDEX(客户自备加工筐明细!$B$4:$B$1203,$Z732-4000)=0,"",INDEX(客户自备加工筐明细!$B$4:$B$1203,$Z732-4000)),IF($Z732&lt;=5800,IF(INDEX(次果筐明细!$B$4:$B$603,$Z732-5200)=0,"",INDEX(次果筐明细!$B$4:$B$603,$Z732-5200)),"")))))</f>
        <v/>
      </c>
      <c r="C732" s="37" t="str">
        <f>IF($Z732="","",IF($Z732&lt;=2000,IF(INDEX(包装物料出入库明细!$D$4:$D$2003,$Z732-0)=0,"",INDEX(包装物料出入库明细!$D$4:$D$2003,$Z732-0)),IF($Z732&lt;=4000,IF(INDEX(周转筐出入库明细!$C$4:$C$2004,$Z732-2000)=0,"",INDEX(周转筐出入库明细!$C$4:$C$2004,$Z732-2000)),IF($Z732&lt;=5200,IF(INDEX(客户自备加工筐明细!$E$4:$E$1203,$Z732-4000)=0,"",INDEX(客户自备加工筐明细!$E$4:$E$1203,$Z732-4000)),IF($Z732&lt;=5800,IF(INDEX(次果筐明细!$C$4:$C$603,$Z732-5200)=0,"",INDEX(次果筐明细!$C$4:$C$603,$Z732-5200)),"")))))</f>
        <v/>
      </c>
      <c r="D732" s="37" t="str">
        <f>IF($Z732="","",IF($Z732&lt;=2000,"包装物料－"&amp;INDEX(包装物料出入库明细!$H$4:$H$2003,$Z732-0),IF($Z732&lt;=4000,"周转筐－"&amp;INDEX(周转筐出入库明细!$F$4:$F$2004,$Z732-2000),IF($Z732&lt;=5200,"客户自备筐－"&amp;INDEX(客户自备加工筐明细!$J$4:$J$1203,$Z732-4000),IF($Z732&lt;=5800,"次果筐/托盘－"&amp;INDEX(次果筐明细!$F$4:$F$603,$Z732-5200),"")))))</f>
        <v/>
      </c>
      <c r="E732" s="24" t="str">
        <f>IF($Z732="","",IF($Z732&lt;=2000,IF(INDEX(包装物料出入库明细!$C$4:$C$2003,$Z732-0)=0,"",INDEX(包装物料出入库明细!$C$4:$C$2003,$Z732-0)),IF($Z732&lt;=4000,IF(INDEX(周转筐出入库明细!$E$4:$E$2004,$Z732-2000)=0,"",INDEX(周转筐出入库明细!$E$4:$E$2004,$Z732-2000)),IF($Z732&lt;=5200,IF(INDEX(客户自备加工筐明细!$D$4:$D$1203,$Z732-4000)=0,"",INDEX(客户自备加工筐明细!$D$4:$D$1203,$Z732-4000)),IF($Z732&lt;=5800,IF(INDEX(次果筐明细!$E$4:$E$603,$Z732-5200)=0,"",INDEX(次果筐明细!$E$4:$E$603,$Z732-5200)),"")))))</f>
        <v/>
      </c>
      <c r="F732" s="24" t="str">
        <f>IF($Z732="","",IF($Z732&lt;=2000,IF(INDEX(包装物料出入库明细!$E$4:$E$2003,$Z732-0)=0,"",INDEX(包装物料出入库明细!$E$4:$E$2003,$Z732-0)),IF($Z732&lt;=4000,IF(INDEX(周转筐出入库明细!$D$4:$D$2004,$Z732-2000)=0,"",INDEX(周转筐出入库明细!$D$4:$D$2004,$Z732-2000)),IF($Z732&lt;=5200,IF(INDEX(客户自备加工筐明细!$C$4:$C$1203,$Z732-4000)=0,"",INDEX(客户自备加工筐明细!$C$4:$C$1203,$Z732-4000)),IF($Z732&lt;=5800,IF(INDEX(次果筐明细!$D$4:$D$603,$Z732-5200)=0,"",INDEX(次果筐明细!$D$4:$D$603,$Z732-5200)),"")))))</f>
        <v/>
      </c>
      <c r="G732" s="24" t="str">
        <f>IF($Z732="","",IF($Z732&lt;=2000,IF(INDEX(包装物料出入库明细!$F$4:$F$2003,$Z732-0)=0,"",INDEX(包装物料出入库明细!$F$4:$F$2003,$Z732-0)),IF($Z732&lt;=4000,"",IF($Z732&lt;=5200,"",IF($Z732&lt;=5800,"","")))))</f>
        <v/>
      </c>
      <c r="H732" s="39" t="str">
        <f>IF($Z732="","",IF($Z732&lt;=2000,IF(INDEX(包装物料出入库明细!$L$4:$L$2003,$Z732-0)=0,"",INDEX(包装物料出入库明细!$L$4:$L$2003,$Z732-0)),IF($Z732&lt;=4000,N(INDEX(周转筐出入库明细!$H$4:$H$2004,$Z732-2000))+N(INDEX(周转筐出入库明细!$I$4:$I$2004,$Z732-2000))+N(INDEX(周转筐出入库明细!$J$4:$J$2004,$Z732-2000))+N(INDEX(周转筐出入库明细!$K$4:$K$2004,$Z732-2000)),IF($Z732&lt;=5200,N(INDEX(客户自备加工筐明细!$F$4:$F$1203,$Z732-4000))+N(INDEX(客户自备加工筐明细!$G$4:$G$1203,$Z732-4000)),IF($Z732&lt;=5800,IF(INDEX(次果筐明细!$G$4:$G$603,$Z732-5200)=0,"",INDEX(次果筐明细!$G$4:$G$603,$Z732-5200)),"")))))</f>
        <v/>
      </c>
      <c r="I732" s="24" t="str">
        <f>IF($Z732="","",IF($Z732&lt;=2000,IF(INDEX(包装物料出入库明细!$G$4:$G$2003,$Z732-0)=0,"",INDEX(包装物料出入库明细!$G$4:$G$2003,$Z732-0)),IF($Z732&lt;=4000,"个",IF($Z732&lt;=5200,"个",IF($Z732&lt;=5800,"个","")))))</f>
        <v/>
      </c>
      <c r="J732" s="30" t="str">
        <f t="shared" si="34"/>
        <v/>
      </c>
      <c r="K732" s="30" t="str">
        <f>IF($Z732="","",IF($Z732&lt;=2000,IF(INDEX(包装物料出入库明细!$N$4:$N$2003,$Z732-0)=0,"",INDEX(包装物料出入库明细!$N$4:$N$2003,$Z732-0)),IF($Z732&lt;=4000,IF(INDEX(周转筐出入库明细!$P$4:$P$2004,$Z732-2000)=0,"",INDEX(周转筐出入库明细!$P$4:$P$2004,$Z732-2000)),IF($Z732&lt;=5200,"",IF($Z732&lt;=5800,N(INDEX(次果筐明细!$L$4:$L$603,$Z732-5200))+N(INDEX(次果筐明细!$J$4:$J$603,$Z732-5200)),"")))))</f>
        <v/>
      </c>
      <c r="L732" s="24" t="str">
        <f>IF($Z732="","",IF($Z732&lt;=2000,IF(INDEX(包装物料出入库明细!$P$4:$P$2003,$Z732-0)=0,"",INDEX(包装物料出入库明细!$P$4:$P$2003,$Z732-0)),IF($Z732&lt;=4000,IF(INDEX(周转筐出入库明细!$Q$4:$Q$2004,$Z732-2000)=0,"",INDEX(周转筐出入库明细!$Q$4:$Q$2004,$Z732-2000)),IF($Z732&lt;=5200,"",IF($Z732&lt;=5800,IF(INDEX(次果筐明细!$M$4:$M$603,$Z732-5200)=0,"",INDEX(次果筐明细!$M$4:$M$603,$Z732-5200)),"")))))</f>
        <v/>
      </c>
      <c r="M732" s="37" t="str">
        <f>IF($Z732="","",IF($Z732&lt;=2000,IF(INDEX(包装物料出入库明细!$R$4:$R$2003,$Z732-0)=0,"",INDEX(包装物料出入库明细!$R$4:$R$2003,$Z732-0)),IF($Z732&lt;=4000,IF(INDEX(周转筐出入库明细!$W$4:$W$2004,$Z732-2000)=0,"",INDEX(周转筐出入库明细!$W$4:$W$2004,$Z732-2000)),IF($Z732&lt;=5200,IF(INDEX(客户自备加工筐明细!$L$4:$L$1203,$Z732-4000)=0,"",INDEX(客户自备加工筐明细!$L$4:$L$1203,$Z732-4000)),IF($Z732&lt;=5800,IF(INDEX(次果筐明细!$P$4:$P$603,$Z732-5200)=0,"",INDEX(次果筐明细!$P$4:$P$603,$Z732-5200)),"")))))</f>
        <v/>
      </c>
      <c r="N732" s="16" t="str">
        <f>IF($Z732="","",IF($Z732&lt;=2000,"",IF($Z732&lt;=4000,IF(INDEX(周转筐出入库明细!$D$4:$D$2004,$Z732-2000)=0,"",INDEX(周转筐出入库明细!$D$4:$D$2004,$Z732-2000)),IF($Z732&lt;=5200,IF(INDEX(客户自备加工筐明细!$C$4:$C$1203,$Z732-4000)=0,"",INDEX(客户自备加工筐明细!$C$4:$C$1203,$Z732-4000)),IF($Z732&lt;=5800,IF(INDEX(次果筐明细!$D$4:$D$603,$Z732-5200)=0,"",INDEX(次果筐明细!$D$4:$D$603,$Z732-5200)),"")))))</f>
        <v/>
      </c>
      <c r="O732" s="40" t="str">
        <f>IF($Z732="","",IF($Z732&lt;=2000,"",IF($Z732&lt;=4000,IF(N(INDEX(周转筐出入库明细!$J$4:$J$2004,$Z732-2000))+N(INDEX(周转筐出入库明细!$K$4:$K$2004,$Z732-2000))=0,"",N(INDEX(周转筐出入库明细!$J$4:$J$2004,$Z732-2000))+N(INDEX(周转筐出入库明细!$K$4:$K$2004,$Z732-2000))),IF($Z732&lt;=5200,IF(N(INDEX(客户自备加工筐明细!$G$4:$G$1203,$Z732-4000))=0,"",N(INDEX(客户自备加工筐明细!$G$4:$G$1203,$Z732-4000))),IF($Z732&lt;=5800,IF(ISNUMBER(SEARCH("退",INDEX(次果筐明细!$F$4:$F$603,$Z732-5200)&amp;"")),"",IF(N(INDEX(次果筐明细!$G$4:$G$603,$Z732-5200))=0,"",N(INDEX(次果筐明细!$G$4:$G$603,$Z732-5200)))),"")))))</f>
        <v/>
      </c>
      <c r="P732" s="40" t="str">
        <f>IF($Z732="","",IF($Z732&lt;=2000,"",IF($Z732&lt;=4000,IF(N(INDEX(周转筐出入库明细!$I$4:$I$2004,$Z732-2000))=0,"",N(INDEX(周转筐出入库明细!$I$4:$I$2004,$Z732-2000))),IF($Z732&lt;=5200,"",IF($Z732&lt;=5800,IF(ISNUMBER(SEARCH("退",INDEX(次果筐明细!$F$4:$F$603,$Z732-5200)&amp;"")),IF(N(INDEX(次果筐明细!$G$4:$G$603,$Z732-5200))=0,"",N(INDEX(次果筐明细!$G$4:$G$603,$Z732-5200))),""),"")))))</f>
        <v/>
      </c>
      <c r="Q732" s="40" t="str">
        <f>IF($Z732="","",IF($Z732&lt;=2000,"",IF($Z732&lt;=4000,IF(N(INDEX(周转筐出入库明细!$H$4:$H$2004,$Z732-2000))=0,"",N(INDEX(周转筐出入库明细!$H$4:$H$2004,$Z732-2000))),IF($Z732&lt;=5200,IF(N(INDEX(客户自备加工筐明细!$F$4:$F$1203,$Z732-4000))=0,"",N(INDEX(客户自备加工筐明细!$F$4:$F$1203,$Z732-4000))),IF($Z732&lt;=5800,"","")))))</f>
        <v/>
      </c>
      <c r="R732" s="16" t="str">
        <f>IF($Z732="","",IF($Z732&lt;=2000,IF(INDEX(包装物料出入库明细!$O$4:$O$2003,$Z732-0)=0,"",INDEX(包装物料出入库明细!$O$4:$O$2003,$Z732-0)),IF($Z732&lt;=4000,IF(INDEX(周转筐出入库明细!$M$4:$M$2004,$Z732-2000)=0,"",INDEX(周转筐出入库明细!$M$4:$M$2004,$Z732-2000)),IF($Z732&lt;=5200,IF(INDEX(客户自备加工筐明细!$H$4:$H$1203,$Z732-4000)=0,"",INDEX(客户自备加工筐明细!$H$4:$H$1203,$Z732-4000)),IF($Z732&lt;=5800,IF(INDEX(次果筐明细!$H$4:$H$603,$Z732-5200)=0,"",INDEX(次果筐明细!$H$4:$H$603,$Z732-5200)),"")))))</f>
        <v/>
      </c>
      <c r="S732" s="22" t="str">
        <f t="shared" si="35"/>
        <v/>
      </c>
      <c r="Z732" s="10" t="str">
        <f>IFERROR(MATCH(ROW()-3,_自动清单!$CQ$4:$CQ$5803,0),"")</f>
        <v/>
      </c>
    </row>
    <row r="733" spans="1:26">
      <c r="A733" s="24" t="str">
        <f t="shared" si="33"/>
        <v/>
      </c>
      <c r="B733" s="38" t="str">
        <f>IF($Z733="","",IF($Z733&lt;=2000,IF(INDEX(包装物料出入库明细!$B$4:$B$2003,$Z733-0)=0,"",INDEX(包装物料出入库明细!$B$4:$B$2003,$Z733-0)),IF($Z733&lt;=4000,IF(INDEX(周转筐出入库明细!$B$4:$B$2004,$Z733-2000)=0,"",INDEX(周转筐出入库明细!$B$4:$B$2004,$Z733-2000)),IF($Z733&lt;=5200,IF(INDEX(客户自备加工筐明细!$B$4:$B$1203,$Z733-4000)=0,"",INDEX(客户自备加工筐明细!$B$4:$B$1203,$Z733-4000)),IF($Z733&lt;=5800,IF(INDEX(次果筐明细!$B$4:$B$603,$Z733-5200)=0,"",INDEX(次果筐明细!$B$4:$B$603,$Z733-5200)),"")))))</f>
        <v/>
      </c>
      <c r="C733" s="37" t="str">
        <f>IF($Z733="","",IF($Z733&lt;=2000,IF(INDEX(包装物料出入库明细!$D$4:$D$2003,$Z733-0)=0,"",INDEX(包装物料出入库明细!$D$4:$D$2003,$Z733-0)),IF($Z733&lt;=4000,IF(INDEX(周转筐出入库明细!$C$4:$C$2004,$Z733-2000)=0,"",INDEX(周转筐出入库明细!$C$4:$C$2004,$Z733-2000)),IF($Z733&lt;=5200,IF(INDEX(客户自备加工筐明细!$E$4:$E$1203,$Z733-4000)=0,"",INDEX(客户自备加工筐明细!$E$4:$E$1203,$Z733-4000)),IF($Z733&lt;=5800,IF(INDEX(次果筐明细!$C$4:$C$603,$Z733-5200)=0,"",INDEX(次果筐明细!$C$4:$C$603,$Z733-5200)),"")))))</f>
        <v/>
      </c>
      <c r="D733" s="37" t="str">
        <f>IF($Z733="","",IF($Z733&lt;=2000,"包装物料－"&amp;INDEX(包装物料出入库明细!$H$4:$H$2003,$Z733-0),IF($Z733&lt;=4000,"周转筐－"&amp;INDEX(周转筐出入库明细!$F$4:$F$2004,$Z733-2000),IF($Z733&lt;=5200,"客户自备筐－"&amp;INDEX(客户自备加工筐明细!$J$4:$J$1203,$Z733-4000),IF($Z733&lt;=5800,"次果筐/托盘－"&amp;INDEX(次果筐明细!$F$4:$F$603,$Z733-5200),"")))))</f>
        <v/>
      </c>
      <c r="E733" s="24" t="str">
        <f>IF($Z733="","",IF($Z733&lt;=2000,IF(INDEX(包装物料出入库明细!$C$4:$C$2003,$Z733-0)=0,"",INDEX(包装物料出入库明细!$C$4:$C$2003,$Z733-0)),IF($Z733&lt;=4000,IF(INDEX(周转筐出入库明细!$E$4:$E$2004,$Z733-2000)=0,"",INDEX(周转筐出入库明细!$E$4:$E$2004,$Z733-2000)),IF($Z733&lt;=5200,IF(INDEX(客户自备加工筐明细!$D$4:$D$1203,$Z733-4000)=0,"",INDEX(客户自备加工筐明细!$D$4:$D$1203,$Z733-4000)),IF($Z733&lt;=5800,IF(INDEX(次果筐明细!$E$4:$E$603,$Z733-5200)=0,"",INDEX(次果筐明细!$E$4:$E$603,$Z733-5200)),"")))))</f>
        <v/>
      </c>
      <c r="F733" s="24" t="str">
        <f>IF($Z733="","",IF($Z733&lt;=2000,IF(INDEX(包装物料出入库明细!$E$4:$E$2003,$Z733-0)=0,"",INDEX(包装物料出入库明细!$E$4:$E$2003,$Z733-0)),IF($Z733&lt;=4000,IF(INDEX(周转筐出入库明细!$D$4:$D$2004,$Z733-2000)=0,"",INDEX(周转筐出入库明细!$D$4:$D$2004,$Z733-2000)),IF($Z733&lt;=5200,IF(INDEX(客户自备加工筐明细!$C$4:$C$1203,$Z733-4000)=0,"",INDEX(客户自备加工筐明细!$C$4:$C$1203,$Z733-4000)),IF($Z733&lt;=5800,IF(INDEX(次果筐明细!$D$4:$D$603,$Z733-5200)=0,"",INDEX(次果筐明细!$D$4:$D$603,$Z733-5200)),"")))))</f>
        <v/>
      </c>
      <c r="G733" s="24" t="str">
        <f>IF($Z733="","",IF($Z733&lt;=2000,IF(INDEX(包装物料出入库明细!$F$4:$F$2003,$Z733-0)=0,"",INDEX(包装物料出入库明细!$F$4:$F$2003,$Z733-0)),IF($Z733&lt;=4000,"",IF($Z733&lt;=5200,"",IF($Z733&lt;=5800,"","")))))</f>
        <v/>
      </c>
      <c r="H733" s="39" t="str">
        <f>IF($Z733="","",IF($Z733&lt;=2000,IF(INDEX(包装物料出入库明细!$L$4:$L$2003,$Z733-0)=0,"",INDEX(包装物料出入库明细!$L$4:$L$2003,$Z733-0)),IF($Z733&lt;=4000,N(INDEX(周转筐出入库明细!$H$4:$H$2004,$Z733-2000))+N(INDEX(周转筐出入库明细!$I$4:$I$2004,$Z733-2000))+N(INDEX(周转筐出入库明细!$J$4:$J$2004,$Z733-2000))+N(INDEX(周转筐出入库明细!$K$4:$K$2004,$Z733-2000)),IF($Z733&lt;=5200,N(INDEX(客户自备加工筐明细!$F$4:$F$1203,$Z733-4000))+N(INDEX(客户自备加工筐明细!$G$4:$G$1203,$Z733-4000)),IF($Z733&lt;=5800,IF(INDEX(次果筐明细!$G$4:$G$603,$Z733-5200)=0,"",INDEX(次果筐明细!$G$4:$G$603,$Z733-5200)),"")))))</f>
        <v/>
      </c>
      <c r="I733" s="24" t="str">
        <f>IF($Z733="","",IF($Z733&lt;=2000,IF(INDEX(包装物料出入库明细!$G$4:$G$2003,$Z733-0)=0,"",INDEX(包装物料出入库明细!$G$4:$G$2003,$Z733-0)),IF($Z733&lt;=4000,"个",IF($Z733&lt;=5200,"个",IF($Z733&lt;=5800,"个","")))))</f>
        <v/>
      </c>
      <c r="J733" s="30" t="str">
        <f t="shared" si="34"/>
        <v/>
      </c>
      <c r="K733" s="30" t="str">
        <f>IF($Z733="","",IF($Z733&lt;=2000,IF(INDEX(包装物料出入库明细!$N$4:$N$2003,$Z733-0)=0,"",INDEX(包装物料出入库明细!$N$4:$N$2003,$Z733-0)),IF($Z733&lt;=4000,IF(INDEX(周转筐出入库明细!$P$4:$P$2004,$Z733-2000)=0,"",INDEX(周转筐出入库明细!$P$4:$P$2004,$Z733-2000)),IF($Z733&lt;=5200,"",IF($Z733&lt;=5800,N(INDEX(次果筐明细!$L$4:$L$603,$Z733-5200))+N(INDEX(次果筐明细!$J$4:$J$603,$Z733-5200)),"")))))</f>
        <v/>
      </c>
      <c r="L733" s="24" t="str">
        <f>IF($Z733="","",IF($Z733&lt;=2000,IF(INDEX(包装物料出入库明细!$P$4:$P$2003,$Z733-0)=0,"",INDEX(包装物料出入库明细!$P$4:$P$2003,$Z733-0)),IF($Z733&lt;=4000,IF(INDEX(周转筐出入库明细!$Q$4:$Q$2004,$Z733-2000)=0,"",INDEX(周转筐出入库明细!$Q$4:$Q$2004,$Z733-2000)),IF($Z733&lt;=5200,"",IF($Z733&lt;=5800,IF(INDEX(次果筐明细!$M$4:$M$603,$Z733-5200)=0,"",INDEX(次果筐明细!$M$4:$M$603,$Z733-5200)),"")))))</f>
        <v/>
      </c>
      <c r="M733" s="37" t="str">
        <f>IF($Z733="","",IF($Z733&lt;=2000,IF(INDEX(包装物料出入库明细!$R$4:$R$2003,$Z733-0)=0,"",INDEX(包装物料出入库明细!$R$4:$R$2003,$Z733-0)),IF($Z733&lt;=4000,IF(INDEX(周转筐出入库明细!$W$4:$W$2004,$Z733-2000)=0,"",INDEX(周转筐出入库明细!$W$4:$W$2004,$Z733-2000)),IF($Z733&lt;=5200,IF(INDEX(客户自备加工筐明细!$L$4:$L$1203,$Z733-4000)=0,"",INDEX(客户自备加工筐明细!$L$4:$L$1203,$Z733-4000)),IF($Z733&lt;=5800,IF(INDEX(次果筐明细!$P$4:$P$603,$Z733-5200)=0,"",INDEX(次果筐明细!$P$4:$P$603,$Z733-5200)),"")))))</f>
        <v/>
      </c>
      <c r="N733" s="16" t="str">
        <f>IF($Z733="","",IF($Z733&lt;=2000,"",IF($Z733&lt;=4000,IF(INDEX(周转筐出入库明细!$D$4:$D$2004,$Z733-2000)=0,"",INDEX(周转筐出入库明细!$D$4:$D$2004,$Z733-2000)),IF($Z733&lt;=5200,IF(INDEX(客户自备加工筐明细!$C$4:$C$1203,$Z733-4000)=0,"",INDEX(客户自备加工筐明细!$C$4:$C$1203,$Z733-4000)),IF($Z733&lt;=5800,IF(INDEX(次果筐明细!$D$4:$D$603,$Z733-5200)=0,"",INDEX(次果筐明细!$D$4:$D$603,$Z733-5200)),"")))))</f>
        <v/>
      </c>
      <c r="O733" s="40" t="str">
        <f>IF($Z733="","",IF($Z733&lt;=2000,"",IF($Z733&lt;=4000,IF(N(INDEX(周转筐出入库明细!$J$4:$J$2004,$Z733-2000))+N(INDEX(周转筐出入库明细!$K$4:$K$2004,$Z733-2000))=0,"",N(INDEX(周转筐出入库明细!$J$4:$J$2004,$Z733-2000))+N(INDEX(周转筐出入库明细!$K$4:$K$2004,$Z733-2000))),IF($Z733&lt;=5200,IF(N(INDEX(客户自备加工筐明细!$G$4:$G$1203,$Z733-4000))=0,"",N(INDEX(客户自备加工筐明细!$G$4:$G$1203,$Z733-4000))),IF($Z733&lt;=5800,IF(ISNUMBER(SEARCH("退",INDEX(次果筐明细!$F$4:$F$603,$Z733-5200)&amp;"")),"",IF(N(INDEX(次果筐明细!$G$4:$G$603,$Z733-5200))=0,"",N(INDEX(次果筐明细!$G$4:$G$603,$Z733-5200)))),"")))))</f>
        <v/>
      </c>
      <c r="P733" s="40" t="str">
        <f>IF($Z733="","",IF($Z733&lt;=2000,"",IF($Z733&lt;=4000,IF(N(INDEX(周转筐出入库明细!$I$4:$I$2004,$Z733-2000))=0,"",N(INDEX(周转筐出入库明细!$I$4:$I$2004,$Z733-2000))),IF($Z733&lt;=5200,"",IF($Z733&lt;=5800,IF(ISNUMBER(SEARCH("退",INDEX(次果筐明细!$F$4:$F$603,$Z733-5200)&amp;"")),IF(N(INDEX(次果筐明细!$G$4:$G$603,$Z733-5200))=0,"",N(INDEX(次果筐明细!$G$4:$G$603,$Z733-5200))),""),"")))))</f>
        <v/>
      </c>
      <c r="Q733" s="40" t="str">
        <f>IF($Z733="","",IF($Z733&lt;=2000,"",IF($Z733&lt;=4000,IF(N(INDEX(周转筐出入库明细!$H$4:$H$2004,$Z733-2000))=0,"",N(INDEX(周转筐出入库明细!$H$4:$H$2004,$Z733-2000))),IF($Z733&lt;=5200,IF(N(INDEX(客户自备加工筐明细!$F$4:$F$1203,$Z733-4000))=0,"",N(INDEX(客户自备加工筐明细!$F$4:$F$1203,$Z733-4000))),IF($Z733&lt;=5800,"","")))))</f>
        <v/>
      </c>
      <c r="R733" s="16" t="str">
        <f>IF($Z733="","",IF($Z733&lt;=2000,IF(INDEX(包装物料出入库明细!$O$4:$O$2003,$Z733-0)=0,"",INDEX(包装物料出入库明细!$O$4:$O$2003,$Z733-0)),IF($Z733&lt;=4000,IF(INDEX(周转筐出入库明细!$M$4:$M$2004,$Z733-2000)=0,"",INDEX(周转筐出入库明细!$M$4:$M$2004,$Z733-2000)),IF($Z733&lt;=5200,IF(INDEX(客户自备加工筐明细!$H$4:$H$1203,$Z733-4000)=0,"",INDEX(客户自备加工筐明细!$H$4:$H$1203,$Z733-4000)),IF($Z733&lt;=5800,IF(INDEX(次果筐明细!$H$4:$H$603,$Z733-5200)=0,"",INDEX(次果筐明细!$H$4:$H$603,$Z733-5200)),"")))))</f>
        <v/>
      </c>
      <c r="S733" s="22" t="str">
        <f t="shared" si="35"/>
        <v/>
      </c>
      <c r="Z733" s="10" t="str">
        <f>IFERROR(MATCH(ROW()-3,_自动清单!$CQ$4:$CQ$5803,0),"")</f>
        <v/>
      </c>
    </row>
    <row r="734" spans="1:26">
      <c r="A734" s="24" t="str">
        <f t="shared" si="33"/>
        <v/>
      </c>
      <c r="B734" s="38" t="str">
        <f>IF($Z734="","",IF($Z734&lt;=2000,IF(INDEX(包装物料出入库明细!$B$4:$B$2003,$Z734-0)=0,"",INDEX(包装物料出入库明细!$B$4:$B$2003,$Z734-0)),IF($Z734&lt;=4000,IF(INDEX(周转筐出入库明细!$B$4:$B$2004,$Z734-2000)=0,"",INDEX(周转筐出入库明细!$B$4:$B$2004,$Z734-2000)),IF($Z734&lt;=5200,IF(INDEX(客户自备加工筐明细!$B$4:$B$1203,$Z734-4000)=0,"",INDEX(客户自备加工筐明细!$B$4:$B$1203,$Z734-4000)),IF($Z734&lt;=5800,IF(INDEX(次果筐明细!$B$4:$B$603,$Z734-5200)=0,"",INDEX(次果筐明细!$B$4:$B$603,$Z734-5200)),"")))))</f>
        <v/>
      </c>
      <c r="C734" s="37" t="str">
        <f>IF($Z734="","",IF($Z734&lt;=2000,IF(INDEX(包装物料出入库明细!$D$4:$D$2003,$Z734-0)=0,"",INDEX(包装物料出入库明细!$D$4:$D$2003,$Z734-0)),IF($Z734&lt;=4000,IF(INDEX(周转筐出入库明细!$C$4:$C$2004,$Z734-2000)=0,"",INDEX(周转筐出入库明细!$C$4:$C$2004,$Z734-2000)),IF($Z734&lt;=5200,IF(INDEX(客户自备加工筐明细!$E$4:$E$1203,$Z734-4000)=0,"",INDEX(客户自备加工筐明细!$E$4:$E$1203,$Z734-4000)),IF($Z734&lt;=5800,IF(INDEX(次果筐明细!$C$4:$C$603,$Z734-5200)=0,"",INDEX(次果筐明细!$C$4:$C$603,$Z734-5200)),"")))))</f>
        <v/>
      </c>
      <c r="D734" s="37" t="str">
        <f>IF($Z734="","",IF($Z734&lt;=2000,"包装物料－"&amp;INDEX(包装物料出入库明细!$H$4:$H$2003,$Z734-0),IF($Z734&lt;=4000,"周转筐－"&amp;INDEX(周转筐出入库明细!$F$4:$F$2004,$Z734-2000),IF($Z734&lt;=5200,"客户自备筐－"&amp;INDEX(客户自备加工筐明细!$J$4:$J$1203,$Z734-4000),IF($Z734&lt;=5800,"次果筐/托盘－"&amp;INDEX(次果筐明细!$F$4:$F$603,$Z734-5200),"")))))</f>
        <v/>
      </c>
      <c r="E734" s="24" t="str">
        <f>IF($Z734="","",IF($Z734&lt;=2000,IF(INDEX(包装物料出入库明细!$C$4:$C$2003,$Z734-0)=0,"",INDEX(包装物料出入库明细!$C$4:$C$2003,$Z734-0)),IF($Z734&lt;=4000,IF(INDEX(周转筐出入库明细!$E$4:$E$2004,$Z734-2000)=0,"",INDEX(周转筐出入库明细!$E$4:$E$2004,$Z734-2000)),IF($Z734&lt;=5200,IF(INDEX(客户自备加工筐明细!$D$4:$D$1203,$Z734-4000)=0,"",INDEX(客户自备加工筐明细!$D$4:$D$1203,$Z734-4000)),IF($Z734&lt;=5800,IF(INDEX(次果筐明细!$E$4:$E$603,$Z734-5200)=0,"",INDEX(次果筐明细!$E$4:$E$603,$Z734-5200)),"")))))</f>
        <v/>
      </c>
      <c r="F734" s="24" t="str">
        <f>IF($Z734="","",IF($Z734&lt;=2000,IF(INDEX(包装物料出入库明细!$E$4:$E$2003,$Z734-0)=0,"",INDEX(包装物料出入库明细!$E$4:$E$2003,$Z734-0)),IF($Z734&lt;=4000,IF(INDEX(周转筐出入库明细!$D$4:$D$2004,$Z734-2000)=0,"",INDEX(周转筐出入库明细!$D$4:$D$2004,$Z734-2000)),IF($Z734&lt;=5200,IF(INDEX(客户自备加工筐明细!$C$4:$C$1203,$Z734-4000)=0,"",INDEX(客户自备加工筐明细!$C$4:$C$1203,$Z734-4000)),IF($Z734&lt;=5800,IF(INDEX(次果筐明细!$D$4:$D$603,$Z734-5200)=0,"",INDEX(次果筐明细!$D$4:$D$603,$Z734-5200)),"")))))</f>
        <v/>
      </c>
      <c r="G734" s="24" t="str">
        <f>IF($Z734="","",IF($Z734&lt;=2000,IF(INDEX(包装物料出入库明细!$F$4:$F$2003,$Z734-0)=0,"",INDEX(包装物料出入库明细!$F$4:$F$2003,$Z734-0)),IF($Z734&lt;=4000,"",IF($Z734&lt;=5200,"",IF($Z734&lt;=5800,"","")))))</f>
        <v/>
      </c>
      <c r="H734" s="39" t="str">
        <f>IF($Z734="","",IF($Z734&lt;=2000,IF(INDEX(包装物料出入库明细!$L$4:$L$2003,$Z734-0)=0,"",INDEX(包装物料出入库明细!$L$4:$L$2003,$Z734-0)),IF($Z734&lt;=4000,N(INDEX(周转筐出入库明细!$H$4:$H$2004,$Z734-2000))+N(INDEX(周转筐出入库明细!$I$4:$I$2004,$Z734-2000))+N(INDEX(周转筐出入库明细!$J$4:$J$2004,$Z734-2000))+N(INDEX(周转筐出入库明细!$K$4:$K$2004,$Z734-2000)),IF($Z734&lt;=5200,N(INDEX(客户自备加工筐明细!$F$4:$F$1203,$Z734-4000))+N(INDEX(客户自备加工筐明细!$G$4:$G$1203,$Z734-4000)),IF($Z734&lt;=5800,IF(INDEX(次果筐明细!$G$4:$G$603,$Z734-5200)=0,"",INDEX(次果筐明细!$G$4:$G$603,$Z734-5200)),"")))))</f>
        <v/>
      </c>
      <c r="I734" s="24" t="str">
        <f>IF($Z734="","",IF($Z734&lt;=2000,IF(INDEX(包装物料出入库明细!$G$4:$G$2003,$Z734-0)=0,"",INDEX(包装物料出入库明细!$G$4:$G$2003,$Z734-0)),IF($Z734&lt;=4000,"个",IF($Z734&lt;=5200,"个",IF($Z734&lt;=5800,"个","")))))</f>
        <v/>
      </c>
      <c r="J734" s="30" t="str">
        <f t="shared" si="34"/>
        <v/>
      </c>
      <c r="K734" s="30" t="str">
        <f>IF($Z734="","",IF($Z734&lt;=2000,IF(INDEX(包装物料出入库明细!$N$4:$N$2003,$Z734-0)=0,"",INDEX(包装物料出入库明细!$N$4:$N$2003,$Z734-0)),IF($Z734&lt;=4000,IF(INDEX(周转筐出入库明细!$P$4:$P$2004,$Z734-2000)=0,"",INDEX(周转筐出入库明细!$P$4:$P$2004,$Z734-2000)),IF($Z734&lt;=5200,"",IF($Z734&lt;=5800,N(INDEX(次果筐明细!$L$4:$L$603,$Z734-5200))+N(INDEX(次果筐明细!$J$4:$J$603,$Z734-5200)),"")))))</f>
        <v/>
      </c>
      <c r="L734" s="24" t="str">
        <f>IF($Z734="","",IF($Z734&lt;=2000,IF(INDEX(包装物料出入库明细!$P$4:$P$2003,$Z734-0)=0,"",INDEX(包装物料出入库明细!$P$4:$P$2003,$Z734-0)),IF($Z734&lt;=4000,IF(INDEX(周转筐出入库明细!$Q$4:$Q$2004,$Z734-2000)=0,"",INDEX(周转筐出入库明细!$Q$4:$Q$2004,$Z734-2000)),IF($Z734&lt;=5200,"",IF($Z734&lt;=5800,IF(INDEX(次果筐明细!$M$4:$M$603,$Z734-5200)=0,"",INDEX(次果筐明细!$M$4:$M$603,$Z734-5200)),"")))))</f>
        <v/>
      </c>
      <c r="M734" s="37" t="str">
        <f>IF($Z734="","",IF($Z734&lt;=2000,IF(INDEX(包装物料出入库明细!$R$4:$R$2003,$Z734-0)=0,"",INDEX(包装物料出入库明细!$R$4:$R$2003,$Z734-0)),IF($Z734&lt;=4000,IF(INDEX(周转筐出入库明细!$W$4:$W$2004,$Z734-2000)=0,"",INDEX(周转筐出入库明细!$W$4:$W$2004,$Z734-2000)),IF($Z734&lt;=5200,IF(INDEX(客户自备加工筐明细!$L$4:$L$1203,$Z734-4000)=0,"",INDEX(客户自备加工筐明细!$L$4:$L$1203,$Z734-4000)),IF($Z734&lt;=5800,IF(INDEX(次果筐明细!$P$4:$P$603,$Z734-5200)=0,"",INDEX(次果筐明细!$P$4:$P$603,$Z734-5200)),"")))))</f>
        <v/>
      </c>
      <c r="N734" s="16" t="str">
        <f>IF($Z734="","",IF($Z734&lt;=2000,"",IF($Z734&lt;=4000,IF(INDEX(周转筐出入库明细!$D$4:$D$2004,$Z734-2000)=0,"",INDEX(周转筐出入库明细!$D$4:$D$2004,$Z734-2000)),IF($Z734&lt;=5200,IF(INDEX(客户自备加工筐明细!$C$4:$C$1203,$Z734-4000)=0,"",INDEX(客户自备加工筐明细!$C$4:$C$1203,$Z734-4000)),IF($Z734&lt;=5800,IF(INDEX(次果筐明细!$D$4:$D$603,$Z734-5200)=0,"",INDEX(次果筐明细!$D$4:$D$603,$Z734-5200)),"")))))</f>
        <v/>
      </c>
      <c r="O734" s="40" t="str">
        <f>IF($Z734="","",IF($Z734&lt;=2000,"",IF($Z734&lt;=4000,IF(N(INDEX(周转筐出入库明细!$J$4:$J$2004,$Z734-2000))+N(INDEX(周转筐出入库明细!$K$4:$K$2004,$Z734-2000))=0,"",N(INDEX(周转筐出入库明细!$J$4:$J$2004,$Z734-2000))+N(INDEX(周转筐出入库明细!$K$4:$K$2004,$Z734-2000))),IF($Z734&lt;=5200,IF(N(INDEX(客户自备加工筐明细!$G$4:$G$1203,$Z734-4000))=0,"",N(INDEX(客户自备加工筐明细!$G$4:$G$1203,$Z734-4000))),IF($Z734&lt;=5800,IF(ISNUMBER(SEARCH("退",INDEX(次果筐明细!$F$4:$F$603,$Z734-5200)&amp;"")),"",IF(N(INDEX(次果筐明细!$G$4:$G$603,$Z734-5200))=0,"",N(INDEX(次果筐明细!$G$4:$G$603,$Z734-5200)))),"")))))</f>
        <v/>
      </c>
      <c r="P734" s="40" t="str">
        <f>IF($Z734="","",IF($Z734&lt;=2000,"",IF($Z734&lt;=4000,IF(N(INDEX(周转筐出入库明细!$I$4:$I$2004,$Z734-2000))=0,"",N(INDEX(周转筐出入库明细!$I$4:$I$2004,$Z734-2000))),IF($Z734&lt;=5200,"",IF($Z734&lt;=5800,IF(ISNUMBER(SEARCH("退",INDEX(次果筐明细!$F$4:$F$603,$Z734-5200)&amp;"")),IF(N(INDEX(次果筐明细!$G$4:$G$603,$Z734-5200))=0,"",N(INDEX(次果筐明细!$G$4:$G$603,$Z734-5200))),""),"")))))</f>
        <v/>
      </c>
      <c r="Q734" s="40" t="str">
        <f>IF($Z734="","",IF($Z734&lt;=2000,"",IF($Z734&lt;=4000,IF(N(INDEX(周转筐出入库明细!$H$4:$H$2004,$Z734-2000))=0,"",N(INDEX(周转筐出入库明细!$H$4:$H$2004,$Z734-2000))),IF($Z734&lt;=5200,IF(N(INDEX(客户自备加工筐明细!$F$4:$F$1203,$Z734-4000))=0,"",N(INDEX(客户自备加工筐明细!$F$4:$F$1203,$Z734-4000))),IF($Z734&lt;=5800,"","")))))</f>
        <v/>
      </c>
      <c r="R734" s="16" t="str">
        <f>IF($Z734="","",IF($Z734&lt;=2000,IF(INDEX(包装物料出入库明细!$O$4:$O$2003,$Z734-0)=0,"",INDEX(包装物料出入库明细!$O$4:$O$2003,$Z734-0)),IF($Z734&lt;=4000,IF(INDEX(周转筐出入库明细!$M$4:$M$2004,$Z734-2000)=0,"",INDEX(周转筐出入库明细!$M$4:$M$2004,$Z734-2000)),IF($Z734&lt;=5200,IF(INDEX(客户自备加工筐明细!$H$4:$H$1203,$Z734-4000)=0,"",INDEX(客户自备加工筐明细!$H$4:$H$1203,$Z734-4000)),IF($Z734&lt;=5800,IF(INDEX(次果筐明细!$H$4:$H$603,$Z734-5200)=0,"",INDEX(次果筐明细!$H$4:$H$603,$Z734-5200)),"")))))</f>
        <v/>
      </c>
      <c r="S734" s="22" t="str">
        <f t="shared" si="35"/>
        <v/>
      </c>
      <c r="Z734" s="10" t="str">
        <f>IFERROR(MATCH(ROW()-3,_自动清单!$CQ$4:$CQ$5803,0),"")</f>
        <v/>
      </c>
    </row>
    <row r="735" spans="1:26">
      <c r="A735" s="24" t="str">
        <f t="shared" si="33"/>
        <v/>
      </c>
      <c r="B735" s="38" t="str">
        <f>IF($Z735="","",IF($Z735&lt;=2000,IF(INDEX(包装物料出入库明细!$B$4:$B$2003,$Z735-0)=0,"",INDEX(包装物料出入库明细!$B$4:$B$2003,$Z735-0)),IF($Z735&lt;=4000,IF(INDEX(周转筐出入库明细!$B$4:$B$2004,$Z735-2000)=0,"",INDEX(周转筐出入库明细!$B$4:$B$2004,$Z735-2000)),IF($Z735&lt;=5200,IF(INDEX(客户自备加工筐明细!$B$4:$B$1203,$Z735-4000)=0,"",INDEX(客户自备加工筐明细!$B$4:$B$1203,$Z735-4000)),IF($Z735&lt;=5800,IF(INDEX(次果筐明细!$B$4:$B$603,$Z735-5200)=0,"",INDEX(次果筐明细!$B$4:$B$603,$Z735-5200)),"")))))</f>
        <v/>
      </c>
      <c r="C735" s="37" t="str">
        <f>IF($Z735="","",IF($Z735&lt;=2000,IF(INDEX(包装物料出入库明细!$D$4:$D$2003,$Z735-0)=0,"",INDEX(包装物料出入库明细!$D$4:$D$2003,$Z735-0)),IF($Z735&lt;=4000,IF(INDEX(周转筐出入库明细!$C$4:$C$2004,$Z735-2000)=0,"",INDEX(周转筐出入库明细!$C$4:$C$2004,$Z735-2000)),IF($Z735&lt;=5200,IF(INDEX(客户自备加工筐明细!$E$4:$E$1203,$Z735-4000)=0,"",INDEX(客户自备加工筐明细!$E$4:$E$1203,$Z735-4000)),IF($Z735&lt;=5800,IF(INDEX(次果筐明细!$C$4:$C$603,$Z735-5200)=0,"",INDEX(次果筐明细!$C$4:$C$603,$Z735-5200)),"")))))</f>
        <v/>
      </c>
      <c r="D735" s="37" t="str">
        <f>IF($Z735="","",IF($Z735&lt;=2000,"包装物料－"&amp;INDEX(包装物料出入库明细!$H$4:$H$2003,$Z735-0),IF($Z735&lt;=4000,"周转筐－"&amp;INDEX(周转筐出入库明细!$F$4:$F$2004,$Z735-2000),IF($Z735&lt;=5200,"客户自备筐－"&amp;INDEX(客户自备加工筐明细!$J$4:$J$1203,$Z735-4000),IF($Z735&lt;=5800,"次果筐/托盘－"&amp;INDEX(次果筐明细!$F$4:$F$603,$Z735-5200),"")))))</f>
        <v/>
      </c>
      <c r="E735" s="24" t="str">
        <f>IF($Z735="","",IF($Z735&lt;=2000,IF(INDEX(包装物料出入库明细!$C$4:$C$2003,$Z735-0)=0,"",INDEX(包装物料出入库明细!$C$4:$C$2003,$Z735-0)),IF($Z735&lt;=4000,IF(INDEX(周转筐出入库明细!$E$4:$E$2004,$Z735-2000)=0,"",INDEX(周转筐出入库明细!$E$4:$E$2004,$Z735-2000)),IF($Z735&lt;=5200,IF(INDEX(客户自备加工筐明细!$D$4:$D$1203,$Z735-4000)=0,"",INDEX(客户自备加工筐明细!$D$4:$D$1203,$Z735-4000)),IF($Z735&lt;=5800,IF(INDEX(次果筐明细!$E$4:$E$603,$Z735-5200)=0,"",INDEX(次果筐明细!$E$4:$E$603,$Z735-5200)),"")))))</f>
        <v/>
      </c>
      <c r="F735" s="24" t="str">
        <f>IF($Z735="","",IF($Z735&lt;=2000,IF(INDEX(包装物料出入库明细!$E$4:$E$2003,$Z735-0)=0,"",INDEX(包装物料出入库明细!$E$4:$E$2003,$Z735-0)),IF($Z735&lt;=4000,IF(INDEX(周转筐出入库明细!$D$4:$D$2004,$Z735-2000)=0,"",INDEX(周转筐出入库明细!$D$4:$D$2004,$Z735-2000)),IF($Z735&lt;=5200,IF(INDEX(客户自备加工筐明细!$C$4:$C$1203,$Z735-4000)=0,"",INDEX(客户自备加工筐明细!$C$4:$C$1203,$Z735-4000)),IF($Z735&lt;=5800,IF(INDEX(次果筐明细!$D$4:$D$603,$Z735-5200)=0,"",INDEX(次果筐明细!$D$4:$D$603,$Z735-5200)),"")))))</f>
        <v/>
      </c>
      <c r="G735" s="24" t="str">
        <f>IF($Z735="","",IF($Z735&lt;=2000,IF(INDEX(包装物料出入库明细!$F$4:$F$2003,$Z735-0)=0,"",INDEX(包装物料出入库明细!$F$4:$F$2003,$Z735-0)),IF($Z735&lt;=4000,"",IF($Z735&lt;=5200,"",IF($Z735&lt;=5800,"","")))))</f>
        <v/>
      </c>
      <c r="H735" s="39" t="str">
        <f>IF($Z735="","",IF($Z735&lt;=2000,IF(INDEX(包装物料出入库明细!$L$4:$L$2003,$Z735-0)=0,"",INDEX(包装物料出入库明细!$L$4:$L$2003,$Z735-0)),IF($Z735&lt;=4000,N(INDEX(周转筐出入库明细!$H$4:$H$2004,$Z735-2000))+N(INDEX(周转筐出入库明细!$I$4:$I$2004,$Z735-2000))+N(INDEX(周转筐出入库明细!$J$4:$J$2004,$Z735-2000))+N(INDEX(周转筐出入库明细!$K$4:$K$2004,$Z735-2000)),IF($Z735&lt;=5200,N(INDEX(客户自备加工筐明细!$F$4:$F$1203,$Z735-4000))+N(INDEX(客户自备加工筐明细!$G$4:$G$1203,$Z735-4000)),IF($Z735&lt;=5800,IF(INDEX(次果筐明细!$G$4:$G$603,$Z735-5200)=0,"",INDEX(次果筐明细!$G$4:$G$603,$Z735-5200)),"")))))</f>
        <v/>
      </c>
      <c r="I735" s="24" t="str">
        <f>IF($Z735="","",IF($Z735&lt;=2000,IF(INDEX(包装物料出入库明细!$G$4:$G$2003,$Z735-0)=0,"",INDEX(包装物料出入库明细!$G$4:$G$2003,$Z735-0)),IF($Z735&lt;=4000,"个",IF($Z735&lt;=5200,"个",IF($Z735&lt;=5800,"个","")))))</f>
        <v/>
      </c>
      <c r="J735" s="30" t="str">
        <f t="shared" si="34"/>
        <v/>
      </c>
      <c r="K735" s="30" t="str">
        <f>IF($Z735="","",IF($Z735&lt;=2000,IF(INDEX(包装物料出入库明细!$N$4:$N$2003,$Z735-0)=0,"",INDEX(包装物料出入库明细!$N$4:$N$2003,$Z735-0)),IF($Z735&lt;=4000,IF(INDEX(周转筐出入库明细!$P$4:$P$2004,$Z735-2000)=0,"",INDEX(周转筐出入库明细!$P$4:$P$2004,$Z735-2000)),IF($Z735&lt;=5200,"",IF($Z735&lt;=5800,N(INDEX(次果筐明细!$L$4:$L$603,$Z735-5200))+N(INDEX(次果筐明细!$J$4:$J$603,$Z735-5200)),"")))))</f>
        <v/>
      </c>
      <c r="L735" s="24" t="str">
        <f>IF($Z735="","",IF($Z735&lt;=2000,IF(INDEX(包装物料出入库明细!$P$4:$P$2003,$Z735-0)=0,"",INDEX(包装物料出入库明细!$P$4:$P$2003,$Z735-0)),IF($Z735&lt;=4000,IF(INDEX(周转筐出入库明细!$Q$4:$Q$2004,$Z735-2000)=0,"",INDEX(周转筐出入库明细!$Q$4:$Q$2004,$Z735-2000)),IF($Z735&lt;=5200,"",IF($Z735&lt;=5800,IF(INDEX(次果筐明细!$M$4:$M$603,$Z735-5200)=0,"",INDEX(次果筐明细!$M$4:$M$603,$Z735-5200)),"")))))</f>
        <v/>
      </c>
      <c r="M735" s="37" t="str">
        <f>IF($Z735="","",IF($Z735&lt;=2000,IF(INDEX(包装物料出入库明细!$R$4:$R$2003,$Z735-0)=0,"",INDEX(包装物料出入库明细!$R$4:$R$2003,$Z735-0)),IF($Z735&lt;=4000,IF(INDEX(周转筐出入库明细!$W$4:$W$2004,$Z735-2000)=0,"",INDEX(周转筐出入库明细!$W$4:$W$2004,$Z735-2000)),IF($Z735&lt;=5200,IF(INDEX(客户自备加工筐明细!$L$4:$L$1203,$Z735-4000)=0,"",INDEX(客户自备加工筐明细!$L$4:$L$1203,$Z735-4000)),IF($Z735&lt;=5800,IF(INDEX(次果筐明细!$P$4:$P$603,$Z735-5200)=0,"",INDEX(次果筐明细!$P$4:$P$603,$Z735-5200)),"")))))</f>
        <v/>
      </c>
      <c r="N735" s="16" t="str">
        <f>IF($Z735="","",IF($Z735&lt;=2000,"",IF($Z735&lt;=4000,IF(INDEX(周转筐出入库明细!$D$4:$D$2004,$Z735-2000)=0,"",INDEX(周转筐出入库明细!$D$4:$D$2004,$Z735-2000)),IF($Z735&lt;=5200,IF(INDEX(客户自备加工筐明细!$C$4:$C$1203,$Z735-4000)=0,"",INDEX(客户自备加工筐明细!$C$4:$C$1203,$Z735-4000)),IF($Z735&lt;=5800,IF(INDEX(次果筐明细!$D$4:$D$603,$Z735-5200)=0,"",INDEX(次果筐明细!$D$4:$D$603,$Z735-5200)),"")))))</f>
        <v/>
      </c>
      <c r="O735" s="40" t="str">
        <f>IF($Z735="","",IF($Z735&lt;=2000,"",IF($Z735&lt;=4000,IF(N(INDEX(周转筐出入库明细!$J$4:$J$2004,$Z735-2000))+N(INDEX(周转筐出入库明细!$K$4:$K$2004,$Z735-2000))=0,"",N(INDEX(周转筐出入库明细!$J$4:$J$2004,$Z735-2000))+N(INDEX(周转筐出入库明细!$K$4:$K$2004,$Z735-2000))),IF($Z735&lt;=5200,IF(N(INDEX(客户自备加工筐明细!$G$4:$G$1203,$Z735-4000))=0,"",N(INDEX(客户自备加工筐明细!$G$4:$G$1203,$Z735-4000))),IF($Z735&lt;=5800,IF(ISNUMBER(SEARCH("退",INDEX(次果筐明细!$F$4:$F$603,$Z735-5200)&amp;"")),"",IF(N(INDEX(次果筐明细!$G$4:$G$603,$Z735-5200))=0,"",N(INDEX(次果筐明细!$G$4:$G$603,$Z735-5200)))),"")))))</f>
        <v/>
      </c>
      <c r="P735" s="40" t="str">
        <f>IF($Z735="","",IF($Z735&lt;=2000,"",IF($Z735&lt;=4000,IF(N(INDEX(周转筐出入库明细!$I$4:$I$2004,$Z735-2000))=0,"",N(INDEX(周转筐出入库明细!$I$4:$I$2004,$Z735-2000))),IF($Z735&lt;=5200,"",IF($Z735&lt;=5800,IF(ISNUMBER(SEARCH("退",INDEX(次果筐明细!$F$4:$F$603,$Z735-5200)&amp;"")),IF(N(INDEX(次果筐明细!$G$4:$G$603,$Z735-5200))=0,"",N(INDEX(次果筐明细!$G$4:$G$603,$Z735-5200))),""),"")))))</f>
        <v/>
      </c>
      <c r="Q735" s="40" t="str">
        <f>IF($Z735="","",IF($Z735&lt;=2000,"",IF($Z735&lt;=4000,IF(N(INDEX(周转筐出入库明细!$H$4:$H$2004,$Z735-2000))=0,"",N(INDEX(周转筐出入库明细!$H$4:$H$2004,$Z735-2000))),IF($Z735&lt;=5200,IF(N(INDEX(客户自备加工筐明细!$F$4:$F$1203,$Z735-4000))=0,"",N(INDEX(客户自备加工筐明细!$F$4:$F$1203,$Z735-4000))),IF($Z735&lt;=5800,"","")))))</f>
        <v/>
      </c>
      <c r="R735" s="16" t="str">
        <f>IF($Z735="","",IF($Z735&lt;=2000,IF(INDEX(包装物料出入库明细!$O$4:$O$2003,$Z735-0)=0,"",INDEX(包装物料出入库明细!$O$4:$O$2003,$Z735-0)),IF($Z735&lt;=4000,IF(INDEX(周转筐出入库明细!$M$4:$M$2004,$Z735-2000)=0,"",INDEX(周转筐出入库明细!$M$4:$M$2004,$Z735-2000)),IF($Z735&lt;=5200,IF(INDEX(客户自备加工筐明细!$H$4:$H$1203,$Z735-4000)=0,"",INDEX(客户自备加工筐明细!$H$4:$H$1203,$Z735-4000)),IF($Z735&lt;=5800,IF(INDEX(次果筐明细!$H$4:$H$603,$Z735-5200)=0,"",INDEX(次果筐明细!$H$4:$H$603,$Z735-5200)),"")))))</f>
        <v/>
      </c>
      <c r="S735" s="22" t="str">
        <f t="shared" si="35"/>
        <v/>
      </c>
      <c r="Z735" s="10" t="str">
        <f>IFERROR(MATCH(ROW()-3,_自动清单!$CQ$4:$CQ$5803,0),"")</f>
        <v/>
      </c>
    </row>
    <row r="736" spans="1:26">
      <c r="A736" s="24" t="str">
        <f t="shared" si="33"/>
        <v/>
      </c>
      <c r="B736" s="38" t="str">
        <f>IF($Z736="","",IF($Z736&lt;=2000,IF(INDEX(包装物料出入库明细!$B$4:$B$2003,$Z736-0)=0,"",INDEX(包装物料出入库明细!$B$4:$B$2003,$Z736-0)),IF($Z736&lt;=4000,IF(INDEX(周转筐出入库明细!$B$4:$B$2004,$Z736-2000)=0,"",INDEX(周转筐出入库明细!$B$4:$B$2004,$Z736-2000)),IF($Z736&lt;=5200,IF(INDEX(客户自备加工筐明细!$B$4:$B$1203,$Z736-4000)=0,"",INDEX(客户自备加工筐明细!$B$4:$B$1203,$Z736-4000)),IF($Z736&lt;=5800,IF(INDEX(次果筐明细!$B$4:$B$603,$Z736-5200)=0,"",INDEX(次果筐明细!$B$4:$B$603,$Z736-5200)),"")))))</f>
        <v/>
      </c>
      <c r="C736" s="37" t="str">
        <f>IF($Z736="","",IF($Z736&lt;=2000,IF(INDEX(包装物料出入库明细!$D$4:$D$2003,$Z736-0)=0,"",INDEX(包装物料出入库明细!$D$4:$D$2003,$Z736-0)),IF($Z736&lt;=4000,IF(INDEX(周转筐出入库明细!$C$4:$C$2004,$Z736-2000)=0,"",INDEX(周转筐出入库明细!$C$4:$C$2004,$Z736-2000)),IF($Z736&lt;=5200,IF(INDEX(客户自备加工筐明细!$E$4:$E$1203,$Z736-4000)=0,"",INDEX(客户自备加工筐明细!$E$4:$E$1203,$Z736-4000)),IF($Z736&lt;=5800,IF(INDEX(次果筐明细!$C$4:$C$603,$Z736-5200)=0,"",INDEX(次果筐明细!$C$4:$C$603,$Z736-5200)),"")))))</f>
        <v/>
      </c>
      <c r="D736" s="37" t="str">
        <f>IF($Z736="","",IF($Z736&lt;=2000,"包装物料－"&amp;INDEX(包装物料出入库明细!$H$4:$H$2003,$Z736-0),IF($Z736&lt;=4000,"周转筐－"&amp;INDEX(周转筐出入库明细!$F$4:$F$2004,$Z736-2000),IF($Z736&lt;=5200,"客户自备筐－"&amp;INDEX(客户自备加工筐明细!$J$4:$J$1203,$Z736-4000),IF($Z736&lt;=5800,"次果筐/托盘－"&amp;INDEX(次果筐明细!$F$4:$F$603,$Z736-5200),"")))))</f>
        <v/>
      </c>
      <c r="E736" s="24" t="str">
        <f>IF($Z736="","",IF($Z736&lt;=2000,IF(INDEX(包装物料出入库明细!$C$4:$C$2003,$Z736-0)=0,"",INDEX(包装物料出入库明细!$C$4:$C$2003,$Z736-0)),IF($Z736&lt;=4000,IF(INDEX(周转筐出入库明细!$E$4:$E$2004,$Z736-2000)=0,"",INDEX(周转筐出入库明细!$E$4:$E$2004,$Z736-2000)),IF($Z736&lt;=5200,IF(INDEX(客户自备加工筐明细!$D$4:$D$1203,$Z736-4000)=0,"",INDEX(客户自备加工筐明细!$D$4:$D$1203,$Z736-4000)),IF($Z736&lt;=5800,IF(INDEX(次果筐明细!$E$4:$E$603,$Z736-5200)=0,"",INDEX(次果筐明细!$E$4:$E$603,$Z736-5200)),"")))))</f>
        <v/>
      </c>
      <c r="F736" s="24" t="str">
        <f>IF($Z736="","",IF($Z736&lt;=2000,IF(INDEX(包装物料出入库明细!$E$4:$E$2003,$Z736-0)=0,"",INDEX(包装物料出入库明细!$E$4:$E$2003,$Z736-0)),IF($Z736&lt;=4000,IF(INDEX(周转筐出入库明细!$D$4:$D$2004,$Z736-2000)=0,"",INDEX(周转筐出入库明细!$D$4:$D$2004,$Z736-2000)),IF($Z736&lt;=5200,IF(INDEX(客户自备加工筐明细!$C$4:$C$1203,$Z736-4000)=0,"",INDEX(客户自备加工筐明细!$C$4:$C$1203,$Z736-4000)),IF($Z736&lt;=5800,IF(INDEX(次果筐明细!$D$4:$D$603,$Z736-5200)=0,"",INDEX(次果筐明细!$D$4:$D$603,$Z736-5200)),"")))))</f>
        <v/>
      </c>
      <c r="G736" s="24" t="str">
        <f>IF($Z736="","",IF($Z736&lt;=2000,IF(INDEX(包装物料出入库明细!$F$4:$F$2003,$Z736-0)=0,"",INDEX(包装物料出入库明细!$F$4:$F$2003,$Z736-0)),IF($Z736&lt;=4000,"",IF($Z736&lt;=5200,"",IF($Z736&lt;=5800,"","")))))</f>
        <v/>
      </c>
      <c r="H736" s="39" t="str">
        <f>IF($Z736="","",IF($Z736&lt;=2000,IF(INDEX(包装物料出入库明细!$L$4:$L$2003,$Z736-0)=0,"",INDEX(包装物料出入库明细!$L$4:$L$2003,$Z736-0)),IF($Z736&lt;=4000,N(INDEX(周转筐出入库明细!$H$4:$H$2004,$Z736-2000))+N(INDEX(周转筐出入库明细!$I$4:$I$2004,$Z736-2000))+N(INDEX(周转筐出入库明细!$J$4:$J$2004,$Z736-2000))+N(INDEX(周转筐出入库明细!$K$4:$K$2004,$Z736-2000)),IF($Z736&lt;=5200,N(INDEX(客户自备加工筐明细!$F$4:$F$1203,$Z736-4000))+N(INDEX(客户自备加工筐明细!$G$4:$G$1203,$Z736-4000)),IF($Z736&lt;=5800,IF(INDEX(次果筐明细!$G$4:$G$603,$Z736-5200)=0,"",INDEX(次果筐明细!$G$4:$G$603,$Z736-5200)),"")))))</f>
        <v/>
      </c>
      <c r="I736" s="24" t="str">
        <f>IF($Z736="","",IF($Z736&lt;=2000,IF(INDEX(包装物料出入库明细!$G$4:$G$2003,$Z736-0)=0,"",INDEX(包装物料出入库明细!$G$4:$G$2003,$Z736-0)),IF($Z736&lt;=4000,"个",IF($Z736&lt;=5200,"个",IF($Z736&lt;=5800,"个","")))))</f>
        <v/>
      </c>
      <c r="J736" s="30" t="str">
        <f t="shared" si="34"/>
        <v/>
      </c>
      <c r="K736" s="30" t="str">
        <f>IF($Z736="","",IF($Z736&lt;=2000,IF(INDEX(包装物料出入库明细!$N$4:$N$2003,$Z736-0)=0,"",INDEX(包装物料出入库明细!$N$4:$N$2003,$Z736-0)),IF($Z736&lt;=4000,IF(INDEX(周转筐出入库明细!$P$4:$P$2004,$Z736-2000)=0,"",INDEX(周转筐出入库明细!$P$4:$P$2004,$Z736-2000)),IF($Z736&lt;=5200,"",IF($Z736&lt;=5800,N(INDEX(次果筐明细!$L$4:$L$603,$Z736-5200))+N(INDEX(次果筐明细!$J$4:$J$603,$Z736-5200)),"")))))</f>
        <v/>
      </c>
      <c r="L736" s="24" t="str">
        <f>IF($Z736="","",IF($Z736&lt;=2000,IF(INDEX(包装物料出入库明细!$P$4:$P$2003,$Z736-0)=0,"",INDEX(包装物料出入库明细!$P$4:$P$2003,$Z736-0)),IF($Z736&lt;=4000,IF(INDEX(周转筐出入库明细!$Q$4:$Q$2004,$Z736-2000)=0,"",INDEX(周转筐出入库明细!$Q$4:$Q$2004,$Z736-2000)),IF($Z736&lt;=5200,"",IF($Z736&lt;=5800,IF(INDEX(次果筐明细!$M$4:$M$603,$Z736-5200)=0,"",INDEX(次果筐明细!$M$4:$M$603,$Z736-5200)),"")))))</f>
        <v/>
      </c>
      <c r="M736" s="37" t="str">
        <f>IF($Z736="","",IF($Z736&lt;=2000,IF(INDEX(包装物料出入库明细!$R$4:$R$2003,$Z736-0)=0,"",INDEX(包装物料出入库明细!$R$4:$R$2003,$Z736-0)),IF($Z736&lt;=4000,IF(INDEX(周转筐出入库明细!$W$4:$W$2004,$Z736-2000)=0,"",INDEX(周转筐出入库明细!$W$4:$W$2004,$Z736-2000)),IF($Z736&lt;=5200,IF(INDEX(客户自备加工筐明细!$L$4:$L$1203,$Z736-4000)=0,"",INDEX(客户自备加工筐明细!$L$4:$L$1203,$Z736-4000)),IF($Z736&lt;=5800,IF(INDEX(次果筐明细!$P$4:$P$603,$Z736-5200)=0,"",INDEX(次果筐明细!$P$4:$P$603,$Z736-5200)),"")))))</f>
        <v/>
      </c>
      <c r="N736" s="16" t="str">
        <f>IF($Z736="","",IF($Z736&lt;=2000,"",IF($Z736&lt;=4000,IF(INDEX(周转筐出入库明细!$D$4:$D$2004,$Z736-2000)=0,"",INDEX(周转筐出入库明细!$D$4:$D$2004,$Z736-2000)),IF($Z736&lt;=5200,IF(INDEX(客户自备加工筐明细!$C$4:$C$1203,$Z736-4000)=0,"",INDEX(客户自备加工筐明细!$C$4:$C$1203,$Z736-4000)),IF($Z736&lt;=5800,IF(INDEX(次果筐明细!$D$4:$D$603,$Z736-5200)=0,"",INDEX(次果筐明细!$D$4:$D$603,$Z736-5200)),"")))))</f>
        <v/>
      </c>
      <c r="O736" s="40" t="str">
        <f>IF($Z736="","",IF($Z736&lt;=2000,"",IF($Z736&lt;=4000,IF(N(INDEX(周转筐出入库明细!$J$4:$J$2004,$Z736-2000))+N(INDEX(周转筐出入库明细!$K$4:$K$2004,$Z736-2000))=0,"",N(INDEX(周转筐出入库明细!$J$4:$J$2004,$Z736-2000))+N(INDEX(周转筐出入库明细!$K$4:$K$2004,$Z736-2000))),IF($Z736&lt;=5200,IF(N(INDEX(客户自备加工筐明细!$G$4:$G$1203,$Z736-4000))=0,"",N(INDEX(客户自备加工筐明细!$G$4:$G$1203,$Z736-4000))),IF($Z736&lt;=5800,IF(ISNUMBER(SEARCH("退",INDEX(次果筐明细!$F$4:$F$603,$Z736-5200)&amp;"")),"",IF(N(INDEX(次果筐明细!$G$4:$G$603,$Z736-5200))=0,"",N(INDEX(次果筐明细!$G$4:$G$603,$Z736-5200)))),"")))))</f>
        <v/>
      </c>
      <c r="P736" s="40" t="str">
        <f>IF($Z736="","",IF($Z736&lt;=2000,"",IF($Z736&lt;=4000,IF(N(INDEX(周转筐出入库明细!$I$4:$I$2004,$Z736-2000))=0,"",N(INDEX(周转筐出入库明细!$I$4:$I$2004,$Z736-2000))),IF($Z736&lt;=5200,"",IF($Z736&lt;=5800,IF(ISNUMBER(SEARCH("退",INDEX(次果筐明细!$F$4:$F$603,$Z736-5200)&amp;"")),IF(N(INDEX(次果筐明细!$G$4:$G$603,$Z736-5200))=0,"",N(INDEX(次果筐明细!$G$4:$G$603,$Z736-5200))),""),"")))))</f>
        <v/>
      </c>
      <c r="Q736" s="40" t="str">
        <f>IF($Z736="","",IF($Z736&lt;=2000,"",IF($Z736&lt;=4000,IF(N(INDEX(周转筐出入库明细!$H$4:$H$2004,$Z736-2000))=0,"",N(INDEX(周转筐出入库明细!$H$4:$H$2004,$Z736-2000))),IF($Z736&lt;=5200,IF(N(INDEX(客户自备加工筐明细!$F$4:$F$1203,$Z736-4000))=0,"",N(INDEX(客户自备加工筐明细!$F$4:$F$1203,$Z736-4000))),IF($Z736&lt;=5800,"","")))))</f>
        <v/>
      </c>
      <c r="R736" s="16" t="str">
        <f>IF($Z736="","",IF($Z736&lt;=2000,IF(INDEX(包装物料出入库明细!$O$4:$O$2003,$Z736-0)=0,"",INDEX(包装物料出入库明细!$O$4:$O$2003,$Z736-0)),IF($Z736&lt;=4000,IF(INDEX(周转筐出入库明细!$M$4:$M$2004,$Z736-2000)=0,"",INDEX(周转筐出入库明细!$M$4:$M$2004,$Z736-2000)),IF($Z736&lt;=5200,IF(INDEX(客户自备加工筐明细!$H$4:$H$1203,$Z736-4000)=0,"",INDEX(客户自备加工筐明细!$H$4:$H$1203,$Z736-4000)),IF($Z736&lt;=5800,IF(INDEX(次果筐明细!$H$4:$H$603,$Z736-5200)=0,"",INDEX(次果筐明细!$H$4:$H$603,$Z736-5200)),"")))))</f>
        <v/>
      </c>
      <c r="S736" s="22" t="str">
        <f t="shared" si="35"/>
        <v/>
      </c>
      <c r="Z736" s="10" t="str">
        <f>IFERROR(MATCH(ROW()-3,_自动清单!$CQ$4:$CQ$5803,0),"")</f>
        <v/>
      </c>
    </row>
    <row r="737" spans="1:26">
      <c r="A737" s="24" t="str">
        <f t="shared" si="33"/>
        <v/>
      </c>
      <c r="B737" s="38" t="str">
        <f>IF($Z737="","",IF($Z737&lt;=2000,IF(INDEX(包装物料出入库明细!$B$4:$B$2003,$Z737-0)=0,"",INDEX(包装物料出入库明细!$B$4:$B$2003,$Z737-0)),IF($Z737&lt;=4000,IF(INDEX(周转筐出入库明细!$B$4:$B$2004,$Z737-2000)=0,"",INDEX(周转筐出入库明细!$B$4:$B$2004,$Z737-2000)),IF($Z737&lt;=5200,IF(INDEX(客户自备加工筐明细!$B$4:$B$1203,$Z737-4000)=0,"",INDEX(客户自备加工筐明细!$B$4:$B$1203,$Z737-4000)),IF($Z737&lt;=5800,IF(INDEX(次果筐明细!$B$4:$B$603,$Z737-5200)=0,"",INDEX(次果筐明细!$B$4:$B$603,$Z737-5200)),"")))))</f>
        <v/>
      </c>
      <c r="C737" s="37" t="str">
        <f>IF($Z737="","",IF($Z737&lt;=2000,IF(INDEX(包装物料出入库明细!$D$4:$D$2003,$Z737-0)=0,"",INDEX(包装物料出入库明细!$D$4:$D$2003,$Z737-0)),IF($Z737&lt;=4000,IF(INDEX(周转筐出入库明细!$C$4:$C$2004,$Z737-2000)=0,"",INDEX(周转筐出入库明细!$C$4:$C$2004,$Z737-2000)),IF($Z737&lt;=5200,IF(INDEX(客户自备加工筐明细!$E$4:$E$1203,$Z737-4000)=0,"",INDEX(客户自备加工筐明细!$E$4:$E$1203,$Z737-4000)),IF($Z737&lt;=5800,IF(INDEX(次果筐明细!$C$4:$C$603,$Z737-5200)=0,"",INDEX(次果筐明细!$C$4:$C$603,$Z737-5200)),"")))))</f>
        <v/>
      </c>
      <c r="D737" s="37" t="str">
        <f>IF($Z737="","",IF($Z737&lt;=2000,"包装物料－"&amp;INDEX(包装物料出入库明细!$H$4:$H$2003,$Z737-0),IF($Z737&lt;=4000,"周转筐－"&amp;INDEX(周转筐出入库明细!$F$4:$F$2004,$Z737-2000),IF($Z737&lt;=5200,"客户自备筐－"&amp;INDEX(客户自备加工筐明细!$J$4:$J$1203,$Z737-4000),IF($Z737&lt;=5800,"次果筐/托盘－"&amp;INDEX(次果筐明细!$F$4:$F$603,$Z737-5200),"")))))</f>
        <v/>
      </c>
      <c r="E737" s="24" t="str">
        <f>IF($Z737="","",IF($Z737&lt;=2000,IF(INDEX(包装物料出入库明细!$C$4:$C$2003,$Z737-0)=0,"",INDEX(包装物料出入库明细!$C$4:$C$2003,$Z737-0)),IF($Z737&lt;=4000,IF(INDEX(周转筐出入库明细!$E$4:$E$2004,$Z737-2000)=0,"",INDEX(周转筐出入库明细!$E$4:$E$2004,$Z737-2000)),IF($Z737&lt;=5200,IF(INDEX(客户自备加工筐明细!$D$4:$D$1203,$Z737-4000)=0,"",INDEX(客户自备加工筐明细!$D$4:$D$1203,$Z737-4000)),IF($Z737&lt;=5800,IF(INDEX(次果筐明细!$E$4:$E$603,$Z737-5200)=0,"",INDEX(次果筐明细!$E$4:$E$603,$Z737-5200)),"")))))</f>
        <v/>
      </c>
      <c r="F737" s="24" t="str">
        <f>IF($Z737="","",IF($Z737&lt;=2000,IF(INDEX(包装物料出入库明细!$E$4:$E$2003,$Z737-0)=0,"",INDEX(包装物料出入库明细!$E$4:$E$2003,$Z737-0)),IF($Z737&lt;=4000,IF(INDEX(周转筐出入库明细!$D$4:$D$2004,$Z737-2000)=0,"",INDEX(周转筐出入库明细!$D$4:$D$2004,$Z737-2000)),IF($Z737&lt;=5200,IF(INDEX(客户自备加工筐明细!$C$4:$C$1203,$Z737-4000)=0,"",INDEX(客户自备加工筐明细!$C$4:$C$1203,$Z737-4000)),IF($Z737&lt;=5800,IF(INDEX(次果筐明细!$D$4:$D$603,$Z737-5200)=0,"",INDEX(次果筐明细!$D$4:$D$603,$Z737-5200)),"")))))</f>
        <v/>
      </c>
      <c r="G737" s="24" t="str">
        <f>IF($Z737="","",IF($Z737&lt;=2000,IF(INDEX(包装物料出入库明细!$F$4:$F$2003,$Z737-0)=0,"",INDEX(包装物料出入库明细!$F$4:$F$2003,$Z737-0)),IF($Z737&lt;=4000,"",IF($Z737&lt;=5200,"",IF($Z737&lt;=5800,"","")))))</f>
        <v/>
      </c>
      <c r="H737" s="39" t="str">
        <f>IF($Z737="","",IF($Z737&lt;=2000,IF(INDEX(包装物料出入库明细!$L$4:$L$2003,$Z737-0)=0,"",INDEX(包装物料出入库明细!$L$4:$L$2003,$Z737-0)),IF($Z737&lt;=4000,N(INDEX(周转筐出入库明细!$H$4:$H$2004,$Z737-2000))+N(INDEX(周转筐出入库明细!$I$4:$I$2004,$Z737-2000))+N(INDEX(周转筐出入库明细!$J$4:$J$2004,$Z737-2000))+N(INDEX(周转筐出入库明细!$K$4:$K$2004,$Z737-2000)),IF($Z737&lt;=5200,N(INDEX(客户自备加工筐明细!$F$4:$F$1203,$Z737-4000))+N(INDEX(客户自备加工筐明细!$G$4:$G$1203,$Z737-4000)),IF($Z737&lt;=5800,IF(INDEX(次果筐明细!$G$4:$G$603,$Z737-5200)=0,"",INDEX(次果筐明细!$G$4:$G$603,$Z737-5200)),"")))))</f>
        <v/>
      </c>
      <c r="I737" s="24" t="str">
        <f>IF($Z737="","",IF($Z737&lt;=2000,IF(INDEX(包装物料出入库明细!$G$4:$G$2003,$Z737-0)=0,"",INDEX(包装物料出入库明细!$G$4:$G$2003,$Z737-0)),IF($Z737&lt;=4000,"个",IF($Z737&lt;=5200,"个",IF($Z737&lt;=5800,"个","")))))</f>
        <v/>
      </c>
      <c r="J737" s="30" t="str">
        <f t="shared" si="34"/>
        <v/>
      </c>
      <c r="K737" s="30" t="str">
        <f>IF($Z737="","",IF($Z737&lt;=2000,IF(INDEX(包装物料出入库明细!$N$4:$N$2003,$Z737-0)=0,"",INDEX(包装物料出入库明细!$N$4:$N$2003,$Z737-0)),IF($Z737&lt;=4000,IF(INDEX(周转筐出入库明细!$P$4:$P$2004,$Z737-2000)=0,"",INDEX(周转筐出入库明细!$P$4:$P$2004,$Z737-2000)),IF($Z737&lt;=5200,"",IF($Z737&lt;=5800,N(INDEX(次果筐明细!$L$4:$L$603,$Z737-5200))+N(INDEX(次果筐明细!$J$4:$J$603,$Z737-5200)),"")))))</f>
        <v/>
      </c>
      <c r="L737" s="24" t="str">
        <f>IF($Z737="","",IF($Z737&lt;=2000,IF(INDEX(包装物料出入库明细!$P$4:$P$2003,$Z737-0)=0,"",INDEX(包装物料出入库明细!$P$4:$P$2003,$Z737-0)),IF($Z737&lt;=4000,IF(INDEX(周转筐出入库明细!$Q$4:$Q$2004,$Z737-2000)=0,"",INDEX(周转筐出入库明细!$Q$4:$Q$2004,$Z737-2000)),IF($Z737&lt;=5200,"",IF($Z737&lt;=5800,IF(INDEX(次果筐明细!$M$4:$M$603,$Z737-5200)=0,"",INDEX(次果筐明细!$M$4:$M$603,$Z737-5200)),"")))))</f>
        <v/>
      </c>
      <c r="M737" s="37" t="str">
        <f>IF($Z737="","",IF($Z737&lt;=2000,IF(INDEX(包装物料出入库明细!$R$4:$R$2003,$Z737-0)=0,"",INDEX(包装物料出入库明细!$R$4:$R$2003,$Z737-0)),IF($Z737&lt;=4000,IF(INDEX(周转筐出入库明细!$W$4:$W$2004,$Z737-2000)=0,"",INDEX(周转筐出入库明细!$W$4:$W$2004,$Z737-2000)),IF($Z737&lt;=5200,IF(INDEX(客户自备加工筐明细!$L$4:$L$1203,$Z737-4000)=0,"",INDEX(客户自备加工筐明细!$L$4:$L$1203,$Z737-4000)),IF($Z737&lt;=5800,IF(INDEX(次果筐明细!$P$4:$P$603,$Z737-5200)=0,"",INDEX(次果筐明细!$P$4:$P$603,$Z737-5200)),"")))))</f>
        <v/>
      </c>
      <c r="N737" s="16" t="str">
        <f>IF($Z737="","",IF($Z737&lt;=2000,"",IF($Z737&lt;=4000,IF(INDEX(周转筐出入库明细!$D$4:$D$2004,$Z737-2000)=0,"",INDEX(周转筐出入库明细!$D$4:$D$2004,$Z737-2000)),IF($Z737&lt;=5200,IF(INDEX(客户自备加工筐明细!$C$4:$C$1203,$Z737-4000)=0,"",INDEX(客户自备加工筐明细!$C$4:$C$1203,$Z737-4000)),IF($Z737&lt;=5800,IF(INDEX(次果筐明细!$D$4:$D$603,$Z737-5200)=0,"",INDEX(次果筐明细!$D$4:$D$603,$Z737-5200)),"")))))</f>
        <v/>
      </c>
      <c r="O737" s="40" t="str">
        <f>IF($Z737="","",IF($Z737&lt;=2000,"",IF($Z737&lt;=4000,IF(N(INDEX(周转筐出入库明细!$J$4:$J$2004,$Z737-2000))+N(INDEX(周转筐出入库明细!$K$4:$K$2004,$Z737-2000))=0,"",N(INDEX(周转筐出入库明细!$J$4:$J$2004,$Z737-2000))+N(INDEX(周转筐出入库明细!$K$4:$K$2004,$Z737-2000))),IF($Z737&lt;=5200,IF(N(INDEX(客户自备加工筐明细!$G$4:$G$1203,$Z737-4000))=0,"",N(INDEX(客户自备加工筐明细!$G$4:$G$1203,$Z737-4000))),IF($Z737&lt;=5800,IF(ISNUMBER(SEARCH("退",INDEX(次果筐明细!$F$4:$F$603,$Z737-5200)&amp;"")),"",IF(N(INDEX(次果筐明细!$G$4:$G$603,$Z737-5200))=0,"",N(INDEX(次果筐明细!$G$4:$G$603,$Z737-5200)))),"")))))</f>
        <v/>
      </c>
      <c r="P737" s="40" t="str">
        <f>IF($Z737="","",IF($Z737&lt;=2000,"",IF($Z737&lt;=4000,IF(N(INDEX(周转筐出入库明细!$I$4:$I$2004,$Z737-2000))=0,"",N(INDEX(周转筐出入库明细!$I$4:$I$2004,$Z737-2000))),IF($Z737&lt;=5200,"",IF($Z737&lt;=5800,IF(ISNUMBER(SEARCH("退",INDEX(次果筐明细!$F$4:$F$603,$Z737-5200)&amp;"")),IF(N(INDEX(次果筐明细!$G$4:$G$603,$Z737-5200))=0,"",N(INDEX(次果筐明细!$G$4:$G$603,$Z737-5200))),""),"")))))</f>
        <v/>
      </c>
      <c r="Q737" s="40" t="str">
        <f>IF($Z737="","",IF($Z737&lt;=2000,"",IF($Z737&lt;=4000,IF(N(INDEX(周转筐出入库明细!$H$4:$H$2004,$Z737-2000))=0,"",N(INDEX(周转筐出入库明细!$H$4:$H$2004,$Z737-2000))),IF($Z737&lt;=5200,IF(N(INDEX(客户自备加工筐明细!$F$4:$F$1203,$Z737-4000))=0,"",N(INDEX(客户自备加工筐明细!$F$4:$F$1203,$Z737-4000))),IF($Z737&lt;=5800,"","")))))</f>
        <v/>
      </c>
      <c r="R737" s="16" t="str">
        <f>IF($Z737="","",IF($Z737&lt;=2000,IF(INDEX(包装物料出入库明细!$O$4:$O$2003,$Z737-0)=0,"",INDEX(包装物料出入库明细!$O$4:$O$2003,$Z737-0)),IF($Z737&lt;=4000,IF(INDEX(周转筐出入库明细!$M$4:$M$2004,$Z737-2000)=0,"",INDEX(周转筐出入库明细!$M$4:$M$2004,$Z737-2000)),IF($Z737&lt;=5200,IF(INDEX(客户自备加工筐明细!$H$4:$H$1203,$Z737-4000)=0,"",INDEX(客户自备加工筐明细!$H$4:$H$1203,$Z737-4000)),IF($Z737&lt;=5800,IF(INDEX(次果筐明细!$H$4:$H$603,$Z737-5200)=0,"",INDEX(次果筐明细!$H$4:$H$603,$Z737-5200)),"")))))</f>
        <v/>
      </c>
      <c r="S737" s="22" t="str">
        <f t="shared" si="35"/>
        <v/>
      </c>
      <c r="Z737" s="10" t="str">
        <f>IFERROR(MATCH(ROW()-3,_自动清单!$CQ$4:$CQ$5803,0),"")</f>
        <v/>
      </c>
    </row>
    <row r="738" spans="1:26">
      <c r="A738" s="24" t="str">
        <f t="shared" si="33"/>
        <v/>
      </c>
      <c r="B738" s="38" t="str">
        <f>IF($Z738="","",IF($Z738&lt;=2000,IF(INDEX(包装物料出入库明细!$B$4:$B$2003,$Z738-0)=0,"",INDEX(包装物料出入库明细!$B$4:$B$2003,$Z738-0)),IF($Z738&lt;=4000,IF(INDEX(周转筐出入库明细!$B$4:$B$2004,$Z738-2000)=0,"",INDEX(周转筐出入库明细!$B$4:$B$2004,$Z738-2000)),IF($Z738&lt;=5200,IF(INDEX(客户自备加工筐明细!$B$4:$B$1203,$Z738-4000)=0,"",INDEX(客户自备加工筐明细!$B$4:$B$1203,$Z738-4000)),IF($Z738&lt;=5800,IF(INDEX(次果筐明细!$B$4:$B$603,$Z738-5200)=0,"",INDEX(次果筐明细!$B$4:$B$603,$Z738-5200)),"")))))</f>
        <v/>
      </c>
      <c r="C738" s="37" t="str">
        <f>IF($Z738="","",IF($Z738&lt;=2000,IF(INDEX(包装物料出入库明细!$D$4:$D$2003,$Z738-0)=0,"",INDEX(包装物料出入库明细!$D$4:$D$2003,$Z738-0)),IF($Z738&lt;=4000,IF(INDEX(周转筐出入库明细!$C$4:$C$2004,$Z738-2000)=0,"",INDEX(周转筐出入库明细!$C$4:$C$2004,$Z738-2000)),IF($Z738&lt;=5200,IF(INDEX(客户自备加工筐明细!$E$4:$E$1203,$Z738-4000)=0,"",INDEX(客户自备加工筐明细!$E$4:$E$1203,$Z738-4000)),IF($Z738&lt;=5800,IF(INDEX(次果筐明细!$C$4:$C$603,$Z738-5200)=0,"",INDEX(次果筐明细!$C$4:$C$603,$Z738-5200)),"")))))</f>
        <v/>
      </c>
      <c r="D738" s="37" t="str">
        <f>IF($Z738="","",IF($Z738&lt;=2000,"包装物料－"&amp;INDEX(包装物料出入库明细!$H$4:$H$2003,$Z738-0),IF($Z738&lt;=4000,"周转筐－"&amp;INDEX(周转筐出入库明细!$F$4:$F$2004,$Z738-2000),IF($Z738&lt;=5200,"客户自备筐－"&amp;INDEX(客户自备加工筐明细!$J$4:$J$1203,$Z738-4000),IF($Z738&lt;=5800,"次果筐/托盘－"&amp;INDEX(次果筐明细!$F$4:$F$603,$Z738-5200),"")))))</f>
        <v/>
      </c>
      <c r="E738" s="24" t="str">
        <f>IF($Z738="","",IF($Z738&lt;=2000,IF(INDEX(包装物料出入库明细!$C$4:$C$2003,$Z738-0)=0,"",INDEX(包装物料出入库明细!$C$4:$C$2003,$Z738-0)),IF($Z738&lt;=4000,IF(INDEX(周转筐出入库明细!$E$4:$E$2004,$Z738-2000)=0,"",INDEX(周转筐出入库明细!$E$4:$E$2004,$Z738-2000)),IF($Z738&lt;=5200,IF(INDEX(客户自备加工筐明细!$D$4:$D$1203,$Z738-4000)=0,"",INDEX(客户自备加工筐明细!$D$4:$D$1203,$Z738-4000)),IF($Z738&lt;=5800,IF(INDEX(次果筐明细!$E$4:$E$603,$Z738-5200)=0,"",INDEX(次果筐明细!$E$4:$E$603,$Z738-5200)),"")))))</f>
        <v/>
      </c>
      <c r="F738" s="24" t="str">
        <f>IF($Z738="","",IF($Z738&lt;=2000,IF(INDEX(包装物料出入库明细!$E$4:$E$2003,$Z738-0)=0,"",INDEX(包装物料出入库明细!$E$4:$E$2003,$Z738-0)),IF($Z738&lt;=4000,IF(INDEX(周转筐出入库明细!$D$4:$D$2004,$Z738-2000)=0,"",INDEX(周转筐出入库明细!$D$4:$D$2004,$Z738-2000)),IF($Z738&lt;=5200,IF(INDEX(客户自备加工筐明细!$C$4:$C$1203,$Z738-4000)=0,"",INDEX(客户自备加工筐明细!$C$4:$C$1203,$Z738-4000)),IF($Z738&lt;=5800,IF(INDEX(次果筐明细!$D$4:$D$603,$Z738-5200)=0,"",INDEX(次果筐明细!$D$4:$D$603,$Z738-5200)),"")))))</f>
        <v/>
      </c>
      <c r="G738" s="24" t="str">
        <f>IF($Z738="","",IF($Z738&lt;=2000,IF(INDEX(包装物料出入库明细!$F$4:$F$2003,$Z738-0)=0,"",INDEX(包装物料出入库明细!$F$4:$F$2003,$Z738-0)),IF($Z738&lt;=4000,"",IF($Z738&lt;=5200,"",IF($Z738&lt;=5800,"","")))))</f>
        <v/>
      </c>
      <c r="H738" s="39" t="str">
        <f>IF($Z738="","",IF($Z738&lt;=2000,IF(INDEX(包装物料出入库明细!$L$4:$L$2003,$Z738-0)=0,"",INDEX(包装物料出入库明细!$L$4:$L$2003,$Z738-0)),IF($Z738&lt;=4000,N(INDEX(周转筐出入库明细!$H$4:$H$2004,$Z738-2000))+N(INDEX(周转筐出入库明细!$I$4:$I$2004,$Z738-2000))+N(INDEX(周转筐出入库明细!$J$4:$J$2004,$Z738-2000))+N(INDEX(周转筐出入库明细!$K$4:$K$2004,$Z738-2000)),IF($Z738&lt;=5200,N(INDEX(客户自备加工筐明细!$F$4:$F$1203,$Z738-4000))+N(INDEX(客户自备加工筐明细!$G$4:$G$1203,$Z738-4000)),IF($Z738&lt;=5800,IF(INDEX(次果筐明细!$G$4:$G$603,$Z738-5200)=0,"",INDEX(次果筐明细!$G$4:$G$603,$Z738-5200)),"")))))</f>
        <v/>
      </c>
      <c r="I738" s="24" t="str">
        <f>IF($Z738="","",IF($Z738&lt;=2000,IF(INDEX(包装物料出入库明细!$G$4:$G$2003,$Z738-0)=0,"",INDEX(包装物料出入库明细!$G$4:$G$2003,$Z738-0)),IF($Z738&lt;=4000,"个",IF($Z738&lt;=5200,"个",IF($Z738&lt;=5800,"个","")))))</f>
        <v/>
      </c>
      <c r="J738" s="30" t="str">
        <f t="shared" si="34"/>
        <v/>
      </c>
      <c r="K738" s="30" t="str">
        <f>IF($Z738="","",IF($Z738&lt;=2000,IF(INDEX(包装物料出入库明细!$N$4:$N$2003,$Z738-0)=0,"",INDEX(包装物料出入库明细!$N$4:$N$2003,$Z738-0)),IF($Z738&lt;=4000,IF(INDEX(周转筐出入库明细!$P$4:$P$2004,$Z738-2000)=0,"",INDEX(周转筐出入库明细!$P$4:$P$2004,$Z738-2000)),IF($Z738&lt;=5200,"",IF($Z738&lt;=5800,N(INDEX(次果筐明细!$L$4:$L$603,$Z738-5200))+N(INDEX(次果筐明细!$J$4:$J$603,$Z738-5200)),"")))))</f>
        <v/>
      </c>
      <c r="L738" s="24" t="str">
        <f>IF($Z738="","",IF($Z738&lt;=2000,IF(INDEX(包装物料出入库明细!$P$4:$P$2003,$Z738-0)=0,"",INDEX(包装物料出入库明细!$P$4:$P$2003,$Z738-0)),IF($Z738&lt;=4000,IF(INDEX(周转筐出入库明细!$Q$4:$Q$2004,$Z738-2000)=0,"",INDEX(周转筐出入库明细!$Q$4:$Q$2004,$Z738-2000)),IF($Z738&lt;=5200,"",IF($Z738&lt;=5800,IF(INDEX(次果筐明细!$M$4:$M$603,$Z738-5200)=0,"",INDEX(次果筐明细!$M$4:$M$603,$Z738-5200)),"")))))</f>
        <v/>
      </c>
      <c r="M738" s="37" t="str">
        <f>IF($Z738="","",IF($Z738&lt;=2000,IF(INDEX(包装物料出入库明细!$R$4:$R$2003,$Z738-0)=0,"",INDEX(包装物料出入库明细!$R$4:$R$2003,$Z738-0)),IF($Z738&lt;=4000,IF(INDEX(周转筐出入库明细!$W$4:$W$2004,$Z738-2000)=0,"",INDEX(周转筐出入库明细!$W$4:$W$2004,$Z738-2000)),IF($Z738&lt;=5200,IF(INDEX(客户自备加工筐明细!$L$4:$L$1203,$Z738-4000)=0,"",INDEX(客户自备加工筐明细!$L$4:$L$1203,$Z738-4000)),IF($Z738&lt;=5800,IF(INDEX(次果筐明细!$P$4:$P$603,$Z738-5200)=0,"",INDEX(次果筐明细!$P$4:$P$603,$Z738-5200)),"")))))</f>
        <v/>
      </c>
      <c r="N738" s="16" t="str">
        <f>IF($Z738="","",IF($Z738&lt;=2000,"",IF($Z738&lt;=4000,IF(INDEX(周转筐出入库明细!$D$4:$D$2004,$Z738-2000)=0,"",INDEX(周转筐出入库明细!$D$4:$D$2004,$Z738-2000)),IF($Z738&lt;=5200,IF(INDEX(客户自备加工筐明细!$C$4:$C$1203,$Z738-4000)=0,"",INDEX(客户自备加工筐明细!$C$4:$C$1203,$Z738-4000)),IF($Z738&lt;=5800,IF(INDEX(次果筐明细!$D$4:$D$603,$Z738-5200)=0,"",INDEX(次果筐明细!$D$4:$D$603,$Z738-5200)),"")))))</f>
        <v/>
      </c>
      <c r="O738" s="40" t="str">
        <f>IF($Z738="","",IF($Z738&lt;=2000,"",IF($Z738&lt;=4000,IF(N(INDEX(周转筐出入库明细!$J$4:$J$2004,$Z738-2000))+N(INDEX(周转筐出入库明细!$K$4:$K$2004,$Z738-2000))=0,"",N(INDEX(周转筐出入库明细!$J$4:$J$2004,$Z738-2000))+N(INDEX(周转筐出入库明细!$K$4:$K$2004,$Z738-2000))),IF($Z738&lt;=5200,IF(N(INDEX(客户自备加工筐明细!$G$4:$G$1203,$Z738-4000))=0,"",N(INDEX(客户自备加工筐明细!$G$4:$G$1203,$Z738-4000))),IF($Z738&lt;=5800,IF(ISNUMBER(SEARCH("退",INDEX(次果筐明细!$F$4:$F$603,$Z738-5200)&amp;"")),"",IF(N(INDEX(次果筐明细!$G$4:$G$603,$Z738-5200))=0,"",N(INDEX(次果筐明细!$G$4:$G$603,$Z738-5200)))),"")))))</f>
        <v/>
      </c>
      <c r="P738" s="40" t="str">
        <f>IF($Z738="","",IF($Z738&lt;=2000,"",IF($Z738&lt;=4000,IF(N(INDEX(周转筐出入库明细!$I$4:$I$2004,$Z738-2000))=0,"",N(INDEX(周转筐出入库明细!$I$4:$I$2004,$Z738-2000))),IF($Z738&lt;=5200,"",IF($Z738&lt;=5800,IF(ISNUMBER(SEARCH("退",INDEX(次果筐明细!$F$4:$F$603,$Z738-5200)&amp;"")),IF(N(INDEX(次果筐明细!$G$4:$G$603,$Z738-5200))=0,"",N(INDEX(次果筐明细!$G$4:$G$603,$Z738-5200))),""),"")))))</f>
        <v/>
      </c>
      <c r="Q738" s="40" t="str">
        <f>IF($Z738="","",IF($Z738&lt;=2000,"",IF($Z738&lt;=4000,IF(N(INDEX(周转筐出入库明细!$H$4:$H$2004,$Z738-2000))=0,"",N(INDEX(周转筐出入库明细!$H$4:$H$2004,$Z738-2000))),IF($Z738&lt;=5200,IF(N(INDEX(客户自备加工筐明细!$F$4:$F$1203,$Z738-4000))=0,"",N(INDEX(客户自备加工筐明细!$F$4:$F$1203,$Z738-4000))),IF($Z738&lt;=5800,"","")))))</f>
        <v/>
      </c>
      <c r="R738" s="16" t="str">
        <f>IF($Z738="","",IF($Z738&lt;=2000,IF(INDEX(包装物料出入库明细!$O$4:$O$2003,$Z738-0)=0,"",INDEX(包装物料出入库明细!$O$4:$O$2003,$Z738-0)),IF($Z738&lt;=4000,IF(INDEX(周转筐出入库明细!$M$4:$M$2004,$Z738-2000)=0,"",INDEX(周转筐出入库明细!$M$4:$M$2004,$Z738-2000)),IF($Z738&lt;=5200,IF(INDEX(客户自备加工筐明细!$H$4:$H$1203,$Z738-4000)=0,"",INDEX(客户自备加工筐明细!$H$4:$H$1203,$Z738-4000)),IF($Z738&lt;=5800,IF(INDEX(次果筐明细!$H$4:$H$603,$Z738-5200)=0,"",INDEX(次果筐明细!$H$4:$H$603,$Z738-5200)),"")))))</f>
        <v/>
      </c>
      <c r="S738" s="22" t="str">
        <f t="shared" si="35"/>
        <v/>
      </c>
      <c r="Z738" s="10" t="str">
        <f>IFERROR(MATCH(ROW()-3,_自动清单!$CQ$4:$CQ$5803,0),"")</f>
        <v/>
      </c>
    </row>
    <row r="739" spans="1:26">
      <c r="A739" s="24" t="str">
        <f t="shared" si="33"/>
        <v/>
      </c>
      <c r="B739" s="38" t="str">
        <f>IF($Z739="","",IF($Z739&lt;=2000,IF(INDEX(包装物料出入库明细!$B$4:$B$2003,$Z739-0)=0,"",INDEX(包装物料出入库明细!$B$4:$B$2003,$Z739-0)),IF($Z739&lt;=4000,IF(INDEX(周转筐出入库明细!$B$4:$B$2004,$Z739-2000)=0,"",INDEX(周转筐出入库明细!$B$4:$B$2004,$Z739-2000)),IF($Z739&lt;=5200,IF(INDEX(客户自备加工筐明细!$B$4:$B$1203,$Z739-4000)=0,"",INDEX(客户自备加工筐明细!$B$4:$B$1203,$Z739-4000)),IF($Z739&lt;=5800,IF(INDEX(次果筐明细!$B$4:$B$603,$Z739-5200)=0,"",INDEX(次果筐明细!$B$4:$B$603,$Z739-5200)),"")))))</f>
        <v/>
      </c>
      <c r="C739" s="37" t="str">
        <f>IF($Z739="","",IF($Z739&lt;=2000,IF(INDEX(包装物料出入库明细!$D$4:$D$2003,$Z739-0)=0,"",INDEX(包装物料出入库明细!$D$4:$D$2003,$Z739-0)),IF($Z739&lt;=4000,IF(INDEX(周转筐出入库明细!$C$4:$C$2004,$Z739-2000)=0,"",INDEX(周转筐出入库明细!$C$4:$C$2004,$Z739-2000)),IF($Z739&lt;=5200,IF(INDEX(客户自备加工筐明细!$E$4:$E$1203,$Z739-4000)=0,"",INDEX(客户自备加工筐明细!$E$4:$E$1203,$Z739-4000)),IF($Z739&lt;=5800,IF(INDEX(次果筐明细!$C$4:$C$603,$Z739-5200)=0,"",INDEX(次果筐明细!$C$4:$C$603,$Z739-5200)),"")))))</f>
        <v/>
      </c>
      <c r="D739" s="37" t="str">
        <f>IF($Z739="","",IF($Z739&lt;=2000,"包装物料－"&amp;INDEX(包装物料出入库明细!$H$4:$H$2003,$Z739-0),IF($Z739&lt;=4000,"周转筐－"&amp;INDEX(周转筐出入库明细!$F$4:$F$2004,$Z739-2000),IF($Z739&lt;=5200,"客户自备筐－"&amp;INDEX(客户自备加工筐明细!$J$4:$J$1203,$Z739-4000),IF($Z739&lt;=5800,"次果筐/托盘－"&amp;INDEX(次果筐明细!$F$4:$F$603,$Z739-5200),"")))))</f>
        <v/>
      </c>
      <c r="E739" s="24" t="str">
        <f>IF($Z739="","",IF($Z739&lt;=2000,IF(INDEX(包装物料出入库明细!$C$4:$C$2003,$Z739-0)=0,"",INDEX(包装物料出入库明细!$C$4:$C$2003,$Z739-0)),IF($Z739&lt;=4000,IF(INDEX(周转筐出入库明细!$E$4:$E$2004,$Z739-2000)=0,"",INDEX(周转筐出入库明细!$E$4:$E$2004,$Z739-2000)),IF($Z739&lt;=5200,IF(INDEX(客户自备加工筐明细!$D$4:$D$1203,$Z739-4000)=0,"",INDEX(客户自备加工筐明细!$D$4:$D$1203,$Z739-4000)),IF($Z739&lt;=5800,IF(INDEX(次果筐明细!$E$4:$E$603,$Z739-5200)=0,"",INDEX(次果筐明细!$E$4:$E$603,$Z739-5200)),"")))))</f>
        <v/>
      </c>
      <c r="F739" s="24" t="str">
        <f>IF($Z739="","",IF($Z739&lt;=2000,IF(INDEX(包装物料出入库明细!$E$4:$E$2003,$Z739-0)=0,"",INDEX(包装物料出入库明细!$E$4:$E$2003,$Z739-0)),IF($Z739&lt;=4000,IF(INDEX(周转筐出入库明细!$D$4:$D$2004,$Z739-2000)=0,"",INDEX(周转筐出入库明细!$D$4:$D$2004,$Z739-2000)),IF($Z739&lt;=5200,IF(INDEX(客户自备加工筐明细!$C$4:$C$1203,$Z739-4000)=0,"",INDEX(客户自备加工筐明细!$C$4:$C$1203,$Z739-4000)),IF($Z739&lt;=5800,IF(INDEX(次果筐明细!$D$4:$D$603,$Z739-5200)=0,"",INDEX(次果筐明细!$D$4:$D$603,$Z739-5200)),"")))))</f>
        <v/>
      </c>
      <c r="G739" s="24" t="str">
        <f>IF($Z739="","",IF($Z739&lt;=2000,IF(INDEX(包装物料出入库明细!$F$4:$F$2003,$Z739-0)=0,"",INDEX(包装物料出入库明细!$F$4:$F$2003,$Z739-0)),IF($Z739&lt;=4000,"",IF($Z739&lt;=5200,"",IF($Z739&lt;=5800,"","")))))</f>
        <v/>
      </c>
      <c r="H739" s="39" t="str">
        <f>IF($Z739="","",IF($Z739&lt;=2000,IF(INDEX(包装物料出入库明细!$L$4:$L$2003,$Z739-0)=0,"",INDEX(包装物料出入库明细!$L$4:$L$2003,$Z739-0)),IF($Z739&lt;=4000,N(INDEX(周转筐出入库明细!$H$4:$H$2004,$Z739-2000))+N(INDEX(周转筐出入库明细!$I$4:$I$2004,$Z739-2000))+N(INDEX(周转筐出入库明细!$J$4:$J$2004,$Z739-2000))+N(INDEX(周转筐出入库明细!$K$4:$K$2004,$Z739-2000)),IF($Z739&lt;=5200,N(INDEX(客户自备加工筐明细!$F$4:$F$1203,$Z739-4000))+N(INDEX(客户自备加工筐明细!$G$4:$G$1203,$Z739-4000)),IF($Z739&lt;=5800,IF(INDEX(次果筐明细!$G$4:$G$603,$Z739-5200)=0,"",INDEX(次果筐明细!$G$4:$G$603,$Z739-5200)),"")))))</f>
        <v/>
      </c>
      <c r="I739" s="24" t="str">
        <f>IF($Z739="","",IF($Z739&lt;=2000,IF(INDEX(包装物料出入库明细!$G$4:$G$2003,$Z739-0)=0,"",INDEX(包装物料出入库明细!$G$4:$G$2003,$Z739-0)),IF($Z739&lt;=4000,"个",IF($Z739&lt;=5200,"个",IF($Z739&lt;=5800,"个","")))))</f>
        <v/>
      </c>
      <c r="J739" s="30" t="str">
        <f t="shared" si="34"/>
        <v/>
      </c>
      <c r="K739" s="30" t="str">
        <f>IF($Z739="","",IF($Z739&lt;=2000,IF(INDEX(包装物料出入库明细!$N$4:$N$2003,$Z739-0)=0,"",INDEX(包装物料出入库明细!$N$4:$N$2003,$Z739-0)),IF($Z739&lt;=4000,IF(INDEX(周转筐出入库明细!$P$4:$P$2004,$Z739-2000)=0,"",INDEX(周转筐出入库明细!$P$4:$P$2004,$Z739-2000)),IF($Z739&lt;=5200,"",IF($Z739&lt;=5800,N(INDEX(次果筐明细!$L$4:$L$603,$Z739-5200))+N(INDEX(次果筐明细!$J$4:$J$603,$Z739-5200)),"")))))</f>
        <v/>
      </c>
      <c r="L739" s="24" t="str">
        <f>IF($Z739="","",IF($Z739&lt;=2000,IF(INDEX(包装物料出入库明细!$P$4:$P$2003,$Z739-0)=0,"",INDEX(包装物料出入库明细!$P$4:$P$2003,$Z739-0)),IF($Z739&lt;=4000,IF(INDEX(周转筐出入库明细!$Q$4:$Q$2004,$Z739-2000)=0,"",INDEX(周转筐出入库明细!$Q$4:$Q$2004,$Z739-2000)),IF($Z739&lt;=5200,"",IF($Z739&lt;=5800,IF(INDEX(次果筐明细!$M$4:$M$603,$Z739-5200)=0,"",INDEX(次果筐明细!$M$4:$M$603,$Z739-5200)),"")))))</f>
        <v/>
      </c>
      <c r="M739" s="37" t="str">
        <f>IF($Z739="","",IF($Z739&lt;=2000,IF(INDEX(包装物料出入库明细!$R$4:$R$2003,$Z739-0)=0,"",INDEX(包装物料出入库明细!$R$4:$R$2003,$Z739-0)),IF($Z739&lt;=4000,IF(INDEX(周转筐出入库明细!$W$4:$W$2004,$Z739-2000)=0,"",INDEX(周转筐出入库明细!$W$4:$W$2004,$Z739-2000)),IF($Z739&lt;=5200,IF(INDEX(客户自备加工筐明细!$L$4:$L$1203,$Z739-4000)=0,"",INDEX(客户自备加工筐明细!$L$4:$L$1203,$Z739-4000)),IF($Z739&lt;=5800,IF(INDEX(次果筐明细!$P$4:$P$603,$Z739-5200)=0,"",INDEX(次果筐明细!$P$4:$P$603,$Z739-5200)),"")))))</f>
        <v/>
      </c>
      <c r="N739" s="16" t="str">
        <f>IF($Z739="","",IF($Z739&lt;=2000,"",IF($Z739&lt;=4000,IF(INDEX(周转筐出入库明细!$D$4:$D$2004,$Z739-2000)=0,"",INDEX(周转筐出入库明细!$D$4:$D$2004,$Z739-2000)),IF($Z739&lt;=5200,IF(INDEX(客户自备加工筐明细!$C$4:$C$1203,$Z739-4000)=0,"",INDEX(客户自备加工筐明细!$C$4:$C$1203,$Z739-4000)),IF($Z739&lt;=5800,IF(INDEX(次果筐明细!$D$4:$D$603,$Z739-5200)=0,"",INDEX(次果筐明细!$D$4:$D$603,$Z739-5200)),"")))))</f>
        <v/>
      </c>
      <c r="O739" s="40" t="str">
        <f>IF($Z739="","",IF($Z739&lt;=2000,"",IF($Z739&lt;=4000,IF(N(INDEX(周转筐出入库明细!$J$4:$J$2004,$Z739-2000))+N(INDEX(周转筐出入库明细!$K$4:$K$2004,$Z739-2000))=0,"",N(INDEX(周转筐出入库明细!$J$4:$J$2004,$Z739-2000))+N(INDEX(周转筐出入库明细!$K$4:$K$2004,$Z739-2000))),IF($Z739&lt;=5200,IF(N(INDEX(客户自备加工筐明细!$G$4:$G$1203,$Z739-4000))=0,"",N(INDEX(客户自备加工筐明细!$G$4:$G$1203,$Z739-4000))),IF($Z739&lt;=5800,IF(ISNUMBER(SEARCH("退",INDEX(次果筐明细!$F$4:$F$603,$Z739-5200)&amp;"")),"",IF(N(INDEX(次果筐明细!$G$4:$G$603,$Z739-5200))=0,"",N(INDEX(次果筐明细!$G$4:$G$603,$Z739-5200)))),"")))))</f>
        <v/>
      </c>
      <c r="P739" s="40" t="str">
        <f>IF($Z739="","",IF($Z739&lt;=2000,"",IF($Z739&lt;=4000,IF(N(INDEX(周转筐出入库明细!$I$4:$I$2004,$Z739-2000))=0,"",N(INDEX(周转筐出入库明细!$I$4:$I$2004,$Z739-2000))),IF($Z739&lt;=5200,"",IF($Z739&lt;=5800,IF(ISNUMBER(SEARCH("退",INDEX(次果筐明细!$F$4:$F$603,$Z739-5200)&amp;"")),IF(N(INDEX(次果筐明细!$G$4:$G$603,$Z739-5200))=0,"",N(INDEX(次果筐明细!$G$4:$G$603,$Z739-5200))),""),"")))))</f>
        <v/>
      </c>
      <c r="Q739" s="40" t="str">
        <f>IF($Z739="","",IF($Z739&lt;=2000,"",IF($Z739&lt;=4000,IF(N(INDEX(周转筐出入库明细!$H$4:$H$2004,$Z739-2000))=0,"",N(INDEX(周转筐出入库明细!$H$4:$H$2004,$Z739-2000))),IF($Z739&lt;=5200,IF(N(INDEX(客户自备加工筐明细!$F$4:$F$1203,$Z739-4000))=0,"",N(INDEX(客户自备加工筐明细!$F$4:$F$1203,$Z739-4000))),IF($Z739&lt;=5800,"","")))))</f>
        <v/>
      </c>
      <c r="R739" s="16" t="str">
        <f>IF($Z739="","",IF($Z739&lt;=2000,IF(INDEX(包装物料出入库明细!$O$4:$O$2003,$Z739-0)=0,"",INDEX(包装物料出入库明细!$O$4:$O$2003,$Z739-0)),IF($Z739&lt;=4000,IF(INDEX(周转筐出入库明细!$M$4:$M$2004,$Z739-2000)=0,"",INDEX(周转筐出入库明细!$M$4:$M$2004,$Z739-2000)),IF($Z739&lt;=5200,IF(INDEX(客户自备加工筐明细!$H$4:$H$1203,$Z739-4000)=0,"",INDEX(客户自备加工筐明细!$H$4:$H$1203,$Z739-4000)),IF($Z739&lt;=5800,IF(INDEX(次果筐明细!$H$4:$H$603,$Z739-5200)=0,"",INDEX(次果筐明细!$H$4:$H$603,$Z739-5200)),"")))))</f>
        <v/>
      </c>
      <c r="S739" s="22" t="str">
        <f t="shared" si="35"/>
        <v/>
      </c>
      <c r="Z739" s="10" t="str">
        <f>IFERROR(MATCH(ROW()-3,_自动清单!$CQ$4:$CQ$5803,0),"")</f>
        <v/>
      </c>
    </row>
    <row r="740" spans="1:26">
      <c r="A740" s="24" t="str">
        <f t="shared" si="33"/>
        <v/>
      </c>
      <c r="B740" s="38" t="str">
        <f>IF($Z740="","",IF($Z740&lt;=2000,IF(INDEX(包装物料出入库明细!$B$4:$B$2003,$Z740-0)=0,"",INDEX(包装物料出入库明细!$B$4:$B$2003,$Z740-0)),IF($Z740&lt;=4000,IF(INDEX(周转筐出入库明细!$B$4:$B$2004,$Z740-2000)=0,"",INDEX(周转筐出入库明细!$B$4:$B$2004,$Z740-2000)),IF($Z740&lt;=5200,IF(INDEX(客户自备加工筐明细!$B$4:$B$1203,$Z740-4000)=0,"",INDEX(客户自备加工筐明细!$B$4:$B$1203,$Z740-4000)),IF($Z740&lt;=5800,IF(INDEX(次果筐明细!$B$4:$B$603,$Z740-5200)=0,"",INDEX(次果筐明细!$B$4:$B$603,$Z740-5200)),"")))))</f>
        <v/>
      </c>
      <c r="C740" s="37" t="str">
        <f>IF($Z740="","",IF($Z740&lt;=2000,IF(INDEX(包装物料出入库明细!$D$4:$D$2003,$Z740-0)=0,"",INDEX(包装物料出入库明细!$D$4:$D$2003,$Z740-0)),IF($Z740&lt;=4000,IF(INDEX(周转筐出入库明细!$C$4:$C$2004,$Z740-2000)=0,"",INDEX(周转筐出入库明细!$C$4:$C$2004,$Z740-2000)),IF($Z740&lt;=5200,IF(INDEX(客户自备加工筐明细!$E$4:$E$1203,$Z740-4000)=0,"",INDEX(客户自备加工筐明细!$E$4:$E$1203,$Z740-4000)),IF($Z740&lt;=5800,IF(INDEX(次果筐明细!$C$4:$C$603,$Z740-5200)=0,"",INDEX(次果筐明细!$C$4:$C$603,$Z740-5200)),"")))))</f>
        <v/>
      </c>
      <c r="D740" s="37" t="str">
        <f>IF($Z740="","",IF($Z740&lt;=2000,"包装物料－"&amp;INDEX(包装物料出入库明细!$H$4:$H$2003,$Z740-0),IF($Z740&lt;=4000,"周转筐－"&amp;INDEX(周转筐出入库明细!$F$4:$F$2004,$Z740-2000),IF($Z740&lt;=5200,"客户自备筐－"&amp;INDEX(客户自备加工筐明细!$J$4:$J$1203,$Z740-4000),IF($Z740&lt;=5800,"次果筐/托盘－"&amp;INDEX(次果筐明细!$F$4:$F$603,$Z740-5200),"")))))</f>
        <v/>
      </c>
      <c r="E740" s="24" t="str">
        <f>IF($Z740="","",IF($Z740&lt;=2000,IF(INDEX(包装物料出入库明细!$C$4:$C$2003,$Z740-0)=0,"",INDEX(包装物料出入库明细!$C$4:$C$2003,$Z740-0)),IF($Z740&lt;=4000,IF(INDEX(周转筐出入库明细!$E$4:$E$2004,$Z740-2000)=0,"",INDEX(周转筐出入库明细!$E$4:$E$2004,$Z740-2000)),IF($Z740&lt;=5200,IF(INDEX(客户自备加工筐明细!$D$4:$D$1203,$Z740-4000)=0,"",INDEX(客户自备加工筐明细!$D$4:$D$1203,$Z740-4000)),IF($Z740&lt;=5800,IF(INDEX(次果筐明细!$E$4:$E$603,$Z740-5200)=0,"",INDEX(次果筐明细!$E$4:$E$603,$Z740-5200)),"")))))</f>
        <v/>
      </c>
      <c r="F740" s="24" t="str">
        <f>IF($Z740="","",IF($Z740&lt;=2000,IF(INDEX(包装物料出入库明细!$E$4:$E$2003,$Z740-0)=0,"",INDEX(包装物料出入库明细!$E$4:$E$2003,$Z740-0)),IF($Z740&lt;=4000,IF(INDEX(周转筐出入库明细!$D$4:$D$2004,$Z740-2000)=0,"",INDEX(周转筐出入库明细!$D$4:$D$2004,$Z740-2000)),IF($Z740&lt;=5200,IF(INDEX(客户自备加工筐明细!$C$4:$C$1203,$Z740-4000)=0,"",INDEX(客户自备加工筐明细!$C$4:$C$1203,$Z740-4000)),IF($Z740&lt;=5800,IF(INDEX(次果筐明细!$D$4:$D$603,$Z740-5200)=0,"",INDEX(次果筐明细!$D$4:$D$603,$Z740-5200)),"")))))</f>
        <v/>
      </c>
      <c r="G740" s="24" t="str">
        <f>IF($Z740="","",IF($Z740&lt;=2000,IF(INDEX(包装物料出入库明细!$F$4:$F$2003,$Z740-0)=0,"",INDEX(包装物料出入库明细!$F$4:$F$2003,$Z740-0)),IF($Z740&lt;=4000,"",IF($Z740&lt;=5200,"",IF($Z740&lt;=5800,"","")))))</f>
        <v/>
      </c>
      <c r="H740" s="39" t="str">
        <f>IF($Z740="","",IF($Z740&lt;=2000,IF(INDEX(包装物料出入库明细!$L$4:$L$2003,$Z740-0)=0,"",INDEX(包装物料出入库明细!$L$4:$L$2003,$Z740-0)),IF($Z740&lt;=4000,N(INDEX(周转筐出入库明细!$H$4:$H$2004,$Z740-2000))+N(INDEX(周转筐出入库明细!$I$4:$I$2004,$Z740-2000))+N(INDEX(周转筐出入库明细!$J$4:$J$2004,$Z740-2000))+N(INDEX(周转筐出入库明细!$K$4:$K$2004,$Z740-2000)),IF($Z740&lt;=5200,N(INDEX(客户自备加工筐明细!$F$4:$F$1203,$Z740-4000))+N(INDEX(客户自备加工筐明细!$G$4:$G$1203,$Z740-4000)),IF($Z740&lt;=5800,IF(INDEX(次果筐明细!$G$4:$G$603,$Z740-5200)=0,"",INDEX(次果筐明细!$G$4:$G$603,$Z740-5200)),"")))))</f>
        <v/>
      </c>
      <c r="I740" s="24" t="str">
        <f>IF($Z740="","",IF($Z740&lt;=2000,IF(INDEX(包装物料出入库明细!$G$4:$G$2003,$Z740-0)=0,"",INDEX(包装物料出入库明细!$G$4:$G$2003,$Z740-0)),IF($Z740&lt;=4000,"个",IF($Z740&lt;=5200,"个",IF($Z740&lt;=5800,"个","")))))</f>
        <v/>
      </c>
      <c r="J740" s="30" t="str">
        <f t="shared" si="34"/>
        <v/>
      </c>
      <c r="K740" s="30" t="str">
        <f>IF($Z740="","",IF($Z740&lt;=2000,IF(INDEX(包装物料出入库明细!$N$4:$N$2003,$Z740-0)=0,"",INDEX(包装物料出入库明细!$N$4:$N$2003,$Z740-0)),IF($Z740&lt;=4000,IF(INDEX(周转筐出入库明细!$P$4:$P$2004,$Z740-2000)=0,"",INDEX(周转筐出入库明细!$P$4:$P$2004,$Z740-2000)),IF($Z740&lt;=5200,"",IF($Z740&lt;=5800,N(INDEX(次果筐明细!$L$4:$L$603,$Z740-5200))+N(INDEX(次果筐明细!$J$4:$J$603,$Z740-5200)),"")))))</f>
        <v/>
      </c>
      <c r="L740" s="24" t="str">
        <f>IF($Z740="","",IF($Z740&lt;=2000,IF(INDEX(包装物料出入库明细!$P$4:$P$2003,$Z740-0)=0,"",INDEX(包装物料出入库明细!$P$4:$P$2003,$Z740-0)),IF($Z740&lt;=4000,IF(INDEX(周转筐出入库明细!$Q$4:$Q$2004,$Z740-2000)=0,"",INDEX(周转筐出入库明细!$Q$4:$Q$2004,$Z740-2000)),IF($Z740&lt;=5200,"",IF($Z740&lt;=5800,IF(INDEX(次果筐明细!$M$4:$M$603,$Z740-5200)=0,"",INDEX(次果筐明细!$M$4:$M$603,$Z740-5200)),"")))))</f>
        <v/>
      </c>
      <c r="M740" s="37" t="str">
        <f>IF($Z740="","",IF($Z740&lt;=2000,IF(INDEX(包装物料出入库明细!$R$4:$R$2003,$Z740-0)=0,"",INDEX(包装物料出入库明细!$R$4:$R$2003,$Z740-0)),IF($Z740&lt;=4000,IF(INDEX(周转筐出入库明细!$W$4:$W$2004,$Z740-2000)=0,"",INDEX(周转筐出入库明细!$W$4:$W$2004,$Z740-2000)),IF($Z740&lt;=5200,IF(INDEX(客户自备加工筐明细!$L$4:$L$1203,$Z740-4000)=0,"",INDEX(客户自备加工筐明细!$L$4:$L$1203,$Z740-4000)),IF($Z740&lt;=5800,IF(INDEX(次果筐明细!$P$4:$P$603,$Z740-5200)=0,"",INDEX(次果筐明细!$P$4:$P$603,$Z740-5200)),"")))))</f>
        <v/>
      </c>
      <c r="N740" s="16" t="str">
        <f>IF($Z740="","",IF($Z740&lt;=2000,"",IF($Z740&lt;=4000,IF(INDEX(周转筐出入库明细!$D$4:$D$2004,$Z740-2000)=0,"",INDEX(周转筐出入库明细!$D$4:$D$2004,$Z740-2000)),IF($Z740&lt;=5200,IF(INDEX(客户自备加工筐明细!$C$4:$C$1203,$Z740-4000)=0,"",INDEX(客户自备加工筐明细!$C$4:$C$1203,$Z740-4000)),IF($Z740&lt;=5800,IF(INDEX(次果筐明细!$D$4:$D$603,$Z740-5200)=0,"",INDEX(次果筐明细!$D$4:$D$603,$Z740-5200)),"")))))</f>
        <v/>
      </c>
      <c r="O740" s="40" t="str">
        <f>IF($Z740="","",IF($Z740&lt;=2000,"",IF($Z740&lt;=4000,IF(N(INDEX(周转筐出入库明细!$J$4:$J$2004,$Z740-2000))+N(INDEX(周转筐出入库明细!$K$4:$K$2004,$Z740-2000))=0,"",N(INDEX(周转筐出入库明细!$J$4:$J$2004,$Z740-2000))+N(INDEX(周转筐出入库明细!$K$4:$K$2004,$Z740-2000))),IF($Z740&lt;=5200,IF(N(INDEX(客户自备加工筐明细!$G$4:$G$1203,$Z740-4000))=0,"",N(INDEX(客户自备加工筐明细!$G$4:$G$1203,$Z740-4000))),IF($Z740&lt;=5800,IF(ISNUMBER(SEARCH("退",INDEX(次果筐明细!$F$4:$F$603,$Z740-5200)&amp;"")),"",IF(N(INDEX(次果筐明细!$G$4:$G$603,$Z740-5200))=0,"",N(INDEX(次果筐明细!$G$4:$G$603,$Z740-5200)))),"")))))</f>
        <v/>
      </c>
      <c r="P740" s="40" t="str">
        <f>IF($Z740="","",IF($Z740&lt;=2000,"",IF($Z740&lt;=4000,IF(N(INDEX(周转筐出入库明细!$I$4:$I$2004,$Z740-2000))=0,"",N(INDEX(周转筐出入库明细!$I$4:$I$2004,$Z740-2000))),IF($Z740&lt;=5200,"",IF($Z740&lt;=5800,IF(ISNUMBER(SEARCH("退",INDEX(次果筐明细!$F$4:$F$603,$Z740-5200)&amp;"")),IF(N(INDEX(次果筐明细!$G$4:$G$603,$Z740-5200))=0,"",N(INDEX(次果筐明细!$G$4:$G$603,$Z740-5200))),""),"")))))</f>
        <v/>
      </c>
      <c r="Q740" s="40" t="str">
        <f>IF($Z740="","",IF($Z740&lt;=2000,"",IF($Z740&lt;=4000,IF(N(INDEX(周转筐出入库明细!$H$4:$H$2004,$Z740-2000))=0,"",N(INDEX(周转筐出入库明细!$H$4:$H$2004,$Z740-2000))),IF($Z740&lt;=5200,IF(N(INDEX(客户自备加工筐明细!$F$4:$F$1203,$Z740-4000))=0,"",N(INDEX(客户自备加工筐明细!$F$4:$F$1203,$Z740-4000))),IF($Z740&lt;=5800,"","")))))</f>
        <v/>
      </c>
      <c r="R740" s="16" t="str">
        <f>IF($Z740="","",IF($Z740&lt;=2000,IF(INDEX(包装物料出入库明细!$O$4:$O$2003,$Z740-0)=0,"",INDEX(包装物料出入库明细!$O$4:$O$2003,$Z740-0)),IF($Z740&lt;=4000,IF(INDEX(周转筐出入库明细!$M$4:$M$2004,$Z740-2000)=0,"",INDEX(周转筐出入库明细!$M$4:$M$2004,$Z740-2000)),IF($Z740&lt;=5200,IF(INDEX(客户自备加工筐明细!$H$4:$H$1203,$Z740-4000)=0,"",INDEX(客户自备加工筐明细!$H$4:$H$1203,$Z740-4000)),IF($Z740&lt;=5800,IF(INDEX(次果筐明细!$H$4:$H$603,$Z740-5200)=0,"",INDEX(次果筐明细!$H$4:$H$603,$Z740-5200)),"")))))</f>
        <v/>
      </c>
      <c r="S740" s="22" t="str">
        <f t="shared" si="35"/>
        <v/>
      </c>
      <c r="Z740" s="10" t="str">
        <f>IFERROR(MATCH(ROW()-3,_自动清单!$CQ$4:$CQ$5803,0),"")</f>
        <v/>
      </c>
    </row>
    <row r="741" spans="1:26">
      <c r="A741" s="24" t="str">
        <f t="shared" si="33"/>
        <v/>
      </c>
      <c r="B741" s="38" t="str">
        <f>IF($Z741="","",IF($Z741&lt;=2000,IF(INDEX(包装物料出入库明细!$B$4:$B$2003,$Z741-0)=0,"",INDEX(包装物料出入库明细!$B$4:$B$2003,$Z741-0)),IF($Z741&lt;=4000,IF(INDEX(周转筐出入库明细!$B$4:$B$2004,$Z741-2000)=0,"",INDEX(周转筐出入库明细!$B$4:$B$2004,$Z741-2000)),IF($Z741&lt;=5200,IF(INDEX(客户自备加工筐明细!$B$4:$B$1203,$Z741-4000)=0,"",INDEX(客户自备加工筐明细!$B$4:$B$1203,$Z741-4000)),IF($Z741&lt;=5800,IF(INDEX(次果筐明细!$B$4:$B$603,$Z741-5200)=0,"",INDEX(次果筐明细!$B$4:$B$603,$Z741-5200)),"")))))</f>
        <v/>
      </c>
      <c r="C741" s="37" t="str">
        <f>IF($Z741="","",IF($Z741&lt;=2000,IF(INDEX(包装物料出入库明细!$D$4:$D$2003,$Z741-0)=0,"",INDEX(包装物料出入库明细!$D$4:$D$2003,$Z741-0)),IF($Z741&lt;=4000,IF(INDEX(周转筐出入库明细!$C$4:$C$2004,$Z741-2000)=0,"",INDEX(周转筐出入库明细!$C$4:$C$2004,$Z741-2000)),IF($Z741&lt;=5200,IF(INDEX(客户自备加工筐明细!$E$4:$E$1203,$Z741-4000)=0,"",INDEX(客户自备加工筐明细!$E$4:$E$1203,$Z741-4000)),IF($Z741&lt;=5800,IF(INDEX(次果筐明细!$C$4:$C$603,$Z741-5200)=0,"",INDEX(次果筐明细!$C$4:$C$603,$Z741-5200)),"")))))</f>
        <v/>
      </c>
      <c r="D741" s="37" t="str">
        <f>IF($Z741="","",IF($Z741&lt;=2000,"包装物料－"&amp;INDEX(包装物料出入库明细!$H$4:$H$2003,$Z741-0),IF($Z741&lt;=4000,"周转筐－"&amp;INDEX(周转筐出入库明细!$F$4:$F$2004,$Z741-2000),IF($Z741&lt;=5200,"客户自备筐－"&amp;INDEX(客户自备加工筐明细!$J$4:$J$1203,$Z741-4000),IF($Z741&lt;=5800,"次果筐/托盘－"&amp;INDEX(次果筐明细!$F$4:$F$603,$Z741-5200),"")))))</f>
        <v/>
      </c>
      <c r="E741" s="24" t="str">
        <f>IF($Z741="","",IF($Z741&lt;=2000,IF(INDEX(包装物料出入库明细!$C$4:$C$2003,$Z741-0)=0,"",INDEX(包装物料出入库明细!$C$4:$C$2003,$Z741-0)),IF($Z741&lt;=4000,IF(INDEX(周转筐出入库明细!$E$4:$E$2004,$Z741-2000)=0,"",INDEX(周转筐出入库明细!$E$4:$E$2004,$Z741-2000)),IF($Z741&lt;=5200,IF(INDEX(客户自备加工筐明细!$D$4:$D$1203,$Z741-4000)=0,"",INDEX(客户自备加工筐明细!$D$4:$D$1203,$Z741-4000)),IF($Z741&lt;=5800,IF(INDEX(次果筐明细!$E$4:$E$603,$Z741-5200)=0,"",INDEX(次果筐明细!$E$4:$E$603,$Z741-5200)),"")))))</f>
        <v/>
      </c>
      <c r="F741" s="24" t="str">
        <f>IF($Z741="","",IF($Z741&lt;=2000,IF(INDEX(包装物料出入库明细!$E$4:$E$2003,$Z741-0)=0,"",INDEX(包装物料出入库明细!$E$4:$E$2003,$Z741-0)),IF($Z741&lt;=4000,IF(INDEX(周转筐出入库明细!$D$4:$D$2004,$Z741-2000)=0,"",INDEX(周转筐出入库明细!$D$4:$D$2004,$Z741-2000)),IF($Z741&lt;=5200,IF(INDEX(客户自备加工筐明细!$C$4:$C$1203,$Z741-4000)=0,"",INDEX(客户自备加工筐明细!$C$4:$C$1203,$Z741-4000)),IF($Z741&lt;=5800,IF(INDEX(次果筐明细!$D$4:$D$603,$Z741-5200)=0,"",INDEX(次果筐明细!$D$4:$D$603,$Z741-5200)),"")))))</f>
        <v/>
      </c>
      <c r="G741" s="24" t="str">
        <f>IF($Z741="","",IF($Z741&lt;=2000,IF(INDEX(包装物料出入库明细!$F$4:$F$2003,$Z741-0)=0,"",INDEX(包装物料出入库明细!$F$4:$F$2003,$Z741-0)),IF($Z741&lt;=4000,"",IF($Z741&lt;=5200,"",IF($Z741&lt;=5800,"","")))))</f>
        <v/>
      </c>
      <c r="H741" s="39" t="str">
        <f>IF($Z741="","",IF($Z741&lt;=2000,IF(INDEX(包装物料出入库明细!$L$4:$L$2003,$Z741-0)=0,"",INDEX(包装物料出入库明细!$L$4:$L$2003,$Z741-0)),IF($Z741&lt;=4000,N(INDEX(周转筐出入库明细!$H$4:$H$2004,$Z741-2000))+N(INDEX(周转筐出入库明细!$I$4:$I$2004,$Z741-2000))+N(INDEX(周转筐出入库明细!$J$4:$J$2004,$Z741-2000))+N(INDEX(周转筐出入库明细!$K$4:$K$2004,$Z741-2000)),IF($Z741&lt;=5200,N(INDEX(客户自备加工筐明细!$F$4:$F$1203,$Z741-4000))+N(INDEX(客户自备加工筐明细!$G$4:$G$1203,$Z741-4000)),IF($Z741&lt;=5800,IF(INDEX(次果筐明细!$G$4:$G$603,$Z741-5200)=0,"",INDEX(次果筐明细!$G$4:$G$603,$Z741-5200)),"")))))</f>
        <v/>
      </c>
      <c r="I741" s="24" t="str">
        <f>IF($Z741="","",IF($Z741&lt;=2000,IF(INDEX(包装物料出入库明细!$G$4:$G$2003,$Z741-0)=0,"",INDEX(包装物料出入库明细!$G$4:$G$2003,$Z741-0)),IF($Z741&lt;=4000,"个",IF($Z741&lt;=5200,"个",IF($Z741&lt;=5800,"个","")))))</f>
        <v/>
      </c>
      <c r="J741" s="30" t="str">
        <f t="shared" si="34"/>
        <v/>
      </c>
      <c r="K741" s="30" t="str">
        <f>IF($Z741="","",IF($Z741&lt;=2000,IF(INDEX(包装物料出入库明细!$N$4:$N$2003,$Z741-0)=0,"",INDEX(包装物料出入库明细!$N$4:$N$2003,$Z741-0)),IF($Z741&lt;=4000,IF(INDEX(周转筐出入库明细!$P$4:$P$2004,$Z741-2000)=0,"",INDEX(周转筐出入库明细!$P$4:$P$2004,$Z741-2000)),IF($Z741&lt;=5200,"",IF($Z741&lt;=5800,N(INDEX(次果筐明细!$L$4:$L$603,$Z741-5200))+N(INDEX(次果筐明细!$J$4:$J$603,$Z741-5200)),"")))))</f>
        <v/>
      </c>
      <c r="L741" s="24" t="str">
        <f>IF($Z741="","",IF($Z741&lt;=2000,IF(INDEX(包装物料出入库明细!$P$4:$P$2003,$Z741-0)=0,"",INDEX(包装物料出入库明细!$P$4:$P$2003,$Z741-0)),IF($Z741&lt;=4000,IF(INDEX(周转筐出入库明细!$Q$4:$Q$2004,$Z741-2000)=0,"",INDEX(周转筐出入库明细!$Q$4:$Q$2004,$Z741-2000)),IF($Z741&lt;=5200,"",IF($Z741&lt;=5800,IF(INDEX(次果筐明细!$M$4:$M$603,$Z741-5200)=0,"",INDEX(次果筐明细!$M$4:$M$603,$Z741-5200)),"")))))</f>
        <v/>
      </c>
      <c r="M741" s="37" t="str">
        <f>IF($Z741="","",IF($Z741&lt;=2000,IF(INDEX(包装物料出入库明细!$R$4:$R$2003,$Z741-0)=0,"",INDEX(包装物料出入库明细!$R$4:$R$2003,$Z741-0)),IF($Z741&lt;=4000,IF(INDEX(周转筐出入库明细!$W$4:$W$2004,$Z741-2000)=0,"",INDEX(周转筐出入库明细!$W$4:$W$2004,$Z741-2000)),IF($Z741&lt;=5200,IF(INDEX(客户自备加工筐明细!$L$4:$L$1203,$Z741-4000)=0,"",INDEX(客户自备加工筐明细!$L$4:$L$1203,$Z741-4000)),IF($Z741&lt;=5800,IF(INDEX(次果筐明细!$P$4:$P$603,$Z741-5200)=0,"",INDEX(次果筐明细!$P$4:$P$603,$Z741-5200)),"")))))</f>
        <v/>
      </c>
      <c r="N741" s="16" t="str">
        <f>IF($Z741="","",IF($Z741&lt;=2000,"",IF($Z741&lt;=4000,IF(INDEX(周转筐出入库明细!$D$4:$D$2004,$Z741-2000)=0,"",INDEX(周转筐出入库明细!$D$4:$D$2004,$Z741-2000)),IF($Z741&lt;=5200,IF(INDEX(客户自备加工筐明细!$C$4:$C$1203,$Z741-4000)=0,"",INDEX(客户自备加工筐明细!$C$4:$C$1203,$Z741-4000)),IF($Z741&lt;=5800,IF(INDEX(次果筐明细!$D$4:$D$603,$Z741-5200)=0,"",INDEX(次果筐明细!$D$4:$D$603,$Z741-5200)),"")))))</f>
        <v/>
      </c>
      <c r="O741" s="40" t="str">
        <f>IF($Z741="","",IF($Z741&lt;=2000,"",IF($Z741&lt;=4000,IF(N(INDEX(周转筐出入库明细!$J$4:$J$2004,$Z741-2000))+N(INDEX(周转筐出入库明细!$K$4:$K$2004,$Z741-2000))=0,"",N(INDEX(周转筐出入库明细!$J$4:$J$2004,$Z741-2000))+N(INDEX(周转筐出入库明细!$K$4:$K$2004,$Z741-2000))),IF($Z741&lt;=5200,IF(N(INDEX(客户自备加工筐明细!$G$4:$G$1203,$Z741-4000))=0,"",N(INDEX(客户自备加工筐明细!$G$4:$G$1203,$Z741-4000))),IF($Z741&lt;=5800,IF(ISNUMBER(SEARCH("退",INDEX(次果筐明细!$F$4:$F$603,$Z741-5200)&amp;"")),"",IF(N(INDEX(次果筐明细!$G$4:$G$603,$Z741-5200))=0,"",N(INDEX(次果筐明细!$G$4:$G$603,$Z741-5200)))),"")))))</f>
        <v/>
      </c>
      <c r="P741" s="40" t="str">
        <f>IF($Z741="","",IF($Z741&lt;=2000,"",IF($Z741&lt;=4000,IF(N(INDEX(周转筐出入库明细!$I$4:$I$2004,$Z741-2000))=0,"",N(INDEX(周转筐出入库明细!$I$4:$I$2004,$Z741-2000))),IF($Z741&lt;=5200,"",IF($Z741&lt;=5800,IF(ISNUMBER(SEARCH("退",INDEX(次果筐明细!$F$4:$F$603,$Z741-5200)&amp;"")),IF(N(INDEX(次果筐明细!$G$4:$G$603,$Z741-5200))=0,"",N(INDEX(次果筐明细!$G$4:$G$603,$Z741-5200))),""),"")))))</f>
        <v/>
      </c>
      <c r="Q741" s="40" t="str">
        <f>IF($Z741="","",IF($Z741&lt;=2000,"",IF($Z741&lt;=4000,IF(N(INDEX(周转筐出入库明细!$H$4:$H$2004,$Z741-2000))=0,"",N(INDEX(周转筐出入库明细!$H$4:$H$2004,$Z741-2000))),IF($Z741&lt;=5200,IF(N(INDEX(客户自备加工筐明细!$F$4:$F$1203,$Z741-4000))=0,"",N(INDEX(客户自备加工筐明细!$F$4:$F$1203,$Z741-4000))),IF($Z741&lt;=5800,"","")))))</f>
        <v/>
      </c>
      <c r="R741" s="16" t="str">
        <f>IF($Z741="","",IF($Z741&lt;=2000,IF(INDEX(包装物料出入库明细!$O$4:$O$2003,$Z741-0)=0,"",INDEX(包装物料出入库明细!$O$4:$O$2003,$Z741-0)),IF($Z741&lt;=4000,IF(INDEX(周转筐出入库明细!$M$4:$M$2004,$Z741-2000)=0,"",INDEX(周转筐出入库明细!$M$4:$M$2004,$Z741-2000)),IF($Z741&lt;=5200,IF(INDEX(客户自备加工筐明细!$H$4:$H$1203,$Z741-4000)=0,"",INDEX(客户自备加工筐明细!$H$4:$H$1203,$Z741-4000)),IF($Z741&lt;=5800,IF(INDEX(次果筐明细!$H$4:$H$603,$Z741-5200)=0,"",INDEX(次果筐明细!$H$4:$H$603,$Z741-5200)),"")))))</f>
        <v/>
      </c>
      <c r="S741" s="22" t="str">
        <f t="shared" si="35"/>
        <v/>
      </c>
      <c r="Z741" s="10" t="str">
        <f>IFERROR(MATCH(ROW()-3,_自动清单!$CQ$4:$CQ$5803,0),"")</f>
        <v/>
      </c>
    </row>
    <row r="742" spans="1:26">
      <c r="A742" s="24" t="str">
        <f t="shared" si="33"/>
        <v/>
      </c>
      <c r="B742" s="38" t="str">
        <f>IF($Z742="","",IF($Z742&lt;=2000,IF(INDEX(包装物料出入库明细!$B$4:$B$2003,$Z742-0)=0,"",INDEX(包装物料出入库明细!$B$4:$B$2003,$Z742-0)),IF($Z742&lt;=4000,IF(INDEX(周转筐出入库明细!$B$4:$B$2004,$Z742-2000)=0,"",INDEX(周转筐出入库明细!$B$4:$B$2004,$Z742-2000)),IF($Z742&lt;=5200,IF(INDEX(客户自备加工筐明细!$B$4:$B$1203,$Z742-4000)=0,"",INDEX(客户自备加工筐明细!$B$4:$B$1203,$Z742-4000)),IF($Z742&lt;=5800,IF(INDEX(次果筐明细!$B$4:$B$603,$Z742-5200)=0,"",INDEX(次果筐明细!$B$4:$B$603,$Z742-5200)),"")))))</f>
        <v/>
      </c>
      <c r="C742" s="37" t="str">
        <f>IF($Z742="","",IF($Z742&lt;=2000,IF(INDEX(包装物料出入库明细!$D$4:$D$2003,$Z742-0)=0,"",INDEX(包装物料出入库明细!$D$4:$D$2003,$Z742-0)),IF($Z742&lt;=4000,IF(INDEX(周转筐出入库明细!$C$4:$C$2004,$Z742-2000)=0,"",INDEX(周转筐出入库明细!$C$4:$C$2004,$Z742-2000)),IF($Z742&lt;=5200,IF(INDEX(客户自备加工筐明细!$E$4:$E$1203,$Z742-4000)=0,"",INDEX(客户自备加工筐明细!$E$4:$E$1203,$Z742-4000)),IF($Z742&lt;=5800,IF(INDEX(次果筐明细!$C$4:$C$603,$Z742-5200)=0,"",INDEX(次果筐明细!$C$4:$C$603,$Z742-5200)),"")))))</f>
        <v/>
      </c>
      <c r="D742" s="37" t="str">
        <f>IF($Z742="","",IF($Z742&lt;=2000,"包装物料－"&amp;INDEX(包装物料出入库明细!$H$4:$H$2003,$Z742-0),IF($Z742&lt;=4000,"周转筐－"&amp;INDEX(周转筐出入库明细!$F$4:$F$2004,$Z742-2000),IF($Z742&lt;=5200,"客户自备筐－"&amp;INDEX(客户自备加工筐明细!$J$4:$J$1203,$Z742-4000),IF($Z742&lt;=5800,"次果筐/托盘－"&amp;INDEX(次果筐明细!$F$4:$F$603,$Z742-5200),"")))))</f>
        <v/>
      </c>
      <c r="E742" s="24" t="str">
        <f>IF($Z742="","",IF($Z742&lt;=2000,IF(INDEX(包装物料出入库明细!$C$4:$C$2003,$Z742-0)=0,"",INDEX(包装物料出入库明细!$C$4:$C$2003,$Z742-0)),IF($Z742&lt;=4000,IF(INDEX(周转筐出入库明细!$E$4:$E$2004,$Z742-2000)=0,"",INDEX(周转筐出入库明细!$E$4:$E$2004,$Z742-2000)),IF($Z742&lt;=5200,IF(INDEX(客户自备加工筐明细!$D$4:$D$1203,$Z742-4000)=0,"",INDEX(客户自备加工筐明细!$D$4:$D$1203,$Z742-4000)),IF($Z742&lt;=5800,IF(INDEX(次果筐明细!$E$4:$E$603,$Z742-5200)=0,"",INDEX(次果筐明细!$E$4:$E$603,$Z742-5200)),"")))))</f>
        <v/>
      </c>
      <c r="F742" s="24" t="str">
        <f>IF($Z742="","",IF($Z742&lt;=2000,IF(INDEX(包装物料出入库明细!$E$4:$E$2003,$Z742-0)=0,"",INDEX(包装物料出入库明细!$E$4:$E$2003,$Z742-0)),IF($Z742&lt;=4000,IF(INDEX(周转筐出入库明细!$D$4:$D$2004,$Z742-2000)=0,"",INDEX(周转筐出入库明细!$D$4:$D$2004,$Z742-2000)),IF($Z742&lt;=5200,IF(INDEX(客户自备加工筐明细!$C$4:$C$1203,$Z742-4000)=0,"",INDEX(客户自备加工筐明细!$C$4:$C$1203,$Z742-4000)),IF($Z742&lt;=5800,IF(INDEX(次果筐明细!$D$4:$D$603,$Z742-5200)=0,"",INDEX(次果筐明细!$D$4:$D$603,$Z742-5200)),"")))))</f>
        <v/>
      </c>
      <c r="G742" s="24" t="str">
        <f>IF($Z742="","",IF($Z742&lt;=2000,IF(INDEX(包装物料出入库明细!$F$4:$F$2003,$Z742-0)=0,"",INDEX(包装物料出入库明细!$F$4:$F$2003,$Z742-0)),IF($Z742&lt;=4000,"",IF($Z742&lt;=5200,"",IF($Z742&lt;=5800,"","")))))</f>
        <v/>
      </c>
      <c r="H742" s="39" t="str">
        <f>IF($Z742="","",IF($Z742&lt;=2000,IF(INDEX(包装物料出入库明细!$L$4:$L$2003,$Z742-0)=0,"",INDEX(包装物料出入库明细!$L$4:$L$2003,$Z742-0)),IF($Z742&lt;=4000,N(INDEX(周转筐出入库明细!$H$4:$H$2004,$Z742-2000))+N(INDEX(周转筐出入库明细!$I$4:$I$2004,$Z742-2000))+N(INDEX(周转筐出入库明细!$J$4:$J$2004,$Z742-2000))+N(INDEX(周转筐出入库明细!$K$4:$K$2004,$Z742-2000)),IF($Z742&lt;=5200,N(INDEX(客户自备加工筐明细!$F$4:$F$1203,$Z742-4000))+N(INDEX(客户自备加工筐明细!$G$4:$G$1203,$Z742-4000)),IF($Z742&lt;=5800,IF(INDEX(次果筐明细!$G$4:$G$603,$Z742-5200)=0,"",INDEX(次果筐明细!$G$4:$G$603,$Z742-5200)),"")))))</f>
        <v/>
      </c>
      <c r="I742" s="24" t="str">
        <f>IF($Z742="","",IF($Z742&lt;=2000,IF(INDEX(包装物料出入库明细!$G$4:$G$2003,$Z742-0)=0,"",INDEX(包装物料出入库明细!$G$4:$G$2003,$Z742-0)),IF($Z742&lt;=4000,"个",IF($Z742&lt;=5200,"个",IF($Z742&lt;=5800,"个","")))))</f>
        <v/>
      </c>
      <c r="J742" s="30" t="str">
        <f t="shared" si="34"/>
        <v/>
      </c>
      <c r="K742" s="30" t="str">
        <f>IF($Z742="","",IF($Z742&lt;=2000,IF(INDEX(包装物料出入库明细!$N$4:$N$2003,$Z742-0)=0,"",INDEX(包装物料出入库明细!$N$4:$N$2003,$Z742-0)),IF($Z742&lt;=4000,IF(INDEX(周转筐出入库明细!$P$4:$P$2004,$Z742-2000)=0,"",INDEX(周转筐出入库明细!$P$4:$P$2004,$Z742-2000)),IF($Z742&lt;=5200,"",IF($Z742&lt;=5800,N(INDEX(次果筐明细!$L$4:$L$603,$Z742-5200))+N(INDEX(次果筐明细!$J$4:$J$603,$Z742-5200)),"")))))</f>
        <v/>
      </c>
      <c r="L742" s="24" t="str">
        <f>IF($Z742="","",IF($Z742&lt;=2000,IF(INDEX(包装物料出入库明细!$P$4:$P$2003,$Z742-0)=0,"",INDEX(包装物料出入库明细!$P$4:$P$2003,$Z742-0)),IF($Z742&lt;=4000,IF(INDEX(周转筐出入库明细!$Q$4:$Q$2004,$Z742-2000)=0,"",INDEX(周转筐出入库明细!$Q$4:$Q$2004,$Z742-2000)),IF($Z742&lt;=5200,"",IF($Z742&lt;=5800,IF(INDEX(次果筐明细!$M$4:$M$603,$Z742-5200)=0,"",INDEX(次果筐明细!$M$4:$M$603,$Z742-5200)),"")))))</f>
        <v/>
      </c>
      <c r="M742" s="37" t="str">
        <f>IF($Z742="","",IF($Z742&lt;=2000,IF(INDEX(包装物料出入库明细!$R$4:$R$2003,$Z742-0)=0,"",INDEX(包装物料出入库明细!$R$4:$R$2003,$Z742-0)),IF($Z742&lt;=4000,IF(INDEX(周转筐出入库明细!$W$4:$W$2004,$Z742-2000)=0,"",INDEX(周转筐出入库明细!$W$4:$W$2004,$Z742-2000)),IF($Z742&lt;=5200,IF(INDEX(客户自备加工筐明细!$L$4:$L$1203,$Z742-4000)=0,"",INDEX(客户自备加工筐明细!$L$4:$L$1203,$Z742-4000)),IF($Z742&lt;=5800,IF(INDEX(次果筐明细!$P$4:$P$603,$Z742-5200)=0,"",INDEX(次果筐明细!$P$4:$P$603,$Z742-5200)),"")))))</f>
        <v/>
      </c>
      <c r="N742" s="16" t="str">
        <f>IF($Z742="","",IF($Z742&lt;=2000,"",IF($Z742&lt;=4000,IF(INDEX(周转筐出入库明细!$D$4:$D$2004,$Z742-2000)=0,"",INDEX(周转筐出入库明细!$D$4:$D$2004,$Z742-2000)),IF($Z742&lt;=5200,IF(INDEX(客户自备加工筐明细!$C$4:$C$1203,$Z742-4000)=0,"",INDEX(客户自备加工筐明细!$C$4:$C$1203,$Z742-4000)),IF($Z742&lt;=5800,IF(INDEX(次果筐明细!$D$4:$D$603,$Z742-5200)=0,"",INDEX(次果筐明细!$D$4:$D$603,$Z742-5200)),"")))))</f>
        <v/>
      </c>
      <c r="O742" s="40" t="str">
        <f>IF($Z742="","",IF($Z742&lt;=2000,"",IF($Z742&lt;=4000,IF(N(INDEX(周转筐出入库明细!$J$4:$J$2004,$Z742-2000))+N(INDEX(周转筐出入库明细!$K$4:$K$2004,$Z742-2000))=0,"",N(INDEX(周转筐出入库明细!$J$4:$J$2004,$Z742-2000))+N(INDEX(周转筐出入库明细!$K$4:$K$2004,$Z742-2000))),IF($Z742&lt;=5200,IF(N(INDEX(客户自备加工筐明细!$G$4:$G$1203,$Z742-4000))=0,"",N(INDEX(客户自备加工筐明细!$G$4:$G$1203,$Z742-4000))),IF($Z742&lt;=5800,IF(ISNUMBER(SEARCH("退",INDEX(次果筐明细!$F$4:$F$603,$Z742-5200)&amp;"")),"",IF(N(INDEX(次果筐明细!$G$4:$G$603,$Z742-5200))=0,"",N(INDEX(次果筐明细!$G$4:$G$603,$Z742-5200)))),"")))))</f>
        <v/>
      </c>
      <c r="P742" s="40" t="str">
        <f>IF($Z742="","",IF($Z742&lt;=2000,"",IF($Z742&lt;=4000,IF(N(INDEX(周转筐出入库明细!$I$4:$I$2004,$Z742-2000))=0,"",N(INDEX(周转筐出入库明细!$I$4:$I$2004,$Z742-2000))),IF($Z742&lt;=5200,"",IF($Z742&lt;=5800,IF(ISNUMBER(SEARCH("退",INDEX(次果筐明细!$F$4:$F$603,$Z742-5200)&amp;"")),IF(N(INDEX(次果筐明细!$G$4:$G$603,$Z742-5200))=0,"",N(INDEX(次果筐明细!$G$4:$G$603,$Z742-5200))),""),"")))))</f>
        <v/>
      </c>
      <c r="Q742" s="40" t="str">
        <f>IF($Z742="","",IF($Z742&lt;=2000,"",IF($Z742&lt;=4000,IF(N(INDEX(周转筐出入库明细!$H$4:$H$2004,$Z742-2000))=0,"",N(INDEX(周转筐出入库明细!$H$4:$H$2004,$Z742-2000))),IF($Z742&lt;=5200,IF(N(INDEX(客户自备加工筐明细!$F$4:$F$1203,$Z742-4000))=0,"",N(INDEX(客户自备加工筐明细!$F$4:$F$1203,$Z742-4000))),IF($Z742&lt;=5800,"","")))))</f>
        <v/>
      </c>
      <c r="R742" s="16" t="str">
        <f>IF($Z742="","",IF($Z742&lt;=2000,IF(INDEX(包装物料出入库明细!$O$4:$O$2003,$Z742-0)=0,"",INDEX(包装物料出入库明细!$O$4:$O$2003,$Z742-0)),IF($Z742&lt;=4000,IF(INDEX(周转筐出入库明细!$M$4:$M$2004,$Z742-2000)=0,"",INDEX(周转筐出入库明细!$M$4:$M$2004,$Z742-2000)),IF($Z742&lt;=5200,IF(INDEX(客户自备加工筐明细!$H$4:$H$1203,$Z742-4000)=0,"",INDEX(客户自备加工筐明细!$H$4:$H$1203,$Z742-4000)),IF($Z742&lt;=5800,IF(INDEX(次果筐明细!$H$4:$H$603,$Z742-5200)=0,"",INDEX(次果筐明细!$H$4:$H$603,$Z742-5200)),"")))))</f>
        <v/>
      </c>
      <c r="S742" s="22" t="str">
        <f t="shared" si="35"/>
        <v/>
      </c>
      <c r="Z742" s="10" t="str">
        <f>IFERROR(MATCH(ROW()-3,_自动清单!$CQ$4:$CQ$5803,0),"")</f>
        <v/>
      </c>
    </row>
    <row r="743" spans="1:26">
      <c r="A743" s="24" t="str">
        <f t="shared" si="33"/>
        <v/>
      </c>
      <c r="B743" s="38" t="str">
        <f>IF($Z743="","",IF($Z743&lt;=2000,IF(INDEX(包装物料出入库明细!$B$4:$B$2003,$Z743-0)=0,"",INDEX(包装物料出入库明细!$B$4:$B$2003,$Z743-0)),IF($Z743&lt;=4000,IF(INDEX(周转筐出入库明细!$B$4:$B$2004,$Z743-2000)=0,"",INDEX(周转筐出入库明细!$B$4:$B$2004,$Z743-2000)),IF($Z743&lt;=5200,IF(INDEX(客户自备加工筐明细!$B$4:$B$1203,$Z743-4000)=0,"",INDEX(客户自备加工筐明细!$B$4:$B$1203,$Z743-4000)),IF($Z743&lt;=5800,IF(INDEX(次果筐明细!$B$4:$B$603,$Z743-5200)=0,"",INDEX(次果筐明细!$B$4:$B$603,$Z743-5200)),"")))))</f>
        <v/>
      </c>
      <c r="C743" s="37" t="str">
        <f>IF($Z743="","",IF($Z743&lt;=2000,IF(INDEX(包装物料出入库明细!$D$4:$D$2003,$Z743-0)=0,"",INDEX(包装物料出入库明细!$D$4:$D$2003,$Z743-0)),IF($Z743&lt;=4000,IF(INDEX(周转筐出入库明细!$C$4:$C$2004,$Z743-2000)=0,"",INDEX(周转筐出入库明细!$C$4:$C$2004,$Z743-2000)),IF($Z743&lt;=5200,IF(INDEX(客户自备加工筐明细!$E$4:$E$1203,$Z743-4000)=0,"",INDEX(客户自备加工筐明细!$E$4:$E$1203,$Z743-4000)),IF($Z743&lt;=5800,IF(INDEX(次果筐明细!$C$4:$C$603,$Z743-5200)=0,"",INDEX(次果筐明细!$C$4:$C$603,$Z743-5200)),"")))))</f>
        <v/>
      </c>
      <c r="D743" s="37" t="str">
        <f>IF($Z743="","",IF($Z743&lt;=2000,"包装物料－"&amp;INDEX(包装物料出入库明细!$H$4:$H$2003,$Z743-0),IF($Z743&lt;=4000,"周转筐－"&amp;INDEX(周转筐出入库明细!$F$4:$F$2004,$Z743-2000),IF($Z743&lt;=5200,"客户自备筐－"&amp;INDEX(客户自备加工筐明细!$J$4:$J$1203,$Z743-4000),IF($Z743&lt;=5800,"次果筐/托盘－"&amp;INDEX(次果筐明细!$F$4:$F$603,$Z743-5200),"")))))</f>
        <v/>
      </c>
      <c r="E743" s="24" t="str">
        <f>IF($Z743="","",IF($Z743&lt;=2000,IF(INDEX(包装物料出入库明细!$C$4:$C$2003,$Z743-0)=0,"",INDEX(包装物料出入库明细!$C$4:$C$2003,$Z743-0)),IF($Z743&lt;=4000,IF(INDEX(周转筐出入库明细!$E$4:$E$2004,$Z743-2000)=0,"",INDEX(周转筐出入库明细!$E$4:$E$2004,$Z743-2000)),IF($Z743&lt;=5200,IF(INDEX(客户自备加工筐明细!$D$4:$D$1203,$Z743-4000)=0,"",INDEX(客户自备加工筐明细!$D$4:$D$1203,$Z743-4000)),IF($Z743&lt;=5800,IF(INDEX(次果筐明细!$E$4:$E$603,$Z743-5200)=0,"",INDEX(次果筐明细!$E$4:$E$603,$Z743-5200)),"")))))</f>
        <v/>
      </c>
      <c r="F743" s="24" t="str">
        <f>IF($Z743="","",IF($Z743&lt;=2000,IF(INDEX(包装物料出入库明细!$E$4:$E$2003,$Z743-0)=0,"",INDEX(包装物料出入库明细!$E$4:$E$2003,$Z743-0)),IF($Z743&lt;=4000,IF(INDEX(周转筐出入库明细!$D$4:$D$2004,$Z743-2000)=0,"",INDEX(周转筐出入库明细!$D$4:$D$2004,$Z743-2000)),IF($Z743&lt;=5200,IF(INDEX(客户自备加工筐明细!$C$4:$C$1203,$Z743-4000)=0,"",INDEX(客户自备加工筐明细!$C$4:$C$1203,$Z743-4000)),IF($Z743&lt;=5800,IF(INDEX(次果筐明细!$D$4:$D$603,$Z743-5200)=0,"",INDEX(次果筐明细!$D$4:$D$603,$Z743-5200)),"")))))</f>
        <v/>
      </c>
      <c r="G743" s="24" t="str">
        <f>IF($Z743="","",IF($Z743&lt;=2000,IF(INDEX(包装物料出入库明细!$F$4:$F$2003,$Z743-0)=0,"",INDEX(包装物料出入库明细!$F$4:$F$2003,$Z743-0)),IF($Z743&lt;=4000,"",IF($Z743&lt;=5200,"",IF($Z743&lt;=5800,"","")))))</f>
        <v/>
      </c>
      <c r="H743" s="39" t="str">
        <f>IF($Z743="","",IF($Z743&lt;=2000,IF(INDEX(包装物料出入库明细!$L$4:$L$2003,$Z743-0)=0,"",INDEX(包装物料出入库明细!$L$4:$L$2003,$Z743-0)),IF($Z743&lt;=4000,N(INDEX(周转筐出入库明细!$H$4:$H$2004,$Z743-2000))+N(INDEX(周转筐出入库明细!$I$4:$I$2004,$Z743-2000))+N(INDEX(周转筐出入库明细!$J$4:$J$2004,$Z743-2000))+N(INDEX(周转筐出入库明细!$K$4:$K$2004,$Z743-2000)),IF($Z743&lt;=5200,N(INDEX(客户自备加工筐明细!$F$4:$F$1203,$Z743-4000))+N(INDEX(客户自备加工筐明细!$G$4:$G$1203,$Z743-4000)),IF($Z743&lt;=5800,IF(INDEX(次果筐明细!$G$4:$G$603,$Z743-5200)=0,"",INDEX(次果筐明细!$G$4:$G$603,$Z743-5200)),"")))))</f>
        <v/>
      </c>
      <c r="I743" s="24" t="str">
        <f>IF($Z743="","",IF($Z743&lt;=2000,IF(INDEX(包装物料出入库明细!$G$4:$G$2003,$Z743-0)=0,"",INDEX(包装物料出入库明细!$G$4:$G$2003,$Z743-0)),IF($Z743&lt;=4000,"个",IF($Z743&lt;=5200,"个",IF($Z743&lt;=5800,"个","")))))</f>
        <v/>
      </c>
      <c r="J743" s="30" t="str">
        <f t="shared" si="34"/>
        <v/>
      </c>
      <c r="K743" s="30" t="str">
        <f>IF($Z743="","",IF($Z743&lt;=2000,IF(INDEX(包装物料出入库明细!$N$4:$N$2003,$Z743-0)=0,"",INDEX(包装物料出入库明细!$N$4:$N$2003,$Z743-0)),IF($Z743&lt;=4000,IF(INDEX(周转筐出入库明细!$P$4:$P$2004,$Z743-2000)=0,"",INDEX(周转筐出入库明细!$P$4:$P$2004,$Z743-2000)),IF($Z743&lt;=5200,"",IF($Z743&lt;=5800,N(INDEX(次果筐明细!$L$4:$L$603,$Z743-5200))+N(INDEX(次果筐明细!$J$4:$J$603,$Z743-5200)),"")))))</f>
        <v/>
      </c>
      <c r="L743" s="24" t="str">
        <f>IF($Z743="","",IF($Z743&lt;=2000,IF(INDEX(包装物料出入库明细!$P$4:$P$2003,$Z743-0)=0,"",INDEX(包装物料出入库明细!$P$4:$P$2003,$Z743-0)),IF($Z743&lt;=4000,IF(INDEX(周转筐出入库明细!$Q$4:$Q$2004,$Z743-2000)=0,"",INDEX(周转筐出入库明细!$Q$4:$Q$2004,$Z743-2000)),IF($Z743&lt;=5200,"",IF($Z743&lt;=5800,IF(INDEX(次果筐明细!$M$4:$M$603,$Z743-5200)=0,"",INDEX(次果筐明细!$M$4:$M$603,$Z743-5200)),"")))))</f>
        <v/>
      </c>
      <c r="M743" s="37" t="str">
        <f>IF($Z743="","",IF($Z743&lt;=2000,IF(INDEX(包装物料出入库明细!$R$4:$R$2003,$Z743-0)=0,"",INDEX(包装物料出入库明细!$R$4:$R$2003,$Z743-0)),IF($Z743&lt;=4000,IF(INDEX(周转筐出入库明细!$W$4:$W$2004,$Z743-2000)=0,"",INDEX(周转筐出入库明细!$W$4:$W$2004,$Z743-2000)),IF($Z743&lt;=5200,IF(INDEX(客户自备加工筐明细!$L$4:$L$1203,$Z743-4000)=0,"",INDEX(客户自备加工筐明细!$L$4:$L$1203,$Z743-4000)),IF($Z743&lt;=5800,IF(INDEX(次果筐明细!$P$4:$P$603,$Z743-5200)=0,"",INDEX(次果筐明细!$P$4:$P$603,$Z743-5200)),"")))))</f>
        <v/>
      </c>
      <c r="N743" s="16" t="str">
        <f>IF($Z743="","",IF($Z743&lt;=2000,"",IF($Z743&lt;=4000,IF(INDEX(周转筐出入库明细!$D$4:$D$2004,$Z743-2000)=0,"",INDEX(周转筐出入库明细!$D$4:$D$2004,$Z743-2000)),IF($Z743&lt;=5200,IF(INDEX(客户自备加工筐明细!$C$4:$C$1203,$Z743-4000)=0,"",INDEX(客户自备加工筐明细!$C$4:$C$1203,$Z743-4000)),IF($Z743&lt;=5800,IF(INDEX(次果筐明细!$D$4:$D$603,$Z743-5200)=0,"",INDEX(次果筐明细!$D$4:$D$603,$Z743-5200)),"")))))</f>
        <v/>
      </c>
      <c r="O743" s="40" t="str">
        <f>IF($Z743="","",IF($Z743&lt;=2000,"",IF($Z743&lt;=4000,IF(N(INDEX(周转筐出入库明细!$J$4:$J$2004,$Z743-2000))+N(INDEX(周转筐出入库明细!$K$4:$K$2004,$Z743-2000))=0,"",N(INDEX(周转筐出入库明细!$J$4:$J$2004,$Z743-2000))+N(INDEX(周转筐出入库明细!$K$4:$K$2004,$Z743-2000))),IF($Z743&lt;=5200,IF(N(INDEX(客户自备加工筐明细!$G$4:$G$1203,$Z743-4000))=0,"",N(INDEX(客户自备加工筐明细!$G$4:$G$1203,$Z743-4000))),IF($Z743&lt;=5800,IF(ISNUMBER(SEARCH("退",INDEX(次果筐明细!$F$4:$F$603,$Z743-5200)&amp;"")),"",IF(N(INDEX(次果筐明细!$G$4:$G$603,$Z743-5200))=0,"",N(INDEX(次果筐明细!$G$4:$G$603,$Z743-5200)))),"")))))</f>
        <v/>
      </c>
      <c r="P743" s="40" t="str">
        <f>IF($Z743="","",IF($Z743&lt;=2000,"",IF($Z743&lt;=4000,IF(N(INDEX(周转筐出入库明细!$I$4:$I$2004,$Z743-2000))=0,"",N(INDEX(周转筐出入库明细!$I$4:$I$2004,$Z743-2000))),IF($Z743&lt;=5200,"",IF($Z743&lt;=5800,IF(ISNUMBER(SEARCH("退",INDEX(次果筐明细!$F$4:$F$603,$Z743-5200)&amp;"")),IF(N(INDEX(次果筐明细!$G$4:$G$603,$Z743-5200))=0,"",N(INDEX(次果筐明细!$G$4:$G$603,$Z743-5200))),""),"")))))</f>
        <v/>
      </c>
      <c r="Q743" s="40" t="str">
        <f>IF($Z743="","",IF($Z743&lt;=2000,"",IF($Z743&lt;=4000,IF(N(INDEX(周转筐出入库明细!$H$4:$H$2004,$Z743-2000))=0,"",N(INDEX(周转筐出入库明细!$H$4:$H$2004,$Z743-2000))),IF($Z743&lt;=5200,IF(N(INDEX(客户自备加工筐明细!$F$4:$F$1203,$Z743-4000))=0,"",N(INDEX(客户自备加工筐明细!$F$4:$F$1203,$Z743-4000))),IF($Z743&lt;=5800,"","")))))</f>
        <v/>
      </c>
      <c r="R743" s="16" t="str">
        <f>IF($Z743="","",IF($Z743&lt;=2000,IF(INDEX(包装物料出入库明细!$O$4:$O$2003,$Z743-0)=0,"",INDEX(包装物料出入库明细!$O$4:$O$2003,$Z743-0)),IF($Z743&lt;=4000,IF(INDEX(周转筐出入库明细!$M$4:$M$2004,$Z743-2000)=0,"",INDEX(周转筐出入库明细!$M$4:$M$2004,$Z743-2000)),IF($Z743&lt;=5200,IF(INDEX(客户自备加工筐明细!$H$4:$H$1203,$Z743-4000)=0,"",INDEX(客户自备加工筐明细!$H$4:$H$1203,$Z743-4000)),IF($Z743&lt;=5800,IF(INDEX(次果筐明细!$H$4:$H$603,$Z743-5200)=0,"",INDEX(次果筐明细!$H$4:$H$603,$Z743-5200)),"")))))</f>
        <v/>
      </c>
      <c r="S743" s="22" t="str">
        <f t="shared" si="35"/>
        <v/>
      </c>
      <c r="Z743" s="10" t="str">
        <f>IFERROR(MATCH(ROW()-3,_自动清单!$CQ$4:$CQ$5803,0),"")</f>
        <v/>
      </c>
    </row>
    <row r="744" spans="1:26">
      <c r="A744" s="24" t="str">
        <f t="shared" si="33"/>
        <v/>
      </c>
      <c r="B744" s="38" t="str">
        <f>IF($Z744="","",IF($Z744&lt;=2000,IF(INDEX(包装物料出入库明细!$B$4:$B$2003,$Z744-0)=0,"",INDEX(包装物料出入库明细!$B$4:$B$2003,$Z744-0)),IF($Z744&lt;=4000,IF(INDEX(周转筐出入库明细!$B$4:$B$2004,$Z744-2000)=0,"",INDEX(周转筐出入库明细!$B$4:$B$2004,$Z744-2000)),IF($Z744&lt;=5200,IF(INDEX(客户自备加工筐明细!$B$4:$B$1203,$Z744-4000)=0,"",INDEX(客户自备加工筐明细!$B$4:$B$1203,$Z744-4000)),IF($Z744&lt;=5800,IF(INDEX(次果筐明细!$B$4:$B$603,$Z744-5200)=0,"",INDEX(次果筐明细!$B$4:$B$603,$Z744-5200)),"")))))</f>
        <v/>
      </c>
      <c r="C744" s="37" t="str">
        <f>IF($Z744="","",IF($Z744&lt;=2000,IF(INDEX(包装物料出入库明细!$D$4:$D$2003,$Z744-0)=0,"",INDEX(包装物料出入库明细!$D$4:$D$2003,$Z744-0)),IF($Z744&lt;=4000,IF(INDEX(周转筐出入库明细!$C$4:$C$2004,$Z744-2000)=0,"",INDEX(周转筐出入库明细!$C$4:$C$2004,$Z744-2000)),IF($Z744&lt;=5200,IF(INDEX(客户自备加工筐明细!$E$4:$E$1203,$Z744-4000)=0,"",INDEX(客户自备加工筐明细!$E$4:$E$1203,$Z744-4000)),IF($Z744&lt;=5800,IF(INDEX(次果筐明细!$C$4:$C$603,$Z744-5200)=0,"",INDEX(次果筐明细!$C$4:$C$603,$Z744-5200)),"")))))</f>
        <v/>
      </c>
      <c r="D744" s="37" t="str">
        <f>IF($Z744="","",IF($Z744&lt;=2000,"包装物料－"&amp;INDEX(包装物料出入库明细!$H$4:$H$2003,$Z744-0),IF($Z744&lt;=4000,"周转筐－"&amp;INDEX(周转筐出入库明细!$F$4:$F$2004,$Z744-2000),IF($Z744&lt;=5200,"客户自备筐－"&amp;INDEX(客户自备加工筐明细!$J$4:$J$1203,$Z744-4000),IF($Z744&lt;=5800,"次果筐/托盘－"&amp;INDEX(次果筐明细!$F$4:$F$603,$Z744-5200),"")))))</f>
        <v/>
      </c>
      <c r="E744" s="24" t="str">
        <f>IF($Z744="","",IF($Z744&lt;=2000,IF(INDEX(包装物料出入库明细!$C$4:$C$2003,$Z744-0)=0,"",INDEX(包装物料出入库明细!$C$4:$C$2003,$Z744-0)),IF($Z744&lt;=4000,IF(INDEX(周转筐出入库明细!$E$4:$E$2004,$Z744-2000)=0,"",INDEX(周转筐出入库明细!$E$4:$E$2004,$Z744-2000)),IF($Z744&lt;=5200,IF(INDEX(客户自备加工筐明细!$D$4:$D$1203,$Z744-4000)=0,"",INDEX(客户自备加工筐明细!$D$4:$D$1203,$Z744-4000)),IF($Z744&lt;=5800,IF(INDEX(次果筐明细!$E$4:$E$603,$Z744-5200)=0,"",INDEX(次果筐明细!$E$4:$E$603,$Z744-5200)),"")))))</f>
        <v/>
      </c>
      <c r="F744" s="24" t="str">
        <f>IF($Z744="","",IF($Z744&lt;=2000,IF(INDEX(包装物料出入库明细!$E$4:$E$2003,$Z744-0)=0,"",INDEX(包装物料出入库明细!$E$4:$E$2003,$Z744-0)),IF($Z744&lt;=4000,IF(INDEX(周转筐出入库明细!$D$4:$D$2004,$Z744-2000)=0,"",INDEX(周转筐出入库明细!$D$4:$D$2004,$Z744-2000)),IF($Z744&lt;=5200,IF(INDEX(客户自备加工筐明细!$C$4:$C$1203,$Z744-4000)=0,"",INDEX(客户自备加工筐明细!$C$4:$C$1203,$Z744-4000)),IF($Z744&lt;=5800,IF(INDEX(次果筐明细!$D$4:$D$603,$Z744-5200)=0,"",INDEX(次果筐明细!$D$4:$D$603,$Z744-5200)),"")))))</f>
        <v/>
      </c>
      <c r="G744" s="24" t="str">
        <f>IF($Z744="","",IF($Z744&lt;=2000,IF(INDEX(包装物料出入库明细!$F$4:$F$2003,$Z744-0)=0,"",INDEX(包装物料出入库明细!$F$4:$F$2003,$Z744-0)),IF($Z744&lt;=4000,"",IF($Z744&lt;=5200,"",IF($Z744&lt;=5800,"","")))))</f>
        <v/>
      </c>
      <c r="H744" s="39" t="str">
        <f>IF($Z744="","",IF($Z744&lt;=2000,IF(INDEX(包装物料出入库明细!$L$4:$L$2003,$Z744-0)=0,"",INDEX(包装物料出入库明细!$L$4:$L$2003,$Z744-0)),IF($Z744&lt;=4000,N(INDEX(周转筐出入库明细!$H$4:$H$2004,$Z744-2000))+N(INDEX(周转筐出入库明细!$I$4:$I$2004,$Z744-2000))+N(INDEX(周转筐出入库明细!$J$4:$J$2004,$Z744-2000))+N(INDEX(周转筐出入库明细!$K$4:$K$2004,$Z744-2000)),IF($Z744&lt;=5200,N(INDEX(客户自备加工筐明细!$F$4:$F$1203,$Z744-4000))+N(INDEX(客户自备加工筐明细!$G$4:$G$1203,$Z744-4000)),IF($Z744&lt;=5800,IF(INDEX(次果筐明细!$G$4:$G$603,$Z744-5200)=0,"",INDEX(次果筐明细!$G$4:$G$603,$Z744-5200)),"")))))</f>
        <v/>
      </c>
      <c r="I744" s="24" t="str">
        <f>IF($Z744="","",IF($Z744&lt;=2000,IF(INDEX(包装物料出入库明细!$G$4:$G$2003,$Z744-0)=0,"",INDEX(包装物料出入库明细!$G$4:$G$2003,$Z744-0)),IF($Z744&lt;=4000,"个",IF($Z744&lt;=5200,"个",IF($Z744&lt;=5800,"个","")))))</f>
        <v/>
      </c>
      <c r="J744" s="30" t="str">
        <f t="shared" si="34"/>
        <v/>
      </c>
      <c r="K744" s="30" t="str">
        <f>IF($Z744="","",IF($Z744&lt;=2000,IF(INDEX(包装物料出入库明细!$N$4:$N$2003,$Z744-0)=0,"",INDEX(包装物料出入库明细!$N$4:$N$2003,$Z744-0)),IF($Z744&lt;=4000,IF(INDEX(周转筐出入库明细!$P$4:$P$2004,$Z744-2000)=0,"",INDEX(周转筐出入库明细!$P$4:$P$2004,$Z744-2000)),IF($Z744&lt;=5200,"",IF($Z744&lt;=5800,N(INDEX(次果筐明细!$L$4:$L$603,$Z744-5200))+N(INDEX(次果筐明细!$J$4:$J$603,$Z744-5200)),"")))))</f>
        <v/>
      </c>
      <c r="L744" s="24" t="str">
        <f>IF($Z744="","",IF($Z744&lt;=2000,IF(INDEX(包装物料出入库明细!$P$4:$P$2003,$Z744-0)=0,"",INDEX(包装物料出入库明细!$P$4:$P$2003,$Z744-0)),IF($Z744&lt;=4000,IF(INDEX(周转筐出入库明细!$Q$4:$Q$2004,$Z744-2000)=0,"",INDEX(周转筐出入库明细!$Q$4:$Q$2004,$Z744-2000)),IF($Z744&lt;=5200,"",IF($Z744&lt;=5800,IF(INDEX(次果筐明细!$M$4:$M$603,$Z744-5200)=0,"",INDEX(次果筐明细!$M$4:$M$603,$Z744-5200)),"")))))</f>
        <v/>
      </c>
      <c r="M744" s="37" t="str">
        <f>IF($Z744="","",IF($Z744&lt;=2000,IF(INDEX(包装物料出入库明细!$R$4:$R$2003,$Z744-0)=0,"",INDEX(包装物料出入库明细!$R$4:$R$2003,$Z744-0)),IF($Z744&lt;=4000,IF(INDEX(周转筐出入库明细!$W$4:$W$2004,$Z744-2000)=0,"",INDEX(周转筐出入库明细!$W$4:$W$2004,$Z744-2000)),IF($Z744&lt;=5200,IF(INDEX(客户自备加工筐明细!$L$4:$L$1203,$Z744-4000)=0,"",INDEX(客户自备加工筐明细!$L$4:$L$1203,$Z744-4000)),IF($Z744&lt;=5800,IF(INDEX(次果筐明细!$P$4:$P$603,$Z744-5200)=0,"",INDEX(次果筐明细!$P$4:$P$603,$Z744-5200)),"")))))</f>
        <v/>
      </c>
      <c r="N744" s="16" t="str">
        <f>IF($Z744="","",IF($Z744&lt;=2000,"",IF($Z744&lt;=4000,IF(INDEX(周转筐出入库明细!$D$4:$D$2004,$Z744-2000)=0,"",INDEX(周转筐出入库明细!$D$4:$D$2004,$Z744-2000)),IF($Z744&lt;=5200,IF(INDEX(客户自备加工筐明细!$C$4:$C$1203,$Z744-4000)=0,"",INDEX(客户自备加工筐明细!$C$4:$C$1203,$Z744-4000)),IF($Z744&lt;=5800,IF(INDEX(次果筐明细!$D$4:$D$603,$Z744-5200)=0,"",INDEX(次果筐明细!$D$4:$D$603,$Z744-5200)),"")))))</f>
        <v/>
      </c>
      <c r="O744" s="40" t="str">
        <f>IF($Z744="","",IF($Z744&lt;=2000,"",IF($Z744&lt;=4000,IF(N(INDEX(周转筐出入库明细!$J$4:$J$2004,$Z744-2000))+N(INDEX(周转筐出入库明细!$K$4:$K$2004,$Z744-2000))=0,"",N(INDEX(周转筐出入库明细!$J$4:$J$2004,$Z744-2000))+N(INDEX(周转筐出入库明细!$K$4:$K$2004,$Z744-2000))),IF($Z744&lt;=5200,IF(N(INDEX(客户自备加工筐明细!$G$4:$G$1203,$Z744-4000))=0,"",N(INDEX(客户自备加工筐明细!$G$4:$G$1203,$Z744-4000))),IF($Z744&lt;=5800,IF(ISNUMBER(SEARCH("退",INDEX(次果筐明细!$F$4:$F$603,$Z744-5200)&amp;"")),"",IF(N(INDEX(次果筐明细!$G$4:$G$603,$Z744-5200))=0,"",N(INDEX(次果筐明细!$G$4:$G$603,$Z744-5200)))),"")))))</f>
        <v/>
      </c>
      <c r="P744" s="40" t="str">
        <f>IF($Z744="","",IF($Z744&lt;=2000,"",IF($Z744&lt;=4000,IF(N(INDEX(周转筐出入库明细!$I$4:$I$2004,$Z744-2000))=0,"",N(INDEX(周转筐出入库明细!$I$4:$I$2004,$Z744-2000))),IF($Z744&lt;=5200,"",IF($Z744&lt;=5800,IF(ISNUMBER(SEARCH("退",INDEX(次果筐明细!$F$4:$F$603,$Z744-5200)&amp;"")),IF(N(INDEX(次果筐明细!$G$4:$G$603,$Z744-5200))=0,"",N(INDEX(次果筐明细!$G$4:$G$603,$Z744-5200))),""),"")))))</f>
        <v/>
      </c>
      <c r="Q744" s="40" t="str">
        <f>IF($Z744="","",IF($Z744&lt;=2000,"",IF($Z744&lt;=4000,IF(N(INDEX(周转筐出入库明细!$H$4:$H$2004,$Z744-2000))=0,"",N(INDEX(周转筐出入库明细!$H$4:$H$2004,$Z744-2000))),IF($Z744&lt;=5200,IF(N(INDEX(客户自备加工筐明细!$F$4:$F$1203,$Z744-4000))=0,"",N(INDEX(客户自备加工筐明细!$F$4:$F$1203,$Z744-4000))),IF($Z744&lt;=5800,"","")))))</f>
        <v/>
      </c>
      <c r="R744" s="16" t="str">
        <f>IF($Z744="","",IF($Z744&lt;=2000,IF(INDEX(包装物料出入库明细!$O$4:$O$2003,$Z744-0)=0,"",INDEX(包装物料出入库明细!$O$4:$O$2003,$Z744-0)),IF($Z744&lt;=4000,IF(INDEX(周转筐出入库明细!$M$4:$M$2004,$Z744-2000)=0,"",INDEX(周转筐出入库明细!$M$4:$M$2004,$Z744-2000)),IF($Z744&lt;=5200,IF(INDEX(客户自备加工筐明细!$H$4:$H$1203,$Z744-4000)=0,"",INDEX(客户自备加工筐明细!$H$4:$H$1203,$Z744-4000)),IF($Z744&lt;=5800,IF(INDEX(次果筐明细!$H$4:$H$603,$Z744-5200)=0,"",INDEX(次果筐明细!$H$4:$H$603,$Z744-5200)),"")))))</f>
        <v/>
      </c>
      <c r="S744" s="22" t="str">
        <f t="shared" si="35"/>
        <v/>
      </c>
      <c r="Z744" s="10" t="str">
        <f>IFERROR(MATCH(ROW()-3,_自动清单!$CQ$4:$CQ$5803,0),"")</f>
        <v/>
      </c>
    </row>
    <row r="745" spans="1:26">
      <c r="A745" s="24" t="str">
        <f t="shared" si="33"/>
        <v/>
      </c>
      <c r="B745" s="38" t="str">
        <f>IF($Z745="","",IF($Z745&lt;=2000,IF(INDEX(包装物料出入库明细!$B$4:$B$2003,$Z745-0)=0,"",INDEX(包装物料出入库明细!$B$4:$B$2003,$Z745-0)),IF($Z745&lt;=4000,IF(INDEX(周转筐出入库明细!$B$4:$B$2004,$Z745-2000)=0,"",INDEX(周转筐出入库明细!$B$4:$B$2004,$Z745-2000)),IF($Z745&lt;=5200,IF(INDEX(客户自备加工筐明细!$B$4:$B$1203,$Z745-4000)=0,"",INDEX(客户自备加工筐明细!$B$4:$B$1203,$Z745-4000)),IF($Z745&lt;=5800,IF(INDEX(次果筐明细!$B$4:$B$603,$Z745-5200)=0,"",INDEX(次果筐明细!$B$4:$B$603,$Z745-5200)),"")))))</f>
        <v/>
      </c>
      <c r="C745" s="37" t="str">
        <f>IF($Z745="","",IF($Z745&lt;=2000,IF(INDEX(包装物料出入库明细!$D$4:$D$2003,$Z745-0)=0,"",INDEX(包装物料出入库明细!$D$4:$D$2003,$Z745-0)),IF($Z745&lt;=4000,IF(INDEX(周转筐出入库明细!$C$4:$C$2004,$Z745-2000)=0,"",INDEX(周转筐出入库明细!$C$4:$C$2004,$Z745-2000)),IF($Z745&lt;=5200,IF(INDEX(客户自备加工筐明细!$E$4:$E$1203,$Z745-4000)=0,"",INDEX(客户自备加工筐明细!$E$4:$E$1203,$Z745-4000)),IF($Z745&lt;=5800,IF(INDEX(次果筐明细!$C$4:$C$603,$Z745-5200)=0,"",INDEX(次果筐明细!$C$4:$C$603,$Z745-5200)),"")))))</f>
        <v/>
      </c>
      <c r="D745" s="37" t="str">
        <f>IF($Z745="","",IF($Z745&lt;=2000,"包装物料－"&amp;INDEX(包装物料出入库明细!$H$4:$H$2003,$Z745-0),IF($Z745&lt;=4000,"周转筐－"&amp;INDEX(周转筐出入库明细!$F$4:$F$2004,$Z745-2000),IF($Z745&lt;=5200,"客户自备筐－"&amp;INDEX(客户自备加工筐明细!$J$4:$J$1203,$Z745-4000),IF($Z745&lt;=5800,"次果筐/托盘－"&amp;INDEX(次果筐明细!$F$4:$F$603,$Z745-5200),"")))))</f>
        <v/>
      </c>
      <c r="E745" s="24" t="str">
        <f>IF($Z745="","",IF($Z745&lt;=2000,IF(INDEX(包装物料出入库明细!$C$4:$C$2003,$Z745-0)=0,"",INDEX(包装物料出入库明细!$C$4:$C$2003,$Z745-0)),IF($Z745&lt;=4000,IF(INDEX(周转筐出入库明细!$E$4:$E$2004,$Z745-2000)=0,"",INDEX(周转筐出入库明细!$E$4:$E$2004,$Z745-2000)),IF($Z745&lt;=5200,IF(INDEX(客户自备加工筐明细!$D$4:$D$1203,$Z745-4000)=0,"",INDEX(客户自备加工筐明细!$D$4:$D$1203,$Z745-4000)),IF($Z745&lt;=5800,IF(INDEX(次果筐明细!$E$4:$E$603,$Z745-5200)=0,"",INDEX(次果筐明细!$E$4:$E$603,$Z745-5200)),"")))))</f>
        <v/>
      </c>
      <c r="F745" s="24" t="str">
        <f>IF($Z745="","",IF($Z745&lt;=2000,IF(INDEX(包装物料出入库明细!$E$4:$E$2003,$Z745-0)=0,"",INDEX(包装物料出入库明细!$E$4:$E$2003,$Z745-0)),IF($Z745&lt;=4000,IF(INDEX(周转筐出入库明细!$D$4:$D$2004,$Z745-2000)=0,"",INDEX(周转筐出入库明细!$D$4:$D$2004,$Z745-2000)),IF($Z745&lt;=5200,IF(INDEX(客户自备加工筐明细!$C$4:$C$1203,$Z745-4000)=0,"",INDEX(客户自备加工筐明细!$C$4:$C$1203,$Z745-4000)),IF($Z745&lt;=5800,IF(INDEX(次果筐明细!$D$4:$D$603,$Z745-5200)=0,"",INDEX(次果筐明细!$D$4:$D$603,$Z745-5200)),"")))))</f>
        <v/>
      </c>
      <c r="G745" s="24" t="str">
        <f>IF($Z745="","",IF($Z745&lt;=2000,IF(INDEX(包装物料出入库明细!$F$4:$F$2003,$Z745-0)=0,"",INDEX(包装物料出入库明细!$F$4:$F$2003,$Z745-0)),IF($Z745&lt;=4000,"",IF($Z745&lt;=5200,"",IF($Z745&lt;=5800,"","")))))</f>
        <v/>
      </c>
      <c r="H745" s="39" t="str">
        <f>IF($Z745="","",IF($Z745&lt;=2000,IF(INDEX(包装物料出入库明细!$L$4:$L$2003,$Z745-0)=0,"",INDEX(包装物料出入库明细!$L$4:$L$2003,$Z745-0)),IF($Z745&lt;=4000,N(INDEX(周转筐出入库明细!$H$4:$H$2004,$Z745-2000))+N(INDEX(周转筐出入库明细!$I$4:$I$2004,$Z745-2000))+N(INDEX(周转筐出入库明细!$J$4:$J$2004,$Z745-2000))+N(INDEX(周转筐出入库明细!$K$4:$K$2004,$Z745-2000)),IF($Z745&lt;=5200,N(INDEX(客户自备加工筐明细!$F$4:$F$1203,$Z745-4000))+N(INDEX(客户自备加工筐明细!$G$4:$G$1203,$Z745-4000)),IF($Z745&lt;=5800,IF(INDEX(次果筐明细!$G$4:$G$603,$Z745-5200)=0,"",INDEX(次果筐明细!$G$4:$G$603,$Z745-5200)),"")))))</f>
        <v/>
      </c>
      <c r="I745" s="24" t="str">
        <f>IF($Z745="","",IF($Z745&lt;=2000,IF(INDEX(包装物料出入库明细!$G$4:$G$2003,$Z745-0)=0,"",INDEX(包装物料出入库明细!$G$4:$G$2003,$Z745-0)),IF($Z745&lt;=4000,"个",IF($Z745&lt;=5200,"个",IF($Z745&lt;=5800,"个","")))))</f>
        <v/>
      </c>
      <c r="J745" s="30" t="str">
        <f t="shared" si="34"/>
        <v/>
      </c>
      <c r="K745" s="30" t="str">
        <f>IF($Z745="","",IF($Z745&lt;=2000,IF(INDEX(包装物料出入库明细!$N$4:$N$2003,$Z745-0)=0,"",INDEX(包装物料出入库明细!$N$4:$N$2003,$Z745-0)),IF($Z745&lt;=4000,IF(INDEX(周转筐出入库明细!$P$4:$P$2004,$Z745-2000)=0,"",INDEX(周转筐出入库明细!$P$4:$P$2004,$Z745-2000)),IF($Z745&lt;=5200,"",IF($Z745&lt;=5800,N(INDEX(次果筐明细!$L$4:$L$603,$Z745-5200))+N(INDEX(次果筐明细!$J$4:$J$603,$Z745-5200)),"")))))</f>
        <v/>
      </c>
      <c r="L745" s="24" t="str">
        <f>IF($Z745="","",IF($Z745&lt;=2000,IF(INDEX(包装物料出入库明细!$P$4:$P$2003,$Z745-0)=0,"",INDEX(包装物料出入库明细!$P$4:$P$2003,$Z745-0)),IF($Z745&lt;=4000,IF(INDEX(周转筐出入库明细!$Q$4:$Q$2004,$Z745-2000)=0,"",INDEX(周转筐出入库明细!$Q$4:$Q$2004,$Z745-2000)),IF($Z745&lt;=5200,"",IF($Z745&lt;=5800,IF(INDEX(次果筐明细!$M$4:$M$603,$Z745-5200)=0,"",INDEX(次果筐明细!$M$4:$M$603,$Z745-5200)),"")))))</f>
        <v/>
      </c>
      <c r="M745" s="37" t="str">
        <f>IF($Z745="","",IF($Z745&lt;=2000,IF(INDEX(包装物料出入库明细!$R$4:$R$2003,$Z745-0)=0,"",INDEX(包装物料出入库明细!$R$4:$R$2003,$Z745-0)),IF($Z745&lt;=4000,IF(INDEX(周转筐出入库明细!$W$4:$W$2004,$Z745-2000)=0,"",INDEX(周转筐出入库明细!$W$4:$W$2004,$Z745-2000)),IF($Z745&lt;=5200,IF(INDEX(客户自备加工筐明细!$L$4:$L$1203,$Z745-4000)=0,"",INDEX(客户自备加工筐明细!$L$4:$L$1203,$Z745-4000)),IF($Z745&lt;=5800,IF(INDEX(次果筐明细!$P$4:$P$603,$Z745-5200)=0,"",INDEX(次果筐明细!$P$4:$P$603,$Z745-5200)),"")))))</f>
        <v/>
      </c>
      <c r="N745" s="16" t="str">
        <f>IF($Z745="","",IF($Z745&lt;=2000,"",IF($Z745&lt;=4000,IF(INDEX(周转筐出入库明细!$D$4:$D$2004,$Z745-2000)=0,"",INDEX(周转筐出入库明细!$D$4:$D$2004,$Z745-2000)),IF($Z745&lt;=5200,IF(INDEX(客户自备加工筐明细!$C$4:$C$1203,$Z745-4000)=0,"",INDEX(客户自备加工筐明细!$C$4:$C$1203,$Z745-4000)),IF($Z745&lt;=5800,IF(INDEX(次果筐明细!$D$4:$D$603,$Z745-5200)=0,"",INDEX(次果筐明细!$D$4:$D$603,$Z745-5200)),"")))))</f>
        <v/>
      </c>
      <c r="O745" s="40" t="str">
        <f>IF($Z745="","",IF($Z745&lt;=2000,"",IF($Z745&lt;=4000,IF(N(INDEX(周转筐出入库明细!$J$4:$J$2004,$Z745-2000))+N(INDEX(周转筐出入库明细!$K$4:$K$2004,$Z745-2000))=0,"",N(INDEX(周转筐出入库明细!$J$4:$J$2004,$Z745-2000))+N(INDEX(周转筐出入库明细!$K$4:$K$2004,$Z745-2000))),IF($Z745&lt;=5200,IF(N(INDEX(客户自备加工筐明细!$G$4:$G$1203,$Z745-4000))=0,"",N(INDEX(客户自备加工筐明细!$G$4:$G$1203,$Z745-4000))),IF($Z745&lt;=5800,IF(ISNUMBER(SEARCH("退",INDEX(次果筐明细!$F$4:$F$603,$Z745-5200)&amp;"")),"",IF(N(INDEX(次果筐明细!$G$4:$G$603,$Z745-5200))=0,"",N(INDEX(次果筐明细!$G$4:$G$603,$Z745-5200)))),"")))))</f>
        <v/>
      </c>
      <c r="P745" s="40" t="str">
        <f>IF($Z745="","",IF($Z745&lt;=2000,"",IF($Z745&lt;=4000,IF(N(INDEX(周转筐出入库明细!$I$4:$I$2004,$Z745-2000))=0,"",N(INDEX(周转筐出入库明细!$I$4:$I$2004,$Z745-2000))),IF($Z745&lt;=5200,"",IF($Z745&lt;=5800,IF(ISNUMBER(SEARCH("退",INDEX(次果筐明细!$F$4:$F$603,$Z745-5200)&amp;"")),IF(N(INDEX(次果筐明细!$G$4:$G$603,$Z745-5200))=0,"",N(INDEX(次果筐明细!$G$4:$G$603,$Z745-5200))),""),"")))))</f>
        <v/>
      </c>
      <c r="Q745" s="40" t="str">
        <f>IF($Z745="","",IF($Z745&lt;=2000,"",IF($Z745&lt;=4000,IF(N(INDEX(周转筐出入库明细!$H$4:$H$2004,$Z745-2000))=0,"",N(INDEX(周转筐出入库明细!$H$4:$H$2004,$Z745-2000))),IF($Z745&lt;=5200,IF(N(INDEX(客户自备加工筐明细!$F$4:$F$1203,$Z745-4000))=0,"",N(INDEX(客户自备加工筐明细!$F$4:$F$1203,$Z745-4000))),IF($Z745&lt;=5800,"","")))))</f>
        <v/>
      </c>
      <c r="R745" s="16" t="str">
        <f>IF($Z745="","",IF($Z745&lt;=2000,IF(INDEX(包装物料出入库明细!$O$4:$O$2003,$Z745-0)=0,"",INDEX(包装物料出入库明细!$O$4:$O$2003,$Z745-0)),IF($Z745&lt;=4000,IF(INDEX(周转筐出入库明细!$M$4:$M$2004,$Z745-2000)=0,"",INDEX(周转筐出入库明细!$M$4:$M$2004,$Z745-2000)),IF($Z745&lt;=5200,IF(INDEX(客户自备加工筐明细!$H$4:$H$1203,$Z745-4000)=0,"",INDEX(客户自备加工筐明细!$H$4:$H$1203,$Z745-4000)),IF($Z745&lt;=5800,IF(INDEX(次果筐明细!$H$4:$H$603,$Z745-5200)=0,"",INDEX(次果筐明细!$H$4:$H$603,$Z745-5200)),"")))))</f>
        <v/>
      </c>
      <c r="S745" s="22" t="str">
        <f t="shared" si="35"/>
        <v/>
      </c>
      <c r="Z745" s="10" t="str">
        <f>IFERROR(MATCH(ROW()-3,_自动清单!$CQ$4:$CQ$5803,0),"")</f>
        <v/>
      </c>
    </row>
    <row r="746" spans="1:26">
      <c r="A746" s="24" t="str">
        <f t="shared" si="33"/>
        <v/>
      </c>
      <c r="B746" s="38" t="str">
        <f>IF($Z746="","",IF($Z746&lt;=2000,IF(INDEX(包装物料出入库明细!$B$4:$B$2003,$Z746-0)=0,"",INDEX(包装物料出入库明细!$B$4:$B$2003,$Z746-0)),IF($Z746&lt;=4000,IF(INDEX(周转筐出入库明细!$B$4:$B$2004,$Z746-2000)=0,"",INDEX(周转筐出入库明细!$B$4:$B$2004,$Z746-2000)),IF($Z746&lt;=5200,IF(INDEX(客户自备加工筐明细!$B$4:$B$1203,$Z746-4000)=0,"",INDEX(客户自备加工筐明细!$B$4:$B$1203,$Z746-4000)),IF($Z746&lt;=5800,IF(INDEX(次果筐明细!$B$4:$B$603,$Z746-5200)=0,"",INDEX(次果筐明细!$B$4:$B$603,$Z746-5200)),"")))))</f>
        <v/>
      </c>
      <c r="C746" s="37" t="str">
        <f>IF($Z746="","",IF($Z746&lt;=2000,IF(INDEX(包装物料出入库明细!$D$4:$D$2003,$Z746-0)=0,"",INDEX(包装物料出入库明细!$D$4:$D$2003,$Z746-0)),IF($Z746&lt;=4000,IF(INDEX(周转筐出入库明细!$C$4:$C$2004,$Z746-2000)=0,"",INDEX(周转筐出入库明细!$C$4:$C$2004,$Z746-2000)),IF($Z746&lt;=5200,IF(INDEX(客户自备加工筐明细!$E$4:$E$1203,$Z746-4000)=0,"",INDEX(客户自备加工筐明细!$E$4:$E$1203,$Z746-4000)),IF($Z746&lt;=5800,IF(INDEX(次果筐明细!$C$4:$C$603,$Z746-5200)=0,"",INDEX(次果筐明细!$C$4:$C$603,$Z746-5200)),"")))))</f>
        <v/>
      </c>
      <c r="D746" s="37" t="str">
        <f>IF($Z746="","",IF($Z746&lt;=2000,"包装物料－"&amp;INDEX(包装物料出入库明细!$H$4:$H$2003,$Z746-0),IF($Z746&lt;=4000,"周转筐－"&amp;INDEX(周转筐出入库明细!$F$4:$F$2004,$Z746-2000),IF($Z746&lt;=5200,"客户自备筐－"&amp;INDEX(客户自备加工筐明细!$J$4:$J$1203,$Z746-4000),IF($Z746&lt;=5800,"次果筐/托盘－"&amp;INDEX(次果筐明细!$F$4:$F$603,$Z746-5200),"")))))</f>
        <v/>
      </c>
      <c r="E746" s="24" t="str">
        <f>IF($Z746="","",IF($Z746&lt;=2000,IF(INDEX(包装物料出入库明细!$C$4:$C$2003,$Z746-0)=0,"",INDEX(包装物料出入库明细!$C$4:$C$2003,$Z746-0)),IF($Z746&lt;=4000,IF(INDEX(周转筐出入库明细!$E$4:$E$2004,$Z746-2000)=0,"",INDEX(周转筐出入库明细!$E$4:$E$2004,$Z746-2000)),IF($Z746&lt;=5200,IF(INDEX(客户自备加工筐明细!$D$4:$D$1203,$Z746-4000)=0,"",INDEX(客户自备加工筐明细!$D$4:$D$1203,$Z746-4000)),IF($Z746&lt;=5800,IF(INDEX(次果筐明细!$E$4:$E$603,$Z746-5200)=0,"",INDEX(次果筐明细!$E$4:$E$603,$Z746-5200)),"")))))</f>
        <v/>
      </c>
      <c r="F746" s="24" t="str">
        <f>IF($Z746="","",IF($Z746&lt;=2000,IF(INDEX(包装物料出入库明细!$E$4:$E$2003,$Z746-0)=0,"",INDEX(包装物料出入库明细!$E$4:$E$2003,$Z746-0)),IF($Z746&lt;=4000,IF(INDEX(周转筐出入库明细!$D$4:$D$2004,$Z746-2000)=0,"",INDEX(周转筐出入库明细!$D$4:$D$2004,$Z746-2000)),IF($Z746&lt;=5200,IF(INDEX(客户自备加工筐明细!$C$4:$C$1203,$Z746-4000)=0,"",INDEX(客户自备加工筐明细!$C$4:$C$1203,$Z746-4000)),IF($Z746&lt;=5800,IF(INDEX(次果筐明细!$D$4:$D$603,$Z746-5200)=0,"",INDEX(次果筐明细!$D$4:$D$603,$Z746-5200)),"")))))</f>
        <v/>
      </c>
      <c r="G746" s="24" t="str">
        <f>IF($Z746="","",IF($Z746&lt;=2000,IF(INDEX(包装物料出入库明细!$F$4:$F$2003,$Z746-0)=0,"",INDEX(包装物料出入库明细!$F$4:$F$2003,$Z746-0)),IF($Z746&lt;=4000,"",IF($Z746&lt;=5200,"",IF($Z746&lt;=5800,"","")))))</f>
        <v/>
      </c>
      <c r="H746" s="39" t="str">
        <f>IF($Z746="","",IF($Z746&lt;=2000,IF(INDEX(包装物料出入库明细!$L$4:$L$2003,$Z746-0)=0,"",INDEX(包装物料出入库明细!$L$4:$L$2003,$Z746-0)),IF($Z746&lt;=4000,N(INDEX(周转筐出入库明细!$H$4:$H$2004,$Z746-2000))+N(INDEX(周转筐出入库明细!$I$4:$I$2004,$Z746-2000))+N(INDEX(周转筐出入库明细!$J$4:$J$2004,$Z746-2000))+N(INDEX(周转筐出入库明细!$K$4:$K$2004,$Z746-2000)),IF($Z746&lt;=5200,N(INDEX(客户自备加工筐明细!$F$4:$F$1203,$Z746-4000))+N(INDEX(客户自备加工筐明细!$G$4:$G$1203,$Z746-4000)),IF($Z746&lt;=5800,IF(INDEX(次果筐明细!$G$4:$G$603,$Z746-5200)=0,"",INDEX(次果筐明细!$G$4:$G$603,$Z746-5200)),"")))))</f>
        <v/>
      </c>
      <c r="I746" s="24" t="str">
        <f>IF($Z746="","",IF($Z746&lt;=2000,IF(INDEX(包装物料出入库明细!$G$4:$G$2003,$Z746-0)=0,"",INDEX(包装物料出入库明细!$G$4:$G$2003,$Z746-0)),IF($Z746&lt;=4000,"个",IF($Z746&lt;=5200,"个",IF($Z746&lt;=5800,"个","")))))</f>
        <v/>
      </c>
      <c r="J746" s="30" t="str">
        <f t="shared" si="34"/>
        <v/>
      </c>
      <c r="K746" s="30" t="str">
        <f>IF($Z746="","",IF($Z746&lt;=2000,IF(INDEX(包装物料出入库明细!$N$4:$N$2003,$Z746-0)=0,"",INDEX(包装物料出入库明细!$N$4:$N$2003,$Z746-0)),IF($Z746&lt;=4000,IF(INDEX(周转筐出入库明细!$P$4:$P$2004,$Z746-2000)=0,"",INDEX(周转筐出入库明细!$P$4:$P$2004,$Z746-2000)),IF($Z746&lt;=5200,"",IF($Z746&lt;=5800,N(INDEX(次果筐明细!$L$4:$L$603,$Z746-5200))+N(INDEX(次果筐明细!$J$4:$J$603,$Z746-5200)),"")))))</f>
        <v/>
      </c>
      <c r="L746" s="24" t="str">
        <f>IF($Z746="","",IF($Z746&lt;=2000,IF(INDEX(包装物料出入库明细!$P$4:$P$2003,$Z746-0)=0,"",INDEX(包装物料出入库明细!$P$4:$P$2003,$Z746-0)),IF($Z746&lt;=4000,IF(INDEX(周转筐出入库明细!$Q$4:$Q$2004,$Z746-2000)=0,"",INDEX(周转筐出入库明细!$Q$4:$Q$2004,$Z746-2000)),IF($Z746&lt;=5200,"",IF($Z746&lt;=5800,IF(INDEX(次果筐明细!$M$4:$M$603,$Z746-5200)=0,"",INDEX(次果筐明细!$M$4:$M$603,$Z746-5200)),"")))))</f>
        <v/>
      </c>
      <c r="M746" s="37" t="str">
        <f>IF($Z746="","",IF($Z746&lt;=2000,IF(INDEX(包装物料出入库明细!$R$4:$R$2003,$Z746-0)=0,"",INDEX(包装物料出入库明细!$R$4:$R$2003,$Z746-0)),IF($Z746&lt;=4000,IF(INDEX(周转筐出入库明细!$W$4:$W$2004,$Z746-2000)=0,"",INDEX(周转筐出入库明细!$W$4:$W$2004,$Z746-2000)),IF($Z746&lt;=5200,IF(INDEX(客户自备加工筐明细!$L$4:$L$1203,$Z746-4000)=0,"",INDEX(客户自备加工筐明细!$L$4:$L$1203,$Z746-4000)),IF($Z746&lt;=5800,IF(INDEX(次果筐明细!$P$4:$P$603,$Z746-5200)=0,"",INDEX(次果筐明细!$P$4:$P$603,$Z746-5200)),"")))))</f>
        <v/>
      </c>
      <c r="N746" s="16" t="str">
        <f>IF($Z746="","",IF($Z746&lt;=2000,"",IF($Z746&lt;=4000,IF(INDEX(周转筐出入库明细!$D$4:$D$2004,$Z746-2000)=0,"",INDEX(周转筐出入库明细!$D$4:$D$2004,$Z746-2000)),IF($Z746&lt;=5200,IF(INDEX(客户自备加工筐明细!$C$4:$C$1203,$Z746-4000)=0,"",INDEX(客户自备加工筐明细!$C$4:$C$1203,$Z746-4000)),IF($Z746&lt;=5800,IF(INDEX(次果筐明细!$D$4:$D$603,$Z746-5200)=0,"",INDEX(次果筐明细!$D$4:$D$603,$Z746-5200)),"")))))</f>
        <v/>
      </c>
      <c r="O746" s="40" t="str">
        <f>IF($Z746="","",IF($Z746&lt;=2000,"",IF($Z746&lt;=4000,IF(N(INDEX(周转筐出入库明细!$J$4:$J$2004,$Z746-2000))+N(INDEX(周转筐出入库明细!$K$4:$K$2004,$Z746-2000))=0,"",N(INDEX(周转筐出入库明细!$J$4:$J$2004,$Z746-2000))+N(INDEX(周转筐出入库明细!$K$4:$K$2004,$Z746-2000))),IF($Z746&lt;=5200,IF(N(INDEX(客户自备加工筐明细!$G$4:$G$1203,$Z746-4000))=0,"",N(INDEX(客户自备加工筐明细!$G$4:$G$1203,$Z746-4000))),IF($Z746&lt;=5800,IF(ISNUMBER(SEARCH("退",INDEX(次果筐明细!$F$4:$F$603,$Z746-5200)&amp;"")),"",IF(N(INDEX(次果筐明细!$G$4:$G$603,$Z746-5200))=0,"",N(INDEX(次果筐明细!$G$4:$G$603,$Z746-5200)))),"")))))</f>
        <v/>
      </c>
      <c r="P746" s="40" t="str">
        <f>IF($Z746="","",IF($Z746&lt;=2000,"",IF($Z746&lt;=4000,IF(N(INDEX(周转筐出入库明细!$I$4:$I$2004,$Z746-2000))=0,"",N(INDEX(周转筐出入库明细!$I$4:$I$2004,$Z746-2000))),IF($Z746&lt;=5200,"",IF($Z746&lt;=5800,IF(ISNUMBER(SEARCH("退",INDEX(次果筐明细!$F$4:$F$603,$Z746-5200)&amp;"")),IF(N(INDEX(次果筐明细!$G$4:$G$603,$Z746-5200))=0,"",N(INDEX(次果筐明细!$G$4:$G$603,$Z746-5200))),""),"")))))</f>
        <v/>
      </c>
      <c r="Q746" s="40" t="str">
        <f>IF($Z746="","",IF($Z746&lt;=2000,"",IF($Z746&lt;=4000,IF(N(INDEX(周转筐出入库明细!$H$4:$H$2004,$Z746-2000))=0,"",N(INDEX(周转筐出入库明细!$H$4:$H$2004,$Z746-2000))),IF($Z746&lt;=5200,IF(N(INDEX(客户自备加工筐明细!$F$4:$F$1203,$Z746-4000))=0,"",N(INDEX(客户自备加工筐明细!$F$4:$F$1203,$Z746-4000))),IF($Z746&lt;=5800,"","")))))</f>
        <v/>
      </c>
      <c r="R746" s="16" t="str">
        <f>IF($Z746="","",IF($Z746&lt;=2000,IF(INDEX(包装物料出入库明细!$O$4:$O$2003,$Z746-0)=0,"",INDEX(包装物料出入库明细!$O$4:$O$2003,$Z746-0)),IF($Z746&lt;=4000,IF(INDEX(周转筐出入库明细!$M$4:$M$2004,$Z746-2000)=0,"",INDEX(周转筐出入库明细!$M$4:$M$2004,$Z746-2000)),IF($Z746&lt;=5200,IF(INDEX(客户自备加工筐明细!$H$4:$H$1203,$Z746-4000)=0,"",INDEX(客户自备加工筐明细!$H$4:$H$1203,$Z746-4000)),IF($Z746&lt;=5800,IF(INDEX(次果筐明细!$H$4:$H$603,$Z746-5200)=0,"",INDEX(次果筐明细!$H$4:$H$603,$Z746-5200)),"")))))</f>
        <v/>
      </c>
      <c r="S746" s="22" t="str">
        <f t="shared" si="35"/>
        <v/>
      </c>
      <c r="Z746" s="10" t="str">
        <f>IFERROR(MATCH(ROW()-3,_自动清单!$CQ$4:$CQ$5803,0),"")</f>
        <v/>
      </c>
    </row>
    <row r="747" spans="1:26">
      <c r="A747" s="24" t="str">
        <f t="shared" si="33"/>
        <v/>
      </c>
      <c r="B747" s="38" t="str">
        <f>IF($Z747="","",IF($Z747&lt;=2000,IF(INDEX(包装物料出入库明细!$B$4:$B$2003,$Z747-0)=0,"",INDEX(包装物料出入库明细!$B$4:$B$2003,$Z747-0)),IF($Z747&lt;=4000,IF(INDEX(周转筐出入库明细!$B$4:$B$2004,$Z747-2000)=0,"",INDEX(周转筐出入库明细!$B$4:$B$2004,$Z747-2000)),IF($Z747&lt;=5200,IF(INDEX(客户自备加工筐明细!$B$4:$B$1203,$Z747-4000)=0,"",INDEX(客户自备加工筐明细!$B$4:$B$1203,$Z747-4000)),IF($Z747&lt;=5800,IF(INDEX(次果筐明细!$B$4:$B$603,$Z747-5200)=0,"",INDEX(次果筐明细!$B$4:$B$603,$Z747-5200)),"")))))</f>
        <v/>
      </c>
      <c r="C747" s="37" t="str">
        <f>IF($Z747="","",IF($Z747&lt;=2000,IF(INDEX(包装物料出入库明细!$D$4:$D$2003,$Z747-0)=0,"",INDEX(包装物料出入库明细!$D$4:$D$2003,$Z747-0)),IF($Z747&lt;=4000,IF(INDEX(周转筐出入库明细!$C$4:$C$2004,$Z747-2000)=0,"",INDEX(周转筐出入库明细!$C$4:$C$2004,$Z747-2000)),IF($Z747&lt;=5200,IF(INDEX(客户自备加工筐明细!$E$4:$E$1203,$Z747-4000)=0,"",INDEX(客户自备加工筐明细!$E$4:$E$1203,$Z747-4000)),IF($Z747&lt;=5800,IF(INDEX(次果筐明细!$C$4:$C$603,$Z747-5200)=0,"",INDEX(次果筐明细!$C$4:$C$603,$Z747-5200)),"")))))</f>
        <v/>
      </c>
      <c r="D747" s="37" t="str">
        <f>IF($Z747="","",IF($Z747&lt;=2000,"包装物料－"&amp;INDEX(包装物料出入库明细!$H$4:$H$2003,$Z747-0),IF($Z747&lt;=4000,"周转筐－"&amp;INDEX(周转筐出入库明细!$F$4:$F$2004,$Z747-2000),IF($Z747&lt;=5200,"客户自备筐－"&amp;INDEX(客户自备加工筐明细!$J$4:$J$1203,$Z747-4000),IF($Z747&lt;=5800,"次果筐/托盘－"&amp;INDEX(次果筐明细!$F$4:$F$603,$Z747-5200),"")))))</f>
        <v/>
      </c>
      <c r="E747" s="24" t="str">
        <f>IF($Z747="","",IF($Z747&lt;=2000,IF(INDEX(包装物料出入库明细!$C$4:$C$2003,$Z747-0)=0,"",INDEX(包装物料出入库明细!$C$4:$C$2003,$Z747-0)),IF($Z747&lt;=4000,IF(INDEX(周转筐出入库明细!$E$4:$E$2004,$Z747-2000)=0,"",INDEX(周转筐出入库明细!$E$4:$E$2004,$Z747-2000)),IF($Z747&lt;=5200,IF(INDEX(客户自备加工筐明细!$D$4:$D$1203,$Z747-4000)=0,"",INDEX(客户自备加工筐明细!$D$4:$D$1203,$Z747-4000)),IF($Z747&lt;=5800,IF(INDEX(次果筐明细!$E$4:$E$603,$Z747-5200)=0,"",INDEX(次果筐明细!$E$4:$E$603,$Z747-5200)),"")))))</f>
        <v/>
      </c>
      <c r="F747" s="24" t="str">
        <f>IF($Z747="","",IF($Z747&lt;=2000,IF(INDEX(包装物料出入库明细!$E$4:$E$2003,$Z747-0)=0,"",INDEX(包装物料出入库明细!$E$4:$E$2003,$Z747-0)),IF($Z747&lt;=4000,IF(INDEX(周转筐出入库明细!$D$4:$D$2004,$Z747-2000)=0,"",INDEX(周转筐出入库明细!$D$4:$D$2004,$Z747-2000)),IF($Z747&lt;=5200,IF(INDEX(客户自备加工筐明细!$C$4:$C$1203,$Z747-4000)=0,"",INDEX(客户自备加工筐明细!$C$4:$C$1203,$Z747-4000)),IF($Z747&lt;=5800,IF(INDEX(次果筐明细!$D$4:$D$603,$Z747-5200)=0,"",INDEX(次果筐明细!$D$4:$D$603,$Z747-5200)),"")))))</f>
        <v/>
      </c>
      <c r="G747" s="24" t="str">
        <f>IF($Z747="","",IF($Z747&lt;=2000,IF(INDEX(包装物料出入库明细!$F$4:$F$2003,$Z747-0)=0,"",INDEX(包装物料出入库明细!$F$4:$F$2003,$Z747-0)),IF($Z747&lt;=4000,"",IF($Z747&lt;=5200,"",IF($Z747&lt;=5800,"","")))))</f>
        <v/>
      </c>
      <c r="H747" s="39" t="str">
        <f>IF($Z747="","",IF($Z747&lt;=2000,IF(INDEX(包装物料出入库明细!$L$4:$L$2003,$Z747-0)=0,"",INDEX(包装物料出入库明细!$L$4:$L$2003,$Z747-0)),IF($Z747&lt;=4000,N(INDEX(周转筐出入库明细!$H$4:$H$2004,$Z747-2000))+N(INDEX(周转筐出入库明细!$I$4:$I$2004,$Z747-2000))+N(INDEX(周转筐出入库明细!$J$4:$J$2004,$Z747-2000))+N(INDEX(周转筐出入库明细!$K$4:$K$2004,$Z747-2000)),IF($Z747&lt;=5200,N(INDEX(客户自备加工筐明细!$F$4:$F$1203,$Z747-4000))+N(INDEX(客户自备加工筐明细!$G$4:$G$1203,$Z747-4000)),IF($Z747&lt;=5800,IF(INDEX(次果筐明细!$G$4:$G$603,$Z747-5200)=0,"",INDEX(次果筐明细!$G$4:$G$603,$Z747-5200)),"")))))</f>
        <v/>
      </c>
      <c r="I747" s="24" t="str">
        <f>IF($Z747="","",IF($Z747&lt;=2000,IF(INDEX(包装物料出入库明细!$G$4:$G$2003,$Z747-0)=0,"",INDEX(包装物料出入库明细!$G$4:$G$2003,$Z747-0)),IF($Z747&lt;=4000,"个",IF($Z747&lt;=5200,"个",IF($Z747&lt;=5800,"个","")))))</f>
        <v/>
      </c>
      <c r="J747" s="30" t="str">
        <f t="shared" si="34"/>
        <v/>
      </c>
      <c r="K747" s="30" t="str">
        <f>IF($Z747="","",IF($Z747&lt;=2000,IF(INDEX(包装物料出入库明细!$N$4:$N$2003,$Z747-0)=0,"",INDEX(包装物料出入库明细!$N$4:$N$2003,$Z747-0)),IF($Z747&lt;=4000,IF(INDEX(周转筐出入库明细!$P$4:$P$2004,$Z747-2000)=0,"",INDEX(周转筐出入库明细!$P$4:$P$2004,$Z747-2000)),IF($Z747&lt;=5200,"",IF($Z747&lt;=5800,N(INDEX(次果筐明细!$L$4:$L$603,$Z747-5200))+N(INDEX(次果筐明细!$J$4:$J$603,$Z747-5200)),"")))))</f>
        <v/>
      </c>
      <c r="L747" s="24" t="str">
        <f>IF($Z747="","",IF($Z747&lt;=2000,IF(INDEX(包装物料出入库明细!$P$4:$P$2003,$Z747-0)=0,"",INDEX(包装物料出入库明细!$P$4:$P$2003,$Z747-0)),IF($Z747&lt;=4000,IF(INDEX(周转筐出入库明细!$Q$4:$Q$2004,$Z747-2000)=0,"",INDEX(周转筐出入库明细!$Q$4:$Q$2004,$Z747-2000)),IF($Z747&lt;=5200,"",IF($Z747&lt;=5800,IF(INDEX(次果筐明细!$M$4:$M$603,$Z747-5200)=0,"",INDEX(次果筐明细!$M$4:$M$603,$Z747-5200)),"")))))</f>
        <v/>
      </c>
      <c r="M747" s="37" t="str">
        <f>IF($Z747="","",IF($Z747&lt;=2000,IF(INDEX(包装物料出入库明细!$R$4:$R$2003,$Z747-0)=0,"",INDEX(包装物料出入库明细!$R$4:$R$2003,$Z747-0)),IF($Z747&lt;=4000,IF(INDEX(周转筐出入库明细!$W$4:$W$2004,$Z747-2000)=0,"",INDEX(周转筐出入库明细!$W$4:$W$2004,$Z747-2000)),IF($Z747&lt;=5200,IF(INDEX(客户自备加工筐明细!$L$4:$L$1203,$Z747-4000)=0,"",INDEX(客户自备加工筐明细!$L$4:$L$1203,$Z747-4000)),IF($Z747&lt;=5800,IF(INDEX(次果筐明细!$P$4:$P$603,$Z747-5200)=0,"",INDEX(次果筐明细!$P$4:$P$603,$Z747-5200)),"")))))</f>
        <v/>
      </c>
      <c r="N747" s="16" t="str">
        <f>IF($Z747="","",IF($Z747&lt;=2000,"",IF($Z747&lt;=4000,IF(INDEX(周转筐出入库明细!$D$4:$D$2004,$Z747-2000)=0,"",INDEX(周转筐出入库明细!$D$4:$D$2004,$Z747-2000)),IF($Z747&lt;=5200,IF(INDEX(客户自备加工筐明细!$C$4:$C$1203,$Z747-4000)=0,"",INDEX(客户自备加工筐明细!$C$4:$C$1203,$Z747-4000)),IF($Z747&lt;=5800,IF(INDEX(次果筐明细!$D$4:$D$603,$Z747-5200)=0,"",INDEX(次果筐明细!$D$4:$D$603,$Z747-5200)),"")))))</f>
        <v/>
      </c>
      <c r="O747" s="40" t="str">
        <f>IF($Z747="","",IF($Z747&lt;=2000,"",IF($Z747&lt;=4000,IF(N(INDEX(周转筐出入库明细!$J$4:$J$2004,$Z747-2000))+N(INDEX(周转筐出入库明细!$K$4:$K$2004,$Z747-2000))=0,"",N(INDEX(周转筐出入库明细!$J$4:$J$2004,$Z747-2000))+N(INDEX(周转筐出入库明细!$K$4:$K$2004,$Z747-2000))),IF($Z747&lt;=5200,IF(N(INDEX(客户自备加工筐明细!$G$4:$G$1203,$Z747-4000))=0,"",N(INDEX(客户自备加工筐明细!$G$4:$G$1203,$Z747-4000))),IF($Z747&lt;=5800,IF(ISNUMBER(SEARCH("退",INDEX(次果筐明细!$F$4:$F$603,$Z747-5200)&amp;"")),"",IF(N(INDEX(次果筐明细!$G$4:$G$603,$Z747-5200))=0,"",N(INDEX(次果筐明细!$G$4:$G$603,$Z747-5200)))),"")))))</f>
        <v/>
      </c>
      <c r="P747" s="40" t="str">
        <f>IF($Z747="","",IF($Z747&lt;=2000,"",IF($Z747&lt;=4000,IF(N(INDEX(周转筐出入库明细!$I$4:$I$2004,$Z747-2000))=0,"",N(INDEX(周转筐出入库明细!$I$4:$I$2004,$Z747-2000))),IF($Z747&lt;=5200,"",IF($Z747&lt;=5800,IF(ISNUMBER(SEARCH("退",INDEX(次果筐明细!$F$4:$F$603,$Z747-5200)&amp;"")),IF(N(INDEX(次果筐明细!$G$4:$G$603,$Z747-5200))=0,"",N(INDEX(次果筐明细!$G$4:$G$603,$Z747-5200))),""),"")))))</f>
        <v/>
      </c>
      <c r="Q747" s="40" t="str">
        <f>IF($Z747="","",IF($Z747&lt;=2000,"",IF($Z747&lt;=4000,IF(N(INDEX(周转筐出入库明细!$H$4:$H$2004,$Z747-2000))=0,"",N(INDEX(周转筐出入库明细!$H$4:$H$2004,$Z747-2000))),IF($Z747&lt;=5200,IF(N(INDEX(客户自备加工筐明细!$F$4:$F$1203,$Z747-4000))=0,"",N(INDEX(客户自备加工筐明细!$F$4:$F$1203,$Z747-4000))),IF($Z747&lt;=5800,"","")))))</f>
        <v/>
      </c>
      <c r="R747" s="16" t="str">
        <f>IF($Z747="","",IF($Z747&lt;=2000,IF(INDEX(包装物料出入库明细!$O$4:$O$2003,$Z747-0)=0,"",INDEX(包装物料出入库明细!$O$4:$O$2003,$Z747-0)),IF($Z747&lt;=4000,IF(INDEX(周转筐出入库明细!$M$4:$M$2004,$Z747-2000)=0,"",INDEX(周转筐出入库明细!$M$4:$M$2004,$Z747-2000)),IF($Z747&lt;=5200,IF(INDEX(客户自备加工筐明细!$H$4:$H$1203,$Z747-4000)=0,"",INDEX(客户自备加工筐明细!$H$4:$H$1203,$Z747-4000)),IF($Z747&lt;=5800,IF(INDEX(次果筐明细!$H$4:$H$603,$Z747-5200)=0,"",INDEX(次果筐明细!$H$4:$H$603,$Z747-5200)),"")))))</f>
        <v/>
      </c>
      <c r="S747" s="22" t="str">
        <f t="shared" si="35"/>
        <v/>
      </c>
      <c r="Z747" s="10" t="str">
        <f>IFERROR(MATCH(ROW()-3,_自动清单!$CQ$4:$CQ$5803,0),"")</f>
        <v/>
      </c>
    </row>
    <row r="748" spans="1:26">
      <c r="A748" s="24" t="str">
        <f t="shared" si="33"/>
        <v/>
      </c>
      <c r="B748" s="38" t="str">
        <f>IF($Z748="","",IF($Z748&lt;=2000,IF(INDEX(包装物料出入库明细!$B$4:$B$2003,$Z748-0)=0,"",INDEX(包装物料出入库明细!$B$4:$B$2003,$Z748-0)),IF($Z748&lt;=4000,IF(INDEX(周转筐出入库明细!$B$4:$B$2004,$Z748-2000)=0,"",INDEX(周转筐出入库明细!$B$4:$B$2004,$Z748-2000)),IF($Z748&lt;=5200,IF(INDEX(客户自备加工筐明细!$B$4:$B$1203,$Z748-4000)=0,"",INDEX(客户自备加工筐明细!$B$4:$B$1203,$Z748-4000)),IF($Z748&lt;=5800,IF(INDEX(次果筐明细!$B$4:$B$603,$Z748-5200)=0,"",INDEX(次果筐明细!$B$4:$B$603,$Z748-5200)),"")))))</f>
        <v/>
      </c>
      <c r="C748" s="37" t="str">
        <f>IF($Z748="","",IF($Z748&lt;=2000,IF(INDEX(包装物料出入库明细!$D$4:$D$2003,$Z748-0)=0,"",INDEX(包装物料出入库明细!$D$4:$D$2003,$Z748-0)),IF($Z748&lt;=4000,IF(INDEX(周转筐出入库明细!$C$4:$C$2004,$Z748-2000)=0,"",INDEX(周转筐出入库明细!$C$4:$C$2004,$Z748-2000)),IF($Z748&lt;=5200,IF(INDEX(客户自备加工筐明细!$E$4:$E$1203,$Z748-4000)=0,"",INDEX(客户自备加工筐明细!$E$4:$E$1203,$Z748-4000)),IF($Z748&lt;=5800,IF(INDEX(次果筐明细!$C$4:$C$603,$Z748-5200)=0,"",INDEX(次果筐明细!$C$4:$C$603,$Z748-5200)),"")))))</f>
        <v/>
      </c>
      <c r="D748" s="37" t="str">
        <f>IF($Z748="","",IF($Z748&lt;=2000,"包装物料－"&amp;INDEX(包装物料出入库明细!$H$4:$H$2003,$Z748-0),IF($Z748&lt;=4000,"周转筐－"&amp;INDEX(周转筐出入库明细!$F$4:$F$2004,$Z748-2000),IF($Z748&lt;=5200,"客户自备筐－"&amp;INDEX(客户自备加工筐明细!$J$4:$J$1203,$Z748-4000),IF($Z748&lt;=5800,"次果筐/托盘－"&amp;INDEX(次果筐明细!$F$4:$F$603,$Z748-5200),"")))))</f>
        <v/>
      </c>
      <c r="E748" s="24" t="str">
        <f>IF($Z748="","",IF($Z748&lt;=2000,IF(INDEX(包装物料出入库明细!$C$4:$C$2003,$Z748-0)=0,"",INDEX(包装物料出入库明细!$C$4:$C$2003,$Z748-0)),IF($Z748&lt;=4000,IF(INDEX(周转筐出入库明细!$E$4:$E$2004,$Z748-2000)=0,"",INDEX(周转筐出入库明细!$E$4:$E$2004,$Z748-2000)),IF($Z748&lt;=5200,IF(INDEX(客户自备加工筐明细!$D$4:$D$1203,$Z748-4000)=0,"",INDEX(客户自备加工筐明细!$D$4:$D$1203,$Z748-4000)),IF($Z748&lt;=5800,IF(INDEX(次果筐明细!$E$4:$E$603,$Z748-5200)=0,"",INDEX(次果筐明细!$E$4:$E$603,$Z748-5200)),"")))))</f>
        <v/>
      </c>
      <c r="F748" s="24" t="str">
        <f>IF($Z748="","",IF($Z748&lt;=2000,IF(INDEX(包装物料出入库明细!$E$4:$E$2003,$Z748-0)=0,"",INDEX(包装物料出入库明细!$E$4:$E$2003,$Z748-0)),IF($Z748&lt;=4000,IF(INDEX(周转筐出入库明细!$D$4:$D$2004,$Z748-2000)=0,"",INDEX(周转筐出入库明细!$D$4:$D$2004,$Z748-2000)),IF($Z748&lt;=5200,IF(INDEX(客户自备加工筐明细!$C$4:$C$1203,$Z748-4000)=0,"",INDEX(客户自备加工筐明细!$C$4:$C$1203,$Z748-4000)),IF($Z748&lt;=5800,IF(INDEX(次果筐明细!$D$4:$D$603,$Z748-5200)=0,"",INDEX(次果筐明细!$D$4:$D$603,$Z748-5200)),"")))))</f>
        <v/>
      </c>
      <c r="G748" s="24" t="str">
        <f>IF($Z748="","",IF($Z748&lt;=2000,IF(INDEX(包装物料出入库明细!$F$4:$F$2003,$Z748-0)=0,"",INDEX(包装物料出入库明细!$F$4:$F$2003,$Z748-0)),IF($Z748&lt;=4000,"",IF($Z748&lt;=5200,"",IF($Z748&lt;=5800,"","")))))</f>
        <v/>
      </c>
      <c r="H748" s="39" t="str">
        <f>IF($Z748="","",IF($Z748&lt;=2000,IF(INDEX(包装物料出入库明细!$L$4:$L$2003,$Z748-0)=0,"",INDEX(包装物料出入库明细!$L$4:$L$2003,$Z748-0)),IF($Z748&lt;=4000,N(INDEX(周转筐出入库明细!$H$4:$H$2004,$Z748-2000))+N(INDEX(周转筐出入库明细!$I$4:$I$2004,$Z748-2000))+N(INDEX(周转筐出入库明细!$J$4:$J$2004,$Z748-2000))+N(INDEX(周转筐出入库明细!$K$4:$K$2004,$Z748-2000)),IF($Z748&lt;=5200,N(INDEX(客户自备加工筐明细!$F$4:$F$1203,$Z748-4000))+N(INDEX(客户自备加工筐明细!$G$4:$G$1203,$Z748-4000)),IF($Z748&lt;=5800,IF(INDEX(次果筐明细!$G$4:$G$603,$Z748-5200)=0,"",INDEX(次果筐明细!$G$4:$G$603,$Z748-5200)),"")))))</f>
        <v/>
      </c>
      <c r="I748" s="24" t="str">
        <f>IF($Z748="","",IF($Z748&lt;=2000,IF(INDEX(包装物料出入库明细!$G$4:$G$2003,$Z748-0)=0,"",INDEX(包装物料出入库明细!$G$4:$G$2003,$Z748-0)),IF($Z748&lt;=4000,"个",IF($Z748&lt;=5200,"个",IF($Z748&lt;=5800,"个","")))))</f>
        <v/>
      </c>
      <c r="J748" s="30" t="str">
        <f t="shared" si="34"/>
        <v/>
      </c>
      <c r="K748" s="30" t="str">
        <f>IF($Z748="","",IF($Z748&lt;=2000,IF(INDEX(包装物料出入库明细!$N$4:$N$2003,$Z748-0)=0,"",INDEX(包装物料出入库明细!$N$4:$N$2003,$Z748-0)),IF($Z748&lt;=4000,IF(INDEX(周转筐出入库明细!$P$4:$P$2004,$Z748-2000)=0,"",INDEX(周转筐出入库明细!$P$4:$P$2004,$Z748-2000)),IF($Z748&lt;=5200,"",IF($Z748&lt;=5800,N(INDEX(次果筐明细!$L$4:$L$603,$Z748-5200))+N(INDEX(次果筐明细!$J$4:$J$603,$Z748-5200)),"")))))</f>
        <v/>
      </c>
      <c r="L748" s="24" t="str">
        <f>IF($Z748="","",IF($Z748&lt;=2000,IF(INDEX(包装物料出入库明细!$P$4:$P$2003,$Z748-0)=0,"",INDEX(包装物料出入库明细!$P$4:$P$2003,$Z748-0)),IF($Z748&lt;=4000,IF(INDEX(周转筐出入库明细!$Q$4:$Q$2004,$Z748-2000)=0,"",INDEX(周转筐出入库明细!$Q$4:$Q$2004,$Z748-2000)),IF($Z748&lt;=5200,"",IF($Z748&lt;=5800,IF(INDEX(次果筐明细!$M$4:$M$603,$Z748-5200)=0,"",INDEX(次果筐明细!$M$4:$M$603,$Z748-5200)),"")))))</f>
        <v/>
      </c>
      <c r="M748" s="37" t="str">
        <f>IF($Z748="","",IF($Z748&lt;=2000,IF(INDEX(包装物料出入库明细!$R$4:$R$2003,$Z748-0)=0,"",INDEX(包装物料出入库明细!$R$4:$R$2003,$Z748-0)),IF($Z748&lt;=4000,IF(INDEX(周转筐出入库明细!$W$4:$W$2004,$Z748-2000)=0,"",INDEX(周转筐出入库明细!$W$4:$W$2004,$Z748-2000)),IF($Z748&lt;=5200,IF(INDEX(客户自备加工筐明细!$L$4:$L$1203,$Z748-4000)=0,"",INDEX(客户自备加工筐明细!$L$4:$L$1203,$Z748-4000)),IF($Z748&lt;=5800,IF(INDEX(次果筐明细!$P$4:$P$603,$Z748-5200)=0,"",INDEX(次果筐明细!$P$4:$P$603,$Z748-5200)),"")))))</f>
        <v/>
      </c>
      <c r="N748" s="16" t="str">
        <f>IF($Z748="","",IF($Z748&lt;=2000,"",IF($Z748&lt;=4000,IF(INDEX(周转筐出入库明细!$D$4:$D$2004,$Z748-2000)=0,"",INDEX(周转筐出入库明细!$D$4:$D$2004,$Z748-2000)),IF($Z748&lt;=5200,IF(INDEX(客户自备加工筐明细!$C$4:$C$1203,$Z748-4000)=0,"",INDEX(客户自备加工筐明细!$C$4:$C$1203,$Z748-4000)),IF($Z748&lt;=5800,IF(INDEX(次果筐明细!$D$4:$D$603,$Z748-5200)=0,"",INDEX(次果筐明细!$D$4:$D$603,$Z748-5200)),"")))))</f>
        <v/>
      </c>
      <c r="O748" s="40" t="str">
        <f>IF($Z748="","",IF($Z748&lt;=2000,"",IF($Z748&lt;=4000,IF(N(INDEX(周转筐出入库明细!$J$4:$J$2004,$Z748-2000))+N(INDEX(周转筐出入库明细!$K$4:$K$2004,$Z748-2000))=0,"",N(INDEX(周转筐出入库明细!$J$4:$J$2004,$Z748-2000))+N(INDEX(周转筐出入库明细!$K$4:$K$2004,$Z748-2000))),IF($Z748&lt;=5200,IF(N(INDEX(客户自备加工筐明细!$G$4:$G$1203,$Z748-4000))=0,"",N(INDEX(客户自备加工筐明细!$G$4:$G$1203,$Z748-4000))),IF($Z748&lt;=5800,IF(ISNUMBER(SEARCH("退",INDEX(次果筐明细!$F$4:$F$603,$Z748-5200)&amp;"")),"",IF(N(INDEX(次果筐明细!$G$4:$G$603,$Z748-5200))=0,"",N(INDEX(次果筐明细!$G$4:$G$603,$Z748-5200)))),"")))))</f>
        <v/>
      </c>
      <c r="P748" s="40" t="str">
        <f>IF($Z748="","",IF($Z748&lt;=2000,"",IF($Z748&lt;=4000,IF(N(INDEX(周转筐出入库明细!$I$4:$I$2004,$Z748-2000))=0,"",N(INDEX(周转筐出入库明细!$I$4:$I$2004,$Z748-2000))),IF($Z748&lt;=5200,"",IF($Z748&lt;=5800,IF(ISNUMBER(SEARCH("退",INDEX(次果筐明细!$F$4:$F$603,$Z748-5200)&amp;"")),IF(N(INDEX(次果筐明细!$G$4:$G$603,$Z748-5200))=0,"",N(INDEX(次果筐明细!$G$4:$G$603,$Z748-5200))),""),"")))))</f>
        <v/>
      </c>
      <c r="Q748" s="40" t="str">
        <f>IF($Z748="","",IF($Z748&lt;=2000,"",IF($Z748&lt;=4000,IF(N(INDEX(周转筐出入库明细!$H$4:$H$2004,$Z748-2000))=0,"",N(INDEX(周转筐出入库明细!$H$4:$H$2004,$Z748-2000))),IF($Z748&lt;=5200,IF(N(INDEX(客户自备加工筐明细!$F$4:$F$1203,$Z748-4000))=0,"",N(INDEX(客户自备加工筐明细!$F$4:$F$1203,$Z748-4000))),IF($Z748&lt;=5800,"","")))))</f>
        <v/>
      </c>
      <c r="R748" s="16" t="str">
        <f>IF($Z748="","",IF($Z748&lt;=2000,IF(INDEX(包装物料出入库明细!$O$4:$O$2003,$Z748-0)=0,"",INDEX(包装物料出入库明细!$O$4:$O$2003,$Z748-0)),IF($Z748&lt;=4000,IF(INDEX(周转筐出入库明细!$M$4:$M$2004,$Z748-2000)=0,"",INDEX(周转筐出入库明细!$M$4:$M$2004,$Z748-2000)),IF($Z748&lt;=5200,IF(INDEX(客户自备加工筐明细!$H$4:$H$1203,$Z748-4000)=0,"",INDEX(客户自备加工筐明细!$H$4:$H$1203,$Z748-4000)),IF($Z748&lt;=5800,IF(INDEX(次果筐明细!$H$4:$H$603,$Z748-5200)=0,"",INDEX(次果筐明细!$H$4:$H$603,$Z748-5200)),"")))))</f>
        <v/>
      </c>
      <c r="S748" s="22" t="str">
        <f t="shared" si="35"/>
        <v/>
      </c>
      <c r="Z748" s="10" t="str">
        <f>IFERROR(MATCH(ROW()-3,_自动清单!$CQ$4:$CQ$5803,0),"")</f>
        <v/>
      </c>
    </row>
    <row r="749" spans="1:26">
      <c r="A749" s="24" t="str">
        <f t="shared" si="33"/>
        <v/>
      </c>
      <c r="B749" s="38" t="str">
        <f>IF($Z749="","",IF($Z749&lt;=2000,IF(INDEX(包装物料出入库明细!$B$4:$B$2003,$Z749-0)=0,"",INDEX(包装物料出入库明细!$B$4:$B$2003,$Z749-0)),IF($Z749&lt;=4000,IF(INDEX(周转筐出入库明细!$B$4:$B$2004,$Z749-2000)=0,"",INDEX(周转筐出入库明细!$B$4:$B$2004,$Z749-2000)),IF($Z749&lt;=5200,IF(INDEX(客户自备加工筐明细!$B$4:$B$1203,$Z749-4000)=0,"",INDEX(客户自备加工筐明细!$B$4:$B$1203,$Z749-4000)),IF($Z749&lt;=5800,IF(INDEX(次果筐明细!$B$4:$B$603,$Z749-5200)=0,"",INDEX(次果筐明细!$B$4:$B$603,$Z749-5200)),"")))))</f>
        <v/>
      </c>
      <c r="C749" s="37" t="str">
        <f>IF($Z749="","",IF($Z749&lt;=2000,IF(INDEX(包装物料出入库明细!$D$4:$D$2003,$Z749-0)=0,"",INDEX(包装物料出入库明细!$D$4:$D$2003,$Z749-0)),IF($Z749&lt;=4000,IF(INDEX(周转筐出入库明细!$C$4:$C$2004,$Z749-2000)=0,"",INDEX(周转筐出入库明细!$C$4:$C$2004,$Z749-2000)),IF($Z749&lt;=5200,IF(INDEX(客户自备加工筐明细!$E$4:$E$1203,$Z749-4000)=0,"",INDEX(客户自备加工筐明细!$E$4:$E$1203,$Z749-4000)),IF($Z749&lt;=5800,IF(INDEX(次果筐明细!$C$4:$C$603,$Z749-5200)=0,"",INDEX(次果筐明细!$C$4:$C$603,$Z749-5200)),"")))))</f>
        <v/>
      </c>
      <c r="D749" s="37" t="str">
        <f>IF($Z749="","",IF($Z749&lt;=2000,"包装物料－"&amp;INDEX(包装物料出入库明细!$H$4:$H$2003,$Z749-0),IF($Z749&lt;=4000,"周转筐－"&amp;INDEX(周转筐出入库明细!$F$4:$F$2004,$Z749-2000),IF($Z749&lt;=5200,"客户自备筐－"&amp;INDEX(客户自备加工筐明细!$J$4:$J$1203,$Z749-4000),IF($Z749&lt;=5800,"次果筐/托盘－"&amp;INDEX(次果筐明细!$F$4:$F$603,$Z749-5200),"")))))</f>
        <v/>
      </c>
      <c r="E749" s="24" t="str">
        <f>IF($Z749="","",IF($Z749&lt;=2000,IF(INDEX(包装物料出入库明细!$C$4:$C$2003,$Z749-0)=0,"",INDEX(包装物料出入库明细!$C$4:$C$2003,$Z749-0)),IF($Z749&lt;=4000,IF(INDEX(周转筐出入库明细!$E$4:$E$2004,$Z749-2000)=0,"",INDEX(周转筐出入库明细!$E$4:$E$2004,$Z749-2000)),IF($Z749&lt;=5200,IF(INDEX(客户自备加工筐明细!$D$4:$D$1203,$Z749-4000)=0,"",INDEX(客户自备加工筐明细!$D$4:$D$1203,$Z749-4000)),IF($Z749&lt;=5800,IF(INDEX(次果筐明细!$E$4:$E$603,$Z749-5200)=0,"",INDEX(次果筐明细!$E$4:$E$603,$Z749-5200)),"")))))</f>
        <v/>
      </c>
      <c r="F749" s="24" t="str">
        <f>IF($Z749="","",IF($Z749&lt;=2000,IF(INDEX(包装物料出入库明细!$E$4:$E$2003,$Z749-0)=0,"",INDEX(包装物料出入库明细!$E$4:$E$2003,$Z749-0)),IF($Z749&lt;=4000,IF(INDEX(周转筐出入库明细!$D$4:$D$2004,$Z749-2000)=0,"",INDEX(周转筐出入库明细!$D$4:$D$2004,$Z749-2000)),IF($Z749&lt;=5200,IF(INDEX(客户自备加工筐明细!$C$4:$C$1203,$Z749-4000)=0,"",INDEX(客户自备加工筐明细!$C$4:$C$1203,$Z749-4000)),IF($Z749&lt;=5800,IF(INDEX(次果筐明细!$D$4:$D$603,$Z749-5200)=0,"",INDEX(次果筐明细!$D$4:$D$603,$Z749-5200)),"")))))</f>
        <v/>
      </c>
      <c r="G749" s="24" t="str">
        <f>IF($Z749="","",IF($Z749&lt;=2000,IF(INDEX(包装物料出入库明细!$F$4:$F$2003,$Z749-0)=0,"",INDEX(包装物料出入库明细!$F$4:$F$2003,$Z749-0)),IF($Z749&lt;=4000,"",IF($Z749&lt;=5200,"",IF($Z749&lt;=5800,"","")))))</f>
        <v/>
      </c>
      <c r="H749" s="39" t="str">
        <f>IF($Z749="","",IF($Z749&lt;=2000,IF(INDEX(包装物料出入库明细!$L$4:$L$2003,$Z749-0)=0,"",INDEX(包装物料出入库明细!$L$4:$L$2003,$Z749-0)),IF($Z749&lt;=4000,N(INDEX(周转筐出入库明细!$H$4:$H$2004,$Z749-2000))+N(INDEX(周转筐出入库明细!$I$4:$I$2004,$Z749-2000))+N(INDEX(周转筐出入库明细!$J$4:$J$2004,$Z749-2000))+N(INDEX(周转筐出入库明细!$K$4:$K$2004,$Z749-2000)),IF($Z749&lt;=5200,N(INDEX(客户自备加工筐明细!$F$4:$F$1203,$Z749-4000))+N(INDEX(客户自备加工筐明细!$G$4:$G$1203,$Z749-4000)),IF($Z749&lt;=5800,IF(INDEX(次果筐明细!$G$4:$G$603,$Z749-5200)=0,"",INDEX(次果筐明细!$G$4:$G$603,$Z749-5200)),"")))))</f>
        <v/>
      </c>
      <c r="I749" s="24" t="str">
        <f>IF($Z749="","",IF($Z749&lt;=2000,IF(INDEX(包装物料出入库明细!$G$4:$G$2003,$Z749-0)=0,"",INDEX(包装物料出入库明细!$G$4:$G$2003,$Z749-0)),IF($Z749&lt;=4000,"个",IF($Z749&lt;=5200,"个",IF($Z749&lt;=5800,"个","")))))</f>
        <v/>
      </c>
      <c r="J749" s="30" t="str">
        <f t="shared" si="34"/>
        <v/>
      </c>
      <c r="K749" s="30" t="str">
        <f>IF($Z749="","",IF($Z749&lt;=2000,IF(INDEX(包装物料出入库明细!$N$4:$N$2003,$Z749-0)=0,"",INDEX(包装物料出入库明细!$N$4:$N$2003,$Z749-0)),IF($Z749&lt;=4000,IF(INDEX(周转筐出入库明细!$P$4:$P$2004,$Z749-2000)=0,"",INDEX(周转筐出入库明细!$P$4:$P$2004,$Z749-2000)),IF($Z749&lt;=5200,"",IF($Z749&lt;=5800,N(INDEX(次果筐明细!$L$4:$L$603,$Z749-5200))+N(INDEX(次果筐明细!$J$4:$J$603,$Z749-5200)),"")))))</f>
        <v/>
      </c>
      <c r="L749" s="24" t="str">
        <f>IF($Z749="","",IF($Z749&lt;=2000,IF(INDEX(包装物料出入库明细!$P$4:$P$2003,$Z749-0)=0,"",INDEX(包装物料出入库明细!$P$4:$P$2003,$Z749-0)),IF($Z749&lt;=4000,IF(INDEX(周转筐出入库明细!$Q$4:$Q$2004,$Z749-2000)=0,"",INDEX(周转筐出入库明细!$Q$4:$Q$2004,$Z749-2000)),IF($Z749&lt;=5200,"",IF($Z749&lt;=5800,IF(INDEX(次果筐明细!$M$4:$M$603,$Z749-5200)=0,"",INDEX(次果筐明细!$M$4:$M$603,$Z749-5200)),"")))))</f>
        <v/>
      </c>
      <c r="M749" s="37" t="str">
        <f>IF($Z749="","",IF($Z749&lt;=2000,IF(INDEX(包装物料出入库明细!$R$4:$R$2003,$Z749-0)=0,"",INDEX(包装物料出入库明细!$R$4:$R$2003,$Z749-0)),IF($Z749&lt;=4000,IF(INDEX(周转筐出入库明细!$W$4:$W$2004,$Z749-2000)=0,"",INDEX(周转筐出入库明细!$W$4:$W$2004,$Z749-2000)),IF($Z749&lt;=5200,IF(INDEX(客户自备加工筐明细!$L$4:$L$1203,$Z749-4000)=0,"",INDEX(客户自备加工筐明细!$L$4:$L$1203,$Z749-4000)),IF($Z749&lt;=5800,IF(INDEX(次果筐明细!$P$4:$P$603,$Z749-5200)=0,"",INDEX(次果筐明细!$P$4:$P$603,$Z749-5200)),"")))))</f>
        <v/>
      </c>
      <c r="N749" s="16" t="str">
        <f>IF($Z749="","",IF($Z749&lt;=2000,"",IF($Z749&lt;=4000,IF(INDEX(周转筐出入库明细!$D$4:$D$2004,$Z749-2000)=0,"",INDEX(周转筐出入库明细!$D$4:$D$2004,$Z749-2000)),IF($Z749&lt;=5200,IF(INDEX(客户自备加工筐明细!$C$4:$C$1203,$Z749-4000)=0,"",INDEX(客户自备加工筐明细!$C$4:$C$1203,$Z749-4000)),IF($Z749&lt;=5800,IF(INDEX(次果筐明细!$D$4:$D$603,$Z749-5200)=0,"",INDEX(次果筐明细!$D$4:$D$603,$Z749-5200)),"")))))</f>
        <v/>
      </c>
      <c r="O749" s="40" t="str">
        <f>IF($Z749="","",IF($Z749&lt;=2000,"",IF($Z749&lt;=4000,IF(N(INDEX(周转筐出入库明细!$J$4:$J$2004,$Z749-2000))+N(INDEX(周转筐出入库明细!$K$4:$K$2004,$Z749-2000))=0,"",N(INDEX(周转筐出入库明细!$J$4:$J$2004,$Z749-2000))+N(INDEX(周转筐出入库明细!$K$4:$K$2004,$Z749-2000))),IF($Z749&lt;=5200,IF(N(INDEX(客户自备加工筐明细!$G$4:$G$1203,$Z749-4000))=0,"",N(INDEX(客户自备加工筐明细!$G$4:$G$1203,$Z749-4000))),IF($Z749&lt;=5800,IF(ISNUMBER(SEARCH("退",INDEX(次果筐明细!$F$4:$F$603,$Z749-5200)&amp;"")),"",IF(N(INDEX(次果筐明细!$G$4:$G$603,$Z749-5200))=0,"",N(INDEX(次果筐明细!$G$4:$G$603,$Z749-5200)))),"")))))</f>
        <v/>
      </c>
      <c r="P749" s="40" t="str">
        <f>IF($Z749="","",IF($Z749&lt;=2000,"",IF($Z749&lt;=4000,IF(N(INDEX(周转筐出入库明细!$I$4:$I$2004,$Z749-2000))=0,"",N(INDEX(周转筐出入库明细!$I$4:$I$2004,$Z749-2000))),IF($Z749&lt;=5200,"",IF($Z749&lt;=5800,IF(ISNUMBER(SEARCH("退",INDEX(次果筐明细!$F$4:$F$603,$Z749-5200)&amp;"")),IF(N(INDEX(次果筐明细!$G$4:$G$603,$Z749-5200))=0,"",N(INDEX(次果筐明细!$G$4:$G$603,$Z749-5200))),""),"")))))</f>
        <v/>
      </c>
      <c r="Q749" s="40" t="str">
        <f>IF($Z749="","",IF($Z749&lt;=2000,"",IF($Z749&lt;=4000,IF(N(INDEX(周转筐出入库明细!$H$4:$H$2004,$Z749-2000))=0,"",N(INDEX(周转筐出入库明细!$H$4:$H$2004,$Z749-2000))),IF($Z749&lt;=5200,IF(N(INDEX(客户自备加工筐明细!$F$4:$F$1203,$Z749-4000))=0,"",N(INDEX(客户自备加工筐明细!$F$4:$F$1203,$Z749-4000))),IF($Z749&lt;=5800,"","")))))</f>
        <v/>
      </c>
      <c r="R749" s="16" t="str">
        <f>IF($Z749="","",IF($Z749&lt;=2000,IF(INDEX(包装物料出入库明细!$O$4:$O$2003,$Z749-0)=0,"",INDEX(包装物料出入库明细!$O$4:$O$2003,$Z749-0)),IF($Z749&lt;=4000,IF(INDEX(周转筐出入库明细!$M$4:$M$2004,$Z749-2000)=0,"",INDEX(周转筐出入库明细!$M$4:$M$2004,$Z749-2000)),IF($Z749&lt;=5200,IF(INDEX(客户自备加工筐明细!$H$4:$H$1203,$Z749-4000)=0,"",INDEX(客户自备加工筐明细!$H$4:$H$1203,$Z749-4000)),IF($Z749&lt;=5800,IF(INDEX(次果筐明细!$H$4:$H$603,$Z749-5200)=0,"",INDEX(次果筐明细!$H$4:$H$603,$Z749-5200)),"")))))</f>
        <v/>
      </c>
      <c r="S749" s="22" t="str">
        <f t="shared" si="35"/>
        <v/>
      </c>
      <c r="Z749" s="10" t="str">
        <f>IFERROR(MATCH(ROW()-3,_自动清单!$CQ$4:$CQ$5803,0),"")</f>
        <v/>
      </c>
    </row>
    <row r="750" spans="1:26">
      <c r="A750" s="24" t="str">
        <f t="shared" si="33"/>
        <v/>
      </c>
      <c r="B750" s="38" t="str">
        <f>IF($Z750="","",IF($Z750&lt;=2000,IF(INDEX(包装物料出入库明细!$B$4:$B$2003,$Z750-0)=0,"",INDEX(包装物料出入库明细!$B$4:$B$2003,$Z750-0)),IF($Z750&lt;=4000,IF(INDEX(周转筐出入库明细!$B$4:$B$2004,$Z750-2000)=0,"",INDEX(周转筐出入库明细!$B$4:$B$2004,$Z750-2000)),IF($Z750&lt;=5200,IF(INDEX(客户自备加工筐明细!$B$4:$B$1203,$Z750-4000)=0,"",INDEX(客户自备加工筐明细!$B$4:$B$1203,$Z750-4000)),IF($Z750&lt;=5800,IF(INDEX(次果筐明细!$B$4:$B$603,$Z750-5200)=0,"",INDEX(次果筐明细!$B$4:$B$603,$Z750-5200)),"")))))</f>
        <v/>
      </c>
      <c r="C750" s="37" t="str">
        <f>IF($Z750="","",IF($Z750&lt;=2000,IF(INDEX(包装物料出入库明细!$D$4:$D$2003,$Z750-0)=0,"",INDEX(包装物料出入库明细!$D$4:$D$2003,$Z750-0)),IF($Z750&lt;=4000,IF(INDEX(周转筐出入库明细!$C$4:$C$2004,$Z750-2000)=0,"",INDEX(周转筐出入库明细!$C$4:$C$2004,$Z750-2000)),IF($Z750&lt;=5200,IF(INDEX(客户自备加工筐明细!$E$4:$E$1203,$Z750-4000)=0,"",INDEX(客户自备加工筐明细!$E$4:$E$1203,$Z750-4000)),IF($Z750&lt;=5800,IF(INDEX(次果筐明细!$C$4:$C$603,$Z750-5200)=0,"",INDEX(次果筐明细!$C$4:$C$603,$Z750-5200)),"")))))</f>
        <v/>
      </c>
      <c r="D750" s="37" t="str">
        <f>IF($Z750="","",IF($Z750&lt;=2000,"包装物料－"&amp;INDEX(包装物料出入库明细!$H$4:$H$2003,$Z750-0),IF($Z750&lt;=4000,"周转筐－"&amp;INDEX(周转筐出入库明细!$F$4:$F$2004,$Z750-2000),IF($Z750&lt;=5200,"客户自备筐－"&amp;INDEX(客户自备加工筐明细!$J$4:$J$1203,$Z750-4000),IF($Z750&lt;=5800,"次果筐/托盘－"&amp;INDEX(次果筐明细!$F$4:$F$603,$Z750-5200),"")))))</f>
        <v/>
      </c>
      <c r="E750" s="24" t="str">
        <f>IF($Z750="","",IF($Z750&lt;=2000,IF(INDEX(包装物料出入库明细!$C$4:$C$2003,$Z750-0)=0,"",INDEX(包装物料出入库明细!$C$4:$C$2003,$Z750-0)),IF($Z750&lt;=4000,IF(INDEX(周转筐出入库明细!$E$4:$E$2004,$Z750-2000)=0,"",INDEX(周转筐出入库明细!$E$4:$E$2004,$Z750-2000)),IF($Z750&lt;=5200,IF(INDEX(客户自备加工筐明细!$D$4:$D$1203,$Z750-4000)=0,"",INDEX(客户自备加工筐明细!$D$4:$D$1203,$Z750-4000)),IF($Z750&lt;=5800,IF(INDEX(次果筐明细!$E$4:$E$603,$Z750-5200)=0,"",INDEX(次果筐明细!$E$4:$E$603,$Z750-5200)),"")))))</f>
        <v/>
      </c>
      <c r="F750" s="24" t="str">
        <f>IF($Z750="","",IF($Z750&lt;=2000,IF(INDEX(包装物料出入库明细!$E$4:$E$2003,$Z750-0)=0,"",INDEX(包装物料出入库明细!$E$4:$E$2003,$Z750-0)),IF($Z750&lt;=4000,IF(INDEX(周转筐出入库明细!$D$4:$D$2004,$Z750-2000)=0,"",INDEX(周转筐出入库明细!$D$4:$D$2004,$Z750-2000)),IF($Z750&lt;=5200,IF(INDEX(客户自备加工筐明细!$C$4:$C$1203,$Z750-4000)=0,"",INDEX(客户自备加工筐明细!$C$4:$C$1203,$Z750-4000)),IF($Z750&lt;=5800,IF(INDEX(次果筐明细!$D$4:$D$603,$Z750-5200)=0,"",INDEX(次果筐明细!$D$4:$D$603,$Z750-5200)),"")))))</f>
        <v/>
      </c>
      <c r="G750" s="24" t="str">
        <f>IF($Z750="","",IF($Z750&lt;=2000,IF(INDEX(包装物料出入库明细!$F$4:$F$2003,$Z750-0)=0,"",INDEX(包装物料出入库明细!$F$4:$F$2003,$Z750-0)),IF($Z750&lt;=4000,"",IF($Z750&lt;=5200,"",IF($Z750&lt;=5800,"","")))))</f>
        <v/>
      </c>
      <c r="H750" s="39" t="str">
        <f>IF($Z750="","",IF($Z750&lt;=2000,IF(INDEX(包装物料出入库明细!$L$4:$L$2003,$Z750-0)=0,"",INDEX(包装物料出入库明细!$L$4:$L$2003,$Z750-0)),IF($Z750&lt;=4000,N(INDEX(周转筐出入库明细!$H$4:$H$2004,$Z750-2000))+N(INDEX(周转筐出入库明细!$I$4:$I$2004,$Z750-2000))+N(INDEX(周转筐出入库明细!$J$4:$J$2004,$Z750-2000))+N(INDEX(周转筐出入库明细!$K$4:$K$2004,$Z750-2000)),IF($Z750&lt;=5200,N(INDEX(客户自备加工筐明细!$F$4:$F$1203,$Z750-4000))+N(INDEX(客户自备加工筐明细!$G$4:$G$1203,$Z750-4000)),IF($Z750&lt;=5800,IF(INDEX(次果筐明细!$G$4:$G$603,$Z750-5200)=0,"",INDEX(次果筐明细!$G$4:$G$603,$Z750-5200)),"")))))</f>
        <v/>
      </c>
      <c r="I750" s="24" t="str">
        <f>IF($Z750="","",IF($Z750&lt;=2000,IF(INDEX(包装物料出入库明细!$G$4:$G$2003,$Z750-0)=0,"",INDEX(包装物料出入库明细!$G$4:$G$2003,$Z750-0)),IF($Z750&lt;=4000,"个",IF($Z750&lt;=5200,"个",IF($Z750&lt;=5800,"个","")))))</f>
        <v/>
      </c>
      <c r="J750" s="30" t="str">
        <f t="shared" si="34"/>
        <v/>
      </c>
      <c r="K750" s="30" t="str">
        <f>IF($Z750="","",IF($Z750&lt;=2000,IF(INDEX(包装物料出入库明细!$N$4:$N$2003,$Z750-0)=0,"",INDEX(包装物料出入库明细!$N$4:$N$2003,$Z750-0)),IF($Z750&lt;=4000,IF(INDEX(周转筐出入库明细!$P$4:$P$2004,$Z750-2000)=0,"",INDEX(周转筐出入库明细!$P$4:$P$2004,$Z750-2000)),IF($Z750&lt;=5200,"",IF($Z750&lt;=5800,N(INDEX(次果筐明细!$L$4:$L$603,$Z750-5200))+N(INDEX(次果筐明细!$J$4:$J$603,$Z750-5200)),"")))))</f>
        <v/>
      </c>
      <c r="L750" s="24" t="str">
        <f>IF($Z750="","",IF($Z750&lt;=2000,IF(INDEX(包装物料出入库明细!$P$4:$P$2003,$Z750-0)=0,"",INDEX(包装物料出入库明细!$P$4:$P$2003,$Z750-0)),IF($Z750&lt;=4000,IF(INDEX(周转筐出入库明细!$Q$4:$Q$2004,$Z750-2000)=0,"",INDEX(周转筐出入库明细!$Q$4:$Q$2004,$Z750-2000)),IF($Z750&lt;=5200,"",IF($Z750&lt;=5800,IF(INDEX(次果筐明细!$M$4:$M$603,$Z750-5200)=0,"",INDEX(次果筐明细!$M$4:$M$603,$Z750-5200)),"")))))</f>
        <v/>
      </c>
      <c r="M750" s="37" t="str">
        <f>IF($Z750="","",IF($Z750&lt;=2000,IF(INDEX(包装物料出入库明细!$R$4:$R$2003,$Z750-0)=0,"",INDEX(包装物料出入库明细!$R$4:$R$2003,$Z750-0)),IF($Z750&lt;=4000,IF(INDEX(周转筐出入库明细!$W$4:$W$2004,$Z750-2000)=0,"",INDEX(周转筐出入库明细!$W$4:$W$2004,$Z750-2000)),IF($Z750&lt;=5200,IF(INDEX(客户自备加工筐明细!$L$4:$L$1203,$Z750-4000)=0,"",INDEX(客户自备加工筐明细!$L$4:$L$1203,$Z750-4000)),IF($Z750&lt;=5800,IF(INDEX(次果筐明细!$P$4:$P$603,$Z750-5200)=0,"",INDEX(次果筐明细!$P$4:$P$603,$Z750-5200)),"")))))</f>
        <v/>
      </c>
      <c r="N750" s="16" t="str">
        <f>IF($Z750="","",IF($Z750&lt;=2000,"",IF($Z750&lt;=4000,IF(INDEX(周转筐出入库明细!$D$4:$D$2004,$Z750-2000)=0,"",INDEX(周转筐出入库明细!$D$4:$D$2004,$Z750-2000)),IF($Z750&lt;=5200,IF(INDEX(客户自备加工筐明细!$C$4:$C$1203,$Z750-4000)=0,"",INDEX(客户自备加工筐明细!$C$4:$C$1203,$Z750-4000)),IF($Z750&lt;=5800,IF(INDEX(次果筐明细!$D$4:$D$603,$Z750-5200)=0,"",INDEX(次果筐明细!$D$4:$D$603,$Z750-5200)),"")))))</f>
        <v/>
      </c>
      <c r="O750" s="40" t="str">
        <f>IF($Z750="","",IF($Z750&lt;=2000,"",IF($Z750&lt;=4000,IF(N(INDEX(周转筐出入库明细!$J$4:$J$2004,$Z750-2000))+N(INDEX(周转筐出入库明细!$K$4:$K$2004,$Z750-2000))=0,"",N(INDEX(周转筐出入库明细!$J$4:$J$2004,$Z750-2000))+N(INDEX(周转筐出入库明细!$K$4:$K$2004,$Z750-2000))),IF($Z750&lt;=5200,IF(N(INDEX(客户自备加工筐明细!$G$4:$G$1203,$Z750-4000))=0,"",N(INDEX(客户自备加工筐明细!$G$4:$G$1203,$Z750-4000))),IF($Z750&lt;=5800,IF(ISNUMBER(SEARCH("退",INDEX(次果筐明细!$F$4:$F$603,$Z750-5200)&amp;"")),"",IF(N(INDEX(次果筐明细!$G$4:$G$603,$Z750-5200))=0,"",N(INDEX(次果筐明细!$G$4:$G$603,$Z750-5200)))),"")))))</f>
        <v/>
      </c>
      <c r="P750" s="40" t="str">
        <f>IF($Z750="","",IF($Z750&lt;=2000,"",IF($Z750&lt;=4000,IF(N(INDEX(周转筐出入库明细!$I$4:$I$2004,$Z750-2000))=0,"",N(INDEX(周转筐出入库明细!$I$4:$I$2004,$Z750-2000))),IF($Z750&lt;=5200,"",IF($Z750&lt;=5800,IF(ISNUMBER(SEARCH("退",INDEX(次果筐明细!$F$4:$F$603,$Z750-5200)&amp;"")),IF(N(INDEX(次果筐明细!$G$4:$G$603,$Z750-5200))=0,"",N(INDEX(次果筐明细!$G$4:$G$603,$Z750-5200))),""),"")))))</f>
        <v/>
      </c>
      <c r="Q750" s="40" t="str">
        <f>IF($Z750="","",IF($Z750&lt;=2000,"",IF($Z750&lt;=4000,IF(N(INDEX(周转筐出入库明细!$H$4:$H$2004,$Z750-2000))=0,"",N(INDEX(周转筐出入库明细!$H$4:$H$2004,$Z750-2000))),IF($Z750&lt;=5200,IF(N(INDEX(客户自备加工筐明细!$F$4:$F$1203,$Z750-4000))=0,"",N(INDEX(客户自备加工筐明细!$F$4:$F$1203,$Z750-4000))),IF($Z750&lt;=5800,"","")))))</f>
        <v/>
      </c>
      <c r="R750" s="16" t="str">
        <f>IF($Z750="","",IF($Z750&lt;=2000,IF(INDEX(包装物料出入库明细!$O$4:$O$2003,$Z750-0)=0,"",INDEX(包装物料出入库明细!$O$4:$O$2003,$Z750-0)),IF($Z750&lt;=4000,IF(INDEX(周转筐出入库明细!$M$4:$M$2004,$Z750-2000)=0,"",INDEX(周转筐出入库明细!$M$4:$M$2004,$Z750-2000)),IF($Z750&lt;=5200,IF(INDEX(客户自备加工筐明细!$H$4:$H$1203,$Z750-4000)=0,"",INDEX(客户自备加工筐明细!$H$4:$H$1203,$Z750-4000)),IF($Z750&lt;=5800,IF(INDEX(次果筐明细!$H$4:$H$603,$Z750-5200)=0,"",INDEX(次果筐明细!$H$4:$H$603,$Z750-5200)),"")))))</f>
        <v/>
      </c>
      <c r="S750" s="22" t="str">
        <f t="shared" si="35"/>
        <v/>
      </c>
      <c r="Z750" s="10" t="str">
        <f>IFERROR(MATCH(ROW()-3,_自动清单!$CQ$4:$CQ$5803,0),"")</f>
        <v/>
      </c>
    </row>
    <row r="751" spans="1:26">
      <c r="A751" s="24" t="str">
        <f t="shared" si="33"/>
        <v/>
      </c>
      <c r="B751" s="38" t="str">
        <f>IF($Z751="","",IF($Z751&lt;=2000,IF(INDEX(包装物料出入库明细!$B$4:$B$2003,$Z751-0)=0,"",INDEX(包装物料出入库明细!$B$4:$B$2003,$Z751-0)),IF($Z751&lt;=4000,IF(INDEX(周转筐出入库明细!$B$4:$B$2004,$Z751-2000)=0,"",INDEX(周转筐出入库明细!$B$4:$B$2004,$Z751-2000)),IF($Z751&lt;=5200,IF(INDEX(客户自备加工筐明细!$B$4:$B$1203,$Z751-4000)=0,"",INDEX(客户自备加工筐明细!$B$4:$B$1203,$Z751-4000)),IF($Z751&lt;=5800,IF(INDEX(次果筐明细!$B$4:$B$603,$Z751-5200)=0,"",INDEX(次果筐明细!$B$4:$B$603,$Z751-5200)),"")))))</f>
        <v/>
      </c>
      <c r="C751" s="37" t="str">
        <f>IF($Z751="","",IF($Z751&lt;=2000,IF(INDEX(包装物料出入库明细!$D$4:$D$2003,$Z751-0)=0,"",INDEX(包装物料出入库明细!$D$4:$D$2003,$Z751-0)),IF($Z751&lt;=4000,IF(INDEX(周转筐出入库明细!$C$4:$C$2004,$Z751-2000)=0,"",INDEX(周转筐出入库明细!$C$4:$C$2004,$Z751-2000)),IF($Z751&lt;=5200,IF(INDEX(客户自备加工筐明细!$E$4:$E$1203,$Z751-4000)=0,"",INDEX(客户自备加工筐明细!$E$4:$E$1203,$Z751-4000)),IF($Z751&lt;=5800,IF(INDEX(次果筐明细!$C$4:$C$603,$Z751-5200)=0,"",INDEX(次果筐明细!$C$4:$C$603,$Z751-5200)),"")))))</f>
        <v/>
      </c>
      <c r="D751" s="37" t="str">
        <f>IF($Z751="","",IF($Z751&lt;=2000,"包装物料－"&amp;INDEX(包装物料出入库明细!$H$4:$H$2003,$Z751-0),IF($Z751&lt;=4000,"周转筐－"&amp;INDEX(周转筐出入库明细!$F$4:$F$2004,$Z751-2000),IF($Z751&lt;=5200,"客户自备筐－"&amp;INDEX(客户自备加工筐明细!$J$4:$J$1203,$Z751-4000),IF($Z751&lt;=5800,"次果筐/托盘－"&amp;INDEX(次果筐明细!$F$4:$F$603,$Z751-5200),"")))))</f>
        <v/>
      </c>
      <c r="E751" s="24" t="str">
        <f>IF($Z751="","",IF($Z751&lt;=2000,IF(INDEX(包装物料出入库明细!$C$4:$C$2003,$Z751-0)=0,"",INDEX(包装物料出入库明细!$C$4:$C$2003,$Z751-0)),IF($Z751&lt;=4000,IF(INDEX(周转筐出入库明细!$E$4:$E$2004,$Z751-2000)=0,"",INDEX(周转筐出入库明细!$E$4:$E$2004,$Z751-2000)),IF($Z751&lt;=5200,IF(INDEX(客户自备加工筐明细!$D$4:$D$1203,$Z751-4000)=0,"",INDEX(客户自备加工筐明细!$D$4:$D$1203,$Z751-4000)),IF($Z751&lt;=5800,IF(INDEX(次果筐明细!$E$4:$E$603,$Z751-5200)=0,"",INDEX(次果筐明细!$E$4:$E$603,$Z751-5200)),"")))))</f>
        <v/>
      </c>
      <c r="F751" s="24" t="str">
        <f>IF($Z751="","",IF($Z751&lt;=2000,IF(INDEX(包装物料出入库明细!$E$4:$E$2003,$Z751-0)=0,"",INDEX(包装物料出入库明细!$E$4:$E$2003,$Z751-0)),IF($Z751&lt;=4000,IF(INDEX(周转筐出入库明细!$D$4:$D$2004,$Z751-2000)=0,"",INDEX(周转筐出入库明细!$D$4:$D$2004,$Z751-2000)),IF($Z751&lt;=5200,IF(INDEX(客户自备加工筐明细!$C$4:$C$1203,$Z751-4000)=0,"",INDEX(客户自备加工筐明细!$C$4:$C$1203,$Z751-4000)),IF($Z751&lt;=5800,IF(INDEX(次果筐明细!$D$4:$D$603,$Z751-5200)=0,"",INDEX(次果筐明细!$D$4:$D$603,$Z751-5200)),"")))))</f>
        <v/>
      </c>
      <c r="G751" s="24" t="str">
        <f>IF($Z751="","",IF($Z751&lt;=2000,IF(INDEX(包装物料出入库明细!$F$4:$F$2003,$Z751-0)=0,"",INDEX(包装物料出入库明细!$F$4:$F$2003,$Z751-0)),IF($Z751&lt;=4000,"",IF($Z751&lt;=5200,"",IF($Z751&lt;=5800,"","")))))</f>
        <v/>
      </c>
      <c r="H751" s="39" t="str">
        <f>IF($Z751="","",IF($Z751&lt;=2000,IF(INDEX(包装物料出入库明细!$L$4:$L$2003,$Z751-0)=0,"",INDEX(包装物料出入库明细!$L$4:$L$2003,$Z751-0)),IF($Z751&lt;=4000,N(INDEX(周转筐出入库明细!$H$4:$H$2004,$Z751-2000))+N(INDEX(周转筐出入库明细!$I$4:$I$2004,$Z751-2000))+N(INDEX(周转筐出入库明细!$J$4:$J$2004,$Z751-2000))+N(INDEX(周转筐出入库明细!$K$4:$K$2004,$Z751-2000)),IF($Z751&lt;=5200,N(INDEX(客户自备加工筐明细!$F$4:$F$1203,$Z751-4000))+N(INDEX(客户自备加工筐明细!$G$4:$G$1203,$Z751-4000)),IF($Z751&lt;=5800,IF(INDEX(次果筐明细!$G$4:$G$603,$Z751-5200)=0,"",INDEX(次果筐明细!$G$4:$G$603,$Z751-5200)),"")))))</f>
        <v/>
      </c>
      <c r="I751" s="24" t="str">
        <f>IF($Z751="","",IF($Z751&lt;=2000,IF(INDEX(包装物料出入库明细!$G$4:$G$2003,$Z751-0)=0,"",INDEX(包装物料出入库明细!$G$4:$G$2003,$Z751-0)),IF($Z751&lt;=4000,"个",IF($Z751&lt;=5200,"个",IF($Z751&lt;=5800,"个","")))))</f>
        <v/>
      </c>
      <c r="J751" s="30" t="str">
        <f t="shared" si="34"/>
        <v/>
      </c>
      <c r="K751" s="30" t="str">
        <f>IF($Z751="","",IF($Z751&lt;=2000,IF(INDEX(包装物料出入库明细!$N$4:$N$2003,$Z751-0)=0,"",INDEX(包装物料出入库明细!$N$4:$N$2003,$Z751-0)),IF($Z751&lt;=4000,IF(INDEX(周转筐出入库明细!$P$4:$P$2004,$Z751-2000)=0,"",INDEX(周转筐出入库明细!$P$4:$P$2004,$Z751-2000)),IF($Z751&lt;=5200,"",IF($Z751&lt;=5800,N(INDEX(次果筐明细!$L$4:$L$603,$Z751-5200))+N(INDEX(次果筐明细!$J$4:$J$603,$Z751-5200)),"")))))</f>
        <v/>
      </c>
      <c r="L751" s="24" t="str">
        <f>IF($Z751="","",IF($Z751&lt;=2000,IF(INDEX(包装物料出入库明细!$P$4:$P$2003,$Z751-0)=0,"",INDEX(包装物料出入库明细!$P$4:$P$2003,$Z751-0)),IF($Z751&lt;=4000,IF(INDEX(周转筐出入库明细!$Q$4:$Q$2004,$Z751-2000)=0,"",INDEX(周转筐出入库明细!$Q$4:$Q$2004,$Z751-2000)),IF($Z751&lt;=5200,"",IF($Z751&lt;=5800,IF(INDEX(次果筐明细!$M$4:$M$603,$Z751-5200)=0,"",INDEX(次果筐明细!$M$4:$M$603,$Z751-5200)),"")))))</f>
        <v/>
      </c>
      <c r="M751" s="37" t="str">
        <f>IF($Z751="","",IF($Z751&lt;=2000,IF(INDEX(包装物料出入库明细!$R$4:$R$2003,$Z751-0)=0,"",INDEX(包装物料出入库明细!$R$4:$R$2003,$Z751-0)),IF($Z751&lt;=4000,IF(INDEX(周转筐出入库明细!$W$4:$W$2004,$Z751-2000)=0,"",INDEX(周转筐出入库明细!$W$4:$W$2004,$Z751-2000)),IF($Z751&lt;=5200,IF(INDEX(客户自备加工筐明细!$L$4:$L$1203,$Z751-4000)=0,"",INDEX(客户自备加工筐明细!$L$4:$L$1203,$Z751-4000)),IF($Z751&lt;=5800,IF(INDEX(次果筐明细!$P$4:$P$603,$Z751-5200)=0,"",INDEX(次果筐明细!$P$4:$P$603,$Z751-5200)),"")))))</f>
        <v/>
      </c>
      <c r="N751" s="16" t="str">
        <f>IF($Z751="","",IF($Z751&lt;=2000,"",IF($Z751&lt;=4000,IF(INDEX(周转筐出入库明细!$D$4:$D$2004,$Z751-2000)=0,"",INDEX(周转筐出入库明细!$D$4:$D$2004,$Z751-2000)),IF($Z751&lt;=5200,IF(INDEX(客户自备加工筐明细!$C$4:$C$1203,$Z751-4000)=0,"",INDEX(客户自备加工筐明细!$C$4:$C$1203,$Z751-4000)),IF($Z751&lt;=5800,IF(INDEX(次果筐明细!$D$4:$D$603,$Z751-5200)=0,"",INDEX(次果筐明细!$D$4:$D$603,$Z751-5200)),"")))))</f>
        <v/>
      </c>
      <c r="O751" s="40" t="str">
        <f>IF($Z751="","",IF($Z751&lt;=2000,"",IF($Z751&lt;=4000,IF(N(INDEX(周转筐出入库明细!$J$4:$J$2004,$Z751-2000))+N(INDEX(周转筐出入库明细!$K$4:$K$2004,$Z751-2000))=0,"",N(INDEX(周转筐出入库明细!$J$4:$J$2004,$Z751-2000))+N(INDEX(周转筐出入库明细!$K$4:$K$2004,$Z751-2000))),IF($Z751&lt;=5200,IF(N(INDEX(客户自备加工筐明细!$G$4:$G$1203,$Z751-4000))=0,"",N(INDEX(客户自备加工筐明细!$G$4:$G$1203,$Z751-4000))),IF($Z751&lt;=5800,IF(ISNUMBER(SEARCH("退",INDEX(次果筐明细!$F$4:$F$603,$Z751-5200)&amp;"")),"",IF(N(INDEX(次果筐明细!$G$4:$G$603,$Z751-5200))=0,"",N(INDEX(次果筐明细!$G$4:$G$603,$Z751-5200)))),"")))))</f>
        <v/>
      </c>
      <c r="P751" s="40" t="str">
        <f>IF($Z751="","",IF($Z751&lt;=2000,"",IF($Z751&lt;=4000,IF(N(INDEX(周转筐出入库明细!$I$4:$I$2004,$Z751-2000))=0,"",N(INDEX(周转筐出入库明细!$I$4:$I$2004,$Z751-2000))),IF($Z751&lt;=5200,"",IF($Z751&lt;=5800,IF(ISNUMBER(SEARCH("退",INDEX(次果筐明细!$F$4:$F$603,$Z751-5200)&amp;"")),IF(N(INDEX(次果筐明细!$G$4:$G$603,$Z751-5200))=0,"",N(INDEX(次果筐明细!$G$4:$G$603,$Z751-5200))),""),"")))))</f>
        <v/>
      </c>
      <c r="Q751" s="40" t="str">
        <f>IF($Z751="","",IF($Z751&lt;=2000,"",IF($Z751&lt;=4000,IF(N(INDEX(周转筐出入库明细!$H$4:$H$2004,$Z751-2000))=0,"",N(INDEX(周转筐出入库明细!$H$4:$H$2004,$Z751-2000))),IF($Z751&lt;=5200,IF(N(INDEX(客户自备加工筐明细!$F$4:$F$1203,$Z751-4000))=0,"",N(INDEX(客户自备加工筐明细!$F$4:$F$1203,$Z751-4000))),IF($Z751&lt;=5800,"","")))))</f>
        <v/>
      </c>
      <c r="R751" s="16" t="str">
        <f>IF($Z751="","",IF($Z751&lt;=2000,IF(INDEX(包装物料出入库明细!$O$4:$O$2003,$Z751-0)=0,"",INDEX(包装物料出入库明细!$O$4:$O$2003,$Z751-0)),IF($Z751&lt;=4000,IF(INDEX(周转筐出入库明细!$M$4:$M$2004,$Z751-2000)=0,"",INDEX(周转筐出入库明细!$M$4:$M$2004,$Z751-2000)),IF($Z751&lt;=5200,IF(INDEX(客户自备加工筐明细!$H$4:$H$1203,$Z751-4000)=0,"",INDEX(客户自备加工筐明细!$H$4:$H$1203,$Z751-4000)),IF($Z751&lt;=5800,IF(INDEX(次果筐明细!$H$4:$H$603,$Z751-5200)=0,"",INDEX(次果筐明细!$H$4:$H$603,$Z751-5200)),"")))))</f>
        <v/>
      </c>
      <c r="S751" s="22" t="str">
        <f t="shared" si="35"/>
        <v/>
      </c>
      <c r="Z751" s="10" t="str">
        <f>IFERROR(MATCH(ROW()-3,_自动清单!$CQ$4:$CQ$5803,0),"")</f>
        <v/>
      </c>
    </row>
    <row r="752" spans="1:26">
      <c r="A752" s="24" t="str">
        <f t="shared" si="33"/>
        <v/>
      </c>
      <c r="B752" s="38" t="str">
        <f>IF($Z752="","",IF($Z752&lt;=2000,IF(INDEX(包装物料出入库明细!$B$4:$B$2003,$Z752-0)=0,"",INDEX(包装物料出入库明细!$B$4:$B$2003,$Z752-0)),IF($Z752&lt;=4000,IF(INDEX(周转筐出入库明细!$B$4:$B$2004,$Z752-2000)=0,"",INDEX(周转筐出入库明细!$B$4:$B$2004,$Z752-2000)),IF($Z752&lt;=5200,IF(INDEX(客户自备加工筐明细!$B$4:$B$1203,$Z752-4000)=0,"",INDEX(客户自备加工筐明细!$B$4:$B$1203,$Z752-4000)),IF($Z752&lt;=5800,IF(INDEX(次果筐明细!$B$4:$B$603,$Z752-5200)=0,"",INDEX(次果筐明细!$B$4:$B$603,$Z752-5200)),"")))))</f>
        <v/>
      </c>
      <c r="C752" s="37" t="str">
        <f>IF($Z752="","",IF($Z752&lt;=2000,IF(INDEX(包装物料出入库明细!$D$4:$D$2003,$Z752-0)=0,"",INDEX(包装物料出入库明细!$D$4:$D$2003,$Z752-0)),IF($Z752&lt;=4000,IF(INDEX(周转筐出入库明细!$C$4:$C$2004,$Z752-2000)=0,"",INDEX(周转筐出入库明细!$C$4:$C$2004,$Z752-2000)),IF($Z752&lt;=5200,IF(INDEX(客户自备加工筐明细!$E$4:$E$1203,$Z752-4000)=0,"",INDEX(客户自备加工筐明细!$E$4:$E$1203,$Z752-4000)),IF($Z752&lt;=5800,IF(INDEX(次果筐明细!$C$4:$C$603,$Z752-5200)=0,"",INDEX(次果筐明细!$C$4:$C$603,$Z752-5200)),"")))))</f>
        <v/>
      </c>
      <c r="D752" s="37" t="str">
        <f>IF($Z752="","",IF($Z752&lt;=2000,"包装物料－"&amp;INDEX(包装物料出入库明细!$H$4:$H$2003,$Z752-0),IF($Z752&lt;=4000,"周转筐－"&amp;INDEX(周转筐出入库明细!$F$4:$F$2004,$Z752-2000),IF($Z752&lt;=5200,"客户自备筐－"&amp;INDEX(客户自备加工筐明细!$J$4:$J$1203,$Z752-4000),IF($Z752&lt;=5800,"次果筐/托盘－"&amp;INDEX(次果筐明细!$F$4:$F$603,$Z752-5200),"")))))</f>
        <v/>
      </c>
      <c r="E752" s="24" t="str">
        <f>IF($Z752="","",IF($Z752&lt;=2000,IF(INDEX(包装物料出入库明细!$C$4:$C$2003,$Z752-0)=0,"",INDEX(包装物料出入库明细!$C$4:$C$2003,$Z752-0)),IF($Z752&lt;=4000,IF(INDEX(周转筐出入库明细!$E$4:$E$2004,$Z752-2000)=0,"",INDEX(周转筐出入库明细!$E$4:$E$2004,$Z752-2000)),IF($Z752&lt;=5200,IF(INDEX(客户自备加工筐明细!$D$4:$D$1203,$Z752-4000)=0,"",INDEX(客户自备加工筐明细!$D$4:$D$1203,$Z752-4000)),IF($Z752&lt;=5800,IF(INDEX(次果筐明细!$E$4:$E$603,$Z752-5200)=0,"",INDEX(次果筐明细!$E$4:$E$603,$Z752-5200)),"")))))</f>
        <v/>
      </c>
      <c r="F752" s="24" t="str">
        <f>IF($Z752="","",IF($Z752&lt;=2000,IF(INDEX(包装物料出入库明细!$E$4:$E$2003,$Z752-0)=0,"",INDEX(包装物料出入库明细!$E$4:$E$2003,$Z752-0)),IF($Z752&lt;=4000,IF(INDEX(周转筐出入库明细!$D$4:$D$2004,$Z752-2000)=0,"",INDEX(周转筐出入库明细!$D$4:$D$2004,$Z752-2000)),IF($Z752&lt;=5200,IF(INDEX(客户自备加工筐明细!$C$4:$C$1203,$Z752-4000)=0,"",INDEX(客户自备加工筐明细!$C$4:$C$1203,$Z752-4000)),IF($Z752&lt;=5800,IF(INDEX(次果筐明细!$D$4:$D$603,$Z752-5200)=0,"",INDEX(次果筐明细!$D$4:$D$603,$Z752-5200)),"")))))</f>
        <v/>
      </c>
      <c r="G752" s="24" t="str">
        <f>IF($Z752="","",IF($Z752&lt;=2000,IF(INDEX(包装物料出入库明细!$F$4:$F$2003,$Z752-0)=0,"",INDEX(包装物料出入库明细!$F$4:$F$2003,$Z752-0)),IF($Z752&lt;=4000,"",IF($Z752&lt;=5200,"",IF($Z752&lt;=5800,"","")))))</f>
        <v/>
      </c>
      <c r="H752" s="39" t="str">
        <f>IF($Z752="","",IF($Z752&lt;=2000,IF(INDEX(包装物料出入库明细!$L$4:$L$2003,$Z752-0)=0,"",INDEX(包装物料出入库明细!$L$4:$L$2003,$Z752-0)),IF($Z752&lt;=4000,N(INDEX(周转筐出入库明细!$H$4:$H$2004,$Z752-2000))+N(INDEX(周转筐出入库明细!$I$4:$I$2004,$Z752-2000))+N(INDEX(周转筐出入库明细!$J$4:$J$2004,$Z752-2000))+N(INDEX(周转筐出入库明细!$K$4:$K$2004,$Z752-2000)),IF($Z752&lt;=5200,N(INDEX(客户自备加工筐明细!$F$4:$F$1203,$Z752-4000))+N(INDEX(客户自备加工筐明细!$G$4:$G$1203,$Z752-4000)),IF($Z752&lt;=5800,IF(INDEX(次果筐明细!$G$4:$G$603,$Z752-5200)=0,"",INDEX(次果筐明细!$G$4:$G$603,$Z752-5200)),"")))))</f>
        <v/>
      </c>
      <c r="I752" s="24" t="str">
        <f>IF($Z752="","",IF($Z752&lt;=2000,IF(INDEX(包装物料出入库明细!$G$4:$G$2003,$Z752-0)=0,"",INDEX(包装物料出入库明细!$G$4:$G$2003,$Z752-0)),IF($Z752&lt;=4000,"个",IF($Z752&lt;=5200,"个",IF($Z752&lt;=5800,"个","")))))</f>
        <v/>
      </c>
      <c r="J752" s="30" t="str">
        <f t="shared" si="34"/>
        <v/>
      </c>
      <c r="K752" s="30" t="str">
        <f>IF($Z752="","",IF($Z752&lt;=2000,IF(INDEX(包装物料出入库明细!$N$4:$N$2003,$Z752-0)=0,"",INDEX(包装物料出入库明细!$N$4:$N$2003,$Z752-0)),IF($Z752&lt;=4000,IF(INDEX(周转筐出入库明细!$P$4:$P$2004,$Z752-2000)=0,"",INDEX(周转筐出入库明细!$P$4:$P$2004,$Z752-2000)),IF($Z752&lt;=5200,"",IF($Z752&lt;=5800,N(INDEX(次果筐明细!$L$4:$L$603,$Z752-5200))+N(INDEX(次果筐明细!$J$4:$J$603,$Z752-5200)),"")))))</f>
        <v/>
      </c>
      <c r="L752" s="24" t="str">
        <f>IF($Z752="","",IF($Z752&lt;=2000,IF(INDEX(包装物料出入库明细!$P$4:$P$2003,$Z752-0)=0,"",INDEX(包装物料出入库明细!$P$4:$P$2003,$Z752-0)),IF($Z752&lt;=4000,IF(INDEX(周转筐出入库明细!$Q$4:$Q$2004,$Z752-2000)=0,"",INDEX(周转筐出入库明细!$Q$4:$Q$2004,$Z752-2000)),IF($Z752&lt;=5200,"",IF($Z752&lt;=5800,IF(INDEX(次果筐明细!$M$4:$M$603,$Z752-5200)=0,"",INDEX(次果筐明细!$M$4:$M$603,$Z752-5200)),"")))))</f>
        <v/>
      </c>
      <c r="M752" s="37" t="str">
        <f>IF($Z752="","",IF($Z752&lt;=2000,IF(INDEX(包装物料出入库明细!$R$4:$R$2003,$Z752-0)=0,"",INDEX(包装物料出入库明细!$R$4:$R$2003,$Z752-0)),IF($Z752&lt;=4000,IF(INDEX(周转筐出入库明细!$W$4:$W$2004,$Z752-2000)=0,"",INDEX(周转筐出入库明细!$W$4:$W$2004,$Z752-2000)),IF($Z752&lt;=5200,IF(INDEX(客户自备加工筐明细!$L$4:$L$1203,$Z752-4000)=0,"",INDEX(客户自备加工筐明细!$L$4:$L$1203,$Z752-4000)),IF($Z752&lt;=5800,IF(INDEX(次果筐明细!$P$4:$P$603,$Z752-5200)=0,"",INDEX(次果筐明细!$P$4:$P$603,$Z752-5200)),"")))))</f>
        <v/>
      </c>
      <c r="N752" s="16" t="str">
        <f>IF($Z752="","",IF($Z752&lt;=2000,"",IF($Z752&lt;=4000,IF(INDEX(周转筐出入库明细!$D$4:$D$2004,$Z752-2000)=0,"",INDEX(周转筐出入库明细!$D$4:$D$2004,$Z752-2000)),IF($Z752&lt;=5200,IF(INDEX(客户自备加工筐明细!$C$4:$C$1203,$Z752-4000)=0,"",INDEX(客户自备加工筐明细!$C$4:$C$1203,$Z752-4000)),IF($Z752&lt;=5800,IF(INDEX(次果筐明细!$D$4:$D$603,$Z752-5200)=0,"",INDEX(次果筐明细!$D$4:$D$603,$Z752-5200)),"")))))</f>
        <v/>
      </c>
      <c r="O752" s="40" t="str">
        <f>IF($Z752="","",IF($Z752&lt;=2000,"",IF($Z752&lt;=4000,IF(N(INDEX(周转筐出入库明细!$J$4:$J$2004,$Z752-2000))+N(INDEX(周转筐出入库明细!$K$4:$K$2004,$Z752-2000))=0,"",N(INDEX(周转筐出入库明细!$J$4:$J$2004,$Z752-2000))+N(INDEX(周转筐出入库明细!$K$4:$K$2004,$Z752-2000))),IF($Z752&lt;=5200,IF(N(INDEX(客户自备加工筐明细!$G$4:$G$1203,$Z752-4000))=0,"",N(INDEX(客户自备加工筐明细!$G$4:$G$1203,$Z752-4000))),IF($Z752&lt;=5800,IF(ISNUMBER(SEARCH("退",INDEX(次果筐明细!$F$4:$F$603,$Z752-5200)&amp;"")),"",IF(N(INDEX(次果筐明细!$G$4:$G$603,$Z752-5200))=0,"",N(INDEX(次果筐明细!$G$4:$G$603,$Z752-5200)))),"")))))</f>
        <v/>
      </c>
      <c r="P752" s="40" t="str">
        <f>IF($Z752="","",IF($Z752&lt;=2000,"",IF($Z752&lt;=4000,IF(N(INDEX(周转筐出入库明细!$I$4:$I$2004,$Z752-2000))=0,"",N(INDEX(周转筐出入库明细!$I$4:$I$2004,$Z752-2000))),IF($Z752&lt;=5200,"",IF($Z752&lt;=5800,IF(ISNUMBER(SEARCH("退",INDEX(次果筐明细!$F$4:$F$603,$Z752-5200)&amp;"")),IF(N(INDEX(次果筐明细!$G$4:$G$603,$Z752-5200))=0,"",N(INDEX(次果筐明细!$G$4:$G$603,$Z752-5200))),""),"")))))</f>
        <v/>
      </c>
      <c r="Q752" s="40" t="str">
        <f>IF($Z752="","",IF($Z752&lt;=2000,"",IF($Z752&lt;=4000,IF(N(INDEX(周转筐出入库明细!$H$4:$H$2004,$Z752-2000))=0,"",N(INDEX(周转筐出入库明细!$H$4:$H$2004,$Z752-2000))),IF($Z752&lt;=5200,IF(N(INDEX(客户自备加工筐明细!$F$4:$F$1203,$Z752-4000))=0,"",N(INDEX(客户自备加工筐明细!$F$4:$F$1203,$Z752-4000))),IF($Z752&lt;=5800,"","")))))</f>
        <v/>
      </c>
      <c r="R752" s="16" t="str">
        <f>IF($Z752="","",IF($Z752&lt;=2000,IF(INDEX(包装物料出入库明细!$O$4:$O$2003,$Z752-0)=0,"",INDEX(包装物料出入库明细!$O$4:$O$2003,$Z752-0)),IF($Z752&lt;=4000,IF(INDEX(周转筐出入库明细!$M$4:$M$2004,$Z752-2000)=0,"",INDEX(周转筐出入库明细!$M$4:$M$2004,$Z752-2000)),IF($Z752&lt;=5200,IF(INDEX(客户自备加工筐明细!$H$4:$H$1203,$Z752-4000)=0,"",INDEX(客户自备加工筐明细!$H$4:$H$1203,$Z752-4000)),IF($Z752&lt;=5800,IF(INDEX(次果筐明细!$H$4:$H$603,$Z752-5200)=0,"",INDEX(次果筐明细!$H$4:$H$603,$Z752-5200)),"")))))</f>
        <v/>
      </c>
      <c r="S752" s="22" t="str">
        <f t="shared" si="35"/>
        <v/>
      </c>
      <c r="Z752" s="10" t="str">
        <f>IFERROR(MATCH(ROW()-3,_自动清单!$CQ$4:$CQ$5803,0),"")</f>
        <v/>
      </c>
    </row>
    <row r="753" spans="1:26">
      <c r="A753" s="24" t="str">
        <f t="shared" si="33"/>
        <v/>
      </c>
      <c r="B753" s="38" t="str">
        <f>IF($Z753="","",IF($Z753&lt;=2000,IF(INDEX(包装物料出入库明细!$B$4:$B$2003,$Z753-0)=0,"",INDEX(包装物料出入库明细!$B$4:$B$2003,$Z753-0)),IF($Z753&lt;=4000,IF(INDEX(周转筐出入库明细!$B$4:$B$2004,$Z753-2000)=0,"",INDEX(周转筐出入库明细!$B$4:$B$2004,$Z753-2000)),IF($Z753&lt;=5200,IF(INDEX(客户自备加工筐明细!$B$4:$B$1203,$Z753-4000)=0,"",INDEX(客户自备加工筐明细!$B$4:$B$1203,$Z753-4000)),IF($Z753&lt;=5800,IF(INDEX(次果筐明细!$B$4:$B$603,$Z753-5200)=0,"",INDEX(次果筐明细!$B$4:$B$603,$Z753-5200)),"")))))</f>
        <v/>
      </c>
      <c r="C753" s="37" t="str">
        <f>IF($Z753="","",IF($Z753&lt;=2000,IF(INDEX(包装物料出入库明细!$D$4:$D$2003,$Z753-0)=0,"",INDEX(包装物料出入库明细!$D$4:$D$2003,$Z753-0)),IF($Z753&lt;=4000,IF(INDEX(周转筐出入库明细!$C$4:$C$2004,$Z753-2000)=0,"",INDEX(周转筐出入库明细!$C$4:$C$2004,$Z753-2000)),IF($Z753&lt;=5200,IF(INDEX(客户自备加工筐明细!$E$4:$E$1203,$Z753-4000)=0,"",INDEX(客户自备加工筐明细!$E$4:$E$1203,$Z753-4000)),IF($Z753&lt;=5800,IF(INDEX(次果筐明细!$C$4:$C$603,$Z753-5200)=0,"",INDEX(次果筐明细!$C$4:$C$603,$Z753-5200)),"")))))</f>
        <v/>
      </c>
      <c r="D753" s="37" t="str">
        <f>IF($Z753="","",IF($Z753&lt;=2000,"包装物料－"&amp;INDEX(包装物料出入库明细!$H$4:$H$2003,$Z753-0),IF($Z753&lt;=4000,"周转筐－"&amp;INDEX(周转筐出入库明细!$F$4:$F$2004,$Z753-2000),IF($Z753&lt;=5200,"客户自备筐－"&amp;INDEX(客户自备加工筐明细!$J$4:$J$1203,$Z753-4000),IF($Z753&lt;=5800,"次果筐/托盘－"&amp;INDEX(次果筐明细!$F$4:$F$603,$Z753-5200),"")))))</f>
        <v/>
      </c>
      <c r="E753" s="24" t="str">
        <f>IF($Z753="","",IF($Z753&lt;=2000,IF(INDEX(包装物料出入库明细!$C$4:$C$2003,$Z753-0)=0,"",INDEX(包装物料出入库明细!$C$4:$C$2003,$Z753-0)),IF($Z753&lt;=4000,IF(INDEX(周转筐出入库明细!$E$4:$E$2004,$Z753-2000)=0,"",INDEX(周转筐出入库明细!$E$4:$E$2004,$Z753-2000)),IF($Z753&lt;=5200,IF(INDEX(客户自备加工筐明细!$D$4:$D$1203,$Z753-4000)=0,"",INDEX(客户自备加工筐明细!$D$4:$D$1203,$Z753-4000)),IF($Z753&lt;=5800,IF(INDEX(次果筐明细!$E$4:$E$603,$Z753-5200)=0,"",INDEX(次果筐明细!$E$4:$E$603,$Z753-5200)),"")))))</f>
        <v/>
      </c>
      <c r="F753" s="24" t="str">
        <f>IF($Z753="","",IF($Z753&lt;=2000,IF(INDEX(包装物料出入库明细!$E$4:$E$2003,$Z753-0)=0,"",INDEX(包装物料出入库明细!$E$4:$E$2003,$Z753-0)),IF($Z753&lt;=4000,IF(INDEX(周转筐出入库明细!$D$4:$D$2004,$Z753-2000)=0,"",INDEX(周转筐出入库明细!$D$4:$D$2004,$Z753-2000)),IF($Z753&lt;=5200,IF(INDEX(客户自备加工筐明细!$C$4:$C$1203,$Z753-4000)=0,"",INDEX(客户自备加工筐明细!$C$4:$C$1203,$Z753-4000)),IF($Z753&lt;=5800,IF(INDEX(次果筐明细!$D$4:$D$603,$Z753-5200)=0,"",INDEX(次果筐明细!$D$4:$D$603,$Z753-5200)),"")))))</f>
        <v/>
      </c>
      <c r="G753" s="24" t="str">
        <f>IF($Z753="","",IF($Z753&lt;=2000,IF(INDEX(包装物料出入库明细!$F$4:$F$2003,$Z753-0)=0,"",INDEX(包装物料出入库明细!$F$4:$F$2003,$Z753-0)),IF($Z753&lt;=4000,"",IF($Z753&lt;=5200,"",IF($Z753&lt;=5800,"","")))))</f>
        <v/>
      </c>
      <c r="H753" s="39" t="str">
        <f>IF($Z753="","",IF($Z753&lt;=2000,IF(INDEX(包装物料出入库明细!$L$4:$L$2003,$Z753-0)=0,"",INDEX(包装物料出入库明细!$L$4:$L$2003,$Z753-0)),IF($Z753&lt;=4000,N(INDEX(周转筐出入库明细!$H$4:$H$2004,$Z753-2000))+N(INDEX(周转筐出入库明细!$I$4:$I$2004,$Z753-2000))+N(INDEX(周转筐出入库明细!$J$4:$J$2004,$Z753-2000))+N(INDEX(周转筐出入库明细!$K$4:$K$2004,$Z753-2000)),IF($Z753&lt;=5200,N(INDEX(客户自备加工筐明细!$F$4:$F$1203,$Z753-4000))+N(INDEX(客户自备加工筐明细!$G$4:$G$1203,$Z753-4000)),IF($Z753&lt;=5800,IF(INDEX(次果筐明细!$G$4:$G$603,$Z753-5200)=0,"",INDEX(次果筐明细!$G$4:$G$603,$Z753-5200)),"")))))</f>
        <v/>
      </c>
      <c r="I753" s="24" t="str">
        <f>IF($Z753="","",IF($Z753&lt;=2000,IF(INDEX(包装物料出入库明细!$G$4:$G$2003,$Z753-0)=0,"",INDEX(包装物料出入库明细!$G$4:$G$2003,$Z753-0)),IF($Z753&lt;=4000,"个",IF($Z753&lt;=5200,"个",IF($Z753&lt;=5800,"个","")))))</f>
        <v/>
      </c>
      <c r="J753" s="30" t="str">
        <f t="shared" si="34"/>
        <v/>
      </c>
      <c r="K753" s="30" t="str">
        <f>IF($Z753="","",IF($Z753&lt;=2000,IF(INDEX(包装物料出入库明细!$N$4:$N$2003,$Z753-0)=0,"",INDEX(包装物料出入库明细!$N$4:$N$2003,$Z753-0)),IF($Z753&lt;=4000,IF(INDEX(周转筐出入库明细!$P$4:$P$2004,$Z753-2000)=0,"",INDEX(周转筐出入库明细!$P$4:$P$2004,$Z753-2000)),IF($Z753&lt;=5200,"",IF($Z753&lt;=5800,N(INDEX(次果筐明细!$L$4:$L$603,$Z753-5200))+N(INDEX(次果筐明细!$J$4:$J$603,$Z753-5200)),"")))))</f>
        <v/>
      </c>
      <c r="L753" s="24" t="str">
        <f>IF($Z753="","",IF($Z753&lt;=2000,IF(INDEX(包装物料出入库明细!$P$4:$P$2003,$Z753-0)=0,"",INDEX(包装物料出入库明细!$P$4:$P$2003,$Z753-0)),IF($Z753&lt;=4000,IF(INDEX(周转筐出入库明细!$Q$4:$Q$2004,$Z753-2000)=0,"",INDEX(周转筐出入库明细!$Q$4:$Q$2004,$Z753-2000)),IF($Z753&lt;=5200,"",IF($Z753&lt;=5800,IF(INDEX(次果筐明细!$M$4:$M$603,$Z753-5200)=0,"",INDEX(次果筐明细!$M$4:$M$603,$Z753-5200)),"")))))</f>
        <v/>
      </c>
      <c r="M753" s="37" t="str">
        <f>IF($Z753="","",IF($Z753&lt;=2000,IF(INDEX(包装物料出入库明细!$R$4:$R$2003,$Z753-0)=0,"",INDEX(包装物料出入库明细!$R$4:$R$2003,$Z753-0)),IF($Z753&lt;=4000,IF(INDEX(周转筐出入库明细!$W$4:$W$2004,$Z753-2000)=0,"",INDEX(周转筐出入库明细!$W$4:$W$2004,$Z753-2000)),IF($Z753&lt;=5200,IF(INDEX(客户自备加工筐明细!$L$4:$L$1203,$Z753-4000)=0,"",INDEX(客户自备加工筐明细!$L$4:$L$1203,$Z753-4000)),IF($Z753&lt;=5800,IF(INDEX(次果筐明细!$P$4:$P$603,$Z753-5200)=0,"",INDEX(次果筐明细!$P$4:$P$603,$Z753-5200)),"")))))</f>
        <v/>
      </c>
      <c r="N753" s="16" t="str">
        <f>IF($Z753="","",IF($Z753&lt;=2000,"",IF($Z753&lt;=4000,IF(INDEX(周转筐出入库明细!$D$4:$D$2004,$Z753-2000)=0,"",INDEX(周转筐出入库明细!$D$4:$D$2004,$Z753-2000)),IF($Z753&lt;=5200,IF(INDEX(客户自备加工筐明细!$C$4:$C$1203,$Z753-4000)=0,"",INDEX(客户自备加工筐明细!$C$4:$C$1203,$Z753-4000)),IF($Z753&lt;=5800,IF(INDEX(次果筐明细!$D$4:$D$603,$Z753-5200)=0,"",INDEX(次果筐明细!$D$4:$D$603,$Z753-5200)),"")))))</f>
        <v/>
      </c>
      <c r="O753" s="40" t="str">
        <f>IF($Z753="","",IF($Z753&lt;=2000,"",IF($Z753&lt;=4000,IF(N(INDEX(周转筐出入库明细!$J$4:$J$2004,$Z753-2000))+N(INDEX(周转筐出入库明细!$K$4:$K$2004,$Z753-2000))=0,"",N(INDEX(周转筐出入库明细!$J$4:$J$2004,$Z753-2000))+N(INDEX(周转筐出入库明细!$K$4:$K$2004,$Z753-2000))),IF($Z753&lt;=5200,IF(N(INDEX(客户自备加工筐明细!$G$4:$G$1203,$Z753-4000))=0,"",N(INDEX(客户自备加工筐明细!$G$4:$G$1203,$Z753-4000))),IF($Z753&lt;=5800,IF(ISNUMBER(SEARCH("退",INDEX(次果筐明细!$F$4:$F$603,$Z753-5200)&amp;"")),"",IF(N(INDEX(次果筐明细!$G$4:$G$603,$Z753-5200))=0,"",N(INDEX(次果筐明细!$G$4:$G$603,$Z753-5200)))),"")))))</f>
        <v/>
      </c>
      <c r="P753" s="40" t="str">
        <f>IF($Z753="","",IF($Z753&lt;=2000,"",IF($Z753&lt;=4000,IF(N(INDEX(周转筐出入库明细!$I$4:$I$2004,$Z753-2000))=0,"",N(INDEX(周转筐出入库明细!$I$4:$I$2004,$Z753-2000))),IF($Z753&lt;=5200,"",IF($Z753&lt;=5800,IF(ISNUMBER(SEARCH("退",INDEX(次果筐明细!$F$4:$F$603,$Z753-5200)&amp;"")),IF(N(INDEX(次果筐明细!$G$4:$G$603,$Z753-5200))=0,"",N(INDEX(次果筐明细!$G$4:$G$603,$Z753-5200))),""),"")))))</f>
        <v/>
      </c>
      <c r="Q753" s="40" t="str">
        <f>IF($Z753="","",IF($Z753&lt;=2000,"",IF($Z753&lt;=4000,IF(N(INDEX(周转筐出入库明细!$H$4:$H$2004,$Z753-2000))=0,"",N(INDEX(周转筐出入库明细!$H$4:$H$2004,$Z753-2000))),IF($Z753&lt;=5200,IF(N(INDEX(客户自备加工筐明细!$F$4:$F$1203,$Z753-4000))=0,"",N(INDEX(客户自备加工筐明细!$F$4:$F$1203,$Z753-4000))),IF($Z753&lt;=5800,"","")))))</f>
        <v/>
      </c>
      <c r="R753" s="16" t="str">
        <f>IF($Z753="","",IF($Z753&lt;=2000,IF(INDEX(包装物料出入库明细!$O$4:$O$2003,$Z753-0)=0,"",INDEX(包装物料出入库明细!$O$4:$O$2003,$Z753-0)),IF($Z753&lt;=4000,IF(INDEX(周转筐出入库明细!$M$4:$M$2004,$Z753-2000)=0,"",INDEX(周转筐出入库明细!$M$4:$M$2004,$Z753-2000)),IF($Z753&lt;=5200,IF(INDEX(客户自备加工筐明细!$H$4:$H$1203,$Z753-4000)=0,"",INDEX(客户自备加工筐明细!$H$4:$H$1203,$Z753-4000)),IF($Z753&lt;=5800,IF(INDEX(次果筐明细!$H$4:$H$603,$Z753-5200)=0,"",INDEX(次果筐明细!$H$4:$H$603,$Z753-5200)),"")))))</f>
        <v/>
      </c>
      <c r="S753" s="22" t="str">
        <f t="shared" si="35"/>
        <v/>
      </c>
      <c r="Z753" s="10" t="str">
        <f>IFERROR(MATCH(ROW()-3,_自动清单!$CQ$4:$CQ$5803,0),"")</f>
        <v/>
      </c>
    </row>
    <row r="754" spans="1:26">
      <c r="A754" s="24" t="str">
        <f t="shared" si="33"/>
        <v/>
      </c>
      <c r="B754" s="38" t="str">
        <f>IF($Z754="","",IF($Z754&lt;=2000,IF(INDEX(包装物料出入库明细!$B$4:$B$2003,$Z754-0)=0,"",INDEX(包装物料出入库明细!$B$4:$B$2003,$Z754-0)),IF($Z754&lt;=4000,IF(INDEX(周转筐出入库明细!$B$4:$B$2004,$Z754-2000)=0,"",INDEX(周转筐出入库明细!$B$4:$B$2004,$Z754-2000)),IF($Z754&lt;=5200,IF(INDEX(客户自备加工筐明细!$B$4:$B$1203,$Z754-4000)=0,"",INDEX(客户自备加工筐明细!$B$4:$B$1203,$Z754-4000)),IF($Z754&lt;=5800,IF(INDEX(次果筐明细!$B$4:$B$603,$Z754-5200)=0,"",INDEX(次果筐明细!$B$4:$B$603,$Z754-5200)),"")))))</f>
        <v/>
      </c>
      <c r="C754" s="37" t="str">
        <f>IF($Z754="","",IF($Z754&lt;=2000,IF(INDEX(包装物料出入库明细!$D$4:$D$2003,$Z754-0)=0,"",INDEX(包装物料出入库明细!$D$4:$D$2003,$Z754-0)),IF($Z754&lt;=4000,IF(INDEX(周转筐出入库明细!$C$4:$C$2004,$Z754-2000)=0,"",INDEX(周转筐出入库明细!$C$4:$C$2004,$Z754-2000)),IF($Z754&lt;=5200,IF(INDEX(客户自备加工筐明细!$E$4:$E$1203,$Z754-4000)=0,"",INDEX(客户自备加工筐明细!$E$4:$E$1203,$Z754-4000)),IF($Z754&lt;=5800,IF(INDEX(次果筐明细!$C$4:$C$603,$Z754-5200)=0,"",INDEX(次果筐明细!$C$4:$C$603,$Z754-5200)),"")))))</f>
        <v/>
      </c>
      <c r="D754" s="37" t="str">
        <f>IF($Z754="","",IF($Z754&lt;=2000,"包装物料－"&amp;INDEX(包装物料出入库明细!$H$4:$H$2003,$Z754-0),IF($Z754&lt;=4000,"周转筐－"&amp;INDEX(周转筐出入库明细!$F$4:$F$2004,$Z754-2000),IF($Z754&lt;=5200,"客户自备筐－"&amp;INDEX(客户自备加工筐明细!$J$4:$J$1203,$Z754-4000),IF($Z754&lt;=5800,"次果筐/托盘－"&amp;INDEX(次果筐明细!$F$4:$F$603,$Z754-5200),"")))))</f>
        <v/>
      </c>
      <c r="E754" s="24" t="str">
        <f>IF($Z754="","",IF($Z754&lt;=2000,IF(INDEX(包装物料出入库明细!$C$4:$C$2003,$Z754-0)=0,"",INDEX(包装物料出入库明细!$C$4:$C$2003,$Z754-0)),IF($Z754&lt;=4000,IF(INDEX(周转筐出入库明细!$E$4:$E$2004,$Z754-2000)=0,"",INDEX(周转筐出入库明细!$E$4:$E$2004,$Z754-2000)),IF($Z754&lt;=5200,IF(INDEX(客户自备加工筐明细!$D$4:$D$1203,$Z754-4000)=0,"",INDEX(客户自备加工筐明细!$D$4:$D$1203,$Z754-4000)),IF($Z754&lt;=5800,IF(INDEX(次果筐明细!$E$4:$E$603,$Z754-5200)=0,"",INDEX(次果筐明细!$E$4:$E$603,$Z754-5200)),"")))))</f>
        <v/>
      </c>
      <c r="F754" s="24" t="str">
        <f>IF($Z754="","",IF($Z754&lt;=2000,IF(INDEX(包装物料出入库明细!$E$4:$E$2003,$Z754-0)=0,"",INDEX(包装物料出入库明细!$E$4:$E$2003,$Z754-0)),IF($Z754&lt;=4000,IF(INDEX(周转筐出入库明细!$D$4:$D$2004,$Z754-2000)=0,"",INDEX(周转筐出入库明细!$D$4:$D$2004,$Z754-2000)),IF($Z754&lt;=5200,IF(INDEX(客户自备加工筐明细!$C$4:$C$1203,$Z754-4000)=0,"",INDEX(客户自备加工筐明细!$C$4:$C$1203,$Z754-4000)),IF($Z754&lt;=5800,IF(INDEX(次果筐明细!$D$4:$D$603,$Z754-5200)=0,"",INDEX(次果筐明细!$D$4:$D$603,$Z754-5200)),"")))))</f>
        <v/>
      </c>
      <c r="G754" s="24" t="str">
        <f>IF($Z754="","",IF($Z754&lt;=2000,IF(INDEX(包装物料出入库明细!$F$4:$F$2003,$Z754-0)=0,"",INDEX(包装物料出入库明细!$F$4:$F$2003,$Z754-0)),IF($Z754&lt;=4000,"",IF($Z754&lt;=5200,"",IF($Z754&lt;=5800,"","")))))</f>
        <v/>
      </c>
      <c r="H754" s="39" t="str">
        <f>IF($Z754="","",IF($Z754&lt;=2000,IF(INDEX(包装物料出入库明细!$L$4:$L$2003,$Z754-0)=0,"",INDEX(包装物料出入库明细!$L$4:$L$2003,$Z754-0)),IF($Z754&lt;=4000,N(INDEX(周转筐出入库明细!$H$4:$H$2004,$Z754-2000))+N(INDEX(周转筐出入库明细!$I$4:$I$2004,$Z754-2000))+N(INDEX(周转筐出入库明细!$J$4:$J$2004,$Z754-2000))+N(INDEX(周转筐出入库明细!$K$4:$K$2004,$Z754-2000)),IF($Z754&lt;=5200,N(INDEX(客户自备加工筐明细!$F$4:$F$1203,$Z754-4000))+N(INDEX(客户自备加工筐明细!$G$4:$G$1203,$Z754-4000)),IF($Z754&lt;=5800,IF(INDEX(次果筐明细!$G$4:$G$603,$Z754-5200)=0,"",INDEX(次果筐明细!$G$4:$G$603,$Z754-5200)),"")))))</f>
        <v/>
      </c>
      <c r="I754" s="24" t="str">
        <f>IF($Z754="","",IF($Z754&lt;=2000,IF(INDEX(包装物料出入库明细!$G$4:$G$2003,$Z754-0)=0,"",INDEX(包装物料出入库明细!$G$4:$G$2003,$Z754-0)),IF($Z754&lt;=4000,"个",IF($Z754&lt;=5200,"个",IF($Z754&lt;=5800,"个","")))))</f>
        <v/>
      </c>
      <c r="J754" s="30" t="str">
        <f t="shared" si="34"/>
        <v/>
      </c>
      <c r="K754" s="30" t="str">
        <f>IF($Z754="","",IF($Z754&lt;=2000,IF(INDEX(包装物料出入库明细!$N$4:$N$2003,$Z754-0)=0,"",INDEX(包装物料出入库明细!$N$4:$N$2003,$Z754-0)),IF($Z754&lt;=4000,IF(INDEX(周转筐出入库明细!$P$4:$P$2004,$Z754-2000)=0,"",INDEX(周转筐出入库明细!$P$4:$P$2004,$Z754-2000)),IF($Z754&lt;=5200,"",IF($Z754&lt;=5800,N(INDEX(次果筐明细!$L$4:$L$603,$Z754-5200))+N(INDEX(次果筐明细!$J$4:$J$603,$Z754-5200)),"")))))</f>
        <v/>
      </c>
      <c r="L754" s="24" t="str">
        <f>IF($Z754="","",IF($Z754&lt;=2000,IF(INDEX(包装物料出入库明细!$P$4:$P$2003,$Z754-0)=0,"",INDEX(包装物料出入库明细!$P$4:$P$2003,$Z754-0)),IF($Z754&lt;=4000,IF(INDEX(周转筐出入库明细!$Q$4:$Q$2004,$Z754-2000)=0,"",INDEX(周转筐出入库明细!$Q$4:$Q$2004,$Z754-2000)),IF($Z754&lt;=5200,"",IF($Z754&lt;=5800,IF(INDEX(次果筐明细!$M$4:$M$603,$Z754-5200)=0,"",INDEX(次果筐明细!$M$4:$M$603,$Z754-5200)),"")))))</f>
        <v/>
      </c>
      <c r="M754" s="37" t="str">
        <f>IF($Z754="","",IF($Z754&lt;=2000,IF(INDEX(包装物料出入库明细!$R$4:$R$2003,$Z754-0)=0,"",INDEX(包装物料出入库明细!$R$4:$R$2003,$Z754-0)),IF($Z754&lt;=4000,IF(INDEX(周转筐出入库明细!$W$4:$W$2004,$Z754-2000)=0,"",INDEX(周转筐出入库明细!$W$4:$W$2004,$Z754-2000)),IF($Z754&lt;=5200,IF(INDEX(客户自备加工筐明细!$L$4:$L$1203,$Z754-4000)=0,"",INDEX(客户自备加工筐明细!$L$4:$L$1203,$Z754-4000)),IF($Z754&lt;=5800,IF(INDEX(次果筐明细!$P$4:$P$603,$Z754-5200)=0,"",INDEX(次果筐明细!$P$4:$P$603,$Z754-5200)),"")))))</f>
        <v/>
      </c>
      <c r="N754" s="16" t="str">
        <f>IF($Z754="","",IF($Z754&lt;=2000,"",IF($Z754&lt;=4000,IF(INDEX(周转筐出入库明细!$D$4:$D$2004,$Z754-2000)=0,"",INDEX(周转筐出入库明细!$D$4:$D$2004,$Z754-2000)),IF($Z754&lt;=5200,IF(INDEX(客户自备加工筐明细!$C$4:$C$1203,$Z754-4000)=0,"",INDEX(客户自备加工筐明细!$C$4:$C$1203,$Z754-4000)),IF($Z754&lt;=5800,IF(INDEX(次果筐明细!$D$4:$D$603,$Z754-5200)=0,"",INDEX(次果筐明细!$D$4:$D$603,$Z754-5200)),"")))))</f>
        <v/>
      </c>
      <c r="O754" s="40" t="str">
        <f>IF($Z754="","",IF($Z754&lt;=2000,"",IF($Z754&lt;=4000,IF(N(INDEX(周转筐出入库明细!$J$4:$J$2004,$Z754-2000))+N(INDEX(周转筐出入库明细!$K$4:$K$2004,$Z754-2000))=0,"",N(INDEX(周转筐出入库明细!$J$4:$J$2004,$Z754-2000))+N(INDEX(周转筐出入库明细!$K$4:$K$2004,$Z754-2000))),IF($Z754&lt;=5200,IF(N(INDEX(客户自备加工筐明细!$G$4:$G$1203,$Z754-4000))=0,"",N(INDEX(客户自备加工筐明细!$G$4:$G$1203,$Z754-4000))),IF($Z754&lt;=5800,IF(ISNUMBER(SEARCH("退",INDEX(次果筐明细!$F$4:$F$603,$Z754-5200)&amp;"")),"",IF(N(INDEX(次果筐明细!$G$4:$G$603,$Z754-5200))=0,"",N(INDEX(次果筐明细!$G$4:$G$603,$Z754-5200)))),"")))))</f>
        <v/>
      </c>
      <c r="P754" s="40" t="str">
        <f>IF($Z754="","",IF($Z754&lt;=2000,"",IF($Z754&lt;=4000,IF(N(INDEX(周转筐出入库明细!$I$4:$I$2004,$Z754-2000))=0,"",N(INDEX(周转筐出入库明细!$I$4:$I$2004,$Z754-2000))),IF($Z754&lt;=5200,"",IF($Z754&lt;=5800,IF(ISNUMBER(SEARCH("退",INDEX(次果筐明细!$F$4:$F$603,$Z754-5200)&amp;"")),IF(N(INDEX(次果筐明细!$G$4:$G$603,$Z754-5200))=0,"",N(INDEX(次果筐明细!$G$4:$G$603,$Z754-5200))),""),"")))))</f>
        <v/>
      </c>
      <c r="Q754" s="40" t="str">
        <f>IF($Z754="","",IF($Z754&lt;=2000,"",IF($Z754&lt;=4000,IF(N(INDEX(周转筐出入库明细!$H$4:$H$2004,$Z754-2000))=0,"",N(INDEX(周转筐出入库明细!$H$4:$H$2004,$Z754-2000))),IF($Z754&lt;=5200,IF(N(INDEX(客户自备加工筐明细!$F$4:$F$1203,$Z754-4000))=0,"",N(INDEX(客户自备加工筐明细!$F$4:$F$1203,$Z754-4000))),IF($Z754&lt;=5800,"","")))))</f>
        <v/>
      </c>
      <c r="R754" s="16" t="str">
        <f>IF($Z754="","",IF($Z754&lt;=2000,IF(INDEX(包装物料出入库明细!$O$4:$O$2003,$Z754-0)=0,"",INDEX(包装物料出入库明细!$O$4:$O$2003,$Z754-0)),IF($Z754&lt;=4000,IF(INDEX(周转筐出入库明细!$M$4:$M$2004,$Z754-2000)=0,"",INDEX(周转筐出入库明细!$M$4:$M$2004,$Z754-2000)),IF($Z754&lt;=5200,IF(INDEX(客户自备加工筐明细!$H$4:$H$1203,$Z754-4000)=0,"",INDEX(客户自备加工筐明细!$H$4:$H$1203,$Z754-4000)),IF($Z754&lt;=5800,IF(INDEX(次果筐明细!$H$4:$H$603,$Z754-5200)=0,"",INDEX(次果筐明细!$H$4:$H$603,$Z754-5200)),"")))))</f>
        <v/>
      </c>
      <c r="S754" s="22" t="str">
        <f t="shared" si="35"/>
        <v/>
      </c>
      <c r="Z754" s="10" t="str">
        <f>IFERROR(MATCH(ROW()-3,_自动清单!$CQ$4:$CQ$5803,0),"")</f>
        <v/>
      </c>
    </row>
    <row r="755" spans="1:26">
      <c r="A755" s="24" t="str">
        <f t="shared" si="33"/>
        <v/>
      </c>
      <c r="B755" s="38" t="str">
        <f>IF($Z755="","",IF($Z755&lt;=2000,IF(INDEX(包装物料出入库明细!$B$4:$B$2003,$Z755-0)=0,"",INDEX(包装物料出入库明细!$B$4:$B$2003,$Z755-0)),IF($Z755&lt;=4000,IF(INDEX(周转筐出入库明细!$B$4:$B$2004,$Z755-2000)=0,"",INDEX(周转筐出入库明细!$B$4:$B$2004,$Z755-2000)),IF($Z755&lt;=5200,IF(INDEX(客户自备加工筐明细!$B$4:$B$1203,$Z755-4000)=0,"",INDEX(客户自备加工筐明细!$B$4:$B$1203,$Z755-4000)),IF($Z755&lt;=5800,IF(INDEX(次果筐明细!$B$4:$B$603,$Z755-5200)=0,"",INDEX(次果筐明细!$B$4:$B$603,$Z755-5200)),"")))))</f>
        <v/>
      </c>
      <c r="C755" s="37" t="str">
        <f>IF($Z755="","",IF($Z755&lt;=2000,IF(INDEX(包装物料出入库明细!$D$4:$D$2003,$Z755-0)=0,"",INDEX(包装物料出入库明细!$D$4:$D$2003,$Z755-0)),IF($Z755&lt;=4000,IF(INDEX(周转筐出入库明细!$C$4:$C$2004,$Z755-2000)=0,"",INDEX(周转筐出入库明细!$C$4:$C$2004,$Z755-2000)),IF($Z755&lt;=5200,IF(INDEX(客户自备加工筐明细!$E$4:$E$1203,$Z755-4000)=0,"",INDEX(客户自备加工筐明细!$E$4:$E$1203,$Z755-4000)),IF($Z755&lt;=5800,IF(INDEX(次果筐明细!$C$4:$C$603,$Z755-5200)=0,"",INDEX(次果筐明细!$C$4:$C$603,$Z755-5200)),"")))))</f>
        <v/>
      </c>
      <c r="D755" s="37" t="str">
        <f>IF($Z755="","",IF($Z755&lt;=2000,"包装物料－"&amp;INDEX(包装物料出入库明细!$H$4:$H$2003,$Z755-0),IF($Z755&lt;=4000,"周转筐－"&amp;INDEX(周转筐出入库明细!$F$4:$F$2004,$Z755-2000),IF($Z755&lt;=5200,"客户自备筐－"&amp;INDEX(客户自备加工筐明细!$J$4:$J$1203,$Z755-4000),IF($Z755&lt;=5800,"次果筐/托盘－"&amp;INDEX(次果筐明细!$F$4:$F$603,$Z755-5200),"")))))</f>
        <v/>
      </c>
      <c r="E755" s="24" t="str">
        <f>IF($Z755="","",IF($Z755&lt;=2000,IF(INDEX(包装物料出入库明细!$C$4:$C$2003,$Z755-0)=0,"",INDEX(包装物料出入库明细!$C$4:$C$2003,$Z755-0)),IF($Z755&lt;=4000,IF(INDEX(周转筐出入库明细!$E$4:$E$2004,$Z755-2000)=0,"",INDEX(周转筐出入库明细!$E$4:$E$2004,$Z755-2000)),IF($Z755&lt;=5200,IF(INDEX(客户自备加工筐明细!$D$4:$D$1203,$Z755-4000)=0,"",INDEX(客户自备加工筐明细!$D$4:$D$1203,$Z755-4000)),IF($Z755&lt;=5800,IF(INDEX(次果筐明细!$E$4:$E$603,$Z755-5200)=0,"",INDEX(次果筐明细!$E$4:$E$603,$Z755-5200)),"")))))</f>
        <v/>
      </c>
      <c r="F755" s="24" t="str">
        <f>IF($Z755="","",IF($Z755&lt;=2000,IF(INDEX(包装物料出入库明细!$E$4:$E$2003,$Z755-0)=0,"",INDEX(包装物料出入库明细!$E$4:$E$2003,$Z755-0)),IF($Z755&lt;=4000,IF(INDEX(周转筐出入库明细!$D$4:$D$2004,$Z755-2000)=0,"",INDEX(周转筐出入库明细!$D$4:$D$2004,$Z755-2000)),IF($Z755&lt;=5200,IF(INDEX(客户自备加工筐明细!$C$4:$C$1203,$Z755-4000)=0,"",INDEX(客户自备加工筐明细!$C$4:$C$1203,$Z755-4000)),IF($Z755&lt;=5800,IF(INDEX(次果筐明细!$D$4:$D$603,$Z755-5200)=0,"",INDEX(次果筐明细!$D$4:$D$603,$Z755-5200)),"")))))</f>
        <v/>
      </c>
      <c r="G755" s="24" t="str">
        <f>IF($Z755="","",IF($Z755&lt;=2000,IF(INDEX(包装物料出入库明细!$F$4:$F$2003,$Z755-0)=0,"",INDEX(包装物料出入库明细!$F$4:$F$2003,$Z755-0)),IF($Z755&lt;=4000,"",IF($Z755&lt;=5200,"",IF($Z755&lt;=5800,"","")))))</f>
        <v/>
      </c>
      <c r="H755" s="39" t="str">
        <f>IF($Z755="","",IF($Z755&lt;=2000,IF(INDEX(包装物料出入库明细!$L$4:$L$2003,$Z755-0)=0,"",INDEX(包装物料出入库明细!$L$4:$L$2003,$Z755-0)),IF($Z755&lt;=4000,N(INDEX(周转筐出入库明细!$H$4:$H$2004,$Z755-2000))+N(INDEX(周转筐出入库明细!$I$4:$I$2004,$Z755-2000))+N(INDEX(周转筐出入库明细!$J$4:$J$2004,$Z755-2000))+N(INDEX(周转筐出入库明细!$K$4:$K$2004,$Z755-2000)),IF($Z755&lt;=5200,N(INDEX(客户自备加工筐明细!$F$4:$F$1203,$Z755-4000))+N(INDEX(客户自备加工筐明细!$G$4:$G$1203,$Z755-4000)),IF($Z755&lt;=5800,IF(INDEX(次果筐明细!$G$4:$G$603,$Z755-5200)=0,"",INDEX(次果筐明细!$G$4:$G$603,$Z755-5200)),"")))))</f>
        <v/>
      </c>
      <c r="I755" s="24" t="str">
        <f>IF($Z755="","",IF($Z755&lt;=2000,IF(INDEX(包装物料出入库明细!$G$4:$G$2003,$Z755-0)=0,"",INDEX(包装物料出入库明细!$G$4:$G$2003,$Z755-0)),IF($Z755&lt;=4000,"个",IF($Z755&lt;=5200,"个",IF($Z755&lt;=5800,"个","")))))</f>
        <v/>
      </c>
      <c r="J755" s="30" t="str">
        <f t="shared" si="34"/>
        <v/>
      </c>
      <c r="K755" s="30" t="str">
        <f>IF($Z755="","",IF($Z755&lt;=2000,IF(INDEX(包装物料出入库明细!$N$4:$N$2003,$Z755-0)=0,"",INDEX(包装物料出入库明细!$N$4:$N$2003,$Z755-0)),IF($Z755&lt;=4000,IF(INDEX(周转筐出入库明细!$P$4:$P$2004,$Z755-2000)=0,"",INDEX(周转筐出入库明细!$P$4:$P$2004,$Z755-2000)),IF($Z755&lt;=5200,"",IF($Z755&lt;=5800,N(INDEX(次果筐明细!$L$4:$L$603,$Z755-5200))+N(INDEX(次果筐明细!$J$4:$J$603,$Z755-5200)),"")))))</f>
        <v/>
      </c>
      <c r="L755" s="24" t="str">
        <f>IF($Z755="","",IF($Z755&lt;=2000,IF(INDEX(包装物料出入库明细!$P$4:$P$2003,$Z755-0)=0,"",INDEX(包装物料出入库明细!$P$4:$P$2003,$Z755-0)),IF($Z755&lt;=4000,IF(INDEX(周转筐出入库明细!$Q$4:$Q$2004,$Z755-2000)=0,"",INDEX(周转筐出入库明细!$Q$4:$Q$2004,$Z755-2000)),IF($Z755&lt;=5200,"",IF($Z755&lt;=5800,IF(INDEX(次果筐明细!$M$4:$M$603,$Z755-5200)=0,"",INDEX(次果筐明细!$M$4:$M$603,$Z755-5200)),"")))))</f>
        <v/>
      </c>
      <c r="M755" s="37" t="str">
        <f>IF($Z755="","",IF($Z755&lt;=2000,IF(INDEX(包装物料出入库明细!$R$4:$R$2003,$Z755-0)=0,"",INDEX(包装物料出入库明细!$R$4:$R$2003,$Z755-0)),IF($Z755&lt;=4000,IF(INDEX(周转筐出入库明细!$W$4:$W$2004,$Z755-2000)=0,"",INDEX(周转筐出入库明细!$W$4:$W$2004,$Z755-2000)),IF($Z755&lt;=5200,IF(INDEX(客户自备加工筐明细!$L$4:$L$1203,$Z755-4000)=0,"",INDEX(客户自备加工筐明细!$L$4:$L$1203,$Z755-4000)),IF($Z755&lt;=5800,IF(INDEX(次果筐明细!$P$4:$P$603,$Z755-5200)=0,"",INDEX(次果筐明细!$P$4:$P$603,$Z755-5200)),"")))))</f>
        <v/>
      </c>
      <c r="N755" s="16" t="str">
        <f>IF($Z755="","",IF($Z755&lt;=2000,"",IF($Z755&lt;=4000,IF(INDEX(周转筐出入库明细!$D$4:$D$2004,$Z755-2000)=0,"",INDEX(周转筐出入库明细!$D$4:$D$2004,$Z755-2000)),IF($Z755&lt;=5200,IF(INDEX(客户自备加工筐明细!$C$4:$C$1203,$Z755-4000)=0,"",INDEX(客户自备加工筐明细!$C$4:$C$1203,$Z755-4000)),IF($Z755&lt;=5800,IF(INDEX(次果筐明细!$D$4:$D$603,$Z755-5200)=0,"",INDEX(次果筐明细!$D$4:$D$603,$Z755-5200)),"")))))</f>
        <v/>
      </c>
      <c r="O755" s="40" t="str">
        <f>IF($Z755="","",IF($Z755&lt;=2000,"",IF($Z755&lt;=4000,IF(N(INDEX(周转筐出入库明细!$J$4:$J$2004,$Z755-2000))+N(INDEX(周转筐出入库明细!$K$4:$K$2004,$Z755-2000))=0,"",N(INDEX(周转筐出入库明细!$J$4:$J$2004,$Z755-2000))+N(INDEX(周转筐出入库明细!$K$4:$K$2004,$Z755-2000))),IF($Z755&lt;=5200,IF(N(INDEX(客户自备加工筐明细!$G$4:$G$1203,$Z755-4000))=0,"",N(INDEX(客户自备加工筐明细!$G$4:$G$1203,$Z755-4000))),IF($Z755&lt;=5800,IF(ISNUMBER(SEARCH("退",INDEX(次果筐明细!$F$4:$F$603,$Z755-5200)&amp;"")),"",IF(N(INDEX(次果筐明细!$G$4:$G$603,$Z755-5200))=0,"",N(INDEX(次果筐明细!$G$4:$G$603,$Z755-5200)))),"")))))</f>
        <v/>
      </c>
      <c r="P755" s="40" t="str">
        <f>IF($Z755="","",IF($Z755&lt;=2000,"",IF($Z755&lt;=4000,IF(N(INDEX(周转筐出入库明细!$I$4:$I$2004,$Z755-2000))=0,"",N(INDEX(周转筐出入库明细!$I$4:$I$2004,$Z755-2000))),IF($Z755&lt;=5200,"",IF($Z755&lt;=5800,IF(ISNUMBER(SEARCH("退",INDEX(次果筐明细!$F$4:$F$603,$Z755-5200)&amp;"")),IF(N(INDEX(次果筐明细!$G$4:$G$603,$Z755-5200))=0,"",N(INDEX(次果筐明细!$G$4:$G$603,$Z755-5200))),""),"")))))</f>
        <v/>
      </c>
      <c r="Q755" s="40" t="str">
        <f>IF($Z755="","",IF($Z755&lt;=2000,"",IF($Z755&lt;=4000,IF(N(INDEX(周转筐出入库明细!$H$4:$H$2004,$Z755-2000))=0,"",N(INDEX(周转筐出入库明细!$H$4:$H$2004,$Z755-2000))),IF($Z755&lt;=5200,IF(N(INDEX(客户自备加工筐明细!$F$4:$F$1203,$Z755-4000))=0,"",N(INDEX(客户自备加工筐明细!$F$4:$F$1203,$Z755-4000))),IF($Z755&lt;=5800,"","")))))</f>
        <v/>
      </c>
      <c r="R755" s="16" t="str">
        <f>IF($Z755="","",IF($Z755&lt;=2000,IF(INDEX(包装物料出入库明细!$O$4:$O$2003,$Z755-0)=0,"",INDEX(包装物料出入库明细!$O$4:$O$2003,$Z755-0)),IF($Z755&lt;=4000,IF(INDEX(周转筐出入库明细!$M$4:$M$2004,$Z755-2000)=0,"",INDEX(周转筐出入库明细!$M$4:$M$2004,$Z755-2000)),IF($Z755&lt;=5200,IF(INDEX(客户自备加工筐明细!$H$4:$H$1203,$Z755-4000)=0,"",INDEX(客户自备加工筐明细!$H$4:$H$1203,$Z755-4000)),IF($Z755&lt;=5800,IF(INDEX(次果筐明细!$H$4:$H$603,$Z755-5200)=0,"",INDEX(次果筐明细!$H$4:$H$603,$Z755-5200)),"")))))</f>
        <v/>
      </c>
      <c r="S755" s="22" t="str">
        <f t="shared" si="35"/>
        <v/>
      </c>
      <c r="Z755" s="10" t="str">
        <f>IFERROR(MATCH(ROW()-3,_自动清单!$CQ$4:$CQ$5803,0),"")</f>
        <v/>
      </c>
    </row>
    <row r="756" spans="1:26">
      <c r="A756" s="24" t="str">
        <f t="shared" si="33"/>
        <v/>
      </c>
      <c r="B756" s="38" t="str">
        <f>IF($Z756="","",IF($Z756&lt;=2000,IF(INDEX(包装物料出入库明细!$B$4:$B$2003,$Z756-0)=0,"",INDEX(包装物料出入库明细!$B$4:$B$2003,$Z756-0)),IF($Z756&lt;=4000,IF(INDEX(周转筐出入库明细!$B$4:$B$2004,$Z756-2000)=0,"",INDEX(周转筐出入库明细!$B$4:$B$2004,$Z756-2000)),IF($Z756&lt;=5200,IF(INDEX(客户自备加工筐明细!$B$4:$B$1203,$Z756-4000)=0,"",INDEX(客户自备加工筐明细!$B$4:$B$1203,$Z756-4000)),IF($Z756&lt;=5800,IF(INDEX(次果筐明细!$B$4:$B$603,$Z756-5200)=0,"",INDEX(次果筐明细!$B$4:$B$603,$Z756-5200)),"")))))</f>
        <v/>
      </c>
      <c r="C756" s="37" t="str">
        <f>IF($Z756="","",IF($Z756&lt;=2000,IF(INDEX(包装物料出入库明细!$D$4:$D$2003,$Z756-0)=0,"",INDEX(包装物料出入库明细!$D$4:$D$2003,$Z756-0)),IF($Z756&lt;=4000,IF(INDEX(周转筐出入库明细!$C$4:$C$2004,$Z756-2000)=0,"",INDEX(周转筐出入库明细!$C$4:$C$2004,$Z756-2000)),IF($Z756&lt;=5200,IF(INDEX(客户自备加工筐明细!$E$4:$E$1203,$Z756-4000)=0,"",INDEX(客户自备加工筐明细!$E$4:$E$1203,$Z756-4000)),IF($Z756&lt;=5800,IF(INDEX(次果筐明细!$C$4:$C$603,$Z756-5200)=0,"",INDEX(次果筐明细!$C$4:$C$603,$Z756-5200)),"")))))</f>
        <v/>
      </c>
      <c r="D756" s="37" t="str">
        <f>IF($Z756="","",IF($Z756&lt;=2000,"包装物料－"&amp;INDEX(包装物料出入库明细!$H$4:$H$2003,$Z756-0),IF($Z756&lt;=4000,"周转筐－"&amp;INDEX(周转筐出入库明细!$F$4:$F$2004,$Z756-2000),IF($Z756&lt;=5200,"客户自备筐－"&amp;INDEX(客户自备加工筐明细!$J$4:$J$1203,$Z756-4000),IF($Z756&lt;=5800,"次果筐/托盘－"&amp;INDEX(次果筐明细!$F$4:$F$603,$Z756-5200),"")))))</f>
        <v/>
      </c>
      <c r="E756" s="24" t="str">
        <f>IF($Z756="","",IF($Z756&lt;=2000,IF(INDEX(包装物料出入库明细!$C$4:$C$2003,$Z756-0)=0,"",INDEX(包装物料出入库明细!$C$4:$C$2003,$Z756-0)),IF($Z756&lt;=4000,IF(INDEX(周转筐出入库明细!$E$4:$E$2004,$Z756-2000)=0,"",INDEX(周转筐出入库明细!$E$4:$E$2004,$Z756-2000)),IF($Z756&lt;=5200,IF(INDEX(客户自备加工筐明细!$D$4:$D$1203,$Z756-4000)=0,"",INDEX(客户自备加工筐明细!$D$4:$D$1203,$Z756-4000)),IF($Z756&lt;=5800,IF(INDEX(次果筐明细!$E$4:$E$603,$Z756-5200)=0,"",INDEX(次果筐明细!$E$4:$E$603,$Z756-5200)),"")))))</f>
        <v/>
      </c>
      <c r="F756" s="24" t="str">
        <f>IF($Z756="","",IF($Z756&lt;=2000,IF(INDEX(包装物料出入库明细!$E$4:$E$2003,$Z756-0)=0,"",INDEX(包装物料出入库明细!$E$4:$E$2003,$Z756-0)),IF($Z756&lt;=4000,IF(INDEX(周转筐出入库明细!$D$4:$D$2004,$Z756-2000)=0,"",INDEX(周转筐出入库明细!$D$4:$D$2004,$Z756-2000)),IF($Z756&lt;=5200,IF(INDEX(客户自备加工筐明细!$C$4:$C$1203,$Z756-4000)=0,"",INDEX(客户自备加工筐明细!$C$4:$C$1203,$Z756-4000)),IF($Z756&lt;=5800,IF(INDEX(次果筐明细!$D$4:$D$603,$Z756-5200)=0,"",INDEX(次果筐明细!$D$4:$D$603,$Z756-5200)),"")))))</f>
        <v/>
      </c>
      <c r="G756" s="24" t="str">
        <f>IF($Z756="","",IF($Z756&lt;=2000,IF(INDEX(包装物料出入库明细!$F$4:$F$2003,$Z756-0)=0,"",INDEX(包装物料出入库明细!$F$4:$F$2003,$Z756-0)),IF($Z756&lt;=4000,"",IF($Z756&lt;=5200,"",IF($Z756&lt;=5800,"","")))))</f>
        <v/>
      </c>
      <c r="H756" s="39" t="str">
        <f>IF($Z756="","",IF($Z756&lt;=2000,IF(INDEX(包装物料出入库明细!$L$4:$L$2003,$Z756-0)=0,"",INDEX(包装物料出入库明细!$L$4:$L$2003,$Z756-0)),IF($Z756&lt;=4000,N(INDEX(周转筐出入库明细!$H$4:$H$2004,$Z756-2000))+N(INDEX(周转筐出入库明细!$I$4:$I$2004,$Z756-2000))+N(INDEX(周转筐出入库明细!$J$4:$J$2004,$Z756-2000))+N(INDEX(周转筐出入库明细!$K$4:$K$2004,$Z756-2000)),IF($Z756&lt;=5200,N(INDEX(客户自备加工筐明细!$F$4:$F$1203,$Z756-4000))+N(INDEX(客户自备加工筐明细!$G$4:$G$1203,$Z756-4000)),IF($Z756&lt;=5800,IF(INDEX(次果筐明细!$G$4:$G$603,$Z756-5200)=0,"",INDEX(次果筐明细!$G$4:$G$603,$Z756-5200)),"")))))</f>
        <v/>
      </c>
      <c r="I756" s="24" t="str">
        <f>IF($Z756="","",IF($Z756&lt;=2000,IF(INDEX(包装物料出入库明细!$G$4:$G$2003,$Z756-0)=0,"",INDEX(包装物料出入库明细!$G$4:$G$2003,$Z756-0)),IF($Z756&lt;=4000,"个",IF($Z756&lt;=5200,"个",IF($Z756&lt;=5800,"个","")))))</f>
        <v/>
      </c>
      <c r="J756" s="30" t="str">
        <f t="shared" si="34"/>
        <v/>
      </c>
      <c r="K756" s="30" t="str">
        <f>IF($Z756="","",IF($Z756&lt;=2000,IF(INDEX(包装物料出入库明细!$N$4:$N$2003,$Z756-0)=0,"",INDEX(包装物料出入库明细!$N$4:$N$2003,$Z756-0)),IF($Z756&lt;=4000,IF(INDEX(周转筐出入库明细!$P$4:$P$2004,$Z756-2000)=0,"",INDEX(周转筐出入库明细!$P$4:$P$2004,$Z756-2000)),IF($Z756&lt;=5200,"",IF($Z756&lt;=5800,N(INDEX(次果筐明细!$L$4:$L$603,$Z756-5200))+N(INDEX(次果筐明细!$J$4:$J$603,$Z756-5200)),"")))))</f>
        <v/>
      </c>
      <c r="L756" s="24" t="str">
        <f>IF($Z756="","",IF($Z756&lt;=2000,IF(INDEX(包装物料出入库明细!$P$4:$P$2003,$Z756-0)=0,"",INDEX(包装物料出入库明细!$P$4:$P$2003,$Z756-0)),IF($Z756&lt;=4000,IF(INDEX(周转筐出入库明细!$Q$4:$Q$2004,$Z756-2000)=0,"",INDEX(周转筐出入库明细!$Q$4:$Q$2004,$Z756-2000)),IF($Z756&lt;=5200,"",IF($Z756&lt;=5800,IF(INDEX(次果筐明细!$M$4:$M$603,$Z756-5200)=0,"",INDEX(次果筐明细!$M$4:$M$603,$Z756-5200)),"")))))</f>
        <v/>
      </c>
      <c r="M756" s="37" t="str">
        <f>IF($Z756="","",IF($Z756&lt;=2000,IF(INDEX(包装物料出入库明细!$R$4:$R$2003,$Z756-0)=0,"",INDEX(包装物料出入库明细!$R$4:$R$2003,$Z756-0)),IF($Z756&lt;=4000,IF(INDEX(周转筐出入库明细!$W$4:$W$2004,$Z756-2000)=0,"",INDEX(周转筐出入库明细!$W$4:$W$2004,$Z756-2000)),IF($Z756&lt;=5200,IF(INDEX(客户自备加工筐明细!$L$4:$L$1203,$Z756-4000)=0,"",INDEX(客户自备加工筐明细!$L$4:$L$1203,$Z756-4000)),IF($Z756&lt;=5800,IF(INDEX(次果筐明细!$P$4:$P$603,$Z756-5200)=0,"",INDEX(次果筐明细!$P$4:$P$603,$Z756-5200)),"")))))</f>
        <v/>
      </c>
      <c r="N756" s="16" t="str">
        <f>IF($Z756="","",IF($Z756&lt;=2000,"",IF($Z756&lt;=4000,IF(INDEX(周转筐出入库明细!$D$4:$D$2004,$Z756-2000)=0,"",INDEX(周转筐出入库明细!$D$4:$D$2004,$Z756-2000)),IF($Z756&lt;=5200,IF(INDEX(客户自备加工筐明细!$C$4:$C$1203,$Z756-4000)=0,"",INDEX(客户自备加工筐明细!$C$4:$C$1203,$Z756-4000)),IF($Z756&lt;=5800,IF(INDEX(次果筐明细!$D$4:$D$603,$Z756-5200)=0,"",INDEX(次果筐明细!$D$4:$D$603,$Z756-5200)),"")))))</f>
        <v/>
      </c>
      <c r="O756" s="40" t="str">
        <f>IF($Z756="","",IF($Z756&lt;=2000,"",IF($Z756&lt;=4000,IF(N(INDEX(周转筐出入库明细!$J$4:$J$2004,$Z756-2000))+N(INDEX(周转筐出入库明细!$K$4:$K$2004,$Z756-2000))=0,"",N(INDEX(周转筐出入库明细!$J$4:$J$2004,$Z756-2000))+N(INDEX(周转筐出入库明细!$K$4:$K$2004,$Z756-2000))),IF($Z756&lt;=5200,IF(N(INDEX(客户自备加工筐明细!$G$4:$G$1203,$Z756-4000))=0,"",N(INDEX(客户自备加工筐明细!$G$4:$G$1203,$Z756-4000))),IF($Z756&lt;=5800,IF(ISNUMBER(SEARCH("退",INDEX(次果筐明细!$F$4:$F$603,$Z756-5200)&amp;"")),"",IF(N(INDEX(次果筐明细!$G$4:$G$603,$Z756-5200))=0,"",N(INDEX(次果筐明细!$G$4:$G$603,$Z756-5200)))),"")))))</f>
        <v/>
      </c>
      <c r="P756" s="40" t="str">
        <f>IF($Z756="","",IF($Z756&lt;=2000,"",IF($Z756&lt;=4000,IF(N(INDEX(周转筐出入库明细!$I$4:$I$2004,$Z756-2000))=0,"",N(INDEX(周转筐出入库明细!$I$4:$I$2004,$Z756-2000))),IF($Z756&lt;=5200,"",IF($Z756&lt;=5800,IF(ISNUMBER(SEARCH("退",INDEX(次果筐明细!$F$4:$F$603,$Z756-5200)&amp;"")),IF(N(INDEX(次果筐明细!$G$4:$G$603,$Z756-5200))=0,"",N(INDEX(次果筐明细!$G$4:$G$603,$Z756-5200))),""),"")))))</f>
        <v/>
      </c>
      <c r="Q756" s="40" t="str">
        <f>IF($Z756="","",IF($Z756&lt;=2000,"",IF($Z756&lt;=4000,IF(N(INDEX(周转筐出入库明细!$H$4:$H$2004,$Z756-2000))=0,"",N(INDEX(周转筐出入库明细!$H$4:$H$2004,$Z756-2000))),IF($Z756&lt;=5200,IF(N(INDEX(客户自备加工筐明细!$F$4:$F$1203,$Z756-4000))=0,"",N(INDEX(客户自备加工筐明细!$F$4:$F$1203,$Z756-4000))),IF($Z756&lt;=5800,"","")))))</f>
        <v/>
      </c>
      <c r="R756" s="16" t="str">
        <f>IF($Z756="","",IF($Z756&lt;=2000,IF(INDEX(包装物料出入库明细!$O$4:$O$2003,$Z756-0)=0,"",INDEX(包装物料出入库明细!$O$4:$O$2003,$Z756-0)),IF($Z756&lt;=4000,IF(INDEX(周转筐出入库明细!$M$4:$M$2004,$Z756-2000)=0,"",INDEX(周转筐出入库明细!$M$4:$M$2004,$Z756-2000)),IF($Z756&lt;=5200,IF(INDEX(客户自备加工筐明细!$H$4:$H$1203,$Z756-4000)=0,"",INDEX(客户自备加工筐明细!$H$4:$H$1203,$Z756-4000)),IF($Z756&lt;=5800,IF(INDEX(次果筐明细!$H$4:$H$603,$Z756-5200)=0,"",INDEX(次果筐明细!$H$4:$H$603,$Z756-5200)),"")))))</f>
        <v/>
      </c>
      <c r="S756" s="22" t="str">
        <f t="shared" si="35"/>
        <v/>
      </c>
      <c r="Z756" s="10" t="str">
        <f>IFERROR(MATCH(ROW()-3,_自动清单!$CQ$4:$CQ$5803,0),"")</f>
        <v/>
      </c>
    </row>
    <row r="757" spans="1:26">
      <c r="A757" s="24" t="str">
        <f t="shared" si="33"/>
        <v/>
      </c>
      <c r="B757" s="38" t="str">
        <f>IF($Z757="","",IF($Z757&lt;=2000,IF(INDEX(包装物料出入库明细!$B$4:$B$2003,$Z757-0)=0,"",INDEX(包装物料出入库明细!$B$4:$B$2003,$Z757-0)),IF($Z757&lt;=4000,IF(INDEX(周转筐出入库明细!$B$4:$B$2004,$Z757-2000)=0,"",INDEX(周转筐出入库明细!$B$4:$B$2004,$Z757-2000)),IF($Z757&lt;=5200,IF(INDEX(客户自备加工筐明细!$B$4:$B$1203,$Z757-4000)=0,"",INDEX(客户自备加工筐明细!$B$4:$B$1203,$Z757-4000)),IF($Z757&lt;=5800,IF(INDEX(次果筐明细!$B$4:$B$603,$Z757-5200)=0,"",INDEX(次果筐明细!$B$4:$B$603,$Z757-5200)),"")))))</f>
        <v/>
      </c>
      <c r="C757" s="37" t="str">
        <f>IF($Z757="","",IF($Z757&lt;=2000,IF(INDEX(包装物料出入库明细!$D$4:$D$2003,$Z757-0)=0,"",INDEX(包装物料出入库明细!$D$4:$D$2003,$Z757-0)),IF($Z757&lt;=4000,IF(INDEX(周转筐出入库明细!$C$4:$C$2004,$Z757-2000)=0,"",INDEX(周转筐出入库明细!$C$4:$C$2004,$Z757-2000)),IF($Z757&lt;=5200,IF(INDEX(客户自备加工筐明细!$E$4:$E$1203,$Z757-4000)=0,"",INDEX(客户自备加工筐明细!$E$4:$E$1203,$Z757-4000)),IF($Z757&lt;=5800,IF(INDEX(次果筐明细!$C$4:$C$603,$Z757-5200)=0,"",INDEX(次果筐明细!$C$4:$C$603,$Z757-5200)),"")))))</f>
        <v/>
      </c>
      <c r="D757" s="37" t="str">
        <f>IF($Z757="","",IF($Z757&lt;=2000,"包装物料－"&amp;INDEX(包装物料出入库明细!$H$4:$H$2003,$Z757-0),IF($Z757&lt;=4000,"周转筐－"&amp;INDEX(周转筐出入库明细!$F$4:$F$2004,$Z757-2000),IF($Z757&lt;=5200,"客户自备筐－"&amp;INDEX(客户自备加工筐明细!$J$4:$J$1203,$Z757-4000),IF($Z757&lt;=5800,"次果筐/托盘－"&amp;INDEX(次果筐明细!$F$4:$F$603,$Z757-5200),"")))))</f>
        <v/>
      </c>
      <c r="E757" s="24" t="str">
        <f>IF($Z757="","",IF($Z757&lt;=2000,IF(INDEX(包装物料出入库明细!$C$4:$C$2003,$Z757-0)=0,"",INDEX(包装物料出入库明细!$C$4:$C$2003,$Z757-0)),IF($Z757&lt;=4000,IF(INDEX(周转筐出入库明细!$E$4:$E$2004,$Z757-2000)=0,"",INDEX(周转筐出入库明细!$E$4:$E$2004,$Z757-2000)),IF($Z757&lt;=5200,IF(INDEX(客户自备加工筐明细!$D$4:$D$1203,$Z757-4000)=0,"",INDEX(客户自备加工筐明细!$D$4:$D$1203,$Z757-4000)),IF($Z757&lt;=5800,IF(INDEX(次果筐明细!$E$4:$E$603,$Z757-5200)=0,"",INDEX(次果筐明细!$E$4:$E$603,$Z757-5200)),"")))))</f>
        <v/>
      </c>
      <c r="F757" s="24" t="str">
        <f>IF($Z757="","",IF($Z757&lt;=2000,IF(INDEX(包装物料出入库明细!$E$4:$E$2003,$Z757-0)=0,"",INDEX(包装物料出入库明细!$E$4:$E$2003,$Z757-0)),IF($Z757&lt;=4000,IF(INDEX(周转筐出入库明细!$D$4:$D$2004,$Z757-2000)=0,"",INDEX(周转筐出入库明细!$D$4:$D$2004,$Z757-2000)),IF($Z757&lt;=5200,IF(INDEX(客户自备加工筐明细!$C$4:$C$1203,$Z757-4000)=0,"",INDEX(客户自备加工筐明细!$C$4:$C$1203,$Z757-4000)),IF($Z757&lt;=5800,IF(INDEX(次果筐明细!$D$4:$D$603,$Z757-5200)=0,"",INDEX(次果筐明细!$D$4:$D$603,$Z757-5200)),"")))))</f>
        <v/>
      </c>
      <c r="G757" s="24" t="str">
        <f>IF($Z757="","",IF($Z757&lt;=2000,IF(INDEX(包装物料出入库明细!$F$4:$F$2003,$Z757-0)=0,"",INDEX(包装物料出入库明细!$F$4:$F$2003,$Z757-0)),IF($Z757&lt;=4000,"",IF($Z757&lt;=5200,"",IF($Z757&lt;=5800,"","")))))</f>
        <v/>
      </c>
      <c r="H757" s="39" t="str">
        <f>IF($Z757="","",IF($Z757&lt;=2000,IF(INDEX(包装物料出入库明细!$L$4:$L$2003,$Z757-0)=0,"",INDEX(包装物料出入库明细!$L$4:$L$2003,$Z757-0)),IF($Z757&lt;=4000,N(INDEX(周转筐出入库明细!$H$4:$H$2004,$Z757-2000))+N(INDEX(周转筐出入库明细!$I$4:$I$2004,$Z757-2000))+N(INDEX(周转筐出入库明细!$J$4:$J$2004,$Z757-2000))+N(INDEX(周转筐出入库明细!$K$4:$K$2004,$Z757-2000)),IF($Z757&lt;=5200,N(INDEX(客户自备加工筐明细!$F$4:$F$1203,$Z757-4000))+N(INDEX(客户自备加工筐明细!$G$4:$G$1203,$Z757-4000)),IF($Z757&lt;=5800,IF(INDEX(次果筐明细!$G$4:$G$603,$Z757-5200)=0,"",INDEX(次果筐明细!$G$4:$G$603,$Z757-5200)),"")))))</f>
        <v/>
      </c>
      <c r="I757" s="24" t="str">
        <f>IF($Z757="","",IF($Z757&lt;=2000,IF(INDEX(包装物料出入库明细!$G$4:$G$2003,$Z757-0)=0,"",INDEX(包装物料出入库明细!$G$4:$G$2003,$Z757-0)),IF($Z757&lt;=4000,"个",IF($Z757&lt;=5200,"个",IF($Z757&lt;=5800,"个","")))))</f>
        <v/>
      </c>
      <c r="J757" s="30" t="str">
        <f t="shared" si="34"/>
        <v/>
      </c>
      <c r="K757" s="30" t="str">
        <f>IF($Z757="","",IF($Z757&lt;=2000,IF(INDEX(包装物料出入库明细!$N$4:$N$2003,$Z757-0)=0,"",INDEX(包装物料出入库明细!$N$4:$N$2003,$Z757-0)),IF($Z757&lt;=4000,IF(INDEX(周转筐出入库明细!$P$4:$P$2004,$Z757-2000)=0,"",INDEX(周转筐出入库明细!$P$4:$P$2004,$Z757-2000)),IF($Z757&lt;=5200,"",IF($Z757&lt;=5800,N(INDEX(次果筐明细!$L$4:$L$603,$Z757-5200))+N(INDEX(次果筐明细!$J$4:$J$603,$Z757-5200)),"")))))</f>
        <v/>
      </c>
      <c r="L757" s="24" t="str">
        <f>IF($Z757="","",IF($Z757&lt;=2000,IF(INDEX(包装物料出入库明细!$P$4:$P$2003,$Z757-0)=0,"",INDEX(包装物料出入库明细!$P$4:$P$2003,$Z757-0)),IF($Z757&lt;=4000,IF(INDEX(周转筐出入库明细!$Q$4:$Q$2004,$Z757-2000)=0,"",INDEX(周转筐出入库明细!$Q$4:$Q$2004,$Z757-2000)),IF($Z757&lt;=5200,"",IF($Z757&lt;=5800,IF(INDEX(次果筐明细!$M$4:$M$603,$Z757-5200)=0,"",INDEX(次果筐明细!$M$4:$M$603,$Z757-5200)),"")))))</f>
        <v/>
      </c>
      <c r="M757" s="37" t="str">
        <f>IF($Z757="","",IF($Z757&lt;=2000,IF(INDEX(包装物料出入库明细!$R$4:$R$2003,$Z757-0)=0,"",INDEX(包装物料出入库明细!$R$4:$R$2003,$Z757-0)),IF($Z757&lt;=4000,IF(INDEX(周转筐出入库明细!$W$4:$W$2004,$Z757-2000)=0,"",INDEX(周转筐出入库明细!$W$4:$W$2004,$Z757-2000)),IF($Z757&lt;=5200,IF(INDEX(客户自备加工筐明细!$L$4:$L$1203,$Z757-4000)=0,"",INDEX(客户自备加工筐明细!$L$4:$L$1203,$Z757-4000)),IF($Z757&lt;=5800,IF(INDEX(次果筐明细!$P$4:$P$603,$Z757-5200)=0,"",INDEX(次果筐明细!$P$4:$P$603,$Z757-5200)),"")))))</f>
        <v/>
      </c>
      <c r="N757" s="16" t="str">
        <f>IF($Z757="","",IF($Z757&lt;=2000,"",IF($Z757&lt;=4000,IF(INDEX(周转筐出入库明细!$D$4:$D$2004,$Z757-2000)=0,"",INDEX(周转筐出入库明细!$D$4:$D$2004,$Z757-2000)),IF($Z757&lt;=5200,IF(INDEX(客户自备加工筐明细!$C$4:$C$1203,$Z757-4000)=0,"",INDEX(客户自备加工筐明细!$C$4:$C$1203,$Z757-4000)),IF($Z757&lt;=5800,IF(INDEX(次果筐明细!$D$4:$D$603,$Z757-5200)=0,"",INDEX(次果筐明细!$D$4:$D$603,$Z757-5200)),"")))))</f>
        <v/>
      </c>
      <c r="O757" s="40" t="str">
        <f>IF($Z757="","",IF($Z757&lt;=2000,"",IF($Z757&lt;=4000,IF(N(INDEX(周转筐出入库明细!$J$4:$J$2004,$Z757-2000))+N(INDEX(周转筐出入库明细!$K$4:$K$2004,$Z757-2000))=0,"",N(INDEX(周转筐出入库明细!$J$4:$J$2004,$Z757-2000))+N(INDEX(周转筐出入库明细!$K$4:$K$2004,$Z757-2000))),IF($Z757&lt;=5200,IF(N(INDEX(客户自备加工筐明细!$G$4:$G$1203,$Z757-4000))=0,"",N(INDEX(客户自备加工筐明细!$G$4:$G$1203,$Z757-4000))),IF($Z757&lt;=5800,IF(ISNUMBER(SEARCH("退",INDEX(次果筐明细!$F$4:$F$603,$Z757-5200)&amp;"")),"",IF(N(INDEX(次果筐明细!$G$4:$G$603,$Z757-5200))=0,"",N(INDEX(次果筐明细!$G$4:$G$603,$Z757-5200)))),"")))))</f>
        <v/>
      </c>
      <c r="P757" s="40" t="str">
        <f>IF($Z757="","",IF($Z757&lt;=2000,"",IF($Z757&lt;=4000,IF(N(INDEX(周转筐出入库明细!$I$4:$I$2004,$Z757-2000))=0,"",N(INDEX(周转筐出入库明细!$I$4:$I$2004,$Z757-2000))),IF($Z757&lt;=5200,"",IF($Z757&lt;=5800,IF(ISNUMBER(SEARCH("退",INDEX(次果筐明细!$F$4:$F$603,$Z757-5200)&amp;"")),IF(N(INDEX(次果筐明细!$G$4:$G$603,$Z757-5200))=0,"",N(INDEX(次果筐明细!$G$4:$G$603,$Z757-5200))),""),"")))))</f>
        <v/>
      </c>
      <c r="Q757" s="40" t="str">
        <f>IF($Z757="","",IF($Z757&lt;=2000,"",IF($Z757&lt;=4000,IF(N(INDEX(周转筐出入库明细!$H$4:$H$2004,$Z757-2000))=0,"",N(INDEX(周转筐出入库明细!$H$4:$H$2004,$Z757-2000))),IF($Z757&lt;=5200,IF(N(INDEX(客户自备加工筐明细!$F$4:$F$1203,$Z757-4000))=0,"",N(INDEX(客户自备加工筐明细!$F$4:$F$1203,$Z757-4000))),IF($Z757&lt;=5800,"","")))))</f>
        <v/>
      </c>
      <c r="R757" s="16" t="str">
        <f>IF($Z757="","",IF($Z757&lt;=2000,IF(INDEX(包装物料出入库明细!$O$4:$O$2003,$Z757-0)=0,"",INDEX(包装物料出入库明细!$O$4:$O$2003,$Z757-0)),IF($Z757&lt;=4000,IF(INDEX(周转筐出入库明细!$M$4:$M$2004,$Z757-2000)=0,"",INDEX(周转筐出入库明细!$M$4:$M$2004,$Z757-2000)),IF($Z757&lt;=5200,IF(INDEX(客户自备加工筐明细!$H$4:$H$1203,$Z757-4000)=0,"",INDEX(客户自备加工筐明细!$H$4:$H$1203,$Z757-4000)),IF($Z757&lt;=5800,IF(INDEX(次果筐明细!$H$4:$H$603,$Z757-5200)=0,"",INDEX(次果筐明细!$H$4:$H$603,$Z757-5200)),"")))))</f>
        <v/>
      </c>
      <c r="S757" s="22" t="str">
        <f t="shared" si="35"/>
        <v/>
      </c>
      <c r="Z757" s="10" t="str">
        <f>IFERROR(MATCH(ROW()-3,_自动清单!$CQ$4:$CQ$5803,0),"")</f>
        <v/>
      </c>
    </row>
    <row r="758" spans="1:26">
      <c r="A758" s="24" t="str">
        <f t="shared" si="33"/>
        <v/>
      </c>
      <c r="B758" s="38" t="str">
        <f>IF($Z758="","",IF($Z758&lt;=2000,IF(INDEX(包装物料出入库明细!$B$4:$B$2003,$Z758-0)=0,"",INDEX(包装物料出入库明细!$B$4:$B$2003,$Z758-0)),IF($Z758&lt;=4000,IF(INDEX(周转筐出入库明细!$B$4:$B$2004,$Z758-2000)=0,"",INDEX(周转筐出入库明细!$B$4:$B$2004,$Z758-2000)),IF($Z758&lt;=5200,IF(INDEX(客户自备加工筐明细!$B$4:$B$1203,$Z758-4000)=0,"",INDEX(客户自备加工筐明细!$B$4:$B$1203,$Z758-4000)),IF($Z758&lt;=5800,IF(INDEX(次果筐明细!$B$4:$B$603,$Z758-5200)=0,"",INDEX(次果筐明细!$B$4:$B$603,$Z758-5200)),"")))))</f>
        <v/>
      </c>
      <c r="C758" s="37" t="str">
        <f>IF($Z758="","",IF($Z758&lt;=2000,IF(INDEX(包装物料出入库明细!$D$4:$D$2003,$Z758-0)=0,"",INDEX(包装物料出入库明细!$D$4:$D$2003,$Z758-0)),IF($Z758&lt;=4000,IF(INDEX(周转筐出入库明细!$C$4:$C$2004,$Z758-2000)=0,"",INDEX(周转筐出入库明细!$C$4:$C$2004,$Z758-2000)),IF($Z758&lt;=5200,IF(INDEX(客户自备加工筐明细!$E$4:$E$1203,$Z758-4000)=0,"",INDEX(客户自备加工筐明细!$E$4:$E$1203,$Z758-4000)),IF($Z758&lt;=5800,IF(INDEX(次果筐明细!$C$4:$C$603,$Z758-5200)=0,"",INDEX(次果筐明细!$C$4:$C$603,$Z758-5200)),"")))))</f>
        <v/>
      </c>
      <c r="D758" s="37" t="str">
        <f>IF($Z758="","",IF($Z758&lt;=2000,"包装物料－"&amp;INDEX(包装物料出入库明细!$H$4:$H$2003,$Z758-0),IF($Z758&lt;=4000,"周转筐－"&amp;INDEX(周转筐出入库明细!$F$4:$F$2004,$Z758-2000),IF($Z758&lt;=5200,"客户自备筐－"&amp;INDEX(客户自备加工筐明细!$J$4:$J$1203,$Z758-4000),IF($Z758&lt;=5800,"次果筐/托盘－"&amp;INDEX(次果筐明细!$F$4:$F$603,$Z758-5200),"")))))</f>
        <v/>
      </c>
      <c r="E758" s="24" t="str">
        <f>IF($Z758="","",IF($Z758&lt;=2000,IF(INDEX(包装物料出入库明细!$C$4:$C$2003,$Z758-0)=0,"",INDEX(包装物料出入库明细!$C$4:$C$2003,$Z758-0)),IF($Z758&lt;=4000,IF(INDEX(周转筐出入库明细!$E$4:$E$2004,$Z758-2000)=0,"",INDEX(周转筐出入库明细!$E$4:$E$2004,$Z758-2000)),IF($Z758&lt;=5200,IF(INDEX(客户自备加工筐明细!$D$4:$D$1203,$Z758-4000)=0,"",INDEX(客户自备加工筐明细!$D$4:$D$1203,$Z758-4000)),IF($Z758&lt;=5800,IF(INDEX(次果筐明细!$E$4:$E$603,$Z758-5200)=0,"",INDEX(次果筐明细!$E$4:$E$603,$Z758-5200)),"")))))</f>
        <v/>
      </c>
      <c r="F758" s="24" t="str">
        <f>IF($Z758="","",IF($Z758&lt;=2000,IF(INDEX(包装物料出入库明细!$E$4:$E$2003,$Z758-0)=0,"",INDEX(包装物料出入库明细!$E$4:$E$2003,$Z758-0)),IF($Z758&lt;=4000,IF(INDEX(周转筐出入库明细!$D$4:$D$2004,$Z758-2000)=0,"",INDEX(周转筐出入库明细!$D$4:$D$2004,$Z758-2000)),IF($Z758&lt;=5200,IF(INDEX(客户自备加工筐明细!$C$4:$C$1203,$Z758-4000)=0,"",INDEX(客户自备加工筐明细!$C$4:$C$1203,$Z758-4000)),IF($Z758&lt;=5800,IF(INDEX(次果筐明细!$D$4:$D$603,$Z758-5200)=0,"",INDEX(次果筐明细!$D$4:$D$603,$Z758-5200)),"")))))</f>
        <v/>
      </c>
      <c r="G758" s="24" t="str">
        <f>IF($Z758="","",IF($Z758&lt;=2000,IF(INDEX(包装物料出入库明细!$F$4:$F$2003,$Z758-0)=0,"",INDEX(包装物料出入库明细!$F$4:$F$2003,$Z758-0)),IF($Z758&lt;=4000,"",IF($Z758&lt;=5200,"",IF($Z758&lt;=5800,"","")))))</f>
        <v/>
      </c>
      <c r="H758" s="39" t="str">
        <f>IF($Z758="","",IF($Z758&lt;=2000,IF(INDEX(包装物料出入库明细!$L$4:$L$2003,$Z758-0)=0,"",INDEX(包装物料出入库明细!$L$4:$L$2003,$Z758-0)),IF($Z758&lt;=4000,N(INDEX(周转筐出入库明细!$H$4:$H$2004,$Z758-2000))+N(INDEX(周转筐出入库明细!$I$4:$I$2004,$Z758-2000))+N(INDEX(周转筐出入库明细!$J$4:$J$2004,$Z758-2000))+N(INDEX(周转筐出入库明细!$K$4:$K$2004,$Z758-2000)),IF($Z758&lt;=5200,N(INDEX(客户自备加工筐明细!$F$4:$F$1203,$Z758-4000))+N(INDEX(客户自备加工筐明细!$G$4:$G$1203,$Z758-4000)),IF($Z758&lt;=5800,IF(INDEX(次果筐明细!$G$4:$G$603,$Z758-5200)=0,"",INDEX(次果筐明细!$G$4:$G$603,$Z758-5200)),"")))))</f>
        <v/>
      </c>
      <c r="I758" s="24" t="str">
        <f>IF($Z758="","",IF($Z758&lt;=2000,IF(INDEX(包装物料出入库明细!$G$4:$G$2003,$Z758-0)=0,"",INDEX(包装物料出入库明细!$G$4:$G$2003,$Z758-0)),IF($Z758&lt;=4000,"个",IF($Z758&lt;=5200,"个",IF($Z758&lt;=5800,"个","")))))</f>
        <v/>
      </c>
      <c r="J758" s="30" t="str">
        <f t="shared" si="34"/>
        <v/>
      </c>
      <c r="K758" s="30" t="str">
        <f>IF($Z758="","",IF($Z758&lt;=2000,IF(INDEX(包装物料出入库明细!$N$4:$N$2003,$Z758-0)=0,"",INDEX(包装物料出入库明细!$N$4:$N$2003,$Z758-0)),IF($Z758&lt;=4000,IF(INDEX(周转筐出入库明细!$P$4:$P$2004,$Z758-2000)=0,"",INDEX(周转筐出入库明细!$P$4:$P$2004,$Z758-2000)),IF($Z758&lt;=5200,"",IF($Z758&lt;=5800,N(INDEX(次果筐明细!$L$4:$L$603,$Z758-5200))+N(INDEX(次果筐明细!$J$4:$J$603,$Z758-5200)),"")))))</f>
        <v/>
      </c>
      <c r="L758" s="24" t="str">
        <f>IF($Z758="","",IF($Z758&lt;=2000,IF(INDEX(包装物料出入库明细!$P$4:$P$2003,$Z758-0)=0,"",INDEX(包装物料出入库明细!$P$4:$P$2003,$Z758-0)),IF($Z758&lt;=4000,IF(INDEX(周转筐出入库明细!$Q$4:$Q$2004,$Z758-2000)=0,"",INDEX(周转筐出入库明细!$Q$4:$Q$2004,$Z758-2000)),IF($Z758&lt;=5200,"",IF($Z758&lt;=5800,IF(INDEX(次果筐明细!$M$4:$M$603,$Z758-5200)=0,"",INDEX(次果筐明细!$M$4:$M$603,$Z758-5200)),"")))))</f>
        <v/>
      </c>
      <c r="M758" s="37" t="str">
        <f>IF($Z758="","",IF($Z758&lt;=2000,IF(INDEX(包装物料出入库明细!$R$4:$R$2003,$Z758-0)=0,"",INDEX(包装物料出入库明细!$R$4:$R$2003,$Z758-0)),IF($Z758&lt;=4000,IF(INDEX(周转筐出入库明细!$W$4:$W$2004,$Z758-2000)=0,"",INDEX(周转筐出入库明细!$W$4:$W$2004,$Z758-2000)),IF($Z758&lt;=5200,IF(INDEX(客户自备加工筐明细!$L$4:$L$1203,$Z758-4000)=0,"",INDEX(客户自备加工筐明细!$L$4:$L$1203,$Z758-4000)),IF($Z758&lt;=5800,IF(INDEX(次果筐明细!$P$4:$P$603,$Z758-5200)=0,"",INDEX(次果筐明细!$P$4:$P$603,$Z758-5200)),"")))))</f>
        <v/>
      </c>
      <c r="N758" s="16" t="str">
        <f>IF($Z758="","",IF($Z758&lt;=2000,"",IF($Z758&lt;=4000,IF(INDEX(周转筐出入库明细!$D$4:$D$2004,$Z758-2000)=0,"",INDEX(周转筐出入库明细!$D$4:$D$2004,$Z758-2000)),IF($Z758&lt;=5200,IF(INDEX(客户自备加工筐明细!$C$4:$C$1203,$Z758-4000)=0,"",INDEX(客户自备加工筐明细!$C$4:$C$1203,$Z758-4000)),IF($Z758&lt;=5800,IF(INDEX(次果筐明细!$D$4:$D$603,$Z758-5200)=0,"",INDEX(次果筐明细!$D$4:$D$603,$Z758-5200)),"")))))</f>
        <v/>
      </c>
      <c r="O758" s="40" t="str">
        <f>IF($Z758="","",IF($Z758&lt;=2000,"",IF($Z758&lt;=4000,IF(N(INDEX(周转筐出入库明细!$J$4:$J$2004,$Z758-2000))+N(INDEX(周转筐出入库明细!$K$4:$K$2004,$Z758-2000))=0,"",N(INDEX(周转筐出入库明细!$J$4:$J$2004,$Z758-2000))+N(INDEX(周转筐出入库明细!$K$4:$K$2004,$Z758-2000))),IF($Z758&lt;=5200,IF(N(INDEX(客户自备加工筐明细!$G$4:$G$1203,$Z758-4000))=0,"",N(INDEX(客户自备加工筐明细!$G$4:$G$1203,$Z758-4000))),IF($Z758&lt;=5800,IF(ISNUMBER(SEARCH("退",INDEX(次果筐明细!$F$4:$F$603,$Z758-5200)&amp;"")),"",IF(N(INDEX(次果筐明细!$G$4:$G$603,$Z758-5200))=0,"",N(INDEX(次果筐明细!$G$4:$G$603,$Z758-5200)))),"")))))</f>
        <v/>
      </c>
      <c r="P758" s="40" t="str">
        <f>IF($Z758="","",IF($Z758&lt;=2000,"",IF($Z758&lt;=4000,IF(N(INDEX(周转筐出入库明细!$I$4:$I$2004,$Z758-2000))=0,"",N(INDEX(周转筐出入库明细!$I$4:$I$2004,$Z758-2000))),IF($Z758&lt;=5200,"",IF($Z758&lt;=5800,IF(ISNUMBER(SEARCH("退",INDEX(次果筐明细!$F$4:$F$603,$Z758-5200)&amp;"")),IF(N(INDEX(次果筐明细!$G$4:$G$603,$Z758-5200))=0,"",N(INDEX(次果筐明细!$G$4:$G$603,$Z758-5200))),""),"")))))</f>
        <v/>
      </c>
      <c r="Q758" s="40" t="str">
        <f>IF($Z758="","",IF($Z758&lt;=2000,"",IF($Z758&lt;=4000,IF(N(INDEX(周转筐出入库明细!$H$4:$H$2004,$Z758-2000))=0,"",N(INDEX(周转筐出入库明细!$H$4:$H$2004,$Z758-2000))),IF($Z758&lt;=5200,IF(N(INDEX(客户自备加工筐明细!$F$4:$F$1203,$Z758-4000))=0,"",N(INDEX(客户自备加工筐明细!$F$4:$F$1203,$Z758-4000))),IF($Z758&lt;=5800,"","")))))</f>
        <v/>
      </c>
      <c r="R758" s="16" t="str">
        <f>IF($Z758="","",IF($Z758&lt;=2000,IF(INDEX(包装物料出入库明细!$O$4:$O$2003,$Z758-0)=0,"",INDEX(包装物料出入库明细!$O$4:$O$2003,$Z758-0)),IF($Z758&lt;=4000,IF(INDEX(周转筐出入库明细!$M$4:$M$2004,$Z758-2000)=0,"",INDEX(周转筐出入库明细!$M$4:$M$2004,$Z758-2000)),IF($Z758&lt;=5200,IF(INDEX(客户自备加工筐明细!$H$4:$H$1203,$Z758-4000)=0,"",INDEX(客户自备加工筐明细!$H$4:$H$1203,$Z758-4000)),IF($Z758&lt;=5800,IF(INDEX(次果筐明细!$H$4:$H$603,$Z758-5200)=0,"",INDEX(次果筐明细!$H$4:$H$603,$Z758-5200)),"")))))</f>
        <v/>
      </c>
      <c r="S758" s="22" t="str">
        <f t="shared" si="35"/>
        <v/>
      </c>
      <c r="Z758" s="10" t="str">
        <f>IFERROR(MATCH(ROW()-3,_自动清单!$CQ$4:$CQ$5803,0),"")</f>
        <v/>
      </c>
    </row>
    <row r="759" spans="1:26">
      <c r="A759" s="24" t="str">
        <f t="shared" si="33"/>
        <v/>
      </c>
      <c r="B759" s="38" t="str">
        <f>IF($Z759="","",IF($Z759&lt;=2000,IF(INDEX(包装物料出入库明细!$B$4:$B$2003,$Z759-0)=0,"",INDEX(包装物料出入库明细!$B$4:$B$2003,$Z759-0)),IF($Z759&lt;=4000,IF(INDEX(周转筐出入库明细!$B$4:$B$2004,$Z759-2000)=0,"",INDEX(周转筐出入库明细!$B$4:$B$2004,$Z759-2000)),IF($Z759&lt;=5200,IF(INDEX(客户自备加工筐明细!$B$4:$B$1203,$Z759-4000)=0,"",INDEX(客户自备加工筐明细!$B$4:$B$1203,$Z759-4000)),IF($Z759&lt;=5800,IF(INDEX(次果筐明细!$B$4:$B$603,$Z759-5200)=0,"",INDEX(次果筐明细!$B$4:$B$603,$Z759-5200)),"")))))</f>
        <v/>
      </c>
      <c r="C759" s="37" t="str">
        <f>IF($Z759="","",IF($Z759&lt;=2000,IF(INDEX(包装物料出入库明细!$D$4:$D$2003,$Z759-0)=0,"",INDEX(包装物料出入库明细!$D$4:$D$2003,$Z759-0)),IF($Z759&lt;=4000,IF(INDEX(周转筐出入库明细!$C$4:$C$2004,$Z759-2000)=0,"",INDEX(周转筐出入库明细!$C$4:$C$2004,$Z759-2000)),IF($Z759&lt;=5200,IF(INDEX(客户自备加工筐明细!$E$4:$E$1203,$Z759-4000)=0,"",INDEX(客户自备加工筐明细!$E$4:$E$1203,$Z759-4000)),IF($Z759&lt;=5800,IF(INDEX(次果筐明细!$C$4:$C$603,$Z759-5200)=0,"",INDEX(次果筐明细!$C$4:$C$603,$Z759-5200)),"")))))</f>
        <v/>
      </c>
      <c r="D759" s="37" t="str">
        <f>IF($Z759="","",IF($Z759&lt;=2000,"包装物料－"&amp;INDEX(包装物料出入库明细!$H$4:$H$2003,$Z759-0),IF($Z759&lt;=4000,"周转筐－"&amp;INDEX(周转筐出入库明细!$F$4:$F$2004,$Z759-2000),IF($Z759&lt;=5200,"客户自备筐－"&amp;INDEX(客户自备加工筐明细!$J$4:$J$1203,$Z759-4000),IF($Z759&lt;=5800,"次果筐/托盘－"&amp;INDEX(次果筐明细!$F$4:$F$603,$Z759-5200),"")))))</f>
        <v/>
      </c>
      <c r="E759" s="24" t="str">
        <f>IF($Z759="","",IF($Z759&lt;=2000,IF(INDEX(包装物料出入库明细!$C$4:$C$2003,$Z759-0)=0,"",INDEX(包装物料出入库明细!$C$4:$C$2003,$Z759-0)),IF($Z759&lt;=4000,IF(INDEX(周转筐出入库明细!$E$4:$E$2004,$Z759-2000)=0,"",INDEX(周转筐出入库明细!$E$4:$E$2004,$Z759-2000)),IF($Z759&lt;=5200,IF(INDEX(客户自备加工筐明细!$D$4:$D$1203,$Z759-4000)=0,"",INDEX(客户自备加工筐明细!$D$4:$D$1203,$Z759-4000)),IF($Z759&lt;=5800,IF(INDEX(次果筐明细!$E$4:$E$603,$Z759-5200)=0,"",INDEX(次果筐明细!$E$4:$E$603,$Z759-5200)),"")))))</f>
        <v/>
      </c>
      <c r="F759" s="24" t="str">
        <f>IF($Z759="","",IF($Z759&lt;=2000,IF(INDEX(包装物料出入库明细!$E$4:$E$2003,$Z759-0)=0,"",INDEX(包装物料出入库明细!$E$4:$E$2003,$Z759-0)),IF($Z759&lt;=4000,IF(INDEX(周转筐出入库明细!$D$4:$D$2004,$Z759-2000)=0,"",INDEX(周转筐出入库明细!$D$4:$D$2004,$Z759-2000)),IF($Z759&lt;=5200,IF(INDEX(客户自备加工筐明细!$C$4:$C$1203,$Z759-4000)=0,"",INDEX(客户自备加工筐明细!$C$4:$C$1203,$Z759-4000)),IF($Z759&lt;=5800,IF(INDEX(次果筐明细!$D$4:$D$603,$Z759-5200)=0,"",INDEX(次果筐明细!$D$4:$D$603,$Z759-5200)),"")))))</f>
        <v/>
      </c>
      <c r="G759" s="24" t="str">
        <f>IF($Z759="","",IF($Z759&lt;=2000,IF(INDEX(包装物料出入库明细!$F$4:$F$2003,$Z759-0)=0,"",INDEX(包装物料出入库明细!$F$4:$F$2003,$Z759-0)),IF($Z759&lt;=4000,"",IF($Z759&lt;=5200,"",IF($Z759&lt;=5800,"","")))))</f>
        <v/>
      </c>
      <c r="H759" s="39" t="str">
        <f>IF($Z759="","",IF($Z759&lt;=2000,IF(INDEX(包装物料出入库明细!$L$4:$L$2003,$Z759-0)=0,"",INDEX(包装物料出入库明细!$L$4:$L$2003,$Z759-0)),IF($Z759&lt;=4000,N(INDEX(周转筐出入库明细!$H$4:$H$2004,$Z759-2000))+N(INDEX(周转筐出入库明细!$I$4:$I$2004,$Z759-2000))+N(INDEX(周转筐出入库明细!$J$4:$J$2004,$Z759-2000))+N(INDEX(周转筐出入库明细!$K$4:$K$2004,$Z759-2000)),IF($Z759&lt;=5200,N(INDEX(客户自备加工筐明细!$F$4:$F$1203,$Z759-4000))+N(INDEX(客户自备加工筐明细!$G$4:$G$1203,$Z759-4000)),IF($Z759&lt;=5800,IF(INDEX(次果筐明细!$G$4:$G$603,$Z759-5200)=0,"",INDEX(次果筐明细!$G$4:$G$603,$Z759-5200)),"")))))</f>
        <v/>
      </c>
      <c r="I759" s="24" t="str">
        <f>IF($Z759="","",IF($Z759&lt;=2000,IF(INDEX(包装物料出入库明细!$G$4:$G$2003,$Z759-0)=0,"",INDEX(包装物料出入库明细!$G$4:$G$2003,$Z759-0)),IF($Z759&lt;=4000,"个",IF($Z759&lt;=5200,"个",IF($Z759&lt;=5800,"个","")))))</f>
        <v/>
      </c>
      <c r="J759" s="30" t="str">
        <f t="shared" si="34"/>
        <v/>
      </c>
      <c r="K759" s="30" t="str">
        <f>IF($Z759="","",IF($Z759&lt;=2000,IF(INDEX(包装物料出入库明细!$N$4:$N$2003,$Z759-0)=0,"",INDEX(包装物料出入库明细!$N$4:$N$2003,$Z759-0)),IF($Z759&lt;=4000,IF(INDEX(周转筐出入库明细!$P$4:$P$2004,$Z759-2000)=0,"",INDEX(周转筐出入库明细!$P$4:$P$2004,$Z759-2000)),IF($Z759&lt;=5200,"",IF($Z759&lt;=5800,N(INDEX(次果筐明细!$L$4:$L$603,$Z759-5200))+N(INDEX(次果筐明细!$J$4:$J$603,$Z759-5200)),"")))))</f>
        <v/>
      </c>
      <c r="L759" s="24" t="str">
        <f>IF($Z759="","",IF($Z759&lt;=2000,IF(INDEX(包装物料出入库明细!$P$4:$P$2003,$Z759-0)=0,"",INDEX(包装物料出入库明细!$P$4:$P$2003,$Z759-0)),IF($Z759&lt;=4000,IF(INDEX(周转筐出入库明细!$Q$4:$Q$2004,$Z759-2000)=0,"",INDEX(周转筐出入库明细!$Q$4:$Q$2004,$Z759-2000)),IF($Z759&lt;=5200,"",IF($Z759&lt;=5800,IF(INDEX(次果筐明细!$M$4:$M$603,$Z759-5200)=0,"",INDEX(次果筐明细!$M$4:$M$603,$Z759-5200)),"")))))</f>
        <v/>
      </c>
      <c r="M759" s="37" t="str">
        <f>IF($Z759="","",IF($Z759&lt;=2000,IF(INDEX(包装物料出入库明细!$R$4:$R$2003,$Z759-0)=0,"",INDEX(包装物料出入库明细!$R$4:$R$2003,$Z759-0)),IF($Z759&lt;=4000,IF(INDEX(周转筐出入库明细!$W$4:$W$2004,$Z759-2000)=0,"",INDEX(周转筐出入库明细!$W$4:$W$2004,$Z759-2000)),IF($Z759&lt;=5200,IF(INDEX(客户自备加工筐明细!$L$4:$L$1203,$Z759-4000)=0,"",INDEX(客户自备加工筐明细!$L$4:$L$1203,$Z759-4000)),IF($Z759&lt;=5800,IF(INDEX(次果筐明细!$P$4:$P$603,$Z759-5200)=0,"",INDEX(次果筐明细!$P$4:$P$603,$Z759-5200)),"")))))</f>
        <v/>
      </c>
      <c r="N759" s="16" t="str">
        <f>IF($Z759="","",IF($Z759&lt;=2000,"",IF($Z759&lt;=4000,IF(INDEX(周转筐出入库明细!$D$4:$D$2004,$Z759-2000)=0,"",INDEX(周转筐出入库明细!$D$4:$D$2004,$Z759-2000)),IF($Z759&lt;=5200,IF(INDEX(客户自备加工筐明细!$C$4:$C$1203,$Z759-4000)=0,"",INDEX(客户自备加工筐明细!$C$4:$C$1203,$Z759-4000)),IF($Z759&lt;=5800,IF(INDEX(次果筐明细!$D$4:$D$603,$Z759-5200)=0,"",INDEX(次果筐明细!$D$4:$D$603,$Z759-5200)),"")))))</f>
        <v/>
      </c>
      <c r="O759" s="40" t="str">
        <f>IF($Z759="","",IF($Z759&lt;=2000,"",IF($Z759&lt;=4000,IF(N(INDEX(周转筐出入库明细!$J$4:$J$2004,$Z759-2000))+N(INDEX(周转筐出入库明细!$K$4:$K$2004,$Z759-2000))=0,"",N(INDEX(周转筐出入库明细!$J$4:$J$2004,$Z759-2000))+N(INDEX(周转筐出入库明细!$K$4:$K$2004,$Z759-2000))),IF($Z759&lt;=5200,IF(N(INDEX(客户自备加工筐明细!$G$4:$G$1203,$Z759-4000))=0,"",N(INDEX(客户自备加工筐明细!$G$4:$G$1203,$Z759-4000))),IF($Z759&lt;=5800,IF(ISNUMBER(SEARCH("退",INDEX(次果筐明细!$F$4:$F$603,$Z759-5200)&amp;"")),"",IF(N(INDEX(次果筐明细!$G$4:$G$603,$Z759-5200))=0,"",N(INDEX(次果筐明细!$G$4:$G$603,$Z759-5200)))),"")))))</f>
        <v/>
      </c>
      <c r="P759" s="40" t="str">
        <f>IF($Z759="","",IF($Z759&lt;=2000,"",IF($Z759&lt;=4000,IF(N(INDEX(周转筐出入库明细!$I$4:$I$2004,$Z759-2000))=0,"",N(INDEX(周转筐出入库明细!$I$4:$I$2004,$Z759-2000))),IF($Z759&lt;=5200,"",IF($Z759&lt;=5800,IF(ISNUMBER(SEARCH("退",INDEX(次果筐明细!$F$4:$F$603,$Z759-5200)&amp;"")),IF(N(INDEX(次果筐明细!$G$4:$G$603,$Z759-5200))=0,"",N(INDEX(次果筐明细!$G$4:$G$603,$Z759-5200))),""),"")))))</f>
        <v/>
      </c>
      <c r="Q759" s="40" t="str">
        <f>IF($Z759="","",IF($Z759&lt;=2000,"",IF($Z759&lt;=4000,IF(N(INDEX(周转筐出入库明细!$H$4:$H$2004,$Z759-2000))=0,"",N(INDEX(周转筐出入库明细!$H$4:$H$2004,$Z759-2000))),IF($Z759&lt;=5200,IF(N(INDEX(客户自备加工筐明细!$F$4:$F$1203,$Z759-4000))=0,"",N(INDEX(客户自备加工筐明细!$F$4:$F$1203,$Z759-4000))),IF($Z759&lt;=5800,"","")))))</f>
        <v/>
      </c>
      <c r="R759" s="16" t="str">
        <f>IF($Z759="","",IF($Z759&lt;=2000,IF(INDEX(包装物料出入库明细!$O$4:$O$2003,$Z759-0)=0,"",INDEX(包装物料出入库明细!$O$4:$O$2003,$Z759-0)),IF($Z759&lt;=4000,IF(INDEX(周转筐出入库明细!$M$4:$M$2004,$Z759-2000)=0,"",INDEX(周转筐出入库明细!$M$4:$M$2004,$Z759-2000)),IF($Z759&lt;=5200,IF(INDEX(客户自备加工筐明细!$H$4:$H$1203,$Z759-4000)=0,"",INDEX(客户自备加工筐明细!$H$4:$H$1203,$Z759-4000)),IF($Z759&lt;=5800,IF(INDEX(次果筐明细!$H$4:$H$603,$Z759-5200)=0,"",INDEX(次果筐明细!$H$4:$H$603,$Z759-5200)),"")))))</f>
        <v/>
      </c>
      <c r="S759" s="22" t="str">
        <f t="shared" si="35"/>
        <v/>
      </c>
      <c r="Z759" s="10" t="str">
        <f>IFERROR(MATCH(ROW()-3,_自动清单!$CQ$4:$CQ$5803,0),"")</f>
        <v/>
      </c>
    </row>
    <row r="760" spans="1:26">
      <c r="A760" s="24" t="str">
        <f t="shared" si="33"/>
        <v/>
      </c>
      <c r="B760" s="38" t="str">
        <f>IF($Z760="","",IF($Z760&lt;=2000,IF(INDEX(包装物料出入库明细!$B$4:$B$2003,$Z760-0)=0,"",INDEX(包装物料出入库明细!$B$4:$B$2003,$Z760-0)),IF($Z760&lt;=4000,IF(INDEX(周转筐出入库明细!$B$4:$B$2004,$Z760-2000)=0,"",INDEX(周转筐出入库明细!$B$4:$B$2004,$Z760-2000)),IF($Z760&lt;=5200,IF(INDEX(客户自备加工筐明细!$B$4:$B$1203,$Z760-4000)=0,"",INDEX(客户自备加工筐明细!$B$4:$B$1203,$Z760-4000)),IF($Z760&lt;=5800,IF(INDEX(次果筐明细!$B$4:$B$603,$Z760-5200)=0,"",INDEX(次果筐明细!$B$4:$B$603,$Z760-5200)),"")))))</f>
        <v/>
      </c>
      <c r="C760" s="37" t="str">
        <f>IF($Z760="","",IF($Z760&lt;=2000,IF(INDEX(包装物料出入库明细!$D$4:$D$2003,$Z760-0)=0,"",INDEX(包装物料出入库明细!$D$4:$D$2003,$Z760-0)),IF($Z760&lt;=4000,IF(INDEX(周转筐出入库明细!$C$4:$C$2004,$Z760-2000)=0,"",INDEX(周转筐出入库明细!$C$4:$C$2004,$Z760-2000)),IF($Z760&lt;=5200,IF(INDEX(客户自备加工筐明细!$E$4:$E$1203,$Z760-4000)=0,"",INDEX(客户自备加工筐明细!$E$4:$E$1203,$Z760-4000)),IF($Z760&lt;=5800,IF(INDEX(次果筐明细!$C$4:$C$603,$Z760-5200)=0,"",INDEX(次果筐明细!$C$4:$C$603,$Z760-5200)),"")))))</f>
        <v/>
      </c>
      <c r="D760" s="37" t="str">
        <f>IF($Z760="","",IF($Z760&lt;=2000,"包装物料－"&amp;INDEX(包装物料出入库明细!$H$4:$H$2003,$Z760-0),IF($Z760&lt;=4000,"周转筐－"&amp;INDEX(周转筐出入库明细!$F$4:$F$2004,$Z760-2000),IF($Z760&lt;=5200,"客户自备筐－"&amp;INDEX(客户自备加工筐明细!$J$4:$J$1203,$Z760-4000),IF($Z760&lt;=5800,"次果筐/托盘－"&amp;INDEX(次果筐明细!$F$4:$F$603,$Z760-5200),"")))))</f>
        <v/>
      </c>
      <c r="E760" s="24" t="str">
        <f>IF($Z760="","",IF($Z760&lt;=2000,IF(INDEX(包装物料出入库明细!$C$4:$C$2003,$Z760-0)=0,"",INDEX(包装物料出入库明细!$C$4:$C$2003,$Z760-0)),IF($Z760&lt;=4000,IF(INDEX(周转筐出入库明细!$E$4:$E$2004,$Z760-2000)=0,"",INDEX(周转筐出入库明细!$E$4:$E$2004,$Z760-2000)),IF($Z760&lt;=5200,IF(INDEX(客户自备加工筐明细!$D$4:$D$1203,$Z760-4000)=0,"",INDEX(客户自备加工筐明细!$D$4:$D$1203,$Z760-4000)),IF($Z760&lt;=5800,IF(INDEX(次果筐明细!$E$4:$E$603,$Z760-5200)=0,"",INDEX(次果筐明细!$E$4:$E$603,$Z760-5200)),"")))))</f>
        <v/>
      </c>
      <c r="F760" s="24" t="str">
        <f>IF($Z760="","",IF($Z760&lt;=2000,IF(INDEX(包装物料出入库明细!$E$4:$E$2003,$Z760-0)=0,"",INDEX(包装物料出入库明细!$E$4:$E$2003,$Z760-0)),IF($Z760&lt;=4000,IF(INDEX(周转筐出入库明细!$D$4:$D$2004,$Z760-2000)=0,"",INDEX(周转筐出入库明细!$D$4:$D$2004,$Z760-2000)),IF($Z760&lt;=5200,IF(INDEX(客户自备加工筐明细!$C$4:$C$1203,$Z760-4000)=0,"",INDEX(客户自备加工筐明细!$C$4:$C$1203,$Z760-4000)),IF($Z760&lt;=5800,IF(INDEX(次果筐明细!$D$4:$D$603,$Z760-5200)=0,"",INDEX(次果筐明细!$D$4:$D$603,$Z760-5200)),"")))))</f>
        <v/>
      </c>
      <c r="G760" s="24" t="str">
        <f>IF($Z760="","",IF($Z760&lt;=2000,IF(INDEX(包装物料出入库明细!$F$4:$F$2003,$Z760-0)=0,"",INDEX(包装物料出入库明细!$F$4:$F$2003,$Z760-0)),IF($Z760&lt;=4000,"",IF($Z760&lt;=5200,"",IF($Z760&lt;=5800,"","")))))</f>
        <v/>
      </c>
      <c r="H760" s="39" t="str">
        <f>IF($Z760="","",IF($Z760&lt;=2000,IF(INDEX(包装物料出入库明细!$L$4:$L$2003,$Z760-0)=0,"",INDEX(包装物料出入库明细!$L$4:$L$2003,$Z760-0)),IF($Z760&lt;=4000,N(INDEX(周转筐出入库明细!$H$4:$H$2004,$Z760-2000))+N(INDEX(周转筐出入库明细!$I$4:$I$2004,$Z760-2000))+N(INDEX(周转筐出入库明细!$J$4:$J$2004,$Z760-2000))+N(INDEX(周转筐出入库明细!$K$4:$K$2004,$Z760-2000)),IF($Z760&lt;=5200,N(INDEX(客户自备加工筐明细!$F$4:$F$1203,$Z760-4000))+N(INDEX(客户自备加工筐明细!$G$4:$G$1203,$Z760-4000)),IF($Z760&lt;=5800,IF(INDEX(次果筐明细!$G$4:$G$603,$Z760-5200)=0,"",INDEX(次果筐明细!$G$4:$G$603,$Z760-5200)),"")))))</f>
        <v/>
      </c>
      <c r="I760" s="24" t="str">
        <f>IF($Z760="","",IF($Z760&lt;=2000,IF(INDEX(包装物料出入库明细!$G$4:$G$2003,$Z760-0)=0,"",INDEX(包装物料出入库明细!$G$4:$G$2003,$Z760-0)),IF($Z760&lt;=4000,"个",IF($Z760&lt;=5200,"个",IF($Z760&lt;=5800,"个","")))))</f>
        <v/>
      </c>
      <c r="J760" s="30" t="str">
        <f t="shared" si="34"/>
        <v/>
      </c>
      <c r="K760" s="30" t="str">
        <f>IF($Z760="","",IF($Z760&lt;=2000,IF(INDEX(包装物料出入库明细!$N$4:$N$2003,$Z760-0)=0,"",INDEX(包装物料出入库明细!$N$4:$N$2003,$Z760-0)),IF($Z760&lt;=4000,IF(INDEX(周转筐出入库明细!$P$4:$P$2004,$Z760-2000)=0,"",INDEX(周转筐出入库明细!$P$4:$P$2004,$Z760-2000)),IF($Z760&lt;=5200,"",IF($Z760&lt;=5800,N(INDEX(次果筐明细!$L$4:$L$603,$Z760-5200))+N(INDEX(次果筐明细!$J$4:$J$603,$Z760-5200)),"")))))</f>
        <v/>
      </c>
      <c r="L760" s="24" t="str">
        <f>IF($Z760="","",IF($Z760&lt;=2000,IF(INDEX(包装物料出入库明细!$P$4:$P$2003,$Z760-0)=0,"",INDEX(包装物料出入库明细!$P$4:$P$2003,$Z760-0)),IF($Z760&lt;=4000,IF(INDEX(周转筐出入库明细!$Q$4:$Q$2004,$Z760-2000)=0,"",INDEX(周转筐出入库明细!$Q$4:$Q$2004,$Z760-2000)),IF($Z760&lt;=5200,"",IF($Z760&lt;=5800,IF(INDEX(次果筐明细!$M$4:$M$603,$Z760-5200)=0,"",INDEX(次果筐明细!$M$4:$M$603,$Z760-5200)),"")))))</f>
        <v/>
      </c>
      <c r="M760" s="37" t="str">
        <f>IF($Z760="","",IF($Z760&lt;=2000,IF(INDEX(包装物料出入库明细!$R$4:$R$2003,$Z760-0)=0,"",INDEX(包装物料出入库明细!$R$4:$R$2003,$Z760-0)),IF($Z760&lt;=4000,IF(INDEX(周转筐出入库明细!$W$4:$W$2004,$Z760-2000)=0,"",INDEX(周转筐出入库明细!$W$4:$W$2004,$Z760-2000)),IF($Z760&lt;=5200,IF(INDEX(客户自备加工筐明细!$L$4:$L$1203,$Z760-4000)=0,"",INDEX(客户自备加工筐明细!$L$4:$L$1203,$Z760-4000)),IF($Z760&lt;=5800,IF(INDEX(次果筐明细!$P$4:$P$603,$Z760-5200)=0,"",INDEX(次果筐明细!$P$4:$P$603,$Z760-5200)),"")))))</f>
        <v/>
      </c>
      <c r="N760" s="16" t="str">
        <f>IF($Z760="","",IF($Z760&lt;=2000,"",IF($Z760&lt;=4000,IF(INDEX(周转筐出入库明细!$D$4:$D$2004,$Z760-2000)=0,"",INDEX(周转筐出入库明细!$D$4:$D$2004,$Z760-2000)),IF($Z760&lt;=5200,IF(INDEX(客户自备加工筐明细!$C$4:$C$1203,$Z760-4000)=0,"",INDEX(客户自备加工筐明细!$C$4:$C$1203,$Z760-4000)),IF($Z760&lt;=5800,IF(INDEX(次果筐明细!$D$4:$D$603,$Z760-5200)=0,"",INDEX(次果筐明细!$D$4:$D$603,$Z760-5200)),"")))))</f>
        <v/>
      </c>
      <c r="O760" s="40" t="str">
        <f>IF($Z760="","",IF($Z760&lt;=2000,"",IF($Z760&lt;=4000,IF(N(INDEX(周转筐出入库明细!$J$4:$J$2004,$Z760-2000))+N(INDEX(周转筐出入库明细!$K$4:$K$2004,$Z760-2000))=0,"",N(INDEX(周转筐出入库明细!$J$4:$J$2004,$Z760-2000))+N(INDEX(周转筐出入库明细!$K$4:$K$2004,$Z760-2000))),IF($Z760&lt;=5200,IF(N(INDEX(客户自备加工筐明细!$G$4:$G$1203,$Z760-4000))=0,"",N(INDEX(客户自备加工筐明细!$G$4:$G$1203,$Z760-4000))),IF($Z760&lt;=5800,IF(ISNUMBER(SEARCH("退",INDEX(次果筐明细!$F$4:$F$603,$Z760-5200)&amp;"")),"",IF(N(INDEX(次果筐明细!$G$4:$G$603,$Z760-5200))=0,"",N(INDEX(次果筐明细!$G$4:$G$603,$Z760-5200)))),"")))))</f>
        <v/>
      </c>
      <c r="P760" s="40" t="str">
        <f>IF($Z760="","",IF($Z760&lt;=2000,"",IF($Z760&lt;=4000,IF(N(INDEX(周转筐出入库明细!$I$4:$I$2004,$Z760-2000))=0,"",N(INDEX(周转筐出入库明细!$I$4:$I$2004,$Z760-2000))),IF($Z760&lt;=5200,"",IF($Z760&lt;=5800,IF(ISNUMBER(SEARCH("退",INDEX(次果筐明细!$F$4:$F$603,$Z760-5200)&amp;"")),IF(N(INDEX(次果筐明细!$G$4:$G$603,$Z760-5200))=0,"",N(INDEX(次果筐明细!$G$4:$G$603,$Z760-5200))),""),"")))))</f>
        <v/>
      </c>
      <c r="Q760" s="40" t="str">
        <f>IF($Z760="","",IF($Z760&lt;=2000,"",IF($Z760&lt;=4000,IF(N(INDEX(周转筐出入库明细!$H$4:$H$2004,$Z760-2000))=0,"",N(INDEX(周转筐出入库明细!$H$4:$H$2004,$Z760-2000))),IF($Z760&lt;=5200,IF(N(INDEX(客户自备加工筐明细!$F$4:$F$1203,$Z760-4000))=0,"",N(INDEX(客户自备加工筐明细!$F$4:$F$1203,$Z760-4000))),IF($Z760&lt;=5800,"","")))))</f>
        <v/>
      </c>
      <c r="R760" s="16" t="str">
        <f>IF($Z760="","",IF($Z760&lt;=2000,IF(INDEX(包装物料出入库明细!$O$4:$O$2003,$Z760-0)=0,"",INDEX(包装物料出入库明细!$O$4:$O$2003,$Z760-0)),IF($Z760&lt;=4000,IF(INDEX(周转筐出入库明细!$M$4:$M$2004,$Z760-2000)=0,"",INDEX(周转筐出入库明细!$M$4:$M$2004,$Z760-2000)),IF($Z760&lt;=5200,IF(INDEX(客户自备加工筐明细!$H$4:$H$1203,$Z760-4000)=0,"",INDEX(客户自备加工筐明细!$H$4:$H$1203,$Z760-4000)),IF($Z760&lt;=5800,IF(INDEX(次果筐明细!$H$4:$H$603,$Z760-5200)=0,"",INDEX(次果筐明细!$H$4:$H$603,$Z760-5200)),"")))))</f>
        <v/>
      </c>
      <c r="S760" s="22" t="str">
        <f t="shared" si="35"/>
        <v/>
      </c>
      <c r="Z760" s="10" t="str">
        <f>IFERROR(MATCH(ROW()-3,_自动清单!$CQ$4:$CQ$5803,0),"")</f>
        <v/>
      </c>
    </row>
    <row r="761" spans="1:26">
      <c r="A761" s="24" t="str">
        <f t="shared" si="33"/>
        <v/>
      </c>
      <c r="B761" s="38" t="str">
        <f>IF($Z761="","",IF($Z761&lt;=2000,IF(INDEX(包装物料出入库明细!$B$4:$B$2003,$Z761-0)=0,"",INDEX(包装物料出入库明细!$B$4:$B$2003,$Z761-0)),IF($Z761&lt;=4000,IF(INDEX(周转筐出入库明细!$B$4:$B$2004,$Z761-2000)=0,"",INDEX(周转筐出入库明细!$B$4:$B$2004,$Z761-2000)),IF($Z761&lt;=5200,IF(INDEX(客户自备加工筐明细!$B$4:$B$1203,$Z761-4000)=0,"",INDEX(客户自备加工筐明细!$B$4:$B$1203,$Z761-4000)),IF($Z761&lt;=5800,IF(INDEX(次果筐明细!$B$4:$B$603,$Z761-5200)=0,"",INDEX(次果筐明细!$B$4:$B$603,$Z761-5200)),"")))))</f>
        <v/>
      </c>
      <c r="C761" s="37" t="str">
        <f>IF($Z761="","",IF($Z761&lt;=2000,IF(INDEX(包装物料出入库明细!$D$4:$D$2003,$Z761-0)=0,"",INDEX(包装物料出入库明细!$D$4:$D$2003,$Z761-0)),IF($Z761&lt;=4000,IF(INDEX(周转筐出入库明细!$C$4:$C$2004,$Z761-2000)=0,"",INDEX(周转筐出入库明细!$C$4:$C$2004,$Z761-2000)),IF($Z761&lt;=5200,IF(INDEX(客户自备加工筐明细!$E$4:$E$1203,$Z761-4000)=0,"",INDEX(客户自备加工筐明细!$E$4:$E$1203,$Z761-4000)),IF($Z761&lt;=5800,IF(INDEX(次果筐明细!$C$4:$C$603,$Z761-5200)=0,"",INDEX(次果筐明细!$C$4:$C$603,$Z761-5200)),"")))))</f>
        <v/>
      </c>
      <c r="D761" s="37" t="str">
        <f>IF($Z761="","",IF($Z761&lt;=2000,"包装物料－"&amp;INDEX(包装物料出入库明细!$H$4:$H$2003,$Z761-0),IF($Z761&lt;=4000,"周转筐－"&amp;INDEX(周转筐出入库明细!$F$4:$F$2004,$Z761-2000),IF($Z761&lt;=5200,"客户自备筐－"&amp;INDEX(客户自备加工筐明细!$J$4:$J$1203,$Z761-4000),IF($Z761&lt;=5800,"次果筐/托盘－"&amp;INDEX(次果筐明细!$F$4:$F$603,$Z761-5200),"")))))</f>
        <v/>
      </c>
      <c r="E761" s="24" t="str">
        <f>IF($Z761="","",IF($Z761&lt;=2000,IF(INDEX(包装物料出入库明细!$C$4:$C$2003,$Z761-0)=0,"",INDEX(包装物料出入库明细!$C$4:$C$2003,$Z761-0)),IF($Z761&lt;=4000,IF(INDEX(周转筐出入库明细!$E$4:$E$2004,$Z761-2000)=0,"",INDEX(周转筐出入库明细!$E$4:$E$2004,$Z761-2000)),IF($Z761&lt;=5200,IF(INDEX(客户自备加工筐明细!$D$4:$D$1203,$Z761-4000)=0,"",INDEX(客户自备加工筐明细!$D$4:$D$1203,$Z761-4000)),IF($Z761&lt;=5800,IF(INDEX(次果筐明细!$E$4:$E$603,$Z761-5200)=0,"",INDEX(次果筐明细!$E$4:$E$603,$Z761-5200)),"")))))</f>
        <v/>
      </c>
      <c r="F761" s="24" t="str">
        <f>IF($Z761="","",IF($Z761&lt;=2000,IF(INDEX(包装物料出入库明细!$E$4:$E$2003,$Z761-0)=0,"",INDEX(包装物料出入库明细!$E$4:$E$2003,$Z761-0)),IF($Z761&lt;=4000,IF(INDEX(周转筐出入库明细!$D$4:$D$2004,$Z761-2000)=0,"",INDEX(周转筐出入库明细!$D$4:$D$2004,$Z761-2000)),IF($Z761&lt;=5200,IF(INDEX(客户自备加工筐明细!$C$4:$C$1203,$Z761-4000)=0,"",INDEX(客户自备加工筐明细!$C$4:$C$1203,$Z761-4000)),IF($Z761&lt;=5800,IF(INDEX(次果筐明细!$D$4:$D$603,$Z761-5200)=0,"",INDEX(次果筐明细!$D$4:$D$603,$Z761-5200)),"")))))</f>
        <v/>
      </c>
      <c r="G761" s="24" t="str">
        <f>IF($Z761="","",IF($Z761&lt;=2000,IF(INDEX(包装物料出入库明细!$F$4:$F$2003,$Z761-0)=0,"",INDEX(包装物料出入库明细!$F$4:$F$2003,$Z761-0)),IF($Z761&lt;=4000,"",IF($Z761&lt;=5200,"",IF($Z761&lt;=5800,"","")))))</f>
        <v/>
      </c>
      <c r="H761" s="39" t="str">
        <f>IF($Z761="","",IF($Z761&lt;=2000,IF(INDEX(包装物料出入库明细!$L$4:$L$2003,$Z761-0)=0,"",INDEX(包装物料出入库明细!$L$4:$L$2003,$Z761-0)),IF($Z761&lt;=4000,N(INDEX(周转筐出入库明细!$H$4:$H$2004,$Z761-2000))+N(INDEX(周转筐出入库明细!$I$4:$I$2004,$Z761-2000))+N(INDEX(周转筐出入库明细!$J$4:$J$2004,$Z761-2000))+N(INDEX(周转筐出入库明细!$K$4:$K$2004,$Z761-2000)),IF($Z761&lt;=5200,N(INDEX(客户自备加工筐明细!$F$4:$F$1203,$Z761-4000))+N(INDEX(客户自备加工筐明细!$G$4:$G$1203,$Z761-4000)),IF($Z761&lt;=5800,IF(INDEX(次果筐明细!$G$4:$G$603,$Z761-5200)=0,"",INDEX(次果筐明细!$G$4:$G$603,$Z761-5200)),"")))))</f>
        <v/>
      </c>
      <c r="I761" s="24" t="str">
        <f>IF($Z761="","",IF($Z761&lt;=2000,IF(INDEX(包装物料出入库明细!$G$4:$G$2003,$Z761-0)=0,"",INDEX(包装物料出入库明细!$G$4:$G$2003,$Z761-0)),IF($Z761&lt;=4000,"个",IF($Z761&lt;=5200,"个",IF($Z761&lt;=5800,"个","")))))</f>
        <v/>
      </c>
      <c r="J761" s="30" t="str">
        <f t="shared" si="34"/>
        <v/>
      </c>
      <c r="K761" s="30" t="str">
        <f>IF($Z761="","",IF($Z761&lt;=2000,IF(INDEX(包装物料出入库明细!$N$4:$N$2003,$Z761-0)=0,"",INDEX(包装物料出入库明细!$N$4:$N$2003,$Z761-0)),IF($Z761&lt;=4000,IF(INDEX(周转筐出入库明细!$P$4:$P$2004,$Z761-2000)=0,"",INDEX(周转筐出入库明细!$P$4:$P$2004,$Z761-2000)),IF($Z761&lt;=5200,"",IF($Z761&lt;=5800,N(INDEX(次果筐明细!$L$4:$L$603,$Z761-5200))+N(INDEX(次果筐明细!$J$4:$J$603,$Z761-5200)),"")))))</f>
        <v/>
      </c>
      <c r="L761" s="24" t="str">
        <f>IF($Z761="","",IF($Z761&lt;=2000,IF(INDEX(包装物料出入库明细!$P$4:$P$2003,$Z761-0)=0,"",INDEX(包装物料出入库明细!$P$4:$P$2003,$Z761-0)),IF($Z761&lt;=4000,IF(INDEX(周转筐出入库明细!$Q$4:$Q$2004,$Z761-2000)=0,"",INDEX(周转筐出入库明细!$Q$4:$Q$2004,$Z761-2000)),IF($Z761&lt;=5200,"",IF($Z761&lt;=5800,IF(INDEX(次果筐明细!$M$4:$M$603,$Z761-5200)=0,"",INDEX(次果筐明细!$M$4:$M$603,$Z761-5200)),"")))))</f>
        <v/>
      </c>
      <c r="M761" s="37" t="str">
        <f>IF($Z761="","",IF($Z761&lt;=2000,IF(INDEX(包装物料出入库明细!$R$4:$R$2003,$Z761-0)=0,"",INDEX(包装物料出入库明细!$R$4:$R$2003,$Z761-0)),IF($Z761&lt;=4000,IF(INDEX(周转筐出入库明细!$W$4:$W$2004,$Z761-2000)=0,"",INDEX(周转筐出入库明细!$W$4:$W$2004,$Z761-2000)),IF($Z761&lt;=5200,IF(INDEX(客户自备加工筐明细!$L$4:$L$1203,$Z761-4000)=0,"",INDEX(客户自备加工筐明细!$L$4:$L$1203,$Z761-4000)),IF($Z761&lt;=5800,IF(INDEX(次果筐明细!$P$4:$P$603,$Z761-5200)=0,"",INDEX(次果筐明细!$P$4:$P$603,$Z761-5200)),"")))))</f>
        <v/>
      </c>
      <c r="N761" s="16" t="str">
        <f>IF($Z761="","",IF($Z761&lt;=2000,"",IF($Z761&lt;=4000,IF(INDEX(周转筐出入库明细!$D$4:$D$2004,$Z761-2000)=0,"",INDEX(周转筐出入库明细!$D$4:$D$2004,$Z761-2000)),IF($Z761&lt;=5200,IF(INDEX(客户自备加工筐明细!$C$4:$C$1203,$Z761-4000)=0,"",INDEX(客户自备加工筐明细!$C$4:$C$1203,$Z761-4000)),IF($Z761&lt;=5800,IF(INDEX(次果筐明细!$D$4:$D$603,$Z761-5200)=0,"",INDEX(次果筐明细!$D$4:$D$603,$Z761-5200)),"")))))</f>
        <v/>
      </c>
      <c r="O761" s="40" t="str">
        <f>IF($Z761="","",IF($Z761&lt;=2000,"",IF($Z761&lt;=4000,IF(N(INDEX(周转筐出入库明细!$J$4:$J$2004,$Z761-2000))+N(INDEX(周转筐出入库明细!$K$4:$K$2004,$Z761-2000))=0,"",N(INDEX(周转筐出入库明细!$J$4:$J$2004,$Z761-2000))+N(INDEX(周转筐出入库明细!$K$4:$K$2004,$Z761-2000))),IF($Z761&lt;=5200,IF(N(INDEX(客户自备加工筐明细!$G$4:$G$1203,$Z761-4000))=0,"",N(INDEX(客户自备加工筐明细!$G$4:$G$1203,$Z761-4000))),IF($Z761&lt;=5800,IF(ISNUMBER(SEARCH("退",INDEX(次果筐明细!$F$4:$F$603,$Z761-5200)&amp;"")),"",IF(N(INDEX(次果筐明细!$G$4:$G$603,$Z761-5200))=0,"",N(INDEX(次果筐明细!$G$4:$G$603,$Z761-5200)))),"")))))</f>
        <v/>
      </c>
      <c r="P761" s="40" t="str">
        <f>IF($Z761="","",IF($Z761&lt;=2000,"",IF($Z761&lt;=4000,IF(N(INDEX(周转筐出入库明细!$I$4:$I$2004,$Z761-2000))=0,"",N(INDEX(周转筐出入库明细!$I$4:$I$2004,$Z761-2000))),IF($Z761&lt;=5200,"",IF($Z761&lt;=5800,IF(ISNUMBER(SEARCH("退",INDEX(次果筐明细!$F$4:$F$603,$Z761-5200)&amp;"")),IF(N(INDEX(次果筐明细!$G$4:$G$603,$Z761-5200))=0,"",N(INDEX(次果筐明细!$G$4:$G$603,$Z761-5200))),""),"")))))</f>
        <v/>
      </c>
      <c r="Q761" s="40" t="str">
        <f>IF($Z761="","",IF($Z761&lt;=2000,"",IF($Z761&lt;=4000,IF(N(INDEX(周转筐出入库明细!$H$4:$H$2004,$Z761-2000))=0,"",N(INDEX(周转筐出入库明细!$H$4:$H$2004,$Z761-2000))),IF($Z761&lt;=5200,IF(N(INDEX(客户自备加工筐明细!$F$4:$F$1203,$Z761-4000))=0,"",N(INDEX(客户自备加工筐明细!$F$4:$F$1203,$Z761-4000))),IF($Z761&lt;=5800,"","")))))</f>
        <v/>
      </c>
      <c r="R761" s="16" t="str">
        <f>IF($Z761="","",IF($Z761&lt;=2000,IF(INDEX(包装物料出入库明细!$O$4:$O$2003,$Z761-0)=0,"",INDEX(包装物料出入库明细!$O$4:$O$2003,$Z761-0)),IF($Z761&lt;=4000,IF(INDEX(周转筐出入库明细!$M$4:$M$2004,$Z761-2000)=0,"",INDEX(周转筐出入库明细!$M$4:$M$2004,$Z761-2000)),IF($Z761&lt;=5200,IF(INDEX(客户自备加工筐明细!$H$4:$H$1203,$Z761-4000)=0,"",INDEX(客户自备加工筐明细!$H$4:$H$1203,$Z761-4000)),IF($Z761&lt;=5800,IF(INDEX(次果筐明细!$H$4:$H$603,$Z761-5200)=0,"",INDEX(次果筐明细!$H$4:$H$603,$Z761-5200)),"")))))</f>
        <v/>
      </c>
      <c r="S761" s="22" t="str">
        <f t="shared" si="35"/>
        <v/>
      </c>
      <c r="Z761" s="10" t="str">
        <f>IFERROR(MATCH(ROW()-3,_自动清单!$CQ$4:$CQ$5803,0),"")</f>
        <v/>
      </c>
    </row>
    <row r="762" spans="1:26">
      <c r="A762" s="24" t="str">
        <f t="shared" si="33"/>
        <v/>
      </c>
      <c r="B762" s="38" t="str">
        <f>IF($Z762="","",IF($Z762&lt;=2000,IF(INDEX(包装物料出入库明细!$B$4:$B$2003,$Z762-0)=0,"",INDEX(包装物料出入库明细!$B$4:$B$2003,$Z762-0)),IF($Z762&lt;=4000,IF(INDEX(周转筐出入库明细!$B$4:$B$2004,$Z762-2000)=0,"",INDEX(周转筐出入库明细!$B$4:$B$2004,$Z762-2000)),IF($Z762&lt;=5200,IF(INDEX(客户自备加工筐明细!$B$4:$B$1203,$Z762-4000)=0,"",INDEX(客户自备加工筐明细!$B$4:$B$1203,$Z762-4000)),IF($Z762&lt;=5800,IF(INDEX(次果筐明细!$B$4:$B$603,$Z762-5200)=0,"",INDEX(次果筐明细!$B$4:$B$603,$Z762-5200)),"")))))</f>
        <v/>
      </c>
      <c r="C762" s="37" t="str">
        <f>IF($Z762="","",IF($Z762&lt;=2000,IF(INDEX(包装物料出入库明细!$D$4:$D$2003,$Z762-0)=0,"",INDEX(包装物料出入库明细!$D$4:$D$2003,$Z762-0)),IF($Z762&lt;=4000,IF(INDEX(周转筐出入库明细!$C$4:$C$2004,$Z762-2000)=0,"",INDEX(周转筐出入库明细!$C$4:$C$2004,$Z762-2000)),IF($Z762&lt;=5200,IF(INDEX(客户自备加工筐明细!$E$4:$E$1203,$Z762-4000)=0,"",INDEX(客户自备加工筐明细!$E$4:$E$1203,$Z762-4000)),IF($Z762&lt;=5800,IF(INDEX(次果筐明细!$C$4:$C$603,$Z762-5200)=0,"",INDEX(次果筐明细!$C$4:$C$603,$Z762-5200)),"")))))</f>
        <v/>
      </c>
      <c r="D762" s="37" t="str">
        <f>IF($Z762="","",IF($Z762&lt;=2000,"包装物料－"&amp;INDEX(包装物料出入库明细!$H$4:$H$2003,$Z762-0),IF($Z762&lt;=4000,"周转筐－"&amp;INDEX(周转筐出入库明细!$F$4:$F$2004,$Z762-2000),IF($Z762&lt;=5200,"客户自备筐－"&amp;INDEX(客户自备加工筐明细!$J$4:$J$1203,$Z762-4000),IF($Z762&lt;=5800,"次果筐/托盘－"&amp;INDEX(次果筐明细!$F$4:$F$603,$Z762-5200),"")))))</f>
        <v/>
      </c>
      <c r="E762" s="24" t="str">
        <f>IF($Z762="","",IF($Z762&lt;=2000,IF(INDEX(包装物料出入库明细!$C$4:$C$2003,$Z762-0)=0,"",INDEX(包装物料出入库明细!$C$4:$C$2003,$Z762-0)),IF($Z762&lt;=4000,IF(INDEX(周转筐出入库明细!$E$4:$E$2004,$Z762-2000)=0,"",INDEX(周转筐出入库明细!$E$4:$E$2004,$Z762-2000)),IF($Z762&lt;=5200,IF(INDEX(客户自备加工筐明细!$D$4:$D$1203,$Z762-4000)=0,"",INDEX(客户自备加工筐明细!$D$4:$D$1203,$Z762-4000)),IF($Z762&lt;=5800,IF(INDEX(次果筐明细!$E$4:$E$603,$Z762-5200)=0,"",INDEX(次果筐明细!$E$4:$E$603,$Z762-5200)),"")))))</f>
        <v/>
      </c>
      <c r="F762" s="24" t="str">
        <f>IF($Z762="","",IF($Z762&lt;=2000,IF(INDEX(包装物料出入库明细!$E$4:$E$2003,$Z762-0)=0,"",INDEX(包装物料出入库明细!$E$4:$E$2003,$Z762-0)),IF($Z762&lt;=4000,IF(INDEX(周转筐出入库明细!$D$4:$D$2004,$Z762-2000)=0,"",INDEX(周转筐出入库明细!$D$4:$D$2004,$Z762-2000)),IF($Z762&lt;=5200,IF(INDEX(客户自备加工筐明细!$C$4:$C$1203,$Z762-4000)=0,"",INDEX(客户自备加工筐明细!$C$4:$C$1203,$Z762-4000)),IF($Z762&lt;=5800,IF(INDEX(次果筐明细!$D$4:$D$603,$Z762-5200)=0,"",INDEX(次果筐明细!$D$4:$D$603,$Z762-5200)),"")))))</f>
        <v/>
      </c>
      <c r="G762" s="24" t="str">
        <f>IF($Z762="","",IF($Z762&lt;=2000,IF(INDEX(包装物料出入库明细!$F$4:$F$2003,$Z762-0)=0,"",INDEX(包装物料出入库明细!$F$4:$F$2003,$Z762-0)),IF($Z762&lt;=4000,"",IF($Z762&lt;=5200,"",IF($Z762&lt;=5800,"","")))))</f>
        <v/>
      </c>
      <c r="H762" s="39" t="str">
        <f>IF($Z762="","",IF($Z762&lt;=2000,IF(INDEX(包装物料出入库明细!$L$4:$L$2003,$Z762-0)=0,"",INDEX(包装物料出入库明细!$L$4:$L$2003,$Z762-0)),IF($Z762&lt;=4000,N(INDEX(周转筐出入库明细!$H$4:$H$2004,$Z762-2000))+N(INDEX(周转筐出入库明细!$I$4:$I$2004,$Z762-2000))+N(INDEX(周转筐出入库明细!$J$4:$J$2004,$Z762-2000))+N(INDEX(周转筐出入库明细!$K$4:$K$2004,$Z762-2000)),IF($Z762&lt;=5200,N(INDEX(客户自备加工筐明细!$F$4:$F$1203,$Z762-4000))+N(INDEX(客户自备加工筐明细!$G$4:$G$1203,$Z762-4000)),IF($Z762&lt;=5800,IF(INDEX(次果筐明细!$G$4:$G$603,$Z762-5200)=0,"",INDEX(次果筐明细!$G$4:$G$603,$Z762-5200)),"")))))</f>
        <v/>
      </c>
      <c r="I762" s="24" t="str">
        <f>IF($Z762="","",IF($Z762&lt;=2000,IF(INDEX(包装物料出入库明细!$G$4:$G$2003,$Z762-0)=0,"",INDEX(包装物料出入库明细!$G$4:$G$2003,$Z762-0)),IF($Z762&lt;=4000,"个",IF($Z762&lt;=5200,"个",IF($Z762&lt;=5800,"个","")))))</f>
        <v/>
      </c>
      <c r="J762" s="30" t="str">
        <f t="shared" si="34"/>
        <v/>
      </c>
      <c r="K762" s="30" t="str">
        <f>IF($Z762="","",IF($Z762&lt;=2000,IF(INDEX(包装物料出入库明细!$N$4:$N$2003,$Z762-0)=0,"",INDEX(包装物料出入库明细!$N$4:$N$2003,$Z762-0)),IF($Z762&lt;=4000,IF(INDEX(周转筐出入库明细!$P$4:$P$2004,$Z762-2000)=0,"",INDEX(周转筐出入库明细!$P$4:$P$2004,$Z762-2000)),IF($Z762&lt;=5200,"",IF($Z762&lt;=5800,N(INDEX(次果筐明细!$L$4:$L$603,$Z762-5200))+N(INDEX(次果筐明细!$J$4:$J$603,$Z762-5200)),"")))))</f>
        <v/>
      </c>
      <c r="L762" s="24" t="str">
        <f>IF($Z762="","",IF($Z762&lt;=2000,IF(INDEX(包装物料出入库明细!$P$4:$P$2003,$Z762-0)=0,"",INDEX(包装物料出入库明细!$P$4:$P$2003,$Z762-0)),IF($Z762&lt;=4000,IF(INDEX(周转筐出入库明细!$Q$4:$Q$2004,$Z762-2000)=0,"",INDEX(周转筐出入库明细!$Q$4:$Q$2004,$Z762-2000)),IF($Z762&lt;=5200,"",IF($Z762&lt;=5800,IF(INDEX(次果筐明细!$M$4:$M$603,$Z762-5200)=0,"",INDEX(次果筐明细!$M$4:$M$603,$Z762-5200)),"")))))</f>
        <v/>
      </c>
      <c r="M762" s="37" t="str">
        <f>IF($Z762="","",IF($Z762&lt;=2000,IF(INDEX(包装物料出入库明细!$R$4:$R$2003,$Z762-0)=0,"",INDEX(包装物料出入库明细!$R$4:$R$2003,$Z762-0)),IF($Z762&lt;=4000,IF(INDEX(周转筐出入库明细!$W$4:$W$2004,$Z762-2000)=0,"",INDEX(周转筐出入库明细!$W$4:$W$2004,$Z762-2000)),IF($Z762&lt;=5200,IF(INDEX(客户自备加工筐明细!$L$4:$L$1203,$Z762-4000)=0,"",INDEX(客户自备加工筐明细!$L$4:$L$1203,$Z762-4000)),IF($Z762&lt;=5800,IF(INDEX(次果筐明细!$P$4:$P$603,$Z762-5200)=0,"",INDEX(次果筐明细!$P$4:$P$603,$Z762-5200)),"")))))</f>
        <v/>
      </c>
      <c r="N762" s="16" t="str">
        <f>IF($Z762="","",IF($Z762&lt;=2000,"",IF($Z762&lt;=4000,IF(INDEX(周转筐出入库明细!$D$4:$D$2004,$Z762-2000)=0,"",INDEX(周转筐出入库明细!$D$4:$D$2004,$Z762-2000)),IF($Z762&lt;=5200,IF(INDEX(客户自备加工筐明细!$C$4:$C$1203,$Z762-4000)=0,"",INDEX(客户自备加工筐明细!$C$4:$C$1203,$Z762-4000)),IF($Z762&lt;=5800,IF(INDEX(次果筐明细!$D$4:$D$603,$Z762-5200)=0,"",INDEX(次果筐明细!$D$4:$D$603,$Z762-5200)),"")))))</f>
        <v/>
      </c>
      <c r="O762" s="40" t="str">
        <f>IF($Z762="","",IF($Z762&lt;=2000,"",IF($Z762&lt;=4000,IF(N(INDEX(周转筐出入库明细!$J$4:$J$2004,$Z762-2000))+N(INDEX(周转筐出入库明细!$K$4:$K$2004,$Z762-2000))=0,"",N(INDEX(周转筐出入库明细!$J$4:$J$2004,$Z762-2000))+N(INDEX(周转筐出入库明细!$K$4:$K$2004,$Z762-2000))),IF($Z762&lt;=5200,IF(N(INDEX(客户自备加工筐明细!$G$4:$G$1203,$Z762-4000))=0,"",N(INDEX(客户自备加工筐明细!$G$4:$G$1203,$Z762-4000))),IF($Z762&lt;=5800,IF(ISNUMBER(SEARCH("退",INDEX(次果筐明细!$F$4:$F$603,$Z762-5200)&amp;"")),"",IF(N(INDEX(次果筐明细!$G$4:$G$603,$Z762-5200))=0,"",N(INDEX(次果筐明细!$G$4:$G$603,$Z762-5200)))),"")))))</f>
        <v/>
      </c>
      <c r="P762" s="40" t="str">
        <f>IF($Z762="","",IF($Z762&lt;=2000,"",IF($Z762&lt;=4000,IF(N(INDEX(周转筐出入库明细!$I$4:$I$2004,$Z762-2000))=0,"",N(INDEX(周转筐出入库明细!$I$4:$I$2004,$Z762-2000))),IF($Z762&lt;=5200,"",IF($Z762&lt;=5800,IF(ISNUMBER(SEARCH("退",INDEX(次果筐明细!$F$4:$F$603,$Z762-5200)&amp;"")),IF(N(INDEX(次果筐明细!$G$4:$G$603,$Z762-5200))=0,"",N(INDEX(次果筐明细!$G$4:$G$603,$Z762-5200))),""),"")))))</f>
        <v/>
      </c>
      <c r="Q762" s="40" t="str">
        <f>IF($Z762="","",IF($Z762&lt;=2000,"",IF($Z762&lt;=4000,IF(N(INDEX(周转筐出入库明细!$H$4:$H$2004,$Z762-2000))=0,"",N(INDEX(周转筐出入库明细!$H$4:$H$2004,$Z762-2000))),IF($Z762&lt;=5200,IF(N(INDEX(客户自备加工筐明细!$F$4:$F$1203,$Z762-4000))=0,"",N(INDEX(客户自备加工筐明细!$F$4:$F$1203,$Z762-4000))),IF($Z762&lt;=5800,"","")))))</f>
        <v/>
      </c>
      <c r="R762" s="16" t="str">
        <f>IF($Z762="","",IF($Z762&lt;=2000,IF(INDEX(包装物料出入库明细!$O$4:$O$2003,$Z762-0)=0,"",INDEX(包装物料出入库明细!$O$4:$O$2003,$Z762-0)),IF($Z762&lt;=4000,IF(INDEX(周转筐出入库明细!$M$4:$M$2004,$Z762-2000)=0,"",INDEX(周转筐出入库明细!$M$4:$M$2004,$Z762-2000)),IF($Z762&lt;=5200,IF(INDEX(客户自备加工筐明细!$H$4:$H$1203,$Z762-4000)=0,"",INDEX(客户自备加工筐明细!$H$4:$H$1203,$Z762-4000)),IF($Z762&lt;=5800,IF(INDEX(次果筐明细!$H$4:$H$603,$Z762-5200)=0,"",INDEX(次果筐明细!$H$4:$H$603,$Z762-5200)),"")))))</f>
        <v/>
      </c>
      <c r="S762" s="22" t="str">
        <f t="shared" si="35"/>
        <v/>
      </c>
      <c r="Z762" s="10" t="str">
        <f>IFERROR(MATCH(ROW()-3,_自动清单!$CQ$4:$CQ$5803,0),"")</f>
        <v/>
      </c>
    </row>
    <row r="763" spans="1:26">
      <c r="A763" s="24" t="str">
        <f t="shared" si="33"/>
        <v/>
      </c>
      <c r="B763" s="38" t="str">
        <f>IF($Z763="","",IF($Z763&lt;=2000,IF(INDEX(包装物料出入库明细!$B$4:$B$2003,$Z763-0)=0,"",INDEX(包装物料出入库明细!$B$4:$B$2003,$Z763-0)),IF($Z763&lt;=4000,IF(INDEX(周转筐出入库明细!$B$4:$B$2004,$Z763-2000)=0,"",INDEX(周转筐出入库明细!$B$4:$B$2004,$Z763-2000)),IF($Z763&lt;=5200,IF(INDEX(客户自备加工筐明细!$B$4:$B$1203,$Z763-4000)=0,"",INDEX(客户自备加工筐明细!$B$4:$B$1203,$Z763-4000)),IF($Z763&lt;=5800,IF(INDEX(次果筐明细!$B$4:$B$603,$Z763-5200)=0,"",INDEX(次果筐明细!$B$4:$B$603,$Z763-5200)),"")))))</f>
        <v/>
      </c>
      <c r="C763" s="37" t="str">
        <f>IF($Z763="","",IF($Z763&lt;=2000,IF(INDEX(包装物料出入库明细!$D$4:$D$2003,$Z763-0)=0,"",INDEX(包装物料出入库明细!$D$4:$D$2003,$Z763-0)),IF($Z763&lt;=4000,IF(INDEX(周转筐出入库明细!$C$4:$C$2004,$Z763-2000)=0,"",INDEX(周转筐出入库明细!$C$4:$C$2004,$Z763-2000)),IF($Z763&lt;=5200,IF(INDEX(客户自备加工筐明细!$E$4:$E$1203,$Z763-4000)=0,"",INDEX(客户自备加工筐明细!$E$4:$E$1203,$Z763-4000)),IF($Z763&lt;=5800,IF(INDEX(次果筐明细!$C$4:$C$603,$Z763-5200)=0,"",INDEX(次果筐明细!$C$4:$C$603,$Z763-5200)),"")))))</f>
        <v/>
      </c>
      <c r="D763" s="37" t="str">
        <f>IF($Z763="","",IF($Z763&lt;=2000,"包装物料－"&amp;INDEX(包装物料出入库明细!$H$4:$H$2003,$Z763-0),IF($Z763&lt;=4000,"周转筐－"&amp;INDEX(周转筐出入库明细!$F$4:$F$2004,$Z763-2000),IF($Z763&lt;=5200,"客户自备筐－"&amp;INDEX(客户自备加工筐明细!$J$4:$J$1203,$Z763-4000),IF($Z763&lt;=5800,"次果筐/托盘－"&amp;INDEX(次果筐明细!$F$4:$F$603,$Z763-5200),"")))))</f>
        <v/>
      </c>
      <c r="E763" s="24" t="str">
        <f>IF($Z763="","",IF($Z763&lt;=2000,IF(INDEX(包装物料出入库明细!$C$4:$C$2003,$Z763-0)=0,"",INDEX(包装物料出入库明细!$C$4:$C$2003,$Z763-0)),IF($Z763&lt;=4000,IF(INDEX(周转筐出入库明细!$E$4:$E$2004,$Z763-2000)=0,"",INDEX(周转筐出入库明细!$E$4:$E$2004,$Z763-2000)),IF($Z763&lt;=5200,IF(INDEX(客户自备加工筐明细!$D$4:$D$1203,$Z763-4000)=0,"",INDEX(客户自备加工筐明细!$D$4:$D$1203,$Z763-4000)),IF($Z763&lt;=5800,IF(INDEX(次果筐明细!$E$4:$E$603,$Z763-5200)=0,"",INDEX(次果筐明细!$E$4:$E$603,$Z763-5200)),"")))))</f>
        <v/>
      </c>
      <c r="F763" s="24" t="str">
        <f>IF($Z763="","",IF($Z763&lt;=2000,IF(INDEX(包装物料出入库明细!$E$4:$E$2003,$Z763-0)=0,"",INDEX(包装物料出入库明细!$E$4:$E$2003,$Z763-0)),IF($Z763&lt;=4000,IF(INDEX(周转筐出入库明细!$D$4:$D$2004,$Z763-2000)=0,"",INDEX(周转筐出入库明细!$D$4:$D$2004,$Z763-2000)),IF($Z763&lt;=5200,IF(INDEX(客户自备加工筐明细!$C$4:$C$1203,$Z763-4000)=0,"",INDEX(客户自备加工筐明细!$C$4:$C$1203,$Z763-4000)),IF($Z763&lt;=5800,IF(INDEX(次果筐明细!$D$4:$D$603,$Z763-5200)=0,"",INDEX(次果筐明细!$D$4:$D$603,$Z763-5200)),"")))))</f>
        <v/>
      </c>
      <c r="G763" s="24" t="str">
        <f>IF($Z763="","",IF($Z763&lt;=2000,IF(INDEX(包装物料出入库明细!$F$4:$F$2003,$Z763-0)=0,"",INDEX(包装物料出入库明细!$F$4:$F$2003,$Z763-0)),IF($Z763&lt;=4000,"",IF($Z763&lt;=5200,"",IF($Z763&lt;=5800,"","")))))</f>
        <v/>
      </c>
      <c r="H763" s="39" t="str">
        <f>IF($Z763="","",IF($Z763&lt;=2000,IF(INDEX(包装物料出入库明细!$L$4:$L$2003,$Z763-0)=0,"",INDEX(包装物料出入库明细!$L$4:$L$2003,$Z763-0)),IF($Z763&lt;=4000,N(INDEX(周转筐出入库明细!$H$4:$H$2004,$Z763-2000))+N(INDEX(周转筐出入库明细!$I$4:$I$2004,$Z763-2000))+N(INDEX(周转筐出入库明细!$J$4:$J$2004,$Z763-2000))+N(INDEX(周转筐出入库明细!$K$4:$K$2004,$Z763-2000)),IF($Z763&lt;=5200,N(INDEX(客户自备加工筐明细!$F$4:$F$1203,$Z763-4000))+N(INDEX(客户自备加工筐明细!$G$4:$G$1203,$Z763-4000)),IF($Z763&lt;=5800,IF(INDEX(次果筐明细!$G$4:$G$603,$Z763-5200)=0,"",INDEX(次果筐明细!$G$4:$G$603,$Z763-5200)),"")))))</f>
        <v/>
      </c>
      <c r="I763" s="24" t="str">
        <f>IF($Z763="","",IF($Z763&lt;=2000,IF(INDEX(包装物料出入库明细!$G$4:$G$2003,$Z763-0)=0,"",INDEX(包装物料出入库明细!$G$4:$G$2003,$Z763-0)),IF($Z763&lt;=4000,"个",IF($Z763&lt;=5200,"个",IF($Z763&lt;=5800,"个","")))))</f>
        <v/>
      </c>
      <c r="J763" s="30" t="str">
        <f t="shared" si="34"/>
        <v/>
      </c>
      <c r="K763" s="30" t="str">
        <f>IF($Z763="","",IF($Z763&lt;=2000,IF(INDEX(包装物料出入库明细!$N$4:$N$2003,$Z763-0)=0,"",INDEX(包装物料出入库明细!$N$4:$N$2003,$Z763-0)),IF($Z763&lt;=4000,IF(INDEX(周转筐出入库明细!$P$4:$P$2004,$Z763-2000)=0,"",INDEX(周转筐出入库明细!$P$4:$P$2004,$Z763-2000)),IF($Z763&lt;=5200,"",IF($Z763&lt;=5800,N(INDEX(次果筐明细!$L$4:$L$603,$Z763-5200))+N(INDEX(次果筐明细!$J$4:$J$603,$Z763-5200)),"")))))</f>
        <v/>
      </c>
      <c r="L763" s="24" t="str">
        <f>IF($Z763="","",IF($Z763&lt;=2000,IF(INDEX(包装物料出入库明细!$P$4:$P$2003,$Z763-0)=0,"",INDEX(包装物料出入库明细!$P$4:$P$2003,$Z763-0)),IF($Z763&lt;=4000,IF(INDEX(周转筐出入库明细!$Q$4:$Q$2004,$Z763-2000)=0,"",INDEX(周转筐出入库明细!$Q$4:$Q$2004,$Z763-2000)),IF($Z763&lt;=5200,"",IF($Z763&lt;=5800,IF(INDEX(次果筐明细!$M$4:$M$603,$Z763-5200)=0,"",INDEX(次果筐明细!$M$4:$M$603,$Z763-5200)),"")))))</f>
        <v/>
      </c>
      <c r="M763" s="37" t="str">
        <f>IF($Z763="","",IF($Z763&lt;=2000,IF(INDEX(包装物料出入库明细!$R$4:$R$2003,$Z763-0)=0,"",INDEX(包装物料出入库明细!$R$4:$R$2003,$Z763-0)),IF($Z763&lt;=4000,IF(INDEX(周转筐出入库明细!$W$4:$W$2004,$Z763-2000)=0,"",INDEX(周转筐出入库明细!$W$4:$W$2004,$Z763-2000)),IF($Z763&lt;=5200,IF(INDEX(客户自备加工筐明细!$L$4:$L$1203,$Z763-4000)=0,"",INDEX(客户自备加工筐明细!$L$4:$L$1203,$Z763-4000)),IF($Z763&lt;=5800,IF(INDEX(次果筐明细!$P$4:$P$603,$Z763-5200)=0,"",INDEX(次果筐明细!$P$4:$P$603,$Z763-5200)),"")))))</f>
        <v/>
      </c>
      <c r="N763" s="16" t="str">
        <f>IF($Z763="","",IF($Z763&lt;=2000,"",IF($Z763&lt;=4000,IF(INDEX(周转筐出入库明细!$D$4:$D$2004,$Z763-2000)=0,"",INDEX(周转筐出入库明细!$D$4:$D$2004,$Z763-2000)),IF($Z763&lt;=5200,IF(INDEX(客户自备加工筐明细!$C$4:$C$1203,$Z763-4000)=0,"",INDEX(客户自备加工筐明细!$C$4:$C$1203,$Z763-4000)),IF($Z763&lt;=5800,IF(INDEX(次果筐明细!$D$4:$D$603,$Z763-5200)=0,"",INDEX(次果筐明细!$D$4:$D$603,$Z763-5200)),"")))))</f>
        <v/>
      </c>
      <c r="O763" s="40" t="str">
        <f>IF($Z763="","",IF($Z763&lt;=2000,"",IF($Z763&lt;=4000,IF(N(INDEX(周转筐出入库明细!$J$4:$J$2004,$Z763-2000))+N(INDEX(周转筐出入库明细!$K$4:$K$2004,$Z763-2000))=0,"",N(INDEX(周转筐出入库明细!$J$4:$J$2004,$Z763-2000))+N(INDEX(周转筐出入库明细!$K$4:$K$2004,$Z763-2000))),IF($Z763&lt;=5200,IF(N(INDEX(客户自备加工筐明细!$G$4:$G$1203,$Z763-4000))=0,"",N(INDEX(客户自备加工筐明细!$G$4:$G$1203,$Z763-4000))),IF($Z763&lt;=5800,IF(ISNUMBER(SEARCH("退",INDEX(次果筐明细!$F$4:$F$603,$Z763-5200)&amp;"")),"",IF(N(INDEX(次果筐明细!$G$4:$G$603,$Z763-5200))=0,"",N(INDEX(次果筐明细!$G$4:$G$603,$Z763-5200)))),"")))))</f>
        <v/>
      </c>
      <c r="P763" s="40" t="str">
        <f>IF($Z763="","",IF($Z763&lt;=2000,"",IF($Z763&lt;=4000,IF(N(INDEX(周转筐出入库明细!$I$4:$I$2004,$Z763-2000))=0,"",N(INDEX(周转筐出入库明细!$I$4:$I$2004,$Z763-2000))),IF($Z763&lt;=5200,"",IF($Z763&lt;=5800,IF(ISNUMBER(SEARCH("退",INDEX(次果筐明细!$F$4:$F$603,$Z763-5200)&amp;"")),IF(N(INDEX(次果筐明细!$G$4:$G$603,$Z763-5200))=0,"",N(INDEX(次果筐明细!$G$4:$G$603,$Z763-5200))),""),"")))))</f>
        <v/>
      </c>
      <c r="Q763" s="40" t="str">
        <f>IF($Z763="","",IF($Z763&lt;=2000,"",IF($Z763&lt;=4000,IF(N(INDEX(周转筐出入库明细!$H$4:$H$2004,$Z763-2000))=0,"",N(INDEX(周转筐出入库明细!$H$4:$H$2004,$Z763-2000))),IF($Z763&lt;=5200,IF(N(INDEX(客户自备加工筐明细!$F$4:$F$1203,$Z763-4000))=0,"",N(INDEX(客户自备加工筐明细!$F$4:$F$1203,$Z763-4000))),IF($Z763&lt;=5800,"","")))))</f>
        <v/>
      </c>
      <c r="R763" s="16" t="str">
        <f>IF($Z763="","",IF($Z763&lt;=2000,IF(INDEX(包装物料出入库明细!$O$4:$O$2003,$Z763-0)=0,"",INDEX(包装物料出入库明细!$O$4:$O$2003,$Z763-0)),IF($Z763&lt;=4000,IF(INDEX(周转筐出入库明细!$M$4:$M$2004,$Z763-2000)=0,"",INDEX(周转筐出入库明细!$M$4:$M$2004,$Z763-2000)),IF($Z763&lt;=5200,IF(INDEX(客户自备加工筐明细!$H$4:$H$1203,$Z763-4000)=0,"",INDEX(客户自备加工筐明细!$H$4:$H$1203,$Z763-4000)),IF($Z763&lt;=5800,IF(INDEX(次果筐明细!$H$4:$H$603,$Z763-5200)=0,"",INDEX(次果筐明细!$H$4:$H$603,$Z763-5200)),"")))))</f>
        <v/>
      </c>
      <c r="S763" s="22" t="str">
        <f t="shared" si="35"/>
        <v/>
      </c>
      <c r="Z763" s="10" t="str">
        <f>IFERROR(MATCH(ROW()-3,_自动清单!$CQ$4:$CQ$5803,0),"")</f>
        <v/>
      </c>
    </row>
    <row r="764" spans="1:26">
      <c r="A764" s="24" t="str">
        <f t="shared" si="33"/>
        <v/>
      </c>
      <c r="B764" s="38" t="str">
        <f>IF($Z764="","",IF($Z764&lt;=2000,IF(INDEX(包装物料出入库明细!$B$4:$B$2003,$Z764-0)=0,"",INDEX(包装物料出入库明细!$B$4:$B$2003,$Z764-0)),IF($Z764&lt;=4000,IF(INDEX(周转筐出入库明细!$B$4:$B$2004,$Z764-2000)=0,"",INDEX(周转筐出入库明细!$B$4:$B$2004,$Z764-2000)),IF($Z764&lt;=5200,IF(INDEX(客户自备加工筐明细!$B$4:$B$1203,$Z764-4000)=0,"",INDEX(客户自备加工筐明细!$B$4:$B$1203,$Z764-4000)),IF($Z764&lt;=5800,IF(INDEX(次果筐明细!$B$4:$B$603,$Z764-5200)=0,"",INDEX(次果筐明细!$B$4:$B$603,$Z764-5200)),"")))))</f>
        <v/>
      </c>
      <c r="C764" s="37" t="str">
        <f>IF($Z764="","",IF($Z764&lt;=2000,IF(INDEX(包装物料出入库明细!$D$4:$D$2003,$Z764-0)=0,"",INDEX(包装物料出入库明细!$D$4:$D$2003,$Z764-0)),IF($Z764&lt;=4000,IF(INDEX(周转筐出入库明细!$C$4:$C$2004,$Z764-2000)=0,"",INDEX(周转筐出入库明细!$C$4:$C$2004,$Z764-2000)),IF($Z764&lt;=5200,IF(INDEX(客户自备加工筐明细!$E$4:$E$1203,$Z764-4000)=0,"",INDEX(客户自备加工筐明细!$E$4:$E$1203,$Z764-4000)),IF($Z764&lt;=5800,IF(INDEX(次果筐明细!$C$4:$C$603,$Z764-5200)=0,"",INDEX(次果筐明细!$C$4:$C$603,$Z764-5200)),"")))))</f>
        <v/>
      </c>
      <c r="D764" s="37" t="str">
        <f>IF($Z764="","",IF($Z764&lt;=2000,"包装物料－"&amp;INDEX(包装物料出入库明细!$H$4:$H$2003,$Z764-0),IF($Z764&lt;=4000,"周转筐－"&amp;INDEX(周转筐出入库明细!$F$4:$F$2004,$Z764-2000),IF($Z764&lt;=5200,"客户自备筐－"&amp;INDEX(客户自备加工筐明细!$J$4:$J$1203,$Z764-4000),IF($Z764&lt;=5800,"次果筐/托盘－"&amp;INDEX(次果筐明细!$F$4:$F$603,$Z764-5200),"")))))</f>
        <v/>
      </c>
      <c r="E764" s="24" t="str">
        <f>IF($Z764="","",IF($Z764&lt;=2000,IF(INDEX(包装物料出入库明细!$C$4:$C$2003,$Z764-0)=0,"",INDEX(包装物料出入库明细!$C$4:$C$2003,$Z764-0)),IF($Z764&lt;=4000,IF(INDEX(周转筐出入库明细!$E$4:$E$2004,$Z764-2000)=0,"",INDEX(周转筐出入库明细!$E$4:$E$2004,$Z764-2000)),IF($Z764&lt;=5200,IF(INDEX(客户自备加工筐明细!$D$4:$D$1203,$Z764-4000)=0,"",INDEX(客户自备加工筐明细!$D$4:$D$1203,$Z764-4000)),IF($Z764&lt;=5800,IF(INDEX(次果筐明细!$E$4:$E$603,$Z764-5200)=0,"",INDEX(次果筐明细!$E$4:$E$603,$Z764-5200)),"")))))</f>
        <v/>
      </c>
      <c r="F764" s="24" t="str">
        <f>IF($Z764="","",IF($Z764&lt;=2000,IF(INDEX(包装物料出入库明细!$E$4:$E$2003,$Z764-0)=0,"",INDEX(包装物料出入库明细!$E$4:$E$2003,$Z764-0)),IF($Z764&lt;=4000,IF(INDEX(周转筐出入库明细!$D$4:$D$2004,$Z764-2000)=0,"",INDEX(周转筐出入库明细!$D$4:$D$2004,$Z764-2000)),IF($Z764&lt;=5200,IF(INDEX(客户自备加工筐明细!$C$4:$C$1203,$Z764-4000)=0,"",INDEX(客户自备加工筐明细!$C$4:$C$1203,$Z764-4000)),IF($Z764&lt;=5800,IF(INDEX(次果筐明细!$D$4:$D$603,$Z764-5200)=0,"",INDEX(次果筐明细!$D$4:$D$603,$Z764-5200)),"")))))</f>
        <v/>
      </c>
      <c r="G764" s="24" t="str">
        <f>IF($Z764="","",IF($Z764&lt;=2000,IF(INDEX(包装物料出入库明细!$F$4:$F$2003,$Z764-0)=0,"",INDEX(包装物料出入库明细!$F$4:$F$2003,$Z764-0)),IF($Z764&lt;=4000,"",IF($Z764&lt;=5200,"",IF($Z764&lt;=5800,"","")))))</f>
        <v/>
      </c>
      <c r="H764" s="39" t="str">
        <f>IF($Z764="","",IF($Z764&lt;=2000,IF(INDEX(包装物料出入库明细!$L$4:$L$2003,$Z764-0)=0,"",INDEX(包装物料出入库明细!$L$4:$L$2003,$Z764-0)),IF($Z764&lt;=4000,N(INDEX(周转筐出入库明细!$H$4:$H$2004,$Z764-2000))+N(INDEX(周转筐出入库明细!$I$4:$I$2004,$Z764-2000))+N(INDEX(周转筐出入库明细!$J$4:$J$2004,$Z764-2000))+N(INDEX(周转筐出入库明细!$K$4:$K$2004,$Z764-2000)),IF($Z764&lt;=5200,N(INDEX(客户自备加工筐明细!$F$4:$F$1203,$Z764-4000))+N(INDEX(客户自备加工筐明细!$G$4:$G$1203,$Z764-4000)),IF($Z764&lt;=5800,IF(INDEX(次果筐明细!$G$4:$G$603,$Z764-5200)=0,"",INDEX(次果筐明细!$G$4:$G$603,$Z764-5200)),"")))))</f>
        <v/>
      </c>
      <c r="I764" s="24" t="str">
        <f>IF($Z764="","",IF($Z764&lt;=2000,IF(INDEX(包装物料出入库明细!$G$4:$G$2003,$Z764-0)=0,"",INDEX(包装物料出入库明细!$G$4:$G$2003,$Z764-0)),IF($Z764&lt;=4000,"个",IF($Z764&lt;=5200,"个",IF($Z764&lt;=5800,"个","")))))</f>
        <v/>
      </c>
      <c r="J764" s="30" t="str">
        <f t="shared" si="34"/>
        <v/>
      </c>
      <c r="K764" s="30" t="str">
        <f>IF($Z764="","",IF($Z764&lt;=2000,IF(INDEX(包装物料出入库明细!$N$4:$N$2003,$Z764-0)=0,"",INDEX(包装物料出入库明细!$N$4:$N$2003,$Z764-0)),IF($Z764&lt;=4000,IF(INDEX(周转筐出入库明细!$P$4:$P$2004,$Z764-2000)=0,"",INDEX(周转筐出入库明细!$P$4:$P$2004,$Z764-2000)),IF($Z764&lt;=5200,"",IF($Z764&lt;=5800,N(INDEX(次果筐明细!$L$4:$L$603,$Z764-5200))+N(INDEX(次果筐明细!$J$4:$J$603,$Z764-5200)),"")))))</f>
        <v/>
      </c>
      <c r="L764" s="24" t="str">
        <f>IF($Z764="","",IF($Z764&lt;=2000,IF(INDEX(包装物料出入库明细!$P$4:$P$2003,$Z764-0)=0,"",INDEX(包装物料出入库明细!$P$4:$P$2003,$Z764-0)),IF($Z764&lt;=4000,IF(INDEX(周转筐出入库明细!$Q$4:$Q$2004,$Z764-2000)=0,"",INDEX(周转筐出入库明细!$Q$4:$Q$2004,$Z764-2000)),IF($Z764&lt;=5200,"",IF($Z764&lt;=5800,IF(INDEX(次果筐明细!$M$4:$M$603,$Z764-5200)=0,"",INDEX(次果筐明细!$M$4:$M$603,$Z764-5200)),"")))))</f>
        <v/>
      </c>
      <c r="M764" s="37" t="str">
        <f>IF($Z764="","",IF($Z764&lt;=2000,IF(INDEX(包装物料出入库明细!$R$4:$R$2003,$Z764-0)=0,"",INDEX(包装物料出入库明细!$R$4:$R$2003,$Z764-0)),IF($Z764&lt;=4000,IF(INDEX(周转筐出入库明细!$W$4:$W$2004,$Z764-2000)=0,"",INDEX(周转筐出入库明细!$W$4:$W$2004,$Z764-2000)),IF($Z764&lt;=5200,IF(INDEX(客户自备加工筐明细!$L$4:$L$1203,$Z764-4000)=0,"",INDEX(客户自备加工筐明细!$L$4:$L$1203,$Z764-4000)),IF($Z764&lt;=5800,IF(INDEX(次果筐明细!$P$4:$P$603,$Z764-5200)=0,"",INDEX(次果筐明细!$P$4:$P$603,$Z764-5200)),"")))))</f>
        <v/>
      </c>
      <c r="N764" s="16" t="str">
        <f>IF($Z764="","",IF($Z764&lt;=2000,"",IF($Z764&lt;=4000,IF(INDEX(周转筐出入库明细!$D$4:$D$2004,$Z764-2000)=0,"",INDEX(周转筐出入库明细!$D$4:$D$2004,$Z764-2000)),IF($Z764&lt;=5200,IF(INDEX(客户自备加工筐明细!$C$4:$C$1203,$Z764-4000)=0,"",INDEX(客户自备加工筐明细!$C$4:$C$1203,$Z764-4000)),IF($Z764&lt;=5800,IF(INDEX(次果筐明细!$D$4:$D$603,$Z764-5200)=0,"",INDEX(次果筐明细!$D$4:$D$603,$Z764-5200)),"")))))</f>
        <v/>
      </c>
      <c r="O764" s="40" t="str">
        <f>IF($Z764="","",IF($Z764&lt;=2000,"",IF($Z764&lt;=4000,IF(N(INDEX(周转筐出入库明细!$J$4:$J$2004,$Z764-2000))+N(INDEX(周转筐出入库明细!$K$4:$K$2004,$Z764-2000))=0,"",N(INDEX(周转筐出入库明细!$J$4:$J$2004,$Z764-2000))+N(INDEX(周转筐出入库明细!$K$4:$K$2004,$Z764-2000))),IF($Z764&lt;=5200,IF(N(INDEX(客户自备加工筐明细!$G$4:$G$1203,$Z764-4000))=0,"",N(INDEX(客户自备加工筐明细!$G$4:$G$1203,$Z764-4000))),IF($Z764&lt;=5800,IF(ISNUMBER(SEARCH("退",INDEX(次果筐明细!$F$4:$F$603,$Z764-5200)&amp;"")),"",IF(N(INDEX(次果筐明细!$G$4:$G$603,$Z764-5200))=0,"",N(INDEX(次果筐明细!$G$4:$G$603,$Z764-5200)))),"")))))</f>
        <v/>
      </c>
      <c r="P764" s="40" t="str">
        <f>IF($Z764="","",IF($Z764&lt;=2000,"",IF($Z764&lt;=4000,IF(N(INDEX(周转筐出入库明细!$I$4:$I$2004,$Z764-2000))=0,"",N(INDEX(周转筐出入库明细!$I$4:$I$2004,$Z764-2000))),IF($Z764&lt;=5200,"",IF($Z764&lt;=5800,IF(ISNUMBER(SEARCH("退",INDEX(次果筐明细!$F$4:$F$603,$Z764-5200)&amp;"")),IF(N(INDEX(次果筐明细!$G$4:$G$603,$Z764-5200))=0,"",N(INDEX(次果筐明细!$G$4:$G$603,$Z764-5200))),""),"")))))</f>
        <v/>
      </c>
      <c r="Q764" s="40" t="str">
        <f>IF($Z764="","",IF($Z764&lt;=2000,"",IF($Z764&lt;=4000,IF(N(INDEX(周转筐出入库明细!$H$4:$H$2004,$Z764-2000))=0,"",N(INDEX(周转筐出入库明细!$H$4:$H$2004,$Z764-2000))),IF($Z764&lt;=5200,IF(N(INDEX(客户自备加工筐明细!$F$4:$F$1203,$Z764-4000))=0,"",N(INDEX(客户自备加工筐明细!$F$4:$F$1203,$Z764-4000))),IF($Z764&lt;=5800,"","")))))</f>
        <v/>
      </c>
      <c r="R764" s="16" t="str">
        <f>IF($Z764="","",IF($Z764&lt;=2000,IF(INDEX(包装物料出入库明细!$O$4:$O$2003,$Z764-0)=0,"",INDEX(包装物料出入库明细!$O$4:$O$2003,$Z764-0)),IF($Z764&lt;=4000,IF(INDEX(周转筐出入库明细!$M$4:$M$2004,$Z764-2000)=0,"",INDEX(周转筐出入库明细!$M$4:$M$2004,$Z764-2000)),IF($Z764&lt;=5200,IF(INDEX(客户自备加工筐明细!$H$4:$H$1203,$Z764-4000)=0,"",INDEX(客户自备加工筐明细!$H$4:$H$1203,$Z764-4000)),IF($Z764&lt;=5800,IF(INDEX(次果筐明细!$H$4:$H$603,$Z764-5200)=0,"",INDEX(次果筐明细!$H$4:$H$603,$Z764-5200)),"")))))</f>
        <v/>
      </c>
      <c r="S764" s="22" t="str">
        <f t="shared" si="35"/>
        <v/>
      </c>
      <c r="Z764" s="10" t="str">
        <f>IFERROR(MATCH(ROW()-3,_自动清单!$CQ$4:$CQ$5803,0),"")</f>
        <v/>
      </c>
    </row>
    <row r="765" spans="1:26">
      <c r="A765" s="24" t="str">
        <f t="shared" si="33"/>
        <v/>
      </c>
      <c r="B765" s="38" t="str">
        <f>IF($Z765="","",IF($Z765&lt;=2000,IF(INDEX(包装物料出入库明细!$B$4:$B$2003,$Z765-0)=0,"",INDEX(包装物料出入库明细!$B$4:$B$2003,$Z765-0)),IF($Z765&lt;=4000,IF(INDEX(周转筐出入库明细!$B$4:$B$2004,$Z765-2000)=0,"",INDEX(周转筐出入库明细!$B$4:$B$2004,$Z765-2000)),IF($Z765&lt;=5200,IF(INDEX(客户自备加工筐明细!$B$4:$B$1203,$Z765-4000)=0,"",INDEX(客户自备加工筐明细!$B$4:$B$1203,$Z765-4000)),IF($Z765&lt;=5800,IF(INDEX(次果筐明细!$B$4:$B$603,$Z765-5200)=0,"",INDEX(次果筐明细!$B$4:$B$603,$Z765-5200)),"")))))</f>
        <v/>
      </c>
      <c r="C765" s="37" t="str">
        <f>IF($Z765="","",IF($Z765&lt;=2000,IF(INDEX(包装物料出入库明细!$D$4:$D$2003,$Z765-0)=0,"",INDEX(包装物料出入库明细!$D$4:$D$2003,$Z765-0)),IF($Z765&lt;=4000,IF(INDEX(周转筐出入库明细!$C$4:$C$2004,$Z765-2000)=0,"",INDEX(周转筐出入库明细!$C$4:$C$2004,$Z765-2000)),IF($Z765&lt;=5200,IF(INDEX(客户自备加工筐明细!$E$4:$E$1203,$Z765-4000)=0,"",INDEX(客户自备加工筐明细!$E$4:$E$1203,$Z765-4000)),IF($Z765&lt;=5800,IF(INDEX(次果筐明细!$C$4:$C$603,$Z765-5200)=0,"",INDEX(次果筐明细!$C$4:$C$603,$Z765-5200)),"")))))</f>
        <v/>
      </c>
      <c r="D765" s="37" t="str">
        <f>IF($Z765="","",IF($Z765&lt;=2000,"包装物料－"&amp;INDEX(包装物料出入库明细!$H$4:$H$2003,$Z765-0),IF($Z765&lt;=4000,"周转筐－"&amp;INDEX(周转筐出入库明细!$F$4:$F$2004,$Z765-2000),IF($Z765&lt;=5200,"客户自备筐－"&amp;INDEX(客户自备加工筐明细!$J$4:$J$1203,$Z765-4000),IF($Z765&lt;=5800,"次果筐/托盘－"&amp;INDEX(次果筐明细!$F$4:$F$603,$Z765-5200),"")))))</f>
        <v/>
      </c>
      <c r="E765" s="24" t="str">
        <f>IF($Z765="","",IF($Z765&lt;=2000,IF(INDEX(包装物料出入库明细!$C$4:$C$2003,$Z765-0)=0,"",INDEX(包装物料出入库明细!$C$4:$C$2003,$Z765-0)),IF($Z765&lt;=4000,IF(INDEX(周转筐出入库明细!$E$4:$E$2004,$Z765-2000)=0,"",INDEX(周转筐出入库明细!$E$4:$E$2004,$Z765-2000)),IF($Z765&lt;=5200,IF(INDEX(客户自备加工筐明细!$D$4:$D$1203,$Z765-4000)=0,"",INDEX(客户自备加工筐明细!$D$4:$D$1203,$Z765-4000)),IF($Z765&lt;=5800,IF(INDEX(次果筐明细!$E$4:$E$603,$Z765-5200)=0,"",INDEX(次果筐明细!$E$4:$E$603,$Z765-5200)),"")))))</f>
        <v/>
      </c>
      <c r="F765" s="24" t="str">
        <f>IF($Z765="","",IF($Z765&lt;=2000,IF(INDEX(包装物料出入库明细!$E$4:$E$2003,$Z765-0)=0,"",INDEX(包装物料出入库明细!$E$4:$E$2003,$Z765-0)),IF($Z765&lt;=4000,IF(INDEX(周转筐出入库明细!$D$4:$D$2004,$Z765-2000)=0,"",INDEX(周转筐出入库明细!$D$4:$D$2004,$Z765-2000)),IF($Z765&lt;=5200,IF(INDEX(客户自备加工筐明细!$C$4:$C$1203,$Z765-4000)=0,"",INDEX(客户自备加工筐明细!$C$4:$C$1203,$Z765-4000)),IF($Z765&lt;=5800,IF(INDEX(次果筐明细!$D$4:$D$603,$Z765-5200)=0,"",INDEX(次果筐明细!$D$4:$D$603,$Z765-5200)),"")))))</f>
        <v/>
      </c>
      <c r="G765" s="24" t="str">
        <f>IF($Z765="","",IF($Z765&lt;=2000,IF(INDEX(包装物料出入库明细!$F$4:$F$2003,$Z765-0)=0,"",INDEX(包装物料出入库明细!$F$4:$F$2003,$Z765-0)),IF($Z765&lt;=4000,"",IF($Z765&lt;=5200,"",IF($Z765&lt;=5800,"","")))))</f>
        <v/>
      </c>
      <c r="H765" s="39" t="str">
        <f>IF($Z765="","",IF($Z765&lt;=2000,IF(INDEX(包装物料出入库明细!$L$4:$L$2003,$Z765-0)=0,"",INDEX(包装物料出入库明细!$L$4:$L$2003,$Z765-0)),IF($Z765&lt;=4000,N(INDEX(周转筐出入库明细!$H$4:$H$2004,$Z765-2000))+N(INDEX(周转筐出入库明细!$I$4:$I$2004,$Z765-2000))+N(INDEX(周转筐出入库明细!$J$4:$J$2004,$Z765-2000))+N(INDEX(周转筐出入库明细!$K$4:$K$2004,$Z765-2000)),IF($Z765&lt;=5200,N(INDEX(客户自备加工筐明细!$F$4:$F$1203,$Z765-4000))+N(INDEX(客户自备加工筐明细!$G$4:$G$1203,$Z765-4000)),IF($Z765&lt;=5800,IF(INDEX(次果筐明细!$G$4:$G$603,$Z765-5200)=0,"",INDEX(次果筐明细!$G$4:$G$603,$Z765-5200)),"")))))</f>
        <v/>
      </c>
      <c r="I765" s="24" t="str">
        <f>IF($Z765="","",IF($Z765&lt;=2000,IF(INDEX(包装物料出入库明细!$G$4:$G$2003,$Z765-0)=0,"",INDEX(包装物料出入库明细!$G$4:$G$2003,$Z765-0)),IF($Z765&lt;=4000,"个",IF($Z765&lt;=5200,"个",IF($Z765&lt;=5800,"个","")))))</f>
        <v/>
      </c>
      <c r="J765" s="30" t="str">
        <f t="shared" si="34"/>
        <v/>
      </c>
      <c r="K765" s="30" t="str">
        <f>IF($Z765="","",IF($Z765&lt;=2000,IF(INDEX(包装物料出入库明细!$N$4:$N$2003,$Z765-0)=0,"",INDEX(包装物料出入库明细!$N$4:$N$2003,$Z765-0)),IF($Z765&lt;=4000,IF(INDEX(周转筐出入库明细!$P$4:$P$2004,$Z765-2000)=0,"",INDEX(周转筐出入库明细!$P$4:$P$2004,$Z765-2000)),IF($Z765&lt;=5200,"",IF($Z765&lt;=5800,N(INDEX(次果筐明细!$L$4:$L$603,$Z765-5200))+N(INDEX(次果筐明细!$J$4:$J$603,$Z765-5200)),"")))))</f>
        <v/>
      </c>
      <c r="L765" s="24" t="str">
        <f>IF($Z765="","",IF($Z765&lt;=2000,IF(INDEX(包装物料出入库明细!$P$4:$P$2003,$Z765-0)=0,"",INDEX(包装物料出入库明细!$P$4:$P$2003,$Z765-0)),IF($Z765&lt;=4000,IF(INDEX(周转筐出入库明细!$Q$4:$Q$2004,$Z765-2000)=0,"",INDEX(周转筐出入库明细!$Q$4:$Q$2004,$Z765-2000)),IF($Z765&lt;=5200,"",IF($Z765&lt;=5800,IF(INDEX(次果筐明细!$M$4:$M$603,$Z765-5200)=0,"",INDEX(次果筐明细!$M$4:$M$603,$Z765-5200)),"")))))</f>
        <v/>
      </c>
      <c r="M765" s="37" t="str">
        <f>IF($Z765="","",IF($Z765&lt;=2000,IF(INDEX(包装物料出入库明细!$R$4:$R$2003,$Z765-0)=0,"",INDEX(包装物料出入库明细!$R$4:$R$2003,$Z765-0)),IF($Z765&lt;=4000,IF(INDEX(周转筐出入库明细!$W$4:$W$2004,$Z765-2000)=0,"",INDEX(周转筐出入库明细!$W$4:$W$2004,$Z765-2000)),IF($Z765&lt;=5200,IF(INDEX(客户自备加工筐明细!$L$4:$L$1203,$Z765-4000)=0,"",INDEX(客户自备加工筐明细!$L$4:$L$1203,$Z765-4000)),IF($Z765&lt;=5800,IF(INDEX(次果筐明细!$P$4:$P$603,$Z765-5200)=0,"",INDEX(次果筐明细!$P$4:$P$603,$Z765-5200)),"")))))</f>
        <v/>
      </c>
      <c r="N765" s="16" t="str">
        <f>IF($Z765="","",IF($Z765&lt;=2000,"",IF($Z765&lt;=4000,IF(INDEX(周转筐出入库明细!$D$4:$D$2004,$Z765-2000)=0,"",INDEX(周转筐出入库明细!$D$4:$D$2004,$Z765-2000)),IF($Z765&lt;=5200,IF(INDEX(客户自备加工筐明细!$C$4:$C$1203,$Z765-4000)=0,"",INDEX(客户自备加工筐明细!$C$4:$C$1203,$Z765-4000)),IF($Z765&lt;=5800,IF(INDEX(次果筐明细!$D$4:$D$603,$Z765-5200)=0,"",INDEX(次果筐明细!$D$4:$D$603,$Z765-5200)),"")))))</f>
        <v/>
      </c>
      <c r="O765" s="40" t="str">
        <f>IF($Z765="","",IF($Z765&lt;=2000,"",IF($Z765&lt;=4000,IF(N(INDEX(周转筐出入库明细!$J$4:$J$2004,$Z765-2000))+N(INDEX(周转筐出入库明细!$K$4:$K$2004,$Z765-2000))=0,"",N(INDEX(周转筐出入库明细!$J$4:$J$2004,$Z765-2000))+N(INDEX(周转筐出入库明细!$K$4:$K$2004,$Z765-2000))),IF($Z765&lt;=5200,IF(N(INDEX(客户自备加工筐明细!$G$4:$G$1203,$Z765-4000))=0,"",N(INDEX(客户自备加工筐明细!$G$4:$G$1203,$Z765-4000))),IF($Z765&lt;=5800,IF(ISNUMBER(SEARCH("退",INDEX(次果筐明细!$F$4:$F$603,$Z765-5200)&amp;"")),"",IF(N(INDEX(次果筐明细!$G$4:$G$603,$Z765-5200))=0,"",N(INDEX(次果筐明细!$G$4:$G$603,$Z765-5200)))),"")))))</f>
        <v/>
      </c>
      <c r="P765" s="40" t="str">
        <f>IF($Z765="","",IF($Z765&lt;=2000,"",IF($Z765&lt;=4000,IF(N(INDEX(周转筐出入库明细!$I$4:$I$2004,$Z765-2000))=0,"",N(INDEX(周转筐出入库明细!$I$4:$I$2004,$Z765-2000))),IF($Z765&lt;=5200,"",IF($Z765&lt;=5800,IF(ISNUMBER(SEARCH("退",INDEX(次果筐明细!$F$4:$F$603,$Z765-5200)&amp;"")),IF(N(INDEX(次果筐明细!$G$4:$G$603,$Z765-5200))=0,"",N(INDEX(次果筐明细!$G$4:$G$603,$Z765-5200))),""),"")))))</f>
        <v/>
      </c>
      <c r="Q765" s="40" t="str">
        <f>IF($Z765="","",IF($Z765&lt;=2000,"",IF($Z765&lt;=4000,IF(N(INDEX(周转筐出入库明细!$H$4:$H$2004,$Z765-2000))=0,"",N(INDEX(周转筐出入库明细!$H$4:$H$2004,$Z765-2000))),IF($Z765&lt;=5200,IF(N(INDEX(客户自备加工筐明细!$F$4:$F$1203,$Z765-4000))=0,"",N(INDEX(客户自备加工筐明细!$F$4:$F$1203,$Z765-4000))),IF($Z765&lt;=5800,"","")))))</f>
        <v/>
      </c>
      <c r="R765" s="16" t="str">
        <f>IF($Z765="","",IF($Z765&lt;=2000,IF(INDEX(包装物料出入库明细!$O$4:$O$2003,$Z765-0)=0,"",INDEX(包装物料出入库明细!$O$4:$O$2003,$Z765-0)),IF($Z765&lt;=4000,IF(INDEX(周转筐出入库明细!$M$4:$M$2004,$Z765-2000)=0,"",INDEX(周转筐出入库明细!$M$4:$M$2004,$Z765-2000)),IF($Z765&lt;=5200,IF(INDEX(客户自备加工筐明细!$H$4:$H$1203,$Z765-4000)=0,"",INDEX(客户自备加工筐明细!$H$4:$H$1203,$Z765-4000)),IF($Z765&lt;=5800,IF(INDEX(次果筐明细!$H$4:$H$603,$Z765-5200)=0,"",INDEX(次果筐明细!$H$4:$H$603,$Z765-5200)),"")))))</f>
        <v/>
      </c>
      <c r="S765" s="22" t="str">
        <f t="shared" si="35"/>
        <v/>
      </c>
      <c r="Z765" s="10" t="str">
        <f>IFERROR(MATCH(ROW()-3,_自动清单!$CQ$4:$CQ$5803,0),"")</f>
        <v/>
      </c>
    </row>
    <row r="766" spans="1:26">
      <c r="A766" s="24" t="str">
        <f t="shared" si="33"/>
        <v/>
      </c>
      <c r="B766" s="38" t="str">
        <f>IF($Z766="","",IF($Z766&lt;=2000,IF(INDEX(包装物料出入库明细!$B$4:$B$2003,$Z766-0)=0,"",INDEX(包装物料出入库明细!$B$4:$B$2003,$Z766-0)),IF($Z766&lt;=4000,IF(INDEX(周转筐出入库明细!$B$4:$B$2004,$Z766-2000)=0,"",INDEX(周转筐出入库明细!$B$4:$B$2004,$Z766-2000)),IF($Z766&lt;=5200,IF(INDEX(客户自备加工筐明细!$B$4:$B$1203,$Z766-4000)=0,"",INDEX(客户自备加工筐明细!$B$4:$B$1203,$Z766-4000)),IF($Z766&lt;=5800,IF(INDEX(次果筐明细!$B$4:$B$603,$Z766-5200)=0,"",INDEX(次果筐明细!$B$4:$B$603,$Z766-5200)),"")))))</f>
        <v/>
      </c>
      <c r="C766" s="37" t="str">
        <f>IF($Z766="","",IF($Z766&lt;=2000,IF(INDEX(包装物料出入库明细!$D$4:$D$2003,$Z766-0)=0,"",INDEX(包装物料出入库明细!$D$4:$D$2003,$Z766-0)),IF($Z766&lt;=4000,IF(INDEX(周转筐出入库明细!$C$4:$C$2004,$Z766-2000)=0,"",INDEX(周转筐出入库明细!$C$4:$C$2004,$Z766-2000)),IF($Z766&lt;=5200,IF(INDEX(客户自备加工筐明细!$E$4:$E$1203,$Z766-4000)=0,"",INDEX(客户自备加工筐明细!$E$4:$E$1203,$Z766-4000)),IF($Z766&lt;=5800,IF(INDEX(次果筐明细!$C$4:$C$603,$Z766-5200)=0,"",INDEX(次果筐明细!$C$4:$C$603,$Z766-5200)),"")))))</f>
        <v/>
      </c>
      <c r="D766" s="37" t="str">
        <f>IF($Z766="","",IF($Z766&lt;=2000,"包装物料－"&amp;INDEX(包装物料出入库明细!$H$4:$H$2003,$Z766-0),IF($Z766&lt;=4000,"周转筐－"&amp;INDEX(周转筐出入库明细!$F$4:$F$2004,$Z766-2000),IF($Z766&lt;=5200,"客户自备筐－"&amp;INDEX(客户自备加工筐明细!$J$4:$J$1203,$Z766-4000),IF($Z766&lt;=5800,"次果筐/托盘－"&amp;INDEX(次果筐明细!$F$4:$F$603,$Z766-5200),"")))))</f>
        <v/>
      </c>
      <c r="E766" s="24" t="str">
        <f>IF($Z766="","",IF($Z766&lt;=2000,IF(INDEX(包装物料出入库明细!$C$4:$C$2003,$Z766-0)=0,"",INDEX(包装物料出入库明细!$C$4:$C$2003,$Z766-0)),IF($Z766&lt;=4000,IF(INDEX(周转筐出入库明细!$E$4:$E$2004,$Z766-2000)=0,"",INDEX(周转筐出入库明细!$E$4:$E$2004,$Z766-2000)),IF($Z766&lt;=5200,IF(INDEX(客户自备加工筐明细!$D$4:$D$1203,$Z766-4000)=0,"",INDEX(客户自备加工筐明细!$D$4:$D$1203,$Z766-4000)),IF($Z766&lt;=5800,IF(INDEX(次果筐明细!$E$4:$E$603,$Z766-5200)=0,"",INDEX(次果筐明细!$E$4:$E$603,$Z766-5200)),"")))))</f>
        <v/>
      </c>
      <c r="F766" s="24" t="str">
        <f>IF($Z766="","",IF($Z766&lt;=2000,IF(INDEX(包装物料出入库明细!$E$4:$E$2003,$Z766-0)=0,"",INDEX(包装物料出入库明细!$E$4:$E$2003,$Z766-0)),IF($Z766&lt;=4000,IF(INDEX(周转筐出入库明细!$D$4:$D$2004,$Z766-2000)=0,"",INDEX(周转筐出入库明细!$D$4:$D$2004,$Z766-2000)),IF($Z766&lt;=5200,IF(INDEX(客户自备加工筐明细!$C$4:$C$1203,$Z766-4000)=0,"",INDEX(客户自备加工筐明细!$C$4:$C$1203,$Z766-4000)),IF($Z766&lt;=5800,IF(INDEX(次果筐明细!$D$4:$D$603,$Z766-5200)=0,"",INDEX(次果筐明细!$D$4:$D$603,$Z766-5200)),"")))))</f>
        <v/>
      </c>
      <c r="G766" s="24" t="str">
        <f>IF($Z766="","",IF($Z766&lt;=2000,IF(INDEX(包装物料出入库明细!$F$4:$F$2003,$Z766-0)=0,"",INDEX(包装物料出入库明细!$F$4:$F$2003,$Z766-0)),IF($Z766&lt;=4000,"",IF($Z766&lt;=5200,"",IF($Z766&lt;=5800,"","")))))</f>
        <v/>
      </c>
      <c r="H766" s="39" t="str">
        <f>IF($Z766="","",IF($Z766&lt;=2000,IF(INDEX(包装物料出入库明细!$L$4:$L$2003,$Z766-0)=0,"",INDEX(包装物料出入库明细!$L$4:$L$2003,$Z766-0)),IF($Z766&lt;=4000,N(INDEX(周转筐出入库明细!$H$4:$H$2004,$Z766-2000))+N(INDEX(周转筐出入库明细!$I$4:$I$2004,$Z766-2000))+N(INDEX(周转筐出入库明细!$J$4:$J$2004,$Z766-2000))+N(INDEX(周转筐出入库明细!$K$4:$K$2004,$Z766-2000)),IF($Z766&lt;=5200,N(INDEX(客户自备加工筐明细!$F$4:$F$1203,$Z766-4000))+N(INDEX(客户自备加工筐明细!$G$4:$G$1203,$Z766-4000)),IF($Z766&lt;=5800,IF(INDEX(次果筐明细!$G$4:$G$603,$Z766-5200)=0,"",INDEX(次果筐明细!$G$4:$G$603,$Z766-5200)),"")))))</f>
        <v/>
      </c>
      <c r="I766" s="24" t="str">
        <f>IF($Z766="","",IF($Z766&lt;=2000,IF(INDEX(包装物料出入库明细!$G$4:$G$2003,$Z766-0)=0,"",INDEX(包装物料出入库明细!$G$4:$G$2003,$Z766-0)),IF($Z766&lt;=4000,"个",IF($Z766&lt;=5200,"个",IF($Z766&lt;=5800,"个","")))))</f>
        <v/>
      </c>
      <c r="J766" s="30" t="str">
        <f t="shared" si="34"/>
        <v/>
      </c>
      <c r="K766" s="30" t="str">
        <f>IF($Z766="","",IF($Z766&lt;=2000,IF(INDEX(包装物料出入库明细!$N$4:$N$2003,$Z766-0)=0,"",INDEX(包装物料出入库明细!$N$4:$N$2003,$Z766-0)),IF($Z766&lt;=4000,IF(INDEX(周转筐出入库明细!$P$4:$P$2004,$Z766-2000)=0,"",INDEX(周转筐出入库明细!$P$4:$P$2004,$Z766-2000)),IF($Z766&lt;=5200,"",IF($Z766&lt;=5800,N(INDEX(次果筐明细!$L$4:$L$603,$Z766-5200))+N(INDEX(次果筐明细!$J$4:$J$603,$Z766-5200)),"")))))</f>
        <v/>
      </c>
      <c r="L766" s="24" t="str">
        <f>IF($Z766="","",IF($Z766&lt;=2000,IF(INDEX(包装物料出入库明细!$P$4:$P$2003,$Z766-0)=0,"",INDEX(包装物料出入库明细!$P$4:$P$2003,$Z766-0)),IF($Z766&lt;=4000,IF(INDEX(周转筐出入库明细!$Q$4:$Q$2004,$Z766-2000)=0,"",INDEX(周转筐出入库明细!$Q$4:$Q$2004,$Z766-2000)),IF($Z766&lt;=5200,"",IF($Z766&lt;=5800,IF(INDEX(次果筐明细!$M$4:$M$603,$Z766-5200)=0,"",INDEX(次果筐明细!$M$4:$M$603,$Z766-5200)),"")))))</f>
        <v/>
      </c>
      <c r="M766" s="37" t="str">
        <f>IF($Z766="","",IF($Z766&lt;=2000,IF(INDEX(包装物料出入库明细!$R$4:$R$2003,$Z766-0)=0,"",INDEX(包装物料出入库明细!$R$4:$R$2003,$Z766-0)),IF($Z766&lt;=4000,IF(INDEX(周转筐出入库明细!$W$4:$W$2004,$Z766-2000)=0,"",INDEX(周转筐出入库明细!$W$4:$W$2004,$Z766-2000)),IF($Z766&lt;=5200,IF(INDEX(客户自备加工筐明细!$L$4:$L$1203,$Z766-4000)=0,"",INDEX(客户自备加工筐明细!$L$4:$L$1203,$Z766-4000)),IF($Z766&lt;=5800,IF(INDEX(次果筐明细!$P$4:$P$603,$Z766-5200)=0,"",INDEX(次果筐明细!$P$4:$P$603,$Z766-5200)),"")))))</f>
        <v/>
      </c>
      <c r="N766" s="16" t="str">
        <f>IF($Z766="","",IF($Z766&lt;=2000,"",IF($Z766&lt;=4000,IF(INDEX(周转筐出入库明细!$D$4:$D$2004,$Z766-2000)=0,"",INDEX(周转筐出入库明细!$D$4:$D$2004,$Z766-2000)),IF($Z766&lt;=5200,IF(INDEX(客户自备加工筐明细!$C$4:$C$1203,$Z766-4000)=0,"",INDEX(客户自备加工筐明细!$C$4:$C$1203,$Z766-4000)),IF($Z766&lt;=5800,IF(INDEX(次果筐明细!$D$4:$D$603,$Z766-5200)=0,"",INDEX(次果筐明细!$D$4:$D$603,$Z766-5200)),"")))))</f>
        <v/>
      </c>
      <c r="O766" s="40" t="str">
        <f>IF($Z766="","",IF($Z766&lt;=2000,"",IF($Z766&lt;=4000,IF(N(INDEX(周转筐出入库明细!$J$4:$J$2004,$Z766-2000))+N(INDEX(周转筐出入库明细!$K$4:$K$2004,$Z766-2000))=0,"",N(INDEX(周转筐出入库明细!$J$4:$J$2004,$Z766-2000))+N(INDEX(周转筐出入库明细!$K$4:$K$2004,$Z766-2000))),IF($Z766&lt;=5200,IF(N(INDEX(客户自备加工筐明细!$G$4:$G$1203,$Z766-4000))=0,"",N(INDEX(客户自备加工筐明细!$G$4:$G$1203,$Z766-4000))),IF($Z766&lt;=5800,IF(ISNUMBER(SEARCH("退",INDEX(次果筐明细!$F$4:$F$603,$Z766-5200)&amp;"")),"",IF(N(INDEX(次果筐明细!$G$4:$G$603,$Z766-5200))=0,"",N(INDEX(次果筐明细!$G$4:$G$603,$Z766-5200)))),"")))))</f>
        <v/>
      </c>
      <c r="P766" s="40" t="str">
        <f>IF($Z766="","",IF($Z766&lt;=2000,"",IF($Z766&lt;=4000,IF(N(INDEX(周转筐出入库明细!$I$4:$I$2004,$Z766-2000))=0,"",N(INDEX(周转筐出入库明细!$I$4:$I$2004,$Z766-2000))),IF($Z766&lt;=5200,"",IF($Z766&lt;=5800,IF(ISNUMBER(SEARCH("退",INDEX(次果筐明细!$F$4:$F$603,$Z766-5200)&amp;"")),IF(N(INDEX(次果筐明细!$G$4:$G$603,$Z766-5200))=0,"",N(INDEX(次果筐明细!$G$4:$G$603,$Z766-5200))),""),"")))))</f>
        <v/>
      </c>
      <c r="Q766" s="40" t="str">
        <f>IF($Z766="","",IF($Z766&lt;=2000,"",IF($Z766&lt;=4000,IF(N(INDEX(周转筐出入库明细!$H$4:$H$2004,$Z766-2000))=0,"",N(INDEX(周转筐出入库明细!$H$4:$H$2004,$Z766-2000))),IF($Z766&lt;=5200,IF(N(INDEX(客户自备加工筐明细!$F$4:$F$1203,$Z766-4000))=0,"",N(INDEX(客户自备加工筐明细!$F$4:$F$1203,$Z766-4000))),IF($Z766&lt;=5800,"","")))))</f>
        <v/>
      </c>
      <c r="R766" s="16" t="str">
        <f>IF($Z766="","",IF($Z766&lt;=2000,IF(INDEX(包装物料出入库明细!$O$4:$O$2003,$Z766-0)=0,"",INDEX(包装物料出入库明细!$O$4:$O$2003,$Z766-0)),IF($Z766&lt;=4000,IF(INDEX(周转筐出入库明细!$M$4:$M$2004,$Z766-2000)=0,"",INDEX(周转筐出入库明细!$M$4:$M$2004,$Z766-2000)),IF($Z766&lt;=5200,IF(INDEX(客户自备加工筐明细!$H$4:$H$1203,$Z766-4000)=0,"",INDEX(客户自备加工筐明细!$H$4:$H$1203,$Z766-4000)),IF($Z766&lt;=5800,IF(INDEX(次果筐明细!$H$4:$H$603,$Z766-5200)=0,"",INDEX(次果筐明细!$H$4:$H$603,$Z766-5200)),"")))))</f>
        <v/>
      </c>
      <c r="S766" s="22" t="str">
        <f t="shared" si="35"/>
        <v/>
      </c>
      <c r="Z766" s="10" t="str">
        <f>IFERROR(MATCH(ROW()-3,_自动清单!$CQ$4:$CQ$5803,0),"")</f>
        <v/>
      </c>
    </row>
    <row r="767" spans="1:26">
      <c r="A767" s="24" t="str">
        <f t="shared" si="33"/>
        <v/>
      </c>
      <c r="B767" s="38" t="str">
        <f>IF($Z767="","",IF($Z767&lt;=2000,IF(INDEX(包装物料出入库明细!$B$4:$B$2003,$Z767-0)=0,"",INDEX(包装物料出入库明细!$B$4:$B$2003,$Z767-0)),IF($Z767&lt;=4000,IF(INDEX(周转筐出入库明细!$B$4:$B$2004,$Z767-2000)=0,"",INDEX(周转筐出入库明细!$B$4:$B$2004,$Z767-2000)),IF($Z767&lt;=5200,IF(INDEX(客户自备加工筐明细!$B$4:$B$1203,$Z767-4000)=0,"",INDEX(客户自备加工筐明细!$B$4:$B$1203,$Z767-4000)),IF($Z767&lt;=5800,IF(INDEX(次果筐明细!$B$4:$B$603,$Z767-5200)=0,"",INDEX(次果筐明细!$B$4:$B$603,$Z767-5200)),"")))))</f>
        <v/>
      </c>
      <c r="C767" s="37" t="str">
        <f>IF($Z767="","",IF($Z767&lt;=2000,IF(INDEX(包装物料出入库明细!$D$4:$D$2003,$Z767-0)=0,"",INDEX(包装物料出入库明细!$D$4:$D$2003,$Z767-0)),IF($Z767&lt;=4000,IF(INDEX(周转筐出入库明细!$C$4:$C$2004,$Z767-2000)=0,"",INDEX(周转筐出入库明细!$C$4:$C$2004,$Z767-2000)),IF($Z767&lt;=5200,IF(INDEX(客户自备加工筐明细!$E$4:$E$1203,$Z767-4000)=0,"",INDEX(客户自备加工筐明细!$E$4:$E$1203,$Z767-4000)),IF($Z767&lt;=5800,IF(INDEX(次果筐明细!$C$4:$C$603,$Z767-5200)=0,"",INDEX(次果筐明细!$C$4:$C$603,$Z767-5200)),"")))))</f>
        <v/>
      </c>
      <c r="D767" s="37" t="str">
        <f>IF($Z767="","",IF($Z767&lt;=2000,"包装物料－"&amp;INDEX(包装物料出入库明细!$H$4:$H$2003,$Z767-0),IF($Z767&lt;=4000,"周转筐－"&amp;INDEX(周转筐出入库明细!$F$4:$F$2004,$Z767-2000),IF($Z767&lt;=5200,"客户自备筐－"&amp;INDEX(客户自备加工筐明细!$J$4:$J$1203,$Z767-4000),IF($Z767&lt;=5800,"次果筐/托盘－"&amp;INDEX(次果筐明细!$F$4:$F$603,$Z767-5200),"")))))</f>
        <v/>
      </c>
      <c r="E767" s="24" t="str">
        <f>IF($Z767="","",IF($Z767&lt;=2000,IF(INDEX(包装物料出入库明细!$C$4:$C$2003,$Z767-0)=0,"",INDEX(包装物料出入库明细!$C$4:$C$2003,$Z767-0)),IF($Z767&lt;=4000,IF(INDEX(周转筐出入库明细!$E$4:$E$2004,$Z767-2000)=0,"",INDEX(周转筐出入库明细!$E$4:$E$2004,$Z767-2000)),IF($Z767&lt;=5200,IF(INDEX(客户自备加工筐明细!$D$4:$D$1203,$Z767-4000)=0,"",INDEX(客户自备加工筐明细!$D$4:$D$1203,$Z767-4000)),IF($Z767&lt;=5800,IF(INDEX(次果筐明细!$E$4:$E$603,$Z767-5200)=0,"",INDEX(次果筐明细!$E$4:$E$603,$Z767-5200)),"")))))</f>
        <v/>
      </c>
      <c r="F767" s="24" t="str">
        <f>IF($Z767="","",IF($Z767&lt;=2000,IF(INDEX(包装物料出入库明细!$E$4:$E$2003,$Z767-0)=0,"",INDEX(包装物料出入库明细!$E$4:$E$2003,$Z767-0)),IF($Z767&lt;=4000,IF(INDEX(周转筐出入库明细!$D$4:$D$2004,$Z767-2000)=0,"",INDEX(周转筐出入库明细!$D$4:$D$2004,$Z767-2000)),IF($Z767&lt;=5200,IF(INDEX(客户自备加工筐明细!$C$4:$C$1203,$Z767-4000)=0,"",INDEX(客户自备加工筐明细!$C$4:$C$1203,$Z767-4000)),IF($Z767&lt;=5800,IF(INDEX(次果筐明细!$D$4:$D$603,$Z767-5200)=0,"",INDEX(次果筐明细!$D$4:$D$603,$Z767-5200)),"")))))</f>
        <v/>
      </c>
      <c r="G767" s="24" t="str">
        <f>IF($Z767="","",IF($Z767&lt;=2000,IF(INDEX(包装物料出入库明细!$F$4:$F$2003,$Z767-0)=0,"",INDEX(包装物料出入库明细!$F$4:$F$2003,$Z767-0)),IF($Z767&lt;=4000,"",IF($Z767&lt;=5200,"",IF($Z767&lt;=5800,"","")))))</f>
        <v/>
      </c>
      <c r="H767" s="39" t="str">
        <f>IF($Z767="","",IF($Z767&lt;=2000,IF(INDEX(包装物料出入库明细!$L$4:$L$2003,$Z767-0)=0,"",INDEX(包装物料出入库明细!$L$4:$L$2003,$Z767-0)),IF($Z767&lt;=4000,N(INDEX(周转筐出入库明细!$H$4:$H$2004,$Z767-2000))+N(INDEX(周转筐出入库明细!$I$4:$I$2004,$Z767-2000))+N(INDEX(周转筐出入库明细!$J$4:$J$2004,$Z767-2000))+N(INDEX(周转筐出入库明细!$K$4:$K$2004,$Z767-2000)),IF($Z767&lt;=5200,N(INDEX(客户自备加工筐明细!$F$4:$F$1203,$Z767-4000))+N(INDEX(客户自备加工筐明细!$G$4:$G$1203,$Z767-4000)),IF($Z767&lt;=5800,IF(INDEX(次果筐明细!$G$4:$G$603,$Z767-5200)=0,"",INDEX(次果筐明细!$G$4:$G$603,$Z767-5200)),"")))))</f>
        <v/>
      </c>
      <c r="I767" s="24" t="str">
        <f>IF($Z767="","",IF($Z767&lt;=2000,IF(INDEX(包装物料出入库明细!$G$4:$G$2003,$Z767-0)=0,"",INDEX(包装物料出入库明细!$G$4:$G$2003,$Z767-0)),IF($Z767&lt;=4000,"个",IF($Z767&lt;=5200,"个",IF($Z767&lt;=5800,"个","")))))</f>
        <v/>
      </c>
      <c r="J767" s="30" t="str">
        <f t="shared" si="34"/>
        <v/>
      </c>
      <c r="K767" s="30" t="str">
        <f>IF($Z767="","",IF($Z767&lt;=2000,IF(INDEX(包装物料出入库明细!$N$4:$N$2003,$Z767-0)=0,"",INDEX(包装物料出入库明细!$N$4:$N$2003,$Z767-0)),IF($Z767&lt;=4000,IF(INDEX(周转筐出入库明细!$P$4:$P$2004,$Z767-2000)=0,"",INDEX(周转筐出入库明细!$P$4:$P$2004,$Z767-2000)),IF($Z767&lt;=5200,"",IF($Z767&lt;=5800,N(INDEX(次果筐明细!$L$4:$L$603,$Z767-5200))+N(INDEX(次果筐明细!$J$4:$J$603,$Z767-5200)),"")))))</f>
        <v/>
      </c>
      <c r="L767" s="24" t="str">
        <f>IF($Z767="","",IF($Z767&lt;=2000,IF(INDEX(包装物料出入库明细!$P$4:$P$2003,$Z767-0)=0,"",INDEX(包装物料出入库明细!$P$4:$P$2003,$Z767-0)),IF($Z767&lt;=4000,IF(INDEX(周转筐出入库明细!$Q$4:$Q$2004,$Z767-2000)=0,"",INDEX(周转筐出入库明细!$Q$4:$Q$2004,$Z767-2000)),IF($Z767&lt;=5200,"",IF($Z767&lt;=5800,IF(INDEX(次果筐明细!$M$4:$M$603,$Z767-5200)=0,"",INDEX(次果筐明细!$M$4:$M$603,$Z767-5200)),"")))))</f>
        <v/>
      </c>
      <c r="M767" s="37" t="str">
        <f>IF($Z767="","",IF($Z767&lt;=2000,IF(INDEX(包装物料出入库明细!$R$4:$R$2003,$Z767-0)=0,"",INDEX(包装物料出入库明细!$R$4:$R$2003,$Z767-0)),IF($Z767&lt;=4000,IF(INDEX(周转筐出入库明细!$W$4:$W$2004,$Z767-2000)=0,"",INDEX(周转筐出入库明细!$W$4:$W$2004,$Z767-2000)),IF($Z767&lt;=5200,IF(INDEX(客户自备加工筐明细!$L$4:$L$1203,$Z767-4000)=0,"",INDEX(客户自备加工筐明细!$L$4:$L$1203,$Z767-4000)),IF($Z767&lt;=5800,IF(INDEX(次果筐明细!$P$4:$P$603,$Z767-5200)=0,"",INDEX(次果筐明细!$P$4:$P$603,$Z767-5200)),"")))))</f>
        <v/>
      </c>
      <c r="N767" s="16" t="str">
        <f>IF($Z767="","",IF($Z767&lt;=2000,"",IF($Z767&lt;=4000,IF(INDEX(周转筐出入库明细!$D$4:$D$2004,$Z767-2000)=0,"",INDEX(周转筐出入库明细!$D$4:$D$2004,$Z767-2000)),IF($Z767&lt;=5200,IF(INDEX(客户自备加工筐明细!$C$4:$C$1203,$Z767-4000)=0,"",INDEX(客户自备加工筐明细!$C$4:$C$1203,$Z767-4000)),IF($Z767&lt;=5800,IF(INDEX(次果筐明细!$D$4:$D$603,$Z767-5200)=0,"",INDEX(次果筐明细!$D$4:$D$603,$Z767-5200)),"")))))</f>
        <v/>
      </c>
      <c r="O767" s="40" t="str">
        <f>IF($Z767="","",IF($Z767&lt;=2000,"",IF($Z767&lt;=4000,IF(N(INDEX(周转筐出入库明细!$J$4:$J$2004,$Z767-2000))+N(INDEX(周转筐出入库明细!$K$4:$K$2004,$Z767-2000))=0,"",N(INDEX(周转筐出入库明细!$J$4:$J$2004,$Z767-2000))+N(INDEX(周转筐出入库明细!$K$4:$K$2004,$Z767-2000))),IF($Z767&lt;=5200,IF(N(INDEX(客户自备加工筐明细!$G$4:$G$1203,$Z767-4000))=0,"",N(INDEX(客户自备加工筐明细!$G$4:$G$1203,$Z767-4000))),IF($Z767&lt;=5800,IF(ISNUMBER(SEARCH("退",INDEX(次果筐明细!$F$4:$F$603,$Z767-5200)&amp;"")),"",IF(N(INDEX(次果筐明细!$G$4:$G$603,$Z767-5200))=0,"",N(INDEX(次果筐明细!$G$4:$G$603,$Z767-5200)))),"")))))</f>
        <v/>
      </c>
      <c r="P767" s="40" t="str">
        <f>IF($Z767="","",IF($Z767&lt;=2000,"",IF($Z767&lt;=4000,IF(N(INDEX(周转筐出入库明细!$I$4:$I$2004,$Z767-2000))=0,"",N(INDEX(周转筐出入库明细!$I$4:$I$2004,$Z767-2000))),IF($Z767&lt;=5200,"",IF($Z767&lt;=5800,IF(ISNUMBER(SEARCH("退",INDEX(次果筐明细!$F$4:$F$603,$Z767-5200)&amp;"")),IF(N(INDEX(次果筐明细!$G$4:$G$603,$Z767-5200))=0,"",N(INDEX(次果筐明细!$G$4:$G$603,$Z767-5200))),""),"")))))</f>
        <v/>
      </c>
      <c r="Q767" s="40" t="str">
        <f>IF($Z767="","",IF($Z767&lt;=2000,"",IF($Z767&lt;=4000,IF(N(INDEX(周转筐出入库明细!$H$4:$H$2004,$Z767-2000))=0,"",N(INDEX(周转筐出入库明细!$H$4:$H$2004,$Z767-2000))),IF($Z767&lt;=5200,IF(N(INDEX(客户自备加工筐明细!$F$4:$F$1203,$Z767-4000))=0,"",N(INDEX(客户自备加工筐明细!$F$4:$F$1203,$Z767-4000))),IF($Z767&lt;=5800,"","")))))</f>
        <v/>
      </c>
      <c r="R767" s="16" t="str">
        <f>IF($Z767="","",IF($Z767&lt;=2000,IF(INDEX(包装物料出入库明细!$O$4:$O$2003,$Z767-0)=0,"",INDEX(包装物料出入库明细!$O$4:$O$2003,$Z767-0)),IF($Z767&lt;=4000,IF(INDEX(周转筐出入库明细!$M$4:$M$2004,$Z767-2000)=0,"",INDEX(周转筐出入库明细!$M$4:$M$2004,$Z767-2000)),IF($Z767&lt;=5200,IF(INDEX(客户自备加工筐明细!$H$4:$H$1203,$Z767-4000)=0,"",INDEX(客户自备加工筐明细!$H$4:$H$1203,$Z767-4000)),IF($Z767&lt;=5800,IF(INDEX(次果筐明细!$H$4:$H$603,$Z767-5200)=0,"",INDEX(次果筐明细!$H$4:$H$603,$Z767-5200)),"")))))</f>
        <v/>
      </c>
      <c r="S767" s="22" t="str">
        <f t="shared" si="35"/>
        <v/>
      </c>
      <c r="Z767" s="10" t="str">
        <f>IFERROR(MATCH(ROW()-3,_自动清单!$CQ$4:$CQ$5803,0),"")</f>
        <v/>
      </c>
    </row>
    <row r="768" spans="1:26">
      <c r="A768" s="24" t="str">
        <f t="shared" si="33"/>
        <v/>
      </c>
      <c r="B768" s="38" t="str">
        <f>IF($Z768="","",IF($Z768&lt;=2000,IF(INDEX(包装物料出入库明细!$B$4:$B$2003,$Z768-0)=0,"",INDEX(包装物料出入库明细!$B$4:$B$2003,$Z768-0)),IF($Z768&lt;=4000,IF(INDEX(周转筐出入库明细!$B$4:$B$2004,$Z768-2000)=0,"",INDEX(周转筐出入库明细!$B$4:$B$2004,$Z768-2000)),IF($Z768&lt;=5200,IF(INDEX(客户自备加工筐明细!$B$4:$B$1203,$Z768-4000)=0,"",INDEX(客户自备加工筐明细!$B$4:$B$1203,$Z768-4000)),IF($Z768&lt;=5800,IF(INDEX(次果筐明细!$B$4:$B$603,$Z768-5200)=0,"",INDEX(次果筐明细!$B$4:$B$603,$Z768-5200)),"")))))</f>
        <v/>
      </c>
      <c r="C768" s="37" t="str">
        <f>IF($Z768="","",IF($Z768&lt;=2000,IF(INDEX(包装物料出入库明细!$D$4:$D$2003,$Z768-0)=0,"",INDEX(包装物料出入库明细!$D$4:$D$2003,$Z768-0)),IF($Z768&lt;=4000,IF(INDEX(周转筐出入库明细!$C$4:$C$2004,$Z768-2000)=0,"",INDEX(周转筐出入库明细!$C$4:$C$2004,$Z768-2000)),IF($Z768&lt;=5200,IF(INDEX(客户自备加工筐明细!$E$4:$E$1203,$Z768-4000)=0,"",INDEX(客户自备加工筐明细!$E$4:$E$1203,$Z768-4000)),IF($Z768&lt;=5800,IF(INDEX(次果筐明细!$C$4:$C$603,$Z768-5200)=0,"",INDEX(次果筐明细!$C$4:$C$603,$Z768-5200)),"")))))</f>
        <v/>
      </c>
      <c r="D768" s="37" t="str">
        <f>IF($Z768="","",IF($Z768&lt;=2000,"包装物料－"&amp;INDEX(包装物料出入库明细!$H$4:$H$2003,$Z768-0),IF($Z768&lt;=4000,"周转筐－"&amp;INDEX(周转筐出入库明细!$F$4:$F$2004,$Z768-2000),IF($Z768&lt;=5200,"客户自备筐－"&amp;INDEX(客户自备加工筐明细!$J$4:$J$1203,$Z768-4000),IF($Z768&lt;=5800,"次果筐/托盘－"&amp;INDEX(次果筐明细!$F$4:$F$603,$Z768-5200),"")))))</f>
        <v/>
      </c>
      <c r="E768" s="24" t="str">
        <f>IF($Z768="","",IF($Z768&lt;=2000,IF(INDEX(包装物料出入库明细!$C$4:$C$2003,$Z768-0)=0,"",INDEX(包装物料出入库明细!$C$4:$C$2003,$Z768-0)),IF($Z768&lt;=4000,IF(INDEX(周转筐出入库明细!$E$4:$E$2004,$Z768-2000)=0,"",INDEX(周转筐出入库明细!$E$4:$E$2004,$Z768-2000)),IF($Z768&lt;=5200,IF(INDEX(客户自备加工筐明细!$D$4:$D$1203,$Z768-4000)=0,"",INDEX(客户自备加工筐明细!$D$4:$D$1203,$Z768-4000)),IF($Z768&lt;=5800,IF(INDEX(次果筐明细!$E$4:$E$603,$Z768-5200)=0,"",INDEX(次果筐明细!$E$4:$E$603,$Z768-5200)),"")))))</f>
        <v/>
      </c>
      <c r="F768" s="24" t="str">
        <f>IF($Z768="","",IF($Z768&lt;=2000,IF(INDEX(包装物料出入库明细!$E$4:$E$2003,$Z768-0)=0,"",INDEX(包装物料出入库明细!$E$4:$E$2003,$Z768-0)),IF($Z768&lt;=4000,IF(INDEX(周转筐出入库明细!$D$4:$D$2004,$Z768-2000)=0,"",INDEX(周转筐出入库明细!$D$4:$D$2004,$Z768-2000)),IF($Z768&lt;=5200,IF(INDEX(客户自备加工筐明细!$C$4:$C$1203,$Z768-4000)=0,"",INDEX(客户自备加工筐明细!$C$4:$C$1203,$Z768-4000)),IF($Z768&lt;=5800,IF(INDEX(次果筐明细!$D$4:$D$603,$Z768-5200)=0,"",INDEX(次果筐明细!$D$4:$D$603,$Z768-5200)),"")))))</f>
        <v/>
      </c>
      <c r="G768" s="24" t="str">
        <f>IF($Z768="","",IF($Z768&lt;=2000,IF(INDEX(包装物料出入库明细!$F$4:$F$2003,$Z768-0)=0,"",INDEX(包装物料出入库明细!$F$4:$F$2003,$Z768-0)),IF($Z768&lt;=4000,"",IF($Z768&lt;=5200,"",IF($Z768&lt;=5800,"","")))))</f>
        <v/>
      </c>
      <c r="H768" s="39" t="str">
        <f>IF($Z768="","",IF($Z768&lt;=2000,IF(INDEX(包装物料出入库明细!$L$4:$L$2003,$Z768-0)=0,"",INDEX(包装物料出入库明细!$L$4:$L$2003,$Z768-0)),IF($Z768&lt;=4000,N(INDEX(周转筐出入库明细!$H$4:$H$2004,$Z768-2000))+N(INDEX(周转筐出入库明细!$I$4:$I$2004,$Z768-2000))+N(INDEX(周转筐出入库明细!$J$4:$J$2004,$Z768-2000))+N(INDEX(周转筐出入库明细!$K$4:$K$2004,$Z768-2000)),IF($Z768&lt;=5200,N(INDEX(客户自备加工筐明细!$F$4:$F$1203,$Z768-4000))+N(INDEX(客户自备加工筐明细!$G$4:$G$1203,$Z768-4000)),IF($Z768&lt;=5800,IF(INDEX(次果筐明细!$G$4:$G$603,$Z768-5200)=0,"",INDEX(次果筐明细!$G$4:$G$603,$Z768-5200)),"")))))</f>
        <v/>
      </c>
      <c r="I768" s="24" t="str">
        <f>IF($Z768="","",IF($Z768&lt;=2000,IF(INDEX(包装物料出入库明细!$G$4:$G$2003,$Z768-0)=0,"",INDEX(包装物料出入库明细!$G$4:$G$2003,$Z768-0)),IF($Z768&lt;=4000,"个",IF($Z768&lt;=5200,"个",IF($Z768&lt;=5800,"个","")))))</f>
        <v/>
      </c>
      <c r="J768" s="30" t="str">
        <f t="shared" si="34"/>
        <v/>
      </c>
      <c r="K768" s="30" t="str">
        <f>IF($Z768="","",IF($Z768&lt;=2000,IF(INDEX(包装物料出入库明细!$N$4:$N$2003,$Z768-0)=0,"",INDEX(包装物料出入库明细!$N$4:$N$2003,$Z768-0)),IF($Z768&lt;=4000,IF(INDEX(周转筐出入库明细!$P$4:$P$2004,$Z768-2000)=0,"",INDEX(周转筐出入库明细!$P$4:$P$2004,$Z768-2000)),IF($Z768&lt;=5200,"",IF($Z768&lt;=5800,N(INDEX(次果筐明细!$L$4:$L$603,$Z768-5200))+N(INDEX(次果筐明细!$J$4:$J$603,$Z768-5200)),"")))))</f>
        <v/>
      </c>
      <c r="L768" s="24" t="str">
        <f>IF($Z768="","",IF($Z768&lt;=2000,IF(INDEX(包装物料出入库明细!$P$4:$P$2003,$Z768-0)=0,"",INDEX(包装物料出入库明细!$P$4:$P$2003,$Z768-0)),IF($Z768&lt;=4000,IF(INDEX(周转筐出入库明细!$Q$4:$Q$2004,$Z768-2000)=0,"",INDEX(周转筐出入库明细!$Q$4:$Q$2004,$Z768-2000)),IF($Z768&lt;=5200,"",IF($Z768&lt;=5800,IF(INDEX(次果筐明细!$M$4:$M$603,$Z768-5200)=0,"",INDEX(次果筐明细!$M$4:$M$603,$Z768-5200)),"")))))</f>
        <v/>
      </c>
      <c r="M768" s="37" t="str">
        <f>IF($Z768="","",IF($Z768&lt;=2000,IF(INDEX(包装物料出入库明细!$R$4:$R$2003,$Z768-0)=0,"",INDEX(包装物料出入库明细!$R$4:$R$2003,$Z768-0)),IF($Z768&lt;=4000,IF(INDEX(周转筐出入库明细!$W$4:$W$2004,$Z768-2000)=0,"",INDEX(周转筐出入库明细!$W$4:$W$2004,$Z768-2000)),IF($Z768&lt;=5200,IF(INDEX(客户自备加工筐明细!$L$4:$L$1203,$Z768-4000)=0,"",INDEX(客户自备加工筐明细!$L$4:$L$1203,$Z768-4000)),IF($Z768&lt;=5800,IF(INDEX(次果筐明细!$P$4:$P$603,$Z768-5200)=0,"",INDEX(次果筐明细!$P$4:$P$603,$Z768-5200)),"")))))</f>
        <v/>
      </c>
      <c r="N768" s="16" t="str">
        <f>IF($Z768="","",IF($Z768&lt;=2000,"",IF($Z768&lt;=4000,IF(INDEX(周转筐出入库明细!$D$4:$D$2004,$Z768-2000)=0,"",INDEX(周转筐出入库明细!$D$4:$D$2004,$Z768-2000)),IF($Z768&lt;=5200,IF(INDEX(客户自备加工筐明细!$C$4:$C$1203,$Z768-4000)=0,"",INDEX(客户自备加工筐明细!$C$4:$C$1203,$Z768-4000)),IF($Z768&lt;=5800,IF(INDEX(次果筐明细!$D$4:$D$603,$Z768-5200)=0,"",INDEX(次果筐明细!$D$4:$D$603,$Z768-5200)),"")))))</f>
        <v/>
      </c>
      <c r="O768" s="40" t="str">
        <f>IF($Z768="","",IF($Z768&lt;=2000,"",IF($Z768&lt;=4000,IF(N(INDEX(周转筐出入库明细!$J$4:$J$2004,$Z768-2000))+N(INDEX(周转筐出入库明细!$K$4:$K$2004,$Z768-2000))=0,"",N(INDEX(周转筐出入库明细!$J$4:$J$2004,$Z768-2000))+N(INDEX(周转筐出入库明细!$K$4:$K$2004,$Z768-2000))),IF($Z768&lt;=5200,IF(N(INDEX(客户自备加工筐明细!$G$4:$G$1203,$Z768-4000))=0,"",N(INDEX(客户自备加工筐明细!$G$4:$G$1203,$Z768-4000))),IF($Z768&lt;=5800,IF(ISNUMBER(SEARCH("退",INDEX(次果筐明细!$F$4:$F$603,$Z768-5200)&amp;"")),"",IF(N(INDEX(次果筐明细!$G$4:$G$603,$Z768-5200))=0,"",N(INDEX(次果筐明细!$G$4:$G$603,$Z768-5200)))),"")))))</f>
        <v/>
      </c>
      <c r="P768" s="40" t="str">
        <f>IF($Z768="","",IF($Z768&lt;=2000,"",IF($Z768&lt;=4000,IF(N(INDEX(周转筐出入库明细!$I$4:$I$2004,$Z768-2000))=0,"",N(INDEX(周转筐出入库明细!$I$4:$I$2004,$Z768-2000))),IF($Z768&lt;=5200,"",IF($Z768&lt;=5800,IF(ISNUMBER(SEARCH("退",INDEX(次果筐明细!$F$4:$F$603,$Z768-5200)&amp;"")),IF(N(INDEX(次果筐明细!$G$4:$G$603,$Z768-5200))=0,"",N(INDEX(次果筐明细!$G$4:$G$603,$Z768-5200))),""),"")))))</f>
        <v/>
      </c>
      <c r="Q768" s="40" t="str">
        <f>IF($Z768="","",IF($Z768&lt;=2000,"",IF($Z768&lt;=4000,IF(N(INDEX(周转筐出入库明细!$H$4:$H$2004,$Z768-2000))=0,"",N(INDEX(周转筐出入库明细!$H$4:$H$2004,$Z768-2000))),IF($Z768&lt;=5200,IF(N(INDEX(客户自备加工筐明细!$F$4:$F$1203,$Z768-4000))=0,"",N(INDEX(客户自备加工筐明细!$F$4:$F$1203,$Z768-4000))),IF($Z768&lt;=5800,"","")))))</f>
        <v/>
      </c>
      <c r="R768" s="16" t="str">
        <f>IF($Z768="","",IF($Z768&lt;=2000,IF(INDEX(包装物料出入库明细!$O$4:$O$2003,$Z768-0)=0,"",INDEX(包装物料出入库明细!$O$4:$O$2003,$Z768-0)),IF($Z768&lt;=4000,IF(INDEX(周转筐出入库明细!$M$4:$M$2004,$Z768-2000)=0,"",INDEX(周转筐出入库明细!$M$4:$M$2004,$Z768-2000)),IF($Z768&lt;=5200,IF(INDEX(客户自备加工筐明细!$H$4:$H$1203,$Z768-4000)=0,"",INDEX(客户自备加工筐明细!$H$4:$H$1203,$Z768-4000)),IF($Z768&lt;=5800,IF(INDEX(次果筐明细!$H$4:$H$603,$Z768-5200)=0,"",INDEX(次果筐明细!$H$4:$H$603,$Z768-5200)),"")))))</f>
        <v/>
      </c>
      <c r="S768" s="22" t="str">
        <f t="shared" si="35"/>
        <v/>
      </c>
      <c r="Z768" s="10" t="str">
        <f>IFERROR(MATCH(ROW()-3,_自动清单!$CQ$4:$CQ$5803,0),"")</f>
        <v/>
      </c>
    </row>
    <row r="769" spans="1:26">
      <c r="A769" s="24" t="str">
        <f t="shared" si="33"/>
        <v/>
      </c>
      <c r="B769" s="38" t="str">
        <f>IF($Z769="","",IF($Z769&lt;=2000,IF(INDEX(包装物料出入库明细!$B$4:$B$2003,$Z769-0)=0,"",INDEX(包装物料出入库明细!$B$4:$B$2003,$Z769-0)),IF($Z769&lt;=4000,IF(INDEX(周转筐出入库明细!$B$4:$B$2004,$Z769-2000)=0,"",INDEX(周转筐出入库明细!$B$4:$B$2004,$Z769-2000)),IF($Z769&lt;=5200,IF(INDEX(客户自备加工筐明细!$B$4:$B$1203,$Z769-4000)=0,"",INDEX(客户自备加工筐明细!$B$4:$B$1203,$Z769-4000)),IF($Z769&lt;=5800,IF(INDEX(次果筐明细!$B$4:$B$603,$Z769-5200)=0,"",INDEX(次果筐明细!$B$4:$B$603,$Z769-5200)),"")))))</f>
        <v/>
      </c>
      <c r="C769" s="37" t="str">
        <f>IF($Z769="","",IF($Z769&lt;=2000,IF(INDEX(包装物料出入库明细!$D$4:$D$2003,$Z769-0)=0,"",INDEX(包装物料出入库明细!$D$4:$D$2003,$Z769-0)),IF($Z769&lt;=4000,IF(INDEX(周转筐出入库明细!$C$4:$C$2004,$Z769-2000)=0,"",INDEX(周转筐出入库明细!$C$4:$C$2004,$Z769-2000)),IF($Z769&lt;=5200,IF(INDEX(客户自备加工筐明细!$E$4:$E$1203,$Z769-4000)=0,"",INDEX(客户自备加工筐明细!$E$4:$E$1203,$Z769-4000)),IF($Z769&lt;=5800,IF(INDEX(次果筐明细!$C$4:$C$603,$Z769-5200)=0,"",INDEX(次果筐明细!$C$4:$C$603,$Z769-5200)),"")))))</f>
        <v/>
      </c>
      <c r="D769" s="37" t="str">
        <f>IF($Z769="","",IF($Z769&lt;=2000,"包装物料－"&amp;INDEX(包装物料出入库明细!$H$4:$H$2003,$Z769-0),IF($Z769&lt;=4000,"周转筐－"&amp;INDEX(周转筐出入库明细!$F$4:$F$2004,$Z769-2000),IF($Z769&lt;=5200,"客户自备筐－"&amp;INDEX(客户自备加工筐明细!$J$4:$J$1203,$Z769-4000),IF($Z769&lt;=5800,"次果筐/托盘－"&amp;INDEX(次果筐明细!$F$4:$F$603,$Z769-5200),"")))))</f>
        <v/>
      </c>
      <c r="E769" s="24" t="str">
        <f>IF($Z769="","",IF($Z769&lt;=2000,IF(INDEX(包装物料出入库明细!$C$4:$C$2003,$Z769-0)=0,"",INDEX(包装物料出入库明细!$C$4:$C$2003,$Z769-0)),IF($Z769&lt;=4000,IF(INDEX(周转筐出入库明细!$E$4:$E$2004,$Z769-2000)=0,"",INDEX(周转筐出入库明细!$E$4:$E$2004,$Z769-2000)),IF($Z769&lt;=5200,IF(INDEX(客户自备加工筐明细!$D$4:$D$1203,$Z769-4000)=0,"",INDEX(客户自备加工筐明细!$D$4:$D$1203,$Z769-4000)),IF($Z769&lt;=5800,IF(INDEX(次果筐明细!$E$4:$E$603,$Z769-5200)=0,"",INDEX(次果筐明细!$E$4:$E$603,$Z769-5200)),"")))))</f>
        <v/>
      </c>
      <c r="F769" s="24" t="str">
        <f>IF($Z769="","",IF($Z769&lt;=2000,IF(INDEX(包装物料出入库明细!$E$4:$E$2003,$Z769-0)=0,"",INDEX(包装物料出入库明细!$E$4:$E$2003,$Z769-0)),IF($Z769&lt;=4000,IF(INDEX(周转筐出入库明细!$D$4:$D$2004,$Z769-2000)=0,"",INDEX(周转筐出入库明细!$D$4:$D$2004,$Z769-2000)),IF($Z769&lt;=5200,IF(INDEX(客户自备加工筐明细!$C$4:$C$1203,$Z769-4000)=0,"",INDEX(客户自备加工筐明细!$C$4:$C$1203,$Z769-4000)),IF($Z769&lt;=5800,IF(INDEX(次果筐明细!$D$4:$D$603,$Z769-5200)=0,"",INDEX(次果筐明细!$D$4:$D$603,$Z769-5200)),"")))))</f>
        <v/>
      </c>
      <c r="G769" s="24" t="str">
        <f>IF($Z769="","",IF($Z769&lt;=2000,IF(INDEX(包装物料出入库明细!$F$4:$F$2003,$Z769-0)=0,"",INDEX(包装物料出入库明细!$F$4:$F$2003,$Z769-0)),IF($Z769&lt;=4000,"",IF($Z769&lt;=5200,"",IF($Z769&lt;=5800,"","")))))</f>
        <v/>
      </c>
      <c r="H769" s="39" t="str">
        <f>IF($Z769="","",IF($Z769&lt;=2000,IF(INDEX(包装物料出入库明细!$L$4:$L$2003,$Z769-0)=0,"",INDEX(包装物料出入库明细!$L$4:$L$2003,$Z769-0)),IF($Z769&lt;=4000,N(INDEX(周转筐出入库明细!$H$4:$H$2004,$Z769-2000))+N(INDEX(周转筐出入库明细!$I$4:$I$2004,$Z769-2000))+N(INDEX(周转筐出入库明细!$J$4:$J$2004,$Z769-2000))+N(INDEX(周转筐出入库明细!$K$4:$K$2004,$Z769-2000)),IF($Z769&lt;=5200,N(INDEX(客户自备加工筐明细!$F$4:$F$1203,$Z769-4000))+N(INDEX(客户自备加工筐明细!$G$4:$G$1203,$Z769-4000)),IF($Z769&lt;=5800,IF(INDEX(次果筐明细!$G$4:$G$603,$Z769-5200)=0,"",INDEX(次果筐明细!$G$4:$G$603,$Z769-5200)),"")))))</f>
        <v/>
      </c>
      <c r="I769" s="24" t="str">
        <f>IF($Z769="","",IF($Z769&lt;=2000,IF(INDEX(包装物料出入库明细!$G$4:$G$2003,$Z769-0)=0,"",INDEX(包装物料出入库明细!$G$4:$G$2003,$Z769-0)),IF($Z769&lt;=4000,"个",IF($Z769&lt;=5200,"个",IF($Z769&lt;=5800,"个","")))))</f>
        <v/>
      </c>
      <c r="J769" s="30" t="str">
        <f t="shared" si="34"/>
        <v/>
      </c>
      <c r="K769" s="30" t="str">
        <f>IF($Z769="","",IF($Z769&lt;=2000,IF(INDEX(包装物料出入库明细!$N$4:$N$2003,$Z769-0)=0,"",INDEX(包装物料出入库明细!$N$4:$N$2003,$Z769-0)),IF($Z769&lt;=4000,IF(INDEX(周转筐出入库明细!$P$4:$P$2004,$Z769-2000)=0,"",INDEX(周转筐出入库明细!$P$4:$P$2004,$Z769-2000)),IF($Z769&lt;=5200,"",IF($Z769&lt;=5800,N(INDEX(次果筐明细!$L$4:$L$603,$Z769-5200))+N(INDEX(次果筐明细!$J$4:$J$603,$Z769-5200)),"")))))</f>
        <v/>
      </c>
      <c r="L769" s="24" t="str">
        <f>IF($Z769="","",IF($Z769&lt;=2000,IF(INDEX(包装物料出入库明细!$P$4:$P$2003,$Z769-0)=0,"",INDEX(包装物料出入库明细!$P$4:$P$2003,$Z769-0)),IF($Z769&lt;=4000,IF(INDEX(周转筐出入库明细!$Q$4:$Q$2004,$Z769-2000)=0,"",INDEX(周转筐出入库明细!$Q$4:$Q$2004,$Z769-2000)),IF($Z769&lt;=5200,"",IF($Z769&lt;=5800,IF(INDEX(次果筐明细!$M$4:$M$603,$Z769-5200)=0,"",INDEX(次果筐明细!$M$4:$M$603,$Z769-5200)),"")))))</f>
        <v/>
      </c>
      <c r="M769" s="37" t="str">
        <f>IF($Z769="","",IF($Z769&lt;=2000,IF(INDEX(包装物料出入库明细!$R$4:$R$2003,$Z769-0)=0,"",INDEX(包装物料出入库明细!$R$4:$R$2003,$Z769-0)),IF($Z769&lt;=4000,IF(INDEX(周转筐出入库明细!$W$4:$W$2004,$Z769-2000)=0,"",INDEX(周转筐出入库明细!$W$4:$W$2004,$Z769-2000)),IF($Z769&lt;=5200,IF(INDEX(客户自备加工筐明细!$L$4:$L$1203,$Z769-4000)=0,"",INDEX(客户自备加工筐明细!$L$4:$L$1203,$Z769-4000)),IF($Z769&lt;=5800,IF(INDEX(次果筐明细!$P$4:$P$603,$Z769-5200)=0,"",INDEX(次果筐明细!$P$4:$P$603,$Z769-5200)),"")))))</f>
        <v/>
      </c>
      <c r="N769" s="16" t="str">
        <f>IF($Z769="","",IF($Z769&lt;=2000,"",IF($Z769&lt;=4000,IF(INDEX(周转筐出入库明细!$D$4:$D$2004,$Z769-2000)=0,"",INDEX(周转筐出入库明细!$D$4:$D$2004,$Z769-2000)),IF($Z769&lt;=5200,IF(INDEX(客户自备加工筐明细!$C$4:$C$1203,$Z769-4000)=0,"",INDEX(客户自备加工筐明细!$C$4:$C$1203,$Z769-4000)),IF($Z769&lt;=5800,IF(INDEX(次果筐明细!$D$4:$D$603,$Z769-5200)=0,"",INDEX(次果筐明细!$D$4:$D$603,$Z769-5200)),"")))))</f>
        <v/>
      </c>
      <c r="O769" s="40" t="str">
        <f>IF($Z769="","",IF($Z769&lt;=2000,"",IF($Z769&lt;=4000,IF(N(INDEX(周转筐出入库明细!$J$4:$J$2004,$Z769-2000))+N(INDEX(周转筐出入库明细!$K$4:$K$2004,$Z769-2000))=0,"",N(INDEX(周转筐出入库明细!$J$4:$J$2004,$Z769-2000))+N(INDEX(周转筐出入库明细!$K$4:$K$2004,$Z769-2000))),IF($Z769&lt;=5200,IF(N(INDEX(客户自备加工筐明细!$G$4:$G$1203,$Z769-4000))=0,"",N(INDEX(客户自备加工筐明细!$G$4:$G$1203,$Z769-4000))),IF($Z769&lt;=5800,IF(ISNUMBER(SEARCH("退",INDEX(次果筐明细!$F$4:$F$603,$Z769-5200)&amp;"")),"",IF(N(INDEX(次果筐明细!$G$4:$G$603,$Z769-5200))=0,"",N(INDEX(次果筐明细!$G$4:$G$603,$Z769-5200)))),"")))))</f>
        <v/>
      </c>
      <c r="P769" s="40" t="str">
        <f>IF($Z769="","",IF($Z769&lt;=2000,"",IF($Z769&lt;=4000,IF(N(INDEX(周转筐出入库明细!$I$4:$I$2004,$Z769-2000))=0,"",N(INDEX(周转筐出入库明细!$I$4:$I$2004,$Z769-2000))),IF($Z769&lt;=5200,"",IF($Z769&lt;=5800,IF(ISNUMBER(SEARCH("退",INDEX(次果筐明细!$F$4:$F$603,$Z769-5200)&amp;"")),IF(N(INDEX(次果筐明细!$G$4:$G$603,$Z769-5200))=0,"",N(INDEX(次果筐明细!$G$4:$G$603,$Z769-5200))),""),"")))))</f>
        <v/>
      </c>
      <c r="Q769" s="40" t="str">
        <f>IF($Z769="","",IF($Z769&lt;=2000,"",IF($Z769&lt;=4000,IF(N(INDEX(周转筐出入库明细!$H$4:$H$2004,$Z769-2000))=0,"",N(INDEX(周转筐出入库明细!$H$4:$H$2004,$Z769-2000))),IF($Z769&lt;=5200,IF(N(INDEX(客户自备加工筐明细!$F$4:$F$1203,$Z769-4000))=0,"",N(INDEX(客户自备加工筐明细!$F$4:$F$1203,$Z769-4000))),IF($Z769&lt;=5800,"","")))))</f>
        <v/>
      </c>
      <c r="R769" s="16" t="str">
        <f>IF($Z769="","",IF($Z769&lt;=2000,IF(INDEX(包装物料出入库明细!$O$4:$O$2003,$Z769-0)=0,"",INDEX(包装物料出入库明细!$O$4:$O$2003,$Z769-0)),IF($Z769&lt;=4000,IF(INDEX(周转筐出入库明细!$M$4:$M$2004,$Z769-2000)=0,"",INDEX(周转筐出入库明细!$M$4:$M$2004,$Z769-2000)),IF($Z769&lt;=5200,IF(INDEX(客户自备加工筐明细!$H$4:$H$1203,$Z769-4000)=0,"",INDEX(客户自备加工筐明细!$H$4:$H$1203,$Z769-4000)),IF($Z769&lt;=5800,IF(INDEX(次果筐明细!$H$4:$H$603,$Z769-5200)=0,"",INDEX(次果筐明细!$H$4:$H$603,$Z769-5200)),"")))))</f>
        <v/>
      </c>
      <c r="S769" s="22" t="str">
        <f t="shared" si="35"/>
        <v/>
      </c>
      <c r="Z769" s="10" t="str">
        <f>IFERROR(MATCH(ROW()-3,_自动清单!$CQ$4:$CQ$5803,0),"")</f>
        <v/>
      </c>
    </row>
    <row r="770" spans="1:26">
      <c r="A770" s="24" t="str">
        <f t="shared" si="33"/>
        <v/>
      </c>
      <c r="B770" s="38" t="str">
        <f>IF($Z770="","",IF($Z770&lt;=2000,IF(INDEX(包装物料出入库明细!$B$4:$B$2003,$Z770-0)=0,"",INDEX(包装物料出入库明细!$B$4:$B$2003,$Z770-0)),IF($Z770&lt;=4000,IF(INDEX(周转筐出入库明细!$B$4:$B$2004,$Z770-2000)=0,"",INDEX(周转筐出入库明细!$B$4:$B$2004,$Z770-2000)),IF($Z770&lt;=5200,IF(INDEX(客户自备加工筐明细!$B$4:$B$1203,$Z770-4000)=0,"",INDEX(客户自备加工筐明细!$B$4:$B$1203,$Z770-4000)),IF($Z770&lt;=5800,IF(INDEX(次果筐明细!$B$4:$B$603,$Z770-5200)=0,"",INDEX(次果筐明细!$B$4:$B$603,$Z770-5200)),"")))))</f>
        <v/>
      </c>
      <c r="C770" s="37" t="str">
        <f>IF($Z770="","",IF($Z770&lt;=2000,IF(INDEX(包装物料出入库明细!$D$4:$D$2003,$Z770-0)=0,"",INDEX(包装物料出入库明细!$D$4:$D$2003,$Z770-0)),IF($Z770&lt;=4000,IF(INDEX(周转筐出入库明细!$C$4:$C$2004,$Z770-2000)=0,"",INDEX(周转筐出入库明细!$C$4:$C$2004,$Z770-2000)),IF($Z770&lt;=5200,IF(INDEX(客户自备加工筐明细!$E$4:$E$1203,$Z770-4000)=0,"",INDEX(客户自备加工筐明细!$E$4:$E$1203,$Z770-4000)),IF($Z770&lt;=5800,IF(INDEX(次果筐明细!$C$4:$C$603,$Z770-5200)=0,"",INDEX(次果筐明细!$C$4:$C$603,$Z770-5200)),"")))))</f>
        <v/>
      </c>
      <c r="D770" s="37" t="str">
        <f>IF($Z770="","",IF($Z770&lt;=2000,"包装物料－"&amp;INDEX(包装物料出入库明细!$H$4:$H$2003,$Z770-0),IF($Z770&lt;=4000,"周转筐－"&amp;INDEX(周转筐出入库明细!$F$4:$F$2004,$Z770-2000),IF($Z770&lt;=5200,"客户自备筐－"&amp;INDEX(客户自备加工筐明细!$J$4:$J$1203,$Z770-4000),IF($Z770&lt;=5800,"次果筐/托盘－"&amp;INDEX(次果筐明细!$F$4:$F$603,$Z770-5200),"")))))</f>
        <v/>
      </c>
      <c r="E770" s="24" t="str">
        <f>IF($Z770="","",IF($Z770&lt;=2000,IF(INDEX(包装物料出入库明细!$C$4:$C$2003,$Z770-0)=0,"",INDEX(包装物料出入库明细!$C$4:$C$2003,$Z770-0)),IF($Z770&lt;=4000,IF(INDEX(周转筐出入库明细!$E$4:$E$2004,$Z770-2000)=0,"",INDEX(周转筐出入库明细!$E$4:$E$2004,$Z770-2000)),IF($Z770&lt;=5200,IF(INDEX(客户自备加工筐明细!$D$4:$D$1203,$Z770-4000)=0,"",INDEX(客户自备加工筐明细!$D$4:$D$1203,$Z770-4000)),IF($Z770&lt;=5800,IF(INDEX(次果筐明细!$E$4:$E$603,$Z770-5200)=0,"",INDEX(次果筐明细!$E$4:$E$603,$Z770-5200)),"")))))</f>
        <v/>
      </c>
      <c r="F770" s="24" t="str">
        <f>IF($Z770="","",IF($Z770&lt;=2000,IF(INDEX(包装物料出入库明细!$E$4:$E$2003,$Z770-0)=0,"",INDEX(包装物料出入库明细!$E$4:$E$2003,$Z770-0)),IF($Z770&lt;=4000,IF(INDEX(周转筐出入库明细!$D$4:$D$2004,$Z770-2000)=0,"",INDEX(周转筐出入库明细!$D$4:$D$2004,$Z770-2000)),IF($Z770&lt;=5200,IF(INDEX(客户自备加工筐明细!$C$4:$C$1203,$Z770-4000)=0,"",INDEX(客户自备加工筐明细!$C$4:$C$1203,$Z770-4000)),IF($Z770&lt;=5800,IF(INDEX(次果筐明细!$D$4:$D$603,$Z770-5200)=0,"",INDEX(次果筐明细!$D$4:$D$603,$Z770-5200)),"")))))</f>
        <v/>
      </c>
      <c r="G770" s="24" t="str">
        <f>IF($Z770="","",IF($Z770&lt;=2000,IF(INDEX(包装物料出入库明细!$F$4:$F$2003,$Z770-0)=0,"",INDEX(包装物料出入库明细!$F$4:$F$2003,$Z770-0)),IF($Z770&lt;=4000,"",IF($Z770&lt;=5200,"",IF($Z770&lt;=5800,"","")))))</f>
        <v/>
      </c>
      <c r="H770" s="39" t="str">
        <f>IF($Z770="","",IF($Z770&lt;=2000,IF(INDEX(包装物料出入库明细!$L$4:$L$2003,$Z770-0)=0,"",INDEX(包装物料出入库明细!$L$4:$L$2003,$Z770-0)),IF($Z770&lt;=4000,N(INDEX(周转筐出入库明细!$H$4:$H$2004,$Z770-2000))+N(INDEX(周转筐出入库明细!$I$4:$I$2004,$Z770-2000))+N(INDEX(周转筐出入库明细!$J$4:$J$2004,$Z770-2000))+N(INDEX(周转筐出入库明细!$K$4:$K$2004,$Z770-2000)),IF($Z770&lt;=5200,N(INDEX(客户自备加工筐明细!$F$4:$F$1203,$Z770-4000))+N(INDEX(客户自备加工筐明细!$G$4:$G$1203,$Z770-4000)),IF($Z770&lt;=5800,IF(INDEX(次果筐明细!$G$4:$G$603,$Z770-5200)=0,"",INDEX(次果筐明细!$G$4:$G$603,$Z770-5200)),"")))))</f>
        <v/>
      </c>
      <c r="I770" s="24" t="str">
        <f>IF($Z770="","",IF($Z770&lt;=2000,IF(INDEX(包装物料出入库明细!$G$4:$G$2003,$Z770-0)=0,"",INDEX(包装物料出入库明细!$G$4:$G$2003,$Z770-0)),IF($Z770&lt;=4000,"个",IF($Z770&lt;=5200,"个",IF($Z770&lt;=5800,"个","")))))</f>
        <v/>
      </c>
      <c r="J770" s="30" t="str">
        <f t="shared" si="34"/>
        <v/>
      </c>
      <c r="K770" s="30" t="str">
        <f>IF($Z770="","",IF($Z770&lt;=2000,IF(INDEX(包装物料出入库明细!$N$4:$N$2003,$Z770-0)=0,"",INDEX(包装物料出入库明细!$N$4:$N$2003,$Z770-0)),IF($Z770&lt;=4000,IF(INDEX(周转筐出入库明细!$P$4:$P$2004,$Z770-2000)=0,"",INDEX(周转筐出入库明细!$P$4:$P$2004,$Z770-2000)),IF($Z770&lt;=5200,"",IF($Z770&lt;=5800,N(INDEX(次果筐明细!$L$4:$L$603,$Z770-5200))+N(INDEX(次果筐明细!$J$4:$J$603,$Z770-5200)),"")))))</f>
        <v/>
      </c>
      <c r="L770" s="24" t="str">
        <f>IF($Z770="","",IF($Z770&lt;=2000,IF(INDEX(包装物料出入库明细!$P$4:$P$2003,$Z770-0)=0,"",INDEX(包装物料出入库明细!$P$4:$P$2003,$Z770-0)),IF($Z770&lt;=4000,IF(INDEX(周转筐出入库明细!$Q$4:$Q$2004,$Z770-2000)=0,"",INDEX(周转筐出入库明细!$Q$4:$Q$2004,$Z770-2000)),IF($Z770&lt;=5200,"",IF($Z770&lt;=5800,IF(INDEX(次果筐明细!$M$4:$M$603,$Z770-5200)=0,"",INDEX(次果筐明细!$M$4:$M$603,$Z770-5200)),"")))))</f>
        <v/>
      </c>
      <c r="M770" s="37" t="str">
        <f>IF($Z770="","",IF($Z770&lt;=2000,IF(INDEX(包装物料出入库明细!$R$4:$R$2003,$Z770-0)=0,"",INDEX(包装物料出入库明细!$R$4:$R$2003,$Z770-0)),IF($Z770&lt;=4000,IF(INDEX(周转筐出入库明细!$W$4:$W$2004,$Z770-2000)=0,"",INDEX(周转筐出入库明细!$W$4:$W$2004,$Z770-2000)),IF($Z770&lt;=5200,IF(INDEX(客户自备加工筐明细!$L$4:$L$1203,$Z770-4000)=0,"",INDEX(客户自备加工筐明细!$L$4:$L$1203,$Z770-4000)),IF($Z770&lt;=5800,IF(INDEX(次果筐明细!$P$4:$P$603,$Z770-5200)=0,"",INDEX(次果筐明细!$P$4:$P$603,$Z770-5200)),"")))))</f>
        <v/>
      </c>
      <c r="N770" s="16" t="str">
        <f>IF($Z770="","",IF($Z770&lt;=2000,"",IF($Z770&lt;=4000,IF(INDEX(周转筐出入库明细!$D$4:$D$2004,$Z770-2000)=0,"",INDEX(周转筐出入库明细!$D$4:$D$2004,$Z770-2000)),IF($Z770&lt;=5200,IF(INDEX(客户自备加工筐明细!$C$4:$C$1203,$Z770-4000)=0,"",INDEX(客户自备加工筐明细!$C$4:$C$1203,$Z770-4000)),IF($Z770&lt;=5800,IF(INDEX(次果筐明细!$D$4:$D$603,$Z770-5200)=0,"",INDEX(次果筐明细!$D$4:$D$603,$Z770-5200)),"")))))</f>
        <v/>
      </c>
      <c r="O770" s="40" t="str">
        <f>IF($Z770="","",IF($Z770&lt;=2000,"",IF($Z770&lt;=4000,IF(N(INDEX(周转筐出入库明细!$J$4:$J$2004,$Z770-2000))+N(INDEX(周转筐出入库明细!$K$4:$K$2004,$Z770-2000))=0,"",N(INDEX(周转筐出入库明细!$J$4:$J$2004,$Z770-2000))+N(INDEX(周转筐出入库明细!$K$4:$K$2004,$Z770-2000))),IF($Z770&lt;=5200,IF(N(INDEX(客户自备加工筐明细!$G$4:$G$1203,$Z770-4000))=0,"",N(INDEX(客户自备加工筐明细!$G$4:$G$1203,$Z770-4000))),IF($Z770&lt;=5800,IF(ISNUMBER(SEARCH("退",INDEX(次果筐明细!$F$4:$F$603,$Z770-5200)&amp;"")),"",IF(N(INDEX(次果筐明细!$G$4:$G$603,$Z770-5200))=0,"",N(INDEX(次果筐明细!$G$4:$G$603,$Z770-5200)))),"")))))</f>
        <v/>
      </c>
      <c r="P770" s="40" t="str">
        <f>IF($Z770="","",IF($Z770&lt;=2000,"",IF($Z770&lt;=4000,IF(N(INDEX(周转筐出入库明细!$I$4:$I$2004,$Z770-2000))=0,"",N(INDEX(周转筐出入库明细!$I$4:$I$2004,$Z770-2000))),IF($Z770&lt;=5200,"",IF($Z770&lt;=5800,IF(ISNUMBER(SEARCH("退",INDEX(次果筐明细!$F$4:$F$603,$Z770-5200)&amp;"")),IF(N(INDEX(次果筐明细!$G$4:$G$603,$Z770-5200))=0,"",N(INDEX(次果筐明细!$G$4:$G$603,$Z770-5200))),""),"")))))</f>
        <v/>
      </c>
      <c r="Q770" s="40" t="str">
        <f>IF($Z770="","",IF($Z770&lt;=2000,"",IF($Z770&lt;=4000,IF(N(INDEX(周转筐出入库明细!$H$4:$H$2004,$Z770-2000))=0,"",N(INDEX(周转筐出入库明细!$H$4:$H$2004,$Z770-2000))),IF($Z770&lt;=5200,IF(N(INDEX(客户自备加工筐明细!$F$4:$F$1203,$Z770-4000))=0,"",N(INDEX(客户自备加工筐明细!$F$4:$F$1203,$Z770-4000))),IF($Z770&lt;=5800,"","")))))</f>
        <v/>
      </c>
      <c r="R770" s="16" t="str">
        <f>IF($Z770="","",IF($Z770&lt;=2000,IF(INDEX(包装物料出入库明细!$O$4:$O$2003,$Z770-0)=0,"",INDEX(包装物料出入库明细!$O$4:$O$2003,$Z770-0)),IF($Z770&lt;=4000,IF(INDEX(周转筐出入库明细!$M$4:$M$2004,$Z770-2000)=0,"",INDEX(周转筐出入库明细!$M$4:$M$2004,$Z770-2000)),IF($Z770&lt;=5200,IF(INDEX(客户自备加工筐明细!$H$4:$H$1203,$Z770-4000)=0,"",INDEX(客户自备加工筐明细!$H$4:$H$1203,$Z770-4000)),IF($Z770&lt;=5800,IF(INDEX(次果筐明细!$H$4:$H$603,$Z770-5200)=0,"",INDEX(次果筐明细!$H$4:$H$603,$Z770-5200)),"")))))</f>
        <v/>
      </c>
      <c r="S770" s="22" t="str">
        <f t="shared" si="35"/>
        <v/>
      </c>
      <c r="Z770" s="10" t="str">
        <f>IFERROR(MATCH(ROW()-3,_自动清单!$CQ$4:$CQ$5803,0),"")</f>
        <v/>
      </c>
    </row>
    <row r="771" spans="1:26">
      <c r="A771" s="24" t="str">
        <f t="shared" si="33"/>
        <v/>
      </c>
      <c r="B771" s="38" t="str">
        <f>IF($Z771="","",IF($Z771&lt;=2000,IF(INDEX(包装物料出入库明细!$B$4:$B$2003,$Z771-0)=0,"",INDEX(包装物料出入库明细!$B$4:$B$2003,$Z771-0)),IF($Z771&lt;=4000,IF(INDEX(周转筐出入库明细!$B$4:$B$2004,$Z771-2000)=0,"",INDEX(周转筐出入库明细!$B$4:$B$2004,$Z771-2000)),IF($Z771&lt;=5200,IF(INDEX(客户自备加工筐明细!$B$4:$B$1203,$Z771-4000)=0,"",INDEX(客户自备加工筐明细!$B$4:$B$1203,$Z771-4000)),IF($Z771&lt;=5800,IF(INDEX(次果筐明细!$B$4:$B$603,$Z771-5200)=0,"",INDEX(次果筐明细!$B$4:$B$603,$Z771-5200)),"")))))</f>
        <v/>
      </c>
      <c r="C771" s="37" t="str">
        <f>IF($Z771="","",IF($Z771&lt;=2000,IF(INDEX(包装物料出入库明细!$D$4:$D$2003,$Z771-0)=0,"",INDEX(包装物料出入库明细!$D$4:$D$2003,$Z771-0)),IF($Z771&lt;=4000,IF(INDEX(周转筐出入库明细!$C$4:$C$2004,$Z771-2000)=0,"",INDEX(周转筐出入库明细!$C$4:$C$2004,$Z771-2000)),IF($Z771&lt;=5200,IF(INDEX(客户自备加工筐明细!$E$4:$E$1203,$Z771-4000)=0,"",INDEX(客户自备加工筐明细!$E$4:$E$1203,$Z771-4000)),IF($Z771&lt;=5800,IF(INDEX(次果筐明细!$C$4:$C$603,$Z771-5200)=0,"",INDEX(次果筐明细!$C$4:$C$603,$Z771-5200)),"")))))</f>
        <v/>
      </c>
      <c r="D771" s="37" t="str">
        <f>IF($Z771="","",IF($Z771&lt;=2000,"包装物料－"&amp;INDEX(包装物料出入库明细!$H$4:$H$2003,$Z771-0),IF($Z771&lt;=4000,"周转筐－"&amp;INDEX(周转筐出入库明细!$F$4:$F$2004,$Z771-2000),IF($Z771&lt;=5200,"客户自备筐－"&amp;INDEX(客户自备加工筐明细!$J$4:$J$1203,$Z771-4000),IF($Z771&lt;=5800,"次果筐/托盘－"&amp;INDEX(次果筐明细!$F$4:$F$603,$Z771-5200),"")))))</f>
        <v/>
      </c>
      <c r="E771" s="24" t="str">
        <f>IF($Z771="","",IF($Z771&lt;=2000,IF(INDEX(包装物料出入库明细!$C$4:$C$2003,$Z771-0)=0,"",INDEX(包装物料出入库明细!$C$4:$C$2003,$Z771-0)),IF($Z771&lt;=4000,IF(INDEX(周转筐出入库明细!$E$4:$E$2004,$Z771-2000)=0,"",INDEX(周转筐出入库明细!$E$4:$E$2004,$Z771-2000)),IF($Z771&lt;=5200,IF(INDEX(客户自备加工筐明细!$D$4:$D$1203,$Z771-4000)=0,"",INDEX(客户自备加工筐明细!$D$4:$D$1203,$Z771-4000)),IF($Z771&lt;=5800,IF(INDEX(次果筐明细!$E$4:$E$603,$Z771-5200)=0,"",INDEX(次果筐明细!$E$4:$E$603,$Z771-5200)),"")))))</f>
        <v/>
      </c>
      <c r="F771" s="24" t="str">
        <f>IF($Z771="","",IF($Z771&lt;=2000,IF(INDEX(包装物料出入库明细!$E$4:$E$2003,$Z771-0)=0,"",INDEX(包装物料出入库明细!$E$4:$E$2003,$Z771-0)),IF($Z771&lt;=4000,IF(INDEX(周转筐出入库明细!$D$4:$D$2004,$Z771-2000)=0,"",INDEX(周转筐出入库明细!$D$4:$D$2004,$Z771-2000)),IF($Z771&lt;=5200,IF(INDEX(客户自备加工筐明细!$C$4:$C$1203,$Z771-4000)=0,"",INDEX(客户自备加工筐明细!$C$4:$C$1203,$Z771-4000)),IF($Z771&lt;=5800,IF(INDEX(次果筐明细!$D$4:$D$603,$Z771-5200)=0,"",INDEX(次果筐明细!$D$4:$D$603,$Z771-5200)),"")))))</f>
        <v/>
      </c>
      <c r="G771" s="24" t="str">
        <f>IF($Z771="","",IF($Z771&lt;=2000,IF(INDEX(包装物料出入库明细!$F$4:$F$2003,$Z771-0)=0,"",INDEX(包装物料出入库明细!$F$4:$F$2003,$Z771-0)),IF($Z771&lt;=4000,"",IF($Z771&lt;=5200,"",IF($Z771&lt;=5800,"","")))))</f>
        <v/>
      </c>
      <c r="H771" s="39" t="str">
        <f>IF($Z771="","",IF($Z771&lt;=2000,IF(INDEX(包装物料出入库明细!$L$4:$L$2003,$Z771-0)=0,"",INDEX(包装物料出入库明细!$L$4:$L$2003,$Z771-0)),IF($Z771&lt;=4000,N(INDEX(周转筐出入库明细!$H$4:$H$2004,$Z771-2000))+N(INDEX(周转筐出入库明细!$I$4:$I$2004,$Z771-2000))+N(INDEX(周转筐出入库明细!$J$4:$J$2004,$Z771-2000))+N(INDEX(周转筐出入库明细!$K$4:$K$2004,$Z771-2000)),IF($Z771&lt;=5200,N(INDEX(客户自备加工筐明细!$F$4:$F$1203,$Z771-4000))+N(INDEX(客户自备加工筐明细!$G$4:$G$1203,$Z771-4000)),IF($Z771&lt;=5800,IF(INDEX(次果筐明细!$G$4:$G$603,$Z771-5200)=0,"",INDEX(次果筐明细!$G$4:$G$603,$Z771-5200)),"")))))</f>
        <v/>
      </c>
      <c r="I771" s="24" t="str">
        <f>IF($Z771="","",IF($Z771&lt;=2000,IF(INDEX(包装物料出入库明细!$G$4:$G$2003,$Z771-0)=0,"",INDEX(包装物料出入库明细!$G$4:$G$2003,$Z771-0)),IF($Z771&lt;=4000,"个",IF($Z771&lt;=5200,"个",IF($Z771&lt;=5800,"个","")))))</f>
        <v/>
      </c>
      <c r="J771" s="30" t="str">
        <f t="shared" si="34"/>
        <v/>
      </c>
      <c r="K771" s="30" t="str">
        <f>IF($Z771="","",IF($Z771&lt;=2000,IF(INDEX(包装物料出入库明细!$N$4:$N$2003,$Z771-0)=0,"",INDEX(包装物料出入库明细!$N$4:$N$2003,$Z771-0)),IF($Z771&lt;=4000,IF(INDEX(周转筐出入库明细!$P$4:$P$2004,$Z771-2000)=0,"",INDEX(周转筐出入库明细!$P$4:$P$2004,$Z771-2000)),IF($Z771&lt;=5200,"",IF($Z771&lt;=5800,N(INDEX(次果筐明细!$L$4:$L$603,$Z771-5200))+N(INDEX(次果筐明细!$J$4:$J$603,$Z771-5200)),"")))))</f>
        <v/>
      </c>
      <c r="L771" s="24" t="str">
        <f>IF($Z771="","",IF($Z771&lt;=2000,IF(INDEX(包装物料出入库明细!$P$4:$P$2003,$Z771-0)=0,"",INDEX(包装物料出入库明细!$P$4:$P$2003,$Z771-0)),IF($Z771&lt;=4000,IF(INDEX(周转筐出入库明细!$Q$4:$Q$2004,$Z771-2000)=0,"",INDEX(周转筐出入库明细!$Q$4:$Q$2004,$Z771-2000)),IF($Z771&lt;=5200,"",IF($Z771&lt;=5800,IF(INDEX(次果筐明细!$M$4:$M$603,$Z771-5200)=0,"",INDEX(次果筐明细!$M$4:$M$603,$Z771-5200)),"")))))</f>
        <v/>
      </c>
      <c r="M771" s="37" t="str">
        <f>IF($Z771="","",IF($Z771&lt;=2000,IF(INDEX(包装物料出入库明细!$R$4:$R$2003,$Z771-0)=0,"",INDEX(包装物料出入库明细!$R$4:$R$2003,$Z771-0)),IF($Z771&lt;=4000,IF(INDEX(周转筐出入库明细!$W$4:$W$2004,$Z771-2000)=0,"",INDEX(周转筐出入库明细!$W$4:$W$2004,$Z771-2000)),IF($Z771&lt;=5200,IF(INDEX(客户自备加工筐明细!$L$4:$L$1203,$Z771-4000)=0,"",INDEX(客户自备加工筐明细!$L$4:$L$1203,$Z771-4000)),IF($Z771&lt;=5800,IF(INDEX(次果筐明细!$P$4:$P$603,$Z771-5200)=0,"",INDEX(次果筐明细!$P$4:$P$603,$Z771-5200)),"")))))</f>
        <v/>
      </c>
      <c r="N771" s="16" t="str">
        <f>IF($Z771="","",IF($Z771&lt;=2000,"",IF($Z771&lt;=4000,IF(INDEX(周转筐出入库明细!$D$4:$D$2004,$Z771-2000)=0,"",INDEX(周转筐出入库明细!$D$4:$D$2004,$Z771-2000)),IF($Z771&lt;=5200,IF(INDEX(客户自备加工筐明细!$C$4:$C$1203,$Z771-4000)=0,"",INDEX(客户自备加工筐明细!$C$4:$C$1203,$Z771-4000)),IF($Z771&lt;=5800,IF(INDEX(次果筐明细!$D$4:$D$603,$Z771-5200)=0,"",INDEX(次果筐明细!$D$4:$D$603,$Z771-5200)),"")))))</f>
        <v/>
      </c>
      <c r="O771" s="40" t="str">
        <f>IF($Z771="","",IF($Z771&lt;=2000,"",IF($Z771&lt;=4000,IF(N(INDEX(周转筐出入库明细!$J$4:$J$2004,$Z771-2000))+N(INDEX(周转筐出入库明细!$K$4:$K$2004,$Z771-2000))=0,"",N(INDEX(周转筐出入库明细!$J$4:$J$2004,$Z771-2000))+N(INDEX(周转筐出入库明细!$K$4:$K$2004,$Z771-2000))),IF($Z771&lt;=5200,IF(N(INDEX(客户自备加工筐明细!$G$4:$G$1203,$Z771-4000))=0,"",N(INDEX(客户自备加工筐明细!$G$4:$G$1203,$Z771-4000))),IF($Z771&lt;=5800,IF(ISNUMBER(SEARCH("退",INDEX(次果筐明细!$F$4:$F$603,$Z771-5200)&amp;"")),"",IF(N(INDEX(次果筐明细!$G$4:$G$603,$Z771-5200))=0,"",N(INDEX(次果筐明细!$G$4:$G$603,$Z771-5200)))),"")))))</f>
        <v/>
      </c>
      <c r="P771" s="40" t="str">
        <f>IF($Z771="","",IF($Z771&lt;=2000,"",IF($Z771&lt;=4000,IF(N(INDEX(周转筐出入库明细!$I$4:$I$2004,$Z771-2000))=0,"",N(INDEX(周转筐出入库明细!$I$4:$I$2004,$Z771-2000))),IF($Z771&lt;=5200,"",IF($Z771&lt;=5800,IF(ISNUMBER(SEARCH("退",INDEX(次果筐明细!$F$4:$F$603,$Z771-5200)&amp;"")),IF(N(INDEX(次果筐明细!$G$4:$G$603,$Z771-5200))=0,"",N(INDEX(次果筐明细!$G$4:$G$603,$Z771-5200))),""),"")))))</f>
        <v/>
      </c>
      <c r="Q771" s="40" t="str">
        <f>IF($Z771="","",IF($Z771&lt;=2000,"",IF($Z771&lt;=4000,IF(N(INDEX(周转筐出入库明细!$H$4:$H$2004,$Z771-2000))=0,"",N(INDEX(周转筐出入库明细!$H$4:$H$2004,$Z771-2000))),IF($Z771&lt;=5200,IF(N(INDEX(客户自备加工筐明细!$F$4:$F$1203,$Z771-4000))=0,"",N(INDEX(客户自备加工筐明细!$F$4:$F$1203,$Z771-4000))),IF($Z771&lt;=5800,"","")))))</f>
        <v/>
      </c>
      <c r="R771" s="16" t="str">
        <f>IF($Z771="","",IF($Z771&lt;=2000,IF(INDEX(包装物料出入库明细!$O$4:$O$2003,$Z771-0)=0,"",INDEX(包装物料出入库明细!$O$4:$O$2003,$Z771-0)),IF($Z771&lt;=4000,IF(INDEX(周转筐出入库明细!$M$4:$M$2004,$Z771-2000)=0,"",INDEX(周转筐出入库明细!$M$4:$M$2004,$Z771-2000)),IF($Z771&lt;=5200,IF(INDEX(客户自备加工筐明细!$H$4:$H$1203,$Z771-4000)=0,"",INDEX(客户自备加工筐明细!$H$4:$H$1203,$Z771-4000)),IF($Z771&lt;=5800,IF(INDEX(次果筐明细!$H$4:$H$603,$Z771-5200)=0,"",INDEX(次果筐明细!$H$4:$H$603,$Z771-5200)),"")))))</f>
        <v/>
      </c>
      <c r="S771" s="22" t="str">
        <f t="shared" si="35"/>
        <v/>
      </c>
      <c r="Z771" s="10" t="str">
        <f>IFERROR(MATCH(ROW()-3,_自动清单!$CQ$4:$CQ$5803,0),"")</f>
        <v/>
      </c>
    </row>
    <row r="772" spans="1:26">
      <c r="A772" s="24" t="str">
        <f t="shared" ref="A772:A835" si="36">IF($B772="","",ROW()-3)</f>
        <v/>
      </c>
      <c r="B772" s="38" t="str">
        <f>IF($Z772="","",IF($Z772&lt;=2000,IF(INDEX(包装物料出入库明细!$B$4:$B$2003,$Z772-0)=0,"",INDEX(包装物料出入库明细!$B$4:$B$2003,$Z772-0)),IF($Z772&lt;=4000,IF(INDEX(周转筐出入库明细!$B$4:$B$2004,$Z772-2000)=0,"",INDEX(周转筐出入库明细!$B$4:$B$2004,$Z772-2000)),IF($Z772&lt;=5200,IF(INDEX(客户自备加工筐明细!$B$4:$B$1203,$Z772-4000)=0,"",INDEX(客户自备加工筐明细!$B$4:$B$1203,$Z772-4000)),IF($Z772&lt;=5800,IF(INDEX(次果筐明细!$B$4:$B$603,$Z772-5200)=0,"",INDEX(次果筐明细!$B$4:$B$603,$Z772-5200)),"")))))</f>
        <v/>
      </c>
      <c r="C772" s="37" t="str">
        <f>IF($Z772="","",IF($Z772&lt;=2000,IF(INDEX(包装物料出入库明细!$D$4:$D$2003,$Z772-0)=0,"",INDEX(包装物料出入库明细!$D$4:$D$2003,$Z772-0)),IF($Z772&lt;=4000,IF(INDEX(周转筐出入库明细!$C$4:$C$2004,$Z772-2000)=0,"",INDEX(周转筐出入库明细!$C$4:$C$2004,$Z772-2000)),IF($Z772&lt;=5200,IF(INDEX(客户自备加工筐明细!$E$4:$E$1203,$Z772-4000)=0,"",INDEX(客户自备加工筐明细!$E$4:$E$1203,$Z772-4000)),IF($Z772&lt;=5800,IF(INDEX(次果筐明细!$C$4:$C$603,$Z772-5200)=0,"",INDEX(次果筐明细!$C$4:$C$603,$Z772-5200)),"")))))</f>
        <v/>
      </c>
      <c r="D772" s="37" t="str">
        <f>IF($Z772="","",IF($Z772&lt;=2000,"包装物料－"&amp;INDEX(包装物料出入库明细!$H$4:$H$2003,$Z772-0),IF($Z772&lt;=4000,"周转筐－"&amp;INDEX(周转筐出入库明细!$F$4:$F$2004,$Z772-2000),IF($Z772&lt;=5200,"客户自备筐－"&amp;INDEX(客户自备加工筐明细!$J$4:$J$1203,$Z772-4000),IF($Z772&lt;=5800,"次果筐/托盘－"&amp;INDEX(次果筐明细!$F$4:$F$603,$Z772-5200),"")))))</f>
        <v/>
      </c>
      <c r="E772" s="24" t="str">
        <f>IF($Z772="","",IF($Z772&lt;=2000,IF(INDEX(包装物料出入库明细!$C$4:$C$2003,$Z772-0)=0,"",INDEX(包装物料出入库明细!$C$4:$C$2003,$Z772-0)),IF($Z772&lt;=4000,IF(INDEX(周转筐出入库明细!$E$4:$E$2004,$Z772-2000)=0,"",INDEX(周转筐出入库明细!$E$4:$E$2004,$Z772-2000)),IF($Z772&lt;=5200,IF(INDEX(客户自备加工筐明细!$D$4:$D$1203,$Z772-4000)=0,"",INDEX(客户自备加工筐明细!$D$4:$D$1203,$Z772-4000)),IF($Z772&lt;=5800,IF(INDEX(次果筐明细!$E$4:$E$603,$Z772-5200)=0,"",INDEX(次果筐明细!$E$4:$E$603,$Z772-5200)),"")))))</f>
        <v/>
      </c>
      <c r="F772" s="24" t="str">
        <f>IF($Z772="","",IF($Z772&lt;=2000,IF(INDEX(包装物料出入库明细!$E$4:$E$2003,$Z772-0)=0,"",INDEX(包装物料出入库明细!$E$4:$E$2003,$Z772-0)),IF($Z772&lt;=4000,IF(INDEX(周转筐出入库明细!$D$4:$D$2004,$Z772-2000)=0,"",INDEX(周转筐出入库明细!$D$4:$D$2004,$Z772-2000)),IF($Z772&lt;=5200,IF(INDEX(客户自备加工筐明细!$C$4:$C$1203,$Z772-4000)=0,"",INDEX(客户自备加工筐明细!$C$4:$C$1203,$Z772-4000)),IF($Z772&lt;=5800,IF(INDEX(次果筐明细!$D$4:$D$603,$Z772-5200)=0,"",INDEX(次果筐明细!$D$4:$D$603,$Z772-5200)),"")))))</f>
        <v/>
      </c>
      <c r="G772" s="24" t="str">
        <f>IF($Z772="","",IF($Z772&lt;=2000,IF(INDEX(包装物料出入库明细!$F$4:$F$2003,$Z772-0)=0,"",INDEX(包装物料出入库明细!$F$4:$F$2003,$Z772-0)),IF($Z772&lt;=4000,"",IF($Z772&lt;=5200,"",IF($Z772&lt;=5800,"","")))))</f>
        <v/>
      </c>
      <c r="H772" s="39" t="str">
        <f>IF($Z772="","",IF($Z772&lt;=2000,IF(INDEX(包装物料出入库明细!$L$4:$L$2003,$Z772-0)=0,"",INDEX(包装物料出入库明细!$L$4:$L$2003,$Z772-0)),IF($Z772&lt;=4000,N(INDEX(周转筐出入库明细!$H$4:$H$2004,$Z772-2000))+N(INDEX(周转筐出入库明细!$I$4:$I$2004,$Z772-2000))+N(INDEX(周转筐出入库明细!$J$4:$J$2004,$Z772-2000))+N(INDEX(周转筐出入库明细!$K$4:$K$2004,$Z772-2000)),IF($Z772&lt;=5200,N(INDEX(客户自备加工筐明细!$F$4:$F$1203,$Z772-4000))+N(INDEX(客户自备加工筐明细!$G$4:$G$1203,$Z772-4000)),IF($Z772&lt;=5800,IF(INDEX(次果筐明细!$G$4:$G$603,$Z772-5200)=0,"",INDEX(次果筐明细!$G$4:$G$603,$Z772-5200)),"")))))</f>
        <v/>
      </c>
      <c r="I772" s="24" t="str">
        <f>IF($Z772="","",IF($Z772&lt;=2000,IF(INDEX(包装物料出入库明细!$G$4:$G$2003,$Z772-0)=0,"",INDEX(包装物料出入库明细!$G$4:$G$2003,$Z772-0)),IF($Z772&lt;=4000,"个",IF($Z772&lt;=5200,"个",IF($Z772&lt;=5800,"个","")))))</f>
        <v/>
      </c>
      <c r="J772" s="30" t="str">
        <f t="shared" ref="J772:J835" si="37">IF($Z772="","",IF($Z772&lt;=2000,"",IF($Z772&lt;=4000,"",IF($Z772&lt;=5200,"",IF($Z772&lt;=5800,"","")))))</f>
        <v/>
      </c>
      <c r="K772" s="30" t="str">
        <f>IF($Z772="","",IF($Z772&lt;=2000,IF(INDEX(包装物料出入库明细!$N$4:$N$2003,$Z772-0)=0,"",INDEX(包装物料出入库明细!$N$4:$N$2003,$Z772-0)),IF($Z772&lt;=4000,IF(INDEX(周转筐出入库明细!$P$4:$P$2004,$Z772-2000)=0,"",INDEX(周转筐出入库明细!$P$4:$P$2004,$Z772-2000)),IF($Z772&lt;=5200,"",IF($Z772&lt;=5800,N(INDEX(次果筐明细!$L$4:$L$603,$Z772-5200))+N(INDEX(次果筐明细!$J$4:$J$603,$Z772-5200)),"")))))</f>
        <v/>
      </c>
      <c r="L772" s="24" t="str">
        <f>IF($Z772="","",IF($Z772&lt;=2000,IF(INDEX(包装物料出入库明细!$P$4:$P$2003,$Z772-0)=0,"",INDEX(包装物料出入库明细!$P$4:$P$2003,$Z772-0)),IF($Z772&lt;=4000,IF(INDEX(周转筐出入库明细!$Q$4:$Q$2004,$Z772-2000)=0,"",INDEX(周转筐出入库明细!$Q$4:$Q$2004,$Z772-2000)),IF($Z772&lt;=5200,"",IF($Z772&lt;=5800,IF(INDEX(次果筐明细!$M$4:$M$603,$Z772-5200)=0,"",INDEX(次果筐明细!$M$4:$M$603,$Z772-5200)),"")))))</f>
        <v/>
      </c>
      <c r="M772" s="37" t="str">
        <f>IF($Z772="","",IF($Z772&lt;=2000,IF(INDEX(包装物料出入库明细!$R$4:$R$2003,$Z772-0)=0,"",INDEX(包装物料出入库明细!$R$4:$R$2003,$Z772-0)),IF($Z772&lt;=4000,IF(INDEX(周转筐出入库明细!$W$4:$W$2004,$Z772-2000)=0,"",INDEX(周转筐出入库明细!$W$4:$W$2004,$Z772-2000)),IF($Z772&lt;=5200,IF(INDEX(客户自备加工筐明细!$L$4:$L$1203,$Z772-4000)=0,"",INDEX(客户自备加工筐明细!$L$4:$L$1203,$Z772-4000)),IF($Z772&lt;=5800,IF(INDEX(次果筐明细!$P$4:$P$603,$Z772-5200)=0,"",INDEX(次果筐明细!$P$4:$P$603,$Z772-5200)),"")))))</f>
        <v/>
      </c>
      <c r="N772" s="16" t="str">
        <f>IF($Z772="","",IF($Z772&lt;=2000,"",IF($Z772&lt;=4000,IF(INDEX(周转筐出入库明细!$D$4:$D$2004,$Z772-2000)=0,"",INDEX(周转筐出入库明细!$D$4:$D$2004,$Z772-2000)),IF($Z772&lt;=5200,IF(INDEX(客户自备加工筐明细!$C$4:$C$1203,$Z772-4000)=0,"",INDEX(客户自备加工筐明细!$C$4:$C$1203,$Z772-4000)),IF($Z772&lt;=5800,IF(INDEX(次果筐明细!$D$4:$D$603,$Z772-5200)=0,"",INDEX(次果筐明细!$D$4:$D$603,$Z772-5200)),"")))))</f>
        <v/>
      </c>
      <c r="O772" s="40" t="str">
        <f>IF($Z772="","",IF($Z772&lt;=2000,"",IF($Z772&lt;=4000,IF(N(INDEX(周转筐出入库明细!$J$4:$J$2004,$Z772-2000))+N(INDEX(周转筐出入库明细!$K$4:$K$2004,$Z772-2000))=0,"",N(INDEX(周转筐出入库明细!$J$4:$J$2004,$Z772-2000))+N(INDEX(周转筐出入库明细!$K$4:$K$2004,$Z772-2000))),IF($Z772&lt;=5200,IF(N(INDEX(客户自备加工筐明细!$G$4:$G$1203,$Z772-4000))=0,"",N(INDEX(客户自备加工筐明细!$G$4:$G$1203,$Z772-4000))),IF($Z772&lt;=5800,IF(ISNUMBER(SEARCH("退",INDEX(次果筐明细!$F$4:$F$603,$Z772-5200)&amp;"")),"",IF(N(INDEX(次果筐明细!$G$4:$G$603,$Z772-5200))=0,"",N(INDEX(次果筐明细!$G$4:$G$603,$Z772-5200)))),"")))))</f>
        <v/>
      </c>
      <c r="P772" s="40" t="str">
        <f>IF($Z772="","",IF($Z772&lt;=2000,"",IF($Z772&lt;=4000,IF(N(INDEX(周转筐出入库明细!$I$4:$I$2004,$Z772-2000))=0,"",N(INDEX(周转筐出入库明细!$I$4:$I$2004,$Z772-2000))),IF($Z772&lt;=5200,"",IF($Z772&lt;=5800,IF(ISNUMBER(SEARCH("退",INDEX(次果筐明细!$F$4:$F$603,$Z772-5200)&amp;"")),IF(N(INDEX(次果筐明细!$G$4:$G$603,$Z772-5200))=0,"",N(INDEX(次果筐明细!$G$4:$G$603,$Z772-5200))),""),"")))))</f>
        <v/>
      </c>
      <c r="Q772" s="40" t="str">
        <f>IF($Z772="","",IF($Z772&lt;=2000,"",IF($Z772&lt;=4000,IF(N(INDEX(周转筐出入库明细!$H$4:$H$2004,$Z772-2000))=0,"",N(INDEX(周转筐出入库明细!$H$4:$H$2004,$Z772-2000))),IF($Z772&lt;=5200,IF(N(INDEX(客户自备加工筐明细!$F$4:$F$1203,$Z772-4000))=0,"",N(INDEX(客户自备加工筐明细!$F$4:$F$1203,$Z772-4000))),IF($Z772&lt;=5800,"","")))))</f>
        <v/>
      </c>
      <c r="R772" s="16" t="str">
        <f>IF($Z772="","",IF($Z772&lt;=2000,IF(INDEX(包装物料出入库明细!$O$4:$O$2003,$Z772-0)=0,"",INDEX(包装物料出入库明细!$O$4:$O$2003,$Z772-0)),IF($Z772&lt;=4000,IF(INDEX(周转筐出入库明细!$M$4:$M$2004,$Z772-2000)=0,"",INDEX(周转筐出入库明细!$M$4:$M$2004,$Z772-2000)),IF($Z772&lt;=5200,IF(INDEX(客户自备加工筐明细!$H$4:$H$1203,$Z772-4000)=0,"",INDEX(客户自备加工筐明细!$H$4:$H$1203,$Z772-4000)),IF($Z772&lt;=5800,IF(INDEX(次果筐明细!$H$4:$H$603,$Z772-5200)=0,"",INDEX(次果筐明细!$H$4:$H$603,$Z772-5200)),"")))))</f>
        <v/>
      </c>
      <c r="S772" s="22" t="str">
        <f t="shared" ref="S772:S835" si="38">IF($N772="","",IF(OR(LEFT($N772,2)="自备",AND($Z772&gt;4000,$Z772&lt;=5200)),"自备筐","公司筐"))</f>
        <v/>
      </c>
      <c r="Z772" s="10" t="str">
        <f>IFERROR(MATCH(ROW()-3,_自动清单!$CQ$4:$CQ$5803,0),"")</f>
        <v/>
      </c>
    </row>
    <row r="773" spans="1:26">
      <c r="A773" s="24" t="str">
        <f t="shared" si="36"/>
        <v/>
      </c>
      <c r="B773" s="38" t="str">
        <f>IF($Z773="","",IF($Z773&lt;=2000,IF(INDEX(包装物料出入库明细!$B$4:$B$2003,$Z773-0)=0,"",INDEX(包装物料出入库明细!$B$4:$B$2003,$Z773-0)),IF($Z773&lt;=4000,IF(INDEX(周转筐出入库明细!$B$4:$B$2004,$Z773-2000)=0,"",INDEX(周转筐出入库明细!$B$4:$B$2004,$Z773-2000)),IF($Z773&lt;=5200,IF(INDEX(客户自备加工筐明细!$B$4:$B$1203,$Z773-4000)=0,"",INDEX(客户自备加工筐明细!$B$4:$B$1203,$Z773-4000)),IF($Z773&lt;=5800,IF(INDEX(次果筐明细!$B$4:$B$603,$Z773-5200)=0,"",INDEX(次果筐明细!$B$4:$B$603,$Z773-5200)),"")))))</f>
        <v/>
      </c>
      <c r="C773" s="37" t="str">
        <f>IF($Z773="","",IF($Z773&lt;=2000,IF(INDEX(包装物料出入库明细!$D$4:$D$2003,$Z773-0)=0,"",INDEX(包装物料出入库明细!$D$4:$D$2003,$Z773-0)),IF($Z773&lt;=4000,IF(INDEX(周转筐出入库明细!$C$4:$C$2004,$Z773-2000)=0,"",INDEX(周转筐出入库明细!$C$4:$C$2004,$Z773-2000)),IF($Z773&lt;=5200,IF(INDEX(客户自备加工筐明细!$E$4:$E$1203,$Z773-4000)=0,"",INDEX(客户自备加工筐明细!$E$4:$E$1203,$Z773-4000)),IF($Z773&lt;=5800,IF(INDEX(次果筐明细!$C$4:$C$603,$Z773-5200)=0,"",INDEX(次果筐明细!$C$4:$C$603,$Z773-5200)),"")))))</f>
        <v/>
      </c>
      <c r="D773" s="37" t="str">
        <f>IF($Z773="","",IF($Z773&lt;=2000,"包装物料－"&amp;INDEX(包装物料出入库明细!$H$4:$H$2003,$Z773-0),IF($Z773&lt;=4000,"周转筐－"&amp;INDEX(周转筐出入库明细!$F$4:$F$2004,$Z773-2000),IF($Z773&lt;=5200,"客户自备筐－"&amp;INDEX(客户自备加工筐明细!$J$4:$J$1203,$Z773-4000),IF($Z773&lt;=5800,"次果筐/托盘－"&amp;INDEX(次果筐明细!$F$4:$F$603,$Z773-5200),"")))))</f>
        <v/>
      </c>
      <c r="E773" s="24" t="str">
        <f>IF($Z773="","",IF($Z773&lt;=2000,IF(INDEX(包装物料出入库明细!$C$4:$C$2003,$Z773-0)=0,"",INDEX(包装物料出入库明细!$C$4:$C$2003,$Z773-0)),IF($Z773&lt;=4000,IF(INDEX(周转筐出入库明细!$E$4:$E$2004,$Z773-2000)=0,"",INDEX(周转筐出入库明细!$E$4:$E$2004,$Z773-2000)),IF($Z773&lt;=5200,IF(INDEX(客户自备加工筐明细!$D$4:$D$1203,$Z773-4000)=0,"",INDEX(客户自备加工筐明细!$D$4:$D$1203,$Z773-4000)),IF($Z773&lt;=5800,IF(INDEX(次果筐明细!$E$4:$E$603,$Z773-5200)=0,"",INDEX(次果筐明细!$E$4:$E$603,$Z773-5200)),"")))))</f>
        <v/>
      </c>
      <c r="F773" s="24" t="str">
        <f>IF($Z773="","",IF($Z773&lt;=2000,IF(INDEX(包装物料出入库明细!$E$4:$E$2003,$Z773-0)=0,"",INDEX(包装物料出入库明细!$E$4:$E$2003,$Z773-0)),IF($Z773&lt;=4000,IF(INDEX(周转筐出入库明细!$D$4:$D$2004,$Z773-2000)=0,"",INDEX(周转筐出入库明细!$D$4:$D$2004,$Z773-2000)),IF($Z773&lt;=5200,IF(INDEX(客户自备加工筐明细!$C$4:$C$1203,$Z773-4000)=0,"",INDEX(客户自备加工筐明细!$C$4:$C$1203,$Z773-4000)),IF($Z773&lt;=5800,IF(INDEX(次果筐明细!$D$4:$D$603,$Z773-5200)=0,"",INDEX(次果筐明细!$D$4:$D$603,$Z773-5200)),"")))))</f>
        <v/>
      </c>
      <c r="G773" s="24" t="str">
        <f>IF($Z773="","",IF($Z773&lt;=2000,IF(INDEX(包装物料出入库明细!$F$4:$F$2003,$Z773-0)=0,"",INDEX(包装物料出入库明细!$F$4:$F$2003,$Z773-0)),IF($Z773&lt;=4000,"",IF($Z773&lt;=5200,"",IF($Z773&lt;=5800,"","")))))</f>
        <v/>
      </c>
      <c r="H773" s="39" t="str">
        <f>IF($Z773="","",IF($Z773&lt;=2000,IF(INDEX(包装物料出入库明细!$L$4:$L$2003,$Z773-0)=0,"",INDEX(包装物料出入库明细!$L$4:$L$2003,$Z773-0)),IF($Z773&lt;=4000,N(INDEX(周转筐出入库明细!$H$4:$H$2004,$Z773-2000))+N(INDEX(周转筐出入库明细!$I$4:$I$2004,$Z773-2000))+N(INDEX(周转筐出入库明细!$J$4:$J$2004,$Z773-2000))+N(INDEX(周转筐出入库明细!$K$4:$K$2004,$Z773-2000)),IF($Z773&lt;=5200,N(INDEX(客户自备加工筐明细!$F$4:$F$1203,$Z773-4000))+N(INDEX(客户自备加工筐明细!$G$4:$G$1203,$Z773-4000)),IF($Z773&lt;=5800,IF(INDEX(次果筐明细!$G$4:$G$603,$Z773-5200)=0,"",INDEX(次果筐明细!$G$4:$G$603,$Z773-5200)),"")))))</f>
        <v/>
      </c>
      <c r="I773" s="24" t="str">
        <f>IF($Z773="","",IF($Z773&lt;=2000,IF(INDEX(包装物料出入库明细!$G$4:$G$2003,$Z773-0)=0,"",INDEX(包装物料出入库明细!$G$4:$G$2003,$Z773-0)),IF($Z773&lt;=4000,"个",IF($Z773&lt;=5200,"个",IF($Z773&lt;=5800,"个","")))))</f>
        <v/>
      </c>
      <c r="J773" s="30" t="str">
        <f t="shared" si="37"/>
        <v/>
      </c>
      <c r="K773" s="30" t="str">
        <f>IF($Z773="","",IF($Z773&lt;=2000,IF(INDEX(包装物料出入库明细!$N$4:$N$2003,$Z773-0)=0,"",INDEX(包装物料出入库明细!$N$4:$N$2003,$Z773-0)),IF($Z773&lt;=4000,IF(INDEX(周转筐出入库明细!$P$4:$P$2004,$Z773-2000)=0,"",INDEX(周转筐出入库明细!$P$4:$P$2004,$Z773-2000)),IF($Z773&lt;=5200,"",IF($Z773&lt;=5800,N(INDEX(次果筐明细!$L$4:$L$603,$Z773-5200))+N(INDEX(次果筐明细!$J$4:$J$603,$Z773-5200)),"")))))</f>
        <v/>
      </c>
      <c r="L773" s="24" t="str">
        <f>IF($Z773="","",IF($Z773&lt;=2000,IF(INDEX(包装物料出入库明细!$P$4:$P$2003,$Z773-0)=0,"",INDEX(包装物料出入库明细!$P$4:$P$2003,$Z773-0)),IF($Z773&lt;=4000,IF(INDEX(周转筐出入库明细!$Q$4:$Q$2004,$Z773-2000)=0,"",INDEX(周转筐出入库明细!$Q$4:$Q$2004,$Z773-2000)),IF($Z773&lt;=5200,"",IF($Z773&lt;=5800,IF(INDEX(次果筐明细!$M$4:$M$603,$Z773-5200)=0,"",INDEX(次果筐明细!$M$4:$M$603,$Z773-5200)),"")))))</f>
        <v/>
      </c>
      <c r="M773" s="37" t="str">
        <f>IF($Z773="","",IF($Z773&lt;=2000,IF(INDEX(包装物料出入库明细!$R$4:$R$2003,$Z773-0)=0,"",INDEX(包装物料出入库明细!$R$4:$R$2003,$Z773-0)),IF($Z773&lt;=4000,IF(INDEX(周转筐出入库明细!$W$4:$W$2004,$Z773-2000)=0,"",INDEX(周转筐出入库明细!$W$4:$W$2004,$Z773-2000)),IF($Z773&lt;=5200,IF(INDEX(客户自备加工筐明细!$L$4:$L$1203,$Z773-4000)=0,"",INDEX(客户自备加工筐明细!$L$4:$L$1203,$Z773-4000)),IF($Z773&lt;=5800,IF(INDEX(次果筐明细!$P$4:$P$603,$Z773-5200)=0,"",INDEX(次果筐明细!$P$4:$P$603,$Z773-5200)),"")))))</f>
        <v/>
      </c>
      <c r="N773" s="16" t="str">
        <f>IF($Z773="","",IF($Z773&lt;=2000,"",IF($Z773&lt;=4000,IF(INDEX(周转筐出入库明细!$D$4:$D$2004,$Z773-2000)=0,"",INDEX(周转筐出入库明细!$D$4:$D$2004,$Z773-2000)),IF($Z773&lt;=5200,IF(INDEX(客户自备加工筐明细!$C$4:$C$1203,$Z773-4000)=0,"",INDEX(客户自备加工筐明细!$C$4:$C$1203,$Z773-4000)),IF($Z773&lt;=5800,IF(INDEX(次果筐明细!$D$4:$D$603,$Z773-5200)=0,"",INDEX(次果筐明细!$D$4:$D$603,$Z773-5200)),"")))))</f>
        <v/>
      </c>
      <c r="O773" s="40" t="str">
        <f>IF($Z773="","",IF($Z773&lt;=2000,"",IF($Z773&lt;=4000,IF(N(INDEX(周转筐出入库明细!$J$4:$J$2004,$Z773-2000))+N(INDEX(周转筐出入库明细!$K$4:$K$2004,$Z773-2000))=0,"",N(INDEX(周转筐出入库明细!$J$4:$J$2004,$Z773-2000))+N(INDEX(周转筐出入库明细!$K$4:$K$2004,$Z773-2000))),IF($Z773&lt;=5200,IF(N(INDEX(客户自备加工筐明细!$G$4:$G$1203,$Z773-4000))=0,"",N(INDEX(客户自备加工筐明细!$G$4:$G$1203,$Z773-4000))),IF($Z773&lt;=5800,IF(ISNUMBER(SEARCH("退",INDEX(次果筐明细!$F$4:$F$603,$Z773-5200)&amp;"")),"",IF(N(INDEX(次果筐明细!$G$4:$G$603,$Z773-5200))=0,"",N(INDEX(次果筐明细!$G$4:$G$603,$Z773-5200)))),"")))))</f>
        <v/>
      </c>
      <c r="P773" s="40" t="str">
        <f>IF($Z773="","",IF($Z773&lt;=2000,"",IF($Z773&lt;=4000,IF(N(INDEX(周转筐出入库明细!$I$4:$I$2004,$Z773-2000))=0,"",N(INDEX(周转筐出入库明细!$I$4:$I$2004,$Z773-2000))),IF($Z773&lt;=5200,"",IF($Z773&lt;=5800,IF(ISNUMBER(SEARCH("退",INDEX(次果筐明细!$F$4:$F$603,$Z773-5200)&amp;"")),IF(N(INDEX(次果筐明细!$G$4:$G$603,$Z773-5200))=0,"",N(INDEX(次果筐明细!$G$4:$G$603,$Z773-5200))),""),"")))))</f>
        <v/>
      </c>
      <c r="Q773" s="40" t="str">
        <f>IF($Z773="","",IF($Z773&lt;=2000,"",IF($Z773&lt;=4000,IF(N(INDEX(周转筐出入库明细!$H$4:$H$2004,$Z773-2000))=0,"",N(INDEX(周转筐出入库明细!$H$4:$H$2004,$Z773-2000))),IF($Z773&lt;=5200,IF(N(INDEX(客户自备加工筐明细!$F$4:$F$1203,$Z773-4000))=0,"",N(INDEX(客户自备加工筐明细!$F$4:$F$1203,$Z773-4000))),IF($Z773&lt;=5800,"","")))))</f>
        <v/>
      </c>
      <c r="R773" s="16" t="str">
        <f>IF($Z773="","",IF($Z773&lt;=2000,IF(INDEX(包装物料出入库明细!$O$4:$O$2003,$Z773-0)=0,"",INDEX(包装物料出入库明细!$O$4:$O$2003,$Z773-0)),IF($Z773&lt;=4000,IF(INDEX(周转筐出入库明细!$M$4:$M$2004,$Z773-2000)=0,"",INDEX(周转筐出入库明细!$M$4:$M$2004,$Z773-2000)),IF($Z773&lt;=5200,IF(INDEX(客户自备加工筐明细!$H$4:$H$1203,$Z773-4000)=0,"",INDEX(客户自备加工筐明细!$H$4:$H$1203,$Z773-4000)),IF($Z773&lt;=5800,IF(INDEX(次果筐明细!$H$4:$H$603,$Z773-5200)=0,"",INDEX(次果筐明细!$H$4:$H$603,$Z773-5200)),"")))))</f>
        <v/>
      </c>
      <c r="S773" s="22" t="str">
        <f t="shared" si="38"/>
        <v/>
      </c>
      <c r="Z773" s="10" t="str">
        <f>IFERROR(MATCH(ROW()-3,_自动清单!$CQ$4:$CQ$5803,0),"")</f>
        <v/>
      </c>
    </row>
    <row r="774" spans="1:26">
      <c r="A774" s="24" t="str">
        <f t="shared" si="36"/>
        <v/>
      </c>
      <c r="B774" s="38" t="str">
        <f>IF($Z774="","",IF($Z774&lt;=2000,IF(INDEX(包装物料出入库明细!$B$4:$B$2003,$Z774-0)=0,"",INDEX(包装物料出入库明细!$B$4:$B$2003,$Z774-0)),IF($Z774&lt;=4000,IF(INDEX(周转筐出入库明细!$B$4:$B$2004,$Z774-2000)=0,"",INDEX(周转筐出入库明细!$B$4:$B$2004,$Z774-2000)),IF($Z774&lt;=5200,IF(INDEX(客户自备加工筐明细!$B$4:$B$1203,$Z774-4000)=0,"",INDEX(客户自备加工筐明细!$B$4:$B$1203,$Z774-4000)),IF($Z774&lt;=5800,IF(INDEX(次果筐明细!$B$4:$B$603,$Z774-5200)=0,"",INDEX(次果筐明细!$B$4:$B$603,$Z774-5200)),"")))))</f>
        <v/>
      </c>
      <c r="C774" s="37" t="str">
        <f>IF($Z774="","",IF($Z774&lt;=2000,IF(INDEX(包装物料出入库明细!$D$4:$D$2003,$Z774-0)=0,"",INDEX(包装物料出入库明细!$D$4:$D$2003,$Z774-0)),IF($Z774&lt;=4000,IF(INDEX(周转筐出入库明细!$C$4:$C$2004,$Z774-2000)=0,"",INDEX(周转筐出入库明细!$C$4:$C$2004,$Z774-2000)),IF($Z774&lt;=5200,IF(INDEX(客户自备加工筐明细!$E$4:$E$1203,$Z774-4000)=0,"",INDEX(客户自备加工筐明细!$E$4:$E$1203,$Z774-4000)),IF($Z774&lt;=5800,IF(INDEX(次果筐明细!$C$4:$C$603,$Z774-5200)=0,"",INDEX(次果筐明细!$C$4:$C$603,$Z774-5200)),"")))))</f>
        <v/>
      </c>
      <c r="D774" s="37" t="str">
        <f>IF($Z774="","",IF($Z774&lt;=2000,"包装物料－"&amp;INDEX(包装物料出入库明细!$H$4:$H$2003,$Z774-0),IF($Z774&lt;=4000,"周转筐－"&amp;INDEX(周转筐出入库明细!$F$4:$F$2004,$Z774-2000),IF($Z774&lt;=5200,"客户自备筐－"&amp;INDEX(客户自备加工筐明细!$J$4:$J$1203,$Z774-4000),IF($Z774&lt;=5800,"次果筐/托盘－"&amp;INDEX(次果筐明细!$F$4:$F$603,$Z774-5200),"")))))</f>
        <v/>
      </c>
      <c r="E774" s="24" t="str">
        <f>IF($Z774="","",IF($Z774&lt;=2000,IF(INDEX(包装物料出入库明细!$C$4:$C$2003,$Z774-0)=0,"",INDEX(包装物料出入库明细!$C$4:$C$2003,$Z774-0)),IF($Z774&lt;=4000,IF(INDEX(周转筐出入库明细!$E$4:$E$2004,$Z774-2000)=0,"",INDEX(周转筐出入库明细!$E$4:$E$2004,$Z774-2000)),IF($Z774&lt;=5200,IF(INDEX(客户自备加工筐明细!$D$4:$D$1203,$Z774-4000)=0,"",INDEX(客户自备加工筐明细!$D$4:$D$1203,$Z774-4000)),IF($Z774&lt;=5800,IF(INDEX(次果筐明细!$E$4:$E$603,$Z774-5200)=0,"",INDEX(次果筐明细!$E$4:$E$603,$Z774-5200)),"")))))</f>
        <v/>
      </c>
      <c r="F774" s="24" t="str">
        <f>IF($Z774="","",IF($Z774&lt;=2000,IF(INDEX(包装物料出入库明细!$E$4:$E$2003,$Z774-0)=0,"",INDEX(包装物料出入库明细!$E$4:$E$2003,$Z774-0)),IF($Z774&lt;=4000,IF(INDEX(周转筐出入库明细!$D$4:$D$2004,$Z774-2000)=0,"",INDEX(周转筐出入库明细!$D$4:$D$2004,$Z774-2000)),IF($Z774&lt;=5200,IF(INDEX(客户自备加工筐明细!$C$4:$C$1203,$Z774-4000)=0,"",INDEX(客户自备加工筐明细!$C$4:$C$1203,$Z774-4000)),IF($Z774&lt;=5800,IF(INDEX(次果筐明细!$D$4:$D$603,$Z774-5200)=0,"",INDEX(次果筐明细!$D$4:$D$603,$Z774-5200)),"")))))</f>
        <v/>
      </c>
      <c r="G774" s="24" t="str">
        <f>IF($Z774="","",IF($Z774&lt;=2000,IF(INDEX(包装物料出入库明细!$F$4:$F$2003,$Z774-0)=0,"",INDEX(包装物料出入库明细!$F$4:$F$2003,$Z774-0)),IF($Z774&lt;=4000,"",IF($Z774&lt;=5200,"",IF($Z774&lt;=5800,"","")))))</f>
        <v/>
      </c>
      <c r="H774" s="39" t="str">
        <f>IF($Z774="","",IF($Z774&lt;=2000,IF(INDEX(包装物料出入库明细!$L$4:$L$2003,$Z774-0)=0,"",INDEX(包装物料出入库明细!$L$4:$L$2003,$Z774-0)),IF($Z774&lt;=4000,N(INDEX(周转筐出入库明细!$H$4:$H$2004,$Z774-2000))+N(INDEX(周转筐出入库明细!$I$4:$I$2004,$Z774-2000))+N(INDEX(周转筐出入库明细!$J$4:$J$2004,$Z774-2000))+N(INDEX(周转筐出入库明细!$K$4:$K$2004,$Z774-2000)),IF($Z774&lt;=5200,N(INDEX(客户自备加工筐明细!$F$4:$F$1203,$Z774-4000))+N(INDEX(客户自备加工筐明细!$G$4:$G$1203,$Z774-4000)),IF($Z774&lt;=5800,IF(INDEX(次果筐明细!$G$4:$G$603,$Z774-5200)=0,"",INDEX(次果筐明细!$G$4:$G$603,$Z774-5200)),"")))))</f>
        <v/>
      </c>
      <c r="I774" s="24" t="str">
        <f>IF($Z774="","",IF($Z774&lt;=2000,IF(INDEX(包装物料出入库明细!$G$4:$G$2003,$Z774-0)=0,"",INDEX(包装物料出入库明细!$G$4:$G$2003,$Z774-0)),IF($Z774&lt;=4000,"个",IF($Z774&lt;=5200,"个",IF($Z774&lt;=5800,"个","")))))</f>
        <v/>
      </c>
      <c r="J774" s="30" t="str">
        <f t="shared" si="37"/>
        <v/>
      </c>
      <c r="K774" s="30" t="str">
        <f>IF($Z774="","",IF($Z774&lt;=2000,IF(INDEX(包装物料出入库明细!$N$4:$N$2003,$Z774-0)=0,"",INDEX(包装物料出入库明细!$N$4:$N$2003,$Z774-0)),IF($Z774&lt;=4000,IF(INDEX(周转筐出入库明细!$P$4:$P$2004,$Z774-2000)=0,"",INDEX(周转筐出入库明细!$P$4:$P$2004,$Z774-2000)),IF($Z774&lt;=5200,"",IF($Z774&lt;=5800,N(INDEX(次果筐明细!$L$4:$L$603,$Z774-5200))+N(INDEX(次果筐明细!$J$4:$J$603,$Z774-5200)),"")))))</f>
        <v/>
      </c>
      <c r="L774" s="24" t="str">
        <f>IF($Z774="","",IF($Z774&lt;=2000,IF(INDEX(包装物料出入库明细!$P$4:$P$2003,$Z774-0)=0,"",INDEX(包装物料出入库明细!$P$4:$P$2003,$Z774-0)),IF($Z774&lt;=4000,IF(INDEX(周转筐出入库明细!$Q$4:$Q$2004,$Z774-2000)=0,"",INDEX(周转筐出入库明细!$Q$4:$Q$2004,$Z774-2000)),IF($Z774&lt;=5200,"",IF($Z774&lt;=5800,IF(INDEX(次果筐明细!$M$4:$M$603,$Z774-5200)=0,"",INDEX(次果筐明细!$M$4:$M$603,$Z774-5200)),"")))))</f>
        <v/>
      </c>
      <c r="M774" s="37" t="str">
        <f>IF($Z774="","",IF($Z774&lt;=2000,IF(INDEX(包装物料出入库明细!$R$4:$R$2003,$Z774-0)=0,"",INDEX(包装物料出入库明细!$R$4:$R$2003,$Z774-0)),IF($Z774&lt;=4000,IF(INDEX(周转筐出入库明细!$W$4:$W$2004,$Z774-2000)=0,"",INDEX(周转筐出入库明细!$W$4:$W$2004,$Z774-2000)),IF($Z774&lt;=5200,IF(INDEX(客户自备加工筐明细!$L$4:$L$1203,$Z774-4000)=0,"",INDEX(客户自备加工筐明细!$L$4:$L$1203,$Z774-4000)),IF($Z774&lt;=5800,IF(INDEX(次果筐明细!$P$4:$P$603,$Z774-5200)=0,"",INDEX(次果筐明细!$P$4:$P$603,$Z774-5200)),"")))))</f>
        <v/>
      </c>
      <c r="N774" s="16" t="str">
        <f>IF($Z774="","",IF($Z774&lt;=2000,"",IF($Z774&lt;=4000,IF(INDEX(周转筐出入库明细!$D$4:$D$2004,$Z774-2000)=0,"",INDEX(周转筐出入库明细!$D$4:$D$2004,$Z774-2000)),IF($Z774&lt;=5200,IF(INDEX(客户自备加工筐明细!$C$4:$C$1203,$Z774-4000)=0,"",INDEX(客户自备加工筐明细!$C$4:$C$1203,$Z774-4000)),IF($Z774&lt;=5800,IF(INDEX(次果筐明细!$D$4:$D$603,$Z774-5200)=0,"",INDEX(次果筐明细!$D$4:$D$603,$Z774-5200)),"")))))</f>
        <v/>
      </c>
      <c r="O774" s="40" t="str">
        <f>IF($Z774="","",IF($Z774&lt;=2000,"",IF($Z774&lt;=4000,IF(N(INDEX(周转筐出入库明细!$J$4:$J$2004,$Z774-2000))+N(INDEX(周转筐出入库明细!$K$4:$K$2004,$Z774-2000))=0,"",N(INDEX(周转筐出入库明细!$J$4:$J$2004,$Z774-2000))+N(INDEX(周转筐出入库明细!$K$4:$K$2004,$Z774-2000))),IF($Z774&lt;=5200,IF(N(INDEX(客户自备加工筐明细!$G$4:$G$1203,$Z774-4000))=0,"",N(INDEX(客户自备加工筐明细!$G$4:$G$1203,$Z774-4000))),IF($Z774&lt;=5800,IF(ISNUMBER(SEARCH("退",INDEX(次果筐明细!$F$4:$F$603,$Z774-5200)&amp;"")),"",IF(N(INDEX(次果筐明细!$G$4:$G$603,$Z774-5200))=0,"",N(INDEX(次果筐明细!$G$4:$G$603,$Z774-5200)))),"")))))</f>
        <v/>
      </c>
      <c r="P774" s="40" t="str">
        <f>IF($Z774="","",IF($Z774&lt;=2000,"",IF($Z774&lt;=4000,IF(N(INDEX(周转筐出入库明细!$I$4:$I$2004,$Z774-2000))=0,"",N(INDEX(周转筐出入库明细!$I$4:$I$2004,$Z774-2000))),IF($Z774&lt;=5200,"",IF($Z774&lt;=5800,IF(ISNUMBER(SEARCH("退",INDEX(次果筐明细!$F$4:$F$603,$Z774-5200)&amp;"")),IF(N(INDEX(次果筐明细!$G$4:$G$603,$Z774-5200))=0,"",N(INDEX(次果筐明细!$G$4:$G$603,$Z774-5200))),""),"")))))</f>
        <v/>
      </c>
      <c r="Q774" s="40" t="str">
        <f>IF($Z774="","",IF($Z774&lt;=2000,"",IF($Z774&lt;=4000,IF(N(INDEX(周转筐出入库明细!$H$4:$H$2004,$Z774-2000))=0,"",N(INDEX(周转筐出入库明细!$H$4:$H$2004,$Z774-2000))),IF($Z774&lt;=5200,IF(N(INDEX(客户自备加工筐明细!$F$4:$F$1203,$Z774-4000))=0,"",N(INDEX(客户自备加工筐明细!$F$4:$F$1203,$Z774-4000))),IF($Z774&lt;=5800,"","")))))</f>
        <v/>
      </c>
      <c r="R774" s="16" t="str">
        <f>IF($Z774="","",IF($Z774&lt;=2000,IF(INDEX(包装物料出入库明细!$O$4:$O$2003,$Z774-0)=0,"",INDEX(包装物料出入库明细!$O$4:$O$2003,$Z774-0)),IF($Z774&lt;=4000,IF(INDEX(周转筐出入库明细!$M$4:$M$2004,$Z774-2000)=0,"",INDEX(周转筐出入库明细!$M$4:$M$2004,$Z774-2000)),IF($Z774&lt;=5200,IF(INDEX(客户自备加工筐明细!$H$4:$H$1203,$Z774-4000)=0,"",INDEX(客户自备加工筐明细!$H$4:$H$1203,$Z774-4000)),IF($Z774&lt;=5800,IF(INDEX(次果筐明细!$H$4:$H$603,$Z774-5200)=0,"",INDEX(次果筐明细!$H$4:$H$603,$Z774-5200)),"")))))</f>
        <v/>
      </c>
      <c r="S774" s="22" t="str">
        <f t="shared" si="38"/>
        <v/>
      </c>
      <c r="Z774" s="10" t="str">
        <f>IFERROR(MATCH(ROW()-3,_自动清单!$CQ$4:$CQ$5803,0),"")</f>
        <v/>
      </c>
    </row>
    <row r="775" spans="1:26">
      <c r="A775" s="24" t="str">
        <f t="shared" si="36"/>
        <v/>
      </c>
      <c r="B775" s="38" t="str">
        <f>IF($Z775="","",IF($Z775&lt;=2000,IF(INDEX(包装物料出入库明细!$B$4:$B$2003,$Z775-0)=0,"",INDEX(包装物料出入库明细!$B$4:$B$2003,$Z775-0)),IF($Z775&lt;=4000,IF(INDEX(周转筐出入库明细!$B$4:$B$2004,$Z775-2000)=0,"",INDEX(周转筐出入库明细!$B$4:$B$2004,$Z775-2000)),IF($Z775&lt;=5200,IF(INDEX(客户自备加工筐明细!$B$4:$B$1203,$Z775-4000)=0,"",INDEX(客户自备加工筐明细!$B$4:$B$1203,$Z775-4000)),IF($Z775&lt;=5800,IF(INDEX(次果筐明细!$B$4:$B$603,$Z775-5200)=0,"",INDEX(次果筐明细!$B$4:$B$603,$Z775-5200)),"")))))</f>
        <v/>
      </c>
      <c r="C775" s="37" t="str">
        <f>IF($Z775="","",IF($Z775&lt;=2000,IF(INDEX(包装物料出入库明细!$D$4:$D$2003,$Z775-0)=0,"",INDEX(包装物料出入库明细!$D$4:$D$2003,$Z775-0)),IF($Z775&lt;=4000,IF(INDEX(周转筐出入库明细!$C$4:$C$2004,$Z775-2000)=0,"",INDEX(周转筐出入库明细!$C$4:$C$2004,$Z775-2000)),IF($Z775&lt;=5200,IF(INDEX(客户自备加工筐明细!$E$4:$E$1203,$Z775-4000)=0,"",INDEX(客户自备加工筐明细!$E$4:$E$1203,$Z775-4000)),IF($Z775&lt;=5800,IF(INDEX(次果筐明细!$C$4:$C$603,$Z775-5200)=0,"",INDEX(次果筐明细!$C$4:$C$603,$Z775-5200)),"")))))</f>
        <v/>
      </c>
      <c r="D775" s="37" t="str">
        <f>IF($Z775="","",IF($Z775&lt;=2000,"包装物料－"&amp;INDEX(包装物料出入库明细!$H$4:$H$2003,$Z775-0),IF($Z775&lt;=4000,"周转筐－"&amp;INDEX(周转筐出入库明细!$F$4:$F$2004,$Z775-2000),IF($Z775&lt;=5200,"客户自备筐－"&amp;INDEX(客户自备加工筐明细!$J$4:$J$1203,$Z775-4000),IF($Z775&lt;=5800,"次果筐/托盘－"&amp;INDEX(次果筐明细!$F$4:$F$603,$Z775-5200),"")))))</f>
        <v/>
      </c>
      <c r="E775" s="24" t="str">
        <f>IF($Z775="","",IF($Z775&lt;=2000,IF(INDEX(包装物料出入库明细!$C$4:$C$2003,$Z775-0)=0,"",INDEX(包装物料出入库明细!$C$4:$C$2003,$Z775-0)),IF($Z775&lt;=4000,IF(INDEX(周转筐出入库明细!$E$4:$E$2004,$Z775-2000)=0,"",INDEX(周转筐出入库明细!$E$4:$E$2004,$Z775-2000)),IF($Z775&lt;=5200,IF(INDEX(客户自备加工筐明细!$D$4:$D$1203,$Z775-4000)=0,"",INDEX(客户自备加工筐明细!$D$4:$D$1203,$Z775-4000)),IF($Z775&lt;=5800,IF(INDEX(次果筐明细!$E$4:$E$603,$Z775-5200)=0,"",INDEX(次果筐明细!$E$4:$E$603,$Z775-5200)),"")))))</f>
        <v/>
      </c>
      <c r="F775" s="24" t="str">
        <f>IF($Z775="","",IF($Z775&lt;=2000,IF(INDEX(包装物料出入库明细!$E$4:$E$2003,$Z775-0)=0,"",INDEX(包装物料出入库明细!$E$4:$E$2003,$Z775-0)),IF($Z775&lt;=4000,IF(INDEX(周转筐出入库明细!$D$4:$D$2004,$Z775-2000)=0,"",INDEX(周转筐出入库明细!$D$4:$D$2004,$Z775-2000)),IF($Z775&lt;=5200,IF(INDEX(客户自备加工筐明细!$C$4:$C$1203,$Z775-4000)=0,"",INDEX(客户自备加工筐明细!$C$4:$C$1203,$Z775-4000)),IF($Z775&lt;=5800,IF(INDEX(次果筐明细!$D$4:$D$603,$Z775-5200)=0,"",INDEX(次果筐明细!$D$4:$D$603,$Z775-5200)),"")))))</f>
        <v/>
      </c>
      <c r="G775" s="24" t="str">
        <f>IF($Z775="","",IF($Z775&lt;=2000,IF(INDEX(包装物料出入库明细!$F$4:$F$2003,$Z775-0)=0,"",INDEX(包装物料出入库明细!$F$4:$F$2003,$Z775-0)),IF($Z775&lt;=4000,"",IF($Z775&lt;=5200,"",IF($Z775&lt;=5800,"","")))))</f>
        <v/>
      </c>
      <c r="H775" s="39" t="str">
        <f>IF($Z775="","",IF($Z775&lt;=2000,IF(INDEX(包装物料出入库明细!$L$4:$L$2003,$Z775-0)=0,"",INDEX(包装物料出入库明细!$L$4:$L$2003,$Z775-0)),IF($Z775&lt;=4000,N(INDEX(周转筐出入库明细!$H$4:$H$2004,$Z775-2000))+N(INDEX(周转筐出入库明细!$I$4:$I$2004,$Z775-2000))+N(INDEX(周转筐出入库明细!$J$4:$J$2004,$Z775-2000))+N(INDEX(周转筐出入库明细!$K$4:$K$2004,$Z775-2000)),IF($Z775&lt;=5200,N(INDEX(客户自备加工筐明细!$F$4:$F$1203,$Z775-4000))+N(INDEX(客户自备加工筐明细!$G$4:$G$1203,$Z775-4000)),IF($Z775&lt;=5800,IF(INDEX(次果筐明细!$G$4:$G$603,$Z775-5200)=0,"",INDEX(次果筐明细!$G$4:$G$603,$Z775-5200)),"")))))</f>
        <v/>
      </c>
      <c r="I775" s="24" t="str">
        <f>IF($Z775="","",IF($Z775&lt;=2000,IF(INDEX(包装物料出入库明细!$G$4:$G$2003,$Z775-0)=0,"",INDEX(包装物料出入库明细!$G$4:$G$2003,$Z775-0)),IF($Z775&lt;=4000,"个",IF($Z775&lt;=5200,"个",IF($Z775&lt;=5800,"个","")))))</f>
        <v/>
      </c>
      <c r="J775" s="30" t="str">
        <f t="shared" si="37"/>
        <v/>
      </c>
      <c r="K775" s="30" t="str">
        <f>IF($Z775="","",IF($Z775&lt;=2000,IF(INDEX(包装物料出入库明细!$N$4:$N$2003,$Z775-0)=0,"",INDEX(包装物料出入库明细!$N$4:$N$2003,$Z775-0)),IF($Z775&lt;=4000,IF(INDEX(周转筐出入库明细!$P$4:$P$2004,$Z775-2000)=0,"",INDEX(周转筐出入库明细!$P$4:$P$2004,$Z775-2000)),IF($Z775&lt;=5200,"",IF($Z775&lt;=5800,N(INDEX(次果筐明细!$L$4:$L$603,$Z775-5200))+N(INDEX(次果筐明细!$J$4:$J$603,$Z775-5200)),"")))))</f>
        <v/>
      </c>
      <c r="L775" s="24" t="str">
        <f>IF($Z775="","",IF($Z775&lt;=2000,IF(INDEX(包装物料出入库明细!$P$4:$P$2003,$Z775-0)=0,"",INDEX(包装物料出入库明细!$P$4:$P$2003,$Z775-0)),IF($Z775&lt;=4000,IF(INDEX(周转筐出入库明细!$Q$4:$Q$2004,$Z775-2000)=0,"",INDEX(周转筐出入库明细!$Q$4:$Q$2004,$Z775-2000)),IF($Z775&lt;=5200,"",IF($Z775&lt;=5800,IF(INDEX(次果筐明细!$M$4:$M$603,$Z775-5200)=0,"",INDEX(次果筐明细!$M$4:$M$603,$Z775-5200)),"")))))</f>
        <v/>
      </c>
      <c r="M775" s="37" t="str">
        <f>IF($Z775="","",IF($Z775&lt;=2000,IF(INDEX(包装物料出入库明细!$R$4:$R$2003,$Z775-0)=0,"",INDEX(包装物料出入库明细!$R$4:$R$2003,$Z775-0)),IF($Z775&lt;=4000,IF(INDEX(周转筐出入库明细!$W$4:$W$2004,$Z775-2000)=0,"",INDEX(周转筐出入库明细!$W$4:$W$2004,$Z775-2000)),IF($Z775&lt;=5200,IF(INDEX(客户自备加工筐明细!$L$4:$L$1203,$Z775-4000)=0,"",INDEX(客户自备加工筐明细!$L$4:$L$1203,$Z775-4000)),IF($Z775&lt;=5800,IF(INDEX(次果筐明细!$P$4:$P$603,$Z775-5200)=0,"",INDEX(次果筐明细!$P$4:$P$603,$Z775-5200)),"")))))</f>
        <v/>
      </c>
      <c r="N775" s="16" t="str">
        <f>IF($Z775="","",IF($Z775&lt;=2000,"",IF($Z775&lt;=4000,IF(INDEX(周转筐出入库明细!$D$4:$D$2004,$Z775-2000)=0,"",INDEX(周转筐出入库明细!$D$4:$D$2004,$Z775-2000)),IF($Z775&lt;=5200,IF(INDEX(客户自备加工筐明细!$C$4:$C$1203,$Z775-4000)=0,"",INDEX(客户自备加工筐明细!$C$4:$C$1203,$Z775-4000)),IF($Z775&lt;=5800,IF(INDEX(次果筐明细!$D$4:$D$603,$Z775-5200)=0,"",INDEX(次果筐明细!$D$4:$D$603,$Z775-5200)),"")))))</f>
        <v/>
      </c>
      <c r="O775" s="40" t="str">
        <f>IF($Z775="","",IF($Z775&lt;=2000,"",IF($Z775&lt;=4000,IF(N(INDEX(周转筐出入库明细!$J$4:$J$2004,$Z775-2000))+N(INDEX(周转筐出入库明细!$K$4:$K$2004,$Z775-2000))=0,"",N(INDEX(周转筐出入库明细!$J$4:$J$2004,$Z775-2000))+N(INDEX(周转筐出入库明细!$K$4:$K$2004,$Z775-2000))),IF($Z775&lt;=5200,IF(N(INDEX(客户自备加工筐明细!$G$4:$G$1203,$Z775-4000))=0,"",N(INDEX(客户自备加工筐明细!$G$4:$G$1203,$Z775-4000))),IF($Z775&lt;=5800,IF(ISNUMBER(SEARCH("退",INDEX(次果筐明细!$F$4:$F$603,$Z775-5200)&amp;"")),"",IF(N(INDEX(次果筐明细!$G$4:$G$603,$Z775-5200))=0,"",N(INDEX(次果筐明细!$G$4:$G$603,$Z775-5200)))),"")))))</f>
        <v/>
      </c>
      <c r="P775" s="40" t="str">
        <f>IF($Z775="","",IF($Z775&lt;=2000,"",IF($Z775&lt;=4000,IF(N(INDEX(周转筐出入库明细!$I$4:$I$2004,$Z775-2000))=0,"",N(INDEX(周转筐出入库明细!$I$4:$I$2004,$Z775-2000))),IF($Z775&lt;=5200,"",IF($Z775&lt;=5800,IF(ISNUMBER(SEARCH("退",INDEX(次果筐明细!$F$4:$F$603,$Z775-5200)&amp;"")),IF(N(INDEX(次果筐明细!$G$4:$G$603,$Z775-5200))=0,"",N(INDEX(次果筐明细!$G$4:$G$603,$Z775-5200))),""),"")))))</f>
        <v/>
      </c>
      <c r="Q775" s="40" t="str">
        <f>IF($Z775="","",IF($Z775&lt;=2000,"",IF($Z775&lt;=4000,IF(N(INDEX(周转筐出入库明细!$H$4:$H$2004,$Z775-2000))=0,"",N(INDEX(周转筐出入库明细!$H$4:$H$2004,$Z775-2000))),IF($Z775&lt;=5200,IF(N(INDEX(客户自备加工筐明细!$F$4:$F$1203,$Z775-4000))=0,"",N(INDEX(客户自备加工筐明细!$F$4:$F$1203,$Z775-4000))),IF($Z775&lt;=5800,"","")))))</f>
        <v/>
      </c>
      <c r="R775" s="16" t="str">
        <f>IF($Z775="","",IF($Z775&lt;=2000,IF(INDEX(包装物料出入库明细!$O$4:$O$2003,$Z775-0)=0,"",INDEX(包装物料出入库明细!$O$4:$O$2003,$Z775-0)),IF($Z775&lt;=4000,IF(INDEX(周转筐出入库明细!$M$4:$M$2004,$Z775-2000)=0,"",INDEX(周转筐出入库明细!$M$4:$M$2004,$Z775-2000)),IF($Z775&lt;=5200,IF(INDEX(客户自备加工筐明细!$H$4:$H$1203,$Z775-4000)=0,"",INDEX(客户自备加工筐明细!$H$4:$H$1203,$Z775-4000)),IF($Z775&lt;=5800,IF(INDEX(次果筐明细!$H$4:$H$603,$Z775-5200)=0,"",INDEX(次果筐明细!$H$4:$H$603,$Z775-5200)),"")))))</f>
        <v/>
      </c>
      <c r="S775" s="22" t="str">
        <f t="shared" si="38"/>
        <v/>
      </c>
      <c r="Z775" s="10" t="str">
        <f>IFERROR(MATCH(ROW()-3,_自动清单!$CQ$4:$CQ$5803,0),"")</f>
        <v/>
      </c>
    </row>
    <row r="776" spans="1:26">
      <c r="A776" s="24" t="str">
        <f t="shared" si="36"/>
        <v/>
      </c>
      <c r="B776" s="38" t="str">
        <f>IF($Z776="","",IF($Z776&lt;=2000,IF(INDEX(包装物料出入库明细!$B$4:$B$2003,$Z776-0)=0,"",INDEX(包装物料出入库明细!$B$4:$B$2003,$Z776-0)),IF($Z776&lt;=4000,IF(INDEX(周转筐出入库明细!$B$4:$B$2004,$Z776-2000)=0,"",INDEX(周转筐出入库明细!$B$4:$B$2004,$Z776-2000)),IF($Z776&lt;=5200,IF(INDEX(客户自备加工筐明细!$B$4:$B$1203,$Z776-4000)=0,"",INDEX(客户自备加工筐明细!$B$4:$B$1203,$Z776-4000)),IF($Z776&lt;=5800,IF(INDEX(次果筐明细!$B$4:$B$603,$Z776-5200)=0,"",INDEX(次果筐明细!$B$4:$B$603,$Z776-5200)),"")))))</f>
        <v/>
      </c>
      <c r="C776" s="37" t="str">
        <f>IF($Z776="","",IF($Z776&lt;=2000,IF(INDEX(包装物料出入库明细!$D$4:$D$2003,$Z776-0)=0,"",INDEX(包装物料出入库明细!$D$4:$D$2003,$Z776-0)),IF($Z776&lt;=4000,IF(INDEX(周转筐出入库明细!$C$4:$C$2004,$Z776-2000)=0,"",INDEX(周转筐出入库明细!$C$4:$C$2004,$Z776-2000)),IF($Z776&lt;=5200,IF(INDEX(客户自备加工筐明细!$E$4:$E$1203,$Z776-4000)=0,"",INDEX(客户自备加工筐明细!$E$4:$E$1203,$Z776-4000)),IF($Z776&lt;=5800,IF(INDEX(次果筐明细!$C$4:$C$603,$Z776-5200)=0,"",INDEX(次果筐明细!$C$4:$C$603,$Z776-5200)),"")))))</f>
        <v/>
      </c>
      <c r="D776" s="37" t="str">
        <f>IF($Z776="","",IF($Z776&lt;=2000,"包装物料－"&amp;INDEX(包装物料出入库明细!$H$4:$H$2003,$Z776-0),IF($Z776&lt;=4000,"周转筐－"&amp;INDEX(周转筐出入库明细!$F$4:$F$2004,$Z776-2000),IF($Z776&lt;=5200,"客户自备筐－"&amp;INDEX(客户自备加工筐明细!$J$4:$J$1203,$Z776-4000),IF($Z776&lt;=5800,"次果筐/托盘－"&amp;INDEX(次果筐明细!$F$4:$F$603,$Z776-5200),"")))))</f>
        <v/>
      </c>
      <c r="E776" s="24" t="str">
        <f>IF($Z776="","",IF($Z776&lt;=2000,IF(INDEX(包装物料出入库明细!$C$4:$C$2003,$Z776-0)=0,"",INDEX(包装物料出入库明细!$C$4:$C$2003,$Z776-0)),IF($Z776&lt;=4000,IF(INDEX(周转筐出入库明细!$E$4:$E$2004,$Z776-2000)=0,"",INDEX(周转筐出入库明细!$E$4:$E$2004,$Z776-2000)),IF($Z776&lt;=5200,IF(INDEX(客户自备加工筐明细!$D$4:$D$1203,$Z776-4000)=0,"",INDEX(客户自备加工筐明细!$D$4:$D$1203,$Z776-4000)),IF($Z776&lt;=5800,IF(INDEX(次果筐明细!$E$4:$E$603,$Z776-5200)=0,"",INDEX(次果筐明细!$E$4:$E$603,$Z776-5200)),"")))))</f>
        <v/>
      </c>
      <c r="F776" s="24" t="str">
        <f>IF($Z776="","",IF($Z776&lt;=2000,IF(INDEX(包装物料出入库明细!$E$4:$E$2003,$Z776-0)=0,"",INDEX(包装物料出入库明细!$E$4:$E$2003,$Z776-0)),IF($Z776&lt;=4000,IF(INDEX(周转筐出入库明细!$D$4:$D$2004,$Z776-2000)=0,"",INDEX(周转筐出入库明细!$D$4:$D$2004,$Z776-2000)),IF($Z776&lt;=5200,IF(INDEX(客户自备加工筐明细!$C$4:$C$1203,$Z776-4000)=0,"",INDEX(客户自备加工筐明细!$C$4:$C$1203,$Z776-4000)),IF($Z776&lt;=5800,IF(INDEX(次果筐明细!$D$4:$D$603,$Z776-5200)=0,"",INDEX(次果筐明细!$D$4:$D$603,$Z776-5200)),"")))))</f>
        <v/>
      </c>
      <c r="G776" s="24" t="str">
        <f>IF($Z776="","",IF($Z776&lt;=2000,IF(INDEX(包装物料出入库明细!$F$4:$F$2003,$Z776-0)=0,"",INDEX(包装物料出入库明细!$F$4:$F$2003,$Z776-0)),IF($Z776&lt;=4000,"",IF($Z776&lt;=5200,"",IF($Z776&lt;=5800,"","")))))</f>
        <v/>
      </c>
      <c r="H776" s="39" t="str">
        <f>IF($Z776="","",IF($Z776&lt;=2000,IF(INDEX(包装物料出入库明细!$L$4:$L$2003,$Z776-0)=0,"",INDEX(包装物料出入库明细!$L$4:$L$2003,$Z776-0)),IF($Z776&lt;=4000,N(INDEX(周转筐出入库明细!$H$4:$H$2004,$Z776-2000))+N(INDEX(周转筐出入库明细!$I$4:$I$2004,$Z776-2000))+N(INDEX(周转筐出入库明细!$J$4:$J$2004,$Z776-2000))+N(INDEX(周转筐出入库明细!$K$4:$K$2004,$Z776-2000)),IF($Z776&lt;=5200,N(INDEX(客户自备加工筐明细!$F$4:$F$1203,$Z776-4000))+N(INDEX(客户自备加工筐明细!$G$4:$G$1203,$Z776-4000)),IF($Z776&lt;=5800,IF(INDEX(次果筐明细!$G$4:$G$603,$Z776-5200)=0,"",INDEX(次果筐明细!$G$4:$G$603,$Z776-5200)),"")))))</f>
        <v/>
      </c>
      <c r="I776" s="24" t="str">
        <f>IF($Z776="","",IF($Z776&lt;=2000,IF(INDEX(包装物料出入库明细!$G$4:$G$2003,$Z776-0)=0,"",INDEX(包装物料出入库明细!$G$4:$G$2003,$Z776-0)),IF($Z776&lt;=4000,"个",IF($Z776&lt;=5200,"个",IF($Z776&lt;=5800,"个","")))))</f>
        <v/>
      </c>
      <c r="J776" s="30" t="str">
        <f t="shared" si="37"/>
        <v/>
      </c>
      <c r="K776" s="30" t="str">
        <f>IF($Z776="","",IF($Z776&lt;=2000,IF(INDEX(包装物料出入库明细!$N$4:$N$2003,$Z776-0)=0,"",INDEX(包装物料出入库明细!$N$4:$N$2003,$Z776-0)),IF($Z776&lt;=4000,IF(INDEX(周转筐出入库明细!$P$4:$P$2004,$Z776-2000)=0,"",INDEX(周转筐出入库明细!$P$4:$P$2004,$Z776-2000)),IF($Z776&lt;=5200,"",IF($Z776&lt;=5800,N(INDEX(次果筐明细!$L$4:$L$603,$Z776-5200))+N(INDEX(次果筐明细!$J$4:$J$603,$Z776-5200)),"")))))</f>
        <v/>
      </c>
      <c r="L776" s="24" t="str">
        <f>IF($Z776="","",IF($Z776&lt;=2000,IF(INDEX(包装物料出入库明细!$P$4:$P$2003,$Z776-0)=0,"",INDEX(包装物料出入库明细!$P$4:$P$2003,$Z776-0)),IF($Z776&lt;=4000,IF(INDEX(周转筐出入库明细!$Q$4:$Q$2004,$Z776-2000)=0,"",INDEX(周转筐出入库明细!$Q$4:$Q$2004,$Z776-2000)),IF($Z776&lt;=5200,"",IF($Z776&lt;=5800,IF(INDEX(次果筐明细!$M$4:$M$603,$Z776-5200)=0,"",INDEX(次果筐明细!$M$4:$M$603,$Z776-5200)),"")))))</f>
        <v/>
      </c>
      <c r="M776" s="37" t="str">
        <f>IF($Z776="","",IF($Z776&lt;=2000,IF(INDEX(包装物料出入库明细!$R$4:$R$2003,$Z776-0)=0,"",INDEX(包装物料出入库明细!$R$4:$R$2003,$Z776-0)),IF($Z776&lt;=4000,IF(INDEX(周转筐出入库明细!$W$4:$W$2004,$Z776-2000)=0,"",INDEX(周转筐出入库明细!$W$4:$W$2004,$Z776-2000)),IF($Z776&lt;=5200,IF(INDEX(客户自备加工筐明细!$L$4:$L$1203,$Z776-4000)=0,"",INDEX(客户自备加工筐明细!$L$4:$L$1203,$Z776-4000)),IF($Z776&lt;=5800,IF(INDEX(次果筐明细!$P$4:$P$603,$Z776-5200)=0,"",INDEX(次果筐明细!$P$4:$P$603,$Z776-5200)),"")))))</f>
        <v/>
      </c>
      <c r="N776" s="16" t="str">
        <f>IF($Z776="","",IF($Z776&lt;=2000,"",IF($Z776&lt;=4000,IF(INDEX(周转筐出入库明细!$D$4:$D$2004,$Z776-2000)=0,"",INDEX(周转筐出入库明细!$D$4:$D$2004,$Z776-2000)),IF($Z776&lt;=5200,IF(INDEX(客户自备加工筐明细!$C$4:$C$1203,$Z776-4000)=0,"",INDEX(客户自备加工筐明细!$C$4:$C$1203,$Z776-4000)),IF($Z776&lt;=5800,IF(INDEX(次果筐明细!$D$4:$D$603,$Z776-5200)=0,"",INDEX(次果筐明细!$D$4:$D$603,$Z776-5200)),"")))))</f>
        <v/>
      </c>
      <c r="O776" s="40" t="str">
        <f>IF($Z776="","",IF($Z776&lt;=2000,"",IF($Z776&lt;=4000,IF(N(INDEX(周转筐出入库明细!$J$4:$J$2004,$Z776-2000))+N(INDEX(周转筐出入库明细!$K$4:$K$2004,$Z776-2000))=0,"",N(INDEX(周转筐出入库明细!$J$4:$J$2004,$Z776-2000))+N(INDEX(周转筐出入库明细!$K$4:$K$2004,$Z776-2000))),IF($Z776&lt;=5200,IF(N(INDEX(客户自备加工筐明细!$G$4:$G$1203,$Z776-4000))=0,"",N(INDEX(客户自备加工筐明细!$G$4:$G$1203,$Z776-4000))),IF($Z776&lt;=5800,IF(ISNUMBER(SEARCH("退",INDEX(次果筐明细!$F$4:$F$603,$Z776-5200)&amp;"")),"",IF(N(INDEX(次果筐明细!$G$4:$G$603,$Z776-5200))=0,"",N(INDEX(次果筐明细!$G$4:$G$603,$Z776-5200)))),"")))))</f>
        <v/>
      </c>
      <c r="P776" s="40" t="str">
        <f>IF($Z776="","",IF($Z776&lt;=2000,"",IF($Z776&lt;=4000,IF(N(INDEX(周转筐出入库明细!$I$4:$I$2004,$Z776-2000))=0,"",N(INDEX(周转筐出入库明细!$I$4:$I$2004,$Z776-2000))),IF($Z776&lt;=5200,"",IF($Z776&lt;=5800,IF(ISNUMBER(SEARCH("退",INDEX(次果筐明细!$F$4:$F$603,$Z776-5200)&amp;"")),IF(N(INDEX(次果筐明细!$G$4:$G$603,$Z776-5200))=0,"",N(INDEX(次果筐明细!$G$4:$G$603,$Z776-5200))),""),"")))))</f>
        <v/>
      </c>
      <c r="Q776" s="40" t="str">
        <f>IF($Z776="","",IF($Z776&lt;=2000,"",IF($Z776&lt;=4000,IF(N(INDEX(周转筐出入库明细!$H$4:$H$2004,$Z776-2000))=0,"",N(INDEX(周转筐出入库明细!$H$4:$H$2004,$Z776-2000))),IF($Z776&lt;=5200,IF(N(INDEX(客户自备加工筐明细!$F$4:$F$1203,$Z776-4000))=0,"",N(INDEX(客户自备加工筐明细!$F$4:$F$1203,$Z776-4000))),IF($Z776&lt;=5800,"","")))))</f>
        <v/>
      </c>
      <c r="R776" s="16" t="str">
        <f>IF($Z776="","",IF($Z776&lt;=2000,IF(INDEX(包装物料出入库明细!$O$4:$O$2003,$Z776-0)=0,"",INDEX(包装物料出入库明细!$O$4:$O$2003,$Z776-0)),IF($Z776&lt;=4000,IF(INDEX(周转筐出入库明细!$M$4:$M$2004,$Z776-2000)=0,"",INDEX(周转筐出入库明细!$M$4:$M$2004,$Z776-2000)),IF($Z776&lt;=5200,IF(INDEX(客户自备加工筐明细!$H$4:$H$1203,$Z776-4000)=0,"",INDEX(客户自备加工筐明细!$H$4:$H$1203,$Z776-4000)),IF($Z776&lt;=5800,IF(INDEX(次果筐明细!$H$4:$H$603,$Z776-5200)=0,"",INDEX(次果筐明细!$H$4:$H$603,$Z776-5200)),"")))))</f>
        <v/>
      </c>
      <c r="S776" s="22" t="str">
        <f t="shared" si="38"/>
        <v/>
      </c>
      <c r="Z776" s="10" t="str">
        <f>IFERROR(MATCH(ROW()-3,_自动清单!$CQ$4:$CQ$5803,0),"")</f>
        <v/>
      </c>
    </row>
    <row r="777" spans="1:26">
      <c r="A777" s="24" t="str">
        <f t="shared" si="36"/>
        <v/>
      </c>
      <c r="B777" s="38" t="str">
        <f>IF($Z777="","",IF($Z777&lt;=2000,IF(INDEX(包装物料出入库明细!$B$4:$B$2003,$Z777-0)=0,"",INDEX(包装物料出入库明细!$B$4:$B$2003,$Z777-0)),IF($Z777&lt;=4000,IF(INDEX(周转筐出入库明细!$B$4:$B$2004,$Z777-2000)=0,"",INDEX(周转筐出入库明细!$B$4:$B$2004,$Z777-2000)),IF($Z777&lt;=5200,IF(INDEX(客户自备加工筐明细!$B$4:$B$1203,$Z777-4000)=0,"",INDEX(客户自备加工筐明细!$B$4:$B$1203,$Z777-4000)),IF($Z777&lt;=5800,IF(INDEX(次果筐明细!$B$4:$B$603,$Z777-5200)=0,"",INDEX(次果筐明细!$B$4:$B$603,$Z777-5200)),"")))))</f>
        <v/>
      </c>
      <c r="C777" s="37" t="str">
        <f>IF($Z777="","",IF($Z777&lt;=2000,IF(INDEX(包装物料出入库明细!$D$4:$D$2003,$Z777-0)=0,"",INDEX(包装物料出入库明细!$D$4:$D$2003,$Z777-0)),IF($Z777&lt;=4000,IF(INDEX(周转筐出入库明细!$C$4:$C$2004,$Z777-2000)=0,"",INDEX(周转筐出入库明细!$C$4:$C$2004,$Z777-2000)),IF($Z777&lt;=5200,IF(INDEX(客户自备加工筐明细!$E$4:$E$1203,$Z777-4000)=0,"",INDEX(客户自备加工筐明细!$E$4:$E$1203,$Z777-4000)),IF($Z777&lt;=5800,IF(INDEX(次果筐明细!$C$4:$C$603,$Z777-5200)=0,"",INDEX(次果筐明细!$C$4:$C$603,$Z777-5200)),"")))))</f>
        <v/>
      </c>
      <c r="D777" s="37" t="str">
        <f>IF($Z777="","",IF($Z777&lt;=2000,"包装物料－"&amp;INDEX(包装物料出入库明细!$H$4:$H$2003,$Z777-0),IF($Z777&lt;=4000,"周转筐－"&amp;INDEX(周转筐出入库明细!$F$4:$F$2004,$Z777-2000),IF($Z777&lt;=5200,"客户自备筐－"&amp;INDEX(客户自备加工筐明细!$J$4:$J$1203,$Z777-4000),IF($Z777&lt;=5800,"次果筐/托盘－"&amp;INDEX(次果筐明细!$F$4:$F$603,$Z777-5200),"")))))</f>
        <v/>
      </c>
      <c r="E777" s="24" t="str">
        <f>IF($Z777="","",IF($Z777&lt;=2000,IF(INDEX(包装物料出入库明细!$C$4:$C$2003,$Z777-0)=0,"",INDEX(包装物料出入库明细!$C$4:$C$2003,$Z777-0)),IF($Z777&lt;=4000,IF(INDEX(周转筐出入库明细!$E$4:$E$2004,$Z777-2000)=0,"",INDEX(周转筐出入库明细!$E$4:$E$2004,$Z777-2000)),IF($Z777&lt;=5200,IF(INDEX(客户自备加工筐明细!$D$4:$D$1203,$Z777-4000)=0,"",INDEX(客户自备加工筐明细!$D$4:$D$1203,$Z777-4000)),IF($Z777&lt;=5800,IF(INDEX(次果筐明细!$E$4:$E$603,$Z777-5200)=0,"",INDEX(次果筐明细!$E$4:$E$603,$Z777-5200)),"")))))</f>
        <v/>
      </c>
      <c r="F777" s="24" t="str">
        <f>IF($Z777="","",IF($Z777&lt;=2000,IF(INDEX(包装物料出入库明细!$E$4:$E$2003,$Z777-0)=0,"",INDEX(包装物料出入库明细!$E$4:$E$2003,$Z777-0)),IF($Z777&lt;=4000,IF(INDEX(周转筐出入库明细!$D$4:$D$2004,$Z777-2000)=0,"",INDEX(周转筐出入库明细!$D$4:$D$2004,$Z777-2000)),IF($Z777&lt;=5200,IF(INDEX(客户自备加工筐明细!$C$4:$C$1203,$Z777-4000)=0,"",INDEX(客户自备加工筐明细!$C$4:$C$1203,$Z777-4000)),IF($Z777&lt;=5800,IF(INDEX(次果筐明细!$D$4:$D$603,$Z777-5200)=0,"",INDEX(次果筐明细!$D$4:$D$603,$Z777-5200)),"")))))</f>
        <v/>
      </c>
      <c r="G777" s="24" t="str">
        <f>IF($Z777="","",IF($Z777&lt;=2000,IF(INDEX(包装物料出入库明细!$F$4:$F$2003,$Z777-0)=0,"",INDEX(包装物料出入库明细!$F$4:$F$2003,$Z777-0)),IF($Z777&lt;=4000,"",IF($Z777&lt;=5200,"",IF($Z777&lt;=5800,"","")))))</f>
        <v/>
      </c>
      <c r="H777" s="39" t="str">
        <f>IF($Z777="","",IF($Z777&lt;=2000,IF(INDEX(包装物料出入库明细!$L$4:$L$2003,$Z777-0)=0,"",INDEX(包装物料出入库明细!$L$4:$L$2003,$Z777-0)),IF($Z777&lt;=4000,N(INDEX(周转筐出入库明细!$H$4:$H$2004,$Z777-2000))+N(INDEX(周转筐出入库明细!$I$4:$I$2004,$Z777-2000))+N(INDEX(周转筐出入库明细!$J$4:$J$2004,$Z777-2000))+N(INDEX(周转筐出入库明细!$K$4:$K$2004,$Z777-2000)),IF($Z777&lt;=5200,N(INDEX(客户自备加工筐明细!$F$4:$F$1203,$Z777-4000))+N(INDEX(客户自备加工筐明细!$G$4:$G$1203,$Z777-4000)),IF($Z777&lt;=5800,IF(INDEX(次果筐明细!$G$4:$G$603,$Z777-5200)=0,"",INDEX(次果筐明细!$G$4:$G$603,$Z777-5200)),"")))))</f>
        <v/>
      </c>
      <c r="I777" s="24" t="str">
        <f>IF($Z777="","",IF($Z777&lt;=2000,IF(INDEX(包装物料出入库明细!$G$4:$G$2003,$Z777-0)=0,"",INDEX(包装物料出入库明细!$G$4:$G$2003,$Z777-0)),IF($Z777&lt;=4000,"个",IF($Z777&lt;=5200,"个",IF($Z777&lt;=5800,"个","")))))</f>
        <v/>
      </c>
      <c r="J777" s="30" t="str">
        <f t="shared" si="37"/>
        <v/>
      </c>
      <c r="K777" s="30" t="str">
        <f>IF($Z777="","",IF($Z777&lt;=2000,IF(INDEX(包装物料出入库明细!$N$4:$N$2003,$Z777-0)=0,"",INDEX(包装物料出入库明细!$N$4:$N$2003,$Z777-0)),IF($Z777&lt;=4000,IF(INDEX(周转筐出入库明细!$P$4:$P$2004,$Z777-2000)=0,"",INDEX(周转筐出入库明细!$P$4:$P$2004,$Z777-2000)),IF($Z777&lt;=5200,"",IF($Z777&lt;=5800,N(INDEX(次果筐明细!$L$4:$L$603,$Z777-5200))+N(INDEX(次果筐明细!$J$4:$J$603,$Z777-5200)),"")))))</f>
        <v/>
      </c>
      <c r="L777" s="24" t="str">
        <f>IF($Z777="","",IF($Z777&lt;=2000,IF(INDEX(包装物料出入库明细!$P$4:$P$2003,$Z777-0)=0,"",INDEX(包装物料出入库明细!$P$4:$P$2003,$Z777-0)),IF($Z777&lt;=4000,IF(INDEX(周转筐出入库明细!$Q$4:$Q$2004,$Z777-2000)=0,"",INDEX(周转筐出入库明细!$Q$4:$Q$2004,$Z777-2000)),IF($Z777&lt;=5200,"",IF($Z777&lt;=5800,IF(INDEX(次果筐明细!$M$4:$M$603,$Z777-5200)=0,"",INDEX(次果筐明细!$M$4:$M$603,$Z777-5200)),"")))))</f>
        <v/>
      </c>
      <c r="M777" s="37" t="str">
        <f>IF($Z777="","",IF($Z777&lt;=2000,IF(INDEX(包装物料出入库明细!$R$4:$R$2003,$Z777-0)=0,"",INDEX(包装物料出入库明细!$R$4:$R$2003,$Z777-0)),IF($Z777&lt;=4000,IF(INDEX(周转筐出入库明细!$W$4:$W$2004,$Z777-2000)=0,"",INDEX(周转筐出入库明细!$W$4:$W$2004,$Z777-2000)),IF($Z777&lt;=5200,IF(INDEX(客户自备加工筐明细!$L$4:$L$1203,$Z777-4000)=0,"",INDEX(客户自备加工筐明细!$L$4:$L$1203,$Z777-4000)),IF($Z777&lt;=5800,IF(INDEX(次果筐明细!$P$4:$P$603,$Z777-5200)=0,"",INDEX(次果筐明细!$P$4:$P$603,$Z777-5200)),"")))))</f>
        <v/>
      </c>
      <c r="N777" s="16" t="str">
        <f>IF($Z777="","",IF($Z777&lt;=2000,"",IF($Z777&lt;=4000,IF(INDEX(周转筐出入库明细!$D$4:$D$2004,$Z777-2000)=0,"",INDEX(周转筐出入库明细!$D$4:$D$2004,$Z777-2000)),IF($Z777&lt;=5200,IF(INDEX(客户自备加工筐明细!$C$4:$C$1203,$Z777-4000)=0,"",INDEX(客户自备加工筐明细!$C$4:$C$1203,$Z777-4000)),IF($Z777&lt;=5800,IF(INDEX(次果筐明细!$D$4:$D$603,$Z777-5200)=0,"",INDEX(次果筐明细!$D$4:$D$603,$Z777-5200)),"")))))</f>
        <v/>
      </c>
      <c r="O777" s="40" t="str">
        <f>IF($Z777="","",IF($Z777&lt;=2000,"",IF($Z777&lt;=4000,IF(N(INDEX(周转筐出入库明细!$J$4:$J$2004,$Z777-2000))+N(INDEX(周转筐出入库明细!$K$4:$K$2004,$Z777-2000))=0,"",N(INDEX(周转筐出入库明细!$J$4:$J$2004,$Z777-2000))+N(INDEX(周转筐出入库明细!$K$4:$K$2004,$Z777-2000))),IF($Z777&lt;=5200,IF(N(INDEX(客户自备加工筐明细!$G$4:$G$1203,$Z777-4000))=0,"",N(INDEX(客户自备加工筐明细!$G$4:$G$1203,$Z777-4000))),IF($Z777&lt;=5800,IF(ISNUMBER(SEARCH("退",INDEX(次果筐明细!$F$4:$F$603,$Z777-5200)&amp;"")),"",IF(N(INDEX(次果筐明细!$G$4:$G$603,$Z777-5200))=0,"",N(INDEX(次果筐明细!$G$4:$G$603,$Z777-5200)))),"")))))</f>
        <v/>
      </c>
      <c r="P777" s="40" t="str">
        <f>IF($Z777="","",IF($Z777&lt;=2000,"",IF($Z777&lt;=4000,IF(N(INDEX(周转筐出入库明细!$I$4:$I$2004,$Z777-2000))=0,"",N(INDEX(周转筐出入库明细!$I$4:$I$2004,$Z777-2000))),IF($Z777&lt;=5200,"",IF($Z777&lt;=5800,IF(ISNUMBER(SEARCH("退",INDEX(次果筐明细!$F$4:$F$603,$Z777-5200)&amp;"")),IF(N(INDEX(次果筐明细!$G$4:$G$603,$Z777-5200))=0,"",N(INDEX(次果筐明细!$G$4:$G$603,$Z777-5200))),""),"")))))</f>
        <v/>
      </c>
      <c r="Q777" s="40" t="str">
        <f>IF($Z777="","",IF($Z777&lt;=2000,"",IF($Z777&lt;=4000,IF(N(INDEX(周转筐出入库明细!$H$4:$H$2004,$Z777-2000))=0,"",N(INDEX(周转筐出入库明细!$H$4:$H$2004,$Z777-2000))),IF($Z777&lt;=5200,IF(N(INDEX(客户自备加工筐明细!$F$4:$F$1203,$Z777-4000))=0,"",N(INDEX(客户自备加工筐明细!$F$4:$F$1203,$Z777-4000))),IF($Z777&lt;=5800,"","")))))</f>
        <v/>
      </c>
      <c r="R777" s="16" t="str">
        <f>IF($Z777="","",IF($Z777&lt;=2000,IF(INDEX(包装物料出入库明细!$O$4:$O$2003,$Z777-0)=0,"",INDEX(包装物料出入库明细!$O$4:$O$2003,$Z777-0)),IF($Z777&lt;=4000,IF(INDEX(周转筐出入库明细!$M$4:$M$2004,$Z777-2000)=0,"",INDEX(周转筐出入库明细!$M$4:$M$2004,$Z777-2000)),IF($Z777&lt;=5200,IF(INDEX(客户自备加工筐明细!$H$4:$H$1203,$Z777-4000)=0,"",INDEX(客户自备加工筐明细!$H$4:$H$1203,$Z777-4000)),IF($Z777&lt;=5800,IF(INDEX(次果筐明细!$H$4:$H$603,$Z777-5200)=0,"",INDEX(次果筐明细!$H$4:$H$603,$Z777-5200)),"")))))</f>
        <v/>
      </c>
      <c r="S777" s="22" t="str">
        <f t="shared" si="38"/>
        <v/>
      </c>
      <c r="Z777" s="10" t="str">
        <f>IFERROR(MATCH(ROW()-3,_自动清单!$CQ$4:$CQ$5803,0),"")</f>
        <v/>
      </c>
    </row>
    <row r="778" spans="1:26">
      <c r="A778" s="24" t="str">
        <f t="shared" si="36"/>
        <v/>
      </c>
      <c r="B778" s="38" t="str">
        <f>IF($Z778="","",IF($Z778&lt;=2000,IF(INDEX(包装物料出入库明细!$B$4:$B$2003,$Z778-0)=0,"",INDEX(包装物料出入库明细!$B$4:$B$2003,$Z778-0)),IF($Z778&lt;=4000,IF(INDEX(周转筐出入库明细!$B$4:$B$2004,$Z778-2000)=0,"",INDEX(周转筐出入库明细!$B$4:$B$2004,$Z778-2000)),IF($Z778&lt;=5200,IF(INDEX(客户自备加工筐明细!$B$4:$B$1203,$Z778-4000)=0,"",INDEX(客户自备加工筐明细!$B$4:$B$1203,$Z778-4000)),IF($Z778&lt;=5800,IF(INDEX(次果筐明细!$B$4:$B$603,$Z778-5200)=0,"",INDEX(次果筐明细!$B$4:$B$603,$Z778-5200)),"")))))</f>
        <v/>
      </c>
      <c r="C778" s="37" t="str">
        <f>IF($Z778="","",IF($Z778&lt;=2000,IF(INDEX(包装物料出入库明细!$D$4:$D$2003,$Z778-0)=0,"",INDEX(包装物料出入库明细!$D$4:$D$2003,$Z778-0)),IF($Z778&lt;=4000,IF(INDEX(周转筐出入库明细!$C$4:$C$2004,$Z778-2000)=0,"",INDEX(周转筐出入库明细!$C$4:$C$2004,$Z778-2000)),IF($Z778&lt;=5200,IF(INDEX(客户自备加工筐明细!$E$4:$E$1203,$Z778-4000)=0,"",INDEX(客户自备加工筐明细!$E$4:$E$1203,$Z778-4000)),IF($Z778&lt;=5800,IF(INDEX(次果筐明细!$C$4:$C$603,$Z778-5200)=0,"",INDEX(次果筐明细!$C$4:$C$603,$Z778-5200)),"")))))</f>
        <v/>
      </c>
      <c r="D778" s="37" t="str">
        <f>IF($Z778="","",IF($Z778&lt;=2000,"包装物料－"&amp;INDEX(包装物料出入库明细!$H$4:$H$2003,$Z778-0),IF($Z778&lt;=4000,"周转筐－"&amp;INDEX(周转筐出入库明细!$F$4:$F$2004,$Z778-2000),IF($Z778&lt;=5200,"客户自备筐－"&amp;INDEX(客户自备加工筐明细!$J$4:$J$1203,$Z778-4000),IF($Z778&lt;=5800,"次果筐/托盘－"&amp;INDEX(次果筐明细!$F$4:$F$603,$Z778-5200),"")))))</f>
        <v/>
      </c>
      <c r="E778" s="24" t="str">
        <f>IF($Z778="","",IF($Z778&lt;=2000,IF(INDEX(包装物料出入库明细!$C$4:$C$2003,$Z778-0)=0,"",INDEX(包装物料出入库明细!$C$4:$C$2003,$Z778-0)),IF($Z778&lt;=4000,IF(INDEX(周转筐出入库明细!$E$4:$E$2004,$Z778-2000)=0,"",INDEX(周转筐出入库明细!$E$4:$E$2004,$Z778-2000)),IF($Z778&lt;=5200,IF(INDEX(客户自备加工筐明细!$D$4:$D$1203,$Z778-4000)=0,"",INDEX(客户自备加工筐明细!$D$4:$D$1203,$Z778-4000)),IF($Z778&lt;=5800,IF(INDEX(次果筐明细!$E$4:$E$603,$Z778-5200)=0,"",INDEX(次果筐明细!$E$4:$E$603,$Z778-5200)),"")))))</f>
        <v/>
      </c>
      <c r="F778" s="24" t="str">
        <f>IF($Z778="","",IF($Z778&lt;=2000,IF(INDEX(包装物料出入库明细!$E$4:$E$2003,$Z778-0)=0,"",INDEX(包装物料出入库明细!$E$4:$E$2003,$Z778-0)),IF($Z778&lt;=4000,IF(INDEX(周转筐出入库明细!$D$4:$D$2004,$Z778-2000)=0,"",INDEX(周转筐出入库明细!$D$4:$D$2004,$Z778-2000)),IF($Z778&lt;=5200,IF(INDEX(客户自备加工筐明细!$C$4:$C$1203,$Z778-4000)=0,"",INDEX(客户自备加工筐明细!$C$4:$C$1203,$Z778-4000)),IF($Z778&lt;=5800,IF(INDEX(次果筐明细!$D$4:$D$603,$Z778-5200)=0,"",INDEX(次果筐明细!$D$4:$D$603,$Z778-5200)),"")))))</f>
        <v/>
      </c>
      <c r="G778" s="24" t="str">
        <f>IF($Z778="","",IF($Z778&lt;=2000,IF(INDEX(包装物料出入库明细!$F$4:$F$2003,$Z778-0)=0,"",INDEX(包装物料出入库明细!$F$4:$F$2003,$Z778-0)),IF($Z778&lt;=4000,"",IF($Z778&lt;=5200,"",IF($Z778&lt;=5800,"","")))))</f>
        <v/>
      </c>
      <c r="H778" s="39" t="str">
        <f>IF($Z778="","",IF($Z778&lt;=2000,IF(INDEX(包装物料出入库明细!$L$4:$L$2003,$Z778-0)=0,"",INDEX(包装物料出入库明细!$L$4:$L$2003,$Z778-0)),IF($Z778&lt;=4000,N(INDEX(周转筐出入库明细!$H$4:$H$2004,$Z778-2000))+N(INDEX(周转筐出入库明细!$I$4:$I$2004,$Z778-2000))+N(INDEX(周转筐出入库明细!$J$4:$J$2004,$Z778-2000))+N(INDEX(周转筐出入库明细!$K$4:$K$2004,$Z778-2000)),IF($Z778&lt;=5200,N(INDEX(客户自备加工筐明细!$F$4:$F$1203,$Z778-4000))+N(INDEX(客户自备加工筐明细!$G$4:$G$1203,$Z778-4000)),IF($Z778&lt;=5800,IF(INDEX(次果筐明细!$G$4:$G$603,$Z778-5200)=0,"",INDEX(次果筐明细!$G$4:$G$603,$Z778-5200)),"")))))</f>
        <v/>
      </c>
      <c r="I778" s="24" t="str">
        <f>IF($Z778="","",IF($Z778&lt;=2000,IF(INDEX(包装物料出入库明细!$G$4:$G$2003,$Z778-0)=0,"",INDEX(包装物料出入库明细!$G$4:$G$2003,$Z778-0)),IF($Z778&lt;=4000,"个",IF($Z778&lt;=5200,"个",IF($Z778&lt;=5800,"个","")))))</f>
        <v/>
      </c>
      <c r="J778" s="30" t="str">
        <f t="shared" si="37"/>
        <v/>
      </c>
      <c r="K778" s="30" t="str">
        <f>IF($Z778="","",IF($Z778&lt;=2000,IF(INDEX(包装物料出入库明细!$N$4:$N$2003,$Z778-0)=0,"",INDEX(包装物料出入库明细!$N$4:$N$2003,$Z778-0)),IF($Z778&lt;=4000,IF(INDEX(周转筐出入库明细!$P$4:$P$2004,$Z778-2000)=0,"",INDEX(周转筐出入库明细!$P$4:$P$2004,$Z778-2000)),IF($Z778&lt;=5200,"",IF($Z778&lt;=5800,N(INDEX(次果筐明细!$L$4:$L$603,$Z778-5200))+N(INDEX(次果筐明细!$J$4:$J$603,$Z778-5200)),"")))))</f>
        <v/>
      </c>
      <c r="L778" s="24" t="str">
        <f>IF($Z778="","",IF($Z778&lt;=2000,IF(INDEX(包装物料出入库明细!$P$4:$P$2003,$Z778-0)=0,"",INDEX(包装物料出入库明细!$P$4:$P$2003,$Z778-0)),IF($Z778&lt;=4000,IF(INDEX(周转筐出入库明细!$Q$4:$Q$2004,$Z778-2000)=0,"",INDEX(周转筐出入库明细!$Q$4:$Q$2004,$Z778-2000)),IF($Z778&lt;=5200,"",IF($Z778&lt;=5800,IF(INDEX(次果筐明细!$M$4:$M$603,$Z778-5200)=0,"",INDEX(次果筐明细!$M$4:$M$603,$Z778-5200)),"")))))</f>
        <v/>
      </c>
      <c r="M778" s="37" t="str">
        <f>IF($Z778="","",IF($Z778&lt;=2000,IF(INDEX(包装物料出入库明细!$R$4:$R$2003,$Z778-0)=0,"",INDEX(包装物料出入库明细!$R$4:$R$2003,$Z778-0)),IF($Z778&lt;=4000,IF(INDEX(周转筐出入库明细!$W$4:$W$2004,$Z778-2000)=0,"",INDEX(周转筐出入库明细!$W$4:$W$2004,$Z778-2000)),IF($Z778&lt;=5200,IF(INDEX(客户自备加工筐明细!$L$4:$L$1203,$Z778-4000)=0,"",INDEX(客户自备加工筐明细!$L$4:$L$1203,$Z778-4000)),IF($Z778&lt;=5800,IF(INDEX(次果筐明细!$P$4:$P$603,$Z778-5200)=0,"",INDEX(次果筐明细!$P$4:$P$603,$Z778-5200)),"")))))</f>
        <v/>
      </c>
      <c r="N778" s="16" t="str">
        <f>IF($Z778="","",IF($Z778&lt;=2000,"",IF($Z778&lt;=4000,IF(INDEX(周转筐出入库明细!$D$4:$D$2004,$Z778-2000)=0,"",INDEX(周转筐出入库明细!$D$4:$D$2004,$Z778-2000)),IF($Z778&lt;=5200,IF(INDEX(客户自备加工筐明细!$C$4:$C$1203,$Z778-4000)=0,"",INDEX(客户自备加工筐明细!$C$4:$C$1203,$Z778-4000)),IF($Z778&lt;=5800,IF(INDEX(次果筐明细!$D$4:$D$603,$Z778-5200)=0,"",INDEX(次果筐明细!$D$4:$D$603,$Z778-5200)),"")))))</f>
        <v/>
      </c>
      <c r="O778" s="40" t="str">
        <f>IF($Z778="","",IF($Z778&lt;=2000,"",IF($Z778&lt;=4000,IF(N(INDEX(周转筐出入库明细!$J$4:$J$2004,$Z778-2000))+N(INDEX(周转筐出入库明细!$K$4:$K$2004,$Z778-2000))=0,"",N(INDEX(周转筐出入库明细!$J$4:$J$2004,$Z778-2000))+N(INDEX(周转筐出入库明细!$K$4:$K$2004,$Z778-2000))),IF($Z778&lt;=5200,IF(N(INDEX(客户自备加工筐明细!$G$4:$G$1203,$Z778-4000))=0,"",N(INDEX(客户自备加工筐明细!$G$4:$G$1203,$Z778-4000))),IF($Z778&lt;=5800,IF(ISNUMBER(SEARCH("退",INDEX(次果筐明细!$F$4:$F$603,$Z778-5200)&amp;"")),"",IF(N(INDEX(次果筐明细!$G$4:$G$603,$Z778-5200))=0,"",N(INDEX(次果筐明细!$G$4:$G$603,$Z778-5200)))),"")))))</f>
        <v/>
      </c>
      <c r="P778" s="40" t="str">
        <f>IF($Z778="","",IF($Z778&lt;=2000,"",IF($Z778&lt;=4000,IF(N(INDEX(周转筐出入库明细!$I$4:$I$2004,$Z778-2000))=0,"",N(INDEX(周转筐出入库明细!$I$4:$I$2004,$Z778-2000))),IF($Z778&lt;=5200,"",IF($Z778&lt;=5800,IF(ISNUMBER(SEARCH("退",INDEX(次果筐明细!$F$4:$F$603,$Z778-5200)&amp;"")),IF(N(INDEX(次果筐明细!$G$4:$G$603,$Z778-5200))=0,"",N(INDEX(次果筐明细!$G$4:$G$603,$Z778-5200))),""),"")))))</f>
        <v/>
      </c>
      <c r="Q778" s="40" t="str">
        <f>IF($Z778="","",IF($Z778&lt;=2000,"",IF($Z778&lt;=4000,IF(N(INDEX(周转筐出入库明细!$H$4:$H$2004,$Z778-2000))=0,"",N(INDEX(周转筐出入库明细!$H$4:$H$2004,$Z778-2000))),IF($Z778&lt;=5200,IF(N(INDEX(客户自备加工筐明细!$F$4:$F$1203,$Z778-4000))=0,"",N(INDEX(客户自备加工筐明细!$F$4:$F$1203,$Z778-4000))),IF($Z778&lt;=5800,"","")))))</f>
        <v/>
      </c>
      <c r="R778" s="16" t="str">
        <f>IF($Z778="","",IF($Z778&lt;=2000,IF(INDEX(包装物料出入库明细!$O$4:$O$2003,$Z778-0)=0,"",INDEX(包装物料出入库明细!$O$4:$O$2003,$Z778-0)),IF($Z778&lt;=4000,IF(INDEX(周转筐出入库明细!$M$4:$M$2004,$Z778-2000)=0,"",INDEX(周转筐出入库明细!$M$4:$M$2004,$Z778-2000)),IF($Z778&lt;=5200,IF(INDEX(客户自备加工筐明细!$H$4:$H$1203,$Z778-4000)=0,"",INDEX(客户自备加工筐明细!$H$4:$H$1203,$Z778-4000)),IF($Z778&lt;=5800,IF(INDEX(次果筐明细!$H$4:$H$603,$Z778-5200)=0,"",INDEX(次果筐明细!$H$4:$H$603,$Z778-5200)),"")))))</f>
        <v/>
      </c>
      <c r="S778" s="22" t="str">
        <f t="shared" si="38"/>
        <v/>
      </c>
      <c r="Z778" s="10" t="str">
        <f>IFERROR(MATCH(ROW()-3,_自动清单!$CQ$4:$CQ$5803,0),"")</f>
        <v/>
      </c>
    </row>
    <row r="779" spans="1:26">
      <c r="A779" s="24" t="str">
        <f t="shared" si="36"/>
        <v/>
      </c>
      <c r="B779" s="38" t="str">
        <f>IF($Z779="","",IF($Z779&lt;=2000,IF(INDEX(包装物料出入库明细!$B$4:$B$2003,$Z779-0)=0,"",INDEX(包装物料出入库明细!$B$4:$B$2003,$Z779-0)),IF($Z779&lt;=4000,IF(INDEX(周转筐出入库明细!$B$4:$B$2004,$Z779-2000)=0,"",INDEX(周转筐出入库明细!$B$4:$B$2004,$Z779-2000)),IF($Z779&lt;=5200,IF(INDEX(客户自备加工筐明细!$B$4:$B$1203,$Z779-4000)=0,"",INDEX(客户自备加工筐明细!$B$4:$B$1203,$Z779-4000)),IF($Z779&lt;=5800,IF(INDEX(次果筐明细!$B$4:$B$603,$Z779-5200)=0,"",INDEX(次果筐明细!$B$4:$B$603,$Z779-5200)),"")))))</f>
        <v/>
      </c>
      <c r="C779" s="37" t="str">
        <f>IF($Z779="","",IF($Z779&lt;=2000,IF(INDEX(包装物料出入库明细!$D$4:$D$2003,$Z779-0)=0,"",INDEX(包装物料出入库明细!$D$4:$D$2003,$Z779-0)),IF($Z779&lt;=4000,IF(INDEX(周转筐出入库明细!$C$4:$C$2004,$Z779-2000)=0,"",INDEX(周转筐出入库明细!$C$4:$C$2004,$Z779-2000)),IF($Z779&lt;=5200,IF(INDEX(客户自备加工筐明细!$E$4:$E$1203,$Z779-4000)=0,"",INDEX(客户自备加工筐明细!$E$4:$E$1203,$Z779-4000)),IF($Z779&lt;=5800,IF(INDEX(次果筐明细!$C$4:$C$603,$Z779-5200)=0,"",INDEX(次果筐明细!$C$4:$C$603,$Z779-5200)),"")))))</f>
        <v/>
      </c>
      <c r="D779" s="37" t="str">
        <f>IF($Z779="","",IF($Z779&lt;=2000,"包装物料－"&amp;INDEX(包装物料出入库明细!$H$4:$H$2003,$Z779-0),IF($Z779&lt;=4000,"周转筐－"&amp;INDEX(周转筐出入库明细!$F$4:$F$2004,$Z779-2000),IF($Z779&lt;=5200,"客户自备筐－"&amp;INDEX(客户自备加工筐明细!$J$4:$J$1203,$Z779-4000),IF($Z779&lt;=5800,"次果筐/托盘－"&amp;INDEX(次果筐明细!$F$4:$F$603,$Z779-5200),"")))))</f>
        <v/>
      </c>
      <c r="E779" s="24" t="str">
        <f>IF($Z779="","",IF($Z779&lt;=2000,IF(INDEX(包装物料出入库明细!$C$4:$C$2003,$Z779-0)=0,"",INDEX(包装物料出入库明细!$C$4:$C$2003,$Z779-0)),IF($Z779&lt;=4000,IF(INDEX(周转筐出入库明细!$E$4:$E$2004,$Z779-2000)=0,"",INDEX(周转筐出入库明细!$E$4:$E$2004,$Z779-2000)),IF($Z779&lt;=5200,IF(INDEX(客户自备加工筐明细!$D$4:$D$1203,$Z779-4000)=0,"",INDEX(客户自备加工筐明细!$D$4:$D$1203,$Z779-4000)),IF($Z779&lt;=5800,IF(INDEX(次果筐明细!$E$4:$E$603,$Z779-5200)=0,"",INDEX(次果筐明细!$E$4:$E$603,$Z779-5200)),"")))))</f>
        <v/>
      </c>
      <c r="F779" s="24" t="str">
        <f>IF($Z779="","",IF($Z779&lt;=2000,IF(INDEX(包装物料出入库明细!$E$4:$E$2003,$Z779-0)=0,"",INDEX(包装物料出入库明细!$E$4:$E$2003,$Z779-0)),IF($Z779&lt;=4000,IF(INDEX(周转筐出入库明细!$D$4:$D$2004,$Z779-2000)=0,"",INDEX(周转筐出入库明细!$D$4:$D$2004,$Z779-2000)),IF($Z779&lt;=5200,IF(INDEX(客户自备加工筐明细!$C$4:$C$1203,$Z779-4000)=0,"",INDEX(客户自备加工筐明细!$C$4:$C$1203,$Z779-4000)),IF($Z779&lt;=5800,IF(INDEX(次果筐明细!$D$4:$D$603,$Z779-5200)=0,"",INDEX(次果筐明细!$D$4:$D$603,$Z779-5200)),"")))))</f>
        <v/>
      </c>
      <c r="G779" s="24" t="str">
        <f>IF($Z779="","",IF($Z779&lt;=2000,IF(INDEX(包装物料出入库明细!$F$4:$F$2003,$Z779-0)=0,"",INDEX(包装物料出入库明细!$F$4:$F$2003,$Z779-0)),IF($Z779&lt;=4000,"",IF($Z779&lt;=5200,"",IF($Z779&lt;=5800,"","")))))</f>
        <v/>
      </c>
      <c r="H779" s="39" t="str">
        <f>IF($Z779="","",IF($Z779&lt;=2000,IF(INDEX(包装物料出入库明细!$L$4:$L$2003,$Z779-0)=0,"",INDEX(包装物料出入库明细!$L$4:$L$2003,$Z779-0)),IF($Z779&lt;=4000,N(INDEX(周转筐出入库明细!$H$4:$H$2004,$Z779-2000))+N(INDEX(周转筐出入库明细!$I$4:$I$2004,$Z779-2000))+N(INDEX(周转筐出入库明细!$J$4:$J$2004,$Z779-2000))+N(INDEX(周转筐出入库明细!$K$4:$K$2004,$Z779-2000)),IF($Z779&lt;=5200,N(INDEX(客户自备加工筐明细!$F$4:$F$1203,$Z779-4000))+N(INDEX(客户自备加工筐明细!$G$4:$G$1203,$Z779-4000)),IF($Z779&lt;=5800,IF(INDEX(次果筐明细!$G$4:$G$603,$Z779-5200)=0,"",INDEX(次果筐明细!$G$4:$G$603,$Z779-5200)),"")))))</f>
        <v/>
      </c>
      <c r="I779" s="24" t="str">
        <f>IF($Z779="","",IF($Z779&lt;=2000,IF(INDEX(包装物料出入库明细!$G$4:$G$2003,$Z779-0)=0,"",INDEX(包装物料出入库明细!$G$4:$G$2003,$Z779-0)),IF($Z779&lt;=4000,"个",IF($Z779&lt;=5200,"个",IF($Z779&lt;=5800,"个","")))))</f>
        <v/>
      </c>
      <c r="J779" s="30" t="str">
        <f t="shared" si="37"/>
        <v/>
      </c>
      <c r="K779" s="30" t="str">
        <f>IF($Z779="","",IF($Z779&lt;=2000,IF(INDEX(包装物料出入库明细!$N$4:$N$2003,$Z779-0)=0,"",INDEX(包装物料出入库明细!$N$4:$N$2003,$Z779-0)),IF($Z779&lt;=4000,IF(INDEX(周转筐出入库明细!$P$4:$P$2004,$Z779-2000)=0,"",INDEX(周转筐出入库明细!$P$4:$P$2004,$Z779-2000)),IF($Z779&lt;=5200,"",IF($Z779&lt;=5800,N(INDEX(次果筐明细!$L$4:$L$603,$Z779-5200))+N(INDEX(次果筐明细!$J$4:$J$603,$Z779-5200)),"")))))</f>
        <v/>
      </c>
      <c r="L779" s="24" t="str">
        <f>IF($Z779="","",IF($Z779&lt;=2000,IF(INDEX(包装物料出入库明细!$P$4:$P$2003,$Z779-0)=0,"",INDEX(包装物料出入库明细!$P$4:$P$2003,$Z779-0)),IF($Z779&lt;=4000,IF(INDEX(周转筐出入库明细!$Q$4:$Q$2004,$Z779-2000)=0,"",INDEX(周转筐出入库明细!$Q$4:$Q$2004,$Z779-2000)),IF($Z779&lt;=5200,"",IF($Z779&lt;=5800,IF(INDEX(次果筐明细!$M$4:$M$603,$Z779-5200)=0,"",INDEX(次果筐明细!$M$4:$M$603,$Z779-5200)),"")))))</f>
        <v/>
      </c>
      <c r="M779" s="37" t="str">
        <f>IF($Z779="","",IF($Z779&lt;=2000,IF(INDEX(包装物料出入库明细!$R$4:$R$2003,$Z779-0)=0,"",INDEX(包装物料出入库明细!$R$4:$R$2003,$Z779-0)),IF($Z779&lt;=4000,IF(INDEX(周转筐出入库明细!$W$4:$W$2004,$Z779-2000)=0,"",INDEX(周转筐出入库明细!$W$4:$W$2004,$Z779-2000)),IF($Z779&lt;=5200,IF(INDEX(客户自备加工筐明细!$L$4:$L$1203,$Z779-4000)=0,"",INDEX(客户自备加工筐明细!$L$4:$L$1203,$Z779-4000)),IF($Z779&lt;=5800,IF(INDEX(次果筐明细!$P$4:$P$603,$Z779-5200)=0,"",INDEX(次果筐明细!$P$4:$P$603,$Z779-5200)),"")))))</f>
        <v/>
      </c>
      <c r="N779" s="16" t="str">
        <f>IF($Z779="","",IF($Z779&lt;=2000,"",IF($Z779&lt;=4000,IF(INDEX(周转筐出入库明细!$D$4:$D$2004,$Z779-2000)=0,"",INDEX(周转筐出入库明细!$D$4:$D$2004,$Z779-2000)),IF($Z779&lt;=5200,IF(INDEX(客户自备加工筐明细!$C$4:$C$1203,$Z779-4000)=0,"",INDEX(客户自备加工筐明细!$C$4:$C$1203,$Z779-4000)),IF($Z779&lt;=5800,IF(INDEX(次果筐明细!$D$4:$D$603,$Z779-5200)=0,"",INDEX(次果筐明细!$D$4:$D$603,$Z779-5200)),"")))))</f>
        <v/>
      </c>
      <c r="O779" s="40" t="str">
        <f>IF($Z779="","",IF($Z779&lt;=2000,"",IF($Z779&lt;=4000,IF(N(INDEX(周转筐出入库明细!$J$4:$J$2004,$Z779-2000))+N(INDEX(周转筐出入库明细!$K$4:$K$2004,$Z779-2000))=0,"",N(INDEX(周转筐出入库明细!$J$4:$J$2004,$Z779-2000))+N(INDEX(周转筐出入库明细!$K$4:$K$2004,$Z779-2000))),IF($Z779&lt;=5200,IF(N(INDEX(客户自备加工筐明细!$G$4:$G$1203,$Z779-4000))=0,"",N(INDEX(客户自备加工筐明细!$G$4:$G$1203,$Z779-4000))),IF($Z779&lt;=5800,IF(ISNUMBER(SEARCH("退",INDEX(次果筐明细!$F$4:$F$603,$Z779-5200)&amp;"")),"",IF(N(INDEX(次果筐明细!$G$4:$G$603,$Z779-5200))=0,"",N(INDEX(次果筐明细!$G$4:$G$603,$Z779-5200)))),"")))))</f>
        <v/>
      </c>
      <c r="P779" s="40" t="str">
        <f>IF($Z779="","",IF($Z779&lt;=2000,"",IF($Z779&lt;=4000,IF(N(INDEX(周转筐出入库明细!$I$4:$I$2004,$Z779-2000))=0,"",N(INDEX(周转筐出入库明细!$I$4:$I$2004,$Z779-2000))),IF($Z779&lt;=5200,"",IF($Z779&lt;=5800,IF(ISNUMBER(SEARCH("退",INDEX(次果筐明细!$F$4:$F$603,$Z779-5200)&amp;"")),IF(N(INDEX(次果筐明细!$G$4:$G$603,$Z779-5200))=0,"",N(INDEX(次果筐明细!$G$4:$G$603,$Z779-5200))),""),"")))))</f>
        <v/>
      </c>
      <c r="Q779" s="40" t="str">
        <f>IF($Z779="","",IF($Z779&lt;=2000,"",IF($Z779&lt;=4000,IF(N(INDEX(周转筐出入库明细!$H$4:$H$2004,$Z779-2000))=0,"",N(INDEX(周转筐出入库明细!$H$4:$H$2004,$Z779-2000))),IF($Z779&lt;=5200,IF(N(INDEX(客户自备加工筐明细!$F$4:$F$1203,$Z779-4000))=0,"",N(INDEX(客户自备加工筐明细!$F$4:$F$1203,$Z779-4000))),IF($Z779&lt;=5800,"","")))))</f>
        <v/>
      </c>
      <c r="R779" s="16" t="str">
        <f>IF($Z779="","",IF($Z779&lt;=2000,IF(INDEX(包装物料出入库明细!$O$4:$O$2003,$Z779-0)=0,"",INDEX(包装物料出入库明细!$O$4:$O$2003,$Z779-0)),IF($Z779&lt;=4000,IF(INDEX(周转筐出入库明细!$M$4:$M$2004,$Z779-2000)=0,"",INDEX(周转筐出入库明细!$M$4:$M$2004,$Z779-2000)),IF($Z779&lt;=5200,IF(INDEX(客户自备加工筐明细!$H$4:$H$1203,$Z779-4000)=0,"",INDEX(客户自备加工筐明细!$H$4:$H$1203,$Z779-4000)),IF($Z779&lt;=5800,IF(INDEX(次果筐明细!$H$4:$H$603,$Z779-5200)=0,"",INDEX(次果筐明细!$H$4:$H$603,$Z779-5200)),"")))))</f>
        <v/>
      </c>
      <c r="S779" s="22" t="str">
        <f t="shared" si="38"/>
        <v/>
      </c>
      <c r="Z779" s="10" t="str">
        <f>IFERROR(MATCH(ROW()-3,_自动清单!$CQ$4:$CQ$5803,0),"")</f>
        <v/>
      </c>
    </row>
    <row r="780" spans="1:26">
      <c r="A780" s="24" t="str">
        <f t="shared" si="36"/>
        <v/>
      </c>
      <c r="B780" s="38" t="str">
        <f>IF($Z780="","",IF($Z780&lt;=2000,IF(INDEX(包装物料出入库明细!$B$4:$B$2003,$Z780-0)=0,"",INDEX(包装物料出入库明细!$B$4:$B$2003,$Z780-0)),IF($Z780&lt;=4000,IF(INDEX(周转筐出入库明细!$B$4:$B$2004,$Z780-2000)=0,"",INDEX(周转筐出入库明细!$B$4:$B$2004,$Z780-2000)),IF($Z780&lt;=5200,IF(INDEX(客户自备加工筐明细!$B$4:$B$1203,$Z780-4000)=0,"",INDEX(客户自备加工筐明细!$B$4:$B$1203,$Z780-4000)),IF($Z780&lt;=5800,IF(INDEX(次果筐明细!$B$4:$B$603,$Z780-5200)=0,"",INDEX(次果筐明细!$B$4:$B$603,$Z780-5200)),"")))))</f>
        <v/>
      </c>
      <c r="C780" s="37" t="str">
        <f>IF($Z780="","",IF($Z780&lt;=2000,IF(INDEX(包装物料出入库明细!$D$4:$D$2003,$Z780-0)=0,"",INDEX(包装物料出入库明细!$D$4:$D$2003,$Z780-0)),IF($Z780&lt;=4000,IF(INDEX(周转筐出入库明细!$C$4:$C$2004,$Z780-2000)=0,"",INDEX(周转筐出入库明细!$C$4:$C$2004,$Z780-2000)),IF($Z780&lt;=5200,IF(INDEX(客户自备加工筐明细!$E$4:$E$1203,$Z780-4000)=0,"",INDEX(客户自备加工筐明细!$E$4:$E$1203,$Z780-4000)),IF($Z780&lt;=5800,IF(INDEX(次果筐明细!$C$4:$C$603,$Z780-5200)=0,"",INDEX(次果筐明细!$C$4:$C$603,$Z780-5200)),"")))))</f>
        <v/>
      </c>
      <c r="D780" s="37" t="str">
        <f>IF($Z780="","",IF($Z780&lt;=2000,"包装物料－"&amp;INDEX(包装物料出入库明细!$H$4:$H$2003,$Z780-0),IF($Z780&lt;=4000,"周转筐－"&amp;INDEX(周转筐出入库明细!$F$4:$F$2004,$Z780-2000),IF($Z780&lt;=5200,"客户自备筐－"&amp;INDEX(客户自备加工筐明细!$J$4:$J$1203,$Z780-4000),IF($Z780&lt;=5800,"次果筐/托盘－"&amp;INDEX(次果筐明细!$F$4:$F$603,$Z780-5200),"")))))</f>
        <v/>
      </c>
      <c r="E780" s="24" t="str">
        <f>IF($Z780="","",IF($Z780&lt;=2000,IF(INDEX(包装物料出入库明细!$C$4:$C$2003,$Z780-0)=0,"",INDEX(包装物料出入库明细!$C$4:$C$2003,$Z780-0)),IF($Z780&lt;=4000,IF(INDEX(周转筐出入库明细!$E$4:$E$2004,$Z780-2000)=0,"",INDEX(周转筐出入库明细!$E$4:$E$2004,$Z780-2000)),IF($Z780&lt;=5200,IF(INDEX(客户自备加工筐明细!$D$4:$D$1203,$Z780-4000)=0,"",INDEX(客户自备加工筐明细!$D$4:$D$1203,$Z780-4000)),IF($Z780&lt;=5800,IF(INDEX(次果筐明细!$E$4:$E$603,$Z780-5200)=0,"",INDEX(次果筐明细!$E$4:$E$603,$Z780-5200)),"")))))</f>
        <v/>
      </c>
      <c r="F780" s="24" t="str">
        <f>IF($Z780="","",IF($Z780&lt;=2000,IF(INDEX(包装物料出入库明细!$E$4:$E$2003,$Z780-0)=0,"",INDEX(包装物料出入库明细!$E$4:$E$2003,$Z780-0)),IF($Z780&lt;=4000,IF(INDEX(周转筐出入库明细!$D$4:$D$2004,$Z780-2000)=0,"",INDEX(周转筐出入库明细!$D$4:$D$2004,$Z780-2000)),IF($Z780&lt;=5200,IF(INDEX(客户自备加工筐明细!$C$4:$C$1203,$Z780-4000)=0,"",INDEX(客户自备加工筐明细!$C$4:$C$1203,$Z780-4000)),IF($Z780&lt;=5800,IF(INDEX(次果筐明细!$D$4:$D$603,$Z780-5200)=0,"",INDEX(次果筐明细!$D$4:$D$603,$Z780-5200)),"")))))</f>
        <v/>
      </c>
      <c r="G780" s="24" t="str">
        <f>IF($Z780="","",IF($Z780&lt;=2000,IF(INDEX(包装物料出入库明细!$F$4:$F$2003,$Z780-0)=0,"",INDEX(包装物料出入库明细!$F$4:$F$2003,$Z780-0)),IF($Z780&lt;=4000,"",IF($Z780&lt;=5200,"",IF($Z780&lt;=5800,"","")))))</f>
        <v/>
      </c>
      <c r="H780" s="39" t="str">
        <f>IF($Z780="","",IF($Z780&lt;=2000,IF(INDEX(包装物料出入库明细!$L$4:$L$2003,$Z780-0)=0,"",INDEX(包装物料出入库明细!$L$4:$L$2003,$Z780-0)),IF($Z780&lt;=4000,N(INDEX(周转筐出入库明细!$H$4:$H$2004,$Z780-2000))+N(INDEX(周转筐出入库明细!$I$4:$I$2004,$Z780-2000))+N(INDEX(周转筐出入库明细!$J$4:$J$2004,$Z780-2000))+N(INDEX(周转筐出入库明细!$K$4:$K$2004,$Z780-2000)),IF($Z780&lt;=5200,N(INDEX(客户自备加工筐明细!$F$4:$F$1203,$Z780-4000))+N(INDEX(客户自备加工筐明细!$G$4:$G$1203,$Z780-4000)),IF($Z780&lt;=5800,IF(INDEX(次果筐明细!$G$4:$G$603,$Z780-5200)=0,"",INDEX(次果筐明细!$G$4:$G$603,$Z780-5200)),"")))))</f>
        <v/>
      </c>
      <c r="I780" s="24" t="str">
        <f>IF($Z780="","",IF($Z780&lt;=2000,IF(INDEX(包装物料出入库明细!$G$4:$G$2003,$Z780-0)=0,"",INDEX(包装物料出入库明细!$G$4:$G$2003,$Z780-0)),IF($Z780&lt;=4000,"个",IF($Z780&lt;=5200,"个",IF($Z780&lt;=5800,"个","")))))</f>
        <v/>
      </c>
      <c r="J780" s="30" t="str">
        <f t="shared" si="37"/>
        <v/>
      </c>
      <c r="K780" s="30" t="str">
        <f>IF($Z780="","",IF($Z780&lt;=2000,IF(INDEX(包装物料出入库明细!$N$4:$N$2003,$Z780-0)=0,"",INDEX(包装物料出入库明细!$N$4:$N$2003,$Z780-0)),IF($Z780&lt;=4000,IF(INDEX(周转筐出入库明细!$P$4:$P$2004,$Z780-2000)=0,"",INDEX(周转筐出入库明细!$P$4:$P$2004,$Z780-2000)),IF($Z780&lt;=5200,"",IF($Z780&lt;=5800,N(INDEX(次果筐明细!$L$4:$L$603,$Z780-5200))+N(INDEX(次果筐明细!$J$4:$J$603,$Z780-5200)),"")))))</f>
        <v/>
      </c>
      <c r="L780" s="24" t="str">
        <f>IF($Z780="","",IF($Z780&lt;=2000,IF(INDEX(包装物料出入库明细!$P$4:$P$2003,$Z780-0)=0,"",INDEX(包装物料出入库明细!$P$4:$P$2003,$Z780-0)),IF($Z780&lt;=4000,IF(INDEX(周转筐出入库明细!$Q$4:$Q$2004,$Z780-2000)=0,"",INDEX(周转筐出入库明细!$Q$4:$Q$2004,$Z780-2000)),IF($Z780&lt;=5200,"",IF($Z780&lt;=5800,IF(INDEX(次果筐明细!$M$4:$M$603,$Z780-5200)=0,"",INDEX(次果筐明细!$M$4:$M$603,$Z780-5200)),"")))))</f>
        <v/>
      </c>
      <c r="M780" s="37" t="str">
        <f>IF($Z780="","",IF($Z780&lt;=2000,IF(INDEX(包装物料出入库明细!$R$4:$R$2003,$Z780-0)=0,"",INDEX(包装物料出入库明细!$R$4:$R$2003,$Z780-0)),IF($Z780&lt;=4000,IF(INDEX(周转筐出入库明细!$W$4:$W$2004,$Z780-2000)=0,"",INDEX(周转筐出入库明细!$W$4:$W$2004,$Z780-2000)),IF($Z780&lt;=5200,IF(INDEX(客户自备加工筐明细!$L$4:$L$1203,$Z780-4000)=0,"",INDEX(客户自备加工筐明细!$L$4:$L$1203,$Z780-4000)),IF($Z780&lt;=5800,IF(INDEX(次果筐明细!$P$4:$P$603,$Z780-5200)=0,"",INDEX(次果筐明细!$P$4:$P$603,$Z780-5200)),"")))))</f>
        <v/>
      </c>
      <c r="N780" s="16" t="str">
        <f>IF($Z780="","",IF($Z780&lt;=2000,"",IF($Z780&lt;=4000,IF(INDEX(周转筐出入库明细!$D$4:$D$2004,$Z780-2000)=0,"",INDEX(周转筐出入库明细!$D$4:$D$2004,$Z780-2000)),IF($Z780&lt;=5200,IF(INDEX(客户自备加工筐明细!$C$4:$C$1203,$Z780-4000)=0,"",INDEX(客户自备加工筐明细!$C$4:$C$1203,$Z780-4000)),IF($Z780&lt;=5800,IF(INDEX(次果筐明细!$D$4:$D$603,$Z780-5200)=0,"",INDEX(次果筐明细!$D$4:$D$603,$Z780-5200)),"")))))</f>
        <v/>
      </c>
      <c r="O780" s="40" t="str">
        <f>IF($Z780="","",IF($Z780&lt;=2000,"",IF($Z780&lt;=4000,IF(N(INDEX(周转筐出入库明细!$J$4:$J$2004,$Z780-2000))+N(INDEX(周转筐出入库明细!$K$4:$K$2004,$Z780-2000))=0,"",N(INDEX(周转筐出入库明细!$J$4:$J$2004,$Z780-2000))+N(INDEX(周转筐出入库明细!$K$4:$K$2004,$Z780-2000))),IF($Z780&lt;=5200,IF(N(INDEX(客户自备加工筐明细!$G$4:$G$1203,$Z780-4000))=0,"",N(INDEX(客户自备加工筐明细!$G$4:$G$1203,$Z780-4000))),IF($Z780&lt;=5800,IF(ISNUMBER(SEARCH("退",INDEX(次果筐明细!$F$4:$F$603,$Z780-5200)&amp;"")),"",IF(N(INDEX(次果筐明细!$G$4:$G$603,$Z780-5200))=0,"",N(INDEX(次果筐明细!$G$4:$G$603,$Z780-5200)))),"")))))</f>
        <v/>
      </c>
      <c r="P780" s="40" t="str">
        <f>IF($Z780="","",IF($Z780&lt;=2000,"",IF($Z780&lt;=4000,IF(N(INDEX(周转筐出入库明细!$I$4:$I$2004,$Z780-2000))=0,"",N(INDEX(周转筐出入库明细!$I$4:$I$2004,$Z780-2000))),IF($Z780&lt;=5200,"",IF($Z780&lt;=5800,IF(ISNUMBER(SEARCH("退",INDEX(次果筐明细!$F$4:$F$603,$Z780-5200)&amp;"")),IF(N(INDEX(次果筐明细!$G$4:$G$603,$Z780-5200))=0,"",N(INDEX(次果筐明细!$G$4:$G$603,$Z780-5200))),""),"")))))</f>
        <v/>
      </c>
      <c r="Q780" s="40" t="str">
        <f>IF($Z780="","",IF($Z780&lt;=2000,"",IF($Z780&lt;=4000,IF(N(INDEX(周转筐出入库明细!$H$4:$H$2004,$Z780-2000))=0,"",N(INDEX(周转筐出入库明细!$H$4:$H$2004,$Z780-2000))),IF($Z780&lt;=5200,IF(N(INDEX(客户自备加工筐明细!$F$4:$F$1203,$Z780-4000))=0,"",N(INDEX(客户自备加工筐明细!$F$4:$F$1203,$Z780-4000))),IF($Z780&lt;=5800,"","")))))</f>
        <v/>
      </c>
      <c r="R780" s="16" t="str">
        <f>IF($Z780="","",IF($Z780&lt;=2000,IF(INDEX(包装物料出入库明细!$O$4:$O$2003,$Z780-0)=0,"",INDEX(包装物料出入库明细!$O$4:$O$2003,$Z780-0)),IF($Z780&lt;=4000,IF(INDEX(周转筐出入库明细!$M$4:$M$2004,$Z780-2000)=0,"",INDEX(周转筐出入库明细!$M$4:$M$2004,$Z780-2000)),IF($Z780&lt;=5200,IF(INDEX(客户自备加工筐明细!$H$4:$H$1203,$Z780-4000)=0,"",INDEX(客户自备加工筐明细!$H$4:$H$1203,$Z780-4000)),IF($Z780&lt;=5800,IF(INDEX(次果筐明细!$H$4:$H$603,$Z780-5200)=0,"",INDEX(次果筐明细!$H$4:$H$603,$Z780-5200)),"")))))</f>
        <v/>
      </c>
      <c r="S780" s="22" t="str">
        <f t="shared" si="38"/>
        <v/>
      </c>
      <c r="Z780" s="10" t="str">
        <f>IFERROR(MATCH(ROW()-3,_自动清单!$CQ$4:$CQ$5803,0),"")</f>
        <v/>
      </c>
    </row>
    <row r="781" spans="1:26">
      <c r="A781" s="24" t="str">
        <f t="shared" si="36"/>
        <v/>
      </c>
      <c r="B781" s="38" t="str">
        <f>IF($Z781="","",IF($Z781&lt;=2000,IF(INDEX(包装物料出入库明细!$B$4:$B$2003,$Z781-0)=0,"",INDEX(包装物料出入库明细!$B$4:$B$2003,$Z781-0)),IF($Z781&lt;=4000,IF(INDEX(周转筐出入库明细!$B$4:$B$2004,$Z781-2000)=0,"",INDEX(周转筐出入库明细!$B$4:$B$2004,$Z781-2000)),IF($Z781&lt;=5200,IF(INDEX(客户自备加工筐明细!$B$4:$B$1203,$Z781-4000)=0,"",INDEX(客户自备加工筐明细!$B$4:$B$1203,$Z781-4000)),IF($Z781&lt;=5800,IF(INDEX(次果筐明细!$B$4:$B$603,$Z781-5200)=0,"",INDEX(次果筐明细!$B$4:$B$603,$Z781-5200)),"")))))</f>
        <v/>
      </c>
      <c r="C781" s="37" t="str">
        <f>IF($Z781="","",IF($Z781&lt;=2000,IF(INDEX(包装物料出入库明细!$D$4:$D$2003,$Z781-0)=0,"",INDEX(包装物料出入库明细!$D$4:$D$2003,$Z781-0)),IF($Z781&lt;=4000,IF(INDEX(周转筐出入库明细!$C$4:$C$2004,$Z781-2000)=0,"",INDEX(周转筐出入库明细!$C$4:$C$2004,$Z781-2000)),IF($Z781&lt;=5200,IF(INDEX(客户自备加工筐明细!$E$4:$E$1203,$Z781-4000)=0,"",INDEX(客户自备加工筐明细!$E$4:$E$1203,$Z781-4000)),IF($Z781&lt;=5800,IF(INDEX(次果筐明细!$C$4:$C$603,$Z781-5200)=0,"",INDEX(次果筐明细!$C$4:$C$603,$Z781-5200)),"")))))</f>
        <v/>
      </c>
      <c r="D781" s="37" t="str">
        <f>IF($Z781="","",IF($Z781&lt;=2000,"包装物料－"&amp;INDEX(包装物料出入库明细!$H$4:$H$2003,$Z781-0),IF($Z781&lt;=4000,"周转筐－"&amp;INDEX(周转筐出入库明细!$F$4:$F$2004,$Z781-2000),IF($Z781&lt;=5200,"客户自备筐－"&amp;INDEX(客户自备加工筐明细!$J$4:$J$1203,$Z781-4000),IF($Z781&lt;=5800,"次果筐/托盘－"&amp;INDEX(次果筐明细!$F$4:$F$603,$Z781-5200),"")))))</f>
        <v/>
      </c>
      <c r="E781" s="24" t="str">
        <f>IF($Z781="","",IF($Z781&lt;=2000,IF(INDEX(包装物料出入库明细!$C$4:$C$2003,$Z781-0)=0,"",INDEX(包装物料出入库明细!$C$4:$C$2003,$Z781-0)),IF($Z781&lt;=4000,IF(INDEX(周转筐出入库明细!$E$4:$E$2004,$Z781-2000)=0,"",INDEX(周转筐出入库明细!$E$4:$E$2004,$Z781-2000)),IF($Z781&lt;=5200,IF(INDEX(客户自备加工筐明细!$D$4:$D$1203,$Z781-4000)=0,"",INDEX(客户自备加工筐明细!$D$4:$D$1203,$Z781-4000)),IF($Z781&lt;=5800,IF(INDEX(次果筐明细!$E$4:$E$603,$Z781-5200)=0,"",INDEX(次果筐明细!$E$4:$E$603,$Z781-5200)),"")))))</f>
        <v/>
      </c>
      <c r="F781" s="24" t="str">
        <f>IF($Z781="","",IF($Z781&lt;=2000,IF(INDEX(包装物料出入库明细!$E$4:$E$2003,$Z781-0)=0,"",INDEX(包装物料出入库明细!$E$4:$E$2003,$Z781-0)),IF($Z781&lt;=4000,IF(INDEX(周转筐出入库明细!$D$4:$D$2004,$Z781-2000)=0,"",INDEX(周转筐出入库明细!$D$4:$D$2004,$Z781-2000)),IF($Z781&lt;=5200,IF(INDEX(客户自备加工筐明细!$C$4:$C$1203,$Z781-4000)=0,"",INDEX(客户自备加工筐明细!$C$4:$C$1203,$Z781-4000)),IF($Z781&lt;=5800,IF(INDEX(次果筐明细!$D$4:$D$603,$Z781-5200)=0,"",INDEX(次果筐明细!$D$4:$D$603,$Z781-5200)),"")))))</f>
        <v/>
      </c>
      <c r="G781" s="24" t="str">
        <f>IF($Z781="","",IF($Z781&lt;=2000,IF(INDEX(包装物料出入库明细!$F$4:$F$2003,$Z781-0)=0,"",INDEX(包装物料出入库明细!$F$4:$F$2003,$Z781-0)),IF($Z781&lt;=4000,"",IF($Z781&lt;=5200,"",IF($Z781&lt;=5800,"","")))))</f>
        <v/>
      </c>
      <c r="H781" s="39" t="str">
        <f>IF($Z781="","",IF($Z781&lt;=2000,IF(INDEX(包装物料出入库明细!$L$4:$L$2003,$Z781-0)=0,"",INDEX(包装物料出入库明细!$L$4:$L$2003,$Z781-0)),IF($Z781&lt;=4000,N(INDEX(周转筐出入库明细!$H$4:$H$2004,$Z781-2000))+N(INDEX(周转筐出入库明细!$I$4:$I$2004,$Z781-2000))+N(INDEX(周转筐出入库明细!$J$4:$J$2004,$Z781-2000))+N(INDEX(周转筐出入库明细!$K$4:$K$2004,$Z781-2000)),IF($Z781&lt;=5200,N(INDEX(客户自备加工筐明细!$F$4:$F$1203,$Z781-4000))+N(INDEX(客户自备加工筐明细!$G$4:$G$1203,$Z781-4000)),IF($Z781&lt;=5800,IF(INDEX(次果筐明细!$G$4:$G$603,$Z781-5200)=0,"",INDEX(次果筐明细!$G$4:$G$603,$Z781-5200)),"")))))</f>
        <v/>
      </c>
      <c r="I781" s="24" t="str">
        <f>IF($Z781="","",IF($Z781&lt;=2000,IF(INDEX(包装物料出入库明细!$G$4:$G$2003,$Z781-0)=0,"",INDEX(包装物料出入库明细!$G$4:$G$2003,$Z781-0)),IF($Z781&lt;=4000,"个",IF($Z781&lt;=5200,"个",IF($Z781&lt;=5800,"个","")))))</f>
        <v/>
      </c>
      <c r="J781" s="30" t="str">
        <f t="shared" si="37"/>
        <v/>
      </c>
      <c r="K781" s="30" t="str">
        <f>IF($Z781="","",IF($Z781&lt;=2000,IF(INDEX(包装物料出入库明细!$N$4:$N$2003,$Z781-0)=0,"",INDEX(包装物料出入库明细!$N$4:$N$2003,$Z781-0)),IF($Z781&lt;=4000,IF(INDEX(周转筐出入库明细!$P$4:$P$2004,$Z781-2000)=0,"",INDEX(周转筐出入库明细!$P$4:$P$2004,$Z781-2000)),IF($Z781&lt;=5200,"",IF($Z781&lt;=5800,N(INDEX(次果筐明细!$L$4:$L$603,$Z781-5200))+N(INDEX(次果筐明细!$J$4:$J$603,$Z781-5200)),"")))))</f>
        <v/>
      </c>
      <c r="L781" s="24" t="str">
        <f>IF($Z781="","",IF($Z781&lt;=2000,IF(INDEX(包装物料出入库明细!$P$4:$P$2003,$Z781-0)=0,"",INDEX(包装物料出入库明细!$P$4:$P$2003,$Z781-0)),IF($Z781&lt;=4000,IF(INDEX(周转筐出入库明细!$Q$4:$Q$2004,$Z781-2000)=0,"",INDEX(周转筐出入库明细!$Q$4:$Q$2004,$Z781-2000)),IF($Z781&lt;=5200,"",IF($Z781&lt;=5800,IF(INDEX(次果筐明细!$M$4:$M$603,$Z781-5200)=0,"",INDEX(次果筐明细!$M$4:$M$603,$Z781-5200)),"")))))</f>
        <v/>
      </c>
      <c r="M781" s="37" t="str">
        <f>IF($Z781="","",IF($Z781&lt;=2000,IF(INDEX(包装物料出入库明细!$R$4:$R$2003,$Z781-0)=0,"",INDEX(包装物料出入库明细!$R$4:$R$2003,$Z781-0)),IF($Z781&lt;=4000,IF(INDEX(周转筐出入库明细!$W$4:$W$2004,$Z781-2000)=0,"",INDEX(周转筐出入库明细!$W$4:$W$2004,$Z781-2000)),IF($Z781&lt;=5200,IF(INDEX(客户自备加工筐明细!$L$4:$L$1203,$Z781-4000)=0,"",INDEX(客户自备加工筐明细!$L$4:$L$1203,$Z781-4000)),IF($Z781&lt;=5800,IF(INDEX(次果筐明细!$P$4:$P$603,$Z781-5200)=0,"",INDEX(次果筐明细!$P$4:$P$603,$Z781-5200)),"")))))</f>
        <v/>
      </c>
      <c r="N781" s="16" t="str">
        <f>IF($Z781="","",IF($Z781&lt;=2000,"",IF($Z781&lt;=4000,IF(INDEX(周转筐出入库明细!$D$4:$D$2004,$Z781-2000)=0,"",INDEX(周转筐出入库明细!$D$4:$D$2004,$Z781-2000)),IF($Z781&lt;=5200,IF(INDEX(客户自备加工筐明细!$C$4:$C$1203,$Z781-4000)=0,"",INDEX(客户自备加工筐明细!$C$4:$C$1203,$Z781-4000)),IF($Z781&lt;=5800,IF(INDEX(次果筐明细!$D$4:$D$603,$Z781-5200)=0,"",INDEX(次果筐明细!$D$4:$D$603,$Z781-5200)),"")))))</f>
        <v/>
      </c>
      <c r="O781" s="40" t="str">
        <f>IF($Z781="","",IF($Z781&lt;=2000,"",IF($Z781&lt;=4000,IF(N(INDEX(周转筐出入库明细!$J$4:$J$2004,$Z781-2000))+N(INDEX(周转筐出入库明细!$K$4:$K$2004,$Z781-2000))=0,"",N(INDEX(周转筐出入库明细!$J$4:$J$2004,$Z781-2000))+N(INDEX(周转筐出入库明细!$K$4:$K$2004,$Z781-2000))),IF($Z781&lt;=5200,IF(N(INDEX(客户自备加工筐明细!$G$4:$G$1203,$Z781-4000))=0,"",N(INDEX(客户自备加工筐明细!$G$4:$G$1203,$Z781-4000))),IF($Z781&lt;=5800,IF(ISNUMBER(SEARCH("退",INDEX(次果筐明细!$F$4:$F$603,$Z781-5200)&amp;"")),"",IF(N(INDEX(次果筐明细!$G$4:$G$603,$Z781-5200))=0,"",N(INDEX(次果筐明细!$G$4:$G$603,$Z781-5200)))),"")))))</f>
        <v/>
      </c>
      <c r="P781" s="40" t="str">
        <f>IF($Z781="","",IF($Z781&lt;=2000,"",IF($Z781&lt;=4000,IF(N(INDEX(周转筐出入库明细!$I$4:$I$2004,$Z781-2000))=0,"",N(INDEX(周转筐出入库明细!$I$4:$I$2004,$Z781-2000))),IF($Z781&lt;=5200,"",IF($Z781&lt;=5800,IF(ISNUMBER(SEARCH("退",INDEX(次果筐明细!$F$4:$F$603,$Z781-5200)&amp;"")),IF(N(INDEX(次果筐明细!$G$4:$G$603,$Z781-5200))=0,"",N(INDEX(次果筐明细!$G$4:$G$603,$Z781-5200))),""),"")))))</f>
        <v/>
      </c>
      <c r="Q781" s="40" t="str">
        <f>IF($Z781="","",IF($Z781&lt;=2000,"",IF($Z781&lt;=4000,IF(N(INDEX(周转筐出入库明细!$H$4:$H$2004,$Z781-2000))=0,"",N(INDEX(周转筐出入库明细!$H$4:$H$2004,$Z781-2000))),IF($Z781&lt;=5200,IF(N(INDEX(客户自备加工筐明细!$F$4:$F$1203,$Z781-4000))=0,"",N(INDEX(客户自备加工筐明细!$F$4:$F$1203,$Z781-4000))),IF($Z781&lt;=5800,"","")))))</f>
        <v/>
      </c>
      <c r="R781" s="16" t="str">
        <f>IF($Z781="","",IF($Z781&lt;=2000,IF(INDEX(包装物料出入库明细!$O$4:$O$2003,$Z781-0)=0,"",INDEX(包装物料出入库明细!$O$4:$O$2003,$Z781-0)),IF($Z781&lt;=4000,IF(INDEX(周转筐出入库明细!$M$4:$M$2004,$Z781-2000)=0,"",INDEX(周转筐出入库明细!$M$4:$M$2004,$Z781-2000)),IF($Z781&lt;=5200,IF(INDEX(客户自备加工筐明细!$H$4:$H$1203,$Z781-4000)=0,"",INDEX(客户自备加工筐明细!$H$4:$H$1203,$Z781-4000)),IF($Z781&lt;=5800,IF(INDEX(次果筐明细!$H$4:$H$603,$Z781-5200)=0,"",INDEX(次果筐明细!$H$4:$H$603,$Z781-5200)),"")))))</f>
        <v/>
      </c>
      <c r="S781" s="22" t="str">
        <f t="shared" si="38"/>
        <v/>
      </c>
      <c r="Z781" s="10" t="str">
        <f>IFERROR(MATCH(ROW()-3,_自动清单!$CQ$4:$CQ$5803,0),"")</f>
        <v/>
      </c>
    </row>
    <row r="782" spans="1:26">
      <c r="A782" s="24" t="str">
        <f t="shared" si="36"/>
        <v/>
      </c>
      <c r="B782" s="38" t="str">
        <f>IF($Z782="","",IF($Z782&lt;=2000,IF(INDEX(包装物料出入库明细!$B$4:$B$2003,$Z782-0)=0,"",INDEX(包装物料出入库明细!$B$4:$B$2003,$Z782-0)),IF($Z782&lt;=4000,IF(INDEX(周转筐出入库明细!$B$4:$B$2004,$Z782-2000)=0,"",INDEX(周转筐出入库明细!$B$4:$B$2004,$Z782-2000)),IF($Z782&lt;=5200,IF(INDEX(客户自备加工筐明细!$B$4:$B$1203,$Z782-4000)=0,"",INDEX(客户自备加工筐明细!$B$4:$B$1203,$Z782-4000)),IF($Z782&lt;=5800,IF(INDEX(次果筐明细!$B$4:$B$603,$Z782-5200)=0,"",INDEX(次果筐明细!$B$4:$B$603,$Z782-5200)),"")))))</f>
        <v/>
      </c>
      <c r="C782" s="37" t="str">
        <f>IF($Z782="","",IF($Z782&lt;=2000,IF(INDEX(包装物料出入库明细!$D$4:$D$2003,$Z782-0)=0,"",INDEX(包装物料出入库明细!$D$4:$D$2003,$Z782-0)),IF($Z782&lt;=4000,IF(INDEX(周转筐出入库明细!$C$4:$C$2004,$Z782-2000)=0,"",INDEX(周转筐出入库明细!$C$4:$C$2004,$Z782-2000)),IF($Z782&lt;=5200,IF(INDEX(客户自备加工筐明细!$E$4:$E$1203,$Z782-4000)=0,"",INDEX(客户自备加工筐明细!$E$4:$E$1203,$Z782-4000)),IF($Z782&lt;=5800,IF(INDEX(次果筐明细!$C$4:$C$603,$Z782-5200)=0,"",INDEX(次果筐明细!$C$4:$C$603,$Z782-5200)),"")))))</f>
        <v/>
      </c>
      <c r="D782" s="37" t="str">
        <f>IF($Z782="","",IF($Z782&lt;=2000,"包装物料－"&amp;INDEX(包装物料出入库明细!$H$4:$H$2003,$Z782-0),IF($Z782&lt;=4000,"周转筐－"&amp;INDEX(周转筐出入库明细!$F$4:$F$2004,$Z782-2000),IF($Z782&lt;=5200,"客户自备筐－"&amp;INDEX(客户自备加工筐明细!$J$4:$J$1203,$Z782-4000),IF($Z782&lt;=5800,"次果筐/托盘－"&amp;INDEX(次果筐明细!$F$4:$F$603,$Z782-5200),"")))))</f>
        <v/>
      </c>
      <c r="E782" s="24" t="str">
        <f>IF($Z782="","",IF($Z782&lt;=2000,IF(INDEX(包装物料出入库明细!$C$4:$C$2003,$Z782-0)=0,"",INDEX(包装物料出入库明细!$C$4:$C$2003,$Z782-0)),IF($Z782&lt;=4000,IF(INDEX(周转筐出入库明细!$E$4:$E$2004,$Z782-2000)=0,"",INDEX(周转筐出入库明细!$E$4:$E$2004,$Z782-2000)),IF($Z782&lt;=5200,IF(INDEX(客户自备加工筐明细!$D$4:$D$1203,$Z782-4000)=0,"",INDEX(客户自备加工筐明细!$D$4:$D$1203,$Z782-4000)),IF($Z782&lt;=5800,IF(INDEX(次果筐明细!$E$4:$E$603,$Z782-5200)=0,"",INDEX(次果筐明细!$E$4:$E$603,$Z782-5200)),"")))))</f>
        <v/>
      </c>
      <c r="F782" s="24" t="str">
        <f>IF($Z782="","",IF($Z782&lt;=2000,IF(INDEX(包装物料出入库明细!$E$4:$E$2003,$Z782-0)=0,"",INDEX(包装物料出入库明细!$E$4:$E$2003,$Z782-0)),IF($Z782&lt;=4000,IF(INDEX(周转筐出入库明细!$D$4:$D$2004,$Z782-2000)=0,"",INDEX(周转筐出入库明细!$D$4:$D$2004,$Z782-2000)),IF($Z782&lt;=5200,IF(INDEX(客户自备加工筐明细!$C$4:$C$1203,$Z782-4000)=0,"",INDEX(客户自备加工筐明细!$C$4:$C$1203,$Z782-4000)),IF($Z782&lt;=5800,IF(INDEX(次果筐明细!$D$4:$D$603,$Z782-5200)=0,"",INDEX(次果筐明细!$D$4:$D$603,$Z782-5200)),"")))))</f>
        <v/>
      </c>
      <c r="G782" s="24" t="str">
        <f>IF($Z782="","",IF($Z782&lt;=2000,IF(INDEX(包装物料出入库明细!$F$4:$F$2003,$Z782-0)=0,"",INDEX(包装物料出入库明细!$F$4:$F$2003,$Z782-0)),IF($Z782&lt;=4000,"",IF($Z782&lt;=5200,"",IF($Z782&lt;=5800,"","")))))</f>
        <v/>
      </c>
      <c r="H782" s="39" t="str">
        <f>IF($Z782="","",IF($Z782&lt;=2000,IF(INDEX(包装物料出入库明细!$L$4:$L$2003,$Z782-0)=0,"",INDEX(包装物料出入库明细!$L$4:$L$2003,$Z782-0)),IF($Z782&lt;=4000,N(INDEX(周转筐出入库明细!$H$4:$H$2004,$Z782-2000))+N(INDEX(周转筐出入库明细!$I$4:$I$2004,$Z782-2000))+N(INDEX(周转筐出入库明细!$J$4:$J$2004,$Z782-2000))+N(INDEX(周转筐出入库明细!$K$4:$K$2004,$Z782-2000)),IF($Z782&lt;=5200,N(INDEX(客户自备加工筐明细!$F$4:$F$1203,$Z782-4000))+N(INDEX(客户自备加工筐明细!$G$4:$G$1203,$Z782-4000)),IF($Z782&lt;=5800,IF(INDEX(次果筐明细!$G$4:$G$603,$Z782-5200)=0,"",INDEX(次果筐明细!$G$4:$G$603,$Z782-5200)),"")))))</f>
        <v/>
      </c>
      <c r="I782" s="24" t="str">
        <f>IF($Z782="","",IF($Z782&lt;=2000,IF(INDEX(包装物料出入库明细!$G$4:$G$2003,$Z782-0)=0,"",INDEX(包装物料出入库明细!$G$4:$G$2003,$Z782-0)),IF($Z782&lt;=4000,"个",IF($Z782&lt;=5200,"个",IF($Z782&lt;=5800,"个","")))))</f>
        <v/>
      </c>
      <c r="J782" s="30" t="str">
        <f t="shared" si="37"/>
        <v/>
      </c>
      <c r="K782" s="30" t="str">
        <f>IF($Z782="","",IF($Z782&lt;=2000,IF(INDEX(包装物料出入库明细!$N$4:$N$2003,$Z782-0)=0,"",INDEX(包装物料出入库明细!$N$4:$N$2003,$Z782-0)),IF($Z782&lt;=4000,IF(INDEX(周转筐出入库明细!$P$4:$P$2004,$Z782-2000)=0,"",INDEX(周转筐出入库明细!$P$4:$P$2004,$Z782-2000)),IF($Z782&lt;=5200,"",IF($Z782&lt;=5800,N(INDEX(次果筐明细!$L$4:$L$603,$Z782-5200))+N(INDEX(次果筐明细!$J$4:$J$603,$Z782-5200)),"")))))</f>
        <v/>
      </c>
      <c r="L782" s="24" t="str">
        <f>IF($Z782="","",IF($Z782&lt;=2000,IF(INDEX(包装物料出入库明细!$P$4:$P$2003,$Z782-0)=0,"",INDEX(包装物料出入库明细!$P$4:$P$2003,$Z782-0)),IF($Z782&lt;=4000,IF(INDEX(周转筐出入库明细!$Q$4:$Q$2004,$Z782-2000)=0,"",INDEX(周转筐出入库明细!$Q$4:$Q$2004,$Z782-2000)),IF($Z782&lt;=5200,"",IF($Z782&lt;=5800,IF(INDEX(次果筐明细!$M$4:$M$603,$Z782-5200)=0,"",INDEX(次果筐明细!$M$4:$M$603,$Z782-5200)),"")))))</f>
        <v/>
      </c>
      <c r="M782" s="37" t="str">
        <f>IF($Z782="","",IF($Z782&lt;=2000,IF(INDEX(包装物料出入库明细!$R$4:$R$2003,$Z782-0)=0,"",INDEX(包装物料出入库明细!$R$4:$R$2003,$Z782-0)),IF($Z782&lt;=4000,IF(INDEX(周转筐出入库明细!$W$4:$W$2004,$Z782-2000)=0,"",INDEX(周转筐出入库明细!$W$4:$W$2004,$Z782-2000)),IF($Z782&lt;=5200,IF(INDEX(客户自备加工筐明细!$L$4:$L$1203,$Z782-4000)=0,"",INDEX(客户自备加工筐明细!$L$4:$L$1203,$Z782-4000)),IF($Z782&lt;=5800,IF(INDEX(次果筐明细!$P$4:$P$603,$Z782-5200)=0,"",INDEX(次果筐明细!$P$4:$P$603,$Z782-5200)),"")))))</f>
        <v/>
      </c>
      <c r="N782" s="16" t="str">
        <f>IF($Z782="","",IF($Z782&lt;=2000,"",IF($Z782&lt;=4000,IF(INDEX(周转筐出入库明细!$D$4:$D$2004,$Z782-2000)=0,"",INDEX(周转筐出入库明细!$D$4:$D$2004,$Z782-2000)),IF($Z782&lt;=5200,IF(INDEX(客户自备加工筐明细!$C$4:$C$1203,$Z782-4000)=0,"",INDEX(客户自备加工筐明细!$C$4:$C$1203,$Z782-4000)),IF($Z782&lt;=5800,IF(INDEX(次果筐明细!$D$4:$D$603,$Z782-5200)=0,"",INDEX(次果筐明细!$D$4:$D$603,$Z782-5200)),"")))))</f>
        <v/>
      </c>
      <c r="O782" s="40" t="str">
        <f>IF($Z782="","",IF($Z782&lt;=2000,"",IF($Z782&lt;=4000,IF(N(INDEX(周转筐出入库明细!$J$4:$J$2004,$Z782-2000))+N(INDEX(周转筐出入库明细!$K$4:$K$2004,$Z782-2000))=0,"",N(INDEX(周转筐出入库明细!$J$4:$J$2004,$Z782-2000))+N(INDEX(周转筐出入库明细!$K$4:$K$2004,$Z782-2000))),IF($Z782&lt;=5200,IF(N(INDEX(客户自备加工筐明细!$G$4:$G$1203,$Z782-4000))=0,"",N(INDEX(客户自备加工筐明细!$G$4:$G$1203,$Z782-4000))),IF($Z782&lt;=5800,IF(ISNUMBER(SEARCH("退",INDEX(次果筐明细!$F$4:$F$603,$Z782-5200)&amp;"")),"",IF(N(INDEX(次果筐明细!$G$4:$G$603,$Z782-5200))=0,"",N(INDEX(次果筐明细!$G$4:$G$603,$Z782-5200)))),"")))))</f>
        <v/>
      </c>
      <c r="P782" s="40" t="str">
        <f>IF($Z782="","",IF($Z782&lt;=2000,"",IF($Z782&lt;=4000,IF(N(INDEX(周转筐出入库明细!$I$4:$I$2004,$Z782-2000))=0,"",N(INDEX(周转筐出入库明细!$I$4:$I$2004,$Z782-2000))),IF($Z782&lt;=5200,"",IF($Z782&lt;=5800,IF(ISNUMBER(SEARCH("退",INDEX(次果筐明细!$F$4:$F$603,$Z782-5200)&amp;"")),IF(N(INDEX(次果筐明细!$G$4:$G$603,$Z782-5200))=0,"",N(INDEX(次果筐明细!$G$4:$G$603,$Z782-5200))),""),"")))))</f>
        <v/>
      </c>
      <c r="Q782" s="40" t="str">
        <f>IF($Z782="","",IF($Z782&lt;=2000,"",IF($Z782&lt;=4000,IF(N(INDEX(周转筐出入库明细!$H$4:$H$2004,$Z782-2000))=0,"",N(INDEX(周转筐出入库明细!$H$4:$H$2004,$Z782-2000))),IF($Z782&lt;=5200,IF(N(INDEX(客户自备加工筐明细!$F$4:$F$1203,$Z782-4000))=0,"",N(INDEX(客户自备加工筐明细!$F$4:$F$1203,$Z782-4000))),IF($Z782&lt;=5800,"","")))))</f>
        <v/>
      </c>
      <c r="R782" s="16" t="str">
        <f>IF($Z782="","",IF($Z782&lt;=2000,IF(INDEX(包装物料出入库明细!$O$4:$O$2003,$Z782-0)=0,"",INDEX(包装物料出入库明细!$O$4:$O$2003,$Z782-0)),IF($Z782&lt;=4000,IF(INDEX(周转筐出入库明细!$M$4:$M$2004,$Z782-2000)=0,"",INDEX(周转筐出入库明细!$M$4:$M$2004,$Z782-2000)),IF($Z782&lt;=5200,IF(INDEX(客户自备加工筐明细!$H$4:$H$1203,$Z782-4000)=0,"",INDEX(客户自备加工筐明细!$H$4:$H$1203,$Z782-4000)),IF($Z782&lt;=5800,IF(INDEX(次果筐明细!$H$4:$H$603,$Z782-5200)=0,"",INDEX(次果筐明细!$H$4:$H$603,$Z782-5200)),"")))))</f>
        <v/>
      </c>
      <c r="S782" s="22" t="str">
        <f t="shared" si="38"/>
        <v/>
      </c>
      <c r="Z782" s="10" t="str">
        <f>IFERROR(MATCH(ROW()-3,_自动清单!$CQ$4:$CQ$5803,0),"")</f>
        <v/>
      </c>
    </row>
    <row r="783" spans="1:26">
      <c r="A783" s="24" t="str">
        <f t="shared" si="36"/>
        <v/>
      </c>
      <c r="B783" s="38" t="str">
        <f>IF($Z783="","",IF($Z783&lt;=2000,IF(INDEX(包装物料出入库明细!$B$4:$B$2003,$Z783-0)=0,"",INDEX(包装物料出入库明细!$B$4:$B$2003,$Z783-0)),IF($Z783&lt;=4000,IF(INDEX(周转筐出入库明细!$B$4:$B$2004,$Z783-2000)=0,"",INDEX(周转筐出入库明细!$B$4:$B$2004,$Z783-2000)),IF($Z783&lt;=5200,IF(INDEX(客户自备加工筐明细!$B$4:$B$1203,$Z783-4000)=0,"",INDEX(客户自备加工筐明细!$B$4:$B$1203,$Z783-4000)),IF($Z783&lt;=5800,IF(INDEX(次果筐明细!$B$4:$B$603,$Z783-5200)=0,"",INDEX(次果筐明细!$B$4:$B$603,$Z783-5200)),"")))))</f>
        <v/>
      </c>
      <c r="C783" s="37" t="str">
        <f>IF($Z783="","",IF($Z783&lt;=2000,IF(INDEX(包装物料出入库明细!$D$4:$D$2003,$Z783-0)=0,"",INDEX(包装物料出入库明细!$D$4:$D$2003,$Z783-0)),IF($Z783&lt;=4000,IF(INDEX(周转筐出入库明细!$C$4:$C$2004,$Z783-2000)=0,"",INDEX(周转筐出入库明细!$C$4:$C$2004,$Z783-2000)),IF($Z783&lt;=5200,IF(INDEX(客户自备加工筐明细!$E$4:$E$1203,$Z783-4000)=0,"",INDEX(客户自备加工筐明细!$E$4:$E$1203,$Z783-4000)),IF($Z783&lt;=5800,IF(INDEX(次果筐明细!$C$4:$C$603,$Z783-5200)=0,"",INDEX(次果筐明细!$C$4:$C$603,$Z783-5200)),"")))))</f>
        <v/>
      </c>
      <c r="D783" s="37" t="str">
        <f>IF($Z783="","",IF($Z783&lt;=2000,"包装物料－"&amp;INDEX(包装物料出入库明细!$H$4:$H$2003,$Z783-0),IF($Z783&lt;=4000,"周转筐－"&amp;INDEX(周转筐出入库明细!$F$4:$F$2004,$Z783-2000),IF($Z783&lt;=5200,"客户自备筐－"&amp;INDEX(客户自备加工筐明细!$J$4:$J$1203,$Z783-4000),IF($Z783&lt;=5800,"次果筐/托盘－"&amp;INDEX(次果筐明细!$F$4:$F$603,$Z783-5200),"")))))</f>
        <v/>
      </c>
      <c r="E783" s="24" t="str">
        <f>IF($Z783="","",IF($Z783&lt;=2000,IF(INDEX(包装物料出入库明细!$C$4:$C$2003,$Z783-0)=0,"",INDEX(包装物料出入库明细!$C$4:$C$2003,$Z783-0)),IF($Z783&lt;=4000,IF(INDEX(周转筐出入库明细!$E$4:$E$2004,$Z783-2000)=0,"",INDEX(周转筐出入库明细!$E$4:$E$2004,$Z783-2000)),IF($Z783&lt;=5200,IF(INDEX(客户自备加工筐明细!$D$4:$D$1203,$Z783-4000)=0,"",INDEX(客户自备加工筐明细!$D$4:$D$1203,$Z783-4000)),IF($Z783&lt;=5800,IF(INDEX(次果筐明细!$E$4:$E$603,$Z783-5200)=0,"",INDEX(次果筐明细!$E$4:$E$603,$Z783-5200)),"")))))</f>
        <v/>
      </c>
      <c r="F783" s="24" t="str">
        <f>IF($Z783="","",IF($Z783&lt;=2000,IF(INDEX(包装物料出入库明细!$E$4:$E$2003,$Z783-0)=0,"",INDEX(包装物料出入库明细!$E$4:$E$2003,$Z783-0)),IF($Z783&lt;=4000,IF(INDEX(周转筐出入库明细!$D$4:$D$2004,$Z783-2000)=0,"",INDEX(周转筐出入库明细!$D$4:$D$2004,$Z783-2000)),IF($Z783&lt;=5200,IF(INDEX(客户自备加工筐明细!$C$4:$C$1203,$Z783-4000)=0,"",INDEX(客户自备加工筐明细!$C$4:$C$1203,$Z783-4000)),IF($Z783&lt;=5800,IF(INDEX(次果筐明细!$D$4:$D$603,$Z783-5200)=0,"",INDEX(次果筐明细!$D$4:$D$603,$Z783-5200)),"")))))</f>
        <v/>
      </c>
      <c r="G783" s="24" t="str">
        <f>IF($Z783="","",IF($Z783&lt;=2000,IF(INDEX(包装物料出入库明细!$F$4:$F$2003,$Z783-0)=0,"",INDEX(包装物料出入库明细!$F$4:$F$2003,$Z783-0)),IF($Z783&lt;=4000,"",IF($Z783&lt;=5200,"",IF($Z783&lt;=5800,"","")))))</f>
        <v/>
      </c>
      <c r="H783" s="39" t="str">
        <f>IF($Z783="","",IF($Z783&lt;=2000,IF(INDEX(包装物料出入库明细!$L$4:$L$2003,$Z783-0)=0,"",INDEX(包装物料出入库明细!$L$4:$L$2003,$Z783-0)),IF($Z783&lt;=4000,N(INDEX(周转筐出入库明细!$H$4:$H$2004,$Z783-2000))+N(INDEX(周转筐出入库明细!$I$4:$I$2004,$Z783-2000))+N(INDEX(周转筐出入库明细!$J$4:$J$2004,$Z783-2000))+N(INDEX(周转筐出入库明细!$K$4:$K$2004,$Z783-2000)),IF($Z783&lt;=5200,N(INDEX(客户自备加工筐明细!$F$4:$F$1203,$Z783-4000))+N(INDEX(客户自备加工筐明细!$G$4:$G$1203,$Z783-4000)),IF($Z783&lt;=5800,IF(INDEX(次果筐明细!$G$4:$G$603,$Z783-5200)=0,"",INDEX(次果筐明细!$G$4:$G$603,$Z783-5200)),"")))))</f>
        <v/>
      </c>
      <c r="I783" s="24" t="str">
        <f>IF($Z783="","",IF($Z783&lt;=2000,IF(INDEX(包装物料出入库明细!$G$4:$G$2003,$Z783-0)=0,"",INDEX(包装物料出入库明细!$G$4:$G$2003,$Z783-0)),IF($Z783&lt;=4000,"个",IF($Z783&lt;=5200,"个",IF($Z783&lt;=5800,"个","")))))</f>
        <v/>
      </c>
      <c r="J783" s="30" t="str">
        <f t="shared" si="37"/>
        <v/>
      </c>
      <c r="K783" s="30" t="str">
        <f>IF($Z783="","",IF($Z783&lt;=2000,IF(INDEX(包装物料出入库明细!$N$4:$N$2003,$Z783-0)=0,"",INDEX(包装物料出入库明细!$N$4:$N$2003,$Z783-0)),IF($Z783&lt;=4000,IF(INDEX(周转筐出入库明细!$P$4:$P$2004,$Z783-2000)=0,"",INDEX(周转筐出入库明细!$P$4:$P$2004,$Z783-2000)),IF($Z783&lt;=5200,"",IF($Z783&lt;=5800,N(INDEX(次果筐明细!$L$4:$L$603,$Z783-5200))+N(INDEX(次果筐明细!$J$4:$J$603,$Z783-5200)),"")))))</f>
        <v/>
      </c>
      <c r="L783" s="24" t="str">
        <f>IF($Z783="","",IF($Z783&lt;=2000,IF(INDEX(包装物料出入库明细!$P$4:$P$2003,$Z783-0)=0,"",INDEX(包装物料出入库明细!$P$4:$P$2003,$Z783-0)),IF($Z783&lt;=4000,IF(INDEX(周转筐出入库明细!$Q$4:$Q$2004,$Z783-2000)=0,"",INDEX(周转筐出入库明细!$Q$4:$Q$2004,$Z783-2000)),IF($Z783&lt;=5200,"",IF($Z783&lt;=5800,IF(INDEX(次果筐明细!$M$4:$M$603,$Z783-5200)=0,"",INDEX(次果筐明细!$M$4:$M$603,$Z783-5200)),"")))))</f>
        <v/>
      </c>
      <c r="M783" s="37" t="str">
        <f>IF($Z783="","",IF($Z783&lt;=2000,IF(INDEX(包装物料出入库明细!$R$4:$R$2003,$Z783-0)=0,"",INDEX(包装物料出入库明细!$R$4:$R$2003,$Z783-0)),IF($Z783&lt;=4000,IF(INDEX(周转筐出入库明细!$W$4:$W$2004,$Z783-2000)=0,"",INDEX(周转筐出入库明细!$W$4:$W$2004,$Z783-2000)),IF($Z783&lt;=5200,IF(INDEX(客户自备加工筐明细!$L$4:$L$1203,$Z783-4000)=0,"",INDEX(客户自备加工筐明细!$L$4:$L$1203,$Z783-4000)),IF($Z783&lt;=5800,IF(INDEX(次果筐明细!$P$4:$P$603,$Z783-5200)=0,"",INDEX(次果筐明细!$P$4:$P$603,$Z783-5200)),"")))))</f>
        <v/>
      </c>
      <c r="N783" s="16" t="str">
        <f>IF($Z783="","",IF($Z783&lt;=2000,"",IF($Z783&lt;=4000,IF(INDEX(周转筐出入库明细!$D$4:$D$2004,$Z783-2000)=0,"",INDEX(周转筐出入库明细!$D$4:$D$2004,$Z783-2000)),IF($Z783&lt;=5200,IF(INDEX(客户自备加工筐明细!$C$4:$C$1203,$Z783-4000)=0,"",INDEX(客户自备加工筐明细!$C$4:$C$1203,$Z783-4000)),IF($Z783&lt;=5800,IF(INDEX(次果筐明细!$D$4:$D$603,$Z783-5200)=0,"",INDEX(次果筐明细!$D$4:$D$603,$Z783-5200)),"")))))</f>
        <v/>
      </c>
      <c r="O783" s="40" t="str">
        <f>IF($Z783="","",IF($Z783&lt;=2000,"",IF($Z783&lt;=4000,IF(N(INDEX(周转筐出入库明细!$J$4:$J$2004,$Z783-2000))+N(INDEX(周转筐出入库明细!$K$4:$K$2004,$Z783-2000))=0,"",N(INDEX(周转筐出入库明细!$J$4:$J$2004,$Z783-2000))+N(INDEX(周转筐出入库明细!$K$4:$K$2004,$Z783-2000))),IF($Z783&lt;=5200,IF(N(INDEX(客户自备加工筐明细!$G$4:$G$1203,$Z783-4000))=0,"",N(INDEX(客户自备加工筐明细!$G$4:$G$1203,$Z783-4000))),IF($Z783&lt;=5800,IF(ISNUMBER(SEARCH("退",INDEX(次果筐明细!$F$4:$F$603,$Z783-5200)&amp;"")),"",IF(N(INDEX(次果筐明细!$G$4:$G$603,$Z783-5200))=0,"",N(INDEX(次果筐明细!$G$4:$G$603,$Z783-5200)))),"")))))</f>
        <v/>
      </c>
      <c r="P783" s="40" t="str">
        <f>IF($Z783="","",IF($Z783&lt;=2000,"",IF($Z783&lt;=4000,IF(N(INDEX(周转筐出入库明细!$I$4:$I$2004,$Z783-2000))=0,"",N(INDEX(周转筐出入库明细!$I$4:$I$2004,$Z783-2000))),IF($Z783&lt;=5200,"",IF($Z783&lt;=5800,IF(ISNUMBER(SEARCH("退",INDEX(次果筐明细!$F$4:$F$603,$Z783-5200)&amp;"")),IF(N(INDEX(次果筐明细!$G$4:$G$603,$Z783-5200))=0,"",N(INDEX(次果筐明细!$G$4:$G$603,$Z783-5200))),""),"")))))</f>
        <v/>
      </c>
      <c r="Q783" s="40" t="str">
        <f>IF($Z783="","",IF($Z783&lt;=2000,"",IF($Z783&lt;=4000,IF(N(INDEX(周转筐出入库明细!$H$4:$H$2004,$Z783-2000))=0,"",N(INDEX(周转筐出入库明细!$H$4:$H$2004,$Z783-2000))),IF($Z783&lt;=5200,IF(N(INDEX(客户自备加工筐明细!$F$4:$F$1203,$Z783-4000))=0,"",N(INDEX(客户自备加工筐明细!$F$4:$F$1203,$Z783-4000))),IF($Z783&lt;=5800,"","")))))</f>
        <v/>
      </c>
      <c r="R783" s="16" t="str">
        <f>IF($Z783="","",IF($Z783&lt;=2000,IF(INDEX(包装物料出入库明细!$O$4:$O$2003,$Z783-0)=0,"",INDEX(包装物料出入库明细!$O$4:$O$2003,$Z783-0)),IF($Z783&lt;=4000,IF(INDEX(周转筐出入库明细!$M$4:$M$2004,$Z783-2000)=0,"",INDEX(周转筐出入库明细!$M$4:$M$2004,$Z783-2000)),IF($Z783&lt;=5200,IF(INDEX(客户自备加工筐明细!$H$4:$H$1203,$Z783-4000)=0,"",INDEX(客户自备加工筐明细!$H$4:$H$1203,$Z783-4000)),IF($Z783&lt;=5800,IF(INDEX(次果筐明细!$H$4:$H$603,$Z783-5200)=0,"",INDEX(次果筐明细!$H$4:$H$603,$Z783-5200)),"")))))</f>
        <v/>
      </c>
      <c r="S783" s="22" t="str">
        <f t="shared" si="38"/>
        <v/>
      </c>
      <c r="Z783" s="10" t="str">
        <f>IFERROR(MATCH(ROW()-3,_自动清单!$CQ$4:$CQ$5803,0),"")</f>
        <v/>
      </c>
    </row>
    <row r="784" spans="1:26">
      <c r="A784" s="24" t="str">
        <f t="shared" si="36"/>
        <v/>
      </c>
      <c r="B784" s="38" t="str">
        <f>IF($Z784="","",IF($Z784&lt;=2000,IF(INDEX(包装物料出入库明细!$B$4:$B$2003,$Z784-0)=0,"",INDEX(包装物料出入库明细!$B$4:$B$2003,$Z784-0)),IF($Z784&lt;=4000,IF(INDEX(周转筐出入库明细!$B$4:$B$2004,$Z784-2000)=0,"",INDEX(周转筐出入库明细!$B$4:$B$2004,$Z784-2000)),IF($Z784&lt;=5200,IF(INDEX(客户自备加工筐明细!$B$4:$B$1203,$Z784-4000)=0,"",INDEX(客户自备加工筐明细!$B$4:$B$1203,$Z784-4000)),IF($Z784&lt;=5800,IF(INDEX(次果筐明细!$B$4:$B$603,$Z784-5200)=0,"",INDEX(次果筐明细!$B$4:$B$603,$Z784-5200)),"")))))</f>
        <v/>
      </c>
      <c r="C784" s="37" t="str">
        <f>IF($Z784="","",IF($Z784&lt;=2000,IF(INDEX(包装物料出入库明细!$D$4:$D$2003,$Z784-0)=0,"",INDEX(包装物料出入库明细!$D$4:$D$2003,$Z784-0)),IF($Z784&lt;=4000,IF(INDEX(周转筐出入库明细!$C$4:$C$2004,$Z784-2000)=0,"",INDEX(周转筐出入库明细!$C$4:$C$2004,$Z784-2000)),IF($Z784&lt;=5200,IF(INDEX(客户自备加工筐明细!$E$4:$E$1203,$Z784-4000)=0,"",INDEX(客户自备加工筐明细!$E$4:$E$1203,$Z784-4000)),IF($Z784&lt;=5800,IF(INDEX(次果筐明细!$C$4:$C$603,$Z784-5200)=0,"",INDEX(次果筐明细!$C$4:$C$603,$Z784-5200)),"")))))</f>
        <v/>
      </c>
      <c r="D784" s="37" t="str">
        <f>IF($Z784="","",IF($Z784&lt;=2000,"包装物料－"&amp;INDEX(包装物料出入库明细!$H$4:$H$2003,$Z784-0),IF($Z784&lt;=4000,"周转筐－"&amp;INDEX(周转筐出入库明细!$F$4:$F$2004,$Z784-2000),IF($Z784&lt;=5200,"客户自备筐－"&amp;INDEX(客户自备加工筐明细!$J$4:$J$1203,$Z784-4000),IF($Z784&lt;=5800,"次果筐/托盘－"&amp;INDEX(次果筐明细!$F$4:$F$603,$Z784-5200),"")))))</f>
        <v/>
      </c>
      <c r="E784" s="24" t="str">
        <f>IF($Z784="","",IF($Z784&lt;=2000,IF(INDEX(包装物料出入库明细!$C$4:$C$2003,$Z784-0)=0,"",INDEX(包装物料出入库明细!$C$4:$C$2003,$Z784-0)),IF($Z784&lt;=4000,IF(INDEX(周转筐出入库明细!$E$4:$E$2004,$Z784-2000)=0,"",INDEX(周转筐出入库明细!$E$4:$E$2004,$Z784-2000)),IF($Z784&lt;=5200,IF(INDEX(客户自备加工筐明细!$D$4:$D$1203,$Z784-4000)=0,"",INDEX(客户自备加工筐明细!$D$4:$D$1203,$Z784-4000)),IF($Z784&lt;=5800,IF(INDEX(次果筐明细!$E$4:$E$603,$Z784-5200)=0,"",INDEX(次果筐明细!$E$4:$E$603,$Z784-5200)),"")))))</f>
        <v/>
      </c>
      <c r="F784" s="24" t="str">
        <f>IF($Z784="","",IF($Z784&lt;=2000,IF(INDEX(包装物料出入库明细!$E$4:$E$2003,$Z784-0)=0,"",INDEX(包装物料出入库明细!$E$4:$E$2003,$Z784-0)),IF($Z784&lt;=4000,IF(INDEX(周转筐出入库明细!$D$4:$D$2004,$Z784-2000)=0,"",INDEX(周转筐出入库明细!$D$4:$D$2004,$Z784-2000)),IF($Z784&lt;=5200,IF(INDEX(客户自备加工筐明细!$C$4:$C$1203,$Z784-4000)=0,"",INDEX(客户自备加工筐明细!$C$4:$C$1203,$Z784-4000)),IF($Z784&lt;=5800,IF(INDEX(次果筐明细!$D$4:$D$603,$Z784-5200)=0,"",INDEX(次果筐明细!$D$4:$D$603,$Z784-5200)),"")))))</f>
        <v/>
      </c>
      <c r="G784" s="24" t="str">
        <f>IF($Z784="","",IF($Z784&lt;=2000,IF(INDEX(包装物料出入库明细!$F$4:$F$2003,$Z784-0)=0,"",INDEX(包装物料出入库明细!$F$4:$F$2003,$Z784-0)),IF($Z784&lt;=4000,"",IF($Z784&lt;=5200,"",IF($Z784&lt;=5800,"","")))))</f>
        <v/>
      </c>
      <c r="H784" s="39" t="str">
        <f>IF($Z784="","",IF($Z784&lt;=2000,IF(INDEX(包装物料出入库明细!$L$4:$L$2003,$Z784-0)=0,"",INDEX(包装物料出入库明细!$L$4:$L$2003,$Z784-0)),IF($Z784&lt;=4000,N(INDEX(周转筐出入库明细!$H$4:$H$2004,$Z784-2000))+N(INDEX(周转筐出入库明细!$I$4:$I$2004,$Z784-2000))+N(INDEX(周转筐出入库明细!$J$4:$J$2004,$Z784-2000))+N(INDEX(周转筐出入库明细!$K$4:$K$2004,$Z784-2000)),IF($Z784&lt;=5200,N(INDEX(客户自备加工筐明细!$F$4:$F$1203,$Z784-4000))+N(INDEX(客户自备加工筐明细!$G$4:$G$1203,$Z784-4000)),IF($Z784&lt;=5800,IF(INDEX(次果筐明细!$G$4:$G$603,$Z784-5200)=0,"",INDEX(次果筐明细!$G$4:$G$603,$Z784-5200)),"")))))</f>
        <v/>
      </c>
      <c r="I784" s="24" t="str">
        <f>IF($Z784="","",IF($Z784&lt;=2000,IF(INDEX(包装物料出入库明细!$G$4:$G$2003,$Z784-0)=0,"",INDEX(包装物料出入库明细!$G$4:$G$2003,$Z784-0)),IF($Z784&lt;=4000,"个",IF($Z784&lt;=5200,"个",IF($Z784&lt;=5800,"个","")))))</f>
        <v/>
      </c>
      <c r="J784" s="30" t="str">
        <f t="shared" si="37"/>
        <v/>
      </c>
      <c r="K784" s="30" t="str">
        <f>IF($Z784="","",IF($Z784&lt;=2000,IF(INDEX(包装物料出入库明细!$N$4:$N$2003,$Z784-0)=0,"",INDEX(包装物料出入库明细!$N$4:$N$2003,$Z784-0)),IF($Z784&lt;=4000,IF(INDEX(周转筐出入库明细!$P$4:$P$2004,$Z784-2000)=0,"",INDEX(周转筐出入库明细!$P$4:$P$2004,$Z784-2000)),IF($Z784&lt;=5200,"",IF($Z784&lt;=5800,N(INDEX(次果筐明细!$L$4:$L$603,$Z784-5200))+N(INDEX(次果筐明细!$J$4:$J$603,$Z784-5200)),"")))))</f>
        <v/>
      </c>
      <c r="L784" s="24" t="str">
        <f>IF($Z784="","",IF($Z784&lt;=2000,IF(INDEX(包装物料出入库明细!$P$4:$P$2003,$Z784-0)=0,"",INDEX(包装物料出入库明细!$P$4:$P$2003,$Z784-0)),IF($Z784&lt;=4000,IF(INDEX(周转筐出入库明细!$Q$4:$Q$2004,$Z784-2000)=0,"",INDEX(周转筐出入库明细!$Q$4:$Q$2004,$Z784-2000)),IF($Z784&lt;=5200,"",IF($Z784&lt;=5800,IF(INDEX(次果筐明细!$M$4:$M$603,$Z784-5200)=0,"",INDEX(次果筐明细!$M$4:$M$603,$Z784-5200)),"")))))</f>
        <v/>
      </c>
      <c r="M784" s="37" t="str">
        <f>IF($Z784="","",IF($Z784&lt;=2000,IF(INDEX(包装物料出入库明细!$R$4:$R$2003,$Z784-0)=0,"",INDEX(包装物料出入库明细!$R$4:$R$2003,$Z784-0)),IF($Z784&lt;=4000,IF(INDEX(周转筐出入库明细!$W$4:$W$2004,$Z784-2000)=0,"",INDEX(周转筐出入库明细!$W$4:$W$2004,$Z784-2000)),IF($Z784&lt;=5200,IF(INDEX(客户自备加工筐明细!$L$4:$L$1203,$Z784-4000)=0,"",INDEX(客户自备加工筐明细!$L$4:$L$1203,$Z784-4000)),IF($Z784&lt;=5800,IF(INDEX(次果筐明细!$P$4:$P$603,$Z784-5200)=0,"",INDEX(次果筐明细!$P$4:$P$603,$Z784-5200)),"")))))</f>
        <v/>
      </c>
      <c r="N784" s="16" t="str">
        <f>IF($Z784="","",IF($Z784&lt;=2000,"",IF($Z784&lt;=4000,IF(INDEX(周转筐出入库明细!$D$4:$D$2004,$Z784-2000)=0,"",INDEX(周转筐出入库明细!$D$4:$D$2004,$Z784-2000)),IF($Z784&lt;=5200,IF(INDEX(客户自备加工筐明细!$C$4:$C$1203,$Z784-4000)=0,"",INDEX(客户自备加工筐明细!$C$4:$C$1203,$Z784-4000)),IF($Z784&lt;=5800,IF(INDEX(次果筐明细!$D$4:$D$603,$Z784-5200)=0,"",INDEX(次果筐明细!$D$4:$D$603,$Z784-5200)),"")))))</f>
        <v/>
      </c>
      <c r="O784" s="40" t="str">
        <f>IF($Z784="","",IF($Z784&lt;=2000,"",IF($Z784&lt;=4000,IF(N(INDEX(周转筐出入库明细!$J$4:$J$2004,$Z784-2000))+N(INDEX(周转筐出入库明细!$K$4:$K$2004,$Z784-2000))=0,"",N(INDEX(周转筐出入库明细!$J$4:$J$2004,$Z784-2000))+N(INDEX(周转筐出入库明细!$K$4:$K$2004,$Z784-2000))),IF($Z784&lt;=5200,IF(N(INDEX(客户自备加工筐明细!$G$4:$G$1203,$Z784-4000))=0,"",N(INDEX(客户自备加工筐明细!$G$4:$G$1203,$Z784-4000))),IF($Z784&lt;=5800,IF(ISNUMBER(SEARCH("退",INDEX(次果筐明细!$F$4:$F$603,$Z784-5200)&amp;"")),"",IF(N(INDEX(次果筐明细!$G$4:$G$603,$Z784-5200))=0,"",N(INDEX(次果筐明细!$G$4:$G$603,$Z784-5200)))),"")))))</f>
        <v/>
      </c>
      <c r="P784" s="40" t="str">
        <f>IF($Z784="","",IF($Z784&lt;=2000,"",IF($Z784&lt;=4000,IF(N(INDEX(周转筐出入库明细!$I$4:$I$2004,$Z784-2000))=0,"",N(INDEX(周转筐出入库明细!$I$4:$I$2004,$Z784-2000))),IF($Z784&lt;=5200,"",IF($Z784&lt;=5800,IF(ISNUMBER(SEARCH("退",INDEX(次果筐明细!$F$4:$F$603,$Z784-5200)&amp;"")),IF(N(INDEX(次果筐明细!$G$4:$G$603,$Z784-5200))=0,"",N(INDEX(次果筐明细!$G$4:$G$603,$Z784-5200))),""),"")))))</f>
        <v/>
      </c>
      <c r="Q784" s="40" t="str">
        <f>IF($Z784="","",IF($Z784&lt;=2000,"",IF($Z784&lt;=4000,IF(N(INDEX(周转筐出入库明细!$H$4:$H$2004,$Z784-2000))=0,"",N(INDEX(周转筐出入库明细!$H$4:$H$2004,$Z784-2000))),IF($Z784&lt;=5200,IF(N(INDEX(客户自备加工筐明细!$F$4:$F$1203,$Z784-4000))=0,"",N(INDEX(客户自备加工筐明细!$F$4:$F$1203,$Z784-4000))),IF($Z784&lt;=5800,"","")))))</f>
        <v/>
      </c>
      <c r="R784" s="16" t="str">
        <f>IF($Z784="","",IF($Z784&lt;=2000,IF(INDEX(包装物料出入库明细!$O$4:$O$2003,$Z784-0)=0,"",INDEX(包装物料出入库明细!$O$4:$O$2003,$Z784-0)),IF($Z784&lt;=4000,IF(INDEX(周转筐出入库明细!$M$4:$M$2004,$Z784-2000)=0,"",INDEX(周转筐出入库明细!$M$4:$M$2004,$Z784-2000)),IF($Z784&lt;=5200,IF(INDEX(客户自备加工筐明细!$H$4:$H$1203,$Z784-4000)=0,"",INDEX(客户自备加工筐明细!$H$4:$H$1203,$Z784-4000)),IF($Z784&lt;=5800,IF(INDEX(次果筐明细!$H$4:$H$603,$Z784-5200)=0,"",INDEX(次果筐明细!$H$4:$H$603,$Z784-5200)),"")))))</f>
        <v/>
      </c>
      <c r="S784" s="22" t="str">
        <f t="shared" si="38"/>
        <v/>
      </c>
      <c r="Z784" s="10" t="str">
        <f>IFERROR(MATCH(ROW()-3,_自动清单!$CQ$4:$CQ$5803,0),"")</f>
        <v/>
      </c>
    </row>
    <row r="785" spans="1:26">
      <c r="A785" s="24" t="str">
        <f t="shared" si="36"/>
        <v/>
      </c>
      <c r="B785" s="38" t="str">
        <f>IF($Z785="","",IF($Z785&lt;=2000,IF(INDEX(包装物料出入库明细!$B$4:$B$2003,$Z785-0)=0,"",INDEX(包装物料出入库明细!$B$4:$B$2003,$Z785-0)),IF($Z785&lt;=4000,IF(INDEX(周转筐出入库明细!$B$4:$B$2004,$Z785-2000)=0,"",INDEX(周转筐出入库明细!$B$4:$B$2004,$Z785-2000)),IF($Z785&lt;=5200,IF(INDEX(客户自备加工筐明细!$B$4:$B$1203,$Z785-4000)=0,"",INDEX(客户自备加工筐明细!$B$4:$B$1203,$Z785-4000)),IF($Z785&lt;=5800,IF(INDEX(次果筐明细!$B$4:$B$603,$Z785-5200)=0,"",INDEX(次果筐明细!$B$4:$B$603,$Z785-5200)),"")))))</f>
        <v/>
      </c>
      <c r="C785" s="37" t="str">
        <f>IF($Z785="","",IF($Z785&lt;=2000,IF(INDEX(包装物料出入库明细!$D$4:$D$2003,$Z785-0)=0,"",INDEX(包装物料出入库明细!$D$4:$D$2003,$Z785-0)),IF($Z785&lt;=4000,IF(INDEX(周转筐出入库明细!$C$4:$C$2004,$Z785-2000)=0,"",INDEX(周转筐出入库明细!$C$4:$C$2004,$Z785-2000)),IF($Z785&lt;=5200,IF(INDEX(客户自备加工筐明细!$E$4:$E$1203,$Z785-4000)=0,"",INDEX(客户自备加工筐明细!$E$4:$E$1203,$Z785-4000)),IF($Z785&lt;=5800,IF(INDEX(次果筐明细!$C$4:$C$603,$Z785-5200)=0,"",INDEX(次果筐明细!$C$4:$C$603,$Z785-5200)),"")))))</f>
        <v/>
      </c>
      <c r="D785" s="37" t="str">
        <f>IF($Z785="","",IF($Z785&lt;=2000,"包装物料－"&amp;INDEX(包装物料出入库明细!$H$4:$H$2003,$Z785-0),IF($Z785&lt;=4000,"周转筐－"&amp;INDEX(周转筐出入库明细!$F$4:$F$2004,$Z785-2000),IF($Z785&lt;=5200,"客户自备筐－"&amp;INDEX(客户自备加工筐明细!$J$4:$J$1203,$Z785-4000),IF($Z785&lt;=5800,"次果筐/托盘－"&amp;INDEX(次果筐明细!$F$4:$F$603,$Z785-5200),"")))))</f>
        <v/>
      </c>
      <c r="E785" s="24" t="str">
        <f>IF($Z785="","",IF($Z785&lt;=2000,IF(INDEX(包装物料出入库明细!$C$4:$C$2003,$Z785-0)=0,"",INDEX(包装物料出入库明细!$C$4:$C$2003,$Z785-0)),IF($Z785&lt;=4000,IF(INDEX(周转筐出入库明细!$E$4:$E$2004,$Z785-2000)=0,"",INDEX(周转筐出入库明细!$E$4:$E$2004,$Z785-2000)),IF($Z785&lt;=5200,IF(INDEX(客户自备加工筐明细!$D$4:$D$1203,$Z785-4000)=0,"",INDEX(客户自备加工筐明细!$D$4:$D$1203,$Z785-4000)),IF($Z785&lt;=5800,IF(INDEX(次果筐明细!$E$4:$E$603,$Z785-5200)=0,"",INDEX(次果筐明细!$E$4:$E$603,$Z785-5200)),"")))))</f>
        <v/>
      </c>
      <c r="F785" s="24" t="str">
        <f>IF($Z785="","",IF($Z785&lt;=2000,IF(INDEX(包装物料出入库明细!$E$4:$E$2003,$Z785-0)=0,"",INDEX(包装物料出入库明细!$E$4:$E$2003,$Z785-0)),IF($Z785&lt;=4000,IF(INDEX(周转筐出入库明细!$D$4:$D$2004,$Z785-2000)=0,"",INDEX(周转筐出入库明细!$D$4:$D$2004,$Z785-2000)),IF($Z785&lt;=5200,IF(INDEX(客户自备加工筐明细!$C$4:$C$1203,$Z785-4000)=0,"",INDEX(客户自备加工筐明细!$C$4:$C$1203,$Z785-4000)),IF($Z785&lt;=5800,IF(INDEX(次果筐明细!$D$4:$D$603,$Z785-5200)=0,"",INDEX(次果筐明细!$D$4:$D$603,$Z785-5200)),"")))))</f>
        <v/>
      </c>
      <c r="G785" s="24" t="str">
        <f>IF($Z785="","",IF($Z785&lt;=2000,IF(INDEX(包装物料出入库明细!$F$4:$F$2003,$Z785-0)=0,"",INDEX(包装物料出入库明细!$F$4:$F$2003,$Z785-0)),IF($Z785&lt;=4000,"",IF($Z785&lt;=5200,"",IF($Z785&lt;=5800,"","")))))</f>
        <v/>
      </c>
      <c r="H785" s="39" t="str">
        <f>IF($Z785="","",IF($Z785&lt;=2000,IF(INDEX(包装物料出入库明细!$L$4:$L$2003,$Z785-0)=0,"",INDEX(包装物料出入库明细!$L$4:$L$2003,$Z785-0)),IF($Z785&lt;=4000,N(INDEX(周转筐出入库明细!$H$4:$H$2004,$Z785-2000))+N(INDEX(周转筐出入库明细!$I$4:$I$2004,$Z785-2000))+N(INDEX(周转筐出入库明细!$J$4:$J$2004,$Z785-2000))+N(INDEX(周转筐出入库明细!$K$4:$K$2004,$Z785-2000)),IF($Z785&lt;=5200,N(INDEX(客户自备加工筐明细!$F$4:$F$1203,$Z785-4000))+N(INDEX(客户自备加工筐明细!$G$4:$G$1203,$Z785-4000)),IF($Z785&lt;=5800,IF(INDEX(次果筐明细!$G$4:$G$603,$Z785-5200)=0,"",INDEX(次果筐明细!$G$4:$G$603,$Z785-5200)),"")))))</f>
        <v/>
      </c>
      <c r="I785" s="24" t="str">
        <f>IF($Z785="","",IF($Z785&lt;=2000,IF(INDEX(包装物料出入库明细!$G$4:$G$2003,$Z785-0)=0,"",INDEX(包装物料出入库明细!$G$4:$G$2003,$Z785-0)),IF($Z785&lt;=4000,"个",IF($Z785&lt;=5200,"个",IF($Z785&lt;=5800,"个","")))))</f>
        <v/>
      </c>
      <c r="J785" s="30" t="str">
        <f t="shared" si="37"/>
        <v/>
      </c>
      <c r="K785" s="30" t="str">
        <f>IF($Z785="","",IF($Z785&lt;=2000,IF(INDEX(包装物料出入库明细!$N$4:$N$2003,$Z785-0)=0,"",INDEX(包装物料出入库明细!$N$4:$N$2003,$Z785-0)),IF($Z785&lt;=4000,IF(INDEX(周转筐出入库明细!$P$4:$P$2004,$Z785-2000)=0,"",INDEX(周转筐出入库明细!$P$4:$P$2004,$Z785-2000)),IF($Z785&lt;=5200,"",IF($Z785&lt;=5800,N(INDEX(次果筐明细!$L$4:$L$603,$Z785-5200))+N(INDEX(次果筐明细!$J$4:$J$603,$Z785-5200)),"")))))</f>
        <v/>
      </c>
      <c r="L785" s="24" t="str">
        <f>IF($Z785="","",IF($Z785&lt;=2000,IF(INDEX(包装物料出入库明细!$P$4:$P$2003,$Z785-0)=0,"",INDEX(包装物料出入库明细!$P$4:$P$2003,$Z785-0)),IF($Z785&lt;=4000,IF(INDEX(周转筐出入库明细!$Q$4:$Q$2004,$Z785-2000)=0,"",INDEX(周转筐出入库明细!$Q$4:$Q$2004,$Z785-2000)),IF($Z785&lt;=5200,"",IF($Z785&lt;=5800,IF(INDEX(次果筐明细!$M$4:$M$603,$Z785-5200)=0,"",INDEX(次果筐明细!$M$4:$M$603,$Z785-5200)),"")))))</f>
        <v/>
      </c>
      <c r="M785" s="37" t="str">
        <f>IF($Z785="","",IF($Z785&lt;=2000,IF(INDEX(包装物料出入库明细!$R$4:$R$2003,$Z785-0)=0,"",INDEX(包装物料出入库明细!$R$4:$R$2003,$Z785-0)),IF($Z785&lt;=4000,IF(INDEX(周转筐出入库明细!$W$4:$W$2004,$Z785-2000)=0,"",INDEX(周转筐出入库明细!$W$4:$W$2004,$Z785-2000)),IF($Z785&lt;=5200,IF(INDEX(客户自备加工筐明细!$L$4:$L$1203,$Z785-4000)=0,"",INDEX(客户自备加工筐明细!$L$4:$L$1203,$Z785-4000)),IF($Z785&lt;=5800,IF(INDEX(次果筐明细!$P$4:$P$603,$Z785-5200)=0,"",INDEX(次果筐明细!$P$4:$P$603,$Z785-5200)),"")))))</f>
        <v/>
      </c>
      <c r="N785" s="16" t="str">
        <f>IF($Z785="","",IF($Z785&lt;=2000,"",IF($Z785&lt;=4000,IF(INDEX(周转筐出入库明细!$D$4:$D$2004,$Z785-2000)=0,"",INDEX(周转筐出入库明细!$D$4:$D$2004,$Z785-2000)),IF($Z785&lt;=5200,IF(INDEX(客户自备加工筐明细!$C$4:$C$1203,$Z785-4000)=0,"",INDEX(客户自备加工筐明细!$C$4:$C$1203,$Z785-4000)),IF($Z785&lt;=5800,IF(INDEX(次果筐明细!$D$4:$D$603,$Z785-5200)=0,"",INDEX(次果筐明细!$D$4:$D$603,$Z785-5200)),"")))))</f>
        <v/>
      </c>
      <c r="O785" s="40" t="str">
        <f>IF($Z785="","",IF($Z785&lt;=2000,"",IF($Z785&lt;=4000,IF(N(INDEX(周转筐出入库明细!$J$4:$J$2004,$Z785-2000))+N(INDEX(周转筐出入库明细!$K$4:$K$2004,$Z785-2000))=0,"",N(INDEX(周转筐出入库明细!$J$4:$J$2004,$Z785-2000))+N(INDEX(周转筐出入库明细!$K$4:$K$2004,$Z785-2000))),IF($Z785&lt;=5200,IF(N(INDEX(客户自备加工筐明细!$G$4:$G$1203,$Z785-4000))=0,"",N(INDEX(客户自备加工筐明细!$G$4:$G$1203,$Z785-4000))),IF($Z785&lt;=5800,IF(ISNUMBER(SEARCH("退",INDEX(次果筐明细!$F$4:$F$603,$Z785-5200)&amp;"")),"",IF(N(INDEX(次果筐明细!$G$4:$G$603,$Z785-5200))=0,"",N(INDEX(次果筐明细!$G$4:$G$603,$Z785-5200)))),"")))))</f>
        <v/>
      </c>
      <c r="P785" s="40" t="str">
        <f>IF($Z785="","",IF($Z785&lt;=2000,"",IF($Z785&lt;=4000,IF(N(INDEX(周转筐出入库明细!$I$4:$I$2004,$Z785-2000))=0,"",N(INDEX(周转筐出入库明细!$I$4:$I$2004,$Z785-2000))),IF($Z785&lt;=5200,"",IF($Z785&lt;=5800,IF(ISNUMBER(SEARCH("退",INDEX(次果筐明细!$F$4:$F$603,$Z785-5200)&amp;"")),IF(N(INDEX(次果筐明细!$G$4:$G$603,$Z785-5200))=0,"",N(INDEX(次果筐明细!$G$4:$G$603,$Z785-5200))),""),"")))))</f>
        <v/>
      </c>
      <c r="Q785" s="40" t="str">
        <f>IF($Z785="","",IF($Z785&lt;=2000,"",IF($Z785&lt;=4000,IF(N(INDEX(周转筐出入库明细!$H$4:$H$2004,$Z785-2000))=0,"",N(INDEX(周转筐出入库明细!$H$4:$H$2004,$Z785-2000))),IF($Z785&lt;=5200,IF(N(INDEX(客户自备加工筐明细!$F$4:$F$1203,$Z785-4000))=0,"",N(INDEX(客户自备加工筐明细!$F$4:$F$1203,$Z785-4000))),IF($Z785&lt;=5800,"","")))))</f>
        <v/>
      </c>
      <c r="R785" s="16" t="str">
        <f>IF($Z785="","",IF($Z785&lt;=2000,IF(INDEX(包装物料出入库明细!$O$4:$O$2003,$Z785-0)=0,"",INDEX(包装物料出入库明细!$O$4:$O$2003,$Z785-0)),IF($Z785&lt;=4000,IF(INDEX(周转筐出入库明细!$M$4:$M$2004,$Z785-2000)=0,"",INDEX(周转筐出入库明细!$M$4:$M$2004,$Z785-2000)),IF($Z785&lt;=5200,IF(INDEX(客户自备加工筐明细!$H$4:$H$1203,$Z785-4000)=0,"",INDEX(客户自备加工筐明细!$H$4:$H$1203,$Z785-4000)),IF($Z785&lt;=5800,IF(INDEX(次果筐明细!$H$4:$H$603,$Z785-5200)=0,"",INDEX(次果筐明细!$H$4:$H$603,$Z785-5200)),"")))))</f>
        <v/>
      </c>
      <c r="S785" s="22" t="str">
        <f t="shared" si="38"/>
        <v/>
      </c>
      <c r="Z785" s="10" t="str">
        <f>IFERROR(MATCH(ROW()-3,_自动清单!$CQ$4:$CQ$5803,0),"")</f>
        <v/>
      </c>
    </row>
    <row r="786" spans="1:26">
      <c r="A786" s="24" t="str">
        <f t="shared" si="36"/>
        <v/>
      </c>
      <c r="B786" s="38" t="str">
        <f>IF($Z786="","",IF($Z786&lt;=2000,IF(INDEX(包装物料出入库明细!$B$4:$B$2003,$Z786-0)=0,"",INDEX(包装物料出入库明细!$B$4:$B$2003,$Z786-0)),IF($Z786&lt;=4000,IF(INDEX(周转筐出入库明细!$B$4:$B$2004,$Z786-2000)=0,"",INDEX(周转筐出入库明细!$B$4:$B$2004,$Z786-2000)),IF($Z786&lt;=5200,IF(INDEX(客户自备加工筐明细!$B$4:$B$1203,$Z786-4000)=0,"",INDEX(客户自备加工筐明细!$B$4:$B$1203,$Z786-4000)),IF($Z786&lt;=5800,IF(INDEX(次果筐明细!$B$4:$B$603,$Z786-5200)=0,"",INDEX(次果筐明细!$B$4:$B$603,$Z786-5200)),"")))))</f>
        <v/>
      </c>
      <c r="C786" s="37" t="str">
        <f>IF($Z786="","",IF($Z786&lt;=2000,IF(INDEX(包装物料出入库明细!$D$4:$D$2003,$Z786-0)=0,"",INDEX(包装物料出入库明细!$D$4:$D$2003,$Z786-0)),IF($Z786&lt;=4000,IF(INDEX(周转筐出入库明细!$C$4:$C$2004,$Z786-2000)=0,"",INDEX(周转筐出入库明细!$C$4:$C$2004,$Z786-2000)),IF($Z786&lt;=5200,IF(INDEX(客户自备加工筐明细!$E$4:$E$1203,$Z786-4000)=0,"",INDEX(客户自备加工筐明细!$E$4:$E$1203,$Z786-4000)),IF($Z786&lt;=5800,IF(INDEX(次果筐明细!$C$4:$C$603,$Z786-5200)=0,"",INDEX(次果筐明细!$C$4:$C$603,$Z786-5200)),"")))))</f>
        <v/>
      </c>
      <c r="D786" s="37" t="str">
        <f>IF($Z786="","",IF($Z786&lt;=2000,"包装物料－"&amp;INDEX(包装物料出入库明细!$H$4:$H$2003,$Z786-0),IF($Z786&lt;=4000,"周转筐－"&amp;INDEX(周转筐出入库明细!$F$4:$F$2004,$Z786-2000),IF($Z786&lt;=5200,"客户自备筐－"&amp;INDEX(客户自备加工筐明细!$J$4:$J$1203,$Z786-4000),IF($Z786&lt;=5800,"次果筐/托盘－"&amp;INDEX(次果筐明细!$F$4:$F$603,$Z786-5200),"")))))</f>
        <v/>
      </c>
      <c r="E786" s="24" t="str">
        <f>IF($Z786="","",IF($Z786&lt;=2000,IF(INDEX(包装物料出入库明细!$C$4:$C$2003,$Z786-0)=0,"",INDEX(包装物料出入库明细!$C$4:$C$2003,$Z786-0)),IF($Z786&lt;=4000,IF(INDEX(周转筐出入库明细!$E$4:$E$2004,$Z786-2000)=0,"",INDEX(周转筐出入库明细!$E$4:$E$2004,$Z786-2000)),IF($Z786&lt;=5200,IF(INDEX(客户自备加工筐明细!$D$4:$D$1203,$Z786-4000)=0,"",INDEX(客户自备加工筐明细!$D$4:$D$1203,$Z786-4000)),IF($Z786&lt;=5800,IF(INDEX(次果筐明细!$E$4:$E$603,$Z786-5200)=0,"",INDEX(次果筐明细!$E$4:$E$603,$Z786-5200)),"")))))</f>
        <v/>
      </c>
      <c r="F786" s="24" t="str">
        <f>IF($Z786="","",IF($Z786&lt;=2000,IF(INDEX(包装物料出入库明细!$E$4:$E$2003,$Z786-0)=0,"",INDEX(包装物料出入库明细!$E$4:$E$2003,$Z786-0)),IF($Z786&lt;=4000,IF(INDEX(周转筐出入库明细!$D$4:$D$2004,$Z786-2000)=0,"",INDEX(周转筐出入库明细!$D$4:$D$2004,$Z786-2000)),IF($Z786&lt;=5200,IF(INDEX(客户自备加工筐明细!$C$4:$C$1203,$Z786-4000)=0,"",INDEX(客户自备加工筐明细!$C$4:$C$1203,$Z786-4000)),IF($Z786&lt;=5800,IF(INDEX(次果筐明细!$D$4:$D$603,$Z786-5200)=0,"",INDEX(次果筐明细!$D$4:$D$603,$Z786-5200)),"")))))</f>
        <v/>
      </c>
      <c r="G786" s="24" t="str">
        <f>IF($Z786="","",IF($Z786&lt;=2000,IF(INDEX(包装物料出入库明细!$F$4:$F$2003,$Z786-0)=0,"",INDEX(包装物料出入库明细!$F$4:$F$2003,$Z786-0)),IF($Z786&lt;=4000,"",IF($Z786&lt;=5200,"",IF($Z786&lt;=5800,"","")))))</f>
        <v/>
      </c>
      <c r="H786" s="39" t="str">
        <f>IF($Z786="","",IF($Z786&lt;=2000,IF(INDEX(包装物料出入库明细!$L$4:$L$2003,$Z786-0)=0,"",INDEX(包装物料出入库明细!$L$4:$L$2003,$Z786-0)),IF($Z786&lt;=4000,N(INDEX(周转筐出入库明细!$H$4:$H$2004,$Z786-2000))+N(INDEX(周转筐出入库明细!$I$4:$I$2004,$Z786-2000))+N(INDEX(周转筐出入库明细!$J$4:$J$2004,$Z786-2000))+N(INDEX(周转筐出入库明细!$K$4:$K$2004,$Z786-2000)),IF($Z786&lt;=5200,N(INDEX(客户自备加工筐明细!$F$4:$F$1203,$Z786-4000))+N(INDEX(客户自备加工筐明细!$G$4:$G$1203,$Z786-4000)),IF($Z786&lt;=5800,IF(INDEX(次果筐明细!$G$4:$G$603,$Z786-5200)=0,"",INDEX(次果筐明细!$G$4:$G$603,$Z786-5200)),"")))))</f>
        <v/>
      </c>
      <c r="I786" s="24" t="str">
        <f>IF($Z786="","",IF($Z786&lt;=2000,IF(INDEX(包装物料出入库明细!$G$4:$G$2003,$Z786-0)=0,"",INDEX(包装物料出入库明细!$G$4:$G$2003,$Z786-0)),IF($Z786&lt;=4000,"个",IF($Z786&lt;=5200,"个",IF($Z786&lt;=5800,"个","")))))</f>
        <v/>
      </c>
      <c r="J786" s="30" t="str">
        <f t="shared" si="37"/>
        <v/>
      </c>
      <c r="K786" s="30" t="str">
        <f>IF($Z786="","",IF($Z786&lt;=2000,IF(INDEX(包装物料出入库明细!$N$4:$N$2003,$Z786-0)=0,"",INDEX(包装物料出入库明细!$N$4:$N$2003,$Z786-0)),IF($Z786&lt;=4000,IF(INDEX(周转筐出入库明细!$P$4:$P$2004,$Z786-2000)=0,"",INDEX(周转筐出入库明细!$P$4:$P$2004,$Z786-2000)),IF($Z786&lt;=5200,"",IF($Z786&lt;=5800,N(INDEX(次果筐明细!$L$4:$L$603,$Z786-5200))+N(INDEX(次果筐明细!$J$4:$J$603,$Z786-5200)),"")))))</f>
        <v/>
      </c>
      <c r="L786" s="24" t="str">
        <f>IF($Z786="","",IF($Z786&lt;=2000,IF(INDEX(包装物料出入库明细!$P$4:$P$2003,$Z786-0)=0,"",INDEX(包装物料出入库明细!$P$4:$P$2003,$Z786-0)),IF($Z786&lt;=4000,IF(INDEX(周转筐出入库明细!$Q$4:$Q$2004,$Z786-2000)=0,"",INDEX(周转筐出入库明细!$Q$4:$Q$2004,$Z786-2000)),IF($Z786&lt;=5200,"",IF($Z786&lt;=5800,IF(INDEX(次果筐明细!$M$4:$M$603,$Z786-5200)=0,"",INDEX(次果筐明细!$M$4:$M$603,$Z786-5200)),"")))))</f>
        <v/>
      </c>
      <c r="M786" s="37" t="str">
        <f>IF($Z786="","",IF($Z786&lt;=2000,IF(INDEX(包装物料出入库明细!$R$4:$R$2003,$Z786-0)=0,"",INDEX(包装物料出入库明细!$R$4:$R$2003,$Z786-0)),IF($Z786&lt;=4000,IF(INDEX(周转筐出入库明细!$W$4:$W$2004,$Z786-2000)=0,"",INDEX(周转筐出入库明细!$W$4:$W$2004,$Z786-2000)),IF($Z786&lt;=5200,IF(INDEX(客户自备加工筐明细!$L$4:$L$1203,$Z786-4000)=0,"",INDEX(客户自备加工筐明细!$L$4:$L$1203,$Z786-4000)),IF($Z786&lt;=5800,IF(INDEX(次果筐明细!$P$4:$P$603,$Z786-5200)=0,"",INDEX(次果筐明细!$P$4:$P$603,$Z786-5200)),"")))))</f>
        <v/>
      </c>
      <c r="N786" s="16" t="str">
        <f>IF($Z786="","",IF($Z786&lt;=2000,"",IF($Z786&lt;=4000,IF(INDEX(周转筐出入库明细!$D$4:$D$2004,$Z786-2000)=0,"",INDEX(周转筐出入库明细!$D$4:$D$2004,$Z786-2000)),IF($Z786&lt;=5200,IF(INDEX(客户自备加工筐明细!$C$4:$C$1203,$Z786-4000)=0,"",INDEX(客户自备加工筐明细!$C$4:$C$1203,$Z786-4000)),IF($Z786&lt;=5800,IF(INDEX(次果筐明细!$D$4:$D$603,$Z786-5200)=0,"",INDEX(次果筐明细!$D$4:$D$603,$Z786-5200)),"")))))</f>
        <v/>
      </c>
      <c r="O786" s="40" t="str">
        <f>IF($Z786="","",IF($Z786&lt;=2000,"",IF($Z786&lt;=4000,IF(N(INDEX(周转筐出入库明细!$J$4:$J$2004,$Z786-2000))+N(INDEX(周转筐出入库明细!$K$4:$K$2004,$Z786-2000))=0,"",N(INDEX(周转筐出入库明细!$J$4:$J$2004,$Z786-2000))+N(INDEX(周转筐出入库明细!$K$4:$K$2004,$Z786-2000))),IF($Z786&lt;=5200,IF(N(INDEX(客户自备加工筐明细!$G$4:$G$1203,$Z786-4000))=0,"",N(INDEX(客户自备加工筐明细!$G$4:$G$1203,$Z786-4000))),IF($Z786&lt;=5800,IF(ISNUMBER(SEARCH("退",INDEX(次果筐明细!$F$4:$F$603,$Z786-5200)&amp;"")),"",IF(N(INDEX(次果筐明细!$G$4:$G$603,$Z786-5200))=0,"",N(INDEX(次果筐明细!$G$4:$G$603,$Z786-5200)))),"")))))</f>
        <v/>
      </c>
      <c r="P786" s="40" t="str">
        <f>IF($Z786="","",IF($Z786&lt;=2000,"",IF($Z786&lt;=4000,IF(N(INDEX(周转筐出入库明细!$I$4:$I$2004,$Z786-2000))=0,"",N(INDEX(周转筐出入库明细!$I$4:$I$2004,$Z786-2000))),IF($Z786&lt;=5200,"",IF($Z786&lt;=5800,IF(ISNUMBER(SEARCH("退",INDEX(次果筐明细!$F$4:$F$603,$Z786-5200)&amp;"")),IF(N(INDEX(次果筐明细!$G$4:$G$603,$Z786-5200))=0,"",N(INDEX(次果筐明细!$G$4:$G$603,$Z786-5200))),""),"")))))</f>
        <v/>
      </c>
      <c r="Q786" s="40" t="str">
        <f>IF($Z786="","",IF($Z786&lt;=2000,"",IF($Z786&lt;=4000,IF(N(INDEX(周转筐出入库明细!$H$4:$H$2004,$Z786-2000))=0,"",N(INDEX(周转筐出入库明细!$H$4:$H$2004,$Z786-2000))),IF($Z786&lt;=5200,IF(N(INDEX(客户自备加工筐明细!$F$4:$F$1203,$Z786-4000))=0,"",N(INDEX(客户自备加工筐明细!$F$4:$F$1203,$Z786-4000))),IF($Z786&lt;=5800,"","")))))</f>
        <v/>
      </c>
      <c r="R786" s="16" t="str">
        <f>IF($Z786="","",IF($Z786&lt;=2000,IF(INDEX(包装物料出入库明细!$O$4:$O$2003,$Z786-0)=0,"",INDEX(包装物料出入库明细!$O$4:$O$2003,$Z786-0)),IF($Z786&lt;=4000,IF(INDEX(周转筐出入库明细!$M$4:$M$2004,$Z786-2000)=0,"",INDEX(周转筐出入库明细!$M$4:$M$2004,$Z786-2000)),IF($Z786&lt;=5200,IF(INDEX(客户自备加工筐明细!$H$4:$H$1203,$Z786-4000)=0,"",INDEX(客户自备加工筐明细!$H$4:$H$1203,$Z786-4000)),IF($Z786&lt;=5800,IF(INDEX(次果筐明细!$H$4:$H$603,$Z786-5200)=0,"",INDEX(次果筐明细!$H$4:$H$603,$Z786-5200)),"")))))</f>
        <v/>
      </c>
      <c r="S786" s="22" t="str">
        <f t="shared" si="38"/>
        <v/>
      </c>
      <c r="Z786" s="10" t="str">
        <f>IFERROR(MATCH(ROW()-3,_自动清单!$CQ$4:$CQ$5803,0),"")</f>
        <v/>
      </c>
    </row>
    <row r="787" spans="1:26">
      <c r="A787" s="24" t="str">
        <f t="shared" si="36"/>
        <v/>
      </c>
      <c r="B787" s="38" t="str">
        <f>IF($Z787="","",IF($Z787&lt;=2000,IF(INDEX(包装物料出入库明细!$B$4:$B$2003,$Z787-0)=0,"",INDEX(包装物料出入库明细!$B$4:$B$2003,$Z787-0)),IF($Z787&lt;=4000,IF(INDEX(周转筐出入库明细!$B$4:$B$2004,$Z787-2000)=0,"",INDEX(周转筐出入库明细!$B$4:$B$2004,$Z787-2000)),IF($Z787&lt;=5200,IF(INDEX(客户自备加工筐明细!$B$4:$B$1203,$Z787-4000)=0,"",INDEX(客户自备加工筐明细!$B$4:$B$1203,$Z787-4000)),IF($Z787&lt;=5800,IF(INDEX(次果筐明细!$B$4:$B$603,$Z787-5200)=0,"",INDEX(次果筐明细!$B$4:$B$603,$Z787-5200)),"")))))</f>
        <v/>
      </c>
      <c r="C787" s="37" t="str">
        <f>IF($Z787="","",IF($Z787&lt;=2000,IF(INDEX(包装物料出入库明细!$D$4:$D$2003,$Z787-0)=0,"",INDEX(包装物料出入库明细!$D$4:$D$2003,$Z787-0)),IF($Z787&lt;=4000,IF(INDEX(周转筐出入库明细!$C$4:$C$2004,$Z787-2000)=0,"",INDEX(周转筐出入库明细!$C$4:$C$2004,$Z787-2000)),IF($Z787&lt;=5200,IF(INDEX(客户自备加工筐明细!$E$4:$E$1203,$Z787-4000)=0,"",INDEX(客户自备加工筐明细!$E$4:$E$1203,$Z787-4000)),IF($Z787&lt;=5800,IF(INDEX(次果筐明细!$C$4:$C$603,$Z787-5200)=0,"",INDEX(次果筐明细!$C$4:$C$603,$Z787-5200)),"")))))</f>
        <v/>
      </c>
      <c r="D787" s="37" t="str">
        <f>IF($Z787="","",IF($Z787&lt;=2000,"包装物料－"&amp;INDEX(包装物料出入库明细!$H$4:$H$2003,$Z787-0),IF($Z787&lt;=4000,"周转筐－"&amp;INDEX(周转筐出入库明细!$F$4:$F$2004,$Z787-2000),IF($Z787&lt;=5200,"客户自备筐－"&amp;INDEX(客户自备加工筐明细!$J$4:$J$1203,$Z787-4000),IF($Z787&lt;=5800,"次果筐/托盘－"&amp;INDEX(次果筐明细!$F$4:$F$603,$Z787-5200),"")))))</f>
        <v/>
      </c>
      <c r="E787" s="24" t="str">
        <f>IF($Z787="","",IF($Z787&lt;=2000,IF(INDEX(包装物料出入库明细!$C$4:$C$2003,$Z787-0)=0,"",INDEX(包装物料出入库明细!$C$4:$C$2003,$Z787-0)),IF($Z787&lt;=4000,IF(INDEX(周转筐出入库明细!$E$4:$E$2004,$Z787-2000)=0,"",INDEX(周转筐出入库明细!$E$4:$E$2004,$Z787-2000)),IF($Z787&lt;=5200,IF(INDEX(客户自备加工筐明细!$D$4:$D$1203,$Z787-4000)=0,"",INDEX(客户自备加工筐明细!$D$4:$D$1203,$Z787-4000)),IF($Z787&lt;=5800,IF(INDEX(次果筐明细!$E$4:$E$603,$Z787-5200)=0,"",INDEX(次果筐明细!$E$4:$E$603,$Z787-5200)),"")))))</f>
        <v/>
      </c>
      <c r="F787" s="24" t="str">
        <f>IF($Z787="","",IF($Z787&lt;=2000,IF(INDEX(包装物料出入库明细!$E$4:$E$2003,$Z787-0)=0,"",INDEX(包装物料出入库明细!$E$4:$E$2003,$Z787-0)),IF($Z787&lt;=4000,IF(INDEX(周转筐出入库明细!$D$4:$D$2004,$Z787-2000)=0,"",INDEX(周转筐出入库明细!$D$4:$D$2004,$Z787-2000)),IF($Z787&lt;=5200,IF(INDEX(客户自备加工筐明细!$C$4:$C$1203,$Z787-4000)=0,"",INDEX(客户自备加工筐明细!$C$4:$C$1203,$Z787-4000)),IF($Z787&lt;=5800,IF(INDEX(次果筐明细!$D$4:$D$603,$Z787-5200)=0,"",INDEX(次果筐明细!$D$4:$D$603,$Z787-5200)),"")))))</f>
        <v/>
      </c>
      <c r="G787" s="24" t="str">
        <f>IF($Z787="","",IF($Z787&lt;=2000,IF(INDEX(包装物料出入库明细!$F$4:$F$2003,$Z787-0)=0,"",INDEX(包装物料出入库明细!$F$4:$F$2003,$Z787-0)),IF($Z787&lt;=4000,"",IF($Z787&lt;=5200,"",IF($Z787&lt;=5800,"","")))))</f>
        <v/>
      </c>
      <c r="H787" s="39" t="str">
        <f>IF($Z787="","",IF($Z787&lt;=2000,IF(INDEX(包装物料出入库明细!$L$4:$L$2003,$Z787-0)=0,"",INDEX(包装物料出入库明细!$L$4:$L$2003,$Z787-0)),IF($Z787&lt;=4000,N(INDEX(周转筐出入库明细!$H$4:$H$2004,$Z787-2000))+N(INDEX(周转筐出入库明细!$I$4:$I$2004,$Z787-2000))+N(INDEX(周转筐出入库明细!$J$4:$J$2004,$Z787-2000))+N(INDEX(周转筐出入库明细!$K$4:$K$2004,$Z787-2000)),IF($Z787&lt;=5200,N(INDEX(客户自备加工筐明细!$F$4:$F$1203,$Z787-4000))+N(INDEX(客户自备加工筐明细!$G$4:$G$1203,$Z787-4000)),IF($Z787&lt;=5800,IF(INDEX(次果筐明细!$G$4:$G$603,$Z787-5200)=0,"",INDEX(次果筐明细!$G$4:$G$603,$Z787-5200)),"")))))</f>
        <v/>
      </c>
      <c r="I787" s="24" t="str">
        <f>IF($Z787="","",IF($Z787&lt;=2000,IF(INDEX(包装物料出入库明细!$G$4:$G$2003,$Z787-0)=0,"",INDEX(包装物料出入库明细!$G$4:$G$2003,$Z787-0)),IF($Z787&lt;=4000,"个",IF($Z787&lt;=5200,"个",IF($Z787&lt;=5800,"个","")))))</f>
        <v/>
      </c>
      <c r="J787" s="30" t="str">
        <f t="shared" si="37"/>
        <v/>
      </c>
      <c r="K787" s="30" t="str">
        <f>IF($Z787="","",IF($Z787&lt;=2000,IF(INDEX(包装物料出入库明细!$N$4:$N$2003,$Z787-0)=0,"",INDEX(包装物料出入库明细!$N$4:$N$2003,$Z787-0)),IF($Z787&lt;=4000,IF(INDEX(周转筐出入库明细!$P$4:$P$2004,$Z787-2000)=0,"",INDEX(周转筐出入库明细!$P$4:$P$2004,$Z787-2000)),IF($Z787&lt;=5200,"",IF($Z787&lt;=5800,N(INDEX(次果筐明细!$L$4:$L$603,$Z787-5200))+N(INDEX(次果筐明细!$J$4:$J$603,$Z787-5200)),"")))))</f>
        <v/>
      </c>
      <c r="L787" s="24" t="str">
        <f>IF($Z787="","",IF($Z787&lt;=2000,IF(INDEX(包装物料出入库明细!$P$4:$P$2003,$Z787-0)=0,"",INDEX(包装物料出入库明细!$P$4:$P$2003,$Z787-0)),IF($Z787&lt;=4000,IF(INDEX(周转筐出入库明细!$Q$4:$Q$2004,$Z787-2000)=0,"",INDEX(周转筐出入库明细!$Q$4:$Q$2004,$Z787-2000)),IF($Z787&lt;=5200,"",IF($Z787&lt;=5800,IF(INDEX(次果筐明细!$M$4:$M$603,$Z787-5200)=0,"",INDEX(次果筐明细!$M$4:$M$603,$Z787-5200)),"")))))</f>
        <v/>
      </c>
      <c r="M787" s="37" t="str">
        <f>IF($Z787="","",IF($Z787&lt;=2000,IF(INDEX(包装物料出入库明细!$R$4:$R$2003,$Z787-0)=0,"",INDEX(包装物料出入库明细!$R$4:$R$2003,$Z787-0)),IF($Z787&lt;=4000,IF(INDEX(周转筐出入库明细!$W$4:$W$2004,$Z787-2000)=0,"",INDEX(周转筐出入库明细!$W$4:$W$2004,$Z787-2000)),IF($Z787&lt;=5200,IF(INDEX(客户自备加工筐明细!$L$4:$L$1203,$Z787-4000)=0,"",INDEX(客户自备加工筐明细!$L$4:$L$1203,$Z787-4000)),IF($Z787&lt;=5800,IF(INDEX(次果筐明细!$P$4:$P$603,$Z787-5200)=0,"",INDEX(次果筐明细!$P$4:$P$603,$Z787-5200)),"")))))</f>
        <v/>
      </c>
      <c r="N787" s="16" t="str">
        <f>IF($Z787="","",IF($Z787&lt;=2000,"",IF($Z787&lt;=4000,IF(INDEX(周转筐出入库明细!$D$4:$D$2004,$Z787-2000)=0,"",INDEX(周转筐出入库明细!$D$4:$D$2004,$Z787-2000)),IF($Z787&lt;=5200,IF(INDEX(客户自备加工筐明细!$C$4:$C$1203,$Z787-4000)=0,"",INDEX(客户自备加工筐明细!$C$4:$C$1203,$Z787-4000)),IF($Z787&lt;=5800,IF(INDEX(次果筐明细!$D$4:$D$603,$Z787-5200)=0,"",INDEX(次果筐明细!$D$4:$D$603,$Z787-5200)),"")))))</f>
        <v/>
      </c>
      <c r="O787" s="40" t="str">
        <f>IF($Z787="","",IF($Z787&lt;=2000,"",IF($Z787&lt;=4000,IF(N(INDEX(周转筐出入库明细!$J$4:$J$2004,$Z787-2000))+N(INDEX(周转筐出入库明细!$K$4:$K$2004,$Z787-2000))=0,"",N(INDEX(周转筐出入库明细!$J$4:$J$2004,$Z787-2000))+N(INDEX(周转筐出入库明细!$K$4:$K$2004,$Z787-2000))),IF($Z787&lt;=5200,IF(N(INDEX(客户自备加工筐明细!$G$4:$G$1203,$Z787-4000))=0,"",N(INDEX(客户自备加工筐明细!$G$4:$G$1203,$Z787-4000))),IF($Z787&lt;=5800,IF(ISNUMBER(SEARCH("退",INDEX(次果筐明细!$F$4:$F$603,$Z787-5200)&amp;"")),"",IF(N(INDEX(次果筐明细!$G$4:$G$603,$Z787-5200))=0,"",N(INDEX(次果筐明细!$G$4:$G$603,$Z787-5200)))),"")))))</f>
        <v/>
      </c>
      <c r="P787" s="40" t="str">
        <f>IF($Z787="","",IF($Z787&lt;=2000,"",IF($Z787&lt;=4000,IF(N(INDEX(周转筐出入库明细!$I$4:$I$2004,$Z787-2000))=0,"",N(INDEX(周转筐出入库明细!$I$4:$I$2004,$Z787-2000))),IF($Z787&lt;=5200,"",IF($Z787&lt;=5800,IF(ISNUMBER(SEARCH("退",INDEX(次果筐明细!$F$4:$F$603,$Z787-5200)&amp;"")),IF(N(INDEX(次果筐明细!$G$4:$G$603,$Z787-5200))=0,"",N(INDEX(次果筐明细!$G$4:$G$603,$Z787-5200))),""),"")))))</f>
        <v/>
      </c>
      <c r="Q787" s="40" t="str">
        <f>IF($Z787="","",IF($Z787&lt;=2000,"",IF($Z787&lt;=4000,IF(N(INDEX(周转筐出入库明细!$H$4:$H$2004,$Z787-2000))=0,"",N(INDEX(周转筐出入库明细!$H$4:$H$2004,$Z787-2000))),IF($Z787&lt;=5200,IF(N(INDEX(客户自备加工筐明细!$F$4:$F$1203,$Z787-4000))=0,"",N(INDEX(客户自备加工筐明细!$F$4:$F$1203,$Z787-4000))),IF($Z787&lt;=5800,"","")))))</f>
        <v/>
      </c>
      <c r="R787" s="16" t="str">
        <f>IF($Z787="","",IF($Z787&lt;=2000,IF(INDEX(包装物料出入库明细!$O$4:$O$2003,$Z787-0)=0,"",INDEX(包装物料出入库明细!$O$4:$O$2003,$Z787-0)),IF($Z787&lt;=4000,IF(INDEX(周转筐出入库明细!$M$4:$M$2004,$Z787-2000)=0,"",INDEX(周转筐出入库明细!$M$4:$M$2004,$Z787-2000)),IF($Z787&lt;=5200,IF(INDEX(客户自备加工筐明细!$H$4:$H$1203,$Z787-4000)=0,"",INDEX(客户自备加工筐明细!$H$4:$H$1203,$Z787-4000)),IF($Z787&lt;=5800,IF(INDEX(次果筐明细!$H$4:$H$603,$Z787-5200)=0,"",INDEX(次果筐明细!$H$4:$H$603,$Z787-5200)),"")))))</f>
        <v/>
      </c>
      <c r="S787" s="22" t="str">
        <f t="shared" si="38"/>
        <v/>
      </c>
      <c r="Z787" s="10" t="str">
        <f>IFERROR(MATCH(ROW()-3,_自动清单!$CQ$4:$CQ$5803,0),"")</f>
        <v/>
      </c>
    </row>
    <row r="788" spans="1:26">
      <c r="A788" s="24" t="str">
        <f t="shared" si="36"/>
        <v/>
      </c>
      <c r="B788" s="38" t="str">
        <f>IF($Z788="","",IF($Z788&lt;=2000,IF(INDEX(包装物料出入库明细!$B$4:$B$2003,$Z788-0)=0,"",INDEX(包装物料出入库明细!$B$4:$B$2003,$Z788-0)),IF($Z788&lt;=4000,IF(INDEX(周转筐出入库明细!$B$4:$B$2004,$Z788-2000)=0,"",INDEX(周转筐出入库明细!$B$4:$B$2004,$Z788-2000)),IF($Z788&lt;=5200,IF(INDEX(客户自备加工筐明细!$B$4:$B$1203,$Z788-4000)=0,"",INDEX(客户自备加工筐明细!$B$4:$B$1203,$Z788-4000)),IF($Z788&lt;=5800,IF(INDEX(次果筐明细!$B$4:$B$603,$Z788-5200)=0,"",INDEX(次果筐明细!$B$4:$B$603,$Z788-5200)),"")))))</f>
        <v/>
      </c>
      <c r="C788" s="37" t="str">
        <f>IF($Z788="","",IF($Z788&lt;=2000,IF(INDEX(包装物料出入库明细!$D$4:$D$2003,$Z788-0)=0,"",INDEX(包装物料出入库明细!$D$4:$D$2003,$Z788-0)),IF($Z788&lt;=4000,IF(INDEX(周转筐出入库明细!$C$4:$C$2004,$Z788-2000)=0,"",INDEX(周转筐出入库明细!$C$4:$C$2004,$Z788-2000)),IF($Z788&lt;=5200,IF(INDEX(客户自备加工筐明细!$E$4:$E$1203,$Z788-4000)=0,"",INDEX(客户自备加工筐明细!$E$4:$E$1203,$Z788-4000)),IF($Z788&lt;=5800,IF(INDEX(次果筐明细!$C$4:$C$603,$Z788-5200)=0,"",INDEX(次果筐明细!$C$4:$C$603,$Z788-5200)),"")))))</f>
        <v/>
      </c>
      <c r="D788" s="37" t="str">
        <f>IF($Z788="","",IF($Z788&lt;=2000,"包装物料－"&amp;INDEX(包装物料出入库明细!$H$4:$H$2003,$Z788-0),IF($Z788&lt;=4000,"周转筐－"&amp;INDEX(周转筐出入库明细!$F$4:$F$2004,$Z788-2000),IF($Z788&lt;=5200,"客户自备筐－"&amp;INDEX(客户自备加工筐明细!$J$4:$J$1203,$Z788-4000),IF($Z788&lt;=5800,"次果筐/托盘－"&amp;INDEX(次果筐明细!$F$4:$F$603,$Z788-5200),"")))))</f>
        <v/>
      </c>
      <c r="E788" s="24" t="str">
        <f>IF($Z788="","",IF($Z788&lt;=2000,IF(INDEX(包装物料出入库明细!$C$4:$C$2003,$Z788-0)=0,"",INDEX(包装物料出入库明细!$C$4:$C$2003,$Z788-0)),IF($Z788&lt;=4000,IF(INDEX(周转筐出入库明细!$E$4:$E$2004,$Z788-2000)=0,"",INDEX(周转筐出入库明细!$E$4:$E$2004,$Z788-2000)),IF($Z788&lt;=5200,IF(INDEX(客户自备加工筐明细!$D$4:$D$1203,$Z788-4000)=0,"",INDEX(客户自备加工筐明细!$D$4:$D$1203,$Z788-4000)),IF($Z788&lt;=5800,IF(INDEX(次果筐明细!$E$4:$E$603,$Z788-5200)=0,"",INDEX(次果筐明细!$E$4:$E$603,$Z788-5200)),"")))))</f>
        <v/>
      </c>
      <c r="F788" s="24" t="str">
        <f>IF($Z788="","",IF($Z788&lt;=2000,IF(INDEX(包装物料出入库明细!$E$4:$E$2003,$Z788-0)=0,"",INDEX(包装物料出入库明细!$E$4:$E$2003,$Z788-0)),IF($Z788&lt;=4000,IF(INDEX(周转筐出入库明细!$D$4:$D$2004,$Z788-2000)=0,"",INDEX(周转筐出入库明细!$D$4:$D$2004,$Z788-2000)),IF($Z788&lt;=5200,IF(INDEX(客户自备加工筐明细!$C$4:$C$1203,$Z788-4000)=0,"",INDEX(客户自备加工筐明细!$C$4:$C$1203,$Z788-4000)),IF($Z788&lt;=5800,IF(INDEX(次果筐明细!$D$4:$D$603,$Z788-5200)=0,"",INDEX(次果筐明细!$D$4:$D$603,$Z788-5200)),"")))))</f>
        <v/>
      </c>
      <c r="G788" s="24" t="str">
        <f>IF($Z788="","",IF($Z788&lt;=2000,IF(INDEX(包装物料出入库明细!$F$4:$F$2003,$Z788-0)=0,"",INDEX(包装物料出入库明细!$F$4:$F$2003,$Z788-0)),IF($Z788&lt;=4000,"",IF($Z788&lt;=5200,"",IF($Z788&lt;=5800,"","")))))</f>
        <v/>
      </c>
      <c r="H788" s="39" t="str">
        <f>IF($Z788="","",IF($Z788&lt;=2000,IF(INDEX(包装物料出入库明细!$L$4:$L$2003,$Z788-0)=0,"",INDEX(包装物料出入库明细!$L$4:$L$2003,$Z788-0)),IF($Z788&lt;=4000,N(INDEX(周转筐出入库明细!$H$4:$H$2004,$Z788-2000))+N(INDEX(周转筐出入库明细!$I$4:$I$2004,$Z788-2000))+N(INDEX(周转筐出入库明细!$J$4:$J$2004,$Z788-2000))+N(INDEX(周转筐出入库明细!$K$4:$K$2004,$Z788-2000)),IF($Z788&lt;=5200,N(INDEX(客户自备加工筐明细!$F$4:$F$1203,$Z788-4000))+N(INDEX(客户自备加工筐明细!$G$4:$G$1203,$Z788-4000)),IF($Z788&lt;=5800,IF(INDEX(次果筐明细!$G$4:$G$603,$Z788-5200)=0,"",INDEX(次果筐明细!$G$4:$G$603,$Z788-5200)),"")))))</f>
        <v/>
      </c>
      <c r="I788" s="24" t="str">
        <f>IF($Z788="","",IF($Z788&lt;=2000,IF(INDEX(包装物料出入库明细!$G$4:$G$2003,$Z788-0)=0,"",INDEX(包装物料出入库明细!$G$4:$G$2003,$Z788-0)),IF($Z788&lt;=4000,"个",IF($Z788&lt;=5200,"个",IF($Z788&lt;=5800,"个","")))))</f>
        <v/>
      </c>
      <c r="J788" s="30" t="str">
        <f t="shared" si="37"/>
        <v/>
      </c>
      <c r="K788" s="30" t="str">
        <f>IF($Z788="","",IF($Z788&lt;=2000,IF(INDEX(包装物料出入库明细!$N$4:$N$2003,$Z788-0)=0,"",INDEX(包装物料出入库明细!$N$4:$N$2003,$Z788-0)),IF($Z788&lt;=4000,IF(INDEX(周转筐出入库明细!$P$4:$P$2004,$Z788-2000)=0,"",INDEX(周转筐出入库明细!$P$4:$P$2004,$Z788-2000)),IF($Z788&lt;=5200,"",IF($Z788&lt;=5800,N(INDEX(次果筐明细!$L$4:$L$603,$Z788-5200))+N(INDEX(次果筐明细!$J$4:$J$603,$Z788-5200)),"")))))</f>
        <v/>
      </c>
      <c r="L788" s="24" t="str">
        <f>IF($Z788="","",IF($Z788&lt;=2000,IF(INDEX(包装物料出入库明细!$P$4:$P$2003,$Z788-0)=0,"",INDEX(包装物料出入库明细!$P$4:$P$2003,$Z788-0)),IF($Z788&lt;=4000,IF(INDEX(周转筐出入库明细!$Q$4:$Q$2004,$Z788-2000)=0,"",INDEX(周转筐出入库明细!$Q$4:$Q$2004,$Z788-2000)),IF($Z788&lt;=5200,"",IF($Z788&lt;=5800,IF(INDEX(次果筐明细!$M$4:$M$603,$Z788-5200)=0,"",INDEX(次果筐明细!$M$4:$M$603,$Z788-5200)),"")))))</f>
        <v/>
      </c>
      <c r="M788" s="37" t="str">
        <f>IF($Z788="","",IF($Z788&lt;=2000,IF(INDEX(包装物料出入库明细!$R$4:$R$2003,$Z788-0)=0,"",INDEX(包装物料出入库明细!$R$4:$R$2003,$Z788-0)),IF($Z788&lt;=4000,IF(INDEX(周转筐出入库明细!$W$4:$W$2004,$Z788-2000)=0,"",INDEX(周转筐出入库明细!$W$4:$W$2004,$Z788-2000)),IF($Z788&lt;=5200,IF(INDEX(客户自备加工筐明细!$L$4:$L$1203,$Z788-4000)=0,"",INDEX(客户自备加工筐明细!$L$4:$L$1203,$Z788-4000)),IF($Z788&lt;=5800,IF(INDEX(次果筐明细!$P$4:$P$603,$Z788-5200)=0,"",INDEX(次果筐明细!$P$4:$P$603,$Z788-5200)),"")))))</f>
        <v/>
      </c>
      <c r="N788" s="16" t="str">
        <f>IF($Z788="","",IF($Z788&lt;=2000,"",IF($Z788&lt;=4000,IF(INDEX(周转筐出入库明细!$D$4:$D$2004,$Z788-2000)=0,"",INDEX(周转筐出入库明细!$D$4:$D$2004,$Z788-2000)),IF($Z788&lt;=5200,IF(INDEX(客户自备加工筐明细!$C$4:$C$1203,$Z788-4000)=0,"",INDEX(客户自备加工筐明细!$C$4:$C$1203,$Z788-4000)),IF($Z788&lt;=5800,IF(INDEX(次果筐明细!$D$4:$D$603,$Z788-5200)=0,"",INDEX(次果筐明细!$D$4:$D$603,$Z788-5200)),"")))))</f>
        <v/>
      </c>
      <c r="O788" s="40" t="str">
        <f>IF($Z788="","",IF($Z788&lt;=2000,"",IF($Z788&lt;=4000,IF(N(INDEX(周转筐出入库明细!$J$4:$J$2004,$Z788-2000))+N(INDEX(周转筐出入库明细!$K$4:$K$2004,$Z788-2000))=0,"",N(INDEX(周转筐出入库明细!$J$4:$J$2004,$Z788-2000))+N(INDEX(周转筐出入库明细!$K$4:$K$2004,$Z788-2000))),IF($Z788&lt;=5200,IF(N(INDEX(客户自备加工筐明细!$G$4:$G$1203,$Z788-4000))=0,"",N(INDEX(客户自备加工筐明细!$G$4:$G$1203,$Z788-4000))),IF($Z788&lt;=5800,IF(ISNUMBER(SEARCH("退",INDEX(次果筐明细!$F$4:$F$603,$Z788-5200)&amp;"")),"",IF(N(INDEX(次果筐明细!$G$4:$G$603,$Z788-5200))=0,"",N(INDEX(次果筐明细!$G$4:$G$603,$Z788-5200)))),"")))))</f>
        <v/>
      </c>
      <c r="P788" s="40" t="str">
        <f>IF($Z788="","",IF($Z788&lt;=2000,"",IF($Z788&lt;=4000,IF(N(INDEX(周转筐出入库明细!$I$4:$I$2004,$Z788-2000))=0,"",N(INDEX(周转筐出入库明细!$I$4:$I$2004,$Z788-2000))),IF($Z788&lt;=5200,"",IF($Z788&lt;=5800,IF(ISNUMBER(SEARCH("退",INDEX(次果筐明细!$F$4:$F$603,$Z788-5200)&amp;"")),IF(N(INDEX(次果筐明细!$G$4:$G$603,$Z788-5200))=0,"",N(INDEX(次果筐明细!$G$4:$G$603,$Z788-5200))),""),"")))))</f>
        <v/>
      </c>
      <c r="Q788" s="40" t="str">
        <f>IF($Z788="","",IF($Z788&lt;=2000,"",IF($Z788&lt;=4000,IF(N(INDEX(周转筐出入库明细!$H$4:$H$2004,$Z788-2000))=0,"",N(INDEX(周转筐出入库明细!$H$4:$H$2004,$Z788-2000))),IF($Z788&lt;=5200,IF(N(INDEX(客户自备加工筐明细!$F$4:$F$1203,$Z788-4000))=0,"",N(INDEX(客户自备加工筐明细!$F$4:$F$1203,$Z788-4000))),IF($Z788&lt;=5800,"","")))))</f>
        <v/>
      </c>
      <c r="R788" s="16" t="str">
        <f>IF($Z788="","",IF($Z788&lt;=2000,IF(INDEX(包装物料出入库明细!$O$4:$O$2003,$Z788-0)=0,"",INDEX(包装物料出入库明细!$O$4:$O$2003,$Z788-0)),IF($Z788&lt;=4000,IF(INDEX(周转筐出入库明细!$M$4:$M$2004,$Z788-2000)=0,"",INDEX(周转筐出入库明细!$M$4:$M$2004,$Z788-2000)),IF($Z788&lt;=5200,IF(INDEX(客户自备加工筐明细!$H$4:$H$1203,$Z788-4000)=0,"",INDEX(客户自备加工筐明细!$H$4:$H$1203,$Z788-4000)),IF($Z788&lt;=5800,IF(INDEX(次果筐明细!$H$4:$H$603,$Z788-5200)=0,"",INDEX(次果筐明细!$H$4:$H$603,$Z788-5200)),"")))))</f>
        <v/>
      </c>
      <c r="S788" s="22" t="str">
        <f t="shared" si="38"/>
        <v/>
      </c>
      <c r="Z788" s="10" t="str">
        <f>IFERROR(MATCH(ROW()-3,_自动清单!$CQ$4:$CQ$5803,0),"")</f>
        <v/>
      </c>
    </row>
    <row r="789" spans="1:26">
      <c r="A789" s="24" t="str">
        <f t="shared" si="36"/>
        <v/>
      </c>
      <c r="B789" s="38" t="str">
        <f>IF($Z789="","",IF($Z789&lt;=2000,IF(INDEX(包装物料出入库明细!$B$4:$B$2003,$Z789-0)=0,"",INDEX(包装物料出入库明细!$B$4:$B$2003,$Z789-0)),IF($Z789&lt;=4000,IF(INDEX(周转筐出入库明细!$B$4:$B$2004,$Z789-2000)=0,"",INDEX(周转筐出入库明细!$B$4:$B$2004,$Z789-2000)),IF($Z789&lt;=5200,IF(INDEX(客户自备加工筐明细!$B$4:$B$1203,$Z789-4000)=0,"",INDEX(客户自备加工筐明细!$B$4:$B$1203,$Z789-4000)),IF($Z789&lt;=5800,IF(INDEX(次果筐明细!$B$4:$B$603,$Z789-5200)=0,"",INDEX(次果筐明细!$B$4:$B$603,$Z789-5200)),"")))))</f>
        <v/>
      </c>
      <c r="C789" s="37" t="str">
        <f>IF($Z789="","",IF($Z789&lt;=2000,IF(INDEX(包装物料出入库明细!$D$4:$D$2003,$Z789-0)=0,"",INDEX(包装物料出入库明细!$D$4:$D$2003,$Z789-0)),IF($Z789&lt;=4000,IF(INDEX(周转筐出入库明细!$C$4:$C$2004,$Z789-2000)=0,"",INDEX(周转筐出入库明细!$C$4:$C$2004,$Z789-2000)),IF($Z789&lt;=5200,IF(INDEX(客户自备加工筐明细!$E$4:$E$1203,$Z789-4000)=0,"",INDEX(客户自备加工筐明细!$E$4:$E$1203,$Z789-4000)),IF($Z789&lt;=5800,IF(INDEX(次果筐明细!$C$4:$C$603,$Z789-5200)=0,"",INDEX(次果筐明细!$C$4:$C$603,$Z789-5200)),"")))))</f>
        <v/>
      </c>
      <c r="D789" s="37" t="str">
        <f>IF($Z789="","",IF($Z789&lt;=2000,"包装物料－"&amp;INDEX(包装物料出入库明细!$H$4:$H$2003,$Z789-0),IF($Z789&lt;=4000,"周转筐－"&amp;INDEX(周转筐出入库明细!$F$4:$F$2004,$Z789-2000),IF($Z789&lt;=5200,"客户自备筐－"&amp;INDEX(客户自备加工筐明细!$J$4:$J$1203,$Z789-4000),IF($Z789&lt;=5800,"次果筐/托盘－"&amp;INDEX(次果筐明细!$F$4:$F$603,$Z789-5200),"")))))</f>
        <v/>
      </c>
      <c r="E789" s="24" t="str">
        <f>IF($Z789="","",IF($Z789&lt;=2000,IF(INDEX(包装物料出入库明细!$C$4:$C$2003,$Z789-0)=0,"",INDEX(包装物料出入库明细!$C$4:$C$2003,$Z789-0)),IF($Z789&lt;=4000,IF(INDEX(周转筐出入库明细!$E$4:$E$2004,$Z789-2000)=0,"",INDEX(周转筐出入库明细!$E$4:$E$2004,$Z789-2000)),IF($Z789&lt;=5200,IF(INDEX(客户自备加工筐明细!$D$4:$D$1203,$Z789-4000)=0,"",INDEX(客户自备加工筐明细!$D$4:$D$1203,$Z789-4000)),IF($Z789&lt;=5800,IF(INDEX(次果筐明细!$E$4:$E$603,$Z789-5200)=0,"",INDEX(次果筐明细!$E$4:$E$603,$Z789-5200)),"")))))</f>
        <v/>
      </c>
      <c r="F789" s="24" t="str">
        <f>IF($Z789="","",IF($Z789&lt;=2000,IF(INDEX(包装物料出入库明细!$E$4:$E$2003,$Z789-0)=0,"",INDEX(包装物料出入库明细!$E$4:$E$2003,$Z789-0)),IF($Z789&lt;=4000,IF(INDEX(周转筐出入库明细!$D$4:$D$2004,$Z789-2000)=0,"",INDEX(周转筐出入库明细!$D$4:$D$2004,$Z789-2000)),IF($Z789&lt;=5200,IF(INDEX(客户自备加工筐明细!$C$4:$C$1203,$Z789-4000)=0,"",INDEX(客户自备加工筐明细!$C$4:$C$1203,$Z789-4000)),IF($Z789&lt;=5800,IF(INDEX(次果筐明细!$D$4:$D$603,$Z789-5200)=0,"",INDEX(次果筐明细!$D$4:$D$603,$Z789-5200)),"")))))</f>
        <v/>
      </c>
      <c r="G789" s="24" t="str">
        <f>IF($Z789="","",IF($Z789&lt;=2000,IF(INDEX(包装物料出入库明细!$F$4:$F$2003,$Z789-0)=0,"",INDEX(包装物料出入库明细!$F$4:$F$2003,$Z789-0)),IF($Z789&lt;=4000,"",IF($Z789&lt;=5200,"",IF($Z789&lt;=5800,"","")))))</f>
        <v/>
      </c>
      <c r="H789" s="39" t="str">
        <f>IF($Z789="","",IF($Z789&lt;=2000,IF(INDEX(包装物料出入库明细!$L$4:$L$2003,$Z789-0)=0,"",INDEX(包装物料出入库明细!$L$4:$L$2003,$Z789-0)),IF($Z789&lt;=4000,N(INDEX(周转筐出入库明细!$H$4:$H$2004,$Z789-2000))+N(INDEX(周转筐出入库明细!$I$4:$I$2004,$Z789-2000))+N(INDEX(周转筐出入库明细!$J$4:$J$2004,$Z789-2000))+N(INDEX(周转筐出入库明细!$K$4:$K$2004,$Z789-2000)),IF($Z789&lt;=5200,N(INDEX(客户自备加工筐明细!$F$4:$F$1203,$Z789-4000))+N(INDEX(客户自备加工筐明细!$G$4:$G$1203,$Z789-4000)),IF($Z789&lt;=5800,IF(INDEX(次果筐明细!$G$4:$G$603,$Z789-5200)=0,"",INDEX(次果筐明细!$G$4:$G$603,$Z789-5200)),"")))))</f>
        <v/>
      </c>
      <c r="I789" s="24" t="str">
        <f>IF($Z789="","",IF($Z789&lt;=2000,IF(INDEX(包装物料出入库明细!$G$4:$G$2003,$Z789-0)=0,"",INDEX(包装物料出入库明细!$G$4:$G$2003,$Z789-0)),IF($Z789&lt;=4000,"个",IF($Z789&lt;=5200,"个",IF($Z789&lt;=5800,"个","")))))</f>
        <v/>
      </c>
      <c r="J789" s="30" t="str">
        <f t="shared" si="37"/>
        <v/>
      </c>
      <c r="K789" s="30" t="str">
        <f>IF($Z789="","",IF($Z789&lt;=2000,IF(INDEX(包装物料出入库明细!$N$4:$N$2003,$Z789-0)=0,"",INDEX(包装物料出入库明细!$N$4:$N$2003,$Z789-0)),IF($Z789&lt;=4000,IF(INDEX(周转筐出入库明细!$P$4:$P$2004,$Z789-2000)=0,"",INDEX(周转筐出入库明细!$P$4:$P$2004,$Z789-2000)),IF($Z789&lt;=5200,"",IF($Z789&lt;=5800,N(INDEX(次果筐明细!$L$4:$L$603,$Z789-5200))+N(INDEX(次果筐明细!$J$4:$J$603,$Z789-5200)),"")))))</f>
        <v/>
      </c>
      <c r="L789" s="24" t="str">
        <f>IF($Z789="","",IF($Z789&lt;=2000,IF(INDEX(包装物料出入库明细!$P$4:$P$2003,$Z789-0)=0,"",INDEX(包装物料出入库明细!$P$4:$P$2003,$Z789-0)),IF($Z789&lt;=4000,IF(INDEX(周转筐出入库明细!$Q$4:$Q$2004,$Z789-2000)=0,"",INDEX(周转筐出入库明细!$Q$4:$Q$2004,$Z789-2000)),IF($Z789&lt;=5200,"",IF($Z789&lt;=5800,IF(INDEX(次果筐明细!$M$4:$M$603,$Z789-5200)=0,"",INDEX(次果筐明细!$M$4:$M$603,$Z789-5200)),"")))))</f>
        <v/>
      </c>
      <c r="M789" s="37" t="str">
        <f>IF($Z789="","",IF($Z789&lt;=2000,IF(INDEX(包装物料出入库明细!$R$4:$R$2003,$Z789-0)=0,"",INDEX(包装物料出入库明细!$R$4:$R$2003,$Z789-0)),IF($Z789&lt;=4000,IF(INDEX(周转筐出入库明细!$W$4:$W$2004,$Z789-2000)=0,"",INDEX(周转筐出入库明细!$W$4:$W$2004,$Z789-2000)),IF($Z789&lt;=5200,IF(INDEX(客户自备加工筐明细!$L$4:$L$1203,$Z789-4000)=0,"",INDEX(客户自备加工筐明细!$L$4:$L$1203,$Z789-4000)),IF($Z789&lt;=5800,IF(INDEX(次果筐明细!$P$4:$P$603,$Z789-5200)=0,"",INDEX(次果筐明细!$P$4:$P$603,$Z789-5200)),"")))))</f>
        <v/>
      </c>
      <c r="N789" s="16" t="str">
        <f>IF($Z789="","",IF($Z789&lt;=2000,"",IF($Z789&lt;=4000,IF(INDEX(周转筐出入库明细!$D$4:$D$2004,$Z789-2000)=0,"",INDEX(周转筐出入库明细!$D$4:$D$2004,$Z789-2000)),IF($Z789&lt;=5200,IF(INDEX(客户自备加工筐明细!$C$4:$C$1203,$Z789-4000)=0,"",INDEX(客户自备加工筐明细!$C$4:$C$1203,$Z789-4000)),IF($Z789&lt;=5800,IF(INDEX(次果筐明细!$D$4:$D$603,$Z789-5200)=0,"",INDEX(次果筐明细!$D$4:$D$603,$Z789-5200)),"")))))</f>
        <v/>
      </c>
      <c r="O789" s="40" t="str">
        <f>IF($Z789="","",IF($Z789&lt;=2000,"",IF($Z789&lt;=4000,IF(N(INDEX(周转筐出入库明细!$J$4:$J$2004,$Z789-2000))+N(INDEX(周转筐出入库明细!$K$4:$K$2004,$Z789-2000))=0,"",N(INDEX(周转筐出入库明细!$J$4:$J$2004,$Z789-2000))+N(INDEX(周转筐出入库明细!$K$4:$K$2004,$Z789-2000))),IF($Z789&lt;=5200,IF(N(INDEX(客户自备加工筐明细!$G$4:$G$1203,$Z789-4000))=0,"",N(INDEX(客户自备加工筐明细!$G$4:$G$1203,$Z789-4000))),IF($Z789&lt;=5800,IF(ISNUMBER(SEARCH("退",INDEX(次果筐明细!$F$4:$F$603,$Z789-5200)&amp;"")),"",IF(N(INDEX(次果筐明细!$G$4:$G$603,$Z789-5200))=0,"",N(INDEX(次果筐明细!$G$4:$G$603,$Z789-5200)))),"")))))</f>
        <v/>
      </c>
      <c r="P789" s="40" t="str">
        <f>IF($Z789="","",IF($Z789&lt;=2000,"",IF($Z789&lt;=4000,IF(N(INDEX(周转筐出入库明细!$I$4:$I$2004,$Z789-2000))=0,"",N(INDEX(周转筐出入库明细!$I$4:$I$2004,$Z789-2000))),IF($Z789&lt;=5200,"",IF($Z789&lt;=5800,IF(ISNUMBER(SEARCH("退",INDEX(次果筐明细!$F$4:$F$603,$Z789-5200)&amp;"")),IF(N(INDEX(次果筐明细!$G$4:$G$603,$Z789-5200))=0,"",N(INDEX(次果筐明细!$G$4:$G$603,$Z789-5200))),""),"")))))</f>
        <v/>
      </c>
      <c r="Q789" s="40" t="str">
        <f>IF($Z789="","",IF($Z789&lt;=2000,"",IF($Z789&lt;=4000,IF(N(INDEX(周转筐出入库明细!$H$4:$H$2004,$Z789-2000))=0,"",N(INDEX(周转筐出入库明细!$H$4:$H$2004,$Z789-2000))),IF($Z789&lt;=5200,IF(N(INDEX(客户自备加工筐明细!$F$4:$F$1203,$Z789-4000))=0,"",N(INDEX(客户自备加工筐明细!$F$4:$F$1203,$Z789-4000))),IF($Z789&lt;=5800,"","")))))</f>
        <v/>
      </c>
      <c r="R789" s="16" t="str">
        <f>IF($Z789="","",IF($Z789&lt;=2000,IF(INDEX(包装物料出入库明细!$O$4:$O$2003,$Z789-0)=0,"",INDEX(包装物料出入库明细!$O$4:$O$2003,$Z789-0)),IF($Z789&lt;=4000,IF(INDEX(周转筐出入库明细!$M$4:$M$2004,$Z789-2000)=0,"",INDEX(周转筐出入库明细!$M$4:$M$2004,$Z789-2000)),IF($Z789&lt;=5200,IF(INDEX(客户自备加工筐明细!$H$4:$H$1203,$Z789-4000)=0,"",INDEX(客户自备加工筐明细!$H$4:$H$1203,$Z789-4000)),IF($Z789&lt;=5800,IF(INDEX(次果筐明细!$H$4:$H$603,$Z789-5200)=0,"",INDEX(次果筐明细!$H$4:$H$603,$Z789-5200)),"")))))</f>
        <v/>
      </c>
      <c r="S789" s="22" t="str">
        <f t="shared" si="38"/>
        <v/>
      </c>
      <c r="Z789" s="10" t="str">
        <f>IFERROR(MATCH(ROW()-3,_自动清单!$CQ$4:$CQ$5803,0),"")</f>
        <v/>
      </c>
    </row>
    <row r="790" spans="1:26">
      <c r="A790" s="24" t="str">
        <f t="shared" si="36"/>
        <v/>
      </c>
      <c r="B790" s="38" t="str">
        <f>IF($Z790="","",IF($Z790&lt;=2000,IF(INDEX(包装物料出入库明细!$B$4:$B$2003,$Z790-0)=0,"",INDEX(包装物料出入库明细!$B$4:$B$2003,$Z790-0)),IF($Z790&lt;=4000,IF(INDEX(周转筐出入库明细!$B$4:$B$2004,$Z790-2000)=0,"",INDEX(周转筐出入库明细!$B$4:$B$2004,$Z790-2000)),IF($Z790&lt;=5200,IF(INDEX(客户自备加工筐明细!$B$4:$B$1203,$Z790-4000)=0,"",INDEX(客户自备加工筐明细!$B$4:$B$1203,$Z790-4000)),IF($Z790&lt;=5800,IF(INDEX(次果筐明细!$B$4:$B$603,$Z790-5200)=0,"",INDEX(次果筐明细!$B$4:$B$603,$Z790-5200)),"")))))</f>
        <v/>
      </c>
      <c r="C790" s="37" t="str">
        <f>IF($Z790="","",IF($Z790&lt;=2000,IF(INDEX(包装物料出入库明细!$D$4:$D$2003,$Z790-0)=0,"",INDEX(包装物料出入库明细!$D$4:$D$2003,$Z790-0)),IF($Z790&lt;=4000,IF(INDEX(周转筐出入库明细!$C$4:$C$2004,$Z790-2000)=0,"",INDEX(周转筐出入库明细!$C$4:$C$2004,$Z790-2000)),IF($Z790&lt;=5200,IF(INDEX(客户自备加工筐明细!$E$4:$E$1203,$Z790-4000)=0,"",INDEX(客户自备加工筐明细!$E$4:$E$1203,$Z790-4000)),IF($Z790&lt;=5800,IF(INDEX(次果筐明细!$C$4:$C$603,$Z790-5200)=0,"",INDEX(次果筐明细!$C$4:$C$603,$Z790-5200)),"")))))</f>
        <v/>
      </c>
      <c r="D790" s="37" t="str">
        <f>IF($Z790="","",IF($Z790&lt;=2000,"包装物料－"&amp;INDEX(包装物料出入库明细!$H$4:$H$2003,$Z790-0),IF($Z790&lt;=4000,"周转筐－"&amp;INDEX(周转筐出入库明细!$F$4:$F$2004,$Z790-2000),IF($Z790&lt;=5200,"客户自备筐－"&amp;INDEX(客户自备加工筐明细!$J$4:$J$1203,$Z790-4000),IF($Z790&lt;=5800,"次果筐/托盘－"&amp;INDEX(次果筐明细!$F$4:$F$603,$Z790-5200),"")))))</f>
        <v/>
      </c>
      <c r="E790" s="24" t="str">
        <f>IF($Z790="","",IF($Z790&lt;=2000,IF(INDEX(包装物料出入库明细!$C$4:$C$2003,$Z790-0)=0,"",INDEX(包装物料出入库明细!$C$4:$C$2003,$Z790-0)),IF($Z790&lt;=4000,IF(INDEX(周转筐出入库明细!$E$4:$E$2004,$Z790-2000)=0,"",INDEX(周转筐出入库明细!$E$4:$E$2004,$Z790-2000)),IF($Z790&lt;=5200,IF(INDEX(客户自备加工筐明细!$D$4:$D$1203,$Z790-4000)=0,"",INDEX(客户自备加工筐明细!$D$4:$D$1203,$Z790-4000)),IF($Z790&lt;=5800,IF(INDEX(次果筐明细!$E$4:$E$603,$Z790-5200)=0,"",INDEX(次果筐明细!$E$4:$E$603,$Z790-5200)),"")))))</f>
        <v/>
      </c>
      <c r="F790" s="24" t="str">
        <f>IF($Z790="","",IF($Z790&lt;=2000,IF(INDEX(包装物料出入库明细!$E$4:$E$2003,$Z790-0)=0,"",INDEX(包装物料出入库明细!$E$4:$E$2003,$Z790-0)),IF($Z790&lt;=4000,IF(INDEX(周转筐出入库明细!$D$4:$D$2004,$Z790-2000)=0,"",INDEX(周转筐出入库明细!$D$4:$D$2004,$Z790-2000)),IF($Z790&lt;=5200,IF(INDEX(客户自备加工筐明细!$C$4:$C$1203,$Z790-4000)=0,"",INDEX(客户自备加工筐明细!$C$4:$C$1203,$Z790-4000)),IF($Z790&lt;=5800,IF(INDEX(次果筐明细!$D$4:$D$603,$Z790-5200)=0,"",INDEX(次果筐明细!$D$4:$D$603,$Z790-5200)),"")))))</f>
        <v/>
      </c>
      <c r="G790" s="24" t="str">
        <f>IF($Z790="","",IF($Z790&lt;=2000,IF(INDEX(包装物料出入库明细!$F$4:$F$2003,$Z790-0)=0,"",INDEX(包装物料出入库明细!$F$4:$F$2003,$Z790-0)),IF($Z790&lt;=4000,"",IF($Z790&lt;=5200,"",IF($Z790&lt;=5800,"","")))))</f>
        <v/>
      </c>
      <c r="H790" s="39" t="str">
        <f>IF($Z790="","",IF($Z790&lt;=2000,IF(INDEX(包装物料出入库明细!$L$4:$L$2003,$Z790-0)=0,"",INDEX(包装物料出入库明细!$L$4:$L$2003,$Z790-0)),IF($Z790&lt;=4000,N(INDEX(周转筐出入库明细!$H$4:$H$2004,$Z790-2000))+N(INDEX(周转筐出入库明细!$I$4:$I$2004,$Z790-2000))+N(INDEX(周转筐出入库明细!$J$4:$J$2004,$Z790-2000))+N(INDEX(周转筐出入库明细!$K$4:$K$2004,$Z790-2000)),IF($Z790&lt;=5200,N(INDEX(客户自备加工筐明细!$F$4:$F$1203,$Z790-4000))+N(INDEX(客户自备加工筐明细!$G$4:$G$1203,$Z790-4000)),IF($Z790&lt;=5800,IF(INDEX(次果筐明细!$G$4:$G$603,$Z790-5200)=0,"",INDEX(次果筐明细!$G$4:$G$603,$Z790-5200)),"")))))</f>
        <v/>
      </c>
      <c r="I790" s="24" t="str">
        <f>IF($Z790="","",IF($Z790&lt;=2000,IF(INDEX(包装物料出入库明细!$G$4:$G$2003,$Z790-0)=0,"",INDEX(包装物料出入库明细!$G$4:$G$2003,$Z790-0)),IF($Z790&lt;=4000,"个",IF($Z790&lt;=5200,"个",IF($Z790&lt;=5800,"个","")))))</f>
        <v/>
      </c>
      <c r="J790" s="30" t="str">
        <f t="shared" si="37"/>
        <v/>
      </c>
      <c r="K790" s="30" t="str">
        <f>IF($Z790="","",IF($Z790&lt;=2000,IF(INDEX(包装物料出入库明细!$N$4:$N$2003,$Z790-0)=0,"",INDEX(包装物料出入库明细!$N$4:$N$2003,$Z790-0)),IF($Z790&lt;=4000,IF(INDEX(周转筐出入库明细!$P$4:$P$2004,$Z790-2000)=0,"",INDEX(周转筐出入库明细!$P$4:$P$2004,$Z790-2000)),IF($Z790&lt;=5200,"",IF($Z790&lt;=5800,N(INDEX(次果筐明细!$L$4:$L$603,$Z790-5200))+N(INDEX(次果筐明细!$J$4:$J$603,$Z790-5200)),"")))))</f>
        <v/>
      </c>
      <c r="L790" s="24" t="str">
        <f>IF($Z790="","",IF($Z790&lt;=2000,IF(INDEX(包装物料出入库明细!$P$4:$P$2003,$Z790-0)=0,"",INDEX(包装物料出入库明细!$P$4:$P$2003,$Z790-0)),IF($Z790&lt;=4000,IF(INDEX(周转筐出入库明细!$Q$4:$Q$2004,$Z790-2000)=0,"",INDEX(周转筐出入库明细!$Q$4:$Q$2004,$Z790-2000)),IF($Z790&lt;=5200,"",IF($Z790&lt;=5800,IF(INDEX(次果筐明细!$M$4:$M$603,$Z790-5200)=0,"",INDEX(次果筐明细!$M$4:$M$603,$Z790-5200)),"")))))</f>
        <v/>
      </c>
      <c r="M790" s="37" t="str">
        <f>IF($Z790="","",IF($Z790&lt;=2000,IF(INDEX(包装物料出入库明细!$R$4:$R$2003,$Z790-0)=0,"",INDEX(包装物料出入库明细!$R$4:$R$2003,$Z790-0)),IF($Z790&lt;=4000,IF(INDEX(周转筐出入库明细!$W$4:$W$2004,$Z790-2000)=0,"",INDEX(周转筐出入库明细!$W$4:$W$2004,$Z790-2000)),IF($Z790&lt;=5200,IF(INDEX(客户自备加工筐明细!$L$4:$L$1203,$Z790-4000)=0,"",INDEX(客户自备加工筐明细!$L$4:$L$1203,$Z790-4000)),IF($Z790&lt;=5800,IF(INDEX(次果筐明细!$P$4:$P$603,$Z790-5200)=0,"",INDEX(次果筐明细!$P$4:$P$603,$Z790-5200)),"")))))</f>
        <v/>
      </c>
      <c r="N790" s="16" t="str">
        <f>IF($Z790="","",IF($Z790&lt;=2000,"",IF($Z790&lt;=4000,IF(INDEX(周转筐出入库明细!$D$4:$D$2004,$Z790-2000)=0,"",INDEX(周转筐出入库明细!$D$4:$D$2004,$Z790-2000)),IF($Z790&lt;=5200,IF(INDEX(客户自备加工筐明细!$C$4:$C$1203,$Z790-4000)=0,"",INDEX(客户自备加工筐明细!$C$4:$C$1203,$Z790-4000)),IF($Z790&lt;=5800,IF(INDEX(次果筐明细!$D$4:$D$603,$Z790-5200)=0,"",INDEX(次果筐明细!$D$4:$D$603,$Z790-5200)),"")))))</f>
        <v/>
      </c>
      <c r="O790" s="40" t="str">
        <f>IF($Z790="","",IF($Z790&lt;=2000,"",IF($Z790&lt;=4000,IF(N(INDEX(周转筐出入库明细!$J$4:$J$2004,$Z790-2000))+N(INDEX(周转筐出入库明细!$K$4:$K$2004,$Z790-2000))=0,"",N(INDEX(周转筐出入库明细!$J$4:$J$2004,$Z790-2000))+N(INDEX(周转筐出入库明细!$K$4:$K$2004,$Z790-2000))),IF($Z790&lt;=5200,IF(N(INDEX(客户自备加工筐明细!$G$4:$G$1203,$Z790-4000))=0,"",N(INDEX(客户自备加工筐明细!$G$4:$G$1203,$Z790-4000))),IF($Z790&lt;=5800,IF(ISNUMBER(SEARCH("退",INDEX(次果筐明细!$F$4:$F$603,$Z790-5200)&amp;"")),"",IF(N(INDEX(次果筐明细!$G$4:$G$603,$Z790-5200))=0,"",N(INDEX(次果筐明细!$G$4:$G$603,$Z790-5200)))),"")))))</f>
        <v/>
      </c>
      <c r="P790" s="40" t="str">
        <f>IF($Z790="","",IF($Z790&lt;=2000,"",IF($Z790&lt;=4000,IF(N(INDEX(周转筐出入库明细!$I$4:$I$2004,$Z790-2000))=0,"",N(INDEX(周转筐出入库明细!$I$4:$I$2004,$Z790-2000))),IF($Z790&lt;=5200,"",IF($Z790&lt;=5800,IF(ISNUMBER(SEARCH("退",INDEX(次果筐明细!$F$4:$F$603,$Z790-5200)&amp;"")),IF(N(INDEX(次果筐明细!$G$4:$G$603,$Z790-5200))=0,"",N(INDEX(次果筐明细!$G$4:$G$603,$Z790-5200))),""),"")))))</f>
        <v/>
      </c>
      <c r="Q790" s="40" t="str">
        <f>IF($Z790="","",IF($Z790&lt;=2000,"",IF($Z790&lt;=4000,IF(N(INDEX(周转筐出入库明细!$H$4:$H$2004,$Z790-2000))=0,"",N(INDEX(周转筐出入库明细!$H$4:$H$2004,$Z790-2000))),IF($Z790&lt;=5200,IF(N(INDEX(客户自备加工筐明细!$F$4:$F$1203,$Z790-4000))=0,"",N(INDEX(客户自备加工筐明细!$F$4:$F$1203,$Z790-4000))),IF($Z790&lt;=5800,"","")))))</f>
        <v/>
      </c>
      <c r="R790" s="16" t="str">
        <f>IF($Z790="","",IF($Z790&lt;=2000,IF(INDEX(包装物料出入库明细!$O$4:$O$2003,$Z790-0)=0,"",INDEX(包装物料出入库明细!$O$4:$O$2003,$Z790-0)),IF($Z790&lt;=4000,IF(INDEX(周转筐出入库明细!$M$4:$M$2004,$Z790-2000)=0,"",INDEX(周转筐出入库明细!$M$4:$M$2004,$Z790-2000)),IF($Z790&lt;=5200,IF(INDEX(客户自备加工筐明细!$H$4:$H$1203,$Z790-4000)=0,"",INDEX(客户自备加工筐明细!$H$4:$H$1203,$Z790-4000)),IF($Z790&lt;=5800,IF(INDEX(次果筐明细!$H$4:$H$603,$Z790-5200)=0,"",INDEX(次果筐明细!$H$4:$H$603,$Z790-5200)),"")))))</f>
        <v/>
      </c>
      <c r="S790" s="22" t="str">
        <f t="shared" si="38"/>
        <v/>
      </c>
      <c r="Z790" s="10" t="str">
        <f>IFERROR(MATCH(ROW()-3,_自动清单!$CQ$4:$CQ$5803,0),"")</f>
        <v/>
      </c>
    </row>
    <row r="791" spans="1:26">
      <c r="A791" s="24" t="str">
        <f t="shared" si="36"/>
        <v/>
      </c>
      <c r="B791" s="38" t="str">
        <f>IF($Z791="","",IF($Z791&lt;=2000,IF(INDEX(包装物料出入库明细!$B$4:$B$2003,$Z791-0)=0,"",INDEX(包装物料出入库明细!$B$4:$B$2003,$Z791-0)),IF($Z791&lt;=4000,IF(INDEX(周转筐出入库明细!$B$4:$B$2004,$Z791-2000)=0,"",INDEX(周转筐出入库明细!$B$4:$B$2004,$Z791-2000)),IF($Z791&lt;=5200,IF(INDEX(客户自备加工筐明细!$B$4:$B$1203,$Z791-4000)=0,"",INDEX(客户自备加工筐明细!$B$4:$B$1203,$Z791-4000)),IF($Z791&lt;=5800,IF(INDEX(次果筐明细!$B$4:$B$603,$Z791-5200)=0,"",INDEX(次果筐明细!$B$4:$B$603,$Z791-5200)),"")))))</f>
        <v/>
      </c>
      <c r="C791" s="37" t="str">
        <f>IF($Z791="","",IF($Z791&lt;=2000,IF(INDEX(包装物料出入库明细!$D$4:$D$2003,$Z791-0)=0,"",INDEX(包装物料出入库明细!$D$4:$D$2003,$Z791-0)),IF($Z791&lt;=4000,IF(INDEX(周转筐出入库明细!$C$4:$C$2004,$Z791-2000)=0,"",INDEX(周转筐出入库明细!$C$4:$C$2004,$Z791-2000)),IF($Z791&lt;=5200,IF(INDEX(客户自备加工筐明细!$E$4:$E$1203,$Z791-4000)=0,"",INDEX(客户自备加工筐明细!$E$4:$E$1203,$Z791-4000)),IF($Z791&lt;=5800,IF(INDEX(次果筐明细!$C$4:$C$603,$Z791-5200)=0,"",INDEX(次果筐明细!$C$4:$C$603,$Z791-5200)),"")))))</f>
        <v/>
      </c>
      <c r="D791" s="37" t="str">
        <f>IF($Z791="","",IF($Z791&lt;=2000,"包装物料－"&amp;INDEX(包装物料出入库明细!$H$4:$H$2003,$Z791-0),IF($Z791&lt;=4000,"周转筐－"&amp;INDEX(周转筐出入库明细!$F$4:$F$2004,$Z791-2000),IF($Z791&lt;=5200,"客户自备筐－"&amp;INDEX(客户自备加工筐明细!$J$4:$J$1203,$Z791-4000),IF($Z791&lt;=5800,"次果筐/托盘－"&amp;INDEX(次果筐明细!$F$4:$F$603,$Z791-5200),"")))))</f>
        <v/>
      </c>
      <c r="E791" s="24" t="str">
        <f>IF($Z791="","",IF($Z791&lt;=2000,IF(INDEX(包装物料出入库明细!$C$4:$C$2003,$Z791-0)=0,"",INDEX(包装物料出入库明细!$C$4:$C$2003,$Z791-0)),IF($Z791&lt;=4000,IF(INDEX(周转筐出入库明细!$E$4:$E$2004,$Z791-2000)=0,"",INDEX(周转筐出入库明细!$E$4:$E$2004,$Z791-2000)),IF($Z791&lt;=5200,IF(INDEX(客户自备加工筐明细!$D$4:$D$1203,$Z791-4000)=0,"",INDEX(客户自备加工筐明细!$D$4:$D$1203,$Z791-4000)),IF($Z791&lt;=5800,IF(INDEX(次果筐明细!$E$4:$E$603,$Z791-5200)=0,"",INDEX(次果筐明细!$E$4:$E$603,$Z791-5200)),"")))))</f>
        <v/>
      </c>
      <c r="F791" s="24" t="str">
        <f>IF($Z791="","",IF($Z791&lt;=2000,IF(INDEX(包装物料出入库明细!$E$4:$E$2003,$Z791-0)=0,"",INDEX(包装物料出入库明细!$E$4:$E$2003,$Z791-0)),IF($Z791&lt;=4000,IF(INDEX(周转筐出入库明细!$D$4:$D$2004,$Z791-2000)=0,"",INDEX(周转筐出入库明细!$D$4:$D$2004,$Z791-2000)),IF($Z791&lt;=5200,IF(INDEX(客户自备加工筐明细!$C$4:$C$1203,$Z791-4000)=0,"",INDEX(客户自备加工筐明细!$C$4:$C$1203,$Z791-4000)),IF($Z791&lt;=5800,IF(INDEX(次果筐明细!$D$4:$D$603,$Z791-5200)=0,"",INDEX(次果筐明细!$D$4:$D$603,$Z791-5200)),"")))))</f>
        <v/>
      </c>
      <c r="G791" s="24" t="str">
        <f>IF($Z791="","",IF($Z791&lt;=2000,IF(INDEX(包装物料出入库明细!$F$4:$F$2003,$Z791-0)=0,"",INDEX(包装物料出入库明细!$F$4:$F$2003,$Z791-0)),IF($Z791&lt;=4000,"",IF($Z791&lt;=5200,"",IF($Z791&lt;=5800,"","")))))</f>
        <v/>
      </c>
      <c r="H791" s="39" t="str">
        <f>IF($Z791="","",IF($Z791&lt;=2000,IF(INDEX(包装物料出入库明细!$L$4:$L$2003,$Z791-0)=0,"",INDEX(包装物料出入库明细!$L$4:$L$2003,$Z791-0)),IF($Z791&lt;=4000,N(INDEX(周转筐出入库明细!$H$4:$H$2004,$Z791-2000))+N(INDEX(周转筐出入库明细!$I$4:$I$2004,$Z791-2000))+N(INDEX(周转筐出入库明细!$J$4:$J$2004,$Z791-2000))+N(INDEX(周转筐出入库明细!$K$4:$K$2004,$Z791-2000)),IF($Z791&lt;=5200,N(INDEX(客户自备加工筐明细!$F$4:$F$1203,$Z791-4000))+N(INDEX(客户自备加工筐明细!$G$4:$G$1203,$Z791-4000)),IF($Z791&lt;=5800,IF(INDEX(次果筐明细!$G$4:$G$603,$Z791-5200)=0,"",INDEX(次果筐明细!$G$4:$G$603,$Z791-5200)),"")))))</f>
        <v/>
      </c>
      <c r="I791" s="24" t="str">
        <f>IF($Z791="","",IF($Z791&lt;=2000,IF(INDEX(包装物料出入库明细!$G$4:$G$2003,$Z791-0)=0,"",INDEX(包装物料出入库明细!$G$4:$G$2003,$Z791-0)),IF($Z791&lt;=4000,"个",IF($Z791&lt;=5200,"个",IF($Z791&lt;=5800,"个","")))))</f>
        <v/>
      </c>
      <c r="J791" s="30" t="str">
        <f t="shared" si="37"/>
        <v/>
      </c>
      <c r="K791" s="30" t="str">
        <f>IF($Z791="","",IF($Z791&lt;=2000,IF(INDEX(包装物料出入库明细!$N$4:$N$2003,$Z791-0)=0,"",INDEX(包装物料出入库明细!$N$4:$N$2003,$Z791-0)),IF($Z791&lt;=4000,IF(INDEX(周转筐出入库明细!$P$4:$P$2004,$Z791-2000)=0,"",INDEX(周转筐出入库明细!$P$4:$P$2004,$Z791-2000)),IF($Z791&lt;=5200,"",IF($Z791&lt;=5800,N(INDEX(次果筐明细!$L$4:$L$603,$Z791-5200))+N(INDEX(次果筐明细!$J$4:$J$603,$Z791-5200)),"")))))</f>
        <v/>
      </c>
      <c r="L791" s="24" t="str">
        <f>IF($Z791="","",IF($Z791&lt;=2000,IF(INDEX(包装物料出入库明细!$P$4:$P$2003,$Z791-0)=0,"",INDEX(包装物料出入库明细!$P$4:$P$2003,$Z791-0)),IF($Z791&lt;=4000,IF(INDEX(周转筐出入库明细!$Q$4:$Q$2004,$Z791-2000)=0,"",INDEX(周转筐出入库明细!$Q$4:$Q$2004,$Z791-2000)),IF($Z791&lt;=5200,"",IF($Z791&lt;=5800,IF(INDEX(次果筐明细!$M$4:$M$603,$Z791-5200)=0,"",INDEX(次果筐明细!$M$4:$M$603,$Z791-5200)),"")))))</f>
        <v/>
      </c>
      <c r="M791" s="37" t="str">
        <f>IF($Z791="","",IF($Z791&lt;=2000,IF(INDEX(包装物料出入库明细!$R$4:$R$2003,$Z791-0)=0,"",INDEX(包装物料出入库明细!$R$4:$R$2003,$Z791-0)),IF($Z791&lt;=4000,IF(INDEX(周转筐出入库明细!$W$4:$W$2004,$Z791-2000)=0,"",INDEX(周转筐出入库明细!$W$4:$W$2004,$Z791-2000)),IF($Z791&lt;=5200,IF(INDEX(客户自备加工筐明细!$L$4:$L$1203,$Z791-4000)=0,"",INDEX(客户自备加工筐明细!$L$4:$L$1203,$Z791-4000)),IF($Z791&lt;=5800,IF(INDEX(次果筐明细!$P$4:$P$603,$Z791-5200)=0,"",INDEX(次果筐明细!$P$4:$P$603,$Z791-5200)),"")))))</f>
        <v/>
      </c>
      <c r="N791" s="16" t="str">
        <f>IF($Z791="","",IF($Z791&lt;=2000,"",IF($Z791&lt;=4000,IF(INDEX(周转筐出入库明细!$D$4:$D$2004,$Z791-2000)=0,"",INDEX(周转筐出入库明细!$D$4:$D$2004,$Z791-2000)),IF($Z791&lt;=5200,IF(INDEX(客户自备加工筐明细!$C$4:$C$1203,$Z791-4000)=0,"",INDEX(客户自备加工筐明细!$C$4:$C$1203,$Z791-4000)),IF($Z791&lt;=5800,IF(INDEX(次果筐明细!$D$4:$D$603,$Z791-5200)=0,"",INDEX(次果筐明细!$D$4:$D$603,$Z791-5200)),"")))))</f>
        <v/>
      </c>
      <c r="O791" s="40" t="str">
        <f>IF($Z791="","",IF($Z791&lt;=2000,"",IF($Z791&lt;=4000,IF(N(INDEX(周转筐出入库明细!$J$4:$J$2004,$Z791-2000))+N(INDEX(周转筐出入库明细!$K$4:$K$2004,$Z791-2000))=0,"",N(INDEX(周转筐出入库明细!$J$4:$J$2004,$Z791-2000))+N(INDEX(周转筐出入库明细!$K$4:$K$2004,$Z791-2000))),IF($Z791&lt;=5200,IF(N(INDEX(客户自备加工筐明细!$G$4:$G$1203,$Z791-4000))=0,"",N(INDEX(客户自备加工筐明细!$G$4:$G$1203,$Z791-4000))),IF($Z791&lt;=5800,IF(ISNUMBER(SEARCH("退",INDEX(次果筐明细!$F$4:$F$603,$Z791-5200)&amp;"")),"",IF(N(INDEX(次果筐明细!$G$4:$G$603,$Z791-5200))=0,"",N(INDEX(次果筐明细!$G$4:$G$603,$Z791-5200)))),"")))))</f>
        <v/>
      </c>
      <c r="P791" s="40" t="str">
        <f>IF($Z791="","",IF($Z791&lt;=2000,"",IF($Z791&lt;=4000,IF(N(INDEX(周转筐出入库明细!$I$4:$I$2004,$Z791-2000))=0,"",N(INDEX(周转筐出入库明细!$I$4:$I$2004,$Z791-2000))),IF($Z791&lt;=5200,"",IF($Z791&lt;=5800,IF(ISNUMBER(SEARCH("退",INDEX(次果筐明细!$F$4:$F$603,$Z791-5200)&amp;"")),IF(N(INDEX(次果筐明细!$G$4:$G$603,$Z791-5200))=0,"",N(INDEX(次果筐明细!$G$4:$G$603,$Z791-5200))),""),"")))))</f>
        <v/>
      </c>
      <c r="Q791" s="40" t="str">
        <f>IF($Z791="","",IF($Z791&lt;=2000,"",IF($Z791&lt;=4000,IF(N(INDEX(周转筐出入库明细!$H$4:$H$2004,$Z791-2000))=0,"",N(INDEX(周转筐出入库明细!$H$4:$H$2004,$Z791-2000))),IF($Z791&lt;=5200,IF(N(INDEX(客户自备加工筐明细!$F$4:$F$1203,$Z791-4000))=0,"",N(INDEX(客户自备加工筐明细!$F$4:$F$1203,$Z791-4000))),IF($Z791&lt;=5800,"","")))))</f>
        <v/>
      </c>
      <c r="R791" s="16" t="str">
        <f>IF($Z791="","",IF($Z791&lt;=2000,IF(INDEX(包装物料出入库明细!$O$4:$O$2003,$Z791-0)=0,"",INDEX(包装物料出入库明细!$O$4:$O$2003,$Z791-0)),IF($Z791&lt;=4000,IF(INDEX(周转筐出入库明细!$M$4:$M$2004,$Z791-2000)=0,"",INDEX(周转筐出入库明细!$M$4:$M$2004,$Z791-2000)),IF($Z791&lt;=5200,IF(INDEX(客户自备加工筐明细!$H$4:$H$1203,$Z791-4000)=0,"",INDEX(客户自备加工筐明细!$H$4:$H$1203,$Z791-4000)),IF($Z791&lt;=5800,IF(INDEX(次果筐明细!$H$4:$H$603,$Z791-5200)=0,"",INDEX(次果筐明细!$H$4:$H$603,$Z791-5200)),"")))))</f>
        <v/>
      </c>
      <c r="S791" s="22" t="str">
        <f t="shared" si="38"/>
        <v/>
      </c>
      <c r="Z791" s="10" t="str">
        <f>IFERROR(MATCH(ROW()-3,_自动清单!$CQ$4:$CQ$5803,0),"")</f>
        <v/>
      </c>
    </row>
    <row r="792" spans="1:26">
      <c r="A792" s="24" t="str">
        <f t="shared" si="36"/>
        <v/>
      </c>
      <c r="B792" s="38" t="str">
        <f>IF($Z792="","",IF($Z792&lt;=2000,IF(INDEX(包装物料出入库明细!$B$4:$B$2003,$Z792-0)=0,"",INDEX(包装物料出入库明细!$B$4:$B$2003,$Z792-0)),IF($Z792&lt;=4000,IF(INDEX(周转筐出入库明细!$B$4:$B$2004,$Z792-2000)=0,"",INDEX(周转筐出入库明细!$B$4:$B$2004,$Z792-2000)),IF($Z792&lt;=5200,IF(INDEX(客户自备加工筐明细!$B$4:$B$1203,$Z792-4000)=0,"",INDEX(客户自备加工筐明细!$B$4:$B$1203,$Z792-4000)),IF($Z792&lt;=5800,IF(INDEX(次果筐明细!$B$4:$B$603,$Z792-5200)=0,"",INDEX(次果筐明细!$B$4:$B$603,$Z792-5200)),"")))))</f>
        <v/>
      </c>
      <c r="C792" s="37" t="str">
        <f>IF($Z792="","",IF($Z792&lt;=2000,IF(INDEX(包装物料出入库明细!$D$4:$D$2003,$Z792-0)=0,"",INDEX(包装物料出入库明细!$D$4:$D$2003,$Z792-0)),IF($Z792&lt;=4000,IF(INDEX(周转筐出入库明细!$C$4:$C$2004,$Z792-2000)=0,"",INDEX(周转筐出入库明细!$C$4:$C$2004,$Z792-2000)),IF($Z792&lt;=5200,IF(INDEX(客户自备加工筐明细!$E$4:$E$1203,$Z792-4000)=0,"",INDEX(客户自备加工筐明细!$E$4:$E$1203,$Z792-4000)),IF($Z792&lt;=5800,IF(INDEX(次果筐明细!$C$4:$C$603,$Z792-5200)=0,"",INDEX(次果筐明细!$C$4:$C$603,$Z792-5200)),"")))))</f>
        <v/>
      </c>
      <c r="D792" s="37" t="str">
        <f>IF($Z792="","",IF($Z792&lt;=2000,"包装物料－"&amp;INDEX(包装物料出入库明细!$H$4:$H$2003,$Z792-0),IF($Z792&lt;=4000,"周转筐－"&amp;INDEX(周转筐出入库明细!$F$4:$F$2004,$Z792-2000),IF($Z792&lt;=5200,"客户自备筐－"&amp;INDEX(客户自备加工筐明细!$J$4:$J$1203,$Z792-4000),IF($Z792&lt;=5800,"次果筐/托盘－"&amp;INDEX(次果筐明细!$F$4:$F$603,$Z792-5200),"")))))</f>
        <v/>
      </c>
      <c r="E792" s="24" t="str">
        <f>IF($Z792="","",IF($Z792&lt;=2000,IF(INDEX(包装物料出入库明细!$C$4:$C$2003,$Z792-0)=0,"",INDEX(包装物料出入库明细!$C$4:$C$2003,$Z792-0)),IF($Z792&lt;=4000,IF(INDEX(周转筐出入库明细!$E$4:$E$2004,$Z792-2000)=0,"",INDEX(周转筐出入库明细!$E$4:$E$2004,$Z792-2000)),IF($Z792&lt;=5200,IF(INDEX(客户自备加工筐明细!$D$4:$D$1203,$Z792-4000)=0,"",INDEX(客户自备加工筐明细!$D$4:$D$1203,$Z792-4000)),IF($Z792&lt;=5800,IF(INDEX(次果筐明细!$E$4:$E$603,$Z792-5200)=0,"",INDEX(次果筐明细!$E$4:$E$603,$Z792-5200)),"")))))</f>
        <v/>
      </c>
      <c r="F792" s="24" t="str">
        <f>IF($Z792="","",IF($Z792&lt;=2000,IF(INDEX(包装物料出入库明细!$E$4:$E$2003,$Z792-0)=0,"",INDEX(包装物料出入库明细!$E$4:$E$2003,$Z792-0)),IF($Z792&lt;=4000,IF(INDEX(周转筐出入库明细!$D$4:$D$2004,$Z792-2000)=0,"",INDEX(周转筐出入库明细!$D$4:$D$2004,$Z792-2000)),IF($Z792&lt;=5200,IF(INDEX(客户自备加工筐明细!$C$4:$C$1203,$Z792-4000)=0,"",INDEX(客户自备加工筐明细!$C$4:$C$1203,$Z792-4000)),IF($Z792&lt;=5800,IF(INDEX(次果筐明细!$D$4:$D$603,$Z792-5200)=0,"",INDEX(次果筐明细!$D$4:$D$603,$Z792-5200)),"")))))</f>
        <v/>
      </c>
      <c r="G792" s="24" t="str">
        <f>IF($Z792="","",IF($Z792&lt;=2000,IF(INDEX(包装物料出入库明细!$F$4:$F$2003,$Z792-0)=0,"",INDEX(包装物料出入库明细!$F$4:$F$2003,$Z792-0)),IF($Z792&lt;=4000,"",IF($Z792&lt;=5200,"",IF($Z792&lt;=5800,"","")))))</f>
        <v/>
      </c>
      <c r="H792" s="39" t="str">
        <f>IF($Z792="","",IF($Z792&lt;=2000,IF(INDEX(包装物料出入库明细!$L$4:$L$2003,$Z792-0)=0,"",INDEX(包装物料出入库明细!$L$4:$L$2003,$Z792-0)),IF($Z792&lt;=4000,N(INDEX(周转筐出入库明细!$H$4:$H$2004,$Z792-2000))+N(INDEX(周转筐出入库明细!$I$4:$I$2004,$Z792-2000))+N(INDEX(周转筐出入库明细!$J$4:$J$2004,$Z792-2000))+N(INDEX(周转筐出入库明细!$K$4:$K$2004,$Z792-2000)),IF($Z792&lt;=5200,N(INDEX(客户自备加工筐明细!$F$4:$F$1203,$Z792-4000))+N(INDEX(客户自备加工筐明细!$G$4:$G$1203,$Z792-4000)),IF($Z792&lt;=5800,IF(INDEX(次果筐明细!$G$4:$G$603,$Z792-5200)=0,"",INDEX(次果筐明细!$G$4:$G$603,$Z792-5200)),"")))))</f>
        <v/>
      </c>
      <c r="I792" s="24" t="str">
        <f>IF($Z792="","",IF($Z792&lt;=2000,IF(INDEX(包装物料出入库明细!$G$4:$G$2003,$Z792-0)=0,"",INDEX(包装物料出入库明细!$G$4:$G$2003,$Z792-0)),IF($Z792&lt;=4000,"个",IF($Z792&lt;=5200,"个",IF($Z792&lt;=5800,"个","")))))</f>
        <v/>
      </c>
      <c r="J792" s="30" t="str">
        <f t="shared" si="37"/>
        <v/>
      </c>
      <c r="K792" s="30" t="str">
        <f>IF($Z792="","",IF($Z792&lt;=2000,IF(INDEX(包装物料出入库明细!$N$4:$N$2003,$Z792-0)=0,"",INDEX(包装物料出入库明细!$N$4:$N$2003,$Z792-0)),IF($Z792&lt;=4000,IF(INDEX(周转筐出入库明细!$P$4:$P$2004,$Z792-2000)=0,"",INDEX(周转筐出入库明细!$P$4:$P$2004,$Z792-2000)),IF($Z792&lt;=5200,"",IF($Z792&lt;=5800,N(INDEX(次果筐明细!$L$4:$L$603,$Z792-5200))+N(INDEX(次果筐明细!$J$4:$J$603,$Z792-5200)),"")))))</f>
        <v/>
      </c>
      <c r="L792" s="24" t="str">
        <f>IF($Z792="","",IF($Z792&lt;=2000,IF(INDEX(包装物料出入库明细!$P$4:$P$2003,$Z792-0)=0,"",INDEX(包装物料出入库明细!$P$4:$P$2003,$Z792-0)),IF($Z792&lt;=4000,IF(INDEX(周转筐出入库明细!$Q$4:$Q$2004,$Z792-2000)=0,"",INDEX(周转筐出入库明细!$Q$4:$Q$2004,$Z792-2000)),IF($Z792&lt;=5200,"",IF($Z792&lt;=5800,IF(INDEX(次果筐明细!$M$4:$M$603,$Z792-5200)=0,"",INDEX(次果筐明细!$M$4:$M$603,$Z792-5200)),"")))))</f>
        <v/>
      </c>
      <c r="M792" s="37" t="str">
        <f>IF($Z792="","",IF($Z792&lt;=2000,IF(INDEX(包装物料出入库明细!$R$4:$R$2003,$Z792-0)=0,"",INDEX(包装物料出入库明细!$R$4:$R$2003,$Z792-0)),IF($Z792&lt;=4000,IF(INDEX(周转筐出入库明细!$W$4:$W$2004,$Z792-2000)=0,"",INDEX(周转筐出入库明细!$W$4:$W$2004,$Z792-2000)),IF($Z792&lt;=5200,IF(INDEX(客户自备加工筐明细!$L$4:$L$1203,$Z792-4000)=0,"",INDEX(客户自备加工筐明细!$L$4:$L$1203,$Z792-4000)),IF($Z792&lt;=5800,IF(INDEX(次果筐明细!$P$4:$P$603,$Z792-5200)=0,"",INDEX(次果筐明细!$P$4:$P$603,$Z792-5200)),"")))))</f>
        <v/>
      </c>
      <c r="N792" s="16" t="str">
        <f>IF($Z792="","",IF($Z792&lt;=2000,"",IF($Z792&lt;=4000,IF(INDEX(周转筐出入库明细!$D$4:$D$2004,$Z792-2000)=0,"",INDEX(周转筐出入库明细!$D$4:$D$2004,$Z792-2000)),IF($Z792&lt;=5200,IF(INDEX(客户自备加工筐明细!$C$4:$C$1203,$Z792-4000)=0,"",INDEX(客户自备加工筐明细!$C$4:$C$1203,$Z792-4000)),IF($Z792&lt;=5800,IF(INDEX(次果筐明细!$D$4:$D$603,$Z792-5200)=0,"",INDEX(次果筐明细!$D$4:$D$603,$Z792-5200)),"")))))</f>
        <v/>
      </c>
      <c r="O792" s="40" t="str">
        <f>IF($Z792="","",IF($Z792&lt;=2000,"",IF($Z792&lt;=4000,IF(N(INDEX(周转筐出入库明细!$J$4:$J$2004,$Z792-2000))+N(INDEX(周转筐出入库明细!$K$4:$K$2004,$Z792-2000))=0,"",N(INDEX(周转筐出入库明细!$J$4:$J$2004,$Z792-2000))+N(INDEX(周转筐出入库明细!$K$4:$K$2004,$Z792-2000))),IF($Z792&lt;=5200,IF(N(INDEX(客户自备加工筐明细!$G$4:$G$1203,$Z792-4000))=0,"",N(INDEX(客户自备加工筐明细!$G$4:$G$1203,$Z792-4000))),IF($Z792&lt;=5800,IF(ISNUMBER(SEARCH("退",INDEX(次果筐明细!$F$4:$F$603,$Z792-5200)&amp;"")),"",IF(N(INDEX(次果筐明细!$G$4:$G$603,$Z792-5200))=0,"",N(INDEX(次果筐明细!$G$4:$G$603,$Z792-5200)))),"")))))</f>
        <v/>
      </c>
      <c r="P792" s="40" t="str">
        <f>IF($Z792="","",IF($Z792&lt;=2000,"",IF($Z792&lt;=4000,IF(N(INDEX(周转筐出入库明细!$I$4:$I$2004,$Z792-2000))=0,"",N(INDEX(周转筐出入库明细!$I$4:$I$2004,$Z792-2000))),IF($Z792&lt;=5200,"",IF($Z792&lt;=5800,IF(ISNUMBER(SEARCH("退",INDEX(次果筐明细!$F$4:$F$603,$Z792-5200)&amp;"")),IF(N(INDEX(次果筐明细!$G$4:$G$603,$Z792-5200))=0,"",N(INDEX(次果筐明细!$G$4:$G$603,$Z792-5200))),""),"")))))</f>
        <v/>
      </c>
      <c r="Q792" s="40" t="str">
        <f>IF($Z792="","",IF($Z792&lt;=2000,"",IF($Z792&lt;=4000,IF(N(INDEX(周转筐出入库明细!$H$4:$H$2004,$Z792-2000))=0,"",N(INDEX(周转筐出入库明细!$H$4:$H$2004,$Z792-2000))),IF($Z792&lt;=5200,IF(N(INDEX(客户自备加工筐明细!$F$4:$F$1203,$Z792-4000))=0,"",N(INDEX(客户自备加工筐明细!$F$4:$F$1203,$Z792-4000))),IF($Z792&lt;=5800,"","")))))</f>
        <v/>
      </c>
      <c r="R792" s="16" t="str">
        <f>IF($Z792="","",IF($Z792&lt;=2000,IF(INDEX(包装物料出入库明细!$O$4:$O$2003,$Z792-0)=0,"",INDEX(包装物料出入库明细!$O$4:$O$2003,$Z792-0)),IF($Z792&lt;=4000,IF(INDEX(周转筐出入库明细!$M$4:$M$2004,$Z792-2000)=0,"",INDEX(周转筐出入库明细!$M$4:$M$2004,$Z792-2000)),IF($Z792&lt;=5200,IF(INDEX(客户自备加工筐明细!$H$4:$H$1203,$Z792-4000)=0,"",INDEX(客户自备加工筐明细!$H$4:$H$1203,$Z792-4000)),IF($Z792&lt;=5800,IF(INDEX(次果筐明细!$H$4:$H$603,$Z792-5200)=0,"",INDEX(次果筐明细!$H$4:$H$603,$Z792-5200)),"")))))</f>
        <v/>
      </c>
      <c r="S792" s="22" t="str">
        <f t="shared" si="38"/>
        <v/>
      </c>
      <c r="Z792" s="10" t="str">
        <f>IFERROR(MATCH(ROW()-3,_自动清单!$CQ$4:$CQ$5803,0),"")</f>
        <v/>
      </c>
    </row>
    <row r="793" spans="1:26">
      <c r="A793" s="24" t="str">
        <f t="shared" si="36"/>
        <v/>
      </c>
      <c r="B793" s="38" t="str">
        <f>IF($Z793="","",IF($Z793&lt;=2000,IF(INDEX(包装物料出入库明细!$B$4:$B$2003,$Z793-0)=0,"",INDEX(包装物料出入库明细!$B$4:$B$2003,$Z793-0)),IF($Z793&lt;=4000,IF(INDEX(周转筐出入库明细!$B$4:$B$2004,$Z793-2000)=0,"",INDEX(周转筐出入库明细!$B$4:$B$2004,$Z793-2000)),IF($Z793&lt;=5200,IF(INDEX(客户自备加工筐明细!$B$4:$B$1203,$Z793-4000)=0,"",INDEX(客户自备加工筐明细!$B$4:$B$1203,$Z793-4000)),IF($Z793&lt;=5800,IF(INDEX(次果筐明细!$B$4:$B$603,$Z793-5200)=0,"",INDEX(次果筐明细!$B$4:$B$603,$Z793-5200)),"")))))</f>
        <v/>
      </c>
      <c r="C793" s="37" t="str">
        <f>IF($Z793="","",IF($Z793&lt;=2000,IF(INDEX(包装物料出入库明细!$D$4:$D$2003,$Z793-0)=0,"",INDEX(包装物料出入库明细!$D$4:$D$2003,$Z793-0)),IF($Z793&lt;=4000,IF(INDEX(周转筐出入库明细!$C$4:$C$2004,$Z793-2000)=0,"",INDEX(周转筐出入库明细!$C$4:$C$2004,$Z793-2000)),IF($Z793&lt;=5200,IF(INDEX(客户自备加工筐明细!$E$4:$E$1203,$Z793-4000)=0,"",INDEX(客户自备加工筐明细!$E$4:$E$1203,$Z793-4000)),IF($Z793&lt;=5800,IF(INDEX(次果筐明细!$C$4:$C$603,$Z793-5200)=0,"",INDEX(次果筐明细!$C$4:$C$603,$Z793-5200)),"")))))</f>
        <v/>
      </c>
      <c r="D793" s="37" t="str">
        <f>IF($Z793="","",IF($Z793&lt;=2000,"包装物料－"&amp;INDEX(包装物料出入库明细!$H$4:$H$2003,$Z793-0),IF($Z793&lt;=4000,"周转筐－"&amp;INDEX(周转筐出入库明细!$F$4:$F$2004,$Z793-2000),IF($Z793&lt;=5200,"客户自备筐－"&amp;INDEX(客户自备加工筐明细!$J$4:$J$1203,$Z793-4000),IF($Z793&lt;=5800,"次果筐/托盘－"&amp;INDEX(次果筐明细!$F$4:$F$603,$Z793-5200),"")))))</f>
        <v/>
      </c>
      <c r="E793" s="24" t="str">
        <f>IF($Z793="","",IF($Z793&lt;=2000,IF(INDEX(包装物料出入库明细!$C$4:$C$2003,$Z793-0)=0,"",INDEX(包装物料出入库明细!$C$4:$C$2003,$Z793-0)),IF($Z793&lt;=4000,IF(INDEX(周转筐出入库明细!$E$4:$E$2004,$Z793-2000)=0,"",INDEX(周转筐出入库明细!$E$4:$E$2004,$Z793-2000)),IF($Z793&lt;=5200,IF(INDEX(客户自备加工筐明细!$D$4:$D$1203,$Z793-4000)=0,"",INDEX(客户自备加工筐明细!$D$4:$D$1203,$Z793-4000)),IF($Z793&lt;=5800,IF(INDEX(次果筐明细!$E$4:$E$603,$Z793-5200)=0,"",INDEX(次果筐明细!$E$4:$E$603,$Z793-5200)),"")))))</f>
        <v/>
      </c>
      <c r="F793" s="24" t="str">
        <f>IF($Z793="","",IF($Z793&lt;=2000,IF(INDEX(包装物料出入库明细!$E$4:$E$2003,$Z793-0)=0,"",INDEX(包装物料出入库明细!$E$4:$E$2003,$Z793-0)),IF($Z793&lt;=4000,IF(INDEX(周转筐出入库明细!$D$4:$D$2004,$Z793-2000)=0,"",INDEX(周转筐出入库明细!$D$4:$D$2004,$Z793-2000)),IF($Z793&lt;=5200,IF(INDEX(客户自备加工筐明细!$C$4:$C$1203,$Z793-4000)=0,"",INDEX(客户自备加工筐明细!$C$4:$C$1203,$Z793-4000)),IF($Z793&lt;=5800,IF(INDEX(次果筐明细!$D$4:$D$603,$Z793-5200)=0,"",INDEX(次果筐明细!$D$4:$D$603,$Z793-5200)),"")))))</f>
        <v/>
      </c>
      <c r="G793" s="24" t="str">
        <f>IF($Z793="","",IF($Z793&lt;=2000,IF(INDEX(包装物料出入库明细!$F$4:$F$2003,$Z793-0)=0,"",INDEX(包装物料出入库明细!$F$4:$F$2003,$Z793-0)),IF($Z793&lt;=4000,"",IF($Z793&lt;=5200,"",IF($Z793&lt;=5800,"","")))))</f>
        <v/>
      </c>
      <c r="H793" s="39" t="str">
        <f>IF($Z793="","",IF($Z793&lt;=2000,IF(INDEX(包装物料出入库明细!$L$4:$L$2003,$Z793-0)=0,"",INDEX(包装物料出入库明细!$L$4:$L$2003,$Z793-0)),IF($Z793&lt;=4000,N(INDEX(周转筐出入库明细!$H$4:$H$2004,$Z793-2000))+N(INDEX(周转筐出入库明细!$I$4:$I$2004,$Z793-2000))+N(INDEX(周转筐出入库明细!$J$4:$J$2004,$Z793-2000))+N(INDEX(周转筐出入库明细!$K$4:$K$2004,$Z793-2000)),IF($Z793&lt;=5200,N(INDEX(客户自备加工筐明细!$F$4:$F$1203,$Z793-4000))+N(INDEX(客户自备加工筐明细!$G$4:$G$1203,$Z793-4000)),IF($Z793&lt;=5800,IF(INDEX(次果筐明细!$G$4:$G$603,$Z793-5200)=0,"",INDEX(次果筐明细!$G$4:$G$603,$Z793-5200)),"")))))</f>
        <v/>
      </c>
      <c r="I793" s="24" t="str">
        <f>IF($Z793="","",IF($Z793&lt;=2000,IF(INDEX(包装物料出入库明细!$G$4:$G$2003,$Z793-0)=0,"",INDEX(包装物料出入库明细!$G$4:$G$2003,$Z793-0)),IF($Z793&lt;=4000,"个",IF($Z793&lt;=5200,"个",IF($Z793&lt;=5800,"个","")))))</f>
        <v/>
      </c>
      <c r="J793" s="30" t="str">
        <f t="shared" si="37"/>
        <v/>
      </c>
      <c r="K793" s="30" t="str">
        <f>IF($Z793="","",IF($Z793&lt;=2000,IF(INDEX(包装物料出入库明细!$N$4:$N$2003,$Z793-0)=0,"",INDEX(包装物料出入库明细!$N$4:$N$2003,$Z793-0)),IF($Z793&lt;=4000,IF(INDEX(周转筐出入库明细!$P$4:$P$2004,$Z793-2000)=0,"",INDEX(周转筐出入库明细!$P$4:$P$2004,$Z793-2000)),IF($Z793&lt;=5200,"",IF($Z793&lt;=5800,N(INDEX(次果筐明细!$L$4:$L$603,$Z793-5200))+N(INDEX(次果筐明细!$J$4:$J$603,$Z793-5200)),"")))))</f>
        <v/>
      </c>
      <c r="L793" s="24" t="str">
        <f>IF($Z793="","",IF($Z793&lt;=2000,IF(INDEX(包装物料出入库明细!$P$4:$P$2003,$Z793-0)=0,"",INDEX(包装物料出入库明细!$P$4:$P$2003,$Z793-0)),IF($Z793&lt;=4000,IF(INDEX(周转筐出入库明细!$Q$4:$Q$2004,$Z793-2000)=0,"",INDEX(周转筐出入库明细!$Q$4:$Q$2004,$Z793-2000)),IF($Z793&lt;=5200,"",IF($Z793&lt;=5800,IF(INDEX(次果筐明细!$M$4:$M$603,$Z793-5200)=0,"",INDEX(次果筐明细!$M$4:$M$603,$Z793-5200)),"")))))</f>
        <v/>
      </c>
      <c r="M793" s="37" t="str">
        <f>IF($Z793="","",IF($Z793&lt;=2000,IF(INDEX(包装物料出入库明细!$R$4:$R$2003,$Z793-0)=0,"",INDEX(包装物料出入库明细!$R$4:$R$2003,$Z793-0)),IF($Z793&lt;=4000,IF(INDEX(周转筐出入库明细!$W$4:$W$2004,$Z793-2000)=0,"",INDEX(周转筐出入库明细!$W$4:$W$2004,$Z793-2000)),IF($Z793&lt;=5200,IF(INDEX(客户自备加工筐明细!$L$4:$L$1203,$Z793-4000)=0,"",INDEX(客户自备加工筐明细!$L$4:$L$1203,$Z793-4000)),IF($Z793&lt;=5800,IF(INDEX(次果筐明细!$P$4:$P$603,$Z793-5200)=0,"",INDEX(次果筐明细!$P$4:$P$603,$Z793-5200)),"")))))</f>
        <v/>
      </c>
      <c r="N793" s="16" t="str">
        <f>IF($Z793="","",IF($Z793&lt;=2000,"",IF($Z793&lt;=4000,IF(INDEX(周转筐出入库明细!$D$4:$D$2004,$Z793-2000)=0,"",INDEX(周转筐出入库明细!$D$4:$D$2004,$Z793-2000)),IF($Z793&lt;=5200,IF(INDEX(客户自备加工筐明细!$C$4:$C$1203,$Z793-4000)=0,"",INDEX(客户自备加工筐明细!$C$4:$C$1203,$Z793-4000)),IF($Z793&lt;=5800,IF(INDEX(次果筐明细!$D$4:$D$603,$Z793-5200)=0,"",INDEX(次果筐明细!$D$4:$D$603,$Z793-5200)),"")))))</f>
        <v/>
      </c>
      <c r="O793" s="40" t="str">
        <f>IF($Z793="","",IF($Z793&lt;=2000,"",IF($Z793&lt;=4000,IF(N(INDEX(周转筐出入库明细!$J$4:$J$2004,$Z793-2000))+N(INDEX(周转筐出入库明细!$K$4:$K$2004,$Z793-2000))=0,"",N(INDEX(周转筐出入库明细!$J$4:$J$2004,$Z793-2000))+N(INDEX(周转筐出入库明细!$K$4:$K$2004,$Z793-2000))),IF($Z793&lt;=5200,IF(N(INDEX(客户自备加工筐明细!$G$4:$G$1203,$Z793-4000))=0,"",N(INDEX(客户自备加工筐明细!$G$4:$G$1203,$Z793-4000))),IF($Z793&lt;=5800,IF(ISNUMBER(SEARCH("退",INDEX(次果筐明细!$F$4:$F$603,$Z793-5200)&amp;"")),"",IF(N(INDEX(次果筐明细!$G$4:$G$603,$Z793-5200))=0,"",N(INDEX(次果筐明细!$G$4:$G$603,$Z793-5200)))),"")))))</f>
        <v/>
      </c>
      <c r="P793" s="40" t="str">
        <f>IF($Z793="","",IF($Z793&lt;=2000,"",IF($Z793&lt;=4000,IF(N(INDEX(周转筐出入库明细!$I$4:$I$2004,$Z793-2000))=0,"",N(INDEX(周转筐出入库明细!$I$4:$I$2004,$Z793-2000))),IF($Z793&lt;=5200,"",IF($Z793&lt;=5800,IF(ISNUMBER(SEARCH("退",INDEX(次果筐明细!$F$4:$F$603,$Z793-5200)&amp;"")),IF(N(INDEX(次果筐明细!$G$4:$G$603,$Z793-5200))=0,"",N(INDEX(次果筐明细!$G$4:$G$603,$Z793-5200))),""),"")))))</f>
        <v/>
      </c>
      <c r="Q793" s="40" t="str">
        <f>IF($Z793="","",IF($Z793&lt;=2000,"",IF($Z793&lt;=4000,IF(N(INDEX(周转筐出入库明细!$H$4:$H$2004,$Z793-2000))=0,"",N(INDEX(周转筐出入库明细!$H$4:$H$2004,$Z793-2000))),IF($Z793&lt;=5200,IF(N(INDEX(客户自备加工筐明细!$F$4:$F$1203,$Z793-4000))=0,"",N(INDEX(客户自备加工筐明细!$F$4:$F$1203,$Z793-4000))),IF($Z793&lt;=5800,"","")))))</f>
        <v/>
      </c>
      <c r="R793" s="16" t="str">
        <f>IF($Z793="","",IF($Z793&lt;=2000,IF(INDEX(包装物料出入库明细!$O$4:$O$2003,$Z793-0)=0,"",INDEX(包装物料出入库明细!$O$4:$O$2003,$Z793-0)),IF($Z793&lt;=4000,IF(INDEX(周转筐出入库明细!$M$4:$M$2004,$Z793-2000)=0,"",INDEX(周转筐出入库明细!$M$4:$M$2004,$Z793-2000)),IF($Z793&lt;=5200,IF(INDEX(客户自备加工筐明细!$H$4:$H$1203,$Z793-4000)=0,"",INDEX(客户自备加工筐明细!$H$4:$H$1203,$Z793-4000)),IF($Z793&lt;=5800,IF(INDEX(次果筐明细!$H$4:$H$603,$Z793-5200)=0,"",INDEX(次果筐明细!$H$4:$H$603,$Z793-5200)),"")))))</f>
        <v/>
      </c>
      <c r="S793" s="22" t="str">
        <f t="shared" si="38"/>
        <v/>
      </c>
      <c r="Z793" s="10" t="str">
        <f>IFERROR(MATCH(ROW()-3,_自动清单!$CQ$4:$CQ$5803,0),"")</f>
        <v/>
      </c>
    </row>
    <row r="794" spans="1:26">
      <c r="A794" s="24" t="str">
        <f t="shared" si="36"/>
        <v/>
      </c>
      <c r="B794" s="38" t="str">
        <f>IF($Z794="","",IF($Z794&lt;=2000,IF(INDEX(包装物料出入库明细!$B$4:$B$2003,$Z794-0)=0,"",INDEX(包装物料出入库明细!$B$4:$B$2003,$Z794-0)),IF($Z794&lt;=4000,IF(INDEX(周转筐出入库明细!$B$4:$B$2004,$Z794-2000)=0,"",INDEX(周转筐出入库明细!$B$4:$B$2004,$Z794-2000)),IF($Z794&lt;=5200,IF(INDEX(客户自备加工筐明细!$B$4:$B$1203,$Z794-4000)=0,"",INDEX(客户自备加工筐明细!$B$4:$B$1203,$Z794-4000)),IF($Z794&lt;=5800,IF(INDEX(次果筐明细!$B$4:$B$603,$Z794-5200)=0,"",INDEX(次果筐明细!$B$4:$B$603,$Z794-5200)),"")))))</f>
        <v/>
      </c>
      <c r="C794" s="37" t="str">
        <f>IF($Z794="","",IF($Z794&lt;=2000,IF(INDEX(包装物料出入库明细!$D$4:$D$2003,$Z794-0)=0,"",INDEX(包装物料出入库明细!$D$4:$D$2003,$Z794-0)),IF($Z794&lt;=4000,IF(INDEX(周转筐出入库明细!$C$4:$C$2004,$Z794-2000)=0,"",INDEX(周转筐出入库明细!$C$4:$C$2004,$Z794-2000)),IF($Z794&lt;=5200,IF(INDEX(客户自备加工筐明细!$E$4:$E$1203,$Z794-4000)=0,"",INDEX(客户自备加工筐明细!$E$4:$E$1203,$Z794-4000)),IF($Z794&lt;=5800,IF(INDEX(次果筐明细!$C$4:$C$603,$Z794-5200)=0,"",INDEX(次果筐明细!$C$4:$C$603,$Z794-5200)),"")))))</f>
        <v/>
      </c>
      <c r="D794" s="37" t="str">
        <f>IF($Z794="","",IF($Z794&lt;=2000,"包装物料－"&amp;INDEX(包装物料出入库明细!$H$4:$H$2003,$Z794-0),IF($Z794&lt;=4000,"周转筐－"&amp;INDEX(周转筐出入库明细!$F$4:$F$2004,$Z794-2000),IF($Z794&lt;=5200,"客户自备筐－"&amp;INDEX(客户自备加工筐明细!$J$4:$J$1203,$Z794-4000),IF($Z794&lt;=5800,"次果筐/托盘－"&amp;INDEX(次果筐明细!$F$4:$F$603,$Z794-5200),"")))))</f>
        <v/>
      </c>
      <c r="E794" s="24" t="str">
        <f>IF($Z794="","",IF($Z794&lt;=2000,IF(INDEX(包装物料出入库明细!$C$4:$C$2003,$Z794-0)=0,"",INDEX(包装物料出入库明细!$C$4:$C$2003,$Z794-0)),IF($Z794&lt;=4000,IF(INDEX(周转筐出入库明细!$E$4:$E$2004,$Z794-2000)=0,"",INDEX(周转筐出入库明细!$E$4:$E$2004,$Z794-2000)),IF($Z794&lt;=5200,IF(INDEX(客户自备加工筐明细!$D$4:$D$1203,$Z794-4000)=0,"",INDEX(客户自备加工筐明细!$D$4:$D$1203,$Z794-4000)),IF($Z794&lt;=5800,IF(INDEX(次果筐明细!$E$4:$E$603,$Z794-5200)=0,"",INDEX(次果筐明细!$E$4:$E$603,$Z794-5200)),"")))))</f>
        <v/>
      </c>
      <c r="F794" s="24" t="str">
        <f>IF($Z794="","",IF($Z794&lt;=2000,IF(INDEX(包装物料出入库明细!$E$4:$E$2003,$Z794-0)=0,"",INDEX(包装物料出入库明细!$E$4:$E$2003,$Z794-0)),IF($Z794&lt;=4000,IF(INDEX(周转筐出入库明细!$D$4:$D$2004,$Z794-2000)=0,"",INDEX(周转筐出入库明细!$D$4:$D$2004,$Z794-2000)),IF($Z794&lt;=5200,IF(INDEX(客户自备加工筐明细!$C$4:$C$1203,$Z794-4000)=0,"",INDEX(客户自备加工筐明细!$C$4:$C$1203,$Z794-4000)),IF($Z794&lt;=5800,IF(INDEX(次果筐明细!$D$4:$D$603,$Z794-5200)=0,"",INDEX(次果筐明细!$D$4:$D$603,$Z794-5200)),"")))))</f>
        <v/>
      </c>
      <c r="G794" s="24" t="str">
        <f>IF($Z794="","",IF($Z794&lt;=2000,IF(INDEX(包装物料出入库明细!$F$4:$F$2003,$Z794-0)=0,"",INDEX(包装物料出入库明细!$F$4:$F$2003,$Z794-0)),IF($Z794&lt;=4000,"",IF($Z794&lt;=5200,"",IF($Z794&lt;=5800,"","")))))</f>
        <v/>
      </c>
      <c r="H794" s="39" t="str">
        <f>IF($Z794="","",IF($Z794&lt;=2000,IF(INDEX(包装物料出入库明细!$L$4:$L$2003,$Z794-0)=0,"",INDEX(包装物料出入库明细!$L$4:$L$2003,$Z794-0)),IF($Z794&lt;=4000,N(INDEX(周转筐出入库明细!$H$4:$H$2004,$Z794-2000))+N(INDEX(周转筐出入库明细!$I$4:$I$2004,$Z794-2000))+N(INDEX(周转筐出入库明细!$J$4:$J$2004,$Z794-2000))+N(INDEX(周转筐出入库明细!$K$4:$K$2004,$Z794-2000)),IF($Z794&lt;=5200,N(INDEX(客户自备加工筐明细!$F$4:$F$1203,$Z794-4000))+N(INDEX(客户自备加工筐明细!$G$4:$G$1203,$Z794-4000)),IF($Z794&lt;=5800,IF(INDEX(次果筐明细!$G$4:$G$603,$Z794-5200)=0,"",INDEX(次果筐明细!$G$4:$G$603,$Z794-5200)),"")))))</f>
        <v/>
      </c>
      <c r="I794" s="24" t="str">
        <f>IF($Z794="","",IF($Z794&lt;=2000,IF(INDEX(包装物料出入库明细!$G$4:$G$2003,$Z794-0)=0,"",INDEX(包装物料出入库明细!$G$4:$G$2003,$Z794-0)),IF($Z794&lt;=4000,"个",IF($Z794&lt;=5200,"个",IF($Z794&lt;=5800,"个","")))))</f>
        <v/>
      </c>
      <c r="J794" s="30" t="str">
        <f t="shared" si="37"/>
        <v/>
      </c>
      <c r="K794" s="30" t="str">
        <f>IF($Z794="","",IF($Z794&lt;=2000,IF(INDEX(包装物料出入库明细!$N$4:$N$2003,$Z794-0)=0,"",INDEX(包装物料出入库明细!$N$4:$N$2003,$Z794-0)),IF($Z794&lt;=4000,IF(INDEX(周转筐出入库明细!$P$4:$P$2004,$Z794-2000)=0,"",INDEX(周转筐出入库明细!$P$4:$P$2004,$Z794-2000)),IF($Z794&lt;=5200,"",IF($Z794&lt;=5800,N(INDEX(次果筐明细!$L$4:$L$603,$Z794-5200))+N(INDEX(次果筐明细!$J$4:$J$603,$Z794-5200)),"")))))</f>
        <v/>
      </c>
      <c r="L794" s="24" t="str">
        <f>IF($Z794="","",IF($Z794&lt;=2000,IF(INDEX(包装物料出入库明细!$P$4:$P$2003,$Z794-0)=0,"",INDEX(包装物料出入库明细!$P$4:$P$2003,$Z794-0)),IF($Z794&lt;=4000,IF(INDEX(周转筐出入库明细!$Q$4:$Q$2004,$Z794-2000)=0,"",INDEX(周转筐出入库明细!$Q$4:$Q$2004,$Z794-2000)),IF($Z794&lt;=5200,"",IF($Z794&lt;=5800,IF(INDEX(次果筐明细!$M$4:$M$603,$Z794-5200)=0,"",INDEX(次果筐明细!$M$4:$M$603,$Z794-5200)),"")))))</f>
        <v/>
      </c>
      <c r="M794" s="37" t="str">
        <f>IF($Z794="","",IF($Z794&lt;=2000,IF(INDEX(包装物料出入库明细!$R$4:$R$2003,$Z794-0)=0,"",INDEX(包装物料出入库明细!$R$4:$R$2003,$Z794-0)),IF($Z794&lt;=4000,IF(INDEX(周转筐出入库明细!$W$4:$W$2004,$Z794-2000)=0,"",INDEX(周转筐出入库明细!$W$4:$W$2004,$Z794-2000)),IF($Z794&lt;=5200,IF(INDEX(客户自备加工筐明细!$L$4:$L$1203,$Z794-4000)=0,"",INDEX(客户自备加工筐明细!$L$4:$L$1203,$Z794-4000)),IF($Z794&lt;=5800,IF(INDEX(次果筐明细!$P$4:$P$603,$Z794-5200)=0,"",INDEX(次果筐明细!$P$4:$P$603,$Z794-5200)),"")))))</f>
        <v/>
      </c>
      <c r="N794" s="16" t="str">
        <f>IF($Z794="","",IF($Z794&lt;=2000,"",IF($Z794&lt;=4000,IF(INDEX(周转筐出入库明细!$D$4:$D$2004,$Z794-2000)=0,"",INDEX(周转筐出入库明细!$D$4:$D$2004,$Z794-2000)),IF($Z794&lt;=5200,IF(INDEX(客户自备加工筐明细!$C$4:$C$1203,$Z794-4000)=0,"",INDEX(客户自备加工筐明细!$C$4:$C$1203,$Z794-4000)),IF($Z794&lt;=5800,IF(INDEX(次果筐明细!$D$4:$D$603,$Z794-5200)=0,"",INDEX(次果筐明细!$D$4:$D$603,$Z794-5200)),"")))))</f>
        <v/>
      </c>
      <c r="O794" s="40" t="str">
        <f>IF($Z794="","",IF($Z794&lt;=2000,"",IF($Z794&lt;=4000,IF(N(INDEX(周转筐出入库明细!$J$4:$J$2004,$Z794-2000))+N(INDEX(周转筐出入库明细!$K$4:$K$2004,$Z794-2000))=0,"",N(INDEX(周转筐出入库明细!$J$4:$J$2004,$Z794-2000))+N(INDEX(周转筐出入库明细!$K$4:$K$2004,$Z794-2000))),IF($Z794&lt;=5200,IF(N(INDEX(客户自备加工筐明细!$G$4:$G$1203,$Z794-4000))=0,"",N(INDEX(客户自备加工筐明细!$G$4:$G$1203,$Z794-4000))),IF($Z794&lt;=5800,IF(ISNUMBER(SEARCH("退",INDEX(次果筐明细!$F$4:$F$603,$Z794-5200)&amp;"")),"",IF(N(INDEX(次果筐明细!$G$4:$G$603,$Z794-5200))=0,"",N(INDEX(次果筐明细!$G$4:$G$603,$Z794-5200)))),"")))))</f>
        <v/>
      </c>
      <c r="P794" s="40" t="str">
        <f>IF($Z794="","",IF($Z794&lt;=2000,"",IF($Z794&lt;=4000,IF(N(INDEX(周转筐出入库明细!$I$4:$I$2004,$Z794-2000))=0,"",N(INDEX(周转筐出入库明细!$I$4:$I$2004,$Z794-2000))),IF($Z794&lt;=5200,"",IF($Z794&lt;=5800,IF(ISNUMBER(SEARCH("退",INDEX(次果筐明细!$F$4:$F$603,$Z794-5200)&amp;"")),IF(N(INDEX(次果筐明细!$G$4:$G$603,$Z794-5200))=0,"",N(INDEX(次果筐明细!$G$4:$G$603,$Z794-5200))),""),"")))))</f>
        <v/>
      </c>
      <c r="Q794" s="40" t="str">
        <f>IF($Z794="","",IF($Z794&lt;=2000,"",IF($Z794&lt;=4000,IF(N(INDEX(周转筐出入库明细!$H$4:$H$2004,$Z794-2000))=0,"",N(INDEX(周转筐出入库明细!$H$4:$H$2004,$Z794-2000))),IF($Z794&lt;=5200,IF(N(INDEX(客户自备加工筐明细!$F$4:$F$1203,$Z794-4000))=0,"",N(INDEX(客户自备加工筐明细!$F$4:$F$1203,$Z794-4000))),IF($Z794&lt;=5800,"","")))))</f>
        <v/>
      </c>
      <c r="R794" s="16" t="str">
        <f>IF($Z794="","",IF($Z794&lt;=2000,IF(INDEX(包装物料出入库明细!$O$4:$O$2003,$Z794-0)=0,"",INDEX(包装物料出入库明细!$O$4:$O$2003,$Z794-0)),IF($Z794&lt;=4000,IF(INDEX(周转筐出入库明细!$M$4:$M$2004,$Z794-2000)=0,"",INDEX(周转筐出入库明细!$M$4:$M$2004,$Z794-2000)),IF($Z794&lt;=5200,IF(INDEX(客户自备加工筐明细!$H$4:$H$1203,$Z794-4000)=0,"",INDEX(客户自备加工筐明细!$H$4:$H$1203,$Z794-4000)),IF($Z794&lt;=5800,IF(INDEX(次果筐明细!$H$4:$H$603,$Z794-5200)=0,"",INDEX(次果筐明细!$H$4:$H$603,$Z794-5200)),"")))))</f>
        <v/>
      </c>
      <c r="S794" s="22" t="str">
        <f t="shared" si="38"/>
        <v/>
      </c>
      <c r="Z794" s="10" t="str">
        <f>IFERROR(MATCH(ROW()-3,_自动清单!$CQ$4:$CQ$5803,0),"")</f>
        <v/>
      </c>
    </row>
    <row r="795" spans="1:26">
      <c r="A795" s="24" t="str">
        <f t="shared" si="36"/>
        <v/>
      </c>
      <c r="B795" s="38" t="str">
        <f>IF($Z795="","",IF($Z795&lt;=2000,IF(INDEX(包装物料出入库明细!$B$4:$B$2003,$Z795-0)=0,"",INDEX(包装物料出入库明细!$B$4:$B$2003,$Z795-0)),IF($Z795&lt;=4000,IF(INDEX(周转筐出入库明细!$B$4:$B$2004,$Z795-2000)=0,"",INDEX(周转筐出入库明细!$B$4:$B$2004,$Z795-2000)),IF($Z795&lt;=5200,IF(INDEX(客户自备加工筐明细!$B$4:$B$1203,$Z795-4000)=0,"",INDEX(客户自备加工筐明细!$B$4:$B$1203,$Z795-4000)),IF($Z795&lt;=5800,IF(INDEX(次果筐明细!$B$4:$B$603,$Z795-5200)=0,"",INDEX(次果筐明细!$B$4:$B$603,$Z795-5200)),"")))))</f>
        <v/>
      </c>
      <c r="C795" s="37" t="str">
        <f>IF($Z795="","",IF($Z795&lt;=2000,IF(INDEX(包装物料出入库明细!$D$4:$D$2003,$Z795-0)=0,"",INDEX(包装物料出入库明细!$D$4:$D$2003,$Z795-0)),IF($Z795&lt;=4000,IF(INDEX(周转筐出入库明细!$C$4:$C$2004,$Z795-2000)=0,"",INDEX(周转筐出入库明细!$C$4:$C$2004,$Z795-2000)),IF($Z795&lt;=5200,IF(INDEX(客户自备加工筐明细!$E$4:$E$1203,$Z795-4000)=0,"",INDEX(客户自备加工筐明细!$E$4:$E$1203,$Z795-4000)),IF($Z795&lt;=5800,IF(INDEX(次果筐明细!$C$4:$C$603,$Z795-5200)=0,"",INDEX(次果筐明细!$C$4:$C$603,$Z795-5200)),"")))))</f>
        <v/>
      </c>
      <c r="D795" s="37" t="str">
        <f>IF($Z795="","",IF($Z795&lt;=2000,"包装物料－"&amp;INDEX(包装物料出入库明细!$H$4:$H$2003,$Z795-0),IF($Z795&lt;=4000,"周转筐－"&amp;INDEX(周转筐出入库明细!$F$4:$F$2004,$Z795-2000),IF($Z795&lt;=5200,"客户自备筐－"&amp;INDEX(客户自备加工筐明细!$J$4:$J$1203,$Z795-4000),IF($Z795&lt;=5800,"次果筐/托盘－"&amp;INDEX(次果筐明细!$F$4:$F$603,$Z795-5200),"")))))</f>
        <v/>
      </c>
      <c r="E795" s="24" t="str">
        <f>IF($Z795="","",IF($Z795&lt;=2000,IF(INDEX(包装物料出入库明细!$C$4:$C$2003,$Z795-0)=0,"",INDEX(包装物料出入库明细!$C$4:$C$2003,$Z795-0)),IF($Z795&lt;=4000,IF(INDEX(周转筐出入库明细!$E$4:$E$2004,$Z795-2000)=0,"",INDEX(周转筐出入库明细!$E$4:$E$2004,$Z795-2000)),IF($Z795&lt;=5200,IF(INDEX(客户自备加工筐明细!$D$4:$D$1203,$Z795-4000)=0,"",INDEX(客户自备加工筐明细!$D$4:$D$1203,$Z795-4000)),IF($Z795&lt;=5800,IF(INDEX(次果筐明细!$E$4:$E$603,$Z795-5200)=0,"",INDEX(次果筐明细!$E$4:$E$603,$Z795-5200)),"")))))</f>
        <v/>
      </c>
      <c r="F795" s="24" t="str">
        <f>IF($Z795="","",IF($Z795&lt;=2000,IF(INDEX(包装物料出入库明细!$E$4:$E$2003,$Z795-0)=0,"",INDEX(包装物料出入库明细!$E$4:$E$2003,$Z795-0)),IF($Z795&lt;=4000,IF(INDEX(周转筐出入库明细!$D$4:$D$2004,$Z795-2000)=0,"",INDEX(周转筐出入库明细!$D$4:$D$2004,$Z795-2000)),IF($Z795&lt;=5200,IF(INDEX(客户自备加工筐明细!$C$4:$C$1203,$Z795-4000)=0,"",INDEX(客户自备加工筐明细!$C$4:$C$1203,$Z795-4000)),IF($Z795&lt;=5800,IF(INDEX(次果筐明细!$D$4:$D$603,$Z795-5200)=0,"",INDEX(次果筐明细!$D$4:$D$603,$Z795-5200)),"")))))</f>
        <v/>
      </c>
      <c r="G795" s="24" t="str">
        <f>IF($Z795="","",IF($Z795&lt;=2000,IF(INDEX(包装物料出入库明细!$F$4:$F$2003,$Z795-0)=0,"",INDEX(包装物料出入库明细!$F$4:$F$2003,$Z795-0)),IF($Z795&lt;=4000,"",IF($Z795&lt;=5200,"",IF($Z795&lt;=5800,"","")))))</f>
        <v/>
      </c>
      <c r="H795" s="39" t="str">
        <f>IF($Z795="","",IF($Z795&lt;=2000,IF(INDEX(包装物料出入库明细!$L$4:$L$2003,$Z795-0)=0,"",INDEX(包装物料出入库明细!$L$4:$L$2003,$Z795-0)),IF($Z795&lt;=4000,N(INDEX(周转筐出入库明细!$H$4:$H$2004,$Z795-2000))+N(INDEX(周转筐出入库明细!$I$4:$I$2004,$Z795-2000))+N(INDEX(周转筐出入库明细!$J$4:$J$2004,$Z795-2000))+N(INDEX(周转筐出入库明细!$K$4:$K$2004,$Z795-2000)),IF($Z795&lt;=5200,N(INDEX(客户自备加工筐明细!$F$4:$F$1203,$Z795-4000))+N(INDEX(客户自备加工筐明细!$G$4:$G$1203,$Z795-4000)),IF($Z795&lt;=5800,IF(INDEX(次果筐明细!$G$4:$G$603,$Z795-5200)=0,"",INDEX(次果筐明细!$G$4:$G$603,$Z795-5200)),"")))))</f>
        <v/>
      </c>
      <c r="I795" s="24" t="str">
        <f>IF($Z795="","",IF($Z795&lt;=2000,IF(INDEX(包装物料出入库明细!$G$4:$G$2003,$Z795-0)=0,"",INDEX(包装物料出入库明细!$G$4:$G$2003,$Z795-0)),IF($Z795&lt;=4000,"个",IF($Z795&lt;=5200,"个",IF($Z795&lt;=5800,"个","")))))</f>
        <v/>
      </c>
      <c r="J795" s="30" t="str">
        <f t="shared" si="37"/>
        <v/>
      </c>
      <c r="K795" s="30" t="str">
        <f>IF($Z795="","",IF($Z795&lt;=2000,IF(INDEX(包装物料出入库明细!$N$4:$N$2003,$Z795-0)=0,"",INDEX(包装物料出入库明细!$N$4:$N$2003,$Z795-0)),IF($Z795&lt;=4000,IF(INDEX(周转筐出入库明细!$P$4:$P$2004,$Z795-2000)=0,"",INDEX(周转筐出入库明细!$P$4:$P$2004,$Z795-2000)),IF($Z795&lt;=5200,"",IF($Z795&lt;=5800,N(INDEX(次果筐明细!$L$4:$L$603,$Z795-5200))+N(INDEX(次果筐明细!$J$4:$J$603,$Z795-5200)),"")))))</f>
        <v/>
      </c>
      <c r="L795" s="24" t="str">
        <f>IF($Z795="","",IF($Z795&lt;=2000,IF(INDEX(包装物料出入库明细!$P$4:$P$2003,$Z795-0)=0,"",INDEX(包装物料出入库明细!$P$4:$P$2003,$Z795-0)),IF($Z795&lt;=4000,IF(INDEX(周转筐出入库明细!$Q$4:$Q$2004,$Z795-2000)=0,"",INDEX(周转筐出入库明细!$Q$4:$Q$2004,$Z795-2000)),IF($Z795&lt;=5200,"",IF($Z795&lt;=5800,IF(INDEX(次果筐明细!$M$4:$M$603,$Z795-5200)=0,"",INDEX(次果筐明细!$M$4:$M$603,$Z795-5200)),"")))))</f>
        <v/>
      </c>
      <c r="M795" s="37" t="str">
        <f>IF($Z795="","",IF($Z795&lt;=2000,IF(INDEX(包装物料出入库明细!$R$4:$R$2003,$Z795-0)=0,"",INDEX(包装物料出入库明细!$R$4:$R$2003,$Z795-0)),IF($Z795&lt;=4000,IF(INDEX(周转筐出入库明细!$W$4:$W$2004,$Z795-2000)=0,"",INDEX(周转筐出入库明细!$W$4:$W$2004,$Z795-2000)),IF($Z795&lt;=5200,IF(INDEX(客户自备加工筐明细!$L$4:$L$1203,$Z795-4000)=0,"",INDEX(客户自备加工筐明细!$L$4:$L$1203,$Z795-4000)),IF($Z795&lt;=5800,IF(INDEX(次果筐明细!$P$4:$P$603,$Z795-5200)=0,"",INDEX(次果筐明细!$P$4:$P$603,$Z795-5200)),"")))))</f>
        <v/>
      </c>
      <c r="N795" s="16" t="str">
        <f>IF($Z795="","",IF($Z795&lt;=2000,"",IF($Z795&lt;=4000,IF(INDEX(周转筐出入库明细!$D$4:$D$2004,$Z795-2000)=0,"",INDEX(周转筐出入库明细!$D$4:$D$2004,$Z795-2000)),IF($Z795&lt;=5200,IF(INDEX(客户自备加工筐明细!$C$4:$C$1203,$Z795-4000)=0,"",INDEX(客户自备加工筐明细!$C$4:$C$1203,$Z795-4000)),IF($Z795&lt;=5800,IF(INDEX(次果筐明细!$D$4:$D$603,$Z795-5200)=0,"",INDEX(次果筐明细!$D$4:$D$603,$Z795-5200)),"")))))</f>
        <v/>
      </c>
      <c r="O795" s="40" t="str">
        <f>IF($Z795="","",IF($Z795&lt;=2000,"",IF($Z795&lt;=4000,IF(N(INDEX(周转筐出入库明细!$J$4:$J$2004,$Z795-2000))+N(INDEX(周转筐出入库明细!$K$4:$K$2004,$Z795-2000))=0,"",N(INDEX(周转筐出入库明细!$J$4:$J$2004,$Z795-2000))+N(INDEX(周转筐出入库明细!$K$4:$K$2004,$Z795-2000))),IF($Z795&lt;=5200,IF(N(INDEX(客户自备加工筐明细!$G$4:$G$1203,$Z795-4000))=0,"",N(INDEX(客户自备加工筐明细!$G$4:$G$1203,$Z795-4000))),IF($Z795&lt;=5800,IF(ISNUMBER(SEARCH("退",INDEX(次果筐明细!$F$4:$F$603,$Z795-5200)&amp;"")),"",IF(N(INDEX(次果筐明细!$G$4:$G$603,$Z795-5200))=0,"",N(INDEX(次果筐明细!$G$4:$G$603,$Z795-5200)))),"")))))</f>
        <v/>
      </c>
      <c r="P795" s="40" t="str">
        <f>IF($Z795="","",IF($Z795&lt;=2000,"",IF($Z795&lt;=4000,IF(N(INDEX(周转筐出入库明细!$I$4:$I$2004,$Z795-2000))=0,"",N(INDEX(周转筐出入库明细!$I$4:$I$2004,$Z795-2000))),IF($Z795&lt;=5200,"",IF($Z795&lt;=5800,IF(ISNUMBER(SEARCH("退",INDEX(次果筐明细!$F$4:$F$603,$Z795-5200)&amp;"")),IF(N(INDEX(次果筐明细!$G$4:$G$603,$Z795-5200))=0,"",N(INDEX(次果筐明细!$G$4:$G$603,$Z795-5200))),""),"")))))</f>
        <v/>
      </c>
      <c r="Q795" s="40" t="str">
        <f>IF($Z795="","",IF($Z795&lt;=2000,"",IF($Z795&lt;=4000,IF(N(INDEX(周转筐出入库明细!$H$4:$H$2004,$Z795-2000))=0,"",N(INDEX(周转筐出入库明细!$H$4:$H$2004,$Z795-2000))),IF($Z795&lt;=5200,IF(N(INDEX(客户自备加工筐明细!$F$4:$F$1203,$Z795-4000))=0,"",N(INDEX(客户自备加工筐明细!$F$4:$F$1203,$Z795-4000))),IF($Z795&lt;=5800,"","")))))</f>
        <v/>
      </c>
      <c r="R795" s="16" t="str">
        <f>IF($Z795="","",IF($Z795&lt;=2000,IF(INDEX(包装物料出入库明细!$O$4:$O$2003,$Z795-0)=0,"",INDEX(包装物料出入库明细!$O$4:$O$2003,$Z795-0)),IF($Z795&lt;=4000,IF(INDEX(周转筐出入库明细!$M$4:$M$2004,$Z795-2000)=0,"",INDEX(周转筐出入库明细!$M$4:$M$2004,$Z795-2000)),IF($Z795&lt;=5200,IF(INDEX(客户自备加工筐明细!$H$4:$H$1203,$Z795-4000)=0,"",INDEX(客户自备加工筐明细!$H$4:$H$1203,$Z795-4000)),IF($Z795&lt;=5800,IF(INDEX(次果筐明细!$H$4:$H$603,$Z795-5200)=0,"",INDEX(次果筐明细!$H$4:$H$603,$Z795-5200)),"")))))</f>
        <v/>
      </c>
      <c r="S795" s="22" t="str">
        <f t="shared" si="38"/>
        <v/>
      </c>
      <c r="Z795" s="10" t="str">
        <f>IFERROR(MATCH(ROW()-3,_自动清单!$CQ$4:$CQ$5803,0),"")</f>
        <v/>
      </c>
    </row>
    <row r="796" spans="1:26">
      <c r="A796" s="24" t="str">
        <f t="shared" si="36"/>
        <v/>
      </c>
      <c r="B796" s="38" t="str">
        <f>IF($Z796="","",IF($Z796&lt;=2000,IF(INDEX(包装物料出入库明细!$B$4:$B$2003,$Z796-0)=0,"",INDEX(包装物料出入库明细!$B$4:$B$2003,$Z796-0)),IF($Z796&lt;=4000,IF(INDEX(周转筐出入库明细!$B$4:$B$2004,$Z796-2000)=0,"",INDEX(周转筐出入库明细!$B$4:$B$2004,$Z796-2000)),IF($Z796&lt;=5200,IF(INDEX(客户自备加工筐明细!$B$4:$B$1203,$Z796-4000)=0,"",INDEX(客户自备加工筐明细!$B$4:$B$1203,$Z796-4000)),IF($Z796&lt;=5800,IF(INDEX(次果筐明细!$B$4:$B$603,$Z796-5200)=0,"",INDEX(次果筐明细!$B$4:$B$603,$Z796-5200)),"")))))</f>
        <v/>
      </c>
      <c r="C796" s="37" t="str">
        <f>IF($Z796="","",IF($Z796&lt;=2000,IF(INDEX(包装物料出入库明细!$D$4:$D$2003,$Z796-0)=0,"",INDEX(包装物料出入库明细!$D$4:$D$2003,$Z796-0)),IF($Z796&lt;=4000,IF(INDEX(周转筐出入库明细!$C$4:$C$2004,$Z796-2000)=0,"",INDEX(周转筐出入库明细!$C$4:$C$2004,$Z796-2000)),IF($Z796&lt;=5200,IF(INDEX(客户自备加工筐明细!$E$4:$E$1203,$Z796-4000)=0,"",INDEX(客户自备加工筐明细!$E$4:$E$1203,$Z796-4000)),IF($Z796&lt;=5800,IF(INDEX(次果筐明细!$C$4:$C$603,$Z796-5200)=0,"",INDEX(次果筐明细!$C$4:$C$603,$Z796-5200)),"")))))</f>
        <v/>
      </c>
      <c r="D796" s="37" t="str">
        <f>IF($Z796="","",IF($Z796&lt;=2000,"包装物料－"&amp;INDEX(包装物料出入库明细!$H$4:$H$2003,$Z796-0),IF($Z796&lt;=4000,"周转筐－"&amp;INDEX(周转筐出入库明细!$F$4:$F$2004,$Z796-2000),IF($Z796&lt;=5200,"客户自备筐－"&amp;INDEX(客户自备加工筐明细!$J$4:$J$1203,$Z796-4000),IF($Z796&lt;=5800,"次果筐/托盘－"&amp;INDEX(次果筐明细!$F$4:$F$603,$Z796-5200),"")))))</f>
        <v/>
      </c>
      <c r="E796" s="24" t="str">
        <f>IF($Z796="","",IF($Z796&lt;=2000,IF(INDEX(包装物料出入库明细!$C$4:$C$2003,$Z796-0)=0,"",INDEX(包装物料出入库明细!$C$4:$C$2003,$Z796-0)),IF($Z796&lt;=4000,IF(INDEX(周转筐出入库明细!$E$4:$E$2004,$Z796-2000)=0,"",INDEX(周转筐出入库明细!$E$4:$E$2004,$Z796-2000)),IF($Z796&lt;=5200,IF(INDEX(客户自备加工筐明细!$D$4:$D$1203,$Z796-4000)=0,"",INDEX(客户自备加工筐明细!$D$4:$D$1203,$Z796-4000)),IF($Z796&lt;=5800,IF(INDEX(次果筐明细!$E$4:$E$603,$Z796-5200)=0,"",INDEX(次果筐明细!$E$4:$E$603,$Z796-5200)),"")))))</f>
        <v/>
      </c>
      <c r="F796" s="24" t="str">
        <f>IF($Z796="","",IF($Z796&lt;=2000,IF(INDEX(包装物料出入库明细!$E$4:$E$2003,$Z796-0)=0,"",INDEX(包装物料出入库明细!$E$4:$E$2003,$Z796-0)),IF($Z796&lt;=4000,IF(INDEX(周转筐出入库明细!$D$4:$D$2004,$Z796-2000)=0,"",INDEX(周转筐出入库明细!$D$4:$D$2004,$Z796-2000)),IF($Z796&lt;=5200,IF(INDEX(客户自备加工筐明细!$C$4:$C$1203,$Z796-4000)=0,"",INDEX(客户自备加工筐明细!$C$4:$C$1203,$Z796-4000)),IF($Z796&lt;=5800,IF(INDEX(次果筐明细!$D$4:$D$603,$Z796-5200)=0,"",INDEX(次果筐明细!$D$4:$D$603,$Z796-5200)),"")))))</f>
        <v/>
      </c>
      <c r="G796" s="24" t="str">
        <f>IF($Z796="","",IF($Z796&lt;=2000,IF(INDEX(包装物料出入库明细!$F$4:$F$2003,$Z796-0)=0,"",INDEX(包装物料出入库明细!$F$4:$F$2003,$Z796-0)),IF($Z796&lt;=4000,"",IF($Z796&lt;=5200,"",IF($Z796&lt;=5800,"","")))))</f>
        <v/>
      </c>
      <c r="H796" s="39" t="str">
        <f>IF($Z796="","",IF($Z796&lt;=2000,IF(INDEX(包装物料出入库明细!$L$4:$L$2003,$Z796-0)=0,"",INDEX(包装物料出入库明细!$L$4:$L$2003,$Z796-0)),IF($Z796&lt;=4000,N(INDEX(周转筐出入库明细!$H$4:$H$2004,$Z796-2000))+N(INDEX(周转筐出入库明细!$I$4:$I$2004,$Z796-2000))+N(INDEX(周转筐出入库明细!$J$4:$J$2004,$Z796-2000))+N(INDEX(周转筐出入库明细!$K$4:$K$2004,$Z796-2000)),IF($Z796&lt;=5200,N(INDEX(客户自备加工筐明细!$F$4:$F$1203,$Z796-4000))+N(INDEX(客户自备加工筐明细!$G$4:$G$1203,$Z796-4000)),IF($Z796&lt;=5800,IF(INDEX(次果筐明细!$G$4:$G$603,$Z796-5200)=0,"",INDEX(次果筐明细!$G$4:$G$603,$Z796-5200)),"")))))</f>
        <v/>
      </c>
      <c r="I796" s="24" t="str">
        <f>IF($Z796="","",IF($Z796&lt;=2000,IF(INDEX(包装物料出入库明细!$G$4:$G$2003,$Z796-0)=0,"",INDEX(包装物料出入库明细!$G$4:$G$2003,$Z796-0)),IF($Z796&lt;=4000,"个",IF($Z796&lt;=5200,"个",IF($Z796&lt;=5800,"个","")))))</f>
        <v/>
      </c>
      <c r="J796" s="30" t="str">
        <f t="shared" si="37"/>
        <v/>
      </c>
      <c r="K796" s="30" t="str">
        <f>IF($Z796="","",IF($Z796&lt;=2000,IF(INDEX(包装物料出入库明细!$N$4:$N$2003,$Z796-0)=0,"",INDEX(包装物料出入库明细!$N$4:$N$2003,$Z796-0)),IF($Z796&lt;=4000,IF(INDEX(周转筐出入库明细!$P$4:$P$2004,$Z796-2000)=0,"",INDEX(周转筐出入库明细!$P$4:$P$2004,$Z796-2000)),IF($Z796&lt;=5200,"",IF($Z796&lt;=5800,N(INDEX(次果筐明细!$L$4:$L$603,$Z796-5200))+N(INDEX(次果筐明细!$J$4:$J$603,$Z796-5200)),"")))))</f>
        <v/>
      </c>
      <c r="L796" s="24" t="str">
        <f>IF($Z796="","",IF($Z796&lt;=2000,IF(INDEX(包装物料出入库明细!$P$4:$P$2003,$Z796-0)=0,"",INDEX(包装物料出入库明细!$P$4:$P$2003,$Z796-0)),IF($Z796&lt;=4000,IF(INDEX(周转筐出入库明细!$Q$4:$Q$2004,$Z796-2000)=0,"",INDEX(周转筐出入库明细!$Q$4:$Q$2004,$Z796-2000)),IF($Z796&lt;=5200,"",IF($Z796&lt;=5800,IF(INDEX(次果筐明细!$M$4:$M$603,$Z796-5200)=0,"",INDEX(次果筐明细!$M$4:$M$603,$Z796-5200)),"")))))</f>
        <v/>
      </c>
      <c r="M796" s="37" t="str">
        <f>IF($Z796="","",IF($Z796&lt;=2000,IF(INDEX(包装物料出入库明细!$R$4:$R$2003,$Z796-0)=0,"",INDEX(包装物料出入库明细!$R$4:$R$2003,$Z796-0)),IF($Z796&lt;=4000,IF(INDEX(周转筐出入库明细!$W$4:$W$2004,$Z796-2000)=0,"",INDEX(周转筐出入库明细!$W$4:$W$2004,$Z796-2000)),IF($Z796&lt;=5200,IF(INDEX(客户自备加工筐明细!$L$4:$L$1203,$Z796-4000)=0,"",INDEX(客户自备加工筐明细!$L$4:$L$1203,$Z796-4000)),IF($Z796&lt;=5800,IF(INDEX(次果筐明细!$P$4:$P$603,$Z796-5200)=0,"",INDEX(次果筐明细!$P$4:$P$603,$Z796-5200)),"")))))</f>
        <v/>
      </c>
      <c r="N796" s="16" t="str">
        <f>IF($Z796="","",IF($Z796&lt;=2000,"",IF($Z796&lt;=4000,IF(INDEX(周转筐出入库明细!$D$4:$D$2004,$Z796-2000)=0,"",INDEX(周转筐出入库明细!$D$4:$D$2004,$Z796-2000)),IF($Z796&lt;=5200,IF(INDEX(客户自备加工筐明细!$C$4:$C$1203,$Z796-4000)=0,"",INDEX(客户自备加工筐明细!$C$4:$C$1203,$Z796-4000)),IF($Z796&lt;=5800,IF(INDEX(次果筐明细!$D$4:$D$603,$Z796-5200)=0,"",INDEX(次果筐明细!$D$4:$D$603,$Z796-5200)),"")))))</f>
        <v/>
      </c>
      <c r="O796" s="40" t="str">
        <f>IF($Z796="","",IF($Z796&lt;=2000,"",IF($Z796&lt;=4000,IF(N(INDEX(周转筐出入库明细!$J$4:$J$2004,$Z796-2000))+N(INDEX(周转筐出入库明细!$K$4:$K$2004,$Z796-2000))=0,"",N(INDEX(周转筐出入库明细!$J$4:$J$2004,$Z796-2000))+N(INDEX(周转筐出入库明细!$K$4:$K$2004,$Z796-2000))),IF($Z796&lt;=5200,IF(N(INDEX(客户自备加工筐明细!$G$4:$G$1203,$Z796-4000))=0,"",N(INDEX(客户自备加工筐明细!$G$4:$G$1203,$Z796-4000))),IF($Z796&lt;=5800,IF(ISNUMBER(SEARCH("退",INDEX(次果筐明细!$F$4:$F$603,$Z796-5200)&amp;"")),"",IF(N(INDEX(次果筐明细!$G$4:$G$603,$Z796-5200))=0,"",N(INDEX(次果筐明细!$G$4:$G$603,$Z796-5200)))),"")))))</f>
        <v/>
      </c>
      <c r="P796" s="40" t="str">
        <f>IF($Z796="","",IF($Z796&lt;=2000,"",IF($Z796&lt;=4000,IF(N(INDEX(周转筐出入库明细!$I$4:$I$2004,$Z796-2000))=0,"",N(INDEX(周转筐出入库明细!$I$4:$I$2004,$Z796-2000))),IF($Z796&lt;=5200,"",IF($Z796&lt;=5800,IF(ISNUMBER(SEARCH("退",INDEX(次果筐明细!$F$4:$F$603,$Z796-5200)&amp;"")),IF(N(INDEX(次果筐明细!$G$4:$G$603,$Z796-5200))=0,"",N(INDEX(次果筐明细!$G$4:$G$603,$Z796-5200))),""),"")))))</f>
        <v/>
      </c>
      <c r="Q796" s="40" t="str">
        <f>IF($Z796="","",IF($Z796&lt;=2000,"",IF($Z796&lt;=4000,IF(N(INDEX(周转筐出入库明细!$H$4:$H$2004,$Z796-2000))=0,"",N(INDEX(周转筐出入库明细!$H$4:$H$2004,$Z796-2000))),IF($Z796&lt;=5200,IF(N(INDEX(客户自备加工筐明细!$F$4:$F$1203,$Z796-4000))=0,"",N(INDEX(客户自备加工筐明细!$F$4:$F$1203,$Z796-4000))),IF($Z796&lt;=5800,"","")))))</f>
        <v/>
      </c>
      <c r="R796" s="16" t="str">
        <f>IF($Z796="","",IF($Z796&lt;=2000,IF(INDEX(包装物料出入库明细!$O$4:$O$2003,$Z796-0)=0,"",INDEX(包装物料出入库明细!$O$4:$O$2003,$Z796-0)),IF($Z796&lt;=4000,IF(INDEX(周转筐出入库明细!$M$4:$M$2004,$Z796-2000)=0,"",INDEX(周转筐出入库明细!$M$4:$M$2004,$Z796-2000)),IF($Z796&lt;=5200,IF(INDEX(客户自备加工筐明细!$H$4:$H$1203,$Z796-4000)=0,"",INDEX(客户自备加工筐明细!$H$4:$H$1203,$Z796-4000)),IF($Z796&lt;=5800,IF(INDEX(次果筐明细!$H$4:$H$603,$Z796-5200)=0,"",INDEX(次果筐明细!$H$4:$H$603,$Z796-5200)),"")))))</f>
        <v/>
      </c>
      <c r="S796" s="22" t="str">
        <f t="shared" si="38"/>
        <v/>
      </c>
      <c r="Z796" s="10" t="str">
        <f>IFERROR(MATCH(ROW()-3,_自动清单!$CQ$4:$CQ$5803,0),"")</f>
        <v/>
      </c>
    </row>
    <row r="797" spans="1:26">
      <c r="A797" s="24" t="str">
        <f t="shared" si="36"/>
        <v/>
      </c>
      <c r="B797" s="38" t="str">
        <f>IF($Z797="","",IF($Z797&lt;=2000,IF(INDEX(包装物料出入库明细!$B$4:$B$2003,$Z797-0)=0,"",INDEX(包装物料出入库明细!$B$4:$B$2003,$Z797-0)),IF($Z797&lt;=4000,IF(INDEX(周转筐出入库明细!$B$4:$B$2004,$Z797-2000)=0,"",INDEX(周转筐出入库明细!$B$4:$B$2004,$Z797-2000)),IF($Z797&lt;=5200,IF(INDEX(客户自备加工筐明细!$B$4:$B$1203,$Z797-4000)=0,"",INDEX(客户自备加工筐明细!$B$4:$B$1203,$Z797-4000)),IF($Z797&lt;=5800,IF(INDEX(次果筐明细!$B$4:$B$603,$Z797-5200)=0,"",INDEX(次果筐明细!$B$4:$B$603,$Z797-5200)),"")))))</f>
        <v/>
      </c>
      <c r="C797" s="37" t="str">
        <f>IF($Z797="","",IF($Z797&lt;=2000,IF(INDEX(包装物料出入库明细!$D$4:$D$2003,$Z797-0)=0,"",INDEX(包装物料出入库明细!$D$4:$D$2003,$Z797-0)),IF($Z797&lt;=4000,IF(INDEX(周转筐出入库明细!$C$4:$C$2004,$Z797-2000)=0,"",INDEX(周转筐出入库明细!$C$4:$C$2004,$Z797-2000)),IF($Z797&lt;=5200,IF(INDEX(客户自备加工筐明细!$E$4:$E$1203,$Z797-4000)=0,"",INDEX(客户自备加工筐明细!$E$4:$E$1203,$Z797-4000)),IF($Z797&lt;=5800,IF(INDEX(次果筐明细!$C$4:$C$603,$Z797-5200)=0,"",INDEX(次果筐明细!$C$4:$C$603,$Z797-5200)),"")))))</f>
        <v/>
      </c>
      <c r="D797" s="37" t="str">
        <f>IF($Z797="","",IF($Z797&lt;=2000,"包装物料－"&amp;INDEX(包装物料出入库明细!$H$4:$H$2003,$Z797-0),IF($Z797&lt;=4000,"周转筐－"&amp;INDEX(周转筐出入库明细!$F$4:$F$2004,$Z797-2000),IF($Z797&lt;=5200,"客户自备筐－"&amp;INDEX(客户自备加工筐明细!$J$4:$J$1203,$Z797-4000),IF($Z797&lt;=5800,"次果筐/托盘－"&amp;INDEX(次果筐明细!$F$4:$F$603,$Z797-5200),"")))))</f>
        <v/>
      </c>
      <c r="E797" s="24" t="str">
        <f>IF($Z797="","",IF($Z797&lt;=2000,IF(INDEX(包装物料出入库明细!$C$4:$C$2003,$Z797-0)=0,"",INDEX(包装物料出入库明细!$C$4:$C$2003,$Z797-0)),IF($Z797&lt;=4000,IF(INDEX(周转筐出入库明细!$E$4:$E$2004,$Z797-2000)=0,"",INDEX(周转筐出入库明细!$E$4:$E$2004,$Z797-2000)),IF($Z797&lt;=5200,IF(INDEX(客户自备加工筐明细!$D$4:$D$1203,$Z797-4000)=0,"",INDEX(客户自备加工筐明细!$D$4:$D$1203,$Z797-4000)),IF($Z797&lt;=5800,IF(INDEX(次果筐明细!$E$4:$E$603,$Z797-5200)=0,"",INDEX(次果筐明细!$E$4:$E$603,$Z797-5200)),"")))))</f>
        <v/>
      </c>
      <c r="F797" s="24" t="str">
        <f>IF($Z797="","",IF($Z797&lt;=2000,IF(INDEX(包装物料出入库明细!$E$4:$E$2003,$Z797-0)=0,"",INDEX(包装物料出入库明细!$E$4:$E$2003,$Z797-0)),IF($Z797&lt;=4000,IF(INDEX(周转筐出入库明细!$D$4:$D$2004,$Z797-2000)=0,"",INDEX(周转筐出入库明细!$D$4:$D$2004,$Z797-2000)),IF($Z797&lt;=5200,IF(INDEX(客户自备加工筐明细!$C$4:$C$1203,$Z797-4000)=0,"",INDEX(客户自备加工筐明细!$C$4:$C$1203,$Z797-4000)),IF($Z797&lt;=5800,IF(INDEX(次果筐明细!$D$4:$D$603,$Z797-5200)=0,"",INDEX(次果筐明细!$D$4:$D$603,$Z797-5200)),"")))))</f>
        <v/>
      </c>
      <c r="G797" s="24" t="str">
        <f>IF($Z797="","",IF($Z797&lt;=2000,IF(INDEX(包装物料出入库明细!$F$4:$F$2003,$Z797-0)=0,"",INDEX(包装物料出入库明细!$F$4:$F$2003,$Z797-0)),IF($Z797&lt;=4000,"",IF($Z797&lt;=5200,"",IF($Z797&lt;=5800,"","")))))</f>
        <v/>
      </c>
      <c r="H797" s="39" t="str">
        <f>IF($Z797="","",IF($Z797&lt;=2000,IF(INDEX(包装物料出入库明细!$L$4:$L$2003,$Z797-0)=0,"",INDEX(包装物料出入库明细!$L$4:$L$2003,$Z797-0)),IF($Z797&lt;=4000,N(INDEX(周转筐出入库明细!$H$4:$H$2004,$Z797-2000))+N(INDEX(周转筐出入库明细!$I$4:$I$2004,$Z797-2000))+N(INDEX(周转筐出入库明细!$J$4:$J$2004,$Z797-2000))+N(INDEX(周转筐出入库明细!$K$4:$K$2004,$Z797-2000)),IF($Z797&lt;=5200,N(INDEX(客户自备加工筐明细!$F$4:$F$1203,$Z797-4000))+N(INDEX(客户自备加工筐明细!$G$4:$G$1203,$Z797-4000)),IF($Z797&lt;=5800,IF(INDEX(次果筐明细!$G$4:$G$603,$Z797-5200)=0,"",INDEX(次果筐明细!$G$4:$G$603,$Z797-5200)),"")))))</f>
        <v/>
      </c>
      <c r="I797" s="24" t="str">
        <f>IF($Z797="","",IF($Z797&lt;=2000,IF(INDEX(包装物料出入库明细!$G$4:$G$2003,$Z797-0)=0,"",INDEX(包装物料出入库明细!$G$4:$G$2003,$Z797-0)),IF($Z797&lt;=4000,"个",IF($Z797&lt;=5200,"个",IF($Z797&lt;=5800,"个","")))))</f>
        <v/>
      </c>
      <c r="J797" s="30" t="str">
        <f t="shared" si="37"/>
        <v/>
      </c>
      <c r="K797" s="30" t="str">
        <f>IF($Z797="","",IF($Z797&lt;=2000,IF(INDEX(包装物料出入库明细!$N$4:$N$2003,$Z797-0)=0,"",INDEX(包装物料出入库明细!$N$4:$N$2003,$Z797-0)),IF($Z797&lt;=4000,IF(INDEX(周转筐出入库明细!$P$4:$P$2004,$Z797-2000)=0,"",INDEX(周转筐出入库明细!$P$4:$P$2004,$Z797-2000)),IF($Z797&lt;=5200,"",IF($Z797&lt;=5800,N(INDEX(次果筐明细!$L$4:$L$603,$Z797-5200))+N(INDEX(次果筐明细!$J$4:$J$603,$Z797-5200)),"")))))</f>
        <v/>
      </c>
      <c r="L797" s="24" t="str">
        <f>IF($Z797="","",IF($Z797&lt;=2000,IF(INDEX(包装物料出入库明细!$P$4:$P$2003,$Z797-0)=0,"",INDEX(包装物料出入库明细!$P$4:$P$2003,$Z797-0)),IF($Z797&lt;=4000,IF(INDEX(周转筐出入库明细!$Q$4:$Q$2004,$Z797-2000)=0,"",INDEX(周转筐出入库明细!$Q$4:$Q$2004,$Z797-2000)),IF($Z797&lt;=5200,"",IF($Z797&lt;=5800,IF(INDEX(次果筐明细!$M$4:$M$603,$Z797-5200)=0,"",INDEX(次果筐明细!$M$4:$M$603,$Z797-5200)),"")))))</f>
        <v/>
      </c>
      <c r="M797" s="37" t="str">
        <f>IF($Z797="","",IF($Z797&lt;=2000,IF(INDEX(包装物料出入库明细!$R$4:$R$2003,$Z797-0)=0,"",INDEX(包装物料出入库明细!$R$4:$R$2003,$Z797-0)),IF($Z797&lt;=4000,IF(INDEX(周转筐出入库明细!$W$4:$W$2004,$Z797-2000)=0,"",INDEX(周转筐出入库明细!$W$4:$W$2004,$Z797-2000)),IF($Z797&lt;=5200,IF(INDEX(客户自备加工筐明细!$L$4:$L$1203,$Z797-4000)=0,"",INDEX(客户自备加工筐明细!$L$4:$L$1203,$Z797-4000)),IF($Z797&lt;=5800,IF(INDEX(次果筐明细!$P$4:$P$603,$Z797-5200)=0,"",INDEX(次果筐明细!$P$4:$P$603,$Z797-5200)),"")))))</f>
        <v/>
      </c>
      <c r="N797" s="16" t="str">
        <f>IF($Z797="","",IF($Z797&lt;=2000,"",IF($Z797&lt;=4000,IF(INDEX(周转筐出入库明细!$D$4:$D$2004,$Z797-2000)=0,"",INDEX(周转筐出入库明细!$D$4:$D$2004,$Z797-2000)),IF($Z797&lt;=5200,IF(INDEX(客户自备加工筐明细!$C$4:$C$1203,$Z797-4000)=0,"",INDEX(客户自备加工筐明细!$C$4:$C$1203,$Z797-4000)),IF($Z797&lt;=5800,IF(INDEX(次果筐明细!$D$4:$D$603,$Z797-5200)=0,"",INDEX(次果筐明细!$D$4:$D$603,$Z797-5200)),"")))))</f>
        <v/>
      </c>
      <c r="O797" s="40" t="str">
        <f>IF($Z797="","",IF($Z797&lt;=2000,"",IF($Z797&lt;=4000,IF(N(INDEX(周转筐出入库明细!$J$4:$J$2004,$Z797-2000))+N(INDEX(周转筐出入库明细!$K$4:$K$2004,$Z797-2000))=0,"",N(INDEX(周转筐出入库明细!$J$4:$J$2004,$Z797-2000))+N(INDEX(周转筐出入库明细!$K$4:$K$2004,$Z797-2000))),IF($Z797&lt;=5200,IF(N(INDEX(客户自备加工筐明细!$G$4:$G$1203,$Z797-4000))=0,"",N(INDEX(客户自备加工筐明细!$G$4:$G$1203,$Z797-4000))),IF($Z797&lt;=5800,IF(ISNUMBER(SEARCH("退",INDEX(次果筐明细!$F$4:$F$603,$Z797-5200)&amp;"")),"",IF(N(INDEX(次果筐明细!$G$4:$G$603,$Z797-5200))=0,"",N(INDEX(次果筐明细!$G$4:$G$603,$Z797-5200)))),"")))))</f>
        <v/>
      </c>
      <c r="P797" s="40" t="str">
        <f>IF($Z797="","",IF($Z797&lt;=2000,"",IF($Z797&lt;=4000,IF(N(INDEX(周转筐出入库明细!$I$4:$I$2004,$Z797-2000))=0,"",N(INDEX(周转筐出入库明细!$I$4:$I$2004,$Z797-2000))),IF($Z797&lt;=5200,"",IF($Z797&lt;=5800,IF(ISNUMBER(SEARCH("退",INDEX(次果筐明细!$F$4:$F$603,$Z797-5200)&amp;"")),IF(N(INDEX(次果筐明细!$G$4:$G$603,$Z797-5200))=0,"",N(INDEX(次果筐明细!$G$4:$G$603,$Z797-5200))),""),"")))))</f>
        <v/>
      </c>
      <c r="Q797" s="40" t="str">
        <f>IF($Z797="","",IF($Z797&lt;=2000,"",IF($Z797&lt;=4000,IF(N(INDEX(周转筐出入库明细!$H$4:$H$2004,$Z797-2000))=0,"",N(INDEX(周转筐出入库明细!$H$4:$H$2004,$Z797-2000))),IF($Z797&lt;=5200,IF(N(INDEX(客户自备加工筐明细!$F$4:$F$1203,$Z797-4000))=0,"",N(INDEX(客户自备加工筐明细!$F$4:$F$1203,$Z797-4000))),IF($Z797&lt;=5800,"","")))))</f>
        <v/>
      </c>
      <c r="R797" s="16" t="str">
        <f>IF($Z797="","",IF($Z797&lt;=2000,IF(INDEX(包装物料出入库明细!$O$4:$O$2003,$Z797-0)=0,"",INDEX(包装物料出入库明细!$O$4:$O$2003,$Z797-0)),IF($Z797&lt;=4000,IF(INDEX(周转筐出入库明细!$M$4:$M$2004,$Z797-2000)=0,"",INDEX(周转筐出入库明细!$M$4:$M$2004,$Z797-2000)),IF($Z797&lt;=5200,IF(INDEX(客户自备加工筐明细!$H$4:$H$1203,$Z797-4000)=0,"",INDEX(客户自备加工筐明细!$H$4:$H$1203,$Z797-4000)),IF($Z797&lt;=5800,IF(INDEX(次果筐明细!$H$4:$H$603,$Z797-5200)=0,"",INDEX(次果筐明细!$H$4:$H$603,$Z797-5200)),"")))))</f>
        <v/>
      </c>
      <c r="S797" s="22" t="str">
        <f t="shared" si="38"/>
        <v/>
      </c>
      <c r="Z797" s="10" t="str">
        <f>IFERROR(MATCH(ROW()-3,_自动清单!$CQ$4:$CQ$5803,0),"")</f>
        <v/>
      </c>
    </row>
    <row r="798" spans="1:26">
      <c r="A798" s="24" t="str">
        <f t="shared" si="36"/>
        <v/>
      </c>
      <c r="B798" s="38" t="str">
        <f>IF($Z798="","",IF($Z798&lt;=2000,IF(INDEX(包装物料出入库明细!$B$4:$B$2003,$Z798-0)=0,"",INDEX(包装物料出入库明细!$B$4:$B$2003,$Z798-0)),IF($Z798&lt;=4000,IF(INDEX(周转筐出入库明细!$B$4:$B$2004,$Z798-2000)=0,"",INDEX(周转筐出入库明细!$B$4:$B$2004,$Z798-2000)),IF($Z798&lt;=5200,IF(INDEX(客户自备加工筐明细!$B$4:$B$1203,$Z798-4000)=0,"",INDEX(客户自备加工筐明细!$B$4:$B$1203,$Z798-4000)),IF($Z798&lt;=5800,IF(INDEX(次果筐明细!$B$4:$B$603,$Z798-5200)=0,"",INDEX(次果筐明细!$B$4:$B$603,$Z798-5200)),"")))))</f>
        <v/>
      </c>
      <c r="C798" s="37" t="str">
        <f>IF($Z798="","",IF($Z798&lt;=2000,IF(INDEX(包装物料出入库明细!$D$4:$D$2003,$Z798-0)=0,"",INDEX(包装物料出入库明细!$D$4:$D$2003,$Z798-0)),IF($Z798&lt;=4000,IF(INDEX(周转筐出入库明细!$C$4:$C$2004,$Z798-2000)=0,"",INDEX(周转筐出入库明细!$C$4:$C$2004,$Z798-2000)),IF($Z798&lt;=5200,IF(INDEX(客户自备加工筐明细!$E$4:$E$1203,$Z798-4000)=0,"",INDEX(客户自备加工筐明细!$E$4:$E$1203,$Z798-4000)),IF($Z798&lt;=5800,IF(INDEX(次果筐明细!$C$4:$C$603,$Z798-5200)=0,"",INDEX(次果筐明细!$C$4:$C$603,$Z798-5200)),"")))))</f>
        <v/>
      </c>
      <c r="D798" s="37" t="str">
        <f>IF($Z798="","",IF($Z798&lt;=2000,"包装物料－"&amp;INDEX(包装物料出入库明细!$H$4:$H$2003,$Z798-0),IF($Z798&lt;=4000,"周转筐－"&amp;INDEX(周转筐出入库明细!$F$4:$F$2004,$Z798-2000),IF($Z798&lt;=5200,"客户自备筐－"&amp;INDEX(客户自备加工筐明细!$J$4:$J$1203,$Z798-4000),IF($Z798&lt;=5800,"次果筐/托盘－"&amp;INDEX(次果筐明细!$F$4:$F$603,$Z798-5200),"")))))</f>
        <v/>
      </c>
      <c r="E798" s="24" t="str">
        <f>IF($Z798="","",IF($Z798&lt;=2000,IF(INDEX(包装物料出入库明细!$C$4:$C$2003,$Z798-0)=0,"",INDEX(包装物料出入库明细!$C$4:$C$2003,$Z798-0)),IF($Z798&lt;=4000,IF(INDEX(周转筐出入库明细!$E$4:$E$2004,$Z798-2000)=0,"",INDEX(周转筐出入库明细!$E$4:$E$2004,$Z798-2000)),IF($Z798&lt;=5200,IF(INDEX(客户自备加工筐明细!$D$4:$D$1203,$Z798-4000)=0,"",INDEX(客户自备加工筐明细!$D$4:$D$1203,$Z798-4000)),IF($Z798&lt;=5800,IF(INDEX(次果筐明细!$E$4:$E$603,$Z798-5200)=0,"",INDEX(次果筐明细!$E$4:$E$603,$Z798-5200)),"")))))</f>
        <v/>
      </c>
      <c r="F798" s="24" t="str">
        <f>IF($Z798="","",IF($Z798&lt;=2000,IF(INDEX(包装物料出入库明细!$E$4:$E$2003,$Z798-0)=0,"",INDEX(包装物料出入库明细!$E$4:$E$2003,$Z798-0)),IF($Z798&lt;=4000,IF(INDEX(周转筐出入库明细!$D$4:$D$2004,$Z798-2000)=0,"",INDEX(周转筐出入库明细!$D$4:$D$2004,$Z798-2000)),IF($Z798&lt;=5200,IF(INDEX(客户自备加工筐明细!$C$4:$C$1203,$Z798-4000)=0,"",INDEX(客户自备加工筐明细!$C$4:$C$1203,$Z798-4000)),IF($Z798&lt;=5800,IF(INDEX(次果筐明细!$D$4:$D$603,$Z798-5200)=0,"",INDEX(次果筐明细!$D$4:$D$603,$Z798-5200)),"")))))</f>
        <v/>
      </c>
      <c r="G798" s="24" t="str">
        <f>IF($Z798="","",IF($Z798&lt;=2000,IF(INDEX(包装物料出入库明细!$F$4:$F$2003,$Z798-0)=0,"",INDEX(包装物料出入库明细!$F$4:$F$2003,$Z798-0)),IF($Z798&lt;=4000,"",IF($Z798&lt;=5200,"",IF($Z798&lt;=5800,"","")))))</f>
        <v/>
      </c>
      <c r="H798" s="39" t="str">
        <f>IF($Z798="","",IF($Z798&lt;=2000,IF(INDEX(包装物料出入库明细!$L$4:$L$2003,$Z798-0)=0,"",INDEX(包装物料出入库明细!$L$4:$L$2003,$Z798-0)),IF($Z798&lt;=4000,N(INDEX(周转筐出入库明细!$H$4:$H$2004,$Z798-2000))+N(INDEX(周转筐出入库明细!$I$4:$I$2004,$Z798-2000))+N(INDEX(周转筐出入库明细!$J$4:$J$2004,$Z798-2000))+N(INDEX(周转筐出入库明细!$K$4:$K$2004,$Z798-2000)),IF($Z798&lt;=5200,N(INDEX(客户自备加工筐明细!$F$4:$F$1203,$Z798-4000))+N(INDEX(客户自备加工筐明细!$G$4:$G$1203,$Z798-4000)),IF($Z798&lt;=5800,IF(INDEX(次果筐明细!$G$4:$G$603,$Z798-5200)=0,"",INDEX(次果筐明细!$G$4:$G$603,$Z798-5200)),"")))))</f>
        <v/>
      </c>
      <c r="I798" s="24" t="str">
        <f>IF($Z798="","",IF($Z798&lt;=2000,IF(INDEX(包装物料出入库明细!$G$4:$G$2003,$Z798-0)=0,"",INDEX(包装物料出入库明细!$G$4:$G$2003,$Z798-0)),IF($Z798&lt;=4000,"个",IF($Z798&lt;=5200,"个",IF($Z798&lt;=5800,"个","")))))</f>
        <v/>
      </c>
      <c r="J798" s="30" t="str">
        <f t="shared" si="37"/>
        <v/>
      </c>
      <c r="K798" s="30" t="str">
        <f>IF($Z798="","",IF($Z798&lt;=2000,IF(INDEX(包装物料出入库明细!$N$4:$N$2003,$Z798-0)=0,"",INDEX(包装物料出入库明细!$N$4:$N$2003,$Z798-0)),IF($Z798&lt;=4000,IF(INDEX(周转筐出入库明细!$P$4:$P$2004,$Z798-2000)=0,"",INDEX(周转筐出入库明细!$P$4:$P$2004,$Z798-2000)),IF($Z798&lt;=5200,"",IF($Z798&lt;=5800,N(INDEX(次果筐明细!$L$4:$L$603,$Z798-5200))+N(INDEX(次果筐明细!$J$4:$J$603,$Z798-5200)),"")))))</f>
        <v/>
      </c>
      <c r="L798" s="24" t="str">
        <f>IF($Z798="","",IF($Z798&lt;=2000,IF(INDEX(包装物料出入库明细!$P$4:$P$2003,$Z798-0)=0,"",INDEX(包装物料出入库明细!$P$4:$P$2003,$Z798-0)),IF($Z798&lt;=4000,IF(INDEX(周转筐出入库明细!$Q$4:$Q$2004,$Z798-2000)=0,"",INDEX(周转筐出入库明细!$Q$4:$Q$2004,$Z798-2000)),IF($Z798&lt;=5200,"",IF($Z798&lt;=5800,IF(INDEX(次果筐明细!$M$4:$M$603,$Z798-5200)=0,"",INDEX(次果筐明细!$M$4:$M$603,$Z798-5200)),"")))))</f>
        <v/>
      </c>
      <c r="M798" s="37" t="str">
        <f>IF($Z798="","",IF($Z798&lt;=2000,IF(INDEX(包装物料出入库明细!$R$4:$R$2003,$Z798-0)=0,"",INDEX(包装物料出入库明细!$R$4:$R$2003,$Z798-0)),IF($Z798&lt;=4000,IF(INDEX(周转筐出入库明细!$W$4:$W$2004,$Z798-2000)=0,"",INDEX(周转筐出入库明细!$W$4:$W$2004,$Z798-2000)),IF($Z798&lt;=5200,IF(INDEX(客户自备加工筐明细!$L$4:$L$1203,$Z798-4000)=0,"",INDEX(客户自备加工筐明细!$L$4:$L$1203,$Z798-4000)),IF($Z798&lt;=5800,IF(INDEX(次果筐明细!$P$4:$P$603,$Z798-5200)=0,"",INDEX(次果筐明细!$P$4:$P$603,$Z798-5200)),"")))))</f>
        <v/>
      </c>
      <c r="N798" s="16" t="str">
        <f>IF($Z798="","",IF($Z798&lt;=2000,"",IF($Z798&lt;=4000,IF(INDEX(周转筐出入库明细!$D$4:$D$2004,$Z798-2000)=0,"",INDEX(周转筐出入库明细!$D$4:$D$2004,$Z798-2000)),IF($Z798&lt;=5200,IF(INDEX(客户自备加工筐明细!$C$4:$C$1203,$Z798-4000)=0,"",INDEX(客户自备加工筐明细!$C$4:$C$1203,$Z798-4000)),IF($Z798&lt;=5800,IF(INDEX(次果筐明细!$D$4:$D$603,$Z798-5200)=0,"",INDEX(次果筐明细!$D$4:$D$603,$Z798-5200)),"")))))</f>
        <v/>
      </c>
      <c r="O798" s="40" t="str">
        <f>IF($Z798="","",IF($Z798&lt;=2000,"",IF($Z798&lt;=4000,IF(N(INDEX(周转筐出入库明细!$J$4:$J$2004,$Z798-2000))+N(INDEX(周转筐出入库明细!$K$4:$K$2004,$Z798-2000))=0,"",N(INDEX(周转筐出入库明细!$J$4:$J$2004,$Z798-2000))+N(INDEX(周转筐出入库明细!$K$4:$K$2004,$Z798-2000))),IF($Z798&lt;=5200,IF(N(INDEX(客户自备加工筐明细!$G$4:$G$1203,$Z798-4000))=0,"",N(INDEX(客户自备加工筐明细!$G$4:$G$1203,$Z798-4000))),IF($Z798&lt;=5800,IF(ISNUMBER(SEARCH("退",INDEX(次果筐明细!$F$4:$F$603,$Z798-5200)&amp;"")),"",IF(N(INDEX(次果筐明细!$G$4:$G$603,$Z798-5200))=0,"",N(INDEX(次果筐明细!$G$4:$G$603,$Z798-5200)))),"")))))</f>
        <v/>
      </c>
      <c r="P798" s="40" t="str">
        <f>IF($Z798="","",IF($Z798&lt;=2000,"",IF($Z798&lt;=4000,IF(N(INDEX(周转筐出入库明细!$I$4:$I$2004,$Z798-2000))=0,"",N(INDEX(周转筐出入库明细!$I$4:$I$2004,$Z798-2000))),IF($Z798&lt;=5200,"",IF($Z798&lt;=5800,IF(ISNUMBER(SEARCH("退",INDEX(次果筐明细!$F$4:$F$603,$Z798-5200)&amp;"")),IF(N(INDEX(次果筐明细!$G$4:$G$603,$Z798-5200))=0,"",N(INDEX(次果筐明细!$G$4:$G$603,$Z798-5200))),""),"")))))</f>
        <v/>
      </c>
      <c r="Q798" s="40" t="str">
        <f>IF($Z798="","",IF($Z798&lt;=2000,"",IF($Z798&lt;=4000,IF(N(INDEX(周转筐出入库明细!$H$4:$H$2004,$Z798-2000))=0,"",N(INDEX(周转筐出入库明细!$H$4:$H$2004,$Z798-2000))),IF($Z798&lt;=5200,IF(N(INDEX(客户自备加工筐明细!$F$4:$F$1203,$Z798-4000))=0,"",N(INDEX(客户自备加工筐明细!$F$4:$F$1203,$Z798-4000))),IF($Z798&lt;=5800,"","")))))</f>
        <v/>
      </c>
      <c r="R798" s="16" t="str">
        <f>IF($Z798="","",IF($Z798&lt;=2000,IF(INDEX(包装物料出入库明细!$O$4:$O$2003,$Z798-0)=0,"",INDEX(包装物料出入库明细!$O$4:$O$2003,$Z798-0)),IF($Z798&lt;=4000,IF(INDEX(周转筐出入库明细!$M$4:$M$2004,$Z798-2000)=0,"",INDEX(周转筐出入库明细!$M$4:$M$2004,$Z798-2000)),IF($Z798&lt;=5200,IF(INDEX(客户自备加工筐明细!$H$4:$H$1203,$Z798-4000)=0,"",INDEX(客户自备加工筐明细!$H$4:$H$1203,$Z798-4000)),IF($Z798&lt;=5800,IF(INDEX(次果筐明细!$H$4:$H$603,$Z798-5200)=0,"",INDEX(次果筐明细!$H$4:$H$603,$Z798-5200)),"")))))</f>
        <v/>
      </c>
      <c r="S798" s="22" t="str">
        <f t="shared" si="38"/>
        <v/>
      </c>
      <c r="Z798" s="10" t="str">
        <f>IFERROR(MATCH(ROW()-3,_自动清单!$CQ$4:$CQ$5803,0),"")</f>
        <v/>
      </c>
    </row>
    <row r="799" spans="1:26">
      <c r="A799" s="24" t="str">
        <f t="shared" si="36"/>
        <v/>
      </c>
      <c r="B799" s="38" t="str">
        <f>IF($Z799="","",IF($Z799&lt;=2000,IF(INDEX(包装物料出入库明细!$B$4:$B$2003,$Z799-0)=0,"",INDEX(包装物料出入库明细!$B$4:$B$2003,$Z799-0)),IF($Z799&lt;=4000,IF(INDEX(周转筐出入库明细!$B$4:$B$2004,$Z799-2000)=0,"",INDEX(周转筐出入库明细!$B$4:$B$2004,$Z799-2000)),IF($Z799&lt;=5200,IF(INDEX(客户自备加工筐明细!$B$4:$B$1203,$Z799-4000)=0,"",INDEX(客户自备加工筐明细!$B$4:$B$1203,$Z799-4000)),IF($Z799&lt;=5800,IF(INDEX(次果筐明细!$B$4:$B$603,$Z799-5200)=0,"",INDEX(次果筐明细!$B$4:$B$603,$Z799-5200)),"")))))</f>
        <v/>
      </c>
      <c r="C799" s="37" t="str">
        <f>IF($Z799="","",IF($Z799&lt;=2000,IF(INDEX(包装物料出入库明细!$D$4:$D$2003,$Z799-0)=0,"",INDEX(包装物料出入库明细!$D$4:$D$2003,$Z799-0)),IF($Z799&lt;=4000,IF(INDEX(周转筐出入库明细!$C$4:$C$2004,$Z799-2000)=0,"",INDEX(周转筐出入库明细!$C$4:$C$2004,$Z799-2000)),IF($Z799&lt;=5200,IF(INDEX(客户自备加工筐明细!$E$4:$E$1203,$Z799-4000)=0,"",INDEX(客户自备加工筐明细!$E$4:$E$1203,$Z799-4000)),IF($Z799&lt;=5800,IF(INDEX(次果筐明细!$C$4:$C$603,$Z799-5200)=0,"",INDEX(次果筐明细!$C$4:$C$603,$Z799-5200)),"")))))</f>
        <v/>
      </c>
      <c r="D799" s="37" t="str">
        <f>IF($Z799="","",IF($Z799&lt;=2000,"包装物料－"&amp;INDEX(包装物料出入库明细!$H$4:$H$2003,$Z799-0),IF($Z799&lt;=4000,"周转筐－"&amp;INDEX(周转筐出入库明细!$F$4:$F$2004,$Z799-2000),IF($Z799&lt;=5200,"客户自备筐－"&amp;INDEX(客户自备加工筐明细!$J$4:$J$1203,$Z799-4000),IF($Z799&lt;=5800,"次果筐/托盘－"&amp;INDEX(次果筐明细!$F$4:$F$603,$Z799-5200),"")))))</f>
        <v/>
      </c>
      <c r="E799" s="24" t="str">
        <f>IF($Z799="","",IF($Z799&lt;=2000,IF(INDEX(包装物料出入库明细!$C$4:$C$2003,$Z799-0)=0,"",INDEX(包装物料出入库明细!$C$4:$C$2003,$Z799-0)),IF($Z799&lt;=4000,IF(INDEX(周转筐出入库明细!$E$4:$E$2004,$Z799-2000)=0,"",INDEX(周转筐出入库明细!$E$4:$E$2004,$Z799-2000)),IF($Z799&lt;=5200,IF(INDEX(客户自备加工筐明细!$D$4:$D$1203,$Z799-4000)=0,"",INDEX(客户自备加工筐明细!$D$4:$D$1203,$Z799-4000)),IF($Z799&lt;=5800,IF(INDEX(次果筐明细!$E$4:$E$603,$Z799-5200)=0,"",INDEX(次果筐明细!$E$4:$E$603,$Z799-5200)),"")))))</f>
        <v/>
      </c>
      <c r="F799" s="24" t="str">
        <f>IF($Z799="","",IF($Z799&lt;=2000,IF(INDEX(包装物料出入库明细!$E$4:$E$2003,$Z799-0)=0,"",INDEX(包装物料出入库明细!$E$4:$E$2003,$Z799-0)),IF($Z799&lt;=4000,IF(INDEX(周转筐出入库明细!$D$4:$D$2004,$Z799-2000)=0,"",INDEX(周转筐出入库明细!$D$4:$D$2004,$Z799-2000)),IF($Z799&lt;=5200,IF(INDEX(客户自备加工筐明细!$C$4:$C$1203,$Z799-4000)=0,"",INDEX(客户自备加工筐明细!$C$4:$C$1203,$Z799-4000)),IF($Z799&lt;=5800,IF(INDEX(次果筐明细!$D$4:$D$603,$Z799-5200)=0,"",INDEX(次果筐明细!$D$4:$D$603,$Z799-5200)),"")))))</f>
        <v/>
      </c>
      <c r="G799" s="24" t="str">
        <f>IF($Z799="","",IF($Z799&lt;=2000,IF(INDEX(包装物料出入库明细!$F$4:$F$2003,$Z799-0)=0,"",INDEX(包装物料出入库明细!$F$4:$F$2003,$Z799-0)),IF($Z799&lt;=4000,"",IF($Z799&lt;=5200,"",IF($Z799&lt;=5800,"","")))))</f>
        <v/>
      </c>
      <c r="H799" s="39" t="str">
        <f>IF($Z799="","",IF($Z799&lt;=2000,IF(INDEX(包装物料出入库明细!$L$4:$L$2003,$Z799-0)=0,"",INDEX(包装物料出入库明细!$L$4:$L$2003,$Z799-0)),IF($Z799&lt;=4000,N(INDEX(周转筐出入库明细!$H$4:$H$2004,$Z799-2000))+N(INDEX(周转筐出入库明细!$I$4:$I$2004,$Z799-2000))+N(INDEX(周转筐出入库明细!$J$4:$J$2004,$Z799-2000))+N(INDEX(周转筐出入库明细!$K$4:$K$2004,$Z799-2000)),IF($Z799&lt;=5200,N(INDEX(客户自备加工筐明细!$F$4:$F$1203,$Z799-4000))+N(INDEX(客户自备加工筐明细!$G$4:$G$1203,$Z799-4000)),IF($Z799&lt;=5800,IF(INDEX(次果筐明细!$G$4:$G$603,$Z799-5200)=0,"",INDEX(次果筐明细!$G$4:$G$603,$Z799-5200)),"")))))</f>
        <v/>
      </c>
      <c r="I799" s="24" t="str">
        <f>IF($Z799="","",IF($Z799&lt;=2000,IF(INDEX(包装物料出入库明细!$G$4:$G$2003,$Z799-0)=0,"",INDEX(包装物料出入库明细!$G$4:$G$2003,$Z799-0)),IF($Z799&lt;=4000,"个",IF($Z799&lt;=5200,"个",IF($Z799&lt;=5800,"个","")))))</f>
        <v/>
      </c>
      <c r="J799" s="30" t="str">
        <f t="shared" si="37"/>
        <v/>
      </c>
      <c r="K799" s="30" t="str">
        <f>IF($Z799="","",IF($Z799&lt;=2000,IF(INDEX(包装物料出入库明细!$N$4:$N$2003,$Z799-0)=0,"",INDEX(包装物料出入库明细!$N$4:$N$2003,$Z799-0)),IF($Z799&lt;=4000,IF(INDEX(周转筐出入库明细!$P$4:$P$2004,$Z799-2000)=0,"",INDEX(周转筐出入库明细!$P$4:$P$2004,$Z799-2000)),IF($Z799&lt;=5200,"",IF($Z799&lt;=5800,N(INDEX(次果筐明细!$L$4:$L$603,$Z799-5200))+N(INDEX(次果筐明细!$J$4:$J$603,$Z799-5200)),"")))))</f>
        <v/>
      </c>
      <c r="L799" s="24" t="str">
        <f>IF($Z799="","",IF($Z799&lt;=2000,IF(INDEX(包装物料出入库明细!$P$4:$P$2003,$Z799-0)=0,"",INDEX(包装物料出入库明细!$P$4:$P$2003,$Z799-0)),IF($Z799&lt;=4000,IF(INDEX(周转筐出入库明细!$Q$4:$Q$2004,$Z799-2000)=0,"",INDEX(周转筐出入库明细!$Q$4:$Q$2004,$Z799-2000)),IF($Z799&lt;=5200,"",IF($Z799&lt;=5800,IF(INDEX(次果筐明细!$M$4:$M$603,$Z799-5200)=0,"",INDEX(次果筐明细!$M$4:$M$603,$Z799-5200)),"")))))</f>
        <v/>
      </c>
      <c r="M799" s="37" t="str">
        <f>IF($Z799="","",IF($Z799&lt;=2000,IF(INDEX(包装物料出入库明细!$R$4:$R$2003,$Z799-0)=0,"",INDEX(包装物料出入库明细!$R$4:$R$2003,$Z799-0)),IF($Z799&lt;=4000,IF(INDEX(周转筐出入库明细!$W$4:$W$2004,$Z799-2000)=0,"",INDEX(周转筐出入库明细!$W$4:$W$2004,$Z799-2000)),IF($Z799&lt;=5200,IF(INDEX(客户自备加工筐明细!$L$4:$L$1203,$Z799-4000)=0,"",INDEX(客户自备加工筐明细!$L$4:$L$1203,$Z799-4000)),IF($Z799&lt;=5800,IF(INDEX(次果筐明细!$P$4:$P$603,$Z799-5200)=0,"",INDEX(次果筐明细!$P$4:$P$603,$Z799-5200)),"")))))</f>
        <v/>
      </c>
      <c r="N799" s="16" t="str">
        <f>IF($Z799="","",IF($Z799&lt;=2000,"",IF($Z799&lt;=4000,IF(INDEX(周转筐出入库明细!$D$4:$D$2004,$Z799-2000)=0,"",INDEX(周转筐出入库明细!$D$4:$D$2004,$Z799-2000)),IF($Z799&lt;=5200,IF(INDEX(客户自备加工筐明细!$C$4:$C$1203,$Z799-4000)=0,"",INDEX(客户自备加工筐明细!$C$4:$C$1203,$Z799-4000)),IF($Z799&lt;=5800,IF(INDEX(次果筐明细!$D$4:$D$603,$Z799-5200)=0,"",INDEX(次果筐明细!$D$4:$D$603,$Z799-5200)),"")))))</f>
        <v/>
      </c>
      <c r="O799" s="40" t="str">
        <f>IF($Z799="","",IF($Z799&lt;=2000,"",IF($Z799&lt;=4000,IF(N(INDEX(周转筐出入库明细!$J$4:$J$2004,$Z799-2000))+N(INDEX(周转筐出入库明细!$K$4:$K$2004,$Z799-2000))=0,"",N(INDEX(周转筐出入库明细!$J$4:$J$2004,$Z799-2000))+N(INDEX(周转筐出入库明细!$K$4:$K$2004,$Z799-2000))),IF($Z799&lt;=5200,IF(N(INDEX(客户自备加工筐明细!$G$4:$G$1203,$Z799-4000))=0,"",N(INDEX(客户自备加工筐明细!$G$4:$G$1203,$Z799-4000))),IF($Z799&lt;=5800,IF(ISNUMBER(SEARCH("退",INDEX(次果筐明细!$F$4:$F$603,$Z799-5200)&amp;"")),"",IF(N(INDEX(次果筐明细!$G$4:$G$603,$Z799-5200))=0,"",N(INDEX(次果筐明细!$G$4:$G$603,$Z799-5200)))),"")))))</f>
        <v/>
      </c>
      <c r="P799" s="40" t="str">
        <f>IF($Z799="","",IF($Z799&lt;=2000,"",IF($Z799&lt;=4000,IF(N(INDEX(周转筐出入库明细!$I$4:$I$2004,$Z799-2000))=0,"",N(INDEX(周转筐出入库明细!$I$4:$I$2004,$Z799-2000))),IF($Z799&lt;=5200,"",IF($Z799&lt;=5800,IF(ISNUMBER(SEARCH("退",INDEX(次果筐明细!$F$4:$F$603,$Z799-5200)&amp;"")),IF(N(INDEX(次果筐明细!$G$4:$G$603,$Z799-5200))=0,"",N(INDEX(次果筐明细!$G$4:$G$603,$Z799-5200))),""),"")))))</f>
        <v/>
      </c>
      <c r="Q799" s="40" t="str">
        <f>IF($Z799="","",IF($Z799&lt;=2000,"",IF($Z799&lt;=4000,IF(N(INDEX(周转筐出入库明细!$H$4:$H$2004,$Z799-2000))=0,"",N(INDEX(周转筐出入库明细!$H$4:$H$2004,$Z799-2000))),IF($Z799&lt;=5200,IF(N(INDEX(客户自备加工筐明细!$F$4:$F$1203,$Z799-4000))=0,"",N(INDEX(客户自备加工筐明细!$F$4:$F$1203,$Z799-4000))),IF($Z799&lt;=5800,"","")))))</f>
        <v/>
      </c>
      <c r="R799" s="16" t="str">
        <f>IF($Z799="","",IF($Z799&lt;=2000,IF(INDEX(包装物料出入库明细!$O$4:$O$2003,$Z799-0)=0,"",INDEX(包装物料出入库明细!$O$4:$O$2003,$Z799-0)),IF($Z799&lt;=4000,IF(INDEX(周转筐出入库明细!$M$4:$M$2004,$Z799-2000)=0,"",INDEX(周转筐出入库明细!$M$4:$M$2004,$Z799-2000)),IF($Z799&lt;=5200,IF(INDEX(客户自备加工筐明细!$H$4:$H$1203,$Z799-4000)=0,"",INDEX(客户自备加工筐明细!$H$4:$H$1203,$Z799-4000)),IF($Z799&lt;=5800,IF(INDEX(次果筐明细!$H$4:$H$603,$Z799-5200)=0,"",INDEX(次果筐明细!$H$4:$H$603,$Z799-5200)),"")))))</f>
        <v/>
      </c>
      <c r="S799" s="22" t="str">
        <f t="shared" si="38"/>
        <v/>
      </c>
      <c r="Z799" s="10" t="str">
        <f>IFERROR(MATCH(ROW()-3,_自动清单!$CQ$4:$CQ$5803,0),"")</f>
        <v/>
      </c>
    </row>
    <row r="800" spans="1:26">
      <c r="A800" s="24" t="str">
        <f t="shared" si="36"/>
        <v/>
      </c>
      <c r="B800" s="38" t="str">
        <f>IF($Z800="","",IF($Z800&lt;=2000,IF(INDEX(包装物料出入库明细!$B$4:$B$2003,$Z800-0)=0,"",INDEX(包装物料出入库明细!$B$4:$B$2003,$Z800-0)),IF($Z800&lt;=4000,IF(INDEX(周转筐出入库明细!$B$4:$B$2004,$Z800-2000)=0,"",INDEX(周转筐出入库明细!$B$4:$B$2004,$Z800-2000)),IF($Z800&lt;=5200,IF(INDEX(客户自备加工筐明细!$B$4:$B$1203,$Z800-4000)=0,"",INDEX(客户自备加工筐明细!$B$4:$B$1203,$Z800-4000)),IF($Z800&lt;=5800,IF(INDEX(次果筐明细!$B$4:$B$603,$Z800-5200)=0,"",INDEX(次果筐明细!$B$4:$B$603,$Z800-5200)),"")))))</f>
        <v/>
      </c>
      <c r="C800" s="37" t="str">
        <f>IF($Z800="","",IF($Z800&lt;=2000,IF(INDEX(包装物料出入库明细!$D$4:$D$2003,$Z800-0)=0,"",INDEX(包装物料出入库明细!$D$4:$D$2003,$Z800-0)),IF($Z800&lt;=4000,IF(INDEX(周转筐出入库明细!$C$4:$C$2004,$Z800-2000)=0,"",INDEX(周转筐出入库明细!$C$4:$C$2004,$Z800-2000)),IF($Z800&lt;=5200,IF(INDEX(客户自备加工筐明细!$E$4:$E$1203,$Z800-4000)=0,"",INDEX(客户自备加工筐明细!$E$4:$E$1203,$Z800-4000)),IF($Z800&lt;=5800,IF(INDEX(次果筐明细!$C$4:$C$603,$Z800-5200)=0,"",INDEX(次果筐明细!$C$4:$C$603,$Z800-5200)),"")))))</f>
        <v/>
      </c>
      <c r="D800" s="37" t="str">
        <f>IF($Z800="","",IF($Z800&lt;=2000,"包装物料－"&amp;INDEX(包装物料出入库明细!$H$4:$H$2003,$Z800-0),IF($Z800&lt;=4000,"周转筐－"&amp;INDEX(周转筐出入库明细!$F$4:$F$2004,$Z800-2000),IF($Z800&lt;=5200,"客户自备筐－"&amp;INDEX(客户自备加工筐明细!$J$4:$J$1203,$Z800-4000),IF($Z800&lt;=5800,"次果筐/托盘－"&amp;INDEX(次果筐明细!$F$4:$F$603,$Z800-5200),"")))))</f>
        <v/>
      </c>
      <c r="E800" s="24" t="str">
        <f>IF($Z800="","",IF($Z800&lt;=2000,IF(INDEX(包装物料出入库明细!$C$4:$C$2003,$Z800-0)=0,"",INDEX(包装物料出入库明细!$C$4:$C$2003,$Z800-0)),IF($Z800&lt;=4000,IF(INDEX(周转筐出入库明细!$E$4:$E$2004,$Z800-2000)=0,"",INDEX(周转筐出入库明细!$E$4:$E$2004,$Z800-2000)),IF($Z800&lt;=5200,IF(INDEX(客户自备加工筐明细!$D$4:$D$1203,$Z800-4000)=0,"",INDEX(客户自备加工筐明细!$D$4:$D$1203,$Z800-4000)),IF($Z800&lt;=5800,IF(INDEX(次果筐明细!$E$4:$E$603,$Z800-5200)=0,"",INDEX(次果筐明细!$E$4:$E$603,$Z800-5200)),"")))))</f>
        <v/>
      </c>
      <c r="F800" s="24" t="str">
        <f>IF($Z800="","",IF($Z800&lt;=2000,IF(INDEX(包装物料出入库明细!$E$4:$E$2003,$Z800-0)=0,"",INDEX(包装物料出入库明细!$E$4:$E$2003,$Z800-0)),IF($Z800&lt;=4000,IF(INDEX(周转筐出入库明细!$D$4:$D$2004,$Z800-2000)=0,"",INDEX(周转筐出入库明细!$D$4:$D$2004,$Z800-2000)),IF($Z800&lt;=5200,IF(INDEX(客户自备加工筐明细!$C$4:$C$1203,$Z800-4000)=0,"",INDEX(客户自备加工筐明细!$C$4:$C$1203,$Z800-4000)),IF($Z800&lt;=5800,IF(INDEX(次果筐明细!$D$4:$D$603,$Z800-5200)=0,"",INDEX(次果筐明细!$D$4:$D$603,$Z800-5200)),"")))))</f>
        <v/>
      </c>
      <c r="G800" s="24" t="str">
        <f>IF($Z800="","",IF($Z800&lt;=2000,IF(INDEX(包装物料出入库明细!$F$4:$F$2003,$Z800-0)=0,"",INDEX(包装物料出入库明细!$F$4:$F$2003,$Z800-0)),IF($Z800&lt;=4000,"",IF($Z800&lt;=5200,"",IF($Z800&lt;=5800,"","")))))</f>
        <v/>
      </c>
      <c r="H800" s="39" t="str">
        <f>IF($Z800="","",IF($Z800&lt;=2000,IF(INDEX(包装物料出入库明细!$L$4:$L$2003,$Z800-0)=0,"",INDEX(包装物料出入库明细!$L$4:$L$2003,$Z800-0)),IF($Z800&lt;=4000,N(INDEX(周转筐出入库明细!$H$4:$H$2004,$Z800-2000))+N(INDEX(周转筐出入库明细!$I$4:$I$2004,$Z800-2000))+N(INDEX(周转筐出入库明细!$J$4:$J$2004,$Z800-2000))+N(INDEX(周转筐出入库明细!$K$4:$K$2004,$Z800-2000)),IF($Z800&lt;=5200,N(INDEX(客户自备加工筐明细!$F$4:$F$1203,$Z800-4000))+N(INDEX(客户自备加工筐明细!$G$4:$G$1203,$Z800-4000)),IF($Z800&lt;=5800,IF(INDEX(次果筐明细!$G$4:$G$603,$Z800-5200)=0,"",INDEX(次果筐明细!$G$4:$G$603,$Z800-5200)),"")))))</f>
        <v/>
      </c>
      <c r="I800" s="24" t="str">
        <f>IF($Z800="","",IF($Z800&lt;=2000,IF(INDEX(包装物料出入库明细!$G$4:$G$2003,$Z800-0)=0,"",INDEX(包装物料出入库明细!$G$4:$G$2003,$Z800-0)),IF($Z800&lt;=4000,"个",IF($Z800&lt;=5200,"个",IF($Z800&lt;=5800,"个","")))))</f>
        <v/>
      </c>
      <c r="J800" s="30" t="str">
        <f t="shared" si="37"/>
        <v/>
      </c>
      <c r="K800" s="30" t="str">
        <f>IF($Z800="","",IF($Z800&lt;=2000,IF(INDEX(包装物料出入库明细!$N$4:$N$2003,$Z800-0)=0,"",INDEX(包装物料出入库明细!$N$4:$N$2003,$Z800-0)),IF($Z800&lt;=4000,IF(INDEX(周转筐出入库明细!$P$4:$P$2004,$Z800-2000)=0,"",INDEX(周转筐出入库明细!$P$4:$P$2004,$Z800-2000)),IF($Z800&lt;=5200,"",IF($Z800&lt;=5800,N(INDEX(次果筐明细!$L$4:$L$603,$Z800-5200))+N(INDEX(次果筐明细!$J$4:$J$603,$Z800-5200)),"")))))</f>
        <v/>
      </c>
      <c r="L800" s="24" t="str">
        <f>IF($Z800="","",IF($Z800&lt;=2000,IF(INDEX(包装物料出入库明细!$P$4:$P$2003,$Z800-0)=0,"",INDEX(包装物料出入库明细!$P$4:$P$2003,$Z800-0)),IF($Z800&lt;=4000,IF(INDEX(周转筐出入库明细!$Q$4:$Q$2004,$Z800-2000)=0,"",INDEX(周转筐出入库明细!$Q$4:$Q$2004,$Z800-2000)),IF($Z800&lt;=5200,"",IF($Z800&lt;=5800,IF(INDEX(次果筐明细!$M$4:$M$603,$Z800-5200)=0,"",INDEX(次果筐明细!$M$4:$M$603,$Z800-5200)),"")))))</f>
        <v/>
      </c>
      <c r="M800" s="37" t="str">
        <f>IF($Z800="","",IF($Z800&lt;=2000,IF(INDEX(包装物料出入库明细!$R$4:$R$2003,$Z800-0)=0,"",INDEX(包装物料出入库明细!$R$4:$R$2003,$Z800-0)),IF($Z800&lt;=4000,IF(INDEX(周转筐出入库明细!$W$4:$W$2004,$Z800-2000)=0,"",INDEX(周转筐出入库明细!$W$4:$W$2004,$Z800-2000)),IF($Z800&lt;=5200,IF(INDEX(客户自备加工筐明细!$L$4:$L$1203,$Z800-4000)=0,"",INDEX(客户自备加工筐明细!$L$4:$L$1203,$Z800-4000)),IF($Z800&lt;=5800,IF(INDEX(次果筐明细!$P$4:$P$603,$Z800-5200)=0,"",INDEX(次果筐明细!$P$4:$P$603,$Z800-5200)),"")))))</f>
        <v/>
      </c>
      <c r="N800" s="16" t="str">
        <f>IF($Z800="","",IF($Z800&lt;=2000,"",IF($Z800&lt;=4000,IF(INDEX(周转筐出入库明细!$D$4:$D$2004,$Z800-2000)=0,"",INDEX(周转筐出入库明细!$D$4:$D$2004,$Z800-2000)),IF($Z800&lt;=5200,IF(INDEX(客户自备加工筐明细!$C$4:$C$1203,$Z800-4000)=0,"",INDEX(客户自备加工筐明细!$C$4:$C$1203,$Z800-4000)),IF($Z800&lt;=5800,IF(INDEX(次果筐明细!$D$4:$D$603,$Z800-5200)=0,"",INDEX(次果筐明细!$D$4:$D$603,$Z800-5200)),"")))))</f>
        <v/>
      </c>
      <c r="O800" s="40" t="str">
        <f>IF($Z800="","",IF($Z800&lt;=2000,"",IF($Z800&lt;=4000,IF(N(INDEX(周转筐出入库明细!$J$4:$J$2004,$Z800-2000))+N(INDEX(周转筐出入库明细!$K$4:$K$2004,$Z800-2000))=0,"",N(INDEX(周转筐出入库明细!$J$4:$J$2004,$Z800-2000))+N(INDEX(周转筐出入库明细!$K$4:$K$2004,$Z800-2000))),IF($Z800&lt;=5200,IF(N(INDEX(客户自备加工筐明细!$G$4:$G$1203,$Z800-4000))=0,"",N(INDEX(客户自备加工筐明细!$G$4:$G$1203,$Z800-4000))),IF($Z800&lt;=5800,IF(ISNUMBER(SEARCH("退",INDEX(次果筐明细!$F$4:$F$603,$Z800-5200)&amp;"")),"",IF(N(INDEX(次果筐明细!$G$4:$G$603,$Z800-5200))=0,"",N(INDEX(次果筐明细!$G$4:$G$603,$Z800-5200)))),"")))))</f>
        <v/>
      </c>
      <c r="P800" s="40" t="str">
        <f>IF($Z800="","",IF($Z800&lt;=2000,"",IF($Z800&lt;=4000,IF(N(INDEX(周转筐出入库明细!$I$4:$I$2004,$Z800-2000))=0,"",N(INDEX(周转筐出入库明细!$I$4:$I$2004,$Z800-2000))),IF($Z800&lt;=5200,"",IF($Z800&lt;=5800,IF(ISNUMBER(SEARCH("退",INDEX(次果筐明细!$F$4:$F$603,$Z800-5200)&amp;"")),IF(N(INDEX(次果筐明细!$G$4:$G$603,$Z800-5200))=0,"",N(INDEX(次果筐明细!$G$4:$G$603,$Z800-5200))),""),"")))))</f>
        <v/>
      </c>
      <c r="Q800" s="40" t="str">
        <f>IF($Z800="","",IF($Z800&lt;=2000,"",IF($Z800&lt;=4000,IF(N(INDEX(周转筐出入库明细!$H$4:$H$2004,$Z800-2000))=0,"",N(INDEX(周转筐出入库明细!$H$4:$H$2004,$Z800-2000))),IF($Z800&lt;=5200,IF(N(INDEX(客户自备加工筐明细!$F$4:$F$1203,$Z800-4000))=0,"",N(INDEX(客户自备加工筐明细!$F$4:$F$1203,$Z800-4000))),IF($Z800&lt;=5800,"","")))))</f>
        <v/>
      </c>
      <c r="R800" s="16" t="str">
        <f>IF($Z800="","",IF($Z800&lt;=2000,IF(INDEX(包装物料出入库明细!$O$4:$O$2003,$Z800-0)=0,"",INDEX(包装物料出入库明细!$O$4:$O$2003,$Z800-0)),IF($Z800&lt;=4000,IF(INDEX(周转筐出入库明细!$M$4:$M$2004,$Z800-2000)=0,"",INDEX(周转筐出入库明细!$M$4:$M$2004,$Z800-2000)),IF($Z800&lt;=5200,IF(INDEX(客户自备加工筐明细!$H$4:$H$1203,$Z800-4000)=0,"",INDEX(客户自备加工筐明细!$H$4:$H$1203,$Z800-4000)),IF($Z800&lt;=5800,IF(INDEX(次果筐明细!$H$4:$H$603,$Z800-5200)=0,"",INDEX(次果筐明细!$H$4:$H$603,$Z800-5200)),"")))))</f>
        <v/>
      </c>
      <c r="S800" s="22" t="str">
        <f t="shared" si="38"/>
        <v/>
      </c>
      <c r="Z800" s="10" t="str">
        <f>IFERROR(MATCH(ROW()-3,_自动清单!$CQ$4:$CQ$5803,0),"")</f>
        <v/>
      </c>
    </row>
    <row r="801" spans="1:26">
      <c r="A801" s="24" t="str">
        <f t="shared" si="36"/>
        <v/>
      </c>
      <c r="B801" s="38" t="str">
        <f>IF($Z801="","",IF($Z801&lt;=2000,IF(INDEX(包装物料出入库明细!$B$4:$B$2003,$Z801-0)=0,"",INDEX(包装物料出入库明细!$B$4:$B$2003,$Z801-0)),IF($Z801&lt;=4000,IF(INDEX(周转筐出入库明细!$B$4:$B$2004,$Z801-2000)=0,"",INDEX(周转筐出入库明细!$B$4:$B$2004,$Z801-2000)),IF($Z801&lt;=5200,IF(INDEX(客户自备加工筐明细!$B$4:$B$1203,$Z801-4000)=0,"",INDEX(客户自备加工筐明细!$B$4:$B$1203,$Z801-4000)),IF($Z801&lt;=5800,IF(INDEX(次果筐明细!$B$4:$B$603,$Z801-5200)=0,"",INDEX(次果筐明细!$B$4:$B$603,$Z801-5200)),"")))))</f>
        <v/>
      </c>
      <c r="C801" s="37" t="str">
        <f>IF($Z801="","",IF($Z801&lt;=2000,IF(INDEX(包装物料出入库明细!$D$4:$D$2003,$Z801-0)=0,"",INDEX(包装物料出入库明细!$D$4:$D$2003,$Z801-0)),IF($Z801&lt;=4000,IF(INDEX(周转筐出入库明细!$C$4:$C$2004,$Z801-2000)=0,"",INDEX(周转筐出入库明细!$C$4:$C$2004,$Z801-2000)),IF($Z801&lt;=5200,IF(INDEX(客户自备加工筐明细!$E$4:$E$1203,$Z801-4000)=0,"",INDEX(客户自备加工筐明细!$E$4:$E$1203,$Z801-4000)),IF($Z801&lt;=5800,IF(INDEX(次果筐明细!$C$4:$C$603,$Z801-5200)=0,"",INDEX(次果筐明细!$C$4:$C$603,$Z801-5200)),"")))))</f>
        <v/>
      </c>
      <c r="D801" s="37" t="str">
        <f>IF($Z801="","",IF($Z801&lt;=2000,"包装物料－"&amp;INDEX(包装物料出入库明细!$H$4:$H$2003,$Z801-0),IF($Z801&lt;=4000,"周转筐－"&amp;INDEX(周转筐出入库明细!$F$4:$F$2004,$Z801-2000),IF($Z801&lt;=5200,"客户自备筐－"&amp;INDEX(客户自备加工筐明细!$J$4:$J$1203,$Z801-4000),IF($Z801&lt;=5800,"次果筐/托盘－"&amp;INDEX(次果筐明细!$F$4:$F$603,$Z801-5200),"")))))</f>
        <v/>
      </c>
      <c r="E801" s="24" t="str">
        <f>IF($Z801="","",IF($Z801&lt;=2000,IF(INDEX(包装物料出入库明细!$C$4:$C$2003,$Z801-0)=0,"",INDEX(包装物料出入库明细!$C$4:$C$2003,$Z801-0)),IF($Z801&lt;=4000,IF(INDEX(周转筐出入库明细!$E$4:$E$2004,$Z801-2000)=0,"",INDEX(周转筐出入库明细!$E$4:$E$2004,$Z801-2000)),IF($Z801&lt;=5200,IF(INDEX(客户自备加工筐明细!$D$4:$D$1203,$Z801-4000)=0,"",INDEX(客户自备加工筐明细!$D$4:$D$1203,$Z801-4000)),IF($Z801&lt;=5800,IF(INDEX(次果筐明细!$E$4:$E$603,$Z801-5200)=0,"",INDEX(次果筐明细!$E$4:$E$603,$Z801-5200)),"")))))</f>
        <v/>
      </c>
      <c r="F801" s="24" t="str">
        <f>IF($Z801="","",IF($Z801&lt;=2000,IF(INDEX(包装物料出入库明细!$E$4:$E$2003,$Z801-0)=0,"",INDEX(包装物料出入库明细!$E$4:$E$2003,$Z801-0)),IF($Z801&lt;=4000,IF(INDEX(周转筐出入库明细!$D$4:$D$2004,$Z801-2000)=0,"",INDEX(周转筐出入库明细!$D$4:$D$2004,$Z801-2000)),IF($Z801&lt;=5200,IF(INDEX(客户自备加工筐明细!$C$4:$C$1203,$Z801-4000)=0,"",INDEX(客户自备加工筐明细!$C$4:$C$1203,$Z801-4000)),IF($Z801&lt;=5800,IF(INDEX(次果筐明细!$D$4:$D$603,$Z801-5200)=0,"",INDEX(次果筐明细!$D$4:$D$603,$Z801-5200)),"")))))</f>
        <v/>
      </c>
      <c r="G801" s="24" t="str">
        <f>IF($Z801="","",IF($Z801&lt;=2000,IF(INDEX(包装物料出入库明细!$F$4:$F$2003,$Z801-0)=0,"",INDEX(包装物料出入库明细!$F$4:$F$2003,$Z801-0)),IF($Z801&lt;=4000,"",IF($Z801&lt;=5200,"",IF($Z801&lt;=5800,"","")))))</f>
        <v/>
      </c>
      <c r="H801" s="39" t="str">
        <f>IF($Z801="","",IF($Z801&lt;=2000,IF(INDEX(包装物料出入库明细!$L$4:$L$2003,$Z801-0)=0,"",INDEX(包装物料出入库明细!$L$4:$L$2003,$Z801-0)),IF($Z801&lt;=4000,N(INDEX(周转筐出入库明细!$H$4:$H$2004,$Z801-2000))+N(INDEX(周转筐出入库明细!$I$4:$I$2004,$Z801-2000))+N(INDEX(周转筐出入库明细!$J$4:$J$2004,$Z801-2000))+N(INDEX(周转筐出入库明细!$K$4:$K$2004,$Z801-2000)),IF($Z801&lt;=5200,N(INDEX(客户自备加工筐明细!$F$4:$F$1203,$Z801-4000))+N(INDEX(客户自备加工筐明细!$G$4:$G$1203,$Z801-4000)),IF($Z801&lt;=5800,IF(INDEX(次果筐明细!$G$4:$G$603,$Z801-5200)=0,"",INDEX(次果筐明细!$G$4:$G$603,$Z801-5200)),"")))))</f>
        <v/>
      </c>
      <c r="I801" s="24" t="str">
        <f>IF($Z801="","",IF($Z801&lt;=2000,IF(INDEX(包装物料出入库明细!$G$4:$G$2003,$Z801-0)=0,"",INDEX(包装物料出入库明细!$G$4:$G$2003,$Z801-0)),IF($Z801&lt;=4000,"个",IF($Z801&lt;=5200,"个",IF($Z801&lt;=5800,"个","")))))</f>
        <v/>
      </c>
      <c r="J801" s="30" t="str">
        <f t="shared" si="37"/>
        <v/>
      </c>
      <c r="K801" s="30" t="str">
        <f>IF($Z801="","",IF($Z801&lt;=2000,IF(INDEX(包装物料出入库明细!$N$4:$N$2003,$Z801-0)=0,"",INDEX(包装物料出入库明细!$N$4:$N$2003,$Z801-0)),IF($Z801&lt;=4000,IF(INDEX(周转筐出入库明细!$P$4:$P$2004,$Z801-2000)=0,"",INDEX(周转筐出入库明细!$P$4:$P$2004,$Z801-2000)),IF($Z801&lt;=5200,"",IF($Z801&lt;=5800,N(INDEX(次果筐明细!$L$4:$L$603,$Z801-5200))+N(INDEX(次果筐明细!$J$4:$J$603,$Z801-5200)),"")))))</f>
        <v/>
      </c>
      <c r="L801" s="24" t="str">
        <f>IF($Z801="","",IF($Z801&lt;=2000,IF(INDEX(包装物料出入库明细!$P$4:$P$2003,$Z801-0)=0,"",INDEX(包装物料出入库明细!$P$4:$P$2003,$Z801-0)),IF($Z801&lt;=4000,IF(INDEX(周转筐出入库明细!$Q$4:$Q$2004,$Z801-2000)=0,"",INDEX(周转筐出入库明细!$Q$4:$Q$2004,$Z801-2000)),IF($Z801&lt;=5200,"",IF($Z801&lt;=5800,IF(INDEX(次果筐明细!$M$4:$M$603,$Z801-5200)=0,"",INDEX(次果筐明细!$M$4:$M$603,$Z801-5200)),"")))))</f>
        <v/>
      </c>
      <c r="M801" s="37" t="str">
        <f>IF($Z801="","",IF($Z801&lt;=2000,IF(INDEX(包装物料出入库明细!$R$4:$R$2003,$Z801-0)=0,"",INDEX(包装物料出入库明细!$R$4:$R$2003,$Z801-0)),IF($Z801&lt;=4000,IF(INDEX(周转筐出入库明细!$W$4:$W$2004,$Z801-2000)=0,"",INDEX(周转筐出入库明细!$W$4:$W$2004,$Z801-2000)),IF($Z801&lt;=5200,IF(INDEX(客户自备加工筐明细!$L$4:$L$1203,$Z801-4000)=0,"",INDEX(客户自备加工筐明细!$L$4:$L$1203,$Z801-4000)),IF($Z801&lt;=5800,IF(INDEX(次果筐明细!$P$4:$P$603,$Z801-5200)=0,"",INDEX(次果筐明细!$P$4:$P$603,$Z801-5200)),"")))))</f>
        <v/>
      </c>
      <c r="N801" s="16" t="str">
        <f>IF($Z801="","",IF($Z801&lt;=2000,"",IF($Z801&lt;=4000,IF(INDEX(周转筐出入库明细!$D$4:$D$2004,$Z801-2000)=0,"",INDEX(周转筐出入库明细!$D$4:$D$2004,$Z801-2000)),IF($Z801&lt;=5200,IF(INDEX(客户自备加工筐明细!$C$4:$C$1203,$Z801-4000)=0,"",INDEX(客户自备加工筐明细!$C$4:$C$1203,$Z801-4000)),IF($Z801&lt;=5800,IF(INDEX(次果筐明细!$D$4:$D$603,$Z801-5200)=0,"",INDEX(次果筐明细!$D$4:$D$603,$Z801-5200)),"")))))</f>
        <v/>
      </c>
      <c r="O801" s="40" t="str">
        <f>IF($Z801="","",IF($Z801&lt;=2000,"",IF($Z801&lt;=4000,IF(N(INDEX(周转筐出入库明细!$J$4:$J$2004,$Z801-2000))+N(INDEX(周转筐出入库明细!$K$4:$K$2004,$Z801-2000))=0,"",N(INDEX(周转筐出入库明细!$J$4:$J$2004,$Z801-2000))+N(INDEX(周转筐出入库明细!$K$4:$K$2004,$Z801-2000))),IF($Z801&lt;=5200,IF(N(INDEX(客户自备加工筐明细!$G$4:$G$1203,$Z801-4000))=0,"",N(INDEX(客户自备加工筐明细!$G$4:$G$1203,$Z801-4000))),IF($Z801&lt;=5800,IF(ISNUMBER(SEARCH("退",INDEX(次果筐明细!$F$4:$F$603,$Z801-5200)&amp;"")),"",IF(N(INDEX(次果筐明细!$G$4:$G$603,$Z801-5200))=0,"",N(INDEX(次果筐明细!$G$4:$G$603,$Z801-5200)))),"")))))</f>
        <v/>
      </c>
      <c r="P801" s="40" t="str">
        <f>IF($Z801="","",IF($Z801&lt;=2000,"",IF($Z801&lt;=4000,IF(N(INDEX(周转筐出入库明细!$I$4:$I$2004,$Z801-2000))=0,"",N(INDEX(周转筐出入库明细!$I$4:$I$2004,$Z801-2000))),IF($Z801&lt;=5200,"",IF($Z801&lt;=5800,IF(ISNUMBER(SEARCH("退",INDEX(次果筐明细!$F$4:$F$603,$Z801-5200)&amp;"")),IF(N(INDEX(次果筐明细!$G$4:$G$603,$Z801-5200))=0,"",N(INDEX(次果筐明细!$G$4:$G$603,$Z801-5200))),""),"")))))</f>
        <v/>
      </c>
      <c r="Q801" s="40" t="str">
        <f>IF($Z801="","",IF($Z801&lt;=2000,"",IF($Z801&lt;=4000,IF(N(INDEX(周转筐出入库明细!$H$4:$H$2004,$Z801-2000))=0,"",N(INDEX(周转筐出入库明细!$H$4:$H$2004,$Z801-2000))),IF($Z801&lt;=5200,IF(N(INDEX(客户自备加工筐明细!$F$4:$F$1203,$Z801-4000))=0,"",N(INDEX(客户自备加工筐明细!$F$4:$F$1203,$Z801-4000))),IF($Z801&lt;=5800,"","")))))</f>
        <v/>
      </c>
      <c r="R801" s="16" t="str">
        <f>IF($Z801="","",IF($Z801&lt;=2000,IF(INDEX(包装物料出入库明细!$O$4:$O$2003,$Z801-0)=0,"",INDEX(包装物料出入库明细!$O$4:$O$2003,$Z801-0)),IF($Z801&lt;=4000,IF(INDEX(周转筐出入库明细!$M$4:$M$2004,$Z801-2000)=0,"",INDEX(周转筐出入库明细!$M$4:$M$2004,$Z801-2000)),IF($Z801&lt;=5200,IF(INDEX(客户自备加工筐明细!$H$4:$H$1203,$Z801-4000)=0,"",INDEX(客户自备加工筐明细!$H$4:$H$1203,$Z801-4000)),IF($Z801&lt;=5800,IF(INDEX(次果筐明细!$H$4:$H$603,$Z801-5200)=0,"",INDEX(次果筐明细!$H$4:$H$603,$Z801-5200)),"")))))</f>
        <v/>
      </c>
      <c r="S801" s="22" t="str">
        <f t="shared" si="38"/>
        <v/>
      </c>
      <c r="Z801" s="10" t="str">
        <f>IFERROR(MATCH(ROW()-3,_自动清单!$CQ$4:$CQ$5803,0),"")</f>
        <v/>
      </c>
    </row>
    <row r="802" spans="1:26">
      <c r="A802" s="24" t="str">
        <f t="shared" si="36"/>
        <v/>
      </c>
      <c r="B802" s="38" t="str">
        <f>IF($Z802="","",IF($Z802&lt;=2000,IF(INDEX(包装物料出入库明细!$B$4:$B$2003,$Z802-0)=0,"",INDEX(包装物料出入库明细!$B$4:$B$2003,$Z802-0)),IF($Z802&lt;=4000,IF(INDEX(周转筐出入库明细!$B$4:$B$2004,$Z802-2000)=0,"",INDEX(周转筐出入库明细!$B$4:$B$2004,$Z802-2000)),IF($Z802&lt;=5200,IF(INDEX(客户自备加工筐明细!$B$4:$B$1203,$Z802-4000)=0,"",INDEX(客户自备加工筐明细!$B$4:$B$1203,$Z802-4000)),IF($Z802&lt;=5800,IF(INDEX(次果筐明细!$B$4:$B$603,$Z802-5200)=0,"",INDEX(次果筐明细!$B$4:$B$603,$Z802-5200)),"")))))</f>
        <v/>
      </c>
      <c r="C802" s="37" t="str">
        <f>IF($Z802="","",IF($Z802&lt;=2000,IF(INDEX(包装物料出入库明细!$D$4:$D$2003,$Z802-0)=0,"",INDEX(包装物料出入库明细!$D$4:$D$2003,$Z802-0)),IF($Z802&lt;=4000,IF(INDEX(周转筐出入库明细!$C$4:$C$2004,$Z802-2000)=0,"",INDEX(周转筐出入库明细!$C$4:$C$2004,$Z802-2000)),IF($Z802&lt;=5200,IF(INDEX(客户自备加工筐明细!$E$4:$E$1203,$Z802-4000)=0,"",INDEX(客户自备加工筐明细!$E$4:$E$1203,$Z802-4000)),IF($Z802&lt;=5800,IF(INDEX(次果筐明细!$C$4:$C$603,$Z802-5200)=0,"",INDEX(次果筐明细!$C$4:$C$603,$Z802-5200)),"")))))</f>
        <v/>
      </c>
      <c r="D802" s="37" t="str">
        <f>IF($Z802="","",IF($Z802&lt;=2000,"包装物料－"&amp;INDEX(包装物料出入库明细!$H$4:$H$2003,$Z802-0),IF($Z802&lt;=4000,"周转筐－"&amp;INDEX(周转筐出入库明细!$F$4:$F$2004,$Z802-2000),IF($Z802&lt;=5200,"客户自备筐－"&amp;INDEX(客户自备加工筐明细!$J$4:$J$1203,$Z802-4000),IF($Z802&lt;=5800,"次果筐/托盘－"&amp;INDEX(次果筐明细!$F$4:$F$603,$Z802-5200),"")))))</f>
        <v/>
      </c>
      <c r="E802" s="24" t="str">
        <f>IF($Z802="","",IF($Z802&lt;=2000,IF(INDEX(包装物料出入库明细!$C$4:$C$2003,$Z802-0)=0,"",INDEX(包装物料出入库明细!$C$4:$C$2003,$Z802-0)),IF($Z802&lt;=4000,IF(INDEX(周转筐出入库明细!$E$4:$E$2004,$Z802-2000)=0,"",INDEX(周转筐出入库明细!$E$4:$E$2004,$Z802-2000)),IF($Z802&lt;=5200,IF(INDEX(客户自备加工筐明细!$D$4:$D$1203,$Z802-4000)=0,"",INDEX(客户自备加工筐明细!$D$4:$D$1203,$Z802-4000)),IF($Z802&lt;=5800,IF(INDEX(次果筐明细!$E$4:$E$603,$Z802-5200)=0,"",INDEX(次果筐明细!$E$4:$E$603,$Z802-5200)),"")))))</f>
        <v/>
      </c>
      <c r="F802" s="24" t="str">
        <f>IF($Z802="","",IF($Z802&lt;=2000,IF(INDEX(包装物料出入库明细!$E$4:$E$2003,$Z802-0)=0,"",INDEX(包装物料出入库明细!$E$4:$E$2003,$Z802-0)),IF($Z802&lt;=4000,IF(INDEX(周转筐出入库明细!$D$4:$D$2004,$Z802-2000)=0,"",INDEX(周转筐出入库明细!$D$4:$D$2004,$Z802-2000)),IF($Z802&lt;=5200,IF(INDEX(客户自备加工筐明细!$C$4:$C$1203,$Z802-4000)=0,"",INDEX(客户自备加工筐明细!$C$4:$C$1203,$Z802-4000)),IF($Z802&lt;=5800,IF(INDEX(次果筐明细!$D$4:$D$603,$Z802-5200)=0,"",INDEX(次果筐明细!$D$4:$D$603,$Z802-5200)),"")))))</f>
        <v/>
      </c>
      <c r="G802" s="24" t="str">
        <f>IF($Z802="","",IF($Z802&lt;=2000,IF(INDEX(包装物料出入库明细!$F$4:$F$2003,$Z802-0)=0,"",INDEX(包装物料出入库明细!$F$4:$F$2003,$Z802-0)),IF($Z802&lt;=4000,"",IF($Z802&lt;=5200,"",IF($Z802&lt;=5800,"","")))))</f>
        <v/>
      </c>
      <c r="H802" s="39" t="str">
        <f>IF($Z802="","",IF($Z802&lt;=2000,IF(INDEX(包装物料出入库明细!$L$4:$L$2003,$Z802-0)=0,"",INDEX(包装物料出入库明细!$L$4:$L$2003,$Z802-0)),IF($Z802&lt;=4000,N(INDEX(周转筐出入库明细!$H$4:$H$2004,$Z802-2000))+N(INDEX(周转筐出入库明细!$I$4:$I$2004,$Z802-2000))+N(INDEX(周转筐出入库明细!$J$4:$J$2004,$Z802-2000))+N(INDEX(周转筐出入库明细!$K$4:$K$2004,$Z802-2000)),IF($Z802&lt;=5200,N(INDEX(客户自备加工筐明细!$F$4:$F$1203,$Z802-4000))+N(INDEX(客户自备加工筐明细!$G$4:$G$1203,$Z802-4000)),IF($Z802&lt;=5800,IF(INDEX(次果筐明细!$G$4:$G$603,$Z802-5200)=0,"",INDEX(次果筐明细!$G$4:$G$603,$Z802-5200)),"")))))</f>
        <v/>
      </c>
      <c r="I802" s="24" t="str">
        <f>IF($Z802="","",IF($Z802&lt;=2000,IF(INDEX(包装物料出入库明细!$G$4:$G$2003,$Z802-0)=0,"",INDEX(包装物料出入库明细!$G$4:$G$2003,$Z802-0)),IF($Z802&lt;=4000,"个",IF($Z802&lt;=5200,"个",IF($Z802&lt;=5800,"个","")))))</f>
        <v/>
      </c>
      <c r="J802" s="30" t="str">
        <f t="shared" si="37"/>
        <v/>
      </c>
      <c r="K802" s="30" t="str">
        <f>IF($Z802="","",IF($Z802&lt;=2000,IF(INDEX(包装物料出入库明细!$N$4:$N$2003,$Z802-0)=0,"",INDEX(包装物料出入库明细!$N$4:$N$2003,$Z802-0)),IF($Z802&lt;=4000,IF(INDEX(周转筐出入库明细!$P$4:$P$2004,$Z802-2000)=0,"",INDEX(周转筐出入库明细!$P$4:$P$2004,$Z802-2000)),IF($Z802&lt;=5200,"",IF($Z802&lt;=5800,N(INDEX(次果筐明细!$L$4:$L$603,$Z802-5200))+N(INDEX(次果筐明细!$J$4:$J$603,$Z802-5200)),"")))))</f>
        <v/>
      </c>
      <c r="L802" s="24" t="str">
        <f>IF($Z802="","",IF($Z802&lt;=2000,IF(INDEX(包装物料出入库明细!$P$4:$P$2003,$Z802-0)=0,"",INDEX(包装物料出入库明细!$P$4:$P$2003,$Z802-0)),IF($Z802&lt;=4000,IF(INDEX(周转筐出入库明细!$Q$4:$Q$2004,$Z802-2000)=0,"",INDEX(周转筐出入库明细!$Q$4:$Q$2004,$Z802-2000)),IF($Z802&lt;=5200,"",IF($Z802&lt;=5800,IF(INDEX(次果筐明细!$M$4:$M$603,$Z802-5200)=0,"",INDEX(次果筐明细!$M$4:$M$603,$Z802-5200)),"")))))</f>
        <v/>
      </c>
      <c r="M802" s="37" t="str">
        <f>IF($Z802="","",IF($Z802&lt;=2000,IF(INDEX(包装物料出入库明细!$R$4:$R$2003,$Z802-0)=0,"",INDEX(包装物料出入库明细!$R$4:$R$2003,$Z802-0)),IF($Z802&lt;=4000,IF(INDEX(周转筐出入库明细!$W$4:$W$2004,$Z802-2000)=0,"",INDEX(周转筐出入库明细!$W$4:$W$2004,$Z802-2000)),IF($Z802&lt;=5200,IF(INDEX(客户自备加工筐明细!$L$4:$L$1203,$Z802-4000)=0,"",INDEX(客户自备加工筐明细!$L$4:$L$1203,$Z802-4000)),IF($Z802&lt;=5800,IF(INDEX(次果筐明细!$P$4:$P$603,$Z802-5200)=0,"",INDEX(次果筐明细!$P$4:$P$603,$Z802-5200)),"")))))</f>
        <v/>
      </c>
      <c r="N802" s="16" t="str">
        <f>IF($Z802="","",IF($Z802&lt;=2000,"",IF($Z802&lt;=4000,IF(INDEX(周转筐出入库明细!$D$4:$D$2004,$Z802-2000)=0,"",INDEX(周转筐出入库明细!$D$4:$D$2004,$Z802-2000)),IF($Z802&lt;=5200,IF(INDEX(客户自备加工筐明细!$C$4:$C$1203,$Z802-4000)=0,"",INDEX(客户自备加工筐明细!$C$4:$C$1203,$Z802-4000)),IF($Z802&lt;=5800,IF(INDEX(次果筐明细!$D$4:$D$603,$Z802-5200)=0,"",INDEX(次果筐明细!$D$4:$D$603,$Z802-5200)),"")))))</f>
        <v/>
      </c>
      <c r="O802" s="40" t="str">
        <f>IF($Z802="","",IF($Z802&lt;=2000,"",IF($Z802&lt;=4000,IF(N(INDEX(周转筐出入库明细!$J$4:$J$2004,$Z802-2000))+N(INDEX(周转筐出入库明细!$K$4:$K$2004,$Z802-2000))=0,"",N(INDEX(周转筐出入库明细!$J$4:$J$2004,$Z802-2000))+N(INDEX(周转筐出入库明细!$K$4:$K$2004,$Z802-2000))),IF($Z802&lt;=5200,IF(N(INDEX(客户自备加工筐明细!$G$4:$G$1203,$Z802-4000))=0,"",N(INDEX(客户自备加工筐明细!$G$4:$G$1203,$Z802-4000))),IF($Z802&lt;=5800,IF(ISNUMBER(SEARCH("退",INDEX(次果筐明细!$F$4:$F$603,$Z802-5200)&amp;"")),"",IF(N(INDEX(次果筐明细!$G$4:$G$603,$Z802-5200))=0,"",N(INDEX(次果筐明细!$G$4:$G$603,$Z802-5200)))),"")))))</f>
        <v/>
      </c>
      <c r="P802" s="40" t="str">
        <f>IF($Z802="","",IF($Z802&lt;=2000,"",IF($Z802&lt;=4000,IF(N(INDEX(周转筐出入库明细!$I$4:$I$2004,$Z802-2000))=0,"",N(INDEX(周转筐出入库明细!$I$4:$I$2004,$Z802-2000))),IF($Z802&lt;=5200,"",IF($Z802&lt;=5800,IF(ISNUMBER(SEARCH("退",INDEX(次果筐明细!$F$4:$F$603,$Z802-5200)&amp;"")),IF(N(INDEX(次果筐明细!$G$4:$G$603,$Z802-5200))=0,"",N(INDEX(次果筐明细!$G$4:$G$603,$Z802-5200))),""),"")))))</f>
        <v/>
      </c>
      <c r="Q802" s="40" t="str">
        <f>IF($Z802="","",IF($Z802&lt;=2000,"",IF($Z802&lt;=4000,IF(N(INDEX(周转筐出入库明细!$H$4:$H$2004,$Z802-2000))=0,"",N(INDEX(周转筐出入库明细!$H$4:$H$2004,$Z802-2000))),IF($Z802&lt;=5200,IF(N(INDEX(客户自备加工筐明细!$F$4:$F$1203,$Z802-4000))=0,"",N(INDEX(客户自备加工筐明细!$F$4:$F$1203,$Z802-4000))),IF($Z802&lt;=5800,"","")))))</f>
        <v/>
      </c>
      <c r="R802" s="16" t="str">
        <f>IF($Z802="","",IF($Z802&lt;=2000,IF(INDEX(包装物料出入库明细!$O$4:$O$2003,$Z802-0)=0,"",INDEX(包装物料出入库明细!$O$4:$O$2003,$Z802-0)),IF($Z802&lt;=4000,IF(INDEX(周转筐出入库明细!$M$4:$M$2004,$Z802-2000)=0,"",INDEX(周转筐出入库明细!$M$4:$M$2004,$Z802-2000)),IF($Z802&lt;=5200,IF(INDEX(客户自备加工筐明细!$H$4:$H$1203,$Z802-4000)=0,"",INDEX(客户自备加工筐明细!$H$4:$H$1203,$Z802-4000)),IF($Z802&lt;=5800,IF(INDEX(次果筐明细!$H$4:$H$603,$Z802-5200)=0,"",INDEX(次果筐明细!$H$4:$H$603,$Z802-5200)),"")))))</f>
        <v/>
      </c>
      <c r="S802" s="22" t="str">
        <f t="shared" si="38"/>
        <v/>
      </c>
      <c r="Z802" s="10" t="str">
        <f>IFERROR(MATCH(ROW()-3,_自动清单!$CQ$4:$CQ$5803,0),"")</f>
        <v/>
      </c>
    </row>
    <row r="803" spans="1:26">
      <c r="A803" s="24" t="str">
        <f t="shared" si="36"/>
        <v/>
      </c>
      <c r="B803" s="38" t="str">
        <f>IF($Z803="","",IF($Z803&lt;=2000,IF(INDEX(包装物料出入库明细!$B$4:$B$2003,$Z803-0)=0,"",INDEX(包装物料出入库明细!$B$4:$B$2003,$Z803-0)),IF($Z803&lt;=4000,IF(INDEX(周转筐出入库明细!$B$4:$B$2004,$Z803-2000)=0,"",INDEX(周转筐出入库明细!$B$4:$B$2004,$Z803-2000)),IF($Z803&lt;=5200,IF(INDEX(客户自备加工筐明细!$B$4:$B$1203,$Z803-4000)=0,"",INDEX(客户自备加工筐明细!$B$4:$B$1203,$Z803-4000)),IF($Z803&lt;=5800,IF(INDEX(次果筐明细!$B$4:$B$603,$Z803-5200)=0,"",INDEX(次果筐明细!$B$4:$B$603,$Z803-5200)),"")))))</f>
        <v/>
      </c>
      <c r="C803" s="37" t="str">
        <f>IF($Z803="","",IF($Z803&lt;=2000,IF(INDEX(包装物料出入库明细!$D$4:$D$2003,$Z803-0)=0,"",INDEX(包装物料出入库明细!$D$4:$D$2003,$Z803-0)),IF($Z803&lt;=4000,IF(INDEX(周转筐出入库明细!$C$4:$C$2004,$Z803-2000)=0,"",INDEX(周转筐出入库明细!$C$4:$C$2004,$Z803-2000)),IF($Z803&lt;=5200,IF(INDEX(客户自备加工筐明细!$E$4:$E$1203,$Z803-4000)=0,"",INDEX(客户自备加工筐明细!$E$4:$E$1203,$Z803-4000)),IF($Z803&lt;=5800,IF(INDEX(次果筐明细!$C$4:$C$603,$Z803-5200)=0,"",INDEX(次果筐明细!$C$4:$C$603,$Z803-5200)),"")))))</f>
        <v/>
      </c>
      <c r="D803" s="37" t="str">
        <f>IF($Z803="","",IF($Z803&lt;=2000,"包装物料－"&amp;INDEX(包装物料出入库明细!$H$4:$H$2003,$Z803-0),IF($Z803&lt;=4000,"周转筐－"&amp;INDEX(周转筐出入库明细!$F$4:$F$2004,$Z803-2000),IF($Z803&lt;=5200,"客户自备筐－"&amp;INDEX(客户自备加工筐明细!$J$4:$J$1203,$Z803-4000),IF($Z803&lt;=5800,"次果筐/托盘－"&amp;INDEX(次果筐明细!$F$4:$F$603,$Z803-5200),"")))))</f>
        <v/>
      </c>
      <c r="E803" s="24" t="str">
        <f>IF($Z803="","",IF($Z803&lt;=2000,IF(INDEX(包装物料出入库明细!$C$4:$C$2003,$Z803-0)=0,"",INDEX(包装物料出入库明细!$C$4:$C$2003,$Z803-0)),IF($Z803&lt;=4000,IF(INDEX(周转筐出入库明细!$E$4:$E$2004,$Z803-2000)=0,"",INDEX(周转筐出入库明细!$E$4:$E$2004,$Z803-2000)),IF($Z803&lt;=5200,IF(INDEX(客户自备加工筐明细!$D$4:$D$1203,$Z803-4000)=0,"",INDEX(客户自备加工筐明细!$D$4:$D$1203,$Z803-4000)),IF($Z803&lt;=5800,IF(INDEX(次果筐明细!$E$4:$E$603,$Z803-5200)=0,"",INDEX(次果筐明细!$E$4:$E$603,$Z803-5200)),"")))))</f>
        <v/>
      </c>
      <c r="F803" s="24" t="str">
        <f>IF($Z803="","",IF($Z803&lt;=2000,IF(INDEX(包装物料出入库明细!$E$4:$E$2003,$Z803-0)=0,"",INDEX(包装物料出入库明细!$E$4:$E$2003,$Z803-0)),IF($Z803&lt;=4000,IF(INDEX(周转筐出入库明细!$D$4:$D$2004,$Z803-2000)=0,"",INDEX(周转筐出入库明细!$D$4:$D$2004,$Z803-2000)),IF($Z803&lt;=5200,IF(INDEX(客户自备加工筐明细!$C$4:$C$1203,$Z803-4000)=0,"",INDEX(客户自备加工筐明细!$C$4:$C$1203,$Z803-4000)),IF($Z803&lt;=5800,IF(INDEX(次果筐明细!$D$4:$D$603,$Z803-5200)=0,"",INDEX(次果筐明细!$D$4:$D$603,$Z803-5200)),"")))))</f>
        <v/>
      </c>
      <c r="G803" s="24" t="str">
        <f>IF($Z803="","",IF($Z803&lt;=2000,IF(INDEX(包装物料出入库明细!$F$4:$F$2003,$Z803-0)=0,"",INDEX(包装物料出入库明细!$F$4:$F$2003,$Z803-0)),IF($Z803&lt;=4000,"",IF($Z803&lt;=5200,"",IF($Z803&lt;=5800,"","")))))</f>
        <v/>
      </c>
      <c r="H803" s="39" t="str">
        <f>IF($Z803="","",IF($Z803&lt;=2000,IF(INDEX(包装物料出入库明细!$L$4:$L$2003,$Z803-0)=0,"",INDEX(包装物料出入库明细!$L$4:$L$2003,$Z803-0)),IF($Z803&lt;=4000,N(INDEX(周转筐出入库明细!$H$4:$H$2004,$Z803-2000))+N(INDEX(周转筐出入库明细!$I$4:$I$2004,$Z803-2000))+N(INDEX(周转筐出入库明细!$J$4:$J$2004,$Z803-2000))+N(INDEX(周转筐出入库明细!$K$4:$K$2004,$Z803-2000)),IF($Z803&lt;=5200,N(INDEX(客户自备加工筐明细!$F$4:$F$1203,$Z803-4000))+N(INDEX(客户自备加工筐明细!$G$4:$G$1203,$Z803-4000)),IF($Z803&lt;=5800,IF(INDEX(次果筐明细!$G$4:$G$603,$Z803-5200)=0,"",INDEX(次果筐明细!$G$4:$G$603,$Z803-5200)),"")))))</f>
        <v/>
      </c>
      <c r="I803" s="24" t="str">
        <f>IF($Z803="","",IF($Z803&lt;=2000,IF(INDEX(包装物料出入库明细!$G$4:$G$2003,$Z803-0)=0,"",INDEX(包装物料出入库明细!$G$4:$G$2003,$Z803-0)),IF($Z803&lt;=4000,"个",IF($Z803&lt;=5200,"个",IF($Z803&lt;=5800,"个","")))))</f>
        <v/>
      </c>
      <c r="J803" s="30" t="str">
        <f t="shared" si="37"/>
        <v/>
      </c>
      <c r="K803" s="30" t="str">
        <f>IF($Z803="","",IF($Z803&lt;=2000,IF(INDEX(包装物料出入库明细!$N$4:$N$2003,$Z803-0)=0,"",INDEX(包装物料出入库明细!$N$4:$N$2003,$Z803-0)),IF($Z803&lt;=4000,IF(INDEX(周转筐出入库明细!$P$4:$P$2004,$Z803-2000)=0,"",INDEX(周转筐出入库明细!$P$4:$P$2004,$Z803-2000)),IF($Z803&lt;=5200,"",IF($Z803&lt;=5800,N(INDEX(次果筐明细!$L$4:$L$603,$Z803-5200))+N(INDEX(次果筐明细!$J$4:$J$603,$Z803-5200)),"")))))</f>
        <v/>
      </c>
      <c r="L803" s="24" t="str">
        <f>IF($Z803="","",IF($Z803&lt;=2000,IF(INDEX(包装物料出入库明细!$P$4:$P$2003,$Z803-0)=0,"",INDEX(包装物料出入库明细!$P$4:$P$2003,$Z803-0)),IF($Z803&lt;=4000,IF(INDEX(周转筐出入库明细!$Q$4:$Q$2004,$Z803-2000)=0,"",INDEX(周转筐出入库明细!$Q$4:$Q$2004,$Z803-2000)),IF($Z803&lt;=5200,"",IF($Z803&lt;=5800,IF(INDEX(次果筐明细!$M$4:$M$603,$Z803-5200)=0,"",INDEX(次果筐明细!$M$4:$M$603,$Z803-5200)),"")))))</f>
        <v/>
      </c>
      <c r="M803" s="37" t="str">
        <f>IF($Z803="","",IF($Z803&lt;=2000,IF(INDEX(包装物料出入库明细!$R$4:$R$2003,$Z803-0)=0,"",INDEX(包装物料出入库明细!$R$4:$R$2003,$Z803-0)),IF($Z803&lt;=4000,IF(INDEX(周转筐出入库明细!$W$4:$W$2004,$Z803-2000)=0,"",INDEX(周转筐出入库明细!$W$4:$W$2004,$Z803-2000)),IF($Z803&lt;=5200,IF(INDEX(客户自备加工筐明细!$L$4:$L$1203,$Z803-4000)=0,"",INDEX(客户自备加工筐明细!$L$4:$L$1203,$Z803-4000)),IF($Z803&lt;=5800,IF(INDEX(次果筐明细!$P$4:$P$603,$Z803-5200)=0,"",INDEX(次果筐明细!$P$4:$P$603,$Z803-5200)),"")))))</f>
        <v/>
      </c>
      <c r="N803" s="16" t="str">
        <f>IF($Z803="","",IF($Z803&lt;=2000,"",IF($Z803&lt;=4000,IF(INDEX(周转筐出入库明细!$D$4:$D$2004,$Z803-2000)=0,"",INDEX(周转筐出入库明细!$D$4:$D$2004,$Z803-2000)),IF($Z803&lt;=5200,IF(INDEX(客户自备加工筐明细!$C$4:$C$1203,$Z803-4000)=0,"",INDEX(客户自备加工筐明细!$C$4:$C$1203,$Z803-4000)),IF($Z803&lt;=5800,IF(INDEX(次果筐明细!$D$4:$D$603,$Z803-5200)=0,"",INDEX(次果筐明细!$D$4:$D$603,$Z803-5200)),"")))))</f>
        <v/>
      </c>
      <c r="O803" s="40" t="str">
        <f>IF($Z803="","",IF($Z803&lt;=2000,"",IF($Z803&lt;=4000,IF(N(INDEX(周转筐出入库明细!$J$4:$J$2004,$Z803-2000))+N(INDEX(周转筐出入库明细!$K$4:$K$2004,$Z803-2000))=0,"",N(INDEX(周转筐出入库明细!$J$4:$J$2004,$Z803-2000))+N(INDEX(周转筐出入库明细!$K$4:$K$2004,$Z803-2000))),IF($Z803&lt;=5200,IF(N(INDEX(客户自备加工筐明细!$G$4:$G$1203,$Z803-4000))=0,"",N(INDEX(客户自备加工筐明细!$G$4:$G$1203,$Z803-4000))),IF($Z803&lt;=5800,IF(ISNUMBER(SEARCH("退",INDEX(次果筐明细!$F$4:$F$603,$Z803-5200)&amp;"")),"",IF(N(INDEX(次果筐明细!$G$4:$G$603,$Z803-5200))=0,"",N(INDEX(次果筐明细!$G$4:$G$603,$Z803-5200)))),"")))))</f>
        <v/>
      </c>
      <c r="P803" s="40" t="str">
        <f>IF($Z803="","",IF($Z803&lt;=2000,"",IF($Z803&lt;=4000,IF(N(INDEX(周转筐出入库明细!$I$4:$I$2004,$Z803-2000))=0,"",N(INDEX(周转筐出入库明细!$I$4:$I$2004,$Z803-2000))),IF($Z803&lt;=5200,"",IF($Z803&lt;=5800,IF(ISNUMBER(SEARCH("退",INDEX(次果筐明细!$F$4:$F$603,$Z803-5200)&amp;"")),IF(N(INDEX(次果筐明细!$G$4:$G$603,$Z803-5200))=0,"",N(INDEX(次果筐明细!$G$4:$G$603,$Z803-5200))),""),"")))))</f>
        <v/>
      </c>
      <c r="Q803" s="40" t="str">
        <f>IF($Z803="","",IF($Z803&lt;=2000,"",IF($Z803&lt;=4000,IF(N(INDEX(周转筐出入库明细!$H$4:$H$2004,$Z803-2000))=0,"",N(INDEX(周转筐出入库明细!$H$4:$H$2004,$Z803-2000))),IF($Z803&lt;=5200,IF(N(INDEX(客户自备加工筐明细!$F$4:$F$1203,$Z803-4000))=0,"",N(INDEX(客户自备加工筐明细!$F$4:$F$1203,$Z803-4000))),IF($Z803&lt;=5800,"","")))))</f>
        <v/>
      </c>
      <c r="R803" s="16" t="str">
        <f>IF($Z803="","",IF($Z803&lt;=2000,IF(INDEX(包装物料出入库明细!$O$4:$O$2003,$Z803-0)=0,"",INDEX(包装物料出入库明细!$O$4:$O$2003,$Z803-0)),IF($Z803&lt;=4000,IF(INDEX(周转筐出入库明细!$M$4:$M$2004,$Z803-2000)=0,"",INDEX(周转筐出入库明细!$M$4:$M$2004,$Z803-2000)),IF($Z803&lt;=5200,IF(INDEX(客户自备加工筐明细!$H$4:$H$1203,$Z803-4000)=0,"",INDEX(客户自备加工筐明细!$H$4:$H$1203,$Z803-4000)),IF($Z803&lt;=5800,IF(INDEX(次果筐明细!$H$4:$H$603,$Z803-5200)=0,"",INDEX(次果筐明细!$H$4:$H$603,$Z803-5200)),"")))))</f>
        <v/>
      </c>
      <c r="S803" s="22" t="str">
        <f t="shared" si="38"/>
        <v/>
      </c>
      <c r="Z803" s="10" t="str">
        <f>IFERROR(MATCH(ROW()-3,_自动清单!$CQ$4:$CQ$5803,0),"")</f>
        <v/>
      </c>
    </row>
    <row r="804" spans="1:26">
      <c r="A804" s="24" t="str">
        <f t="shared" si="36"/>
        <v/>
      </c>
      <c r="B804" s="38" t="str">
        <f>IF($Z804="","",IF($Z804&lt;=2000,IF(INDEX(包装物料出入库明细!$B$4:$B$2003,$Z804-0)=0,"",INDEX(包装物料出入库明细!$B$4:$B$2003,$Z804-0)),IF($Z804&lt;=4000,IF(INDEX(周转筐出入库明细!$B$4:$B$2004,$Z804-2000)=0,"",INDEX(周转筐出入库明细!$B$4:$B$2004,$Z804-2000)),IF($Z804&lt;=5200,IF(INDEX(客户自备加工筐明细!$B$4:$B$1203,$Z804-4000)=0,"",INDEX(客户自备加工筐明细!$B$4:$B$1203,$Z804-4000)),IF($Z804&lt;=5800,IF(INDEX(次果筐明细!$B$4:$B$603,$Z804-5200)=0,"",INDEX(次果筐明细!$B$4:$B$603,$Z804-5200)),"")))))</f>
        <v/>
      </c>
      <c r="C804" s="37" t="str">
        <f>IF($Z804="","",IF($Z804&lt;=2000,IF(INDEX(包装物料出入库明细!$D$4:$D$2003,$Z804-0)=0,"",INDEX(包装物料出入库明细!$D$4:$D$2003,$Z804-0)),IF($Z804&lt;=4000,IF(INDEX(周转筐出入库明细!$C$4:$C$2004,$Z804-2000)=0,"",INDEX(周转筐出入库明细!$C$4:$C$2004,$Z804-2000)),IF($Z804&lt;=5200,IF(INDEX(客户自备加工筐明细!$E$4:$E$1203,$Z804-4000)=0,"",INDEX(客户自备加工筐明细!$E$4:$E$1203,$Z804-4000)),IF($Z804&lt;=5800,IF(INDEX(次果筐明细!$C$4:$C$603,$Z804-5200)=0,"",INDEX(次果筐明细!$C$4:$C$603,$Z804-5200)),"")))))</f>
        <v/>
      </c>
      <c r="D804" s="37" t="str">
        <f>IF($Z804="","",IF($Z804&lt;=2000,"包装物料－"&amp;INDEX(包装物料出入库明细!$H$4:$H$2003,$Z804-0),IF($Z804&lt;=4000,"周转筐－"&amp;INDEX(周转筐出入库明细!$F$4:$F$2004,$Z804-2000),IF($Z804&lt;=5200,"客户自备筐－"&amp;INDEX(客户自备加工筐明细!$J$4:$J$1203,$Z804-4000),IF($Z804&lt;=5800,"次果筐/托盘－"&amp;INDEX(次果筐明细!$F$4:$F$603,$Z804-5200),"")))))</f>
        <v/>
      </c>
      <c r="E804" s="24" t="str">
        <f>IF($Z804="","",IF($Z804&lt;=2000,IF(INDEX(包装物料出入库明细!$C$4:$C$2003,$Z804-0)=0,"",INDEX(包装物料出入库明细!$C$4:$C$2003,$Z804-0)),IF($Z804&lt;=4000,IF(INDEX(周转筐出入库明细!$E$4:$E$2004,$Z804-2000)=0,"",INDEX(周转筐出入库明细!$E$4:$E$2004,$Z804-2000)),IF($Z804&lt;=5200,IF(INDEX(客户自备加工筐明细!$D$4:$D$1203,$Z804-4000)=0,"",INDEX(客户自备加工筐明细!$D$4:$D$1203,$Z804-4000)),IF($Z804&lt;=5800,IF(INDEX(次果筐明细!$E$4:$E$603,$Z804-5200)=0,"",INDEX(次果筐明细!$E$4:$E$603,$Z804-5200)),"")))))</f>
        <v/>
      </c>
      <c r="F804" s="24" t="str">
        <f>IF($Z804="","",IF($Z804&lt;=2000,IF(INDEX(包装物料出入库明细!$E$4:$E$2003,$Z804-0)=0,"",INDEX(包装物料出入库明细!$E$4:$E$2003,$Z804-0)),IF($Z804&lt;=4000,IF(INDEX(周转筐出入库明细!$D$4:$D$2004,$Z804-2000)=0,"",INDEX(周转筐出入库明细!$D$4:$D$2004,$Z804-2000)),IF($Z804&lt;=5200,IF(INDEX(客户自备加工筐明细!$C$4:$C$1203,$Z804-4000)=0,"",INDEX(客户自备加工筐明细!$C$4:$C$1203,$Z804-4000)),IF($Z804&lt;=5800,IF(INDEX(次果筐明细!$D$4:$D$603,$Z804-5200)=0,"",INDEX(次果筐明细!$D$4:$D$603,$Z804-5200)),"")))))</f>
        <v/>
      </c>
      <c r="G804" s="24" t="str">
        <f>IF($Z804="","",IF($Z804&lt;=2000,IF(INDEX(包装物料出入库明细!$F$4:$F$2003,$Z804-0)=0,"",INDEX(包装物料出入库明细!$F$4:$F$2003,$Z804-0)),IF($Z804&lt;=4000,"",IF($Z804&lt;=5200,"",IF($Z804&lt;=5800,"","")))))</f>
        <v/>
      </c>
      <c r="H804" s="39" t="str">
        <f>IF($Z804="","",IF($Z804&lt;=2000,IF(INDEX(包装物料出入库明细!$L$4:$L$2003,$Z804-0)=0,"",INDEX(包装物料出入库明细!$L$4:$L$2003,$Z804-0)),IF($Z804&lt;=4000,N(INDEX(周转筐出入库明细!$H$4:$H$2004,$Z804-2000))+N(INDEX(周转筐出入库明细!$I$4:$I$2004,$Z804-2000))+N(INDEX(周转筐出入库明细!$J$4:$J$2004,$Z804-2000))+N(INDEX(周转筐出入库明细!$K$4:$K$2004,$Z804-2000)),IF($Z804&lt;=5200,N(INDEX(客户自备加工筐明细!$F$4:$F$1203,$Z804-4000))+N(INDEX(客户自备加工筐明细!$G$4:$G$1203,$Z804-4000)),IF($Z804&lt;=5800,IF(INDEX(次果筐明细!$G$4:$G$603,$Z804-5200)=0,"",INDEX(次果筐明细!$G$4:$G$603,$Z804-5200)),"")))))</f>
        <v/>
      </c>
      <c r="I804" s="24" t="str">
        <f>IF($Z804="","",IF($Z804&lt;=2000,IF(INDEX(包装物料出入库明细!$G$4:$G$2003,$Z804-0)=0,"",INDEX(包装物料出入库明细!$G$4:$G$2003,$Z804-0)),IF($Z804&lt;=4000,"个",IF($Z804&lt;=5200,"个",IF($Z804&lt;=5800,"个","")))))</f>
        <v/>
      </c>
      <c r="J804" s="30" t="str">
        <f t="shared" si="37"/>
        <v/>
      </c>
      <c r="K804" s="30" t="str">
        <f>IF($Z804="","",IF($Z804&lt;=2000,IF(INDEX(包装物料出入库明细!$N$4:$N$2003,$Z804-0)=0,"",INDEX(包装物料出入库明细!$N$4:$N$2003,$Z804-0)),IF($Z804&lt;=4000,IF(INDEX(周转筐出入库明细!$P$4:$P$2004,$Z804-2000)=0,"",INDEX(周转筐出入库明细!$P$4:$P$2004,$Z804-2000)),IF($Z804&lt;=5200,"",IF($Z804&lt;=5800,N(INDEX(次果筐明细!$L$4:$L$603,$Z804-5200))+N(INDEX(次果筐明细!$J$4:$J$603,$Z804-5200)),"")))))</f>
        <v/>
      </c>
      <c r="L804" s="24" t="str">
        <f>IF($Z804="","",IF($Z804&lt;=2000,IF(INDEX(包装物料出入库明细!$P$4:$P$2003,$Z804-0)=0,"",INDEX(包装物料出入库明细!$P$4:$P$2003,$Z804-0)),IF($Z804&lt;=4000,IF(INDEX(周转筐出入库明细!$Q$4:$Q$2004,$Z804-2000)=0,"",INDEX(周转筐出入库明细!$Q$4:$Q$2004,$Z804-2000)),IF($Z804&lt;=5200,"",IF($Z804&lt;=5800,IF(INDEX(次果筐明细!$M$4:$M$603,$Z804-5200)=0,"",INDEX(次果筐明细!$M$4:$M$603,$Z804-5200)),"")))))</f>
        <v/>
      </c>
      <c r="M804" s="37" t="str">
        <f>IF($Z804="","",IF($Z804&lt;=2000,IF(INDEX(包装物料出入库明细!$R$4:$R$2003,$Z804-0)=0,"",INDEX(包装物料出入库明细!$R$4:$R$2003,$Z804-0)),IF($Z804&lt;=4000,IF(INDEX(周转筐出入库明细!$W$4:$W$2004,$Z804-2000)=0,"",INDEX(周转筐出入库明细!$W$4:$W$2004,$Z804-2000)),IF($Z804&lt;=5200,IF(INDEX(客户自备加工筐明细!$L$4:$L$1203,$Z804-4000)=0,"",INDEX(客户自备加工筐明细!$L$4:$L$1203,$Z804-4000)),IF($Z804&lt;=5800,IF(INDEX(次果筐明细!$P$4:$P$603,$Z804-5200)=0,"",INDEX(次果筐明细!$P$4:$P$603,$Z804-5200)),"")))))</f>
        <v/>
      </c>
      <c r="N804" s="16" t="str">
        <f>IF($Z804="","",IF($Z804&lt;=2000,"",IF($Z804&lt;=4000,IF(INDEX(周转筐出入库明细!$D$4:$D$2004,$Z804-2000)=0,"",INDEX(周转筐出入库明细!$D$4:$D$2004,$Z804-2000)),IF($Z804&lt;=5200,IF(INDEX(客户自备加工筐明细!$C$4:$C$1203,$Z804-4000)=0,"",INDEX(客户自备加工筐明细!$C$4:$C$1203,$Z804-4000)),IF($Z804&lt;=5800,IF(INDEX(次果筐明细!$D$4:$D$603,$Z804-5200)=0,"",INDEX(次果筐明细!$D$4:$D$603,$Z804-5200)),"")))))</f>
        <v/>
      </c>
      <c r="O804" s="40" t="str">
        <f>IF($Z804="","",IF($Z804&lt;=2000,"",IF($Z804&lt;=4000,IF(N(INDEX(周转筐出入库明细!$J$4:$J$2004,$Z804-2000))+N(INDEX(周转筐出入库明细!$K$4:$K$2004,$Z804-2000))=0,"",N(INDEX(周转筐出入库明细!$J$4:$J$2004,$Z804-2000))+N(INDEX(周转筐出入库明细!$K$4:$K$2004,$Z804-2000))),IF($Z804&lt;=5200,IF(N(INDEX(客户自备加工筐明细!$G$4:$G$1203,$Z804-4000))=0,"",N(INDEX(客户自备加工筐明细!$G$4:$G$1203,$Z804-4000))),IF($Z804&lt;=5800,IF(ISNUMBER(SEARCH("退",INDEX(次果筐明细!$F$4:$F$603,$Z804-5200)&amp;"")),"",IF(N(INDEX(次果筐明细!$G$4:$G$603,$Z804-5200))=0,"",N(INDEX(次果筐明细!$G$4:$G$603,$Z804-5200)))),"")))))</f>
        <v/>
      </c>
      <c r="P804" s="40" t="str">
        <f>IF($Z804="","",IF($Z804&lt;=2000,"",IF($Z804&lt;=4000,IF(N(INDEX(周转筐出入库明细!$I$4:$I$2004,$Z804-2000))=0,"",N(INDEX(周转筐出入库明细!$I$4:$I$2004,$Z804-2000))),IF($Z804&lt;=5200,"",IF($Z804&lt;=5800,IF(ISNUMBER(SEARCH("退",INDEX(次果筐明细!$F$4:$F$603,$Z804-5200)&amp;"")),IF(N(INDEX(次果筐明细!$G$4:$G$603,$Z804-5200))=0,"",N(INDEX(次果筐明细!$G$4:$G$603,$Z804-5200))),""),"")))))</f>
        <v/>
      </c>
      <c r="Q804" s="40" t="str">
        <f>IF($Z804="","",IF($Z804&lt;=2000,"",IF($Z804&lt;=4000,IF(N(INDEX(周转筐出入库明细!$H$4:$H$2004,$Z804-2000))=0,"",N(INDEX(周转筐出入库明细!$H$4:$H$2004,$Z804-2000))),IF($Z804&lt;=5200,IF(N(INDEX(客户自备加工筐明细!$F$4:$F$1203,$Z804-4000))=0,"",N(INDEX(客户自备加工筐明细!$F$4:$F$1203,$Z804-4000))),IF($Z804&lt;=5800,"","")))))</f>
        <v/>
      </c>
      <c r="R804" s="16" t="str">
        <f>IF($Z804="","",IF($Z804&lt;=2000,IF(INDEX(包装物料出入库明细!$O$4:$O$2003,$Z804-0)=0,"",INDEX(包装物料出入库明细!$O$4:$O$2003,$Z804-0)),IF($Z804&lt;=4000,IF(INDEX(周转筐出入库明细!$M$4:$M$2004,$Z804-2000)=0,"",INDEX(周转筐出入库明细!$M$4:$M$2004,$Z804-2000)),IF($Z804&lt;=5200,IF(INDEX(客户自备加工筐明细!$H$4:$H$1203,$Z804-4000)=0,"",INDEX(客户自备加工筐明细!$H$4:$H$1203,$Z804-4000)),IF($Z804&lt;=5800,IF(INDEX(次果筐明细!$H$4:$H$603,$Z804-5200)=0,"",INDEX(次果筐明细!$H$4:$H$603,$Z804-5200)),"")))))</f>
        <v/>
      </c>
      <c r="S804" s="22" t="str">
        <f t="shared" si="38"/>
        <v/>
      </c>
      <c r="Z804" s="10" t="str">
        <f>IFERROR(MATCH(ROW()-3,_自动清单!$CQ$4:$CQ$5803,0),"")</f>
        <v/>
      </c>
    </row>
    <row r="805" spans="1:26">
      <c r="A805" s="24" t="str">
        <f t="shared" si="36"/>
        <v/>
      </c>
      <c r="B805" s="38" t="str">
        <f>IF($Z805="","",IF($Z805&lt;=2000,IF(INDEX(包装物料出入库明细!$B$4:$B$2003,$Z805-0)=0,"",INDEX(包装物料出入库明细!$B$4:$B$2003,$Z805-0)),IF($Z805&lt;=4000,IF(INDEX(周转筐出入库明细!$B$4:$B$2004,$Z805-2000)=0,"",INDEX(周转筐出入库明细!$B$4:$B$2004,$Z805-2000)),IF($Z805&lt;=5200,IF(INDEX(客户自备加工筐明细!$B$4:$B$1203,$Z805-4000)=0,"",INDEX(客户自备加工筐明细!$B$4:$B$1203,$Z805-4000)),IF($Z805&lt;=5800,IF(INDEX(次果筐明细!$B$4:$B$603,$Z805-5200)=0,"",INDEX(次果筐明细!$B$4:$B$603,$Z805-5200)),"")))))</f>
        <v/>
      </c>
      <c r="C805" s="37" t="str">
        <f>IF($Z805="","",IF($Z805&lt;=2000,IF(INDEX(包装物料出入库明细!$D$4:$D$2003,$Z805-0)=0,"",INDEX(包装物料出入库明细!$D$4:$D$2003,$Z805-0)),IF($Z805&lt;=4000,IF(INDEX(周转筐出入库明细!$C$4:$C$2004,$Z805-2000)=0,"",INDEX(周转筐出入库明细!$C$4:$C$2004,$Z805-2000)),IF($Z805&lt;=5200,IF(INDEX(客户自备加工筐明细!$E$4:$E$1203,$Z805-4000)=0,"",INDEX(客户自备加工筐明细!$E$4:$E$1203,$Z805-4000)),IF($Z805&lt;=5800,IF(INDEX(次果筐明细!$C$4:$C$603,$Z805-5200)=0,"",INDEX(次果筐明细!$C$4:$C$603,$Z805-5200)),"")))))</f>
        <v/>
      </c>
      <c r="D805" s="37" t="str">
        <f>IF($Z805="","",IF($Z805&lt;=2000,"包装物料－"&amp;INDEX(包装物料出入库明细!$H$4:$H$2003,$Z805-0),IF($Z805&lt;=4000,"周转筐－"&amp;INDEX(周转筐出入库明细!$F$4:$F$2004,$Z805-2000),IF($Z805&lt;=5200,"客户自备筐－"&amp;INDEX(客户自备加工筐明细!$J$4:$J$1203,$Z805-4000),IF($Z805&lt;=5800,"次果筐/托盘－"&amp;INDEX(次果筐明细!$F$4:$F$603,$Z805-5200),"")))))</f>
        <v/>
      </c>
      <c r="E805" s="24" t="str">
        <f>IF($Z805="","",IF($Z805&lt;=2000,IF(INDEX(包装物料出入库明细!$C$4:$C$2003,$Z805-0)=0,"",INDEX(包装物料出入库明细!$C$4:$C$2003,$Z805-0)),IF($Z805&lt;=4000,IF(INDEX(周转筐出入库明细!$E$4:$E$2004,$Z805-2000)=0,"",INDEX(周转筐出入库明细!$E$4:$E$2004,$Z805-2000)),IF($Z805&lt;=5200,IF(INDEX(客户自备加工筐明细!$D$4:$D$1203,$Z805-4000)=0,"",INDEX(客户自备加工筐明细!$D$4:$D$1203,$Z805-4000)),IF($Z805&lt;=5800,IF(INDEX(次果筐明细!$E$4:$E$603,$Z805-5200)=0,"",INDEX(次果筐明细!$E$4:$E$603,$Z805-5200)),"")))))</f>
        <v/>
      </c>
      <c r="F805" s="24" t="str">
        <f>IF($Z805="","",IF($Z805&lt;=2000,IF(INDEX(包装物料出入库明细!$E$4:$E$2003,$Z805-0)=0,"",INDEX(包装物料出入库明细!$E$4:$E$2003,$Z805-0)),IF($Z805&lt;=4000,IF(INDEX(周转筐出入库明细!$D$4:$D$2004,$Z805-2000)=0,"",INDEX(周转筐出入库明细!$D$4:$D$2004,$Z805-2000)),IF($Z805&lt;=5200,IF(INDEX(客户自备加工筐明细!$C$4:$C$1203,$Z805-4000)=0,"",INDEX(客户自备加工筐明细!$C$4:$C$1203,$Z805-4000)),IF($Z805&lt;=5800,IF(INDEX(次果筐明细!$D$4:$D$603,$Z805-5200)=0,"",INDEX(次果筐明细!$D$4:$D$603,$Z805-5200)),"")))))</f>
        <v/>
      </c>
      <c r="G805" s="24" t="str">
        <f>IF($Z805="","",IF($Z805&lt;=2000,IF(INDEX(包装物料出入库明细!$F$4:$F$2003,$Z805-0)=0,"",INDEX(包装物料出入库明细!$F$4:$F$2003,$Z805-0)),IF($Z805&lt;=4000,"",IF($Z805&lt;=5200,"",IF($Z805&lt;=5800,"","")))))</f>
        <v/>
      </c>
      <c r="H805" s="39" t="str">
        <f>IF($Z805="","",IF($Z805&lt;=2000,IF(INDEX(包装物料出入库明细!$L$4:$L$2003,$Z805-0)=0,"",INDEX(包装物料出入库明细!$L$4:$L$2003,$Z805-0)),IF($Z805&lt;=4000,N(INDEX(周转筐出入库明细!$H$4:$H$2004,$Z805-2000))+N(INDEX(周转筐出入库明细!$I$4:$I$2004,$Z805-2000))+N(INDEX(周转筐出入库明细!$J$4:$J$2004,$Z805-2000))+N(INDEX(周转筐出入库明细!$K$4:$K$2004,$Z805-2000)),IF($Z805&lt;=5200,N(INDEX(客户自备加工筐明细!$F$4:$F$1203,$Z805-4000))+N(INDEX(客户自备加工筐明细!$G$4:$G$1203,$Z805-4000)),IF($Z805&lt;=5800,IF(INDEX(次果筐明细!$G$4:$G$603,$Z805-5200)=0,"",INDEX(次果筐明细!$G$4:$G$603,$Z805-5200)),"")))))</f>
        <v/>
      </c>
      <c r="I805" s="24" t="str">
        <f>IF($Z805="","",IF($Z805&lt;=2000,IF(INDEX(包装物料出入库明细!$G$4:$G$2003,$Z805-0)=0,"",INDEX(包装物料出入库明细!$G$4:$G$2003,$Z805-0)),IF($Z805&lt;=4000,"个",IF($Z805&lt;=5200,"个",IF($Z805&lt;=5800,"个","")))))</f>
        <v/>
      </c>
      <c r="J805" s="30" t="str">
        <f t="shared" si="37"/>
        <v/>
      </c>
      <c r="K805" s="30" t="str">
        <f>IF($Z805="","",IF($Z805&lt;=2000,IF(INDEX(包装物料出入库明细!$N$4:$N$2003,$Z805-0)=0,"",INDEX(包装物料出入库明细!$N$4:$N$2003,$Z805-0)),IF($Z805&lt;=4000,IF(INDEX(周转筐出入库明细!$P$4:$P$2004,$Z805-2000)=0,"",INDEX(周转筐出入库明细!$P$4:$P$2004,$Z805-2000)),IF($Z805&lt;=5200,"",IF($Z805&lt;=5800,N(INDEX(次果筐明细!$L$4:$L$603,$Z805-5200))+N(INDEX(次果筐明细!$J$4:$J$603,$Z805-5200)),"")))))</f>
        <v/>
      </c>
      <c r="L805" s="24" t="str">
        <f>IF($Z805="","",IF($Z805&lt;=2000,IF(INDEX(包装物料出入库明细!$P$4:$P$2003,$Z805-0)=0,"",INDEX(包装物料出入库明细!$P$4:$P$2003,$Z805-0)),IF($Z805&lt;=4000,IF(INDEX(周转筐出入库明细!$Q$4:$Q$2004,$Z805-2000)=0,"",INDEX(周转筐出入库明细!$Q$4:$Q$2004,$Z805-2000)),IF($Z805&lt;=5200,"",IF($Z805&lt;=5800,IF(INDEX(次果筐明细!$M$4:$M$603,$Z805-5200)=0,"",INDEX(次果筐明细!$M$4:$M$603,$Z805-5200)),"")))))</f>
        <v/>
      </c>
      <c r="M805" s="37" t="str">
        <f>IF($Z805="","",IF($Z805&lt;=2000,IF(INDEX(包装物料出入库明细!$R$4:$R$2003,$Z805-0)=0,"",INDEX(包装物料出入库明细!$R$4:$R$2003,$Z805-0)),IF($Z805&lt;=4000,IF(INDEX(周转筐出入库明细!$W$4:$W$2004,$Z805-2000)=0,"",INDEX(周转筐出入库明细!$W$4:$W$2004,$Z805-2000)),IF($Z805&lt;=5200,IF(INDEX(客户自备加工筐明细!$L$4:$L$1203,$Z805-4000)=0,"",INDEX(客户自备加工筐明细!$L$4:$L$1203,$Z805-4000)),IF($Z805&lt;=5800,IF(INDEX(次果筐明细!$P$4:$P$603,$Z805-5200)=0,"",INDEX(次果筐明细!$P$4:$P$603,$Z805-5200)),"")))))</f>
        <v/>
      </c>
      <c r="N805" s="16" t="str">
        <f>IF($Z805="","",IF($Z805&lt;=2000,"",IF($Z805&lt;=4000,IF(INDEX(周转筐出入库明细!$D$4:$D$2004,$Z805-2000)=0,"",INDEX(周转筐出入库明细!$D$4:$D$2004,$Z805-2000)),IF($Z805&lt;=5200,IF(INDEX(客户自备加工筐明细!$C$4:$C$1203,$Z805-4000)=0,"",INDEX(客户自备加工筐明细!$C$4:$C$1203,$Z805-4000)),IF($Z805&lt;=5800,IF(INDEX(次果筐明细!$D$4:$D$603,$Z805-5200)=0,"",INDEX(次果筐明细!$D$4:$D$603,$Z805-5200)),"")))))</f>
        <v/>
      </c>
      <c r="O805" s="40" t="str">
        <f>IF($Z805="","",IF($Z805&lt;=2000,"",IF($Z805&lt;=4000,IF(N(INDEX(周转筐出入库明细!$J$4:$J$2004,$Z805-2000))+N(INDEX(周转筐出入库明细!$K$4:$K$2004,$Z805-2000))=0,"",N(INDEX(周转筐出入库明细!$J$4:$J$2004,$Z805-2000))+N(INDEX(周转筐出入库明细!$K$4:$K$2004,$Z805-2000))),IF($Z805&lt;=5200,IF(N(INDEX(客户自备加工筐明细!$G$4:$G$1203,$Z805-4000))=0,"",N(INDEX(客户自备加工筐明细!$G$4:$G$1203,$Z805-4000))),IF($Z805&lt;=5800,IF(ISNUMBER(SEARCH("退",INDEX(次果筐明细!$F$4:$F$603,$Z805-5200)&amp;"")),"",IF(N(INDEX(次果筐明细!$G$4:$G$603,$Z805-5200))=0,"",N(INDEX(次果筐明细!$G$4:$G$603,$Z805-5200)))),"")))))</f>
        <v/>
      </c>
      <c r="P805" s="40" t="str">
        <f>IF($Z805="","",IF($Z805&lt;=2000,"",IF($Z805&lt;=4000,IF(N(INDEX(周转筐出入库明细!$I$4:$I$2004,$Z805-2000))=0,"",N(INDEX(周转筐出入库明细!$I$4:$I$2004,$Z805-2000))),IF($Z805&lt;=5200,"",IF($Z805&lt;=5800,IF(ISNUMBER(SEARCH("退",INDEX(次果筐明细!$F$4:$F$603,$Z805-5200)&amp;"")),IF(N(INDEX(次果筐明细!$G$4:$G$603,$Z805-5200))=0,"",N(INDEX(次果筐明细!$G$4:$G$603,$Z805-5200))),""),"")))))</f>
        <v/>
      </c>
      <c r="Q805" s="40" t="str">
        <f>IF($Z805="","",IF($Z805&lt;=2000,"",IF($Z805&lt;=4000,IF(N(INDEX(周转筐出入库明细!$H$4:$H$2004,$Z805-2000))=0,"",N(INDEX(周转筐出入库明细!$H$4:$H$2004,$Z805-2000))),IF($Z805&lt;=5200,IF(N(INDEX(客户自备加工筐明细!$F$4:$F$1203,$Z805-4000))=0,"",N(INDEX(客户自备加工筐明细!$F$4:$F$1203,$Z805-4000))),IF($Z805&lt;=5800,"","")))))</f>
        <v/>
      </c>
      <c r="R805" s="16" t="str">
        <f>IF($Z805="","",IF($Z805&lt;=2000,IF(INDEX(包装物料出入库明细!$O$4:$O$2003,$Z805-0)=0,"",INDEX(包装物料出入库明细!$O$4:$O$2003,$Z805-0)),IF($Z805&lt;=4000,IF(INDEX(周转筐出入库明细!$M$4:$M$2004,$Z805-2000)=0,"",INDEX(周转筐出入库明细!$M$4:$M$2004,$Z805-2000)),IF($Z805&lt;=5200,IF(INDEX(客户自备加工筐明细!$H$4:$H$1203,$Z805-4000)=0,"",INDEX(客户自备加工筐明细!$H$4:$H$1203,$Z805-4000)),IF($Z805&lt;=5800,IF(INDEX(次果筐明细!$H$4:$H$603,$Z805-5200)=0,"",INDEX(次果筐明细!$H$4:$H$603,$Z805-5200)),"")))))</f>
        <v/>
      </c>
      <c r="S805" s="22" t="str">
        <f t="shared" si="38"/>
        <v/>
      </c>
      <c r="Z805" s="10" t="str">
        <f>IFERROR(MATCH(ROW()-3,_自动清单!$CQ$4:$CQ$5803,0),"")</f>
        <v/>
      </c>
    </row>
    <row r="806" spans="1:26">
      <c r="A806" s="24" t="str">
        <f t="shared" si="36"/>
        <v/>
      </c>
      <c r="B806" s="38" t="str">
        <f>IF($Z806="","",IF($Z806&lt;=2000,IF(INDEX(包装物料出入库明细!$B$4:$B$2003,$Z806-0)=0,"",INDEX(包装物料出入库明细!$B$4:$B$2003,$Z806-0)),IF($Z806&lt;=4000,IF(INDEX(周转筐出入库明细!$B$4:$B$2004,$Z806-2000)=0,"",INDEX(周转筐出入库明细!$B$4:$B$2004,$Z806-2000)),IF($Z806&lt;=5200,IF(INDEX(客户自备加工筐明细!$B$4:$B$1203,$Z806-4000)=0,"",INDEX(客户自备加工筐明细!$B$4:$B$1203,$Z806-4000)),IF($Z806&lt;=5800,IF(INDEX(次果筐明细!$B$4:$B$603,$Z806-5200)=0,"",INDEX(次果筐明细!$B$4:$B$603,$Z806-5200)),"")))))</f>
        <v/>
      </c>
      <c r="C806" s="37" t="str">
        <f>IF($Z806="","",IF($Z806&lt;=2000,IF(INDEX(包装物料出入库明细!$D$4:$D$2003,$Z806-0)=0,"",INDEX(包装物料出入库明细!$D$4:$D$2003,$Z806-0)),IF($Z806&lt;=4000,IF(INDEX(周转筐出入库明细!$C$4:$C$2004,$Z806-2000)=0,"",INDEX(周转筐出入库明细!$C$4:$C$2004,$Z806-2000)),IF($Z806&lt;=5200,IF(INDEX(客户自备加工筐明细!$E$4:$E$1203,$Z806-4000)=0,"",INDEX(客户自备加工筐明细!$E$4:$E$1203,$Z806-4000)),IF($Z806&lt;=5800,IF(INDEX(次果筐明细!$C$4:$C$603,$Z806-5200)=0,"",INDEX(次果筐明细!$C$4:$C$603,$Z806-5200)),"")))))</f>
        <v/>
      </c>
      <c r="D806" s="37" t="str">
        <f>IF($Z806="","",IF($Z806&lt;=2000,"包装物料－"&amp;INDEX(包装物料出入库明细!$H$4:$H$2003,$Z806-0),IF($Z806&lt;=4000,"周转筐－"&amp;INDEX(周转筐出入库明细!$F$4:$F$2004,$Z806-2000),IF($Z806&lt;=5200,"客户自备筐－"&amp;INDEX(客户自备加工筐明细!$J$4:$J$1203,$Z806-4000),IF($Z806&lt;=5800,"次果筐/托盘－"&amp;INDEX(次果筐明细!$F$4:$F$603,$Z806-5200),"")))))</f>
        <v/>
      </c>
      <c r="E806" s="24" t="str">
        <f>IF($Z806="","",IF($Z806&lt;=2000,IF(INDEX(包装物料出入库明细!$C$4:$C$2003,$Z806-0)=0,"",INDEX(包装物料出入库明细!$C$4:$C$2003,$Z806-0)),IF($Z806&lt;=4000,IF(INDEX(周转筐出入库明细!$E$4:$E$2004,$Z806-2000)=0,"",INDEX(周转筐出入库明细!$E$4:$E$2004,$Z806-2000)),IF($Z806&lt;=5200,IF(INDEX(客户自备加工筐明细!$D$4:$D$1203,$Z806-4000)=0,"",INDEX(客户自备加工筐明细!$D$4:$D$1203,$Z806-4000)),IF($Z806&lt;=5800,IF(INDEX(次果筐明细!$E$4:$E$603,$Z806-5200)=0,"",INDEX(次果筐明细!$E$4:$E$603,$Z806-5200)),"")))))</f>
        <v/>
      </c>
      <c r="F806" s="24" t="str">
        <f>IF($Z806="","",IF($Z806&lt;=2000,IF(INDEX(包装物料出入库明细!$E$4:$E$2003,$Z806-0)=0,"",INDEX(包装物料出入库明细!$E$4:$E$2003,$Z806-0)),IF($Z806&lt;=4000,IF(INDEX(周转筐出入库明细!$D$4:$D$2004,$Z806-2000)=0,"",INDEX(周转筐出入库明细!$D$4:$D$2004,$Z806-2000)),IF($Z806&lt;=5200,IF(INDEX(客户自备加工筐明细!$C$4:$C$1203,$Z806-4000)=0,"",INDEX(客户自备加工筐明细!$C$4:$C$1203,$Z806-4000)),IF($Z806&lt;=5800,IF(INDEX(次果筐明细!$D$4:$D$603,$Z806-5200)=0,"",INDEX(次果筐明细!$D$4:$D$603,$Z806-5200)),"")))))</f>
        <v/>
      </c>
      <c r="G806" s="24" t="str">
        <f>IF($Z806="","",IF($Z806&lt;=2000,IF(INDEX(包装物料出入库明细!$F$4:$F$2003,$Z806-0)=0,"",INDEX(包装物料出入库明细!$F$4:$F$2003,$Z806-0)),IF($Z806&lt;=4000,"",IF($Z806&lt;=5200,"",IF($Z806&lt;=5800,"","")))))</f>
        <v/>
      </c>
      <c r="H806" s="39" t="str">
        <f>IF($Z806="","",IF($Z806&lt;=2000,IF(INDEX(包装物料出入库明细!$L$4:$L$2003,$Z806-0)=0,"",INDEX(包装物料出入库明细!$L$4:$L$2003,$Z806-0)),IF($Z806&lt;=4000,N(INDEX(周转筐出入库明细!$H$4:$H$2004,$Z806-2000))+N(INDEX(周转筐出入库明细!$I$4:$I$2004,$Z806-2000))+N(INDEX(周转筐出入库明细!$J$4:$J$2004,$Z806-2000))+N(INDEX(周转筐出入库明细!$K$4:$K$2004,$Z806-2000)),IF($Z806&lt;=5200,N(INDEX(客户自备加工筐明细!$F$4:$F$1203,$Z806-4000))+N(INDEX(客户自备加工筐明细!$G$4:$G$1203,$Z806-4000)),IF($Z806&lt;=5800,IF(INDEX(次果筐明细!$G$4:$G$603,$Z806-5200)=0,"",INDEX(次果筐明细!$G$4:$G$603,$Z806-5200)),"")))))</f>
        <v/>
      </c>
      <c r="I806" s="24" t="str">
        <f>IF($Z806="","",IF($Z806&lt;=2000,IF(INDEX(包装物料出入库明细!$G$4:$G$2003,$Z806-0)=0,"",INDEX(包装物料出入库明细!$G$4:$G$2003,$Z806-0)),IF($Z806&lt;=4000,"个",IF($Z806&lt;=5200,"个",IF($Z806&lt;=5800,"个","")))))</f>
        <v/>
      </c>
      <c r="J806" s="30" t="str">
        <f t="shared" si="37"/>
        <v/>
      </c>
      <c r="K806" s="30" t="str">
        <f>IF($Z806="","",IF($Z806&lt;=2000,IF(INDEX(包装物料出入库明细!$N$4:$N$2003,$Z806-0)=0,"",INDEX(包装物料出入库明细!$N$4:$N$2003,$Z806-0)),IF($Z806&lt;=4000,IF(INDEX(周转筐出入库明细!$P$4:$P$2004,$Z806-2000)=0,"",INDEX(周转筐出入库明细!$P$4:$P$2004,$Z806-2000)),IF($Z806&lt;=5200,"",IF($Z806&lt;=5800,N(INDEX(次果筐明细!$L$4:$L$603,$Z806-5200))+N(INDEX(次果筐明细!$J$4:$J$603,$Z806-5200)),"")))))</f>
        <v/>
      </c>
      <c r="L806" s="24" t="str">
        <f>IF($Z806="","",IF($Z806&lt;=2000,IF(INDEX(包装物料出入库明细!$P$4:$P$2003,$Z806-0)=0,"",INDEX(包装物料出入库明细!$P$4:$P$2003,$Z806-0)),IF($Z806&lt;=4000,IF(INDEX(周转筐出入库明细!$Q$4:$Q$2004,$Z806-2000)=0,"",INDEX(周转筐出入库明细!$Q$4:$Q$2004,$Z806-2000)),IF($Z806&lt;=5200,"",IF($Z806&lt;=5800,IF(INDEX(次果筐明细!$M$4:$M$603,$Z806-5200)=0,"",INDEX(次果筐明细!$M$4:$M$603,$Z806-5200)),"")))))</f>
        <v/>
      </c>
      <c r="M806" s="37" t="str">
        <f>IF($Z806="","",IF($Z806&lt;=2000,IF(INDEX(包装物料出入库明细!$R$4:$R$2003,$Z806-0)=0,"",INDEX(包装物料出入库明细!$R$4:$R$2003,$Z806-0)),IF($Z806&lt;=4000,IF(INDEX(周转筐出入库明细!$W$4:$W$2004,$Z806-2000)=0,"",INDEX(周转筐出入库明细!$W$4:$W$2004,$Z806-2000)),IF($Z806&lt;=5200,IF(INDEX(客户自备加工筐明细!$L$4:$L$1203,$Z806-4000)=0,"",INDEX(客户自备加工筐明细!$L$4:$L$1203,$Z806-4000)),IF($Z806&lt;=5800,IF(INDEX(次果筐明细!$P$4:$P$603,$Z806-5200)=0,"",INDEX(次果筐明细!$P$4:$P$603,$Z806-5200)),"")))))</f>
        <v/>
      </c>
      <c r="N806" s="16" t="str">
        <f>IF($Z806="","",IF($Z806&lt;=2000,"",IF($Z806&lt;=4000,IF(INDEX(周转筐出入库明细!$D$4:$D$2004,$Z806-2000)=0,"",INDEX(周转筐出入库明细!$D$4:$D$2004,$Z806-2000)),IF($Z806&lt;=5200,IF(INDEX(客户自备加工筐明细!$C$4:$C$1203,$Z806-4000)=0,"",INDEX(客户自备加工筐明细!$C$4:$C$1203,$Z806-4000)),IF($Z806&lt;=5800,IF(INDEX(次果筐明细!$D$4:$D$603,$Z806-5200)=0,"",INDEX(次果筐明细!$D$4:$D$603,$Z806-5200)),"")))))</f>
        <v/>
      </c>
      <c r="O806" s="40" t="str">
        <f>IF($Z806="","",IF($Z806&lt;=2000,"",IF($Z806&lt;=4000,IF(N(INDEX(周转筐出入库明细!$J$4:$J$2004,$Z806-2000))+N(INDEX(周转筐出入库明细!$K$4:$K$2004,$Z806-2000))=0,"",N(INDEX(周转筐出入库明细!$J$4:$J$2004,$Z806-2000))+N(INDEX(周转筐出入库明细!$K$4:$K$2004,$Z806-2000))),IF($Z806&lt;=5200,IF(N(INDEX(客户自备加工筐明细!$G$4:$G$1203,$Z806-4000))=0,"",N(INDEX(客户自备加工筐明细!$G$4:$G$1203,$Z806-4000))),IF($Z806&lt;=5800,IF(ISNUMBER(SEARCH("退",INDEX(次果筐明细!$F$4:$F$603,$Z806-5200)&amp;"")),"",IF(N(INDEX(次果筐明细!$G$4:$G$603,$Z806-5200))=0,"",N(INDEX(次果筐明细!$G$4:$G$603,$Z806-5200)))),"")))))</f>
        <v/>
      </c>
      <c r="P806" s="40" t="str">
        <f>IF($Z806="","",IF($Z806&lt;=2000,"",IF($Z806&lt;=4000,IF(N(INDEX(周转筐出入库明细!$I$4:$I$2004,$Z806-2000))=0,"",N(INDEX(周转筐出入库明细!$I$4:$I$2004,$Z806-2000))),IF($Z806&lt;=5200,"",IF($Z806&lt;=5800,IF(ISNUMBER(SEARCH("退",INDEX(次果筐明细!$F$4:$F$603,$Z806-5200)&amp;"")),IF(N(INDEX(次果筐明细!$G$4:$G$603,$Z806-5200))=0,"",N(INDEX(次果筐明细!$G$4:$G$603,$Z806-5200))),""),"")))))</f>
        <v/>
      </c>
      <c r="Q806" s="40" t="str">
        <f>IF($Z806="","",IF($Z806&lt;=2000,"",IF($Z806&lt;=4000,IF(N(INDEX(周转筐出入库明细!$H$4:$H$2004,$Z806-2000))=0,"",N(INDEX(周转筐出入库明细!$H$4:$H$2004,$Z806-2000))),IF($Z806&lt;=5200,IF(N(INDEX(客户自备加工筐明细!$F$4:$F$1203,$Z806-4000))=0,"",N(INDEX(客户自备加工筐明细!$F$4:$F$1203,$Z806-4000))),IF($Z806&lt;=5800,"","")))))</f>
        <v/>
      </c>
      <c r="R806" s="16" t="str">
        <f>IF($Z806="","",IF($Z806&lt;=2000,IF(INDEX(包装物料出入库明细!$O$4:$O$2003,$Z806-0)=0,"",INDEX(包装物料出入库明细!$O$4:$O$2003,$Z806-0)),IF($Z806&lt;=4000,IF(INDEX(周转筐出入库明细!$M$4:$M$2004,$Z806-2000)=0,"",INDEX(周转筐出入库明细!$M$4:$M$2004,$Z806-2000)),IF($Z806&lt;=5200,IF(INDEX(客户自备加工筐明细!$H$4:$H$1203,$Z806-4000)=0,"",INDEX(客户自备加工筐明细!$H$4:$H$1203,$Z806-4000)),IF($Z806&lt;=5800,IF(INDEX(次果筐明细!$H$4:$H$603,$Z806-5200)=0,"",INDEX(次果筐明细!$H$4:$H$603,$Z806-5200)),"")))))</f>
        <v/>
      </c>
      <c r="S806" s="22" t="str">
        <f t="shared" si="38"/>
        <v/>
      </c>
      <c r="Z806" s="10" t="str">
        <f>IFERROR(MATCH(ROW()-3,_自动清单!$CQ$4:$CQ$5803,0),"")</f>
        <v/>
      </c>
    </row>
    <row r="807" spans="1:26">
      <c r="A807" s="24" t="str">
        <f t="shared" si="36"/>
        <v/>
      </c>
      <c r="B807" s="38" t="str">
        <f>IF($Z807="","",IF($Z807&lt;=2000,IF(INDEX(包装物料出入库明细!$B$4:$B$2003,$Z807-0)=0,"",INDEX(包装物料出入库明细!$B$4:$B$2003,$Z807-0)),IF($Z807&lt;=4000,IF(INDEX(周转筐出入库明细!$B$4:$B$2004,$Z807-2000)=0,"",INDEX(周转筐出入库明细!$B$4:$B$2004,$Z807-2000)),IF($Z807&lt;=5200,IF(INDEX(客户自备加工筐明细!$B$4:$B$1203,$Z807-4000)=0,"",INDEX(客户自备加工筐明细!$B$4:$B$1203,$Z807-4000)),IF($Z807&lt;=5800,IF(INDEX(次果筐明细!$B$4:$B$603,$Z807-5200)=0,"",INDEX(次果筐明细!$B$4:$B$603,$Z807-5200)),"")))))</f>
        <v/>
      </c>
      <c r="C807" s="37" t="str">
        <f>IF($Z807="","",IF($Z807&lt;=2000,IF(INDEX(包装物料出入库明细!$D$4:$D$2003,$Z807-0)=0,"",INDEX(包装物料出入库明细!$D$4:$D$2003,$Z807-0)),IF($Z807&lt;=4000,IF(INDEX(周转筐出入库明细!$C$4:$C$2004,$Z807-2000)=0,"",INDEX(周转筐出入库明细!$C$4:$C$2004,$Z807-2000)),IF($Z807&lt;=5200,IF(INDEX(客户自备加工筐明细!$E$4:$E$1203,$Z807-4000)=0,"",INDEX(客户自备加工筐明细!$E$4:$E$1203,$Z807-4000)),IF($Z807&lt;=5800,IF(INDEX(次果筐明细!$C$4:$C$603,$Z807-5200)=0,"",INDEX(次果筐明细!$C$4:$C$603,$Z807-5200)),"")))))</f>
        <v/>
      </c>
      <c r="D807" s="37" t="str">
        <f>IF($Z807="","",IF($Z807&lt;=2000,"包装物料－"&amp;INDEX(包装物料出入库明细!$H$4:$H$2003,$Z807-0),IF($Z807&lt;=4000,"周转筐－"&amp;INDEX(周转筐出入库明细!$F$4:$F$2004,$Z807-2000),IF($Z807&lt;=5200,"客户自备筐－"&amp;INDEX(客户自备加工筐明细!$J$4:$J$1203,$Z807-4000),IF($Z807&lt;=5800,"次果筐/托盘－"&amp;INDEX(次果筐明细!$F$4:$F$603,$Z807-5200),"")))))</f>
        <v/>
      </c>
      <c r="E807" s="24" t="str">
        <f>IF($Z807="","",IF($Z807&lt;=2000,IF(INDEX(包装物料出入库明细!$C$4:$C$2003,$Z807-0)=0,"",INDEX(包装物料出入库明细!$C$4:$C$2003,$Z807-0)),IF($Z807&lt;=4000,IF(INDEX(周转筐出入库明细!$E$4:$E$2004,$Z807-2000)=0,"",INDEX(周转筐出入库明细!$E$4:$E$2004,$Z807-2000)),IF($Z807&lt;=5200,IF(INDEX(客户自备加工筐明细!$D$4:$D$1203,$Z807-4000)=0,"",INDEX(客户自备加工筐明细!$D$4:$D$1203,$Z807-4000)),IF($Z807&lt;=5800,IF(INDEX(次果筐明细!$E$4:$E$603,$Z807-5200)=0,"",INDEX(次果筐明细!$E$4:$E$603,$Z807-5200)),"")))))</f>
        <v/>
      </c>
      <c r="F807" s="24" t="str">
        <f>IF($Z807="","",IF($Z807&lt;=2000,IF(INDEX(包装物料出入库明细!$E$4:$E$2003,$Z807-0)=0,"",INDEX(包装物料出入库明细!$E$4:$E$2003,$Z807-0)),IF($Z807&lt;=4000,IF(INDEX(周转筐出入库明细!$D$4:$D$2004,$Z807-2000)=0,"",INDEX(周转筐出入库明细!$D$4:$D$2004,$Z807-2000)),IF($Z807&lt;=5200,IF(INDEX(客户自备加工筐明细!$C$4:$C$1203,$Z807-4000)=0,"",INDEX(客户自备加工筐明细!$C$4:$C$1203,$Z807-4000)),IF($Z807&lt;=5800,IF(INDEX(次果筐明细!$D$4:$D$603,$Z807-5200)=0,"",INDEX(次果筐明细!$D$4:$D$603,$Z807-5200)),"")))))</f>
        <v/>
      </c>
      <c r="G807" s="24" t="str">
        <f>IF($Z807="","",IF($Z807&lt;=2000,IF(INDEX(包装物料出入库明细!$F$4:$F$2003,$Z807-0)=0,"",INDEX(包装物料出入库明细!$F$4:$F$2003,$Z807-0)),IF($Z807&lt;=4000,"",IF($Z807&lt;=5200,"",IF($Z807&lt;=5800,"","")))))</f>
        <v/>
      </c>
      <c r="H807" s="39" t="str">
        <f>IF($Z807="","",IF($Z807&lt;=2000,IF(INDEX(包装物料出入库明细!$L$4:$L$2003,$Z807-0)=0,"",INDEX(包装物料出入库明细!$L$4:$L$2003,$Z807-0)),IF($Z807&lt;=4000,N(INDEX(周转筐出入库明细!$H$4:$H$2004,$Z807-2000))+N(INDEX(周转筐出入库明细!$I$4:$I$2004,$Z807-2000))+N(INDEX(周转筐出入库明细!$J$4:$J$2004,$Z807-2000))+N(INDEX(周转筐出入库明细!$K$4:$K$2004,$Z807-2000)),IF($Z807&lt;=5200,N(INDEX(客户自备加工筐明细!$F$4:$F$1203,$Z807-4000))+N(INDEX(客户自备加工筐明细!$G$4:$G$1203,$Z807-4000)),IF($Z807&lt;=5800,IF(INDEX(次果筐明细!$G$4:$G$603,$Z807-5200)=0,"",INDEX(次果筐明细!$G$4:$G$603,$Z807-5200)),"")))))</f>
        <v/>
      </c>
      <c r="I807" s="24" t="str">
        <f>IF($Z807="","",IF($Z807&lt;=2000,IF(INDEX(包装物料出入库明细!$G$4:$G$2003,$Z807-0)=0,"",INDEX(包装物料出入库明细!$G$4:$G$2003,$Z807-0)),IF($Z807&lt;=4000,"个",IF($Z807&lt;=5200,"个",IF($Z807&lt;=5800,"个","")))))</f>
        <v/>
      </c>
      <c r="J807" s="30" t="str">
        <f t="shared" si="37"/>
        <v/>
      </c>
      <c r="K807" s="30" t="str">
        <f>IF($Z807="","",IF($Z807&lt;=2000,IF(INDEX(包装物料出入库明细!$N$4:$N$2003,$Z807-0)=0,"",INDEX(包装物料出入库明细!$N$4:$N$2003,$Z807-0)),IF($Z807&lt;=4000,IF(INDEX(周转筐出入库明细!$P$4:$P$2004,$Z807-2000)=0,"",INDEX(周转筐出入库明细!$P$4:$P$2004,$Z807-2000)),IF($Z807&lt;=5200,"",IF($Z807&lt;=5800,N(INDEX(次果筐明细!$L$4:$L$603,$Z807-5200))+N(INDEX(次果筐明细!$J$4:$J$603,$Z807-5200)),"")))))</f>
        <v/>
      </c>
      <c r="L807" s="24" t="str">
        <f>IF($Z807="","",IF($Z807&lt;=2000,IF(INDEX(包装物料出入库明细!$P$4:$P$2003,$Z807-0)=0,"",INDEX(包装物料出入库明细!$P$4:$P$2003,$Z807-0)),IF($Z807&lt;=4000,IF(INDEX(周转筐出入库明细!$Q$4:$Q$2004,$Z807-2000)=0,"",INDEX(周转筐出入库明细!$Q$4:$Q$2004,$Z807-2000)),IF($Z807&lt;=5200,"",IF($Z807&lt;=5800,IF(INDEX(次果筐明细!$M$4:$M$603,$Z807-5200)=0,"",INDEX(次果筐明细!$M$4:$M$603,$Z807-5200)),"")))))</f>
        <v/>
      </c>
      <c r="M807" s="37" t="str">
        <f>IF($Z807="","",IF($Z807&lt;=2000,IF(INDEX(包装物料出入库明细!$R$4:$R$2003,$Z807-0)=0,"",INDEX(包装物料出入库明细!$R$4:$R$2003,$Z807-0)),IF($Z807&lt;=4000,IF(INDEX(周转筐出入库明细!$W$4:$W$2004,$Z807-2000)=0,"",INDEX(周转筐出入库明细!$W$4:$W$2004,$Z807-2000)),IF($Z807&lt;=5200,IF(INDEX(客户自备加工筐明细!$L$4:$L$1203,$Z807-4000)=0,"",INDEX(客户自备加工筐明细!$L$4:$L$1203,$Z807-4000)),IF($Z807&lt;=5800,IF(INDEX(次果筐明细!$P$4:$P$603,$Z807-5200)=0,"",INDEX(次果筐明细!$P$4:$P$603,$Z807-5200)),"")))))</f>
        <v/>
      </c>
      <c r="N807" s="16" t="str">
        <f>IF($Z807="","",IF($Z807&lt;=2000,"",IF($Z807&lt;=4000,IF(INDEX(周转筐出入库明细!$D$4:$D$2004,$Z807-2000)=0,"",INDEX(周转筐出入库明细!$D$4:$D$2004,$Z807-2000)),IF($Z807&lt;=5200,IF(INDEX(客户自备加工筐明细!$C$4:$C$1203,$Z807-4000)=0,"",INDEX(客户自备加工筐明细!$C$4:$C$1203,$Z807-4000)),IF($Z807&lt;=5800,IF(INDEX(次果筐明细!$D$4:$D$603,$Z807-5200)=0,"",INDEX(次果筐明细!$D$4:$D$603,$Z807-5200)),"")))))</f>
        <v/>
      </c>
      <c r="O807" s="40" t="str">
        <f>IF($Z807="","",IF($Z807&lt;=2000,"",IF($Z807&lt;=4000,IF(N(INDEX(周转筐出入库明细!$J$4:$J$2004,$Z807-2000))+N(INDEX(周转筐出入库明细!$K$4:$K$2004,$Z807-2000))=0,"",N(INDEX(周转筐出入库明细!$J$4:$J$2004,$Z807-2000))+N(INDEX(周转筐出入库明细!$K$4:$K$2004,$Z807-2000))),IF($Z807&lt;=5200,IF(N(INDEX(客户自备加工筐明细!$G$4:$G$1203,$Z807-4000))=0,"",N(INDEX(客户自备加工筐明细!$G$4:$G$1203,$Z807-4000))),IF($Z807&lt;=5800,IF(ISNUMBER(SEARCH("退",INDEX(次果筐明细!$F$4:$F$603,$Z807-5200)&amp;"")),"",IF(N(INDEX(次果筐明细!$G$4:$G$603,$Z807-5200))=0,"",N(INDEX(次果筐明细!$G$4:$G$603,$Z807-5200)))),"")))))</f>
        <v/>
      </c>
      <c r="P807" s="40" t="str">
        <f>IF($Z807="","",IF($Z807&lt;=2000,"",IF($Z807&lt;=4000,IF(N(INDEX(周转筐出入库明细!$I$4:$I$2004,$Z807-2000))=0,"",N(INDEX(周转筐出入库明细!$I$4:$I$2004,$Z807-2000))),IF($Z807&lt;=5200,"",IF($Z807&lt;=5800,IF(ISNUMBER(SEARCH("退",INDEX(次果筐明细!$F$4:$F$603,$Z807-5200)&amp;"")),IF(N(INDEX(次果筐明细!$G$4:$G$603,$Z807-5200))=0,"",N(INDEX(次果筐明细!$G$4:$G$603,$Z807-5200))),""),"")))))</f>
        <v/>
      </c>
      <c r="Q807" s="40" t="str">
        <f>IF($Z807="","",IF($Z807&lt;=2000,"",IF($Z807&lt;=4000,IF(N(INDEX(周转筐出入库明细!$H$4:$H$2004,$Z807-2000))=0,"",N(INDEX(周转筐出入库明细!$H$4:$H$2004,$Z807-2000))),IF($Z807&lt;=5200,IF(N(INDEX(客户自备加工筐明细!$F$4:$F$1203,$Z807-4000))=0,"",N(INDEX(客户自备加工筐明细!$F$4:$F$1203,$Z807-4000))),IF($Z807&lt;=5800,"","")))))</f>
        <v/>
      </c>
      <c r="R807" s="16" t="str">
        <f>IF($Z807="","",IF($Z807&lt;=2000,IF(INDEX(包装物料出入库明细!$O$4:$O$2003,$Z807-0)=0,"",INDEX(包装物料出入库明细!$O$4:$O$2003,$Z807-0)),IF($Z807&lt;=4000,IF(INDEX(周转筐出入库明细!$M$4:$M$2004,$Z807-2000)=0,"",INDEX(周转筐出入库明细!$M$4:$M$2004,$Z807-2000)),IF($Z807&lt;=5200,IF(INDEX(客户自备加工筐明细!$H$4:$H$1203,$Z807-4000)=0,"",INDEX(客户自备加工筐明细!$H$4:$H$1203,$Z807-4000)),IF($Z807&lt;=5800,IF(INDEX(次果筐明细!$H$4:$H$603,$Z807-5200)=0,"",INDEX(次果筐明细!$H$4:$H$603,$Z807-5200)),"")))))</f>
        <v/>
      </c>
      <c r="S807" s="22" t="str">
        <f t="shared" si="38"/>
        <v/>
      </c>
      <c r="Z807" s="10" t="str">
        <f>IFERROR(MATCH(ROW()-3,_自动清单!$CQ$4:$CQ$5803,0),"")</f>
        <v/>
      </c>
    </row>
    <row r="808" spans="1:26">
      <c r="A808" s="24" t="str">
        <f t="shared" si="36"/>
        <v/>
      </c>
      <c r="B808" s="38" t="str">
        <f>IF($Z808="","",IF($Z808&lt;=2000,IF(INDEX(包装物料出入库明细!$B$4:$B$2003,$Z808-0)=0,"",INDEX(包装物料出入库明细!$B$4:$B$2003,$Z808-0)),IF($Z808&lt;=4000,IF(INDEX(周转筐出入库明细!$B$4:$B$2004,$Z808-2000)=0,"",INDEX(周转筐出入库明细!$B$4:$B$2004,$Z808-2000)),IF($Z808&lt;=5200,IF(INDEX(客户自备加工筐明细!$B$4:$B$1203,$Z808-4000)=0,"",INDEX(客户自备加工筐明细!$B$4:$B$1203,$Z808-4000)),IF($Z808&lt;=5800,IF(INDEX(次果筐明细!$B$4:$B$603,$Z808-5200)=0,"",INDEX(次果筐明细!$B$4:$B$603,$Z808-5200)),"")))))</f>
        <v/>
      </c>
      <c r="C808" s="37" t="str">
        <f>IF($Z808="","",IF($Z808&lt;=2000,IF(INDEX(包装物料出入库明细!$D$4:$D$2003,$Z808-0)=0,"",INDEX(包装物料出入库明细!$D$4:$D$2003,$Z808-0)),IF($Z808&lt;=4000,IF(INDEX(周转筐出入库明细!$C$4:$C$2004,$Z808-2000)=0,"",INDEX(周转筐出入库明细!$C$4:$C$2004,$Z808-2000)),IF($Z808&lt;=5200,IF(INDEX(客户自备加工筐明细!$E$4:$E$1203,$Z808-4000)=0,"",INDEX(客户自备加工筐明细!$E$4:$E$1203,$Z808-4000)),IF($Z808&lt;=5800,IF(INDEX(次果筐明细!$C$4:$C$603,$Z808-5200)=0,"",INDEX(次果筐明细!$C$4:$C$603,$Z808-5200)),"")))))</f>
        <v/>
      </c>
      <c r="D808" s="37" t="str">
        <f>IF($Z808="","",IF($Z808&lt;=2000,"包装物料－"&amp;INDEX(包装物料出入库明细!$H$4:$H$2003,$Z808-0),IF($Z808&lt;=4000,"周转筐－"&amp;INDEX(周转筐出入库明细!$F$4:$F$2004,$Z808-2000),IF($Z808&lt;=5200,"客户自备筐－"&amp;INDEX(客户自备加工筐明细!$J$4:$J$1203,$Z808-4000),IF($Z808&lt;=5800,"次果筐/托盘－"&amp;INDEX(次果筐明细!$F$4:$F$603,$Z808-5200),"")))))</f>
        <v/>
      </c>
      <c r="E808" s="24" t="str">
        <f>IF($Z808="","",IF($Z808&lt;=2000,IF(INDEX(包装物料出入库明细!$C$4:$C$2003,$Z808-0)=0,"",INDEX(包装物料出入库明细!$C$4:$C$2003,$Z808-0)),IF($Z808&lt;=4000,IF(INDEX(周转筐出入库明细!$E$4:$E$2004,$Z808-2000)=0,"",INDEX(周转筐出入库明细!$E$4:$E$2004,$Z808-2000)),IF($Z808&lt;=5200,IF(INDEX(客户自备加工筐明细!$D$4:$D$1203,$Z808-4000)=0,"",INDEX(客户自备加工筐明细!$D$4:$D$1203,$Z808-4000)),IF($Z808&lt;=5800,IF(INDEX(次果筐明细!$E$4:$E$603,$Z808-5200)=0,"",INDEX(次果筐明细!$E$4:$E$603,$Z808-5200)),"")))))</f>
        <v/>
      </c>
      <c r="F808" s="24" t="str">
        <f>IF($Z808="","",IF($Z808&lt;=2000,IF(INDEX(包装物料出入库明细!$E$4:$E$2003,$Z808-0)=0,"",INDEX(包装物料出入库明细!$E$4:$E$2003,$Z808-0)),IF($Z808&lt;=4000,IF(INDEX(周转筐出入库明细!$D$4:$D$2004,$Z808-2000)=0,"",INDEX(周转筐出入库明细!$D$4:$D$2004,$Z808-2000)),IF($Z808&lt;=5200,IF(INDEX(客户自备加工筐明细!$C$4:$C$1203,$Z808-4000)=0,"",INDEX(客户自备加工筐明细!$C$4:$C$1203,$Z808-4000)),IF($Z808&lt;=5800,IF(INDEX(次果筐明细!$D$4:$D$603,$Z808-5200)=0,"",INDEX(次果筐明细!$D$4:$D$603,$Z808-5200)),"")))))</f>
        <v/>
      </c>
      <c r="G808" s="24" t="str">
        <f>IF($Z808="","",IF($Z808&lt;=2000,IF(INDEX(包装物料出入库明细!$F$4:$F$2003,$Z808-0)=0,"",INDEX(包装物料出入库明细!$F$4:$F$2003,$Z808-0)),IF($Z808&lt;=4000,"",IF($Z808&lt;=5200,"",IF($Z808&lt;=5800,"","")))))</f>
        <v/>
      </c>
      <c r="H808" s="39" t="str">
        <f>IF($Z808="","",IF($Z808&lt;=2000,IF(INDEX(包装物料出入库明细!$L$4:$L$2003,$Z808-0)=0,"",INDEX(包装物料出入库明细!$L$4:$L$2003,$Z808-0)),IF($Z808&lt;=4000,N(INDEX(周转筐出入库明细!$H$4:$H$2004,$Z808-2000))+N(INDEX(周转筐出入库明细!$I$4:$I$2004,$Z808-2000))+N(INDEX(周转筐出入库明细!$J$4:$J$2004,$Z808-2000))+N(INDEX(周转筐出入库明细!$K$4:$K$2004,$Z808-2000)),IF($Z808&lt;=5200,N(INDEX(客户自备加工筐明细!$F$4:$F$1203,$Z808-4000))+N(INDEX(客户自备加工筐明细!$G$4:$G$1203,$Z808-4000)),IF($Z808&lt;=5800,IF(INDEX(次果筐明细!$G$4:$G$603,$Z808-5200)=0,"",INDEX(次果筐明细!$G$4:$G$603,$Z808-5200)),"")))))</f>
        <v/>
      </c>
      <c r="I808" s="24" t="str">
        <f>IF($Z808="","",IF($Z808&lt;=2000,IF(INDEX(包装物料出入库明细!$G$4:$G$2003,$Z808-0)=0,"",INDEX(包装物料出入库明细!$G$4:$G$2003,$Z808-0)),IF($Z808&lt;=4000,"个",IF($Z808&lt;=5200,"个",IF($Z808&lt;=5800,"个","")))))</f>
        <v/>
      </c>
      <c r="J808" s="30" t="str">
        <f t="shared" si="37"/>
        <v/>
      </c>
      <c r="K808" s="30" t="str">
        <f>IF($Z808="","",IF($Z808&lt;=2000,IF(INDEX(包装物料出入库明细!$N$4:$N$2003,$Z808-0)=0,"",INDEX(包装物料出入库明细!$N$4:$N$2003,$Z808-0)),IF($Z808&lt;=4000,IF(INDEX(周转筐出入库明细!$P$4:$P$2004,$Z808-2000)=0,"",INDEX(周转筐出入库明细!$P$4:$P$2004,$Z808-2000)),IF($Z808&lt;=5200,"",IF($Z808&lt;=5800,N(INDEX(次果筐明细!$L$4:$L$603,$Z808-5200))+N(INDEX(次果筐明细!$J$4:$J$603,$Z808-5200)),"")))))</f>
        <v/>
      </c>
      <c r="L808" s="24" t="str">
        <f>IF($Z808="","",IF($Z808&lt;=2000,IF(INDEX(包装物料出入库明细!$P$4:$P$2003,$Z808-0)=0,"",INDEX(包装物料出入库明细!$P$4:$P$2003,$Z808-0)),IF($Z808&lt;=4000,IF(INDEX(周转筐出入库明细!$Q$4:$Q$2004,$Z808-2000)=0,"",INDEX(周转筐出入库明细!$Q$4:$Q$2004,$Z808-2000)),IF($Z808&lt;=5200,"",IF($Z808&lt;=5800,IF(INDEX(次果筐明细!$M$4:$M$603,$Z808-5200)=0,"",INDEX(次果筐明细!$M$4:$M$603,$Z808-5200)),"")))))</f>
        <v/>
      </c>
      <c r="M808" s="37" t="str">
        <f>IF($Z808="","",IF($Z808&lt;=2000,IF(INDEX(包装物料出入库明细!$R$4:$R$2003,$Z808-0)=0,"",INDEX(包装物料出入库明细!$R$4:$R$2003,$Z808-0)),IF($Z808&lt;=4000,IF(INDEX(周转筐出入库明细!$W$4:$W$2004,$Z808-2000)=0,"",INDEX(周转筐出入库明细!$W$4:$W$2004,$Z808-2000)),IF($Z808&lt;=5200,IF(INDEX(客户自备加工筐明细!$L$4:$L$1203,$Z808-4000)=0,"",INDEX(客户自备加工筐明细!$L$4:$L$1203,$Z808-4000)),IF($Z808&lt;=5800,IF(INDEX(次果筐明细!$P$4:$P$603,$Z808-5200)=0,"",INDEX(次果筐明细!$P$4:$P$603,$Z808-5200)),"")))))</f>
        <v/>
      </c>
      <c r="N808" s="16" t="str">
        <f>IF($Z808="","",IF($Z808&lt;=2000,"",IF($Z808&lt;=4000,IF(INDEX(周转筐出入库明细!$D$4:$D$2004,$Z808-2000)=0,"",INDEX(周转筐出入库明细!$D$4:$D$2004,$Z808-2000)),IF($Z808&lt;=5200,IF(INDEX(客户自备加工筐明细!$C$4:$C$1203,$Z808-4000)=0,"",INDEX(客户自备加工筐明细!$C$4:$C$1203,$Z808-4000)),IF($Z808&lt;=5800,IF(INDEX(次果筐明细!$D$4:$D$603,$Z808-5200)=0,"",INDEX(次果筐明细!$D$4:$D$603,$Z808-5200)),"")))))</f>
        <v/>
      </c>
      <c r="O808" s="40" t="str">
        <f>IF($Z808="","",IF($Z808&lt;=2000,"",IF($Z808&lt;=4000,IF(N(INDEX(周转筐出入库明细!$J$4:$J$2004,$Z808-2000))+N(INDEX(周转筐出入库明细!$K$4:$K$2004,$Z808-2000))=0,"",N(INDEX(周转筐出入库明细!$J$4:$J$2004,$Z808-2000))+N(INDEX(周转筐出入库明细!$K$4:$K$2004,$Z808-2000))),IF($Z808&lt;=5200,IF(N(INDEX(客户自备加工筐明细!$G$4:$G$1203,$Z808-4000))=0,"",N(INDEX(客户自备加工筐明细!$G$4:$G$1203,$Z808-4000))),IF($Z808&lt;=5800,IF(ISNUMBER(SEARCH("退",INDEX(次果筐明细!$F$4:$F$603,$Z808-5200)&amp;"")),"",IF(N(INDEX(次果筐明细!$G$4:$G$603,$Z808-5200))=0,"",N(INDEX(次果筐明细!$G$4:$G$603,$Z808-5200)))),"")))))</f>
        <v/>
      </c>
      <c r="P808" s="40" t="str">
        <f>IF($Z808="","",IF($Z808&lt;=2000,"",IF($Z808&lt;=4000,IF(N(INDEX(周转筐出入库明细!$I$4:$I$2004,$Z808-2000))=0,"",N(INDEX(周转筐出入库明细!$I$4:$I$2004,$Z808-2000))),IF($Z808&lt;=5200,"",IF($Z808&lt;=5800,IF(ISNUMBER(SEARCH("退",INDEX(次果筐明细!$F$4:$F$603,$Z808-5200)&amp;"")),IF(N(INDEX(次果筐明细!$G$4:$G$603,$Z808-5200))=0,"",N(INDEX(次果筐明细!$G$4:$G$603,$Z808-5200))),""),"")))))</f>
        <v/>
      </c>
      <c r="Q808" s="40" t="str">
        <f>IF($Z808="","",IF($Z808&lt;=2000,"",IF($Z808&lt;=4000,IF(N(INDEX(周转筐出入库明细!$H$4:$H$2004,$Z808-2000))=0,"",N(INDEX(周转筐出入库明细!$H$4:$H$2004,$Z808-2000))),IF($Z808&lt;=5200,IF(N(INDEX(客户自备加工筐明细!$F$4:$F$1203,$Z808-4000))=0,"",N(INDEX(客户自备加工筐明细!$F$4:$F$1203,$Z808-4000))),IF($Z808&lt;=5800,"","")))))</f>
        <v/>
      </c>
      <c r="R808" s="16" t="str">
        <f>IF($Z808="","",IF($Z808&lt;=2000,IF(INDEX(包装物料出入库明细!$O$4:$O$2003,$Z808-0)=0,"",INDEX(包装物料出入库明细!$O$4:$O$2003,$Z808-0)),IF($Z808&lt;=4000,IF(INDEX(周转筐出入库明细!$M$4:$M$2004,$Z808-2000)=0,"",INDEX(周转筐出入库明细!$M$4:$M$2004,$Z808-2000)),IF($Z808&lt;=5200,IF(INDEX(客户自备加工筐明细!$H$4:$H$1203,$Z808-4000)=0,"",INDEX(客户自备加工筐明细!$H$4:$H$1203,$Z808-4000)),IF($Z808&lt;=5800,IF(INDEX(次果筐明细!$H$4:$H$603,$Z808-5200)=0,"",INDEX(次果筐明细!$H$4:$H$603,$Z808-5200)),"")))))</f>
        <v/>
      </c>
      <c r="S808" s="22" t="str">
        <f t="shared" si="38"/>
        <v/>
      </c>
      <c r="Z808" s="10" t="str">
        <f>IFERROR(MATCH(ROW()-3,_自动清单!$CQ$4:$CQ$5803,0),"")</f>
        <v/>
      </c>
    </row>
    <row r="809" spans="1:26">
      <c r="A809" s="24" t="str">
        <f t="shared" si="36"/>
        <v/>
      </c>
      <c r="B809" s="38" t="str">
        <f>IF($Z809="","",IF($Z809&lt;=2000,IF(INDEX(包装物料出入库明细!$B$4:$B$2003,$Z809-0)=0,"",INDEX(包装物料出入库明细!$B$4:$B$2003,$Z809-0)),IF($Z809&lt;=4000,IF(INDEX(周转筐出入库明细!$B$4:$B$2004,$Z809-2000)=0,"",INDEX(周转筐出入库明细!$B$4:$B$2004,$Z809-2000)),IF($Z809&lt;=5200,IF(INDEX(客户自备加工筐明细!$B$4:$B$1203,$Z809-4000)=0,"",INDEX(客户自备加工筐明细!$B$4:$B$1203,$Z809-4000)),IF($Z809&lt;=5800,IF(INDEX(次果筐明细!$B$4:$B$603,$Z809-5200)=0,"",INDEX(次果筐明细!$B$4:$B$603,$Z809-5200)),"")))))</f>
        <v/>
      </c>
      <c r="C809" s="37" t="str">
        <f>IF($Z809="","",IF($Z809&lt;=2000,IF(INDEX(包装物料出入库明细!$D$4:$D$2003,$Z809-0)=0,"",INDEX(包装物料出入库明细!$D$4:$D$2003,$Z809-0)),IF($Z809&lt;=4000,IF(INDEX(周转筐出入库明细!$C$4:$C$2004,$Z809-2000)=0,"",INDEX(周转筐出入库明细!$C$4:$C$2004,$Z809-2000)),IF($Z809&lt;=5200,IF(INDEX(客户自备加工筐明细!$E$4:$E$1203,$Z809-4000)=0,"",INDEX(客户自备加工筐明细!$E$4:$E$1203,$Z809-4000)),IF($Z809&lt;=5800,IF(INDEX(次果筐明细!$C$4:$C$603,$Z809-5200)=0,"",INDEX(次果筐明细!$C$4:$C$603,$Z809-5200)),"")))))</f>
        <v/>
      </c>
      <c r="D809" s="37" t="str">
        <f>IF($Z809="","",IF($Z809&lt;=2000,"包装物料－"&amp;INDEX(包装物料出入库明细!$H$4:$H$2003,$Z809-0),IF($Z809&lt;=4000,"周转筐－"&amp;INDEX(周转筐出入库明细!$F$4:$F$2004,$Z809-2000),IF($Z809&lt;=5200,"客户自备筐－"&amp;INDEX(客户自备加工筐明细!$J$4:$J$1203,$Z809-4000),IF($Z809&lt;=5800,"次果筐/托盘－"&amp;INDEX(次果筐明细!$F$4:$F$603,$Z809-5200),"")))))</f>
        <v/>
      </c>
      <c r="E809" s="24" t="str">
        <f>IF($Z809="","",IF($Z809&lt;=2000,IF(INDEX(包装物料出入库明细!$C$4:$C$2003,$Z809-0)=0,"",INDEX(包装物料出入库明细!$C$4:$C$2003,$Z809-0)),IF($Z809&lt;=4000,IF(INDEX(周转筐出入库明细!$E$4:$E$2004,$Z809-2000)=0,"",INDEX(周转筐出入库明细!$E$4:$E$2004,$Z809-2000)),IF($Z809&lt;=5200,IF(INDEX(客户自备加工筐明细!$D$4:$D$1203,$Z809-4000)=0,"",INDEX(客户自备加工筐明细!$D$4:$D$1203,$Z809-4000)),IF($Z809&lt;=5800,IF(INDEX(次果筐明细!$E$4:$E$603,$Z809-5200)=0,"",INDEX(次果筐明细!$E$4:$E$603,$Z809-5200)),"")))))</f>
        <v/>
      </c>
      <c r="F809" s="24" t="str">
        <f>IF($Z809="","",IF($Z809&lt;=2000,IF(INDEX(包装物料出入库明细!$E$4:$E$2003,$Z809-0)=0,"",INDEX(包装物料出入库明细!$E$4:$E$2003,$Z809-0)),IF($Z809&lt;=4000,IF(INDEX(周转筐出入库明细!$D$4:$D$2004,$Z809-2000)=0,"",INDEX(周转筐出入库明细!$D$4:$D$2004,$Z809-2000)),IF($Z809&lt;=5200,IF(INDEX(客户自备加工筐明细!$C$4:$C$1203,$Z809-4000)=0,"",INDEX(客户自备加工筐明细!$C$4:$C$1203,$Z809-4000)),IF($Z809&lt;=5800,IF(INDEX(次果筐明细!$D$4:$D$603,$Z809-5200)=0,"",INDEX(次果筐明细!$D$4:$D$603,$Z809-5200)),"")))))</f>
        <v/>
      </c>
      <c r="G809" s="24" t="str">
        <f>IF($Z809="","",IF($Z809&lt;=2000,IF(INDEX(包装物料出入库明细!$F$4:$F$2003,$Z809-0)=0,"",INDEX(包装物料出入库明细!$F$4:$F$2003,$Z809-0)),IF($Z809&lt;=4000,"",IF($Z809&lt;=5200,"",IF($Z809&lt;=5800,"","")))))</f>
        <v/>
      </c>
      <c r="H809" s="39" t="str">
        <f>IF($Z809="","",IF($Z809&lt;=2000,IF(INDEX(包装物料出入库明细!$L$4:$L$2003,$Z809-0)=0,"",INDEX(包装物料出入库明细!$L$4:$L$2003,$Z809-0)),IF($Z809&lt;=4000,N(INDEX(周转筐出入库明细!$H$4:$H$2004,$Z809-2000))+N(INDEX(周转筐出入库明细!$I$4:$I$2004,$Z809-2000))+N(INDEX(周转筐出入库明细!$J$4:$J$2004,$Z809-2000))+N(INDEX(周转筐出入库明细!$K$4:$K$2004,$Z809-2000)),IF($Z809&lt;=5200,N(INDEX(客户自备加工筐明细!$F$4:$F$1203,$Z809-4000))+N(INDEX(客户自备加工筐明细!$G$4:$G$1203,$Z809-4000)),IF($Z809&lt;=5800,IF(INDEX(次果筐明细!$G$4:$G$603,$Z809-5200)=0,"",INDEX(次果筐明细!$G$4:$G$603,$Z809-5200)),"")))))</f>
        <v/>
      </c>
      <c r="I809" s="24" t="str">
        <f>IF($Z809="","",IF($Z809&lt;=2000,IF(INDEX(包装物料出入库明细!$G$4:$G$2003,$Z809-0)=0,"",INDEX(包装物料出入库明细!$G$4:$G$2003,$Z809-0)),IF($Z809&lt;=4000,"个",IF($Z809&lt;=5200,"个",IF($Z809&lt;=5800,"个","")))))</f>
        <v/>
      </c>
      <c r="J809" s="30" t="str">
        <f t="shared" si="37"/>
        <v/>
      </c>
      <c r="K809" s="30" t="str">
        <f>IF($Z809="","",IF($Z809&lt;=2000,IF(INDEX(包装物料出入库明细!$N$4:$N$2003,$Z809-0)=0,"",INDEX(包装物料出入库明细!$N$4:$N$2003,$Z809-0)),IF($Z809&lt;=4000,IF(INDEX(周转筐出入库明细!$P$4:$P$2004,$Z809-2000)=0,"",INDEX(周转筐出入库明细!$P$4:$P$2004,$Z809-2000)),IF($Z809&lt;=5200,"",IF($Z809&lt;=5800,N(INDEX(次果筐明细!$L$4:$L$603,$Z809-5200))+N(INDEX(次果筐明细!$J$4:$J$603,$Z809-5200)),"")))))</f>
        <v/>
      </c>
      <c r="L809" s="24" t="str">
        <f>IF($Z809="","",IF($Z809&lt;=2000,IF(INDEX(包装物料出入库明细!$P$4:$P$2003,$Z809-0)=0,"",INDEX(包装物料出入库明细!$P$4:$P$2003,$Z809-0)),IF($Z809&lt;=4000,IF(INDEX(周转筐出入库明细!$Q$4:$Q$2004,$Z809-2000)=0,"",INDEX(周转筐出入库明细!$Q$4:$Q$2004,$Z809-2000)),IF($Z809&lt;=5200,"",IF($Z809&lt;=5800,IF(INDEX(次果筐明细!$M$4:$M$603,$Z809-5200)=0,"",INDEX(次果筐明细!$M$4:$M$603,$Z809-5200)),"")))))</f>
        <v/>
      </c>
      <c r="M809" s="37" t="str">
        <f>IF($Z809="","",IF($Z809&lt;=2000,IF(INDEX(包装物料出入库明细!$R$4:$R$2003,$Z809-0)=0,"",INDEX(包装物料出入库明细!$R$4:$R$2003,$Z809-0)),IF($Z809&lt;=4000,IF(INDEX(周转筐出入库明细!$W$4:$W$2004,$Z809-2000)=0,"",INDEX(周转筐出入库明细!$W$4:$W$2004,$Z809-2000)),IF($Z809&lt;=5200,IF(INDEX(客户自备加工筐明细!$L$4:$L$1203,$Z809-4000)=0,"",INDEX(客户自备加工筐明细!$L$4:$L$1203,$Z809-4000)),IF($Z809&lt;=5800,IF(INDEX(次果筐明细!$P$4:$P$603,$Z809-5200)=0,"",INDEX(次果筐明细!$P$4:$P$603,$Z809-5200)),"")))))</f>
        <v/>
      </c>
      <c r="N809" s="16" t="str">
        <f>IF($Z809="","",IF($Z809&lt;=2000,"",IF($Z809&lt;=4000,IF(INDEX(周转筐出入库明细!$D$4:$D$2004,$Z809-2000)=0,"",INDEX(周转筐出入库明细!$D$4:$D$2004,$Z809-2000)),IF($Z809&lt;=5200,IF(INDEX(客户自备加工筐明细!$C$4:$C$1203,$Z809-4000)=0,"",INDEX(客户自备加工筐明细!$C$4:$C$1203,$Z809-4000)),IF($Z809&lt;=5800,IF(INDEX(次果筐明细!$D$4:$D$603,$Z809-5200)=0,"",INDEX(次果筐明细!$D$4:$D$603,$Z809-5200)),"")))))</f>
        <v/>
      </c>
      <c r="O809" s="40" t="str">
        <f>IF($Z809="","",IF($Z809&lt;=2000,"",IF($Z809&lt;=4000,IF(N(INDEX(周转筐出入库明细!$J$4:$J$2004,$Z809-2000))+N(INDEX(周转筐出入库明细!$K$4:$K$2004,$Z809-2000))=0,"",N(INDEX(周转筐出入库明细!$J$4:$J$2004,$Z809-2000))+N(INDEX(周转筐出入库明细!$K$4:$K$2004,$Z809-2000))),IF($Z809&lt;=5200,IF(N(INDEX(客户自备加工筐明细!$G$4:$G$1203,$Z809-4000))=0,"",N(INDEX(客户自备加工筐明细!$G$4:$G$1203,$Z809-4000))),IF($Z809&lt;=5800,IF(ISNUMBER(SEARCH("退",INDEX(次果筐明细!$F$4:$F$603,$Z809-5200)&amp;"")),"",IF(N(INDEX(次果筐明细!$G$4:$G$603,$Z809-5200))=0,"",N(INDEX(次果筐明细!$G$4:$G$603,$Z809-5200)))),"")))))</f>
        <v/>
      </c>
      <c r="P809" s="40" t="str">
        <f>IF($Z809="","",IF($Z809&lt;=2000,"",IF($Z809&lt;=4000,IF(N(INDEX(周转筐出入库明细!$I$4:$I$2004,$Z809-2000))=0,"",N(INDEX(周转筐出入库明细!$I$4:$I$2004,$Z809-2000))),IF($Z809&lt;=5200,"",IF($Z809&lt;=5800,IF(ISNUMBER(SEARCH("退",INDEX(次果筐明细!$F$4:$F$603,$Z809-5200)&amp;"")),IF(N(INDEX(次果筐明细!$G$4:$G$603,$Z809-5200))=0,"",N(INDEX(次果筐明细!$G$4:$G$603,$Z809-5200))),""),"")))))</f>
        <v/>
      </c>
      <c r="Q809" s="40" t="str">
        <f>IF($Z809="","",IF($Z809&lt;=2000,"",IF($Z809&lt;=4000,IF(N(INDEX(周转筐出入库明细!$H$4:$H$2004,$Z809-2000))=0,"",N(INDEX(周转筐出入库明细!$H$4:$H$2004,$Z809-2000))),IF($Z809&lt;=5200,IF(N(INDEX(客户自备加工筐明细!$F$4:$F$1203,$Z809-4000))=0,"",N(INDEX(客户自备加工筐明细!$F$4:$F$1203,$Z809-4000))),IF($Z809&lt;=5800,"","")))))</f>
        <v/>
      </c>
      <c r="R809" s="16" t="str">
        <f>IF($Z809="","",IF($Z809&lt;=2000,IF(INDEX(包装物料出入库明细!$O$4:$O$2003,$Z809-0)=0,"",INDEX(包装物料出入库明细!$O$4:$O$2003,$Z809-0)),IF($Z809&lt;=4000,IF(INDEX(周转筐出入库明细!$M$4:$M$2004,$Z809-2000)=0,"",INDEX(周转筐出入库明细!$M$4:$M$2004,$Z809-2000)),IF($Z809&lt;=5200,IF(INDEX(客户自备加工筐明细!$H$4:$H$1203,$Z809-4000)=0,"",INDEX(客户自备加工筐明细!$H$4:$H$1203,$Z809-4000)),IF($Z809&lt;=5800,IF(INDEX(次果筐明细!$H$4:$H$603,$Z809-5200)=0,"",INDEX(次果筐明细!$H$4:$H$603,$Z809-5200)),"")))))</f>
        <v/>
      </c>
      <c r="S809" s="22" t="str">
        <f t="shared" si="38"/>
        <v/>
      </c>
      <c r="Z809" s="10" t="str">
        <f>IFERROR(MATCH(ROW()-3,_自动清单!$CQ$4:$CQ$5803,0),"")</f>
        <v/>
      </c>
    </row>
    <row r="810" spans="1:26">
      <c r="A810" s="24" t="str">
        <f t="shared" si="36"/>
        <v/>
      </c>
      <c r="B810" s="38" t="str">
        <f>IF($Z810="","",IF($Z810&lt;=2000,IF(INDEX(包装物料出入库明细!$B$4:$B$2003,$Z810-0)=0,"",INDEX(包装物料出入库明细!$B$4:$B$2003,$Z810-0)),IF($Z810&lt;=4000,IF(INDEX(周转筐出入库明细!$B$4:$B$2004,$Z810-2000)=0,"",INDEX(周转筐出入库明细!$B$4:$B$2004,$Z810-2000)),IF($Z810&lt;=5200,IF(INDEX(客户自备加工筐明细!$B$4:$B$1203,$Z810-4000)=0,"",INDEX(客户自备加工筐明细!$B$4:$B$1203,$Z810-4000)),IF($Z810&lt;=5800,IF(INDEX(次果筐明细!$B$4:$B$603,$Z810-5200)=0,"",INDEX(次果筐明细!$B$4:$B$603,$Z810-5200)),"")))))</f>
        <v/>
      </c>
      <c r="C810" s="37" t="str">
        <f>IF($Z810="","",IF($Z810&lt;=2000,IF(INDEX(包装物料出入库明细!$D$4:$D$2003,$Z810-0)=0,"",INDEX(包装物料出入库明细!$D$4:$D$2003,$Z810-0)),IF($Z810&lt;=4000,IF(INDEX(周转筐出入库明细!$C$4:$C$2004,$Z810-2000)=0,"",INDEX(周转筐出入库明细!$C$4:$C$2004,$Z810-2000)),IF($Z810&lt;=5200,IF(INDEX(客户自备加工筐明细!$E$4:$E$1203,$Z810-4000)=0,"",INDEX(客户自备加工筐明细!$E$4:$E$1203,$Z810-4000)),IF($Z810&lt;=5800,IF(INDEX(次果筐明细!$C$4:$C$603,$Z810-5200)=0,"",INDEX(次果筐明细!$C$4:$C$603,$Z810-5200)),"")))))</f>
        <v/>
      </c>
      <c r="D810" s="37" t="str">
        <f>IF($Z810="","",IF($Z810&lt;=2000,"包装物料－"&amp;INDEX(包装物料出入库明细!$H$4:$H$2003,$Z810-0),IF($Z810&lt;=4000,"周转筐－"&amp;INDEX(周转筐出入库明细!$F$4:$F$2004,$Z810-2000),IF($Z810&lt;=5200,"客户自备筐－"&amp;INDEX(客户自备加工筐明细!$J$4:$J$1203,$Z810-4000),IF($Z810&lt;=5800,"次果筐/托盘－"&amp;INDEX(次果筐明细!$F$4:$F$603,$Z810-5200),"")))))</f>
        <v/>
      </c>
      <c r="E810" s="24" t="str">
        <f>IF($Z810="","",IF($Z810&lt;=2000,IF(INDEX(包装物料出入库明细!$C$4:$C$2003,$Z810-0)=0,"",INDEX(包装物料出入库明细!$C$4:$C$2003,$Z810-0)),IF($Z810&lt;=4000,IF(INDEX(周转筐出入库明细!$E$4:$E$2004,$Z810-2000)=0,"",INDEX(周转筐出入库明细!$E$4:$E$2004,$Z810-2000)),IF($Z810&lt;=5200,IF(INDEX(客户自备加工筐明细!$D$4:$D$1203,$Z810-4000)=0,"",INDEX(客户自备加工筐明细!$D$4:$D$1203,$Z810-4000)),IF($Z810&lt;=5800,IF(INDEX(次果筐明细!$E$4:$E$603,$Z810-5200)=0,"",INDEX(次果筐明细!$E$4:$E$603,$Z810-5200)),"")))))</f>
        <v/>
      </c>
      <c r="F810" s="24" t="str">
        <f>IF($Z810="","",IF($Z810&lt;=2000,IF(INDEX(包装物料出入库明细!$E$4:$E$2003,$Z810-0)=0,"",INDEX(包装物料出入库明细!$E$4:$E$2003,$Z810-0)),IF($Z810&lt;=4000,IF(INDEX(周转筐出入库明细!$D$4:$D$2004,$Z810-2000)=0,"",INDEX(周转筐出入库明细!$D$4:$D$2004,$Z810-2000)),IF($Z810&lt;=5200,IF(INDEX(客户自备加工筐明细!$C$4:$C$1203,$Z810-4000)=0,"",INDEX(客户自备加工筐明细!$C$4:$C$1203,$Z810-4000)),IF($Z810&lt;=5800,IF(INDEX(次果筐明细!$D$4:$D$603,$Z810-5200)=0,"",INDEX(次果筐明细!$D$4:$D$603,$Z810-5200)),"")))))</f>
        <v/>
      </c>
      <c r="G810" s="24" t="str">
        <f>IF($Z810="","",IF($Z810&lt;=2000,IF(INDEX(包装物料出入库明细!$F$4:$F$2003,$Z810-0)=0,"",INDEX(包装物料出入库明细!$F$4:$F$2003,$Z810-0)),IF($Z810&lt;=4000,"",IF($Z810&lt;=5200,"",IF($Z810&lt;=5800,"","")))))</f>
        <v/>
      </c>
      <c r="H810" s="39" t="str">
        <f>IF($Z810="","",IF($Z810&lt;=2000,IF(INDEX(包装物料出入库明细!$L$4:$L$2003,$Z810-0)=0,"",INDEX(包装物料出入库明细!$L$4:$L$2003,$Z810-0)),IF($Z810&lt;=4000,N(INDEX(周转筐出入库明细!$H$4:$H$2004,$Z810-2000))+N(INDEX(周转筐出入库明细!$I$4:$I$2004,$Z810-2000))+N(INDEX(周转筐出入库明细!$J$4:$J$2004,$Z810-2000))+N(INDEX(周转筐出入库明细!$K$4:$K$2004,$Z810-2000)),IF($Z810&lt;=5200,N(INDEX(客户自备加工筐明细!$F$4:$F$1203,$Z810-4000))+N(INDEX(客户自备加工筐明细!$G$4:$G$1203,$Z810-4000)),IF($Z810&lt;=5800,IF(INDEX(次果筐明细!$G$4:$G$603,$Z810-5200)=0,"",INDEX(次果筐明细!$G$4:$G$603,$Z810-5200)),"")))))</f>
        <v/>
      </c>
      <c r="I810" s="24" t="str">
        <f>IF($Z810="","",IF($Z810&lt;=2000,IF(INDEX(包装物料出入库明细!$G$4:$G$2003,$Z810-0)=0,"",INDEX(包装物料出入库明细!$G$4:$G$2003,$Z810-0)),IF($Z810&lt;=4000,"个",IF($Z810&lt;=5200,"个",IF($Z810&lt;=5800,"个","")))))</f>
        <v/>
      </c>
      <c r="J810" s="30" t="str">
        <f t="shared" si="37"/>
        <v/>
      </c>
      <c r="K810" s="30" t="str">
        <f>IF($Z810="","",IF($Z810&lt;=2000,IF(INDEX(包装物料出入库明细!$N$4:$N$2003,$Z810-0)=0,"",INDEX(包装物料出入库明细!$N$4:$N$2003,$Z810-0)),IF($Z810&lt;=4000,IF(INDEX(周转筐出入库明细!$P$4:$P$2004,$Z810-2000)=0,"",INDEX(周转筐出入库明细!$P$4:$P$2004,$Z810-2000)),IF($Z810&lt;=5200,"",IF($Z810&lt;=5800,N(INDEX(次果筐明细!$L$4:$L$603,$Z810-5200))+N(INDEX(次果筐明细!$J$4:$J$603,$Z810-5200)),"")))))</f>
        <v/>
      </c>
      <c r="L810" s="24" t="str">
        <f>IF($Z810="","",IF($Z810&lt;=2000,IF(INDEX(包装物料出入库明细!$P$4:$P$2003,$Z810-0)=0,"",INDEX(包装物料出入库明细!$P$4:$P$2003,$Z810-0)),IF($Z810&lt;=4000,IF(INDEX(周转筐出入库明细!$Q$4:$Q$2004,$Z810-2000)=0,"",INDEX(周转筐出入库明细!$Q$4:$Q$2004,$Z810-2000)),IF($Z810&lt;=5200,"",IF($Z810&lt;=5800,IF(INDEX(次果筐明细!$M$4:$M$603,$Z810-5200)=0,"",INDEX(次果筐明细!$M$4:$M$603,$Z810-5200)),"")))))</f>
        <v/>
      </c>
      <c r="M810" s="37" t="str">
        <f>IF($Z810="","",IF($Z810&lt;=2000,IF(INDEX(包装物料出入库明细!$R$4:$R$2003,$Z810-0)=0,"",INDEX(包装物料出入库明细!$R$4:$R$2003,$Z810-0)),IF($Z810&lt;=4000,IF(INDEX(周转筐出入库明细!$W$4:$W$2004,$Z810-2000)=0,"",INDEX(周转筐出入库明细!$W$4:$W$2004,$Z810-2000)),IF($Z810&lt;=5200,IF(INDEX(客户自备加工筐明细!$L$4:$L$1203,$Z810-4000)=0,"",INDEX(客户自备加工筐明细!$L$4:$L$1203,$Z810-4000)),IF($Z810&lt;=5800,IF(INDEX(次果筐明细!$P$4:$P$603,$Z810-5200)=0,"",INDEX(次果筐明细!$P$4:$P$603,$Z810-5200)),"")))))</f>
        <v/>
      </c>
      <c r="N810" s="16" t="str">
        <f>IF($Z810="","",IF($Z810&lt;=2000,"",IF($Z810&lt;=4000,IF(INDEX(周转筐出入库明细!$D$4:$D$2004,$Z810-2000)=0,"",INDEX(周转筐出入库明细!$D$4:$D$2004,$Z810-2000)),IF($Z810&lt;=5200,IF(INDEX(客户自备加工筐明细!$C$4:$C$1203,$Z810-4000)=0,"",INDEX(客户自备加工筐明细!$C$4:$C$1203,$Z810-4000)),IF($Z810&lt;=5800,IF(INDEX(次果筐明细!$D$4:$D$603,$Z810-5200)=0,"",INDEX(次果筐明细!$D$4:$D$603,$Z810-5200)),"")))))</f>
        <v/>
      </c>
      <c r="O810" s="40" t="str">
        <f>IF($Z810="","",IF($Z810&lt;=2000,"",IF($Z810&lt;=4000,IF(N(INDEX(周转筐出入库明细!$J$4:$J$2004,$Z810-2000))+N(INDEX(周转筐出入库明细!$K$4:$K$2004,$Z810-2000))=0,"",N(INDEX(周转筐出入库明细!$J$4:$J$2004,$Z810-2000))+N(INDEX(周转筐出入库明细!$K$4:$K$2004,$Z810-2000))),IF($Z810&lt;=5200,IF(N(INDEX(客户自备加工筐明细!$G$4:$G$1203,$Z810-4000))=0,"",N(INDEX(客户自备加工筐明细!$G$4:$G$1203,$Z810-4000))),IF($Z810&lt;=5800,IF(ISNUMBER(SEARCH("退",INDEX(次果筐明细!$F$4:$F$603,$Z810-5200)&amp;"")),"",IF(N(INDEX(次果筐明细!$G$4:$G$603,$Z810-5200))=0,"",N(INDEX(次果筐明细!$G$4:$G$603,$Z810-5200)))),"")))))</f>
        <v/>
      </c>
      <c r="P810" s="40" t="str">
        <f>IF($Z810="","",IF($Z810&lt;=2000,"",IF($Z810&lt;=4000,IF(N(INDEX(周转筐出入库明细!$I$4:$I$2004,$Z810-2000))=0,"",N(INDEX(周转筐出入库明细!$I$4:$I$2004,$Z810-2000))),IF($Z810&lt;=5200,"",IF($Z810&lt;=5800,IF(ISNUMBER(SEARCH("退",INDEX(次果筐明细!$F$4:$F$603,$Z810-5200)&amp;"")),IF(N(INDEX(次果筐明细!$G$4:$G$603,$Z810-5200))=0,"",N(INDEX(次果筐明细!$G$4:$G$603,$Z810-5200))),""),"")))))</f>
        <v/>
      </c>
      <c r="Q810" s="40" t="str">
        <f>IF($Z810="","",IF($Z810&lt;=2000,"",IF($Z810&lt;=4000,IF(N(INDEX(周转筐出入库明细!$H$4:$H$2004,$Z810-2000))=0,"",N(INDEX(周转筐出入库明细!$H$4:$H$2004,$Z810-2000))),IF($Z810&lt;=5200,IF(N(INDEX(客户自备加工筐明细!$F$4:$F$1203,$Z810-4000))=0,"",N(INDEX(客户自备加工筐明细!$F$4:$F$1203,$Z810-4000))),IF($Z810&lt;=5800,"","")))))</f>
        <v/>
      </c>
      <c r="R810" s="16" t="str">
        <f>IF($Z810="","",IF($Z810&lt;=2000,IF(INDEX(包装物料出入库明细!$O$4:$O$2003,$Z810-0)=0,"",INDEX(包装物料出入库明细!$O$4:$O$2003,$Z810-0)),IF($Z810&lt;=4000,IF(INDEX(周转筐出入库明细!$M$4:$M$2004,$Z810-2000)=0,"",INDEX(周转筐出入库明细!$M$4:$M$2004,$Z810-2000)),IF($Z810&lt;=5200,IF(INDEX(客户自备加工筐明细!$H$4:$H$1203,$Z810-4000)=0,"",INDEX(客户自备加工筐明细!$H$4:$H$1203,$Z810-4000)),IF($Z810&lt;=5800,IF(INDEX(次果筐明细!$H$4:$H$603,$Z810-5200)=0,"",INDEX(次果筐明细!$H$4:$H$603,$Z810-5200)),"")))))</f>
        <v/>
      </c>
      <c r="S810" s="22" t="str">
        <f t="shared" si="38"/>
        <v/>
      </c>
      <c r="Z810" s="10" t="str">
        <f>IFERROR(MATCH(ROW()-3,_自动清单!$CQ$4:$CQ$5803,0),"")</f>
        <v/>
      </c>
    </row>
    <row r="811" spans="1:26">
      <c r="A811" s="24" t="str">
        <f t="shared" si="36"/>
        <v/>
      </c>
      <c r="B811" s="38" t="str">
        <f>IF($Z811="","",IF($Z811&lt;=2000,IF(INDEX(包装物料出入库明细!$B$4:$B$2003,$Z811-0)=0,"",INDEX(包装物料出入库明细!$B$4:$B$2003,$Z811-0)),IF($Z811&lt;=4000,IF(INDEX(周转筐出入库明细!$B$4:$B$2004,$Z811-2000)=0,"",INDEX(周转筐出入库明细!$B$4:$B$2004,$Z811-2000)),IF($Z811&lt;=5200,IF(INDEX(客户自备加工筐明细!$B$4:$B$1203,$Z811-4000)=0,"",INDEX(客户自备加工筐明细!$B$4:$B$1203,$Z811-4000)),IF($Z811&lt;=5800,IF(INDEX(次果筐明细!$B$4:$B$603,$Z811-5200)=0,"",INDEX(次果筐明细!$B$4:$B$603,$Z811-5200)),"")))))</f>
        <v/>
      </c>
      <c r="C811" s="37" t="str">
        <f>IF($Z811="","",IF($Z811&lt;=2000,IF(INDEX(包装物料出入库明细!$D$4:$D$2003,$Z811-0)=0,"",INDEX(包装物料出入库明细!$D$4:$D$2003,$Z811-0)),IF($Z811&lt;=4000,IF(INDEX(周转筐出入库明细!$C$4:$C$2004,$Z811-2000)=0,"",INDEX(周转筐出入库明细!$C$4:$C$2004,$Z811-2000)),IF($Z811&lt;=5200,IF(INDEX(客户自备加工筐明细!$E$4:$E$1203,$Z811-4000)=0,"",INDEX(客户自备加工筐明细!$E$4:$E$1203,$Z811-4000)),IF($Z811&lt;=5800,IF(INDEX(次果筐明细!$C$4:$C$603,$Z811-5200)=0,"",INDEX(次果筐明细!$C$4:$C$603,$Z811-5200)),"")))))</f>
        <v/>
      </c>
      <c r="D811" s="37" t="str">
        <f>IF($Z811="","",IF($Z811&lt;=2000,"包装物料－"&amp;INDEX(包装物料出入库明细!$H$4:$H$2003,$Z811-0),IF($Z811&lt;=4000,"周转筐－"&amp;INDEX(周转筐出入库明细!$F$4:$F$2004,$Z811-2000),IF($Z811&lt;=5200,"客户自备筐－"&amp;INDEX(客户自备加工筐明细!$J$4:$J$1203,$Z811-4000),IF($Z811&lt;=5800,"次果筐/托盘－"&amp;INDEX(次果筐明细!$F$4:$F$603,$Z811-5200),"")))))</f>
        <v/>
      </c>
      <c r="E811" s="24" t="str">
        <f>IF($Z811="","",IF($Z811&lt;=2000,IF(INDEX(包装物料出入库明细!$C$4:$C$2003,$Z811-0)=0,"",INDEX(包装物料出入库明细!$C$4:$C$2003,$Z811-0)),IF($Z811&lt;=4000,IF(INDEX(周转筐出入库明细!$E$4:$E$2004,$Z811-2000)=0,"",INDEX(周转筐出入库明细!$E$4:$E$2004,$Z811-2000)),IF($Z811&lt;=5200,IF(INDEX(客户自备加工筐明细!$D$4:$D$1203,$Z811-4000)=0,"",INDEX(客户自备加工筐明细!$D$4:$D$1203,$Z811-4000)),IF($Z811&lt;=5800,IF(INDEX(次果筐明细!$E$4:$E$603,$Z811-5200)=0,"",INDEX(次果筐明细!$E$4:$E$603,$Z811-5200)),"")))))</f>
        <v/>
      </c>
      <c r="F811" s="24" t="str">
        <f>IF($Z811="","",IF($Z811&lt;=2000,IF(INDEX(包装物料出入库明细!$E$4:$E$2003,$Z811-0)=0,"",INDEX(包装物料出入库明细!$E$4:$E$2003,$Z811-0)),IF($Z811&lt;=4000,IF(INDEX(周转筐出入库明细!$D$4:$D$2004,$Z811-2000)=0,"",INDEX(周转筐出入库明细!$D$4:$D$2004,$Z811-2000)),IF($Z811&lt;=5200,IF(INDEX(客户自备加工筐明细!$C$4:$C$1203,$Z811-4000)=0,"",INDEX(客户自备加工筐明细!$C$4:$C$1203,$Z811-4000)),IF($Z811&lt;=5800,IF(INDEX(次果筐明细!$D$4:$D$603,$Z811-5200)=0,"",INDEX(次果筐明细!$D$4:$D$603,$Z811-5200)),"")))))</f>
        <v/>
      </c>
      <c r="G811" s="24" t="str">
        <f>IF($Z811="","",IF($Z811&lt;=2000,IF(INDEX(包装物料出入库明细!$F$4:$F$2003,$Z811-0)=0,"",INDEX(包装物料出入库明细!$F$4:$F$2003,$Z811-0)),IF($Z811&lt;=4000,"",IF($Z811&lt;=5200,"",IF($Z811&lt;=5800,"","")))))</f>
        <v/>
      </c>
      <c r="H811" s="39" t="str">
        <f>IF($Z811="","",IF($Z811&lt;=2000,IF(INDEX(包装物料出入库明细!$L$4:$L$2003,$Z811-0)=0,"",INDEX(包装物料出入库明细!$L$4:$L$2003,$Z811-0)),IF($Z811&lt;=4000,N(INDEX(周转筐出入库明细!$H$4:$H$2004,$Z811-2000))+N(INDEX(周转筐出入库明细!$I$4:$I$2004,$Z811-2000))+N(INDEX(周转筐出入库明细!$J$4:$J$2004,$Z811-2000))+N(INDEX(周转筐出入库明细!$K$4:$K$2004,$Z811-2000)),IF($Z811&lt;=5200,N(INDEX(客户自备加工筐明细!$F$4:$F$1203,$Z811-4000))+N(INDEX(客户自备加工筐明细!$G$4:$G$1203,$Z811-4000)),IF($Z811&lt;=5800,IF(INDEX(次果筐明细!$G$4:$G$603,$Z811-5200)=0,"",INDEX(次果筐明细!$G$4:$G$603,$Z811-5200)),"")))))</f>
        <v/>
      </c>
      <c r="I811" s="24" t="str">
        <f>IF($Z811="","",IF($Z811&lt;=2000,IF(INDEX(包装物料出入库明细!$G$4:$G$2003,$Z811-0)=0,"",INDEX(包装物料出入库明细!$G$4:$G$2003,$Z811-0)),IF($Z811&lt;=4000,"个",IF($Z811&lt;=5200,"个",IF($Z811&lt;=5800,"个","")))))</f>
        <v/>
      </c>
      <c r="J811" s="30" t="str">
        <f t="shared" si="37"/>
        <v/>
      </c>
      <c r="K811" s="30" t="str">
        <f>IF($Z811="","",IF($Z811&lt;=2000,IF(INDEX(包装物料出入库明细!$N$4:$N$2003,$Z811-0)=0,"",INDEX(包装物料出入库明细!$N$4:$N$2003,$Z811-0)),IF($Z811&lt;=4000,IF(INDEX(周转筐出入库明细!$P$4:$P$2004,$Z811-2000)=0,"",INDEX(周转筐出入库明细!$P$4:$P$2004,$Z811-2000)),IF($Z811&lt;=5200,"",IF($Z811&lt;=5800,N(INDEX(次果筐明细!$L$4:$L$603,$Z811-5200))+N(INDEX(次果筐明细!$J$4:$J$603,$Z811-5200)),"")))))</f>
        <v/>
      </c>
      <c r="L811" s="24" t="str">
        <f>IF($Z811="","",IF($Z811&lt;=2000,IF(INDEX(包装物料出入库明细!$P$4:$P$2003,$Z811-0)=0,"",INDEX(包装物料出入库明细!$P$4:$P$2003,$Z811-0)),IF($Z811&lt;=4000,IF(INDEX(周转筐出入库明细!$Q$4:$Q$2004,$Z811-2000)=0,"",INDEX(周转筐出入库明细!$Q$4:$Q$2004,$Z811-2000)),IF($Z811&lt;=5200,"",IF($Z811&lt;=5800,IF(INDEX(次果筐明细!$M$4:$M$603,$Z811-5200)=0,"",INDEX(次果筐明细!$M$4:$M$603,$Z811-5200)),"")))))</f>
        <v/>
      </c>
      <c r="M811" s="37" t="str">
        <f>IF($Z811="","",IF($Z811&lt;=2000,IF(INDEX(包装物料出入库明细!$R$4:$R$2003,$Z811-0)=0,"",INDEX(包装物料出入库明细!$R$4:$R$2003,$Z811-0)),IF($Z811&lt;=4000,IF(INDEX(周转筐出入库明细!$W$4:$W$2004,$Z811-2000)=0,"",INDEX(周转筐出入库明细!$W$4:$W$2004,$Z811-2000)),IF($Z811&lt;=5200,IF(INDEX(客户自备加工筐明细!$L$4:$L$1203,$Z811-4000)=0,"",INDEX(客户自备加工筐明细!$L$4:$L$1203,$Z811-4000)),IF($Z811&lt;=5800,IF(INDEX(次果筐明细!$P$4:$P$603,$Z811-5200)=0,"",INDEX(次果筐明细!$P$4:$P$603,$Z811-5200)),"")))))</f>
        <v/>
      </c>
      <c r="N811" s="16" t="str">
        <f>IF($Z811="","",IF($Z811&lt;=2000,"",IF($Z811&lt;=4000,IF(INDEX(周转筐出入库明细!$D$4:$D$2004,$Z811-2000)=0,"",INDEX(周转筐出入库明细!$D$4:$D$2004,$Z811-2000)),IF($Z811&lt;=5200,IF(INDEX(客户自备加工筐明细!$C$4:$C$1203,$Z811-4000)=0,"",INDEX(客户自备加工筐明细!$C$4:$C$1203,$Z811-4000)),IF($Z811&lt;=5800,IF(INDEX(次果筐明细!$D$4:$D$603,$Z811-5200)=0,"",INDEX(次果筐明细!$D$4:$D$603,$Z811-5200)),"")))))</f>
        <v/>
      </c>
      <c r="O811" s="40" t="str">
        <f>IF($Z811="","",IF($Z811&lt;=2000,"",IF($Z811&lt;=4000,IF(N(INDEX(周转筐出入库明细!$J$4:$J$2004,$Z811-2000))+N(INDEX(周转筐出入库明细!$K$4:$K$2004,$Z811-2000))=0,"",N(INDEX(周转筐出入库明细!$J$4:$J$2004,$Z811-2000))+N(INDEX(周转筐出入库明细!$K$4:$K$2004,$Z811-2000))),IF($Z811&lt;=5200,IF(N(INDEX(客户自备加工筐明细!$G$4:$G$1203,$Z811-4000))=0,"",N(INDEX(客户自备加工筐明细!$G$4:$G$1203,$Z811-4000))),IF($Z811&lt;=5800,IF(ISNUMBER(SEARCH("退",INDEX(次果筐明细!$F$4:$F$603,$Z811-5200)&amp;"")),"",IF(N(INDEX(次果筐明细!$G$4:$G$603,$Z811-5200))=0,"",N(INDEX(次果筐明细!$G$4:$G$603,$Z811-5200)))),"")))))</f>
        <v/>
      </c>
      <c r="P811" s="40" t="str">
        <f>IF($Z811="","",IF($Z811&lt;=2000,"",IF($Z811&lt;=4000,IF(N(INDEX(周转筐出入库明细!$I$4:$I$2004,$Z811-2000))=0,"",N(INDEX(周转筐出入库明细!$I$4:$I$2004,$Z811-2000))),IF($Z811&lt;=5200,"",IF($Z811&lt;=5800,IF(ISNUMBER(SEARCH("退",INDEX(次果筐明细!$F$4:$F$603,$Z811-5200)&amp;"")),IF(N(INDEX(次果筐明细!$G$4:$G$603,$Z811-5200))=0,"",N(INDEX(次果筐明细!$G$4:$G$603,$Z811-5200))),""),"")))))</f>
        <v/>
      </c>
      <c r="Q811" s="40" t="str">
        <f>IF($Z811="","",IF($Z811&lt;=2000,"",IF($Z811&lt;=4000,IF(N(INDEX(周转筐出入库明细!$H$4:$H$2004,$Z811-2000))=0,"",N(INDEX(周转筐出入库明细!$H$4:$H$2004,$Z811-2000))),IF($Z811&lt;=5200,IF(N(INDEX(客户自备加工筐明细!$F$4:$F$1203,$Z811-4000))=0,"",N(INDEX(客户自备加工筐明细!$F$4:$F$1203,$Z811-4000))),IF($Z811&lt;=5800,"","")))))</f>
        <v/>
      </c>
      <c r="R811" s="16" t="str">
        <f>IF($Z811="","",IF($Z811&lt;=2000,IF(INDEX(包装物料出入库明细!$O$4:$O$2003,$Z811-0)=0,"",INDEX(包装物料出入库明细!$O$4:$O$2003,$Z811-0)),IF($Z811&lt;=4000,IF(INDEX(周转筐出入库明细!$M$4:$M$2004,$Z811-2000)=0,"",INDEX(周转筐出入库明细!$M$4:$M$2004,$Z811-2000)),IF($Z811&lt;=5200,IF(INDEX(客户自备加工筐明细!$H$4:$H$1203,$Z811-4000)=0,"",INDEX(客户自备加工筐明细!$H$4:$H$1203,$Z811-4000)),IF($Z811&lt;=5800,IF(INDEX(次果筐明细!$H$4:$H$603,$Z811-5200)=0,"",INDEX(次果筐明细!$H$4:$H$603,$Z811-5200)),"")))))</f>
        <v/>
      </c>
      <c r="S811" s="22" t="str">
        <f t="shared" si="38"/>
        <v/>
      </c>
      <c r="Z811" s="10" t="str">
        <f>IFERROR(MATCH(ROW()-3,_自动清单!$CQ$4:$CQ$5803,0),"")</f>
        <v/>
      </c>
    </row>
    <row r="812" spans="1:26">
      <c r="A812" s="24" t="str">
        <f t="shared" si="36"/>
        <v/>
      </c>
      <c r="B812" s="38" t="str">
        <f>IF($Z812="","",IF($Z812&lt;=2000,IF(INDEX(包装物料出入库明细!$B$4:$B$2003,$Z812-0)=0,"",INDEX(包装物料出入库明细!$B$4:$B$2003,$Z812-0)),IF($Z812&lt;=4000,IF(INDEX(周转筐出入库明细!$B$4:$B$2004,$Z812-2000)=0,"",INDEX(周转筐出入库明细!$B$4:$B$2004,$Z812-2000)),IF($Z812&lt;=5200,IF(INDEX(客户自备加工筐明细!$B$4:$B$1203,$Z812-4000)=0,"",INDEX(客户自备加工筐明细!$B$4:$B$1203,$Z812-4000)),IF($Z812&lt;=5800,IF(INDEX(次果筐明细!$B$4:$B$603,$Z812-5200)=0,"",INDEX(次果筐明细!$B$4:$B$603,$Z812-5200)),"")))))</f>
        <v/>
      </c>
      <c r="C812" s="37" t="str">
        <f>IF($Z812="","",IF($Z812&lt;=2000,IF(INDEX(包装物料出入库明细!$D$4:$D$2003,$Z812-0)=0,"",INDEX(包装物料出入库明细!$D$4:$D$2003,$Z812-0)),IF($Z812&lt;=4000,IF(INDEX(周转筐出入库明细!$C$4:$C$2004,$Z812-2000)=0,"",INDEX(周转筐出入库明细!$C$4:$C$2004,$Z812-2000)),IF($Z812&lt;=5200,IF(INDEX(客户自备加工筐明细!$E$4:$E$1203,$Z812-4000)=0,"",INDEX(客户自备加工筐明细!$E$4:$E$1203,$Z812-4000)),IF($Z812&lt;=5800,IF(INDEX(次果筐明细!$C$4:$C$603,$Z812-5200)=0,"",INDEX(次果筐明细!$C$4:$C$603,$Z812-5200)),"")))))</f>
        <v/>
      </c>
      <c r="D812" s="37" t="str">
        <f>IF($Z812="","",IF($Z812&lt;=2000,"包装物料－"&amp;INDEX(包装物料出入库明细!$H$4:$H$2003,$Z812-0),IF($Z812&lt;=4000,"周转筐－"&amp;INDEX(周转筐出入库明细!$F$4:$F$2004,$Z812-2000),IF($Z812&lt;=5200,"客户自备筐－"&amp;INDEX(客户自备加工筐明细!$J$4:$J$1203,$Z812-4000),IF($Z812&lt;=5800,"次果筐/托盘－"&amp;INDEX(次果筐明细!$F$4:$F$603,$Z812-5200),"")))))</f>
        <v/>
      </c>
      <c r="E812" s="24" t="str">
        <f>IF($Z812="","",IF($Z812&lt;=2000,IF(INDEX(包装物料出入库明细!$C$4:$C$2003,$Z812-0)=0,"",INDEX(包装物料出入库明细!$C$4:$C$2003,$Z812-0)),IF($Z812&lt;=4000,IF(INDEX(周转筐出入库明细!$E$4:$E$2004,$Z812-2000)=0,"",INDEX(周转筐出入库明细!$E$4:$E$2004,$Z812-2000)),IF($Z812&lt;=5200,IF(INDEX(客户自备加工筐明细!$D$4:$D$1203,$Z812-4000)=0,"",INDEX(客户自备加工筐明细!$D$4:$D$1203,$Z812-4000)),IF($Z812&lt;=5800,IF(INDEX(次果筐明细!$E$4:$E$603,$Z812-5200)=0,"",INDEX(次果筐明细!$E$4:$E$603,$Z812-5200)),"")))))</f>
        <v/>
      </c>
      <c r="F812" s="24" t="str">
        <f>IF($Z812="","",IF($Z812&lt;=2000,IF(INDEX(包装物料出入库明细!$E$4:$E$2003,$Z812-0)=0,"",INDEX(包装物料出入库明细!$E$4:$E$2003,$Z812-0)),IF($Z812&lt;=4000,IF(INDEX(周转筐出入库明细!$D$4:$D$2004,$Z812-2000)=0,"",INDEX(周转筐出入库明细!$D$4:$D$2004,$Z812-2000)),IF($Z812&lt;=5200,IF(INDEX(客户自备加工筐明细!$C$4:$C$1203,$Z812-4000)=0,"",INDEX(客户自备加工筐明细!$C$4:$C$1203,$Z812-4000)),IF($Z812&lt;=5800,IF(INDEX(次果筐明细!$D$4:$D$603,$Z812-5200)=0,"",INDEX(次果筐明细!$D$4:$D$603,$Z812-5200)),"")))))</f>
        <v/>
      </c>
      <c r="G812" s="24" t="str">
        <f>IF($Z812="","",IF($Z812&lt;=2000,IF(INDEX(包装物料出入库明细!$F$4:$F$2003,$Z812-0)=0,"",INDEX(包装物料出入库明细!$F$4:$F$2003,$Z812-0)),IF($Z812&lt;=4000,"",IF($Z812&lt;=5200,"",IF($Z812&lt;=5800,"","")))))</f>
        <v/>
      </c>
      <c r="H812" s="39" t="str">
        <f>IF($Z812="","",IF($Z812&lt;=2000,IF(INDEX(包装物料出入库明细!$L$4:$L$2003,$Z812-0)=0,"",INDEX(包装物料出入库明细!$L$4:$L$2003,$Z812-0)),IF($Z812&lt;=4000,N(INDEX(周转筐出入库明细!$H$4:$H$2004,$Z812-2000))+N(INDEX(周转筐出入库明细!$I$4:$I$2004,$Z812-2000))+N(INDEX(周转筐出入库明细!$J$4:$J$2004,$Z812-2000))+N(INDEX(周转筐出入库明细!$K$4:$K$2004,$Z812-2000)),IF($Z812&lt;=5200,N(INDEX(客户自备加工筐明细!$F$4:$F$1203,$Z812-4000))+N(INDEX(客户自备加工筐明细!$G$4:$G$1203,$Z812-4000)),IF($Z812&lt;=5800,IF(INDEX(次果筐明细!$G$4:$G$603,$Z812-5200)=0,"",INDEX(次果筐明细!$G$4:$G$603,$Z812-5200)),"")))))</f>
        <v/>
      </c>
      <c r="I812" s="24" t="str">
        <f>IF($Z812="","",IF($Z812&lt;=2000,IF(INDEX(包装物料出入库明细!$G$4:$G$2003,$Z812-0)=0,"",INDEX(包装物料出入库明细!$G$4:$G$2003,$Z812-0)),IF($Z812&lt;=4000,"个",IF($Z812&lt;=5200,"个",IF($Z812&lt;=5800,"个","")))))</f>
        <v/>
      </c>
      <c r="J812" s="30" t="str">
        <f t="shared" si="37"/>
        <v/>
      </c>
      <c r="K812" s="30" t="str">
        <f>IF($Z812="","",IF($Z812&lt;=2000,IF(INDEX(包装物料出入库明细!$N$4:$N$2003,$Z812-0)=0,"",INDEX(包装物料出入库明细!$N$4:$N$2003,$Z812-0)),IF($Z812&lt;=4000,IF(INDEX(周转筐出入库明细!$P$4:$P$2004,$Z812-2000)=0,"",INDEX(周转筐出入库明细!$P$4:$P$2004,$Z812-2000)),IF($Z812&lt;=5200,"",IF($Z812&lt;=5800,N(INDEX(次果筐明细!$L$4:$L$603,$Z812-5200))+N(INDEX(次果筐明细!$J$4:$J$603,$Z812-5200)),"")))))</f>
        <v/>
      </c>
      <c r="L812" s="24" t="str">
        <f>IF($Z812="","",IF($Z812&lt;=2000,IF(INDEX(包装物料出入库明细!$P$4:$P$2003,$Z812-0)=0,"",INDEX(包装物料出入库明细!$P$4:$P$2003,$Z812-0)),IF($Z812&lt;=4000,IF(INDEX(周转筐出入库明细!$Q$4:$Q$2004,$Z812-2000)=0,"",INDEX(周转筐出入库明细!$Q$4:$Q$2004,$Z812-2000)),IF($Z812&lt;=5200,"",IF($Z812&lt;=5800,IF(INDEX(次果筐明细!$M$4:$M$603,$Z812-5200)=0,"",INDEX(次果筐明细!$M$4:$M$603,$Z812-5200)),"")))))</f>
        <v/>
      </c>
      <c r="M812" s="37" t="str">
        <f>IF($Z812="","",IF($Z812&lt;=2000,IF(INDEX(包装物料出入库明细!$R$4:$R$2003,$Z812-0)=0,"",INDEX(包装物料出入库明细!$R$4:$R$2003,$Z812-0)),IF($Z812&lt;=4000,IF(INDEX(周转筐出入库明细!$W$4:$W$2004,$Z812-2000)=0,"",INDEX(周转筐出入库明细!$W$4:$W$2004,$Z812-2000)),IF($Z812&lt;=5200,IF(INDEX(客户自备加工筐明细!$L$4:$L$1203,$Z812-4000)=0,"",INDEX(客户自备加工筐明细!$L$4:$L$1203,$Z812-4000)),IF($Z812&lt;=5800,IF(INDEX(次果筐明细!$P$4:$P$603,$Z812-5200)=0,"",INDEX(次果筐明细!$P$4:$P$603,$Z812-5200)),"")))))</f>
        <v/>
      </c>
      <c r="N812" s="16" t="str">
        <f>IF($Z812="","",IF($Z812&lt;=2000,"",IF($Z812&lt;=4000,IF(INDEX(周转筐出入库明细!$D$4:$D$2004,$Z812-2000)=0,"",INDEX(周转筐出入库明细!$D$4:$D$2004,$Z812-2000)),IF($Z812&lt;=5200,IF(INDEX(客户自备加工筐明细!$C$4:$C$1203,$Z812-4000)=0,"",INDEX(客户自备加工筐明细!$C$4:$C$1203,$Z812-4000)),IF($Z812&lt;=5800,IF(INDEX(次果筐明细!$D$4:$D$603,$Z812-5200)=0,"",INDEX(次果筐明细!$D$4:$D$603,$Z812-5200)),"")))))</f>
        <v/>
      </c>
      <c r="O812" s="40" t="str">
        <f>IF($Z812="","",IF($Z812&lt;=2000,"",IF($Z812&lt;=4000,IF(N(INDEX(周转筐出入库明细!$J$4:$J$2004,$Z812-2000))+N(INDEX(周转筐出入库明细!$K$4:$K$2004,$Z812-2000))=0,"",N(INDEX(周转筐出入库明细!$J$4:$J$2004,$Z812-2000))+N(INDEX(周转筐出入库明细!$K$4:$K$2004,$Z812-2000))),IF($Z812&lt;=5200,IF(N(INDEX(客户自备加工筐明细!$G$4:$G$1203,$Z812-4000))=0,"",N(INDEX(客户自备加工筐明细!$G$4:$G$1203,$Z812-4000))),IF($Z812&lt;=5800,IF(ISNUMBER(SEARCH("退",INDEX(次果筐明细!$F$4:$F$603,$Z812-5200)&amp;"")),"",IF(N(INDEX(次果筐明细!$G$4:$G$603,$Z812-5200))=0,"",N(INDEX(次果筐明细!$G$4:$G$603,$Z812-5200)))),"")))))</f>
        <v/>
      </c>
      <c r="P812" s="40" t="str">
        <f>IF($Z812="","",IF($Z812&lt;=2000,"",IF($Z812&lt;=4000,IF(N(INDEX(周转筐出入库明细!$I$4:$I$2004,$Z812-2000))=0,"",N(INDEX(周转筐出入库明细!$I$4:$I$2004,$Z812-2000))),IF($Z812&lt;=5200,"",IF($Z812&lt;=5800,IF(ISNUMBER(SEARCH("退",INDEX(次果筐明细!$F$4:$F$603,$Z812-5200)&amp;"")),IF(N(INDEX(次果筐明细!$G$4:$G$603,$Z812-5200))=0,"",N(INDEX(次果筐明细!$G$4:$G$603,$Z812-5200))),""),"")))))</f>
        <v/>
      </c>
      <c r="Q812" s="40" t="str">
        <f>IF($Z812="","",IF($Z812&lt;=2000,"",IF($Z812&lt;=4000,IF(N(INDEX(周转筐出入库明细!$H$4:$H$2004,$Z812-2000))=0,"",N(INDEX(周转筐出入库明细!$H$4:$H$2004,$Z812-2000))),IF($Z812&lt;=5200,IF(N(INDEX(客户自备加工筐明细!$F$4:$F$1203,$Z812-4000))=0,"",N(INDEX(客户自备加工筐明细!$F$4:$F$1203,$Z812-4000))),IF($Z812&lt;=5800,"","")))))</f>
        <v/>
      </c>
      <c r="R812" s="16" t="str">
        <f>IF($Z812="","",IF($Z812&lt;=2000,IF(INDEX(包装物料出入库明细!$O$4:$O$2003,$Z812-0)=0,"",INDEX(包装物料出入库明细!$O$4:$O$2003,$Z812-0)),IF($Z812&lt;=4000,IF(INDEX(周转筐出入库明细!$M$4:$M$2004,$Z812-2000)=0,"",INDEX(周转筐出入库明细!$M$4:$M$2004,$Z812-2000)),IF($Z812&lt;=5200,IF(INDEX(客户自备加工筐明细!$H$4:$H$1203,$Z812-4000)=0,"",INDEX(客户自备加工筐明细!$H$4:$H$1203,$Z812-4000)),IF($Z812&lt;=5800,IF(INDEX(次果筐明细!$H$4:$H$603,$Z812-5200)=0,"",INDEX(次果筐明细!$H$4:$H$603,$Z812-5200)),"")))))</f>
        <v/>
      </c>
      <c r="S812" s="22" t="str">
        <f t="shared" si="38"/>
        <v/>
      </c>
      <c r="Z812" s="10" t="str">
        <f>IFERROR(MATCH(ROW()-3,_自动清单!$CQ$4:$CQ$5803,0),"")</f>
        <v/>
      </c>
    </row>
    <row r="813" spans="1:26">
      <c r="A813" s="24" t="str">
        <f t="shared" si="36"/>
        <v/>
      </c>
      <c r="B813" s="38" t="str">
        <f>IF($Z813="","",IF($Z813&lt;=2000,IF(INDEX(包装物料出入库明细!$B$4:$B$2003,$Z813-0)=0,"",INDEX(包装物料出入库明细!$B$4:$B$2003,$Z813-0)),IF($Z813&lt;=4000,IF(INDEX(周转筐出入库明细!$B$4:$B$2004,$Z813-2000)=0,"",INDEX(周转筐出入库明细!$B$4:$B$2004,$Z813-2000)),IF($Z813&lt;=5200,IF(INDEX(客户自备加工筐明细!$B$4:$B$1203,$Z813-4000)=0,"",INDEX(客户自备加工筐明细!$B$4:$B$1203,$Z813-4000)),IF($Z813&lt;=5800,IF(INDEX(次果筐明细!$B$4:$B$603,$Z813-5200)=0,"",INDEX(次果筐明细!$B$4:$B$603,$Z813-5200)),"")))))</f>
        <v/>
      </c>
      <c r="C813" s="37" t="str">
        <f>IF($Z813="","",IF($Z813&lt;=2000,IF(INDEX(包装物料出入库明细!$D$4:$D$2003,$Z813-0)=0,"",INDEX(包装物料出入库明细!$D$4:$D$2003,$Z813-0)),IF($Z813&lt;=4000,IF(INDEX(周转筐出入库明细!$C$4:$C$2004,$Z813-2000)=0,"",INDEX(周转筐出入库明细!$C$4:$C$2004,$Z813-2000)),IF($Z813&lt;=5200,IF(INDEX(客户自备加工筐明细!$E$4:$E$1203,$Z813-4000)=0,"",INDEX(客户自备加工筐明细!$E$4:$E$1203,$Z813-4000)),IF($Z813&lt;=5800,IF(INDEX(次果筐明细!$C$4:$C$603,$Z813-5200)=0,"",INDEX(次果筐明细!$C$4:$C$603,$Z813-5200)),"")))))</f>
        <v/>
      </c>
      <c r="D813" s="37" t="str">
        <f>IF($Z813="","",IF($Z813&lt;=2000,"包装物料－"&amp;INDEX(包装物料出入库明细!$H$4:$H$2003,$Z813-0),IF($Z813&lt;=4000,"周转筐－"&amp;INDEX(周转筐出入库明细!$F$4:$F$2004,$Z813-2000),IF($Z813&lt;=5200,"客户自备筐－"&amp;INDEX(客户自备加工筐明细!$J$4:$J$1203,$Z813-4000),IF($Z813&lt;=5800,"次果筐/托盘－"&amp;INDEX(次果筐明细!$F$4:$F$603,$Z813-5200),"")))))</f>
        <v/>
      </c>
      <c r="E813" s="24" t="str">
        <f>IF($Z813="","",IF($Z813&lt;=2000,IF(INDEX(包装物料出入库明细!$C$4:$C$2003,$Z813-0)=0,"",INDEX(包装物料出入库明细!$C$4:$C$2003,$Z813-0)),IF($Z813&lt;=4000,IF(INDEX(周转筐出入库明细!$E$4:$E$2004,$Z813-2000)=0,"",INDEX(周转筐出入库明细!$E$4:$E$2004,$Z813-2000)),IF($Z813&lt;=5200,IF(INDEX(客户自备加工筐明细!$D$4:$D$1203,$Z813-4000)=0,"",INDEX(客户自备加工筐明细!$D$4:$D$1203,$Z813-4000)),IF($Z813&lt;=5800,IF(INDEX(次果筐明细!$E$4:$E$603,$Z813-5200)=0,"",INDEX(次果筐明细!$E$4:$E$603,$Z813-5200)),"")))))</f>
        <v/>
      </c>
      <c r="F813" s="24" t="str">
        <f>IF($Z813="","",IF($Z813&lt;=2000,IF(INDEX(包装物料出入库明细!$E$4:$E$2003,$Z813-0)=0,"",INDEX(包装物料出入库明细!$E$4:$E$2003,$Z813-0)),IF($Z813&lt;=4000,IF(INDEX(周转筐出入库明细!$D$4:$D$2004,$Z813-2000)=0,"",INDEX(周转筐出入库明细!$D$4:$D$2004,$Z813-2000)),IF($Z813&lt;=5200,IF(INDEX(客户自备加工筐明细!$C$4:$C$1203,$Z813-4000)=0,"",INDEX(客户自备加工筐明细!$C$4:$C$1203,$Z813-4000)),IF($Z813&lt;=5800,IF(INDEX(次果筐明细!$D$4:$D$603,$Z813-5200)=0,"",INDEX(次果筐明细!$D$4:$D$603,$Z813-5200)),"")))))</f>
        <v/>
      </c>
      <c r="G813" s="24" t="str">
        <f>IF($Z813="","",IF($Z813&lt;=2000,IF(INDEX(包装物料出入库明细!$F$4:$F$2003,$Z813-0)=0,"",INDEX(包装物料出入库明细!$F$4:$F$2003,$Z813-0)),IF($Z813&lt;=4000,"",IF($Z813&lt;=5200,"",IF($Z813&lt;=5800,"","")))))</f>
        <v/>
      </c>
      <c r="H813" s="39" t="str">
        <f>IF($Z813="","",IF($Z813&lt;=2000,IF(INDEX(包装物料出入库明细!$L$4:$L$2003,$Z813-0)=0,"",INDEX(包装物料出入库明细!$L$4:$L$2003,$Z813-0)),IF($Z813&lt;=4000,N(INDEX(周转筐出入库明细!$H$4:$H$2004,$Z813-2000))+N(INDEX(周转筐出入库明细!$I$4:$I$2004,$Z813-2000))+N(INDEX(周转筐出入库明细!$J$4:$J$2004,$Z813-2000))+N(INDEX(周转筐出入库明细!$K$4:$K$2004,$Z813-2000)),IF($Z813&lt;=5200,N(INDEX(客户自备加工筐明细!$F$4:$F$1203,$Z813-4000))+N(INDEX(客户自备加工筐明细!$G$4:$G$1203,$Z813-4000)),IF($Z813&lt;=5800,IF(INDEX(次果筐明细!$G$4:$G$603,$Z813-5200)=0,"",INDEX(次果筐明细!$G$4:$G$603,$Z813-5200)),"")))))</f>
        <v/>
      </c>
      <c r="I813" s="24" t="str">
        <f>IF($Z813="","",IF($Z813&lt;=2000,IF(INDEX(包装物料出入库明细!$G$4:$G$2003,$Z813-0)=0,"",INDEX(包装物料出入库明细!$G$4:$G$2003,$Z813-0)),IF($Z813&lt;=4000,"个",IF($Z813&lt;=5200,"个",IF($Z813&lt;=5800,"个","")))))</f>
        <v/>
      </c>
      <c r="J813" s="30" t="str">
        <f t="shared" si="37"/>
        <v/>
      </c>
      <c r="K813" s="30" t="str">
        <f>IF($Z813="","",IF($Z813&lt;=2000,IF(INDEX(包装物料出入库明细!$N$4:$N$2003,$Z813-0)=0,"",INDEX(包装物料出入库明细!$N$4:$N$2003,$Z813-0)),IF($Z813&lt;=4000,IF(INDEX(周转筐出入库明细!$P$4:$P$2004,$Z813-2000)=0,"",INDEX(周转筐出入库明细!$P$4:$P$2004,$Z813-2000)),IF($Z813&lt;=5200,"",IF($Z813&lt;=5800,N(INDEX(次果筐明细!$L$4:$L$603,$Z813-5200))+N(INDEX(次果筐明细!$J$4:$J$603,$Z813-5200)),"")))))</f>
        <v/>
      </c>
      <c r="L813" s="24" t="str">
        <f>IF($Z813="","",IF($Z813&lt;=2000,IF(INDEX(包装物料出入库明细!$P$4:$P$2003,$Z813-0)=0,"",INDEX(包装物料出入库明细!$P$4:$P$2003,$Z813-0)),IF($Z813&lt;=4000,IF(INDEX(周转筐出入库明细!$Q$4:$Q$2004,$Z813-2000)=0,"",INDEX(周转筐出入库明细!$Q$4:$Q$2004,$Z813-2000)),IF($Z813&lt;=5200,"",IF($Z813&lt;=5800,IF(INDEX(次果筐明细!$M$4:$M$603,$Z813-5200)=0,"",INDEX(次果筐明细!$M$4:$M$603,$Z813-5200)),"")))))</f>
        <v/>
      </c>
      <c r="M813" s="37" t="str">
        <f>IF($Z813="","",IF($Z813&lt;=2000,IF(INDEX(包装物料出入库明细!$R$4:$R$2003,$Z813-0)=0,"",INDEX(包装物料出入库明细!$R$4:$R$2003,$Z813-0)),IF($Z813&lt;=4000,IF(INDEX(周转筐出入库明细!$W$4:$W$2004,$Z813-2000)=0,"",INDEX(周转筐出入库明细!$W$4:$W$2004,$Z813-2000)),IF($Z813&lt;=5200,IF(INDEX(客户自备加工筐明细!$L$4:$L$1203,$Z813-4000)=0,"",INDEX(客户自备加工筐明细!$L$4:$L$1203,$Z813-4000)),IF($Z813&lt;=5800,IF(INDEX(次果筐明细!$P$4:$P$603,$Z813-5200)=0,"",INDEX(次果筐明细!$P$4:$P$603,$Z813-5200)),"")))))</f>
        <v/>
      </c>
      <c r="N813" s="16" t="str">
        <f>IF($Z813="","",IF($Z813&lt;=2000,"",IF($Z813&lt;=4000,IF(INDEX(周转筐出入库明细!$D$4:$D$2004,$Z813-2000)=0,"",INDEX(周转筐出入库明细!$D$4:$D$2004,$Z813-2000)),IF($Z813&lt;=5200,IF(INDEX(客户自备加工筐明细!$C$4:$C$1203,$Z813-4000)=0,"",INDEX(客户自备加工筐明细!$C$4:$C$1203,$Z813-4000)),IF($Z813&lt;=5800,IF(INDEX(次果筐明细!$D$4:$D$603,$Z813-5200)=0,"",INDEX(次果筐明细!$D$4:$D$603,$Z813-5200)),"")))))</f>
        <v/>
      </c>
      <c r="O813" s="40" t="str">
        <f>IF($Z813="","",IF($Z813&lt;=2000,"",IF($Z813&lt;=4000,IF(N(INDEX(周转筐出入库明细!$J$4:$J$2004,$Z813-2000))+N(INDEX(周转筐出入库明细!$K$4:$K$2004,$Z813-2000))=0,"",N(INDEX(周转筐出入库明细!$J$4:$J$2004,$Z813-2000))+N(INDEX(周转筐出入库明细!$K$4:$K$2004,$Z813-2000))),IF($Z813&lt;=5200,IF(N(INDEX(客户自备加工筐明细!$G$4:$G$1203,$Z813-4000))=0,"",N(INDEX(客户自备加工筐明细!$G$4:$G$1203,$Z813-4000))),IF($Z813&lt;=5800,IF(ISNUMBER(SEARCH("退",INDEX(次果筐明细!$F$4:$F$603,$Z813-5200)&amp;"")),"",IF(N(INDEX(次果筐明细!$G$4:$G$603,$Z813-5200))=0,"",N(INDEX(次果筐明细!$G$4:$G$603,$Z813-5200)))),"")))))</f>
        <v/>
      </c>
      <c r="P813" s="40" t="str">
        <f>IF($Z813="","",IF($Z813&lt;=2000,"",IF($Z813&lt;=4000,IF(N(INDEX(周转筐出入库明细!$I$4:$I$2004,$Z813-2000))=0,"",N(INDEX(周转筐出入库明细!$I$4:$I$2004,$Z813-2000))),IF($Z813&lt;=5200,"",IF($Z813&lt;=5800,IF(ISNUMBER(SEARCH("退",INDEX(次果筐明细!$F$4:$F$603,$Z813-5200)&amp;"")),IF(N(INDEX(次果筐明细!$G$4:$G$603,$Z813-5200))=0,"",N(INDEX(次果筐明细!$G$4:$G$603,$Z813-5200))),""),"")))))</f>
        <v/>
      </c>
      <c r="Q813" s="40" t="str">
        <f>IF($Z813="","",IF($Z813&lt;=2000,"",IF($Z813&lt;=4000,IF(N(INDEX(周转筐出入库明细!$H$4:$H$2004,$Z813-2000))=0,"",N(INDEX(周转筐出入库明细!$H$4:$H$2004,$Z813-2000))),IF($Z813&lt;=5200,IF(N(INDEX(客户自备加工筐明细!$F$4:$F$1203,$Z813-4000))=0,"",N(INDEX(客户自备加工筐明细!$F$4:$F$1203,$Z813-4000))),IF($Z813&lt;=5800,"","")))))</f>
        <v/>
      </c>
      <c r="R813" s="16" t="str">
        <f>IF($Z813="","",IF($Z813&lt;=2000,IF(INDEX(包装物料出入库明细!$O$4:$O$2003,$Z813-0)=0,"",INDEX(包装物料出入库明细!$O$4:$O$2003,$Z813-0)),IF($Z813&lt;=4000,IF(INDEX(周转筐出入库明细!$M$4:$M$2004,$Z813-2000)=0,"",INDEX(周转筐出入库明细!$M$4:$M$2004,$Z813-2000)),IF($Z813&lt;=5200,IF(INDEX(客户自备加工筐明细!$H$4:$H$1203,$Z813-4000)=0,"",INDEX(客户自备加工筐明细!$H$4:$H$1203,$Z813-4000)),IF($Z813&lt;=5800,IF(INDEX(次果筐明细!$H$4:$H$603,$Z813-5200)=0,"",INDEX(次果筐明细!$H$4:$H$603,$Z813-5200)),"")))))</f>
        <v/>
      </c>
      <c r="S813" s="22" t="str">
        <f t="shared" si="38"/>
        <v/>
      </c>
      <c r="Z813" s="10" t="str">
        <f>IFERROR(MATCH(ROW()-3,_自动清单!$CQ$4:$CQ$5803,0),"")</f>
        <v/>
      </c>
    </row>
    <row r="814" spans="1:26">
      <c r="A814" s="24" t="str">
        <f t="shared" si="36"/>
        <v/>
      </c>
      <c r="B814" s="38" t="str">
        <f>IF($Z814="","",IF($Z814&lt;=2000,IF(INDEX(包装物料出入库明细!$B$4:$B$2003,$Z814-0)=0,"",INDEX(包装物料出入库明细!$B$4:$B$2003,$Z814-0)),IF($Z814&lt;=4000,IF(INDEX(周转筐出入库明细!$B$4:$B$2004,$Z814-2000)=0,"",INDEX(周转筐出入库明细!$B$4:$B$2004,$Z814-2000)),IF($Z814&lt;=5200,IF(INDEX(客户自备加工筐明细!$B$4:$B$1203,$Z814-4000)=0,"",INDEX(客户自备加工筐明细!$B$4:$B$1203,$Z814-4000)),IF($Z814&lt;=5800,IF(INDEX(次果筐明细!$B$4:$B$603,$Z814-5200)=0,"",INDEX(次果筐明细!$B$4:$B$603,$Z814-5200)),"")))))</f>
        <v/>
      </c>
      <c r="C814" s="37" t="str">
        <f>IF($Z814="","",IF($Z814&lt;=2000,IF(INDEX(包装物料出入库明细!$D$4:$D$2003,$Z814-0)=0,"",INDEX(包装物料出入库明细!$D$4:$D$2003,$Z814-0)),IF($Z814&lt;=4000,IF(INDEX(周转筐出入库明细!$C$4:$C$2004,$Z814-2000)=0,"",INDEX(周转筐出入库明细!$C$4:$C$2004,$Z814-2000)),IF($Z814&lt;=5200,IF(INDEX(客户自备加工筐明细!$E$4:$E$1203,$Z814-4000)=0,"",INDEX(客户自备加工筐明细!$E$4:$E$1203,$Z814-4000)),IF($Z814&lt;=5800,IF(INDEX(次果筐明细!$C$4:$C$603,$Z814-5200)=0,"",INDEX(次果筐明细!$C$4:$C$603,$Z814-5200)),"")))))</f>
        <v/>
      </c>
      <c r="D814" s="37" t="str">
        <f>IF($Z814="","",IF($Z814&lt;=2000,"包装物料－"&amp;INDEX(包装物料出入库明细!$H$4:$H$2003,$Z814-0),IF($Z814&lt;=4000,"周转筐－"&amp;INDEX(周转筐出入库明细!$F$4:$F$2004,$Z814-2000),IF($Z814&lt;=5200,"客户自备筐－"&amp;INDEX(客户自备加工筐明细!$J$4:$J$1203,$Z814-4000),IF($Z814&lt;=5800,"次果筐/托盘－"&amp;INDEX(次果筐明细!$F$4:$F$603,$Z814-5200),"")))))</f>
        <v/>
      </c>
      <c r="E814" s="24" t="str">
        <f>IF($Z814="","",IF($Z814&lt;=2000,IF(INDEX(包装物料出入库明细!$C$4:$C$2003,$Z814-0)=0,"",INDEX(包装物料出入库明细!$C$4:$C$2003,$Z814-0)),IF($Z814&lt;=4000,IF(INDEX(周转筐出入库明细!$E$4:$E$2004,$Z814-2000)=0,"",INDEX(周转筐出入库明细!$E$4:$E$2004,$Z814-2000)),IF($Z814&lt;=5200,IF(INDEX(客户自备加工筐明细!$D$4:$D$1203,$Z814-4000)=0,"",INDEX(客户自备加工筐明细!$D$4:$D$1203,$Z814-4000)),IF($Z814&lt;=5800,IF(INDEX(次果筐明细!$E$4:$E$603,$Z814-5200)=0,"",INDEX(次果筐明细!$E$4:$E$603,$Z814-5200)),"")))))</f>
        <v/>
      </c>
      <c r="F814" s="24" t="str">
        <f>IF($Z814="","",IF($Z814&lt;=2000,IF(INDEX(包装物料出入库明细!$E$4:$E$2003,$Z814-0)=0,"",INDEX(包装物料出入库明细!$E$4:$E$2003,$Z814-0)),IF($Z814&lt;=4000,IF(INDEX(周转筐出入库明细!$D$4:$D$2004,$Z814-2000)=0,"",INDEX(周转筐出入库明细!$D$4:$D$2004,$Z814-2000)),IF($Z814&lt;=5200,IF(INDEX(客户自备加工筐明细!$C$4:$C$1203,$Z814-4000)=0,"",INDEX(客户自备加工筐明细!$C$4:$C$1203,$Z814-4000)),IF($Z814&lt;=5800,IF(INDEX(次果筐明细!$D$4:$D$603,$Z814-5200)=0,"",INDEX(次果筐明细!$D$4:$D$603,$Z814-5200)),"")))))</f>
        <v/>
      </c>
      <c r="G814" s="24" t="str">
        <f>IF($Z814="","",IF($Z814&lt;=2000,IF(INDEX(包装物料出入库明细!$F$4:$F$2003,$Z814-0)=0,"",INDEX(包装物料出入库明细!$F$4:$F$2003,$Z814-0)),IF($Z814&lt;=4000,"",IF($Z814&lt;=5200,"",IF($Z814&lt;=5800,"","")))))</f>
        <v/>
      </c>
      <c r="H814" s="39" t="str">
        <f>IF($Z814="","",IF($Z814&lt;=2000,IF(INDEX(包装物料出入库明细!$L$4:$L$2003,$Z814-0)=0,"",INDEX(包装物料出入库明细!$L$4:$L$2003,$Z814-0)),IF($Z814&lt;=4000,N(INDEX(周转筐出入库明细!$H$4:$H$2004,$Z814-2000))+N(INDEX(周转筐出入库明细!$I$4:$I$2004,$Z814-2000))+N(INDEX(周转筐出入库明细!$J$4:$J$2004,$Z814-2000))+N(INDEX(周转筐出入库明细!$K$4:$K$2004,$Z814-2000)),IF($Z814&lt;=5200,N(INDEX(客户自备加工筐明细!$F$4:$F$1203,$Z814-4000))+N(INDEX(客户自备加工筐明细!$G$4:$G$1203,$Z814-4000)),IF($Z814&lt;=5800,IF(INDEX(次果筐明细!$G$4:$G$603,$Z814-5200)=0,"",INDEX(次果筐明细!$G$4:$G$603,$Z814-5200)),"")))))</f>
        <v/>
      </c>
      <c r="I814" s="24" t="str">
        <f>IF($Z814="","",IF($Z814&lt;=2000,IF(INDEX(包装物料出入库明细!$G$4:$G$2003,$Z814-0)=0,"",INDEX(包装物料出入库明细!$G$4:$G$2003,$Z814-0)),IF($Z814&lt;=4000,"个",IF($Z814&lt;=5200,"个",IF($Z814&lt;=5800,"个","")))))</f>
        <v/>
      </c>
      <c r="J814" s="30" t="str">
        <f t="shared" si="37"/>
        <v/>
      </c>
      <c r="K814" s="30" t="str">
        <f>IF($Z814="","",IF($Z814&lt;=2000,IF(INDEX(包装物料出入库明细!$N$4:$N$2003,$Z814-0)=0,"",INDEX(包装物料出入库明细!$N$4:$N$2003,$Z814-0)),IF($Z814&lt;=4000,IF(INDEX(周转筐出入库明细!$P$4:$P$2004,$Z814-2000)=0,"",INDEX(周转筐出入库明细!$P$4:$P$2004,$Z814-2000)),IF($Z814&lt;=5200,"",IF($Z814&lt;=5800,N(INDEX(次果筐明细!$L$4:$L$603,$Z814-5200))+N(INDEX(次果筐明细!$J$4:$J$603,$Z814-5200)),"")))))</f>
        <v/>
      </c>
      <c r="L814" s="24" t="str">
        <f>IF($Z814="","",IF($Z814&lt;=2000,IF(INDEX(包装物料出入库明细!$P$4:$P$2003,$Z814-0)=0,"",INDEX(包装物料出入库明细!$P$4:$P$2003,$Z814-0)),IF($Z814&lt;=4000,IF(INDEX(周转筐出入库明细!$Q$4:$Q$2004,$Z814-2000)=0,"",INDEX(周转筐出入库明细!$Q$4:$Q$2004,$Z814-2000)),IF($Z814&lt;=5200,"",IF($Z814&lt;=5800,IF(INDEX(次果筐明细!$M$4:$M$603,$Z814-5200)=0,"",INDEX(次果筐明细!$M$4:$M$603,$Z814-5200)),"")))))</f>
        <v/>
      </c>
      <c r="M814" s="37" t="str">
        <f>IF($Z814="","",IF($Z814&lt;=2000,IF(INDEX(包装物料出入库明细!$R$4:$R$2003,$Z814-0)=0,"",INDEX(包装物料出入库明细!$R$4:$R$2003,$Z814-0)),IF($Z814&lt;=4000,IF(INDEX(周转筐出入库明细!$W$4:$W$2004,$Z814-2000)=0,"",INDEX(周转筐出入库明细!$W$4:$W$2004,$Z814-2000)),IF($Z814&lt;=5200,IF(INDEX(客户自备加工筐明细!$L$4:$L$1203,$Z814-4000)=0,"",INDEX(客户自备加工筐明细!$L$4:$L$1203,$Z814-4000)),IF($Z814&lt;=5800,IF(INDEX(次果筐明细!$P$4:$P$603,$Z814-5200)=0,"",INDEX(次果筐明细!$P$4:$P$603,$Z814-5200)),"")))))</f>
        <v/>
      </c>
      <c r="N814" s="16" t="str">
        <f>IF($Z814="","",IF($Z814&lt;=2000,"",IF($Z814&lt;=4000,IF(INDEX(周转筐出入库明细!$D$4:$D$2004,$Z814-2000)=0,"",INDEX(周转筐出入库明细!$D$4:$D$2004,$Z814-2000)),IF($Z814&lt;=5200,IF(INDEX(客户自备加工筐明细!$C$4:$C$1203,$Z814-4000)=0,"",INDEX(客户自备加工筐明细!$C$4:$C$1203,$Z814-4000)),IF($Z814&lt;=5800,IF(INDEX(次果筐明细!$D$4:$D$603,$Z814-5200)=0,"",INDEX(次果筐明细!$D$4:$D$603,$Z814-5200)),"")))))</f>
        <v/>
      </c>
      <c r="O814" s="40" t="str">
        <f>IF($Z814="","",IF($Z814&lt;=2000,"",IF($Z814&lt;=4000,IF(N(INDEX(周转筐出入库明细!$J$4:$J$2004,$Z814-2000))+N(INDEX(周转筐出入库明细!$K$4:$K$2004,$Z814-2000))=0,"",N(INDEX(周转筐出入库明细!$J$4:$J$2004,$Z814-2000))+N(INDEX(周转筐出入库明细!$K$4:$K$2004,$Z814-2000))),IF($Z814&lt;=5200,IF(N(INDEX(客户自备加工筐明细!$G$4:$G$1203,$Z814-4000))=0,"",N(INDEX(客户自备加工筐明细!$G$4:$G$1203,$Z814-4000))),IF($Z814&lt;=5800,IF(ISNUMBER(SEARCH("退",INDEX(次果筐明细!$F$4:$F$603,$Z814-5200)&amp;"")),"",IF(N(INDEX(次果筐明细!$G$4:$G$603,$Z814-5200))=0,"",N(INDEX(次果筐明细!$G$4:$G$603,$Z814-5200)))),"")))))</f>
        <v/>
      </c>
      <c r="P814" s="40" t="str">
        <f>IF($Z814="","",IF($Z814&lt;=2000,"",IF($Z814&lt;=4000,IF(N(INDEX(周转筐出入库明细!$I$4:$I$2004,$Z814-2000))=0,"",N(INDEX(周转筐出入库明细!$I$4:$I$2004,$Z814-2000))),IF($Z814&lt;=5200,"",IF($Z814&lt;=5800,IF(ISNUMBER(SEARCH("退",INDEX(次果筐明细!$F$4:$F$603,$Z814-5200)&amp;"")),IF(N(INDEX(次果筐明细!$G$4:$G$603,$Z814-5200))=0,"",N(INDEX(次果筐明细!$G$4:$G$603,$Z814-5200))),""),"")))))</f>
        <v/>
      </c>
      <c r="Q814" s="40" t="str">
        <f>IF($Z814="","",IF($Z814&lt;=2000,"",IF($Z814&lt;=4000,IF(N(INDEX(周转筐出入库明细!$H$4:$H$2004,$Z814-2000))=0,"",N(INDEX(周转筐出入库明细!$H$4:$H$2004,$Z814-2000))),IF($Z814&lt;=5200,IF(N(INDEX(客户自备加工筐明细!$F$4:$F$1203,$Z814-4000))=0,"",N(INDEX(客户自备加工筐明细!$F$4:$F$1203,$Z814-4000))),IF($Z814&lt;=5800,"","")))))</f>
        <v/>
      </c>
      <c r="R814" s="16" t="str">
        <f>IF($Z814="","",IF($Z814&lt;=2000,IF(INDEX(包装物料出入库明细!$O$4:$O$2003,$Z814-0)=0,"",INDEX(包装物料出入库明细!$O$4:$O$2003,$Z814-0)),IF($Z814&lt;=4000,IF(INDEX(周转筐出入库明细!$M$4:$M$2004,$Z814-2000)=0,"",INDEX(周转筐出入库明细!$M$4:$M$2004,$Z814-2000)),IF($Z814&lt;=5200,IF(INDEX(客户自备加工筐明细!$H$4:$H$1203,$Z814-4000)=0,"",INDEX(客户自备加工筐明细!$H$4:$H$1203,$Z814-4000)),IF($Z814&lt;=5800,IF(INDEX(次果筐明细!$H$4:$H$603,$Z814-5200)=0,"",INDEX(次果筐明细!$H$4:$H$603,$Z814-5200)),"")))))</f>
        <v/>
      </c>
      <c r="S814" s="22" t="str">
        <f t="shared" si="38"/>
        <v/>
      </c>
      <c r="Z814" s="10" t="str">
        <f>IFERROR(MATCH(ROW()-3,_自动清单!$CQ$4:$CQ$5803,0),"")</f>
        <v/>
      </c>
    </row>
    <row r="815" spans="1:26">
      <c r="A815" s="24" t="str">
        <f t="shared" si="36"/>
        <v/>
      </c>
      <c r="B815" s="38" t="str">
        <f>IF($Z815="","",IF($Z815&lt;=2000,IF(INDEX(包装物料出入库明细!$B$4:$B$2003,$Z815-0)=0,"",INDEX(包装物料出入库明细!$B$4:$B$2003,$Z815-0)),IF($Z815&lt;=4000,IF(INDEX(周转筐出入库明细!$B$4:$B$2004,$Z815-2000)=0,"",INDEX(周转筐出入库明细!$B$4:$B$2004,$Z815-2000)),IF($Z815&lt;=5200,IF(INDEX(客户自备加工筐明细!$B$4:$B$1203,$Z815-4000)=0,"",INDEX(客户自备加工筐明细!$B$4:$B$1203,$Z815-4000)),IF($Z815&lt;=5800,IF(INDEX(次果筐明细!$B$4:$B$603,$Z815-5200)=0,"",INDEX(次果筐明细!$B$4:$B$603,$Z815-5200)),"")))))</f>
        <v/>
      </c>
      <c r="C815" s="37" t="str">
        <f>IF($Z815="","",IF($Z815&lt;=2000,IF(INDEX(包装物料出入库明细!$D$4:$D$2003,$Z815-0)=0,"",INDEX(包装物料出入库明细!$D$4:$D$2003,$Z815-0)),IF($Z815&lt;=4000,IF(INDEX(周转筐出入库明细!$C$4:$C$2004,$Z815-2000)=0,"",INDEX(周转筐出入库明细!$C$4:$C$2004,$Z815-2000)),IF($Z815&lt;=5200,IF(INDEX(客户自备加工筐明细!$E$4:$E$1203,$Z815-4000)=0,"",INDEX(客户自备加工筐明细!$E$4:$E$1203,$Z815-4000)),IF($Z815&lt;=5800,IF(INDEX(次果筐明细!$C$4:$C$603,$Z815-5200)=0,"",INDEX(次果筐明细!$C$4:$C$603,$Z815-5200)),"")))))</f>
        <v/>
      </c>
      <c r="D815" s="37" t="str">
        <f>IF($Z815="","",IF($Z815&lt;=2000,"包装物料－"&amp;INDEX(包装物料出入库明细!$H$4:$H$2003,$Z815-0),IF($Z815&lt;=4000,"周转筐－"&amp;INDEX(周转筐出入库明细!$F$4:$F$2004,$Z815-2000),IF($Z815&lt;=5200,"客户自备筐－"&amp;INDEX(客户自备加工筐明细!$J$4:$J$1203,$Z815-4000),IF($Z815&lt;=5800,"次果筐/托盘－"&amp;INDEX(次果筐明细!$F$4:$F$603,$Z815-5200),"")))))</f>
        <v/>
      </c>
      <c r="E815" s="24" t="str">
        <f>IF($Z815="","",IF($Z815&lt;=2000,IF(INDEX(包装物料出入库明细!$C$4:$C$2003,$Z815-0)=0,"",INDEX(包装物料出入库明细!$C$4:$C$2003,$Z815-0)),IF($Z815&lt;=4000,IF(INDEX(周转筐出入库明细!$E$4:$E$2004,$Z815-2000)=0,"",INDEX(周转筐出入库明细!$E$4:$E$2004,$Z815-2000)),IF($Z815&lt;=5200,IF(INDEX(客户自备加工筐明细!$D$4:$D$1203,$Z815-4000)=0,"",INDEX(客户自备加工筐明细!$D$4:$D$1203,$Z815-4000)),IF($Z815&lt;=5800,IF(INDEX(次果筐明细!$E$4:$E$603,$Z815-5200)=0,"",INDEX(次果筐明细!$E$4:$E$603,$Z815-5200)),"")))))</f>
        <v/>
      </c>
      <c r="F815" s="24" t="str">
        <f>IF($Z815="","",IF($Z815&lt;=2000,IF(INDEX(包装物料出入库明细!$E$4:$E$2003,$Z815-0)=0,"",INDEX(包装物料出入库明细!$E$4:$E$2003,$Z815-0)),IF($Z815&lt;=4000,IF(INDEX(周转筐出入库明细!$D$4:$D$2004,$Z815-2000)=0,"",INDEX(周转筐出入库明细!$D$4:$D$2004,$Z815-2000)),IF($Z815&lt;=5200,IF(INDEX(客户自备加工筐明细!$C$4:$C$1203,$Z815-4000)=0,"",INDEX(客户自备加工筐明细!$C$4:$C$1203,$Z815-4000)),IF($Z815&lt;=5800,IF(INDEX(次果筐明细!$D$4:$D$603,$Z815-5200)=0,"",INDEX(次果筐明细!$D$4:$D$603,$Z815-5200)),"")))))</f>
        <v/>
      </c>
      <c r="G815" s="24" t="str">
        <f>IF($Z815="","",IF($Z815&lt;=2000,IF(INDEX(包装物料出入库明细!$F$4:$F$2003,$Z815-0)=0,"",INDEX(包装物料出入库明细!$F$4:$F$2003,$Z815-0)),IF($Z815&lt;=4000,"",IF($Z815&lt;=5200,"",IF($Z815&lt;=5800,"","")))))</f>
        <v/>
      </c>
      <c r="H815" s="39" t="str">
        <f>IF($Z815="","",IF($Z815&lt;=2000,IF(INDEX(包装物料出入库明细!$L$4:$L$2003,$Z815-0)=0,"",INDEX(包装物料出入库明细!$L$4:$L$2003,$Z815-0)),IF($Z815&lt;=4000,N(INDEX(周转筐出入库明细!$H$4:$H$2004,$Z815-2000))+N(INDEX(周转筐出入库明细!$I$4:$I$2004,$Z815-2000))+N(INDEX(周转筐出入库明细!$J$4:$J$2004,$Z815-2000))+N(INDEX(周转筐出入库明细!$K$4:$K$2004,$Z815-2000)),IF($Z815&lt;=5200,N(INDEX(客户自备加工筐明细!$F$4:$F$1203,$Z815-4000))+N(INDEX(客户自备加工筐明细!$G$4:$G$1203,$Z815-4000)),IF($Z815&lt;=5800,IF(INDEX(次果筐明细!$G$4:$G$603,$Z815-5200)=0,"",INDEX(次果筐明细!$G$4:$G$603,$Z815-5200)),"")))))</f>
        <v/>
      </c>
      <c r="I815" s="24" t="str">
        <f>IF($Z815="","",IF($Z815&lt;=2000,IF(INDEX(包装物料出入库明细!$G$4:$G$2003,$Z815-0)=0,"",INDEX(包装物料出入库明细!$G$4:$G$2003,$Z815-0)),IF($Z815&lt;=4000,"个",IF($Z815&lt;=5200,"个",IF($Z815&lt;=5800,"个","")))))</f>
        <v/>
      </c>
      <c r="J815" s="30" t="str">
        <f t="shared" si="37"/>
        <v/>
      </c>
      <c r="K815" s="30" t="str">
        <f>IF($Z815="","",IF($Z815&lt;=2000,IF(INDEX(包装物料出入库明细!$N$4:$N$2003,$Z815-0)=0,"",INDEX(包装物料出入库明细!$N$4:$N$2003,$Z815-0)),IF($Z815&lt;=4000,IF(INDEX(周转筐出入库明细!$P$4:$P$2004,$Z815-2000)=0,"",INDEX(周转筐出入库明细!$P$4:$P$2004,$Z815-2000)),IF($Z815&lt;=5200,"",IF($Z815&lt;=5800,N(INDEX(次果筐明细!$L$4:$L$603,$Z815-5200))+N(INDEX(次果筐明细!$J$4:$J$603,$Z815-5200)),"")))))</f>
        <v/>
      </c>
      <c r="L815" s="24" t="str">
        <f>IF($Z815="","",IF($Z815&lt;=2000,IF(INDEX(包装物料出入库明细!$P$4:$P$2003,$Z815-0)=0,"",INDEX(包装物料出入库明细!$P$4:$P$2003,$Z815-0)),IF($Z815&lt;=4000,IF(INDEX(周转筐出入库明细!$Q$4:$Q$2004,$Z815-2000)=0,"",INDEX(周转筐出入库明细!$Q$4:$Q$2004,$Z815-2000)),IF($Z815&lt;=5200,"",IF($Z815&lt;=5800,IF(INDEX(次果筐明细!$M$4:$M$603,$Z815-5200)=0,"",INDEX(次果筐明细!$M$4:$M$603,$Z815-5200)),"")))))</f>
        <v/>
      </c>
      <c r="M815" s="37" t="str">
        <f>IF($Z815="","",IF($Z815&lt;=2000,IF(INDEX(包装物料出入库明细!$R$4:$R$2003,$Z815-0)=0,"",INDEX(包装物料出入库明细!$R$4:$R$2003,$Z815-0)),IF($Z815&lt;=4000,IF(INDEX(周转筐出入库明细!$W$4:$W$2004,$Z815-2000)=0,"",INDEX(周转筐出入库明细!$W$4:$W$2004,$Z815-2000)),IF($Z815&lt;=5200,IF(INDEX(客户自备加工筐明细!$L$4:$L$1203,$Z815-4000)=0,"",INDEX(客户自备加工筐明细!$L$4:$L$1203,$Z815-4000)),IF($Z815&lt;=5800,IF(INDEX(次果筐明细!$P$4:$P$603,$Z815-5200)=0,"",INDEX(次果筐明细!$P$4:$P$603,$Z815-5200)),"")))))</f>
        <v/>
      </c>
      <c r="N815" s="16" t="str">
        <f>IF($Z815="","",IF($Z815&lt;=2000,"",IF($Z815&lt;=4000,IF(INDEX(周转筐出入库明细!$D$4:$D$2004,$Z815-2000)=0,"",INDEX(周转筐出入库明细!$D$4:$D$2004,$Z815-2000)),IF($Z815&lt;=5200,IF(INDEX(客户自备加工筐明细!$C$4:$C$1203,$Z815-4000)=0,"",INDEX(客户自备加工筐明细!$C$4:$C$1203,$Z815-4000)),IF($Z815&lt;=5800,IF(INDEX(次果筐明细!$D$4:$D$603,$Z815-5200)=0,"",INDEX(次果筐明细!$D$4:$D$603,$Z815-5200)),"")))))</f>
        <v/>
      </c>
      <c r="O815" s="40" t="str">
        <f>IF($Z815="","",IF($Z815&lt;=2000,"",IF($Z815&lt;=4000,IF(N(INDEX(周转筐出入库明细!$J$4:$J$2004,$Z815-2000))+N(INDEX(周转筐出入库明细!$K$4:$K$2004,$Z815-2000))=0,"",N(INDEX(周转筐出入库明细!$J$4:$J$2004,$Z815-2000))+N(INDEX(周转筐出入库明细!$K$4:$K$2004,$Z815-2000))),IF($Z815&lt;=5200,IF(N(INDEX(客户自备加工筐明细!$G$4:$G$1203,$Z815-4000))=0,"",N(INDEX(客户自备加工筐明细!$G$4:$G$1203,$Z815-4000))),IF($Z815&lt;=5800,IF(ISNUMBER(SEARCH("退",INDEX(次果筐明细!$F$4:$F$603,$Z815-5200)&amp;"")),"",IF(N(INDEX(次果筐明细!$G$4:$G$603,$Z815-5200))=0,"",N(INDEX(次果筐明细!$G$4:$G$603,$Z815-5200)))),"")))))</f>
        <v/>
      </c>
      <c r="P815" s="40" t="str">
        <f>IF($Z815="","",IF($Z815&lt;=2000,"",IF($Z815&lt;=4000,IF(N(INDEX(周转筐出入库明细!$I$4:$I$2004,$Z815-2000))=0,"",N(INDEX(周转筐出入库明细!$I$4:$I$2004,$Z815-2000))),IF($Z815&lt;=5200,"",IF($Z815&lt;=5800,IF(ISNUMBER(SEARCH("退",INDEX(次果筐明细!$F$4:$F$603,$Z815-5200)&amp;"")),IF(N(INDEX(次果筐明细!$G$4:$G$603,$Z815-5200))=0,"",N(INDEX(次果筐明细!$G$4:$G$603,$Z815-5200))),""),"")))))</f>
        <v/>
      </c>
      <c r="Q815" s="40" t="str">
        <f>IF($Z815="","",IF($Z815&lt;=2000,"",IF($Z815&lt;=4000,IF(N(INDEX(周转筐出入库明细!$H$4:$H$2004,$Z815-2000))=0,"",N(INDEX(周转筐出入库明细!$H$4:$H$2004,$Z815-2000))),IF($Z815&lt;=5200,IF(N(INDEX(客户自备加工筐明细!$F$4:$F$1203,$Z815-4000))=0,"",N(INDEX(客户自备加工筐明细!$F$4:$F$1203,$Z815-4000))),IF($Z815&lt;=5800,"","")))))</f>
        <v/>
      </c>
      <c r="R815" s="16" t="str">
        <f>IF($Z815="","",IF($Z815&lt;=2000,IF(INDEX(包装物料出入库明细!$O$4:$O$2003,$Z815-0)=0,"",INDEX(包装物料出入库明细!$O$4:$O$2003,$Z815-0)),IF($Z815&lt;=4000,IF(INDEX(周转筐出入库明细!$M$4:$M$2004,$Z815-2000)=0,"",INDEX(周转筐出入库明细!$M$4:$M$2004,$Z815-2000)),IF($Z815&lt;=5200,IF(INDEX(客户自备加工筐明细!$H$4:$H$1203,$Z815-4000)=0,"",INDEX(客户自备加工筐明细!$H$4:$H$1203,$Z815-4000)),IF($Z815&lt;=5800,IF(INDEX(次果筐明细!$H$4:$H$603,$Z815-5200)=0,"",INDEX(次果筐明细!$H$4:$H$603,$Z815-5200)),"")))))</f>
        <v/>
      </c>
      <c r="S815" s="22" t="str">
        <f t="shared" si="38"/>
        <v/>
      </c>
      <c r="Z815" s="10" t="str">
        <f>IFERROR(MATCH(ROW()-3,_自动清单!$CQ$4:$CQ$5803,0),"")</f>
        <v/>
      </c>
    </row>
    <row r="816" spans="1:26">
      <c r="A816" s="24" t="str">
        <f t="shared" si="36"/>
        <v/>
      </c>
      <c r="B816" s="38" t="str">
        <f>IF($Z816="","",IF($Z816&lt;=2000,IF(INDEX(包装物料出入库明细!$B$4:$B$2003,$Z816-0)=0,"",INDEX(包装物料出入库明细!$B$4:$B$2003,$Z816-0)),IF($Z816&lt;=4000,IF(INDEX(周转筐出入库明细!$B$4:$B$2004,$Z816-2000)=0,"",INDEX(周转筐出入库明细!$B$4:$B$2004,$Z816-2000)),IF($Z816&lt;=5200,IF(INDEX(客户自备加工筐明细!$B$4:$B$1203,$Z816-4000)=0,"",INDEX(客户自备加工筐明细!$B$4:$B$1203,$Z816-4000)),IF($Z816&lt;=5800,IF(INDEX(次果筐明细!$B$4:$B$603,$Z816-5200)=0,"",INDEX(次果筐明细!$B$4:$B$603,$Z816-5200)),"")))))</f>
        <v/>
      </c>
      <c r="C816" s="37" t="str">
        <f>IF($Z816="","",IF($Z816&lt;=2000,IF(INDEX(包装物料出入库明细!$D$4:$D$2003,$Z816-0)=0,"",INDEX(包装物料出入库明细!$D$4:$D$2003,$Z816-0)),IF($Z816&lt;=4000,IF(INDEX(周转筐出入库明细!$C$4:$C$2004,$Z816-2000)=0,"",INDEX(周转筐出入库明细!$C$4:$C$2004,$Z816-2000)),IF($Z816&lt;=5200,IF(INDEX(客户自备加工筐明细!$E$4:$E$1203,$Z816-4000)=0,"",INDEX(客户自备加工筐明细!$E$4:$E$1203,$Z816-4000)),IF($Z816&lt;=5800,IF(INDEX(次果筐明细!$C$4:$C$603,$Z816-5200)=0,"",INDEX(次果筐明细!$C$4:$C$603,$Z816-5200)),"")))))</f>
        <v/>
      </c>
      <c r="D816" s="37" t="str">
        <f>IF($Z816="","",IF($Z816&lt;=2000,"包装物料－"&amp;INDEX(包装物料出入库明细!$H$4:$H$2003,$Z816-0),IF($Z816&lt;=4000,"周转筐－"&amp;INDEX(周转筐出入库明细!$F$4:$F$2004,$Z816-2000),IF($Z816&lt;=5200,"客户自备筐－"&amp;INDEX(客户自备加工筐明细!$J$4:$J$1203,$Z816-4000),IF($Z816&lt;=5800,"次果筐/托盘－"&amp;INDEX(次果筐明细!$F$4:$F$603,$Z816-5200),"")))))</f>
        <v/>
      </c>
      <c r="E816" s="24" t="str">
        <f>IF($Z816="","",IF($Z816&lt;=2000,IF(INDEX(包装物料出入库明细!$C$4:$C$2003,$Z816-0)=0,"",INDEX(包装物料出入库明细!$C$4:$C$2003,$Z816-0)),IF($Z816&lt;=4000,IF(INDEX(周转筐出入库明细!$E$4:$E$2004,$Z816-2000)=0,"",INDEX(周转筐出入库明细!$E$4:$E$2004,$Z816-2000)),IF($Z816&lt;=5200,IF(INDEX(客户自备加工筐明细!$D$4:$D$1203,$Z816-4000)=0,"",INDEX(客户自备加工筐明细!$D$4:$D$1203,$Z816-4000)),IF($Z816&lt;=5800,IF(INDEX(次果筐明细!$E$4:$E$603,$Z816-5200)=0,"",INDEX(次果筐明细!$E$4:$E$603,$Z816-5200)),"")))))</f>
        <v/>
      </c>
      <c r="F816" s="24" t="str">
        <f>IF($Z816="","",IF($Z816&lt;=2000,IF(INDEX(包装物料出入库明细!$E$4:$E$2003,$Z816-0)=0,"",INDEX(包装物料出入库明细!$E$4:$E$2003,$Z816-0)),IF($Z816&lt;=4000,IF(INDEX(周转筐出入库明细!$D$4:$D$2004,$Z816-2000)=0,"",INDEX(周转筐出入库明细!$D$4:$D$2004,$Z816-2000)),IF($Z816&lt;=5200,IF(INDEX(客户自备加工筐明细!$C$4:$C$1203,$Z816-4000)=0,"",INDEX(客户自备加工筐明细!$C$4:$C$1203,$Z816-4000)),IF($Z816&lt;=5800,IF(INDEX(次果筐明细!$D$4:$D$603,$Z816-5200)=0,"",INDEX(次果筐明细!$D$4:$D$603,$Z816-5200)),"")))))</f>
        <v/>
      </c>
      <c r="G816" s="24" t="str">
        <f>IF($Z816="","",IF($Z816&lt;=2000,IF(INDEX(包装物料出入库明细!$F$4:$F$2003,$Z816-0)=0,"",INDEX(包装物料出入库明细!$F$4:$F$2003,$Z816-0)),IF($Z816&lt;=4000,"",IF($Z816&lt;=5200,"",IF($Z816&lt;=5800,"","")))))</f>
        <v/>
      </c>
      <c r="H816" s="39" t="str">
        <f>IF($Z816="","",IF($Z816&lt;=2000,IF(INDEX(包装物料出入库明细!$L$4:$L$2003,$Z816-0)=0,"",INDEX(包装物料出入库明细!$L$4:$L$2003,$Z816-0)),IF($Z816&lt;=4000,N(INDEX(周转筐出入库明细!$H$4:$H$2004,$Z816-2000))+N(INDEX(周转筐出入库明细!$I$4:$I$2004,$Z816-2000))+N(INDEX(周转筐出入库明细!$J$4:$J$2004,$Z816-2000))+N(INDEX(周转筐出入库明细!$K$4:$K$2004,$Z816-2000)),IF($Z816&lt;=5200,N(INDEX(客户自备加工筐明细!$F$4:$F$1203,$Z816-4000))+N(INDEX(客户自备加工筐明细!$G$4:$G$1203,$Z816-4000)),IF($Z816&lt;=5800,IF(INDEX(次果筐明细!$G$4:$G$603,$Z816-5200)=0,"",INDEX(次果筐明细!$G$4:$G$603,$Z816-5200)),"")))))</f>
        <v/>
      </c>
      <c r="I816" s="24" t="str">
        <f>IF($Z816="","",IF($Z816&lt;=2000,IF(INDEX(包装物料出入库明细!$G$4:$G$2003,$Z816-0)=0,"",INDEX(包装物料出入库明细!$G$4:$G$2003,$Z816-0)),IF($Z816&lt;=4000,"个",IF($Z816&lt;=5200,"个",IF($Z816&lt;=5800,"个","")))))</f>
        <v/>
      </c>
      <c r="J816" s="30" t="str">
        <f t="shared" si="37"/>
        <v/>
      </c>
      <c r="K816" s="30" t="str">
        <f>IF($Z816="","",IF($Z816&lt;=2000,IF(INDEX(包装物料出入库明细!$N$4:$N$2003,$Z816-0)=0,"",INDEX(包装物料出入库明细!$N$4:$N$2003,$Z816-0)),IF($Z816&lt;=4000,IF(INDEX(周转筐出入库明细!$P$4:$P$2004,$Z816-2000)=0,"",INDEX(周转筐出入库明细!$P$4:$P$2004,$Z816-2000)),IF($Z816&lt;=5200,"",IF($Z816&lt;=5800,N(INDEX(次果筐明细!$L$4:$L$603,$Z816-5200))+N(INDEX(次果筐明细!$J$4:$J$603,$Z816-5200)),"")))))</f>
        <v/>
      </c>
      <c r="L816" s="24" t="str">
        <f>IF($Z816="","",IF($Z816&lt;=2000,IF(INDEX(包装物料出入库明细!$P$4:$P$2003,$Z816-0)=0,"",INDEX(包装物料出入库明细!$P$4:$P$2003,$Z816-0)),IF($Z816&lt;=4000,IF(INDEX(周转筐出入库明细!$Q$4:$Q$2004,$Z816-2000)=0,"",INDEX(周转筐出入库明细!$Q$4:$Q$2004,$Z816-2000)),IF($Z816&lt;=5200,"",IF($Z816&lt;=5800,IF(INDEX(次果筐明细!$M$4:$M$603,$Z816-5200)=0,"",INDEX(次果筐明细!$M$4:$M$603,$Z816-5200)),"")))))</f>
        <v/>
      </c>
      <c r="M816" s="37" t="str">
        <f>IF($Z816="","",IF($Z816&lt;=2000,IF(INDEX(包装物料出入库明细!$R$4:$R$2003,$Z816-0)=0,"",INDEX(包装物料出入库明细!$R$4:$R$2003,$Z816-0)),IF($Z816&lt;=4000,IF(INDEX(周转筐出入库明细!$W$4:$W$2004,$Z816-2000)=0,"",INDEX(周转筐出入库明细!$W$4:$W$2004,$Z816-2000)),IF($Z816&lt;=5200,IF(INDEX(客户自备加工筐明细!$L$4:$L$1203,$Z816-4000)=0,"",INDEX(客户自备加工筐明细!$L$4:$L$1203,$Z816-4000)),IF($Z816&lt;=5800,IF(INDEX(次果筐明细!$P$4:$P$603,$Z816-5200)=0,"",INDEX(次果筐明细!$P$4:$P$603,$Z816-5200)),"")))))</f>
        <v/>
      </c>
      <c r="N816" s="16" t="str">
        <f>IF($Z816="","",IF($Z816&lt;=2000,"",IF($Z816&lt;=4000,IF(INDEX(周转筐出入库明细!$D$4:$D$2004,$Z816-2000)=0,"",INDEX(周转筐出入库明细!$D$4:$D$2004,$Z816-2000)),IF($Z816&lt;=5200,IF(INDEX(客户自备加工筐明细!$C$4:$C$1203,$Z816-4000)=0,"",INDEX(客户自备加工筐明细!$C$4:$C$1203,$Z816-4000)),IF($Z816&lt;=5800,IF(INDEX(次果筐明细!$D$4:$D$603,$Z816-5200)=0,"",INDEX(次果筐明细!$D$4:$D$603,$Z816-5200)),"")))))</f>
        <v/>
      </c>
      <c r="O816" s="40" t="str">
        <f>IF($Z816="","",IF($Z816&lt;=2000,"",IF($Z816&lt;=4000,IF(N(INDEX(周转筐出入库明细!$J$4:$J$2004,$Z816-2000))+N(INDEX(周转筐出入库明细!$K$4:$K$2004,$Z816-2000))=0,"",N(INDEX(周转筐出入库明细!$J$4:$J$2004,$Z816-2000))+N(INDEX(周转筐出入库明细!$K$4:$K$2004,$Z816-2000))),IF($Z816&lt;=5200,IF(N(INDEX(客户自备加工筐明细!$G$4:$G$1203,$Z816-4000))=0,"",N(INDEX(客户自备加工筐明细!$G$4:$G$1203,$Z816-4000))),IF($Z816&lt;=5800,IF(ISNUMBER(SEARCH("退",INDEX(次果筐明细!$F$4:$F$603,$Z816-5200)&amp;"")),"",IF(N(INDEX(次果筐明细!$G$4:$G$603,$Z816-5200))=0,"",N(INDEX(次果筐明细!$G$4:$G$603,$Z816-5200)))),"")))))</f>
        <v/>
      </c>
      <c r="P816" s="40" t="str">
        <f>IF($Z816="","",IF($Z816&lt;=2000,"",IF($Z816&lt;=4000,IF(N(INDEX(周转筐出入库明细!$I$4:$I$2004,$Z816-2000))=0,"",N(INDEX(周转筐出入库明细!$I$4:$I$2004,$Z816-2000))),IF($Z816&lt;=5200,"",IF($Z816&lt;=5800,IF(ISNUMBER(SEARCH("退",INDEX(次果筐明细!$F$4:$F$603,$Z816-5200)&amp;"")),IF(N(INDEX(次果筐明细!$G$4:$G$603,$Z816-5200))=0,"",N(INDEX(次果筐明细!$G$4:$G$603,$Z816-5200))),""),"")))))</f>
        <v/>
      </c>
      <c r="Q816" s="40" t="str">
        <f>IF($Z816="","",IF($Z816&lt;=2000,"",IF($Z816&lt;=4000,IF(N(INDEX(周转筐出入库明细!$H$4:$H$2004,$Z816-2000))=0,"",N(INDEX(周转筐出入库明细!$H$4:$H$2004,$Z816-2000))),IF($Z816&lt;=5200,IF(N(INDEX(客户自备加工筐明细!$F$4:$F$1203,$Z816-4000))=0,"",N(INDEX(客户自备加工筐明细!$F$4:$F$1203,$Z816-4000))),IF($Z816&lt;=5800,"","")))))</f>
        <v/>
      </c>
      <c r="R816" s="16" t="str">
        <f>IF($Z816="","",IF($Z816&lt;=2000,IF(INDEX(包装物料出入库明细!$O$4:$O$2003,$Z816-0)=0,"",INDEX(包装物料出入库明细!$O$4:$O$2003,$Z816-0)),IF($Z816&lt;=4000,IF(INDEX(周转筐出入库明细!$M$4:$M$2004,$Z816-2000)=0,"",INDEX(周转筐出入库明细!$M$4:$M$2004,$Z816-2000)),IF($Z816&lt;=5200,IF(INDEX(客户自备加工筐明细!$H$4:$H$1203,$Z816-4000)=0,"",INDEX(客户自备加工筐明细!$H$4:$H$1203,$Z816-4000)),IF($Z816&lt;=5800,IF(INDEX(次果筐明细!$H$4:$H$603,$Z816-5200)=0,"",INDEX(次果筐明细!$H$4:$H$603,$Z816-5200)),"")))))</f>
        <v/>
      </c>
      <c r="S816" s="22" t="str">
        <f t="shared" si="38"/>
        <v/>
      </c>
      <c r="Z816" s="10" t="str">
        <f>IFERROR(MATCH(ROW()-3,_自动清单!$CQ$4:$CQ$5803,0),"")</f>
        <v/>
      </c>
    </row>
    <row r="817" spans="1:26">
      <c r="A817" s="24" t="str">
        <f t="shared" si="36"/>
        <v/>
      </c>
      <c r="B817" s="38" t="str">
        <f>IF($Z817="","",IF($Z817&lt;=2000,IF(INDEX(包装物料出入库明细!$B$4:$B$2003,$Z817-0)=0,"",INDEX(包装物料出入库明细!$B$4:$B$2003,$Z817-0)),IF($Z817&lt;=4000,IF(INDEX(周转筐出入库明细!$B$4:$B$2004,$Z817-2000)=0,"",INDEX(周转筐出入库明细!$B$4:$B$2004,$Z817-2000)),IF($Z817&lt;=5200,IF(INDEX(客户自备加工筐明细!$B$4:$B$1203,$Z817-4000)=0,"",INDEX(客户自备加工筐明细!$B$4:$B$1203,$Z817-4000)),IF($Z817&lt;=5800,IF(INDEX(次果筐明细!$B$4:$B$603,$Z817-5200)=0,"",INDEX(次果筐明细!$B$4:$B$603,$Z817-5200)),"")))))</f>
        <v/>
      </c>
      <c r="C817" s="37" t="str">
        <f>IF($Z817="","",IF($Z817&lt;=2000,IF(INDEX(包装物料出入库明细!$D$4:$D$2003,$Z817-0)=0,"",INDEX(包装物料出入库明细!$D$4:$D$2003,$Z817-0)),IF($Z817&lt;=4000,IF(INDEX(周转筐出入库明细!$C$4:$C$2004,$Z817-2000)=0,"",INDEX(周转筐出入库明细!$C$4:$C$2004,$Z817-2000)),IF($Z817&lt;=5200,IF(INDEX(客户自备加工筐明细!$E$4:$E$1203,$Z817-4000)=0,"",INDEX(客户自备加工筐明细!$E$4:$E$1203,$Z817-4000)),IF($Z817&lt;=5800,IF(INDEX(次果筐明细!$C$4:$C$603,$Z817-5200)=0,"",INDEX(次果筐明细!$C$4:$C$603,$Z817-5200)),"")))))</f>
        <v/>
      </c>
      <c r="D817" s="37" t="str">
        <f>IF($Z817="","",IF($Z817&lt;=2000,"包装物料－"&amp;INDEX(包装物料出入库明细!$H$4:$H$2003,$Z817-0),IF($Z817&lt;=4000,"周转筐－"&amp;INDEX(周转筐出入库明细!$F$4:$F$2004,$Z817-2000),IF($Z817&lt;=5200,"客户自备筐－"&amp;INDEX(客户自备加工筐明细!$J$4:$J$1203,$Z817-4000),IF($Z817&lt;=5800,"次果筐/托盘－"&amp;INDEX(次果筐明细!$F$4:$F$603,$Z817-5200),"")))))</f>
        <v/>
      </c>
      <c r="E817" s="24" t="str">
        <f>IF($Z817="","",IF($Z817&lt;=2000,IF(INDEX(包装物料出入库明细!$C$4:$C$2003,$Z817-0)=0,"",INDEX(包装物料出入库明细!$C$4:$C$2003,$Z817-0)),IF($Z817&lt;=4000,IF(INDEX(周转筐出入库明细!$E$4:$E$2004,$Z817-2000)=0,"",INDEX(周转筐出入库明细!$E$4:$E$2004,$Z817-2000)),IF($Z817&lt;=5200,IF(INDEX(客户自备加工筐明细!$D$4:$D$1203,$Z817-4000)=0,"",INDEX(客户自备加工筐明细!$D$4:$D$1203,$Z817-4000)),IF($Z817&lt;=5800,IF(INDEX(次果筐明细!$E$4:$E$603,$Z817-5200)=0,"",INDEX(次果筐明细!$E$4:$E$603,$Z817-5200)),"")))))</f>
        <v/>
      </c>
      <c r="F817" s="24" t="str">
        <f>IF($Z817="","",IF($Z817&lt;=2000,IF(INDEX(包装物料出入库明细!$E$4:$E$2003,$Z817-0)=0,"",INDEX(包装物料出入库明细!$E$4:$E$2003,$Z817-0)),IF($Z817&lt;=4000,IF(INDEX(周转筐出入库明细!$D$4:$D$2004,$Z817-2000)=0,"",INDEX(周转筐出入库明细!$D$4:$D$2004,$Z817-2000)),IF($Z817&lt;=5200,IF(INDEX(客户自备加工筐明细!$C$4:$C$1203,$Z817-4000)=0,"",INDEX(客户自备加工筐明细!$C$4:$C$1203,$Z817-4000)),IF($Z817&lt;=5800,IF(INDEX(次果筐明细!$D$4:$D$603,$Z817-5200)=0,"",INDEX(次果筐明细!$D$4:$D$603,$Z817-5200)),"")))))</f>
        <v/>
      </c>
      <c r="G817" s="24" t="str">
        <f>IF($Z817="","",IF($Z817&lt;=2000,IF(INDEX(包装物料出入库明细!$F$4:$F$2003,$Z817-0)=0,"",INDEX(包装物料出入库明细!$F$4:$F$2003,$Z817-0)),IF($Z817&lt;=4000,"",IF($Z817&lt;=5200,"",IF($Z817&lt;=5800,"","")))))</f>
        <v/>
      </c>
      <c r="H817" s="39" t="str">
        <f>IF($Z817="","",IF($Z817&lt;=2000,IF(INDEX(包装物料出入库明细!$L$4:$L$2003,$Z817-0)=0,"",INDEX(包装物料出入库明细!$L$4:$L$2003,$Z817-0)),IF($Z817&lt;=4000,N(INDEX(周转筐出入库明细!$H$4:$H$2004,$Z817-2000))+N(INDEX(周转筐出入库明细!$I$4:$I$2004,$Z817-2000))+N(INDEX(周转筐出入库明细!$J$4:$J$2004,$Z817-2000))+N(INDEX(周转筐出入库明细!$K$4:$K$2004,$Z817-2000)),IF($Z817&lt;=5200,N(INDEX(客户自备加工筐明细!$F$4:$F$1203,$Z817-4000))+N(INDEX(客户自备加工筐明细!$G$4:$G$1203,$Z817-4000)),IF($Z817&lt;=5800,IF(INDEX(次果筐明细!$G$4:$G$603,$Z817-5200)=0,"",INDEX(次果筐明细!$G$4:$G$603,$Z817-5200)),"")))))</f>
        <v/>
      </c>
      <c r="I817" s="24" t="str">
        <f>IF($Z817="","",IF($Z817&lt;=2000,IF(INDEX(包装物料出入库明细!$G$4:$G$2003,$Z817-0)=0,"",INDEX(包装物料出入库明细!$G$4:$G$2003,$Z817-0)),IF($Z817&lt;=4000,"个",IF($Z817&lt;=5200,"个",IF($Z817&lt;=5800,"个","")))))</f>
        <v/>
      </c>
      <c r="J817" s="30" t="str">
        <f t="shared" si="37"/>
        <v/>
      </c>
      <c r="K817" s="30" t="str">
        <f>IF($Z817="","",IF($Z817&lt;=2000,IF(INDEX(包装物料出入库明细!$N$4:$N$2003,$Z817-0)=0,"",INDEX(包装物料出入库明细!$N$4:$N$2003,$Z817-0)),IF($Z817&lt;=4000,IF(INDEX(周转筐出入库明细!$P$4:$P$2004,$Z817-2000)=0,"",INDEX(周转筐出入库明细!$P$4:$P$2004,$Z817-2000)),IF($Z817&lt;=5200,"",IF($Z817&lt;=5800,N(INDEX(次果筐明细!$L$4:$L$603,$Z817-5200))+N(INDEX(次果筐明细!$J$4:$J$603,$Z817-5200)),"")))))</f>
        <v/>
      </c>
      <c r="L817" s="24" t="str">
        <f>IF($Z817="","",IF($Z817&lt;=2000,IF(INDEX(包装物料出入库明细!$P$4:$P$2003,$Z817-0)=0,"",INDEX(包装物料出入库明细!$P$4:$P$2003,$Z817-0)),IF($Z817&lt;=4000,IF(INDEX(周转筐出入库明细!$Q$4:$Q$2004,$Z817-2000)=0,"",INDEX(周转筐出入库明细!$Q$4:$Q$2004,$Z817-2000)),IF($Z817&lt;=5200,"",IF($Z817&lt;=5800,IF(INDEX(次果筐明细!$M$4:$M$603,$Z817-5200)=0,"",INDEX(次果筐明细!$M$4:$M$603,$Z817-5200)),"")))))</f>
        <v/>
      </c>
      <c r="M817" s="37" t="str">
        <f>IF($Z817="","",IF($Z817&lt;=2000,IF(INDEX(包装物料出入库明细!$R$4:$R$2003,$Z817-0)=0,"",INDEX(包装物料出入库明细!$R$4:$R$2003,$Z817-0)),IF($Z817&lt;=4000,IF(INDEX(周转筐出入库明细!$W$4:$W$2004,$Z817-2000)=0,"",INDEX(周转筐出入库明细!$W$4:$W$2004,$Z817-2000)),IF($Z817&lt;=5200,IF(INDEX(客户自备加工筐明细!$L$4:$L$1203,$Z817-4000)=0,"",INDEX(客户自备加工筐明细!$L$4:$L$1203,$Z817-4000)),IF($Z817&lt;=5800,IF(INDEX(次果筐明细!$P$4:$P$603,$Z817-5200)=0,"",INDEX(次果筐明细!$P$4:$P$603,$Z817-5200)),"")))))</f>
        <v/>
      </c>
      <c r="N817" s="16" t="str">
        <f>IF($Z817="","",IF($Z817&lt;=2000,"",IF($Z817&lt;=4000,IF(INDEX(周转筐出入库明细!$D$4:$D$2004,$Z817-2000)=0,"",INDEX(周转筐出入库明细!$D$4:$D$2004,$Z817-2000)),IF($Z817&lt;=5200,IF(INDEX(客户自备加工筐明细!$C$4:$C$1203,$Z817-4000)=0,"",INDEX(客户自备加工筐明细!$C$4:$C$1203,$Z817-4000)),IF($Z817&lt;=5800,IF(INDEX(次果筐明细!$D$4:$D$603,$Z817-5200)=0,"",INDEX(次果筐明细!$D$4:$D$603,$Z817-5200)),"")))))</f>
        <v/>
      </c>
      <c r="O817" s="40" t="str">
        <f>IF($Z817="","",IF($Z817&lt;=2000,"",IF($Z817&lt;=4000,IF(N(INDEX(周转筐出入库明细!$J$4:$J$2004,$Z817-2000))+N(INDEX(周转筐出入库明细!$K$4:$K$2004,$Z817-2000))=0,"",N(INDEX(周转筐出入库明细!$J$4:$J$2004,$Z817-2000))+N(INDEX(周转筐出入库明细!$K$4:$K$2004,$Z817-2000))),IF($Z817&lt;=5200,IF(N(INDEX(客户自备加工筐明细!$G$4:$G$1203,$Z817-4000))=0,"",N(INDEX(客户自备加工筐明细!$G$4:$G$1203,$Z817-4000))),IF($Z817&lt;=5800,IF(ISNUMBER(SEARCH("退",INDEX(次果筐明细!$F$4:$F$603,$Z817-5200)&amp;"")),"",IF(N(INDEX(次果筐明细!$G$4:$G$603,$Z817-5200))=0,"",N(INDEX(次果筐明细!$G$4:$G$603,$Z817-5200)))),"")))))</f>
        <v/>
      </c>
      <c r="P817" s="40" t="str">
        <f>IF($Z817="","",IF($Z817&lt;=2000,"",IF($Z817&lt;=4000,IF(N(INDEX(周转筐出入库明细!$I$4:$I$2004,$Z817-2000))=0,"",N(INDEX(周转筐出入库明细!$I$4:$I$2004,$Z817-2000))),IF($Z817&lt;=5200,"",IF($Z817&lt;=5800,IF(ISNUMBER(SEARCH("退",INDEX(次果筐明细!$F$4:$F$603,$Z817-5200)&amp;"")),IF(N(INDEX(次果筐明细!$G$4:$G$603,$Z817-5200))=0,"",N(INDEX(次果筐明细!$G$4:$G$603,$Z817-5200))),""),"")))))</f>
        <v/>
      </c>
      <c r="Q817" s="40" t="str">
        <f>IF($Z817="","",IF($Z817&lt;=2000,"",IF($Z817&lt;=4000,IF(N(INDEX(周转筐出入库明细!$H$4:$H$2004,$Z817-2000))=0,"",N(INDEX(周转筐出入库明细!$H$4:$H$2004,$Z817-2000))),IF($Z817&lt;=5200,IF(N(INDEX(客户自备加工筐明细!$F$4:$F$1203,$Z817-4000))=0,"",N(INDEX(客户自备加工筐明细!$F$4:$F$1203,$Z817-4000))),IF($Z817&lt;=5800,"","")))))</f>
        <v/>
      </c>
      <c r="R817" s="16" t="str">
        <f>IF($Z817="","",IF($Z817&lt;=2000,IF(INDEX(包装物料出入库明细!$O$4:$O$2003,$Z817-0)=0,"",INDEX(包装物料出入库明细!$O$4:$O$2003,$Z817-0)),IF($Z817&lt;=4000,IF(INDEX(周转筐出入库明细!$M$4:$M$2004,$Z817-2000)=0,"",INDEX(周转筐出入库明细!$M$4:$M$2004,$Z817-2000)),IF($Z817&lt;=5200,IF(INDEX(客户自备加工筐明细!$H$4:$H$1203,$Z817-4000)=0,"",INDEX(客户自备加工筐明细!$H$4:$H$1203,$Z817-4000)),IF($Z817&lt;=5800,IF(INDEX(次果筐明细!$H$4:$H$603,$Z817-5200)=0,"",INDEX(次果筐明细!$H$4:$H$603,$Z817-5200)),"")))))</f>
        <v/>
      </c>
      <c r="S817" s="22" t="str">
        <f t="shared" si="38"/>
        <v/>
      </c>
      <c r="Z817" s="10" t="str">
        <f>IFERROR(MATCH(ROW()-3,_自动清单!$CQ$4:$CQ$5803,0),"")</f>
        <v/>
      </c>
    </row>
    <row r="818" spans="1:26">
      <c r="A818" s="24" t="str">
        <f t="shared" si="36"/>
        <v/>
      </c>
      <c r="B818" s="38" t="str">
        <f>IF($Z818="","",IF($Z818&lt;=2000,IF(INDEX(包装物料出入库明细!$B$4:$B$2003,$Z818-0)=0,"",INDEX(包装物料出入库明细!$B$4:$B$2003,$Z818-0)),IF($Z818&lt;=4000,IF(INDEX(周转筐出入库明细!$B$4:$B$2004,$Z818-2000)=0,"",INDEX(周转筐出入库明细!$B$4:$B$2004,$Z818-2000)),IF($Z818&lt;=5200,IF(INDEX(客户自备加工筐明细!$B$4:$B$1203,$Z818-4000)=0,"",INDEX(客户自备加工筐明细!$B$4:$B$1203,$Z818-4000)),IF($Z818&lt;=5800,IF(INDEX(次果筐明细!$B$4:$B$603,$Z818-5200)=0,"",INDEX(次果筐明细!$B$4:$B$603,$Z818-5200)),"")))))</f>
        <v/>
      </c>
      <c r="C818" s="37" t="str">
        <f>IF($Z818="","",IF($Z818&lt;=2000,IF(INDEX(包装物料出入库明细!$D$4:$D$2003,$Z818-0)=0,"",INDEX(包装物料出入库明细!$D$4:$D$2003,$Z818-0)),IF($Z818&lt;=4000,IF(INDEX(周转筐出入库明细!$C$4:$C$2004,$Z818-2000)=0,"",INDEX(周转筐出入库明细!$C$4:$C$2004,$Z818-2000)),IF($Z818&lt;=5200,IF(INDEX(客户自备加工筐明细!$E$4:$E$1203,$Z818-4000)=0,"",INDEX(客户自备加工筐明细!$E$4:$E$1203,$Z818-4000)),IF($Z818&lt;=5800,IF(INDEX(次果筐明细!$C$4:$C$603,$Z818-5200)=0,"",INDEX(次果筐明细!$C$4:$C$603,$Z818-5200)),"")))))</f>
        <v/>
      </c>
      <c r="D818" s="37" t="str">
        <f>IF($Z818="","",IF($Z818&lt;=2000,"包装物料－"&amp;INDEX(包装物料出入库明细!$H$4:$H$2003,$Z818-0),IF($Z818&lt;=4000,"周转筐－"&amp;INDEX(周转筐出入库明细!$F$4:$F$2004,$Z818-2000),IF($Z818&lt;=5200,"客户自备筐－"&amp;INDEX(客户自备加工筐明细!$J$4:$J$1203,$Z818-4000),IF($Z818&lt;=5800,"次果筐/托盘－"&amp;INDEX(次果筐明细!$F$4:$F$603,$Z818-5200),"")))))</f>
        <v/>
      </c>
      <c r="E818" s="24" t="str">
        <f>IF($Z818="","",IF($Z818&lt;=2000,IF(INDEX(包装物料出入库明细!$C$4:$C$2003,$Z818-0)=0,"",INDEX(包装物料出入库明细!$C$4:$C$2003,$Z818-0)),IF($Z818&lt;=4000,IF(INDEX(周转筐出入库明细!$E$4:$E$2004,$Z818-2000)=0,"",INDEX(周转筐出入库明细!$E$4:$E$2004,$Z818-2000)),IF($Z818&lt;=5200,IF(INDEX(客户自备加工筐明细!$D$4:$D$1203,$Z818-4000)=0,"",INDEX(客户自备加工筐明细!$D$4:$D$1203,$Z818-4000)),IF($Z818&lt;=5800,IF(INDEX(次果筐明细!$E$4:$E$603,$Z818-5200)=0,"",INDEX(次果筐明细!$E$4:$E$603,$Z818-5200)),"")))))</f>
        <v/>
      </c>
      <c r="F818" s="24" t="str">
        <f>IF($Z818="","",IF($Z818&lt;=2000,IF(INDEX(包装物料出入库明细!$E$4:$E$2003,$Z818-0)=0,"",INDEX(包装物料出入库明细!$E$4:$E$2003,$Z818-0)),IF($Z818&lt;=4000,IF(INDEX(周转筐出入库明细!$D$4:$D$2004,$Z818-2000)=0,"",INDEX(周转筐出入库明细!$D$4:$D$2004,$Z818-2000)),IF($Z818&lt;=5200,IF(INDEX(客户自备加工筐明细!$C$4:$C$1203,$Z818-4000)=0,"",INDEX(客户自备加工筐明细!$C$4:$C$1203,$Z818-4000)),IF($Z818&lt;=5800,IF(INDEX(次果筐明细!$D$4:$D$603,$Z818-5200)=0,"",INDEX(次果筐明细!$D$4:$D$603,$Z818-5200)),"")))))</f>
        <v/>
      </c>
      <c r="G818" s="24" t="str">
        <f>IF($Z818="","",IF($Z818&lt;=2000,IF(INDEX(包装物料出入库明细!$F$4:$F$2003,$Z818-0)=0,"",INDEX(包装物料出入库明细!$F$4:$F$2003,$Z818-0)),IF($Z818&lt;=4000,"",IF($Z818&lt;=5200,"",IF($Z818&lt;=5800,"","")))))</f>
        <v/>
      </c>
      <c r="H818" s="39" t="str">
        <f>IF($Z818="","",IF($Z818&lt;=2000,IF(INDEX(包装物料出入库明细!$L$4:$L$2003,$Z818-0)=0,"",INDEX(包装物料出入库明细!$L$4:$L$2003,$Z818-0)),IF($Z818&lt;=4000,N(INDEX(周转筐出入库明细!$H$4:$H$2004,$Z818-2000))+N(INDEX(周转筐出入库明细!$I$4:$I$2004,$Z818-2000))+N(INDEX(周转筐出入库明细!$J$4:$J$2004,$Z818-2000))+N(INDEX(周转筐出入库明细!$K$4:$K$2004,$Z818-2000)),IF($Z818&lt;=5200,N(INDEX(客户自备加工筐明细!$F$4:$F$1203,$Z818-4000))+N(INDEX(客户自备加工筐明细!$G$4:$G$1203,$Z818-4000)),IF($Z818&lt;=5800,IF(INDEX(次果筐明细!$G$4:$G$603,$Z818-5200)=0,"",INDEX(次果筐明细!$G$4:$G$603,$Z818-5200)),"")))))</f>
        <v/>
      </c>
      <c r="I818" s="24" t="str">
        <f>IF($Z818="","",IF($Z818&lt;=2000,IF(INDEX(包装物料出入库明细!$G$4:$G$2003,$Z818-0)=0,"",INDEX(包装物料出入库明细!$G$4:$G$2003,$Z818-0)),IF($Z818&lt;=4000,"个",IF($Z818&lt;=5200,"个",IF($Z818&lt;=5800,"个","")))))</f>
        <v/>
      </c>
      <c r="J818" s="30" t="str">
        <f t="shared" si="37"/>
        <v/>
      </c>
      <c r="K818" s="30" t="str">
        <f>IF($Z818="","",IF($Z818&lt;=2000,IF(INDEX(包装物料出入库明细!$N$4:$N$2003,$Z818-0)=0,"",INDEX(包装物料出入库明细!$N$4:$N$2003,$Z818-0)),IF($Z818&lt;=4000,IF(INDEX(周转筐出入库明细!$P$4:$P$2004,$Z818-2000)=0,"",INDEX(周转筐出入库明细!$P$4:$P$2004,$Z818-2000)),IF($Z818&lt;=5200,"",IF($Z818&lt;=5800,N(INDEX(次果筐明细!$L$4:$L$603,$Z818-5200))+N(INDEX(次果筐明细!$J$4:$J$603,$Z818-5200)),"")))))</f>
        <v/>
      </c>
      <c r="L818" s="24" t="str">
        <f>IF($Z818="","",IF($Z818&lt;=2000,IF(INDEX(包装物料出入库明细!$P$4:$P$2003,$Z818-0)=0,"",INDEX(包装物料出入库明细!$P$4:$P$2003,$Z818-0)),IF($Z818&lt;=4000,IF(INDEX(周转筐出入库明细!$Q$4:$Q$2004,$Z818-2000)=0,"",INDEX(周转筐出入库明细!$Q$4:$Q$2004,$Z818-2000)),IF($Z818&lt;=5200,"",IF($Z818&lt;=5800,IF(INDEX(次果筐明细!$M$4:$M$603,$Z818-5200)=0,"",INDEX(次果筐明细!$M$4:$M$603,$Z818-5200)),"")))))</f>
        <v/>
      </c>
      <c r="M818" s="37" t="str">
        <f>IF($Z818="","",IF($Z818&lt;=2000,IF(INDEX(包装物料出入库明细!$R$4:$R$2003,$Z818-0)=0,"",INDEX(包装物料出入库明细!$R$4:$R$2003,$Z818-0)),IF($Z818&lt;=4000,IF(INDEX(周转筐出入库明细!$W$4:$W$2004,$Z818-2000)=0,"",INDEX(周转筐出入库明细!$W$4:$W$2004,$Z818-2000)),IF($Z818&lt;=5200,IF(INDEX(客户自备加工筐明细!$L$4:$L$1203,$Z818-4000)=0,"",INDEX(客户自备加工筐明细!$L$4:$L$1203,$Z818-4000)),IF($Z818&lt;=5800,IF(INDEX(次果筐明细!$P$4:$P$603,$Z818-5200)=0,"",INDEX(次果筐明细!$P$4:$P$603,$Z818-5200)),"")))))</f>
        <v/>
      </c>
      <c r="N818" s="16" t="str">
        <f>IF($Z818="","",IF($Z818&lt;=2000,"",IF($Z818&lt;=4000,IF(INDEX(周转筐出入库明细!$D$4:$D$2004,$Z818-2000)=0,"",INDEX(周转筐出入库明细!$D$4:$D$2004,$Z818-2000)),IF($Z818&lt;=5200,IF(INDEX(客户自备加工筐明细!$C$4:$C$1203,$Z818-4000)=0,"",INDEX(客户自备加工筐明细!$C$4:$C$1203,$Z818-4000)),IF($Z818&lt;=5800,IF(INDEX(次果筐明细!$D$4:$D$603,$Z818-5200)=0,"",INDEX(次果筐明细!$D$4:$D$603,$Z818-5200)),"")))))</f>
        <v/>
      </c>
      <c r="O818" s="40" t="str">
        <f>IF($Z818="","",IF($Z818&lt;=2000,"",IF($Z818&lt;=4000,IF(N(INDEX(周转筐出入库明细!$J$4:$J$2004,$Z818-2000))+N(INDEX(周转筐出入库明细!$K$4:$K$2004,$Z818-2000))=0,"",N(INDEX(周转筐出入库明细!$J$4:$J$2004,$Z818-2000))+N(INDEX(周转筐出入库明细!$K$4:$K$2004,$Z818-2000))),IF($Z818&lt;=5200,IF(N(INDEX(客户自备加工筐明细!$G$4:$G$1203,$Z818-4000))=0,"",N(INDEX(客户自备加工筐明细!$G$4:$G$1203,$Z818-4000))),IF($Z818&lt;=5800,IF(ISNUMBER(SEARCH("退",INDEX(次果筐明细!$F$4:$F$603,$Z818-5200)&amp;"")),"",IF(N(INDEX(次果筐明细!$G$4:$G$603,$Z818-5200))=0,"",N(INDEX(次果筐明细!$G$4:$G$603,$Z818-5200)))),"")))))</f>
        <v/>
      </c>
      <c r="P818" s="40" t="str">
        <f>IF($Z818="","",IF($Z818&lt;=2000,"",IF($Z818&lt;=4000,IF(N(INDEX(周转筐出入库明细!$I$4:$I$2004,$Z818-2000))=0,"",N(INDEX(周转筐出入库明细!$I$4:$I$2004,$Z818-2000))),IF($Z818&lt;=5200,"",IF($Z818&lt;=5800,IF(ISNUMBER(SEARCH("退",INDEX(次果筐明细!$F$4:$F$603,$Z818-5200)&amp;"")),IF(N(INDEX(次果筐明细!$G$4:$G$603,$Z818-5200))=0,"",N(INDEX(次果筐明细!$G$4:$G$603,$Z818-5200))),""),"")))))</f>
        <v/>
      </c>
      <c r="Q818" s="40" t="str">
        <f>IF($Z818="","",IF($Z818&lt;=2000,"",IF($Z818&lt;=4000,IF(N(INDEX(周转筐出入库明细!$H$4:$H$2004,$Z818-2000))=0,"",N(INDEX(周转筐出入库明细!$H$4:$H$2004,$Z818-2000))),IF($Z818&lt;=5200,IF(N(INDEX(客户自备加工筐明细!$F$4:$F$1203,$Z818-4000))=0,"",N(INDEX(客户自备加工筐明细!$F$4:$F$1203,$Z818-4000))),IF($Z818&lt;=5800,"","")))))</f>
        <v/>
      </c>
      <c r="R818" s="16" t="str">
        <f>IF($Z818="","",IF($Z818&lt;=2000,IF(INDEX(包装物料出入库明细!$O$4:$O$2003,$Z818-0)=0,"",INDEX(包装物料出入库明细!$O$4:$O$2003,$Z818-0)),IF($Z818&lt;=4000,IF(INDEX(周转筐出入库明细!$M$4:$M$2004,$Z818-2000)=0,"",INDEX(周转筐出入库明细!$M$4:$M$2004,$Z818-2000)),IF($Z818&lt;=5200,IF(INDEX(客户自备加工筐明细!$H$4:$H$1203,$Z818-4000)=0,"",INDEX(客户自备加工筐明细!$H$4:$H$1203,$Z818-4000)),IF($Z818&lt;=5800,IF(INDEX(次果筐明细!$H$4:$H$603,$Z818-5200)=0,"",INDEX(次果筐明细!$H$4:$H$603,$Z818-5200)),"")))))</f>
        <v/>
      </c>
      <c r="S818" s="22" t="str">
        <f t="shared" si="38"/>
        <v/>
      </c>
      <c r="Z818" s="10" t="str">
        <f>IFERROR(MATCH(ROW()-3,_自动清单!$CQ$4:$CQ$5803,0),"")</f>
        <v/>
      </c>
    </row>
    <row r="819" spans="1:26">
      <c r="A819" s="24" t="str">
        <f t="shared" si="36"/>
        <v/>
      </c>
      <c r="B819" s="38" t="str">
        <f>IF($Z819="","",IF($Z819&lt;=2000,IF(INDEX(包装物料出入库明细!$B$4:$B$2003,$Z819-0)=0,"",INDEX(包装物料出入库明细!$B$4:$B$2003,$Z819-0)),IF($Z819&lt;=4000,IF(INDEX(周转筐出入库明细!$B$4:$B$2004,$Z819-2000)=0,"",INDEX(周转筐出入库明细!$B$4:$B$2004,$Z819-2000)),IF($Z819&lt;=5200,IF(INDEX(客户自备加工筐明细!$B$4:$B$1203,$Z819-4000)=0,"",INDEX(客户自备加工筐明细!$B$4:$B$1203,$Z819-4000)),IF($Z819&lt;=5800,IF(INDEX(次果筐明细!$B$4:$B$603,$Z819-5200)=0,"",INDEX(次果筐明细!$B$4:$B$603,$Z819-5200)),"")))))</f>
        <v/>
      </c>
      <c r="C819" s="37" t="str">
        <f>IF($Z819="","",IF($Z819&lt;=2000,IF(INDEX(包装物料出入库明细!$D$4:$D$2003,$Z819-0)=0,"",INDEX(包装物料出入库明细!$D$4:$D$2003,$Z819-0)),IF($Z819&lt;=4000,IF(INDEX(周转筐出入库明细!$C$4:$C$2004,$Z819-2000)=0,"",INDEX(周转筐出入库明细!$C$4:$C$2004,$Z819-2000)),IF($Z819&lt;=5200,IF(INDEX(客户自备加工筐明细!$E$4:$E$1203,$Z819-4000)=0,"",INDEX(客户自备加工筐明细!$E$4:$E$1203,$Z819-4000)),IF($Z819&lt;=5800,IF(INDEX(次果筐明细!$C$4:$C$603,$Z819-5200)=0,"",INDEX(次果筐明细!$C$4:$C$603,$Z819-5200)),"")))))</f>
        <v/>
      </c>
      <c r="D819" s="37" t="str">
        <f>IF($Z819="","",IF($Z819&lt;=2000,"包装物料－"&amp;INDEX(包装物料出入库明细!$H$4:$H$2003,$Z819-0),IF($Z819&lt;=4000,"周转筐－"&amp;INDEX(周转筐出入库明细!$F$4:$F$2004,$Z819-2000),IF($Z819&lt;=5200,"客户自备筐－"&amp;INDEX(客户自备加工筐明细!$J$4:$J$1203,$Z819-4000),IF($Z819&lt;=5800,"次果筐/托盘－"&amp;INDEX(次果筐明细!$F$4:$F$603,$Z819-5200),"")))))</f>
        <v/>
      </c>
      <c r="E819" s="24" t="str">
        <f>IF($Z819="","",IF($Z819&lt;=2000,IF(INDEX(包装物料出入库明细!$C$4:$C$2003,$Z819-0)=0,"",INDEX(包装物料出入库明细!$C$4:$C$2003,$Z819-0)),IF($Z819&lt;=4000,IF(INDEX(周转筐出入库明细!$E$4:$E$2004,$Z819-2000)=0,"",INDEX(周转筐出入库明细!$E$4:$E$2004,$Z819-2000)),IF($Z819&lt;=5200,IF(INDEX(客户自备加工筐明细!$D$4:$D$1203,$Z819-4000)=0,"",INDEX(客户自备加工筐明细!$D$4:$D$1203,$Z819-4000)),IF($Z819&lt;=5800,IF(INDEX(次果筐明细!$E$4:$E$603,$Z819-5200)=0,"",INDEX(次果筐明细!$E$4:$E$603,$Z819-5200)),"")))))</f>
        <v/>
      </c>
      <c r="F819" s="24" t="str">
        <f>IF($Z819="","",IF($Z819&lt;=2000,IF(INDEX(包装物料出入库明细!$E$4:$E$2003,$Z819-0)=0,"",INDEX(包装物料出入库明细!$E$4:$E$2003,$Z819-0)),IF($Z819&lt;=4000,IF(INDEX(周转筐出入库明细!$D$4:$D$2004,$Z819-2000)=0,"",INDEX(周转筐出入库明细!$D$4:$D$2004,$Z819-2000)),IF($Z819&lt;=5200,IF(INDEX(客户自备加工筐明细!$C$4:$C$1203,$Z819-4000)=0,"",INDEX(客户自备加工筐明细!$C$4:$C$1203,$Z819-4000)),IF($Z819&lt;=5800,IF(INDEX(次果筐明细!$D$4:$D$603,$Z819-5200)=0,"",INDEX(次果筐明细!$D$4:$D$603,$Z819-5200)),"")))))</f>
        <v/>
      </c>
      <c r="G819" s="24" t="str">
        <f>IF($Z819="","",IF($Z819&lt;=2000,IF(INDEX(包装物料出入库明细!$F$4:$F$2003,$Z819-0)=0,"",INDEX(包装物料出入库明细!$F$4:$F$2003,$Z819-0)),IF($Z819&lt;=4000,"",IF($Z819&lt;=5200,"",IF($Z819&lt;=5800,"","")))))</f>
        <v/>
      </c>
      <c r="H819" s="39" t="str">
        <f>IF($Z819="","",IF($Z819&lt;=2000,IF(INDEX(包装物料出入库明细!$L$4:$L$2003,$Z819-0)=0,"",INDEX(包装物料出入库明细!$L$4:$L$2003,$Z819-0)),IF($Z819&lt;=4000,N(INDEX(周转筐出入库明细!$H$4:$H$2004,$Z819-2000))+N(INDEX(周转筐出入库明细!$I$4:$I$2004,$Z819-2000))+N(INDEX(周转筐出入库明细!$J$4:$J$2004,$Z819-2000))+N(INDEX(周转筐出入库明细!$K$4:$K$2004,$Z819-2000)),IF($Z819&lt;=5200,N(INDEX(客户自备加工筐明细!$F$4:$F$1203,$Z819-4000))+N(INDEX(客户自备加工筐明细!$G$4:$G$1203,$Z819-4000)),IF($Z819&lt;=5800,IF(INDEX(次果筐明细!$G$4:$G$603,$Z819-5200)=0,"",INDEX(次果筐明细!$G$4:$G$603,$Z819-5200)),"")))))</f>
        <v/>
      </c>
      <c r="I819" s="24" t="str">
        <f>IF($Z819="","",IF($Z819&lt;=2000,IF(INDEX(包装物料出入库明细!$G$4:$G$2003,$Z819-0)=0,"",INDEX(包装物料出入库明细!$G$4:$G$2003,$Z819-0)),IF($Z819&lt;=4000,"个",IF($Z819&lt;=5200,"个",IF($Z819&lt;=5800,"个","")))))</f>
        <v/>
      </c>
      <c r="J819" s="30" t="str">
        <f t="shared" si="37"/>
        <v/>
      </c>
      <c r="K819" s="30" t="str">
        <f>IF($Z819="","",IF($Z819&lt;=2000,IF(INDEX(包装物料出入库明细!$N$4:$N$2003,$Z819-0)=0,"",INDEX(包装物料出入库明细!$N$4:$N$2003,$Z819-0)),IF($Z819&lt;=4000,IF(INDEX(周转筐出入库明细!$P$4:$P$2004,$Z819-2000)=0,"",INDEX(周转筐出入库明细!$P$4:$P$2004,$Z819-2000)),IF($Z819&lt;=5200,"",IF($Z819&lt;=5800,N(INDEX(次果筐明细!$L$4:$L$603,$Z819-5200))+N(INDEX(次果筐明细!$J$4:$J$603,$Z819-5200)),"")))))</f>
        <v/>
      </c>
      <c r="L819" s="24" t="str">
        <f>IF($Z819="","",IF($Z819&lt;=2000,IF(INDEX(包装物料出入库明细!$P$4:$P$2003,$Z819-0)=0,"",INDEX(包装物料出入库明细!$P$4:$P$2003,$Z819-0)),IF($Z819&lt;=4000,IF(INDEX(周转筐出入库明细!$Q$4:$Q$2004,$Z819-2000)=0,"",INDEX(周转筐出入库明细!$Q$4:$Q$2004,$Z819-2000)),IF($Z819&lt;=5200,"",IF($Z819&lt;=5800,IF(INDEX(次果筐明细!$M$4:$M$603,$Z819-5200)=0,"",INDEX(次果筐明细!$M$4:$M$603,$Z819-5200)),"")))))</f>
        <v/>
      </c>
      <c r="M819" s="37" t="str">
        <f>IF($Z819="","",IF($Z819&lt;=2000,IF(INDEX(包装物料出入库明细!$R$4:$R$2003,$Z819-0)=0,"",INDEX(包装物料出入库明细!$R$4:$R$2003,$Z819-0)),IF($Z819&lt;=4000,IF(INDEX(周转筐出入库明细!$W$4:$W$2004,$Z819-2000)=0,"",INDEX(周转筐出入库明细!$W$4:$W$2004,$Z819-2000)),IF($Z819&lt;=5200,IF(INDEX(客户自备加工筐明细!$L$4:$L$1203,$Z819-4000)=0,"",INDEX(客户自备加工筐明细!$L$4:$L$1203,$Z819-4000)),IF($Z819&lt;=5800,IF(INDEX(次果筐明细!$P$4:$P$603,$Z819-5200)=0,"",INDEX(次果筐明细!$P$4:$P$603,$Z819-5200)),"")))))</f>
        <v/>
      </c>
      <c r="N819" s="16" t="str">
        <f>IF($Z819="","",IF($Z819&lt;=2000,"",IF($Z819&lt;=4000,IF(INDEX(周转筐出入库明细!$D$4:$D$2004,$Z819-2000)=0,"",INDEX(周转筐出入库明细!$D$4:$D$2004,$Z819-2000)),IF($Z819&lt;=5200,IF(INDEX(客户自备加工筐明细!$C$4:$C$1203,$Z819-4000)=0,"",INDEX(客户自备加工筐明细!$C$4:$C$1203,$Z819-4000)),IF($Z819&lt;=5800,IF(INDEX(次果筐明细!$D$4:$D$603,$Z819-5200)=0,"",INDEX(次果筐明细!$D$4:$D$603,$Z819-5200)),"")))))</f>
        <v/>
      </c>
      <c r="O819" s="40" t="str">
        <f>IF($Z819="","",IF($Z819&lt;=2000,"",IF($Z819&lt;=4000,IF(N(INDEX(周转筐出入库明细!$J$4:$J$2004,$Z819-2000))+N(INDEX(周转筐出入库明细!$K$4:$K$2004,$Z819-2000))=0,"",N(INDEX(周转筐出入库明细!$J$4:$J$2004,$Z819-2000))+N(INDEX(周转筐出入库明细!$K$4:$K$2004,$Z819-2000))),IF($Z819&lt;=5200,IF(N(INDEX(客户自备加工筐明细!$G$4:$G$1203,$Z819-4000))=0,"",N(INDEX(客户自备加工筐明细!$G$4:$G$1203,$Z819-4000))),IF($Z819&lt;=5800,IF(ISNUMBER(SEARCH("退",INDEX(次果筐明细!$F$4:$F$603,$Z819-5200)&amp;"")),"",IF(N(INDEX(次果筐明细!$G$4:$G$603,$Z819-5200))=0,"",N(INDEX(次果筐明细!$G$4:$G$603,$Z819-5200)))),"")))))</f>
        <v/>
      </c>
      <c r="P819" s="40" t="str">
        <f>IF($Z819="","",IF($Z819&lt;=2000,"",IF($Z819&lt;=4000,IF(N(INDEX(周转筐出入库明细!$I$4:$I$2004,$Z819-2000))=0,"",N(INDEX(周转筐出入库明细!$I$4:$I$2004,$Z819-2000))),IF($Z819&lt;=5200,"",IF($Z819&lt;=5800,IF(ISNUMBER(SEARCH("退",INDEX(次果筐明细!$F$4:$F$603,$Z819-5200)&amp;"")),IF(N(INDEX(次果筐明细!$G$4:$G$603,$Z819-5200))=0,"",N(INDEX(次果筐明细!$G$4:$G$603,$Z819-5200))),""),"")))))</f>
        <v/>
      </c>
      <c r="Q819" s="40" t="str">
        <f>IF($Z819="","",IF($Z819&lt;=2000,"",IF($Z819&lt;=4000,IF(N(INDEX(周转筐出入库明细!$H$4:$H$2004,$Z819-2000))=0,"",N(INDEX(周转筐出入库明细!$H$4:$H$2004,$Z819-2000))),IF($Z819&lt;=5200,IF(N(INDEX(客户自备加工筐明细!$F$4:$F$1203,$Z819-4000))=0,"",N(INDEX(客户自备加工筐明细!$F$4:$F$1203,$Z819-4000))),IF($Z819&lt;=5800,"","")))))</f>
        <v/>
      </c>
      <c r="R819" s="16" t="str">
        <f>IF($Z819="","",IF($Z819&lt;=2000,IF(INDEX(包装物料出入库明细!$O$4:$O$2003,$Z819-0)=0,"",INDEX(包装物料出入库明细!$O$4:$O$2003,$Z819-0)),IF($Z819&lt;=4000,IF(INDEX(周转筐出入库明细!$M$4:$M$2004,$Z819-2000)=0,"",INDEX(周转筐出入库明细!$M$4:$M$2004,$Z819-2000)),IF($Z819&lt;=5200,IF(INDEX(客户自备加工筐明细!$H$4:$H$1203,$Z819-4000)=0,"",INDEX(客户自备加工筐明细!$H$4:$H$1203,$Z819-4000)),IF($Z819&lt;=5800,IF(INDEX(次果筐明细!$H$4:$H$603,$Z819-5200)=0,"",INDEX(次果筐明细!$H$4:$H$603,$Z819-5200)),"")))))</f>
        <v/>
      </c>
      <c r="S819" s="22" t="str">
        <f t="shared" si="38"/>
        <v/>
      </c>
      <c r="Z819" s="10" t="str">
        <f>IFERROR(MATCH(ROW()-3,_自动清单!$CQ$4:$CQ$5803,0),"")</f>
        <v/>
      </c>
    </row>
    <row r="820" spans="1:26">
      <c r="A820" s="24" t="str">
        <f t="shared" si="36"/>
        <v/>
      </c>
      <c r="B820" s="38" t="str">
        <f>IF($Z820="","",IF($Z820&lt;=2000,IF(INDEX(包装物料出入库明细!$B$4:$B$2003,$Z820-0)=0,"",INDEX(包装物料出入库明细!$B$4:$B$2003,$Z820-0)),IF($Z820&lt;=4000,IF(INDEX(周转筐出入库明细!$B$4:$B$2004,$Z820-2000)=0,"",INDEX(周转筐出入库明细!$B$4:$B$2004,$Z820-2000)),IF($Z820&lt;=5200,IF(INDEX(客户自备加工筐明细!$B$4:$B$1203,$Z820-4000)=0,"",INDEX(客户自备加工筐明细!$B$4:$B$1203,$Z820-4000)),IF($Z820&lt;=5800,IF(INDEX(次果筐明细!$B$4:$B$603,$Z820-5200)=0,"",INDEX(次果筐明细!$B$4:$B$603,$Z820-5200)),"")))))</f>
        <v/>
      </c>
      <c r="C820" s="37" t="str">
        <f>IF($Z820="","",IF($Z820&lt;=2000,IF(INDEX(包装物料出入库明细!$D$4:$D$2003,$Z820-0)=0,"",INDEX(包装物料出入库明细!$D$4:$D$2003,$Z820-0)),IF($Z820&lt;=4000,IF(INDEX(周转筐出入库明细!$C$4:$C$2004,$Z820-2000)=0,"",INDEX(周转筐出入库明细!$C$4:$C$2004,$Z820-2000)),IF($Z820&lt;=5200,IF(INDEX(客户自备加工筐明细!$E$4:$E$1203,$Z820-4000)=0,"",INDEX(客户自备加工筐明细!$E$4:$E$1203,$Z820-4000)),IF($Z820&lt;=5800,IF(INDEX(次果筐明细!$C$4:$C$603,$Z820-5200)=0,"",INDEX(次果筐明细!$C$4:$C$603,$Z820-5200)),"")))))</f>
        <v/>
      </c>
      <c r="D820" s="37" t="str">
        <f>IF($Z820="","",IF($Z820&lt;=2000,"包装物料－"&amp;INDEX(包装物料出入库明细!$H$4:$H$2003,$Z820-0),IF($Z820&lt;=4000,"周转筐－"&amp;INDEX(周转筐出入库明细!$F$4:$F$2004,$Z820-2000),IF($Z820&lt;=5200,"客户自备筐－"&amp;INDEX(客户自备加工筐明细!$J$4:$J$1203,$Z820-4000),IF($Z820&lt;=5800,"次果筐/托盘－"&amp;INDEX(次果筐明细!$F$4:$F$603,$Z820-5200),"")))))</f>
        <v/>
      </c>
      <c r="E820" s="24" t="str">
        <f>IF($Z820="","",IF($Z820&lt;=2000,IF(INDEX(包装物料出入库明细!$C$4:$C$2003,$Z820-0)=0,"",INDEX(包装物料出入库明细!$C$4:$C$2003,$Z820-0)),IF($Z820&lt;=4000,IF(INDEX(周转筐出入库明细!$E$4:$E$2004,$Z820-2000)=0,"",INDEX(周转筐出入库明细!$E$4:$E$2004,$Z820-2000)),IF($Z820&lt;=5200,IF(INDEX(客户自备加工筐明细!$D$4:$D$1203,$Z820-4000)=0,"",INDEX(客户自备加工筐明细!$D$4:$D$1203,$Z820-4000)),IF($Z820&lt;=5800,IF(INDEX(次果筐明细!$E$4:$E$603,$Z820-5200)=0,"",INDEX(次果筐明细!$E$4:$E$603,$Z820-5200)),"")))))</f>
        <v/>
      </c>
      <c r="F820" s="24" t="str">
        <f>IF($Z820="","",IF($Z820&lt;=2000,IF(INDEX(包装物料出入库明细!$E$4:$E$2003,$Z820-0)=0,"",INDEX(包装物料出入库明细!$E$4:$E$2003,$Z820-0)),IF($Z820&lt;=4000,IF(INDEX(周转筐出入库明细!$D$4:$D$2004,$Z820-2000)=0,"",INDEX(周转筐出入库明细!$D$4:$D$2004,$Z820-2000)),IF($Z820&lt;=5200,IF(INDEX(客户自备加工筐明细!$C$4:$C$1203,$Z820-4000)=0,"",INDEX(客户自备加工筐明细!$C$4:$C$1203,$Z820-4000)),IF($Z820&lt;=5800,IF(INDEX(次果筐明细!$D$4:$D$603,$Z820-5200)=0,"",INDEX(次果筐明细!$D$4:$D$603,$Z820-5200)),"")))))</f>
        <v/>
      </c>
      <c r="G820" s="24" t="str">
        <f>IF($Z820="","",IF($Z820&lt;=2000,IF(INDEX(包装物料出入库明细!$F$4:$F$2003,$Z820-0)=0,"",INDEX(包装物料出入库明细!$F$4:$F$2003,$Z820-0)),IF($Z820&lt;=4000,"",IF($Z820&lt;=5200,"",IF($Z820&lt;=5800,"","")))))</f>
        <v/>
      </c>
      <c r="H820" s="39" t="str">
        <f>IF($Z820="","",IF($Z820&lt;=2000,IF(INDEX(包装物料出入库明细!$L$4:$L$2003,$Z820-0)=0,"",INDEX(包装物料出入库明细!$L$4:$L$2003,$Z820-0)),IF($Z820&lt;=4000,N(INDEX(周转筐出入库明细!$H$4:$H$2004,$Z820-2000))+N(INDEX(周转筐出入库明细!$I$4:$I$2004,$Z820-2000))+N(INDEX(周转筐出入库明细!$J$4:$J$2004,$Z820-2000))+N(INDEX(周转筐出入库明细!$K$4:$K$2004,$Z820-2000)),IF($Z820&lt;=5200,N(INDEX(客户自备加工筐明细!$F$4:$F$1203,$Z820-4000))+N(INDEX(客户自备加工筐明细!$G$4:$G$1203,$Z820-4000)),IF($Z820&lt;=5800,IF(INDEX(次果筐明细!$G$4:$G$603,$Z820-5200)=0,"",INDEX(次果筐明细!$G$4:$G$603,$Z820-5200)),"")))))</f>
        <v/>
      </c>
      <c r="I820" s="24" t="str">
        <f>IF($Z820="","",IF($Z820&lt;=2000,IF(INDEX(包装物料出入库明细!$G$4:$G$2003,$Z820-0)=0,"",INDEX(包装物料出入库明细!$G$4:$G$2003,$Z820-0)),IF($Z820&lt;=4000,"个",IF($Z820&lt;=5200,"个",IF($Z820&lt;=5800,"个","")))))</f>
        <v/>
      </c>
      <c r="J820" s="30" t="str">
        <f t="shared" si="37"/>
        <v/>
      </c>
      <c r="K820" s="30" t="str">
        <f>IF($Z820="","",IF($Z820&lt;=2000,IF(INDEX(包装物料出入库明细!$N$4:$N$2003,$Z820-0)=0,"",INDEX(包装物料出入库明细!$N$4:$N$2003,$Z820-0)),IF($Z820&lt;=4000,IF(INDEX(周转筐出入库明细!$P$4:$P$2004,$Z820-2000)=0,"",INDEX(周转筐出入库明细!$P$4:$P$2004,$Z820-2000)),IF($Z820&lt;=5200,"",IF($Z820&lt;=5800,N(INDEX(次果筐明细!$L$4:$L$603,$Z820-5200))+N(INDEX(次果筐明细!$J$4:$J$603,$Z820-5200)),"")))))</f>
        <v/>
      </c>
      <c r="L820" s="24" t="str">
        <f>IF($Z820="","",IF($Z820&lt;=2000,IF(INDEX(包装物料出入库明细!$P$4:$P$2003,$Z820-0)=0,"",INDEX(包装物料出入库明细!$P$4:$P$2003,$Z820-0)),IF($Z820&lt;=4000,IF(INDEX(周转筐出入库明细!$Q$4:$Q$2004,$Z820-2000)=0,"",INDEX(周转筐出入库明细!$Q$4:$Q$2004,$Z820-2000)),IF($Z820&lt;=5200,"",IF($Z820&lt;=5800,IF(INDEX(次果筐明细!$M$4:$M$603,$Z820-5200)=0,"",INDEX(次果筐明细!$M$4:$M$603,$Z820-5200)),"")))))</f>
        <v/>
      </c>
      <c r="M820" s="37" t="str">
        <f>IF($Z820="","",IF($Z820&lt;=2000,IF(INDEX(包装物料出入库明细!$R$4:$R$2003,$Z820-0)=0,"",INDEX(包装物料出入库明细!$R$4:$R$2003,$Z820-0)),IF($Z820&lt;=4000,IF(INDEX(周转筐出入库明细!$W$4:$W$2004,$Z820-2000)=0,"",INDEX(周转筐出入库明细!$W$4:$W$2004,$Z820-2000)),IF($Z820&lt;=5200,IF(INDEX(客户自备加工筐明细!$L$4:$L$1203,$Z820-4000)=0,"",INDEX(客户自备加工筐明细!$L$4:$L$1203,$Z820-4000)),IF($Z820&lt;=5800,IF(INDEX(次果筐明细!$P$4:$P$603,$Z820-5200)=0,"",INDEX(次果筐明细!$P$4:$P$603,$Z820-5200)),"")))))</f>
        <v/>
      </c>
      <c r="N820" s="16" t="str">
        <f>IF($Z820="","",IF($Z820&lt;=2000,"",IF($Z820&lt;=4000,IF(INDEX(周转筐出入库明细!$D$4:$D$2004,$Z820-2000)=0,"",INDEX(周转筐出入库明细!$D$4:$D$2004,$Z820-2000)),IF($Z820&lt;=5200,IF(INDEX(客户自备加工筐明细!$C$4:$C$1203,$Z820-4000)=0,"",INDEX(客户自备加工筐明细!$C$4:$C$1203,$Z820-4000)),IF($Z820&lt;=5800,IF(INDEX(次果筐明细!$D$4:$D$603,$Z820-5200)=0,"",INDEX(次果筐明细!$D$4:$D$603,$Z820-5200)),"")))))</f>
        <v/>
      </c>
      <c r="O820" s="40" t="str">
        <f>IF($Z820="","",IF($Z820&lt;=2000,"",IF($Z820&lt;=4000,IF(N(INDEX(周转筐出入库明细!$J$4:$J$2004,$Z820-2000))+N(INDEX(周转筐出入库明细!$K$4:$K$2004,$Z820-2000))=0,"",N(INDEX(周转筐出入库明细!$J$4:$J$2004,$Z820-2000))+N(INDEX(周转筐出入库明细!$K$4:$K$2004,$Z820-2000))),IF($Z820&lt;=5200,IF(N(INDEX(客户自备加工筐明细!$G$4:$G$1203,$Z820-4000))=0,"",N(INDEX(客户自备加工筐明细!$G$4:$G$1203,$Z820-4000))),IF($Z820&lt;=5800,IF(ISNUMBER(SEARCH("退",INDEX(次果筐明细!$F$4:$F$603,$Z820-5200)&amp;"")),"",IF(N(INDEX(次果筐明细!$G$4:$G$603,$Z820-5200))=0,"",N(INDEX(次果筐明细!$G$4:$G$603,$Z820-5200)))),"")))))</f>
        <v/>
      </c>
      <c r="P820" s="40" t="str">
        <f>IF($Z820="","",IF($Z820&lt;=2000,"",IF($Z820&lt;=4000,IF(N(INDEX(周转筐出入库明细!$I$4:$I$2004,$Z820-2000))=0,"",N(INDEX(周转筐出入库明细!$I$4:$I$2004,$Z820-2000))),IF($Z820&lt;=5200,"",IF($Z820&lt;=5800,IF(ISNUMBER(SEARCH("退",INDEX(次果筐明细!$F$4:$F$603,$Z820-5200)&amp;"")),IF(N(INDEX(次果筐明细!$G$4:$G$603,$Z820-5200))=0,"",N(INDEX(次果筐明细!$G$4:$G$603,$Z820-5200))),""),"")))))</f>
        <v/>
      </c>
      <c r="Q820" s="40" t="str">
        <f>IF($Z820="","",IF($Z820&lt;=2000,"",IF($Z820&lt;=4000,IF(N(INDEX(周转筐出入库明细!$H$4:$H$2004,$Z820-2000))=0,"",N(INDEX(周转筐出入库明细!$H$4:$H$2004,$Z820-2000))),IF($Z820&lt;=5200,IF(N(INDEX(客户自备加工筐明细!$F$4:$F$1203,$Z820-4000))=0,"",N(INDEX(客户自备加工筐明细!$F$4:$F$1203,$Z820-4000))),IF($Z820&lt;=5800,"","")))))</f>
        <v/>
      </c>
      <c r="R820" s="16" t="str">
        <f>IF($Z820="","",IF($Z820&lt;=2000,IF(INDEX(包装物料出入库明细!$O$4:$O$2003,$Z820-0)=0,"",INDEX(包装物料出入库明细!$O$4:$O$2003,$Z820-0)),IF($Z820&lt;=4000,IF(INDEX(周转筐出入库明细!$M$4:$M$2004,$Z820-2000)=0,"",INDEX(周转筐出入库明细!$M$4:$M$2004,$Z820-2000)),IF($Z820&lt;=5200,IF(INDEX(客户自备加工筐明细!$H$4:$H$1203,$Z820-4000)=0,"",INDEX(客户自备加工筐明细!$H$4:$H$1203,$Z820-4000)),IF($Z820&lt;=5800,IF(INDEX(次果筐明细!$H$4:$H$603,$Z820-5200)=0,"",INDEX(次果筐明细!$H$4:$H$603,$Z820-5200)),"")))))</f>
        <v/>
      </c>
      <c r="S820" s="22" t="str">
        <f t="shared" si="38"/>
        <v/>
      </c>
      <c r="Z820" s="10" t="str">
        <f>IFERROR(MATCH(ROW()-3,_自动清单!$CQ$4:$CQ$5803,0),"")</f>
        <v/>
      </c>
    </row>
    <row r="821" spans="1:26">
      <c r="A821" s="24" t="str">
        <f t="shared" si="36"/>
        <v/>
      </c>
      <c r="B821" s="38" t="str">
        <f>IF($Z821="","",IF($Z821&lt;=2000,IF(INDEX(包装物料出入库明细!$B$4:$B$2003,$Z821-0)=0,"",INDEX(包装物料出入库明细!$B$4:$B$2003,$Z821-0)),IF($Z821&lt;=4000,IF(INDEX(周转筐出入库明细!$B$4:$B$2004,$Z821-2000)=0,"",INDEX(周转筐出入库明细!$B$4:$B$2004,$Z821-2000)),IF($Z821&lt;=5200,IF(INDEX(客户自备加工筐明细!$B$4:$B$1203,$Z821-4000)=0,"",INDEX(客户自备加工筐明细!$B$4:$B$1203,$Z821-4000)),IF($Z821&lt;=5800,IF(INDEX(次果筐明细!$B$4:$B$603,$Z821-5200)=0,"",INDEX(次果筐明细!$B$4:$B$603,$Z821-5200)),"")))))</f>
        <v/>
      </c>
      <c r="C821" s="37" t="str">
        <f>IF($Z821="","",IF($Z821&lt;=2000,IF(INDEX(包装物料出入库明细!$D$4:$D$2003,$Z821-0)=0,"",INDEX(包装物料出入库明细!$D$4:$D$2003,$Z821-0)),IF($Z821&lt;=4000,IF(INDEX(周转筐出入库明细!$C$4:$C$2004,$Z821-2000)=0,"",INDEX(周转筐出入库明细!$C$4:$C$2004,$Z821-2000)),IF($Z821&lt;=5200,IF(INDEX(客户自备加工筐明细!$E$4:$E$1203,$Z821-4000)=0,"",INDEX(客户自备加工筐明细!$E$4:$E$1203,$Z821-4000)),IF($Z821&lt;=5800,IF(INDEX(次果筐明细!$C$4:$C$603,$Z821-5200)=0,"",INDEX(次果筐明细!$C$4:$C$603,$Z821-5200)),"")))))</f>
        <v/>
      </c>
      <c r="D821" s="37" t="str">
        <f>IF($Z821="","",IF($Z821&lt;=2000,"包装物料－"&amp;INDEX(包装物料出入库明细!$H$4:$H$2003,$Z821-0),IF($Z821&lt;=4000,"周转筐－"&amp;INDEX(周转筐出入库明细!$F$4:$F$2004,$Z821-2000),IF($Z821&lt;=5200,"客户自备筐－"&amp;INDEX(客户自备加工筐明细!$J$4:$J$1203,$Z821-4000),IF($Z821&lt;=5800,"次果筐/托盘－"&amp;INDEX(次果筐明细!$F$4:$F$603,$Z821-5200),"")))))</f>
        <v/>
      </c>
      <c r="E821" s="24" t="str">
        <f>IF($Z821="","",IF($Z821&lt;=2000,IF(INDEX(包装物料出入库明细!$C$4:$C$2003,$Z821-0)=0,"",INDEX(包装物料出入库明细!$C$4:$C$2003,$Z821-0)),IF($Z821&lt;=4000,IF(INDEX(周转筐出入库明细!$E$4:$E$2004,$Z821-2000)=0,"",INDEX(周转筐出入库明细!$E$4:$E$2004,$Z821-2000)),IF($Z821&lt;=5200,IF(INDEX(客户自备加工筐明细!$D$4:$D$1203,$Z821-4000)=0,"",INDEX(客户自备加工筐明细!$D$4:$D$1203,$Z821-4000)),IF($Z821&lt;=5800,IF(INDEX(次果筐明细!$E$4:$E$603,$Z821-5200)=0,"",INDEX(次果筐明细!$E$4:$E$603,$Z821-5200)),"")))))</f>
        <v/>
      </c>
      <c r="F821" s="24" t="str">
        <f>IF($Z821="","",IF($Z821&lt;=2000,IF(INDEX(包装物料出入库明细!$E$4:$E$2003,$Z821-0)=0,"",INDEX(包装物料出入库明细!$E$4:$E$2003,$Z821-0)),IF($Z821&lt;=4000,IF(INDEX(周转筐出入库明细!$D$4:$D$2004,$Z821-2000)=0,"",INDEX(周转筐出入库明细!$D$4:$D$2004,$Z821-2000)),IF($Z821&lt;=5200,IF(INDEX(客户自备加工筐明细!$C$4:$C$1203,$Z821-4000)=0,"",INDEX(客户自备加工筐明细!$C$4:$C$1203,$Z821-4000)),IF($Z821&lt;=5800,IF(INDEX(次果筐明细!$D$4:$D$603,$Z821-5200)=0,"",INDEX(次果筐明细!$D$4:$D$603,$Z821-5200)),"")))))</f>
        <v/>
      </c>
      <c r="G821" s="24" t="str">
        <f>IF($Z821="","",IF($Z821&lt;=2000,IF(INDEX(包装物料出入库明细!$F$4:$F$2003,$Z821-0)=0,"",INDEX(包装物料出入库明细!$F$4:$F$2003,$Z821-0)),IF($Z821&lt;=4000,"",IF($Z821&lt;=5200,"",IF($Z821&lt;=5800,"","")))))</f>
        <v/>
      </c>
      <c r="H821" s="39" t="str">
        <f>IF($Z821="","",IF($Z821&lt;=2000,IF(INDEX(包装物料出入库明细!$L$4:$L$2003,$Z821-0)=0,"",INDEX(包装物料出入库明细!$L$4:$L$2003,$Z821-0)),IF($Z821&lt;=4000,N(INDEX(周转筐出入库明细!$H$4:$H$2004,$Z821-2000))+N(INDEX(周转筐出入库明细!$I$4:$I$2004,$Z821-2000))+N(INDEX(周转筐出入库明细!$J$4:$J$2004,$Z821-2000))+N(INDEX(周转筐出入库明细!$K$4:$K$2004,$Z821-2000)),IF($Z821&lt;=5200,N(INDEX(客户自备加工筐明细!$F$4:$F$1203,$Z821-4000))+N(INDEX(客户自备加工筐明细!$G$4:$G$1203,$Z821-4000)),IF($Z821&lt;=5800,IF(INDEX(次果筐明细!$G$4:$G$603,$Z821-5200)=0,"",INDEX(次果筐明细!$G$4:$G$603,$Z821-5200)),"")))))</f>
        <v/>
      </c>
      <c r="I821" s="24" t="str">
        <f>IF($Z821="","",IF($Z821&lt;=2000,IF(INDEX(包装物料出入库明细!$G$4:$G$2003,$Z821-0)=0,"",INDEX(包装物料出入库明细!$G$4:$G$2003,$Z821-0)),IF($Z821&lt;=4000,"个",IF($Z821&lt;=5200,"个",IF($Z821&lt;=5800,"个","")))))</f>
        <v/>
      </c>
      <c r="J821" s="30" t="str">
        <f t="shared" si="37"/>
        <v/>
      </c>
      <c r="K821" s="30" t="str">
        <f>IF($Z821="","",IF($Z821&lt;=2000,IF(INDEX(包装物料出入库明细!$N$4:$N$2003,$Z821-0)=0,"",INDEX(包装物料出入库明细!$N$4:$N$2003,$Z821-0)),IF($Z821&lt;=4000,IF(INDEX(周转筐出入库明细!$P$4:$P$2004,$Z821-2000)=0,"",INDEX(周转筐出入库明细!$P$4:$P$2004,$Z821-2000)),IF($Z821&lt;=5200,"",IF($Z821&lt;=5800,N(INDEX(次果筐明细!$L$4:$L$603,$Z821-5200))+N(INDEX(次果筐明细!$J$4:$J$603,$Z821-5200)),"")))))</f>
        <v/>
      </c>
      <c r="L821" s="24" t="str">
        <f>IF($Z821="","",IF($Z821&lt;=2000,IF(INDEX(包装物料出入库明细!$P$4:$P$2003,$Z821-0)=0,"",INDEX(包装物料出入库明细!$P$4:$P$2003,$Z821-0)),IF($Z821&lt;=4000,IF(INDEX(周转筐出入库明细!$Q$4:$Q$2004,$Z821-2000)=0,"",INDEX(周转筐出入库明细!$Q$4:$Q$2004,$Z821-2000)),IF($Z821&lt;=5200,"",IF($Z821&lt;=5800,IF(INDEX(次果筐明细!$M$4:$M$603,$Z821-5200)=0,"",INDEX(次果筐明细!$M$4:$M$603,$Z821-5200)),"")))))</f>
        <v/>
      </c>
      <c r="M821" s="37" t="str">
        <f>IF($Z821="","",IF($Z821&lt;=2000,IF(INDEX(包装物料出入库明细!$R$4:$R$2003,$Z821-0)=0,"",INDEX(包装物料出入库明细!$R$4:$R$2003,$Z821-0)),IF($Z821&lt;=4000,IF(INDEX(周转筐出入库明细!$W$4:$W$2004,$Z821-2000)=0,"",INDEX(周转筐出入库明细!$W$4:$W$2004,$Z821-2000)),IF($Z821&lt;=5200,IF(INDEX(客户自备加工筐明细!$L$4:$L$1203,$Z821-4000)=0,"",INDEX(客户自备加工筐明细!$L$4:$L$1203,$Z821-4000)),IF($Z821&lt;=5800,IF(INDEX(次果筐明细!$P$4:$P$603,$Z821-5200)=0,"",INDEX(次果筐明细!$P$4:$P$603,$Z821-5200)),"")))))</f>
        <v/>
      </c>
      <c r="N821" s="16" t="str">
        <f>IF($Z821="","",IF($Z821&lt;=2000,"",IF($Z821&lt;=4000,IF(INDEX(周转筐出入库明细!$D$4:$D$2004,$Z821-2000)=0,"",INDEX(周转筐出入库明细!$D$4:$D$2004,$Z821-2000)),IF($Z821&lt;=5200,IF(INDEX(客户自备加工筐明细!$C$4:$C$1203,$Z821-4000)=0,"",INDEX(客户自备加工筐明细!$C$4:$C$1203,$Z821-4000)),IF($Z821&lt;=5800,IF(INDEX(次果筐明细!$D$4:$D$603,$Z821-5200)=0,"",INDEX(次果筐明细!$D$4:$D$603,$Z821-5200)),"")))))</f>
        <v/>
      </c>
      <c r="O821" s="40" t="str">
        <f>IF($Z821="","",IF($Z821&lt;=2000,"",IF($Z821&lt;=4000,IF(N(INDEX(周转筐出入库明细!$J$4:$J$2004,$Z821-2000))+N(INDEX(周转筐出入库明细!$K$4:$K$2004,$Z821-2000))=0,"",N(INDEX(周转筐出入库明细!$J$4:$J$2004,$Z821-2000))+N(INDEX(周转筐出入库明细!$K$4:$K$2004,$Z821-2000))),IF($Z821&lt;=5200,IF(N(INDEX(客户自备加工筐明细!$G$4:$G$1203,$Z821-4000))=0,"",N(INDEX(客户自备加工筐明细!$G$4:$G$1203,$Z821-4000))),IF($Z821&lt;=5800,IF(ISNUMBER(SEARCH("退",INDEX(次果筐明细!$F$4:$F$603,$Z821-5200)&amp;"")),"",IF(N(INDEX(次果筐明细!$G$4:$G$603,$Z821-5200))=0,"",N(INDEX(次果筐明细!$G$4:$G$603,$Z821-5200)))),"")))))</f>
        <v/>
      </c>
      <c r="P821" s="40" t="str">
        <f>IF($Z821="","",IF($Z821&lt;=2000,"",IF($Z821&lt;=4000,IF(N(INDEX(周转筐出入库明细!$I$4:$I$2004,$Z821-2000))=0,"",N(INDEX(周转筐出入库明细!$I$4:$I$2004,$Z821-2000))),IF($Z821&lt;=5200,"",IF($Z821&lt;=5800,IF(ISNUMBER(SEARCH("退",INDEX(次果筐明细!$F$4:$F$603,$Z821-5200)&amp;"")),IF(N(INDEX(次果筐明细!$G$4:$G$603,$Z821-5200))=0,"",N(INDEX(次果筐明细!$G$4:$G$603,$Z821-5200))),""),"")))))</f>
        <v/>
      </c>
      <c r="Q821" s="40" t="str">
        <f>IF($Z821="","",IF($Z821&lt;=2000,"",IF($Z821&lt;=4000,IF(N(INDEX(周转筐出入库明细!$H$4:$H$2004,$Z821-2000))=0,"",N(INDEX(周转筐出入库明细!$H$4:$H$2004,$Z821-2000))),IF($Z821&lt;=5200,IF(N(INDEX(客户自备加工筐明细!$F$4:$F$1203,$Z821-4000))=0,"",N(INDEX(客户自备加工筐明细!$F$4:$F$1203,$Z821-4000))),IF($Z821&lt;=5800,"","")))))</f>
        <v/>
      </c>
      <c r="R821" s="16" t="str">
        <f>IF($Z821="","",IF($Z821&lt;=2000,IF(INDEX(包装物料出入库明细!$O$4:$O$2003,$Z821-0)=0,"",INDEX(包装物料出入库明细!$O$4:$O$2003,$Z821-0)),IF($Z821&lt;=4000,IF(INDEX(周转筐出入库明细!$M$4:$M$2004,$Z821-2000)=0,"",INDEX(周转筐出入库明细!$M$4:$M$2004,$Z821-2000)),IF($Z821&lt;=5200,IF(INDEX(客户自备加工筐明细!$H$4:$H$1203,$Z821-4000)=0,"",INDEX(客户自备加工筐明细!$H$4:$H$1203,$Z821-4000)),IF($Z821&lt;=5800,IF(INDEX(次果筐明细!$H$4:$H$603,$Z821-5200)=0,"",INDEX(次果筐明细!$H$4:$H$603,$Z821-5200)),"")))))</f>
        <v/>
      </c>
      <c r="S821" s="22" t="str">
        <f t="shared" si="38"/>
        <v/>
      </c>
      <c r="Z821" s="10" t="str">
        <f>IFERROR(MATCH(ROW()-3,_自动清单!$CQ$4:$CQ$5803,0),"")</f>
        <v/>
      </c>
    </row>
    <row r="822" spans="1:26">
      <c r="A822" s="24" t="str">
        <f t="shared" si="36"/>
        <v/>
      </c>
      <c r="B822" s="38" t="str">
        <f>IF($Z822="","",IF($Z822&lt;=2000,IF(INDEX(包装物料出入库明细!$B$4:$B$2003,$Z822-0)=0,"",INDEX(包装物料出入库明细!$B$4:$B$2003,$Z822-0)),IF($Z822&lt;=4000,IF(INDEX(周转筐出入库明细!$B$4:$B$2004,$Z822-2000)=0,"",INDEX(周转筐出入库明细!$B$4:$B$2004,$Z822-2000)),IF($Z822&lt;=5200,IF(INDEX(客户自备加工筐明细!$B$4:$B$1203,$Z822-4000)=0,"",INDEX(客户自备加工筐明细!$B$4:$B$1203,$Z822-4000)),IF($Z822&lt;=5800,IF(INDEX(次果筐明细!$B$4:$B$603,$Z822-5200)=0,"",INDEX(次果筐明细!$B$4:$B$603,$Z822-5200)),"")))))</f>
        <v/>
      </c>
      <c r="C822" s="37" t="str">
        <f>IF($Z822="","",IF($Z822&lt;=2000,IF(INDEX(包装物料出入库明细!$D$4:$D$2003,$Z822-0)=0,"",INDEX(包装物料出入库明细!$D$4:$D$2003,$Z822-0)),IF($Z822&lt;=4000,IF(INDEX(周转筐出入库明细!$C$4:$C$2004,$Z822-2000)=0,"",INDEX(周转筐出入库明细!$C$4:$C$2004,$Z822-2000)),IF($Z822&lt;=5200,IF(INDEX(客户自备加工筐明细!$E$4:$E$1203,$Z822-4000)=0,"",INDEX(客户自备加工筐明细!$E$4:$E$1203,$Z822-4000)),IF($Z822&lt;=5800,IF(INDEX(次果筐明细!$C$4:$C$603,$Z822-5200)=0,"",INDEX(次果筐明细!$C$4:$C$603,$Z822-5200)),"")))))</f>
        <v/>
      </c>
      <c r="D822" s="37" t="str">
        <f>IF($Z822="","",IF($Z822&lt;=2000,"包装物料－"&amp;INDEX(包装物料出入库明细!$H$4:$H$2003,$Z822-0),IF($Z822&lt;=4000,"周转筐－"&amp;INDEX(周转筐出入库明细!$F$4:$F$2004,$Z822-2000),IF($Z822&lt;=5200,"客户自备筐－"&amp;INDEX(客户自备加工筐明细!$J$4:$J$1203,$Z822-4000),IF($Z822&lt;=5800,"次果筐/托盘－"&amp;INDEX(次果筐明细!$F$4:$F$603,$Z822-5200),"")))))</f>
        <v/>
      </c>
      <c r="E822" s="24" t="str">
        <f>IF($Z822="","",IF($Z822&lt;=2000,IF(INDEX(包装物料出入库明细!$C$4:$C$2003,$Z822-0)=0,"",INDEX(包装物料出入库明细!$C$4:$C$2003,$Z822-0)),IF($Z822&lt;=4000,IF(INDEX(周转筐出入库明细!$E$4:$E$2004,$Z822-2000)=0,"",INDEX(周转筐出入库明细!$E$4:$E$2004,$Z822-2000)),IF($Z822&lt;=5200,IF(INDEX(客户自备加工筐明细!$D$4:$D$1203,$Z822-4000)=0,"",INDEX(客户自备加工筐明细!$D$4:$D$1203,$Z822-4000)),IF($Z822&lt;=5800,IF(INDEX(次果筐明细!$E$4:$E$603,$Z822-5200)=0,"",INDEX(次果筐明细!$E$4:$E$603,$Z822-5200)),"")))))</f>
        <v/>
      </c>
      <c r="F822" s="24" t="str">
        <f>IF($Z822="","",IF($Z822&lt;=2000,IF(INDEX(包装物料出入库明细!$E$4:$E$2003,$Z822-0)=0,"",INDEX(包装物料出入库明细!$E$4:$E$2003,$Z822-0)),IF($Z822&lt;=4000,IF(INDEX(周转筐出入库明细!$D$4:$D$2004,$Z822-2000)=0,"",INDEX(周转筐出入库明细!$D$4:$D$2004,$Z822-2000)),IF($Z822&lt;=5200,IF(INDEX(客户自备加工筐明细!$C$4:$C$1203,$Z822-4000)=0,"",INDEX(客户自备加工筐明细!$C$4:$C$1203,$Z822-4000)),IF($Z822&lt;=5800,IF(INDEX(次果筐明细!$D$4:$D$603,$Z822-5200)=0,"",INDEX(次果筐明细!$D$4:$D$603,$Z822-5200)),"")))))</f>
        <v/>
      </c>
      <c r="G822" s="24" t="str">
        <f>IF($Z822="","",IF($Z822&lt;=2000,IF(INDEX(包装物料出入库明细!$F$4:$F$2003,$Z822-0)=0,"",INDEX(包装物料出入库明细!$F$4:$F$2003,$Z822-0)),IF($Z822&lt;=4000,"",IF($Z822&lt;=5200,"",IF($Z822&lt;=5800,"","")))))</f>
        <v/>
      </c>
      <c r="H822" s="39" t="str">
        <f>IF($Z822="","",IF($Z822&lt;=2000,IF(INDEX(包装物料出入库明细!$L$4:$L$2003,$Z822-0)=0,"",INDEX(包装物料出入库明细!$L$4:$L$2003,$Z822-0)),IF($Z822&lt;=4000,N(INDEX(周转筐出入库明细!$H$4:$H$2004,$Z822-2000))+N(INDEX(周转筐出入库明细!$I$4:$I$2004,$Z822-2000))+N(INDEX(周转筐出入库明细!$J$4:$J$2004,$Z822-2000))+N(INDEX(周转筐出入库明细!$K$4:$K$2004,$Z822-2000)),IF($Z822&lt;=5200,N(INDEX(客户自备加工筐明细!$F$4:$F$1203,$Z822-4000))+N(INDEX(客户自备加工筐明细!$G$4:$G$1203,$Z822-4000)),IF($Z822&lt;=5800,IF(INDEX(次果筐明细!$G$4:$G$603,$Z822-5200)=0,"",INDEX(次果筐明细!$G$4:$G$603,$Z822-5200)),"")))))</f>
        <v/>
      </c>
      <c r="I822" s="24" t="str">
        <f>IF($Z822="","",IF($Z822&lt;=2000,IF(INDEX(包装物料出入库明细!$G$4:$G$2003,$Z822-0)=0,"",INDEX(包装物料出入库明细!$G$4:$G$2003,$Z822-0)),IF($Z822&lt;=4000,"个",IF($Z822&lt;=5200,"个",IF($Z822&lt;=5800,"个","")))))</f>
        <v/>
      </c>
      <c r="J822" s="30" t="str">
        <f t="shared" si="37"/>
        <v/>
      </c>
      <c r="K822" s="30" t="str">
        <f>IF($Z822="","",IF($Z822&lt;=2000,IF(INDEX(包装物料出入库明细!$N$4:$N$2003,$Z822-0)=0,"",INDEX(包装物料出入库明细!$N$4:$N$2003,$Z822-0)),IF($Z822&lt;=4000,IF(INDEX(周转筐出入库明细!$P$4:$P$2004,$Z822-2000)=0,"",INDEX(周转筐出入库明细!$P$4:$P$2004,$Z822-2000)),IF($Z822&lt;=5200,"",IF($Z822&lt;=5800,N(INDEX(次果筐明细!$L$4:$L$603,$Z822-5200))+N(INDEX(次果筐明细!$J$4:$J$603,$Z822-5200)),"")))))</f>
        <v/>
      </c>
      <c r="L822" s="24" t="str">
        <f>IF($Z822="","",IF($Z822&lt;=2000,IF(INDEX(包装物料出入库明细!$P$4:$P$2003,$Z822-0)=0,"",INDEX(包装物料出入库明细!$P$4:$P$2003,$Z822-0)),IF($Z822&lt;=4000,IF(INDEX(周转筐出入库明细!$Q$4:$Q$2004,$Z822-2000)=0,"",INDEX(周转筐出入库明细!$Q$4:$Q$2004,$Z822-2000)),IF($Z822&lt;=5200,"",IF($Z822&lt;=5800,IF(INDEX(次果筐明细!$M$4:$M$603,$Z822-5200)=0,"",INDEX(次果筐明细!$M$4:$M$603,$Z822-5200)),"")))))</f>
        <v/>
      </c>
      <c r="M822" s="37" t="str">
        <f>IF($Z822="","",IF($Z822&lt;=2000,IF(INDEX(包装物料出入库明细!$R$4:$R$2003,$Z822-0)=0,"",INDEX(包装物料出入库明细!$R$4:$R$2003,$Z822-0)),IF($Z822&lt;=4000,IF(INDEX(周转筐出入库明细!$W$4:$W$2004,$Z822-2000)=0,"",INDEX(周转筐出入库明细!$W$4:$W$2004,$Z822-2000)),IF($Z822&lt;=5200,IF(INDEX(客户自备加工筐明细!$L$4:$L$1203,$Z822-4000)=0,"",INDEX(客户自备加工筐明细!$L$4:$L$1203,$Z822-4000)),IF($Z822&lt;=5800,IF(INDEX(次果筐明细!$P$4:$P$603,$Z822-5200)=0,"",INDEX(次果筐明细!$P$4:$P$603,$Z822-5200)),"")))))</f>
        <v/>
      </c>
      <c r="N822" s="16" t="str">
        <f>IF($Z822="","",IF($Z822&lt;=2000,"",IF($Z822&lt;=4000,IF(INDEX(周转筐出入库明细!$D$4:$D$2004,$Z822-2000)=0,"",INDEX(周转筐出入库明细!$D$4:$D$2004,$Z822-2000)),IF($Z822&lt;=5200,IF(INDEX(客户自备加工筐明细!$C$4:$C$1203,$Z822-4000)=0,"",INDEX(客户自备加工筐明细!$C$4:$C$1203,$Z822-4000)),IF($Z822&lt;=5800,IF(INDEX(次果筐明细!$D$4:$D$603,$Z822-5200)=0,"",INDEX(次果筐明细!$D$4:$D$603,$Z822-5200)),"")))))</f>
        <v/>
      </c>
      <c r="O822" s="40" t="str">
        <f>IF($Z822="","",IF($Z822&lt;=2000,"",IF($Z822&lt;=4000,IF(N(INDEX(周转筐出入库明细!$J$4:$J$2004,$Z822-2000))+N(INDEX(周转筐出入库明细!$K$4:$K$2004,$Z822-2000))=0,"",N(INDEX(周转筐出入库明细!$J$4:$J$2004,$Z822-2000))+N(INDEX(周转筐出入库明细!$K$4:$K$2004,$Z822-2000))),IF($Z822&lt;=5200,IF(N(INDEX(客户自备加工筐明细!$G$4:$G$1203,$Z822-4000))=0,"",N(INDEX(客户自备加工筐明细!$G$4:$G$1203,$Z822-4000))),IF($Z822&lt;=5800,IF(ISNUMBER(SEARCH("退",INDEX(次果筐明细!$F$4:$F$603,$Z822-5200)&amp;"")),"",IF(N(INDEX(次果筐明细!$G$4:$G$603,$Z822-5200))=0,"",N(INDEX(次果筐明细!$G$4:$G$603,$Z822-5200)))),"")))))</f>
        <v/>
      </c>
      <c r="P822" s="40" t="str">
        <f>IF($Z822="","",IF($Z822&lt;=2000,"",IF($Z822&lt;=4000,IF(N(INDEX(周转筐出入库明细!$I$4:$I$2004,$Z822-2000))=0,"",N(INDEX(周转筐出入库明细!$I$4:$I$2004,$Z822-2000))),IF($Z822&lt;=5200,"",IF($Z822&lt;=5800,IF(ISNUMBER(SEARCH("退",INDEX(次果筐明细!$F$4:$F$603,$Z822-5200)&amp;"")),IF(N(INDEX(次果筐明细!$G$4:$G$603,$Z822-5200))=0,"",N(INDEX(次果筐明细!$G$4:$G$603,$Z822-5200))),""),"")))))</f>
        <v/>
      </c>
      <c r="Q822" s="40" t="str">
        <f>IF($Z822="","",IF($Z822&lt;=2000,"",IF($Z822&lt;=4000,IF(N(INDEX(周转筐出入库明细!$H$4:$H$2004,$Z822-2000))=0,"",N(INDEX(周转筐出入库明细!$H$4:$H$2004,$Z822-2000))),IF($Z822&lt;=5200,IF(N(INDEX(客户自备加工筐明细!$F$4:$F$1203,$Z822-4000))=0,"",N(INDEX(客户自备加工筐明细!$F$4:$F$1203,$Z822-4000))),IF($Z822&lt;=5800,"","")))))</f>
        <v/>
      </c>
      <c r="R822" s="16" t="str">
        <f>IF($Z822="","",IF($Z822&lt;=2000,IF(INDEX(包装物料出入库明细!$O$4:$O$2003,$Z822-0)=0,"",INDEX(包装物料出入库明细!$O$4:$O$2003,$Z822-0)),IF($Z822&lt;=4000,IF(INDEX(周转筐出入库明细!$M$4:$M$2004,$Z822-2000)=0,"",INDEX(周转筐出入库明细!$M$4:$M$2004,$Z822-2000)),IF($Z822&lt;=5200,IF(INDEX(客户自备加工筐明细!$H$4:$H$1203,$Z822-4000)=0,"",INDEX(客户自备加工筐明细!$H$4:$H$1203,$Z822-4000)),IF($Z822&lt;=5800,IF(INDEX(次果筐明细!$H$4:$H$603,$Z822-5200)=0,"",INDEX(次果筐明细!$H$4:$H$603,$Z822-5200)),"")))))</f>
        <v/>
      </c>
      <c r="S822" s="22" t="str">
        <f t="shared" si="38"/>
        <v/>
      </c>
      <c r="Z822" s="10" t="str">
        <f>IFERROR(MATCH(ROW()-3,_自动清单!$CQ$4:$CQ$5803,0),"")</f>
        <v/>
      </c>
    </row>
    <row r="823" spans="1:26">
      <c r="A823" s="24" t="str">
        <f t="shared" si="36"/>
        <v/>
      </c>
      <c r="B823" s="38" t="str">
        <f>IF($Z823="","",IF($Z823&lt;=2000,IF(INDEX(包装物料出入库明细!$B$4:$B$2003,$Z823-0)=0,"",INDEX(包装物料出入库明细!$B$4:$B$2003,$Z823-0)),IF($Z823&lt;=4000,IF(INDEX(周转筐出入库明细!$B$4:$B$2004,$Z823-2000)=0,"",INDEX(周转筐出入库明细!$B$4:$B$2004,$Z823-2000)),IF($Z823&lt;=5200,IF(INDEX(客户自备加工筐明细!$B$4:$B$1203,$Z823-4000)=0,"",INDEX(客户自备加工筐明细!$B$4:$B$1203,$Z823-4000)),IF($Z823&lt;=5800,IF(INDEX(次果筐明细!$B$4:$B$603,$Z823-5200)=0,"",INDEX(次果筐明细!$B$4:$B$603,$Z823-5200)),"")))))</f>
        <v/>
      </c>
      <c r="C823" s="37" t="str">
        <f>IF($Z823="","",IF($Z823&lt;=2000,IF(INDEX(包装物料出入库明细!$D$4:$D$2003,$Z823-0)=0,"",INDEX(包装物料出入库明细!$D$4:$D$2003,$Z823-0)),IF($Z823&lt;=4000,IF(INDEX(周转筐出入库明细!$C$4:$C$2004,$Z823-2000)=0,"",INDEX(周转筐出入库明细!$C$4:$C$2004,$Z823-2000)),IF($Z823&lt;=5200,IF(INDEX(客户自备加工筐明细!$E$4:$E$1203,$Z823-4000)=0,"",INDEX(客户自备加工筐明细!$E$4:$E$1203,$Z823-4000)),IF($Z823&lt;=5800,IF(INDEX(次果筐明细!$C$4:$C$603,$Z823-5200)=0,"",INDEX(次果筐明细!$C$4:$C$603,$Z823-5200)),"")))))</f>
        <v/>
      </c>
      <c r="D823" s="37" t="str">
        <f>IF($Z823="","",IF($Z823&lt;=2000,"包装物料－"&amp;INDEX(包装物料出入库明细!$H$4:$H$2003,$Z823-0),IF($Z823&lt;=4000,"周转筐－"&amp;INDEX(周转筐出入库明细!$F$4:$F$2004,$Z823-2000),IF($Z823&lt;=5200,"客户自备筐－"&amp;INDEX(客户自备加工筐明细!$J$4:$J$1203,$Z823-4000),IF($Z823&lt;=5800,"次果筐/托盘－"&amp;INDEX(次果筐明细!$F$4:$F$603,$Z823-5200),"")))))</f>
        <v/>
      </c>
      <c r="E823" s="24" t="str">
        <f>IF($Z823="","",IF($Z823&lt;=2000,IF(INDEX(包装物料出入库明细!$C$4:$C$2003,$Z823-0)=0,"",INDEX(包装物料出入库明细!$C$4:$C$2003,$Z823-0)),IF($Z823&lt;=4000,IF(INDEX(周转筐出入库明细!$E$4:$E$2004,$Z823-2000)=0,"",INDEX(周转筐出入库明细!$E$4:$E$2004,$Z823-2000)),IF($Z823&lt;=5200,IF(INDEX(客户自备加工筐明细!$D$4:$D$1203,$Z823-4000)=0,"",INDEX(客户自备加工筐明细!$D$4:$D$1203,$Z823-4000)),IF($Z823&lt;=5800,IF(INDEX(次果筐明细!$E$4:$E$603,$Z823-5200)=0,"",INDEX(次果筐明细!$E$4:$E$603,$Z823-5200)),"")))))</f>
        <v/>
      </c>
      <c r="F823" s="24" t="str">
        <f>IF($Z823="","",IF($Z823&lt;=2000,IF(INDEX(包装物料出入库明细!$E$4:$E$2003,$Z823-0)=0,"",INDEX(包装物料出入库明细!$E$4:$E$2003,$Z823-0)),IF($Z823&lt;=4000,IF(INDEX(周转筐出入库明细!$D$4:$D$2004,$Z823-2000)=0,"",INDEX(周转筐出入库明细!$D$4:$D$2004,$Z823-2000)),IF($Z823&lt;=5200,IF(INDEX(客户自备加工筐明细!$C$4:$C$1203,$Z823-4000)=0,"",INDEX(客户自备加工筐明细!$C$4:$C$1203,$Z823-4000)),IF($Z823&lt;=5800,IF(INDEX(次果筐明细!$D$4:$D$603,$Z823-5200)=0,"",INDEX(次果筐明细!$D$4:$D$603,$Z823-5200)),"")))))</f>
        <v/>
      </c>
      <c r="G823" s="24" t="str">
        <f>IF($Z823="","",IF($Z823&lt;=2000,IF(INDEX(包装物料出入库明细!$F$4:$F$2003,$Z823-0)=0,"",INDEX(包装物料出入库明细!$F$4:$F$2003,$Z823-0)),IF($Z823&lt;=4000,"",IF($Z823&lt;=5200,"",IF($Z823&lt;=5800,"","")))))</f>
        <v/>
      </c>
      <c r="H823" s="39" t="str">
        <f>IF($Z823="","",IF($Z823&lt;=2000,IF(INDEX(包装物料出入库明细!$L$4:$L$2003,$Z823-0)=0,"",INDEX(包装物料出入库明细!$L$4:$L$2003,$Z823-0)),IF($Z823&lt;=4000,N(INDEX(周转筐出入库明细!$H$4:$H$2004,$Z823-2000))+N(INDEX(周转筐出入库明细!$I$4:$I$2004,$Z823-2000))+N(INDEX(周转筐出入库明细!$J$4:$J$2004,$Z823-2000))+N(INDEX(周转筐出入库明细!$K$4:$K$2004,$Z823-2000)),IF($Z823&lt;=5200,N(INDEX(客户自备加工筐明细!$F$4:$F$1203,$Z823-4000))+N(INDEX(客户自备加工筐明细!$G$4:$G$1203,$Z823-4000)),IF($Z823&lt;=5800,IF(INDEX(次果筐明细!$G$4:$G$603,$Z823-5200)=0,"",INDEX(次果筐明细!$G$4:$G$603,$Z823-5200)),"")))))</f>
        <v/>
      </c>
      <c r="I823" s="24" t="str">
        <f>IF($Z823="","",IF($Z823&lt;=2000,IF(INDEX(包装物料出入库明细!$G$4:$G$2003,$Z823-0)=0,"",INDEX(包装物料出入库明细!$G$4:$G$2003,$Z823-0)),IF($Z823&lt;=4000,"个",IF($Z823&lt;=5200,"个",IF($Z823&lt;=5800,"个","")))))</f>
        <v/>
      </c>
      <c r="J823" s="30" t="str">
        <f t="shared" si="37"/>
        <v/>
      </c>
      <c r="K823" s="30" t="str">
        <f>IF($Z823="","",IF($Z823&lt;=2000,IF(INDEX(包装物料出入库明细!$N$4:$N$2003,$Z823-0)=0,"",INDEX(包装物料出入库明细!$N$4:$N$2003,$Z823-0)),IF($Z823&lt;=4000,IF(INDEX(周转筐出入库明细!$P$4:$P$2004,$Z823-2000)=0,"",INDEX(周转筐出入库明细!$P$4:$P$2004,$Z823-2000)),IF($Z823&lt;=5200,"",IF($Z823&lt;=5800,N(INDEX(次果筐明细!$L$4:$L$603,$Z823-5200))+N(INDEX(次果筐明细!$J$4:$J$603,$Z823-5200)),"")))))</f>
        <v/>
      </c>
      <c r="L823" s="24" t="str">
        <f>IF($Z823="","",IF($Z823&lt;=2000,IF(INDEX(包装物料出入库明细!$P$4:$P$2003,$Z823-0)=0,"",INDEX(包装物料出入库明细!$P$4:$P$2003,$Z823-0)),IF($Z823&lt;=4000,IF(INDEX(周转筐出入库明细!$Q$4:$Q$2004,$Z823-2000)=0,"",INDEX(周转筐出入库明细!$Q$4:$Q$2004,$Z823-2000)),IF($Z823&lt;=5200,"",IF($Z823&lt;=5800,IF(INDEX(次果筐明细!$M$4:$M$603,$Z823-5200)=0,"",INDEX(次果筐明细!$M$4:$M$603,$Z823-5200)),"")))))</f>
        <v/>
      </c>
      <c r="M823" s="37" t="str">
        <f>IF($Z823="","",IF($Z823&lt;=2000,IF(INDEX(包装物料出入库明细!$R$4:$R$2003,$Z823-0)=0,"",INDEX(包装物料出入库明细!$R$4:$R$2003,$Z823-0)),IF($Z823&lt;=4000,IF(INDEX(周转筐出入库明细!$W$4:$W$2004,$Z823-2000)=0,"",INDEX(周转筐出入库明细!$W$4:$W$2004,$Z823-2000)),IF($Z823&lt;=5200,IF(INDEX(客户自备加工筐明细!$L$4:$L$1203,$Z823-4000)=0,"",INDEX(客户自备加工筐明细!$L$4:$L$1203,$Z823-4000)),IF($Z823&lt;=5800,IF(INDEX(次果筐明细!$P$4:$P$603,$Z823-5200)=0,"",INDEX(次果筐明细!$P$4:$P$603,$Z823-5200)),"")))))</f>
        <v/>
      </c>
      <c r="N823" s="16" t="str">
        <f>IF($Z823="","",IF($Z823&lt;=2000,"",IF($Z823&lt;=4000,IF(INDEX(周转筐出入库明细!$D$4:$D$2004,$Z823-2000)=0,"",INDEX(周转筐出入库明细!$D$4:$D$2004,$Z823-2000)),IF($Z823&lt;=5200,IF(INDEX(客户自备加工筐明细!$C$4:$C$1203,$Z823-4000)=0,"",INDEX(客户自备加工筐明细!$C$4:$C$1203,$Z823-4000)),IF($Z823&lt;=5800,IF(INDEX(次果筐明细!$D$4:$D$603,$Z823-5200)=0,"",INDEX(次果筐明细!$D$4:$D$603,$Z823-5200)),"")))))</f>
        <v/>
      </c>
      <c r="O823" s="40" t="str">
        <f>IF($Z823="","",IF($Z823&lt;=2000,"",IF($Z823&lt;=4000,IF(N(INDEX(周转筐出入库明细!$J$4:$J$2004,$Z823-2000))+N(INDEX(周转筐出入库明细!$K$4:$K$2004,$Z823-2000))=0,"",N(INDEX(周转筐出入库明细!$J$4:$J$2004,$Z823-2000))+N(INDEX(周转筐出入库明细!$K$4:$K$2004,$Z823-2000))),IF($Z823&lt;=5200,IF(N(INDEX(客户自备加工筐明细!$G$4:$G$1203,$Z823-4000))=0,"",N(INDEX(客户自备加工筐明细!$G$4:$G$1203,$Z823-4000))),IF($Z823&lt;=5800,IF(ISNUMBER(SEARCH("退",INDEX(次果筐明细!$F$4:$F$603,$Z823-5200)&amp;"")),"",IF(N(INDEX(次果筐明细!$G$4:$G$603,$Z823-5200))=0,"",N(INDEX(次果筐明细!$G$4:$G$603,$Z823-5200)))),"")))))</f>
        <v/>
      </c>
      <c r="P823" s="40" t="str">
        <f>IF($Z823="","",IF($Z823&lt;=2000,"",IF($Z823&lt;=4000,IF(N(INDEX(周转筐出入库明细!$I$4:$I$2004,$Z823-2000))=0,"",N(INDEX(周转筐出入库明细!$I$4:$I$2004,$Z823-2000))),IF($Z823&lt;=5200,"",IF($Z823&lt;=5800,IF(ISNUMBER(SEARCH("退",INDEX(次果筐明细!$F$4:$F$603,$Z823-5200)&amp;"")),IF(N(INDEX(次果筐明细!$G$4:$G$603,$Z823-5200))=0,"",N(INDEX(次果筐明细!$G$4:$G$603,$Z823-5200))),""),"")))))</f>
        <v/>
      </c>
      <c r="Q823" s="40" t="str">
        <f>IF($Z823="","",IF($Z823&lt;=2000,"",IF($Z823&lt;=4000,IF(N(INDEX(周转筐出入库明细!$H$4:$H$2004,$Z823-2000))=0,"",N(INDEX(周转筐出入库明细!$H$4:$H$2004,$Z823-2000))),IF($Z823&lt;=5200,IF(N(INDEX(客户自备加工筐明细!$F$4:$F$1203,$Z823-4000))=0,"",N(INDEX(客户自备加工筐明细!$F$4:$F$1203,$Z823-4000))),IF($Z823&lt;=5800,"","")))))</f>
        <v/>
      </c>
      <c r="R823" s="16" t="str">
        <f>IF($Z823="","",IF($Z823&lt;=2000,IF(INDEX(包装物料出入库明细!$O$4:$O$2003,$Z823-0)=0,"",INDEX(包装物料出入库明细!$O$4:$O$2003,$Z823-0)),IF($Z823&lt;=4000,IF(INDEX(周转筐出入库明细!$M$4:$M$2004,$Z823-2000)=0,"",INDEX(周转筐出入库明细!$M$4:$M$2004,$Z823-2000)),IF($Z823&lt;=5200,IF(INDEX(客户自备加工筐明细!$H$4:$H$1203,$Z823-4000)=0,"",INDEX(客户自备加工筐明细!$H$4:$H$1203,$Z823-4000)),IF($Z823&lt;=5800,IF(INDEX(次果筐明细!$H$4:$H$603,$Z823-5200)=0,"",INDEX(次果筐明细!$H$4:$H$603,$Z823-5200)),"")))))</f>
        <v/>
      </c>
      <c r="S823" s="22" t="str">
        <f t="shared" si="38"/>
        <v/>
      </c>
      <c r="Z823" s="10" t="str">
        <f>IFERROR(MATCH(ROW()-3,_自动清单!$CQ$4:$CQ$5803,0),"")</f>
        <v/>
      </c>
    </row>
    <row r="824" spans="1:26">
      <c r="A824" s="24" t="str">
        <f t="shared" si="36"/>
        <v/>
      </c>
      <c r="B824" s="38" t="str">
        <f>IF($Z824="","",IF($Z824&lt;=2000,IF(INDEX(包装物料出入库明细!$B$4:$B$2003,$Z824-0)=0,"",INDEX(包装物料出入库明细!$B$4:$B$2003,$Z824-0)),IF($Z824&lt;=4000,IF(INDEX(周转筐出入库明细!$B$4:$B$2004,$Z824-2000)=0,"",INDEX(周转筐出入库明细!$B$4:$B$2004,$Z824-2000)),IF($Z824&lt;=5200,IF(INDEX(客户自备加工筐明细!$B$4:$B$1203,$Z824-4000)=0,"",INDEX(客户自备加工筐明细!$B$4:$B$1203,$Z824-4000)),IF($Z824&lt;=5800,IF(INDEX(次果筐明细!$B$4:$B$603,$Z824-5200)=0,"",INDEX(次果筐明细!$B$4:$B$603,$Z824-5200)),"")))))</f>
        <v/>
      </c>
      <c r="C824" s="37" t="str">
        <f>IF($Z824="","",IF($Z824&lt;=2000,IF(INDEX(包装物料出入库明细!$D$4:$D$2003,$Z824-0)=0,"",INDEX(包装物料出入库明细!$D$4:$D$2003,$Z824-0)),IF($Z824&lt;=4000,IF(INDEX(周转筐出入库明细!$C$4:$C$2004,$Z824-2000)=0,"",INDEX(周转筐出入库明细!$C$4:$C$2004,$Z824-2000)),IF($Z824&lt;=5200,IF(INDEX(客户自备加工筐明细!$E$4:$E$1203,$Z824-4000)=0,"",INDEX(客户自备加工筐明细!$E$4:$E$1203,$Z824-4000)),IF($Z824&lt;=5800,IF(INDEX(次果筐明细!$C$4:$C$603,$Z824-5200)=0,"",INDEX(次果筐明细!$C$4:$C$603,$Z824-5200)),"")))))</f>
        <v/>
      </c>
      <c r="D824" s="37" t="str">
        <f>IF($Z824="","",IF($Z824&lt;=2000,"包装物料－"&amp;INDEX(包装物料出入库明细!$H$4:$H$2003,$Z824-0),IF($Z824&lt;=4000,"周转筐－"&amp;INDEX(周转筐出入库明细!$F$4:$F$2004,$Z824-2000),IF($Z824&lt;=5200,"客户自备筐－"&amp;INDEX(客户自备加工筐明细!$J$4:$J$1203,$Z824-4000),IF($Z824&lt;=5800,"次果筐/托盘－"&amp;INDEX(次果筐明细!$F$4:$F$603,$Z824-5200),"")))))</f>
        <v/>
      </c>
      <c r="E824" s="24" t="str">
        <f>IF($Z824="","",IF($Z824&lt;=2000,IF(INDEX(包装物料出入库明细!$C$4:$C$2003,$Z824-0)=0,"",INDEX(包装物料出入库明细!$C$4:$C$2003,$Z824-0)),IF($Z824&lt;=4000,IF(INDEX(周转筐出入库明细!$E$4:$E$2004,$Z824-2000)=0,"",INDEX(周转筐出入库明细!$E$4:$E$2004,$Z824-2000)),IF($Z824&lt;=5200,IF(INDEX(客户自备加工筐明细!$D$4:$D$1203,$Z824-4000)=0,"",INDEX(客户自备加工筐明细!$D$4:$D$1203,$Z824-4000)),IF($Z824&lt;=5800,IF(INDEX(次果筐明细!$E$4:$E$603,$Z824-5200)=0,"",INDEX(次果筐明细!$E$4:$E$603,$Z824-5200)),"")))))</f>
        <v/>
      </c>
      <c r="F824" s="24" t="str">
        <f>IF($Z824="","",IF($Z824&lt;=2000,IF(INDEX(包装物料出入库明细!$E$4:$E$2003,$Z824-0)=0,"",INDEX(包装物料出入库明细!$E$4:$E$2003,$Z824-0)),IF($Z824&lt;=4000,IF(INDEX(周转筐出入库明细!$D$4:$D$2004,$Z824-2000)=0,"",INDEX(周转筐出入库明细!$D$4:$D$2004,$Z824-2000)),IF($Z824&lt;=5200,IF(INDEX(客户自备加工筐明细!$C$4:$C$1203,$Z824-4000)=0,"",INDEX(客户自备加工筐明细!$C$4:$C$1203,$Z824-4000)),IF($Z824&lt;=5800,IF(INDEX(次果筐明细!$D$4:$D$603,$Z824-5200)=0,"",INDEX(次果筐明细!$D$4:$D$603,$Z824-5200)),"")))))</f>
        <v/>
      </c>
      <c r="G824" s="24" t="str">
        <f>IF($Z824="","",IF($Z824&lt;=2000,IF(INDEX(包装物料出入库明细!$F$4:$F$2003,$Z824-0)=0,"",INDEX(包装物料出入库明细!$F$4:$F$2003,$Z824-0)),IF($Z824&lt;=4000,"",IF($Z824&lt;=5200,"",IF($Z824&lt;=5800,"","")))))</f>
        <v/>
      </c>
      <c r="H824" s="39" t="str">
        <f>IF($Z824="","",IF($Z824&lt;=2000,IF(INDEX(包装物料出入库明细!$L$4:$L$2003,$Z824-0)=0,"",INDEX(包装物料出入库明细!$L$4:$L$2003,$Z824-0)),IF($Z824&lt;=4000,N(INDEX(周转筐出入库明细!$H$4:$H$2004,$Z824-2000))+N(INDEX(周转筐出入库明细!$I$4:$I$2004,$Z824-2000))+N(INDEX(周转筐出入库明细!$J$4:$J$2004,$Z824-2000))+N(INDEX(周转筐出入库明细!$K$4:$K$2004,$Z824-2000)),IF($Z824&lt;=5200,N(INDEX(客户自备加工筐明细!$F$4:$F$1203,$Z824-4000))+N(INDEX(客户自备加工筐明细!$G$4:$G$1203,$Z824-4000)),IF($Z824&lt;=5800,IF(INDEX(次果筐明细!$G$4:$G$603,$Z824-5200)=0,"",INDEX(次果筐明细!$G$4:$G$603,$Z824-5200)),"")))))</f>
        <v/>
      </c>
      <c r="I824" s="24" t="str">
        <f>IF($Z824="","",IF($Z824&lt;=2000,IF(INDEX(包装物料出入库明细!$G$4:$G$2003,$Z824-0)=0,"",INDEX(包装物料出入库明细!$G$4:$G$2003,$Z824-0)),IF($Z824&lt;=4000,"个",IF($Z824&lt;=5200,"个",IF($Z824&lt;=5800,"个","")))))</f>
        <v/>
      </c>
      <c r="J824" s="30" t="str">
        <f t="shared" si="37"/>
        <v/>
      </c>
      <c r="K824" s="30" t="str">
        <f>IF($Z824="","",IF($Z824&lt;=2000,IF(INDEX(包装物料出入库明细!$N$4:$N$2003,$Z824-0)=0,"",INDEX(包装物料出入库明细!$N$4:$N$2003,$Z824-0)),IF($Z824&lt;=4000,IF(INDEX(周转筐出入库明细!$P$4:$P$2004,$Z824-2000)=0,"",INDEX(周转筐出入库明细!$P$4:$P$2004,$Z824-2000)),IF($Z824&lt;=5200,"",IF($Z824&lt;=5800,N(INDEX(次果筐明细!$L$4:$L$603,$Z824-5200))+N(INDEX(次果筐明细!$J$4:$J$603,$Z824-5200)),"")))))</f>
        <v/>
      </c>
      <c r="L824" s="24" t="str">
        <f>IF($Z824="","",IF($Z824&lt;=2000,IF(INDEX(包装物料出入库明细!$P$4:$P$2003,$Z824-0)=0,"",INDEX(包装物料出入库明细!$P$4:$P$2003,$Z824-0)),IF($Z824&lt;=4000,IF(INDEX(周转筐出入库明细!$Q$4:$Q$2004,$Z824-2000)=0,"",INDEX(周转筐出入库明细!$Q$4:$Q$2004,$Z824-2000)),IF($Z824&lt;=5200,"",IF($Z824&lt;=5800,IF(INDEX(次果筐明细!$M$4:$M$603,$Z824-5200)=0,"",INDEX(次果筐明细!$M$4:$M$603,$Z824-5200)),"")))))</f>
        <v/>
      </c>
      <c r="M824" s="37" t="str">
        <f>IF($Z824="","",IF($Z824&lt;=2000,IF(INDEX(包装物料出入库明细!$R$4:$R$2003,$Z824-0)=0,"",INDEX(包装物料出入库明细!$R$4:$R$2003,$Z824-0)),IF($Z824&lt;=4000,IF(INDEX(周转筐出入库明细!$W$4:$W$2004,$Z824-2000)=0,"",INDEX(周转筐出入库明细!$W$4:$W$2004,$Z824-2000)),IF($Z824&lt;=5200,IF(INDEX(客户自备加工筐明细!$L$4:$L$1203,$Z824-4000)=0,"",INDEX(客户自备加工筐明细!$L$4:$L$1203,$Z824-4000)),IF($Z824&lt;=5800,IF(INDEX(次果筐明细!$P$4:$P$603,$Z824-5200)=0,"",INDEX(次果筐明细!$P$4:$P$603,$Z824-5200)),"")))))</f>
        <v/>
      </c>
      <c r="N824" s="16" t="str">
        <f>IF($Z824="","",IF($Z824&lt;=2000,"",IF($Z824&lt;=4000,IF(INDEX(周转筐出入库明细!$D$4:$D$2004,$Z824-2000)=0,"",INDEX(周转筐出入库明细!$D$4:$D$2004,$Z824-2000)),IF($Z824&lt;=5200,IF(INDEX(客户自备加工筐明细!$C$4:$C$1203,$Z824-4000)=0,"",INDEX(客户自备加工筐明细!$C$4:$C$1203,$Z824-4000)),IF($Z824&lt;=5800,IF(INDEX(次果筐明细!$D$4:$D$603,$Z824-5200)=0,"",INDEX(次果筐明细!$D$4:$D$603,$Z824-5200)),"")))))</f>
        <v/>
      </c>
      <c r="O824" s="40" t="str">
        <f>IF($Z824="","",IF($Z824&lt;=2000,"",IF($Z824&lt;=4000,IF(N(INDEX(周转筐出入库明细!$J$4:$J$2004,$Z824-2000))+N(INDEX(周转筐出入库明细!$K$4:$K$2004,$Z824-2000))=0,"",N(INDEX(周转筐出入库明细!$J$4:$J$2004,$Z824-2000))+N(INDEX(周转筐出入库明细!$K$4:$K$2004,$Z824-2000))),IF($Z824&lt;=5200,IF(N(INDEX(客户自备加工筐明细!$G$4:$G$1203,$Z824-4000))=0,"",N(INDEX(客户自备加工筐明细!$G$4:$G$1203,$Z824-4000))),IF($Z824&lt;=5800,IF(ISNUMBER(SEARCH("退",INDEX(次果筐明细!$F$4:$F$603,$Z824-5200)&amp;"")),"",IF(N(INDEX(次果筐明细!$G$4:$G$603,$Z824-5200))=0,"",N(INDEX(次果筐明细!$G$4:$G$603,$Z824-5200)))),"")))))</f>
        <v/>
      </c>
      <c r="P824" s="40" t="str">
        <f>IF($Z824="","",IF($Z824&lt;=2000,"",IF($Z824&lt;=4000,IF(N(INDEX(周转筐出入库明细!$I$4:$I$2004,$Z824-2000))=0,"",N(INDEX(周转筐出入库明细!$I$4:$I$2004,$Z824-2000))),IF($Z824&lt;=5200,"",IF($Z824&lt;=5800,IF(ISNUMBER(SEARCH("退",INDEX(次果筐明细!$F$4:$F$603,$Z824-5200)&amp;"")),IF(N(INDEX(次果筐明细!$G$4:$G$603,$Z824-5200))=0,"",N(INDEX(次果筐明细!$G$4:$G$603,$Z824-5200))),""),"")))))</f>
        <v/>
      </c>
      <c r="Q824" s="40" t="str">
        <f>IF($Z824="","",IF($Z824&lt;=2000,"",IF($Z824&lt;=4000,IF(N(INDEX(周转筐出入库明细!$H$4:$H$2004,$Z824-2000))=0,"",N(INDEX(周转筐出入库明细!$H$4:$H$2004,$Z824-2000))),IF($Z824&lt;=5200,IF(N(INDEX(客户自备加工筐明细!$F$4:$F$1203,$Z824-4000))=0,"",N(INDEX(客户自备加工筐明细!$F$4:$F$1203,$Z824-4000))),IF($Z824&lt;=5800,"","")))))</f>
        <v/>
      </c>
      <c r="R824" s="16" t="str">
        <f>IF($Z824="","",IF($Z824&lt;=2000,IF(INDEX(包装物料出入库明细!$O$4:$O$2003,$Z824-0)=0,"",INDEX(包装物料出入库明细!$O$4:$O$2003,$Z824-0)),IF($Z824&lt;=4000,IF(INDEX(周转筐出入库明细!$M$4:$M$2004,$Z824-2000)=0,"",INDEX(周转筐出入库明细!$M$4:$M$2004,$Z824-2000)),IF($Z824&lt;=5200,IF(INDEX(客户自备加工筐明细!$H$4:$H$1203,$Z824-4000)=0,"",INDEX(客户自备加工筐明细!$H$4:$H$1203,$Z824-4000)),IF($Z824&lt;=5800,IF(INDEX(次果筐明细!$H$4:$H$603,$Z824-5200)=0,"",INDEX(次果筐明细!$H$4:$H$603,$Z824-5200)),"")))))</f>
        <v/>
      </c>
      <c r="S824" s="22" t="str">
        <f t="shared" si="38"/>
        <v/>
      </c>
      <c r="Z824" s="10" t="str">
        <f>IFERROR(MATCH(ROW()-3,_自动清单!$CQ$4:$CQ$5803,0),"")</f>
        <v/>
      </c>
    </row>
    <row r="825" spans="1:26">
      <c r="A825" s="24" t="str">
        <f t="shared" si="36"/>
        <v/>
      </c>
      <c r="B825" s="38" t="str">
        <f>IF($Z825="","",IF($Z825&lt;=2000,IF(INDEX(包装物料出入库明细!$B$4:$B$2003,$Z825-0)=0,"",INDEX(包装物料出入库明细!$B$4:$B$2003,$Z825-0)),IF($Z825&lt;=4000,IF(INDEX(周转筐出入库明细!$B$4:$B$2004,$Z825-2000)=0,"",INDEX(周转筐出入库明细!$B$4:$B$2004,$Z825-2000)),IF($Z825&lt;=5200,IF(INDEX(客户自备加工筐明细!$B$4:$B$1203,$Z825-4000)=0,"",INDEX(客户自备加工筐明细!$B$4:$B$1203,$Z825-4000)),IF($Z825&lt;=5800,IF(INDEX(次果筐明细!$B$4:$B$603,$Z825-5200)=0,"",INDEX(次果筐明细!$B$4:$B$603,$Z825-5200)),"")))))</f>
        <v/>
      </c>
      <c r="C825" s="37" t="str">
        <f>IF($Z825="","",IF($Z825&lt;=2000,IF(INDEX(包装物料出入库明细!$D$4:$D$2003,$Z825-0)=0,"",INDEX(包装物料出入库明细!$D$4:$D$2003,$Z825-0)),IF($Z825&lt;=4000,IF(INDEX(周转筐出入库明细!$C$4:$C$2004,$Z825-2000)=0,"",INDEX(周转筐出入库明细!$C$4:$C$2004,$Z825-2000)),IF($Z825&lt;=5200,IF(INDEX(客户自备加工筐明细!$E$4:$E$1203,$Z825-4000)=0,"",INDEX(客户自备加工筐明细!$E$4:$E$1203,$Z825-4000)),IF($Z825&lt;=5800,IF(INDEX(次果筐明细!$C$4:$C$603,$Z825-5200)=0,"",INDEX(次果筐明细!$C$4:$C$603,$Z825-5200)),"")))))</f>
        <v/>
      </c>
      <c r="D825" s="37" t="str">
        <f>IF($Z825="","",IF($Z825&lt;=2000,"包装物料－"&amp;INDEX(包装物料出入库明细!$H$4:$H$2003,$Z825-0),IF($Z825&lt;=4000,"周转筐－"&amp;INDEX(周转筐出入库明细!$F$4:$F$2004,$Z825-2000),IF($Z825&lt;=5200,"客户自备筐－"&amp;INDEX(客户自备加工筐明细!$J$4:$J$1203,$Z825-4000),IF($Z825&lt;=5800,"次果筐/托盘－"&amp;INDEX(次果筐明细!$F$4:$F$603,$Z825-5200),"")))))</f>
        <v/>
      </c>
      <c r="E825" s="24" t="str">
        <f>IF($Z825="","",IF($Z825&lt;=2000,IF(INDEX(包装物料出入库明细!$C$4:$C$2003,$Z825-0)=0,"",INDEX(包装物料出入库明细!$C$4:$C$2003,$Z825-0)),IF($Z825&lt;=4000,IF(INDEX(周转筐出入库明细!$E$4:$E$2004,$Z825-2000)=0,"",INDEX(周转筐出入库明细!$E$4:$E$2004,$Z825-2000)),IF($Z825&lt;=5200,IF(INDEX(客户自备加工筐明细!$D$4:$D$1203,$Z825-4000)=0,"",INDEX(客户自备加工筐明细!$D$4:$D$1203,$Z825-4000)),IF($Z825&lt;=5800,IF(INDEX(次果筐明细!$E$4:$E$603,$Z825-5200)=0,"",INDEX(次果筐明细!$E$4:$E$603,$Z825-5200)),"")))))</f>
        <v/>
      </c>
      <c r="F825" s="24" t="str">
        <f>IF($Z825="","",IF($Z825&lt;=2000,IF(INDEX(包装物料出入库明细!$E$4:$E$2003,$Z825-0)=0,"",INDEX(包装物料出入库明细!$E$4:$E$2003,$Z825-0)),IF($Z825&lt;=4000,IF(INDEX(周转筐出入库明细!$D$4:$D$2004,$Z825-2000)=0,"",INDEX(周转筐出入库明细!$D$4:$D$2004,$Z825-2000)),IF($Z825&lt;=5200,IF(INDEX(客户自备加工筐明细!$C$4:$C$1203,$Z825-4000)=0,"",INDEX(客户自备加工筐明细!$C$4:$C$1203,$Z825-4000)),IF($Z825&lt;=5800,IF(INDEX(次果筐明细!$D$4:$D$603,$Z825-5200)=0,"",INDEX(次果筐明细!$D$4:$D$603,$Z825-5200)),"")))))</f>
        <v/>
      </c>
      <c r="G825" s="24" t="str">
        <f>IF($Z825="","",IF($Z825&lt;=2000,IF(INDEX(包装物料出入库明细!$F$4:$F$2003,$Z825-0)=0,"",INDEX(包装物料出入库明细!$F$4:$F$2003,$Z825-0)),IF($Z825&lt;=4000,"",IF($Z825&lt;=5200,"",IF($Z825&lt;=5800,"","")))))</f>
        <v/>
      </c>
      <c r="H825" s="39" t="str">
        <f>IF($Z825="","",IF($Z825&lt;=2000,IF(INDEX(包装物料出入库明细!$L$4:$L$2003,$Z825-0)=0,"",INDEX(包装物料出入库明细!$L$4:$L$2003,$Z825-0)),IF($Z825&lt;=4000,N(INDEX(周转筐出入库明细!$H$4:$H$2004,$Z825-2000))+N(INDEX(周转筐出入库明细!$I$4:$I$2004,$Z825-2000))+N(INDEX(周转筐出入库明细!$J$4:$J$2004,$Z825-2000))+N(INDEX(周转筐出入库明细!$K$4:$K$2004,$Z825-2000)),IF($Z825&lt;=5200,N(INDEX(客户自备加工筐明细!$F$4:$F$1203,$Z825-4000))+N(INDEX(客户自备加工筐明细!$G$4:$G$1203,$Z825-4000)),IF($Z825&lt;=5800,IF(INDEX(次果筐明细!$G$4:$G$603,$Z825-5200)=0,"",INDEX(次果筐明细!$G$4:$G$603,$Z825-5200)),"")))))</f>
        <v/>
      </c>
      <c r="I825" s="24" t="str">
        <f>IF($Z825="","",IF($Z825&lt;=2000,IF(INDEX(包装物料出入库明细!$G$4:$G$2003,$Z825-0)=0,"",INDEX(包装物料出入库明细!$G$4:$G$2003,$Z825-0)),IF($Z825&lt;=4000,"个",IF($Z825&lt;=5200,"个",IF($Z825&lt;=5800,"个","")))))</f>
        <v/>
      </c>
      <c r="J825" s="30" t="str">
        <f t="shared" si="37"/>
        <v/>
      </c>
      <c r="K825" s="30" t="str">
        <f>IF($Z825="","",IF($Z825&lt;=2000,IF(INDEX(包装物料出入库明细!$N$4:$N$2003,$Z825-0)=0,"",INDEX(包装物料出入库明细!$N$4:$N$2003,$Z825-0)),IF($Z825&lt;=4000,IF(INDEX(周转筐出入库明细!$P$4:$P$2004,$Z825-2000)=0,"",INDEX(周转筐出入库明细!$P$4:$P$2004,$Z825-2000)),IF($Z825&lt;=5200,"",IF($Z825&lt;=5800,N(INDEX(次果筐明细!$L$4:$L$603,$Z825-5200))+N(INDEX(次果筐明细!$J$4:$J$603,$Z825-5200)),"")))))</f>
        <v/>
      </c>
      <c r="L825" s="24" t="str">
        <f>IF($Z825="","",IF($Z825&lt;=2000,IF(INDEX(包装物料出入库明细!$P$4:$P$2003,$Z825-0)=0,"",INDEX(包装物料出入库明细!$P$4:$P$2003,$Z825-0)),IF($Z825&lt;=4000,IF(INDEX(周转筐出入库明细!$Q$4:$Q$2004,$Z825-2000)=0,"",INDEX(周转筐出入库明细!$Q$4:$Q$2004,$Z825-2000)),IF($Z825&lt;=5200,"",IF($Z825&lt;=5800,IF(INDEX(次果筐明细!$M$4:$M$603,$Z825-5200)=0,"",INDEX(次果筐明细!$M$4:$M$603,$Z825-5200)),"")))))</f>
        <v/>
      </c>
      <c r="M825" s="37" t="str">
        <f>IF($Z825="","",IF($Z825&lt;=2000,IF(INDEX(包装物料出入库明细!$R$4:$R$2003,$Z825-0)=0,"",INDEX(包装物料出入库明细!$R$4:$R$2003,$Z825-0)),IF($Z825&lt;=4000,IF(INDEX(周转筐出入库明细!$W$4:$W$2004,$Z825-2000)=0,"",INDEX(周转筐出入库明细!$W$4:$W$2004,$Z825-2000)),IF($Z825&lt;=5200,IF(INDEX(客户自备加工筐明细!$L$4:$L$1203,$Z825-4000)=0,"",INDEX(客户自备加工筐明细!$L$4:$L$1203,$Z825-4000)),IF($Z825&lt;=5800,IF(INDEX(次果筐明细!$P$4:$P$603,$Z825-5200)=0,"",INDEX(次果筐明细!$P$4:$P$603,$Z825-5200)),"")))))</f>
        <v/>
      </c>
      <c r="N825" s="16" t="str">
        <f>IF($Z825="","",IF($Z825&lt;=2000,"",IF($Z825&lt;=4000,IF(INDEX(周转筐出入库明细!$D$4:$D$2004,$Z825-2000)=0,"",INDEX(周转筐出入库明细!$D$4:$D$2004,$Z825-2000)),IF($Z825&lt;=5200,IF(INDEX(客户自备加工筐明细!$C$4:$C$1203,$Z825-4000)=0,"",INDEX(客户自备加工筐明细!$C$4:$C$1203,$Z825-4000)),IF($Z825&lt;=5800,IF(INDEX(次果筐明细!$D$4:$D$603,$Z825-5200)=0,"",INDEX(次果筐明细!$D$4:$D$603,$Z825-5200)),"")))))</f>
        <v/>
      </c>
      <c r="O825" s="40" t="str">
        <f>IF($Z825="","",IF($Z825&lt;=2000,"",IF($Z825&lt;=4000,IF(N(INDEX(周转筐出入库明细!$J$4:$J$2004,$Z825-2000))+N(INDEX(周转筐出入库明细!$K$4:$K$2004,$Z825-2000))=0,"",N(INDEX(周转筐出入库明细!$J$4:$J$2004,$Z825-2000))+N(INDEX(周转筐出入库明细!$K$4:$K$2004,$Z825-2000))),IF($Z825&lt;=5200,IF(N(INDEX(客户自备加工筐明细!$G$4:$G$1203,$Z825-4000))=0,"",N(INDEX(客户自备加工筐明细!$G$4:$G$1203,$Z825-4000))),IF($Z825&lt;=5800,IF(ISNUMBER(SEARCH("退",INDEX(次果筐明细!$F$4:$F$603,$Z825-5200)&amp;"")),"",IF(N(INDEX(次果筐明细!$G$4:$G$603,$Z825-5200))=0,"",N(INDEX(次果筐明细!$G$4:$G$603,$Z825-5200)))),"")))))</f>
        <v/>
      </c>
      <c r="P825" s="40" t="str">
        <f>IF($Z825="","",IF($Z825&lt;=2000,"",IF($Z825&lt;=4000,IF(N(INDEX(周转筐出入库明细!$I$4:$I$2004,$Z825-2000))=0,"",N(INDEX(周转筐出入库明细!$I$4:$I$2004,$Z825-2000))),IF($Z825&lt;=5200,"",IF($Z825&lt;=5800,IF(ISNUMBER(SEARCH("退",INDEX(次果筐明细!$F$4:$F$603,$Z825-5200)&amp;"")),IF(N(INDEX(次果筐明细!$G$4:$G$603,$Z825-5200))=0,"",N(INDEX(次果筐明细!$G$4:$G$603,$Z825-5200))),""),"")))))</f>
        <v/>
      </c>
      <c r="Q825" s="40" t="str">
        <f>IF($Z825="","",IF($Z825&lt;=2000,"",IF($Z825&lt;=4000,IF(N(INDEX(周转筐出入库明细!$H$4:$H$2004,$Z825-2000))=0,"",N(INDEX(周转筐出入库明细!$H$4:$H$2004,$Z825-2000))),IF($Z825&lt;=5200,IF(N(INDEX(客户自备加工筐明细!$F$4:$F$1203,$Z825-4000))=0,"",N(INDEX(客户自备加工筐明细!$F$4:$F$1203,$Z825-4000))),IF($Z825&lt;=5800,"","")))))</f>
        <v/>
      </c>
      <c r="R825" s="16" t="str">
        <f>IF($Z825="","",IF($Z825&lt;=2000,IF(INDEX(包装物料出入库明细!$O$4:$O$2003,$Z825-0)=0,"",INDEX(包装物料出入库明细!$O$4:$O$2003,$Z825-0)),IF($Z825&lt;=4000,IF(INDEX(周转筐出入库明细!$M$4:$M$2004,$Z825-2000)=0,"",INDEX(周转筐出入库明细!$M$4:$M$2004,$Z825-2000)),IF($Z825&lt;=5200,IF(INDEX(客户自备加工筐明细!$H$4:$H$1203,$Z825-4000)=0,"",INDEX(客户自备加工筐明细!$H$4:$H$1203,$Z825-4000)),IF($Z825&lt;=5800,IF(INDEX(次果筐明细!$H$4:$H$603,$Z825-5200)=0,"",INDEX(次果筐明细!$H$4:$H$603,$Z825-5200)),"")))))</f>
        <v/>
      </c>
      <c r="S825" s="22" t="str">
        <f t="shared" si="38"/>
        <v/>
      </c>
      <c r="Z825" s="10" t="str">
        <f>IFERROR(MATCH(ROW()-3,_自动清单!$CQ$4:$CQ$5803,0),"")</f>
        <v/>
      </c>
    </row>
    <row r="826" spans="1:26">
      <c r="A826" s="24" t="str">
        <f t="shared" si="36"/>
        <v/>
      </c>
      <c r="B826" s="38" t="str">
        <f>IF($Z826="","",IF($Z826&lt;=2000,IF(INDEX(包装物料出入库明细!$B$4:$B$2003,$Z826-0)=0,"",INDEX(包装物料出入库明细!$B$4:$B$2003,$Z826-0)),IF($Z826&lt;=4000,IF(INDEX(周转筐出入库明细!$B$4:$B$2004,$Z826-2000)=0,"",INDEX(周转筐出入库明细!$B$4:$B$2004,$Z826-2000)),IF($Z826&lt;=5200,IF(INDEX(客户自备加工筐明细!$B$4:$B$1203,$Z826-4000)=0,"",INDEX(客户自备加工筐明细!$B$4:$B$1203,$Z826-4000)),IF($Z826&lt;=5800,IF(INDEX(次果筐明细!$B$4:$B$603,$Z826-5200)=0,"",INDEX(次果筐明细!$B$4:$B$603,$Z826-5200)),"")))))</f>
        <v/>
      </c>
      <c r="C826" s="37" t="str">
        <f>IF($Z826="","",IF($Z826&lt;=2000,IF(INDEX(包装物料出入库明细!$D$4:$D$2003,$Z826-0)=0,"",INDEX(包装物料出入库明细!$D$4:$D$2003,$Z826-0)),IF($Z826&lt;=4000,IF(INDEX(周转筐出入库明细!$C$4:$C$2004,$Z826-2000)=0,"",INDEX(周转筐出入库明细!$C$4:$C$2004,$Z826-2000)),IF($Z826&lt;=5200,IF(INDEX(客户自备加工筐明细!$E$4:$E$1203,$Z826-4000)=0,"",INDEX(客户自备加工筐明细!$E$4:$E$1203,$Z826-4000)),IF($Z826&lt;=5800,IF(INDEX(次果筐明细!$C$4:$C$603,$Z826-5200)=0,"",INDEX(次果筐明细!$C$4:$C$603,$Z826-5200)),"")))))</f>
        <v/>
      </c>
      <c r="D826" s="37" t="str">
        <f>IF($Z826="","",IF($Z826&lt;=2000,"包装物料－"&amp;INDEX(包装物料出入库明细!$H$4:$H$2003,$Z826-0),IF($Z826&lt;=4000,"周转筐－"&amp;INDEX(周转筐出入库明细!$F$4:$F$2004,$Z826-2000),IF($Z826&lt;=5200,"客户自备筐－"&amp;INDEX(客户自备加工筐明细!$J$4:$J$1203,$Z826-4000),IF($Z826&lt;=5800,"次果筐/托盘－"&amp;INDEX(次果筐明细!$F$4:$F$603,$Z826-5200),"")))))</f>
        <v/>
      </c>
      <c r="E826" s="24" t="str">
        <f>IF($Z826="","",IF($Z826&lt;=2000,IF(INDEX(包装物料出入库明细!$C$4:$C$2003,$Z826-0)=0,"",INDEX(包装物料出入库明细!$C$4:$C$2003,$Z826-0)),IF($Z826&lt;=4000,IF(INDEX(周转筐出入库明细!$E$4:$E$2004,$Z826-2000)=0,"",INDEX(周转筐出入库明细!$E$4:$E$2004,$Z826-2000)),IF($Z826&lt;=5200,IF(INDEX(客户自备加工筐明细!$D$4:$D$1203,$Z826-4000)=0,"",INDEX(客户自备加工筐明细!$D$4:$D$1203,$Z826-4000)),IF($Z826&lt;=5800,IF(INDEX(次果筐明细!$E$4:$E$603,$Z826-5200)=0,"",INDEX(次果筐明细!$E$4:$E$603,$Z826-5200)),"")))))</f>
        <v/>
      </c>
      <c r="F826" s="24" t="str">
        <f>IF($Z826="","",IF($Z826&lt;=2000,IF(INDEX(包装物料出入库明细!$E$4:$E$2003,$Z826-0)=0,"",INDEX(包装物料出入库明细!$E$4:$E$2003,$Z826-0)),IF($Z826&lt;=4000,IF(INDEX(周转筐出入库明细!$D$4:$D$2004,$Z826-2000)=0,"",INDEX(周转筐出入库明细!$D$4:$D$2004,$Z826-2000)),IF($Z826&lt;=5200,IF(INDEX(客户自备加工筐明细!$C$4:$C$1203,$Z826-4000)=0,"",INDEX(客户自备加工筐明细!$C$4:$C$1203,$Z826-4000)),IF($Z826&lt;=5800,IF(INDEX(次果筐明细!$D$4:$D$603,$Z826-5200)=0,"",INDEX(次果筐明细!$D$4:$D$603,$Z826-5200)),"")))))</f>
        <v/>
      </c>
      <c r="G826" s="24" t="str">
        <f>IF($Z826="","",IF($Z826&lt;=2000,IF(INDEX(包装物料出入库明细!$F$4:$F$2003,$Z826-0)=0,"",INDEX(包装物料出入库明细!$F$4:$F$2003,$Z826-0)),IF($Z826&lt;=4000,"",IF($Z826&lt;=5200,"",IF($Z826&lt;=5800,"","")))))</f>
        <v/>
      </c>
      <c r="H826" s="39" t="str">
        <f>IF($Z826="","",IF($Z826&lt;=2000,IF(INDEX(包装物料出入库明细!$L$4:$L$2003,$Z826-0)=0,"",INDEX(包装物料出入库明细!$L$4:$L$2003,$Z826-0)),IF($Z826&lt;=4000,N(INDEX(周转筐出入库明细!$H$4:$H$2004,$Z826-2000))+N(INDEX(周转筐出入库明细!$I$4:$I$2004,$Z826-2000))+N(INDEX(周转筐出入库明细!$J$4:$J$2004,$Z826-2000))+N(INDEX(周转筐出入库明细!$K$4:$K$2004,$Z826-2000)),IF($Z826&lt;=5200,N(INDEX(客户自备加工筐明细!$F$4:$F$1203,$Z826-4000))+N(INDEX(客户自备加工筐明细!$G$4:$G$1203,$Z826-4000)),IF($Z826&lt;=5800,IF(INDEX(次果筐明细!$G$4:$G$603,$Z826-5200)=0,"",INDEX(次果筐明细!$G$4:$G$603,$Z826-5200)),"")))))</f>
        <v/>
      </c>
      <c r="I826" s="24" t="str">
        <f>IF($Z826="","",IF($Z826&lt;=2000,IF(INDEX(包装物料出入库明细!$G$4:$G$2003,$Z826-0)=0,"",INDEX(包装物料出入库明细!$G$4:$G$2003,$Z826-0)),IF($Z826&lt;=4000,"个",IF($Z826&lt;=5200,"个",IF($Z826&lt;=5800,"个","")))))</f>
        <v/>
      </c>
      <c r="J826" s="30" t="str">
        <f t="shared" si="37"/>
        <v/>
      </c>
      <c r="K826" s="30" t="str">
        <f>IF($Z826="","",IF($Z826&lt;=2000,IF(INDEX(包装物料出入库明细!$N$4:$N$2003,$Z826-0)=0,"",INDEX(包装物料出入库明细!$N$4:$N$2003,$Z826-0)),IF($Z826&lt;=4000,IF(INDEX(周转筐出入库明细!$P$4:$P$2004,$Z826-2000)=0,"",INDEX(周转筐出入库明细!$P$4:$P$2004,$Z826-2000)),IF($Z826&lt;=5200,"",IF($Z826&lt;=5800,N(INDEX(次果筐明细!$L$4:$L$603,$Z826-5200))+N(INDEX(次果筐明细!$J$4:$J$603,$Z826-5200)),"")))))</f>
        <v/>
      </c>
      <c r="L826" s="24" t="str">
        <f>IF($Z826="","",IF($Z826&lt;=2000,IF(INDEX(包装物料出入库明细!$P$4:$P$2003,$Z826-0)=0,"",INDEX(包装物料出入库明细!$P$4:$P$2003,$Z826-0)),IF($Z826&lt;=4000,IF(INDEX(周转筐出入库明细!$Q$4:$Q$2004,$Z826-2000)=0,"",INDEX(周转筐出入库明细!$Q$4:$Q$2004,$Z826-2000)),IF($Z826&lt;=5200,"",IF($Z826&lt;=5800,IF(INDEX(次果筐明细!$M$4:$M$603,$Z826-5200)=0,"",INDEX(次果筐明细!$M$4:$M$603,$Z826-5200)),"")))))</f>
        <v/>
      </c>
      <c r="M826" s="37" t="str">
        <f>IF($Z826="","",IF($Z826&lt;=2000,IF(INDEX(包装物料出入库明细!$R$4:$R$2003,$Z826-0)=0,"",INDEX(包装物料出入库明细!$R$4:$R$2003,$Z826-0)),IF($Z826&lt;=4000,IF(INDEX(周转筐出入库明细!$W$4:$W$2004,$Z826-2000)=0,"",INDEX(周转筐出入库明细!$W$4:$W$2004,$Z826-2000)),IF($Z826&lt;=5200,IF(INDEX(客户自备加工筐明细!$L$4:$L$1203,$Z826-4000)=0,"",INDEX(客户自备加工筐明细!$L$4:$L$1203,$Z826-4000)),IF($Z826&lt;=5800,IF(INDEX(次果筐明细!$P$4:$P$603,$Z826-5200)=0,"",INDEX(次果筐明细!$P$4:$P$603,$Z826-5200)),"")))))</f>
        <v/>
      </c>
      <c r="N826" s="16" t="str">
        <f>IF($Z826="","",IF($Z826&lt;=2000,"",IF($Z826&lt;=4000,IF(INDEX(周转筐出入库明细!$D$4:$D$2004,$Z826-2000)=0,"",INDEX(周转筐出入库明细!$D$4:$D$2004,$Z826-2000)),IF($Z826&lt;=5200,IF(INDEX(客户自备加工筐明细!$C$4:$C$1203,$Z826-4000)=0,"",INDEX(客户自备加工筐明细!$C$4:$C$1203,$Z826-4000)),IF($Z826&lt;=5800,IF(INDEX(次果筐明细!$D$4:$D$603,$Z826-5200)=0,"",INDEX(次果筐明细!$D$4:$D$603,$Z826-5200)),"")))))</f>
        <v/>
      </c>
      <c r="O826" s="40" t="str">
        <f>IF($Z826="","",IF($Z826&lt;=2000,"",IF($Z826&lt;=4000,IF(N(INDEX(周转筐出入库明细!$J$4:$J$2004,$Z826-2000))+N(INDEX(周转筐出入库明细!$K$4:$K$2004,$Z826-2000))=0,"",N(INDEX(周转筐出入库明细!$J$4:$J$2004,$Z826-2000))+N(INDEX(周转筐出入库明细!$K$4:$K$2004,$Z826-2000))),IF($Z826&lt;=5200,IF(N(INDEX(客户自备加工筐明细!$G$4:$G$1203,$Z826-4000))=0,"",N(INDEX(客户自备加工筐明细!$G$4:$G$1203,$Z826-4000))),IF($Z826&lt;=5800,IF(ISNUMBER(SEARCH("退",INDEX(次果筐明细!$F$4:$F$603,$Z826-5200)&amp;"")),"",IF(N(INDEX(次果筐明细!$G$4:$G$603,$Z826-5200))=0,"",N(INDEX(次果筐明细!$G$4:$G$603,$Z826-5200)))),"")))))</f>
        <v/>
      </c>
      <c r="P826" s="40" t="str">
        <f>IF($Z826="","",IF($Z826&lt;=2000,"",IF($Z826&lt;=4000,IF(N(INDEX(周转筐出入库明细!$I$4:$I$2004,$Z826-2000))=0,"",N(INDEX(周转筐出入库明细!$I$4:$I$2004,$Z826-2000))),IF($Z826&lt;=5200,"",IF($Z826&lt;=5800,IF(ISNUMBER(SEARCH("退",INDEX(次果筐明细!$F$4:$F$603,$Z826-5200)&amp;"")),IF(N(INDEX(次果筐明细!$G$4:$G$603,$Z826-5200))=0,"",N(INDEX(次果筐明细!$G$4:$G$603,$Z826-5200))),""),"")))))</f>
        <v/>
      </c>
      <c r="Q826" s="40" t="str">
        <f>IF($Z826="","",IF($Z826&lt;=2000,"",IF($Z826&lt;=4000,IF(N(INDEX(周转筐出入库明细!$H$4:$H$2004,$Z826-2000))=0,"",N(INDEX(周转筐出入库明细!$H$4:$H$2004,$Z826-2000))),IF($Z826&lt;=5200,IF(N(INDEX(客户自备加工筐明细!$F$4:$F$1203,$Z826-4000))=0,"",N(INDEX(客户自备加工筐明细!$F$4:$F$1203,$Z826-4000))),IF($Z826&lt;=5800,"","")))))</f>
        <v/>
      </c>
      <c r="R826" s="16" t="str">
        <f>IF($Z826="","",IF($Z826&lt;=2000,IF(INDEX(包装物料出入库明细!$O$4:$O$2003,$Z826-0)=0,"",INDEX(包装物料出入库明细!$O$4:$O$2003,$Z826-0)),IF($Z826&lt;=4000,IF(INDEX(周转筐出入库明细!$M$4:$M$2004,$Z826-2000)=0,"",INDEX(周转筐出入库明细!$M$4:$M$2004,$Z826-2000)),IF($Z826&lt;=5200,IF(INDEX(客户自备加工筐明细!$H$4:$H$1203,$Z826-4000)=0,"",INDEX(客户自备加工筐明细!$H$4:$H$1203,$Z826-4000)),IF($Z826&lt;=5800,IF(INDEX(次果筐明细!$H$4:$H$603,$Z826-5200)=0,"",INDEX(次果筐明细!$H$4:$H$603,$Z826-5200)),"")))))</f>
        <v/>
      </c>
      <c r="S826" s="22" t="str">
        <f t="shared" si="38"/>
        <v/>
      </c>
      <c r="Z826" s="10" t="str">
        <f>IFERROR(MATCH(ROW()-3,_自动清单!$CQ$4:$CQ$5803,0),"")</f>
        <v/>
      </c>
    </row>
    <row r="827" spans="1:26">
      <c r="A827" s="24" t="str">
        <f t="shared" si="36"/>
        <v/>
      </c>
      <c r="B827" s="38" t="str">
        <f>IF($Z827="","",IF($Z827&lt;=2000,IF(INDEX(包装物料出入库明细!$B$4:$B$2003,$Z827-0)=0,"",INDEX(包装物料出入库明细!$B$4:$B$2003,$Z827-0)),IF($Z827&lt;=4000,IF(INDEX(周转筐出入库明细!$B$4:$B$2004,$Z827-2000)=0,"",INDEX(周转筐出入库明细!$B$4:$B$2004,$Z827-2000)),IF($Z827&lt;=5200,IF(INDEX(客户自备加工筐明细!$B$4:$B$1203,$Z827-4000)=0,"",INDEX(客户自备加工筐明细!$B$4:$B$1203,$Z827-4000)),IF($Z827&lt;=5800,IF(INDEX(次果筐明细!$B$4:$B$603,$Z827-5200)=0,"",INDEX(次果筐明细!$B$4:$B$603,$Z827-5200)),"")))))</f>
        <v/>
      </c>
      <c r="C827" s="37" t="str">
        <f>IF($Z827="","",IF($Z827&lt;=2000,IF(INDEX(包装物料出入库明细!$D$4:$D$2003,$Z827-0)=0,"",INDEX(包装物料出入库明细!$D$4:$D$2003,$Z827-0)),IF($Z827&lt;=4000,IF(INDEX(周转筐出入库明细!$C$4:$C$2004,$Z827-2000)=0,"",INDEX(周转筐出入库明细!$C$4:$C$2004,$Z827-2000)),IF($Z827&lt;=5200,IF(INDEX(客户自备加工筐明细!$E$4:$E$1203,$Z827-4000)=0,"",INDEX(客户自备加工筐明细!$E$4:$E$1203,$Z827-4000)),IF($Z827&lt;=5800,IF(INDEX(次果筐明细!$C$4:$C$603,$Z827-5200)=0,"",INDEX(次果筐明细!$C$4:$C$603,$Z827-5200)),"")))))</f>
        <v/>
      </c>
      <c r="D827" s="37" t="str">
        <f>IF($Z827="","",IF($Z827&lt;=2000,"包装物料－"&amp;INDEX(包装物料出入库明细!$H$4:$H$2003,$Z827-0),IF($Z827&lt;=4000,"周转筐－"&amp;INDEX(周转筐出入库明细!$F$4:$F$2004,$Z827-2000),IF($Z827&lt;=5200,"客户自备筐－"&amp;INDEX(客户自备加工筐明细!$J$4:$J$1203,$Z827-4000),IF($Z827&lt;=5800,"次果筐/托盘－"&amp;INDEX(次果筐明细!$F$4:$F$603,$Z827-5200),"")))))</f>
        <v/>
      </c>
      <c r="E827" s="24" t="str">
        <f>IF($Z827="","",IF($Z827&lt;=2000,IF(INDEX(包装物料出入库明细!$C$4:$C$2003,$Z827-0)=0,"",INDEX(包装物料出入库明细!$C$4:$C$2003,$Z827-0)),IF($Z827&lt;=4000,IF(INDEX(周转筐出入库明细!$E$4:$E$2004,$Z827-2000)=0,"",INDEX(周转筐出入库明细!$E$4:$E$2004,$Z827-2000)),IF($Z827&lt;=5200,IF(INDEX(客户自备加工筐明细!$D$4:$D$1203,$Z827-4000)=0,"",INDEX(客户自备加工筐明细!$D$4:$D$1203,$Z827-4000)),IF($Z827&lt;=5800,IF(INDEX(次果筐明细!$E$4:$E$603,$Z827-5200)=0,"",INDEX(次果筐明细!$E$4:$E$603,$Z827-5200)),"")))))</f>
        <v/>
      </c>
      <c r="F827" s="24" t="str">
        <f>IF($Z827="","",IF($Z827&lt;=2000,IF(INDEX(包装物料出入库明细!$E$4:$E$2003,$Z827-0)=0,"",INDEX(包装物料出入库明细!$E$4:$E$2003,$Z827-0)),IF($Z827&lt;=4000,IF(INDEX(周转筐出入库明细!$D$4:$D$2004,$Z827-2000)=0,"",INDEX(周转筐出入库明细!$D$4:$D$2004,$Z827-2000)),IF($Z827&lt;=5200,IF(INDEX(客户自备加工筐明细!$C$4:$C$1203,$Z827-4000)=0,"",INDEX(客户自备加工筐明细!$C$4:$C$1203,$Z827-4000)),IF($Z827&lt;=5800,IF(INDEX(次果筐明细!$D$4:$D$603,$Z827-5200)=0,"",INDEX(次果筐明细!$D$4:$D$603,$Z827-5200)),"")))))</f>
        <v/>
      </c>
      <c r="G827" s="24" t="str">
        <f>IF($Z827="","",IF($Z827&lt;=2000,IF(INDEX(包装物料出入库明细!$F$4:$F$2003,$Z827-0)=0,"",INDEX(包装物料出入库明细!$F$4:$F$2003,$Z827-0)),IF($Z827&lt;=4000,"",IF($Z827&lt;=5200,"",IF($Z827&lt;=5800,"","")))))</f>
        <v/>
      </c>
      <c r="H827" s="39" t="str">
        <f>IF($Z827="","",IF($Z827&lt;=2000,IF(INDEX(包装物料出入库明细!$L$4:$L$2003,$Z827-0)=0,"",INDEX(包装物料出入库明细!$L$4:$L$2003,$Z827-0)),IF($Z827&lt;=4000,N(INDEX(周转筐出入库明细!$H$4:$H$2004,$Z827-2000))+N(INDEX(周转筐出入库明细!$I$4:$I$2004,$Z827-2000))+N(INDEX(周转筐出入库明细!$J$4:$J$2004,$Z827-2000))+N(INDEX(周转筐出入库明细!$K$4:$K$2004,$Z827-2000)),IF($Z827&lt;=5200,N(INDEX(客户自备加工筐明细!$F$4:$F$1203,$Z827-4000))+N(INDEX(客户自备加工筐明细!$G$4:$G$1203,$Z827-4000)),IF($Z827&lt;=5800,IF(INDEX(次果筐明细!$G$4:$G$603,$Z827-5200)=0,"",INDEX(次果筐明细!$G$4:$G$603,$Z827-5200)),"")))))</f>
        <v/>
      </c>
      <c r="I827" s="24" t="str">
        <f>IF($Z827="","",IF($Z827&lt;=2000,IF(INDEX(包装物料出入库明细!$G$4:$G$2003,$Z827-0)=0,"",INDEX(包装物料出入库明细!$G$4:$G$2003,$Z827-0)),IF($Z827&lt;=4000,"个",IF($Z827&lt;=5200,"个",IF($Z827&lt;=5800,"个","")))))</f>
        <v/>
      </c>
      <c r="J827" s="30" t="str">
        <f t="shared" si="37"/>
        <v/>
      </c>
      <c r="K827" s="30" t="str">
        <f>IF($Z827="","",IF($Z827&lt;=2000,IF(INDEX(包装物料出入库明细!$N$4:$N$2003,$Z827-0)=0,"",INDEX(包装物料出入库明细!$N$4:$N$2003,$Z827-0)),IF($Z827&lt;=4000,IF(INDEX(周转筐出入库明细!$P$4:$P$2004,$Z827-2000)=0,"",INDEX(周转筐出入库明细!$P$4:$P$2004,$Z827-2000)),IF($Z827&lt;=5200,"",IF($Z827&lt;=5800,N(INDEX(次果筐明细!$L$4:$L$603,$Z827-5200))+N(INDEX(次果筐明细!$J$4:$J$603,$Z827-5200)),"")))))</f>
        <v/>
      </c>
      <c r="L827" s="24" t="str">
        <f>IF($Z827="","",IF($Z827&lt;=2000,IF(INDEX(包装物料出入库明细!$P$4:$P$2003,$Z827-0)=0,"",INDEX(包装物料出入库明细!$P$4:$P$2003,$Z827-0)),IF($Z827&lt;=4000,IF(INDEX(周转筐出入库明细!$Q$4:$Q$2004,$Z827-2000)=0,"",INDEX(周转筐出入库明细!$Q$4:$Q$2004,$Z827-2000)),IF($Z827&lt;=5200,"",IF($Z827&lt;=5800,IF(INDEX(次果筐明细!$M$4:$M$603,$Z827-5200)=0,"",INDEX(次果筐明细!$M$4:$M$603,$Z827-5200)),"")))))</f>
        <v/>
      </c>
      <c r="M827" s="37" t="str">
        <f>IF($Z827="","",IF($Z827&lt;=2000,IF(INDEX(包装物料出入库明细!$R$4:$R$2003,$Z827-0)=0,"",INDEX(包装物料出入库明细!$R$4:$R$2003,$Z827-0)),IF($Z827&lt;=4000,IF(INDEX(周转筐出入库明细!$W$4:$W$2004,$Z827-2000)=0,"",INDEX(周转筐出入库明细!$W$4:$W$2004,$Z827-2000)),IF($Z827&lt;=5200,IF(INDEX(客户自备加工筐明细!$L$4:$L$1203,$Z827-4000)=0,"",INDEX(客户自备加工筐明细!$L$4:$L$1203,$Z827-4000)),IF($Z827&lt;=5800,IF(INDEX(次果筐明细!$P$4:$P$603,$Z827-5200)=0,"",INDEX(次果筐明细!$P$4:$P$603,$Z827-5200)),"")))))</f>
        <v/>
      </c>
      <c r="N827" s="16" t="str">
        <f>IF($Z827="","",IF($Z827&lt;=2000,"",IF($Z827&lt;=4000,IF(INDEX(周转筐出入库明细!$D$4:$D$2004,$Z827-2000)=0,"",INDEX(周转筐出入库明细!$D$4:$D$2004,$Z827-2000)),IF($Z827&lt;=5200,IF(INDEX(客户自备加工筐明细!$C$4:$C$1203,$Z827-4000)=0,"",INDEX(客户自备加工筐明细!$C$4:$C$1203,$Z827-4000)),IF($Z827&lt;=5800,IF(INDEX(次果筐明细!$D$4:$D$603,$Z827-5200)=0,"",INDEX(次果筐明细!$D$4:$D$603,$Z827-5200)),"")))))</f>
        <v/>
      </c>
      <c r="O827" s="40" t="str">
        <f>IF($Z827="","",IF($Z827&lt;=2000,"",IF($Z827&lt;=4000,IF(N(INDEX(周转筐出入库明细!$J$4:$J$2004,$Z827-2000))+N(INDEX(周转筐出入库明细!$K$4:$K$2004,$Z827-2000))=0,"",N(INDEX(周转筐出入库明细!$J$4:$J$2004,$Z827-2000))+N(INDEX(周转筐出入库明细!$K$4:$K$2004,$Z827-2000))),IF($Z827&lt;=5200,IF(N(INDEX(客户自备加工筐明细!$G$4:$G$1203,$Z827-4000))=0,"",N(INDEX(客户自备加工筐明细!$G$4:$G$1203,$Z827-4000))),IF($Z827&lt;=5800,IF(ISNUMBER(SEARCH("退",INDEX(次果筐明细!$F$4:$F$603,$Z827-5200)&amp;"")),"",IF(N(INDEX(次果筐明细!$G$4:$G$603,$Z827-5200))=0,"",N(INDEX(次果筐明细!$G$4:$G$603,$Z827-5200)))),"")))))</f>
        <v/>
      </c>
      <c r="P827" s="40" t="str">
        <f>IF($Z827="","",IF($Z827&lt;=2000,"",IF($Z827&lt;=4000,IF(N(INDEX(周转筐出入库明细!$I$4:$I$2004,$Z827-2000))=0,"",N(INDEX(周转筐出入库明细!$I$4:$I$2004,$Z827-2000))),IF($Z827&lt;=5200,"",IF($Z827&lt;=5800,IF(ISNUMBER(SEARCH("退",INDEX(次果筐明细!$F$4:$F$603,$Z827-5200)&amp;"")),IF(N(INDEX(次果筐明细!$G$4:$G$603,$Z827-5200))=0,"",N(INDEX(次果筐明细!$G$4:$G$603,$Z827-5200))),""),"")))))</f>
        <v/>
      </c>
      <c r="Q827" s="40" t="str">
        <f>IF($Z827="","",IF($Z827&lt;=2000,"",IF($Z827&lt;=4000,IF(N(INDEX(周转筐出入库明细!$H$4:$H$2004,$Z827-2000))=0,"",N(INDEX(周转筐出入库明细!$H$4:$H$2004,$Z827-2000))),IF($Z827&lt;=5200,IF(N(INDEX(客户自备加工筐明细!$F$4:$F$1203,$Z827-4000))=0,"",N(INDEX(客户自备加工筐明细!$F$4:$F$1203,$Z827-4000))),IF($Z827&lt;=5800,"","")))))</f>
        <v/>
      </c>
      <c r="R827" s="16" t="str">
        <f>IF($Z827="","",IF($Z827&lt;=2000,IF(INDEX(包装物料出入库明细!$O$4:$O$2003,$Z827-0)=0,"",INDEX(包装物料出入库明细!$O$4:$O$2003,$Z827-0)),IF($Z827&lt;=4000,IF(INDEX(周转筐出入库明细!$M$4:$M$2004,$Z827-2000)=0,"",INDEX(周转筐出入库明细!$M$4:$M$2004,$Z827-2000)),IF($Z827&lt;=5200,IF(INDEX(客户自备加工筐明细!$H$4:$H$1203,$Z827-4000)=0,"",INDEX(客户自备加工筐明细!$H$4:$H$1203,$Z827-4000)),IF($Z827&lt;=5800,IF(INDEX(次果筐明细!$H$4:$H$603,$Z827-5200)=0,"",INDEX(次果筐明细!$H$4:$H$603,$Z827-5200)),"")))))</f>
        <v/>
      </c>
      <c r="S827" s="22" t="str">
        <f t="shared" si="38"/>
        <v/>
      </c>
      <c r="Z827" s="10" t="str">
        <f>IFERROR(MATCH(ROW()-3,_自动清单!$CQ$4:$CQ$5803,0),"")</f>
        <v/>
      </c>
    </row>
    <row r="828" spans="1:26">
      <c r="A828" s="24" t="str">
        <f t="shared" si="36"/>
        <v/>
      </c>
      <c r="B828" s="38" t="str">
        <f>IF($Z828="","",IF($Z828&lt;=2000,IF(INDEX(包装物料出入库明细!$B$4:$B$2003,$Z828-0)=0,"",INDEX(包装物料出入库明细!$B$4:$B$2003,$Z828-0)),IF($Z828&lt;=4000,IF(INDEX(周转筐出入库明细!$B$4:$B$2004,$Z828-2000)=0,"",INDEX(周转筐出入库明细!$B$4:$B$2004,$Z828-2000)),IF($Z828&lt;=5200,IF(INDEX(客户自备加工筐明细!$B$4:$B$1203,$Z828-4000)=0,"",INDEX(客户自备加工筐明细!$B$4:$B$1203,$Z828-4000)),IF($Z828&lt;=5800,IF(INDEX(次果筐明细!$B$4:$B$603,$Z828-5200)=0,"",INDEX(次果筐明细!$B$4:$B$603,$Z828-5200)),"")))))</f>
        <v/>
      </c>
      <c r="C828" s="37" t="str">
        <f>IF($Z828="","",IF($Z828&lt;=2000,IF(INDEX(包装物料出入库明细!$D$4:$D$2003,$Z828-0)=0,"",INDEX(包装物料出入库明细!$D$4:$D$2003,$Z828-0)),IF($Z828&lt;=4000,IF(INDEX(周转筐出入库明细!$C$4:$C$2004,$Z828-2000)=0,"",INDEX(周转筐出入库明细!$C$4:$C$2004,$Z828-2000)),IF($Z828&lt;=5200,IF(INDEX(客户自备加工筐明细!$E$4:$E$1203,$Z828-4000)=0,"",INDEX(客户自备加工筐明细!$E$4:$E$1203,$Z828-4000)),IF($Z828&lt;=5800,IF(INDEX(次果筐明细!$C$4:$C$603,$Z828-5200)=0,"",INDEX(次果筐明细!$C$4:$C$603,$Z828-5200)),"")))))</f>
        <v/>
      </c>
      <c r="D828" s="37" t="str">
        <f>IF($Z828="","",IF($Z828&lt;=2000,"包装物料－"&amp;INDEX(包装物料出入库明细!$H$4:$H$2003,$Z828-0),IF($Z828&lt;=4000,"周转筐－"&amp;INDEX(周转筐出入库明细!$F$4:$F$2004,$Z828-2000),IF($Z828&lt;=5200,"客户自备筐－"&amp;INDEX(客户自备加工筐明细!$J$4:$J$1203,$Z828-4000),IF($Z828&lt;=5800,"次果筐/托盘－"&amp;INDEX(次果筐明细!$F$4:$F$603,$Z828-5200),"")))))</f>
        <v/>
      </c>
      <c r="E828" s="24" t="str">
        <f>IF($Z828="","",IF($Z828&lt;=2000,IF(INDEX(包装物料出入库明细!$C$4:$C$2003,$Z828-0)=0,"",INDEX(包装物料出入库明细!$C$4:$C$2003,$Z828-0)),IF($Z828&lt;=4000,IF(INDEX(周转筐出入库明细!$E$4:$E$2004,$Z828-2000)=0,"",INDEX(周转筐出入库明细!$E$4:$E$2004,$Z828-2000)),IF($Z828&lt;=5200,IF(INDEX(客户自备加工筐明细!$D$4:$D$1203,$Z828-4000)=0,"",INDEX(客户自备加工筐明细!$D$4:$D$1203,$Z828-4000)),IF($Z828&lt;=5800,IF(INDEX(次果筐明细!$E$4:$E$603,$Z828-5200)=0,"",INDEX(次果筐明细!$E$4:$E$603,$Z828-5200)),"")))))</f>
        <v/>
      </c>
      <c r="F828" s="24" t="str">
        <f>IF($Z828="","",IF($Z828&lt;=2000,IF(INDEX(包装物料出入库明细!$E$4:$E$2003,$Z828-0)=0,"",INDEX(包装物料出入库明细!$E$4:$E$2003,$Z828-0)),IF($Z828&lt;=4000,IF(INDEX(周转筐出入库明细!$D$4:$D$2004,$Z828-2000)=0,"",INDEX(周转筐出入库明细!$D$4:$D$2004,$Z828-2000)),IF($Z828&lt;=5200,IF(INDEX(客户自备加工筐明细!$C$4:$C$1203,$Z828-4000)=0,"",INDEX(客户自备加工筐明细!$C$4:$C$1203,$Z828-4000)),IF($Z828&lt;=5800,IF(INDEX(次果筐明细!$D$4:$D$603,$Z828-5200)=0,"",INDEX(次果筐明细!$D$4:$D$603,$Z828-5200)),"")))))</f>
        <v/>
      </c>
      <c r="G828" s="24" t="str">
        <f>IF($Z828="","",IF($Z828&lt;=2000,IF(INDEX(包装物料出入库明细!$F$4:$F$2003,$Z828-0)=0,"",INDEX(包装物料出入库明细!$F$4:$F$2003,$Z828-0)),IF($Z828&lt;=4000,"",IF($Z828&lt;=5200,"",IF($Z828&lt;=5800,"","")))))</f>
        <v/>
      </c>
      <c r="H828" s="39" t="str">
        <f>IF($Z828="","",IF($Z828&lt;=2000,IF(INDEX(包装物料出入库明细!$L$4:$L$2003,$Z828-0)=0,"",INDEX(包装物料出入库明细!$L$4:$L$2003,$Z828-0)),IF($Z828&lt;=4000,N(INDEX(周转筐出入库明细!$H$4:$H$2004,$Z828-2000))+N(INDEX(周转筐出入库明细!$I$4:$I$2004,$Z828-2000))+N(INDEX(周转筐出入库明细!$J$4:$J$2004,$Z828-2000))+N(INDEX(周转筐出入库明细!$K$4:$K$2004,$Z828-2000)),IF($Z828&lt;=5200,N(INDEX(客户自备加工筐明细!$F$4:$F$1203,$Z828-4000))+N(INDEX(客户自备加工筐明细!$G$4:$G$1203,$Z828-4000)),IF($Z828&lt;=5800,IF(INDEX(次果筐明细!$G$4:$G$603,$Z828-5200)=0,"",INDEX(次果筐明细!$G$4:$G$603,$Z828-5200)),"")))))</f>
        <v/>
      </c>
      <c r="I828" s="24" t="str">
        <f>IF($Z828="","",IF($Z828&lt;=2000,IF(INDEX(包装物料出入库明细!$G$4:$G$2003,$Z828-0)=0,"",INDEX(包装物料出入库明细!$G$4:$G$2003,$Z828-0)),IF($Z828&lt;=4000,"个",IF($Z828&lt;=5200,"个",IF($Z828&lt;=5800,"个","")))))</f>
        <v/>
      </c>
      <c r="J828" s="30" t="str">
        <f t="shared" si="37"/>
        <v/>
      </c>
      <c r="K828" s="30" t="str">
        <f>IF($Z828="","",IF($Z828&lt;=2000,IF(INDEX(包装物料出入库明细!$N$4:$N$2003,$Z828-0)=0,"",INDEX(包装物料出入库明细!$N$4:$N$2003,$Z828-0)),IF($Z828&lt;=4000,IF(INDEX(周转筐出入库明细!$P$4:$P$2004,$Z828-2000)=0,"",INDEX(周转筐出入库明细!$P$4:$P$2004,$Z828-2000)),IF($Z828&lt;=5200,"",IF($Z828&lt;=5800,N(INDEX(次果筐明细!$L$4:$L$603,$Z828-5200))+N(INDEX(次果筐明细!$J$4:$J$603,$Z828-5200)),"")))))</f>
        <v/>
      </c>
      <c r="L828" s="24" t="str">
        <f>IF($Z828="","",IF($Z828&lt;=2000,IF(INDEX(包装物料出入库明细!$P$4:$P$2003,$Z828-0)=0,"",INDEX(包装物料出入库明细!$P$4:$P$2003,$Z828-0)),IF($Z828&lt;=4000,IF(INDEX(周转筐出入库明细!$Q$4:$Q$2004,$Z828-2000)=0,"",INDEX(周转筐出入库明细!$Q$4:$Q$2004,$Z828-2000)),IF($Z828&lt;=5200,"",IF($Z828&lt;=5800,IF(INDEX(次果筐明细!$M$4:$M$603,$Z828-5200)=0,"",INDEX(次果筐明细!$M$4:$M$603,$Z828-5200)),"")))))</f>
        <v/>
      </c>
      <c r="M828" s="37" t="str">
        <f>IF($Z828="","",IF($Z828&lt;=2000,IF(INDEX(包装物料出入库明细!$R$4:$R$2003,$Z828-0)=0,"",INDEX(包装物料出入库明细!$R$4:$R$2003,$Z828-0)),IF($Z828&lt;=4000,IF(INDEX(周转筐出入库明细!$W$4:$W$2004,$Z828-2000)=0,"",INDEX(周转筐出入库明细!$W$4:$W$2004,$Z828-2000)),IF($Z828&lt;=5200,IF(INDEX(客户自备加工筐明细!$L$4:$L$1203,$Z828-4000)=0,"",INDEX(客户自备加工筐明细!$L$4:$L$1203,$Z828-4000)),IF($Z828&lt;=5800,IF(INDEX(次果筐明细!$P$4:$P$603,$Z828-5200)=0,"",INDEX(次果筐明细!$P$4:$P$603,$Z828-5200)),"")))))</f>
        <v/>
      </c>
      <c r="N828" s="16" t="str">
        <f>IF($Z828="","",IF($Z828&lt;=2000,"",IF($Z828&lt;=4000,IF(INDEX(周转筐出入库明细!$D$4:$D$2004,$Z828-2000)=0,"",INDEX(周转筐出入库明细!$D$4:$D$2004,$Z828-2000)),IF($Z828&lt;=5200,IF(INDEX(客户自备加工筐明细!$C$4:$C$1203,$Z828-4000)=0,"",INDEX(客户自备加工筐明细!$C$4:$C$1203,$Z828-4000)),IF($Z828&lt;=5800,IF(INDEX(次果筐明细!$D$4:$D$603,$Z828-5200)=0,"",INDEX(次果筐明细!$D$4:$D$603,$Z828-5200)),"")))))</f>
        <v/>
      </c>
      <c r="O828" s="40" t="str">
        <f>IF($Z828="","",IF($Z828&lt;=2000,"",IF($Z828&lt;=4000,IF(N(INDEX(周转筐出入库明细!$J$4:$J$2004,$Z828-2000))+N(INDEX(周转筐出入库明细!$K$4:$K$2004,$Z828-2000))=0,"",N(INDEX(周转筐出入库明细!$J$4:$J$2004,$Z828-2000))+N(INDEX(周转筐出入库明细!$K$4:$K$2004,$Z828-2000))),IF($Z828&lt;=5200,IF(N(INDEX(客户自备加工筐明细!$G$4:$G$1203,$Z828-4000))=0,"",N(INDEX(客户自备加工筐明细!$G$4:$G$1203,$Z828-4000))),IF($Z828&lt;=5800,IF(ISNUMBER(SEARCH("退",INDEX(次果筐明细!$F$4:$F$603,$Z828-5200)&amp;"")),"",IF(N(INDEX(次果筐明细!$G$4:$G$603,$Z828-5200))=0,"",N(INDEX(次果筐明细!$G$4:$G$603,$Z828-5200)))),"")))))</f>
        <v/>
      </c>
      <c r="P828" s="40" t="str">
        <f>IF($Z828="","",IF($Z828&lt;=2000,"",IF($Z828&lt;=4000,IF(N(INDEX(周转筐出入库明细!$I$4:$I$2004,$Z828-2000))=0,"",N(INDEX(周转筐出入库明细!$I$4:$I$2004,$Z828-2000))),IF($Z828&lt;=5200,"",IF($Z828&lt;=5800,IF(ISNUMBER(SEARCH("退",INDEX(次果筐明细!$F$4:$F$603,$Z828-5200)&amp;"")),IF(N(INDEX(次果筐明细!$G$4:$G$603,$Z828-5200))=0,"",N(INDEX(次果筐明细!$G$4:$G$603,$Z828-5200))),""),"")))))</f>
        <v/>
      </c>
      <c r="Q828" s="40" t="str">
        <f>IF($Z828="","",IF($Z828&lt;=2000,"",IF($Z828&lt;=4000,IF(N(INDEX(周转筐出入库明细!$H$4:$H$2004,$Z828-2000))=0,"",N(INDEX(周转筐出入库明细!$H$4:$H$2004,$Z828-2000))),IF($Z828&lt;=5200,IF(N(INDEX(客户自备加工筐明细!$F$4:$F$1203,$Z828-4000))=0,"",N(INDEX(客户自备加工筐明细!$F$4:$F$1203,$Z828-4000))),IF($Z828&lt;=5800,"","")))))</f>
        <v/>
      </c>
      <c r="R828" s="16" t="str">
        <f>IF($Z828="","",IF($Z828&lt;=2000,IF(INDEX(包装物料出入库明细!$O$4:$O$2003,$Z828-0)=0,"",INDEX(包装物料出入库明细!$O$4:$O$2003,$Z828-0)),IF($Z828&lt;=4000,IF(INDEX(周转筐出入库明细!$M$4:$M$2004,$Z828-2000)=0,"",INDEX(周转筐出入库明细!$M$4:$M$2004,$Z828-2000)),IF($Z828&lt;=5200,IF(INDEX(客户自备加工筐明细!$H$4:$H$1203,$Z828-4000)=0,"",INDEX(客户自备加工筐明细!$H$4:$H$1203,$Z828-4000)),IF($Z828&lt;=5800,IF(INDEX(次果筐明细!$H$4:$H$603,$Z828-5200)=0,"",INDEX(次果筐明细!$H$4:$H$603,$Z828-5200)),"")))))</f>
        <v/>
      </c>
      <c r="S828" s="22" t="str">
        <f t="shared" si="38"/>
        <v/>
      </c>
      <c r="Z828" s="10" t="str">
        <f>IFERROR(MATCH(ROW()-3,_自动清单!$CQ$4:$CQ$5803,0),"")</f>
        <v/>
      </c>
    </row>
    <row r="829" spans="1:26">
      <c r="A829" s="24" t="str">
        <f t="shared" si="36"/>
        <v/>
      </c>
      <c r="B829" s="38" t="str">
        <f>IF($Z829="","",IF($Z829&lt;=2000,IF(INDEX(包装物料出入库明细!$B$4:$B$2003,$Z829-0)=0,"",INDEX(包装物料出入库明细!$B$4:$B$2003,$Z829-0)),IF($Z829&lt;=4000,IF(INDEX(周转筐出入库明细!$B$4:$B$2004,$Z829-2000)=0,"",INDEX(周转筐出入库明细!$B$4:$B$2004,$Z829-2000)),IF($Z829&lt;=5200,IF(INDEX(客户自备加工筐明细!$B$4:$B$1203,$Z829-4000)=0,"",INDEX(客户自备加工筐明细!$B$4:$B$1203,$Z829-4000)),IF($Z829&lt;=5800,IF(INDEX(次果筐明细!$B$4:$B$603,$Z829-5200)=0,"",INDEX(次果筐明细!$B$4:$B$603,$Z829-5200)),"")))))</f>
        <v/>
      </c>
      <c r="C829" s="37" t="str">
        <f>IF($Z829="","",IF($Z829&lt;=2000,IF(INDEX(包装物料出入库明细!$D$4:$D$2003,$Z829-0)=0,"",INDEX(包装物料出入库明细!$D$4:$D$2003,$Z829-0)),IF($Z829&lt;=4000,IF(INDEX(周转筐出入库明细!$C$4:$C$2004,$Z829-2000)=0,"",INDEX(周转筐出入库明细!$C$4:$C$2004,$Z829-2000)),IF($Z829&lt;=5200,IF(INDEX(客户自备加工筐明细!$E$4:$E$1203,$Z829-4000)=0,"",INDEX(客户自备加工筐明细!$E$4:$E$1203,$Z829-4000)),IF($Z829&lt;=5800,IF(INDEX(次果筐明细!$C$4:$C$603,$Z829-5200)=0,"",INDEX(次果筐明细!$C$4:$C$603,$Z829-5200)),"")))))</f>
        <v/>
      </c>
      <c r="D829" s="37" t="str">
        <f>IF($Z829="","",IF($Z829&lt;=2000,"包装物料－"&amp;INDEX(包装物料出入库明细!$H$4:$H$2003,$Z829-0),IF($Z829&lt;=4000,"周转筐－"&amp;INDEX(周转筐出入库明细!$F$4:$F$2004,$Z829-2000),IF($Z829&lt;=5200,"客户自备筐－"&amp;INDEX(客户自备加工筐明细!$J$4:$J$1203,$Z829-4000),IF($Z829&lt;=5800,"次果筐/托盘－"&amp;INDEX(次果筐明细!$F$4:$F$603,$Z829-5200),"")))))</f>
        <v/>
      </c>
      <c r="E829" s="24" t="str">
        <f>IF($Z829="","",IF($Z829&lt;=2000,IF(INDEX(包装物料出入库明细!$C$4:$C$2003,$Z829-0)=0,"",INDEX(包装物料出入库明细!$C$4:$C$2003,$Z829-0)),IF($Z829&lt;=4000,IF(INDEX(周转筐出入库明细!$E$4:$E$2004,$Z829-2000)=0,"",INDEX(周转筐出入库明细!$E$4:$E$2004,$Z829-2000)),IF($Z829&lt;=5200,IF(INDEX(客户自备加工筐明细!$D$4:$D$1203,$Z829-4000)=0,"",INDEX(客户自备加工筐明细!$D$4:$D$1203,$Z829-4000)),IF($Z829&lt;=5800,IF(INDEX(次果筐明细!$E$4:$E$603,$Z829-5200)=0,"",INDEX(次果筐明细!$E$4:$E$603,$Z829-5200)),"")))))</f>
        <v/>
      </c>
      <c r="F829" s="24" t="str">
        <f>IF($Z829="","",IF($Z829&lt;=2000,IF(INDEX(包装物料出入库明细!$E$4:$E$2003,$Z829-0)=0,"",INDEX(包装物料出入库明细!$E$4:$E$2003,$Z829-0)),IF($Z829&lt;=4000,IF(INDEX(周转筐出入库明细!$D$4:$D$2004,$Z829-2000)=0,"",INDEX(周转筐出入库明细!$D$4:$D$2004,$Z829-2000)),IF($Z829&lt;=5200,IF(INDEX(客户自备加工筐明细!$C$4:$C$1203,$Z829-4000)=0,"",INDEX(客户自备加工筐明细!$C$4:$C$1203,$Z829-4000)),IF($Z829&lt;=5800,IF(INDEX(次果筐明细!$D$4:$D$603,$Z829-5200)=0,"",INDEX(次果筐明细!$D$4:$D$603,$Z829-5200)),"")))))</f>
        <v/>
      </c>
      <c r="G829" s="24" t="str">
        <f>IF($Z829="","",IF($Z829&lt;=2000,IF(INDEX(包装物料出入库明细!$F$4:$F$2003,$Z829-0)=0,"",INDEX(包装物料出入库明细!$F$4:$F$2003,$Z829-0)),IF($Z829&lt;=4000,"",IF($Z829&lt;=5200,"",IF($Z829&lt;=5800,"","")))))</f>
        <v/>
      </c>
      <c r="H829" s="39" t="str">
        <f>IF($Z829="","",IF($Z829&lt;=2000,IF(INDEX(包装物料出入库明细!$L$4:$L$2003,$Z829-0)=0,"",INDEX(包装物料出入库明细!$L$4:$L$2003,$Z829-0)),IF($Z829&lt;=4000,N(INDEX(周转筐出入库明细!$H$4:$H$2004,$Z829-2000))+N(INDEX(周转筐出入库明细!$I$4:$I$2004,$Z829-2000))+N(INDEX(周转筐出入库明细!$J$4:$J$2004,$Z829-2000))+N(INDEX(周转筐出入库明细!$K$4:$K$2004,$Z829-2000)),IF($Z829&lt;=5200,N(INDEX(客户自备加工筐明细!$F$4:$F$1203,$Z829-4000))+N(INDEX(客户自备加工筐明细!$G$4:$G$1203,$Z829-4000)),IF($Z829&lt;=5800,IF(INDEX(次果筐明细!$G$4:$G$603,$Z829-5200)=0,"",INDEX(次果筐明细!$G$4:$G$603,$Z829-5200)),"")))))</f>
        <v/>
      </c>
      <c r="I829" s="24" t="str">
        <f>IF($Z829="","",IF($Z829&lt;=2000,IF(INDEX(包装物料出入库明细!$G$4:$G$2003,$Z829-0)=0,"",INDEX(包装物料出入库明细!$G$4:$G$2003,$Z829-0)),IF($Z829&lt;=4000,"个",IF($Z829&lt;=5200,"个",IF($Z829&lt;=5800,"个","")))))</f>
        <v/>
      </c>
      <c r="J829" s="30" t="str">
        <f t="shared" si="37"/>
        <v/>
      </c>
      <c r="K829" s="30" t="str">
        <f>IF($Z829="","",IF($Z829&lt;=2000,IF(INDEX(包装物料出入库明细!$N$4:$N$2003,$Z829-0)=0,"",INDEX(包装物料出入库明细!$N$4:$N$2003,$Z829-0)),IF($Z829&lt;=4000,IF(INDEX(周转筐出入库明细!$P$4:$P$2004,$Z829-2000)=0,"",INDEX(周转筐出入库明细!$P$4:$P$2004,$Z829-2000)),IF($Z829&lt;=5200,"",IF($Z829&lt;=5800,N(INDEX(次果筐明细!$L$4:$L$603,$Z829-5200))+N(INDEX(次果筐明细!$J$4:$J$603,$Z829-5200)),"")))))</f>
        <v/>
      </c>
      <c r="L829" s="24" t="str">
        <f>IF($Z829="","",IF($Z829&lt;=2000,IF(INDEX(包装物料出入库明细!$P$4:$P$2003,$Z829-0)=0,"",INDEX(包装物料出入库明细!$P$4:$P$2003,$Z829-0)),IF($Z829&lt;=4000,IF(INDEX(周转筐出入库明细!$Q$4:$Q$2004,$Z829-2000)=0,"",INDEX(周转筐出入库明细!$Q$4:$Q$2004,$Z829-2000)),IF($Z829&lt;=5200,"",IF($Z829&lt;=5800,IF(INDEX(次果筐明细!$M$4:$M$603,$Z829-5200)=0,"",INDEX(次果筐明细!$M$4:$M$603,$Z829-5200)),"")))))</f>
        <v/>
      </c>
      <c r="M829" s="37" t="str">
        <f>IF($Z829="","",IF($Z829&lt;=2000,IF(INDEX(包装物料出入库明细!$R$4:$R$2003,$Z829-0)=0,"",INDEX(包装物料出入库明细!$R$4:$R$2003,$Z829-0)),IF($Z829&lt;=4000,IF(INDEX(周转筐出入库明细!$W$4:$W$2004,$Z829-2000)=0,"",INDEX(周转筐出入库明细!$W$4:$W$2004,$Z829-2000)),IF($Z829&lt;=5200,IF(INDEX(客户自备加工筐明细!$L$4:$L$1203,$Z829-4000)=0,"",INDEX(客户自备加工筐明细!$L$4:$L$1203,$Z829-4000)),IF($Z829&lt;=5800,IF(INDEX(次果筐明细!$P$4:$P$603,$Z829-5200)=0,"",INDEX(次果筐明细!$P$4:$P$603,$Z829-5200)),"")))))</f>
        <v/>
      </c>
      <c r="N829" s="16" t="str">
        <f>IF($Z829="","",IF($Z829&lt;=2000,"",IF($Z829&lt;=4000,IF(INDEX(周转筐出入库明细!$D$4:$D$2004,$Z829-2000)=0,"",INDEX(周转筐出入库明细!$D$4:$D$2004,$Z829-2000)),IF($Z829&lt;=5200,IF(INDEX(客户自备加工筐明细!$C$4:$C$1203,$Z829-4000)=0,"",INDEX(客户自备加工筐明细!$C$4:$C$1203,$Z829-4000)),IF($Z829&lt;=5800,IF(INDEX(次果筐明细!$D$4:$D$603,$Z829-5200)=0,"",INDEX(次果筐明细!$D$4:$D$603,$Z829-5200)),"")))))</f>
        <v/>
      </c>
      <c r="O829" s="40" t="str">
        <f>IF($Z829="","",IF($Z829&lt;=2000,"",IF($Z829&lt;=4000,IF(N(INDEX(周转筐出入库明细!$J$4:$J$2004,$Z829-2000))+N(INDEX(周转筐出入库明细!$K$4:$K$2004,$Z829-2000))=0,"",N(INDEX(周转筐出入库明细!$J$4:$J$2004,$Z829-2000))+N(INDEX(周转筐出入库明细!$K$4:$K$2004,$Z829-2000))),IF($Z829&lt;=5200,IF(N(INDEX(客户自备加工筐明细!$G$4:$G$1203,$Z829-4000))=0,"",N(INDEX(客户自备加工筐明细!$G$4:$G$1203,$Z829-4000))),IF($Z829&lt;=5800,IF(ISNUMBER(SEARCH("退",INDEX(次果筐明细!$F$4:$F$603,$Z829-5200)&amp;"")),"",IF(N(INDEX(次果筐明细!$G$4:$G$603,$Z829-5200))=0,"",N(INDEX(次果筐明细!$G$4:$G$603,$Z829-5200)))),"")))))</f>
        <v/>
      </c>
      <c r="P829" s="40" t="str">
        <f>IF($Z829="","",IF($Z829&lt;=2000,"",IF($Z829&lt;=4000,IF(N(INDEX(周转筐出入库明细!$I$4:$I$2004,$Z829-2000))=0,"",N(INDEX(周转筐出入库明细!$I$4:$I$2004,$Z829-2000))),IF($Z829&lt;=5200,"",IF($Z829&lt;=5800,IF(ISNUMBER(SEARCH("退",INDEX(次果筐明细!$F$4:$F$603,$Z829-5200)&amp;"")),IF(N(INDEX(次果筐明细!$G$4:$G$603,$Z829-5200))=0,"",N(INDEX(次果筐明细!$G$4:$G$603,$Z829-5200))),""),"")))))</f>
        <v/>
      </c>
      <c r="Q829" s="40" t="str">
        <f>IF($Z829="","",IF($Z829&lt;=2000,"",IF($Z829&lt;=4000,IF(N(INDEX(周转筐出入库明细!$H$4:$H$2004,$Z829-2000))=0,"",N(INDEX(周转筐出入库明细!$H$4:$H$2004,$Z829-2000))),IF($Z829&lt;=5200,IF(N(INDEX(客户自备加工筐明细!$F$4:$F$1203,$Z829-4000))=0,"",N(INDEX(客户自备加工筐明细!$F$4:$F$1203,$Z829-4000))),IF($Z829&lt;=5800,"","")))))</f>
        <v/>
      </c>
      <c r="R829" s="16" t="str">
        <f>IF($Z829="","",IF($Z829&lt;=2000,IF(INDEX(包装物料出入库明细!$O$4:$O$2003,$Z829-0)=0,"",INDEX(包装物料出入库明细!$O$4:$O$2003,$Z829-0)),IF($Z829&lt;=4000,IF(INDEX(周转筐出入库明细!$M$4:$M$2004,$Z829-2000)=0,"",INDEX(周转筐出入库明细!$M$4:$M$2004,$Z829-2000)),IF($Z829&lt;=5200,IF(INDEX(客户自备加工筐明细!$H$4:$H$1203,$Z829-4000)=0,"",INDEX(客户自备加工筐明细!$H$4:$H$1203,$Z829-4000)),IF($Z829&lt;=5800,IF(INDEX(次果筐明细!$H$4:$H$603,$Z829-5200)=0,"",INDEX(次果筐明细!$H$4:$H$603,$Z829-5200)),"")))))</f>
        <v/>
      </c>
      <c r="S829" s="22" t="str">
        <f t="shared" si="38"/>
        <v/>
      </c>
      <c r="Z829" s="10" t="str">
        <f>IFERROR(MATCH(ROW()-3,_自动清单!$CQ$4:$CQ$5803,0),"")</f>
        <v/>
      </c>
    </row>
    <row r="830" spans="1:26">
      <c r="A830" s="24" t="str">
        <f t="shared" si="36"/>
        <v/>
      </c>
      <c r="B830" s="38" t="str">
        <f>IF($Z830="","",IF($Z830&lt;=2000,IF(INDEX(包装物料出入库明细!$B$4:$B$2003,$Z830-0)=0,"",INDEX(包装物料出入库明细!$B$4:$B$2003,$Z830-0)),IF($Z830&lt;=4000,IF(INDEX(周转筐出入库明细!$B$4:$B$2004,$Z830-2000)=0,"",INDEX(周转筐出入库明细!$B$4:$B$2004,$Z830-2000)),IF($Z830&lt;=5200,IF(INDEX(客户自备加工筐明细!$B$4:$B$1203,$Z830-4000)=0,"",INDEX(客户自备加工筐明细!$B$4:$B$1203,$Z830-4000)),IF($Z830&lt;=5800,IF(INDEX(次果筐明细!$B$4:$B$603,$Z830-5200)=0,"",INDEX(次果筐明细!$B$4:$B$603,$Z830-5200)),"")))))</f>
        <v/>
      </c>
      <c r="C830" s="37" t="str">
        <f>IF($Z830="","",IF($Z830&lt;=2000,IF(INDEX(包装物料出入库明细!$D$4:$D$2003,$Z830-0)=0,"",INDEX(包装物料出入库明细!$D$4:$D$2003,$Z830-0)),IF($Z830&lt;=4000,IF(INDEX(周转筐出入库明细!$C$4:$C$2004,$Z830-2000)=0,"",INDEX(周转筐出入库明细!$C$4:$C$2004,$Z830-2000)),IF($Z830&lt;=5200,IF(INDEX(客户自备加工筐明细!$E$4:$E$1203,$Z830-4000)=0,"",INDEX(客户自备加工筐明细!$E$4:$E$1203,$Z830-4000)),IF($Z830&lt;=5800,IF(INDEX(次果筐明细!$C$4:$C$603,$Z830-5200)=0,"",INDEX(次果筐明细!$C$4:$C$603,$Z830-5200)),"")))))</f>
        <v/>
      </c>
      <c r="D830" s="37" t="str">
        <f>IF($Z830="","",IF($Z830&lt;=2000,"包装物料－"&amp;INDEX(包装物料出入库明细!$H$4:$H$2003,$Z830-0),IF($Z830&lt;=4000,"周转筐－"&amp;INDEX(周转筐出入库明细!$F$4:$F$2004,$Z830-2000),IF($Z830&lt;=5200,"客户自备筐－"&amp;INDEX(客户自备加工筐明细!$J$4:$J$1203,$Z830-4000),IF($Z830&lt;=5800,"次果筐/托盘－"&amp;INDEX(次果筐明细!$F$4:$F$603,$Z830-5200),"")))))</f>
        <v/>
      </c>
      <c r="E830" s="24" t="str">
        <f>IF($Z830="","",IF($Z830&lt;=2000,IF(INDEX(包装物料出入库明细!$C$4:$C$2003,$Z830-0)=0,"",INDEX(包装物料出入库明细!$C$4:$C$2003,$Z830-0)),IF($Z830&lt;=4000,IF(INDEX(周转筐出入库明细!$E$4:$E$2004,$Z830-2000)=0,"",INDEX(周转筐出入库明细!$E$4:$E$2004,$Z830-2000)),IF($Z830&lt;=5200,IF(INDEX(客户自备加工筐明细!$D$4:$D$1203,$Z830-4000)=0,"",INDEX(客户自备加工筐明细!$D$4:$D$1203,$Z830-4000)),IF($Z830&lt;=5800,IF(INDEX(次果筐明细!$E$4:$E$603,$Z830-5200)=0,"",INDEX(次果筐明细!$E$4:$E$603,$Z830-5200)),"")))))</f>
        <v/>
      </c>
      <c r="F830" s="24" t="str">
        <f>IF($Z830="","",IF($Z830&lt;=2000,IF(INDEX(包装物料出入库明细!$E$4:$E$2003,$Z830-0)=0,"",INDEX(包装物料出入库明细!$E$4:$E$2003,$Z830-0)),IF($Z830&lt;=4000,IF(INDEX(周转筐出入库明细!$D$4:$D$2004,$Z830-2000)=0,"",INDEX(周转筐出入库明细!$D$4:$D$2004,$Z830-2000)),IF($Z830&lt;=5200,IF(INDEX(客户自备加工筐明细!$C$4:$C$1203,$Z830-4000)=0,"",INDEX(客户自备加工筐明细!$C$4:$C$1203,$Z830-4000)),IF($Z830&lt;=5800,IF(INDEX(次果筐明细!$D$4:$D$603,$Z830-5200)=0,"",INDEX(次果筐明细!$D$4:$D$603,$Z830-5200)),"")))))</f>
        <v/>
      </c>
      <c r="G830" s="24" t="str">
        <f>IF($Z830="","",IF($Z830&lt;=2000,IF(INDEX(包装物料出入库明细!$F$4:$F$2003,$Z830-0)=0,"",INDEX(包装物料出入库明细!$F$4:$F$2003,$Z830-0)),IF($Z830&lt;=4000,"",IF($Z830&lt;=5200,"",IF($Z830&lt;=5800,"","")))))</f>
        <v/>
      </c>
      <c r="H830" s="39" t="str">
        <f>IF($Z830="","",IF($Z830&lt;=2000,IF(INDEX(包装物料出入库明细!$L$4:$L$2003,$Z830-0)=0,"",INDEX(包装物料出入库明细!$L$4:$L$2003,$Z830-0)),IF($Z830&lt;=4000,N(INDEX(周转筐出入库明细!$H$4:$H$2004,$Z830-2000))+N(INDEX(周转筐出入库明细!$I$4:$I$2004,$Z830-2000))+N(INDEX(周转筐出入库明细!$J$4:$J$2004,$Z830-2000))+N(INDEX(周转筐出入库明细!$K$4:$K$2004,$Z830-2000)),IF($Z830&lt;=5200,N(INDEX(客户自备加工筐明细!$F$4:$F$1203,$Z830-4000))+N(INDEX(客户自备加工筐明细!$G$4:$G$1203,$Z830-4000)),IF($Z830&lt;=5800,IF(INDEX(次果筐明细!$G$4:$G$603,$Z830-5200)=0,"",INDEX(次果筐明细!$G$4:$G$603,$Z830-5200)),"")))))</f>
        <v/>
      </c>
      <c r="I830" s="24" t="str">
        <f>IF($Z830="","",IF($Z830&lt;=2000,IF(INDEX(包装物料出入库明细!$G$4:$G$2003,$Z830-0)=0,"",INDEX(包装物料出入库明细!$G$4:$G$2003,$Z830-0)),IF($Z830&lt;=4000,"个",IF($Z830&lt;=5200,"个",IF($Z830&lt;=5800,"个","")))))</f>
        <v/>
      </c>
      <c r="J830" s="30" t="str">
        <f t="shared" si="37"/>
        <v/>
      </c>
      <c r="K830" s="30" t="str">
        <f>IF($Z830="","",IF($Z830&lt;=2000,IF(INDEX(包装物料出入库明细!$N$4:$N$2003,$Z830-0)=0,"",INDEX(包装物料出入库明细!$N$4:$N$2003,$Z830-0)),IF($Z830&lt;=4000,IF(INDEX(周转筐出入库明细!$P$4:$P$2004,$Z830-2000)=0,"",INDEX(周转筐出入库明细!$P$4:$P$2004,$Z830-2000)),IF($Z830&lt;=5200,"",IF($Z830&lt;=5800,N(INDEX(次果筐明细!$L$4:$L$603,$Z830-5200))+N(INDEX(次果筐明细!$J$4:$J$603,$Z830-5200)),"")))))</f>
        <v/>
      </c>
      <c r="L830" s="24" t="str">
        <f>IF($Z830="","",IF($Z830&lt;=2000,IF(INDEX(包装物料出入库明细!$P$4:$P$2003,$Z830-0)=0,"",INDEX(包装物料出入库明细!$P$4:$P$2003,$Z830-0)),IF($Z830&lt;=4000,IF(INDEX(周转筐出入库明细!$Q$4:$Q$2004,$Z830-2000)=0,"",INDEX(周转筐出入库明细!$Q$4:$Q$2004,$Z830-2000)),IF($Z830&lt;=5200,"",IF($Z830&lt;=5800,IF(INDEX(次果筐明细!$M$4:$M$603,$Z830-5200)=0,"",INDEX(次果筐明细!$M$4:$M$603,$Z830-5200)),"")))))</f>
        <v/>
      </c>
      <c r="M830" s="37" t="str">
        <f>IF($Z830="","",IF($Z830&lt;=2000,IF(INDEX(包装物料出入库明细!$R$4:$R$2003,$Z830-0)=0,"",INDEX(包装物料出入库明细!$R$4:$R$2003,$Z830-0)),IF($Z830&lt;=4000,IF(INDEX(周转筐出入库明细!$W$4:$W$2004,$Z830-2000)=0,"",INDEX(周转筐出入库明细!$W$4:$W$2004,$Z830-2000)),IF($Z830&lt;=5200,IF(INDEX(客户自备加工筐明细!$L$4:$L$1203,$Z830-4000)=0,"",INDEX(客户自备加工筐明细!$L$4:$L$1203,$Z830-4000)),IF($Z830&lt;=5800,IF(INDEX(次果筐明细!$P$4:$P$603,$Z830-5200)=0,"",INDEX(次果筐明细!$P$4:$P$603,$Z830-5200)),"")))))</f>
        <v/>
      </c>
      <c r="N830" s="16" t="str">
        <f>IF($Z830="","",IF($Z830&lt;=2000,"",IF($Z830&lt;=4000,IF(INDEX(周转筐出入库明细!$D$4:$D$2004,$Z830-2000)=0,"",INDEX(周转筐出入库明细!$D$4:$D$2004,$Z830-2000)),IF($Z830&lt;=5200,IF(INDEX(客户自备加工筐明细!$C$4:$C$1203,$Z830-4000)=0,"",INDEX(客户自备加工筐明细!$C$4:$C$1203,$Z830-4000)),IF($Z830&lt;=5800,IF(INDEX(次果筐明细!$D$4:$D$603,$Z830-5200)=0,"",INDEX(次果筐明细!$D$4:$D$603,$Z830-5200)),"")))))</f>
        <v/>
      </c>
      <c r="O830" s="40" t="str">
        <f>IF($Z830="","",IF($Z830&lt;=2000,"",IF($Z830&lt;=4000,IF(N(INDEX(周转筐出入库明细!$J$4:$J$2004,$Z830-2000))+N(INDEX(周转筐出入库明细!$K$4:$K$2004,$Z830-2000))=0,"",N(INDEX(周转筐出入库明细!$J$4:$J$2004,$Z830-2000))+N(INDEX(周转筐出入库明细!$K$4:$K$2004,$Z830-2000))),IF($Z830&lt;=5200,IF(N(INDEX(客户自备加工筐明细!$G$4:$G$1203,$Z830-4000))=0,"",N(INDEX(客户自备加工筐明细!$G$4:$G$1203,$Z830-4000))),IF($Z830&lt;=5800,IF(ISNUMBER(SEARCH("退",INDEX(次果筐明细!$F$4:$F$603,$Z830-5200)&amp;"")),"",IF(N(INDEX(次果筐明细!$G$4:$G$603,$Z830-5200))=0,"",N(INDEX(次果筐明细!$G$4:$G$603,$Z830-5200)))),"")))))</f>
        <v/>
      </c>
      <c r="P830" s="40" t="str">
        <f>IF($Z830="","",IF($Z830&lt;=2000,"",IF($Z830&lt;=4000,IF(N(INDEX(周转筐出入库明细!$I$4:$I$2004,$Z830-2000))=0,"",N(INDEX(周转筐出入库明细!$I$4:$I$2004,$Z830-2000))),IF($Z830&lt;=5200,"",IF($Z830&lt;=5800,IF(ISNUMBER(SEARCH("退",INDEX(次果筐明细!$F$4:$F$603,$Z830-5200)&amp;"")),IF(N(INDEX(次果筐明细!$G$4:$G$603,$Z830-5200))=0,"",N(INDEX(次果筐明细!$G$4:$G$603,$Z830-5200))),""),"")))))</f>
        <v/>
      </c>
      <c r="Q830" s="40" t="str">
        <f>IF($Z830="","",IF($Z830&lt;=2000,"",IF($Z830&lt;=4000,IF(N(INDEX(周转筐出入库明细!$H$4:$H$2004,$Z830-2000))=0,"",N(INDEX(周转筐出入库明细!$H$4:$H$2004,$Z830-2000))),IF($Z830&lt;=5200,IF(N(INDEX(客户自备加工筐明细!$F$4:$F$1203,$Z830-4000))=0,"",N(INDEX(客户自备加工筐明细!$F$4:$F$1203,$Z830-4000))),IF($Z830&lt;=5800,"","")))))</f>
        <v/>
      </c>
      <c r="R830" s="16" t="str">
        <f>IF($Z830="","",IF($Z830&lt;=2000,IF(INDEX(包装物料出入库明细!$O$4:$O$2003,$Z830-0)=0,"",INDEX(包装物料出入库明细!$O$4:$O$2003,$Z830-0)),IF($Z830&lt;=4000,IF(INDEX(周转筐出入库明细!$M$4:$M$2004,$Z830-2000)=0,"",INDEX(周转筐出入库明细!$M$4:$M$2004,$Z830-2000)),IF($Z830&lt;=5200,IF(INDEX(客户自备加工筐明细!$H$4:$H$1203,$Z830-4000)=0,"",INDEX(客户自备加工筐明细!$H$4:$H$1203,$Z830-4000)),IF($Z830&lt;=5800,IF(INDEX(次果筐明细!$H$4:$H$603,$Z830-5200)=0,"",INDEX(次果筐明细!$H$4:$H$603,$Z830-5200)),"")))))</f>
        <v/>
      </c>
      <c r="S830" s="22" t="str">
        <f t="shared" si="38"/>
        <v/>
      </c>
      <c r="Z830" s="10" t="str">
        <f>IFERROR(MATCH(ROW()-3,_自动清单!$CQ$4:$CQ$5803,0),"")</f>
        <v/>
      </c>
    </row>
    <row r="831" spans="1:26">
      <c r="A831" s="24" t="str">
        <f t="shared" si="36"/>
        <v/>
      </c>
      <c r="B831" s="38" t="str">
        <f>IF($Z831="","",IF($Z831&lt;=2000,IF(INDEX(包装物料出入库明细!$B$4:$B$2003,$Z831-0)=0,"",INDEX(包装物料出入库明细!$B$4:$B$2003,$Z831-0)),IF($Z831&lt;=4000,IF(INDEX(周转筐出入库明细!$B$4:$B$2004,$Z831-2000)=0,"",INDEX(周转筐出入库明细!$B$4:$B$2004,$Z831-2000)),IF($Z831&lt;=5200,IF(INDEX(客户自备加工筐明细!$B$4:$B$1203,$Z831-4000)=0,"",INDEX(客户自备加工筐明细!$B$4:$B$1203,$Z831-4000)),IF($Z831&lt;=5800,IF(INDEX(次果筐明细!$B$4:$B$603,$Z831-5200)=0,"",INDEX(次果筐明细!$B$4:$B$603,$Z831-5200)),"")))))</f>
        <v/>
      </c>
      <c r="C831" s="37" t="str">
        <f>IF($Z831="","",IF($Z831&lt;=2000,IF(INDEX(包装物料出入库明细!$D$4:$D$2003,$Z831-0)=0,"",INDEX(包装物料出入库明细!$D$4:$D$2003,$Z831-0)),IF($Z831&lt;=4000,IF(INDEX(周转筐出入库明细!$C$4:$C$2004,$Z831-2000)=0,"",INDEX(周转筐出入库明细!$C$4:$C$2004,$Z831-2000)),IF($Z831&lt;=5200,IF(INDEX(客户自备加工筐明细!$E$4:$E$1203,$Z831-4000)=0,"",INDEX(客户自备加工筐明细!$E$4:$E$1203,$Z831-4000)),IF($Z831&lt;=5800,IF(INDEX(次果筐明细!$C$4:$C$603,$Z831-5200)=0,"",INDEX(次果筐明细!$C$4:$C$603,$Z831-5200)),"")))))</f>
        <v/>
      </c>
      <c r="D831" s="37" t="str">
        <f>IF($Z831="","",IF($Z831&lt;=2000,"包装物料－"&amp;INDEX(包装物料出入库明细!$H$4:$H$2003,$Z831-0),IF($Z831&lt;=4000,"周转筐－"&amp;INDEX(周转筐出入库明细!$F$4:$F$2004,$Z831-2000),IF($Z831&lt;=5200,"客户自备筐－"&amp;INDEX(客户自备加工筐明细!$J$4:$J$1203,$Z831-4000),IF($Z831&lt;=5800,"次果筐/托盘－"&amp;INDEX(次果筐明细!$F$4:$F$603,$Z831-5200),"")))))</f>
        <v/>
      </c>
      <c r="E831" s="24" t="str">
        <f>IF($Z831="","",IF($Z831&lt;=2000,IF(INDEX(包装物料出入库明细!$C$4:$C$2003,$Z831-0)=0,"",INDEX(包装物料出入库明细!$C$4:$C$2003,$Z831-0)),IF($Z831&lt;=4000,IF(INDEX(周转筐出入库明细!$E$4:$E$2004,$Z831-2000)=0,"",INDEX(周转筐出入库明细!$E$4:$E$2004,$Z831-2000)),IF($Z831&lt;=5200,IF(INDEX(客户自备加工筐明细!$D$4:$D$1203,$Z831-4000)=0,"",INDEX(客户自备加工筐明细!$D$4:$D$1203,$Z831-4000)),IF($Z831&lt;=5800,IF(INDEX(次果筐明细!$E$4:$E$603,$Z831-5200)=0,"",INDEX(次果筐明细!$E$4:$E$603,$Z831-5200)),"")))))</f>
        <v/>
      </c>
      <c r="F831" s="24" t="str">
        <f>IF($Z831="","",IF($Z831&lt;=2000,IF(INDEX(包装物料出入库明细!$E$4:$E$2003,$Z831-0)=0,"",INDEX(包装物料出入库明细!$E$4:$E$2003,$Z831-0)),IF($Z831&lt;=4000,IF(INDEX(周转筐出入库明细!$D$4:$D$2004,$Z831-2000)=0,"",INDEX(周转筐出入库明细!$D$4:$D$2004,$Z831-2000)),IF($Z831&lt;=5200,IF(INDEX(客户自备加工筐明细!$C$4:$C$1203,$Z831-4000)=0,"",INDEX(客户自备加工筐明细!$C$4:$C$1203,$Z831-4000)),IF($Z831&lt;=5800,IF(INDEX(次果筐明细!$D$4:$D$603,$Z831-5200)=0,"",INDEX(次果筐明细!$D$4:$D$603,$Z831-5200)),"")))))</f>
        <v/>
      </c>
      <c r="G831" s="24" t="str">
        <f>IF($Z831="","",IF($Z831&lt;=2000,IF(INDEX(包装物料出入库明细!$F$4:$F$2003,$Z831-0)=0,"",INDEX(包装物料出入库明细!$F$4:$F$2003,$Z831-0)),IF($Z831&lt;=4000,"",IF($Z831&lt;=5200,"",IF($Z831&lt;=5800,"","")))))</f>
        <v/>
      </c>
      <c r="H831" s="39" t="str">
        <f>IF($Z831="","",IF($Z831&lt;=2000,IF(INDEX(包装物料出入库明细!$L$4:$L$2003,$Z831-0)=0,"",INDEX(包装物料出入库明细!$L$4:$L$2003,$Z831-0)),IF($Z831&lt;=4000,N(INDEX(周转筐出入库明细!$H$4:$H$2004,$Z831-2000))+N(INDEX(周转筐出入库明细!$I$4:$I$2004,$Z831-2000))+N(INDEX(周转筐出入库明细!$J$4:$J$2004,$Z831-2000))+N(INDEX(周转筐出入库明细!$K$4:$K$2004,$Z831-2000)),IF($Z831&lt;=5200,N(INDEX(客户自备加工筐明细!$F$4:$F$1203,$Z831-4000))+N(INDEX(客户自备加工筐明细!$G$4:$G$1203,$Z831-4000)),IF($Z831&lt;=5800,IF(INDEX(次果筐明细!$G$4:$G$603,$Z831-5200)=0,"",INDEX(次果筐明细!$G$4:$G$603,$Z831-5200)),"")))))</f>
        <v/>
      </c>
      <c r="I831" s="24" t="str">
        <f>IF($Z831="","",IF($Z831&lt;=2000,IF(INDEX(包装物料出入库明细!$G$4:$G$2003,$Z831-0)=0,"",INDEX(包装物料出入库明细!$G$4:$G$2003,$Z831-0)),IF($Z831&lt;=4000,"个",IF($Z831&lt;=5200,"个",IF($Z831&lt;=5800,"个","")))))</f>
        <v/>
      </c>
      <c r="J831" s="30" t="str">
        <f t="shared" si="37"/>
        <v/>
      </c>
      <c r="K831" s="30" t="str">
        <f>IF($Z831="","",IF($Z831&lt;=2000,IF(INDEX(包装物料出入库明细!$N$4:$N$2003,$Z831-0)=0,"",INDEX(包装物料出入库明细!$N$4:$N$2003,$Z831-0)),IF($Z831&lt;=4000,IF(INDEX(周转筐出入库明细!$P$4:$P$2004,$Z831-2000)=0,"",INDEX(周转筐出入库明细!$P$4:$P$2004,$Z831-2000)),IF($Z831&lt;=5200,"",IF($Z831&lt;=5800,N(INDEX(次果筐明细!$L$4:$L$603,$Z831-5200))+N(INDEX(次果筐明细!$J$4:$J$603,$Z831-5200)),"")))))</f>
        <v/>
      </c>
      <c r="L831" s="24" t="str">
        <f>IF($Z831="","",IF($Z831&lt;=2000,IF(INDEX(包装物料出入库明细!$P$4:$P$2003,$Z831-0)=0,"",INDEX(包装物料出入库明细!$P$4:$P$2003,$Z831-0)),IF($Z831&lt;=4000,IF(INDEX(周转筐出入库明细!$Q$4:$Q$2004,$Z831-2000)=0,"",INDEX(周转筐出入库明细!$Q$4:$Q$2004,$Z831-2000)),IF($Z831&lt;=5200,"",IF($Z831&lt;=5800,IF(INDEX(次果筐明细!$M$4:$M$603,$Z831-5200)=0,"",INDEX(次果筐明细!$M$4:$M$603,$Z831-5200)),"")))))</f>
        <v/>
      </c>
      <c r="M831" s="37" t="str">
        <f>IF($Z831="","",IF($Z831&lt;=2000,IF(INDEX(包装物料出入库明细!$R$4:$R$2003,$Z831-0)=0,"",INDEX(包装物料出入库明细!$R$4:$R$2003,$Z831-0)),IF($Z831&lt;=4000,IF(INDEX(周转筐出入库明细!$W$4:$W$2004,$Z831-2000)=0,"",INDEX(周转筐出入库明细!$W$4:$W$2004,$Z831-2000)),IF($Z831&lt;=5200,IF(INDEX(客户自备加工筐明细!$L$4:$L$1203,$Z831-4000)=0,"",INDEX(客户自备加工筐明细!$L$4:$L$1203,$Z831-4000)),IF($Z831&lt;=5800,IF(INDEX(次果筐明细!$P$4:$P$603,$Z831-5200)=0,"",INDEX(次果筐明细!$P$4:$P$603,$Z831-5200)),"")))))</f>
        <v/>
      </c>
      <c r="N831" s="16" t="str">
        <f>IF($Z831="","",IF($Z831&lt;=2000,"",IF($Z831&lt;=4000,IF(INDEX(周转筐出入库明细!$D$4:$D$2004,$Z831-2000)=0,"",INDEX(周转筐出入库明细!$D$4:$D$2004,$Z831-2000)),IF($Z831&lt;=5200,IF(INDEX(客户自备加工筐明细!$C$4:$C$1203,$Z831-4000)=0,"",INDEX(客户自备加工筐明细!$C$4:$C$1203,$Z831-4000)),IF($Z831&lt;=5800,IF(INDEX(次果筐明细!$D$4:$D$603,$Z831-5200)=0,"",INDEX(次果筐明细!$D$4:$D$603,$Z831-5200)),"")))))</f>
        <v/>
      </c>
      <c r="O831" s="40" t="str">
        <f>IF($Z831="","",IF($Z831&lt;=2000,"",IF($Z831&lt;=4000,IF(N(INDEX(周转筐出入库明细!$J$4:$J$2004,$Z831-2000))+N(INDEX(周转筐出入库明细!$K$4:$K$2004,$Z831-2000))=0,"",N(INDEX(周转筐出入库明细!$J$4:$J$2004,$Z831-2000))+N(INDEX(周转筐出入库明细!$K$4:$K$2004,$Z831-2000))),IF($Z831&lt;=5200,IF(N(INDEX(客户自备加工筐明细!$G$4:$G$1203,$Z831-4000))=0,"",N(INDEX(客户自备加工筐明细!$G$4:$G$1203,$Z831-4000))),IF($Z831&lt;=5800,IF(ISNUMBER(SEARCH("退",INDEX(次果筐明细!$F$4:$F$603,$Z831-5200)&amp;"")),"",IF(N(INDEX(次果筐明细!$G$4:$G$603,$Z831-5200))=0,"",N(INDEX(次果筐明细!$G$4:$G$603,$Z831-5200)))),"")))))</f>
        <v/>
      </c>
      <c r="P831" s="40" t="str">
        <f>IF($Z831="","",IF($Z831&lt;=2000,"",IF($Z831&lt;=4000,IF(N(INDEX(周转筐出入库明细!$I$4:$I$2004,$Z831-2000))=0,"",N(INDEX(周转筐出入库明细!$I$4:$I$2004,$Z831-2000))),IF($Z831&lt;=5200,"",IF($Z831&lt;=5800,IF(ISNUMBER(SEARCH("退",INDEX(次果筐明细!$F$4:$F$603,$Z831-5200)&amp;"")),IF(N(INDEX(次果筐明细!$G$4:$G$603,$Z831-5200))=0,"",N(INDEX(次果筐明细!$G$4:$G$603,$Z831-5200))),""),"")))))</f>
        <v/>
      </c>
      <c r="Q831" s="40" t="str">
        <f>IF($Z831="","",IF($Z831&lt;=2000,"",IF($Z831&lt;=4000,IF(N(INDEX(周转筐出入库明细!$H$4:$H$2004,$Z831-2000))=0,"",N(INDEX(周转筐出入库明细!$H$4:$H$2004,$Z831-2000))),IF($Z831&lt;=5200,IF(N(INDEX(客户自备加工筐明细!$F$4:$F$1203,$Z831-4000))=0,"",N(INDEX(客户自备加工筐明细!$F$4:$F$1203,$Z831-4000))),IF($Z831&lt;=5800,"","")))))</f>
        <v/>
      </c>
      <c r="R831" s="16" t="str">
        <f>IF($Z831="","",IF($Z831&lt;=2000,IF(INDEX(包装物料出入库明细!$O$4:$O$2003,$Z831-0)=0,"",INDEX(包装物料出入库明细!$O$4:$O$2003,$Z831-0)),IF($Z831&lt;=4000,IF(INDEX(周转筐出入库明细!$M$4:$M$2004,$Z831-2000)=0,"",INDEX(周转筐出入库明细!$M$4:$M$2004,$Z831-2000)),IF($Z831&lt;=5200,IF(INDEX(客户自备加工筐明细!$H$4:$H$1203,$Z831-4000)=0,"",INDEX(客户自备加工筐明细!$H$4:$H$1203,$Z831-4000)),IF($Z831&lt;=5800,IF(INDEX(次果筐明细!$H$4:$H$603,$Z831-5200)=0,"",INDEX(次果筐明细!$H$4:$H$603,$Z831-5200)),"")))))</f>
        <v/>
      </c>
      <c r="S831" s="22" t="str">
        <f t="shared" si="38"/>
        <v/>
      </c>
      <c r="Z831" s="10" t="str">
        <f>IFERROR(MATCH(ROW()-3,_自动清单!$CQ$4:$CQ$5803,0),"")</f>
        <v/>
      </c>
    </row>
    <row r="832" spans="1:26">
      <c r="A832" s="24" t="str">
        <f t="shared" si="36"/>
        <v/>
      </c>
      <c r="B832" s="38" t="str">
        <f>IF($Z832="","",IF($Z832&lt;=2000,IF(INDEX(包装物料出入库明细!$B$4:$B$2003,$Z832-0)=0,"",INDEX(包装物料出入库明细!$B$4:$B$2003,$Z832-0)),IF($Z832&lt;=4000,IF(INDEX(周转筐出入库明细!$B$4:$B$2004,$Z832-2000)=0,"",INDEX(周转筐出入库明细!$B$4:$B$2004,$Z832-2000)),IF($Z832&lt;=5200,IF(INDEX(客户自备加工筐明细!$B$4:$B$1203,$Z832-4000)=0,"",INDEX(客户自备加工筐明细!$B$4:$B$1203,$Z832-4000)),IF($Z832&lt;=5800,IF(INDEX(次果筐明细!$B$4:$B$603,$Z832-5200)=0,"",INDEX(次果筐明细!$B$4:$B$603,$Z832-5200)),"")))))</f>
        <v/>
      </c>
      <c r="C832" s="37" t="str">
        <f>IF($Z832="","",IF($Z832&lt;=2000,IF(INDEX(包装物料出入库明细!$D$4:$D$2003,$Z832-0)=0,"",INDEX(包装物料出入库明细!$D$4:$D$2003,$Z832-0)),IF($Z832&lt;=4000,IF(INDEX(周转筐出入库明细!$C$4:$C$2004,$Z832-2000)=0,"",INDEX(周转筐出入库明细!$C$4:$C$2004,$Z832-2000)),IF($Z832&lt;=5200,IF(INDEX(客户自备加工筐明细!$E$4:$E$1203,$Z832-4000)=0,"",INDEX(客户自备加工筐明细!$E$4:$E$1203,$Z832-4000)),IF($Z832&lt;=5800,IF(INDEX(次果筐明细!$C$4:$C$603,$Z832-5200)=0,"",INDEX(次果筐明细!$C$4:$C$603,$Z832-5200)),"")))))</f>
        <v/>
      </c>
      <c r="D832" s="37" t="str">
        <f>IF($Z832="","",IF($Z832&lt;=2000,"包装物料－"&amp;INDEX(包装物料出入库明细!$H$4:$H$2003,$Z832-0),IF($Z832&lt;=4000,"周转筐－"&amp;INDEX(周转筐出入库明细!$F$4:$F$2004,$Z832-2000),IF($Z832&lt;=5200,"客户自备筐－"&amp;INDEX(客户自备加工筐明细!$J$4:$J$1203,$Z832-4000),IF($Z832&lt;=5800,"次果筐/托盘－"&amp;INDEX(次果筐明细!$F$4:$F$603,$Z832-5200),"")))))</f>
        <v/>
      </c>
      <c r="E832" s="24" t="str">
        <f>IF($Z832="","",IF($Z832&lt;=2000,IF(INDEX(包装物料出入库明细!$C$4:$C$2003,$Z832-0)=0,"",INDEX(包装物料出入库明细!$C$4:$C$2003,$Z832-0)),IF($Z832&lt;=4000,IF(INDEX(周转筐出入库明细!$E$4:$E$2004,$Z832-2000)=0,"",INDEX(周转筐出入库明细!$E$4:$E$2004,$Z832-2000)),IF($Z832&lt;=5200,IF(INDEX(客户自备加工筐明细!$D$4:$D$1203,$Z832-4000)=0,"",INDEX(客户自备加工筐明细!$D$4:$D$1203,$Z832-4000)),IF($Z832&lt;=5800,IF(INDEX(次果筐明细!$E$4:$E$603,$Z832-5200)=0,"",INDEX(次果筐明细!$E$4:$E$603,$Z832-5200)),"")))))</f>
        <v/>
      </c>
      <c r="F832" s="24" t="str">
        <f>IF($Z832="","",IF($Z832&lt;=2000,IF(INDEX(包装物料出入库明细!$E$4:$E$2003,$Z832-0)=0,"",INDEX(包装物料出入库明细!$E$4:$E$2003,$Z832-0)),IF($Z832&lt;=4000,IF(INDEX(周转筐出入库明细!$D$4:$D$2004,$Z832-2000)=0,"",INDEX(周转筐出入库明细!$D$4:$D$2004,$Z832-2000)),IF($Z832&lt;=5200,IF(INDEX(客户自备加工筐明细!$C$4:$C$1203,$Z832-4000)=0,"",INDEX(客户自备加工筐明细!$C$4:$C$1203,$Z832-4000)),IF($Z832&lt;=5800,IF(INDEX(次果筐明细!$D$4:$D$603,$Z832-5200)=0,"",INDEX(次果筐明细!$D$4:$D$603,$Z832-5200)),"")))))</f>
        <v/>
      </c>
      <c r="G832" s="24" t="str">
        <f>IF($Z832="","",IF($Z832&lt;=2000,IF(INDEX(包装物料出入库明细!$F$4:$F$2003,$Z832-0)=0,"",INDEX(包装物料出入库明细!$F$4:$F$2003,$Z832-0)),IF($Z832&lt;=4000,"",IF($Z832&lt;=5200,"",IF($Z832&lt;=5800,"","")))))</f>
        <v/>
      </c>
      <c r="H832" s="39" t="str">
        <f>IF($Z832="","",IF($Z832&lt;=2000,IF(INDEX(包装物料出入库明细!$L$4:$L$2003,$Z832-0)=0,"",INDEX(包装物料出入库明细!$L$4:$L$2003,$Z832-0)),IF($Z832&lt;=4000,N(INDEX(周转筐出入库明细!$H$4:$H$2004,$Z832-2000))+N(INDEX(周转筐出入库明细!$I$4:$I$2004,$Z832-2000))+N(INDEX(周转筐出入库明细!$J$4:$J$2004,$Z832-2000))+N(INDEX(周转筐出入库明细!$K$4:$K$2004,$Z832-2000)),IF($Z832&lt;=5200,N(INDEX(客户自备加工筐明细!$F$4:$F$1203,$Z832-4000))+N(INDEX(客户自备加工筐明细!$G$4:$G$1203,$Z832-4000)),IF($Z832&lt;=5800,IF(INDEX(次果筐明细!$G$4:$G$603,$Z832-5200)=0,"",INDEX(次果筐明细!$G$4:$G$603,$Z832-5200)),"")))))</f>
        <v/>
      </c>
      <c r="I832" s="24" t="str">
        <f>IF($Z832="","",IF($Z832&lt;=2000,IF(INDEX(包装物料出入库明细!$G$4:$G$2003,$Z832-0)=0,"",INDEX(包装物料出入库明细!$G$4:$G$2003,$Z832-0)),IF($Z832&lt;=4000,"个",IF($Z832&lt;=5200,"个",IF($Z832&lt;=5800,"个","")))))</f>
        <v/>
      </c>
      <c r="J832" s="30" t="str">
        <f t="shared" si="37"/>
        <v/>
      </c>
      <c r="K832" s="30" t="str">
        <f>IF($Z832="","",IF($Z832&lt;=2000,IF(INDEX(包装物料出入库明细!$N$4:$N$2003,$Z832-0)=0,"",INDEX(包装物料出入库明细!$N$4:$N$2003,$Z832-0)),IF($Z832&lt;=4000,IF(INDEX(周转筐出入库明细!$P$4:$P$2004,$Z832-2000)=0,"",INDEX(周转筐出入库明细!$P$4:$P$2004,$Z832-2000)),IF($Z832&lt;=5200,"",IF($Z832&lt;=5800,N(INDEX(次果筐明细!$L$4:$L$603,$Z832-5200))+N(INDEX(次果筐明细!$J$4:$J$603,$Z832-5200)),"")))))</f>
        <v/>
      </c>
      <c r="L832" s="24" t="str">
        <f>IF($Z832="","",IF($Z832&lt;=2000,IF(INDEX(包装物料出入库明细!$P$4:$P$2003,$Z832-0)=0,"",INDEX(包装物料出入库明细!$P$4:$P$2003,$Z832-0)),IF($Z832&lt;=4000,IF(INDEX(周转筐出入库明细!$Q$4:$Q$2004,$Z832-2000)=0,"",INDEX(周转筐出入库明细!$Q$4:$Q$2004,$Z832-2000)),IF($Z832&lt;=5200,"",IF($Z832&lt;=5800,IF(INDEX(次果筐明细!$M$4:$M$603,$Z832-5200)=0,"",INDEX(次果筐明细!$M$4:$M$603,$Z832-5200)),"")))))</f>
        <v/>
      </c>
      <c r="M832" s="37" t="str">
        <f>IF($Z832="","",IF($Z832&lt;=2000,IF(INDEX(包装物料出入库明细!$R$4:$R$2003,$Z832-0)=0,"",INDEX(包装物料出入库明细!$R$4:$R$2003,$Z832-0)),IF($Z832&lt;=4000,IF(INDEX(周转筐出入库明细!$W$4:$W$2004,$Z832-2000)=0,"",INDEX(周转筐出入库明细!$W$4:$W$2004,$Z832-2000)),IF($Z832&lt;=5200,IF(INDEX(客户自备加工筐明细!$L$4:$L$1203,$Z832-4000)=0,"",INDEX(客户自备加工筐明细!$L$4:$L$1203,$Z832-4000)),IF($Z832&lt;=5800,IF(INDEX(次果筐明细!$P$4:$P$603,$Z832-5200)=0,"",INDEX(次果筐明细!$P$4:$P$603,$Z832-5200)),"")))))</f>
        <v/>
      </c>
      <c r="N832" s="16" t="str">
        <f>IF($Z832="","",IF($Z832&lt;=2000,"",IF($Z832&lt;=4000,IF(INDEX(周转筐出入库明细!$D$4:$D$2004,$Z832-2000)=0,"",INDEX(周转筐出入库明细!$D$4:$D$2004,$Z832-2000)),IF($Z832&lt;=5200,IF(INDEX(客户自备加工筐明细!$C$4:$C$1203,$Z832-4000)=0,"",INDEX(客户自备加工筐明细!$C$4:$C$1203,$Z832-4000)),IF($Z832&lt;=5800,IF(INDEX(次果筐明细!$D$4:$D$603,$Z832-5200)=0,"",INDEX(次果筐明细!$D$4:$D$603,$Z832-5200)),"")))))</f>
        <v/>
      </c>
      <c r="O832" s="40" t="str">
        <f>IF($Z832="","",IF($Z832&lt;=2000,"",IF($Z832&lt;=4000,IF(N(INDEX(周转筐出入库明细!$J$4:$J$2004,$Z832-2000))+N(INDEX(周转筐出入库明细!$K$4:$K$2004,$Z832-2000))=0,"",N(INDEX(周转筐出入库明细!$J$4:$J$2004,$Z832-2000))+N(INDEX(周转筐出入库明细!$K$4:$K$2004,$Z832-2000))),IF($Z832&lt;=5200,IF(N(INDEX(客户自备加工筐明细!$G$4:$G$1203,$Z832-4000))=0,"",N(INDEX(客户自备加工筐明细!$G$4:$G$1203,$Z832-4000))),IF($Z832&lt;=5800,IF(ISNUMBER(SEARCH("退",INDEX(次果筐明细!$F$4:$F$603,$Z832-5200)&amp;"")),"",IF(N(INDEX(次果筐明细!$G$4:$G$603,$Z832-5200))=0,"",N(INDEX(次果筐明细!$G$4:$G$603,$Z832-5200)))),"")))))</f>
        <v/>
      </c>
      <c r="P832" s="40" t="str">
        <f>IF($Z832="","",IF($Z832&lt;=2000,"",IF($Z832&lt;=4000,IF(N(INDEX(周转筐出入库明细!$I$4:$I$2004,$Z832-2000))=0,"",N(INDEX(周转筐出入库明细!$I$4:$I$2004,$Z832-2000))),IF($Z832&lt;=5200,"",IF($Z832&lt;=5800,IF(ISNUMBER(SEARCH("退",INDEX(次果筐明细!$F$4:$F$603,$Z832-5200)&amp;"")),IF(N(INDEX(次果筐明细!$G$4:$G$603,$Z832-5200))=0,"",N(INDEX(次果筐明细!$G$4:$G$603,$Z832-5200))),""),"")))))</f>
        <v/>
      </c>
      <c r="Q832" s="40" t="str">
        <f>IF($Z832="","",IF($Z832&lt;=2000,"",IF($Z832&lt;=4000,IF(N(INDEX(周转筐出入库明细!$H$4:$H$2004,$Z832-2000))=0,"",N(INDEX(周转筐出入库明细!$H$4:$H$2004,$Z832-2000))),IF($Z832&lt;=5200,IF(N(INDEX(客户自备加工筐明细!$F$4:$F$1203,$Z832-4000))=0,"",N(INDEX(客户自备加工筐明细!$F$4:$F$1203,$Z832-4000))),IF($Z832&lt;=5800,"","")))))</f>
        <v/>
      </c>
      <c r="R832" s="16" t="str">
        <f>IF($Z832="","",IF($Z832&lt;=2000,IF(INDEX(包装物料出入库明细!$O$4:$O$2003,$Z832-0)=0,"",INDEX(包装物料出入库明细!$O$4:$O$2003,$Z832-0)),IF($Z832&lt;=4000,IF(INDEX(周转筐出入库明细!$M$4:$M$2004,$Z832-2000)=0,"",INDEX(周转筐出入库明细!$M$4:$M$2004,$Z832-2000)),IF($Z832&lt;=5200,IF(INDEX(客户自备加工筐明细!$H$4:$H$1203,$Z832-4000)=0,"",INDEX(客户自备加工筐明细!$H$4:$H$1203,$Z832-4000)),IF($Z832&lt;=5800,IF(INDEX(次果筐明细!$H$4:$H$603,$Z832-5200)=0,"",INDEX(次果筐明细!$H$4:$H$603,$Z832-5200)),"")))))</f>
        <v/>
      </c>
      <c r="S832" s="22" t="str">
        <f t="shared" si="38"/>
        <v/>
      </c>
      <c r="Z832" s="10" t="str">
        <f>IFERROR(MATCH(ROW()-3,_自动清单!$CQ$4:$CQ$5803,0),"")</f>
        <v/>
      </c>
    </row>
    <row r="833" spans="1:26">
      <c r="A833" s="24" t="str">
        <f t="shared" si="36"/>
        <v/>
      </c>
      <c r="B833" s="38" t="str">
        <f>IF($Z833="","",IF($Z833&lt;=2000,IF(INDEX(包装物料出入库明细!$B$4:$B$2003,$Z833-0)=0,"",INDEX(包装物料出入库明细!$B$4:$B$2003,$Z833-0)),IF($Z833&lt;=4000,IF(INDEX(周转筐出入库明细!$B$4:$B$2004,$Z833-2000)=0,"",INDEX(周转筐出入库明细!$B$4:$B$2004,$Z833-2000)),IF($Z833&lt;=5200,IF(INDEX(客户自备加工筐明细!$B$4:$B$1203,$Z833-4000)=0,"",INDEX(客户自备加工筐明细!$B$4:$B$1203,$Z833-4000)),IF($Z833&lt;=5800,IF(INDEX(次果筐明细!$B$4:$B$603,$Z833-5200)=0,"",INDEX(次果筐明细!$B$4:$B$603,$Z833-5200)),"")))))</f>
        <v/>
      </c>
      <c r="C833" s="37" t="str">
        <f>IF($Z833="","",IF($Z833&lt;=2000,IF(INDEX(包装物料出入库明细!$D$4:$D$2003,$Z833-0)=0,"",INDEX(包装物料出入库明细!$D$4:$D$2003,$Z833-0)),IF($Z833&lt;=4000,IF(INDEX(周转筐出入库明细!$C$4:$C$2004,$Z833-2000)=0,"",INDEX(周转筐出入库明细!$C$4:$C$2004,$Z833-2000)),IF($Z833&lt;=5200,IF(INDEX(客户自备加工筐明细!$E$4:$E$1203,$Z833-4000)=0,"",INDEX(客户自备加工筐明细!$E$4:$E$1203,$Z833-4000)),IF($Z833&lt;=5800,IF(INDEX(次果筐明细!$C$4:$C$603,$Z833-5200)=0,"",INDEX(次果筐明细!$C$4:$C$603,$Z833-5200)),"")))))</f>
        <v/>
      </c>
      <c r="D833" s="37" t="str">
        <f>IF($Z833="","",IF($Z833&lt;=2000,"包装物料－"&amp;INDEX(包装物料出入库明细!$H$4:$H$2003,$Z833-0),IF($Z833&lt;=4000,"周转筐－"&amp;INDEX(周转筐出入库明细!$F$4:$F$2004,$Z833-2000),IF($Z833&lt;=5200,"客户自备筐－"&amp;INDEX(客户自备加工筐明细!$J$4:$J$1203,$Z833-4000),IF($Z833&lt;=5800,"次果筐/托盘－"&amp;INDEX(次果筐明细!$F$4:$F$603,$Z833-5200),"")))))</f>
        <v/>
      </c>
      <c r="E833" s="24" t="str">
        <f>IF($Z833="","",IF($Z833&lt;=2000,IF(INDEX(包装物料出入库明细!$C$4:$C$2003,$Z833-0)=0,"",INDEX(包装物料出入库明细!$C$4:$C$2003,$Z833-0)),IF($Z833&lt;=4000,IF(INDEX(周转筐出入库明细!$E$4:$E$2004,$Z833-2000)=0,"",INDEX(周转筐出入库明细!$E$4:$E$2004,$Z833-2000)),IF($Z833&lt;=5200,IF(INDEX(客户自备加工筐明细!$D$4:$D$1203,$Z833-4000)=0,"",INDEX(客户自备加工筐明细!$D$4:$D$1203,$Z833-4000)),IF($Z833&lt;=5800,IF(INDEX(次果筐明细!$E$4:$E$603,$Z833-5200)=0,"",INDEX(次果筐明细!$E$4:$E$603,$Z833-5200)),"")))))</f>
        <v/>
      </c>
      <c r="F833" s="24" t="str">
        <f>IF($Z833="","",IF($Z833&lt;=2000,IF(INDEX(包装物料出入库明细!$E$4:$E$2003,$Z833-0)=0,"",INDEX(包装物料出入库明细!$E$4:$E$2003,$Z833-0)),IF($Z833&lt;=4000,IF(INDEX(周转筐出入库明细!$D$4:$D$2004,$Z833-2000)=0,"",INDEX(周转筐出入库明细!$D$4:$D$2004,$Z833-2000)),IF($Z833&lt;=5200,IF(INDEX(客户自备加工筐明细!$C$4:$C$1203,$Z833-4000)=0,"",INDEX(客户自备加工筐明细!$C$4:$C$1203,$Z833-4000)),IF($Z833&lt;=5800,IF(INDEX(次果筐明细!$D$4:$D$603,$Z833-5200)=0,"",INDEX(次果筐明细!$D$4:$D$603,$Z833-5200)),"")))))</f>
        <v/>
      </c>
      <c r="G833" s="24" t="str">
        <f>IF($Z833="","",IF($Z833&lt;=2000,IF(INDEX(包装物料出入库明细!$F$4:$F$2003,$Z833-0)=0,"",INDEX(包装物料出入库明细!$F$4:$F$2003,$Z833-0)),IF($Z833&lt;=4000,"",IF($Z833&lt;=5200,"",IF($Z833&lt;=5800,"","")))))</f>
        <v/>
      </c>
      <c r="H833" s="39" t="str">
        <f>IF($Z833="","",IF($Z833&lt;=2000,IF(INDEX(包装物料出入库明细!$L$4:$L$2003,$Z833-0)=0,"",INDEX(包装物料出入库明细!$L$4:$L$2003,$Z833-0)),IF($Z833&lt;=4000,N(INDEX(周转筐出入库明细!$H$4:$H$2004,$Z833-2000))+N(INDEX(周转筐出入库明细!$I$4:$I$2004,$Z833-2000))+N(INDEX(周转筐出入库明细!$J$4:$J$2004,$Z833-2000))+N(INDEX(周转筐出入库明细!$K$4:$K$2004,$Z833-2000)),IF($Z833&lt;=5200,N(INDEX(客户自备加工筐明细!$F$4:$F$1203,$Z833-4000))+N(INDEX(客户自备加工筐明细!$G$4:$G$1203,$Z833-4000)),IF($Z833&lt;=5800,IF(INDEX(次果筐明细!$G$4:$G$603,$Z833-5200)=0,"",INDEX(次果筐明细!$G$4:$G$603,$Z833-5200)),"")))))</f>
        <v/>
      </c>
      <c r="I833" s="24" t="str">
        <f>IF($Z833="","",IF($Z833&lt;=2000,IF(INDEX(包装物料出入库明细!$G$4:$G$2003,$Z833-0)=0,"",INDEX(包装物料出入库明细!$G$4:$G$2003,$Z833-0)),IF($Z833&lt;=4000,"个",IF($Z833&lt;=5200,"个",IF($Z833&lt;=5800,"个","")))))</f>
        <v/>
      </c>
      <c r="J833" s="30" t="str">
        <f t="shared" si="37"/>
        <v/>
      </c>
      <c r="K833" s="30" t="str">
        <f>IF($Z833="","",IF($Z833&lt;=2000,IF(INDEX(包装物料出入库明细!$N$4:$N$2003,$Z833-0)=0,"",INDEX(包装物料出入库明细!$N$4:$N$2003,$Z833-0)),IF($Z833&lt;=4000,IF(INDEX(周转筐出入库明细!$P$4:$P$2004,$Z833-2000)=0,"",INDEX(周转筐出入库明细!$P$4:$P$2004,$Z833-2000)),IF($Z833&lt;=5200,"",IF($Z833&lt;=5800,N(INDEX(次果筐明细!$L$4:$L$603,$Z833-5200))+N(INDEX(次果筐明细!$J$4:$J$603,$Z833-5200)),"")))))</f>
        <v/>
      </c>
      <c r="L833" s="24" t="str">
        <f>IF($Z833="","",IF($Z833&lt;=2000,IF(INDEX(包装物料出入库明细!$P$4:$P$2003,$Z833-0)=0,"",INDEX(包装物料出入库明细!$P$4:$P$2003,$Z833-0)),IF($Z833&lt;=4000,IF(INDEX(周转筐出入库明细!$Q$4:$Q$2004,$Z833-2000)=0,"",INDEX(周转筐出入库明细!$Q$4:$Q$2004,$Z833-2000)),IF($Z833&lt;=5200,"",IF($Z833&lt;=5800,IF(INDEX(次果筐明细!$M$4:$M$603,$Z833-5200)=0,"",INDEX(次果筐明细!$M$4:$M$603,$Z833-5200)),"")))))</f>
        <v/>
      </c>
      <c r="M833" s="37" t="str">
        <f>IF($Z833="","",IF($Z833&lt;=2000,IF(INDEX(包装物料出入库明细!$R$4:$R$2003,$Z833-0)=0,"",INDEX(包装物料出入库明细!$R$4:$R$2003,$Z833-0)),IF($Z833&lt;=4000,IF(INDEX(周转筐出入库明细!$W$4:$W$2004,$Z833-2000)=0,"",INDEX(周转筐出入库明细!$W$4:$W$2004,$Z833-2000)),IF($Z833&lt;=5200,IF(INDEX(客户自备加工筐明细!$L$4:$L$1203,$Z833-4000)=0,"",INDEX(客户自备加工筐明细!$L$4:$L$1203,$Z833-4000)),IF($Z833&lt;=5800,IF(INDEX(次果筐明细!$P$4:$P$603,$Z833-5200)=0,"",INDEX(次果筐明细!$P$4:$P$603,$Z833-5200)),"")))))</f>
        <v/>
      </c>
      <c r="N833" s="16" t="str">
        <f>IF($Z833="","",IF($Z833&lt;=2000,"",IF($Z833&lt;=4000,IF(INDEX(周转筐出入库明细!$D$4:$D$2004,$Z833-2000)=0,"",INDEX(周转筐出入库明细!$D$4:$D$2004,$Z833-2000)),IF($Z833&lt;=5200,IF(INDEX(客户自备加工筐明细!$C$4:$C$1203,$Z833-4000)=0,"",INDEX(客户自备加工筐明细!$C$4:$C$1203,$Z833-4000)),IF($Z833&lt;=5800,IF(INDEX(次果筐明细!$D$4:$D$603,$Z833-5200)=0,"",INDEX(次果筐明细!$D$4:$D$603,$Z833-5200)),"")))))</f>
        <v/>
      </c>
      <c r="O833" s="40" t="str">
        <f>IF($Z833="","",IF($Z833&lt;=2000,"",IF($Z833&lt;=4000,IF(N(INDEX(周转筐出入库明细!$J$4:$J$2004,$Z833-2000))+N(INDEX(周转筐出入库明细!$K$4:$K$2004,$Z833-2000))=0,"",N(INDEX(周转筐出入库明细!$J$4:$J$2004,$Z833-2000))+N(INDEX(周转筐出入库明细!$K$4:$K$2004,$Z833-2000))),IF($Z833&lt;=5200,IF(N(INDEX(客户自备加工筐明细!$G$4:$G$1203,$Z833-4000))=0,"",N(INDEX(客户自备加工筐明细!$G$4:$G$1203,$Z833-4000))),IF($Z833&lt;=5800,IF(ISNUMBER(SEARCH("退",INDEX(次果筐明细!$F$4:$F$603,$Z833-5200)&amp;"")),"",IF(N(INDEX(次果筐明细!$G$4:$G$603,$Z833-5200))=0,"",N(INDEX(次果筐明细!$G$4:$G$603,$Z833-5200)))),"")))))</f>
        <v/>
      </c>
      <c r="P833" s="40" t="str">
        <f>IF($Z833="","",IF($Z833&lt;=2000,"",IF($Z833&lt;=4000,IF(N(INDEX(周转筐出入库明细!$I$4:$I$2004,$Z833-2000))=0,"",N(INDEX(周转筐出入库明细!$I$4:$I$2004,$Z833-2000))),IF($Z833&lt;=5200,"",IF($Z833&lt;=5800,IF(ISNUMBER(SEARCH("退",INDEX(次果筐明细!$F$4:$F$603,$Z833-5200)&amp;"")),IF(N(INDEX(次果筐明细!$G$4:$G$603,$Z833-5200))=0,"",N(INDEX(次果筐明细!$G$4:$G$603,$Z833-5200))),""),"")))))</f>
        <v/>
      </c>
      <c r="Q833" s="40" t="str">
        <f>IF($Z833="","",IF($Z833&lt;=2000,"",IF($Z833&lt;=4000,IF(N(INDEX(周转筐出入库明细!$H$4:$H$2004,$Z833-2000))=0,"",N(INDEX(周转筐出入库明细!$H$4:$H$2004,$Z833-2000))),IF($Z833&lt;=5200,IF(N(INDEX(客户自备加工筐明细!$F$4:$F$1203,$Z833-4000))=0,"",N(INDEX(客户自备加工筐明细!$F$4:$F$1203,$Z833-4000))),IF($Z833&lt;=5800,"","")))))</f>
        <v/>
      </c>
      <c r="R833" s="16" t="str">
        <f>IF($Z833="","",IF($Z833&lt;=2000,IF(INDEX(包装物料出入库明细!$O$4:$O$2003,$Z833-0)=0,"",INDEX(包装物料出入库明细!$O$4:$O$2003,$Z833-0)),IF($Z833&lt;=4000,IF(INDEX(周转筐出入库明细!$M$4:$M$2004,$Z833-2000)=0,"",INDEX(周转筐出入库明细!$M$4:$M$2004,$Z833-2000)),IF($Z833&lt;=5200,IF(INDEX(客户自备加工筐明细!$H$4:$H$1203,$Z833-4000)=0,"",INDEX(客户自备加工筐明细!$H$4:$H$1203,$Z833-4000)),IF($Z833&lt;=5800,IF(INDEX(次果筐明细!$H$4:$H$603,$Z833-5200)=0,"",INDEX(次果筐明细!$H$4:$H$603,$Z833-5200)),"")))))</f>
        <v/>
      </c>
      <c r="S833" s="22" t="str">
        <f t="shared" si="38"/>
        <v/>
      </c>
      <c r="Z833" s="10" t="str">
        <f>IFERROR(MATCH(ROW()-3,_自动清单!$CQ$4:$CQ$5803,0),"")</f>
        <v/>
      </c>
    </row>
    <row r="834" spans="1:26">
      <c r="A834" s="24" t="str">
        <f t="shared" si="36"/>
        <v/>
      </c>
      <c r="B834" s="38" t="str">
        <f>IF($Z834="","",IF($Z834&lt;=2000,IF(INDEX(包装物料出入库明细!$B$4:$B$2003,$Z834-0)=0,"",INDEX(包装物料出入库明细!$B$4:$B$2003,$Z834-0)),IF($Z834&lt;=4000,IF(INDEX(周转筐出入库明细!$B$4:$B$2004,$Z834-2000)=0,"",INDEX(周转筐出入库明细!$B$4:$B$2004,$Z834-2000)),IF($Z834&lt;=5200,IF(INDEX(客户自备加工筐明细!$B$4:$B$1203,$Z834-4000)=0,"",INDEX(客户自备加工筐明细!$B$4:$B$1203,$Z834-4000)),IF($Z834&lt;=5800,IF(INDEX(次果筐明细!$B$4:$B$603,$Z834-5200)=0,"",INDEX(次果筐明细!$B$4:$B$603,$Z834-5200)),"")))))</f>
        <v/>
      </c>
      <c r="C834" s="37" t="str">
        <f>IF($Z834="","",IF($Z834&lt;=2000,IF(INDEX(包装物料出入库明细!$D$4:$D$2003,$Z834-0)=0,"",INDEX(包装物料出入库明细!$D$4:$D$2003,$Z834-0)),IF($Z834&lt;=4000,IF(INDEX(周转筐出入库明细!$C$4:$C$2004,$Z834-2000)=0,"",INDEX(周转筐出入库明细!$C$4:$C$2004,$Z834-2000)),IF($Z834&lt;=5200,IF(INDEX(客户自备加工筐明细!$E$4:$E$1203,$Z834-4000)=0,"",INDEX(客户自备加工筐明细!$E$4:$E$1203,$Z834-4000)),IF($Z834&lt;=5800,IF(INDEX(次果筐明细!$C$4:$C$603,$Z834-5200)=0,"",INDEX(次果筐明细!$C$4:$C$603,$Z834-5200)),"")))))</f>
        <v/>
      </c>
      <c r="D834" s="37" t="str">
        <f>IF($Z834="","",IF($Z834&lt;=2000,"包装物料－"&amp;INDEX(包装物料出入库明细!$H$4:$H$2003,$Z834-0),IF($Z834&lt;=4000,"周转筐－"&amp;INDEX(周转筐出入库明细!$F$4:$F$2004,$Z834-2000),IF($Z834&lt;=5200,"客户自备筐－"&amp;INDEX(客户自备加工筐明细!$J$4:$J$1203,$Z834-4000),IF($Z834&lt;=5800,"次果筐/托盘－"&amp;INDEX(次果筐明细!$F$4:$F$603,$Z834-5200),"")))))</f>
        <v/>
      </c>
      <c r="E834" s="24" t="str">
        <f>IF($Z834="","",IF($Z834&lt;=2000,IF(INDEX(包装物料出入库明细!$C$4:$C$2003,$Z834-0)=0,"",INDEX(包装物料出入库明细!$C$4:$C$2003,$Z834-0)),IF($Z834&lt;=4000,IF(INDEX(周转筐出入库明细!$E$4:$E$2004,$Z834-2000)=0,"",INDEX(周转筐出入库明细!$E$4:$E$2004,$Z834-2000)),IF($Z834&lt;=5200,IF(INDEX(客户自备加工筐明细!$D$4:$D$1203,$Z834-4000)=0,"",INDEX(客户自备加工筐明细!$D$4:$D$1203,$Z834-4000)),IF($Z834&lt;=5800,IF(INDEX(次果筐明细!$E$4:$E$603,$Z834-5200)=0,"",INDEX(次果筐明细!$E$4:$E$603,$Z834-5200)),"")))))</f>
        <v/>
      </c>
      <c r="F834" s="24" t="str">
        <f>IF($Z834="","",IF($Z834&lt;=2000,IF(INDEX(包装物料出入库明细!$E$4:$E$2003,$Z834-0)=0,"",INDEX(包装物料出入库明细!$E$4:$E$2003,$Z834-0)),IF($Z834&lt;=4000,IF(INDEX(周转筐出入库明细!$D$4:$D$2004,$Z834-2000)=0,"",INDEX(周转筐出入库明细!$D$4:$D$2004,$Z834-2000)),IF($Z834&lt;=5200,IF(INDEX(客户自备加工筐明细!$C$4:$C$1203,$Z834-4000)=0,"",INDEX(客户自备加工筐明细!$C$4:$C$1203,$Z834-4000)),IF($Z834&lt;=5800,IF(INDEX(次果筐明细!$D$4:$D$603,$Z834-5200)=0,"",INDEX(次果筐明细!$D$4:$D$603,$Z834-5200)),"")))))</f>
        <v/>
      </c>
      <c r="G834" s="24" t="str">
        <f>IF($Z834="","",IF($Z834&lt;=2000,IF(INDEX(包装物料出入库明细!$F$4:$F$2003,$Z834-0)=0,"",INDEX(包装物料出入库明细!$F$4:$F$2003,$Z834-0)),IF($Z834&lt;=4000,"",IF($Z834&lt;=5200,"",IF($Z834&lt;=5800,"","")))))</f>
        <v/>
      </c>
      <c r="H834" s="39" t="str">
        <f>IF($Z834="","",IF($Z834&lt;=2000,IF(INDEX(包装物料出入库明细!$L$4:$L$2003,$Z834-0)=0,"",INDEX(包装物料出入库明细!$L$4:$L$2003,$Z834-0)),IF($Z834&lt;=4000,N(INDEX(周转筐出入库明细!$H$4:$H$2004,$Z834-2000))+N(INDEX(周转筐出入库明细!$I$4:$I$2004,$Z834-2000))+N(INDEX(周转筐出入库明细!$J$4:$J$2004,$Z834-2000))+N(INDEX(周转筐出入库明细!$K$4:$K$2004,$Z834-2000)),IF($Z834&lt;=5200,N(INDEX(客户自备加工筐明细!$F$4:$F$1203,$Z834-4000))+N(INDEX(客户自备加工筐明细!$G$4:$G$1203,$Z834-4000)),IF($Z834&lt;=5800,IF(INDEX(次果筐明细!$G$4:$G$603,$Z834-5200)=0,"",INDEX(次果筐明细!$G$4:$G$603,$Z834-5200)),"")))))</f>
        <v/>
      </c>
      <c r="I834" s="24" t="str">
        <f>IF($Z834="","",IF($Z834&lt;=2000,IF(INDEX(包装物料出入库明细!$G$4:$G$2003,$Z834-0)=0,"",INDEX(包装物料出入库明细!$G$4:$G$2003,$Z834-0)),IF($Z834&lt;=4000,"个",IF($Z834&lt;=5200,"个",IF($Z834&lt;=5800,"个","")))))</f>
        <v/>
      </c>
      <c r="J834" s="30" t="str">
        <f t="shared" si="37"/>
        <v/>
      </c>
      <c r="K834" s="30" t="str">
        <f>IF($Z834="","",IF($Z834&lt;=2000,IF(INDEX(包装物料出入库明细!$N$4:$N$2003,$Z834-0)=0,"",INDEX(包装物料出入库明细!$N$4:$N$2003,$Z834-0)),IF($Z834&lt;=4000,IF(INDEX(周转筐出入库明细!$P$4:$P$2004,$Z834-2000)=0,"",INDEX(周转筐出入库明细!$P$4:$P$2004,$Z834-2000)),IF($Z834&lt;=5200,"",IF($Z834&lt;=5800,N(INDEX(次果筐明细!$L$4:$L$603,$Z834-5200))+N(INDEX(次果筐明细!$J$4:$J$603,$Z834-5200)),"")))))</f>
        <v/>
      </c>
      <c r="L834" s="24" t="str">
        <f>IF($Z834="","",IF($Z834&lt;=2000,IF(INDEX(包装物料出入库明细!$P$4:$P$2003,$Z834-0)=0,"",INDEX(包装物料出入库明细!$P$4:$P$2003,$Z834-0)),IF($Z834&lt;=4000,IF(INDEX(周转筐出入库明细!$Q$4:$Q$2004,$Z834-2000)=0,"",INDEX(周转筐出入库明细!$Q$4:$Q$2004,$Z834-2000)),IF($Z834&lt;=5200,"",IF($Z834&lt;=5800,IF(INDEX(次果筐明细!$M$4:$M$603,$Z834-5200)=0,"",INDEX(次果筐明细!$M$4:$M$603,$Z834-5200)),"")))))</f>
        <v/>
      </c>
      <c r="M834" s="37" t="str">
        <f>IF($Z834="","",IF($Z834&lt;=2000,IF(INDEX(包装物料出入库明细!$R$4:$R$2003,$Z834-0)=0,"",INDEX(包装物料出入库明细!$R$4:$R$2003,$Z834-0)),IF($Z834&lt;=4000,IF(INDEX(周转筐出入库明细!$W$4:$W$2004,$Z834-2000)=0,"",INDEX(周转筐出入库明细!$W$4:$W$2004,$Z834-2000)),IF($Z834&lt;=5200,IF(INDEX(客户自备加工筐明细!$L$4:$L$1203,$Z834-4000)=0,"",INDEX(客户自备加工筐明细!$L$4:$L$1203,$Z834-4000)),IF($Z834&lt;=5800,IF(INDEX(次果筐明细!$P$4:$P$603,$Z834-5200)=0,"",INDEX(次果筐明细!$P$4:$P$603,$Z834-5200)),"")))))</f>
        <v/>
      </c>
      <c r="N834" s="16" t="str">
        <f>IF($Z834="","",IF($Z834&lt;=2000,"",IF($Z834&lt;=4000,IF(INDEX(周转筐出入库明细!$D$4:$D$2004,$Z834-2000)=0,"",INDEX(周转筐出入库明细!$D$4:$D$2004,$Z834-2000)),IF($Z834&lt;=5200,IF(INDEX(客户自备加工筐明细!$C$4:$C$1203,$Z834-4000)=0,"",INDEX(客户自备加工筐明细!$C$4:$C$1203,$Z834-4000)),IF($Z834&lt;=5800,IF(INDEX(次果筐明细!$D$4:$D$603,$Z834-5200)=0,"",INDEX(次果筐明细!$D$4:$D$603,$Z834-5200)),"")))))</f>
        <v/>
      </c>
      <c r="O834" s="40" t="str">
        <f>IF($Z834="","",IF($Z834&lt;=2000,"",IF($Z834&lt;=4000,IF(N(INDEX(周转筐出入库明细!$J$4:$J$2004,$Z834-2000))+N(INDEX(周转筐出入库明细!$K$4:$K$2004,$Z834-2000))=0,"",N(INDEX(周转筐出入库明细!$J$4:$J$2004,$Z834-2000))+N(INDEX(周转筐出入库明细!$K$4:$K$2004,$Z834-2000))),IF($Z834&lt;=5200,IF(N(INDEX(客户自备加工筐明细!$G$4:$G$1203,$Z834-4000))=0,"",N(INDEX(客户自备加工筐明细!$G$4:$G$1203,$Z834-4000))),IF($Z834&lt;=5800,IF(ISNUMBER(SEARCH("退",INDEX(次果筐明细!$F$4:$F$603,$Z834-5200)&amp;"")),"",IF(N(INDEX(次果筐明细!$G$4:$G$603,$Z834-5200))=0,"",N(INDEX(次果筐明细!$G$4:$G$603,$Z834-5200)))),"")))))</f>
        <v/>
      </c>
      <c r="P834" s="40" t="str">
        <f>IF($Z834="","",IF($Z834&lt;=2000,"",IF($Z834&lt;=4000,IF(N(INDEX(周转筐出入库明细!$I$4:$I$2004,$Z834-2000))=0,"",N(INDEX(周转筐出入库明细!$I$4:$I$2004,$Z834-2000))),IF($Z834&lt;=5200,"",IF($Z834&lt;=5800,IF(ISNUMBER(SEARCH("退",INDEX(次果筐明细!$F$4:$F$603,$Z834-5200)&amp;"")),IF(N(INDEX(次果筐明细!$G$4:$G$603,$Z834-5200))=0,"",N(INDEX(次果筐明细!$G$4:$G$603,$Z834-5200))),""),"")))))</f>
        <v/>
      </c>
      <c r="Q834" s="40" t="str">
        <f>IF($Z834="","",IF($Z834&lt;=2000,"",IF($Z834&lt;=4000,IF(N(INDEX(周转筐出入库明细!$H$4:$H$2004,$Z834-2000))=0,"",N(INDEX(周转筐出入库明细!$H$4:$H$2004,$Z834-2000))),IF($Z834&lt;=5200,IF(N(INDEX(客户自备加工筐明细!$F$4:$F$1203,$Z834-4000))=0,"",N(INDEX(客户自备加工筐明细!$F$4:$F$1203,$Z834-4000))),IF($Z834&lt;=5800,"","")))))</f>
        <v/>
      </c>
      <c r="R834" s="16" t="str">
        <f>IF($Z834="","",IF($Z834&lt;=2000,IF(INDEX(包装物料出入库明细!$O$4:$O$2003,$Z834-0)=0,"",INDEX(包装物料出入库明细!$O$4:$O$2003,$Z834-0)),IF($Z834&lt;=4000,IF(INDEX(周转筐出入库明细!$M$4:$M$2004,$Z834-2000)=0,"",INDEX(周转筐出入库明细!$M$4:$M$2004,$Z834-2000)),IF($Z834&lt;=5200,IF(INDEX(客户自备加工筐明细!$H$4:$H$1203,$Z834-4000)=0,"",INDEX(客户自备加工筐明细!$H$4:$H$1203,$Z834-4000)),IF($Z834&lt;=5800,IF(INDEX(次果筐明细!$H$4:$H$603,$Z834-5200)=0,"",INDEX(次果筐明细!$H$4:$H$603,$Z834-5200)),"")))))</f>
        <v/>
      </c>
      <c r="S834" s="22" t="str">
        <f t="shared" si="38"/>
        <v/>
      </c>
      <c r="Z834" s="10" t="str">
        <f>IFERROR(MATCH(ROW()-3,_自动清单!$CQ$4:$CQ$5803,0),"")</f>
        <v/>
      </c>
    </row>
    <row r="835" spans="1:26">
      <c r="A835" s="24" t="str">
        <f t="shared" si="36"/>
        <v/>
      </c>
      <c r="B835" s="38" t="str">
        <f>IF($Z835="","",IF($Z835&lt;=2000,IF(INDEX(包装物料出入库明细!$B$4:$B$2003,$Z835-0)=0,"",INDEX(包装物料出入库明细!$B$4:$B$2003,$Z835-0)),IF($Z835&lt;=4000,IF(INDEX(周转筐出入库明细!$B$4:$B$2004,$Z835-2000)=0,"",INDEX(周转筐出入库明细!$B$4:$B$2004,$Z835-2000)),IF($Z835&lt;=5200,IF(INDEX(客户自备加工筐明细!$B$4:$B$1203,$Z835-4000)=0,"",INDEX(客户自备加工筐明细!$B$4:$B$1203,$Z835-4000)),IF($Z835&lt;=5800,IF(INDEX(次果筐明细!$B$4:$B$603,$Z835-5200)=0,"",INDEX(次果筐明细!$B$4:$B$603,$Z835-5200)),"")))))</f>
        <v/>
      </c>
      <c r="C835" s="37" t="str">
        <f>IF($Z835="","",IF($Z835&lt;=2000,IF(INDEX(包装物料出入库明细!$D$4:$D$2003,$Z835-0)=0,"",INDEX(包装物料出入库明细!$D$4:$D$2003,$Z835-0)),IF($Z835&lt;=4000,IF(INDEX(周转筐出入库明细!$C$4:$C$2004,$Z835-2000)=0,"",INDEX(周转筐出入库明细!$C$4:$C$2004,$Z835-2000)),IF($Z835&lt;=5200,IF(INDEX(客户自备加工筐明细!$E$4:$E$1203,$Z835-4000)=0,"",INDEX(客户自备加工筐明细!$E$4:$E$1203,$Z835-4000)),IF($Z835&lt;=5800,IF(INDEX(次果筐明细!$C$4:$C$603,$Z835-5200)=0,"",INDEX(次果筐明细!$C$4:$C$603,$Z835-5200)),"")))))</f>
        <v/>
      </c>
      <c r="D835" s="37" t="str">
        <f>IF($Z835="","",IF($Z835&lt;=2000,"包装物料－"&amp;INDEX(包装物料出入库明细!$H$4:$H$2003,$Z835-0),IF($Z835&lt;=4000,"周转筐－"&amp;INDEX(周转筐出入库明细!$F$4:$F$2004,$Z835-2000),IF($Z835&lt;=5200,"客户自备筐－"&amp;INDEX(客户自备加工筐明细!$J$4:$J$1203,$Z835-4000),IF($Z835&lt;=5800,"次果筐/托盘－"&amp;INDEX(次果筐明细!$F$4:$F$603,$Z835-5200),"")))))</f>
        <v/>
      </c>
      <c r="E835" s="24" t="str">
        <f>IF($Z835="","",IF($Z835&lt;=2000,IF(INDEX(包装物料出入库明细!$C$4:$C$2003,$Z835-0)=0,"",INDEX(包装物料出入库明细!$C$4:$C$2003,$Z835-0)),IF($Z835&lt;=4000,IF(INDEX(周转筐出入库明细!$E$4:$E$2004,$Z835-2000)=0,"",INDEX(周转筐出入库明细!$E$4:$E$2004,$Z835-2000)),IF($Z835&lt;=5200,IF(INDEX(客户自备加工筐明细!$D$4:$D$1203,$Z835-4000)=0,"",INDEX(客户自备加工筐明细!$D$4:$D$1203,$Z835-4000)),IF($Z835&lt;=5800,IF(INDEX(次果筐明细!$E$4:$E$603,$Z835-5200)=0,"",INDEX(次果筐明细!$E$4:$E$603,$Z835-5200)),"")))))</f>
        <v/>
      </c>
      <c r="F835" s="24" t="str">
        <f>IF($Z835="","",IF($Z835&lt;=2000,IF(INDEX(包装物料出入库明细!$E$4:$E$2003,$Z835-0)=0,"",INDEX(包装物料出入库明细!$E$4:$E$2003,$Z835-0)),IF($Z835&lt;=4000,IF(INDEX(周转筐出入库明细!$D$4:$D$2004,$Z835-2000)=0,"",INDEX(周转筐出入库明细!$D$4:$D$2004,$Z835-2000)),IF($Z835&lt;=5200,IF(INDEX(客户自备加工筐明细!$C$4:$C$1203,$Z835-4000)=0,"",INDEX(客户自备加工筐明细!$C$4:$C$1203,$Z835-4000)),IF($Z835&lt;=5800,IF(INDEX(次果筐明细!$D$4:$D$603,$Z835-5200)=0,"",INDEX(次果筐明细!$D$4:$D$603,$Z835-5200)),"")))))</f>
        <v/>
      </c>
      <c r="G835" s="24" t="str">
        <f>IF($Z835="","",IF($Z835&lt;=2000,IF(INDEX(包装物料出入库明细!$F$4:$F$2003,$Z835-0)=0,"",INDEX(包装物料出入库明细!$F$4:$F$2003,$Z835-0)),IF($Z835&lt;=4000,"",IF($Z835&lt;=5200,"",IF($Z835&lt;=5800,"","")))))</f>
        <v/>
      </c>
      <c r="H835" s="39" t="str">
        <f>IF($Z835="","",IF($Z835&lt;=2000,IF(INDEX(包装物料出入库明细!$L$4:$L$2003,$Z835-0)=0,"",INDEX(包装物料出入库明细!$L$4:$L$2003,$Z835-0)),IF($Z835&lt;=4000,N(INDEX(周转筐出入库明细!$H$4:$H$2004,$Z835-2000))+N(INDEX(周转筐出入库明细!$I$4:$I$2004,$Z835-2000))+N(INDEX(周转筐出入库明细!$J$4:$J$2004,$Z835-2000))+N(INDEX(周转筐出入库明细!$K$4:$K$2004,$Z835-2000)),IF($Z835&lt;=5200,N(INDEX(客户自备加工筐明细!$F$4:$F$1203,$Z835-4000))+N(INDEX(客户自备加工筐明细!$G$4:$G$1203,$Z835-4000)),IF($Z835&lt;=5800,IF(INDEX(次果筐明细!$G$4:$G$603,$Z835-5200)=0,"",INDEX(次果筐明细!$G$4:$G$603,$Z835-5200)),"")))))</f>
        <v/>
      </c>
      <c r="I835" s="24" t="str">
        <f>IF($Z835="","",IF($Z835&lt;=2000,IF(INDEX(包装物料出入库明细!$G$4:$G$2003,$Z835-0)=0,"",INDEX(包装物料出入库明细!$G$4:$G$2003,$Z835-0)),IF($Z835&lt;=4000,"个",IF($Z835&lt;=5200,"个",IF($Z835&lt;=5800,"个","")))))</f>
        <v/>
      </c>
      <c r="J835" s="30" t="str">
        <f t="shared" si="37"/>
        <v/>
      </c>
      <c r="K835" s="30" t="str">
        <f>IF($Z835="","",IF($Z835&lt;=2000,IF(INDEX(包装物料出入库明细!$N$4:$N$2003,$Z835-0)=0,"",INDEX(包装物料出入库明细!$N$4:$N$2003,$Z835-0)),IF($Z835&lt;=4000,IF(INDEX(周转筐出入库明细!$P$4:$P$2004,$Z835-2000)=0,"",INDEX(周转筐出入库明细!$P$4:$P$2004,$Z835-2000)),IF($Z835&lt;=5200,"",IF($Z835&lt;=5800,N(INDEX(次果筐明细!$L$4:$L$603,$Z835-5200))+N(INDEX(次果筐明细!$J$4:$J$603,$Z835-5200)),"")))))</f>
        <v/>
      </c>
      <c r="L835" s="24" t="str">
        <f>IF($Z835="","",IF($Z835&lt;=2000,IF(INDEX(包装物料出入库明细!$P$4:$P$2003,$Z835-0)=0,"",INDEX(包装物料出入库明细!$P$4:$P$2003,$Z835-0)),IF($Z835&lt;=4000,IF(INDEX(周转筐出入库明细!$Q$4:$Q$2004,$Z835-2000)=0,"",INDEX(周转筐出入库明细!$Q$4:$Q$2004,$Z835-2000)),IF($Z835&lt;=5200,"",IF($Z835&lt;=5800,IF(INDEX(次果筐明细!$M$4:$M$603,$Z835-5200)=0,"",INDEX(次果筐明细!$M$4:$M$603,$Z835-5200)),"")))))</f>
        <v/>
      </c>
      <c r="M835" s="37" t="str">
        <f>IF($Z835="","",IF($Z835&lt;=2000,IF(INDEX(包装物料出入库明细!$R$4:$R$2003,$Z835-0)=0,"",INDEX(包装物料出入库明细!$R$4:$R$2003,$Z835-0)),IF($Z835&lt;=4000,IF(INDEX(周转筐出入库明细!$W$4:$W$2004,$Z835-2000)=0,"",INDEX(周转筐出入库明细!$W$4:$W$2004,$Z835-2000)),IF($Z835&lt;=5200,IF(INDEX(客户自备加工筐明细!$L$4:$L$1203,$Z835-4000)=0,"",INDEX(客户自备加工筐明细!$L$4:$L$1203,$Z835-4000)),IF($Z835&lt;=5800,IF(INDEX(次果筐明细!$P$4:$P$603,$Z835-5200)=0,"",INDEX(次果筐明细!$P$4:$P$603,$Z835-5200)),"")))))</f>
        <v/>
      </c>
      <c r="N835" s="16" t="str">
        <f>IF($Z835="","",IF($Z835&lt;=2000,"",IF($Z835&lt;=4000,IF(INDEX(周转筐出入库明细!$D$4:$D$2004,$Z835-2000)=0,"",INDEX(周转筐出入库明细!$D$4:$D$2004,$Z835-2000)),IF($Z835&lt;=5200,IF(INDEX(客户自备加工筐明细!$C$4:$C$1203,$Z835-4000)=0,"",INDEX(客户自备加工筐明细!$C$4:$C$1203,$Z835-4000)),IF($Z835&lt;=5800,IF(INDEX(次果筐明细!$D$4:$D$603,$Z835-5200)=0,"",INDEX(次果筐明细!$D$4:$D$603,$Z835-5200)),"")))))</f>
        <v/>
      </c>
      <c r="O835" s="40" t="str">
        <f>IF($Z835="","",IF($Z835&lt;=2000,"",IF($Z835&lt;=4000,IF(N(INDEX(周转筐出入库明细!$J$4:$J$2004,$Z835-2000))+N(INDEX(周转筐出入库明细!$K$4:$K$2004,$Z835-2000))=0,"",N(INDEX(周转筐出入库明细!$J$4:$J$2004,$Z835-2000))+N(INDEX(周转筐出入库明细!$K$4:$K$2004,$Z835-2000))),IF($Z835&lt;=5200,IF(N(INDEX(客户自备加工筐明细!$G$4:$G$1203,$Z835-4000))=0,"",N(INDEX(客户自备加工筐明细!$G$4:$G$1203,$Z835-4000))),IF($Z835&lt;=5800,IF(ISNUMBER(SEARCH("退",INDEX(次果筐明细!$F$4:$F$603,$Z835-5200)&amp;"")),"",IF(N(INDEX(次果筐明细!$G$4:$G$603,$Z835-5200))=0,"",N(INDEX(次果筐明细!$G$4:$G$603,$Z835-5200)))),"")))))</f>
        <v/>
      </c>
      <c r="P835" s="40" t="str">
        <f>IF($Z835="","",IF($Z835&lt;=2000,"",IF($Z835&lt;=4000,IF(N(INDEX(周转筐出入库明细!$I$4:$I$2004,$Z835-2000))=0,"",N(INDEX(周转筐出入库明细!$I$4:$I$2004,$Z835-2000))),IF($Z835&lt;=5200,"",IF($Z835&lt;=5800,IF(ISNUMBER(SEARCH("退",INDEX(次果筐明细!$F$4:$F$603,$Z835-5200)&amp;"")),IF(N(INDEX(次果筐明细!$G$4:$G$603,$Z835-5200))=0,"",N(INDEX(次果筐明细!$G$4:$G$603,$Z835-5200))),""),"")))))</f>
        <v/>
      </c>
      <c r="Q835" s="40" t="str">
        <f>IF($Z835="","",IF($Z835&lt;=2000,"",IF($Z835&lt;=4000,IF(N(INDEX(周转筐出入库明细!$H$4:$H$2004,$Z835-2000))=0,"",N(INDEX(周转筐出入库明细!$H$4:$H$2004,$Z835-2000))),IF($Z835&lt;=5200,IF(N(INDEX(客户自备加工筐明细!$F$4:$F$1203,$Z835-4000))=0,"",N(INDEX(客户自备加工筐明细!$F$4:$F$1203,$Z835-4000))),IF($Z835&lt;=5800,"","")))))</f>
        <v/>
      </c>
      <c r="R835" s="16" t="str">
        <f>IF($Z835="","",IF($Z835&lt;=2000,IF(INDEX(包装物料出入库明细!$O$4:$O$2003,$Z835-0)=0,"",INDEX(包装物料出入库明细!$O$4:$O$2003,$Z835-0)),IF($Z835&lt;=4000,IF(INDEX(周转筐出入库明细!$M$4:$M$2004,$Z835-2000)=0,"",INDEX(周转筐出入库明细!$M$4:$M$2004,$Z835-2000)),IF($Z835&lt;=5200,IF(INDEX(客户自备加工筐明细!$H$4:$H$1203,$Z835-4000)=0,"",INDEX(客户自备加工筐明细!$H$4:$H$1203,$Z835-4000)),IF($Z835&lt;=5800,IF(INDEX(次果筐明细!$H$4:$H$603,$Z835-5200)=0,"",INDEX(次果筐明细!$H$4:$H$603,$Z835-5200)),"")))))</f>
        <v/>
      </c>
      <c r="S835" s="22" t="str">
        <f t="shared" si="38"/>
        <v/>
      </c>
      <c r="Z835" s="10" t="str">
        <f>IFERROR(MATCH(ROW()-3,_自动清单!$CQ$4:$CQ$5803,0),"")</f>
        <v/>
      </c>
    </row>
    <row r="836" spans="1:26">
      <c r="A836" s="24" t="str">
        <f t="shared" ref="A836:A899" si="39">IF($B836="","",ROW()-3)</f>
        <v/>
      </c>
      <c r="B836" s="38" t="str">
        <f>IF($Z836="","",IF($Z836&lt;=2000,IF(INDEX(包装物料出入库明细!$B$4:$B$2003,$Z836-0)=0,"",INDEX(包装物料出入库明细!$B$4:$B$2003,$Z836-0)),IF($Z836&lt;=4000,IF(INDEX(周转筐出入库明细!$B$4:$B$2004,$Z836-2000)=0,"",INDEX(周转筐出入库明细!$B$4:$B$2004,$Z836-2000)),IF($Z836&lt;=5200,IF(INDEX(客户自备加工筐明细!$B$4:$B$1203,$Z836-4000)=0,"",INDEX(客户自备加工筐明细!$B$4:$B$1203,$Z836-4000)),IF($Z836&lt;=5800,IF(INDEX(次果筐明细!$B$4:$B$603,$Z836-5200)=0,"",INDEX(次果筐明细!$B$4:$B$603,$Z836-5200)),"")))))</f>
        <v/>
      </c>
      <c r="C836" s="37" t="str">
        <f>IF($Z836="","",IF($Z836&lt;=2000,IF(INDEX(包装物料出入库明细!$D$4:$D$2003,$Z836-0)=0,"",INDEX(包装物料出入库明细!$D$4:$D$2003,$Z836-0)),IF($Z836&lt;=4000,IF(INDEX(周转筐出入库明细!$C$4:$C$2004,$Z836-2000)=0,"",INDEX(周转筐出入库明细!$C$4:$C$2004,$Z836-2000)),IF($Z836&lt;=5200,IF(INDEX(客户自备加工筐明细!$E$4:$E$1203,$Z836-4000)=0,"",INDEX(客户自备加工筐明细!$E$4:$E$1203,$Z836-4000)),IF($Z836&lt;=5800,IF(INDEX(次果筐明细!$C$4:$C$603,$Z836-5200)=0,"",INDEX(次果筐明细!$C$4:$C$603,$Z836-5200)),"")))))</f>
        <v/>
      </c>
      <c r="D836" s="37" t="str">
        <f>IF($Z836="","",IF($Z836&lt;=2000,"包装物料－"&amp;INDEX(包装物料出入库明细!$H$4:$H$2003,$Z836-0),IF($Z836&lt;=4000,"周转筐－"&amp;INDEX(周转筐出入库明细!$F$4:$F$2004,$Z836-2000),IF($Z836&lt;=5200,"客户自备筐－"&amp;INDEX(客户自备加工筐明细!$J$4:$J$1203,$Z836-4000),IF($Z836&lt;=5800,"次果筐/托盘－"&amp;INDEX(次果筐明细!$F$4:$F$603,$Z836-5200),"")))))</f>
        <v/>
      </c>
      <c r="E836" s="24" t="str">
        <f>IF($Z836="","",IF($Z836&lt;=2000,IF(INDEX(包装物料出入库明细!$C$4:$C$2003,$Z836-0)=0,"",INDEX(包装物料出入库明细!$C$4:$C$2003,$Z836-0)),IF($Z836&lt;=4000,IF(INDEX(周转筐出入库明细!$E$4:$E$2004,$Z836-2000)=0,"",INDEX(周转筐出入库明细!$E$4:$E$2004,$Z836-2000)),IF($Z836&lt;=5200,IF(INDEX(客户自备加工筐明细!$D$4:$D$1203,$Z836-4000)=0,"",INDEX(客户自备加工筐明细!$D$4:$D$1203,$Z836-4000)),IF($Z836&lt;=5800,IF(INDEX(次果筐明细!$E$4:$E$603,$Z836-5200)=0,"",INDEX(次果筐明细!$E$4:$E$603,$Z836-5200)),"")))))</f>
        <v/>
      </c>
      <c r="F836" s="24" t="str">
        <f>IF($Z836="","",IF($Z836&lt;=2000,IF(INDEX(包装物料出入库明细!$E$4:$E$2003,$Z836-0)=0,"",INDEX(包装物料出入库明细!$E$4:$E$2003,$Z836-0)),IF($Z836&lt;=4000,IF(INDEX(周转筐出入库明细!$D$4:$D$2004,$Z836-2000)=0,"",INDEX(周转筐出入库明细!$D$4:$D$2004,$Z836-2000)),IF($Z836&lt;=5200,IF(INDEX(客户自备加工筐明细!$C$4:$C$1203,$Z836-4000)=0,"",INDEX(客户自备加工筐明细!$C$4:$C$1203,$Z836-4000)),IF($Z836&lt;=5800,IF(INDEX(次果筐明细!$D$4:$D$603,$Z836-5200)=0,"",INDEX(次果筐明细!$D$4:$D$603,$Z836-5200)),"")))))</f>
        <v/>
      </c>
      <c r="G836" s="24" t="str">
        <f>IF($Z836="","",IF($Z836&lt;=2000,IF(INDEX(包装物料出入库明细!$F$4:$F$2003,$Z836-0)=0,"",INDEX(包装物料出入库明细!$F$4:$F$2003,$Z836-0)),IF($Z836&lt;=4000,"",IF($Z836&lt;=5200,"",IF($Z836&lt;=5800,"","")))))</f>
        <v/>
      </c>
      <c r="H836" s="39" t="str">
        <f>IF($Z836="","",IF($Z836&lt;=2000,IF(INDEX(包装物料出入库明细!$L$4:$L$2003,$Z836-0)=0,"",INDEX(包装物料出入库明细!$L$4:$L$2003,$Z836-0)),IF($Z836&lt;=4000,N(INDEX(周转筐出入库明细!$H$4:$H$2004,$Z836-2000))+N(INDEX(周转筐出入库明细!$I$4:$I$2004,$Z836-2000))+N(INDEX(周转筐出入库明细!$J$4:$J$2004,$Z836-2000))+N(INDEX(周转筐出入库明细!$K$4:$K$2004,$Z836-2000)),IF($Z836&lt;=5200,N(INDEX(客户自备加工筐明细!$F$4:$F$1203,$Z836-4000))+N(INDEX(客户自备加工筐明细!$G$4:$G$1203,$Z836-4000)),IF($Z836&lt;=5800,IF(INDEX(次果筐明细!$G$4:$G$603,$Z836-5200)=0,"",INDEX(次果筐明细!$G$4:$G$603,$Z836-5200)),"")))))</f>
        <v/>
      </c>
      <c r="I836" s="24" t="str">
        <f>IF($Z836="","",IF($Z836&lt;=2000,IF(INDEX(包装物料出入库明细!$G$4:$G$2003,$Z836-0)=0,"",INDEX(包装物料出入库明细!$G$4:$G$2003,$Z836-0)),IF($Z836&lt;=4000,"个",IF($Z836&lt;=5200,"个",IF($Z836&lt;=5800,"个","")))))</f>
        <v/>
      </c>
      <c r="J836" s="30" t="str">
        <f t="shared" ref="J836:J899" si="40">IF($Z836="","",IF($Z836&lt;=2000,"",IF($Z836&lt;=4000,"",IF($Z836&lt;=5200,"",IF($Z836&lt;=5800,"","")))))</f>
        <v/>
      </c>
      <c r="K836" s="30" t="str">
        <f>IF($Z836="","",IF($Z836&lt;=2000,IF(INDEX(包装物料出入库明细!$N$4:$N$2003,$Z836-0)=0,"",INDEX(包装物料出入库明细!$N$4:$N$2003,$Z836-0)),IF($Z836&lt;=4000,IF(INDEX(周转筐出入库明细!$P$4:$P$2004,$Z836-2000)=0,"",INDEX(周转筐出入库明细!$P$4:$P$2004,$Z836-2000)),IF($Z836&lt;=5200,"",IF($Z836&lt;=5800,N(INDEX(次果筐明细!$L$4:$L$603,$Z836-5200))+N(INDEX(次果筐明细!$J$4:$J$603,$Z836-5200)),"")))))</f>
        <v/>
      </c>
      <c r="L836" s="24" t="str">
        <f>IF($Z836="","",IF($Z836&lt;=2000,IF(INDEX(包装物料出入库明细!$P$4:$P$2003,$Z836-0)=0,"",INDEX(包装物料出入库明细!$P$4:$P$2003,$Z836-0)),IF($Z836&lt;=4000,IF(INDEX(周转筐出入库明细!$Q$4:$Q$2004,$Z836-2000)=0,"",INDEX(周转筐出入库明细!$Q$4:$Q$2004,$Z836-2000)),IF($Z836&lt;=5200,"",IF($Z836&lt;=5800,IF(INDEX(次果筐明细!$M$4:$M$603,$Z836-5200)=0,"",INDEX(次果筐明细!$M$4:$M$603,$Z836-5200)),"")))))</f>
        <v/>
      </c>
      <c r="M836" s="37" t="str">
        <f>IF($Z836="","",IF($Z836&lt;=2000,IF(INDEX(包装物料出入库明细!$R$4:$R$2003,$Z836-0)=0,"",INDEX(包装物料出入库明细!$R$4:$R$2003,$Z836-0)),IF($Z836&lt;=4000,IF(INDEX(周转筐出入库明细!$W$4:$W$2004,$Z836-2000)=0,"",INDEX(周转筐出入库明细!$W$4:$W$2004,$Z836-2000)),IF($Z836&lt;=5200,IF(INDEX(客户自备加工筐明细!$L$4:$L$1203,$Z836-4000)=0,"",INDEX(客户自备加工筐明细!$L$4:$L$1203,$Z836-4000)),IF($Z836&lt;=5800,IF(INDEX(次果筐明细!$P$4:$P$603,$Z836-5200)=0,"",INDEX(次果筐明细!$P$4:$P$603,$Z836-5200)),"")))))</f>
        <v/>
      </c>
      <c r="N836" s="16" t="str">
        <f>IF($Z836="","",IF($Z836&lt;=2000,"",IF($Z836&lt;=4000,IF(INDEX(周转筐出入库明细!$D$4:$D$2004,$Z836-2000)=0,"",INDEX(周转筐出入库明细!$D$4:$D$2004,$Z836-2000)),IF($Z836&lt;=5200,IF(INDEX(客户自备加工筐明细!$C$4:$C$1203,$Z836-4000)=0,"",INDEX(客户自备加工筐明细!$C$4:$C$1203,$Z836-4000)),IF($Z836&lt;=5800,IF(INDEX(次果筐明细!$D$4:$D$603,$Z836-5200)=0,"",INDEX(次果筐明细!$D$4:$D$603,$Z836-5200)),"")))))</f>
        <v/>
      </c>
      <c r="O836" s="40" t="str">
        <f>IF($Z836="","",IF($Z836&lt;=2000,"",IF($Z836&lt;=4000,IF(N(INDEX(周转筐出入库明细!$J$4:$J$2004,$Z836-2000))+N(INDEX(周转筐出入库明细!$K$4:$K$2004,$Z836-2000))=0,"",N(INDEX(周转筐出入库明细!$J$4:$J$2004,$Z836-2000))+N(INDEX(周转筐出入库明细!$K$4:$K$2004,$Z836-2000))),IF($Z836&lt;=5200,IF(N(INDEX(客户自备加工筐明细!$G$4:$G$1203,$Z836-4000))=0,"",N(INDEX(客户自备加工筐明细!$G$4:$G$1203,$Z836-4000))),IF($Z836&lt;=5800,IF(ISNUMBER(SEARCH("退",INDEX(次果筐明细!$F$4:$F$603,$Z836-5200)&amp;"")),"",IF(N(INDEX(次果筐明细!$G$4:$G$603,$Z836-5200))=0,"",N(INDEX(次果筐明细!$G$4:$G$603,$Z836-5200)))),"")))))</f>
        <v/>
      </c>
      <c r="P836" s="40" t="str">
        <f>IF($Z836="","",IF($Z836&lt;=2000,"",IF($Z836&lt;=4000,IF(N(INDEX(周转筐出入库明细!$I$4:$I$2004,$Z836-2000))=0,"",N(INDEX(周转筐出入库明细!$I$4:$I$2004,$Z836-2000))),IF($Z836&lt;=5200,"",IF($Z836&lt;=5800,IF(ISNUMBER(SEARCH("退",INDEX(次果筐明细!$F$4:$F$603,$Z836-5200)&amp;"")),IF(N(INDEX(次果筐明细!$G$4:$G$603,$Z836-5200))=0,"",N(INDEX(次果筐明细!$G$4:$G$603,$Z836-5200))),""),"")))))</f>
        <v/>
      </c>
      <c r="Q836" s="40" t="str">
        <f>IF($Z836="","",IF($Z836&lt;=2000,"",IF($Z836&lt;=4000,IF(N(INDEX(周转筐出入库明细!$H$4:$H$2004,$Z836-2000))=0,"",N(INDEX(周转筐出入库明细!$H$4:$H$2004,$Z836-2000))),IF($Z836&lt;=5200,IF(N(INDEX(客户自备加工筐明细!$F$4:$F$1203,$Z836-4000))=0,"",N(INDEX(客户自备加工筐明细!$F$4:$F$1203,$Z836-4000))),IF($Z836&lt;=5800,"","")))))</f>
        <v/>
      </c>
      <c r="R836" s="16" t="str">
        <f>IF($Z836="","",IF($Z836&lt;=2000,IF(INDEX(包装物料出入库明细!$O$4:$O$2003,$Z836-0)=0,"",INDEX(包装物料出入库明细!$O$4:$O$2003,$Z836-0)),IF($Z836&lt;=4000,IF(INDEX(周转筐出入库明细!$M$4:$M$2004,$Z836-2000)=0,"",INDEX(周转筐出入库明细!$M$4:$M$2004,$Z836-2000)),IF($Z836&lt;=5200,IF(INDEX(客户自备加工筐明细!$H$4:$H$1203,$Z836-4000)=0,"",INDEX(客户自备加工筐明细!$H$4:$H$1203,$Z836-4000)),IF($Z836&lt;=5800,IF(INDEX(次果筐明细!$H$4:$H$603,$Z836-5200)=0,"",INDEX(次果筐明细!$H$4:$H$603,$Z836-5200)),"")))))</f>
        <v/>
      </c>
      <c r="S836" s="22" t="str">
        <f t="shared" ref="S836:S899" si="41">IF($N836="","",IF(OR(LEFT($N836,2)="自备",AND($Z836&gt;4000,$Z836&lt;=5200)),"自备筐","公司筐"))</f>
        <v/>
      </c>
      <c r="Z836" s="10" t="str">
        <f>IFERROR(MATCH(ROW()-3,_自动清单!$CQ$4:$CQ$5803,0),"")</f>
        <v/>
      </c>
    </row>
    <row r="837" spans="1:26">
      <c r="A837" s="24" t="str">
        <f t="shared" si="39"/>
        <v/>
      </c>
      <c r="B837" s="38" t="str">
        <f>IF($Z837="","",IF($Z837&lt;=2000,IF(INDEX(包装物料出入库明细!$B$4:$B$2003,$Z837-0)=0,"",INDEX(包装物料出入库明细!$B$4:$B$2003,$Z837-0)),IF($Z837&lt;=4000,IF(INDEX(周转筐出入库明细!$B$4:$B$2004,$Z837-2000)=0,"",INDEX(周转筐出入库明细!$B$4:$B$2004,$Z837-2000)),IF($Z837&lt;=5200,IF(INDEX(客户自备加工筐明细!$B$4:$B$1203,$Z837-4000)=0,"",INDEX(客户自备加工筐明细!$B$4:$B$1203,$Z837-4000)),IF($Z837&lt;=5800,IF(INDEX(次果筐明细!$B$4:$B$603,$Z837-5200)=0,"",INDEX(次果筐明细!$B$4:$B$603,$Z837-5200)),"")))))</f>
        <v/>
      </c>
      <c r="C837" s="37" t="str">
        <f>IF($Z837="","",IF($Z837&lt;=2000,IF(INDEX(包装物料出入库明细!$D$4:$D$2003,$Z837-0)=0,"",INDEX(包装物料出入库明细!$D$4:$D$2003,$Z837-0)),IF($Z837&lt;=4000,IF(INDEX(周转筐出入库明细!$C$4:$C$2004,$Z837-2000)=0,"",INDEX(周转筐出入库明细!$C$4:$C$2004,$Z837-2000)),IF($Z837&lt;=5200,IF(INDEX(客户自备加工筐明细!$E$4:$E$1203,$Z837-4000)=0,"",INDEX(客户自备加工筐明细!$E$4:$E$1203,$Z837-4000)),IF($Z837&lt;=5800,IF(INDEX(次果筐明细!$C$4:$C$603,$Z837-5200)=0,"",INDEX(次果筐明细!$C$4:$C$603,$Z837-5200)),"")))))</f>
        <v/>
      </c>
      <c r="D837" s="37" t="str">
        <f>IF($Z837="","",IF($Z837&lt;=2000,"包装物料－"&amp;INDEX(包装物料出入库明细!$H$4:$H$2003,$Z837-0),IF($Z837&lt;=4000,"周转筐－"&amp;INDEX(周转筐出入库明细!$F$4:$F$2004,$Z837-2000),IF($Z837&lt;=5200,"客户自备筐－"&amp;INDEX(客户自备加工筐明细!$J$4:$J$1203,$Z837-4000),IF($Z837&lt;=5800,"次果筐/托盘－"&amp;INDEX(次果筐明细!$F$4:$F$603,$Z837-5200),"")))))</f>
        <v/>
      </c>
      <c r="E837" s="24" t="str">
        <f>IF($Z837="","",IF($Z837&lt;=2000,IF(INDEX(包装物料出入库明细!$C$4:$C$2003,$Z837-0)=0,"",INDEX(包装物料出入库明细!$C$4:$C$2003,$Z837-0)),IF($Z837&lt;=4000,IF(INDEX(周转筐出入库明细!$E$4:$E$2004,$Z837-2000)=0,"",INDEX(周转筐出入库明细!$E$4:$E$2004,$Z837-2000)),IF($Z837&lt;=5200,IF(INDEX(客户自备加工筐明细!$D$4:$D$1203,$Z837-4000)=0,"",INDEX(客户自备加工筐明细!$D$4:$D$1203,$Z837-4000)),IF($Z837&lt;=5800,IF(INDEX(次果筐明细!$E$4:$E$603,$Z837-5200)=0,"",INDEX(次果筐明细!$E$4:$E$603,$Z837-5200)),"")))))</f>
        <v/>
      </c>
      <c r="F837" s="24" t="str">
        <f>IF($Z837="","",IF($Z837&lt;=2000,IF(INDEX(包装物料出入库明细!$E$4:$E$2003,$Z837-0)=0,"",INDEX(包装物料出入库明细!$E$4:$E$2003,$Z837-0)),IF($Z837&lt;=4000,IF(INDEX(周转筐出入库明细!$D$4:$D$2004,$Z837-2000)=0,"",INDEX(周转筐出入库明细!$D$4:$D$2004,$Z837-2000)),IF($Z837&lt;=5200,IF(INDEX(客户自备加工筐明细!$C$4:$C$1203,$Z837-4000)=0,"",INDEX(客户自备加工筐明细!$C$4:$C$1203,$Z837-4000)),IF($Z837&lt;=5800,IF(INDEX(次果筐明细!$D$4:$D$603,$Z837-5200)=0,"",INDEX(次果筐明细!$D$4:$D$603,$Z837-5200)),"")))))</f>
        <v/>
      </c>
      <c r="G837" s="24" t="str">
        <f>IF($Z837="","",IF($Z837&lt;=2000,IF(INDEX(包装物料出入库明细!$F$4:$F$2003,$Z837-0)=0,"",INDEX(包装物料出入库明细!$F$4:$F$2003,$Z837-0)),IF($Z837&lt;=4000,"",IF($Z837&lt;=5200,"",IF($Z837&lt;=5800,"","")))))</f>
        <v/>
      </c>
      <c r="H837" s="39" t="str">
        <f>IF($Z837="","",IF($Z837&lt;=2000,IF(INDEX(包装物料出入库明细!$L$4:$L$2003,$Z837-0)=0,"",INDEX(包装物料出入库明细!$L$4:$L$2003,$Z837-0)),IF($Z837&lt;=4000,N(INDEX(周转筐出入库明细!$H$4:$H$2004,$Z837-2000))+N(INDEX(周转筐出入库明细!$I$4:$I$2004,$Z837-2000))+N(INDEX(周转筐出入库明细!$J$4:$J$2004,$Z837-2000))+N(INDEX(周转筐出入库明细!$K$4:$K$2004,$Z837-2000)),IF($Z837&lt;=5200,N(INDEX(客户自备加工筐明细!$F$4:$F$1203,$Z837-4000))+N(INDEX(客户自备加工筐明细!$G$4:$G$1203,$Z837-4000)),IF($Z837&lt;=5800,IF(INDEX(次果筐明细!$G$4:$G$603,$Z837-5200)=0,"",INDEX(次果筐明细!$G$4:$G$603,$Z837-5200)),"")))))</f>
        <v/>
      </c>
      <c r="I837" s="24" t="str">
        <f>IF($Z837="","",IF($Z837&lt;=2000,IF(INDEX(包装物料出入库明细!$G$4:$G$2003,$Z837-0)=0,"",INDEX(包装物料出入库明细!$G$4:$G$2003,$Z837-0)),IF($Z837&lt;=4000,"个",IF($Z837&lt;=5200,"个",IF($Z837&lt;=5800,"个","")))))</f>
        <v/>
      </c>
      <c r="J837" s="30" t="str">
        <f t="shared" si="40"/>
        <v/>
      </c>
      <c r="K837" s="30" t="str">
        <f>IF($Z837="","",IF($Z837&lt;=2000,IF(INDEX(包装物料出入库明细!$N$4:$N$2003,$Z837-0)=0,"",INDEX(包装物料出入库明细!$N$4:$N$2003,$Z837-0)),IF($Z837&lt;=4000,IF(INDEX(周转筐出入库明细!$P$4:$P$2004,$Z837-2000)=0,"",INDEX(周转筐出入库明细!$P$4:$P$2004,$Z837-2000)),IF($Z837&lt;=5200,"",IF($Z837&lt;=5800,N(INDEX(次果筐明细!$L$4:$L$603,$Z837-5200))+N(INDEX(次果筐明细!$J$4:$J$603,$Z837-5200)),"")))))</f>
        <v/>
      </c>
      <c r="L837" s="24" t="str">
        <f>IF($Z837="","",IF($Z837&lt;=2000,IF(INDEX(包装物料出入库明细!$P$4:$P$2003,$Z837-0)=0,"",INDEX(包装物料出入库明细!$P$4:$P$2003,$Z837-0)),IF($Z837&lt;=4000,IF(INDEX(周转筐出入库明细!$Q$4:$Q$2004,$Z837-2000)=0,"",INDEX(周转筐出入库明细!$Q$4:$Q$2004,$Z837-2000)),IF($Z837&lt;=5200,"",IF($Z837&lt;=5800,IF(INDEX(次果筐明细!$M$4:$M$603,$Z837-5200)=0,"",INDEX(次果筐明细!$M$4:$M$603,$Z837-5200)),"")))))</f>
        <v/>
      </c>
      <c r="M837" s="37" t="str">
        <f>IF($Z837="","",IF($Z837&lt;=2000,IF(INDEX(包装物料出入库明细!$R$4:$R$2003,$Z837-0)=0,"",INDEX(包装物料出入库明细!$R$4:$R$2003,$Z837-0)),IF($Z837&lt;=4000,IF(INDEX(周转筐出入库明细!$W$4:$W$2004,$Z837-2000)=0,"",INDEX(周转筐出入库明细!$W$4:$W$2004,$Z837-2000)),IF($Z837&lt;=5200,IF(INDEX(客户自备加工筐明细!$L$4:$L$1203,$Z837-4000)=0,"",INDEX(客户自备加工筐明细!$L$4:$L$1203,$Z837-4000)),IF($Z837&lt;=5800,IF(INDEX(次果筐明细!$P$4:$P$603,$Z837-5200)=0,"",INDEX(次果筐明细!$P$4:$P$603,$Z837-5200)),"")))))</f>
        <v/>
      </c>
      <c r="N837" s="16" t="str">
        <f>IF($Z837="","",IF($Z837&lt;=2000,"",IF($Z837&lt;=4000,IF(INDEX(周转筐出入库明细!$D$4:$D$2004,$Z837-2000)=0,"",INDEX(周转筐出入库明细!$D$4:$D$2004,$Z837-2000)),IF($Z837&lt;=5200,IF(INDEX(客户自备加工筐明细!$C$4:$C$1203,$Z837-4000)=0,"",INDEX(客户自备加工筐明细!$C$4:$C$1203,$Z837-4000)),IF($Z837&lt;=5800,IF(INDEX(次果筐明细!$D$4:$D$603,$Z837-5200)=0,"",INDEX(次果筐明细!$D$4:$D$603,$Z837-5200)),"")))))</f>
        <v/>
      </c>
      <c r="O837" s="40" t="str">
        <f>IF($Z837="","",IF($Z837&lt;=2000,"",IF($Z837&lt;=4000,IF(N(INDEX(周转筐出入库明细!$J$4:$J$2004,$Z837-2000))+N(INDEX(周转筐出入库明细!$K$4:$K$2004,$Z837-2000))=0,"",N(INDEX(周转筐出入库明细!$J$4:$J$2004,$Z837-2000))+N(INDEX(周转筐出入库明细!$K$4:$K$2004,$Z837-2000))),IF($Z837&lt;=5200,IF(N(INDEX(客户自备加工筐明细!$G$4:$G$1203,$Z837-4000))=0,"",N(INDEX(客户自备加工筐明细!$G$4:$G$1203,$Z837-4000))),IF($Z837&lt;=5800,IF(ISNUMBER(SEARCH("退",INDEX(次果筐明细!$F$4:$F$603,$Z837-5200)&amp;"")),"",IF(N(INDEX(次果筐明细!$G$4:$G$603,$Z837-5200))=0,"",N(INDEX(次果筐明细!$G$4:$G$603,$Z837-5200)))),"")))))</f>
        <v/>
      </c>
      <c r="P837" s="40" t="str">
        <f>IF($Z837="","",IF($Z837&lt;=2000,"",IF($Z837&lt;=4000,IF(N(INDEX(周转筐出入库明细!$I$4:$I$2004,$Z837-2000))=0,"",N(INDEX(周转筐出入库明细!$I$4:$I$2004,$Z837-2000))),IF($Z837&lt;=5200,"",IF($Z837&lt;=5800,IF(ISNUMBER(SEARCH("退",INDEX(次果筐明细!$F$4:$F$603,$Z837-5200)&amp;"")),IF(N(INDEX(次果筐明细!$G$4:$G$603,$Z837-5200))=0,"",N(INDEX(次果筐明细!$G$4:$G$603,$Z837-5200))),""),"")))))</f>
        <v/>
      </c>
      <c r="Q837" s="40" t="str">
        <f>IF($Z837="","",IF($Z837&lt;=2000,"",IF($Z837&lt;=4000,IF(N(INDEX(周转筐出入库明细!$H$4:$H$2004,$Z837-2000))=0,"",N(INDEX(周转筐出入库明细!$H$4:$H$2004,$Z837-2000))),IF($Z837&lt;=5200,IF(N(INDEX(客户自备加工筐明细!$F$4:$F$1203,$Z837-4000))=0,"",N(INDEX(客户自备加工筐明细!$F$4:$F$1203,$Z837-4000))),IF($Z837&lt;=5800,"","")))))</f>
        <v/>
      </c>
      <c r="R837" s="16" t="str">
        <f>IF($Z837="","",IF($Z837&lt;=2000,IF(INDEX(包装物料出入库明细!$O$4:$O$2003,$Z837-0)=0,"",INDEX(包装物料出入库明细!$O$4:$O$2003,$Z837-0)),IF($Z837&lt;=4000,IF(INDEX(周转筐出入库明细!$M$4:$M$2004,$Z837-2000)=0,"",INDEX(周转筐出入库明细!$M$4:$M$2004,$Z837-2000)),IF($Z837&lt;=5200,IF(INDEX(客户自备加工筐明细!$H$4:$H$1203,$Z837-4000)=0,"",INDEX(客户自备加工筐明细!$H$4:$H$1203,$Z837-4000)),IF($Z837&lt;=5800,IF(INDEX(次果筐明细!$H$4:$H$603,$Z837-5200)=0,"",INDEX(次果筐明细!$H$4:$H$603,$Z837-5200)),"")))))</f>
        <v/>
      </c>
      <c r="S837" s="22" t="str">
        <f t="shared" si="41"/>
        <v/>
      </c>
      <c r="Z837" s="10" t="str">
        <f>IFERROR(MATCH(ROW()-3,_自动清单!$CQ$4:$CQ$5803,0),"")</f>
        <v/>
      </c>
    </row>
    <row r="838" spans="1:26">
      <c r="A838" s="24" t="str">
        <f t="shared" si="39"/>
        <v/>
      </c>
      <c r="B838" s="38" t="str">
        <f>IF($Z838="","",IF($Z838&lt;=2000,IF(INDEX(包装物料出入库明细!$B$4:$B$2003,$Z838-0)=0,"",INDEX(包装物料出入库明细!$B$4:$B$2003,$Z838-0)),IF($Z838&lt;=4000,IF(INDEX(周转筐出入库明细!$B$4:$B$2004,$Z838-2000)=0,"",INDEX(周转筐出入库明细!$B$4:$B$2004,$Z838-2000)),IF($Z838&lt;=5200,IF(INDEX(客户自备加工筐明细!$B$4:$B$1203,$Z838-4000)=0,"",INDEX(客户自备加工筐明细!$B$4:$B$1203,$Z838-4000)),IF($Z838&lt;=5800,IF(INDEX(次果筐明细!$B$4:$B$603,$Z838-5200)=0,"",INDEX(次果筐明细!$B$4:$B$603,$Z838-5200)),"")))))</f>
        <v/>
      </c>
      <c r="C838" s="37" t="str">
        <f>IF($Z838="","",IF($Z838&lt;=2000,IF(INDEX(包装物料出入库明细!$D$4:$D$2003,$Z838-0)=0,"",INDEX(包装物料出入库明细!$D$4:$D$2003,$Z838-0)),IF($Z838&lt;=4000,IF(INDEX(周转筐出入库明细!$C$4:$C$2004,$Z838-2000)=0,"",INDEX(周转筐出入库明细!$C$4:$C$2004,$Z838-2000)),IF($Z838&lt;=5200,IF(INDEX(客户自备加工筐明细!$E$4:$E$1203,$Z838-4000)=0,"",INDEX(客户自备加工筐明细!$E$4:$E$1203,$Z838-4000)),IF($Z838&lt;=5800,IF(INDEX(次果筐明细!$C$4:$C$603,$Z838-5200)=0,"",INDEX(次果筐明细!$C$4:$C$603,$Z838-5200)),"")))))</f>
        <v/>
      </c>
      <c r="D838" s="37" t="str">
        <f>IF($Z838="","",IF($Z838&lt;=2000,"包装物料－"&amp;INDEX(包装物料出入库明细!$H$4:$H$2003,$Z838-0),IF($Z838&lt;=4000,"周转筐－"&amp;INDEX(周转筐出入库明细!$F$4:$F$2004,$Z838-2000),IF($Z838&lt;=5200,"客户自备筐－"&amp;INDEX(客户自备加工筐明细!$J$4:$J$1203,$Z838-4000),IF($Z838&lt;=5800,"次果筐/托盘－"&amp;INDEX(次果筐明细!$F$4:$F$603,$Z838-5200),"")))))</f>
        <v/>
      </c>
      <c r="E838" s="24" t="str">
        <f>IF($Z838="","",IF($Z838&lt;=2000,IF(INDEX(包装物料出入库明细!$C$4:$C$2003,$Z838-0)=0,"",INDEX(包装物料出入库明细!$C$4:$C$2003,$Z838-0)),IF($Z838&lt;=4000,IF(INDEX(周转筐出入库明细!$E$4:$E$2004,$Z838-2000)=0,"",INDEX(周转筐出入库明细!$E$4:$E$2004,$Z838-2000)),IF($Z838&lt;=5200,IF(INDEX(客户自备加工筐明细!$D$4:$D$1203,$Z838-4000)=0,"",INDEX(客户自备加工筐明细!$D$4:$D$1203,$Z838-4000)),IF($Z838&lt;=5800,IF(INDEX(次果筐明细!$E$4:$E$603,$Z838-5200)=0,"",INDEX(次果筐明细!$E$4:$E$603,$Z838-5200)),"")))))</f>
        <v/>
      </c>
      <c r="F838" s="24" t="str">
        <f>IF($Z838="","",IF($Z838&lt;=2000,IF(INDEX(包装物料出入库明细!$E$4:$E$2003,$Z838-0)=0,"",INDEX(包装物料出入库明细!$E$4:$E$2003,$Z838-0)),IF($Z838&lt;=4000,IF(INDEX(周转筐出入库明细!$D$4:$D$2004,$Z838-2000)=0,"",INDEX(周转筐出入库明细!$D$4:$D$2004,$Z838-2000)),IF($Z838&lt;=5200,IF(INDEX(客户自备加工筐明细!$C$4:$C$1203,$Z838-4000)=0,"",INDEX(客户自备加工筐明细!$C$4:$C$1203,$Z838-4000)),IF($Z838&lt;=5800,IF(INDEX(次果筐明细!$D$4:$D$603,$Z838-5200)=0,"",INDEX(次果筐明细!$D$4:$D$603,$Z838-5200)),"")))))</f>
        <v/>
      </c>
      <c r="G838" s="24" t="str">
        <f>IF($Z838="","",IF($Z838&lt;=2000,IF(INDEX(包装物料出入库明细!$F$4:$F$2003,$Z838-0)=0,"",INDEX(包装物料出入库明细!$F$4:$F$2003,$Z838-0)),IF($Z838&lt;=4000,"",IF($Z838&lt;=5200,"",IF($Z838&lt;=5800,"","")))))</f>
        <v/>
      </c>
      <c r="H838" s="39" t="str">
        <f>IF($Z838="","",IF($Z838&lt;=2000,IF(INDEX(包装物料出入库明细!$L$4:$L$2003,$Z838-0)=0,"",INDEX(包装物料出入库明细!$L$4:$L$2003,$Z838-0)),IF($Z838&lt;=4000,N(INDEX(周转筐出入库明细!$H$4:$H$2004,$Z838-2000))+N(INDEX(周转筐出入库明细!$I$4:$I$2004,$Z838-2000))+N(INDEX(周转筐出入库明细!$J$4:$J$2004,$Z838-2000))+N(INDEX(周转筐出入库明细!$K$4:$K$2004,$Z838-2000)),IF($Z838&lt;=5200,N(INDEX(客户自备加工筐明细!$F$4:$F$1203,$Z838-4000))+N(INDEX(客户自备加工筐明细!$G$4:$G$1203,$Z838-4000)),IF($Z838&lt;=5800,IF(INDEX(次果筐明细!$G$4:$G$603,$Z838-5200)=0,"",INDEX(次果筐明细!$G$4:$G$603,$Z838-5200)),"")))))</f>
        <v/>
      </c>
      <c r="I838" s="24" t="str">
        <f>IF($Z838="","",IF($Z838&lt;=2000,IF(INDEX(包装物料出入库明细!$G$4:$G$2003,$Z838-0)=0,"",INDEX(包装物料出入库明细!$G$4:$G$2003,$Z838-0)),IF($Z838&lt;=4000,"个",IF($Z838&lt;=5200,"个",IF($Z838&lt;=5800,"个","")))))</f>
        <v/>
      </c>
      <c r="J838" s="30" t="str">
        <f t="shared" si="40"/>
        <v/>
      </c>
      <c r="K838" s="30" t="str">
        <f>IF($Z838="","",IF($Z838&lt;=2000,IF(INDEX(包装物料出入库明细!$N$4:$N$2003,$Z838-0)=0,"",INDEX(包装物料出入库明细!$N$4:$N$2003,$Z838-0)),IF($Z838&lt;=4000,IF(INDEX(周转筐出入库明细!$P$4:$P$2004,$Z838-2000)=0,"",INDEX(周转筐出入库明细!$P$4:$P$2004,$Z838-2000)),IF($Z838&lt;=5200,"",IF($Z838&lt;=5800,N(INDEX(次果筐明细!$L$4:$L$603,$Z838-5200))+N(INDEX(次果筐明细!$J$4:$J$603,$Z838-5200)),"")))))</f>
        <v/>
      </c>
      <c r="L838" s="24" t="str">
        <f>IF($Z838="","",IF($Z838&lt;=2000,IF(INDEX(包装物料出入库明细!$P$4:$P$2003,$Z838-0)=0,"",INDEX(包装物料出入库明细!$P$4:$P$2003,$Z838-0)),IF($Z838&lt;=4000,IF(INDEX(周转筐出入库明细!$Q$4:$Q$2004,$Z838-2000)=0,"",INDEX(周转筐出入库明细!$Q$4:$Q$2004,$Z838-2000)),IF($Z838&lt;=5200,"",IF($Z838&lt;=5800,IF(INDEX(次果筐明细!$M$4:$M$603,$Z838-5200)=0,"",INDEX(次果筐明细!$M$4:$M$603,$Z838-5200)),"")))))</f>
        <v/>
      </c>
      <c r="M838" s="37" t="str">
        <f>IF($Z838="","",IF($Z838&lt;=2000,IF(INDEX(包装物料出入库明细!$R$4:$R$2003,$Z838-0)=0,"",INDEX(包装物料出入库明细!$R$4:$R$2003,$Z838-0)),IF($Z838&lt;=4000,IF(INDEX(周转筐出入库明细!$W$4:$W$2004,$Z838-2000)=0,"",INDEX(周转筐出入库明细!$W$4:$W$2004,$Z838-2000)),IF($Z838&lt;=5200,IF(INDEX(客户自备加工筐明细!$L$4:$L$1203,$Z838-4000)=0,"",INDEX(客户自备加工筐明细!$L$4:$L$1203,$Z838-4000)),IF($Z838&lt;=5800,IF(INDEX(次果筐明细!$P$4:$P$603,$Z838-5200)=0,"",INDEX(次果筐明细!$P$4:$P$603,$Z838-5200)),"")))))</f>
        <v/>
      </c>
      <c r="N838" s="16" t="str">
        <f>IF($Z838="","",IF($Z838&lt;=2000,"",IF($Z838&lt;=4000,IF(INDEX(周转筐出入库明细!$D$4:$D$2004,$Z838-2000)=0,"",INDEX(周转筐出入库明细!$D$4:$D$2004,$Z838-2000)),IF($Z838&lt;=5200,IF(INDEX(客户自备加工筐明细!$C$4:$C$1203,$Z838-4000)=0,"",INDEX(客户自备加工筐明细!$C$4:$C$1203,$Z838-4000)),IF($Z838&lt;=5800,IF(INDEX(次果筐明细!$D$4:$D$603,$Z838-5200)=0,"",INDEX(次果筐明细!$D$4:$D$603,$Z838-5200)),"")))))</f>
        <v/>
      </c>
      <c r="O838" s="40" t="str">
        <f>IF($Z838="","",IF($Z838&lt;=2000,"",IF($Z838&lt;=4000,IF(N(INDEX(周转筐出入库明细!$J$4:$J$2004,$Z838-2000))+N(INDEX(周转筐出入库明细!$K$4:$K$2004,$Z838-2000))=0,"",N(INDEX(周转筐出入库明细!$J$4:$J$2004,$Z838-2000))+N(INDEX(周转筐出入库明细!$K$4:$K$2004,$Z838-2000))),IF($Z838&lt;=5200,IF(N(INDEX(客户自备加工筐明细!$G$4:$G$1203,$Z838-4000))=0,"",N(INDEX(客户自备加工筐明细!$G$4:$G$1203,$Z838-4000))),IF($Z838&lt;=5800,IF(ISNUMBER(SEARCH("退",INDEX(次果筐明细!$F$4:$F$603,$Z838-5200)&amp;"")),"",IF(N(INDEX(次果筐明细!$G$4:$G$603,$Z838-5200))=0,"",N(INDEX(次果筐明细!$G$4:$G$603,$Z838-5200)))),"")))))</f>
        <v/>
      </c>
      <c r="P838" s="40" t="str">
        <f>IF($Z838="","",IF($Z838&lt;=2000,"",IF($Z838&lt;=4000,IF(N(INDEX(周转筐出入库明细!$I$4:$I$2004,$Z838-2000))=0,"",N(INDEX(周转筐出入库明细!$I$4:$I$2004,$Z838-2000))),IF($Z838&lt;=5200,"",IF($Z838&lt;=5800,IF(ISNUMBER(SEARCH("退",INDEX(次果筐明细!$F$4:$F$603,$Z838-5200)&amp;"")),IF(N(INDEX(次果筐明细!$G$4:$G$603,$Z838-5200))=0,"",N(INDEX(次果筐明细!$G$4:$G$603,$Z838-5200))),""),"")))))</f>
        <v/>
      </c>
      <c r="Q838" s="40" t="str">
        <f>IF($Z838="","",IF($Z838&lt;=2000,"",IF($Z838&lt;=4000,IF(N(INDEX(周转筐出入库明细!$H$4:$H$2004,$Z838-2000))=0,"",N(INDEX(周转筐出入库明细!$H$4:$H$2004,$Z838-2000))),IF($Z838&lt;=5200,IF(N(INDEX(客户自备加工筐明细!$F$4:$F$1203,$Z838-4000))=0,"",N(INDEX(客户自备加工筐明细!$F$4:$F$1203,$Z838-4000))),IF($Z838&lt;=5800,"","")))))</f>
        <v/>
      </c>
      <c r="R838" s="16" t="str">
        <f>IF($Z838="","",IF($Z838&lt;=2000,IF(INDEX(包装物料出入库明细!$O$4:$O$2003,$Z838-0)=0,"",INDEX(包装物料出入库明细!$O$4:$O$2003,$Z838-0)),IF($Z838&lt;=4000,IF(INDEX(周转筐出入库明细!$M$4:$M$2004,$Z838-2000)=0,"",INDEX(周转筐出入库明细!$M$4:$M$2004,$Z838-2000)),IF($Z838&lt;=5200,IF(INDEX(客户自备加工筐明细!$H$4:$H$1203,$Z838-4000)=0,"",INDEX(客户自备加工筐明细!$H$4:$H$1203,$Z838-4000)),IF($Z838&lt;=5800,IF(INDEX(次果筐明细!$H$4:$H$603,$Z838-5200)=0,"",INDEX(次果筐明细!$H$4:$H$603,$Z838-5200)),"")))))</f>
        <v/>
      </c>
      <c r="S838" s="22" t="str">
        <f t="shared" si="41"/>
        <v/>
      </c>
      <c r="Z838" s="10" t="str">
        <f>IFERROR(MATCH(ROW()-3,_自动清单!$CQ$4:$CQ$5803,0),"")</f>
        <v/>
      </c>
    </row>
    <row r="839" spans="1:26">
      <c r="A839" s="24" t="str">
        <f t="shared" si="39"/>
        <v/>
      </c>
      <c r="B839" s="38" t="str">
        <f>IF($Z839="","",IF($Z839&lt;=2000,IF(INDEX(包装物料出入库明细!$B$4:$B$2003,$Z839-0)=0,"",INDEX(包装物料出入库明细!$B$4:$B$2003,$Z839-0)),IF($Z839&lt;=4000,IF(INDEX(周转筐出入库明细!$B$4:$B$2004,$Z839-2000)=0,"",INDEX(周转筐出入库明细!$B$4:$B$2004,$Z839-2000)),IF($Z839&lt;=5200,IF(INDEX(客户自备加工筐明细!$B$4:$B$1203,$Z839-4000)=0,"",INDEX(客户自备加工筐明细!$B$4:$B$1203,$Z839-4000)),IF($Z839&lt;=5800,IF(INDEX(次果筐明细!$B$4:$B$603,$Z839-5200)=0,"",INDEX(次果筐明细!$B$4:$B$603,$Z839-5200)),"")))))</f>
        <v/>
      </c>
      <c r="C839" s="37" t="str">
        <f>IF($Z839="","",IF($Z839&lt;=2000,IF(INDEX(包装物料出入库明细!$D$4:$D$2003,$Z839-0)=0,"",INDEX(包装物料出入库明细!$D$4:$D$2003,$Z839-0)),IF($Z839&lt;=4000,IF(INDEX(周转筐出入库明细!$C$4:$C$2004,$Z839-2000)=0,"",INDEX(周转筐出入库明细!$C$4:$C$2004,$Z839-2000)),IF($Z839&lt;=5200,IF(INDEX(客户自备加工筐明细!$E$4:$E$1203,$Z839-4000)=0,"",INDEX(客户自备加工筐明细!$E$4:$E$1203,$Z839-4000)),IF($Z839&lt;=5800,IF(INDEX(次果筐明细!$C$4:$C$603,$Z839-5200)=0,"",INDEX(次果筐明细!$C$4:$C$603,$Z839-5200)),"")))))</f>
        <v/>
      </c>
      <c r="D839" s="37" t="str">
        <f>IF($Z839="","",IF($Z839&lt;=2000,"包装物料－"&amp;INDEX(包装物料出入库明细!$H$4:$H$2003,$Z839-0),IF($Z839&lt;=4000,"周转筐－"&amp;INDEX(周转筐出入库明细!$F$4:$F$2004,$Z839-2000),IF($Z839&lt;=5200,"客户自备筐－"&amp;INDEX(客户自备加工筐明细!$J$4:$J$1203,$Z839-4000),IF($Z839&lt;=5800,"次果筐/托盘－"&amp;INDEX(次果筐明细!$F$4:$F$603,$Z839-5200),"")))))</f>
        <v/>
      </c>
      <c r="E839" s="24" t="str">
        <f>IF($Z839="","",IF($Z839&lt;=2000,IF(INDEX(包装物料出入库明细!$C$4:$C$2003,$Z839-0)=0,"",INDEX(包装物料出入库明细!$C$4:$C$2003,$Z839-0)),IF($Z839&lt;=4000,IF(INDEX(周转筐出入库明细!$E$4:$E$2004,$Z839-2000)=0,"",INDEX(周转筐出入库明细!$E$4:$E$2004,$Z839-2000)),IF($Z839&lt;=5200,IF(INDEX(客户自备加工筐明细!$D$4:$D$1203,$Z839-4000)=0,"",INDEX(客户自备加工筐明细!$D$4:$D$1203,$Z839-4000)),IF($Z839&lt;=5800,IF(INDEX(次果筐明细!$E$4:$E$603,$Z839-5200)=0,"",INDEX(次果筐明细!$E$4:$E$603,$Z839-5200)),"")))))</f>
        <v/>
      </c>
      <c r="F839" s="24" t="str">
        <f>IF($Z839="","",IF($Z839&lt;=2000,IF(INDEX(包装物料出入库明细!$E$4:$E$2003,$Z839-0)=0,"",INDEX(包装物料出入库明细!$E$4:$E$2003,$Z839-0)),IF($Z839&lt;=4000,IF(INDEX(周转筐出入库明细!$D$4:$D$2004,$Z839-2000)=0,"",INDEX(周转筐出入库明细!$D$4:$D$2004,$Z839-2000)),IF($Z839&lt;=5200,IF(INDEX(客户自备加工筐明细!$C$4:$C$1203,$Z839-4000)=0,"",INDEX(客户自备加工筐明细!$C$4:$C$1203,$Z839-4000)),IF($Z839&lt;=5800,IF(INDEX(次果筐明细!$D$4:$D$603,$Z839-5200)=0,"",INDEX(次果筐明细!$D$4:$D$603,$Z839-5200)),"")))))</f>
        <v/>
      </c>
      <c r="G839" s="24" t="str">
        <f>IF($Z839="","",IF($Z839&lt;=2000,IF(INDEX(包装物料出入库明细!$F$4:$F$2003,$Z839-0)=0,"",INDEX(包装物料出入库明细!$F$4:$F$2003,$Z839-0)),IF($Z839&lt;=4000,"",IF($Z839&lt;=5200,"",IF($Z839&lt;=5800,"","")))))</f>
        <v/>
      </c>
      <c r="H839" s="39" t="str">
        <f>IF($Z839="","",IF($Z839&lt;=2000,IF(INDEX(包装物料出入库明细!$L$4:$L$2003,$Z839-0)=0,"",INDEX(包装物料出入库明细!$L$4:$L$2003,$Z839-0)),IF($Z839&lt;=4000,N(INDEX(周转筐出入库明细!$H$4:$H$2004,$Z839-2000))+N(INDEX(周转筐出入库明细!$I$4:$I$2004,$Z839-2000))+N(INDEX(周转筐出入库明细!$J$4:$J$2004,$Z839-2000))+N(INDEX(周转筐出入库明细!$K$4:$K$2004,$Z839-2000)),IF($Z839&lt;=5200,N(INDEX(客户自备加工筐明细!$F$4:$F$1203,$Z839-4000))+N(INDEX(客户自备加工筐明细!$G$4:$G$1203,$Z839-4000)),IF($Z839&lt;=5800,IF(INDEX(次果筐明细!$G$4:$G$603,$Z839-5200)=0,"",INDEX(次果筐明细!$G$4:$G$603,$Z839-5200)),"")))))</f>
        <v/>
      </c>
      <c r="I839" s="24" t="str">
        <f>IF($Z839="","",IF($Z839&lt;=2000,IF(INDEX(包装物料出入库明细!$G$4:$G$2003,$Z839-0)=0,"",INDEX(包装物料出入库明细!$G$4:$G$2003,$Z839-0)),IF($Z839&lt;=4000,"个",IF($Z839&lt;=5200,"个",IF($Z839&lt;=5800,"个","")))))</f>
        <v/>
      </c>
      <c r="J839" s="30" t="str">
        <f t="shared" si="40"/>
        <v/>
      </c>
      <c r="K839" s="30" t="str">
        <f>IF($Z839="","",IF($Z839&lt;=2000,IF(INDEX(包装物料出入库明细!$N$4:$N$2003,$Z839-0)=0,"",INDEX(包装物料出入库明细!$N$4:$N$2003,$Z839-0)),IF($Z839&lt;=4000,IF(INDEX(周转筐出入库明细!$P$4:$P$2004,$Z839-2000)=0,"",INDEX(周转筐出入库明细!$P$4:$P$2004,$Z839-2000)),IF($Z839&lt;=5200,"",IF($Z839&lt;=5800,N(INDEX(次果筐明细!$L$4:$L$603,$Z839-5200))+N(INDEX(次果筐明细!$J$4:$J$603,$Z839-5200)),"")))))</f>
        <v/>
      </c>
      <c r="L839" s="24" t="str">
        <f>IF($Z839="","",IF($Z839&lt;=2000,IF(INDEX(包装物料出入库明细!$P$4:$P$2003,$Z839-0)=0,"",INDEX(包装物料出入库明细!$P$4:$P$2003,$Z839-0)),IF($Z839&lt;=4000,IF(INDEX(周转筐出入库明细!$Q$4:$Q$2004,$Z839-2000)=0,"",INDEX(周转筐出入库明细!$Q$4:$Q$2004,$Z839-2000)),IF($Z839&lt;=5200,"",IF($Z839&lt;=5800,IF(INDEX(次果筐明细!$M$4:$M$603,$Z839-5200)=0,"",INDEX(次果筐明细!$M$4:$M$603,$Z839-5200)),"")))))</f>
        <v/>
      </c>
      <c r="M839" s="37" t="str">
        <f>IF($Z839="","",IF($Z839&lt;=2000,IF(INDEX(包装物料出入库明细!$R$4:$R$2003,$Z839-0)=0,"",INDEX(包装物料出入库明细!$R$4:$R$2003,$Z839-0)),IF($Z839&lt;=4000,IF(INDEX(周转筐出入库明细!$W$4:$W$2004,$Z839-2000)=0,"",INDEX(周转筐出入库明细!$W$4:$W$2004,$Z839-2000)),IF($Z839&lt;=5200,IF(INDEX(客户自备加工筐明细!$L$4:$L$1203,$Z839-4000)=0,"",INDEX(客户自备加工筐明细!$L$4:$L$1203,$Z839-4000)),IF($Z839&lt;=5800,IF(INDEX(次果筐明细!$P$4:$P$603,$Z839-5200)=0,"",INDEX(次果筐明细!$P$4:$P$603,$Z839-5200)),"")))))</f>
        <v/>
      </c>
      <c r="N839" s="16" t="str">
        <f>IF($Z839="","",IF($Z839&lt;=2000,"",IF($Z839&lt;=4000,IF(INDEX(周转筐出入库明细!$D$4:$D$2004,$Z839-2000)=0,"",INDEX(周转筐出入库明细!$D$4:$D$2004,$Z839-2000)),IF($Z839&lt;=5200,IF(INDEX(客户自备加工筐明细!$C$4:$C$1203,$Z839-4000)=0,"",INDEX(客户自备加工筐明细!$C$4:$C$1203,$Z839-4000)),IF($Z839&lt;=5800,IF(INDEX(次果筐明细!$D$4:$D$603,$Z839-5200)=0,"",INDEX(次果筐明细!$D$4:$D$603,$Z839-5200)),"")))))</f>
        <v/>
      </c>
      <c r="O839" s="40" t="str">
        <f>IF($Z839="","",IF($Z839&lt;=2000,"",IF($Z839&lt;=4000,IF(N(INDEX(周转筐出入库明细!$J$4:$J$2004,$Z839-2000))+N(INDEX(周转筐出入库明细!$K$4:$K$2004,$Z839-2000))=0,"",N(INDEX(周转筐出入库明细!$J$4:$J$2004,$Z839-2000))+N(INDEX(周转筐出入库明细!$K$4:$K$2004,$Z839-2000))),IF($Z839&lt;=5200,IF(N(INDEX(客户自备加工筐明细!$G$4:$G$1203,$Z839-4000))=0,"",N(INDEX(客户自备加工筐明细!$G$4:$G$1203,$Z839-4000))),IF($Z839&lt;=5800,IF(ISNUMBER(SEARCH("退",INDEX(次果筐明细!$F$4:$F$603,$Z839-5200)&amp;"")),"",IF(N(INDEX(次果筐明细!$G$4:$G$603,$Z839-5200))=0,"",N(INDEX(次果筐明细!$G$4:$G$603,$Z839-5200)))),"")))))</f>
        <v/>
      </c>
      <c r="P839" s="40" t="str">
        <f>IF($Z839="","",IF($Z839&lt;=2000,"",IF($Z839&lt;=4000,IF(N(INDEX(周转筐出入库明细!$I$4:$I$2004,$Z839-2000))=0,"",N(INDEX(周转筐出入库明细!$I$4:$I$2004,$Z839-2000))),IF($Z839&lt;=5200,"",IF($Z839&lt;=5800,IF(ISNUMBER(SEARCH("退",INDEX(次果筐明细!$F$4:$F$603,$Z839-5200)&amp;"")),IF(N(INDEX(次果筐明细!$G$4:$G$603,$Z839-5200))=0,"",N(INDEX(次果筐明细!$G$4:$G$603,$Z839-5200))),""),"")))))</f>
        <v/>
      </c>
      <c r="Q839" s="40" t="str">
        <f>IF($Z839="","",IF($Z839&lt;=2000,"",IF($Z839&lt;=4000,IF(N(INDEX(周转筐出入库明细!$H$4:$H$2004,$Z839-2000))=0,"",N(INDEX(周转筐出入库明细!$H$4:$H$2004,$Z839-2000))),IF($Z839&lt;=5200,IF(N(INDEX(客户自备加工筐明细!$F$4:$F$1203,$Z839-4000))=0,"",N(INDEX(客户自备加工筐明细!$F$4:$F$1203,$Z839-4000))),IF($Z839&lt;=5800,"","")))))</f>
        <v/>
      </c>
      <c r="R839" s="16" t="str">
        <f>IF($Z839="","",IF($Z839&lt;=2000,IF(INDEX(包装物料出入库明细!$O$4:$O$2003,$Z839-0)=0,"",INDEX(包装物料出入库明细!$O$4:$O$2003,$Z839-0)),IF($Z839&lt;=4000,IF(INDEX(周转筐出入库明细!$M$4:$M$2004,$Z839-2000)=0,"",INDEX(周转筐出入库明细!$M$4:$M$2004,$Z839-2000)),IF($Z839&lt;=5200,IF(INDEX(客户自备加工筐明细!$H$4:$H$1203,$Z839-4000)=0,"",INDEX(客户自备加工筐明细!$H$4:$H$1203,$Z839-4000)),IF($Z839&lt;=5800,IF(INDEX(次果筐明细!$H$4:$H$603,$Z839-5200)=0,"",INDEX(次果筐明细!$H$4:$H$603,$Z839-5200)),"")))))</f>
        <v/>
      </c>
      <c r="S839" s="22" t="str">
        <f t="shared" si="41"/>
        <v/>
      </c>
      <c r="Z839" s="10" t="str">
        <f>IFERROR(MATCH(ROW()-3,_自动清单!$CQ$4:$CQ$5803,0),"")</f>
        <v/>
      </c>
    </row>
    <row r="840" spans="1:26">
      <c r="A840" s="24" t="str">
        <f t="shared" si="39"/>
        <v/>
      </c>
      <c r="B840" s="38" t="str">
        <f>IF($Z840="","",IF($Z840&lt;=2000,IF(INDEX(包装物料出入库明细!$B$4:$B$2003,$Z840-0)=0,"",INDEX(包装物料出入库明细!$B$4:$B$2003,$Z840-0)),IF($Z840&lt;=4000,IF(INDEX(周转筐出入库明细!$B$4:$B$2004,$Z840-2000)=0,"",INDEX(周转筐出入库明细!$B$4:$B$2004,$Z840-2000)),IF($Z840&lt;=5200,IF(INDEX(客户自备加工筐明细!$B$4:$B$1203,$Z840-4000)=0,"",INDEX(客户自备加工筐明细!$B$4:$B$1203,$Z840-4000)),IF($Z840&lt;=5800,IF(INDEX(次果筐明细!$B$4:$B$603,$Z840-5200)=0,"",INDEX(次果筐明细!$B$4:$B$603,$Z840-5200)),"")))))</f>
        <v/>
      </c>
      <c r="C840" s="37" t="str">
        <f>IF($Z840="","",IF($Z840&lt;=2000,IF(INDEX(包装物料出入库明细!$D$4:$D$2003,$Z840-0)=0,"",INDEX(包装物料出入库明细!$D$4:$D$2003,$Z840-0)),IF($Z840&lt;=4000,IF(INDEX(周转筐出入库明细!$C$4:$C$2004,$Z840-2000)=0,"",INDEX(周转筐出入库明细!$C$4:$C$2004,$Z840-2000)),IF($Z840&lt;=5200,IF(INDEX(客户自备加工筐明细!$E$4:$E$1203,$Z840-4000)=0,"",INDEX(客户自备加工筐明细!$E$4:$E$1203,$Z840-4000)),IF($Z840&lt;=5800,IF(INDEX(次果筐明细!$C$4:$C$603,$Z840-5200)=0,"",INDEX(次果筐明细!$C$4:$C$603,$Z840-5200)),"")))))</f>
        <v/>
      </c>
      <c r="D840" s="37" t="str">
        <f>IF($Z840="","",IF($Z840&lt;=2000,"包装物料－"&amp;INDEX(包装物料出入库明细!$H$4:$H$2003,$Z840-0),IF($Z840&lt;=4000,"周转筐－"&amp;INDEX(周转筐出入库明细!$F$4:$F$2004,$Z840-2000),IF($Z840&lt;=5200,"客户自备筐－"&amp;INDEX(客户自备加工筐明细!$J$4:$J$1203,$Z840-4000),IF($Z840&lt;=5800,"次果筐/托盘－"&amp;INDEX(次果筐明细!$F$4:$F$603,$Z840-5200),"")))))</f>
        <v/>
      </c>
      <c r="E840" s="24" t="str">
        <f>IF($Z840="","",IF($Z840&lt;=2000,IF(INDEX(包装物料出入库明细!$C$4:$C$2003,$Z840-0)=0,"",INDEX(包装物料出入库明细!$C$4:$C$2003,$Z840-0)),IF($Z840&lt;=4000,IF(INDEX(周转筐出入库明细!$E$4:$E$2004,$Z840-2000)=0,"",INDEX(周转筐出入库明细!$E$4:$E$2004,$Z840-2000)),IF($Z840&lt;=5200,IF(INDEX(客户自备加工筐明细!$D$4:$D$1203,$Z840-4000)=0,"",INDEX(客户自备加工筐明细!$D$4:$D$1203,$Z840-4000)),IF($Z840&lt;=5800,IF(INDEX(次果筐明细!$E$4:$E$603,$Z840-5200)=0,"",INDEX(次果筐明细!$E$4:$E$603,$Z840-5200)),"")))))</f>
        <v/>
      </c>
      <c r="F840" s="24" t="str">
        <f>IF($Z840="","",IF($Z840&lt;=2000,IF(INDEX(包装物料出入库明细!$E$4:$E$2003,$Z840-0)=0,"",INDEX(包装物料出入库明细!$E$4:$E$2003,$Z840-0)),IF($Z840&lt;=4000,IF(INDEX(周转筐出入库明细!$D$4:$D$2004,$Z840-2000)=0,"",INDEX(周转筐出入库明细!$D$4:$D$2004,$Z840-2000)),IF($Z840&lt;=5200,IF(INDEX(客户自备加工筐明细!$C$4:$C$1203,$Z840-4000)=0,"",INDEX(客户自备加工筐明细!$C$4:$C$1203,$Z840-4000)),IF($Z840&lt;=5800,IF(INDEX(次果筐明细!$D$4:$D$603,$Z840-5200)=0,"",INDEX(次果筐明细!$D$4:$D$603,$Z840-5200)),"")))))</f>
        <v/>
      </c>
      <c r="G840" s="24" t="str">
        <f>IF($Z840="","",IF($Z840&lt;=2000,IF(INDEX(包装物料出入库明细!$F$4:$F$2003,$Z840-0)=0,"",INDEX(包装物料出入库明细!$F$4:$F$2003,$Z840-0)),IF($Z840&lt;=4000,"",IF($Z840&lt;=5200,"",IF($Z840&lt;=5800,"","")))))</f>
        <v/>
      </c>
      <c r="H840" s="39" t="str">
        <f>IF($Z840="","",IF($Z840&lt;=2000,IF(INDEX(包装物料出入库明细!$L$4:$L$2003,$Z840-0)=0,"",INDEX(包装物料出入库明细!$L$4:$L$2003,$Z840-0)),IF($Z840&lt;=4000,N(INDEX(周转筐出入库明细!$H$4:$H$2004,$Z840-2000))+N(INDEX(周转筐出入库明细!$I$4:$I$2004,$Z840-2000))+N(INDEX(周转筐出入库明细!$J$4:$J$2004,$Z840-2000))+N(INDEX(周转筐出入库明细!$K$4:$K$2004,$Z840-2000)),IF($Z840&lt;=5200,N(INDEX(客户自备加工筐明细!$F$4:$F$1203,$Z840-4000))+N(INDEX(客户自备加工筐明细!$G$4:$G$1203,$Z840-4000)),IF($Z840&lt;=5800,IF(INDEX(次果筐明细!$G$4:$G$603,$Z840-5200)=0,"",INDEX(次果筐明细!$G$4:$G$603,$Z840-5200)),"")))))</f>
        <v/>
      </c>
      <c r="I840" s="24" t="str">
        <f>IF($Z840="","",IF($Z840&lt;=2000,IF(INDEX(包装物料出入库明细!$G$4:$G$2003,$Z840-0)=0,"",INDEX(包装物料出入库明细!$G$4:$G$2003,$Z840-0)),IF($Z840&lt;=4000,"个",IF($Z840&lt;=5200,"个",IF($Z840&lt;=5800,"个","")))))</f>
        <v/>
      </c>
      <c r="J840" s="30" t="str">
        <f t="shared" si="40"/>
        <v/>
      </c>
      <c r="K840" s="30" t="str">
        <f>IF($Z840="","",IF($Z840&lt;=2000,IF(INDEX(包装物料出入库明细!$N$4:$N$2003,$Z840-0)=0,"",INDEX(包装物料出入库明细!$N$4:$N$2003,$Z840-0)),IF($Z840&lt;=4000,IF(INDEX(周转筐出入库明细!$P$4:$P$2004,$Z840-2000)=0,"",INDEX(周转筐出入库明细!$P$4:$P$2004,$Z840-2000)),IF($Z840&lt;=5200,"",IF($Z840&lt;=5800,N(INDEX(次果筐明细!$L$4:$L$603,$Z840-5200))+N(INDEX(次果筐明细!$J$4:$J$603,$Z840-5200)),"")))))</f>
        <v/>
      </c>
      <c r="L840" s="24" t="str">
        <f>IF($Z840="","",IF($Z840&lt;=2000,IF(INDEX(包装物料出入库明细!$P$4:$P$2003,$Z840-0)=0,"",INDEX(包装物料出入库明细!$P$4:$P$2003,$Z840-0)),IF($Z840&lt;=4000,IF(INDEX(周转筐出入库明细!$Q$4:$Q$2004,$Z840-2000)=0,"",INDEX(周转筐出入库明细!$Q$4:$Q$2004,$Z840-2000)),IF($Z840&lt;=5200,"",IF($Z840&lt;=5800,IF(INDEX(次果筐明细!$M$4:$M$603,$Z840-5200)=0,"",INDEX(次果筐明细!$M$4:$M$603,$Z840-5200)),"")))))</f>
        <v/>
      </c>
      <c r="M840" s="37" t="str">
        <f>IF($Z840="","",IF($Z840&lt;=2000,IF(INDEX(包装物料出入库明细!$R$4:$R$2003,$Z840-0)=0,"",INDEX(包装物料出入库明细!$R$4:$R$2003,$Z840-0)),IF($Z840&lt;=4000,IF(INDEX(周转筐出入库明细!$W$4:$W$2004,$Z840-2000)=0,"",INDEX(周转筐出入库明细!$W$4:$W$2004,$Z840-2000)),IF($Z840&lt;=5200,IF(INDEX(客户自备加工筐明细!$L$4:$L$1203,$Z840-4000)=0,"",INDEX(客户自备加工筐明细!$L$4:$L$1203,$Z840-4000)),IF($Z840&lt;=5800,IF(INDEX(次果筐明细!$P$4:$P$603,$Z840-5200)=0,"",INDEX(次果筐明细!$P$4:$P$603,$Z840-5200)),"")))))</f>
        <v/>
      </c>
      <c r="N840" s="16" t="str">
        <f>IF($Z840="","",IF($Z840&lt;=2000,"",IF($Z840&lt;=4000,IF(INDEX(周转筐出入库明细!$D$4:$D$2004,$Z840-2000)=0,"",INDEX(周转筐出入库明细!$D$4:$D$2004,$Z840-2000)),IF($Z840&lt;=5200,IF(INDEX(客户自备加工筐明细!$C$4:$C$1203,$Z840-4000)=0,"",INDEX(客户自备加工筐明细!$C$4:$C$1203,$Z840-4000)),IF($Z840&lt;=5800,IF(INDEX(次果筐明细!$D$4:$D$603,$Z840-5200)=0,"",INDEX(次果筐明细!$D$4:$D$603,$Z840-5200)),"")))))</f>
        <v/>
      </c>
      <c r="O840" s="40" t="str">
        <f>IF($Z840="","",IF($Z840&lt;=2000,"",IF($Z840&lt;=4000,IF(N(INDEX(周转筐出入库明细!$J$4:$J$2004,$Z840-2000))+N(INDEX(周转筐出入库明细!$K$4:$K$2004,$Z840-2000))=0,"",N(INDEX(周转筐出入库明细!$J$4:$J$2004,$Z840-2000))+N(INDEX(周转筐出入库明细!$K$4:$K$2004,$Z840-2000))),IF($Z840&lt;=5200,IF(N(INDEX(客户自备加工筐明细!$G$4:$G$1203,$Z840-4000))=0,"",N(INDEX(客户自备加工筐明细!$G$4:$G$1203,$Z840-4000))),IF($Z840&lt;=5800,IF(ISNUMBER(SEARCH("退",INDEX(次果筐明细!$F$4:$F$603,$Z840-5200)&amp;"")),"",IF(N(INDEX(次果筐明细!$G$4:$G$603,$Z840-5200))=0,"",N(INDEX(次果筐明细!$G$4:$G$603,$Z840-5200)))),"")))))</f>
        <v/>
      </c>
      <c r="P840" s="40" t="str">
        <f>IF($Z840="","",IF($Z840&lt;=2000,"",IF($Z840&lt;=4000,IF(N(INDEX(周转筐出入库明细!$I$4:$I$2004,$Z840-2000))=0,"",N(INDEX(周转筐出入库明细!$I$4:$I$2004,$Z840-2000))),IF($Z840&lt;=5200,"",IF($Z840&lt;=5800,IF(ISNUMBER(SEARCH("退",INDEX(次果筐明细!$F$4:$F$603,$Z840-5200)&amp;"")),IF(N(INDEX(次果筐明细!$G$4:$G$603,$Z840-5200))=0,"",N(INDEX(次果筐明细!$G$4:$G$603,$Z840-5200))),""),"")))))</f>
        <v/>
      </c>
      <c r="Q840" s="40" t="str">
        <f>IF($Z840="","",IF($Z840&lt;=2000,"",IF($Z840&lt;=4000,IF(N(INDEX(周转筐出入库明细!$H$4:$H$2004,$Z840-2000))=0,"",N(INDEX(周转筐出入库明细!$H$4:$H$2004,$Z840-2000))),IF($Z840&lt;=5200,IF(N(INDEX(客户自备加工筐明细!$F$4:$F$1203,$Z840-4000))=0,"",N(INDEX(客户自备加工筐明细!$F$4:$F$1203,$Z840-4000))),IF($Z840&lt;=5800,"","")))))</f>
        <v/>
      </c>
      <c r="R840" s="16" t="str">
        <f>IF($Z840="","",IF($Z840&lt;=2000,IF(INDEX(包装物料出入库明细!$O$4:$O$2003,$Z840-0)=0,"",INDEX(包装物料出入库明细!$O$4:$O$2003,$Z840-0)),IF($Z840&lt;=4000,IF(INDEX(周转筐出入库明细!$M$4:$M$2004,$Z840-2000)=0,"",INDEX(周转筐出入库明细!$M$4:$M$2004,$Z840-2000)),IF($Z840&lt;=5200,IF(INDEX(客户自备加工筐明细!$H$4:$H$1203,$Z840-4000)=0,"",INDEX(客户自备加工筐明细!$H$4:$H$1203,$Z840-4000)),IF($Z840&lt;=5800,IF(INDEX(次果筐明细!$H$4:$H$603,$Z840-5200)=0,"",INDEX(次果筐明细!$H$4:$H$603,$Z840-5200)),"")))))</f>
        <v/>
      </c>
      <c r="S840" s="22" t="str">
        <f t="shared" si="41"/>
        <v/>
      </c>
      <c r="Z840" s="10" t="str">
        <f>IFERROR(MATCH(ROW()-3,_自动清单!$CQ$4:$CQ$5803,0),"")</f>
        <v/>
      </c>
    </row>
    <row r="841" spans="1:26">
      <c r="A841" s="24" t="str">
        <f t="shared" si="39"/>
        <v/>
      </c>
      <c r="B841" s="38" t="str">
        <f>IF($Z841="","",IF($Z841&lt;=2000,IF(INDEX(包装物料出入库明细!$B$4:$B$2003,$Z841-0)=0,"",INDEX(包装物料出入库明细!$B$4:$B$2003,$Z841-0)),IF($Z841&lt;=4000,IF(INDEX(周转筐出入库明细!$B$4:$B$2004,$Z841-2000)=0,"",INDEX(周转筐出入库明细!$B$4:$B$2004,$Z841-2000)),IF($Z841&lt;=5200,IF(INDEX(客户自备加工筐明细!$B$4:$B$1203,$Z841-4000)=0,"",INDEX(客户自备加工筐明细!$B$4:$B$1203,$Z841-4000)),IF($Z841&lt;=5800,IF(INDEX(次果筐明细!$B$4:$B$603,$Z841-5200)=0,"",INDEX(次果筐明细!$B$4:$B$603,$Z841-5200)),"")))))</f>
        <v/>
      </c>
      <c r="C841" s="37" t="str">
        <f>IF($Z841="","",IF($Z841&lt;=2000,IF(INDEX(包装物料出入库明细!$D$4:$D$2003,$Z841-0)=0,"",INDEX(包装物料出入库明细!$D$4:$D$2003,$Z841-0)),IF($Z841&lt;=4000,IF(INDEX(周转筐出入库明细!$C$4:$C$2004,$Z841-2000)=0,"",INDEX(周转筐出入库明细!$C$4:$C$2004,$Z841-2000)),IF($Z841&lt;=5200,IF(INDEX(客户自备加工筐明细!$E$4:$E$1203,$Z841-4000)=0,"",INDEX(客户自备加工筐明细!$E$4:$E$1203,$Z841-4000)),IF($Z841&lt;=5800,IF(INDEX(次果筐明细!$C$4:$C$603,$Z841-5200)=0,"",INDEX(次果筐明细!$C$4:$C$603,$Z841-5200)),"")))))</f>
        <v/>
      </c>
      <c r="D841" s="37" t="str">
        <f>IF($Z841="","",IF($Z841&lt;=2000,"包装物料－"&amp;INDEX(包装物料出入库明细!$H$4:$H$2003,$Z841-0),IF($Z841&lt;=4000,"周转筐－"&amp;INDEX(周转筐出入库明细!$F$4:$F$2004,$Z841-2000),IF($Z841&lt;=5200,"客户自备筐－"&amp;INDEX(客户自备加工筐明细!$J$4:$J$1203,$Z841-4000),IF($Z841&lt;=5800,"次果筐/托盘－"&amp;INDEX(次果筐明细!$F$4:$F$603,$Z841-5200),"")))))</f>
        <v/>
      </c>
      <c r="E841" s="24" t="str">
        <f>IF($Z841="","",IF($Z841&lt;=2000,IF(INDEX(包装物料出入库明细!$C$4:$C$2003,$Z841-0)=0,"",INDEX(包装物料出入库明细!$C$4:$C$2003,$Z841-0)),IF($Z841&lt;=4000,IF(INDEX(周转筐出入库明细!$E$4:$E$2004,$Z841-2000)=0,"",INDEX(周转筐出入库明细!$E$4:$E$2004,$Z841-2000)),IF($Z841&lt;=5200,IF(INDEX(客户自备加工筐明细!$D$4:$D$1203,$Z841-4000)=0,"",INDEX(客户自备加工筐明细!$D$4:$D$1203,$Z841-4000)),IF($Z841&lt;=5800,IF(INDEX(次果筐明细!$E$4:$E$603,$Z841-5200)=0,"",INDEX(次果筐明细!$E$4:$E$603,$Z841-5200)),"")))))</f>
        <v/>
      </c>
      <c r="F841" s="24" t="str">
        <f>IF($Z841="","",IF($Z841&lt;=2000,IF(INDEX(包装物料出入库明细!$E$4:$E$2003,$Z841-0)=0,"",INDEX(包装物料出入库明细!$E$4:$E$2003,$Z841-0)),IF($Z841&lt;=4000,IF(INDEX(周转筐出入库明细!$D$4:$D$2004,$Z841-2000)=0,"",INDEX(周转筐出入库明细!$D$4:$D$2004,$Z841-2000)),IF($Z841&lt;=5200,IF(INDEX(客户自备加工筐明细!$C$4:$C$1203,$Z841-4000)=0,"",INDEX(客户自备加工筐明细!$C$4:$C$1203,$Z841-4000)),IF($Z841&lt;=5800,IF(INDEX(次果筐明细!$D$4:$D$603,$Z841-5200)=0,"",INDEX(次果筐明细!$D$4:$D$603,$Z841-5200)),"")))))</f>
        <v/>
      </c>
      <c r="G841" s="24" t="str">
        <f>IF($Z841="","",IF($Z841&lt;=2000,IF(INDEX(包装物料出入库明细!$F$4:$F$2003,$Z841-0)=0,"",INDEX(包装物料出入库明细!$F$4:$F$2003,$Z841-0)),IF($Z841&lt;=4000,"",IF($Z841&lt;=5200,"",IF($Z841&lt;=5800,"","")))))</f>
        <v/>
      </c>
      <c r="H841" s="39" t="str">
        <f>IF($Z841="","",IF($Z841&lt;=2000,IF(INDEX(包装物料出入库明细!$L$4:$L$2003,$Z841-0)=0,"",INDEX(包装物料出入库明细!$L$4:$L$2003,$Z841-0)),IF($Z841&lt;=4000,N(INDEX(周转筐出入库明细!$H$4:$H$2004,$Z841-2000))+N(INDEX(周转筐出入库明细!$I$4:$I$2004,$Z841-2000))+N(INDEX(周转筐出入库明细!$J$4:$J$2004,$Z841-2000))+N(INDEX(周转筐出入库明细!$K$4:$K$2004,$Z841-2000)),IF($Z841&lt;=5200,N(INDEX(客户自备加工筐明细!$F$4:$F$1203,$Z841-4000))+N(INDEX(客户自备加工筐明细!$G$4:$G$1203,$Z841-4000)),IF($Z841&lt;=5800,IF(INDEX(次果筐明细!$G$4:$G$603,$Z841-5200)=0,"",INDEX(次果筐明细!$G$4:$G$603,$Z841-5200)),"")))))</f>
        <v/>
      </c>
      <c r="I841" s="24" t="str">
        <f>IF($Z841="","",IF($Z841&lt;=2000,IF(INDEX(包装物料出入库明细!$G$4:$G$2003,$Z841-0)=0,"",INDEX(包装物料出入库明细!$G$4:$G$2003,$Z841-0)),IF($Z841&lt;=4000,"个",IF($Z841&lt;=5200,"个",IF($Z841&lt;=5800,"个","")))))</f>
        <v/>
      </c>
      <c r="J841" s="30" t="str">
        <f t="shared" si="40"/>
        <v/>
      </c>
      <c r="K841" s="30" t="str">
        <f>IF($Z841="","",IF($Z841&lt;=2000,IF(INDEX(包装物料出入库明细!$N$4:$N$2003,$Z841-0)=0,"",INDEX(包装物料出入库明细!$N$4:$N$2003,$Z841-0)),IF($Z841&lt;=4000,IF(INDEX(周转筐出入库明细!$P$4:$P$2004,$Z841-2000)=0,"",INDEX(周转筐出入库明细!$P$4:$P$2004,$Z841-2000)),IF($Z841&lt;=5200,"",IF($Z841&lt;=5800,N(INDEX(次果筐明细!$L$4:$L$603,$Z841-5200))+N(INDEX(次果筐明细!$J$4:$J$603,$Z841-5200)),"")))))</f>
        <v/>
      </c>
      <c r="L841" s="24" t="str">
        <f>IF($Z841="","",IF($Z841&lt;=2000,IF(INDEX(包装物料出入库明细!$P$4:$P$2003,$Z841-0)=0,"",INDEX(包装物料出入库明细!$P$4:$P$2003,$Z841-0)),IF($Z841&lt;=4000,IF(INDEX(周转筐出入库明细!$Q$4:$Q$2004,$Z841-2000)=0,"",INDEX(周转筐出入库明细!$Q$4:$Q$2004,$Z841-2000)),IF($Z841&lt;=5200,"",IF($Z841&lt;=5800,IF(INDEX(次果筐明细!$M$4:$M$603,$Z841-5200)=0,"",INDEX(次果筐明细!$M$4:$M$603,$Z841-5200)),"")))))</f>
        <v/>
      </c>
      <c r="M841" s="37" t="str">
        <f>IF($Z841="","",IF($Z841&lt;=2000,IF(INDEX(包装物料出入库明细!$R$4:$R$2003,$Z841-0)=0,"",INDEX(包装物料出入库明细!$R$4:$R$2003,$Z841-0)),IF($Z841&lt;=4000,IF(INDEX(周转筐出入库明细!$W$4:$W$2004,$Z841-2000)=0,"",INDEX(周转筐出入库明细!$W$4:$W$2004,$Z841-2000)),IF($Z841&lt;=5200,IF(INDEX(客户自备加工筐明细!$L$4:$L$1203,$Z841-4000)=0,"",INDEX(客户自备加工筐明细!$L$4:$L$1203,$Z841-4000)),IF($Z841&lt;=5800,IF(INDEX(次果筐明细!$P$4:$P$603,$Z841-5200)=0,"",INDEX(次果筐明细!$P$4:$P$603,$Z841-5200)),"")))))</f>
        <v/>
      </c>
      <c r="N841" s="16" t="str">
        <f>IF($Z841="","",IF($Z841&lt;=2000,"",IF($Z841&lt;=4000,IF(INDEX(周转筐出入库明细!$D$4:$D$2004,$Z841-2000)=0,"",INDEX(周转筐出入库明细!$D$4:$D$2004,$Z841-2000)),IF($Z841&lt;=5200,IF(INDEX(客户自备加工筐明细!$C$4:$C$1203,$Z841-4000)=0,"",INDEX(客户自备加工筐明细!$C$4:$C$1203,$Z841-4000)),IF($Z841&lt;=5800,IF(INDEX(次果筐明细!$D$4:$D$603,$Z841-5200)=0,"",INDEX(次果筐明细!$D$4:$D$603,$Z841-5200)),"")))))</f>
        <v/>
      </c>
      <c r="O841" s="40" t="str">
        <f>IF($Z841="","",IF($Z841&lt;=2000,"",IF($Z841&lt;=4000,IF(N(INDEX(周转筐出入库明细!$J$4:$J$2004,$Z841-2000))+N(INDEX(周转筐出入库明细!$K$4:$K$2004,$Z841-2000))=0,"",N(INDEX(周转筐出入库明细!$J$4:$J$2004,$Z841-2000))+N(INDEX(周转筐出入库明细!$K$4:$K$2004,$Z841-2000))),IF($Z841&lt;=5200,IF(N(INDEX(客户自备加工筐明细!$G$4:$G$1203,$Z841-4000))=0,"",N(INDEX(客户自备加工筐明细!$G$4:$G$1203,$Z841-4000))),IF($Z841&lt;=5800,IF(ISNUMBER(SEARCH("退",INDEX(次果筐明细!$F$4:$F$603,$Z841-5200)&amp;"")),"",IF(N(INDEX(次果筐明细!$G$4:$G$603,$Z841-5200))=0,"",N(INDEX(次果筐明细!$G$4:$G$603,$Z841-5200)))),"")))))</f>
        <v/>
      </c>
      <c r="P841" s="40" t="str">
        <f>IF($Z841="","",IF($Z841&lt;=2000,"",IF($Z841&lt;=4000,IF(N(INDEX(周转筐出入库明细!$I$4:$I$2004,$Z841-2000))=0,"",N(INDEX(周转筐出入库明细!$I$4:$I$2004,$Z841-2000))),IF($Z841&lt;=5200,"",IF($Z841&lt;=5800,IF(ISNUMBER(SEARCH("退",INDEX(次果筐明细!$F$4:$F$603,$Z841-5200)&amp;"")),IF(N(INDEX(次果筐明细!$G$4:$G$603,$Z841-5200))=0,"",N(INDEX(次果筐明细!$G$4:$G$603,$Z841-5200))),""),"")))))</f>
        <v/>
      </c>
      <c r="Q841" s="40" t="str">
        <f>IF($Z841="","",IF($Z841&lt;=2000,"",IF($Z841&lt;=4000,IF(N(INDEX(周转筐出入库明细!$H$4:$H$2004,$Z841-2000))=0,"",N(INDEX(周转筐出入库明细!$H$4:$H$2004,$Z841-2000))),IF($Z841&lt;=5200,IF(N(INDEX(客户自备加工筐明细!$F$4:$F$1203,$Z841-4000))=0,"",N(INDEX(客户自备加工筐明细!$F$4:$F$1203,$Z841-4000))),IF($Z841&lt;=5800,"","")))))</f>
        <v/>
      </c>
      <c r="R841" s="16" t="str">
        <f>IF($Z841="","",IF($Z841&lt;=2000,IF(INDEX(包装物料出入库明细!$O$4:$O$2003,$Z841-0)=0,"",INDEX(包装物料出入库明细!$O$4:$O$2003,$Z841-0)),IF($Z841&lt;=4000,IF(INDEX(周转筐出入库明细!$M$4:$M$2004,$Z841-2000)=0,"",INDEX(周转筐出入库明细!$M$4:$M$2004,$Z841-2000)),IF($Z841&lt;=5200,IF(INDEX(客户自备加工筐明细!$H$4:$H$1203,$Z841-4000)=0,"",INDEX(客户自备加工筐明细!$H$4:$H$1203,$Z841-4000)),IF($Z841&lt;=5800,IF(INDEX(次果筐明细!$H$4:$H$603,$Z841-5200)=0,"",INDEX(次果筐明细!$H$4:$H$603,$Z841-5200)),"")))))</f>
        <v/>
      </c>
      <c r="S841" s="22" t="str">
        <f t="shared" si="41"/>
        <v/>
      </c>
      <c r="Z841" s="10" t="str">
        <f>IFERROR(MATCH(ROW()-3,_自动清单!$CQ$4:$CQ$5803,0),"")</f>
        <v/>
      </c>
    </row>
    <row r="842" spans="1:26">
      <c r="A842" s="24" t="str">
        <f t="shared" si="39"/>
        <v/>
      </c>
      <c r="B842" s="38" t="str">
        <f>IF($Z842="","",IF($Z842&lt;=2000,IF(INDEX(包装物料出入库明细!$B$4:$B$2003,$Z842-0)=0,"",INDEX(包装物料出入库明细!$B$4:$B$2003,$Z842-0)),IF($Z842&lt;=4000,IF(INDEX(周转筐出入库明细!$B$4:$B$2004,$Z842-2000)=0,"",INDEX(周转筐出入库明细!$B$4:$B$2004,$Z842-2000)),IF($Z842&lt;=5200,IF(INDEX(客户自备加工筐明细!$B$4:$B$1203,$Z842-4000)=0,"",INDEX(客户自备加工筐明细!$B$4:$B$1203,$Z842-4000)),IF($Z842&lt;=5800,IF(INDEX(次果筐明细!$B$4:$B$603,$Z842-5200)=0,"",INDEX(次果筐明细!$B$4:$B$603,$Z842-5200)),"")))))</f>
        <v/>
      </c>
      <c r="C842" s="37" t="str">
        <f>IF($Z842="","",IF($Z842&lt;=2000,IF(INDEX(包装物料出入库明细!$D$4:$D$2003,$Z842-0)=0,"",INDEX(包装物料出入库明细!$D$4:$D$2003,$Z842-0)),IF($Z842&lt;=4000,IF(INDEX(周转筐出入库明细!$C$4:$C$2004,$Z842-2000)=0,"",INDEX(周转筐出入库明细!$C$4:$C$2004,$Z842-2000)),IF($Z842&lt;=5200,IF(INDEX(客户自备加工筐明细!$E$4:$E$1203,$Z842-4000)=0,"",INDEX(客户自备加工筐明细!$E$4:$E$1203,$Z842-4000)),IF($Z842&lt;=5800,IF(INDEX(次果筐明细!$C$4:$C$603,$Z842-5200)=0,"",INDEX(次果筐明细!$C$4:$C$603,$Z842-5200)),"")))))</f>
        <v/>
      </c>
      <c r="D842" s="37" t="str">
        <f>IF($Z842="","",IF($Z842&lt;=2000,"包装物料－"&amp;INDEX(包装物料出入库明细!$H$4:$H$2003,$Z842-0),IF($Z842&lt;=4000,"周转筐－"&amp;INDEX(周转筐出入库明细!$F$4:$F$2004,$Z842-2000),IF($Z842&lt;=5200,"客户自备筐－"&amp;INDEX(客户自备加工筐明细!$J$4:$J$1203,$Z842-4000),IF($Z842&lt;=5800,"次果筐/托盘－"&amp;INDEX(次果筐明细!$F$4:$F$603,$Z842-5200),"")))))</f>
        <v/>
      </c>
      <c r="E842" s="24" t="str">
        <f>IF($Z842="","",IF($Z842&lt;=2000,IF(INDEX(包装物料出入库明细!$C$4:$C$2003,$Z842-0)=0,"",INDEX(包装物料出入库明细!$C$4:$C$2003,$Z842-0)),IF($Z842&lt;=4000,IF(INDEX(周转筐出入库明细!$E$4:$E$2004,$Z842-2000)=0,"",INDEX(周转筐出入库明细!$E$4:$E$2004,$Z842-2000)),IF($Z842&lt;=5200,IF(INDEX(客户自备加工筐明细!$D$4:$D$1203,$Z842-4000)=0,"",INDEX(客户自备加工筐明细!$D$4:$D$1203,$Z842-4000)),IF($Z842&lt;=5800,IF(INDEX(次果筐明细!$E$4:$E$603,$Z842-5200)=0,"",INDEX(次果筐明细!$E$4:$E$603,$Z842-5200)),"")))))</f>
        <v/>
      </c>
      <c r="F842" s="24" t="str">
        <f>IF($Z842="","",IF($Z842&lt;=2000,IF(INDEX(包装物料出入库明细!$E$4:$E$2003,$Z842-0)=0,"",INDEX(包装物料出入库明细!$E$4:$E$2003,$Z842-0)),IF($Z842&lt;=4000,IF(INDEX(周转筐出入库明细!$D$4:$D$2004,$Z842-2000)=0,"",INDEX(周转筐出入库明细!$D$4:$D$2004,$Z842-2000)),IF($Z842&lt;=5200,IF(INDEX(客户自备加工筐明细!$C$4:$C$1203,$Z842-4000)=0,"",INDEX(客户自备加工筐明细!$C$4:$C$1203,$Z842-4000)),IF($Z842&lt;=5800,IF(INDEX(次果筐明细!$D$4:$D$603,$Z842-5200)=0,"",INDEX(次果筐明细!$D$4:$D$603,$Z842-5200)),"")))))</f>
        <v/>
      </c>
      <c r="G842" s="24" t="str">
        <f>IF($Z842="","",IF($Z842&lt;=2000,IF(INDEX(包装物料出入库明细!$F$4:$F$2003,$Z842-0)=0,"",INDEX(包装物料出入库明细!$F$4:$F$2003,$Z842-0)),IF($Z842&lt;=4000,"",IF($Z842&lt;=5200,"",IF($Z842&lt;=5800,"","")))))</f>
        <v/>
      </c>
      <c r="H842" s="39" t="str">
        <f>IF($Z842="","",IF($Z842&lt;=2000,IF(INDEX(包装物料出入库明细!$L$4:$L$2003,$Z842-0)=0,"",INDEX(包装物料出入库明细!$L$4:$L$2003,$Z842-0)),IF($Z842&lt;=4000,N(INDEX(周转筐出入库明细!$H$4:$H$2004,$Z842-2000))+N(INDEX(周转筐出入库明细!$I$4:$I$2004,$Z842-2000))+N(INDEX(周转筐出入库明细!$J$4:$J$2004,$Z842-2000))+N(INDEX(周转筐出入库明细!$K$4:$K$2004,$Z842-2000)),IF($Z842&lt;=5200,N(INDEX(客户自备加工筐明细!$F$4:$F$1203,$Z842-4000))+N(INDEX(客户自备加工筐明细!$G$4:$G$1203,$Z842-4000)),IF($Z842&lt;=5800,IF(INDEX(次果筐明细!$G$4:$G$603,$Z842-5200)=0,"",INDEX(次果筐明细!$G$4:$G$603,$Z842-5200)),"")))))</f>
        <v/>
      </c>
      <c r="I842" s="24" t="str">
        <f>IF($Z842="","",IF($Z842&lt;=2000,IF(INDEX(包装物料出入库明细!$G$4:$G$2003,$Z842-0)=0,"",INDEX(包装物料出入库明细!$G$4:$G$2003,$Z842-0)),IF($Z842&lt;=4000,"个",IF($Z842&lt;=5200,"个",IF($Z842&lt;=5800,"个","")))))</f>
        <v/>
      </c>
      <c r="J842" s="30" t="str">
        <f t="shared" si="40"/>
        <v/>
      </c>
      <c r="K842" s="30" t="str">
        <f>IF($Z842="","",IF($Z842&lt;=2000,IF(INDEX(包装物料出入库明细!$N$4:$N$2003,$Z842-0)=0,"",INDEX(包装物料出入库明细!$N$4:$N$2003,$Z842-0)),IF($Z842&lt;=4000,IF(INDEX(周转筐出入库明细!$P$4:$P$2004,$Z842-2000)=0,"",INDEX(周转筐出入库明细!$P$4:$P$2004,$Z842-2000)),IF($Z842&lt;=5200,"",IF($Z842&lt;=5800,N(INDEX(次果筐明细!$L$4:$L$603,$Z842-5200))+N(INDEX(次果筐明细!$J$4:$J$603,$Z842-5200)),"")))))</f>
        <v/>
      </c>
      <c r="L842" s="24" t="str">
        <f>IF($Z842="","",IF($Z842&lt;=2000,IF(INDEX(包装物料出入库明细!$P$4:$P$2003,$Z842-0)=0,"",INDEX(包装物料出入库明细!$P$4:$P$2003,$Z842-0)),IF($Z842&lt;=4000,IF(INDEX(周转筐出入库明细!$Q$4:$Q$2004,$Z842-2000)=0,"",INDEX(周转筐出入库明细!$Q$4:$Q$2004,$Z842-2000)),IF($Z842&lt;=5200,"",IF($Z842&lt;=5800,IF(INDEX(次果筐明细!$M$4:$M$603,$Z842-5200)=0,"",INDEX(次果筐明细!$M$4:$M$603,$Z842-5200)),"")))))</f>
        <v/>
      </c>
      <c r="M842" s="37" t="str">
        <f>IF($Z842="","",IF($Z842&lt;=2000,IF(INDEX(包装物料出入库明细!$R$4:$R$2003,$Z842-0)=0,"",INDEX(包装物料出入库明细!$R$4:$R$2003,$Z842-0)),IF($Z842&lt;=4000,IF(INDEX(周转筐出入库明细!$W$4:$W$2004,$Z842-2000)=0,"",INDEX(周转筐出入库明细!$W$4:$W$2004,$Z842-2000)),IF($Z842&lt;=5200,IF(INDEX(客户自备加工筐明细!$L$4:$L$1203,$Z842-4000)=0,"",INDEX(客户自备加工筐明细!$L$4:$L$1203,$Z842-4000)),IF($Z842&lt;=5800,IF(INDEX(次果筐明细!$P$4:$P$603,$Z842-5200)=0,"",INDEX(次果筐明细!$P$4:$P$603,$Z842-5200)),"")))))</f>
        <v/>
      </c>
      <c r="N842" s="16" t="str">
        <f>IF($Z842="","",IF($Z842&lt;=2000,"",IF($Z842&lt;=4000,IF(INDEX(周转筐出入库明细!$D$4:$D$2004,$Z842-2000)=0,"",INDEX(周转筐出入库明细!$D$4:$D$2004,$Z842-2000)),IF($Z842&lt;=5200,IF(INDEX(客户自备加工筐明细!$C$4:$C$1203,$Z842-4000)=0,"",INDEX(客户自备加工筐明细!$C$4:$C$1203,$Z842-4000)),IF($Z842&lt;=5800,IF(INDEX(次果筐明细!$D$4:$D$603,$Z842-5200)=0,"",INDEX(次果筐明细!$D$4:$D$603,$Z842-5200)),"")))))</f>
        <v/>
      </c>
      <c r="O842" s="40" t="str">
        <f>IF($Z842="","",IF($Z842&lt;=2000,"",IF($Z842&lt;=4000,IF(N(INDEX(周转筐出入库明细!$J$4:$J$2004,$Z842-2000))+N(INDEX(周转筐出入库明细!$K$4:$K$2004,$Z842-2000))=0,"",N(INDEX(周转筐出入库明细!$J$4:$J$2004,$Z842-2000))+N(INDEX(周转筐出入库明细!$K$4:$K$2004,$Z842-2000))),IF($Z842&lt;=5200,IF(N(INDEX(客户自备加工筐明细!$G$4:$G$1203,$Z842-4000))=0,"",N(INDEX(客户自备加工筐明细!$G$4:$G$1203,$Z842-4000))),IF($Z842&lt;=5800,IF(ISNUMBER(SEARCH("退",INDEX(次果筐明细!$F$4:$F$603,$Z842-5200)&amp;"")),"",IF(N(INDEX(次果筐明细!$G$4:$G$603,$Z842-5200))=0,"",N(INDEX(次果筐明细!$G$4:$G$603,$Z842-5200)))),"")))))</f>
        <v/>
      </c>
      <c r="P842" s="40" t="str">
        <f>IF($Z842="","",IF($Z842&lt;=2000,"",IF($Z842&lt;=4000,IF(N(INDEX(周转筐出入库明细!$I$4:$I$2004,$Z842-2000))=0,"",N(INDEX(周转筐出入库明细!$I$4:$I$2004,$Z842-2000))),IF($Z842&lt;=5200,"",IF($Z842&lt;=5800,IF(ISNUMBER(SEARCH("退",INDEX(次果筐明细!$F$4:$F$603,$Z842-5200)&amp;"")),IF(N(INDEX(次果筐明细!$G$4:$G$603,$Z842-5200))=0,"",N(INDEX(次果筐明细!$G$4:$G$603,$Z842-5200))),""),"")))))</f>
        <v/>
      </c>
      <c r="Q842" s="40" t="str">
        <f>IF($Z842="","",IF($Z842&lt;=2000,"",IF($Z842&lt;=4000,IF(N(INDEX(周转筐出入库明细!$H$4:$H$2004,$Z842-2000))=0,"",N(INDEX(周转筐出入库明细!$H$4:$H$2004,$Z842-2000))),IF($Z842&lt;=5200,IF(N(INDEX(客户自备加工筐明细!$F$4:$F$1203,$Z842-4000))=0,"",N(INDEX(客户自备加工筐明细!$F$4:$F$1203,$Z842-4000))),IF($Z842&lt;=5800,"","")))))</f>
        <v/>
      </c>
      <c r="R842" s="16" t="str">
        <f>IF($Z842="","",IF($Z842&lt;=2000,IF(INDEX(包装物料出入库明细!$O$4:$O$2003,$Z842-0)=0,"",INDEX(包装物料出入库明细!$O$4:$O$2003,$Z842-0)),IF($Z842&lt;=4000,IF(INDEX(周转筐出入库明细!$M$4:$M$2004,$Z842-2000)=0,"",INDEX(周转筐出入库明细!$M$4:$M$2004,$Z842-2000)),IF($Z842&lt;=5200,IF(INDEX(客户自备加工筐明细!$H$4:$H$1203,$Z842-4000)=0,"",INDEX(客户自备加工筐明细!$H$4:$H$1203,$Z842-4000)),IF($Z842&lt;=5800,IF(INDEX(次果筐明细!$H$4:$H$603,$Z842-5200)=0,"",INDEX(次果筐明细!$H$4:$H$603,$Z842-5200)),"")))))</f>
        <v/>
      </c>
      <c r="S842" s="22" t="str">
        <f t="shared" si="41"/>
        <v/>
      </c>
      <c r="Z842" s="10" t="str">
        <f>IFERROR(MATCH(ROW()-3,_自动清单!$CQ$4:$CQ$5803,0),"")</f>
        <v/>
      </c>
    </row>
    <row r="843" spans="1:26">
      <c r="A843" s="24" t="str">
        <f t="shared" si="39"/>
        <v/>
      </c>
      <c r="B843" s="38" t="str">
        <f>IF($Z843="","",IF($Z843&lt;=2000,IF(INDEX(包装物料出入库明细!$B$4:$B$2003,$Z843-0)=0,"",INDEX(包装物料出入库明细!$B$4:$B$2003,$Z843-0)),IF($Z843&lt;=4000,IF(INDEX(周转筐出入库明细!$B$4:$B$2004,$Z843-2000)=0,"",INDEX(周转筐出入库明细!$B$4:$B$2004,$Z843-2000)),IF($Z843&lt;=5200,IF(INDEX(客户自备加工筐明细!$B$4:$B$1203,$Z843-4000)=0,"",INDEX(客户自备加工筐明细!$B$4:$B$1203,$Z843-4000)),IF($Z843&lt;=5800,IF(INDEX(次果筐明细!$B$4:$B$603,$Z843-5200)=0,"",INDEX(次果筐明细!$B$4:$B$603,$Z843-5200)),"")))))</f>
        <v/>
      </c>
      <c r="C843" s="37" t="str">
        <f>IF($Z843="","",IF($Z843&lt;=2000,IF(INDEX(包装物料出入库明细!$D$4:$D$2003,$Z843-0)=0,"",INDEX(包装物料出入库明细!$D$4:$D$2003,$Z843-0)),IF($Z843&lt;=4000,IF(INDEX(周转筐出入库明细!$C$4:$C$2004,$Z843-2000)=0,"",INDEX(周转筐出入库明细!$C$4:$C$2004,$Z843-2000)),IF($Z843&lt;=5200,IF(INDEX(客户自备加工筐明细!$E$4:$E$1203,$Z843-4000)=0,"",INDEX(客户自备加工筐明细!$E$4:$E$1203,$Z843-4000)),IF($Z843&lt;=5800,IF(INDEX(次果筐明细!$C$4:$C$603,$Z843-5200)=0,"",INDEX(次果筐明细!$C$4:$C$603,$Z843-5200)),"")))))</f>
        <v/>
      </c>
      <c r="D843" s="37" t="str">
        <f>IF($Z843="","",IF($Z843&lt;=2000,"包装物料－"&amp;INDEX(包装物料出入库明细!$H$4:$H$2003,$Z843-0),IF($Z843&lt;=4000,"周转筐－"&amp;INDEX(周转筐出入库明细!$F$4:$F$2004,$Z843-2000),IF($Z843&lt;=5200,"客户自备筐－"&amp;INDEX(客户自备加工筐明细!$J$4:$J$1203,$Z843-4000),IF($Z843&lt;=5800,"次果筐/托盘－"&amp;INDEX(次果筐明细!$F$4:$F$603,$Z843-5200),"")))))</f>
        <v/>
      </c>
      <c r="E843" s="24" t="str">
        <f>IF($Z843="","",IF($Z843&lt;=2000,IF(INDEX(包装物料出入库明细!$C$4:$C$2003,$Z843-0)=0,"",INDEX(包装物料出入库明细!$C$4:$C$2003,$Z843-0)),IF($Z843&lt;=4000,IF(INDEX(周转筐出入库明细!$E$4:$E$2004,$Z843-2000)=0,"",INDEX(周转筐出入库明细!$E$4:$E$2004,$Z843-2000)),IF($Z843&lt;=5200,IF(INDEX(客户自备加工筐明细!$D$4:$D$1203,$Z843-4000)=0,"",INDEX(客户自备加工筐明细!$D$4:$D$1203,$Z843-4000)),IF($Z843&lt;=5800,IF(INDEX(次果筐明细!$E$4:$E$603,$Z843-5200)=0,"",INDEX(次果筐明细!$E$4:$E$603,$Z843-5200)),"")))))</f>
        <v/>
      </c>
      <c r="F843" s="24" t="str">
        <f>IF($Z843="","",IF($Z843&lt;=2000,IF(INDEX(包装物料出入库明细!$E$4:$E$2003,$Z843-0)=0,"",INDEX(包装物料出入库明细!$E$4:$E$2003,$Z843-0)),IF($Z843&lt;=4000,IF(INDEX(周转筐出入库明细!$D$4:$D$2004,$Z843-2000)=0,"",INDEX(周转筐出入库明细!$D$4:$D$2004,$Z843-2000)),IF($Z843&lt;=5200,IF(INDEX(客户自备加工筐明细!$C$4:$C$1203,$Z843-4000)=0,"",INDEX(客户自备加工筐明细!$C$4:$C$1203,$Z843-4000)),IF($Z843&lt;=5800,IF(INDEX(次果筐明细!$D$4:$D$603,$Z843-5200)=0,"",INDEX(次果筐明细!$D$4:$D$603,$Z843-5200)),"")))))</f>
        <v/>
      </c>
      <c r="G843" s="24" t="str">
        <f>IF($Z843="","",IF($Z843&lt;=2000,IF(INDEX(包装物料出入库明细!$F$4:$F$2003,$Z843-0)=0,"",INDEX(包装物料出入库明细!$F$4:$F$2003,$Z843-0)),IF($Z843&lt;=4000,"",IF($Z843&lt;=5200,"",IF($Z843&lt;=5800,"","")))))</f>
        <v/>
      </c>
      <c r="H843" s="39" t="str">
        <f>IF($Z843="","",IF($Z843&lt;=2000,IF(INDEX(包装物料出入库明细!$L$4:$L$2003,$Z843-0)=0,"",INDEX(包装物料出入库明细!$L$4:$L$2003,$Z843-0)),IF($Z843&lt;=4000,N(INDEX(周转筐出入库明细!$H$4:$H$2004,$Z843-2000))+N(INDEX(周转筐出入库明细!$I$4:$I$2004,$Z843-2000))+N(INDEX(周转筐出入库明细!$J$4:$J$2004,$Z843-2000))+N(INDEX(周转筐出入库明细!$K$4:$K$2004,$Z843-2000)),IF($Z843&lt;=5200,N(INDEX(客户自备加工筐明细!$F$4:$F$1203,$Z843-4000))+N(INDEX(客户自备加工筐明细!$G$4:$G$1203,$Z843-4000)),IF($Z843&lt;=5800,IF(INDEX(次果筐明细!$G$4:$G$603,$Z843-5200)=0,"",INDEX(次果筐明细!$G$4:$G$603,$Z843-5200)),"")))))</f>
        <v/>
      </c>
      <c r="I843" s="24" t="str">
        <f>IF($Z843="","",IF($Z843&lt;=2000,IF(INDEX(包装物料出入库明细!$G$4:$G$2003,$Z843-0)=0,"",INDEX(包装物料出入库明细!$G$4:$G$2003,$Z843-0)),IF($Z843&lt;=4000,"个",IF($Z843&lt;=5200,"个",IF($Z843&lt;=5800,"个","")))))</f>
        <v/>
      </c>
      <c r="J843" s="30" t="str">
        <f t="shared" si="40"/>
        <v/>
      </c>
      <c r="K843" s="30" t="str">
        <f>IF($Z843="","",IF($Z843&lt;=2000,IF(INDEX(包装物料出入库明细!$N$4:$N$2003,$Z843-0)=0,"",INDEX(包装物料出入库明细!$N$4:$N$2003,$Z843-0)),IF($Z843&lt;=4000,IF(INDEX(周转筐出入库明细!$P$4:$P$2004,$Z843-2000)=0,"",INDEX(周转筐出入库明细!$P$4:$P$2004,$Z843-2000)),IF($Z843&lt;=5200,"",IF($Z843&lt;=5800,N(INDEX(次果筐明细!$L$4:$L$603,$Z843-5200))+N(INDEX(次果筐明细!$J$4:$J$603,$Z843-5200)),"")))))</f>
        <v/>
      </c>
      <c r="L843" s="24" t="str">
        <f>IF($Z843="","",IF($Z843&lt;=2000,IF(INDEX(包装物料出入库明细!$P$4:$P$2003,$Z843-0)=0,"",INDEX(包装物料出入库明细!$P$4:$P$2003,$Z843-0)),IF($Z843&lt;=4000,IF(INDEX(周转筐出入库明细!$Q$4:$Q$2004,$Z843-2000)=0,"",INDEX(周转筐出入库明细!$Q$4:$Q$2004,$Z843-2000)),IF($Z843&lt;=5200,"",IF($Z843&lt;=5800,IF(INDEX(次果筐明细!$M$4:$M$603,$Z843-5200)=0,"",INDEX(次果筐明细!$M$4:$M$603,$Z843-5200)),"")))))</f>
        <v/>
      </c>
      <c r="M843" s="37" t="str">
        <f>IF($Z843="","",IF($Z843&lt;=2000,IF(INDEX(包装物料出入库明细!$R$4:$R$2003,$Z843-0)=0,"",INDEX(包装物料出入库明细!$R$4:$R$2003,$Z843-0)),IF($Z843&lt;=4000,IF(INDEX(周转筐出入库明细!$W$4:$W$2004,$Z843-2000)=0,"",INDEX(周转筐出入库明细!$W$4:$W$2004,$Z843-2000)),IF($Z843&lt;=5200,IF(INDEX(客户自备加工筐明细!$L$4:$L$1203,$Z843-4000)=0,"",INDEX(客户自备加工筐明细!$L$4:$L$1203,$Z843-4000)),IF($Z843&lt;=5800,IF(INDEX(次果筐明细!$P$4:$P$603,$Z843-5200)=0,"",INDEX(次果筐明细!$P$4:$P$603,$Z843-5200)),"")))))</f>
        <v/>
      </c>
      <c r="N843" s="16" t="str">
        <f>IF($Z843="","",IF($Z843&lt;=2000,"",IF($Z843&lt;=4000,IF(INDEX(周转筐出入库明细!$D$4:$D$2004,$Z843-2000)=0,"",INDEX(周转筐出入库明细!$D$4:$D$2004,$Z843-2000)),IF($Z843&lt;=5200,IF(INDEX(客户自备加工筐明细!$C$4:$C$1203,$Z843-4000)=0,"",INDEX(客户自备加工筐明细!$C$4:$C$1203,$Z843-4000)),IF($Z843&lt;=5800,IF(INDEX(次果筐明细!$D$4:$D$603,$Z843-5200)=0,"",INDEX(次果筐明细!$D$4:$D$603,$Z843-5200)),"")))))</f>
        <v/>
      </c>
      <c r="O843" s="40" t="str">
        <f>IF($Z843="","",IF($Z843&lt;=2000,"",IF($Z843&lt;=4000,IF(N(INDEX(周转筐出入库明细!$J$4:$J$2004,$Z843-2000))+N(INDEX(周转筐出入库明细!$K$4:$K$2004,$Z843-2000))=0,"",N(INDEX(周转筐出入库明细!$J$4:$J$2004,$Z843-2000))+N(INDEX(周转筐出入库明细!$K$4:$K$2004,$Z843-2000))),IF($Z843&lt;=5200,IF(N(INDEX(客户自备加工筐明细!$G$4:$G$1203,$Z843-4000))=0,"",N(INDEX(客户自备加工筐明细!$G$4:$G$1203,$Z843-4000))),IF($Z843&lt;=5800,IF(ISNUMBER(SEARCH("退",INDEX(次果筐明细!$F$4:$F$603,$Z843-5200)&amp;"")),"",IF(N(INDEX(次果筐明细!$G$4:$G$603,$Z843-5200))=0,"",N(INDEX(次果筐明细!$G$4:$G$603,$Z843-5200)))),"")))))</f>
        <v/>
      </c>
      <c r="P843" s="40" t="str">
        <f>IF($Z843="","",IF($Z843&lt;=2000,"",IF($Z843&lt;=4000,IF(N(INDEX(周转筐出入库明细!$I$4:$I$2004,$Z843-2000))=0,"",N(INDEX(周转筐出入库明细!$I$4:$I$2004,$Z843-2000))),IF($Z843&lt;=5200,"",IF($Z843&lt;=5800,IF(ISNUMBER(SEARCH("退",INDEX(次果筐明细!$F$4:$F$603,$Z843-5200)&amp;"")),IF(N(INDEX(次果筐明细!$G$4:$G$603,$Z843-5200))=0,"",N(INDEX(次果筐明细!$G$4:$G$603,$Z843-5200))),""),"")))))</f>
        <v/>
      </c>
      <c r="Q843" s="40" t="str">
        <f>IF($Z843="","",IF($Z843&lt;=2000,"",IF($Z843&lt;=4000,IF(N(INDEX(周转筐出入库明细!$H$4:$H$2004,$Z843-2000))=0,"",N(INDEX(周转筐出入库明细!$H$4:$H$2004,$Z843-2000))),IF($Z843&lt;=5200,IF(N(INDEX(客户自备加工筐明细!$F$4:$F$1203,$Z843-4000))=0,"",N(INDEX(客户自备加工筐明细!$F$4:$F$1203,$Z843-4000))),IF($Z843&lt;=5800,"","")))))</f>
        <v/>
      </c>
      <c r="R843" s="16" t="str">
        <f>IF($Z843="","",IF($Z843&lt;=2000,IF(INDEX(包装物料出入库明细!$O$4:$O$2003,$Z843-0)=0,"",INDEX(包装物料出入库明细!$O$4:$O$2003,$Z843-0)),IF($Z843&lt;=4000,IF(INDEX(周转筐出入库明细!$M$4:$M$2004,$Z843-2000)=0,"",INDEX(周转筐出入库明细!$M$4:$M$2004,$Z843-2000)),IF($Z843&lt;=5200,IF(INDEX(客户自备加工筐明细!$H$4:$H$1203,$Z843-4000)=0,"",INDEX(客户自备加工筐明细!$H$4:$H$1203,$Z843-4000)),IF($Z843&lt;=5800,IF(INDEX(次果筐明细!$H$4:$H$603,$Z843-5200)=0,"",INDEX(次果筐明细!$H$4:$H$603,$Z843-5200)),"")))))</f>
        <v/>
      </c>
      <c r="S843" s="22" t="str">
        <f t="shared" si="41"/>
        <v/>
      </c>
      <c r="Z843" s="10" t="str">
        <f>IFERROR(MATCH(ROW()-3,_自动清单!$CQ$4:$CQ$5803,0),"")</f>
        <v/>
      </c>
    </row>
    <row r="844" spans="1:26">
      <c r="A844" s="24" t="str">
        <f t="shared" si="39"/>
        <v/>
      </c>
      <c r="B844" s="38" t="str">
        <f>IF($Z844="","",IF($Z844&lt;=2000,IF(INDEX(包装物料出入库明细!$B$4:$B$2003,$Z844-0)=0,"",INDEX(包装物料出入库明细!$B$4:$B$2003,$Z844-0)),IF($Z844&lt;=4000,IF(INDEX(周转筐出入库明细!$B$4:$B$2004,$Z844-2000)=0,"",INDEX(周转筐出入库明细!$B$4:$B$2004,$Z844-2000)),IF($Z844&lt;=5200,IF(INDEX(客户自备加工筐明细!$B$4:$B$1203,$Z844-4000)=0,"",INDEX(客户自备加工筐明细!$B$4:$B$1203,$Z844-4000)),IF($Z844&lt;=5800,IF(INDEX(次果筐明细!$B$4:$B$603,$Z844-5200)=0,"",INDEX(次果筐明细!$B$4:$B$603,$Z844-5200)),"")))))</f>
        <v/>
      </c>
      <c r="C844" s="37" t="str">
        <f>IF($Z844="","",IF($Z844&lt;=2000,IF(INDEX(包装物料出入库明细!$D$4:$D$2003,$Z844-0)=0,"",INDEX(包装物料出入库明细!$D$4:$D$2003,$Z844-0)),IF($Z844&lt;=4000,IF(INDEX(周转筐出入库明细!$C$4:$C$2004,$Z844-2000)=0,"",INDEX(周转筐出入库明细!$C$4:$C$2004,$Z844-2000)),IF($Z844&lt;=5200,IF(INDEX(客户自备加工筐明细!$E$4:$E$1203,$Z844-4000)=0,"",INDEX(客户自备加工筐明细!$E$4:$E$1203,$Z844-4000)),IF($Z844&lt;=5800,IF(INDEX(次果筐明细!$C$4:$C$603,$Z844-5200)=0,"",INDEX(次果筐明细!$C$4:$C$603,$Z844-5200)),"")))))</f>
        <v/>
      </c>
      <c r="D844" s="37" t="str">
        <f>IF($Z844="","",IF($Z844&lt;=2000,"包装物料－"&amp;INDEX(包装物料出入库明细!$H$4:$H$2003,$Z844-0),IF($Z844&lt;=4000,"周转筐－"&amp;INDEX(周转筐出入库明细!$F$4:$F$2004,$Z844-2000),IF($Z844&lt;=5200,"客户自备筐－"&amp;INDEX(客户自备加工筐明细!$J$4:$J$1203,$Z844-4000),IF($Z844&lt;=5800,"次果筐/托盘－"&amp;INDEX(次果筐明细!$F$4:$F$603,$Z844-5200),"")))))</f>
        <v/>
      </c>
      <c r="E844" s="24" t="str">
        <f>IF($Z844="","",IF($Z844&lt;=2000,IF(INDEX(包装物料出入库明细!$C$4:$C$2003,$Z844-0)=0,"",INDEX(包装物料出入库明细!$C$4:$C$2003,$Z844-0)),IF($Z844&lt;=4000,IF(INDEX(周转筐出入库明细!$E$4:$E$2004,$Z844-2000)=0,"",INDEX(周转筐出入库明细!$E$4:$E$2004,$Z844-2000)),IF($Z844&lt;=5200,IF(INDEX(客户自备加工筐明细!$D$4:$D$1203,$Z844-4000)=0,"",INDEX(客户自备加工筐明细!$D$4:$D$1203,$Z844-4000)),IF($Z844&lt;=5800,IF(INDEX(次果筐明细!$E$4:$E$603,$Z844-5200)=0,"",INDEX(次果筐明细!$E$4:$E$603,$Z844-5200)),"")))))</f>
        <v/>
      </c>
      <c r="F844" s="24" t="str">
        <f>IF($Z844="","",IF($Z844&lt;=2000,IF(INDEX(包装物料出入库明细!$E$4:$E$2003,$Z844-0)=0,"",INDEX(包装物料出入库明细!$E$4:$E$2003,$Z844-0)),IF($Z844&lt;=4000,IF(INDEX(周转筐出入库明细!$D$4:$D$2004,$Z844-2000)=0,"",INDEX(周转筐出入库明细!$D$4:$D$2004,$Z844-2000)),IF($Z844&lt;=5200,IF(INDEX(客户自备加工筐明细!$C$4:$C$1203,$Z844-4000)=0,"",INDEX(客户自备加工筐明细!$C$4:$C$1203,$Z844-4000)),IF($Z844&lt;=5800,IF(INDEX(次果筐明细!$D$4:$D$603,$Z844-5200)=0,"",INDEX(次果筐明细!$D$4:$D$603,$Z844-5200)),"")))))</f>
        <v/>
      </c>
      <c r="G844" s="24" t="str">
        <f>IF($Z844="","",IF($Z844&lt;=2000,IF(INDEX(包装物料出入库明细!$F$4:$F$2003,$Z844-0)=0,"",INDEX(包装物料出入库明细!$F$4:$F$2003,$Z844-0)),IF($Z844&lt;=4000,"",IF($Z844&lt;=5200,"",IF($Z844&lt;=5800,"","")))))</f>
        <v/>
      </c>
      <c r="H844" s="39" t="str">
        <f>IF($Z844="","",IF($Z844&lt;=2000,IF(INDEX(包装物料出入库明细!$L$4:$L$2003,$Z844-0)=0,"",INDEX(包装物料出入库明细!$L$4:$L$2003,$Z844-0)),IF($Z844&lt;=4000,N(INDEX(周转筐出入库明细!$H$4:$H$2004,$Z844-2000))+N(INDEX(周转筐出入库明细!$I$4:$I$2004,$Z844-2000))+N(INDEX(周转筐出入库明细!$J$4:$J$2004,$Z844-2000))+N(INDEX(周转筐出入库明细!$K$4:$K$2004,$Z844-2000)),IF($Z844&lt;=5200,N(INDEX(客户自备加工筐明细!$F$4:$F$1203,$Z844-4000))+N(INDEX(客户自备加工筐明细!$G$4:$G$1203,$Z844-4000)),IF($Z844&lt;=5800,IF(INDEX(次果筐明细!$G$4:$G$603,$Z844-5200)=0,"",INDEX(次果筐明细!$G$4:$G$603,$Z844-5200)),"")))))</f>
        <v/>
      </c>
      <c r="I844" s="24" t="str">
        <f>IF($Z844="","",IF($Z844&lt;=2000,IF(INDEX(包装物料出入库明细!$G$4:$G$2003,$Z844-0)=0,"",INDEX(包装物料出入库明细!$G$4:$G$2003,$Z844-0)),IF($Z844&lt;=4000,"个",IF($Z844&lt;=5200,"个",IF($Z844&lt;=5800,"个","")))))</f>
        <v/>
      </c>
      <c r="J844" s="30" t="str">
        <f t="shared" si="40"/>
        <v/>
      </c>
      <c r="K844" s="30" t="str">
        <f>IF($Z844="","",IF($Z844&lt;=2000,IF(INDEX(包装物料出入库明细!$N$4:$N$2003,$Z844-0)=0,"",INDEX(包装物料出入库明细!$N$4:$N$2003,$Z844-0)),IF($Z844&lt;=4000,IF(INDEX(周转筐出入库明细!$P$4:$P$2004,$Z844-2000)=0,"",INDEX(周转筐出入库明细!$P$4:$P$2004,$Z844-2000)),IF($Z844&lt;=5200,"",IF($Z844&lt;=5800,N(INDEX(次果筐明细!$L$4:$L$603,$Z844-5200))+N(INDEX(次果筐明细!$J$4:$J$603,$Z844-5200)),"")))))</f>
        <v/>
      </c>
      <c r="L844" s="24" t="str">
        <f>IF($Z844="","",IF($Z844&lt;=2000,IF(INDEX(包装物料出入库明细!$P$4:$P$2003,$Z844-0)=0,"",INDEX(包装物料出入库明细!$P$4:$P$2003,$Z844-0)),IF($Z844&lt;=4000,IF(INDEX(周转筐出入库明细!$Q$4:$Q$2004,$Z844-2000)=0,"",INDEX(周转筐出入库明细!$Q$4:$Q$2004,$Z844-2000)),IF($Z844&lt;=5200,"",IF($Z844&lt;=5800,IF(INDEX(次果筐明细!$M$4:$M$603,$Z844-5200)=0,"",INDEX(次果筐明细!$M$4:$M$603,$Z844-5200)),"")))))</f>
        <v/>
      </c>
      <c r="M844" s="37" t="str">
        <f>IF($Z844="","",IF($Z844&lt;=2000,IF(INDEX(包装物料出入库明细!$R$4:$R$2003,$Z844-0)=0,"",INDEX(包装物料出入库明细!$R$4:$R$2003,$Z844-0)),IF($Z844&lt;=4000,IF(INDEX(周转筐出入库明细!$W$4:$W$2004,$Z844-2000)=0,"",INDEX(周转筐出入库明细!$W$4:$W$2004,$Z844-2000)),IF($Z844&lt;=5200,IF(INDEX(客户自备加工筐明细!$L$4:$L$1203,$Z844-4000)=0,"",INDEX(客户自备加工筐明细!$L$4:$L$1203,$Z844-4000)),IF($Z844&lt;=5800,IF(INDEX(次果筐明细!$P$4:$P$603,$Z844-5200)=0,"",INDEX(次果筐明细!$P$4:$P$603,$Z844-5200)),"")))))</f>
        <v/>
      </c>
      <c r="N844" s="16" t="str">
        <f>IF($Z844="","",IF($Z844&lt;=2000,"",IF($Z844&lt;=4000,IF(INDEX(周转筐出入库明细!$D$4:$D$2004,$Z844-2000)=0,"",INDEX(周转筐出入库明细!$D$4:$D$2004,$Z844-2000)),IF($Z844&lt;=5200,IF(INDEX(客户自备加工筐明细!$C$4:$C$1203,$Z844-4000)=0,"",INDEX(客户自备加工筐明细!$C$4:$C$1203,$Z844-4000)),IF($Z844&lt;=5800,IF(INDEX(次果筐明细!$D$4:$D$603,$Z844-5200)=0,"",INDEX(次果筐明细!$D$4:$D$603,$Z844-5200)),"")))))</f>
        <v/>
      </c>
      <c r="O844" s="40" t="str">
        <f>IF($Z844="","",IF($Z844&lt;=2000,"",IF($Z844&lt;=4000,IF(N(INDEX(周转筐出入库明细!$J$4:$J$2004,$Z844-2000))+N(INDEX(周转筐出入库明细!$K$4:$K$2004,$Z844-2000))=0,"",N(INDEX(周转筐出入库明细!$J$4:$J$2004,$Z844-2000))+N(INDEX(周转筐出入库明细!$K$4:$K$2004,$Z844-2000))),IF($Z844&lt;=5200,IF(N(INDEX(客户自备加工筐明细!$G$4:$G$1203,$Z844-4000))=0,"",N(INDEX(客户自备加工筐明细!$G$4:$G$1203,$Z844-4000))),IF($Z844&lt;=5800,IF(ISNUMBER(SEARCH("退",INDEX(次果筐明细!$F$4:$F$603,$Z844-5200)&amp;"")),"",IF(N(INDEX(次果筐明细!$G$4:$G$603,$Z844-5200))=0,"",N(INDEX(次果筐明细!$G$4:$G$603,$Z844-5200)))),"")))))</f>
        <v/>
      </c>
      <c r="P844" s="40" t="str">
        <f>IF($Z844="","",IF($Z844&lt;=2000,"",IF($Z844&lt;=4000,IF(N(INDEX(周转筐出入库明细!$I$4:$I$2004,$Z844-2000))=0,"",N(INDEX(周转筐出入库明细!$I$4:$I$2004,$Z844-2000))),IF($Z844&lt;=5200,"",IF($Z844&lt;=5800,IF(ISNUMBER(SEARCH("退",INDEX(次果筐明细!$F$4:$F$603,$Z844-5200)&amp;"")),IF(N(INDEX(次果筐明细!$G$4:$G$603,$Z844-5200))=0,"",N(INDEX(次果筐明细!$G$4:$G$603,$Z844-5200))),""),"")))))</f>
        <v/>
      </c>
      <c r="Q844" s="40" t="str">
        <f>IF($Z844="","",IF($Z844&lt;=2000,"",IF($Z844&lt;=4000,IF(N(INDEX(周转筐出入库明细!$H$4:$H$2004,$Z844-2000))=0,"",N(INDEX(周转筐出入库明细!$H$4:$H$2004,$Z844-2000))),IF($Z844&lt;=5200,IF(N(INDEX(客户自备加工筐明细!$F$4:$F$1203,$Z844-4000))=0,"",N(INDEX(客户自备加工筐明细!$F$4:$F$1203,$Z844-4000))),IF($Z844&lt;=5800,"","")))))</f>
        <v/>
      </c>
      <c r="R844" s="16" t="str">
        <f>IF($Z844="","",IF($Z844&lt;=2000,IF(INDEX(包装物料出入库明细!$O$4:$O$2003,$Z844-0)=0,"",INDEX(包装物料出入库明细!$O$4:$O$2003,$Z844-0)),IF($Z844&lt;=4000,IF(INDEX(周转筐出入库明细!$M$4:$M$2004,$Z844-2000)=0,"",INDEX(周转筐出入库明细!$M$4:$M$2004,$Z844-2000)),IF($Z844&lt;=5200,IF(INDEX(客户自备加工筐明细!$H$4:$H$1203,$Z844-4000)=0,"",INDEX(客户自备加工筐明细!$H$4:$H$1203,$Z844-4000)),IF($Z844&lt;=5800,IF(INDEX(次果筐明细!$H$4:$H$603,$Z844-5200)=0,"",INDEX(次果筐明细!$H$4:$H$603,$Z844-5200)),"")))))</f>
        <v/>
      </c>
      <c r="S844" s="22" t="str">
        <f t="shared" si="41"/>
        <v/>
      </c>
      <c r="Z844" s="10" t="str">
        <f>IFERROR(MATCH(ROW()-3,_自动清单!$CQ$4:$CQ$5803,0),"")</f>
        <v/>
      </c>
    </row>
    <row r="845" spans="1:26">
      <c r="A845" s="24" t="str">
        <f t="shared" si="39"/>
        <v/>
      </c>
      <c r="B845" s="38" t="str">
        <f>IF($Z845="","",IF($Z845&lt;=2000,IF(INDEX(包装物料出入库明细!$B$4:$B$2003,$Z845-0)=0,"",INDEX(包装物料出入库明细!$B$4:$B$2003,$Z845-0)),IF($Z845&lt;=4000,IF(INDEX(周转筐出入库明细!$B$4:$B$2004,$Z845-2000)=0,"",INDEX(周转筐出入库明细!$B$4:$B$2004,$Z845-2000)),IF($Z845&lt;=5200,IF(INDEX(客户自备加工筐明细!$B$4:$B$1203,$Z845-4000)=0,"",INDEX(客户自备加工筐明细!$B$4:$B$1203,$Z845-4000)),IF($Z845&lt;=5800,IF(INDEX(次果筐明细!$B$4:$B$603,$Z845-5200)=0,"",INDEX(次果筐明细!$B$4:$B$603,$Z845-5200)),"")))))</f>
        <v/>
      </c>
      <c r="C845" s="37" t="str">
        <f>IF($Z845="","",IF($Z845&lt;=2000,IF(INDEX(包装物料出入库明细!$D$4:$D$2003,$Z845-0)=0,"",INDEX(包装物料出入库明细!$D$4:$D$2003,$Z845-0)),IF($Z845&lt;=4000,IF(INDEX(周转筐出入库明细!$C$4:$C$2004,$Z845-2000)=0,"",INDEX(周转筐出入库明细!$C$4:$C$2004,$Z845-2000)),IF($Z845&lt;=5200,IF(INDEX(客户自备加工筐明细!$E$4:$E$1203,$Z845-4000)=0,"",INDEX(客户自备加工筐明细!$E$4:$E$1203,$Z845-4000)),IF($Z845&lt;=5800,IF(INDEX(次果筐明细!$C$4:$C$603,$Z845-5200)=0,"",INDEX(次果筐明细!$C$4:$C$603,$Z845-5200)),"")))))</f>
        <v/>
      </c>
      <c r="D845" s="37" t="str">
        <f>IF($Z845="","",IF($Z845&lt;=2000,"包装物料－"&amp;INDEX(包装物料出入库明细!$H$4:$H$2003,$Z845-0),IF($Z845&lt;=4000,"周转筐－"&amp;INDEX(周转筐出入库明细!$F$4:$F$2004,$Z845-2000),IF($Z845&lt;=5200,"客户自备筐－"&amp;INDEX(客户自备加工筐明细!$J$4:$J$1203,$Z845-4000),IF($Z845&lt;=5800,"次果筐/托盘－"&amp;INDEX(次果筐明细!$F$4:$F$603,$Z845-5200),"")))))</f>
        <v/>
      </c>
      <c r="E845" s="24" t="str">
        <f>IF($Z845="","",IF($Z845&lt;=2000,IF(INDEX(包装物料出入库明细!$C$4:$C$2003,$Z845-0)=0,"",INDEX(包装物料出入库明细!$C$4:$C$2003,$Z845-0)),IF($Z845&lt;=4000,IF(INDEX(周转筐出入库明细!$E$4:$E$2004,$Z845-2000)=0,"",INDEX(周转筐出入库明细!$E$4:$E$2004,$Z845-2000)),IF($Z845&lt;=5200,IF(INDEX(客户自备加工筐明细!$D$4:$D$1203,$Z845-4000)=0,"",INDEX(客户自备加工筐明细!$D$4:$D$1203,$Z845-4000)),IF($Z845&lt;=5800,IF(INDEX(次果筐明细!$E$4:$E$603,$Z845-5200)=0,"",INDEX(次果筐明细!$E$4:$E$603,$Z845-5200)),"")))))</f>
        <v/>
      </c>
      <c r="F845" s="24" t="str">
        <f>IF($Z845="","",IF($Z845&lt;=2000,IF(INDEX(包装物料出入库明细!$E$4:$E$2003,$Z845-0)=0,"",INDEX(包装物料出入库明细!$E$4:$E$2003,$Z845-0)),IF($Z845&lt;=4000,IF(INDEX(周转筐出入库明细!$D$4:$D$2004,$Z845-2000)=0,"",INDEX(周转筐出入库明细!$D$4:$D$2004,$Z845-2000)),IF($Z845&lt;=5200,IF(INDEX(客户自备加工筐明细!$C$4:$C$1203,$Z845-4000)=0,"",INDEX(客户自备加工筐明细!$C$4:$C$1203,$Z845-4000)),IF($Z845&lt;=5800,IF(INDEX(次果筐明细!$D$4:$D$603,$Z845-5200)=0,"",INDEX(次果筐明细!$D$4:$D$603,$Z845-5200)),"")))))</f>
        <v/>
      </c>
      <c r="G845" s="24" t="str">
        <f>IF($Z845="","",IF($Z845&lt;=2000,IF(INDEX(包装物料出入库明细!$F$4:$F$2003,$Z845-0)=0,"",INDEX(包装物料出入库明细!$F$4:$F$2003,$Z845-0)),IF($Z845&lt;=4000,"",IF($Z845&lt;=5200,"",IF($Z845&lt;=5800,"","")))))</f>
        <v/>
      </c>
      <c r="H845" s="39" t="str">
        <f>IF($Z845="","",IF($Z845&lt;=2000,IF(INDEX(包装物料出入库明细!$L$4:$L$2003,$Z845-0)=0,"",INDEX(包装物料出入库明细!$L$4:$L$2003,$Z845-0)),IF($Z845&lt;=4000,N(INDEX(周转筐出入库明细!$H$4:$H$2004,$Z845-2000))+N(INDEX(周转筐出入库明细!$I$4:$I$2004,$Z845-2000))+N(INDEX(周转筐出入库明细!$J$4:$J$2004,$Z845-2000))+N(INDEX(周转筐出入库明细!$K$4:$K$2004,$Z845-2000)),IF($Z845&lt;=5200,N(INDEX(客户自备加工筐明细!$F$4:$F$1203,$Z845-4000))+N(INDEX(客户自备加工筐明细!$G$4:$G$1203,$Z845-4000)),IF($Z845&lt;=5800,IF(INDEX(次果筐明细!$G$4:$G$603,$Z845-5200)=0,"",INDEX(次果筐明细!$G$4:$G$603,$Z845-5200)),"")))))</f>
        <v/>
      </c>
      <c r="I845" s="24" t="str">
        <f>IF($Z845="","",IF($Z845&lt;=2000,IF(INDEX(包装物料出入库明细!$G$4:$G$2003,$Z845-0)=0,"",INDEX(包装物料出入库明细!$G$4:$G$2003,$Z845-0)),IF($Z845&lt;=4000,"个",IF($Z845&lt;=5200,"个",IF($Z845&lt;=5800,"个","")))))</f>
        <v/>
      </c>
      <c r="J845" s="30" t="str">
        <f t="shared" si="40"/>
        <v/>
      </c>
      <c r="K845" s="30" t="str">
        <f>IF($Z845="","",IF($Z845&lt;=2000,IF(INDEX(包装物料出入库明细!$N$4:$N$2003,$Z845-0)=0,"",INDEX(包装物料出入库明细!$N$4:$N$2003,$Z845-0)),IF($Z845&lt;=4000,IF(INDEX(周转筐出入库明细!$P$4:$P$2004,$Z845-2000)=0,"",INDEX(周转筐出入库明细!$P$4:$P$2004,$Z845-2000)),IF($Z845&lt;=5200,"",IF($Z845&lt;=5800,N(INDEX(次果筐明细!$L$4:$L$603,$Z845-5200))+N(INDEX(次果筐明细!$J$4:$J$603,$Z845-5200)),"")))))</f>
        <v/>
      </c>
      <c r="L845" s="24" t="str">
        <f>IF($Z845="","",IF($Z845&lt;=2000,IF(INDEX(包装物料出入库明细!$P$4:$P$2003,$Z845-0)=0,"",INDEX(包装物料出入库明细!$P$4:$P$2003,$Z845-0)),IF($Z845&lt;=4000,IF(INDEX(周转筐出入库明细!$Q$4:$Q$2004,$Z845-2000)=0,"",INDEX(周转筐出入库明细!$Q$4:$Q$2004,$Z845-2000)),IF($Z845&lt;=5200,"",IF($Z845&lt;=5800,IF(INDEX(次果筐明细!$M$4:$M$603,$Z845-5200)=0,"",INDEX(次果筐明细!$M$4:$M$603,$Z845-5200)),"")))))</f>
        <v/>
      </c>
      <c r="M845" s="37" t="str">
        <f>IF($Z845="","",IF($Z845&lt;=2000,IF(INDEX(包装物料出入库明细!$R$4:$R$2003,$Z845-0)=0,"",INDEX(包装物料出入库明细!$R$4:$R$2003,$Z845-0)),IF($Z845&lt;=4000,IF(INDEX(周转筐出入库明细!$W$4:$W$2004,$Z845-2000)=0,"",INDEX(周转筐出入库明细!$W$4:$W$2004,$Z845-2000)),IF($Z845&lt;=5200,IF(INDEX(客户自备加工筐明细!$L$4:$L$1203,$Z845-4000)=0,"",INDEX(客户自备加工筐明细!$L$4:$L$1203,$Z845-4000)),IF($Z845&lt;=5800,IF(INDEX(次果筐明细!$P$4:$P$603,$Z845-5200)=0,"",INDEX(次果筐明细!$P$4:$P$603,$Z845-5200)),"")))))</f>
        <v/>
      </c>
      <c r="N845" s="16" t="str">
        <f>IF($Z845="","",IF($Z845&lt;=2000,"",IF($Z845&lt;=4000,IF(INDEX(周转筐出入库明细!$D$4:$D$2004,$Z845-2000)=0,"",INDEX(周转筐出入库明细!$D$4:$D$2004,$Z845-2000)),IF($Z845&lt;=5200,IF(INDEX(客户自备加工筐明细!$C$4:$C$1203,$Z845-4000)=0,"",INDEX(客户自备加工筐明细!$C$4:$C$1203,$Z845-4000)),IF($Z845&lt;=5800,IF(INDEX(次果筐明细!$D$4:$D$603,$Z845-5200)=0,"",INDEX(次果筐明细!$D$4:$D$603,$Z845-5200)),"")))))</f>
        <v/>
      </c>
      <c r="O845" s="40" t="str">
        <f>IF($Z845="","",IF($Z845&lt;=2000,"",IF($Z845&lt;=4000,IF(N(INDEX(周转筐出入库明细!$J$4:$J$2004,$Z845-2000))+N(INDEX(周转筐出入库明细!$K$4:$K$2004,$Z845-2000))=0,"",N(INDEX(周转筐出入库明细!$J$4:$J$2004,$Z845-2000))+N(INDEX(周转筐出入库明细!$K$4:$K$2004,$Z845-2000))),IF($Z845&lt;=5200,IF(N(INDEX(客户自备加工筐明细!$G$4:$G$1203,$Z845-4000))=0,"",N(INDEX(客户自备加工筐明细!$G$4:$G$1203,$Z845-4000))),IF($Z845&lt;=5800,IF(ISNUMBER(SEARCH("退",INDEX(次果筐明细!$F$4:$F$603,$Z845-5200)&amp;"")),"",IF(N(INDEX(次果筐明细!$G$4:$G$603,$Z845-5200))=0,"",N(INDEX(次果筐明细!$G$4:$G$603,$Z845-5200)))),"")))))</f>
        <v/>
      </c>
      <c r="P845" s="40" t="str">
        <f>IF($Z845="","",IF($Z845&lt;=2000,"",IF($Z845&lt;=4000,IF(N(INDEX(周转筐出入库明细!$I$4:$I$2004,$Z845-2000))=0,"",N(INDEX(周转筐出入库明细!$I$4:$I$2004,$Z845-2000))),IF($Z845&lt;=5200,"",IF($Z845&lt;=5800,IF(ISNUMBER(SEARCH("退",INDEX(次果筐明细!$F$4:$F$603,$Z845-5200)&amp;"")),IF(N(INDEX(次果筐明细!$G$4:$G$603,$Z845-5200))=0,"",N(INDEX(次果筐明细!$G$4:$G$603,$Z845-5200))),""),"")))))</f>
        <v/>
      </c>
      <c r="Q845" s="40" t="str">
        <f>IF($Z845="","",IF($Z845&lt;=2000,"",IF($Z845&lt;=4000,IF(N(INDEX(周转筐出入库明细!$H$4:$H$2004,$Z845-2000))=0,"",N(INDEX(周转筐出入库明细!$H$4:$H$2004,$Z845-2000))),IF($Z845&lt;=5200,IF(N(INDEX(客户自备加工筐明细!$F$4:$F$1203,$Z845-4000))=0,"",N(INDEX(客户自备加工筐明细!$F$4:$F$1203,$Z845-4000))),IF($Z845&lt;=5800,"","")))))</f>
        <v/>
      </c>
      <c r="R845" s="16" t="str">
        <f>IF($Z845="","",IF($Z845&lt;=2000,IF(INDEX(包装物料出入库明细!$O$4:$O$2003,$Z845-0)=0,"",INDEX(包装物料出入库明细!$O$4:$O$2003,$Z845-0)),IF($Z845&lt;=4000,IF(INDEX(周转筐出入库明细!$M$4:$M$2004,$Z845-2000)=0,"",INDEX(周转筐出入库明细!$M$4:$M$2004,$Z845-2000)),IF($Z845&lt;=5200,IF(INDEX(客户自备加工筐明细!$H$4:$H$1203,$Z845-4000)=0,"",INDEX(客户自备加工筐明细!$H$4:$H$1203,$Z845-4000)),IF($Z845&lt;=5800,IF(INDEX(次果筐明细!$H$4:$H$603,$Z845-5200)=0,"",INDEX(次果筐明细!$H$4:$H$603,$Z845-5200)),"")))))</f>
        <v/>
      </c>
      <c r="S845" s="22" t="str">
        <f t="shared" si="41"/>
        <v/>
      </c>
      <c r="Z845" s="10" t="str">
        <f>IFERROR(MATCH(ROW()-3,_自动清单!$CQ$4:$CQ$5803,0),"")</f>
        <v/>
      </c>
    </row>
    <row r="846" spans="1:26">
      <c r="A846" s="24" t="str">
        <f t="shared" si="39"/>
        <v/>
      </c>
      <c r="B846" s="38" t="str">
        <f>IF($Z846="","",IF($Z846&lt;=2000,IF(INDEX(包装物料出入库明细!$B$4:$B$2003,$Z846-0)=0,"",INDEX(包装物料出入库明细!$B$4:$B$2003,$Z846-0)),IF($Z846&lt;=4000,IF(INDEX(周转筐出入库明细!$B$4:$B$2004,$Z846-2000)=0,"",INDEX(周转筐出入库明细!$B$4:$B$2004,$Z846-2000)),IF($Z846&lt;=5200,IF(INDEX(客户自备加工筐明细!$B$4:$B$1203,$Z846-4000)=0,"",INDEX(客户自备加工筐明细!$B$4:$B$1203,$Z846-4000)),IF($Z846&lt;=5800,IF(INDEX(次果筐明细!$B$4:$B$603,$Z846-5200)=0,"",INDEX(次果筐明细!$B$4:$B$603,$Z846-5200)),"")))))</f>
        <v/>
      </c>
      <c r="C846" s="37" t="str">
        <f>IF($Z846="","",IF($Z846&lt;=2000,IF(INDEX(包装物料出入库明细!$D$4:$D$2003,$Z846-0)=0,"",INDEX(包装物料出入库明细!$D$4:$D$2003,$Z846-0)),IF($Z846&lt;=4000,IF(INDEX(周转筐出入库明细!$C$4:$C$2004,$Z846-2000)=0,"",INDEX(周转筐出入库明细!$C$4:$C$2004,$Z846-2000)),IF($Z846&lt;=5200,IF(INDEX(客户自备加工筐明细!$E$4:$E$1203,$Z846-4000)=0,"",INDEX(客户自备加工筐明细!$E$4:$E$1203,$Z846-4000)),IF($Z846&lt;=5800,IF(INDEX(次果筐明细!$C$4:$C$603,$Z846-5200)=0,"",INDEX(次果筐明细!$C$4:$C$603,$Z846-5200)),"")))))</f>
        <v/>
      </c>
      <c r="D846" s="37" t="str">
        <f>IF($Z846="","",IF($Z846&lt;=2000,"包装物料－"&amp;INDEX(包装物料出入库明细!$H$4:$H$2003,$Z846-0),IF($Z846&lt;=4000,"周转筐－"&amp;INDEX(周转筐出入库明细!$F$4:$F$2004,$Z846-2000),IF($Z846&lt;=5200,"客户自备筐－"&amp;INDEX(客户自备加工筐明细!$J$4:$J$1203,$Z846-4000),IF($Z846&lt;=5800,"次果筐/托盘－"&amp;INDEX(次果筐明细!$F$4:$F$603,$Z846-5200),"")))))</f>
        <v/>
      </c>
      <c r="E846" s="24" t="str">
        <f>IF($Z846="","",IF($Z846&lt;=2000,IF(INDEX(包装物料出入库明细!$C$4:$C$2003,$Z846-0)=0,"",INDEX(包装物料出入库明细!$C$4:$C$2003,$Z846-0)),IF($Z846&lt;=4000,IF(INDEX(周转筐出入库明细!$E$4:$E$2004,$Z846-2000)=0,"",INDEX(周转筐出入库明细!$E$4:$E$2004,$Z846-2000)),IF($Z846&lt;=5200,IF(INDEX(客户自备加工筐明细!$D$4:$D$1203,$Z846-4000)=0,"",INDEX(客户自备加工筐明细!$D$4:$D$1203,$Z846-4000)),IF($Z846&lt;=5800,IF(INDEX(次果筐明细!$E$4:$E$603,$Z846-5200)=0,"",INDEX(次果筐明细!$E$4:$E$603,$Z846-5200)),"")))))</f>
        <v/>
      </c>
      <c r="F846" s="24" t="str">
        <f>IF($Z846="","",IF($Z846&lt;=2000,IF(INDEX(包装物料出入库明细!$E$4:$E$2003,$Z846-0)=0,"",INDEX(包装物料出入库明细!$E$4:$E$2003,$Z846-0)),IF($Z846&lt;=4000,IF(INDEX(周转筐出入库明细!$D$4:$D$2004,$Z846-2000)=0,"",INDEX(周转筐出入库明细!$D$4:$D$2004,$Z846-2000)),IF($Z846&lt;=5200,IF(INDEX(客户自备加工筐明细!$C$4:$C$1203,$Z846-4000)=0,"",INDEX(客户自备加工筐明细!$C$4:$C$1203,$Z846-4000)),IF($Z846&lt;=5800,IF(INDEX(次果筐明细!$D$4:$D$603,$Z846-5200)=0,"",INDEX(次果筐明细!$D$4:$D$603,$Z846-5200)),"")))))</f>
        <v/>
      </c>
      <c r="G846" s="24" t="str">
        <f>IF($Z846="","",IF($Z846&lt;=2000,IF(INDEX(包装物料出入库明细!$F$4:$F$2003,$Z846-0)=0,"",INDEX(包装物料出入库明细!$F$4:$F$2003,$Z846-0)),IF($Z846&lt;=4000,"",IF($Z846&lt;=5200,"",IF($Z846&lt;=5800,"","")))))</f>
        <v/>
      </c>
      <c r="H846" s="39" t="str">
        <f>IF($Z846="","",IF($Z846&lt;=2000,IF(INDEX(包装物料出入库明细!$L$4:$L$2003,$Z846-0)=0,"",INDEX(包装物料出入库明细!$L$4:$L$2003,$Z846-0)),IF($Z846&lt;=4000,N(INDEX(周转筐出入库明细!$H$4:$H$2004,$Z846-2000))+N(INDEX(周转筐出入库明细!$I$4:$I$2004,$Z846-2000))+N(INDEX(周转筐出入库明细!$J$4:$J$2004,$Z846-2000))+N(INDEX(周转筐出入库明细!$K$4:$K$2004,$Z846-2000)),IF($Z846&lt;=5200,N(INDEX(客户自备加工筐明细!$F$4:$F$1203,$Z846-4000))+N(INDEX(客户自备加工筐明细!$G$4:$G$1203,$Z846-4000)),IF($Z846&lt;=5800,IF(INDEX(次果筐明细!$G$4:$G$603,$Z846-5200)=0,"",INDEX(次果筐明细!$G$4:$G$603,$Z846-5200)),"")))))</f>
        <v/>
      </c>
      <c r="I846" s="24" t="str">
        <f>IF($Z846="","",IF($Z846&lt;=2000,IF(INDEX(包装物料出入库明细!$G$4:$G$2003,$Z846-0)=0,"",INDEX(包装物料出入库明细!$G$4:$G$2003,$Z846-0)),IF($Z846&lt;=4000,"个",IF($Z846&lt;=5200,"个",IF($Z846&lt;=5800,"个","")))))</f>
        <v/>
      </c>
      <c r="J846" s="30" t="str">
        <f t="shared" si="40"/>
        <v/>
      </c>
      <c r="K846" s="30" t="str">
        <f>IF($Z846="","",IF($Z846&lt;=2000,IF(INDEX(包装物料出入库明细!$N$4:$N$2003,$Z846-0)=0,"",INDEX(包装物料出入库明细!$N$4:$N$2003,$Z846-0)),IF($Z846&lt;=4000,IF(INDEX(周转筐出入库明细!$P$4:$P$2004,$Z846-2000)=0,"",INDEX(周转筐出入库明细!$P$4:$P$2004,$Z846-2000)),IF($Z846&lt;=5200,"",IF($Z846&lt;=5800,N(INDEX(次果筐明细!$L$4:$L$603,$Z846-5200))+N(INDEX(次果筐明细!$J$4:$J$603,$Z846-5200)),"")))))</f>
        <v/>
      </c>
      <c r="L846" s="24" t="str">
        <f>IF($Z846="","",IF($Z846&lt;=2000,IF(INDEX(包装物料出入库明细!$P$4:$P$2003,$Z846-0)=0,"",INDEX(包装物料出入库明细!$P$4:$P$2003,$Z846-0)),IF($Z846&lt;=4000,IF(INDEX(周转筐出入库明细!$Q$4:$Q$2004,$Z846-2000)=0,"",INDEX(周转筐出入库明细!$Q$4:$Q$2004,$Z846-2000)),IF($Z846&lt;=5200,"",IF($Z846&lt;=5800,IF(INDEX(次果筐明细!$M$4:$M$603,$Z846-5200)=0,"",INDEX(次果筐明细!$M$4:$M$603,$Z846-5200)),"")))))</f>
        <v/>
      </c>
      <c r="M846" s="37" t="str">
        <f>IF($Z846="","",IF($Z846&lt;=2000,IF(INDEX(包装物料出入库明细!$R$4:$R$2003,$Z846-0)=0,"",INDEX(包装物料出入库明细!$R$4:$R$2003,$Z846-0)),IF($Z846&lt;=4000,IF(INDEX(周转筐出入库明细!$W$4:$W$2004,$Z846-2000)=0,"",INDEX(周转筐出入库明细!$W$4:$W$2004,$Z846-2000)),IF($Z846&lt;=5200,IF(INDEX(客户自备加工筐明细!$L$4:$L$1203,$Z846-4000)=0,"",INDEX(客户自备加工筐明细!$L$4:$L$1203,$Z846-4000)),IF($Z846&lt;=5800,IF(INDEX(次果筐明细!$P$4:$P$603,$Z846-5200)=0,"",INDEX(次果筐明细!$P$4:$P$603,$Z846-5200)),"")))))</f>
        <v/>
      </c>
      <c r="N846" s="16" t="str">
        <f>IF($Z846="","",IF($Z846&lt;=2000,"",IF($Z846&lt;=4000,IF(INDEX(周转筐出入库明细!$D$4:$D$2004,$Z846-2000)=0,"",INDEX(周转筐出入库明细!$D$4:$D$2004,$Z846-2000)),IF($Z846&lt;=5200,IF(INDEX(客户自备加工筐明细!$C$4:$C$1203,$Z846-4000)=0,"",INDEX(客户自备加工筐明细!$C$4:$C$1203,$Z846-4000)),IF($Z846&lt;=5800,IF(INDEX(次果筐明细!$D$4:$D$603,$Z846-5200)=0,"",INDEX(次果筐明细!$D$4:$D$603,$Z846-5200)),"")))))</f>
        <v/>
      </c>
      <c r="O846" s="40" t="str">
        <f>IF($Z846="","",IF($Z846&lt;=2000,"",IF($Z846&lt;=4000,IF(N(INDEX(周转筐出入库明细!$J$4:$J$2004,$Z846-2000))+N(INDEX(周转筐出入库明细!$K$4:$K$2004,$Z846-2000))=0,"",N(INDEX(周转筐出入库明细!$J$4:$J$2004,$Z846-2000))+N(INDEX(周转筐出入库明细!$K$4:$K$2004,$Z846-2000))),IF($Z846&lt;=5200,IF(N(INDEX(客户自备加工筐明细!$G$4:$G$1203,$Z846-4000))=0,"",N(INDEX(客户自备加工筐明细!$G$4:$G$1203,$Z846-4000))),IF($Z846&lt;=5800,IF(ISNUMBER(SEARCH("退",INDEX(次果筐明细!$F$4:$F$603,$Z846-5200)&amp;"")),"",IF(N(INDEX(次果筐明细!$G$4:$G$603,$Z846-5200))=0,"",N(INDEX(次果筐明细!$G$4:$G$603,$Z846-5200)))),"")))))</f>
        <v/>
      </c>
      <c r="P846" s="40" t="str">
        <f>IF($Z846="","",IF($Z846&lt;=2000,"",IF($Z846&lt;=4000,IF(N(INDEX(周转筐出入库明细!$I$4:$I$2004,$Z846-2000))=0,"",N(INDEX(周转筐出入库明细!$I$4:$I$2004,$Z846-2000))),IF($Z846&lt;=5200,"",IF($Z846&lt;=5800,IF(ISNUMBER(SEARCH("退",INDEX(次果筐明细!$F$4:$F$603,$Z846-5200)&amp;"")),IF(N(INDEX(次果筐明细!$G$4:$G$603,$Z846-5200))=0,"",N(INDEX(次果筐明细!$G$4:$G$603,$Z846-5200))),""),"")))))</f>
        <v/>
      </c>
      <c r="Q846" s="40" t="str">
        <f>IF($Z846="","",IF($Z846&lt;=2000,"",IF($Z846&lt;=4000,IF(N(INDEX(周转筐出入库明细!$H$4:$H$2004,$Z846-2000))=0,"",N(INDEX(周转筐出入库明细!$H$4:$H$2004,$Z846-2000))),IF($Z846&lt;=5200,IF(N(INDEX(客户自备加工筐明细!$F$4:$F$1203,$Z846-4000))=0,"",N(INDEX(客户自备加工筐明细!$F$4:$F$1203,$Z846-4000))),IF($Z846&lt;=5800,"","")))))</f>
        <v/>
      </c>
      <c r="R846" s="16" t="str">
        <f>IF($Z846="","",IF($Z846&lt;=2000,IF(INDEX(包装物料出入库明细!$O$4:$O$2003,$Z846-0)=0,"",INDEX(包装物料出入库明细!$O$4:$O$2003,$Z846-0)),IF($Z846&lt;=4000,IF(INDEX(周转筐出入库明细!$M$4:$M$2004,$Z846-2000)=0,"",INDEX(周转筐出入库明细!$M$4:$M$2004,$Z846-2000)),IF($Z846&lt;=5200,IF(INDEX(客户自备加工筐明细!$H$4:$H$1203,$Z846-4000)=0,"",INDEX(客户自备加工筐明细!$H$4:$H$1203,$Z846-4000)),IF($Z846&lt;=5800,IF(INDEX(次果筐明细!$H$4:$H$603,$Z846-5200)=0,"",INDEX(次果筐明细!$H$4:$H$603,$Z846-5200)),"")))))</f>
        <v/>
      </c>
      <c r="S846" s="22" t="str">
        <f t="shared" si="41"/>
        <v/>
      </c>
      <c r="Z846" s="10" t="str">
        <f>IFERROR(MATCH(ROW()-3,_自动清单!$CQ$4:$CQ$5803,0),"")</f>
        <v/>
      </c>
    </row>
    <row r="847" spans="1:26">
      <c r="A847" s="24" t="str">
        <f t="shared" si="39"/>
        <v/>
      </c>
      <c r="B847" s="38" t="str">
        <f>IF($Z847="","",IF($Z847&lt;=2000,IF(INDEX(包装物料出入库明细!$B$4:$B$2003,$Z847-0)=0,"",INDEX(包装物料出入库明细!$B$4:$B$2003,$Z847-0)),IF($Z847&lt;=4000,IF(INDEX(周转筐出入库明细!$B$4:$B$2004,$Z847-2000)=0,"",INDEX(周转筐出入库明细!$B$4:$B$2004,$Z847-2000)),IF($Z847&lt;=5200,IF(INDEX(客户自备加工筐明细!$B$4:$B$1203,$Z847-4000)=0,"",INDEX(客户自备加工筐明细!$B$4:$B$1203,$Z847-4000)),IF($Z847&lt;=5800,IF(INDEX(次果筐明细!$B$4:$B$603,$Z847-5200)=0,"",INDEX(次果筐明细!$B$4:$B$603,$Z847-5200)),"")))))</f>
        <v/>
      </c>
      <c r="C847" s="37" t="str">
        <f>IF($Z847="","",IF($Z847&lt;=2000,IF(INDEX(包装物料出入库明细!$D$4:$D$2003,$Z847-0)=0,"",INDEX(包装物料出入库明细!$D$4:$D$2003,$Z847-0)),IF($Z847&lt;=4000,IF(INDEX(周转筐出入库明细!$C$4:$C$2004,$Z847-2000)=0,"",INDEX(周转筐出入库明细!$C$4:$C$2004,$Z847-2000)),IF($Z847&lt;=5200,IF(INDEX(客户自备加工筐明细!$E$4:$E$1203,$Z847-4000)=0,"",INDEX(客户自备加工筐明细!$E$4:$E$1203,$Z847-4000)),IF($Z847&lt;=5800,IF(INDEX(次果筐明细!$C$4:$C$603,$Z847-5200)=0,"",INDEX(次果筐明细!$C$4:$C$603,$Z847-5200)),"")))))</f>
        <v/>
      </c>
      <c r="D847" s="37" t="str">
        <f>IF($Z847="","",IF($Z847&lt;=2000,"包装物料－"&amp;INDEX(包装物料出入库明细!$H$4:$H$2003,$Z847-0),IF($Z847&lt;=4000,"周转筐－"&amp;INDEX(周转筐出入库明细!$F$4:$F$2004,$Z847-2000),IF($Z847&lt;=5200,"客户自备筐－"&amp;INDEX(客户自备加工筐明细!$J$4:$J$1203,$Z847-4000),IF($Z847&lt;=5800,"次果筐/托盘－"&amp;INDEX(次果筐明细!$F$4:$F$603,$Z847-5200),"")))))</f>
        <v/>
      </c>
      <c r="E847" s="24" t="str">
        <f>IF($Z847="","",IF($Z847&lt;=2000,IF(INDEX(包装物料出入库明细!$C$4:$C$2003,$Z847-0)=0,"",INDEX(包装物料出入库明细!$C$4:$C$2003,$Z847-0)),IF($Z847&lt;=4000,IF(INDEX(周转筐出入库明细!$E$4:$E$2004,$Z847-2000)=0,"",INDEX(周转筐出入库明细!$E$4:$E$2004,$Z847-2000)),IF($Z847&lt;=5200,IF(INDEX(客户自备加工筐明细!$D$4:$D$1203,$Z847-4000)=0,"",INDEX(客户自备加工筐明细!$D$4:$D$1203,$Z847-4000)),IF($Z847&lt;=5800,IF(INDEX(次果筐明细!$E$4:$E$603,$Z847-5200)=0,"",INDEX(次果筐明细!$E$4:$E$603,$Z847-5200)),"")))))</f>
        <v/>
      </c>
      <c r="F847" s="24" t="str">
        <f>IF($Z847="","",IF($Z847&lt;=2000,IF(INDEX(包装物料出入库明细!$E$4:$E$2003,$Z847-0)=0,"",INDEX(包装物料出入库明细!$E$4:$E$2003,$Z847-0)),IF($Z847&lt;=4000,IF(INDEX(周转筐出入库明细!$D$4:$D$2004,$Z847-2000)=0,"",INDEX(周转筐出入库明细!$D$4:$D$2004,$Z847-2000)),IF($Z847&lt;=5200,IF(INDEX(客户自备加工筐明细!$C$4:$C$1203,$Z847-4000)=0,"",INDEX(客户自备加工筐明细!$C$4:$C$1203,$Z847-4000)),IF($Z847&lt;=5800,IF(INDEX(次果筐明细!$D$4:$D$603,$Z847-5200)=0,"",INDEX(次果筐明细!$D$4:$D$603,$Z847-5200)),"")))))</f>
        <v/>
      </c>
      <c r="G847" s="24" t="str">
        <f>IF($Z847="","",IF($Z847&lt;=2000,IF(INDEX(包装物料出入库明细!$F$4:$F$2003,$Z847-0)=0,"",INDEX(包装物料出入库明细!$F$4:$F$2003,$Z847-0)),IF($Z847&lt;=4000,"",IF($Z847&lt;=5200,"",IF($Z847&lt;=5800,"","")))))</f>
        <v/>
      </c>
      <c r="H847" s="39" t="str">
        <f>IF($Z847="","",IF($Z847&lt;=2000,IF(INDEX(包装物料出入库明细!$L$4:$L$2003,$Z847-0)=0,"",INDEX(包装物料出入库明细!$L$4:$L$2003,$Z847-0)),IF($Z847&lt;=4000,N(INDEX(周转筐出入库明细!$H$4:$H$2004,$Z847-2000))+N(INDEX(周转筐出入库明细!$I$4:$I$2004,$Z847-2000))+N(INDEX(周转筐出入库明细!$J$4:$J$2004,$Z847-2000))+N(INDEX(周转筐出入库明细!$K$4:$K$2004,$Z847-2000)),IF($Z847&lt;=5200,N(INDEX(客户自备加工筐明细!$F$4:$F$1203,$Z847-4000))+N(INDEX(客户自备加工筐明细!$G$4:$G$1203,$Z847-4000)),IF($Z847&lt;=5800,IF(INDEX(次果筐明细!$G$4:$G$603,$Z847-5200)=0,"",INDEX(次果筐明细!$G$4:$G$603,$Z847-5200)),"")))))</f>
        <v/>
      </c>
      <c r="I847" s="24" t="str">
        <f>IF($Z847="","",IF($Z847&lt;=2000,IF(INDEX(包装物料出入库明细!$G$4:$G$2003,$Z847-0)=0,"",INDEX(包装物料出入库明细!$G$4:$G$2003,$Z847-0)),IF($Z847&lt;=4000,"个",IF($Z847&lt;=5200,"个",IF($Z847&lt;=5800,"个","")))))</f>
        <v/>
      </c>
      <c r="J847" s="30" t="str">
        <f t="shared" si="40"/>
        <v/>
      </c>
      <c r="K847" s="30" t="str">
        <f>IF($Z847="","",IF($Z847&lt;=2000,IF(INDEX(包装物料出入库明细!$N$4:$N$2003,$Z847-0)=0,"",INDEX(包装物料出入库明细!$N$4:$N$2003,$Z847-0)),IF($Z847&lt;=4000,IF(INDEX(周转筐出入库明细!$P$4:$P$2004,$Z847-2000)=0,"",INDEX(周转筐出入库明细!$P$4:$P$2004,$Z847-2000)),IF($Z847&lt;=5200,"",IF($Z847&lt;=5800,N(INDEX(次果筐明细!$L$4:$L$603,$Z847-5200))+N(INDEX(次果筐明细!$J$4:$J$603,$Z847-5200)),"")))))</f>
        <v/>
      </c>
      <c r="L847" s="24" t="str">
        <f>IF($Z847="","",IF($Z847&lt;=2000,IF(INDEX(包装物料出入库明细!$P$4:$P$2003,$Z847-0)=0,"",INDEX(包装物料出入库明细!$P$4:$P$2003,$Z847-0)),IF($Z847&lt;=4000,IF(INDEX(周转筐出入库明细!$Q$4:$Q$2004,$Z847-2000)=0,"",INDEX(周转筐出入库明细!$Q$4:$Q$2004,$Z847-2000)),IF($Z847&lt;=5200,"",IF($Z847&lt;=5800,IF(INDEX(次果筐明细!$M$4:$M$603,$Z847-5200)=0,"",INDEX(次果筐明细!$M$4:$M$603,$Z847-5200)),"")))))</f>
        <v/>
      </c>
      <c r="M847" s="37" t="str">
        <f>IF($Z847="","",IF($Z847&lt;=2000,IF(INDEX(包装物料出入库明细!$R$4:$R$2003,$Z847-0)=0,"",INDEX(包装物料出入库明细!$R$4:$R$2003,$Z847-0)),IF($Z847&lt;=4000,IF(INDEX(周转筐出入库明细!$W$4:$W$2004,$Z847-2000)=0,"",INDEX(周转筐出入库明细!$W$4:$W$2004,$Z847-2000)),IF($Z847&lt;=5200,IF(INDEX(客户自备加工筐明细!$L$4:$L$1203,$Z847-4000)=0,"",INDEX(客户自备加工筐明细!$L$4:$L$1203,$Z847-4000)),IF($Z847&lt;=5800,IF(INDEX(次果筐明细!$P$4:$P$603,$Z847-5200)=0,"",INDEX(次果筐明细!$P$4:$P$603,$Z847-5200)),"")))))</f>
        <v/>
      </c>
      <c r="N847" s="16" t="str">
        <f>IF($Z847="","",IF($Z847&lt;=2000,"",IF($Z847&lt;=4000,IF(INDEX(周转筐出入库明细!$D$4:$D$2004,$Z847-2000)=0,"",INDEX(周转筐出入库明细!$D$4:$D$2004,$Z847-2000)),IF($Z847&lt;=5200,IF(INDEX(客户自备加工筐明细!$C$4:$C$1203,$Z847-4000)=0,"",INDEX(客户自备加工筐明细!$C$4:$C$1203,$Z847-4000)),IF($Z847&lt;=5800,IF(INDEX(次果筐明细!$D$4:$D$603,$Z847-5200)=0,"",INDEX(次果筐明细!$D$4:$D$603,$Z847-5200)),"")))))</f>
        <v/>
      </c>
      <c r="O847" s="40" t="str">
        <f>IF($Z847="","",IF($Z847&lt;=2000,"",IF($Z847&lt;=4000,IF(N(INDEX(周转筐出入库明细!$J$4:$J$2004,$Z847-2000))+N(INDEX(周转筐出入库明细!$K$4:$K$2004,$Z847-2000))=0,"",N(INDEX(周转筐出入库明细!$J$4:$J$2004,$Z847-2000))+N(INDEX(周转筐出入库明细!$K$4:$K$2004,$Z847-2000))),IF($Z847&lt;=5200,IF(N(INDEX(客户自备加工筐明细!$G$4:$G$1203,$Z847-4000))=0,"",N(INDEX(客户自备加工筐明细!$G$4:$G$1203,$Z847-4000))),IF($Z847&lt;=5800,IF(ISNUMBER(SEARCH("退",INDEX(次果筐明细!$F$4:$F$603,$Z847-5200)&amp;"")),"",IF(N(INDEX(次果筐明细!$G$4:$G$603,$Z847-5200))=0,"",N(INDEX(次果筐明细!$G$4:$G$603,$Z847-5200)))),"")))))</f>
        <v/>
      </c>
      <c r="P847" s="40" t="str">
        <f>IF($Z847="","",IF($Z847&lt;=2000,"",IF($Z847&lt;=4000,IF(N(INDEX(周转筐出入库明细!$I$4:$I$2004,$Z847-2000))=0,"",N(INDEX(周转筐出入库明细!$I$4:$I$2004,$Z847-2000))),IF($Z847&lt;=5200,"",IF($Z847&lt;=5800,IF(ISNUMBER(SEARCH("退",INDEX(次果筐明细!$F$4:$F$603,$Z847-5200)&amp;"")),IF(N(INDEX(次果筐明细!$G$4:$G$603,$Z847-5200))=0,"",N(INDEX(次果筐明细!$G$4:$G$603,$Z847-5200))),""),"")))))</f>
        <v/>
      </c>
      <c r="Q847" s="40" t="str">
        <f>IF($Z847="","",IF($Z847&lt;=2000,"",IF($Z847&lt;=4000,IF(N(INDEX(周转筐出入库明细!$H$4:$H$2004,$Z847-2000))=0,"",N(INDEX(周转筐出入库明细!$H$4:$H$2004,$Z847-2000))),IF($Z847&lt;=5200,IF(N(INDEX(客户自备加工筐明细!$F$4:$F$1203,$Z847-4000))=0,"",N(INDEX(客户自备加工筐明细!$F$4:$F$1203,$Z847-4000))),IF($Z847&lt;=5800,"","")))))</f>
        <v/>
      </c>
      <c r="R847" s="16" t="str">
        <f>IF($Z847="","",IF($Z847&lt;=2000,IF(INDEX(包装物料出入库明细!$O$4:$O$2003,$Z847-0)=0,"",INDEX(包装物料出入库明细!$O$4:$O$2003,$Z847-0)),IF($Z847&lt;=4000,IF(INDEX(周转筐出入库明细!$M$4:$M$2004,$Z847-2000)=0,"",INDEX(周转筐出入库明细!$M$4:$M$2004,$Z847-2000)),IF($Z847&lt;=5200,IF(INDEX(客户自备加工筐明细!$H$4:$H$1203,$Z847-4000)=0,"",INDEX(客户自备加工筐明细!$H$4:$H$1203,$Z847-4000)),IF($Z847&lt;=5800,IF(INDEX(次果筐明细!$H$4:$H$603,$Z847-5200)=0,"",INDEX(次果筐明细!$H$4:$H$603,$Z847-5200)),"")))))</f>
        <v/>
      </c>
      <c r="S847" s="22" t="str">
        <f t="shared" si="41"/>
        <v/>
      </c>
      <c r="Z847" s="10" t="str">
        <f>IFERROR(MATCH(ROW()-3,_自动清单!$CQ$4:$CQ$5803,0),"")</f>
        <v/>
      </c>
    </row>
    <row r="848" spans="1:26">
      <c r="A848" s="24" t="str">
        <f t="shared" si="39"/>
        <v/>
      </c>
      <c r="B848" s="38" t="str">
        <f>IF($Z848="","",IF($Z848&lt;=2000,IF(INDEX(包装物料出入库明细!$B$4:$B$2003,$Z848-0)=0,"",INDEX(包装物料出入库明细!$B$4:$B$2003,$Z848-0)),IF($Z848&lt;=4000,IF(INDEX(周转筐出入库明细!$B$4:$B$2004,$Z848-2000)=0,"",INDEX(周转筐出入库明细!$B$4:$B$2004,$Z848-2000)),IF($Z848&lt;=5200,IF(INDEX(客户自备加工筐明细!$B$4:$B$1203,$Z848-4000)=0,"",INDEX(客户自备加工筐明细!$B$4:$B$1203,$Z848-4000)),IF($Z848&lt;=5800,IF(INDEX(次果筐明细!$B$4:$B$603,$Z848-5200)=0,"",INDEX(次果筐明细!$B$4:$B$603,$Z848-5200)),"")))))</f>
        <v/>
      </c>
      <c r="C848" s="37" t="str">
        <f>IF($Z848="","",IF($Z848&lt;=2000,IF(INDEX(包装物料出入库明细!$D$4:$D$2003,$Z848-0)=0,"",INDEX(包装物料出入库明细!$D$4:$D$2003,$Z848-0)),IF($Z848&lt;=4000,IF(INDEX(周转筐出入库明细!$C$4:$C$2004,$Z848-2000)=0,"",INDEX(周转筐出入库明细!$C$4:$C$2004,$Z848-2000)),IF($Z848&lt;=5200,IF(INDEX(客户自备加工筐明细!$E$4:$E$1203,$Z848-4000)=0,"",INDEX(客户自备加工筐明细!$E$4:$E$1203,$Z848-4000)),IF($Z848&lt;=5800,IF(INDEX(次果筐明细!$C$4:$C$603,$Z848-5200)=0,"",INDEX(次果筐明细!$C$4:$C$603,$Z848-5200)),"")))))</f>
        <v/>
      </c>
      <c r="D848" s="37" t="str">
        <f>IF($Z848="","",IF($Z848&lt;=2000,"包装物料－"&amp;INDEX(包装物料出入库明细!$H$4:$H$2003,$Z848-0),IF($Z848&lt;=4000,"周转筐－"&amp;INDEX(周转筐出入库明细!$F$4:$F$2004,$Z848-2000),IF($Z848&lt;=5200,"客户自备筐－"&amp;INDEX(客户自备加工筐明细!$J$4:$J$1203,$Z848-4000),IF($Z848&lt;=5800,"次果筐/托盘－"&amp;INDEX(次果筐明细!$F$4:$F$603,$Z848-5200),"")))))</f>
        <v/>
      </c>
      <c r="E848" s="24" t="str">
        <f>IF($Z848="","",IF($Z848&lt;=2000,IF(INDEX(包装物料出入库明细!$C$4:$C$2003,$Z848-0)=0,"",INDEX(包装物料出入库明细!$C$4:$C$2003,$Z848-0)),IF($Z848&lt;=4000,IF(INDEX(周转筐出入库明细!$E$4:$E$2004,$Z848-2000)=0,"",INDEX(周转筐出入库明细!$E$4:$E$2004,$Z848-2000)),IF($Z848&lt;=5200,IF(INDEX(客户自备加工筐明细!$D$4:$D$1203,$Z848-4000)=0,"",INDEX(客户自备加工筐明细!$D$4:$D$1203,$Z848-4000)),IF($Z848&lt;=5800,IF(INDEX(次果筐明细!$E$4:$E$603,$Z848-5200)=0,"",INDEX(次果筐明细!$E$4:$E$603,$Z848-5200)),"")))))</f>
        <v/>
      </c>
      <c r="F848" s="24" t="str">
        <f>IF($Z848="","",IF($Z848&lt;=2000,IF(INDEX(包装物料出入库明细!$E$4:$E$2003,$Z848-0)=0,"",INDEX(包装物料出入库明细!$E$4:$E$2003,$Z848-0)),IF($Z848&lt;=4000,IF(INDEX(周转筐出入库明细!$D$4:$D$2004,$Z848-2000)=0,"",INDEX(周转筐出入库明细!$D$4:$D$2004,$Z848-2000)),IF($Z848&lt;=5200,IF(INDEX(客户自备加工筐明细!$C$4:$C$1203,$Z848-4000)=0,"",INDEX(客户自备加工筐明细!$C$4:$C$1203,$Z848-4000)),IF($Z848&lt;=5800,IF(INDEX(次果筐明细!$D$4:$D$603,$Z848-5200)=0,"",INDEX(次果筐明细!$D$4:$D$603,$Z848-5200)),"")))))</f>
        <v/>
      </c>
      <c r="G848" s="24" t="str">
        <f>IF($Z848="","",IF($Z848&lt;=2000,IF(INDEX(包装物料出入库明细!$F$4:$F$2003,$Z848-0)=0,"",INDEX(包装物料出入库明细!$F$4:$F$2003,$Z848-0)),IF($Z848&lt;=4000,"",IF($Z848&lt;=5200,"",IF($Z848&lt;=5800,"","")))))</f>
        <v/>
      </c>
      <c r="H848" s="39" t="str">
        <f>IF($Z848="","",IF($Z848&lt;=2000,IF(INDEX(包装物料出入库明细!$L$4:$L$2003,$Z848-0)=0,"",INDEX(包装物料出入库明细!$L$4:$L$2003,$Z848-0)),IF($Z848&lt;=4000,N(INDEX(周转筐出入库明细!$H$4:$H$2004,$Z848-2000))+N(INDEX(周转筐出入库明细!$I$4:$I$2004,$Z848-2000))+N(INDEX(周转筐出入库明细!$J$4:$J$2004,$Z848-2000))+N(INDEX(周转筐出入库明细!$K$4:$K$2004,$Z848-2000)),IF($Z848&lt;=5200,N(INDEX(客户自备加工筐明细!$F$4:$F$1203,$Z848-4000))+N(INDEX(客户自备加工筐明细!$G$4:$G$1203,$Z848-4000)),IF($Z848&lt;=5800,IF(INDEX(次果筐明细!$G$4:$G$603,$Z848-5200)=0,"",INDEX(次果筐明细!$G$4:$G$603,$Z848-5200)),"")))))</f>
        <v/>
      </c>
      <c r="I848" s="24" t="str">
        <f>IF($Z848="","",IF($Z848&lt;=2000,IF(INDEX(包装物料出入库明细!$G$4:$G$2003,$Z848-0)=0,"",INDEX(包装物料出入库明细!$G$4:$G$2003,$Z848-0)),IF($Z848&lt;=4000,"个",IF($Z848&lt;=5200,"个",IF($Z848&lt;=5800,"个","")))))</f>
        <v/>
      </c>
      <c r="J848" s="30" t="str">
        <f t="shared" si="40"/>
        <v/>
      </c>
      <c r="K848" s="30" t="str">
        <f>IF($Z848="","",IF($Z848&lt;=2000,IF(INDEX(包装物料出入库明细!$N$4:$N$2003,$Z848-0)=0,"",INDEX(包装物料出入库明细!$N$4:$N$2003,$Z848-0)),IF($Z848&lt;=4000,IF(INDEX(周转筐出入库明细!$P$4:$P$2004,$Z848-2000)=0,"",INDEX(周转筐出入库明细!$P$4:$P$2004,$Z848-2000)),IF($Z848&lt;=5200,"",IF($Z848&lt;=5800,N(INDEX(次果筐明细!$L$4:$L$603,$Z848-5200))+N(INDEX(次果筐明细!$J$4:$J$603,$Z848-5200)),"")))))</f>
        <v/>
      </c>
      <c r="L848" s="24" t="str">
        <f>IF($Z848="","",IF($Z848&lt;=2000,IF(INDEX(包装物料出入库明细!$P$4:$P$2003,$Z848-0)=0,"",INDEX(包装物料出入库明细!$P$4:$P$2003,$Z848-0)),IF($Z848&lt;=4000,IF(INDEX(周转筐出入库明细!$Q$4:$Q$2004,$Z848-2000)=0,"",INDEX(周转筐出入库明细!$Q$4:$Q$2004,$Z848-2000)),IF($Z848&lt;=5200,"",IF($Z848&lt;=5800,IF(INDEX(次果筐明细!$M$4:$M$603,$Z848-5200)=0,"",INDEX(次果筐明细!$M$4:$M$603,$Z848-5200)),"")))))</f>
        <v/>
      </c>
      <c r="M848" s="37" t="str">
        <f>IF($Z848="","",IF($Z848&lt;=2000,IF(INDEX(包装物料出入库明细!$R$4:$R$2003,$Z848-0)=0,"",INDEX(包装物料出入库明细!$R$4:$R$2003,$Z848-0)),IF($Z848&lt;=4000,IF(INDEX(周转筐出入库明细!$W$4:$W$2004,$Z848-2000)=0,"",INDEX(周转筐出入库明细!$W$4:$W$2004,$Z848-2000)),IF($Z848&lt;=5200,IF(INDEX(客户自备加工筐明细!$L$4:$L$1203,$Z848-4000)=0,"",INDEX(客户自备加工筐明细!$L$4:$L$1203,$Z848-4000)),IF($Z848&lt;=5800,IF(INDEX(次果筐明细!$P$4:$P$603,$Z848-5200)=0,"",INDEX(次果筐明细!$P$4:$P$603,$Z848-5200)),"")))))</f>
        <v/>
      </c>
      <c r="N848" s="16" t="str">
        <f>IF($Z848="","",IF($Z848&lt;=2000,"",IF($Z848&lt;=4000,IF(INDEX(周转筐出入库明细!$D$4:$D$2004,$Z848-2000)=0,"",INDEX(周转筐出入库明细!$D$4:$D$2004,$Z848-2000)),IF($Z848&lt;=5200,IF(INDEX(客户自备加工筐明细!$C$4:$C$1203,$Z848-4000)=0,"",INDEX(客户自备加工筐明细!$C$4:$C$1203,$Z848-4000)),IF($Z848&lt;=5800,IF(INDEX(次果筐明细!$D$4:$D$603,$Z848-5200)=0,"",INDEX(次果筐明细!$D$4:$D$603,$Z848-5200)),"")))))</f>
        <v/>
      </c>
      <c r="O848" s="40" t="str">
        <f>IF($Z848="","",IF($Z848&lt;=2000,"",IF($Z848&lt;=4000,IF(N(INDEX(周转筐出入库明细!$J$4:$J$2004,$Z848-2000))+N(INDEX(周转筐出入库明细!$K$4:$K$2004,$Z848-2000))=0,"",N(INDEX(周转筐出入库明细!$J$4:$J$2004,$Z848-2000))+N(INDEX(周转筐出入库明细!$K$4:$K$2004,$Z848-2000))),IF($Z848&lt;=5200,IF(N(INDEX(客户自备加工筐明细!$G$4:$G$1203,$Z848-4000))=0,"",N(INDEX(客户自备加工筐明细!$G$4:$G$1203,$Z848-4000))),IF($Z848&lt;=5800,IF(ISNUMBER(SEARCH("退",INDEX(次果筐明细!$F$4:$F$603,$Z848-5200)&amp;"")),"",IF(N(INDEX(次果筐明细!$G$4:$G$603,$Z848-5200))=0,"",N(INDEX(次果筐明细!$G$4:$G$603,$Z848-5200)))),"")))))</f>
        <v/>
      </c>
      <c r="P848" s="40" t="str">
        <f>IF($Z848="","",IF($Z848&lt;=2000,"",IF($Z848&lt;=4000,IF(N(INDEX(周转筐出入库明细!$I$4:$I$2004,$Z848-2000))=0,"",N(INDEX(周转筐出入库明细!$I$4:$I$2004,$Z848-2000))),IF($Z848&lt;=5200,"",IF($Z848&lt;=5800,IF(ISNUMBER(SEARCH("退",INDEX(次果筐明细!$F$4:$F$603,$Z848-5200)&amp;"")),IF(N(INDEX(次果筐明细!$G$4:$G$603,$Z848-5200))=0,"",N(INDEX(次果筐明细!$G$4:$G$603,$Z848-5200))),""),"")))))</f>
        <v/>
      </c>
      <c r="Q848" s="40" t="str">
        <f>IF($Z848="","",IF($Z848&lt;=2000,"",IF($Z848&lt;=4000,IF(N(INDEX(周转筐出入库明细!$H$4:$H$2004,$Z848-2000))=0,"",N(INDEX(周转筐出入库明细!$H$4:$H$2004,$Z848-2000))),IF($Z848&lt;=5200,IF(N(INDEX(客户自备加工筐明细!$F$4:$F$1203,$Z848-4000))=0,"",N(INDEX(客户自备加工筐明细!$F$4:$F$1203,$Z848-4000))),IF($Z848&lt;=5800,"","")))))</f>
        <v/>
      </c>
      <c r="R848" s="16" t="str">
        <f>IF($Z848="","",IF($Z848&lt;=2000,IF(INDEX(包装物料出入库明细!$O$4:$O$2003,$Z848-0)=0,"",INDEX(包装物料出入库明细!$O$4:$O$2003,$Z848-0)),IF($Z848&lt;=4000,IF(INDEX(周转筐出入库明细!$M$4:$M$2004,$Z848-2000)=0,"",INDEX(周转筐出入库明细!$M$4:$M$2004,$Z848-2000)),IF($Z848&lt;=5200,IF(INDEX(客户自备加工筐明细!$H$4:$H$1203,$Z848-4000)=0,"",INDEX(客户自备加工筐明细!$H$4:$H$1203,$Z848-4000)),IF($Z848&lt;=5800,IF(INDEX(次果筐明细!$H$4:$H$603,$Z848-5200)=0,"",INDEX(次果筐明细!$H$4:$H$603,$Z848-5200)),"")))))</f>
        <v/>
      </c>
      <c r="S848" s="22" t="str">
        <f t="shared" si="41"/>
        <v/>
      </c>
      <c r="Z848" s="10" t="str">
        <f>IFERROR(MATCH(ROW()-3,_自动清单!$CQ$4:$CQ$5803,0),"")</f>
        <v/>
      </c>
    </row>
    <row r="849" spans="1:26">
      <c r="A849" s="24" t="str">
        <f t="shared" si="39"/>
        <v/>
      </c>
      <c r="B849" s="38" t="str">
        <f>IF($Z849="","",IF($Z849&lt;=2000,IF(INDEX(包装物料出入库明细!$B$4:$B$2003,$Z849-0)=0,"",INDEX(包装物料出入库明细!$B$4:$B$2003,$Z849-0)),IF($Z849&lt;=4000,IF(INDEX(周转筐出入库明细!$B$4:$B$2004,$Z849-2000)=0,"",INDEX(周转筐出入库明细!$B$4:$B$2004,$Z849-2000)),IF($Z849&lt;=5200,IF(INDEX(客户自备加工筐明细!$B$4:$B$1203,$Z849-4000)=0,"",INDEX(客户自备加工筐明细!$B$4:$B$1203,$Z849-4000)),IF($Z849&lt;=5800,IF(INDEX(次果筐明细!$B$4:$B$603,$Z849-5200)=0,"",INDEX(次果筐明细!$B$4:$B$603,$Z849-5200)),"")))))</f>
        <v/>
      </c>
      <c r="C849" s="37" t="str">
        <f>IF($Z849="","",IF($Z849&lt;=2000,IF(INDEX(包装物料出入库明细!$D$4:$D$2003,$Z849-0)=0,"",INDEX(包装物料出入库明细!$D$4:$D$2003,$Z849-0)),IF($Z849&lt;=4000,IF(INDEX(周转筐出入库明细!$C$4:$C$2004,$Z849-2000)=0,"",INDEX(周转筐出入库明细!$C$4:$C$2004,$Z849-2000)),IF($Z849&lt;=5200,IF(INDEX(客户自备加工筐明细!$E$4:$E$1203,$Z849-4000)=0,"",INDEX(客户自备加工筐明细!$E$4:$E$1203,$Z849-4000)),IF($Z849&lt;=5800,IF(INDEX(次果筐明细!$C$4:$C$603,$Z849-5200)=0,"",INDEX(次果筐明细!$C$4:$C$603,$Z849-5200)),"")))))</f>
        <v/>
      </c>
      <c r="D849" s="37" t="str">
        <f>IF($Z849="","",IF($Z849&lt;=2000,"包装物料－"&amp;INDEX(包装物料出入库明细!$H$4:$H$2003,$Z849-0),IF($Z849&lt;=4000,"周转筐－"&amp;INDEX(周转筐出入库明细!$F$4:$F$2004,$Z849-2000),IF($Z849&lt;=5200,"客户自备筐－"&amp;INDEX(客户自备加工筐明细!$J$4:$J$1203,$Z849-4000),IF($Z849&lt;=5800,"次果筐/托盘－"&amp;INDEX(次果筐明细!$F$4:$F$603,$Z849-5200),"")))))</f>
        <v/>
      </c>
      <c r="E849" s="24" t="str">
        <f>IF($Z849="","",IF($Z849&lt;=2000,IF(INDEX(包装物料出入库明细!$C$4:$C$2003,$Z849-0)=0,"",INDEX(包装物料出入库明细!$C$4:$C$2003,$Z849-0)),IF($Z849&lt;=4000,IF(INDEX(周转筐出入库明细!$E$4:$E$2004,$Z849-2000)=0,"",INDEX(周转筐出入库明细!$E$4:$E$2004,$Z849-2000)),IF($Z849&lt;=5200,IF(INDEX(客户自备加工筐明细!$D$4:$D$1203,$Z849-4000)=0,"",INDEX(客户自备加工筐明细!$D$4:$D$1203,$Z849-4000)),IF($Z849&lt;=5800,IF(INDEX(次果筐明细!$E$4:$E$603,$Z849-5200)=0,"",INDEX(次果筐明细!$E$4:$E$603,$Z849-5200)),"")))))</f>
        <v/>
      </c>
      <c r="F849" s="24" t="str">
        <f>IF($Z849="","",IF($Z849&lt;=2000,IF(INDEX(包装物料出入库明细!$E$4:$E$2003,$Z849-0)=0,"",INDEX(包装物料出入库明细!$E$4:$E$2003,$Z849-0)),IF($Z849&lt;=4000,IF(INDEX(周转筐出入库明细!$D$4:$D$2004,$Z849-2000)=0,"",INDEX(周转筐出入库明细!$D$4:$D$2004,$Z849-2000)),IF($Z849&lt;=5200,IF(INDEX(客户自备加工筐明细!$C$4:$C$1203,$Z849-4000)=0,"",INDEX(客户自备加工筐明细!$C$4:$C$1203,$Z849-4000)),IF($Z849&lt;=5800,IF(INDEX(次果筐明细!$D$4:$D$603,$Z849-5200)=0,"",INDEX(次果筐明细!$D$4:$D$603,$Z849-5200)),"")))))</f>
        <v/>
      </c>
      <c r="G849" s="24" t="str">
        <f>IF($Z849="","",IF($Z849&lt;=2000,IF(INDEX(包装物料出入库明细!$F$4:$F$2003,$Z849-0)=0,"",INDEX(包装物料出入库明细!$F$4:$F$2003,$Z849-0)),IF($Z849&lt;=4000,"",IF($Z849&lt;=5200,"",IF($Z849&lt;=5800,"","")))))</f>
        <v/>
      </c>
      <c r="H849" s="39" t="str">
        <f>IF($Z849="","",IF($Z849&lt;=2000,IF(INDEX(包装物料出入库明细!$L$4:$L$2003,$Z849-0)=0,"",INDEX(包装物料出入库明细!$L$4:$L$2003,$Z849-0)),IF($Z849&lt;=4000,N(INDEX(周转筐出入库明细!$H$4:$H$2004,$Z849-2000))+N(INDEX(周转筐出入库明细!$I$4:$I$2004,$Z849-2000))+N(INDEX(周转筐出入库明细!$J$4:$J$2004,$Z849-2000))+N(INDEX(周转筐出入库明细!$K$4:$K$2004,$Z849-2000)),IF($Z849&lt;=5200,N(INDEX(客户自备加工筐明细!$F$4:$F$1203,$Z849-4000))+N(INDEX(客户自备加工筐明细!$G$4:$G$1203,$Z849-4000)),IF($Z849&lt;=5800,IF(INDEX(次果筐明细!$G$4:$G$603,$Z849-5200)=0,"",INDEX(次果筐明细!$G$4:$G$603,$Z849-5200)),"")))))</f>
        <v/>
      </c>
      <c r="I849" s="24" t="str">
        <f>IF($Z849="","",IF($Z849&lt;=2000,IF(INDEX(包装物料出入库明细!$G$4:$G$2003,$Z849-0)=0,"",INDEX(包装物料出入库明细!$G$4:$G$2003,$Z849-0)),IF($Z849&lt;=4000,"个",IF($Z849&lt;=5200,"个",IF($Z849&lt;=5800,"个","")))))</f>
        <v/>
      </c>
      <c r="J849" s="30" t="str">
        <f t="shared" si="40"/>
        <v/>
      </c>
      <c r="K849" s="30" t="str">
        <f>IF($Z849="","",IF($Z849&lt;=2000,IF(INDEX(包装物料出入库明细!$N$4:$N$2003,$Z849-0)=0,"",INDEX(包装物料出入库明细!$N$4:$N$2003,$Z849-0)),IF($Z849&lt;=4000,IF(INDEX(周转筐出入库明细!$P$4:$P$2004,$Z849-2000)=0,"",INDEX(周转筐出入库明细!$P$4:$P$2004,$Z849-2000)),IF($Z849&lt;=5200,"",IF($Z849&lt;=5800,N(INDEX(次果筐明细!$L$4:$L$603,$Z849-5200))+N(INDEX(次果筐明细!$J$4:$J$603,$Z849-5200)),"")))))</f>
        <v/>
      </c>
      <c r="L849" s="24" t="str">
        <f>IF($Z849="","",IF($Z849&lt;=2000,IF(INDEX(包装物料出入库明细!$P$4:$P$2003,$Z849-0)=0,"",INDEX(包装物料出入库明细!$P$4:$P$2003,$Z849-0)),IF($Z849&lt;=4000,IF(INDEX(周转筐出入库明细!$Q$4:$Q$2004,$Z849-2000)=0,"",INDEX(周转筐出入库明细!$Q$4:$Q$2004,$Z849-2000)),IF($Z849&lt;=5200,"",IF($Z849&lt;=5800,IF(INDEX(次果筐明细!$M$4:$M$603,$Z849-5200)=0,"",INDEX(次果筐明细!$M$4:$M$603,$Z849-5200)),"")))))</f>
        <v/>
      </c>
      <c r="M849" s="37" t="str">
        <f>IF($Z849="","",IF($Z849&lt;=2000,IF(INDEX(包装物料出入库明细!$R$4:$R$2003,$Z849-0)=0,"",INDEX(包装物料出入库明细!$R$4:$R$2003,$Z849-0)),IF($Z849&lt;=4000,IF(INDEX(周转筐出入库明细!$W$4:$W$2004,$Z849-2000)=0,"",INDEX(周转筐出入库明细!$W$4:$W$2004,$Z849-2000)),IF($Z849&lt;=5200,IF(INDEX(客户自备加工筐明细!$L$4:$L$1203,$Z849-4000)=0,"",INDEX(客户自备加工筐明细!$L$4:$L$1203,$Z849-4000)),IF($Z849&lt;=5800,IF(INDEX(次果筐明细!$P$4:$P$603,$Z849-5200)=0,"",INDEX(次果筐明细!$P$4:$P$603,$Z849-5200)),"")))))</f>
        <v/>
      </c>
      <c r="N849" s="16" t="str">
        <f>IF($Z849="","",IF($Z849&lt;=2000,"",IF($Z849&lt;=4000,IF(INDEX(周转筐出入库明细!$D$4:$D$2004,$Z849-2000)=0,"",INDEX(周转筐出入库明细!$D$4:$D$2004,$Z849-2000)),IF($Z849&lt;=5200,IF(INDEX(客户自备加工筐明细!$C$4:$C$1203,$Z849-4000)=0,"",INDEX(客户自备加工筐明细!$C$4:$C$1203,$Z849-4000)),IF($Z849&lt;=5800,IF(INDEX(次果筐明细!$D$4:$D$603,$Z849-5200)=0,"",INDEX(次果筐明细!$D$4:$D$603,$Z849-5200)),"")))))</f>
        <v/>
      </c>
      <c r="O849" s="40" t="str">
        <f>IF($Z849="","",IF($Z849&lt;=2000,"",IF($Z849&lt;=4000,IF(N(INDEX(周转筐出入库明细!$J$4:$J$2004,$Z849-2000))+N(INDEX(周转筐出入库明细!$K$4:$K$2004,$Z849-2000))=0,"",N(INDEX(周转筐出入库明细!$J$4:$J$2004,$Z849-2000))+N(INDEX(周转筐出入库明细!$K$4:$K$2004,$Z849-2000))),IF($Z849&lt;=5200,IF(N(INDEX(客户自备加工筐明细!$G$4:$G$1203,$Z849-4000))=0,"",N(INDEX(客户自备加工筐明细!$G$4:$G$1203,$Z849-4000))),IF($Z849&lt;=5800,IF(ISNUMBER(SEARCH("退",INDEX(次果筐明细!$F$4:$F$603,$Z849-5200)&amp;"")),"",IF(N(INDEX(次果筐明细!$G$4:$G$603,$Z849-5200))=0,"",N(INDEX(次果筐明细!$G$4:$G$603,$Z849-5200)))),"")))))</f>
        <v/>
      </c>
      <c r="P849" s="40" t="str">
        <f>IF($Z849="","",IF($Z849&lt;=2000,"",IF($Z849&lt;=4000,IF(N(INDEX(周转筐出入库明细!$I$4:$I$2004,$Z849-2000))=0,"",N(INDEX(周转筐出入库明细!$I$4:$I$2004,$Z849-2000))),IF($Z849&lt;=5200,"",IF($Z849&lt;=5800,IF(ISNUMBER(SEARCH("退",INDEX(次果筐明细!$F$4:$F$603,$Z849-5200)&amp;"")),IF(N(INDEX(次果筐明细!$G$4:$G$603,$Z849-5200))=0,"",N(INDEX(次果筐明细!$G$4:$G$603,$Z849-5200))),""),"")))))</f>
        <v/>
      </c>
      <c r="Q849" s="40" t="str">
        <f>IF($Z849="","",IF($Z849&lt;=2000,"",IF($Z849&lt;=4000,IF(N(INDEX(周转筐出入库明细!$H$4:$H$2004,$Z849-2000))=0,"",N(INDEX(周转筐出入库明细!$H$4:$H$2004,$Z849-2000))),IF($Z849&lt;=5200,IF(N(INDEX(客户自备加工筐明细!$F$4:$F$1203,$Z849-4000))=0,"",N(INDEX(客户自备加工筐明细!$F$4:$F$1203,$Z849-4000))),IF($Z849&lt;=5800,"","")))))</f>
        <v/>
      </c>
      <c r="R849" s="16" t="str">
        <f>IF($Z849="","",IF($Z849&lt;=2000,IF(INDEX(包装物料出入库明细!$O$4:$O$2003,$Z849-0)=0,"",INDEX(包装物料出入库明细!$O$4:$O$2003,$Z849-0)),IF($Z849&lt;=4000,IF(INDEX(周转筐出入库明细!$M$4:$M$2004,$Z849-2000)=0,"",INDEX(周转筐出入库明细!$M$4:$M$2004,$Z849-2000)),IF($Z849&lt;=5200,IF(INDEX(客户自备加工筐明细!$H$4:$H$1203,$Z849-4000)=0,"",INDEX(客户自备加工筐明细!$H$4:$H$1203,$Z849-4000)),IF($Z849&lt;=5800,IF(INDEX(次果筐明细!$H$4:$H$603,$Z849-5200)=0,"",INDEX(次果筐明细!$H$4:$H$603,$Z849-5200)),"")))))</f>
        <v/>
      </c>
      <c r="S849" s="22" t="str">
        <f t="shared" si="41"/>
        <v/>
      </c>
      <c r="Z849" s="10" t="str">
        <f>IFERROR(MATCH(ROW()-3,_自动清单!$CQ$4:$CQ$5803,0),"")</f>
        <v/>
      </c>
    </row>
    <row r="850" spans="1:26">
      <c r="A850" s="24" t="str">
        <f t="shared" si="39"/>
        <v/>
      </c>
      <c r="B850" s="38" t="str">
        <f>IF($Z850="","",IF($Z850&lt;=2000,IF(INDEX(包装物料出入库明细!$B$4:$B$2003,$Z850-0)=0,"",INDEX(包装物料出入库明细!$B$4:$B$2003,$Z850-0)),IF($Z850&lt;=4000,IF(INDEX(周转筐出入库明细!$B$4:$B$2004,$Z850-2000)=0,"",INDEX(周转筐出入库明细!$B$4:$B$2004,$Z850-2000)),IF($Z850&lt;=5200,IF(INDEX(客户自备加工筐明细!$B$4:$B$1203,$Z850-4000)=0,"",INDEX(客户自备加工筐明细!$B$4:$B$1203,$Z850-4000)),IF($Z850&lt;=5800,IF(INDEX(次果筐明细!$B$4:$B$603,$Z850-5200)=0,"",INDEX(次果筐明细!$B$4:$B$603,$Z850-5200)),"")))))</f>
        <v/>
      </c>
      <c r="C850" s="37" t="str">
        <f>IF($Z850="","",IF($Z850&lt;=2000,IF(INDEX(包装物料出入库明细!$D$4:$D$2003,$Z850-0)=0,"",INDEX(包装物料出入库明细!$D$4:$D$2003,$Z850-0)),IF($Z850&lt;=4000,IF(INDEX(周转筐出入库明细!$C$4:$C$2004,$Z850-2000)=0,"",INDEX(周转筐出入库明细!$C$4:$C$2004,$Z850-2000)),IF($Z850&lt;=5200,IF(INDEX(客户自备加工筐明细!$E$4:$E$1203,$Z850-4000)=0,"",INDEX(客户自备加工筐明细!$E$4:$E$1203,$Z850-4000)),IF($Z850&lt;=5800,IF(INDEX(次果筐明细!$C$4:$C$603,$Z850-5200)=0,"",INDEX(次果筐明细!$C$4:$C$603,$Z850-5200)),"")))))</f>
        <v/>
      </c>
      <c r="D850" s="37" t="str">
        <f>IF($Z850="","",IF($Z850&lt;=2000,"包装物料－"&amp;INDEX(包装物料出入库明细!$H$4:$H$2003,$Z850-0),IF($Z850&lt;=4000,"周转筐－"&amp;INDEX(周转筐出入库明细!$F$4:$F$2004,$Z850-2000),IF($Z850&lt;=5200,"客户自备筐－"&amp;INDEX(客户自备加工筐明细!$J$4:$J$1203,$Z850-4000),IF($Z850&lt;=5800,"次果筐/托盘－"&amp;INDEX(次果筐明细!$F$4:$F$603,$Z850-5200),"")))))</f>
        <v/>
      </c>
      <c r="E850" s="24" t="str">
        <f>IF($Z850="","",IF($Z850&lt;=2000,IF(INDEX(包装物料出入库明细!$C$4:$C$2003,$Z850-0)=0,"",INDEX(包装物料出入库明细!$C$4:$C$2003,$Z850-0)),IF($Z850&lt;=4000,IF(INDEX(周转筐出入库明细!$E$4:$E$2004,$Z850-2000)=0,"",INDEX(周转筐出入库明细!$E$4:$E$2004,$Z850-2000)),IF($Z850&lt;=5200,IF(INDEX(客户自备加工筐明细!$D$4:$D$1203,$Z850-4000)=0,"",INDEX(客户自备加工筐明细!$D$4:$D$1203,$Z850-4000)),IF($Z850&lt;=5800,IF(INDEX(次果筐明细!$E$4:$E$603,$Z850-5200)=0,"",INDEX(次果筐明细!$E$4:$E$603,$Z850-5200)),"")))))</f>
        <v/>
      </c>
      <c r="F850" s="24" t="str">
        <f>IF($Z850="","",IF($Z850&lt;=2000,IF(INDEX(包装物料出入库明细!$E$4:$E$2003,$Z850-0)=0,"",INDEX(包装物料出入库明细!$E$4:$E$2003,$Z850-0)),IF($Z850&lt;=4000,IF(INDEX(周转筐出入库明细!$D$4:$D$2004,$Z850-2000)=0,"",INDEX(周转筐出入库明细!$D$4:$D$2004,$Z850-2000)),IF($Z850&lt;=5200,IF(INDEX(客户自备加工筐明细!$C$4:$C$1203,$Z850-4000)=0,"",INDEX(客户自备加工筐明细!$C$4:$C$1203,$Z850-4000)),IF($Z850&lt;=5800,IF(INDEX(次果筐明细!$D$4:$D$603,$Z850-5200)=0,"",INDEX(次果筐明细!$D$4:$D$603,$Z850-5200)),"")))))</f>
        <v/>
      </c>
      <c r="G850" s="24" t="str">
        <f>IF($Z850="","",IF($Z850&lt;=2000,IF(INDEX(包装物料出入库明细!$F$4:$F$2003,$Z850-0)=0,"",INDEX(包装物料出入库明细!$F$4:$F$2003,$Z850-0)),IF($Z850&lt;=4000,"",IF($Z850&lt;=5200,"",IF($Z850&lt;=5800,"","")))))</f>
        <v/>
      </c>
      <c r="H850" s="39" t="str">
        <f>IF($Z850="","",IF($Z850&lt;=2000,IF(INDEX(包装物料出入库明细!$L$4:$L$2003,$Z850-0)=0,"",INDEX(包装物料出入库明细!$L$4:$L$2003,$Z850-0)),IF($Z850&lt;=4000,N(INDEX(周转筐出入库明细!$H$4:$H$2004,$Z850-2000))+N(INDEX(周转筐出入库明细!$I$4:$I$2004,$Z850-2000))+N(INDEX(周转筐出入库明细!$J$4:$J$2004,$Z850-2000))+N(INDEX(周转筐出入库明细!$K$4:$K$2004,$Z850-2000)),IF($Z850&lt;=5200,N(INDEX(客户自备加工筐明细!$F$4:$F$1203,$Z850-4000))+N(INDEX(客户自备加工筐明细!$G$4:$G$1203,$Z850-4000)),IF($Z850&lt;=5800,IF(INDEX(次果筐明细!$G$4:$G$603,$Z850-5200)=0,"",INDEX(次果筐明细!$G$4:$G$603,$Z850-5200)),"")))))</f>
        <v/>
      </c>
      <c r="I850" s="24" t="str">
        <f>IF($Z850="","",IF($Z850&lt;=2000,IF(INDEX(包装物料出入库明细!$G$4:$G$2003,$Z850-0)=0,"",INDEX(包装物料出入库明细!$G$4:$G$2003,$Z850-0)),IF($Z850&lt;=4000,"个",IF($Z850&lt;=5200,"个",IF($Z850&lt;=5800,"个","")))))</f>
        <v/>
      </c>
      <c r="J850" s="30" t="str">
        <f t="shared" si="40"/>
        <v/>
      </c>
      <c r="K850" s="30" t="str">
        <f>IF($Z850="","",IF($Z850&lt;=2000,IF(INDEX(包装物料出入库明细!$N$4:$N$2003,$Z850-0)=0,"",INDEX(包装物料出入库明细!$N$4:$N$2003,$Z850-0)),IF($Z850&lt;=4000,IF(INDEX(周转筐出入库明细!$P$4:$P$2004,$Z850-2000)=0,"",INDEX(周转筐出入库明细!$P$4:$P$2004,$Z850-2000)),IF($Z850&lt;=5200,"",IF($Z850&lt;=5800,N(INDEX(次果筐明细!$L$4:$L$603,$Z850-5200))+N(INDEX(次果筐明细!$J$4:$J$603,$Z850-5200)),"")))))</f>
        <v/>
      </c>
      <c r="L850" s="24" t="str">
        <f>IF($Z850="","",IF($Z850&lt;=2000,IF(INDEX(包装物料出入库明细!$P$4:$P$2003,$Z850-0)=0,"",INDEX(包装物料出入库明细!$P$4:$P$2003,$Z850-0)),IF($Z850&lt;=4000,IF(INDEX(周转筐出入库明细!$Q$4:$Q$2004,$Z850-2000)=0,"",INDEX(周转筐出入库明细!$Q$4:$Q$2004,$Z850-2000)),IF($Z850&lt;=5200,"",IF($Z850&lt;=5800,IF(INDEX(次果筐明细!$M$4:$M$603,$Z850-5200)=0,"",INDEX(次果筐明细!$M$4:$M$603,$Z850-5200)),"")))))</f>
        <v/>
      </c>
      <c r="M850" s="37" t="str">
        <f>IF($Z850="","",IF($Z850&lt;=2000,IF(INDEX(包装物料出入库明细!$R$4:$R$2003,$Z850-0)=0,"",INDEX(包装物料出入库明细!$R$4:$R$2003,$Z850-0)),IF($Z850&lt;=4000,IF(INDEX(周转筐出入库明细!$W$4:$W$2004,$Z850-2000)=0,"",INDEX(周转筐出入库明细!$W$4:$W$2004,$Z850-2000)),IF($Z850&lt;=5200,IF(INDEX(客户自备加工筐明细!$L$4:$L$1203,$Z850-4000)=0,"",INDEX(客户自备加工筐明细!$L$4:$L$1203,$Z850-4000)),IF($Z850&lt;=5800,IF(INDEX(次果筐明细!$P$4:$P$603,$Z850-5200)=0,"",INDEX(次果筐明细!$P$4:$P$603,$Z850-5200)),"")))))</f>
        <v/>
      </c>
      <c r="N850" s="16" t="str">
        <f>IF($Z850="","",IF($Z850&lt;=2000,"",IF($Z850&lt;=4000,IF(INDEX(周转筐出入库明细!$D$4:$D$2004,$Z850-2000)=0,"",INDEX(周转筐出入库明细!$D$4:$D$2004,$Z850-2000)),IF($Z850&lt;=5200,IF(INDEX(客户自备加工筐明细!$C$4:$C$1203,$Z850-4000)=0,"",INDEX(客户自备加工筐明细!$C$4:$C$1203,$Z850-4000)),IF($Z850&lt;=5800,IF(INDEX(次果筐明细!$D$4:$D$603,$Z850-5200)=0,"",INDEX(次果筐明细!$D$4:$D$603,$Z850-5200)),"")))))</f>
        <v/>
      </c>
      <c r="O850" s="40" t="str">
        <f>IF($Z850="","",IF($Z850&lt;=2000,"",IF($Z850&lt;=4000,IF(N(INDEX(周转筐出入库明细!$J$4:$J$2004,$Z850-2000))+N(INDEX(周转筐出入库明细!$K$4:$K$2004,$Z850-2000))=0,"",N(INDEX(周转筐出入库明细!$J$4:$J$2004,$Z850-2000))+N(INDEX(周转筐出入库明细!$K$4:$K$2004,$Z850-2000))),IF($Z850&lt;=5200,IF(N(INDEX(客户自备加工筐明细!$G$4:$G$1203,$Z850-4000))=0,"",N(INDEX(客户自备加工筐明细!$G$4:$G$1203,$Z850-4000))),IF($Z850&lt;=5800,IF(ISNUMBER(SEARCH("退",INDEX(次果筐明细!$F$4:$F$603,$Z850-5200)&amp;"")),"",IF(N(INDEX(次果筐明细!$G$4:$G$603,$Z850-5200))=0,"",N(INDEX(次果筐明细!$G$4:$G$603,$Z850-5200)))),"")))))</f>
        <v/>
      </c>
      <c r="P850" s="40" t="str">
        <f>IF($Z850="","",IF($Z850&lt;=2000,"",IF($Z850&lt;=4000,IF(N(INDEX(周转筐出入库明细!$I$4:$I$2004,$Z850-2000))=0,"",N(INDEX(周转筐出入库明细!$I$4:$I$2004,$Z850-2000))),IF($Z850&lt;=5200,"",IF($Z850&lt;=5800,IF(ISNUMBER(SEARCH("退",INDEX(次果筐明细!$F$4:$F$603,$Z850-5200)&amp;"")),IF(N(INDEX(次果筐明细!$G$4:$G$603,$Z850-5200))=0,"",N(INDEX(次果筐明细!$G$4:$G$603,$Z850-5200))),""),"")))))</f>
        <v/>
      </c>
      <c r="Q850" s="40" t="str">
        <f>IF($Z850="","",IF($Z850&lt;=2000,"",IF($Z850&lt;=4000,IF(N(INDEX(周转筐出入库明细!$H$4:$H$2004,$Z850-2000))=0,"",N(INDEX(周转筐出入库明细!$H$4:$H$2004,$Z850-2000))),IF($Z850&lt;=5200,IF(N(INDEX(客户自备加工筐明细!$F$4:$F$1203,$Z850-4000))=0,"",N(INDEX(客户自备加工筐明细!$F$4:$F$1203,$Z850-4000))),IF($Z850&lt;=5800,"","")))))</f>
        <v/>
      </c>
      <c r="R850" s="16" t="str">
        <f>IF($Z850="","",IF($Z850&lt;=2000,IF(INDEX(包装物料出入库明细!$O$4:$O$2003,$Z850-0)=0,"",INDEX(包装物料出入库明细!$O$4:$O$2003,$Z850-0)),IF($Z850&lt;=4000,IF(INDEX(周转筐出入库明细!$M$4:$M$2004,$Z850-2000)=0,"",INDEX(周转筐出入库明细!$M$4:$M$2004,$Z850-2000)),IF($Z850&lt;=5200,IF(INDEX(客户自备加工筐明细!$H$4:$H$1203,$Z850-4000)=0,"",INDEX(客户自备加工筐明细!$H$4:$H$1203,$Z850-4000)),IF($Z850&lt;=5800,IF(INDEX(次果筐明细!$H$4:$H$603,$Z850-5200)=0,"",INDEX(次果筐明细!$H$4:$H$603,$Z850-5200)),"")))))</f>
        <v/>
      </c>
      <c r="S850" s="22" t="str">
        <f t="shared" si="41"/>
        <v/>
      </c>
      <c r="Z850" s="10" t="str">
        <f>IFERROR(MATCH(ROW()-3,_自动清单!$CQ$4:$CQ$5803,0),"")</f>
        <v/>
      </c>
    </row>
    <row r="851" spans="1:26">
      <c r="A851" s="24" t="str">
        <f t="shared" si="39"/>
        <v/>
      </c>
      <c r="B851" s="38" t="str">
        <f>IF($Z851="","",IF($Z851&lt;=2000,IF(INDEX(包装物料出入库明细!$B$4:$B$2003,$Z851-0)=0,"",INDEX(包装物料出入库明细!$B$4:$B$2003,$Z851-0)),IF($Z851&lt;=4000,IF(INDEX(周转筐出入库明细!$B$4:$B$2004,$Z851-2000)=0,"",INDEX(周转筐出入库明细!$B$4:$B$2004,$Z851-2000)),IF($Z851&lt;=5200,IF(INDEX(客户自备加工筐明细!$B$4:$B$1203,$Z851-4000)=0,"",INDEX(客户自备加工筐明细!$B$4:$B$1203,$Z851-4000)),IF($Z851&lt;=5800,IF(INDEX(次果筐明细!$B$4:$B$603,$Z851-5200)=0,"",INDEX(次果筐明细!$B$4:$B$603,$Z851-5200)),"")))))</f>
        <v/>
      </c>
      <c r="C851" s="37" t="str">
        <f>IF($Z851="","",IF($Z851&lt;=2000,IF(INDEX(包装物料出入库明细!$D$4:$D$2003,$Z851-0)=0,"",INDEX(包装物料出入库明细!$D$4:$D$2003,$Z851-0)),IF($Z851&lt;=4000,IF(INDEX(周转筐出入库明细!$C$4:$C$2004,$Z851-2000)=0,"",INDEX(周转筐出入库明细!$C$4:$C$2004,$Z851-2000)),IF($Z851&lt;=5200,IF(INDEX(客户自备加工筐明细!$E$4:$E$1203,$Z851-4000)=0,"",INDEX(客户自备加工筐明细!$E$4:$E$1203,$Z851-4000)),IF($Z851&lt;=5800,IF(INDEX(次果筐明细!$C$4:$C$603,$Z851-5200)=0,"",INDEX(次果筐明细!$C$4:$C$603,$Z851-5200)),"")))))</f>
        <v/>
      </c>
      <c r="D851" s="37" t="str">
        <f>IF($Z851="","",IF($Z851&lt;=2000,"包装物料－"&amp;INDEX(包装物料出入库明细!$H$4:$H$2003,$Z851-0),IF($Z851&lt;=4000,"周转筐－"&amp;INDEX(周转筐出入库明细!$F$4:$F$2004,$Z851-2000),IF($Z851&lt;=5200,"客户自备筐－"&amp;INDEX(客户自备加工筐明细!$J$4:$J$1203,$Z851-4000),IF($Z851&lt;=5800,"次果筐/托盘－"&amp;INDEX(次果筐明细!$F$4:$F$603,$Z851-5200),"")))))</f>
        <v/>
      </c>
      <c r="E851" s="24" t="str">
        <f>IF($Z851="","",IF($Z851&lt;=2000,IF(INDEX(包装物料出入库明细!$C$4:$C$2003,$Z851-0)=0,"",INDEX(包装物料出入库明细!$C$4:$C$2003,$Z851-0)),IF($Z851&lt;=4000,IF(INDEX(周转筐出入库明细!$E$4:$E$2004,$Z851-2000)=0,"",INDEX(周转筐出入库明细!$E$4:$E$2004,$Z851-2000)),IF($Z851&lt;=5200,IF(INDEX(客户自备加工筐明细!$D$4:$D$1203,$Z851-4000)=0,"",INDEX(客户自备加工筐明细!$D$4:$D$1203,$Z851-4000)),IF($Z851&lt;=5800,IF(INDEX(次果筐明细!$E$4:$E$603,$Z851-5200)=0,"",INDEX(次果筐明细!$E$4:$E$603,$Z851-5200)),"")))))</f>
        <v/>
      </c>
      <c r="F851" s="24" t="str">
        <f>IF($Z851="","",IF($Z851&lt;=2000,IF(INDEX(包装物料出入库明细!$E$4:$E$2003,$Z851-0)=0,"",INDEX(包装物料出入库明细!$E$4:$E$2003,$Z851-0)),IF($Z851&lt;=4000,IF(INDEX(周转筐出入库明细!$D$4:$D$2004,$Z851-2000)=0,"",INDEX(周转筐出入库明细!$D$4:$D$2004,$Z851-2000)),IF($Z851&lt;=5200,IF(INDEX(客户自备加工筐明细!$C$4:$C$1203,$Z851-4000)=0,"",INDEX(客户自备加工筐明细!$C$4:$C$1203,$Z851-4000)),IF($Z851&lt;=5800,IF(INDEX(次果筐明细!$D$4:$D$603,$Z851-5200)=0,"",INDEX(次果筐明细!$D$4:$D$603,$Z851-5200)),"")))))</f>
        <v/>
      </c>
      <c r="G851" s="24" t="str">
        <f>IF($Z851="","",IF($Z851&lt;=2000,IF(INDEX(包装物料出入库明细!$F$4:$F$2003,$Z851-0)=0,"",INDEX(包装物料出入库明细!$F$4:$F$2003,$Z851-0)),IF($Z851&lt;=4000,"",IF($Z851&lt;=5200,"",IF($Z851&lt;=5800,"","")))))</f>
        <v/>
      </c>
      <c r="H851" s="39" t="str">
        <f>IF($Z851="","",IF($Z851&lt;=2000,IF(INDEX(包装物料出入库明细!$L$4:$L$2003,$Z851-0)=0,"",INDEX(包装物料出入库明细!$L$4:$L$2003,$Z851-0)),IF($Z851&lt;=4000,N(INDEX(周转筐出入库明细!$H$4:$H$2004,$Z851-2000))+N(INDEX(周转筐出入库明细!$I$4:$I$2004,$Z851-2000))+N(INDEX(周转筐出入库明细!$J$4:$J$2004,$Z851-2000))+N(INDEX(周转筐出入库明细!$K$4:$K$2004,$Z851-2000)),IF($Z851&lt;=5200,N(INDEX(客户自备加工筐明细!$F$4:$F$1203,$Z851-4000))+N(INDEX(客户自备加工筐明细!$G$4:$G$1203,$Z851-4000)),IF($Z851&lt;=5800,IF(INDEX(次果筐明细!$G$4:$G$603,$Z851-5200)=0,"",INDEX(次果筐明细!$G$4:$G$603,$Z851-5200)),"")))))</f>
        <v/>
      </c>
      <c r="I851" s="24" t="str">
        <f>IF($Z851="","",IF($Z851&lt;=2000,IF(INDEX(包装物料出入库明细!$G$4:$G$2003,$Z851-0)=0,"",INDEX(包装物料出入库明细!$G$4:$G$2003,$Z851-0)),IF($Z851&lt;=4000,"个",IF($Z851&lt;=5200,"个",IF($Z851&lt;=5800,"个","")))))</f>
        <v/>
      </c>
      <c r="J851" s="30" t="str">
        <f t="shared" si="40"/>
        <v/>
      </c>
      <c r="K851" s="30" t="str">
        <f>IF($Z851="","",IF($Z851&lt;=2000,IF(INDEX(包装物料出入库明细!$N$4:$N$2003,$Z851-0)=0,"",INDEX(包装物料出入库明细!$N$4:$N$2003,$Z851-0)),IF($Z851&lt;=4000,IF(INDEX(周转筐出入库明细!$P$4:$P$2004,$Z851-2000)=0,"",INDEX(周转筐出入库明细!$P$4:$P$2004,$Z851-2000)),IF($Z851&lt;=5200,"",IF($Z851&lt;=5800,N(INDEX(次果筐明细!$L$4:$L$603,$Z851-5200))+N(INDEX(次果筐明细!$J$4:$J$603,$Z851-5200)),"")))))</f>
        <v/>
      </c>
      <c r="L851" s="24" t="str">
        <f>IF($Z851="","",IF($Z851&lt;=2000,IF(INDEX(包装物料出入库明细!$P$4:$P$2003,$Z851-0)=0,"",INDEX(包装物料出入库明细!$P$4:$P$2003,$Z851-0)),IF($Z851&lt;=4000,IF(INDEX(周转筐出入库明细!$Q$4:$Q$2004,$Z851-2000)=0,"",INDEX(周转筐出入库明细!$Q$4:$Q$2004,$Z851-2000)),IF($Z851&lt;=5200,"",IF($Z851&lt;=5800,IF(INDEX(次果筐明细!$M$4:$M$603,$Z851-5200)=0,"",INDEX(次果筐明细!$M$4:$M$603,$Z851-5200)),"")))))</f>
        <v/>
      </c>
      <c r="M851" s="37" t="str">
        <f>IF($Z851="","",IF($Z851&lt;=2000,IF(INDEX(包装物料出入库明细!$R$4:$R$2003,$Z851-0)=0,"",INDEX(包装物料出入库明细!$R$4:$R$2003,$Z851-0)),IF($Z851&lt;=4000,IF(INDEX(周转筐出入库明细!$W$4:$W$2004,$Z851-2000)=0,"",INDEX(周转筐出入库明细!$W$4:$W$2004,$Z851-2000)),IF($Z851&lt;=5200,IF(INDEX(客户自备加工筐明细!$L$4:$L$1203,$Z851-4000)=0,"",INDEX(客户自备加工筐明细!$L$4:$L$1203,$Z851-4000)),IF($Z851&lt;=5800,IF(INDEX(次果筐明细!$P$4:$P$603,$Z851-5200)=0,"",INDEX(次果筐明细!$P$4:$P$603,$Z851-5200)),"")))))</f>
        <v/>
      </c>
      <c r="N851" s="16" t="str">
        <f>IF($Z851="","",IF($Z851&lt;=2000,"",IF($Z851&lt;=4000,IF(INDEX(周转筐出入库明细!$D$4:$D$2004,$Z851-2000)=0,"",INDEX(周转筐出入库明细!$D$4:$D$2004,$Z851-2000)),IF($Z851&lt;=5200,IF(INDEX(客户自备加工筐明细!$C$4:$C$1203,$Z851-4000)=0,"",INDEX(客户自备加工筐明细!$C$4:$C$1203,$Z851-4000)),IF($Z851&lt;=5800,IF(INDEX(次果筐明细!$D$4:$D$603,$Z851-5200)=0,"",INDEX(次果筐明细!$D$4:$D$603,$Z851-5200)),"")))))</f>
        <v/>
      </c>
      <c r="O851" s="40" t="str">
        <f>IF($Z851="","",IF($Z851&lt;=2000,"",IF($Z851&lt;=4000,IF(N(INDEX(周转筐出入库明细!$J$4:$J$2004,$Z851-2000))+N(INDEX(周转筐出入库明细!$K$4:$K$2004,$Z851-2000))=0,"",N(INDEX(周转筐出入库明细!$J$4:$J$2004,$Z851-2000))+N(INDEX(周转筐出入库明细!$K$4:$K$2004,$Z851-2000))),IF($Z851&lt;=5200,IF(N(INDEX(客户自备加工筐明细!$G$4:$G$1203,$Z851-4000))=0,"",N(INDEX(客户自备加工筐明细!$G$4:$G$1203,$Z851-4000))),IF($Z851&lt;=5800,IF(ISNUMBER(SEARCH("退",INDEX(次果筐明细!$F$4:$F$603,$Z851-5200)&amp;"")),"",IF(N(INDEX(次果筐明细!$G$4:$G$603,$Z851-5200))=0,"",N(INDEX(次果筐明细!$G$4:$G$603,$Z851-5200)))),"")))))</f>
        <v/>
      </c>
      <c r="P851" s="40" t="str">
        <f>IF($Z851="","",IF($Z851&lt;=2000,"",IF($Z851&lt;=4000,IF(N(INDEX(周转筐出入库明细!$I$4:$I$2004,$Z851-2000))=0,"",N(INDEX(周转筐出入库明细!$I$4:$I$2004,$Z851-2000))),IF($Z851&lt;=5200,"",IF($Z851&lt;=5800,IF(ISNUMBER(SEARCH("退",INDEX(次果筐明细!$F$4:$F$603,$Z851-5200)&amp;"")),IF(N(INDEX(次果筐明细!$G$4:$G$603,$Z851-5200))=0,"",N(INDEX(次果筐明细!$G$4:$G$603,$Z851-5200))),""),"")))))</f>
        <v/>
      </c>
      <c r="Q851" s="40" t="str">
        <f>IF($Z851="","",IF($Z851&lt;=2000,"",IF($Z851&lt;=4000,IF(N(INDEX(周转筐出入库明细!$H$4:$H$2004,$Z851-2000))=0,"",N(INDEX(周转筐出入库明细!$H$4:$H$2004,$Z851-2000))),IF($Z851&lt;=5200,IF(N(INDEX(客户自备加工筐明细!$F$4:$F$1203,$Z851-4000))=0,"",N(INDEX(客户自备加工筐明细!$F$4:$F$1203,$Z851-4000))),IF($Z851&lt;=5800,"","")))))</f>
        <v/>
      </c>
      <c r="R851" s="16" t="str">
        <f>IF($Z851="","",IF($Z851&lt;=2000,IF(INDEX(包装物料出入库明细!$O$4:$O$2003,$Z851-0)=0,"",INDEX(包装物料出入库明细!$O$4:$O$2003,$Z851-0)),IF($Z851&lt;=4000,IF(INDEX(周转筐出入库明细!$M$4:$M$2004,$Z851-2000)=0,"",INDEX(周转筐出入库明细!$M$4:$M$2004,$Z851-2000)),IF($Z851&lt;=5200,IF(INDEX(客户自备加工筐明细!$H$4:$H$1203,$Z851-4000)=0,"",INDEX(客户自备加工筐明细!$H$4:$H$1203,$Z851-4000)),IF($Z851&lt;=5800,IF(INDEX(次果筐明细!$H$4:$H$603,$Z851-5200)=0,"",INDEX(次果筐明细!$H$4:$H$603,$Z851-5200)),"")))))</f>
        <v/>
      </c>
      <c r="S851" s="22" t="str">
        <f t="shared" si="41"/>
        <v/>
      </c>
      <c r="Z851" s="10" t="str">
        <f>IFERROR(MATCH(ROW()-3,_自动清单!$CQ$4:$CQ$5803,0),"")</f>
        <v/>
      </c>
    </row>
    <row r="852" spans="1:26">
      <c r="A852" s="24" t="str">
        <f t="shared" si="39"/>
        <v/>
      </c>
      <c r="B852" s="38" t="str">
        <f>IF($Z852="","",IF($Z852&lt;=2000,IF(INDEX(包装物料出入库明细!$B$4:$B$2003,$Z852-0)=0,"",INDEX(包装物料出入库明细!$B$4:$B$2003,$Z852-0)),IF($Z852&lt;=4000,IF(INDEX(周转筐出入库明细!$B$4:$B$2004,$Z852-2000)=0,"",INDEX(周转筐出入库明细!$B$4:$B$2004,$Z852-2000)),IF($Z852&lt;=5200,IF(INDEX(客户自备加工筐明细!$B$4:$B$1203,$Z852-4000)=0,"",INDEX(客户自备加工筐明细!$B$4:$B$1203,$Z852-4000)),IF($Z852&lt;=5800,IF(INDEX(次果筐明细!$B$4:$B$603,$Z852-5200)=0,"",INDEX(次果筐明细!$B$4:$B$603,$Z852-5200)),"")))))</f>
        <v/>
      </c>
      <c r="C852" s="37" t="str">
        <f>IF($Z852="","",IF($Z852&lt;=2000,IF(INDEX(包装物料出入库明细!$D$4:$D$2003,$Z852-0)=0,"",INDEX(包装物料出入库明细!$D$4:$D$2003,$Z852-0)),IF($Z852&lt;=4000,IF(INDEX(周转筐出入库明细!$C$4:$C$2004,$Z852-2000)=0,"",INDEX(周转筐出入库明细!$C$4:$C$2004,$Z852-2000)),IF($Z852&lt;=5200,IF(INDEX(客户自备加工筐明细!$E$4:$E$1203,$Z852-4000)=0,"",INDEX(客户自备加工筐明细!$E$4:$E$1203,$Z852-4000)),IF($Z852&lt;=5800,IF(INDEX(次果筐明细!$C$4:$C$603,$Z852-5200)=0,"",INDEX(次果筐明细!$C$4:$C$603,$Z852-5200)),"")))))</f>
        <v/>
      </c>
      <c r="D852" s="37" t="str">
        <f>IF($Z852="","",IF($Z852&lt;=2000,"包装物料－"&amp;INDEX(包装物料出入库明细!$H$4:$H$2003,$Z852-0),IF($Z852&lt;=4000,"周转筐－"&amp;INDEX(周转筐出入库明细!$F$4:$F$2004,$Z852-2000),IF($Z852&lt;=5200,"客户自备筐－"&amp;INDEX(客户自备加工筐明细!$J$4:$J$1203,$Z852-4000),IF($Z852&lt;=5800,"次果筐/托盘－"&amp;INDEX(次果筐明细!$F$4:$F$603,$Z852-5200),"")))))</f>
        <v/>
      </c>
      <c r="E852" s="24" t="str">
        <f>IF($Z852="","",IF($Z852&lt;=2000,IF(INDEX(包装物料出入库明细!$C$4:$C$2003,$Z852-0)=0,"",INDEX(包装物料出入库明细!$C$4:$C$2003,$Z852-0)),IF($Z852&lt;=4000,IF(INDEX(周转筐出入库明细!$E$4:$E$2004,$Z852-2000)=0,"",INDEX(周转筐出入库明细!$E$4:$E$2004,$Z852-2000)),IF($Z852&lt;=5200,IF(INDEX(客户自备加工筐明细!$D$4:$D$1203,$Z852-4000)=0,"",INDEX(客户自备加工筐明细!$D$4:$D$1203,$Z852-4000)),IF($Z852&lt;=5800,IF(INDEX(次果筐明细!$E$4:$E$603,$Z852-5200)=0,"",INDEX(次果筐明细!$E$4:$E$603,$Z852-5200)),"")))))</f>
        <v/>
      </c>
      <c r="F852" s="24" t="str">
        <f>IF($Z852="","",IF($Z852&lt;=2000,IF(INDEX(包装物料出入库明细!$E$4:$E$2003,$Z852-0)=0,"",INDEX(包装物料出入库明细!$E$4:$E$2003,$Z852-0)),IF($Z852&lt;=4000,IF(INDEX(周转筐出入库明细!$D$4:$D$2004,$Z852-2000)=0,"",INDEX(周转筐出入库明细!$D$4:$D$2004,$Z852-2000)),IF($Z852&lt;=5200,IF(INDEX(客户自备加工筐明细!$C$4:$C$1203,$Z852-4000)=0,"",INDEX(客户自备加工筐明细!$C$4:$C$1203,$Z852-4000)),IF($Z852&lt;=5800,IF(INDEX(次果筐明细!$D$4:$D$603,$Z852-5200)=0,"",INDEX(次果筐明细!$D$4:$D$603,$Z852-5200)),"")))))</f>
        <v/>
      </c>
      <c r="G852" s="24" t="str">
        <f>IF($Z852="","",IF($Z852&lt;=2000,IF(INDEX(包装物料出入库明细!$F$4:$F$2003,$Z852-0)=0,"",INDEX(包装物料出入库明细!$F$4:$F$2003,$Z852-0)),IF($Z852&lt;=4000,"",IF($Z852&lt;=5200,"",IF($Z852&lt;=5800,"","")))))</f>
        <v/>
      </c>
      <c r="H852" s="39" t="str">
        <f>IF($Z852="","",IF($Z852&lt;=2000,IF(INDEX(包装物料出入库明细!$L$4:$L$2003,$Z852-0)=0,"",INDEX(包装物料出入库明细!$L$4:$L$2003,$Z852-0)),IF($Z852&lt;=4000,N(INDEX(周转筐出入库明细!$H$4:$H$2004,$Z852-2000))+N(INDEX(周转筐出入库明细!$I$4:$I$2004,$Z852-2000))+N(INDEX(周转筐出入库明细!$J$4:$J$2004,$Z852-2000))+N(INDEX(周转筐出入库明细!$K$4:$K$2004,$Z852-2000)),IF($Z852&lt;=5200,N(INDEX(客户自备加工筐明细!$F$4:$F$1203,$Z852-4000))+N(INDEX(客户自备加工筐明细!$G$4:$G$1203,$Z852-4000)),IF($Z852&lt;=5800,IF(INDEX(次果筐明细!$G$4:$G$603,$Z852-5200)=0,"",INDEX(次果筐明细!$G$4:$G$603,$Z852-5200)),"")))))</f>
        <v/>
      </c>
      <c r="I852" s="24" t="str">
        <f>IF($Z852="","",IF($Z852&lt;=2000,IF(INDEX(包装物料出入库明细!$G$4:$G$2003,$Z852-0)=0,"",INDEX(包装物料出入库明细!$G$4:$G$2003,$Z852-0)),IF($Z852&lt;=4000,"个",IF($Z852&lt;=5200,"个",IF($Z852&lt;=5800,"个","")))))</f>
        <v/>
      </c>
      <c r="J852" s="30" t="str">
        <f t="shared" si="40"/>
        <v/>
      </c>
      <c r="K852" s="30" t="str">
        <f>IF($Z852="","",IF($Z852&lt;=2000,IF(INDEX(包装物料出入库明细!$N$4:$N$2003,$Z852-0)=0,"",INDEX(包装物料出入库明细!$N$4:$N$2003,$Z852-0)),IF($Z852&lt;=4000,IF(INDEX(周转筐出入库明细!$P$4:$P$2004,$Z852-2000)=0,"",INDEX(周转筐出入库明细!$P$4:$P$2004,$Z852-2000)),IF($Z852&lt;=5200,"",IF($Z852&lt;=5800,N(INDEX(次果筐明细!$L$4:$L$603,$Z852-5200))+N(INDEX(次果筐明细!$J$4:$J$603,$Z852-5200)),"")))))</f>
        <v/>
      </c>
      <c r="L852" s="24" t="str">
        <f>IF($Z852="","",IF($Z852&lt;=2000,IF(INDEX(包装物料出入库明细!$P$4:$P$2003,$Z852-0)=0,"",INDEX(包装物料出入库明细!$P$4:$P$2003,$Z852-0)),IF($Z852&lt;=4000,IF(INDEX(周转筐出入库明细!$Q$4:$Q$2004,$Z852-2000)=0,"",INDEX(周转筐出入库明细!$Q$4:$Q$2004,$Z852-2000)),IF($Z852&lt;=5200,"",IF($Z852&lt;=5800,IF(INDEX(次果筐明细!$M$4:$M$603,$Z852-5200)=0,"",INDEX(次果筐明细!$M$4:$M$603,$Z852-5200)),"")))))</f>
        <v/>
      </c>
      <c r="M852" s="37" t="str">
        <f>IF($Z852="","",IF($Z852&lt;=2000,IF(INDEX(包装物料出入库明细!$R$4:$R$2003,$Z852-0)=0,"",INDEX(包装物料出入库明细!$R$4:$R$2003,$Z852-0)),IF($Z852&lt;=4000,IF(INDEX(周转筐出入库明细!$W$4:$W$2004,$Z852-2000)=0,"",INDEX(周转筐出入库明细!$W$4:$W$2004,$Z852-2000)),IF($Z852&lt;=5200,IF(INDEX(客户自备加工筐明细!$L$4:$L$1203,$Z852-4000)=0,"",INDEX(客户自备加工筐明细!$L$4:$L$1203,$Z852-4000)),IF($Z852&lt;=5800,IF(INDEX(次果筐明细!$P$4:$P$603,$Z852-5200)=0,"",INDEX(次果筐明细!$P$4:$P$603,$Z852-5200)),"")))))</f>
        <v/>
      </c>
      <c r="N852" s="16" t="str">
        <f>IF($Z852="","",IF($Z852&lt;=2000,"",IF($Z852&lt;=4000,IF(INDEX(周转筐出入库明细!$D$4:$D$2004,$Z852-2000)=0,"",INDEX(周转筐出入库明细!$D$4:$D$2004,$Z852-2000)),IF($Z852&lt;=5200,IF(INDEX(客户自备加工筐明细!$C$4:$C$1203,$Z852-4000)=0,"",INDEX(客户自备加工筐明细!$C$4:$C$1203,$Z852-4000)),IF($Z852&lt;=5800,IF(INDEX(次果筐明细!$D$4:$D$603,$Z852-5200)=0,"",INDEX(次果筐明细!$D$4:$D$603,$Z852-5200)),"")))))</f>
        <v/>
      </c>
      <c r="O852" s="40" t="str">
        <f>IF($Z852="","",IF($Z852&lt;=2000,"",IF($Z852&lt;=4000,IF(N(INDEX(周转筐出入库明细!$J$4:$J$2004,$Z852-2000))+N(INDEX(周转筐出入库明细!$K$4:$K$2004,$Z852-2000))=0,"",N(INDEX(周转筐出入库明细!$J$4:$J$2004,$Z852-2000))+N(INDEX(周转筐出入库明细!$K$4:$K$2004,$Z852-2000))),IF($Z852&lt;=5200,IF(N(INDEX(客户自备加工筐明细!$G$4:$G$1203,$Z852-4000))=0,"",N(INDEX(客户自备加工筐明细!$G$4:$G$1203,$Z852-4000))),IF($Z852&lt;=5800,IF(ISNUMBER(SEARCH("退",INDEX(次果筐明细!$F$4:$F$603,$Z852-5200)&amp;"")),"",IF(N(INDEX(次果筐明细!$G$4:$G$603,$Z852-5200))=0,"",N(INDEX(次果筐明细!$G$4:$G$603,$Z852-5200)))),"")))))</f>
        <v/>
      </c>
      <c r="P852" s="40" t="str">
        <f>IF($Z852="","",IF($Z852&lt;=2000,"",IF($Z852&lt;=4000,IF(N(INDEX(周转筐出入库明细!$I$4:$I$2004,$Z852-2000))=0,"",N(INDEX(周转筐出入库明细!$I$4:$I$2004,$Z852-2000))),IF($Z852&lt;=5200,"",IF($Z852&lt;=5800,IF(ISNUMBER(SEARCH("退",INDEX(次果筐明细!$F$4:$F$603,$Z852-5200)&amp;"")),IF(N(INDEX(次果筐明细!$G$4:$G$603,$Z852-5200))=0,"",N(INDEX(次果筐明细!$G$4:$G$603,$Z852-5200))),""),"")))))</f>
        <v/>
      </c>
      <c r="Q852" s="40" t="str">
        <f>IF($Z852="","",IF($Z852&lt;=2000,"",IF($Z852&lt;=4000,IF(N(INDEX(周转筐出入库明细!$H$4:$H$2004,$Z852-2000))=0,"",N(INDEX(周转筐出入库明细!$H$4:$H$2004,$Z852-2000))),IF($Z852&lt;=5200,IF(N(INDEX(客户自备加工筐明细!$F$4:$F$1203,$Z852-4000))=0,"",N(INDEX(客户自备加工筐明细!$F$4:$F$1203,$Z852-4000))),IF($Z852&lt;=5800,"","")))))</f>
        <v/>
      </c>
      <c r="R852" s="16" t="str">
        <f>IF($Z852="","",IF($Z852&lt;=2000,IF(INDEX(包装物料出入库明细!$O$4:$O$2003,$Z852-0)=0,"",INDEX(包装物料出入库明细!$O$4:$O$2003,$Z852-0)),IF($Z852&lt;=4000,IF(INDEX(周转筐出入库明细!$M$4:$M$2004,$Z852-2000)=0,"",INDEX(周转筐出入库明细!$M$4:$M$2004,$Z852-2000)),IF($Z852&lt;=5200,IF(INDEX(客户自备加工筐明细!$H$4:$H$1203,$Z852-4000)=0,"",INDEX(客户自备加工筐明细!$H$4:$H$1203,$Z852-4000)),IF($Z852&lt;=5800,IF(INDEX(次果筐明细!$H$4:$H$603,$Z852-5200)=0,"",INDEX(次果筐明细!$H$4:$H$603,$Z852-5200)),"")))))</f>
        <v/>
      </c>
      <c r="S852" s="22" t="str">
        <f t="shared" si="41"/>
        <v/>
      </c>
      <c r="Z852" s="10" t="str">
        <f>IFERROR(MATCH(ROW()-3,_自动清单!$CQ$4:$CQ$5803,0),"")</f>
        <v/>
      </c>
    </row>
    <row r="853" spans="1:26">
      <c r="A853" s="24" t="str">
        <f t="shared" si="39"/>
        <v/>
      </c>
      <c r="B853" s="38" t="str">
        <f>IF($Z853="","",IF($Z853&lt;=2000,IF(INDEX(包装物料出入库明细!$B$4:$B$2003,$Z853-0)=0,"",INDEX(包装物料出入库明细!$B$4:$B$2003,$Z853-0)),IF($Z853&lt;=4000,IF(INDEX(周转筐出入库明细!$B$4:$B$2004,$Z853-2000)=0,"",INDEX(周转筐出入库明细!$B$4:$B$2004,$Z853-2000)),IF($Z853&lt;=5200,IF(INDEX(客户自备加工筐明细!$B$4:$B$1203,$Z853-4000)=0,"",INDEX(客户自备加工筐明细!$B$4:$B$1203,$Z853-4000)),IF($Z853&lt;=5800,IF(INDEX(次果筐明细!$B$4:$B$603,$Z853-5200)=0,"",INDEX(次果筐明细!$B$4:$B$603,$Z853-5200)),"")))))</f>
        <v/>
      </c>
      <c r="C853" s="37" t="str">
        <f>IF($Z853="","",IF($Z853&lt;=2000,IF(INDEX(包装物料出入库明细!$D$4:$D$2003,$Z853-0)=0,"",INDEX(包装物料出入库明细!$D$4:$D$2003,$Z853-0)),IF($Z853&lt;=4000,IF(INDEX(周转筐出入库明细!$C$4:$C$2004,$Z853-2000)=0,"",INDEX(周转筐出入库明细!$C$4:$C$2004,$Z853-2000)),IF($Z853&lt;=5200,IF(INDEX(客户自备加工筐明细!$E$4:$E$1203,$Z853-4000)=0,"",INDEX(客户自备加工筐明细!$E$4:$E$1203,$Z853-4000)),IF($Z853&lt;=5800,IF(INDEX(次果筐明细!$C$4:$C$603,$Z853-5200)=0,"",INDEX(次果筐明细!$C$4:$C$603,$Z853-5200)),"")))))</f>
        <v/>
      </c>
      <c r="D853" s="37" t="str">
        <f>IF($Z853="","",IF($Z853&lt;=2000,"包装物料－"&amp;INDEX(包装物料出入库明细!$H$4:$H$2003,$Z853-0),IF($Z853&lt;=4000,"周转筐－"&amp;INDEX(周转筐出入库明细!$F$4:$F$2004,$Z853-2000),IF($Z853&lt;=5200,"客户自备筐－"&amp;INDEX(客户自备加工筐明细!$J$4:$J$1203,$Z853-4000),IF($Z853&lt;=5800,"次果筐/托盘－"&amp;INDEX(次果筐明细!$F$4:$F$603,$Z853-5200),"")))))</f>
        <v/>
      </c>
      <c r="E853" s="24" t="str">
        <f>IF($Z853="","",IF($Z853&lt;=2000,IF(INDEX(包装物料出入库明细!$C$4:$C$2003,$Z853-0)=0,"",INDEX(包装物料出入库明细!$C$4:$C$2003,$Z853-0)),IF($Z853&lt;=4000,IF(INDEX(周转筐出入库明细!$E$4:$E$2004,$Z853-2000)=0,"",INDEX(周转筐出入库明细!$E$4:$E$2004,$Z853-2000)),IF($Z853&lt;=5200,IF(INDEX(客户自备加工筐明细!$D$4:$D$1203,$Z853-4000)=0,"",INDEX(客户自备加工筐明细!$D$4:$D$1203,$Z853-4000)),IF($Z853&lt;=5800,IF(INDEX(次果筐明细!$E$4:$E$603,$Z853-5200)=0,"",INDEX(次果筐明细!$E$4:$E$603,$Z853-5200)),"")))))</f>
        <v/>
      </c>
      <c r="F853" s="24" t="str">
        <f>IF($Z853="","",IF($Z853&lt;=2000,IF(INDEX(包装物料出入库明细!$E$4:$E$2003,$Z853-0)=0,"",INDEX(包装物料出入库明细!$E$4:$E$2003,$Z853-0)),IF($Z853&lt;=4000,IF(INDEX(周转筐出入库明细!$D$4:$D$2004,$Z853-2000)=0,"",INDEX(周转筐出入库明细!$D$4:$D$2004,$Z853-2000)),IF($Z853&lt;=5200,IF(INDEX(客户自备加工筐明细!$C$4:$C$1203,$Z853-4000)=0,"",INDEX(客户自备加工筐明细!$C$4:$C$1203,$Z853-4000)),IF($Z853&lt;=5800,IF(INDEX(次果筐明细!$D$4:$D$603,$Z853-5200)=0,"",INDEX(次果筐明细!$D$4:$D$603,$Z853-5200)),"")))))</f>
        <v/>
      </c>
      <c r="G853" s="24" t="str">
        <f>IF($Z853="","",IF($Z853&lt;=2000,IF(INDEX(包装物料出入库明细!$F$4:$F$2003,$Z853-0)=0,"",INDEX(包装物料出入库明细!$F$4:$F$2003,$Z853-0)),IF($Z853&lt;=4000,"",IF($Z853&lt;=5200,"",IF($Z853&lt;=5800,"","")))))</f>
        <v/>
      </c>
      <c r="H853" s="39" t="str">
        <f>IF($Z853="","",IF($Z853&lt;=2000,IF(INDEX(包装物料出入库明细!$L$4:$L$2003,$Z853-0)=0,"",INDEX(包装物料出入库明细!$L$4:$L$2003,$Z853-0)),IF($Z853&lt;=4000,N(INDEX(周转筐出入库明细!$H$4:$H$2004,$Z853-2000))+N(INDEX(周转筐出入库明细!$I$4:$I$2004,$Z853-2000))+N(INDEX(周转筐出入库明细!$J$4:$J$2004,$Z853-2000))+N(INDEX(周转筐出入库明细!$K$4:$K$2004,$Z853-2000)),IF($Z853&lt;=5200,N(INDEX(客户自备加工筐明细!$F$4:$F$1203,$Z853-4000))+N(INDEX(客户自备加工筐明细!$G$4:$G$1203,$Z853-4000)),IF($Z853&lt;=5800,IF(INDEX(次果筐明细!$G$4:$G$603,$Z853-5200)=0,"",INDEX(次果筐明细!$G$4:$G$603,$Z853-5200)),"")))))</f>
        <v/>
      </c>
      <c r="I853" s="24" t="str">
        <f>IF($Z853="","",IF($Z853&lt;=2000,IF(INDEX(包装物料出入库明细!$G$4:$G$2003,$Z853-0)=0,"",INDEX(包装物料出入库明细!$G$4:$G$2003,$Z853-0)),IF($Z853&lt;=4000,"个",IF($Z853&lt;=5200,"个",IF($Z853&lt;=5800,"个","")))))</f>
        <v/>
      </c>
      <c r="J853" s="30" t="str">
        <f t="shared" si="40"/>
        <v/>
      </c>
      <c r="K853" s="30" t="str">
        <f>IF($Z853="","",IF($Z853&lt;=2000,IF(INDEX(包装物料出入库明细!$N$4:$N$2003,$Z853-0)=0,"",INDEX(包装物料出入库明细!$N$4:$N$2003,$Z853-0)),IF($Z853&lt;=4000,IF(INDEX(周转筐出入库明细!$P$4:$P$2004,$Z853-2000)=0,"",INDEX(周转筐出入库明细!$P$4:$P$2004,$Z853-2000)),IF($Z853&lt;=5200,"",IF($Z853&lt;=5800,N(INDEX(次果筐明细!$L$4:$L$603,$Z853-5200))+N(INDEX(次果筐明细!$J$4:$J$603,$Z853-5200)),"")))))</f>
        <v/>
      </c>
      <c r="L853" s="24" t="str">
        <f>IF($Z853="","",IF($Z853&lt;=2000,IF(INDEX(包装物料出入库明细!$P$4:$P$2003,$Z853-0)=0,"",INDEX(包装物料出入库明细!$P$4:$P$2003,$Z853-0)),IF($Z853&lt;=4000,IF(INDEX(周转筐出入库明细!$Q$4:$Q$2004,$Z853-2000)=0,"",INDEX(周转筐出入库明细!$Q$4:$Q$2004,$Z853-2000)),IF($Z853&lt;=5200,"",IF($Z853&lt;=5800,IF(INDEX(次果筐明细!$M$4:$M$603,$Z853-5200)=0,"",INDEX(次果筐明细!$M$4:$M$603,$Z853-5200)),"")))))</f>
        <v/>
      </c>
      <c r="M853" s="37" t="str">
        <f>IF($Z853="","",IF($Z853&lt;=2000,IF(INDEX(包装物料出入库明细!$R$4:$R$2003,$Z853-0)=0,"",INDEX(包装物料出入库明细!$R$4:$R$2003,$Z853-0)),IF($Z853&lt;=4000,IF(INDEX(周转筐出入库明细!$W$4:$W$2004,$Z853-2000)=0,"",INDEX(周转筐出入库明细!$W$4:$W$2004,$Z853-2000)),IF($Z853&lt;=5200,IF(INDEX(客户自备加工筐明细!$L$4:$L$1203,$Z853-4000)=0,"",INDEX(客户自备加工筐明细!$L$4:$L$1203,$Z853-4000)),IF($Z853&lt;=5800,IF(INDEX(次果筐明细!$P$4:$P$603,$Z853-5200)=0,"",INDEX(次果筐明细!$P$4:$P$603,$Z853-5200)),"")))))</f>
        <v/>
      </c>
      <c r="N853" s="16" t="str">
        <f>IF($Z853="","",IF($Z853&lt;=2000,"",IF($Z853&lt;=4000,IF(INDEX(周转筐出入库明细!$D$4:$D$2004,$Z853-2000)=0,"",INDEX(周转筐出入库明细!$D$4:$D$2004,$Z853-2000)),IF($Z853&lt;=5200,IF(INDEX(客户自备加工筐明细!$C$4:$C$1203,$Z853-4000)=0,"",INDEX(客户自备加工筐明细!$C$4:$C$1203,$Z853-4000)),IF($Z853&lt;=5800,IF(INDEX(次果筐明细!$D$4:$D$603,$Z853-5200)=0,"",INDEX(次果筐明细!$D$4:$D$603,$Z853-5200)),"")))))</f>
        <v/>
      </c>
      <c r="O853" s="40" t="str">
        <f>IF($Z853="","",IF($Z853&lt;=2000,"",IF($Z853&lt;=4000,IF(N(INDEX(周转筐出入库明细!$J$4:$J$2004,$Z853-2000))+N(INDEX(周转筐出入库明细!$K$4:$K$2004,$Z853-2000))=0,"",N(INDEX(周转筐出入库明细!$J$4:$J$2004,$Z853-2000))+N(INDEX(周转筐出入库明细!$K$4:$K$2004,$Z853-2000))),IF($Z853&lt;=5200,IF(N(INDEX(客户自备加工筐明细!$G$4:$G$1203,$Z853-4000))=0,"",N(INDEX(客户自备加工筐明细!$G$4:$G$1203,$Z853-4000))),IF($Z853&lt;=5800,IF(ISNUMBER(SEARCH("退",INDEX(次果筐明细!$F$4:$F$603,$Z853-5200)&amp;"")),"",IF(N(INDEX(次果筐明细!$G$4:$G$603,$Z853-5200))=0,"",N(INDEX(次果筐明细!$G$4:$G$603,$Z853-5200)))),"")))))</f>
        <v/>
      </c>
      <c r="P853" s="40" t="str">
        <f>IF($Z853="","",IF($Z853&lt;=2000,"",IF($Z853&lt;=4000,IF(N(INDEX(周转筐出入库明细!$I$4:$I$2004,$Z853-2000))=0,"",N(INDEX(周转筐出入库明细!$I$4:$I$2004,$Z853-2000))),IF($Z853&lt;=5200,"",IF($Z853&lt;=5800,IF(ISNUMBER(SEARCH("退",INDEX(次果筐明细!$F$4:$F$603,$Z853-5200)&amp;"")),IF(N(INDEX(次果筐明细!$G$4:$G$603,$Z853-5200))=0,"",N(INDEX(次果筐明细!$G$4:$G$603,$Z853-5200))),""),"")))))</f>
        <v/>
      </c>
      <c r="Q853" s="40" t="str">
        <f>IF($Z853="","",IF($Z853&lt;=2000,"",IF($Z853&lt;=4000,IF(N(INDEX(周转筐出入库明细!$H$4:$H$2004,$Z853-2000))=0,"",N(INDEX(周转筐出入库明细!$H$4:$H$2004,$Z853-2000))),IF($Z853&lt;=5200,IF(N(INDEX(客户自备加工筐明细!$F$4:$F$1203,$Z853-4000))=0,"",N(INDEX(客户自备加工筐明细!$F$4:$F$1203,$Z853-4000))),IF($Z853&lt;=5800,"","")))))</f>
        <v/>
      </c>
      <c r="R853" s="16" t="str">
        <f>IF($Z853="","",IF($Z853&lt;=2000,IF(INDEX(包装物料出入库明细!$O$4:$O$2003,$Z853-0)=0,"",INDEX(包装物料出入库明细!$O$4:$O$2003,$Z853-0)),IF($Z853&lt;=4000,IF(INDEX(周转筐出入库明细!$M$4:$M$2004,$Z853-2000)=0,"",INDEX(周转筐出入库明细!$M$4:$M$2004,$Z853-2000)),IF($Z853&lt;=5200,IF(INDEX(客户自备加工筐明细!$H$4:$H$1203,$Z853-4000)=0,"",INDEX(客户自备加工筐明细!$H$4:$H$1203,$Z853-4000)),IF($Z853&lt;=5800,IF(INDEX(次果筐明细!$H$4:$H$603,$Z853-5200)=0,"",INDEX(次果筐明细!$H$4:$H$603,$Z853-5200)),"")))))</f>
        <v/>
      </c>
      <c r="S853" s="22" t="str">
        <f t="shared" si="41"/>
        <v/>
      </c>
      <c r="Z853" s="10" t="str">
        <f>IFERROR(MATCH(ROW()-3,_自动清单!$CQ$4:$CQ$5803,0),"")</f>
        <v/>
      </c>
    </row>
    <row r="854" spans="1:26">
      <c r="A854" s="24" t="str">
        <f t="shared" si="39"/>
        <v/>
      </c>
      <c r="B854" s="38" t="str">
        <f>IF($Z854="","",IF($Z854&lt;=2000,IF(INDEX(包装物料出入库明细!$B$4:$B$2003,$Z854-0)=0,"",INDEX(包装物料出入库明细!$B$4:$B$2003,$Z854-0)),IF($Z854&lt;=4000,IF(INDEX(周转筐出入库明细!$B$4:$B$2004,$Z854-2000)=0,"",INDEX(周转筐出入库明细!$B$4:$B$2004,$Z854-2000)),IF($Z854&lt;=5200,IF(INDEX(客户自备加工筐明细!$B$4:$B$1203,$Z854-4000)=0,"",INDEX(客户自备加工筐明细!$B$4:$B$1203,$Z854-4000)),IF($Z854&lt;=5800,IF(INDEX(次果筐明细!$B$4:$B$603,$Z854-5200)=0,"",INDEX(次果筐明细!$B$4:$B$603,$Z854-5200)),"")))))</f>
        <v/>
      </c>
      <c r="C854" s="37" t="str">
        <f>IF($Z854="","",IF($Z854&lt;=2000,IF(INDEX(包装物料出入库明细!$D$4:$D$2003,$Z854-0)=0,"",INDEX(包装物料出入库明细!$D$4:$D$2003,$Z854-0)),IF($Z854&lt;=4000,IF(INDEX(周转筐出入库明细!$C$4:$C$2004,$Z854-2000)=0,"",INDEX(周转筐出入库明细!$C$4:$C$2004,$Z854-2000)),IF($Z854&lt;=5200,IF(INDEX(客户自备加工筐明细!$E$4:$E$1203,$Z854-4000)=0,"",INDEX(客户自备加工筐明细!$E$4:$E$1203,$Z854-4000)),IF($Z854&lt;=5800,IF(INDEX(次果筐明细!$C$4:$C$603,$Z854-5200)=0,"",INDEX(次果筐明细!$C$4:$C$603,$Z854-5200)),"")))))</f>
        <v/>
      </c>
      <c r="D854" s="37" t="str">
        <f>IF($Z854="","",IF($Z854&lt;=2000,"包装物料－"&amp;INDEX(包装物料出入库明细!$H$4:$H$2003,$Z854-0),IF($Z854&lt;=4000,"周转筐－"&amp;INDEX(周转筐出入库明细!$F$4:$F$2004,$Z854-2000),IF($Z854&lt;=5200,"客户自备筐－"&amp;INDEX(客户自备加工筐明细!$J$4:$J$1203,$Z854-4000),IF($Z854&lt;=5800,"次果筐/托盘－"&amp;INDEX(次果筐明细!$F$4:$F$603,$Z854-5200),"")))))</f>
        <v/>
      </c>
      <c r="E854" s="24" t="str">
        <f>IF($Z854="","",IF($Z854&lt;=2000,IF(INDEX(包装物料出入库明细!$C$4:$C$2003,$Z854-0)=0,"",INDEX(包装物料出入库明细!$C$4:$C$2003,$Z854-0)),IF($Z854&lt;=4000,IF(INDEX(周转筐出入库明细!$E$4:$E$2004,$Z854-2000)=0,"",INDEX(周转筐出入库明细!$E$4:$E$2004,$Z854-2000)),IF($Z854&lt;=5200,IF(INDEX(客户自备加工筐明细!$D$4:$D$1203,$Z854-4000)=0,"",INDEX(客户自备加工筐明细!$D$4:$D$1203,$Z854-4000)),IF($Z854&lt;=5800,IF(INDEX(次果筐明细!$E$4:$E$603,$Z854-5200)=0,"",INDEX(次果筐明细!$E$4:$E$603,$Z854-5200)),"")))))</f>
        <v/>
      </c>
      <c r="F854" s="24" t="str">
        <f>IF($Z854="","",IF($Z854&lt;=2000,IF(INDEX(包装物料出入库明细!$E$4:$E$2003,$Z854-0)=0,"",INDEX(包装物料出入库明细!$E$4:$E$2003,$Z854-0)),IF($Z854&lt;=4000,IF(INDEX(周转筐出入库明细!$D$4:$D$2004,$Z854-2000)=0,"",INDEX(周转筐出入库明细!$D$4:$D$2004,$Z854-2000)),IF($Z854&lt;=5200,IF(INDEX(客户自备加工筐明细!$C$4:$C$1203,$Z854-4000)=0,"",INDEX(客户自备加工筐明细!$C$4:$C$1203,$Z854-4000)),IF($Z854&lt;=5800,IF(INDEX(次果筐明细!$D$4:$D$603,$Z854-5200)=0,"",INDEX(次果筐明细!$D$4:$D$603,$Z854-5200)),"")))))</f>
        <v/>
      </c>
      <c r="G854" s="24" t="str">
        <f>IF($Z854="","",IF($Z854&lt;=2000,IF(INDEX(包装物料出入库明细!$F$4:$F$2003,$Z854-0)=0,"",INDEX(包装物料出入库明细!$F$4:$F$2003,$Z854-0)),IF($Z854&lt;=4000,"",IF($Z854&lt;=5200,"",IF($Z854&lt;=5800,"","")))))</f>
        <v/>
      </c>
      <c r="H854" s="39" t="str">
        <f>IF($Z854="","",IF($Z854&lt;=2000,IF(INDEX(包装物料出入库明细!$L$4:$L$2003,$Z854-0)=0,"",INDEX(包装物料出入库明细!$L$4:$L$2003,$Z854-0)),IF($Z854&lt;=4000,N(INDEX(周转筐出入库明细!$H$4:$H$2004,$Z854-2000))+N(INDEX(周转筐出入库明细!$I$4:$I$2004,$Z854-2000))+N(INDEX(周转筐出入库明细!$J$4:$J$2004,$Z854-2000))+N(INDEX(周转筐出入库明细!$K$4:$K$2004,$Z854-2000)),IF($Z854&lt;=5200,N(INDEX(客户自备加工筐明细!$F$4:$F$1203,$Z854-4000))+N(INDEX(客户自备加工筐明细!$G$4:$G$1203,$Z854-4000)),IF($Z854&lt;=5800,IF(INDEX(次果筐明细!$G$4:$G$603,$Z854-5200)=0,"",INDEX(次果筐明细!$G$4:$G$603,$Z854-5200)),"")))))</f>
        <v/>
      </c>
      <c r="I854" s="24" t="str">
        <f>IF($Z854="","",IF($Z854&lt;=2000,IF(INDEX(包装物料出入库明细!$G$4:$G$2003,$Z854-0)=0,"",INDEX(包装物料出入库明细!$G$4:$G$2003,$Z854-0)),IF($Z854&lt;=4000,"个",IF($Z854&lt;=5200,"个",IF($Z854&lt;=5800,"个","")))))</f>
        <v/>
      </c>
      <c r="J854" s="30" t="str">
        <f t="shared" si="40"/>
        <v/>
      </c>
      <c r="K854" s="30" t="str">
        <f>IF($Z854="","",IF($Z854&lt;=2000,IF(INDEX(包装物料出入库明细!$N$4:$N$2003,$Z854-0)=0,"",INDEX(包装物料出入库明细!$N$4:$N$2003,$Z854-0)),IF($Z854&lt;=4000,IF(INDEX(周转筐出入库明细!$P$4:$P$2004,$Z854-2000)=0,"",INDEX(周转筐出入库明细!$P$4:$P$2004,$Z854-2000)),IF($Z854&lt;=5200,"",IF($Z854&lt;=5800,N(INDEX(次果筐明细!$L$4:$L$603,$Z854-5200))+N(INDEX(次果筐明细!$J$4:$J$603,$Z854-5200)),"")))))</f>
        <v/>
      </c>
      <c r="L854" s="24" t="str">
        <f>IF($Z854="","",IF($Z854&lt;=2000,IF(INDEX(包装物料出入库明细!$P$4:$P$2003,$Z854-0)=0,"",INDEX(包装物料出入库明细!$P$4:$P$2003,$Z854-0)),IF($Z854&lt;=4000,IF(INDEX(周转筐出入库明细!$Q$4:$Q$2004,$Z854-2000)=0,"",INDEX(周转筐出入库明细!$Q$4:$Q$2004,$Z854-2000)),IF($Z854&lt;=5200,"",IF($Z854&lt;=5800,IF(INDEX(次果筐明细!$M$4:$M$603,$Z854-5200)=0,"",INDEX(次果筐明细!$M$4:$M$603,$Z854-5200)),"")))))</f>
        <v/>
      </c>
      <c r="M854" s="37" t="str">
        <f>IF($Z854="","",IF($Z854&lt;=2000,IF(INDEX(包装物料出入库明细!$R$4:$R$2003,$Z854-0)=0,"",INDEX(包装物料出入库明细!$R$4:$R$2003,$Z854-0)),IF($Z854&lt;=4000,IF(INDEX(周转筐出入库明细!$W$4:$W$2004,$Z854-2000)=0,"",INDEX(周转筐出入库明细!$W$4:$W$2004,$Z854-2000)),IF($Z854&lt;=5200,IF(INDEX(客户自备加工筐明细!$L$4:$L$1203,$Z854-4000)=0,"",INDEX(客户自备加工筐明细!$L$4:$L$1203,$Z854-4000)),IF($Z854&lt;=5800,IF(INDEX(次果筐明细!$P$4:$P$603,$Z854-5200)=0,"",INDEX(次果筐明细!$P$4:$P$603,$Z854-5200)),"")))))</f>
        <v/>
      </c>
      <c r="N854" s="16" t="str">
        <f>IF($Z854="","",IF($Z854&lt;=2000,"",IF($Z854&lt;=4000,IF(INDEX(周转筐出入库明细!$D$4:$D$2004,$Z854-2000)=0,"",INDEX(周转筐出入库明细!$D$4:$D$2004,$Z854-2000)),IF($Z854&lt;=5200,IF(INDEX(客户自备加工筐明细!$C$4:$C$1203,$Z854-4000)=0,"",INDEX(客户自备加工筐明细!$C$4:$C$1203,$Z854-4000)),IF($Z854&lt;=5800,IF(INDEX(次果筐明细!$D$4:$D$603,$Z854-5200)=0,"",INDEX(次果筐明细!$D$4:$D$603,$Z854-5200)),"")))))</f>
        <v/>
      </c>
      <c r="O854" s="40" t="str">
        <f>IF($Z854="","",IF($Z854&lt;=2000,"",IF($Z854&lt;=4000,IF(N(INDEX(周转筐出入库明细!$J$4:$J$2004,$Z854-2000))+N(INDEX(周转筐出入库明细!$K$4:$K$2004,$Z854-2000))=0,"",N(INDEX(周转筐出入库明细!$J$4:$J$2004,$Z854-2000))+N(INDEX(周转筐出入库明细!$K$4:$K$2004,$Z854-2000))),IF($Z854&lt;=5200,IF(N(INDEX(客户自备加工筐明细!$G$4:$G$1203,$Z854-4000))=0,"",N(INDEX(客户自备加工筐明细!$G$4:$G$1203,$Z854-4000))),IF($Z854&lt;=5800,IF(ISNUMBER(SEARCH("退",INDEX(次果筐明细!$F$4:$F$603,$Z854-5200)&amp;"")),"",IF(N(INDEX(次果筐明细!$G$4:$G$603,$Z854-5200))=0,"",N(INDEX(次果筐明细!$G$4:$G$603,$Z854-5200)))),"")))))</f>
        <v/>
      </c>
      <c r="P854" s="40" t="str">
        <f>IF($Z854="","",IF($Z854&lt;=2000,"",IF($Z854&lt;=4000,IF(N(INDEX(周转筐出入库明细!$I$4:$I$2004,$Z854-2000))=0,"",N(INDEX(周转筐出入库明细!$I$4:$I$2004,$Z854-2000))),IF($Z854&lt;=5200,"",IF($Z854&lt;=5800,IF(ISNUMBER(SEARCH("退",INDEX(次果筐明细!$F$4:$F$603,$Z854-5200)&amp;"")),IF(N(INDEX(次果筐明细!$G$4:$G$603,$Z854-5200))=0,"",N(INDEX(次果筐明细!$G$4:$G$603,$Z854-5200))),""),"")))))</f>
        <v/>
      </c>
      <c r="Q854" s="40" t="str">
        <f>IF($Z854="","",IF($Z854&lt;=2000,"",IF($Z854&lt;=4000,IF(N(INDEX(周转筐出入库明细!$H$4:$H$2004,$Z854-2000))=0,"",N(INDEX(周转筐出入库明细!$H$4:$H$2004,$Z854-2000))),IF($Z854&lt;=5200,IF(N(INDEX(客户自备加工筐明细!$F$4:$F$1203,$Z854-4000))=0,"",N(INDEX(客户自备加工筐明细!$F$4:$F$1203,$Z854-4000))),IF($Z854&lt;=5800,"","")))))</f>
        <v/>
      </c>
      <c r="R854" s="16" t="str">
        <f>IF($Z854="","",IF($Z854&lt;=2000,IF(INDEX(包装物料出入库明细!$O$4:$O$2003,$Z854-0)=0,"",INDEX(包装物料出入库明细!$O$4:$O$2003,$Z854-0)),IF($Z854&lt;=4000,IF(INDEX(周转筐出入库明细!$M$4:$M$2004,$Z854-2000)=0,"",INDEX(周转筐出入库明细!$M$4:$M$2004,$Z854-2000)),IF($Z854&lt;=5200,IF(INDEX(客户自备加工筐明细!$H$4:$H$1203,$Z854-4000)=0,"",INDEX(客户自备加工筐明细!$H$4:$H$1203,$Z854-4000)),IF($Z854&lt;=5800,IF(INDEX(次果筐明细!$H$4:$H$603,$Z854-5200)=0,"",INDEX(次果筐明细!$H$4:$H$603,$Z854-5200)),"")))))</f>
        <v/>
      </c>
      <c r="S854" s="22" t="str">
        <f t="shared" si="41"/>
        <v/>
      </c>
      <c r="Z854" s="10" t="str">
        <f>IFERROR(MATCH(ROW()-3,_自动清单!$CQ$4:$CQ$5803,0),"")</f>
        <v/>
      </c>
    </row>
    <row r="855" spans="1:26">
      <c r="A855" s="24" t="str">
        <f t="shared" si="39"/>
        <v/>
      </c>
      <c r="B855" s="38" t="str">
        <f>IF($Z855="","",IF($Z855&lt;=2000,IF(INDEX(包装物料出入库明细!$B$4:$B$2003,$Z855-0)=0,"",INDEX(包装物料出入库明细!$B$4:$B$2003,$Z855-0)),IF($Z855&lt;=4000,IF(INDEX(周转筐出入库明细!$B$4:$B$2004,$Z855-2000)=0,"",INDEX(周转筐出入库明细!$B$4:$B$2004,$Z855-2000)),IF($Z855&lt;=5200,IF(INDEX(客户自备加工筐明细!$B$4:$B$1203,$Z855-4000)=0,"",INDEX(客户自备加工筐明细!$B$4:$B$1203,$Z855-4000)),IF($Z855&lt;=5800,IF(INDEX(次果筐明细!$B$4:$B$603,$Z855-5200)=0,"",INDEX(次果筐明细!$B$4:$B$603,$Z855-5200)),"")))))</f>
        <v/>
      </c>
      <c r="C855" s="37" t="str">
        <f>IF($Z855="","",IF($Z855&lt;=2000,IF(INDEX(包装物料出入库明细!$D$4:$D$2003,$Z855-0)=0,"",INDEX(包装物料出入库明细!$D$4:$D$2003,$Z855-0)),IF($Z855&lt;=4000,IF(INDEX(周转筐出入库明细!$C$4:$C$2004,$Z855-2000)=0,"",INDEX(周转筐出入库明细!$C$4:$C$2004,$Z855-2000)),IF($Z855&lt;=5200,IF(INDEX(客户自备加工筐明细!$E$4:$E$1203,$Z855-4000)=0,"",INDEX(客户自备加工筐明细!$E$4:$E$1203,$Z855-4000)),IF($Z855&lt;=5800,IF(INDEX(次果筐明细!$C$4:$C$603,$Z855-5200)=0,"",INDEX(次果筐明细!$C$4:$C$603,$Z855-5200)),"")))))</f>
        <v/>
      </c>
      <c r="D855" s="37" t="str">
        <f>IF($Z855="","",IF($Z855&lt;=2000,"包装物料－"&amp;INDEX(包装物料出入库明细!$H$4:$H$2003,$Z855-0),IF($Z855&lt;=4000,"周转筐－"&amp;INDEX(周转筐出入库明细!$F$4:$F$2004,$Z855-2000),IF($Z855&lt;=5200,"客户自备筐－"&amp;INDEX(客户自备加工筐明细!$J$4:$J$1203,$Z855-4000),IF($Z855&lt;=5800,"次果筐/托盘－"&amp;INDEX(次果筐明细!$F$4:$F$603,$Z855-5200),"")))))</f>
        <v/>
      </c>
      <c r="E855" s="24" t="str">
        <f>IF($Z855="","",IF($Z855&lt;=2000,IF(INDEX(包装物料出入库明细!$C$4:$C$2003,$Z855-0)=0,"",INDEX(包装物料出入库明细!$C$4:$C$2003,$Z855-0)),IF($Z855&lt;=4000,IF(INDEX(周转筐出入库明细!$E$4:$E$2004,$Z855-2000)=0,"",INDEX(周转筐出入库明细!$E$4:$E$2004,$Z855-2000)),IF($Z855&lt;=5200,IF(INDEX(客户自备加工筐明细!$D$4:$D$1203,$Z855-4000)=0,"",INDEX(客户自备加工筐明细!$D$4:$D$1203,$Z855-4000)),IF($Z855&lt;=5800,IF(INDEX(次果筐明细!$E$4:$E$603,$Z855-5200)=0,"",INDEX(次果筐明细!$E$4:$E$603,$Z855-5200)),"")))))</f>
        <v/>
      </c>
      <c r="F855" s="24" t="str">
        <f>IF($Z855="","",IF($Z855&lt;=2000,IF(INDEX(包装物料出入库明细!$E$4:$E$2003,$Z855-0)=0,"",INDEX(包装物料出入库明细!$E$4:$E$2003,$Z855-0)),IF($Z855&lt;=4000,IF(INDEX(周转筐出入库明细!$D$4:$D$2004,$Z855-2000)=0,"",INDEX(周转筐出入库明细!$D$4:$D$2004,$Z855-2000)),IF($Z855&lt;=5200,IF(INDEX(客户自备加工筐明细!$C$4:$C$1203,$Z855-4000)=0,"",INDEX(客户自备加工筐明细!$C$4:$C$1203,$Z855-4000)),IF($Z855&lt;=5800,IF(INDEX(次果筐明细!$D$4:$D$603,$Z855-5200)=0,"",INDEX(次果筐明细!$D$4:$D$603,$Z855-5200)),"")))))</f>
        <v/>
      </c>
      <c r="G855" s="24" t="str">
        <f>IF($Z855="","",IF($Z855&lt;=2000,IF(INDEX(包装物料出入库明细!$F$4:$F$2003,$Z855-0)=0,"",INDEX(包装物料出入库明细!$F$4:$F$2003,$Z855-0)),IF($Z855&lt;=4000,"",IF($Z855&lt;=5200,"",IF($Z855&lt;=5800,"","")))))</f>
        <v/>
      </c>
      <c r="H855" s="39" t="str">
        <f>IF($Z855="","",IF($Z855&lt;=2000,IF(INDEX(包装物料出入库明细!$L$4:$L$2003,$Z855-0)=0,"",INDEX(包装物料出入库明细!$L$4:$L$2003,$Z855-0)),IF($Z855&lt;=4000,N(INDEX(周转筐出入库明细!$H$4:$H$2004,$Z855-2000))+N(INDEX(周转筐出入库明细!$I$4:$I$2004,$Z855-2000))+N(INDEX(周转筐出入库明细!$J$4:$J$2004,$Z855-2000))+N(INDEX(周转筐出入库明细!$K$4:$K$2004,$Z855-2000)),IF($Z855&lt;=5200,N(INDEX(客户自备加工筐明细!$F$4:$F$1203,$Z855-4000))+N(INDEX(客户自备加工筐明细!$G$4:$G$1203,$Z855-4000)),IF($Z855&lt;=5800,IF(INDEX(次果筐明细!$G$4:$G$603,$Z855-5200)=0,"",INDEX(次果筐明细!$G$4:$G$603,$Z855-5200)),"")))))</f>
        <v/>
      </c>
      <c r="I855" s="24" t="str">
        <f>IF($Z855="","",IF($Z855&lt;=2000,IF(INDEX(包装物料出入库明细!$G$4:$G$2003,$Z855-0)=0,"",INDEX(包装物料出入库明细!$G$4:$G$2003,$Z855-0)),IF($Z855&lt;=4000,"个",IF($Z855&lt;=5200,"个",IF($Z855&lt;=5800,"个","")))))</f>
        <v/>
      </c>
      <c r="J855" s="30" t="str">
        <f t="shared" si="40"/>
        <v/>
      </c>
      <c r="K855" s="30" t="str">
        <f>IF($Z855="","",IF($Z855&lt;=2000,IF(INDEX(包装物料出入库明细!$N$4:$N$2003,$Z855-0)=0,"",INDEX(包装物料出入库明细!$N$4:$N$2003,$Z855-0)),IF($Z855&lt;=4000,IF(INDEX(周转筐出入库明细!$P$4:$P$2004,$Z855-2000)=0,"",INDEX(周转筐出入库明细!$P$4:$P$2004,$Z855-2000)),IF($Z855&lt;=5200,"",IF($Z855&lt;=5800,N(INDEX(次果筐明细!$L$4:$L$603,$Z855-5200))+N(INDEX(次果筐明细!$J$4:$J$603,$Z855-5200)),"")))))</f>
        <v/>
      </c>
      <c r="L855" s="24" t="str">
        <f>IF($Z855="","",IF($Z855&lt;=2000,IF(INDEX(包装物料出入库明细!$P$4:$P$2003,$Z855-0)=0,"",INDEX(包装物料出入库明细!$P$4:$P$2003,$Z855-0)),IF($Z855&lt;=4000,IF(INDEX(周转筐出入库明细!$Q$4:$Q$2004,$Z855-2000)=0,"",INDEX(周转筐出入库明细!$Q$4:$Q$2004,$Z855-2000)),IF($Z855&lt;=5200,"",IF($Z855&lt;=5800,IF(INDEX(次果筐明细!$M$4:$M$603,$Z855-5200)=0,"",INDEX(次果筐明细!$M$4:$M$603,$Z855-5200)),"")))))</f>
        <v/>
      </c>
      <c r="M855" s="37" t="str">
        <f>IF($Z855="","",IF($Z855&lt;=2000,IF(INDEX(包装物料出入库明细!$R$4:$R$2003,$Z855-0)=0,"",INDEX(包装物料出入库明细!$R$4:$R$2003,$Z855-0)),IF($Z855&lt;=4000,IF(INDEX(周转筐出入库明细!$W$4:$W$2004,$Z855-2000)=0,"",INDEX(周转筐出入库明细!$W$4:$W$2004,$Z855-2000)),IF($Z855&lt;=5200,IF(INDEX(客户自备加工筐明细!$L$4:$L$1203,$Z855-4000)=0,"",INDEX(客户自备加工筐明细!$L$4:$L$1203,$Z855-4000)),IF($Z855&lt;=5800,IF(INDEX(次果筐明细!$P$4:$P$603,$Z855-5200)=0,"",INDEX(次果筐明细!$P$4:$P$603,$Z855-5200)),"")))))</f>
        <v/>
      </c>
      <c r="N855" s="16" t="str">
        <f>IF($Z855="","",IF($Z855&lt;=2000,"",IF($Z855&lt;=4000,IF(INDEX(周转筐出入库明细!$D$4:$D$2004,$Z855-2000)=0,"",INDEX(周转筐出入库明细!$D$4:$D$2004,$Z855-2000)),IF($Z855&lt;=5200,IF(INDEX(客户自备加工筐明细!$C$4:$C$1203,$Z855-4000)=0,"",INDEX(客户自备加工筐明细!$C$4:$C$1203,$Z855-4000)),IF($Z855&lt;=5800,IF(INDEX(次果筐明细!$D$4:$D$603,$Z855-5200)=0,"",INDEX(次果筐明细!$D$4:$D$603,$Z855-5200)),"")))))</f>
        <v/>
      </c>
      <c r="O855" s="40" t="str">
        <f>IF($Z855="","",IF($Z855&lt;=2000,"",IF($Z855&lt;=4000,IF(N(INDEX(周转筐出入库明细!$J$4:$J$2004,$Z855-2000))+N(INDEX(周转筐出入库明细!$K$4:$K$2004,$Z855-2000))=0,"",N(INDEX(周转筐出入库明细!$J$4:$J$2004,$Z855-2000))+N(INDEX(周转筐出入库明细!$K$4:$K$2004,$Z855-2000))),IF($Z855&lt;=5200,IF(N(INDEX(客户自备加工筐明细!$G$4:$G$1203,$Z855-4000))=0,"",N(INDEX(客户自备加工筐明细!$G$4:$G$1203,$Z855-4000))),IF($Z855&lt;=5800,IF(ISNUMBER(SEARCH("退",INDEX(次果筐明细!$F$4:$F$603,$Z855-5200)&amp;"")),"",IF(N(INDEX(次果筐明细!$G$4:$G$603,$Z855-5200))=0,"",N(INDEX(次果筐明细!$G$4:$G$603,$Z855-5200)))),"")))))</f>
        <v/>
      </c>
      <c r="P855" s="40" t="str">
        <f>IF($Z855="","",IF($Z855&lt;=2000,"",IF($Z855&lt;=4000,IF(N(INDEX(周转筐出入库明细!$I$4:$I$2004,$Z855-2000))=0,"",N(INDEX(周转筐出入库明细!$I$4:$I$2004,$Z855-2000))),IF($Z855&lt;=5200,"",IF($Z855&lt;=5800,IF(ISNUMBER(SEARCH("退",INDEX(次果筐明细!$F$4:$F$603,$Z855-5200)&amp;"")),IF(N(INDEX(次果筐明细!$G$4:$G$603,$Z855-5200))=0,"",N(INDEX(次果筐明细!$G$4:$G$603,$Z855-5200))),""),"")))))</f>
        <v/>
      </c>
      <c r="Q855" s="40" t="str">
        <f>IF($Z855="","",IF($Z855&lt;=2000,"",IF($Z855&lt;=4000,IF(N(INDEX(周转筐出入库明细!$H$4:$H$2004,$Z855-2000))=0,"",N(INDEX(周转筐出入库明细!$H$4:$H$2004,$Z855-2000))),IF($Z855&lt;=5200,IF(N(INDEX(客户自备加工筐明细!$F$4:$F$1203,$Z855-4000))=0,"",N(INDEX(客户自备加工筐明细!$F$4:$F$1203,$Z855-4000))),IF($Z855&lt;=5800,"","")))))</f>
        <v/>
      </c>
      <c r="R855" s="16" t="str">
        <f>IF($Z855="","",IF($Z855&lt;=2000,IF(INDEX(包装物料出入库明细!$O$4:$O$2003,$Z855-0)=0,"",INDEX(包装物料出入库明细!$O$4:$O$2003,$Z855-0)),IF($Z855&lt;=4000,IF(INDEX(周转筐出入库明细!$M$4:$M$2004,$Z855-2000)=0,"",INDEX(周转筐出入库明细!$M$4:$M$2004,$Z855-2000)),IF($Z855&lt;=5200,IF(INDEX(客户自备加工筐明细!$H$4:$H$1203,$Z855-4000)=0,"",INDEX(客户自备加工筐明细!$H$4:$H$1203,$Z855-4000)),IF($Z855&lt;=5800,IF(INDEX(次果筐明细!$H$4:$H$603,$Z855-5200)=0,"",INDEX(次果筐明细!$H$4:$H$603,$Z855-5200)),"")))))</f>
        <v/>
      </c>
      <c r="S855" s="22" t="str">
        <f t="shared" si="41"/>
        <v/>
      </c>
      <c r="Z855" s="10" t="str">
        <f>IFERROR(MATCH(ROW()-3,_自动清单!$CQ$4:$CQ$5803,0),"")</f>
        <v/>
      </c>
    </row>
    <row r="856" spans="1:26">
      <c r="A856" s="24" t="str">
        <f t="shared" si="39"/>
        <v/>
      </c>
      <c r="B856" s="38" t="str">
        <f>IF($Z856="","",IF($Z856&lt;=2000,IF(INDEX(包装物料出入库明细!$B$4:$B$2003,$Z856-0)=0,"",INDEX(包装物料出入库明细!$B$4:$B$2003,$Z856-0)),IF($Z856&lt;=4000,IF(INDEX(周转筐出入库明细!$B$4:$B$2004,$Z856-2000)=0,"",INDEX(周转筐出入库明细!$B$4:$B$2004,$Z856-2000)),IF($Z856&lt;=5200,IF(INDEX(客户自备加工筐明细!$B$4:$B$1203,$Z856-4000)=0,"",INDEX(客户自备加工筐明细!$B$4:$B$1203,$Z856-4000)),IF($Z856&lt;=5800,IF(INDEX(次果筐明细!$B$4:$B$603,$Z856-5200)=0,"",INDEX(次果筐明细!$B$4:$B$603,$Z856-5200)),"")))))</f>
        <v/>
      </c>
      <c r="C856" s="37" t="str">
        <f>IF($Z856="","",IF($Z856&lt;=2000,IF(INDEX(包装物料出入库明细!$D$4:$D$2003,$Z856-0)=0,"",INDEX(包装物料出入库明细!$D$4:$D$2003,$Z856-0)),IF($Z856&lt;=4000,IF(INDEX(周转筐出入库明细!$C$4:$C$2004,$Z856-2000)=0,"",INDEX(周转筐出入库明细!$C$4:$C$2004,$Z856-2000)),IF($Z856&lt;=5200,IF(INDEX(客户自备加工筐明细!$E$4:$E$1203,$Z856-4000)=0,"",INDEX(客户自备加工筐明细!$E$4:$E$1203,$Z856-4000)),IF($Z856&lt;=5800,IF(INDEX(次果筐明细!$C$4:$C$603,$Z856-5200)=0,"",INDEX(次果筐明细!$C$4:$C$603,$Z856-5200)),"")))))</f>
        <v/>
      </c>
      <c r="D856" s="37" t="str">
        <f>IF($Z856="","",IF($Z856&lt;=2000,"包装物料－"&amp;INDEX(包装物料出入库明细!$H$4:$H$2003,$Z856-0),IF($Z856&lt;=4000,"周转筐－"&amp;INDEX(周转筐出入库明细!$F$4:$F$2004,$Z856-2000),IF($Z856&lt;=5200,"客户自备筐－"&amp;INDEX(客户自备加工筐明细!$J$4:$J$1203,$Z856-4000),IF($Z856&lt;=5800,"次果筐/托盘－"&amp;INDEX(次果筐明细!$F$4:$F$603,$Z856-5200),"")))))</f>
        <v/>
      </c>
      <c r="E856" s="24" t="str">
        <f>IF($Z856="","",IF($Z856&lt;=2000,IF(INDEX(包装物料出入库明细!$C$4:$C$2003,$Z856-0)=0,"",INDEX(包装物料出入库明细!$C$4:$C$2003,$Z856-0)),IF($Z856&lt;=4000,IF(INDEX(周转筐出入库明细!$E$4:$E$2004,$Z856-2000)=0,"",INDEX(周转筐出入库明细!$E$4:$E$2004,$Z856-2000)),IF($Z856&lt;=5200,IF(INDEX(客户自备加工筐明细!$D$4:$D$1203,$Z856-4000)=0,"",INDEX(客户自备加工筐明细!$D$4:$D$1203,$Z856-4000)),IF($Z856&lt;=5800,IF(INDEX(次果筐明细!$E$4:$E$603,$Z856-5200)=0,"",INDEX(次果筐明细!$E$4:$E$603,$Z856-5200)),"")))))</f>
        <v/>
      </c>
      <c r="F856" s="24" t="str">
        <f>IF($Z856="","",IF($Z856&lt;=2000,IF(INDEX(包装物料出入库明细!$E$4:$E$2003,$Z856-0)=0,"",INDEX(包装物料出入库明细!$E$4:$E$2003,$Z856-0)),IF($Z856&lt;=4000,IF(INDEX(周转筐出入库明细!$D$4:$D$2004,$Z856-2000)=0,"",INDEX(周转筐出入库明细!$D$4:$D$2004,$Z856-2000)),IF($Z856&lt;=5200,IF(INDEX(客户自备加工筐明细!$C$4:$C$1203,$Z856-4000)=0,"",INDEX(客户自备加工筐明细!$C$4:$C$1203,$Z856-4000)),IF($Z856&lt;=5800,IF(INDEX(次果筐明细!$D$4:$D$603,$Z856-5200)=0,"",INDEX(次果筐明细!$D$4:$D$603,$Z856-5200)),"")))))</f>
        <v/>
      </c>
      <c r="G856" s="24" t="str">
        <f>IF($Z856="","",IF($Z856&lt;=2000,IF(INDEX(包装物料出入库明细!$F$4:$F$2003,$Z856-0)=0,"",INDEX(包装物料出入库明细!$F$4:$F$2003,$Z856-0)),IF($Z856&lt;=4000,"",IF($Z856&lt;=5200,"",IF($Z856&lt;=5800,"","")))))</f>
        <v/>
      </c>
      <c r="H856" s="39" t="str">
        <f>IF($Z856="","",IF($Z856&lt;=2000,IF(INDEX(包装物料出入库明细!$L$4:$L$2003,$Z856-0)=0,"",INDEX(包装物料出入库明细!$L$4:$L$2003,$Z856-0)),IF($Z856&lt;=4000,N(INDEX(周转筐出入库明细!$H$4:$H$2004,$Z856-2000))+N(INDEX(周转筐出入库明细!$I$4:$I$2004,$Z856-2000))+N(INDEX(周转筐出入库明细!$J$4:$J$2004,$Z856-2000))+N(INDEX(周转筐出入库明细!$K$4:$K$2004,$Z856-2000)),IF($Z856&lt;=5200,N(INDEX(客户自备加工筐明细!$F$4:$F$1203,$Z856-4000))+N(INDEX(客户自备加工筐明细!$G$4:$G$1203,$Z856-4000)),IF($Z856&lt;=5800,IF(INDEX(次果筐明细!$G$4:$G$603,$Z856-5200)=0,"",INDEX(次果筐明细!$G$4:$G$603,$Z856-5200)),"")))))</f>
        <v/>
      </c>
      <c r="I856" s="24" t="str">
        <f>IF($Z856="","",IF($Z856&lt;=2000,IF(INDEX(包装物料出入库明细!$G$4:$G$2003,$Z856-0)=0,"",INDEX(包装物料出入库明细!$G$4:$G$2003,$Z856-0)),IF($Z856&lt;=4000,"个",IF($Z856&lt;=5200,"个",IF($Z856&lt;=5800,"个","")))))</f>
        <v/>
      </c>
      <c r="J856" s="30" t="str">
        <f t="shared" si="40"/>
        <v/>
      </c>
      <c r="K856" s="30" t="str">
        <f>IF($Z856="","",IF($Z856&lt;=2000,IF(INDEX(包装物料出入库明细!$N$4:$N$2003,$Z856-0)=0,"",INDEX(包装物料出入库明细!$N$4:$N$2003,$Z856-0)),IF($Z856&lt;=4000,IF(INDEX(周转筐出入库明细!$P$4:$P$2004,$Z856-2000)=0,"",INDEX(周转筐出入库明细!$P$4:$P$2004,$Z856-2000)),IF($Z856&lt;=5200,"",IF($Z856&lt;=5800,N(INDEX(次果筐明细!$L$4:$L$603,$Z856-5200))+N(INDEX(次果筐明细!$J$4:$J$603,$Z856-5200)),"")))))</f>
        <v/>
      </c>
      <c r="L856" s="24" t="str">
        <f>IF($Z856="","",IF($Z856&lt;=2000,IF(INDEX(包装物料出入库明细!$P$4:$P$2003,$Z856-0)=0,"",INDEX(包装物料出入库明细!$P$4:$P$2003,$Z856-0)),IF($Z856&lt;=4000,IF(INDEX(周转筐出入库明细!$Q$4:$Q$2004,$Z856-2000)=0,"",INDEX(周转筐出入库明细!$Q$4:$Q$2004,$Z856-2000)),IF($Z856&lt;=5200,"",IF($Z856&lt;=5800,IF(INDEX(次果筐明细!$M$4:$M$603,$Z856-5200)=0,"",INDEX(次果筐明细!$M$4:$M$603,$Z856-5200)),"")))))</f>
        <v/>
      </c>
      <c r="M856" s="37" t="str">
        <f>IF($Z856="","",IF($Z856&lt;=2000,IF(INDEX(包装物料出入库明细!$R$4:$R$2003,$Z856-0)=0,"",INDEX(包装物料出入库明细!$R$4:$R$2003,$Z856-0)),IF($Z856&lt;=4000,IF(INDEX(周转筐出入库明细!$W$4:$W$2004,$Z856-2000)=0,"",INDEX(周转筐出入库明细!$W$4:$W$2004,$Z856-2000)),IF($Z856&lt;=5200,IF(INDEX(客户自备加工筐明细!$L$4:$L$1203,$Z856-4000)=0,"",INDEX(客户自备加工筐明细!$L$4:$L$1203,$Z856-4000)),IF($Z856&lt;=5800,IF(INDEX(次果筐明细!$P$4:$P$603,$Z856-5200)=0,"",INDEX(次果筐明细!$P$4:$P$603,$Z856-5200)),"")))))</f>
        <v/>
      </c>
      <c r="N856" s="16" t="str">
        <f>IF($Z856="","",IF($Z856&lt;=2000,"",IF($Z856&lt;=4000,IF(INDEX(周转筐出入库明细!$D$4:$D$2004,$Z856-2000)=0,"",INDEX(周转筐出入库明细!$D$4:$D$2004,$Z856-2000)),IF($Z856&lt;=5200,IF(INDEX(客户自备加工筐明细!$C$4:$C$1203,$Z856-4000)=0,"",INDEX(客户自备加工筐明细!$C$4:$C$1203,$Z856-4000)),IF($Z856&lt;=5800,IF(INDEX(次果筐明细!$D$4:$D$603,$Z856-5200)=0,"",INDEX(次果筐明细!$D$4:$D$603,$Z856-5200)),"")))))</f>
        <v/>
      </c>
      <c r="O856" s="40" t="str">
        <f>IF($Z856="","",IF($Z856&lt;=2000,"",IF($Z856&lt;=4000,IF(N(INDEX(周转筐出入库明细!$J$4:$J$2004,$Z856-2000))+N(INDEX(周转筐出入库明细!$K$4:$K$2004,$Z856-2000))=0,"",N(INDEX(周转筐出入库明细!$J$4:$J$2004,$Z856-2000))+N(INDEX(周转筐出入库明细!$K$4:$K$2004,$Z856-2000))),IF($Z856&lt;=5200,IF(N(INDEX(客户自备加工筐明细!$G$4:$G$1203,$Z856-4000))=0,"",N(INDEX(客户自备加工筐明细!$G$4:$G$1203,$Z856-4000))),IF($Z856&lt;=5800,IF(ISNUMBER(SEARCH("退",INDEX(次果筐明细!$F$4:$F$603,$Z856-5200)&amp;"")),"",IF(N(INDEX(次果筐明细!$G$4:$G$603,$Z856-5200))=0,"",N(INDEX(次果筐明细!$G$4:$G$603,$Z856-5200)))),"")))))</f>
        <v/>
      </c>
      <c r="P856" s="40" t="str">
        <f>IF($Z856="","",IF($Z856&lt;=2000,"",IF($Z856&lt;=4000,IF(N(INDEX(周转筐出入库明细!$I$4:$I$2004,$Z856-2000))=0,"",N(INDEX(周转筐出入库明细!$I$4:$I$2004,$Z856-2000))),IF($Z856&lt;=5200,"",IF($Z856&lt;=5800,IF(ISNUMBER(SEARCH("退",INDEX(次果筐明细!$F$4:$F$603,$Z856-5200)&amp;"")),IF(N(INDEX(次果筐明细!$G$4:$G$603,$Z856-5200))=0,"",N(INDEX(次果筐明细!$G$4:$G$603,$Z856-5200))),""),"")))))</f>
        <v/>
      </c>
      <c r="Q856" s="40" t="str">
        <f>IF($Z856="","",IF($Z856&lt;=2000,"",IF($Z856&lt;=4000,IF(N(INDEX(周转筐出入库明细!$H$4:$H$2004,$Z856-2000))=0,"",N(INDEX(周转筐出入库明细!$H$4:$H$2004,$Z856-2000))),IF($Z856&lt;=5200,IF(N(INDEX(客户自备加工筐明细!$F$4:$F$1203,$Z856-4000))=0,"",N(INDEX(客户自备加工筐明细!$F$4:$F$1203,$Z856-4000))),IF($Z856&lt;=5800,"","")))))</f>
        <v/>
      </c>
      <c r="R856" s="16" t="str">
        <f>IF($Z856="","",IF($Z856&lt;=2000,IF(INDEX(包装物料出入库明细!$O$4:$O$2003,$Z856-0)=0,"",INDEX(包装物料出入库明细!$O$4:$O$2003,$Z856-0)),IF($Z856&lt;=4000,IF(INDEX(周转筐出入库明细!$M$4:$M$2004,$Z856-2000)=0,"",INDEX(周转筐出入库明细!$M$4:$M$2004,$Z856-2000)),IF($Z856&lt;=5200,IF(INDEX(客户自备加工筐明细!$H$4:$H$1203,$Z856-4000)=0,"",INDEX(客户自备加工筐明细!$H$4:$H$1203,$Z856-4000)),IF($Z856&lt;=5800,IF(INDEX(次果筐明细!$H$4:$H$603,$Z856-5200)=0,"",INDEX(次果筐明细!$H$4:$H$603,$Z856-5200)),"")))))</f>
        <v/>
      </c>
      <c r="S856" s="22" t="str">
        <f t="shared" si="41"/>
        <v/>
      </c>
      <c r="Z856" s="10" t="str">
        <f>IFERROR(MATCH(ROW()-3,_自动清单!$CQ$4:$CQ$5803,0),"")</f>
        <v/>
      </c>
    </row>
    <row r="857" spans="1:26">
      <c r="A857" s="24" t="str">
        <f t="shared" si="39"/>
        <v/>
      </c>
      <c r="B857" s="38" t="str">
        <f>IF($Z857="","",IF($Z857&lt;=2000,IF(INDEX(包装物料出入库明细!$B$4:$B$2003,$Z857-0)=0,"",INDEX(包装物料出入库明细!$B$4:$B$2003,$Z857-0)),IF($Z857&lt;=4000,IF(INDEX(周转筐出入库明细!$B$4:$B$2004,$Z857-2000)=0,"",INDEX(周转筐出入库明细!$B$4:$B$2004,$Z857-2000)),IF($Z857&lt;=5200,IF(INDEX(客户自备加工筐明细!$B$4:$B$1203,$Z857-4000)=0,"",INDEX(客户自备加工筐明细!$B$4:$B$1203,$Z857-4000)),IF($Z857&lt;=5800,IF(INDEX(次果筐明细!$B$4:$B$603,$Z857-5200)=0,"",INDEX(次果筐明细!$B$4:$B$603,$Z857-5200)),"")))))</f>
        <v/>
      </c>
      <c r="C857" s="37" t="str">
        <f>IF($Z857="","",IF($Z857&lt;=2000,IF(INDEX(包装物料出入库明细!$D$4:$D$2003,$Z857-0)=0,"",INDEX(包装物料出入库明细!$D$4:$D$2003,$Z857-0)),IF($Z857&lt;=4000,IF(INDEX(周转筐出入库明细!$C$4:$C$2004,$Z857-2000)=0,"",INDEX(周转筐出入库明细!$C$4:$C$2004,$Z857-2000)),IF($Z857&lt;=5200,IF(INDEX(客户自备加工筐明细!$E$4:$E$1203,$Z857-4000)=0,"",INDEX(客户自备加工筐明细!$E$4:$E$1203,$Z857-4000)),IF($Z857&lt;=5800,IF(INDEX(次果筐明细!$C$4:$C$603,$Z857-5200)=0,"",INDEX(次果筐明细!$C$4:$C$603,$Z857-5200)),"")))))</f>
        <v/>
      </c>
      <c r="D857" s="37" t="str">
        <f>IF($Z857="","",IF($Z857&lt;=2000,"包装物料－"&amp;INDEX(包装物料出入库明细!$H$4:$H$2003,$Z857-0),IF($Z857&lt;=4000,"周转筐－"&amp;INDEX(周转筐出入库明细!$F$4:$F$2004,$Z857-2000),IF($Z857&lt;=5200,"客户自备筐－"&amp;INDEX(客户自备加工筐明细!$J$4:$J$1203,$Z857-4000),IF($Z857&lt;=5800,"次果筐/托盘－"&amp;INDEX(次果筐明细!$F$4:$F$603,$Z857-5200),"")))))</f>
        <v/>
      </c>
      <c r="E857" s="24" t="str">
        <f>IF($Z857="","",IF($Z857&lt;=2000,IF(INDEX(包装物料出入库明细!$C$4:$C$2003,$Z857-0)=0,"",INDEX(包装物料出入库明细!$C$4:$C$2003,$Z857-0)),IF($Z857&lt;=4000,IF(INDEX(周转筐出入库明细!$E$4:$E$2004,$Z857-2000)=0,"",INDEX(周转筐出入库明细!$E$4:$E$2004,$Z857-2000)),IF($Z857&lt;=5200,IF(INDEX(客户自备加工筐明细!$D$4:$D$1203,$Z857-4000)=0,"",INDEX(客户自备加工筐明细!$D$4:$D$1203,$Z857-4000)),IF($Z857&lt;=5800,IF(INDEX(次果筐明细!$E$4:$E$603,$Z857-5200)=0,"",INDEX(次果筐明细!$E$4:$E$603,$Z857-5200)),"")))))</f>
        <v/>
      </c>
      <c r="F857" s="24" t="str">
        <f>IF($Z857="","",IF($Z857&lt;=2000,IF(INDEX(包装物料出入库明细!$E$4:$E$2003,$Z857-0)=0,"",INDEX(包装物料出入库明细!$E$4:$E$2003,$Z857-0)),IF($Z857&lt;=4000,IF(INDEX(周转筐出入库明细!$D$4:$D$2004,$Z857-2000)=0,"",INDEX(周转筐出入库明细!$D$4:$D$2004,$Z857-2000)),IF($Z857&lt;=5200,IF(INDEX(客户自备加工筐明细!$C$4:$C$1203,$Z857-4000)=0,"",INDEX(客户自备加工筐明细!$C$4:$C$1203,$Z857-4000)),IF($Z857&lt;=5800,IF(INDEX(次果筐明细!$D$4:$D$603,$Z857-5200)=0,"",INDEX(次果筐明细!$D$4:$D$603,$Z857-5200)),"")))))</f>
        <v/>
      </c>
      <c r="G857" s="24" t="str">
        <f>IF($Z857="","",IF($Z857&lt;=2000,IF(INDEX(包装物料出入库明细!$F$4:$F$2003,$Z857-0)=0,"",INDEX(包装物料出入库明细!$F$4:$F$2003,$Z857-0)),IF($Z857&lt;=4000,"",IF($Z857&lt;=5200,"",IF($Z857&lt;=5800,"","")))))</f>
        <v/>
      </c>
      <c r="H857" s="39" t="str">
        <f>IF($Z857="","",IF($Z857&lt;=2000,IF(INDEX(包装物料出入库明细!$L$4:$L$2003,$Z857-0)=0,"",INDEX(包装物料出入库明细!$L$4:$L$2003,$Z857-0)),IF($Z857&lt;=4000,N(INDEX(周转筐出入库明细!$H$4:$H$2004,$Z857-2000))+N(INDEX(周转筐出入库明细!$I$4:$I$2004,$Z857-2000))+N(INDEX(周转筐出入库明细!$J$4:$J$2004,$Z857-2000))+N(INDEX(周转筐出入库明细!$K$4:$K$2004,$Z857-2000)),IF($Z857&lt;=5200,N(INDEX(客户自备加工筐明细!$F$4:$F$1203,$Z857-4000))+N(INDEX(客户自备加工筐明细!$G$4:$G$1203,$Z857-4000)),IF($Z857&lt;=5800,IF(INDEX(次果筐明细!$G$4:$G$603,$Z857-5200)=0,"",INDEX(次果筐明细!$G$4:$G$603,$Z857-5200)),"")))))</f>
        <v/>
      </c>
      <c r="I857" s="24" t="str">
        <f>IF($Z857="","",IF($Z857&lt;=2000,IF(INDEX(包装物料出入库明细!$G$4:$G$2003,$Z857-0)=0,"",INDEX(包装物料出入库明细!$G$4:$G$2003,$Z857-0)),IF($Z857&lt;=4000,"个",IF($Z857&lt;=5200,"个",IF($Z857&lt;=5800,"个","")))))</f>
        <v/>
      </c>
      <c r="J857" s="30" t="str">
        <f t="shared" si="40"/>
        <v/>
      </c>
      <c r="K857" s="30" t="str">
        <f>IF($Z857="","",IF($Z857&lt;=2000,IF(INDEX(包装物料出入库明细!$N$4:$N$2003,$Z857-0)=0,"",INDEX(包装物料出入库明细!$N$4:$N$2003,$Z857-0)),IF($Z857&lt;=4000,IF(INDEX(周转筐出入库明细!$P$4:$P$2004,$Z857-2000)=0,"",INDEX(周转筐出入库明细!$P$4:$P$2004,$Z857-2000)),IF($Z857&lt;=5200,"",IF($Z857&lt;=5800,N(INDEX(次果筐明细!$L$4:$L$603,$Z857-5200))+N(INDEX(次果筐明细!$J$4:$J$603,$Z857-5200)),"")))))</f>
        <v/>
      </c>
      <c r="L857" s="24" t="str">
        <f>IF($Z857="","",IF($Z857&lt;=2000,IF(INDEX(包装物料出入库明细!$P$4:$P$2003,$Z857-0)=0,"",INDEX(包装物料出入库明细!$P$4:$P$2003,$Z857-0)),IF($Z857&lt;=4000,IF(INDEX(周转筐出入库明细!$Q$4:$Q$2004,$Z857-2000)=0,"",INDEX(周转筐出入库明细!$Q$4:$Q$2004,$Z857-2000)),IF($Z857&lt;=5200,"",IF($Z857&lt;=5800,IF(INDEX(次果筐明细!$M$4:$M$603,$Z857-5200)=0,"",INDEX(次果筐明细!$M$4:$M$603,$Z857-5200)),"")))))</f>
        <v/>
      </c>
      <c r="M857" s="37" t="str">
        <f>IF($Z857="","",IF($Z857&lt;=2000,IF(INDEX(包装物料出入库明细!$R$4:$R$2003,$Z857-0)=0,"",INDEX(包装物料出入库明细!$R$4:$R$2003,$Z857-0)),IF($Z857&lt;=4000,IF(INDEX(周转筐出入库明细!$W$4:$W$2004,$Z857-2000)=0,"",INDEX(周转筐出入库明细!$W$4:$W$2004,$Z857-2000)),IF($Z857&lt;=5200,IF(INDEX(客户自备加工筐明细!$L$4:$L$1203,$Z857-4000)=0,"",INDEX(客户自备加工筐明细!$L$4:$L$1203,$Z857-4000)),IF($Z857&lt;=5800,IF(INDEX(次果筐明细!$P$4:$P$603,$Z857-5200)=0,"",INDEX(次果筐明细!$P$4:$P$603,$Z857-5200)),"")))))</f>
        <v/>
      </c>
      <c r="N857" s="16" t="str">
        <f>IF($Z857="","",IF($Z857&lt;=2000,"",IF($Z857&lt;=4000,IF(INDEX(周转筐出入库明细!$D$4:$D$2004,$Z857-2000)=0,"",INDEX(周转筐出入库明细!$D$4:$D$2004,$Z857-2000)),IF($Z857&lt;=5200,IF(INDEX(客户自备加工筐明细!$C$4:$C$1203,$Z857-4000)=0,"",INDEX(客户自备加工筐明细!$C$4:$C$1203,$Z857-4000)),IF($Z857&lt;=5800,IF(INDEX(次果筐明细!$D$4:$D$603,$Z857-5200)=0,"",INDEX(次果筐明细!$D$4:$D$603,$Z857-5200)),"")))))</f>
        <v/>
      </c>
      <c r="O857" s="40" t="str">
        <f>IF($Z857="","",IF($Z857&lt;=2000,"",IF($Z857&lt;=4000,IF(N(INDEX(周转筐出入库明细!$J$4:$J$2004,$Z857-2000))+N(INDEX(周转筐出入库明细!$K$4:$K$2004,$Z857-2000))=0,"",N(INDEX(周转筐出入库明细!$J$4:$J$2004,$Z857-2000))+N(INDEX(周转筐出入库明细!$K$4:$K$2004,$Z857-2000))),IF($Z857&lt;=5200,IF(N(INDEX(客户自备加工筐明细!$G$4:$G$1203,$Z857-4000))=0,"",N(INDEX(客户自备加工筐明细!$G$4:$G$1203,$Z857-4000))),IF($Z857&lt;=5800,IF(ISNUMBER(SEARCH("退",INDEX(次果筐明细!$F$4:$F$603,$Z857-5200)&amp;"")),"",IF(N(INDEX(次果筐明细!$G$4:$G$603,$Z857-5200))=0,"",N(INDEX(次果筐明细!$G$4:$G$603,$Z857-5200)))),"")))))</f>
        <v/>
      </c>
      <c r="P857" s="40" t="str">
        <f>IF($Z857="","",IF($Z857&lt;=2000,"",IF($Z857&lt;=4000,IF(N(INDEX(周转筐出入库明细!$I$4:$I$2004,$Z857-2000))=0,"",N(INDEX(周转筐出入库明细!$I$4:$I$2004,$Z857-2000))),IF($Z857&lt;=5200,"",IF($Z857&lt;=5800,IF(ISNUMBER(SEARCH("退",INDEX(次果筐明细!$F$4:$F$603,$Z857-5200)&amp;"")),IF(N(INDEX(次果筐明细!$G$4:$G$603,$Z857-5200))=0,"",N(INDEX(次果筐明细!$G$4:$G$603,$Z857-5200))),""),"")))))</f>
        <v/>
      </c>
      <c r="Q857" s="40" t="str">
        <f>IF($Z857="","",IF($Z857&lt;=2000,"",IF($Z857&lt;=4000,IF(N(INDEX(周转筐出入库明细!$H$4:$H$2004,$Z857-2000))=0,"",N(INDEX(周转筐出入库明细!$H$4:$H$2004,$Z857-2000))),IF($Z857&lt;=5200,IF(N(INDEX(客户自备加工筐明细!$F$4:$F$1203,$Z857-4000))=0,"",N(INDEX(客户自备加工筐明细!$F$4:$F$1203,$Z857-4000))),IF($Z857&lt;=5800,"","")))))</f>
        <v/>
      </c>
      <c r="R857" s="16" t="str">
        <f>IF($Z857="","",IF($Z857&lt;=2000,IF(INDEX(包装物料出入库明细!$O$4:$O$2003,$Z857-0)=0,"",INDEX(包装物料出入库明细!$O$4:$O$2003,$Z857-0)),IF($Z857&lt;=4000,IF(INDEX(周转筐出入库明细!$M$4:$M$2004,$Z857-2000)=0,"",INDEX(周转筐出入库明细!$M$4:$M$2004,$Z857-2000)),IF($Z857&lt;=5200,IF(INDEX(客户自备加工筐明细!$H$4:$H$1203,$Z857-4000)=0,"",INDEX(客户自备加工筐明细!$H$4:$H$1203,$Z857-4000)),IF($Z857&lt;=5800,IF(INDEX(次果筐明细!$H$4:$H$603,$Z857-5200)=0,"",INDEX(次果筐明细!$H$4:$H$603,$Z857-5200)),"")))))</f>
        <v/>
      </c>
      <c r="S857" s="22" t="str">
        <f t="shared" si="41"/>
        <v/>
      </c>
      <c r="Z857" s="10" t="str">
        <f>IFERROR(MATCH(ROW()-3,_自动清单!$CQ$4:$CQ$5803,0),"")</f>
        <v/>
      </c>
    </row>
    <row r="858" spans="1:26">
      <c r="A858" s="24" t="str">
        <f t="shared" si="39"/>
        <v/>
      </c>
      <c r="B858" s="38" t="str">
        <f>IF($Z858="","",IF($Z858&lt;=2000,IF(INDEX(包装物料出入库明细!$B$4:$B$2003,$Z858-0)=0,"",INDEX(包装物料出入库明细!$B$4:$B$2003,$Z858-0)),IF($Z858&lt;=4000,IF(INDEX(周转筐出入库明细!$B$4:$B$2004,$Z858-2000)=0,"",INDEX(周转筐出入库明细!$B$4:$B$2004,$Z858-2000)),IF($Z858&lt;=5200,IF(INDEX(客户自备加工筐明细!$B$4:$B$1203,$Z858-4000)=0,"",INDEX(客户自备加工筐明细!$B$4:$B$1203,$Z858-4000)),IF($Z858&lt;=5800,IF(INDEX(次果筐明细!$B$4:$B$603,$Z858-5200)=0,"",INDEX(次果筐明细!$B$4:$B$603,$Z858-5200)),"")))))</f>
        <v/>
      </c>
      <c r="C858" s="37" t="str">
        <f>IF($Z858="","",IF($Z858&lt;=2000,IF(INDEX(包装物料出入库明细!$D$4:$D$2003,$Z858-0)=0,"",INDEX(包装物料出入库明细!$D$4:$D$2003,$Z858-0)),IF($Z858&lt;=4000,IF(INDEX(周转筐出入库明细!$C$4:$C$2004,$Z858-2000)=0,"",INDEX(周转筐出入库明细!$C$4:$C$2004,$Z858-2000)),IF($Z858&lt;=5200,IF(INDEX(客户自备加工筐明细!$E$4:$E$1203,$Z858-4000)=0,"",INDEX(客户自备加工筐明细!$E$4:$E$1203,$Z858-4000)),IF($Z858&lt;=5800,IF(INDEX(次果筐明细!$C$4:$C$603,$Z858-5200)=0,"",INDEX(次果筐明细!$C$4:$C$603,$Z858-5200)),"")))))</f>
        <v/>
      </c>
      <c r="D858" s="37" t="str">
        <f>IF($Z858="","",IF($Z858&lt;=2000,"包装物料－"&amp;INDEX(包装物料出入库明细!$H$4:$H$2003,$Z858-0),IF($Z858&lt;=4000,"周转筐－"&amp;INDEX(周转筐出入库明细!$F$4:$F$2004,$Z858-2000),IF($Z858&lt;=5200,"客户自备筐－"&amp;INDEX(客户自备加工筐明细!$J$4:$J$1203,$Z858-4000),IF($Z858&lt;=5800,"次果筐/托盘－"&amp;INDEX(次果筐明细!$F$4:$F$603,$Z858-5200),"")))))</f>
        <v/>
      </c>
      <c r="E858" s="24" t="str">
        <f>IF($Z858="","",IF($Z858&lt;=2000,IF(INDEX(包装物料出入库明细!$C$4:$C$2003,$Z858-0)=0,"",INDEX(包装物料出入库明细!$C$4:$C$2003,$Z858-0)),IF($Z858&lt;=4000,IF(INDEX(周转筐出入库明细!$E$4:$E$2004,$Z858-2000)=0,"",INDEX(周转筐出入库明细!$E$4:$E$2004,$Z858-2000)),IF($Z858&lt;=5200,IF(INDEX(客户自备加工筐明细!$D$4:$D$1203,$Z858-4000)=0,"",INDEX(客户自备加工筐明细!$D$4:$D$1203,$Z858-4000)),IF($Z858&lt;=5800,IF(INDEX(次果筐明细!$E$4:$E$603,$Z858-5200)=0,"",INDEX(次果筐明细!$E$4:$E$603,$Z858-5200)),"")))))</f>
        <v/>
      </c>
      <c r="F858" s="24" t="str">
        <f>IF($Z858="","",IF($Z858&lt;=2000,IF(INDEX(包装物料出入库明细!$E$4:$E$2003,$Z858-0)=0,"",INDEX(包装物料出入库明细!$E$4:$E$2003,$Z858-0)),IF($Z858&lt;=4000,IF(INDEX(周转筐出入库明细!$D$4:$D$2004,$Z858-2000)=0,"",INDEX(周转筐出入库明细!$D$4:$D$2004,$Z858-2000)),IF($Z858&lt;=5200,IF(INDEX(客户自备加工筐明细!$C$4:$C$1203,$Z858-4000)=0,"",INDEX(客户自备加工筐明细!$C$4:$C$1203,$Z858-4000)),IF($Z858&lt;=5800,IF(INDEX(次果筐明细!$D$4:$D$603,$Z858-5200)=0,"",INDEX(次果筐明细!$D$4:$D$603,$Z858-5200)),"")))))</f>
        <v/>
      </c>
      <c r="G858" s="24" t="str">
        <f>IF($Z858="","",IF($Z858&lt;=2000,IF(INDEX(包装物料出入库明细!$F$4:$F$2003,$Z858-0)=0,"",INDEX(包装物料出入库明细!$F$4:$F$2003,$Z858-0)),IF($Z858&lt;=4000,"",IF($Z858&lt;=5200,"",IF($Z858&lt;=5800,"","")))))</f>
        <v/>
      </c>
      <c r="H858" s="39" t="str">
        <f>IF($Z858="","",IF($Z858&lt;=2000,IF(INDEX(包装物料出入库明细!$L$4:$L$2003,$Z858-0)=0,"",INDEX(包装物料出入库明细!$L$4:$L$2003,$Z858-0)),IF($Z858&lt;=4000,N(INDEX(周转筐出入库明细!$H$4:$H$2004,$Z858-2000))+N(INDEX(周转筐出入库明细!$I$4:$I$2004,$Z858-2000))+N(INDEX(周转筐出入库明细!$J$4:$J$2004,$Z858-2000))+N(INDEX(周转筐出入库明细!$K$4:$K$2004,$Z858-2000)),IF($Z858&lt;=5200,N(INDEX(客户自备加工筐明细!$F$4:$F$1203,$Z858-4000))+N(INDEX(客户自备加工筐明细!$G$4:$G$1203,$Z858-4000)),IF($Z858&lt;=5800,IF(INDEX(次果筐明细!$G$4:$G$603,$Z858-5200)=0,"",INDEX(次果筐明细!$G$4:$G$603,$Z858-5200)),"")))))</f>
        <v/>
      </c>
      <c r="I858" s="24" t="str">
        <f>IF($Z858="","",IF($Z858&lt;=2000,IF(INDEX(包装物料出入库明细!$G$4:$G$2003,$Z858-0)=0,"",INDEX(包装物料出入库明细!$G$4:$G$2003,$Z858-0)),IF($Z858&lt;=4000,"个",IF($Z858&lt;=5200,"个",IF($Z858&lt;=5800,"个","")))))</f>
        <v/>
      </c>
      <c r="J858" s="30" t="str">
        <f t="shared" si="40"/>
        <v/>
      </c>
      <c r="K858" s="30" t="str">
        <f>IF($Z858="","",IF($Z858&lt;=2000,IF(INDEX(包装物料出入库明细!$N$4:$N$2003,$Z858-0)=0,"",INDEX(包装物料出入库明细!$N$4:$N$2003,$Z858-0)),IF($Z858&lt;=4000,IF(INDEX(周转筐出入库明细!$P$4:$P$2004,$Z858-2000)=0,"",INDEX(周转筐出入库明细!$P$4:$P$2004,$Z858-2000)),IF($Z858&lt;=5200,"",IF($Z858&lt;=5800,N(INDEX(次果筐明细!$L$4:$L$603,$Z858-5200))+N(INDEX(次果筐明细!$J$4:$J$603,$Z858-5200)),"")))))</f>
        <v/>
      </c>
      <c r="L858" s="24" t="str">
        <f>IF($Z858="","",IF($Z858&lt;=2000,IF(INDEX(包装物料出入库明细!$P$4:$P$2003,$Z858-0)=0,"",INDEX(包装物料出入库明细!$P$4:$P$2003,$Z858-0)),IF($Z858&lt;=4000,IF(INDEX(周转筐出入库明细!$Q$4:$Q$2004,$Z858-2000)=0,"",INDEX(周转筐出入库明细!$Q$4:$Q$2004,$Z858-2000)),IF($Z858&lt;=5200,"",IF($Z858&lt;=5800,IF(INDEX(次果筐明细!$M$4:$M$603,$Z858-5200)=0,"",INDEX(次果筐明细!$M$4:$M$603,$Z858-5200)),"")))))</f>
        <v/>
      </c>
      <c r="M858" s="37" t="str">
        <f>IF($Z858="","",IF($Z858&lt;=2000,IF(INDEX(包装物料出入库明细!$R$4:$R$2003,$Z858-0)=0,"",INDEX(包装物料出入库明细!$R$4:$R$2003,$Z858-0)),IF($Z858&lt;=4000,IF(INDEX(周转筐出入库明细!$W$4:$W$2004,$Z858-2000)=0,"",INDEX(周转筐出入库明细!$W$4:$W$2004,$Z858-2000)),IF($Z858&lt;=5200,IF(INDEX(客户自备加工筐明细!$L$4:$L$1203,$Z858-4000)=0,"",INDEX(客户自备加工筐明细!$L$4:$L$1203,$Z858-4000)),IF($Z858&lt;=5800,IF(INDEX(次果筐明细!$P$4:$P$603,$Z858-5200)=0,"",INDEX(次果筐明细!$P$4:$P$603,$Z858-5200)),"")))))</f>
        <v/>
      </c>
      <c r="N858" s="16" t="str">
        <f>IF($Z858="","",IF($Z858&lt;=2000,"",IF($Z858&lt;=4000,IF(INDEX(周转筐出入库明细!$D$4:$D$2004,$Z858-2000)=0,"",INDEX(周转筐出入库明细!$D$4:$D$2004,$Z858-2000)),IF($Z858&lt;=5200,IF(INDEX(客户自备加工筐明细!$C$4:$C$1203,$Z858-4000)=0,"",INDEX(客户自备加工筐明细!$C$4:$C$1203,$Z858-4000)),IF($Z858&lt;=5800,IF(INDEX(次果筐明细!$D$4:$D$603,$Z858-5200)=0,"",INDEX(次果筐明细!$D$4:$D$603,$Z858-5200)),"")))))</f>
        <v/>
      </c>
      <c r="O858" s="40" t="str">
        <f>IF($Z858="","",IF($Z858&lt;=2000,"",IF($Z858&lt;=4000,IF(N(INDEX(周转筐出入库明细!$J$4:$J$2004,$Z858-2000))+N(INDEX(周转筐出入库明细!$K$4:$K$2004,$Z858-2000))=0,"",N(INDEX(周转筐出入库明细!$J$4:$J$2004,$Z858-2000))+N(INDEX(周转筐出入库明细!$K$4:$K$2004,$Z858-2000))),IF($Z858&lt;=5200,IF(N(INDEX(客户自备加工筐明细!$G$4:$G$1203,$Z858-4000))=0,"",N(INDEX(客户自备加工筐明细!$G$4:$G$1203,$Z858-4000))),IF($Z858&lt;=5800,IF(ISNUMBER(SEARCH("退",INDEX(次果筐明细!$F$4:$F$603,$Z858-5200)&amp;"")),"",IF(N(INDEX(次果筐明细!$G$4:$G$603,$Z858-5200))=0,"",N(INDEX(次果筐明细!$G$4:$G$603,$Z858-5200)))),"")))))</f>
        <v/>
      </c>
      <c r="P858" s="40" t="str">
        <f>IF($Z858="","",IF($Z858&lt;=2000,"",IF($Z858&lt;=4000,IF(N(INDEX(周转筐出入库明细!$I$4:$I$2004,$Z858-2000))=0,"",N(INDEX(周转筐出入库明细!$I$4:$I$2004,$Z858-2000))),IF($Z858&lt;=5200,"",IF($Z858&lt;=5800,IF(ISNUMBER(SEARCH("退",INDEX(次果筐明细!$F$4:$F$603,$Z858-5200)&amp;"")),IF(N(INDEX(次果筐明细!$G$4:$G$603,$Z858-5200))=0,"",N(INDEX(次果筐明细!$G$4:$G$603,$Z858-5200))),""),"")))))</f>
        <v/>
      </c>
      <c r="Q858" s="40" t="str">
        <f>IF($Z858="","",IF($Z858&lt;=2000,"",IF($Z858&lt;=4000,IF(N(INDEX(周转筐出入库明细!$H$4:$H$2004,$Z858-2000))=0,"",N(INDEX(周转筐出入库明细!$H$4:$H$2004,$Z858-2000))),IF($Z858&lt;=5200,IF(N(INDEX(客户自备加工筐明细!$F$4:$F$1203,$Z858-4000))=0,"",N(INDEX(客户自备加工筐明细!$F$4:$F$1203,$Z858-4000))),IF($Z858&lt;=5800,"","")))))</f>
        <v/>
      </c>
      <c r="R858" s="16" t="str">
        <f>IF($Z858="","",IF($Z858&lt;=2000,IF(INDEX(包装物料出入库明细!$O$4:$O$2003,$Z858-0)=0,"",INDEX(包装物料出入库明细!$O$4:$O$2003,$Z858-0)),IF($Z858&lt;=4000,IF(INDEX(周转筐出入库明细!$M$4:$M$2004,$Z858-2000)=0,"",INDEX(周转筐出入库明细!$M$4:$M$2004,$Z858-2000)),IF($Z858&lt;=5200,IF(INDEX(客户自备加工筐明细!$H$4:$H$1203,$Z858-4000)=0,"",INDEX(客户自备加工筐明细!$H$4:$H$1203,$Z858-4000)),IF($Z858&lt;=5800,IF(INDEX(次果筐明细!$H$4:$H$603,$Z858-5200)=0,"",INDEX(次果筐明细!$H$4:$H$603,$Z858-5200)),"")))))</f>
        <v/>
      </c>
      <c r="S858" s="22" t="str">
        <f t="shared" si="41"/>
        <v/>
      </c>
      <c r="Z858" s="10" t="str">
        <f>IFERROR(MATCH(ROW()-3,_自动清单!$CQ$4:$CQ$5803,0),"")</f>
        <v/>
      </c>
    </row>
    <row r="859" spans="1:26">
      <c r="A859" s="24" t="str">
        <f t="shared" si="39"/>
        <v/>
      </c>
      <c r="B859" s="38" t="str">
        <f>IF($Z859="","",IF($Z859&lt;=2000,IF(INDEX(包装物料出入库明细!$B$4:$B$2003,$Z859-0)=0,"",INDEX(包装物料出入库明细!$B$4:$B$2003,$Z859-0)),IF($Z859&lt;=4000,IF(INDEX(周转筐出入库明细!$B$4:$B$2004,$Z859-2000)=0,"",INDEX(周转筐出入库明细!$B$4:$B$2004,$Z859-2000)),IF($Z859&lt;=5200,IF(INDEX(客户自备加工筐明细!$B$4:$B$1203,$Z859-4000)=0,"",INDEX(客户自备加工筐明细!$B$4:$B$1203,$Z859-4000)),IF($Z859&lt;=5800,IF(INDEX(次果筐明细!$B$4:$B$603,$Z859-5200)=0,"",INDEX(次果筐明细!$B$4:$B$603,$Z859-5200)),"")))))</f>
        <v/>
      </c>
      <c r="C859" s="37" t="str">
        <f>IF($Z859="","",IF($Z859&lt;=2000,IF(INDEX(包装物料出入库明细!$D$4:$D$2003,$Z859-0)=0,"",INDEX(包装物料出入库明细!$D$4:$D$2003,$Z859-0)),IF($Z859&lt;=4000,IF(INDEX(周转筐出入库明细!$C$4:$C$2004,$Z859-2000)=0,"",INDEX(周转筐出入库明细!$C$4:$C$2004,$Z859-2000)),IF($Z859&lt;=5200,IF(INDEX(客户自备加工筐明细!$E$4:$E$1203,$Z859-4000)=0,"",INDEX(客户自备加工筐明细!$E$4:$E$1203,$Z859-4000)),IF($Z859&lt;=5800,IF(INDEX(次果筐明细!$C$4:$C$603,$Z859-5200)=0,"",INDEX(次果筐明细!$C$4:$C$603,$Z859-5200)),"")))))</f>
        <v/>
      </c>
      <c r="D859" s="37" t="str">
        <f>IF($Z859="","",IF($Z859&lt;=2000,"包装物料－"&amp;INDEX(包装物料出入库明细!$H$4:$H$2003,$Z859-0),IF($Z859&lt;=4000,"周转筐－"&amp;INDEX(周转筐出入库明细!$F$4:$F$2004,$Z859-2000),IF($Z859&lt;=5200,"客户自备筐－"&amp;INDEX(客户自备加工筐明细!$J$4:$J$1203,$Z859-4000),IF($Z859&lt;=5800,"次果筐/托盘－"&amp;INDEX(次果筐明细!$F$4:$F$603,$Z859-5200),"")))))</f>
        <v/>
      </c>
      <c r="E859" s="24" t="str">
        <f>IF($Z859="","",IF($Z859&lt;=2000,IF(INDEX(包装物料出入库明细!$C$4:$C$2003,$Z859-0)=0,"",INDEX(包装物料出入库明细!$C$4:$C$2003,$Z859-0)),IF($Z859&lt;=4000,IF(INDEX(周转筐出入库明细!$E$4:$E$2004,$Z859-2000)=0,"",INDEX(周转筐出入库明细!$E$4:$E$2004,$Z859-2000)),IF($Z859&lt;=5200,IF(INDEX(客户自备加工筐明细!$D$4:$D$1203,$Z859-4000)=0,"",INDEX(客户自备加工筐明细!$D$4:$D$1203,$Z859-4000)),IF($Z859&lt;=5800,IF(INDEX(次果筐明细!$E$4:$E$603,$Z859-5200)=0,"",INDEX(次果筐明细!$E$4:$E$603,$Z859-5200)),"")))))</f>
        <v/>
      </c>
      <c r="F859" s="24" t="str">
        <f>IF($Z859="","",IF($Z859&lt;=2000,IF(INDEX(包装物料出入库明细!$E$4:$E$2003,$Z859-0)=0,"",INDEX(包装物料出入库明细!$E$4:$E$2003,$Z859-0)),IF($Z859&lt;=4000,IF(INDEX(周转筐出入库明细!$D$4:$D$2004,$Z859-2000)=0,"",INDEX(周转筐出入库明细!$D$4:$D$2004,$Z859-2000)),IF($Z859&lt;=5200,IF(INDEX(客户自备加工筐明细!$C$4:$C$1203,$Z859-4000)=0,"",INDEX(客户自备加工筐明细!$C$4:$C$1203,$Z859-4000)),IF($Z859&lt;=5800,IF(INDEX(次果筐明细!$D$4:$D$603,$Z859-5200)=0,"",INDEX(次果筐明细!$D$4:$D$603,$Z859-5200)),"")))))</f>
        <v/>
      </c>
      <c r="G859" s="24" t="str">
        <f>IF($Z859="","",IF($Z859&lt;=2000,IF(INDEX(包装物料出入库明细!$F$4:$F$2003,$Z859-0)=0,"",INDEX(包装物料出入库明细!$F$4:$F$2003,$Z859-0)),IF($Z859&lt;=4000,"",IF($Z859&lt;=5200,"",IF($Z859&lt;=5800,"","")))))</f>
        <v/>
      </c>
      <c r="H859" s="39" t="str">
        <f>IF($Z859="","",IF($Z859&lt;=2000,IF(INDEX(包装物料出入库明细!$L$4:$L$2003,$Z859-0)=0,"",INDEX(包装物料出入库明细!$L$4:$L$2003,$Z859-0)),IF($Z859&lt;=4000,N(INDEX(周转筐出入库明细!$H$4:$H$2004,$Z859-2000))+N(INDEX(周转筐出入库明细!$I$4:$I$2004,$Z859-2000))+N(INDEX(周转筐出入库明细!$J$4:$J$2004,$Z859-2000))+N(INDEX(周转筐出入库明细!$K$4:$K$2004,$Z859-2000)),IF($Z859&lt;=5200,N(INDEX(客户自备加工筐明细!$F$4:$F$1203,$Z859-4000))+N(INDEX(客户自备加工筐明细!$G$4:$G$1203,$Z859-4000)),IF($Z859&lt;=5800,IF(INDEX(次果筐明细!$G$4:$G$603,$Z859-5200)=0,"",INDEX(次果筐明细!$G$4:$G$603,$Z859-5200)),"")))))</f>
        <v/>
      </c>
      <c r="I859" s="24" t="str">
        <f>IF($Z859="","",IF($Z859&lt;=2000,IF(INDEX(包装物料出入库明细!$G$4:$G$2003,$Z859-0)=0,"",INDEX(包装物料出入库明细!$G$4:$G$2003,$Z859-0)),IF($Z859&lt;=4000,"个",IF($Z859&lt;=5200,"个",IF($Z859&lt;=5800,"个","")))))</f>
        <v/>
      </c>
      <c r="J859" s="30" t="str">
        <f t="shared" si="40"/>
        <v/>
      </c>
      <c r="K859" s="30" t="str">
        <f>IF($Z859="","",IF($Z859&lt;=2000,IF(INDEX(包装物料出入库明细!$N$4:$N$2003,$Z859-0)=0,"",INDEX(包装物料出入库明细!$N$4:$N$2003,$Z859-0)),IF($Z859&lt;=4000,IF(INDEX(周转筐出入库明细!$P$4:$P$2004,$Z859-2000)=0,"",INDEX(周转筐出入库明细!$P$4:$P$2004,$Z859-2000)),IF($Z859&lt;=5200,"",IF($Z859&lt;=5800,N(INDEX(次果筐明细!$L$4:$L$603,$Z859-5200))+N(INDEX(次果筐明细!$J$4:$J$603,$Z859-5200)),"")))))</f>
        <v/>
      </c>
      <c r="L859" s="24" t="str">
        <f>IF($Z859="","",IF($Z859&lt;=2000,IF(INDEX(包装物料出入库明细!$P$4:$P$2003,$Z859-0)=0,"",INDEX(包装物料出入库明细!$P$4:$P$2003,$Z859-0)),IF($Z859&lt;=4000,IF(INDEX(周转筐出入库明细!$Q$4:$Q$2004,$Z859-2000)=0,"",INDEX(周转筐出入库明细!$Q$4:$Q$2004,$Z859-2000)),IF($Z859&lt;=5200,"",IF($Z859&lt;=5800,IF(INDEX(次果筐明细!$M$4:$M$603,$Z859-5200)=0,"",INDEX(次果筐明细!$M$4:$M$603,$Z859-5200)),"")))))</f>
        <v/>
      </c>
      <c r="M859" s="37" t="str">
        <f>IF($Z859="","",IF($Z859&lt;=2000,IF(INDEX(包装物料出入库明细!$R$4:$R$2003,$Z859-0)=0,"",INDEX(包装物料出入库明细!$R$4:$R$2003,$Z859-0)),IF($Z859&lt;=4000,IF(INDEX(周转筐出入库明细!$W$4:$W$2004,$Z859-2000)=0,"",INDEX(周转筐出入库明细!$W$4:$W$2004,$Z859-2000)),IF($Z859&lt;=5200,IF(INDEX(客户自备加工筐明细!$L$4:$L$1203,$Z859-4000)=0,"",INDEX(客户自备加工筐明细!$L$4:$L$1203,$Z859-4000)),IF($Z859&lt;=5800,IF(INDEX(次果筐明细!$P$4:$P$603,$Z859-5200)=0,"",INDEX(次果筐明细!$P$4:$P$603,$Z859-5200)),"")))))</f>
        <v/>
      </c>
      <c r="N859" s="16" t="str">
        <f>IF($Z859="","",IF($Z859&lt;=2000,"",IF($Z859&lt;=4000,IF(INDEX(周转筐出入库明细!$D$4:$D$2004,$Z859-2000)=0,"",INDEX(周转筐出入库明细!$D$4:$D$2004,$Z859-2000)),IF($Z859&lt;=5200,IF(INDEX(客户自备加工筐明细!$C$4:$C$1203,$Z859-4000)=0,"",INDEX(客户自备加工筐明细!$C$4:$C$1203,$Z859-4000)),IF($Z859&lt;=5800,IF(INDEX(次果筐明细!$D$4:$D$603,$Z859-5200)=0,"",INDEX(次果筐明细!$D$4:$D$603,$Z859-5200)),"")))))</f>
        <v/>
      </c>
      <c r="O859" s="40" t="str">
        <f>IF($Z859="","",IF($Z859&lt;=2000,"",IF($Z859&lt;=4000,IF(N(INDEX(周转筐出入库明细!$J$4:$J$2004,$Z859-2000))+N(INDEX(周转筐出入库明细!$K$4:$K$2004,$Z859-2000))=0,"",N(INDEX(周转筐出入库明细!$J$4:$J$2004,$Z859-2000))+N(INDEX(周转筐出入库明细!$K$4:$K$2004,$Z859-2000))),IF($Z859&lt;=5200,IF(N(INDEX(客户自备加工筐明细!$G$4:$G$1203,$Z859-4000))=0,"",N(INDEX(客户自备加工筐明细!$G$4:$G$1203,$Z859-4000))),IF($Z859&lt;=5800,IF(ISNUMBER(SEARCH("退",INDEX(次果筐明细!$F$4:$F$603,$Z859-5200)&amp;"")),"",IF(N(INDEX(次果筐明细!$G$4:$G$603,$Z859-5200))=0,"",N(INDEX(次果筐明细!$G$4:$G$603,$Z859-5200)))),"")))))</f>
        <v/>
      </c>
      <c r="P859" s="40" t="str">
        <f>IF($Z859="","",IF($Z859&lt;=2000,"",IF($Z859&lt;=4000,IF(N(INDEX(周转筐出入库明细!$I$4:$I$2004,$Z859-2000))=0,"",N(INDEX(周转筐出入库明细!$I$4:$I$2004,$Z859-2000))),IF($Z859&lt;=5200,"",IF($Z859&lt;=5800,IF(ISNUMBER(SEARCH("退",INDEX(次果筐明细!$F$4:$F$603,$Z859-5200)&amp;"")),IF(N(INDEX(次果筐明细!$G$4:$G$603,$Z859-5200))=0,"",N(INDEX(次果筐明细!$G$4:$G$603,$Z859-5200))),""),"")))))</f>
        <v/>
      </c>
      <c r="Q859" s="40" t="str">
        <f>IF($Z859="","",IF($Z859&lt;=2000,"",IF($Z859&lt;=4000,IF(N(INDEX(周转筐出入库明细!$H$4:$H$2004,$Z859-2000))=0,"",N(INDEX(周转筐出入库明细!$H$4:$H$2004,$Z859-2000))),IF($Z859&lt;=5200,IF(N(INDEX(客户自备加工筐明细!$F$4:$F$1203,$Z859-4000))=0,"",N(INDEX(客户自备加工筐明细!$F$4:$F$1203,$Z859-4000))),IF($Z859&lt;=5800,"","")))))</f>
        <v/>
      </c>
      <c r="R859" s="16" t="str">
        <f>IF($Z859="","",IF($Z859&lt;=2000,IF(INDEX(包装物料出入库明细!$O$4:$O$2003,$Z859-0)=0,"",INDEX(包装物料出入库明细!$O$4:$O$2003,$Z859-0)),IF($Z859&lt;=4000,IF(INDEX(周转筐出入库明细!$M$4:$M$2004,$Z859-2000)=0,"",INDEX(周转筐出入库明细!$M$4:$M$2004,$Z859-2000)),IF($Z859&lt;=5200,IF(INDEX(客户自备加工筐明细!$H$4:$H$1203,$Z859-4000)=0,"",INDEX(客户自备加工筐明细!$H$4:$H$1203,$Z859-4000)),IF($Z859&lt;=5800,IF(INDEX(次果筐明细!$H$4:$H$603,$Z859-5200)=0,"",INDEX(次果筐明细!$H$4:$H$603,$Z859-5200)),"")))))</f>
        <v/>
      </c>
      <c r="S859" s="22" t="str">
        <f t="shared" si="41"/>
        <v/>
      </c>
      <c r="Z859" s="10" t="str">
        <f>IFERROR(MATCH(ROW()-3,_自动清单!$CQ$4:$CQ$5803,0),"")</f>
        <v/>
      </c>
    </row>
    <row r="860" spans="1:26">
      <c r="A860" s="24" t="str">
        <f t="shared" si="39"/>
        <v/>
      </c>
      <c r="B860" s="38" t="str">
        <f>IF($Z860="","",IF($Z860&lt;=2000,IF(INDEX(包装物料出入库明细!$B$4:$B$2003,$Z860-0)=0,"",INDEX(包装物料出入库明细!$B$4:$B$2003,$Z860-0)),IF($Z860&lt;=4000,IF(INDEX(周转筐出入库明细!$B$4:$B$2004,$Z860-2000)=0,"",INDEX(周转筐出入库明细!$B$4:$B$2004,$Z860-2000)),IF($Z860&lt;=5200,IF(INDEX(客户自备加工筐明细!$B$4:$B$1203,$Z860-4000)=0,"",INDEX(客户自备加工筐明细!$B$4:$B$1203,$Z860-4000)),IF($Z860&lt;=5800,IF(INDEX(次果筐明细!$B$4:$B$603,$Z860-5200)=0,"",INDEX(次果筐明细!$B$4:$B$603,$Z860-5200)),"")))))</f>
        <v/>
      </c>
      <c r="C860" s="37" t="str">
        <f>IF($Z860="","",IF($Z860&lt;=2000,IF(INDEX(包装物料出入库明细!$D$4:$D$2003,$Z860-0)=0,"",INDEX(包装物料出入库明细!$D$4:$D$2003,$Z860-0)),IF($Z860&lt;=4000,IF(INDEX(周转筐出入库明细!$C$4:$C$2004,$Z860-2000)=0,"",INDEX(周转筐出入库明细!$C$4:$C$2004,$Z860-2000)),IF($Z860&lt;=5200,IF(INDEX(客户自备加工筐明细!$E$4:$E$1203,$Z860-4000)=0,"",INDEX(客户自备加工筐明细!$E$4:$E$1203,$Z860-4000)),IF($Z860&lt;=5800,IF(INDEX(次果筐明细!$C$4:$C$603,$Z860-5200)=0,"",INDEX(次果筐明细!$C$4:$C$603,$Z860-5200)),"")))))</f>
        <v/>
      </c>
      <c r="D860" s="37" t="str">
        <f>IF($Z860="","",IF($Z860&lt;=2000,"包装物料－"&amp;INDEX(包装物料出入库明细!$H$4:$H$2003,$Z860-0),IF($Z860&lt;=4000,"周转筐－"&amp;INDEX(周转筐出入库明细!$F$4:$F$2004,$Z860-2000),IF($Z860&lt;=5200,"客户自备筐－"&amp;INDEX(客户自备加工筐明细!$J$4:$J$1203,$Z860-4000),IF($Z860&lt;=5800,"次果筐/托盘－"&amp;INDEX(次果筐明细!$F$4:$F$603,$Z860-5200),"")))))</f>
        <v/>
      </c>
      <c r="E860" s="24" t="str">
        <f>IF($Z860="","",IF($Z860&lt;=2000,IF(INDEX(包装物料出入库明细!$C$4:$C$2003,$Z860-0)=0,"",INDEX(包装物料出入库明细!$C$4:$C$2003,$Z860-0)),IF($Z860&lt;=4000,IF(INDEX(周转筐出入库明细!$E$4:$E$2004,$Z860-2000)=0,"",INDEX(周转筐出入库明细!$E$4:$E$2004,$Z860-2000)),IF($Z860&lt;=5200,IF(INDEX(客户自备加工筐明细!$D$4:$D$1203,$Z860-4000)=0,"",INDEX(客户自备加工筐明细!$D$4:$D$1203,$Z860-4000)),IF($Z860&lt;=5800,IF(INDEX(次果筐明细!$E$4:$E$603,$Z860-5200)=0,"",INDEX(次果筐明细!$E$4:$E$603,$Z860-5200)),"")))))</f>
        <v/>
      </c>
      <c r="F860" s="24" t="str">
        <f>IF($Z860="","",IF($Z860&lt;=2000,IF(INDEX(包装物料出入库明细!$E$4:$E$2003,$Z860-0)=0,"",INDEX(包装物料出入库明细!$E$4:$E$2003,$Z860-0)),IF($Z860&lt;=4000,IF(INDEX(周转筐出入库明细!$D$4:$D$2004,$Z860-2000)=0,"",INDEX(周转筐出入库明细!$D$4:$D$2004,$Z860-2000)),IF($Z860&lt;=5200,IF(INDEX(客户自备加工筐明细!$C$4:$C$1203,$Z860-4000)=0,"",INDEX(客户自备加工筐明细!$C$4:$C$1203,$Z860-4000)),IF($Z860&lt;=5800,IF(INDEX(次果筐明细!$D$4:$D$603,$Z860-5200)=0,"",INDEX(次果筐明细!$D$4:$D$603,$Z860-5200)),"")))))</f>
        <v/>
      </c>
      <c r="G860" s="24" t="str">
        <f>IF($Z860="","",IF($Z860&lt;=2000,IF(INDEX(包装物料出入库明细!$F$4:$F$2003,$Z860-0)=0,"",INDEX(包装物料出入库明细!$F$4:$F$2003,$Z860-0)),IF($Z860&lt;=4000,"",IF($Z860&lt;=5200,"",IF($Z860&lt;=5800,"","")))))</f>
        <v/>
      </c>
      <c r="H860" s="39" t="str">
        <f>IF($Z860="","",IF($Z860&lt;=2000,IF(INDEX(包装物料出入库明细!$L$4:$L$2003,$Z860-0)=0,"",INDEX(包装物料出入库明细!$L$4:$L$2003,$Z860-0)),IF($Z860&lt;=4000,N(INDEX(周转筐出入库明细!$H$4:$H$2004,$Z860-2000))+N(INDEX(周转筐出入库明细!$I$4:$I$2004,$Z860-2000))+N(INDEX(周转筐出入库明细!$J$4:$J$2004,$Z860-2000))+N(INDEX(周转筐出入库明细!$K$4:$K$2004,$Z860-2000)),IF($Z860&lt;=5200,N(INDEX(客户自备加工筐明细!$F$4:$F$1203,$Z860-4000))+N(INDEX(客户自备加工筐明细!$G$4:$G$1203,$Z860-4000)),IF($Z860&lt;=5800,IF(INDEX(次果筐明细!$G$4:$G$603,$Z860-5200)=0,"",INDEX(次果筐明细!$G$4:$G$603,$Z860-5200)),"")))))</f>
        <v/>
      </c>
      <c r="I860" s="24" t="str">
        <f>IF($Z860="","",IF($Z860&lt;=2000,IF(INDEX(包装物料出入库明细!$G$4:$G$2003,$Z860-0)=0,"",INDEX(包装物料出入库明细!$G$4:$G$2003,$Z860-0)),IF($Z860&lt;=4000,"个",IF($Z860&lt;=5200,"个",IF($Z860&lt;=5800,"个","")))))</f>
        <v/>
      </c>
      <c r="J860" s="30" t="str">
        <f t="shared" si="40"/>
        <v/>
      </c>
      <c r="K860" s="30" t="str">
        <f>IF($Z860="","",IF($Z860&lt;=2000,IF(INDEX(包装物料出入库明细!$N$4:$N$2003,$Z860-0)=0,"",INDEX(包装物料出入库明细!$N$4:$N$2003,$Z860-0)),IF($Z860&lt;=4000,IF(INDEX(周转筐出入库明细!$P$4:$P$2004,$Z860-2000)=0,"",INDEX(周转筐出入库明细!$P$4:$P$2004,$Z860-2000)),IF($Z860&lt;=5200,"",IF($Z860&lt;=5800,N(INDEX(次果筐明细!$L$4:$L$603,$Z860-5200))+N(INDEX(次果筐明细!$J$4:$J$603,$Z860-5200)),"")))))</f>
        <v/>
      </c>
      <c r="L860" s="24" t="str">
        <f>IF($Z860="","",IF($Z860&lt;=2000,IF(INDEX(包装物料出入库明细!$P$4:$P$2003,$Z860-0)=0,"",INDEX(包装物料出入库明细!$P$4:$P$2003,$Z860-0)),IF($Z860&lt;=4000,IF(INDEX(周转筐出入库明细!$Q$4:$Q$2004,$Z860-2000)=0,"",INDEX(周转筐出入库明细!$Q$4:$Q$2004,$Z860-2000)),IF($Z860&lt;=5200,"",IF($Z860&lt;=5800,IF(INDEX(次果筐明细!$M$4:$M$603,$Z860-5200)=0,"",INDEX(次果筐明细!$M$4:$M$603,$Z860-5200)),"")))))</f>
        <v/>
      </c>
      <c r="M860" s="37" t="str">
        <f>IF($Z860="","",IF($Z860&lt;=2000,IF(INDEX(包装物料出入库明细!$R$4:$R$2003,$Z860-0)=0,"",INDEX(包装物料出入库明细!$R$4:$R$2003,$Z860-0)),IF($Z860&lt;=4000,IF(INDEX(周转筐出入库明细!$W$4:$W$2004,$Z860-2000)=0,"",INDEX(周转筐出入库明细!$W$4:$W$2004,$Z860-2000)),IF($Z860&lt;=5200,IF(INDEX(客户自备加工筐明细!$L$4:$L$1203,$Z860-4000)=0,"",INDEX(客户自备加工筐明细!$L$4:$L$1203,$Z860-4000)),IF($Z860&lt;=5800,IF(INDEX(次果筐明细!$P$4:$P$603,$Z860-5200)=0,"",INDEX(次果筐明细!$P$4:$P$603,$Z860-5200)),"")))))</f>
        <v/>
      </c>
      <c r="N860" s="16" t="str">
        <f>IF($Z860="","",IF($Z860&lt;=2000,"",IF($Z860&lt;=4000,IF(INDEX(周转筐出入库明细!$D$4:$D$2004,$Z860-2000)=0,"",INDEX(周转筐出入库明细!$D$4:$D$2004,$Z860-2000)),IF($Z860&lt;=5200,IF(INDEX(客户自备加工筐明细!$C$4:$C$1203,$Z860-4000)=0,"",INDEX(客户自备加工筐明细!$C$4:$C$1203,$Z860-4000)),IF($Z860&lt;=5800,IF(INDEX(次果筐明细!$D$4:$D$603,$Z860-5200)=0,"",INDEX(次果筐明细!$D$4:$D$603,$Z860-5200)),"")))))</f>
        <v/>
      </c>
      <c r="O860" s="40" t="str">
        <f>IF($Z860="","",IF($Z860&lt;=2000,"",IF($Z860&lt;=4000,IF(N(INDEX(周转筐出入库明细!$J$4:$J$2004,$Z860-2000))+N(INDEX(周转筐出入库明细!$K$4:$K$2004,$Z860-2000))=0,"",N(INDEX(周转筐出入库明细!$J$4:$J$2004,$Z860-2000))+N(INDEX(周转筐出入库明细!$K$4:$K$2004,$Z860-2000))),IF($Z860&lt;=5200,IF(N(INDEX(客户自备加工筐明细!$G$4:$G$1203,$Z860-4000))=0,"",N(INDEX(客户自备加工筐明细!$G$4:$G$1203,$Z860-4000))),IF($Z860&lt;=5800,IF(ISNUMBER(SEARCH("退",INDEX(次果筐明细!$F$4:$F$603,$Z860-5200)&amp;"")),"",IF(N(INDEX(次果筐明细!$G$4:$G$603,$Z860-5200))=0,"",N(INDEX(次果筐明细!$G$4:$G$603,$Z860-5200)))),"")))))</f>
        <v/>
      </c>
      <c r="P860" s="40" t="str">
        <f>IF($Z860="","",IF($Z860&lt;=2000,"",IF($Z860&lt;=4000,IF(N(INDEX(周转筐出入库明细!$I$4:$I$2004,$Z860-2000))=0,"",N(INDEX(周转筐出入库明细!$I$4:$I$2004,$Z860-2000))),IF($Z860&lt;=5200,"",IF($Z860&lt;=5800,IF(ISNUMBER(SEARCH("退",INDEX(次果筐明细!$F$4:$F$603,$Z860-5200)&amp;"")),IF(N(INDEX(次果筐明细!$G$4:$G$603,$Z860-5200))=0,"",N(INDEX(次果筐明细!$G$4:$G$603,$Z860-5200))),""),"")))))</f>
        <v/>
      </c>
      <c r="Q860" s="40" t="str">
        <f>IF($Z860="","",IF($Z860&lt;=2000,"",IF($Z860&lt;=4000,IF(N(INDEX(周转筐出入库明细!$H$4:$H$2004,$Z860-2000))=0,"",N(INDEX(周转筐出入库明细!$H$4:$H$2004,$Z860-2000))),IF($Z860&lt;=5200,IF(N(INDEX(客户自备加工筐明细!$F$4:$F$1203,$Z860-4000))=0,"",N(INDEX(客户自备加工筐明细!$F$4:$F$1203,$Z860-4000))),IF($Z860&lt;=5800,"","")))))</f>
        <v/>
      </c>
      <c r="R860" s="16" t="str">
        <f>IF($Z860="","",IF($Z860&lt;=2000,IF(INDEX(包装物料出入库明细!$O$4:$O$2003,$Z860-0)=0,"",INDEX(包装物料出入库明细!$O$4:$O$2003,$Z860-0)),IF($Z860&lt;=4000,IF(INDEX(周转筐出入库明细!$M$4:$M$2004,$Z860-2000)=0,"",INDEX(周转筐出入库明细!$M$4:$M$2004,$Z860-2000)),IF($Z860&lt;=5200,IF(INDEX(客户自备加工筐明细!$H$4:$H$1203,$Z860-4000)=0,"",INDEX(客户自备加工筐明细!$H$4:$H$1203,$Z860-4000)),IF($Z860&lt;=5800,IF(INDEX(次果筐明细!$H$4:$H$603,$Z860-5200)=0,"",INDEX(次果筐明细!$H$4:$H$603,$Z860-5200)),"")))))</f>
        <v/>
      </c>
      <c r="S860" s="22" t="str">
        <f t="shared" si="41"/>
        <v/>
      </c>
      <c r="Z860" s="10" t="str">
        <f>IFERROR(MATCH(ROW()-3,_自动清单!$CQ$4:$CQ$5803,0),"")</f>
        <v/>
      </c>
    </row>
    <row r="861" spans="1:26">
      <c r="A861" s="24" t="str">
        <f t="shared" si="39"/>
        <v/>
      </c>
      <c r="B861" s="38" t="str">
        <f>IF($Z861="","",IF($Z861&lt;=2000,IF(INDEX(包装物料出入库明细!$B$4:$B$2003,$Z861-0)=0,"",INDEX(包装物料出入库明细!$B$4:$B$2003,$Z861-0)),IF($Z861&lt;=4000,IF(INDEX(周转筐出入库明细!$B$4:$B$2004,$Z861-2000)=0,"",INDEX(周转筐出入库明细!$B$4:$B$2004,$Z861-2000)),IF($Z861&lt;=5200,IF(INDEX(客户自备加工筐明细!$B$4:$B$1203,$Z861-4000)=0,"",INDEX(客户自备加工筐明细!$B$4:$B$1203,$Z861-4000)),IF($Z861&lt;=5800,IF(INDEX(次果筐明细!$B$4:$B$603,$Z861-5200)=0,"",INDEX(次果筐明细!$B$4:$B$603,$Z861-5200)),"")))))</f>
        <v/>
      </c>
      <c r="C861" s="37" t="str">
        <f>IF($Z861="","",IF($Z861&lt;=2000,IF(INDEX(包装物料出入库明细!$D$4:$D$2003,$Z861-0)=0,"",INDEX(包装物料出入库明细!$D$4:$D$2003,$Z861-0)),IF($Z861&lt;=4000,IF(INDEX(周转筐出入库明细!$C$4:$C$2004,$Z861-2000)=0,"",INDEX(周转筐出入库明细!$C$4:$C$2004,$Z861-2000)),IF($Z861&lt;=5200,IF(INDEX(客户自备加工筐明细!$E$4:$E$1203,$Z861-4000)=0,"",INDEX(客户自备加工筐明细!$E$4:$E$1203,$Z861-4000)),IF($Z861&lt;=5800,IF(INDEX(次果筐明细!$C$4:$C$603,$Z861-5200)=0,"",INDEX(次果筐明细!$C$4:$C$603,$Z861-5200)),"")))))</f>
        <v/>
      </c>
      <c r="D861" s="37" t="str">
        <f>IF($Z861="","",IF($Z861&lt;=2000,"包装物料－"&amp;INDEX(包装物料出入库明细!$H$4:$H$2003,$Z861-0),IF($Z861&lt;=4000,"周转筐－"&amp;INDEX(周转筐出入库明细!$F$4:$F$2004,$Z861-2000),IF($Z861&lt;=5200,"客户自备筐－"&amp;INDEX(客户自备加工筐明细!$J$4:$J$1203,$Z861-4000),IF($Z861&lt;=5800,"次果筐/托盘－"&amp;INDEX(次果筐明细!$F$4:$F$603,$Z861-5200),"")))))</f>
        <v/>
      </c>
      <c r="E861" s="24" t="str">
        <f>IF($Z861="","",IF($Z861&lt;=2000,IF(INDEX(包装物料出入库明细!$C$4:$C$2003,$Z861-0)=0,"",INDEX(包装物料出入库明细!$C$4:$C$2003,$Z861-0)),IF($Z861&lt;=4000,IF(INDEX(周转筐出入库明细!$E$4:$E$2004,$Z861-2000)=0,"",INDEX(周转筐出入库明细!$E$4:$E$2004,$Z861-2000)),IF($Z861&lt;=5200,IF(INDEX(客户自备加工筐明细!$D$4:$D$1203,$Z861-4000)=0,"",INDEX(客户自备加工筐明细!$D$4:$D$1203,$Z861-4000)),IF($Z861&lt;=5800,IF(INDEX(次果筐明细!$E$4:$E$603,$Z861-5200)=0,"",INDEX(次果筐明细!$E$4:$E$603,$Z861-5200)),"")))))</f>
        <v/>
      </c>
      <c r="F861" s="24" t="str">
        <f>IF($Z861="","",IF($Z861&lt;=2000,IF(INDEX(包装物料出入库明细!$E$4:$E$2003,$Z861-0)=0,"",INDEX(包装物料出入库明细!$E$4:$E$2003,$Z861-0)),IF($Z861&lt;=4000,IF(INDEX(周转筐出入库明细!$D$4:$D$2004,$Z861-2000)=0,"",INDEX(周转筐出入库明细!$D$4:$D$2004,$Z861-2000)),IF($Z861&lt;=5200,IF(INDEX(客户自备加工筐明细!$C$4:$C$1203,$Z861-4000)=0,"",INDEX(客户自备加工筐明细!$C$4:$C$1203,$Z861-4000)),IF($Z861&lt;=5800,IF(INDEX(次果筐明细!$D$4:$D$603,$Z861-5200)=0,"",INDEX(次果筐明细!$D$4:$D$603,$Z861-5200)),"")))))</f>
        <v/>
      </c>
      <c r="G861" s="24" t="str">
        <f>IF($Z861="","",IF($Z861&lt;=2000,IF(INDEX(包装物料出入库明细!$F$4:$F$2003,$Z861-0)=0,"",INDEX(包装物料出入库明细!$F$4:$F$2003,$Z861-0)),IF($Z861&lt;=4000,"",IF($Z861&lt;=5200,"",IF($Z861&lt;=5800,"","")))))</f>
        <v/>
      </c>
      <c r="H861" s="39" t="str">
        <f>IF($Z861="","",IF($Z861&lt;=2000,IF(INDEX(包装物料出入库明细!$L$4:$L$2003,$Z861-0)=0,"",INDEX(包装物料出入库明细!$L$4:$L$2003,$Z861-0)),IF($Z861&lt;=4000,N(INDEX(周转筐出入库明细!$H$4:$H$2004,$Z861-2000))+N(INDEX(周转筐出入库明细!$I$4:$I$2004,$Z861-2000))+N(INDEX(周转筐出入库明细!$J$4:$J$2004,$Z861-2000))+N(INDEX(周转筐出入库明细!$K$4:$K$2004,$Z861-2000)),IF($Z861&lt;=5200,N(INDEX(客户自备加工筐明细!$F$4:$F$1203,$Z861-4000))+N(INDEX(客户自备加工筐明细!$G$4:$G$1203,$Z861-4000)),IF($Z861&lt;=5800,IF(INDEX(次果筐明细!$G$4:$G$603,$Z861-5200)=0,"",INDEX(次果筐明细!$G$4:$G$603,$Z861-5200)),"")))))</f>
        <v/>
      </c>
      <c r="I861" s="24" t="str">
        <f>IF($Z861="","",IF($Z861&lt;=2000,IF(INDEX(包装物料出入库明细!$G$4:$G$2003,$Z861-0)=0,"",INDEX(包装物料出入库明细!$G$4:$G$2003,$Z861-0)),IF($Z861&lt;=4000,"个",IF($Z861&lt;=5200,"个",IF($Z861&lt;=5800,"个","")))))</f>
        <v/>
      </c>
      <c r="J861" s="30" t="str">
        <f t="shared" si="40"/>
        <v/>
      </c>
      <c r="K861" s="30" t="str">
        <f>IF($Z861="","",IF($Z861&lt;=2000,IF(INDEX(包装物料出入库明细!$N$4:$N$2003,$Z861-0)=0,"",INDEX(包装物料出入库明细!$N$4:$N$2003,$Z861-0)),IF($Z861&lt;=4000,IF(INDEX(周转筐出入库明细!$P$4:$P$2004,$Z861-2000)=0,"",INDEX(周转筐出入库明细!$P$4:$P$2004,$Z861-2000)),IF($Z861&lt;=5200,"",IF($Z861&lt;=5800,N(INDEX(次果筐明细!$L$4:$L$603,$Z861-5200))+N(INDEX(次果筐明细!$J$4:$J$603,$Z861-5200)),"")))))</f>
        <v/>
      </c>
      <c r="L861" s="24" t="str">
        <f>IF($Z861="","",IF($Z861&lt;=2000,IF(INDEX(包装物料出入库明细!$P$4:$P$2003,$Z861-0)=0,"",INDEX(包装物料出入库明细!$P$4:$P$2003,$Z861-0)),IF($Z861&lt;=4000,IF(INDEX(周转筐出入库明细!$Q$4:$Q$2004,$Z861-2000)=0,"",INDEX(周转筐出入库明细!$Q$4:$Q$2004,$Z861-2000)),IF($Z861&lt;=5200,"",IF($Z861&lt;=5800,IF(INDEX(次果筐明细!$M$4:$M$603,$Z861-5200)=0,"",INDEX(次果筐明细!$M$4:$M$603,$Z861-5200)),"")))))</f>
        <v/>
      </c>
      <c r="M861" s="37" t="str">
        <f>IF($Z861="","",IF($Z861&lt;=2000,IF(INDEX(包装物料出入库明细!$R$4:$R$2003,$Z861-0)=0,"",INDEX(包装物料出入库明细!$R$4:$R$2003,$Z861-0)),IF($Z861&lt;=4000,IF(INDEX(周转筐出入库明细!$W$4:$W$2004,$Z861-2000)=0,"",INDEX(周转筐出入库明细!$W$4:$W$2004,$Z861-2000)),IF($Z861&lt;=5200,IF(INDEX(客户自备加工筐明细!$L$4:$L$1203,$Z861-4000)=0,"",INDEX(客户自备加工筐明细!$L$4:$L$1203,$Z861-4000)),IF($Z861&lt;=5800,IF(INDEX(次果筐明细!$P$4:$P$603,$Z861-5200)=0,"",INDEX(次果筐明细!$P$4:$P$603,$Z861-5200)),"")))))</f>
        <v/>
      </c>
      <c r="N861" s="16" t="str">
        <f>IF($Z861="","",IF($Z861&lt;=2000,"",IF($Z861&lt;=4000,IF(INDEX(周转筐出入库明细!$D$4:$D$2004,$Z861-2000)=0,"",INDEX(周转筐出入库明细!$D$4:$D$2004,$Z861-2000)),IF($Z861&lt;=5200,IF(INDEX(客户自备加工筐明细!$C$4:$C$1203,$Z861-4000)=0,"",INDEX(客户自备加工筐明细!$C$4:$C$1203,$Z861-4000)),IF($Z861&lt;=5800,IF(INDEX(次果筐明细!$D$4:$D$603,$Z861-5200)=0,"",INDEX(次果筐明细!$D$4:$D$603,$Z861-5200)),"")))))</f>
        <v/>
      </c>
      <c r="O861" s="40" t="str">
        <f>IF($Z861="","",IF($Z861&lt;=2000,"",IF($Z861&lt;=4000,IF(N(INDEX(周转筐出入库明细!$J$4:$J$2004,$Z861-2000))+N(INDEX(周转筐出入库明细!$K$4:$K$2004,$Z861-2000))=0,"",N(INDEX(周转筐出入库明细!$J$4:$J$2004,$Z861-2000))+N(INDEX(周转筐出入库明细!$K$4:$K$2004,$Z861-2000))),IF($Z861&lt;=5200,IF(N(INDEX(客户自备加工筐明细!$G$4:$G$1203,$Z861-4000))=0,"",N(INDEX(客户自备加工筐明细!$G$4:$G$1203,$Z861-4000))),IF($Z861&lt;=5800,IF(ISNUMBER(SEARCH("退",INDEX(次果筐明细!$F$4:$F$603,$Z861-5200)&amp;"")),"",IF(N(INDEX(次果筐明细!$G$4:$G$603,$Z861-5200))=0,"",N(INDEX(次果筐明细!$G$4:$G$603,$Z861-5200)))),"")))))</f>
        <v/>
      </c>
      <c r="P861" s="40" t="str">
        <f>IF($Z861="","",IF($Z861&lt;=2000,"",IF($Z861&lt;=4000,IF(N(INDEX(周转筐出入库明细!$I$4:$I$2004,$Z861-2000))=0,"",N(INDEX(周转筐出入库明细!$I$4:$I$2004,$Z861-2000))),IF($Z861&lt;=5200,"",IF($Z861&lt;=5800,IF(ISNUMBER(SEARCH("退",INDEX(次果筐明细!$F$4:$F$603,$Z861-5200)&amp;"")),IF(N(INDEX(次果筐明细!$G$4:$G$603,$Z861-5200))=0,"",N(INDEX(次果筐明细!$G$4:$G$603,$Z861-5200))),""),"")))))</f>
        <v/>
      </c>
      <c r="Q861" s="40" t="str">
        <f>IF($Z861="","",IF($Z861&lt;=2000,"",IF($Z861&lt;=4000,IF(N(INDEX(周转筐出入库明细!$H$4:$H$2004,$Z861-2000))=0,"",N(INDEX(周转筐出入库明细!$H$4:$H$2004,$Z861-2000))),IF($Z861&lt;=5200,IF(N(INDEX(客户自备加工筐明细!$F$4:$F$1203,$Z861-4000))=0,"",N(INDEX(客户自备加工筐明细!$F$4:$F$1203,$Z861-4000))),IF($Z861&lt;=5800,"","")))))</f>
        <v/>
      </c>
      <c r="R861" s="16" t="str">
        <f>IF($Z861="","",IF($Z861&lt;=2000,IF(INDEX(包装物料出入库明细!$O$4:$O$2003,$Z861-0)=0,"",INDEX(包装物料出入库明细!$O$4:$O$2003,$Z861-0)),IF($Z861&lt;=4000,IF(INDEX(周转筐出入库明细!$M$4:$M$2004,$Z861-2000)=0,"",INDEX(周转筐出入库明细!$M$4:$M$2004,$Z861-2000)),IF($Z861&lt;=5200,IF(INDEX(客户自备加工筐明细!$H$4:$H$1203,$Z861-4000)=0,"",INDEX(客户自备加工筐明细!$H$4:$H$1203,$Z861-4000)),IF($Z861&lt;=5800,IF(INDEX(次果筐明细!$H$4:$H$603,$Z861-5200)=0,"",INDEX(次果筐明细!$H$4:$H$603,$Z861-5200)),"")))))</f>
        <v/>
      </c>
      <c r="S861" s="22" t="str">
        <f t="shared" si="41"/>
        <v/>
      </c>
      <c r="Z861" s="10" t="str">
        <f>IFERROR(MATCH(ROW()-3,_自动清单!$CQ$4:$CQ$5803,0),"")</f>
        <v/>
      </c>
    </row>
    <row r="862" spans="1:26">
      <c r="A862" s="24" t="str">
        <f t="shared" si="39"/>
        <v/>
      </c>
      <c r="B862" s="38" t="str">
        <f>IF($Z862="","",IF($Z862&lt;=2000,IF(INDEX(包装物料出入库明细!$B$4:$B$2003,$Z862-0)=0,"",INDEX(包装物料出入库明细!$B$4:$B$2003,$Z862-0)),IF($Z862&lt;=4000,IF(INDEX(周转筐出入库明细!$B$4:$B$2004,$Z862-2000)=0,"",INDEX(周转筐出入库明细!$B$4:$B$2004,$Z862-2000)),IF($Z862&lt;=5200,IF(INDEX(客户自备加工筐明细!$B$4:$B$1203,$Z862-4000)=0,"",INDEX(客户自备加工筐明细!$B$4:$B$1203,$Z862-4000)),IF($Z862&lt;=5800,IF(INDEX(次果筐明细!$B$4:$B$603,$Z862-5200)=0,"",INDEX(次果筐明细!$B$4:$B$603,$Z862-5200)),"")))))</f>
        <v/>
      </c>
      <c r="C862" s="37" t="str">
        <f>IF($Z862="","",IF($Z862&lt;=2000,IF(INDEX(包装物料出入库明细!$D$4:$D$2003,$Z862-0)=0,"",INDEX(包装物料出入库明细!$D$4:$D$2003,$Z862-0)),IF($Z862&lt;=4000,IF(INDEX(周转筐出入库明细!$C$4:$C$2004,$Z862-2000)=0,"",INDEX(周转筐出入库明细!$C$4:$C$2004,$Z862-2000)),IF($Z862&lt;=5200,IF(INDEX(客户自备加工筐明细!$E$4:$E$1203,$Z862-4000)=0,"",INDEX(客户自备加工筐明细!$E$4:$E$1203,$Z862-4000)),IF($Z862&lt;=5800,IF(INDEX(次果筐明细!$C$4:$C$603,$Z862-5200)=0,"",INDEX(次果筐明细!$C$4:$C$603,$Z862-5200)),"")))))</f>
        <v/>
      </c>
      <c r="D862" s="37" t="str">
        <f>IF($Z862="","",IF($Z862&lt;=2000,"包装物料－"&amp;INDEX(包装物料出入库明细!$H$4:$H$2003,$Z862-0),IF($Z862&lt;=4000,"周转筐－"&amp;INDEX(周转筐出入库明细!$F$4:$F$2004,$Z862-2000),IF($Z862&lt;=5200,"客户自备筐－"&amp;INDEX(客户自备加工筐明细!$J$4:$J$1203,$Z862-4000),IF($Z862&lt;=5800,"次果筐/托盘－"&amp;INDEX(次果筐明细!$F$4:$F$603,$Z862-5200),"")))))</f>
        <v/>
      </c>
      <c r="E862" s="24" t="str">
        <f>IF($Z862="","",IF($Z862&lt;=2000,IF(INDEX(包装物料出入库明细!$C$4:$C$2003,$Z862-0)=0,"",INDEX(包装物料出入库明细!$C$4:$C$2003,$Z862-0)),IF($Z862&lt;=4000,IF(INDEX(周转筐出入库明细!$E$4:$E$2004,$Z862-2000)=0,"",INDEX(周转筐出入库明细!$E$4:$E$2004,$Z862-2000)),IF($Z862&lt;=5200,IF(INDEX(客户自备加工筐明细!$D$4:$D$1203,$Z862-4000)=0,"",INDEX(客户自备加工筐明细!$D$4:$D$1203,$Z862-4000)),IF($Z862&lt;=5800,IF(INDEX(次果筐明细!$E$4:$E$603,$Z862-5200)=0,"",INDEX(次果筐明细!$E$4:$E$603,$Z862-5200)),"")))))</f>
        <v/>
      </c>
      <c r="F862" s="24" t="str">
        <f>IF($Z862="","",IF($Z862&lt;=2000,IF(INDEX(包装物料出入库明细!$E$4:$E$2003,$Z862-0)=0,"",INDEX(包装物料出入库明细!$E$4:$E$2003,$Z862-0)),IF($Z862&lt;=4000,IF(INDEX(周转筐出入库明细!$D$4:$D$2004,$Z862-2000)=0,"",INDEX(周转筐出入库明细!$D$4:$D$2004,$Z862-2000)),IF($Z862&lt;=5200,IF(INDEX(客户自备加工筐明细!$C$4:$C$1203,$Z862-4000)=0,"",INDEX(客户自备加工筐明细!$C$4:$C$1203,$Z862-4000)),IF($Z862&lt;=5800,IF(INDEX(次果筐明细!$D$4:$D$603,$Z862-5200)=0,"",INDEX(次果筐明细!$D$4:$D$603,$Z862-5200)),"")))))</f>
        <v/>
      </c>
      <c r="G862" s="24" t="str">
        <f>IF($Z862="","",IF($Z862&lt;=2000,IF(INDEX(包装物料出入库明细!$F$4:$F$2003,$Z862-0)=0,"",INDEX(包装物料出入库明细!$F$4:$F$2003,$Z862-0)),IF($Z862&lt;=4000,"",IF($Z862&lt;=5200,"",IF($Z862&lt;=5800,"","")))))</f>
        <v/>
      </c>
      <c r="H862" s="39" t="str">
        <f>IF($Z862="","",IF($Z862&lt;=2000,IF(INDEX(包装物料出入库明细!$L$4:$L$2003,$Z862-0)=0,"",INDEX(包装物料出入库明细!$L$4:$L$2003,$Z862-0)),IF($Z862&lt;=4000,N(INDEX(周转筐出入库明细!$H$4:$H$2004,$Z862-2000))+N(INDEX(周转筐出入库明细!$I$4:$I$2004,$Z862-2000))+N(INDEX(周转筐出入库明细!$J$4:$J$2004,$Z862-2000))+N(INDEX(周转筐出入库明细!$K$4:$K$2004,$Z862-2000)),IF($Z862&lt;=5200,N(INDEX(客户自备加工筐明细!$F$4:$F$1203,$Z862-4000))+N(INDEX(客户自备加工筐明细!$G$4:$G$1203,$Z862-4000)),IF($Z862&lt;=5800,IF(INDEX(次果筐明细!$G$4:$G$603,$Z862-5200)=0,"",INDEX(次果筐明细!$G$4:$G$603,$Z862-5200)),"")))))</f>
        <v/>
      </c>
      <c r="I862" s="24" t="str">
        <f>IF($Z862="","",IF($Z862&lt;=2000,IF(INDEX(包装物料出入库明细!$G$4:$G$2003,$Z862-0)=0,"",INDEX(包装物料出入库明细!$G$4:$G$2003,$Z862-0)),IF($Z862&lt;=4000,"个",IF($Z862&lt;=5200,"个",IF($Z862&lt;=5800,"个","")))))</f>
        <v/>
      </c>
      <c r="J862" s="30" t="str">
        <f t="shared" si="40"/>
        <v/>
      </c>
      <c r="K862" s="30" t="str">
        <f>IF($Z862="","",IF($Z862&lt;=2000,IF(INDEX(包装物料出入库明细!$N$4:$N$2003,$Z862-0)=0,"",INDEX(包装物料出入库明细!$N$4:$N$2003,$Z862-0)),IF($Z862&lt;=4000,IF(INDEX(周转筐出入库明细!$P$4:$P$2004,$Z862-2000)=0,"",INDEX(周转筐出入库明细!$P$4:$P$2004,$Z862-2000)),IF($Z862&lt;=5200,"",IF($Z862&lt;=5800,N(INDEX(次果筐明细!$L$4:$L$603,$Z862-5200))+N(INDEX(次果筐明细!$J$4:$J$603,$Z862-5200)),"")))))</f>
        <v/>
      </c>
      <c r="L862" s="24" t="str">
        <f>IF($Z862="","",IF($Z862&lt;=2000,IF(INDEX(包装物料出入库明细!$P$4:$P$2003,$Z862-0)=0,"",INDEX(包装物料出入库明细!$P$4:$P$2003,$Z862-0)),IF($Z862&lt;=4000,IF(INDEX(周转筐出入库明细!$Q$4:$Q$2004,$Z862-2000)=0,"",INDEX(周转筐出入库明细!$Q$4:$Q$2004,$Z862-2000)),IF($Z862&lt;=5200,"",IF($Z862&lt;=5800,IF(INDEX(次果筐明细!$M$4:$M$603,$Z862-5200)=0,"",INDEX(次果筐明细!$M$4:$M$603,$Z862-5200)),"")))))</f>
        <v/>
      </c>
      <c r="M862" s="37" t="str">
        <f>IF($Z862="","",IF($Z862&lt;=2000,IF(INDEX(包装物料出入库明细!$R$4:$R$2003,$Z862-0)=0,"",INDEX(包装物料出入库明细!$R$4:$R$2003,$Z862-0)),IF($Z862&lt;=4000,IF(INDEX(周转筐出入库明细!$W$4:$W$2004,$Z862-2000)=0,"",INDEX(周转筐出入库明细!$W$4:$W$2004,$Z862-2000)),IF($Z862&lt;=5200,IF(INDEX(客户自备加工筐明细!$L$4:$L$1203,$Z862-4000)=0,"",INDEX(客户自备加工筐明细!$L$4:$L$1203,$Z862-4000)),IF($Z862&lt;=5800,IF(INDEX(次果筐明细!$P$4:$P$603,$Z862-5200)=0,"",INDEX(次果筐明细!$P$4:$P$603,$Z862-5200)),"")))))</f>
        <v/>
      </c>
      <c r="N862" s="16" t="str">
        <f>IF($Z862="","",IF($Z862&lt;=2000,"",IF($Z862&lt;=4000,IF(INDEX(周转筐出入库明细!$D$4:$D$2004,$Z862-2000)=0,"",INDEX(周转筐出入库明细!$D$4:$D$2004,$Z862-2000)),IF($Z862&lt;=5200,IF(INDEX(客户自备加工筐明细!$C$4:$C$1203,$Z862-4000)=0,"",INDEX(客户自备加工筐明细!$C$4:$C$1203,$Z862-4000)),IF($Z862&lt;=5800,IF(INDEX(次果筐明细!$D$4:$D$603,$Z862-5200)=0,"",INDEX(次果筐明细!$D$4:$D$603,$Z862-5200)),"")))))</f>
        <v/>
      </c>
      <c r="O862" s="40" t="str">
        <f>IF($Z862="","",IF($Z862&lt;=2000,"",IF($Z862&lt;=4000,IF(N(INDEX(周转筐出入库明细!$J$4:$J$2004,$Z862-2000))+N(INDEX(周转筐出入库明细!$K$4:$K$2004,$Z862-2000))=0,"",N(INDEX(周转筐出入库明细!$J$4:$J$2004,$Z862-2000))+N(INDEX(周转筐出入库明细!$K$4:$K$2004,$Z862-2000))),IF($Z862&lt;=5200,IF(N(INDEX(客户自备加工筐明细!$G$4:$G$1203,$Z862-4000))=0,"",N(INDEX(客户自备加工筐明细!$G$4:$G$1203,$Z862-4000))),IF($Z862&lt;=5800,IF(ISNUMBER(SEARCH("退",INDEX(次果筐明细!$F$4:$F$603,$Z862-5200)&amp;"")),"",IF(N(INDEX(次果筐明细!$G$4:$G$603,$Z862-5200))=0,"",N(INDEX(次果筐明细!$G$4:$G$603,$Z862-5200)))),"")))))</f>
        <v/>
      </c>
      <c r="P862" s="40" t="str">
        <f>IF($Z862="","",IF($Z862&lt;=2000,"",IF($Z862&lt;=4000,IF(N(INDEX(周转筐出入库明细!$I$4:$I$2004,$Z862-2000))=0,"",N(INDEX(周转筐出入库明细!$I$4:$I$2004,$Z862-2000))),IF($Z862&lt;=5200,"",IF($Z862&lt;=5800,IF(ISNUMBER(SEARCH("退",INDEX(次果筐明细!$F$4:$F$603,$Z862-5200)&amp;"")),IF(N(INDEX(次果筐明细!$G$4:$G$603,$Z862-5200))=0,"",N(INDEX(次果筐明细!$G$4:$G$603,$Z862-5200))),""),"")))))</f>
        <v/>
      </c>
      <c r="Q862" s="40" t="str">
        <f>IF($Z862="","",IF($Z862&lt;=2000,"",IF($Z862&lt;=4000,IF(N(INDEX(周转筐出入库明细!$H$4:$H$2004,$Z862-2000))=0,"",N(INDEX(周转筐出入库明细!$H$4:$H$2004,$Z862-2000))),IF($Z862&lt;=5200,IF(N(INDEX(客户自备加工筐明细!$F$4:$F$1203,$Z862-4000))=0,"",N(INDEX(客户自备加工筐明细!$F$4:$F$1203,$Z862-4000))),IF($Z862&lt;=5800,"","")))))</f>
        <v/>
      </c>
      <c r="R862" s="16" t="str">
        <f>IF($Z862="","",IF($Z862&lt;=2000,IF(INDEX(包装物料出入库明细!$O$4:$O$2003,$Z862-0)=0,"",INDEX(包装物料出入库明细!$O$4:$O$2003,$Z862-0)),IF($Z862&lt;=4000,IF(INDEX(周转筐出入库明细!$M$4:$M$2004,$Z862-2000)=0,"",INDEX(周转筐出入库明细!$M$4:$M$2004,$Z862-2000)),IF($Z862&lt;=5200,IF(INDEX(客户自备加工筐明细!$H$4:$H$1203,$Z862-4000)=0,"",INDEX(客户自备加工筐明细!$H$4:$H$1203,$Z862-4000)),IF($Z862&lt;=5800,IF(INDEX(次果筐明细!$H$4:$H$603,$Z862-5200)=0,"",INDEX(次果筐明细!$H$4:$H$603,$Z862-5200)),"")))))</f>
        <v/>
      </c>
      <c r="S862" s="22" t="str">
        <f t="shared" si="41"/>
        <v/>
      </c>
      <c r="Z862" s="10" t="str">
        <f>IFERROR(MATCH(ROW()-3,_自动清单!$CQ$4:$CQ$5803,0),"")</f>
        <v/>
      </c>
    </row>
    <row r="863" spans="1:26">
      <c r="A863" s="24" t="str">
        <f t="shared" si="39"/>
        <v/>
      </c>
      <c r="B863" s="38" t="str">
        <f>IF($Z863="","",IF($Z863&lt;=2000,IF(INDEX(包装物料出入库明细!$B$4:$B$2003,$Z863-0)=0,"",INDEX(包装物料出入库明细!$B$4:$B$2003,$Z863-0)),IF($Z863&lt;=4000,IF(INDEX(周转筐出入库明细!$B$4:$B$2004,$Z863-2000)=0,"",INDEX(周转筐出入库明细!$B$4:$B$2004,$Z863-2000)),IF($Z863&lt;=5200,IF(INDEX(客户自备加工筐明细!$B$4:$B$1203,$Z863-4000)=0,"",INDEX(客户自备加工筐明细!$B$4:$B$1203,$Z863-4000)),IF($Z863&lt;=5800,IF(INDEX(次果筐明细!$B$4:$B$603,$Z863-5200)=0,"",INDEX(次果筐明细!$B$4:$B$603,$Z863-5200)),"")))))</f>
        <v/>
      </c>
      <c r="C863" s="37" t="str">
        <f>IF($Z863="","",IF($Z863&lt;=2000,IF(INDEX(包装物料出入库明细!$D$4:$D$2003,$Z863-0)=0,"",INDEX(包装物料出入库明细!$D$4:$D$2003,$Z863-0)),IF($Z863&lt;=4000,IF(INDEX(周转筐出入库明细!$C$4:$C$2004,$Z863-2000)=0,"",INDEX(周转筐出入库明细!$C$4:$C$2004,$Z863-2000)),IF($Z863&lt;=5200,IF(INDEX(客户自备加工筐明细!$E$4:$E$1203,$Z863-4000)=0,"",INDEX(客户自备加工筐明细!$E$4:$E$1203,$Z863-4000)),IF($Z863&lt;=5800,IF(INDEX(次果筐明细!$C$4:$C$603,$Z863-5200)=0,"",INDEX(次果筐明细!$C$4:$C$603,$Z863-5200)),"")))))</f>
        <v/>
      </c>
      <c r="D863" s="37" t="str">
        <f>IF($Z863="","",IF($Z863&lt;=2000,"包装物料－"&amp;INDEX(包装物料出入库明细!$H$4:$H$2003,$Z863-0),IF($Z863&lt;=4000,"周转筐－"&amp;INDEX(周转筐出入库明细!$F$4:$F$2004,$Z863-2000),IF($Z863&lt;=5200,"客户自备筐－"&amp;INDEX(客户自备加工筐明细!$J$4:$J$1203,$Z863-4000),IF($Z863&lt;=5800,"次果筐/托盘－"&amp;INDEX(次果筐明细!$F$4:$F$603,$Z863-5200),"")))))</f>
        <v/>
      </c>
      <c r="E863" s="24" t="str">
        <f>IF($Z863="","",IF($Z863&lt;=2000,IF(INDEX(包装物料出入库明细!$C$4:$C$2003,$Z863-0)=0,"",INDEX(包装物料出入库明细!$C$4:$C$2003,$Z863-0)),IF($Z863&lt;=4000,IF(INDEX(周转筐出入库明细!$E$4:$E$2004,$Z863-2000)=0,"",INDEX(周转筐出入库明细!$E$4:$E$2004,$Z863-2000)),IF($Z863&lt;=5200,IF(INDEX(客户自备加工筐明细!$D$4:$D$1203,$Z863-4000)=0,"",INDEX(客户自备加工筐明细!$D$4:$D$1203,$Z863-4000)),IF($Z863&lt;=5800,IF(INDEX(次果筐明细!$E$4:$E$603,$Z863-5200)=0,"",INDEX(次果筐明细!$E$4:$E$603,$Z863-5200)),"")))))</f>
        <v/>
      </c>
      <c r="F863" s="24" t="str">
        <f>IF($Z863="","",IF($Z863&lt;=2000,IF(INDEX(包装物料出入库明细!$E$4:$E$2003,$Z863-0)=0,"",INDEX(包装物料出入库明细!$E$4:$E$2003,$Z863-0)),IF($Z863&lt;=4000,IF(INDEX(周转筐出入库明细!$D$4:$D$2004,$Z863-2000)=0,"",INDEX(周转筐出入库明细!$D$4:$D$2004,$Z863-2000)),IF($Z863&lt;=5200,IF(INDEX(客户自备加工筐明细!$C$4:$C$1203,$Z863-4000)=0,"",INDEX(客户自备加工筐明细!$C$4:$C$1203,$Z863-4000)),IF($Z863&lt;=5800,IF(INDEX(次果筐明细!$D$4:$D$603,$Z863-5200)=0,"",INDEX(次果筐明细!$D$4:$D$603,$Z863-5200)),"")))))</f>
        <v/>
      </c>
      <c r="G863" s="24" t="str">
        <f>IF($Z863="","",IF($Z863&lt;=2000,IF(INDEX(包装物料出入库明细!$F$4:$F$2003,$Z863-0)=0,"",INDEX(包装物料出入库明细!$F$4:$F$2003,$Z863-0)),IF($Z863&lt;=4000,"",IF($Z863&lt;=5200,"",IF($Z863&lt;=5800,"","")))))</f>
        <v/>
      </c>
      <c r="H863" s="39" t="str">
        <f>IF($Z863="","",IF($Z863&lt;=2000,IF(INDEX(包装物料出入库明细!$L$4:$L$2003,$Z863-0)=0,"",INDEX(包装物料出入库明细!$L$4:$L$2003,$Z863-0)),IF($Z863&lt;=4000,N(INDEX(周转筐出入库明细!$H$4:$H$2004,$Z863-2000))+N(INDEX(周转筐出入库明细!$I$4:$I$2004,$Z863-2000))+N(INDEX(周转筐出入库明细!$J$4:$J$2004,$Z863-2000))+N(INDEX(周转筐出入库明细!$K$4:$K$2004,$Z863-2000)),IF($Z863&lt;=5200,N(INDEX(客户自备加工筐明细!$F$4:$F$1203,$Z863-4000))+N(INDEX(客户自备加工筐明细!$G$4:$G$1203,$Z863-4000)),IF($Z863&lt;=5800,IF(INDEX(次果筐明细!$G$4:$G$603,$Z863-5200)=0,"",INDEX(次果筐明细!$G$4:$G$603,$Z863-5200)),"")))))</f>
        <v/>
      </c>
      <c r="I863" s="24" t="str">
        <f>IF($Z863="","",IF($Z863&lt;=2000,IF(INDEX(包装物料出入库明细!$G$4:$G$2003,$Z863-0)=0,"",INDEX(包装物料出入库明细!$G$4:$G$2003,$Z863-0)),IF($Z863&lt;=4000,"个",IF($Z863&lt;=5200,"个",IF($Z863&lt;=5800,"个","")))))</f>
        <v/>
      </c>
      <c r="J863" s="30" t="str">
        <f t="shared" si="40"/>
        <v/>
      </c>
      <c r="K863" s="30" t="str">
        <f>IF($Z863="","",IF($Z863&lt;=2000,IF(INDEX(包装物料出入库明细!$N$4:$N$2003,$Z863-0)=0,"",INDEX(包装物料出入库明细!$N$4:$N$2003,$Z863-0)),IF($Z863&lt;=4000,IF(INDEX(周转筐出入库明细!$P$4:$P$2004,$Z863-2000)=0,"",INDEX(周转筐出入库明细!$P$4:$P$2004,$Z863-2000)),IF($Z863&lt;=5200,"",IF($Z863&lt;=5800,N(INDEX(次果筐明细!$L$4:$L$603,$Z863-5200))+N(INDEX(次果筐明细!$J$4:$J$603,$Z863-5200)),"")))))</f>
        <v/>
      </c>
      <c r="L863" s="24" t="str">
        <f>IF($Z863="","",IF($Z863&lt;=2000,IF(INDEX(包装物料出入库明细!$P$4:$P$2003,$Z863-0)=0,"",INDEX(包装物料出入库明细!$P$4:$P$2003,$Z863-0)),IF($Z863&lt;=4000,IF(INDEX(周转筐出入库明细!$Q$4:$Q$2004,$Z863-2000)=0,"",INDEX(周转筐出入库明细!$Q$4:$Q$2004,$Z863-2000)),IF($Z863&lt;=5200,"",IF($Z863&lt;=5800,IF(INDEX(次果筐明细!$M$4:$M$603,$Z863-5200)=0,"",INDEX(次果筐明细!$M$4:$M$603,$Z863-5200)),"")))))</f>
        <v/>
      </c>
      <c r="M863" s="37" t="str">
        <f>IF($Z863="","",IF($Z863&lt;=2000,IF(INDEX(包装物料出入库明细!$R$4:$R$2003,$Z863-0)=0,"",INDEX(包装物料出入库明细!$R$4:$R$2003,$Z863-0)),IF($Z863&lt;=4000,IF(INDEX(周转筐出入库明细!$W$4:$W$2004,$Z863-2000)=0,"",INDEX(周转筐出入库明细!$W$4:$W$2004,$Z863-2000)),IF($Z863&lt;=5200,IF(INDEX(客户自备加工筐明细!$L$4:$L$1203,$Z863-4000)=0,"",INDEX(客户自备加工筐明细!$L$4:$L$1203,$Z863-4000)),IF($Z863&lt;=5800,IF(INDEX(次果筐明细!$P$4:$P$603,$Z863-5200)=0,"",INDEX(次果筐明细!$P$4:$P$603,$Z863-5200)),"")))))</f>
        <v/>
      </c>
      <c r="N863" s="16" t="str">
        <f>IF($Z863="","",IF($Z863&lt;=2000,"",IF($Z863&lt;=4000,IF(INDEX(周转筐出入库明细!$D$4:$D$2004,$Z863-2000)=0,"",INDEX(周转筐出入库明细!$D$4:$D$2004,$Z863-2000)),IF($Z863&lt;=5200,IF(INDEX(客户自备加工筐明细!$C$4:$C$1203,$Z863-4000)=0,"",INDEX(客户自备加工筐明细!$C$4:$C$1203,$Z863-4000)),IF($Z863&lt;=5800,IF(INDEX(次果筐明细!$D$4:$D$603,$Z863-5200)=0,"",INDEX(次果筐明细!$D$4:$D$603,$Z863-5200)),"")))))</f>
        <v/>
      </c>
      <c r="O863" s="40" t="str">
        <f>IF($Z863="","",IF($Z863&lt;=2000,"",IF($Z863&lt;=4000,IF(N(INDEX(周转筐出入库明细!$J$4:$J$2004,$Z863-2000))+N(INDEX(周转筐出入库明细!$K$4:$K$2004,$Z863-2000))=0,"",N(INDEX(周转筐出入库明细!$J$4:$J$2004,$Z863-2000))+N(INDEX(周转筐出入库明细!$K$4:$K$2004,$Z863-2000))),IF($Z863&lt;=5200,IF(N(INDEX(客户自备加工筐明细!$G$4:$G$1203,$Z863-4000))=0,"",N(INDEX(客户自备加工筐明细!$G$4:$G$1203,$Z863-4000))),IF($Z863&lt;=5800,IF(ISNUMBER(SEARCH("退",INDEX(次果筐明细!$F$4:$F$603,$Z863-5200)&amp;"")),"",IF(N(INDEX(次果筐明细!$G$4:$G$603,$Z863-5200))=0,"",N(INDEX(次果筐明细!$G$4:$G$603,$Z863-5200)))),"")))))</f>
        <v/>
      </c>
      <c r="P863" s="40" t="str">
        <f>IF($Z863="","",IF($Z863&lt;=2000,"",IF($Z863&lt;=4000,IF(N(INDEX(周转筐出入库明细!$I$4:$I$2004,$Z863-2000))=0,"",N(INDEX(周转筐出入库明细!$I$4:$I$2004,$Z863-2000))),IF($Z863&lt;=5200,"",IF($Z863&lt;=5800,IF(ISNUMBER(SEARCH("退",INDEX(次果筐明细!$F$4:$F$603,$Z863-5200)&amp;"")),IF(N(INDEX(次果筐明细!$G$4:$G$603,$Z863-5200))=0,"",N(INDEX(次果筐明细!$G$4:$G$603,$Z863-5200))),""),"")))))</f>
        <v/>
      </c>
      <c r="Q863" s="40" t="str">
        <f>IF($Z863="","",IF($Z863&lt;=2000,"",IF($Z863&lt;=4000,IF(N(INDEX(周转筐出入库明细!$H$4:$H$2004,$Z863-2000))=0,"",N(INDEX(周转筐出入库明细!$H$4:$H$2004,$Z863-2000))),IF($Z863&lt;=5200,IF(N(INDEX(客户自备加工筐明细!$F$4:$F$1203,$Z863-4000))=0,"",N(INDEX(客户自备加工筐明细!$F$4:$F$1203,$Z863-4000))),IF($Z863&lt;=5800,"","")))))</f>
        <v/>
      </c>
      <c r="R863" s="16" t="str">
        <f>IF($Z863="","",IF($Z863&lt;=2000,IF(INDEX(包装物料出入库明细!$O$4:$O$2003,$Z863-0)=0,"",INDEX(包装物料出入库明细!$O$4:$O$2003,$Z863-0)),IF($Z863&lt;=4000,IF(INDEX(周转筐出入库明细!$M$4:$M$2004,$Z863-2000)=0,"",INDEX(周转筐出入库明细!$M$4:$M$2004,$Z863-2000)),IF($Z863&lt;=5200,IF(INDEX(客户自备加工筐明细!$H$4:$H$1203,$Z863-4000)=0,"",INDEX(客户自备加工筐明细!$H$4:$H$1203,$Z863-4000)),IF($Z863&lt;=5800,IF(INDEX(次果筐明细!$H$4:$H$603,$Z863-5200)=0,"",INDEX(次果筐明细!$H$4:$H$603,$Z863-5200)),"")))))</f>
        <v/>
      </c>
      <c r="S863" s="22" t="str">
        <f t="shared" si="41"/>
        <v/>
      </c>
      <c r="Z863" s="10" t="str">
        <f>IFERROR(MATCH(ROW()-3,_自动清单!$CQ$4:$CQ$5803,0),"")</f>
        <v/>
      </c>
    </row>
    <row r="864" spans="1:26">
      <c r="A864" s="24" t="str">
        <f t="shared" si="39"/>
        <v/>
      </c>
      <c r="B864" s="38" t="str">
        <f>IF($Z864="","",IF($Z864&lt;=2000,IF(INDEX(包装物料出入库明细!$B$4:$B$2003,$Z864-0)=0,"",INDEX(包装物料出入库明细!$B$4:$B$2003,$Z864-0)),IF($Z864&lt;=4000,IF(INDEX(周转筐出入库明细!$B$4:$B$2004,$Z864-2000)=0,"",INDEX(周转筐出入库明细!$B$4:$B$2004,$Z864-2000)),IF($Z864&lt;=5200,IF(INDEX(客户自备加工筐明细!$B$4:$B$1203,$Z864-4000)=0,"",INDEX(客户自备加工筐明细!$B$4:$B$1203,$Z864-4000)),IF($Z864&lt;=5800,IF(INDEX(次果筐明细!$B$4:$B$603,$Z864-5200)=0,"",INDEX(次果筐明细!$B$4:$B$603,$Z864-5200)),"")))))</f>
        <v/>
      </c>
      <c r="C864" s="37" t="str">
        <f>IF($Z864="","",IF($Z864&lt;=2000,IF(INDEX(包装物料出入库明细!$D$4:$D$2003,$Z864-0)=0,"",INDEX(包装物料出入库明细!$D$4:$D$2003,$Z864-0)),IF($Z864&lt;=4000,IF(INDEX(周转筐出入库明细!$C$4:$C$2004,$Z864-2000)=0,"",INDEX(周转筐出入库明细!$C$4:$C$2004,$Z864-2000)),IF($Z864&lt;=5200,IF(INDEX(客户自备加工筐明细!$E$4:$E$1203,$Z864-4000)=0,"",INDEX(客户自备加工筐明细!$E$4:$E$1203,$Z864-4000)),IF($Z864&lt;=5800,IF(INDEX(次果筐明细!$C$4:$C$603,$Z864-5200)=0,"",INDEX(次果筐明细!$C$4:$C$603,$Z864-5200)),"")))))</f>
        <v/>
      </c>
      <c r="D864" s="37" t="str">
        <f>IF($Z864="","",IF($Z864&lt;=2000,"包装物料－"&amp;INDEX(包装物料出入库明细!$H$4:$H$2003,$Z864-0),IF($Z864&lt;=4000,"周转筐－"&amp;INDEX(周转筐出入库明细!$F$4:$F$2004,$Z864-2000),IF($Z864&lt;=5200,"客户自备筐－"&amp;INDEX(客户自备加工筐明细!$J$4:$J$1203,$Z864-4000),IF($Z864&lt;=5800,"次果筐/托盘－"&amp;INDEX(次果筐明细!$F$4:$F$603,$Z864-5200),"")))))</f>
        <v/>
      </c>
      <c r="E864" s="24" t="str">
        <f>IF($Z864="","",IF($Z864&lt;=2000,IF(INDEX(包装物料出入库明细!$C$4:$C$2003,$Z864-0)=0,"",INDEX(包装物料出入库明细!$C$4:$C$2003,$Z864-0)),IF($Z864&lt;=4000,IF(INDEX(周转筐出入库明细!$E$4:$E$2004,$Z864-2000)=0,"",INDEX(周转筐出入库明细!$E$4:$E$2004,$Z864-2000)),IF($Z864&lt;=5200,IF(INDEX(客户自备加工筐明细!$D$4:$D$1203,$Z864-4000)=0,"",INDEX(客户自备加工筐明细!$D$4:$D$1203,$Z864-4000)),IF($Z864&lt;=5800,IF(INDEX(次果筐明细!$E$4:$E$603,$Z864-5200)=0,"",INDEX(次果筐明细!$E$4:$E$603,$Z864-5200)),"")))))</f>
        <v/>
      </c>
      <c r="F864" s="24" t="str">
        <f>IF($Z864="","",IF($Z864&lt;=2000,IF(INDEX(包装物料出入库明细!$E$4:$E$2003,$Z864-0)=0,"",INDEX(包装物料出入库明细!$E$4:$E$2003,$Z864-0)),IF($Z864&lt;=4000,IF(INDEX(周转筐出入库明细!$D$4:$D$2004,$Z864-2000)=0,"",INDEX(周转筐出入库明细!$D$4:$D$2004,$Z864-2000)),IF($Z864&lt;=5200,IF(INDEX(客户自备加工筐明细!$C$4:$C$1203,$Z864-4000)=0,"",INDEX(客户自备加工筐明细!$C$4:$C$1203,$Z864-4000)),IF($Z864&lt;=5800,IF(INDEX(次果筐明细!$D$4:$D$603,$Z864-5200)=0,"",INDEX(次果筐明细!$D$4:$D$603,$Z864-5200)),"")))))</f>
        <v/>
      </c>
      <c r="G864" s="24" t="str">
        <f>IF($Z864="","",IF($Z864&lt;=2000,IF(INDEX(包装物料出入库明细!$F$4:$F$2003,$Z864-0)=0,"",INDEX(包装物料出入库明细!$F$4:$F$2003,$Z864-0)),IF($Z864&lt;=4000,"",IF($Z864&lt;=5200,"",IF($Z864&lt;=5800,"","")))))</f>
        <v/>
      </c>
      <c r="H864" s="39" t="str">
        <f>IF($Z864="","",IF($Z864&lt;=2000,IF(INDEX(包装物料出入库明细!$L$4:$L$2003,$Z864-0)=0,"",INDEX(包装物料出入库明细!$L$4:$L$2003,$Z864-0)),IF($Z864&lt;=4000,N(INDEX(周转筐出入库明细!$H$4:$H$2004,$Z864-2000))+N(INDEX(周转筐出入库明细!$I$4:$I$2004,$Z864-2000))+N(INDEX(周转筐出入库明细!$J$4:$J$2004,$Z864-2000))+N(INDEX(周转筐出入库明细!$K$4:$K$2004,$Z864-2000)),IF($Z864&lt;=5200,N(INDEX(客户自备加工筐明细!$F$4:$F$1203,$Z864-4000))+N(INDEX(客户自备加工筐明细!$G$4:$G$1203,$Z864-4000)),IF($Z864&lt;=5800,IF(INDEX(次果筐明细!$G$4:$G$603,$Z864-5200)=0,"",INDEX(次果筐明细!$G$4:$G$603,$Z864-5200)),"")))))</f>
        <v/>
      </c>
      <c r="I864" s="24" t="str">
        <f>IF($Z864="","",IF($Z864&lt;=2000,IF(INDEX(包装物料出入库明细!$G$4:$G$2003,$Z864-0)=0,"",INDEX(包装物料出入库明细!$G$4:$G$2003,$Z864-0)),IF($Z864&lt;=4000,"个",IF($Z864&lt;=5200,"个",IF($Z864&lt;=5800,"个","")))))</f>
        <v/>
      </c>
      <c r="J864" s="30" t="str">
        <f t="shared" si="40"/>
        <v/>
      </c>
      <c r="K864" s="30" t="str">
        <f>IF($Z864="","",IF($Z864&lt;=2000,IF(INDEX(包装物料出入库明细!$N$4:$N$2003,$Z864-0)=0,"",INDEX(包装物料出入库明细!$N$4:$N$2003,$Z864-0)),IF($Z864&lt;=4000,IF(INDEX(周转筐出入库明细!$P$4:$P$2004,$Z864-2000)=0,"",INDEX(周转筐出入库明细!$P$4:$P$2004,$Z864-2000)),IF($Z864&lt;=5200,"",IF($Z864&lt;=5800,N(INDEX(次果筐明细!$L$4:$L$603,$Z864-5200))+N(INDEX(次果筐明细!$J$4:$J$603,$Z864-5200)),"")))))</f>
        <v/>
      </c>
      <c r="L864" s="24" t="str">
        <f>IF($Z864="","",IF($Z864&lt;=2000,IF(INDEX(包装物料出入库明细!$P$4:$P$2003,$Z864-0)=0,"",INDEX(包装物料出入库明细!$P$4:$P$2003,$Z864-0)),IF($Z864&lt;=4000,IF(INDEX(周转筐出入库明细!$Q$4:$Q$2004,$Z864-2000)=0,"",INDEX(周转筐出入库明细!$Q$4:$Q$2004,$Z864-2000)),IF($Z864&lt;=5200,"",IF($Z864&lt;=5800,IF(INDEX(次果筐明细!$M$4:$M$603,$Z864-5200)=0,"",INDEX(次果筐明细!$M$4:$M$603,$Z864-5200)),"")))))</f>
        <v/>
      </c>
      <c r="M864" s="37" t="str">
        <f>IF($Z864="","",IF($Z864&lt;=2000,IF(INDEX(包装物料出入库明细!$R$4:$R$2003,$Z864-0)=0,"",INDEX(包装物料出入库明细!$R$4:$R$2003,$Z864-0)),IF($Z864&lt;=4000,IF(INDEX(周转筐出入库明细!$W$4:$W$2004,$Z864-2000)=0,"",INDEX(周转筐出入库明细!$W$4:$W$2004,$Z864-2000)),IF($Z864&lt;=5200,IF(INDEX(客户自备加工筐明细!$L$4:$L$1203,$Z864-4000)=0,"",INDEX(客户自备加工筐明细!$L$4:$L$1203,$Z864-4000)),IF($Z864&lt;=5800,IF(INDEX(次果筐明细!$P$4:$P$603,$Z864-5200)=0,"",INDEX(次果筐明细!$P$4:$P$603,$Z864-5200)),"")))))</f>
        <v/>
      </c>
      <c r="N864" s="16" t="str">
        <f>IF($Z864="","",IF($Z864&lt;=2000,"",IF($Z864&lt;=4000,IF(INDEX(周转筐出入库明细!$D$4:$D$2004,$Z864-2000)=0,"",INDEX(周转筐出入库明细!$D$4:$D$2004,$Z864-2000)),IF($Z864&lt;=5200,IF(INDEX(客户自备加工筐明细!$C$4:$C$1203,$Z864-4000)=0,"",INDEX(客户自备加工筐明细!$C$4:$C$1203,$Z864-4000)),IF($Z864&lt;=5800,IF(INDEX(次果筐明细!$D$4:$D$603,$Z864-5200)=0,"",INDEX(次果筐明细!$D$4:$D$603,$Z864-5200)),"")))))</f>
        <v/>
      </c>
      <c r="O864" s="40" t="str">
        <f>IF($Z864="","",IF($Z864&lt;=2000,"",IF($Z864&lt;=4000,IF(N(INDEX(周转筐出入库明细!$J$4:$J$2004,$Z864-2000))+N(INDEX(周转筐出入库明细!$K$4:$K$2004,$Z864-2000))=0,"",N(INDEX(周转筐出入库明细!$J$4:$J$2004,$Z864-2000))+N(INDEX(周转筐出入库明细!$K$4:$K$2004,$Z864-2000))),IF($Z864&lt;=5200,IF(N(INDEX(客户自备加工筐明细!$G$4:$G$1203,$Z864-4000))=0,"",N(INDEX(客户自备加工筐明细!$G$4:$G$1203,$Z864-4000))),IF($Z864&lt;=5800,IF(ISNUMBER(SEARCH("退",INDEX(次果筐明细!$F$4:$F$603,$Z864-5200)&amp;"")),"",IF(N(INDEX(次果筐明细!$G$4:$G$603,$Z864-5200))=0,"",N(INDEX(次果筐明细!$G$4:$G$603,$Z864-5200)))),"")))))</f>
        <v/>
      </c>
      <c r="P864" s="40" t="str">
        <f>IF($Z864="","",IF($Z864&lt;=2000,"",IF($Z864&lt;=4000,IF(N(INDEX(周转筐出入库明细!$I$4:$I$2004,$Z864-2000))=0,"",N(INDEX(周转筐出入库明细!$I$4:$I$2004,$Z864-2000))),IF($Z864&lt;=5200,"",IF($Z864&lt;=5800,IF(ISNUMBER(SEARCH("退",INDEX(次果筐明细!$F$4:$F$603,$Z864-5200)&amp;"")),IF(N(INDEX(次果筐明细!$G$4:$G$603,$Z864-5200))=0,"",N(INDEX(次果筐明细!$G$4:$G$603,$Z864-5200))),""),"")))))</f>
        <v/>
      </c>
      <c r="Q864" s="40" t="str">
        <f>IF($Z864="","",IF($Z864&lt;=2000,"",IF($Z864&lt;=4000,IF(N(INDEX(周转筐出入库明细!$H$4:$H$2004,$Z864-2000))=0,"",N(INDEX(周转筐出入库明细!$H$4:$H$2004,$Z864-2000))),IF($Z864&lt;=5200,IF(N(INDEX(客户自备加工筐明细!$F$4:$F$1203,$Z864-4000))=0,"",N(INDEX(客户自备加工筐明细!$F$4:$F$1203,$Z864-4000))),IF($Z864&lt;=5800,"","")))))</f>
        <v/>
      </c>
      <c r="R864" s="16" t="str">
        <f>IF($Z864="","",IF($Z864&lt;=2000,IF(INDEX(包装物料出入库明细!$O$4:$O$2003,$Z864-0)=0,"",INDEX(包装物料出入库明细!$O$4:$O$2003,$Z864-0)),IF($Z864&lt;=4000,IF(INDEX(周转筐出入库明细!$M$4:$M$2004,$Z864-2000)=0,"",INDEX(周转筐出入库明细!$M$4:$M$2004,$Z864-2000)),IF($Z864&lt;=5200,IF(INDEX(客户自备加工筐明细!$H$4:$H$1203,$Z864-4000)=0,"",INDEX(客户自备加工筐明细!$H$4:$H$1203,$Z864-4000)),IF($Z864&lt;=5800,IF(INDEX(次果筐明细!$H$4:$H$603,$Z864-5200)=0,"",INDEX(次果筐明细!$H$4:$H$603,$Z864-5200)),"")))))</f>
        <v/>
      </c>
      <c r="S864" s="22" t="str">
        <f t="shared" si="41"/>
        <v/>
      </c>
      <c r="Z864" s="10" t="str">
        <f>IFERROR(MATCH(ROW()-3,_自动清单!$CQ$4:$CQ$5803,0),"")</f>
        <v/>
      </c>
    </row>
    <row r="865" spans="1:26">
      <c r="A865" s="24" t="str">
        <f t="shared" si="39"/>
        <v/>
      </c>
      <c r="B865" s="38" t="str">
        <f>IF($Z865="","",IF($Z865&lt;=2000,IF(INDEX(包装物料出入库明细!$B$4:$B$2003,$Z865-0)=0,"",INDEX(包装物料出入库明细!$B$4:$B$2003,$Z865-0)),IF($Z865&lt;=4000,IF(INDEX(周转筐出入库明细!$B$4:$B$2004,$Z865-2000)=0,"",INDEX(周转筐出入库明细!$B$4:$B$2004,$Z865-2000)),IF($Z865&lt;=5200,IF(INDEX(客户自备加工筐明细!$B$4:$B$1203,$Z865-4000)=0,"",INDEX(客户自备加工筐明细!$B$4:$B$1203,$Z865-4000)),IF($Z865&lt;=5800,IF(INDEX(次果筐明细!$B$4:$B$603,$Z865-5200)=0,"",INDEX(次果筐明细!$B$4:$B$603,$Z865-5200)),"")))))</f>
        <v/>
      </c>
      <c r="C865" s="37" t="str">
        <f>IF($Z865="","",IF($Z865&lt;=2000,IF(INDEX(包装物料出入库明细!$D$4:$D$2003,$Z865-0)=0,"",INDEX(包装物料出入库明细!$D$4:$D$2003,$Z865-0)),IF($Z865&lt;=4000,IF(INDEX(周转筐出入库明细!$C$4:$C$2004,$Z865-2000)=0,"",INDEX(周转筐出入库明细!$C$4:$C$2004,$Z865-2000)),IF($Z865&lt;=5200,IF(INDEX(客户自备加工筐明细!$E$4:$E$1203,$Z865-4000)=0,"",INDEX(客户自备加工筐明细!$E$4:$E$1203,$Z865-4000)),IF($Z865&lt;=5800,IF(INDEX(次果筐明细!$C$4:$C$603,$Z865-5200)=0,"",INDEX(次果筐明细!$C$4:$C$603,$Z865-5200)),"")))))</f>
        <v/>
      </c>
      <c r="D865" s="37" t="str">
        <f>IF($Z865="","",IF($Z865&lt;=2000,"包装物料－"&amp;INDEX(包装物料出入库明细!$H$4:$H$2003,$Z865-0),IF($Z865&lt;=4000,"周转筐－"&amp;INDEX(周转筐出入库明细!$F$4:$F$2004,$Z865-2000),IF($Z865&lt;=5200,"客户自备筐－"&amp;INDEX(客户自备加工筐明细!$J$4:$J$1203,$Z865-4000),IF($Z865&lt;=5800,"次果筐/托盘－"&amp;INDEX(次果筐明细!$F$4:$F$603,$Z865-5200),"")))))</f>
        <v/>
      </c>
      <c r="E865" s="24" t="str">
        <f>IF($Z865="","",IF($Z865&lt;=2000,IF(INDEX(包装物料出入库明细!$C$4:$C$2003,$Z865-0)=0,"",INDEX(包装物料出入库明细!$C$4:$C$2003,$Z865-0)),IF($Z865&lt;=4000,IF(INDEX(周转筐出入库明细!$E$4:$E$2004,$Z865-2000)=0,"",INDEX(周转筐出入库明细!$E$4:$E$2004,$Z865-2000)),IF($Z865&lt;=5200,IF(INDEX(客户自备加工筐明细!$D$4:$D$1203,$Z865-4000)=0,"",INDEX(客户自备加工筐明细!$D$4:$D$1203,$Z865-4000)),IF($Z865&lt;=5800,IF(INDEX(次果筐明细!$E$4:$E$603,$Z865-5200)=0,"",INDEX(次果筐明细!$E$4:$E$603,$Z865-5200)),"")))))</f>
        <v/>
      </c>
      <c r="F865" s="24" t="str">
        <f>IF($Z865="","",IF($Z865&lt;=2000,IF(INDEX(包装物料出入库明细!$E$4:$E$2003,$Z865-0)=0,"",INDEX(包装物料出入库明细!$E$4:$E$2003,$Z865-0)),IF($Z865&lt;=4000,IF(INDEX(周转筐出入库明细!$D$4:$D$2004,$Z865-2000)=0,"",INDEX(周转筐出入库明细!$D$4:$D$2004,$Z865-2000)),IF($Z865&lt;=5200,IF(INDEX(客户自备加工筐明细!$C$4:$C$1203,$Z865-4000)=0,"",INDEX(客户自备加工筐明细!$C$4:$C$1203,$Z865-4000)),IF($Z865&lt;=5800,IF(INDEX(次果筐明细!$D$4:$D$603,$Z865-5200)=0,"",INDEX(次果筐明细!$D$4:$D$603,$Z865-5200)),"")))))</f>
        <v/>
      </c>
      <c r="G865" s="24" t="str">
        <f>IF($Z865="","",IF($Z865&lt;=2000,IF(INDEX(包装物料出入库明细!$F$4:$F$2003,$Z865-0)=0,"",INDEX(包装物料出入库明细!$F$4:$F$2003,$Z865-0)),IF($Z865&lt;=4000,"",IF($Z865&lt;=5200,"",IF($Z865&lt;=5800,"","")))))</f>
        <v/>
      </c>
      <c r="H865" s="39" t="str">
        <f>IF($Z865="","",IF($Z865&lt;=2000,IF(INDEX(包装物料出入库明细!$L$4:$L$2003,$Z865-0)=0,"",INDEX(包装物料出入库明细!$L$4:$L$2003,$Z865-0)),IF($Z865&lt;=4000,N(INDEX(周转筐出入库明细!$H$4:$H$2004,$Z865-2000))+N(INDEX(周转筐出入库明细!$I$4:$I$2004,$Z865-2000))+N(INDEX(周转筐出入库明细!$J$4:$J$2004,$Z865-2000))+N(INDEX(周转筐出入库明细!$K$4:$K$2004,$Z865-2000)),IF($Z865&lt;=5200,N(INDEX(客户自备加工筐明细!$F$4:$F$1203,$Z865-4000))+N(INDEX(客户自备加工筐明细!$G$4:$G$1203,$Z865-4000)),IF($Z865&lt;=5800,IF(INDEX(次果筐明细!$G$4:$G$603,$Z865-5200)=0,"",INDEX(次果筐明细!$G$4:$G$603,$Z865-5200)),"")))))</f>
        <v/>
      </c>
      <c r="I865" s="24" t="str">
        <f>IF($Z865="","",IF($Z865&lt;=2000,IF(INDEX(包装物料出入库明细!$G$4:$G$2003,$Z865-0)=0,"",INDEX(包装物料出入库明细!$G$4:$G$2003,$Z865-0)),IF($Z865&lt;=4000,"个",IF($Z865&lt;=5200,"个",IF($Z865&lt;=5800,"个","")))))</f>
        <v/>
      </c>
      <c r="J865" s="30" t="str">
        <f t="shared" si="40"/>
        <v/>
      </c>
      <c r="K865" s="30" t="str">
        <f>IF($Z865="","",IF($Z865&lt;=2000,IF(INDEX(包装物料出入库明细!$N$4:$N$2003,$Z865-0)=0,"",INDEX(包装物料出入库明细!$N$4:$N$2003,$Z865-0)),IF($Z865&lt;=4000,IF(INDEX(周转筐出入库明细!$P$4:$P$2004,$Z865-2000)=0,"",INDEX(周转筐出入库明细!$P$4:$P$2004,$Z865-2000)),IF($Z865&lt;=5200,"",IF($Z865&lt;=5800,N(INDEX(次果筐明细!$L$4:$L$603,$Z865-5200))+N(INDEX(次果筐明细!$J$4:$J$603,$Z865-5200)),"")))))</f>
        <v/>
      </c>
      <c r="L865" s="24" t="str">
        <f>IF($Z865="","",IF($Z865&lt;=2000,IF(INDEX(包装物料出入库明细!$P$4:$P$2003,$Z865-0)=0,"",INDEX(包装物料出入库明细!$P$4:$P$2003,$Z865-0)),IF($Z865&lt;=4000,IF(INDEX(周转筐出入库明细!$Q$4:$Q$2004,$Z865-2000)=0,"",INDEX(周转筐出入库明细!$Q$4:$Q$2004,$Z865-2000)),IF($Z865&lt;=5200,"",IF($Z865&lt;=5800,IF(INDEX(次果筐明细!$M$4:$M$603,$Z865-5200)=0,"",INDEX(次果筐明细!$M$4:$M$603,$Z865-5200)),"")))))</f>
        <v/>
      </c>
      <c r="M865" s="37" t="str">
        <f>IF($Z865="","",IF($Z865&lt;=2000,IF(INDEX(包装物料出入库明细!$R$4:$R$2003,$Z865-0)=0,"",INDEX(包装物料出入库明细!$R$4:$R$2003,$Z865-0)),IF($Z865&lt;=4000,IF(INDEX(周转筐出入库明细!$W$4:$W$2004,$Z865-2000)=0,"",INDEX(周转筐出入库明细!$W$4:$W$2004,$Z865-2000)),IF($Z865&lt;=5200,IF(INDEX(客户自备加工筐明细!$L$4:$L$1203,$Z865-4000)=0,"",INDEX(客户自备加工筐明细!$L$4:$L$1203,$Z865-4000)),IF($Z865&lt;=5800,IF(INDEX(次果筐明细!$P$4:$P$603,$Z865-5200)=0,"",INDEX(次果筐明细!$P$4:$P$603,$Z865-5200)),"")))))</f>
        <v/>
      </c>
      <c r="N865" s="16" t="str">
        <f>IF($Z865="","",IF($Z865&lt;=2000,"",IF($Z865&lt;=4000,IF(INDEX(周转筐出入库明细!$D$4:$D$2004,$Z865-2000)=0,"",INDEX(周转筐出入库明细!$D$4:$D$2004,$Z865-2000)),IF($Z865&lt;=5200,IF(INDEX(客户自备加工筐明细!$C$4:$C$1203,$Z865-4000)=0,"",INDEX(客户自备加工筐明细!$C$4:$C$1203,$Z865-4000)),IF($Z865&lt;=5800,IF(INDEX(次果筐明细!$D$4:$D$603,$Z865-5200)=0,"",INDEX(次果筐明细!$D$4:$D$603,$Z865-5200)),"")))))</f>
        <v/>
      </c>
      <c r="O865" s="40" t="str">
        <f>IF($Z865="","",IF($Z865&lt;=2000,"",IF($Z865&lt;=4000,IF(N(INDEX(周转筐出入库明细!$J$4:$J$2004,$Z865-2000))+N(INDEX(周转筐出入库明细!$K$4:$K$2004,$Z865-2000))=0,"",N(INDEX(周转筐出入库明细!$J$4:$J$2004,$Z865-2000))+N(INDEX(周转筐出入库明细!$K$4:$K$2004,$Z865-2000))),IF($Z865&lt;=5200,IF(N(INDEX(客户自备加工筐明细!$G$4:$G$1203,$Z865-4000))=0,"",N(INDEX(客户自备加工筐明细!$G$4:$G$1203,$Z865-4000))),IF($Z865&lt;=5800,IF(ISNUMBER(SEARCH("退",INDEX(次果筐明细!$F$4:$F$603,$Z865-5200)&amp;"")),"",IF(N(INDEX(次果筐明细!$G$4:$G$603,$Z865-5200))=0,"",N(INDEX(次果筐明细!$G$4:$G$603,$Z865-5200)))),"")))))</f>
        <v/>
      </c>
      <c r="P865" s="40" t="str">
        <f>IF($Z865="","",IF($Z865&lt;=2000,"",IF($Z865&lt;=4000,IF(N(INDEX(周转筐出入库明细!$I$4:$I$2004,$Z865-2000))=0,"",N(INDEX(周转筐出入库明细!$I$4:$I$2004,$Z865-2000))),IF($Z865&lt;=5200,"",IF($Z865&lt;=5800,IF(ISNUMBER(SEARCH("退",INDEX(次果筐明细!$F$4:$F$603,$Z865-5200)&amp;"")),IF(N(INDEX(次果筐明细!$G$4:$G$603,$Z865-5200))=0,"",N(INDEX(次果筐明细!$G$4:$G$603,$Z865-5200))),""),"")))))</f>
        <v/>
      </c>
      <c r="Q865" s="40" t="str">
        <f>IF($Z865="","",IF($Z865&lt;=2000,"",IF($Z865&lt;=4000,IF(N(INDEX(周转筐出入库明细!$H$4:$H$2004,$Z865-2000))=0,"",N(INDEX(周转筐出入库明细!$H$4:$H$2004,$Z865-2000))),IF($Z865&lt;=5200,IF(N(INDEX(客户自备加工筐明细!$F$4:$F$1203,$Z865-4000))=0,"",N(INDEX(客户自备加工筐明细!$F$4:$F$1203,$Z865-4000))),IF($Z865&lt;=5800,"","")))))</f>
        <v/>
      </c>
      <c r="R865" s="16" t="str">
        <f>IF($Z865="","",IF($Z865&lt;=2000,IF(INDEX(包装物料出入库明细!$O$4:$O$2003,$Z865-0)=0,"",INDEX(包装物料出入库明细!$O$4:$O$2003,$Z865-0)),IF($Z865&lt;=4000,IF(INDEX(周转筐出入库明细!$M$4:$M$2004,$Z865-2000)=0,"",INDEX(周转筐出入库明细!$M$4:$M$2004,$Z865-2000)),IF($Z865&lt;=5200,IF(INDEX(客户自备加工筐明细!$H$4:$H$1203,$Z865-4000)=0,"",INDEX(客户自备加工筐明细!$H$4:$H$1203,$Z865-4000)),IF($Z865&lt;=5800,IF(INDEX(次果筐明细!$H$4:$H$603,$Z865-5200)=0,"",INDEX(次果筐明细!$H$4:$H$603,$Z865-5200)),"")))))</f>
        <v/>
      </c>
      <c r="S865" s="22" t="str">
        <f t="shared" si="41"/>
        <v/>
      </c>
      <c r="Z865" s="10" t="str">
        <f>IFERROR(MATCH(ROW()-3,_自动清单!$CQ$4:$CQ$5803,0),"")</f>
        <v/>
      </c>
    </row>
    <row r="866" spans="1:26">
      <c r="A866" s="24" t="str">
        <f t="shared" si="39"/>
        <v/>
      </c>
      <c r="B866" s="38" t="str">
        <f>IF($Z866="","",IF($Z866&lt;=2000,IF(INDEX(包装物料出入库明细!$B$4:$B$2003,$Z866-0)=0,"",INDEX(包装物料出入库明细!$B$4:$B$2003,$Z866-0)),IF($Z866&lt;=4000,IF(INDEX(周转筐出入库明细!$B$4:$B$2004,$Z866-2000)=0,"",INDEX(周转筐出入库明细!$B$4:$B$2004,$Z866-2000)),IF($Z866&lt;=5200,IF(INDEX(客户自备加工筐明细!$B$4:$B$1203,$Z866-4000)=0,"",INDEX(客户自备加工筐明细!$B$4:$B$1203,$Z866-4000)),IF($Z866&lt;=5800,IF(INDEX(次果筐明细!$B$4:$B$603,$Z866-5200)=0,"",INDEX(次果筐明细!$B$4:$B$603,$Z866-5200)),"")))))</f>
        <v/>
      </c>
      <c r="C866" s="37" t="str">
        <f>IF($Z866="","",IF($Z866&lt;=2000,IF(INDEX(包装物料出入库明细!$D$4:$D$2003,$Z866-0)=0,"",INDEX(包装物料出入库明细!$D$4:$D$2003,$Z866-0)),IF($Z866&lt;=4000,IF(INDEX(周转筐出入库明细!$C$4:$C$2004,$Z866-2000)=0,"",INDEX(周转筐出入库明细!$C$4:$C$2004,$Z866-2000)),IF($Z866&lt;=5200,IF(INDEX(客户自备加工筐明细!$E$4:$E$1203,$Z866-4000)=0,"",INDEX(客户自备加工筐明细!$E$4:$E$1203,$Z866-4000)),IF($Z866&lt;=5800,IF(INDEX(次果筐明细!$C$4:$C$603,$Z866-5200)=0,"",INDEX(次果筐明细!$C$4:$C$603,$Z866-5200)),"")))))</f>
        <v/>
      </c>
      <c r="D866" s="37" t="str">
        <f>IF($Z866="","",IF($Z866&lt;=2000,"包装物料－"&amp;INDEX(包装物料出入库明细!$H$4:$H$2003,$Z866-0),IF($Z866&lt;=4000,"周转筐－"&amp;INDEX(周转筐出入库明细!$F$4:$F$2004,$Z866-2000),IF($Z866&lt;=5200,"客户自备筐－"&amp;INDEX(客户自备加工筐明细!$J$4:$J$1203,$Z866-4000),IF($Z866&lt;=5800,"次果筐/托盘－"&amp;INDEX(次果筐明细!$F$4:$F$603,$Z866-5200),"")))))</f>
        <v/>
      </c>
      <c r="E866" s="24" t="str">
        <f>IF($Z866="","",IF($Z866&lt;=2000,IF(INDEX(包装物料出入库明细!$C$4:$C$2003,$Z866-0)=0,"",INDEX(包装物料出入库明细!$C$4:$C$2003,$Z866-0)),IF($Z866&lt;=4000,IF(INDEX(周转筐出入库明细!$E$4:$E$2004,$Z866-2000)=0,"",INDEX(周转筐出入库明细!$E$4:$E$2004,$Z866-2000)),IF($Z866&lt;=5200,IF(INDEX(客户自备加工筐明细!$D$4:$D$1203,$Z866-4000)=0,"",INDEX(客户自备加工筐明细!$D$4:$D$1203,$Z866-4000)),IF($Z866&lt;=5800,IF(INDEX(次果筐明细!$E$4:$E$603,$Z866-5200)=0,"",INDEX(次果筐明细!$E$4:$E$603,$Z866-5200)),"")))))</f>
        <v/>
      </c>
      <c r="F866" s="24" t="str">
        <f>IF($Z866="","",IF($Z866&lt;=2000,IF(INDEX(包装物料出入库明细!$E$4:$E$2003,$Z866-0)=0,"",INDEX(包装物料出入库明细!$E$4:$E$2003,$Z866-0)),IF($Z866&lt;=4000,IF(INDEX(周转筐出入库明细!$D$4:$D$2004,$Z866-2000)=0,"",INDEX(周转筐出入库明细!$D$4:$D$2004,$Z866-2000)),IF($Z866&lt;=5200,IF(INDEX(客户自备加工筐明细!$C$4:$C$1203,$Z866-4000)=0,"",INDEX(客户自备加工筐明细!$C$4:$C$1203,$Z866-4000)),IF($Z866&lt;=5800,IF(INDEX(次果筐明细!$D$4:$D$603,$Z866-5200)=0,"",INDEX(次果筐明细!$D$4:$D$603,$Z866-5200)),"")))))</f>
        <v/>
      </c>
      <c r="G866" s="24" t="str">
        <f>IF($Z866="","",IF($Z866&lt;=2000,IF(INDEX(包装物料出入库明细!$F$4:$F$2003,$Z866-0)=0,"",INDEX(包装物料出入库明细!$F$4:$F$2003,$Z866-0)),IF($Z866&lt;=4000,"",IF($Z866&lt;=5200,"",IF($Z866&lt;=5800,"","")))))</f>
        <v/>
      </c>
      <c r="H866" s="39" t="str">
        <f>IF($Z866="","",IF($Z866&lt;=2000,IF(INDEX(包装物料出入库明细!$L$4:$L$2003,$Z866-0)=0,"",INDEX(包装物料出入库明细!$L$4:$L$2003,$Z866-0)),IF($Z866&lt;=4000,N(INDEX(周转筐出入库明细!$H$4:$H$2004,$Z866-2000))+N(INDEX(周转筐出入库明细!$I$4:$I$2004,$Z866-2000))+N(INDEX(周转筐出入库明细!$J$4:$J$2004,$Z866-2000))+N(INDEX(周转筐出入库明细!$K$4:$K$2004,$Z866-2000)),IF($Z866&lt;=5200,N(INDEX(客户自备加工筐明细!$F$4:$F$1203,$Z866-4000))+N(INDEX(客户自备加工筐明细!$G$4:$G$1203,$Z866-4000)),IF($Z866&lt;=5800,IF(INDEX(次果筐明细!$G$4:$G$603,$Z866-5200)=0,"",INDEX(次果筐明细!$G$4:$G$603,$Z866-5200)),"")))))</f>
        <v/>
      </c>
      <c r="I866" s="24" t="str">
        <f>IF($Z866="","",IF($Z866&lt;=2000,IF(INDEX(包装物料出入库明细!$G$4:$G$2003,$Z866-0)=0,"",INDEX(包装物料出入库明细!$G$4:$G$2003,$Z866-0)),IF($Z866&lt;=4000,"个",IF($Z866&lt;=5200,"个",IF($Z866&lt;=5800,"个","")))))</f>
        <v/>
      </c>
      <c r="J866" s="30" t="str">
        <f t="shared" si="40"/>
        <v/>
      </c>
      <c r="K866" s="30" t="str">
        <f>IF($Z866="","",IF($Z866&lt;=2000,IF(INDEX(包装物料出入库明细!$N$4:$N$2003,$Z866-0)=0,"",INDEX(包装物料出入库明细!$N$4:$N$2003,$Z866-0)),IF($Z866&lt;=4000,IF(INDEX(周转筐出入库明细!$P$4:$P$2004,$Z866-2000)=0,"",INDEX(周转筐出入库明细!$P$4:$P$2004,$Z866-2000)),IF($Z866&lt;=5200,"",IF($Z866&lt;=5800,N(INDEX(次果筐明细!$L$4:$L$603,$Z866-5200))+N(INDEX(次果筐明细!$J$4:$J$603,$Z866-5200)),"")))))</f>
        <v/>
      </c>
      <c r="L866" s="24" t="str">
        <f>IF($Z866="","",IF($Z866&lt;=2000,IF(INDEX(包装物料出入库明细!$P$4:$P$2003,$Z866-0)=0,"",INDEX(包装物料出入库明细!$P$4:$P$2003,$Z866-0)),IF($Z866&lt;=4000,IF(INDEX(周转筐出入库明细!$Q$4:$Q$2004,$Z866-2000)=0,"",INDEX(周转筐出入库明细!$Q$4:$Q$2004,$Z866-2000)),IF($Z866&lt;=5200,"",IF($Z866&lt;=5800,IF(INDEX(次果筐明细!$M$4:$M$603,$Z866-5200)=0,"",INDEX(次果筐明细!$M$4:$M$603,$Z866-5200)),"")))))</f>
        <v/>
      </c>
      <c r="M866" s="37" t="str">
        <f>IF($Z866="","",IF($Z866&lt;=2000,IF(INDEX(包装物料出入库明细!$R$4:$R$2003,$Z866-0)=0,"",INDEX(包装物料出入库明细!$R$4:$R$2003,$Z866-0)),IF($Z866&lt;=4000,IF(INDEX(周转筐出入库明细!$W$4:$W$2004,$Z866-2000)=0,"",INDEX(周转筐出入库明细!$W$4:$W$2004,$Z866-2000)),IF($Z866&lt;=5200,IF(INDEX(客户自备加工筐明细!$L$4:$L$1203,$Z866-4000)=0,"",INDEX(客户自备加工筐明细!$L$4:$L$1203,$Z866-4000)),IF($Z866&lt;=5800,IF(INDEX(次果筐明细!$P$4:$P$603,$Z866-5200)=0,"",INDEX(次果筐明细!$P$4:$P$603,$Z866-5200)),"")))))</f>
        <v/>
      </c>
      <c r="N866" s="16" t="str">
        <f>IF($Z866="","",IF($Z866&lt;=2000,"",IF($Z866&lt;=4000,IF(INDEX(周转筐出入库明细!$D$4:$D$2004,$Z866-2000)=0,"",INDEX(周转筐出入库明细!$D$4:$D$2004,$Z866-2000)),IF($Z866&lt;=5200,IF(INDEX(客户自备加工筐明细!$C$4:$C$1203,$Z866-4000)=0,"",INDEX(客户自备加工筐明细!$C$4:$C$1203,$Z866-4000)),IF($Z866&lt;=5800,IF(INDEX(次果筐明细!$D$4:$D$603,$Z866-5200)=0,"",INDEX(次果筐明细!$D$4:$D$603,$Z866-5200)),"")))))</f>
        <v/>
      </c>
      <c r="O866" s="40" t="str">
        <f>IF($Z866="","",IF($Z866&lt;=2000,"",IF($Z866&lt;=4000,IF(N(INDEX(周转筐出入库明细!$J$4:$J$2004,$Z866-2000))+N(INDEX(周转筐出入库明细!$K$4:$K$2004,$Z866-2000))=0,"",N(INDEX(周转筐出入库明细!$J$4:$J$2004,$Z866-2000))+N(INDEX(周转筐出入库明细!$K$4:$K$2004,$Z866-2000))),IF($Z866&lt;=5200,IF(N(INDEX(客户自备加工筐明细!$G$4:$G$1203,$Z866-4000))=0,"",N(INDEX(客户自备加工筐明细!$G$4:$G$1203,$Z866-4000))),IF($Z866&lt;=5800,IF(ISNUMBER(SEARCH("退",INDEX(次果筐明细!$F$4:$F$603,$Z866-5200)&amp;"")),"",IF(N(INDEX(次果筐明细!$G$4:$G$603,$Z866-5200))=0,"",N(INDEX(次果筐明细!$G$4:$G$603,$Z866-5200)))),"")))))</f>
        <v/>
      </c>
      <c r="P866" s="40" t="str">
        <f>IF($Z866="","",IF($Z866&lt;=2000,"",IF($Z866&lt;=4000,IF(N(INDEX(周转筐出入库明细!$I$4:$I$2004,$Z866-2000))=0,"",N(INDEX(周转筐出入库明细!$I$4:$I$2004,$Z866-2000))),IF($Z866&lt;=5200,"",IF($Z866&lt;=5800,IF(ISNUMBER(SEARCH("退",INDEX(次果筐明细!$F$4:$F$603,$Z866-5200)&amp;"")),IF(N(INDEX(次果筐明细!$G$4:$G$603,$Z866-5200))=0,"",N(INDEX(次果筐明细!$G$4:$G$603,$Z866-5200))),""),"")))))</f>
        <v/>
      </c>
      <c r="Q866" s="40" t="str">
        <f>IF($Z866="","",IF($Z866&lt;=2000,"",IF($Z866&lt;=4000,IF(N(INDEX(周转筐出入库明细!$H$4:$H$2004,$Z866-2000))=0,"",N(INDEX(周转筐出入库明细!$H$4:$H$2004,$Z866-2000))),IF($Z866&lt;=5200,IF(N(INDEX(客户自备加工筐明细!$F$4:$F$1203,$Z866-4000))=0,"",N(INDEX(客户自备加工筐明细!$F$4:$F$1203,$Z866-4000))),IF($Z866&lt;=5800,"","")))))</f>
        <v/>
      </c>
      <c r="R866" s="16" t="str">
        <f>IF($Z866="","",IF($Z866&lt;=2000,IF(INDEX(包装物料出入库明细!$O$4:$O$2003,$Z866-0)=0,"",INDEX(包装物料出入库明细!$O$4:$O$2003,$Z866-0)),IF($Z866&lt;=4000,IF(INDEX(周转筐出入库明细!$M$4:$M$2004,$Z866-2000)=0,"",INDEX(周转筐出入库明细!$M$4:$M$2004,$Z866-2000)),IF($Z866&lt;=5200,IF(INDEX(客户自备加工筐明细!$H$4:$H$1203,$Z866-4000)=0,"",INDEX(客户自备加工筐明细!$H$4:$H$1203,$Z866-4000)),IF($Z866&lt;=5800,IF(INDEX(次果筐明细!$H$4:$H$603,$Z866-5200)=0,"",INDEX(次果筐明细!$H$4:$H$603,$Z866-5200)),"")))))</f>
        <v/>
      </c>
      <c r="S866" s="22" t="str">
        <f t="shared" si="41"/>
        <v/>
      </c>
      <c r="Z866" s="10" t="str">
        <f>IFERROR(MATCH(ROW()-3,_自动清单!$CQ$4:$CQ$5803,0),"")</f>
        <v/>
      </c>
    </row>
    <row r="867" spans="1:26">
      <c r="A867" s="24" t="str">
        <f t="shared" si="39"/>
        <v/>
      </c>
      <c r="B867" s="38" t="str">
        <f>IF($Z867="","",IF($Z867&lt;=2000,IF(INDEX(包装物料出入库明细!$B$4:$B$2003,$Z867-0)=0,"",INDEX(包装物料出入库明细!$B$4:$B$2003,$Z867-0)),IF($Z867&lt;=4000,IF(INDEX(周转筐出入库明细!$B$4:$B$2004,$Z867-2000)=0,"",INDEX(周转筐出入库明细!$B$4:$B$2004,$Z867-2000)),IF($Z867&lt;=5200,IF(INDEX(客户自备加工筐明细!$B$4:$B$1203,$Z867-4000)=0,"",INDEX(客户自备加工筐明细!$B$4:$B$1203,$Z867-4000)),IF($Z867&lt;=5800,IF(INDEX(次果筐明细!$B$4:$B$603,$Z867-5200)=0,"",INDEX(次果筐明细!$B$4:$B$603,$Z867-5200)),"")))))</f>
        <v/>
      </c>
      <c r="C867" s="37" t="str">
        <f>IF($Z867="","",IF($Z867&lt;=2000,IF(INDEX(包装物料出入库明细!$D$4:$D$2003,$Z867-0)=0,"",INDEX(包装物料出入库明细!$D$4:$D$2003,$Z867-0)),IF($Z867&lt;=4000,IF(INDEX(周转筐出入库明细!$C$4:$C$2004,$Z867-2000)=0,"",INDEX(周转筐出入库明细!$C$4:$C$2004,$Z867-2000)),IF($Z867&lt;=5200,IF(INDEX(客户自备加工筐明细!$E$4:$E$1203,$Z867-4000)=0,"",INDEX(客户自备加工筐明细!$E$4:$E$1203,$Z867-4000)),IF($Z867&lt;=5800,IF(INDEX(次果筐明细!$C$4:$C$603,$Z867-5200)=0,"",INDEX(次果筐明细!$C$4:$C$603,$Z867-5200)),"")))))</f>
        <v/>
      </c>
      <c r="D867" s="37" t="str">
        <f>IF($Z867="","",IF($Z867&lt;=2000,"包装物料－"&amp;INDEX(包装物料出入库明细!$H$4:$H$2003,$Z867-0),IF($Z867&lt;=4000,"周转筐－"&amp;INDEX(周转筐出入库明细!$F$4:$F$2004,$Z867-2000),IF($Z867&lt;=5200,"客户自备筐－"&amp;INDEX(客户自备加工筐明细!$J$4:$J$1203,$Z867-4000),IF($Z867&lt;=5800,"次果筐/托盘－"&amp;INDEX(次果筐明细!$F$4:$F$603,$Z867-5200),"")))))</f>
        <v/>
      </c>
      <c r="E867" s="24" t="str">
        <f>IF($Z867="","",IF($Z867&lt;=2000,IF(INDEX(包装物料出入库明细!$C$4:$C$2003,$Z867-0)=0,"",INDEX(包装物料出入库明细!$C$4:$C$2003,$Z867-0)),IF($Z867&lt;=4000,IF(INDEX(周转筐出入库明细!$E$4:$E$2004,$Z867-2000)=0,"",INDEX(周转筐出入库明细!$E$4:$E$2004,$Z867-2000)),IF($Z867&lt;=5200,IF(INDEX(客户自备加工筐明细!$D$4:$D$1203,$Z867-4000)=0,"",INDEX(客户自备加工筐明细!$D$4:$D$1203,$Z867-4000)),IF($Z867&lt;=5800,IF(INDEX(次果筐明细!$E$4:$E$603,$Z867-5200)=0,"",INDEX(次果筐明细!$E$4:$E$603,$Z867-5200)),"")))))</f>
        <v/>
      </c>
      <c r="F867" s="24" t="str">
        <f>IF($Z867="","",IF($Z867&lt;=2000,IF(INDEX(包装物料出入库明细!$E$4:$E$2003,$Z867-0)=0,"",INDEX(包装物料出入库明细!$E$4:$E$2003,$Z867-0)),IF($Z867&lt;=4000,IF(INDEX(周转筐出入库明细!$D$4:$D$2004,$Z867-2000)=0,"",INDEX(周转筐出入库明细!$D$4:$D$2004,$Z867-2000)),IF($Z867&lt;=5200,IF(INDEX(客户自备加工筐明细!$C$4:$C$1203,$Z867-4000)=0,"",INDEX(客户自备加工筐明细!$C$4:$C$1203,$Z867-4000)),IF($Z867&lt;=5800,IF(INDEX(次果筐明细!$D$4:$D$603,$Z867-5200)=0,"",INDEX(次果筐明细!$D$4:$D$603,$Z867-5200)),"")))))</f>
        <v/>
      </c>
      <c r="G867" s="24" t="str">
        <f>IF($Z867="","",IF($Z867&lt;=2000,IF(INDEX(包装物料出入库明细!$F$4:$F$2003,$Z867-0)=0,"",INDEX(包装物料出入库明细!$F$4:$F$2003,$Z867-0)),IF($Z867&lt;=4000,"",IF($Z867&lt;=5200,"",IF($Z867&lt;=5800,"","")))))</f>
        <v/>
      </c>
      <c r="H867" s="39" t="str">
        <f>IF($Z867="","",IF($Z867&lt;=2000,IF(INDEX(包装物料出入库明细!$L$4:$L$2003,$Z867-0)=0,"",INDEX(包装物料出入库明细!$L$4:$L$2003,$Z867-0)),IF($Z867&lt;=4000,N(INDEX(周转筐出入库明细!$H$4:$H$2004,$Z867-2000))+N(INDEX(周转筐出入库明细!$I$4:$I$2004,$Z867-2000))+N(INDEX(周转筐出入库明细!$J$4:$J$2004,$Z867-2000))+N(INDEX(周转筐出入库明细!$K$4:$K$2004,$Z867-2000)),IF($Z867&lt;=5200,N(INDEX(客户自备加工筐明细!$F$4:$F$1203,$Z867-4000))+N(INDEX(客户自备加工筐明细!$G$4:$G$1203,$Z867-4000)),IF($Z867&lt;=5800,IF(INDEX(次果筐明细!$G$4:$G$603,$Z867-5200)=0,"",INDEX(次果筐明细!$G$4:$G$603,$Z867-5200)),"")))))</f>
        <v/>
      </c>
      <c r="I867" s="24" t="str">
        <f>IF($Z867="","",IF($Z867&lt;=2000,IF(INDEX(包装物料出入库明细!$G$4:$G$2003,$Z867-0)=0,"",INDEX(包装物料出入库明细!$G$4:$G$2003,$Z867-0)),IF($Z867&lt;=4000,"个",IF($Z867&lt;=5200,"个",IF($Z867&lt;=5800,"个","")))))</f>
        <v/>
      </c>
      <c r="J867" s="30" t="str">
        <f t="shared" si="40"/>
        <v/>
      </c>
      <c r="K867" s="30" t="str">
        <f>IF($Z867="","",IF($Z867&lt;=2000,IF(INDEX(包装物料出入库明细!$N$4:$N$2003,$Z867-0)=0,"",INDEX(包装物料出入库明细!$N$4:$N$2003,$Z867-0)),IF($Z867&lt;=4000,IF(INDEX(周转筐出入库明细!$P$4:$P$2004,$Z867-2000)=0,"",INDEX(周转筐出入库明细!$P$4:$P$2004,$Z867-2000)),IF($Z867&lt;=5200,"",IF($Z867&lt;=5800,N(INDEX(次果筐明细!$L$4:$L$603,$Z867-5200))+N(INDEX(次果筐明细!$J$4:$J$603,$Z867-5200)),"")))))</f>
        <v/>
      </c>
      <c r="L867" s="24" t="str">
        <f>IF($Z867="","",IF($Z867&lt;=2000,IF(INDEX(包装物料出入库明细!$P$4:$P$2003,$Z867-0)=0,"",INDEX(包装物料出入库明细!$P$4:$P$2003,$Z867-0)),IF($Z867&lt;=4000,IF(INDEX(周转筐出入库明细!$Q$4:$Q$2004,$Z867-2000)=0,"",INDEX(周转筐出入库明细!$Q$4:$Q$2004,$Z867-2000)),IF($Z867&lt;=5200,"",IF($Z867&lt;=5800,IF(INDEX(次果筐明细!$M$4:$M$603,$Z867-5200)=0,"",INDEX(次果筐明细!$M$4:$M$603,$Z867-5200)),"")))))</f>
        <v/>
      </c>
      <c r="M867" s="37" t="str">
        <f>IF($Z867="","",IF($Z867&lt;=2000,IF(INDEX(包装物料出入库明细!$R$4:$R$2003,$Z867-0)=0,"",INDEX(包装物料出入库明细!$R$4:$R$2003,$Z867-0)),IF($Z867&lt;=4000,IF(INDEX(周转筐出入库明细!$W$4:$W$2004,$Z867-2000)=0,"",INDEX(周转筐出入库明细!$W$4:$W$2004,$Z867-2000)),IF($Z867&lt;=5200,IF(INDEX(客户自备加工筐明细!$L$4:$L$1203,$Z867-4000)=0,"",INDEX(客户自备加工筐明细!$L$4:$L$1203,$Z867-4000)),IF($Z867&lt;=5800,IF(INDEX(次果筐明细!$P$4:$P$603,$Z867-5200)=0,"",INDEX(次果筐明细!$P$4:$P$603,$Z867-5200)),"")))))</f>
        <v/>
      </c>
      <c r="N867" s="16" t="str">
        <f>IF($Z867="","",IF($Z867&lt;=2000,"",IF($Z867&lt;=4000,IF(INDEX(周转筐出入库明细!$D$4:$D$2004,$Z867-2000)=0,"",INDEX(周转筐出入库明细!$D$4:$D$2004,$Z867-2000)),IF($Z867&lt;=5200,IF(INDEX(客户自备加工筐明细!$C$4:$C$1203,$Z867-4000)=0,"",INDEX(客户自备加工筐明细!$C$4:$C$1203,$Z867-4000)),IF($Z867&lt;=5800,IF(INDEX(次果筐明细!$D$4:$D$603,$Z867-5200)=0,"",INDEX(次果筐明细!$D$4:$D$603,$Z867-5200)),"")))))</f>
        <v/>
      </c>
      <c r="O867" s="40" t="str">
        <f>IF($Z867="","",IF($Z867&lt;=2000,"",IF($Z867&lt;=4000,IF(N(INDEX(周转筐出入库明细!$J$4:$J$2004,$Z867-2000))+N(INDEX(周转筐出入库明细!$K$4:$K$2004,$Z867-2000))=0,"",N(INDEX(周转筐出入库明细!$J$4:$J$2004,$Z867-2000))+N(INDEX(周转筐出入库明细!$K$4:$K$2004,$Z867-2000))),IF($Z867&lt;=5200,IF(N(INDEX(客户自备加工筐明细!$G$4:$G$1203,$Z867-4000))=0,"",N(INDEX(客户自备加工筐明细!$G$4:$G$1203,$Z867-4000))),IF($Z867&lt;=5800,IF(ISNUMBER(SEARCH("退",INDEX(次果筐明细!$F$4:$F$603,$Z867-5200)&amp;"")),"",IF(N(INDEX(次果筐明细!$G$4:$G$603,$Z867-5200))=0,"",N(INDEX(次果筐明细!$G$4:$G$603,$Z867-5200)))),"")))))</f>
        <v/>
      </c>
      <c r="P867" s="40" t="str">
        <f>IF($Z867="","",IF($Z867&lt;=2000,"",IF($Z867&lt;=4000,IF(N(INDEX(周转筐出入库明细!$I$4:$I$2004,$Z867-2000))=0,"",N(INDEX(周转筐出入库明细!$I$4:$I$2004,$Z867-2000))),IF($Z867&lt;=5200,"",IF($Z867&lt;=5800,IF(ISNUMBER(SEARCH("退",INDEX(次果筐明细!$F$4:$F$603,$Z867-5200)&amp;"")),IF(N(INDEX(次果筐明细!$G$4:$G$603,$Z867-5200))=0,"",N(INDEX(次果筐明细!$G$4:$G$603,$Z867-5200))),""),"")))))</f>
        <v/>
      </c>
      <c r="Q867" s="40" t="str">
        <f>IF($Z867="","",IF($Z867&lt;=2000,"",IF($Z867&lt;=4000,IF(N(INDEX(周转筐出入库明细!$H$4:$H$2004,$Z867-2000))=0,"",N(INDEX(周转筐出入库明细!$H$4:$H$2004,$Z867-2000))),IF($Z867&lt;=5200,IF(N(INDEX(客户自备加工筐明细!$F$4:$F$1203,$Z867-4000))=0,"",N(INDEX(客户自备加工筐明细!$F$4:$F$1203,$Z867-4000))),IF($Z867&lt;=5800,"","")))))</f>
        <v/>
      </c>
      <c r="R867" s="16" t="str">
        <f>IF($Z867="","",IF($Z867&lt;=2000,IF(INDEX(包装物料出入库明细!$O$4:$O$2003,$Z867-0)=0,"",INDEX(包装物料出入库明细!$O$4:$O$2003,$Z867-0)),IF($Z867&lt;=4000,IF(INDEX(周转筐出入库明细!$M$4:$M$2004,$Z867-2000)=0,"",INDEX(周转筐出入库明细!$M$4:$M$2004,$Z867-2000)),IF($Z867&lt;=5200,IF(INDEX(客户自备加工筐明细!$H$4:$H$1203,$Z867-4000)=0,"",INDEX(客户自备加工筐明细!$H$4:$H$1203,$Z867-4000)),IF($Z867&lt;=5800,IF(INDEX(次果筐明细!$H$4:$H$603,$Z867-5200)=0,"",INDEX(次果筐明细!$H$4:$H$603,$Z867-5200)),"")))))</f>
        <v/>
      </c>
      <c r="S867" s="22" t="str">
        <f t="shared" si="41"/>
        <v/>
      </c>
      <c r="Z867" s="10" t="str">
        <f>IFERROR(MATCH(ROW()-3,_自动清单!$CQ$4:$CQ$5803,0),"")</f>
        <v/>
      </c>
    </row>
    <row r="868" spans="1:26">
      <c r="A868" s="24" t="str">
        <f t="shared" si="39"/>
        <v/>
      </c>
      <c r="B868" s="38" t="str">
        <f>IF($Z868="","",IF($Z868&lt;=2000,IF(INDEX(包装物料出入库明细!$B$4:$B$2003,$Z868-0)=0,"",INDEX(包装物料出入库明细!$B$4:$B$2003,$Z868-0)),IF($Z868&lt;=4000,IF(INDEX(周转筐出入库明细!$B$4:$B$2004,$Z868-2000)=0,"",INDEX(周转筐出入库明细!$B$4:$B$2004,$Z868-2000)),IF($Z868&lt;=5200,IF(INDEX(客户自备加工筐明细!$B$4:$B$1203,$Z868-4000)=0,"",INDEX(客户自备加工筐明细!$B$4:$B$1203,$Z868-4000)),IF($Z868&lt;=5800,IF(INDEX(次果筐明细!$B$4:$B$603,$Z868-5200)=0,"",INDEX(次果筐明细!$B$4:$B$603,$Z868-5200)),"")))))</f>
        <v/>
      </c>
      <c r="C868" s="37" t="str">
        <f>IF($Z868="","",IF($Z868&lt;=2000,IF(INDEX(包装物料出入库明细!$D$4:$D$2003,$Z868-0)=0,"",INDEX(包装物料出入库明细!$D$4:$D$2003,$Z868-0)),IF($Z868&lt;=4000,IF(INDEX(周转筐出入库明细!$C$4:$C$2004,$Z868-2000)=0,"",INDEX(周转筐出入库明细!$C$4:$C$2004,$Z868-2000)),IF($Z868&lt;=5200,IF(INDEX(客户自备加工筐明细!$E$4:$E$1203,$Z868-4000)=0,"",INDEX(客户自备加工筐明细!$E$4:$E$1203,$Z868-4000)),IF($Z868&lt;=5800,IF(INDEX(次果筐明细!$C$4:$C$603,$Z868-5200)=0,"",INDEX(次果筐明细!$C$4:$C$603,$Z868-5200)),"")))))</f>
        <v/>
      </c>
      <c r="D868" s="37" t="str">
        <f>IF($Z868="","",IF($Z868&lt;=2000,"包装物料－"&amp;INDEX(包装物料出入库明细!$H$4:$H$2003,$Z868-0),IF($Z868&lt;=4000,"周转筐－"&amp;INDEX(周转筐出入库明细!$F$4:$F$2004,$Z868-2000),IF($Z868&lt;=5200,"客户自备筐－"&amp;INDEX(客户自备加工筐明细!$J$4:$J$1203,$Z868-4000),IF($Z868&lt;=5800,"次果筐/托盘－"&amp;INDEX(次果筐明细!$F$4:$F$603,$Z868-5200),"")))))</f>
        <v/>
      </c>
      <c r="E868" s="24" t="str">
        <f>IF($Z868="","",IF($Z868&lt;=2000,IF(INDEX(包装物料出入库明细!$C$4:$C$2003,$Z868-0)=0,"",INDEX(包装物料出入库明细!$C$4:$C$2003,$Z868-0)),IF($Z868&lt;=4000,IF(INDEX(周转筐出入库明细!$E$4:$E$2004,$Z868-2000)=0,"",INDEX(周转筐出入库明细!$E$4:$E$2004,$Z868-2000)),IF($Z868&lt;=5200,IF(INDEX(客户自备加工筐明细!$D$4:$D$1203,$Z868-4000)=0,"",INDEX(客户自备加工筐明细!$D$4:$D$1203,$Z868-4000)),IF($Z868&lt;=5800,IF(INDEX(次果筐明细!$E$4:$E$603,$Z868-5200)=0,"",INDEX(次果筐明细!$E$4:$E$603,$Z868-5200)),"")))))</f>
        <v/>
      </c>
      <c r="F868" s="24" t="str">
        <f>IF($Z868="","",IF($Z868&lt;=2000,IF(INDEX(包装物料出入库明细!$E$4:$E$2003,$Z868-0)=0,"",INDEX(包装物料出入库明细!$E$4:$E$2003,$Z868-0)),IF($Z868&lt;=4000,IF(INDEX(周转筐出入库明细!$D$4:$D$2004,$Z868-2000)=0,"",INDEX(周转筐出入库明细!$D$4:$D$2004,$Z868-2000)),IF($Z868&lt;=5200,IF(INDEX(客户自备加工筐明细!$C$4:$C$1203,$Z868-4000)=0,"",INDEX(客户自备加工筐明细!$C$4:$C$1203,$Z868-4000)),IF($Z868&lt;=5800,IF(INDEX(次果筐明细!$D$4:$D$603,$Z868-5200)=0,"",INDEX(次果筐明细!$D$4:$D$603,$Z868-5200)),"")))))</f>
        <v/>
      </c>
      <c r="G868" s="24" t="str">
        <f>IF($Z868="","",IF($Z868&lt;=2000,IF(INDEX(包装物料出入库明细!$F$4:$F$2003,$Z868-0)=0,"",INDEX(包装物料出入库明细!$F$4:$F$2003,$Z868-0)),IF($Z868&lt;=4000,"",IF($Z868&lt;=5200,"",IF($Z868&lt;=5800,"","")))))</f>
        <v/>
      </c>
      <c r="H868" s="39" t="str">
        <f>IF($Z868="","",IF($Z868&lt;=2000,IF(INDEX(包装物料出入库明细!$L$4:$L$2003,$Z868-0)=0,"",INDEX(包装物料出入库明细!$L$4:$L$2003,$Z868-0)),IF($Z868&lt;=4000,N(INDEX(周转筐出入库明细!$H$4:$H$2004,$Z868-2000))+N(INDEX(周转筐出入库明细!$I$4:$I$2004,$Z868-2000))+N(INDEX(周转筐出入库明细!$J$4:$J$2004,$Z868-2000))+N(INDEX(周转筐出入库明细!$K$4:$K$2004,$Z868-2000)),IF($Z868&lt;=5200,N(INDEX(客户自备加工筐明细!$F$4:$F$1203,$Z868-4000))+N(INDEX(客户自备加工筐明细!$G$4:$G$1203,$Z868-4000)),IF($Z868&lt;=5800,IF(INDEX(次果筐明细!$G$4:$G$603,$Z868-5200)=0,"",INDEX(次果筐明细!$G$4:$G$603,$Z868-5200)),"")))))</f>
        <v/>
      </c>
      <c r="I868" s="24" t="str">
        <f>IF($Z868="","",IF($Z868&lt;=2000,IF(INDEX(包装物料出入库明细!$G$4:$G$2003,$Z868-0)=0,"",INDEX(包装物料出入库明细!$G$4:$G$2003,$Z868-0)),IF($Z868&lt;=4000,"个",IF($Z868&lt;=5200,"个",IF($Z868&lt;=5800,"个","")))))</f>
        <v/>
      </c>
      <c r="J868" s="30" t="str">
        <f t="shared" si="40"/>
        <v/>
      </c>
      <c r="K868" s="30" t="str">
        <f>IF($Z868="","",IF($Z868&lt;=2000,IF(INDEX(包装物料出入库明细!$N$4:$N$2003,$Z868-0)=0,"",INDEX(包装物料出入库明细!$N$4:$N$2003,$Z868-0)),IF($Z868&lt;=4000,IF(INDEX(周转筐出入库明细!$P$4:$P$2004,$Z868-2000)=0,"",INDEX(周转筐出入库明细!$P$4:$P$2004,$Z868-2000)),IF($Z868&lt;=5200,"",IF($Z868&lt;=5800,N(INDEX(次果筐明细!$L$4:$L$603,$Z868-5200))+N(INDEX(次果筐明细!$J$4:$J$603,$Z868-5200)),"")))))</f>
        <v/>
      </c>
      <c r="L868" s="24" t="str">
        <f>IF($Z868="","",IF($Z868&lt;=2000,IF(INDEX(包装物料出入库明细!$P$4:$P$2003,$Z868-0)=0,"",INDEX(包装物料出入库明细!$P$4:$P$2003,$Z868-0)),IF($Z868&lt;=4000,IF(INDEX(周转筐出入库明细!$Q$4:$Q$2004,$Z868-2000)=0,"",INDEX(周转筐出入库明细!$Q$4:$Q$2004,$Z868-2000)),IF($Z868&lt;=5200,"",IF($Z868&lt;=5800,IF(INDEX(次果筐明细!$M$4:$M$603,$Z868-5200)=0,"",INDEX(次果筐明细!$M$4:$M$603,$Z868-5200)),"")))))</f>
        <v/>
      </c>
      <c r="M868" s="37" t="str">
        <f>IF($Z868="","",IF($Z868&lt;=2000,IF(INDEX(包装物料出入库明细!$R$4:$R$2003,$Z868-0)=0,"",INDEX(包装物料出入库明细!$R$4:$R$2003,$Z868-0)),IF($Z868&lt;=4000,IF(INDEX(周转筐出入库明细!$W$4:$W$2004,$Z868-2000)=0,"",INDEX(周转筐出入库明细!$W$4:$W$2004,$Z868-2000)),IF($Z868&lt;=5200,IF(INDEX(客户自备加工筐明细!$L$4:$L$1203,$Z868-4000)=0,"",INDEX(客户自备加工筐明细!$L$4:$L$1203,$Z868-4000)),IF($Z868&lt;=5800,IF(INDEX(次果筐明细!$P$4:$P$603,$Z868-5200)=0,"",INDEX(次果筐明细!$P$4:$P$603,$Z868-5200)),"")))))</f>
        <v/>
      </c>
      <c r="N868" s="16" t="str">
        <f>IF($Z868="","",IF($Z868&lt;=2000,"",IF($Z868&lt;=4000,IF(INDEX(周转筐出入库明细!$D$4:$D$2004,$Z868-2000)=0,"",INDEX(周转筐出入库明细!$D$4:$D$2004,$Z868-2000)),IF($Z868&lt;=5200,IF(INDEX(客户自备加工筐明细!$C$4:$C$1203,$Z868-4000)=0,"",INDEX(客户自备加工筐明细!$C$4:$C$1203,$Z868-4000)),IF($Z868&lt;=5800,IF(INDEX(次果筐明细!$D$4:$D$603,$Z868-5200)=0,"",INDEX(次果筐明细!$D$4:$D$603,$Z868-5200)),"")))))</f>
        <v/>
      </c>
      <c r="O868" s="40" t="str">
        <f>IF($Z868="","",IF($Z868&lt;=2000,"",IF($Z868&lt;=4000,IF(N(INDEX(周转筐出入库明细!$J$4:$J$2004,$Z868-2000))+N(INDEX(周转筐出入库明细!$K$4:$K$2004,$Z868-2000))=0,"",N(INDEX(周转筐出入库明细!$J$4:$J$2004,$Z868-2000))+N(INDEX(周转筐出入库明细!$K$4:$K$2004,$Z868-2000))),IF($Z868&lt;=5200,IF(N(INDEX(客户自备加工筐明细!$G$4:$G$1203,$Z868-4000))=0,"",N(INDEX(客户自备加工筐明细!$G$4:$G$1203,$Z868-4000))),IF($Z868&lt;=5800,IF(ISNUMBER(SEARCH("退",INDEX(次果筐明细!$F$4:$F$603,$Z868-5200)&amp;"")),"",IF(N(INDEX(次果筐明细!$G$4:$G$603,$Z868-5200))=0,"",N(INDEX(次果筐明细!$G$4:$G$603,$Z868-5200)))),"")))))</f>
        <v/>
      </c>
      <c r="P868" s="40" t="str">
        <f>IF($Z868="","",IF($Z868&lt;=2000,"",IF($Z868&lt;=4000,IF(N(INDEX(周转筐出入库明细!$I$4:$I$2004,$Z868-2000))=0,"",N(INDEX(周转筐出入库明细!$I$4:$I$2004,$Z868-2000))),IF($Z868&lt;=5200,"",IF($Z868&lt;=5800,IF(ISNUMBER(SEARCH("退",INDEX(次果筐明细!$F$4:$F$603,$Z868-5200)&amp;"")),IF(N(INDEX(次果筐明细!$G$4:$G$603,$Z868-5200))=0,"",N(INDEX(次果筐明细!$G$4:$G$603,$Z868-5200))),""),"")))))</f>
        <v/>
      </c>
      <c r="Q868" s="40" t="str">
        <f>IF($Z868="","",IF($Z868&lt;=2000,"",IF($Z868&lt;=4000,IF(N(INDEX(周转筐出入库明细!$H$4:$H$2004,$Z868-2000))=0,"",N(INDEX(周转筐出入库明细!$H$4:$H$2004,$Z868-2000))),IF($Z868&lt;=5200,IF(N(INDEX(客户自备加工筐明细!$F$4:$F$1203,$Z868-4000))=0,"",N(INDEX(客户自备加工筐明细!$F$4:$F$1203,$Z868-4000))),IF($Z868&lt;=5800,"","")))))</f>
        <v/>
      </c>
      <c r="R868" s="16" t="str">
        <f>IF($Z868="","",IF($Z868&lt;=2000,IF(INDEX(包装物料出入库明细!$O$4:$O$2003,$Z868-0)=0,"",INDEX(包装物料出入库明细!$O$4:$O$2003,$Z868-0)),IF($Z868&lt;=4000,IF(INDEX(周转筐出入库明细!$M$4:$M$2004,$Z868-2000)=0,"",INDEX(周转筐出入库明细!$M$4:$M$2004,$Z868-2000)),IF($Z868&lt;=5200,IF(INDEX(客户自备加工筐明细!$H$4:$H$1203,$Z868-4000)=0,"",INDEX(客户自备加工筐明细!$H$4:$H$1203,$Z868-4000)),IF($Z868&lt;=5800,IF(INDEX(次果筐明细!$H$4:$H$603,$Z868-5200)=0,"",INDEX(次果筐明细!$H$4:$H$603,$Z868-5200)),"")))))</f>
        <v/>
      </c>
      <c r="S868" s="22" t="str">
        <f t="shared" si="41"/>
        <v/>
      </c>
      <c r="Z868" s="10" t="str">
        <f>IFERROR(MATCH(ROW()-3,_自动清单!$CQ$4:$CQ$5803,0),"")</f>
        <v/>
      </c>
    </row>
    <row r="869" spans="1:26">
      <c r="A869" s="24" t="str">
        <f t="shared" si="39"/>
        <v/>
      </c>
      <c r="B869" s="38" t="str">
        <f>IF($Z869="","",IF($Z869&lt;=2000,IF(INDEX(包装物料出入库明细!$B$4:$B$2003,$Z869-0)=0,"",INDEX(包装物料出入库明细!$B$4:$B$2003,$Z869-0)),IF($Z869&lt;=4000,IF(INDEX(周转筐出入库明细!$B$4:$B$2004,$Z869-2000)=0,"",INDEX(周转筐出入库明细!$B$4:$B$2004,$Z869-2000)),IF($Z869&lt;=5200,IF(INDEX(客户自备加工筐明细!$B$4:$B$1203,$Z869-4000)=0,"",INDEX(客户自备加工筐明细!$B$4:$B$1203,$Z869-4000)),IF($Z869&lt;=5800,IF(INDEX(次果筐明细!$B$4:$B$603,$Z869-5200)=0,"",INDEX(次果筐明细!$B$4:$B$603,$Z869-5200)),"")))))</f>
        <v/>
      </c>
      <c r="C869" s="37" t="str">
        <f>IF($Z869="","",IF($Z869&lt;=2000,IF(INDEX(包装物料出入库明细!$D$4:$D$2003,$Z869-0)=0,"",INDEX(包装物料出入库明细!$D$4:$D$2003,$Z869-0)),IF($Z869&lt;=4000,IF(INDEX(周转筐出入库明细!$C$4:$C$2004,$Z869-2000)=0,"",INDEX(周转筐出入库明细!$C$4:$C$2004,$Z869-2000)),IF($Z869&lt;=5200,IF(INDEX(客户自备加工筐明细!$E$4:$E$1203,$Z869-4000)=0,"",INDEX(客户自备加工筐明细!$E$4:$E$1203,$Z869-4000)),IF($Z869&lt;=5800,IF(INDEX(次果筐明细!$C$4:$C$603,$Z869-5200)=0,"",INDEX(次果筐明细!$C$4:$C$603,$Z869-5200)),"")))))</f>
        <v/>
      </c>
      <c r="D869" s="37" t="str">
        <f>IF($Z869="","",IF($Z869&lt;=2000,"包装物料－"&amp;INDEX(包装物料出入库明细!$H$4:$H$2003,$Z869-0),IF($Z869&lt;=4000,"周转筐－"&amp;INDEX(周转筐出入库明细!$F$4:$F$2004,$Z869-2000),IF($Z869&lt;=5200,"客户自备筐－"&amp;INDEX(客户自备加工筐明细!$J$4:$J$1203,$Z869-4000),IF($Z869&lt;=5800,"次果筐/托盘－"&amp;INDEX(次果筐明细!$F$4:$F$603,$Z869-5200),"")))))</f>
        <v/>
      </c>
      <c r="E869" s="24" t="str">
        <f>IF($Z869="","",IF($Z869&lt;=2000,IF(INDEX(包装物料出入库明细!$C$4:$C$2003,$Z869-0)=0,"",INDEX(包装物料出入库明细!$C$4:$C$2003,$Z869-0)),IF($Z869&lt;=4000,IF(INDEX(周转筐出入库明细!$E$4:$E$2004,$Z869-2000)=0,"",INDEX(周转筐出入库明细!$E$4:$E$2004,$Z869-2000)),IF($Z869&lt;=5200,IF(INDEX(客户自备加工筐明细!$D$4:$D$1203,$Z869-4000)=0,"",INDEX(客户自备加工筐明细!$D$4:$D$1203,$Z869-4000)),IF($Z869&lt;=5800,IF(INDEX(次果筐明细!$E$4:$E$603,$Z869-5200)=0,"",INDEX(次果筐明细!$E$4:$E$603,$Z869-5200)),"")))))</f>
        <v/>
      </c>
      <c r="F869" s="24" t="str">
        <f>IF($Z869="","",IF($Z869&lt;=2000,IF(INDEX(包装物料出入库明细!$E$4:$E$2003,$Z869-0)=0,"",INDEX(包装物料出入库明细!$E$4:$E$2003,$Z869-0)),IF($Z869&lt;=4000,IF(INDEX(周转筐出入库明细!$D$4:$D$2004,$Z869-2000)=0,"",INDEX(周转筐出入库明细!$D$4:$D$2004,$Z869-2000)),IF($Z869&lt;=5200,IF(INDEX(客户自备加工筐明细!$C$4:$C$1203,$Z869-4000)=0,"",INDEX(客户自备加工筐明细!$C$4:$C$1203,$Z869-4000)),IF($Z869&lt;=5800,IF(INDEX(次果筐明细!$D$4:$D$603,$Z869-5200)=0,"",INDEX(次果筐明细!$D$4:$D$603,$Z869-5200)),"")))))</f>
        <v/>
      </c>
      <c r="G869" s="24" t="str">
        <f>IF($Z869="","",IF($Z869&lt;=2000,IF(INDEX(包装物料出入库明细!$F$4:$F$2003,$Z869-0)=0,"",INDEX(包装物料出入库明细!$F$4:$F$2003,$Z869-0)),IF($Z869&lt;=4000,"",IF($Z869&lt;=5200,"",IF($Z869&lt;=5800,"","")))))</f>
        <v/>
      </c>
      <c r="H869" s="39" t="str">
        <f>IF($Z869="","",IF($Z869&lt;=2000,IF(INDEX(包装物料出入库明细!$L$4:$L$2003,$Z869-0)=0,"",INDEX(包装物料出入库明细!$L$4:$L$2003,$Z869-0)),IF($Z869&lt;=4000,N(INDEX(周转筐出入库明细!$H$4:$H$2004,$Z869-2000))+N(INDEX(周转筐出入库明细!$I$4:$I$2004,$Z869-2000))+N(INDEX(周转筐出入库明细!$J$4:$J$2004,$Z869-2000))+N(INDEX(周转筐出入库明细!$K$4:$K$2004,$Z869-2000)),IF($Z869&lt;=5200,N(INDEX(客户自备加工筐明细!$F$4:$F$1203,$Z869-4000))+N(INDEX(客户自备加工筐明细!$G$4:$G$1203,$Z869-4000)),IF($Z869&lt;=5800,IF(INDEX(次果筐明细!$G$4:$G$603,$Z869-5200)=0,"",INDEX(次果筐明细!$G$4:$G$603,$Z869-5200)),"")))))</f>
        <v/>
      </c>
      <c r="I869" s="24" t="str">
        <f>IF($Z869="","",IF($Z869&lt;=2000,IF(INDEX(包装物料出入库明细!$G$4:$G$2003,$Z869-0)=0,"",INDEX(包装物料出入库明细!$G$4:$G$2003,$Z869-0)),IF($Z869&lt;=4000,"个",IF($Z869&lt;=5200,"个",IF($Z869&lt;=5800,"个","")))))</f>
        <v/>
      </c>
      <c r="J869" s="30" t="str">
        <f t="shared" si="40"/>
        <v/>
      </c>
      <c r="K869" s="30" t="str">
        <f>IF($Z869="","",IF($Z869&lt;=2000,IF(INDEX(包装物料出入库明细!$N$4:$N$2003,$Z869-0)=0,"",INDEX(包装物料出入库明细!$N$4:$N$2003,$Z869-0)),IF($Z869&lt;=4000,IF(INDEX(周转筐出入库明细!$P$4:$P$2004,$Z869-2000)=0,"",INDEX(周转筐出入库明细!$P$4:$P$2004,$Z869-2000)),IF($Z869&lt;=5200,"",IF($Z869&lt;=5800,N(INDEX(次果筐明细!$L$4:$L$603,$Z869-5200))+N(INDEX(次果筐明细!$J$4:$J$603,$Z869-5200)),"")))))</f>
        <v/>
      </c>
      <c r="L869" s="24" t="str">
        <f>IF($Z869="","",IF($Z869&lt;=2000,IF(INDEX(包装物料出入库明细!$P$4:$P$2003,$Z869-0)=0,"",INDEX(包装物料出入库明细!$P$4:$P$2003,$Z869-0)),IF($Z869&lt;=4000,IF(INDEX(周转筐出入库明细!$Q$4:$Q$2004,$Z869-2000)=0,"",INDEX(周转筐出入库明细!$Q$4:$Q$2004,$Z869-2000)),IF($Z869&lt;=5200,"",IF($Z869&lt;=5800,IF(INDEX(次果筐明细!$M$4:$M$603,$Z869-5200)=0,"",INDEX(次果筐明细!$M$4:$M$603,$Z869-5200)),"")))))</f>
        <v/>
      </c>
      <c r="M869" s="37" t="str">
        <f>IF($Z869="","",IF($Z869&lt;=2000,IF(INDEX(包装物料出入库明细!$R$4:$R$2003,$Z869-0)=0,"",INDEX(包装物料出入库明细!$R$4:$R$2003,$Z869-0)),IF($Z869&lt;=4000,IF(INDEX(周转筐出入库明细!$W$4:$W$2004,$Z869-2000)=0,"",INDEX(周转筐出入库明细!$W$4:$W$2004,$Z869-2000)),IF($Z869&lt;=5200,IF(INDEX(客户自备加工筐明细!$L$4:$L$1203,$Z869-4000)=0,"",INDEX(客户自备加工筐明细!$L$4:$L$1203,$Z869-4000)),IF($Z869&lt;=5800,IF(INDEX(次果筐明细!$P$4:$P$603,$Z869-5200)=0,"",INDEX(次果筐明细!$P$4:$P$603,$Z869-5200)),"")))))</f>
        <v/>
      </c>
      <c r="N869" s="16" t="str">
        <f>IF($Z869="","",IF($Z869&lt;=2000,"",IF($Z869&lt;=4000,IF(INDEX(周转筐出入库明细!$D$4:$D$2004,$Z869-2000)=0,"",INDEX(周转筐出入库明细!$D$4:$D$2004,$Z869-2000)),IF($Z869&lt;=5200,IF(INDEX(客户自备加工筐明细!$C$4:$C$1203,$Z869-4000)=0,"",INDEX(客户自备加工筐明细!$C$4:$C$1203,$Z869-4000)),IF($Z869&lt;=5800,IF(INDEX(次果筐明细!$D$4:$D$603,$Z869-5200)=0,"",INDEX(次果筐明细!$D$4:$D$603,$Z869-5200)),"")))))</f>
        <v/>
      </c>
      <c r="O869" s="40" t="str">
        <f>IF($Z869="","",IF($Z869&lt;=2000,"",IF($Z869&lt;=4000,IF(N(INDEX(周转筐出入库明细!$J$4:$J$2004,$Z869-2000))+N(INDEX(周转筐出入库明细!$K$4:$K$2004,$Z869-2000))=0,"",N(INDEX(周转筐出入库明细!$J$4:$J$2004,$Z869-2000))+N(INDEX(周转筐出入库明细!$K$4:$K$2004,$Z869-2000))),IF($Z869&lt;=5200,IF(N(INDEX(客户自备加工筐明细!$G$4:$G$1203,$Z869-4000))=0,"",N(INDEX(客户自备加工筐明细!$G$4:$G$1203,$Z869-4000))),IF($Z869&lt;=5800,IF(ISNUMBER(SEARCH("退",INDEX(次果筐明细!$F$4:$F$603,$Z869-5200)&amp;"")),"",IF(N(INDEX(次果筐明细!$G$4:$G$603,$Z869-5200))=0,"",N(INDEX(次果筐明细!$G$4:$G$603,$Z869-5200)))),"")))))</f>
        <v/>
      </c>
      <c r="P869" s="40" t="str">
        <f>IF($Z869="","",IF($Z869&lt;=2000,"",IF($Z869&lt;=4000,IF(N(INDEX(周转筐出入库明细!$I$4:$I$2004,$Z869-2000))=0,"",N(INDEX(周转筐出入库明细!$I$4:$I$2004,$Z869-2000))),IF($Z869&lt;=5200,"",IF($Z869&lt;=5800,IF(ISNUMBER(SEARCH("退",INDEX(次果筐明细!$F$4:$F$603,$Z869-5200)&amp;"")),IF(N(INDEX(次果筐明细!$G$4:$G$603,$Z869-5200))=0,"",N(INDEX(次果筐明细!$G$4:$G$603,$Z869-5200))),""),"")))))</f>
        <v/>
      </c>
      <c r="Q869" s="40" t="str">
        <f>IF($Z869="","",IF($Z869&lt;=2000,"",IF($Z869&lt;=4000,IF(N(INDEX(周转筐出入库明细!$H$4:$H$2004,$Z869-2000))=0,"",N(INDEX(周转筐出入库明细!$H$4:$H$2004,$Z869-2000))),IF($Z869&lt;=5200,IF(N(INDEX(客户自备加工筐明细!$F$4:$F$1203,$Z869-4000))=0,"",N(INDEX(客户自备加工筐明细!$F$4:$F$1203,$Z869-4000))),IF($Z869&lt;=5800,"","")))))</f>
        <v/>
      </c>
      <c r="R869" s="16" t="str">
        <f>IF($Z869="","",IF($Z869&lt;=2000,IF(INDEX(包装物料出入库明细!$O$4:$O$2003,$Z869-0)=0,"",INDEX(包装物料出入库明细!$O$4:$O$2003,$Z869-0)),IF($Z869&lt;=4000,IF(INDEX(周转筐出入库明细!$M$4:$M$2004,$Z869-2000)=0,"",INDEX(周转筐出入库明细!$M$4:$M$2004,$Z869-2000)),IF($Z869&lt;=5200,IF(INDEX(客户自备加工筐明细!$H$4:$H$1203,$Z869-4000)=0,"",INDEX(客户自备加工筐明细!$H$4:$H$1203,$Z869-4000)),IF($Z869&lt;=5800,IF(INDEX(次果筐明细!$H$4:$H$603,$Z869-5200)=0,"",INDEX(次果筐明细!$H$4:$H$603,$Z869-5200)),"")))))</f>
        <v/>
      </c>
      <c r="S869" s="22" t="str">
        <f t="shared" si="41"/>
        <v/>
      </c>
      <c r="Z869" s="10" t="str">
        <f>IFERROR(MATCH(ROW()-3,_自动清单!$CQ$4:$CQ$5803,0),"")</f>
        <v/>
      </c>
    </row>
    <row r="870" spans="1:26">
      <c r="A870" s="24" t="str">
        <f t="shared" si="39"/>
        <v/>
      </c>
      <c r="B870" s="38" t="str">
        <f>IF($Z870="","",IF($Z870&lt;=2000,IF(INDEX(包装物料出入库明细!$B$4:$B$2003,$Z870-0)=0,"",INDEX(包装物料出入库明细!$B$4:$B$2003,$Z870-0)),IF($Z870&lt;=4000,IF(INDEX(周转筐出入库明细!$B$4:$B$2004,$Z870-2000)=0,"",INDEX(周转筐出入库明细!$B$4:$B$2004,$Z870-2000)),IF($Z870&lt;=5200,IF(INDEX(客户自备加工筐明细!$B$4:$B$1203,$Z870-4000)=0,"",INDEX(客户自备加工筐明细!$B$4:$B$1203,$Z870-4000)),IF($Z870&lt;=5800,IF(INDEX(次果筐明细!$B$4:$B$603,$Z870-5200)=0,"",INDEX(次果筐明细!$B$4:$B$603,$Z870-5200)),"")))))</f>
        <v/>
      </c>
      <c r="C870" s="37" t="str">
        <f>IF($Z870="","",IF($Z870&lt;=2000,IF(INDEX(包装物料出入库明细!$D$4:$D$2003,$Z870-0)=0,"",INDEX(包装物料出入库明细!$D$4:$D$2003,$Z870-0)),IF($Z870&lt;=4000,IF(INDEX(周转筐出入库明细!$C$4:$C$2004,$Z870-2000)=0,"",INDEX(周转筐出入库明细!$C$4:$C$2004,$Z870-2000)),IF($Z870&lt;=5200,IF(INDEX(客户自备加工筐明细!$E$4:$E$1203,$Z870-4000)=0,"",INDEX(客户自备加工筐明细!$E$4:$E$1203,$Z870-4000)),IF($Z870&lt;=5800,IF(INDEX(次果筐明细!$C$4:$C$603,$Z870-5200)=0,"",INDEX(次果筐明细!$C$4:$C$603,$Z870-5200)),"")))))</f>
        <v/>
      </c>
      <c r="D870" s="37" t="str">
        <f>IF($Z870="","",IF($Z870&lt;=2000,"包装物料－"&amp;INDEX(包装物料出入库明细!$H$4:$H$2003,$Z870-0),IF($Z870&lt;=4000,"周转筐－"&amp;INDEX(周转筐出入库明细!$F$4:$F$2004,$Z870-2000),IF($Z870&lt;=5200,"客户自备筐－"&amp;INDEX(客户自备加工筐明细!$J$4:$J$1203,$Z870-4000),IF($Z870&lt;=5800,"次果筐/托盘－"&amp;INDEX(次果筐明细!$F$4:$F$603,$Z870-5200),"")))))</f>
        <v/>
      </c>
      <c r="E870" s="24" t="str">
        <f>IF($Z870="","",IF($Z870&lt;=2000,IF(INDEX(包装物料出入库明细!$C$4:$C$2003,$Z870-0)=0,"",INDEX(包装物料出入库明细!$C$4:$C$2003,$Z870-0)),IF($Z870&lt;=4000,IF(INDEX(周转筐出入库明细!$E$4:$E$2004,$Z870-2000)=0,"",INDEX(周转筐出入库明细!$E$4:$E$2004,$Z870-2000)),IF($Z870&lt;=5200,IF(INDEX(客户自备加工筐明细!$D$4:$D$1203,$Z870-4000)=0,"",INDEX(客户自备加工筐明细!$D$4:$D$1203,$Z870-4000)),IF($Z870&lt;=5800,IF(INDEX(次果筐明细!$E$4:$E$603,$Z870-5200)=0,"",INDEX(次果筐明细!$E$4:$E$603,$Z870-5200)),"")))))</f>
        <v/>
      </c>
      <c r="F870" s="24" t="str">
        <f>IF($Z870="","",IF($Z870&lt;=2000,IF(INDEX(包装物料出入库明细!$E$4:$E$2003,$Z870-0)=0,"",INDEX(包装物料出入库明细!$E$4:$E$2003,$Z870-0)),IF($Z870&lt;=4000,IF(INDEX(周转筐出入库明细!$D$4:$D$2004,$Z870-2000)=0,"",INDEX(周转筐出入库明细!$D$4:$D$2004,$Z870-2000)),IF($Z870&lt;=5200,IF(INDEX(客户自备加工筐明细!$C$4:$C$1203,$Z870-4000)=0,"",INDEX(客户自备加工筐明细!$C$4:$C$1203,$Z870-4000)),IF($Z870&lt;=5800,IF(INDEX(次果筐明细!$D$4:$D$603,$Z870-5200)=0,"",INDEX(次果筐明细!$D$4:$D$603,$Z870-5200)),"")))))</f>
        <v/>
      </c>
      <c r="G870" s="24" t="str">
        <f>IF($Z870="","",IF($Z870&lt;=2000,IF(INDEX(包装物料出入库明细!$F$4:$F$2003,$Z870-0)=0,"",INDEX(包装物料出入库明细!$F$4:$F$2003,$Z870-0)),IF($Z870&lt;=4000,"",IF($Z870&lt;=5200,"",IF($Z870&lt;=5800,"","")))))</f>
        <v/>
      </c>
      <c r="H870" s="39" t="str">
        <f>IF($Z870="","",IF($Z870&lt;=2000,IF(INDEX(包装物料出入库明细!$L$4:$L$2003,$Z870-0)=0,"",INDEX(包装物料出入库明细!$L$4:$L$2003,$Z870-0)),IF($Z870&lt;=4000,N(INDEX(周转筐出入库明细!$H$4:$H$2004,$Z870-2000))+N(INDEX(周转筐出入库明细!$I$4:$I$2004,$Z870-2000))+N(INDEX(周转筐出入库明细!$J$4:$J$2004,$Z870-2000))+N(INDEX(周转筐出入库明细!$K$4:$K$2004,$Z870-2000)),IF($Z870&lt;=5200,N(INDEX(客户自备加工筐明细!$F$4:$F$1203,$Z870-4000))+N(INDEX(客户自备加工筐明细!$G$4:$G$1203,$Z870-4000)),IF($Z870&lt;=5800,IF(INDEX(次果筐明细!$G$4:$G$603,$Z870-5200)=0,"",INDEX(次果筐明细!$G$4:$G$603,$Z870-5200)),"")))))</f>
        <v/>
      </c>
      <c r="I870" s="24" t="str">
        <f>IF($Z870="","",IF($Z870&lt;=2000,IF(INDEX(包装物料出入库明细!$G$4:$G$2003,$Z870-0)=0,"",INDEX(包装物料出入库明细!$G$4:$G$2003,$Z870-0)),IF($Z870&lt;=4000,"个",IF($Z870&lt;=5200,"个",IF($Z870&lt;=5800,"个","")))))</f>
        <v/>
      </c>
      <c r="J870" s="30" t="str">
        <f t="shared" si="40"/>
        <v/>
      </c>
      <c r="K870" s="30" t="str">
        <f>IF($Z870="","",IF($Z870&lt;=2000,IF(INDEX(包装物料出入库明细!$N$4:$N$2003,$Z870-0)=0,"",INDEX(包装物料出入库明细!$N$4:$N$2003,$Z870-0)),IF($Z870&lt;=4000,IF(INDEX(周转筐出入库明细!$P$4:$P$2004,$Z870-2000)=0,"",INDEX(周转筐出入库明细!$P$4:$P$2004,$Z870-2000)),IF($Z870&lt;=5200,"",IF($Z870&lt;=5800,N(INDEX(次果筐明细!$L$4:$L$603,$Z870-5200))+N(INDEX(次果筐明细!$J$4:$J$603,$Z870-5200)),"")))))</f>
        <v/>
      </c>
      <c r="L870" s="24" t="str">
        <f>IF($Z870="","",IF($Z870&lt;=2000,IF(INDEX(包装物料出入库明细!$P$4:$P$2003,$Z870-0)=0,"",INDEX(包装物料出入库明细!$P$4:$P$2003,$Z870-0)),IF($Z870&lt;=4000,IF(INDEX(周转筐出入库明细!$Q$4:$Q$2004,$Z870-2000)=0,"",INDEX(周转筐出入库明细!$Q$4:$Q$2004,$Z870-2000)),IF($Z870&lt;=5200,"",IF($Z870&lt;=5800,IF(INDEX(次果筐明细!$M$4:$M$603,$Z870-5200)=0,"",INDEX(次果筐明细!$M$4:$M$603,$Z870-5200)),"")))))</f>
        <v/>
      </c>
      <c r="M870" s="37" t="str">
        <f>IF($Z870="","",IF($Z870&lt;=2000,IF(INDEX(包装物料出入库明细!$R$4:$R$2003,$Z870-0)=0,"",INDEX(包装物料出入库明细!$R$4:$R$2003,$Z870-0)),IF($Z870&lt;=4000,IF(INDEX(周转筐出入库明细!$W$4:$W$2004,$Z870-2000)=0,"",INDEX(周转筐出入库明细!$W$4:$W$2004,$Z870-2000)),IF($Z870&lt;=5200,IF(INDEX(客户自备加工筐明细!$L$4:$L$1203,$Z870-4000)=0,"",INDEX(客户自备加工筐明细!$L$4:$L$1203,$Z870-4000)),IF($Z870&lt;=5800,IF(INDEX(次果筐明细!$P$4:$P$603,$Z870-5200)=0,"",INDEX(次果筐明细!$P$4:$P$603,$Z870-5200)),"")))))</f>
        <v/>
      </c>
      <c r="N870" s="16" t="str">
        <f>IF($Z870="","",IF($Z870&lt;=2000,"",IF($Z870&lt;=4000,IF(INDEX(周转筐出入库明细!$D$4:$D$2004,$Z870-2000)=0,"",INDEX(周转筐出入库明细!$D$4:$D$2004,$Z870-2000)),IF($Z870&lt;=5200,IF(INDEX(客户自备加工筐明细!$C$4:$C$1203,$Z870-4000)=0,"",INDEX(客户自备加工筐明细!$C$4:$C$1203,$Z870-4000)),IF($Z870&lt;=5800,IF(INDEX(次果筐明细!$D$4:$D$603,$Z870-5200)=0,"",INDEX(次果筐明细!$D$4:$D$603,$Z870-5200)),"")))))</f>
        <v/>
      </c>
      <c r="O870" s="40" t="str">
        <f>IF($Z870="","",IF($Z870&lt;=2000,"",IF($Z870&lt;=4000,IF(N(INDEX(周转筐出入库明细!$J$4:$J$2004,$Z870-2000))+N(INDEX(周转筐出入库明细!$K$4:$K$2004,$Z870-2000))=0,"",N(INDEX(周转筐出入库明细!$J$4:$J$2004,$Z870-2000))+N(INDEX(周转筐出入库明细!$K$4:$K$2004,$Z870-2000))),IF($Z870&lt;=5200,IF(N(INDEX(客户自备加工筐明细!$G$4:$G$1203,$Z870-4000))=0,"",N(INDEX(客户自备加工筐明细!$G$4:$G$1203,$Z870-4000))),IF($Z870&lt;=5800,IF(ISNUMBER(SEARCH("退",INDEX(次果筐明细!$F$4:$F$603,$Z870-5200)&amp;"")),"",IF(N(INDEX(次果筐明细!$G$4:$G$603,$Z870-5200))=0,"",N(INDEX(次果筐明细!$G$4:$G$603,$Z870-5200)))),"")))))</f>
        <v/>
      </c>
      <c r="P870" s="40" t="str">
        <f>IF($Z870="","",IF($Z870&lt;=2000,"",IF($Z870&lt;=4000,IF(N(INDEX(周转筐出入库明细!$I$4:$I$2004,$Z870-2000))=0,"",N(INDEX(周转筐出入库明细!$I$4:$I$2004,$Z870-2000))),IF($Z870&lt;=5200,"",IF($Z870&lt;=5800,IF(ISNUMBER(SEARCH("退",INDEX(次果筐明细!$F$4:$F$603,$Z870-5200)&amp;"")),IF(N(INDEX(次果筐明细!$G$4:$G$603,$Z870-5200))=0,"",N(INDEX(次果筐明细!$G$4:$G$603,$Z870-5200))),""),"")))))</f>
        <v/>
      </c>
      <c r="Q870" s="40" t="str">
        <f>IF($Z870="","",IF($Z870&lt;=2000,"",IF($Z870&lt;=4000,IF(N(INDEX(周转筐出入库明细!$H$4:$H$2004,$Z870-2000))=0,"",N(INDEX(周转筐出入库明细!$H$4:$H$2004,$Z870-2000))),IF($Z870&lt;=5200,IF(N(INDEX(客户自备加工筐明细!$F$4:$F$1203,$Z870-4000))=0,"",N(INDEX(客户自备加工筐明细!$F$4:$F$1203,$Z870-4000))),IF($Z870&lt;=5800,"","")))))</f>
        <v/>
      </c>
      <c r="R870" s="16" t="str">
        <f>IF($Z870="","",IF($Z870&lt;=2000,IF(INDEX(包装物料出入库明细!$O$4:$O$2003,$Z870-0)=0,"",INDEX(包装物料出入库明细!$O$4:$O$2003,$Z870-0)),IF($Z870&lt;=4000,IF(INDEX(周转筐出入库明细!$M$4:$M$2004,$Z870-2000)=0,"",INDEX(周转筐出入库明细!$M$4:$M$2004,$Z870-2000)),IF($Z870&lt;=5200,IF(INDEX(客户自备加工筐明细!$H$4:$H$1203,$Z870-4000)=0,"",INDEX(客户自备加工筐明细!$H$4:$H$1203,$Z870-4000)),IF($Z870&lt;=5800,IF(INDEX(次果筐明细!$H$4:$H$603,$Z870-5200)=0,"",INDEX(次果筐明细!$H$4:$H$603,$Z870-5200)),"")))))</f>
        <v/>
      </c>
      <c r="S870" s="22" t="str">
        <f t="shared" si="41"/>
        <v/>
      </c>
      <c r="Z870" s="10" t="str">
        <f>IFERROR(MATCH(ROW()-3,_自动清单!$CQ$4:$CQ$5803,0),"")</f>
        <v/>
      </c>
    </row>
    <row r="871" spans="1:26">
      <c r="A871" s="24" t="str">
        <f t="shared" si="39"/>
        <v/>
      </c>
      <c r="B871" s="38" t="str">
        <f>IF($Z871="","",IF($Z871&lt;=2000,IF(INDEX(包装物料出入库明细!$B$4:$B$2003,$Z871-0)=0,"",INDEX(包装物料出入库明细!$B$4:$B$2003,$Z871-0)),IF($Z871&lt;=4000,IF(INDEX(周转筐出入库明细!$B$4:$B$2004,$Z871-2000)=0,"",INDEX(周转筐出入库明细!$B$4:$B$2004,$Z871-2000)),IF($Z871&lt;=5200,IF(INDEX(客户自备加工筐明细!$B$4:$B$1203,$Z871-4000)=0,"",INDEX(客户自备加工筐明细!$B$4:$B$1203,$Z871-4000)),IF($Z871&lt;=5800,IF(INDEX(次果筐明细!$B$4:$B$603,$Z871-5200)=0,"",INDEX(次果筐明细!$B$4:$B$603,$Z871-5200)),"")))))</f>
        <v/>
      </c>
      <c r="C871" s="37" t="str">
        <f>IF($Z871="","",IF($Z871&lt;=2000,IF(INDEX(包装物料出入库明细!$D$4:$D$2003,$Z871-0)=0,"",INDEX(包装物料出入库明细!$D$4:$D$2003,$Z871-0)),IF($Z871&lt;=4000,IF(INDEX(周转筐出入库明细!$C$4:$C$2004,$Z871-2000)=0,"",INDEX(周转筐出入库明细!$C$4:$C$2004,$Z871-2000)),IF($Z871&lt;=5200,IF(INDEX(客户自备加工筐明细!$E$4:$E$1203,$Z871-4000)=0,"",INDEX(客户自备加工筐明细!$E$4:$E$1203,$Z871-4000)),IF($Z871&lt;=5800,IF(INDEX(次果筐明细!$C$4:$C$603,$Z871-5200)=0,"",INDEX(次果筐明细!$C$4:$C$603,$Z871-5200)),"")))))</f>
        <v/>
      </c>
      <c r="D871" s="37" t="str">
        <f>IF($Z871="","",IF($Z871&lt;=2000,"包装物料－"&amp;INDEX(包装物料出入库明细!$H$4:$H$2003,$Z871-0),IF($Z871&lt;=4000,"周转筐－"&amp;INDEX(周转筐出入库明细!$F$4:$F$2004,$Z871-2000),IF($Z871&lt;=5200,"客户自备筐－"&amp;INDEX(客户自备加工筐明细!$J$4:$J$1203,$Z871-4000),IF($Z871&lt;=5800,"次果筐/托盘－"&amp;INDEX(次果筐明细!$F$4:$F$603,$Z871-5200),"")))))</f>
        <v/>
      </c>
      <c r="E871" s="24" t="str">
        <f>IF($Z871="","",IF($Z871&lt;=2000,IF(INDEX(包装物料出入库明细!$C$4:$C$2003,$Z871-0)=0,"",INDEX(包装物料出入库明细!$C$4:$C$2003,$Z871-0)),IF($Z871&lt;=4000,IF(INDEX(周转筐出入库明细!$E$4:$E$2004,$Z871-2000)=0,"",INDEX(周转筐出入库明细!$E$4:$E$2004,$Z871-2000)),IF($Z871&lt;=5200,IF(INDEX(客户自备加工筐明细!$D$4:$D$1203,$Z871-4000)=0,"",INDEX(客户自备加工筐明细!$D$4:$D$1203,$Z871-4000)),IF($Z871&lt;=5800,IF(INDEX(次果筐明细!$E$4:$E$603,$Z871-5200)=0,"",INDEX(次果筐明细!$E$4:$E$603,$Z871-5200)),"")))))</f>
        <v/>
      </c>
      <c r="F871" s="24" t="str">
        <f>IF($Z871="","",IF($Z871&lt;=2000,IF(INDEX(包装物料出入库明细!$E$4:$E$2003,$Z871-0)=0,"",INDEX(包装物料出入库明细!$E$4:$E$2003,$Z871-0)),IF($Z871&lt;=4000,IF(INDEX(周转筐出入库明细!$D$4:$D$2004,$Z871-2000)=0,"",INDEX(周转筐出入库明细!$D$4:$D$2004,$Z871-2000)),IF($Z871&lt;=5200,IF(INDEX(客户自备加工筐明细!$C$4:$C$1203,$Z871-4000)=0,"",INDEX(客户自备加工筐明细!$C$4:$C$1203,$Z871-4000)),IF($Z871&lt;=5800,IF(INDEX(次果筐明细!$D$4:$D$603,$Z871-5200)=0,"",INDEX(次果筐明细!$D$4:$D$603,$Z871-5200)),"")))))</f>
        <v/>
      </c>
      <c r="G871" s="24" t="str">
        <f>IF($Z871="","",IF($Z871&lt;=2000,IF(INDEX(包装物料出入库明细!$F$4:$F$2003,$Z871-0)=0,"",INDEX(包装物料出入库明细!$F$4:$F$2003,$Z871-0)),IF($Z871&lt;=4000,"",IF($Z871&lt;=5200,"",IF($Z871&lt;=5800,"","")))))</f>
        <v/>
      </c>
      <c r="H871" s="39" t="str">
        <f>IF($Z871="","",IF($Z871&lt;=2000,IF(INDEX(包装物料出入库明细!$L$4:$L$2003,$Z871-0)=0,"",INDEX(包装物料出入库明细!$L$4:$L$2003,$Z871-0)),IF($Z871&lt;=4000,N(INDEX(周转筐出入库明细!$H$4:$H$2004,$Z871-2000))+N(INDEX(周转筐出入库明细!$I$4:$I$2004,$Z871-2000))+N(INDEX(周转筐出入库明细!$J$4:$J$2004,$Z871-2000))+N(INDEX(周转筐出入库明细!$K$4:$K$2004,$Z871-2000)),IF($Z871&lt;=5200,N(INDEX(客户自备加工筐明细!$F$4:$F$1203,$Z871-4000))+N(INDEX(客户自备加工筐明细!$G$4:$G$1203,$Z871-4000)),IF($Z871&lt;=5800,IF(INDEX(次果筐明细!$G$4:$G$603,$Z871-5200)=0,"",INDEX(次果筐明细!$G$4:$G$603,$Z871-5200)),"")))))</f>
        <v/>
      </c>
      <c r="I871" s="24" t="str">
        <f>IF($Z871="","",IF($Z871&lt;=2000,IF(INDEX(包装物料出入库明细!$G$4:$G$2003,$Z871-0)=0,"",INDEX(包装物料出入库明细!$G$4:$G$2003,$Z871-0)),IF($Z871&lt;=4000,"个",IF($Z871&lt;=5200,"个",IF($Z871&lt;=5800,"个","")))))</f>
        <v/>
      </c>
      <c r="J871" s="30" t="str">
        <f t="shared" si="40"/>
        <v/>
      </c>
      <c r="K871" s="30" t="str">
        <f>IF($Z871="","",IF($Z871&lt;=2000,IF(INDEX(包装物料出入库明细!$N$4:$N$2003,$Z871-0)=0,"",INDEX(包装物料出入库明细!$N$4:$N$2003,$Z871-0)),IF($Z871&lt;=4000,IF(INDEX(周转筐出入库明细!$P$4:$P$2004,$Z871-2000)=0,"",INDEX(周转筐出入库明细!$P$4:$P$2004,$Z871-2000)),IF($Z871&lt;=5200,"",IF($Z871&lt;=5800,N(INDEX(次果筐明细!$L$4:$L$603,$Z871-5200))+N(INDEX(次果筐明细!$J$4:$J$603,$Z871-5200)),"")))))</f>
        <v/>
      </c>
      <c r="L871" s="24" t="str">
        <f>IF($Z871="","",IF($Z871&lt;=2000,IF(INDEX(包装物料出入库明细!$P$4:$P$2003,$Z871-0)=0,"",INDEX(包装物料出入库明细!$P$4:$P$2003,$Z871-0)),IF($Z871&lt;=4000,IF(INDEX(周转筐出入库明细!$Q$4:$Q$2004,$Z871-2000)=0,"",INDEX(周转筐出入库明细!$Q$4:$Q$2004,$Z871-2000)),IF($Z871&lt;=5200,"",IF($Z871&lt;=5800,IF(INDEX(次果筐明细!$M$4:$M$603,$Z871-5200)=0,"",INDEX(次果筐明细!$M$4:$M$603,$Z871-5200)),"")))))</f>
        <v/>
      </c>
      <c r="M871" s="37" t="str">
        <f>IF($Z871="","",IF($Z871&lt;=2000,IF(INDEX(包装物料出入库明细!$R$4:$R$2003,$Z871-0)=0,"",INDEX(包装物料出入库明细!$R$4:$R$2003,$Z871-0)),IF($Z871&lt;=4000,IF(INDEX(周转筐出入库明细!$W$4:$W$2004,$Z871-2000)=0,"",INDEX(周转筐出入库明细!$W$4:$W$2004,$Z871-2000)),IF($Z871&lt;=5200,IF(INDEX(客户自备加工筐明细!$L$4:$L$1203,$Z871-4000)=0,"",INDEX(客户自备加工筐明细!$L$4:$L$1203,$Z871-4000)),IF($Z871&lt;=5800,IF(INDEX(次果筐明细!$P$4:$P$603,$Z871-5200)=0,"",INDEX(次果筐明细!$P$4:$P$603,$Z871-5200)),"")))))</f>
        <v/>
      </c>
      <c r="N871" s="16" t="str">
        <f>IF($Z871="","",IF($Z871&lt;=2000,"",IF($Z871&lt;=4000,IF(INDEX(周转筐出入库明细!$D$4:$D$2004,$Z871-2000)=0,"",INDEX(周转筐出入库明细!$D$4:$D$2004,$Z871-2000)),IF($Z871&lt;=5200,IF(INDEX(客户自备加工筐明细!$C$4:$C$1203,$Z871-4000)=0,"",INDEX(客户自备加工筐明细!$C$4:$C$1203,$Z871-4000)),IF($Z871&lt;=5800,IF(INDEX(次果筐明细!$D$4:$D$603,$Z871-5200)=0,"",INDEX(次果筐明细!$D$4:$D$603,$Z871-5200)),"")))))</f>
        <v/>
      </c>
      <c r="O871" s="40" t="str">
        <f>IF($Z871="","",IF($Z871&lt;=2000,"",IF($Z871&lt;=4000,IF(N(INDEX(周转筐出入库明细!$J$4:$J$2004,$Z871-2000))+N(INDEX(周转筐出入库明细!$K$4:$K$2004,$Z871-2000))=0,"",N(INDEX(周转筐出入库明细!$J$4:$J$2004,$Z871-2000))+N(INDEX(周转筐出入库明细!$K$4:$K$2004,$Z871-2000))),IF($Z871&lt;=5200,IF(N(INDEX(客户自备加工筐明细!$G$4:$G$1203,$Z871-4000))=0,"",N(INDEX(客户自备加工筐明细!$G$4:$G$1203,$Z871-4000))),IF($Z871&lt;=5800,IF(ISNUMBER(SEARCH("退",INDEX(次果筐明细!$F$4:$F$603,$Z871-5200)&amp;"")),"",IF(N(INDEX(次果筐明细!$G$4:$G$603,$Z871-5200))=0,"",N(INDEX(次果筐明细!$G$4:$G$603,$Z871-5200)))),"")))))</f>
        <v/>
      </c>
      <c r="P871" s="40" t="str">
        <f>IF($Z871="","",IF($Z871&lt;=2000,"",IF($Z871&lt;=4000,IF(N(INDEX(周转筐出入库明细!$I$4:$I$2004,$Z871-2000))=0,"",N(INDEX(周转筐出入库明细!$I$4:$I$2004,$Z871-2000))),IF($Z871&lt;=5200,"",IF($Z871&lt;=5800,IF(ISNUMBER(SEARCH("退",INDEX(次果筐明细!$F$4:$F$603,$Z871-5200)&amp;"")),IF(N(INDEX(次果筐明细!$G$4:$G$603,$Z871-5200))=0,"",N(INDEX(次果筐明细!$G$4:$G$603,$Z871-5200))),""),"")))))</f>
        <v/>
      </c>
      <c r="Q871" s="40" t="str">
        <f>IF($Z871="","",IF($Z871&lt;=2000,"",IF($Z871&lt;=4000,IF(N(INDEX(周转筐出入库明细!$H$4:$H$2004,$Z871-2000))=0,"",N(INDEX(周转筐出入库明细!$H$4:$H$2004,$Z871-2000))),IF($Z871&lt;=5200,IF(N(INDEX(客户自备加工筐明细!$F$4:$F$1203,$Z871-4000))=0,"",N(INDEX(客户自备加工筐明细!$F$4:$F$1203,$Z871-4000))),IF($Z871&lt;=5800,"","")))))</f>
        <v/>
      </c>
      <c r="R871" s="16" t="str">
        <f>IF($Z871="","",IF($Z871&lt;=2000,IF(INDEX(包装物料出入库明细!$O$4:$O$2003,$Z871-0)=0,"",INDEX(包装物料出入库明细!$O$4:$O$2003,$Z871-0)),IF($Z871&lt;=4000,IF(INDEX(周转筐出入库明细!$M$4:$M$2004,$Z871-2000)=0,"",INDEX(周转筐出入库明细!$M$4:$M$2004,$Z871-2000)),IF($Z871&lt;=5200,IF(INDEX(客户自备加工筐明细!$H$4:$H$1203,$Z871-4000)=0,"",INDEX(客户自备加工筐明细!$H$4:$H$1203,$Z871-4000)),IF($Z871&lt;=5800,IF(INDEX(次果筐明细!$H$4:$H$603,$Z871-5200)=0,"",INDEX(次果筐明细!$H$4:$H$603,$Z871-5200)),"")))))</f>
        <v/>
      </c>
      <c r="S871" s="22" t="str">
        <f t="shared" si="41"/>
        <v/>
      </c>
      <c r="Z871" s="10" t="str">
        <f>IFERROR(MATCH(ROW()-3,_自动清单!$CQ$4:$CQ$5803,0),"")</f>
        <v/>
      </c>
    </row>
    <row r="872" spans="1:26">
      <c r="A872" s="24" t="str">
        <f t="shared" si="39"/>
        <v/>
      </c>
      <c r="B872" s="38" t="str">
        <f>IF($Z872="","",IF($Z872&lt;=2000,IF(INDEX(包装物料出入库明细!$B$4:$B$2003,$Z872-0)=0,"",INDEX(包装物料出入库明细!$B$4:$B$2003,$Z872-0)),IF($Z872&lt;=4000,IF(INDEX(周转筐出入库明细!$B$4:$B$2004,$Z872-2000)=0,"",INDEX(周转筐出入库明细!$B$4:$B$2004,$Z872-2000)),IF($Z872&lt;=5200,IF(INDEX(客户自备加工筐明细!$B$4:$B$1203,$Z872-4000)=0,"",INDEX(客户自备加工筐明细!$B$4:$B$1203,$Z872-4000)),IF($Z872&lt;=5800,IF(INDEX(次果筐明细!$B$4:$B$603,$Z872-5200)=0,"",INDEX(次果筐明细!$B$4:$B$603,$Z872-5200)),"")))))</f>
        <v/>
      </c>
      <c r="C872" s="37" t="str">
        <f>IF($Z872="","",IF($Z872&lt;=2000,IF(INDEX(包装物料出入库明细!$D$4:$D$2003,$Z872-0)=0,"",INDEX(包装物料出入库明细!$D$4:$D$2003,$Z872-0)),IF($Z872&lt;=4000,IF(INDEX(周转筐出入库明细!$C$4:$C$2004,$Z872-2000)=0,"",INDEX(周转筐出入库明细!$C$4:$C$2004,$Z872-2000)),IF($Z872&lt;=5200,IF(INDEX(客户自备加工筐明细!$E$4:$E$1203,$Z872-4000)=0,"",INDEX(客户自备加工筐明细!$E$4:$E$1203,$Z872-4000)),IF($Z872&lt;=5800,IF(INDEX(次果筐明细!$C$4:$C$603,$Z872-5200)=0,"",INDEX(次果筐明细!$C$4:$C$603,$Z872-5200)),"")))))</f>
        <v/>
      </c>
      <c r="D872" s="37" t="str">
        <f>IF($Z872="","",IF($Z872&lt;=2000,"包装物料－"&amp;INDEX(包装物料出入库明细!$H$4:$H$2003,$Z872-0),IF($Z872&lt;=4000,"周转筐－"&amp;INDEX(周转筐出入库明细!$F$4:$F$2004,$Z872-2000),IF($Z872&lt;=5200,"客户自备筐－"&amp;INDEX(客户自备加工筐明细!$J$4:$J$1203,$Z872-4000),IF($Z872&lt;=5800,"次果筐/托盘－"&amp;INDEX(次果筐明细!$F$4:$F$603,$Z872-5200),"")))))</f>
        <v/>
      </c>
      <c r="E872" s="24" t="str">
        <f>IF($Z872="","",IF($Z872&lt;=2000,IF(INDEX(包装物料出入库明细!$C$4:$C$2003,$Z872-0)=0,"",INDEX(包装物料出入库明细!$C$4:$C$2003,$Z872-0)),IF($Z872&lt;=4000,IF(INDEX(周转筐出入库明细!$E$4:$E$2004,$Z872-2000)=0,"",INDEX(周转筐出入库明细!$E$4:$E$2004,$Z872-2000)),IF($Z872&lt;=5200,IF(INDEX(客户自备加工筐明细!$D$4:$D$1203,$Z872-4000)=0,"",INDEX(客户自备加工筐明细!$D$4:$D$1203,$Z872-4000)),IF($Z872&lt;=5800,IF(INDEX(次果筐明细!$E$4:$E$603,$Z872-5200)=0,"",INDEX(次果筐明细!$E$4:$E$603,$Z872-5200)),"")))))</f>
        <v/>
      </c>
      <c r="F872" s="24" t="str">
        <f>IF($Z872="","",IF($Z872&lt;=2000,IF(INDEX(包装物料出入库明细!$E$4:$E$2003,$Z872-0)=0,"",INDEX(包装物料出入库明细!$E$4:$E$2003,$Z872-0)),IF($Z872&lt;=4000,IF(INDEX(周转筐出入库明细!$D$4:$D$2004,$Z872-2000)=0,"",INDEX(周转筐出入库明细!$D$4:$D$2004,$Z872-2000)),IF($Z872&lt;=5200,IF(INDEX(客户自备加工筐明细!$C$4:$C$1203,$Z872-4000)=0,"",INDEX(客户自备加工筐明细!$C$4:$C$1203,$Z872-4000)),IF($Z872&lt;=5800,IF(INDEX(次果筐明细!$D$4:$D$603,$Z872-5200)=0,"",INDEX(次果筐明细!$D$4:$D$603,$Z872-5200)),"")))))</f>
        <v/>
      </c>
      <c r="G872" s="24" t="str">
        <f>IF($Z872="","",IF($Z872&lt;=2000,IF(INDEX(包装物料出入库明细!$F$4:$F$2003,$Z872-0)=0,"",INDEX(包装物料出入库明细!$F$4:$F$2003,$Z872-0)),IF($Z872&lt;=4000,"",IF($Z872&lt;=5200,"",IF($Z872&lt;=5800,"","")))))</f>
        <v/>
      </c>
      <c r="H872" s="39" t="str">
        <f>IF($Z872="","",IF($Z872&lt;=2000,IF(INDEX(包装物料出入库明细!$L$4:$L$2003,$Z872-0)=0,"",INDEX(包装物料出入库明细!$L$4:$L$2003,$Z872-0)),IF($Z872&lt;=4000,N(INDEX(周转筐出入库明细!$H$4:$H$2004,$Z872-2000))+N(INDEX(周转筐出入库明细!$I$4:$I$2004,$Z872-2000))+N(INDEX(周转筐出入库明细!$J$4:$J$2004,$Z872-2000))+N(INDEX(周转筐出入库明细!$K$4:$K$2004,$Z872-2000)),IF($Z872&lt;=5200,N(INDEX(客户自备加工筐明细!$F$4:$F$1203,$Z872-4000))+N(INDEX(客户自备加工筐明细!$G$4:$G$1203,$Z872-4000)),IF($Z872&lt;=5800,IF(INDEX(次果筐明细!$G$4:$G$603,$Z872-5200)=0,"",INDEX(次果筐明细!$G$4:$G$603,$Z872-5200)),"")))))</f>
        <v/>
      </c>
      <c r="I872" s="24" t="str">
        <f>IF($Z872="","",IF($Z872&lt;=2000,IF(INDEX(包装物料出入库明细!$G$4:$G$2003,$Z872-0)=0,"",INDEX(包装物料出入库明细!$G$4:$G$2003,$Z872-0)),IF($Z872&lt;=4000,"个",IF($Z872&lt;=5200,"个",IF($Z872&lt;=5800,"个","")))))</f>
        <v/>
      </c>
      <c r="J872" s="30" t="str">
        <f t="shared" si="40"/>
        <v/>
      </c>
      <c r="K872" s="30" t="str">
        <f>IF($Z872="","",IF($Z872&lt;=2000,IF(INDEX(包装物料出入库明细!$N$4:$N$2003,$Z872-0)=0,"",INDEX(包装物料出入库明细!$N$4:$N$2003,$Z872-0)),IF($Z872&lt;=4000,IF(INDEX(周转筐出入库明细!$P$4:$P$2004,$Z872-2000)=0,"",INDEX(周转筐出入库明细!$P$4:$P$2004,$Z872-2000)),IF($Z872&lt;=5200,"",IF($Z872&lt;=5800,N(INDEX(次果筐明细!$L$4:$L$603,$Z872-5200))+N(INDEX(次果筐明细!$J$4:$J$603,$Z872-5200)),"")))))</f>
        <v/>
      </c>
      <c r="L872" s="24" t="str">
        <f>IF($Z872="","",IF($Z872&lt;=2000,IF(INDEX(包装物料出入库明细!$P$4:$P$2003,$Z872-0)=0,"",INDEX(包装物料出入库明细!$P$4:$P$2003,$Z872-0)),IF($Z872&lt;=4000,IF(INDEX(周转筐出入库明细!$Q$4:$Q$2004,$Z872-2000)=0,"",INDEX(周转筐出入库明细!$Q$4:$Q$2004,$Z872-2000)),IF($Z872&lt;=5200,"",IF($Z872&lt;=5800,IF(INDEX(次果筐明细!$M$4:$M$603,$Z872-5200)=0,"",INDEX(次果筐明细!$M$4:$M$603,$Z872-5200)),"")))))</f>
        <v/>
      </c>
      <c r="M872" s="37" t="str">
        <f>IF($Z872="","",IF($Z872&lt;=2000,IF(INDEX(包装物料出入库明细!$R$4:$R$2003,$Z872-0)=0,"",INDEX(包装物料出入库明细!$R$4:$R$2003,$Z872-0)),IF($Z872&lt;=4000,IF(INDEX(周转筐出入库明细!$W$4:$W$2004,$Z872-2000)=0,"",INDEX(周转筐出入库明细!$W$4:$W$2004,$Z872-2000)),IF($Z872&lt;=5200,IF(INDEX(客户自备加工筐明细!$L$4:$L$1203,$Z872-4000)=0,"",INDEX(客户自备加工筐明细!$L$4:$L$1203,$Z872-4000)),IF($Z872&lt;=5800,IF(INDEX(次果筐明细!$P$4:$P$603,$Z872-5200)=0,"",INDEX(次果筐明细!$P$4:$P$603,$Z872-5200)),"")))))</f>
        <v/>
      </c>
      <c r="N872" s="16" t="str">
        <f>IF($Z872="","",IF($Z872&lt;=2000,"",IF($Z872&lt;=4000,IF(INDEX(周转筐出入库明细!$D$4:$D$2004,$Z872-2000)=0,"",INDEX(周转筐出入库明细!$D$4:$D$2004,$Z872-2000)),IF($Z872&lt;=5200,IF(INDEX(客户自备加工筐明细!$C$4:$C$1203,$Z872-4000)=0,"",INDEX(客户自备加工筐明细!$C$4:$C$1203,$Z872-4000)),IF($Z872&lt;=5800,IF(INDEX(次果筐明细!$D$4:$D$603,$Z872-5200)=0,"",INDEX(次果筐明细!$D$4:$D$603,$Z872-5200)),"")))))</f>
        <v/>
      </c>
      <c r="O872" s="40" t="str">
        <f>IF($Z872="","",IF($Z872&lt;=2000,"",IF($Z872&lt;=4000,IF(N(INDEX(周转筐出入库明细!$J$4:$J$2004,$Z872-2000))+N(INDEX(周转筐出入库明细!$K$4:$K$2004,$Z872-2000))=0,"",N(INDEX(周转筐出入库明细!$J$4:$J$2004,$Z872-2000))+N(INDEX(周转筐出入库明细!$K$4:$K$2004,$Z872-2000))),IF($Z872&lt;=5200,IF(N(INDEX(客户自备加工筐明细!$G$4:$G$1203,$Z872-4000))=0,"",N(INDEX(客户自备加工筐明细!$G$4:$G$1203,$Z872-4000))),IF($Z872&lt;=5800,IF(ISNUMBER(SEARCH("退",INDEX(次果筐明细!$F$4:$F$603,$Z872-5200)&amp;"")),"",IF(N(INDEX(次果筐明细!$G$4:$G$603,$Z872-5200))=0,"",N(INDEX(次果筐明细!$G$4:$G$603,$Z872-5200)))),"")))))</f>
        <v/>
      </c>
      <c r="P872" s="40" t="str">
        <f>IF($Z872="","",IF($Z872&lt;=2000,"",IF($Z872&lt;=4000,IF(N(INDEX(周转筐出入库明细!$I$4:$I$2004,$Z872-2000))=0,"",N(INDEX(周转筐出入库明细!$I$4:$I$2004,$Z872-2000))),IF($Z872&lt;=5200,"",IF($Z872&lt;=5800,IF(ISNUMBER(SEARCH("退",INDEX(次果筐明细!$F$4:$F$603,$Z872-5200)&amp;"")),IF(N(INDEX(次果筐明细!$G$4:$G$603,$Z872-5200))=0,"",N(INDEX(次果筐明细!$G$4:$G$603,$Z872-5200))),""),"")))))</f>
        <v/>
      </c>
      <c r="Q872" s="40" t="str">
        <f>IF($Z872="","",IF($Z872&lt;=2000,"",IF($Z872&lt;=4000,IF(N(INDEX(周转筐出入库明细!$H$4:$H$2004,$Z872-2000))=0,"",N(INDEX(周转筐出入库明细!$H$4:$H$2004,$Z872-2000))),IF($Z872&lt;=5200,IF(N(INDEX(客户自备加工筐明细!$F$4:$F$1203,$Z872-4000))=0,"",N(INDEX(客户自备加工筐明细!$F$4:$F$1203,$Z872-4000))),IF($Z872&lt;=5800,"","")))))</f>
        <v/>
      </c>
      <c r="R872" s="16" t="str">
        <f>IF($Z872="","",IF($Z872&lt;=2000,IF(INDEX(包装物料出入库明细!$O$4:$O$2003,$Z872-0)=0,"",INDEX(包装物料出入库明细!$O$4:$O$2003,$Z872-0)),IF($Z872&lt;=4000,IF(INDEX(周转筐出入库明细!$M$4:$M$2004,$Z872-2000)=0,"",INDEX(周转筐出入库明细!$M$4:$M$2004,$Z872-2000)),IF($Z872&lt;=5200,IF(INDEX(客户自备加工筐明细!$H$4:$H$1203,$Z872-4000)=0,"",INDEX(客户自备加工筐明细!$H$4:$H$1203,$Z872-4000)),IF($Z872&lt;=5800,IF(INDEX(次果筐明细!$H$4:$H$603,$Z872-5200)=0,"",INDEX(次果筐明细!$H$4:$H$603,$Z872-5200)),"")))))</f>
        <v/>
      </c>
      <c r="S872" s="22" t="str">
        <f t="shared" si="41"/>
        <v/>
      </c>
      <c r="Z872" s="10" t="str">
        <f>IFERROR(MATCH(ROW()-3,_自动清单!$CQ$4:$CQ$5803,0),"")</f>
        <v/>
      </c>
    </row>
    <row r="873" spans="1:26">
      <c r="A873" s="24" t="str">
        <f t="shared" si="39"/>
        <v/>
      </c>
      <c r="B873" s="38" t="str">
        <f>IF($Z873="","",IF($Z873&lt;=2000,IF(INDEX(包装物料出入库明细!$B$4:$B$2003,$Z873-0)=0,"",INDEX(包装物料出入库明细!$B$4:$B$2003,$Z873-0)),IF($Z873&lt;=4000,IF(INDEX(周转筐出入库明细!$B$4:$B$2004,$Z873-2000)=0,"",INDEX(周转筐出入库明细!$B$4:$B$2004,$Z873-2000)),IF($Z873&lt;=5200,IF(INDEX(客户自备加工筐明细!$B$4:$B$1203,$Z873-4000)=0,"",INDEX(客户自备加工筐明细!$B$4:$B$1203,$Z873-4000)),IF($Z873&lt;=5800,IF(INDEX(次果筐明细!$B$4:$B$603,$Z873-5200)=0,"",INDEX(次果筐明细!$B$4:$B$603,$Z873-5200)),"")))))</f>
        <v/>
      </c>
      <c r="C873" s="37" t="str">
        <f>IF($Z873="","",IF($Z873&lt;=2000,IF(INDEX(包装物料出入库明细!$D$4:$D$2003,$Z873-0)=0,"",INDEX(包装物料出入库明细!$D$4:$D$2003,$Z873-0)),IF($Z873&lt;=4000,IF(INDEX(周转筐出入库明细!$C$4:$C$2004,$Z873-2000)=0,"",INDEX(周转筐出入库明细!$C$4:$C$2004,$Z873-2000)),IF($Z873&lt;=5200,IF(INDEX(客户自备加工筐明细!$E$4:$E$1203,$Z873-4000)=0,"",INDEX(客户自备加工筐明细!$E$4:$E$1203,$Z873-4000)),IF($Z873&lt;=5800,IF(INDEX(次果筐明细!$C$4:$C$603,$Z873-5200)=0,"",INDEX(次果筐明细!$C$4:$C$603,$Z873-5200)),"")))))</f>
        <v/>
      </c>
      <c r="D873" s="37" t="str">
        <f>IF($Z873="","",IF($Z873&lt;=2000,"包装物料－"&amp;INDEX(包装物料出入库明细!$H$4:$H$2003,$Z873-0),IF($Z873&lt;=4000,"周转筐－"&amp;INDEX(周转筐出入库明细!$F$4:$F$2004,$Z873-2000),IF($Z873&lt;=5200,"客户自备筐－"&amp;INDEX(客户自备加工筐明细!$J$4:$J$1203,$Z873-4000),IF($Z873&lt;=5800,"次果筐/托盘－"&amp;INDEX(次果筐明细!$F$4:$F$603,$Z873-5200),"")))))</f>
        <v/>
      </c>
      <c r="E873" s="24" t="str">
        <f>IF($Z873="","",IF($Z873&lt;=2000,IF(INDEX(包装物料出入库明细!$C$4:$C$2003,$Z873-0)=0,"",INDEX(包装物料出入库明细!$C$4:$C$2003,$Z873-0)),IF($Z873&lt;=4000,IF(INDEX(周转筐出入库明细!$E$4:$E$2004,$Z873-2000)=0,"",INDEX(周转筐出入库明细!$E$4:$E$2004,$Z873-2000)),IF($Z873&lt;=5200,IF(INDEX(客户自备加工筐明细!$D$4:$D$1203,$Z873-4000)=0,"",INDEX(客户自备加工筐明细!$D$4:$D$1203,$Z873-4000)),IF($Z873&lt;=5800,IF(INDEX(次果筐明细!$E$4:$E$603,$Z873-5200)=0,"",INDEX(次果筐明细!$E$4:$E$603,$Z873-5200)),"")))))</f>
        <v/>
      </c>
      <c r="F873" s="24" t="str">
        <f>IF($Z873="","",IF($Z873&lt;=2000,IF(INDEX(包装物料出入库明细!$E$4:$E$2003,$Z873-0)=0,"",INDEX(包装物料出入库明细!$E$4:$E$2003,$Z873-0)),IF($Z873&lt;=4000,IF(INDEX(周转筐出入库明细!$D$4:$D$2004,$Z873-2000)=0,"",INDEX(周转筐出入库明细!$D$4:$D$2004,$Z873-2000)),IF($Z873&lt;=5200,IF(INDEX(客户自备加工筐明细!$C$4:$C$1203,$Z873-4000)=0,"",INDEX(客户自备加工筐明细!$C$4:$C$1203,$Z873-4000)),IF($Z873&lt;=5800,IF(INDEX(次果筐明细!$D$4:$D$603,$Z873-5200)=0,"",INDEX(次果筐明细!$D$4:$D$603,$Z873-5200)),"")))))</f>
        <v/>
      </c>
      <c r="G873" s="24" t="str">
        <f>IF($Z873="","",IF($Z873&lt;=2000,IF(INDEX(包装物料出入库明细!$F$4:$F$2003,$Z873-0)=0,"",INDEX(包装物料出入库明细!$F$4:$F$2003,$Z873-0)),IF($Z873&lt;=4000,"",IF($Z873&lt;=5200,"",IF($Z873&lt;=5800,"","")))))</f>
        <v/>
      </c>
      <c r="H873" s="39" t="str">
        <f>IF($Z873="","",IF($Z873&lt;=2000,IF(INDEX(包装物料出入库明细!$L$4:$L$2003,$Z873-0)=0,"",INDEX(包装物料出入库明细!$L$4:$L$2003,$Z873-0)),IF($Z873&lt;=4000,N(INDEX(周转筐出入库明细!$H$4:$H$2004,$Z873-2000))+N(INDEX(周转筐出入库明细!$I$4:$I$2004,$Z873-2000))+N(INDEX(周转筐出入库明细!$J$4:$J$2004,$Z873-2000))+N(INDEX(周转筐出入库明细!$K$4:$K$2004,$Z873-2000)),IF($Z873&lt;=5200,N(INDEX(客户自备加工筐明细!$F$4:$F$1203,$Z873-4000))+N(INDEX(客户自备加工筐明细!$G$4:$G$1203,$Z873-4000)),IF($Z873&lt;=5800,IF(INDEX(次果筐明细!$G$4:$G$603,$Z873-5200)=0,"",INDEX(次果筐明细!$G$4:$G$603,$Z873-5200)),"")))))</f>
        <v/>
      </c>
      <c r="I873" s="24" t="str">
        <f>IF($Z873="","",IF($Z873&lt;=2000,IF(INDEX(包装物料出入库明细!$G$4:$G$2003,$Z873-0)=0,"",INDEX(包装物料出入库明细!$G$4:$G$2003,$Z873-0)),IF($Z873&lt;=4000,"个",IF($Z873&lt;=5200,"个",IF($Z873&lt;=5800,"个","")))))</f>
        <v/>
      </c>
      <c r="J873" s="30" t="str">
        <f t="shared" si="40"/>
        <v/>
      </c>
      <c r="K873" s="30" t="str">
        <f>IF($Z873="","",IF($Z873&lt;=2000,IF(INDEX(包装物料出入库明细!$N$4:$N$2003,$Z873-0)=0,"",INDEX(包装物料出入库明细!$N$4:$N$2003,$Z873-0)),IF($Z873&lt;=4000,IF(INDEX(周转筐出入库明细!$P$4:$P$2004,$Z873-2000)=0,"",INDEX(周转筐出入库明细!$P$4:$P$2004,$Z873-2000)),IF($Z873&lt;=5200,"",IF($Z873&lt;=5800,N(INDEX(次果筐明细!$L$4:$L$603,$Z873-5200))+N(INDEX(次果筐明细!$J$4:$J$603,$Z873-5200)),"")))))</f>
        <v/>
      </c>
      <c r="L873" s="24" t="str">
        <f>IF($Z873="","",IF($Z873&lt;=2000,IF(INDEX(包装物料出入库明细!$P$4:$P$2003,$Z873-0)=0,"",INDEX(包装物料出入库明细!$P$4:$P$2003,$Z873-0)),IF($Z873&lt;=4000,IF(INDEX(周转筐出入库明细!$Q$4:$Q$2004,$Z873-2000)=0,"",INDEX(周转筐出入库明细!$Q$4:$Q$2004,$Z873-2000)),IF($Z873&lt;=5200,"",IF($Z873&lt;=5800,IF(INDEX(次果筐明细!$M$4:$M$603,$Z873-5200)=0,"",INDEX(次果筐明细!$M$4:$M$603,$Z873-5200)),"")))))</f>
        <v/>
      </c>
      <c r="M873" s="37" t="str">
        <f>IF($Z873="","",IF($Z873&lt;=2000,IF(INDEX(包装物料出入库明细!$R$4:$R$2003,$Z873-0)=0,"",INDEX(包装物料出入库明细!$R$4:$R$2003,$Z873-0)),IF($Z873&lt;=4000,IF(INDEX(周转筐出入库明细!$W$4:$W$2004,$Z873-2000)=0,"",INDEX(周转筐出入库明细!$W$4:$W$2004,$Z873-2000)),IF($Z873&lt;=5200,IF(INDEX(客户自备加工筐明细!$L$4:$L$1203,$Z873-4000)=0,"",INDEX(客户自备加工筐明细!$L$4:$L$1203,$Z873-4000)),IF($Z873&lt;=5800,IF(INDEX(次果筐明细!$P$4:$P$603,$Z873-5200)=0,"",INDEX(次果筐明细!$P$4:$P$603,$Z873-5200)),"")))))</f>
        <v/>
      </c>
      <c r="N873" s="16" t="str">
        <f>IF($Z873="","",IF($Z873&lt;=2000,"",IF($Z873&lt;=4000,IF(INDEX(周转筐出入库明细!$D$4:$D$2004,$Z873-2000)=0,"",INDEX(周转筐出入库明细!$D$4:$D$2004,$Z873-2000)),IF($Z873&lt;=5200,IF(INDEX(客户自备加工筐明细!$C$4:$C$1203,$Z873-4000)=0,"",INDEX(客户自备加工筐明细!$C$4:$C$1203,$Z873-4000)),IF($Z873&lt;=5800,IF(INDEX(次果筐明细!$D$4:$D$603,$Z873-5200)=0,"",INDEX(次果筐明细!$D$4:$D$603,$Z873-5200)),"")))))</f>
        <v/>
      </c>
      <c r="O873" s="40" t="str">
        <f>IF($Z873="","",IF($Z873&lt;=2000,"",IF($Z873&lt;=4000,IF(N(INDEX(周转筐出入库明细!$J$4:$J$2004,$Z873-2000))+N(INDEX(周转筐出入库明细!$K$4:$K$2004,$Z873-2000))=0,"",N(INDEX(周转筐出入库明细!$J$4:$J$2004,$Z873-2000))+N(INDEX(周转筐出入库明细!$K$4:$K$2004,$Z873-2000))),IF($Z873&lt;=5200,IF(N(INDEX(客户自备加工筐明细!$G$4:$G$1203,$Z873-4000))=0,"",N(INDEX(客户自备加工筐明细!$G$4:$G$1203,$Z873-4000))),IF($Z873&lt;=5800,IF(ISNUMBER(SEARCH("退",INDEX(次果筐明细!$F$4:$F$603,$Z873-5200)&amp;"")),"",IF(N(INDEX(次果筐明细!$G$4:$G$603,$Z873-5200))=0,"",N(INDEX(次果筐明细!$G$4:$G$603,$Z873-5200)))),"")))))</f>
        <v/>
      </c>
      <c r="P873" s="40" t="str">
        <f>IF($Z873="","",IF($Z873&lt;=2000,"",IF($Z873&lt;=4000,IF(N(INDEX(周转筐出入库明细!$I$4:$I$2004,$Z873-2000))=0,"",N(INDEX(周转筐出入库明细!$I$4:$I$2004,$Z873-2000))),IF($Z873&lt;=5200,"",IF($Z873&lt;=5800,IF(ISNUMBER(SEARCH("退",INDEX(次果筐明细!$F$4:$F$603,$Z873-5200)&amp;"")),IF(N(INDEX(次果筐明细!$G$4:$G$603,$Z873-5200))=0,"",N(INDEX(次果筐明细!$G$4:$G$603,$Z873-5200))),""),"")))))</f>
        <v/>
      </c>
      <c r="Q873" s="40" t="str">
        <f>IF($Z873="","",IF($Z873&lt;=2000,"",IF($Z873&lt;=4000,IF(N(INDEX(周转筐出入库明细!$H$4:$H$2004,$Z873-2000))=0,"",N(INDEX(周转筐出入库明细!$H$4:$H$2004,$Z873-2000))),IF($Z873&lt;=5200,IF(N(INDEX(客户自备加工筐明细!$F$4:$F$1203,$Z873-4000))=0,"",N(INDEX(客户自备加工筐明细!$F$4:$F$1203,$Z873-4000))),IF($Z873&lt;=5800,"","")))))</f>
        <v/>
      </c>
      <c r="R873" s="16" t="str">
        <f>IF($Z873="","",IF($Z873&lt;=2000,IF(INDEX(包装物料出入库明细!$O$4:$O$2003,$Z873-0)=0,"",INDEX(包装物料出入库明细!$O$4:$O$2003,$Z873-0)),IF($Z873&lt;=4000,IF(INDEX(周转筐出入库明细!$M$4:$M$2004,$Z873-2000)=0,"",INDEX(周转筐出入库明细!$M$4:$M$2004,$Z873-2000)),IF($Z873&lt;=5200,IF(INDEX(客户自备加工筐明细!$H$4:$H$1203,$Z873-4000)=0,"",INDEX(客户自备加工筐明细!$H$4:$H$1203,$Z873-4000)),IF($Z873&lt;=5800,IF(INDEX(次果筐明细!$H$4:$H$603,$Z873-5200)=0,"",INDEX(次果筐明细!$H$4:$H$603,$Z873-5200)),"")))))</f>
        <v/>
      </c>
      <c r="S873" s="22" t="str">
        <f t="shared" si="41"/>
        <v/>
      </c>
      <c r="Z873" s="10" t="str">
        <f>IFERROR(MATCH(ROW()-3,_自动清单!$CQ$4:$CQ$5803,0),"")</f>
        <v/>
      </c>
    </row>
    <row r="874" spans="1:26">
      <c r="A874" s="24" t="str">
        <f t="shared" si="39"/>
        <v/>
      </c>
      <c r="B874" s="38" t="str">
        <f>IF($Z874="","",IF($Z874&lt;=2000,IF(INDEX(包装物料出入库明细!$B$4:$B$2003,$Z874-0)=0,"",INDEX(包装物料出入库明细!$B$4:$B$2003,$Z874-0)),IF($Z874&lt;=4000,IF(INDEX(周转筐出入库明细!$B$4:$B$2004,$Z874-2000)=0,"",INDEX(周转筐出入库明细!$B$4:$B$2004,$Z874-2000)),IF($Z874&lt;=5200,IF(INDEX(客户自备加工筐明细!$B$4:$B$1203,$Z874-4000)=0,"",INDEX(客户自备加工筐明细!$B$4:$B$1203,$Z874-4000)),IF($Z874&lt;=5800,IF(INDEX(次果筐明细!$B$4:$B$603,$Z874-5200)=0,"",INDEX(次果筐明细!$B$4:$B$603,$Z874-5200)),"")))))</f>
        <v/>
      </c>
      <c r="C874" s="37" t="str">
        <f>IF($Z874="","",IF($Z874&lt;=2000,IF(INDEX(包装物料出入库明细!$D$4:$D$2003,$Z874-0)=0,"",INDEX(包装物料出入库明细!$D$4:$D$2003,$Z874-0)),IF($Z874&lt;=4000,IF(INDEX(周转筐出入库明细!$C$4:$C$2004,$Z874-2000)=0,"",INDEX(周转筐出入库明细!$C$4:$C$2004,$Z874-2000)),IF($Z874&lt;=5200,IF(INDEX(客户自备加工筐明细!$E$4:$E$1203,$Z874-4000)=0,"",INDEX(客户自备加工筐明细!$E$4:$E$1203,$Z874-4000)),IF($Z874&lt;=5800,IF(INDEX(次果筐明细!$C$4:$C$603,$Z874-5200)=0,"",INDEX(次果筐明细!$C$4:$C$603,$Z874-5200)),"")))))</f>
        <v/>
      </c>
      <c r="D874" s="37" t="str">
        <f>IF($Z874="","",IF($Z874&lt;=2000,"包装物料－"&amp;INDEX(包装物料出入库明细!$H$4:$H$2003,$Z874-0),IF($Z874&lt;=4000,"周转筐－"&amp;INDEX(周转筐出入库明细!$F$4:$F$2004,$Z874-2000),IF($Z874&lt;=5200,"客户自备筐－"&amp;INDEX(客户自备加工筐明细!$J$4:$J$1203,$Z874-4000),IF($Z874&lt;=5800,"次果筐/托盘－"&amp;INDEX(次果筐明细!$F$4:$F$603,$Z874-5200),"")))))</f>
        <v/>
      </c>
      <c r="E874" s="24" t="str">
        <f>IF($Z874="","",IF($Z874&lt;=2000,IF(INDEX(包装物料出入库明细!$C$4:$C$2003,$Z874-0)=0,"",INDEX(包装物料出入库明细!$C$4:$C$2003,$Z874-0)),IF($Z874&lt;=4000,IF(INDEX(周转筐出入库明细!$E$4:$E$2004,$Z874-2000)=0,"",INDEX(周转筐出入库明细!$E$4:$E$2004,$Z874-2000)),IF($Z874&lt;=5200,IF(INDEX(客户自备加工筐明细!$D$4:$D$1203,$Z874-4000)=0,"",INDEX(客户自备加工筐明细!$D$4:$D$1203,$Z874-4000)),IF($Z874&lt;=5800,IF(INDEX(次果筐明细!$E$4:$E$603,$Z874-5200)=0,"",INDEX(次果筐明细!$E$4:$E$603,$Z874-5200)),"")))))</f>
        <v/>
      </c>
      <c r="F874" s="24" t="str">
        <f>IF($Z874="","",IF($Z874&lt;=2000,IF(INDEX(包装物料出入库明细!$E$4:$E$2003,$Z874-0)=0,"",INDEX(包装物料出入库明细!$E$4:$E$2003,$Z874-0)),IF($Z874&lt;=4000,IF(INDEX(周转筐出入库明细!$D$4:$D$2004,$Z874-2000)=0,"",INDEX(周转筐出入库明细!$D$4:$D$2004,$Z874-2000)),IF($Z874&lt;=5200,IF(INDEX(客户自备加工筐明细!$C$4:$C$1203,$Z874-4000)=0,"",INDEX(客户自备加工筐明细!$C$4:$C$1203,$Z874-4000)),IF($Z874&lt;=5800,IF(INDEX(次果筐明细!$D$4:$D$603,$Z874-5200)=0,"",INDEX(次果筐明细!$D$4:$D$603,$Z874-5200)),"")))))</f>
        <v/>
      </c>
      <c r="G874" s="24" t="str">
        <f>IF($Z874="","",IF($Z874&lt;=2000,IF(INDEX(包装物料出入库明细!$F$4:$F$2003,$Z874-0)=0,"",INDEX(包装物料出入库明细!$F$4:$F$2003,$Z874-0)),IF($Z874&lt;=4000,"",IF($Z874&lt;=5200,"",IF($Z874&lt;=5800,"","")))))</f>
        <v/>
      </c>
      <c r="H874" s="39" t="str">
        <f>IF($Z874="","",IF($Z874&lt;=2000,IF(INDEX(包装物料出入库明细!$L$4:$L$2003,$Z874-0)=0,"",INDEX(包装物料出入库明细!$L$4:$L$2003,$Z874-0)),IF($Z874&lt;=4000,N(INDEX(周转筐出入库明细!$H$4:$H$2004,$Z874-2000))+N(INDEX(周转筐出入库明细!$I$4:$I$2004,$Z874-2000))+N(INDEX(周转筐出入库明细!$J$4:$J$2004,$Z874-2000))+N(INDEX(周转筐出入库明细!$K$4:$K$2004,$Z874-2000)),IF($Z874&lt;=5200,N(INDEX(客户自备加工筐明细!$F$4:$F$1203,$Z874-4000))+N(INDEX(客户自备加工筐明细!$G$4:$G$1203,$Z874-4000)),IF($Z874&lt;=5800,IF(INDEX(次果筐明细!$G$4:$G$603,$Z874-5200)=0,"",INDEX(次果筐明细!$G$4:$G$603,$Z874-5200)),"")))))</f>
        <v/>
      </c>
      <c r="I874" s="24" t="str">
        <f>IF($Z874="","",IF($Z874&lt;=2000,IF(INDEX(包装物料出入库明细!$G$4:$G$2003,$Z874-0)=0,"",INDEX(包装物料出入库明细!$G$4:$G$2003,$Z874-0)),IF($Z874&lt;=4000,"个",IF($Z874&lt;=5200,"个",IF($Z874&lt;=5800,"个","")))))</f>
        <v/>
      </c>
      <c r="J874" s="30" t="str">
        <f t="shared" si="40"/>
        <v/>
      </c>
      <c r="K874" s="30" t="str">
        <f>IF($Z874="","",IF($Z874&lt;=2000,IF(INDEX(包装物料出入库明细!$N$4:$N$2003,$Z874-0)=0,"",INDEX(包装物料出入库明细!$N$4:$N$2003,$Z874-0)),IF($Z874&lt;=4000,IF(INDEX(周转筐出入库明细!$P$4:$P$2004,$Z874-2000)=0,"",INDEX(周转筐出入库明细!$P$4:$P$2004,$Z874-2000)),IF($Z874&lt;=5200,"",IF($Z874&lt;=5800,N(INDEX(次果筐明细!$L$4:$L$603,$Z874-5200))+N(INDEX(次果筐明细!$J$4:$J$603,$Z874-5200)),"")))))</f>
        <v/>
      </c>
      <c r="L874" s="24" t="str">
        <f>IF($Z874="","",IF($Z874&lt;=2000,IF(INDEX(包装物料出入库明细!$P$4:$P$2003,$Z874-0)=0,"",INDEX(包装物料出入库明细!$P$4:$P$2003,$Z874-0)),IF($Z874&lt;=4000,IF(INDEX(周转筐出入库明细!$Q$4:$Q$2004,$Z874-2000)=0,"",INDEX(周转筐出入库明细!$Q$4:$Q$2004,$Z874-2000)),IF($Z874&lt;=5200,"",IF($Z874&lt;=5800,IF(INDEX(次果筐明细!$M$4:$M$603,$Z874-5200)=0,"",INDEX(次果筐明细!$M$4:$M$603,$Z874-5200)),"")))))</f>
        <v/>
      </c>
      <c r="M874" s="37" t="str">
        <f>IF($Z874="","",IF($Z874&lt;=2000,IF(INDEX(包装物料出入库明细!$R$4:$R$2003,$Z874-0)=0,"",INDEX(包装物料出入库明细!$R$4:$R$2003,$Z874-0)),IF($Z874&lt;=4000,IF(INDEX(周转筐出入库明细!$W$4:$W$2004,$Z874-2000)=0,"",INDEX(周转筐出入库明细!$W$4:$W$2004,$Z874-2000)),IF($Z874&lt;=5200,IF(INDEX(客户自备加工筐明细!$L$4:$L$1203,$Z874-4000)=0,"",INDEX(客户自备加工筐明细!$L$4:$L$1203,$Z874-4000)),IF($Z874&lt;=5800,IF(INDEX(次果筐明细!$P$4:$P$603,$Z874-5200)=0,"",INDEX(次果筐明细!$P$4:$P$603,$Z874-5200)),"")))))</f>
        <v/>
      </c>
      <c r="N874" s="16" t="str">
        <f>IF($Z874="","",IF($Z874&lt;=2000,"",IF($Z874&lt;=4000,IF(INDEX(周转筐出入库明细!$D$4:$D$2004,$Z874-2000)=0,"",INDEX(周转筐出入库明细!$D$4:$D$2004,$Z874-2000)),IF($Z874&lt;=5200,IF(INDEX(客户自备加工筐明细!$C$4:$C$1203,$Z874-4000)=0,"",INDEX(客户自备加工筐明细!$C$4:$C$1203,$Z874-4000)),IF($Z874&lt;=5800,IF(INDEX(次果筐明细!$D$4:$D$603,$Z874-5200)=0,"",INDEX(次果筐明细!$D$4:$D$603,$Z874-5200)),"")))))</f>
        <v/>
      </c>
      <c r="O874" s="40" t="str">
        <f>IF($Z874="","",IF($Z874&lt;=2000,"",IF($Z874&lt;=4000,IF(N(INDEX(周转筐出入库明细!$J$4:$J$2004,$Z874-2000))+N(INDEX(周转筐出入库明细!$K$4:$K$2004,$Z874-2000))=0,"",N(INDEX(周转筐出入库明细!$J$4:$J$2004,$Z874-2000))+N(INDEX(周转筐出入库明细!$K$4:$K$2004,$Z874-2000))),IF($Z874&lt;=5200,IF(N(INDEX(客户自备加工筐明细!$G$4:$G$1203,$Z874-4000))=0,"",N(INDEX(客户自备加工筐明细!$G$4:$G$1203,$Z874-4000))),IF($Z874&lt;=5800,IF(ISNUMBER(SEARCH("退",INDEX(次果筐明细!$F$4:$F$603,$Z874-5200)&amp;"")),"",IF(N(INDEX(次果筐明细!$G$4:$G$603,$Z874-5200))=0,"",N(INDEX(次果筐明细!$G$4:$G$603,$Z874-5200)))),"")))))</f>
        <v/>
      </c>
      <c r="P874" s="40" t="str">
        <f>IF($Z874="","",IF($Z874&lt;=2000,"",IF($Z874&lt;=4000,IF(N(INDEX(周转筐出入库明细!$I$4:$I$2004,$Z874-2000))=0,"",N(INDEX(周转筐出入库明细!$I$4:$I$2004,$Z874-2000))),IF($Z874&lt;=5200,"",IF($Z874&lt;=5800,IF(ISNUMBER(SEARCH("退",INDEX(次果筐明细!$F$4:$F$603,$Z874-5200)&amp;"")),IF(N(INDEX(次果筐明细!$G$4:$G$603,$Z874-5200))=0,"",N(INDEX(次果筐明细!$G$4:$G$603,$Z874-5200))),""),"")))))</f>
        <v/>
      </c>
      <c r="Q874" s="40" t="str">
        <f>IF($Z874="","",IF($Z874&lt;=2000,"",IF($Z874&lt;=4000,IF(N(INDEX(周转筐出入库明细!$H$4:$H$2004,$Z874-2000))=0,"",N(INDEX(周转筐出入库明细!$H$4:$H$2004,$Z874-2000))),IF($Z874&lt;=5200,IF(N(INDEX(客户自备加工筐明细!$F$4:$F$1203,$Z874-4000))=0,"",N(INDEX(客户自备加工筐明细!$F$4:$F$1203,$Z874-4000))),IF($Z874&lt;=5800,"","")))))</f>
        <v/>
      </c>
      <c r="R874" s="16" t="str">
        <f>IF($Z874="","",IF($Z874&lt;=2000,IF(INDEX(包装物料出入库明细!$O$4:$O$2003,$Z874-0)=0,"",INDEX(包装物料出入库明细!$O$4:$O$2003,$Z874-0)),IF($Z874&lt;=4000,IF(INDEX(周转筐出入库明细!$M$4:$M$2004,$Z874-2000)=0,"",INDEX(周转筐出入库明细!$M$4:$M$2004,$Z874-2000)),IF($Z874&lt;=5200,IF(INDEX(客户自备加工筐明细!$H$4:$H$1203,$Z874-4000)=0,"",INDEX(客户自备加工筐明细!$H$4:$H$1203,$Z874-4000)),IF($Z874&lt;=5800,IF(INDEX(次果筐明细!$H$4:$H$603,$Z874-5200)=0,"",INDEX(次果筐明细!$H$4:$H$603,$Z874-5200)),"")))))</f>
        <v/>
      </c>
      <c r="S874" s="22" t="str">
        <f t="shared" si="41"/>
        <v/>
      </c>
      <c r="Z874" s="10" t="str">
        <f>IFERROR(MATCH(ROW()-3,_自动清单!$CQ$4:$CQ$5803,0),"")</f>
        <v/>
      </c>
    </row>
    <row r="875" spans="1:26">
      <c r="A875" s="24" t="str">
        <f t="shared" si="39"/>
        <v/>
      </c>
      <c r="B875" s="38" t="str">
        <f>IF($Z875="","",IF($Z875&lt;=2000,IF(INDEX(包装物料出入库明细!$B$4:$B$2003,$Z875-0)=0,"",INDEX(包装物料出入库明细!$B$4:$B$2003,$Z875-0)),IF($Z875&lt;=4000,IF(INDEX(周转筐出入库明细!$B$4:$B$2004,$Z875-2000)=0,"",INDEX(周转筐出入库明细!$B$4:$B$2004,$Z875-2000)),IF($Z875&lt;=5200,IF(INDEX(客户自备加工筐明细!$B$4:$B$1203,$Z875-4000)=0,"",INDEX(客户自备加工筐明细!$B$4:$B$1203,$Z875-4000)),IF($Z875&lt;=5800,IF(INDEX(次果筐明细!$B$4:$B$603,$Z875-5200)=0,"",INDEX(次果筐明细!$B$4:$B$603,$Z875-5200)),"")))))</f>
        <v/>
      </c>
      <c r="C875" s="37" t="str">
        <f>IF($Z875="","",IF($Z875&lt;=2000,IF(INDEX(包装物料出入库明细!$D$4:$D$2003,$Z875-0)=0,"",INDEX(包装物料出入库明细!$D$4:$D$2003,$Z875-0)),IF($Z875&lt;=4000,IF(INDEX(周转筐出入库明细!$C$4:$C$2004,$Z875-2000)=0,"",INDEX(周转筐出入库明细!$C$4:$C$2004,$Z875-2000)),IF($Z875&lt;=5200,IF(INDEX(客户自备加工筐明细!$E$4:$E$1203,$Z875-4000)=0,"",INDEX(客户自备加工筐明细!$E$4:$E$1203,$Z875-4000)),IF($Z875&lt;=5800,IF(INDEX(次果筐明细!$C$4:$C$603,$Z875-5200)=0,"",INDEX(次果筐明细!$C$4:$C$603,$Z875-5200)),"")))))</f>
        <v/>
      </c>
      <c r="D875" s="37" t="str">
        <f>IF($Z875="","",IF($Z875&lt;=2000,"包装物料－"&amp;INDEX(包装物料出入库明细!$H$4:$H$2003,$Z875-0),IF($Z875&lt;=4000,"周转筐－"&amp;INDEX(周转筐出入库明细!$F$4:$F$2004,$Z875-2000),IF($Z875&lt;=5200,"客户自备筐－"&amp;INDEX(客户自备加工筐明细!$J$4:$J$1203,$Z875-4000),IF($Z875&lt;=5800,"次果筐/托盘－"&amp;INDEX(次果筐明细!$F$4:$F$603,$Z875-5200),"")))))</f>
        <v/>
      </c>
      <c r="E875" s="24" t="str">
        <f>IF($Z875="","",IF($Z875&lt;=2000,IF(INDEX(包装物料出入库明细!$C$4:$C$2003,$Z875-0)=0,"",INDEX(包装物料出入库明细!$C$4:$C$2003,$Z875-0)),IF($Z875&lt;=4000,IF(INDEX(周转筐出入库明细!$E$4:$E$2004,$Z875-2000)=0,"",INDEX(周转筐出入库明细!$E$4:$E$2004,$Z875-2000)),IF($Z875&lt;=5200,IF(INDEX(客户自备加工筐明细!$D$4:$D$1203,$Z875-4000)=0,"",INDEX(客户自备加工筐明细!$D$4:$D$1203,$Z875-4000)),IF($Z875&lt;=5800,IF(INDEX(次果筐明细!$E$4:$E$603,$Z875-5200)=0,"",INDEX(次果筐明细!$E$4:$E$603,$Z875-5200)),"")))))</f>
        <v/>
      </c>
      <c r="F875" s="24" t="str">
        <f>IF($Z875="","",IF($Z875&lt;=2000,IF(INDEX(包装物料出入库明细!$E$4:$E$2003,$Z875-0)=0,"",INDEX(包装物料出入库明细!$E$4:$E$2003,$Z875-0)),IF($Z875&lt;=4000,IF(INDEX(周转筐出入库明细!$D$4:$D$2004,$Z875-2000)=0,"",INDEX(周转筐出入库明细!$D$4:$D$2004,$Z875-2000)),IF($Z875&lt;=5200,IF(INDEX(客户自备加工筐明细!$C$4:$C$1203,$Z875-4000)=0,"",INDEX(客户自备加工筐明细!$C$4:$C$1203,$Z875-4000)),IF($Z875&lt;=5800,IF(INDEX(次果筐明细!$D$4:$D$603,$Z875-5200)=0,"",INDEX(次果筐明细!$D$4:$D$603,$Z875-5200)),"")))))</f>
        <v/>
      </c>
      <c r="G875" s="24" t="str">
        <f>IF($Z875="","",IF($Z875&lt;=2000,IF(INDEX(包装物料出入库明细!$F$4:$F$2003,$Z875-0)=0,"",INDEX(包装物料出入库明细!$F$4:$F$2003,$Z875-0)),IF($Z875&lt;=4000,"",IF($Z875&lt;=5200,"",IF($Z875&lt;=5800,"","")))))</f>
        <v/>
      </c>
      <c r="H875" s="39" t="str">
        <f>IF($Z875="","",IF($Z875&lt;=2000,IF(INDEX(包装物料出入库明细!$L$4:$L$2003,$Z875-0)=0,"",INDEX(包装物料出入库明细!$L$4:$L$2003,$Z875-0)),IF($Z875&lt;=4000,N(INDEX(周转筐出入库明细!$H$4:$H$2004,$Z875-2000))+N(INDEX(周转筐出入库明细!$I$4:$I$2004,$Z875-2000))+N(INDEX(周转筐出入库明细!$J$4:$J$2004,$Z875-2000))+N(INDEX(周转筐出入库明细!$K$4:$K$2004,$Z875-2000)),IF($Z875&lt;=5200,N(INDEX(客户自备加工筐明细!$F$4:$F$1203,$Z875-4000))+N(INDEX(客户自备加工筐明细!$G$4:$G$1203,$Z875-4000)),IF($Z875&lt;=5800,IF(INDEX(次果筐明细!$G$4:$G$603,$Z875-5200)=0,"",INDEX(次果筐明细!$G$4:$G$603,$Z875-5200)),"")))))</f>
        <v/>
      </c>
      <c r="I875" s="24" t="str">
        <f>IF($Z875="","",IF($Z875&lt;=2000,IF(INDEX(包装物料出入库明细!$G$4:$G$2003,$Z875-0)=0,"",INDEX(包装物料出入库明细!$G$4:$G$2003,$Z875-0)),IF($Z875&lt;=4000,"个",IF($Z875&lt;=5200,"个",IF($Z875&lt;=5800,"个","")))))</f>
        <v/>
      </c>
      <c r="J875" s="30" t="str">
        <f t="shared" si="40"/>
        <v/>
      </c>
      <c r="K875" s="30" t="str">
        <f>IF($Z875="","",IF($Z875&lt;=2000,IF(INDEX(包装物料出入库明细!$N$4:$N$2003,$Z875-0)=0,"",INDEX(包装物料出入库明细!$N$4:$N$2003,$Z875-0)),IF($Z875&lt;=4000,IF(INDEX(周转筐出入库明细!$P$4:$P$2004,$Z875-2000)=0,"",INDEX(周转筐出入库明细!$P$4:$P$2004,$Z875-2000)),IF($Z875&lt;=5200,"",IF($Z875&lt;=5800,N(INDEX(次果筐明细!$L$4:$L$603,$Z875-5200))+N(INDEX(次果筐明细!$J$4:$J$603,$Z875-5200)),"")))))</f>
        <v/>
      </c>
      <c r="L875" s="24" t="str">
        <f>IF($Z875="","",IF($Z875&lt;=2000,IF(INDEX(包装物料出入库明细!$P$4:$P$2003,$Z875-0)=0,"",INDEX(包装物料出入库明细!$P$4:$P$2003,$Z875-0)),IF($Z875&lt;=4000,IF(INDEX(周转筐出入库明细!$Q$4:$Q$2004,$Z875-2000)=0,"",INDEX(周转筐出入库明细!$Q$4:$Q$2004,$Z875-2000)),IF($Z875&lt;=5200,"",IF($Z875&lt;=5800,IF(INDEX(次果筐明细!$M$4:$M$603,$Z875-5200)=0,"",INDEX(次果筐明细!$M$4:$M$603,$Z875-5200)),"")))))</f>
        <v/>
      </c>
      <c r="M875" s="37" t="str">
        <f>IF($Z875="","",IF($Z875&lt;=2000,IF(INDEX(包装物料出入库明细!$R$4:$R$2003,$Z875-0)=0,"",INDEX(包装物料出入库明细!$R$4:$R$2003,$Z875-0)),IF($Z875&lt;=4000,IF(INDEX(周转筐出入库明细!$W$4:$W$2004,$Z875-2000)=0,"",INDEX(周转筐出入库明细!$W$4:$W$2004,$Z875-2000)),IF($Z875&lt;=5200,IF(INDEX(客户自备加工筐明细!$L$4:$L$1203,$Z875-4000)=0,"",INDEX(客户自备加工筐明细!$L$4:$L$1203,$Z875-4000)),IF($Z875&lt;=5800,IF(INDEX(次果筐明细!$P$4:$P$603,$Z875-5200)=0,"",INDEX(次果筐明细!$P$4:$P$603,$Z875-5200)),"")))))</f>
        <v/>
      </c>
      <c r="N875" s="16" t="str">
        <f>IF($Z875="","",IF($Z875&lt;=2000,"",IF($Z875&lt;=4000,IF(INDEX(周转筐出入库明细!$D$4:$D$2004,$Z875-2000)=0,"",INDEX(周转筐出入库明细!$D$4:$D$2004,$Z875-2000)),IF($Z875&lt;=5200,IF(INDEX(客户自备加工筐明细!$C$4:$C$1203,$Z875-4000)=0,"",INDEX(客户自备加工筐明细!$C$4:$C$1203,$Z875-4000)),IF($Z875&lt;=5800,IF(INDEX(次果筐明细!$D$4:$D$603,$Z875-5200)=0,"",INDEX(次果筐明细!$D$4:$D$603,$Z875-5200)),"")))))</f>
        <v/>
      </c>
      <c r="O875" s="40" t="str">
        <f>IF($Z875="","",IF($Z875&lt;=2000,"",IF($Z875&lt;=4000,IF(N(INDEX(周转筐出入库明细!$J$4:$J$2004,$Z875-2000))+N(INDEX(周转筐出入库明细!$K$4:$K$2004,$Z875-2000))=0,"",N(INDEX(周转筐出入库明细!$J$4:$J$2004,$Z875-2000))+N(INDEX(周转筐出入库明细!$K$4:$K$2004,$Z875-2000))),IF($Z875&lt;=5200,IF(N(INDEX(客户自备加工筐明细!$G$4:$G$1203,$Z875-4000))=0,"",N(INDEX(客户自备加工筐明细!$G$4:$G$1203,$Z875-4000))),IF($Z875&lt;=5800,IF(ISNUMBER(SEARCH("退",INDEX(次果筐明细!$F$4:$F$603,$Z875-5200)&amp;"")),"",IF(N(INDEX(次果筐明细!$G$4:$G$603,$Z875-5200))=0,"",N(INDEX(次果筐明细!$G$4:$G$603,$Z875-5200)))),"")))))</f>
        <v/>
      </c>
      <c r="P875" s="40" t="str">
        <f>IF($Z875="","",IF($Z875&lt;=2000,"",IF($Z875&lt;=4000,IF(N(INDEX(周转筐出入库明细!$I$4:$I$2004,$Z875-2000))=0,"",N(INDEX(周转筐出入库明细!$I$4:$I$2004,$Z875-2000))),IF($Z875&lt;=5200,"",IF($Z875&lt;=5800,IF(ISNUMBER(SEARCH("退",INDEX(次果筐明细!$F$4:$F$603,$Z875-5200)&amp;"")),IF(N(INDEX(次果筐明细!$G$4:$G$603,$Z875-5200))=0,"",N(INDEX(次果筐明细!$G$4:$G$603,$Z875-5200))),""),"")))))</f>
        <v/>
      </c>
      <c r="Q875" s="40" t="str">
        <f>IF($Z875="","",IF($Z875&lt;=2000,"",IF($Z875&lt;=4000,IF(N(INDEX(周转筐出入库明细!$H$4:$H$2004,$Z875-2000))=0,"",N(INDEX(周转筐出入库明细!$H$4:$H$2004,$Z875-2000))),IF($Z875&lt;=5200,IF(N(INDEX(客户自备加工筐明细!$F$4:$F$1203,$Z875-4000))=0,"",N(INDEX(客户自备加工筐明细!$F$4:$F$1203,$Z875-4000))),IF($Z875&lt;=5800,"","")))))</f>
        <v/>
      </c>
      <c r="R875" s="16" t="str">
        <f>IF($Z875="","",IF($Z875&lt;=2000,IF(INDEX(包装物料出入库明细!$O$4:$O$2003,$Z875-0)=0,"",INDEX(包装物料出入库明细!$O$4:$O$2003,$Z875-0)),IF($Z875&lt;=4000,IF(INDEX(周转筐出入库明细!$M$4:$M$2004,$Z875-2000)=0,"",INDEX(周转筐出入库明细!$M$4:$M$2004,$Z875-2000)),IF($Z875&lt;=5200,IF(INDEX(客户自备加工筐明细!$H$4:$H$1203,$Z875-4000)=0,"",INDEX(客户自备加工筐明细!$H$4:$H$1203,$Z875-4000)),IF($Z875&lt;=5800,IF(INDEX(次果筐明细!$H$4:$H$603,$Z875-5200)=0,"",INDEX(次果筐明细!$H$4:$H$603,$Z875-5200)),"")))))</f>
        <v/>
      </c>
      <c r="S875" s="22" t="str">
        <f t="shared" si="41"/>
        <v/>
      </c>
      <c r="Z875" s="10" t="str">
        <f>IFERROR(MATCH(ROW()-3,_自动清单!$CQ$4:$CQ$5803,0),"")</f>
        <v/>
      </c>
    </row>
    <row r="876" spans="1:26">
      <c r="A876" s="24" t="str">
        <f t="shared" si="39"/>
        <v/>
      </c>
      <c r="B876" s="38" t="str">
        <f>IF($Z876="","",IF($Z876&lt;=2000,IF(INDEX(包装物料出入库明细!$B$4:$B$2003,$Z876-0)=0,"",INDEX(包装物料出入库明细!$B$4:$B$2003,$Z876-0)),IF($Z876&lt;=4000,IF(INDEX(周转筐出入库明细!$B$4:$B$2004,$Z876-2000)=0,"",INDEX(周转筐出入库明细!$B$4:$B$2004,$Z876-2000)),IF($Z876&lt;=5200,IF(INDEX(客户自备加工筐明细!$B$4:$B$1203,$Z876-4000)=0,"",INDEX(客户自备加工筐明细!$B$4:$B$1203,$Z876-4000)),IF($Z876&lt;=5800,IF(INDEX(次果筐明细!$B$4:$B$603,$Z876-5200)=0,"",INDEX(次果筐明细!$B$4:$B$603,$Z876-5200)),"")))))</f>
        <v/>
      </c>
      <c r="C876" s="37" t="str">
        <f>IF($Z876="","",IF($Z876&lt;=2000,IF(INDEX(包装物料出入库明细!$D$4:$D$2003,$Z876-0)=0,"",INDEX(包装物料出入库明细!$D$4:$D$2003,$Z876-0)),IF($Z876&lt;=4000,IF(INDEX(周转筐出入库明细!$C$4:$C$2004,$Z876-2000)=0,"",INDEX(周转筐出入库明细!$C$4:$C$2004,$Z876-2000)),IF($Z876&lt;=5200,IF(INDEX(客户自备加工筐明细!$E$4:$E$1203,$Z876-4000)=0,"",INDEX(客户自备加工筐明细!$E$4:$E$1203,$Z876-4000)),IF($Z876&lt;=5800,IF(INDEX(次果筐明细!$C$4:$C$603,$Z876-5200)=0,"",INDEX(次果筐明细!$C$4:$C$603,$Z876-5200)),"")))))</f>
        <v/>
      </c>
      <c r="D876" s="37" t="str">
        <f>IF($Z876="","",IF($Z876&lt;=2000,"包装物料－"&amp;INDEX(包装物料出入库明细!$H$4:$H$2003,$Z876-0),IF($Z876&lt;=4000,"周转筐－"&amp;INDEX(周转筐出入库明细!$F$4:$F$2004,$Z876-2000),IF($Z876&lt;=5200,"客户自备筐－"&amp;INDEX(客户自备加工筐明细!$J$4:$J$1203,$Z876-4000),IF($Z876&lt;=5800,"次果筐/托盘－"&amp;INDEX(次果筐明细!$F$4:$F$603,$Z876-5200),"")))))</f>
        <v/>
      </c>
      <c r="E876" s="24" t="str">
        <f>IF($Z876="","",IF($Z876&lt;=2000,IF(INDEX(包装物料出入库明细!$C$4:$C$2003,$Z876-0)=0,"",INDEX(包装物料出入库明细!$C$4:$C$2003,$Z876-0)),IF($Z876&lt;=4000,IF(INDEX(周转筐出入库明细!$E$4:$E$2004,$Z876-2000)=0,"",INDEX(周转筐出入库明细!$E$4:$E$2004,$Z876-2000)),IF($Z876&lt;=5200,IF(INDEX(客户自备加工筐明细!$D$4:$D$1203,$Z876-4000)=0,"",INDEX(客户自备加工筐明细!$D$4:$D$1203,$Z876-4000)),IF($Z876&lt;=5800,IF(INDEX(次果筐明细!$E$4:$E$603,$Z876-5200)=0,"",INDEX(次果筐明细!$E$4:$E$603,$Z876-5200)),"")))))</f>
        <v/>
      </c>
      <c r="F876" s="24" t="str">
        <f>IF($Z876="","",IF($Z876&lt;=2000,IF(INDEX(包装物料出入库明细!$E$4:$E$2003,$Z876-0)=0,"",INDEX(包装物料出入库明细!$E$4:$E$2003,$Z876-0)),IF($Z876&lt;=4000,IF(INDEX(周转筐出入库明细!$D$4:$D$2004,$Z876-2000)=0,"",INDEX(周转筐出入库明细!$D$4:$D$2004,$Z876-2000)),IF($Z876&lt;=5200,IF(INDEX(客户自备加工筐明细!$C$4:$C$1203,$Z876-4000)=0,"",INDEX(客户自备加工筐明细!$C$4:$C$1203,$Z876-4000)),IF($Z876&lt;=5800,IF(INDEX(次果筐明细!$D$4:$D$603,$Z876-5200)=0,"",INDEX(次果筐明细!$D$4:$D$603,$Z876-5200)),"")))))</f>
        <v/>
      </c>
      <c r="G876" s="24" t="str">
        <f>IF($Z876="","",IF($Z876&lt;=2000,IF(INDEX(包装物料出入库明细!$F$4:$F$2003,$Z876-0)=0,"",INDEX(包装物料出入库明细!$F$4:$F$2003,$Z876-0)),IF($Z876&lt;=4000,"",IF($Z876&lt;=5200,"",IF($Z876&lt;=5800,"","")))))</f>
        <v/>
      </c>
      <c r="H876" s="39" t="str">
        <f>IF($Z876="","",IF($Z876&lt;=2000,IF(INDEX(包装物料出入库明细!$L$4:$L$2003,$Z876-0)=0,"",INDEX(包装物料出入库明细!$L$4:$L$2003,$Z876-0)),IF($Z876&lt;=4000,N(INDEX(周转筐出入库明细!$H$4:$H$2004,$Z876-2000))+N(INDEX(周转筐出入库明细!$I$4:$I$2004,$Z876-2000))+N(INDEX(周转筐出入库明细!$J$4:$J$2004,$Z876-2000))+N(INDEX(周转筐出入库明细!$K$4:$K$2004,$Z876-2000)),IF($Z876&lt;=5200,N(INDEX(客户自备加工筐明细!$F$4:$F$1203,$Z876-4000))+N(INDEX(客户自备加工筐明细!$G$4:$G$1203,$Z876-4000)),IF($Z876&lt;=5800,IF(INDEX(次果筐明细!$G$4:$G$603,$Z876-5200)=0,"",INDEX(次果筐明细!$G$4:$G$603,$Z876-5200)),"")))))</f>
        <v/>
      </c>
      <c r="I876" s="24" t="str">
        <f>IF($Z876="","",IF($Z876&lt;=2000,IF(INDEX(包装物料出入库明细!$G$4:$G$2003,$Z876-0)=0,"",INDEX(包装物料出入库明细!$G$4:$G$2003,$Z876-0)),IF($Z876&lt;=4000,"个",IF($Z876&lt;=5200,"个",IF($Z876&lt;=5800,"个","")))))</f>
        <v/>
      </c>
      <c r="J876" s="30" t="str">
        <f t="shared" si="40"/>
        <v/>
      </c>
      <c r="K876" s="30" t="str">
        <f>IF($Z876="","",IF($Z876&lt;=2000,IF(INDEX(包装物料出入库明细!$N$4:$N$2003,$Z876-0)=0,"",INDEX(包装物料出入库明细!$N$4:$N$2003,$Z876-0)),IF($Z876&lt;=4000,IF(INDEX(周转筐出入库明细!$P$4:$P$2004,$Z876-2000)=0,"",INDEX(周转筐出入库明细!$P$4:$P$2004,$Z876-2000)),IF($Z876&lt;=5200,"",IF($Z876&lt;=5800,N(INDEX(次果筐明细!$L$4:$L$603,$Z876-5200))+N(INDEX(次果筐明细!$J$4:$J$603,$Z876-5200)),"")))))</f>
        <v/>
      </c>
      <c r="L876" s="24" t="str">
        <f>IF($Z876="","",IF($Z876&lt;=2000,IF(INDEX(包装物料出入库明细!$P$4:$P$2003,$Z876-0)=0,"",INDEX(包装物料出入库明细!$P$4:$P$2003,$Z876-0)),IF($Z876&lt;=4000,IF(INDEX(周转筐出入库明细!$Q$4:$Q$2004,$Z876-2000)=0,"",INDEX(周转筐出入库明细!$Q$4:$Q$2004,$Z876-2000)),IF($Z876&lt;=5200,"",IF($Z876&lt;=5800,IF(INDEX(次果筐明细!$M$4:$M$603,$Z876-5200)=0,"",INDEX(次果筐明细!$M$4:$M$603,$Z876-5200)),"")))))</f>
        <v/>
      </c>
      <c r="M876" s="37" t="str">
        <f>IF($Z876="","",IF($Z876&lt;=2000,IF(INDEX(包装物料出入库明细!$R$4:$R$2003,$Z876-0)=0,"",INDEX(包装物料出入库明细!$R$4:$R$2003,$Z876-0)),IF($Z876&lt;=4000,IF(INDEX(周转筐出入库明细!$W$4:$W$2004,$Z876-2000)=0,"",INDEX(周转筐出入库明细!$W$4:$W$2004,$Z876-2000)),IF($Z876&lt;=5200,IF(INDEX(客户自备加工筐明细!$L$4:$L$1203,$Z876-4000)=0,"",INDEX(客户自备加工筐明细!$L$4:$L$1203,$Z876-4000)),IF($Z876&lt;=5800,IF(INDEX(次果筐明细!$P$4:$P$603,$Z876-5200)=0,"",INDEX(次果筐明细!$P$4:$P$603,$Z876-5200)),"")))))</f>
        <v/>
      </c>
      <c r="N876" s="16" t="str">
        <f>IF($Z876="","",IF($Z876&lt;=2000,"",IF($Z876&lt;=4000,IF(INDEX(周转筐出入库明细!$D$4:$D$2004,$Z876-2000)=0,"",INDEX(周转筐出入库明细!$D$4:$D$2004,$Z876-2000)),IF($Z876&lt;=5200,IF(INDEX(客户自备加工筐明细!$C$4:$C$1203,$Z876-4000)=0,"",INDEX(客户自备加工筐明细!$C$4:$C$1203,$Z876-4000)),IF($Z876&lt;=5800,IF(INDEX(次果筐明细!$D$4:$D$603,$Z876-5200)=0,"",INDEX(次果筐明细!$D$4:$D$603,$Z876-5200)),"")))))</f>
        <v/>
      </c>
      <c r="O876" s="40" t="str">
        <f>IF($Z876="","",IF($Z876&lt;=2000,"",IF($Z876&lt;=4000,IF(N(INDEX(周转筐出入库明细!$J$4:$J$2004,$Z876-2000))+N(INDEX(周转筐出入库明细!$K$4:$K$2004,$Z876-2000))=0,"",N(INDEX(周转筐出入库明细!$J$4:$J$2004,$Z876-2000))+N(INDEX(周转筐出入库明细!$K$4:$K$2004,$Z876-2000))),IF($Z876&lt;=5200,IF(N(INDEX(客户自备加工筐明细!$G$4:$G$1203,$Z876-4000))=0,"",N(INDEX(客户自备加工筐明细!$G$4:$G$1203,$Z876-4000))),IF($Z876&lt;=5800,IF(ISNUMBER(SEARCH("退",INDEX(次果筐明细!$F$4:$F$603,$Z876-5200)&amp;"")),"",IF(N(INDEX(次果筐明细!$G$4:$G$603,$Z876-5200))=0,"",N(INDEX(次果筐明细!$G$4:$G$603,$Z876-5200)))),"")))))</f>
        <v/>
      </c>
      <c r="P876" s="40" t="str">
        <f>IF($Z876="","",IF($Z876&lt;=2000,"",IF($Z876&lt;=4000,IF(N(INDEX(周转筐出入库明细!$I$4:$I$2004,$Z876-2000))=0,"",N(INDEX(周转筐出入库明细!$I$4:$I$2004,$Z876-2000))),IF($Z876&lt;=5200,"",IF($Z876&lt;=5800,IF(ISNUMBER(SEARCH("退",INDEX(次果筐明细!$F$4:$F$603,$Z876-5200)&amp;"")),IF(N(INDEX(次果筐明细!$G$4:$G$603,$Z876-5200))=0,"",N(INDEX(次果筐明细!$G$4:$G$603,$Z876-5200))),""),"")))))</f>
        <v/>
      </c>
      <c r="Q876" s="40" t="str">
        <f>IF($Z876="","",IF($Z876&lt;=2000,"",IF($Z876&lt;=4000,IF(N(INDEX(周转筐出入库明细!$H$4:$H$2004,$Z876-2000))=0,"",N(INDEX(周转筐出入库明细!$H$4:$H$2004,$Z876-2000))),IF($Z876&lt;=5200,IF(N(INDEX(客户自备加工筐明细!$F$4:$F$1203,$Z876-4000))=0,"",N(INDEX(客户自备加工筐明细!$F$4:$F$1203,$Z876-4000))),IF($Z876&lt;=5800,"","")))))</f>
        <v/>
      </c>
      <c r="R876" s="16" t="str">
        <f>IF($Z876="","",IF($Z876&lt;=2000,IF(INDEX(包装物料出入库明细!$O$4:$O$2003,$Z876-0)=0,"",INDEX(包装物料出入库明细!$O$4:$O$2003,$Z876-0)),IF($Z876&lt;=4000,IF(INDEX(周转筐出入库明细!$M$4:$M$2004,$Z876-2000)=0,"",INDEX(周转筐出入库明细!$M$4:$M$2004,$Z876-2000)),IF($Z876&lt;=5200,IF(INDEX(客户自备加工筐明细!$H$4:$H$1203,$Z876-4000)=0,"",INDEX(客户自备加工筐明细!$H$4:$H$1203,$Z876-4000)),IF($Z876&lt;=5800,IF(INDEX(次果筐明细!$H$4:$H$603,$Z876-5200)=0,"",INDEX(次果筐明细!$H$4:$H$603,$Z876-5200)),"")))))</f>
        <v/>
      </c>
      <c r="S876" s="22" t="str">
        <f t="shared" si="41"/>
        <v/>
      </c>
      <c r="Z876" s="10" t="str">
        <f>IFERROR(MATCH(ROW()-3,_自动清单!$CQ$4:$CQ$5803,0),"")</f>
        <v/>
      </c>
    </row>
    <row r="877" spans="1:26">
      <c r="A877" s="24" t="str">
        <f t="shared" si="39"/>
        <v/>
      </c>
      <c r="B877" s="38" t="str">
        <f>IF($Z877="","",IF($Z877&lt;=2000,IF(INDEX(包装物料出入库明细!$B$4:$B$2003,$Z877-0)=0,"",INDEX(包装物料出入库明细!$B$4:$B$2003,$Z877-0)),IF($Z877&lt;=4000,IF(INDEX(周转筐出入库明细!$B$4:$B$2004,$Z877-2000)=0,"",INDEX(周转筐出入库明细!$B$4:$B$2004,$Z877-2000)),IF($Z877&lt;=5200,IF(INDEX(客户自备加工筐明细!$B$4:$B$1203,$Z877-4000)=0,"",INDEX(客户自备加工筐明细!$B$4:$B$1203,$Z877-4000)),IF($Z877&lt;=5800,IF(INDEX(次果筐明细!$B$4:$B$603,$Z877-5200)=0,"",INDEX(次果筐明细!$B$4:$B$603,$Z877-5200)),"")))))</f>
        <v/>
      </c>
      <c r="C877" s="37" t="str">
        <f>IF($Z877="","",IF($Z877&lt;=2000,IF(INDEX(包装物料出入库明细!$D$4:$D$2003,$Z877-0)=0,"",INDEX(包装物料出入库明细!$D$4:$D$2003,$Z877-0)),IF($Z877&lt;=4000,IF(INDEX(周转筐出入库明细!$C$4:$C$2004,$Z877-2000)=0,"",INDEX(周转筐出入库明细!$C$4:$C$2004,$Z877-2000)),IF($Z877&lt;=5200,IF(INDEX(客户自备加工筐明细!$E$4:$E$1203,$Z877-4000)=0,"",INDEX(客户自备加工筐明细!$E$4:$E$1203,$Z877-4000)),IF($Z877&lt;=5800,IF(INDEX(次果筐明细!$C$4:$C$603,$Z877-5200)=0,"",INDEX(次果筐明细!$C$4:$C$603,$Z877-5200)),"")))))</f>
        <v/>
      </c>
      <c r="D877" s="37" t="str">
        <f>IF($Z877="","",IF($Z877&lt;=2000,"包装物料－"&amp;INDEX(包装物料出入库明细!$H$4:$H$2003,$Z877-0),IF($Z877&lt;=4000,"周转筐－"&amp;INDEX(周转筐出入库明细!$F$4:$F$2004,$Z877-2000),IF($Z877&lt;=5200,"客户自备筐－"&amp;INDEX(客户自备加工筐明细!$J$4:$J$1203,$Z877-4000),IF($Z877&lt;=5800,"次果筐/托盘－"&amp;INDEX(次果筐明细!$F$4:$F$603,$Z877-5200),"")))))</f>
        <v/>
      </c>
      <c r="E877" s="24" t="str">
        <f>IF($Z877="","",IF($Z877&lt;=2000,IF(INDEX(包装物料出入库明细!$C$4:$C$2003,$Z877-0)=0,"",INDEX(包装物料出入库明细!$C$4:$C$2003,$Z877-0)),IF($Z877&lt;=4000,IF(INDEX(周转筐出入库明细!$E$4:$E$2004,$Z877-2000)=0,"",INDEX(周转筐出入库明细!$E$4:$E$2004,$Z877-2000)),IF($Z877&lt;=5200,IF(INDEX(客户自备加工筐明细!$D$4:$D$1203,$Z877-4000)=0,"",INDEX(客户自备加工筐明细!$D$4:$D$1203,$Z877-4000)),IF($Z877&lt;=5800,IF(INDEX(次果筐明细!$E$4:$E$603,$Z877-5200)=0,"",INDEX(次果筐明细!$E$4:$E$603,$Z877-5200)),"")))))</f>
        <v/>
      </c>
      <c r="F877" s="24" t="str">
        <f>IF($Z877="","",IF($Z877&lt;=2000,IF(INDEX(包装物料出入库明细!$E$4:$E$2003,$Z877-0)=0,"",INDEX(包装物料出入库明细!$E$4:$E$2003,$Z877-0)),IF($Z877&lt;=4000,IF(INDEX(周转筐出入库明细!$D$4:$D$2004,$Z877-2000)=0,"",INDEX(周转筐出入库明细!$D$4:$D$2004,$Z877-2000)),IF($Z877&lt;=5200,IF(INDEX(客户自备加工筐明细!$C$4:$C$1203,$Z877-4000)=0,"",INDEX(客户自备加工筐明细!$C$4:$C$1203,$Z877-4000)),IF($Z877&lt;=5800,IF(INDEX(次果筐明细!$D$4:$D$603,$Z877-5200)=0,"",INDEX(次果筐明细!$D$4:$D$603,$Z877-5200)),"")))))</f>
        <v/>
      </c>
      <c r="G877" s="24" t="str">
        <f>IF($Z877="","",IF($Z877&lt;=2000,IF(INDEX(包装物料出入库明细!$F$4:$F$2003,$Z877-0)=0,"",INDEX(包装物料出入库明细!$F$4:$F$2003,$Z877-0)),IF($Z877&lt;=4000,"",IF($Z877&lt;=5200,"",IF($Z877&lt;=5800,"","")))))</f>
        <v/>
      </c>
      <c r="H877" s="39" t="str">
        <f>IF($Z877="","",IF($Z877&lt;=2000,IF(INDEX(包装物料出入库明细!$L$4:$L$2003,$Z877-0)=0,"",INDEX(包装物料出入库明细!$L$4:$L$2003,$Z877-0)),IF($Z877&lt;=4000,N(INDEX(周转筐出入库明细!$H$4:$H$2004,$Z877-2000))+N(INDEX(周转筐出入库明细!$I$4:$I$2004,$Z877-2000))+N(INDEX(周转筐出入库明细!$J$4:$J$2004,$Z877-2000))+N(INDEX(周转筐出入库明细!$K$4:$K$2004,$Z877-2000)),IF($Z877&lt;=5200,N(INDEX(客户自备加工筐明细!$F$4:$F$1203,$Z877-4000))+N(INDEX(客户自备加工筐明细!$G$4:$G$1203,$Z877-4000)),IF($Z877&lt;=5800,IF(INDEX(次果筐明细!$G$4:$G$603,$Z877-5200)=0,"",INDEX(次果筐明细!$G$4:$G$603,$Z877-5200)),"")))))</f>
        <v/>
      </c>
      <c r="I877" s="24" t="str">
        <f>IF($Z877="","",IF($Z877&lt;=2000,IF(INDEX(包装物料出入库明细!$G$4:$G$2003,$Z877-0)=0,"",INDEX(包装物料出入库明细!$G$4:$G$2003,$Z877-0)),IF($Z877&lt;=4000,"个",IF($Z877&lt;=5200,"个",IF($Z877&lt;=5800,"个","")))))</f>
        <v/>
      </c>
      <c r="J877" s="30" t="str">
        <f t="shared" si="40"/>
        <v/>
      </c>
      <c r="K877" s="30" t="str">
        <f>IF($Z877="","",IF($Z877&lt;=2000,IF(INDEX(包装物料出入库明细!$N$4:$N$2003,$Z877-0)=0,"",INDEX(包装物料出入库明细!$N$4:$N$2003,$Z877-0)),IF($Z877&lt;=4000,IF(INDEX(周转筐出入库明细!$P$4:$P$2004,$Z877-2000)=0,"",INDEX(周转筐出入库明细!$P$4:$P$2004,$Z877-2000)),IF($Z877&lt;=5200,"",IF($Z877&lt;=5800,N(INDEX(次果筐明细!$L$4:$L$603,$Z877-5200))+N(INDEX(次果筐明细!$J$4:$J$603,$Z877-5200)),"")))))</f>
        <v/>
      </c>
      <c r="L877" s="24" t="str">
        <f>IF($Z877="","",IF($Z877&lt;=2000,IF(INDEX(包装物料出入库明细!$P$4:$P$2003,$Z877-0)=0,"",INDEX(包装物料出入库明细!$P$4:$P$2003,$Z877-0)),IF($Z877&lt;=4000,IF(INDEX(周转筐出入库明细!$Q$4:$Q$2004,$Z877-2000)=0,"",INDEX(周转筐出入库明细!$Q$4:$Q$2004,$Z877-2000)),IF($Z877&lt;=5200,"",IF($Z877&lt;=5800,IF(INDEX(次果筐明细!$M$4:$M$603,$Z877-5200)=0,"",INDEX(次果筐明细!$M$4:$M$603,$Z877-5200)),"")))))</f>
        <v/>
      </c>
      <c r="M877" s="37" t="str">
        <f>IF($Z877="","",IF($Z877&lt;=2000,IF(INDEX(包装物料出入库明细!$R$4:$R$2003,$Z877-0)=0,"",INDEX(包装物料出入库明细!$R$4:$R$2003,$Z877-0)),IF($Z877&lt;=4000,IF(INDEX(周转筐出入库明细!$W$4:$W$2004,$Z877-2000)=0,"",INDEX(周转筐出入库明细!$W$4:$W$2004,$Z877-2000)),IF($Z877&lt;=5200,IF(INDEX(客户自备加工筐明细!$L$4:$L$1203,$Z877-4000)=0,"",INDEX(客户自备加工筐明细!$L$4:$L$1203,$Z877-4000)),IF($Z877&lt;=5800,IF(INDEX(次果筐明细!$P$4:$P$603,$Z877-5200)=0,"",INDEX(次果筐明细!$P$4:$P$603,$Z877-5200)),"")))))</f>
        <v/>
      </c>
      <c r="N877" s="16" t="str">
        <f>IF($Z877="","",IF($Z877&lt;=2000,"",IF($Z877&lt;=4000,IF(INDEX(周转筐出入库明细!$D$4:$D$2004,$Z877-2000)=0,"",INDEX(周转筐出入库明细!$D$4:$D$2004,$Z877-2000)),IF($Z877&lt;=5200,IF(INDEX(客户自备加工筐明细!$C$4:$C$1203,$Z877-4000)=0,"",INDEX(客户自备加工筐明细!$C$4:$C$1203,$Z877-4000)),IF($Z877&lt;=5800,IF(INDEX(次果筐明细!$D$4:$D$603,$Z877-5200)=0,"",INDEX(次果筐明细!$D$4:$D$603,$Z877-5200)),"")))))</f>
        <v/>
      </c>
      <c r="O877" s="40" t="str">
        <f>IF($Z877="","",IF($Z877&lt;=2000,"",IF($Z877&lt;=4000,IF(N(INDEX(周转筐出入库明细!$J$4:$J$2004,$Z877-2000))+N(INDEX(周转筐出入库明细!$K$4:$K$2004,$Z877-2000))=0,"",N(INDEX(周转筐出入库明细!$J$4:$J$2004,$Z877-2000))+N(INDEX(周转筐出入库明细!$K$4:$K$2004,$Z877-2000))),IF($Z877&lt;=5200,IF(N(INDEX(客户自备加工筐明细!$G$4:$G$1203,$Z877-4000))=0,"",N(INDEX(客户自备加工筐明细!$G$4:$G$1203,$Z877-4000))),IF($Z877&lt;=5800,IF(ISNUMBER(SEARCH("退",INDEX(次果筐明细!$F$4:$F$603,$Z877-5200)&amp;"")),"",IF(N(INDEX(次果筐明细!$G$4:$G$603,$Z877-5200))=0,"",N(INDEX(次果筐明细!$G$4:$G$603,$Z877-5200)))),"")))))</f>
        <v/>
      </c>
      <c r="P877" s="40" t="str">
        <f>IF($Z877="","",IF($Z877&lt;=2000,"",IF($Z877&lt;=4000,IF(N(INDEX(周转筐出入库明细!$I$4:$I$2004,$Z877-2000))=0,"",N(INDEX(周转筐出入库明细!$I$4:$I$2004,$Z877-2000))),IF($Z877&lt;=5200,"",IF($Z877&lt;=5800,IF(ISNUMBER(SEARCH("退",INDEX(次果筐明细!$F$4:$F$603,$Z877-5200)&amp;"")),IF(N(INDEX(次果筐明细!$G$4:$G$603,$Z877-5200))=0,"",N(INDEX(次果筐明细!$G$4:$G$603,$Z877-5200))),""),"")))))</f>
        <v/>
      </c>
      <c r="Q877" s="40" t="str">
        <f>IF($Z877="","",IF($Z877&lt;=2000,"",IF($Z877&lt;=4000,IF(N(INDEX(周转筐出入库明细!$H$4:$H$2004,$Z877-2000))=0,"",N(INDEX(周转筐出入库明细!$H$4:$H$2004,$Z877-2000))),IF($Z877&lt;=5200,IF(N(INDEX(客户自备加工筐明细!$F$4:$F$1203,$Z877-4000))=0,"",N(INDEX(客户自备加工筐明细!$F$4:$F$1203,$Z877-4000))),IF($Z877&lt;=5800,"","")))))</f>
        <v/>
      </c>
      <c r="R877" s="16" t="str">
        <f>IF($Z877="","",IF($Z877&lt;=2000,IF(INDEX(包装物料出入库明细!$O$4:$O$2003,$Z877-0)=0,"",INDEX(包装物料出入库明细!$O$4:$O$2003,$Z877-0)),IF($Z877&lt;=4000,IF(INDEX(周转筐出入库明细!$M$4:$M$2004,$Z877-2000)=0,"",INDEX(周转筐出入库明细!$M$4:$M$2004,$Z877-2000)),IF($Z877&lt;=5200,IF(INDEX(客户自备加工筐明细!$H$4:$H$1203,$Z877-4000)=0,"",INDEX(客户自备加工筐明细!$H$4:$H$1203,$Z877-4000)),IF($Z877&lt;=5800,IF(INDEX(次果筐明细!$H$4:$H$603,$Z877-5200)=0,"",INDEX(次果筐明细!$H$4:$H$603,$Z877-5200)),"")))))</f>
        <v/>
      </c>
      <c r="S877" s="22" t="str">
        <f t="shared" si="41"/>
        <v/>
      </c>
      <c r="Z877" s="10" t="str">
        <f>IFERROR(MATCH(ROW()-3,_自动清单!$CQ$4:$CQ$5803,0),"")</f>
        <v/>
      </c>
    </row>
    <row r="878" spans="1:26">
      <c r="A878" s="24" t="str">
        <f t="shared" si="39"/>
        <v/>
      </c>
      <c r="B878" s="38" t="str">
        <f>IF($Z878="","",IF($Z878&lt;=2000,IF(INDEX(包装物料出入库明细!$B$4:$B$2003,$Z878-0)=0,"",INDEX(包装物料出入库明细!$B$4:$B$2003,$Z878-0)),IF($Z878&lt;=4000,IF(INDEX(周转筐出入库明细!$B$4:$B$2004,$Z878-2000)=0,"",INDEX(周转筐出入库明细!$B$4:$B$2004,$Z878-2000)),IF($Z878&lt;=5200,IF(INDEX(客户自备加工筐明细!$B$4:$B$1203,$Z878-4000)=0,"",INDEX(客户自备加工筐明细!$B$4:$B$1203,$Z878-4000)),IF($Z878&lt;=5800,IF(INDEX(次果筐明细!$B$4:$B$603,$Z878-5200)=0,"",INDEX(次果筐明细!$B$4:$B$603,$Z878-5200)),"")))))</f>
        <v/>
      </c>
      <c r="C878" s="37" t="str">
        <f>IF($Z878="","",IF($Z878&lt;=2000,IF(INDEX(包装物料出入库明细!$D$4:$D$2003,$Z878-0)=0,"",INDEX(包装物料出入库明细!$D$4:$D$2003,$Z878-0)),IF($Z878&lt;=4000,IF(INDEX(周转筐出入库明细!$C$4:$C$2004,$Z878-2000)=0,"",INDEX(周转筐出入库明细!$C$4:$C$2004,$Z878-2000)),IF($Z878&lt;=5200,IF(INDEX(客户自备加工筐明细!$E$4:$E$1203,$Z878-4000)=0,"",INDEX(客户自备加工筐明细!$E$4:$E$1203,$Z878-4000)),IF($Z878&lt;=5800,IF(INDEX(次果筐明细!$C$4:$C$603,$Z878-5200)=0,"",INDEX(次果筐明细!$C$4:$C$603,$Z878-5200)),"")))))</f>
        <v/>
      </c>
      <c r="D878" s="37" t="str">
        <f>IF($Z878="","",IF($Z878&lt;=2000,"包装物料－"&amp;INDEX(包装物料出入库明细!$H$4:$H$2003,$Z878-0),IF($Z878&lt;=4000,"周转筐－"&amp;INDEX(周转筐出入库明细!$F$4:$F$2004,$Z878-2000),IF($Z878&lt;=5200,"客户自备筐－"&amp;INDEX(客户自备加工筐明细!$J$4:$J$1203,$Z878-4000),IF($Z878&lt;=5800,"次果筐/托盘－"&amp;INDEX(次果筐明细!$F$4:$F$603,$Z878-5200),"")))))</f>
        <v/>
      </c>
      <c r="E878" s="24" t="str">
        <f>IF($Z878="","",IF($Z878&lt;=2000,IF(INDEX(包装物料出入库明细!$C$4:$C$2003,$Z878-0)=0,"",INDEX(包装物料出入库明细!$C$4:$C$2003,$Z878-0)),IF($Z878&lt;=4000,IF(INDEX(周转筐出入库明细!$E$4:$E$2004,$Z878-2000)=0,"",INDEX(周转筐出入库明细!$E$4:$E$2004,$Z878-2000)),IF($Z878&lt;=5200,IF(INDEX(客户自备加工筐明细!$D$4:$D$1203,$Z878-4000)=0,"",INDEX(客户自备加工筐明细!$D$4:$D$1203,$Z878-4000)),IF($Z878&lt;=5800,IF(INDEX(次果筐明细!$E$4:$E$603,$Z878-5200)=0,"",INDEX(次果筐明细!$E$4:$E$603,$Z878-5200)),"")))))</f>
        <v/>
      </c>
      <c r="F878" s="24" t="str">
        <f>IF($Z878="","",IF($Z878&lt;=2000,IF(INDEX(包装物料出入库明细!$E$4:$E$2003,$Z878-0)=0,"",INDEX(包装物料出入库明细!$E$4:$E$2003,$Z878-0)),IF($Z878&lt;=4000,IF(INDEX(周转筐出入库明细!$D$4:$D$2004,$Z878-2000)=0,"",INDEX(周转筐出入库明细!$D$4:$D$2004,$Z878-2000)),IF($Z878&lt;=5200,IF(INDEX(客户自备加工筐明细!$C$4:$C$1203,$Z878-4000)=0,"",INDEX(客户自备加工筐明细!$C$4:$C$1203,$Z878-4000)),IF($Z878&lt;=5800,IF(INDEX(次果筐明细!$D$4:$D$603,$Z878-5200)=0,"",INDEX(次果筐明细!$D$4:$D$603,$Z878-5200)),"")))))</f>
        <v/>
      </c>
      <c r="G878" s="24" t="str">
        <f>IF($Z878="","",IF($Z878&lt;=2000,IF(INDEX(包装物料出入库明细!$F$4:$F$2003,$Z878-0)=0,"",INDEX(包装物料出入库明细!$F$4:$F$2003,$Z878-0)),IF($Z878&lt;=4000,"",IF($Z878&lt;=5200,"",IF($Z878&lt;=5800,"","")))))</f>
        <v/>
      </c>
      <c r="H878" s="39" t="str">
        <f>IF($Z878="","",IF($Z878&lt;=2000,IF(INDEX(包装物料出入库明细!$L$4:$L$2003,$Z878-0)=0,"",INDEX(包装物料出入库明细!$L$4:$L$2003,$Z878-0)),IF($Z878&lt;=4000,N(INDEX(周转筐出入库明细!$H$4:$H$2004,$Z878-2000))+N(INDEX(周转筐出入库明细!$I$4:$I$2004,$Z878-2000))+N(INDEX(周转筐出入库明细!$J$4:$J$2004,$Z878-2000))+N(INDEX(周转筐出入库明细!$K$4:$K$2004,$Z878-2000)),IF($Z878&lt;=5200,N(INDEX(客户自备加工筐明细!$F$4:$F$1203,$Z878-4000))+N(INDEX(客户自备加工筐明细!$G$4:$G$1203,$Z878-4000)),IF($Z878&lt;=5800,IF(INDEX(次果筐明细!$G$4:$G$603,$Z878-5200)=0,"",INDEX(次果筐明细!$G$4:$G$603,$Z878-5200)),"")))))</f>
        <v/>
      </c>
      <c r="I878" s="24" t="str">
        <f>IF($Z878="","",IF($Z878&lt;=2000,IF(INDEX(包装物料出入库明细!$G$4:$G$2003,$Z878-0)=0,"",INDEX(包装物料出入库明细!$G$4:$G$2003,$Z878-0)),IF($Z878&lt;=4000,"个",IF($Z878&lt;=5200,"个",IF($Z878&lt;=5800,"个","")))))</f>
        <v/>
      </c>
      <c r="J878" s="30" t="str">
        <f t="shared" si="40"/>
        <v/>
      </c>
      <c r="K878" s="30" t="str">
        <f>IF($Z878="","",IF($Z878&lt;=2000,IF(INDEX(包装物料出入库明细!$N$4:$N$2003,$Z878-0)=0,"",INDEX(包装物料出入库明细!$N$4:$N$2003,$Z878-0)),IF($Z878&lt;=4000,IF(INDEX(周转筐出入库明细!$P$4:$P$2004,$Z878-2000)=0,"",INDEX(周转筐出入库明细!$P$4:$P$2004,$Z878-2000)),IF($Z878&lt;=5200,"",IF($Z878&lt;=5800,N(INDEX(次果筐明细!$L$4:$L$603,$Z878-5200))+N(INDEX(次果筐明细!$J$4:$J$603,$Z878-5200)),"")))))</f>
        <v/>
      </c>
      <c r="L878" s="24" t="str">
        <f>IF($Z878="","",IF($Z878&lt;=2000,IF(INDEX(包装物料出入库明细!$P$4:$P$2003,$Z878-0)=0,"",INDEX(包装物料出入库明细!$P$4:$P$2003,$Z878-0)),IF($Z878&lt;=4000,IF(INDEX(周转筐出入库明细!$Q$4:$Q$2004,$Z878-2000)=0,"",INDEX(周转筐出入库明细!$Q$4:$Q$2004,$Z878-2000)),IF($Z878&lt;=5200,"",IF($Z878&lt;=5800,IF(INDEX(次果筐明细!$M$4:$M$603,$Z878-5200)=0,"",INDEX(次果筐明细!$M$4:$M$603,$Z878-5200)),"")))))</f>
        <v/>
      </c>
      <c r="M878" s="37" t="str">
        <f>IF($Z878="","",IF($Z878&lt;=2000,IF(INDEX(包装物料出入库明细!$R$4:$R$2003,$Z878-0)=0,"",INDEX(包装物料出入库明细!$R$4:$R$2003,$Z878-0)),IF($Z878&lt;=4000,IF(INDEX(周转筐出入库明细!$W$4:$W$2004,$Z878-2000)=0,"",INDEX(周转筐出入库明细!$W$4:$W$2004,$Z878-2000)),IF($Z878&lt;=5200,IF(INDEX(客户自备加工筐明细!$L$4:$L$1203,$Z878-4000)=0,"",INDEX(客户自备加工筐明细!$L$4:$L$1203,$Z878-4000)),IF($Z878&lt;=5800,IF(INDEX(次果筐明细!$P$4:$P$603,$Z878-5200)=0,"",INDEX(次果筐明细!$P$4:$P$603,$Z878-5200)),"")))))</f>
        <v/>
      </c>
      <c r="N878" s="16" t="str">
        <f>IF($Z878="","",IF($Z878&lt;=2000,"",IF($Z878&lt;=4000,IF(INDEX(周转筐出入库明细!$D$4:$D$2004,$Z878-2000)=0,"",INDEX(周转筐出入库明细!$D$4:$D$2004,$Z878-2000)),IF($Z878&lt;=5200,IF(INDEX(客户自备加工筐明细!$C$4:$C$1203,$Z878-4000)=0,"",INDEX(客户自备加工筐明细!$C$4:$C$1203,$Z878-4000)),IF($Z878&lt;=5800,IF(INDEX(次果筐明细!$D$4:$D$603,$Z878-5200)=0,"",INDEX(次果筐明细!$D$4:$D$603,$Z878-5200)),"")))))</f>
        <v/>
      </c>
      <c r="O878" s="40" t="str">
        <f>IF($Z878="","",IF($Z878&lt;=2000,"",IF($Z878&lt;=4000,IF(N(INDEX(周转筐出入库明细!$J$4:$J$2004,$Z878-2000))+N(INDEX(周转筐出入库明细!$K$4:$K$2004,$Z878-2000))=0,"",N(INDEX(周转筐出入库明细!$J$4:$J$2004,$Z878-2000))+N(INDEX(周转筐出入库明细!$K$4:$K$2004,$Z878-2000))),IF($Z878&lt;=5200,IF(N(INDEX(客户自备加工筐明细!$G$4:$G$1203,$Z878-4000))=0,"",N(INDEX(客户自备加工筐明细!$G$4:$G$1203,$Z878-4000))),IF($Z878&lt;=5800,IF(ISNUMBER(SEARCH("退",INDEX(次果筐明细!$F$4:$F$603,$Z878-5200)&amp;"")),"",IF(N(INDEX(次果筐明细!$G$4:$G$603,$Z878-5200))=0,"",N(INDEX(次果筐明细!$G$4:$G$603,$Z878-5200)))),"")))))</f>
        <v/>
      </c>
      <c r="P878" s="40" t="str">
        <f>IF($Z878="","",IF($Z878&lt;=2000,"",IF($Z878&lt;=4000,IF(N(INDEX(周转筐出入库明细!$I$4:$I$2004,$Z878-2000))=0,"",N(INDEX(周转筐出入库明细!$I$4:$I$2004,$Z878-2000))),IF($Z878&lt;=5200,"",IF($Z878&lt;=5800,IF(ISNUMBER(SEARCH("退",INDEX(次果筐明细!$F$4:$F$603,$Z878-5200)&amp;"")),IF(N(INDEX(次果筐明细!$G$4:$G$603,$Z878-5200))=0,"",N(INDEX(次果筐明细!$G$4:$G$603,$Z878-5200))),""),"")))))</f>
        <v/>
      </c>
      <c r="Q878" s="40" t="str">
        <f>IF($Z878="","",IF($Z878&lt;=2000,"",IF($Z878&lt;=4000,IF(N(INDEX(周转筐出入库明细!$H$4:$H$2004,$Z878-2000))=0,"",N(INDEX(周转筐出入库明细!$H$4:$H$2004,$Z878-2000))),IF($Z878&lt;=5200,IF(N(INDEX(客户自备加工筐明细!$F$4:$F$1203,$Z878-4000))=0,"",N(INDEX(客户自备加工筐明细!$F$4:$F$1203,$Z878-4000))),IF($Z878&lt;=5800,"","")))))</f>
        <v/>
      </c>
      <c r="R878" s="16" t="str">
        <f>IF($Z878="","",IF($Z878&lt;=2000,IF(INDEX(包装物料出入库明细!$O$4:$O$2003,$Z878-0)=0,"",INDEX(包装物料出入库明细!$O$4:$O$2003,$Z878-0)),IF($Z878&lt;=4000,IF(INDEX(周转筐出入库明细!$M$4:$M$2004,$Z878-2000)=0,"",INDEX(周转筐出入库明细!$M$4:$M$2004,$Z878-2000)),IF($Z878&lt;=5200,IF(INDEX(客户自备加工筐明细!$H$4:$H$1203,$Z878-4000)=0,"",INDEX(客户自备加工筐明细!$H$4:$H$1203,$Z878-4000)),IF($Z878&lt;=5800,IF(INDEX(次果筐明细!$H$4:$H$603,$Z878-5200)=0,"",INDEX(次果筐明细!$H$4:$H$603,$Z878-5200)),"")))))</f>
        <v/>
      </c>
      <c r="S878" s="22" t="str">
        <f t="shared" si="41"/>
        <v/>
      </c>
      <c r="Z878" s="10" t="str">
        <f>IFERROR(MATCH(ROW()-3,_自动清单!$CQ$4:$CQ$5803,0),"")</f>
        <v/>
      </c>
    </row>
    <row r="879" spans="1:26">
      <c r="A879" s="24" t="str">
        <f t="shared" si="39"/>
        <v/>
      </c>
      <c r="B879" s="38" t="str">
        <f>IF($Z879="","",IF($Z879&lt;=2000,IF(INDEX(包装物料出入库明细!$B$4:$B$2003,$Z879-0)=0,"",INDEX(包装物料出入库明细!$B$4:$B$2003,$Z879-0)),IF($Z879&lt;=4000,IF(INDEX(周转筐出入库明细!$B$4:$B$2004,$Z879-2000)=0,"",INDEX(周转筐出入库明细!$B$4:$B$2004,$Z879-2000)),IF($Z879&lt;=5200,IF(INDEX(客户自备加工筐明细!$B$4:$B$1203,$Z879-4000)=0,"",INDEX(客户自备加工筐明细!$B$4:$B$1203,$Z879-4000)),IF($Z879&lt;=5800,IF(INDEX(次果筐明细!$B$4:$B$603,$Z879-5200)=0,"",INDEX(次果筐明细!$B$4:$B$603,$Z879-5200)),"")))))</f>
        <v/>
      </c>
      <c r="C879" s="37" t="str">
        <f>IF($Z879="","",IF($Z879&lt;=2000,IF(INDEX(包装物料出入库明细!$D$4:$D$2003,$Z879-0)=0,"",INDEX(包装物料出入库明细!$D$4:$D$2003,$Z879-0)),IF($Z879&lt;=4000,IF(INDEX(周转筐出入库明细!$C$4:$C$2004,$Z879-2000)=0,"",INDEX(周转筐出入库明细!$C$4:$C$2004,$Z879-2000)),IF($Z879&lt;=5200,IF(INDEX(客户自备加工筐明细!$E$4:$E$1203,$Z879-4000)=0,"",INDEX(客户自备加工筐明细!$E$4:$E$1203,$Z879-4000)),IF($Z879&lt;=5800,IF(INDEX(次果筐明细!$C$4:$C$603,$Z879-5200)=0,"",INDEX(次果筐明细!$C$4:$C$603,$Z879-5200)),"")))))</f>
        <v/>
      </c>
      <c r="D879" s="37" t="str">
        <f>IF($Z879="","",IF($Z879&lt;=2000,"包装物料－"&amp;INDEX(包装物料出入库明细!$H$4:$H$2003,$Z879-0),IF($Z879&lt;=4000,"周转筐－"&amp;INDEX(周转筐出入库明细!$F$4:$F$2004,$Z879-2000),IF($Z879&lt;=5200,"客户自备筐－"&amp;INDEX(客户自备加工筐明细!$J$4:$J$1203,$Z879-4000),IF($Z879&lt;=5800,"次果筐/托盘－"&amp;INDEX(次果筐明细!$F$4:$F$603,$Z879-5200),"")))))</f>
        <v/>
      </c>
      <c r="E879" s="24" t="str">
        <f>IF($Z879="","",IF($Z879&lt;=2000,IF(INDEX(包装物料出入库明细!$C$4:$C$2003,$Z879-0)=0,"",INDEX(包装物料出入库明细!$C$4:$C$2003,$Z879-0)),IF($Z879&lt;=4000,IF(INDEX(周转筐出入库明细!$E$4:$E$2004,$Z879-2000)=0,"",INDEX(周转筐出入库明细!$E$4:$E$2004,$Z879-2000)),IF($Z879&lt;=5200,IF(INDEX(客户自备加工筐明细!$D$4:$D$1203,$Z879-4000)=0,"",INDEX(客户自备加工筐明细!$D$4:$D$1203,$Z879-4000)),IF($Z879&lt;=5800,IF(INDEX(次果筐明细!$E$4:$E$603,$Z879-5200)=0,"",INDEX(次果筐明细!$E$4:$E$603,$Z879-5200)),"")))))</f>
        <v/>
      </c>
      <c r="F879" s="24" t="str">
        <f>IF($Z879="","",IF($Z879&lt;=2000,IF(INDEX(包装物料出入库明细!$E$4:$E$2003,$Z879-0)=0,"",INDEX(包装物料出入库明细!$E$4:$E$2003,$Z879-0)),IF($Z879&lt;=4000,IF(INDEX(周转筐出入库明细!$D$4:$D$2004,$Z879-2000)=0,"",INDEX(周转筐出入库明细!$D$4:$D$2004,$Z879-2000)),IF($Z879&lt;=5200,IF(INDEX(客户自备加工筐明细!$C$4:$C$1203,$Z879-4000)=0,"",INDEX(客户自备加工筐明细!$C$4:$C$1203,$Z879-4000)),IF($Z879&lt;=5800,IF(INDEX(次果筐明细!$D$4:$D$603,$Z879-5200)=0,"",INDEX(次果筐明细!$D$4:$D$603,$Z879-5200)),"")))))</f>
        <v/>
      </c>
      <c r="G879" s="24" t="str">
        <f>IF($Z879="","",IF($Z879&lt;=2000,IF(INDEX(包装物料出入库明细!$F$4:$F$2003,$Z879-0)=0,"",INDEX(包装物料出入库明细!$F$4:$F$2003,$Z879-0)),IF($Z879&lt;=4000,"",IF($Z879&lt;=5200,"",IF($Z879&lt;=5800,"","")))))</f>
        <v/>
      </c>
      <c r="H879" s="39" t="str">
        <f>IF($Z879="","",IF($Z879&lt;=2000,IF(INDEX(包装物料出入库明细!$L$4:$L$2003,$Z879-0)=0,"",INDEX(包装物料出入库明细!$L$4:$L$2003,$Z879-0)),IF($Z879&lt;=4000,N(INDEX(周转筐出入库明细!$H$4:$H$2004,$Z879-2000))+N(INDEX(周转筐出入库明细!$I$4:$I$2004,$Z879-2000))+N(INDEX(周转筐出入库明细!$J$4:$J$2004,$Z879-2000))+N(INDEX(周转筐出入库明细!$K$4:$K$2004,$Z879-2000)),IF($Z879&lt;=5200,N(INDEX(客户自备加工筐明细!$F$4:$F$1203,$Z879-4000))+N(INDEX(客户自备加工筐明细!$G$4:$G$1203,$Z879-4000)),IF($Z879&lt;=5800,IF(INDEX(次果筐明细!$G$4:$G$603,$Z879-5200)=0,"",INDEX(次果筐明细!$G$4:$G$603,$Z879-5200)),"")))))</f>
        <v/>
      </c>
      <c r="I879" s="24" t="str">
        <f>IF($Z879="","",IF($Z879&lt;=2000,IF(INDEX(包装物料出入库明细!$G$4:$G$2003,$Z879-0)=0,"",INDEX(包装物料出入库明细!$G$4:$G$2003,$Z879-0)),IF($Z879&lt;=4000,"个",IF($Z879&lt;=5200,"个",IF($Z879&lt;=5800,"个","")))))</f>
        <v/>
      </c>
      <c r="J879" s="30" t="str">
        <f t="shared" si="40"/>
        <v/>
      </c>
      <c r="K879" s="30" t="str">
        <f>IF($Z879="","",IF($Z879&lt;=2000,IF(INDEX(包装物料出入库明细!$N$4:$N$2003,$Z879-0)=0,"",INDEX(包装物料出入库明细!$N$4:$N$2003,$Z879-0)),IF($Z879&lt;=4000,IF(INDEX(周转筐出入库明细!$P$4:$P$2004,$Z879-2000)=0,"",INDEX(周转筐出入库明细!$P$4:$P$2004,$Z879-2000)),IF($Z879&lt;=5200,"",IF($Z879&lt;=5800,N(INDEX(次果筐明细!$L$4:$L$603,$Z879-5200))+N(INDEX(次果筐明细!$J$4:$J$603,$Z879-5200)),"")))))</f>
        <v/>
      </c>
      <c r="L879" s="24" t="str">
        <f>IF($Z879="","",IF($Z879&lt;=2000,IF(INDEX(包装物料出入库明细!$P$4:$P$2003,$Z879-0)=0,"",INDEX(包装物料出入库明细!$P$4:$P$2003,$Z879-0)),IF($Z879&lt;=4000,IF(INDEX(周转筐出入库明细!$Q$4:$Q$2004,$Z879-2000)=0,"",INDEX(周转筐出入库明细!$Q$4:$Q$2004,$Z879-2000)),IF($Z879&lt;=5200,"",IF($Z879&lt;=5800,IF(INDEX(次果筐明细!$M$4:$M$603,$Z879-5200)=0,"",INDEX(次果筐明细!$M$4:$M$603,$Z879-5200)),"")))))</f>
        <v/>
      </c>
      <c r="M879" s="37" t="str">
        <f>IF($Z879="","",IF($Z879&lt;=2000,IF(INDEX(包装物料出入库明细!$R$4:$R$2003,$Z879-0)=0,"",INDEX(包装物料出入库明细!$R$4:$R$2003,$Z879-0)),IF($Z879&lt;=4000,IF(INDEX(周转筐出入库明细!$W$4:$W$2004,$Z879-2000)=0,"",INDEX(周转筐出入库明细!$W$4:$W$2004,$Z879-2000)),IF($Z879&lt;=5200,IF(INDEX(客户自备加工筐明细!$L$4:$L$1203,$Z879-4000)=0,"",INDEX(客户自备加工筐明细!$L$4:$L$1203,$Z879-4000)),IF($Z879&lt;=5800,IF(INDEX(次果筐明细!$P$4:$P$603,$Z879-5200)=0,"",INDEX(次果筐明细!$P$4:$P$603,$Z879-5200)),"")))))</f>
        <v/>
      </c>
      <c r="N879" s="16" t="str">
        <f>IF($Z879="","",IF($Z879&lt;=2000,"",IF($Z879&lt;=4000,IF(INDEX(周转筐出入库明细!$D$4:$D$2004,$Z879-2000)=0,"",INDEX(周转筐出入库明细!$D$4:$D$2004,$Z879-2000)),IF($Z879&lt;=5200,IF(INDEX(客户自备加工筐明细!$C$4:$C$1203,$Z879-4000)=0,"",INDEX(客户自备加工筐明细!$C$4:$C$1203,$Z879-4000)),IF($Z879&lt;=5800,IF(INDEX(次果筐明细!$D$4:$D$603,$Z879-5200)=0,"",INDEX(次果筐明细!$D$4:$D$603,$Z879-5200)),"")))))</f>
        <v/>
      </c>
      <c r="O879" s="40" t="str">
        <f>IF($Z879="","",IF($Z879&lt;=2000,"",IF($Z879&lt;=4000,IF(N(INDEX(周转筐出入库明细!$J$4:$J$2004,$Z879-2000))+N(INDEX(周转筐出入库明细!$K$4:$K$2004,$Z879-2000))=0,"",N(INDEX(周转筐出入库明细!$J$4:$J$2004,$Z879-2000))+N(INDEX(周转筐出入库明细!$K$4:$K$2004,$Z879-2000))),IF($Z879&lt;=5200,IF(N(INDEX(客户自备加工筐明细!$G$4:$G$1203,$Z879-4000))=0,"",N(INDEX(客户自备加工筐明细!$G$4:$G$1203,$Z879-4000))),IF($Z879&lt;=5800,IF(ISNUMBER(SEARCH("退",INDEX(次果筐明细!$F$4:$F$603,$Z879-5200)&amp;"")),"",IF(N(INDEX(次果筐明细!$G$4:$G$603,$Z879-5200))=0,"",N(INDEX(次果筐明细!$G$4:$G$603,$Z879-5200)))),"")))))</f>
        <v/>
      </c>
      <c r="P879" s="40" t="str">
        <f>IF($Z879="","",IF($Z879&lt;=2000,"",IF($Z879&lt;=4000,IF(N(INDEX(周转筐出入库明细!$I$4:$I$2004,$Z879-2000))=0,"",N(INDEX(周转筐出入库明细!$I$4:$I$2004,$Z879-2000))),IF($Z879&lt;=5200,"",IF($Z879&lt;=5800,IF(ISNUMBER(SEARCH("退",INDEX(次果筐明细!$F$4:$F$603,$Z879-5200)&amp;"")),IF(N(INDEX(次果筐明细!$G$4:$G$603,$Z879-5200))=0,"",N(INDEX(次果筐明细!$G$4:$G$603,$Z879-5200))),""),"")))))</f>
        <v/>
      </c>
      <c r="Q879" s="40" t="str">
        <f>IF($Z879="","",IF($Z879&lt;=2000,"",IF($Z879&lt;=4000,IF(N(INDEX(周转筐出入库明细!$H$4:$H$2004,$Z879-2000))=0,"",N(INDEX(周转筐出入库明细!$H$4:$H$2004,$Z879-2000))),IF($Z879&lt;=5200,IF(N(INDEX(客户自备加工筐明细!$F$4:$F$1203,$Z879-4000))=0,"",N(INDEX(客户自备加工筐明细!$F$4:$F$1203,$Z879-4000))),IF($Z879&lt;=5800,"","")))))</f>
        <v/>
      </c>
      <c r="R879" s="16" t="str">
        <f>IF($Z879="","",IF($Z879&lt;=2000,IF(INDEX(包装物料出入库明细!$O$4:$O$2003,$Z879-0)=0,"",INDEX(包装物料出入库明细!$O$4:$O$2003,$Z879-0)),IF($Z879&lt;=4000,IF(INDEX(周转筐出入库明细!$M$4:$M$2004,$Z879-2000)=0,"",INDEX(周转筐出入库明细!$M$4:$M$2004,$Z879-2000)),IF($Z879&lt;=5200,IF(INDEX(客户自备加工筐明细!$H$4:$H$1203,$Z879-4000)=0,"",INDEX(客户自备加工筐明细!$H$4:$H$1203,$Z879-4000)),IF($Z879&lt;=5800,IF(INDEX(次果筐明细!$H$4:$H$603,$Z879-5200)=0,"",INDEX(次果筐明细!$H$4:$H$603,$Z879-5200)),"")))))</f>
        <v/>
      </c>
      <c r="S879" s="22" t="str">
        <f t="shared" si="41"/>
        <v/>
      </c>
      <c r="Z879" s="10" t="str">
        <f>IFERROR(MATCH(ROW()-3,_自动清单!$CQ$4:$CQ$5803,0),"")</f>
        <v/>
      </c>
    </row>
    <row r="880" spans="1:26">
      <c r="A880" s="24" t="str">
        <f t="shared" si="39"/>
        <v/>
      </c>
      <c r="B880" s="38" t="str">
        <f>IF($Z880="","",IF($Z880&lt;=2000,IF(INDEX(包装物料出入库明细!$B$4:$B$2003,$Z880-0)=0,"",INDEX(包装物料出入库明细!$B$4:$B$2003,$Z880-0)),IF($Z880&lt;=4000,IF(INDEX(周转筐出入库明细!$B$4:$B$2004,$Z880-2000)=0,"",INDEX(周转筐出入库明细!$B$4:$B$2004,$Z880-2000)),IF($Z880&lt;=5200,IF(INDEX(客户自备加工筐明细!$B$4:$B$1203,$Z880-4000)=0,"",INDEX(客户自备加工筐明细!$B$4:$B$1203,$Z880-4000)),IF($Z880&lt;=5800,IF(INDEX(次果筐明细!$B$4:$B$603,$Z880-5200)=0,"",INDEX(次果筐明细!$B$4:$B$603,$Z880-5200)),"")))))</f>
        <v/>
      </c>
      <c r="C880" s="37" t="str">
        <f>IF($Z880="","",IF($Z880&lt;=2000,IF(INDEX(包装物料出入库明细!$D$4:$D$2003,$Z880-0)=0,"",INDEX(包装物料出入库明细!$D$4:$D$2003,$Z880-0)),IF($Z880&lt;=4000,IF(INDEX(周转筐出入库明细!$C$4:$C$2004,$Z880-2000)=0,"",INDEX(周转筐出入库明细!$C$4:$C$2004,$Z880-2000)),IF($Z880&lt;=5200,IF(INDEX(客户自备加工筐明细!$E$4:$E$1203,$Z880-4000)=0,"",INDEX(客户自备加工筐明细!$E$4:$E$1203,$Z880-4000)),IF($Z880&lt;=5800,IF(INDEX(次果筐明细!$C$4:$C$603,$Z880-5200)=0,"",INDEX(次果筐明细!$C$4:$C$603,$Z880-5200)),"")))))</f>
        <v/>
      </c>
      <c r="D880" s="37" t="str">
        <f>IF($Z880="","",IF($Z880&lt;=2000,"包装物料－"&amp;INDEX(包装物料出入库明细!$H$4:$H$2003,$Z880-0),IF($Z880&lt;=4000,"周转筐－"&amp;INDEX(周转筐出入库明细!$F$4:$F$2004,$Z880-2000),IF($Z880&lt;=5200,"客户自备筐－"&amp;INDEX(客户自备加工筐明细!$J$4:$J$1203,$Z880-4000),IF($Z880&lt;=5800,"次果筐/托盘－"&amp;INDEX(次果筐明细!$F$4:$F$603,$Z880-5200),"")))))</f>
        <v/>
      </c>
      <c r="E880" s="24" t="str">
        <f>IF($Z880="","",IF($Z880&lt;=2000,IF(INDEX(包装物料出入库明细!$C$4:$C$2003,$Z880-0)=0,"",INDEX(包装物料出入库明细!$C$4:$C$2003,$Z880-0)),IF($Z880&lt;=4000,IF(INDEX(周转筐出入库明细!$E$4:$E$2004,$Z880-2000)=0,"",INDEX(周转筐出入库明细!$E$4:$E$2004,$Z880-2000)),IF($Z880&lt;=5200,IF(INDEX(客户自备加工筐明细!$D$4:$D$1203,$Z880-4000)=0,"",INDEX(客户自备加工筐明细!$D$4:$D$1203,$Z880-4000)),IF($Z880&lt;=5800,IF(INDEX(次果筐明细!$E$4:$E$603,$Z880-5200)=0,"",INDEX(次果筐明细!$E$4:$E$603,$Z880-5200)),"")))))</f>
        <v/>
      </c>
      <c r="F880" s="24" t="str">
        <f>IF($Z880="","",IF($Z880&lt;=2000,IF(INDEX(包装物料出入库明细!$E$4:$E$2003,$Z880-0)=0,"",INDEX(包装物料出入库明细!$E$4:$E$2003,$Z880-0)),IF($Z880&lt;=4000,IF(INDEX(周转筐出入库明细!$D$4:$D$2004,$Z880-2000)=0,"",INDEX(周转筐出入库明细!$D$4:$D$2004,$Z880-2000)),IF($Z880&lt;=5200,IF(INDEX(客户自备加工筐明细!$C$4:$C$1203,$Z880-4000)=0,"",INDEX(客户自备加工筐明细!$C$4:$C$1203,$Z880-4000)),IF($Z880&lt;=5800,IF(INDEX(次果筐明细!$D$4:$D$603,$Z880-5200)=0,"",INDEX(次果筐明细!$D$4:$D$603,$Z880-5200)),"")))))</f>
        <v/>
      </c>
      <c r="G880" s="24" t="str">
        <f>IF($Z880="","",IF($Z880&lt;=2000,IF(INDEX(包装物料出入库明细!$F$4:$F$2003,$Z880-0)=0,"",INDEX(包装物料出入库明细!$F$4:$F$2003,$Z880-0)),IF($Z880&lt;=4000,"",IF($Z880&lt;=5200,"",IF($Z880&lt;=5800,"","")))))</f>
        <v/>
      </c>
      <c r="H880" s="39" t="str">
        <f>IF($Z880="","",IF($Z880&lt;=2000,IF(INDEX(包装物料出入库明细!$L$4:$L$2003,$Z880-0)=0,"",INDEX(包装物料出入库明细!$L$4:$L$2003,$Z880-0)),IF($Z880&lt;=4000,N(INDEX(周转筐出入库明细!$H$4:$H$2004,$Z880-2000))+N(INDEX(周转筐出入库明细!$I$4:$I$2004,$Z880-2000))+N(INDEX(周转筐出入库明细!$J$4:$J$2004,$Z880-2000))+N(INDEX(周转筐出入库明细!$K$4:$K$2004,$Z880-2000)),IF($Z880&lt;=5200,N(INDEX(客户自备加工筐明细!$F$4:$F$1203,$Z880-4000))+N(INDEX(客户自备加工筐明细!$G$4:$G$1203,$Z880-4000)),IF($Z880&lt;=5800,IF(INDEX(次果筐明细!$G$4:$G$603,$Z880-5200)=0,"",INDEX(次果筐明细!$G$4:$G$603,$Z880-5200)),"")))))</f>
        <v/>
      </c>
      <c r="I880" s="24" t="str">
        <f>IF($Z880="","",IF($Z880&lt;=2000,IF(INDEX(包装物料出入库明细!$G$4:$G$2003,$Z880-0)=0,"",INDEX(包装物料出入库明细!$G$4:$G$2003,$Z880-0)),IF($Z880&lt;=4000,"个",IF($Z880&lt;=5200,"个",IF($Z880&lt;=5800,"个","")))))</f>
        <v/>
      </c>
      <c r="J880" s="30" t="str">
        <f t="shared" si="40"/>
        <v/>
      </c>
      <c r="K880" s="30" t="str">
        <f>IF($Z880="","",IF($Z880&lt;=2000,IF(INDEX(包装物料出入库明细!$N$4:$N$2003,$Z880-0)=0,"",INDEX(包装物料出入库明细!$N$4:$N$2003,$Z880-0)),IF($Z880&lt;=4000,IF(INDEX(周转筐出入库明细!$P$4:$P$2004,$Z880-2000)=0,"",INDEX(周转筐出入库明细!$P$4:$P$2004,$Z880-2000)),IF($Z880&lt;=5200,"",IF($Z880&lt;=5800,N(INDEX(次果筐明细!$L$4:$L$603,$Z880-5200))+N(INDEX(次果筐明细!$J$4:$J$603,$Z880-5200)),"")))))</f>
        <v/>
      </c>
      <c r="L880" s="24" t="str">
        <f>IF($Z880="","",IF($Z880&lt;=2000,IF(INDEX(包装物料出入库明细!$P$4:$P$2003,$Z880-0)=0,"",INDEX(包装物料出入库明细!$P$4:$P$2003,$Z880-0)),IF($Z880&lt;=4000,IF(INDEX(周转筐出入库明细!$Q$4:$Q$2004,$Z880-2000)=0,"",INDEX(周转筐出入库明细!$Q$4:$Q$2004,$Z880-2000)),IF($Z880&lt;=5200,"",IF($Z880&lt;=5800,IF(INDEX(次果筐明细!$M$4:$M$603,$Z880-5200)=0,"",INDEX(次果筐明细!$M$4:$M$603,$Z880-5200)),"")))))</f>
        <v/>
      </c>
      <c r="M880" s="37" t="str">
        <f>IF($Z880="","",IF($Z880&lt;=2000,IF(INDEX(包装物料出入库明细!$R$4:$R$2003,$Z880-0)=0,"",INDEX(包装物料出入库明细!$R$4:$R$2003,$Z880-0)),IF($Z880&lt;=4000,IF(INDEX(周转筐出入库明细!$W$4:$W$2004,$Z880-2000)=0,"",INDEX(周转筐出入库明细!$W$4:$W$2004,$Z880-2000)),IF($Z880&lt;=5200,IF(INDEX(客户自备加工筐明细!$L$4:$L$1203,$Z880-4000)=0,"",INDEX(客户自备加工筐明细!$L$4:$L$1203,$Z880-4000)),IF($Z880&lt;=5800,IF(INDEX(次果筐明细!$P$4:$P$603,$Z880-5200)=0,"",INDEX(次果筐明细!$P$4:$P$603,$Z880-5200)),"")))))</f>
        <v/>
      </c>
      <c r="N880" s="16" t="str">
        <f>IF($Z880="","",IF($Z880&lt;=2000,"",IF($Z880&lt;=4000,IF(INDEX(周转筐出入库明细!$D$4:$D$2004,$Z880-2000)=0,"",INDEX(周转筐出入库明细!$D$4:$D$2004,$Z880-2000)),IF($Z880&lt;=5200,IF(INDEX(客户自备加工筐明细!$C$4:$C$1203,$Z880-4000)=0,"",INDEX(客户自备加工筐明细!$C$4:$C$1203,$Z880-4000)),IF($Z880&lt;=5800,IF(INDEX(次果筐明细!$D$4:$D$603,$Z880-5200)=0,"",INDEX(次果筐明细!$D$4:$D$603,$Z880-5200)),"")))))</f>
        <v/>
      </c>
      <c r="O880" s="40" t="str">
        <f>IF($Z880="","",IF($Z880&lt;=2000,"",IF($Z880&lt;=4000,IF(N(INDEX(周转筐出入库明细!$J$4:$J$2004,$Z880-2000))+N(INDEX(周转筐出入库明细!$K$4:$K$2004,$Z880-2000))=0,"",N(INDEX(周转筐出入库明细!$J$4:$J$2004,$Z880-2000))+N(INDEX(周转筐出入库明细!$K$4:$K$2004,$Z880-2000))),IF($Z880&lt;=5200,IF(N(INDEX(客户自备加工筐明细!$G$4:$G$1203,$Z880-4000))=0,"",N(INDEX(客户自备加工筐明细!$G$4:$G$1203,$Z880-4000))),IF($Z880&lt;=5800,IF(ISNUMBER(SEARCH("退",INDEX(次果筐明细!$F$4:$F$603,$Z880-5200)&amp;"")),"",IF(N(INDEX(次果筐明细!$G$4:$G$603,$Z880-5200))=0,"",N(INDEX(次果筐明细!$G$4:$G$603,$Z880-5200)))),"")))))</f>
        <v/>
      </c>
      <c r="P880" s="40" t="str">
        <f>IF($Z880="","",IF($Z880&lt;=2000,"",IF($Z880&lt;=4000,IF(N(INDEX(周转筐出入库明细!$I$4:$I$2004,$Z880-2000))=0,"",N(INDEX(周转筐出入库明细!$I$4:$I$2004,$Z880-2000))),IF($Z880&lt;=5200,"",IF($Z880&lt;=5800,IF(ISNUMBER(SEARCH("退",INDEX(次果筐明细!$F$4:$F$603,$Z880-5200)&amp;"")),IF(N(INDEX(次果筐明细!$G$4:$G$603,$Z880-5200))=0,"",N(INDEX(次果筐明细!$G$4:$G$603,$Z880-5200))),""),"")))))</f>
        <v/>
      </c>
      <c r="Q880" s="40" t="str">
        <f>IF($Z880="","",IF($Z880&lt;=2000,"",IF($Z880&lt;=4000,IF(N(INDEX(周转筐出入库明细!$H$4:$H$2004,$Z880-2000))=0,"",N(INDEX(周转筐出入库明细!$H$4:$H$2004,$Z880-2000))),IF($Z880&lt;=5200,IF(N(INDEX(客户自备加工筐明细!$F$4:$F$1203,$Z880-4000))=0,"",N(INDEX(客户自备加工筐明细!$F$4:$F$1203,$Z880-4000))),IF($Z880&lt;=5800,"","")))))</f>
        <v/>
      </c>
      <c r="R880" s="16" t="str">
        <f>IF($Z880="","",IF($Z880&lt;=2000,IF(INDEX(包装物料出入库明细!$O$4:$O$2003,$Z880-0)=0,"",INDEX(包装物料出入库明细!$O$4:$O$2003,$Z880-0)),IF($Z880&lt;=4000,IF(INDEX(周转筐出入库明细!$M$4:$M$2004,$Z880-2000)=0,"",INDEX(周转筐出入库明细!$M$4:$M$2004,$Z880-2000)),IF($Z880&lt;=5200,IF(INDEX(客户自备加工筐明细!$H$4:$H$1203,$Z880-4000)=0,"",INDEX(客户自备加工筐明细!$H$4:$H$1203,$Z880-4000)),IF($Z880&lt;=5800,IF(INDEX(次果筐明细!$H$4:$H$603,$Z880-5200)=0,"",INDEX(次果筐明细!$H$4:$H$603,$Z880-5200)),"")))))</f>
        <v/>
      </c>
      <c r="S880" s="22" t="str">
        <f t="shared" si="41"/>
        <v/>
      </c>
      <c r="Z880" s="10" t="str">
        <f>IFERROR(MATCH(ROW()-3,_自动清单!$CQ$4:$CQ$5803,0),"")</f>
        <v/>
      </c>
    </row>
    <row r="881" spans="1:26">
      <c r="A881" s="24" t="str">
        <f t="shared" si="39"/>
        <v/>
      </c>
      <c r="B881" s="38" t="str">
        <f>IF($Z881="","",IF($Z881&lt;=2000,IF(INDEX(包装物料出入库明细!$B$4:$B$2003,$Z881-0)=0,"",INDEX(包装物料出入库明细!$B$4:$B$2003,$Z881-0)),IF($Z881&lt;=4000,IF(INDEX(周转筐出入库明细!$B$4:$B$2004,$Z881-2000)=0,"",INDEX(周转筐出入库明细!$B$4:$B$2004,$Z881-2000)),IF($Z881&lt;=5200,IF(INDEX(客户自备加工筐明细!$B$4:$B$1203,$Z881-4000)=0,"",INDEX(客户自备加工筐明细!$B$4:$B$1203,$Z881-4000)),IF($Z881&lt;=5800,IF(INDEX(次果筐明细!$B$4:$B$603,$Z881-5200)=0,"",INDEX(次果筐明细!$B$4:$B$603,$Z881-5200)),"")))))</f>
        <v/>
      </c>
      <c r="C881" s="37" t="str">
        <f>IF($Z881="","",IF($Z881&lt;=2000,IF(INDEX(包装物料出入库明细!$D$4:$D$2003,$Z881-0)=0,"",INDEX(包装物料出入库明细!$D$4:$D$2003,$Z881-0)),IF($Z881&lt;=4000,IF(INDEX(周转筐出入库明细!$C$4:$C$2004,$Z881-2000)=0,"",INDEX(周转筐出入库明细!$C$4:$C$2004,$Z881-2000)),IF($Z881&lt;=5200,IF(INDEX(客户自备加工筐明细!$E$4:$E$1203,$Z881-4000)=0,"",INDEX(客户自备加工筐明细!$E$4:$E$1203,$Z881-4000)),IF($Z881&lt;=5800,IF(INDEX(次果筐明细!$C$4:$C$603,$Z881-5200)=0,"",INDEX(次果筐明细!$C$4:$C$603,$Z881-5200)),"")))))</f>
        <v/>
      </c>
      <c r="D881" s="37" t="str">
        <f>IF($Z881="","",IF($Z881&lt;=2000,"包装物料－"&amp;INDEX(包装物料出入库明细!$H$4:$H$2003,$Z881-0),IF($Z881&lt;=4000,"周转筐－"&amp;INDEX(周转筐出入库明细!$F$4:$F$2004,$Z881-2000),IF($Z881&lt;=5200,"客户自备筐－"&amp;INDEX(客户自备加工筐明细!$J$4:$J$1203,$Z881-4000),IF($Z881&lt;=5800,"次果筐/托盘－"&amp;INDEX(次果筐明细!$F$4:$F$603,$Z881-5200),"")))))</f>
        <v/>
      </c>
      <c r="E881" s="24" t="str">
        <f>IF($Z881="","",IF($Z881&lt;=2000,IF(INDEX(包装物料出入库明细!$C$4:$C$2003,$Z881-0)=0,"",INDEX(包装物料出入库明细!$C$4:$C$2003,$Z881-0)),IF($Z881&lt;=4000,IF(INDEX(周转筐出入库明细!$E$4:$E$2004,$Z881-2000)=0,"",INDEX(周转筐出入库明细!$E$4:$E$2004,$Z881-2000)),IF($Z881&lt;=5200,IF(INDEX(客户自备加工筐明细!$D$4:$D$1203,$Z881-4000)=0,"",INDEX(客户自备加工筐明细!$D$4:$D$1203,$Z881-4000)),IF($Z881&lt;=5800,IF(INDEX(次果筐明细!$E$4:$E$603,$Z881-5200)=0,"",INDEX(次果筐明细!$E$4:$E$603,$Z881-5200)),"")))))</f>
        <v/>
      </c>
      <c r="F881" s="24" t="str">
        <f>IF($Z881="","",IF($Z881&lt;=2000,IF(INDEX(包装物料出入库明细!$E$4:$E$2003,$Z881-0)=0,"",INDEX(包装物料出入库明细!$E$4:$E$2003,$Z881-0)),IF($Z881&lt;=4000,IF(INDEX(周转筐出入库明细!$D$4:$D$2004,$Z881-2000)=0,"",INDEX(周转筐出入库明细!$D$4:$D$2004,$Z881-2000)),IF($Z881&lt;=5200,IF(INDEX(客户自备加工筐明细!$C$4:$C$1203,$Z881-4000)=0,"",INDEX(客户自备加工筐明细!$C$4:$C$1203,$Z881-4000)),IF($Z881&lt;=5800,IF(INDEX(次果筐明细!$D$4:$D$603,$Z881-5200)=0,"",INDEX(次果筐明细!$D$4:$D$603,$Z881-5200)),"")))))</f>
        <v/>
      </c>
      <c r="G881" s="24" t="str">
        <f>IF($Z881="","",IF($Z881&lt;=2000,IF(INDEX(包装物料出入库明细!$F$4:$F$2003,$Z881-0)=0,"",INDEX(包装物料出入库明细!$F$4:$F$2003,$Z881-0)),IF($Z881&lt;=4000,"",IF($Z881&lt;=5200,"",IF($Z881&lt;=5800,"","")))))</f>
        <v/>
      </c>
      <c r="H881" s="39" t="str">
        <f>IF($Z881="","",IF($Z881&lt;=2000,IF(INDEX(包装物料出入库明细!$L$4:$L$2003,$Z881-0)=0,"",INDEX(包装物料出入库明细!$L$4:$L$2003,$Z881-0)),IF($Z881&lt;=4000,N(INDEX(周转筐出入库明细!$H$4:$H$2004,$Z881-2000))+N(INDEX(周转筐出入库明细!$I$4:$I$2004,$Z881-2000))+N(INDEX(周转筐出入库明细!$J$4:$J$2004,$Z881-2000))+N(INDEX(周转筐出入库明细!$K$4:$K$2004,$Z881-2000)),IF($Z881&lt;=5200,N(INDEX(客户自备加工筐明细!$F$4:$F$1203,$Z881-4000))+N(INDEX(客户自备加工筐明细!$G$4:$G$1203,$Z881-4000)),IF($Z881&lt;=5800,IF(INDEX(次果筐明细!$G$4:$G$603,$Z881-5200)=0,"",INDEX(次果筐明细!$G$4:$G$603,$Z881-5200)),"")))))</f>
        <v/>
      </c>
      <c r="I881" s="24" t="str">
        <f>IF($Z881="","",IF($Z881&lt;=2000,IF(INDEX(包装物料出入库明细!$G$4:$G$2003,$Z881-0)=0,"",INDEX(包装物料出入库明细!$G$4:$G$2003,$Z881-0)),IF($Z881&lt;=4000,"个",IF($Z881&lt;=5200,"个",IF($Z881&lt;=5800,"个","")))))</f>
        <v/>
      </c>
      <c r="J881" s="30" t="str">
        <f t="shared" si="40"/>
        <v/>
      </c>
      <c r="K881" s="30" t="str">
        <f>IF($Z881="","",IF($Z881&lt;=2000,IF(INDEX(包装物料出入库明细!$N$4:$N$2003,$Z881-0)=0,"",INDEX(包装物料出入库明细!$N$4:$N$2003,$Z881-0)),IF($Z881&lt;=4000,IF(INDEX(周转筐出入库明细!$P$4:$P$2004,$Z881-2000)=0,"",INDEX(周转筐出入库明细!$P$4:$P$2004,$Z881-2000)),IF($Z881&lt;=5200,"",IF($Z881&lt;=5800,N(INDEX(次果筐明细!$L$4:$L$603,$Z881-5200))+N(INDEX(次果筐明细!$J$4:$J$603,$Z881-5200)),"")))))</f>
        <v/>
      </c>
      <c r="L881" s="24" t="str">
        <f>IF($Z881="","",IF($Z881&lt;=2000,IF(INDEX(包装物料出入库明细!$P$4:$P$2003,$Z881-0)=0,"",INDEX(包装物料出入库明细!$P$4:$P$2003,$Z881-0)),IF($Z881&lt;=4000,IF(INDEX(周转筐出入库明细!$Q$4:$Q$2004,$Z881-2000)=0,"",INDEX(周转筐出入库明细!$Q$4:$Q$2004,$Z881-2000)),IF($Z881&lt;=5200,"",IF($Z881&lt;=5800,IF(INDEX(次果筐明细!$M$4:$M$603,$Z881-5200)=0,"",INDEX(次果筐明细!$M$4:$M$603,$Z881-5200)),"")))))</f>
        <v/>
      </c>
      <c r="M881" s="37" t="str">
        <f>IF($Z881="","",IF($Z881&lt;=2000,IF(INDEX(包装物料出入库明细!$R$4:$R$2003,$Z881-0)=0,"",INDEX(包装物料出入库明细!$R$4:$R$2003,$Z881-0)),IF($Z881&lt;=4000,IF(INDEX(周转筐出入库明细!$W$4:$W$2004,$Z881-2000)=0,"",INDEX(周转筐出入库明细!$W$4:$W$2004,$Z881-2000)),IF($Z881&lt;=5200,IF(INDEX(客户自备加工筐明细!$L$4:$L$1203,$Z881-4000)=0,"",INDEX(客户自备加工筐明细!$L$4:$L$1203,$Z881-4000)),IF($Z881&lt;=5800,IF(INDEX(次果筐明细!$P$4:$P$603,$Z881-5200)=0,"",INDEX(次果筐明细!$P$4:$P$603,$Z881-5200)),"")))))</f>
        <v/>
      </c>
      <c r="N881" s="16" t="str">
        <f>IF($Z881="","",IF($Z881&lt;=2000,"",IF($Z881&lt;=4000,IF(INDEX(周转筐出入库明细!$D$4:$D$2004,$Z881-2000)=0,"",INDEX(周转筐出入库明细!$D$4:$D$2004,$Z881-2000)),IF($Z881&lt;=5200,IF(INDEX(客户自备加工筐明细!$C$4:$C$1203,$Z881-4000)=0,"",INDEX(客户自备加工筐明细!$C$4:$C$1203,$Z881-4000)),IF($Z881&lt;=5800,IF(INDEX(次果筐明细!$D$4:$D$603,$Z881-5200)=0,"",INDEX(次果筐明细!$D$4:$D$603,$Z881-5200)),"")))))</f>
        <v/>
      </c>
      <c r="O881" s="40" t="str">
        <f>IF($Z881="","",IF($Z881&lt;=2000,"",IF($Z881&lt;=4000,IF(N(INDEX(周转筐出入库明细!$J$4:$J$2004,$Z881-2000))+N(INDEX(周转筐出入库明细!$K$4:$K$2004,$Z881-2000))=0,"",N(INDEX(周转筐出入库明细!$J$4:$J$2004,$Z881-2000))+N(INDEX(周转筐出入库明细!$K$4:$K$2004,$Z881-2000))),IF($Z881&lt;=5200,IF(N(INDEX(客户自备加工筐明细!$G$4:$G$1203,$Z881-4000))=0,"",N(INDEX(客户自备加工筐明细!$G$4:$G$1203,$Z881-4000))),IF($Z881&lt;=5800,IF(ISNUMBER(SEARCH("退",INDEX(次果筐明细!$F$4:$F$603,$Z881-5200)&amp;"")),"",IF(N(INDEX(次果筐明细!$G$4:$G$603,$Z881-5200))=0,"",N(INDEX(次果筐明细!$G$4:$G$603,$Z881-5200)))),"")))))</f>
        <v/>
      </c>
      <c r="P881" s="40" t="str">
        <f>IF($Z881="","",IF($Z881&lt;=2000,"",IF($Z881&lt;=4000,IF(N(INDEX(周转筐出入库明细!$I$4:$I$2004,$Z881-2000))=0,"",N(INDEX(周转筐出入库明细!$I$4:$I$2004,$Z881-2000))),IF($Z881&lt;=5200,"",IF($Z881&lt;=5800,IF(ISNUMBER(SEARCH("退",INDEX(次果筐明细!$F$4:$F$603,$Z881-5200)&amp;"")),IF(N(INDEX(次果筐明细!$G$4:$G$603,$Z881-5200))=0,"",N(INDEX(次果筐明细!$G$4:$G$603,$Z881-5200))),""),"")))))</f>
        <v/>
      </c>
      <c r="Q881" s="40" t="str">
        <f>IF($Z881="","",IF($Z881&lt;=2000,"",IF($Z881&lt;=4000,IF(N(INDEX(周转筐出入库明细!$H$4:$H$2004,$Z881-2000))=0,"",N(INDEX(周转筐出入库明细!$H$4:$H$2004,$Z881-2000))),IF($Z881&lt;=5200,IF(N(INDEX(客户自备加工筐明细!$F$4:$F$1203,$Z881-4000))=0,"",N(INDEX(客户自备加工筐明细!$F$4:$F$1203,$Z881-4000))),IF($Z881&lt;=5800,"","")))))</f>
        <v/>
      </c>
      <c r="R881" s="16" t="str">
        <f>IF($Z881="","",IF($Z881&lt;=2000,IF(INDEX(包装物料出入库明细!$O$4:$O$2003,$Z881-0)=0,"",INDEX(包装物料出入库明细!$O$4:$O$2003,$Z881-0)),IF($Z881&lt;=4000,IF(INDEX(周转筐出入库明细!$M$4:$M$2004,$Z881-2000)=0,"",INDEX(周转筐出入库明细!$M$4:$M$2004,$Z881-2000)),IF($Z881&lt;=5200,IF(INDEX(客户自备加工筐明细!$H$4:$H$1203,$Z881-4000)=0,"",INDEX(客户自备加工筐明细!$H$4:$H$1203,$Z881-4000)),IF($Z881&lt;=5800,IF(INDEX(次果筐明细!$H$4:$H$603,$Z881-5200)=0,"",INDEX(次果筐明细!$H$4:$H$603,$Z881-5200)),"")))))</f>
        <v/>
      </c>
      <c r="S881" s="22" t="str">
        <f t="shared" si="41"/>
        <v/>
      </c>
      <c r="Z881" s="10" t="str">
        <f>IFERROR(MATCH(ROW()-3,_自动清单!$CQ$4:$CQ$5803,0),"")</f>
        <v/>
      </c>
    </row>
    <row r="882" spans="1:26">
      <c r="A882" s="24" t="str">
        <f t="shared" si="39"/>
        <v/>
      </c>
      <c r="B882" s="38" t="str">
        <f>IF($Z882="","",IF($Z882&lt;=2000,IF(INDEX(包装物料出入库明细!$B$4:$B$2003,$Z882-0)=0,"",INDEX(包装物料出入库明细!$B$4:$B$2003,$Z882-0)),IF($Z882&lt;=4000,IF(INDEX(周转筐出入库明细!$B$4:$B$2004,$Z882-2000)=0,"",INDEX(周转筐出入库明细!$B$4:$B$2004,$Z882-2000)),IF($Z882&lt;=5200,IF(INDEX(客户自备加工筐明细!$B$4:$B$1203,$Z882-4000)=0,"",INDEX(客户自备加工筐明细!$B$4:$B$1203,$Z882-4000)),IF($Z882&lt;=5800,IF(INDEX(次果筐明细!$B$4:$B$603,$Z882-5200)=0,"",INDEX(次果筐明细!$B$4:$B$603,$Z882-5200)),"")))))</f>
        <v/>
      </c>
      <c r="C882" s="37" t="str">
        <f>IF($Z882="","",IF($Z882&lt;=2000,IF(INDEX(包装物料出入库明细!$D$4:$D$2003,$Z882-0)=0,"",INDEX(包装物料出入库明细!$D$4:$D$2003,$Z882-0)),IF($Z882&lt;=4000,IF(INDEX(周转筐出入库明细!$C$4:$C$2004,$Z882-2000)=0,"",INDEX(周转筐出入库明细!$C$4:$C$2004,$Z882-2000)),IF($Z882&lt;=5200,IF(INDEX(客户自备加工筐明细!$E$4:$E$1203,$Z882-4000)=0,"",INDEX(客户自备加工筐明细!$E$4:$E$1203,$Z882-4000)),IF($Z882&lt;=5800,IF(INDEX(次果筐明细!$C$4:$C$603,$Z882-5200)=0,"",INDEX(次果筐明细!$C$4:$C$603,$Z882-5200)),"")))))</f>
        <v/>
      </c>
      <c r="D882" s="37" t="str">
        <f>IF($Z882="","",IF($Z882&lt;=2000,"包装物料－"&amp;INDEX(包装物料出入库明细!$H$4:$H$2003,$Z882-0),IF($Z882&lt;=4000,"周转筐－"&amp;INDEX(周转筐出入库明细!$F$4:$F$2004,$Z882-2000),IF($Z882&lt;=5200,"客户自备筐－"&amp;INDEX(客户自备加工筐明细!$J$4:$J$1203,$Z882-4000),IF($Z882&lt;=5800,"次果筐/托盘－"&amp;INDEX(次果筐明细!$F$4:$F$603,$Z882-5200),"")))))</f>
        <v/>
      </c>
      <c r="E882" s="24" t="str">
        <f>IF($Z882="","",IF($Z882&lt;=2000,IF(INDEX(包装物料出入库明细!$C$4:$C$2003,$Z882-0)=0,"",INDEX(包装物料出入库明细!$C$4:$C$2003,$Z882-0)),IF($Z882&lt;=4000,IF(INDEX(周转筐出入库明细!$E$4:$E$2004,$Z882-2000)=0,"",INDEX(周转筐出入库明细!$E$4:$E$2004,$Z882-2000)),IF($Z882&lt;=5200,IF(INDEX(客户自备加工筐明细!$D$4:$D$1203,$Z882-4000)=0,"",INDEX(客户自备加工筐明细!$D$4:$D$1203,$Z882-4000)),IF($Z882&lt;=5800,IF(INDEX(次果筐明细!$E$4:$E$603,$Z882-5200)=0,"",INDEX(次果筐明细!$E$4:$E$603,$Z882-5200)),"")))))</f>
        <v/>
      </c>
      <c r="F882" s="24" t="str">
        <f>IF($Z882="","",IF($Z882&lt;=2000,IF(INDEX(包装物料出入库明细!$E$4:$E$2003,$Z882-0)=0,"",INDEX(包装物料出入库明细!$E$4:$E$2003,$Z882-0)),IF($Z882&lt;=4000,IF(INDEX(周转筐出入库明细!$D$4:$D$2004,$Z882-2000)=0,"",INDEX(周转筐出入库明细!$D$4:$D$2004,$Z882-2000)),IF($Z882&lt;=5200,IF(INDEX(客户自备加工筐明细!$C$4:$C$1203,$Z882-4000)=0,"",INDEX(客户自备加工筐明细!$C$4:$C$1203,$Z882-4000)),IF($Z882&lt;=5800,IF(INDEX(次果筐明细!$D$4:$D$603,$Z882-5200)=0,"",INDEX(次果筐明细!$D$4:$D$603,$Z882-5200)),"")))))</f>
        <v/>
      </c>
      <c r="G882" s="24" t="str">
        <f>IF($Z882="","",IF($Z882&lt;=2000,IF(INDEX(包装物料出入库明细!$F$4:$F$2003,$Z882-0)=0,"",INDEX(包装物料出入库明细!$F$4:$F$2003,$Z882-0)),IF($Z882&lt;=4000,"",IF($Z882&lt;=5200,"",IF($Z882&lt;=5800,"","")))))</f>
        <v/>
      </c>
      <c r="H882" s="39" t="str">
        <f>IF($Z882="","",IF($Z882&lt;=2000,IF(INDEX(包装物料出入库明细!$L$4:$L$2003,$Z882-0)=0,"",INDEX(包装物料出入库明细!$L$4:$L$2003,$Z882-0)),IF($Z882&lt;=4000,N(INDEX(周转筐出入库明细!$H$4:$H$2004,$Z882-2000))+N(INDEX(周转筐出入库明细!$I$4:$I$2004,$Z882-2000))+N(INDEX(周转筐出入库明细!$J$4:$J$2004,$Z882-2000))+N(INDEX(周转筐出入库明细!$K$4:$K$2004,$Z882-2000)),IF($Z882&lt;=5200,N(INDEX(客户自备加工筐明细!$F$4:$F$1203,$Z882-4000))+N(INDEX(客户自备加工筐明细!$G$4:$G$1203,$Z882-4000)),IF($Z882&lt;=5800,IF(INDEX(次果筐明细!$G$4:$G$603,$Z882-5200)=0,"",INDEX(次果筐明细!$G$4:$G$603,$Z882-5200)),"")))))</f>
        <v/>
      </c>
      <c r="I882" s="24" t="str">
        <f>IF($Z882="","",IF($Z882&lt;=2000,IF(INDEX(包装物料出入库明细!$G$4:$G$2003,$Z882-0)=0,"",INDEX(包装物料出入库明细!$G$4:$G$2003,$Z882-0)),IF($Z882&lt;=4000,"个",IF($Z882&lt;=5200,"个",IF($Z882&lt;=5800,"个","")))))</f>
        <v/>
      </c>
      <c r="J882" s="30" t="str">
        <f t="shared" si="40"/>
        <v/>
      </c>
      <c r="K882" s="30" t="str">
        <f>IF($Z882="","",IF($Z882&lt;=2000,IF(INDEX(包装物料出入库明细!$N$4:$N$2003,$Z882-0)=0,"",INDEX(包装物料出入库明细!$N$4:$N$2003,$Z882-0)),IF($Z882&lt;=4000,IF(INDEX(周转筐出入库明细!$P$4:$P$2004,$Z882-2000)=0,"",INDEX(周转筐出入库明细!$P$4:$P$2004,$Z882-2000)),IF($Z882&lt;=5200,"",IF($Z882&lt;=5800,N(INDEX(次果筐明细!$L$4:$L$603,$Z882-5200))+N(INDEX(次果筐明细!$J$4:$J$603,$Z882-5200)),"")))))</f>
        <v/>
      </c>
      <c r="L882" s="24" t="str">
        <f>IF($Z882="","",IF($Z882&lt;=2000,IF(INDEX(包装物料出入库明细!$P$4:$P$2003,$Z882-0)=0,"",INDEX(包装物料出入库明细!$P$4:$P$2003,$Z882-0)),IF($Z882&lt;=4000,IF(INDEX(周转筐出入库明细!$Q$4:$Q$2004,$Z882-2000)=0,"",INDEX(周转筐出入库明细!$Q$4:$Q$2004,$Z882-2000)),IF($Z882&lt;=5200,"",IF($Z882&lt;=5800,IF(INDEX(次果筐明细!$M$4:$M$603,$Z882-5200)=0,"",INDEX(次果筐明细!$M$4:$M$603,$Z882-5200)),"")))))</f>
        <v/>
      </c>
      <c r="M882" s="37" t="str">
        <f>IF($Z882="","",IF($Z882&lt;=2000,IF(INDEX(包装物料出入库明细!$R$4:$R$2003,$Z882-0)=0,"",INDEX(包装物料出入库明细!$R$4:$R$2003,$Z882-0)),IF($Z882&lt;=4000,IF(INDEX(周转筐出入库明细!$W$4:$W$2004,$Z882-2000)=0,"",INDEX(周转筐出入库明细!$W$4:$W$2004,$Z882-2000)),IF($Z882&lt;=5200,IF(INDEX(客户自备加工筐明细!$L$4:$L$1203,$Z882-4000)=0,"",INDEX(客户自备加工筐明细!$L$4:$L$1203,$Z882-4000)),IF($Z882&lt;=5800,IF(INDEX(次果筐明细!$P$4:$P$603,$Z882-5200)=0,"",INDEX(次果筐明细!$P$4:$P$603,$Z882-5200)),"")))))</f>
        <v/>
      </c>
      <c r="N882" s="16" t="str">
        <f>IF($Z882="","",IF($Z882&lt;=2000,"",IF($Z882&lt;=4000,IF(INDEX(周转筐出入库明细!$D$4:$D$2004,$Z882-2000)=0,"",INDEX(周转筐出入库明细!$D$4:$D$2004,$Z882-2000)),IF($Z882&lt;=5200,IF(INDEX(客户自备加工筐明细!$C$4:$C$1203,$Z882-4000)=0,"",INDEX(客户自备加工筐明细!$C$4:$C$1203,$Z882-4000)),IF($Z882&lt;=5800,IF(INDEX(次果筐明细!$D$4:$D$603,$Z882-5200)=0,"",INDEX(次果筐明细!$D$4:$D$603,$Z882-5200)),"")))))</f>
        <v/>
      </c>
      <c r="O882" s="40" t="str">
        <f>IF($Z882="","",IF($Z882&lt;=2000,"",IF($Z882&lt;=4000,IF(N(INDEX(周转筐出入库明细!$J$4:$J$2004,$Z882-2000))+N(INDEX(周转筐出入库明细!$K$4:$K$2004,$Z882-2000))=0,"",N(INDEX(周转筐出入库明细!$J$4:$J$2004,$Z882-2000))+N(INDEX(周转筐出入库明细!$K$4:$K$2004,$Z882-2000))),IF($Z882&lt;=5200,IF(N(INDEX(客户自备加工筐明细!$G$4:$G$1203,$Z882-4000))=0,"",N(INDEX(客户自备加工筐明细!$G$4:$G$1203,$Z882-4000))),IF($Z882&lt;=5800,IF(ISNUMBER(SEARCH("退",INDEX(次果筐明细!$F$4:$F$603,$Z882-5200)&amp;"")),"",IF(N(INDEX(次果筐明细!$G$4:$G$603,$Z882-5200))=0,"",N(INDEX(次果筐明细!$G$4:$G$603,$Z882-5200)))),"")))))</f>
        <v/>
      </c>
      <c r="P882" s="40" t="str">
        <f>IF($Z882="","",IF($Z882&lt;=2000,"",IF($Z882&lt;=4000,IF(N(INDEX(周转筐出入库明细!$I$4:$I$2004,$Z882-2000))=0,"",N(INDEX(周转筐出入库明细!$I$4:$I$2004,$Z882-2000))),IF($Z882&lt;=5200,"",IF($Z882&lt;=5800,IF(ISNUMBER(SEARCH("退",INDEX(次果筐明细!$F$4:$F$603,$Z882-5200)&amp;"")),IF(N(INDEX(次果筐明细!$G$4:$G$603,$Z882-5200))=0,"",N(INDEX(次果筐明细!$G$4:$G$603,$Z882-5200))),""),"")))))</f>
        <v/>
      </c>
      <c r="Q882" s="40" t="str">
        <f>IF($Z882="","",IF($Z882&lt;=2000,"",IF($Z882&lt;=4000,IF(N(INDEX(周转筐出入库明细!$H$4:$H$2004,$Z882-2000))=0,"",N(INDEX(周转筐出入库明细!$H$4:$H$2004,$Z882-2000))),IF($Z882&lt;=5200,IF(N(INDEX(客户自备加工筐明细!$F$4:$F$1203,$Z882-4000))=0,"",N(INDEX(客户自备加工筐明细!$F$4:$F$1203,$Z882-4000))),IF($Z882&lt;=5800,"","")))))</f>
        <v/>
      </c>
      <c r="R882" s="16" t="str">
        <f>IF($Z882="","",IF($Z882&lt;=2000,IF(INDEX(包装物料出入库明细!$O$4:$O$2003,$Z882-0)=0,"",INDEX(包装物料出入库明细!$O$4:$O$2003,$Z882-0)),IF($Z882&lt;=4000,IF(INDEX(周转筐出入库明细!$M$4:$M$2004,$Z882-2000)=0,"",INDEX(周转筐出入库明细!$M$4:$M$2004,$Z882-2000)),IF($Z882&lt;=5200,IF(INDEX(客户自备加工筐明细!$H$4:$H$1203,$Z882-4000)=0,"",INDEX(客户自备加工筐明细!$H$4:$H$1203,$Z882-4000)),IF($Z882&lt;=5800,IF(INDEX(次果筐明细!$H$4:$H$603,$Z882-5200)=0,"",INDEX(次果筐明细!$H$4:$H$603,$Z882-5200)),"")))))</f>
        <v/>
      </c>
      <c r="S882" s="22" t="str">
        <f t="shared" si="41"/>
        <v/>
      </c>
      <c r="Z882" s="10" t="str">
        <f>IFERROR(MATCH(ROW()-3,_自动清单!$CQ$4:$CQ$5803,0),"")</f>
        <v/>
      </c>
    </row>
    <row r="883" spans="1:26">
      <c r="A883" s="24" t="str">
        <f t="shared" si="39"/>
        <v/>
      </c>
      <c r="B883" s="38" t="str">
        <f>IF($Z883="","",IF($Z883&lt;=2000,IF(INDEX(包装物料出入库明细!$B$4:$B$2003,$Z883-0)=0,"",INDEX(包装物料出入库明细!$B$4:$B$2003,$Z883-0)),IF($Z883&lt;=4000,IF(INDEX(周转筐出入库明细!$B$4:$B$2004,$Z883-2000)=0,"",INDEX(周转筐出入库明细!$B$4:$B$2004,$Z883-2000)),IF($Z883&lt;=5200,IF(INDEX(客户自备加工筐明细!$B$4:$B$1203,$Z883-4000)=0,"",INDEX(客户自备加工筐明细!$B$4:$B$1203,$Z883-4000)),IF($Z883&lt;=5800,IF(INDEX(次果筐明细!$B$4:$B$603,$Z883-5200)=0,"",INDEX(次果筐明细!$B$4:$B$603,$Z883-5200)),"")))))</f>
        <v/>
      </c>
      <c r="C883" s="37" t="str">
        <f>IF($Z883="","",IF($Z883&lt;=2000,IF(INDEX(包装物料出入库明细!$D$4:$D$2003,$Z883-0)=0,"",INDEX(包装物料出入库明细!$D$4:$D$2003,$Z883-0)),IF($Z883&lt;=4000,IF(INDEX(周转筐出入库明细!$C$4:$C$2004,$Z883-2000)=0,"",INDEX(周转筐出入库明细!$C$4:$C$2004,$Z883-2000)),IF($Z883&lt;=5200,IF(INDEX(客户自备加工筐明细!$E$4:$E$1203,$Z883-4000)=0,"",INDEX(客户自备加工筐明细!$E$4:$E$1203,$Z883-4000)),IF($Z883&lt;=5800,IF(INDEX(次果筐明细!$C$4:$C$603,$Z883-5200)=0,"",INDEX(次果筐明细!$C$4:$C$603,$Z883-5200)),"")))))</f>
        <v/>
      </c>
      <c r="D883" s="37" t="str">
        <f>IF($Z883="","",IF($Z883&lt;=2000,"包装物料－"&amp;INDEX(包装物料出入库明细!$H$4:$H$2003,$Z883-0),IF($Z883&lt;=4000,"周转筐－"&amp;INDEX(周转筐出入库明细!$F$4:$F$2004,$Z883-2000),IF($Z883&lt;=5200,"客户自备筐－"&amp;INDEX(客户自备加工筐明细!$J$4:$J$1203,$Z883-4000),IF($Z883&lt;=5800,"次果筐/托盘－"&amp;INDEX(次果筐明细!$F$4:$F$603,$Z883-5200),"")))))</f>
        <v/>
      </c>
      <c r="E883" s="24" t="str">
        <f>IF($Z883="","",IF($Z883&lt;=2000,IF(INDEX(包装物料出入库明细!$C$4:$C$2003,$Z883-0)=0,"",INDEX(包装物料出入库明细!$C$4:$C$2003,$Z883-0)),IF($Z883&lt;=4000,IF(INDEX(周转筐出入库明细!$E$4:$E$2004,$Z883-2000)=0,"",INDEX(周转筐出入库明细!$E$4:$E$2004,$Z883-2000)),IF($Z883&lt;=5200,IF(INDEX(客户自备加工筐明细!$D$4:$D$1203,$Z883-4000)=0,"",INDEX(客户自备加工筐明细!$D$4:$D$1203,$Z883-4000)),IF($Z883&lt;=5800,IF(INDEX(次果筐明细!$E$4:$E$603,$Z883-5200)=0,"",INDEX(次果筐明细!$E$4:$E$603,$Z883-5200)),"")))))</f>
        <v/>
      </c>
      <c r="F883" s="24" t="str">
        <f>IF($Z883="","",IF($Z883&lt;=2000,IF(INDEX(包装物料出入库明细!$E$4:$E$2003,$Z883-0)=0,"",INDEX(包装物料出入库明细!$E$4:$E$2003,$Z883-0)),IF($Z883&lt;=4000,IF(INDEX(周转筐出入库明细!$D$4:$D$2004,$Z883-2000)=0,"",INDEX(周转筐出入库明细!$D$4:$D$2004,$Z883-2000)),IF($Z883&lt;=5200,IF(INDEX(客户自备加工筐明细!$C$4:$C$1203,$Z883-4000)=0,"",INDEX(客户自备加工筐明细!$C$4:$C$1203,$Z883-4000)),IF($Z883&lt;=5800,IF(INDEX(次果筐明细!$D$4:$D$603,$Z883-5200)=0,"",INDEX(次果筐明细!$D$4:$D$603,$Z883-5200)),"")))))</f>
        <v/>
      </c>
      <c r="G883" s="24" t="str">
        <f>IF($Z883="","",IF($Z883&lt;=2000,IF(INDEX(包装物料出入库明细!$F$4:$F$2003,$Z883-0)=0,"",INDEX(包装物料出入库明细!$F$4:$F$2003,$Z883-0)),IF($Z883&lt;=4000,"",IF($Z883&lt;=5200,"",IF($Z883&lt;=5800,"","")))))</f>
        <v/>
      </c>
      <c r="H883" s="39" t="str">
        <f>IF($Z883="","",IF($Z883&lt;=2000,IF(INDEX(包装物料出入库明细!$L$4:$L$2003,$Z883-0)=0,"",INDEX(包装物料出入库明细!$L$4:$L$2003,$Z883-0)),IF($Z883&lt;=4000,N(INDEX(周转筐出入库明细!$H$4:$H$2004,$Z883-2000))+N(INDEX(周转筐出入库明细!$I$4:$I$2004,$Z883-2000))+N(INDEX(周转筐出入库明细!$J$4:$J$2004,$Z883-2000))+N(INDEX(周转筐出入库明细!$K$4:$K$2004,$Z883-2000)),IF($Z883&lt;=5200,N(INDEX(客户自备加工筐明细!$F$4:$F$1203,$Z883-4000))+N(INDEX(客户自备加工筐明细!$G$4:$G$1203,$Z883-4000)),IF($Z883&lt;=5800,IF(INDEX(次果筐明细!$G$4:$G$603,$Z883-5200)=0,"",INDEX(次果筐明细!$G$4:$G$603,$Z883-5200)),"")))))</f>
        <v/>
      </c>
      <c r="I883" s="24" t="str">
        <f>IF($Z883="","",IF($Z883&lt;=2000,IF(INDEX(包装物料出入库明细!$G$4:$G$2003,$Z883-0)=0,"",INDEX(包装物料出入库明细!$G$4:$G$2003,$Z883-0)),IF($Z883&lt;=4000,"个",IF($Z883&lt;=5200,"个",IF($Z883&lt;=5800,"个","")))))</f>
        <v/>
      </c>
      <c r="J883" s="30" t="str">
        <f t="shared" si="40"/>
        <v/>
      </c>
      <c r="K883" s="30" t="str">
        <f>IF($Z883="","",IF($Z883&lt;=2000,IF(INDEX(包装物料出入库明细!$N$4:$N$2003,$Z883-0)=0,"",INDEX(包装物料出入库明细!$N$4:$N$2003,$Z883-0)),IF($Z883&lt;=4000,IF(INDEX(周转筐出入库明细!$P$4:$P$2004,$Z883-2000)=0,"",INDEX(周转筐出入库明细!$P$4:$P$2004,$Z883-2000)),IF($Z883&lt;=5200,"",IF($Z883&lt;=5800,N(INDEX(次果筐明细!$L$4:$L$603,$Z883-5200))+N(INDEX(次果筐明细!$J$4:$J$603,$Z883-5200)),"")))))</f>
        <v/>
      </c>
      <c r="L883" s="24" t="str">
        <f>IF($Z883="","",IF($Z883&lt;=2000,IF(INDEX(包装物料出入库明细!$P$4:$P$2003,$Z883-0)=0,"",INDEX(包装物料出入库明细!$P$4:$P$2003,$Z883-0)),IF($Z883&lt;=4000,IF(INDEX(周转筐出入库明细!$Q$4:$Q$2004,$Z883-2000)=0,"",INDEX(周转筐出入库明细!$Q$4:$Q$2004,$Z883-2000)),IF($Z883&lt;=5200,"",IF($Z883&lt;=5800,IF(INDEX(次果筐明细!$M$4:$M$603,$Z883-5200)=0,"",INDEX(次果筐明细!$M$4:$M$603,$Z883-5200)),"")))))</f>
        <v/>
      </c>
      <c r="M883" s="37" t="str">
        <f>IF($Z883="","",IF($Z883&lt;=2000,IF(INDEX(包装物料出入库明细!$R$4:$R$2003,$Z883-0)=0,"",INDEX(包装物料出入库明细!$R$4:$R$2003,$Z883-0)),IF($Z883&lt;=4000,IF(INDEX(周转筐出入库明细!$W$4:$W$2004,$Z883-2000)=0,"",INDEX(周转筐出入库明细!$W$4:$W$2004,$Z883-2000)),IF($Z883&lt;=5200,IF(INDEX(客户自备加工筐明细!$L$4:$L$1203,$Z883-4000)=0,"",INDEX(客户自备加工筐明细!$L$4:$L$1203,$Z883-4000)),IF($Z883&lt;=5800,IF(INDEX(次果筐明细!$P$4:$P$603,$Z883-5200)=0,"",INDEX(次果筐明细!$P$4:$P$603,$Z883-5200)),"")))))</f>
        <v/>
      </c>
      <c r="N883" s="16" t="str">
        <f>IF($Z883="","",IF($Z883&lt;=2000,"",IF($Z883&lt;=4000,IF(INDEX(周转筐出入库明细!$D$4:$D$2004,$Z883-2000)=0,"",INDEX(周转筐出入库明细!$D$4:$D$2004,$Z883-2000)),IF($Z883&lt;=5200,IF(INDEX(客户自备加工筐明细!$C$4:$C$1203,$Z883-4000)=0,"",INDEX(客户自备加工筐明细!$C$4:$C$1203,$Z883-4000)),IF($Z883&lt;=5800,IF(INDEX(次果筐明细!$D$4:$D$603,$Z883-5200)=0,"",INDEX(次果筐明细!$D$4:$D$603,$Z883-5200)),"")))))</f>
        <v/>
      </c>
      <c r="O883" s="40" t="str">
        <f>IF($Z883="","",IF($Z883&lt;=2000,"",IF($Z883&lt;=4000,IF(N(INDEX(周转筐出入库明细!$J$4:$J$2004,$Z883-2000))+N(INDEX(周转筐出入库明细!$K$4:$K$2004,$Z883-2000))=0,"",N(INDEX(周转筐出入库明细!$J$4:$J$2004,$Z883-2000))+N(INDEX(周转筐出入库明细!$K$4:$K$2004,$Z883-2000))),IF($Z883&lt;=5200,IF(N(INDEX(客户自备加工筐明细!$G$4:$G$1203,$Z883-4000))=0,"",N(INDEX(客户自备加工筐明细!$G$4:$G$1203,$Z883-4000))),IF($Z883&lt;=5800,IF(ISNUMBER(SEARCH("退",INDEX(次果筐明细!$F$4:$F$603,$Z883-5200)&amp;"")),"",IF(N(INDEX(次果筐明细!$G$4:$G$603,$Z883-5200))=0,"",N(INDEX(次果筐明细!$G$4:$G$603,$Z883-5200)))),"")))))</f>
        <v/>
      </c>
      <c r="P883" s="40" t="str">
        <f>IF($Z883="","",IF($Z883&lt;=2000,"",IF($Z883&lt;=4000,IF(N(INDEX(周转筐出入库明细!$I$4:$I$2004,$Z883-2000))=0,"",N(INDEX(周转筐出入库明细!$I$4:$I$2004,$Z883-2000))),IF($Z883&lt;=5200,"",IF($Z883&lt;=5800,IF(ISNUMBER(SEARCH("退",INDEX(次果筐明细!$F$4:$F$603,$Z883-5200)&amp;"")),IF(N(INDEX(次果筐明细!$G$4:$G$603,$Z883-5200))=0,"",N(INDEX(次果筐明细!$G$4:$G$603,$Z883-5200))),""),"")))))</f>
        <v/>
      </c>
      <c r="Q883" s="40" t="str">
        <f>IF($Z883="","",IF($Z883&lt;=2000,"",IF($Z883&lt;=4000,IF(N(INDEX(周转筐出入库明细!$H$4:$H$2004,$Z883-2000))=0,"",N(INDEX(周转筐出入库明细!$H$4:$H$2004,$Z883-2000))),IF($Z883&lt;=5200,IF(N(INDEX(客户自备加工筐明细!$F$4:$F$1203,$Z883-4000))=0,"",N(INDEX(客户自备加工筐明细!$F$4:$F$1203,$Z883-4000))),IF($Z883&lt;=5800,"","")))))</f>
        <v/>
      </c>
      <c r="R883" s="16" t="str">
        <f>IF($Z883="","",IF($Z883&lt;=2000,IF(INDEX(包装物料出入库明细!$O$4:$O$2003,$Z883-0)=0,"",INDEX(包装物料出入库明细!$O$4:$O$2003,$Z883-0)),IF($Z883&lt;=4000,IF(INDEX(周转筐出入库明细!$M$4:$M$2004,$Z883-2000)=0,"",INDEX(周转筐出入库明细!$M$4:$M$2004,$Z883-2000)),IF($Z883&lt;=5200,IF(INDEX(客户自备加工筐明细!$H$4:$H$1203,$Z883-4000)=0,"",INDEX(客户自备加工筐明细!$H$4:$H$1203,$Z883-4000)),IF($Z883&lt;=5800,IF(INDEX(次果筐明细!$H$4:$H$603,$Z883-5200)=0,"",INDEX(次果筐明细!$H$4:$H$603,$Z883-5200)),"")))))</f>
        <v/>
      </c>
      <c r="S883" s="22" t="str">
        <f t="shared" si="41"/>
        <v/>
      </c>
      <c r="Z883" s="10" t="str">
        <f>IFERROR(MATCH(ROW()-3,_自动清单!$CQ$4:$CQ$5803,0),"")</f>
        <v/>
      </c>
    </row>
    <row r="884" spans="1:26">
      <c r="A884" s="24" t="str">
        <f t="shared" si="39"/>
        <v/>
      </c>
      <c r="B884" s="38" t="str">
        <f>IF($Z884="","",IF($Z884&lt;=2000,IF(INDEX(包装物料出入库明细!$B$4:$B$2003,$Z884-0)=0,"",INDEX(包装物料出入库明细!$B$4:$B$2003,$Z884-0)),IF($Z884&lt;=4000,IF(INDEX(周转筐出入库明细!$B$4:$B$2004,$Z884-2000)=0,"",INDEX(周转筐出入库明细!$B$4:$B$2004,$Z884-2000)),IF($Z884&lt;=5200,IF(INDEX(客户自备加工筐明细!$B$4:$B$1203,$Z884-4000)=0,"",INDEX(客户自备加工筐明细!$B$4:$B$1203,$Z884-4000)),IF($Z884&lt;=5800,IF(INDEX(次果筐明细!$B$4:$B$603,$Z884-5200)=0,"",INDEX(次果筐明细!$B$4:$B$603,$Z884-5200)),"")))))</f>
        <v/>
      </c>
      <c r="C884" s="37" t="str">
        <f>IF($Z884="","",IF($Z884&lt;=2000,IF(INDEX(包装物料出入库明细!$D$4:$D$2003,$Z884-0)=0,"",INDEX(包装物料出入库明细!$D$4:$D$2003,$Z884-0)),IF($Z884&lt;=4000,IF(INDEX(周转筐出入库明细!$C$4:$C$2004,$Z884-2000)=0,"",INDEX(周转筐出入库明细!$C$4:$C$2004,$Z884-2000)),IF($Z884&lt;=5200,IF(INDEX(客户自备加工筐明细!$E$4:$E$1203,$Z884-4000)=0,"",INDEX(客户自备加工筐明细!$E$4:$E$1203,$Z884-4000)),IF($Z884&lt;=5800,IF(INDEX(次果筐明细!$C$4:$C$603,$Z884-5200)=0,"",INDEX(次果筐明细!$C$4:$C$603,$Z884-5200)),"")))))</f>
        <v/>
      </c>
      <c r="D884" s="37" t="str">
        <f>IF($Z884="","",IF($Z884&lt;=2000,"包装物料－"&amp;INDEX(包装物料出入库明细!$H$4:$H$2003,$Z884-0),IF($Z884&lt;=4000,"周转筐－"&amp;INDEX(周转筐出入库明细!$F$4:$F$2004,$Z884-2000),IF($Z884&lt;=5200,"客户自备筐－"&amp;INDEX(客户自备加工筐明细!$J$4:$J$1203,$Z884-4000),IF($Z884&lt;=5800,"次果筐/托盘－"&amp;INDEX(次果筐明细!$F$4:$F$603,$Z884-5200),"")))))</f>
        <v/>
      </c>
      <c r="E884" s="24" t="str">
        <f>IF($Z884="","",IF($Z884&lt;=2000,IF(INDEX(包装物料出入库明细!$C$4:$C$2003,$Z884-0)=0,"",INDEX(包装物料出入库明细!$C$4:$C$2003,$Z884-0)),IF($Z884&lt;=4000,IF(INDEX(周转筐出入库明细!$E$4:$E$2004,$Z884-2000)=0,"",INDEX(周转筐出入库明细!$E$4:$E$2004,$Z884-2000)),IF($Z884&lt;=5200,IF(INDEX(客户自备加工筐明细!$D$4:$D$1203,$Z884-4000)=0,"",INDEX(客户自备加工筐明细!$D$4:$D$1203,$Z884-4000)),IF($Z884&lt;=5800,IF(INDEX(次果筐明细!$E$4:$E$603,$Z884-5200)=0,"",INDEX(次果筐明细!$E$4:$E$603,$Z884-5200)),"")))))</f>
        <v/>
      </c>
      <c r="F884" s="24" t="str">
        <f>IF($Z884="","",IF($Z884&lt;=2000,IF(INDEX(包装物料出入库明细!$E$4:$E$2003,$Z884-0)=0,"",INDEX(包装物料出入库明细!$E$4:$E$2003,$Z884-0)),IF($Z884&lt;=4000,IF(INDEX(周转筐出入库明细!$D$4:$D$2004,$Z884-2000)=0,"",INDEX(周转筐出入库明细!$D$4:$D$2004,$Z884-2000)),IF($Z884&lt;=5200,IF(INDEX(客户自备加工筐明细!$C$4:$C$1203,$Z884-4000)=0,"",INDEX(客户自备加工筐明细!$C$4:$C$1203,$Z884-4000)),IF($Z884&lt;=5800,IF(INDEX(次果筐明细!$D$4:$D$603,$Z884-5200)=0,"",INDEX(次果筐明细!$D$4:$D$603,$Z884-5200)),"")))))</f>
        <v/>
      </c>
      <c r="G884" s="24" t="str">
        <f>IF($Z884="","",IF($Z884&lt;=2000,IF(INDEX(包装物料出入库明细!$F$4:$F$2003,$Z884-0)=0,"",INDEX(包装物料出入库明细!$F$4:$F$2003,$Z884-0)),IF($Z884&lt;=4000,"",IF($Z884&lt;=5200,"",IF($Z884&lt;=5800,"","")))))</f>
        <v/>
      </c>
      <c r="H884" s="39" t="str">
        <f>IF($Z884="","",IF($Z884&lt;=2000,IF(INDEX(包装物料出入库明细!$L$4:$L$2003,$Z884-0)=0,"",INDEX(包装物料出入库明细!$L$4:$L$2003,$Z884-0)),IF($Z884&lt;=4000,N(INDEX(周转筐出入库明细!$H$4:$H$2004,$Z884-2000))+N(INDEX(周转筐出入库明细!$I$4:$I$2004,$Z884-2000))+N(INDEX(周转筐出入库明细!$J$4:$J$2004,$Z884-2000))+N(INDEX(周转筐出入库明细!$K$4:$K$2004,$Z884-2000)),IF($Z884&lt;=5200,N(INDEX(客户自备加工筐明细!$F$4:$F$1203,$Z884-4000))+N(INDEX(客户自备加工筐明细!$G$4:$G$1203,$Z884-4000)),IF($Z884&lt;=5800,IF(INDEX(次果筐明细!$G$4:$G$603,$Z884-5200)=0,"",INDEX(次果筐明细!$G$4:$G$603,$Z884-5200)),"")))))</f>
        <v/>
      </c>
      <c r="I884" s="24" t="str">
        <f>IF($Z884="","",IF($Z884&lt;=2000,IF(INDEX(包装物料出入库明细!$G$4:$G$2003,$Z884-0)=0,"",INDEX(包装物料出入库明细!$G$4:$G$2003,$Z884-0)),IF($Z884&lt;=4000,"个",IF($Z884&lt;=5200,"个",IF($Z884&lt;=5800,"个","")))))</f>
        <v/>
      </c>
      <c r="J884" s="30" t="str">
        <f t="shared" si="40"/>
        <v/>
      </c>
      <c r="K884" s="30" t="str">
        <f>IF($Z884="","",IF($Z884&lt;=2000,IF(INDEX(包装物料出入库明细!$N$4:$N$2003,$Z884-0)=0,"",INDEX(包装物料出入库明细!$N$4:$N$2003,$Z884-0)),IF($Z884&lt;=4000,IF(INDEX(周转筐出入库明细!$P$4:$P$2004,$Z884-2000)=0,"",INDEX(周转筐出入库明细!$P$4:$P$2004,$Z884-2000)),IF($Z884&lt;=5200,"",IF($Z884&lt;=5800,N(INDEX(次果筐明细!$L$4:$L$603,$Z884-5200))+N(INDEX(次果筐明细!$J$4:$J$603,$Z884-5200)),"")))))</f>
        <v/>
      </c>
      <c r="L884" s="24" t="str">
        <f>IF($Z884="","",IF($Z884&lt;=2000,IF(INDEX(包装物料出入库明细!$P$4:$P$2003,$Z884-0)=0,"",INDEX(包装物料出入库明细!$P$4:$P$2003,$Z884-0)),IF($Z884&lt;=4000,IF(INDEX(周转筐出入库明细!$Q$4:$Q$2004,$Z884-2000)=0,"",INDEX(周转筐出入库明细!$Q$4:$Q$2004,$Z884-2000)),IF($Z884&lt;=5200,"",IF($Z884&lt;=5800,IF(INDEX(次果筐明细!$M$4:$M$603,$Z884-5200)=0,"",INDEX(次果筐明细!$M$4:$M$603,$Z884-5200)),"")))))</f>
        <v/>
      </c>
      <c r="M884" s="37" t="str">
        <f>IF($Z884="","",IF($Z884&lt;=2000,IF(INDEX(包装物料出入库明细!$R$4:$R$2003,$Z884-0)=0,"",INDEX(包装物料出入库明细!$R$4:$R$2003,$Z884-0)),IF($Z884&lt;=4000,IF(INDEX(周转筐出入库明细!$W$4:$W$2004,$Z884-2000)=0,"",INDEX(周转筐出入库明细!$W$4:$W$2004,$Z884-2000)),IF($Z884&lt;=5200,IF(INDEX(客户自备加工筐明细!$L$4:$L$1203,$Z884-4000)=0,"",INDEX(客户自备加工筐明细!$L$4:$L$1203,$Z884-4000)),IF($Z884&lt;=5800,IF(INDEX(次果筐明细!$P$4:$P$603,$Z884-5200)=0,"",INDEX(次果筐明细!$P$4:$P$603,$Z884-5200)),"")))))</f>
        <v/>
      </c>
      <c r="N884" s="16" t="str">
        <f>IF($Z884="","",IF($Z884&lt;=2000,"",IF($Z884&lt;=4000,IF(INDEX(周转筐出入库明细!$D$4:$D$2004,$Z884-2000)=0,"",INDEX(周转筐出入库明细!$D$4:$D$2004,$Z884-2000)),IF($Z884&lt;=5200,IF(INDEX(客户自备加工筐明细!$C$4:$C$1203,$Z884-4000)=0,"",INDEX(客户自备加工筐明细!$C$4:$C$1203,$Z884-4000)),IF($Z884&lt;=5800,IF(INDEX(次果筐明细!$D$4:$D$603,$Z884-5200)=0,"",INDEX(次果筐明细!$D$4:$D$603,$Z884-5200)),"")))))</f>
        <v/>
      </c>
      <c r="O884" s="40" t="str">
        <f>IF($Z884="","",IF($Z884&lt;=2000,"",IF($Z884&lt;=4000,IF(N(INDEX(周转筐出入库明细!$J$4:$J$2004,$Z884-2000))+N(INDEX(周转筐出入库明细!$K$4:$K$2004,$Z884-2000))=0,"",N(INDEX(周转筐出入库明细!$J$4:$J$2004,$Z884-2000))+N(INDEX(周转筐出入库明细!$K$4:$K$2004,$Z884-2000))),IF($Z884&lt;=5200,IF(N(INDEX(客户自备加工筐明细!$G$4:$G$1203,$Z884-4000))=0,"",N(INDEX(客户自备加工筐明细!$G$4:$G$1203,$Z884-4000))),IF($Z884&lt;=5800,IF(ISNUMBER(SEARCH("退",INDEX(次果筐明细!$F$4:$F$603,$Z884-5200)&amp;"")),"",IF(N(INDEX(次果筐明细!$G$4:$G$603,$Z884-5200))=0,"",N(INDEX(次果筐明细!$G$4:$G$603,$Z884-5200)))),"")))))</f>
        <v/>
      </c>
      <c r="P884" s="40" t="str">
        <f>IF($Z884="","",IF($Z884&lt;=2000,"",IF($Z884&lt;=4000,IF(N(INDEX(周转筐出入库明细!$I$4:$I$2004,$Z884-2000))=0,"",N(INDEX(周转筐出入库明细!$I$4:$I$2004,$Z884-2000))),IF($Z884&lt;=5200,"",IF($Z884&lt;=5800,IF(ISNUMBER(SEARCH("退",INDEX(次果筐明细!$F$4:$F$603,$Z884-5200)&amp;"")),IF(N(INDEX(次果筐明细!$G$4:$G$603,$Z884-5200))=0,"",N(INDEX(次果筐明细!$G$4:$G$603,$Z884-5200))),""),"")))))</f>
        <v/>
      </c>
      <c r="Q884" s="40" t="str">
        <f>IF($Z884="","",IF($Z884&lt;=2000,"",IF($Z884&lt;=4000,IF(N(INDEX(周转筐出入库明细!$H$4:$H$2004,$Z884-2000))=0,"",N(INDEX(周转筐出入库明细!$H$4:$H$2004,$Z884-2000))),IF($Z884&lt;=5200,IF(N(INDEX(客户自备加工筐明细!$F$4:$F$1203,$Z884-4000))=0,"",N(INDEX(客户自备加工筐明细!$F$4:$F$1203,$Z884-4000))),IF($Z884&lt;=5800,"","")))))</f>
        <v/>
      </c>
      <c r="R884" s="16" t="str">
        <f>IF($Z884="","",IF($Z884&lt;=2000,IF(INDEX(包装物料出入库明细!$O$4:$O$2003,$Z884-0)=0,"",INDEX(包装物料出入库明细!$O$4:$O$2003,$Z884-0)),IF($Z884&lt;=4000,IF(INDEX(周转筐出入库明细!$M$4:$M$2004,$Z884-2000)=0,"",INDEX(周转筐出入库明细!$M$4:$M$2004,$Z884-2000)),IF($Z884&lt;=5200,IF(INDEX(客户自备加工筐明细!$H$4:$H$1203,$Z884-4000)=0,"",INDEX(客户自备加工筐明细!$H$4:$H$1203,$Z884-4000)),IF($Z884&lt;=5800,IF(INDEX(次果筐明细!$H$4:$H$603,$Z884-5200)=0,"",INDEX(次果筐明细!$H$4:$H$603,$Z884-5200)),"")))))</f>
        <v/>
      </c>
      <c r="S884" s="22" t="str">
        <f t="shared" si="41"/>
        <v/>
      </c>
      <c r="Z884" s="10" t="str">
        <f>IFERROR(MATCH(ROW()-3,_自动清单!$CQ$4:$CQ$5803,0),"")</f>
        <v/>
      </c>
    </row>
    <row r="885" spans="1:26">
      <c r="A885" s="24" t="str">
        <f t="shared" si="39"/>
        <v/>
      </c>
      <c r="B885" s="38" t="str">
        <f>IF($Z885="","",IF($Z885&lt;=2000,IF(INDEX(包装物料出入库明细!$B$4:$B$2003,$Z885-0)=0,"",INDEX(包装物料出入库明细!$B$4:$B$2003,$Z885-0)),IF($Z885&lt;=4000,IF(INDEX(周转筐出入库明细!$B$4:$B$2004,$Z885-2000)=0,"",INDEX(周转筐出入库明细!$B$4:$B$2004,$Z885-2000)),IF($Z885&lt;=5200,IF(INDEX(客户自备加工筐明细!$B$4:$B$1203,$Z885-4000)=0,"",INDEX(客户自备加工筐明细!$B$4:$B$1203,$Z885-4000)),IF($Z885&lt;=5800,IF(INDEX(次果筐明细!$B$4:$B$603,$Z885-5200)=0,"",INDEX(次果筐明细!$B$4:$B$603,$Z885-5200)),"")))))</f>
        <v/>
      </c>
      <c r="C885" s="37" t="str">
        <f>IF($Z885="","",IF($Z885&lt;=2000,IF(INDEX(包装物料出入库明细!$D$4:$D$2003,$Z885-0)=0,"",INDEX(包装物料出入库明细!$D$4:$D$2003,$Z885-0)),IF($Z885&lt;=4000,IF(INDEX(周转筐出入库明细!$C$4:$C$2004,$Z885-2000)=0,"",INDEX(周转筐出入库明细!$C$4:$C$2004,$Z885-2000)),IF($Z885&lt;=5200,IF(INDEX(客户自备加工筐明细!$E$4:$E$1203,$Z885-4000)=0,"",INDEX(客户自备加工筐明细!$E$4:$E$1203,$Z885-4000)),IF($Z885&lt;=5800,IF(INDEX(次果筐明细!$C$4:$C$603,$Z885-5200)=0,"",INDEX(次果筐明细!$C$4:$C$603,$Z885-5200)),"")))))</f>
        <v/>
      </c>
      <c r="D885" s="37" t="str">
        <f>IF($Z885="","",IF($Z885&lt;=2000,"包装物料－"&amp;INDEX(包装物料出入库明细!$H$4:$H$2003,$Z885-0),IF($Z885&lt;=4000,"周转筐－"&amp;INDEX(周转筐出入库明细!$F$4:$F$2004,$Z885-2000),IF($Z885&lt;=5200,"客户自备筐－"&amp;INDEX(客户自备加工筐明细!$J$4:$J$1203,$Z885-4000),IF($Z885&lt;=5800,"次果筐/托盘－"&amp;INDEX(次果筐明细!$F$4:$F$603,$Z885-5200),"")))))</f>
        <v/>
      </c>
      <c r="E885" s="24" t="str">
        <f>IF($Z885="","",IF($Z885&lt;=2000,IF(INDEX(包装物料出入库明细!$C$4:$C$2003,$Z885-0)=0,"",INDEX(包装物料出入库明细!$C$4:$C$2003,$Z885-0)),IF($Z885&lt;=4000,IF(INDEX(周转筐出入库明细!$E$4:$E$2004,$Z885-2000)=0,"",INDEX(周转筐出入库明细!$E$4:$E$2004,$Z885-2000)),IF($Z885&lt;=5200,IF(INDEX(客户自备加工筐明细!$D$4:$D$1203,$Z885-4000)=0,"",INDEX(客户自备加工筐明细!$D$4:$D$1203,$Z885-4000)),IF($Z885&lt;=5800,IF(INDEX(次果筐明细!$E$4:$E$603,$Z885-5200)=0,"",INDEX(次果筐明细!$E$4:$E$603,$Z885-5200)),"")))))</f>
        <v/>
      </c>
      <c r="F885" s="24" t="str">
        <f>IF($Z885="","",IF($Z885&lt;=2000,IF(INDEX(包装物料出入库明细!$E$4:$E$2003,$Z885-0)=0,"",INDEX(包装物料出入库明细!$E$4:$E$2003,$Z885-0)),IF($Z885&lt;=4000,IF(INDEX(周转筐出入库明细!$D$4:$D$2004,$Z885-2000)=0,"",INDEX(周转筐出入库明细!$D$4:$D$2004,$Z885-2000)),IF($Z885&lt;=5200,IF(INDEX(客户自备加工筐明细!$C$4:$C$1203,$Z885-4000)=0,"",INDEX(客户自备加工筐明细!$C$4:$C$1203,$Z885-4000)),IF($Z885&lt;=5800,IF(INDEX(次果筐明细!$D$4:$D$603,$Z885-5200)=0,"",INDEX(次果筐明细!$D$4:$D$603,$Z885-5200)),"")))))</f>
        <v/>
      </c>
      <c r="G885" s="24" t="str">
        <f>IF($Z885="","",IF($Z885&lt;=2000,IF(INDEX(包装物料出入库明细!$F$4:$F$2003,$Z885-0)=0,"",INDEX(包装物料出入库明细!$F$4:$F$2003,$Z885-0)),IF($Z885&lt;=4000,"",IF($Z885&lt;=5200,"",IF($Z885&lt;=5800,"","")))))</f>
        <v/>
      </c>
      <c r="H885" s="39" t="str">
        <f>IF($Z885="","",IF($Z885&lt;=2000,IF(INDEX(包装物料出入库明细!$L$4:$L$2003,$Z885-0)=0,"",INDEX(包装物料出入库明细!$L$4:$L$2003,$Z885-0)),IF($Z885&lt;=4000,N(INDEX(周转筐出入库明细!$H$4:$H$2004,$Z885-2000))+N(INDEX(周转筐出入库明细!$I$4:$I$2004,$Z885-2000))+N(INDEX(周转筐出入库明细!$J$4:$J$2004,$Z885-2000))+N(INDEX(周转筐出入库明细!$K$4:$K$2004,$Z885-2000)),IF($Z885&lt;=5200,N(INDEX(客户自备加工筐明细!$F$4:$F$1203,$Z885-4000))+N(INDEX(客户自备加工筐明细!$G$4:$G$1203,$Z885-4000)),IF($Z885&lt;=5800,IF(INDEX(次果筐明细!$G$4:$G$603,$Z885-5200)=0,"",INDEX(次果筐明细!$G$4:$G$603,$Z885-5200)),"")))))</f>
        <v/>
      </c>
      <c r="I885" s="24" t="str">
        <f>IF($Z885="","",IF($Z885&lt;=2000,IF(INDEX(包装物料出入库明细!$G$4:$G$2003,$Z885-0)=0,"",INDEX(包装物料出入库明细!$G$4:$G$2003,$Z885-0)),IF($Z885&lt;=4000,"个",IF($Z885&lt;=5200,"个",IF($Z885&lt;=5800,"个","")))))</f>
        <v/>
      </c>
      <c r="J885" s="30" t="str">
        <f t="shared" si="40"/>
        <v/>
      </c>
      <c r="K885" s="30" t="str">
        <f>IF($Z885="","",IF($Z885&lt;=2000,IF(INDEX(包装物料出入库明细!$N$4:$N$2003,$Z885-0)=0,"",INDEX(包装物料出入库明细!$N$4:$N$2003,$Z885-0)),IF($Z885&lt;=4000,IF(INDEX(周转筐出入库明细!$P$4:$P$2004,$Z885-2000)=0,"",INDEX(周转筐出入库明细!$P$4:$P$2004,$Z885-2000)),IF($Z885&lt;=5200,"",IF($Z885&lt;=5800,N(INDEX(次果筐明细!$L$4:$L$603,$Z885-5200))+N(INDEX(次果筐明细!$J$4:$J$603,$Z885-5200)),"")))))</f>
        <v/>
      </c>
      <c r="L885" s="24" t="str">
        <f>IF($Z885="","",IF($Z885&lt;=2000,IF(INDEX(包装物料出入库明细!$P$4:$P$2003,$Z885-0)=0,"",INDEX(包装物料出入库明细!$P$4:$P$2003,$Z885-0)),IF($Z885&lt;=4000,IF(INDEX(周转筐出入库明细!$Q$4:$Q$2004,$Z885-2000)=0,"",INDEX(周转筐出入库明细!$Q$4:$Q$2004,$Z885-2000)),IF($Z885&lt;=5200,"",IF($Z885&lt;=5800,IF(INDEX(次果筐明细!$M$4:$M$603,$Z885-5200)=0,"",INDEX(次果筐明细!$M$4:$M$603,$Z885-5200)),"")))))</f>
        <v/>
      </c>
      <c r="M885" s="37" t="str">
        <f>IF($Z885="","",IF($Z885&lt;=2000,IF(INDEX(包装物料出入库明细!$R$4:$R$2003,$Z885-0)=0,"",INDEX(包装物料出入库明细!$R$4:$R$2003,$Z885-0)),IF($Z885&lt;=4000,IF(INDEX(周转筐出入库明细!$W$4:$W$2004,$Z885-2000)=0,"",INDEX(周转筐出入库明细!$W$4:$W$2004,$Z885-2000)),IF($Z885&lt;=5200,IF(INDEX(客户自备加工筐明细!$L$4:$L$1203,$Z885-4000)=0,"",INDEX(客户自备加工筐明细!$L$4:$L$1203,$Z885-4000)),IF($Z885&lt;=5800,IF(INDEX(次果筐明细!$P$4:$P$603,$Z885-5200)=0,"",INDEX(次果筐明细!$P$4:$P$603,$Z885-5200)),"")))))</f>
        <v/>
      </c>
      <c r="N885" s="16" t="str">
        <f>IF($Z885="","",IF($Z885&lt;=2000,"",IF($Z885&lt;=4000,IF(INDEX(周转筐出入库明细!$D$4:$D$2004,$Z885-2000)=0,"",INDEX(周转筐出入库明细!$D$4:$D$2004,$Z885-2000)),IF($Z885&lt;=5200,IF(INDEX(客户自备加工筐明细!$C$4:$C$1203,$Z885-4000)=0,"",INDEX(客户自备加工筐明细!$C$4:$C$1203,$Z885-4000)),IF($Z885&lt;=5800,IF(INDEX(次果筐明细!$D$4:$D$603,$Z885-5200)=0,"",INDEX(次果筐明细!$D$4:$D$603,$Z885-5200)),"")))))</f>
        <v/>
      </c>
      <c r="O885" s="40" t="str">
        <f>IF($Z885="","",IF($Z885&lt;=2000,"",IF($Z885&lt;=4000,IF(N(INDEX(周转筐出入库明细!$J$4:$J$2004,$Z885-2000))+N(INDEX(周转筐出入库明细!$K$4:$K$2004,$Z885-2000))=0,"",N(INDEX(周转筐出入库明细!$J$4:$J$2004,$Z885-2000))+N(INDEX(周转筐出入库明细!$K$4:$K$2004,$Z885-2000))),IF($Z885&lt;=5200,IF(N(INDEX(客户自备加工筐明细!$G$4:$G$1203,$Z885-4000))=0,"",N(INDEX(客户自备加工筐明细!$G$4:$G$1203,$Z885-4000))),IF($Z885&lt;=5800,IF(ISNUMBER(SEARCH("退",INDEX(次果筐明细!$F$4:$F$603,$Z885-5200)&amp;"")),"",IF(N(INDEX(次果筐明细!$G$4:$G$603,$Z885-5200))=0,"",N(INDEX(次果筐明细!$G$4:$G$603,$Z885-5200)))),"")))))</f>
        <v/>
      </c>
      <c r="P885" s="40" t="str">
        <f>IF($Z885="","",IF($Z885&lt;=2000,"",IF($Z885&lt;=4000,IF(N(INDEX(周转筐出入库明细!$I$4:$I$2004,$Z885-2000))=0,"",N(INDEX(周转筐出入库明细!$I$4:$I$2004,$Z885-2000))),IF($Z885&lt;=5200,"",IF($Z885&lt;=5800,IF(ISNUMBER(SEARCH("退",INDEX(次果筐明细!$F$4:$F$603,$Z885-5200)&amp;"")),IF(N(INDEX(次果筐明细!$G$4:$G$603,$Z885-5200))=0,"",N(INDEX(次果筐明细!$G$4:$G$603,$Z885-5200))),""),"")))))</f>
        <v/>
      </c>
      <c r="Q885" s="40" t="str">
        <f>IF($Z885="","",IF($Z885&lt;=2000,"",IF($Z885&lt;=4000,IF(N(INDEX(周转筐出入库明细!$H$4:$H$2004,$Z885-2000))=0,"",N(INDEX(周转筐出入库明细!$H$4:$H$2004,$Z885-2000))),IF($Z885&lt;=5200,IF(N(INDEX(客户自备加工筐明细!$F$4:$F$1203,$Z885-4000))=0,"",N(INDEX(客户自备加工筐明细!$F$4:$F$1203,$Z885-4000))),IF($Z885&lt;=5800,"","")))))</f>
        <v/>
      </c>
      <c r="R885" s="16" t="str">
        <f>IF($Z885="","",IF($Z885&lt;=2000,IF(INDEX(包装物料出入库明细!$O$4:$O$2003,$Z885-0)=0,"",INDEX(包装物料出入库明细!$O$4:$O$2003,$Z885-0)),IF($Z885&lt;=4000,IF(INDEX(周转筐出入库明细!$M$4:$M$2004,$Z885-2000)=0,"",INDEX(周转筐出入库明细!$M$4:$M$2004,$Z885-2000)),IF($Z885&lt;=5200,IF(INDEX(客户自备加工筐明细!$H$4:$H$1203,$Z885-4000)=0,"",INDEX(客户自备加工筐明细!$H$4:$H$1203,$Z885-4000)),IF($Z885&lt;=5800,IF(INDEX(次果筐明细!$H$4:$H$603,$Z885-5200)=0,"",INDEX(次果筐明细!$H$4:$H$603,$Z885-5200)),"")))))</f>
        <v/>
      </c>
      <c r="S885" s="22" t="str">
        <f t="shared" si="41"/>
        <v/>
      </c>
      <c r="Z885" s="10" t="str">
        <f>IFERROR(MATCH(ROW()-3,_自动清单!$CQ$4:$CQ$5803,0),"")</f>
        <v/>
      </c>
    </row>
    <row r="886" spans="1:26">
      <c r="A886" s="24" t="str">
        <f t="shared" si="39"/>
        <v/>
      </c>
      <c r="B886" s="38" t="str">
        <f>IF($Z886="","",IF($Z886&lt;=2000,IF(INDEX(包装物料出入库明细!$B$4:$B$2003,$Z886-0)=0,"",INDEX(包装物料出入库明细!$B$4:$B$2003,$Z886-0)),IF($Z886&lt;=4000,IF(INDEX(周转筐出入库明细!$B$4:$B$2004,$Z886-2000)=0,"",INDEX(周转筐出入库明细!$B$4:$B$2004,$Z886-2000)),IF($Z886&lt;=5200,IF(INDEX(客户自备加工筐明细!$B$4:$B$1203,$Z886-4000)=0,"",INDEX(客户自备加工筐明细!$B$4:$B$1203,$Z886-4000)),IF($Z886&lt;=5800,IF(INDEX(次果筐明细!$B$4:$B$603,$Z886-5200)=0,"",INDEX(次果筐明细!$B$4:$B$603,$Z886-5200)),"")))))</f>
        <v/>
      </c>
      <c r="C886" s="37" t="str">
        <f>IF($Z886="","",IF($Z886&lt;=2000,IF(INDEX(包装物料出入库明细!$D$4:$D$2003,$Z886-0)=0,"",INDEX(包装物料出入库明细!$D$4:$D$2003,$Z886-0)),IF($Z886&lt;=4000,IF(INDEX(周转筐出入库明细!$C$4:$C$2004,$Z886-2000)=0,"",INDEX(周转筐出入库明细!$C$4:$C$2004,$Z886-2000)),IF($Z886&lt;=5200,IF(INDEX(客户自备加工筐明细!$E$4:$E$1203,$Z886-4000)=0,"",INDEX(客户自备加工筐明细!$E$4:$E$1203,$Z886-4000)),IF($Z886&lt;=5800,IF(INDEX(次果筐明细!$C$4:$C$603,$Z886-5200)=0,"",INDEX(次果筐明细!$C$4:$C$603,$Z886-5200)),"")))))</f>
        <v/>
      </c>
      <c r="D886" s="37" t="str">
        <f>IF($Z886="","",IF($Z886&lt;=2000,"包装物料－"&amp;INDEX(包装物料出入库明细!$H$4:$H$2003,$Z886-0),IF($Z886&lt;=4000,"周转筐－"&amp;INDEX(周转筐出入库明细!$F$4:$F$2004,$Z886-2000),IF($Z886&lt;=5200,"客户自备筐－"&amp;INDEX(客户自备加工筐明细!$J$4:$J$1203,$Z886-4000),IF($Z886&lt;=5800,"次果筐/托盘－"&amp;INDEX(次果筐明细!$F$4:$F$603,$Z886-5200),"")))))</f>
        <v/>
      </c>
      <c r="E886" s="24" t="str">
        <f>IF($Z886="","",IF($Z886&lt;=2000,IF(INDEX(包装物料出入库明细!$C$4:$C$2003,$Z886-0)=0,"",INDEX(包装物料出入库明细!$C$4:$C$2003,$Z886-0)),IF($Z886&lt;=4000,IF(INDEX(周转筐出入库明细!$E$4:$E$2004,$Z886-2000)=0,"",INDEX(周转筐出入库明细!$E$4:$E$2004,$Z886-2000)),IF($Z886&lt;=5200,IF(INDEX(客户自备加工筐明细!$D$4:$D$1203,$Z886-4000)=0,"",INDEX(客户自备加工筐明细!$D$4:$D$1203,$Z886-4000)),IF($Z886&lt;=5800,IF(INDEX(次果筐明细!$E$4:$E$603,$Z886-5200)=0,"",INDEX(次果筐明细!$E$4:$E$603,$Z886-5200)),"")))))</f>
        <v/>
      </c>
      <c r="F886" s="24" t="str">
        <f>IF($Z886="","",IF($Z886&lt;=2000,IF(INDEX(包装物料出入库明细!$E$4:$E$2003,$Z886-0)=0,"",INDEX(包装物料出入库明细!$E$4:$E$2003,$Z886-0)),IF($Z886&lt;=4000,IF(INDEX(周转筐出入库明细!$D$4:$D$2004,$Z886-2000)=0,"",INDEX(周转筐出入库明细!$D$4:$D$2004,$Z886-2000)),IF($Z886&lt;=5200,IF(INDEX(客户自备加工筐明细!$C$4:$C$1203,$Z886-4000)=0,"",INDEX(客户自备加工筐明细!$C$4:$C$1203,$Z886-4000)),IF($Z886&lt;=5800,IF(INDEX(次果筐明细!$D$4:$D$603,$Z886-5200)=0,"",INDEX(次果筐明细!$D$4:$D$603,$Z886-5200)),"")))))</f>
        <v/>
      </c>
      <c r="G886" s="24" t="str">
        <f>IF($Z886="","",IF($Z886&lt;=2000,IF(INDEX(包装物料出入库明细!$F$4:$F$2003,$Z886-0)=0,"",INDEX(包装物料出入库明细!$F$4:$F$2003,$Z886-0)),IF($Z886&lt;=4000,"",IF($Z886&lt;=5200,"",IF($Z886&lt;=5800,"","")))))</f>
        <v/>
      </c>
      <c r="H886" s="39" t="str">
        <f>IF($Z886="","",IF($Z886&lt;=2000,IF(INDEX(包装物料出入库明细!$L$4:$L$2003,$Z886-0)=0,"",INDEX(包装物料出入库明细!$L$4:$L$2003,$Z886-0)),IF($Z886&lt;=4000,N(INDEX(周转筐出入库明细!$H$4:$H$2004,$Z886-2000))+N(INDEX(周转筐出入库明细!$I$4:$I$2004,$Z886-2000))+N(INDEX(周转筐出入库明细!$J$4:$J$2004,$Z886-2000))+N(INDEX(周转筐出入库明细!$K$4:$K$2004,$Z886-2000)),IF($Z886&lt;=5200,N(INDEX(客户自备加工筐明细!$F$4:$F$1203,$Z886-4000))+N(INDEX(客户自备加工筐明细!$G$4:$G$1203,$Z886-4000)),IF($Z886&lt;=5800,IF(INDEX(次果筐明细!$G$4:$G$603,$Z886-5200)=0,"",INDEX(次果筐明细!$G$4:$G$603,$Z886-5200)),"")))))</f>
        <v/>
      </c>
      <c r="I886" s="24" t="str">
        <f>IF($Z886="","",IF($Z886&lt;=2000,IF(INDEX(包装物料出入库明细!$G$4:$G$2003,$Z886-0)=0,"",INDEX(包装物料出入库明细!$G$4:$G$2003,$Z886-0)),IF($Z886&lt;=4000,"个",IF($Z886&lt;=5200,"个",IF($Z886&lt;=5800,"个","")))))</f>
        <v/>
      </c>
      <c r="J886" s="30" t="str">
        <f t="shared" si="40"/>
        <v/>
      </c>
      <c r="K886" s="30" t="str">
        <f>IF($Z886="","",IF($Z886&lt;=2000,IF(INDEX(包装物料出入库明细!$N$4:$N$2003,$Z886-0)=0,"",INDEX(包装物料出入库明细!$N$4:$N$2003,$Z886-0)),IF($Z886&lt;=4000,IF(INDEX(周转筐出入库明细!$P$4:$P$2004,$Z886-2000)=0,"",INDEX(周转筐出入库明细!$P$4:$P$2004,$Z886-2000)),IF($Z886&lt;=5200,"",IF($Z886&lt;=5800,N(INDEX(次果筐明细!$L$4:$L$603,$Z886-5200))+N(INDEX(次果筐明细!$J$4:$J$603,$Z886-5200)),"")))))</f>
        <v/>
      </c>
      <c r="L886" s="24" t="str">
        <f>IF($Z886="","",IF($Z886&lt;=2000,IF(INDEX(包装物料出入库明细!$P$4:$P$2003,$Z886-0)=0,"",INDEX(包装物料出入库明细!$P$4:$P$2003,$Z886-0)),IF($Z886&lt;=4000,IF(INDEX(周转筐出入库明细!$Q$4:$Q$2004,$Z886-2000)=0,"",INDEX(周转筐出入库明细!$Q$4:$Q$2004,$Z886-2000)),IF($Z886&lt;=5200,"",IF($Z886&lt;=5800,IF(INDEX(次果筐明细!$M$4:$M$603,$Z886-5200)=0,"",INDEX(次果筐明细!$M$4:$M$603,$Z886-5200)),"")))))</f>
        <v/>
      </c>
      <c r="M886" s="37" t="str">
        <f>IF($Z886="","",IF($Z886&lt;=2000,IF(INDEX(包装物料出入库明细!$R$4:$R$2003,$Z886-0)=0,"",INDEX(包装物料出入库明细!$R$4:$R$2003,$Z886-0)),IF($Z886&lt;=4000,IF(INDEX(周转筐出入库明细!$W$4:$W$2004,$Z886-2000)=0,"",INDEX(周转筐出入库明细!$W$4:$W$2004,$Z886-2000)),IF($Z886&lt;=5200,IF(INDEX(客户自备加工筐明细!$L$4:$L$1203,$Z886-4000)=0,"",INDEX(客户自备加工筐明细!$L$4:$L$1203,$Z886-4000)),IF($Z886&lt;=5800,IF(INDEX(次果筐明细!$P$4:$P$603,$Z886-5200)=0,"",INDEX(次果筐明细!$P$4:$P$603,$Z886-5200)),"")))))</f>
        <v/>
      </c>
      <c r="N886" s="16" t="str">
        <f>IF($Z886="","",IF($Z886&lt;=2000,"",IF($Z886&lt;=4000,IF(INDEX(周转筐出入库明细!$D$4:$D$2004,$Z886-2000)=0,"",INDEX(周转筐出入库明细!$D$4:$D$2004,$Z886-2000)),IF($Z886&lt;=5200,IF(INDEX(客户自备加工筐明细!$C$4:$C$1203,$Z886-4000)=0,"",INDEX(客户自备加工筐明细!$C$4:$C$1203,$Z886-4000)),IF($Z886&lt;=5800,IF(INDEX(次果筐明细!$D$4:$D$603,$Z886-5200)=0,"",INDEX(次果筐明细!$D$4:$D$603,$Z886-5200)),"")))))</f>
        <v/>
      </c>
      <c r="O886" s="40" t="str">
        <f>IF($Z886="","",IF($Z886&lt;=2000,"",IF($Z886&lt;=4000,IF(N(INDEX(周转筐出入库明细!$J$4:$J$2004,$Z886-2000))+N(INDEX(周转筐出入库明细!$K$4:$K$2004,$Z886-2000))=0,"",N(INDEX(周转筐出入库明细!$J$4:$J$2004,$Z886-2000))+N(INDEX(周转筐出入库明细!$K$4:$K$2004,$Z886-2000))),IF($Z886&lt;=5200,IF(N(INDEX(客户自备加工筐明细!$G$4:$G$1203,$Z886-4000))=0,"",N(INDEX(客户自备加工筐明细!$G$4:$G$1203,$Z886-4000))),IF($Z886&lt;=5800,IF(ISNUMBER(SEARCH("退",INDEX(次果筐明细!$F$4:$F$603,$Z886-5200)&amp;"")),"",IF(N(INDEX(次果筐明细!$G$4:$G$603,$Z886-5200))=0,"",N(INDEX(次果筐明细!$G$4:$G$603,$Z886-5200)))),"")))))</f>
        <v/>
      </c>
      <c r="P886" s="40" t="str">
        <f>IF($Z886="","",IF($Z886&lt;=2000,"",IF($Z886&lt;=4000,IF(N(INDEX(周转筐出入库明细!$I$4:$I$2004,$Z886-2000))=0,"",N(INDEX(周转筐出入库明细!$I$4:$I$2004,$Z886-2000))),IF($Z886&lt;=5200,"",IF($Z886&lt;=5800,IF(ISNUMBER(SEARCH("退",INDEX(次果筐明细!$F$4:$F$603,$Z886-5200)&amp;"")),IF(N(INDEX(次果筐明细!$G$4:$G$603,$Z886-5200))=0,"",N(INDEX(次果筐明细!$G$4:$G$603,$Z886-5200))),""),"")))))</f>
        <v/>
      </c>
      <c r="Q886" s="40" t="str">
        <f>IF($Z886="","",IF($Z886&lt;=2000,"",IF($Z886&lt;=4000,IF(N(INDEX(周转筐出入库明细!$H$4:$H$2004,$Z886-2000))=0,"",N(INDEX(周转筐出入库明细!$H$4:$H$2004,$Z886-2000))),IF($Z886&lt;=5200,IF(N(INDEX(客户自备加工筐明细!$F$4:$F$1203,$Z886-4000))=0,"",N(INDEX(客户自备加工筐明细!$F$4:$F$1203,$Z886-4000))),IF($Z886&lt;=5800,"","")))))</f>
        <v/>
      </c>
      <c r="R886" s="16" t="str">
        <f>IF($Z886="","",IF($Z886&lt;=2000,IF(INDEX(包装物料出入库明细!$O$4:$O$2003,$Z886-0)=0,"",INDEX(包装物料出入库明细!$O$4:$O$2003,$Z886-0)),IF($Z886&lt;=4000,IF(INDEX(周转筐出入库明细!$M$4:$M$2004,$Z886-2000)=0,"",INDEX(周转筐出入库明细!$M$4:$M$2004,$Z886-2000)),IF($Z886&lt;=5200,IF(INDEX(客户自备加工筐明细!$H$4:$H$1203,$Z886-4000)=0,"",INDEX(客户自备加工筐明细!$H$4:$H$1203,$Z886-4000)),IF($Z886&lt;=5800,IF(INDEX(次果筐明细!$H$4:$H$603,$Z886-5200)=0,"",INDEX(次果筐明细!$H$4:$H$603,$Z886-5200)),"")))))</f>
        <v/>
      </c>
      <c r="S886" s="22" t="str">
        <f t="shared" si="41"/>
        <v/>
      </c>
      <c r="Z886" s="10" t="str">
        <f>IFERROR(MATCH(ROW()-3,_自动清单!$CQ$4:$CQ$5803,0),"")</f>
        <v/>
      </c>
    </row>
    <row r="887" spans="1:26">
      <c r="A887" s="24" t="str">
        <f t="shared" si="39"/>
        <v/>
      </c>
      <c r="B887" s="38" t="str">
        <f>IF($Z887="","",IF($Z887&lt;=2000,IF(INDEX(包装物料出入库明细!$B$4:$B$2003,$Z887-0)=0,"",INDEX(包装物料出入库明细!$B$4:$B$2003,$Z887-0)),IF($Z887&lt;=4000,IF(INDEX(周转筐出入库明细!$B$4:$B$2004,$Z887-2000)=0,"",INDEX(周转筐出入库明细!$B$4:$B$2004,$Z887-2000)),IF($Z887&lt;=5200,IF(INDEX(客户自备加工筐明细!$B$4:$B$1203,$Z887-4000)=0,"",INDEX(客户自备加工筐明细!$B$4:$B$1203,$Z887-4000)),IF($Z887&lt;=5800,IF(INDEX(次果筐明细!$B$4:$B$603,$Z887-5200)=0,"",INDEX(次果筐明细!$B$4:$B$603,$Z887-5200)),"")))))</f>
        <v/>
      </c>
      <c r="C887" s="37" t="str">
        <f>IF($Z887="","",IF($Z887&lt;=2000,IF(INDEX(包装物料出入库明细!$D$4:$D$2003,$Z887-0)=0,"",INDEX(包装物料出入库明细!$D$4:$D$2003,$Z887-0)),IF($Z887&lt;=4000,IF(INDEX(周转筐出入库明细!$C$4:$C$2004,$Z887-2000)=0,"",INDEX(周转筐出入库明细!$C$4:$C$2004,$Z887-2000)),IF($Z887&lt;=5200,IF(INDEX(客户自备加工筐明细!$E$4:$E$1203,$Z887-4000)=0,"",INDEX(客户自备加工筐明细!$E$4:$E$1203,$Z887-4000)),IF($Z887&lt;=5800,IF(INDEX(次果筐明细!$C$4:$C$603,$Z887-5200)=0,"",INDEX(次果筐明细!$C$4:$C$603,$Z887-5200)),"")))))</f>
        <v/>
      </c>
      <c r="D887" s="37" t="str">
        <f>IF($Z887="","",IF($Z887&lt;=2000,"包装物料－"&amp;INDEX(包装物料出入库明细!$H$4:$H$2003,$Z887-0),IF($Z887&lt;=4000,"周转筐－"&amp;INDEX(周转筐出入库明细!$F$4:$F$2004,$Z887-2000),IF($Z887&lt;=5200,"客户自备筐－"&amp;INDEX(客户自备加工筐明细!$J$4:$J$1203,$Z887-4000),IF($Z887&lt;=5800,"次果筐/托盘－"&amp;INDEX(次果筐明细!$F$4:$F$603,$Z887-5200),"")))))</f>
        <v/>
      </c>
      <c r="E887" s="24" t="str">
        <f>IF($Z887="","",IF($Z887&lt;=2000,IF(INDEX(包装物料出入库明细!$C$4:$C$2003,$Z887-0)=0,"",INDEX(包装物料出入库明细!$C$4:$C$2003,$Z887-0)),IF($Z887&lt;=4000,IF(INDEX(周转筐出入库明细!$E$4:$E$2004,$Z887-2000)=0,"",INDEX(周转筐出入库明细!$E$4:$E$2004,$Z887-2000)),IF($Z887&lt;=5200,IF(INDEX(客户自备加工筐明细!$D$4:$D$1203,$Z887-4000)=0,"",INDEX(客户自备加工筐明细!$D$4:$D$1203,$Z887-4000)),IF($Z887&lt;=5800,IF(INDEX(次果筐明细!$E$4:$E$603,$Z887-5200)=0,"",INDEX(次果筐明细!$E$4:$E$603,$Z887-5200)),"")))))</f>
        <v/>
      </c>
      <c r="F887" s="24" t="str">
        <f>IF($Z887="","",IF($Z887&lt;=2000,IF(INDEX(包装物料出入库明细!$E$4:$E$2003,$Z887-0)=0,"",INDEX(包装物料出入库明细!$E$4:$E$2003,$Z887-0)),IF($Z887&lt;=4000,IF(INDEX(周转筐出入库明细!$D$4:$D$2004,$Z887-2000)=0,"",INDEX(周转筐出入库明细!$D$4:$D$2004,$Z887-2000)),IF($Z887&lt;=5200,IF(INDEX(客户自备加工筐明细!$C$4:$C$1203,$Z887-4000)=0,"",INDEX(客户自备加工筐明细!$C$4:$C$1203,$Z887-4000)),IF($Z887&lt;=5800,IF(INDEX(次果筐明细!$D$4:$D$603,$Z887-5200)=0,"",INDEX(次果筐明细!$D$4:$D$603,$Z887-5200)),"")))))</f>
        <v/>
      </c>
      <c r="G887" s="24" t="str">
        <f>IF($Z887="","",IF($Z887&lt;=2000,IF(INDEX(包装物料出入库明细!$F$4:$F$2003,$Z887-0)=0,"",INDEX(包装物料出入库明细!$F$4:$F$2003,$Z887-0)),IF($Z887&lt;=4000,"",IF($Z887&lt;=5200,"",IF($Z887&lt;=5800,"","")))))</f>
        <v/>
      </c>
      <c r="H887" s="39" t="str">
        <f>IF($Z887="","",IF($Z887&lt;=2000,IF(INDEX(包装物料出入库明细!$L$4:$L$2003,$Z887-0)=0,"",INDEX(包装物料出入库明细!$L$4:$L$2003,$Z887-0)),IF($Z887&lt;=4000,N(INDEX(周转筐出入库明细!$H$4:$H$2004,$Z887-2000))+N(INDEX(周转筐出入库明细!$I$4:$I$2004,$Z887-2000))+N(INDEX(周转筐出入库明细!$J$4:$J$2004,$Z887-2000))+N(INDEX(周转筐出入库明细!$K$4:$K$2004,$Z887-2000)),IF($Z887&lt;=5200,N(INDEX(客户自备加工筐明细!$F$4:$F$1203,$Z887-4000))+N(INDEX(客户自备加工筐明细!$G$4:$G$1203,$Z887-4000)),IF($Z887&lt;=5800,IF(INDEX(次果筐明细!$G$4:$G$603,$Z887-5200)=0,"",INDEX(次果筐明细!$G$4:$G$603,$Z887-5200)),"")))))</f>
        <v/>
      </c>
      <c r="I887" s="24" t="str">
        <f>IF($Z887="","",IF($Z887&lt;=2000,IF(INDEX(包装物料出入库明细!$G$4:$G$2003,$Z887-0)=0,"",INDEX(包装物料出入库明细!$G$4:$G$2003,$Z887-0)),IF($Z887&lt;=4000,"个",IF($Z887&lt;=5200,"个",IF($Z887&lt;=5800,"个","")))))</f>
        <v/>
      </c>
      <c r="J887" s="30" t="str">
        <f t="shared" si="40"/>
        <v/>
      </c>
      <c r="K887" s="30" t="str">
        <f>IF($Z887="","",IF($Z887&lt;=2000,IF(INDEX(包装物料出入库明细!$N$4:$N$2003,$Z887-0)=0,"",INDEX(包装物料出入库明细!$N$4:$N$2003,$Z887-0)),IF($Z887&lt;=4000,IF(INDEX(周转筐出入库明细!$P$4:$P$2004,$Z887-2000)=0,"",INDEX(周转筐出入库明细!$P$4:$P$2004,$Z887-2000)),IF($Z887&lt;=5200,"",IF($Z887&lt;=5800,N(INDEX(次果筐明细!$L$4:$L$603,$Z887-5200))+N(INDEX(次果筐明细!$J$4:$J$603,$Z887-5200)),"")))))</f>
        <v/>
      </c>
      <c r="L887" s="24" t="str">
        <f>IF($Z887="","",IF($Z887&lt;=2000,IF(INDEX(包装物料出入库明细!$P$4:$P$2003,$Z887-0)=0,"",INDEX(包装物料出入库明细!$P$4:$P$2003,$Z887-0)),IF($Z887&lt;=4000,IF(INDEX(周转筐出入库明细!$Q$4:$Q$2004,$Z887-2000)=0,"",INDEX(周转筐出入库明细!$Q$4:$Q$2004,$Z887-2000)),IF($Z887&lt;=5200,"",IF($Z887&lt;=5800,IF(INDEX(次果筐明细!$M$4:$M$603,$Z887-5200)=0,"",INDEX(次果筐明细!$M$4:$M$603,$Z887-5200)),"")))))</f>
        <v/>
      </c>
      <c r="M887" s="37" t="str">
        <f>IF($Z887="","",IF($Z887&lt;=2000,IF(INDEX(包装物料出入库明细!$R$4:$R$2003,$Z887-0)=0,"",INDEX(包装物料出入库明细!$R$4:$R$2003,$Z887-0)),IF($Z887&lt;=4000,IF(INDEX(周转筐出入库明细!$W$4:$W$2004,$Z887-2000)=0,"",INDEX(周转筐出入库明细!$W$4:$W$2004,$Z887-2000)),IF($Z887&lt;=5200,IF(INDEX(客户自备加工筐明细!$L$4:$L$1203,$Z887-4000)=0,"",INDEX(客户自备加工筐明细!$L$4:$L$1203,$Z887-4000)),IF($Z887&lt;=5800,IF(INDEX(次果筐明细!$P$4:$P$603,$Z887-5200)=0,"",INDEX(次果筐明细!$P$4:$P$603,$Z887-5200)),"")))))</f>
        <v/>
      </c>
      <c r="N887" s="16" t="str">
        <f>IF($Z887="","",IF($Z887&lt;=2000,"",IF($Z887&lt;=4000,IF(INDEX(周转筐出入库明细!$D$4:$D$2004,$Z887-2000)=0,"",INDEX(周转筐出入库明细!$D$4:$D$2004,$Z887-2000)),IF($Z887&lt;=5200,IF(INDEX(客户自备加工筐明细!$C$4:$C$1203,$Z887-4000)=0,"",INDEX(客户自备加工筐明细!$C$4:$C$1203,$Z887-4000)),IF($Z887&lt;=5800,IF(INDEX(次果筐明细!$D$4:$D$603,$Z887-5200)=0,"",INDEX(次果筐明细!$D$4:$D$603,$Z887-5200)),"")))))</f>
        <v/>
      </c>
      <c r="O887" s="40" t="str">
        <f>IF($Z887="","",IF($Z887&lt;=2000,"",IF($Z887&lt;=4000,IF(N(INDEX(周转筐出入库明细!$J$4:$J$2004,$Z887-2000))+N(INDEX(周转筐出入库明细!$K$4:$K$2004,$Z887-2000))=0,"",N(INDEX(周转筐出入库明细!$J$4:$J$2004,$Z887-2000))+N(INDEX(周转筐出入库明细!$K$4:$K$2004,$Z887-2000))),IF($Z887&lt;=5200,IF(N(INDEX(客户自备加工筐明细!$G$4:$G$1203,$Z887-4000))=0,"",N(INDEX(客户自备加工筐明细!$G$4:$G$1203,$Z887-4000))),IF($Z887&lt;=5800,IF(ISNUMBER(SEARCH("退",INDEX(次果筐明细!$F$4:$F$603,$Z887-5200)&amp;"")),"",IF(N(INDEX(次果筐明细!$G$4:$G$603,$Z887-5200))=0,"",N(INDEX(次果筐明细!$G$4:$G$603,$Z887-5200)))),"")))))</f>
        <v/>
      </c>
      <c r="P887" s="40" t="str">
        <f>IF($Z887="","",IF($Z887&lt;=2000,"",IF($Z887&lt;=4000,IF(N(INDEX(周转筐出入库明细!$I$4:$I$2004,$Z887-2000))=0,"",N(INDEX(周转筐出入库明细!$I$4:$I$2004,$Z887-2000))),IF($Z887&lt;=5200,"",IF($Z887&lt;=5800,IF(ISNUMBER(SEARCH("退",INDEX(次果筐明细!$F$4:$F$603,$Z887-5200)&amp;"")),IF(N(INDEX(次果筐明细!$G$4:$G$603,$Z887-5200))=0,"",N(INDEX(次果筐明细!$G$4:$G$603,$Z887-5200))),""),"")))))</f>
        <v/>
      </c>
      <c r="Q887" s="40" t="str">
        <f>IF($Z887="","",IF($Z887&lt;=2000,"",IF($Z887&lt;=4000,IF(N(INDEX(周转筐出入库明细!$H$4:$H$2004,$Z887-2000))=0,"",N(INDEX(周转筐出入库明细!$H$4:$H$2004,$Z887-2000))),IF($Z887&lt;=5200,IF(N(INDEX(客户自备加工筐明细!$F$4:$F$1203,$Z887-4000))=0,"",N(INDEX(客户自备加工筐明细!$F$4:$F$1203,$Z887-4000))),IF($Z887&lt;=5800,"","")))))</f>
        <v/>
      </c>
      <c r="R887" s="16" t="str">
        <f>IF($Z887="","",IF($Z887&lt;=2000,IF(INDEX(包装物料出入库明细!$O$4:$O$2003,$Z887-0)=0,"",INDEX(包装物料出入库明细!$O$4:$O$2003,$Z887-0)),IF($Z887&lt;=4000,IF(INDEX(周转筐出入库明细!$M$4:$M$2004,$Z887-2000)=0,"",INDEX(周转筐出入库明细!$M$4:$M$2004,$Z887-2000)),IF($Z887&lt;=5200,IF(INDEX(客户自备加工筐明细!$H$4:$H$1203,$Z887-4000)=0,"",INDEX(客户自备加工筐明细!$H$4:$H$1203,$Z887-4000)),IF($Z887&lt;=5800,IF(INDEX(次果筐明细!$H$4:$H$603,$Z887-5200)=0,"",INDEX(次果筐明细!$H$4:$H$603,$Z887-5200)),"")))))</f>
        <v/>
      </c>
      <c r="S887" s="22" t="str">
        <f t="shared" si="41"/>
        <v/>
      </c>
      <c r="Z887" s="10" t="str">
        <f>IFERROR(MATCH(ROW()-3,_自动清单!$CQ$4:$CQ$5803,0),"")</f>
        <v/>
      </c>
    </row>
    <row r="888" spans="1:26">
      <c r="A888" s="24" t="str">
        <f t="shared" si="39"/>
        <v/>
      </c>
      <c r="B888" s="38" t="str">
        <f>IF($Z888="","",IF($Z888&lt;=2000,IF(INDEX(包装物料出入库明细!$B$4:$B$2003,$Z888-0)=0,"",INDEX(包装物料出入库明细!$B$4:$B$2003,$Z888-0)),IF($Z888&lt;=4000,IF(INDEX(周转筐出入库明细!$B$4:$B$2004,$Z888-2000)=0,"",INDEX(周转筐出入库明细!$B$4:$B$2004,$Z888-2000)),IF($Z888&lt;=5200,IF(INDEX(客户自备加工筐明细!$B$4:$B$1203,$Z888-4000)=0,"",INDEX(客户自备加工筐明细!$B$4:$B$1203,$Z888-4000)),IF($Z888&lt;=5800,IF(INDEX(次果筐明细!$B$4:$B$603,$Z888-5200)=0,"",INDEX(次果筐明细!$B$4:$B$603,$Z888-5200)),"")))))</f>
        <v/>
      </c>
      <c r="C888" s="37" t="str">
        <f>IF($Z888="","",IF($Z888&lt;=2000,IF(INDEX(包装物料出入库明细!$D$4:$D$2003,$Z888-0)=0,"",INDEX(包装物料出入库明细!$D$4:$D$2003,$Z888-0)),IF($Z888&lt;=4000,IF(INDEX(周转筐出入库明细!$C$4:$C$2004,$Z888-2000)=0,"",INDEX(周转筐出入库明细!$C$4:$C$2004,$Z888-2000)),IF($Z888&lt;=5200,IF(INDEX(客户自备加工筐明细!$E$4:$E$1203,$Z888-4000)=0,"",INDEX(客户自备加工筐明细!$E$4:$E$1203,$Z888-4000)),IF($Z888&lt;=5800,IF(INDEX(次果筐明细!$C$4:$C$603,$Z888-5200)=0,"",INDEX(次果筐明细!$C$4:$C$603,$Z888-5200)),"")))))</f>
        <v/>
      </c>
      <c r="D888" s="37" t="str">
        <f>IF($Z888="","",IF($Z888&lt;=2000,"包装物料－"&amp;INDEX(包装物料出入库明细!$H$4:$H$2003,$Z888-0),IF($Z888&lt;=4000,"周转筐－"&amp;INDEX(周转筐出入库明细!$F$4:$F$2004,$Z888-2000),IF($Z888&lt;=5200,"客户自备筐－"&amp;INDEX(客户自备加工筐明细!$J$4:$J$1203,$Z888-4000),IF($Z888&lt;=5800,"次果筐/托盘－"&amp;INDEX(次果筐明细!$F$4:$F$603,$Z888-5200),"")))))</f>
        <v/>
      </c>
      <c r="E888" s="24" t="str">
        <f>IF($Z888="","",IF($Z888&lt;=2000,IF(INDEX(包装物料出入库明细!$C$4:$C$2003,$Z888-0)=0,"",INDEX(包装物料出入库明细!$C$4:$C$2003,$Z888-0)),IF($Z888&lt;=4000,IF(INDEX(周转筐出入库明细!$E$4:$E$2004,$Z888-2000)=0,"",INDEX(周转筐出入库明细!$E$4:$E$2004,$Z888-2000)),IF($Z888&lt;=5200,IF(INDEX(客户自备加工筐明细!$D$4:$D$1203,$Z888-4000)=0,"",INDEX(客户自备加工筐明细!$D$4:$D$1203,$Z888-4000)),IF($Z888&lt;=5800,IF(INDEX(次果筐明细!$E$4:$E$603,$Z888-5200)=0,"",INDEX(次果筐明细!$E$4:$E$603,$Z888-5200)),"")))))</f>
        <v/>
      </c>
      <c r="F888" s="24" t="str">
        <f>IF($Z888="","",IF($Z888&lt;=2000,IF(INDEX(包装物料出入库明细!$E$4:$E$2003,$Z888-0)=0,"",INDEX(包装物料出入库明细!$E$4:$E$2003,$Z888-0)),IF($Z888&lt;=4000,IF(INDEX(周转筐出入库明细!$D$4:$D$2004,$Z888-2000)=0,"",INDEX(周转筐出入库明细!$D$4:$D$2004,$Z888-2000)),IF($Z888&lt;=5200,IF(INDEX(客户自备加工筐明细!$C$4:$C$1203,$Z888-4000)=0,"",INDEX(客户自备加工筐明细!$C$4:$C$1203,$Z888-4000)),IF($Z888&lt;=5800,IF(INDEX(次果筐明细!$D$4:$D$603,$Z888-5200)=0,"",INDEX(次果筐明细!$D$4:$D$603,$Z888-5200)),"")))))</f>
        <v/>
      </c>
      <c r="G888" s="24" t="str">
        <f>IF($Z888="","",IF($Z888&lt;=2000,IF(INDEX(包装物料出入库明细!$F$4:$F$2003,$Z888-0)=0,"",INDEX(包装物料出入库明细!$F$4:$F$2003,$Z888-0)),IF($Z888&lt;=4000,"",IF($Z888&lt;=5200,"",IF($Z888&lt;=5800,"","")))))</f>
        <v/>
      </c>
      <c r="H888" s="39" t="str">
        <f>IF($Z888="","",IF($Z888&lt;=2000,IF(INDEX(包装物料出入库明细!$L$4:$L$2003,$Z888-0)=0,"",INDEX(包装物料出入库明细!$L$4:$L$2003,$Z888-0)),IF($Z888&lt;=4000,N(INDEX(周转筐出入库明细!$H$4:$H$2004,$Z888-2000))+N(INDEX(周转筐出入库明细!$I$4:$I$2004,$Z888-2000))+N(INDEX(周转筐出入库明细!$J$4:$J$2004,$Z888-2000))+N(INDEX(周转筐出入库明细!$K$4:$K$2004,$Z888-2000)),IF($Z888&lt;=5200,N(INDEX(客户自备加工筐明细!$F$4:$F$1203,$Z888-4000))+N(INDEX(客户自备加工筐明细!$G$4:$G$1203,$Z888-4000)),IF($Z888&lt;=5800,IF(INDEX(次果筐明细!$G$4:$G$603,$Z888-5200)=0,"",INDEX(次果筐明细!$G$4:$G$603,$Z888-5200)),"")))))</f>
        <v/>
      </c>
      <c r="I888" s="24" t="str">
        <f>IF($Z888="","",IF($Z888&lt;=2000,IF(INDEX(包装物料出入库明细!$G$4:$G$2003,$Z888-0)=0,"",INDEX(包装物料出入库明细!$G$4:$G$2003,$Z888-0)),IF($Z888&lt;=4000,"个",IF($Z888&lt;=5200,"个",IF($Z888&lt;=5800,"个","")))))</f>
        <v/>
      </c>
      <c r="J888" s="30" t="str">
        <f t="shared" si="40"/>
        <v/>
      </c>
      <c r="K888" s="30" t="str">
        <f>IF($Z888="","",IF($Z888&lt;=2000,IF(INDEX(包装物料出入库明细!$N$4:$N$2003,$Z888-0)=0,"",INDEX(包装物料出入库明细!$N$4:$N$2003,$Z888-0)),IF($Z888&lt;=4000,IF(INDEX(周转筐出入库明细!$P$4:$P$2004,$Z888-2000)=0,"",INDEX(周转筐出入库明细!$P$4:$P$2004,$Z888-2000)),IF($Z888&lt;=5200,"",IF($Z888&lt;=5800,N(INDEX(次果筐明细!$L$4:$L$603,$Z888-5200))+N(INDEX(次果筐明细!$J$4:$J$603,$Z888-5200)),"")))))</f>
        <v/>
      </c>
      <c r="L888" s="24" t="str">
        <f>IF($Z888="","",IF($Z888&lt;=2000,IF(INDEX(包装物料出入库明细!$P$4:$P$2003,$Z888-0)=0,"",INDEX(包装物料出入库明细!$P$4:$P$2003,$Z888-0)),IF($Z888&lt;=4000,IF(INDEX(周转筐出入库明细!$Q$4:$Q$2004,$Z888-2000)=0,"",INDEX(周转筐出入库明细!$Q$4:$Q$2004,$Z888-2000)),IF($Z888&lt;=5200,"",IF($Z888&lt;=5800,IF(INDEX(次果筐明细!$M$4:$M$603,$Z888-5200)=0,"",INDEX(次果筐明细!$M$4:$M$603,$Z888-5200)),"")))))</f>
        <v/>
      </c>
      <c r="M888" s="37" t="str">
        <f>IF($Z888="","",IF($Z888&lt;=2000,IF(INDEX(包装物料出入库明细!$R$4:$R$2003,$Z888-0)=0,"",INDEX(包装物料出入库明细!$R$4:$R$2003,$Z888-0)),IF($Z888&lt;=4000,IF(INDEX(周转筐出入库明细!$W$4:$W$2004,$Z888-2000)=0,"",INDEX(周转筐出入库明细!$W$4:$W$2004,$Z888-2000)),IF($Z888&lt;=5200,IF(INDEX(客户自备加工筐明细!$L$4:$L$1203,$Z888-4000)=0,"",INDEX(客户自备加工筐明细!$L$4:$L$1203,$Z888-4000)),IF($Z888&lt;=5800,IF(INDEX(次果筐明细!$P$4:$P$603,$Z888-5200)=0,"",INDEX(次果筐明细!$P$4:$P$603,$Z888-5200)),"")))))</f>
        <v/>
      </c>
      <c r="N888" s="16" t="str">
        <f>IF($Z888="","",IF($Z888&lt;=2000,"",IF($Z888&lt;=4000,IF(INDEX(周转筐出入库明细!$D$4:$D$2004,$Z888-2000)=0,"",INDEX(周转筐出入库明细!$D$4:$D$2004,$Z888-2000)),IF($Z888&lt;=5200,IF(INDEX(客户自备加工筐明细!$C$4:$C$1203,$Z888-4000)=0,"",INDEX(客户自备加工筐明细!$C$4:$C$1203,$Z888-4000)),IF($Z888&lt;=5800,IF(INDEX(次果筐明细!$D$4:$D$603,$Z888-5200)=0,"",INDEX(次果筐明细!$D$4:$D$603,$Z888-5200)),"")))))</f>
        <v/>
      </c>
      <c r="O888" s="40" t="str">
        <f>IF($Z888="","",IF($Z888&lt;=2000,"",IF($Z888&lt;=4000,IF(N(INDEX(周转筐出入库明细!$J$4:$J$2004,$Z888-2000))+N(INDEX(周转筐出入库明细!$K$4:$K$2004,$Z888-2000))=0,"",N(INDEX(周转筐出入库明细!$J$4:$J$2004,$Z888-2000))+N(INDEX(周转筐出入库明细!$K$4:$K$2004,$Z888-2000))),IF($Z888&lt;=5200,IF(N(INDEX(客户自备加工筐明细!$G$4:$G$1203,$Z888-4000))=0,"",N(INDEX(客户自备加工筐明细!$G$4:$G$1203,$Z888-4000))),IF($Z888&lt;=5800,IF(ISNUMBER(SEARCH("退",INDEX(次果筐明细!$F$4:$F$603,$Z888-5200)&amp;"")),"",IF(N(INDEX(次果筐明细!$G$4:$G$603,$Z888-5200))=0,"",N(INDEX(次果筐明细!$G$4:$G$603,$Z888-5200)))),"")))))</f>
        <v/>
      </c>
      <c r="P888" s="40" t="str">
        <f>IF($Z888="","",IF($Z888&lt;=2000,"",IF($Z888&lt;=4000,IF(N(INDEX(周转筐出入库明细!$I$4:$I$2004,$Z888-2000))=0,"",N(INDEX(周转筐出入库明细!$I$4:$I$2004,$Z888-2000))),IF($Z888&lt;=5200,"",IF($Z888&lt;=5800,IF(ISNUMBER(SEARCH("退",INDEX(次果筐明细!$F$4:$F$603,$Z888-5200)&amp;"")),IF(N(INDEX(次果筐明细!$G$4:$G$603,$Z888-5200))=0,"",N(INDEX(次果筐明细!$G$4:$G$603,$Z888-5200))),""),"")))))</f>
        <v/>
      </c>
      <c r="Q888" s="40" t="str">
        <f>IF($Z888="","",IF($Z888&lt;=2000,"",IF($Z888&lt;=4000,IF(N(INDEX(周转筐出入库明细!$H$4:$H$2004,$Z888-2000))=0,"",N(INDEX(周转筐出入库明细!$H$4:$H$2004,$Z888-2000))),IF($Z888&lt;=5200,IF(N(INDEX(客户自备加工筐明细!$F$4:$F$1203,$Z888-4000))=0,"",N(INDEX(客户自备加工筐明细!$F$4:$F$1203,$Z888-4000))),IF($Z888&lt;=5800,"","")))))</f>
        <v/>
      </c>
      <c r="R888" s="16" t="str">
        <f>IF($Z888="","",IF($Z888&lt;=2000,IF(INDEX(包装物料出入库明细!$O$4:$O$2003,$Z888-0)=0,"",INDEX(包装物料出入库明细!$O$4:$O$2003,$Z888-0)),IF($Z888&lt;=4000,IF(INDEX(周转筐出入库明细!$M$4:$M$2004,$Z888-2000)=0,"",INDEX(周转筐出入库明细!$M$4:$M$2004,$Z888-2000)),IF($Z888&lt;=5200,IF(INDEX(客户自备加工筐明细!$H$4:$H$1203,$Z888-4000)=0,"",INDEX(客户自备加工筐明细!$H$4:$H$1203,$Z888-4000)),IF($Z888&lt;=5800,IF(INDEX(次果筐明细!$H$4:$H$603,$Z888-5200)=0,"",INDEX(次果筐明细!$H$4:$H$603,$Z888-5200)),"")))))</f>
        <v/>
      </c>
      <c r="S888" s="22" t="str">
        <f t="shared" si="41"/>
        <v/>
      </c>
      <c r="Z888" s="10" t="str">
        <f>IFERROR(MATCH(ROW()-3,_自动清单!$CQ$4:$CQ$5803,0),"")</f>
        <v/>
      </c>
    </row>
    <row r="889" spans="1:26">
      <c r="A889" s="24" t="str">
        <f t="shared" si="39"/>
        <v/>
      </c>
      <c r="B889" s="38" t="str">
        <f>IF($Z889="","",IF($Z889&lt;=2000,IF(INDEX(包装物料出入库明细!$B$4:$B$2003,$Z889-0)=0,"",INDEX(包装物料出入库明细!$B$4:$B$2003,$Z889-0)),IF($Z889&lt;=4000,IF(INDEX(周转筐出入库明细!$B$4:$B$2004,$Z889-2000)=0,"",INDEX(周转筐出入库明细!$B$4:$B$2004,$Z889-2000)),IF($Z889&lt;=5200,IF(INDEX(客户自备加工筐明细!$B$4:$B$1203,$Z889-4000)=0,"",INDEX(客户自备加工筐明细!$B$4:$B$1203,$Z889-4000)),IF($Z889&lt;=5800,IF(INDEX(次果筐明细!$B$4:$B$603,$Z889-5200)=0,"",INDEX(次果筐明细!$B$4:$B$603,$Z889-5200)),"")))))</f>
        <v/>
      </c>
      <c r="C889" s="37" t="str">
        <f>IF($Z889="","",IF($Z889&lt;=2000,IF(INDEX(包装物料出入库明细!$D$4:$D$2003,$Z889-0)=0,"",INDEX(包装物料出入库明细!$D$4:$D$2003,$Z889-0)),IF($Z889&lt;=4000,IF(INDEX(周转筐出入库明细!$C$4:$C$2004,$Z889-2000)=0,"",INDEX(周转筐出入库明细!$C$4:$C$2004,$Z889-2000)),IF($Z889&lt;=5200,IF(INDEX(客户自备加工筐明细!$E$4:$E$1203,$Z889-4000)=0,"",INDEX(客户自备加工筐明细!$E$4:$E$1203,$Z889-4000)),IF($Z889&lt;=5800,IF(INDEX(次果筐明细!$C$4:$C$603,$Z889-5200)=0,"",INDEX(次果筐明细!$C$4:$C$603,$Z889-5200)),"")))))</f>
        <v/>
      </c>
      <c r="D889" s="37" t="str">
        <f>IF($Z889="","",IF($Z889&lt;=2000,"包装物料－"&amp;INDEX(包装物料出入库明细!$H$4:$H$2003,$Z889-0),IF($Z889&lt;=4000,"周转筐－"&amp;INDEX(周转筐出入库明细!$F$4:$F$2004,$Z889-2000),IF($Z889&lt;=5200,"客户自备筐－"&amp;INDEX(客户自备加工筐明细!$J$4:$J$1203,$Z889-4000),IF($Z889&lt;=5800,"次果筐/托盘－"&amp;INDEX(次果筐明细!$F$4:$F$603,$Z889-5200),"")))))</f>
        <v/>
      </c>
      <c r="E889" s="24" t="str">
        <f>IF($Z889="","",IF($Z889&lt;=2000,IF(INDEX(包装物料出入库明细!$C$4:$C$2003,$Z889-0)=0,"",INDEX(包装物料出入库明细!$C$4:$C$2003,$Z889-0)),IF($Z889&lt;=4000,IF(INDEX(周转筐出入库明细!$E$4:$E$2004,$Z889-2000)=0,"",INDEX(周转筐出入库明细!$E$4:$E$2004,$Z889-2000)),IF($Z889&lt;=5200,IF(INDEX(客户自备加工筐明细!$D$4:$D$1203,$Z889-4000)=0,"",INDEX(客户自备加工筐明细!$D$4:$D$1203,$Z889-4000)),IF($Z889&lt;=5800,IF(INDEX(次果筐明细!$E$4:$E$603,$Z889-5200)=0,"",INDEX(次果筐明细!$E$4:$E$603,$Z889-5200)),"")))))</f>
        <v/>
      </c>
      <c r="F889" s="24" t="str">
        <f>IF($Z889="","",IF($Z889&lt;=2000,IF(INDEX(包装物料出入库明细!$E$4:$E$2003,$Z889-0)=0,"",INDEX(包装物料出入库明细!$E$4:$E$2003,$Z889-0)),IF($Z889&lt;=4000,IF(INDEX(周转筐出入库明细!$D$4:$D$2004,$Z889-2000)=0,"",INDEX(周转筐出入库明细!$D$4:$D$2004,$Z889-2000)),IF($Z889&lt;=5200,IF(INDEX(客户自备加工筐明细!$C$4:$C$1203,$Z889-4000)=0,"",INDEX(客户自备加工筐明细!$C$4:$C$1203,$Z889-4000)),IF($Z889&lt;=5800,IF(INDEX(次果筐明细!$D$4:$D$603,$Z889-5200)=0,"",INDEX(次果筐明细!$D$4:$D$603,$Z889-5200)),"")))))</f>
        <v/>
      </c>
      <c r="G889" s="24" t="str">
        <f>IF($Z889="","",IF($Z889&lt;=2000,IF(INDEX(包装物料出入库明细!$F$4:$F$2003,$Z889-0)=0,"",INDEX(包装物料出入库明细!$F$4:$F$2003,$Z889-0)),IF($Z889&lt;=4000,"",IF($Z889&lt;=5200,"",IF($Z889&lt;=5800,"","")))))</f>
        <v/>
      </c>
      <c r="H889" s="39" t="str">
        <f>IF($Z889="","",IF($Z889&lt;=2000,IF(INDEX(包装物料出入库明细!$L$4:$L$2003,$Z889-0)=0,"",INDEX(包装物料出入库明细!$L$4:$L$2003,$Z889-0)),IF($Z889&lt;=4000,N(INDEX(周转筐出入库明细!$H$4:$H$2004,$Z889-2000))+N(INDEX(周转筐出入库明细!$I$4:$I$2004,$Z889-2000))+N(INDEX(周转筐出入库明细!$J$4:$J$2004,$Z889-2000))+N(INDEX(周转筐出入库明细!$K$4:$K$2004,$Z889-2000)),IF($Z889&lt;=5200,N(INDEX(客户自备加工筐明细!$F$4:$F$1203,$Z889-4000))+N(INDEX(客户自备加工筐明细!$G$4:$G$1203,$Z889-4000)),IF($Z889&lt;=5800,IF(INDEX(次果筐明细!$G$4:$G$603,$Z889-5200)=0,"",INDEX(次果筐明细!$G$4:$G$603,$Z889-5200)),"")))))</f>
        <v/>
      </c>
      <c r="I889" s="24" t="str">
        <f>IF($Z889="","",IF($Z889&lt;=2000,IF(INDEX(包装物料出入库明细!$G$4:$G$2003,$Z889-0)=0,"",INDEX(包装物料出入库明细!$G$4:$G$2003,$Z889-0)),IF($Z889&lt;=4000,"个",IF($Z889&lt;=5200,"个",IF($Z889&lt;=5800,"个","")))))</f>
        <v/>
      </c>
      <c r="J889" s="30" t="str">
        <f t="shared" si="40"/>
        <v/>
      </c>
      <c r="K889" s="30" t="str">
        <f>IF($Z889="","",IF($Z889&lt;=2000,IF(INDEX(包装物料出入库明细!$N$4:$N$2003,$Z889-0)=0,"",INDEX(包装物料出入库明细!$N$4:$N$2003,$Z889-0)),IF($Z889&lt;=4000,IF(INDEX(周转筐出入库明细!$P$4:$P$2004,$Z889-2000)=0,"",INDEX(周转筐出入库明细!$P$4:$P$2004,$Z889-2000)),IF($Z889&lt;=5200,"",IF($Z889&lt;=5800,N(INDEX(次果筐明细!$L$4:$L$603,$Z889-5200))+N(INDEX(次果筐明细!$J$4:$J$603,$Z889-5200)),"")))))</f>
        <v/>
      </c>
      <c r="L889" s="24" t="str">
        <f>IF($Z889="","",IF($Z889&lt;=2000,IF(INDEX(包装物料出入库明细!$P$4:$P$2003,$Z889-0)=0,"",INDEX(包装物料出入库明细!$P$4:$P$2003,$Z889-0)),IF($Z889&lt;=4000,IF(INDEX(周转筐出入库明细!$Q$4:$Q$2004,$Z889-2000)=0,"",INDEX(周转筐出入库明细!$Q$4:$Q$2004,$Z889-2000)),IF($Z889&lt;=5200,"",IF($Z889&lt;=5800,IF(INDEX(次果筐明细!$M$4:$M$603,$Z889-5200)=0,"",INDEX(次果筐明细!$M$4:$M$603,$Z889-5200)),"")))))</f>
        <v/>
      </c>
      <c r="M889" s="37" t="str">
        <f>IF($Z889="","",IF($Z889&lt;=2000,IF(INDEX(包装物料出入库明细!$R$4:$R$2003,$Z889-0)=0,"",INDEX(包装物料出入库明细!$R$4:$R$2003,$Z889-0)),IF($Z889&lt;=4000,IF(INDEX(周转筐出入库明细!$W$4:$W$2004,$Z889-2000)=0,"",INDEX(周转筐出入库明细!$W$4:$W$2004,$Z889-2000)),IF($Z889&lt;=5200,IF(INDEX(客户自备加工筐明细!$L$4:$L$1203,$Z889-4000)=0,"",INDEX(客户自备加工筐明细!$L$4:$L$1203,$Z889-4000)),IF($Z889&lt;=5800,IF(INDEX(次果筐明细!$P$4:$P$603,$Z889-5200)=0,"",INDEX(次果筐明细!$P$4:$P$603,$Z889-5200)),"")))))</f>
        <v/>
      </c>
      <c r="N889" s="16" t="str">
        <f>IF($Z889="","",IF($Z889&lt;=2000,"",IF($Z889&lt;=4000,IF(INDEX(周转筐出入库明细!$D$4:$D$2004,$Z889-2000)=0,"",INDEX(周转筐出入库明细!$D$4:$D$2004,$Z889-2000)),IF($Z889&lt;=5200,IF(INDEX(客户自备加工筐明细!$C$4:$C$1203,$Z889-4000)=0,"",INDEX(客户自备加工筐明细!$C$4:$C$1203,$Z889-4000)),IF($Z889&lt;=5800,IF(INDEX(次果筐明细!$D$4:$D$603,$Z889-5200)=0,"",INDEX(次果筐明细!$D$4:$D$603,$Z889-5200)),"")))))</f>
        <v/>
      </c>
      <c r="O889" s="40" t="str">
        <f>IF($Z889="","",IF($Z889&lt;=2000,"",IF($Z889&lt;=4000,IF(N(INDEX(周转筐出入库明细!$J$4:$J$2004,$Z889-2000))+N(INDEX(周转筐出入库明细!$K$4:$K$2004,$Z889-2000))=0,"",N(INDEX(周转筐出入库明细!$J$4:$J$2004,$Z889-2000))+N(INDEX(周转筐出入库明细!$K$4:$K$2004,$Z889-2000))),IF($Z889&lt;=5200,IF(N(INDEX(客户自备加工筐明细!$G$4:$G$1203,$Z889-4000))=0,"",N(INDEX(客户自备加工筐明细!$G$4:$G$1203,$Z889-4000))),IF($Z889&lt;=5800,IF(ISNUMBER(SEARCH("退",INDEX(次果筐明细!$F$4:$F$603,$Z889-5200)&amp;"")),"",IF(N(INDEX(次果筐明细!$G$4:$G$603,$Z889-5200))=0,"",N(INDEX(次果筐明细!$G$4:$G$603,$Z889-5200)))),"")))))</f>
        <v/>
      </c>
      <c r="P889" s="40" t="str">
        <f>IF($Z889="","",IF($Z889&lt;=2000,"",IF($Z889&lt;=4000,IF(N(INDEX(周转筐出入库明细!$I$4:$I$2004,$Z889-2000))=0,"",N(INDEX(周转筐出入库明细!$I$4:$I$2004,$Z889-2000))),IF($Z889&lt;=5200,"",IF($Z889&lt;=5800,IF(ISNUMBER(SEARCH("退",INDEX(次果筐明细!$F$4:$F$603,$Z889-5200)&amp;"")),IF(N(INDEX(次果筐明细!$G$4:$G$603,$Z889-5200))=0,"",N(INDEX(次果筐明细!$G$4:$G$603,$Z889-5200))),""),"")))))</f>
        <v/>
      </c>
      <c r="Q889" s="40" t="str">
        <f>IF($Z889="","",IF($Z889&lt;=2000,"",IF($Z889&lt;=4000,IF(N(INDEX(周转筐出入库明细!$H$4:$H$2004,$Z889-2000))=0,"",N(INDEX(周转筐出入库明细!$H$4:$H$2004,$Z889-2000))),IF($Z889&lt;=5200,IF(N(INDEX(客户自备加工筐明细!$F$4:$F$1203,$Z889-4000))=0,"",N(INDEX(客户自备加工筐明细!$F$4:$F$1203,$Z889-4000))),IF($Z889&lt;=5800,"","")))))</f>
        <v/>
      </c>
      <c r="R889" s="16" t="str">
        <f>IF($Z889="","",IF($Z889&lt;=2000,IF(INDEX(包装物料出入库明细!$O$4:$O$2003,$Z889-0)=0,"",INDEX(包装物料出入库明细!$O$4:$O$2003,$Z889-0)),IF($Z889&lt;=4000,IF(INDEX(周转筐出入库明细!$M$4:$M$2004,$Z889-2000)=0,"",INDEX(周转筐出入库明细!$M$4:$M$2004,$Z889-2000)),IF($Z889&lt;=5200,IF(INDEX(客户自备加工筐明细!$H$4:$H$1203,$Z889-4000)=0,"",INDEX(客户自备加工筐明细!$H$4:$H$1203,$Z889-4000)),IF($Z889&lt;=5800,IF(INDEX(次果筐明细!$H$4:$H$603,$Z889-5200)=0,"",INDEX(次果筐明细!$H$4:$H$603,$Z889-5200)),"")))))</f>
        <v/>
      </c>
      <c r="S889" s="22" t="str">
        <f t="shared" si="41"/>
        <v/>
      </c>
      <c r="Z889" s="10" t="str">
        <f>IFERROR(MATCH(ROW()-3,_自动清单!$CQ$4:$CQ$5803,0),"")</f>
        <v/>
      </c>
    </row>
    <row r="890" spans="1:26">
      <c r="A890" s="24" t="str">
        <f t="shared" si="39"/>
        <v/>
      </c>
      <c r="B890" s="38" t="str">
        <f>IF($Z890="","",IF($Z890&lt;=2000,IF(INDEX(包装物料出入库明细!$B$4:$B$2003,$Z890-0)=0,"",INDEX(包装物料出入库明细!$B$4:$B$2003,$Z890-0)),IF($Z890&lt;=4000,IF(INDEX(周转筐出入库明细!$B$4:$B$2004,$Z890-2000)=0,"",INDEX(周转筐出入库明细!$B$4:$B$2004,$Z890-2000)),IF($Z890&lt;=5200,IF(INDEX(客户自备加工筐明细!$B$4:$B$1203,$Z890-4000)=0,"",INDEX(客户自备加工筐明细!$B$4:$B$1203,$Z890-4000)),IF($Z890&lt;=5800,IF(INDEX(次果筐明细!$B$4:$B$603,$Z890-5200)=0,"",INDEX(次果筐明细!$B$4:$B$603,$Z890-5200)),"")))))</f>
        <v/>
      </c>
      <c r="C890" s="37" t="str">
        <f>IF($Z890="","",IF($Z890&lt;=2000,IF(INDEX(包装物料出入库明细!$D$4:$D$2003,$Z890-0)=0,"",INDEX(包装物料出入库明细!$D$4:$D$2003,$Z890-0)),IF($Z890&lt;=4000,IF(INDEX(周转筐出入库明细!$C$4:$C$2004,$Z890-2000)=0,"",INDEX(周转筐出入库明细!$C$4:$C$2004,$Z890-2000)),IF($Z890&lt;=5200,IF(INDEX(客户自备加工筐明细!$E$4:$E$1203,$Z890-4000)=0,"",INDEX(客户自备加工筐明细!$E$4:$E$1203,$Z890-4000)),IF($Z890&lt;=5800,IF(INDEX(次果筐明细!$C$4:$C$603,$Z890-5200)=0,"",INDEX(次果筐明细!$C$4:$C$603,$Z890-5200)),"")))))</f>
        <v/>
      </c>
      <c r="D890" s="37" t="str">
        <f>IF($Z890="","",IF($Z890&lt;=2000,"包装物料－"&amp;INDEX(包装物料出入库明细!$H$4:$H$2003,$Z890-0),IF($Z890&lt;=4000,"周转筐－"&amp;INDEX(周转筐出入库明细!$F$4:$F$2004,$Z890-2000),IF($Z890&lt;=5200,"客户自备筐－"&amp;INDEX(客户自备加工筐明细!$J$4:$J$1203,$Z890-4000),IF($Z890&lt;=5800,"次果筐/托盘－"&amp;INDEX(次果筐明细!$F$4:$F$603,$Z890-5200),"")))))</f>
        <v/>
      </c>
      <c r="E890" s="24" t="str">
        <f>IF($Z890="","",IF($Z890&lt;=2000,IF(INDEX(包装物料出入库明细!$C$4:$C$2003,$Z890-0)=0,"",INDEX(包装物料出入库明细!$C$4:$C$2003,$Z890-0)),IF($Z890&lt;=4000,IF(INDEX(周转筐出入库明细!$E$4:$E$2004,$Z890-2000)=0,"",INDEX(周转筐出入库明细!$E$4:$E$2004,$Z890-2000)),IF($Z890&lt;=5200,IF(INDEX(客户自备加工筐明细!$D$4:$D$1203,$Z890-4000)=0,"",INDEX(客户自备加工筐明细!$D$4:$D$1203,$Z890-4000)),IF($Z890&lt;=5800,IF(INDEX(次果筐明细!$E$4:$E$603,$Z890-5200)=0,"",INDEX(次果筐明细!$E$4:$E$603,$Z890-5200)),"")))))</f>
        <v/>
      </c>
      <c r="F890" s="24" t="str">
        <f>IF($Z890="","",IF($Z890&lt;=2000,IF(INDEX(包装物料出入库明细!$E$4:$E$2003,$Z890-0)=0,"",INDEX(包装物料出入库明细!$E$4:$E$2003,$Z890-0)),IF($Z890&lt;=4000,IF(INDEX(周转筐出入库明细!$D$4:$D$2004,$Z890-2000)=0,"",INDEX(周转筐出入库明细!$D$4:$D$2004,$Z890-2000)),IF($Z890&lt;=5200,IF(INDEX(客户自备加工筐明细!$C$4:$C$1203,$Z890-4000)=0,"",INDEX(客户自备加工筐明细!$C$4:$C$1203,$Z890-4000)),IF($Z890&lt;=5800,IF(INDEX(次果筐明细!$D$4:$D$603,$Z890-5200)=0,"",INDEX(次果筐明细!$D$4:$D$603,$Z890-5200)),"")))))</f>
        <v/>
      </c>
      <c r="G890" s="24" t="str">
        <f>IF($Z890="","",IF($Z890&lt;=2000,IF(INDEX(包装物料出入库明细!$F$4:$F$2003,$Z890-0)=0,"",INDEX(包装物料出入库明细!$F$4:$F$2003,$Z890-0)),IF($Z890&lt;=4000,"",IF($Z890&lt;=5200,"",IF($Z890&lt;=5800,"","")))))</f>
        <v/>
      </c>
      <c r="H890" s="39" t="str">
        <f>IF($Z890="","",IF($Z890&lt;=2000,IF(INDEX(包装物料出入库明细!$L$4:$L$2003,$Z890-0)=0,"",INDEX(包装物料出入库明细!$L$4:$L$2003,$Z890-0)),IF($Z890&lt;=4000,N(INDEX(周转筐出入库明细!$H$4:$H$2004,$Z890-2000))+N(INDEX(周转筐出入库明细!$I$4:$I$2004,$Z890-2000))+N(INDEX(周转筐出入库明细!$J$4:$J$2004,$Z890-2000))+N(INDEX(周转筐出入库明细!$K$4:$K$2004,$Z890-2000)),IF($Z890&lt;=5200,N(INDEX(客户自备加工筐明细!$F$4:$F$1203,$Z890-4000))+N(INDEX(客户自备加工筐明细!$G$4:$G$1203,$Z890-4000)),IF($Z890&lt;=5800,IF(INDEX(次果筐明细!$G$4:$G$603,$Z890-5200)=0,"",INDEX(次果筐明细!$G$4:$G$603,$Z890-5200)),"")))))</f>
        <v/>
      </c>
      <c r="I890" s="24" t="str">
        <f>IF($Z890="","",IF($Z890&lt;=2000,IF(INDEX(包装物料出入库明细!$G$4:$G$2003,$Z890-0)=0,"",INDEX(包装物料出入库明细!$G$4:$G$2003,$Z890-0)),IF($Z890&lt;=4000,"个",IF($Z890&lt;=5200,"个",IF($Z890&lt;=5800,"个","")))))</f>
        <v/>
      </c>
      <c r="J890" s="30" t="str">
        <f t="shared" si="40"/>
        <v/>
      </c>
      <c r="K890" s="30" t="str">
        <f>IF($Z890="","",IF($Z890&lt;=2000,IF(INDEX(包装物料出入库明细!$N$4:$N$2003,$Z890-0)=0,"",INDEX(包装物料出入库明细!$N$4:$N$2003,$Z890-0)),IF($Z890&lt;=4000,IF(INDEX(周转筐出入库明细!$P$4:$P$2004,$Z890-2000)=0,"",INDEX(周转筐出入库明细!$P$4:$P$2004,$Z890-2000)),IF($Z890&lt;=5200,"",IF($Z890&lt;=5800,N(INDEX(次果筐明细!$L$4:$L$603,$Z890-5200))+N(INDEX(次果筐明细!$J$4:$J$603,$Z890-5200)),"")))))</f>
        <v/>
      </c>
      <c r="L890" s="24" t="str">
        <f>IF($Z890="","",IF($Z890&lt;=2000,IF(INDEX(包装物料出入库明细!$P$4:$P$2003,$Z890-0)=0,"",INDEX(包装物料出入库明细!$P$4:$P$2003,$Z890-0)),IF($Z890&lt;=4000,IF(INDEX(周转筐出入库明细!$Q$4:$Q$2004,$Z890-2000)=0,"",INDEX(周转筐出入库明细!$Q$4:$Q$2004,$Z890-2000)),IF($Z890&lt;=5200,"",IF($Z890&lt;=5800,IF(INDEX(次果筐明细!$M$4:$M$603,$Z890-5200)=0,"",INDEX(次果筐明细!$M$4:$M$603,$Z890-5200)),"")))))</f>
        <v/>
      </c>
      <c r="M890" s="37" t="str">
        <f>IF($Z890="","",IF($Z890&lt;=2000,IF(INDEX(包装物料出入库明细!$R$4:$R$2003,$Z890-0)=0,"",INDEX(包装物料出入库明细!$R$4:$R$2003,$Z890-0)),IF($Z890&lt;=4000,IF(INDEX(周转筐出入库明细!$W$4:$W$2004,$Z890-2000)=0,"",INDEX(周转筐出入库明细!$W$4:$W$2004,$Z890-2000)),IF($Z890&lt;=5200,IF(INDEX(客户自备加工筐明细!$L$4:$L$1203,$Z890-4000)=0,"",INDEX(客户自备加工筐明细!$L$4:$L$1203,$Z890-4000)),IF($Z890&lt;=5800,IF(INDEX(次果筐明细!$P$4:$P$603,$Z890-5200)=0,"",INDEX(次果筐明细!$P$4:$P$603,$Z890-5200)),"")))))</f>
        <v/>
      </c>
      <c r="N890" s="16" t="str">
        <f>IF($Z890="","",IF($Z890&lt;=2000,"",IF($Z890&lt;=4000,IF(INDEX(周转筐出入库明细!$D$4:$D$2004,$Z890-2000)=0,"",INDEX(周转筐出入库明细!$D$4:$D$2004,$Z890-2000)),IF($Z890&lt;=5200,IF(INDEX(客户自备加工筐明细!$C$4:$C$1203,$Z890-4000)=0,"",INDEX(客户自备加工筐明细!$C$4:$C$1203,$Z890-4000)),IF($Z890&lt;=5800,IF(INDEX(次果筐明细!$D$4:$D$603,$Z890-5200)=0,"",INDEX(次果筐明细!$D$4:$D$603,$Z890-5200)),"")))))</f>
        <v/>
      </c>
      <c r="O890" s="40" t="str">
        <f>IF($Z890="","",IF($Z890&lt;=2000,"",IF($Z890&lt;=4000,IF(N(INDEX(周转筐出入库明细!$J$4:$J$2004,$Z890-2000))+N(INDEX(周转筐出入库明细!$K$4:$K$2004,$Z890-2000))=0,"",N(INDEX(周转筐出入库明细!$J$4:$J$2004,$Z890-2000))+N(INDEX(周转筐出入库明细!$K$4:$K$2004,$Z890-2000))),IF($Z890&lt;=5200,IF(N(INDEX(客户自备加工筐明细!$G$4:$G$1203,$Z890-4000))=0,"",N(INDEX(客户自备加工筐明细!$G$4:$G$1203,$Z890-4000))),IF($Z890&lt;=5800,IF(ISNUMBER(SEARCH("退",INDEX(次果筐明细!$F$4:$F$603,$Z890-5200)&amp;"")),"",IF(N(INDEX(次果筐明细!$G$4:$G$603,$Z890-5200))=0,"",N(INDEX(次果筐明细!$G$4:$G$603,$Z890-5200)))),"")))))</f>
        <v/>
      </c>
      <c r="P890" s="40" t="str">
        <f>IF($Z890="","",IF($Z890&lt;=2000,"",IF($Z890&lt;=4000,IF(N(INDEX(周转筐出入库明细!$I$4:$I$2004,$Z890-2000))=0,"",N(INDEX(周转筐出入库明细!$I$4:$I$2004,$Z890-2000))),IF($Z890&lt;=5200,"",IF($Z890&lt;=5800,IF(ISNUMBER(SEARCH("退",INDEX(次果筐明细!$F$4:$F$603,$Z890-5200)&amp;"")),IF(N(INDEX(次果筐明细!$G$4:$G$603,$Z890-5200))=0,"",N(INDEX(次果筐明细!$G$4:$G$603,$Z890-5200))),""),"")))))</f>
        <v/>
      </c>
      <c r="Q890" s="40" t="str">
        <f>IF($Z890="","",IF($Z890&lt;=2000,"",IF($Z890&lt;=4000,IF(N(INDEX(周转筐出入库明细!$H$4:$H$2004,$Z890-2000))=0,"",N(INDEX(周转筐出入库明细!$H$4:$H$2004,$Z890-2000))),IF($Z890&lt;=5200,IF(N(INDEX(客户自备加工筐明细!$F$4:$F$1203,$Z890-4000))=0,"",N(INDEX(客户自备加工筐明细!$F$4:$F$1203,$Z890-4000))),IF($Z890&lt;=5800,"","")))))</f>
        <v/>
      </c>
      <c r="R890" s="16" t="str">
        <f>IF($Z890="","",IF($Z890&lt;=2000,IF(INDEX(包装物料出入库明细!$O$4:$O$2003,$Z890-0)=0,"",INDEX(包装物料出入库明细!$O$4:$O$2003,$Z890-0)),IF($Z890&lt;=4000,IF(INDEX(周转筐出入库明细!$M$4:$M$2004,$Z890-2000)=0,"",INDEX(周转筐出入库明细!$M$4:$M$2004,$Z890-2000)),IF($Z890&lt;=5200,IF(INDEX(客户自备加工筐明细!$H$4:$H$1203,$Z890-4000)=0,"",INDEX(客户自备加工筐明细!$H$4:$H$1203,$Z890-4000)),IF($Z890&lt;=5800,IF(INDEX(次果筐明细!$H$4:$H$603,$Z890-5200)=0,"",INDEX(次果筐明细!$H$4:$H$603,$Z890-5200)),"")))))</f>
        <v/>
      </c>
      <c r="S890" s="22" t="str">
        <f t="shared" si="41"/>
        <v/>
      </c>
      <c r="Z890" s="10" t="str">
        <f>IFERROR(MATCH(ROW()-3,_自动清单!$CQ$4:$CQ$5803,0),"")</f>
        <v/>
      </c>
    </row>
    <row r="891" spans="1:26">
      <c r="A891" s="24" t="str">
        <f t="shared" si="39"/>
        <v/>
      </c>
      <c r="B891" s="38" t="str">
        <f>IF($Z891="","",IF($Z891&lt;=2000,IF(INDEX(包装物料出入库明细!$B$4:$B$2003,$Z891-0)=0,"",INDEX(包装物料出入库明细!$B$4:$B$2003,$Z891-0)),IF($Z891&lt;=4000,IF(INDEX(周转筐出入库明细!$B$4:$B$2004,$Z891-2000)=0,"",INDEX(周转筐出入库明细!$B$4:$B$2004,$Z891-2000)),IF($Z891&lt;=5200,IF(INDEX(客户自备加工筐明细!$B$4:$B$1203,$Z891-4000)=0,"",INDEX(客户自备加工筐明细!$B$4:$B$1203,$Z891-4000)),IF($Z891&lt;=5800,IF(INDEX(次果筐明细!$B$4:$B$603,$Z891-5200)=0,"",INDEX(次果筐明细!$B$4:$B$603,$Z891-5200)),"")))))</f>
        <v/>
      </c>
      <c r="C891" s="37" t="str">
        <f>IF($Z891="","",IF($Z891&lt;=2000,IF(INDEX(包装物料出入库明细!$D$4:$D$2003,$Z891-0)=0,"",INDEX(包装物料出入库明细!$D$4:$D$2003,$Z891-0)),IF($Z891&lt;=4000,IF(INDEX(周转筐出入库明细!$C$4:$C$2004,$Z891-2000)=0,"",INDEX(周转筐出入库明细!$C$4:$C$2004,$Z891-2000)),IF($Z891&lt;=5200,IF(INDEX(客户自备加工筐明细!$E$4:$E$1203,$Z891-4000)=0,"",INDEX(客户自备加工筐明细!$E$4:$E$1203,$Z891-4000)),IF($Z891&lt;=5800,IF(INDEX(次果筐明细!$C$4:$C$603,$Z891-5200)=0,"",INDEX(次果筐明细!$C$4:$C$603,$Z891-5200)),"")))))</f>
        <v/>
      </c>
      <c r="D891" s="37" t="str">
        <f>IF($Z891="","",IF($Z891&lt;=2000,"包装物料－"&amp;INDEX(包装物料出入库明细!$H$4:$H$2003,$Z891-0),IF($Z891&lt;=4000,"周转筐－"&amp;INDEX(周转筐出入库明细!$F$4:$F$2004,$Z891-2000),IF($Z891&lt;=5200,"客户自备筐－"&amp;INDEX(客户自备加工筐明细!$J$4:$J$1203,$Z891-4000),IF($Z891&lt;=5800,"次果筐/托盘－"&amp;INDEX(次果筐明细!$F$4:$F$603,$Z891-5200),"")))))</f>
        <v/>
      </c>
      <c r="E891" s="24" t="str">
        <f>IF($Z891="","",IF($Z891&lt;=2000,IF(INDEX(包装物料出入库明细!$C$4:$C$2003,$Z891-0)=0,"",INDEX(包装物料出入库明细!$C$4:$C$2003,$Z891-0)),IF($Z891&lt;=4000,IF(INDEX(周转筐出入库明细!$E$4:$E$2004,$Z891-2000)=0,"",INDEX(周转筐出入库明细!$E$4:$E$2004,$Z891-2000)),IF($Z891&lt;=5200,IF(INDEX(客户自备加工筐明细!$D$4:$D$1203,$Z891-4000)=0,"",INDEX(客户自备加工筐明细!$D$4:$D$1203,$Z891-4000)),IF($Z891&lt;=5800,IF(INDEX(次果筐明细!$E$4:$E$603,$Z891-5200)=0,"",INDEX(次果筐明细!$E$4:$E$603,$Z891-5200)),"")))))</f>
        <v/>
      </c>
      <c r="F891" s="24" t="str">
        <f>IF($Z891="","",IF($Z891&lt;=2000,IF(INDEX(包装物料出入库明细!$E$4:$E$2003,$Z891-0)=0,"",INDEX(包装物料出入库明细!$E$4:$E$2003,$Z891-0)),IF($Z891&lt;=4000,IF(INDEX(周转筐出入库明细!$D$4:$D$2004,$Z891-2000)=0,"",INDEX(周转筐出入库明细!$D$4:$D$2004,$Z891-2000)),IF($Z891&lt;=5200,IF(INDEX(客户自备加工筐明细!$C$4:$C$1203,$Z891-4000)=0,"",INDEX(客户自备加工筐明细!$C$4:$C$1203,$Z891-4000)),IF($Z891&lt;=5800,IF(INDEX(次果筐明细!$D$4:$D$603,$Z891-5200)=0,"",INDEX(次果筐明细!$D$4:$D$603,$Z891-5200)),"")))))</f>
        <v/>
      </c>
      <c r="G891" s="24" t="str">
        <f>IF($Z891="","",IF($Z891&lt;=2000,IF(INDEX(包装物料出入库明细!$F$4:$F$2003,$Z891-0)=0,"",INDEX(包装物料出入库明细!$F$4:$F$2003,$Z891-0)),IF($Z891&lt;=4000,"",IF($Z891&lt;=5200,"",IF($Z891&lt;=5800,"","")))))</f>
        <v/>
      </c>
      <c r="H891" s="39" t="str">
        <f>IF($Z891="","",IF($Z891&lt;=2000,IF(INDEX(包装物料出入库明细!$L$4:$L$2003,$Z891-0)=0,"",INDEX(包装物料出入库明细!$L$4:$L$2003,$Z891-0)),IF($Z891&lt;=4000,N(INDEX(周转筐出入库明细!$H$4:$H$2004,$Z891-2000))+N(INDEX(周转筐出入库明细!$I$4:$I$2004,$Z891-2000))+N(INDEX(周转筐出入库明细!$J$4:$J$2004,$Z891-2000))+N(INDEX(周转筐出入库明细!$K$4:$K$2004,$Z891-2000)),IF($Z891&lt;=5200,N(INDEX(客户自备加工筐明细!$F$4:$F$1203,$Z891-4000))+N(INDEX(客户自备加工筐明细!$G$4:$G$1203,$Z891-4000)),IF($Z891&lt;=5800,IF(INDEX(次果筐明细!$G$4:$G$603,$Z891-5200)=0,"",INDEX(次果筐明细!$G$4:$G$603,$Z891-5200)),"")))))</f>
        <v/>
      </c>
      <c r="I891" s="24" t="str">
        <f>IF($Z891="","",IF($Z891&lt;=2000,IF(INDEX(包装物料出入库明细!$G$4:$G$2003,$Z891-0)=0,"",INDEX(包装物料出入库明细!$G$4:$G$2003,$Z891-0)),IF($Z891&lt;=4000,"个",IF($Z891&lt;=5200,"个",IF($Z891&lt;=5800,"个","")))))</f>
        <v/>
      </c>
      <c r="J891" s="30" t="str">
        <f t="shared" si="40"/>
        <v/>
      </c>
      <c r="K891" s="30" t="str">
        <f>IF($Z891="","",IF($Z891&lt;=2000,IF(INDEX(包装物料出入库明细!$N$4:$N$2003,$Z891-0)=0,"",INDEX(包装物料出入库明细!$N$4:$N$2003,$Z891-0)),IF($Z891&lt;=4000,IF(INDEX(周转筐出入库明细!$P$4:$P$2004,$Z891-2000)=0,"",INDEX(周转筐出入库明细!$P$4:$P$2004,$Z891-2000)),IF($Z891&lt;=5200,"",IF($Z891&lt;=5800,N(INDEX(次果筐明细!$L$4:$L$603,$Z891-5200))+N(INDEX(次果筐明细!$J$4:$J$603,$Z891-5200)),"")))))</f>
        <v/>
      </c>
      <c r="L891" s="24" t="str">
        <f>IF($Z891="","",IF($Z891&lt;=2000,IF(INDEX(包装物料出入库明细!$P$4:$P$2003,$Z891-0)=0,"",INDEX(包装物料出入库明细!$P$4:$P$2003,$Z891-0)),IF($Z891&lt;=4000,IF(INDEX(周转筐出入库明细!$Q$4:$Q$2004,$Z891-2000)=0,"",INDEX(周转筐出入库明细!$Q$4:$Q$2004,$Z891-2000)),IF($Z891&lt;=5200,"",IF($Z891&lt;=5800,IF(INDEX(次果筐明细!$M$4:$M$603,$Z891-5200)=0,"",INDEX(次果筐明细!$M$4:$M$603,$Z891-5200)),"")))))</f>
        <v/>
      </c>
      <c r="M891" s="37" t="str">
        <f>IF($Z891="","",IF($Z891&lt;=2000,IF(INDEX(包装物料出入库明细!$R$4:$R$2003,$Z891-0)=0,"",INDEX(包装物料出入库明细!$R$4:$R$2003,$Z891-0)),IF($Z891&lt;=4000,IF(INDEX(周转筐出入库明细!$W$4:$W$2004,$Z891-2000)=0,"",INDEX(周转筐出入库明细!$W$4:$W$2004,$Z891-2000)),IF($Z891&lt;=5200,IF(INDEX(客户自备加工筐明细!$L$4:$L$1203,$Z891-4000)=0,"",INDEX(客户自备加工筐明细!$L$4:$L$1203,$Z891-4000)),IF($Z891&lt;=5800,IF(INDEX(次果筐明细!$P$4:$P$603,$Z891-5200)=0,"",INDEX(次果筐明细!$P$4:$P$603,$Z891-5200)),"")))))</f>
        <v/>
      </c>
      <c r="N891" s="16" t="str">
        <f>IF($Z891="","",IF($Z891&lt;=2000,"",IF($Z891&lt;=4000,IF(INDEX(周转筐出入库明细!$D$4:$D$2004,$Z891-2000)=0,"",INDEX(周转筐出入库明细!$D$4:$D$2004,$Z891-2000)),IF($Z891&lt;=5200,IF(INDEX(客户自备加工筐明细!$C$4:$C$1203,$Z891-4000)=0,"",INDEX(客户自备加工筐明细!$C$4:$C$1203,$Z891-4000)),IF($Z891&lt;=5800,IF(INDEX(次果筐明细!$D$4:$D$603,$Z891-5200)=0,"",INDEX(次果筐明细!$D$4:$D$603,$Z891-5200)),"")))))</f>
        <v/>
      </c>
      <c r="O891" s="40" t="str">
        <f>IF($Z891="","",IF($Z891&lt;=2000,"",IF($Z891&lt;=4000,IF(N(INDEX(周转筐出入库明细!$J$4:$J$2004,$Z891-2000))+N(INDEX(周转筐出入库明细!$K$4:$K$2004,$Z891-2000))=0,"",N(INDEX(周转筐出入库明细!$J$4:$J$2004,$Z891-2000))+N(INDEX(周转筐出入库明细!$K$4:$K$2004,$Z891-2000))),IF($Z891&lt;=5200,IF(N(INDEX(客户自备加工筐明细!$G$4:$G$1203,$Z891-4000))=0,"",N(INDEX(客户自备加工筐明细!$G$4:$G$1203,$Z891-4000))),IF($Z891&lt;=5800,IF(ISNUMBER(SEARCH("退",INDEX(次果筐明细!$F$4:$F$603,$Z891-5200)&amp;"")),"",IF(N(INDEX(次果筐明细!$G$4:$G$603,$Z891-5200))=0,"",N(INDEX(次果筐明细!$G$4:$G$603,$Z891-5200)))),"")))))</f>
        <v/>
      </c>
      <c r="P891" s="40" t="str">
        <f>IF($Z891="","",IF($Z891&lt;=2000,"",IF($Z891&lt;=4000,IF(N(INDEX(周转筐出入库明细!$I$4:$I$2004,$Z891-2000))=0,"",N(INDEX(周转筐出入库明细!$I$4:$I$2004,$Z891-2000))),IF($Z891&lt;=5200,"",IF($Z891&lt;=5800,IF(ISNUMBER(SEARCH("退",INDEX(次果筐明细!$F$4:$F$603,$Z891-5200)&amp;"")),IF(N(INDEX(次果筐明细!$G$4:$G$603,$Z891-5200))=0,"",N(INDEX(次果筐明细!$G$4:$G$603,$Z891-5200))),""),"")))))</f>
        <v/>
      </c>
      <c r="Q891" s="40" t="str">
        <f>IF($Z891="","",IF($Z891&lt;=2000,"",IF($Z891&lt;=4000,IF(N(INDEX(周转筐出入库明细!$H$4:$H$2004,$Z891-2000))=0,"",N(INDEX(周转筐出入库明细!$H$4:$H$2004,$Z891-2000))),IF($Z891&lt;=5200,IF(N(INDEX(客户自备加工筐明细!$F$4:$F$1203,$Z891-4000))=0,"",N(INDEX(客户自备加工筐明细!$F$4:$F$1203,$Z891-4000))),IF($Z891&lt;=5800,"","")))))</f>
        <v/>
      </c>
      <c r="R891" s="16" t="str">
        <f>IF($Z891="","",IF($Z891&lt;=2000,IF(INDEX(包装物料出入库明细!$O$4:$O$2003,$Z891-0)=0,"",INDEX(包装物料出入库明细!$O$4:$O$2003,$Z891-0)),IF($Z891&lt;=4000,IF(INDEX(周转筐出入库明细!$M$4:$M$2004,$Z891-2000)=0,"",INDEX(周转筐出入库明细!$M$4:$M$2004,$Z891-2000)),IF($Z891&lt;=5200,IF(INDEX(客户自备加工筐明细!$H$4:$H$1203,$Z891-4000)=0,"",INDEX(客户自备加工筐明细!$H$4:$H$1203,$Z891-4000)),IF($Z891&lt;=5800,IF(INDEX(次果筐明细!$H$4:$H$603,$Z891-5200)=0,"",INDEX(次果筐明细!$H$4:$H$603,$Z891-5200)),"")))))</f>
        <v/>
      </c>
      <c r="S891" s="22" t="str">
        <f t="shared" si="41"/>
        <v/>
      </c>
      <c r="Z891" s="10" t="str">
        <f>IFERROR(MATCH(ROW()-3,_自动清单!$CQ$4:$CQ$5803,0),"")</f>
        <v/>
      </c>
    </row>
    <row r="892" spans="1:26">
      <c r="A892" s="24" t="str">
        <f t="shared" si="39"/>
        <v/>
      </c>
      <c r="B892" s="38" t="str">
        <f>IF($Z892="","",IF($Z892&lt;=2000,IF(INDEX(包装物料出入库明细!$B$4:$B$2003,$Z892-0)=0,"",INDEX(包装物料出入库明细!$B$4:$B$2003,$Z892-0)),IF($Z892&lt;=4000,IF(INDEX(周转筐出入库明细!$B$4:$B$2004,$Z892-2000)=0,"",INDEX(周转筐出入库明细!$B$4:$B$2004,$Z892-2000)),IF($Z892&lt;=5200,IF(INDEX(客户自备加工筐明细!$B$4:$B$1203,$Z892-4000)=0,"",INDEX(客户自备加工筐明细!$B$4:$B$1203,$Z892-4000)),IF($Z892&lt;=5800,IF(INDEX(次果筐明细!$B$4:$B$603,$Z892-5200)=0,"",INDEX(次果筐明细!$B$4:$B$603,$Z892-5200)),"")))))</f>
        <v/>
      </c>
      <c r="C892" s="37" t="str">
        <f>IF($Z892="","",IF($Z892&lt;=2000,IF(INDEX(包装物料出入库明细!$D$4:$D$2003,$Z892-0)=0,"",INDEX(包装物料出入库明细!$D$4:$D$2003,$Z892-0)),IF($Z892&lt;=4000,IF(INDEX(周转筐出入库明细!$C$4:$C$2004,$Z892-2000)=0,"",INDEX(周转筐出入库明细!$C$4:$C$2004,$Z892-2000)),IF($Z892&lt;=5200,IF(INDEX(客户自备加工筐明细!$E$4:$E$1203,$Z892-4000)=0,"",INDEX(客户自备加工筐明细!$E$4:$E$1203,$Z892-4000)),IF($Z892&lt;=5800,IF(INDEX(次果筐明细!$C$4:$C$603,$Z892-5200)=0,"",INDEX(次果筐明细!$C$4:$C$603,$Z892-5200)),"")))))</f>
        <v/>
      </c>
      <c r="D892" s="37" t="str">
        <f>IF($Z892="","",IF($Z892&lt;=2000,"包装物料－"&amp;INDEX(包装物料出入库明细!$H$4:$H$2003,$Z892-0),IF($Z892&lt;=4000,"周转筐－"&amp;INDEX(周转筐出入库明细!$F$4:$F$2004,$Z892-2000),IF($Z892&lt;=5200,"客户自备筐－"&amp;INDEX(客户自备加工筐明细!$J$4:$J$1203,$Z892-4000),IF($Z892&lt;=5800,"次果筐/托盘－"&amp;INDEX(次果筐明细!$F$4:$F$603,$Z892-5200),"")))))</f>
        <v/>
      </c>
      <c r="E892" s="24" t="str">
        <f>IF($Z892="","",IF($Z892&lt;=2000,IF(INDEX(包装物料出入库明细!$C$4:$C$2003,$Z892-0)=0,"",INDEX(包装物料出入库明细!$C$4:$C$2003,$Z892-0)),IF($Z892&lt;=4000,IF(INDEX(周转筐出入库明细!$E$4:$E$2004,$Z892-2000)=0,"",INDEX(周转筐出入库明细!$E$4:$E$2004,$Z892-2000)),IF($Z892&lt;=5200,IF(INDEX(客户自备加工筐明细!$D$4:$D$1203,$Z892-4000)=0,"",INDEX(客户自备加工筐明细!$D$4:$D$1203,$Z892-4000)),IF($Z892&lt;=5800,IF(INDEX(次果筐明细!$E$4:$E$603,$Z892-5200)=0,"",INDEX(次果筐明细!$E$4:$E$603,$Z892-5200)),"")))))</f>
        <v/>
      </c>
      <c r="F892" s="24" t="str">
        <f>IF($Z892="","",IF($Z892&lt;=2000,IF(INDEX(包装物料出入库明细!$E$4:$E$2003,$Z892-0)=0,"",INDEX(包装物料出入库明细!$E$4:$E$2003,$Z892-0)),IF($Z892&lt;=4000,IF(INDEX(周转筐出入库明细!$D$4:$D$2004,$Z892-2000)=0,"",INDEX(周转筐出入库明细!$D$4:$D$2004,$Z892-2000)),IF($Z892&lt;=5200,IF(INDEX(客户自备加工筐明细!$C$4:$C$1203,$Z892-4000)=0,"",INDEX(客户自备加工筐明细!$C$4:$C$1203,$Z892-4000)),IF($Z892&lt;=5800,IF(INDEX(次果筐明细!$D$4:$D$603,$Z892-5200)=0,"",INDEX(次果筐明细!$D$4:$D$603,$Z892-5200)),"")))))</f>
        <v/>
      </c>
      <c r="G892" s="24" t="str">
        <f>IF($Z892="","",IF($Z892&lt;=2000,IF(INDEX(包装物料出入库明细!$F$4:$F$2003,$Z892-0)=0,"",INDEX(包装物料出入库明细!$F$4:$F$2003,$Z892-0)),IF($Z892&lt;=4000,"",IF($Z892&lt;=5200,"",IF($Z892&lt;=5800,"","")))))</f>
        <v/>
      </c>
      <c r="H892" s="39" t="str">
        <f>IF($Z892="","",IF($Z892&lt;=2000,IF(INDEX(包装物料出入库明细!$L$4:$L$2003,$Z892-0)=0,"",INDEX(包装物料出入库明细!$L$4:$L$2003,$Z892-0)),IF($Z892&lt;=4000,N(INDEX(周转筐出入库明细!$H$4:$H$2004,$Z892-2000))+N(INDEX(周转筐出入库明细!$I$4:$I$2004,$Z892-2000))+N(INDEX(周转筐出入库明细!$J$4:$J$2004,$Z892-2000))+N(INDEX(周转筐出入库明细!$K$4:$K$2004,$Z892-2000)),IF($Z892&lt;=5200,N(INDEX(客户自备加工筐明细!$F$4:$F$1203,$Z892-4000))+N(INDEX(客户自备加工筐明细!$G$4:$G$1203,$Z892-4000)),IF($Z892&lt;=5800,IF(INDEX(次果筐明细!$G$4:$G$603,$Z892-5200)=0,"",INDEX(次果筐明细!$G$4:$G$603,$Z892-5200)),"")))))</f>
        <v/>
      </c>
      <c r="I892" s="24" t="str">
        <f>IF($Z892="","",IF($Z892&lt;=2000,IF(INDEX(包装物料出入库明细!$G$4:$G$2003,$Z892-0)=0,"",INDEX(包装物料出入库明细!$G$4:$G$2003,$Z892-0)),IF($Z892&lt;=4000,"个",IF($Z892&lt;=5200,"个",IF($Z892&lt;=5800,"个","")))))</f>
        <v/>
      </c>
      <c r="J892" s="30" t="str">
        <f t="shared" si="40"/>
        <v/>
      </c>
      <c r="K892" s="30" t="str">
        <f>IF($Z892="","",IF($Z892&lt;=2000,IF(INDEX(包装物料出入库明细!$N$4:$N$2003,$Z892-0)=0,"",INDEX(包装物料出入库明细!$N$4:$N$2003,$Z892-0)),IF($Z892&lt;=4000,IF(INDEX(周转筐出入库明细!$P$4:$P$2004,$Z892-2000)=0,"",INDEX(周转筐出入库明细!$P$4:$P$2004,$Z892-2000)),IF($Z892&lt;=5200,"",IF($Z892&lt;=5800,N(INDEX(次果筐明细!$L$4:$L$603,$Z892-5200))+N(INDEX(次果筐明细!$J$4:$J$603,$Z892-5200)),"")))))</f>
        <v/>
      </c>
      <c r="L892" s="24" t="str">
        <f>IF($Z892="","",IF($Z892&lt;=2000,IF(INDEX(包装物料出入库明细!$P$4:$P$2003,$Z892-0)=0,"",INDEX(包装物料出入库明细!$P$4:$P$2003,$Z892-0)),IF($Z892&lt;=4000,IF(INDEX(周转筐出入库明细!$Q$4:$Q$2004,$Z892-2000)=0,"",INDEX(周转筐出入库明细!$Q$4:$Q$2004,$Z892-2000)),IF($Z892&lt;=5200,"",IF($Z892&lt;=5800,IF(INDEX(次果筐明细!$M$4:$M$603,$Z892-5200)=0,"",INDEX(次果筐明细!$M$4:$M$603,$Z892-5200)),"")))))</f>
        <v/>
      </c>
      <c r="M892" s="37" t="str">
        <f>IF($Z892="","",IF($Z892&lt;=2000,IF(INDEX(包装物料出入库明细!$R$4:$R$2003,$Z892-0)=0,"",INDEX(包装物料出入库明细!$R$4:$R$2003,$Z892-0)),IF($Z892&lt;=4000,IF(INDEX(周转筐出入库明细!$W$4:$W$2004,$Z892-2000)=0,"",INDEX(周转筐出入库明细!$W$4:$W$2004,$Z892-2000)),IF($Z892&lt;=5200,IF(INDEX(客户自备加工筐明细!$L$4:$L$1203,$Z892-4000)=0,"",INDEX(客户自备加工筐明细!$L$4:$L$1203,$Z892-4000)),IF($Z892&lt;=5800,IF(INDEX(次果筐明细!$P$4:$P$603,$Z892-5200)=0,"",INDEX(次果筐明细!$P$4:$P$603,$Z892-5200)),"")))))</f>
        <v/>
      </c>
      <c r="N892" s="16" t="str">
        <f>IF($Z892="","",IF($Z892&lt;=2000,"",IF($Z892&lt;=4000,IF(INDEX(周转筐出入库明细!$D$4:$D$2004,$Z892-2000)=0,"",INDEX(周转筐出入库明细!$D$4:$D$2004,$Z892-2000)),IF($Z892&lt;=5200,IF(INDEX(客户自备加工筐明细!$C$4:$C$1203,$Z892-4000)=0,"",INDEX(客户自备加工筐明细!$C$4:$C$1203,$Z892-4000)),IF($Z892&lt;=5800,IF(INDEX(次果筐明细!$D$4:$D$603,$Z892-5200)=0,"",INDEX(次果筐明细!$D$4:$D$603,$Z892-5200)),"")))))</f>
        <v/>
      </c>
      <c r="O892" s="40" t="str">
        <f>IF($Z892="","",IF($Z892&lt;=2000,"",IF($Z892&lt;=4000,IF(N(INDEX(周转筐出入库明细!$J$4:$J$2004,$Z892-2000))+N(INDEX(周转筐出入库明细!$K$4:$K$2004,$Z892-2000))=0,"",N(INDEX(周转筐出入库明细!$J$4:$J$2004,$Z892-2000))+N(INDEX(周转筐出入库明细!$K$4:$K$2004,$Z892-2000))),IF($Z892&lt;=5200,IF(N(INDEX(客户自备加工筐明细!$G$4:$G$1203,$Z892-4000))=0,"",N(INDEX(客户自备加工筐明细!$G$4:$G$1203,$Z892-4000))),IF($Z892&lt;=5800,IF(ISNUMBER(SEARCH("退",INDEX(次果筐明细!$F$4:$F$603,$Z892-5200)&amp;"")),"",IF(N(INDEX(次果筐明细!$G$4:$G$603,$Z892-5200))=0,"",N(INDEX(次果筐明细!$G$4:$G$603,$Z892-5200)))),"")))))</f>
        <v/>
      </c>
      <c r="P892" s="40" t="str">
        <f>IF($Z892="","",IF($Z892&lt;=2000,"",IF($Z892&lt;=4000,IF(N(INDEX(周转筐出入库明细!$I$4:$I$2004,$Z892-2000))=0,"",N(INDEX(周转筐出入库明细!$I$4:$I$2004,$Z892-2000))),IF($Z892&lt;=5200,"",IF($Z892&lt;=5800,IF(ISNUMBER(SEARCH("退",INDEX(次果筐明细!$F$4:$F$603,$Z892-5200)&amp;"")),IF(N(INDEX(次果筐明细!$G$4:$G$603,$Z892-5200))=0,"",N(INDEX(次果筐明细!$G$4:$G$603,$Z892-5200))),""),"")))))</f>
        <v/>
      </c>
      <c r="Q892" s="40" t="str">
        <f>IF($Z892="","",IF($Z892&lt;=2000,"",IF($Z892&lt;=4000,IF(N(INDEX(周转筐出入库明细!$H$4:$H$2004,$Z892-2000))=0,"",N(INDEX(周转筐出入库明细!$H$4:$H$2004,$Z892-2000))),IF($Z892&lt;=5200,IF(N(INDEX(客户自备加工筐明细!$F$4:$F$1203,$Z892-4000))=0,"",N(INDEX(客户自备加工筐明细!$F$4:$F$1203,$Z892-4000))),IF($Z892&lt;=5800,"","")))))</f>
        <v/>
      </c>
      <c r="R892" s="16" t="str">
        <f>IF($Z892="","",IF($Z892&lt;=2000,IF(INDEX(包装物料出入库明细!$O$4:$O$2003,$Z892-0)=0,"",INDEX(包装物料出入库明细!$O$4:$O$2003,$Z892-0)),IF($Z892&lt;=4000,IF(INDEX(周转筐出入库明细!$M$4:$M$2004,$Z892-2000)=0,"",INDEX(周转筐出入库明细!$M$4:$M$2004,$Z892-2000)),IF($Z892&lt;=5200,IF(INDEX(客户自备加工筐明细!$H$4:$H$1203,$Z892-4000)=0,"",INDEX(客户自备加工筐明细!$H$4:$H$1203,$Z892-4000)),IF($Z892&lt;=5800,IF(INDEX(次果筐明细!$H$4:$H$603,$Z892-5200)=0,"",INDEX(次果筐明细!$H$4:$H$603,$Z892-5200)),"")))))</f>
        <v/>
      </c>
      <c r="S892" s="22" t="str">
        <f t="shared" si="41"/>
        <v/>
      </c>
      <c r="Z892" s="10" t="str">
        <f>IFERROR(MATCH(ROW()-3,_自动清单!$CQ$4:$CQ$5803,0),"")</f>
        <v/>
      </c>
    </row>
    <row r="893" spans="1:26">
      <c r="A893" s="24" t="str">
        <f t="shared" si="39"/>
        <v/>
      </c>
      <c r="B893" s="38" t="str">
        <f>IF($Z893="","",IF($Z893&lt;=2000,IF(INDEX(包装物料出入库明细!$B$4:$B$2003,$Z893-0)=0,"",INDEX(包装物料出入库明细!$B$4:$B$2003,$Z893-0)),IF($Z893&lt;=4000,IF(INDEX(周转筐出入库明细!$B$4:$B$2004,$Z893-2000)=0,"",INDEX(周转筐出入库明细!$B$4:$B$2004,$Z893-2000)),IF($Z893&lt;=5200,IF(INDEX(客户自备加工筐明细!$B$4:$B$1203,$Z893-4000)=0,"",INDEX(客户自备加工筐明细!$B$4:$B$1203,$Z893-4000)),IF($Z893&lt;=5800,IF(INDEX(次果筐明细!$B$4:$B$603,$Z893-5200)=0,"",INDEX(次果筐明细!$B$4:$B$603,$Z893-5200)),"")))))</f>
        <v/>
      </c>
      <c r="C893" s="37" t="str">
        <f>IF($Z893="","",IF($Z893&lt;=2000,IF(INDEX(包装物料出入库明细!$D$4:$D$2003,$Z893-0)=0,"",INDEX(包装物料出入库明细!$D$4:$D$2003,$Z893-0)),IF($Z893&lt;=4000,IF(INDEX(周转筐出入库明细!$C$4:$C$2004,$Z893-2000)=0,"",INDEX(周转筐出入库明细!$C$4:$C$2004,$Z893-2000)),IF($Z893&lt;=5200,IF(INDEX(客户自备加工筐明细!$E$4:$E$1203,$Z893-4000)=0,"",INDEX(客户自备加工筐明细!$E$4:$E$1203,$Z893-4000)),IF($Z893&lt;=5800,IF(INDEX(次果筐明细!$C$4:$C$603,$Z893-5200)=0,"",INDEX(次果筐明细!$C$4:$C$603,$Z893-5200)),"")))))</f>
        <v/>
      </c>
      <c r="D893" s="37" t="str">
        <f>IF($Z893="","",IF($Z893&lt;=2000,"包装物料－"&amp;INDEX(包装物料出入库明细!$H$4:$H$2003,$Z893-0),IF($Z893&lt;=4000,"周转筐－"&amp;INDEX(周转筐出入库明细!$F$4:$F$2004,$Z893-2000),IF($Z893&lt;=5200,"客户自备筐－"&amp;INDEX(客户自备加工筐明细!$J$4:$J$1203,$Z893-4000),IF($Z893&lt;=5800,"次果筐/托盘－"&amp;INDEX(次果筐明细!$F$4:$F$603,$Z893-5200),"")))))</f>
        <v/>
      </c>
      <c r="E893" s="24" t="str">
        <f>IF($Z893="","",IF($Z893&lt;=2000,IF(INDEX(包装物料出入库明细!$C$4:$C$2003,$Z893-0)=0,"",INDEX(包装物料出入库明细!$C$4:$C$2003,$Z893-0)),IF($Z893&lt;=4000,IF(INDEX(周转筐出入库明细!$E$4:$E$2004,$Z893-2000)=0,"",INDEX(周转筐出入库明细!$E$4:$E$2004,$Z893-2000)),IF($Z893&lt;=5200,IF(INDEX(客户自备加工筐明细!$D$4:$D$1203,$Z893-4000)=0,"",INDEX(客户自备加工筐明细!$D$4:$D$1203,$Z893-4000)),IF($Z893&lt;=5800,IF(INDEX(次果筐明细!$E$4:$E$603,$Z893-5200)=0,"",INDEX(次果筐明细!$E$4:$E$603,$Z893-5200)),"")))))</f>
        <v/>
      </c>
      <c r="F893" s="24" t="str">
        <f>IF($Z893="","",IF($Z893&lt;=2000,IF(INDEX(包装物料出入库明细!$E$4:$E$2003,$Z893-0)=0,"",INDEX(包装物料出入库明细!$E$4:$E$2003,$Z893-0)),IF($Z893&lt;=4000,IF(INDEX(周转筐出入库明细!$D$4:$D$2004,$Z893-2000)=0,"",INDEX(周转筐出入库明细!$D$4:$D$2004,$Z893-2000)),IF($Z893&lt;=5200,IF(INDEX(客户自备加工筐明细!$C$4:$C$1203,$Z893-4000)=0,"",INDEX(客户自备加工筐明细!$C$4:$C$1203,$Z893-4000)),IF($Z893&lt;=5800,IF(INDEX(次果筐明细!$D$4:$D$603,$Z893-5200)=0,"",INDEX(次果筐明细!$D$4:$D$603,$Z893-5200)),"")))))</f>
        <v/>
      </c>
      <c r="G893" s="24" t="str">
        <f>IF($Z893="","",IF($Z893&lt;=2000,IF(INDEX(包装物料出入库明细!$F$4:$F$2003,$Z893-0)=0,"",INDEX(包装物料出入库明细!$F$4:$F$2003,$Z893-0)),IF($Z893&lt;=4000,"",IF($Z893&lt;=5200,"",IF($Z893&lt;=5800,"","")))))</f>
        <v/>
      </c>
      <c r="H893" s="39" t="str">
        <f>IF($Z893="","",IF($Z893&lt;=2000,IF(INDEX(包装物料出入库明细!$L$4:$L$2003,$Z893-0)=0,"",INDEX(包装物料出入库明细!$L$4:$L$2003,$Z893-0)),IF($Z893&lt;=4000,N(INDEX(周转筐出入库明细!$H$4:$H$2004,$Z893-2000))+N(INDEX(周转筐出入库明细!$I$4:$I$2004,$Z893-2000))+N(INDEX(周转筐出入库明细!$J$4:$J$2004,$Z893-2000))+N(INDEX(周转筐出入库明细!$K$4:$K$2004,$Z893-2000)),IF($Z893&lt;=5200,N(INDEX(客户自备加工筐明细!$F$4:$F$1203,$Z893-4000))+N(INDEX(客户自备加工筐明细!$G$4:$G$1203,$Z893-4000)),IF($Z893&lt;=5800,IF(INDEX(次果筐明细!$G$4:$G$603,$Z893-5200)=0,"",INDEX(次果筐明细!$G$4:$G$603,$Z893-5200)),"")))))</f>
        <v/>
      </c>
      <c r="I893" s="24" t="str">
        <f>IF($Z893="","",IF($Z893&lt;=2000,IF(INDEX(包装物料出入库明细!$G$4:$G$2003,$Z893-0)=0,"",INDEX(包装物料出入库明细!$G$4:$G$2003,$Z893-0)),IF($Z893&lt;=4000,"个",IF($Z893&lt;=5200,"个",IF($Z893&lt;=5800,"个","")))))</f>
        <v/>
      </c>
      <c r="J893" s="30" t="str">
        <f t="shared" si="40"/>
        <v/>
      </c>
      <c r="K893" s="30" t="str">
        <f>IF($Z893="","",IF($Z893&lt;=2000,IF(INDEX(包装物料出入库明细!$N$4:$N$2003,$Z893-0)=0,"",INDEX(包装物料出入库明细!$N$4:$N$2003,$Z893-0)),IF($Z893&lt;=4000,IF(INDEX(周转筐出入库明细!$P$4:$P$2004,$Z893-2000)=0,"",INDEX(周转筐出入库明细!$P$4:$P$2004,$Z893-2000)),IF($Z893&lt;=5200,"",IF($Z893&lt;=5800,N(INDEX(次果筐明细!$L$4:$L$603,$Z893-5200))+N(INDEX(次果筐明细!$J$4:$J$603,$Z893-5200)),"")))))</f>
        <v/>
      </c>
      <c r="L893" s="24" t="str">
        <f>IF($Z893="","",IF($Z893&lt;=2000,IF(INDEX(包装物料出入库明细!$P$4:$P$2003,$Z893-0)=0,"",INDEX(包装物料出入库明细!$P$4:$P$2003,$Z893-0)),IF($Z893&lt;=4000,IF(INDEX(周转筐出入库明细!$Q$4:$Q$2004,$Z893-2000)=0,"",INDEX(周转筐出入库明细!$Q$4:$Q$2004,$Z893-2000)),IF($Z893&lt;=5200,"",IF($Z893&lt;=5800,IF(INDEX(次果筐明细!$M$4:$M$603,$Z893-5200)=0,"",INDEX(次果筐明细!$M$4:$M$603,$Z893-5200)),"")))))</f>
        <v/>
      </c>
      <c r="M893" s="37" t="str">
        <f>IF($Z893="","",IF($Z893&lt;=2000,IF(INDEX(包装物料出入库明细!$R$4:$R$2003,$Z893-0)=0,"",INDEX(包装物料出入库明细!$R$4:$R$2003,$Z893-0)),IF($Z893&lt;=4000,IF(INDEX(周转筐出入库明细!$W$4:$W$2004,$Z893-2000)=0,"",INDEX(周转筐出入库明细!$W$4:$W$2004,$Z893-2000)),IF($Z893&lt;=5200,IF(INDEX(客户自备加工筐明细!$L$4:$L$1203,$Z893-4000)=0,"",INDEX(客户自备加工筐明细!$L$4:$L$1203,$Z893-4000)),IF($Z893&lt;=5800,IF(INDEX(次果筐明细!$P$4:$P$603,$Z893-5200)=0,"",INDEX(次果筐明细!$P$4:$P$603,$Z893-5200)),"")))))</f>
        <v/>
      </c>
      <c r="N893" s="16" t="str">
        <f>IF($Z893="","",IF($Z893&lt;=2000,"",IF($Z893&lt;=4000,IF(INDEX(周转筐出入库明细!$D$4:$D$2004,$Z893-2000)=0,"",INDEX(周转筐出入库明细!$D$4:$D$2004,$Z893-2000)),IF($Z893&lt;=5200,IF(INDEX(客户自备加工筐明细!$C$4:$C$1203,$Z893-4000)=0,"",INDEX(客户自备加工筐明细!$C$4:$C$1203,$Z893-4000)),IF($Z893&lt;=5800,IF(INDEX(次果筐明细!$D$4:$D$603,$Z893-5200)=0,"",INDEX(次果筐明细!$D$4:$D$603,$Z893-5200)),"")))))</f>
        <v/>
      </c>
      <c r="O893" s="40" t="str">
        <f>IF($Z893="","",IF($Z893&lt;=2000,"",IF($Z893&lt;=4000,IF(N(INDEX(周转筐出入库明细!$J$4:$J$2004,$Z893-2000))+N(INDEX(周转筐出入库明细!$K$4:$K$2004,$Z893-2000))=0,"",N(INDEX(周转筐出入库明细!$J$4:$J$2004,$Z893-2000))+N(INDEX(周转筐出入库明细!$K$4:$K$2004,$Z893-2000))),IF($Z893&lt;=5200,IF(N(INDEX(客户自备加工筐明细!$G$4:$G$1203,$Z893-4000))=0,"",N(INDEX(客户自备加工筐明细!$G$4:$G$1203,$Z893-4000))),IF($Z893&lt;=5800,IF(ISNUMBER(SEARCH("退",INDEX(次果筐明细!$F$4:$F$603,$Z893-5200)&amp;"")),"",IF(N(INDEX(次果筐明细!$G$4:$G$603,$Z893-5200))=0,"",N(INDEX(次果筐明细!$G$4:$G$603,$Z893-5200)))),"")))))</f>
        <v/>
      </c>
      <c r="P893" s="40" t="str">
        <f>IF($Z893="","",IF($Z893&lt;=2000,"",IF($Z893&lt;=4000,IF(N(INDEX(周转筐出入库明细!$I$4:$I$2004,$Z893-2000))=0,"",N(INDEX(周转筐出入库明细!$I$4:$I$2004,$Z893-2000))),IF($Z893&lt;=5200,"",IF($Z893&lt;=5800,IF(ISNUMBER(SEARCH("退",INDEX(次果筐明细!$F$4:$F$603,$Z893-5200)&amp;"")),IF(N(INDEX(次果筐明细!$G$4:$G$603,$Z893-5200))=0,"",N(INDEX(次果筐明细!$G$4:$G$603,$Z893-5200))),""),"")))))</f>
        <v/>
      </c>
      <c r="Q893" s="40" t="str">
        <f>IF($Z893="","",IF($Z893&lt;=2000,"",IF($Z893&lt;=4000,IF(N(INDEX(周转筐出入库明细!$H$4:$H$2004,$Z893-2000))=0,"",N(INDEX(周转筐出入库明细!$H$4:$H$2004,$Z893-2000))),IF($Z893&lt;=5200,IF(N(INDEX(客户自备加工筐明细!$F$4:$F$1203,$Z893-4000))=0,"",N(INDEX(客户自备加工筐明细!$F$4:$F$1203,$Z893-4000))),IF($Z893&lt;=5800,"","")))))</f>
        <v/>
      </c>
      <c r="R893" s="16" t="str">
        <f>IF($Z893="","",IF($Z893&lt;=2000,IF(INDEX(包装物料出入库明细!$O$4:$O$2003,$Z893-0)=0,"",INDEX(包装物料出入库明细!$O$4:$O$2003,$Z893-0)),IF($Z893&lt;=4000,IF(INDEX(周转筐出入库明细!$M$4:$M$2004,$Z893-2000)=0,"",INDEX(周转筐出入库明细!$M$4:$M$2004,$Z893-2000)),IF($Z893&lt;=5200,IF(INDEX(客户自备加工筐明细!$H$4:$H$1203,$Z893-4000)=0,"",INDEX(客户自备加工筐明细!$H$4:$H$1203,$Z893-4000)),IF($Z893&lt;=5800,IF(INDEX(次果筐明细!$H$4:$H$603,$Z893-5200)=0,"",INDEX(次果筐明细!$H$4:$H$603,$Z893-5200)),"")))))</f>
        <v/>
      </c>
      <c r="S893" s="22" t="str">
        <f t="shared" si="41"/>
        <v/>
      </c>
      <c r="Z893" s="10" t="str">
        <f>IFERROR(MATCH(ROW()-3,_自动清单!$CQ$4:$CQ$5803,0),"")</f>
        <v/>
      </c>
    </row>
    <row r="894" spans="1:26">
      <c r="A894" s="24" t="str">
        <f t="shared" si="39"/>
        <v/>
      </c>
      <c r="B894" s="38" t="str">
        <f>IF($Z894="","",IF($Z894&lt;=2000,IF(INDEX(包装物料出入库明细!$B$4:$B$2003,$Z894-0)=0,"",INDEX(包装物料出入库明细!$B$4:$B$2003,$Z894-0)),IF($Z894&lt;=4000,IF(INDEX(周转筐出入库明细!$B$4:$B$2004,$Z894-2000)=0,"",INDEX(周转筐出入库明细!$B$4:$B$2004,$Z894-2000)),IF($Z894&lt;=5200,IF(INDEX(客户自备加工筐明细!$B$4:$B$1203,$Z894-4000)=0,"",INDEX(客户自备加工筐明细!$B$4:$B$1203,$Z894-4000)),IF($Z894&lt;=5800,IF(INDEX(次果筐明细!$B$4:$B$603,$Z894-5200)=0,"",INDEX(次果筐明细!$B$4:$B$603,$Z894-5200)),"")))))</f>
        <v/>
      </c>
      <c r="C894" s="37" t="str">
        <f>IF($Z894="","",IF($Z894&lt;=2000,IF(INDEX(包装物料出入库明细!$D$4:$D$2003,$Z894-0)=0,"",INDEX(包装物料出入库明细!$D$4:$D$2003,$Z894-0)),IF($Z894&lt;=4000,IF(INDEX(周转筐出入库明细!$C$4:$C$2004,$Z894-2000)=0,"",INDEX(周转筐出入库明细!$C$4:$C$2004,$Z894-2000)),IF($Z894&lt;=5200,IF(INDEX(客户自备加工筐明细!$E$4:$E$1203,$Z894-4000)=0,"",INDEX(客户自备加工筐明细!$E$4:$E$1203,$Z894-4000)),IF($Z894&lt;=5800,IF(INDEX(次果筐明细!$C$4:$C$603,$Z894-5200)=0,"",INDEX(次果筐明细!$C$4:$C$603,$Z894-5200)),"")))))</f>
        <v/>
      </c>
      <c r="D894" s="37" t="str">
        <f>IF($Z894="","",IF($Z894&lt;=2000,"包装物料－"&amp;INDEX(包装物料出入库明细!$H$4:$H$2003,$Z894-0),IF($Z894&lt;=4000,"周转筐－"&amp;INDEX(周转筐出入库明细!$F$4:$F$2004,$Z894-2000),IF($Z894&lt;=5200,"客户自备筐－"&amp;INDEX(客户自备加工筐明细!$J$4:$J$1203,$Z894-4000),IF($Z894&lt;=5800,"次果筐/托盘－"&amp;INDEX(次果筐明细!$F$4:$F$603,$Z894-5200),"")))))</f>
        <v/>
      </c>
      <c r="E894" s="24" t="str">
        <f>IF($Z894="","",IF($Z894&lt;=2000,IF(INDEX(包装物料出入库明细!$C$4:$C$2003,$Z894-0)=0,"",INDEX(包装物料出入库明细!$C$4:$C$2003,$Z894-0)),IF($Z894&lt;=4000,IF(INDEX(周转筐出入库明细!$E$4:$E$2004,$Z894-2000)=0,"",INDEX(周转筐出入库明细!$E$4:$E$2004,$Z894-2000)),IF($Z894&lt;=5200,IF(INDEX(客户自备加工筐明细!$D$4:$D$1203,$Z894-4000)=0,"",INDEX(客户自备加工筐明细!$D$4:$D$1203,$Z894-4000)),IF($Z894&lt;=5800,IF(INDEX(次果筐明细!$E$4:$E$603,$Z894-5200)=0,"",INDEX(次果筐明细!$E$4:$E$603,$Z894-5200)),"")))))</f>
        <v/>
      </c>
      <c r="F894" s="24" t="str">
        <f>IF($Z894="","",IF($Z894&lt;=2000,IF(INDEX(包装物料出入库明细!$E$4:$E$2003,$Z894-0)=0,"",INDEX(包装物料出入库明细!$E$4:$E$2003,$Z894-0)),IF($Z894&lt;=4000,IF(INDEX(周转筐出入库明细!$D$4:$D$2004,$Z894-2000)=0,"",INDEX(周转筐出入库明细!$D$4:$D$2004,$Z894-2000)),IF($Z894&lt;=5200,IF(INDEX(客户自备加工筐明细!$C$4:$C$1203,$Z894-4000)=0,"",INDEX(客户自备加工筐明细!$C$4:$C$1203,$Z894-4000)),IF($Z894&lt;=5800,IF(INDEX(次果筐明细!$D$4:$D$603,$Z894-5200)=0,"",INDEX(次果筐明细!$D$4:$D$603,$Z894-5200)),"")))))</f>
        <v/>
      </c>
      <c r="G894" s="24" t="str">
        <f>IF($Z894="","",IF($Z894&lt;=2000,IF(INDEX(包装物料出入库明细!$F$4:$F$2003,$Z894-0)=0,"",INDEX(包装物料出入库明细!$F$4:$F$2003,$Z894-0)),IF($Z894&lt;=4000,"",IF($Z894&lt;=5200,"",IF($Z894&lt;=5800,"","")))))</f>
        <v/>
      </c>
      <c r="H894" s="39" t="str">
        <f>IF($Z894="","",IF($Z894&lt;=2000,IF(INDEX(包装物料出入库明细!$L$4:$L$2003,$Z894-0)=0,"",INDEX(包装物料出入库明细!$L$4:$L$2003,$Z894-0)),IF($Z894&lt;=4000,N(INDEX(周转筐出入库明细!$H$4:$H$2004,$Z894-2000))+N(INDEX(周转筐出入库明细!$I$4:$I$2004,$Z894-2000))+N(INDEX(周转筐出入库明细!$J$4:$J$2004,$Z894-2000))+N(INDEX(周转筐出入库明细!$K$4:$K$2004,$Z894-2000)),IF($Z894&lt;=5200,N(INDEX(客户自备加工筐明细!$F$4:$F$1203,$Z894-4000))+N(INDEX(客户自备加工筐明细!$G$4:$G$1203,$Z894-4000)),IF($Z894&lt;=5800,IF(INDEX(次果筐明细!$G$4:$G$603,$Z894-5200)=0,"",INDEX(次果筐明细!$G$4:$G$603,$Z894-5200)),"")))))</f>
        <v/>
      </c>
      <c r="I894" s="24" t="str">
        <f>IF($Z894="","",IF($Z894&lt;=2000,IF(INDEX(包装物料出入库明细!$G$4:$G$2003,$Z894-0)=0,"",INDEX(包装物料出入库明细!$G$4:$G$2003,$Z894-0)),IF($Z894&lt;=4000,"个",IF($Z894&lt;=5200,"个",IF($Z894&lt;=5800,"个","")))))</f>
        <v/>
      </c>
      <c r="J894" s="30" t="str">
        <f t="shared" si="40"/>
        <v/>
      </c>
      <c r="K894" s="30" t="str">
        <f>IF($Z894="","",IF($Z894&lt;=2000,IF(INDEX(包装物料出入库明细!$N$4:$N$2003,$Z894-0)=0,"",INDEX(包装物料出入库明细!$N$4:$N$2003,$Z894-0)),IF($Z894&lt;=4000,IF(INDEX(周转筐出入库明细!$P$4:$P$2004,$Z894-2000)=0,"",INDEX(周转筐出入库明细!$P$4:$P$2004,$Z894-2000)),IF($Z894&lt;=5200,"",IF($Z894&lt;=5800,N(INDEX(次果筐明细!$L$4:$L$603,$Z894-5200))+N(INDEX(次果筐明细!$J$4:$J$603,$Z894-5200)),"")))))</f>
        <v/>
      </c>
      <c r="L894" s="24" t="str">
        <f>IF($Z894="","",IF($Z894&lt;=2000,IF(INDEX(包装物料出入库明细!$P$4:$P$2003,$Z894-0)=0,"",INDEX(包装物料出入库明细!$P$4:$P$2003,$Z894-0)),IF($Z894&lt;=4000,IF(INDEX(周转筐出入库明细!$Q$4:$Q$2004,$Z894-2000)=0,"",INDEX(周转筐出入库明细!$Q$4:$Q$2004,$Z894-2000)),IF($Z894&lt;=5200,"",IF($Z894&lt;=5800,IF(INDEX(次果筐明细!$M$4:$M$603,$Z894-5200)=0,"",INDEX(次果筐明细!$M$4:$M$603,$Z894-5200)),"")))))</f>
        <v/>
      </c>
      <c r="M894" s="37" t="str">
        <f>IF($Z894="","",IF($Z894&lt;=2000,IF(INDEX(包装物料出入库明细!$R$4:$R$2003,$Z894-0)=0,"",INDEX(包装物料出入库明细!$R$4:$R$2003,$Z894-0)),IF($Z894&lt;=4000,IF(INDEX(周转筐出入库明细!$W$4:$W$2004,$Z894-2000)=0,"",INDEX(周转筐出入库明细!$W$4:$W$2004,$Z894-2000)),IF($Z894&lt;=5200,IF(INDEX(客户自备加工筐明细!$L$4:$L$1203,$Z894-4000)=0,"",INDEX(客户自备加工筐明细!$L$4:$L$1203,$Z894-4000)),IF($Z894&lt;=5800,IF(INDEX(次果筐明细!$P$4:$P$603,$Z894-5200)=0,"",INDEX(次果筐明细!$P$4:$P$603,$Z894-5200)),"")))))</f>
        <v/>
      </c>
      <c r="N894" s="16" t="str">
        <f>IF($Z894="","",IF($Z894&lt;=2000,"",IF($Z894&lt;=4000,IF(INDEX(周转筐出入库明细!$D$4:$D$2004,$Z894-2000)=0,"",INDEX(周转筐出入库明细!$D$4:$D$2004,$Z894-2000)),IF($Z894&lt;=5200,IF(INDEX(客户自备加工筐明细!$C$4:$C$1203,$Z894-4000)=0,"",INDEX(客户自备加工筐明细!$C$4:$C$1203,$Z894-4000)),IF($Z894&lt;=5800,IF(INDEX(次果筐明细!$D$4:$D$603,$Z894-5200)=0,"",INDEX(次果筐明细!$D$4:$D$603,$Z894-5200)),"")))))</f>
        <v/>
      </c>
      <c r="O894" s="40" t="str">
        <f>IF($Z894="","",IF($Z894&lt;=2000,"",IF($Z894&lt;=4000,IF(N(INDEX(周转筐出入库明细!$J$4:$J$2004,$Z894-2000))+N(INDEX(周转筐出入库明细!$K$4:$K$2004,$Z894-2000))=0,"",N(INDEX(周转筐出入库明细!$J$4:$J$2004,$Z894-2000))+N(INDEX(周转筐出入库明细!$K$4:$K$2004,$Z894-2000))),IF($Z894&lt;=5200,IF(N(INDEX(客户自备加工筐明细!$G$4:$G$1203,$Z894-4000))=0,"",N(INDEX(客户自备加工筐明细!$G$4:$G$1203,$Z894-4000))),IF($Z894&lt;=5800,IF(ISNUMBER(SEARCH("退",INDEX(次果筐明细!$F$4:$F$603,$Z894-5200)&amp;"")),"",IF(N(INDEX(次果筐明细!$G$4:$G$603,$Z894-5200))=0,"",N(INDEX(次果筐明细!$G$4:$G$603,$Z894-5200)))),"")))))</f>
        <v/>
      </c>
      <c r="P894" s="40" t="str">
        <f>IF($Z894="","",IF($Z894&lt;=2000,"",IF($Z894&lt;=4000,IF(N(INDEX(周转筐出入库明细!$I$4:$I$2004,$Z894-2000))=0,"",N(INDEX(周转筐出入库明细!$I$4:$I$2004,$Z894-2000))),IF($Z894&lt;=5200,"",IF($Z894&lt;=5800,IF(ISNUMBER(SEARCH("退",INDEX(次果筐明细!$F$4:$F$603,$Z894-5200)&amp;"")),IF(N(INDEX(次果筐明细!$G$4:$G$603,$Z894-5200))=0,"",N(INDEX(次果筐明细!$G$4:$G$603,$Z894-5200))),""),"")))))</f>
        <v/>
      </c>
      <c r="Q894" s="40" t="str">
        <f>IF($Z894="","",IF($Z894&lt;=2000,"",IF($Z894&lt;=4000,IF(N(INDEX(周转筐出入库明细!$H$4:$H$2004,$Z894-2000))=0,"",N(INDEX(周转筐出入库明细!$H$4:$H$2004,$Z894-2000))),IF($Z894&lt;=5200,IF(N(INDEX(客户自备加工筐明细!$F$4:$F$1203,$Z894-4000))=0,"",N(INDEX(客户自备加工筐明细!$F$4:$F$1203,$Z894-4000))),IF($Z894&lt;=5800,"","")))))</f>
        <v/>
      </c>
      <c r="R894" s="16" t="str">
        <f>IF($Z894="","",IF($Z894&lt;=2000,IF(INDEX(包装物料出入库明细!$O$4:$O$2003,$Z894-0)=0,"",INDEX(包装物料出入库明细!$O$4:$O$2003,$Z894-0)),IF($Z894&lt;=4000,IF(INDEX(周转筐出入库明细!$M$4:$M$2004,$Z894-2000)=0,"",INDEX(周转筐出入库明细!$M$4:$M$2004,$Z894-2000)),IF($Z894&lt;=5200,IF(INDEX(客户自备加工筐明细!$H$4:$H$1203,$Z894-4000)=0,"",INDEX(客户自备加工筐明细!$H$4:$H$1203,$Z894-4000)),IF($Z894&lt;=5800,IF(INDEX(次果筐明细!$H$4:$H$603,$Z894-5200)=0,"",INDEX(次果筐明细!$H$4:$H$603,$Z894-5200)),"")))))</f>
        <v/>
      </c>
      <c r="S894" s="22" t="str">
        <f t="shared" si="41"/>
        <v/>
      </c>
      <c r="Z894" s="10" t="str">
        <f>IFERROR(MATCH(ROW()-3,_自动清单!$CQ$4:$CQ$5803,0),"")</f>
        <v/>
      </c>
    </row>
    <row r="895" spans="1:26">
      <c r="A895" s="24" t="str">
        <f t="shared" si="39"/>
        <v/>
      </c>
      <c r="B895" s="38" t="str">
        <f>IF($Z895="","",IF($Z895&lt;=2000,IF(INDEX(包装物料出入库明细!$B$4:$B$2003,$Z895-0)=0,"",INDEX(包装物料出入库明细!$B$4:$B$2003,$Z895-0)),IF($Z895&lt;=4000,IF(INDEX(周转筐出入库明细!$B$4:$B$2004,$Z895-2000)=0,"",INDEX(周转筐出入库明细!$B$4:$B$2004,$Z895-2000)),IF($Z895&lt;=5200,IF(INDEX(客户自备加工筐明细!$B$4:$B$1203,$Z895-4000)=0,"",INDEX(客户自备加工筐明细!$B$4:$B$1203,$Z895-4000)),IF($Z895&lt;=5800,IF(INDEX(次果筐明细!$B$4:$B$603,$Z895-5200)=0,"",INDEX(次果筐明细!$B$4:$B$603,$Z895-5200)),"")))))</f>
        <v/>
      </c>
      <c r="C895" s="37" t="str">
        <f>IF($Z895="","",IF($Z895&lt;=2000,IF(INDEX(包装物料出入库明细!$D$4:$D$2003,$Z895-0)=0,"",INDEX(包装物料出入库明细!$D$4:$D$2003,$Z895-0)),IF($Z895&lt;=4000,IF(INDEX(周转筐出入库明细!$C$4:$C$2004,$Z895-2000)=0,"",INDEX(周转筐出入库明细!$C$4:$C$2004,$Z895-2000)),IF($Z895&lt;=5200,IF(INDEX(客户自备加工筐明细!$E$4:$E$1203,$Z895-4000)=0,"",INDEX(客户自备加工筐明细!$E$4:$E$1203,$Z895-4000)),IF($Z895&lt;=5800,IF(INDEX(次果筐明细!$C$4:$C$603,$Z895-5200)=0,"",INDEX(次果筐明细!$C$4:$C$603,$Z895-5200)),"")))))</f>
        <v/>
      </c>
      <c r="D895" s="37" t="str">
        <f>IF($Z895="","",IF($Z895&lt;=2000,"包装物料－"&amp;INDEX(包装物料出入库明细!$H$4:$H$2003,$Z895-0),IF($Z895&lt;=4000,"周转筐－"&amp;INDEX(周转筐出入库明细!$F$4:$F$2004,$Z895-2000),IF($Z895&lt;=5200,"客户自备筐－"&amp;INDEX(客户自备加工筐明细!$J$4:$J$1203,$Z895-4000),IF($Z895&lt;=5800,"次果筐/托盘－"&amp;INDEX(次果筐明细!$F$4:$F$603,$Z895-5200),"")))))</f>
        <v/>
      </c>
      <c r="E895" s="24" t="str">
        <f>IF($Z895="","",IF($Z895&lt;=2000,IF(INDEX(包装物料出入库明细!$C$4:$C$2003,$Z895-0)=0,"",INDEX(包装物料出入库明细!$C$4:$C$2003,$Z895-0)),IF($Z895&lt;=4000,IF(INDEX(周转筐出入库明细!$E$4:$E$2004,$Z895-2000)=0,"",INDEX(周转筐出入库明细!$E$4:$E$2004,$Z895-2000)),IF($Z895&lt;=5200,IF(INDEX(客户自备加工筐明细!$D$4:$D$1203,$Z895-4000)=0,"",INDEX(客户自备加工筐明细!$D$4:$D$1203,$Z895-4000)),IF($Z895&lt;=5800,IF(INDEX(次果筐明细!$E$4:$E$603,$Z895-5200)=0,"",INDEX(次果筐明细!$E$4:$E$603,$Z895-5200)),"")))))</f>
        <v/>
      </c>
      <c r="F895" s="24" t="str">
        <f>IF($Z895="","",IF($Z895&lt;=2000,IF(INDEX(包装物料出入库明细!$E$4:$E$2003,$Z895-0)=0,"",INDEX(包装物料出入库明细!$E$4:$E$2003,$Z895-0)),IF($Z895&lt;=4000,IF(INDEX(周转筐出入库明细!$D$4:$D$2004,$Z895-2000)=0,"",INDEX(周转筐出入库明细!$D$4:$D$2004,$Z895-2000)),IF($Z895&lt;=5200,IF(INDEX(客户自备加工筐明细!$C$4:$C$1203,$Z895-4000)=0,"",INDEX(客户自备加工筐明细!$C$4:$C$1203,$Z895-4000)),IF($Z895&lt;=5800,IF(INDEX(次果筐明细!$D$4:$D$603,$Z895-5200)=0,"",INDEX(次果筐明细!$D$4:$D$603,$Z895-5200)),"")))))</f>
        <v/>
      </c>
      <c r="G895" s="24" t="str">
        <f>IF($Z895="","",IF($Z895&lt;=2000,IF(INDEX(包装物料出入库明细!$F$4:$F$2003,$Z895-0)=0,"",INDEX(包装物料出入库明细!$F$4:$F$2003,$Z895-0)),IF($Z895&lt;=4000,"",IF($Z895&lt;=5200,"",IF($Z895&lt;=5800,"","")))))</f>
        <v/>
      </c>
      <c r="H895" s="39" t="str">
        <f>IF($Z895="","",IF($Z895&lt;=2000,IF(INDEX(包装物料出入库明细!$L$4:$L$2003,$Z895-0)=0,"",INDEX(包装物料出入库明细!$L$4:$L$2003,$Z895-0)),IF($Z895&lt;=4000,N(INDEX(周转筐出入库明细!$H$4:$H$2004,$Z895-2000))+N(INDEX(周转筐出入库明细!$I$4:$I$2004,$Z895-2000))+N(INDEX(周转筐出入库明细!$J$4:$J$2004,$Z895-2000))+N(INDEX(周转筐出入库明细!$K$4:$K$2004,$Z895-2000)),IF($Z895&lt;=5200,N(INDEX(客户自备加工筐明细!$F$4:$F$1203,$Z895-4000))+N(INDEX(客户自备加工筐明细!$G$4:$G$1203,$Z895-4000)),IF($Z895&lt;=5800,IF(INDEX(次果筐明细!$G$4:$G$603,$Z895-5200)=0,"",INDEX(次果筐明细!$G$4:$G$603,$Z895-5200)),"")))))</f>
        <v/>
      </c>
      <c r="I895" s="24" t="str">
        <f>IF($Z895="","",IF($Z895&lt;=2000,IF(INDEX(包装物料出入库明细!$G$4:$G$2003,$Z895-0)=0,"",INDEX(包装物料出入库明细!$G$4:$G$2003,$Z895-0)),IF($Z895&lt;=4000,"个",IF($Z895&lt;=5200,"个",IF($Z895&lt;=5800,"个","")))))</f>
        <v/>
      </c>
      <c r="J895" s="30" t="str">
        <f t="shared" si="40"/>
        <v/>
      </c>
      <c r="K895" s="30" t="str">
        <f>IF($Z895="","",IF($Z895&lt;=2000,IF(INDEX(包装物料出入库明细!$N$4:$N$2003,$Z895-0)=0,"",INDEX(包装物料出入库明细!$N$4:$N$2003,$Z895-0)),IF($Z895&lt;=4000,IF(INDEX(周转筐出入库明细!$P$4:$P$2004,$Z895-2000)=0,"",INDEX(周转筐出入库明细!$P$4:$P$2004,$Z895-2000)),IF($Z895&lt;=5200,"",IF($Z895&lt;=5800,N(INDEX(次果筐明细!$L$4:$L$603,$Z895-5200))+N(INDEX(次果筐明细!$J$4:$J$603,$Z895-5200)),"")))))</f>
        <v/>
      </c>
      <c r="L895" s="24" t="str">
        <f>IF($Z895="","",IF($Z895&lt;=2000,IF(INDEX(包装物料出入库明细!$P$4:$P$2003,$Z895-0)=0,"",INDEX(包装物料出入库明细!$P$4:$P$2003,$Z895-0)),IF($Z895&lt;=4000,IF(INDEX(周转筐出入库明细!$Q$4:$Q$2004,$Z895-2000)=0,"",INDEX(周转筐出入库明细!$Q$4:$Q$2004,$Z895-2000)),IF($Z895&lt;=5200,"",IF($Z895&lt;=5800,IF(INDEX(次果筐明细!$M$4:$M$603,$Z895-5200)=0,"",INDEX(次果筐明细!$M$4:$M$603,$Z895-5200)),"")))))</f>
        <v/>
      </c>
      <c r="M895" s="37" t="str">
        <f>IF($Z895="","",IF($Z895&lt;=2000,IF(INDEX(包装物料出入库明细!$R$4:$R$2003,$Z895-0)=0,"",INDEX(包装物料出入库明细!$R$4:$R$2003,$Z895-0)),IF($Z895&lt;=4000,IF(INDEX(周转筐出入库明细!$W$4:$W$2004,$Z895-2000)=0,"",INDEX(周转筐出入库明细!$W$4:$W$2004,$Z895-2000)),IF($Z895&lt;=5200,IF(INDEX(客户自备加工筐明细!$L$4:$L$1203,$Z895-4000)=0,"",INDEX(客户自备加工筐明细!$L$4:$L$1203,$Z895-4000)),IF($Z895&lt;=5800,IF(INDEX(次果筐明细!$P$4:$P$603,$Z895-5200)=0,"",INDEX(次果筐明细!$P$4:$P$603,$Z895-5200)),"")))))</f>
        <v/>
      </c>
      <c r="N895" s="16" t="str">
        <f>IF($Z895="","",IF($Z895&lt;=2000,"",IF($Z895&lt;=4000,IF(INDEX(周转筐出入库明细!$D$4:$D$2004,$Z895-2000)=0,"",INDEX(周转筐出入库明细!$D$4:$D$2004,$Z895-2000)),IF($Z895&lt;=5200,IF(INDEX(客户自备加工筐明细!$C$4:$C$1203,$Z895-4000)=0,"",INDEX(客户自备加工筐明细!$C$4:$C$1203,$Z895-4000)),IF($Z895&lt;=5800,IF(INDEX(次果筐明细!$D$4:$D$603,$Z895-5200)=0,"",INDEX(次果筐明细!$D$4:$D$603,$Z895-5200)),"")))))</f>
        <v/>
      </c>
      <c r="O895" s="40" t="str">
        <f>IF($Z895="","",IF($Z895&lt;=2000,"",IF($Z895&lt;=4000,IF(N(INDEX(周转筐出入库明细!$J$4:$J$2004,$Z895-2000))+N(INDEX(周转筐出入库明细!$K$4:$K$2004,$Z895-2000))=0,"",N(INDEX(周转筐出入库明细!$J$4:$J$2004,$Z895-2000))+N(INDEX(周转筐出入库明细!$K$4:$K$2004,$Z895-2000))),IF($Z895&lt;=5200,IF(N(INDEX(客户自备加工筐明细!$G$4:$G$1203,$Z895-4000))=0,"",N(INDEX(客户自备加工筐明细!$G$4:$G$1203,$Z895-4000))),IF($Z895&lt;=5800,IF(ISNUMBER(SEARCH("退",INDEX(次果筐明细!$F$4:$F$603,$Z895-5200)&amp;"")),"",IF(N(INDEX(次果筐明细!$G$4:$G$603,$Z895-5200))=0,"",N(INDEX(次果筐明细!$G$4:$G$603,$Z895-5200)))),"")))))</f>
        <v/>
      </c>
      <c r="P895" s="40" t="str">
        <f>IF($Z895="","",IF($Z895&lt;=2000,"",IF($Z895&lt;=4000,IF(N(INDEX(周转筐出入库明细!$I$4:$I$2004,$Z895-2000))=0,"",N(INDEX(周转筐出入库明细!$I$4:$I$2004,$Z895-2000))),IF($Z895&lt;=5200,"",IF($Z895&lt;=5800,IF(ISNUMBER(SEARCH("退",INDEX(次果筐明细!$F$4:$F$603,$Z895-5200)&amp;"")),IF(N(INDEX(次果筐明细!$G$4:$G$603,$Z895-5200))=0,"",N(INDEX(次果筐明细!$G$4:$G$603,$Z895-5200))),""),"")))))</f>
        <v/>
      </c>
      <c r="Q895" s="40" t="str">
        <f>IF($Z895="","",IF($Z895&lt;=2000,"",IF($Z895&lt;=4000,IF(N(INDEX(周转筐出入库明细!$H$4:$H$2004,$Z895-2000))=0,"",N(INDEX(周转筐出入库明细!$H$4:$H$2004,$Z895-2000))),IF($Z895&lt;=5200,IF(N(INDEX(客户自备加工筐明细!$F$4:$F$1203,$Z895-4000))=0,"",N(INDEX(客户自备加工筐明细!$F$4:$F$1203,$Z895-4000))),IF($Z895&lt;=5800,"","")))))</f>
        <v/>
      </c>
      <c r="R895" s="16" t="str">
        <f>IF($Z895="","",IF($Z895&lt;=2000,IF(INDEX(包装物料出入库明细!$O$4:$O$2003,$Z895-0)=0,"",INDEX(包装物料出入库明细!$O$4:$O$2003,$Z895-0)),IF($Z895&lt;=4000,IF(INDEX(周转筐出入库明细!$M$4:$M$2004,$Z895-2000)=0,"",INDEX(周转筐出入库明细!$M$4:$M$2004,$Z895-2000)),IF($Z895&lt;=5200,IF(INDEX(客户自备加工筐明细!$H$4:$H$1203,$Z895-4000)=0,"",INDEX(客户自备加工筐明细!$H$4:$H$1203,$Z895-4000)),IF($Z895&lt;=5800,IF(INDEX(次果筐明细!$H$4:$H$603,$Z895-5200)=0,"",INDEX(次果筐明细!$H$4:$H$603,$Z895-5200)),"")))))</f>
        <v/>
      </c>
      <c r="S895" s="22" t="str">
        <f t="shared" si="41"/>
        <v/>
      </c>
      <c r="Z895" s="10" t="str">
        <f>IFERROR(MATCH(ROW()-3,_自动清单!$CQ$4:$CQ$5803,0),"")</f>
        <v/>
      </c>
    </row>
    <row r="896" spans="1:26">
      <c r="A896" s="24" t="str">
        <f t="shared" si="39"/>
        <v/>
      </c>
      <c r="B896" s="38" t="str">
        <f>IF($Z896="","",IF($Z896&lt;=2000,IF(INDEX(包装物料出入库明细!$B$4:$B$2003,$Z896-0)=0,"",INDEX(包装物料出入库明细!$B$4:$B$2003,$Z896-0)),IF($Z896&lt;=4000,IF(INDEX(周转筐出入库明细!$B$4:$B$2004,$Z896-2000)=0,"",INDEX(周转筐出入库明细!$B$4:$B$2004,$Z896-2000)),IF($Z896&lt;=5200,IF(INDEX(客户自备加工筐明细!$B$4:$B$1203,$Z896-4000)=0,"",INDEX(客户自备加工筐明细!$B$4:$B$1203,$Z896-4000)),IF($Z896&lt;=5800,IF(INDEX(次果筐明细!$B$4:$B$603,$Z896-5200)=0,"",INDEX(次果筐明细!$B$4:$B$603,$Z896-5200)),"")))))</f>
        <v/>
      </c>
      <c r="C896" s="37" t="str">
        <f>IF($Z896="","",IF($Z896&lt;=2000,IF(INDEX(包装物料出入库明细!$D$4:$D$2003,$Z896-0)=0,"",INDEX(包装物料出入库明细!$D$4:$D$2003,$Z896-0)),IF($Z896&lt;=4000,IF(INDEX(周转筐出入库明细!$C$4:$C$2004,$Z896-2000)=0,"",INDEX(周转筐出入库明细!$C$4:$C$2004,$Z896-2000)),IF($Z896&lt;=5200,IF(INDEX(客户自备加工筐明细!$E$4:$E$1203,$Z896-4000)=0,"",INDEX(客户自备加工筐明细!$E$4:$E$1203,$Z896-4000)),IF($Z896&lt;=5800,IF(INDEX(次果筐明细!$C$4:$C$603,$Z896-5200)=0,"",INDEX(次果筐明细!$C$4:$C$603,$Z896-5200)),"")))))</f>
        <v/>
      </c>
      <c r="D896" s="37" t="str">
        <f>IF($Z896="","",IF($Z896&lt;=2000,"包装物料－"&amp;INDEX(包装物料出入库明细!$H$4:$H$2003,$Z896-0),IF($Z896&lt;=4000,"周转筐－"&amp;INDEX(周转筐出入库明细!$F$4:$F$2004,$Z896-2000),IF($Z896&lt;=5200,"客户自备筐－"&amp;INDEX(客户自备加工筐明细!$J$4:$J$1203,$Z896-4000),IF($Z896&lt;=5800,"次果筐/托盘－"&amp;INDEX(次果筐明细!$F$4:$F$603,$Z896-5200),"")))))</f>
        <v/>
      </c>
      <c r="E896" s="24" t="str">
        <f>IF($Z896="","",IF($Z896&lt;=2000,IF(INDEX(包装物料出入库明细!$C$4:$C$2003,$Z896-0)=0,"",INDEX(包装物料出入库明细!$C$4:$C$2003,$Z896-0)),IF($Z896&lt;=4000,IF(INDEX(周转筐出入库明细!$E$4:$E$2004,$Z896-2000)=0,"",INDEX(周转筐出入库明细!$E$4:$E$2004,$Z896-2000)),IF($Z896&lt;=5200,IF(INDEX(客户自备加工筐明细!$D$4:$D$1203,$Z896-4000)=0,"",INDEX(客户自备加工筐明细!$D$4:$D$1203,$Z896-4000)),IF($Z896&lt;=5800,IF(INDEX(次果筐明细!$E$4:$E$603,$Z896-5200)=0,"",INDEX(次果筐明细!$E$4:$E$603,$Z896-5200)),"")))))</f>
        <v/>
      </c>
      <c r="F896" s="24" t="str">
        <f>IF($Z896="","",IF($Z896&lt;=2000,IF(INDEX(包装物料出入库明细!$E$4:$E$2003,$Z896-0)=0,"",INDEX(包装物料出入库明细!$E$4:$E$2003,$Z896-0)),IF($Z896&lt;=4000,IF(INDEX(周转筐出入库明细!$D$4:$D$2004,$Z896-2000)=0,"",INDEX(周转筐出入库明细!$D$4:$D$2004,$Z896-2000)),IF($Z896&lt;=5200,IF(INDEX(客户自备加工筐明细!$C$4:$C$1203,$Z896-4000)=0,"",INDEX(客户自备加工筐明细!$C$4:$C$1203,$Z896-4000)),IF($Z896&lt;=5800,IF(INDEX(次果筐明细!$D$4:$D$603,$Z896-5200)=0,"",INDEX(次果筐明细!$D$4:$D$603,$Z896-5200)),"")))))</f>
        <v/>
      </c>
      <c r="G896" s="24" t="str">
        <f>IF($Z896="","",IF($Z896&lt;=2000,IF(INDEX(包装物料出入库明细!$F$4:$F$2003,$Z896-0)=0,"",INDEX(包装物料出入库明细!$F$4:$F$2003,$Z896-0)),IF($Z896&lt;=4000,"",IF($Z896&lt;=5200,"",IF($Z896&lt;=5800,"","")))))</f>
        <v/>
      </c>
      <c r="H896" s="39" t="str">
        <f>IF($Z896="","",IF($Z896&lt;=2000,IF(INDEX(包装物料出入库明细!$L$4:$L$2003,$Z896-0)=0,"",INDEX(包装物料出入库明细!$L$4:$L$2003,$Z896-0)),IF($Z896&lt;=4000,N(INDEX(周转筐出入库明细!$H$4:$H$2004,$Z896-2000))+N(INDEX(周转筐出入库明细!$I$4:$I$2004,$Z896-2000))+N(INDEX(周转筐出入库明细!$J$4:$J$2004,$Z896-2000))+N(INDEX(周转筐出入库明细!$K$4:$K$2004,$Z896-2000)),IF($Z896&lt;=5200,N(INDEX(客户自备加工筐明细!$F$4:$F$1203,$Z896-4000))+N(INDEX(客户自备加工筐明细!$G$4:$G$1203,$Z896-4000)),IF($Z896&lt;=5800,IF(INDEX(次果筐明细!$G$4:$G$603,$Z896-5200)=0,"",INDEX(次果筐明细!$G$4:$G$603,$Z896-5200)),"")))))</f>
        <v/>
      </c>
      <c r="I896" s="24" t="str">
        <f>IF($Z896="","",IF($Z896&lt;=2000,IF(INDEX(包装物料出入库明细!$G$4:$G$2003,$Z896-0)=0,"",INDEX(包装物料出入库明细!$G$4:$G$2003,$Z896-0)),IF($Z896&lt;=4000,"个",IF($Z896&lt;=5200,"个",IF($Z896&lt;=5800,"个","")))))</f>
        <v/>
      </c>
      <c r="J896" s="30" t="str">
        <f t="shared" si="40"/>
        <v/>
      </c>
      <c r="K896" s="30" t="str">
        <f>IF($Z896="","",IF($Z896&lt;=2000,IF(INDEX(包装物料出入库明细!$N$4:$N$2003,$Z896-0)=0,"",INDEX(包装物料出入库明细!$N$4:$N$2003,$Z896-0)),IF($Z896&lt;=4000,IF(INDEX(周转筐出入库明细!$P$4:$P$2004,$Z896-2000)=0,"",INDEX(周转筐出入库明细!$P$4:$P$2004,$Z896-2000)),IF($Z896&lt;=5200,"",IF($Z896&lt;=5800,N(INDEX(次果筐明细!$L$4:$L$603,$Z896-5200))+N(INDEX(次果筐明细!$J$4:$J$603,$Z896-5200)),"")))))</f>
        <v/>
      </c>
      <c r="L896" s="24" t="str">
        <f>IF($Z896="","",IF($Z896&lt;=2000,IF(INDEX(包装物料出入库明细!$P$4:$P$2003,$Z896-0)=0,"",INDEX(包装物料出入库明细!$P$4:$P$2003,$Z896-0)),IF($Z896&lt;=4000,IF(INDEX(周转筐出入库明细!$Q$4:$Q$2004,$Z896-2000)=0,"",INDEX(周转筐出入库明细!$Q$4:$Q$2004,$Z896-2000)),IF($Z896&lt;=5200,"",IF($Z896&lt;=5800,IF(INDEX(次果筐明细!$M$4:$M$603,$Z896-5200)=0,"",INDEX(次果筐明细!$M$4:$M$603,$Z896-5200)),"")))))</f>
        <v/>
      </c>
      <c r="M896" s="37" t="str">
        <f>IF($Z896="","",IF($Z896&lt;=2000,IF(INDEX(包装物料出入库明细!$R$4:$R$2003,$Z896-0)=0,"",INDEX(包装物料出入库明细!$R$4:$R$2003,$Z896-0)),IF($Z896&lt;=4000,IF(INDEX(周转筐出入库明细!$W$4:$W$2004,$Z896-2000)=0,"",INDEX(周转筐出入库明细!$W$4:$W$2004,$Z896-2000)),IF($Z896&lt;=5200,IF(INDEX(客户自备加工筐明细!$L$4:$L$1203,$Z896-4000)=0,"",INDEX(客户自备加工筐明细!$L$4:$L$1203,$Z896-4000)),IF($Z896&lt;=5800,IF(INDEX(次果筐明细!$P$4:$P$603,$Z896-5200)=0,"",INDEX(次果筐明细!$P$4:$P$603,$Z896-5200)),"")))))</f>
        <v/>
      </c>
      <c r="N896" s="16" t="str">
        <f>IF($Z896="","",IF($Z896&lt;=2000,"",IF($Z896&lt;=4000,IF(INDEX(周转筐出入库明细!$D$4:$D$2004,$Z896-2000)=0,"",INDEX(周转筐出入库明细!$D$4:$D$2004,$Z896-2000)),IF($Z896&lt;=5200,IF(INDEX(客户自备加工筐明细!$C$4:$C$1203,$Z896-4000)=0,"",INDEX(客户自备加工筐明细!$C$4:$C$1203,$Z896-4000)),IF($Z896&lt;=5800,IF(INDEX(次果筐明细!$D$4:$D$603,$Z896-5200)=0,"",INDEX(次果筐明细!$D$4:$D$603,$Z896-5200)),"")))))</f>
        <v/>
      </c>
      <c r="O896" s="40" t="str">
        <f>IF($Z896="","",IF($Z896&lt;=2000,"",IF($Z896&lt;=4000,IF(N(INDEX(周转筐出入库明细!$J$4:$J$2004,$Z896-2000))+N(INDEX(周转筐出入库明细!$K$4:$K$2004,$Z896-2000))=0,"",N(INDEX(周转筐出入库明细!$J$4:$J$2004,$Z896-2000))+N(INDEX(周转筐出入库明细!$K$4:$K$2004,$Z896-2000))),IF($Z896&lt;=5200,IF(N(INDEX(客户自备加工筐明细!$G$4:$G$1203,$Z896-4000))=0,"",N(INDEX(客户自备加工筐明细!$G$4:$G$1203,$Z896-4000))),IF($Z896&lt;=5800,IF(ISNUMBER(SEARCH("退",INDEX(次果筐明细!$F$4:$F$603,$Z896-5200)&amp;"")),"",IF(N(INDEX(次果筐明细!$G$4:$G$603,$Z896-5200))=0,"",N(INDEX(次果筐明细!$G$4:$G$603,$Z896-5200)))),"")))))</f>
        <v/>
      </c>
      <c r="P896" s="40" t="str">
        <f>IF($Z896="","",IF($Z896&lt;=2000,"",IF($Z896&lt;=4000,IF(N(INDEX(周转筐出入库明细!$I$4:$I$2004,$Z896-2000))=0,"",N(INDEX(周转筐出入库明细!$I$4:$I$2004,$Z896-2000))),IF($Z896&lt;=5200,"",IF($Z896&lt;=5800,IF(ISNUMBER(SEARCH("退",INDEX(次果筐明细!$F$4:$F$603,$Z896-5200)&amp;"")),IF(N(INDEX(次果筐明细!$G$4:$G$603,$Z896-5200))=0,"",N(INDEX(次果筐明细!$G$4:$G$603,$Z896-5200))),""),"")))))</f>
        <v/>
      </c>
      <c r="Q896" s="40" t="str">
        <f>IF($Z896="","",IF($Z896&lt;=2000,"",IF($Z896&lt;=4000,IF(N(INDEX(周转筐出入库明细!$H$4:$H$2004,$Z896-2000))=0,"",N(INDEX(周转筐出入库明细!$H$4:$H$2004,$Z896-2000))),IF($Z896&lt;=5200,IF(N(INDEX(客户自备加工筐明细!$F$4:$F$1203,$Z896-4000))=0,"",N(INDEX(客户自备加工筐明细!$F$4:$F$1203,$Z896-4000))),IF($Z896&lt;=5800,"","")))))</f>
        <v/>
      </c>
      <c r="R896" s="16" t="str">
        <f>IF($Z896="","",IF($Z896&lt;=2000,IF(INDEX(包装物料出入库明细!$O$4:$O$2003,$Z896-0)=0,"",INDEX(包装物料出入库明细!$O$4:$O$2003,$Z896-0)),IF($Z896&lt;=4000,IF(INDEX(周转筐出入库明细!$M$4:$M$2004,$Z896-2000)=0,"",INDEX(周转筐出入库明细!$M$4:$M$2004,$Z896-2000)),IF($Z896&lt;=5200,IF(INDEX(客户自备加工筐明细!$H$4:$H$1203,$Z896-4000)=0,"",INDEX(客户自备加工筐明细!$H$4:$H$1203,$Z896-4000)),IF($Z896&lt;=5800,IF(INDEX(次果筐明细!$H$4:$H$603,$Z896-5200)=0,"",INDEX(次果筐明细!$H$4:$H$603,$Z896-5200)),"")))))</f>
        <v/>
      </c>
      <c r="S896" s="22" t="str">
        <f t="shared" si="41"/>
        <v/>
      </c>
      <c r="Z896" s="10" t="str">
        <f>IFERROR(MATCH(ROW()-3,_自动清单!$CQ$4:$CQ$5803,0),"")</f>
        <v/>
      </c>
    </row>
    <row r="897" spans="1:26">
      <c r="A897" s="24" t="str">
        <f t="shared" si="39"/>
        <v/>
      </c>
      <c r="B897" s="38" t="str">
        <f>IF($Z897="","",IF($Z897&lt;=2000,IF(INDEX(包装物料出入库明细!$B$4:$B$2003,$Z897-0)=0,"",INDEX(包装物料出入库明细!$B$4:$B$2003,$Z897-0)),IF($Z897&lt;=4000,IF(INDEX(周转筐出入库明细!$B$4:$B$2004,$Z897-2000)=0,"",INDEX(周转筐出入库明细!$B$4:$B$2004,$Z897-2000)),IF($Z897&lt;=5200,IF(INDEX(客户自备加工筐明细!$B$4:$B$1203,$Z897-4000)=0,"",INDEX(客户自备加工筐明细!$B$4:$B$1203,$Z897-4000)),IF($Z897&lt;=5800,IF(INDEX(次果筐明细!$B$4:$B$603,$Z897-5200)=0,"",INDEX(次果筐明细!$B$4:$B$603,$Z897-5200)),"")))))</f>
        <v/>
      </c>
      <c r="C897" s="37" t="str">
        <f>IF($Z897="","",IF($Z897&lt;=2000,IF(INDEX(包装物料出入库明细!$D$4:$D$2003,$Z897-0)=0,"",INDEX(包装物料出入库明细!$D$4:$D$2003,$Z897-0)),IF($Z897&lt;=4000,IF(INDEX(周转筐出入库明细!$C$4:$C$2004,$Z897-2000)=0,"",INDEX(周转筐出入库明细!$C$4:$C$2004,$Z897-2000)),IF($Z897&lt;=5200,IF(INDEX(客户自备加工筐明细!$E$4:$E$1203,$Z897-4000)=0,"",INDEX(客户自备加工筐明细!$E$4:$E$1203,$Z897-4000)),IF($Z897&lt;=5800,IF(INDEX(次果筐明细!$C$4:$C$603,$Z897-5200)=0,"",INDEX(次果筐明细!$C$4:$C$603,$Z897-5200)),"")))))</f>
        <v/>
      </c>
      <c r="D897" s="37" t="str">
        <f>IF($Z897="","",IF($Z897&lt;=2000,"包装物料－"&amp;INDEX(包装物料出入库明细!$H$4:$H$2003,$Z897-0),IF($Z897&lt;=4000,"周转筐－"&amp;INDEX(周转筐出入库明细!$F$4:$F$2004,$Z897-2000),IF($Z897&lt;=5200,"客户自备筐－"&amp;INDEX(客户自备加工筐明细!$J$4:$J$1203,$Z897-4000),IF($Z897&lt;=5800,"次果筐/托盘－"&amp;INDEX(次果筐明细!$F$4:$F$603,$Z897-5200),"")))))</f>
        <v/>
      </c>
      <c r="E897" s="24" t="str">
        <f>IF($Z897="","",IF($Z897&lt;=2000,IF(INDEX(包装物料出入库明细!$C$4:$C$2003,$Z897-0)=0,"",INDEX(包装物料出入库明细!$C$4:$C$2003,$Z897-0)),IF($Z897&lt;=4000,IF(INDEX(周转筐出入库明细!$E$4:$E$2004,$Z897-2000)=0,"",INDEX(周转筐出入库明细!$E$4:$E$2004,$Z897-2000)),IF($Z897&lt;=5200,IF(INDEX(客户自备加工筐明细!$D$4:$D$1203,$Z897-4000)=0,"",INDEX(客户自备加工筐明细!$D$4:$D$1203,$Z897-4000)),IF($Z897&lt;=5800,IF(INDEX(次果筐明细!$E$4:$E$603,$Z897-5200)=0,"",INDEX(次果筐明细!$E$4:$E$603,$Z897-5200)),"")))))</f>
        <v/>
      </c>
      <c r="F897" s="24" t="str">
        <f>IF($Z897="","",IF($Z897&lt;=2000,IF(INDEX(包装物料出入库明细!$E$4:$E$2003,$Z897-0)=0,"",INDEX(包装物料出入库明细!$E$4:$E$2003,$Z897-0)),IF($Z897&lt;=4000,IF(INDEX(周转筐出入库明细!$D$4:$D$2004,$Z897-2000)=0,"",INDEX(周转筐出入库明细!$D$4:$D$2004,$Z897-2000)),IF($Z897&lt;=5200,IF(INDEX(客户自备加工筐明细!$C$4:$C$1203,$Z897-4000)=0,"",INDEX(客户自备加工筐明细!$C$4:$C$1203,$Z897-4000)),IF($Z897&lt;=5800,IF(INDEX(次果筐明细!$D$4:$D$603,$Z897-5200)=0,"",INDEX(次果筐明细!$D$4:$D$603,$Z897-5200)),"")))))</f>
        <v/>
      </c>
      <c r="G897" s="24" t="str">
        <f>IF($Z897="","",IF($Z897&lt;=2000,IF(INDEX(包装物料出入库明细!$F$4:$F$2003,$Z897-0)=0,"",INDEX(包装物料出入库明细!$F$4:$F$2003,$Z897-0)),IF($Z897&lt;=4000,"",IF($Z897&lt;=5200,"",IF($Z897&lt;=5800,"","")))))</f>
        <v/>
      </c>
      <c r="H897" s="39" t="str">
        <f>IF($Z897="","",IF($Z897&lt;=2000,IF(INDEX(包装物料出入库明细!$L$4:$L$2003,$Z897-0)=0,"",INDEX(包装物料出入库明细!$L$4:$L$2003,$Z897-0)),IF($Z897&lt;=4000,N(INDEX(周转筐出入库明细!$H$4:$H$2004,$Z897-2000))+N(INDEX(周转筐出入库明细!$I$4:$I$2004,$Z897-2000))+N(INDEX(周转筐出入库明细!$J$4:$J$2004,$Z897-2000))+N(INDEX(周转筐出入库明细!$K$4:$K$2004,$Z897-2000)),IF($Z897&lt;=5200,N(INDEX(客户自备加工筐明细!$F$4:$F$1203,$Z897-4000))+N(INDEX(客户自备加工筐明细!$G$4:$G$1203,$Z897-4000)),IF($Z897&lt;=5800,IF(INDEX(次果筐明细!$G$4:$G$603,$Z897-5200)=0,"",INDEX(次果筐明细!$G$4:$G$603,$Z897-5200)),"")))))</f>
        <v/>
      </c>
      <c r="I897" s="24" t="str">
        <f>IF($Z897="","",IF($Z897&lt;=2000,IF(INDEX(包装物料出入库明细!$G$4:$G$2003,$Z897-0)=0,"",INDEX(包装物料出入库明细!$G$4:$G$2003,$Z897-0)),IF($Z897&lt;=4000,"个",IF($Z897&lt;=5200,"个",IF($Z897&lt;=5800,"个","")))))</f>
        <v/>
      </c>
      <c r="J897" s="30" t="str">
        <f t="shared" si="40"/>
        <v/>
      </c>
      <c r="K897" s="30" t="str">
        <f>IF($Z897="","",IF($Z897&lt;=2000,IF(INDEX(包装物料出入库明细!$N$4:$N$2003,$Z897-0)=0,"",INDEX(包装物料出入库明细!$N$4:$N$2003,$Z897-0)),IF($Z897&lt;=4000,IF(INDEX(周转筐出入库明细!$P$4:$P$2004,$Z897-2000)=0,"",INDEX(周转筐出入库明细!$P$4:$P$2004,$Z897-2000)),IF($Z897&lt;=5200,"",IF($Z897&lt;=5800,N(INDEX(次果筐明细!$L$4:$L$603,$Z897-5200))+N(INDEX(次果筐明细!$J$4:$J$603,$Z897-5200)),"")))))</f>
        <v/>
      </c>
      <c r="L897" s="24" t="str">
        <f>IF($Z897="","",IF($Z897&lt;=2000,IF(INDEX(包装物料出入库明细!$P$4:$P$2003,$Z897-0)=0,"",INDEX(包装物料出入库明细!$P$4:$P$2003,$Z897-0)),IF($Z897&lt;=4000,IF(INDEX(周转筐出入库明细!$Q$4:$Q$2004,$Z897-2000)=0,"",INDEX(周转筐出入库明细!$Q$4:$Q$2004,$Z897-2000)),IF($Z897&lt;=5200,"",IF($Z897&lt;=5800,IF(INDEX(次果筐明细!$M$4:$M$603,$Z897-5200)=0,"",INDEX(次果筐明细!$M$4:$M$603,$Z897-5200)),"")))))</f>
        <v/>
      </c>
      <c r="M897" s="37" t="str">
        <f>IF($Z897="","",IF($Z897&lt;=2000,IF(INDEX(包装物料出入库明细!$R$4:$R$2003,$Z897-0)=0,"",INDEX(包装物料出入库明细!$R$4:$R$2003,$Z897-0)),IF($Z897&lt;=4000,IF(INDEX(周转筐出入库明细!$W$4:$W$2004,$Z897-2000)=0,"",INDEX(周转筐出入库明细!$W$4:$W$2004,$Z897-2000)),IF($Z897&lt;=5200,IF(INDEX(客户自备加工筐明细!$L$4:$L$1203,$Z897-4000)=0,"",INDEX(客户自备加工筐明细!$L$4:$L$1203,$Z897-4000)),IF($Z897&lt;=5800,IF(INDEX(次果筐明细!$P$4:$P$603,$Z897-5200)=0,"",INDEX(次果筐明细!$P$4:$P$603,$Z897-5200)),"")))))</f>
        <v/>
      </c>
      <c r="N897" s="16" t="str">
        <f>IF($Z897="","",IF($Z897&lt;=2000,"",IF($Z897&lt;=4000,IF(INDEX(周转筐出入库明细!$D$4:$D$2004,$Z897-2000)=0,"",INDEX(周转筐出入库明细!$D$4:$D$2004,$Z897-2000)),IF($Z897&lt;=5200,IF(INDEX(客户自备加工筐明细!$C$4:$C$1203,$Z897-4000)=0,"",INDEX(客户自备加工筐明细!$C$4:$C$1203,$Z897-4000)),IF($Z897&lt;=5800,IF(INDEX(次果筐明细!$D$4:$D$603,$Z897-5200)=0,"",INDEX(次果筐明细!$D$4:$D$603,$Z897-5200)),"")))))</f>
        <v/>
      </c>
      <c r="O897" s="40" t="str">
        <f>IF($Z897="","",IF($Z897&lt;=2000,"",IF($Z897&lt;=4000,IF(N(INDEX(周转筐出入库明细!$J$4:$J$2004,$Z897-2000))+N(INDEX(周转筐出入库明细!$K$4:$K$2004,$Z897-2000))=0,"",N(INDEX(周转筐出入库明细!$J$4:$J$2004,$Z897-2000))+N(INDEX(周转筐出入库明细!$K$4:$K$2004,$Z897-2000))),IF($Z897&lt;=5200,IF(N(INDEX(客户自备加工筐明细!$G$4:$G$1203,$Z897-4000))=0,"",N(INDEX(客户自备加工筐明细!$G$4:$G$1203,$Z897-4000))),IF($Z897&lt;=5800,IF(ISNUMBER(SEARCH("退",INDEX(次果筐明细!$F$4:$F$603,$Z897-5200)&amp;"")),"",IF(N(INDEX(次果筐明细!$G$4:$G$603,$Z897-5200))=0,"",N(INDEX(次果筐明细!$G$4:$G$603,$Z897-5200)))),"")))))</f>
        <v/>
      </c>
      <c r="P897" s="40" t="str">
        <f>IF($Z897="","",IF($Z897&lt;=2000,"",IF($Z897&lt;=4000,IF(N(INDEX(周转筐出入库明细!$I$4:$I$2004,$Z897-2000))=0,"",N(INDEX(周转筐出入库明细!$I$4:$I$2004,$Z897-2000))),IF($Z897&lt;=5200,"",IF($Z897&lt;=5800,IF(ISNUMBER(SEARCH("退",INDEX(次果筐明细!$F$4:$F$603,$Z897-5200)&amp;"")),IF(N(INDEX(次果筐明细!$G$4:$G$603,$Z897-5200))=0,"",N(INDEX(次果筐明细!$G$4:$G$603,$Z897-5200))),""),"")))))</f>
        <v/>
      </c>
      <c r="Q897" s="40" t="str">
        <f>IF($Z897="","",IF($Z897&lt;=2000,"",IF($Z897&lt;=4000,IF(N(INDEX(周转筐出入库明细!$H$4:$H$2004,$Z897-2000))=0,"",N(INDEX(周转筐出入库明细!$H$4:$H$2004,$Z897-2000))),IF($Z897&lt;=5200,IF(N(INDEX(客户自备加工筐明细!$F$4:$F$1203,$Z897-4000))=0,"",N(INDEX(客户自备加工筐明细!$F$4:$F$1203,$Z897-4000))),IF($Z897&lt;=5800,"","")))))</f>
        <v/>
      </c>
      <c r="R897" s="16" t="str">
        <f>IF($Z897="","",IF($Z897&lt;=2000,IF(INDEX(包装物料出入库明细!$O$4:$O$2003,$Z897-0)=0,"",INDEX(包装物料出入库明细!$O$4:$O$2003,$Z897-0)),IF($Z897&lt;=4000,IF(INDEX(周转筐出入库明细!$M$4:$M$2004,$Z897-2000)=0,"",INDEX(周转筐出入库明细!$M$4:$M$2004,$Z897-2000)),IF($Z897&lt;=5200,IF(INDEX(客户自备加工筐明细!$H$4:$H$1203,$Z897-4000)=0,"",INDEX(客户自备加工筐明细!$H$4:$H$1203,$Z897-4000)),IF($Z897&lt;=5800,IF(INDEX(次果筐明细!$H$4:$H$603,$Z897-5200)=0,"",INDEX(次果筐明细!$H$4:$H$603,$Z897-5200)),"")))))</f>
        <v/>
      </c>
      <c r="S897" s="22" t="str">
        <f t="shared" si="41"/>
        <v/>
      </c>
      <c r="Z897" s="10" t="str">
        <f>IFERROR(MATCH(ROW()-3,_自动清单!$CQ$4:$CQ$5803,0),"")</f>
        <v/>
      </c>
    </row>
    <row r="898" spans="1:26">
      <c r="A898" s="24" t="str">
        <f t="shared" si="39"/>
        <v/>
      </c>
      <c r="B898" s="38" t="str">
        <f>IF($Z898="","",IF($Z898&lt;=2000,IF(INDEX(包装物料出入库明细!$B$4:$B$2003,$Z898-0)=0,"",INDEX(包装物料出入库明细!$B$4:$B$2003,$Z898-0)),IF($Z898&lt;=4000,IF(INDEX(周转筐出入库明细!$B$4:$B$2004,$Z898-2000)=0,"",INDEX(周转筐出入库明细!$B$4:$B$2004,$Z898-2000)),IF($Z898&lt;=5200,IF(INDEX(客户自备加工筐明细!$B$4:$B$1203,$Z898-4000)=0,"",INDEX(客户自备加工筐明细!$B$4:$B$1203,$Z898-4000)),IF($Z898&lt;=5800,IF(INDEX(次果筐明细!$B$4:$B$603,$Z898-5200)=0,"",INDEX(次果筐明细!$B$4:$B$603,$Z898-5200)),"")))))</f>
        <v/>
      </c>
      <c r="C898" s="37" t="str">
        <f>IF($Z898="","",IF($Z898&lt;=2000,IF(INDEX(包装物料出入库明细!$D$4:$D$2003,$Z898-0)=0,"",INDEX(包装物料出入库明细!$D$4:$D$2003,$Z898-0)),IF($Z898&lt;=4000,IF(INDEX(周转筐出入库明细!$C$4:$C$2004,$Z898-2000)=0,"",INDEX(周转筐出入库明细!$C$4:$C$2004,$Z898-2000)),IF($Z898&lt;=5200,IF(INDEX(客户自备加工筐明细!$E$4:$E$1203,$Z898-4000)=0,"",INDEX(客户自备加工筐明细!$E$4:$E$1203,$Z898-4000)),IF($Z898&lt;=5800,IF(INDEX(次果筐明细!$C$4:$C$603,$Z898-5200)=0,"",INDEX(次果筐明细!$C$4:$C$603,$Z898-5200)),"")))))</f>
        <v/>
      </c>
      <c r="D898" s="37" t="str">
        <f>IF($Z898="","",IF($Z898&lt;=2000,"包装物料－"&amp;INDEX(包装物料出入库明细!$H$4:$H$2003,$Z898-0),IF($Z898&lt;=4000,"周转筐－"&amp;INDEX(周转筐出入库明细!$F$4:$F$2004,$Z898-2000),IF($Z898&lt;=5200,"客户自备筐－"&amp;INDEX(客户自备加工筐明细!$J$4:$J$1203,$Z898-4000),IF($Z898&lt;=5800,"次果筐/托盘－"&amp;INDEX(次果筐明细!$F$4:$F$603,$Z898-5200),"")))))</f>
        <v/>
      </c>
      <c r="E898" s="24" t="str">
        <f>IF($Z898="","",IF($Z898&lt;=2000,IF(INDEX(包装物料出入库明细!$C$4:$C$2003,$Z898-0)=0,"",INDEX(包装物料出入库明细!$C$4:$C$2003,$Z898-0)),IF($Z898&lt;=4000,IF(INDEX(周转筐出入库明细!$E$4:$E$2004,$Z898-2000)=0,"",INDEX(周转筐出入库明细!$E$4:$E$2004,$Z898-2000)),IF($Z898&lt;=5200,IF(INDEX(客户自备加工筐明细!$D$4:$D$1203,$Z898-4000)=0,"",INDEX(客户自备加工筐明细!$D$4:$D$1203,$Z898-4000)),IF($Z898&lt;=5800,IF(INDEX(次果筐明细!$E$4:$E$603,$Z898-5200)=0,"",INDEX(次果筐明细!$E$4:$E$603,$Z898-5200)),"")))))</f>
        <v/>
      </c>
      <c r="F898" s="24" t="str">
        <f>IF($Z898="","",IF($Z898&lt;=2000,IF(INDEX(包装物料出入库明细!$E$4:$E$2003,$Z898-0)=0,"",INDEX(包装物料出入库明细!$E$4:$E$2003,$Z898-0)),IF($Z898&lt;=4000,IF(INDEX(周转筐出入库明细!$D$4:$D$2004,$Z898-2000)=0,"",INDEX(周转筐出入库明细!$D$4:$D$2004,$Z898-2000)),IF($Z898&lt;=5200,IF(INDEX(客户自备加工筐明细!$C$4:$C$1203,$Z898-4000)=0,"",INDEX(客户自备加工筐明细!$C$4:$C$1203,$Z898-4000)),IF($Z898&lt;=5800,IF(INDEX(次果筐明细!$D$4:$D$603,$Z898-5200)=0,"",INDEX(次果筐明细!$D$4:$D$603,$Z898-5200)),"")))))</f>
        <v/>
      </c>
      <c r="G898" s="24" t="str">
        <f>IF($Z898="","",IF($Z898&lt;=2000,IF(INDEX(包装物料出入库明细!$F$4:$F$2003,$Z898-0)=0,"",INDEX(包装物料出入库明细!$F$4:$F$2003,$Z898-0)),IF($Z898&lt;=4000,"",IF($Z898&lt;=5200,"",IF($Z898&lt;=5800,"","")))))</f>
        <v/>
      </c>
      <c r="H898" s="39" t="str">
        <f>IF($Z898="","",IF($Z898&lt;=2000,IF(INDEX(包装物料出入库明细!$L$4:$L$2003,$Z898-0)=0,"",INDEX(包装物料出入库明细!$L$4:$L$2003,$Z898-0)),IF($Z898&lt;=4000,N(INDEX(周转筐出入库明细!$H$4:$H$2004,$Z898-2000))+N(INDEX(周转筐出入库明细!$I$4:$I$2004,$Z898-2000))+N(INDEX(周转筐出入库明细!$J$4:$J$2004,$Z898-2000))+N(INDEX(周转筐出入库明细!$K$4:$K$2004,$Z898-2000)),IF($Z898&lt;=5200,N(INDEX(客户自备加工筐明细!$F$4:$F$1203,$Z898-4000))+N(INDEX(客户自备加工筐明细!$G$4:$G$1203,$Z898-4000)),IF($Z898&lt;=5800,IF(INDEX(次果筐明细!$G$4:$G$603,$Z898-5200)=0,"",INDEX(次果筐明细!$G$4:$G$603,$Z898-5200)),"")))))</f>
        <v/>
      </c>
      <c r="I898" s="24" t="str">
        <f>IF($Z898="","",IF($Z898&lt;=2000,IF(INDEX(包装物料出入库明细!$G$4:$G$2003,$Z898-0)=0,"",INDEX(包装物料出入库明细!$G$4:$G$2003,$Z898-0)),IF($Z898&lt;=4000,"个",IF($Z898&lt;=5200,"个",IF($Z898&lt;=5800,"个","")))))</f>
        <v/>
      </c>
      <c r="J898" s="30" t="str">
        <f t="shared" si="40"/>
        <v/>
      </c>
      <c r="K898" s="30" t="str">
        <f>IF($Z898="","",IF($Z898&lt;=2000,IF(INDEX(包装物料出入库明细!$N$4:$N$2003,$Z898-0)=0,"",INDEX(包装物料出入库明细!$N$4:$N$2003,$Z898-0)),IF($Z898&lt;=4000,IF(INDEX(周转筐出入库明细!$P$4:$P$2004,$Z898-2000)=0,"",INDEX(周转筐出入库明细!$P$4:$P$2004,$Z898-2000)),IF($Z898&lt;=5200,"",IF($Z898&lt;=5800,N(INDEX(次果筐明细!$L$4:$L$603,$Z898-5200))+N(INDEX(次果筐明细!$J$4:$J$603,$Z898-5200)),"")))))</f>
        <v/>
      </c>
      <c r="L898" s="24" t="str">
        <f>IF($Z898="","",IF($Z898&lt;=2000,IF(INDEX(包装物料出入库明细!$P$4:$P$2003,$Z898-0)=0,"",INDEX(包装物料出入库明细!$P$4:$P$2003,$Z898-0)),IF($Z898&lt;=4000,IF(INDEX(周转筐出入库明细!$Q$4:$Q$2004,$Z898-2000)=0,"",INDEX(周转筐出入库明细!$Q$4:$Q$2004,$Z898-2000)),IF($Z898&lt;=5200,"",IF($Z898&lt;=5800,IF(INDEX(次果筐明细!$M$4:$M$603,$Z898-5200)=0,"",INDEX(次果筐明细!$M$4:$M$603,$Z898-5200)),"")))))</f>
        <v/>
      </c>
      <c r="M898" s="37" t="str">
        <f>IF($Z898="","",IF($Z898&lt;=2000,IF(INDEX(包装物料出入库明细!$R$4:$R$2003,$Z898-0)=0,"",INDEX(包装物料出入库明细!$R$4:$R$2003,$Z898-0)),IF($Z898&lt;=4000,IF(INDEX(周转筐出入库明细!$W$4:$W$2004,$Z898-2000)=0,"",INDEX(周转筐出入库明细!$W$4:$W$2004,$Z898-2000)),IF($Z898&lt;=5200,IF(INDEX(客户自备加工筐明细!$L$4:$L$1203,$Z898-4000)=0,"",INDEX(客户自备加工筐明细!$L$4:$L$1203,$Z898-4000)),IF($Z898&lt;=5800,IF(INDEX(次果筐明细!$P$4:$P$603,$Z898-5200)=0,"",INDEX(次果筐明细!$P$4:$P$603,$Z898-5200)),"")))))</f>
        <v/>
      </c>
      <c r="N898" s="16" t="str">
        <f>IF($Z898="","",IF($Z898&lt;=2000,"",IF($Z898&lt;=4000,IF(INDEX(周转筐出入库明细!$D$4:$D$2004,$Z898-2000)=0,"",INDEX(周转筐出入库明细!$D$4:$D$2004,$Z898-2000)),IF($Z898&lt;=5200,IF(INDEX(客户自备加工筐明细!$C$4:$C$1203,$Z898-4000)=0,"",INDEX(客户自备加工筐明细!$C$4:$C$1203,$Z898-4000)),IF($Z898&lt;=5800,IF(INDEX(次果筐明细!$D$4:$D$603,$Z898-5200)=0,"",INDEX(次果筐明细!$D$4:$D$603,$Z898-5200)),"")))))</f>
        <v/>
      </c>
      <c r="O898" s="40" t="str">
        <f>IF($Z898="","",IF($Z898&lt;=2000,"",IF($Z898&lt;=4000,IF(N(INDEX(周转筐出入库明细!$J$4:$J$2004,$Z898-2000))+N(INDEX(周转筐出入库明细!$K$4:$K$2004,$Z898-2000))=0,"",N(INDEX(周转筐出入库明细!$J$4:$J$2004,$Z898-2000))+N(INDEX(周转筐出入库明细!$K$4:$K$2004,$Z898-2000))),IF($Z898&lt;=5200,IF(N(INDEX(客户自备加工筐明细!$G$4:$G$1203,$Z898-4000))=0,"",N(INDEX(客户自备加工筐明细!$G$4:$G$1203,$Z898-4000))),IF($Z898&lt;=5800,IF(ISNUMBER(SEARCH("退",INDEX(次果筐明细!$F$4:$F$603,$Z898-5200)&amp;"")),"",IF(N(INDEX(次果筐明细!$G$4:$G$603,$Z898-5200))=0,"",N(INDEX(次果筐明细!$G$4:$G$603,$Z898-5200)))),"")))))</f>
        <v/>
      </c>
      <c r="P898" s="40" t="str">
        <f>IF($Z898="","",IF($Z898&lt;=2000,"",IF($Z898&lt;=4000,IF(N(INDEX(周转筐出入库明细!$I$4:$I$2004,$Z898-2000))=0,"",N(INDEX(周转筐出入库明细!$I$4:$I$2004,$Z898-2000))),IF($Z898&lt;=5200,"",IF($Z898&lt;=5800,IF(ISNUMBER(SEARCH("退",INDEX(次果筐明细!$F$4:$F$603,$Z898-5200)&amp;"")),IF(N(INDEX(次果筐明细!$G$4:$G$603,$Z898-5200))=0,"",N(INDEX(次果筐明细!$G$4:$G$603,$Z898-5200))),""),"")))))</f>
        <v/>
      </c>
      <c r="Q898" s="40" t="str">
        <f>IF($Z898="","",IF($Z898&lt;=2000,"",IF($Z898&lt;=4000,IF(N(INDEX(周转筐出入库明细!$H$4:$H$2004,$Z898-2000))=0,"",N(INDEX(周转筐出入库明细!$H$4:$H$2004,$Z898-2000))),IF($Z898&lt;=5200,IF(N(INDEX(客户自备加工筐明细!$F$4:$F$1203,$Z898-4000))=0,"",N(INDEX(客户自备加工筐明细!$F$4:$F$1203,$Z898-4000))),IF($Z898&lt;=5800,"","")))))</f>
        <v/>
      </c>
      <c r="R898" s="16" t="str">
        <f>IF($Z898="","",IF($Z898&lt;=2000,IF(INDEX(包装物料出入库明细!$O$4:$O$2003,$Z898-0)=0,"",INDEX(包装物料出入库明细!$O$4:$O$2003,$Z898-0)),IF($Z898&lt;=4000,IF(INDEX(周转筐出入库明细!$M$4:$M$2004,$Z898-2000)=0,"",INDEX(周转筐出入库明细!$M$4:$M$2004,$Z898-2000)),IF($Z898&lt;=5200,IF(INDEX(客户自备加工筐明细!$H$4:$H$1203,$Z898-4000)=0,"",INDEX(客户自备加工筐明细!$H$4:$H$1203,$Z898-4000)),IF($Z898&lt;=5800,IF(INDEX(次果筐明细!$H$4:$H$603,$Z898-5200)=0,"",INDEX(次果筐明细!$H$4:$H$603,$Z898-5200)),"")))))</f>
        <v/>
      </c>
      <c r="S898" s="22" t="str">
        <f t="shared" si="41"/>
        <v/>
      </c>
      <c r="Z898" s="10" t="str">
        <f>IFERROR(MATCH(ROW()-3,_自动清单!$CQ$4:$CQ$5803,0),"")</f>
        <v/>
      </c>
    </row>
    <row r="899" spans="1:26">
      <c r="A899" s="24" t="str">
        <f t="shared" si="39"/>
        <v/>
      </c>
      <c r="B899" s="38" t="str">
        <f>IF($Z899="","",IF($Z899&lt;=2000,IF(INDEX(包装物料出入库明细!$B$4:$B$2003,$Z899-0)=0,"",INDEX(包装物料出入库明细!$B$4:$B$2003,$Z899-0)),IF($Z899&lt;=4000,IF(INDEX(周转筐出入库明细!$B$4:$B$2004,$Z899-2000)=0,"",INDEX(周转筐出入库明细!$B$4:$B$2004,$Z899-2000)),IF($Z899&lt;=5200,IF(INDEX(客户自备加工筐明细!$B$4:$B$1203,$Z899-4000)=0,"",INDEX(客户自备加工筐明细!$B$4:$B$1203,$Z899-4000)),IF($Z899&lt;=5800,IF(INDEX(次果筐明细!$B$4:$B$603,$Z899-5200)=0,"",INDEX(次果筐明细!$B$4:$B$603,$Z899-5200)),"")))))</f>
        <v/>
      </c>
      <c r="C899" s="37" t="str">
        <f>IF($Z899="","",IF($Z899&lt;=2000,IF(INDEX(包装物料出入库明细!$D$4:$D$2003,$Z899-0)=0,"",INDEX(包装物料出入库明细!$D$4:$D$2003,$Z899-0)),IF($Z899&lt;=4000,IF(INDEX(周转筐出入库明细!$C$4:$C$2004,$Z899-2000)=0,"",INDEX(周转筐出入库明细!$C$4:$C$2004,$Z899-2000)),IF($Z899&lt;=5200,IF(INDEX(客户自备加工筐明细!$E$4:$E$1203,$Z899-4000)=0,"",INDEX(客户自备加工筐明细!$E$4:$E$1203,$Z899-4000)),IF($Z899&lt;=5800,IF(INDEX(次果筐明细!$C$4:$C$603,$Z899-5200)=0,"",INDEX(次果筐明细!$C$4:$C$603,$Z899-5200)),"")))))</f>
        <v/>
      </c>
      <c r="D899" s="37" t="str">
        <f>IF($Z899="","",IF($Z899&lt;=2000,"包装物料－"&amp;INDEX(包装物料出入库明细!$H$4:$H$2003,$Z899-0),IF($Z899&lt;=4000,"周转筐－"&amp;INDEX(周转筐出入库明细!$F$4:$F$2004,$Z899-2000),IF($Z899&lt;=5200,"客户自备筐－"&amp;INDEX(客户自备加工筐明细!$J$4:$J$1203,$Z899-4000),IF($Z899&lt;=5800,"次果筐/托盘－"&amp;INDEX(次果筐明细!$F$4:$F$603,$Z899-5200),"")))))</f>
        <v/>
      </c>
      <c r="E899" s="24" t="str">
        <f>IF($Z899="","",IF($Z899&lt;=2000,IF(INDEX(包装物料出入库明细!$C$4:$C$2003,$Z899-0)=0,"",INDEX(包装物料出入库明细!$C$4:$C$2003,$Z899-0)),IF($Z899&lt;=4000,IF(INDEX(周转筐出入库明细!$E$4:$E$2004,$Z899-2000)=0,"",INDEX(周转筐出入库明细!$E$4:$E$2004,$Z899-2000)),IF($Z899&lt;=5200,IF(INDEX(客户自备加工筐明细!$D$4:$D$1203,$Z899-4000)=0,"",INDEX(客户自备加工筐明细!$D$4:$D$1203,$Z899-4000)),IF($Z899&lt;=5800,IF(INDEX(次果筐明细!$E$4:$E$603,$Z899-5200)=0,"",INDEX(次果筐明细!$E$4:$E$603,$Z899-5200)),"")))))</f>
        <v/>
      </c>
      <c r="F899" s="24" t="str">
        <f>IF($Z899="","",IF($Z899&lt;=2000,IF(INDEX(包装物料出入库明细!$E$4:$E$2003,$Z899-0)=0,"",INDEX(包装物料出入库明细!$E$4:$E$2003,$Z899-0)),IF($Z899&lt;=4000,IF(INDEX(周转筐出入库明细!$D$4:$D$2004,$Z899-2000)=0,"",INDEX(周转筐出入库明细!$D$4:$D$2004,$Z899-2000)),IF($Z899&lt;=5200,IF(INDEX(客户自备加工筐明细!$C$4:$C$1203,$Z899-4000)=0,"",INDEX(客户自备加工筐明细!$C$4:$C$1203,$Z899-4000)),IF($Z899&lt;=5800,IF(INDEX(次果筐明细!$D$4:$D$603,$Z899-5200)=0,"",INDEX(次果筐明细!$D$4:$D$603,$Z899-5200)),"")))))</f>
        <v/>
      </c>
      <c r="G899" s="24" t="str">
        <f>IF($Z899="","",IF($Z899&lt;=2000,IF(INDEX(包装物料出入库明细!$F$4:$F$2003,$Z899-0)=0,"",INDEX(包装物料出入库明细!$F$4:$F$2003,$Z899-0)),IF($Z899&lt;=4000,"",IF($Z899&lt;=5200,"",IF($Z899&lt;=5800,"","")))))</f>
        <v/>
      </c>
      <c r="H899" s="39" t="str">
        <f>IF($Z899="","",IF($Z899&lt;=2000,IF(INDEX(包装物料出入库明细!$L$4:$L$2003,$Z899-0)=0,"",INDEX(包装物料出入库明细!$L$4:$L$2003,$Z899-0)),IF($Z899&lt;=4000,N(INDEX(周转筐出入库明细!$H$4:$H$2004,$Z899-2000))+N(INDEX(周转筐出入库明细!$I$4:$I$2004,$Z899-2000))+N(INDEX(周转筐出入库明细!$J$4:$J$2004,$Z899-2000))+N(INDEX(周转筐出入库明细!$K$4:$K$2004,$Z899-2000)),IF($Z899&lt;=5200,N(INDEX(客户自备加工筐明细!$F$4:$F$1203,$Z899-4000))+N(INDEX(客户自备加工筐明细!$G$4:$G$1203,$Z899-4000)),IF($Z899&lt;=5800,IF(INDEX(次果筐明细!$G$4:$G$603,$Z899-5200)=0,"",INDEX(次果筐明细!$G$4:$G$603,$Z899-5200)),"")))))</f>
        <v/>
      </c>
      <c r="I899" s="24" t="str">
        <f>IF($Z899="","",IF($Z899&lt;=2000,IF(INDEX(包装物料出入库明细!$G$4:$G$2003,$Z899-0)=0,"",INDEX(包装物料出入库明细!$G$4:$G$2003,$Z899-0)),IF($Z899&lt;=4000,"个",IF($Z899&lt;=5200,"个",IF($Z899&lt;=5800,"个","")))))</f>
        <v/>
      </c>
      <c r="J899" s="30" t="str">
        <f t="shared" si="40"/>
        <v/>
      </c>
      <c r="K899" s="30" t="str">
        <f>IF($Z899="","",IF($Z899&lt;=2000,IF(INDEX(包装物料出入库明细!$N$4:$N$2003,$Z899-0)=0,"",INDEX(包装物料出入库明细!$N$4:$N$2003,$Z899-0)),IF($Z899&lt;=4000,IF(INDEX(周转筐出入库明细!$P$4:$P$2004,$Z899-2000)=0,"",INDEX(周转筐出入库明细!$P$4:$P$2004,$Z899-2000)),IF($Z899&lt;=5200,"",IF($Z899&lt;=5800,N(INDEX(次果筐明细!$L$4:$L$603,$Z899-5200))+N(INDEX(次果筐明细!$J$4:$J$603,$Z899-5200)),"")))))</f>
        <v/>
      </c>
      <c r="L899" s="24" t="str">
        <f>IF($Z899="","",IF($Z899&lt;=2000,IF(INDEX(包装物料出入库明细!$P$4:$P$2003,$Z899-0)=0,"",INDEX(包装物料出入库明细!$P$4:$P$2003,$Z899-0)),IF($Z899&lt;=4000,IF(INDEX(周转筐出入库明细!$Q$4:$Q$2004,$Z899-2000)=0,"",INDEX(周转筐出入库明细!$Q$4:$Q$2004,$Z899-2000)),IF($Z899&lt;=5200,"",IF($Z899&lt;=5800,IF(INDEX(次果筐明细!$M$4:$M$603,$Z899-5200)=0,"",INDEX(次果筐明细!$M$4:$M$603,$Z899-5200)),"")))))</f>
        <v/>
      </c>
      <c r="M899" s="37" t="str">
        <f>IF($Z899="","",IF($Z899&lt;=2000,IF(INDEX(包装物料出入库明细!$R$4:$R$2003,$Z899-0)=0,"",INDEX(包装物料出入库明细!$R$4:$R$2003,$Z899-0)),IF($Z899&lt;=4000,IF(INDEX(周转筐出入库明细!$W$4:$W$2004,$Z899-2000)=0,"",INDEX(周转筐出入库明细!$W$4:$W$2004,$Z899-2000)),IF($Z899&lt;=5200,IF(INDEX(客户自备加工筐明细!$L$4:$L$1203,$Z899-4000)=0,"",INDEX(客户自备加工筐明细!$L$4:$L$1203,$Z899-4000)),IF($Z899&lt;=5800,IF(INDEX(次果筐明细!$P$4:$P$603,$Z899-5200)=0,"",INDEX(次果筐明细!$P$4:$P$603,$Z899-5200)),"")))))</f>
        <v/>
      </c>
      <c r="N899" s="16" t="str">
        <f>IF($Z899="","",IF($Z899&lt;=2000,"",IF($Z899&lt;=4000,IF(INDEX(周转筐出入库明细!$D$4:$D$2004,$Z899-2000)=0,"",INDEX(周转筐出入库明细!$D$4:$D$2004,$Z899-2000)),IF($Z899&lt;=5200,IF(INDEX(客户自备加工筐明细!$C$4:$C$1203,$Z899-4000)=0,"",INDEX(客户自备加工筐明细!$C$4:$C$1203,$Z899-4000)),IF($Z899&lt;=5800,IF(INDEX(次果筐明细!$D$4:$D$603,$Z899-5200)=0,"",INDEX(次果筐明细!$D$4:$D$603,$Z899-5200)),"")))))</f>
        <v/>
      </c>
      <c r="O899" s="40" t="str">
        <f>IF($Z899="","",IF($Z899&lt;=2000,"",IF($Z899&lt;=4000,IF(N(INDEX(周转筐出入库明细!$J$4:$J$2004,$Z899-2000))+N(INDEX(周转筐出入库明细!$K$4:$K$2004,$Z899-2000))=0,"",N(INDEX(周转筐出入库明细!$J$4:$J$2004,$Z899-2000))+N(INDEX(周转筐出入库明细!$K$4:$K$2004,$Z899-2000))),IF($Z899&lt;=5200,IF(N(INDEX(客户自备加工筐明细!$G$4:$G$1203,$Z899-4000))=0,"",N(INDEX(客户自备加工筐明细!$G$4:$G$1203,$Z899-4000))),IF($Z899&lt;=5800,IF(ISNUMBER(SEARCH("退",INDEX(次果筐明细!$F$4:$F$603,$Z899-5200)&amp;"")),"",IF(N(INDEX(次果筐明细!$G$4:$G$603,$Z899-5200))=0,"",N(INDEX(次果筐明细!$G$4:$G$603,$Z899-5200)))),"")))))</f>
        <v/>
      </c>
      <c r="P899" s="40" t="str">
        <f>IF($Z899="","",IF($Z899&lt;=2000,"",IF($Z899&lt;=4000,IF(N(INDEX(周转筐出入库明细!$I$4:$I$2004,$Z899-2000))=0,"",N(INDEX(周转筐出入库明细!$I$4:$I$2004,$Z899-2000))),IF($Z899&lt;=5200,"",IF($Z899&lt;=5800,IF(ISNUMBER(SEARCH("退",INDEX(次果筐明细!$F$4:$F$603,$Z899-5200)&amp;"")),IF(N(INDEX(次果筐明细!$G$4:$G$603,$Z899-5200))=0,"",N(INDEX(次果筐明细!$G$4:$G$603,$Z899-5200))),""),"")))))</f>
        <v/>
      </c>
      <c r="Q899" s="40" t="str">
        <f>IF($Z899="","",IF($Z899&lt;=2000,"",IF($Z899&lt;=4000,IF(N(INDEX(周转筐出入库明细!$H$4:$H$2004,$Z899-2000))=0,"",N(INDEX(周转筐出入库明细!$H$4:$H$2004,$Z899-2000))),IF($Z899&lt;=5200,IF(N(INDEX(客户自备加工筐明细!$F$4:$F$1203,$Z899-4000))=0,"",N(INDEX(客户自备加工筐明细!$F$4:$F$1203,$Z899-4000))),IF($Z899&lt;=5800,"","")))))</f>
        <v/>
      </c>
      <c r="R899" s="16" t="str">
        <f>IF($Z899="","",IF($Z899&lt;=2000,IF(INDEX(包装物料出入库明细!$O$4:$O$2003,$Z899-0)=0,"",INDEX(包装物料出入库明细!$O$4:$O$2003,$Z899-0)),IF($Z899&lt;=4000,IF(INDEX(周转筐出入库明细!$M$4:$M$2004,$Z899-2000)=0,"",INDEX(周转筐出入库明细!$M$4:$M$2004,$Z899-2000)),IF($Z899&lt;=5200,IF(INDEX(客户自备加工筐明细!$H$4:$H$1203,$Z899-4000)=0,"",INDEX(客户自备加工筐明细!$H$4:$H$1203,$Z899-4000)),IF($Z899&lt;=5800,IF(INDEX(次果筐明细!$H$4:$H$603,$Z899-5200)=0,"",INDEX(次果筐明细!$H$4:$H$603,$Z899-5200)),"")))))</f>
        <v/>
      </c>
      <c r="S899" s="22" t="str">
        <f t="shared" si="41"/>
        <v/>
      </c>
      <c r="Z899" s="10" t="str">
        <f>IFERROR(MATCH(ROW()-3,_自动清单!$CQ$4:$CQ$5803,0),"")</f>
        <v/>
      </c>
    </row>
    <row r="900" spans="1:26">
      <c r="A900" s="24" t="str">
        <f t="shared" ref="A900:A963" si="42">IF($B900="","",ROW()-3)</f>
        <v/>
      </c>
      <c r="B900" s="38" t="str">
        <f>IF($Z900="","",IF($Z900&lt;=2000,IF(INDEX(包装物料出入库明细!$B$4:$B$2003,$Z900-0)=0,"",INDEX(包装物料出入库明细!$B$4:$B$2003,$Z900-0)),IF($Z900&lt;=4000,IF(INDEX(周转筐出入库明细!$B$4:$B$2004,$Z900-2000)=0,"",INDEX(周转筐出入库明细!$B$4:$B$2004,$Z900-2000)),IF($Z900&lt;=5200,IF(INDEX(客户自备加工筐明细!$B$4:$B$1203,$Z900-4000)=0,"",INDEX(客户自备加工筐明细!$B$4:$B$1203,$Z900-4000)),IF($Z900&lt;=5800,IF(INDEX(次果筐明细!$B$4:$B$603,$Z900-5200)=0,"",INDEX(次果筐明细!$B$4:$B$603,$Z900-5200)),"")))))</f>
        <v/>
      </c>
      <c r="C900" s="37" t="str">
        <f>IF($Z900="","",IF($Z900&lt;=2000,IF(INDEX(包装物料出入库明细!$D$4:$D$2003,$Z900-0)=0,"",INDEX(包装物料出入库明细!$D$4:$D$2003,$Z900-0)),IF($Z900&lt;=4000,IF(INDEX(周转筐出入库明细!$C$4:$C$2004,$Z900-2000)=0,"",INDEX(周转筐出入库明细!$C$4:$C$2004,$Z900-2000)),IF($Z900&lt;=5200,IF(INDEX(客户自备加工筐明细!$E$4:$E$1203,$Z900-4000)=0,"",INDEX(客户自备加工筐明细!$E$4:$E$1203,$Z900-4000)),IF($Z900&lt;=5800,IF(INDEX(次果筐明细!$C$4:$C$603,$Z900-5200)=0,"",INDEX(次果筐明细!$C$4:$C$603,$Z900-5200)),"")))))</f>
        <v/>
      </c>
      <c r="D900" s="37" t="str">
        <f>IF($Z900="","",IF($Z900&lt;=2000,"包装物料－"&amp;INDEX(包装物料出入库明细!$H$4:$H$2003,$Z900-0),IF($Z900&lt;=4000,"周转筐－"&amp;INDEX(周转筐出入库明细!$F$4:$F$2004,$Z900-2000),IF($Z900&lt;=5200,"客户自备筐－"&amp;INDEX(客户自备加工筐明细!$J$4:$J$1203,$Z900-4000),IF($Z900&lt;=5800,"次果筐/托盘－"&amp;INDEX(次果筐明细!$F$4:$F$603,$Z900-5200),"")))))</f>
        <v/>
      </c>
      <c r="E900" s="24" t="str">
        <f>IF($Z900="","",IF($Z900&lt;=2000,IF(INDEX(包装物料出入库明细!$C$4:$C$2003,$Z900-0)=0,"",INDEX(包装物料出入库明细!$C$4:$C$2003,$Z900-0)),IF($Z900&lt;=4000,IF(INDEX(周转筐出入库明细!$E$4:$E$2004,$Z900-2000)=0,"",INDEX(周转筐出入库明细!$E$4:$E$2004,$Z900-2000)),IF($Z900&lt;=5200,IF(INDEX(客户自备加工筐明细!$D$4:$D$1203,$Z900-4000)=0,"",INDEX(客户自备加工筐明细!$D$4:$D$1203,$Z900-4000)),IF($Z900&lt;=5800,IF(INDEX(次果筐明细!$E$4:$E$603,$Z900-5200)=0,"",INDEX(次果筐明细!$E$4:$E$603,$Z900-5200)),"")))))</f>
        <v/>
      </c>
      <c r="F900" s="24" t="str">
        <f>IF($Z900="","",IF($Z900&lt;=2000,IF(INDEX(包装物料出入库明细!$E$4:$E$2003,$Z900-0)=0,"",INDEX(包装物料出入库明细!$E$4:$E$2003,$Z900-0)),IF($Z900&lt;=4000,IF(INDEX(周转筐出入库明细!$D$4:$D$2004,$Z900-2000)=0,"",INDEX(周转筐出入库明细!$D$4:$D$2004,$Z900-2000)),IF($Z900&lt;=5200,IF(INDEX(客户自备加工筐明细!$C$4:$C$1203,$Z900-4000)=0,"",INDEX(客户自备加工筐明细!$C$4:$C$1203,$Z900-4000)),IF($Z900&lt;=5800,IF(INDEX(次果筐明细!$D$4:$D$603,$Z900-5200)=0,"",INDEX(次果筐明细!$D$4:$D$603,$Z900-5200)),"")))))</f>
        <v/>
      </c>
      <c r="G900" s="24" t="str">
        <f>IF($Z900="","",IF($Z900&lt;=2000,IF(INDEX(包装物料出入库明细!$F$4:$F$2003,$Z900-0)=0,"",INDEX(包装物料出入库明细!$F$4:$F$2003,$Z900-0)),IF($Z900&lt;=4000,"",IF($Z900&lt;=5200,"",IF($Z900&lt;=5800,"","")))))</f>
        <v/>
      </c>
      <c r="H900" s="39" t="str">
        <f>IF($Z900="","",IF($Z900&lt;=2000,IF(INDEX(包装物料出入库明细!$L$4:$L$2003,$Z900-0)=0,"",INDEX(包装物料出入库明细!$L$4:$L$2003,$Z900-0)),IF($Z900&lt;=4000,N(INDEX(周转筐出入库明细!$H$4:$H$2004,$Z900-2000))+N(INDEX(周转筐出入库明细!$I$4:$I$2004,$Z900-2000))+N(INDEX(周转筐出入库明细!$J$4:$J$2004,$Z900-2000))+N(INDEX(周转筐出入库明细!$K$4:$K$2004,$Z900-2000)),IF($Z900&lt;=5200,N(INDEX(客户自备加工筐明细!$F$4:$F$1203,$Z900-4000))+N(INDEX(客户自备加工筐明细!$G$4:$G$1203,$Z900-4000)),IF($Z900&lt;=5800,IF(INDEX(次果筐明细!$G$4:$G$603,$Z900-5200)=0,"",INDEX(次果筐明细!$G$4:$G$603,$Z900-5200)),"")))))</f>
        <v/>
      </c>
      <c r="I900" s="24" t="str">
        <f>IF($Z900="","",IF($Z900&lt;=2000,IF(INDEX(包装物料出入库明细!$G$4:$G$2003,$Z900-0)=0,"",INDEX(包装物料出入库明细!$G$4:$G$2003,$Z900-0)),IF($Z900&lt;=4000,"个",IF($Z900&lt;=5200,"个",IF($Z900&lt;=5800,"个","")))))</f>
        <v/>
      </c>
      <c r="J900" s="30" t="str">
        <f t="shared" ref="J900:J963" si="43">IF($Z900="","",IF($Z900&lt;=2000,"",IF($Z900&lt;=4000,"",IF($Z900&lt;=5200,"",IF($Z900&lt;=5800,"","")))))</f>
        <v/>
      </c>
      <c r="K900" s="30" t="str">
        <f>IF($Z900="","",IF($Z900&lt;=2000,IF(INDEX(包装物料出入库明细!$N$4:$N$2003,$Z900-0)=0,"",INDEX(包装物料出入库明细!$N$4:$N$2003,$Z900-0)),IF($Z900&lt;=4000,IF(INDEX(周转筐出入库明细!$P$4:$P$2004,$Z900-2000)=0,"",INDEX(周转筐出入库明细!$P$4:$P$2004,$Z900-2000)),IF($Z900&lt;=5200,"",IF($Z900&lt;=5800,N(INDEX(次果筐明细!$L$4:$L$603,$Z900-5200))+N(INDEX(次果筐明细!$J$4:$J$603,$Z900-5200)),"")))))</f>
        <v/>
      </c>
      <c r="L900" s="24" t="str">
        <f>IF($Z900="","",IF($Z900&lt;=2000,IF(INDEX(包装物料出入库明细!$P$4:$P$2003,$Z900-0)=0,"",INDEX(包装物料出入库明细!$P$4:$P$2003,$Z900-0)),IF($Z900&lt;=4000,IF(INDEX(周转筐出入库明细!$Q$4:$Q$2004,$Z900-2000)=0,"",INDEX(周转筐出入库明细!$Q$4:$Q$2004,$Z900-2000)),IF($Z900&lt;=5200,"",IF($Z900&lt;=5800,IF(INDEX(次果筐明细!$M$4:$M$603,$Z900-5200)=0,"",INDEX(次果筐明细!$M$4:$M$603,$Z900-5200)),"")))))</f>
        <v/>
      </c>
      <c r="M900" s="37" t="str">
        <f>IF($Z900="","",IF($Z900&lt;=2000,IF(INDEX(包装物料出入库明细!$R$4:$R$2003,$Z900-0)=0,"",INDEX(包装物料出入库明细!$R$4:$R$2003,$Z900-0)),IF($Z900&lt;=4000,IF(INDEX(周转筐出入库明细!$W$4:$W$2004,$Z900-2000)=0,"",INDEX(周转筐出入库明细!$W$4:$W$2004,$Z900-2000)),IF($Z900&lt;=5200,IF(INDEX(客户自备加工筐明细!$L$4:$L$1203,$Z900-4000)=0,"",INDEX(客户自备加工筐明细!$L$4:$L$1203,$Z900-4000)),IF($Z900&lt;=5800,IF(INDEX(次果筐明细!$P$4:$P$603,$Z900-5200)=0,"",INDEX(次果筐明细!$P$4:$P$603,$Z900-5200)),"")))))</f>
        <v/>
      </c>
      <c r="N900" s="16" t="str">
        <f>IF($Z900="","",IF($Z900&lt;=2000,"",IF($Z900&lt;=4000,IF(INDEX(周转筐出入库明细!$D$4:$D$2004,$Z900-2000)=0,"",INDEX(周转筐出入库明细!$D$4:$D$2004,$Z900-2000)),IF($Z900&lt;=5200,IF(INDEX(客户自备加工筐明细!$C$4:$C$1203,$Z900-4000)=0,"",INDEX(客户自备加工筐明细!$C$4:$C$1203,$Z900-4000)),IF($Z900&lt;=5800,IF(INDEX(次果筐明细!$D$4:$D$603,$Z900-5200)=0,"",INDEX(次果筐明细!$D$4:$D$603,$Z900-5200)),"")))))</f>
        <v/>
      </c>
      <c r="O900" s="40" t="str">
        <f>IF($Z900="","",IF($Z900&lt;=2000,"",IF($Z900&lt;=4000,IF(N(INDEX(周转筐出入库明细!$J$4:$J$2004,$Z900-2000))+N(INDEX(周转筐出入库明细!$K$4:$K$2004,$Z900-2000))=0,"",N(INDEX(周转筐出入库明细!$J$4:$J$2004,$Z900-2000))+N(INDEX(周转筐出入库明细!$K$4:$K$2004,$Z900-2000))),IF($Z900&lt;=5200,IF(N(INDEX(客户自备加工筐明细!$G$4:$G$1203,$Z900-4000))=0,"",N(INDEX(客户自备加工筐明细!$G$4:$G$1203,$Z900-4000))),IF($Z900&lt;=5800,IF(ISNUMBER(SEARCH("退",INDEX(次果筐明细!$F$4:$F$603,$Z900-5200)&amp;"")),"",IF(N(INDEX(次果筐明细!$G$4:$G$603,$Z900-5200))=0,"",N(INDEX(次果筐明细!$G$4:$G$603,$Z900-5200)))),"")))))</f>
        <v/>
      </c>
      <c r="P900" s="40" t="str">
        <f>IF($Z900="","",IF($Z900&lt;=2000,"",IF($Z900&lt;=4000,IF(N(INDEX(周转筐出入库明细!$I$4:$I$2004,$Z900-2000))=0,"",N(INDEX(周转筐出入库明细!$I$4:$I$2004,$Z900-2000))),IF($Z900&lt;=5200,"",IF($Z900&lt;=5800,IF(ISNUMBER(SEARCH("退",INDEX(次果筐明细!$F$4:$F$603,$Z900-5200)&amp;"")),IF(N(INDEX(次果筐明细!$G$4:$G$603,$Z900-5200))=0,"",N(INDEX(次果筐明细!$G$4:$G$603,$Z900-5200))),""),"")))))</f>
        <v/>
      </c>
      <c r="Q900" s="40" t="str">
        <f>IF($Z900="","",IF($Z900&lt;=2000,"",IF($Z900&lt;=4000,IF(N(INDEX(周转筐出入库明细!$H$4:$H$2004,$Z900-2000))=0,"",N(INDEX(周转筐出入库明细!$H$4:$H$2004,$Z900-2000))),IF($Z900&lt;=5200,IF(N(INDEX(客户自备加工筐明细!$F$4:$F$1203,$Z900-4000))=0,"",N(INDEX(客户自备加工筐明细!$F$4:$F$1203,$Z900-4000))),IF($Z900&lt;=5800,"","")))))</f>
        <v/>
      </c>
      <c r="R900" s="16" t="str">
        <f>IF($Z900="","",IF($Z900&lt;=2000,IF(INDEX(包装物料出入库明细!$O$4:$O$2003,$Z900-0)=0,"",INDEX(包装物料出入库明细!$O$4:$O$2003,$Z900-0)),IF($Z900&lt;=4000,IF(INDEX(周转筐出入库明细!$M$4:$M$2004,$Z900-2000)=0,"",INDEX(周转筐出入库明细!$M$4:$M$2004,$Z900-2000)),IF($Z900&lt;=5200,IF(INDEX(客户自备加工筐明细!$H$4:$H$1203,$Z900-4000)=0,"",INDEX(客户自备加工筐明细!$H$4:$H$1203,$Z900-4000)),IF($Z900&lt;=5800,IF(INDEX(次果筐明细!$H$4:$H$603,$Z900-5200)=0,"",INDEX(次果筐明细!$H$4:$H$603,$Z900-5200)),"")))))</f>
        <v/>
      </c>
      <c r="S900" s="22" t="str">
        <f t="shared" ref="S900:S963" si="44">IF($N900="","",IF(OR(LEFT($N900,2)="自备",AND($Z900&gt;4000,$Z900&lt;=5200)),"自备筐","公司筐"))</f>
        <v/>
      </c>
      <c r="Z900" s="10" t="str">
        <f>IFERROR(MATCH(ROW()-3,_自动清单!$CQ$4:$CQ$5803,0),"")</f>
        <v/>
      </c>
    </row>
    <row r="901" spans="1:26">
      <c r="A901" s="24" t="str">
        <f t="shared" si="42"/>
        <v/>
      </c>
      <c r="B901" s="38" t="str">
        <f>IF($Z901="","",IF($Z901&lt;=2000,IF(INDEX(包装物料出入库明细!$B$4:$B$2003,$Z901-0)=0,"",INDEX(包装物料出入库明细!$B$4:$B$2003,$Z901-0)),IF($Z901&lt;=4000,IF(INDEX(周转筐出入库明细!$B$4:$B$2004,$Z901-2000)=0,"",INDEX(周转筐出入库明细!$B$4:$B$2004,$Z901-2000)),IF($Z901&lt;=5200,IF(INDEX(客户自备加工筐明细!$B$4:$B$1203,$Z901-4000)=0,"",INDEX(客户自备加工筐明细!$B$4:$B$1203,$Z901-4000)),IF($Z901&lt;=5800,IF(INDEX(次果筐明细!$B$4:$B$603,$Z901-5200)=0,"",INDEX(次果筐明细!$B$4:$B$603,$Z901-5200)),"")))))</f>
        <v/>
      </c>
      <c r="C901" s="37" t="str">
        <f>IF($Z901="","",IF($Z901&lt;=2000,IF(INDEX(包装物料出入库明细!$D$4:$D$2003,$Z901-0)=0,"",INDEX(包装物料出入库明细!$D$4:$D$2003,$Z901-0)),IF($Z901&lt;=4000,IF(INDEX(周转筐出入库明细!$C$4:$C$2004,$Z901-2000)=0,"",INDEX(周转筐出入库明细!$C$4:$C$2004,$Z901-2000)),IF($Z901&lt;=5200,IF(INDEX(客户自备加工筐明细!$E$4:$E$1203,$Z901-4000)=0,"",INDEX(客户自备加工筐明细!$E$4:$E$1203,$Z901-4000)),IF($Z901&lt;=5800,IF(INDEX(次果筐明细!$C$4:$C$603,$Z901-5200)=0,"",INDEX(次果筐明细!$C$4:$C$603,$Z901-5200)),"")))))</f>
        <v/>
      </c>
      <c r="D901" s="37" t="str">
        <f>IF($Z901="","",IF($Z901&lt;=2000,"包装物料－"&amp;INDEX(包装物料出入库明细!$H$4:$H$2003,$Z901-0),IF($Z901&lt;=4000,"周转筐－"&amp;INDEX(周转筐出入库明细!$F$4:$F$2004,$Z901-2000),IF($Z901&lt;=5200,"客户自备筐－"&amp;INDEX(客户自备加工筐明细!$J$4:$J$1203,$Z901-4000),IF($Z901&lt;=5800,"次果筐/托盘－"&amp;INDEX(次果筐明细!$F$4:$F$603,$Z901-5200),"")))))</f>
        <v/>
      </c>
      <c r="E901" s="24" t="str">
        <f>IF($Z901="","",IF($Z901&lt;=2000,IF(INDEX(包装物料出入库明细!$C$4:$C$2003,$Z901-0)=0,"",INDEX(包装物料出入库明细!$C$4:$C$2003,$Z901-0)),IF($Z901&lt;=4000,IF(INDEX(周转筐出入库明细!$E$4:$E$2004,$Z901-2000)=0,"",INDEX(周转筐出入库明细!$E$4:$E$2004,$Z901-2000)),IF($Z901&lt;=5200,IF(INDEX(客户自备加工筐明细!$D$4:$D$1203,$Z901-4000)=0,"",INDEX(客户自备加工筐明细!$D$4:$D$1203,$Z901-4000)),IF($Z901&lt;=5800,IF(INDEX(次果筐明细!$E$4:$E$603,$Z901-5200)=0,"",INDEX(次果筐明细!$E$4:$E$603,$Z901-5200)),"")))))</f>
        <v/>
      </c>
      <c r="F901" s="24" t="str">
        <f>IF($Z901="","",IF($Z901&lt;=2000,IF(INDEX(包装物料出入库明细!$E$4:$E$2003,$Z901-0)=0,"",INDEX(包装物料出入库明细!$E$4:$E$2003,$Z901-0)),IF($Z901&lt;=4000,IF(INDEX(周转筐出入库明细!$D$4:$D$2004,$Z901-2000)=0,"",INDEX(周转筐出入库明细!$D$4:$D$2004,$Z901-2000)),IF($Z901&lt;=5200,IF(INDEX(客户自备加工筐明细!$C$4:$C$1203,$Z901-4000)=0,"",INDEX(客户自备加工筐明细!$C$4:$C$1203,$Z901-4000)),IF($Z901&lt;=5800,IF(INDEX(次果筐明细!$D$4:$D$603,$Z901-5200)=0,"",INDEX(次果筐明细!$D$4:$D$603,$Z901-5200)),"")))))</f>
        <v/>
      </c>
      <c r="G901" s="24" t="str">
        <f>IF($Z901="","",IF($Z901&lt;=2000,IF(INDEX(包装物料出入库明细!$F$4:$F$2003,$Z901-0)=0,"",INDEX(包装物料出入库明细!$F$4:$F$2003,$Z901-0)),IF($Z901&lt;=4000,"",IF($Z901&lt;=5200,"",IF($Z901&lt;=5800,"","")))))</f>
        <v/>
      </c>
      <c r="H901" s="39" t="str">
        <f>IF($Z901="","",IF($Z901&lt;=2000,IF(INDEX(包装物料出入库明细!$L$4:$L$2003,$Z901-0)=0,"",INDEX(包装物料出入库明细!$L$4:$L$2003,$Z901-0)),IF($Z901&lt;=4000,N(INDEX(周转筐出入库明细!$H$4:$H$2004,$Z901-2000))+N(INDEX(周转筐出入库明细!$I$4:$I$2004,$Z901-2000))+N(INDEX(周转筐出入库明细!$J$4:$J$2004,$Z901-2000))+N(INDEX(周转筐出入库明细!$K$4:$K$2004,$Z901-2000)),IF($Z901&lt;=5200,N(INDEX(客户自备加工筐明细!$F$4:$F$1203,$Z901-4000))+N(INDEX(客户自备加工筐明细!$G$4:$G$1203,$Z901-4000)),IF($Z901&lt;=5800,IF(INDEX(次果筐明细!$G$4:$G$603,$Z901-5200)=0,"",INDEX(次果筐明细!$G$4:$G$603,$Z901-5200)),"")))))</f>
        <v/>
      </c>
      <c r="I901" s="24" t="str">
        <f>IF($Z901="","",IF($Z901&lt;=2000,IF(INDEX(包装物料出入库明细!$G$4:$G$2003,$Z901-0)=0,"",INDEX(包装物料出入库明细!$G$4:$G$2003,$Z901-0)),IF($Z901&lt;=4000,"个",IF($Z901&lt;=5200,"个",IF($Z901&lt;=5800,"个","")))))</f>
        <v/>
      </c>
      <c r="J901" s="30" t="str">
        <f t="shared" si="43"/>
        <v/>
      </c>
      <c r="K901" s="30" t="str">
        <f>IF($Z901="","",IF($Z901&lt;=2000,IF(INDEX(包装物料出入库明细!$N$4:$N$2003,$Z901-0)=0,"",INDEX(包装物料出入库明细!$N$4:$N$2003,$Z901-0)),IF($Z901&lt;=4000,IF(INDEX(周转筐出入库明细!$P$4:$P$2004,$Z901-2000)=0,"",INDEX(周转筐出入库明细!$P$4:$P$2004,$Z901-2000)),IF($Z901&lt;=5200,"",IF($Z901&lt;=5800,N(INDEX(次果筐明细!$L$4:$L$603,$Z901-5200))+N(INDEX(次果筐明细!$J$4:$J$603,$Z901-5200)),"")))))</f>
        <v/>
      </c>
      <c r="L901" s="24" t="str">
        <f>IF($Z901="","",IF($Z901&lt;=2000,IF(INDEX(包装物料出入库明细!$P$4:$P$2003,$Z901-0)=0,"",INDEX(包装物料出入库明细!$P$4:$P$2003,$Z901-0)),IF($Z901&lt;=4000,IF(INDEX(周转筐出入库明细!$Q$4:$Q$2004,$Z901-2000)=0,"",INDEX(周转筐出入库明细!$Q$4:$Q$2004,$Z901-2000)),IF($Z901&lt;=5200,"",IF($Z901&lt;=5800,IF(INDEX(次果筐明细!$M$4:$M$603,$Z901-5200)=0,"",INDEX(次果筐明细!$M$4:$M$603,$Z901-5200)),"")))))</f>
        <v/>
      </c>
      <c r="M901" s="37" t="str">
        <f>IF($Z901="","",IF($Z901&lt;=2000,IF(INDEX(包装物料出入库明细!$R$4:$R$2003,$Z901-0)=0,"",INDEX(包装物料出入库明细!$R$4:$R$2003,$Z901-0)),IF($Z901&lt;=4000,IF(INDEX(周转筐出入库明细!$W$4:$W$2004,$Z901-2000)=0,"",INDEX(周转筐出入库明细!$W$4:$W$2004,$Z901-2000)),IF($Z901&lt;=5200,IF(INDEX(客户自备加工筐明细!$L$4:$L$1203,$Z901-4000)=0,"",INDEX(客户自备加工筐明细!$L$4:$L$1203,$Z901-4000)),IF($Z901&lt;=5800,IF(INDEX(次果筐明细!$P$4:$P$603,$Z901-5200)=0,"",INDEX(次果筐明细!$P$4:$P$603,$Z901-5200)),"")))))</f>
        <v/>
      </c>
      <c r="N901" s="16" t="str">
        <f>IF($Z901="","",IF($Z901&lt;=2000,"",IF($Z901&lt;=4000,IF(INDEX(周转筐出入库明细!$D$4:$D$2004,$Z901-2000)=0,"",INDEX(周转筐出入库明细!$D$4:$D$2004,$Z901-2000)),IF($Z901&lt;=5200,IF(INDEX(客户自备加工筐明细!$C$4:$C$1203,$Z901-4000)=0,"",INDEX(客户自备加工筐明细!$C$4:$C$1203,$Z901-4000)),IF($Z901&lt;=5800,IF(INDEX(次果筐明细!$D$4:$D$603,$Z901-5200)=0,"",INDEX(次果筐明细!$D$4:$D$603,$Z901-5200)),"")))))</f>
        <v/>
      </c>
      <c r="O901" s="40" t="str">
        <f>IF($Z901="","",IF($Z901&lt;=2000,"",IF($Z901&lt;=4000,IF(N(INDEX(周转筐出入库明细!$J$4:$J$2004,$Z901-2000))+N(INDEX(周转筐出入库明细!$K$4:$K$2004,$Z901-2000))=0,"",N(INDEX(周转筐出入库明细!$J$4:$J$2004,$Z901-2000))+N(INDEX(周转筐出入库明细!$K$4:$K$2004,$Z901-2000))),IF($Z901&lt;=5200,IF(N(INDEX(客户自备加工筐明细!$G$4:$G$1203,$Z901-4000))=0,"",N(INDEX(客户自备加工筐明细!$G$4:$G$1203,$Z901-4000))),IF($Z901&lt;=5800,IF(ISNUMBER(SEARCH("退",INDEX(次果筐明细!$F$4:$F$603,$Z901-5200)&amp;"")),"",IF(N(INDEX(次果筐明细!$G$4:$G$603,$Z901-5200))=0,"",N(INDEX(次果筐明细!$G$4:$G$603,$Z901-5200)))),"")))))</f>
        <v/>
      </c>
      <c r="P901" s="40" t="str">
        <f>IF($Z901="","",IF($Z901&lt;=2000,"",IF($Z901&lt;=4000,IF(N(INDEX(周转筐出入库明细!$I$4:$I$2004,$Z901-2000))=0,"",N(INDEX(周转筐出入库明细!$I$4:$I$2004,$Z901-2000))),IF($Z901&lt;=5200,"",IF($Z901&lt;=5800,IF(ISNUMBER(SEARCH("退",INDEX(次果筐明细!$F$4:$F$603,$Z901-5200)&amp;"")),IF(N(INDEX(次果筐明细!$G$4:$G$603,$Z901-5200))=0,"",N(INDEX(次果筐明细!$G$4:$G$603,$Z901-5200))),""),"")))))</f>
        <v/>
      </c>
      <c r="Q901" s="40" t="str">
        <f>IF($Z901="","",IF($Z901&lt;=2000,"",IF($Z901&lt;=4000,IF(N(INDEX(周转筐出入库明细!$H$4:$H$2004,$Z901-2000))=0,"",N(INDEX(周转筐出入库明细!$H$4:$H$2004,$Z901-2000))),IF($Z901&lt;=5200,IF(N(INDEX(客户自备加工筐明细!$F$4:$F$1203,$Z901-4000))=0,"",N(INDEX(客户自备加工筐明细!$F$4:$F$1203,$Z901-4000))),IF($Z901&lt;=5800,"","")))))</f>
        <v/>
      </c>
      <c r="R901" s="16" t="str">
        <f>IF($Z901="","",IF($Z901&lt;=2000,IF(INDEX(包装物料出入库明细!$O$4:$O$2003,$Z901-0)=0,"",INDEX(包装物料出入库明细!$O$4:$O$2003,$Z901-0)),IF($Z901&lt;=4000,IF(INDEX(周转筐出入库明细!$M$4:$M$2004,$Z901-2000)=0,"",INDEX(周转筐出入库明细!$M$4:$M$2004,$Z901-2000)),IF($Z901&lt;=5200,IF(INDEX(客户自备加工筐明细!$H$4:$H$1203,$Z901-4000)=0,"",INDEX(客户自备加工筐明细!$H$4:$H$1203,$Z901-4000)),IF($Z901&lt;=5800,IF(INDEX(次果筐明细!$H$4:$H$603,$Z901-5200)=0,"",INDEX(次果筐明细!$H$4:$H$603,$Z901-5200)),"")))))</f>
        <v/>
      </c>
      <c r="S901" s="22" t="str">
        <f t="shared" si="44"/>
        <v/>
      </c>
      <c r="Z901" s="10" t="str">
        <f>IFERROR(MATCH(ROW()-3,_自动清单!$CQ$4:$CQ$5803,0),"")</f>
        <v/>
      </c>
    </row>
    <row r="902" spans="1:26">
      <c r="A902" s="24" t="str">
        <f t="shared" si="42"/>
        <v/>
      </c>
      <c r="B902" s="38" t="str">
        <f>IF($Z902="","",IF($Z902&lt;=2000,IF(INDEX(包装物料出入库明细!$B$4:$B$2003,$Z902-0)=0,"",INDEX(包装物料出入库明细!$B$4:$B$2003,$Z902-0)),IF($Z902&lt;=4000,IF(INDEX(周转筐出入库明细!$B$4:$B$2004,$Z902-2000)=0,"",INDEX(周转筐出入库明细!$B$4:$B$2004,$Z902-2000)),IF($Z902&lt;=5200,IF(INDEX(客户自备加工筐明细!$B$4:$B$1203,$Z902-4000)=0,"",INDEX(客户自备加工筐明细!$B$4:$B$1203,$Z902-4000)),IF($Z902&lt;=5800,IF(INDEX(次果筐明细!$B$4:$B$603,$Z902-5200)=0,"",INDEX(次果筐明细!$B$4:$B$603,$Z902-5200)),"")))))</f>
        <v/>
      </c>
      <c r="C902" s="37" t="str">
        <f>IF($Z902="","",IF($Z902&lt;=2000,IF(INDEX(包装物料出入库明细!$D$4:$D$2003,$Z902-0)=0,"",INDEX(包装物料出入库明细!$D$4:$D$2003,$Z902-0)),IF($Z902&lt;=4000,IF(INDEX(周转筐出入库明细!$C$4:$C$2004,$Z902-2000)=0,"",INDEX(周转筐出入库明细!$C$4:$C$2004,$Z902-2000)),IF($Z902&lt;=5200,IF(INDEX(客户自备加工筐明细!$E$4:$E$1203,$Z902-4000)=0,"",INDEX(客户自备加工筐明细!$E$4:$E$1203,$Z902-4000)),IF($Z902&lt;=5800,IF(INDEX(次果筐明细!$C$4:$C$603,$Z902-5200)=0,"",INDEX(次果筐明细!$C$4:$C$603,$Z902-5200)),"")))))</f>
        <v/>
      </c>
      <c r="D902" s="37" t="str">
        <f>IF($Z902="","",IF($Z902&lt;=2000,"包装物料－"&amp;INDEX(包装物料出入库明细!$H$4:$H$2003,$Z902-0),IF($Z902&lt;=4000,"周转筐－"&amp;INDEX(周转筐出入库明细!$F$4:$F$2004,$Z902-2000),IF($Z902&lt;=5200,"客户自备筐－"&amp;INDEX(客户自备加工筐明细!$J$4:$J$1203,$Z902-4000),IF($Z902&lt;=5800,"次果筐/托盘－"&amp;INDEX(次果筐明细!$F$4:$F$603,$Z902-5200),"")))))</f>
        <v/>
      </c>
      <c r="E902" s="24" t="str">
        <f>IF($Z902="","",IF($Z902&lt;=2000,IF(INDEX(包装物料出入库明细!$C$4:$C$2003,$Z902-0)=0,"",INDEX(包装物料出入库明细!$C$4:$C$2003,$Z902-0)),IF($Z902&lt;=4000,IF(INDEX(周转筐出入库明细!$E$4:$E$2004,$Z902-2000)=0,"",INDEX(周转筐出入库明细!$E$4:$E$2004,$Z902-2000)),IF($Z902&lt;=5200,IF(INDEX(客户自备加工筐明细!$D$4:$D$1203,$Z902-4000)=0,"",INDEX(客户自备加工筐明细!$D$4:$D$1203,$Z902-4000)),IF($Z902&lt;=5800,IF(INDEX(次果筐明细!$E$4:$E$603,$Z902-5200)=0,"",INDEX(次果筐明细!$E$4:$E$603,$Z902-5200)),"")))))</f>
        <v/>
      </c>
      <c r="F902" s="24" t="str">
        <f>IF($Z902="","",IF($Z902&lt;=2000,IF(INDEX(包装物料出入库明细!$E$4:$E$2003,$Z902-0)=0,"",INDEX(包装物料出入库明细!$E$4:$E$2003,$Z902-0)),IF($Z902&lt;=4000,IF(INDEX(周转筐出入库明细!$D$4:$D$2004,$Z902-2000)=0,"",INDEX(周转筐出入库明细!$D$4:$D$2004,$Z902-2000)),IF($Z902&lt;=5200,IF(INDEX(客户自备加工筐明细!$C$4:$C$1203,$Z902-4000)=0,"",INDEX(客户自备加工筐明细!$C$4:$C$1203,$Z902-4000)),IF($Z902&lt;=5800,IF(INDEX(次果筐明细!$D$4:$D$603,$Z902-5200)=0,"",INDEX(次果筐明细!$D$4:$D$603,$Z902-5200)),"")))))</f>
        <v/>
      </c>
      <c r="G902" s="24" t="str">
        <f>IF($Z902="","",IF($Z902&lt;=2000,IF(INDEX(包装物料出入库明细!$F$4:$F$2003,$Z902-0)=0,"",INDEX(包装物料出入库明细!$F$4:$F$2003,$Z902-0)),IF($Z902&lt;=4000,"",IF($Z902&lt;=5200,"",IF($Z902&lt;=5800,"","")))))</f>
        <v/>
      </c>
      <c r="H902" s="39" t="str">
        <f>IF($Z902="","",IF($Z902&lt;=2000,IF(INDEX(包装物料出入库明细!$L$4:$L$2003,$Z902-0)=0,"",INDEX(包装物料出入库明细!$L$4:$L$2003,$Z902-0)),IF($Z902&lt;=4000,N(INDEX(周转筐出入库明细!$H$4:$H$2004,$Z902-2000))+N(INDEX(周转筐出入库明细!$I$4:$I$2004,$Z902-2000))+N(INDEX(周转筐出入库明细!$J$4:$J$2004,$Z902-2000))+N(INDEX(周转筐出入库明细!$K$4:$K$2004,$Z902-2000)),IF($Z902&lt;=5200,N(INDEX(客户自备加工筐明细!$F$4:$F$1203,$Z902-4000))+N(INDEX(客户自备加工筐明细!$G$4:$G$1203,$Z902-4000)),IF($Z902&lt;=5800,IF(INDEX(次果筐明细!$G$4:$G$603,$Z902-5200)=0,"",INDEX(次果筐明细!$G$4:$G$603,$Z902-5200)),"")))))</f>
        <v/>
      </c>
      <c r="I902" s="24" t="str">
        <f>IF($Z902="","",IF($Z902&lt;=2000,IF(INDEX(包装物料出入库明细!$G$4:$G$2003,$Z902-0)=0,"",INDEX(包装物料出入库明细!$G$4:$G$2003,$Z902-0)),IF($Z902&lt;=4000,"个",IF($Z902&lt;=5200,"个",IF($Z902&lt;=5800,"个","")))))</f>
        <v/>
      </c>
      <c r="J902" s="30" t="str">
        <f t="shared" si="43"/>
        <v/>
      </c>
      <c r="K902" s="30" t="str">
        <f>IF($Z902="","",IF($Z902&lt;=2000,IF(INDEX(包装物料出入库明细!$N$4:$N$2003,$Z902-0)=0,"",INDEX(包装物料出入库明细!$N$4:$N$2003,$Z902-0)),IF($Z902&lt;=4000,IF(INDEX(周转筐出入库明细!$P$4:$P$2004,$Z902-2000)=0,"",INDEX(周转筐出入库明细!$P$4:$P$2004,$Z902-2000)),IF($Z902&lt;=5200,"",IF($Z902&lt;=5800,N(INDEX(次果筐明细!$L$4:$L$603,$Z902-5200))+N(INDEX(次果筐明细!$J$4:$J$603,$Z902-5200)),"")))))</f>
        <v/>
      </c>
      <c r="L902" s="24" t="str">
        <f>IF($Z902="","",IF($Z902&lt;=2000,IF(INDEX(包装物料出入库明细!$P$4:$P$2003,$Z902-0)=0,"",INDEX(包装物料出入库明细!$P$4:$P$2003,$Z902-0)),IF($Z902&lt;=4000,IF(INDEX(周转筐出入库明细!$Q$4:$Q$2004,$Z902-2000)=0,"",INDEX(周转筐出入库明细!$Q$4:$Q$2004,$Z902-2000)),IF($Z902&lt;=5200,"",IF($Z902&lt;=5800,IF(INDEX(次果筐明细!$M$4:$M$603,$Z902-5200)=0,"",INDEX(次果筐明细!$M$4:$M$603,$Z902-5200)),"")))))</f>
        <v/>
      </c>
      <c r="M902" s="37" t="str">
        <f>IF($Z902="","",IF($Z902&lt;=2000,IF(INDEX(包装物料出入库明细!$R$4:$R$2003,$Z902-0)=0,"",INDEX(包装物料出入库明细!$R$4:$R$2003,$Z902-0)),IF($Z902&lt;=4000,IF(INDEX(周转筐出入库明细!$W$4:$W$2004,$Z902-2000)=0,"",INDEX(周转筐出入库明细!$W$4:$W$2004,$Z902-2000)),IF($Z902&lt;=5200,IF(INDEX(客户自备加工筐明细!$L$4:$L$1203,$Z902-4000)=0,"",INDEX(客户自备加工筐明细!$L$4:$L$1203,$Z902-4000)),IF($Z902&lt;=5800,IF(INDEX(次果筐明细!$P$4:$P$603,$Z902-5200)=0,"",INDEX(次果筐明细!$P$4:$P$603,$Z902-5200)),"")))))</f>
        <v/>
      </c>
      <c r="N902" s="16" t="str">
        <f>IF($Z902="","",IF($Z902&lt;=2000,"",IF($Z902&lt;=4000,IF(INDEX(周转筐出入库明细!$D$4:$D$2004,$Z902-2000)=0,"",INDEX(周转筐出入库明细!$D$4:$D$2004,$Z902-2000)),IF($Z902&lt;=5200,IF(INDEX(客户自备加工筐明细!$C$4:$C$1203,$Z902-4000)=0,"",INDEX(客户自备加工筐明细!$C$4:$C$1203,$Z902-4000)),IF($Z902&lt;=5800,IF(INDEX(次果筐明细!$D$4:$D$603,$Z902-5200)=0,"",INDEX(次果筐明细!$D$4:$D$603,$Z902-5200)),"")))))</f>
        <v/>
      </c>
      <c r="O902" s="40" t="str">
        <f>IF($Z902="","",IF($Z902&lt;=2000,"",IF($Z902&lt;=4000,IF(N(INDEX(周转筐出入库明细!$J$4:$J$2004,$Z902-2000))+N(INDEX(周转筐出入库明细!$K$4:$K$2004,$Z902-2000))=0,"",N(INDEX(周转筐出入库明细!$J$4:$J$2004,$Z902-2000))+N(INDEX(周转筐出入库明细!$K$4:$K$2004,$Z902-2000))),IF($Z902&lt;=5200,IF(N(INDEX(客户自备加工筐明细!$G$4:$G$1203,$Z902-4000))=0,"",N(INDEX(客户自备加工筐明细!$G$4:$G$1203,$Z902-4000))),IF($Z902&lt;=5800,IF(ISNUMBER(SEARCH("退",INDEX(次果筐明细!$F$4:$F$603,$Z902-5200)&amp;"")),"",IF(N(INDEX(次果筐明细!$G$4:$G$603,$Z902-5200))=0,"",N(INDEX(次果筐明细!$G$4:$G$603,$Z902-5200)))),"")))))</f>
        <v/>
      </c>
      <c r="P902" s="40" t="str">
        <f>IF($Z902="","",IF($Z902&lt;=2000,"",IF($Z902&lt;=4000,IF(N(INDEX(周转筐出入库明细!$I$4:$I$2004,$Z902-2000))=0,"",N(INDEX(周转筐出入库明细!$I$4:$I$2004,$Z902-2000))),IF($Z902&lt;=5200,"",IF($Z902&lt;=5800,IF(ISNUMBER(SEARCH("退",INDEX(次果筐明细!$F$4:$F$603,$Z902-5200)&amp;"")),IF(N(INDEX(次果筐明细!$G$4:$G$603,$Z902-5200))=0,"",N(INDEX(次果筐明细!$G$4:$G$603,$Z902-5200))),""),"")))))</f>
        <v/>
      </c>
      <c r="Q902" s="40" t="str">
        <f>IF($Z902="","",IF($Z902&lt;=2000,"",IF($Z902&lt;=4000,IF(N(INDEX(周转筐出入库明细!$H$4:$H$2004,$Z902-2000))=0,"",N(INDEX(周转筐出入库明细!$H$4:$H$2004,$Z902-2000))),IF($Z902&lt;=5200,IF(N(INDEX(客户自备加工筐明细!$F$4:$F$1203,$Z902-4000))=0,"",N(INDEX(客户自备加工筐明细!$F$4:$F$1203,$Z902-4000))),IF($Z902&lt;=5800,"","")))))</f>
        <v/>
      </c>
      <c r="R902" s="16" t="str">
        <f>IF($Z902="","",IF($Z902&lt;=2000,IF(INDEX(包装物料出入库明细!$O$4:$O$2003,$Z902-0)=0,"",INDEX(包装物料出入库明细!$O$4:$O$2003,$Z902-0)),IF($Z902&lt;=4000,IF(INDEX(周转筐出入库明细!$M$4:$M$2004,$Z902-2000)=0,"",INDEX(周转筐出入库明细!$M$4:$M$2004,$Z902-2000)),IF($Z902&lt;=5200,IF(INDEX(客户自备加工筐明细!$H$4:$H$1203,$Z902-4000)=0,"",INDEX(客户自备加工筐明细!$H$4:$H$1203,$Z902-4000)),IF($Z902&lt;=5800,IF(INDEX(次果筐明细!$H$4:$H$603,$Z902-5200)=0,"",INDEX(次果筐明细!$H$4:$H$603,$Z902-5200)),"")))))</f>
        <v/>
      </c>
      <c r="S902" s="22" t="str">
        <f t="shared" si="44"/>
        <v/>
      </c>
      <c r="Z902" s="10" t="str">
        <f>IFERROR(MATCH(ROW()-3,_自动清单!$CQ$4:$CQ$5803,0),"")</f>
        <v/>
      </c>
    </row>
    <row r="903" spans="1:26">
      <c r="A903" s="24" t="str">
        <f t="shared" si="42"/>
        <v/>
      </c>
      <c r="B903" s="38" t="str">
        <f>IF($Z903="","",IF($Z903&lt;=2000,IF(INDEX(包装物料出入库明细!$B$4:$B$2003,$Z903-0)=0,"",INDEX(包装物料出入库明细!$B$4:$B$2003,$Z903-0)),IF($Z903&lt;=4000,IF(INDEX(周转筐出入库明细!$B$4:$B$2004,$Z903-2000)=0,"",INDEX(周转筐出入库明细!$B$4:$B$2004,$Z903-2000)),IF($Z903&lt;=5200,IF(INDEX(客户自备加工筐明细!$B$4:$B$1203,$Z903-4000)=0,"",INDEX(客户自备加工筐明细!$B$4:$B$1203,$Z903-4000)),IF($Z903&lt;=5800,IF(INDEX(次果筐明细!$B$4:$B$603,$Z903-5200)=0,"",INDEX(次果筐明细!$B$4:$B$603,$Z903-5200)),"")))))</f>
        <v/>
      </c>
      <c r="C903" s="37" t="str">
        <f>IF($Z903="","",IF($Z903&lt;=2000,IF(INDEX(包装物料出入库明细!$D$4:$D$2003,$Z903-0)=0,"",INDEX(包装物料出入库明细!$D$4:$D$2003,$Z903-0)),IF($Z903&lt;=4000,IF(INDEX(周转筐出入库明细!$C$4:$C$2004,$Z903-2000)=0,"",INDEX(周转筐出入库明细!$C$4:$C$2004,$Z903-2000)),IF($Z903&lt;=5200,IF(INDEX(客户自备加工筐明细!$E$4:$E$1203,$Z903-4000)=0,"",INDEX(客户自备加工筐明细!$E$4:$E$1203,$Z903-4000)),IF($Z903&lt;=5800,IF(INDEX(次果筐明细!$C$4:$C$603,$Z903-5200)=0,"",INDEX(次果筐明细!$C$4:$C$603,$Z903-5200)),"")))))</f>
        <v/>
      </c>
      <c r="D903" s="37" t="str">
        <f>IF($Z903="","",IF($Z903&lt;=2000,"包装物料－"&amp;INDEX(包装物料出入库明细!$H$4:$H$2003,$Z903-0),IF($Z903&lt;=4000,"周转筐－"&amp;INDEX(周转筐出入库明细!$F$4:$F$2004,$Z903-2000),IF($Z903&lt;=5200,"客户自备筐－"&amp;INDEX(客户自备加工筐明细!$J$4:$J$1203,$Z903-4000),IF($Z903&lt;=5800,"次果筐/托盘－"&amp;INDEX(次果筐明细!$F$4:$F$603,$Z903-5200),"")))))</f>
        <v/>
      </c>
      <c r="E903" s="24" t="str">
        <f>IF($Z903="","",IF($Z903&lt;=2000,IF(INDEX(包装物料出入库明细!$C$4:$C$2003,$Z903-0)=0,"",INDEX(包装物料出入库明细!$C$4:$C$2003,$Z903-0)),IF($Z903&lt;=4000,IF(INDEX(周转筐出入库明细!$E$4:$E$2004,$Z903-2000)=0,"",INDEX(周转筐出入库明细!$E$4:$E$2004,$Z903-2000)),IF($Z903&lt;=5200,IF(INDEX(客户自备加工筐明细!$D$4:$D$1203,$Z903-4000)=0,"",INDEX(客户自备加工筐明细!$D$4:$D$1203,$Z903-4000)),IF($Z903&lt;=5800,IF(INDEX(次果筐明细!$E$4:$E$603,$Z903-5200)=0,"",INDEX(次果筐明细!$E$4:$E$603,$Z903-5200)),"")))))</f>
        <v/>
      </c>
      <c r="F903" s="24" t="str">
        <f>IF($Z903="","",IF($Z903&lt;=2000,IF(INDEX(包装物料出入库明细!$E$4:$E$2003,$Z903-0)=0,"",INDEX(包装物料出入库明细!$E$4:$E$2003,$Z903-0)),IF($Z903&lt;=4000,IF(INDEX(周转筐出入库明细!$D$4:$D$2004,$Z903-2000)=0,"",INDEX(周转筐出入库明细!$D$4:$D$2004,$Z903-2000)),IF($Z903&lt;=5200,IF(INDEX(客户自备加工筐明细!$C$4:$C$1203,$Z903-4000)=0,"",INDEX(客户自备加工筐明细!$C$4:$C$1203,$Z903-4000)),IF($Z903&lt;=5800,IF(INDEX(次果筐明细!$D$4:$D$603,$Z903-5200)=0,"",INDEX(次果筐明细!$D$4:$D$603,$Z903-5200)),"")))))</f>
        <v/>
      </c>
      <c r="G903" s="24" t="str">
        <f>IF($Z903="","",IF($Z903&lt;=2000,IF(INDEX(包装物料出入库明细!$F$4:$F$2003,$Z903-0)=0,"",INDEX(包装物料出入库明细!$F$4:$F$2003,$Z903-0)),IF($Z903&lt;=4000,"",IF($Z903&lt;=5200,"",IF($Z903&lt;=5800,"","")))))</f>
        <v/>
      </c>
      <c r="H903" s="39" t="str">
        <f>IF($Z903="","",IF($Z903&lt;=2000,IF(INDEX(包装物料出入库明细!$L$4:$L$2003,$Z903-0)=0,"",INDEX(包装物料出入库明细!$L$4:$L$2003,$Z903-0)),IF($Z903&lt;=4000,N(INDEX(周转筐出入库明细!$H$4:$H$2004,$Z903-2000))+N(INDEX(周转筐出入库明细!$I$4:$I$2004,$Z903-2000))+N(INDEX(周转筐出入库明细!$J$4:$J$2004,$Z903-2000))+N(INDEX(周转筐出入库明细!$K$4:$K$2004,$Z903-2000)),IF($Z903&lt;=5200,N(INDEX(客户自备加工筐明细!$F$4:$F$1203,$Z903-4000))+N(INDEX(客户自备加工筐明细!$G$4:$G$1203,$Z903-4000)),IF($Z903&lt;=5800,IF(INDEX(次果筐明细!$G$4:$G$603,$Z903-5200)=0,"",INDEX(次果筐明细!$G$4:$G$603,$Z903-5200)),"")))))</f>
        <v/>
      </c>
      <c r="I903" s="24" t="str">
        <f>IF($Z903="","",IF($Z903&lt;=2000,IF(INDEX(包装物料出入库明细!$G$4:$G$2003,$Z903-0)=0,"",INDEX(包装物料出入库明细!$G$4:$G$2003,$Z903-0)),IF($Z903&lt;=4000,"个",IF($Z903&lt;=5200,"个",IF($Z903&lt;=5800,"个","")))))</f>
        <v/>
      </c>
      <c r="J903" s="30" t="str">
        <f t="shared" si="43"/>
        <v/>
      </c>
      <c r="K903" s="30" t="str">
        <f>IF($Z903="","",IF($Z903&lt;=2000,IF(INDEX(包装物料出入库明细!$N$4:$N$2003,$Z903-0)=0,"",INDEX(包装物料出入库明细!$N$4:$N$2003,$Z903-0)),IF($Z903&lt;=4000,IF(INDEX(周转筐出入库明细!$P$4:$P$2004,$Z903-2000)=0,"",INDEX(周转筐出入库明细!$P$4:$P$2004,$Z903-2000)),IF($Z903&lt;=5200,"",IF($Z903&lt;=5800,N(INDEX(次果筐明细!$L$4:$L$603,$Z903-5200))+N(INDEX(次果筐明细!$J$4:$J$603,$Z903-5200)),"")))))</f>
        <v/>
      </c>
      <c r="L903" s="24" t="str">
        <f>IF($Z903="","",IF($Z903&lt;=2000,IF(INDEX(包装物料出入库明细!$P$4:$P$2003,$Z903-0)=0,"",INDEX(包装物料出入库明细!$P$4:$P$2003,$Z903-0)),IF($Z903&lt;=4000,IF(INDEX(周转筐出入库明细!$Q$4:$Q$2004,$Z903-2000)=0,"",INDEX(周转筐出入库明细!$Q$4:$Q$2004,$Z903-2000)),IF($Z903&lt;=5200,"",IF($Z903&lt;=5800,IF(INDEX(次果筐明细!$M$4:$M$603,$Z903-5200)=0,"",INDEX(次果筐明细!$M$4:$M$603,$Z903-5200)),"")))))</f>
        <v/>
      </c>
      <c r="M903" s="37" t="str">
        <f>IF($Z903="","",IF($Z903&lt;=2000,IF(INDEX(包装物料出入库明细!$R$4:$R$2003,$Z903-0)=0,"",INDEX(包装物料出入库明细!$R$4:$R$2003,$Z903-0)),IF($Z903&lt;=4000,IF(INDEX(周转筐出入库明细!$W$4:$W$2004,$Z903-2000)=0,"",INDEX(周转筐出入库明细!$W$4:$W$2004,$Z903-2000)),IF($Z903&lt;=5200,IF(INDEX(客户自备加工筐明细!$L$4:$L$1203,$Z903-4000)=0,"",INDEX(客户自备加工筐明细!$L$4:$L$1203,$Z903-4000)),IF($Z903&lt;=5800,IF(INDEX(次果筐明细!$P$4:$P$603,$Z903-5200)=0,"",INDEX(次果筐明细!$P$4:$P$603,$Z903-5200)),"")))))</f>
        <v/>
      </c>
      <c r="N903" s="16" t="str">
        <f>IF($Z903="","",IF($Z903&lt;=2000,"",IF($Z903&lt;=4000,IF(INDEX(周转筐出入库明细!$D$4:$D$2004,$Z903-2000)=0,"",INDEX(周转筐出入库明细!$D$4:$D$2004,$Z903-2000)),IF($Z903&lt;=5200,IF(INDEX(客户自备加工筐明细!$C$4:$C$1203,$Z903-4000)=0,"",INDEX(客户自备加工筐明细!$C$4:$C$1203,$Z903-4000)),IF($Z903&lt;=5800,IF(INDEX(次果筐明细!$D$4:$D$603,$Z903-5200)=0,"",INDEX(次果筐明细!$D$4:$D$603,$Z903-5200)),"")))))</f>
        <v/>
      </c>
      <c r="O903" s="40" t="str">
        <f>IF($Z903="","",IF($Z903&lt;=2000,"",IF($Z903&lt;=4000,IF(N(INDEX(周转筐出入库明细!$J$4:$J$2004,$Z903-2000))+N(INDEX(周转筐出入库明细!$K$4:$K$2004,$Z903-2000))=0,"",N(INDEX(周转筐出入库明细!$J$4:$J$2004,$Z903-2000))+N(INDEX(周转筐出入库明细!$K$4:$K$2004,$Z903-2000))),IF($Z903&lt;=5200,IF(N(INDEX(客户自备加工筐明细!$G$4:$G$1203,$Z903-4000))=0,"",N(INDEX(客户自备加工筐明细!$G$4:$G$1203,$Z903-4000))),IF($Z903&lt;=5800,IF(ISNUMBER(SEARCH("退",INDEX(次果筐明细!$F$4:$F$603,$Z903-5200)&amp;"")),"",IF(N(INDEX(次果筐明细!$G$4:$G$603,$Z903-5200))=0,"",N(INDEX(次果筐明细!$G$4:$G$603,$Z903-5200)))),"")))))</f>
        <v/>
      </c>
      <c r="P903" s="40" t="str">
        <f>IF($Z903="","",IF($Z903&lt;=2000,"",IF($Z903&lt;=4000,IF(N(INDEX(周转筐出入库明细!$I$4:$I$2004,$Z903-2000))=0,"",N(INDEX(周转筐出入库明细!$I$4:$I$2004,$Z903-2000))),IF($Z903&lt;=5200,"",IF($Z903&lt;=5800,IF(ISNUMBER(SEARCH("退",INDEX(次果筐明细!$F$4:$F$603,$Z903-5200)&amp;"")),IF(N(INDEX(次果筐明细!$G$4:$G$603,$Z903-5200))=0,"",N(INDEX(次果筐明细!$G$4:$G$603,$Z903-5200))),""),"")))))</f>
        <v/>
      </c>
      <c r="Q903" s="40" t="str">
        <f>IF($Z903="","",IF($Z903&lt;=2000,"",IF($Z903&lt;=4000,IF(N(INDEX(周转筐出入库明细!$H$4:$H$2004,$Z903-2000))=0,"",N(INDEX(周转筐出入库明细!$H$4:$H$2004,$Z903-2000))),IF($Z903&lt;=5200,IF(N(INDEX(客户自备加工筐明细!$F$4:$F$1203,$Z903-4000))=0,"",N(INDEX(客户自备加工筐明细!$F$4:$F$1203,$Z903-4000))),IF($Z903&lt;=5800,"","")))))</f>
        <v/>
      </c>
      <c r="R903" s="16" t="str">
        <f>IF($Z903="","",IF($Z903&lt;=2000,IF(INDEX(包装物料出入库明细!$O$4:$O$2003,$Z903-0)=0,"",INDEX(包装物料出入库明细!$O$4:$O$2003,$Z903-0)),IF($Z903&lt;=4000,IF(INDEX(周转筐出入库明细!$M$4:$M$2004,$Z903-2000)=0,"",INDEX(周转筐出入库明细!$M$4:$M$2004,$Z903-2000)),IF($Z903&lt;=5200,IF(INDEX(客户自备加工筐明细!$H$4:$H$1203,$Z903-4000)=0,"",INDEX(客户自备加工筐明细!$H$4:$H$1203,$Z903-4000)),IF($Z903&lt;=5800,IF(INDEX(次果筐明细!$H$4:$H$603,$Z903-5200)=0,"",INDEX(次果筐明细!$H$4:$H$603,$Z903-5200)),"")))))</f>
        <v/>
      </c>
      <c r="S903" s="22" t="str">
        <f t="shared" si="44"/>
        <v/>
      </c>
      <c r="Z903" s="10" t="str">
        <f>IFERROR(MATCH(ROW()-3,_自动清单!$CQ$4:$CQ$5803,0),"")</f>
        <v/>
      </c>
    </row>
    <row r="904" spans="1:26">
      <c r="A904" s="24" t="str">
        <f t="shared" si="42"/>
        <v/>
      </c>
      <c r="B904" s="38" t="str">
        <f>IF($Z904="","",IF($Z904&lt;=2000,IF(INDEX(包装物料出入库明细!$B$4:$B$2003,$Z904-0)=0,"",INDEX(包装物料出入库明细!$B$4:$B$2003,$Z904-0)),IF($Z904&lt;=4000,IF(INDEX(周转筐出入库明细!$B$4:$B$2004,$Z904-2000)=0,"",INDEX(周转筐出入库明细!$B$4:$B$2004,$Z904-2000)),IF($Z904&lt;=5200,IF(INDEX(客户自备加工筐明细!$B$4:$B$1203,$Z904-4000)=0,"",INDEX(客户自备加工筐明细!$B$4:$B$1203,$Z904-4000)),IF($Z904&lt;=5800,IF(INDEX(次果筐明细!$B$4:$B$603,$Z904-5200)=0,"",INDEX(次果筐明细!$B$4:$B$603,$Z904-5200)),"")))))</f>
        <v/>
      </c>
      <c r="C904" s="37" t="str">
        <f>IF($Z904="","",IF($Z904&lt;=2000,IF(INDEX(包装物料出入库明细!$D$4:$D$2003,$Z904-0)=0,"",INDEX(包装物料出入库明细!$D$4:$D$2003,$Z904-0)),IF($Z904&lt;=4000,IF(INDEX(周转筐出入库明细!$C$4:$C$2004,$Z904-2000)=0,"",INDEX(周转筐出入库明细!$C$4:$C$2004,$Z904-2000)),IF($Z904&lt;=5200,IF(INDEX(客户自备加工筐明细!$E$4:$E$1203,$Z904-4000)=0,"",INDEX(客户自备加工筐明细!$E$4:$E$1203,$Z904-4000)),IF($Z904&lt;=5800,IF(INDEX(次果筐明细!$C$4:$C$603,$Z904-5200)=0,"",INDEX(次果筐明细!$C$4:$C$603,$Z904-5200)),"")))))</f>
        <v/>
      </c>
      <c r="D904" s="37" t="str">
        <f>IF($Z904="","",IF($Z904&lt;=2000,"包装物料－"&amp;INDEX(包装物料出入库明细!$H$4:$H$2003,$Z904-0),IF($Z904&lt;=4000,"周转筐－"&amp;INDEX(周转筐出入库明细!$F$4:$F$2004,$Z904-2000),IF($Z904&lt;=5200,"客户自备筐－"&amp;INDEX(客户自备加工筐明细!$J$4:$J$1203,$Z904-4000),IF($Z904&lt;=5800,"次果筐/托盘－"&amp;INDEX(次果筐明细!$F$4:$F$603,$Z904-5200),"")))))</f>
        <v/>
      </c>
      <c r="E904" s="24" t="str">
        <f>IF($Z904="","",IF($Z904&lt;=2000,IF(INDEX(包装物料出入库明细!$C$4:$C$2003,$Z904-0)=0,"",INDEX(包装物料出入库明细!$C$4:$C$2003,$Z904-0)),IF($Z904&lt;=4000,IF(INDEX(周转筐出入库明细!$E$4:$E$2004,$Z904-2000)=0,"",INDEX(周转筐出入库明细!$E$4:$E$2004,$Z904-2000)),IF($Z904&lt;=5200,IF(INDEX(客户自备加工筐明细!$D$4:$D$1203,$Z904-4000)=0,"",INDEX(客户自备加工筐明细!$D$4:$D$1203,$Z904-4000)),IF($Z904&lt;=5800,IF(INDEX(次果筐明细!$E$4:$E$603,$Z904-5200)=0,"",INDEX(次果筐明细!$E$4:$E$603,$Z904-5200)),"")))))</f>
        <v/>
      </c>
      <c r="F904" s="24" t="str">
        <f>IF($Z904="","",IF($Z904&lt;=2000,IF(INDEX(包装物料出入库明细!$E$4:$E$2003,$Z904-0)=0,"",INDEX(包装物料出入库明细!$E$4:$E$2003,$Z904-0)),IF($Z904&lt;=4000,IF(INDEX(周转筐出入库明细!$D$4:$D$2004,$Z904-2000)=0,"",INDEX(周转筐出入库明细!$D$4:$D$2004,$Z904-2000)),IF($Z904&lt;=5200,IF(INDEX(客户自备加工筐明细!$C$4:$C$1203,$Z904-4000)=0,"",INDEX(客户自备加工筐明细!$C$4:$C$1203,$Z904-4000)),IF($Z904&lt;=5800,IF(INDEX(次果筐明细!$D$4:$D$603,$Z904-5200)=0,"",INDEX(次果筐明细!$D$4:$D$603,$Z904-5200)),"")))))</f>
        <v/>
      </c>
      <c r="G904" s="24" t="str">
        <f>IF($Z904="","",IF($Z904&lt;=2000,IF(INDEX(包装物料出入库明细!$F$4:$F$2003,$Z904-0)=0,"",INDEX(包装物料出入库明细!$F$4:$F$2003,$Z904-0)),IF($Z904&lt;=4000,"",IF($Z904&lt;=5200,"",IF($Z904&lt;=5800,"","")))))</f>
        <v/>
      </c>
      <c r="H904" s="39" t="str">
        <f>IF($Z904="","",IF($Z904&lt;=2000,IF(INDEX(包装物料出入库明细!$L$4:$L$2003,$Z904-0)=0,"",INDEX(包装物料出入库明细!$L$4:$L$2003,$Z904-0)),IF($Z904&lt;=4000,N(INDEX(周转筐出入库明细!$H$4:$H$2004,$Z904-2000))+N(INDEX(周转筐出入库明细!$I$4:$I$2004,$Z904-2000))+N(INDEX(周转筐出入库明细!$J$4:$J$2004,$Z904-2000))+N(INDEX(周转筐出入库明细!$K$4:$K$2004,$Z904-2000)),IF($Z904&lt;=5200,N(INDEX(客户自备加工筐明细!$F$4:$F$1203,$Z904-4000))+N(INDEX(客户自备加工筐明细!$G$4:$G$1203,$Z904-4000)),IF($Z904&lt;=5800,IF(INDEX(次果筐明细!$G$4:$G$603,$Z904-5200)=0,"",INDEX(次果筐明细!$G$4:$G$603,$Z904-5200)),"")))))</f>
        <v/>
      </c>
      <c r="I904" s="24" t="str">
        <f>IF($Z904="","",IF($Z904&lt;=2000,IF(INDEX(包装物料出入库明细!$G$4:$G$2003,$Z904-0)=0,"",INDEX(包装物料出入库明细!$G$4:$G$2003,$Z904-0)),IF($Z904&lt;=4000,"个",IF($Z904&lt;=5200,"个",IF($Z904&lt;=5800,"个","")))))</f>
        <v/>
      </c>
      <c r="J904" s="30" t="str">
        <f t="shared" si="43"/>
        <v/>
      </c>
      <c r="K904" s="30" t="str">
        <f>IF($Z904="","",IF($Z904&lt;=2000,IF(INDEX(包装物料出入库明细!$N$4:$N$2003,$Z904-0)=0,"",INDEX(包装物料出入库明细!$N$4:$N$2003,$Z904-0)),IF($Z904&lt;=4000,IF(INDEX(周转筐出入库明细!$P$4:$P$2004,$Z904-2000)=0,"",INDEX(周转筐出入库明细!$P$4:$P$2004,$Z904-2000)),IF($Z904&lt;=5200,"",IF($Z904&lt;=5800,N(INDEX(次果筐明细!$L$4:$L$603,$Z904-5200))+N(INDEX(次果筐明细!$J$4:$J$603,$Z904-5200)),"")))))</f>
        <v/>
      </c>
      <c r="L904" s="24" t="str">
        <f>IF($Z904="","",IF($Z904&lt;=2000,IF(INDEX(包装物料出入库明细!$P$4:$P$2003,$Z904-0)=0,"",INDEX(包装物料出入库明细!$P$4:$P$2003,$Z904-0)),IF($Z904&lt;=4000,IF(INDEX(周转筐出入库明细!$Q$4:$Q$2004,$Z904-2000)=0,"",INDEX(周转筐出入库明细!$Q$4:$Q$2004,$Z904-2000)),IF($Z904&lt;=5200,"",IF($Z904&lt;=5800,IF(INDEX(次果筐明细!$M$4:$M$603,$Z904-5200)=0,"",INDEX(次果筐明细!$M$4:$M$603,$Z904-5200)),"")))))</f>
        <v/>
      </c>
      <c r="M904" s="37" t="str">
        <f>IF($Z904="","",IF($Z904&lt;=2000,IF(INDEX(包装物料出入库明细!$R$4:$R$2003,$Z904-0)=0,"",INDEX(包装物料出入库明细!$R$4:$R$2003,$Z904-0)),IF($Z904&lt;=4000,IF(INDEX(周转筐出入库明细!$W$4:$W$2004,$Z904-2000)=0,"",INDEX(周转筐出入库明细!$W$4:$W$2004,$Z904-2000)),IF($Z904&lt;=5200,IF(INDEX(客户自备加工筐明细!$L$4:$L$1203,$Z904-4000)=0,"",INDEX(客户自备加工筐明细!$L$4:$L$1203,$Z904-4000)),IF($Z904&lt;=5800,IF(INDEX(次果筐明细!$P$4:$P$603,$Z904-5200)=0,"",INDEX(次果筐明细!$P$4:$P$603,$Z904-5200)),"")))))</f>
        <v/>
      </c>
      <c r="N904" s="16" t="str">
        <f>IF($Z904="","",IF($Z904&lt;=2000,"",IF($Z904&lt;=4000,IF(INDEX(周转筐出入库明细!$D$4:$D$2004,$Z904-2000)=0,"",INDEX(周转筐出入库明细!$D$4:$D$2004,$Z904-2000)),IF($Z904&lt;=5200,IF(INDEX(客户自备加工筐明细!$C$4:$C$1203,$Z904-4000)=0,"",INDEX(客户自备加工筐明细!$C$4:$C$1203,$Z904-4000)),IF($Z904&lt;=5800,IF(INDEX(次果筐明细!$D$4:$D$603,$Z904-5200)=0,"",INDEX(次果筐明细!$D$4:$D$603,$Z904-5200)),"")))))</f>
        <v/>
      </c>
      <c r="O904" s="40" t="str">
        <f>IF($Z904="","",IF($Z904&lt;=2000,"",IF($Z904&lt;=4000,IF(N(INDEX(周转筐出入库明细!$J$4:$J$2004,$Z904-2000))+N(INDEX(周转筐出入库明细!$K$4:$K$2004,$Z904-2000))=0,"",N(INDEX(周转筐出入库明细!$J$4:$J$2004,$Z904-2000))+N(INDEX(周转筐出入库明细!$K$4:$K$2004,$Z904-2000))),IF($Z904&lt;=5200,IF(N(INDEX(客户自备加工筐明细!$G$4:$G$1203,$Z904-4000))=0,"",N(INDEX(客户自备加工筐明细!$G$4:$G$1203,$Z904-4000))),IF($Z904&lt;=5800,IF(ISNUMBER(SEARCH("退",INDEX(次果筐明细!$F$4:$F$603,$Z904-5200)&amp;"")),"",IF(N(INDEX(次果筐明细!$G$4:$G$603,$Z904-5200))=0,"",N(INDEX(次果筐明细!$G$4:$G$603,$Z904-5200)))),"")))))</f>
        <v/>
      </c>
      <c r="P904" s="40" t="str">
        <f>IF($Z904="","",IF($Z904&lt;=2000,"",IF($Z904&lt;=4000,IF(N(INDEX(周转筐出入库明细!$I$4:$I$2004,$Z904-2000))=0,"",N(INDEX(周转筐出入库明细!$I$4:$I$2004,$Z904-2000))),IF($Z904&lt;=5200,"",IF($Z904&lt;=5800,IF(ISNUMBER(SEARCH("退",INDEX(次果筐明细!$F$4:$F$603,$Z904-5200)&amp;"")),IF(N(INDEX(次果筐明细!$G$4:$G$603,$Z904-5200))=0,"",N(INDEX(次果筐明细!$G$4:$G$603,$Z904-5200))),""),"")))))</f>
        <v/>
      </c>
      <c r="Q904" s="40" t="str">
        <f>IF($Z904="","",IF($Z904&lt;=2000,"",IF($Z904&lt;=4000,IF(N(INDEX(周转筐出入库明细!$H$4:$H$2004,$Z904-2000))=0,"",N(INDEX(周转筐出入库明细!$H$4:$H$2004,$Z904-2000))),IF($Z904&lt;=5200,IF(N(INDEX(客户自备加工筐明细!$F$4:$F$1203,$Z904-4000))=0,"",N(INDEX(客户自备加工筐明细!$F$4:$F$1203,$Z904-4000))),IF($Z904&lt;=5800,"","")))))</f>
        <v/>
      </c>
      <c r="R904" s="16" t="str">
        <f>IF($Z904="","",IF($Z904&lt;=2000,IF(INDEX(包装物料出入库明细!$O$4:$O$2003,$Z904-0)=0,"",INDEX(包装物料出入库明细!$O$4:$O$2003,$Z904-0)),IF($Z904&lt;=4000,IF(INDEX(周转筐出入库明细!$M$4:$M$2004,$Z904-2000)=0,"",INDEX(周转筐出入库明细!$M$4:$M$2004,$Z904-2000)),IF($Z904&lt;=5200,IF(INDEX(客户自备加工筐明细!$H$4:$H$1203,$Z904-4000)=0,"",INDEX(客户自备加工筐明细!$H$4:$H$1203,$Z904-4000)),IF($Z904&lt;=5800,IF(INDEX(次果筐明细!$H$4:$H$603,$Z904-5200)=0,"",INDEX(次果筐明细!$H$4:$H$603,$Z904-5200)),"")))))</f>
        <v/>
      </c>
      <c r="S904" s="22" t="str">
        <f t="shared" si="44"/>
        <v/>
      </c>
      <c r="Z904" s="10" t="str">
        <f>IFERROR(MATCH(ROW()-3,_自动清单!$CQ$4:$CQ$5803,0),"")</f>
        <v/>
      </c>
    </row>
    <row r="905" spans="1:26">
      <c r="A905" s="24" t="str">
        <f t="shared" si="42"/>
        <v/>
      </c>
      <c r="B905" s="38" t="str">
        <f>IF($Z905="","",IF($Z905&lt;=2000,IF(INDEX(包装物料出入库明细!$B$4:$B$2003,$Z905-0)=0,"",INDEX(包装物料出入库明细!$B$4:$B$2003,$Z905-0)),IF($Z905&lt;=4000,IF(INDEX(周转筐出入库明细!$B$4:$B$2004,$Z905-2000)=0,"",INDEX(周转筐出入库明细!$B$4:$B$2004,$Z905-2000)),IF($Z905&lt;=5200,IF(INDEX(客户自备加工筐明细!$B$4:$B$1203,$Z905-4000)=0,"",INDEX(客户自备加工筐明细!$B$4:$B$1203,$Z905-4000)),IF($Z905&lt;=5800,IF(INDEX(次果筐明细!$B$4:$B$603,$Z905-5200)=0,"",INDEX(次果筐明细!$B$4:$B$603,$Z905-5200)),"")))))</f>
        <v/>
      </c>
      <c r="C905" s="37" t="str">
        <f>IF($Z905="","",IF($Z905&lt;=2000,IF(INDEX(包装物料出入库明细!$D$4:$D$2003,$Z905-0)=0,"",INDEX(包装物料出入库明细!$D$4:$D$2003,$Z905-0)),IF($Z905&lt;=4000,IF(INDEX(周转筐出入库明细!$C$4:$C$2004,$Z905-2000)=0,"",INDEX(周转筐出入库明细!$C$4:$C$2004,$Z905-2000)),IF($Z905&lt;=5200,IF(INDEX(客户自备加工筐明细!$E$4:$E$1203,$Z905-4000)=0,"",INDEX(客户自备加工筐明细!$E$4:$E$1203,$Z905-4000)),IF($Z905&lt;=5800,IF(INDEX(次果筐明细!$C$4:$C$603,$Z905-5200)=0,"",INDEX(次果筐明细!$C$4:$C$603,$Z905-5200)),"")))))</f>
        <v/>
      </c>
      <c r="D905" s="37" t="str">
        <f>IF($Z905="","",IF($Z905&lt;=2000,"包装物料－"&amp;INDEX(包装物料出入库明细!$H$4:$H$2003,$Z905-0),IF($Z905&lt;=4000,"周转筐－"&amp;INDEX(周转筐出入库明细!$F$4:$F$2004,$Z905-2000),IF($Z905&lt;=5200,"客户自备筐－"&amp;INDEX(客户自备加工筐明细!$J$4:$J$1203,$Z905-4000),IF($Z905&lt;=5800,"次果筐/托盘－"&amp;INDEX(次果筐明细!$F$4:$F$603,$Z905-5200),"")))))</f>
        <v/>
      </c>
      <c r="E905" s="24" t="str">
        <f>IF($Z905="","",IF($Z905&lt;=2000,IF(INDEX(包装物料出入库明细!$C$4:$C$2003,$Z905-0)=0,"",INDEX(包装物料出入库明细!$C$4:$C$2003,$Z905-0)),IF($Z905&lt;=4000,IF(INDEX(周转筐出入库明细!$E$4:$E$2004,$Z905-2000)=0,"",INDEX(周转筐出入库明细!$E$4:$E$2004,$Z905-2000)),IF($Z905&lt;=5200,IF(INDEX(客户自备加工筐明细!$D$4:$D$1203,$Z905-4000)=0,"",INDEX(客户自备加工筐明细!$D$4:$D$1203,$Z905-4000)),IF($Z905&lt;=5800,IF(INDEX(次果筐明细!$E$4:$E$603,$Z905-5200)=0,"",INDEX(次果筐明细!$E$4:$E$603,$Z905-5200)),"")))))</f>
        <v/>
      </c>
      <c r="F905" s="24" t="str">
        <f>IF($Z905="","",IF($Z905&lt;=2000,IF(INDEX(包装物料出入库明细!$E$4:$E$2003,$Z905-0)=0,"",INDEX(包装物料出入库明细!$E$4:$E$2003,$Z905-0)),IF($Z905&lt;=4000,IF(INDEX(周转筐出入库明细!$D$4:$D$2004,$Z905-2000)=0,"",INDEX(周转筐出入库明细!$D$4:$D$2004,$Z905-2000)),IF($Z905&lt;=5200,IF(INDEX(客户自备加工筐明细!$C$4:$C$1203,$Z905-4000)=0,"",INDEX(客户自备加工筐明细!$C$4:$C$1203,$Z905-4000)),IF($Z905&lt;=5800,IF(INDEX(次果筐明细!$D$4:$D$603,$Z905-5200)=0,"",INDEX(次果筐明细!$D$4:$D$603,$Z905-5200)),"")))))</f>
        <v/>
      </c>
      <c r="G905" s="24" t="str">
        <f>IF($Z905="","",IF($Z905&lt;=2000,IF(INDEX(包装物料出入库明细!$F$4:$F$2003,$Z905-0)=0,"",INDEX(包装物料出入库明细!$F$4:$F$2003,$Z905-0)),IF($Z905&lt;=4000,"",IF($Z905&lt;=5200,"",IF($Z905&lt;=5800,"","")))))</f>
        <v/>
      </c>
      <c r="H905" s="39" t="str">
        <f>IF($Z905="","",IF($Z905&lt;=2000,IF(INDEX(包装物料出入库明细!$L$4:$L$2003,$Z905-0)=0,"",INDEX(包装物料出入库明细!$L$4:$L$2003,$Z905-0)),IF($Z905&lt;=4000,N(INDEX(周转筐出入库明细!$H$4:$H$2004,$Z905-2000))+N(INDEX(周转筐出入库明细!$I$4:$I$2004,$Z905-2000))+N(INDEX(周转筐出入库明细!$J$4:$J$2004,$Z905-2000))+N(INDEX(周转筐出入库明细!$K$4:$K$2004,$Z905-2000)),IF($Z905&lt;=5200,N(INDEX(客户自备加工筐明细!$F$4:$F$1203,$Z905-4000))+N(INDEX(客户自备加工筐明细!$G$4:$G$1203,$Z905-4000)),IF($Z905&lt;=5800,IF(INDEX(次果筐明细!$G$4:$G$603,$Z905-5200)=0,"",INDEX(次果筐明细!$G$4:$G$603,$Z905-5200)),"")))))</f>
        <v/>
      </c>
      <c r="I905" s="24" t="str">
        <f>IF($Z905="","",IF($Z905&lt;=2000,IF(INDEX(包装物料出入库明细!$G$4:$G$2003,$Z905-0)=0,"",INDEX(包装物料出入库明细!$G$4:$G$2003,$Z905-0)),IF($Z905&lt;=4000,"个",IF($Z905&lt;=5200,"个",IF($Z905&lt;=5800,"个","")))))</f>
        <v/>
      </c>
      <c r="J905" s="30" t="str">
        <f t="shared" si="43"/>
        <v/>
      </c>
      <c r="K905" s="30" t="str">
        <f>IF($Z905="","",IF($Z905&lt;=2000,IF(INDEX(包装物料出入库明细!$N$4:$N$2003,$Z905-0)=0,"",INDEX(包装物料出入库明细!$N$4:$N$2003,$Z905-0)),IF($Z905&lt;=4000,IF(INDEX(周转筐出入库明细!$P$4:$P$2004,$Z905-2000)=0,"",INDEX(周转筐出入库明细!$P$4:$P$2004,$Z905-2000)),IF($Z905&lt;=5200,"",IF($Z905&lt;=5800,N(INDEX(次果筐明细!$L$4:$L$603,$Z905-5200))+N(INDEX(次果筐明细!$J$4:$J$603,$Z905-5200)),"")))))</f>
        <v/>
      </c>
      <c r="L905" s="24" t="str">
        <f>IF($Z905="","",IF($Z905&lt;=2000,IF(INDEX(包装物料出入库明细!$P$4:$P$2003,$Z905-0)=0,"",INDEX(包装物料出入库明细!$P$4:$P$2003,$Z905-0)),IF($Z905&lt;=4000,IF(INDEX(周转筐出入库明细!$Q$4:$Q$2004,$Z905-2000)=0,"",INDEX(周转筐出入库明细!$Q$4:$Q$2004,$Z905-2000)),IF($Z905&lt;=5200,"",IF($Z905&lt;=5800,IF(INDEX(次果筐明细!$M$4:$M$603,$Z905-5200)=0,"",INDEX(次果筐明细!$M$4:$M$603,$Z905-5200)),"")))))</f>
        <v/>
      </c>
      <c r="M905" s="37" t="str">
        <f>IF($Z905="","",IF($Z905&lt;=2000,IF(INDEX(包装物料出入库明细!$R$4:$R$2003,$Z905-0)=0,"",INDEX(包装物料出入库明细!$R$4:$R$2003,$Z905-0)),IF($Z905&lt;=4000,IF(INDEX(周转筐出入库明细!$W$4:$W$2004,$Z905-2000)=0,"",INDEX(周转筐出入库明细!$W$4:$W$2004,$Z905-2000)),IF($Z905&lt;=5200,IF(INDEX(客户自备加工筐明细!$L$4:$L$1203,$Z905-4000)=0,"",INDEX(客户自备加工筐明细!$L$4:$L$1203,$Z905-4000)),IF($Z905&lt;=5800,IF(INDEX(次果筐明细!$P$4:$P$603,$Z905-5200)=0,"",INDEX(次果筐明细!$P$4:$P$603,$Z905-5200)),"")))))</f>
        <v/>
      </c>
      <c r="N905" s="16" t="str">
        <f>IF($Z905="","",IF($Z905&lt;=2000,"",IF($Z905&lt;=4000,IF(INDEX(周转筐出入库明细!$D$4:$D$2004,$Z905-2000)=0,"",INDEX(周转筐出入库明细!$D$4:$D$2004,$Z905-2000)),IF($Z905&lt;=5200,IF(INDEX(客户自备加工筐明细!$C$4:$C$1203,$Z905-4000)=0,"",INDEX(客户自备加工筐明细!$C$4:$C$1203,$Z905-4000)),IF($Z905&lt;=5800,IF(INDEX(次果筐明细!$D$4:$D$603,$Z905-5200)=0,"",INDEX(次果筐明细!$D$4:$D$603,$Z905-5200)),"")))))</f>
        <v/>
      </c>
      <c r="O905" s="40" t="str">
        <f>IF($Z905="","",IF($Z905&lt;=2000,"",IF($Z905&lt;=4000,IF(N(INDEX(周转筐出入库明细!$J$4:$J$2004,$Z905-2000))+N(INDEX(周转筐出入库明细!$K$4:$K$2004,$Z905-2000))=0,"",N(INDEX(周转筐出入库明细!$J$4:$J$2004,$Z905-2000))+N(INDEX(周转筐出入库明细!$K$4:$K$2004,$Z905-2000))),IF($Z905&lt;=5200,IF(N(INDEX(客户自备加工筐明细!$G$4:$G$1203,$Z905-4000))=0,"",N(INDEX(客户自备加工筐明细!$G$4:$G$1203,$Z905-4000))),IF($Z905&lt;=5800,IF(ISNUMBER(SEARCH("退",INDEX(次果筐明细!$F$4:$F$603,$Z905-5200)&amp;"")),"",IF(N(INDEX(次果筐明细!$G$4:$G$603,$Z905-5200))=0,"",N(INDEX(次果筐明细!$G$4:$G$603,$Z905-5200)))),"")))))</f>
        <v/>
      </c>
      <c r="P905" s="40" t="str">
        <f>IF($Z905="","",IF($Z905&lt;=2000,"",IF($Z905&lt;=4000,IF(N(INDEX(周转筐出入库明细!$I$4:$I$2004,$Z905-2000))=0,"",N(INDEX(周转筐出入库明细!$I$4:$I$2004,$Z905-2000))),IF($Z905&lt;=5200,"",IF($Z905&lt;=5800,IF(ISNUMBER(SEARCH("退",INDEX(次果筐明细!$F$4:$F$603,$Z905-5200)&amp;"")),IF(N(INDEX(次果筐明细!$G$4:$G$603,$Z905-5200))=0,"",N(INDEX(次果筐明细!$G$4:$G$603,$Z905-5200))),""),"")))))</f>
        <v/>
      </c>
      <c r="Q905" s="40" t="str">
        <f>IF($Z905="","",IF($Z905&lt;=2000,"",IF($Z905&lt;=4000,IF(N(INDEX(周转筐出入库明细!$H$4:$H$2004,$Z905-2000))=0,"",N(INDEX(周转筐出入库明细!$H$4:$H$2004,$Z905-2000))),IF($Z905&lt;=5200,IF(N(INDEX(客户自备加工筐明细!$F$4:$F$1203,$Z905-4000))=0,"",N(INDEX(客户自备加工筐明细!$F$4:$F$1203,$Z905-4000))),IF($Z905&lt;=5800,"","")))))</f>
        <v/>
      </c>
      <c r="R905" s="16" t="str">
        <f>IF($Z905="","",IF($Z905&lt;=2000,IF(INDEX(包装物料出入库明细!$O$4:$O$2003,$Z905-0)=0,"",INDEX(包装物料出入库明细!$O$4:$O$2003,$Z905-0)),IF($Z905&lt;=4000,IF(INDEX(周转筐出入库明细!$M$4:$M$2004,$Z905-2000)=0,"",INDEX(周转筐出入库明细!$M$4:$M$2004,$Z905-2000)),IF($Z905&lt;=5200,IF(INDEX(客户自备加工筐明细!$H$4:$H$1203,$Z905-4000)=0,"",INDEX(客户自备加工筐明细!$H$4:$H$1203,$Z905-4000)),IF($Z905&lt;=5800,IF(INDEX(次果筐明细!$H$4:$H$603,$Z905-5200)=0,"",INDEX(次果筐明细!$H$4:$H$603,$Z905-5200)),"")))))</f>
        <v/>
      </c>
      <c r="S905" s="22" t="str">
        <f t="shared" si="44"/>
        <v/>
      </c>
      <c r="Z905" s="10" t="str">
        <f>IFERROR(MATCH(ROW()-3,_自动清单!$CQ$4:$CQ$5803,0),"")</f>
        <v/>
      </c>
    </row>
    <row r="906" spans="1:26">
      <c r="A906" s="24" t="str">
        <f t="shared" si="42"/>
        <v/>
      </c>
      <c r="B906" s="38" t="str">
        <f>IF($Z906="","",IF($Z906&lt;=2000,IF(INDEX(包装物料出入库明细!$B$4:$B$2003,$Z906-0)=0,"",INDEX(包装物料出入库明细!$B$4:$B$2003,$Z906-0)),IF($Z906&lt;=4000,IF(INDEX(周转筐出入库明细!$B$4:$B$2004,$Z906-2000)=0,"",INDEX(周转筐出入库明细!$B$4:$B$2004,$Z906-2000)),IF($Z906&lt;=5200,IF(INDEX(客户自备加工筐明细!$B$4:$B$1203,$Z906-4000)=0,"",INDEX(客户自备加工筐明细!$B$4:$B$1203,$Z906-4000)),IF($Z906&lt;=5800,IF(INDEX(次果筐明细!$B$4:$B$603,$Z906-5200)=0,"",INDEX(次果筐明细!$B$4:$B$603,$Z906-5200)),"")))))</f>
        <v/>
      </c>
      <c r="C906" s="37" t="str">
        <f>IF($Z906="","",IF($Z906&lt;=2000,IF(INDEX(包装物料出入库明细!$D$4:$D$2003,$Z906-0)=0,"",INDEX(包装物料出入库明细!$D$4:$D$2003,$Z906-0)),IF($Z906&lt;=4000,IF(INDEX(周转筐出入库明细!$C$4:$C$2004,$Z906-2000)=0,"",INDEX(周转筐出入库明细!$C$4:$C$2004,$Z906-2000)),IF($Z906&lt;=5200,IF(INDEX(客户自备加工筐明细!$E$4:$E$1203,$Z906-4000)=0,"",INDEX(客户自备加工筐明细!$E$4:$E$1203,$Z906-4000)),IF($Z906&lt;=5800,IF(INDEX(次果筐明细!$C$4:$C$603,$Z906-5200)=0,"",INDEX(次果筐明细!$C$4:$C$603,$Z906-5200)),"")))))</f>
        <v/>
      </c>
      <c r="D906" s="37" t="str">
        <f>IF($Z906="","",IF($Z906&lt;=2000,"包装物料－"&amp;INDEX(包装物料出入库明细!$H$4:$H$2003,$Z906-0),IF($Z906&lt;=4000,"周转筐－"&amp;INDEX(周转筐出入库明细!$F$4:$F$2004,$Z906-2000),IF($Z906&lt;=5200,"客户自备筐－"&amp;INDEX(客户自备加工筐明细!$J$4:$J$1203,$Z906-4000),IF($Z906&lt;=5800,"次果筐/托盘－"&amp;INDEX(次果筐明细!$F$4:$F$603,$Z906-5200),"")))))</f>
        <v/>
      </c>
      <c r="E906" s="24" t="str">
        <f>IF($Z906="","",IF($Z906&lt;=2000,IF(INDEX(包装物料出入库明细!$C$4:$C$2003,$Z906-0)=0,"",INDEX(包装物料出入库明细!$C$4:$C$2003,$Z906-0)),IF($Z906&lt;=4000,IF(INDEX(周转筐出入库明细!$E$4:$E$2004,$Z906-2000)=0,"",INDEX(周转筐出入库明细!$E$4:$E$2004,$Z906-2000)),IF($Z906&lt;=5200,IF(INDEX(客户自备加工筐明细!$D$4:$D$1203,$Z906-4000)=0,"",INDEX(客户自备加工筐明细!$D$4:$D$1203,$Z906-4000)),IF($Z906&lt;=5800,IF(INDEX(次果筐明细!$E$4:$E$603,$Z906-5200)=0,"",INDEX(次果筐明细!$E$4:$E$603,$Z906-5200)),"")))))</f>
        <v/>
      </c>
      <c r="F906" s="24" t="str">
        <f>IF($Z906="","",IF($Z906&lt;=2000,IF(INDEX(包装物料出入库明细!$E$4:$E$2003,$Z906-0)=0,"",INDEX(包装物料出入库明细!$E$4:$E$2003,$Z906-0)),IF($Z906&lt;=4000,IF(INDEX(周转筐出入库明细!$D$4:$D$2004,$Z906-2000)=0,"",INDEX(周转筐出入库明细!$D$4:$D$2004,$Z906-2000)),IF($Z906&lt;=5200,IF(INDEX(客户自备加工筐明细!$C$4:$C$1203,$Z906-4000)=0,"",INDEX(客户自备加工筐明细!$C$4:$C$1203,$Z906-4000)),IF($Z906&lt;=5800,IF(INDEX(次果筐明细!$D$4:$D$603,$Z906-5200)=0,"",INDEX(次果筐明细!$D$4:$D$603,$Z906-5200)),"")))))</f>
        <v/>
      </c>
      <c r="G906" s="24" t="str">
        <f>IF($Z906="","",IF($Z906&lt;=2000,IF(INDEX(包装物料出入库明细!$F$4:$F$2003,$Z906-0)=0,"",INDEX(包装物料出入库明细!$F$4:$F$2003,$Z906-0)),IF($Z906&lt;=4000,"",IF($Z906&lt;=5200,"",IF($Z906&lt;=5800,"","")))))</f>
        <v/>
      </c>
      <c r="H906" s="39" t="str">
        <f>IF($Z906="","",IF($Z906&lt;=2000,IF(INDEX(包装物料出入库明细!$L$4:$L$2003,$Z906-0)=0,"",INDEX(包装物料出入库明细!$L$4:$L$2003,$Z906-0)),IF($Z906&lt;=4000,N(INDEX(周转筐出入库明细!$H$4:$H$2004,$Z906-2000))+N(INDEX(周转筐出入库明细!$I$4:$I$2004,$Z906-2000))+N(INDEX(周转筐出入库明细!$J$4:$J$2004,$Z906-2000))+N(INDEX(周转筐出入库明细!$K$4:$K$2004,$Z906-2000)),IF($Z906&lt;=5200,N(INDEX(客户自备加工筐明细!$F$4:$F$1203,$Z906-4000))+N(INDEX(客户自备加工筐明细!$G$4:$G$1203,$Z906-4000)),IF($Z906&lt;=5800,IF(INDEX(次果筐明细!$G$4:$G$603,$Z906-5200)=0,"",INDEX(次果筐明细!$G$4:$G$603,$Z906-5200)),"")))))</f>
        <v/>
      </c>
      <c r="I906" s="24" t="str">
        <f>IF($Z906="","",IF($Z906&lt;=2000,IF(INDEX(包装物料出入库明细!$G$4:$G$2003,$Z906-0)=0,"",INDEX(包装物料出入库明细!$G$4:$G$2003,$Z906-0)),IF($Z906&lt;=4000,"个",IF($Z906&lt;=5200,"个",IF($Z906&lt;=5800,"个","")))))</f>
        <v/>
      </c>
      <c r="J906" s="30" t="str">
        <f t="shared" si="43"/>
        <v/>
      </c>
      <c r="K906" s="30" t="str">
        <f>IF($Z906="","",IF($Z906&lt;=2000,IF(INDEX(包装物料出入库明细!$N$4:$N$2003,$Z906-0)=0,"",INDEX(包装物料出入库明细!$N$4:$N$2003,$Z906-0)),IF($Z906&lt;=4000,IF(INDEX(周转筐出入库明细!$P$4:$P$2004,$Z906-2000)=0,"",INDEX(周转筐出入库明细!$P$4:$P$2004,$Z906-2000)),IF($Z906&lt;=5200,"",IF($Z906&lt;=5800,N(INDEX(次果筐明细!$L$4:$L$603,$Z906-5200))+N(INDEX(次果筐明细!$J$4:$J$603,$Z906-5200)),"")))))</f>
        <v/>
      </c>
      <c r="L906" s="24" t="str">
        <f>IF($Z906="","",IF($Z906&lt;=2000,IF(INDEX(包装物料出入库明细!$P$4:$P$2003,$Z906-0)=0,"",INDEX(包装物料出入库明细!$P$4:$P$2003,$Z906-0)),IF($Z906&lt;=4000,IF(INDEX(周转筐出入库明细!$Q$4:$Q$2004,$Z906-2000)=0,"",INDEX(周转筐出入库明细!$Q$4:$Q$2004,$Z906-2000)),IF($Z906&lt;=5200,"",IF($Z906&lt;=5800,IF(INDEX(次果筐明细!$M$4:$M$603,$Z906-5200)=0,"",INDEX(次果筐明细!$M$4:$M$603,$Z906-5200)),"")))))</f>
        <v/>
      </c>
      <c r="M906" s="37" t="str">
        <f>IF($Z906="","",IF($Z906&lt;=2000,IF(INDEX(包装物料出入库明细!$R$4:$R$2003,$Z906-0)=0,"",INDEX(包装物料出入库明细!$R$4:$R$2003,$Z906-0)),IF($Z906&lt;=4000,IF(INDEX(周转筐出入库明细!$W$4:$W$2004,$Z906-2000)=0,"",INDEX(周转筐出入库明细!$W$4:$W$2004,$Z906-2000)),IF($Z906&lt;=5200,IF(INDEX(客户自备加工筐明细!$L$4:$L$1203,$Z906-4000)=0,"",INDEX(客户自备加工筐明细!$L$4:$L$1203,$Z906-4000)),IF($Z906&lt;=5800,IF(INDEX(次果筐明细!$P$4:$P$603,$Z906-5200)=0,"",INDEX(次果筐明细!$P$4:$P$603,$Z906-5200)),"")))))</f>
        <v/>
      </c>
      <c r="N906" s="16" t="str">
        <f>IF($Z906="","",IF($Z906&lt;=2000,"",IF($Z906&lt;=4000,IF(INDEX(周转筐出入库明细!$D$4:$D$2004,$Z906-2000)=0,"",INDEX(周转筐出入库明细!$D$4:$D$2004,$Z906-2000)),IF($Z906&lt;=5200,IF(INDEX(客户自备加工筐明细!$C$4:$C$1203,$Z906-4000)=0,"",INDEX(客户自备加工筐明细!$C$4:$C$1203,$Z906-4000)),IF($Z906&lt;=5800,IF(INDEX(次果筐明细!$D$4:$D$603,$Z906-5200)=0,"",INDEX(次果筐明细!$D$4:$D$603,$Z906-5200)),"")))))</f>
        <v/>
      </c>
      <c r="O906" s="40" t="str">
        <f>IF($Z906="","",IF($Z906&lt;=2000,"",IF($Z906&lt;=4000,IF(N(INDEX(周转筐出入库明细!$J$4:$J$2004,$Z906-2000))+N(INDEX(周转筐出入库明细!$K$4:$K$2004,$Z906-2000))=0,"",N(INDEX(周转筐出入库明细!$J$4:$J$2004,$Z906-2000))+N(INDEX(周转筐出入库明细!$K$4:$K$2004,$Z906-2000))),IF($Z906&lt;=5200,IF(N(INDEX(客户自备加工筐明细!$G$4:$G$1203,$Z906-4000))=0,"",N(INDEX(客户自备加工筐明细!$G$4:$G$1203,$Z906-4000))),IF($Z906&lt;=5800,IF(ISNUMBER(SEARCH("退",INDEX(次果筐明细!$F$4:$F$603,$Z906-5200)&amp;"")),"",IF(N(INDEX(次果筐明细!$G$4:$G$603,$Z906-5200))=0,"",N(INDEX(次果筐明细!$G$4:$G$603,$Z906-5200)))),"")))))</f>
        <v/>
      </c>
      <c r="P906" s="40" t="str">
        <f>IF($Z906="","",IF($Z906&lt;=2000,"",IF($Z906&lt;=4000,IF(N(INDEX(周转筐出入库明细!$I$4:$I$2004,$Z906-2000))=0,"",N(INDEX(周转筐出入库明细!$I$4:$I$2004,$Z906-2000))),IF($Z906&lt;=5200,"",IF($Z906&lt;=5800,IF(ISNUMBER(SEARCH("退",INDEX(次果筐明细!$F$4:$F$603,$Z906-5200)&amp;"")),IF(N(INDEX(次果筐明细!$G$4:$G$603,$Z906-5200))=0,"",N(INDEX(次果筐明细!$G$4:$G$603,$Z906-5200))),""),"")))))</f>
        <v/>
      </c>
      <c r="Q906" s="40" t="str">
        <f>IF($Z906="","",IF($Z906&lt;=2000,"",IF($Z906&lt;=4000,IF(N(INDEX(周转筐出入库明细!$H$4:$H$2004,$Z906-2000))=0,"",N(INDEX(周转筐出入库明细!$H$4:$H$2004,$Z906-2000))),IF($Z906&lt;=5200,IF(N(INDEX(客户自备加工筐明细!$F$4:$F$1203,$Z906-4000))=0,"",N(INDEX(客户自备加工筐明细!$F$4:$F$1203,$Z906-4000))),IF($Z906&lt;=5800,"","")))))</f>
        <v/>
      </c>
      <c r="R906" s="16" t="str">
        <f>IF($Z906="","",IF($Z906&lt;=2000,IF(INDEX(包装物料出入库明细!$O$4:$O$2003,$Z906-0)=0,"",INDEX(包装物料出入库明细!$O$4:$O$2003,$Z906-0)),IF($Z906&lt;=4000,IF(INDEX(周转筐出入库明细!$M$4:$M$2004,$Z906-2000)=0,"",INDEX(周转筐出入库明细!$M$4:$M$2004,$Z906-2000)),IF($Z906&lt;=5200,IF(INDEX(客户自备加工筐明细!$H$4:$H$1203,$Z906-4000)=0,"",INDEX(客户自备加工筐明细!$H$4:$H$1203,$Z906-4000)),IF($Z906&lt;=5800,IF(INDEX(次果筐明细!$H$4:$H$603,$Z906-5200)=0,"",INDEX(次果筐明细!$H$4:$H$603,$Z906-5200)),"")))))</f>
        <v/>
      </c>
      <c r="S906" s="22" t="str">
        <f t="shared" si="44"/>
        <v/>
      </c>
      <c r="Z906" s="10" t="str">
        <f>IFERROR(MATCH(ROW()-3,_自动清单!$CQ$4:$CQ$5803,0),"")</f>
        <v/>
      </c>
    </row>
    <row r="907" spans="1:26">
      <c r="A907" s="24" t="str">
        <f t="shared" si="42"/>
        <v/>
      </c>
      <c r="B907" s="38" t="str">
        <f>IF($Z907="","",IF($Z907&lt;=2000,IF(INDEX(包装物料出入库明细!$B$4:$B$2003,$Z907-0)=0,"",INDEX(包装物料出入库明细!$B$4:$B$2003,$Z907-0)),IF($Z907&lt;=4000,IF(INDEX(周转筐出入库明细!$B$4:$B$2004,$Z907-2000)=0,"",INDEX(周转筐出入库明细!$B$4:$B$2004,$Z907-2000)),IF($Z907&lt;=5200,IF(INDEX(客户自备加工筐明细!$B$4:$B$1203,$Z907-4000)=0,"",INDEX(客户自备加工筐明细!$B$4:$B$1203,$Z907-4000)),IF($Z907&lt;=5800,IF(INDEX(次果筐明细!$B$4:$B$603,$Z907-5200)=0,"",INDEX(次果筐明细!$B$4:$B$603,$Z907-5200)),"")))))</f>
        <v/>
      </c>
      <c r="C907" s="37" t="str">
        <f>IF($Z907="","",IF($Z907&lt;=2000,IF(INDEX(包装物料出入库明细!$D$4:$D$2003,$Z907-0)=0,"",INDEX(包装物料出入库明细!$D$4:$D$2003,$Z907-0)),IF($Z907&lt;=4000,IF(INDEX(周转筐出入库明细!$C$4:$C$2004,$Z907-2000)=0,"",INDEX(周转筐出入库明细!$C$4:$C$2004,$Z907-2000)),IF($Z907&lt;=5200,IF(INDEX(客户自备加工筐明细!$E$4:$E$1203,$Z907-4000)=0,"",INDEX(客户自备加工筐明细!$E$4:$E$1203,$Z907-4000)),IF($Z907&lt;=5800,IF(INDEX(次果筐明细!$C$4:$C$603,$Z907-5200)=0,"",INDEX(次果筐明细!$C$4:$C$603,$Z907-5200)),"")))))</f>
        <v/>
      </c>
      <c r="D907" s="37" t="str">
        <f>IF($Z907="","",IF($Z907&lt;=2000,"包装物料－"&amp;INDEX(包装物料出入库明细!$H$4:$H$2003,$Z907-0),IF($Z907&lt;=4000,"周转筐－"&amp;INDEX(周转筐出入库明细!$F$4:$F$2004,$Z907-2000),IF($Z907&lt;=5200,"客户自备筐－"&amp;INDEX(客户自备加工筐明细!$J$4:$J$1203,$Z907-4000),IF($Z907&lt;=5800,"次果筐/托盘－"&amp;INDEX(次果筐明细!$F$4:$F$603,$Z907-5200),"")))))</f>
        <v/>
      </c>
      <c r="E907" s="24" t="str">
        <f>IF($Z907="","",IF($Z907&lt;=2000,IF(INDEX(包装物料出入库明细!$C$4:$C$2003,$Z907-0)=0,"",INDEX(包装物料出入库明细!$C$4:$C$2003,$Z907-0)),IF($Z907&lt;=4000,IF(INDEX(周转筐出入库明细!$E$4:$E$2004,$Z907-2000)=0,"",INDEX(周转筐出入库明细!$E$4:$E$2004,$Z907-2000)),IF($Z907&lt;=5200,IF(INDEX(客户自备加工筐明细!$D$4:$D$1203,$Z907-4000)=0,"",INDEX(客户自备加工筐明细!$D$4:$D$1203,$Z907-4000)),IF($Z907&lt;=5800,IF(INDEX(次果筐明细!$E$4:$E$603,$Z907-5200)=0,"",INDEX(次果筐明细!$E$4:$E$603,$Z907-5200)),"")))))</f>
        <v/>
      </c>
      <c r="F907" s="24" t="str">
        <f>IF($Z907="","",IF($Z907&lt;=2000,IF(INDEX(包装物料出入库明细!$E$4:$E$2003,$Z907-0)=0,"",INDEX(包装物料出入库明细!$E$4:$E$2003,$Z907-0)),IF($Z907&lt;=4000,IF(INDEX(周转筐出入库明细!$D$4:$D$2004,$Z907-2000)=0,"",INDEX(周转筐出入库明细!$D$4:$D$2004,$Z907-2000)),IF($Z907&lt;=5200,IF(INDEX(客户自备加工筐明细!$C$4:$C$1203,$Z907-4000)=0,"",INDEX(客户自备加工筐明细!$C$4:$C$1203,$Z907-4000)),IF($Z907&lt;=5800,IF(INDEX(次果筐明细!$D$4:$D$603,$Z907-5200)=0,"",INDEX(次果筐明细!$D$4:$D$603,$Z907-5200)),"")))))</f>
        <v/>
      </c>
      <c r="G907" s="24" t="str">
        <f>IF($Z907="","",IF($Z907&lt;=2000,IF(INDEX(包装物料出入库明细!$F$4:$F$2003,$Z907-0)=0,"",INDEX(包装物料出入库明细!$F$4:$F$2003,$Z907-0)),IF($Z907&lt;=4000,"",IF($Z907&lt;=5200,"",IF($Z907&lt;=5800,"","")))))</f>
        <v/>
      </c>
      <c r="H907" s="39" t="str">
        <f>IF($Z907="","",IF($Z907&lt;=2000,IF(INDEX(包装物料出入库明细!$L$4:$L$2003,$Z907-0)=0,"",INDEX(包装物料出入库明细!$L$4:$L$2003,$Z907-0)),IF($Z907&lt;=4000,N(INDEX(周转筐出入库明细!$H$4:$H$2004,$Z907-2000))+N(INDEX(周转筐出入库明细!$I$4:$I$2004,$Z907-2000))+N(INDEX(周转筐出入库明细!$J$4:$J$2004,$Z907-2000))+N(INDEX(周转筐出入库明细!$K$4:$K$2004,$Z907-2000)),IF($Z907&lt;=5200,N(INDEX(客户自备加工筐明细!$F$4:$F$1203,$Z907-4000))+N(INDEX(客户自备加工筐明细!$G$4:$G$1203,$Z907-4000)),IF($Z907&lt;=5800,IF(INDEX(次果筐明细!$G$4:$G$603,$Z907-5200)=0,"",INDEX(次果筐明细!$G$4:$G$603,$Z907-5200)),"")))))</f>
        <v/>
      </c>
      <c r="I907" s="24" t="str">
        <f>IF($Z907="","",IF($Z907&lt;=2000,IF(INDEX(包装物料出入库明细!$G$4:$G$2003,$Z907-0)=0,"",INDEX(包装物料出入库明细!$G$4:$G$2003,$Z907-0)),IF($Z907&lt;=4000,"个",IF($Z907&lt;=5200,"个",IF($Z907&lt;=5800,"个","")))))</f>
        <v/>
      </c>
      <c r="J907" s="30" t="str">
        <f t="shared" si="43"/>
        <v/>
      </c>
      <c r="K907" s="30" t="str">
        <f>IF($Z907="","",IF($Z907&lt;=2000,IF(INDEX(包装物料出入库明细!$N$4:$N$2003,$Z907-0)=0,"",INDEX(包装物料出入库明细!$N$4:$N$2003,$Z907-0)),IF($Z907&lt;=4000,IF(INDEX(周转筐出入库明细!$P$4:$P$2004,$Z907-2000)=0,"",INDEX(周转筐出入库明细!$P$4:$P$2004,$Z907-2000)),IF($Z907&lt;=5200,"",IF($Z907&lt;=5800,N(INDEX(次果筐明细!$L$4:$L$603,$Z907-5200))+N(INDEX(次果筐明细!$J$4:$J$603,$Z907-5200)),"")))))</f>
        <v/>
      </c>
      <c r="L907" s="24" t="str">
        <f>IF($Z907="","",IF($Z907&lt;=2000,IF(INDEX(包装物料出入库明细!$P$4:$P$2003,$Z907-0)=0,"",INDEX(包装物料出入库明细!$P$4:$P$2003,$Z907-0)),IF($Z907&lt;=4000,IF(INDEX(周转筐出入库明细!$Q$4:$Q$2004,$Z907-2000)=0,"",INDEX(周转筐出入库明细!$Q$4:$Q$2004,$Z907-2000)),IF($Z907&lt;=5200,"",IF($Z907&lt;=5800,IF(INDEX(次果筐明细!$M$4:$M$603,$Z907-5200)=0,"",INDEX(次果筐明细!$M$4:$M$603,$Z907-5200)),"")))))</f>
        <v/>
      </c>
      <c r="M907" s="37" t="str">
        <f>IF($Z907="","",IF($Z907&lt;=2000,IF(INDEX(包装物料出入库明细!$R$4:$R$2003,$Z907-0)=0,"",INDEX(包装物料出入库明细!$R$4:$R$2003,$Z907-0)),IF($Z907&lt;=4000,IF(INDEX(周转筐出入库明细!$W$4:$W$2004,$Z907-2000)=0,"",INDEX(周转筐出入库明细!$W$4:$W$2004,$Z907-2000)),IF($Z907&lt;=5200,IF(INDEX(客户自备加工筐明细!$L$4:$L$1203,$Z907-4000)=0,"",INDEX(客户自备加工筐明细!$L$4:$L$1203,$Z907-4000)),IF($Z907&lt;=5800,IF(INDEX(次果筐明细!$P$4:$P$603,$Z907-5200)=0,"",INDEX(次果筐明细!$P$4:$P$603,$Z907-5200)),"")))))</f>
        <v/>
      </c>
      <c r="N907" s="16" t="str">
        <f>IF($Z907="","",IF($Z907&lt;=2000,"",IF($Z907&lt;=4000,IF(INDEX(周转筐出入库明细!$D$4:$D$2004,$Z907-2000)=0,"",INDEX(周转筐出入库明细!$D$4:$D$2004,$Z907-2000)),IF($Z907&lt;=5200,IF(INDEX(客户自备加工筐明细!$C$4:$C$1203,$Z907-4000)=0,"",INDEX(客户自备加工筐明细!$C$4:$C$1203,$Z907-4000)),IF($Z907&lt;=5800,IF(INDEX(次果筐明细!$D$4:$D$603,$Z907-5200)=0,"",INDEX(次果筐明细!$D$4:$D$603,$Z907-5200)),"")))))</f>
        <v/>
      </c>
      <c r="O907" s="40" t="str">
        <f>IF($Z907="","",IF($Z907&lt;=2000,"",IF($Z907&lt;=4000,IF(N(INDEX(周转筐出入库明细!$J$4:$J$2004,$Z907-2000))+N(INDEX(周转筐出入库明细!$K$4:$K$2004,$Z907-2000))=0,"",N(INDEX(周转筐出入库明细!$J$4:$J$2004,$Z907-2000))+N(INDEX(周转筐出入库明细!$K$4:$K$2004,$Z907-2000))),IF($Z907&lt;=5200,IF(N(INDEX(客户自备加工筐明细!$G$4:$G$1203,$Z907-4000))=0,"",N(INDEX(客户自备加工筐明细!$G$4:$G$1203,$Z907-4000))),IF($Z907&lt;=5800,IF(ISNUMBER(SEARCH("退",INDEX(次果筐明细!$F$4:$F$603,$Z907-5200)&amp;"")),"",IF(N(INDEX(次果筐明细!$G$4:$G$603,$Z907-5200))=0,"",N(INDEX(次果筐明细!$G$4:$G$603,$Z907-5200)))),"")))))</f>
        <v/>
      </c>
      <c r="P907" s="40" t="str">
        <f>IF($Z907="","",IF($Z907&lt;=2000,"",IF($Z907&lt;=4000,IF(N(INDEX(周转筐出入库明细!$I$4:$I$2004,$Z907-2000))=0,"",N(INDEX(周转筐出入库明细!$I$4:$I$2004,$Z907-2000))),IF($Z907&lt;=5200,"",IF($Z907&lt;=5800,IF(ISNUMBER(SEARCH("退",INDEX(次果筐明细!$F$4:$F$603,$Z907-5200)&amp;"")),IF(N(INDEX(次果筐明细!$G$4:$G$603,$Z907-5200))=0,"",N(INDEX(次果筐明细!$G$4:$G$603,$Z907-5200))),""),"")))))</f>
        <v/>
      </c>
      <c r="Q907" s="40" t="str">
        <f>IF($Z907="","",IF($Z907&lt;=2000,"",IF($Z907&lt;=4000,IF(N(INDEX(周转筐出入库明细!$H$4:$H$2004,$Z907-2000))=0,"",N(INDEX(周转筐出入库明细!$H$4:$H$2004,$Z907-2000))),IF($Z907&lt;=5200,IF(N(INDEX(客户自备加工筐明细!$F$4:$F$1203,$Z907-4000))=0,"",N(INDEX(客户自备加工筐明细!$F$4:$F$1203,$Z907-4000))),IF($Z907&lt;=5800,"","")))))</f>
        <v/>
      </c>
      <c r="R907" s="16" t="str">
        <f>IF($Z907="","",IF($Z907&lt;=2000,IF(INDEX(包装物料出入库明细!$O$4:$O$2003,$Z907-0)=0,"",INDEX(包装物料出入库明细!$O$4:$O$2003,$Z907-0)),IF($Z907&lt;=4000,IF(INDEX(周转筐出入库明细!$M$4:$M$2004,$Z907-2000)=0,"",INDEX(周转筐出入库明细!$M$4:$M$2004,$Z907-2000)),IF($Z907&lt;=5200,IF(INDEX(客户自备加工筐明细!$H$4:$H$1203,$Z907-4000)=0,"",INDEX(客户自备加工筐明细!$H$4:$H$1203,$Z907-4000)),IF($Z907&lt;=5800,IF(INDEX(次果筐明细!$H$4:$H$603,$Z907-5200)=0,"",INDEX(次果筐明细!$H$4:$H$603,$Z907-5200)),"")))))</f>
        <v/>
      </c>
      <c r="S907" s="22" t="str">
        <f t="shared" si="44"/>
        <v/>
      </c>
      <c r="Z907" s="10" t="str">
        <f>IFERROR(MATCH(ROW()-3,_自动清单!$CQ$4:$CQ$5803,0),"")</f>
        <v/>
      </c>
    </row>
    <row r="908" spans="1:26">
      <c r="A908" s="24" t="str">
        <f t="shared" si="42"/>
        <v/>
      </c>
      <c r="B908" s="38" t="str">
        <f>IF($Z908="","",IF($Z908&lt;=2000,IF(INDEX(包装物料出入库明细!$B$4:$B$2003,$Z908-0)=0,"",INDEX(包装物料出入库明细!$B$4:$B$2003,$Z908-0)),IF($Z908&lt;=4000,IF(INDEX(周转筐出入库明细!$B$4:$B$2004,$Z908-2000)=0,"",INDEX(周转筐出入库明细!$B$4:$B$2004,$Z908-2000)),IF($Z908&lt;=5200,IF(INDEX(客户自备加工筐明细!$B$4:$B$1203,$Z908-4000)=0,"",INDEX(客户自备加工筐明细!$B$4:$B$1203,$Z908-4000)),IF($Z908&lt;=5800,IF(INDEX(次果筐明细!$B$4:$B$603,$Z908-5200)=0,"",INDEX(次果筐明细!$B$4:$B$603,$Z908-5200)),"")))))</f>
        <v/>
      </c>
      <c r="C908" s="37" t="str">
        <f>IF($Z908="","",IF($Z908&lt;=2000,IF(INDEX(包装物料出入库明细!$D$4:$D$2003,$Z908-0)=0,"",INDEX(包装物料出入库明细!$D$4:$D$2003,$Z908-0)),IF($Z908&lt;=4000,IF(INDEX(周转筐出入库明细!$C$4:$C$2004,$Z908-2000)=0,"",INDEX(周转筐出入库明细!$C$4:$C$2004,$Z908-2000)),IF($Z908&lt;=5200,IF(INDEX(客户自备加工筐明细!$E$4:$E$1203,$Z908-4000)=0,"",INDEX(客户自备加工筐明细!$E$4:$E$1203,$Z908-4000)),IF($Z908&lt;=5800,IF(INDEX(次果筐明细!$C$4:$C$603,$Z908-5200)=0,"",INDEX(次果筐明细!$C$4:$C$603,$Z908-5200)),"")))))</f>
        <v/>
      </c>
      <c r="D908" s="37" t="str">
        <f>IF($Z908="","",IF($Z908&lt;=2000,"包装物料－"&amp;INDEX(包装物料出入库明细!$H$4:$H$2003,$Z908-0),IF($Z908&lt;=4000,"周转筐－"&amp;INDEX(周转筐出入库明细!$F$4:$F$2004,$Z908-2000),IF($Z908&lt;=5200,"客户自备筐－"&amp;INDEX(客户自备加工筐明细!$J$4:$J$1203,$Z908-4000),IF($Z908&lt;=5800,"次果筐/托盘－"&amp;INDEX(次果筐明细!$F$4:$F$603,$Z908-5200),"")))))</f>
        <v/>
      </c>
      <c r="E908" s="24" t="str">
        <f>IF($Z908="","",IF($Z908&lt;=2000,IF(INDEX(包装物料出入库明细!$C$4:$C$2003,$Z908-0)=0,"",INDEX(包装物料出入库明细!$C$4:$C$2003,$Z908-0)),IF($Z908&lt;=4000,IF(INDEX(周转筐出入库明细!$E$4:$E$2004,$Z908-2000)=0,"",INDEX(周转筐出入库明细!$E$4:$E$2004,$Z908-2000)),IF($Z908&lt;=5200,IF(INDEX(客户自备加工筐明细!$D$4:$D$1203,$Z908-4000)=0,"",INDEX(客户自备加工筐明细!$D$4:$D$1203,$Z908-4000)),IF($Z908&lt;=5800,IF(INDEX(次果筐明细!$E$4:$E$603,$Z908-5200)=0,"",INDEX(次果筐明细!$E$4:$E$603,$Z908-5200)),"")))))</f>
        <v/>
      </c>
      <c r="F908" s="24" t="str">
        <f>IF($Z908="","",IF($Z908&lt;=2000,IF(INDEX(包装物料出入库明细!$E$4:$E$2003,$Z908-0)=0,"",INDEX(包装物料出入库明细!$E$4:$E$2003,$Z908-0)),IF($Z908&lt;=4000,IF(INDEX(周转筐出入库明细!$D$4:$D$2004,$Z908-2000)=0,"",INDEX(周转筐出入库明细!$D$4:$D$2004,$Z908-2000)),IF($Z908&lt;=5200,IF(INDEX(客户自备加工筐明细!$C$4:$C$1203,$Z908-4000)=0,"",INDEX(客户自备加工筐明细!$C$4:$C$1203,$Z908-4000)),IF($Z908&lt;=5800,IF(INDEX(次果筐明细!$D$4:$D$603,$Z908-5200)=0,"",INDEX(次果筐明细!$D$4:$D$603,$Z908-5200)),"")))))</f>
        <v/>
      </c>
      <c r="G908" s="24" t="str">
        <f>IF($Z908="","",IF($Z908&lt;=2000,IF(INDEX(包装物料出入库明细!$F$4:$F$2003,$Z908-0)=0,"",INDEX(包装物料出入库明细!$F$4:$F$2003,$Z908-0)),IF($Z908&lt;=4000,"",IF($Z908&lt;=5200,"",IF($Z908&lt;=5800,"","")))))</f>
        <v/>
      </c>
      <c r="H908" s="39" t="str">
        <f>IF($Z908="","",IF($Z908&lt;=2000,IF(INDEX(包装物料出入库明细!$L$4:$L$2003,$Z908-0)=0,"",INDEX(包装物料出入库明细!$L$4:$L$2003,$Z908-0)),IF($Z908&lt;=4000,N(INDEX(周转筐出入库明细!$H$4:$H$2004,$Z908-2000))+N(INDEX(周转筐出入库明细!$I$4:$I$2004,$Z908-2000))+N(INDEX(周转筐出入库明细!$J$4:$J$2004,$Z908-2000))+N(INDEX(周转筐出入库明细!$K$4:$K$2004,$Z908-2000)),IF($Z908&lt;=5200,N(INDEX(客户自备加工筐明细!$F$4:$F$1203,$Z908-4000))+N(INDEX(客户自备加工筐明细!$G$4:$G$1203,$Z908-4000)),IF($Z908&lt;=5800,IF(INDEX(次果筐明细!$G$4:$G$603,$Z908-5200)=0,"",INDEX(次果筐明细!$G$4:$G$603,$Z908-5200)),"")))))</f>
        <v/>
      </c>
      <c r="I908" s="24" t="str">
        <f>IF($Z908="","",IF($Z908&lt;=2000,IF(INDEX(包装物料出入库明细!$G$4:$G$2003,$Z908-0)=0,"",INDEX(包装物料出入库明细!$G$4:$G$2003,$Z908-0)),IF($Z908&lt;=4000,"个",IF($Z908&lt;=5200,"个",IF($Z908&lt;=5800,"个","")))))</f>
        <v/>
      </c>
      <c r="J908" s="30" t="str">
        <f t="shared" si="43"/>
        <v/>
      </c>
      <c r="K908" s="30" t="str">
        <f>IF($Z908="","",IF($Z908&lt;=2000,IF(INDEX(包装物料出入库明细!$N$4:$N$2003,$Z908-0)=0,"",INDEX(包装物料出入库明细!$N$4:$N$2003,$Z908-0)),IF($Z908&lt;=4000,IF(INDEX(周转筐出入库明细!$P$4:$P$2004,$Z908-2000)=0,"",INDEX(周转筐出入库明细!$P$4:$P$2004,$Z908-2000)),IF($Z908&lt;=5200,"",IF($Z908&lt;=5800,N(INDEX(次果筐明细!$L$4:$L$603,$Z908-5200))+N(INDEX(次果筐明细!$J$4:$J$603,$Z908-5200)),"")))))</f>
        <v/>
      </c>
      <c r="L908" s="24" t="str">
        <f>IF($Z908="","",IF($Z908&lt;=2000,IF(INDEX(包装物料出入库明细!$P$4:$P$2003,$Z908-0)=0,"",INDEX(包装物料出入库明细!$P$4:$P$2003,$Z908-0)),IF($Z908&lt;=4000,IF(INDEX(周转筐出入库明细!$Q$4:$Q$2004,$Z908-2000)=0,"",INDEX(周转筐出入库明细!$Q$4:$Q$2004,$Z908-2000)),IF($Z908&lt;=5200,"",IF($Z908&lt;=5800,IF(INDEX(次果筐明细!$M$4:$M$603,$Z908-5200)=0,"",INDEX(次果筐明细!$M$4:$M$603,$Z908-5200)),"")))))</f>
        <v/>
      </c>
      <c r="M908" s="37" t="str">
        <f>IF($Z908="","",IF($Z908&lt;=2000,IF(INDEX(包装物料出入库明细!$R$4:$R$2003,$Z908-0)=0,"",INDEX(包装物料出入库明细!$R$4:$R$2003,$Z908-0)),IF($Z908&lt;=4000,IF(INDEX(周转筐出入库明细!$W$4:$W$2004,$Z908-2000)=0,"",INDEX(周转筐出入库明细!$W$4:$W$2004,$Z908-2000)),IF($Z908&lt;=5200,IF(INDEX(客户自备加工筐明细!$L$4:$L$1203,$Z908-4000)=0,"",INDEX(客户自备加工筐明细!$L$4:$L$1203,$Z908-4000)),IF($Z908&lt;=5800,IF(INDEX(次果筐明细!$P$4:$P$603,$Z908-5200)=0,"",INDEX(次果筐明细!$P$4:$P$603,$Z908-5200)),"")))))</f>
        <v/>
      </c>
      <c r="N908" s="16" t="str">
        <f>IF($Z908="","",IF($Z908&lt;=2000,"",IF($Z908&lt;=4000,IF(INDEX(周转筐出入库明细!$D$4:$D$2004,$Z908-2000)=0,"",INDEX(周转筐出入库明细!$D$4:$D$2004,$Z908-2000)),IF($Z908&lt;=5200,IF(INDEX(客户自备加工筐明细!$C$4:$C$1203,$Z908-4000)=0,"",INDEX(客户自备加工筐明细!$C$4:$C$1203,$Z908-4000)),IF($Z908&lt;=5800,IF(INDEX(次果筐明细!$D$4:$D$603,$Z908-5200)=0,"",INDEX(次果筐明细!$D$4:$D$603,$Z908-5200)),"")))))</f>
        <v/>
      </c>
      <c r="O908" s="40" t="str">
        <f>IF($Z908="","",IF($Z908&lt;=2000,"",IF($Z908&lt;=4000,IF(N(INDEX(周转筐出入库明细!$J$4:$J$2004,$Z908-2000))+N(INDEX(周转筐出入库明细!$K$4:$K$2004,$Z908-2000))=0,"",N(INDEX(周转筐出入库明细!$J$4:$J$2004,$Z908-2000))+N(INDEX(周转筐出入库明细!$K$4:$K$2004,$Z908-2000))),IF($Z908&lt;=5200,IF(N(INDEX(客户自备加工筐明细!$G$4:$G$1203,$Z908-4000))=0,"",N(INDEX(客户自备加工筐明细!$G$4:$G$1203,$Z908-4000))),IF($Z908&lt;=5800,IF(ISNUMBER(SEARCH("退",INDEX(次果筐明细!$F$4:$F$603,$Z908-5200)&amp;"")),"",IF(N(INDEX(次果筐明细!$G$4:$G$603,$Z908-5200))=0,"",N(INDEX(次果筐明细!$G$4:$G$603,$Z908-5200)))),"")))))</f>
        <v/>
      </c>
      <c r="P908" s="40" t="str">
        <f>IF($Z908="","",IF($Z908&lt;=2000,"",IF($Z908&lt;=4000,IF(N(INDEX(周转筐出入库明细!$I$4:$I$2004,$Z908-2000))=0,"",N(INDEX(周转筐出入库明细!$I$4:$I$2004,$Z908-2000))),IF($Z908&lt;=5200,"",IF($Z908&lt;=5800,IF(ISNUMBER(SEARCH("退",INDEX(次果筐明细!$F$4:$F$603,$Z908-5200)&amp;"")),IF(N(INDEX(次果筐明细!$G$4:$G$603,$Z908-5200))=0,"",N(INDEX(次果筐明细!$G$4:$G$603,$Z908-5200))),""),"")))))</f>
        <v/>
      </c>
      <c r="Q908" s="40" t="str">
        <f>IF($Z908="","",IF($Z908&lt;=2000,"",IF($Z908&lt;=4000,IF(N(INDEX(周转筐出入库明细!$H$4:$H$2004,$Z908-2000))=0,"",N(INDEX(周转筐出入库明细!$H$4:$H$2004,$Z908-2000))),IF($Z908&lt;=5200,IF(N(INDEX(客户自备加工筐明细!$F$4:$F$1203,$Z908-4000))=0,"",N(INDEX(客户自备加工筐明细!$F$4:$F$1203,$Z908-4000))),IF($Z908&lt;=5800,"","")))))</f>
        <v/>
      </c>
      <c r="R908" s="16" t="str">
        <f>IF($Z908="","",IF($Z908&lt;=2000,IF(INDEX(包装物料出入库明细!$O$4:$O$2003,$Z908-0)=0,"",INDEX(包装物料出入库明细!$O$4:$O$2003,$Z908-0)),IF($Z908&lt;=4000,IF(INDEX(周转筐出入库明细!$M$4:$M$2004,$Z908-2000)=0,"",INDEX(周转筐出入库明细!$M$4:$M$2004,$Z908-2000)),IF($Z908&lt;=5200,IF(INDEX(客户自备加工筐明细!$H$4:$H$1203,$Z908-4000)=0,"",INDEX(客户自备加工筐明细!$H$4:$H$1203,$Z908-4000)),IF($Z908&lt;=5800,IF(INDEX(次果筐明细!$H$4:$H$603,$Z908-5200)=0,"",INDEX(次果筐明细!$H$4:$H$603,$Z908-5200)),"")))))</f>
        <v/>
      </c>
      <c r="S908" s="22" t="str">
        <f t="shared" si="44"/>
        <v/>
      </c>
      <c r="Z908" s="10" t="str">
        <f>IFERROR(MATCH(ROW()-3,_自动清单!$CQ$4:$CQ$5803,0),"")</f>
        <v/>
      </c>
    </row>
    <row r="909" spans="1:26">
      <c r="A909" s="24" t="str">
        <f t="shared" si="42"/>
        <v/>
      </c>
      <c r="B909" s="38" t="str">
        <f>IF($Z909="","",IF($Z909&lt;=2000,IF(INDEX(包装物料出入库明细!$B$4:$B$2003,$Z909-0)=0,"",INDEX(包装物料出入库明细!$B$4:$B$2003,$Z909-0)),IF($Z909&lt;=4000,IF(INDEX(周转筐出入库明细!$B$4:$B$2004,$Z909-2000)=0,"",INDEX(周转筐出入库明细!$B$4:$B$2004,$Z909-2000)),IF($Z909&lt;=5200,IF(INDEX(客户自备加工筐明细!$B$4:$B$1203,$Z909-4000)=0,"",INDEX(客户自备加工筐明细!$B$4:$B$1203,$Z909-4000)),IF($Z909&lt;=5800,IF(INDEX(次果筐明细!$B$4:$B$603,$Z909-5200)=0,"",INDEX(次果筐明细!$B$4:$B$603,$Z909-5200)),"")))))</f>
        <v/>
      </c>
      <c r="C909" s="37" t="str">
        <f>IF($Z909="","",IF($Z909&lt;=2000,IF(INDEX(包装物料出入库明细!$D$4:$D$2003,$Z909-0)=0,"",INDEX(包装物料出入库明细!$D$4:$D$2003,$Z909-0)),IF($Z909&lt;=4000,IF(INDEX(周转筐出入库明细!$C$4:$C$2004,$Z909-2000)=0,"",INDEX(周转筐出入库明细!$C$4:$C$2004,$Z909-2000)),IF($Z909&lt;=5200,IF(INDEX(客户自备加工筐明细!$E$4:$E$1203,$Z909-4000)=0,"",INDEX(客户自备加工筐明细!$E$4:$E$1203,$Z909-4000)),IF($Z909&lt;=5800,IF(INDEX(次果筐明细!$C$4:$C$603,$Z909-5200)=0,"",INDEX(次果筐明细!$C$4:$C$603,$Z909-5200)),"")))))</f>
        <v/>
      </c>
      <c r="D909" s="37" t="str">
        <f>IF($Z909="","",IF($Z909&lt;=2000,"包装物料－"&amp;INDEX(包装物料出入库明细!$H$4:$H$2003,$Z909-0),IF($Z909&lt;=4000,"周转筐－"&amp;INDEX(周转筐出入库明细!$F$4:$F$2004,$Z909-2000),IF($Z909&lt;=5200,"客户自备筐－"&amp;INDEX(客户自备加工筐明细!$J$4:$J$1203,$Z909-4000),IF($Z909&lt;=5800,"次果筐/托盘－"&amp;INDEX(次果筐明细!$F$4:$F$603,$Z909-5200),"")))))</f>
        <v/>
      </c>
      <c r="E909" s="24" t="str">
        <f>IF($Z909="","",IF($Z909&lt;=2000,IF(INDEX(包装物料出入库明细!$C$4:$C$2003,$Z909-0)=0,"",INDEX(包装物料出入库明细!$C$4:$C$2003,$Z909-0)),IF($Z909&lt;=4000,IF(INDEX(周转筐出入库明细!$E$4:$E$2004,$Z909-2000)=0,"",INDEX(周转筐出入库明细!$E$4:$E$2004,$Z909-2000)),IF($Z909&lt;=5200,IF(INDEX(客户自备加工筐明细!$D$4:$D$1203,$Z909-4000)=0,"",INDEX(客户自备加工筐明细!$D$4:$D$1203,$Z909-4000)),IF($Z909&lt;=5800,IF(INDEX(次果筐明细!$E$4:$E$603,$Z909-5200)=0,"",INDEX(次果筐明细!$E$4:$E$603,$Z909-5200)),"")))))</f>
        <v/>
      </c>
      <c r="F909" s="24" t="str">
        <f>IF($Z909="","",IF($Z909&lt;=2000,IF(INDEX(包装物料出入库明细!$E$4:$E$2003,$Z909-0)=0,"",INDEX(包装物料出入库明细!$E$4:$E$2003,$Z909-0)),IF($Z909&lt;=4000,IF(INDEX(周转筐出入库明细!$D$4:$D$2004,$Z909-2000)=0,"",INDEX(周转筐出入库明细!$D$4:$D$2004,$Z909-2000)),IF($Z909&lt;=5200,IF(INDEX(客户自备加工筐明细!$C$4:$C$1203,$Z909-4000)=0,"",INDEX(客户自备加工筐明细!$C$4:$C$1203,$Z909-4000)),IF($Z909&lt;=5800,IF(INDEX(次果筐明细!$D$4:$D$603,$Z909-5200)=0,"",INDEX(次果筐明细!$D$4:$D$603,$Z909-5200)),"")))))</f>
        <v/>
      </c>
      <c r="G909" s="24" t="str">
        <f>IF($Z909="","",IF($Z909&lt;=2000,IF(INDEX(包装物料出入库明细!$F$4:$F$2003,$Z909-0)=0,"",INDEX(包装物料出入库明细!$F$4:$F$2003,$Z909-0)),IF($Z909&lt;=4000,"",IF($Z909&lt;=5200,"",IF($Z909&lt;=5800,"","")))))</f>
        <v/>
      </c>
      <c r="H909" s="39" t="str">
        <f>IF($Z909="","",IF($Z909&lt;=2000,IF(INDEX(包装物料出入库明细!$L$4:$L$2003,$Z909-0)=0,"",INDEX(包装物料出入库明细!$L$4:$L$2003,$Z909-0)),IF($Z909&lt;=4000,N(INDEX(周转筐出入库明细!$H$4:$H$2004,$Z909-2000))+N(INDEX(周转筐出入库明细!$I$4:$I$2004,$Z909-2000))+N(INDEX(周转筐出入库明细!$J$4:$J$2004,$Z909-2000))+N(INDEX(周转筐出入库明细!$K$4:$K$2004,$Z909-2000)),IF($Z909&lt;=5200,N(INDEX(客户自备加工筐明细!$F$4:$F$1203,$Z909-4000))+N(INDEX(客户自备加工筐明细!$G$4:$G$1203,$Z909-4000)),IF($Z909&lt;=5800,IF(INDEX(次果筐明细!$G$4:$G$603,$Z909-5200)=0,"",INDEX(次果筐明细!$G$4:$G$603,$Z909-5200)),"")))))</f>
        <v/>
      </c>
      <c r="I909" s="24" t="str">
        <f>IF($Z909="","",IF($Z909&lt;=2000,IF(INDEX(包装物料出入库明细!$G$4:$G$2003,$Z909-0)=0,"",INDEX(包装物料出入库明细!$G$4:$G$2003,$Z909-0)),IF($Z909&lt;=4000,"个",IF($Z909&lt;=5200,"个",IF($Z909&lt;=5800,"个","")))))</f>
        <v/>
      </c>
      <c r="J909" s="30" t="str">
        <f t="shared" si="43"/>
        <v/>
      </c>
      <c r="K909" s="30" t="str">
        <f>IF($Z909="","",IF($Z909&lt;=2000,IF(INDEX(包装物料出入库明细!$N$4:$N$2003,$Z909-0)=0,"",INDEX(包装物料出入库明细!$N$4:$N$2003,$Z909-0)),IF($Z909&lt;=4000,IF(INDEX(周转筐出入库明细!$P$4:$P$2004,$Z909-2000)=0,"",INDEX(周转筐出入库明细!$P$4:$P$2004,$Z909-2000)),IF($Z909&lt;=5200,"",IF($Z909&lt;=5800,N(INDEX(次果筐明细!$L$4:$L$603,$Z909-5200))+N(INDEX(次果筐明细!$J$4:$J$603,$Z909-5200)),"")))))</f>
        <v/>
      </c>
      <c r="L909" s="24" t="str">
        <f>IF($Z909="","",IF($Z909&lt;=2000,IF(INDEX(包装物料出入库明细!$P$4:$P$2003,$Z909-0)=0,"",INDEX(包装物料出入库明细!$P$4:$P$2003,$Z909-0)),IF($Z909&lt;=4000,IF(INDEX(周转筐出入库明细!$Q$4:$Q$2004,$Z909-2000)=0,"",INDEX(周转筐出入库明细!$Q$4:$Q$2004,$Z909-2000)),IF($Z909&lt;=5200,"",IF($Z909&lt;=5800,IF(INDEX(次果筐明细!$M$4:$M$603,$Z909-5200)=0,"",INDEX(次果筐明细!$M$4:$M$603,$Z909-5200)),"")))))</f>
        <v/>
      </c>
      <c r="M909" s="37" t="str">
        <f>IF($Z909="","",IF($Z909&lt;=2000,IF(INDEX(包装物料出入库明细!$R$4:$R$2003,$Z909-0)=0,"",INDEX(包装物料出入库明细!$R$4:$R$2003,$Z909-0)),IF($Z909&lt;=4000,IF(INDEX(周转筐出入库明细!$W$4:$W$2004,$Z909-2000)=0,"",INDEX(周转筐出入库明细!$W$4:$W$2004,$Z909-2000)),IF($Z909&lt;=5200,IF(INDEX(客户自备加工筐明细!$L$4:$L$1203,$Z909-4000)=0,"",INDEX(客户自备加工筐明细!$L$4:$L$1203,$Z909-4000)),IF($Z909&lt;=5800,IF(INDEX(次果筐明细!$P$4:$P$603,$Z909-5200)=0,"",INDEX(次果筐明细!$P$4:$P$603,$Z909-5200)),"")))))</f>
        <v/>
      </c>
      <c r="N909" s="16" t="str">
        <f>IF($Z909="","",IF($Z909&lt;=2000,"",IF($Z909&lt;=4000,IF(INDEX(周转筐出入库明细!$D$4:$D$2004,$Z909-2000)=0,"",INDEX(周转筐出入库明细!$D$4:$D$2004,$Z909-2000)),IF($Z909&lt;=5200,IF(INDEX(客户自备加工筐明细!$C$4:$C$1203,$Z909-4000)=0,"",INDEX(客户自备加工筐明细!$C$4:$C$1203,$Z909-4000)),IF($Z909&lt;=5800,IF(INDEX(次果筐明细!$D$4:$D$603,$Z909-5200)=0,"",INDEX(次果筐明细!$D$4:$D$603,$Z909-5200)),"")))))</f>
        <v/>
      </c>
      <c r="O909" s="40" t="str">
        <f>IF($Z909="","",IF($Z909&lt;=2000,"",IF($Z909&lt;=4000,IF(N(INDEX(周转筐出入库明细!$J$4:$J$2004,$Z909-2000))+N(INDEX(周转筐出入库明细!$K$4:$K$2004,$Z909-2000))=0,"",N(INDEX(周转筐出入库明细!$J$4:$J$2004,$Z909-2000))+N(INDEX(周转筐出入库明细!$K$4:$K$2004,$Z909-2000))),IF($Z909&lt;=5200,IF(N(INDEX(客户自备加工筐明细!$G$4:$G$1203,$Z909-4000))=0,"",N(INDEX(客户自备加工筐明细!$G$4:$G$1203,$Z909-4000))),IF($Z909&lt;=5800,IF(ISNUMBER(SEARCH("退",INDEX(次果筐明细!$F$4:$F$603,$Z909-5200)&amp;"")),"",IF(N(INDEX(次果筐明细!$G$4:$G$603,$Z909-5200))=0,"",N(INDEX(次果筐明细!$G$4:$G$603,$Z909-5200)))),"")))))</f>
        <v/>
      </c>
      <c r="P909" s="40" t="str">
        <f>IF($Z909="","",IF($Z909&lt;=2000,"",IF($Z909&lt;=4000,IF(N(INDEX(周转筐出入库明细!$I$4:$I$2004,$Z909-2000))=0,"",N(INDEX(周转筐出入库明细!$I$4:$I$2004,$Z909-2000))),IF($Z909&lt;=5200,"",IF($Z909&lt;=5800,IF(ISNUMBER(SEARCH("退",INDEX(次果筐明细!$F$4:$F$603,$Z909-5200)&amp;"")),IF(N(INDEX(次果筐明细!$G$4:$G$603,$Z909-5200))=0,"",N(INDEX(次果筐明细!$G$4:$G$603,$Z909-5200))),""),"")))))</f>
        <v/>
      </c>
      <c r="Q909" s="40" t="str">
        <f>IF($Z909="","",IF($Z909&lt;=2000,"",IF($Z909&lt;=4000,IF(N(INDEX(周转筐出入库明细!$H$4:$H$2004,$Z909-2000))=0,"",N(INDEX(周转筐出入库明细!$H$4:$H$2004,$Z909-2000))),IF($Z909&lt;=5200,IF(N(INDEX(客户自备加工筐明细!$F$4:$F$1203,$Z909-4000))=0,"",N(INDEX(客户自备加工筐明细!$F$4:$F$1203,$Z909-4000))),IF($Z909&lt;=5800,"","")))))</f>
        <v/>
      </c>
      <c r="R909" s="16" t="str">
        <f>IF($Z909="","",IF($Z909&lt;=2000,IF(INDEX(包装物料出入库明细!$O$4:$O$2003,$Z909-0)=0,"",INDEX(包装物料出入库明细!$O$4:$O$2003,$Z909-0)),IF($Z909&lt;=4000,IF(INDEX(周转筐出入库明细!$M$4:$M$2004,$Z909-2000)=0,"",INDEX(周转筐出入库明细!$M$4:$M$2004,$Z909-2000)),IF($Z909&lt;=5200,IF(INDEX(客户自备加工筐明细!$H$4:$H$1203,$Z909-4000)=0,"",INDEX(客户自备加工筐明细!$H$4:$H$1203,$Z909-4000)),IF($Z909&lt;=5800,IF(INDEX(次果筐明细!$H$4:$H$603,$Z909-5200)=0,"",INDEX(次果筐明细!$H$4:$H$603,$Z909-5200)),"")))))</f>
        <v/>
      </c>
      <c r="S909" s="22" t="str">
        <f t="shared" si="44"/>
        <v/>
      </c>
      <c r="Z909" s="10" t="str">
        <f>IFERROR(MATCH(ROW()-3,_自动清单!$CQ$4:$CQ$5803,0),"")</f>
        <v/>
      </c>
    </row>
    <row r="910" spans="1:26">
      <c r="A910" s="24" t="str">
        <f t="shared" si="42"/>
        <v/>
      </c>
      <c r="B910" s="38" t="str">
        <f>IF($Z910="","",IF($Z910&lt;=2000,IF(INDEX(包装物料出入库明细!$B$4:$B$2003,$Z910-0)=0,"",INDEX(包装物料出入库明细!$B$4:$B$2003,$Z910-0)),IF($Z910&lt;=4000,IF(INDEX(周转筐出入库明细!$B$4:$B$2004,$Z910-2000)=0,"",INDEX(周转筐出入库明细!$B$4:$B$2004,$Z910-2000)),IF($Z910&lt;=5200,IF(INDEX(客户自备加工筐明细!$B$4:$B$1203,$Z910-4000)=0,"",INDEX(客户自备加工筐明细!$B$4:$B$1203,$Z910-4000)),IF($Z910&lt;=5800,IF(INDEX(次果筐明细!$B$4:$B$603,$Z910-5200)=0,"",INDEX(次果筐明细!$B$4:$B$603,$Z910-5200)),"")))))</f>
        <v/>
      </c>
      <c r="C910" s="37" t="str">
        <f>IF($Z910="","",IF($Z910&lt;=2000,IF(INDEX(包装物料出入库明细!$D$4:$D$2003,$Z910-0)=0,"",INDEX(包装物料出入库明细!$D$4:$D$2003,$Z910-0)),IF($Z910&lt;=4000,IF(INDEX(周转筐出入库明细!$C$4:$C$2004,$Z910-2000)=0,"",INDEX(周转筐出入库明细!$C$4:$C$2004,$Z910-2000)),IF($Z910&lt;=5200,IF(INDEX(客户自备加工筐明细!$E$4:$E$1203,$Z910-4000)=0,"",INDEX(客户自备加工筐明细!$E$4:$E$1203,$Z910-4000)),IF($Z910&lt;=5800,IF(INDEX(次果筐明细!$C$4:$C$603,$Z910-5200)=0,"",INDEX(次果筐明细!$C$4:$C$603,$Z910-5200)),"")))))</f>
        <v/>
      </c>
      <c r="D910" s="37" t="str">
        <f>IF($Z910="","",IF($Z910&lt;=2000,"包装物料－"&amp;INDEX(包装物料出入库明细!$H$4:$H$2003,$Z910-0),IF($Z910&lt;=4000,"周转筐－"&amp;INDEX(周转筐出入库明细!$F$4:$F$2004,$Z910-2000),IF($Z910&lt;=5200,"客户自备筐－"&amp;INDEX(客户自备加工筐明细!$J$4:$J$1203,$Z910-4000),IF($Z910&lt;=5800,"次果筐/托盘－"&amp;INDEX(次果筐明细!$F$4:$F$603,$Z910-5200),"")))))</f>
        <v/>
      </c>
      <c r="E910" s="24" t="str">
        <f>IF($Z910="","",IF($Z910&lt;=2000,IF(INDEX(包装物料出入库明细!$C$4:$C$2003,$Z910-0)=0,"",INDEX(包装物料出入库明细!$C$4:$C$2003,$Z910-0)),IF($Z910&lt;=4000,IF(INDEX(周转筐出入库明细!$E$4:$E$2004,$Z910-2000)=0,"",INDEX(周转筐出入库明细!$E$4:$E$2004,$Z910-2000)),IF($Z910&lt;=5200,IF(INDEX(客户自备加工筐明细!$D$4:$D$1203,$Z910-4000)=0,"",INDEX(客户自备加工筐明细!$D$4:$D$1203,$Z910-4000)),IF($Z910&lt;=5800,IF(INDEX(次果筐明细!$E$4:$E$603,$Z910-5200)=0,"",INDEX(次果筐明细!$E$4:$E$603,$Z910-5200)),"")))))</f>
        <v/>
      </c>
      <c r="F910" s="24" t="str">
        <f>IF($Z910="","",IF($Z910&lt;=2000,IF(INDEX(包装物料出入库明细!$E$4:$E$2003,$Z910-0)=0,"",INDEX(包装物料出入库明细!$E$4:$E$2003,$Z910-0)),IF($Z910&lt;=4000,IF(INDEX(周转筐出入库明细!$D$4:$D$2004,$Z910-2000)=0,"",INDEX(周转筐出入库明细!$D$4:$D$2004,$Z910-2000)),IF($Z910&lt;=5200,IF(INDEX(客户自备加工筐明细!$C$4:$C$1203,$Z910-4000)=0,"",INDEX(客户自备加工筐明细!$C$4:$C$1203,$Z910-4000)),IF($Z910&lt;=5800,IF(INDEX(次果筐明细!$D$4:$D$603,$Z910-5200)=0,"",INDEX(次果筐明细!$D$4:$D$603,$Z910-5200)),"")))))</f>
        <v/>
      </c>
      <c r="G910" s="24" t="str">
        <f>IF($Z910="","",IF($Z910&lt;=2000,IF(INDEX(包装物料出入库明细!$F$4:$F$2003,$Z910-0)=0,"",INDEX(包装物料出入库明细!$F$4:$F$2003,$Z910-0)),IF($Z910&lt;=4000,"",IF($Z910&lt;=5200,"",IF($Z910&lt;=5800,"","")))))</f>
        <v/>
      </c>
      <c r="H910" s="39" t="str">
        <f>IF($Z910="","",IF($Z910&lt;=2000,IF(INDEX(包装物料出入库明细!$L$4:$L$2003,$Z910-0)=0,"",INDEX(包装物料出入库明细!$L$4:$L$2003,$Z910-0)),IF($Z910&lt;=4000,N(INDEX(周转筐出入库明细!$H$4:$H$2004,$Z910-2000))+N(INDEX(周转筐出入库明细!$I$4:$I$2004,$Z910-2000))+N(INDEX(周转筐出入库明细!$J$4:$J$2004,$Z910-2000))+N(INDEX(周转筐出入库明细!$K$4:$K$2004,$Z910-2000)),IF($Z910&lt;=5200,N(INDEX(客户自备加工筐明细!$F$4:$F$1203,$Z910-4000))+N(INDEX(客户自备加工筐明细!$G$4:$G$1203,$Z910-4000)),IF($Z910&lt;=5800,IF(INDEX(次果筐明细!$G$4:$G$603,$Z910-5200)=0,"",INDEX(次果筐明细!$G$4:$G$603,$Z910-5200)),"")))))</f>
        <v/>
      </c>
      <c r="I910" s="24" t="str">
        <f>IF($Z910="","",IF($Z910&lt;=2000,IF(INDEX(包装物料出入库明细!$G$4:$G$2003,$Z910-0)=0,"",INDEX(包装物料出入库明细!$G$4:$G$2003,$Z910-0)),IF($Z910&lt;=4000,"个",IF($Z910&lt;=5200,"个",IF($Z910&lt;=5800,"个","")))))</f>
        <v/>
      </c>
      <c r="J910" s="30" t="str">
        <f t="shared" si="43"/>
        <v/>
      </c>
      <c r="K910" s="30" t="str">
        <f>IF($Z910="","",IF($Z910&lt;=2000,IF(INDEX(包装物料出入库明细!$N$4:$N$2003,$Z910-0)=0,"",INDEX(包装物料出入库明细!$N$4:$N$2003,$Z910-0)),IF($Z910&lt;=4000,IF(INDEX(周转筐出入库明细!$P$4:$P$2004,$Z910-2000)=0,"",INDEX(周转筐出入库明细!$P$4:$P$2004,$Z910-2000)),IF($Z910&lt;=5200,"",IF($Z910&lt;=5800,N(INDEX(次果筐明细!$L$4:$L$603,$Z910-5200))+N(INDEX(次果筐明细!$J$4:$J$603,$Z910-5200)),"")))))</f>
        <v/>
      </c>
      <c r="L910" s="24" t="str">
        <f>IF($Z910="","",IF($Z910&lt;=2000,IF(INDEX(包装物料出入库明细!$P$4:$P$2003,$Z910-0)=0,"",INDEX(包装物料出入库明细!$P$4:$P$2003,$Z910-0)),IF($Z910&lt;=4000,IF(INDEX(周转筐出入库明细!$Q$4:$Q$2004,$Z910-2000)=0,"",INDEX(周转筐出入库明细!$Q$4:$Q$2004,$Z910-2000)),IF($Z910&lt;=5200,"",IF($Z910&lt;=5800,IF(INDEX(次果筐明细!$M$4:$M$603,$Z910-5200)=0,"",INDEX(次果筐明细!$M$4:$M$603,$Z910-5200)),"")))))</f>
        <v/>
      </c>
      <c r="M910" s="37" t="str">
        <f>IF($Z910="","",IF($Z910&lt;=2000,IF(INDEX(包装物料出入库明细!$R$4:$R$2003,$Z910-0)=0,"",INDEX(包装物料出入库明细!$R$4:$R$2003,$Z910-0)),IF($Z910&lt;=4000,IF(INDEX(周转筐出入库明细!$W$4:$W$2004,$Z910-2000)=0,"",INDEX(周转筐出入库明细!$W$4:$W$2004,$Z910-2000)),IF($Z910&lt;=5200,IF(INDEX(客户自备加工筐明细!$L$4:$L$1203,$Z910-4000)=0,"",INDEX(客户自备加工筐明细!$L$4:$L$1203,$Z910-4000)),IF($Z910&lt;=5800,IF(INDEX(次果筐明细!$P$4:$P$603,$Z910-5200)=0,"",INDEX(次果筐明细!$P$4:$P$603,$Z910-5200)),"")))))</f>
        <v/>
      </c>
      <c r="N910" s="16" t="str">
        <f>IF($Z910="","",IF($Z910&lt;=2000,"",IF($Z910&lt;=4000,IF(INDEX(周转筐出入库明细!$D$4:$D$2004,$Z910-2000)=0,"",INDEX(周转筐出入库明细!$D$4:$D$2004,$Z910-2000)),IF($Z910&lt;=5200,IF(INDEX(客户自备加工筐明细!$C$4:$C$1203,$Z910-4000)=0,"",INDEX(客户自备加工筐明细!$C$4:$C$1203,$Z910-4000)),IF($Z910&lt;=5800,IF(INDEX(次果筐明细!$D$4:$D$603,$Z910-5200)=0,"",INDEX(次果筐明细!$D$4:$D$603,$Z910-5200)),"")))))</f>
        <v/>
      </c>
      <c r="O910" s="40" t="str">
        <f>IF($Z910="","",IF($Z910&lt;=2000,"",IF($Z910&lt;=4000,IF(N(INDEX(周转筐出入库明细!$J$4:$J$2004,$Z910-2000))+N(INDEX(周转筐出入库明细!$K$4:$K$2004,$Z910-2000))=0,"",N(INDEX(周转筐出入库明细!$J$4:$J$2004,$Z910-2000))+N(INDEX(周转筐出入库明细!$K$4:$K$2004,$Z910-2000))),IF($Z910&lt;=5200,IF(N(INDEX(客户自备加工筐明细!$G$4:$G$1203,$Z910-4000))=0,"",N(INDEX(客户自备加工筐明细!$G$4:$G$1203,$Z910-4000))),IF($Z910&lt;=5800,IF(ISNUMBER(SEARCH("退",INDEX(次果筐明细!$F$4:$F$603,$Z910-5200)&amp;"")),"",IF(N(INDEX(次果筐明细!$G$4:$G$603,$Z910-5200))=0,"",N(INDEX(次果筐明细!$G$4:$G$603,$Z910-5200)))),"")))))</f>
        <v/>
      </c>
      <c r="P910" s="40" t="str">
        <f>IF($Z910="","",IF($Z910&lt;=2000,"",IF($Z910&lt;=4000,IF(N(INDEX(周转筐出入库明细!$I$4:$I$2004,$Z910-2000))=0,"",N(INDEX(周转筐出入库明细!$I$4:$I$2004,$Z910-2000))),IF($Z910&lt;=5200,"",IF($Z910&lt;=5800,IF(ISNUMBER(SEARCH("退",INDEX(次果筐明细!$F$4:$F$603,$Z910-5200)&amp;"")),IF(N(INDEX(次果筐明细!$G$4:$G$603,$Z910-5200))=0,"",N(INDEX(次果筐明细!$G$4:$G$603,$Z910-5200))),""),"")))))</f>
        <v/>
      </c>
      <c r="Q910" s="40" t="str">
        <f>IF($Z910="","",IF($Z910&lt;=2000,"",IF($Z910&lt;=4000,IF(N(INDEX(周转筐出入库明细!$H$4:$H$2004,$Z910-2000))=0,"",N(INDEX(周转筐出入库明细!$H$4:$H$2004,$Z910-2000))),IF($Z910&lt;=5200,IF(N(INDEX(客户自备加工筐明细!$F$4:$F$1203,$Z910-4000))=0,"",N(INDEX(客户自备加工筐明细!$F$4:$F$1203,$Z910-4000))),IF($Z910&lt;=5800,"","")))))</f>
        <v/>
      </c>
      <c r="R910" s="16" t="str">
        <f>IF($Z910="","",IF($Z910&lt;=2000,IF(INDEX(包装物料出入库明细!$O$4:$O$2003,$Z910-0)=0,"",INDEX(包装物料出入库明细!$O$4:$O$2003,$Z910-0)),IF($Z910&lt;=4000,IF(INDEX(周转筐出入库明细!$M$4:$M$2004,$Z910-2000)=0,"",INDEX(周转筐出入库明细!$M$4:$M$2004,$Z910-2000)),IF($Z910&lt;=5200,IF(INDEX(客户自备加工筐明细!$H$4:$H$1203,$Z910-4000)=0,"",INDEX(客户自备加工筐明细!$H$4:$H$1203,$Z910-4000)),IF($Z910&lt;=5800,IF(INDEX(次果筐明细!$H$4:$H$603,$Z910-5200)=0,"",INDEX(次果筐明细!$H$4:$H$603,$Z910-5200)),"")))))</f>
        <v/>
      </c>
      <c r="S910" s="22" t="str">
        <f t="shared" si="44"/>
        <v/>
      </c>
      <c r="Z910" s="10" t="str">
        <f>IFERROR(MATCH(ROW()-3,_自动清单!$CQ$4:$CQ$5803,0),"")</f>
        <v/>
      </c>
    </row>
    <row r="911" spans="1:26">
      <c r="A911" s="24" t="str">
        <f t="shared" si="42"/>
        <v/>
      </c>
      <c r="B911" s="38" t="str">
        <f>IF($Z911="","",IF($Z911&lt;=2000,IF(INDEX(包装物料出入库明细!$B$4:$B$2003,$Z911-0)=0,"",INDEX(包装物料出入库明细!$B$4:$B$2003,$Z911-0)),IF($Z911&lt;=4000,IF(INDEX(周转筐出入库明细!$B$4:$B$2004,$Z911-2000)=0,"",INDEX(周转筐出入库明细!$B$4:$B$2004,$Z911-2000)),IF($Z911&lt;=5200,IF(INDEX(客户自备加工筐明细!$B$4:$B$1203,$Z911-4000)=0,"",INDEX(客户自备加工筐明细!$B$4:$B$1203,$Z911-4000)),IF($Z911&lt;=5800,IF(INDEX(次果筐明细!$B$4:$B$603,$Z911-5200)=0,"",INDEX(次果筐明细!$B$4:$B$603,$Z911-5200)),"")))))</f>
        <v/>
      </c>
      <c r="C911" s="37" t="str">
        <f>IF($Z911="","",IF($Z911&lt;=2000,IF(INDEX(包装物料出入库明细!$D$4:$D$2003,$Z911-0)=0,"",INDEX(包装物料出入库明细!$D$4:$D$2003,$Z911-0)),IF($Z911&lt;=4000,IF(INDEX(周转筐出入库明细!$C$4:$C$2004,$Z911-2000)=0,"",INDEX(周转筐出入库明细!$C$4:$C$2004,$Z911-2000)),IF($Z911&lt;=5200,IF(INDEX(客户自备加工筐明细!$E$4:$E$1203,$Z911-4000)=0,"",INDEX(客户自备加工筐明细!$E$4:$E$1203,$Z911-4000)),IF($Z911&lt;=5800,IF(INDEX(次果筐明细!$C$4:$C$603,$Z911-5200)=0,"",INDEX(次果筐明细!$C$4:$C$603,$Z911-5200)),"")))))</f>
        <v/>
      </c>
      <c r="D911" s="37" t="str">
        <f>IF($Z911="","",IF($Z911&lt;=2000,"包装物料－"&amp;INDEX(包装物料出入库明细!$H$4:$H$2003,$Z911-0),IF($Z911&lt;=4000,"周转筐－"&amp;INDEX(周转筐出入库明细!$F$4:$F$2004,$Z911-2000),IF($Z911&lt;=5200,"客户自备筐－"&amp;INDEX(客户自备加工筐明细!$J$4:$J$1203,$Z911-4000),IF($Z911&lt;=5800,"次果筐/托盘－"&amp;INDEX(次果筐明细!$F$4:$F$603,$Z911-5200),"")))))</f>
        <v/>
      </c>
      <c r="E911" s="24" t="str">
        <f>IF($Z911="","",IF($Z911&lt;=2000,IF(INDEX(包装物料出入库明细!$C$4:$C$2003,$Z911-0)=0,"",INDEX(包装物料出入库明细!$C$4:$C$2003,$Z911-0)),IF($Z911&lt;=4000,IF(INDEX(周转筐出入库明细!$E$4:$E$2004,$Z911-2000)=0,"",INDEX(周转筐出入库明细!$E$4:$E$2004,$Z911-2000)),IF($Z911&lt;=5200,IF(INDEX(客户自备加工筐明细!$D$4:$D$1203,$Z911-4000)=0,"",INDEX(客户自备加工筐明细!$D$4:$D$1203,$Z911-4000)),IF($Z911&lt;=5800,IF(INDEX(次果筐明细!$E$4:$E$603,$Z911-5200)=0,"",INDEX(次果筐明细!$E$4:$E$603,$Z911-5200)),"")))))</f>
        <v/>
      </c>
      <c r="F911" s="24" t="str">
        <f>IF($Z911="","",IF($Z911&lt;=2000,IF(INDEX(包装物料出入库明细!$E$4:$E$2003,$Z911-0)=0,"",INDEX(包装物料出入库明细!$E$4:$E$2003,$Z911-0)),IF($Z911&lt;=4000,IF(INDEX(周转筐出入库明细!$D$4:$D$2004,$Z911-2000)=0,"",INDEX(周转筐出入库明细!$D$4:$D$2004,$Z911-2000)),IF($Z911&lt;=5200,IF(INDEX(客户自备加工筐明细!$C$4:$C$1203,$Z911-4000)=0,"",INDEX(客户自备加工筐明细!$C$4:$C$1203,$Z911-4000)),IF($Z911&lt;=5800,IF(INDEX(次果筐明细!$D$4:$D$603,$Z911-5200)=0,"",INDEX(次果筐明细!$D$4:$D$603,$Z911-5200)),"")))))</f>
        <v/>
      </c>
      <c r="G911" s="24" t="str">
        <f>IF($Z911="","",IF($Z911&lt;=2000,IF(INDEX(包装物料出入库明细!$F$4:$F$2003,$Z911-0)=0,"",INDEX(包装物料出入库明细!$F$4:$F$2003,$Z911-0)),IF($Z911&lt;=4000,"",IF($Z911&lt;=5200,"",IF($Z911&lt;=5800,"","")))))</f>
        <v/>
      </c>
      <c r="H911" s="39" t="str">
        <f>IF($Z911="","",IF($Z911&lt;=2000,IF(INDEX(包装物料出入库明细!$L$4:$L$2003,$Z911-0)=0,"",INDEX(包装物料出入库明细!$L$4:$L$2003,$Z911-0)),IF($Z911&lt;=4000,N(INDEX(周转筐出入库明细!$H$4:$H$2004,$Z911-2000))+N(INDEX(周转筐出入库明细!$I$4:$I$2004,$Z911-2000))+N(INDEX(周转筐出入库明细!$J$4:$J$2004,$Z911-2000))+N(INDEX(周转筐出入库明细!$K$4:$K$2004,$Z911-2000)),IF($Z911&lt;=5200,N(INDEX(客户自备加工筐明细!$F$4:$F$1203,$Z911-4000))+N(INDEX(客户自备加工筐明细!$G$4:$G$1203,$Z911-4000)),IF($Z911&lt;=5800,IF(INDEX(次果筐明细!$G$4:$G$603,$Z911-5200)=0,"",INDEX(次果筐明细!$G$4:$G$603,$Z911-5200)),"")))))</f>
        <v/>
      </c>
      <c r="I911" s="24" t="str">
        <f>IF($Z911="","",IF($Z911&lt;=2000,IF(INDEX(包装物料出入库明细!$G$4:$G$2003,$Z911-0)=0,"",INDEX(包装物料出入库明细!$G$4:$G$2003,$Z911-0)),IF($Z911&lt;=4000,"个",IF($Z911&lt;=5200,"个",IF($Z911&lt;=5800,"个","")))))</f>
        <v/>
      </c>
      <c r="J911" s="30" t="str">
        <f t="shared" si="43"/>
        <v/>
      </c>
      <c r="K911" s="30" t="str">
        <f>IF($Z911="","",IF($Z911&lt;=2000,IF(INDEX(包装物料出入库明细!$N$4:$N$2003,$Z911-0)=0,"",INDEX(包装物料出入库明细!$N$4:$N$2003,$Z911-0)),IF($Z911&lt;=4000,IF(INDEX(周转筐出入库明细!$P$4:$P$2004,$Z911-2000)=0,"",INDEX(周转筐出入库明细!$P$4:$P$2004,$Z911-2000)),IF($Z911&lt;=5200,"",IF($Z911&lt;=5800,N(INDEX(次果筐明细!$L$4:$L$603,$Z911-5200))+N(INDEX(次果筐明细!$J$4:$J$603,$Z911-5200)),"")))))</f>
        <v/>
      </c>
      <c r="L911" s="24" t="str">
        <f>IF($Z911="","",IF($Z911&lt;=2000,IF(INDEX(包装物料出入库明细!$P$4:$P$2003,$Z911-0)=0,"",INDEX(包装物料出入库明细!$P$4:$P$2003,$Z911-0)),IF($Z911&lt;=4000,IF(INDEX(周转筐出入库明细!$Q$4:$Q$2004,$Z911-2000)=0,"",INDEX(周转筐出入库明细!$Q$4:$Q$2004,$Z911-2000)),IF($Z911&lt;=5200,"",IF($Z911&lt;=5800,IF(INDEX(次果筐明细!$M$4:$M$603,$Z911-5200)=0,"",INDEX(次果筐明细!$M$4:$M$603,$Z911-5200)),"")))))</f>
        <v/>
      </c>
      <c r="M911" s="37" t="str">
        <f>IF($Z911="","",IF($Z911&lt;=2000,IF(INDEX(包装物料出入库明细!$R$4:$R$2003,$Z911-0)=0,"",INDEX(包装物料出入库明细!$R$4:$R$2003,$Z911-0)),IF($Z911&lt;=4000,IF(INDEX(周转筐出入库明细!$W$4:$W$2004,$Z911-2000)=0,"",INDEX(周转筐出入库明细!$W$4:$W$2004,$Z911-2000)),IF($Z911&lt;=5200,IF(INDEX(客户自备加工筐明细!$L$4:$L$1203,$Z911-4000)=0,"",INDEX(客户自备加工筐明细!$L$4:$L$1203,$Z911-4000)),IF($Z911&lt;=5800,IF(INDEX(次果筐明细!$P$4:$P$603,$Z911-5200)=0,"",INDEX(次果筐明细!$P$4:$P$603,$Z911-5200)),"")))))</f>
        <v/>
      </c>
      <c r="N911" s="16" t="str">
        <f>IF($Z911="","",IF($Z911&lt;=2000,"",IF($Z911&lt;=4000,IF(INDEX(周转筐出入库明细!$D$4:$D$2004,$Z911-2000)=0,"",INDEX(周转筐出入库明细!$D$4:$D$2004,$Z911-2000)),IF($Z911&lt;=5200,IF(INDEX(客户自备加工筐明细!$C$4:$C$1203,$Z911-4000)=0,"",INDEX(客户自备加工筐明细!$C$4:$C$1203,$Z911-4000)),IF($Z911&lt;=5800,IF(INDEX(次果筐明细!$D$4:$D$603,$Z911-5200)=0,"",INDEX(次果筐明细!$D$4:$D$603,$Z911-5200)),"")))))</f>
        <v/>
      </c>
      <c r="O911" s="40" t="str">
        <f>IF($Z911="","",IF($Z911&lt;=2000,"",IF($Z911&lt;=4000,IF(N(INDEX(周转筐出入库明细!$J$4:$J$2004,$Z911-2000))+N(INDEX(周转筐出入库明细!$K$4:$K$2004,$Z911-2000))=0,"",N(INDEX(周转筐出入库明细!$J$4:$J$2004,$Z911-2000))+N(INDEX(周转筐出入库明细!$K$4:$K$2004,$Z911-2000))),IF($Z911&lt;=5200,IF(N(INDEX(客户自备加工筐明细!$G$4:$G$1203,$Z911-4000))=0,"",N(INDEX(客户自备加工筐明细!$G$4:$G$1203,$Z911-4000))),IF($Z911&lt;=5800,IF(ISNUMBER(SEARCH("退",INDEX(次果筐明细!$F$4:$F$603,$Z911-5200)&amp;"")),"",IF(N(INDEX(次果筐明细!$G$4:$G$603,$Z911-5200))=0,"",N(INDEX(次果筐明细!$G$4:$G$603,$Z911-5200)))),"")))))</f>
        <v/>
      </c>
      <c r="P911" s="40" t="str">
        <f>IF($Z911="","",IF($Z911&lt;=2000,"",IF($Z911&lt;=4000,IF(N(INDEX(周转筐出入库明细!$I$4:$I$2004,$Z911-2000))=0,"",N(INDEX(周转筐出入库明细!$I$4:$I$2004,$Z911-2000))),IF($Z911&lt;=5200,"",IF($Z911&lt;=5800,IF(ISNUMBER(SEARCH("退",INDEX(次果筐明细!$F$4:$F$603,$Z911-5200)&amp;"")),IF(N(INDEX(次果筐明细!$G$4:$G$603,$Z911-5200))=0,"",N(INDEX(次果筐明细!$G$4:$G$603,$Z911-5200))),""),"")))))</f>
        <v/>
      </c>
      <c r="Q911" s="40" t="str">
        <f>IF($Z911="","",IF($Z911&lt;=2000,"",IF($Z911&lt;=4000,IF(N(INDEX(周转筐出入库明细!$H$4:$H$2004,$Z911-2000))=0,"",N(INDEX(周转筐出入库明细!$H$4:$H$2004,$Z911-2000))),IF($Z911&lt;=5200,IF(N(INDEX(客户自备加工筐明细!$F$4:$F$1203,$Z911-4000))=0,"",N(INDEX(客户自备加工筐明细!$F$4:$F$1203,$Z911-4000))),IF($Z911&lt;=5800,"","")))))</f>
        <v/>
      </c>
      <c r="R911" s="16" t="str">
        <f>IF($Z911="","",IF($Z911&lt;=2000,IF(INDEX(包装物料出入库明细!$O$4:$O$2003,$Z911-0)=0,"",INDEX(包装物料出入库明细!$O$4:$O$2003,$Z911-0)),IF($Z911&lt;=4000,IF(INDEX(周转筐出入库明细!$M$4:$M$2004,$Z911-2000)=0,"",INDEX(周转筐出入库明细!$M$4:$M$2004,$Z911-2000)),IF($Z911&lt;=5200,IF(INDEX(客户自备加工筐明细!$H$4:$H$1203,$Z911-4000)=0,"",INDEX(客户自备加工筐明细!$H$4:$H$1203,$Z911-4000)),IF($Z911&lt;=5800,IF(INDEX(次果筐明细!$H$4:$H$603,$Z911-5200)=0,"",INDEX(次果筐明细!$H$4:$H$603,$Z911-5200)),"")))))</f>
        <v/>
      </c>
      <c r="S911" s="22" t="str">
        <f t="shared" si="44"/>
        <v/>
      </c>
      <c r="Z911" s="10" t="str">
        <f>IFERROR(MATCH(ROW()-3,_自动清单!$CQ$4:$CQ$5803,0),"")</f>
        <v/>
      </c>
    </row>
    <row r="912" spans="1:26">
      <c r="A912" s="24" t="str">
        <f t="shared" si="42"/>
        <v/>
      </c>
      <c r="B912" s="38" t="str">
        <f>IF($Z912="","",IF($Z912&lt;=2000,IF(INDEX(包装物料出入库明细!$B$4:$B$2003,$Z912-0)=0,"",INDEX(包装物料出入库明细!$B$4:$B$2003,$Z912-0)),IF($Z912&lt;=4000,IF(INDEX(周转筐出入库明细!$B$4:$B$2004,$Z912-2000)=0,"",INDEX(周转筐出入库明细!$B$4:$B$2004,$Z912-2000)),IF($Z912&lt;=5200,IF(INDEX(客户自备加工筐明细!$B$4:$B$1203,$Z912-4000)=0,"",INDEX(客户自备加工筐明细!$B$4:$B$1203,$Z912-4000)),IF($Z912&lt;=5800,IF(INDEX(次果筐明细!$B$4:$B$603,$Z912-5200)=0,"",INDEX(次果筐明细!$B$4:$B$603,$Z912-5200)),"")))))</f>
        <v/>
      </c>
      <c r="C912" s="37" t="str">
        <f>IF($Z912="","",IF($Z912&lt;=2000,IF(INDEX(包装物料出入库明细!$D$4:$D$2003,$Z912-0)=0,"",INDEX(包装物料出入库明细!$D$4:$D$2003,$Z912-0)),IF($Z912&lt;=4000,IF(INDEX(周转筐出入库明细!$C$4:$C$2004,$Z912-2000)=0,"",INDEX(周转筐出入库明细!$C$4:$C$2004,$Z912-2000)),IF($Z912&lt;=5200,IF(INDEX(客户自备加工筐明细!$E$4:$E$1203,$Z912-4000)=0,"",INDEX(客户自备加工筐明细!$E$4:$E$1203,$Z912-4000)),IF($Z912&lt;=5800,IF(INDEX(次果筐明细!$C$4:$C$603,$Z912-5200)=0,"",INDEX(次果筐明细!$C$4:$C$603,$Z912-5200)),"")))))</f>
        <v/>
      </c>
      <c r="D912" s="37" t="str">
        <f>IF($Z912="","",IF($Z912&lt;=2000,"包装物料－"&amp;INDEX(包装物料出入库明细!$H$4:$H$2003,$Z912-0),IF($Z912&lt;=4000,"周转筐－"&amp;INDEX(周转筐出入库明细!$F$4:$F$2004,$Z912-2000),IF($Z912&lt;=5200,"客户自备筐－"&amp;INDEX(客户自备加工筐明细!$J$4:$J$1203,$Z912-4000),IF($Z912&lt;=5800,"次果筐/托盘－"&amp;INDEX(次果筐明细!$F$4:$F$603,$Z912-5200),"")))))</f>
        <v/>
      </c>
      <c r="E912" s="24" t="str">
        <f>IF($Z912="","",IF($Z912&lt;=2000,IF(INDEX(包装物料出入库明细!$C$4:$C$2003,$Z912-0)=0,"",INDEX(包装物料出入库明细!$C$4:$C$2003,$Z912-0)),IF($Z912&lt;=4000,IF(INDEX(周转筐出入库明细!$E$4:$E$2004,$Z912-2000)=0,"",INDEX(周转筐出入库明细!$E$4:$E$2004,$Z912-2000)),IF($Z912&lt;=5200,IF(INDEX(客户自备加工筐明细!$D$4:$D$1203,$Z912-4000)=0,"",INDEX(客户自备加工筐明细!$D$4:$D$1203,$Z912-4000)),IF($Z912&lt;=5800,IF(INDEX(次果筐明细!$E$4:$E$603,$Z912-5200)=0,"",INDEX(次果筐明细!$E$4:$E$603,$Z912-5200)),"")))))</f>
        <v/>
      </c>
      <c r="F912" s="24" t="str">
        <f>IF($Z912="","",IF($Z912&lt;=2000,IF(INDEX(包装物料出入库明细!$E$4:$E$2003,$Z912-0)=0,"",INDEX(包装物料出入库明细!$E$4:$E$2003,$Z912-0)),IF($Z912&lt;=4000,IF(INDEX(周转筐出入库明细!$D$4:$D$2004,$Z912-2000)=0,"",INDEX(周转筐出入库明细!$D$4:$D$2004,$Z912-2000)),IF($Z912&lt;=5200,IF(INDEX(客户自备加工筐明细!$C$4:$C$1203,$Z912-4000)=0,"",INDEX(客户自备加工筐明细!$C$4:$C$1203,$Z912-4000)),IF($Z912&lt;=5800,IF(INDEX(次果筐明细!$D$4:$D$603,$Z912-5200)=0,"",INDEX(次果筐明细!$D$4:$D$603,$Z912-5200)),"")))))</f>
        <v/>
      </c>
      <c r="G912" s="24" t="str">
        <f>IF($Z912="","",IF($Z912&lt;=2000,IF(INDEX(包装物料出入库明细!$F$4:$F$2003,$Z912-0)=0,"",INDEX(包装物料出入库明细!$F$4:$F$2003,$Z912-0)),IF($Z912&lt;=4000,"",IF($Z912&lt;=5200,"",IF($Z912&lt;=5800,"","")))))</f>
        <v/>
      </c>
      <c r="H912" s="39" t="str">
        <f>IF($Z912="","",IF($Z912&lt;=2000,IF(INDEX(包装物料出入库明细!$L$4:$L$2003,$Z912-0)=0,"",INDEX(包装物料出入库明细!$L$4:$L$2003,$Z912-0)),IF($Z912&lt;=4000,N(INDEX(周转筐出入库明细!$H$4:$H$2004,$Z912-2000))+N(INDEX(周转筐出入库明细!$I$4:$I$2004,$Z912-2000))+N(INDEX(周转筐出入库明细!$J$4:$J$2004,$Z912-2000))+N(INDEX(周转筐出入库明细!$K$4:$K$2004,$Z912-2000)),IF($Z912&lt;=5200,N(INDEX(客户自备加工筐明细!$F$4:$F$1203,$Z912-4000))+N(INDEX(客户自备加工筐明细!$G$4:$G$1203,$Z912-4000)),IF($Z912&lt;=5800,IF(INDEX(次果筐明细!$G$4:$G$603,$Z912-5200)=0,"",INDEX(次果筐明细!$G$4:$G$603,$Z912-5200)),"")))))</f>
        <v/>
      </c>
      <c r="I912" s="24" t="str">
        <f>IF($Z912="","",IF($Z912&lt;=2000,IF(INDEX(包装物料出入库明细!$G$4:$G$2003,$Z912-0)=0,"",INDEX(包装物料出入库明细!$G$4:$G$2003,$Z912-0)),IF($Z912&lt;=4000,"个",IF($Z912&lt;=5200,"个",IF($Z912&lt;=5800,"个","")))))</f>
        <v/>
      </c>
      <c r="J912" s="30" t="str">
        <f t="shared" si="43"/>
        <v/>
      </c>
      <c r="K912" s="30" t="str">
        <f>IF($Z912="","",IF($Z912&lt;=2000,IF(INDEX(包装物料出入库明细!$N$4:$N$2003,$Z912-0)=0,"",INDEX(包装物料出入库明细!$N$4:$N$2003,$Z912-0)),IF($Z912&lt;=4000,IF(INDEX(周转筐出入库明细!$P$4:$P$2004,$Z912-2000)=0,"",INDEX(周转筐出入库明细!$P$4:$P$2004,$Z912-2000)),IF($Z912&lt;=5200,"",IF($Z912&lt;=5800,N(INDEX(次果筐明细!$L$4:$L$603,$Z912-5200))+N(INDEX(次果筐明细!$J$4:$J$603,$Z912-5200)),"")))))</f>
        <v/>
      </c>
      <c r="L912" s="24" t="str">
        <f>IF($Z912="","",IF($Z912&lt;=2000,IF(INDEX(包装物料出入库明细!$P$4:$P$2003,$Z912-0)=0,"",INDEX(包装物料出入库明细!$P$4:$P$2003,$Z912-0)),IF($Z912&lt;=4000,IF(INDEX(周转筐出入库明细!$Q$4:$Q$2004,$Z912-2000)=0,"",INDEX(周转筐出入库明细!$Q$4:$Q$2004,$Z912-2000)),IF($Z912&lt;=5200,"",IF($Z912&lt;=5800,IF(INDEX(次果筐明细!$M$4:$M$603,$Z912-5200)=0,"",INDEX(次果筐明细!$M$4:$M$603,$Z912-5200)),"")))))</f>
        <v/>
      </c>
      <c r="M912" s="37" t="str">
        <f>IF($Z912="","",IF($Z912&lt;=2000,IF(INDEX(包装物料出入库明细!$R$4:$R$2003,$Z912-0)=0,"",INDEX(包装物料出入库明细!$R$4:$R$2003,$Z912-0)),IF($Z912&lt;=4000,IF(INDEX(周转筐出入库明细!$W$4:$W$2004,$Z912-2000)=0,"",INDEX(周转筐出入库明细!$W$4:$W$2004,$Z912-2000)),IF($Z912&lt;=5200,IF(INDEX(客户自备加工筐明细!$L$4:$L$1203,$Z912-4000)=0,"",INDEX(客户自备加工筐明细!$L$4:$L$1203,$Z912-4000)),IF($Z912&lt;=5800,IF(INDEX(次果筐明细!$P$4:$P$603,$Z912-5200)=0,"",INDEX(次果筐明细!$P$4:$P$603,$Z912-5200)),"")))))</f>
        <v/>
      </c>
      <c r="N912" s="16" t="str">
        <f>IF($Z912="","",IF($Z912&lt;=2000,"",IF($Z912&lt;=4000,IF(INDEX(周转筐出入库明细!$D$4:$D$2004,$Z912-2000)=0,"",INDEX(周转筐出入库明细!$D$4:$D$2004,$Z912-2000)),IF($Z912&lt;=5200,IF(INDEX(客户自备加工筐明细!$C$4:$C$1203,$Z912-4000)=0,"",INDEX(客户自备加工筐明细!$C$4:$C$1203,$Z912-4000)),IF($Z912&lt;=5800,IF(INDEX(次果筐明细!$D$4:$D$603,$Z912-5200)=0,"",INDEX(次果筐明细!$D$4:$D$603,$Z912-5200)),"")))))</f>
        <v/>
      </c>
      <c r="O912" s="40" t="str">
        <f>IF($Z912="","",IF($Z912&lt;=2000,"",IF($Z912&lt;=4000,IF(N(INDEX(周转筐出入库明细!$J$4:$J$2004,$Z912-2000))+N(INDEX(周转筐出入库明细!$K$4:$K$2004,$Z912-2000))=0,"",N(INDEX(周转筐出入库明细!$J$4:$J$2004,$Z912-2000))+N(INDEX(周转筐出入库明细!$K$4:$K$2004,$Z912-2000))),IF($Z912&lt;=5200,IF(N(INDEX(客户自备加工筐明细!$G$4:$G$1203,$Z912-4000))=0,"",N(INDEX(客户自备加工筐明细!$G$4:$G$1203,$Z912-4000))),IF($Z912&lt;=5800,IF(ISNUMBER(SEARCH("退",INDEX(次果筐明细!$F$4:$F$603,$Z912-5200)&amp;"")),"",IF(N(INDEX(次果筐明细!$G$4:$G$603,$Z912-5200))=0,"",N(INDEX(次果筐明细!$G$4:$G$603,$Z912-5200)))),"")))))</f>
        <v/>
      </c>
      <c r="P912" s="40" t="str">
        <f>IF($Z912="","",IF($Z912&lt;=2000,"",IF($Z912&lt;=4000,IF(N(INDEX(周转筐出入库明细!$I$4:$I$2004,$Z912-2000))=0,"",N(INDEX(周转筐出入库明细!$I$4:$I$2004,$Z912-2000))),IF($Z912&lt;=5200,"",IF($Z912&lt;=5800,IF(ISNUMBER(SEARCH("退",INDEX(次果筐明细!$F$4:$F$603,$Z912-5200)&amp;"")),IF(N(INDEX(次果筐明细!$G$4:$G$603,$Z912-5200))=0,"",N(INDEX(次果筐明细!$G$4:$G$603,$Z912-5200))),""),"")))))</f>
        <v/>
      </c>
      <c r="Q912" s="40" t="str">
        <f>IF($Z912="","",IF($Z912&lt;=2000,"",IF($Z912&lt;=4000,IF(N(INDEX(周转筐出入库明细!$H$4:$H$2004,$Z912-2000))=0,"",N(INDEX(周转筐出入库明细!$H$4:$H$2004,$Z912-2000))),IF($Z912&lt;=5200,IF(N(INDEX(客户自备加工筐明细!$F$4:$F$1203,$Z912-4000))=0,"",N(INDEX(客户自备加工筐明细!$F$4:$F$1203,$Z912-4000))),IF($Z912&lt;=5800,"","")))))</f>
        <v/>
      </c>
      <c r="R912" s="16" t="str">
        <f>IF($Z912="","",IF($Z912&lt;=2000,IF(INDEX(包装物料出入库明细!$O$4:$O$2003,$Z912-0)=0,"",INDEX(包装物料出入库明细!$O$4:$O$2003,$Z912-0)),IF($Z912&lt;=4000,IF(INDEX(周转筐出入库明细!$M$4:$M$2004,$Z912-2000)=0,"",INDEX(周转筐出入库明细!$M$4:$M$2004,$Z912-2000)),IF($Z912&lt;=5200,IF(INDEX(客户自备加工筐明细!$H$4:$H$1203,$Z912-4000)=0,"",INDEX(客户自备加工筐明细!$H$4:$H$1203,$Z912-4000)),IF($Z912&lt;=5800,IF(INDEX(次果筐明细!$H$4:$H$603,$Z912-5200)=0,"",INDEX(次果筐明细!$H$4:$H$603,$Z912-5200)),"")))))</f>
        <v/>
      </c>
      <c r="S912" s="22" t="str">
        <f t="shared" si="44"/>
        <v/>
      </c>
      <c r="Z912" s="10" t="str">
        <f>IFERROR(MATCH(ROW()-3,_自动清单!$CQ$4:$CQ$5803,0),"")</f>
        <v/>
      </c>
    </row>
    <row r="913" spans="1:26">
      <c r="A913" s="24" t="str">
        <f t="shared" si="42"/>
        <v/>
      </c>
      <c r="B913" s="38" t="str">
        <f>IF($Z913="","",IF($Z913&lt;=2000,IF(INDEX(包装物料出入库明细!$B$4:$B$2003,$Z913-0)=0,"",INDEX(包装物料出入库明细!$B$4:$B$2003,$Z913-0)),IF($Z913&lt;=4000,IF(INDEX(周转筐出入库明细!$B$4:$B$2004,$Z913-2000)=0,"",INDEX(周转筐出入库明细!$B$4:$B$2004,$Z913-2000)),IF($Z913&lt;=5200,IF(INDEX(客户自备加工筐明细!$B$4:$B$1203,$Z913-4000)=0,"",INDEX(客户自备加工筐明细!$B$4:$B$1203,$Z913-4000)),IF($Z913&lt;=5800,IF(INDEX(次果筐明细!$B$4:$B$603,$Z913-5200)=0,"",INDEX(次果筐明细!$B$4:$B$603,$Z913-5200)),"")))))</f>
        <v/>
      </c>
      <c r="C913" s="37" t="str">
        <f>IF($Z913="","",IF($Z913&lt;=2000,IF(INDEX(包装物料出入库明细!$D$4:$D$2003,$Z913-0)=0,"",INDEX(包装物料出入库明细!$D$4:$D$2003,$Z913-0)),IF($Z913&lt;=4000,IF(INDEX(周转筐出入库明细!$C$4:$C$2004,$Z913-2000)=0,"",INDEX(周转筐出入库明细!$C$4:$C$2004,$Z913-2000)),IF($Z913&lt;=5200,IF(INDEX(客户自备加工筐明细!$E$4:$E$1203,$Z913-4000)=0,"",INDEX(客户自备加工筐明细!$E$4:$E$1203,$Z913-4000)),IF($Z913&lt;=5800,IF(INDEX(次果筐明细!$C$4:$C$603,$Z913-5200)=0,"",INDEX(次果筐明细!$C$4:$C$603,$Z913-5200)),"")))))</f>
        <v/>
      </c>
      <c r="D913" s="37" t="str">
        <f>IF($Z913="","",IF($Z913&lt;=2000,"包装物料－"&amp;INDEX(包装物料出入库明细!$H$4:$H$2003,$Z913-0),IF($Z913&lt;=4000,"周转筐－"&amp;INDEX(周转筐出入库明细!$F$4:$F$2004,$Z913-2000),IF($Z913&lt;=5200,"客户自备筐－"&amp;INDEX(客户自备加工筐明细!$J$4:$J$1203,$Z913-4000),IF($Z913&lt;=5800,"次果筐/托盘－"&amp;INDEX(次果筐明细!$F$4:$F$603,$Z913-5200),"")))))</f>
        <v/>
      </c>
      <c r="E913" s="24" t="str">
        <f>IF($Z913="","",IF($Z913&lt;=2000,IF(INDEX(包装物料出入库明细!$C$4:$C$2003,$Z913-0)=0,"",INDEX(包装物料出入库明细!$C$4:$C$2003,$Z913-0)),IF($Z913&lt;=4000,IF(INDEX(周转筐出入库明细!$E$4:$E$2004,$Z913-2000)=0,"",INDEX(周转筐出入库明细!$E$4:$E$2004,$Z913-2000)),IF($Z913&lt;=5200,IF(INDEX(客户自备加工筐明细!$D$4:$D$1203,$Z913-4000)=0,"",INDEX(客户自备加工筐明细!$D$4:$D$1203,$Z913-4000)),IF($Z913&lt;=5800,IF(INDEX(次果筐明细!$E$4:$E$603,$Z913-5200)=0,"",INDEX(次果筐明细!$E$4:$E$603,$Z913-5200)),"")))))</f>
        <v/>
      </c>
      <c r="F913" s="24" t="str">
        <f>IF($Z913="","",IF($Z913&lt;=2000,IF(INDEX(包装物料出入库明细!$E$4:$E$2003,$Z913-0)=0,"",INDEX(包装物料出入库明细!$E$4:$E$2003,$Z913-0)),IF($Z913&lt;=4000,IF(INDEX(周转筐出入库明细!$D$4:$D$2004,$Z913-2000)=0,"",INDEX(周转筐出入库明细!$D$4:$D$2004,$Z913-2000)),IF($Z913&lt;=5200,IF(INDEX(客户自备加工筐明细!$C$4:$C$1203,$Z913-4000)=0,"",INDEX(客户自备加工筐明细!$C$4:$C$1203,$Z913-4000)),IF($Z913&lt;=5800,IF(INDEX(次果筐明细!$D$4:$D$603,$Z913-5200)=0,"",INDEX(次果筐明细!$D$4:$D$603,$Z913-5200)),"")))))</f>
        <v/>
      </c>
      <c r="G913" s="24" t="str">
        <f>IF($Z913="","",IF($Z913&lt;=2000,IF(INDEX(包装物料出入库明细!$F$4:$F$2003,$Z913-0)=0,"",INDEX(包装物料出入库明细!$F$4:$F$2003,$Z913-0)),IF($Z913&lt;=4000,"",IF($Z913&lt;=5200,"",IF($Z913&lt;=5800,"","")))))</f>
        <v/>
      </c>
      <c r="H913" s="39" t="str">
        <f>IF($Z913="","",IF($Z913&lt;=2000,IF(INDEX(包装物料出入库明细!$L$4:$L$2003,$Z913-0)=0,"",INDEX(包装物料出入库明细!$L$4:$L$2003,$Z913-0)),IF($Z913&lt;=4000,N(INDEX(周转筐出入库明细!$H$4:$H$2004,$Z913-2000))+N(INDEX(周转筐出入库明细!$I$4:$I$2004,$Z913-2000))+N(INDEX(周转筐出入库明细!$J$4:$J$2004,$Z913-2000))+N(INDEX(周转筐出入库明细!$K$4:$K$2004,$Z913-2000)),IF($Z913&lt;=5200,N(INDEX(客户自备加工筐明细!$F$4:$F$1203,$Z913-4000))+N(INDEX(客户自备加工筐明细!$G$4:$G$1203,$Z913-4000)),IF($Z913&lt;=5800,IF(INDEX(次果筐明细!$G$4:$G$603,$Z913-5200)=0,"",INDEX(次果筐明细!$G$4:$G$603,$Z913-5200)),"")))))</f>
        <v/>
      </c>
      <c r="I913" s="24" t="str">
        <f>IF($Z913="","",IF($Z913&lt;=2000,IF(INDEX(包装物料出入库明细!$G$4:$G$2003,$Z913-0)=0,"",INDEX(包装物料出入库明细!$G$4:$G$2003,$Z913-0)),IF($Z913&lt;=4000,"个",IF($Z913&lt;=5200,"个",IF($Z913&lt;=5800,"个","")))))</f>
        <v/>
      </c>
      <c r="J913" s="30" t="str">
        <f t="shared" si="43"/>
        <v/>
      </c>
      <c r="K913" s="30" t="str">
        <f>IF($Z913="","",IF($Z913&lt;=2000,IF(INDEX(包装物料出入库明细!$N$4:$N$2003,$Z913-0)=0,"",INDEX(包装物料出入库明细!$N$4:$N$2003,$Z913-0)),IF($Z913&lt;=4000,IF(INDEX(周转筐出入库明细!$P$4:$P$2004,$Z913-2000)=0,"",INDEX(周转筐出入库明细!$P$4:$P$2004,$Z913-2000)),IF($Z913&lt;=5200,"",IF($Z913&lt;=5800,N(INDEX(次果筐明细!$L$4:$L$603,$Z913-5200))+N(INDEX(次果筐明细!$J$4:$J$603,$Z913-5200)),"")))))</f>
        <v/>
      </c>
      <c r="L913" s="24" t="str">
        <f>IF($Z913="","",IF($Z913&lt;=2000,IF(INDEX(包装物料出入库明细!$P$4:$P$2003,$Z913-0)=0,"",INDEX(包装物料出入库明细!$P$4:$P$2003,$Z913-0)),IF($Z913&lt;=4000,IF(INDEX(周转筐出入库明细!$Q$4:$Q$2004,$Z913-2000)=0,"",INDEX(周转筐出入库明细!$Q$4:$Q$2004,$Z913-2000)),IF($Z913&lt;=5200,"",IF($Z913&lt;=5800,IF(INDEX(次果筐明细!$M$4:$M$603,$Z913-5200)=0,"",INDEX(次果筐明细!$M$4:$M$603,$Z913-5200)),"")))))</f>
        <v/>
      </c>
      <c r="M913" s="37" t="str">
        <f>IF($Z913="","",IF($Z913&lt;=2000,IF(INDEX(包装物料出入库明细!$R$4:$R$2003,$Z913-0)=0,"",INDEX(包装物料出入库明细!$R$4:$R$2003,$Z913-0)),IF($Z913&lt;=4000,IF(INDEX(周转筐出入库明细!$W$4:$W$2004,$Z913-2000)=0,"",INDEX(周转筐出入库明细!$W$4:$W$2004,$Z913-2000)),IF($Z913&lt;=5200,IF(INDEX(客户自备加工筐明细!$L$4:$L$1203,$Z913-4000)=0,"",INDEX(客户自备加工筐明细!$L$4:$L$1203,$Z913-4000)),IF($Z913&lt;=5800,IF(INDEX(次果筐明细!$P$4:$P$603,$Z913-5200)=0,"",INDEX(次果筐明细!$P$4:$P$603,$Z913-5200)),"")))))</f>
        <v/>
      </c>
      <c r="N913" s="16" t="str">
        <f>IF($Z913="","",IF($Z913&lt;=2000,"",IF($Z913&lt;=4000,IF(INDEX(周转筐出入库明细!$D$4:$D$2004,$Z913-2000)=0,"",INDEX(周转筐出入库明细!$D$4:$D$2004,$Z913-2000)),IF($Z913&lt;=5200,IF(INDEX(客户自备加工筐明细!$C$4:$C$1203,$Z913-4000)=0,"",INDEX(客户自备加工筐明细!$C$4:$C$1203,$Z913-4000)),IF($Z913&lt;=5800,IF(INDEX(次果筐明细!$D$4:$D$603,$Z913-5200)=0,"",INDEX(次果筐明细!$D$4:$D$603,$Z913-5200)),"")))))</f>
        <v/>
      </c>
      <c r="O913" s="40" t="str">
        <f>IF($Z913="","",IF($Z913&lt;=2000,"",IF($Z913&lt;=4000,IF(N(INDEX(周转筐出入库明细!$J$4:$J$2004,$Z913-2000))+N(INDEX(周转筐出入库明细!$K$4:$K$2004,$Z913-2000))=0,"",N(INDEX(周转筐出入库明细!$J$4:$J$2004,$Z913-2000))+N(INDEX(周转筐出入库明细!$K$4:$K$2004,$Z913-2000))),IF($Z913&lt;=5200,IF(N(INDEX(客户自备加工筐明细!$G$4:$G$1203,$Z913-4000))=0,"",N(INDEX(客户自备加工筐明细!$G$4:$G$1203,$Z913-4000))),IF($Z913&lt;=5800,IF(ISNUMBER(SEARCH("退",INDEX(次果筐明细!$F$4:$F$603,$Z913-5200)&amp;"")),"",IF(N(INDEX(次果筐明细!$G$4:$G$603,$Z913-5200))=0,"",N(INDEX(次果筐明细!$G$4:$G$603,$Z913-5200)))),"")))))</f>
        <v/>
      </c>
      <c r="P913" s="40" t="str">
        <f>IF($Z913="","",IF($Z913&lt;=2000,"",IF($Z913&lt;=4000,IF(N(INDEX(周转筐出入库明细!$I$4:$I$2004,$Z913-2000))=0,"",N(INDEX(周转筐出入库明细!$I$4:$I$2004,$Z913-2000))),IF($Z913&lt;=5200,"",IF($Z913&lt;=5800,IF(ISNUMBER(SEARCH("退",INDEX(次果筐明细!$F$4:$F$603,$Z913-5200)&amp;"")),IF(N(INDEX(次果筐明细!$G$4:$G$603,$Z913-5200))=0,"",N(INDEX(次果筐明细!$G$4:$G$603,$Z913-5200))),""),"")))))</f>
        <v/>
      </c>
      <c r="Q913" s="40" t="str">
        <f>IF($Z913="","",IF($Z913&lt;=2000,"",IF($Z913&lt;=4000,IF(N(INDEX(周转筐出入库明细!$H$4:$H$2004,$Z913-2000))=0,"",N(INDEX(周转筐出入库明细!$H$4:$H$2004,$Z913-2000))),IF($Z913&lt;=5200,IF(N(INDEX(客户自备加工筐明细!$F$4:$F$1203,$Z913-4000))=0,"",N(INDEX(客户自备加工筐明细!$F$4:$F$1203,$Z913-4000))),IF($Z913&lt;=5800,"","")))))</f>
        <v/>
      </c>
      <c r="R913" s="16" t="str">
        <f>IF($Z913="","",IF($Z913&lt;=2000,IF(INDEX(包装物料出入库明细!$O$4:$O$2003,$Z913-0)=0,"",INDEX(包装物料出入库明细!$O$4:$O$2003,$Z913-0)),IF($Z913&lt;=4000,IF(INDEX(周转筐出入库明细!$M$4:$M$2004,$Z913-2000)=0,"",INDEX(周转筐出入库明细!$M$4:$M$2004,$Z913-2000)),IF($Z913&lt;=5200,IF(INDEX(客户自备加工筐明细!$H$4:$H$1203,$Z913-4000)=0,"",INDEX(客户自备加工筐明细!$H$4:$H$1203,$Z913-4000)),IF($Z913&lt;=5800,IF(INDEX(次果筐明细!$H$4:$H$603,$Z913-5200)=0,"",INDEX(次果筐明细!$H$4:$H$603,$Z913-5200)),"")))))</f>
        <v/>
      </c>
      <c r="S913" s="22" t="str">
        <f t="shared" si="44"/>
        <v/>
      </c>
      <c r="Z913" s="10" t="str">
        <f>IFERROR(MATCH(ROW()-3,_自动清单!$CQ$4:$CQ$5803,0),"")</f>
        <v/>
      </c>
    </row>
    <row r="914" spans="1:26">
      <c r="A914" s="24" t="str">
        <f t="shared" si="42"/>
        <v/>
      </c>
      <c r="B914" s="38" t="str">
        <f>IF($Z914="","",IF($Z914&lt;=2000,IF(INDEX(包装物料出入库明细!$B$4:$B$2003,$Z914-0)=0,"",INDEX(包装物料出入库明细!$B$4:$B$2003,$Z914-0)),IF($Z914&lt;=4000,IF(INDEX(周转筐出入库明细!$B$4:$B$2004,$Z914-2000)=0,"",INDEX(周转筐出入库明细!$B$4:$B$2004,$Z914-2000)),IF($Z914&lt;=5200,IF(INDEX(客户自备加工筐明细!$B$4:$B$1203,$Z914-4000)=0,"",INDEX(客户自备加工筐明细!$B$4:$B$1203,$Z914-4000)),IF($Z914&lt;=5800,IF(INDEX(次果筐明细!$B$4:$B$603,$Z914-5200)=0,"",INDEX(次果筐明细!$B$4:$B$603,$Z914-5200)),"")))))</f>
        <v/>
      </c>
      <c r="C914" s="37" t="str">
        <f>IF($Z914="","",IF($Z914&lt;=2000,IF(INDEX(包装物料出入库明细!$D$4:$D$2003,$Z914-0)=0,"",INDEX(包装物料出入库明细!$D$4:$D$2003,$Z914-0)),IF($Z914&lt;=4000,IF(INDEX(周转筐出入库明细!$C$4:$C$2004,$Z914-2000)=0,"",INDEX(周转筐出入库明细!$C$4:$C$2004,$Z914-2000)),IF($Z914&lt;=5200,IF(INDEX(客户自备加工筐明细!$E$4:$E$1203,$Z914-4000)=0,"",INDEX(客户自备加工筐明细!$E$4:$E$1203,$Z914-4000)),IF($Z914&lt;=5800,IF(INDEX(次果筐明细!$C$4:$C$603,$Z914-5200)=0,"",INDEX(次果筐明细!$C$4:$C$603,$Z914-5200)),"")))))</f>
        <v/>
      </c>
      <c r="D914" s="37" t="str">
        <f>IF($Z914="","",IF($Z914&lt;=2000,"包装物料－"&amp;INDEX(包装物料出入库明细!$H$4:$H$2003,$Z914-0),IF($Z914&lt;=4000,"周转筐－"&amp;INDEX(周转筐出入库明细!$F$4:$F$2004,$Z914-2000),IF($Z914&lt;=5200,"客户自备筐－"&amp;INDEX(客户自备加工筐明细!$J$4:$J$1203,$Z914-4000),IF($Z914&lt;=5800,"次果筐/托盘－"&amp;INDEX(次果筐明细!$F$4:$F$603,$Z914-5200),"")))))</f>
        <v/>
      </c>
      <c r="E914" s="24" t="str">
        <f>IF($Z914="","",IF($Z914&lt;=2000,IF(INDEX(包装物料出入库明细!$C$4:$C$2003,$Z914-0)=0,"",INDEX(包装物料出入库明细!$C$4:$C$2003,$Z914-0)),IF($Z914&lt;=4000,IF(INDEX(周转筐出入库明细!$E$4:$E$2004,$Z914-2000)=0,"",INDEX(周转筐出入库明细!$E$4:$E$2004,$Z914-2000)),IF($Z914&lt;=5200,IF(INDEX(客户自备加工筐明细!$D$4:$D$1203,$Z914-4000)=0,"",INDEX(客户自备加工筐明细!$D$4:$D$1203,$Z914-4000)),IF($Z914&lt;=5800,IF(INDEX(次果筐明细!$E$4:$E$603,$Z914-5200)=0,"",INDEX(次果筐明细!$E$4:$E$603,$Z914-5200)),"")))))</f>
        <v/>
      </c>
      <c r="F914" s="24" t="str">
        <f>IF($Z914="","",IF($Z914&lt;=2000,IF(INDEX(包装物料出入库明细!$E$4:$E$2003,$Z914-0)=0,"",INDEX(包装物料出入库明细!$E$4:$E$2003,$Z914-0)),IF($Z914&lt;=4000,IF(INDEX(周转筐出入库明细!$D$4:$D$2004,$Z914-2000)=0,"",INDEX(周转筐出入库明细!$D$4:$D$2004,$Z914-2000)),IF($Z914&lt;=5200,IF(INDEX(客户自备加工筐明细!$C$4:$C$1203,$Z914-4000)=0,"",INDEX(客户自备加工筐明细!$C$4:$C$1203,$Z914-4000)),IF($Z914&lt;=5800,IF(INDEX(次果筐明细!$D$4:$D$603,$Z914-5200)=0,"",INDEX(次果筐明细!$D$4:$D$603,$Z914-5200)),"")))))</f>
        <v/>
      </c>
      <c r="G914" s="24" t="str">
        <f>IF($Z914="","",IF($Z914&lt;=2000,IF(INDEX(包装物料出入库明细!$F$4:$F$2003,$Z914-0)=0,"",INDEX(包装物料出入库明细!$F$4:$F$2003,$Z914-0)),IF($Z914&lt;=4000,"",IF($Z914&lt;=5200,"",IF($Z914&lt;=5800,"","")))))</f>
        <v/>
      </c>
      <c r="H914" s="39" t="str">
        <f>IF($Z914="","",IF($Z914&lt;=2000,IF(INDEX(包装物料出入库明细!$L$4:$L$2003,$Z914-0)=0,"",INDEX(包装物料出入库明细!$L$4:$L$2003,$Z914-0)),IF($Z914&lt;=4000,N(INDEX(周转筐出入库明细!$H$4:$H$2004,$Z914-2000))+N(INDEX(周转筐出入库明细!$I$4:$I$2004,$Z914-2000))+N(INDEX(周转筐出入库明细!$J$4:$J$2004,$Z914-2000))+N(INDEX(周转筐出入库明细!$K$4:$K$2004,$Z914-2000)),IF($Z914&lt;=5200,N(INDEX(客户自备加工筐明细!$F$4:$F$1203,$Z914-4000))+N(INDEX(客户自备加工筐明细!$G$4:$G$1203,$Z914-4000)),IF($Z914&lt;=5800,IF(INDEX(次果筐明细!$G$4:$G$603,$Z914-5200)=0,"",INDEX(次果筐明细!$G$4:$G$603,$Z914-5200)),"")))))</f>
        <v/>
      </c>
      <c r="I914" s="24" t="str">
        <f>IF($Z914="","",IF($Z914&lt;=2000,IF(INDEX(包装物料出入库明细!$G$4:$G$2003,$Z914-0)=0,"",INDEX(包装物料出入库明细!$G$4:$G$2003,$Z914-0)),IF($Z914&lt;=4000,"个",IF($Z914&lt;=5200,"个",IF($Z914&lt;=5800,"个","")))))</f>
        <v/>
      </c>
      <c r="J914" s="30" t="str">
        <f t="shared" si="43"/>
        <v/>
      </c>
      <c r="K914" s="30" t="str">
        <f>IF($Z914="","",IF($Z914&lt;=2000,IF(INDEX(包装物料出入库明细!$N$4:$N$2003,$Z914-0)=0,"",INDEX(包装物料出入库明细!$N$4:$N$2003,$Z914-0)),IF($Z914&lt;=4000,IF(INDEX(周转筐出入库明细!$P$4:$P$2004,$Z914-2000)=0,"",INDEX(周转筐出入库明细!$P$4:$P$2004,$Z914-2000)),IF($Z914&lt;=5200,"",IF($Z914&lt;=5800,N(INDEX(次果筐明细!$L$4:$L$603,$Z914-5200))+N(INDEX(次果筐明细!$J$4:$J$603,$Z914-5200)),"")))))</f>
        <v/>
      </c>
      <c r="L914" s="24" t="str">
        <f>IF($Z914="","",IF($Z914&lt;=2000,IF(INDEX(包装物料出入库明细!$P$4:$P$2003,$Z914-0)=0,"",INDEX(包装物料出入库明细!$P$4:$P$2003,$Z914-0)),IF($Z914&lt;=4000,IF(INDEX(周转筐出入库明细!$Q$4:$Q$2004,$Z914-2000)=0,"",INDEX(周转筐出入库明细!$Q$4:$Q$2004,$Z914-2000)),IF($Z914&lt;=5200,"",IF($Z914&lt;=5800,IF(INDEX(次果筐明细!$M$4:$M$603,$Z914-5200)=0,"",INDEX(次果筐明细!$M$4:$M$603,$Z914-5200)),"")))))</f>
        <v/>
      </c>
      <c r="M914" s="37" t="str">
        <f>IF($Z914="","",IF($Z914&lt;=2000,IF(INDEX(包装物料出入库明细!$R$4:$R$2003,$Z914-0)=0,"",INDEX(包装物料出入库明细!$R$4:$R$2003,$Z914-0)),IF($Z914&lt;=4000,IF(INDEX(周转筐出入库明细!$W$4:$W$2004,$Z914-2000)=0,"",INDEX(周转筐出入库明细!$W$4:$W$2004,$Z914-2000)),IF($Z914&lt;=5200,IF(INDEX(客户自备加工筐明细!$L$4:$L$1203,$Z914-4000)=0,"",INDEX(客户自备加工筐明细!$L$4:$L$1203,$Z914-4000)),IF($Z914&lt;=5800,IF(INDEX(次果筐明细!$P$4:$P$603,$Z914-5200)=0,"",INDEX(次果筐明细!$P$4:$P$603,$Z914-5200)),"")))))</f>
        <v/>
      </c>
      <c r="N914" s="16" t="str">
        <f>IF($Z914="","",IF($Z914&lt;=2000,"",IF($Z914&lt;=4000,IF(INDEX(周转筐出入库明细!$D$4:$D$2004,$Z914-2000)=0,"",INDEX(周转筐出入库明细!$D$4:$D$2004,$Z914-2000)),IF($Z914&lt;=5200,IF(INDEX(客户自备加工筐明细!$C$4:$C$1203,$Z914-4000)=0,"",INDEX(客户自备加工筐明细!$C$4:$C$1203,$Z914-4000)),IF($Z914&lt;=5800,IF(INDEX(次果筐明细!$D$4:$D$603,$Z914-5200)=0,"",INDEX(次果筐明细!$D$4:$D$603,$Z914-5200)),"")))))</f>
        <v/>
      </c>
      <c r="O914" s="40" t="str">
        <f>IF($Z914="","",IF($Z914&lt;=2000,"",IF($Z914&lt;=4000,IF(N(INDEX(周转筐出入库明细!$J$4:$J$2004,$Z914-2000))+N(INDEX(周转筐出入库明细!$K$4:$K$2004,$Z914-2000))=0,"",N(INDEX(周转筐出入库明细!$J$4:$J$2004,$Z914-2000))+N(INDEX(周转筐出入库明细!$K$4:$K$2004,$Z914-2000))),IF($Z914&lt;=5200,IF(N(INDEX(客户自备加工筐明细!$G$4:$G$1203,$Z914-4000))=0,"",N(INDEX(客户自备加工筐明细!$G$4:$G$1203,$Z914-4000))),IF($Z914&lt;=5800,IF(ISNUMBER(SEARCH("退",INDEX(次果筐明细!$F$4:$F$603,$Z914-5200)&amp;"")),"",IF(N(INDEX(次果筐明细!$G$4:$G$603,$Z914-5200))=0,"",N(INDEX(次果筐明细!$G$4:$G$603,$Z914-5200)))),"")))))</f>
        <v/>
      </c>
      <c r="P914" s="40" t="str">
        <f>IF($Z914="","",IF($Z914&lt;=2000,"",IF($Z914&lt;=4000,IF(N(INDEX(周转筐出入库明细!$I$4:$I$2004,$Z914-2000))=0,"",N(INDEX(周转筐出入库明细!$I$4:$I$2004,$Z914-2000))),IF($Z914&lt;=5200,"",IF($Z914&lt;=5800,IF(ISNUMBER(SEARCH("退",INDEX(次果筐明细!$F$4:$F$603,$Z914-5200)&amp;"")),IF(N(INDEX(次果筐明细!$G$4:$G$603,$Z914-5200))=0,"",N(INDEX(次果筐明细!$G$4:$G$603,$Z914-5200))),""),"")))))</f>
        <v/>
      </c>
      <c r="Q914" s="40" t="str">
        <f>IF($Z914="","",IF($Z914&lt;=2000,"",IF($Z914&lt;=4000,IF(N(INDEX(周转筐出入库明细!$H$4:$H$2004,$Z914-2000))=0,"",N(INDEX(周转筐出入库明细!$H$4:$H$2004,$Z914-2000))),IF($Z914&lt;=5200,IF(N(INDEX(客户自备加工筐明细!$F$4:$F$1203,$Z914-4000))=0,"",N(INDEX(客户自备加工筐明细!$F$4:$F$1203,$Z914-4000))),IF($Z914&lt;=5800,"","")))))</f>
        <v/>
      </c>
      <c r="R914" s="16" t="str">
        <f>IF($Z914="","",IF($Z914&lt;=2000,IF(INDEX(包装物料出入库明细!$O$4:$O$2003,$Z914-0)=0,"",INDEX(包装物料出入库明细!$O$4:$O$2003,$Z914-0)),IF($Z914&lt;=4000,IF(INDEX(周转筐出入库明细!$M$4:$M$2004,$Z914-2000)=0,"",INDEX(周转筐出入库明细!$M$4:$M$2004,$Z914-2000)),IF($Z914&lt;=5200,IF(INDEX(客户自备加工筐明细!$H$4:$H$1203,$Z914-4000)=0,"",INDEX(客户自备加工筐明细!$H$4:$H$1203,$Z914-4000)),IF($Z914&lt;=5800,IF(INDEX(次果筐明细!$H$4:$H$603,$Z914-5200)=0,"",INDEX(次果筐明细!$H$4:$H$603,$Z914-5200)),"")))))</f>
        <v/>
      </c>
      <c r="S914" s="22" t="str">
        <f t="shared" si="44"/>
        <v/>
      </c>
      <c r="Z914" s="10" t="str">
        <f>IFERROR(MATCH(ROW()-3,_自动清单!$CQ$4:$CQ$5803,0),"")</f>
        <v/>
      </c>
    </row>
    <row r="915" spans="1:26">
      <c r="A915" s="24" t="str">
        <f t="shared" si="42"/>
        <v/>
      </c>
      <c r="B915" s="38" t="str">
        <f>IF($Z915="","",IF($Z915&lt;=2000,IF(INDEX(包装物料出入库明细!$B$4:$B$2003,$Z915-0)=0,"",INDEX(包装物料出入库明细!$B$4:$B$2003,$Z915-0)),IF($Z915&lt;=4000,IF(INDEX(周转筐出入库明细!$B$4:$B$2004,$Z915-2000)=0,"",INDEX(周转筐出入库明细!$B$4:$B$2004,$Z915-2000)),IF($Z915&lt;=5200,IF(INDEX(客户自备加工筐明细!$B$4:$B$1203,$Z915-4000)=0,"",INDEX(客户自备加工筐明细!$B$4:$B$1203,$Z915-4000)),IF($Z915&lt;=5800,IF(INDEX(次果筐明细!$B$4:$B$603,$Z915-5200)=0,"",INDEX(次果筐明细!$B$4:$B$603,$Z915-5200)),"")))))</f>
        <v/>
      </c>
      <c r="C915" s="37" t="str">
        <f>IF($Z915="","",IF($Z915&lt;=2000,IF(INDEX(包装物料出入库明细!$D$4:$D$2003,$Z915-0)=0,"",INDEX(包装物料出入库明细!$D$4:$D$2003,$Z915-0)),IF($Z915&lt;=4000,IF(INDEX(周转筐出入库明细!$C$4:$C$2004,$Z915-2000)=0,"",INDEX(周转筐出入库明细!$C$4:$C$2004,$Z915-2000)),IF($Z915&lt;=5200,IF(INDEX(客户自备加工筐明细!$E$4:$E$1203,$Z915-4000)=0,"",INDEX(客户自备加工筐明细!$E$4:$E$1203,$Z915-4000)),IF($Z915&lt;=5800,IF(INDEX(次果筐明细!$C$4:$C$603,$Z915-5200)=0,"",INDEX(次果筐明细!$C$4:$C$603,$Z915-5200)),"")))))</f>
        <v/>
      </c>
      <c r="D915" s="37" t="str">
        <f>IF($Z915="","",IF($Z915&lt;=2000,"包装物料－"&amp;INDEX(包装物料出入库明细!$H$4:$H$2003,$Z915-0),IF($Z915&lt;=4000,"周转筐－"&amp;INDEX(周转筐出入库明细!$F$4:$F$2004,$Z915-2000),IF($Z915&lt;=5200,"客户自备筐－"&amp;INDEX(客户自备加工筐明细!$J$4:$J$1203,$Z915-4000),IF($Z915&lt;=5800,"次果筐/托盘－"&amp;INDEX(次果筐明细!$F$4:$F$603,$Z915-5200),"")))))</f>
        <v/>
      </c>
      <c r="E915" s="24" t="str">
        <f>IF($Z915="","",IF($Z915&lt;=2000,IF(INDEX(包装物料出入库明细!$C$4:$C$2003,$Z915-0)=0,"",INDEX(包装物料出入库明细!$C$4:$C$2003,$Z915-0)),IF($Z915&lt;=4000,IF(INDEX(周转筐出入库明细!$E$4:$E$2004,$Z915-2000)=0,"",INDEX(周转筐出入库明细!$E$4:$E$2004,$Z915-2000)),IF($Z915&lt;=5200,IF(INDEX(客户自备加工筐明细!$D$4:$D$1203,$Z915-4000)=0,"",INDEX(客户自备加工筐明细!$D$4:$D$1203,$Z915-4000)),IF($Z915&lt;=5800,IF(INDEX(次果筐明细!$E$4:$E$603,$Z915-5200)=0,"",INDEX(次果筐明细!$E$4:$E$603,$Z915-5200)),"")))))</f>
        <v/>
      </c>
      <c r="F915" s="24" t="str">
        <f>IF($Z915="","",IF($Z915&lt;=2000,IF(INDEX(包装物料出入库明细!$E$4:$E$2003,$Z915-0)=0,"",INDEX(包装物料出入库明细!$E$4:$E$2003,$Z915-0)),IF($Z915&lt;=4000,IF(INDEX(周转筐出入库明细!$D$4:$D$2004,$Z915-2000)=0,"",INDEX(周转筐出入库明细!$D$4:$D$2004,$Z915-2000)),IF($Z915&lt;=5200,IF(INDEX(客户自备加工筐明细!$C$4:$C$1203,$Z915-4000)=0,"",INDEX(客户自备加工筐明细!$C$4:$C$1203,$Z915-4000)),IF($Z915&lt;=5800,IF(INDEX(次果筐明细!$D$4:$D$603,$Z915-5200)=0,"",INDEX(次果筐明细!$D$4:$D$603,$Z915-5200)),"")))))</f>
        <v/>
      </c>
      <c r="G915" s="24" t="str">
        <f>IF($Z915="","",IF($Z915&lt;=2000,IF(INDEX(包装物料出入库明细!$F$4:$F$2003,$Z915-0)=0,"",INDEX(包装物料出入库明细!$F$4:$F$2003,$Z915-0)),IF($Z915&lt;=4000,"",IF($Z915&lt;=5200,"",IF($Z915&lt;=5800,"","")))))</f>
        <v/>
      </c>
      <c r="H915" s="39" t="str">
        <f>IF($Z915="","",IF($Z915&lt;=2000,IF(INDEX(包装物料出入库明细!$L$4:$L$2003,$Z915-0)=0,"",INDEX(包装物料出入库明细!$L$4:$L$2003,$Z915-0)),IF($Z915&lt;=4000,N(INDEX(周转筐出入库明细!$H$4:$H$2004,$Z915-2000))+N(INDEX(周转筐出入库明细!$I$4:$I$2004,$Z915-2000))+N(INDEX(周转筐出入库明细!$J$4:$J$2004,$Z915-2000))+N(INDEX(周转筐出入库明细!$K$4:$K$2004,$Z915-2000)),IF($Z915&lt;=5200,N(INDEX(客户自备加工筐明细!$F$4:$F$1203,$Z915-4000))+N(INDEX(客户自备加工筐明细!$G$4:$G$1203,$Z915-4000)),IF($Z915&lt;=5800,IF(INDEX(次果筐明细!$G$4:$G$603,$Z915-5200)=0,"",INDEX(次果筐明细!$G$4:$G$603,$Z915-5200)),"")))))</f>
        <v/>
      </c>
      <c r="I915" s="24" t="str">
        <f>IF($Z915="","",IF($Z915&lt;=2000,IF(INDEX(包装物料出入库明细!$G$4:$G$2003,$Z915-0)=0,"",INDEX(包装物料出入库明细!$G$4:$G$2003,$Z915-0)),IF($Z915&lt;=4000,"个",IF($Z915&lt;=5200,"个",IF($Z915&lt;=5800,"个","")))))</f>
        <v/>
      </c>
      <c r="J915" s="30" t="str">
        <f t="shared" si="43"/>
        <v/>
      </c>
      <c r="K915" s="30" t="str">
        <f>IF($Z915="","",IF($Z915&lt;=2000,IF(INDEX(包装物料出入库明细!$N$4:$N$2003,$Z915-0)=0,"",INDEX(包装物料出入库明细!$N$4:$N$2003,$Z915-0)),IF($Z915&lt;=4000,IF(INDEX(周转筐出入库明细!$P$4:$P$2004,$Z915-2000)=0,"",INDEX(周转筐出入库明细!$P$4:$P$2004,$Z915-2000)),IF($Z915&lt;=5200,"",IF($Z915&lt;=5800,N(INDEX(次果筐明细!$L$4:$L$603,$Z915-5200))+N(INDEX(次果筐明细!$J$4:$J$603,$Z915-5200)),"")))))</f>
        <v/>
      </c>
      <c r="L915" s="24" t="str">
        <f>IF($Z915="","",IF($Z915&lt;=2000,IF(INDEX(包装物料出入库明细!$P$4:$P$2003,$Z915-0)=0,"",INDEX(包装物料出入库明细!$P$4:$P$2003,$Z915-0)),IF($Z915&lt;=4000,IF(INDEX(周转筐出入库明细!$Q$4:$Q$2004,$Z915-2000)=0,"",INDEX(周转筐出入库明细!$Q$4:$Q$2004,$Z915-2000)),IF($Z915&lt;=5200,"",IF($Z915&lt;=5800,IF(INDEX(次果筐明细!$M$4:$M$603,$Z915-5200)=0,"",INDEX(次果筐明细!$M$4:$M$603,$Z915-5200)),"")))))</f>
        <v/>
      </c>
      <c r="M915" s="37" t="str">
        <f>IF($Z915="","",IF($Z915&lt;=2000,IF(INDEX(包装物料出入库明细!$R$4:$R$2003,$Z915-0)=0,"",INDEX(包装物料出入库明细!$R$4:$R$2003,$Z915-0)),IF($Z915&lt;=4000,IF(INDEX(周转筐出入库明细!$W$4:$W$2004,$Z915-2000)=0,"",INDEX(周转筐出入库明细!$W$4:$W$2004,$Z915-2000)),IF($Z915&lt;=5200,IF(INDEX(客户自备加工筐明细!$L$4:$L$1203,$Z915-4000)=0,"",INDEX(客户自备加工筐明细!$L$4:$L$1203,$Z915-4000)),IF($Z915&lt;=5800,IF(INDEX(次果筐明细!$P$4:$P$603,$Z915-5200)=0,"",INDEX(次果筐明细!$P$4:$P$603,$Z915-5200)),"")))))</f>
        <v/>
      </c>
      <c r="N915" s="16" t="str">
        <f>IF($Z915="","",IF($Z915&lt;=2000,"",IF($Z915&lt;=4000,IF(INDEX(周转筐出入库明细!$D$4:$D$2004,$Z915-2000)=0,"",INDEX(周转筐出入库明细!$D$4:$D$2004,$Z915-2000)),IF($Z915&lt;=5200,IF(INDEX(客户自备加工筐明细!$C$4:$C$1203,$Z915-4000)=0,"",INDEX(客户自备加工筐明细!$C$4:$C$1203,$Z915-4000)),IF($Z915&lt;=5800,IF(INDEX(次果筐明细!$D$4:$D$603,$Z915-5200)=0,"",INDEX(次果筐明细!$D$4:$D$603,$Z915-5200)),"")))))</f>
        <v/>
      </c>
      <c r="O915" s="40" t="str">
        <f>IF($Z915="","",IF($Z915&lt;=2000,"",IF($Z915&lt;=4000,IF(N(INDEX(周转筐出入库明细!$J$4:$J$2004,$Z915-2000))+N(INDEX(周转筐出入库明细!$K$4:$K$2004,$Z915-2000))=0,"",N(INDEX(周转筐出入库明细!$J$4:$J$2004,$Z915-2000))+N(INDEX(周转筐出入库明细!$K$4:$K$2004,$Z915-2000))),IF($Z915&lt;=5200,IF(N(INDEX(客户自备加工筐明细!$G$4:$G$1203,$Z915-4000))=0,"",N(INDEX(客户自备加工筐明细!$G$4:$G$1203,$Z915-4000))),IF($Z915&lt;=5800,IF(ISNUMBER(SEARCH("退",INDEX(次果筐明细!$F$4:$F$603,$Z915-5200)&amp;"")),"",IF(N(INDEX(次果筐明细!$G$4:$G$603,$Z915-5200))=0,"",N(INDEX(次果筐明细!$G$4:$G$603,$Z915-5200)))),"")))))</f>
        <v/>
      </c>
      <c r="P915" s="40" t="str">
        <f>IF($Z915="","",IF($Z915&lt;=2000,"",IF($Z915&lt;=4000,IF(N(INDEX(周转筐出入库明细!$I$4:$I$2004,$Z915-2000))=0,"",N(INDEX(周转筐出入库明细!$I$4:$I$2004,$Z915-2000))),IF($Z915&lt;=5200,"",IF($Z915&lt;=5800,IF(ISNUMBER(SEARCH("退",INDEX(次果筐明细!$F$4:$F$603,$Z915-5200)&amp;"")),IF(N(INDEX(次果筐明细!$G$4:$G$603,$Z915-5200))=0,"",N(INDEX(次果筐明细!$G$4:$G$603,$Z915-5200))),""),"")))))</f>
        <v/>
      </c>
      <c r="Q915" s="40" t="str">
        <f>IF($Z915="","",IF($Z915&lt;=2000,"",IF($Z915&lt;=4000,IF(N(INDEX(周转筐出入库明细!$H$4:$H$2004,$Z915-2000))=0,"",N(INDEX(周转筐出入库明细!$H$4:$H$2004,$Z915-2000))),IF($Z915&lt;=5200,IF(N(INDEX(客户自备加工筐明细!$F$4:$F$1203,$Z915-4000))=0,"",N(INDEX(客户自备加工筐明细!$F$4:$F$1203,$Z915-4000))),IF($Z915&lt;=5800,"","")))))</f>
        <v/>
      </c>
      <c r="R915" s="16" t="str">
        <f>IF($Z915="","",IF($Z915&lt;=2000,IF(INDEX(包装物料出入库明细!$O$4:$O$2003,$Z915-0)=0,"",INDEX(包装物料出入库明细!$O$4:$O$2003,$Z915-0)),IF($Z915&lt;=4000,IF(INDEX(周转筐出入库明细!$M$4:$M$2004,$Z915-2000)=0,"",INDEX(周转筐出入库明细!$M$4:$M$2004,$Z915-2000)),IF($Z915&lt;=5200,IF(INDEX(客户自备加工筐明细!$H$4:$H$1203,$Z915-4000)=0,"",INDEX(客户自备加工筐明细!$H$4:$H$1203,$Z915-4000)),IF($Z915&lt;=5800,IF(INDEX(次果筐明细!$H$4:$H$603,$Z915-5200)=0,"",INDEX(次果筐明细!$H$4:$H$603,$Z915-5200)),"")))))</f>
        <v/>
      </c>
      <c r="S915" s="22" t="str">
        <f t="shared" si="44"/>
        <v/>
      </c>
      <c r="Z915" s="10" t="str">
        <f>IFERROR(MATCH(ROW()-3,_自动清单!$CQ$4:$CQ$5803,0),"")</f>
        <v/>
      </c>
    </row>
    <row r="916" spans="1:26">
      <c r="A916" s="24" t="str">
        <f t="shared" si="42"/>
        <v/>
      </c>
      <c r="B916" s="38" t="str">
        <f>IF($Z916="","",IF($Z916&lt;=2000,IF(INDEX(包装物料出入库明细!$B$4:$B$2003,$Z916-0)=0,"",INDEX(包装物料出入库明细!$B$4:$B$2003,$Z916-0)),IF($Z916&lt;=4000,IF(INDEX(周转筐出入库明细!$B$4:$B$2004,$Z916-2000)=0,"",INDEX(周转筐出入库明细!$B$4:$B$2004,$Z916-2000)),IF($Z916&lt;=5200,IF(INDEX(客户自备加工筐明细!$B$4:$B$1203,$Z916-4000)=0,"",INDEX(客户自备加工筐明细!$B$4:$B$1203,$Z916-4000)),IF($Z916&lt;=5800,IF(INDEX(次果筐明细!$B$4:$B$603,$Z916-5200)=0,"",INDEX(次果筐明细!$B$4:$B$603,$Z916-5200)),"")))))</f>
        <v/>
      </c>
      <c r="C916" s="37" t="str">
        <f>IF($Z916="","",IF($Z916&lt;=2000,IF(INDEX(包装物料出入库明细!$D$4:$D$2003,$Z916-0)=0,"",INDEX(包装物料出入库明细!$D$4:$D$2003,$Z916-0)),IF($Z916&lt;=4000,IF(INDEX(周转筐出入库明细!$C$4:$C$2004,$Z916-2000)=0,"",INDEX(周转筐出入库明细!$C$4:$C$2004,$Z916-2000)),IF($Z916&lt;=5200,IF(INDEX(客户自备加工筐明细!$E$4:$E$1203,$Z916-4000)=0,"",INDEX(客户自备加工筐明细!$E$4:$E$1203,$Z916-4000)),IF($Z916&lt;=5800,IF(INDEX(次果筐明细!$C$4:$C$603,$Z916-5200)=0,"",INDEX(次果筐明细!$C$4:$C$603,$Z916-5200)),"")))))</f>
        <v/>
      </c>
      <c r="D916" s="37" t="str">
        <f>IF($Z916="","",IF($Z916&lt;=2000,"包装物料－"&amp;INDEX(包装物料出入库明细!$H$4:$H$2003,$Z916-0),IF($Z916&lt;=4000,"周转筐－"&amp;INDEX(周转筐出入库明细!$F$4:$F$2004,$Z916-2000),IF($Z916&lt;=5200,"客户自备筐－"&amp;INDEX(客户自备加工筐明细!$J$4:$J$1203,$Z916-4000),IF($Z916&lt;=5800,"次果筐/托盘－"&amp;INDEX(次果筐明细!$F$4:$F$603,$Z916-5200),"")))))</f>
        <v/>
      </c>
      <c r="E916" s="24" t="str">
        <f>IF($Z916="","",IF($Z916&lt;=2000,IF(INDEX(包装物料出入库明细!$C$4:$C$2003,$Z916-0)=0,"",INDEX(包装物料出入库明细!$C$4:$C$2003,$Z916-0)),IF($Z916&lt;=4000,IF(INDEX(周转筐出入库明细!$E$4:$E$2004,$Z916-2000)=0,"",INDEX(周转筐出入库明细!$E$4:$E$2004,$Z916-2000)),IF($Z916&lt;=5200,IF(INDEX(客户自备加工筐明细!$D$4:$D$1203,$Z916-4000)=0,"",INDEX(客户自备加工筐明细!$D$4:$D$1203,$Z916-4000)),IF($Z916&lt;=5800,IF(INDEX(次果筐明细!$E$4:$E$603,$Z916-5200)=0,"",INDEX(次果筐明细!$E$4:$E$603,$Z916-5200)),"")))))</f>
        <v/>
      </c>
      <c r="F916" s="24" t="str">
        <f>IF($Z916="","",IF($Z916&lt;=2000,IF(INDEX(包装物料出入库明细!$E$4:$E$2003,$Z916-0)=0,"",INDEX(包装物料出入库明细!$E$4:$E$2003,$Z916-0)),IF($Z916&lt;=4000,IF(INDEX(周转筐出入库明细!$D$4:$D$2004,$Z916-2000)=0,"",INDEX(周转筐出入库明细!$D$4:$D$2004,$Z916-2000)),IF($Z916&lt;=5200,IF(INDEX(客户自备加工筐明细!$C$4:$C$1203,$Z916-4000)=0,"",INDEX(客户自备加工筐明细!$C$4:$C$1203,$Z916-4000)),IF($Z916&lt;=5800,IF(INDEX(次果筐明细!$D$4:$D$603,$Z916-5200)=0,"",INDEX(次果筐明细!$D$4:$D$603,$Z916-5200)),"")))))</f>
        <v/>
      </c>
      <c r="G916" s="24" t="str">
        <f>IF($Z916="","",IF($Z916&lt;=2000,IF(INDEX(包装物料出入库明细!$F$4:$F$2003,$Z916-0)=0,"",INDEX(包装物料出入库明细!$F$4:$F$2003,$Z916-0)),IF($Z916&lt;=4000,"",IF($Z916&lt;=5200,"",IF($Z916&lt;=5800,"","")))))</f>
        <v/>
      </c>
      <c r="H916" s="39" t="str">
        <f>IF($Z916="","",IF($Z916&lt;=2000,IF(INDEX(包装物料出入库明细!$L$4:$L$2003,$Z916-0)=0,"",INDEX(包装物料出入库明细!$L$4:$L$2003,$Z916-0)),IF($Z916&lt;=4000,N(INDEX(周转筐出入库明细!$H$4:$H$2004,$Z916-2000))+N(INDEX(周转筐出入库明细!$I$4:$I$2004,$Z916-2000))+N(INDEX(周转筐出入库明细!$J$4:$J$2004,$Z916-2000))+N(INDEX(周转筐出入库明细!$K$4:$K$2004,$Z916-2000)),IF($Z916&lt;=5200,N(INDEX(客户自备加工筐明细!$F$4:$F$1203,$Z916-4000))+N(INDEX(客户自备加工筐明细!$G$4:$G$1203,$Z916-4000)),IF($Z916&lt;=5800,IF(INDEX(次果筐明细!$G$4:$G$603,$Z916-5200)=0,"",INDEX(次果筐明细!$G$4:$G$603,$Z916-5200)),"")))))</f>
        <v/>
      </c>
      <c r="I916" s="24" t="str">
        <f>IF($Z916="","",IF($Z916&lt;=2000,IF(INDEX(包装物料出入库明细!$G$4:$G$2003,$Z916-0)=0,"",INDEX(包装物料出入库明细!$G$4:$G$2003,$Z916-0)),IF($Z916&lt;=4000,"个",IF($Z916&lt;=5200,"个",IF($Z916&lt;=5800,"个","")))))</f>
        <v/>
      </c>
      <c r="J916" s="30" t="str">
        <f t="shared" si="43"/>
        <v/>
      </c>
      <c r="K916" s="30" t="str">
        <f>IF($Z916="","",IF($Z916&lt;=2000,IF(INDEX(包装物料出入库明细!$N$4:$N$2003,$Z916-0)=0,"",INDEX(包装物料出入库明细!$N$4:$N$2003,$Z916-0)),IF($Z916&lt;=4000,IF(INDEX(周转筐出入库明细!$P$4:$P$2004,$Z916-2000)=0,"",INDEX(周转筐出入库明细!$P$4:$P$2004,$Z916-2000)),IF($Z916&lt;=5200,"",IF($Z916&lt;=5800,N(INDEX(次果筐明细!$L$4:$L$603,$Z916-5200))+N(INDEX(次果筐明细!$J$4:$J$603,$Z916-5200)),"")))))</f>
        <v/>
      </c>
      <c r="L916" s="24" t="str">
        <f>IF($Z916="","",IF($Z916&lt;=2000,IF(INDEX(包装物料出入库明细!$P$4:$P$2003,$Z916-0)=0,"",INDEX(包装物料出入库明细!$P$4:$P$2003,$Z916-0)),IF($Z916&lt;=4000,IF(INDEX(周转筐出入库明细!$Q$4:$Q$2004,$Z916-2000)=0,"",INDEX(周转筐出入库明细!$Q$4:$Q$2004,$Z916-2000)),IF($Z916&lt;=5200,"",IF($Z916&lt;=5800,IF(INDEX(次果筐明细!$M$4:$M$603,$Z916-5200)=0,"",INDEX(次果筐明细!$M$4:$M$603,$Z916-5200)),"")))))</f>
        <v/>
      </c>
      <c r="M916" s="37" t="str">
        <f>IF($Z916="","",IF($Z916&lt;=2000,IF(INDEX(包装物料出入库明细!$R$4:$R$2003,$Z916-0)=0,"",INDEX(包装物料出入库明细!$R$4:$R$2003,$Z916-0)),IF($Z916&lt;=4000,IF(INDEX(周转筐出入库明细!$W$4:$W$2004,$Z916-2000)=0,"",INDEX(周转筐出入库明细!$W$4:$W$2004,$Z916-2000)),IF($Z916&lt;=5200,IF(INDEX(客户自备加工筐明细!$L$4:$L$1203,$Z916-4000)=0,"",INDEX(客户自备加工筐明细!$L$4:$L$1203,$Z916-4000)),IF($Z916&lt;=5800,IF(INDEX(次果筐明细!$P$4:$P$603,$Z916-5200)=0,"",INDEX(次果筐明细!$P$4:$P$603,$Z916-5200)),"")))))</f>
        <v/>
      </c>
      <c r="N916" s="16" t="str">
        <f>IF($Z916="","",IF($Z916&lt;=2000,"",IF($Z916&lt;=4000,IF(INDEX(周转筐出入库明细!$D$4:$D$2004,$Z916-2000)=0,"",INDEX(周转筐出入库明细!$D$4:$D$2004,$Z916-2000)),IF($Z916&lt;=5200,IF(INDEX(客户自备加工筐明细!$C$4:$C$1203,$Z916-4000)=0,"",INDEX(客户自备加工筐明细!$C$4:$C$1203,$Z916-4000)),IF($Z916&lt;=5800,IF(INDEX(次果筐明细!$D$4:$D$603,$Z916-5200)=0,"",INDEX(次果筐明细!$D$4:$D$603,$Z916-5200)),"")))))</f>
        <v/>
      </c>
      <c r="O916" s="40" t="str">
        <f>IF($Z916="","",IF($Z916&lt;=2000,"",IF($Z916&lt;=4000,IF(N(INDEX(周转筐出入库明细!$J$4:$J$2004,$Z916-2000))+N(INDEX(周转筐出入库明细!$K$4:$K$2004,$Z916-2000))=0,"",N(INDEX(周转筐出入库明细!$J$4:$J$2004,$Z916-2000))+N(INDEX(周转筐出入库明细!$K$4:$K$2004,$Z916-2000))),IF($Z916&lt;=5200,IF(N(INDEX(客户自备加工筐明细!$G$4:$G$1203,$Z916-4000))=0,"",N(INDEX(客户自备加工筐明细!$G$4:$G$1203,$Z916-4000))),IF($Z916&lt;=5800,IF(ISNUMBER(SEARCH("退",INDEX(次果筐明细!$F$4:$F$603,$Z916-5200)&amp;"")),"",IF(N(INDEX(次果筐明细!$G$4:$G$603,$Z916-5200))=0,"",N(INDEX(次果筐明细!$G$4:$G$603,$Z916-5200)))),"")))))</f>
        <v/>
      </c>
      <c r="P916" s="40" t="str">
        <f>IF($Z916="","",IF($Z916&lt;=2000,"",IF($Z916&lt;=4000,IF(N(INDEX(周转筐出入库明细!$I$4:$I$2004,$Z916-2000))=0,"",N(INDEX(周转筐出入库明细!$I$4:$I$2004,$Z916-2000))),IF($Z916&lt;=5200,"",IF($Z916&lt;=5800,IF(ISNUMBER(SEARCH("退",INDEX(次果筐明细!$F$4:$F$603,$Z916-5200)&amp;"")),IF(N(INDEX(次果筐明细!$G$4:$G$603,$Z916-5200))=0,"",N(INDEX(次果筐明细!$G$4:$G$603,$Z916-5200))),""),"")))))</f>
        <v/>
      </c>
      <c r="Q916" s="40" t="str">
        <f>IF($Z916="","",IF($Z916&lt;=2000,"",IF($Z916&lt;=4000,IF(N(INDEX(周转筐出入库明细!$H$4:$H$2004,$Z916-2000))=0,"",N(INDEX(周转筐出入库明细!$H$4:$H$2004,$Z916-2000))),IF($Z916&lt;=5200,IF(N(INDEX(客户自备加工筐明细!$F$4:$F$1203,$Z916-4000))=0,"",N(INDEX(客户自备加工筐明细!$F$4:$F$1203,$Z916-4000))),IF($Z916&lt;=5800,"","")))))</f>
        <v/>
      </c>
      <c r="R916" s="16" t="str">
        <f>IF($Z916="","",IF($Z916&lt;=2000,IF(INDEX(包装物料出入库明细!$O$4:$O$2003,$Z916-0)=0,"",INDEX(包装物料出入库明细!$O$4:$O$2003,$Z916-0)),IF($Z916&lt;=4000,IF(INDEX(周转筐出入库明细!$M$4:$M$2004,$Z916-2000)=0,"",INDEX(周转筐出入库明细!$M$4:$M$2004,$Z916-2000)),IF($Z916&lt;=5200,IF(INDEX(客户自备加工筐明细!$H$4:$H$1203,$Z916-4000)=0,"",INDEX(客户自备加工筐明细!$H$4:$H$1203,$Z916-4000)),IF($Z916&lt;=5800,IF(INDEX(次果筐明细!$H$4:$H$603,$Z916-5200)=0,"",INDEX(次果筐明细!$H$4:$H$603,$Z916-5200)),"")))))</f>
        <v/>
      </c>
      <c r="S916" s="22" t="str">
        <f t="shared" si="44"/>
        <v/>
      </c>
      <c r="Z916" s="10" t="str">
        <f>IFERROR(MATCH(ROW()-3,_自动清单!$CQ$4:$CQ$5803,0),"")</f>
        <v/>
      </c>
    </row>
    <row r="917" spans="1:26">
      <c r="A917" s="24" t="str">
        <f t="shared" si="42"/>
        <v/>
      </c>
      <c r="B917" s="38" t="str">
        <f>IF($Z917="","",IF($Z917&lt;=2000,IF(INDEX(包装物料出入库明细!$B$4:$B$2003,$Z917-0)=0,"",INDEX(包装物料出入库明细!$B$4:$B$2003,$Z917-0)),IF($Z917&lt;=4000,IF(INDEX(周转筐出入库明细!$B$4:$B$2004,$Z917-2000)=0,"",INDEX(周转筐出入库明细!$B$4:$B$2004,$Z917-2000)),IF($Z917&lt;=5200,IF(INDEX(客户自备加工筐明细!$B$4:$B$1203,$Z917-4000)=0,"",INDEX(客户自备加工筐明细!$B$4:$B$1203,$Z917-4000)),IF($Z917&lt;=5800,IF(INDEX(次果筐明细!$B$4:$B$603,$Z917-5200)=0,"",INDEX(次果筐明细!$B$4:$B$603,$Z917-5200)),"")))))</f>
        <v/>
      </c>
      <c r="C917" s="37" t="str">
        <f>IF($Z917="","",IF($Z917&lt;=2000,IF(INDEX(包装物料出入库明细!$D$4:$D$2003,$Z917-0)=0,"",INDEX(包装物料出入库明细!$D$4:$D$2003,$Z917-0)),IF($Z917&lt;=4000,IF(INDEX(周转筐出入库明细!$C$4:$C$2004,$Z917-2000)=0,"",INDEX(周转筐出入库明细!$C$4:$C$2004,$Z917-2000)),IF($Z917&lt;=5200,IF(INDEX(客户自备加工筐明细!$E$4:$E$1203,$Z917-4000)=0,"",INDEX(客户自备加工筐明细!$E$4:$E$1203,$Z917-4000)),IF($Z917&lt;=5800,IF(INDEX(次果筐明细!$C$4:$C$603,$Z917-5200)=0,"",INDEX(次果筐明细!$C$4:$C$603,$Z917-5200)),"")))))</f>
        <v/>
      </c>
      <c r="D917" s="37" t="str">
        <f>IF($Z917="","",IF($Z917&lt;=2000,"包装物料－"&amp;INDEX(包装物料出入库明细!$H$4:$H$2003,$Z917-0),IF($Z917&lt;=4000,"周转筐－"&amp;INDEX(周转筐出入库明细!$F$4:$F$2004,$Z917-2000),IF($Z917&lt;=5200,"客户自备筐－"&amp;INDEX(客户自备加工筐明细!$J$4:$J$1203,$Z917-4000),IF($Z917&lt;=5800,"次果筐/托盘－"&amp;INDEX(次果筐明细!$F$4:$F$603,$Z917-5200),"")))))</f>
        <v/>
      </c>
      <c r="E917" s="24" t="str">
        <f>IF($Z917="","",IF($Z917&lt;=2000,IF(INDEX(包装物料出入库明细!$C$4:$C$2003,$Z917-0)=0,"",INDEX(包装物料出入库明细!$C$4:$C$2003,$Z917-0)),IF($Z917&lt;=4000,IF(INDEX(周转筐出入库明细!$E$4:$E$2004,$Z917-2000)=0,"",INDEX(周转筐出入库明细!$E$4:$E$2004,$Z917-2000)),IF($Z917&lt;=5200,IF(INDEX(客户自备加工筐明细!$D$4:$D$1203,$Z917-4000)=0,"",INDEX(客户自备加工筐明细!$D$4:$D$1203,$Z917-4000)),IF($Z917&lt;=5800,IF(INDEX(次果筐明细!$E$4:$E$603,$Z917-5200)=0,"",INDEX(次果筐明细!$E$4:$E$603,$Z917-5200)),"")))))</f>
        <v/>
      </c>
      <c r="F917" s="24" t="str">
        <f>IF($Z917="","",IF($Z917&lt;=2000,IF(INDEX(包装物料出入库明细!$E$4:$E$2003,$Z917-0)=0,"",INDEX(包装物料出入库明细!$E$4:$E$2003,$Z917-0)),IF($Z917&lt;=4000,IF(INDEX(周转筐出入库明细!$D$4:$D$2004,$Z917-2000)=0,"",INDEX(周转筐出入库明细!$D$4:$D$2004,$Z917-2000)),IF($Z917&lt;=5200,IF(INDEX(客户自备加工筐明细!$C$4:$C$1203,$Z917-4000)=0,"",INDEX(客户自备加工筐明细!$C$4:$C$1203,$Z917-4000)),IF($Z917&lt;=5800,IF(INDEX(次果筐明细!$D$4:$D$603,$Z917-5200)=0,"",INDEX(次果筐明细!$D$4:$D$603,$Z917-5200)),"")))))</f>
        <v/>
      </c>
      <c r="G917" s="24" t="str">
        <f>IF($Z917="","",IF($Z917&lt;=2000,IF(INDEX(包装物料出入库明细!$F$4:$F$2003,$Z917-0)=0,"",INDEX(包装物料出入库明细!$F$4:$F$2003,$Z917-0)),IF($Z917&lt;=4000,"",IF($Z917&lt;=5200,"",IF($Z917&lt;=5800,"","")))))</f>
        <v/>
      </c>
      <c r="H917" s="39" t="str">
        <f>IF($Z917="","",IF($Z917&lt;=2000,IF(INDEX(包装物料出入库明细!$L$4:$L$2003,$Z917-0)=0,"",INDEX(包装物料出入库明细!$L$4:$L$2003,$Z917-0)),IF($Z917&lt;=4000,N(INDEX(周转筐出入库明细!$H$4:$H$2004,$Z917-2000))+N(INDEX(周转筐出入库明细!$I$4:$I$2004,$Z917-2000))+N(INDEX(周转筐出入库明细!$J$4:$J$2004,$Z917-2000))+N(INDEX(周转筐出入库明细!$K$4:$K$2004,$Z917-2000)),IF($Z917&lt;=5200,N(INDEX(客户自备加工筐明细!$F$4:$F$1203,$Z917-4000))+N(INDEX(客户自备加工筐明细!$G$4:$G$1203,$Z917-4000)),IF($Z917&lt;=5800,IF(INDEX(次果筐明细!$G$4:$G$603,$Z917-5200)=0,"",INDEX(次果筐明细!$G$4:$G$603,$Z917-5200)),"")))))</f>
        <v/>
      </c>
      <c r="I917" s="24" t="str">
        <f>IF($Z917="","",IF($Z917&lt;=2000,IF(INDEX(包装物料出入库明细!$G$4:$G$2003,$Z917-0)=0,"",INDEX(包装物料出入库明细!$G$4:$G$2003,$Z917-0)),IF($Z917&lt;=4000,"个",IF($Z917&lt;=5200,"个",IF($Z917&lt;=5800,"个","")))))</f>
        <v/>
      </c>
      <c r="J917" s="30" t="str">
        <f t="shared" si="43"/>
        <v/>
      </c>
      <c r="K917" s="30" t="str">
        <f>IF($Z917="","",IF($Z917&lt;=2000,IF(INDEX(包装物料出入库明细!$N$4:$N$2003,$Z917-0)=0,"",INDEX(包装物料出入库明细!$N$4:$N$2003,$Z917-0)),IF($Z917&lt;=4000,IF(INDEX(周转筐出入库明细!$P$4:$P$2004,$Z917-2000)=0,"",INDEX(周转筐出入库明细!$P$4:$P$2004,$Z917-2000)),IF($Z917&lt;=5200,"",IF($Z917&lt;=5800,N(INDEX(次果筐明细!$L$4:$L$603,$Z917-5200))+N(INDEX(次果筐明细!$J$4:$J$603,$Z917-5200)),"")))))</f>
        <v/>
      </c>
      <c r="L917" s="24" t="str">
        <f>IF($Z917="","",IF($Z917&lt;=2000,IF(INDEX(包装物料出入库明细!$P$4:$P$2003,$Z917-0)=0,"",INDEX(包装物料出入库明细!$P$4:$P$2003,$Z917-0)),IF($Z917&lt;=4000,IF(INDEX(周转筐出入库明细!$Q$4:$Q$2004,$Z917-2000)=0,"",INDEX(周转筐出入库明细!$Q$4:$Q$2004,$Z917-2000)),IF($Z917&lt;=5200,"",IF($Z917&lt;=5800,IF(INDEX(次果筐明细!$M$4:$M$603,$Z917-5200)=0,"",INDEX(次果筐明细!$M$4:$M$603,$Z917-5200)),"")))))</f>
        <v/>
      </c>
      <c r="M917" s="37" t="str">
        <f>IF($Z917="","",IF($Z917&lt;=2000,IF(INDEX(包装物料出入库明细!$R$4:$R$2003,$Z917-0)=0,"",INDEX(包装物料出入库明细!$R$4:$R$2003,$Z917-0)),IF($Z917&lt;=4000,IF(INDEX(周转筐出入库明细!$W$4:$W$2004,$Z917-2000)=0,"",INDEX(周转筐出入库明细!$W$4:$W$2004,$Z917-2000)),IF($Z917&lt;=5200,IF(INDEX(客户自备加工筐明细!$L$4:$L$1203,$Z917-4000)=0,"",INDEX(客户自备加工筐明细!$L$4:$L$1203,$Z917-4000)),IF($Z917&lt;=5800,IF(INDEX(次果筐明细!$P$4:$P$603,$Z917-5200)=0,"",INDEX(次果筐明细!$P$4:$P$603,$Z917-5200)),"")))))</f>
        <v/>
      </c>
      <c r="N917" s="16" t="str">
        <f>IF($Z917="","",IF($Z917&lt;=2000,"",IF($Z917&lt;=4000,IF(INDEX(周转筐出入库明细!$D$4:$D$2004,$Z917-2000)=0,"",INDEX(周转筐出入库明细!$D$4:$D$2004,$Z917-2000)),IF($Z917&lt;=5200,IF(INDEX(客户自备加工筐明细!$C$4:$C$1203,$Z917-4000)=0,"",INDEX(客户自备加工筐明细!$C$4:$C$1203,$Z917-4000)),IF($Z917&lt;=5800,IF(INDEX(次果筐明细!$D$4:$D$603,$Z917-5200)=0,"",INDEX(次果筐明细!$D$4:$D$603,$Z917-5200)),"")))))</f>
        <v/>
      </c>
      <c r="O917" s="40" t="str">
        <f>IF($Z917="","",IF($Z917&lt;=2000,"",IF($Z917&lt;=4000,IF(N(INDEX(周转筐出入库明细!$J$4:$J$2004,$Z917-2000))+N(INDEX(周转筐出入库明细!$K$4:$K$2004,$Z917-2000))=0,"",N(INDEX(周转筐出入库明细!$J$4:$J$2004,$Z917-2000))+N(INDEX(周转筐出入库明细!$K$4:$K$2004,$Z917-2000))),IF($Z917&lt;=5200,IF(N(INDEX(客户自备加工筐明细!$G$4:$G$1203,$Z917-4000))=0,"",N(INDEX(客户自备加工筐明细!$G$4:$G$1203,$Z917-4000))),IF($Z917&lt;=5800,IF(ISNUMBER(SEARCH("退",INDEX(次果筐明细!$F$4:$F$603,$Z917-5200)&amp;"")),"",IF(N(INDEX(次果筐明细!$G$4:$G$603,$Z917-5200))=0,"",N(INDEX(次果筐明细!$G$4:$G$603,$Z917-5200)))),"")))))</f>
        <v/>
      </c>
      <c r="P917" s="40" t="str">
        <f>IF($Z917="","",IF($Z917&lt;=2000,"",IF($Z917&lt;=4000,IF(N(INDEX(周转筐出入库明细!$I$4:$I$2004,$Z917-2000))=0,"",N(INDEX(周转筐出入库明细!$I$4:$I$2004,$Z917-2000))),IF($Z917&lt;=5200,"",IF($Z917&lt;=5800,IF(ISNUMBER(SEARCH("退",INDEX(次果筐明细!$F$4:$F$603,$Z917-5200)&amp;"")),IF(N(INDEX(次果筐明细!$G$4:$G$603,$Z917-5200))=0,"",N(INDEX(次果筐明细!$G$4:$G$603,$Z917-5200))),""),"")))))</f>
        <v/>
      </c>
      <c r="Q917" s="40" t="str">
        <f>IF($Z917="","",IF($Z917&lt;=2000,"",IF($Z917&lt;=4000,IF(N(INDEX(周转筐出入库明细!$H$4:$H$2004,$Z917-2000))=0,"",N(INDEX(周转筐出入库明细!$H$4:$H$2004,$Z917-2000))),IF($Z917&lt;=5200,IF(N(INDEX(客户自备加工筐明细!$F$4:$F$1203,$Z917-4000))=0,"",N(INDEX(客户自备加工筐明细!$F$4:$F$1203,$Z917-4000))),IF($Z917&lt;=5800,"","")))))</f>
        <v/>
      </c>
      <c r="R917" s="16" t="str">
        <f>IF($Z917="","",IF($Z917&lt;=2000,IF(INDEX(包装物料出入库明细!$O$4:$O$2003,$Z917-0)=0,"",INDEX(包装物料出入库明细!$O$4:$O$2003,$Z917-0)),IF($Z917&lt;=4000,IF(INDEX(周转筐出入库明细!$M$4:$M$2004,$Z917-2000)=0,"",INDEX(周转筐出入库明细!$M$4:$M$2004,$Z917-2000)),IF($Z917&lt;=5200,IF(INDEX(客户自备加工筐明细!$H$4:$H$1203,$Z917-4000)=0,"",INDEX(客户自备加工筐明细!$H$4:$H$1203,$Z917-4000)),IF($Z917&lt;=5800,IF(INDEX(次果筐明细!$H$4:$H$603,$Z917-5200)=0,"",INDEX(次果筐明细!$H$4:$H$603,$Z917-5200)),"")))))</f>
        <v/>
      </c>
      <c r="S917" s="22" t="str">
        <f t="shared" si="44"/>
        <v/>
      </c>
      <c r="Z917" s="10" t="str">
        <f>IFERROR(MATCH(ROW()-3,_自动清单!$CQ$4:$CQ$5803,0),"")</f>
        <v/>
      </c>
    </row>
    <row r="918" spans="1:26">
      <c r="A918" s="24" t="str">
        <f t="shared" si="42"/>
        <v/>
      </c>
      <c r="B918" s="38" t="str">
        <f>IF($Z918="","",IF($Z918&lt;=2000,IF(INDEX(包装物料出入库明细!$B$4:$B$2003,$Z918-0)=0,"",INDEX(包装物料出入库明细!$B$4:$B$2003,$Z918-0)),IF($Z918&lt;=4000,IF(INDEX(周转筐出入库明细!$B$4:$B$2004,$Z918-2000)=0,"",INDEX(周转筐出入库明细!$B$4:$B$2004,$Z918-2000)),IF($Z918&lt;=5200,IF(INDEX(客户自备加工筐明细!$B$4:$B$1203,$Z918-4000)=0,"",INDEX(客户自备加工筐明细!$B$4:$B$1203,$Z918-4000)),IF($Z918&lt;=5800,IF(INDEX(次果筐明细!$B$4:$B$603,$Z918-5200)=0,"",INDEX(次果筐明细!$B$4:$B$603,$Z918-5200)),"")))))</f>
        <v/>
      </c>
      <c r="C918" s="37" t="str">
        <f>IF($Z918="","",IF($Z918&lt;=2000,IF(INDEX(包装物料出入库明细!$D$4:$D$2003,$Z918-0)=0,"",INDEX(包装物料出入库明细!$D$4:$D$2003,$Z918-0)),IF($Z918&lt;=4000,IF(INDEX(周转筐出入库明细!$C$4:$C$2004,$Z918-2000)=0,"",INDEX(周转筐出入库明细!$C$4:$C$2004,$Z918-2000)),IF($Z918&lt;=5200,IF(INDEX(客户自备加工筐明细!$E$4:$E$1203,$Z918-4000)=0,"",INDEX(客户自备加工筐明细!$E$4:$E$1203,$Z918-4000)),IF($Z918&lt;=5800,IF(INDEX(次果筐明细!$C$4:$C$603,$Z918-5200)=0,"",INDEX(次果筐明细!$C$4:$C$603,$Z918-5200)),"")))))</f>
        <v/>
      </c>
      <c r="D918" s="37" t="str">
        <f>IF($Z918="","",IF($Z918&lt;=2000,"包装物料－"&amp;INDEX(包装物料出入库明细!$H$4:$H$2003,$Z918-0),IF($Z918&lt;=4000,"周转筐－"&amp;INDEX(周转筐出入库明细!$F$4:$F$2004,$Z918-2000),IF($Z918&lt;=5200,"客户自备筐－"&amp;INDEX(客户自备加工筐明细!$J$4:$J$1203,$Z918-4000),IF($Z918&lt;=5800,"次果筐/托盘－"&amp;INDEX(次果筐明细!$F$4:$F$603,$Z918-5200),"")))))</f>
        <v/>
      </c>
      <c r="E918" s="24" t="str">
        <f>IF($Z918="","",IF($Z918&lt;=2000,IF(INDEX(包装物料出入库明细!$C$4:$C$2003,$Z918-0)=0,"",INDEX(包装物料出入库明细!$C$4:$C$2003,$Z918-0)),IF($Z918&lt;=4000,IF(INDEX(周转筐出入库明细!$E$4:$E$2004,$Z918-2000)=0,"",INDEX(周转筐出入库明细!$E$4:$E$2004,$Z918-2000)),IF($Z918&lt;=5200,IF(INDEX(客户自备加工筐明细!$D$4:$D$1203,$Z918-4000)=0,"",INDEX(客户自备加工筐明细!$D$4:$D$1203,$Z918-4000)),IF($Z918&lt;=5800,IF(INDEX(次果筐明细!$E$4:$E$603,$Z918-5200)=0,"",INDEX(次果筐明细!$E$4:$E$603,$Z918-5200)),"")))))</f>
        <v/>
      </c>
      <c r="F918" s="24" t="str">
        <f>IF($Z918="","",IF($Z918&lt;=2000,IF(INDEX(包装物料出入库明细!$E$4:$E$2003,$Z918-0)=0,"",INDEX(包装物料出入库明细!$E$4:$E$2003,$Z918-0)),IF($Z918&lt;=4000,IF(INDEX(周转筐出入库明细!$D$4:$D$2004,$Z918-2000)=0,"",INDEX(周转筐出入库明细!$D$4:$D$2004,$Z918-2000)),IF($Z918&lt;=5200,IF(INDEX(客户自备加工筐明细!$C$4:$C$1203,$Z918-4000)=0,"",INDEX(客户自备加工筐明细!$C$4:$C$1203,$Z918-4000)),IF($Z918&lt;=5800,IF(INDEX(次果筐明细!$D$4:$D$603,$Z918-5200)=0,"",INDEX(次果筐明细!$D$4:$D$603,$Z918-5200)),"")))))</f>
        <v/>
      </c>
      <c r="G918" s="24" t="str">
        <f>IF($Z918="","",IF($Z918&lt;=2000,IF(INDEX(包装物料出入库明细!$F$4:$F$2003,$Z918-0)=0,"",INDEX(包装物料出入库明细!$F$4:$F$2003,$Z918-0)),IF($Z918&lt;=4000,"",IF($Z918&lt;=5200,"",IF($Z918&lt;=5800,"","")))))</f>
        <v/>
      </c>
      <c r="H918" s="39" t="str">
        <f>IF($Z918="","",IF($Z918&lt;=2000,IF(INDEX(包装物料出入库明细!$L$4:$L$2003,$Z918-0)=0,"",INDEX(包装物料出入库明细!$L$4:$L$2003,$Z918-0)),IF($Z918&lt;=4000,N(INDEX(周转筐出入库明细!$H$4:$H$2004,$Z918-2000))+N(INDEX(周转筐出入库明细!$I$4:$I$2004,$Z918-2000))+N(INDEX(周转筐出入库明细!$J$4:$J$2004,$Z918-2000))+N(INDEX(周转筐出入库明细!$K$4:$K$2004,$Z918-2000)),IF($Z918&lt;=5200,N(INDEX(客户自备加工筐明细!$F$4:$F$1203,$Z918-4000))+N(INDEX(客户自备加工筐明细!$G$4:$G$1203,$Z918-4000)),IF($Z918&lt;=5800,IF(INDEX(次果筐明细!$G$4:$G$603,$Z918-5200)=0,"",INDEX(次果筐明细!$G$4:$G$603,$Z918-5200)),"")))))</f>
        <v/>
      </c>
      <c r="I918" s="24" t="str">
        <f>IF($Z918="","",IF($Z918&lt;=2000,IF(INDEX(包装物料出入库明细!$G$4:$G$2003,$Z918-0)=0,"",INDEX(包装物料出入库明细!$G$4:$G$2003,$Z918-0)),IF($Z918&lt;=4000,"个",IF($Z918&lt;=5200,"个",IF($Z918&lt;=5800,"个","")))))</f>
        <v/>
      </c>
      <c r="J918" s="30" t="str">
        <f t="shared" si="43"/>
        <v/>
      </c>
      <c r="K918" s="30" t="str">
        <f>IF($Z918="","",IF($Z918&lt;=2000,IF(INDEX(包装物料出入库明细!$N$4:$N$2003,$Z918-0)=0,"",INDEX(包装物料出入库明细!$N$4:$N$2003,$Z918-0)),IF($Z918&lt;=4000,IF(INDEX(周转筐出入库明细!$P$4:$P$2004,$Z918-2000)=0,"",INDEX(周转筐出入库明细!$P$4:$P$2004,$Z918-2000)),IF($Z918&lt;=5200,"",IF($Z918&lt;=5800,N(INDEX(次果筐明细!$L$4:$L$603,$Z918-5200))+N(INDEX(次果筐明细!$J$4:$J$603,$Z918-5200)),"")))))</f>
        <v/>
      </c>
      <c r="L918" s="24" t="str">
        <f>IF($Z918="","",IF($Z918&lt;=2000,IF(INDEX(包装物料出入库明细!$P$4:$P$2003,$Z918-0)=0,"",INDEX(包装物料出入库明细!$P$4:$P$2003,$Z918-0)),IF($Z918&lt;=4000,IF(INDEX(周转筐出入库明细!$Q$4:$Q$2004,$Z918-2000)=0,"",INDEX(周转筐出入库明细!$Q$4:$Q$2004,$Z918-2000)),IF($Z918&lt;=5200,"",IF($Z918&lt;=5800,IF(INDEX(次果筐明细!$M$4:$M$603,$Z918-5200)=0,"",INDEX(次果筐明细!$M$4:$M$603,$Z918-5200)),"")))))</f>
        <v/>
      </c>
      <c r="M918" s="37" t="str">
        <f>IF($Z918="","",IF($Z918&lt;=2000,IF(INDEX(包装物料出入库明细!$R$4:$R$2003,$Z918-0)=0,"",INDEX(包装物料出入库明细!$R$4:$R$2003,$Z918-0)),IF($Z918&lt;=4000,IF(INDEX(周转筐出入库明细!$W$4:$W$2004,$Z918-2000)=0,"",INDEX(周转筐出入库明细!$W$4:$W$2004,$Z918-2000)),IF($Z918&lt;=5200,IF(INDEX(客户自备加工筐明细!$L$4:$L$1203,$Z918-4000)=0,"",INDEX(客户自备加工筐明细!$L$4:$L$1203,$Z918-4000)),IF($Z918&lt;=5800,IF(INDEX(次果筐明细!$P$4:$P$603,$Z918-5200)=0,"",INDEX(次果筐明细!$P$4:$P$603,$Z918-5200)),"")))))</f>
        <v/>
      </c>
      <c r="N918" s="16" t="str">
        <f>IF($Z918="","",IF($Z918&lt;=2000,"",IF($Z918&lt;=4000,IF(INDEX(周转筐出入库明细!$D$4:$D$2004,$Z918-2000)=0,"",INDEX(周转筐出入库明细!$D$4:$D$2004,$Z918-2000)),IF($Z918&lt;=5200,IF(INDEX(客户自备加工筐明细!$C$4:$C$1203,$Z918-4000)=0,"",INDEX(客户自备加工筐明细!$C$4:$C$1203,$Z918-4000)),IF($Z918&lt;=5800,IF(INDEX(次果筐明细!$D$4:$D$603,$Z918-5200)=0,"",INDEX(次果筐明细!$D$4:$D$603,$Z918-5200)),"")))))</f>
        <v/>
      </c>
      <c r="O918" s="40" t="str">
        <f>IF($Z918="","",IF($Z918&lt;=2000,"",IF($Z918&lt;=4000,IF(N(INDEX(周转筐出入库明细!$J$4:$J$2004,$Z918-2000))+N(INDEX(周转筐出入库明细!$K$4:$K$2004,$Z918-2000))=0,"",N(INDEX(周转筐出入库明细!$J$4:$J$2004,$Z918-2000))+N(INDEX(周转筐出入库明细!$K$4:$K$2004,$Z918-2000))),IF($Z918&lt;=5200,IF(N(INDEX(客户自备加工筐明细!$G$4:$G$1203,$Z918-4000))=0,"",N(INDEX(客户自备加工筐明细!$G$4:$G$1203,$Z918-4000))),IF($Z918&lt;=5800,IF(ISNUMBER(SEARCH("退",INDEX(次果筐明细!$F$4:$F$603,$Z918-5200)&amp;"")),"",IF(N(INDEX(次果筐明细!$G$4:$G$603,$Z918-5200))=0,"",N(INDEX(次果筐明细!$G$4:$G$603,$Z918-5200)))),"")))))</f>
        <v/>
      </c>
      <c r="P918" s="40" t="str">
        <f>IF($Z918="","",IF($Z918&lt;=2000,"",IF($Z918&lt;=4000,IF(N(INDEX(周转筐出入库明细!$I$4:$I$2004,$Z918-2000))=0,"",N(INDEX(周转筐出入库明细!$I$4:$I$2004,$Z918-2000))),IF($Z918&lt;=5200,"",IF($Z918&lt;=5800,IF(ISNUMBER(SEARCH("退",INDEX(次果筐明细!$F$4:$F$603,$Z918-5200)&amp;"")),IF(N(INDEX(次果筐明细!$G$4:$G$603,$Z918-5200))=0,"",N(INDEX(次果筐明细!$G$4:$G$603,$Z918-5200))),""),"")))))</f>
        <v/>
      </c>
      <c r="Q918" s="40" t="str">
        <f>IF($Z918="","",IF($Z918&lt;=2000,"",IF($Z918&lt;=4000,IF(N(INDEX(周转筐出入库明细!$H$4:$H$2004,$Z918-2000))=0,"",N(INDEX(周转筐出入库明细!$H$4:$H$2004,$Z918-2000))),IF($Z918&lt;=5200,IF(N(INDEX(客户自备加工筐明细!$F$4:$F$1203,$Z918-4000))=0,"",N(INDEX(客户自备加工筐明细!$F$4:$F$1203,$Z918-4000))),IF($Z918&lt;=5800,"","")))))</f>
        <v/>
      </c>
      <c r="R918" s="16" t="str">
        <f>IF($Z918="","",IF($Z918&lt;=2000,IF(INDEX(包装物料出入库明细!$O$4:$O$2003,$Z918-0)=0,"",INDEX(包装物料出入库明细!$O$4:$O$2003,$Z918-0)),IF($Z918&lt;=4000,IF(INDEX(周转筐出入库明细!$M$4:$M$2004,$Z918-2000)=0,"",INDEX(周转筐出入库明细!$M$4:$M$2004,$Z918-2000)),IF($Z918&lt;=5200,IF(INDEX(客户自备加工筐明细!$H$4:$H$1203,$Z918-4000)=0,"",INDEX(客户自备加工筐明细!$H$4:$H$1203,$Z918-4000)),IF($Z918&lt;=5800,IF(INDEX(次果筐明细!$H$4:$H$603,$Z918-5200)=0,"",INDEX(次果筐明细!$H$4:$H$603,$Z918-5200)),"")))))</f>
        <v/>
      </c>
      <c r="S918" s="22" t="str">
        <f t="shared" si="44"/>
        <v/>
      </c>
      <c r="Z918" s="10" t="str">
        <f>IFERROR(MATCH(ROW()-3,_自动清单!$CQ$4:$CQ$5803,0),"")</f>
        <v/>
      </c>
    </row>
    <row r="919" spans="1:26">
      <c r="A919" s="24" t="str">
        <f t="shared" si="42"/>
        <v/>
      </c>
      <c r="B919" s="38" t="str">
        <f>IF($Z919="","",IF($Z919&lt;=2000,IF(INDEX(包装物料出入库明细!$B$4:$B$2003,$Z919-0)=0,"",INDEX(包装物料出入库明细!$B$4:$B$2003,$Z919-0)),IF($Z919&lt;=4000,IF(INDEX(周转筐出入库明细!$B$4:$B$2004,$Z919-2000)=0,"",INDEX(周转筐出入库明细!$B$4:$B$2004,$Z919-2000)),IF($Z919&lt;=5200,IF(INDEX(客户自备加工筐明细!$B$4:$B$1203,$Z919-4000)=0,"",INDEX(客户自备加工筐明细!$B$4:$B$1203,$Z919-4000)),IF($Z919&lt;=5800,IF(INDEX(次果筐明细!$B$4:$B$603,$Z919-5200)=0,"",INDEX(次果筐明细!$B$4:$B$603,$Z919-5200)),"")))))</f>
        <v/>
      </c>
      <c r="C919" s="37" t="str">
        <f>IF($Z919="","",IF($Z919&lt;=2000,IF(INDEX(包装物料出入库明细!$D$4:$D$2003,$Z919-0)=0,"",INDEX(包装物料出入库明细!$D$4:$D$2003,$Z919-0)),IF($Z919&lt;=4000,IF(INDEX(周转筐出入库明细!$C$4:$C$2004,$Z919-2000)=0,"",INDEX(周转筐出入库明细!$C$4:$C$2004,$Z919-2000)),IF($Z919&lt;=5200,IF(INDEX(客户自备加工筐明细!$E$4:$E$1203,$Z919-4000)=0,"",INDEX(客户自备加工筐明细!$E$4:$E$1203,$Z919-4000)),IF($Z919&lt;=5800,IF(INDEX(次果筐明细!$C$4:$C$603,$Z919-5200)=0,"",INDEX(次果筐明细!$C$4:$C$603,$Z919-5200)),"")))))</f>
        <v/>
      </c>
      <c r="D919" s="37" t="str">
        <f>IF($Z919="","",IF($Z919&lt;=2000,"包装物料－"&amp;INDEX(包装物料出入库明细!$H$4:$H$2003,$Z919-0),IF($Z919&lt;=4000,"周转筐－"&amp;INDEX(周转筐出入库明细!$F$4:$F$2004,$Z919-2000),IF($Z919&lt;=5200,"客户自备筐－"&amp;INDEX(客户自备加工筐明细!$J$4:$J$1203,$Z919-4000),IF($Z919&lt;=5800,"次果筐/托盘－"&amp;INDEX(次果筐明细!$F$4:$F$603,$Z919-5200),"")))))</f>
        <v/>
      </c>
      <c r="E919" s="24" t="str">
        <f>IF($Z919="","",IF($Z919&lt;=2000,IF(INDEX(包装物料出入库明细!$C$4:$C$2003,$Z919-0)=0,"",INDEX(包装物料出入库明细!$C$4:$C$2003,$Z919-0)),IF($Z919&lt;=4000,IF(INDEX(周转筐出入库明细!$E$4:$E$2004,$Z919-2000)=0,"",INDEX(周转筐出入库明细!$E$4:$E$2004,$Z919-2000)),IF($Z919&lt;=5200,IF(INDEX(客户自备加工筐明细!$D$4:$D$1203,$Z919-4000)=0,"",INDEX(客户自备加工筐明细!$D$4:$D$1203,$Z919-4000)),IF($Z919&lt;=5800,IF(INDEX(次果筐明细!$E$4:$E$603,$Z919-5200)=0,"",INDEX(次果筐明细!$E$4:$E$603,$Z919-5200)),"")))))</f>
        <v/>
      </c>
      <c r="F919" s="24" t="str">
        <f>IF($Z919="","",IF($Z919&lt;=2000,IF(INDEX(包装物料出入库明细!$E$4:$E$2003,$Z919-0)=0,"",INDEX(包装物料出入库明细!$E$4:$E$2003,$Z919-0)),IF($Z919&lt;=4000,IF(INDEX(周转筐出入库明细!$D$4:$D$2004,$Z919-2000)=0,"",INDEX(周转筐出入库明细!$D$4:$D$2004,$Z919-2000)),IF($Z919&lt;=5200,IF(INDEX(客户自备加工筐明细!$C$4:$C$1203,$Z919-4000)=0,"",INDEX(客户自备加工筐明细!$C$4:$C$1203,$Z919-4000)),IF($Z919&lt;=5800,IF(INDEX(次果筐明细!$D$4:$D$603,$Z919-5200)=0,"",INDEX(次果筐明细!$D$4:$D$603,$Z919-5200)),"")))))</f>
        <v/>
      </c>
      <c r="G919" s="24" t="str">
        <f>IF($Z919="","",IF($Z919&lt;=2000,IF(INDEX(包装物料出入库明细!$F$4:$F$2003,$Z919-0)=0,"",INDEX(包装物料出入库明细!$F$4:$F$2003,$Z919-0)),IF($Z919&lt;=4000,"",IF($Z919&lt;=5200,"",IF($Z919&lt;=5800,"","")))))</f>
        <v/>
      </c>
      <c r="H919" s="39" t="str">
        <f>IF($Z919="","",IF($Z919&lt;=2000,IF(INDEX(包装物料出入库明细!$L$4:$L$2003,$Z919-0)=0,"",INDEX(包装物料出入库明细!$L$4:$L$2003,$Z919-0)),IF($Z919&lt;=4000,N(INDEX(周转筐出入库明细!$H$4:$H$2004,$Z919-2000))+N(INDEX(周转筐出入库明细!$I$4:$I$2004,$Z919-2000))+N(INDEX(周转筐出入库明细!$J$4:$J$2004,$Z919-2000))+N(INDEX(周转筐出入库明细!$K$4:$K$2004,$Z919-2000)),IF($Z919&lt;=5200,N(INDEX(客户自备加工筐明细!$F$4:$F$1203,$Z919-4000))+N(INDEX(客户自备加工筐明细!$G$4:$G$1203,$Z919-4000)),IF($Z919&lt;=5800,IF(INDEX(次果筐明细!$G$4:$G$603,$Z919-5200)=0,"",INDEX(次果筐明细!$G$4:$G$603,$Z919-5200)),"")))))</f>
        <v/>
      </c>
      <c r="I919" s="24" t="str">
        <f>IF($Z919="","",IF($Z919&lt;=2000,IF(INDEX(包装物料出入库明细!$G$4:$G$2003,$Z919-0)=0,"",INDEX(包装物料出入库明细!$G$4:$G$2003,$Z919-0)),IF($Z919&lt;=4000,"个",IF($Z919&lt;=5200,"个",IF($Z919&lt;=5800,"个","")))))</f>
        <v/>
      </c>
      <c r="J919" s="30" t="str">
        <f t="shared" si="43"/>
        <v/>
      </c>
      <c r="K919" s="30" t="str">
        <f>IF($Z919="","",IF($Z919&lt;=2000,IF(INDEX(包装物料出入库明细!$N$4:$N$2003,$Z919-0)=0,"",INDEX(包装物料出入库明细!$N$4:$N$2003,$Z919-0)),IF($Z919&lt;=4000,IF(INDEX(周转筐出入库明细!$P$4:$P$2004,$Z919-2000)=0,"",INDEX(周转筐出入库明细!$P$4:$P$2004,$Z919-2000)),IF($Z919&lt;=5200,"",IF($Z919&lt;=5800,N(INDEX(次果筐明细!$L$4:$L$603,$Z919-5200))+N(INDEX(次果筐明细!$J$4:$J$603,$Z919-5200)),"")))))</f>
        <v/>
      </c>
      <c r="L919" s="24" t="str">
        <f>IF($Z919="","",IF($Z919&lt;=2000,IF(INDEX(包装物料出入库明细!$P$4:$P$2003,$Z919-0)=0,"",INDEX(包装物料出入库明细!$P$4:$P$2003,$Z919-0)),IF($Z919&lt;=4000,IF(INDEX(周转筐出入库明细!$Q$4:$Q$2004,$Z919-2000)=0,"",INDEX(周转筐出入库明细!$Q$4:$Q$2004,$Z919-2000)),IF($Z919&lt;=5200,"",IF($Z919&lt;=5800,IF(INDEX(次果筐明细!$M$4:$M$603,$Z919-5200)=0,"",INDEX(次果筐明细!$M$4:$M$603,$Z919-5200)),"")))))</f>
        <v/>
      </c>
      <c r="M919" s="37" t="str">
        <f>IF($Z919="","",IF($Z919&lt;=2000,IF(INDEX(包装物料出入库明细!$R$4:$R$2003,$Z919-0)=0,"",INDEX(包装物料出入库明细!$R$4:$R$2003,$Z919-0)),IF($Z919&lt;=4000,IF(INDEX(周转筐出入库明细!$W$4:$W$2004,$Z919-2000)=0,"",INDEX(周转筐出入库明细!$W$4:$W$2004,$Z919-2000)),IF($Z919&lt;=5200,IF(INDEX(客户自备加工筐明细!$L$4:$L$1203,$Z919-4000)=0,"",INDEX(客户自备加工筐明细!$L$4:$L$1203,$Z919-4000)),IF($Z919&lt;=5800,IF(INDEX(次果筐明细!$P$4:$P$603,$Z919-5200)=0,"",INDEX(次果筐明细!$P$4:$P$603,$Z919-5200)),"")))))</f>
        <v/>
      </c>
      <c r="N919" s="16" t="str">
        <f>IF($Z919="","",IF($Z919&lt;=2000,"",IF($Z919&lt;=4000,IF(INDEX(周转筐出入库明细!$D$4:$D$2004,$Z919-2000)=0,"",INDEX(周转筐出入库明细!$D$4:$D$2004,$Z919-2000)),IF($Z919&lt;=5200,IF(INDEX(客户自备加工筐明细!$C$4:$C$1203,$Z919-4000)=0,"",INDEX(客户自备加工筐明细!$C$4:$C$1203,$Z919-4000)),IF($Z919&lt;=5800,IF(INDEX(次果筐明细!$D$4:$D$603,$Z919-5200)=0,"",INDEX(次果筐明细!$D$4:$D$603,$Z919-5200)),"")))))</f>
        <v/>
      </c>
      <c r="O919" s="40" t="str">
        <f>IF($Z919="","",IF($Z919&lt;=2000,"",IF($Z919&lt;=4000,IF(N(INDEX(周转筐出入库明细!$J$4:$J$2004,$Z919-2000))+N(INDEX(周转筐出入库明细!$K$4:$K$2004,$Z919-2000))=0,"",N(INDEX(周转筐出入库明细!$J$4:$J$2004,$Z919-2000))+N(INDEX(周转筐出入库明细!$K$4:$K$2004,$Z919-2000))),IF($Z919&lt;=5200,IF(N(INDEX(客户自备加工筐明细!$G$4:$G$1203,$Z919-4000))=0,"",N(INDEX(客户自备加工筐明细!$G$4:$G$1203,$Z919-4000))),IF($Z919&lt;=5800,IF(ISNUMBER(SEARCH("退",INDEX(次果筐明细!$F$4:$F$603,$Z919-5200)&amp;"")),"",IF(N(INDEX(次果筐明细!$G$4:$G$603,$Z919-5200))=0,"",N(INDEX(次果筐明细!$G$4:$G$603,$Z919-5200)))),"")))))</f>
        <v/>
      </c>
      <c r="P919" s="40" t="str">
        <f>IF($Z919="","",IF($Z919&lt;=2000,"",IF($Z919&lt;=4000,IF(N(INDEX(周转筐出入库明细!$I$4:$I$2004,$Z919-2000))=0,"",N(INDEX(周转筐出入库明细!$I$4:$I$2004,$Z919-2000))),IF($Z919&lt;=5200,"",IF($Z919&lt;=5800,IF(ISNUMBER(SEARCH("退",INDEX(次果筐明细!$F$4:$F$603,$Z919-5200)&amp;"")),IF(N(INDEX(次果筐明细!$G$4:$G$603,$Z919-5200))=0,"",N(INDEX(次果筐明细!$G$4:$G$603,$Z919-5200))),""),"")))))</f>
        <v/>
      </c>
      <c r="Q919" s="40" t="str">
        <f>IF($Z919="","",IF($Z919&lt;=2000,"",IF($Z919&lt;=4000,IF(N(INDEX(周转筐出入库明细!$H$4:$H$2004,$Z919-2000))=0,"",N(INDEX(周转筐出入库明细!$H$4:$H$2004,$Z919-2000))),IF($Z919&lt;=5200,IF(N(INDEX(客户自备加工筐明细!$F$4:$F$1203,$Z919-4000))=0,"",N(INDEX(客户自备加工筐明细!$F$4:$F$1203,$Z919-4000))),IF($Z919&lt;=5800,"","")))))</f>
        <v/>
      </c>
      <c r="R919" s="16" t="str">
        <f>IF($Z919="","",IF($Z919&lt;=2000,IF(INDEX(包装物料出入库明细!$O$4:$O$2003,$Z919-0)=0,"",INDEX(包装物料出入库明细!$O$4:$O$2003,$Z919-0)),IF($Z919&lt;=4000,IF(INDEX(周转筐出入库明细!$M$4:$M$2004,$Z919-2000)=0,"",INDEX(周转筐出入库明细!$M$4:$M$2004,$Z919-2000)),IF($Z919&lt;=5200,IF(INDEX(客户自备加工筐明细!$H$4:$H$1203,$Z919-4000)=0,"",INDEX(客户自备加工筐明细!$H$4:$H$1203,$Z919-4000)),IF($Z919&lt;=5800,IF(INDEX(次果筐明细!$H$4:$H$603,$Z919-5200)=0,"",INDEX(次果筐明细!$H$4:$H$603,$Z919-5200)),"")))))</f>
        <v/>
      </c>
      <c r="S919" s="22" t="str">
        <f t="shared" si="44"/>
        <v/>
      </c>
      <c r="Z919" s="10" t="str">
        <f>IFERROR(MATCH(ROW()-3,_自动清单!$CQ$4:$CQ$5803,0),"")</f>
        <v/>
      </c>
    </row>
    <row r="920" spans="1:26">
      <c r="A920" s="24" t="str">
        <f t="shared" si="42"/>
        <v/>
      </c>
      <c r="B920" s="38" t="str">
        <f>IF($Z920="","",IF($Z920&lt;=2000,IF(INDEX(包装物料出入库明细!$B$4:$B$2003,$Z920-0)=0,"",INDEX(包装物料出入库明细!$B$4:$B$2003,$Z920-0)),IF($Z920&lt;=4000,IF(INDEX(周转筐出入库明细!$B$4:$B$2004,$Z920-2000)=0,"",INDEX(周转筐出入库明细!$B$4:$B$2004,$Z920-2000)),IF($Z920&lt;=5200,IF(INDEX(客户自备加工筐明细!$B$4:$B$1203,$Z920-4000)=0,"",INDEX(客户自备加工筐明细!$B$4:$B$1203,$Z920-4000)),IF($Z920&lt;=5800,IF(INDEX(次果筐明细!$B$4:$B$603,$Z920-5200)=0,"",INDEX(次果筐明细!$B$4:$B$603,$Z920-5200)),"")))))</f>
        <v/>
      </c>
      <c r="C920" s="37" t="str">
        <f>IF($Z920="","",IF($Z920&lt;=2000,IF(INDEX(包装物料出入库明细!$D$4:$D$2003,$Z920-0)=0,"",INDEX(包装物料出入库明细!$D$4:$D$2003,$Z920-0)),IF($Z920&lt;=4000,IF(INDEX(周转筐出入库明细!$C$4:$C$2004,$Z920-2000)=0,"",INDEX(周转筐出入库明细!$C$4:$C$2004,$Z920-2000)),IF($Z920&lt;=5200,IF(INDEX(客户自备加工筐明细!$E$4:$E$1203,$Z920-4000)=0,"",INDEX(客户自备加工筐明细!$E$4:$E$1203,$Z920-4000)),IF($Z920&lt;=5800,IF(INDEX(次果筐明细!$C$4:$C$603,$Z920-5200)=0,"",INDEX(次果筐明细!$C$4:$C$603,$Z920-5200)),"")))))</f>
        <v/>
      </c>
      <c r="D920" s="37" t="str">
        <f>IF($Z920="","",IF($Z920&lt;=2000,"包装物料－"&amp;INDEX(包装物料出入库明细!$H$4:$H$2003,$Z920-0),IF($Z920&lt;=4000,"周转筐－"&amp;INDEX(周转筐出入库明细!$F$4:$F$2004,$Z920-2000),IF($Z920&lt;=5200,"客户自备筐－"&amp;INDEX(客户自备加工筐明细!$J$4:$J$1203,$Z920-4000),IF($Z920&lt;=5800,"次果筐/托盘－"&amp;INDEX(次果筐明细!$F$4:$F$603,$Z920-5200),"")))))</f>
        <v/>
      </c>
      <c r="E920" s="24" t="str">
        <f>IF($Z920="","",IF($Z920&lt;=2000,IF(INDEX(包装物料出入库明细!$C$4:$C$2003,$Z920-0)=0,"",INDEX(包装物料出入库明细!$C$4:$C$2003,$Z920-0)),IF($Z920&lt;=4000,IF(INDEX(周转筐出入库明细!$E$4:$E$2004,$Z920-2000)=0,"",INDEX(周转筐出入库明细!$E$4:$E$2004,$Z920-2000)),IF($Z920&lt;=5200,IF(INDEX(客户自备加工筐明细!$D$4:$D$1203,$Z920-4000)=0,"",INDEX(客户自备加工筐明细!$D$4:$D$1203,$Z920-4000)),IF($Z920&lt;=5800,IF(INDEX(次果筐明细!$E$4:$E$603,$Z920-5200)=0,"",INDEX(次果筐明细!$E$4:$E$603,$Z920-5200)),"")))))</f>
        <v/>
      </c>
      <c r="F920" s="24" t="str">
        <f>IF($Z920="","",IF($Z920&lt;=2000,IF(INDEX(包装物料出入库明细!$E$4:$E$2003,$Z920-0)=0,"",INDEX(包装物料出入库明细!$E$4:$E$2003,$Z920-0)),IF($Z920&lt;=4000,IF(INDEX(周转筐出入库明细!$D$4:$D$2004,$Z920-2000)=0,"",INDEX(周转筐出入库明细!$D$4:$D$2004,$Z920-2000)),IF($Z920&lt;=5200,IF(INDEX(客户自备加工筐明细!$C$4:$C$1203,$Z920-4000)=0,"",INDEX(客户自备加工筐明细!$C$4:$C$1203,$Z920-4000)),IF($Z920&lt;=5800,IF(INDEX(次果筐明细!$D$4:$D$603,$Z920-5200)=0,"",INDEX(次果筐明细!$D$4:$D$603,$Z920-5200)),"")))))</f>
        <v/>
      </c>
      <c r="G920" s="24" t="str">
        <f>IF($Z920="","",IF($Z920&lt;=2000,IF(INDEX(包装物料出入库明细!$F$4:$F$2003,$Z920-0)=0,"",INDEX(包装物料出入库明细!$F$4:$F$2003,$Z920-0)),IF($Z920&lt;=4000,"",IF($Z920&lt;=5200,"",IF($Z920&lt;=5800,"","")))))</f>
        <v/>
      </c>
      <c r="H920" s="39" t="str">
        <f>IF($Z920="","",IF($Z920&lt;=2000,IF(INDEX(包装物料出入库明细!$L$4:$L$2003,$Z920-0)=0,"",INDEX(包装物料出入库明细!$L$4:$L$2003,$Z920-0)),IF($Z920&lt;=4000,N(INDEX(周转筐出入库明细!$H$4:$H$2004,$Z920-2000))+N(INDEX(周转筐出入库明细!$I$4:$I$2004,$Z920-2000))+N(INDEX(周转筐出入库明细!$J$4:$J$2004,$Z920-2000))+N(INDEX(周转筐出入库明细!$K$4:$K$2004,$Z920-2000)),IF($Z920&lt;=5200,N(INDEX(客户自备加工筐明细!$F$4:$F$1203,$Z920-4000))+N(INDEX(客户自备加工筐明细!$G$4:$G$1203,$Z920-4000)),IF($Z920&lt;=5800,IF(INDEX(次果筐明细!$G$4:$G$603,$Z920-5200)=0,"",INDEX(次果筐明细!$G$4:$G$603,$Z920-5200)),"")))))</f>
        <v/>
      </c>
      <c r="I920" s="24" t="str">
        <f>IF($Z920="","",IF($Z920&lt;=2000,IF(INDEX(包装物料出入库明细!$G$4:$G$2003,$Z920-0)=0,"",INDEX(包装物料出入库明细!$G$4:$G$2003,$Z920-0)),IF($Z920&lt;=4000,"个",IF($Z920&lt;=5200,"个",IF($Z920&lt;=5800,"个","")))))</f>
        <v/>
      </c>
      <c r="J920" s="30" t="str">
        <f t="shared" si="43"/>
        <v/>
      </c>
      <c r="K920" s="30" t="str">
        <f>IF($Z920="","",IF($Z920&lt;=2000,IF(INDEX(包装物料出入库明细!$N$4:$N$2003,$Z920-0)=0,"",INDEX(包装物料出入库明细!$N$4:$N$2003,$Z920-0)),IF($Z920&lt;=4000,IF(INDEX(周转筐出入库明细!$P$4:$P$2004,$Z920-2000)=0,"",INDEX(周转筐出入库明细!$P$4:$P$2004,$Z920-2000)),IF($Z920&lt;=5200,"",IF($Z920&lt;=5800,N(INDEX(次果筐明细!$L$4:$L$603,$Z920-5200))+N(INDEX(次果筐明细!$J$4:$J$603,$Z920-5200)),"")))))</f>
        <v/>
      </c>
      <c r="L920" s="24" t="str">
        <f>IF($Z920="","",IF($Z920&lt;=2000,IF(INDEX(包装物料出入库明细!$P$4:$P$2003,$Z920-0)=0,"",INDEX(包装物料出入库明细!$P$4:$P$2003,$Z920-0)),IF($Z920&lt;=4000,IF(INDEX(周转筐出入库明细!$Q$4:$Q$2004,$Z920-2000)=0,"",INDEX(周转筐出入库明细!$Q$4:$Q$2004,$Z920-2000)),IF($Z920&lt;=5200,"",IF($Z920&lt;=5800,IF(INDEX(次果筐明细!$M$4:$M$603,$Z920-5200)=0,"",INDEX(次果筐明细!$M$4:$M$603,$Z920-5200)),"")))))</f>
        <v/>
      </c>
      <c r="M920" s="37" t="str">
        <f>IF($Z920="","",IF($Z920&lt;=2000,IF(INDEX(包装物料出入库明细!$R$4:$R$2003,$Z920-0)=0,"",INDEX(包装物料出入库明细!$R$4:$R$2003,$Z920-0)),IF($Z920&lt;=4000,IF(INDEX(周转筐出入库明细!$W$4:$W$2004,$Z920-2000)=0,"",INDEX(周转筐出入库明细!$W$4:$W$2004,$Z920-2000)),IF($Z920&lt;=5200,IF(INDEX(客户自备加工筐明细!$L$4:$L$1203,$Z920-4000)=0,"",INDEX(客户自备加工筐明细!$L$4:$L$1203,$Z920-4000)),IF($Z920&lt;=5800,IF(INDEX(次果筐明细!$P$4:$P$603,$Z920-5200)=0,"",INDEX(次果筐明细!$P$4:$P$603,$Z920-5200)),"")))))</f>
        <v/>
      </c>
      <c r="N920" s="16" t="str">
        <f>IF($Z920="","",IF($Z920&lt;=2000,"",IF($Z920&lt;=4000,IF(INDEX(周转筐出入库明细!$D$4:$D$2004,$Z920-2000)=0,"",INDEX(周转筐出入库明细!$D$4:$D$2004,$Z920-2000)),IF($Z920&lt;=5200,IF(INDEX(客户自备加工筐明细!$C$4:$C$1203,$Z920-4000)=0,"",INDEX(客户自备加工筐明细!$C$4:$C$1203,$Z920-4000)),IF($Z920&lt;=5800,IF(INDEX(次果筐明细!$D$4:$D$603,$Z920-5200)=0,"",INDEX(次果筐明细!$D$4:$D$603,$Z920-5200)),"")))))</f>
        <v/>
      </c>
      <c r="O920" s="40" t="str">
        <f>IF($Z920="","",IF($Z920&lt;=2000,"",IF($Z920&lt;=4000,IF(N(INDEX(周转筐出入库明细!$J$4:$J$2004,$Z920-2000))+N(INDEX(周转筐出入库明细!$K$4:$K$2004,$Z920-2000))=0,"",N(INDEX(周转筐出入库明细!$J$4:$J$2004,$Z920-2000))+N(INDEX(周转筐出入库明细!$K$4:$K$2004,$Z920-2000))),IF($Z920&lt;=5200,IF(N(INDEX(客户自备加工筐明细!$G$4:$G$1203,$Z920-4000))=0,"",N(INDEX(客户自备加工筐明细!$G$4:$G$1203,$Z920-4000))),IF($Z920&lt;=5800,IF(ISNUMBER(SEARCH("退",INDEX(次果筐明细!$F$4:$F$603,$Z920-5200)&amp;"")),"",IF(N(INDEX(次果筐明细!$G$4:$G$603,$Z920-5200))=0,"",N(INDEX(次果筐明细!$G$4:$G$603,$Z920-5200)))),"")))))</f>
        <v/>
      </c>
      <c r="P920" s="40" t="str">
        <f>IF($Z920="","",IF($Z920&lt;=2000,"",IF($Z920&lt;=4000,IF(N(INDEX(周转筐出入库明细!$I$4:$I$2004,$Z920-2000))=0,"",N(INDEX(周转筐出入库明细!$I$4:$I$2004,$Z920-2000))),IF($Z920&lt;=5200,"",IF($Z920&lt;=5800,IF(ISNUMBER(SEARCH("退",INDEX(次果筐明细!$F$4:$F$603,$Z920-5200)&amp;"")),IF(N(INDEX(次果筐明细!$G$4:$G$603,$Z920-5200))=0,"",N(INDEX(次果筐明细!$G$4:$G$603,$Z920-5200))),""),"")))))</f>
        <v/>
      </c>
      <c r="Q920" s="40" t="str">
        <f>IF($Z920="","",IF($Z920&lt;=2000,"",IF($Z920&lt;=4000,IF(N(INDEX(周转筐出入库明细!$H$4:$H$2004,$Z920-2000))=0,"",N(INDEX(周转筐出入库明细!$H$4:$H$2004,$Z920-2000))),IF($Z920&lt;=5200,IF(N(INDEX(客户自备加工筐明细!$F$4:$F$1203,$Z920-4000))=0,"",N(INDEX(客户自备加工筐明细!$F$4:$F$1203,$Z920-4000))),IF($Z920&lt;=5800,"","")))))</f>
        <v/>
      </c>
      <c r="R920" s="16" t="str">
        <f>IF($Z920="","",IF($Z920&lt;=2000,IF(INDEX(包装物料出入库明细!$O$4:$O$2003,$Z920-0)=0,"",INDEX(包装物料出入库明细!$O$4:$O$2003,$Z920-0)),IF($Z920&lt;=4000,IF(INDEX(周转筐出入库明细!$M$4:$M$2004,$Z920-2000)=0,"",INDEX(周转筐出入库明细!$M$4:$M$2004,$Z920-2000)),IF($Z920&lt;=5200,IF(INDEX(客户自备加工筐明细!$H$4:$H$1203,$Z920-4000)=0,"",INDEX(客户自备加工筐明细!$H$4:$H$1203,$Z920-4000)),IF($Z920&lt;=5800,IF(INDEX(次果筐明细!$H$4:$H$603,$Z920-5200)=0,"",INDEX(次果筐明细!$H$4:$H$603,$Z920-5200)),"")))))</f>
        <v/>
      </c>
      <c r="S920" s="22" t="str">
        <f t="shared" si="44"/>
        <v/>
      </c>
      <c r="Z920" s="10" t="str">
        <f>IFERROR(MATCH(ROW()-3,_自动清单!$CQ$4:$CQ$5803,0),"")</f>
        <v/>
      </c>
    </row>
    <row r="921" spans="1:26">
      <c r="A921" s="24" t="str">
        <f t="shared" si="42"/>
        <v/>
      </c>
      <c r="B921" s="38" t="str">
        <f>IF($Z921="","",IF($Z921&lt;=2000,IF(INDEX(包装物料出入库明细!$B$4:$B$2003,$Z921-0)=0,"",INDEX(包装物料出入库明细!$B$4:$B$2003,$Z921-0)),IF($Z921&lt;=4000,IF(INDEX(周转筐出入库明细!$B$4:$B$2004,$Z921-2000)=0,"",INDEX(周转筐出入库明细!$B$4:$B$2004,$Z921-2000)),IF($Z921&lt;=5200,IF(INDEX(客户自备加工筐明细!$B$4:$B$1203,$Z921-4000)=0,"",INDEX(客户自备加工筐明细!$B$4:$B$1203,$Z921-4000)),IF($Z921&lt;=5800,IF(INDEX(次果筐明细!$B$4:$B$603,$Z921-5200)=0,"",INDEX(次果筐明细!$B$4:$B$603,$Z921-5200)),"")))))</f>
        <v/>
      </c>
      <c r="C921" s="37" t="str">
        <f>IF($Z921="","",IF($Z921&lt;=2000,IF(INDEX(包装物料出入库明细!$D$4:$D$2003,$Z921-0)=0,"",INDEX(包装物料出入库明细!$D$4:$D$2003,$Z921-0)),IF($Z921&lt;=4000,IF(INDEX(周转筐出入库明细!$C$4:$C$2004,$Z921-2000)=0,"",INDEX(周转筐出入库明细!$C$4:$C$2004,$Z921-2000)),IF($Z921&lt;=5200,IF(INDEX(客户自备加工筐明细!$E$4:$E$1203,$Z921-4000)=0,"",INDEX(客户自备加工筐明细!$E$4:$E$1203,$Z921-4000)),IF($Z921&lt;=5800,IF(INDEX(次果筐明细!$C$4:$C$603,$Z921-5200)=0,"",INDEX(次果筐明细!$C$4:$C$603,$Z921-5200)),"")))))</f>
        <v/>
      </c>
      <c r="D921" s="37" t="str">
        <f>IF($Z921="","",IF($Z921&lt;=2000,"包装物料－"&amp;INDEX(包装物料出入库明细!$H$4:$H$2003,$Z921-0),IF($Z921&lt;=4000,"周转筐－"&amp;INDEX(周转筐出入库明细!$F$4:$F$2004,$Z921-2000),IF($Z921&lt;=5200,"客户自备筐－"&amp;INDEX(客户自备加工筐明细!$J$4:$J$1203,$Z921-4000),IF($Z921&lt;=5800,"次果筐/托盘－"&amp;INDEX(次果筐明细!$F$4:$F$603,$Z921-5200),"")))))</f>
        <v/>
      </c>
      <c r="E921" s="24" t="str">
        <f>IF($Z921="","",IF($Z921&lt;=2000,IF(INDEX(包装物料出入库明细!$C$4:$C$2003,$Z921-0)=0,"",INDEX(包装物料出入库明细!$C$4:$C$2003,$Z921-0)),IF($Z921&lt;=4000,IF(INDEX(周转筐出入库明细!$E$4:$E$2004,$Z921-2000)=0,"",INDEX(周转筐出入库明细!$E$4:$E$2004,$Z921-2000)),IF($Z921&lt;=5200,IF(INDEX(客户自备加工筐明细!$D$4:$D$1203,$Z921-4000)=0,"",INDEX(客户自备加工筐明细!$D$4:$D$1203,$Z921-4000)),IF($Z921&lt;=5800,IF(INDEX(次果筐明细!$E$4:$E$603,$Z921-5200)=0,"",INDEX(次果筐明细!$E$4:$E$603,$Z921-5200)),"")))))</f>
        <v/>
      </c>
      <c r="F921" s="24" t="str">
        <f>IF($Z921="","",IF($Z921&lt;=2000,IF(INDEX(包装物料出入库明细!$E$4:$E$2003,$Z921-0)=0,"",INDEX(包装物料出入库明细!$E$4:$E$2003,$Z921-0)),IF($Z921&lt;=4000,IF(INDEX(周转筐出入库明细!$D$4:$D$2004,$Z921-2000)=0,"",INDEX(周转筐出入库明细!$D$4:$D$2004,$Z921-2000)),IF($Z921&lt;=5200,IF(INDEX(客户自备加工筐明细!$C$4:$C$1203,$Z921-4000)=0,"",INDEX(客户自备加工筐明细!$C$4:$C$1203,$Z921-4000)),IF($Z921&lt;=5800,IF(INDEX(次果筐明细!$D$4:$D$603,$Z921-5200)=0,"",INDEX(次果筐明细!$D$4:$D$603,$Z921-5200)),"")))))</f>
        <v/>
      </c>
      <c r="G921" s="24" t="str">
        <f>IF($Z921="","",IF($Z921&lt;=2000,IF(INDEX(包装物料出入库明细!$F$4:$F$2003,$Z921-0)=0,"",INDEX(包装物料出入库明细!$F$4:$F$2003,$Z921-0)),IF($Z921&lt;=4000,"",IF($Z921&lt;=5200,"",IF($Z921&lt;=5800,"","")))))</f>
        <v/>
      </c>
      <c r="H921" s="39" t="str">
        <f>IF($Z921="","",IF($Z921&lt;=2000,IF(INDEX(包装物料出入库明细!$L$4:$L$2003,$Z921-0)=0,"",INDEX(包装物料出入库明细!$L$4:$L$2003,$Z921-0)),IF($Z921&lt;=4000,N(INDEX(周转筐出入库明细!$H$4:$H$2004,$Z921-2000))+N(INDEX(周转筐出入库明细!$I$4:$I$2004,$Z921-2000))+N(INDEX(周转筐出入库明细!$J$4:$J$2004,$Z921-2000))+N(INDEX(周转筐出入库明细!$K$4:$K$2004,$Z921-2000)),IF($Z921&lt;=5200,N(INDEX(客户自备加工筐明细!$F$4:$F$1203,$Z921-4000))+N(INDEX(客户自备加工筐明细!$G$4:$G$1203,$Z921-4000)),IF($Z921&lt;=5800,IF(INDEX(次果筐明细!$G$4:$G$603,$Z921-5200)=0,"",INDEX(次果筐明细!$G$4:$G$603,$Z921-5200)),"")))))</f>
        <v/>
      </c>
      <c r="I921" s="24" t="str">
        <f>IF($Z921="","",IF($Z921&lt;=2000,IF(INDEX(包装物料出入库明细!$G$4:$G$2003,$Z921-0)=0,"",INDEX(包装物料出入库明细!$G$4:$G$2003,$Z921-0)),IF($Z921&lt;=4000,"个",IF($Z921&lt;=5200,"个",IF($Z921&lt;=5800,"个","")))))</f>
        <v/>
      </c>
      <c r="J921" s="30" t="str">
        <f t="shared" si="43"/>
        <v/>
      </c>
      <c r="K921" s="30" t="str">
        <f>IF($Z921="","",IF($Z921&lt;=2000,IF(INDEX(包装物料出入库明细!$N$4:$N$2003,$Z921-0)=0,"",INDEX(包装物料出入库明细!$N$4:$N$2003,$Z921-0)),IF($Z921&lt;=4000,IF(INDEX(周转筐出入库明细!$P$4:$P$2004,$Z921-2000)=0,"",INDEX(周转筐出入库明细!$P$4:$P$2004,$Z921-2000)),IF($Z921&lt;=5200,"",IF($Z921&lt;=5800,N(INDEX(次果筐明细!$L$4:$L$603,$Z921-5200))+N(INDEX(次果筐明细!$J$4:$J$603,$Z921-5200)),"")))))</f>
        <v/>
      </c>
      <c r="L921" s="24" t="str">
        <f>IF($Z921="","",IF($Z921&lt;=2000,IF(INDEX(包装物料出入库明细!$P$4:$P$2003,$Z921-0)=0,"",INDEX(包装物料出入库明细!$P$4:$P$2003,$Z921-0)),IF($Z921&lt;=4000,IF(INDEX(周转筐出入库明细!$Q$4:$Q$2004,$Z921-2000)=0,"",INDEX(周转筐出入库明细!$Q$4:$Q$2004,$Z921-2000)),IF($Z921&lt;=5200,"",IF($Z921&lt;=5800,IF(INDEX(次果筐明细!$M$4:$M$603,$Z921-5200)=0,"",INDEX(次果筐明细!$M$4:$M$603,$Z921-5200)),"")))))</f>
        <v/>
      </c>
      <c r="M921" s="37" t="str">
        <f>IF($Z921="","",IF($Z921&lt;=2000,IF(INDEX(包装物料出入库明细!$R$4:$R$2003,$Z921-0)=0,"",INDEX(包装物料出入库明细!$R$4:$R$2003,$Z921-0)),IF($Z921&lt;=4000,IF(INDEX(周转筐出入库明细!$W$4:$W$2004,$Z921-2000)=0,"",INDEX(周转筐出入库明细!$W$4:$W$2004,$Z921-2000)),IF($Z921&lt;=5200,IF(INDEX(客户自备加工筐明细!$L$4:$L$1203,$Z921-4000)=0,"",INDEX(客户自备加工筐明细!$L$4:$L$1203,$Z921-4000)),IF($Z921&lt;=5800,IF(INDEX(次果筐明细!$P$4:$P$603,$Z921-5200)=0,"",INDEX(次果筐明细!$P$4:$P$603,$Z921-5200)),"")))))</f>
        <v/>
      </c>
      <c r="N921" s="16" t="str">
        <f>IF($Z921="","",IF($Z921&lt;=2000,"",IF($Z921&lt;=4000,IF(INDEX(周转筐出入库明细!$D$4:$D$2004,$Z921-2000)=0,"",INDEX(周转筐出入库明细!$D$4:$D$2004,$Z921-2000)),IF($Z921&lt;=5200,IF(INDEX(客户自备加工筐明细!$C$4:$C$1203,$Z921-4000)=0,"",INDEX(客户自备加工筐明细!$C$4:$C$1203,$Z921-4000)),IF($Z921&lt;=5800,IF(INDEX(次果筐明细!$D$4:$D$603,$Z921-5200)=0,"",INDEX(次果筐明细!$D$4:$D$603,$Z921-5200)),"")))))</f>
        <v/>
      </c>
      <c r="O921" s="40" t="str">
        <f>IF($Z921="","",IF($Z921&lt;=2000,"",IF($Z921&lt;=4000,IF(N(INDEX(周转筐出入库明细!$J$4:$J$2004,$Z921-2000))+N(INDEX(周转筐出入库明细!$K$4:$K$2004,$Z921-2000))=0,"",N(INDEX(周转筐出入库明细!$J$4:$J$2004,$Z921-2000))+N(INDEX(周转筐出入库明细!$K$4:$K$2004,$Z921-2000))),IF($Z921&lt;=5200,IF(N(INDEX(客户自备加工筐明细!$G$4:$G$1203,$Z921-4000))=0,"",N(INDEX(客户自备加工筐明细!$G$4:$G$1203,$Z921-4000))),IF($Z921&lt;=5800,IF(ISNUMBER(SEARCH("退",INDEX(次果筐明细!$F$4:$F$603,$Z921-5200)&amp;"")),"",IF(N(INDEX(次果筐明细!$G$4:$G$603,$Z921-5200))=0,"",N(INDEX(次果筐明细!$G$4:$G$603,$Z921-5200)))),"")))))</f>
        <v/>
      </c>
      <c r="P921" s="40" t="str">
        <f>IF($Z921="","",IF($Z921&lt;=2000,"",IF($Z921&lt;=4000,IF(N(INDEX(周转筐出入库明细!$I$4:$I$2004,$Z921-2000))=0,"",N(INDEX(周转筐出入库明细!$I$4:$I$2004,$Z921-2000))),IF($Z921&lt;=5200,"",IF($Z921&lt;=5800,IF(ISNUMBER(SEARCH("退",INDEX(次果筐明细!$F$4:$F$603,$Z921-5200)&amp;"")),IF(N(INDEX(次果筐明细!$G$4:$G$603,$Z921-5200))=0,"",N(INDEX(次果筐明细!$G$4:$G$603,$Z921-5200))),""),"")))))</f>
        <v/>
      </c>
      <c r="Q921" s="40" t="str">
        <f>IF($Z921="","",IF($Z921&lt;=2000,"",IF($Z921&lt;=4000,IF(N(INDEX(周转筐出入库明细!$H$4:$H$2004,$Z921-2000))=0,"",N(INDEX(周转筐出入库明细!$H$4:$H$2004,$Z921-2000))),IF($Z921&lt;=5200,IF(N(INDEX(客户自备加工筐明细!$F$4:$F$1203,$Z921-4000))=0,"",N(INDEX(客户自备加工筐明细!$F$4:$F$1203,$Z921-4000))),IF($Z921&lt;=5800,"","")))))</f>
        <v/>
      </c>
      <c r="R921" s="16" t="str">
        <f>IF($Z921="","",IF($Z921&lt;=2000,IF(INDEX(包装物料出入库明细!$O$4:$O$2003,$Z921-0)=0,"",INDEX(包装物料出入库明细!$O$4:$O$2003,$Z921-0)),IF($Z921&lt;=4000,IF(INDEX(周转筐出入库明细!$M$4:$M$2004,$Z921-2000)=0,"",INDEX(周转筐出入库明细!$M$4:$M$2004,$Z921-2000)),IF($Z921&lt;=5200,IF(INDEX(客户自备加工筐明细!$H$4:$H$1203,$Z921-4000)=0,"",INDEX(客户自备加工筐明细!$H$4:$H$1203,$Z921-4000)),IF($Z921&lt;=5800,IF(INDEX(次果筐明细!$H$4:$H$603,$Z921-5200)=0,"",INDEX(次果筐明细!$H$4:$H$603,$Z921-5200)),"")))))</f>
        <v/>
      </c>
      <c r="S921" s="22" t="str">
        <f t="shared" si="44"/>
        <v/>
      </c>
      <c r="Z921" s="10" t="str">
        <f>IFERROR(MATCH(ROW()-3,_自动清单!$CQ$4:$CQ$5803,0),"")</f>
        <v/>
      </c>
    </row>
    <row r="922" spans="1:26">
      <c r="A922" s="24" t="str">
        <f t="shared" si="42"/>
        <v/>
      </c>
      <c r="B922" s="38" t="str">
        <f>IF($Z922="","",IF($Z922&lt;=2000,IF(INDEX(包装物料出入库明细!$B$4:$B$2003,$Z922-0)=0,"",INDEX(包装物料出入库明细!$B$4:$B$2003,$Z922-0)),IF($Z922&lt;=4000,IF(INDEX(周转筐出入库明细!$B$4:$B$2004,$Z922-2000)=0,"",INDEX(周转筐出入库明细!$B$4:$B$2004,$Z922-2000)),IF($Z922&lt;=5200,IF(INDEX(客户自备加工筐明细!$B$4:$B$1203,$Z922-4000)=0,"",INDEX(客户自备加工筐明细!$B$4:$B$1203,$Z922-4000)),IF($Z922&lt;=5800,IF(INDEX(次果筐明细!$B$4:$B$603,$Z922-5200)=0,"",INDEX(次果筐明细!$B$4:$B$603,$Z922-5200)),"")))))</f>
        <v/>
      </c>
      <c r="C922" s="37" t="str">
        <f>IF($Z922="","",IF($Z922&lt;=2000,IF(INDEX(包装物料出入库明细!$D$4:$D$2003,$Z922-0)=0,"",INDEX(包装物料出入库明细!$D$4:$D$2003,$Z922-0)),IF($Z922&lt;=4000,IF(INDEX(周转筐出入库明细!$C$4:$C$2004,$Z922-2000)=0,"",INDEX(周转筐出入库明细!$C$4:$C$2004,$Z922-2000)),IF($Z922&lt;=5200,IF(INDEX(客户自备加工筐明细!$E$4:$E$1203,$Z922-4000)=0,"",INDEX(客户自备加工筐明细!$E$4:$E$1203,$Z922-4000)),IF($Z922&lt;=5800,IF(INDEX(次果筐明细!$C$4:$C$603,$Z922-5200)=0,"",INDEX(次果筐明细!$C$4:$C$603,$Z922-5200)),"")))))</f>
        <v/>
      </c>
      <c r="D922" s="37" t="str">
        <f>IF($Z922="","",IF($Z922&lt;=2000,"包装物料－"&amp;INDEX(包装物料出入库明细!$H$4:$H$2003,$Z922-0),IF($Z922&lt;=4000,"周转筐－"&amp;INDEX(周转筐出入库明细!$F$4:$F$2004,$Z922-2000),IF($Z922&lt;=5200,"客户自备筐－"&amp;INDEX(客户自备加工筐明细!$J$4:$J$1203,$Z922-4000),IF($Z922&lt;=5800,"次果筐/托盘－"&amp;INDEX(次果筐明细!$F$4:$F$603,$Z922-5200),"")))))</f>
        <v/>
      </c>
      <c r="E922" s="24" t="str">
        <f>IF($Z922="","",IF($Z922&lt;=2000,IF(INDEX(包装物料出入库明细!$C$4:$C$2003,$Z922-0)=0,"",INDEX(包装物料出入库明细!$C$4:$C$2003,$Z922-0)),IF($Z922&lt;=4000,IF(INDEX(周转筐出入库明细!$E$4:$E$2004,$Z922-2000)=0,"",INDEX(周转筐出入库明细!$E$4:$E$2004,$Z922-2000)),IF($Z922&lt;=5200,IF(INDEX(客户自备加工筐明细!$D$4:$D$1203,$Z922-4000)=0,"",INDEX(客户自备加工筐明细!$D$4:$D$1203,$Z922-4000)),IF($Z922&lt;=5800,IF(INDEX(次果筐明细!$E$4:$E$603,$Z922-5200)=0,"",INDEX(次果筐明细!$E$4:$E$603,$Z922-5200)),"")))))</f>
        <v/>
      </c>
      <c r="F922" s="24" t="str">
        <f>IF($Z922="","",IF($Z922&lt;=2000,IF(INDEX(包装物料出入库明细!$E$4:$E$2003,$Z922-0)=0,"",INDEX(包装物料出入库明细!$E$4:$E$2003,$Z922-0)),IF($Z922&lt;=4000,IF(INDEX(周转筐出入库明细!$D$4:$D$2004,$Z922-2000)=0,"",INDEX(周转筐出入库明细!$D$4:$D$2004,$Z922-2000)),IF($Z922&lt;=5200,IF(INDEX(客户自备加工筐明细!$C$4:$C$1203,$Z922-4000)=0,"",INDEX(客户自备加工筐明细!$C$4:$C$1203,$Z922-4000)),IF($Z922&lt;=5800,IF(INDEX(次果筐明细!$D$4:$D$603,$Z922-5200)=0,"",INDEX(次果筐明细!$D$4:$D$603,$Z922-5200)),"")))))</f>
        <v/>
      </c>
      <c r="G922" s="24" t="str">
        <f>IF($Z922="","",IF($Z922&lt;=2000,IF(INDEX(包装物料出入库明细!$F$4:$F$2003,$Z922-0)=0,"",INDEX(包装物料出入库明细!$F$4:$F$2003,$Z922-0)),IF($Z922&lt;=4000,"",IF($Z922&lt;=5200,"",IF($Z922&lt;=5800,"","")))))</f>
        <v/>
      </c>
      <c r="H922" s="39" t="str">
        <f>IF($Z922="","",IF($Z922&lt;=2000,IF(INDEX(包装物料出入库明细!$L$4:$L$2003,$Z922-0)=0,"",INDEX(包装物料出入库明细!$L$4:$L$2003,$Z922-0)),IF($Z922&lt;=4000,N(INDEX(周转筐出入库明细!$H$4:$H$2004,$Z922-2000))+N(INDEX(周转筐出入库明细!$I$4:$I$2004,$Z922-2000))+N(INDEX(周转筐出入库明细!$J$4:$J$2004,$Z922-2000))+N(INDEX(周转筐出入库明细!$K$4:$K$2004,$Z922-2000)),IF($Z922&lt;=5200,N(INDEX(客户自备加工筐明细!$F$4:$F$1203,$Z922-4000))+N(INDEX(客户自备加工筐明细!$G$4:$G$1203,$Z922-4000)),IF($Z922&lt;=5800,IF(INDEX(次果筐明细!$G$4:$G$603,$Z922-5200)=0,"",INDEX(次果筐明细!$G$4:$G$603,$Z922-5200)),"")))))</f>
        <v/>
      </c>
      <c r="I922" s="24" t="str">
        <f>IF($Z922="","",IF($Z922&lt;=2000,IF(INDEX(包装物料出入库明细!$G$4:$G$2003,$Z922-0)=0,"",INDEX(包装物料出入库明细!$G$4:$G$2003,$Z922-0)),IF($Z922&lt;=4000,"个",IF($Z922&lt;=5200,"个",IF($Z922&lt;=5800,"个","")))))</f>
        <v/>
      </c>
      <c r="J922" s="30" t="str">
        <f t="shared" si="43"/>
        <v/>
      </c>
      <c r="K922" s="30" t="str">
        <f>IF($Z922="","",IF($Z922&lt;=2000,IF(INDEX(包装物料出入库明细!$N$4:$N$2003,$Z922-0)=0,"",INDEX(包装物料出入库明细!$N$4:$N$2003,$Z922-0)),IF($Z922&lt;=4000,IF(INDEX(周转筐出入库明细!$P$4:$P$2004,$Z922-2000)=0,"",INDEX(周转筐出入库明细!$P$4:$P$2004,$Z922-2000)),IF($Z922&lt;=5200,"",IF($Z922&lt;=5800,N(INDEX(次果筐明细!$L$4:$L$603,$Z922-5200))+N(INDEX(次果筐明细!$J$4:$J$603,$Z922-5200)),"")))))</f>
        <v/>
      </c>
      <c r="L922" s="24" t="str">
        <f>IF($Z922="","",IF($Z922&lt;=2000,IF(INDEX(包装物料出入库明细!$P$4:$P$2003,$Z922-0)=0,"",INDEX(包装物料出入库明细!$P$4:$P$2003,$Z922-0)),IF($Z922&lt;=4000,IF(INDEX(周转筐出入库明细!$Q$4:$Q$2004,$Z922-2000)=0,"",INDEX(周转筐出入库明细!$Q$4:$Q$2004,$Z922-2000)),IF($Z922&lt;=5200,"",IF($Z922&lt;=5800,IF(INDEX(次果筐明细!$M$4:$M$603,$Z922-5200)=0,"",INDEX(次果筐明细!$M$4:$M$603,$Z922-5200)),"")))))</f>
        <v/>
      </c>
      <c r="M922" s="37" t="str">
        <f>IF($Z922="","",IF($Z922&lt;=2000,IF(INDEX(包装物料出入库明细!$R$4:$R$2003,$Z922-0)=0,"",INDEX(包装物料出入库明细!$R$4:$R$2003,$Z922-0)),IF($Z922&lt;=4000,IF(INDEX(周转筐出入库明细!$W$4:$W$2004,$Z922-2000)=0,"",INDEX(周转筐出入库明细!$W$4:$W$2004,$Z922-2000)),IF($Z922&lt;=5200,IF(INDEX(客户自备加工筐明细!$L$4:$L$1203,$Z922-4000)=0,"",INDEX(客户自备加工筐明细!$L$4:$L$1203,$Z922-4000)),IF($Z922&lt;=5800,IF(INDEX(次果筐明细!$P$4:$P$603,$Z922-5200)=0,"",INDEX(次果筐明细!$P$4:$P$603,$Z922-5200)),"")))))</f>
        <v/>
      </c>
      <c r="N922" s="16" t="str">
        <f>IF($Z922="","",IF($Z922&lt;=2000,"",IF($Z922&lt;=4000,IF(INDEX(周转筐出入库明细!$D$4:$D$2004,$Z922-2000)=0,"",INDEX(周转筐出入库明细!$D$4:$D$2004,$Z922-2000)),IF($Z922&lt;=5200,IF(INDEX(客户自备加工筐明细!$C$4:$C$1203,$Z922-4000)=0,"",INDEX(客户自备加工筐明细!$C$4:$C$1203,$Z922-4000)),IF($Z922&lt;=5800,IF(INDEX(次果筐明细!$D$4:$D$603,$Z922-5200)=0,"",INDEX(次果筐明细!$D$4:$D$603,$Z922-5200)),"")))))</f>
        <v/>
      </c>
      <c r="O922" s="40" t="str">
        <f>IF($Z922="","",IF($Z922&lt;=2000,"",IF($Z922&lt;=4000,IF(N(INDEX(周转筐出入库明细!$J$4:$J$2004,$Z922-2000))+N(INDEX(周转筐出入库明细!$K$4:$K$2004,$Z922-2000))=0,"",N(INDEX(周转筐出入库明细!$J$4:$J$2004,$Z922-2000))+N(INDEX(周转筐出入库明细!$K$4:$K$2004,$Z922-2000))),IF($Z922&lt;=5200,IF(N(INDEX(客户自备加工筐明细!$G$4:$G$1203,$Z922-4000))=0,"",N(INDEX(客户自备加工筐明细!$G$4:$G$1203,$Z922-4000))),IF($Z922&lt;=5800,IF(ISNUMBER(SEARCH("退",INDEX(次果筐明细!$F$4:$F$603,$Z922-5200)&amp;"")),"",IF(N(INDEX(次果筐明细!$G$4:$G$603,$Z922-5200))=0,"",N(INDEX(次果筐明细!$G$4:$G$603,$Z922-5200)))),"")))))</f>
        <v/>
      </c>
      <c r="P922" s="40" t="str">
        <f>IF($Z922="","",IF($Z922&lt;=2000,"",IF($Z922&lt;=4000,IF(N(INDEX(周转筐出入库明细!$I$4:$I$2004,$Z922-2000))=0,"",N(INDEX(周转筐出入库明细!$I$4:$I$2004,$Z922-2000))),IF($Z922&lt;=5200,"",IF($Z922&lt;=5800,IF(ISNUMBER(SEARCH("退",INDEX(次果筐明细!$F$4:$F$603,$Z922-5200)&amp;"")),IF(N(INDEX(次果筐明细!$G$4:$G$603,$Z922-5200))=0,"",N(INDEX(次果筐明细!$G$4:$G$603,$Z922-5200))),""),"")))))</f>
        <v/>
      </c>
      <c r="Q922" s="40" t="str">
        <f>IF($Z922="","",IF($Z922&lt;=2000,"",IF($Z922&lt;=4000,IF(N(INDEX(周转筐出入库明细!$H$4:$H$2004,$Z922-2000))=0,"",N(INDEX(周转筐出入库明细!$H$4:$H$2004,$Z922-2000))),IF($Z922&lt;=5200,IF(N(INDEX(客户自备加工筐明细!$F$4:$F$1203,$Z922-4000))=0,"",N(INDEX(客户自备加工筐明细!$F$4:$F$1203,$Z922-4000))),IF($Z922&lt;=5800,"","")))))</f>
        <v/>
      </c>
      <c r="R922" s="16" t="str">
        <f>IF($Z922="","",IF($Z922&lt;=2000,IF(INDEX(包装物料出入库明细!$O$4:$O$2003,$Z922-0)=0,"",INDEX(包装物料出入库明细!$O$4:$O$2003,$Z922-0)),IF($Z922&lt;=4000,IF(INDEX(周转筐出入库明细!$M$4:$M$2004,$Z922-2000)=0,"",INDEX(周转筐出入库明细!$M$4:$M$2004,$Z922-2000)),IF($Z922&lt;=5200,IF(INDEX(客户自备加工筐明细!$H$4:$H$1203,$Z922-4000)=0,"",INDEX(客户自备加工筐明细!$H$4:$H$1203,$Z922-4000)),IF($Z922&lt;=5800,IF(INDEX(次果筐明细!$H$4:$H$603,$Z922-5200)=0,"",INDEX(次果筐明细!$H$4:$H$603,$Z922-5200)),"")))))</f>
        <v/>
      </c>
      <c r="S922" s="22" t="str">
        <f t="shared" si="44"/>
        <v/>
      </c>
      <c r="Z922" s="10" t="str">
        <f>IFERROR(MATCH(ROW()-3,_自动清单!$CQ$4:$CQ$5803,0),"")</f>
        <v/>
      </c>
    </row>
    <row r="923" spans="1:26">
      <c r="A923" s="24" t="str">
        <f t="shared" si="42"/>
        <v/>
      </c>
      <c r="B923" s="38" t="str">
        <f>IF($Z923="","",IF($Z923&lt;=2000,IF(INDEX(包装物料出入库明细!$B$4:$B$2003,$Z923-0)=0,"",INDEX(包装物料出入库明细!$B$4:$B$2003,$Z923-0)),IF($Z923&lt;=4000,IF(INDEX(周转筐出入库明细!$B$4:$B$2004,$Z923-2000)=0,"",INDEX(周转筐出入库明细!$B$4:$B$2004,$Z923-2000)),IF($Z923&lt;=5200,IF(INDEX(客户自备加工筐明细!$B$4:$B$1203,$Z923-4000)=0,"",INDEX(客户自备加工筐明细!$B$4:$B$1203,$Z923-4000)),IF($Z923&lt;=5800,IF(INDEX(次果筐明细!$B$4:$B$603,$Z923-5200)=0,"",INDEX(次果筐明细!$B$4:$B$603,$Z923-5200)),"")))))</f>
        <v/>
      </c>
      <c r="C923" s="37" t="str">
        <f>IF($Z923="","",IF($Z923&lt;=2000,IF(INDEX(包装物料出入库明细!$D$4:$D$2003,$Z923-0)=0,"",INDEX(包装物料出入库明细!$D$4:$D$2003,$Z923-0)),IF($Z923&lt;=4000,IF(INDEX(周转筐出入库明细!$C$4:$C$2004,$Z923-2000)=0,"",INDEX(周转筐出入库明细!$C$4:$C$2004,$Z923-2000)),IF($Z923&lt;=5200,IF(INDEX(客户自备加工筐明细!$E$4:$E$1203,$Z923-4000)=0,"",INDEX(客户自备加工筐明细!$E$4:$E$1203,$Z923-4000)),IF($Z923&lt;=5800,IF(INDEX(次果筐明细!$C$4:$C$603,$Z923-5200)=0,"",INDEX(次果筐明细!$C$4:$C$603,$Z923-5200)),"")))))</f>
        <v/>
      </c>
      <c r="D923" s="37" t="str">
        <f>IF($Z923="","",IF($Z923&lt;=2000,"包装物料－"&amp;INDEX(包装物料出入库明细!$H$4:$H$2003,$Z923-0),IF($Z923&lt;=4000,"周转筐－"&amp;INDEX(周转筐出入库明细!$F$4:$F$2004,$Z923-2000),IF($Z923&lt;=5200,"客户自备筐－"&amp;INDEX(客户自备加工筐明细!$J$4:$J$1203,$Z923-4000),IF($Z923&lt;=5800,"次果筐/托盘－"&amp;INDEX(次果筐明细!$F$4:$F$603,$Z923-5200),"")))))</f>
        <v/>
      </c>
      <c r="E923" s="24" t="str">
        <f>IF($Z923="","",IF($Z923&lt;=2000,IF(INDEX(包装物料出入库明细!$C$4:$C$2003,$Z923-0)=0,"",INDEX(包装物料出入库明细!$C$4:$C$2003,$Z923-0)),IF($Z923&lt;=4000,IF(INDEX(周转筐出入库明细!$E$4:$E$2004,$Z923-2000)=0,"",INDEX(周转筐出入库明细!$E$4:$E$2004,$Z923-2000)),IF($Z923&lt;=5200,IF(INDEX(客户自备加工筐明细!$D$4:$D$1203,$Z923-4000)=0,"",INDEX(客户自备加工筐明细!$D$4:$D$1203,$Z923-4000)),IF($Z923&lt;=5800,IF(INDEX(次果筐明细!$E$4:$E$603,$Z923-5200)=0,"",INDEX(次果筐明细!$E$4:$E$603,$Z923-5200)),"")))))</f>
        <v/>
      </c>
      <c r="F923" s="24" t="str">
        <f>IF($Z923="","",IF($Z923&lt;=2000,IF(INDEX(包装物料出入库明细!$E$4:$E$2003,$Z923-0)=0,"",INDEX(包装物料出入库明细!$E$4:$E$2003,$Z923-0)),IF($Z923&lt;=4000,IF(INDEX(周转筐出入库明细!$D$4:$D$2004,$Z923-2000)=0,"",INDEX(周转筐出入库明细!$D$4:$D$2004,$Z923-2000)),IF($Z923&lt;=5200,IF(INDEX(客户自备加工筐明细!$C$4:$C$1203,$Z923-4000)=0,"",INDEX(客户自备加工筐明细!$C$4:$C$1203,$Z923-4000)),IF($Z923&lt;=5800,IF(INDEX(次果筐明细!$D$4:$D$603,$Z923-5200)=0,"",INDEX(次果筐明细!$D$4:$D$603,$Z923-5200)),"")))))</f>
        <v/>
      </c>
      <c r="G923" s="24" t="str">
        <f>IF($Z923="","",IF($Z923&lt;=2000,IF(INDEX(包装物料出入库明细!$F$4:$F$2003,$Z923-0)=0,"",INDEX(包装物料出入库明细!$F$4:$F$2003,$Z923-0)),IF($Z923&lt;=4000,"",IF($Z923&lt;=5200,"",IF($Z923&lt;=5800,"","")))))</f>
        <v/>
      </c>
      <c r="H923" s="39" t="str">
        <f>IF($Z923="","",IF($Z923&lt;=2000,IF(INDEX(包装物料出入库明细!$L$4:$L$2003,$Z923-0)=0,"",INDEX(包装物料出入库明细!$L$4:$L$2003,$Z923-0)),IF($Z923&lt;=4000,N(INDEX(周转筐出入库明细!$H$4:$H$2004,$Z923-2000))+N(INDEX(周转筐出入库明细!$I$4:$I$2004,$Z923-2000))+N(INDEX(周转筐出入库明细!$J$4:$J$2004,$Z923-2000))+N(INDEX(周转筐出入库明细!$K$4:$K$2004,$Z923-2000)),IF($Z923&lt;=5200,N(INDEX(客户自备加工筐明细!$F$4:$F$1203,$Z923-4000))+N(INDEX(客户自备加工筐明细!$G$4:$G$1203,$Z923-4000)),IF($Z923&lt;=5800,IF(INDEX(次果筐明细!$G$4:$G$603,$Z923-5200)=0,"",INDEX(次果筐明细!$G$4:$G$603,$Z923-5200)),"")))))</f>
        <v/>
      </c>
      <c r="I923" s="24" t="str">
        <f>IF($Z923="","",IF($Z923&lt;=2000,IF(INDEX(包装物料出入库明细!$G$4:$G$2003,$Z923-0)=0,"",INDEX(包装物料出入库明细!$G$4:$G$2003,$Z923-0)),IF($Z923&lt;=4000,"个",IF($Z923&lt;=5200,"个",IF($Z923&lt;=5800,"个","")))))</f>
        <v/>
      </c>
      <c r="J923" s="30" t="str">
        <f t="shared" si="43"/>
        <v/>
      </c>
      <c r="K923" s="30" t="str">
        <f>IF($Z923="","",IF($Z923&lt;=2000,IF(INDEX(包装物料出入库明细!$N$4:$N$2003,$Z923-0)=0,"",INDEX(包装物料出入库明细!$N$4:$N$2003,$Z923-0)),IF($Z923&lt;=4000,IF(INDEX(周转筐出入库明细!$P$4:$P$2004,$Z923-2000)=0,"",INDEX(周转筐出入库明细!$P$4:$P$2004,$Z923-2000)),IF($Z923&lt;=5200,"",IF($Z923&lt;=5800,N(INDEX(次果筐明细!$L$4:$L$603,$Z923-5200))+N(INDEX(次果筐明细!$J$4:$J$603,$Z923-5200)),"")))))</f>
        <v/>
      </c>
      <c r="L923" s="24" t="str">
        <f>IF($Z923="","",IF($Z923&lt;=2000,IF(INDEX(包装物料出入库明细!$P$4:$P$2003,$Z923-0)=0,"",INDEX(包装物料出入库明细!$P$4:$P$2003,$Z923-0)),IF($Z923&lt;=4000,IF(INDEX(周转筐出入库明细!$Q$4:$Q$2004,$Z923-2000)=0,"",INDEX(周转筐出入库明细!$Q$4:$Q$2004,$Z923-2000)),IF($Z923&lt;=5200,"",IF($Z923&lt;=5800,IF(INDEX(次果筐明细!$M$4:$M$603,$Z923-5200)=0,"",INDEX(次果筐明细!$M$4:$M$603,$Z923-5200)),"")))))</f>
        <v/>
      </c>
      <c r="M923" s="37" t="str">
        <f>IF($Z923="","",IF($Z923&lt;=2000,IF(INDEX(包装物料出入库明细!$R$4:$R$2003,$Z923-0)=0,"",INDEX(包装物料出入库明细!$R$4:$R$2003,$Z923-0)),IF($Z923&lt;=4000,IF(INDEX(周转筐出入库明细!$W$4:$W$2004,$Z923-2000)=0,"",INDEX(周转筐出入库明细!$W$4:$W$2004,$Z923-2000)),IF($Z923&lt;=5200,IF(INDEX(客户自备加工筐明细!$L$4:$L$1203,$Z923-4000)=0,"",INDEX(客户自备加工筐明细!$L$4:$L$1203,$Z923-4000)),IF($Z923&lt;=5800,IF(INDEX(次果筐明细!$P$4:$P$603,$Z923-5200)=0,"",INDEX(次果筐明细!$P$4:$P$603,$Z923-5200)),"")))))</f>
        <v/>
      </c>
      <c r="N923" s="16" t="str">
        <f>IF($Z923="","",IF($Z923&lt;=2000,"",IF($Z923&lt;=4000,IF(INDEX(周转筐出入库明细!$D$4:$D$2004,$Z923-2000)=0,"",INDEX(周转筐出入库明细!$D$4:$D$2004,$Z923-2000)),IF($Z923&lt;=5200,IF(INDEX(客户自备加工筐明细!$C$4:$C$1203,$Z923-4000)=0,"",INDEX(客户自备加工筐明细!$C$4:$C$1203,$Z923-4000)),IF($Z923&lt;=5800,IF(INDEX(次果筐明细!$D$4:$D$603,$Z923-5200)=0,"",INDEX(次果筐明细!$D$4:$D$603,$Z923-5200)),"")))))</f>
        <v/>
      </c>
      <c r="O923" s="40" t="str">
        <f>IF($Z923="","",IF($Z923&lt;=2000,"",IF($Z923&lt;=4000,IF(N(INDEX(周转筐出入库明细!$J$4:$J$2004,$Z923-2000))+N(INDEX(周转筐出入库明细!$K$4:$K$2004,$Z923-2000))=0,"",N(INDEX(周转筐出入库明细!$J$4:$J$2004,$Z923-2000))+N(INDEX(周转筐出入库明细!$K$4:$K$2004,$Z923-2000))),IF($Z923&lt;=5200,IF(N(INDEX(客户自备加工筐明细!$G$4:$G$1203,$Z923-4000))=0,"",N(INDEX(客户自备加工筐明细!$G$4:$G$1203,$Z923-4000))),IF($Z923&lt;=5800,IF(ISNUMBER(SEARCH("退",INDEX(次果筐明细!$F$4:$F$603,$Z923-5200)&amp;"")),"",IF(N(INDEX(次果筐明细!$G$4:$G$603,$Z923-5200))=0,"",N(INDEX(次果筐明细!$G$4:$G$603,$Z923-5200)))),"")))))</f>
        <v/>
      </c>
      <c r="P923" s="40" t="str">
        <f>IF($Z923="","",IF($Z923&lt;=2000,"",IF($Z923&lt;=4000,IF(N(INDEX(周转筐出入库明细!$I$4:$I$2004,$Z923-2000))=0,"",N(INDEX(周转筐出入库明细!$I$4:$I$2004,$Z923-2000))),IF($Z923&lt;=5200,"",IF($Z923&lt;=5800,IF(ISNUMBER(SEARCH("退",INDEX(次果筐明细!$F$4:$F$603,$Z923-5200)&amp;"")),IF(N(INDEX(次果筐明细!$G$4:$G$603,$Z923-5200))=0,"",N(INDEX(次果筐明细!$G$4:$G$603,$Z923-5200))),""),"")))))</f>
        <v/>
      </c>
      <c r="Q923" s="40" t="str">
        <f>IF($Z923="","",IF($Z923&lt;=2000,"",IF($Z923&lt;=4000,IF(N(INDEX(周转筐出入库明细!$H$4:$H$2004,$Z923-2000))=0,"",N(INDEX(周转筐出入库明细!$H$4:$H$2004,$Z923-2000))),IF($Z923&lt;=5200,IF(N(INDEX(客户自备加工筐明细!$F$4:$F$1203,$Z923-4000))=0,"",N(INDEX(客户自备加工筐明细!$F$4:$F$1203,$Z923-4000))),IF($Z923&lt;=5800,"","")))))</f>
        <v/>
      </c>
      <c r="R923" s="16" t="str">
        <f>IF($Z923="","",IF($Z923&lt;=2000,IF(INDEX(包装物料出入库明细!$O$4:$O$2003,$Z923-0)=0,"",INDEX(包装物料出入库明细!$O$4:$O$2003,$Z923-0)),IF($Z923&lt;=4000,IF(INDEX(周转筐出入库明细!$M$4:$M$2004,$Z923-2000)=0,"",INDEX(周转筐出入库明细!$M$4:$M$2004,$Z923-2000)),IF($Z923&lt;=5200,IF(INDEX(客户自备加工筐明细!$H$4:$H$1203,$Z923-4000)=0,"",INDEX(客户自备加工筐明细!$H$4:$H$1203,$Z923-4000)),IF($Z923&lt;=5800,IF(INDEX(次果筐明细!$H$4:$H$603,$Z923-5200)=0,"",INDEX(次果筐明细!$H$4:$H$603,$Z923-5200)),"")))))</f>
        <v/>
      </c>
      <c r="S923" s="22" t="str">
        <f t="shared" si="44"/>
        <v/>
      </c>
      <c r="Z923" s="10" t="str">
        <f>IFERROR(MATCH(ROW()-3,_自动清单!$CQ$4:$CQ$5803,0),"")</f>
        <v/>
      </c>
    </row>
    <row r="924" spans="1:26">
      <c r="A924" s="24" t="str">
        <f t="shared" si="42"/>
        <v/>
      </c>
      <c r="B924" s="38" t="str">
        <f>IF($Z924="","",IF($Z924&lt;=2000,IF(INDEX(包装物料出入库明细!$B$4:$B$2003,$Z924-0)=0,"",INDEX(包装物料出入库明细!$B$4:$B$2003,$Z924-0)),IF($Z924&lt;=4000,IF(INDEX(周转筐出入库明细!$B$4:$B$2004,$Z924-2000)=0,"",INDEX(周转筐出入库明细!$B$4:$B$2004,$Z924-2000)),IF($Z924&lt;=5200,IF(INDEX(客户自备加工筐明细!$B$4:$B$1203,$Z924-4000)=0,"",INDEX(客户自备加工筐明细!$B$4:$B$1203,$Z924-4000)),IF($Z924&lt;=5800,IF(INDEX(次果筐明细!$B$4:$B$603,$Z924-5200)=0,"",INDEX(次果筐明细!$B$4:$B$603,$Z924-5200)),"")))))</f>
        <v/>
      </c>
      <c r="C924" s="37" t="str">
        <f>IF($Z924="","",IF($Z924&lt;=2000,IF(INDEX(包装物料出入库明细!$D$4:$D$2003,$Z924-0)=0,"",INDEX(包装物料出入库明细!$D$4:$D$2003,$Z924-0)),IF($Z924&lt;=4000,IF(INDEX(周转筐出入库明细!$C$4:$C$2004,$Z924-2000)=0,"",INDEX(周转筐出入库明细!$C$4:$C$2004,$Z924-2000)),IF($Z924&lt;=5200,IF(INDEX(客户自备加工筐明细!$E$4:$E$1203,$Z924-4000)=0,"",INDEX(客户自备加工筐明细!$E$4:$E$1203,$Z924-4000)),IF($Z924&lt;=5800,IF(INDEX(次果筐明细!$C$4:$C$603,$Z924-5200)=0,"",INDEX(次果筐明细!$C$4:$C$603,$Z924-5200)),"")))))</f>
        <v/>
      </c>
      <c r="D924" s="37" t="str">
        <f>IF($Z924="","",IF($Z924&lt;=2000,"包装物料－"&amp;INDEX(包装物料出入库明细!$H$4:$H$2003,$Z924-0),IF($Z924&lt;=4000,"周转筐－"&amp;INDEX(周转筐出入库明细!$F$4:$F$2004,$Z924-2000),IF($Z924&lt;=5200,"客户自备筐－"&amp;INDEX(客户自备加工筐明细!$J$4:$J$1203,$Z924-4000),IF($Z924&lt;=5800,"次果筐/托盘－"&amp;INDEX(次果筐明细!$F$4:$F$603,$Z924-5200),"")))))</f>
        <v/>
      </c>
      <c r="E924" s="24" t="str">
        <f>IF($Z924="","",IF($Z924&lt;=2000,IF(INDEX(包装物料出入库明细!$C$4:$C$2003,$Z924-0)=0,"",INDEX(包装物料出入库明细!$C$4:$C$2003,$Z924-0)),IF($Z924&lt;=4000,IF(INDEX(周转筐出入库明细!$E$4:$E$2004,$Z924-2000)=0,"",INDEX(周转筐出入库明细!$E$4:$E$2004,$Z924-2000)),IF($Z924&lt;=5200,IF(INDEX(客户自备加工筐明细!$D$4:$D$1203,$Z924-4000)=0,"",INDEX(客户自备加工筐明细!$D$4:$D$1203,$Z924-4000)),IF($Z924&lt;=5800,IF(INDEX(次果筐明细!$E$4:$E$603,$Z924-5200)=0,"",INDEX(次果筐明细!$E$4:$E$603,$Z924-5200)),"")))))</f>
        <v/>
      </c>
      <c r="F924" s="24" t="str">
        <f>IF($Z924="","",IF($Z924&lt;=2000,IF(INDEX(包装物料出入库明细!$E$4:$E$2003,$Z924-0)=0,"",INDEX(包装物料出入库明细!$E$4:$E$2003,$Z924-0)),IF($Z924&lt;=4000,IF(INDEX(周转筐出入库明细!$D$4:$D$2004,$Z924-2000)=0,"",INDEX(周转筐出入库明细!$D$4:$D$2004,$Z924-2000)),IF($Z924&lt;=5200,IF(INDEX(客户自备加工筐明细!$C$4:$C$1203,$Z924-4000)=0,"",INDEX(客户自备加工筐明细!$C$4:$C$1203,$Z924-4000)),IF($Z924&lt;=5800,IF(INDEX(次果筐明细!$D$4:$D$603,$Z924-5200)=0,"",INDEX(次果筐明细!$D$4:$D$603,$Z924-5200)),"")))))</f>
        <v/>
      </c>
      <c r="G924" s="24" t="str">
        <f>IF($Z924="","",IF($Z924&lt;=2000,IF(INDEX(包装物料出入库明细!$F$4:$F$2003,$Z924-0)=0,"",INDEX(包装物料出入库明细!$F$4:$F$2003,$Z924-0)),IF($Z924&lt;=4000,"",IF($Z924&lt;=5200,"",IF($Z924&lt;=5800,"","")))))</f>
        <v/>
      </c>
      <c r="H924" s="39" t="str">
        <f>IF($Z924="","",IF($Z924&lt;=2000,IF(INDEX(包装物料出入库明细!$L$4:$L$2003,$Z924-0)=0,"",INDEX(包装物料出入库明细!$L$4:$L$2003,$Z924-0)),IF($Z924&lt;=4000,N(INDEX(周转筐出入库明细!$H$4:$H$2004,$Z924-2000))+N(INDEX(周转筐出入库明细!$I$4:$I$2004,$Z924-2000))+N(INDEX(周转筐出入库明细!$J$4:$J$2004,$Z924-2000))+N(INDEX(周转筐出入库明细!$K$4:$K$2004,$Z924-2000)),IF($Z924&lt;=5200,N(INDEX(客户自备加工筐明细!$F$4:$F$1203,$Z924-4000))+N(INDEX(客户自备加工筐明细!$G$4:$G$1203,$Z924-4000)),IF($Z924&lt;=5800,IF(INDEX(次果筐明细!$G$4:$G$603,$Z924-5200)=0,"",INDEX(次果筐明细!$G$4:$G$603,$Z924-5200)),"")))))</f>
        <v/>
      </c>
      <c r="I924" s="24" t="str">
        <f>IF($Z924="","",IF($Z924&lt;=2000,IF(INDEX(包装物料出入库明细!$G$4:$G$2003,$Z924-0)=0,"",INDEX(包装物料出入库明细!$G$4:$G$2003,$Z924-0)),IF($Z924&lt;=4000,"个",IF($Z924&lt;=5200,"个",IF($Z924&lt;=5800,"个","")))))</f>
        <v/>
      </c>
      <c r="J924" s="30" t="str">
        <f t="shared" si="43"/>
        <v/>
      </c>
      <c r="K924" s="30" t="str">
        <f>IF($Z924="","",IF($Z924&lt;=2000,IF(INDEX(包装物料出入库明细!$N$4:$N$2003,$Z924-0)=0,"",INDEX(包装物料出入库明细!$N$4:$N$2003,$Z924-0)),IF($Z924&lt;=4000,IF(INDEX(周转筐出入库明细!$P$4:$P$2004,$Z924-2000)=0,"",INDEX(周转筐出入库明细!$P$4:$P$2004,$Z924-2000)),IF($Z924&lt;=5200,"",IF($Z924&lt;=5800,N(INDEX(次果筐明细!$L$4:$L$603,$Z924-5200))+N(INDEX(次果筐明细!$J$4:$J$603,$Z924-5200)),"")))))</f>
        <v/>
      </c>
      <c r="L924" s="24" t="str">
        <f>IF($Z924="","",IF($Z924&lt;=2000,IF(INDEX(包装物料出入库明细!$P$4:$P$2003,$Z924-0)=0,"",INDEX(包装物料出入库明细!$P$4:$P$2003,$Z924-0)),IF($Z924&lt;=4000,IF(INDEX(周转筐出入库明细!$Q$4:$Q$2004,$Z924-2000)=0,"",INDEX(周转筐出入库明细!$Q$4:$Q$2004,$Z924-2000)),IF($Z924&lt;=5200,"",IF($Z924&lt;=5800,IF(INDEX(次果筐明细!$M$4:$M$603,$Z924-5200)=0,"",INDEX(次果筐明细!$M$4:$M$603,$Z924-5200)),"")))))</f>
        <v/>
      </c>
      <c r="M924" s="37" t="str">
        <f>IF($Z924="","",IF($Z924&lt;=2000,IF(INDEX(包装物料出入库明细!$R$4:$R$2003,$Z924-0)=0,"",INDEX(包装物料出入库明细!$R$4:$R$2003,$Z924-0)),IF($Z924&lt;=4000,IF(INDEX(周转筐出入库明细!$W$4:$W$2004,$Z924-2000)=0,"",INDEX(周转筐出入库明细!$W$4:$W$2004,$Z924-2000)),IF($Z924&lt;=5200,IF(INDEX(客户自备加工筐明细!$L$4:$L$1203,$Z924-4000)=0,"",INDEX(客户自备加工筐明细!$L$4:$L$1203,$Z924-4000)),IF($Z924&lt;=5800,IF(INDEX(次果筐明细!$P$4:$P$603,$Z924-5200)=0,"",INDEX(次果筐明细!$P$4:$P$603,$Z924-5200)),"")))))</f>
        <v/>
      </c>
      <c r="N924" s="16" t="str">
        <f>IF($Z924="","",IF($Z924&lt;=2000,"",IF($Z924&lt;=4000,IF(INDEX(周转筐出入库明细!$D$4:$D$2004,$Z924-2000)=0,"",INDEX(周转筐出入库明细!$D$4:$D$2004,$Z924-2000)),IF($Z924&lt;=5200,IF(INDEX(客户自备加工筐明细!$C$4:$C$1203,$Z924-4000)=0,"",INDEX(客户自备加工筐明细!$C$4:$C$1203,$Z924-4000)),IF($Z924&lt;=5800,IF(INDEX(次果筐明细!$D$4:$D$603,$Z924-5200)=0,"",INDEX(次果筐明细!$D$4:$D$603,$Z924-5200)),"")))))</f>
        <v/>
      </c>
      <c r="O924" s="40" t="str">
        <f>IF($Z924="","",IF($Z924&lt;=2000,"",IF($Z924&lt;=4000,IF(N(INDEX(周转筐出入库明细!$J$4:$J$2004,$Z924-2000))+N(INDEX(周转筐出入库明细!$K$4:$K$2004,$Z924-2000))=0,"",N(INDEX(周转筐出入库明细!$J$4:$J$2004,$Z924-2000))+N(INDEX(周转筐出入库明细!$K$4:$K$2004,$Z924-2000))),IF($Z924&lt;=5200,IF(N(INDEX(客户自备加工筐明细!$G$4:$G$1203,$Z924-4000))=0,"",N(INDEX(客户自备加工筐明细!$G$4:$G$1203,$Z924-4000))),IF($Z924&lt;=5800,IF(ISNUMBER(SEARCH("退",INDEX(次果筐明细!$F$4:$F$603,$Z924-5200)&amp;"")),"",IF(N(INDEX(次果筐明细!$G$4:$G$603,$Z924-5200))=0,"",N(INDEX(次果筐明细!$G$4:$G$603,$Z924-5200)))),"")))))</f>
        <v/>
      </c>
      <c r="P924" s="40" t="str">
        <f>IF($Z924="","",IF($Z924&lt;=2000,"",IF($Z924&lt;=4000,IF(N(INDEX(周转筐出入库明细!$I$4:$I$2004,$Z924-2000))=0,"",N(INDEX(周转筐出入库明细!$I$4:$I$2004,$Z924-2000))),IF($Z924&lt;=5200,"",IF($Z924&lt;=5800,IF(ISNUMBER(SEARCH("退",INDEX(次果筐明细!$F$4:$F$603,$Z924-5200)&amp;"")),IF(N(INDEX(次果筐明细!$G$4:$G$603,$Z924-5200))=0,"",N(INDEX(次果筐明细!$G$4:$G$603,$Z924-5200))),""),"")))))</f>
        <v/>
      </c>
      <c r="Q924" s="40" t="str">
        <f>IF($Z924="","",IF($Z924&lt;=2000,"",IF($Z924&lt;=4000,IF(N(INDEX(周转筐出入库明细!$H$4:$H$2004,$Z924-2000))=0,"",N(INDEX(周转筐出入库明细!$H$4:$H$2004,$Z924-2000))),IF($Z924&lt;=5200,IF(N(INDEX(客户自备加工筐明细!$F$4:$F$1203,$Z924-4000))=0,"",N(INDEX(客户自备加工筐明细!$F$4:$F$1203,$Z924-4000))),IF($Z924&lt;=5800,"","")))))</f>
        <v/>
      </c>
      <c r="R924" s="16" t="str">
        <f>IF($Z924="","",IF($Z924&lt;=2000,IF(INDEX(包装物料出入库明细!$O$4:$O$2003,$Z924-0)=0,"",INDEX(包装物料出入库明细!$O$4:$O$2003,$Z924-0)),IF($Z924&lt;=4000,IF(INDEX(周转筐出入库明细!$M$4:$M$2004,$Z924-2000)=0,"",INDEX(周转筐出入库明细!$M$4:$M$2004,$Z924-2000)),IF($Z924&lt;=5200,IF(INDEX(客户自备加工筐明细!$H$4:$H$1203,$Z924-4000)=0,"",INDEX(客户自备加工筐明细!$H$4:$H$1203,$Z924-4000)),IF($Z924&lt;=5800,IF(INDEX(次果筐明细!$H$4:$H$603,$Z924-5200)=0,"",INDEX(次果筐明细!$H$4:$H$603,$Z924-5200)),"")))))</f>
        <v/>
      </c>
      <c r="S924" s="22" t="str">
        <f t="shared" si="44"/>
        <v/>
      </c>
      <c r="Z924" s="10" t="str">
        <f>IFERROR(MATCH(ROW()-3,_自动清单!$CQ$4:$CQ$5803,0),"")</f>
        <v/>
      </c>
    </row>
    <row r="925" spans="1:26">
      <c r="A925" s="24" t="str">
        <f t="shared" si="42"/>
        <v/>
      </c>
      <c r="B925" s="38" t="str">
        <f>IF($Z925="","",IF($Z925&lt;=2000,IF(INDEX(包装物料出入库明细!$B$4:$B$2003,$Z925-0)=0,"",INDEX(包装物料出入库明细!$B$4:$B$2003,$Z925-0)),IF($Z925&lt;=4000,IF(INDEX(周转筐出入库明细!$B$4:$B$2004,$Z925-2000)=0,"",INDEX(周转筐出入库明细!$B$4:$B$2004,$Z925-2000)),IF($Z925&lt;=5200,IF(INDEX(客户自备加工筐明细!$B$4:$B$1203,$Z925-4000)=0,"",INDEX(客户自备加工筐明细!$B$4:$B$1203,$Z925-4000)),IF($Z925&lt;=5800,IF(INDEX(次果筐明细!$B$4:$B$603,$Z925-5200)=0,"",INDEX(次果筐明细!$B$4:$B$603,$Z925-5200)),"")))))</f>
        <v/>
      </c>
      <c r="C925" s="37" t="str">
        <f>IF($Z925="","",IF($Z925&lt;=2000,IF(INDEX(包装物料出入库明细!$D$4:$D$2003,$Z925-0)=0,"",INDEX(包装物料出入库明细!$D$4:$D$2003,$Z925-0)),IF($Z925&lt;=4000,IF(INDEX(周转筐出入库明细!$C$4:$C$2004,$Z925-2000)=0,"",INDEX(周转筐出入库明细!$C$4:$C$2004,$Z925-2000)),IF($Z925&lt;=5200,IF(INDEX(客户自备加工筐明细!$E$4:$E$1203,$Z925-4000)=0,"",INDEX(客户自备加工筐明细!$E$4:$E$1203,$Z925-4000)),IF($Z925&lt;=5800,IF(INDEX(次果筐明细!$C$4:$C$603,$Z925-5200)=0,"",INDEX(次果筐明细!$C$4:$C$603,$Z925-5200)),"")))))</f>
        <v/>
      </c>
      <c r="D925" s="37" t="str">
        <f>IF($Z925="","",IF($Z925&lt;=2000,"包装物料－"&amp;INDEX(包装物料出入库明细!$H$4:$H$2003,$Z925-0),IF($Z925&lt;=4000,"周转筐－"&amp;INDEX(周转筐出入库明细!$F$4:$F$2004,$Z925-2000),IF($Z925&lt;=5200,"客户自备筐－"&amp;INDEX(客户自备加工筐明细!$J$4:$J$1203,$Z925-4000),IF($Z925&lt;=5800,"次果筐/托盘－"&amp;INDEX(次果筐明细!$F$4:$F$603,$Z925-5200),"")))))</f>
        <v/>
      </c>
      <c r="E925" s="24" t="str">
        <f>IF($Z925="","",IF($Z925&lt;=2000,IF(INDEX(包装物料出入库明细!$C$4:$C$2003,$Z925-0)=0,"",INDEX(包装物料出入库明细!$C$4:$C$2003,$Z925-0)),IF($Z925&lt;=4000,IF(INDEX(周转筐出入库明细!$E$4:$E$2004,$Z925-2000)=0,"",INDEX(周转筐出入库明细!$E$4:$E$2004,$Z925-2000)),IF($Z925&lt;=5200,IF(INDEX(客户自备加工筐明细!$D$4:$D$1203,$Z925-4000)=0,"",INDEX(客户自备加工筐明细!$D$4:$D$1203,$Z925-4000)),IF($Z925&lt;=5800,IF(INDEX(次果筐明细!$E$4:$E$603,$Z925-5200)=0,"",INDEX(次果筐明细!$E$4:$E$603,$Z925-5200)),"")))))</f>
        <v/>
      </c>
      <c r="F925" s="24" t="str">
        <f>IF($Z925="","",IF($Z925&lt;=2000,IF(INDEX(包装物料出入库明细!$E$4:$E$2003,$Z925-0)=0,"",INDEX(包装物料出入库明细!$E$4:$E$2003,$Z925-0)),IF($Z925&lt;=4000,IF(INDEX(周转筐出入库明细!$D$4:$D$2004,$Z925-2000)=0,"",INDEX(周转筐出入库明细!$D$4:$D$2004,$Z925-2000)),IF($Z925&lt;=5200,IF(INDEX(客户自备加工筐明细!$C$4:$C$1203,$Z925-4000)=0,"",INDEX(客户自备加工筐明细!$C$4:$C$1203,$Z925-4000)),IF($Z925&lt;=5800,IF(INDEX(次果筐明细!$D$4:$D$603,$Z925-5200)=0,"",INDEX(次果筐明细!$D$4:$D$603,$Z925-5200)),"")))))</f>
        <v/>
      </c>
      <c r="G925" s="24" t="str">
        <f>IF($Z925="","",IF($Z925&lt;=2000,IF(INDEX(包装物料出入库明细!$F$4:$F$2003,$Z925-0)=0,"",INDEX(包装物料出入库明细!$F$4:$F$2003,$Z925-0)),IF($Z925&lt;=4000,"",IF($Z925&lt;=5200,"",IF($Z925&lt;=5800,"","")))))</f>
        <v/>
      </c>
      <c r="H925" s="39" t="str">
        <f>IF($Z925="","",IF($Z925&lt;=2000,IF(INDEX(包装物料出入库明细!$L$4:$L$2003,$Z925-0)=0,"",INDEX(包装物料出入库明细!$L$4:$L$2003,$Z925-0)),IF($Z925&lt;=4000,N(INDEX(周转筐出入库明细!$H$4:$H$2004,$Z925-2000))+N(INDEX(周转筐出入库明细!$I$4:$I$2004,$Z925-2000))+N(INDEX(周转筐出入库明细!$J$4:$J$2004,$Z925-2000))+N(INDEX(周转筐出入库明细!$K$4:$K$2004,$Z925-2000)),IF($Z925&lt;=5200,N(INDEX(客户自备加工筐明细!$F$4:$F$1203,$Z925-4000))+N(INDEX(客户自备加工筐明细!$G$4:$G$1203,$Z925-4000)),IF($Z925&lt;=5800,IF(INDEX(次果筐明细!$G$4:$G$603,$Z925-5200)=0,"",INDEX(次果筐明细!$G$4:$G$603,$Z925-5200)),"")))))</f>
        <v/>
      </c>
      <c r="I925" s="24" t="str">
        <f>IF($Z925="","",IF($Z925&lt;=2000,IF(INDEX(包装物料出入库明细!$G$4:$G$2003,$Z925-0)=0,"",INDEX(包装物料出入库明细!$G$4:$G$2003,$Z925-0)),IF($Z925&lt;=4000,"个",IF($Z925&lt;=5200,"个",IF($Z925&lt;=5800,"个","")))))</f>
        <v/>
      </c>
      <c r="J925" s="30" t="str">
        <f t="shared" si="43"/>
        <v/>
      </c>
      <c r="K925" s="30" t="str">
        <f>IF($Z925="","",IF($Z925&lt;=2000,IF(INDEX(包装物料出入库明细!$N$4:$N$2003,$Z925-0)=0,"",INDEX(包装物料出入库明细!$N$4:$N$2003,$Z925-0)),IF($Z925&lt;=4000,IF(INDEX(周转筐出入库明细!$P$4:$P$2004,$Z925-2000)=0,"",INDEX(周转筐出入库明细!$P$4:$P$2004,$Z925-2000)),IF($Z925&lt;=5200,"",IF($Z925&lt;=5800,N(INDEX(次果筐明细!$L$4:$L$603,$Z925-5200))+N(INDEX(次果筐明细!$J$4:$J$603,$Z925-5200)),"")))))</f>
        <v/>
      </c>
      <c r="L925" s="24" t="str">
        <f>IF($Z925="","",IF($Z925&lt;=2000,IF(INDEX(包装物料出入库明细!$P$4:$P$2003,$Z925-0)=0,"",INDEX(包装物料出入库明细!$P$4:$P$2003,$Z925-0)),IF($Z925&lt;=4000,IF(INDEX(周转筐出入库明细!$Q$4:$Q$2004,$Z925-2000)=0,"",INDEX(周转筐出入库明细!$Q$4:$Q$2004,$Z925-2000)),IF($Z925&lt;=5200,"",IF($Z925&lt;=5800,IF(INDEX(次果筐明细!$M$4:$M$603,$Z925-5200)=0,"",INDEX(次果筐明细!$M$4:$M$603,$Z925-5200)),"")))))</f>
        <v/>
      </c>
      <c r="M925" s="37" t="str">
        <f>IF($Z925="","",IF($Z925&lt;=2000,IF(INDEX(包装物料出入库明细!$R$4:$R$2003,$Z925-0)=0,"",INDEX(包装物料出入库明细!$R$4:$R$2003,$Z925-0)),IF($Z925&lt;=4000,IF(INDEX(周转筐出入库明细!$W$4:$W$2004,$Z925-2000)=0,"",INDEX(周转筐出入库明细!$W$4:$W$2004,$Z925-2000)),IF($Z925&lt;=5200,IF(INDEX(客户自备加工筐明细!$L$4:$L$1203,$Z925-4000)=0,"",INDEX(客户自备加工筐明细!$L$4:$L$1203,$Z925-4000)),IF($Z925&lt;=5800,IF(INDEX(次果筐明细!$P$4:$P$603,$Z925-5200)=0,"",INDEX(次果筐明细!$P$4:$P$603,$Z925-5200)),"")))))</f>
        <v/>
      </c>
      <c r="N925" s="16" t="str">
        <f>IF($Z925="","",IF($Z925&lt;=2000,"",IF($Z925&lt;=4000,IF(INDEX(周转筐出入库明细!$D$4:$D$2004,$Z925-2000)=0,"",INDEX(周转筐出入库明细!$D$4:$D$2004,$Z925-2000)),IF($Z925&lt;=5200,IF(INDEX(客户自备加工筐明细!$C$4:$C$1203,$Z925-4000)=0,"",INDEX(客户自备加工筐明细!$C$4:$C$1203,$Z925-4000)),IF($Z925&lt;=5800,IF(INDEX(次果筐明细!$D$4:$D$603,$Z925-5200)=0,"",INDEX(次果筐明细!$D$4:$D$603,$Z925-5200)),"")))))</f>
        <v/>
      </c>
      <c r="O925" s="40" t="str">
        <f>IF($Z925="","",IF($Z925&lt;=2000,"",IF($Z925&lt;=4000,IF(N(INDEX(周转筐出入库明细!$J$4:$J$2004,$Z925-2000))+N(INDEX(周转筐出入库明细!$K$4:$K$2004,$Z925-2000))=0,"",N(INDEX(周转筐出入库明细!$J$4:$J$2004,$Z925-2000))+N(INDEX(周转筐出入库明细!$K$4:$K$2004,$Z925-2000))),IF($Z925&lt;=5200,IF(N(INDEX(客户自备加工筐明细!$G$4:$G$1203,$Z925-4000))=0,"",N(INDEX(客户自备加工筐明细!$G$4:$G$1203,$Z925-4000))),IF($Z925&lt;=5800,IF(ISNUMBER(SEARCH("退",INDEX(次果筐明细!$F$4:$F$603,$Z925-5200)&amp;"")),"",IF(N(INDEX(次果筐明细!$G$4:$G$603,$Z925-5200))=0,"",N(INDEX(次果筐明细!$G$4:$G$603,$Z925-5200)))),"")))))</f>
        <v/>
      </c>
      <c r="P925" s="40" t="str">
        <f>IF($Z925="","",IF($Z925&lt;=2000,"",IF($Z925&lt;=4000,IF(N(INDEX(周转筐出入库明细!$I$4:$I$2004,$Z925-2000))=0,"",N(INDEX(周转筐出入库明细!$I$4:$I$2004,$Z925-2000))),IF($Z925&lt;=5200,"",IF($Z925&lt;=5800,IF(ISNUMBER(SEARCH("退",INDEX(次果筐明细!$F$4:$F$603,$Z925-5200)&amp;"")),IF(N(INDEX(次果筐明细!$G$4:$G$603,$Z925-5200))=0,"",N(INDEX(次果筐明细!$G$4:$G$603,$Z925-5200))),""),"")))))</f>
        <v/>
      </c>
      <c r="Q925" s="40" t="str">
        <f>IF($Z925="","",IF($Z925&lt;=2000,"",IF($Z925&lt;=4000,IF(N(INDEX(周转筐出入库明细!$H$4:$H$2004,$Z925-2000))=0,"",N(INDEX(周转筐出入库明细!$H$4:$H$2004,$Z925-2000))),IF($Z925&lt;=5200,IF(N(INDEX(客户自备加工筐明细!$F$4:$F$1203,$Z925-4000))=0,"",N(INDEX(客户自备加工筐明细!$F$4:$F$1203,$Z925-4000))),IF($Z925&lt;=5800,"","")))))</f>
        <v/>
      </c>
      <c r="R925" s="16" t="str">
        <f>IF($Z925="","",IF($Z925&lt;=2000,IF(INDEX(包装物料出入库明细!$O$4:$O$2003,$Z925-0)=0,"",INDEX(包装物料出入库明细!$O$4:$O$2003,$Z925-0)),IF($Z925&lt;=4000,IF(INDEX(周转筐出入库明细!$M$4:$M$2004,$Z925-2000)=0,"",INDEX(周转筐出入库明细!$M$4:$M$2004,$Z925-2000)),IF($Z925&lt;=5200,IF(INDEX(客户自备加工筐明细!$H$4:$H$1203,$Z925-4000)=0,"",INDEX(客户自备加工筐明细!$H$4:$H$1203,$Z925-4000)),IF($Z925&lt;=5800,IF(INDEX(次果筐明细!$H$4:$H$603,$Z925-5200)=0,"",INDEX(次果筐明细!$H$4:$H$603,$Z925-5200)),"")))))</f>
        <v/>
      </c>
      <c r="S925" s="22" t="str">
        <f t="shared" si="44"/>
        <v/>
      </c>
      <c r="Z925" s="10" t="str">
        <f>IFERROR(MATCH(ROW()-3,_自动清单!$CQ$4:$CQ$5803,0),"")</f>
        <v/>
      </c>
    </row>
    <row r="926" spans="1:26">
      <c r="A926" s="24" t="str">
        <f t="shared" si="42"/>
        <v/>
      </c>
      <c r="B926" s="38" t="str">
        <f>IF($Z926="","",IF($Z926&lt;=2000,IF(INDEX(包装物料出入库明细!$B$4:$B$2003,$Z926-0)=0,"",INDEX(包装物料出入库明细!$B$4:$B$2003,$Z926-0)),IF($Z926&lt;=4000,IF(INDEX(周转筐出入库明细!$B$4:$B$2004,$Z926-2000)=0,"",INDEX(周转筐出入库明细!$B$4:$B$2004,$Z926-2000)),IF($Z926&lt;=5200,IF(INDEX(客户自备加工筐明细!$B$4:$B$1203,$Z926-4000)=0,"",INDEX(客户自备加工筐明细!$B$4:$B$1203,$Z926-4000)),IF($Z926&lt;=5800,IF(INDEX(次果筐明细!$B$4:$B$603,$Z926-5200)=0,"",INDEX(次果筐明细!$B$4:$B$603,$Z926-5200)),"")))))</f>
        <v/>
      </c>
      <c r="C926" s="37" t="str">
        <f>IF($Z926="","",IF($Z926&lt;=2000,IF(INDEX(包装物料出入库明细!$D$4:$D$2003,$Z926-0)=0,"",INDEX(包装物料出入库明细!$D$4:$D$2003,$Z926-0)),IF($Z926&lt;=4000,IF(INDEX(周转筐出入库明细!$C$4:$C$2004,$Z926-2000)=0,"",INDEX(周转筐出入库明细!$C$4:$C$2004,$Z926-2000)),IF($Z926&lt;=5200,IF(INDEX(客户自备加工筐明细!$E$4:$E$1203,$Z926-4000)=0,"",INDEX(客户自备加工筐明细!$E$4:$E$1203,$Z926-4000)),IF($Z926&lt;=5800,IF(INDEX(次果筐明细!$C$4:$C$603,$Z926-5200)=0,"",INDEX(次果筐明细!$C$4:$C$603,$Z926-5200)),"")))))</f>
        <v/>
      </c>
      <c r="D926" s="37" t="str">
        <f>IF($Z926="","",IF($Z926&lt;=2000,"包装物料－"&amp;INDEX(包装物料出入库明细!$H$4:$H$2003,$Z926-0),IF($Z926&lt;=4000,"周转筐－"&amp;INDEX(周转筐出入库明细!$F$4:$F$2004,$Z926-2000),IF($Z926&lt;=5200,"客户自备筐－"&amp;INDEX(客户自备加工筐明细!$J$4:$J$1203,$Z926-4000),IF($Z926&lt;=5800,"次果筐/托盘－"&amp;INDEX(次果筐明细!$F$4:$F$603,$Z926-5200),"")))))</f>
        <v/>
      </c>
      <c r="E926" s="24" t="str">
        <f>IF($Z926="","",IF($Z926&lt;=2000,IF(INDEX(包装物料出入库明细!$C$4:$C$2003,$Z926-0)=0,"",INDEX(包装物料出入库明细!$C$4:$C$2003,$Z926-0)),IF($Z926&lt;=4000,IF(INDEX(周转筐出入库明细!$E$4:$E$2004,$Z926-2000)=0,"",INDEX(周转筐出入库明细!$E$4:$E$2004,$Z926-2000)),IF($Z926&lt;=5200,IF(INDEX(客户自备加工筐明细!$D$4:$D$1203,$Z926-4000)=0,"",INDEX(客户自备加工筐明细!$D$4:$D$1203,$Z926-4000)),IF($Z926&lt;=5800,IF(INDEX(次果筐明细!$E$4:$E$603,$Z926-5200)=0,"",INDEX(次果筐明细!$E$4:$E$603,$Z926-5200)),"")))))</f>
        <v/>
      </c>
      <c r="F926" s="24" t="str">
        <f>IF($Z926="","",IF($Z926&lt;=2000,IF(INDEX(包装物料出入库明细!$E$4:$E$2003,$Z926-0)=0,"",INDEX(包装物料出入库明细!$E$4:$E$2003,$Z926-0)),IF($Z926&lt;=4000,IF(INDEX(周转筐出入库明细!$D$4:$D$2004,$Z926-2000)=0,"",INDEX(周转筐出入库明细!$D$4:$D$2004,$Z926-2000)),IF($Z926&lt;=5200,IF(INDEX(客户自备加工筐明细!$C$4:$C$1203,$Z926-4000)=0,"",INDEX(客户自备加工筐明细!$C$4:$C$1203,$Z926-4000)),IF($Z926&lt;=5800,IF(INDEX(次果筐明细!$D$4:$D$603,$Z926-5200)=0,"",INDEX(次果筐明细!$D$4:$D$603,$Z926-5200)),"")))))</f>
        <v/>
      </c>
      <c r="G926" s="24" t="str">
        <f>IF($Z926="","",IF($Z926&lt;=2000,IF(INDEX(包装物料出入库明细!$F$4:$F$2003,$Z926-0)=0,"",INDEX(包装物料出入库明细!$F$4:$F$2003,$Z926-0)),IF($Z926&lt;=4000,"",IF($Z926&lt;=5200,"",IF($Z926&lt;=5800,"","")))))</f>
        <v/>
      </c>
      <c r="H926" s="39" t="str">
        <f>IF($Z926="","",IF($Z926&lt;=2000,IF(INDEX(包装物料出入库明细!$L$4:$L$2003,$Z926-0)=0,"",INDEX(包装物料出入库明细!$L$4:$L$2003,$Z926-0)),IF($Z926&lt;=4000,N(INDEX(周转筐出入库明细!$H$4:$H$2004,$Z926-2000))+N(INDEX(周转筐出入库明细!$I$4:$I$2004,$Z926-2000))+N(INDEX(周转筐出入库明细!$J$4:$J$2004,$Z926-2000))+N(INDEX(周转筐出入库明细!$K$4:$K$2004,$Z926-2000)),IF($Z926&lt;=5200,N(INDEX(客户自备加工筐明细!$F$4:$F$1203,$Z926-4000))+N(INDEX(客户自备加工筐明细!$G$4:$G$1203,$Z926-4000)),IF($Z926&lt;=5800,IF(INDEX(次果筐明细!$G$4:$G$603,$Z926-5200)=0,"",INDEX(次果筐明细!$G$4:$G$603,$Z926-5200)),"")))))</f>
        <v/>
      </c>
      <c r="I926" s="24" t="str">
        <f>IF($Z926="","",IF($Z926&lt;=2000,IF(INDEX(包装物料出入库明细!$G$4:$G$2003,$Z926-0)=0,"",INDEX(包装物料出入库明细!$G$4:$G$2003,$Z926-0)),IF($Z926&lt;=4000,"个",IF($Z926&lt;=5200,"个",IF($Z926&lt;=5800,"个","")))))</f>
        <v/>
      </c>
      <c r="J926" s="30" t="str">
        <f t="shared" si="43"/>
        <v/>
      </c>
      <c r="K926" s="30" t="str">
        <f>IF($Z926="","",IF($Z926&lt;=2000,IF(INDEX(包装物料出入库明细!$N$4:$N$2003,$Z926-0)=0,"",INDEX(包装物料出入库明细!$N$4:$N$2003,$Z926-0)),IF($Z926&lt;=4000,IF(INDEX(周转筐出入库明细!$P$4:$P$2004,$Z926-2000)=0,"",INDEX(周转筐出入库明细!$P$4:$P$2004,$Z926-2000)),IF($Z926&lt;=5200,"",IF($Z926&lt;=5800,N(INDEX(次果筐明细!$L$4:$L$603,$Z926-5200))+N(INDEX(次果筐明细!$J$4:$J$603,$Z926-5200)),"")))))</f>
        <v/>
      </c>
      <c r="L926" s="24" t="str">
        <f>IF($Z926="","",IF($Z926&lt;=2000,IF(INDEX(包装物料出入库明细!$P$4:$P$2003,$Z926-0)=0,"",INDEX(包装物料出入库明细!$P$4:$P$2003,$Z926-0)),IF($Z926&lt;=4000,IF(INDEX(周转筐出入库明细!$Q$4:$Q$2004,$Z926-2000)=0,"",INDEX(周转筐出入库明细!$Q$4:$Q$2004,$Z926-2000)),IF($Z926&lt;=5200,"",IF($Z926&lt;=5800,IF(INDEX(次果筐明细!$M$4:$M$603,$Z926-5200)=0,"",INDEX(次果筐明细!$M$4:$M$603,$Z926-5200)),"")))))</f>
        <v/>
      </c>
      <c r="M926" s="37" t="str">
        <f>IF($Z926="","",IF($Z926&lt;=2000,IF(INDEX(包装物料出入库明细!$R$4:$R$2003,$Z926-0)=0,"",INDEX(包装物料出入库明细!$R$4:$R$2003,$Z926-0)),IF($Z926&lt;=4000,IF(INDEX(周转筐出入库明细!$W$4:$W$2004,$Z926-2000)=0,"",INDEX(周转筐出入库明细!$W$4:$W$2004,$Z926-2000)),IF($Z926&lt;=5200,IF(INDEX(客户自备加工筐明细!$L$4:$L$1203,$Z926-4000)=0,"",INDEX(客户自备加工筐明细!$L$4:$L$1203,$Z926-4000)),IF($Z926&lt;=5800,IF(INDEX(次果筐明细!$P$4:$P$603,$Z926-5200)=0,"",INDEX(次果筐明细!$P$4:$P$603,$Z926-5200)),"")))))</f>
        <v/>
      </c>
      <c r="N926" s="16" t="str">
        <f>IF($Z926="","",IF($Z926&lt;=2000,"",IF($Z926&lt;=4000,IF(INDEX(周转筐出入库明细!$D$4:$D$2004,$Z926-2000)=0,"",INDEX(周转筐出入库明细!$D$4:$D$2004,$Z926-2000)),IF($Z926&lt;=5200,IF(INDEX(客户自备加工筐明细!$C$4:$C$1203,$Z926-4000)=0,"",INDEX(客户自备加工筐明细!$C$4:$C$1203,$Z926-4000)),IF($Z926&lt;=5800,IF(INDEX(次果筐明细!$D$4:$D$603,$Z926-5200)=0,"",INDEX(次果筐明细!$D$4:$D$603,$Z926-5200)),"")))))</f>
        <v/>
      </c>
      <c r="O926" s="40" t="str">
        <f>IF($Z926="","",IF($Z926&lt;=2000,"",IF($Z926&lt;=4000,IF(N(INDEX(周转筐出入库明细!$J$4:$J$2004,$Z926-2000))+N(INDEX(周转筐出入库明细!$K$4:$K$2004,$Z926-2000))=0,"",N(INDEX(周转筐出入库明细!$J$4:$J$2004,$Z926-2000))+N(INDEX(周转筐出入库明细!$K$4:$K$2004,$Z926-2000))),IF($Z926&lt;=5200,IF(N(INDEX(客户自备加工筐明细!$G$4:$G$1203,$Z926-4000))=0,"",N(INDEX(客户自备加工筐明细!$G$4:$G$1203,$Z926-4000))),IF($Z926&lt;=5800,IF(ISNUMBER(SEARCH("退",INDEX(次果筐明细!$F$4:$F$603,$Z926-5200)&amp;"")),"",IF(N(INDEX(次果筐明细!$G$4:$G$603,$Z926-5200))=0,"",N(INDEX(次果筐明细!$G$4:$G$603,$Z926-5200)))),"")))))</f>
        <v/>
      </c>
      <c r="P926" s="40" t="str">
        <f>IF($Z926="","",IF($Z926&lt;=2000,"",IF($Z926&lt;=4000,IF(N(INDEX(周转筐出入库明细!$I$4:$I$2004,$Z926-2000))=0,"",N(INDEX(周转筐出入库明细!$I$4:$I$2004,$Z926-2000))),IF($Z926&lt;=5200,"",IF($Z926&lt;=5800,IF(ISNUMBER(SEARCH("退",INDEX(次果筐明细!$F$4:$F$603,$Z926-5200)&amp;"")),IF(N(INDEX(次果筐明细!$G$4:$G$603,$Z926-5200))=0,"",N(INDEX(次果筐明细!$G$4:$G$603,$Z926-5200))),""),"")))))</f>
        <v/>
      </c>
      <c r="Q926" s="40" t="str">
        <f>IF($Z926="","",IF($Z926&lt;=2000,"",IF($Z926&lt;=4000,IF(N(INDEX(周转筐出入库明细!$H$4:$H$2004,$Z926-2000))=0,"",N(INDEX(周转筐出入库明细!$H$4:$H$2004,$Z926-2000))),IF($Z926&lt;=5200,IF(N(INDEX(客户自备加工筐明细!$F$4:$F$1203,$Z926-4000))=0,"",N(INDEX(客户自备加工筐明细!$F$4:$F$1203,$Z926-4000))),IF($Z926&lt;=5800,"","")))))</f>
        <v/>
      </c>
      <c r="R926" s="16" t="str">
        <f>IF($Z926="","",IF($Z926&lt;=2000,IF(INDEX(包装物料出入库明细!$O$4:$O$2003,$Z926-0)=0,"",INDEX(包装物料出入库明细!$O$4:$O$2003,$Z926-0)),IF($Z926&lt;=4000,IF(INDEX(周转筐出入库明细!$M$4:$M$2004,$Z926-2000)=0,"",INDEX(周转筐出入库明细!$M$4:$M$2004,$Z926-2000)),IF($Z926&lt;=5200,IF(INDEX(客户自备加工筐明细!$H$4:$H$1203,$Z926-4000)=0,"",INDEX(客户自备加工筐明细!$H$4:$H$1203,$Z926-4000)),IF($Z926&lt;=5800,IF(INDEX(次果筐明细!$H$4:$H$603,$Z926-5200)=0,"",INDEX(次果筐明细!$H$4:$H$603,$Z926-5200)),"")))))</f>
        <v/>
      </c>
      <c r="S926" s="22" t="str">
        <f t="shared" si="44"/>
        <v/>
      </c>
      <c r="Z926" s="10" t="str">
        <f>IFERROR(MATCH(ROW()-3,_自动清单!$CQ$4:$CQ$5803,0),"")</f>
        <v/>
      </c>
    </row>
    <row r="927" spans="1:26">
      <c r="A927" s="24" t="str">
        <f t="shared" si="42"/>
        <v/>
      </c>
      <c r="B927" s="38" t="str">
        <f>IF($Z927="","",IF($Z927&lt;=2000,IF(INDEX(包装物料出入库明细!$B$4:$B$2003,$Z927-0)=0,"",INDEX(包装物料出入库明细!$B$4:$B$2003,$Z927-0)),IF($Z927&lt;=4000,IF(INDEX(周转筐出入库明细!$B$4:$B$2004,$Z927-2000)=0,"",INDEX(周转筐出入库明细!$B$4:$B$2004,$Z927-2000)),IF($Z927&lt;=5200,IF(INDEX(客户自备加工筐明细!$B$4:$B$1203,$Z927-4000)=0,"",INDEX(客户自备加工筐明细!$B$4:$B$1203,$Z927-4000)),IF($Z927&lt;=5800,IF(INDEX(次果筐明细!$B$4:$B$603,$Z927-5200)=0,"",INDEX(次果筐明细!$B$4:$B$603,$Z927-5200)),"")))))</f>
        <v/>
      </c>
      <c r="C927" s="37" t="str">
        <f>IF($Z927="","",IF($Z927&lt;=2000,IF(INDEX(包装物料出入库明细!$D$4:$D$2003,$Z927-0)=0,"",INDEX(包装物料出入库明细!$D$4:$D$2003,$Z927-0)),IF($Z927&lt;=4000,IF(INDEX(周转筐出入库明细!$C$4:$C$2004,$Z927-2000)=0,"",INDEX(周转筐出入库明细!$C$4:$C$2004,$Z927-2000)),IF($Z927&lt;=5200,IF(INDEX(客户自备加工筐明细!$E$4:$E$1203,$Z927-4000)=0,"",INDEX(客户自备加工筐明细!$E$4:$E$1203,$Z927-4000)),IF($Z927&lt;=5800,IF(INDEX(次果筐明细!$C$4:$C$603,$Z927-5200)=0,"",INDEX(次果筐明细!$C$4:$C$603,$Z927-5200)),"")))))</f>
        <v/>
      </c>
      <c r="D927" s="37" t="str">
        <f>IF($Z927="","",IF($Z927&lt;=2000,"包装物料－"&amp;INDEX(包装物料出入库明细!$H$4:$H$2003,$Z927-0),IF($Z927&lt;=4000,"周转筐－"&amp;INDEX(周转筐出入库明细!$F$4:$F$2004,$Z927-2000),IF($Z927&lt;=5200,"客户自备筐－"&amp;INDEX(客户自备加工筐明细!$J$4:$J$1203,$Z927-4000),IF($Z927&lt;=5800,"次果筐/托盘－"&amp;INDEX(次果筐明细!$F$4:$F$603,$Z927-5200),"")))))</f>
        <v/>
      </c>
      <c r="E927" s="24" t="str">
        <f>IF($Z927="","",IF($Z927&lt;=2000,IF(INDEX(包装物料出入库明细!$C$4:$C$2003,$Z927-0)=0,"",INDEX(包装物料出入库明细!$C$4:$C$2003,$Z927-0)),IF($Z927&lt;=4000,IF(INDEX(周转筐出入库明细!$E$4:$E$2004,$Z927-2000)=0,"",INDEX(周转筐出入库明细!$E$4:$E$2004,$Z927-2000)),IF($Z927&lt;=5200,IF(INDEX(客户自备加工筐明细!$D$4:$D$1203,$Z927-4000)=0,"",INDEX(客户自备加工筐明细!$D$4:$D$1203,$Z927-4000)),IF($Z927&lt;=5800,IF(INDEX(次果筐明细!$E$4:$E$603,$Z927-5200)=0,"",INDEX(次果筐明细!$E$4:$E$603,$Z927-5200)),"")))))</f>
        <v/>
      </c>
      <c r="F927" s="24" t="str">
        <f>IF($Z927="","",IF($Z927&lt;=2000,IF(INDEX(包装物料出入库明细!$E$4:$E$2003,$Z927-0)=0,"",INDEX(包装物料出入库明细!$E$4:$E$2003,$Z927-0)),IF($Z927&lt;=4000,IF(INDEX(周转筐出入库明细!$D$4:$D$2004,$Z927-2000)=0,"",INDEX(周转筐出入库明细!$D$4:$D$2004,$Z927-2000)),IF($Z927&lt;=5200,IF(INDEX(客户自备加工筐明细!$C$4:$C$1203,$Z927-4000)=0,"",INDEX(客户自备加工筐明细!$C$4:$C$1203,$Z927-4000)),IF($Z927&lt;=5800,IF(INDEX(次果筐明细!$D$4:$D$603,$Z927-5200)=0,"",INDEX(次果筐明细!$D$4:$D$603,$Z927-5200)),"")))))</f>
        <v/>
      </c>
      <c r="G927" s="24" t="str">
        <f>IF($Z927="","",IF($Z927&lt;=2000,IF(INDEX(包装物料出入库明细!$F$4:$F$2003,$Z927-0)=0,"",INDEX(包装物料出入库明细!$F$4:$F$2003,$Z927-0)),IF($Z927&lt;=4000,"",IF($Z927&lt;=5200,"",IF($Z927&lt;=5800,"","")))))</f>
        <v/>
      </c>
      <c r="H927" s="39" t="str">
        <f>IF($Z927="","",IF($Z927&lt;=2000,IF(INDEX(包装物料出入库明细!$L$4:$L$2003,$Z927-0)=0,"",INDEX(包装物料出入库明细!$L$4:$L$2003,$Z927-0)),IF($Z927&lt;=4000,N(INDEX(周转筐出入库明细!$H$4:$H$2004,$Z927-2000))+N(INDEX(周转筐出入库明细!$I$4:$I$2004,$Z927-2000))+N(INDEX(周转筐出入库明细!$J$4:$J$2004,$Z927-2000))+N(INDEX(周转筐出入库明细!$K$4:$K$2004,$Z927-2000)),IF($Z927&lt;=5200,N(INDEX(客户自备加工筐明细!$F$4:$F$1203,$Z927-4000))+N(INDEX(客户自备加工筐明细!$G$4:$G$1203,$Z927-4000)),IF($Z927&lt;=5800,IF(INDEX(次果筐明细!$G$4:$G$603,$Z927-5200)=0,"",INDEX(次果筐明细!$G$4:$G$603,$Z927-5200)),"")))))</f>
        <v/>
      </c>
      <c r="I927" s="24" t="str">
        <f>IF($Z927="","",IF($Z927&lt;=2000,IF(INDEX(包装物料出入库明细!$G$4:$G$2003,$Z927-0)=0,"",INDEX(包装物料出入库明细!$G$4:$G$2003,$Z927-0)),IF($Z927&lt;=4000,"个",IF($Z927&lt;=5200,"个",IF($Z927&lt;=5800,"个","")))))</f>
        <v/>
      </c>
      <c r="J927" s="30" t="str">
        <f t="shared" si="43"/>
        <v/>
      </c>
      <c r="K927" s="30" t="str">
        <f>IF($Z927="","",IF($Z927&lt;=2000,IF(INDEX(包装物料出入库明细!$N$4:$N$2003,$Z927-0)=0,"",INDEX(包装物料出入库明细!$N$4:$N$2003,$Z927-0)),IF($Z927&lt;=4000,IF(INDEX(周转筐出入库明细!$P$4:$P$2004,$Z927-2000)=0,"",INDEX(周转筐出入库明细!$P$4:$P$2004,$Z927-2000)),IF($Z927&lt;=5200,"",IF($Z927&lt;=5800,N(INDEX(次果筐明细!$L$4:$L$603,$Z927-5200))+N(INDEX(次果筐明细!$J$4:$J$603,$Z927-5200)),"")))))</f>
        <v/>
      </c>
      <c r="L927" s="24" t="str">
        <f>IF($Z927="","",IF($Z927&lt;=2000,IF(INDEX(包装物料出入库明细!$P$4:$P$2003,$Z927-0)=0,"",INDEX(包装物料出入库明细!$P$4:$P$2003,$Z927-0)),IF($Z927&lt;=4000,IF(INDEX(周转筐出入库明细!$Q$4:$Q$2004,$Z927-2000)=0,"",INDEX(周转筐出入库明细!$Q$4:$Q$2004,$Z927-2000)),IF($Z927&lt;=5200,"",IF($Z927&lt;=5800,IF(INDEX(次果筐明细!$M$4:$M$603,$Z927-5200)=0,"",INDEX(次果筐明细!$M$4:$M$603,$Z927-5200)),"")))))</f>
        <v/>
      </c>
      <c r="M927" s="37" t="str">
        <f>IF($Z927="","",IF($Z927&lt;=2000,IF(INDEX(包装物料出入库明细!$R$4:$R$2003,$Z927-0)=0,"",INDEX(包装物料出入库明细!$R$4:$R$2003,$Z927-0)),IF($Z927&lt;=4000,IF(INDEX(周转筐出入库明细!$W$4:$W$2004,$Z927-2000)=0,"",INDEX(周转筐出入库明细!$W$4:$W$2004,$Z927-2000)),IF($Z927&lt;=5200,IF(INDEX(客户自备加工筐明细!$L$4:$L$1203,$Z927-4000)=0,"",INDEX(客户自备加工筐明细!$L$4:$L$1203,$Z927-4000)),IF($Z927&lt;=5800,IF(INDEX(次果筐明细!$P$4:$P$603,$Z927-5200)=0,"",INDEX(次果筐明细!$P$4:$P$603,$Z927-5200)),"")))))</f>
        <v/>
      </c>
      <c r="N927" s="16" t="str">
        <f>IF($Z927="","",IF($Z927&lt;=2000,"",IF($Z927&lt;=4000,IF(INDEX(周转筐出入库明细!$D$4:$D$2004,$Z927-2000)=0,"",INDEX(周转筐出入库明细!$D$4:$D$2004,$Z927-2000)),IF($Z927&lt;=5200,IF(INDEX(客户自备加工筐明细!$C$4:$C$1203,$Z927-4000)=0,"",INDEX(客户自备加工筐明细!$C$4:$C$1203,$Z927-4000)),IF($Z927&lt;=5800,IF(INDEX(次果筐明细!$D$4:$D$603,$Z927-5200)=0,"",INDEX(次果筐明细!$D$4:$D$603,$Z927-5200)),"")))))</f>
        <v/>
      </c>
      <c r="O927" s="40" t="str">
        <f>IF($Z927="","",IF($Z927&lt;=2000,"",IF($Z927&lt;=4000,IF(N(INDEX(周转筐出入库明细!$J$4:$J$2004,$Z927-2000))+N(INDEX(周转筐出入库明细!$K$4:$K$2004,$Z927-2000))=0,"",N(INDEX(周转筐出入库明细!$J$4:$J$2004,$Z927-2000))+N(INDEX(周转筐出入库明细!$K$4:$K$2004,$Z927-2000))),IF($Z927&lt;=5200,IF(N(INDEX(客户自备加工筐明细!$G$4:$G$1203,$Z927-4000))=0,"",N(INDEX(客户自备加工筐明细!$G$4:$G$1203,$Z927-4000))),IF($Z927&lt;=5800,IF(ISNUMBER(SEARCH("退",INDEX(次果筐明细!$F$4:$F$603,$Z927-5200)&amp;"")),"",IF(N(INDEX(次果筐明细!$G$4:$G$603,$Z927-5200))=0,"",N(INDEX(次果筐明细!$G$4:$G$603,$Z927-5200)))),"")))))</f>
        <v/>
      </c>
      <c r="P927" s="40" t="str">
        <f>IF($Z927="","",IF($Z927&lt;=2000,"",IF($Z927&lt;=4000,IF(N(INDEX(周转筐出入库明细!$I$4:$I$2004,$Z927-2000))=0,"",N(INDEX(周转筐出入库明细!$I$4:$I$2004,$Z927-2000))),IF($Z927&lt;=5200,"",IF($Z927&lt;=5800,IF(ISNUMBER(SEARCH("退",INDEX(次果筐明细!$F$4:$F$603,$Z927-5200)&amp;"")),IF(N(INDEX(次果筐明细!$G$4:$G$603,$Z927-5200))=0,"",N(INDEX(次果筐明细!$G$4:$G$603,$Z927-5200))),""),"")))))</f>
        <v/>
      </c>
      <c r="Q927" s="40" t="str">
        <f>IF($Z927="","",IF($Z927&lt;=2000,"",IF($Z927&lt;=4000,IF(N(INDEX(周转筐出入库明细!$H$4:$H$2004,$Z927-2000))=0,"",N(INDEX(周转筐出入库明细!$H$4:$H$2004,$Z927-2000))),IF($Z927&lt;=5200,IF(N(INDEX(客户自备加工筐明细!$F$4:$F$1203,$Z927-4000))=0,"",N(INDEX(客户自备加工筐明细!$F$4:$F$1203,$Z927-4000))),IF($Z927&lt;=5800,"","")))))</f>
        <v/>
      </c>
      <c r="R927" s="16" t="str">
        <f>IF($Z927="","",IF($Z927&lt;=2000,IF(INDEX(包装物料出入库明细!$O$4:$O$2003,$Z927-0)=0,"",INDEX(包装物料出入库明细!$O$4:$O$2003,$Z927-0)),IF($Z927&lt;=4000,IF(INDEX(周转筐出入库明细!$M$4:$M$2004,$Z927-2000)=0,"",INDEX(周转筐出入库明细!$M$4:$M$2004,$Z927-2000)),IF($Z927&lt;=5200,IF(INDEX(客户自备加工筐明细!$H$4:$H$1203,$Z927-4000)=0,"",INDEX(客户自备加工筐明细!$H$4:$H$1203,$Z927-4000)),IF($Z927&lt;=5800,IF(INDEX(次果筐明细!$H$4:$H$603,$Z927-5200)=0,"",INDEX(次果筐明细!$H$4:$H$603,$Z927-5200)),"")))))</f>
        <v/>
      </c>
      <c r="S927" s="22" t="str">
        <f t="shared" si="44"/>
        <v/>
      </c>
      <c r="Z927" s="10" t="str">
        <f>IFERROR(MATCH(ROW()-3,_自动清单!$CQ$4:$CQ$5803,0),"")</f>
        <v/>
      </c>
    </row>
    <row r="928" spans="1:26">
      <c r="A928" s="24" t="str">
        <f t="shared" si="42"/>
        <v/>
      </c>
      <c r="B928" s="38" t="str">
        <f>IF($Z928="","",IF($Z928&lt;=2000,IF(INDEX(包装物料出入库明细!$B$4:$B$2003,$Z928-0)=0,"",INDEX(包装物料出入库明细!$B$4:$B$2003,$Z928-0)),IF($Z928&lt;=4000,IF(INDEX(周转筐出入库明细!$B$4:$B$2004,$Z928-2000)=0,"",INDEX(周转筐出入库明细!$B$4:$B$2004,$Z928-2000)),IF($Z928&lt;=5200,IF(INDEX(客户自备加工筐明细!$B$4:$B$1203,$Z928-4000)=0,"",INDEX(客户自备加工筐明细!$B$4:$B$1203,$Z928-4000)),IF($Z928&lt;=5800,IF(INDEX(次果筐明细!$B$4:$B$603,$Z928-5200)=0,"",INDEX(次果筐明细!$B$4:$B$603,$Z928-5200)),"")))))</f>
        <v/>
      </c>
      <c r="C928" s="37" t="str">
        <f>IF($Z928="","",IF($Z928&lt;=2000,IF(INDEX(包装物料出入库明细!$D$4:$D$2003,$Z928-0)=0,"",INDEX(包装物料出入库明细!$D$4:$D$2003,$Z928-0)),IF($Z928&lt;=4000,IF(INDEX(周转筐出入库明细!$C$4:$C$2004,$Z928-2000)=0,"",INDEX(周转筐出入库明细!$C$4:$C$2004,$Z928-2000)),IF($Z928&lt;=5200,IF(INDEX(客户自备加工筐明细!$E$4:$E$1203,$Z928-4000)=0,"",INDEX(客户自备加工筐明细!$E$4:$E$1203,$Z928-4000)),IF($Z928&lt;=5800,IF(INDEX(次果筐明细!$C$4:$C$603,$Z928-5200)=0,"",INDEX(次果筐明细!$C$4:$C$603,$Z928-5200)),"")))))</f>
        <v/>
      </c>
      <c r="D928" s="37" t="str">
        <f>IF($Z928="","",IF($Z928&lt;=2000,"包装物料－"&amp;INDEX(包装物料出入库明细!$H$4:$H$2003,$Z928-0),IF($Z928&lt;=4000,"周转筐－"&amp;INDEX(周转筐出入库明细!$F$4:$F$2004,$Z928-2000),IF($Z928&lt;=5200,"客户自备筐－"&amp;INDEX(客户自备加工筐明细!$J$4:$J$1203,$Z928-4000),IF($Z928&lt;=5800,"次果筐/托盘－"&amp;INDEX(次果筐明细!$F$4:$F$603,$Z928-5200),"")))))</f>
        <v/>
      </c>
      <c r="E928" s="24" t="str">
        <f>IF($Z928="","",IF($Z928&lt;=2000,IF(INDEX(包装物料出入库明细!$C$4:$C$2003,$Z928-0)=0,"",INDEX(包装物料出入库明细!$C$4:$C$2003,$Z928-0)),IF($Z928&lt;=4000,IF(INDEX(周转筐出入库明细!$E$4:$E$2004,$Z928-2000)=0,"",INDEX(周转筐出入库明细!$E$4:$E$2004,$Z928-2000)),IF($Z928&lt;=5200,IF(INDEX(客户自备加工筐明细!$D$4:$D$1203,$Z928-4000)=0,"",INDEX(客户自备加工筐明细!$D$4:$D$1203,$Z928-4000)),IF($Z928&lt;=5800,IF(INDEX(次果筐明细!$E$4:$E$603,$Z928-5200)=0,"",INDEX(次果筐明细!$E$4:$E$603,$Z928-5200)),"")))))</f>
        <v/>
      </c>
      <c r="F928" s="24" t="str">
        <f>IF($Z928="","",IF($Z928&lt;=2000,IF(INDEX(包装物料出入库明细!$E$4:$E$2003,$Z928-0)=0,"",INDEX(包装物料出入库明细!$E$4:$E$2003,$Z928-0)),IF($Z928&lt;=4000,IF(INDEX(周转筐出入库明细!$D$4:$D$2004,$Z928-2000)=0,"",INDEX(周转筐出入库明细!$D$4:$D$2004,$Z928-2000)),IF($Z928&lt;=5200,IF(INDEX(客户自备加工筐明细!$C$4:$C$1203,$Z928-4000)=0,"",INDEX(客户自备加工筐明细!$C$4:$C$1203,$Z928-4000)),IF($Z928&lt;=5800,IF(INDEX(次果筐明细!$D$4:$D$603,$Z928-5200)=0,"",INDEX(次果筐明细!$D$4:$D$603,$Z928-5200)),"")))))</f>
        <v/>
      </c>
      <c r="G928" s="24" t="str">
        <f>IF($Z928="","",IF($Z928&lt;=2000,IF(INDEX(包装物料出入库明细!$F$4:$F$2003,$Z928-0)=0,"",INDEX(包装物料出入库明细!$F$4:$F$2003,$Z928-0)),IF($Z928&lt;=4000,"",IF($Z928&lt;=5200,"",IF($Z928&lt;=5800,"","")))))</f>
        <v/>
      </c>
      <c r="H928" s="39" t="str">
        <f>IF($Z928="","",IF($Z928&lt;=2000,IF(INDEX(包装物料出入库明细!$L$4:$L$2003,$Z928-0)=0,"",INDEX(包装物料出入库明细!$L$4:$L$2003,$Z928-0)),IF($Z928&lt;=4000,N(INDEX(周转筐出入库明细!$H$4:$H$2004,$Z928-2000))+N(INDEX(周转筐出入库明细!$I$4:$I$2004,$Z928-2000))+N(INDEX(周转筐出入库明细!$J$4:$J$2004,$Z928-2000))+N(INDEX(周转筐出入库明细!$K$4:$K$2004,$Z928-2000)),IF($Z928&lt;=5200,N(INDEX(客户自备加工筐明细!$F$4:$F$1203,$Z928-4000))+N(INDEX(客户自备加工筐明细!$G$4:$G$1203,$Z928-4000)),IF($Z928&lt;=5800,IF(INDEX(次果筐明细!$G$4:$G$603,$Z928-5200)=0,"",INDEX(次果筐明细!$G$4:$G$603,$Z928-5200)),"")))))</f>
        <v/>
      </c>
      <c r="I928" s="24" t="str">
        <f>IF($Z928="","",IF($Z928&lt;=2000,IF(INDEX(包装物料出入库明细!$G$4:$G$2003,$Z928-0)=0,"",INDEX(包装物料出入库明细!$G$4:$G$2003,$Z928-0)),IF($Z928&lt;=4000,"个",IF($Z928&lt;=5200,"个",IF($Z928&lt;=5800,"个","")))))</f>
        <v/>
      </c>
      <c r="J928" s="30" t="str">
        <f t="shared" si="43"/>
        <v/>
      </c>
      <c r="K928" s="30" t="str">
        <f>IF($Z928="","",IF($Z928&lt;=2000,IF(INDEX(包装物料出入库明细!$N$4:$N$2003,$Z928-0)=0,"",INDEX(包装物料出入库明细!$N$4:$N$2003,$Z928-0)),IF($Z928&lt;=4000,IF(INDEX(周转筐出入库明细!$P$4:$P$2004,$Z928-2000)=0,"",INDEX(周转筐出入库明细!$P$4:$P$2004,$Z928-2000)),IF($Z928&lt;=5200,"",IF($Z928&lt;=5800,N(INDEX(次果筐明细!$L$4:$L$603,$Z928-5200))+N(INDEX(次果筐明细!$J$4:$J$603,$Z928-5200)),"")))))</f>
        <v/>
      </c>
      <c r="L928" s="24" t="str">
        <f>IF($Z928="","",IF($Z928&lt;=2000,IF(INDEX(包装物料出入库明细!$P$4:$P$2003,$Z928-0)=0,"",INDEX(包装物料出入库明细!$P$4:$P$2003,$Z928-0)),IF($Z928&lt;=4000,IF(INDEX(周转筐出入库明细!$Q$4:$Q$2004,$Z928-2000)=0,"",INDEX(周转筐出入库明细!$Q$4:$Q$2004,$Z928-2000)),IF($Z928&lt;=5200,"",IF($Z928&lt;=5800,IF(INDEX(次果筐明细!$M$4:$M$603,$Z928-5200)=0,"",INDEX(次果筐明细!$M$4:$M$603,$Z928-5200)),"")))))</f>
        <v/>
      </c>
      <c r="M928" s="37" t="str">
        <f>IF($Z928="","",IF($Z928&lt;=2000,IF(INDEX(包装物料出入库明细!$R$4:$R$2003,$Z928-0)=0,"",INDEX(包装物料出入库明细!$R$4:$R$2003,$Z928-0)),IF($Z928&lt;=4000,IF(INDEX(周转筐出入库明细!$W$4:$W$2004,$Z928-2000)=0,"",INDEX(周转筐出入库明细!$W$4:$W$2004,$Z928-2000)),IF($Z928&lt;=5200,IF(INDEX(客户自备加工筐明细!$L$4:$L$1203,$Z928-4000)=0,"",INDEX(客户自备加工筐明细!$L$4:$L$1203,$Z928-4000)),IF($Z928&lt;=5800,IF(INDEX(次果筐明细!$P$4:$P$603,$Z928-5200)=0,"",INDEX(次果筐明细!$P$4:$P$603,$Z928-5200)),"")))))</f>
        <v/>
      </c>
      <c r="N928" s="16" t="str">
        <f>IF($Z928="","",IF($Z928&lt;=2000,"",IF($Z928&lt;=4000,IF(INDEX(周转筐出入库明细!$D$4:$D$2004,$Z928-2000)=0,"",INDEX(周转筐出入库明细!$D$4:$D$2004,$Z928-2000)),IF($Z928&lt;=5200,IF(INDEX(客户自备加工筐明细!$C$4:$C$1203,$Z928-4000)=0,"",INDEX(客户自备加工筐明细!$C$4:$C$1203,$Z928-4000)),IF($Z928&lt;=5800,IF(INDEX(次果筐明细!$D$4:$D$603,$Z928-5200)=0,"",INDEX(次果筐明细!$D$4:$D$603,$Z928-5200)),"")))))</f>
        <v/>
      </c>
      <c r="O928" s="40" t="str">
        <f>IF($Z928="","",IF($Z928&lt;=2000,"",IF($Z928&lt;=4000,IF(N(INDEX(周转筐出入库明细!$J$4:$J$2004,$Z928-2000))+N(INDEX(周转筐出入库明细!$K$4:$K$2004,$Z928-2000))=0,"",N(INDEX(周转筐出入库明细!$J$4:$J$2004,$Z928-2000))+N(INDEX(周转筐出入库明细!$K$4:$K$2004,$Z928-2000))),IF($Z928&lt;=5200,IF(N(INDEX(客户自备加工筐明细!$G$4:$G$1203,$Z928-4000))=0,"",N(INDEX(客户自备加工筐明细!$G$4:$G$1203,$Z928-4000))),IF($Z928&lt;=5800,IF(ISNUMBER(SEARCH("退",INDEX(次果筐明细!$F$4:$F$603,$Z928-5200)&amp;"")),"",IF(N(INDEX(次果筐明细!$G$4:$G$603,$Z928-5200))=0,"",N(INDEX(次果筐明细!$G$4:$G$603,$Z928-5200)))),"")))))</f>
        <v/>
      </c>
      <c r="P928" s="40" t="str">
        <f>IF($Z928="","",IF($Z928&lt;=2000,"",IF($Z928&lt;=4000,IF(N(INDEX(周转筐出入库明细!$I$4:$I$2004,$Z928-2000))=0,"",N(INDEX(周转筐出入库明细!$I$4:$I$2004,$Z928-2000))),IF($Z928&lt;=5200,"",IF($Z928&lt;=5800,IF(ISNUMBER(SEARCH("退",INDEX(次果筐明细!$F$4:$F$603,$Z928-5200)&amp;"")),IF(N(INDEX(次果筐明细!$G$4:$G$603,$Z928-5200))=0,"",N(INDEX(次果筐明细!$G$4:$G$603,$Z928-5200))),""),"")))))</f>
        <v/>
      </c>
      <c r="Q928" s="40" t="str">
        <f>IF($Z928="","",IF($Z928&lt;=2000,"",IF($Z928&lt;=4000,IF(N(INDEX(周转筐出入库明细!$H$4:$H$2004,$Z928-2000))=0,"",N(INDEX(周转筐出入库明细!$H$4:$H$2004,$Z928-2000))),IF($Z928&lt;=5200,IF(N(INDEX(客户自备加工筐明细!$F$4:$F$1203,$Z928-4000))=0,"",N(INDEX(客户自备加工筐明细!$F$4:$F$1203,$Z928-4000))),IF($Z928&lt;=5800,"","")))))</f>
        <v/>
      </c>
      <c r="R928" s="16" t="str">
        <f>IF($Z928="","",IF($Z928&lt;=2000,IF(INDEX(包装物料出入库明细!$O$4:$O$2003,$Z928-0)=0,"",INDEX(包装物料出入库明细!$O$4:$O$2003,$Z928-0)),IF($Z928&lt;=4000,IF(INDEX(周转筐出入库明细!$M$4:$M$2004,$Z928-2000)=0,"",INDEX(周转筐出入库明细!$M$4:$M$2004,$Z928-2000)),IF($Z928&lt;=5200,IF(INDEX(客户自备加工筐明细!$H$4:$H$1203,$Z928-4000)=0,"",INDEX(客户自备加工筐明细!$H$4:$H$1203,$Z928-4000)),IF($Z928&lt;=5800,IF(INDEX(次果筐明细!$H$4:$H$603,$Z928-5200)=0,"",INDEX(次果筐明细!$H$4:$H$603,$Z928-5200)),"")))))</f>
        <v/>
      </c>
      <c r="S928" s="22" t="str">
        <f t="shared" si="44"/>
        <v/>
      </c>
      <c r="Z928" s="10" t="str">
        <f>IFERROR(MATCH(ROW()-3,_自动清单!$CQ$4:$CQ$5803,0),"")</f>
        <v/>
      </c>
    </row>
    <row r="929" spans="1:26">
      <c r="A929" s="24" t="str">
        <f t="shared" si="42"/>
        <v/>
      </c>
      <c r="B929" s="38" t="str">
        <f>IF($Z929="","",IF($Z929&lt;=2000,IF(INDEX(包装物料出入库明细!$B$4:$B$2003,$Z929-0)=0,"",INDEX(包装物料出入库明细!$B$4:$B$2003,$Z929-0)),IF($Z929&lt;=4000,IF(INDEX(周转筐出入库明细!$B$4:$B$2004,$Z929-2000)=0,"",INDEX(周转筐出入库明细!$B$4:$B$2004,$Z929-2000)),IF($Z929&lt;=5200,IF(INDEX(客户自备加工筐明细!$B$4:$B$1203,$Z929-4000)=0,"",INDEX(客户自备加工筐明细!$B$4:$B$1203,$Z929-4000)),IF($Z929&lt;=5800,IF(INDEX(次果筐明细!$B$4:$B$603,$Z929-5200)=0,"",INDEX(次果筐明细!$B$4:$B$603,$Z929-5200)),"")))))</f>
        <v/>
      </c>
      <c r="C929" s="37" t="str">
        <f>IF($Z929="","",IF($Z929&lt;=2000,IF(INDEX(包装物料出入库明细!$D$4:$D$2003,$Z929-0)=0,"",INDEX(包装物料出入库明细!$D$4:$D$2003,$Z929-0)),IF($Z929&lt;=4000,IF(INDEX(周转筐出入库明细!$C$4:$C$2004,$Z929-2000)=0,"",INDEX(周转筐出入库明细!$C$4:$C$2004,$Z929-2000)),IF($Z929&lt;=5200,IF(INDEX(客户自备加工筐明细!$E$4:$E$1203,$Z929-4000)=0,"",INDEX(客户自备加工筐明细!$E$4:$E$1203,$Z929-4000)),IF($Z929&lt;=5800,IF(INDEX(次果筐明细!$C$4:$C$603,$Z929-5200)=0,"",INDEX(次果筐明细!$C$4:$C$603,$Z929-5200)),"")))))</f>
        <v/>
      </c>
      <c r="D929" s="37" t="str">
        <f>IF($Z929="","",IF($Z929&lt;=2000,"包装物料－"&amp;INDEX(包装物料出入库明细!$H$4:$H$2003,$Z929-0),IF($Z929&lt;=4000,"周转筐－"&amp;INDEX(周转筐出入库明细!$F$4:$F$2004,$Z929-2000),IF($Z929&lt;=5200,"客户自备筐－"&amp;INDEX(客户自备加工筐明细!$J$4:$J$1203,$Z929-4000),IF($Z929&lt;=5800,"次果筐/托盘－"&amp;INDEX(次果筐明细!$F$4:$F$603,$Z929-5200),"")))))</f>
        <v/>
      </c>
      <c r="E929" s="24" t="str">
        <f>IF($Z929="","",IF($Z929&lt;=2000,IF(INDEX(包装物料出入库明细!$C$4:$C$2003,$Z929-0)=0,"",INDEX(包装物料出入库明细!$C$4:$C$2003,$Z929-0)),IF($Z929&lt;=4000,IF(INDEX(周转筐出入库明细!$E$4:$E$2004,$Z929-2000)=0,"",INDEX(周转筐出入库明细!$E$4:$E$2004,$Z929-2000)),IF($Z929&lt;=5200,IF(INDEX(客户自备加工筐明细!$D$4:$D$1203,$Z929-4000)=0,"",INDEX(客户自备加工筐明细!$D$4:$D$1203,$Z929-4000)),IF($Z929&lt;=5800,IF(INDEX(次果筐明细!$E$4:$E$603,$Z929-5200)=0,"",INDEX(次果筐明细!$E$4:$E$603,$Z929-5200)),"")))))</f>
        <v/>
      </c>
      <c r="F929" s="24" t="str">
        <f>IF($Z929="","",IF($Z929&lt;=2000,IF(INDEX(包装物料出入库明细!$E$4:$E$2003,$Z929-0)=0,"",INDEX(包装物料出入库明细!$E$4:$E$2003,$Z929-0)),IF($Z929&lt;=4000,IF(INDEX(周转筐出入库明细!$D$4:$D$2004,$Z929-2000)=0,"",INDEX(周转筐出入库明细!$D$4:$D$2004,$Z929-2000)),IF($Z929&lt;=5200,IF(INDEX(客户自备加工筐明细!$C$4:$C$1203,$Z929-4000)=0,"",INDEX(客户自备加工筐明细!$C$4:$C$1203,$Z929-4000)),IF($Z929&lt;=5800,IF(INDEX(次果筐明细!$D$4:$D$603,$Z929-5200)=0,"",INDEX(次果筐明细!$D$4:$D$603,$Z929-5200)),"")))))</f>
        <v/>
      </c>
      <c r="G929" s="24" t="str">
        <f>IF($Z929="","",IF($Z929&lt;=2000,IF(INDEX(包装物料出入库明细!$F$4:$F$2003,$Z929-0)=0,"",INDEX(包装物料出入库明细!$F$4:$F$2003,$Z929-0)),IF($Z929&lt;=4000,"",IF($Z929&lt;=5200,"",IF($Z929&lt;=5800,"","")))))</f>
        <v/>
      </c>
      <c r="H929" s="39" t="str">
        <f>IF($Z929="","",IF($Z929&lt;=2000,IF(INDEX(包装物料出入库明细!$L$4:$L$2003,$Z929-0)=0,"",INDEX(包装物料出入库明细!$L$4:$L$2003,$Z929-0)),IF($Z929&lt;=4000,N(INDEX(周转筐出入库明细!$H$4:$H$2004,$Z929-2000))+N(INDEX(周转筐出入库明细!$I$4:$I$2004,$Z929-2000))+N(INDEX(周转筐出入库明细!$J$4:$J$2004,$Z929-2000))+N(INDEX(周转筐出入库明细!$K$4:$K$2004,$Z929-2000)),IF($Z929&lt;=5200,N(INDEX(客户自备加工筐明细!$F$4:$F$1203,$Z929-4000))+N(INDEX(客户自备加工筐明细!$G$4:$G$1203,$Z929-4000)),IF($Z929&lt;=5800,IF(INDEX(次果筐明细!$G$4:$G$603,$Z929-5200)=0,"",INDEX(次果筐明细!$G$4:$G$603,$Z929-5200)),"")))))</f>
        <v/>
      </c>
      <c r="I929" s="24" t="str">
        <f>IF($Z929="","",IF($Z929&lt;=2000,IF(INDEX(包装物料出入库明细!$G$4:$G$2003,$Z929-0)=0,"",INDEX(包装物料出入库明细!$G$4:$G$2003,$Z929-0)),IF($Z929&lt;=4000,"个",IF($Z929&lt;=5200,"个",IF($Z929&lt;=5800,"个","")))))</f>
        <v/>
      </c>
      <c r="J929" s="30" t="str">
        <f t="shared" si="43"/>
        <v/>
      </c>
      <c r="K929" s="30" t="str">
        <f>IF($Z929="","",IF($Z929&lt;=2000,IF(INDEX(包装物料出入库明细!$N$4:$N$2003,$Z929-0)=0,"",INDEX(包装物料出入库明细!$N$4:$N$2003,$Z929-0)),IF($Z929&lt;=4000,IF(INDEX(周转筐出入库明细!$P$4:$P$2004,$Z929-2000)=0,"",INDEX(周转筐出入库明细!$P$4:$P$2004,$Z929-2000)),IF($Z929&lt;=5200,"",IF($Z929&lt;=5800,N(INDEX(次果筐明细!$L$4:$L$603,$Z929-5200))+N(INDEX(次果筐明细!$J$4:$J$603,$Z929-5200)),"")))))</f>
        <v/>
      </c>
      <c r="L929" s="24" t="str">
        <f>IF($Z929="","",IF($Z929&lt;=2000,IF(INDEX(包装物料出入库明细!$P$4:$P$2003,$Z929-0)=0,"",INDEX(包装物料出入库明细!$P$4:$P$2003,$Z929-0)),IF($Z929&lt;=4000,IF(INDEX(周转筐出入库明细!$Q$4:$Q$2004,$Z929-2000)=0,"",INDEX(周转筐出入库明细!$Q$4:$Q$2004,$Z929-2000)),IF($Z929&lt;=5200,"",IF($Z929&lt;=5800,IF(INDEX(次果筐明细!$M$4:$M$603,$Z929-5200)=0,"",INDEX(次果筐明细!$M$4:$M$603,$Z929-5200)),"")))))</f>
        <v/>
      </c>
      <c r="M929" s="37" t="str">
        <f>IF($Z929="","",IF($Z929&lt;=2000,IF(INDEX(包装物料出入库明细!$R$4:$R$2003,$Z929-0)=0,"",INDEX(包装物料出入库明细!$R$4:$R$2003,$Z929-0)),IF($Z929&lt;=4000,IF(INDEX(周转筐出入库明细!$W$4:$W$2004,$Z929-2000)=0,"",INDEX(周转筐出入库明细!$W$4:$W$2004,$Z929-2000)),IF($Z929&lt;=5200,IF(INDEX(客户自备加工筐明细!$L$4:$L$1203,$Z929-4000)=0,"",INDEX(客户自备加工筐明细!$L$4:$L$1203,$Z929-4000)),IF($Z929&lt;=5800,IF(INDEX(次果筐明细!$P$4:$P$603,$Z929-5200)=0,"",INDEX(次果筐明细!$P$4:$P$603,$Z929-5200)),"")))))</f>
        <v/>
      </c>
      <c r="N929" s="16" t="str">
        <f>IF($Z929="","",IF($Z929&lt;=2000,"",IF($Z929&lt;=4000,IF(INDEX(周转筐出入库明细!$D$4:$D$2004,$Z929-2000)=0,"",INDEX(周转筐出入库明细!$D$4:$D$2004,$Z929-2000)),IF($Z929&lt;=5200,IF(INDEX(客户自备加工筐明细!$C$4:$C$1203,$Z929-4000)=0,"",INDEX(客户自备加工筐明细!$C$4:$C$1203,$Z929-4000)),IF($Z929&lt;=5800,IF(INDEX(次果筐明细!$D$4:$D$603,$Z929-5200)=0,"",INDEX(次果筐明细!$D$4:$D$603,$Z929-5200)),"")))))</f>
        <v/>
      </c>
      <c r="O929" s="40" t="str">
        <f>IF($Z929="","",IF($Z929&lt;=2000,"",IF($Z929&lt;=4000,IF(N(INDEX(周转筐出入库明细!$J$4:$J$2004,$Z929-2000))+N(INDEX(周转筐出入库明细!$K$4:$K$2004,$Z929-2000))=0,"",N(INDEX(周转筐出入库明细!$J$4:$J$2004,$Z929-2000))+N(INDEX(周转筐出入库明细!$K$4:$K$2004,$Z929-2000))),IF($Z929&lt;=5200,IF(N(INDEX(客户自备加工筐明细!$G$4:$G$1203,$Z929-4000))=0,"",N(INDEX(客户自备加工筐明细!$G$4:$G$1203,$Z929-4000))),IF($Z929&lt;=5800,IF(ISNUMBER(SEARCH("退",INDEX(次果筐明细!$F$4:$F$603,$Z929-5200)&amp;"")),"",IF(N(INDEX(次果筐明细!$G$4:$G$603,$Z929-5200))=0,"",N(INDEX(次果筐明细!$G$4:$G$603,$Z929-5200)))),"")))))</f>
        <v/>
      </c>
      <c r="P929" s="40" t="str">
        <f>IF($Z929="","",IF($Z929&lt;=2000,"",IF($Z929&lt;=4000,IF(N(INDEX(周转筐出入库明细!$I$4:$I$2004,$Z929-2000))=0,"",N(INDEX(周转筐出入库明细!$I$4:$I$2004,$Z929-2000))),IF($Z929&lt;=5200,"",IF($Z929&lt;=5800,IF(ISNUMBER(SEARCH("退",INDEX(次果筐明细!$F$4:$F$603,$Z929-5200)&amp;"")),IF(N(INDEX(次果筐明细!$G$4:$G$603,$Z929-5200))=0,"",N(INDEX(次果筐明细!$G$4:$G$603,$Z929-5200))),""),"")))))</f>
        <v/>
      </c>
      <c r="Q929" s="40" t="str">
        <f>IF($Z929="","",IF($Z929&lt;=2000,"",IF($Z929&lt;=4000,IF(N(INDEX(周转筐出入库明细!$H$4:$H$2004,$Z929-2000))=0,"",N(INDEX(周转筐出入库明细!$H$4:$H$2004,$Z929-2000))),IF($Z929&lt;=5200,IF(N(INDEX(客户自备加工筐明细!$F$4:$F$1203,$Z929-4000))=0,"",N(INDEX(客户自备加工筐明细!$F$4:$F$1203,$Z929-4000))),IF($Z929&lt;=5800,"","")))))</f>
        <v/>
      </c>
      <c r="R929" s="16" t="str">
        <f>IF($Z929="","",IF($Z929&lt;=2000,IF(INDEX(包装物料出入库明细!$O$4:$O$2003,$Z929-0)=0,"",INDEX(包装物料出入库明细!$O$4:$O$2003,$Z929-0)),IF($Z929&lt;=4000,IF(INDEX(周转筐出入库明细!$M$4:$M$2004,$Z929-2000)=0,"",INDEX(周转筐出入库明细!$M$4:$M$2004,$Z929-2000)),IF($Z929&lt;=5200,IF(INDEX(客户自备加工筐明细!$H$4:$H$1203,$Z929-4000)=0,"",INDEX(客户自备加工筐明细!$H$4:$H$1203,$Z929-4000)),IF($Z929&lt;=5800,IF(INDEX(次果筐明细!$H$4:$H$603,$Z929-5200)=0,"",INDEX(次果筐明细!$H$4:$H$603,$Z929-5200)),"")))))</f>
        <v/>
      </c>
      <c r="S929" s="22" t="str">
        <f t="shared" si="44"/>
        <v/>
      </c>
      <c r="Z929" s="10" t="str">
        <f>IFERROR(MATCH(ROW()-3,_自动清单!$CQ$4:$CQ$5803,0),"")</f>
        <v/>
      </c>
    </row>
    <row r="930" spans="1:26">
      <c r="A930" s="24" t="str">
        <f t="shared" si="42"/>
        <v/>
      </c>
      <c r="B930" s="38" t="str">
        <f>IF($Z930="","",IF($Z930&lt;=2000,IF(INDEX(包装物料出入库明细!$B$4:$B$2003,$Z930-0)=0,"",INDEX(包装物料出入库明细!$B$4:$B$2003,$Z930-0)),IF($Z930&lt;=4000,IF(INDEX(周转筐出入库明细!$B$4:$B$2004,$Z930-2000)=0,"",INDEX(周转筐出入库明细!$B$4:$B$2004,$Z930-2000)),IF($Z930&lt;=5200,IF(INDEX(客户自备加工筐明细!$B$4:$B$1203,$Z930-4000)=0,"",INDEX(客户自备加工筐明细!$B$4:$B$1203,$Z930-4000)),IF($Z930&lt;=5800,IF(INDEX(次果筐明细!$B$4:$B$603,$Z930-5200)=0,"",INDEX(次果筐明细!$B$4:$B$603,$Z930-5200)),"")))))</f>
        <v/>
      </c>
      <c r="C930" s="37" t="str">
        <f>IF($Z930="","",IF($Z930&lt;=2000,IF(INDEX(包装物料出入库明细!$D$4:$D$2003,$Z930-0)=0,"",INDEX(包装物料出入库明细!$D$4:$D$2003,$Z930-0)),IF($Z930&lt;=4000,IF(INDEX(周转筐出入库明细!$C$4:$C$2004,$Z930-2000)=0,"",INDEX(周转筐出入库明细!$C$4:$C$2004,$Z930-2000)),IF($Z930&lt;=5200,IF(INDEX(客户自备加工筐明细!$E$4:$E$1203,$Z930-4000)=0,"",INDEX(客户自备加工筐明细!$E$4:$E$1203,$Z930-4000)),IF($Z930&lt;=5800,IF(INDEX(次果筐明细!$C$4:$C$603,$Z930-5200)=0,"",INDEX(次果筐明细!$C$4:$C$603,$Z930-5200)),"")))))</f>
        <v/>
      </c>
      <c r="D930" s="37" t="str">
        <f>IF($Z930="","",IF($Z930&lt;=2000,"包装物料－"&amp;INDEX(包装物料出入库明细!$H$4:$H$2003,$Z930-0),IF($Z930&lt;=4000,"周转筐－"&amp;INDEX(周转筐出入库明细!$F$4:$F$2004,$Z930-2000),IF($Z930&lt;=5200,"客户自备筐－"&amp;INDEX(客户自备加工筐明细!$J$4:$J$1203,$Z930-4000),IF($Z930&lt;=5800,"次果筐/托盘－"&amp;INDEX(次果筐明细!$F$4:$F$603,$Z930-5200),"")))))</f>
        <v/>
      </c>
      <c r="E930" s="24" t="str">
        <f>IF($Z930="","",IF($Z930&lt;=2000,IF(INDEX(包装物料出入库明细!$C$4:$C$2003,$Z930-0)=0,"",INDEX(包装物料出入库明细!$C$4:$C$2003,$Z930-0)),IF($Z930&lt;=4000,IF(INDEX(周转筐出入库明细!$E$4:$E$2004,$Z930-2000)=0,"",INDEX(周转筐出入库明细!$E$4:$E$2004,$Z930-2000)),IF($Z930&lt;=5200,IF(INDEX(客户自备加工筐明细!$D$4:$D$1203,$Z930-4000)=0,"",INDEX(客户自备加工筐明细!$D$4:$D$1203,$Z930-4000)),IF($Z930&lt;=5800,IF(INDEX(次果筐明细!$E$4:$E$603,$Z930-5200)=0,"",INDEX(次果筐明细!$E$4:$E$603,$Z930-5200)),"")))))</f>
        <v/>
      </c>
      <c r="F930" s="24" t="str">
        <f>IF($Z930="","",IF($Z930&lt;=2000,IF(INDEX(包装物料出入库明细!$E$4:$E$2003,$Z930-0)=0,"",INDEX(包装物料出入库明细!$E$4:$E$2003,$Z930-0)),IF($Z930&lt;=4000,IF(INDEX(周转筐出入库明细!$D$4:$D$2004,$Z930-2000)=0,"",INDEX(周转筐出入库明细!$D$4:$D$2004,$Z930-2000)),IF($Z930&lt;=5200,IF(INDEX(客户自备加工筐明细!$C$4:$C$1203,$Z930-4000)=0,"",INDEX(客户自备加工筐明细!$C$4:$C$1203,$Z930-4000)),IF($Z930&lt;=5800,IF(INDEX(次果筐明细!$D$4:$D$603,$Z930-5200)=0,"",INDEX(次果筐明细!$D$4:$D$603,$Z930-5200)),"")))))</f>
        <v/>
      </c>
      <c r="G930" s="24" t="str">
        <f>IF($Z930="","",IF($Z930&lt;=2000,IF(INDEX(包装物料出入库明细!$F$4:$F$2003,$Z930-0)=0,"",INDEX(包装物料出入库明细!$F$4:$F$2003,$Z930-0)),IF($Z930&lt;=4000,"",IF($Z930&lt;=5200,"",IF($Z930&lt;=5800,"","")))))</f>
        <v/>
      </c>
      <c r="H930" s="39" t="str">
        <f>IF($Z930="","",IF($Z930&lt;=2000,IF(INDEX(包装物料出入库明细!$L$4:$L$2003,$Z930-0)=0,"",INDEX(包装物料出入库明细!$L$4:$L$2003,$Z930-0)),IF($Z930&lt;=4000,N(INDEX(周转筐出入库明细!$H$4:$H$2004,$Z930-2000))+N(INDEX(周转筐出入库明细!$I$4:$I$2004,$Z930-2000))+N(INDEX(周转筐出入库明细!$J$4:$J$2004,$Z930-2000))+N(INDEX(周转筐出入库明细!$K$4:$K$2004,$Z930-2000)),IF($Z930&lt;=5200,N(INDEX(客户自备加工筐明细!$F$4:$F$1203,$Z930-4000))+N(INDEX(客户自备加工筐明细!$G$4:$G$1203,$Z930-4000)),IF($Z930&lt;=5800,IF(INDEX(次果筐明细!$G$4:$G$603,$Z930-5200)=0,"",INDEX(次果筐明细!$G$4:$G$603,$Z930-5200)),"")))))</f>
        <v/>
      </c>
      <c r="I930" s="24" t="str">
        <f>IF($Z930="","",IF($Z930&lt;=2000,IF(INDEX(包装物料出入库明细!$G$4:$G$2003,$Z930-0)=0,"",INDEX(包装物料出入库明细!$G$4:$G$2003,$Z930-0)),IF($Z930&lt;=4000,"个",IF($Z930&lt;=5200,"个",IF($Z930&lt;=5800,"个","")))))</f>
        <v/>
      </c>
      <c r="J930" s="30" t="str">
        <f t="shared" si="43"/>
        <v/>
      </c>
      <c r="K930" s="30" t="str">
        <f>IF($Z930="","",IF($Z930&lt;=2000,IF(INDEX(包装物料出入库明细!$N$4:$N$2003,$Z930-0)=0,"",INDEX(包装物料出入库明细!$N$4:$N$2003,$Z930-0)),IF($Z930&lt;=4000,IF(INDEX(周转筐出入库明细!$P$4:$P$2004,$Z930-2000)=0,"",INDEX(周转筐出入库明细!$P$4:$P$2004,$Z930-2000)),IF($Z930&lt;=5200,"",IF($Z930&lt;=5800,N(INDEX(次果筐明细!$L$4:$L$603,$Z930-5200))+N(INDEX(次果筐明细!$J$4:$J$603,$Z930-5200)),"")))))</f>
        <v/>
      </c>
      <c r="L930" s="24" t="str">
        <f>IF($Z930="","",IF($Z930&lt;=2000,IF(INDEX(包装物料出入库明细!$P$4:$P$2003,$Z930-0)=0,"",INDEX(包装物料出入库明细!$P$4:$P$2003,$Z930-0)),IF($Z930&lt;=4000,IF(INDEX(周转筐出入库明细!$Q$4:$Q$2004,$Z930-2000)=0,"",INDEX(周转筐出入库明细!$Q$4:$Q$2004,$Z930-2000)),IF($Z930&lt;=5200,"",IF($Z930&lt;=5800,IF(INDEX(次果筐明细!$M$4:$M$603,$Z930-5200)=0,"",INDEX(次果筐明细!$M$4:$M$603,$Z930-5200)),"")))))</f>
        <v/>
      </c>
      <c r="M930" s="37" t="str">
        <f>IF($Z930="","",IF($Z930&lt;=2000,IF(INDEX(包装物料出入库明细!$R$4:$R$2003,$Z930-0)=0,"",INDEX(包装物料出入库明细!$R$4:$R$2003,$Z930-0)),IF($Z930&lt;=4000,IF(INDEX(周转筐出入库明细!$W$4:$W$2004,$Z930-2000)=0,"",INDEX(周转筐出入库明细!$W$4:$W$2004,$Z930-2000)),IF($Z930&lt;=5200,IF(INDEX(客户自备加工筐明细!$L$4:$L$1203,$Z930-4000)=0,"",INDEX(客户自备加工筐明细!$L$4:$L$1203,$Z930-4000)),IF($Z930&lt;=5800,IF(INDEX(次果筐明细!$P$4:$P$603,$Z930-5200)=0,"",INDEX(次果筐明细!$P$4:$P$603,$Z930-5200)),"")))))</f>
        <v/>
      </c>
      <c r="N930" s="16" t="str">
        <f>IF($Z930="","",IF($Z930&lt;=2000,"",IF($Z930&lt;=4000,IF(INDEX(周转筐出入库明细!$D$4:$D$2004,$Z930-2000)=0,"",INDEX(周转筐出入库明细!$D$4:$D$2004,$Z930-2000)),IF($Z930&lt;=5200,IF(INDEX(客户自备加工筐明细!$C$4:$C$1203,$Z930-4000)=0,"",INDEX(客户自备加工筐明细!$C$4:$C$1203,$Z930-4000)),IF($Z930&lt;=5800,IF(INDEX(次果筐明细!$D$4:$D$603,$Z930-5200)=0,"",INDEX(次果筐明细!$D$4:$D$603,$Z930-5200)),"")))))</f>
        <v/>
      </c>
      <c r="O930" s="40" t="str">
        <f>IF($Z930="","",IF($Z930&lt;=2000,"",IF($Z930&lt;=4000,IF(N(INDEX(周转筐出入库明细!$J$4:$J$2004,$Z930-2000))+N(INDEX(周转筐出入库明细!$K$4:$K$2004,$Z930-2000))=0,"",N(INDEX(周转筐出入库明细!$J$4:$J$2004,$Z930-2000))+N(INDEX(周转筐出入库明细!$K$4:$K$2004,$Z930-2000))),IF($Z930&lt;=5200,IF(N(INDEX(客户自备加工筐明细!$G$4:$G$1203,$Z930-4000))=0,"",N(INDEX(客户自备加工筐明细!$G$4:$G$1203,$Z930-4000))),IF($Z930&lt;=5800,IF(ISNUMBER(SEARCH("退",INDEX(次果筐明细!$F$4:$F$603,$Z930-5200)&amp;"")),"",IF(N(INDEX(次果筐明细!$G$4:$G$603,$Z930-5200))=0,"",N(INDEX(次果筐明细!$G$4:$G$603,$Z930-5200)))),"")))))</f>
        <v/>
      </c>
      <c r="P930" s="40" t="str">
        <f>IF($Z930="","",IF($Z930&lt;=2000,"",IF($Z930&lt;=4000,IF(N(INDEX(周转筐出入库明细!$I$4:$I$2004,$Z930-2000))=0,"",N(INDEX(周转筐出入库明细!$I$4:$I$2004,$Z930-2000))),IF($Z930&lt;=5200,"",IF($Z930&lt;=5800,IF(ISNUMBER(SEARCH("退",INDEX(次果筐明细!$F$4:$F$603,$Z930-5200)&amp;"")),IF(N(INDEX(次果筐明细!$G$4:$G$603,$Z930-5200))=0,"",N(INDEX(次果筐明细!$G$4:$G$603,$Z930-5200))),""),"")))))</f>
        <v/>
      </c>
      <c r="Q930" s="40" t="str">
        <f>IF($Z930="","",IF($Z930&lt;=2000,"",IF($Z930&lt;=4000,IF(N(INDEX(周转筐出入库明细!$H$4:$H$2004,$Z930-2000))=0,"",N(INDEX(周转筐出入库明细!$H$4:$H$2004,$Z930-2000))),IF($Z930&lt;=5200,IF(N(INDEX(客户自备加工筐明细!$F$4:$F$1203,$Z930-4000))=0,"",N(INDEX(客户自备加工筐明细!$F$4:$F$1203,$Z930-4000))),IF($Z930&lt;=5800,"","")))))</f>
        <v/>
      </c>
      <c r="R930" s="16" t="str">
        <f>IF($Z930="","",IF($Z930&lt;=2000,IF(INDEX(包装物料出入库明细!$O$4:$O$2003,$Z930-0)=0,"",INDEX(包装物料出入库明细!$O$4:$O$2003,$Z930-0)),IF($Z930&lt;=4000,IF(INDEX(周转筐出入库明细!$M$4:$M$2004,$Z930-2000)=0,"",INDEX(周转筐出入库明细!$M$4:$M$2004,$Z930-2000)),IF($Z930&lt;=5200,IF(INDEX(客户自备加工筐明细!$H$4:$H$1203,$Z930-4000)=0,"",INDEX(客户自备加工筐明细!$H$4:$H$1203,$Z930-4000)),IF($Z930&lt;=5800,IF(INDEX(次果筐明细!$H$4:$H$603,$Z930-5200)=0,"",INDEX(次果筐明细!$H$4:$H$603,$Z930-5200)),"")))))</f>
        <v/>
      </c>
      <c r="S930" s="22" t="str">
        <f t="shared" si="44"/>
        <v/>
      </c>
      <c r="Z930" s="10" t="str">
        <f>IFERROR(MATCH(ROW()-3,_自动清单!$CQ$4:$CQ$5803,0),"")</f>
        <v/>
      </c>
    </row>
    <row r="931" spans="1:26">
      <c r="A931" s="24" t="str">
        <f t="shared" si="42"/>
        <v/>
      </c>
      <c r="B931" s="38" t="str">
        <f>IF($Z931="","",IF($Z931&lt;=2000,IF(INDEX(包装物料出入库明细!$B$4:$B$2003,$Z931-0)=0,"",INDEX(包装物料出入库明细!$B$4:$B$2003,$Z931-0)),IF($Z931&lt;=4000,IF(INDEX(周转筐出入库明细!$B$4:$B$2004,$Z931-2000)=0,"",INDEX(周转筐出入库明细!$B$4:$B$2004,$Z931-2000)),IF($Z931&lt;=5200,IF(INDEX(客户自备加工筐明细!$B$4:$B$1203,$Z931-4000)=0,"",INDEX(客户自备加工筐明细!$B$4:$B$1203,$Z931-4000)),IF($Z931&lt;=5800,IF(INDEX(次果筐明细!$B$4:$B$603,$Z931-5200)=0,"",INDEX(次果筐明细!$B$4:$B$603,$Z931-5200)),"")))))</f>
        <v/>
      </c>
      <c r="C931" s="37" t="str">
        <f>IF($Z931="","",IF($Z931&lt;=2000,IF(INDEX(包装物料出入库明细!$D$4:$D$2003,$Z931-0)=0,"",INDEX(包装物料出入库明细!$D$4:$D$2003,$Z931-0)),IF($Z931&lt;=4000,IF(INDEX(周转筐出入库明细!$C$4:$C$2004,$Z931-2000)=0,"",INDEX(周转筐出入库明细!$C$4:$C$2004,$Z931-2000)),IF($Z931&lt;=5200,IF(INDEX(客户自备加工筐明细!$E$4:$E$1203,$Z931-4000)=0,"",INDEX(客户自备加工筐明细!$E$4:$E$1203,$Z931-4000)),IF($Z931&lt;=5800,IF(INDEX(次果筐明细!$C$4:$C$603,$Z931-5200)=0,"",INDEX(次果筐明细!$C$4:$C$603,$Z931-5200)),"")))))</f>
        <v/>
      </c>
      <c r="D931" s="37" t="str">
        <f>IF($Z931="","",IF($Z931&lt;=2000,"包装物料－"&amp;INDEX(包装物料出入库明细!$H$4:$H$2003,$Z931-0),IF($Z931&lt;=4000,"周转筐－"&amp;INDEX(周转筐出入库明细!$F$4:$F$2004,$Z931-2000),IF($Z931&lt;=5200,"客户自备筐－"&amp;INDEX(客户自备加工筐明细!$J$4:$J$1203,$Z931-4000),IF($Z931&lt;=5800,"次果筐/托盘－"&amp;INDEX(次果筐明细!$F$4:$F$603,$Z931-5200),"")))))</f>
        <v/>
      </c>
      <c r="E931" s="24" t="str">
        <f>IF($Z931="","",IF($Z931&lt;=2000,IF(INDEX(包装物料出入库明细!$C$4:$C$2003,$Z931-0)=0,"",INDEX(包装物料出入库明细!$C$4:$C$2003,$Z931-0)),IF($Z931&lt;=4000,IF(INDEX(周转筐出入库明细!$E$4:$E$2004,$Z931-2000)=0,"",INDEX(周转筐出入库明细!$E$4:$E$2004,$Z931-2000)),IF($Z931&lt;=5200,IF(INDEX(客户自备加工筐明细!$D$4:$D$1203,$Z931-4000)=0,"",INDEX(客户自备加工筐明细!$D$4:$D$1203,$Z931-4000)),IF($Z931&lt;=5800,IF(INDEX(次果筐明细!$E$4:$E$603,$Z931-5200)=0,"",INDEX(次果筐明细!$E$4:$E$603,$Z931-5200)),"")))))</f>
        <v/>
      </c>
      <c r="F931" s="24" t="str">
        <f>IF($Z931="","",IF($Z931&lt;=2000,IF(INDEX(包装物料出入库明细!$E$4:$E$2003,$Z931-0)=0,"",INDEX(包装物料出入库明细!$E$4:$E$2003,$Z931-0)),IF($Z931&lt;=4000,IF(INDEX(周转筐出入库明细!$D$4:$D$2004,$Z931-2000)=0,"",INDEX(周转筐出入库明细!$D$4:$D$2004,$Z931-2000)),IF($Z931&lt;=5200,IF(INDEX(客户自备加工筐明细!$C$4:$C$1203,$Z931-4000)=0,"",INDEX(客户自备加工筐明细!$C$4:$C$1203,$Z931-4000)),IF($Z931&lt;=5800,IF(INDEX(次果筐明细!$D$4:$D$603,$Z931-5200)=0,"",INDEX(次果筐明细!$D$4:$D$603,$Z931-5200)),"")))))</f>
        <v/>
      </c>
      <c r="G931" s="24" t="str">
        <f>IF($Z931="","",IF($Z931&lt;=2000,IF(INDEX(包装物料出入库明细!$F$4:$F$2003,$Z931-0)=0,"",INDEX(包装物料出入库明细!$F$4:$F$2003,$Z931-0)),IF($Z931&lt;=4000,"",IF($Z931&lt;=5200,"",IF($Z931&lt;=5800,"","")))))</f>
        <v/>
      </c>
      <c r="H931" s="39" t="str">
        <f>IF($Z931="","",IF($Z931&lt;=2000,IF(INDEX(包装物料出入库明细!$L$4:$L$2003,$Z931-0)=0,"",INDEX(包装物料出入库明细!$L$4:$L$2003,$Z931-0)),IF($Z931&lt;=4000,N(INDEX(周转筐出入库明细!$H$4:$H$2004,$Z931-2000))+N(INDEX(周转筐出入库明细!$I$4:$I$2004,$Z931-2000))+N(INDEX(周转筐出入库明细!$J$4:$J$2004,$Z931-2000))+N(INDEX(周转筐出入库明细!$K$4:$K$2004,$Z931-2000)),IF($Z931&lt;=5200,N(INDEX(客户自备加工筐明细!$F$4:$F$1203,$Z931-4000))+N(INDEX(客户自备加工筐明细!$G$4:$G$1203,$Z931-4000)),IF($Z931&lt;=5800,IF(INDEX(次果筐明细!$G$4:$G$603,$Z931-5200)=0,"",INDEX(次果筐明细!$G$4:$G$603,$Z931-5200)),"")))))</f>
        <v/>
      </c>
      <c r="I931" s="24" t="str">
        <f>IF($Z931="","",IF($Z931&lt;=2000,IF(INDEX(包装物料出入库明细!$G$4:$G$2003,$Z931-0)=0,"",INDEX(包装物料出入库明细!$G$4:$G$2003,$Z931-0)),IF($Z931&lt;=4000,"个",IF($Z931&lt;=5200,"个",IF($Z931&lt;=5800,"个","")))))</f>
        <v/>
      </c>
      <c r="J931" s="30" t="str">
        <f t="shared" si="43"/>
        <v/>
      </c>
      <c r="K931" s="30" t="str">
        <f>IF($Z931="","",IF($Z931&lt;=2000,IF(INDEX(包装物料出入库明细!$N$4:$N$2003,$Z931-0)=0,"",INDEX(包装物料出入库明细!$N$4:$N$2003,$Z931-0)),IF($Z931&lt;=4000,IF(INDEX(周转筐出入库明细!$P$4:$P$2004,$Z931-2000)=0,"",INDEX(周转筐出入库明细!$P$4:$P$2004,$Z931-2000)),IF($Z931&lt;=5200,"",IF($Z931&lt;=5800,N(INDEX(次果筐明细!$L$4:$L$603,$Z931-5200))+N(INDEX(次果筐明细!$J$4:$J$603,$Z931-5200)),"")))))</f>
        <v/>
      </c>
      <c r="L931" s="24" t="str">
        <f>IF($Z931="","",IF($Z931&lt;=2000,IF(INDEX(包装物料出入库明细!$P$4:$P$2003,$Z931-0)=0,"",INDEX(包装物料出入库明细!$P$4:$P$2003,$Z931-0)),IF($Z931&lt;=4000,IF(INDEX(周转筐出入库明细!$Q$4:$Q$2004,$Z931-2000)=0,"",INDEX(周转筐出入库明细!$Q$4:$Q$2004,$Z931-2000)),IF($Z931&lt;=5200,"",IF($Z931&lt;=5800,IF(INDEX(次果筐明细!$M$4:$M$603,$Z931-5200)=0,"",INDEX(次果筐明细!$M$4:$M$603,$Z931-5200)),"")))))</f>
        <v/>
      </c>
      <c r="M931" s="37" t="str">
        <f>IF($Z931="","",IF($Z931&lt;=2000,IF(INDEX(包装物料出入库明细!$R$4:$R$2003,$Z931-0)=0,"",INDEX(包装物料出入库明细!$R$4:$R$2003,$Z931-0)),IF($Z931&lt;=4000,IF(INDEX(周转筐出入库明细!$W$4:$W$2004,$Z931-2000)=0,"",INDEX(周转筐出入库明细!$W$4:$W$2004,$Z931-2000)),IF($Z931&lt;=5200,IF(INDEX(客户自备加工筐明细!$L$4:$L$1203,$Z931-4000)=0,"",INDEX(客户自备加工筐明细!$L$4:$L$1203,$Z931-4000)),IF($Z931&lt;=5800,IF(INDEX(次果筐明细!$P$4:$P$603,$Z931-5200)=0,"",INDEX(次果筐明细!$P$4:$P$603,$Z931-5200)),"")))))</f>
        <v/>
      </c>
      <c r="N931" s="16" t="str">
        <f>IF($Z931="","",IF($Z931&lt;=2000,"",IF($Z931&lt;=4000,IF(INDEX(周转筐出入库明细!$D$4:$D$2004,$Z931-2000)=0,"",INDEX(周转筐出入库明细!$D$4:$D$2004,$Z931-2000)),IF($Z931&lt;=5200,IF(INDEX(客户自备加工筐明细!$C$4:$C$1203,$Z931-4000)=0,"",INDEX(客户自备加工筐明细!$C$4:$C$1203,$Z931-4000)),IF($Z931&lt;=5800,IF(INDEX(次果筐明细!$D$4:$D$603,$Z931-5200)=0,"",INDEX(次果筐明细!$D$4:$D$603,$Z931-5200)),"")))))</f>
        <v/>
      </c>
      <c r="O931" s="40" t="str">
        <f>IF($Z931="","",IF($Z931&lt;=2000,"",IF($Z931&lt;=4000,IF(N(INDEX(周转筐出入库明细!$J$4:$J$2004,$Z931-2000))+N(INDEX(周转筐出入库明细!$K$4:$K$2004,$Z931-2000))=0,"",N(INDEX(周转筐出入库明细!$J$4:$J$2004,$Z931-2000))+N(INDEX(周转筐出入库明细!$K$4:$K$2004,$Z931-2000))),IF($Z931&lt;=5200,IF(N(INDEX(客户自备加工筐明细!$G$4:$G$1203,$Z931-4000))=0,"",N(INDEX(客户自备加工筐明细!$G$4:$G$1203,$Z931-4000))),IF($Z931&lt;=5800,IF(ISNUMBER(SEARCH("退",INDEX(次果筐明细!$F$4:$F$603,$Z931-5200)&amp;"")),"",IF(N(INDEX(次果筐明细!$G$4:$G$603,$Z931-5200))=0,"",N(INDEX(次果筐明细!$G$4:$G$603,$Z931-5200)))),"")))))</f>
        <v/>
      </c>
      <c r="P931" s="40" t="str">
        <f>IF($Z931="","",IF($Z931&lt;=2000,"",IF($Z931&lt;=4000,IF(N(INDEX(周转筐出入库明细!$I$4:$I$2004,$Z931-2000))=0,"",N(INDEX(周转筐出入库明细!$I$4:$I$2004,$Z931-2000))),IF($Z931&lt;=5200,"",IF($Z931&lt;=5800,IF(ISNUMBER(SEARCH("退",INDEX(次果筐明细!$F$4:$F$603,$Z931-5200)&amp;"")),IF(N(INDEX(次果筐明细!$G$4:$G$603,$Z931-5200))=0,"",N(INDEX(次果筐明细!$G$4:$G$603,$Z931-5200))),""),"")))))</f>
        <v/>
      </c>
      <c r="Q931" s="40" t="str">
        <f>IF($Z931="","",IF($Z931&lt;=2000,"",IF($Z931&lt;=4000,IF(N(INDEX(周转筐出入库明细!$H$4:$H$2004,$Z931-2000))=0,"",N(INDEX(周转筐出入库明细!$H$4:$H$2004,$Z931-2000))),IF($Z931&lt;=5200,IF(N(INDEX(客户自备加工筐明细!$F$4:$F$1203,$Z931-4000))=0,"",N(INDEX(客户自备加工筐明细!$F$4:$F$1203,$Z931-4000))),IF($Z931&lt;=5800,"","")))))</f>
        <v/>
      </c>
      <c r="R931" s="16" t="str">
        <f>IF($Z931="","",IF($Z931&lt;=2000,IF(INDEX(包装物料出入库明细!$O$4:$O$2003,$Z931-0)=0,"",INDEX(包装物料出入库明细!$O$4:$O$2003,$Z931-0)),IF($Z931&lt;=4000,IF(INDEX(周转筐出入库明细!$M$4:$M$2004,$Z931-2000)=0,"",INDEX(周转筐出入库明细!$M$4:$M$2004,$Z931-2000)),IF($Z931&lt;=5200,IF(INDEX(客户自备加工筐明细!$H$4:$H$1203,$Z931-4000)=0,"",INDEX(客户自备加工筐明细!$H$4:$H$1203,$Z931-4000)),IF($Z931&lt;=5800,IF(INDEX(次果筐明细!$H$4:$H$603,$Z931-5200)=0,"",INDEX(次果筐明细!$H$4:$H$603,$Z931-5200)),"")))))</f>
        <v/>
      </c>
      <c r="S931" s="22" t="str">
        <f t="shared" si="44"/>
        <v/>
      </c>
      <c r="Z931" s="10" t="str">
        <f>IFERROR(MATCH(ROW()-3,_自动清单!$CQ$4:$CQ$5803,0),"")</f>
        <v/>
      </c>
    </row>
    <row r="932" spans="1:26">
      <c r="A932" s="24" t="str">
        <f t="shared" si="42"/>
        <v/>
      </c>
      <c r="B932" s="38" t="str">
        <f>IF($Z932="","",IF($Z932&lt;=2000,IF(INDEX(包装物料出入库明细!$B$4:$B$2003,$Z932-0)=0,"",INDEX(包装物料出入库明细!$B$4:$B$2003,$Z932-0)),IF($Z932&lt;=4000,IF(INDEX(周转筐出入库明细!$B$4:$B$2004,$Z932-2000)=0,"",INDEX(周转筐出入库明细!$B$4:$B$2004,$Z932-2000)),IF($Z932&lt;=5200,IF(INDEX(客户自备加工筐明细!$B$4:$B$1203,$Z932-4000)=0,"",INDEX(客户自备加工筐明细!$B$4:$B$1203,$Z932-4000)),IF($Z932&lt;=5800,IF(INDEX(次果筐明细!$B$4:$B$603,$Z932-5200)=0,"",INDEX(次果筐明细!$B$4:$B$603,$Z932-5200)),"")))))</f>
        <v/>
      </c>
      <c r="C932" s="37" t="str">
        <f>IF($Z932="","",IF($Z932&lt;=2000,IF(INDEX(包装物料出入库明细!$D$4:$D$2003,$Z932-0)=0,"",INDEX(包装物料出入库明细!$D$4:$D$2003,$Z932-0)),IF($Z932&lt;=4000,IF(INDEX(周转筐出入库明细!$C$4:$C$2004,$Z932-2000)=0,"",INDEX(周转筐出入库明细!$C$4:$C$2004,$Z932-2000)),IF($Z932&lt;=5200,IF(INDEX(客户自备加工筐明细!$E$4:$E$1203,$Z932-4000)=0,"",INDEX(客户自备加工筐明细!$E$4:$E$1203,$Z932-4000)),IF($Z932&lt;=5800,IF(INDEX(次果筐明细!$C$4:$C$603,$Z932-5200)=0,"",INDEX(次果筐明细!$C$4:$C$603,$Z932-5200)),"")))))</f>
        <v/>
      </c>
      <c r="D932" s="37" t="str">
        <f>IF($Z932="","",IF($Z932&lt;=2000,"包装物料－"&amp;INDEX(包装物料出入库明细!$H$4:$H$2003,$Z932-0),IF($Z932&lt;=4000,"周转筐－"&amp;INDEX(周转筐出入库明细!$F$4:$F$2004,$Z932-2000),IF($Z932&lt;=5200,"客户自备筐－"&amp;INDEX(客户自备加工筐明细!$J$4:$J$1203,$Z932-4000),IF($Z932&lt;=5800,"次果筐/托盘－"&amp;INDEX(次果筐明细!$F$4:$F$603,$Z932-5200),"")))))</f>
        <v/>
      </c>
      <c r="E932" s="24" t="str">
        <f>IF($Z932="","",IF($Z932&lt;=2000,IF(INDEX(包装物料出入库明细!$C$4:$C$2003,$Z932-0)=0,"",INDEX(包装物料出入库明细!$C$4:$C$2003,$Z932-0)),IF($Z932&lt;=4000,IF(INDEX(周转筐出入库明细!$E$4:$E$2004,$Z932-2000)=0,"",INDEX(周转筐出入库明细!$E$4:$E$2004,$Z932-2000)),IF($Z932&lt;=5200,IF(INDEX(客户自备加工筐明细!$D$4:$D$1203,$Z932-4000)=0,"",INDEX(客户自备加工筐明细!$D$4:$D$1203,$Z932-4000)),IF($Z932&lt;=5800,IF(INDEX(次果筐明细!$E$4:$E$603,$Z932-5200)=0,"",INDEX(次果筐明细!$E$4:$E$603,$Z932-5200)),"")))))</f>
        <v/>
      </c>
      <c r="F932" s="24" t="str">
        <f>IF($Z932="","",IF($Z932&lt;=2000,IF(INDEX(包装物料出入库明细!$E$4:$E$2003,$Z932-0)=0,"",INDEX(包装物料出入库明细!$E$4:$E$2003,$Z932-0)),IF($Z932&lt;=4000,IF(INDEX(周转筐出入库明细!$D$4:$D$2004,$Z932-2000)=0,"",INDEX(周转筐出入库明细!$D$4:$D$2004,$Z932-2000)),IF($Z932&lt;=5200,IF(INDEX(客户自备加工筐明细!$C$4:$C$1203,$Z932-4000)=0,"",INDEX(客户自备加工筐明细!$C$4:$C$1203,$Z932-4000)),IF($Z932&lt;=5800,IF(INDEX(次果筐明细!$D$4:$D$603,$Z932-5200)=0,"",INDEX(次果筐明细!$D$4:$D$603,$Z932-5200)),"")))))</f>
        <v/>
      </c>
      <c r="G932" s="24" t="str">
        <f>IF($Z932="","",IF($Z932&lt;=2000,IF(INDEX(包装物料出入库明细!$F$4:$F$2003,$Z932-0)=0,"",INDEX(包装物料出入库明细!$F$4:$F$2003,$Z932-0)),IF($Z932&lt;=4000,"",IF($Z932&lt;=5200,"",IF($Z932&lt;=5800,"","")))))</f>
        <v/>
      </c>
      <c r="H932" s="39" t="str">
        <f>IF($Z932="","",IF($Z932&lt;=2000,IF(INDEX(包装物料出入库明细!$L$4:$L$2003,$Z932-0)=0,"",INDEX(包装物料出入库明细!$L$4:$L$2003,$Z932-0)),IF($Z932&lt;=4000,N(INDEX(周转筐出入库明细!$H$4:$H$2004,$Z932-2000))+N(INDEX(周转筐出入库明细!$I$4:$I$2004,$Z932-2000))+N(INDEX(周转筐出入库明细!$J$4:$J$2004,$Z932-2000))+N(INDEX(周转筐出入库明细!$K$4:$K$2004,$Z932-2000)),IF($Z932&lt;=5200,N(INDEX(客户自备加工筐明细!$F$4:$F$1203,$Z932-4000))+N(INDEX(客户自备加工筐明细!$G$4:$G$1203,$Z932-4000)),IF($Z932&lt;=5800,IF(INDEX(次果筐明细!$G$4:$G$603,$Z932-5200)=0,"",INDEX(次果筐明细!$G$4:$G$603,$Z932-5200)),"")))))</f>
        <v/>
      </c>
      <c r="I932" s="24" t="str">
        <f>IF($Z932="","",IF($Z932&lt;=2000,IF(INDEX(包装物料出入库明细!$G$4:$G$2003,$Z932-0)=0,"",INDEX(包装物料出入库明细!$G$4:$G$2003,$Z932-0)),IF($Z932&lt;=4000,"个",IF($Z932&lt;=5200,"个",IF($Z932&lt;=5800,"个","")))))</f>
        <v/>
      </c>
      <c r="J932" s="30" t="str">
        <f t="shared" si="43"/>
        <v/>
      </c>
      <c r="K932" s="30" t="str">
        <f>IF($Z932="","",IF($Z932&lt;=2000,IF(INDEX(包装物料出入库明细!$N$4:$N$2003,$Z932-0)=0,"",INDEX(包装物料出入库明细!$N$4:$N$2003,$Z932-0)),IF($Z932&lt;=4000,IF(INDEX(周转筐出入库明细!$P$4:$P$2004,$Z932-2000)=0,"",INDEX(周转筐出入库明细!$P$4:$P$2004,$Z932-2000)),IF($Z932&lt;=5200,"",IF($Z932&lt;=5800,N(INDEX(次果筐明细!$L$4:$L$603,$Z932-5200))+N(INDEX(次果筐明细!$J$4:$J$603,$Z932-5200)),"")))))</f>
        <v/>
      </c>
      <c r="L932" s="24" t="str">
        <f>IF($Z932="","",IF($Z932&lt;=2000,IF(INDEX(包装物料出入库明细!$P$4:$P$2003,$Z932-0)=0,"",INDEX(包装物料出入库明细!$P$4:$P$2003,$Z932-0)),IF($Z932&lt;=4000,IF(INDEX(周转筐出入库明细!$Q$4:$Q$2004,$Z932-2000)=0,"",INDEX(周转筐出入库明细!$Q$4:$Q$2004,$Z932-2000)),IF($Z932&lt;=5200,"",IF($Z932&lt;=5800,IF(INDEX(次果筐明细!$M$4:$M$603,$Z932-5200)=0,"",INDEX(次果筐明细!$M$4:$M$603,$Z932-5200)),"")))))</f>
        <v/>
      </c>
      <c r="M932" s="37" t="str">
        <f>IF($Z932="","",IF($Z932&lt;=2000,IF(INDEX(包装物料出入库明细!$R$4:$R$2003,$Z932-0)=0,"",INDEX(包装物料出入库明细!$R$4:$R$2003,$Z932-0)),IF($Z932&lt;=4000,IF(INDEX(周转筐出入库明细!$W$4:$W$2004,$Z932-2000)=0,"",INDEX(周转筐出入库明细!$W$4:$W$2004,$Z932-2000)),IF($Z932&lt;=5200,IF(INDEX(客户自备加工筐明细!$L$4:$L$1203,$Z932-4000)=0,"",INDEX(客户自备加工筐明细!$L$4:$L$1203,$Z932-4000)),IF($Z932&lt;=5800,IF(INDEX(次果筐明细!$P$4:$P$603,$Z932-5200)=0,"",INDEX(次果筐明细!$P$4:$P$603,$Z932-5200)),"")))))</f>
        <v/>
      </c>
      <c r="N932" s="16" t="str">
        <f>IF($Z932="","",IF($Z932&lt;=2000,"",IF($Z932&lt;=4000,IF(INDEX(周转筐出入库明细!$D$4:$D$2004,$Z932-2000)=0,"",INDEX(周转筐出入库明细!$D$4:$D$2004,$Z932-2000)),IF($Z932&lt;=5200,IF(INDEX(客户自备加工筐明细!$C$4:$C$1203,$Z932-4000)=0,"",INDEX(客户自备加工筐明细!$C$4:$C$1203,$Z932-4000)),IF($Z932&lt;=5800,IF(INDEX(次果筐明细!$D$4:$D$603,$Z932-5200)=0,"",INDEX(次果筐明细!$D$4:$D$603,$Z932-5200)),"")))))</f>
        <v/>
      </c>
      <c r="O932" s="40" t="str">
        <f>IF($Z932="","",IF($Z932&lt;=2000,"",IF($Z932&lt;=4000,IF(N(INDEX(周转筐出入库明细!$J$4:$J$2004,$Z932-2000))+N(INDEX(周转筐出入库明细!$K$4:$K$2004,$Z932-2000))=0,"",N(INDEX(周转筐出入库明细!$J$4:$J$2004,$Z932-2000))+N(INDEX(周转筐出入库明细!$K$4:$K$2004,$Z932-2000))),IF($Z932&lt;=5200,IF(N(INDEX(客户自备加工筐明细!$G$4:$G$1203,$Z932-4000))=0,"",N(INDEX(客户自备加工筐明细!$G$4:$G$1203,$Z932-4000))),IF($Z932&lt;=5800,IF(ISNUMBER(SEARCH("退",INDEX(次果筐明细!$F$4:$F$603,$Z932-5200)&amp;"")),"",IF(N(INDEX(次果筐明细!$G$4:$G$603,$Z932-5200))=0,"",N(INDEX(次果筐明细!$G$4:$G$603,$Z932-5200)))),"")))))</f>
        <v/>
      </c>
      <c r="P932" s="40" t="str">
        <f>IF($Z932="","",IF($Z932&lt;=2000,"",IF($Z932&lt;=4000,IF(N(INDEX(周转筐出入库明细!$I$4:$I$2004,$Z932-2000))=0,"",N(INDEX(周转筐出入库明细!$I$4:$I$2004,$Z932-2000))),IF($Z932&lt;=5200,"",IF($Z932&lt;=5800,IF(ISNUMBER(SEARCH("退",INDEX(次果筐明细!$F$4:$F$603,$Z932-5200)&amp;"")),IF(N(INDEX(次果筐明细!$G$4:$G$603,$Z932-5200))=0,"",N(INDEX(次果筐明细!$G$4:$G$603,$Z932-5200))),""),"")))))</f>
        <v/>
      </c>
      <c r="Q932" s="40" t="str">
        <f>IF($Z932="","",IF($Z932&lt;=2000,"",IF($Z932&lt;=4000,IF(N(INDEX(周转筐出入库明细!$H$4:$H$2004,$Z932-2000))=0,"",N(INDEX(周转筐出入库明细!$H$4:$H$2004,$Z932-2000))),IF($Z932&lt;=5200,IF(N(INDEX(客户自备加工筐明细!$F$4:$F$1203,$Z932-4000))=0,"",N(INDEX(客户自备加工筐明细!$F$4:$F$1203,$Z932-4000))),IF($Z932&lt;=5800,"","")))))</f>
        <v/>
      </c>
      <c r="R932" s="16" t="str">
        <f>IF($Z932="","",IF($Z932&lt;=2000,IF(INDEX(包装物料出入库明细!$O$4:$O$2003,$Z932-0)=0,"",INDEX(包装物料出入库明细!$O$4:$O$2003,$Z932-0)),IF($Z932&lt;=4000,IF(INDEX(周转筐出入库明细!$M$4:$M$2004,$Z932-2000)=0,"",INDEX(周转筐出入库明细!$M$4:$M$2004,$Z932-2000)),IF($Z932&lt;=5200,IF(INDEX(客户自备加工筐明细!$H$4:$H$1203,$Z932-4000)=0,"",INDEX(客户自备加工筐明细!$H$4:$H$1203,$Z932-4000)),IF($Z932&lt;=5800,IF(INDEX(次果筐明细!$H$4:$H$603,$Z932-5200)=0,"",INDEX(次果筐明细!$H$4:$H$603,$Z932-5200)),"")))))</f>
        <v/>
      </c>
      <c r="S932" s="22" t="str">
        <f t="shared" si="44"/>
        <v/>
      </c>
      <c r="Z932" s="10" t="str">
        <f>IFERROR(MATCH(ROW()-3,_自动清单!$CQ$4:$CQ$5803,0),"")</f>
        <v/>
      </c>
    </row>
    <row r="933" spans="1:26">
      <c r="A933" s="24" t="str">
        <f t="shared" si="42"/>
        <v/>
      </c>
      <c r="B933" s="38" t="str">
        <f>IF($Z933="","",IF($Z933&lt;=2000,IF(INDEX(包装物料出入库明细!$B$4:$B$2003,$Z933-0)=0,"",INDEX(包装物料出入库明细!$B$4:$B$2003,$Z933-0)),IF($Z933&lt;=4000,IF(INDEX(周转筐出入库明细!$B$4:$B$2004,$Z933-2000)=0,"",INDEX(周转筐出入库明细!$B$4:$B$2004,$Z933-2000)),IF($Z933&lt;=5200,IF(INDEX(客户自备加工筐明细!$B$4:$B$1203,$Z933-4000)=0,"",INDEX(客户自备加工筐明细!$B$4:$B$1203,$Z933-4000)),IF($Z933&lt;=5800,IF(INDEX(次果筐明细!$B$4:$B$603,$Z933-5200)=0,"",INDEX(次果筐明细!$B$4:$B$603,$Z933-5200)),"")))))</f>
        <v/>
      </c>
      <c r="C933" s="37" t="str">
        <f>IF($Z933="","",IF($Z933&lt;=2000,IF(INDEX(包装物料出入库明细!$D$4:$D$2003,$Z933-0)=0,"",INDEX(包装物料出入库明细!$D$4:$D$2003,$Z933-0)),IF($Z933&lt;=4000,IF(INDEX(周转筐出入库明细!$C$4:$C$2004,$Z933-2000)=0,"",INDEX(周转筐出入库明细!$C$4:$C$2004,$Z933-2000)),IF($Z933&lt;=5200,IF(INDEX(客户自备加工筐明细!$E$4:$E$1203,$Z933-4000)=0,"",INDEX(客户自备加工筐明细!$E$4:$E$1203,$Z933-4000)),IF($Z933&lt;=5800,IF(INDEX(次果筐明细!$C$4:$C$603,$Z933-5200)=0,"",INDEX(次果筐明细!$C$4:$C$603,$Z933-5200)),"")))))</f>
        <v/>
      </c>
      <c r="D933" s="37" t="str">
        <f>IF($Z933="","",IF($Z933&lt;=2000,"包装物料－"&amp;INDEX(包装物料出入库明细!$H$4:$H$2003,$Z933-0),IF($Z933&lt;=4000,"周转筐－"&amp;INDEX(周转筐出入库明细!$F$4:$F$2004,$Z933-2000),IF($Z933&lt;=5200,"客户自备筐－"&amp;INDEX(客户自备加工筐明细!$J$4:$J$1203,$Z933-4000),IF($Z933&lt;=5800,"次果筐/托盘－"&amp;INDEX(次果筐明细!$F$4:$F$603,$Z933-5200),"")))))</f>
        <v/>
      </c>
      <c r="E933" s="24" t="str">
        <f>IF($Z933="","",IF($Z933&lt;=2000,IF(INDEX(包装物料出入库明细!$C$4:$C$2003,$Z933-0)=0,"",INDEX(包装物料出入库明细!$C$4:$C$2003,$Z933-0)),IF($Z933&lt;=4000,IF(INDEX(周转筐出入库明细!$E$4:$E$2004,$Z933-2000)=0,"",INDEX(周转筐出入库明细!$E$4:$E$2004,$Z933-2000)),IF($Z933&lt;=5200,IF(INDEX(客户自备加工筐明细!$D$4:$D$1203,$Z933-4000)=0,"",INDEX(客户自备加工筐明细!$D$4:$D$1203,$Z933-4000)),IF($Z933&lt;=5800,IF(INDEX(次果筐明细!$E$4:$E$603,$Z933-5200)=0,"",INDEX(次果筐明细!$E$4:$E$603,$Z933-5200)),"")))))</f>
        <v/>
      </c>
      <c r="F933" s="24" t="str">
        <f>IF($Z933="","",IF($Z933&lt;=2000,IF(INDEX(包装物料出入库明细!$E$4:$E$2003,$Z933-0)=0,"",INDEX(包装物料出入库明细!$E$4:$E$2003,$Z933-0)),IF($Z933&lt;=4000,IF(INDEX(周转筐出入库明细!$D$4:$D$2004,$Z933-2000)=0,"",INDEX(周转筐出入库明细!$D$4:$D$2004,$Z933-2000)),IF($Z933&lt;=5200,IF(INDEX(客户自备加工筐明细!$C$4:$C$1203,$Z933-4000)=0,"",INDEX(客户自备加工筐明细!$C$4:$C$1203,$Z933-4000)),IF($Z933&lt;=5800,IF(INDEX(次果筐明细!$D$4:$D$603,$Z933-5200)=0,"",INDEX(次果筐明细!$D$4:$D$603,$Z933-5200)),"")))))</f>
        <v/>
      </c>
      <c r="G933" s="24" t="str">
        <f>IF($Z933="","",IF($Z933&lt;=2000,IF(INDEX(包装物料出入库明细!$F$4:$F$2003,$Z933-0)=0,"",INDEX(包装物料出入库明细!$F$4:$F$2003,$Z933-0)),IF($Z933&lt;=4000,"",IF($Z933&lt;=5200,"",IF($Z933&lt;=5800,"","")))))</f>
        <v/>
      </c>
      <c r="H933" s="39" t="str">
        <f>IF($Z933="","",IF($Z933&lt;=2000,IF(INDEX(包装物料出入库明细!$L$4:$L$2003,$Z933-0)=0,"",INDEX(包装物料出入库明细!$L$4:$L$2003,$Z933-0)),IF($Z933&lt;=4000,N(INDEX(周转筐出入库明细!$H$4:$H$2004,$Z933-2000))+N(INDEX(周转筐出入库明细!$I$4:$I$2004,$Z933-2000))+N(INDEX(周转筐出入库明细!$J$4:$J$2004,$Z933-2000))+N(INDEX(周转筐出入库明细!$K$4:$K$2004,$Z933-2000)),IF($Z933&lt;=5200,N(INDEX(客户自备加工筐明细!$F$4:$F$1203,$Z933-4000))+N(INDEX(客户自备加工筐明细!$G$4:$G$1203,$Z933-4000)),IF($Z933&lt;=5800,IF(INDEX(次果筐明细!$G$4:$G$603,$Z933-5200)=0,"",INDEX(次果筐明细!$G$4:$G$603,$Z933-5200)),"")))))</f>
        <v/>
      </c>
      <c r="I933" s="24" t="str">
        <f>IF($Z933="","",IF($Z933&lt;=2000,IF(INDEX(包装物料出入库明细!$G$4:$G$2003,$Z933-0)=0,"",INDEX(包装物料出入库明细!$G$4:$G$2003,$Z933-0)),IF($Z933&lt;=4000,"个",IF($Z933&lt;=5200,"个",IF($Z933&lt;=5800,"个","")))))</f>
        <v/>
      </c>
      <c r="J933" s="30" t="str">
        <f t="shared" si="43"/>
        <v/>
      </c>
      <c r="K933" s="30" t="str">
        <f>IF($Z933="","",IF($Z933&lt;=2000,IF(INDEX(包装物料出入库明细!$N$4:$N$2003,$Z933-0)=0,"",INDEX(包装物料出入库明细!$N$4:$N$2003,$Z933-0)),IF($Z933&lt;=4000,IF(INDEX(周转筐出入库明细!$P$4:$P$2004,$Z933-2000)=0,"",INDEX(周转筐出入库明细!$P$4:$P$2004,$Z933-2000)),IF($Z933&lt;=5200,"",IF($Z933&lt;=5800,N(INDEX(次果筐明细!$L$4:$L$603,$Z933-5200))+N(INDEX(次果筐明细!$J$4:$J$603,$Z933-5200)),"")))))</f>
        <v/>
      </c>
      <c r="L933" s="24" t="str">
        <f>IF($Z933="","",IF($Z933&lt;=2000,IF(INDEX(包装物料出入库明细!$P$4:$P$2003,$Z933-0)=0,"",INDEX(包装物料出入库明细!$P$4:$P$2003,$Z933-0)),IF($Z933&lt;=4000,IF(INDEX(周转筐出入库明细!$Q$4:$Q$2004,$Z933-2000)=0,"",INDEX(周转筐出入库明细!$Q$4:$Q$2004,$Z933-2000)),IF($Z933&lt;=5200,"",IF($Z933&lt;=5800,IF(INDEX(次果筐明细!$M$4:$M$603,$Z933-5200)=0,"",INDEX(次果筐明细!$M$4:$M$603,$Z933-5200)),"")))))</f>
        <v/>
      </c>
      <c r="M933" s="37" t="str">
        <f>IF($Z933="","",IF($Z933&lt;=2000,IF(INDEX(包装物料出入库明细!$R$4:$R$2003,$Z933-0)=0,"",INDEX(包装物料出入库明细!$R$4:$R$2003,$Z933-0)),IF($Z933&lt;=4000,IF(INDEX(周转筐出入库明细!$W$4:$W$2004,$Z933-2000)=0,"",INDEX(周转筐出入库明细!$W$4:$W$2004,$Z933-2000)),IF($Z933&lt;=5200,IF(INDEX(客户自备加工筐明细!$L$4:$L$1203,$Z933-4000)=0,"",INDEX(客户自备加工筐明细!$L$4:$L$1203,$Z933-4000)),IF($Z933&lt;=5800,IF(INDEX(次果筐明细!$P$4:$P$603,$Z933-5200)=0,"",INDEX(次果筐明细!$P$4:$P$603,$Z933-5200)),"")))))</f>
        <v/>
      </c>
      <c r="N933" s="16" t="str">
        <f>IF($Z933="","",IF($Z933&lt;=2000,"",IF($Z933&lt;=4000,IF(INDEX(周转筐出入库明细!$D$4:$D$2004,$Z933-2000)=0,"",INDEX(周转筐出入库明细!$D$4:$D$2004,$Z933-2000)),IF($Z933&lt;=5200,IF(INDEX(客户自备加工筐明细!$C$4:$C$1203,$Z933-4000)=0,"",INDEX(客户自备加工筐明细!$C$4:$C$1203,$Z933-4000)),IF($Z933&lt;=5800,IF(INDEX(次果筐明细!$D$4:$D$603,$Z933-5200)=0,"",INDEX(次果筐明细!$D$4:$D$603,$Z933-5200)),"")))))</f>
        <v/>
      </c>
      <c r="O933" s="40" t="str">
        <f>IF($Z933="","",IF($Z933&lt;=2000,"",IF($Z933&lt;=4000,IF(N(INDEX(周转筐出入库明细!$J$4:$J$2004,$Z933-2000))+N(INDEX(周转筐出入库明细!$K$4:$K$2004,$Z933-2000))=0,"",N(INDEX(周转筐出入库明细!$J$4:$J$2004,$Z933-2000))+N(INDEX(周转筐出入库明细!$K$4:$K$2004,$Z933-2000))),IF($Z933&lt;=5200,IF(N(INDEX(客户自备加工筐明细!$G$4:$G$1203,$Z933-4000))=0,"",N(INDEX(客户自备加工筐明细!$G$4:$G$1203,$Z933-4000))),IF($Z933&lt;=5800,IF(ISNUMBER(SEARCH("退",INDEX(次果筐明细!$F$4:$F$603,$Z933-5200)&amp;"")),"",IF(N(INDEX(次果筐明细!$G$4:$G$603,$Z933-5200))=0,"",N(INDEX(次果筐明细!$G$4:$G$603,$Z933-5200)))),"")))))</f>
        <v/>
      </c>
      <c r="P933" s="40" t="str">
        <f>IF($Z933="","",IF($Z933&lt;=2000,"",IF($Z933&lt;=4000,IF(N(INDEX(周转筐出入库明细!$I$4:$I$2004,$Z933-2000))=0,"",N(INDEX(周转筐出入库明细!$I$4:$I$2004,$Z933-2000))),IF($Z933&lt;=5200,"",IF($Z933&lt;=5800,IF(ISNUMBER(SEARCH("退",INDEX(次果筐明细!$F$4:$F$603,$Z933-5200)&amp;"")),IF(N(INDEX(次果筐明细!$G$4:$G$603,$Z933-5200))=0,"",N(INDEX(次果筐明细!$G$4:$G$603,$Z933-5200))),""),"")))))</f>
        <v/>
      </c>
      <c r="Q933" s="40" t="str">
        <f>IF($Z933="","",IF($Z933&lt;=2000,"",IF($Z933&lt;=4000,IF(N(INDEX(周转筐出入库明细!$H$4:$H$2004,$Z933-2000))=0,"",N(INDEX(周转筐出入库明细!$H$4:$H$2004,$Z933-2000))),IF($Z933&lt;=5200,IF(N(INDEX(客户自备加工筐明细!$F$4:$F$1203,$Z933-4000))=0,"",N(INDEX(客户自备加工筐明细!$F$4:$F$1203,$Z933-4000))),IF($Z933&lt;=5800,"","")))))</f>
        <v/>
      </c>
      <c r="R933" s="16" t="str">
        <f>IF($Z933="","",IF($Z933&lt;=2000,IF(INDEX(包装物料出入库明细!$O$4:$O$2003,$Z933-0)=0,"",INDEX(包装物料出入库明细!$O$4:$O$2003,$Z933-0)),IF($Z933&lt;=4000,IF(INDEX(周转筐出入库明细!$M$4:$M$2004,$Z933-2000)=0,"",INDEX(周转筐出入库明细!$M$4:$M$2004,$Z933-2000)),IF($Z933&lt;=5200,IF(INDEX(客户自备加工筐明细!$H$4:$H$1203,$Z933-4000)=0,"",INDEX(客户自备加工筐明细!$H$4:$H$1203,$Z933-4000)),IF($Z933&lt;=5800,IF(INDEX(次果筐明细!$H$4:$H$603,$Z933-5200)=0,"",INDEX(次果筐明细!$H$4:$H$603,$Z933-5200)),"")))))</f>
        <v/>
      </c>
      <c r="S933" s="22" t="str">
        <f t="shared" si="44"/>
        <v/>
      </c>
      <c r="Z933" s="10" t="str">
        <f>IFERROR(MATCH(ROW()-3,_自动清单!$CQ$4:$CQ$5803,0),"")</f>
        <v/>
      </c>
    </row>
    <row r="934" spans="1:26">
      <c r="A934" s="24" t="str">
        <f t="shared" si="42"/>
        <v/>
      </c>
      <c r="B934" s="38" t="str">
        <f>IF($Z934="","",IF($Z934&lt;=2000,IF(INDEX(包装物料出入库明细!$B$4:$B$2003,$Z934-0)=0,"",INDEX(包装物料出入库明细!$B$4:$B$2003,$Z934-0)),IF($Z934&lt;=4000,IF(INDEX(周转筐出入库明细!$B$4:$B$2004,$Z934-2000)=0,"",INDEX(周转筐出入库明细!$B$4:$B$2004,$Z934-2000)),IF($Z934&lt;=5200,IF(INDEX(客户自备加工筐明细!$B$4:$B$1203,$Z934-4000)=0,"",INDEX(客户自备加工筐明细!$B$4:$B$1203,$Z934-4000)),IF($Z934&lt;=5800,IF(INDEX(次果筐明细!$B$4:$B$603,$Z934-5200)=0,"",INDEX(次果筐明细!$B$4:$B$603,$Z934-5200)),"")))))</f>
        <v/>
      </c>
      <c r="C934" s="37" t="str">
        <f>IF($Z934="","",IF($Z934&lt;=2000,IF(INDEX(包装物料出入库明细!$D$4:$D$2003,$Z934-0)=0,"",INDEX(包装物料出入库明细!$D$4:$D$2003,$Z934-0)),IF($Z934&lt;=4000,IF(INDEX(周转筐出入库明细!$C$4:$C$2004,$Z934-2000)=0,"",INDEX(周转筐出入库明细!$C$4:$C$2004,$Z934-2000)),IF($Z934&lt;=5200,IF(INDEX(客户自备加工筐明细!$E$4:$E$1203,$Z934-4000)=0,"",INDEX(客户自备加工筐明细!$E$4:$E$1203,$Z934-4000)),IF($Z934&lt;=5800,IF(INDEX(次果筐明细!$C$4:$C$603,$Z934-5200)=0,"",INDEX(次果筐明细!$C$4:$C$603,$Z934-5200)),"")))))</f>
        <v/>
      </c>
      <c r="D934" s="37" t="str">
        <f>IF($Z934="","",IF($Z934&lt;=2000,"包装物料－"&amp;INDEX(包装物料出入库明细!$H$4:$H$2003,$Z934-0),IF($Z934&lt;=4000,"周转筐－"&amp;INDEX(周转筐出入库明细!$F$4:$F$2004,$Z934-2000),IF($Z934&lt;=5200,"客户自备筐－"&amp;INDEX(客户自备加工筐明细!$J$4:$J$1203,$Z934-4000),IF($Z934&lt;=5800,"次果筐/托盘－"&amp;INDEX(次果筐明细!$F$4:$F$603,$Z934-5200),"")))))</f>
        <v/>
      </c>
      <c r="E934" s="24" t="str">
        <f>IF($Z934="","",IF($Z934&lt;=2000,IF(INDEX(包装物料出入库明细!$C$4:$C$2003,$Z934-0)=0,"",INDEX(包装物料出入库明细!$C$4:$C$2003,$Z934-0)),IF($Z934&lt;=4000,IF(INDEX(周转筐出入库明细!$E$4:$E$2004,$Z934-2000)=0,"",INDEX(周转筐出入库明细!$E$4:$E$2004,$Z934-2000)),IF($Z934&lt;=5200,IF(INDEX(客户自备加工筐明细!$D$4:$D$1203,$Z934-4000)=0,"",INDEX(客户自备加工筐明细!$D$4:$D$1203,$Z934-4000)),IF($Z934&lt;=5800,IF(INDEX(次果筐明细!$E$4:$E$603,$Z934-5200)=0,"",INDEX(次果筐明细!$E$4:$E$603,$Z934-5200)),"")))))</f>
        <v/>
      </c>
      <c r="F934" s="24" t="str">
        <f>IF($Z934="","",IF($Z934&lt;=2000,IF(INDEX(包装物料出入库明细!$E$4:$E$2003,$Z934-0)=0,"",INDEX(包装物料出入库明细!$E$4:$E$2003,$Z934-0)),IF($Z934&lt;=4000,IF(INDEX(周转筐出入库明细!$D$4:$D$2004,$Z934-2000)=0,"",INDEX(周转筐出入库明细!$D$4:$D$2004,$Z934-2000)),IF($Z934&lt;=5200,IF(INDEX(客户自备加工筐明细!$C$4:$C$1203,$Z934-4000)=0,"",INDEX(客户自备加工筐明细!$C$4:$C$1203,$Z934-4000)),IF($Z934&lt;=5800,IF(INDEX(次果筐明细!$D$4:$D$603,$Z934-5200)=0,"",INDEX(次果筐明细!$D$4:$D$603,$Z934-5200)),"")))))</f>
        <v/>
      </c>
      <c r="G934" s="24" t="str">
        <f>IF($Z934="","",IF($Z934&lt;=2000,IF(INDEX(包装物料出入库明细!$F$4:$F$2003,$Z934-0)=0,"",INDEX(包装物料出入库明细!$F$4:$F$2003,$Z934-0)),IF($Z934&lt;=4000,"",IF($Z934&lt;=5200,"",IF($Z934&lt;=5800,"","")))))</f>
        <v/>
      </c>
      <c r="H934" s="39" t="str">
        <f>IF($Z934="","",IF($Z934&lt;=2000,IF(INDEX(包装物料出入库明细!$L$4:$L$2003,$Z934-0)=0,"",INDEX(包装物料出入库明细!$L$4:$L$2003,$Z934-0)),IF($Z934&lt;=4000,N(INDEX(周转筐出入库明细!$H$4:$H$2004,$Z934-2000))+N(INDEX(周转筐出入库明细!$I$4:$I$2004,$Z934-2000))+N(INDEX(周转筐出入库明细!$J$4:$J$2004,$Z934-2000))+N(INDEX(周转筐出入库明细!$K$4:$K$2004,$Z934-2000)),IF($Z934&lt;=5200,N(INDEX(客户自备加工筐明细!$F$4:$F$1203,$Z934-4000))+N(INDEX(客户自备加工筐明细!$G$4:$G$1203,$Z934-4000)),IF($Z934&lt;=5800,IF(INDEX(次果筐明细!$G$4:$G$603,$Z934-5200)=0,"",INDEX(次果筐明细!$G$4:$G$603,$Z934-5200)),"")))))</f>
        <v/>
      </c>
      <c r="I934" s="24" t="str">
        <f>IF($Z934="","",IF($Z934&lt;=2000,IF(INDEX(包装物料出入库明细!$G$4:$G$2003,$Z934-0)=0,"",INDEX(包装物料出入库明细!$G$4:$G$2003,$Z934-0)),IF($Z934&lt;=4000,"个",IF($Z934&lt;=5200,"个",IF($Z934&lt;=5800,"个","")))))</f>
        <v/>
      </c>
      <c r="J934" s="30" t="str">
        <f t="shared" si="43"/>
        <v/>
      </c>
      <c r="K934" s="30" t="str">
        <f>IF($Z934="","",IF($Z934&lt;=2000,IF(INDEX(包装物料出入库明细!$N$4:$N$2003,$Z934-0)=0,"",INDEX(包装物料出入库明细!$N$4:$N$2003,$Z934-0)),IF($Z934&lt;=4000,IF(INDEX(周转筐出入库明细!$P$4:$P$2004,$Z934-2000)=0,"",INDEX(周转筐出入库明细!$P$4:$P$2004,$Z934-2000)),IF($Z934&lt;=5200,"",IF($Z934&lt;=5800,N(INDEX(次果筐明细!$L$4:$L$603,$Z934-5200))+N(INDEX(次果筐明细!$J$4:$J$603,$Z934-5200)),"")))))</f>
        <v/>
      </c>
      <c r="L934" s="24" t="str">
        <f>IF($Z934="","",IF($Z934&lt;=2000,IF(INDEX(包装物料出入库明细!$P$4:$P$2003,$Z934-0)=0,"",INDEX(包装物料出入库明细!$P$4:$P$2003,$Z934-0)),IF($Z934&lt;=4000,IF(INDEX(周转筐出入库明细!$Q$4:$Q$2004,$Z934-2000)=0,"",INDEX(周转筐出入库明细!$Q$4:$Q$2004,$Z934-2000)),IF($Z934&lt;=5200,"",IF($Z934&lt;=5800,IF(INDEX(次果筐明细!$M$4:$M$603,$Z934-5200)=0,"",INDEX(次果筐明细!$M$4:$M$603,$Z934-5200)),"")))))</f>
        <v/>
      </c>
      <c r="M934" s="37" t="str">
        <f>IF($Z934="","",IF($Z934&lt;=2000,IF(INDEX(包装物料出入库明细!$R$4:$R$2003,$Z934-0)=0,"",INDEX(包装物料出入库明细!$R$4:$R$2003,$Z934-0)),IF($Z934&lt;=4000,IF(INDEX(周转筐出入库明细!$W$4:$W$2004,$Z934-2000)=0,"",INDEX(周转筐出入库明细!$W$4:$W$2004,$Z934-2000)),IF($Z934&lt;=5200,IF(INDEX(客户自备加工筐明细!$L$4:$L$1203,$Z934-4000)=0,"",INDEX(客户自备加工筐明细!$L$4:$L$1203,$Z934-4000)),IF($Z934&lt;=5800,IF(INDEX(次果筐明细!$P$4:$P$603,$Z934-5200)=0,"",INDEX(次果筐明细!$P$4:$P$603,$Z934-5200)),"")))))</f>
        <v/>
      </c>
      <c r="N934" s="16" t="str">
        <f>IF($Z934="","",IF($Z934&lt;=2000,"",IF($Z934&lt;=4000,IF(INDEX(周转筐出入库明细!$D$4:$D$2004,$Z934-2000)=0,"",INDEX(周转筐出入库明细!$D$4:$D$2004,$Z934-2000)),IF($Z934&lt;=5200,IF(INDEX(客户自备加工筐明细!$C$4:$C$1203,$Z934-4000)=0,"",INDEX(客户自备加工筐明细!$C$4:$C$1203,$Z934-4000)),IF($Z934&lt;=5800,IF(INDEX(次果筐明细!$D$4:$D$603,$Z934-5200)=0,"",INDEX(次果筐明细!$D$4:$D$603,$Z934-5200)),"")))))</f>
        <v/>
      </c>
      <c r="O934" s="40" t="str">
        <f>IF($Z934="","",IF($Z934&lt;=2000,"",IF($Z934&lt;=4000,IF(N(INDEX(周转筐出入库明细!$J$4:$J$2004,$Z934-2000))+N(INDEX(周转筐出入库明细!$K$4:$K$2004,$Z934-2000))=0,"",N(INDEX(周转筐出入库明细!$J$4:$J$2004,$Z934-2000))+N(INDEX(周转筐出入库明细!$K$4:$K$2004,$Z934-2000))),IF($Z934&lt;=5200,IF(N(INDEX(客户自备加工筐明细!$G$4:$G$1203,$Z934-4000))=0,"",N(INDEX(客户自备加工筐明细!$G$4:$G$1203,$Z934-4000))),IF($Z934&lt;=5800,IF(ISNUMBER(SEARCH("退",INDEX(次果筐明细!$F$4:$F$603,$Z934-5200)&amp;"")),"",IF(N(INDEX(次果筐明细!$G$4:$G$603,$Z934-5200))=0,"",N(INDEX(次果筐明细!$G$4:$G$603,$Z934-5200)))),"")))))</f>
        <v/>
      </c>
      <c r="P934" s="40" t="str">
        <f>IF($Z934="","",IF($Z934&lt;=2000,"",IF($Z934&lt;=4000,IF(N(INDEX(周转筐出入库明细!$I$4:$I$2004,$Z934-2000))=0,"",N(INDEX(周转筐出入库明细!$I$4:$I$2004,$Z934-2000))),IF($Z934&lt;=5200,"",IF($Z934&lt;=5800,IF(ISNUMBER(SEARCH("退",INDEX(次果筐明细!$F$4:$F$603,$Z934-5200)&amp;"")),IF(N(INDEX(次果筐明细!$G$4:$G$603,$Z934-5200))=0,"",N(INDEX(次果筐明细!$G$4:$G$603,$Z934-5200))),""),"")))))</f>
        <v/>
      </c>
      <c r="Q934" s="40" t="str">
        <f>IF($Z934="","",IF($Z934&lt;=2000,"",IF($Z934&lt;=4000,IF(N(INDEX(周转筐出入库明细!$H$4:$H$2004,$Z934-2000))=0,"",N(INDEX(周转筐出入库明细!$H$4:$H$2004,$Z934-2000))),IF($Z934&lt;=5200,IF(N(INDEX(客户自备加工筐明细!$F$4:$F$1203,$Z934-4000))=0,"",N(INDEX(客户自备加工筐明细!$F$4:$F$1203,$Z934-4000))),IF($Z934&lt;=5800,"","")))))</f>
        <v/>
      </c>
      <c r="R934" s="16" t="str">
        <f>IF($Z934="","",IF($Z934&lt;=2000,IF(INDEX(包装物料出入库明细!$O$4:$O$2003,$Z934-0)=0,"",INDEX(包装物料出入库明细!$O$4:$O$2003,$Z934-0)),IF($Z934&lt;=4000,IF(INDEX(周转筐出入库明细!$M$4:$M$2004,$Z934-2000)=0,"",INDEX(周转筐出入库明细!$M$4:$M$2004,$Z934-2000)),IF($Z934&lt;=5200,IF(INDEX(客户自备加工筐明细!$H$4:$H$1203,$Z934-4000)=0,"",INDEX(客户自备加工筐明细!$H$4:$H$1203,$Z934-4000)),IF($Z934&lt;=5800,IF(INDEX(次果筐明细!$H$4:$H$603,$Z934-5200)=0,"",INDEX(次果筐明细!$H$4:$H$603,$Z934-5200)),"")))))</f>
        <v/>
      </c>
      <c r="S934" s="22" t="str">
        <f t="shared" si="44"/>
        <v/>
      </c>
      <c r="Z934" s="10" t="str">
        <f>IFERROR(MATCH(ROW()-3,_自动清单!$CQ$4:$CQ$5803,0),"")</f>
        <v/>
      </c>
    </row>
    <row r="935" spans="1:26">
      <c r="A935" s="24" t="str">
        <f t="shared" si="42"/>
        <v/>
      </c>
      <c r="B935" s="38" t="str">
        <f>IF($Z935="","",IF($Z935&lt;=2000,IF(INDEX(包装物料出入库明细!$B$4:$B$2003,$Z935-0)=0,"",INDEX(包装物料出入库明细!$B$4:$B$2003,$Z935-0)),IF($Z935&lt;=4000,IF(INDEX(周转筐出入库明细!$B$4:$B$2004,$Z935-2000)=0,"",INDEX(周转筐出入库明细!$B$4:$B$2004,$Z935-2000)),IF($Z935&lt;=5200,IF(INDEX(客户自备加工筐明细!$B$4:$B$1203,$Z935-4000)=0,"",INDEX(客户自备加工筐明细!$B$4:$B$1203,$Z935-4000)),IF($Z935&lt;=5800,IF(INDEX(次果筐明细!$B$4:$B$603,$Z935-5200)=0,"",INDEX(次果筐明细!$B$4:$B$603,$Z935-5200)),"")))))</f>
        <v/>
      </c>
      <c r="C935" s="37" t="str">
        <f>IF($Z935="","",IF($Z935&lt;=2000,IF(INDEX(包装物料出入库明细!$D$4:$D$2003,$Z935-0)=0,"",INDEX(包装物料出入库明细!$D$4:$D$2003,$Z935-0)),IF($Z935&lt;=4000,IF(INDEX(周转筐出入库明细!$C$4:$C$2004,$Z935-2000)=0,"",INDEX(周转筐出入库明细!$C$4:$C$2004,$Z935-2000)),IF($Z935&lt;=5200,IF(INDEX(客户自备加工筐明细!$E$4:$E$1203,$Z935-4000)=0,"",INDEX(客户自备加工筐明细!$E$4:$E$1203,$Z935-4000)),IF($Z935&lt;=5800,IF(INDEX(次果筐明细!$C$4:$C$603,$Z935-5200)=0,"",INDEX(次果筐明细!$C$4:$C$603,$Z935-5200)),"")))))</f>
        <v/>
      </c>
      <c r="D935" s="37" t="str">
        <f>IF($Z935="","",IF($Z935&lt;=2000,"包装物料－"&amp;INDEX(包装物料出入库明细!$H$4:$H$2003,$Z935-0),IF($Z935&lt;=4000,"周转筐－"&amp;INDEX(周转筐出入库明细!$F$4:$F$2004,$Z935-2000),IF($Z935&lt;=5200,"客户自备筐－"&amp;INDEX(客户自备加工筐明细!$J$4:$J$1203,$Z935-4000),IF($Z935&lt;=5800,"次果筐/托盘－"&amp;INDEX(次果筐明细!$F$4:$F$603,$Z935-5200),"")))))</f>
        <v/>
      </c>
      <c r="E935" s="24" t="str">
        <f>IF($Z935="","",IF($Z935&lt;=2000,IF(INDEX(包装物料出入库明细!$C$4:$C$2003,$Z935-0)=0,"",INDEX(包装物料出入库明细!$C$4:$C$2003,$Z935-0)),IF($Z935&lt;=4000,IF(INDEX(周转筐出入库明细!$E$4:$E$2004,$Z935-2000)=0,"",INDEX(周转筐出入库明细!$E$4:$E$2004,$Z935-2000)),IF($Z935&lt;=5200,IF(INDEX(客户自备加工筐明细!$D$4:$D$1203,$Z935-4000)=0,"",INDEX(客户自备加工筐明细!$D$4:$D$1203,$Z935-4000)),IF($Z935&lt;=5800,IF(INDEX(次果筐明细!$E$4:$E$603,$Z935-5200)=0,"",INDEX(次果筐明细!$E$4:$E$603,$Z935-5200)),"")))))</f>
        <v/>
      </c>
      <c r="F935" s="24" t="str">
        <f>IF($Z935="","",IF($Z935&lt;=2000,IF(INDEX(包装物料出入库明细!$E$4:$E$2003,$Z935-0)=0,"",INDEX(包装物料出入库明细!$E$4:$E$2003,$Z935-0)),IF($Z935&lt;=4000,IF(INDEX(周转筐出入库明细!$D$4:$D$2004,$Z935-2000)=0,"",INDEX(周转筐出入库明细!$D$4:$D$2004,$Z935-2000)),IF($Z935&lt;=5200,IF(INDEX(客户自备加工筐明细!$C$4:$C$1203,$Z935-4000)=0,"",INDEX(客户自备加工筐明细!$C$4:$C$1203,$Z935-4000)),IF($Z935&lt;=5800,IF(INDEX(次果筐明细!$D$4:$D$603,$Z935-5200)=0,"",INDEX(次果筐明细!$D$4:$D$603,$Z935-5200)),"")))))</f>
        <v/>
      </c>
      <c r="G935" s="24" t="str">
        <f>IF($Z935="","",IF($Z935&lt;=2000,IF(INDEX(包装物料出入库明细!$F$4:$F$2003,$Z935-0)=0,"",INDEX(包装物料出入库明细!$F$4:$F$2003,$Z935-0)),IF($Z935&lt;=4000,"",IF($Z935&lt;=5200,"",IF($Z935&lt;=5800,"","")))))</f>
        <v/>
      </c>
      <c r="H935" s="39" t="str">
        <f>IF($Z935="","",IF($Z935&lt;=2000,IF(INDEX(包装物料出入库明细!$L$4:$L$2003,$Z935-0)=0,"",INDEX(包装物料出入库明细!$L$4:$L$2003,$Z935-0)),IF($Z935&lt;=4000,N(INDEX(周转筐出入库明细!$H$4:$H$2004,$Z935-2000))+N(INDEX(周转筐出入库明细!$I$4:$I$2004,$Z935-2000))+N(INDEX(周转筐出入库明细!$J$4:$J$2004,$Z935-2000))+N(INDEX(周转筐出入库明细!$K$4:$K$2004,$Z935-2000)),IF($Z935&lt;=5200,N(INDEX(客户自备加工筐明细!$F$4:$F$1203,$Z935-4000))+N(INDEX(客户自备加工筐明细!$G$4:$G$1203,$Z935-4000)),IF($Z935&lt;=5800,IF(INDEX(次果筐明细!$G$4:$G$603,$Z935-5200)=0,"",INDEX(次果筐明细!$G$4:$G$603,$Z935-5200)),"")))))</f>
        <v/>
      </c>
      <c r="I935" s="24" t="str">
        <f>IF($Z935="","",IF($Z935&lt;=2000,IF(INDEX(包装物料出入库明细!$G$4:$G$2003,$Z935-0)=0,"",INDEX(包装物料出入库明细!$G$4:$G$2003,$Z935-0)),IF($Z935&lt;=4000,"个",IF($Z935&lt;=5200,"个",IF($Z935&lt;=5800,"个","")))))</f>
        <v/>
      </c>
      <c r="J935" s="30" t="str">
        <f t="shared" si="43"/>
        <v/>
      </c>
      <c r="K935" s="30" t="str">
        <f>IF($Z935="","",IF($Z935&lt;=2000,IF(INDEX(包装物料出入库明细!$N$4:$N$2003,$Z935-0)=0,"",INDEX(包装物料出入库明细!$N$4:$N$2003,$Z935-0)),IF($Z935&lt;=4000,IF(INDEX(周转筐出入库明细!$P$4:$P$2004,$Z935-2000)=0,"",INDEX(周转筐出入库明细!$P$4:$P$2004,$Z935-2000)),IF($Z935&lt;=5200,"",IF($Z935&lt;=5800,N(INDEX(次果筐明细!$L$4:$L$603,$Z935-5200))+N(INDEX(次果筐明细!$J$4:$J$603,$Z935-5200)),"")))))</f>
        <v/>
      </c>
      <c r="L935" s="24" t="str">
        <f>IF($Z935="","",IF($Z935&lt;=2000,IF(INDEX(包装物料出入库明细!$P$4:$P$2003,$Z935-0)=0,"",INDEX(包装物料出入库明细!$P$4:$P$2003,$Z935-0)),IF($Z935&lt;=4000,IF(INDEX(周转筐出入库明细!$Q$4:$Q$2004,$Z935-2000)=0,"",INDEX(周转筐出入库明细!$Q$4:$Q$2004,$Z935-2000)),IF($Z935&lt;=5200,"",IF($Z935&lt;=5800,IF(INDEX(次果筐明细!$M$4:$M$603,$Z935-5200)=0,"",INDEX(次果筐明细!$M$4:$M$603,$Z935-5200)),"")))))</f>
        <v/>
      </c>
      <c r="M935" s="37" t="str">
        <f>IF($Z935="","",IF($Z935&lt;=2000,IF(INDEX(包装物料出入库明细!$R$4:$R$2003,$Z935-0)=0,"",INDEX(包装物料出入库明细!$R$4:$R$2003,$Z935-0)),IF($Z935&lt;=4000,IF(INDEX(周转筐出入库明细!$W$4:$W$2004,$Z935-2000)=0,"",INDEX(周转筐出入库明细!$W$4:$W$2004,$Z935-2000)),IF($Z935&lt;=5200,IF(INDEX(客户自备加工筐明细!$L$4:$L$1203,$Z935-4000)=0,"",INDEX(客户自备加工筐明细!$L$4:$L$1203,$Z935-4000)),IF($Z935&lt;=5800,IF(INDEX(次果筐明细!$P$4:$P$603,$Z935-5200)=0,"",INDEX(次果筐明细!$P$4:$P$603,$Z935-5200)),"")))))</f>
        <v/>
      </c>
      <c r="N935" s="16" t="str">
        <f>IF($Z935="","",IF($Z935&lt;=2000,"",IF($Z935&lt;=4000,IF(INDEX(周转筐出入库明细!$D$4:$D$2004,$Z935-2000)=0,"",INDEX(周转筐出入库明细!$D$4:$D$2004,$Z935-2000)),IF($Z935&lt;=5200,IF(INDEX(客户自备加工筐明细!$C$4:$C$1203,$Z935-4000)=0,"",INDEX(客户自备加工筐明细!$C$4:$C$1203,$Z935-4000)),IF($Z935&lt;=5800,IF(INDEX(次果筐明细!$D$4:$D$603,$Z935-5200)=0,"",INDEX(次果筐明细!$D$4:$D$603,$Z935-5200)),"")))))</f>
        <v/>
      </c>
      <c r="O935" s="40" t="str">
        <f>IF($Z935="","",IF($Z935&lt;=2000,"",IF($Z935&lt;=4000,IF(N(INDEX(周转筐出入库明细!$J$4:$J$2004,$Z935-2000))+N(INDEX(周转筐出入库明细!$K$4:$K$2004,$Z935-2000))=0,"",N(INDEX(周转筐出入库明细!$J$4:$J$2004,$Z935-2000))+N(INDEX(周转筐出入库明细!$K$4:$K$2004,$Z935-2000))),IF($Z935&lt;=5200,IF(N(INDEX(客户自备加工筐明细!$G$4:$G$1203,$Z935-4000))=0,"",N(INDEX(客户自备加工筐明细!$G$4:$G$1203,$Z935-4000))),IF($Z935&lt;=5800,IF(ISNUMBER(SEARCH("退",INDEX(次果筐明细!$F$4:$F$603,$Z935-5200)&amp;"")),"",IF(N(INDEX(次果筐明细!$G$4:$G$603,$Z935-5200))=0,"",N(INDEX(次果筐明细!$G$4:$G$603,$Z935-5200)))),"")))))</f>
        <v/>
      </c>
      <c r="P935" s="40" t="str">
        <f>IF($Z935="","",IF($Z935&lt;=2000,"",IF($Z935&lt;=4000,IF(N(INDEX(周转筐出入库明细!$I$4:$I$2004,$Z935-2000))=0,"",N(INDEX(周转筐出入库明细!$I$4:$I$2004,$Z935-2000))),IF($Z935&lt;=5200,"",IF($Z935&lt;=5800,IF(ISNUMBER(SEARCH("退",INDEX(次果筐明细!$F$4:$F$603,$Z935-5200)&amp;"")),IF(N(INDEX(次果筐明细!$G$4:$G$603,$Z935-5200))=0,"",N(INDEX(次果筐明细!$G$4:$G$603,$Z935-5200))),""),"")))))</f>
        <v/>
      </c>
      <c r="Q935" s="40" t="str">
        <f>IF($Z935="","",IF($Z935&lt;=2000,"",IF($Z935&lt;=4000,IF(N(INDEX(周转筐出入库明细!$H$4:$H$2004,$Z935-2000))=0,"",N(INDEX(周转筐出入库明细!$H$4:$H$2004,$Z935-2000))),IF($Z935&lt;=5200,IF(N(INDEX(客户自备加工筐明细!$F$4:$F$1203,$Z935-4000))=0,"",N(INDEX(客户自备加工筐明细!$F$4:$F$1203,$Z935-4000))),IF($Z935&lt;=5800,"","")))))</f>
        <v/>
      </c>
      <c r="R935" s="16" t="str">
        <f>IF($Z935="","",IF($Z935&lt;=2000,IF(INDEX(包装物料出入库明细!$O$4:$O$2003,$Z935-0)=0,"",INDEX(包装物料出入库明细!$O$4:$O$2003,$Z935-0)),IF($Z935&lt;=4000,IF(INDEX(周转筐出入库明细!$M$4:$M$2004,$Z935-2000)=0,"",INDEX(周转筐出入库明细!$M$4:$M$2004,$Z935-2000)),IF($Z935&lt;=5200,IF(INDEX(客户自备加工筐明细!$H$4:$H$1203,$Z935-4000)=0,"",INDEX(客户自备加工筐明细!$H$4:$H$1203,$Z935-4000)),IF($Z935&lt;=5800,IF(INDEX(次果筐明细!$H$4:$H$603,$Z935-5200)=0,"",INDEX(次果筐明细!$H$4:$H$603,$Z935-5200)),"")))))</f>
        <v/>
      </c>
      <c r="S935" s="22" t="str">
        <f t="shared" si="44"/>
        <v/>
      </c>
      <c r="Z935" s="10" t="str">
        <f>IFERROR(MATCH(ROW()-3,_自动清单!$CQ$4:$CQ$5803,0),"")</f>
        <v/>
      </c>
    </row>
    <row r="936" spans="1:26">
      <c r="A936" s="24" t="str">
        <f t="shared" si="42"/>
        <v/>
      </c>
      <c r="B936" s="38" t="str">
        <f>IF($Z936="","",IF($Z936&lt;=2000,IF(INDEX(包装物料出入库明细!$B$4:$B$2003,$Z936-0)=0,"",INDEX(包装物料出入库明细!$B$4:$B$2003,$Z936-0)),IF($Z936&lt;=4000,IF(INDEX(周转筐出入库明细!$B$4:$B$2004,$Z936-2000)=0,"",INDEX(周转筐出入库明细!$B$4:$B$2004,$Z936-2000)),IF($Z936&lt;=5200,IF(INDEX(客户自备加工筐明细!$B$4:$B$1203,$Z936-4000)=0,"",INDEX(客户自备加工筐明细!$B$4:$B$1203,$Z936-4000)),IF($Z936&lt;=5800,IF(INDEX(次果筐明细!$B$4:$B$603,$Z936-5200)=0,"",INDEX(次果筐明细!$B$4:$B$603,$Z936-5200)),"")))))</f>
        <v/>
      </c>
      <c r="C936" s="37" t="str">
        <f>IF($Z936="","",IF($Z936&lt;=2000,IF(INDEX(包装物料出入库明细!$D$4:$D$2003,$Z936-0)=0,"",INDEX(包装物料出入库明细!$D$4:$D$2003,$Z936-0)),IF($Z936&lt;=4000,IF(INDEX(周转筐出入库明细!$C$4:$C$2004,$Z936-2000)=0,"",INDEX(周转筐出入库明细!$C$4:$C$2004,$Z936-2000)),IF($Z936&lt;=5200,IF(INDEX(客户自备加工筐明细!$E$4:$E$1203,$Z936-4000)=0,"",INDEX(客户自备加工筐明细!$E$4:$E$1203,$Z936-4000)),IF($Z936&lt;=5800,IF(INDEX(次果筐明细!$C$4:$C$603,$Z936-5200)=0,"",INDEX(次果筐明细!$C$4:$C$603,$Z936-5200)),"")))))</f>
        <v/>
      </c>
      <c r="D936" s="37" t="str">
        <f>IF($Z936="","",IF($Z936&lt;=2000,"包装物料－"&amp;INDEX(包装物料出入库明细!$H$4:$H$2003,$Z936-0),IF($Z936&lt;=4000,"周转筐－"&amp;INDEX(周转筐出入库明细!$F$4:$F$2004,$Z936-2000),IF($Z936&lt;=5200,"客户自备筐－"&amp;INDEX(客户自备加工筐明细!$J$4:$J$1203,$Z936-4000),IF($Z936&lt;=5800,"次果筐/托盘－"&amp;INDEX(次果筐明细!$F$4:$F$603,$Z936-5200),"")))))</f>
        <v/>
      </c>
      <c r="E936" s="24" t="str">
        <f>IF($Z936="","",IF($Z936&lt;=2000,IF(INDEX(包装物料出入库明细!$C$4:$C$2003,$Z936-0)=0,"",INDEX(包装物料出入库明细!$C$4:$C$2003,$Z936-0)),IF($Z936&lt;=4000,IF(INDEX(周转筐出入库明细!$E$4:$E$2004,$Z936-2000)=0,"",INDEX(周转筐出入库明细!$E$4:$E$2004,$Z936-2000)),IF($Z936&lt;=5200,IF(INDEX(客户自备加工筐明细!$D$4:$D$1203,$Z936-4000)=0,"",INDEX(客户自备加工筐明细!$D$4:$D$1203,$Z936-4000)),IF($Z936&lt;=5800,IF(INDEX(次果筐明细!$E$4:$E$603,$Z936-5200)=0,"",INDEX(次果筐明细!$E$4:$E$603,$Z936-5200)),"")))))</f>
        <v/>
      </c>
      <c r="F936" s="24" t="str">
        <f>IF($Z936="","",IF($Z936&lt;=2000,IF(INDEX(包装物料出入库明细!$E$4:$E$2003,$Z936-0)=0,"",INDEX(包装物料出入库明细!$E$4:$E$2003,$Z936-0)),IF($Z936&lt;=4000,IF(INDEX(周转筐出入库明细!$D$4:$D$2004,$Z936-2000)=0,"",INDEX(周转筐出入库明细!$D$4:$D$2004,$Z936-2000)),IF($Z936&lt;=5200,IF(INDEX(客户自备加工筐明细!$C$4:$C$1203,$Z936-4000)=0,"",INDEX(客户自备加工筐明细!$C$4:$C$1203,$Z936-4000)),IF($Z936&lt;=5800,IF(INDEX(次果筐明细!$D$4:$D$603,$Z936-5200)=0,"",INDEX(次果筐明细!$D$4:$D$603,$Z936-5200)),"")))))</f>
        <v/>
      </c>
      <c r="G936" s="24" t="str">
        <f>IF($Z936="","",IF($Z936&lt;=2000,IF(INDEX(包装物料出入库明细!$F$4:$F$2003,$Z936-0)=0,"",INDEX(包装物料出入库明细!$F$4:$F$2003,$Z936-0)),IF($Z936&lt;=4000,"",IF($Z936&lt;=5200,"",IF($Z936&lt;=5800,"","")))))</f>
        <v/>
      </c>
      <c r="H936" s="39" t="str">
        <f>IF($Z936="","",IF($Z936&lt;=2000,IF(INDEX(包装物料出入库明细!$L$4:$L$2003,$Z936-0)=0,"",INDEX(包装物料出入库明细!$L$4:$L$2003,$Z936-0)),IF($Z936&lt;=4000,N(INDEX(周转筐出入库明细!$H$4:$H$2004,$Z936-2000))+N(INDEX(周转筐出入库明细!$I$4:$I$2004,$Z936-2000))+N(INDEX(周转筐出入库明细!$J$4:$J$2004,$Z936-2000))+N(INDEX(周转筐出入库明细!$K$4:$K$2004,$Z936-2000)),IF($Z936&lt;=5200,N(INDEX(客户自备加工筐明细!$F$4:$F$1203,$Z936-4000))+N(INDEX(客户自备加工筐明细!$G$4:$G$1203,$Z936-4000)),IF($Z936&lt;=5800,IF(INDEX(次果筐明细!$G$4:$G$603,$Z936-5200)=0,"",INDEX(次果筐明细!$G$4:$G$603,$Z936-5200)),"")))))</f>
        <v/>
      </c>
      <c r="I936" s="24" t="str">
        <f>IF($Z936="","",IF($Z936&lt;=2000,IF(INDEX(包装物料出入库明细!$G$4:$G$2003,$Z936-0)=0,"",INDEX(包装物料出入库明细!$G$4:$G$2003,$Z936-0)),IF($Z936&lt;=4000,"个",IF($Z936&lt;=5200,"个",IF($Z936&lt;=5800,"个","")))))</f>
        <v/>
      </c>
      <c r="J936" s="30" t="str">
        <f t="shared" si="43"/>
        <v/>
      </c>
      <c r="K936" s="30" t="str">
        <f>IF($Z936="","",IF($Z936&lt;=2000,IF(INDEX(包装物料出入库明细!$N$4:$N$2003,$Z936-0)=0,"",INDEX(包装物料出入库明细!$N$4:$N$2003,$Z936-0)),IF($Z936&lt;=4000,IF(INDEX(周转筐出入库明细!$P$4:$P$2004,$Z936-2000)=0,"",INDEX(周转筐出入库明细!$P$4:$P$2004,$Z936-2000)),IF($Z936&lt;=5200,"",IF($Z936&lt;=5800,N(INDEX(次果筐明细!$L$4:$L$603,$Z936-5200))+N(INDEX(次果筐明细!$J$4:$J$603,$Z936-5200)),"")))))</f>
        <v/>
      </c>
      <c r="L936" s="24" t="str">
        <f>IF($Z936="","",IF($Z936&lt;=2000,IF(INDEX(包装物料出入库明细!$P$4:$P$2003,$Z936-0)=0,"",INDEX(包装物料出入库明细!$P$4:$P$2003,$Z936-0)),IF($Z936&lt;=4000,IF(INDEX(周转筐出入库明细!$Q$4:$Q$2004,$Z936-2000)=0,"",INDEX(周转筐出入库明细!$Q$4:$Q$2004,$Z936-2000)),IF($Z936&lt;=5200,"",IF($Z936&lt;=5800,IF(INDEX(次果筐明细!$M$4:$M$603,$Z936-5200)=0,"",INDEX(次果筐明细!$M$4:$M$603,$Z936-5200)),"")))))</f>
        <v/>
      </c>
      <c r="M936" s="37" t="str">
        <f>IF($Z936="","",IF($Z936&lt;=2000,IF(INDEX(包装物料出入库明细!$R$4:$R$2003,$Z936-0)=0,"",INDEX(包装物料出入库明细!$R$4:$R$2003,$Z936-0)),IF($Z936&lt;=4000,IF(INDEX(周转筐出入库明细!$W$4:$W$2004,$Z936-2000)=0,"",INDEX(周转筐出入库明细!$W$4:$W$2004,$Z936-2000)),IF($Z936&lt;=5200,IF(INDEX(客户自备加工筐明细!$L$4:$L$1203,$Z936-4000)=0,"",INDEX(客户自备加工筐明细!$L$4:$L$1203,$Z936-4000)),IF($Z936&lt;=5800,IF(INDEX(次果筐明细!$P$4:$P$603,$Z936-5200)=0,"",INDEX(次果筐明细!$P$4:$P$603,$Z936-5200)),"")))))</f>
        <v/>
      </c>
      <c r="N936" s="16" t="str">
        <f>IF($Z936="","",IF($Z936&lt;=2000,"",IF($Z936&lt;=4000,IF(INDEX(周转筐出入库明细!$D$4:$D$2004,$Z936-2000)=0,"",INDEX(周转筐出入库明细!$D$4:$D$2004,$Z936-2000)),IF($Z936&lt;=5200,IF(INDEX(客户自备加工筐明细!$C$4:$C$1203,$Z936-4000)=0,"",INDEX(客户自备加工筐明细!$C$4:$C$1203,$Z936-4000)),IF($Z936&lt;=5800,IF(INDEX(次果筐明细!$D$4:$D$603,$Z936-5200)=0,"",INDEX(次果筐明细!$D$4:$D$603,$Z936-5200)),"")))))</f>
        <v/>
      </c>
      <c r="O936" s="40" t="str">
        <f>IF($Z936="","",IF($Z936&lt;=2000,"",IF($Z936&lt;=4000,IF(N(INDEX(周转筐出入库明细!$J$4:$J$2004,$Z936-2000))+N(INDEX(周转筐出入库明细!$K$4:$K$2004,$Z936-2000))=0,"",N(INDEX(周转筐出入库明细!$J$4:$J$2004,$Z936-2000))+N(INDEX(周转筐出入库明细!$K$4:$K$2004,$Z936-2000))),IF($Z936&lt;=5200,IF(N(INDEX(客户自备加工筐明细!$G$4:$G$1203,$Z936-4000))=0,"",N(INDEX(客户自备加工筐明细!$G$4:$G$1203,$Z936-4000))),IF($Z936&lt;=5800,IF(ISNUMBER(SEARCH("退",INDEX(次果筐明细!$F$4:$F$603,$Z936-5200)&amp;"")),"",IF(N(INDEX(次果筐明细!$G$4:$G$603,$Z936-5200))=0,"",N(INDEX(次果筐明细!$G$4:$G$603,$Z936-5200)))),"")))))</f>
        <v/>
      </c>
      <c r="P936" s="40" t="str">
        <f>IF($Z936="","",IF($Z936&lt;=2000,"",IF($Z936&lt;=4000,IF(N(INDEX(周转筐出入库明细!$I$4:$I$2004,$Z936-2000))=0,"",N(INDEX(周转筐出入库明细!$I$4:$I$2004,$Z936-2000))),IF($Z936&lt;=5200,"",IF($Z936&lt;=5800,IF(ISNUMBER(SEARCH("退",INDEX(次果筐明细!$F$4:$F$603,$Z936-5200)&amp;"")),IF(N(INDEX(次果筐明细!$G$4:$G$603,$Z936-5200))=0,"",N(INDEX(次果筐明细!$G$4:$G$603,$Z936-5200))),""),"")))))</f>
        <v/>
      </c>
      <c r="Q936" s="40" t="str">
        <f>IF($Z936="","",IF($Z936&lt;=2000,"",IF($Z936&lt;=4000,IF(N(INDEX(周转筐出入库明细!$H$4:$H$2004,$Z936-2000))=0,"",N(INDEX(周转筐出入库明细!$H$4:$H$2004,$Z936-2000))),IF($Z936&lt;=5200,IF(N(INDEX(客户自备加工筐明细!$F$4:$F$1203,$Z936-4000))=0,"",N(INDEX(客户自备加工筐明细!$F$4:$F$1203,$Z936-4000))),IF($Z936&lt;=5800,"","")))))</f>
        <v/>
      </c>
      <c r="R936" s="16" t="str">
        <f>IF($Z936="","",IF($Z936&lt;=2000,IF(INDEX(包装物料出入库明细!$O$4:$O$2003,$Z936-0)=0,"",INDEX(包装物料出入库明细!$O$4:$O$2003,$Z936-0)),IF($Z936&lt;=4000,IF(INDEX(周转筐出入库明细!$M$4:$M$2004,$Z936-2000)=0,"",INDEX(周转筐出入库明细!$M$4:$M$2004,$Z936-2000)),IF($Z936&lt;=5200,IF(INDEX(客户自备加工筐明细!$H$4:$H$1203,$Z936-4000)=0,"",INDEX(客户自备加工筐明细!$H$4:$H$1203,$Z936-4000)),IF($Z936&lt;=5800,IF(INDEX(次果筐明细!$H$4:$H$603,$Z936-5200)=0,"",INDEX(次果筐明细!$H$4:$H$603,$Z936-5200)),"")))))</f>
        <v/>
      </c>
      <c r="S936" s="22" t="str">
        <f t="shared" si="44"/>
        <v/>
      </c>
      <c r="Z936" s="10" t="str">
        <f>IFERROR(MATCH(ROW()-3,_自动清单!$CQ$4:$CQ$5803,0),"")</f>
        <v/>
      </c>
    </row>
    <row r="937" spans="1:26">
      <c r="A937" s="24" t="str">
        <f t="shared" si="42"/>
        <v/>
      </c>
      <c r="B937" s="38" t="str">
        <f>IF($Z937="","",IF($Z937&lt;=2000,IF(INDEX(包装物料出入库明细!$B$4:$B$2003,$Z937-0)=0,"",INDEX(包装物料出入库明细!$B$4:$B$2003,$Z937-0)),IF($Z937&lt;=4000,IF(INDEX(周转筐出入库明细!$B$4:$B$2004,$Z937-2000)=0,"",INDEX(周转筐出入库明细!$B$4:$B$2004,$Z937-2000)),IF($Z937&lt;=5200,IF(INDEX(客户自备加工筐明细!$B$4:$B$1203,$Z937-4000)=0,"",INDEX(客户自备加工筐明细!$B$4:$B$1203,$Z937-4000)),IF($Z937&lt;=5800,IF(INDEX(次果筐明细!$B$4:$B$603,$Z937-5200)=0,"",INDEX(次果筐明细!$B$4:$B$603,$Z937-5200)),"")))))</f>
        <v/>
      </c>
      <c r="C937" s="37" t="str">
        <f>IF($Z937="","",IF($Z937&lt;=2000,IF(INDEX(包装物料出入库明细!$D$4:$D$2003,$Z937-0)=0,"",INDEX(包装物料出入库明细!$D$4:$D$2003,$Z937-0)),IF($Z937&lt;=4000,IF(INDEX(周转筐出入库明细!$C$4:$C$2004,$Z937-2000)=0,"",INDEX(周转筐出入库明细!$C$4:$C$2004,$Z937-2000)),IF($Z937&lt;=5200,IF(INDEX(客户自备加工筐明细!$E$4:$E$1203,$Z937-4000)=0,"",INDEX(客户自备加工筐明细!$E$4:$E$1203,$Z937-4000)),IF($Z937&lt;=5800,IF(INDEX(次果筐明细!$C$4:$C$603,$Z937-5200)=0,"",INDEX(次果筐明细!$C$4:$C$603,$Z937-5200)),"")))))</f>
        <v/>
      </c>
      <c r="D937" s="37" t="str">
        <f>IF($Z937="","",IF($Z937&lt;=2000,"包装物料－"&amp;INDEX(包装物料出入库明细!$H$4:$H$2003,$Z937-0),IF($Z937&lt;=4000,"周转筐－"&amp;INDEX(周转筐出入库明细!$F$4:$F$2004,$Z937-2000),IF($Z937&lt;=5200,"客户自备筐－"&amp;INDEX(客户自备加工筐明细!$J$4:$J$1203,$Z937-4000),IF($Z937&lt;=5800,"次果筐/托盘－"&amp;INDEX(次果筐明细!$F$4:$F$603,$Z937-5200),"")))))</f>
        <v/>
      </c>
      <c r="E937" s="24" t="str">
        <f>IF($Z937="","",IF($Z937&lt;=2000,IF(INDEX(包装物料出入库明细!$C$4:$C$2003,$Z937-0)=0,"",INDEX(包装物料出入库明细!$C$4:$C$2003,$Z937-0)),IF($Z937&lt;=4000,IF(INDEX(周转筐出入库明细!$E$4:$E$2004,$Z937-2000)=0,"",INDEX(周转筐出入库明细!$E$4:$E$2004,$Z937-2000)),IF($Z937&lt;=5200,IF(INDEX(客户自备加工筐明细!$D$4:$D$1203,$Z937-4000)=0,"",INDEX(客户自备加工筐明细!$D$4:$D$1203,$Z937-4000)),IF($Z937&lt;=5800,IF(INDEX(次果筐明细!$E$4:$E$603,$Z937-5200)=0,"",INDEX(次果筐明细!$E$4:$E$603,$Z937-5200)),"")))))</f>
        <v/>
      </c>
      <c r="F937" s="24" t="str">
        <f>IF($Z937="","",IF($Z937&lt;=2000,IF(INDEX(包装物料出入库明细!$E$4:$E$2003,$Z937-0)=0,"",INDEX(包装物料出入库明细!$E$4:$E$2003,$Z937-0)),IF($Z937&lt;=4000,IF(INDEX(周转筐出入库明细!$D$4:$D$2004,$Z937-2000)=0,"",INDEX(周转筐出入库明细!$D$4:$D$2004,$Z937-2000)),IF($Z937&lt;=5200,IF(INDEX(客户自备加工筐明细!$C$4:$C$1203,$Z937-4000)=0,"",INDEX(客户自备加工筐明细!$C$4:$C$1203,$Z937-4000)),IF($Z937&lt;=5800,IF(INDEX(次果筐明细!$D$4:$D$603,$Z937-5200)=0,"",INDEX(次果筐明细!$D$4:$D$603,$Z937-5200)),"")))))</f>
        <v/>
      </c>
      <c r="G937" s="24" t="str">
        <f>IF($Z937="","",IF($Z937&lt;=2000,IF(INDEX(包装物料出入库明细!$F$4:$F$2003,$Z937-0)=0,"",INDEX(包装物料出入库明细!$F$4:$F$2003,$Z937-0)),IF($Z937&lt;=4000,"",IF($Z937&lt;=5200,"",IF($Z937&lt;=5800,"","")))))</f>
        <v/>
      </c>
      <c r="H937" s="39" t="str">
        <f>IF($Z937="","",IF($Z937&lt;=2000,IF(INDEX(包装物料出入库明细!$L$4:$L$2003,$Z937-0)=0,"",INDEX(包装物料出入库明细!$L$4:$L$2003,$Z937-0)),IF($Z937&lt;=4000,N(INDEX(周转筐出入库明细!$H$4:$H$2004,$Z937-2000))+N(INDEX(周转筐出入库明细!$I$4:$I$2004,$Z937-2000))+N(INDEX(周转筐出入库明细!$J$4:$J$2004,$Z937-2000))+N(INDEX(周转筐出入库明细!$K$4:$K$2004,$Z937-2000)),IF($Z937&lt;=5200,N(INDEX(客户自备加工筐明细!$F$4:$F$1203,$Z937-4000))+N(INDEX(客户自备加工筐明细!$G$4:$G$1203,$Z937-4000)),IF($Z937&lt;=5800,IF(INDEX(次果筐明细!$G$4:$G$603,$Z937-5200)=0,"",INDEX(次果筐明细!$G$4:$G$603,$Z937-5200)),"")))))</f>
        <v/>
      </c>
      <c r="I937" s="24" t="str">
        <f>IF($Z937="","",IF($Z937&lt;=2000,IF(INDEX(包装物料出入库明细!$G$4:$G$2003,$Z937-0)=0,"",INDEX(包装物料出入库明细!$G$4:$G$2003,$Z937-0)),IF($Z937&lt;=4000,"个",IF($Z937&lt;=5200,"个",IF($Z937&lt;=5800,"个","")))))</f>
        <v/>
      </c>
      <c r="J937" s="30" t="str">
        <f t="shared" si="43"/>
        <v/>
      </c>
      <c r="K937" s="30" t="str">
        <f>IF($Z937="","",IF($Z937&lt;=2000,IF(INDEX(包装物料出入库明细!$N$4:$N$2003,$Z937-0)=0,"",INDEX(包装物料出入库明细!$N$4:$N$2003,$Z937-0)),IF($Z937&lt;=4000,IF(INDEX(周转筐出入库明细!$P$4:$P$2004,$Z937-2000)=0,"",INDEX(周转筐出入库明细!$P$4:$P$2004,$Z937-2000)),IF($Z937&lt;=5200,"",IF($Z937&lt;=5800,N(INDEX(次果筐明细!$L$4:$L$603,$Z937-5200))+N(INDEX(次果筐明细!$J$4:$J$603,$Z937-5200)),"")))))</f>
        <v/>
      </c>
      <c r="L937" s="24" t="str">
        <f>IF($Z937="","",IF($Z937&lt;=2000,IF(INDEX(包装物料出入库明细!$P$4:$P$2003,$Z937-0)=0,"",INDEX(包装物料出入库明细!$P$4:$P$2003,$Z937-0)),IF($Z937&lt;=4000,IF(INDEX(周转筐出入库明细!$Q$4:$Q$2004,$Z937-2000)=0,"",INDEX(周转筐出入库明细!$Q$4:$Q$2004,$Z937-2000)),IF($Z937&lt;=5200,"",IF($Z937&lt;=5800,IF(INDEX(次果筐明细!$M$4:$M$603,$Z937-5200)=0,"",INDEX(次果筐明细!$M$4:$M$603,$Z937-5200)),"")))))</f>
        <v/>
      </c>
      <c r="M937" s="37" t="str">
        <f>IF($Z937="","",IF($Z937&lt;=2000,IF(INDEX(包装物料出入库明细!$R$4:$R$2003,$Z937-0)=0,"",INDEX(包装物料出入库明细!$R$4:$R$2003,$Z937-0)),IF($Z937&lt;=4000,IF(INDEX(周转筐出入库明细!$W$4:$W$2004,$Z937-2000)=0,"",INDEX(周转筐出入库明细!$W$4:$W$2004,$Z937-2000)),IF($Z937&lt;=5200,IF(INDEX(客户自备加工筐明细!$L$4:$L$1203,$Z937-4000)=0,"",INDEX(客户自备加工筐明细!$L$4:$L$1203,$Z937-4000)),IF($Z937&lt;=5800,IF(INDEX(次果筐明细!$P$4:$P$603,$Z937-5200)=0,"",INDEX(次果筐明细!$P$4:$P$603,$Z937-5200)),"")))))</f>
        <v/>
      </c>
      <c r="N937" s="16" t="str">
        <f>IF($Z937="","",IF($Z937&lt;=2000,"",IF($Z937&lt;=4000,IF(INDEX(周转筐出入库明细!$D$4:$D$2004,$Z937-2000)=0,"",INDEX(周转筐出入库明细!$D$4:$D$2004,$Z937-2000)),IF($Z937&lt;=5200,IF(INDEX(客户自备加工筐明细!$C$4:$C$1203,$Z937-4000)=0,"",INDEX(客户自备加工筐明细!$C$4:$C$1203,$Z937-4000)),IF($Z937&lt;=5800,IF(INDEX(次果筐明细!$D$4:$D$603,$Z937-5200)=0,"",INDEX(次果筐明细!$D$4:$D$603,$Z937-5200)),"")))))</f>
        <v/>
      </c>
      <c r="O937" s="40" t="str">
        <f>IF($Z937="","",IF($Z937&lt;=2000,"",IF($Z937&lt;=4000,IF(N(INDEX(周转筐出入库明细!$J$4:$J$2004,$Z937-2000))+N(INDEX(周转筐出入库明细!$K$4:$K$2004,$Z937-2000))=0,"",N(INDEX(周转筐出入库明细!$J$4:$J$2004,$Z937-2000))+N(INDEX(周转筐出入库明细!$K$4:$K$2004,$Z937-2000))),IF($Z937&lt;=5200,IF(N(INDEX(客户自备加工筐明细!$G$4:$G$1203,$Z937-4000))=0,"",N(INDEX(客户自备加工筐明细!$G$4:$G$1203,$Z937-4000))),IF($Z937&lt;=5800,IF(ISNUMBER(SEARCH("退",INDEX(次果筐明细!$F$4:$F$603,$Z937-5200)&amp;"")),"",IF(N(INDEX(次果筐明细!$G$4:$G$603,$Z937-5200))=0,"",N(INDEX(次果筐明细!$G$4:$G$603,$Z937-5200)))),"")))))</f>
        <v/>
      </c>
      <c r="P937" s="40" t="str">
        <f>IF($Z937="","",IF($Z937&lt;=2000,"",IF($Z937&lt;=4000,IF(N(INDEX(周转筐出入库明细!$I$4:$I$2004,$Z937-2000))=0,"",N(INDEX(周转筐出入库明细!$I$4:$I$2004,$Z937-2000))),IF($Z937&lt;=5200,"",IF($Z937&lt;=5800,IF(ISNUMBER(SEARCH("退",INDEX(次果筐明细!$F$4:$F$603,$Z937-5200)&amp;"")),IF(N(INDEX(次果筐明细!$G$4:$G$603,$Z937-5200))=0,"",N(INDEX(次果筐明细!$G$4:$G$603,$Z937-5200))),""),"")))))</f>
        <v/>
      </c>
      <c r="Q937" s="40" t="str">
        <f>IF($Z937="","",IF($Z937&lt;=2000,"",IF($Z937&lt;=4000,IF(N(INDEX(周转筐出入库明细!$H$4:$H$2004,$Z937-2000))=0,"",N(INDEX(周转筐出入库明细!$H$4:$H$2004,$Z937-2000))),IF($Z937&lt;=5200,IF(N(INDEX(客户自备加工筐明细!$F$4:$F$1203,$Z937-4000))=0,"",N(INDEX(客户自备加工筐明细!$F$4:$F$1203,$Z937-4000))),IF($Z937&lt;=5800,"","")))))</f>
        <v/>
      </c>
      <c r="R937" s="16" t="str">
        <f>IF($Z937="","",IF($Z937&lt;=2000,IF(INDEX(包装物料出入库明细!$O$4:$O$2003,$Z937-0)=0,"",INDEX(包装物料出入库明细!$O$4:$O$2003,$Z937-0)),IF($Z937&lt;=4000,IF(INDEX(周转筐出入库明细!$M$4:$M$2004,$Z937-2000)=0,"",INDEX(周转筐出入库明细!$M$4:$M$2004,$Z937-2000)),IF($Z937&lt;=5200,IF(INDEX(客户自备加工筐明细!$H$4:$H$1203,$Z937-4000)=0,"",INDEX(客户自备加工筐明细!$H$4:$H$1203,$Z937-4000)),IF($Z937&lt;=5800,IF(INDEX(次果筐明细!$H$4:$H$603,$Z937-5200)=0,"",INDEX(次果筐明细!$H$4:$H$603,$Z937-5200)),"")))))</f>
        <v/>
      </c>
      <c r="S937" s="22" t="str">
        <f t="shared" si="44"/>
        <v/>
      </c>
      <c r="Z937" s="10" t="str">
        <f>IFERROR(MATCH(ROW()-3,_自动清单!$CQ$4:$CQ$5803,0),"")</f>
        <v/>
      </c>
    </row>
    <row r="938" spans="1:26">
      <c r="A938" s="24" t="str">
        <f t="shared" si="42"/>
        <v/>
      </c>
      <c r="B938" s="38" t="str">
        <f>IF($Z938="","",IF($Z938&lt;=2000,IF(INDEX(包装物料出入库明细!$B$4:$B$2003,$Z938-0)=0,"",INDEX(包装物料出入库明细!$B$4:$B$2003,$Z938-0)),IF($Z938&lt;=4000,IF(INDEX(周转筐出入库明细!$B$4:$B$2004,$Z938-2000)=0,"",INDEX(周转筐出入库明细!$B$4:$B$2004,$Z938-2000)),IF($Z938&lt;=5200,IF(INDEX(客户自备加工筐明细!$B$4:$B$1203,$Z938-4000)=0,"",INDEX(客户自备加工筐明细!$B$4:$B$1203,$Z938-4000)),IF($Z938&lt;=5800,IF(INDEX(次果筐明细!$B$4:$B$603,$Z938-5200)=0,"",INDEX(次果筐明细!$B$4:$B$603,$Z938-5200)),"")))))</f>
        <v/>
      </c>
      <c r="C938" s="37" t="str">
        <f>IF($Z938="","",IF($Z938&lt;=2000,IF(INDEX(包装物料出入库明细!$D$4:$D$2003,$Z938-0)=0,"",INDEX(包装物料出入库明细!$D$4:$D$2003,$Z938-0)),IF($Z938&lt;=4000,IF(INDEX(周转筐出入库明细!$C$4:$C$2004,$Z938-2000)=0,"",INDEX(周转筐出入库明细!$C$4:$C$2004,$Z938-2000)),IF($Z938&lt;=5200,IF(INDEX(客户自备加工筐明细!$E$4:$E$1203,$Z938-4000)=0,"",INDEX(客户自备加工筐明细!$E$4:$E$1203,$Z938-4000)),IF($Z938&lt;=5800,IF(INDEX(次果筐明细!$C$4:$C$603,$Z938-5200)=0,"",INDEX(次果筐明细!$C$4:$C$603,$Z938-5200)),"")))))</f>
        <v/>
      </c>
      <c r="D938" s="37" t="str">
        <f>IF($Z938="","",IF($Z938&lt;=2000,"包装物料－"&amp;INDEX(包装物料出入库明细!$H$4:$H$2003,$Z938-0),IF($Z938&lt;=4000,"周转筐－"&amp;INDEX(周转筐出入库明细!$F$4:$F$2004,$Z938-2000),IF($Z938&lt;=5200,"客户自备筐－"&amp;INDEX(客户自备加工筐明细!$J$4:$J$1203,$Z938-4000),IF($Z938&lt;=5800,"次果筐/托盘－"&amp;INDEX(次果筐明细!$F$4:$F$603,$Z938-5200),"")))))</f>
        <v/>
      </c>
      <c r="E938" s="24" t="str">
        <f>IF($Z938="","",IF($Z938&lt;=2000,IF(INDEX(包装物料出入库明细!$C$4:$C$2003,$Z938-0)=0,"",INDEX(包装物料出入库明细!$C$4:$C$2003,$Z938-0)),IF($Z938&lt;=4000,IF(INDEX(周转筐出入库明细!$E$4:$E$2004,$Z938-2000)=0,"",INDEX(周转筐出入库明细!$E$4:$E$2004,$Z938-2000)),IF($Z938&lt;=5200,IF(INDEX(客户自备加工筐明细!$D$4:$D$1203,$Z938-4000)=0,"",INDEX(客户自备加工筐明细!$D$4:$D$1203,$Z938-4000)),IF($Z938&lt;=5800,IF(INDEX(次果筐明细!$E$4:$E$603,$Z938-5200)=0,"",INDEX(次果筐明细!$E$4:$E$603,$Z938-5200)),"")))))</f>
        <v/>
      </c>
      <c r="F938" s="24" t="str">
        <f>IF($Z938="","",IF($Z938&lt;=2000,IF(INDEX(包装物料出入库明细!$E$4:$E$2003,$Z938-0)=0,"",INDEX(包装物料出入库明细!$E$4:$E$2003,$Z938-0)),IF($Z938&lt;=4000,IF(INDEX(周转筐出入库明细!$D$4:$D$2004,$Z938-2000)=0,"",INDEX(周转筐出入库明细!$D$4:$D$2004,$Z938-2000)),IF($Z938&lt;=5200,IF(INDEX(客户自备加工筐明细!$C$4:$C$1203,$Z938-4000)=0,"",INDEX(客户自备加工筐明细!$C$4:$C$1203,$Z938-4000)),IF($Z938&lt;=5800,IF(INDEX(次果筐明细!$D$4:$D$603,$Z938-5200)=0,"",INDEX(次果筐明细!$D$4:$D$603,$Z938-5200)),"")))))</f>
        <v/>
      </c>
      <c r="G938" s="24" t="str">
        <f>IF($Z938="","",IF($Z938&lt;=2000,IF(INDEX(包装物料出入库明细!$F$4:$F$2003,$Z938-0)=0,"",INDEX(包装物料出入库明细!$F$4:$F$2003,$Z938-0)),IF($Z938&lt;=4000,"",IF($Z938&lt;=5200,"",IF($Z938&lt;=5800,"","")))))</f>
        <v/>
      </c>
      <c r="H938" s="39" t="str">
        <f>IF($Z938="","",IF($Z938&lt;=2000,IF(INDEX(包装物料出入库明细!$L$4:$L$2003,$Z938-0)=0,"",INDEX(包装物料出入库明细!$L$4:$L$2003,$Z938-0)),IF($Z938&lt;=4000,N(INDEX(周转筐出入库明细!$H$4:$H$2004,$Z938-2000))+N(INDEX(周转筐出入库明细!$I$4:$I$2004,$Z938-2000))+N(INDEX(周转筐出入库明细!$J$4:$J$2004,$Z938-2000))+N(INDEX(周转筐出入库明细!$K$4:$K$2004,$Z938-2000)),IF($Z938&lt;=5200,N(INDEX(客户自备加工筐明细!$F$4:$F$1203,$Z938-4000))+N(INDEX(客户自备加工筐明细!$G$4:$G$1203,$Z938-4000)),IF($Z938&lt;=5800,IF(INDEX(次果筐明细!$G$4:$G$603,$Z938-5200)=0,"",INDEX(次果筐明细!$G$4:$G$603,$Z938-5200)),"")))))</f>
        <v/>
      </c>
      <c r="I938" s="24" t="str">
        <f>IF($Z938="","",IF($Z938&lt;=2000,IF(INDEX(包装物料出入库明细!$G$4:$G$2003,$Z938-0)=0,"",INDEX(包装物料出入库明细!$G$4:$G$2003,$Z938-0)),IF($Z938&lt;=4000,"个",IF($Z938&lt;=5200,"个",IF($Z938&lt;=5800,"个","")))))</f>
        <v/>
      </c>
      <c r="J938" s="30" t="str">
        <f t="shared" si="43"/>
        <v/>
      </c>
      <c r="K938" s="30" t="str">
        <f>IF($Z938="","",IF($Z938&lt;=2000,IF(INDEX(包装物料出入库明细!$N$4:$N$2003,$Z938-0)=0,"",INDEX(包装物料出入库明细!$N$4:$N$2003,$Z938-0)),IF($Z938&lt;=4000,IF(INDEX(周转筐出入库明细!$P$4:$P$2004,$Z938-2000)=0,"",INDEX(周转筐出入库明细!$P$4:$P$2004,$Z938-2000)),IF($Z938&lt;=5200,"",IF($Z938&lt;=5800,N(INDEX(次果筐明细!$L$4:$L$603,$Z938-5200))+N(INDEX(次果筐明细!$J$4:$J$603,$Z938-5200)),"")))))</f>
        <v/>
      </c>
      <c r="L938" s="24" t="str">
        <f>IF($Z938="","",IF($Z938&lt;=2000,IF(INDEX(包装物料出入库明细!$P$4:$P$2003,$Z938-0)=0,"",INDEX(包装物料出入库明细!$P$4:$P$2003,$Z938-0)),IF($Z938&lt;=4000,IF(INDEX(周转筐出入库明细!$Q$4:$Q$2004,$Z938-2000)=0,"",INDEX(周转筐出入库明细!$Q$4:$Q$2004,$Z938-2000)),IF($Z938&lt;=5200,"",IF($Z938&lt;=5800,IF(INDEX(次果筐明细!$M$4:$M$603,$Z938-5200)=0,"",INDEX(次果筐明细!$M$4:$M$603,$Z938-5200)),"")))))</f>
        <v/>
      </c>
      <c r="M938" s="37" t="str">
        <f>IF($Z938="","",IF($Z938&lt;=2000,IF(INDEX(包装物料出入库明细!$R$4:$R$2003,$Z938-0)=0,"",INDEX(包装物料出入库明细!$R$4:$R$2003,$Z938-0)),IF($Z938&lt;=4000,IF(INDEX(周转筐出入库明细!$W$4:$W$2004,$Z938-2000)=0,"",INDEX(周转筐出入库明细!$W$4:$W$2004,$Z938-2000)),IF($Z938&lt;=5200,IF(INDEX(客户自备加工筐明细!$L$4:$L$1203,$Z938-4000)=0,"",INDEX(客户自备加工筐明细!$L$4:$L$1203,$Z938-4000)),IF($Z938&lt;=5800,IF(INDEX(次果筐明细!$P$4:$P$603,$Z938-5200)=0,"",INDEX(次果筐明细!$P$4:$P$603,$Z938-5200)),"")))))</f>
        <v/>
      </c>
      <c r="N938" s="16" t="str">
        <f>IF($Z938="","",IF($Z938&lt;=2000,"",IF($Z938&lt;=4000,IF(INDEX(周转筐出入库明细!$D$4:$D$2004,$Z938-2000)=0,"",INDEX(周转筐出入库明细!$D$4:$D$2004,$Z938-2000)),IF($Z938&lt;=5200,IF(INDEX(客户自备加工筐明细!$C$4:$C$1203,$Z938-4000)=0,"",INDEX(客户自备加工筐明细!$C$4:$C$1203,$Z938-4000)),IF($Z938&lt;=5800,IF(INDEX(次果筐明细!$D$4:$D$603,$Z938-5200)=0,"",INDEX(次果筐明细!$D$4:$D$603,$Z938-5200)),"")))))</f>
        <v/>
      </c>
      <c r="O938" s="40" t="str">
        <f>IF($Z938="","",IF($Z938&lt;=2000,"",IF($Z938&lt;=4000,IF(N(INDEX(周转筐出入库明细!$J$4:$J$2004,$Z938-2000))+N(INDEX(周转筐出入库明细!$K$4:$K$2004,$Z938-2000))=0,"",N(INDEX(周转筐出入库明细!$J$4:$J$2004,$Z938-2000))+N(INDEX(周转筐出入库明细!$K$4:$K$2004,$Z938-2000))),IF($Z938&lt;=5200,IF(N(INDEX(客户自备加工筐明细!$G$4:$G$1203,$Z938-4000))=0,"",N(INDEX(客户自备加工筐明细!$G$4:$G$1203,$Z938-4000))),IF($Z938&lt;=5800,IF(ISNUMBER(SEARCH("退",INDEX(次果筐明细!$F$4:$F$603,$Z938-5200)&amp;"")),"",IF(N(INDEX(次果筐明细!$G$4:$G$603,$Z938-5200))=0,"",N(INDEX(次果筐明细!$G$4:$G$603,$Z938-5200)))),"")))))</f>
        <v/>
      </c>
      <c r="P938" s="40" t="str">
        <f>IF($Z938="","",IF($Z938&lt;=2000,"",IF($Z938&lt;=4000,IF(N(INDEX(周转筐出入库明细!$I$4:$I$2004,$Z938-2000))=0,"",N(INDEX(周转筐出入库明细!$I$4:$I$2004,$Z938-2000))),IF($Z938&lt;=5200,"",IF($Z938&lt;=5800,IF(ISNUMBER(SEARCH("退",INDEX(次果筐明细!$F$4:$F$603,$Z938-5200)&amp;"")),IF(N(INDEX(次果筐明细!$G$4:$G$603,$Z938-5200))=0,"",N(INDEX(次果筐明细!$G$4:$G$603,$Z938-5200))),""),"")))))</f>
        <v/>
      </c>
      <c r="Q938" s="40" t="str">
        <f>IF($Z938="","",IF($Z938&lt;=2000,"",IF($Z938&lt;=4000,IF(N(INDEX(周转筐出入库明细!$H$4:$H$2004,$Z938-2000))=0,"",N(INDEX(周转筐出入库明细!$H$4:$H$2004,$Z938-2000))),IF($Z938&lt;=5200,IF(N(INDEX(客户自备加工筐明细!$F$4:$F$1203,$Z938-4000))=0,"",N(INDEX(客户自备加工筐明细!$F$4:$F$1203,$Z938-4000))),IF($Z938&lt;=5800,"","")))))</f>
        <v/>
      </c>
      <c r="R938" s="16" t="str">
        <f>IF($Z938="","",IF($Z938&lt;=2000,IF(INDEX(包装物料出入库明细!$O$4:$O$2003,$Z938-0)=0,"",INDEX(包装物料出入库明细!$O$4:$O$2003,$Z938-0)),IF($Z938&lt;=4000,IF(INDEX(周转筐出入库明细!$M$4:$M$2004,$Z938-2000)=0,"",INDEX(周转筐出入库明细!$M$4:$M$2004,$Z938-2000)),IF($Z938&lt;=5200,IF(INDEX(客户自备加工筐明细!$H$4:$H$1203,$Z938-4000)=0,"",INDEX(客户自备加工筐明细!$H$4:$H$1203,$Z938-4000)),IF($Z938&lt;=5800,IF(INDEX(次果筐明细!$H$4:$H$603,$Z938-5200)=0,"",INDEX(次果筐明细!$H$4:$H$603,$Z938-5200)),"")))))</f>
        <v/>
      </c>
      <c r="S938" s="22" t="str">
        <f t="shared" si="44"/>
        <v/>
      </c>
      <c r="Z938" s="10" t="str">
        <f>IFERROR(MATCH(ROW()-3,_自动清单!$CQ$4:$CQ$5803,0),"")</f>
        <v/>
      </c>
    </row>
    <row r="939" spans="1:26">
      <c r="A939" s="24" t="str">
        <f t="shared" si="42"/>
        <v/>
      </c>
      <c r="B939" s="38" t="str">
        <f>IF($Z939="","",IF($Z939&lt;=2000,IF(INDEX(包装物料出入库明细!$B$4:$B$2003,$Z939-0)=0,"",INDEX(包装物料出入库明细!$B$4:$B$2003,$Z939-0)),IF($Z939&lt;=4000,IF(INDEX(周转筐出入库明细!$B$4:$B$2004,$Z939-2000)=0,"",INDEX(周转筐出入库明细!$B$4:$B$2004,$Z939-2000)),IF($Z939&lt;=5200,IF(INDEX(客户自备加工筐明细!$B$4:$B$1203,$Z939-4000)=0,"",INDEX(客户自备加工筐明细!$B$4:$B$1203,$Z939-4000)),IF($Z939&lt;=5800,IF(INDEX(次果筐明细!$B$4:$B$603,$Z939-5200)=0,"",INDEX(次果筐明细!$B$4:$B$603,$Z939-5200)),"")))))</f>
        <v/>
      </c>
      <c r="C939" s="37" t="str">
        <f>IF($Z939="","",IF($Z939&lt;=2000,IF(INDEX(包装物料出入库明细!$D$4:$D$2003,$Z939-0)=0,"",INDEX(包装物料出入库明细!$D$4:$D$2003,$Z939-0)),IF($Z939&lt;=4000,IF(INDEX(周转筐出入库明细!$C$4:$C$2004,$Z939-2000)=0,"",INDEX(周转筐出入库明细!$C$4:$C$2004,$Z939-2000)),IF($Z939&lt;=5200,IF(INDEX(客户自备加工筐明细!$E$4:$E$1203,$Z939-4000)=0,"",INDEX(客户自备加工筐明细!$E$4:$E$1203,$Z939-4000)),IF($Z939&lt;=5800,IF(INDEX(次果筐明细!$C$4:$C$603,$Z939-5200)=0,"",INDEX(次果筐明细!$C$4:$C$603,$Z939-5200)),"")))))</f>
        <v/>
      </c>
      <c r="D939" s="37" t="str">
        <f>IF($Z939="","",IF($Z939&lt;=2000,"包装物料－"&amp;INDEX(包装物料出入库明细!$H$4:$H$2003,$Z939-0),IF($Z939&lt;=4000,"周转筐－"&amp;INDEX(周转筐出入库明细!$F$4:$F$2004,$Z939-2000),IF($Z939&lt;=5200,"客户自备筐－"&amp;INDEX(客户自备加工筐明细!$J$4:$J$1203,$Z939-4000),IF($Z939&lt;=5800,"次果筐/托盘－"&amp;INDEX(次果筐明细!$F$4:$F$603,$Z939-5200),"")))))</f>
        <v/>
      </c>
      <c r="E939" s="24" t="str">
        <f>IF($Z939="","",IF($Z939&lt;=2000,IF(INDEX(包装物料出入库明细!$C$4:$C$2003,$Z939-0)=0,"",INDEX(包装物料出入库明细!$C$4:$C$2003,$Z939-0)),IF($Z939&lt;=4000,IF(INDEX(周转筐出入库明细!$E$4:$E$2004,$Z939-2000)=0,"",INDEX(周转筐出入库明细!$E$4:$E$2004,$Z939-2000)),IF($Z939&lt;=5200,IF(INDEX(客户自备加工筐明细!$D$4:$D$1203,$Z939-4000)=0,"",INDEX(客户自备加工筐明细!$D$4:$D$1203,$Z939-4000)),IF($Z939&lt;=5800,IF(INDEX(次果筐明细!$E$4:$E$603,$Z939-5200)=0,"",INDEX(次果筐明细!$E$4:$E$603,$Z939-5200)),"")))))</f>
        <v/>
      </c>
      <c r="F939" s="24" t="str">
        <f>IF($Z939="","",IF($Z939&lt;=2000,IF(INDEX(包装物料出入库明细!$E$4:$E$2003,$Z939-0)=0,"",INDEX(包装物料出入库明细!$E$4:$E$2003,$Z939-0)),IF($Z939&lt;=4000,IF(INDEX(周转筐出入库明细!$D$4:$D$2004,$Z939-2000)=0,"",INDEX(周转筐出入库明细!$D$4:$D$2004,$Z939-2000)),IF($Z939&lt;=5200,IF(INDEX(客户自备加工筐明细!$C$4:$C$1203,$Z939-4000)=0,"",INDEX(客户自备加工筐明细!$C$4:$C$1203,$Z939-4000)),IF($Z939&lt;=5800,IF(INDEX(次果筐明细!$D$4:$D$603,$Z939-5200)=0,"",INDEX(次果筐明细!$D$4:$D$603,$Z939-5200)),"")))))</f>
        <v/>
      </c>
      <c r="G939" s="24" t="str">
        <f>IF($Z939="","",IF($Z939&lt;=2000,IF(INDEX(包装物料出入库明细!$F$4:$F$2003,$Z939-0)=0,"",INDEX(包装物料出入库明细!$F$4:$F$2003,$Z939-0)),IF($Z939&lt;=4000,"",IF($Z939&lt;=5200,"",IF($Z939&lt;=5800,"","")))))</f>
        <v/>
      </c>
      <c r="H939" s="39" t="str">
        <f>IF($Z939="","",IF($Z939&lt;=2000,IF(INDEX(包装物料出入库明细!$L$4:$L$2003,$Z939-0)=0,"",INDEX(包装物料出入库明细!$L$4:$L$2003,$Z939-0)),IF($Z939&lt;=4000,N(INDEX(周转筐出入库明细!$H$4:$H$2004,$Z939-2000))+N(INDEX(周转筐出入库明细!$I$4:$I$2004,$Z939-2000))+N(INDEX(周转筐出入库明细!$J$4:$J$2004,$Z939-2000))+N(INDEX(周转筐出入库明细!$K$4:$K$2004,$Z939-2000)),IF($Z939&lt;=5200,N(INDEX(客户自备加工筐明细!$F$4:$F$1203,$Z939-4000))+N(INDEX(客户自备加工筐明细!$G$4:$G$1203,$Z939-4000)),IF($Z939&lt;=5800,IF(INDEX(次果筐明细!$G$4:$G$603,$Z939-5200)=0,"",INDEX(次果筐明细!$G$4:$G$603,$Z939-5200)),"")))))</f>
        <v/>
      </c>
      <c r="I939" s="24" t="str">
        <f>IF($Z939="","",IF($Z939&lt;=2000,IF(INDEX(包装物料出入库明细!$G$4:$G$2003,$Z939-0)=0,"",INDEX(包装物料出入库明细!$G$4:$G$2003,$Z939-0)),IF($Z939&lt;=4000,"个",IF($Z939&lt;=5200,"个",IF($Z939&lt;=5800,"个","")))))</f>
        <v/>
      </c>
      <c r="J939" s="30" t="str">
        <f t="shared" si="43"/>
        <v/>
      </c>
      <c r="K939" s="30" t="str">
        <f>IF($Z939="","",IF($Z939&lt;=2000,IF(INDEX(包装物料出入库明细!$N$4:$N$2003,$Z939-0)=0,"",INDEX(包装物料出入库明细!$N$4:$N$2003,$Z939-0)),IF($Z939&lt;=4000,IF(INDEX(周转筐出入库明细!$P$4:$P$2004,$Z939-2000)=0,"",INDEX(周转筐出入库明细!$P$4:$P$2004,$Z939-2000)),IF($Z939&lt;=5200,"",IF($Z939&lt;=5800,N(INDEX(次果筐明细!$L$4:$L$603,$Z939-5200))+N(INDEX(次果筐明细!$J$4:$J$603,$Z939-5200)),"")))))</f>
        <v/>
      </c>
      <c r="L939" s="24" t="str">
        <f>IF($Z939="","",IF($Z939&lt;=2000,IF(INDEX(包装物料出入库明细!$P$4:$P$2003,$Z939-0)=0,"",INDEX(包装物料出入库明细!$P$4:$P$2003,$Z939-0)),IF($Z939&lt;=4000,IF(INDEX(周转筐出入库明细!$Q$4:$Q$2004,$Z939-2000)=0,"",INDEX(周转筐出入库明细!$Q$4:$Q$2004,$Z939-2000)),IF($Z939&lt;=5200,"",IF($Z939&lt;=5800,IF(INDEX(次果筐明细!$M$4:$M$603,$Z939-5200)=0,"",INDEX(次果筐明细!$M$4:$M$603,$Z939-5200)),"")))))</f>
        <v/>
      </c>
      <c r="M939" s="37" t="str">
        <f>IF($Z939="","",IF($Z939&lt;=2000,IF(INDEX(包装物料出入库明细!$R$4:$R$2003,$Z939-0)=0,"",INDEX(包装物料出入库明细!$R$4:$R$2003,$Z939-0)),IF($Z939&lt;=4000,IF(INDEX(周转筐出入库明细!$W$4:$W$2004,$Z939-2000)=0,"",INDEX(周转筐出入库明细!$W$4:$W$2004,$Z939-2000)),IF($Z939&lt;=5200,IF(INDEX(客户自备加工筐明细!$L$4:$L$1203,$Z939-4000)=0,"",INDEX(客户自备加工筐明细!$L$4:$L$1203,$Z939-4000)),IF($Z939&lt;=5800,IF(INDEX(次果筐明细!$P$4:$P$603,$Z939-5200)=0,"",INDEX(次果筐明细!$P$4:$P$603,$Z939-5200)),"")))))</f>
        <v/>
      </c>
      <c r="N939" s="16" t="str">
        <f>IF($Z939="","",IF($Z939&lt;=2000,"",IF($Z939&lt;=4000,IF(INDEX(周转筐出入库明细!$D$4:$D$2004,$Z939-2000)=0,"",INDEX(周转筐出入库明细!$D$4:$D$2004,$Z939-2000)),IF($Z939&lt;=5200,IF(INDEX(客户自备加工筐明细!$C$4:$C$1203,$Z939-4000)=0,"",INDEX(客户自备加工筐明细!$C$4:$C$1203,$Z939-4000)),IF($Z939&lt;=5800,IF(INDEX(次果筐明细!$D$4:$D$603,$Z939-5200)=0,"",INDEX(次果筐明细!$D$4:$D$603,$Z939-5200)),"")))))</f>
        <v/>
      </c>
      <c r="O939" s="40" t="str">
        <f>IF($Z939="","",IF($Z939&lt;=2000,"",IF($Z939&lt;=4000,IF(N(INDEX(周转筐出入库明细!$J$4:$J$2004,$Z939-2000))+N(INDEX(周转筐出入库明细!$K$4:$K$2004,$Z939-2000))=0,"",N(INDEX(周转筐出入库明细!$J$4:$J$2004,$Z939-2000))+N(INDEX(周转筐出入库明细!$K$4:$K$2004,$Z939-2000))),IF($Z939&lt;=5200,IF(N(INDEX(客户自备加工筐明细!$G$4:$G$1203,$Z939-4000))=0,"",N(INDEX(客户自备加工筐明细!$G$4:$G$1203,$Z939-4000))),IF($Z939&lt;=5800,IF(ISNUMBER(SEARCH("退",INDEX(次果筐明细!$F$4:$F$603,$Z939-5200)&amp;"")),"",IF(N(INDEX(次果筐明细!$G$4:$G$603,$Z939-5200))=0,"",N(INDEX(次果筐明细!$G$4:$G$603,$Z939-5200)))),"")))))</f>
        <v/>
      </c>
      <c r="P939" s="40" t="str">
        <f>IF($Z939="","",IF($Z939&lt;=2000,"",IF($Z939&lt;=4000,IF(N(INDEX(周转筐出入库明细!$I$4:$I$2004,$Z939-2000))=0,"",N(INDEX(周转筐出入库明细!$I$4:$I$2004,$Z939-2000))),IF($Z939&lt;=5200,"",IF($Z939&lt;=5800,IF(ISNUMBER(SEARCH("退",INDEX(次果筐明细!$F$4:$F$603,$Z939-5200)&amp;"")),IF(N(INDEX(次果筐明细!$G$4:$G$603,$Z939-5200))=0,"",N(INDEX(次果筐明细!$G$4:$G$603,$Z939-5200))),""),"")))))</f>
        <v/>
      </c>
      <c r="Q939" s="40" t="str">
        <f>IF($Z939="","",IF($Z939&lt;=2000,"",IF($Z939&lt;=4000,IF(N(INDEX(周转筐出入库明细!$H$4:$H$2004,$Z939-2000))=0,"",N(INDEX(周转筐出入库明细!$H$4:$H$2004,$Z939-2000))),IF($Z939&lt;=5200,IF(N(INDEX(客户自备加工筐明细!$F$4:$F$1203,$Z939-4000))=0,"",N(INDEX(客户自备加工筐明细!$F$4:$F$1203,$Z939-4000))),IF($Z939&lt;=5800,"","")))))</f>
        <v/>
      </c>
      <c r="R939" s="16" t="str">
        <f>IF($Z939="","",IF($Z939&lt;=2000,IF(INDEX(包装物料出入库明细!$O$4:$O$2003,$Z939-0)=0,"",INDEX(包装物料出入库明细!$O$4:$O$2003,$Z939-0)),IF($Z939&lt;=4000,IF(INDEX(周转筐出入库明细!$M$4:$M$2004,$Z939-2000)=0,"",INDEX(周转筐出入库明细!$M$4:$M$2004,$Z939-2000)),IF($Z939&lt;=5200,IF(INDEX(客户自备加工筐明细!$H$4:$H$1203,$Z939-4000)=0,"",INDEX(客户自备加工筐明细!$H$4:$H$1203,$Z939-4000)),IF($Z939&lt;=5800,IF(INDEX(次果筐明细!$H$4:$H$603,$Z939-5200)=0,"",INDEX(次果筐明细!$H$4:$H$603,$Z939-5200)),"")))))</f>
        <v/>
      </c>
      <c r="S939" s="22" t="str">
        <f t="shared" si="44"/>
        <v/>
      </c>
      <c r="Z939" s="10" t="str">
        <f>IFERROR(MATCH(ROW()-3,_自动清单!$CQ$4:$CQ$5803,0),"")</f>
        <v/>
      </c>
    </row>
    <row r="940" spans="1:26">
      <c r="A940" s="24" t="str">
        <f t="shared" si="42"/>
        <v/>
      </c>
      <c r="B940" s="38" t="str">
        <f>IF($Z940="","",IF($Z940&lt;=2000,IF(INDEX(包装物料出入库明细!$B$4:$B$2003,$Z940-0)=0,"",INDEX(包装物料出入库明细!$B$4:$B$2003,$Z940-0)),IF($Z940&lt;=4000,IF(INDEX(周转筐出入库明细!$B$4:$B$2004,$Z940-2000)=0,"",INDEX(周转筐出入库明细!$B$4:$B$2004,$Z940-2000)),IF($Z940&lt;=5200,IF(INDEX(客户自备加工筐明细!$B$4:$B$1203,$Z940-4000)=0,"",INDEX(客户自备加工筐明细!$B$4:$B$1203,$Z940-4000)),IF($Z940&lt;=5800,IF(INDEX(次果筐明细!$B$4:$B$603,$Z940-5200)=0,"",INDEX(次果筐明细!$B$4:$B$603,$Z940-5200)),"")))))</f>
        <v/>
      </c>
      <c r="C940" s="37" t="str">
        <f>IF($Z940="","",IF($Z940&lt;=2000,IF(INDEX(包装物料出入库明细!$D$4:$D$2003,$Z940-0)=0,"",INDEX(包装物料出入库明细!$D$4:$D$2003,$Z940-0)),IF($Z940&lt;=4000,IF(INDEX(周转筐出入库明细!$C$4:$C$2004,$Z940-2000)=0,"",INDEX(周转筐出入库明细!$C$4:$C$2004,$Z940-2000)),IF($Z940&lt;=5200,IF(INDEX(客户自备加工筐明细!$E$4:$E$1203,$Z940-4000)=0,"",INDEX(客户自备加工筐明细!$E$4:$E$1203,$Z940-4000)),IF($Z940&lt;=5800,IF(INDEX(次果筐明细!$C$4:$C$603,$Z940-5200)=0,"",INDEX(次果筐明细!$C$4:$C$603,$Z940-5200)),"")))))</f>
        <v/>
      </c>
      <c r="D940" s="37" t="str">
        <f>IF($Z940="","",IF($Z940&lt;=2000,"包装物料－"&amp;INDEX(包装物料出入库明细!$H$4:$H$2003,$Z940-0),IF($Z940&lt;=4000,"周转筐－"&amp;INDEX(周转筐出入库明细!$F$4:$F$2004,$Z940-2000),IF($Z940&lt;=5200,"客户自备筐－"&amp;INDEX(客户自备加工筐明细!$J$4:$J$1203,$Z940-4000),IF($Z940&lt;=5800,"次果筐/托盘－"&amp;INDEX(次果筐明细!$F$4:$F$603,$Z940-5200),"")))))</f>
        <v/>
      </c>
      <c r="E940" s="24" t="str">
        <f>IF($Z940="","",IF($Z940&lt;=2000,IF(INDEX(包装物料出入库明细!$C$4:$C$2003,$Z940-0)=0,"",INDEX(包装物料出入库明细!$C$4:$C$2003,$Z940-0)),IF($Z940&lt;=4000,IF(INDEX(周转筐出入库明细!$E$4:$E$2004,$Z940-2000)=0,"",INDEX(周转筐出入库明细!$E$4:$E$2004,$Z940-2000)),IF($Z940&lt;=5200,IF(INDEX(客户自备加工筐明细!$D$4:$D$1203,$Z940-4000)=0,"",INDEX(客户自备加工筐明细!$D$4:$D$1203,$Z940-4000)),IF($Z940&lt;=5800,IF(INDEX(次果筐明细!$E$4:$E$603,$Z940-5200)=0,"",INDEX(次果筐明细!$E$4:$E$603,$Z940-5200)),"")))))</f>
        <v/>
      </c>
      <c r="F940" s="24" t="str">
        <f>IF($Z940="","",IF($Z940&lt;=2000,IF(INDEX(包装物料出入库明细!$E$4:$E$2003,$Z940-0)=0,"",INDEX(包装物料出入库明细!$E$4:$E$2003,$Z940-0)),IF($Z940&lt;=4000,IF(INDEX(周转筐出入库明细!$D$4:$D$2004,$Z940-2000)=0,"",INDEX(周转筐出入库明细!$D$4:$D$2004,$Z940-2000)),IF($Z940&lt;=5200,IF(INDEX(客户自备加工筐明细!$C$4:$C$1203,$Z940-4000)=0,"",INDEX(客户自备加工筐明细!$C$4:$C$1203,$Z940-4000)),IF($Z940&lt;=5800,IF(INDEX(次果筐明细!$D$4:$D$603,$Z940-5200)=0,"",INDEX(次果筐明细!$D$4:$D$603,$Z940-5200)),"")))))</f>
        <v/>
      </c>
      <c r="G940" s="24" t="str">
        <f>IF($Z940="","",IF($Z940&lt;=2000,IF(INDEX(包装物料出入库明细!$F$4:$F$2003,$Z940-0)=0,"",INDEX(包装物料出入库明细!$F$4:$F$2003,$Z940-0)),IF($Z940&lt;=4000,"",IF($Z940&lt;=5200,"",IF($Z940&lt;=5800,"","")))))</f>
        <v/>
      </c>
      <c r="H940" s="39" t="str">
        <f>IF($Z940="","",IF($Z940&lt;=2000,IF(INDEX(包装物料出入库明细!$L$4:$L$2003,$Z940-0)=0,"",INDEX(包装物料出入库明细!$L$4:$L$2003,$Z940-0)),IF($Z940&lt;=4000,N(INDEX(周转筐出入库明细!$H$4:$H$2004,$Z940-2000))+N(INDEX(周转筐出入库明细!$I$4:$I$2004,$Z940-2000))+N(INDEX(周转筐出入库明细!$J$4:$J$2004,$Z940-2000))+N(INDEX(周转筐出入库明细!$K$4:$K$2004,$Z940-2000)),IF($Z940&lt;=5200,N(INDEX(客户自备加工筐明细!$F$4:$F$1203,$Z940-4000))+N(INDEX(客户自备加工筐明细!$G$4:$G$1203,$Z940-4000)),IF($Z940&lt;=5800,IF(INDEX(次果筐明细!$G$4:$G$603,$Z940-5200)=0,"",INDEX(次果筐明细!$G$4:$G$603,$Z940-5200)),"")))))</f>
        <v/>
      </c>
      <c r="I940" s="24" t="str">
        <f>IF($Z940="","",IF($Z940&lt;=2000,IF(INDEX(包装物料出入库明细!$G$4:$G$2003,$Z940-0)=0,"",INDEX(包装物料出入库明细!$G$4:$G$2003,$Z940-0)),IF($Z940&lt;=4000,"个",IF($Z940&lt;=5200,"个",IF($Z940&lt;=5800,"个","")))))</f>
        <v/>
      </c>
      <c r="J940" s="30" t="str">
        <f t="shared" si="43"/>
        <v/>
      </c>
      <c r="K940" s="30" t="str">
        <f>IF($Z940="","",IF($Z940&lt;=2000,IF(INDEX(包装物料出入库明细!$N$4:$N$2003,$Z940-0)=0,"",INDEX(包装物料出入库明细!$N$4:$N$2003,$Z940-0)),IF($Z940&lt;=4000,IF(INDEX(周转筐出入库明细!$P$4:$P$2004,$Z940-2000)=0,"",INDEX(周转筐出入库明细!$P$4:$P$2004,$Z940-2000)),IF($Z940&lt;=5200,"",IF($Z940&lt;=5800,N(INDEX(次果筐明细!$L$4:$L$603,$Z940-5200))+N(INDEX(次果筐明细!$J$4:$J$603,$Z940-5200)),"")))))</f>
        <v/>
      </c>
      <c r="L940" s="24" t="str">
        <f>IF($Z940="","",IF($Z940&lt;=2000,IF(INDEX(包装物料出入库明细!$P$4:$P$2003,$Z940-0)=0,"",INDEX(包装物料出入库明细!$P$4:$P$2003,$Z940-0)),IF($Z940&lt;=4000,IF(INDEX(周转筐出入库明细!$Q$4:$Q$2004,$Z940-2000)=0,"",INDEX(周转筐出入库明细!$Q$4:$Q$2004,$Z940-2000)),IF($Z940&lt;=5200,"",IF($Z940&lt;=5800,IF(INDEX(次果筐明细!$M$4:$M$603,$Z940-5200)=0,"",INDEX(次果筐明细!$M$4:$M$603,$Z940-5200)),"")))))</f>
        <v/>
      </c>
      <c r="M940" s="37" t="str">
        <f>IF($Z940="","",IF($Z940&lt;=2000,IF(INDEX(包装物料出入库明细!$R$4:$R$2003,$Z940-0)=0,"",INDEX(包装物料出入库明细!$R$4:$R$2003,$Z940-0)),IF($Z940&lt;=4000,IF(INDEX(周转筐出入库明细!$W$4:$W$2004,$Z940-2000)=0,"",INDEX(周转筐出入库明细!$W$4:$W$2004,$Z940-2000)),IF($Z940&lt;=5200,IF(INDEX(客户自备加工筐明细!$L$4:$L$1203,$Z940-4000)=0,"",INDEX(客户自备加工筐明细!$L$4:$L$1203,$Z940-4000)),IF($Z940&lt;=5800,IF(INDEX(次果筐明细!$P$4:$P$603,$Z940-5200)=0,"",INDEX(次果筐明细!$P$4:$P$603,$Z940-5200)),"")))))</f>
        <v/>
      </c>
      <c r="N940" s="16" t="str">
        <f>IF($Z940="","",IF($Z940&lt;=2000,"",IF($Z940&lt;=4000,IF(INDEX(周转筐出入库明细!$D$4:$D$2004,$Z940-2000)=0,"",INDEX(周转筐出入库明细!$D$4:$D$2004,$Z940-2000)),IF($Z940&lt;=5200,IF(INDEX(客户自备加工筐明细!$C$4:$C$1203,$Z940-4000)=0,"",INDEX(客户自备加工筐明细!$C$4:$C$1203,$Z940-4000)),IF($Z940&lt;=5800,IF(INDEX(次果筐明细!$D$4:$D$603,$Z940-5200)=0,"",INDEX(次果筐明细!$D$4:$D$603,$Z940-5200)),"")))))</f>
        <v/>
      </c>
      <c r="O940" s="40" t="str">
        <f>IF($Z940="","",IF($Z940&lt;=2000,"",IF($Z940&lt;=4000,IF(N(INDEX(周转筐出入库明细!$J$4:$J$2004,$Z940-2000))+N(INDEX(周转筐出入库明细!$K$4:$K$2004,$Z940-2000))=0,"",N(INDEX(周转筐出入库明细!$J$4:$J$2004,$Z940-2000))+N(INDEX(周转筐出入库明细!$K$4:$K$2004,$Z940-2000))),IF($Z940&lt;=5200,IF(N(INDEX(客户自备加工筐明细!$G$4:$G$1203,$Z940-4000))=0,"",N(INDEX(客户自备加工筐明细!$G$4:$G$1203,$Z940-4000))),IF($Z940&lt;=5800,IF(ISNUMBER(SEARCH("退",INDEX(次果筐明细!$F$4:$F$603,$Z940-5200)&amp;"")),"",IF(N(INDEX(次果筐明细!$G$4:$G$603,$Z940-5200))=0,"",N(INDEX(次果筐明细!$G$4:$G$603,$Z940-5200)))),"")))))</f>
        <v/>
      </c>
      <c r="P940" s="40" t="str">
        <f>IF($Z940="","",IF($Z940&lt;=2000,"",IF($Z940&lt;=4000,IF(N(INDEX(周转筐出入库明细!$I$4:$I$2004,$Z940-2000))=0,"",N(INDEX(周转筐出入库明细!$I$4:$I$2004,$Z940-2000))),IF($Z940&lt;=5200,"",IF($Z940&lt;=5800,IF(ISNUMBER(SEARCH("退",INDEX(次果筐明细!$F$4:$F$603,$Z940-5200)&amp;"")),IF(N(INDEX(次果筐明细!$G$4:$G$603,$Z940-5200))=0,"",N(INDEX(次果筐明细!$G$4:$G$603,$Z940-5200))),""),"")))))</f>
        <v/>
      </c>
      <c r="Q940" s="40" t="str">
        <f>IF($Z940="","",IF($Z940&lt;=2000,"",IF($Z940&lt;=4000,IF(N(INDEX(周转筐出入库明细!$H$4:$H$2004,$Z940-2000))=0,"",N(INDEX(周转筐出入库明细!$H$4:$H$2004,$Z940-2000))),IF($Z940&lt;=5200,IF(N(INDEX(客户自备加工筐明细!$F$4:$F$1203,$Z940-4000))=0,"",N(INDEX(客户自备加工筐明细!$F$4:$F$1203,$Z940-4000))),IF($Z940&lt;=5800,"","")))))</f>
        <v/>
      </c>
      <c r="R940" s="16" t="str">
        <f>IF($Z940="","",IF($Z940&lt;=2000,IF(INDEX(包装物料出入库明细!$O$4:$O$2003,$Z940-0)=0,"",INDEX(包装物料出入库明细!$O$4:$O$2003,$Z940-0)),IF($Z940&lt;=4000,IF(INDEX(周转筐出入库明细!$M$4:$M$2004,$Z940-2000)=0,"",INDEX(周转筐出入库明细!$M$4:$M$2004,$Z940-2000)),IF($Z940&lt;=5200,IF(INDEX(客户自备加工筐明细!$H$4:$H$1203,$Z940-4000)=0,"",INDEX(客户自备加工筐明细!$H$4:$H$1203,$Z940-4000)),IF($Z940&lt;=5800,IF(INDEX(次果筐明细!$H$4:$H$603,$Z940-5200)=0,"",INDEX(次果筐明细!$H$4:$H$603,$Z940-5200)),"")))))</f>
        <v/>
      </c>
      <c r="S940" s="22" t="str">
        <f t="shared" si="44"/>
        <v/>
      </c>
      <c r="Z940" s="10" t="str">
        <f>IFERROR(MATCH(ROW()-3,_自动清单!$CQ$4:$CQ$5803,0),"")</f>
        <v/>
      </c>
    </row>
    <row r="941" spans="1:26">
      <c r="A941" s="24" t="str">
        <f t="shared" si="42"/>
        <v/>
      </c>
      <c r="B941" s="38" t="str">
        <f>IF($Z941="","",IF($Z941&lt;=2000,IF(INDEX(包装物料出入库明细!$B$4:$B$2003,$Z941-0)=0,"",INDEX(包装物料出入库明细!$B$4:$B$2003,$Z941-0)),IF($Z941&lt;=4000,IF(INDEX(周转筐出入库明细!$B$4:$B$2004,$Z941-2000)=0,"",INDEX(周转筐出入库明细!$B$4:$B$2004,$Z941-2000)),IF($Z941&lt;=5200,IF(INDEX(客户自备加工筐明细!$B$4:$B$1203,$Z941-4000)=0,"",INDEX(客户自备加工筐明细!$B$4:$B$1203,$Z941-4000)),IF($Z941&lt;=5800,IF(INDEX(次果筐明细!$B$4:$B$603,$Z941-5200)=0,"",INDEX(次果筐明细!$B$4:$B$603,$Z941-5200)),"")))))</f>
        <v/>
      </c>
      <c r="C941" s="37" t="str">
        <f>IF($Z941="","",IF($Z941&lt;=2000,IF(INDEX(包装物料出入库明细!$D$4:$D$2003,$Z941-0)=0,"",INDEX(包装物料出入库明细!$D$4:$D$2003,$Z941-0)),IF($Z941&lt;=4000,IF(INDEX(周转筐出入库明细!$C$4:$C$2004,$Z941-2000)=0,"",INDEX(周转筐出入库明细!$C$4:$C$2004,$Z941-2000)),IF($Z941&lt;=5200,IF(INDEX(客户自备加工筐明细!$E$4:$E$1203,$Z941-4000)=0,"",INDEX(客户自备加工筐明细!$E$4:$E$1203,$Z941-4000)),IF($Z941&lt;=5800,IF(INDEX(次果筐明细!$C$4:$C$603,$Z941-5200)=0,"",INDEX(次果筐明细!$C$4:$C$603,$Z941-5200)),"")))))</f>
        <v/>
      </c>
      <c r="D941" s="37" t="str">
        <f>IF($Z941="","",IF($Z941&lt;=2000,"包装物料－"&amp;INDEX(包装物料出入库明细!$H$4:$H$2003,$Z941-0),IF($Z941&lt;=4000,"周转筐－"&amp;INDEX(周转筐出入库明细!$F$4:$F$2004,$Z941-2000),IF($Z941&lt;=5200,"客户自备筐－"&amp;INDEX(客户自备加工筐明细!$J$4:$J$1203,$Z941-4000),IF($Z941&lt;=5800,"次果筐/托盘－"&amp;INDEX(次果筐明细!$F$4:$F$603,$Z941-5200),"")))))</f>
        <v/>
      </c>
      <c r="E941" s="24" t="str">
        <f>IF($Z941="","",IF($Z941&lt;=2000,IF(INDEX(包装物料出入库明细!$C$4:$C$2003,$Z941-0)=0,"",INDEX(包装物料出入库明细!$C$4:$C$2003,$Z941-0)),IF($Z941&lt;=4000,IF(INDEX(周转筐出入库明细!$E$4:$E$2004,$Z941-2000)=0,"",INDEX(周转筐出入库明细!$E$4:$E$2004,$Z941-2000)),IF($Z941&lt;=5200,IF(INDEX(客户自备加工筐明细!$D$4:$D$1203,$Z941-4000)=0,"",INDEX(客户自备加工筐明细!$D$4:$D$1203,$Z941-4000)),IF($Z941&lt;=5800,IF(INDEX(次果筐明细!$E$4:$E$603,$Z941-5200)=0,"",INDEX(次果筐明细!$E$4:$E$603,$Z941-5200)),"")))))</f>
        <v/>
      </c>
      <c r="F941" s="24" t="str">
        <f>IF($Z941="","",IF($Z941&lt;=2000,IF(INDEX(包装物料出入库明细!$E$4:$E$2003,$Z941-0)=0,"",INDEX(包装物料出入库明细!$E$4:$E$2003,$Z941-0)),IF($Z941&lt;=4000,IF(INDEX(周转筐出入库明细!$D$4:$D$2004,$Z941-2000)=0,"",INDEX(周转筐出入库明细!$D$4:$D$2004,$Z941-2000)),IF($Z941&lt;=5200,IF(INDEX(客户自备加工筐明细!$C$4:$C$1203,$Z941-4000)=0,"",INDEX(客户自备加工筐明细!$C$4:$C$1203,$Z941-4000)),IF($Z941&lt;=5800,IF(INDEX(次果筐明细!$D$4:$D$603,$Z941-5200)=0,"",INDEX(次果筐明细!$D$4:$D$603,$Z941-5200)),"")))))</f>
        <v/>
      </c>
      <c r="G941" s="24" t="str">
        <f>IF($Z941="","",IF($Z941&lt;=2000,IF(INDEX(包装物料出入库明细!$F$4:$F$2003,$Z941-0)=0,"",INDEX(包装物料出入库明细!$F$4:$F$2003,$Z941-0)),IF($Z941&lt;=4000,"",IF($Z941&lt;=5200,"",IF($Z941&lt;=5800,"","")))))</f>
        <v/>
      </c>
      <c r="H941" s="39" t="str">
        <f>IF($Z941="","",IF($Z941&lt;=2000,IF(INDEX(包装物料出入库明细!$L$4:$L$2003,$Z941-0)=0,"",INDEX(包装物料出入库明细!$L$4:$L$2003,$Z941-0)),IF($Z941&lt;=4000,N(INDEX(周转筐出入库明细!$H$4:$H$2004,$Z941-2000))+N(INDEX(周转筐出入库明细!$I$4:$I$2004,$Z941-2000))+N(INDEX(周转筐出入库明细!$J$4:$J$2004,$Z941-2000))+N(INDEX(周转筐出入库明细!$K$4:$K$2004,$Z941-2000)),IF($Z941&lt;=5200,N(INDEX(客户自备加工筐明细!$F$4:$F$1203,$Z941-4000))+N(INDEX(客户自备加工筐明细!$G$4:$G$1203,$Z941-4000)),IF($Z941&lt;=5800,IF(INDEX(次果筐明细!$G$4:$G$603,$Z941-5200)=0,"",INDEX(次果筐明细!$G$4:$G$603,$Z941-5200)),"")))))</f>
        <v/>
      </c>
      <c r="I941" s="24" t="str">
        <f>IF($Z941="","",IF($Z941&lt;=2000,IF(INDEX(包装物料出入库明细!$G$4:$G$2003,$Z941-0)=0,"",INDEX(包装物料出入库明细!$G$4:$G$2003,$Z941-0)),IF($Z941&lt;=4000,"个",IF($Z941&lt;=5200,"个",IF($Z941&lt;=5800,"个","")))))</f>
        <v/>
      </c>
      <c r="J941" s="30" t="str">
        <f t="shared" si="43"/>
        <v/>
      </c>
      <c r="K941" s="30" t="str">
        <f>IF($Z941="","",IF($Z941&lt;=2000,IF(INDEX(包装物料出入库明细!$N$4:$N$2003,$Z941-0)=0,"",INDEX(包装物料出入库明细!$N$4:$N$2003,$Z941-0)),IF($Z941&lt;=4000,IF(INDEX(周转筐出入库明细!$P$4:$P$2004,$Z941-2000)=0,"",INDEX(周转筐出入库明细!$P$4:$P$2004,$Z941-2000)),IF($Z941&lt;=5200,"",IF($Z941&lt;=5800,N(INDEX(次果筐明细!$L$4:$L$603,$Z941-5200))+N(INDEX(次果筐明细!$J$4:$J$603,$Z941-5200)),"")))))</f>
        <v/>
      </c>
      <c r="L941" s="24" t="str">
        <f>IF($Z941="","",IF($Z941&lt;=2000,IF(INDEX(包装物料出入库明细!$P$4:$P$2003,$Z941-0)=0,"",INDEX(包装物料出入库明细!$P$4:$P$2003,$Z941-0)),IF($Z941&lt;=4000,IF(INDEX(周转筐出入库明细!$Q$4:$Q$2004,$Z941-2000)=0,"",INDEX(周转筐出入库明细!$Q$4:$Q$2004,$Z941-2000)),IF($Z941&lt;=5200,"",IF($Z941&lt;=5800,IF(INDEX(次果筐明细!$M$4:$M$603,$Z941-5200)=0,"",INDEX(次果筐明细!$M$4:$M$603,$Z941-5200)),"")))))</f>
        <v/>
      </c>
      <c r="M941" s="37" t="str">
        <f>IF($Z941="","",IF($Z941&lt;=2000,IF(INDEX(包装物料出入库明细!$R$4:$R$2003,$Z941-0)=0,"",INDEX(包装物料出入库明细!$R$4:$R$2003,$Z941-0)),IF($Z941&lt;=4000,IF(INDEX(周转筐出入库明细!$W$4:$W$2004,$Z941-2000)=0,"",INDEX(周转筐出入库明细!$W$4:$W$2004,$Z941-2000)),IF($Z941&lt;=5200,IF(INDEX(客户自备加工筐明细!$L$4:$L$1203,$Z941-4000)=0,"",INDEX(客户自备加工筐明细!$L$4:$L$1203,$Z941-4000)),IF($Z941&lt;=5800,IF(INDEX(次果筐明细!$P$4:$P$603,$Z941-5200)=0,"",INDEX(次果筐明细!$P$4:$P$603,$Z941-5200)),"")))))</f>
        <v/>
      </c>
      <c r="N941" s="16" t="str">
        <f>IF($Z941="","",IF($Z941&lt;=2000,"",IF($Z941&lt;=4000,IF(INDEX(周转筐出入库明细!$D$4:$D$2004,$Z941-2000)=0,"",INDEX(周转筐出入库明细!$D$4:$D$2004,$Z941-2000)),IF($Z941&lt;=5200,IF(INDEX(客户自备加工筐明细!$C$4:$C$1203,$Z941-4000)=0,"",INDEX(客户自备加工筐明细!$C$4:$C$1203,$Z941-4000)),IF($Z941&lt;=5800,IF(INDEX(次果筐明细!$D$4:$D$603,$Z941-5200)=0,"",INDEX(次果筐明细!$D$4:$D$603,$Z941-5200)),"")))))</f>
        <v/>
      </c>
      <c r="O941" s="40" t="str">
        <f>IF($Z941="","",IF($Z941&lt;=2000,"",IF($Z941&lt;=4000,IF(N(INDEX(周转筐出入库明细!$J$4:$J$2004,$Z941-2000))+N(INDEX(周转筐出入库明细!$K$4:$K$2004,$Z941-2000))=0,"",N(INDEX(周转筐出入库明细!$J$4:$J$2004,$Z941-2000))+N(INDEX(周转筐出入库明细!$K$4:$K$2004,$Z941-2000))),IF($Z941&lt;=5200,IF(N(INDEX(客户自备加工筐明细!$G$4:$G$1203,$Z941-4000))=0,"",N(INDEX(客户自备加工筐明细!$G$4:$G$1203,$Z941-4000))),IF($Z941&lt;=5800,IF(ISNUMBER(SEARCH("退",INDEX(次果筐明细!$F$4:$F$603,$Z941-5200)&amp;"")),"",IF(N(INDEX(次果筐明细!$G$4:$G$603,$Z941-5200))=0,"",N(INDEX(次果筐明细!$G$4:$G$603,$Z941-5200)))),"")))))</f>
        <v/>
      </c>
      <c r="P941" s="40" t="str">
        <f>IF($Z941="","",IF($Z941&lt;=2000,"",IF($Z941&lt;=4000,IF(N(INDEX(周转筐出入库明细!$I$4:$I$2004,$Z941-2000))=0,"",N(INDEX(周转筐出入库明细!$I$4:$I$2004,$Z941-2000))),IF($Z941&lt;=5200,"",IF($Z941&lt;=5800,IF(ISNUMBER(SEARCH("退",INDEX(次果筐明细!$F$4:$F$603,$Z941-5200)&amp;"")),IF(N(INDEX(次果筐明细!$G$4:$G$603,$Z941-5200))=0,"",N(INDEX(次果筐明细!$G$4:$G$603,$Z941-5200))),""),"")))))</f>
        <v/>
      </c>
      <c r="Q941" s="40" t="str">
        <f>IF($Z941="","",IF($Z941&lt;=2000,"",IF($Z941&lt;=4000,IF(N(INDEX(周转筐出入库明细!$H$4:$H$2004,$Z941-2000))=0,"",N(INDEX(周转筐出入库明细!$H$4:$H$2004,$Z941-2000))),IF($Z941&lt;=5200,IF(N(INDEX(客户自备加工筐明细!$F$4:$F$1203,$Z941-4000))=0,"",N(INDEX(客户自备加工筐明细!$F$4:$F$1203,$Z941-4000))),IF($Z941&lt;=5800,"","")))))</f>
        <v/>
      </c>
      <c r="R941" s="16" t="str">
        <f>IF($Z941="","",IF($Z941&lt;=2000,IF(INDEX(包装物料出入库明细!$O$4:$O$2003,$Z941-0)=0,"",INDEX(包装物料出入库明细!$O$4:$O$2003,$Z941-0)),IF($Z941&lt;=4000,IF(INDEX(周转筐出入库明细!$M$4:$M$2004,$Z941-2000)=0,"",INDEX(周转筐出入库明细!$M$4:$M$2004,$Z941-2000)),IF($Z941&lt;=5200,IF(INDEX(客户自备加工筐明细!$H$4:$H$1203,$Z941-4000)=0,"",INDEX(客户自备加工筐明细!$H$4:$H$1203,$Z941-4000)),IF($Z941&lt;=5800,IF(INDEX(次果筐明细!$H$4:$H$603,$Z941-5200)=0,"",INDEX(次果筐明细!$H$4:$H$603,$Z941-5200)),"")))))</f>
        <v/>
      </c>
      <c r="S941" s="22" t="str">
        <f t="shared" si="44"/>
        <v/>
      </c>
      <c r="Z941" s="10" t="str">
        <f>IFERROR(MATCH(ROW()-3,_自动清单!$CQ$4:$CQ$5803,0),"")</f>
        <v/>
      </c>
    </row>
    <row r="942" spans="1:26">
      <c r="A942" s="24" t="str">
        <f t="shared" si="42"/>
        <v/>
      </c>
      <c r="B942" s="38" t="str">
        <f>IF($Z942="","",IF($Z942&lt;=2000,IF(INDEX(包装物料出入库明细!$B$4:$B$2003,$Z942-0)=0,"",INDEX(包装物料出入库明细!$B$4:$B$2003,$Z942-0)),IF($Z942&lt;=4000,IF(INDEX(周转筐出入库明细!$B$4:$B$2004,$Z942-2000)=0,"",INDEX(周转筐出入库明细!$B$4:$B$2004,$Z942-2000)),IF($Z942&lt;=5200,IF(INDEX(客户自备加工筐明细!$B$4:$B$1203,$Z942-4000)=0,"",INDEX(客户自备加工筐明细!$B$4:$B$1203,$Z942-4000)),IF($Z942&lt;=5800,IF(INDEX(次果筐明细!$B$4:$B$603,$Z942-5200)=0,"",INDEX(次果筐明细!$B$4:$B$603,$Z942-5200)),"")))))</f>
        <v/>
      </c>
      <c r="C942" s="37" t="str">
        <f>IF($Z942="","",IF($Z942&lt;=2000,IF(INDEX(包装物料出入库明细!$D$4:$D$2003,$Z942-0)=0,"",INDEX(包装物料出入库明细!$D$4:$D$2003,$Z942-0)),IF($Z942&lt;=4000,IF(INDEX(周转筐出入库明细!$C$4:$C$2004,$Z942-2000)=0,"",INDEX(周转筐出入库明细!$C$4:$C$2004,$Z942-2000)),IF($Z942&lt;=5200,IF(INDEX(客户自备加工筐明细!$E$4:$E$1203,$Z942-4000)=0,"",INDEX(客户自备加工筐明细!$E$4:$E$1203,$Z942-4000)),IF($Z942&lt;=5800,IF(INDEX(次果筐明细!$C$4:$C$603,$Z942-5200)=0,"",INDEX(次果筐明细!$C$4:$C$603,$Z942-5200)),"")))))</f>
        <v/>
      </c>
      <c r="D942" s="37" t="str">
        <f>IF($Z942="","",IF($Z942&lt;=2000,"包装物料－"&amp;INDEX(包装物料出入库明细!$H$4:$H$2003,$Z942-0),IF($Z942&lt;=4000,"周转筐－"&amp;INDEX(周转筐出入库明细!$F$4:$F$2004,$Z942-2000),IF($Z942&lt;=5200,"客户自备筐－"&amp;INDEX(客户自备加工筐明细!$J$4:$J$1203,$Z942-4000),IF($Z942&lt;=5800,"次果筐/托盘－"&amp;INDEX(次果筐明细!$F$4:$F$603,$Z942-5200),"")))))</f>
        <v/>
      </c>
      <c r="E942" s="24" t="str">
        <f>IF($Z942="","",IF($Z942&lt;=2000,IF(INDEX(包装物料出入库明细!$C$4:$C$2003,$Z942-0)=0,"",INDEX(包装物料出入库明细!$C$4:$C$2003,$Z942-0)),IF($Z942&lt;=4000,IF(INDEX(周转筐出入库明细!$E$4:$E$2004,$Z942-2000)=0,"",INDEX(周转筐出入库明细!$E$4:$E$2004,$Z942-2000)),IF($Z942&lt;=5200,IF(INDEX(客户自备加工筐明细!$D$4:$D$1203,$Z942-4000)=0,"",INDEX(客户自备加工筐明细!$D$4:$D$1203,$Z942-4000)),IF($Z942&lt;=5800,IF(INDEX(次果筐明细!$E$4:$E$603,$Z942-5200)=0,"",INDEX(次果筐明细!$E$4:$E$603,$Z942-5200)),"")))))</f>
        <v/>
      </c>
      <c r="F942" s="24" t="str">
        <f>IF($Z942="","",IF($Z942&lt;=2000,IF(INDEX(包装物料出入库明细!$E$4:$E$2003,$Z942-0)=0,"",INDEX(包装物料出入库明细!$E$4:$E$2003,$Z942-0)),IF($Z942&lt;=4000,IF(INDEX(周转筐出入库明细!$D$4:$D$2004,$Z942-2000)=0,"",INDEX(周转筐出入库明细!$D$4:$D$2004,$Z942-2000)),IF($Z942&lt;=5200,IF(INDEX(客户自备加工筐明细!$C$4:$C$1203,$Z942-4000)=0,"",INDEX(客户自备加工筐明细!$C$4:$C$1203,$Z942-4000)),IF($Z942&lt;=5800,IF(INDEX(次果筐明细!$D$4:$D$603,$Z942-5200)=0,"",INDEX(次果筐明细!$D$4:$D$603,$Z942-5200)),"")))))</f>
        <v/>
      </c>
      <c r="G942" s="24" t="str">
        <f>IF($Z942="","",IF($Z942&lt;=2000,IF(INDEX(包装物料出入库明细!$F$4:$F$2003,$Z942-0)=0,"",INDEX(包装物料出入库明细!$F$4:$F$2003,$Z942-0)),IF($Z942&lt;=4000,"",IF($Z942&lt;=5200,"",IF($Z942&lt;=5800,"","")))))</f>
        <v/>
      </c>
      <c r="H942" s="39" t="str">
        <f>IF($Z942="","",IF($Z942&lt;=2000,IF(INDEX(包装物料出入库明细!$L$4:$L$2003,$Z942-0)=0,"",INDEX(包装物料出入库明细!$L$4:$L$2003,$Z942-0)),IF($Z942&lt;=4000,N(INDEX(周转筐出入库明细!$H$4:$H$2004,$Z942-2000))+N(INDEX(周转筐出入库明细!$I$4:$I$2004,$Z942-2000))+N(INDEX(周转筐出入库明细!$J$4:$J$2004,$Z942-2000))+N(INDEX(周转筐出入库明细!$K$4:$K$2004,$Z942-2000)),IF($Z942&lt;=5200,N(INDEX(客户自备加工筐明细!$F$4:$F$1203,$Z942-4000))+N(INDEX(客户自备加工筐明细!$G$4:$G$1203,$Z942-4000)),IF($Z942&lt;=5800,IF(INDEX(次果筐明细!$G$4:$G$603,$Z942-5200)=0,"",INDEX(次果筐明细!$G$4:$G$603,$Z942-5200)),"")))))</f>
        <v/>
      </c>
      <c r="I942" s="24" t="str">
        <f>IF($Z942="","",IF($Z942&lt;=2000,IF(INDEX(包装物料出入库明细!$G$4:$G$2003,$Z942-0)=0,"",INDEX(包装物料出入库明细!$G$4:$G$2003,$Z942-0)),IF($Z942&lt;=4000,"个",IF($Z942&lt;=5200,"个",IF($Z942&lt;=5800,"个","")))))</f>
        <v/>
      </c>
      <c r="J942" s="30" t="str">
        <f t="shared" si="43"/>
        <v/>
      </c>
      <c r="K942" s="30" t="str">
        <f>IF($Z942="","",IF($Z942&lt;=2000,IF(INDEX(包装物料出入库明细!$N$4:$N$2003,$Z942-0)=0,"",INDEX(包装物料出入库明细!$N$4:$N$2003,$Z942-0)),IF($Z942&lt;=4000,IF(INDEX(周转筐出入库明细!$P$4:$P$2004,$Z942-2000)=0,"",INDEX(周转筐出入库明细!$P$4:$P$2004,$Z942-2000)),IF($Z942&lt;=5200,"",IF($Z942&lt;=5800,N(INDEX(次果筐明细!$L$4:$L$603,$Z942-5200))+N(INDEX(次果筐明细!$J$4:$J$603,$Z942-5200)),"")))))</f>
        <v/>
      </c>
      <c r="L942" s="24" t="str">
        <f>IF($Z942="","",IF($Z942&lt;=2000,IF(INDEX(包装物料出入库明细!$P$4:$P$2003,$Z942-0)=0,"",INDEX(包装物料出入库明细!$P$4:$P$2003,$Z942-0)),IF($Z942&lt;=4000,IF(INDEX(周转筐出入库明细!$Q$4:$Q$2004,$Z942-2000)=0,"",INDEX(周转筐出入库明细!$Q$4:$Q$2004,$Z942-2000)),IF($Z942&lt;=5200,"",IF($Z942&lt;=5800,IF(INDEX(次果筐明细!$M$4:$M$603,$Z942-5200)=0,"",INDEX(次果筐明细!$M$4:$M$603,$Z942-5200)),"")))))</f>
        <v/>
      </c>
      <c r="M942" s="37" t="str">
        <f>IF($Z942="","",IF($Z942&lt;=2000,IF(INDEX(包装物料出入库明细!$R$4:$R$2003,$Z942-0)=0,"",INDEX(包装物料出入库明细!$R$4:$R$2003,$Z942-0)),IF($Z942&lt;=4000,IF(INDEX(周转筐出入库明细!$W$4:$W$2004,$Z942-2000)=0,"",INDEX(周转筐出入库明细!$W$4:$W$2004,$Z942-2000)),IF($Z942&lt;=5200,IF(INDEX(客户自备加工筐明细!$L$4:$L$1203,$Z942-4000)=0,"",INDEX(客户自备加工筐明细!$L$4:$L$1203,$Z942-4000)),IF($Z942&lt;=5800,IF(INDEX(次果筐明细!$P$4:$P$603,$Z942-5200)=0,"",INDEX(次果筐明细!$P$4:$P$603,$Z942-5200)),"")))))</f>
        <v/>
      </c>
      <c r="N942" s="16" t="str">
        <f>IF($Z942="","",IF($Z942&lt;=2000,"",IF($Z942&lt;=4000,IF(INDEX(周转筐出入库明细!$D$4:$D$2004,$Z942-2000)=0,"",INDEX(周转筐出入库明细!$D$4:$D$2004,$Z942-2000)),IF($Z942&lt;=5200,IF(INDEX(客户自备加工筐明细!$C$4:$C$1203,$Z942-4000)=0,"",INDEX(客户自备加工筐明细!$C$4:$C$1203,$Z942-4000)),IF($Z942&lt;=5800,IF(INDEX(次果筐明细!$D$4:$D$603,$Z942-5200)=0,"",INDEX(次果筐明细!$D$4:$D$603,$Z942-5200)),"")))))</f>
        <v/>
      </c>
      <c r="O942" s="40" t="str">
        <f>IF($Z942="","",IF($Z942&lt;=2000,"",IF($Z942&lt;=4000,IF(N(INDEX(周转筐出入库明细!$J$4:$J$2004,$Z942-2000))+N(INDEX(周转筐出入库明细!$K$4:$K$2004,$Z942-2000))=0,"",N(INDEX(周转筐出入库明细!$J$4:$J$2004,$Z942-2000))+N(INDEX(周转筐出入库明细!$K$4:$K$2004,$Z942-2000))),IF($Z942&lt;=5200,IF(N(INDEX(客户自备加工筐明细!$G$4:$G$1203,$Z942-4000))=0,"",N(INDEX(客户自备加工筐明细!$G$4:$G$1203,$Z942-4000))),IF($Z942&lt;=5800,IF(ISNUMBER(SEARCH("退",INDEX(次果筐明细!$F$4:$F$603,$Z942-5200)&amp;"")),"",IF(N(INDEX(次果筐明细!$G$4:$G$603,$Z942-5200))=0,"",N(INDEX(次果筐明细!$G$4:$G$603,$Z942-5200)))),"")))))</f>
        <v/>
      </c>
      <c r="P942" s="40" t="str">
        <f>IF($Z942="","",IF($Z942&lt;=2000,"",IF($Z942&lt;=4000,IF(N(INDEX(周转筐出入库明细!$I$4:$I$2004,$Z942-2000))=0,"",N(INDEX(周转筐出入库明细!$I$4:$I$2004,$Z942-2000))),IF($Z942&lt;=5200,"",IF($Z942&lt;=5800,IF(ISNUMBER(SEARCH("退",INDEX(次果筐明细!$F$4:$F$603,$Z942-5200)&amp;"")),IF(N(INDEX(次果筐明细!$G$4:$G$603,$Z942-5200))=0,"",N(INDEX(次果筐明细!$G$4:$G$603,$Z942-5200))),""),"")))))</f>
        <v/>
      </c>
      <c r="Q942" s="40" t="str">
        <f>IF($Z942="","",IF($Z942&lt;=2000,"",IF($Z942&lt;=4000,IF(N(INDEX(周转筐出入库明细!$H$4:$H$2004,$Z942-2000))=0,"",N(INDEX(周转筐出入库明细!$H$4:$H$2004,$Z942-2000))),IF($Z942&lt;=5200,IF(N(INDEX(客户自备加工筐明细!$F$4:$F$1203,$Z942-4000))=0,"",N(INDEX(客户自备加工筐明细!$F$4:$F$1203,$Z942-4000))),IF($Z942&lt;=5800,"","")))))</f>
        <v/>
      </c>
      <c r="R942" s="16" t="str">
        <f>IF($Z942="","",IF($Z942&lt;=2000,IF(INDEX(包装物料出入库明细!$O$4:$O$2003,$Z942-0)=0,"",INDEX(包装物料出入库明细!$O$4:$O$2003,$Z942-0)),IF($Z942&lt;=4000,IF(INDEX(周转筐出入库明细!$M$4:$M$2004,$Z942-2000)=0,"",INDEX(周转筐出入库明细!$M$4:$M$2004,$Z942-2000)),IF($Z942&lt;=5200,IF(INDEX(客户自备加工筐明细!$H$4:$H$1203,$Z942-4000)=0,"",INDEX(客户自备加工筐明细!$H$4:$H$1203,$Z942-4000)),IF($Z942&lt;=5800,IF(INDEX(次果筐明细!$H$4:$H$603,$Z942-5200)=0,"",INDEX(次果筐明细!$H$4:$H$603,$Z942-5200)),"")))))</f>
        <v/>
      </c>
      <c r="S942" s="22" t="str">
        <f t="shared" si="44"/>
        <v/>
      </c>
      <c r="Z942" s="10" t="str">
        <f>IFERROR(MATCH(ROW()-3,_自动清单!$CQ$4:$CQ$5803,0),"")</f>
        <v/>
      </c>
    </row>
    <row r="943" spans="1:26">
      <c r="A943" s="24" t="str">
        <f t="shared" si="42"/>
        <v/>
      </c>
      <c r="B943" s="38" t="str">
        <f>IF($Z943="","",IF($Z943&lt;=2000,IF(INDEX(包装物料出入库明细!$B$4:$B$2003,$Z943-0)=0,"",INDEX(包装物料出入库明细!$B$4:$B$2003,$Z943-0)),IF($Z943&lt;=4000,IF(INDEX(周转筐出入库明细!$B$4:$B$2004,$Z943-2000)=0,"",INDEX(周转筐出入库明细!$B$4:$B$2004,$Z943-2000)),IF($Z943&lt;=5200,IF(INDEX(客户自备加工筐明细!$B$4:$B$1203,$Z943-4000)=0,"",INDEX(客户自备加工筐明细!$B$4:$B$1203,$Z943-4000)),IF($Z943&lt;=5800,IF(INDEX(次果筐明细!$B$4:$B$603,$Z943-5200)=0,"",INDEX(次果筐明细!$B$4:$B$603,$Z943-5200)),"")))))</f>
        <v/>
      </c>
      <c r="C943" s="37" t="str">
        <f>IF($Z943="","",IF($Z943&lt;=2000,IF(INDEX(包装物料出入库明细!$D$4:$D$2003,$Z943-0)=0,"",INDEX(包装物料出入库明细!$D$4:$D$2003,$Z943-0)),IF($Z943&lt;=4000,IF(INDEX(周转筐出入库明细!$C$4:$C$2004,$Z943-2000)=0,"",INDEX(周转筐出入库明细!$C$4:$C$2004,$Z943-2000)),IF($Z943&lt;=5200,IF(INDEX(客户自备加工筐明细!$E$4:$E$1203,$Z943-4000)=0,"",INDEX(客户自备加工筐明细!$E$4:$E$1203,$Z943-4000)),IF($Z943&lt;=5800,IF(INDEX(次果筐明细!$C$4:$C$603,$Z943-5200)=0,"",INDEX(次果筐明细!$C$4:$C$603,$Z943-5200)),"")))))</f>
        <v/>
      </c>
      <c r="D943" s="37" t="str">
        <f>IF($Z943="","",IF($Z943&lt;=2000,"包装物料－"&amp;INDEX(包装物料出入库明细!$H$4:$H$2003,$Z943-0),IF($Z943&lt;=4000,"周转筐－"&amp;INDEX(周转筐出入库明细!$F$4:$F$2004,$Z943-2000),IF($Z943&lt;=5200,"客户自备筐－"&amp;INDEX(客户自备加工筐明细!$J$4:$J$1203,$Z943-4000),IF($Z943&lt;=5800,"次果筐/托盘－"&amp;INDEX(次果筐明细!$F$4:$F$603,$Z943-5200),"")))))</f>
        <v/>
      </c>
      <c r="E943" s="24" t="str">
        <f>IF($Z943="","",IF($Z943&lt;=2000,IF(INDEX(包装物料出入库明细!$C$4:$C$2003,$Z943-0)=0,"",INDEX(包装物料出入库明细!$C$4:$C$2003,$Z943-0)),IF($Z943&lt;=4000,IF(INDEX(周转筐出入库明细!$E$4:$E$2004,$Z943-2000)=0,"",INDEX(周转筐出入库明细!$E$4:$E$2004,$Z943-2000)),IF($Z943&lt;=5200,IF(INDEX(客户自备加工筐明细!$D$4:$D$1203,$Z943-4000)=0,"",INDEX(客户自备加工筐明细!$D$4:$D$1203,$Z943-4000)),IF($Z943&lt;=5800,IF(INDEX(次果筐明细!$E$4:$E$603,$Z943-5200)=0,"",INDEX(次果筐明细!$E$4:$E$603,$Z943-5200)),"")))))</f>
        <v/>
      </c>
      <c r="F943" s="24" t="str">
        <f>IF($Z943="","",IF($Z943&lt;=2000,IF(INDEX(包装物料出入库明细!$E$4:$E$2003,$Z943-0)=0,"",INDEX(包装物料出入库明细!$E$4:$E$2003,$Z943-0)),IF($Z943&lt;=4000,IF(INDEX(周转筐出入库明细!$D$4:$D$2004,$Z943-2000)=0,"",INDEX(周转筐出入库明细!$D$4:$D$2004,$Z943-2000)),IF($Z943&lt;=5200,IF(INDEX(客户自备加工筐明细!$C$4:$C$1203,$Z943-4000)=0,"",INDEX(客户自备加工筐明细!$C$4:$C$1203,$Z943-4000)),IF($Z943&lt;=5800,IF(INDEX(次果筐明细!$D$4:$D$603,$Z943-5200)=0,"",INDEX(次果筐明细!$D$4:$D$603,$Z943-5200)),"")))))</f>
        <v/>
      </c>
      <c r="G943" s="24" t="str">
        <f>IF($Z943="","",IF($Z943&lt;=2000,IF(INDEX(包装物料出入库明细!$F$4:$F$2003,$Z943-0)=0,"",INDEX(包装物料出入库明细!$F$4:$F$2003,$Z943-0)),IF($Z943&lt;=4000,"",IF($Z943&lt;=5200,"",IF($Z943&lt;=5800,"","")))))</f>
        <v/>
      </c>
      <c r="H943" s="39" t="str">
        <f>IF($Z943="","",IF($Z943&lt;=2000,IF(INDEX(包装物料出入库明细!$L$4:$L$2003,$Z943-0)=0,"",INDEX(包装物料出入库明细!$L$4:$L$2003,$Z943-0)),IF($Z943&lt;=4000,N(INDEX(周转筐出入库明细!$H$4:$H$2004,$Z943-2000))+N(INDEX(周转筐出入库明细!$I$4:$I$2004,$Z943-2000))+N(INDEX(周转筐出入库明细!$J$4:$J$2004,$Z943-2000))+N(INDEX(周转筐出入库明细!$K$4:$K$2004,$Z943-2000)),IF($Z943&lt;=5200,N(INDEX(客户自备加工筐明细!$F$4:$F$1203,$Z943-4000))+N(INDEX(客户自备加工筐明细!$G$4:$G$1203,$Z943-4000)),IF($Z943&lt;=5800,IF(INDEX(次果筐明细!$G$4:$G$603,$Z943-5200)=0,"",INDEX(次果筐明细!$G$4:$G$603,$Z943-5200)),"")))))</f>
        <v/>
      </c>
      <c r="I943" s="24" t="str">
        <f>IF($Z943="","",IF($Z943&lt;=2000,IF(INDEX(包装物料出入库明细!$G$4:$G$2003,$Z943-0)=0,"",INDEX(包装物料出入库明细!$G$4:$G$2003,$Z943-0)),IF($Z943&lt;=4000,"个",IF($Z943&lt;=5200,"个",IF($Z943&lt;=5800,"个","")))))</f>
        <v/>
      </c>
      <c r="J943" s="30" t="str">
        <f t="shared" si="43"/>
        <v/>
      </c>
      <c r="K943" s="30" t="str">
        <f>IF($Z943="","",IF($Z943&lt;=2000,IF(INDEX(包装物料出入库明细!$N$4:$N$2003,$Z943-0)=0,"",INDEX(包装物料出入库明细!$N$4:$N$2003,$Z943-0)),IF($Z943&lt;=4000,IF(INDEX(周转筐出入库明细!$P$4:$P$2004,$Z943-2000)=0,"",INDEX(周转筐出入库明细!$P$4:$P$2004,$Z943-2000)),IF($Z943&lt;=5200,"",IF($Z943&lt;=5800,N(INDEX(次果筐明细!$L$4:$L$603,$Z943-5200))+N(INDEX(次果筐明细!$J$4:$J$603,$Z943-5200)),"")))))</f>
        <v/>
      </c>
      <c r="L943" s="24" t="str">
        <f>IF($Z943="","",IF($Z943&lt;=2000,IF(INDEX(包装物料出入库明细!$P$4:$P$2003,$Z943-0)=0,"",INDEX(包装物料出入库明细!$P$4:$P$2003,$Z943-0)),IF($Z943&lt;=4000,IF(INDEX(周转筐出入库明细!$Q$4:$Q$2004,$Z943-2000)=0,"",INDEX(周转筐出入库明细!$Q$4:$Q$2004,$Z943-2000)),IF($Z943&lt;=5200,"",IF($Z943&lt;=5800,IF(INDEX(次果筐明细!$M$4:$M$603,$Z943-5200)=0,"",INDEX(次果筐明细!$M$4:$M$603,$Z943-5200)),"")))))</f>
        <v/>
      </c>
      <c r="M943" s="37" t="str">
        <f>IF($Z943="","",IF($Z943&lt;=2000,IF(INDEX(包装物料出入库明细!$R$4:$R$2003,$Z943-0)=0,"",INDEX(包装物料出入库明细!$R$4:$R$2003,$Z943-0)),IF($Z943&lt;=4000,IF(INDEX(周转筐出入库明细!$W$4:$W$2004,$Z943-2000)=0,"",INDEX(周转筐出入库明细!$W$4:$W$2004,$Z943-2000)),IF($Z943&lt;=5200,IF(INDEX(客户自备加工筐明细!$L$4:$L$1203,$Z943-4000)=0,"",INDEX(客户自备加工筐明细!$L$4:$L$1203,$Z943-4000)),IF($Z943&lt;=5800,IF(INDEX(次果筐明细!$P$4:$P$603,$Z943-5200)=0,"",INDEX(次果筐明细!$P$4:$P$603,$Z943-5200)),"")))))</f>
        <v/>
      </c>
      <c r="N943" s="16" t="str">
        <f>IF($Z943="","",IF($Z943&lt;=2000,"",IF($Z943&lt;=4000,IF(INDEX(周转筐出入库明细!$D$4:$D$2004,$Z943-2000)=0,"",INDEX(周转筐出入库明细!$D$4:$D$2004,$Z943-2000)),IF($Z943&lt;=5200,IF(INDEX(客户自备加工筐明细!$C$4:$C$1203,$Z943-4000)=0,"",INDEX(客户自备加工筐明细!$C$4:$C$1203,$Z943-4000)),IF($Z943&lt;=5800,IF(INDEX(次果筐明细!$D$4:$D$603,$Z943-5200)=0,"",INDEX(次果筐明细!$D$4:$D$603,$Z943-5200)),"")))))</f>
        <v/>
      </c>
      <c r="O943" s="40" t="str">
        <f>IF($Z943="","",IF($Z943&lt;=2000,"",IF($Z943&lt;=4000,IF(N(INDEX(周转筐出入库明细!$J$4:$J$2004,$Z943-2000))+N(INDEX(周转筐出入库明细!$K$4:$K$2004,$Z943-2000))=0,"",N(INDEX(周转筐出入库明细!$J$4:$J$2004,$Z943-2000))+N(INDEX(周转筐出入库明细!$K$4:$K$2004,$Z943-2000))),IF($Z943&lt;=5200,IF(N(INDEX(客户自备加工筐明细!$G$4:$G$1203,$Z943-4000))=0,"",N(INDEX(客户自备加工筐明细!$G$4:$G$1203,$Z943-4000))),IF($Z943&lt;=5800,IF(ISNUMBER(SEARCH("退",INDEX(次果筐明细!$F$4:$F$603,$Z943-5200)&amp;"")),"",IF(N(INDEX(次果筐明细!$G$4:$G$603,$Z943-5200))=0,"",N(INDEX(次果筐明细!$G$4:$G$603,$Z943-5200)))),"")))))</f>
        <v/>
      </c>
      <c r="P943" s="40" t="str">
        <f>IF($Z943="","",IF($Z943&lt;=2000,"",IF($Z943&lt;=4000,IF(N(INDEX(周转筐出入库明细!$I$4:$I$2004,$Z943-2000))=0,"",N(INDEX(周转筐出入库明细!$I$4:$I$2004,$Z943-2000))),IF($Z943&lt;=5200,"",IF($Z943&lt;=5800,IF(ISNUMBER(SEARCH("退",INDEX(次果筐明细!$F$4:$F$603,$Z943-5200)&amp;"")),IF(N(INDEX(次果筐明细!$G$4:$G$603,$Z943-5200))=0,"",N(INDEX(次果筐明细!$G$4:$G$603,$Z943-5200))),""),"")))))</f>
        <v/>
      </c>
      <c r="Q943" s="40" t="str">
        <f>IF($Z943="","",IF($Z943&lt;=2000,"",IF($Z943&lt;=4000,IF(N(INDEX(周转筐出入库明细!$H$4:$H$2004,$Z943-2000))=0,"",N(INDEX(周转筐出入库明细!$H$4:$H$2004,$Z943-2000))),IF($Z943&lt;=5200,IF(N(INDEX(客户自备加工筐明细!$F$4:$F$1203,$Z943-4000))=0,"",N(INDEX(客户自备加工筐明细!$F$4:$F$1203,$Z943-4000))),IF($Z943&lt;=5800,"","")))))</f>
        <v/>
      </c>
      <c r="R943" s="16" t="str">
        <f>IF($Z943="","",IF($Z943&lt;=2000,IF(INDEX(包装物料出入库明细!$O$4:$O$2003,$Z943-0)=0,"",INDEX(包装物料出入库明细!$O$4:$O$2003,$Z943-0)),IF($Z943&lt;=4000,IF(INDEX(周转筐出入库明细!$M$4:$M$2004,$Z943-2000)=0,"",INDEX(周转筐出入库明细!$M$4:$M$2004,$Z943-2000)),IF($Z943&lt;=5200,IF(INDEX(客户自备加工筐明细!$H$4:$H$1203,$Z943-4000)=0,"",INDEX(客户自备加工筐明细!$H$4:$H$1203,$Z943-4000)),IF($Z943&lt;=5800,IF(INDEX(次果筐明细!$H$4:$H$603,$Z943-5200)=0,"",INDEX(次果筐明细!$H$4:$H$603,$Z943-5200)),"")))))</f>
        <v/>
      </c>
      <c r="S943" s="22" t="str">
        <f t="shared" si="44"/>
        <v/>
      </c>
      <c r="Z943" s="10" t="str">
        <f>IFERROR(MATCH(ROW()-3,_自动清单!$CQ$4:$CQ$5803,0),"")</f>
        <v/>
      </c>
    </row>
    <row r="944" spans="1:26">
      <c r="A944" s="24" t="str">
        <f t="shared" si="42"/>
        <v/>
      </c>
      <c r="B944" s="38" t="str">
        <f>IF($Z944="","",IF($Z944&lt;=2000,IF(INDEX(包装物料出入库明细!$B$4:$B$2003,$Z944-0)=0,"",INDEX(包装物料出入库明细!$B$4:$B$2003,$Z944-0)),IF($Z944&lt;=4000,IF(INDEX(周转筐出入库明细!$B$4:$B$2004,$Z944-2000)=0,"",INDEX(周转筐出入库明细!$B$4:$B$2004,$Z944-2000)),IF($Z944&lt;=5200,IF(INDEX(客户自备加工筐明细!$B$4:$B$1203,$Z944-4000)=0,"",INDEX(客户自备加工筐明细!$B$4:$B$1203,$Z944-4000)),IF($Z944&lt;=5800,IF(INDEX(次果筐明细!$B$4:$B$603,$Z944-5200)=0,"",INDEX(次果筐明细!$B$4:$B$603,$Z944-5200)),"")))))</f>
        <v/>
      </c>
      <c r="C944" s="37" t="str">
        <f>IF($Z944="","",IF($Z944&lt;=2000,IF(INDEX(包装物料出入库明细!$D$4:$D$2003,$Z944-0)=0,"",INDEX(包装物料出入库明细!$D$4:$D$2003,$Z944-0)),IF($Z944&lt;=4000,IF(INDEX(周转筐出入库明细!$C$4:$C$2004,$Z944-2000)=0,"",INDEX(周转筐出入库明细!$C$4:$C$2004,$Z944-2000)),IF($Z944&lt;=5200,IF(INDEX(客户自备加工筐明细!$E$4:$E$1203,$Z944-4000)=0,"",INDEX(客户自备加工筐明细!$E$4:$E$1203,$Z944-4000)),IF($Z944&lt;=5800,IF(INDEX(次果筐明细!$C$4:$C$603,$Z944-5200)=0,"",INDEX(次果筐明细!$C$4:$C$603,$Z944-5200)),"")))))</f>
        <v/>
      </c>
      <c r="D944" s="37" t="str">
        <f>IF($Z944="","",IF($Z944&lt;=2000,"包装物料－"&amp;INDEX(包装物料出入库明细!$H$4:$H$2003,$Z944-0),IF($Z944&lt;=4000,"周转筐－"&amp;INDEX(周转筐出入库明细!$F$4:$F$2004,$Z944-2000),IF($Z944&lt;=5200,"客户自备筐－"&amp;INDEX(客户自备加工筐明细!$J$4:$J$1203,$Z944-4000),IF($Z944&lt;=5800,"次果筐/托盘－"&amp;INDEX(次果筐明细!$F$4:$F$603,$Z944-5200),"")))))</f>
        <v/>
      </c>
      <c r="E944" s="24" t="str">
        <f>IF($Z944="","",IF($Z944&lt;=2000,IF(INDEX(包装物料出入库明细!$C$4:$C$2003,$Z944-0)=0,"",INDEX(包装物料出入库明细!$C$4:$C$2003,$Z944-0)),IF($Z944&lt;=4000,IF(INDEX(周转筐出入库明细!$E$4:$E$2004,$Z944-2000)=0,"",INDEX(周转筐出入库明细!$E$4:$E$2004,$Z944-2000)),IF($Z944&lt;=5200,IF(INDEX(客户自备加工筐明细!$D$4:$D$1203,$Z944-4000)=0,"",INDEX(客户自备加工筐明细!$D$4:$D$1203,$Z944-4000)),IF($Z944&lt;=5800,IF(INDEX(次果筐明细!$E$4:$E$603,$Z944-5200)=0,"",INDEX(次果筐明细!$E$4:$E$603,$Z944-5200)),"")))))</f>
        <v/>
      </c>
      <c r="F944" s="24" t="str">
        <f>IF($Z944="","",IF($Z944&lt;=2000,IF(INDEX(包装物料出入库明细!$E$4:$E$2003,$Z944-0)=0,"",INDEX(包装物料出入库明细!$E$4:$E$2003,$Z944-0)),IF($Z944&lt;=4000,IF(INDEX(周转筐出入库明细!$D$4:$D$2004,$Z944-2000)=0,"",INDEX(周转筐出入库明细!$D$4:$D$2004,$Z944-2000)),IF($Z944&lt;=5200,IF(INDEX(客户自备加工筐明细!$C$4:$C$1203,$Z944-4000)=0,"",INDEX(客户自备加工筐明细!$C$4:$C$1203,$Z944-4000)),IF($Z944&lt;=5800,IF(INDEX(次果筐明细!$D$4:$D$603,$Z944-5200)=0,"",INDEX(次果筐明细!$D$4:$D$603,$Z944-5200)),"")))))</f>
        <v/>
      </c>
      <c r="G944" s="24" t="str">
        <f>IF($Z944="","",IF($Z944&lt;=2000,IF(INDEX(包装物料出入库明细!$F$4:$F$2003,$Z944-0)=0,"",INDEX(包装物料出入库明细!$F$4:$F$2003,$Z944-0)),IF($Z944&lt;=4000,"",IF($Z944&lt;=5200,"",IF($Z944&lt;=5800,"","")))))</f>
        <v/>
      </c>
      <c r="H944" s="39" t="str">
        <f>IF($Z944="","",IF($Z944&lt;=2000,IF(INDEX(包装物料出入库明细!$L$4:$L$2003,$Z944-0)=0,"",INDEX(包装物料出入库明细!$L$4:$L$2003,$Z944-0)),IF($Z944&lt;=4000,N(INDEX(周转筐出入库明细!$H$4:$H$2004,$Z944-2000))+N(INDEX(周转筐出入库明细!$I$4:$I$2004,$Z944-2000))+N(INDEX(周转筐出入库明细!$J$4:$J$2004,$Z944-2000))+N(INDEX(周转筐出入库明细!$K$4:$K$2004,$Z944-2000)),IF($Z944&lt;=5200,N(INDEX(客户自备加工筐明细!$F$4:$F$1203,$Z944-4000))+N(INDEX(客户自备加工筐明细!$G$4:$G$1203,$Z944-4000)),IF($Z944&lt;=5800,IF(INDEX(次果筐明细!$G$4:$G$603,$Z944-5200)=0,"",INDEX(次果筐明细!$G$4:$G$603,$Z944-5200)),"")))))</f>
        <v/>
      </c>
      <c r="I944" s="24" t="str">
        <f>IF($Z944="","",IF($Z944&lt;=2000,IF(INDEX(包装物料出入库明细!$G$4:$G$2003,$Z944-0)=0,"",INDEX(包装物料出入库明细!$G$4:$G$2003,$Z944-0)),IF($Z944&lt;=4000,"个",IF($Z944&lt;=5200,"个",IF($Z944&lt;=5800,"个","")))))</f>
        <v/>
      </c>
      <c r="J944" s="30" t="str">
        <f t="shared" si="43"/>
        <v/>
      </c>
      <c r="K944" s="30" t="str">
        <f>IF($Z944="","",IF($Z944&lt;=2000,IF(INDEX(包装物料出入库明细!$N$4:$N$2003,$Z944-0)=0,"",INDEX(包装物料出入库明细!$N$4:$N$2003,$Z944-0)),IF($Z944&lt;=4000,IF(INDEX(周转筐出入库明细!$P$4:$P$2004,$Z944-2000)=0,"",INDEX(周转筐出入库明细!$P$4:$P$2004,$Z944-2000)),IF($Z944&lt;=5200,"",IF($Z944&lt;=5800,N(INDEX(次果筐明细!$L$4:$L$603,$Z944-5200))+N(INDEX(次果筐明细!$J$4:$J$603,$Z944-5200)),"")))))</f>
        <v/>
      </c>
      <c r="L944" s="24" t="str">
        <f>IF($Z944="","",IF($Z944&lt;=2000,IF(INDEX(包装物料出入库明细!$P$4:$P$2003,$Z944-0)=0,"",INDEX(包装物料出入库明细!$P$4:$P$2003,$Z944-0)),IF($Z944&lt;=4000,IF(INDEX(周转筐出入库明细!$Q$4:$Q$2004,$Z944-2000)=0,"",INDEX(周转筐出入库明细!$Q$4:$Q$2004,$Z944-2000)),IF($Z944&lt;=5200,"",IF($Z944&lt;=5800,IF(INDEX(次果筐明细!$M$4:$M$603,$Z944-5200)=0,"",INDEX(次果筐明细!$M$4:$M$603,$Z944-5200)),"")))))</f>
        <v/>
      </c>
      <c r="M944" s="37" t="str">
        <f>IF($Z944="","",IF($Z944&lt;=2000,IF(INDEX(包装物料出入库明细!$R$4:$R$2003,$Z944-0)=0,"",INDEX(包装物料出入库明细!$R$4:$R$2003,$Z944-0)),IF($Z944&lt;=4000,IF(INDEX(周转筐出入库明细!$W$4:$W$2004,$Z944-2000)=0,"",INDEX(周转筐出入库明细!$W$4:$W$2004,$Z944-2000)),IF($Z944&lt;=5200,IF(INDEX(客户自备加工筐明细!$L$4:$L$1203,$Z944-4000)=0,"",INDEX(客户自备加工筐明细!$L$4:$L$1203,$Z944-4000)),IF($Z944&lt;=5800,IF(INDEX(次果筐明细!$P$4:$P$603,$Z944-5200)=0,"",INDEX(次果筐明细!$P$4:$P$603,$Z944-5200)),"")))))</f>
        <v/>
      </c>
      <c r="N944" s="16" t="str">
        <f>IF($Z944="","",IF($Z944&lt;=2000,"",IF($Z944&lt;=4000,IF(INDEX(周转筐出入库明细!$D$4:$D$2004,$Z944-2000)=0,"",INDEX(周转筐出入库明细!$D$4:$D$2004,$Z944-2000)),IF($Z944&lt;=5200,IF(INDEX(客户自备加工筐明细!$C$4:$C$1203,$Z944-4000)=0,"",INDEX(客户自备加工筐明细!$C$4:$C$1203,$Z944-4000)),IF($Z944&lt;=5800,IF(INDEX(次果筐明细!$D$4:$D$603,$Z944-5200)=0,"",INDEX(次果筐明细!$D$4:$D$603,$Z944-5200)),"")))))</f>
        <v/>
      </c>
      <c r="O944" s="40" t="str">
        <f>IF($Z944="","",IF($Z944&lt;=2000,"",IF($Z944&lt;=4000,IF(N(INDEX(周转筐出入库明细!$J$4:$J$2004,$Z944-2000))+N(INDEX(周转筐出入库明细!$K$4:$K$2004,$Z944-2000))=0,"",N(INDEX(周转筐出入库明细!$J$4:$J$2004,$Z944-2000))+N(INDEX(周转筐出入库明细!$K$4:$K$2004,$Z944-2000))),IF($Z944&lt;=5200,IF(N(INDEX(客户自备加工筐明细!$G$4:$G$1203,$Z944-4000))=0,"",N(INDEX(客户自备加工筐明细!$G$4:$G$1203,$Z944-4000))),IF($Z944&lt;=5800,IF(ISNUMBER(SEARCH("退",INDEX(次果筐明细!$F$4:$F$603,$Z944-5200)&amp;"")),"",IF(N(INDEX(次果筐明细!$G$4:$G$603,$Z944-5200))=0,"",N(INDEX(次果筐明细!$G$4:$G$603,$Z944-5200)))),"")))))</f>
        <v/>
      </c>
      <c r="P944" s="40" t="str">
        <f>IF($Z944="","",IF($Z944&lt;=2000,"",IF($Z944&lt;=4000,IF(N(INDEX(周转筐出入库明细!$I$4:$I$2004,$Z944-2000))=0,"",N(INDEX(周转筐出入库明细!$I$4:$I$2004,$Z944-2000))),IF($Z944&lt;=5200,"",IF($Z944&lt;=5800,IF(ISNUMBER(SEARCH("退",INDEX(次果筐明细!$F$4:$F$603,$Z944-5200)&amp;"")),IF(N(INDEX(次果筐明细!$G$4:$G$603,$Z944-5200))=0,"",N(INDEX(次果筐明细!$G$4:$G$603,$Z944-5200))),""),"")))))</f>
        <v/>
      </c>
      <c r="Q944" s="40" t="str">
        <f>IF($Z944="","",IF($Z944&lt;=2000,"",IF($Z944&lt;=4000,IF(N(INDEX(周转筐出入库明细!$H$4:$H$2004,$Z944-2000))=0,"",N(INDEX(周转筐出入库明细!$H$4:$H$2004,$Z944-2000))),IF($Z944&lt;=5200,IF(N(INDEX(客户自备加工筐明细!$F$4:$F$1203,$Z944-4000))=0,"",N(INDEX(客户自备加工筐明细!$F$4:$F$1203,$Z944-4000))),IF($Z944&lt;=5800,"","")))))</f>
        <v/>
      </c>
      <c r="R944" s="16" t="str">
        <f>IF($Z944="","",IF($Z944&lt;=2000,IF(INDEX(包装物料出入库明细!$O$4:$O$2003,$Z944-0)=0,"",INDEX(包装物料出入库明细!$O$4:$O$2003,$Z944-0)),IF($Z944&lt;=4000,IF(INDEX(周转筐出入库明细!$M$4:$M$2004,$Z944-2000)=0,"",INDEX(周转筐出入库明细!$M$4:$M$2004,$Z944-2000)),IF($Z944&lt;=5200,IF(INDEX(客户自备加工筐明细!$H$4:$H$1203,$Z944-4000)=0,"",INDEX(客户自备加工筐明细!$H$4:$H$1203,$Z944-4000)),IF($Z944&lt;=5800,IF(INDEX(次果筐明细!$H$4:$H$603,$Z944-5200)=0,"",INDEX(次果筐明细!$H$4:$H$603,$Z944-5200)),"")))))</f>
        <v/>
      </c>
      <c r="S944" s="22" t="str">
        <f t="shared" si="44"/>
        <v/>
      </c>
      <c r="Z944" s="10" t="str">
        <f>IFERROR(MATCH(ROW()-3,_自动清单!$CQ$4:$CQ$5803,0),"")</f>
        <v/>
      </c>
    </row>
    <row r="945" spans="1:26">
      <c r="A945" s="24" t="str">
        <f t="shared" si="42"/>
        <v/>
      </c>
      <c r="B945" s="38" t="str">
        <f>IF($Z945="","",IF($Z945&lt;=2000,IF(INDEX(包装物料出入库明细!$B$4:$B$2003,$Z945-0)=0,"",INDEX(包装物料出入库明细!$B$4:$B$2003,$Z945-0)),IF($Z945&lt;=4000,IF(INDEX(周转筐出入库明细!$B$4:$B$2004,$Z945-2000)=0,"",INDEX(周转筐出入库明细!$B$4:$B$2004,$Z945-2000)),IF($Z945&lt;=5200,IF(INDEX(客户自备加工筐明细!$B$4:$B$1203,$Z945-4000)=0,"",INDEX(客户自备加工筐明细!$B$4:$B$1203,$Z945-4000)),IF($Z945&lt;=5800,IF(INDEX(次果筐明细!$B$4:$B$603,$Z945-5200)=0,"",INDEX(次果筐明细!$B$4:$B$603,$Z945-5200)),"")))))</f>
        <v/>
      </c>
      <c r="C945" s="37" t="str">
        <f>IF($Z945="","",IF($Z945&lt;=2000,IF(INDEX(包装物料出入库明细!$D$4:$D$2003,$Z945-0)=0,"",INDEX(包装物料出入库明细!$D$4:$D$2003,$Z945-0)),IF($Z945&lt;=4000,IF(INDEX(周转筐出入库明细!$C$4:$C$2004,$Z945-2000)=0,"",INDEX(周转筐出入库明细!$C$4:$C$2004,$Z945-2000)),IF($Z945&lt;=5200,IF(INDEX(客户自备加工筐明细!$E$4:$E$1203,$Z945-4000)=0,"",INDEX(客户自备加工筐明细!$E$4:$E$1203,$Z945-4000)),IF($Z945&lt;=5800,IF(INDEX(次果筐明细!$C$4:$C$603,$Z945-5200)=0,"",INDEX(次果筐明细!$C$4:$C$603,$Z945-5200)),"")))))</f>
        <v/>
      </c>
      <c r="D945" s="37" t="str">
        <f>IF($Z945="","",IF($Z945&lt;=2000,"包装物料－"&amp;INDEX(包装物料出入库明细!$H$4:$H$2003,$Z945-0),IF($Z945&lt;=4000,"周转筐－"&amp;INDEX(周转筐出入库明细!$F$4:$F$2004,$Z945-2000),IF($Z945&lt;=5200,"客户自备筐－"&amp;INDEX(客户自备加工筐明细!$J$4:$J$1203,$Z945-4000),IF($Z945&lt;=5800,"次果筐/托盘－"&amp;INDEX(次果筐明细!$F$4:$F$603,$Z945-5200),"")))))</f>
        <v/>
      </c>
      <c r="E945" s="24" t="str">
        <f>IF($Z945="","",IF($Z945&lt;=2000,IF(INDEX(包装物料出入库明细!$C$4:$C$2003,$Z945-0)=0,"",INDEX(包装物料出入库明细!$C$4:$C$2003,$Z945-0)),IF($Z945&lt;=4000,IF(INDEX(周转筐出入库明细!$E$4:$E$2004,$Z945-2000)=0,"",INDEX(周转筐出入库明细!$E$4:$E$2004,$Z945-2000)),IF($Z945&lt;=5200,IF(INDEX(客户自备加工筐明细!$D$4:$D$1203,$Z945-4000)=0,"",INDEX(客户自备加工筐明细!$D$4:$D$1203,$Z945-4000)),IF($Z945&lt;=5800,IF(INDEX(次果筐明细!$E$4:$E$603,$Z945-5200)=0,"",INDEX(次果筐明细!$E$4:$E$603,$Z945-5200)),"")))))</f>
        <v/>
      </c>
      <c r="F945" s="24" t="str">
        <f>IF($Z945="","",IF($Z945&lt;=2000,IF(INDEX(包装物料出入库明细!$E$4:$E$2003,$Z945-0)=0,"",INDEX(包装物料出入库明细!$E$4:$E$2003,$Z945-0)),IF($Z945&lt;=4000,IF(INDEX(周转筐出入库明细!$D$4:$D$2004,$Z945-2000)=0,"",INDEX(周转筐出入库明细!$D$4:$D$2004,$Z945-2000)),IF($Z945&lt;=5200,IF(INDEX(客户自备加工筐明细!$C$4:$C$1203,$Z945-4000)=0,"",INDEX(客户自备加工筐明细!$C$4:$C$1203,$Z945-4000)),IF($Z945&lt;=5800,IF(INDEX(次果筐明细!$D$4:$D$603,$Z945-5200)=0,"",INDEX(次果筐明细!$D$4:$D$603,$Z945-5200)),"")))))</f>
        <v/>
      </c>
      <c r="G945" s="24" t="str">
        <f>IF($Z945="","",IF($Z945&lt;=2000,IF(INDEX(包装物料出入库明细!$F$4:$F$2003,$Z945-0)=0,"",INDEX(包装物料出入库明细!$F$4:$F$2003,$Z945-0)),IF($Z945&lt;=4000,"",IF($Z945&lt;=5200,"",IF($Z945&lt;=5800,"","")))))</f>
        <v/>
      </c>
      <c r="H945" s="39" t="str">
        <f>IF($Z945="","",IF($Z945&lt;=2000,IF(INDEX(包装物料出入库明细!$L$4:$L$2003,$Z945-0)=0,"",INDEX(包装物料出入库明细!$L$4:$L$2003,$Z945-0)),IF($Z945&lt;=4000,N(INDEX(周转筐出入库明细!$H$4:$H$2004,$Z945-2000))+N(INDEX(周转筐出入库明细!$I$4:$I$2004,$Z945-2000))+N(INDEX(周转筐出入库明细!$J$4:$J$2004,$Z945-2000))+N(INDEX(周转筐出入库明细!$K$4:$K$2004,$Z945-2000)),IF($Z945&lt;=5200,N(INDEX(客户自备加工筐明细!$F$4:$F$1203,$Z945-4000))+N(INDEX(客户自备加工筐明细!$G$4:$G$1203,$Z945-4000)),IF($Z945&lt;=5800,IF(INDEX(次果筐明细!$G$4:$G$603,$Z945-5200)=0,"",INDEX(次果筐明细!$G$4:$G$603,$Z945-5200)),"")))))</f>
        <v/>
      </c>
      <c r="I945" s="24" t="str">
        <f>IF($Z945="","",IF($Z945&lt;=2000,IF(INDEX(包装物料出入库明细!$G$4:$G$2003,$Z945-0)=0,"",INDEX(包装物料出入库明细!$G$4:$G$2003,$Z945-0)),IF($Z945&lt;=4000,"个",IF($Z945&lt;=5200,"个",IF($Z945&lt;=5800,"个","")))))</f>
        <v/>
      </c>
      <c r="J945" s="30" t="str">
        <f t="shared" si="43"/>
        <v/>
      </c>
      <c r="K945" s="30" t="str">
        <f>IF($Z945="","",IF($Z945&lt;=2000,IF(INDEX(包装物料出入库明细!$N$4:$N$2003,$Z945-0)=0,"",INDEX(包装物料出入库明细!$N$4:$N$2003,$Z945-0)),IF($Z945&lt;=4000,IF(INDEX(周转筐出入库明细!$P$4:$P$2004,$Z945-2000)=0,"",INDEX(周转筐出入库明细!$P$4:$P$2004,$Z945-2000)),IF($Z945&lt;=5200,"",IF($Z945&lt;=5800,N(INDEX(次果筐明细!$L$4:$L$603,$Z945-5200))+N(INDEX(次果筐明细!$J$4:$J$603,$Z945-5200)),"")))))</f>
        <v/>
      </c>
      <c r="L945" s="24" t="str">
        <f>IF($Z945="","",IF($Z945&lt;=2000,IF(INDEX(包装物料出入库明细!$P$4:$P$2003,$Z945-0)=0,"",INDEX(包装物料出入库明细!$P$4:$P$2003,$Z945-0)),IF($Z945&lt;=4000,IF(INDEX(周转筐出入库明细!$Q$4:$Q$2004,$Z945-2000)=0,"",INDEX(周转筐出入库明细!$Q$4:$Q$2004,$Z945-2000)),IF($Z945&lt;=5200,"",IF($Z945&lt;=5800,IF(INDEX(次果筐明细!$M$4:$M$603,$Z945-5200)=0,"",INDEX(次果筐明细!$M$4:$M$603,$Z945-5200)),"")))))</f>
        <v/>
      </c>
      <c r="M945" s="37" t="str">
        <f>IF($Z945="","",IF($Z945&lt;=2000,IF(INDEX(包装物料出入库明细!$R$4:$R$2003,$Z945-0)=0,"",INDEX(包装物料出入库明细!$R$4:$R$2003,$Z945-0)),IF($Z945&lt;=4000,IF(INDEX(周转筐出入库明细!$W$4:$W$2004,$Z945-2000)=0,"",INDEX(周转筐出入库明细!$W$4:$W$2004,$Z945-2000)),IF($Z945&lt;=5200,IF(INDEX(客户自备加工筐明细!$L$4:$L$1203,$Z945-4000)=0,"",INDEX(客户自备加工筐明细!$L$4:$L$1203,$Z945-4000)),IF($Z945&lt;=5800,IF(INDEX(次果筐明细!$P$4:$P$603,$Z945-5200)=0,"",INDEX(次果筐明细!$P$4:$P$603,$Z945-5200)),"")))))</f>
        <v/>
      </c>
      <c r="N945" s="16" t="str">
        <f>IF($Z945="","",IF($Z945&lt;=2000,"",IF($Z945&lt;=4000,IF(INDEX(周转筐出入库明细!$D$4:$D$2004,$Z945-2000)=0,"",INDEX(周转筐出入库明细!$D$4:$D$2004,$Z945-2000)),IF($Z945&lt;=5200,IF(INDEX(客户自备加工筐明细!$C$4:$C$1203,$Z945-4000)=0,"",INDEX(客户自备加工筐明细!$C$4:$C$1203,$Z945-4000)),IF($Z945&lt;=5800,IF(INDEX(次果筐明细!$D$4:$D$603,$Z945-5200)=0,"",INDEX(次果筐明细!$D$4:$D$603,$Z945-5200)),"")))))</f>
        <v/>
      </c>
      <c r="O945" s="40" t="str">
        <f>IF($Z945="","",IF($Z945&lt;=2000,"",IF($Z945&lt;=4000,IF(N(INDEX(周转筐出入库明细!$J$4:$J$2004,$Z945-2000))+N(INDEX(周转筐出入库明细!$K$4:$K$2004,$Z945-2000))=0,"",N(INDEX(周转筐出入库明细!$J$4:$J$2004,$Z945-2000))+N(INDEX(周转筐出入库明细!$K$4:$K$2004,$Z945-2000))),IF($Z945&lt;=5200,IF(N(INDEX(客户自备加工筐明细!$G$4:$G$1203,$Z945-4000))=0,"",N(INDEX(客户自备加工筐明细!$G$4:$G$1203,$Z945-4000))),IF($Z945&lt;=5800,IF(ISNUMBER(SEARCH("退",INDEX(次果筐明细!$F$4:$F$603,$Z945-5200)&amp;"")),"",IF(N(INDEX(次果筐明细!$G$4:$G$603,$Z945-5200))=0,"",N(INDEX(次果筐明细!$G$4:$G$603,$Z945-5200)))),"")))))</f>
        <v/>
      </c>
      <c r="P945" s="40" t="str">
        <f>IF($Z945="","",IF($Z945&lt;=2000,"",IF($Z945&lt;=4000,IF(N(INDEX(周转筐出入库明细!$I$4:$I$2004,$Z945-2000))=0,"",N(INDEX(周转筐出入库明细!$I$4:$I$2004,$Z945-2000))),IF($Z945&lt;=5200,"",IF($Z945&lt;=5800,IF(ISNUMBER(SEARCH("退",INDEX(次果筐明细!$F$4:$F$603,$Z945-5200)&amp;"")),IF(N(INDEX(次果筐明细!$G$4:$G$603,$Z945-5200))=0,"",N(INDEX(次果筐明细!$G$4:$G$603,$Z945-5200))),""),"")))))</f>
        <v/>
      </c>
      <c r="Q945" s="40" t="str">
        <f>IF($Z945="","",IF($Z945&lt;=2000,"",IF($Z945&lt;=4000,IF(N(INDEX(周转筐出入库明细!$H$4:$H$2004,$Z945-2000))=0,"",N(INDEX(周转筐出入库明细!$H$4:$H$2004,$Z945-2000))),IF($Z945&lt;=5200,IF(N(INDEX(客户自备加工筐明细!$F$4:$F$1203,$Z945-4000))=0,"",N(INDEX(客户自备加工筐明细!$F$4:$F$1203,$Z945-4000))),IF($Z945&lt;=5800,"","")))))</f>
        <v/>
      </c>
      <c r="R945" s="16" t="str">
        <f>IF($Z945="","",IF($Z945&lt;=2000,IF(INDEX(包装物料出入库明细!$O$4:$O$2003,$Z945-0)=0,"",INDEX(包装物料出入库明细!$O$4:$O$2003,$Z945-0)),IF($Z945&lt;=4000,IF(INDEX(周转筐出入库明细!$M$4:$M$2004,$Z945-2000)=0,"",INDEX(周转筐出入库明细!$M$4:$M$2004,$Z945-2000)),IF($Z945&lt;=5200,IF(INDEX(客户自备加工筐明细!$H$4:$H$1203,$Z945-4000)=0,"",INDEX(客户自备加工筐明细!$H$4:$H$1203,$Z945-4000)),IF($Z945&lt;=5800,IF(INDEX(次果筐明细!$H$4:$H$603,$Z945-5200)=0,"",INDEX(次果筐明细!$H$4:$H$603,$Z945-5200)),"")))))</f>
        <v/>
      </c>
      <c r="S945" s="22" t="str">
        <f t="shared" si="44"/>
        <v/>
      </c>
      <c r="Z945" s="10" t="str">
        <f>IFERROR(MATCH(ROW()-3,_自动清单!$CQ$4:$CQ$5803,0),"")</f>
        <v/>
      </c>
    </row>
    <row r="946" spans="1:26">
      <c r="A946" s="24" t="str">
        <f t="shared" si="42"/>
        <v/>
      </c>
      <c r="B946" s="38" t="str">
        <f>IF($Z946="","",IF($Z946&lt;=2000,IF(INDEX(包装物料出入库明细!$B$4:$B$2003,$Z946-0)=0,"",INDEX(包装物料出入库明细!$B$4:$B$2003,$Z946-0)),IF($Z946&lt;=4000,IF(INDEX(周转筐出入库明细!$B$4:$B$2004,$Z946-2000)=0,"",INDEX(周转筐出入库明细!$B$4:$B$2004,$Z946-2000)),IF($Z946&lt;=5200,IF(INDEX(客户自备加工筐明细!$B$4:$B$1203,$Z946-4000)=0,"",INDEX(客户自备加工筐明细!$B$4:$B$1203,$Z946-4000)),IF($Z946&lt;=5800,IF(INDEX(次果筐明细!$B$4:$B$603,$Z946-5200)=0,"",INDEX(次果筐明细!$B$4:$B$603,$Z946-5200)),"")))))</f>
        <v/>
      </c>
      <c r="C946" s="37" t="str">
        <f>IF($Z946="","",IF($Z946&lt;=2000,IF(INDEX(包装物料出入库明细!$D$4:$D$2003,$Z946-0)=0,"",INDEX(包装物料出入库明细!$D$4:$D$2003,$Z946-0)),IF($Z946&lt;=4000,IF(INDEX(周转筐出入库明细!$C$4:$C$2004,$Z946-2000)=0,"",INDEX(周转筐出入库明细!$C$4:$C$2004,$Z946-2000)),IF($Z946&lt;=5200,IF(INDEX(客户自备加工筐明细!$E$4:$E$1203,$Z946-4000)=0,"",INDEX(客户自备加工筐明细!$E$4:$E$1203,$Z946-4000)),IF($Z946&lt;=5800,IF(INDEX(次果筐明细!$C$4:$C$603,$Z946-5200)=0,"",INDEX(次果筐明细!$C$4:$C$603,$Z946-5200)),"")))))</f>
        <v/>
      </c>
      <c r="D946" s="37" t="str">
        <f>IF($Z946="","",IF($Z946&lt;=2000,"包装物料－"&amp;INDEX(包装物料出入库明细!$H$4:$H$2003,$Z946-0),IF($Z946&lt;=4000,"周转筐－"&amp;INDEX(周转筐出入库明细!$F$4:$F$2004,$Z946-2000),IF($Z946&lt;=5200,"客户自备筐－"&amp;INDEX(客户自备加工筐明细!$J$4:$J$1203,$Z946-4000),IF($Z946&lt;=5800,"次果筐/托盘－"&amp;INDEX(次果筐明细!$F$4:$F$603,$Z946-5200),"")))))</f>
        <v/>
      </c>
      <c r="E946" s="24" t="str">
        <f>IF($Z946="","",IF($Z946&lt;=2000,IF(INDEX(包装物料出入库明细!$C$4:$C$2003,$Z946-0)=0,"",INDEX(包装物料出入库明细!$C$4:$C$2003,$Z946-0)),IF($Z946&lt;=4000,IF(INDEX(周转筐出入库明细!$E$4:$E$2004,$Z946-2000)=0,"",INDEX(周转筐出入库明细!$E$4:$E$2004,$Z946-2000)),IF($Z946&lt;=5200,IF(INDEX(客户自备加工筐明细!$D$4:$D$1203,$Z946-4000)=0,"",INDEX(客户自备加工筐明细!$D$4:$D$1203,$Z946-4000)),IF($Z946&lt;=5800,IF(INDEX(次果筐明细!$E$4:$E$603,$Z946-5200)=0,"",INDEX(次果筐明细!$E$4:$E$603,$Z946-5200)),"")))))</f>
        <v/>
      </c>
      <c r="F946" s="24" t="str">
        <f>IF($Z946="","",IF($Z946&lt;=2000,IF(INDEX(包装物料出入库明细!$E$4:$E$2003,$Z946-0)=0,"",INDEX(包装物料出入库明细!$E$4:$E$2003,$Z946-0)),IF($Z946&lt;=4000,IF(INDEX(周转筐出入库明细!$D$4:$D$2004,$Z946-2000)=0,"",INDEX(周转筐出入库明细!$D$4:$D$2004,$Z946-2000)),IF($Z946&lt;=5200,IF(INDEX(客户自备加工筐明细!$C$4:$C$1203,$Z946-4000)=0,"",INDEX(客户自备加工筐明细!$C$4:$C$1203,$Z946-4000)),IF($Z946&lt;=5800,IF(INDEX(次果筐明细!$D$4:$D$603,$Z946-5200)=0,"",INDEX(次果筐明细!$D$4:$D$603,$Z946-5200)),"")))))</f>
        <v/>
      </c>
      <c r="G946" s="24" t="str">
        <f>IF($Z946="","",IF($Z946&lt;=2000,IF(INDEX(包装物料出入库明细!$F$4:$F$2003,$Z946-0)=0,"",INDEX(包装物料出入库明细!$F$4:$F$2003,$Z946-0)),IF($Z946&lt;=4000,"",IF($Z946&lt;=5200,"",IF($Z946&lt;=5800,"","")))))</f>
        <v/>
      </c>
      <c r="H946" s="39" t="str">
        <f>IF($Z946="","",IF($Z946&lt;=2000,IF(INDEX(包装物料出入库明细!$L$4:$L$2003,$Z946-0)=0,"",INDEX(包装物料出入库明细!$L$4:$L$2003,$Z946-0)),IF($Z946&lt;=4000,N(INDEX(周转筐出入库明细!$H$4:$H$2004,$Z946-2000))+N(INDEX(周转筐出入库明细!$I$4:$I$2004,$Z946-2000))+N(INDEX(周转筐出入库明细!$J$4:$J$2004,$Z946-2000))+N(INDEX(周转筐出入库明细!$K$4:$K$2004,$Z946-2000)),IF($Z946&lt;=5200,N(INDEX(客户自备加工筐明细!$F$4:$F$1203,$Z946-4000))+N(INDEX(客户自备加工筐明细!$G$4:$G$1203,$Z946-4000)),IF($Z946&lt;=5800,IF(INDEX(次果筐明细!$G$4:$G$603,$Z946-5200)=0,"",INDEX(次果筐明细!$G$4:$G$603,$Z946-5200)),"")))))</f>
        <v/>
      </c>
      <c r="I946" s="24" t="str">
        <f>IF($Z946="","",IF($Z946&lt;=2000,IF(INDEX(包装物料出入库明细!$G$4:$G$2003,$Z946-0)=0,"",INDEX(包装物料出入库明细!$G$4:$G$2003,$Z946-0)),IF($Z946&lt;=4000,"个",IF($Z946&lt;=5200,"个",IF($Z946&lt;=5800,"个","")))))</f>
        <v/>
      </c>
      <c r="J946" s="30" t="str">
        <f t="shared" si="43"/>
        <v/>
      </c>
      <c r="K946" s="30" t="str">
        <f>IF($Z946="","",IF($Z946&lt;=2000,IF(INDEX(包装物料出入库明细!$N$4:$N$2003,$Z946-0)=0,"",INDEX(包装物料出入库明细!$N$4:$N$2003,$Z946-0)),IF($Z946&lt;=4000,IF(INDEX(周转筐出入库明细!$P$4:$P$2004,$Z946-2000)=0,"",INDEX(周转筐出入库明细!$P$4:$P$2004,$Z946-2000)),IF($Z946&lt;=5200,"",IF($Z946&lt;=5800,N(INDEX(次果筐明细!$L$4:$L$603,$Z946-5200))+N(INDEX(次果筐明细!$J$4:$J$603,$Z946-5200)),"")))))</f>
        <v/>
      </c>
      <c r="L946" s="24" t="str">
        <f>IF($Z946="","",IF($Z946&lt;=2000,IF(INDEX(包装物料出入库明细!$P$4:$P$2003,$Z946-0)=0,"",INDEX(包装物料出入库明细!$P$4:$P$2003,$Z946-0)),IF($Z946&lt;=4000,IF(INDEX(周转筐出入库明细!$Q$4:$Q$2004,$Z946-2000)=0,"",INDEX(周转筐出入库明细!$Q$4:$Q$2004,$Z946-2000)),IF($Z946&lt;=5200,"",IF($Z946&lt;=5800,IF(INDEX(次果筐明细!$M$4:$M$603,$Z946-5200)=0,"",INDEX(次果筐明细!$M$4:$M$603,$Z946-5200)),"")))))</f>
        <v/>
      </c>
      <c r="M946" s="37" t="str">
        <f>IF($Z946="","",IF($Z946&lt;=2000,IF(INDEX(包装物料出入库明细!$R$4:$R$2003,$Z946-0)=0,"",INDEX(包装物料出入库明细!$R$4:$R$2003,$Z946-0)),IF($Z946&lt;=4000,IF(INDEX(周转筐出入库明细!$W$4:$W$2004,$Z946-2000)=0,"",INDEX(周转筐出入库明细!$W$4:$W$2004,$Z946-2000)),IF($Z946&lt;=5200,IF(INDEX(客户自备加工筐明细!$L$4:$L$1203,$Z946-4000)=0,"",INDEX(客户自备加工筐明细!$L$4:$L$1203,$Z946-4000)),IF($Z946&lt;=5800,IF(INDEX(次果筐明细!$P$4:$P$603,$Z946-5200)=0,"",INDEX(次果筐明细!$P$4:$P$603,$Z946-5200)),"")))))</f>
        <v/>
      </c>
      <c r="N946" s="16" t="str">
        <f>IF($Z946="","",IF($Z946&lt;=2000,"",IF($Z946&lt;=4000,IF(INDEX(周转筐出入库明细!$D$4:$D$2004,$Z946-2000)=0,"",INDEX(周转筐出入库明细!$D$4:$D$2004,$Z946-2000)),IF($Z946&lt;=5200,IF(INDEX(客户自备加工筐明细!$C$4:$C$1203,$Z946-4000)=0,"",INDEX(客户自备加工筐明细!$C$4:$C$1203,$Z946-4000)),IF($Z946&lt;=5800,IF(INDEX(次果筐明细!$D$4:$D$603,$Z946-5200)=0,"",INDEX(次果筐明细!$D$4:$D$603,$Z946-5200)),"")))))</f>
        <v/>
      </c>
      <c r="O946" s="40" t="str">
        <f>IF($Z946="","",IF($Z946&lt;=2000,"",IF($Z946&lt;=4000,IF(N(INDEX(周转筐出入库明细!$J$4:$J$2004,$Z946-2000))+N(INDEX(周转筐出入库明细!$K$4:$K$2004,$Z946-2000))=0,"",N(INDEX(周转筐出入库明细!$J$4:$J$2004,$Z946-2000))+N(INDEX(周转筐出入库明细!$K$4:$K$2004,$Z946-2000))),IF($Z946&lt;=5200,IF(N(INDEX(客户自备加工筐明细!$G$4:$G$1203,$Z946-4000))=0,"",N(INDEX(客户自备加工筐明细!$G$4:$G$1203,$Z946-4000))),IF($Z946&lt;=5800,IF(ISNUMBER(SEARCH("退",INDEX(次果筐明细!$F$4:$F$603,$Z946-5200)&amp;"")),"",IF(N(INDEX(次果筐明细!$G$4:$G$603,$Z946-5200))=0,"",N(INDEX(次果筐明细!$G$4:$G$603,$Z946-5200)))),"")))))</f>
        <v/>
      </c>
      <c r="P946" s="40" t="str">
        <f>IF($Z946="","",IF($Z946&lt;=2000,"",IF($Z946&lt;=4000,IF(N(INDEX(周转筐出入库明细!$I$4:$I$2004,$Z946-2000))=0,"",N(INDEX(周转筐出入库明细!$I$4:$I$2004,$Z946-2000))),IF($Z946&lt;=5200,"",IF($Z946&lt;=5800,IF(ISNUMBER(SEARCH("退",INDEX(次果筐明细!$F$4:$F$603,$Z946-5200)&amp;"")),IF(N(INDEX(次果筐明细!$G$4:$G$603,$Z946-5200))=0,"",N(INDEX(次果筐明细!$G$4:$G$603,$Z946-5200))),""),"")))))</f>
        <v/>
      </c>
      <c r="Q946" s="40" t="str">
        <f>IF($Z946="","",IF($Z946&lt;=2000,"",IF($Z946&lt;=4000,IF(N(INDEX(周转筐出入库明细!$H$4:$H$2004,$Z946-2000))=0,"",N(INDEX(周转筐出入库明细!$H$4:$H$2004,$Z946-2000))),IF($Z946&lt;=5200,IF(N(INDEX(客户自备加工筐明细!$F$4:$F$1203,$Z946-4000))=0,"",N(INDEX(客户自备加工筐明细!$F$4:$F$1203,$Z946-4000))),IF($Z946&lt;=5800,"","")))))</f>
        <v/>
      </c>
      <c r="R946" s="16" t="str">
        <f>IF($Z946="","",IF($Z946&lt;=2000,IF(INDEX(包装物料出入库明细!$O$4:$O$2003,$Z946-0)=0,"",INDEX(包装物料出入库明细!$O$4:$O$2003,$Z946-0)),IF($Z946&lt;=4000,IF(INDEX(周转筐出入库明细!$M$4:$M$2004,$Z946-2000)=0,"",INDEX(周转筐出入库明细!$M$4:$M$2004,$Z946-2000)),IF($Z946&lt;=5200,IF(INDEX(客户自备加工筐明细!$H$4:$H$1203,$Z946-4000)=0,"",INDEX(客户自备加工筐明细!$H$4:$H$1203,$Z946-4000)),IF($Z946&lt;=5800,IF(INDEX(次果筐明细!$H$4:$H$603,$Z946-5200)=0,"",INDEX(次果筐明细!$H$4:$H$603,$Z946-5200)),"")))))</f>
        <v/>
      </c>
      <c r="S946" s="22" t="str">
        <f t="shared" si="44"/>
        <v/>
      </c>
      <c r="Z946" s="10" t="str">
        <f>IFERROR(MATCH(ROW()-3,_自动清单!$CQ$4:$CQ$5803,0),"")</f>
        <v/>
      </c>
    </row>
    <row r="947" spans="1:26">
      <c r="A947" s="24" t="str">
        <f t="shared" si="42"/>
        <v/>
      </c>
      <c r="B947" s="38" t="str">
        <f>IF($Z947="","",IF($Z947&lt;=2000,IF(INDEX(包装物料出入库明细!$B$4:$B$2003,$Z947-0)=0,"",INDEX(包装物料出入库明细!$B$4:$B$2003,$Z947-0)),IF($Z947&lt;=4000,IF(INDEX(周转筐出入库明细!$B$4:$B$2004,$Z947-2000)=0,"",INDEX(周转筐出入库明细!$B$4:$B$2004,$Z947-2000)),IF($Z947&lt;=5200,IF(INDEX(客户自备加工筐明细!$B$4:$B$1203,$Z947-4000)=0,"",INDEX(客户自备加工筐明细!$B$4:$B$1203,$Z947-4000)),IF($Z947&lt;=5800,IF(INDEX(次果筐明细!$B$4:$B$603,$Z947-5200)=0,"",INDEX(次果筐明细!$B$4:$B$603,$Z947-5200)),"")))))</f>
        <v/>
      </c>
      <c r="C947" s="37" t="str">
        <f>IF($Z947="","",IF($Z947&lt;=2000,IF(INDEX(包装物料出入库明细!$D$4:$D$2003,$Z947-0)=0,"",INDEX(包装物料出入库明细!$D$4:$D$2003,$Z947-0)),IF($Z947&lt;=4000,IF(INDEX(周转筐出入库明细!$C$4:$C$2004,$Z947-2000)=0,"",INDEX(周转筐出入库明细!$C$4:$C$2004,$Z947-2000)),IF($Z947&lt;=5200,IF(INDEX(客户自备加工筐明细!$E$4:$E$1203,$Z947-4000)=0,"",INDEX(客户自备加工筐明细!$E$4:$E$1203,$Z947-4000)),IF($Z947&lt;=5800,IF(INDEX(次果筐明细!$C$4:$C$603,$Z947-5200)=0,"",INDEX(次果筐明细!$C$4:$C$603,$Z947-5200)),"")))))</f>
        <v/>
      </c>
      <c r="D947" s="37" t="str">
        <f>IF($Z947="","",IF($Z947&lt;=2000,"包装物料－"&amp;INDEX(包装物料出入库明细!$H$4:$H$2003,$Z947-0),IF($Z947&lt;=4000,"周转筐－"&amp;INDEX(周转筐出入库明细!$F$4:$F$2004,$Z947-2000),IF($Z947&lt;=5200,"客户自备筐－"&amp;INDEX(客户自备加工筐明细!$J$4:$J$1203,$Z947-4000),IF($Z947&lt;=5800,"次果筐/托盘－"&amp;INDEX(次果筐明细!$F$4:$F$603,$Z947-5200),"")))))</f>
        <v/>
      </c>
      <c r="E947" s="24" t="str">
        <f>IF($Z947="","",IF($Z947&lt;=2000,IF(INDEX(包装物料出入库明细!$C$4:$C$2003,$Z947-0)=0,"",INDEX(包装物料出入库明细!$C$4:$C$2003,$Z947-0)),IF($Z947&lt;=4000,IF(INDEX(周转筐出入库明细!$E$4:$E$2004,$Z947-2000)=0,"",INDEX(周转筐出入库明细!$E$4:$E$2004,$Z947-2000)),IF($Z947&lt;=5200,IF(INDEX(客户自备加工筐明细!$D$4:$D$1203,$Z947-4000)=0,"",INDEX(客户自备加工筐明细!$D$4:$D$1203,$Z947-4000)),IF($Z947&lt;=5800,IF(INDEX(次果筐明细!$E$4:$E$603,$Z947-5200)=0,"",INDEX(次果筐明细!$E$4:$E$603,$Z947-5200)),"")))))</f>
        <v/>
      </c>
      <c r="F947" s="24" t="str">
        <f>IF($Z947="","",IF($Z947&lt;=2000,IF(INDEX(包装物料出入库明细!$E$4:$E$2003,$Z947-0)=0,"",INDEX(包装物料出入库明细!$E$4:$E$2003,$Z947-0)),IF($Z947&lt;=4000,IF(INDEX(周转筐出入库明细!$D$4:$D$2004,$Z947-2000)=0,"",INDEX(周转筐出入库明细!$D$4:$D$2004,$Z947-2000)),IF($Z947&lt;=5200,IF(INDEX(客户自备加工筐明细!$C$4:$C$1203,$Z947-4000)=0,"",INDEX(客户自备加工筐明细!$C$4:$C$1203,$Z947-4000)),IF($Z947&lt;=5800,IF(INDEX(次果筐明细!$D$4:$D$603,$Z947-5200)=0,"",INDEX(次果筐明细!$D$4:$D$603,$Z947-5200)),"")))))</f>
        <v/>
      </c>
      <c r="G947" s="24" t="str">
        <f>IF($Z947="","",IF($Z947&lt;=2000,IF(INDEX(包装物料出入库明细!$F$4:$F$2003,$Z947-0)=0,"",INDEX(包装物料出入库明细!$F$4:$F$2003,$Z947-0)),IF($Z947&lt;=4000,"",IF($Z947&lt;=5200,"",IF($Z947&lt;=5800,"","")))))</f>
        <v/>
      </c>
      <c r="H947" s="39" t="str">
        <f>IF($Z947="","",IF($Z947&lt;=2000,IF(INDEX(包装物料出入库明细!$L$4:$L$2003,$Z947-0)=0,"",INDEX(包装物料出入库明细!$L$4:$L$2003,$Z947-0)),IF($Z947&lt;=4000,N(INDEX(周转筐出入库明细!$H$4:$H$2004,$Z947-2000))+N(INDEX(周转筐出入库明细!$I$4:$I$2004,$Z947-2000))+N(INDEX(周转筐出入库明细!$J$4:$J$2004,$Z947-2000))+N(INDEX(周转筐出入库明细!$K$4:$K$2004,$Z947-2000)),IF($Z947&lt;=5200,N(INDEX(客户自备加工筐明细!$F$4:$F$1203,$Z947-4000))+N(INDEX(客户自备加工筐明细!$G$4:$G$1203,$Z947-4000)),IF($Z947&lt;=5800,IF(INDEX(次果筐明细!$G$4:$G$603,$Z947-5200)=0,"",INDEX(次果筐明细!$G$4:$G$603,$Z947-5200)),"")))))</f>
        <v/>
      </c>
      <c r="I947" s="24" t="str">
        <f>IF($Z947="","",IF($Z947&lt;=2000,IF(INDEX(包装物料出入库明细!$G$4:$G$2003,$Z947-0)=0,"",INDEX(包装物料出入库明细!$G$4:$G$2003,$Z947-0)),IF($Z947&lt;=4000,"个",IF($Z947&lt;=5200,"个",IF($Z947&lt;=5800,"个","")))))</f>
        <v/>
      </c>
      <c r="J947" s="30" t="str">
        <f t="shared" si="43"/>
        <v/>
      </c>
      <c r="K947" s="30" t="str">
        <f>IF($Z947="","",IF($Z947&lt;=2000,IF(INDEX(包装物料出入库明细!$N$4:$N$2003,$Z947-0)=0,"",INDEX(包装物料出入库明细!$N$4:$N$2003,$Z947-0)),IF($Z947&lt;=4000,IF(INDEX(周转筐出入库明细!$P$4:$P$2004,$Z947-2000)=0,"",INDEX(周转筐出入库明细!$P$4:$P$2004,$Z947-2000)),IF($Z947&lt;=5200,"",IF($Z947&lt;=5800,N(INDEX(次果筐明细!$L$4:$L$603,$Z947-5200))+N(INDEX(次果筐明细!$J$4:$J$603,$Z947-5200)),"")))))</f>
        <v/>
      </c>
      <c r="L947" s="24" t="str">
        <f>IF($Z947="","",IF($Z947&lt;=2000,IF(INDEX(包装物料出入库明细!$P$4:$P$2003,$Z947-0)=0,"",INDEX(包装物料出入库明细!$P$4:$P$2003,$Z947-0)),IF($Z947&lt;=4000,IF(INDEX(周转筐出入库明细!$Q$4:$Q$2004,$Z947-2000)=0,"",INDEX(周转筐出入库明细!$Q$4:$Q$2004,$Z947-2000)),IF($Z947&lt;=5200,"",IF($Z947&lt;=5800,IF(INDEX(次果筐明细!$M$4:$M$603,$Z947-5200)=0,"",INDEX(次果筐明细!$M$4:$M$603,$Z947-5200)),"")))))</f>
        <v/>
      </c>
      <c r="M947" s="37" t="str">
        <f>IF($Z947="","",IF($Z947&lt;=2000,IF(INDEX(包装物料出入库明细!$R$4:$R$2003,$Z947-0)=0,"",INDEX(包装物料出入库明细!$R$4:$R$2003,$Z947-0)),IF($Z947&lt;=4000,IF(INDEX(周转筐出入库明细!$W$4:$W$2004,$Z947-2000)=0,"",INDEX(周转筐出入库明细!$W$4:$W$2004,$Z947-2000)),IF($Z947&lt;=5200,IF(INDEX(客户自备加工筐明细!$L$4:$L$1203,$Z947-4000)=0,"",INDEX(客户自备加工筐明细!$L$4:$L$1203,$Z947-4000)),IF($Z947&lt;=5800,IF(INDEX(次果筐明细!$P$4:$P$603,$Z947-5200)=0,"",INDEX(次果筐明细!$P$4:$P$603,$Z947-5200)),"")))))</f>
        <v/>
      </c>
      <c r="N947" s="16" t="str">
        <f>IF($Z947="","",IF($Z947&lt;=2000,"",IF($Z947&lt;=4000,IF(INDEX(周转筐出入库明细!$D$4:$D$2004,$Z947-2000)=0,"",INDEX(周转筐出入库明细!$D$4:$D$2004,$Z947-2000)),IF($Z947&lt;=5200,IF(INDEX(客户自备加工筐明细!$C$4:$C$1203,$Z947-4000)=0,"",INDEX(客户自备加工筐明细!$C$4:$C$1203,$Z947-4000)),IF($Z947&lt;=5800,IF(INDEX(次果筐明细!$D$4:$D$603,$Z947-5200)=0,"",INDEX(次果筐明细!$D$4:$D$603,$Z947-5200)),"")))))</f>
        <v/>
      </c>
      <c r="O947" s="40" t="str">
        <f>IF($Z947="","",IF($Z947&lt;=2000,"",IF($Z947&lt;=4000,IF(N(INDEX(周转筐出入库明细!$J$4:$J$2004,$Z947-2000))+N(INDEX(周转筐出入库明细!$K$4:$K$2004,$Z947-2000))=0,"",N(INDEX(周转筐出入库明细!$J$4:$J$2004,$Z947-2000))+N(INDEX(周转筐出入库明细!$K$4:$K$2004,$Z947-2000))),IF($Z947&lt;=5200,IF(N(INDEX(客户自备加工筐明细!$G$4:$G$1203,$Z947-4000))=0,"",N(INDEX(客户自备加工筐明细!$G$4:$G$1203,$Z947-4000))),IF($Z947&lt;=5800,IF(ISNUMBER(SEARCH("退",INDEX(次果筐明细!$F$4:$F$603,$Z947-5200)&amp;"")),"",IF(N(INDEX(次果筐明细!$G$4:$G$603,$Z947-5200))=0,"",N(INDEX(次果筐明细!$G$4:$G$603,$Z947-5200)))),"")))))</f>
        <v/>
      </c>
      <c r="P947" s="40" t="str">
        <f>IF($Z947="","",IF($Z947&lt;=2000,"",IF($Z947&lt;=4000,IF(N(INDEX(周转筐出入库明细!$I$4:$I$2004,$Z947-2000))=0,"",N(INDEX(周转筐出入库明细!$I$4:$I$2004,$Z947-2000))),IF($Z947&lt;=5200,"",IF($Z947&lt;=5800,IF(ISNUMBER(SEARCH("退",INDEX(次果筐明细!$F$4:$F$603,$Z947-5200)&amp;"")),IF(N(INDEX(次果筐明细!$G$4:$G$603,$Z947-5200))=0,"",N(INDEX(次果筐明细!$G$4:$G$603,$Z947-5200))),""),"")))))</f>
        <v/>
      </c>
      <c r="Q947" s="40" t="str">
        <f>IF($Z947="","",IF($Z947&lt;=2000,"",IF($Z947&lt;=4000,IF(N(INDEX(周转筐出入库明细!$H$4:$H$2004,$Z947-2000))=0,"",N(INDEX(周转筐出入库明细!$H$4:$H$2004,$Z947-2000))),IF($Z947&lt;=5200,IF(N(INDEX(客户自备加工筐明细!$F$4:$F$1203,$Z947-4000))=0,"",N(INDEX(客户自备加工筐明细!$F$4:$F$1203,$Z947-4000))),IF($Z947&lt;=5800,"","")))))</f>
        <v/>
      </c>
      <c r="R947" s="16" t="str">
        <f>IF($Z947="","",IF($Z947&lt;=2000,IF(INDEX(包装物料出入库明细!$O$4:$O$2003,$Z947-0)=0,"",INDEX(包装物料出入库明细!$O$4:$O$2003,$Z947-0)),IF($Z947&lt;=4000,IF(INDEX(周转筐出入库明细!$M$4:$M$2004,$Z947-2000)=0,"",INDEX(周转筐出入库明细!$M$4:$M$2004,$Z947-2000)),IF($Z947&lt;=5200,IF(INDEX(客户自备加工筐明细!$H$4:$H$1203,$Z947-4000)=0,"",INDEX(客户自备加工筐明细!$H$4:$H$1203,$Z947-4000)),IF($Z947&lt;=5800,IF(INDEX(次果筐明细!$H$4:$H$603,$Z947-5200)=0,"",INDEX(次果筐明细!$H$4:$H$603,$Z947-5200)),"")))))</f>
        <v/>
      </c>
      <c r="S947" s="22" t="str">
        <f t="shared" si="44"/>
        <v/>
      </c>
      <c r="Z947" s="10" t="str">
        <f>IFERROR(MATCH(ROW()-3,_自动清单!$CQ$4:$CQ$5803,0),"")</f>
        <v/>
      </c>
    </row>
    <row r="948" spans="1:26">
      <c r="A948" s="24" t="str">
        <f t="shared" si="42"/>
        <v/>
      </c>
      <c r="B948" s="38" t="str">
        <f>IF($Z948="","",IF($Z948&lt;=2000,IF(INDEX(包装物料出入库明细!$B$4:$B$2003,$Z948-0)=0,"",INDEX(包装物料出入库明细!$B$4:$B$2003,$Z948-0)),IF($Z948&lt;=4000,IF(INDEX(周转筐出入库明细!$B$4:$B$2004,$Z948-2000)=0,"",INDEX(周转筐出入库明细!$B$4:$B$2004,$Z948-2000)),IF($Z948&lt;=5200,IF(INDEX(客户自备加工筐明细!$B$4:$B$1203,$Z948-4000)=0,"",INDEX(客户自备加工筐明细!$B$4:$B$1203,$Z948-4000)),IF($Z948&lt;=5800,IF(INDEX(次果筐明细!$B$4:$B$603,$Z948-5200)=0,"",INDEX(次果筐明细!$B$4:$B$603,$Z948-5200)),"")))))</f>
        <v/>
      </c>
      <c r="C948" s="37" t="str">
        <f>IF($Z948="","",IF($Z948&lt;=2000,IF(INDEX(包装物料出入库明细!$D$4:$D$2003,$Z948-0)=0,"",INDEX(包装物料出入库明细!$D$4:$D$2003,$Z948-0)),IF($Z948&lt;=4000,IF(INDEX(周转筐出入库明细!$C$4:$C$2004,$Z948-2000)=0,"",INDEX(周转筐出入库明细!$C$4:$C$2004,$Z948-2000)),IF($Z948&lt;=5200,IF(INDEX(客户自备加工筐明细!$E$4:$E$1203,$Z948-4000)=0,"",INDEX(客户自备加工筐明细!$E$4:$E$1203,$Z948-4000)),IF($Z948&lt;=5800,IF(INDEX(次果筐明细!$C$4:$C$603,$Z948-5200)=0,"",INDEX(次果筐明细!$C$4:$C$603,$Z948-5200)),"")))))</f>
        <v/>
      </c>
      <c r="D948" s="37" t="str">
        <f>IF($Z948="","",IF($Z948&lt;=2000,"包装物料－"&amp;INDEX(包装物料出入库明细!$H$4:$H$2003,$Z948-0),IF($Z948&lt;=4000,"周转筐－"&amp;INDEX(周转筐出入库明细!$F$4:$F$2004,$Z948-2000),IF($Z948&lt;=5200,"客户自备筐－"&amp;INDEX(客户自备加工筐明细!$J$4:$J$1203,$Z948-4000),IF($Z948&lt;=5800,"次果筐/托盘－"&amp;INDEX(次果筐明细!$F$4:$F$603,$Z948-5200),"")))))</f>
        <v/>
      </c>
      <c r="E948" s="24" t="str">
        <f>IF($Z948="","",IF($Z948&lt;=2000,IF(INDEX(包装物料出入库明细!$C$4:$C$2003,$Z948-0)=0,"",INDEX(包装物料出入库明细!$C$4:$C$2003,$Z948-0)),IF($Z948&lt;=4000,IF(INDEX(周转筐出入库明细!$E$4:$E$2004,$Z948-2000)=0,"",INDEX(周转筐出入库明细!$E$4:$E$2004,$Z948-2000)),IF($Z948&lt;=5200,IF(INDEX(客户自备加工筐明细!$D$4:$D$1203,$Z948-4000)=0,"",INDEX(客户自备加工筐明细!$D$4:$D$1203,$Z948-4000)),IF($Z948&lt;=5800,IF(INDEX(次果筐明细!$E$4:$E$603,$Z948-5200)=0,"",INDEX(次果筐明细!$E$4:$E$603,$Z948-5200)),"")))))</f>
        <v/>
      </c>
      <c r="F948" s="24" t="str">
        <f>IF($Z948="","",IF($Z948&lt;=2000,IF(INDEX(包装物料出入库明细!$E$4:$E$2003,$Z948-0)=0,"",INDEX(包装物料出入库明细!$E$4:$E$2003,$Z948-0)),IF($Z948&lt;=4000,IF(INDEX(周转筐出入库明细!$D$4:$D$2004,$Z948-2000)=0,"",INDEX(周转筐出入库明细!$D$4:$D$2004,$Z948-2000)),IF($Z948&lt;=5200,IF(INDEX(客户自备加工筐明细!$C$4:$C$1203,$Z948-4000)=0,"",INDEX(客户自备加工筐明细!$C$4:$C$1203,$Z948-4000)),IF($Z948&lt;=5800,IF(INDEX(次果筐明细!$D$4:$D$603,$Z948-5200)=0,"",INDEX(次果筐明细!$D$4:$D$603,$Z948-5200)),"")))))</f>
        <v/>
      </c>
      <c r="G948" s="24" t="str">
        <f>IF($Z948="","",IF($Z948&lt;=2000,IF(INDEX(包装物料出入库明细!$F$4:$F$2003,$Z948-0)=0,"",INDEX(包装物料出入库明细!$F$4:$F$2003,$Z948-0)),IF($Z948&lt;=4000,"",IF($Z948&lt;=5200,"",IF($Z948&lt;=5800,"","")))))</f>
        <v/>
      </c>
      <c r="H948" s="39" t="str">
        <f>IF($Z948="","",IF($Z948&lt;=2000,IF(INDEX(包装物料出入库明细!$L$4:$L$2003,$Z948-0)=0,"",INDEX(包装物料出入库明细!$L$4:$L$2003,$Z948-0)),IF($Z948&lt;=4000,N(INDEX(周转筐出入库明细!$H$4:$H$2004,$Z948-2000))+N(INDEX(周转筐出入库明细!$I$4:$I$2004,$Z948-2000))+N(INDEX(周转筐出入库明细!$J$4:$J$2004,$Z948-2000))+N(INDEX(周转筐出入库明细!$K$4:$K$2004,$Z948-2000)),IF($Z948&lt;=5200,N(INDEX(客户自备加工筐明细!$F$4:$F$1203,$Z948-4000))+N(INDEX(客户自备加工筐明细!$G$4:$G$1203,$Z948-4000)),IF($Z948&lt;=5800,IF(INDEX(次果筐明细!$G$4:$G$603,$Z948-5200)=0,"",INDEX(次果筐明细!$G$4:$G$603,$Z948-5200)),"")))))</f>
        <v/>
      </c>
      <c r="I948" s="24" t="str">
        <f>IF($Z948="","",IF($Z948&lt;=2000,IF(INDEX(包装物料出入库明细!$G$4:$G$2003,$Z948-0)=0,"",INDEX(包装物料出入库明细!$G$4:$G$2003,$Z948-0)),IF($Z948&lt;=4000,"个",IF($Z948&lt;=5200,"个",IF($Z948&lt;=5800,"个","")))))</f>
        <v/>
      </c>
      <c r="J948" s="30" t="str">
        <f t="shared" si="43"/>
        <v/>
      </c>
      <c r="K948" s="30" t="str">
        <f>IF($Z948="","",IF($Z948&lt;=2000,IF(INDEX(包装物料出入库明细!$N$4:$N$2003,$Z948-0)=0,"",INDEX(包装物料出入库明细!$N$4:$N$2003,$Z948-0)),IF($Z948&lt;=4000,IF(INDEX(周转筐出入库明细!$P$4:$P$2004,$Z948-2000)=0,"",INDEX(周转筐出入库明细!$P$4:$P$2004,$Z948-2000)),IF($Z948&lt;=5200,"",IF($Z948&lt;=5800,N(INDEX(次果筐明细!$L$4:$L$603,$Z948-5200))+N(INDEX(次果筐明细!$J$4:$J$603,$Z948-5200)),"")))))</f>
        <v/>
      </c>
      <c r="L948" s="24" t="str">
        <f>IF($Z948="","",IF($Z948&lt;=2000,IF(INDEX(包装物料出入库明细!$P$4:$P$2003,$Z948-0)=0,"",INDEX(包装物料出入库明细!$P$4:$P$2003,$Z948-0)),IF($Z948&lt;=4000,IF(INDEX(周转筐出入库明细!$Q$4:$Q$2004,$Z948-2000)=0,"",INDEX(周转筐出入库明细!$Q$4:$Q$2004,$Z948-2000)),IF($Z948&lt;=5200,"",IF($Z948&lt;=5800,IF(INDEX(次果筐明细!$M$4:$M$603,$Z948-5200)=0,"",INDEX(次果筐明细!$M$4:$M$603,$Z948-5200)),"")))))</f>
        <v/>
      </c>
      <c r="M948" s="37" t="str">
        <f>IF($Z948="","",IF($Z948&lt;=2000,IF(INDEX(包装物料出入库明细!$R$4:$R$2003,$Z948-0)=0,"",INDEX(包装物料出入库明细!$R$4:$R$2003,$Z948-0)),IF($Z948&lt;=4000,IF(INDEX(周转筐出入库明细!$W$4:$W$2004,$Z948-2000)=0,"",INDEX(周转筐出入库明细!$W$4:$W$2004,$Z948-2000)),IF($Z948&lt;=5200,IF(INDEX(客户自备加工筐明细!$L$4:$L$1203,$Z948-4000)=0,"",INDEX(客户自备加工筐明细!$L$4:$L$1203,$Z948-4000)),IF($Z948&lt;=5800,IF(INDEX(次果筐明细!$P$4:$P$603,$Z948-5200)=0,"",INDEX(次果筐明细!$P$4:$P$603,$Z948-5200)),"")))))</f>
        <v/>
      </c>
      <c r="N948" s="16" t="str">
        <f>IF($Z948="","",IF($Z948&lt;=2000,"",IF($Z948&lt;=4000,IF(INDEX(周转筐出入库明细!$D$4:$D$2004,$Z948-2000)=0,"",INDEX(周转筐出入库明细!$D$4:$D$2004,$Z948-2000)),IF($Z948&lt;=5200,IF(INDEX(客户自备加工筐明细!$C$4:$C$1203,$Z948-4000)=0,"",INDEX(客户自备加工筐明细!$C$4:$C$1203,$Z948-4000)),IF($Z948&lt;=5800,IF(INDEX(次果筐明细!$D$4:$D$603,$Z948-5200)=0,"",INDEX(次果筐明细!$D$4:$D$603,$Z948-5200)),"")))))</f>
        <v/>
      </c>
      <c r="O948" s="40" t="str">
        <f>IF($Z948="","",IF($Z948&lt;=2000,"",IF($Z948&lt;=4000,IF(N(INDEX(周转筐出入库明细!$J$4:$J$2004,$Z948-2000))+N(INDEX(周转筐出入库明细!$K$4:$K$2004,$Z948-2000))=0,"",N(INDEX(周转筐出入库明细!$J$4:$J$2004,$Z948-2000))+N(INDEX(周转筐出入库明细!$K$4:$K$2004,$Z948-2000))),IF($Z948&lt;=5200,IF(N(INDEX(客户自备加工筐明细!$G$4:$G$1203,$Z948-4000))=0,"",N(INDEX(客户自备加工筐明细!$G$4:$G$1203,$Z948-4000))),IF($Z948&lt;=5800,IF(ISNUMBER(SEARCH("退",INDEX(次果筐明细!$F$4:$F$603,$Z948-5200)&amp;"")),"",IF(N(INDEX(次果筐明细!$G$4:$G$603,$Z948-5200))=0,"",N(INDEX(次果筐明细!$G$4:$G$603,$Z948-5200)))),"")))))</f>
        <v/>
      </c>
      <c r="P948" s="40" t="str">
        <f>IF($Z948="","",IF($Z948&lt;=2000,"",IF($Z948&lt;=4000,IF(N(INDEX(周转筐出入库明细!$I$4:$I$2004,$Z948-2000))=0,"",N(INDEX(周转筐出入库明细!$I$4:$I$2004,$Z948-2000))),IF($Z948&lt;=5200,"",IF($Z948&lt;=5800,IF(ISNUMBER(SEARCH("退",INDEX(次果筐明细!$F$4:$F$603,$Z948-5200)&amp;"")),IF(N(INDEX(次果筐明细!$G$4:$G$603,$Z948-5200))=0,"",N(INDEX(次果筐明细!$G$4:$G$603,$Z948-5200))),""),"")))))</f>
        <v/>
      </c>
      <c r="Q948" s="40" t="str">
        <f>IF($Z948="","",IF($Z948&lt;=2000,"",IF($Z948&lt;=4000,IF(N(INDEX(周转筐出入库明细!$H$4:$H$2004,$Z948-2000))=0,"",N(INDEX(周转筐出入库明细!$H$4:$H$2004,$Z948-2000))),IF($Z948&lt;=5200,IF(N(INDEX(客户自备加工筐明细!$F$4:$F$1203,$Z948-4000))=0,"",N(INDEX(客户自备加工筐明细!$F$4:$F$1203,$Z948-4000))),IF($Z948&lt;=5800,"","")))))</f>
        <v/>
      </c>
      <c r="R948" s="16" t="str">
        <f>IF($Z948="","",IF($Z948&lt;=2000,IF(INDEX(包装物料出入库明细!$O$4:$O$2003,$Z948-0)=0,"",INDEX(包装物料出入库明细!$O$4:$O$2003,$Z948-0)),IF($Z948&lt;=4000,IF(INDEX(周转筐出入库明细!$M$4:$M$2004,$Z948-2000)=0,"",INDEX(周转筐出入库明细!$M$4:$M$2004,$Z948-2000)),IF($Z948&lt;=5200,IF(INDEX(客户自备加工筐明细!$H$4:$H$1203,$Z948-4000)=0,"",INDEX(客户自备加工筐明细!$H$4:$H$1203,$Z948-4000)),IF($Z948&lt;=5800,IF(INDEX(次果筐明细!$H$4:$H$603,$Z948-5200)=0,"",INDEX(次果筐明细!$H$4:$H$603,$Z948-5200)),"")))))</f>
        <v/>
      </c>
      <c r="S948" s="22" t="str">
        <f t="shared" si="44"/>
        <v/>
      </c>
      <c r="Z948" s="10" t="str">
        <f>IFERROR(MATCH(ROW()-3,_自动清单!$CQ$4:$CQ$5803,0),"")</f>
        <v/>
      </c>
    </row>
    <row r="949" spans="1:26">
      <c r="A949" s="24" t="str">
        <f t="shared" si="42"/>
        <v/>
      </c>
      <c r="B949" s="38" t="str">
        <f>IF($Z949="","",IF($Z949&lt;=2000,IF(INDEX(包装物料出入库明细!$B$4:$B$2003,$Z949-0)=0,"",INDEX(包装物料出入库明细!$B$4:$B$2003,$Z949-0)),IF($Z949&lt;=4000,IF(INDEX(周转筐出入库明细!$B$4:$B$2004,$Z949-2000)=0,"",INDEX(周转筐出入库明细!$B$4:$B$2004,$Z949-2000)),IF($Z949&lt;=5200,IF(INDEX(客户自备加工筐明细!$B$4:$B$1203,$Z949-4000)=0,"",INDEX(客户自备加工筐明细!$B$4:$B$1203,$Z949-4000)),IF($Z949&lt;=5800,IF(INDEX(次果筐明细!$B$4:$B$603,$Z949-5200)=0,"",INDEX(次果筐明细!$B$4:$B$603,$Z949-5200)),"")))))</f>
        <v/>
      </c>
      <c r="C949" s="37" t="str">
        <f>IF($Z949="","",IF($Z949&lt;=2000,IF(INDEX(包装物料出入库明细!$D$4:$D$2003,$Z949-0)=0,"",INDEX(包装物料出入库明细!$D$4:$D$2003,$Z949-0)),IF($Z949&lt;=4000,IF(INDEX(周转筐出入库明细!$C$4:$C$2004,$Z949-2000)=0,"",INDEX(周转筐出入库明细!$C$4:$C$2004,$Z949-2000)),IF($Z949&lt;=5200,IF(INDEX(客户自备加工筐明细!$E$4:$E$1203,$Z949-4000)=0,"",INDEX(客户自备加工筐明细!$E$4:$E$1203,$Z949-4000)),IF($Z949&lt;=5800,IF(INDEX(次果筐明细!$C$4:$C$603,$Z949-5200)=0,"",INDEX(次果筐明细!$C$4:$C$603,$Z949-5200)),"")))))</f>
        <v/>
      </c>
      <c r="D949" s="37" t="str">
        <f>IF($Z949="","",IF($Z949&lt;=2000,"包装物料－"&amp;INDEX(包装物料出入库明细!$H$4:$H$2003,$Z949-0),IF($Z949&lt;=4000,"周转筐－"&amp;INDEX(周转筐出入库明细!$F$4:$F$2004,$Z949-2000),IF($Z949&lt;=5200,"客户自备筐－"&amp;INDEX(客户自备加工筐明细!$J$4:$J$1203,$Z949-4000),IF($Z949&lt;=5800,"次果筐/托盘－"&amp;INDEX(次果筐明细!$F$4:$F$603,$Z949-5200),"")))))</f>
        <v/>
      </c>
      <c r="E949" s="24" t="str">
        <f>IF($Z949="","",IF($Z949&lt;=2000,IF(INDEX(包装物料出入库明细!$C$4:$C$2003,$Z949-0)=0,"",INDEX(包装物料出入库明细!$C$4:$C$2003,$Z949-0)),IF($Z949&lt;=4000,IF(INDEX(周转筐出入库明细!$E$4:$E$2004,$Z949-2000)=0,"",INDEX(周转筐出入库明细!$E$4:$E$2004,$Z949-2000)),IF($Z949&lt;=5200,IF(INDEX(客户自备加工筐明细!$D$4:$D$1203,$Z949-4000)=0,"",INDEX(客户自备加工筐明细!$D$4:$D$1203,$Z949-4000)),IF($Z949&lt;=5800,IF(INDEX(次果筐明细!$E$4:$E$603,$Z949-5200)=0,"",INDEX(次果筐明细!$E$4:$E$603,$Z949-5200)),"")))))</f>
        <v/>
      </c>
      <c r="F949" s="24" t="str">
        <f>IF($Z949="","",IF($Z949&lt;=2000,IF(INDEX(包装物料出入库明细!$E$4:$E$2003,$Z949-0)=0,"",INDEX(包装物料出入库明细!$E$4:$E$2003,$Z949-0)),IF($Z949&lt;=4000,IF(INDEX(周转筐出入库明细!$D$4:$D$2004,$Z949-2000)=0,"",INDEX(周转筐出入库明细!$D$4:$D$2004,$Z949-2000)),IF($Z949&lt;=5200,IF(INDEX(客户自备加工筐明细!$C$4:$C$1203,$Z949-4000)=0,"",INDEX(客户自备加工筐明细!$C$4:$C$1203,$Z949-4000)),IF($Z949&lt;=5800,IF(INDEX(次果筐明细!$D$4:$D$603,$Z949-5200)=0,"",INDEX(次果筐明细!$D$4:$D$603,$Z949-5200)),"")))))</f>
        <v/>
      </c>
      <c r="G949" s="24" t="str">
        <f>IF($Z949="","",IF($Z949&lt;=2000,IF(INDEX(包装物料出入库明细!$F$4:$F$2003,$Z949-0)=0,"",INDEX(包装物料出入库明细!$F$4:$F$2003,$Z949-0)),IF($Z949&lt;=4000,"",IF($Z949&lt;=5200,"",IF($Z949&lt;=5800,"","")))))</f>
        <v/>
      </c>
      <c r="H949" s="39" t="str">
        <f>IF($Z949="","",IF($Z949&lt;=2000,IF(INDEX(包装物料出入库明细!$L$4:$L$2003,$Z949-0)=0,"",INDEX(包装物料出入库明细!$L$4:$L$2003,$Z949-0)),IF($Z949&lt;=4000,N(INDEX(周转筐出入库明细!$H$4:$H$2004,$Z949-2000))+N(INDEX(周转筐出入库明细!$I$4:$I$2004,$Z949-2000))+N(INDEX(周转筐出入库明细!$J$4:$J$2004,$Z949-2000))+N(INDEX(周转筐出入库明细!$K$4:$K$2004,$Z949-2000)),IF($Z949&lt;=5200,N(INDEX(客户自备加工筐明细!$F$4:$F$1203,$Z949-4000))+N(INDEX(客户自备加工筐明细!$G$4:$G$1203,$Z949-4000)),IF($Z949&lt;=5800,IF(INDEX(次果筐明细!$G$4:$G$603,$Z949-5200)=0,"",INDEX(次果筐明细!$G$4:$G$603,$Z949-5200)),"")))))</f>
        <v/>
      </c>
      <c r="I949" s="24" t="str">
        <f>IF($Z949="","",IF($Z949&lt;=2000,IF(INDEX(包装物料出入库明细!$G$4:$G$2003,$Z949-0)=0,"",INDEX(包装物料出入库明细!$G$4:$G$2003,$Z949-0)),IF($Z949&lt;=4000,"个",IF($Z949&lt;=5200,"个",IF($Z949&lt;=5800,"个","")))))</f>
        <v/>
      </c>
      <c r="J949" s="30" t="str">
        <f t="shared" si="43"/>
        <v/>
      </c>
      <c r="K949" s="30" t="str">
        <f>IF($Z949="","",IF($Z949&lt;=2000,IF(INDEX(包装物料出入库明细!$N$4:$N$2003,$Z949-0)=0,"",INDEX(包装物料出入库明细!$N$4:$N$2003,$Z949-0)),IF($Z949&lt;=4000,IF(INDEX(周转筐出入库明细!$P$4:$P$2004,$Z949-2000)=0,"",INDEX(周转筐出入库明细!$P$4:$P$2004,$Z949-2000)),IF($Z949&lt;=5200,"",IF($Z949&lt;=5800,N(INDEX(次果筐明细!$L$4:$L$603,$Z949-5200))+N(INDEX(次果筐明细!$J$4:$J$603,$Z949-5200)),"")))))</f>
        <v/>
      </c>
      <c r="L949" s="24" t="str">
        <f>IF($Z949="","",IF($Z949&lt;=2000,IF(INDEX(包装物料出入库明细!$P$4:$P$2003,$Z949-0)=0,"",INDEX(包装物料出入库明细!$P$4:$P$2003,$Z949-0)),IF($Z949&lt;=4000,IF(INDEX(周转筐出入库明细!$Q$4:$Q$2004,$Z949-2000)=0,"",INDEX(周转筐出入库明细!$Q$4:$Q$2004,$Z949-2000)),IF($Z949&lt;=5200,"",IF($Z949&lt;=5800,IF(INDEX(次果筐明细!$M$4:$M$603,$Z949-5200)=0,"",INDEX(次果筐明细!$M$4:$M$603,$Z949-5200)),"")))))</f>
        <v/>
      </c>
      <c r="M949" s="37" t="str">
        <f>IF($Z949="","",IF($Z949&lt;=2000,IF(INDEX(包装物料出入库明细!$R$4:$R$2003,$Z949-0)=0,"",INDEX(包装物料出入库明细!$R$4:$R$2003,$Z949-0)),IF($Z949&lt;=4000,IF(INDEX(周转筐出入库明细!$W$4:$W$2004,$Z949-2000)=0,"",INDEX(周转筐出入库明细!$W$4:$W$2004,$Z949-2000)),IF($Z949&lt;=5200,IF(INDEX(客户自备加工筐明细!$L$4:$L$1203,$Z949-4000)=0,"",INDEX(客户自备加工筐明细!$L$4:$L$1203,$Z949-4000)),IF($Z949&lt;=5800,IF(INDEX(次果筐明细!$P$4:$P$603,$Z949-5200)=0,"",INDEX(次果筐明细!$P$4:$P$603,$Z949-5200)),"")))))</f>
        <v/>
      </c>
      <c r="N949" s="16" t="str">
        <f>IF($Z949="","",IF($Z949&lt;=2000,"",IF($Z949&lt;=4000,IF(INDEX(周转筐出入库明细!$D$4:$D$2004,$Z949-2000)=0,"",INDEX(周转筐出入库明细!$D$4:$D$2004,$Z949-2000)),IF($Z949&lt;=5200,IF(INDEX(客户自备加工筐明细!$C$4:$C$1203,$Z949-4000)=0,"",INDEX(客户自备加工筐明细!$C$4:$C$1203,$Z949-4000)),IF($Z949&lt;=5800,IF(INDEX(次果筐明细!$D$4:$D$603,$Z949-5200)=0,"",INDEX(次果筐明细!$D$4:$D$603,$Z949-5200)),"")))))</f>
        <v/>
      </c>
      <c r="O949" s="40" t="str">
        <f>IF($Z949="","",IF($Z949&lt;=2000,"",IF($Z949&lt;=4000,IF(N(INDEX(周转筐出入库明细!$J$4:$J$2004,$Z949-2000))+N(INDEX(周转筐出入库明细!$K$4:$K$2004,$Z949-2000))=0,"",N(INDEX(周转筐出入库明细!$J$4:$J$2004,$Z949-2000))+N(INDEX(周转筐出入库明细!$K$4:$K$2004,$Z949-2000))),IF($Z949&lt;=5200,IF(N(INDEX(客户自备加工筐明细!$G$4:$G$1203,$Z949-4000))=0,"",N(INDEX(客户自备加工筐明细!$G$4:$G$1203,$Z949-4000))),IF($Z949&lt;=5800,IF(ISNUMBER(SEARCH("退",INDEX(次果筐明细!$F$4:$F$603,$Z949-5200)&amp;"")),"",IF(N(INDEX(次果筐明细!$G$4:$G$603,$Z949-5200))=0,"",N(INDEX(次果筐明细!$G$4:$G$603,$Z949-5200)))),"")))))</f>
        <v/>
      </c>
      <c r="P949" s="40" t="str">
        <f>IF($Z949="","",IF($Z949&lt;=2000,"",IF($Z949&lt;=4000,IF(N(INDEX(周转筐出入库明细!$I$4:$I$2004,$Z949-2000))=0,"",N(INDEX(周转筐出入库明细!$I$4:$I$2004,$Z949-2000))),IF($Z949&lt;=5200,"",IF($Z949&lt;=5800,IF(ISNUMBER(SEARCH("退",INDEX(次果筐明细!$F$4:$F$603,$Z949-5200)&amp;"")),IF(N(INDEX(次果筐明细!$G$4:$G$603,$Z949-5200))=0,"",N(INDEX(次果筐明细!$G$4:$G$603,$Z949-5200))),""),"")))))</f>
        <v/>
      </c>
      <c r="Q949" s="40" t="str">
        <f>IF($Z949="","",IF($Z949&lt;=2000,"",IF($Z949&lt;=4000,IF(N(INDEX(周转筐出入库明细!$H$4:$H$2004,$Z949-2000))=0,"",N(INDEX(周转筐出入库明细!$H$4:$H$2004,$Z949-2000))),IF($Z949&lt;=5200,IF(N(INDEX(客户自备加工筐明细!$F$4:$F$1203,$Z949-4000))=0,"",N(INDEX(客户自备加工筐明细!$F$4:$F$1203,$Z949-4000))),IF($Z949&lt;=5800,"","")))))</f>
        <v/>
      </c>
      <c r="R949" s="16" t="str">
        <f>IF($Z949="","",IF($Z949&lt;=2000,IF(INDEX(包装物料出入库明细!$O$4:$O$2003,$Z949-0)=0,"",INDEX(包装物料出入库明细!$O$4:$O$2003,$Z949-0)),IF($Z949&lt;=4000,IF(INDEX(周转筐出入库明细!$M$4:$M$2004,$Z949-2000)=0,"",INDEX(周转筐出入库明细!$M$4:$M$2004,$Z949-2000)),IF($Z949&lt;=5200,IF(INDEX(客户自备加工筐明细!$H$4:$H$1203,$Z949-4000)=0,"",INDEX(客户自备加工筐明细!$H$4:$H$1203,$Z949-4000)),IF($Z949&lt;=5800,IF(INDEX(次果筐明细!$H$4:$H$603,$Z949-5200)=0,"",INDEX(次果筐明细!$H$4:$H$603,$Z949-5200)),"")))))</f>
        <v/>
      </c>
      <c r="S949" s="22" t="str">
        <f t="shared" si="44"/>
        <v/>
      </c>
      <c r="Z949" s="10" t="str">
        <f>IFERROR(MATCH(ROW()-3,_自动清单!$CQ$4:$CQ$5803,0),"")</f>
        <v/>
      </c>
    </row>
    <row r="950" spans="1:26">
      <c r="A950" s="24" t="str">
        <f t="shared" si="42"/>
        <v/>
      </c>
      <c r="B950" s="38" t="str">
        <f>IF($Z950="","",IF($Z950&lt;=2000,IF(INDEX(包装物料出入库明细!$B$4:$B$2003,$Z950-0)=0,"",INDEX(包装物料出入库明细!$B$4:$B$2003,$Z950-0)),IF($Z950&lt;=4000,IF(INDEX(周转筐出入库明细!$B$4:$B$2004,$Z950-2000)=0,"",INDEX(周转筐出入库明细!$B$4:$B$2004,$Z950-2000)),IF($Z950&lt;=5200,IF(INDEX(客户自备加工筐明细!$B$4:$B$1203,$Z950-4000)=0,"",INDEX(客户自备加工筐明细!$B$4:$B$1203,$Z950-4000)),IF($Z950&lt;=5800,IF(INDEX(次果筐明细!$B$4:$B$603,$Z950-5200)=0,"",INDEX(次果筐明细!$B$4:$B$603,$Z950-5200)),"")))))</f>
        <v/>
      </c>
      <c r="C950" s="37" t="str">
        <f>IF($Z950="","",IF($Z950&lt;=2000,IF(INDEX(包装物料出入库明细!$D$4:$D$2003,$Z950-0)=0,"",INDEX(包装物料出入库明细!$D$4:$D$2003,$Z950-0)),IF($Z950&lt;=4000,IF(INDEX(周转筐出入库明细!$C$4:$C$2004,$Z950-2000)=0,"",INDEX(周转筐出入库明细!$C$4:$C$2004,$Z950-2000)),IF($Z950&lt;=5200,IF(INDEX(客户自备加工筐明细!$E$4:$E$1203,$Z950-4000)=0,"",INDEX(客户自备加工筐明细!$E$4:$E$1203,$Z950-4000)),IF($Z950&lt;=5800,IF(INDEX(次果筐明细!$C$4:$C$603,$Z950-5200)=0,"",INDEX(次果筐明细!$C$4:$C$603,$Z950-5200)),"")))))</f>
        <v/>
      </c>
      <c r="D950" s="37" t="str">
        <f>IF($Z950="","",IF($Z950&lt;=2000,"包装物料－"&amp;INDEX(包装物料出入库明细!$H$4:$H$2003,$Z950-0),IF($Z950&lt;=4000,"周转筐－"&amp;INDEX(周转筐出入库明细!$F$4:$F$2004,$Z950-2000),IF($Z950&lt;=5200,"客户自备筐－"&amp;INDEX(客户自备加工筐明细!$J$4:$J$1203,$Z950-4000),IF($Z950&lt;=5800,"次果筐/托盘－"&amp;INDEX(次果筐明细!$F$4:$F$603,$Z950-5200),"")))))</f>
        <v/>
      </c>
      <c r="E950" s="24" t="str">
        <f>IF($Z950="","",IF($Z950&lt;=2000,IF(INDEX(包装物料出入库明细!$C$4:$C$2003,$Z950-0)=0,"",INDEX(包装物料出入库明细!$C$4:$C$2003,$Z950-0)),IF($Z950&lt;=4000,IF(INDEX(周转筐出入库明细!$E$4:$E$2004,$Z950-2000)=0,"",INDEX(周转筐出入库明细!$E$4:$E$2004,$Z950-2000)),IF($Z950&lt;=5200,IF(INDEX(客户自备加工筐明细!$D$4:$D$1203,$Z950-4000)=0,"",INDEX(客户自备加工筐明细!$D$4:$D$1203,$Z950-4000)),IF($Z950&lt;=5800,IF(INDEX(次果筐明细!$E$4:$E$603,$Z950-5200)=0,"",INDEX(次果筐明细!$E$4:$E$603,$Z950-5200)),"")))))</f>
        <v/>
      </c>
      <c r="F950" s="24" t="str">
        <f>IF($Z950="","",IF($Z950&lt;=2000,IF(INDEX(包装物料出入库明细!$E$4:$E$2003,$Z950-0)=0,"",INDEX(包装物料出入库明细!$E$4:$E$2003,$Z950-0)),IF($Z950&lt;=4000,IF(INDEX(周转筐出入库明细!$D$4:$D$2004,$Z950-2000)=0,"",INDEX(周转筐出入库明细!$D$4:$D$2004,$Z950-2000)),IF($Z950&lt;=5200,IF(INDEX(客户自备加工筐明细!$C$4:$C$1203,$Z950-4000)=0,"",INDEX(客户自备加工筐明细!$C$4:$C$1203,$Z950-4000)),IF($Z950&lt;=5800,IF(INDEX(次果筐明细!$D$4:$D$603,$Z950-5200)=0,"",INDEX(次果筐明细!$D$4:$D$603,$Z950-5200)),"")))))</f>
        <v/>
      </c>
      <c r="G950" s="24" t="str">
        <f>IF($Z950="","",IF($Z950&lt;=2000,IF(INDEX(包装物料出入库明细!$F$4:$F$2003,$Z950-0)=0,"",INDEX(包装物料出入库明细!$F$4:$F$2003,$Z950-0)),IF($Z950&lt;=4000,"",IF($Z950&lt;=5200,"",IF($Z950&lt;=5800,"","")))))</f>
        <v/>
      </c>
      <c r="H950" s="39" t="str">
        <f>IF($Z950="","",IF($Z950&lt;=2000,IF(INDEX(包装物料出入库明细!$L$4:$L$2003,$Z950-0)=0,"",INDEX(包装物料出入库明细!$L$4:$L$2003,$Z950-0)),IF($Z950&lt;=4000,N(INDEX(周转筐出入库明细!$H$4:$H$2004,$Z950-2000))+N(INDEX(周转筐出入库明细!$I$4:$I$2004,$Z950-2000))+N(INDEX(周转筐出入库明细!$J$4:$J$2004,$Z950-2000))+N(INDEX(周转筐出入库明细!$K$4:$K$2004,$Z950-2000)),IF($Z950&lt;=5200,N(INDEX(客户自备加工筐明细!$F$4:$F$1203,$Z950-4000))+N(INDEX(客户自备加工筐明细!$G$4:$G$1203,$Z950-4000)),IF($Z950&lt;=5800,IF(INDEX(次果筐明细!$G$4:$G$603,$Z950-5200)=0,"",INDEX(次果筐明细!$G$4:$G$603,$Z950-5200)),"")))))</f>
        <v/>
      </c>
      <c r="I950" s="24" t="str">
        <f>IF($Z950="","",IF($Z950&lt;=2000,IF(INDEX(包装物料出入库明细!$G$4:$G$2003,$Z950-0)=0,"",INDEX(包装物料出入库明细!$G$4:$G$2003,$Z950-0)),IF($Z950&lt;=4000,"个",IF($Z950&lt;=5200,"个",IF($Z950&lt;=5800,"个","")))))</f>
        <v/>
      </c>
      <c r="J950" s="30" t="str">
        <f t="shared" si="43"/>
        <v/>
      </c>
      <c r="K950" s="30" t="str">
        <f>IF($Z950="","",IF($Z950&lt;=2000,IF(INDEX(包装物料出入库明细!$N$4:$N$2003,$Z950-0)=0,"",INDEX(包装物料出入库明细!$N$4:$N$2003,$Z950-0)),IF($Z950&lt;=4000,IF(INDEX(周转筐出入库明细!$P$4:$P$2004,$Z950-2000)=0,"",INDEX(周转筐出入库明细!$P$4:$P$2004,$Z950-2000)),IF($Z950&lt;=5200,"",IF($Z950&lt;=5800,N(INDEX(次果筐明细!$L$4:$L$603,$Z950-5200))+N(INDEX(次果筐明细!$J$4:$J$603,$Z950-5200)),"")))))</f>
        <v/>
      </c>
      <c r="L950" s="24" t="str">
        <f>IF($Z950="","",IF($Z950&lt;=2000,IF(INDEX(包装物料出入库明细!$P$4:$P$2003,$Z950-0)=0,"",INDEX(包装物料出入库明细!$P$4:$P$2003,$Z950-0)),IF($Z950&lt;=4000,IF(INDEX(周转筐出入库明细!$Q$4:$Q$2004,$Z950-2000)=0,"",INDEX(周转筐出入库明细!$Q$4:$Q$2004,$Z950-2000)),IF($Z950&lt;=5200,"",IF($Z950&lt;=5800,IF(INDEX(次果筐明细!$M$4:$M$603,$Z950-5200)=0,"",INDEX(次果筐明细!$M$4:$M$603,$Z950-5200)),"")))))</f>
        <v/>
      </c>
      <c r="M950" s="37" t="str">
        <f>IF($Z950="","",IF($Z950&lt;=2000,IF(INDEX(包装物料出入库明细!$R$4:$R$2003,$Z950-0)=0,"",INDEX(包装物料出入库明细!$R$4:$R$2003,$Z950-0)),IF($Z950&lt;=4000,IF(INDEX(周转筐出入库明细!$W$4:$W$2004,$Z950-2000)=0,"",INDEX(周转筐出入库明细!$W$4:$W$2004,$Z950-2000)),IF($Z950&lt;=5200,IF(INDEX(客户自备加工筐明细!$L$4:$L$1203,$Z950-4000)=0,"",INDEX(客户自备加工筐明细!$L$4:$L$1203,$Z950-4000)),IF($Z950&lt;=5800,IF(INDEX(次果筐明细!$P$4:$P$603,$Z950-5200)=0,"",INDEX(次果筐明细!$P$4:$P$603,$Z950-5200)),"")))))</f>
        <v/>
      </c>
      <c r="N950" s="16" t="str">
        <f>IF($Z950="","",IF($Z950&lt;=2000,"",IF($Z950&lt;=4000,IF(INDEX(周转筐出入库明细!$D$4:$D$2004,$Z950-2000)=0,"",INDEX(周转筐出入库明细!$D$4:$D$2004,$Z950-2000)),IF($Z950&lt;=5200,IF(INDEX(客户自备加工筐明细!$C$4:$C$1203,$Z950-4000)=0,"",INDEX(客户自备加工筐明细!$C$4:$C$1203,$Z950-4000)),IF($Z950&lt;=5800,IF(INDEX(次果筐明细!$D$4:$D$603,$Z950-5200)=0,"",INDEX(次果筐明细!$D$4:$D$603,$Z950-5200)),"")))))</f>
        <v/>
      </c>
      <c r="O950" s="40" t="str">
        <f>IF($Z950="","",IF($Z950&lt;=2000,"",IF($Z950&lt;=4000,IF(N(INDEX(周转筐出入库明细!$J$4:$J$2004,$Z950-2000))+N(INDEX(周转筐出入库明细!$K$4:$K$2004,$Z950-2000))=0,"",N(INDEX(周转筐出入库明细!$J$4:$J$2004,$Z950-2000))+N(INDEX(周转筐出入库明细!$K$4:$K$2004,$Z950-2000))),IF($Z950&lt;=5200,IF(N(INDEX(客户自备加工筐明细!$G$4:$G$1203,$Z950-4000))=0,"",N(INDEX(客户自备加工筐明细!$G$4:$G$1203,$Z950-4000))),IF($Z950&lt;=5800,IF(ISNUMBER(SEARCH("退",INDEX(次果筐明细!$F$4:$F$603,$Z950-5200)&amp;"")),"",IF(N(INDEX(次果筐明细!$G$4:$G$603,$Z950-5200))=0,"",N(INDEX(次果筐明细!$G$4:$G$603,$Z950-5200)))),"")))))</f>
        <v/>
      </c>
      <c r="P950" s="40" t="str">
        <f>IF($Z950="","",IF($Z950&lt;=2000,"",IF($Z950&lt;=4000,IF(N(INDEX(周转筐出入库明细!$I$4:$I$2004,$Z950-2000))=0,"",N(INDEX(周转筐出入库明细!$I$4:$I$2004,$Z950-2000))),IF($Z950&lt;=5200,"",IF($Z950&lt;=5800,IF(ISNUMBER(SEARCH("退",INDEX(次果筐明细!$F$4:$F$603,$Z950-5200)&amp;"")),IF(N(INDEX(次果筐明细!$G$4:$G$603,$Z950-5200))=0,"",N(INDEX(次果筐明细!$G$4:$G$603,$Z950-5200))),""),"")))))</f>
        <v/>
      </c>
      <c r="Q950" s="40" t="str">
        <f>IF($Z950="","",IF($Z950&lt;=2000,"",IF($Z950&lt;=4000,IF(N(INDEX(周转筐出入库明细!$H$4:$H$2004,$Z950-2000))=0,"",N(INDEX(周转筐出入库明细!$H$4:$H$2004,$Z950-2000))),IF($Z950&lt;=5200,IF(N(INDEX(客户自备加工筐明细!$F$4:$F$1203,$Z950-4000))=0,"",N(INDEX(客户自备加工筐明细!$F$4:$F$1203,$Z950-4000))),IF($Z950&lt;=5800,"","")))))</f>
        <v/>
      </c>
      <c r="R950" s="16" t="str">
        <f>IF($Z950="","",IF($Z950&lt;=2000,IF(INDEX(包装物料出入库明细!$O$4:$O$2003,$Z950-0)=0,"",INDEX(包装物料出入库明细!$O$4:$O$2003,$Z950-0)),IF($Z950&lt;=4000,IF(INDEX(周转筐出入库明细!$M$4:$M$2004,$Z950-2000)=0,"",INDEX(周转筐出入库明细!$M$4:$M$2004,$Z950-2000)),IF($Z950&lt;=5200,IF(INDEX(客户自备加工筐明细!$H$4:$H$1203,$Z950-4000)=0,"",INDEX(客户自备加工筐明细!$H$4:$H$1203,$Z950-4000)),IF($Z950&lt;=5800,IF(INDEX(次果筐明细!$H$4:$H$603,$Z950-5200)=0,"",INDEX(次果筐明细!$H$4:$H$603,$Z950-5200)),"")))))</f>
        <v/>
      </c>
      <c r="S950" s="22" t="str">
        <f t="shared" si="44"/>
        <v/>
      </c>
      <c r="Z950" s="10" t="str">
        <f>IFERROR(MATCH(ROW()-3,_自动清单!$CQ$4:$CQ$5803,0),"")</f>
        <v/>
      </c>
    </row>
    <row r="951" spans="1:26">
      <c r="A951" s="24" t="str">
        <f t="shared" si="42"/>
        <v/>
      </c>
      <c r="B951" s="38" t="str">
        <f>IF($Z951="","",IF($Z951&lt;=2000,IF(INDEX(包装物料出入库明细!$B$4:$B$2003,$Z951-0)=0,"",INDEX(包装物料出入库明细!$B$4:$B$2003,$Z951-0)),IF($Z951&lt;=4000,IF(INDEX(周转筐出入库明细!$B$4:$B$2004,$Z951-2000)=0,"",INDEX(周转筐出入库明细!$B$4:$B$2004,$Z951-2000)),IF($Z951&lt;=5200,IF(INDEX(客户自备加工筐明细!$B$4:$B$1203,$Z951-4000)=0,"",INDEX(客户自备加工筐明细!$B$4:$B$1203,$Z951-4000)),IF($Z951&lt;=5800,IF(INDEX(次果筐明细!$B$4:$B$603,$Z951-5200)=0,"",INDEX(次果筐明细!$B$4:$B$603,$Z951-5200)),"")))))</f>
        <v/>
      </c>
      <c r="C951" s="37" t="str">
        <f>IF($Z951="","",IF($Z951&lt;=2000,IF(INDEX(包装物料出入库明细!$D$4:$D$2003,$Z951-0)=0,"",INDEX(包装物料出入库明细!$D$4:$D$2003,$Z951-0)),IF($Z951&lt;=4000,IF(INDEX(周转筐出入库明细!$C$4:$C$2004,$Z951-2000)=0,"",INDEX(周转筐出入库明细!$C$4:$C$2004,$Z951-2000)),IF($Z951&lt;=5200,IF(INDEX(客户自备加工筐明细!$E$4:$E$1203,$Z951-4000)=0,"",INDEX(客户自备加工筐明细!$E$4:$E$1203,$Z951-4000)),IF($Z951&lt;=5800,IF(INDEX(次果筐明细!$C$4:$C$603,$Z951-5200)=0,"",INDEX(次果筐明细!$C$4:$C$603,$Z951-5200)),"")))))</f>
        <v/>
      </c>
      <c r="D951" s="37" t="str">
        <f>IF($Z951="","",IF($Z951&lt;=2000,"包装物料－"&amp;INDEX(包装物料出入库明细!$H$4:$H$2003,$Z951-0),IF($Z951&lt;=4000,"周转筐－"&amp;INDEX(周转筐出入库明细!$F$4:$F$2004,$Z951-2000),IF($Z951&lt;=5200,"客户自备筐－"&amp;INDEX(客户自备加工筐明细!$J$4:$J$1203,$Z951-4000),IF($Z951&lt;=5800,"次果筐/托盘－"&amp;INDEX(次果筐明细!$F$4:$F$603,$Z951-5200),"")))))</f>
        <v/>
      </c>
      <c r="E951" s="24" t="str">
        <f>IF($Z951="","",IF($Z951&lt;=2000,IF(INDEX(包装物料出入库明细!$C$4:$C$2003,$Z951-0)=0,"",INDEX(包装物料出入库明细!$C$4:$C$2003,$Z951-0)),IF($Z951&lt;=4000,IF(INDEX(周转筐出入库明细!$E$4:$E$2004,$Z951-2000)=0,"",INDEX(周转筐出入库明细!$E$4:$E$2004,$Z951-2000)),IF($Z951&lt;=5200,IF(INDEX(客户自备加工筐明细!$D$4:$D$1203,$Z951-4000)=0,"",INDEX(客户自备加工筐明细!$D$4:$D$1203,$Z951-4000)),IF($Z951&lt;=5800,IF(INDEX(次果筐明细!$E$4:$E$603,$Z951-5200)=0,"",INDEX(次果筐明细!$E$4:$E$603,$Z951-5200)),"")))))</f>
        <v/>
      </c>
      <c r="F951" s="24" t="str">
        <f>IF($Z951="","",IF($Z951&lt;=2000,IF(INDEX(包装物料出入库明细!$E$4:$E$2003,$Z951-0)=0,"",INDEX(包装物料出入库明细!$E$4:$E$2003,$Z951-0)),IF($Z951&lt;=4000,IF(INDEX(周转筐出入库明细!$D$4:$D$2004,$Z951-2000)=0,"",INDEX(周转筐出入库明细!$D$4:$D$2004,$Z951-2000)),IF($Z951&lt;=5200,IF(INDEX(客户自备加工筐明细!$C$4:$C$1203,$Z951-4000)=0,"",INDEX(客户自备加工筐明细!$C$4:$C$1203,$Z951-4000)),IF($Z951&lt;=5800,IF(INDEX(次果筐明细!$D$4:$D$603,$Z951-5200)=0,"",INDEX(次果筐明细!$D$4:$D$603,$Z951-5200)),"")))))</f>
        <v/>
      </c>
      <c r="G951" s="24" t="str">
        <f>IF($Z951="","",IF($Z951&lt;=2000,IF(INDEX(包装物料出入库明细!$F$4:$F$2003,$Z951-0)=0,"",INDEX(包装物料出入库明细!$F$4:$F$2003,$Z951-0)),IF($Z951&lt;=4000,"",IF($Z951&lt;=5200,"",IF($Z951&lt;=5800,"","")))))</f>
        <v/>
      </c>
      <c r="H951" s="39" t="str">
        <f>IF($Z951="","",IF($Z951&lt;=2000,IF(INDEX(包装物料出入库明细!$L$4:$L$2003,$Z951-0)=0,"",INDEX(包装物料出入库明细!$L$4:$L$2003,$Z951-0)),IF($Z951&lt;=4000,N(INDEX(周转筐出入库明细!$H$4:$H$2004,$Z951-2000))+N(INDEX(周转筐出入库明细!$I$4:$I$2004,$Z951-2000))+N(INDEX(周转筐出入库明细!$J$4:$J$2004,$Z951-2000))+N(INDEX(周转筐出入库明细!$K$4:$K$2004,$Z951-2000)),IF($Z951&lt;=5200,N(INDEX(客户自备加工筐明细!$F$4:$F$1203,$Z951-4000))+N(INDEX(客户自备加工筐明细!$G$4:$G$1203,$Z951-4000)),IF($Z951&lt;=5800,IF(INDEX(次果筐明细!$G$4:$G$603,$Z951-5200)=0,"",INDEX(次果筐明细!$G$4:$G$603,$Z951-5200)),"")))))</f>
        <v/>
      </c>
      <c r="I951" s="24" t="str">
        <f>IF($Z951="","",IF($Z951&lt;=2000,IF(INDEX(包装物料出入库明细!$G$4:$G$2003,$Z951-0)=0,"",INDEX(包装物料出入库明细!$G$4:$G$2003,$Z951-0)),IF($Z951&lt;=4000,"个",IF($Z951&lt;=5200,"个",IF($Z951&lt;=5800,"个","")))))</f>
        <v/>
      </c>
      <c r="J951" s="30" t="str">
        <f t="shared" si="43"/>
        <v/>
      </c>
      <c r="K951" s="30" t="str">
        <f>IF($Z951="","",IF($Z951&lt;=2000,IF(INDEX(包装物料出入库明细!$N$4:$N$2003,$Z951-0)=0,"",INDEX(包装物料出入库明细!$N$4:$N$2003,$Z951-0)),IF($Z951&lt;=4000,IF(INDEX(周转筐出入库明细!$P$4:$P$2004,$Z951-2000)=0,"",INDEX(周转筐出入库明细!$P$4:$P$2004,$Z951-2000)),IF($Z951&lt;=5200,"",IF($Z951&lt;=5800,N(INDEX(次果筐明细!$L$4:$L$603,$Z951-5200))+N(INDEX(次果筐明细!$J$4:$J$603,$Z951-5200)),"")))))</f>
        <v/>
      </c>
      <c r="L951" s="24" t="str">
        <f>IF($Z951="","",IF($Z951&lt;=2000,IF(INDEX(包装物料出入库明细!$P$4:$P$2003,$Z951-0)=0,"",INDEX(包装物料出入库明细!$P$4:$P$2003,$Z951-0)),IF($Z951&lt;=4000,IF(INDEX(周转筐出入库明细!$Q$4:$Q$2004,$Z951-2000)=0,"",INDEX(周转筐出入库明细!$Q$4:$Q$2004,$Z951-2000)),IF($Z951&lt;=5200,"",IF($Z951&lt;=5800,IF(INDEX(次果筐明细!$M$4:$M$603,$Z951-5200)=0,"",INDEX(次果筐明细!$M$4:$M$603,$Z951-5200)),"")))))</f>
        <v/>
      </c>
      <c r="M951" s="37" t="str">
        <f>IF($Z951="","",IF($Z951&lt;=2000,IF(INDEX(包装物料出入库明细!$R$4:$R$2003,$Z951-0)=0,"",INDEX(包装物料出入库明细!$R$4:$R$2003,$Z951-0)),IF($Z951&lt;=4000,IF(INDEX(周转筐出入库明细!$W$4:$W$2004,$Z951-2000)=0,"",INDEX(周转筐出入库明细!$W$4:$W$2004,$Z951-2000)),IF($Z951&lt;=5200,IF(INDEX(客户自备加工筐明细!$L$4:$L$1203,$Z951-4000)=0,"",INDEX(客户自备加工筐明细!$L$4:$L$1203,$Z951-4000)),IF($Z951&lt;=5800,IF(INDEX(次果筐明细!$P$4:$P$603,$Z951-5200)=0,"",INDEX(次果筐明细!$P$4:$P$603,$Z951-5200)),"")))))</f>
        <v/>
      </c>
      <c r="N951" s="16" t="str">
        <f>IF($Z951="","",IF($Z951&lt;=2000,"",IF($Z951&lt;=4000,IF(INDEX(周转筐出入库明细!$D$4:$D$2004,$Z951-2000)=0,"",INDEX(周转筐出入库明细!$D$4:$D$2004,$Z951-2000)),IF($Z951&lt;=5200,IF(INDEX(客户自备加工筐明细!$C$4:$C$1203,$Z951-4000)=0,"",INDEX(客户自备加工筐明细!$C$4:$C$1203,$Z951-4000)),IF($Z951&lt;=5800,IF(INDEX(次果筐明细!$D$4:$D$603,$Z951-5200)=0,"",INDEX(次果筐明细!$D$4:$D$603,$Z951-5200)),"")))))</f>
        <v/>
      </c>
      <c r="O951" s="40" t="str">
        <f>IF($Z951="","",IF($Z951&lt;=2000,"",IF($Z951&lt;=4000,IF(N(INDEX(周转筐出入库明细!$J$4:$J$2004,$Z951-2000))+N(INDEX(周转筐出入库明细!$K$4:$K$2004,$Z951-2000))=0,"",N(INDEX(周转筐出入库明细!$J$4:$J$2004,$Z951-2000))+N(INDEX(周转筐出入库明细!$K$4:$K$2004,$Z951-2000))),IF($Z951&lt;=5200,IF(N(INDEX(客户自备加工筐明细!$G$4:$G$1203,$Z951-4000))=0,"",N(INDEX(客户自备加工筐明细!$G$4:$G$1203,$Z951-4000))),IF($Z951&lt;=5800,IF(ISNUMBER(SEARCH("退",INDEX(次果筐明细!$F$4:$F$603,$Z951-5200)&amp;"")),"",IF(N(INDEX(次果筐明细!$G$4:$G$603,$Z951-5200))=0,"",N(INDEX(次果筐明细!$G$4:$G$603,$Z951-5200)))),"")))))</f>
        <v/>
      </c>
      <c r="P951" s="40" t="str">
        <f>IF($Z951="","",IF($Z951&lt;=2000,"",IF($Z951&lt;=4000,IF(N(INDEX(周转筐出入库明细!$I$4:$I$2004,$Z951-2000))=0,"",N(INDEX(周转筐出入库明细!$I$4:$I$2004,$Z951-2000))),IF($Z951&lt;=5200,"",IF($Z951&lt;=5800,IF(ISNUMBER(SEARCH("退",INDEX(次果筐明细!$F$4:$F$603,$Z951-5200)&amp;"")),IF(N(INDEX(次果筐明细!$G$4:$G$603,$Z951-5200))=0,"",N(INDEX(次果筐明细!$G$4:$G$603,$Z951-5200))),""),"")))))</f>
        <v/>
      </c>
      <c r="Q951" s="40" t="str">
        <f>IF($Z951="","",IF($Z951&lt;=2000,"",IF($Z951&lt;=4000,IF(N(INDEX(周转筐出入库明细!$H$4:$H$2004,$Z951-2000))=0,"",N(INDEX(周转筐出入库明细!$H$4:$H$2004,$Z951-2000))),IF($Z951&lt;=5200,IF(N(INDEX(客户自备加工筐明细!$F$4:$F$1203,$Z951-4000))=0,"",N(INDEX(客户自备加工筐明细!$F$4:$F$1203,$Z951-4000))),IF($Z951&lt;=5800,"","")))))</f>
        <v/>
      </c>
      <c r="R951" s="16" t="str">
        <f>IF($Z951="","",IF($Z951&lt;=2000,IF(INDEX(包装物料出入库明细!$O$4:$O$2003,$Z951-0)=0,"",INDEX(包装物料出入库明细!$O$4:$O$2003,$Z951-0)),IF($Z951&lt;=4000,IF(INDEX(周转筐出入库明细!$M$4:$M$2004,$Z951-2000)=0,"",INDEX(周转筐出入库明细!$M$4:$M$2004,$Z951-2000)),IF($Z951&lt;=5200,IF(INDEX(客户自备加工筐明细!$H$4:$H$1203,$Z951-4000)=0,"",INDEX(客户自备加工筐明细!$H$4:$H$1203,$Z951-4000)),IF($Z951&lt;=5800,IF(INDEX(次果筐明细!$H$4:$H$603,$Z951-5200)=0,"",INDEX(次果筐明细!$H$4:$H$603,$Z951-5200)),"")))))</f>
        <v/>
      </c>
      <c r="S951" s="22" t="str">
        <f t="shared" si="44"/>
        <v/>
      </c>
      <c r="Z951" s="10" t="str">
        <f>IFERROR(MATCH(ROW()-3,_自动清单!$CQ$4:$CQ$5803,0),"")</f>
        <v/>
      </c>
    </row>
    <row r="952" spans="1:26">
      <c r="A952" s="24" t="str">
        <f t="shared" si="42"/>
        <v/>
      </c>
      <c r="B952" s="38" t="str">
        <f>IF($Z952="","",IF($Z952&lt;=2000,IF(INDEX(包装物料出入库明细!$B$4:$B$2003,$Z952-0)=0,"",INDEX(包装物料出入库明细!$B$4:$B$2003,$Z952-0)),IF($Z952&lt;=4000,IF(INDEX(周转筐出入库明细!$B$4:$B$2004,$Z952-2000)=0,"",INDEX(周转筐出入库明细!$B$4:$B$2004,$Z952-2000)),IF($Z952&lt;=5200,IF(INDEX(客户自备加工筐明细!$B$4:$B$1203,$Z952-4000)=0,"",INDEX(客户自备加工筐明细!$B$4:$B$1203,$Z952-4000)),IF($Z952&lt;=5800,IF(INDEX(次果筐明细!$B$4:$B$603,$Z952-5200)=0,"",INDEX(次果筐明细!$B$4:$B$603,$Z952-5200)),"")))))</f>
        <v/>
      </c>
      <c r="C952" s="37" t="str">
        <f>IF($Z952="","",IF($Z952&lt;=2000,IF(INDEX(包装物料出入库明细!$D$4:$D$2003,$Z952-0)=0,"",INDEX(包装物料出入库明细!$D$4:$D$2003,$Z952-0)),IF($Z952&lt;=4000,IF(INDEX(周转筐出入库明细!$C$4:$C$2004,$Z952-2000)=0,"",INDEX(周转筐出入库明细!$C$4:$C$2004,$Z952-2000)),IF($Z952&lt;=5200,IF(INDEX(客户自备加工筐明细!$E$4:$E$1203,$Z952-4000)=0,"",INDEX(客户自备加工筐明细!$E$4:$E$1203,$Z952-4000)),IF($Z952&lt;=5800,IF(INDEX(次果筐明细!$C$4:$C$603,$Z952-5200)=0,"",INDEX(次果筐明细!$C$4:$C$603,$Z952-5200)),"")))))</f>
        <v/>
      </c>
      <c r="D952" s="37" t="str">
        <f>IF($Z952="","",IF($Z952&lt;=2000,"包装物料－"&amp;INDEX(包装物料出入库明细!$H$4:$H$2003,$Z952-0),IF($Z952&lt;=4000,"周转筐－"&amp;INDEX(周转筐出入库明细!$F$4:$F$2004,$Z952-2000),IF($Z952&lt;=5200,"客户自备筐－"&amp;INDEX(客户自备加工筐明细!$J$4:$J$1203,$Z952-4000),IF($Z952&lt;=5800,"次果筐/托盘－"&amp;INDEX(次果筐明细!$F$4:$F$603,$Z952-5200),"")))))</f>
        <v/>
      </c>
      <c r="E952" s="24" t="str">
        <f>IF($Z952="","",IF($Z952&lt;=2000,IF(INDEX(包装物料出入库明细!$C$4:$C$2003,$Z952-0)=0,"",INDEX(包装物料出入库明细!$C$4:$C$2003,$Z952-0)),IF($Z952&lt;=4000,IF(INDEX(周转筐出入库明细!$E$4:$E$2004,$Z952-2000)=0,"",INDEX(周转筐出入库明细!$E$4:$E$2004,$Z952-2000)),IF($Z952&lt;=5200,IF(INDEX(客户自备加工筐明细!$D$4:$D$1203,$Z952-4000)=0,"",INDEX(客户自备加工筐明细!$D$4:$D$1203,$Z952-4000)),IF($Z952&lt;=5800,IF(INDEX(次果筐明细!$E$4:$E$603,$Z952-5200)=0,"",INDEX(次果筐明细!$E$4:$E$603,$Z952-5200)),"")))))</f>
        <v/>
      </c>
      <c r="F952" s="24" t="str">
        <f>IF($Z952="","",IF($Z952&lt;=2000,IF(INDEX(包装物料出入库明细!$E$4:$E$2003,$Z952-0)=0,"",INDEX(包装物料出入库明细!$E$4:$E$2003,$Z952-0)),IF($Z952&lt;=4000,IF(INDEX(周转筐出入库明细!$D$4:$D$2004,$Z952-2000)=0,"",INDEX(周转筐出入库明细!$D$4:$D$2004,$Z952-2000)),IF($Z952&lt;=5200,IF(INDEX(客户自备加工筐明细!$C$4:$C$1203,$Z952-4000)=0,"",INDEX(客户自备加工筐明细!$C$4:$C$1203,$Z952-4000)),IF($Z952&lt;=5800,IF(INDEX(次果筐明细!$D$4:$D$603,$Z952-5200)=0,"",INDEX(次果筐明细!$D$4:$D$603,$Z952-5200)),"")))))</f>
        <v/>
      </c>
      <c r="G952" s="24" t="str">
        <f>IF($Z952="","",IF($Z952&lt;=2000,IF(INDEX(包装物料出入库明细!$F$4:$F$2003,$Z952-0)=0,"",INDEX(包装物料出入库明细!$F$4:$F$2003,$Z952-0)),IF($Z952&lt;=4000,"",IF($Z952&lt;=5200,"",IF($Z952&lt;=5800,"","")))))</f>
        <v/>
      </c>
      <c r="H952" s="39" t="str">
        <f>IF($Z952="","",IF($Z952&lt;=2000,IF(INDEX(包装物料出入库明细!$L$4:$L$2003,$Z952-0)=0,"",INDEX(包装物料出入库明细!$L$4:$L$2003,$Z952-0)),IF($Z952&lt;=4000,N(INDEX(周转筐出入库明细!$H$4:$H$2004,$Z952-2000))+N(INDEX(周转筐出入库明细!$I$4:$I$2004,$Z952-2000))+N(INDEX(周转筐出入库明细!$J$4:$J$2004,$Z952-2000))+N(INDEX(周转筐出入库明细!$K$4:$K$2004,$Z952-2000)),IF($Z952&lt;=5200,N(INDEX(客户自备加工筐明细!$F$4:$F$1203,$Z952-4000))+N(INDEX(客户自备加工筐明细!$G$4:$G$1203,$Z952-4000)),IF($Z952&lt;=5800,IF(INDEX(次果筐明细!$G$4:$G$603,$Z952-5200)=0,"",INDEX(次果筐明细!$G$4:$G$603,$Z952-5200)),"")))))</f>
        <v/>
      </c>
      <c r="I952" s="24" t="str">
        <f>IF($Z952="","",IF($Z952&lt;=2000,IF(INDEX(包装物料出入库明细!$G$4:$G$2003,$Z952-0)=0,"",INDEX(包装物料出入库明细!$G$4:$G$2003,$Z952-0)),IF($Z952&lt;=4000,"个",IF($Z952&lt;=5200,"个",IF($Z952&lt;=5800,"个","")))))</f>
        <v/>
      </c>
      <c r="J952" s="30" t="str">
        <f t="shared" si="43"/>
        <v/>
      </c>
      <c r="K952" s="30" t="str">
        <f>IF($Z952="","",IF($Z952&lt;=2000,IF(INDEX(包装物料出入库明细!$N$4:$N$2003,$Z952-0)=0,"",INDEX(包装物料出入库明细!$N$4:$N$2003,$Z952-0)),IF($Z952&lt;=4000,IF(INDEX(周转筐出入库明细!$P$4:$P$2004,$Z952-2000)=0,"",INDEX(周转筐出入库明细!$P$4:$P$2004,$Z952-2000)),IF($Z952&lt;=5200,"",IF($Z952&lt;=5800,N(INDEX(次果筐明细!$L$4:$L$603,$Z952-5200))+N(INDEX(次果筐明细!$J$4:$J$603,$Z952-5200)),"")))))</f>
        <v/>
      </c>
      <c r="L952" s="24" t="str">
        <f>IF($Z952="","",IF($Z952&lt;=2000,IF(INDEX(包装物料出入库明细!$P$4:$P$2003,$Z952-0)=0,"",INDEX(包装物料出入库明细!$P$4:$P$2003,$Z952-0)),IF($Z952&lt;=4000,IF(INDEX(周转筐出入库明细!$Q$4:$Q$2004,$Z952-2000)=0,"",INDEX(周转筐出入库明细!$Q$4:$Q$2004,$Z952-2000)),IF($Z952&lt;=5200,"",IF($Z952&lt;=5800,IF(INDEX(次果筐明细!$M$4:$M$603,$Z952-5200)=0,"",INDEX(次果筐明细!$M$4:$M$603,$Z952-5200)),"")))))</f>
        <v/>
      </c>
      <c r="M952" s="37" t="str">
        <f>IF($Z952="","",IF($Z952&lt;=2000,IF(INDEX(包装物料出入库明细!$R$4:$R$2003,$Z952-0)=0,"",INDEX(包装物料出入库明细!$R$4:$R$2003,$Z952-0)),IF($Z952&lt;=4000,IF(INDEX(周转筐出入库明细!$W$4:$W$2004,$Z952-2000)=0,"",INDEX(周转筐出入库明细!$W$4:$W$2004,$Z952-2000)),IF($Z952&lt;=5200,IF(INDEX(客户自备加工筐明细!$L$4:$L$1203,$Z952-4000)=0,"",INDEX(客户自备加工筐明细!$L$4:$L$1203,$Z952-4000)),IF($Z952&lt;=5800,IF(INDEX(次果筐明细!$P$4:$P$603,$Z952-5200)=0,"",INDEX(次果筐明细!$P$4:$P$603,$Z952-5200)),"")))))</f>
        <v/>
      </c>
      <c r="N952" s="16" t="str">
        <f>IF($Z952="","",IF($Z952&lt;=2000,"",IF($Z952&lt;=4000,IF(INDEX(周转筐出入库明细!$D$4:$D$2004,$Z952-2000)=0,"",INDEX(周转筐出入库明细!$D$4:$D$2004,$Z952-2000)),IF($Z952&lt;=5200,IF(INDEX(客户自备加工筐明细!$C$4:$C$1203,$Z952-4000)=0,"",INDEX(客户自备加工筐明细!$C$4:$C$1203,$Z952-4000)),IF($Z952&lt;=5800,IF(INDEX(次果筐明细!$D$4:$D$603,$Z952-5200)=0,"",INDEX(次果筐明细!$D$4:$D$603,$Z952-5200)),"")))))</f>
        <v/>
      </c>
      <c r="O952" s="40" t="str">
        <f>IF($Z952="","",IF($Z952&lt;=2000,"",IF($Z952&lt;=4000,IF(N(INDEX(周转筐出入库明细!$J$4:$J$2004,$Z952-2000))+N(INDEX(周转筐出入库明细!$K$4:$K$2004,$Z952-2000))=0,"",N(INDEX(周转筐出入库明细!$J$4:$J$2004,$Z952-2000))+N(INDEX(周转筐出入库明细!$K$4:$K$2004,$Z952-2000))),IF($Z952&lt;=5200,IF(N(INDEX(客户自备加工筐明细!$G$4:$G$1203,$Z952-4000))=0,"",N(INDEX(客户自备加工筐明细!$G$4:$G$1203,$Z952-4000))),IF($Z952&lt;=5800,IF(ISNUMBER(SEARCH("退",INDEX(次果筐明细!$F$4:$F$603,$Z952-5200)&amp;"")),"",IF(N(INDEX(次果筐明细!$G$4:$G$603,$Z952-5200))=0,"",N(INDEX(次果筐明细!$G$4:$G$603,$Z952-5200)))),"")))))</f>
        <v/>
      </c>
      <c r="P952" s="40" t="str">
        <f>IF($Z952="","",IF($Z952&lt;=2000,"",IF($Z952&lt;=4000,IF(N(INDEX(周转筐出入库明细!$I$4:$I$2004,$Z952-2000))=0,"",N(INDEX(周转筐出入库明细!$I$4:$I$2004,$Z952-2000))),IF($Z952&lt;=5200,"",IF($Z952&lt;=5800,IF(ISNUMBER(SEARCH("退",INDEX(次果筐明细!$F$4:$F$603,$Z952-5200)&amp;"")),IF(N(INDEX(次果筐明细!$G$4:$G$603,$Z952-5200))=0,"",N(INDEX(次果筐明细!$G$4:$G$603,$Z952-5200))),""),"")))))</f>
        <v/>
      </c>
      <c r="Q952" s="40" t="str">
        <f>IF($Z952="","",IF($Z952&lt;=2000,"",IF($Z952&lt;=4000,IF(N(INDEX(周转筐出入库明细!$H$4:$H$2004,$Z952-2000))=0,"",N(INDEX(周转筐出入库明细!$H$4:$H$2004,$Z952-2000))),IF($Z952&lt;=5200,IF(N(INDEX(客户自备加工筐明细!$F$4:$F$1203,$Z952-4000))=0,"",N(INDEX(客户自备加工筐明细!$F$4:$F$1203,$Z952-4000))),IF($Z952&lt;=5800,"","")))))</f>
        <v/>
      </c>
      <c r="R952" s="16" t="str">
        <f>IF($Z952="","",IF($Z952&lt;=2000,IF(INDEX(包装物料出入库明细!$O$4:$O$2003,$Z952-0)=0,"",INDEX(包装物料出入库明细!$O$4:$O$2003,$Z952-0)),IF($Z952&lt;=4000,IF(INDEX(周转筐出入库明细!$M$4:$M$2004,$Z952-2000)=0,"",INDEX(周转筐出入库明细!$M$4:$M$2004,$Z952-2000)),IF($Z952&lt;=5200,IF(INDEX(客户自备加工筐明细!$H$4:$H$1203,$Z952-4000)=0,"",INDEX(客户自备加工筐明细!$H$4:$H$1203,$Z952-4000)),IF($Z952&lt;=5800,IF(INDEX(次果筐明细!$H$4:$H$603,$Z952-5200)=0,"",INDEX(次果筐明细!$H$4:$H$603,$Z952-5200)),"")))))</f>
        <v/>
      </c>
      <c r="S952" s="22" t="str">
        <f t="shared" si="44"/>
        <v/>
      </c>
      <c r="Z952" s="10" t="str">
        <f>IFERROR(MATCH(ROW()-3,_自动清单!$CQ$4:$CQ$5803,0),"")</f>
        <v/>
      </c>
    </row>
    <row r="953" spans="1:26">
      <c r="A953" s="24" t="str">
        <f t="shared" si="42"/>
        <v/>
      </c>
      <c r="B953" s="38" t="str">
        <f>IF($Z953="","",IF($Z953&lt;=2000,IF(INDEX(包装物料出入库明细!$B$4:$B$2003,$Z953-0)=0,"",INDEX(包装物料出入库明细!$B$4:$B$2003,$Z953-0)),IF($Z953&lt;=4000,IF(INDEX(周转筐出入库明细!$B$4:$B$2004,$Z953-2000)=0,"",INDEX(周转筐出入库明细!$B$4:$B$2004,$Z953-2000)),IF($Z953&lt;=5200,IF(INDEX(客户自备加工筐明细!$B$4:$B$1203,$Z953-4000)=0,"",INDEX(客户自备加工筐明细!$B$4:$B$1203,$Z953-4000)),IF($Z953&lt;=5800,IF(INDEX(次果筐明细!$B$4:$B$603,$Z953-5200)=0,"",INDEX(次果筐明细!$B$4:$B$603,$Z953-5200)),"")))))</f>
        <v/>
      </c>
      <c r="C953" s="37" t="str">
        <f>IF($Z953="","",IF($Z953&lt;=2000,IF(INDEX(包装物料出入库明细!$D$4:$D$2003,$Z953-0)=0,"",INDEX(包装物料出入库明细!$D$4:$D$2003,$Z953-0)),IF($Z953&lt;=4000,IF(INDEX(周转筐出入库明细!$C$4:$C$2004,$Z953-2000)=0,"",INDEX(周转筐出入库明细!$C$4:$C$2004,$Z953-2000)),IF($Z953&lt;=5200,IF(INDEX(客户自备加工筐明细!$E$4:$E$1203,$Z953-4000)=0,"",INDEX(客户自备加工筐明细!$E$4:$E$1203,$Z953-4000)),IF($Z953&lt;=5800,IF(INDEX(次果筐明细!$C$4:$C$603,$Z953-5200)=0,"",INDEX(次果筐明细!$C$4:$C$603,$Z953-5200)),"")))))</f>
        <v/>
      </c>
      <c r="D953" s="37" t="str">
        <f>IF($Z953="","",IF($Z953&lt;=2000,"包装物料－"&amp;INDEX(包装物料出入库明细!$H$4:$H$2003,$Z953-0),IF($Z953&lt;=4000,"周转筐－"&amp;INDEX(周转筐出入库明细!$F$4:$F$2004,$Z953-2000),IF($Z953&lt;=5200,"客户自备筐－"&amp;INDEX(客户自备加工筐明细!$J$4:$J$1203,$Z953-4000),IF($Z953&lt;=5800,"次果筐/托盘－"&amp;INDEX(次果筐明细!$F$4:$F$603,$Z953-5200),"")))))</f>
        <v/>
      </c>
      <c r="E953" s="24" t="str">
        <f>IF($Z953="","",IF($Z953&lt;=2000,IF(INDEX(包装物料出入库明细!$C$4:$C$2003,$Z953-0)=0,"",INDEX(包装物料出入库明细!$C$4:$C$2003,$Z953-0)),IF($Z953&lt;=4000,IF(INDEX(周转筐出入库明细!$E$4:$E$2004,$Z953-2000)=0,"",INDEX(周转筐出入库明细!$E$4:$E$2004,$Z953-2000)),IF($Z953&lt;=5200,IF(INDEX(客户自备加工筐明细!$D$4:$D$1203,$Z953-4000)=0,"",INDEX(客户自备加工筐明细!$D$4:$D$1203,$Z953-4000)),IF($Z953&lt;=5800,IF(INDEX(次果筐明细!$E$4:$E$603,$Z953-5200)=0,"",INDEX(次果筐明细!$E$4:$E$603,$Z953-5200)),"")))))</f>
        <v/>
      </c>
      <c r="F953" s="24" t="str">
        <f>IF($Z953="","",IF($Z953&lt;=2000,IF(INDEX(包装物料出入库明细!$E$4:$E$2003,$Z953-0)=0,"",INDEX(包装物料出入库明细!$E$4:$E$2003,$Z953-0)),IF($Z953&lt;=4000,IF(INDEX(周转筐出入库明细!$D$4:$D$2004,$Z953-2000)=0,"",INDEX(周转筐出入库明细!$D$4:$D$2004,$Z953-2000)),IF($Z953&lt;=5200,IF(INDEX(客户自备加工筐明细!$C$4:$C$1203,$Z953-4000)=0,"",INDEX(客户自备加工筐明细!$C$4:$C$1203,$Z953-4000)),IF($Z953&lt;=5800,IF(INDEX(次果筐明细!$D$4:$D$603,$Z953-5200)=0,"",INDEX(次果筐明细!$D$4:$D$603,$Z953-5200)),"")))))</f>
        <v/>
      </c>
      <c r="G953" s="24" t="str">
        <f>IF($Z953="","",IF($Z953&lt;=2000,IF(INDEX(包装物料出入库明细!$F$4:$F$2003,$Z953-0)=0,"",INDEX(包装物料出入库明细!$F$4:$F$2003,$Z953-0)),IF($Z953&lt;=4000,"",IF($Z953&lt;=5200,"",IF($Z953&lt;=5800,"","")))))</f>
        <v/>
      </c>
      <c r="H953" s="39" t="str">
        <f>IF($Z953="","",IF($Z953&lt;=2000,IF(INDEX(包装物料出入库明细!$L$4:$L$2003,$Z953-0)=0,"",INDEX(包装物料出入库明细!$L$4:$L$2003,$Z953-0)),IF($Z953&lt;=4000,N(INDEX(周转筐出入库明细!$H$4:$H$2004,$Z953-2000))+N(INDEX(周转筐出入库明细!$I$4:$I$2004,$Z953-2000))+N(INDEX(周转筐出入库明细!$J$4:$J$2004,$Z953-2000))+N(INDEX(周转筐出入库明细!$K$4:$K$2004,$Z953-2000)),IF($Z953&lt;=5200,N(INDEX(客户自备加工筐明细!$F$4:$F$1203,$Z953-4000))+N(INDEX(客户自备加工筐明细!$G$4:$G$1203,$Z953-4000)),IF($Z953&lt;=5800,IF(INDEX(次果筐明细!$G$4:$G$603,$Z953-5200)=0,"",INDEX(次果筐明细!$G$4:$G$603,$Z953-5200)),"")))))</f>
        <v/>
      </c>
      <c r="I953" s="24" t="str">
        <f>IF($Z953="","",IF($Z953&lt;=2000,IF(INDEX(包装物料出入库明细!$G$4:$G$2003,$Z953-0)=0,"",INDEX(包装物料出入库明细!$G$4:$G$2003,$Z953-0)),IF($Z953&lt;=4000,"个",IF($Z953&lt;=5200,"个",IF($Z953&lt;=5800,"个","")))))</f>
        <v/>
      </c>
      <c r="J953" s="30" t="str">
        <f t="shared" si="43"/>
        <v/>
      </c>
      <c r="K953" s="30" t="str">
        <f>IF($Z953="","",IF($Z953&lt;=2000,IF(INDEX(包装物料出入库明细!$N$4:$N$2003,$Z953-0)=0,"",INDEX(包装物料出入库明细!$N$4:$N$2003,$Z953-0)),IF($Z953&lt;=4000,IF(INDEX(周转筐出入库明细!$P$4:$P$2004,$Z953-2000)=0,"",INDEX(周转筐出入库明细!$P$4:$P$2004,$Z953-2000)),IF($Z953&lt;=5200,"",IF($Z953&lt;=5800,N(INDEX(次果筐明细!$L$4:$L$603,$Z953-5200))+N(INDEX(次果筐明细!$J$4:$J$603,$Z953-5200)),"")))))</f>
        <v/>
      </c>
      <c r="L953" s="24" t="str">
        <f>IF($Z953="","",IF($Z953&lt;=2000,IF(INDEX(包装物料出入库明细!$P$4:$P$2003,$Z953-0)=0,"",INDEX(包装物料出入库明细!$P$4:$P$2003,$Z953-0)),IF($Z953&lt;=4000,IF(INDEX(周转筐出入库明细!$Q$4:$Q$2004,$Z953-2000)=0,"",INDEX(周转筐出入库明细!$Q$4:$Q$2004,$Z953-2000)),IF($Z953&lt;=5200,"",IF($Z953&lt;=5800,IF(INDEX(次果筐明细!$M$4:$M$603,$Z953-5200)=0,"",INDEX(次果筐明细!$M$4:$M$603,$Z953-5200)),"")))))</f>
        <v/>
      </c>
      <c r="M953" s="37" t="str">
        <f>IF($Z953="","",IF($Z953&lt;=2000,IF(INDEX(包装物料出入库明细!$R$4:$R$2003,$Z953-0)=0,"",INDEX(包装物料出入库明细!$R$4:$R$2003,$Z953-0)),IF($Z953&lt;=4000,IF(INDEX(周转筐出入库明细!$W$4:$W$2004,$Z953-2000)=0,"",INDEX(周转筐出入库明细!$W$4:$W$2004,$Z953-2000)),IF($Z953&lt;=5200,IF(INDEX(客户自备加工筐明细!$L$4:$L$1203,$Z953-4000)=0,"",INDEX(客户自备加工筐明细!$L$4:$L$1203,$Z953-4000)),IF($Z953&lt;=5800,IF(INDEX(次果筐明细!$P$4:$P$603,$Z953-5200)=0,"",INDEX(次果筐明细!$P$4:$P$603,$Z953-5200)),"")))))</f>
        <v/>
      </c>
      <c r="N953" s="16" t="str">
        <f>IF($Z953="","",IF($Z953&lt;=2000,"",IF($Z953&lt;=4000,IF(INDEX(周转筐出入库明细!$D$4:$D$2004,$Z953-2000)=0,"",INDEX(周转筐出入库明细!$D$4:$D$2004,$Z953-2000)),IF($Z953&lt;=5200,IF(INDEX(客户自备加工筐明细!$C$4:$C$1203,$Z953-4000)=0,"",INDEX(客户自备加工筐明细!$C$4:$C$1203,$Z953-4000)),IF($Z953&lt;=5800,IF(INDEX(次果筐明细!$D$4:$D$603,$Z953-5200)=0,"",INDEX(次果筐明细!$D$4:$D$603,$Z953-5200)),"")))))</f>
        <v/>
      </c>
      <c r="O953" s="40" t="str">
        <f>IF($Z953="","",IF($Z953&lt;=2000,"",IF($Z953&lt;=4000,IF(N(INDEX(周转筐出入库明细!$J$4:$J$2004,$Z953-2000))+N(INDEX(周转筐出入库明细!$K$4:$K$2004,$Z953-2000))=0,"",N(INDEX(周转筐出入库明细!$J$4:$J$2004,$Z953-2000))+N(INDEX(周转筐出入库明细!$K$4:$K$2004,$Z953-2000))),IF($Z953&lt;=5200,IF(N(INDEX(客户自备加工筐明细!$G$4:$G$1203,$Z953-4000))=0,"",N(INDEX(客户自备加工筐明细!$G$4:$G$1203,$Z953-4000))),IF($Z953&lt;=5800,IF(ISNUMBER(SEARCH("退",INDEX(次果筐明细!$F$4:$F$603,$Z953-5200)&amp;"")),"",IF(N(INDEX(次果筐明细!$G$4:$G$603,$Z953-5200))=0,"",N(INDEX(次果筐明细!$G$4:$G$603,$Z953-5200)))),"")))))</f>
        <v/>
      </c>
      <c r="P953" s="40" t="str">
        <f>IF($Z953="","",IF($Z953&lt;=2000,"",IF($Z953&lt;=4000,IF(N(INDEX(周转筐出入库明细!$I$4:$I$2004,$Z953-2000))=0,"",N(INDEX(周转筐出入库明细!$I$4:$I$2004,$Z953-2000))),IF($Z953&lt;=5200,"",IF($Z953&lt;=5800,IF(ISNUMBER(SEARCH("退",INDEX(次果筐明细!$F$4:$F$603,$Z953-5200)&amp;"")),IF(N(INDEX(次果筐明细!$G$4:$G$603,$Z953-5200))=0,"",N(INDEX(次果筐明细!$G$4:$G$603,$Z953-5200))),""),"")))))</f>
        <v/>
      </c>
      <c r="Q953" s="40" t="str">
        <f>IF($Z953="","",IF($Z953&lt;=2000,"",IF($Z953&lt;=4000,IF(N(INDEX(周转筐出入库明细!$H$4:$H$2004,$Z953-2000))=0,"",N(INDEX(周转筐出入库明细!$H$4:$H$2004,$Z953-2000))),IF($Z953&lt;=5200,IF(N(INDEX(客户自备加工筐明细!$F$4:$F$1203,$Z953-4000))=0,"",N(INDEX(客户自备加工筐明细!$F$4:$F$1203,$Z953-4000))),IF($Z953&lt;=5800,"","")))))</f>
        <v/>
      </c>
      <c r="R953" s="16" t="str">
        <f>IF($Z953="","",IF($Z953&lt;=2000,IF(INDEX(包装物料出入库明细!$O$4:$O$2003,$Z953-0)=0,"",INDEX(包装物料出入库明细!$O$4:$O$2003,$Z953-0)),IF($Z953&lt;=4000,IF(INDEX(周转筐出入库明细!$M$4:$M$2004,$Z953-2000)=0,"",INDEX(周转筐出入库明细!$M$4:$M$2004,$Z953-2000)),IF($Z953&lt;=5200,IF(INDEX(客户自备加工筐明细!$H$4:$H$1203,$Z953-4000)=0,"",INDEX(客户自备加工筐明细!$H$4:$H$1203,$Z953-4000)),IF($Z953&lt;=5800,IF(INDEX(次果筐明细!$H$4:$H$603,$Z953-5200)=0,"",INDEX(次果筐明细!$H$4:$H$603,$Z953-5200)),"")))))</f>
        <v/>
      </c>
      <c r="S953" s="22" t="str">
        <f t="shared" si="44"/>
        <v/>
      </c>
      <c r="Z953" s="10" t="str">
        <f>IFERROR(MATCH(ROW()-3,_自动清单!$CQ$4:$CQ$5803,0),"")</f>
        <v/>
      </c>
    </row>
    <row r="954" spans="1:26">
      <c r="A954" s="24" t="str">
        <f t="shared" si="42"/>
        <v/>
      </c>
      <c r="B954" s="38" t="str">
        <f>IF($Z954="","",IF($Z954&lt;=2000,IF(INDEX(包装物料出入库明细!$B$4:$B$2003,$Z954-0)=0,"",INDEX(包装物料出入库明细!$B$4:$B$2003,$Z954-0)),IF($Z954&lt;=4000,IF(INDEX(周转筐出入库明细!$B$4:$B$2004,$Z954-2000)=0,"",INDEX(周转筐出入库明细!$B$4:$B$2004,$Z954-2000)),IF($Z954&lt;=5200,IF(INDEX(客户自备加工筐明细!$B$4:$B$1203,$Z954-4000)=0,"",INDEX(客户自备加工筐明细!$B$4:$B$1203,$Z954-4000)),IF($Z954&lt;=5800,IF(INDEX(次果筐明细!$B$4:$B$603,$Z954-5200)=0,"",INDEX(次果筐明细!$B$4:$B$603,$Z954-5200)),"")))))</f>
        <v/>
      </c>
      <c r="C954" s="37" t="str">
        <f>IF($Z954="","",IF($Z954&lt;=2000,IF(INDEX(包装物料出入库明细!$D$4:$D$2003,$Z954-0)=0,"",INDEX(包装物料出入库明细!$D$4:$D$2003,$Z954-0)),IF($Z954&lt;=4000,IF(INDEX(周转筐出入库明细!$C$4:$C$2004,$Z954-2000)=0,"",INDEX(周转筐出入库明细!$C$4:$C$2004,$Z954-2000)),IF($Z954&lt;=5200,IF(INDEX(客户自备加工筐明细!$E$4:$E$1203,$Z954-4000)=0,"",INDEX(客户自备加工筐明细!$E$4:$E$1203,$Z954-4000)),IF($Z954&lt;=5800,IF(INDEX(次果筐明细!$C$4:$C$603,$Z954-5200)=0,"",INDEX(次果筐明细!$C$4:$C$603,$Z954-5200)),"")))))</f>
        <v/>
      </c>
      <c r="D954" s="37" t="str">
        <f>IF($Z954="","",IF($Z954&lt;=2000,"包装物料－"&amp;INDEX(包装物料出入库明细!$H$4:$H$2003,$Z954-0),IF($Z954&lt;=4000,"周转筐－"&amp;INDEX(周转筐出入库明细!$F$4:$F$2004,$Z954-2000),IF($Z954&lt;=5200,"客户自备筐－"&amp;INDEX(客户自备加工筐明细!$J$4:$J$1203,$Z954-4000),IF($Z954&lt;=5800,"次果筐/托盘－"&amp;INDEX(次果筐明细!$F$4:$F$603,$Z954-5200),"")))))</f>
        <v/>
      </c>
      <c r="E954" s="24" t="str">
        <f>IF($Z954="","",IF($Z954&lt;=2000,IF(INDEX(包装物料出入库明细!$C$4:$C$2003,$Z954-0)=0,"",INDEX(包装物料出入库明细!$C$4:$C$2003,$Z954-0)),IF($Z954&lt;=4000,IF(INDEX(周转筐出入库明细!$E$4:$E$2004,$Z954-2000)=0,"",INDEX(周转筐出入库明细!$E$4:$E$2004,$Z954-2000)),IF($Z954&lt;=5200,IF(INDEX(客户自备加工筐明细!$D$4:$D$1203,$Z954-4000)=0,"",INDEX(客户自备加工筐明细!$D$4:$D$1203,$Z954-4000)),IF($Z954&lt;=5800,IF(INDEX(次果筐明细!$E$4:$E$603,$Z954-5200)=0,"",INDEX(次果筐明细!$E$4:$E$603,$Z954-5200)),"")))))</f>
        <v/>
      </c>
      <c r="F954" s="24" t="str">
        <f>IF($Z954="","",IF($Z954&lt;=2000,IF(INDEX(包装物料出入库明细!$E$4:$E$2003,$Z954-0)=0,"",INDEX(包装物料出入库明细!$E$4:$E$2003,$Z954-0)),IF($Z954&lt;=4000,IF(INDEX(周转筐出入库明细!$D$4:$D$2004,$Z954-2000)=0,"",INDEX(周转筐出入库明细!$D$4:$D$2004,$Z954-2000)),IF($Z954&lt;=5200,IF(INDEX(客户自备加工筐明细!$C$4:$C$1203,$Z954-4000)=0,"",INDEX(客户自备加工筐明细!$C$4:$C$1203,$Z954-4000)),IF($Z954&lt;=5800,IF(INDEX(次果筐明细!$D$4:$D$603,$Z954-5200)=0,"",INDEX(次果筐明细!$D$4:$D$603,$Z954-5200)),"")))))</f>
        <v/>
      </c>
      <c r="G954" s="24" t="str">
        <f>IF($Z954="","",IF($Z954&lt;=2000,IF(INDEX(包装物料出入库明细!$F$4:$F$2003,$Z954-0)=0,"",INDEX(包装物料出入库明细!$F$4:$F$2003,$Z954-0)),IF($Z954&lt;=4000,"",IF($Z954&lt;=5200,"",IF($Z954&lt;=5800,"","")))))</f>
        <v/>
      </c>
      <c r="H954" s="39" t="str">
        <f>IF($Z954="","",IF($Z954&lt;=2000,IF(INDEX(包装物料出入库明细!$L$4:$L$2003,$Z954-0)=0,"",INDEX(包装物料出入库明细!$L$4:$L$2003,$Z954-0)),IF($Z954&lt;=4000,N(INDEX(周转筐出入库明细!$H$4:$H$2004,$Z954-2000))+N(INDEX(周转筐出入库明细!$I$4:$I$2004,$Z954-2000))+N(INDEX(周转筐出入库明细!$J$4:$J$2004,$Z954-2000))+N(INDEX(周转筐出入库明细!$K$4:$K$2004,$Z954-2000)),IF($Z954&lt;=5200,N(INDEX(客户自备加工筐明细!$F$4:$F$1203,$Z954-4000))+N(INDEX(客户自备加工筐明细!$G$4:$G$1203,$Z954-4000)),IF($Z954&lt;=5800,IF(INDEX(次果筐明细!$G$4:$G$603,$Z954-5200)=0,"",INDEX(次果筐明细!$G$4:$G$603,$Z954-5200)),"")))))</f>
        <v/>
      </c>
      <c r="I954" s="24" t="str">
        <f>IF($Z954="","",IF($Z954&lt;=2000,IF(INDEX(包装物料出入库明细!$G$4:$G$2003,$Z954-0)=0,"",INDEX(包装物料出入库明细!$G$4:$G$2003,$Z954-0)),IF($Z954&lt;=4000,"个",IF($Z954&lt;=5200,"个",IF($Z954&lt;=5800,"个","")))))</f>
        <v/>
      </c>
      <c r="J954" s="30" t="str">
        <f t="shared" si="43"/>
        <v/>
      </c>
      <c r="K954" s="30" t="str">
        <f>IF($Z954="","",IF($Z954&lt;=2000,IF(INDEX(包装物料出入库明细!$N$4:$N$2003,$Z954-0)=0,"",INDEX(包装物料出入库明细!$N$4:$N$2003,$Z954-0)),IF($Z954&lt;=4000,IF(INDEX(周转筐出入库明细!$P$4:$P$2004,$Z954-2000)=0,"",INDEX(周转筐出入库明细!$P$4:$P$2004,$Z954-2000)),IF($Z954&lt;=5200,"",IF($Z954&lt;=5800,N(INDEX(次果筐明细!$L$4:$L$603,$Z954-5200))+N(INDEX(次果筐明细!$J$4:$J$603,$Z954-5200)),"")))))</f>
        <v/>
      </c>
      <c r="L954" s="24" t="str">
        <f>IF($Z954="","",IF($Z954&lt;=2000,IF(INDEX(包装物料出入库明细!$P$4:$P$2003,$Z954-0)=0,"",INDEX(包装物料出入库明细!$P$4:$P$2003,$Z954-0)),IF($Z954&lt;=4000,IF(INDEX(周转筐出入库明细!$Q$4:$Q$2004,$Z954-2000)=0,"",INDEX(周转筐出入库明细!$Q$4:$Q$2004,$Z954-2000)),IF($Z954&lt;=5200,"",IF($Z954&lt;=5800,IF(INDEX(次果筐明细!$M$4:$M$603,$Z954-5200)=0,"",INDEX(次果筐明细!$M$4:$M$603,$Z954-5200)),"")))))</f>
        <v/>
      </c>
      <c r="M954" s="37" t="str">
        <f>IF($Z954="","",IF($Z954&lt;=2000,IF(INDEX(包装物料出入库明细!$R$4:$R$2003,$Z954-0)=0,"",INDEX(包装物料出入库明细!$R$4:$R$2003,$Z954-0)),IF($Z954&lt;=4000,IF(INDEX(周转筐出入库明细!$W$4:$W$2004,$Z954-2000)=0,"",INDEX(周转筐出入库明细!$W$4:$W$2004,$Z954-2000)),IF($Z954&lt;=5200,IF(INDEX(客户自备加工筐明细!$L$4:$L$1203,$Z954-4000)=0,"",INDEX(客户自备加工筐明细!$L$4:$L$1203,$Z954-4000)),IF($Z954&lt;=5800,IF(INDEX(次果筐明细!$P$4:$P$603,$Z954-5200)=0,"",INDEX(次果筐明细!$P$4:$P$603,$Z954-5200)),"")))))</f>
        <v/>
      </c>
      <c r="N954" s="16" t="str">
        <f>IF($Z954="","",IF($Z954&lt;=2000,"",IF($Z954&lt;=4000,IF(INDEX(周转筐出入库明细!$D$4:$D$2004,$Z954-2000)=0,"",INDEX(周转筐出入库明细!$D$4:$D$2004,$Z954-2000)),IF($Z954&lt;=5200,IF(INDEX(客户自备加工筐明细!$C$4:$C$1203,$Z954-4000)=0,"",INDEX(客户自备加工筐明细!$C$4:$C$1203,$Z954-4000)),IF($Z954&lt;=5800,IF(INDEX(次果筐明细!$D$4:$D$603,$Z954-5200)=0,"",INDEX(次果筐明细!$D$4:$D$603,$Z954-5200)),"")))))</f>
        <v/>
      </c>
      <c r="O954" s="40" t="str">
        <f>IF($Z954="","",IF($Z954&lt;=2000,"",IF($Z954&lt;=4000,IF(N(INDEX(周转筐出入库明细!$J$4:$J$2004,$Z954-2000))+N(INDEX(周转筐出入库明细!$K$4:$K$2004,$Z954-2000))=0,"",N(INDEX(周转筐出入库明细!$J$4:$J$2004,$Z954-2000))+N(INDEX(周转筐出入库明细!$K$4:$K$2004,$Z954-2000))),IF($Z954&lt;=5200,IF(N(INDEX(客户自备加工筐明细!$G$4:$G$1203,$Z954-4000))=0,"",N(INDEX(客户自备加工筐明细!$G$4:$G$1203,$Z954-4000))),IF($Z954&lt;=5800,IF(ISNUMBER(SEARCH("退",INDEX(次果筐明细!$F$4:$F$603,$Z954-5200)&amp;"")),"",IF(N(INDEX(次果筐明细!$G$4:$G$603,$Z954-5200))=0,"",N(INDEX(次果筐明细!$G$4:$G$603,$Z954-5200)))),"")))))</f>
        <v/>
      </c>
      <c r="P954" s="40" t="str">
        <f>IF($Z954="","",IF($Z954&lt;=2000,"",IF($Z954&lt;=4000,IF(N(INDEX(周转筐出入库明细!$I$4:$I$2004,$Z954-2000))=0,"",N(INDEX(周转筐出入库明细!$I$4:$I$2004,$Z954-2000))),IF($Z954&lt;=5200,"",IF($Z954&lt;=5800,IF(ISNUMBER(SEARCH("退",INDEX(次果筐明细!$F$4:$F$603,$Z954-5200)&amp;"")),IF(N(INDEX(次果筐明细!$G$4:$G$603,$Z954-5200))=0,"",N(INDEX(次果筐明细!$G$4:$G$603,$Z954-5200))),""),"")))))</f>
        <v/>
      </c>
      <c r="Q954" s="40" t="str">
        <f>IF($Z954="","",IF($Z954&lt;=2000,"",IF($Z954&lt;=4000,IF(N(INDEX(周转筐出入库明细!$H$4:$H$2004,$Z954-2000))=0,"",N(INDEX(周转筐出入库明细!$H$4:$H$2004,$Z954-2000))),IF($Z954&lt;=5200,IF(N(INDEX(客户自备加工筐明细!$F$4:$F$1203,$Z954-4000))=0,"",N(INDEX(客户自备加工筐明细!$F$4:$F$1203,$Z954-4000))),IF($Z954&lt;=5800,"","")))))</f>
        <v/>
      </c>
      <c r="R954" s="16" t="str">
        <f>IF($Z954="","",IF($Z954&lt;=2000,IF(INDEX(包装物料出入库明细!$O$4:$O$2003,$Z954-0)=0,"",INDEX(包装物料出入库明细!$O$4:$O$2003,$Z954-0)),IF($Z954&lt;=4000,IF(INDEX(周转筐出入库明细!$M$4:$M$2004,$Z954-2000)=0,"",INDEX(周转筐出入库明细!$M$4:$M$2004,$Z954-2000)),IF($Z954&lt;=5200,IF(INDEX(客户自备加工筐明细!$H$4:$H$1203,$Z954-4000)=0,"",INDEX(客户自备加工筐明细!$H$4:$H$1203,$Z954-4000)),IF($Z954&lt;=5800,IF(INDEX(次果筐明细!$H$4:$H$603,$Z954-5200)=0,"",INDEX(次果筐明细!$H$4:$H$603,$Z954-5200)),"")))))</f>
        <v/>
      </c>
      <c r="S954" s="22" t="str">
        <f t="shared" si="44"/>
        <v/>
      </c>
      <c r="Z954" s="10" t="str">
        <f>IFERROR(MATCH(ROW()-3,_自动清单!$CQ$4:$CQ$5803,0),"")</f>
        <v/>
      </c>
    </row>
    <row r="955" spans="1:26">
      <c r="A955" s="24" t="str">
        <f t="shared" si="42"/>
        <v/>
      </c>
      <c r="B955" s="38" t="str">
        <f>IF($Z955="","",IF($Z955&lt;=2000,IF(INDEX(包装物料出入库明细!$B$4:$B$2003,$Z955-0)=0,"",INDEX(包装物料出入库明细!$B$4:$B$2003,$Z955-0)),IF($Z955&lt;=4000,IF(INDEX(周转筐出入库明细!$B$4:$B$2004,$Z955-2000)=0,"",INDEX(周转筐出入库明细!$B$4:$B$2004,$Z955-2000)),IF($Z955&lt;=5200,IF(INDEX(客户自备加工筐明细!$B$4:$B$1203,$Z955-4000)=0,"",INDEX(客户自备加工筐明细!$B$4:$B$1203,$Z955-4000)),IF($Z955&lt;=5800,IF(INDEX(次果筐明细!$B$4:$B$603,$Z955-5200)=0,"",INDEX(次果筐明细!$B$4:$B$603,$Z955-5200)),"")))))</f>
        <v/>
      </c>
      <c r="C955" s="37" t="str">
        <f>IF($Z955="","",IF($Z955&lt;=2000,IF(INDEX(包装物料出入库明细!$D$4:$D$2003,$Z955-0)=0,"",INDEX(包装物料出入库明细!$D$4:$D$2003,$Z955-0)),IF($Z955&lt;=4000,IF(INDEX(周转筐出入库明细!$C$4:$C$2004,$Z955-2000)=0,"",INDEX(周转筐出入库明细!$C$4:$C$2004,$Z955-2000)),IF($Z955&lt;=5200,IF(INDEX(客户自备加工筐明细!$E$4:$E$1203,$Z955-4000)=0,"",INDEX(客户自备加工筐明细!$E$4:$E$1203,$Z955-4000)),IF($Z955&lt;=5800,IF(INDEX(次果筐明细!$C$4:$C$603,$Z955-5200)=0,"",INDEX(次果筐明细!$C$4:$C$603,$Z955-5200)),"")))))</f>
        <v/>
      </c>
      <c r="D955" s="37" t="str">
        <f>IF($Z955="","",IF($Z955&lt;=2000,"包装物料－"&amp;INDEX(包装物料出入库明细!$H$4:$H$2003,$Z955-0),IF($Z955&lt;=4000,"周转筐－"&amp;INDEX(周转筐出入库明细!$F$4:$F$2004,$Z955-2000),IF($Z955&lt;=5200,"客户自备筐－"&amp;INDEX(客户自备加工筐明细!$J$4:$J$1203,$Z955-4000),IF($Z955&lt;=5800,"次果筐/托盘－"&amp;INDEX(次果筐明细!$F$4:$F$603,$Z955-5200),"")))))</f>
        <v/>
      </c>
      <c r="E955" s="24" t="str">
        <f>IF($Z955="","",IF($Z955&lt;=2000,IF(INDEX(包装物料出入库明细!$C$4:$C$2003,$Z955-0)=0,"",INDEX(包装物料出入库明细!$C$4:$C$2003,$Z955-0)),IF($Z955&lt;=4000,IF(INDEX(周转筐出入库明细!$E$4:$E$2004,$Z955-2000)=0,"",INDEX(周转筐出入库明细!$E$4:$E$2004,$Z955-2000)),IF($Z955&lt;=5200,IF(INDEX(客户自备加工筐明细!$D$4:$D$1203,$Z955-4000)=0,"",INDEX(客户自备加工筐明细!$D$4:$D$1203,$Z955-4000)),IF($Z955&lt;=5800,IF(INDEX(次果筐明细!$E$4:$E$603,$Z955-5200)=0,"",INDEX(次果筐明细!$E$4:$E$603,$Z955-5200)),"")))))</f>
        <v/>
      </c>
      <c r="F955" s="24" t="str">
        <f>IF($Z955="","",IF($Z955&lt;=2000,IF(INDEX(包装物料出入库明细!$E$4:$E$2003,$Z955-0)=0,"",INDEX(包装物料出入库明细!$E$4:$E$2003,$Z955-0)),IF($Z955&lt;=4000,IF(INDEX(周转筐出入库明细!$D$4:$D$2004,$Z955-2000)=0,"",INDEX(周转筐出入库明细!$D$4:$D$2004,$Z955-2000)),IF($Z955&lt;=5200,IF(INDEX(客户自备加工筐明细!$C$4:$C$1203,$Z955-4000)=0,"",INDEX(客户自备加工筐明细!$C$4:$C$1203,$Z955-4000)),IF($Z955&lt;=5800,IF(INDEX(次果筐明细!$D$4:$D$603,$Z955-5200)=0,"",INDEX(次果筐明细!$D$4:$D$603,$Z955-5200)),"")))))</f>
        <v/>
      </c>
      <c r="G955" s="24" t="str">
        <f>IF($Z955="","",IF($Z955&lt;=2000,IF(INDEX(包装物料出入库明细!$F$4:$F$2003,$Z955-0)=0,"",INDEX(包装物料出入库明细!$F$4:$F$2003,$Z955-0)),IF($Z955&lt;=4000,"",IF($Z955&lt;=5200,"",IF($Z955&lt;=5800,"","")))))</f>
        <v/>
      </c>
      <c r="H955" s="39" t="str">
        <f>IF($Z955="","",IF($Z955&lt;=2000,IF(INDEX(包装物料出入库明细!$L$4:$L$2003,$Z955-0)=0,"",INDEX(包装物料出入库明细!$L$4:$L$2003,$Z955-0)),IF($Z955&lt;=4000,N(INDEX(周转筐出入库明细!$H$4:$H$2004,$Z955-2000))+N(INDEX(周转筐出入库明细!$I$4:$I$2004,$Z955-2000))+N(INDEX(周转筐出入库明细!$J$4:$J$2004,$Z955-2000))+N(INDEX(周转筐出入库明细!$K$4:$K$2004,$Z955-2000)),IF($Z955&lt;=5200,N(INDEX(客户自备加工筐明细!$F$4:$F$1203,$Z955-4000))+N(INDEX(客户自备加工筐明细!$G$4:$G$1203,$Z955-4000)),IF($Z955&lt;=5800,IF(INDEX(次果筐明细!$G$4:$G$603,$Z955-5200)=0,"",INDEX(次果筐明细!$G$4:$G$603,$Z955-5200)),"")))))</f>
        <v/>
      </c>
      <c r="I955" s="24" t="str">
        <f>IF($Z955="","",IF($Z955&lt;=2000,IF(INDEX(包装物料出入库明细!$G$4:$G$2003,$Z955-0)=0,"",INDEX(包装物料出入库明细!$G$4:$G$2003,$Z955-0)),IF($Z955&lt;=4000,"个",IF($Z955&lt;=5200,"个",IF($Z955&lt;=5800,"个","")))))</f>
        <v/>
      </c>
      <c r="J955" s="30" t="str">
        <f t="shared" si="43"/>
        <v/>
      </c>
      <c r="K955" s="30" t="str">
        <f>IF($Z955="","",IF($Z955&lt;=2000,IF(INDEX(包装物料出入库明细!$N$4:$N$2003,$Z955-0)=0,"",INDEX(包装物料出入库明细!$N$4:$N$2003,$Z955-0)),IF($Z955&lt;=4000,IF(INDEX(周转筐出入库明细!$P$4:$P$2004,$Z955-2000)=0,"",INDEX(周转筐出入库明细!$P$4:$P$2004,$Z955-2000)),IF($Z955&lt;=5200,"",IF($Z955&lt;=5800,N(INDEX(次果筐明细!$L$4:$L$603,$Z955-5200))+N(INDEX(次果筐明细!$J$4:$J$603,$Z955-5200)),"")))))</f>
        <v/>
      </c>
      <c r="L955" s="24" t="str">
        <f>IF($Z955="","",IF($Z955&lt;=2000,IF(INDEX(包装物料出入库明细!$P$4:$P$2003,$Z955-0)=0,"",INDEX(包装物料出入库明细!$P$4:$P$2003,$Z955-0)),IF($Z955&lt;=4000,IF(INDEX(周转筐出入库明细!$Q$4:$Q$2004,$Z955-2000)=0,"",INDEX(周转筐出入库明细!$Q$4:$Q$2004,$Z955-2000)),IF($Z955&lt;=5200,"",IF($Z955&lt;=5800,IF(INDEX(次果筐明细!$M$4:$M$603,$Z955-5200)=0,"",INDEX(次果筐明细!$M$4:$M$603,$Z955-5200)),"")))))</f>
        <v/>
      </c>
      <c r="M955" s="37" t="str">
        <f>IF($Z955="","",IF($Z955&lt;=2000,IF(INDEX(包装物料出入库明细!$R$4:$R$2003,$Z955-0)=0,"",INDEX(包装物料出入库明细!$R$4:$R$2003,$Z955-0)),IF($Z955&lt;=4000,IF(INDEX(周转筐出入库明细!$W$4:$W$2004,$Z955-2000)=0,"",INDEX(周转筐出入库明细!$W$4:$W$2004,$Z955-2000)),IF($Z955&lt;=5200,IF(INDEX(客户自备加工筐明细!$L$4:$L$1203,$Z955-4000)=0,"",INDEX(客户自备加工筐明细!$L$4:$L$1203,$Z955-4000)),IF($Z955&lt;=5800,IF(INDEX(次果筐明细!$P$4:$P$603,$Z955-5200)=0,"",INDEX(次果筐明细!$P$4:$P$603,$Z955-5200)),"")))))</f>
        <v/>
      </c>
      <c r="N955" s="16" t="str">
        <f>IF($Z955="","",IF($Z955&lt;=2000,"",IF($Z955&lt;=4000,IF(INDEX(周转筐出入库明细!$D$4:$D$2004,$Z955-2000)=0,"",INDEX(周转筐出入库明细!$D$4:$D$2004,$Z955-2000)),IF($Z955&lt;=5200,IF(INDEX(客户自备加工筐明细!$C$4:$C$1203,$Z955-4000)=0,"",INDEX(客户自备加工筐明细!$C$4:$C$1203,$Z955-4000)),IF($Z955&lt;=5800,IF(INDEX(次果筐明细!$D$4:$D$603,$Z955-5200)=0,"",INDEX(次果筐明细!$D$4:$D$603,$Z955-5200)),"")))))</f>
        <v/>
      </c>
      <c r="O955" s="40" t="str">
        <f>IF($Z955="","",IF($Z955&lt;=2000,"",IF($Z955&lt;=4000,IF(N(INDEX(周转筐出入库明细!$J$4:$J$2004,$Z955-2000))+N(INDEX(周转筐出入库明细!$K$4:$K$2004,$Z955-2000))=0,"",N(INDEX(周转筐出入库明细!$J$4:$J$2004,$Z955-2000))+N(INDEX(周转筐出入库明细!$K$4:$K$2004,$Z955-2000))),IF($Z955&lt;=5200,IF(N(INDEX(客户自备加工筐明细!$G$4:$G$1203,$Z955-4000))=0,"",N(INDEX(客户自备加工筐明细!$G$4:$G$1203,$Z955-4000))),IF($Z955&lt;=5800,IF(ISNUMBER(SEARCH("退",INDEX(次果筐明细!$F$4:$F$603,$Z955-5200)&amp;"")),"",IF(N(INDEX(次果筐明细!$G$4:$G$603,$Z955-5200))=0,"",N(INDEX(次果筐明细!$G$4:$G$603,$Z955-5200)))),"")))))</f>
        <v/>
      </c>
      <c r="P955" s="40" t="str">
        <f>IF($Z955="","",IF($Z955&lt;=2000,"",IF($Z955&lt;=4000,IF(N(INDEX(周转筐出入库明细!$I$4:$I$2004,$Z955-2000))=0,"",N(INDEX(周转筐出入库明细!$I$4:$I$2004,$Z955-2000))),IF($Z955&lt;=5200,"",IF($Z955&lt;=5800,IF(ISNUMBER(SEARCH("退",INDEX(次果筐明细!$F$4:$F$603,$Z955-5200)&amp;"")),IF(N(INDEX(次果筐明细!$G$4:$G$603,$Z955-5200))=0,"",N(INDEX(次果筐明细!$G$4:$G$603,$Z955-5200))),""),"")))))</f>
        <v/>
      </c>
      <c r="Q955" s="40" t="str">
        <f>IF($Z955="","",IF($Z955&lt;=2000,"",IF($Z955&lt;=4000,IF(N(INDEX(周转筐出入库明细!$H$4:$H$2004,$Z955-2000))=0,"",N(INDEX(周转筐出入库明细!$H$4:$H$2004,$Z955-2000))),IF($Z955&lt;=5200,IF(N(INDEX(客户自备加工筐明细!$F$4:$F$1203,$Z955-4000))=0,"",N(INDEX(客户自备加工筐明细!$F$4:$F$1203,$Z955-4000))),IF($Z955&lt;=5800,"","")))))</f>
        <v/>
      </c>
      <c r="R955" s="16" t="str">
        <f>IF($Z955="","",IF($Z955&lt;=2000,IF(INDEX(包装物料出入库明细!$O$4:$O$2003,$Z955-0)=0,"",INDEX(包装物料出入库明细!$O$4:$O$2003,$Z955-0)),IF($Z955&lt;=4000,IF(INDEX(周转筐出入库明细!$M$4:$M$2004,$Z955-2000)=0,"",INDEX(周转筐出入库明细!$M$4:$M$2004,$Z955-2000)),IF($Z955&lt;=5200,IF(INDEX(客户自备加工筐明细!$H$4:$H$1203,$Z955-4000)=0,"",INDEX(客户自备加工筐明细!$H$4:$H$1203,$Z955-4000)),IF($Z955&lt;=5800,IF(INDEX(次果筐明细!$H$4:$H$603,$Z955-5200)=0,"",INDEX(次果筐明细!$H$4:$H$603,$Z955-5200)),"")))))</f>
        <v/>
      </c>
      <c r="S955" s="22" t="str">
        <f t="shared" si="44"/>
        <v/>
      </c>
      <c r="Z955" s="10" t="str">
        <f>IFERROR(MATCH(ROW()-3,_自动清单!$CQ$4:$CQ$5803,0),"")</f>
        <v/>
      </c>
    </row>
    <row r="956" spans="1:26">
      <c r="A956" s="24" t="str">
        <f t="shared" si="42"/>
        <v/>
      </c>
      <c r="B956" s="38" t="str">
        <f>IF($Z956="","",IF($Z956&lt;=2000,IF(INDEX(包装物料出入库明细!$B$4:$B$2003,$Z956-0)=0,"",INDEX(包装物料出入库明细!$B$4:$B$2003,$Z956-0)),IF($Z956&lt;=4000,IF(INDEX(周转筐出入库明细!$B$4:$B$2004,$Z956-2000)=0,"",INDEX(周转筐出入库明细!$B$4:$B$2004,$Z956-2000)),IF($Z956&lt;=5200,IF(INDEX(客户自备加工筐明细!$B$4:$B$1203,$Z956-4000)=0,"",INDEX(客户自备加工筐明细!$B$4:$B$1203,$Z956-4000)),IF($Z956&lt;=5800,IF(INDEX(次果筐明细!$B$4:$B$603,$Z956-5200)=0,"",INDEX(次果筐明细!$B$4:$B$603,$Z956-5200)),"")))))</f>
        <v/>
      </c>
      <c r="C956" s="37" t="str">
        <f>IF($Z956="","",IF($Z956&lt;=2000,IF(INDEX(包装物料出入库明细!$D$4:$D$2003,$Z956-0)=0,"",INDEX(包装物料出入库明细!$D$4:$D$2003,$Z956-0)),IF($Z956&lt;=4000,IF(INDEX(周转筐出入库明细!$C$4:$C$2004,$Z956-2000)=0,"",INDEX(周转筐出入库明细!$C$4:$C$2004,$Z956-2000)),IF($Z956&lt;=5200,IF(INDEX(客户自备加工筐明细!$E$4:$E$1203,$Z956-4000)=0,"",INDEX(客户自备加工筐明细!$E$4:$E$1203,$Z956-4000)),IF($Z956&lt;=5800,IF(INDEX(次果筐明细!$C$4:$C$603,$Z956-5200)=0,"",INDEX(次果筐明细!$C$4:$C$603,$Z956-5200)),"")))))</f>
        <v/>
      </c>
      <c r="D956" s="37" t="str">
        <f>IF($Z956="","",IF($Z956&lt;=2000,"包装物料－"&amp;INDEX(包装物料出入库明细!$H$4:$H$2003,$Z956-0),IF($Z956&lt;=4000,"周转筐－"&amp;INDEX(周转筐出入库明细!$F$4:$F$2004,$Z956-2000),IF($Z956&lt;=5200,"客户自备筐－"&amp;INDEX(客户自备加工筐明细!$J$4:$J$1203,$Z956-4000),IF($Z956&lt;=5800,"次果筐/托盘－"&amp;INDEX(次果筐明细!$F$4:$F$603,$Z956-5200),"")))))</f>
        <v/>
      </c>
      <c r="E956" s="24" t="str">
        <f>IF($Z956="","",IF($Z956&lt;=2000,IF(INDEX(包装物料出入库明细!$C$4:$C$2003,$Z956-0)=0,"",INDEX(包装物料出入库明细!$C$4:$C$2003,$Z956-0)),IF($Z956&lt;=4000,IF(INDEX(周转筐出入库明细!$E$4:$E$2004,$Z956-2000)=0,"",INDEX(周转筐出入库明细!$E$4:$E$2004,$Z956-2000)),IF($Z956&lt;=5200,IF(INDEX(客户自备加工筐明细!$D$4:$D$1203,$Z956-4000)=0,"",INDEX(客户自备加工筐明细!$D$4:$D$1203,$Z956-4000)),IF($Z956&lt;=5800,IF(INDEX(次果筐明细!$E$4:$E$603,$Z956-5200)=0,"",INDEX(次果筐明细!$E$4:$E$603,$Z956-5200)),"")))))</f>
        <v/>
      </c>
      <c r="F956" s="24" t="str">
        <f>IF($Z956="","",IF($Z956&lt;=2000,IF(INDEX(包装物料出入库明细!$E$4:$E$2003,$Z956-0)=0,"",INDEX(包装物料出入库明细!$E$4:$E$2003,$Z956-0)),IF($Z956&lt;=4000,IF(INDEX(周转筐出入库明细!$D$4:$D$2004,$Z956-2000)=0,"",INDEX(周转筐出入库明细!$D$4:$D$2004,$Z956-2000)),IF($Z956&lt;=5200,IF(INDEX(客户自备加工筐明细!$C$4:$C$1203,$Z956-4000)=0,"",INDEX(客户自备加工筐明细!$C$4:$C$1203,$Z956-4000)),IF($Z956&lt;=5800,IF(INDEX(次果筐明细!$D$4:$D$603,$Z956-5200)=0,"",INDEX(次果筐明细!$D$4:$D$603,$Z956-5200)),"")))))</f>
        <v/>
      </c>
      <c r="G956" s="24" t="str">
        <f>IF($Z956="","",IF($Z956&lt;=2000,IF(INDEX(包装物料出入库明细!$F$4:$F$2003,$Z956-0)=0,"",INDEX(包装物料出入库明细!$F$4:$F$2003,$Z956-0)),IF($Z956&lt;=4000,"",IF($Z956&lt;=5200,"",IF($Z956&lt;=5800,"","")))))</f>
        <v/>
      </c>
      <c r="H956" s="39" t="str">
        <f>IF($Z956="","",IF($Z956&lt;=2000,IF(INDEX(包装物料出入库明细!$L$4:$L$2003,$Z956-0)=0,"",INDEX(包装物料出入库明细!$L$4:$L$2003,$Z956-0)),IF($Z956&lt;=4000,N(INDEX(周转筐出入库明细!$H$4:$H$2004,$Z956-2000))+N(INDEX(周转筐出入库明细!$I$4:$I$2004,$Z956-2000))+N(INDEX(周转筐出入库明细!$J$4:$J$2004,$Z956-2000))+N(INDEX(周转筐出入库明细!$K$4:$K$2004,$Z956-2000)),IF($Z956&lt;=5200,N(INDEX(客户自备加工筐明细!$F$4:$F$1203,$Z956-4000))+N(INDEX(客户自备加工筐明细!$G$4:$G$1203,$Z956-4000)),IF($Z956&lt;=5800,IF(INDEX(次果筐明细!$G$4:$G$603,$Z956-5200)=0,"",INDEX(次果筐明细!$G$4:$G$603,$Z956-5200)),"")))))</f>
        <v/>
      </c>
      <c r="I956" s="24" t="str">
        <f>IF($Z956="","",IF($Z956&lt;=2000,IF(INDEX(包装物料出入库明细!$G$4:$G$2003,$Z956-0)=0,"",INDEX(包装物料出入库明细!$G$4:$G$2003,$Z956-0)),IF($Z956&lt;=4000,"个",IF($Z956&lt;=5200,"个",IF($Z956&lt;=5800,"个","")))))</f>
        <v/>
      </c>
      <c r="J956" s="30" t="str">
        <f t="shared" si="43"/>
        <v/>
      </c>
      <c r="K956" s="30" t="str">
        <f>IF($Z956="","",IF($Z956&lt;=2000,IF(INDEX(包装物料出入库明细!$N$4:$N$2003,$Z956-0)=0,"",INDEX(包装物料出入库明细!$N$4:$N$2003,$Z956-0)),IF($Z956&lt;=4000,IF(INDEX(周转筐出入库明细!$P$4:$P$2004,$Z956-2000)=0,"",INDEX(周转筐出入库明细!$P$4:$P$2004,$Z956-2000)),IF($Z956&lt;=5200,"",IF($Z956&lt;=5800,N(INDEX(次果筐明细!$L$4:$L$603,$Z956-5200))+N(INDEX(次果筐明细!$J$4:$J$603,$Z956-5200)),"")))))</f>
        <v/>
      </c>
      <c r="L956" s="24" t="str">
        <f>IF($Z956="","",IF($Z956&lt;=2000,IF(INDEX(包装物料出入库明细!$P$4:$P$2003,$Z956-0)=0,"",INDEX(包装物料出入库明细!$P$4:$P$2003,$Z956-0)),IF($Z956&lt;=4000,IF(INDEX(周转筐出入库明细!$Q$4:$Q$2004,$Z956-2000)=0,"",INDEX(周转筐出入库明细!$Q$4:$Q$2004,$Z956-2000)),IF($Z956&lt;=5200,"",IF($Z956&lt;=5800,IF(INDEX(次果筐明细!$M$4:$M$603,$Z956-5200)=0,"",INDEX(次果筐明细!$M$4:$M$603,$Z956-5200)),"")))))</f>
        <v/>
      </c>
      <c r="M956" s="37" t="str">
        <f>IF($Z956="","",IF($Z956&lt;=2000,IF(INDEX(包装物料出入库明细!$R$4:$R$2003,$Z956-0)=0,"",INDEX(包装物料出入库明细!$R$4:$R$2003,$Z956-0)),IF($Z956&lt;=4000,IF(INDEX(周转筐出入库明细!$W$4:$W$2004,$Z956-2000)=0,"",INDEX(周转筐出入库明细!$W$4:$W$2004,$Z956-2000)),IF($Z956&lt;=5200,IF(INDEX(客户自备加工筐明细!$L$4:$L$1203,$Z956-4000)=0,"",INDEX(客户自备加工筐明细!$L$4:$L$1203,$Z956-4000)),IF($Z956&lt;=5800,IF(INDEX(次果筐明细!$P$4:$P$603,$Z956-5200)=0,"",INDEX(次果筐明细!$P$4:$P$603,$Z956-5200)),"")))))</f>
        <v/>
      </c>
      <c r="N956" s="16" t="str">
        <f>IF($Z956="","",IF($Z956&lt;=2000,"",IF($Z956&lt;=4000,IF(INDEX(周转筐出入库明细!$D$4:$D$2004,$Z956-2000)=0,"",INDEX(周转筐出入库明细!$D$4:$D$2004,$Z956-2000)),IF($Z956&lt;=5200,IF(INDEX(客户自备加工筐明细!$C$4:$C$1203,$Z956-4000)=0,"",INDEX(客户自备加工筐明细!$C$4:$C$1203,$Z956-4000)),IF($Z956&lt;=5800,IF(INDEX(次果筐明细!$D$4:$D$603,$Z956-5200)=0,"",INDEX(次果筐明细!$D$4:$D$603,$Z956-5200)),"")))))</f>
        <v/>
      </c>
      <c r="O956" s="40" t="str">
        <f>IF($Z956="","",IF($Z956&lt;=2000,"",IF($Z956&lt;=4000,IF(N(INDEX(周转筐出入库明细!$J$4:$J$2004,$Z956-2000))+N(INDEX(周转筐出入库明细!$K$4:$K$2004,$Z956-2000))=0,"",N(INDEX(周转筐出入库明细!$J$4:$J$2004,$Z956-2000))+N(INDEX(周转筐出入库明细!$K$4:$K$2004,$Z956-2000))),IF($Z956&lt;=5200,IF(N(INDEX(客户自备加工筐明细!$G$4:$G$1203,$Z956-4000))=0,"",N(INDEX(客户自备加工筐明细!$G$4:$G$1203,$Z956-4000))),IF($Z956&lt;=5800,IF(ISNUMBER(SEARCH("退",INDEX(次果筐明细!$F$4:$F$603,$Z956-5200)&amp;"")),"",IF(N(INDEX(次果筐明细!$G$4:$G$603,$Z956-5200))=0,"",N(INDEX(次果筐明细!$G$4:$G$603,$Z956-5200)))),"")))))</f>
        <v/>
      </c>
      <c r="P956" s="40" t="str">
        <f>IF($Z956="","",IF($Z956&lt;=2000,"",IF($Z956&lt;=4000,IF(N(INDEX(周转筐出入库明细!$I$4:$I$2004,$Z956-2000))=0,"",N(INDEX(周转筐出入库明细!$I$4:$I$2004,$Z956-2000))),IF($Z956&lt;=5200,"",IF($Z956&lt;=5800,IF(ISNUMBER(SEARCH("退",INDEX(次果筐明细!$F$4:$F$603,$Z956-5200)&amp;"")),IF(N(INDEX(次果筐明细!$G$4:$G$603,$Z956-5200))=0,"",N(INDEX(次果筐明细!$G$4:$G$603,$Z956-5200))),""),"")))))</f>
        <v/>
      </c>
      <c r="Q956" s="40" t="str">
        <f>IF($Z956="","",IF($Z956&lt;=2000,"",IF($Z956&lt;=4000,IF(N(INDEX(周转筐出入库明细!$H$4:$H$2004,$Z956-2000))=0,"",N(INDEX(周转筐出入库明细!$H$4:$H$2004,$Z956-2000))),IF($Z956&lt;=5200,IF(N(INDEX(客户自备加工筐明细!$F$4:$F$1203,$Z956-4000))=0,"",N(INDEX(客户自备加工筐明细!$F$4:$F$1203,$Z956-4000))),IF($Z956&lt;=5800,"","")))))</f>
        <v/>
      </c>
      <c r="R956" s="16" t="str">
        <f>IF($Z956="","",IF($Z956&lt;=2000,IF(INDEX(包装物料出入库明细!$O$4:$O$2003,$Z956-0)=0,"",INDEX(包装物料出入库明细!$O$4:$O$2003,$Z956-0)),IF($Z956&lt;=4000,IF(INDEX(周转筐出入库明细!$M$4:$M$2004,$Z956-2000)=0,"",INDEX(周转筐出入库明细!$M$4:$M$2004,$Z956-2000)),IF($Z956&lt;=5200,IF(INDEX(客户自备加工筐明细!$H$4:$H$1203,$Z956-4000)=0,"",INDEX(客户自备加工筐明细!$H$4:$H$1203,$Z956-4000)),IF($Z956&lt;=5800,IF(INDEX(次果筐明细!$H$4:$H$603,$Z956-5200)=0,"",INDEX(次果筐明细!$H$4:$H$603,$Z956-5200)),"")))))</f>
        <v/>
      </c>
      <c r="S956" s="22" t="str">
        <f t="shared" si="44"/>
        <v/>
      </c>
      <c r="Z956" s="10" t="str">
        <f>IFERROR(MATCH(ROW()-3,_自动清单!$CQ$4:$CQ$5803,0),"")</f>
        <v/>
      </c>
    </row>
    <row r="957" spans="1:26">
      <c r="A957" s="24" t="str">
        <f t="shared" si="42"/>
        <v/>
      </c>
      <c r="B957" s="38" t="str">
        <f>IF($Z957="","",IF($Z957&lt;=2000,IF(INDEX(包装物料出入库明细!$B$4:$B$2003,$Z957-0)=0,"",INDEX(包装物料出入库明细!$B$4:$B$2003,$Z957-0)),IF($Z957&lt;=4000,IF(INDEX(周转筐出入库明细!$B$4:$B$2004,$Z957-2000)=0,"",INDEX(周转筐出入库明细!$B$4:$B$2004,$Z957-2000)),IF($Z957&lt;=5200,IF(INDEX(客户自备加工筐明细!$B$4:$B$1203,$Z957-4000)=0,"",INDEX(客户自备加工筐明细!$B$4:$B$1203,$Z957-4000)),IF($Z957&lt;=5800,IF(INDEX(次果筐明细!$B$4:$B$603,$Z957-5200)=0,"",INDEX(次果筐明细!$B$4:$B$603,$Z957-5200)),"")))))</f>
        <v/>
      </c>
      <c r="C957" s="37" t="str">
        <f>IF($Z957="","",IF($Z957&lt;=2000,IF(INDEX(包装物料出入库明细!$D$4:$D$2003,$Z957-0)=0,"",INDEX(包装物料出入库明细!$D$4:$D$2003,$Z957-0)),IF($Z957&lt;=4000,IF(INDEX(周转筐出入库明细!$C$4:$C$2004,$Z957-2000)=0,"",INDEX(周转筐出入库明细!$C$4:$C$2004,$Z957-2000)),IF($Z957&lt;=5200,IF(INDEX(客户自备加工筐明细!$E$4:$E$1203,$Z957-4000)=0,"",INDEX(客户自备加工筐明细!$E$4:$E$1203,$Z957-4000)),IF($Z957&lt;=5800,IF(INDEX(次果筐明细!$C$4:$C$603,$Z957-5200)=0,"",INDEX(次果筐明细!$C$4:$C$603,$Z957-5200)),"")))))</f>
        <v/>
      </c>
      <c r="D957" s="37" t="str">
        <f>IF($Z957="","",IF($Z957&lt;=2000,"包装物料－"&amp;INDEX(包装物料出入库明细!$H$4:$H$2003,$Z957-0),IF($Z957&lt;=4000,"周转筐－"&amp;INDEX(周转筐出入库明细!$F$4:$F$2004,$Z957-2000),IF($Z957&lt;=5200,"客户自备筐－"&amp;INDEX(客户自备加工筐明细!$J$4:$J$1203,$Z957-4000),IF($Z957&lt;=5800,"次果筐/托盘－"&amp;INDEX(次果筐明细!$F$4:$F$603,$Z957-5200),"")))))</f>
        <v/>
      </c>
      <c r="E957" s="24" t="str">
        <f>IF($Z957="","",IF($Z957&lt;=2000,IF(INDEX(包装物料出入库明细!$C$4:$C$2003,$Z957-0)=0,"",INDEX(包装物料出入库明细!$C$4:$C$2003,$Z957-0)),IF($Z957&lt;=4000,IF(INDEX(周转筐出入库明细!$E$4:$E$2004,$Z957-2000)=0,"",INDEX(周转筐出入库明细!$E$4:$E$2004,$Z957-2000)),IF($Z957&lt;=5200,IF(INDEX(客户自备加工筐明细!$D$4:$D$1203,$Z957-4000)=0,"",INDEX(客户自备加工筐明细!$D$4:$D$1203,$Z957-4000)),IF($Z957&lt;=5800,IF(INDEX(次果筐明细!$E$4:$E$603,$Z957-5200)=0,"",INDEX(次果筐明细!$E$4:$E$603,$Z957-5200)),"")))))</f>
        <v/>
      </c>
      <c r="F957" s="24" t="str">
        <f>IF($Z957="","",IF($Z957&lt;=2000,IF(INDEX(包装物料出入库明细!$E$4:$E$2003,$Z957-0)=0,"",INDEX(包装物料出入库明细!$E$4:$E$2003,$Z957-0)),IF($Z957&lt;=4000,IF(INDEX(周转筐出入库明细!$D$4:$D$2004,$Z957-2000)=0,"",INDEX(周转筐出入库明细!$D$4:$D$2004,$Z957-2000)),IF($Z957&lt;=5200,IF(INDEX(客户自备加工筐明细!$C$4:$C$1203,$Z957-4000)=0,"",INDEX(客户自备加工筐明细!$C$4:$C$1203,$Z957-4000)),IF($Z957&lt;=5800,IF(INDEX(次果筐明细!$D$4:$D$603,$Z957-5200)=0,"",INDEX(次果筐明细!$D$4:$D$603,$Z957-5200)),"")))))</f>
        <v/>
      </c>
      <c r="G957" s="24" t="str">
        <f>IF($Z957="","",IF($Z957&lt;=2000,IF(INDEX(包装物料出入库明细!$F$4:$F$2003,$Z957-0)=0,"",INDEX(包装物料出入库明细!$F$4:$F$2003,$Z957-0)),IF($Z957&lt;=4000,"",IF($Z957&lt;=5200,"",IF($Z957&lt;=5800,"","")))))</f>
        <v/>
      </c>
      <c r="H957" s="39" t="str">
        <f>IF($Z957="","",IF($Z957&lt;=2000,IF(INDEX(包装物料出入库明细!$L$4:$L$2003,$Z957-0)=0,"",INDEX(包装物料出入库明细!$L$4:$L$2003,$Z957-0)),IF($Z957&lt;=4000,N(INDEX(周转筐出入库明细!$H$4:$H$2004,$Z957-2000))+N(INDEX(周转筐出入库明细!$I$4:$I$2004,$Z957-2000))+N(INDEX(周转筐出入库明细!$J$4:$J$2004,$Z957-2000))+N(INDEX(周转筐出入库明细!$K$4:$K$2004,$Z957-2000)),IF($Z957&lt;=5200,N(INDEX(客户自备加工筐明细!$F$4:$F$1203,$Z957-4000))+N(INDEX(客户自备加工筐明细!$G$4:$G$1203,$Z957-4000)),IF($Z957&lt;=5800,IF(INDEX(次果筐明细!$G$4:$G$603,$Z957-5200)=0,"",INDEX(次果筐明细!$G$4:$G$603,$Z957-5200)),"")))))</f>
        <v/>
      </c>
      <c r="I957" s="24" t="str">
        <f>IF($Z957="","",IF($Z957&lt;=2000,IF(INDEX(包装物料出入库明细!$G$4:$G$2003,$Z957-0)=0,"",INDEX(包装物料出入库明细!$G$4:$G$2003,$Z957-0)),IF($Z957&lt;=4000,"个",IF($Z957&lt;=5200,"个",IF($Z957&lt;=5800,"个","")))))</f>
        <v/>
      </c>
      <c r="J957" s="30" t="str">
        <f t="shared" si="43"/>
        <v/>
      </c>
      <c r="K957" s="30" t="str">
        <f>IF($Z957="","",IF($Z957&lt;=2000,IF(INDEX(包装物料出入库明细!$N$4:$N$2003,$Z957-0)=0,"",INDEX(包装物料出入库明细!$N$4:$N$2003,$Z957-0)),IF($Z957&lt;=4000,IF(INDEX(周转筐出入库明细!$P$4:$P$2004,$Z957-2000)=0,"",INDEX(周转筐出入库明细!$P$4:$P$2004,$Z957-2000)),IF($Z957&lt;=5200,"",IF($Z957&lt;=5800,N(INDEX(次果筐明细!$L$4:$L$603,$Z957-5200))+N(INDEX(次果筐明细!$J$4:$J$603,$Z957-5200)),"")))))</f>
        <v/>
      </c>
      <c r="L957" s="24" t="str">
        <f>IF($Z957="","",IF($Z957&lt;=2000,IF(INDEX(包装物料出入库明细!$P$4:$P$2003,$Z957-0)=0,"",INDEX(包装物料出入库明细!$P$4:$P$2003,$Z957-0)),IF($Z957&lt;=4000,IF(INDEX(周转筐出入库明细!$Q$4:$Q$2004,$Z957-2000)=0,"",INDEX(周转筐出入库明细!$Q$4:$Q$2004,$Z957-2000)),IF($Z957&lt;=5200,"",IF($Z957&lt;=5800,IF(INDEX(次果筐明细!$M$4:$M$603,$Z957-5200)=0,"",INDEX(次果筐明细!$M$4:$M$603,$Z957-5200)),"")))))</f>
        <v/>
      </c>
      <c r="M957" s="37" t="str">
        <f>IF($Z957="","",IF($Z957&lt;=2000,IF(INDEX(包装物料出入库明细!$R$4:$R$2003,$Z957-0)=0,"",INDEX(包装物料出入库明细!$R$4:$R$2003,$Z957-0)),IF($Z957&lt;=4000,IF(INDEX(周转筐出入库明细!$W$4:$W$2004,$Z957-2000)=0,"",INDEX(周转筐出入库明细!$W$4:$W$2004,$Z957-2000)),IF($Z957&lt;=5200,IF(INDEX(客户自备加工筐明细!$L$4:$L$1203,$Z957-4000)=0,"",INDEX(客户自备加工筐明细!$L$4:$L$1203,$Z957-4000)),IF($Z957&lt;=5800,IF(INDEX(次果筐明细!$P$4:$P$603,$Z957-5200)=0,"",INDEX(次果筐明细!$P$4:$P$603,$Z957-5200)),"")))))</f>
        <v/>
      </c>
      <c r="N957" s="16" t="str">
        <f>IF($Z957="","",IF($Z957&lt;=2000,"",IF($Z957&lt;=4000,IF(INDEX(周转筐出入库明细!$D$4:$D$2004,$Z957-2000)=0,"",INDEX(周转筐出入库明细!$D$4:$D$2004,$Z957-2000)),IF($Z957&lt;=5200,IF(INDEX(客户自备加工筐明细!$C$4:$C$1203,$Z957-4000)=0,"",INDEX(客户自备加工筐明细!$C$4:$C$1203,$Z957-4000)),IF($Z957&lt;=5800,IF(INDEX(次果筐明细!$D$4:$D$603,$Z957-5200)=0,"",INDEX(次果筐明细!$D$4:$D$603,$Z957-5200)),"")))))</f>
        <v/>
      </c>
      <c r="O957" s="40" t="str">
        <f>IF($Z957="","",IF($Z957&lt;=2000,"",IF($Z957&lt;=4000,IF(N(INDEX(周转筐出入库明细!$J$4:$J$2004,$Z957-2000))+N(INDEX(周转筐出入库明细!$K$4:$K$2004,$Z957-2000))=0,"",N(INDEX(周转筐出入库明细!$J$4:$J$2004,$Z957-2000))+N(INDEX(周转筐出入库明细!$K$4:$K$2004,$Z957-2000))),IF($Z957&lt;=5200,IF(N(INDEX(客户自备加工筐明细!$G$4:$G$1203,$Z957-4000))=0,"",N(INDEX(客户自备加工筐明细!$G$4:$G$1203,$Z957-4000))),IF($Z957&lt;=5800,IF(ISNUMBER(SEARCH("退",INDEX(次果筐明细!$F$4:$F$603,$Z957-5200)&amp;"")),"",IF(N(INDEX(次果筐明细!$G$4:$G$603,$Z957-5200))=0,"",N(INDEX(次果筐明细!$G$4:$G$603,$Z957-5200)))),"")))))</f>
        <v/>
      </c>
      <c r="P957" s="40" t="str">
        <f>IF($Z957="","",IF($Z957&lt;=2000,"",IF($Z957&lt;=4000,IF(N(INDEX(周转筐出入库明细!$I$4:$I$2004,$Z957-2000))=0,"",N(INDEX(周转筐出入库明细!$I$4:$I$2004,$Z957-2000))),IF($Z957&lt;=5200,"",IF($Z957&lt;=5800,IF(ISNUMBER(SEARCH("退",INDEX(次果筐明细!$F$4:$F$603,$Z957-5200)&amp;"")),IF(N(INDEX(次果筐明细!$G$4:$G$603,$Z957-5200))=0,"",N(INDEX(次果筐明细!$G$4:$G$603,$Z957-5200))),""),"")))))</f>
        <v/>
      </c>
      <c r="Q957" s="40" t="str">
        <f>IF($Z957="","",IF($Z957&lt;=2000,"",IF($Z957&lt;=4000,IF(N(INDEX(周转筐出入库明细!$H$4:$H$2004,$Z957-2000))=0,"",N(INDEX(周转筐出入库明细!$H$4:$H$2004,$Z957-2000))),IF($Z957&lt;=5200,IF(N(INDEX(客户自备加工筐明细!$F$4:$F$1203,$Z957-4000))=0,"",N(INDEX(客户自备加工筐明细!$F$4:$F$1203,$Z957-4000))),IF($Z957&lt;=5800,"","")))))</f>
        <v/>
      </c>
      <c r="R957" s="16" t="str">
        <f>IF($Z957="","",IF($Z957&lt;=2000,IF(INDEX(包装物料出入库明细!$O$4:$O$2003,$Z957-0)=0,"",INDEX(包装物料出入库明细!$O$4:$O$2003,$Z957-0)),IF($Z957&lt;=4000,IF(INDEX(周转筐出入库明细!$M$4:$M$2004,$Z957-2000)=0,"",INDEX(周转筐出入库明细!$M$4:$M$2004,$Z957-2000)),IF($Z957&lt;=5200,IF(INDEX(客户自备加工筐明细!$H$4:$H$1203,$Z957-4000)=0,"",INDEX(客户自备加工筐明细!$H$4:$H$1203,$Z957-4000)),IF($Z957&lt;=5800,IF(INDEX(次果筐明细!$H$4:$H$603,$Z957-5200)=0,"",INDEX(次果筐明细!$H$4:$H$603,$Z957-5200)),"")))))</f>
        <v/>
      </c>
      <c r="S957" s="22" t="str">
        <f t="shared" si="44"/>
        <v/>
      </c>
      <c r="Z957" s="10" t="str">
        <f>IFERROR(MATCH(ROW()-3,_自动清单!$CQ$4:$CQ$5803,0),"")</f>
        <v/>
      </c>
    </row>
    <row r="958" spans="1:26">
      <c r="A958" s="24" t="str">
        <f t="shared" si="42"/>
        <v/>
      </c>
      <c r="B958" s="38" t="str">
        <f>IF($Z958="","",IF($Z958&lt;=2000,IF(INDEX(包装物料出入库明细!$B$4:$B$2003,$Z958-0)=0,"",INDEX(包装物料出入库明细!$B$4:$B$2003,$Z958-0)),IF($Z958&lt;=4000,IF(INDEX(周转筐出入库明细!$B$4:$B$2004,$Z958-2000)=0,"",INDEX(周转筐出入库明细!$B$4:$B$2004,$Z958-2000)),IF($Z958&lt;=5200,IF(INDEX(客户自备加工筐明细!$B$4:$B$1203,$Z958-4000)=0,"",INDEX(客户自备加工筐明细!$B$4:$B$1203,$Z958-4000)),IF($Z958&lt;=5800,IF(INDEX(次果筐明细!$B$4:$B$603,$Z958-5200)=0,"",INDEX(次果筐明细!$B$4:$B$603,$Z958-5200)),"")))))</f>
        <v/>
      </c>
      <c r="C958" s="37" t="str">
        <f>IF($Z958="","",IF($Z958&lt;=2000,IF(INDEX(包装物料出入库明细!$D$4:$D$2003,$Z958-0)=0,"",INDEX(包装物料出入库明细!$D$4:$D$2003,$Z958-0)),IF($Z958&lt;=4000,IF(INDEX(周转筐出入库明细!$C$4:$C$2004,$Z958-2000)=0,"",INDEX(周转筐出入库明细!$C$4:$C$2004,$Z958-2000)),IF($Z958&lt;=5200,IF(INDEX(客户自备加工筐明细!$E$4:$E$1203,$Z958-4000)=0,"",INDEX(客户自备加工筐明细!$E$4:$E$1203,$Z958-4000)),IF($Z958&lt;=5800,IF(INDEX(次果筐明细!$C$4:$C$603,$Z958-5200)=0,"",INDEX(次果筐明细!$C$4:$C$603,$Z958-5200)),"")))))</f>
        <v/>
      </c>
      <c r="D958" s="37" t="str">
        <f>IF($Z958="","",IF($Z958&lt;=2000,"包装物料－"&amp;INDEX(包装物料出入库明细!$H$4:$H$2003,$Z958-0),IF($Z958&lt;=4000,"周转筐－"&amp;INDEX(周转筐出入库明细!$F$4:$F$2004,$Z958-2000),IF($Z958&lt;=5200,"客户自备筐－"&amp;INDEX(客户自备加工筐明细!$J$4:$J$1203,$Z958-4000),IF($Z958&lt;=5800,"次果筐/托盘－"&amp;INDEX(次果筐明细!$F$4:$F$603,$Z958-5200),"")))))</f>
        <v/>
      </c>
      <c r="E958" s="24" t="str">
        <f>IF($Z958="","",IF($Z958&lt;=2000,IF(INDEX(包装物料出入库明细!$C$4:$C$2003,$Z958-0)=0,"",INDEX(包装物料出入库明细!$C$4:$C$2003,$Z958-0)),IF($Z958&lt;=4000,IF(INDEX(周转筐出入库明细!$E$4:$E$2004,$Z958-2000)=0,"",INDEX(周转筐出入库明细!$E$4:$E$2004,$Z958-2000)),IF($Z958&lt;=5200,IF(INDEX(客户自备加工筐明细!$D$4:$D$1203,$Z958-4000)=0,"",INDEX(客户自备加工筐明细!$D$4:$D$1203,$Z958-4000)),IF($Z958&lt;=5800,IF(INDEX(次果筐明细!$E$4:$E$603,$Z958-5200)=0,"",INDEX(次果筐明细!$E$4:$E$603,$Z958-5200)),"")))))</f>
        <v/>
      </c>
      <c r="F958" s="24" t="str">
        <f>IF($Z958="","",IF($Z958&lt;=2000,IF(INDEX(包装物料出入库明细!$E$4:$E$2003,$Z958-0)=0,"",INDEX(包装物料出入库明细!$E$4:$E$2003,$Z958-0)),IF($Z958&lt;=4000,IF(INDEX(周转筐出入库明细!$D$4:$D$2004,$Z958-2000)=0,"",INDEX(周转筐出入库明细!$D$4:$D$2004,$Z958-2000)),IF($Z958&lt;=5200,IF(INDEX(客户自备加工筐明细!$C$4:$C$1203,$Z958-4000)=0,"",INDEX(客户自备加工筐明细!$C$4:$C$1203,$Z958-4000)),IF($Z958&lt;=5800,IF(INDEX(次果筐明细!$D$4:$D$603,$Z958-5200)=0,"",INDEX(次果筐明细!$D$4:$D$603,$Z958-5200)),"")))))</f>
        <v/>
      </c>
      <c r="G958" s="24" t="str">
        <f>IF($Z958="","",IF($Z958&lt;=2000,IF(INDEX(包装物料出入库明细!$F$4:$F$2003,$Z958-0)=0,"",INDEX(包装物料出入库明细!$F$4:$F$2003,$Z958-0)),IF($Z958&lt;=4000,"",IF($Z958&lt;=5200,"",IF($Z958&lt;=5800,"","")))))</f>
        <v/>
      </c>
      <c r="H958" s="39" t="str">
        <f>IF($Z958="","",IF($Z958&lt;=2000,IF(INDEX(包装物料出入库明细!$L$4:$L$2003,$Z958-0)=0,"",INDEX(包装物料出入库明细!$L$4:$L$2003,$Z958-0)),IF($Z958&lt;=4000,N(INDEX(周转筐出入库明细!$H$4:$H$2004,$Z958-2000))+N(INDEX(周转筐出入库明细!$I$4:$I$2004,$Z958-2000))+N(INDEX(周转筐出入库明细!$J$4:$J$2004,$Z958-2000))+N(INDEX(周转筐出入库明细!$K$4:$K$2004,$Z958-2000)),IF($Z958&lt;=5200,N(INDEX(客户自备加工筐明细!$F$4:$F$1203,$Z958-4000))+N(INDEX(客户自备加工筐明细!$G$4:$G$1203,$Z958-4000)),IF($Z958&lt;=5800,IF(INDEX(次果筐明细!$G$4:$G$603,$Z958-5200)=0,"",INDEX(次果筐明细!$G$4:$G$603,$Z958-5200)),"")))))</f>
        <v/>
      </c>
      <c r="I958" s="24" t="str">
        <f>IF($Z958="","",IF($Z958&lt;=2000,IF(INDEX(包装物料出入库明细!$G$4:$G$2003,$Z958-0)=0,"",INDEX(包装物料出入库明细!$G$4:$G$2003,$Z958-0)),IF($Z958&lt;=4000,"个",IF($Z958&lt;=5200,"个",IF($Z958&lt;=5800,"个","")))))</f>
        <v/>
      </c>
      <c r="J958" s="30" t="str">
        <f t="shared" si="43"/>
        <v/>
      </c>
      <c r="K958" s="30" t="str">
        <f>IF($Z958="","",IF($Z958&lt;=2000,IF(INDEX(包装物料出入库明细!$N$4:$N$2003,$Z958-0)=0,"",INDEX(包装物料出入库明细!$N$4:$N$2003,$Z958-0)),IF($Z958&lt;=4000,IF(INDEX(周转筐出入库明细!$P$4:$P$2004,$Z958-2000)=0,"",INDEX(周转筐出入库明细!$P$4:$P$2004,$Z958-2000)),IF($Z958&lt;=5200,"",IF($Z958&lt;=5800,N(INDEX(次果筐明细!$L$4:$L$603,$Z958-5200))+N(INDEX(次果筐明细!$J$4:$J$603,$Z958-5200)),"")))))</f>
        <v/>
      </c>
      <c r="L958" s="24" t="str">
        <f>IF($Z958="","",IF($Z958&lt;=2000,IF(INDEX(包装物料出入库明细!$P$4:$P$2003,$Z958-0)=0,"",INDEX(包装物料出入库明细!$P$4:$P$2003,$Z958-0)),IF($Z958&lt;=4000,IF(INDEX(周转筐出入库明细!$Q$4:$Q$2004,$Z958-2000)=0,"",INDEX(周转筐出入库明细!$Q$4:$Q$2004,$Z958-2000)),IF($Z958&lt;=5200,"",IF($Z958&lt;=5800,IF(INDEX(次果筐明细!$M$4:$M$603,$Z958-5200)=0,"",INDEX(次果筐明细!$M$4:$M$603,$Z958-5200)),"")))))</f>
        <v/>
      </c>
      <c r="M958" s="37" t="str">
        <f>IF($Z958="","",IF($Z958&lt;=2000,IF(INDEX(包装物料出入库明细!$R$4:$R$2003,$Z958-0)=0,"",INDEX(包装物料出入库明细!$R$4:$R$2003,$Z958-0)),IF($Z958&lt;=4000,IF(INDEX(周转筐出入库明细!$W$4:$W$2004,$Z958-2000)=0,"",INDEX(周转筐出入库明细!$W$4:$W$2004,$Z958-2000)),IF($Z958&lt;=5200,IF(INDEX(客户自备加工筐明细!$L$4:$L$1203,$Z958-4000)=0,"",INDEX(客户自备加工筐明细!$L$4:$L$1203,$Z958-4000)),IF($Z958&lt;=5800,IF(INDEX(次果筐明细!$P$4:$P$603,$Z958-5200)=0,"",INDEX(次果筐明细!$P$4:$P$603,$Z958-5200)),"")))))</f>
        <v/>
      </c>
      <c r="N958" s="16" t="str">
        <f>IF($Z958="","",IF($Z958&lt;=2000,"",IF($Z958&lt;=4000,IF(INDEX(周转筐出入库明细!$D$4:$D$2004,$Z958-2000)=0,"",INDEX(周转筐出入库明细!$D$4:$D$2004,$Z958-2000)),IF($Z958&lt;=5200,IF(INDEX(客户自备加工筐明细!$C$4:$C$1203,$Z958-4000)=0,"",INDEX(客户自备加工筐明细!$C$4:$C$1203,$Z958-4000)),IF($Z958&lt;=5800,IF(INDEX(次果筐明细!$D$4:$D$603,$Z958-5200)=0,"",INDEX(次果筐明细!$D$4:$D$603,$Z958-5200)),"")))))</f>
        <v/>
      </c>
      <c r="O958" s="40" t="str">
        <f>IF($Z958="","",IF($Z958&lt;=2000,"",IF($Z958&lt;=4000,IF(N(INDEX(周转筐出入库明细!$J$4:$J$2004,$Z958-2000))+N(INDEX(周转筐出入库明细!$K$4:$K$2004,$Z958-2000))=0,"",N(INDEX(周转筐出入库明细!$J$4:$J$2004,$Z958-2000))+N(INDEX(周转筐出入库明细!$K$4:$K$2004,$Z958-2000))),IF($Z958&lt;=5200,IF(N(INDEX(客户自备加工筐明细!$G$4:$G$1203,$Z958-4000))=0,"",N(INDEX(客户自备加工筐明细!$G$4:$G$1203,$Z958-4000))),IF($Z958&lt;=5800,IF(ISNUMBER(SEARCH("退",INDEX(次果筐明细!$F$4:$F$603,$Z958-5200)&amp;"")),"",IF(N(INDEX(次果筐明细!$G$4:$G$603,$Z958-5200))=0,"",N(INDEX(次果筐明细!$G$4:$G$603,$Z958-5200)))),"")))))</f>
        <v/>
      </c>
      <c r="P958" s="40" t="str">
        <f>IF($Z958="","",IF($Z958&lt;=2000,"",IF($Z958&lt;=4000,IF(N(INDEX(周转筐出入库明细!$I$4:$I$2004,$Z958-2000))=0,"",N(INDEX(周转筐出入库明细!$I$4:$I$2004,$Z958-2000))),IF($Z958&lt;=5200,"",IF($Z958&lt;=5800,IF(ISNUMBER(SEARCH("退",INDEX(次果筐明细!$F$4:$F$603,$Z958-5200)&amp;"")),IF(N(INDEX(次果筐明细!$G$4:$G$603,$Z958-5200))=0,"",N(INDEX(次果筐明细!$G$4:$G$603,$Z958-5200))),""),"")))))</f>
        <v/>
      </c>
      <c r="Q958" s="40" t="str">
        <f>IF($Z958="","",IF($Z958&lt;=2000,"",IF($Z958&lt;=4000,IF(N(INDEX(周转筐出入库明细!$H$4:$H$2004,$Z958-2000))=0,"",N(INDEX(周转筐出入库明细!$H$4:$H$2004,$Z958-2000))),IF($Z958&lt;=5200,IF(N(INDEX(客户自备加工筐明细!$F$4:$F$1203,$Z958-4000))=0,"",N(INDEX(客户自备加工筐明细!$F$4:$F$1203,$Z958-4000))),IF($Z958&lt;=5800,"","")))))</f>
        <v/>
      </c>
      <c r="R958" s="16" t="str">
        <f>IF($Z958="","",IF($Z958&lt;=2000,IF(INDEX(包装物料出入库明细!$O$4:$O$2003,$Z958-0)=0,"",INDEX(包装物料出入库明细!$O$4:$O$2003,$Z958-0)),IF($Z958&lt;=4000,IF(INDEX(周转筐出入库明细!$M$4:$M$2004,$Z958-2000)=0,"",INDEX(周转筐出入库明细!$M$4:$M$2004,$Z958-2000)),IF($Z958&lt;=5200,IF(INDEX(客户自备加工筐明细!$H$4:$H$1203,$Z958-4000)=0,"",INDEX(客户自备加工筐明细!$H$4:$H$1203,$Z958-4000)),IF($Z958&lt;=5800,IF(INDEX(次果筐明细!$H$4:$H$603,$Z958-5200)=0,"",INDEX(次果筐明细!$H$4:$H$603,$Z958-5200)),"")))))</f>
        <v/>
      </c>
      <c r="S958" s="22" t="str">
        <f t="shared" si="44"/>
        <v/>
      </c>
      <c r="Z958" s="10" t="str">
        <f>IFERROR(MATCH(ROW()-3,_自动清单!$CQ$4:$CQ$5803,0),"")</f>
        <v/>
      </c>
    </row>
    <row r="959" spans="1:26">
      <c r="A959" s="24" t="str">
        <f t="shared" si="42"/>
        <v/>
      </c>
      <c r="B959" s="38" t="str">
        <f>IF($Z959="","",IF($Z959&lt;=2000,IF(INDEX(包装物料出入库明细!$B$4:$B$2003,$Z959-0)=0,"",INDEX(包装物料出入库明细!$B$4:$B$2003,$Z959-0)),IF($Z959&lt;=4000,IF(INDEX(周转筐出入库明细!$B$4:$B$2004,$Z959-2000)=0,"",INDEX(周转筐出入库明细!$B$4:$B$2004,$Z959-2000)),IF($Z959&lt;=5200,IF(INDEX(客户自备加工筐明细!$B$4:$B$1203,$Z959-4000)=0,"",INDEX(客户自备加工筐明细!$B$4:$B$1203,$Z959-4000)),IF($Z959&lt;=5800,IF(INDEX(次果筐明细!$B$4:$B$603,$Z959-5200)=0,"",INDEX(次果筐明细!$B$4:$B$603,$Z959-5200)),"")))))</f>
        <v/>
      </c>
      <c r="C959" s="37" t="str">
        <f>IF($Z959="","",IF($Z959&lt;=2000,IF(INDEX(包装物料出入库明细!$D$4:$D$2003,$Z959-0)=0,"",INDEX(包装物料出入库明细!$D$4:$D$2003,$Z959-0)),IF($Z959&lt;=4000,IF(INDEX(周转筐出入库明细!$C$4:$C$2004,$Z959-2000)=0,"",INDEX(周转筐出入库明细!$C$4:$C$2004,$Z959-2000)),IF($Z959&lt;=5200,IF(INDEX(客户自备加工筐明细!$E$4:$E$1203,$Z959-4000)=0,"",INDEX(客户自备加工筐明细!$E$4:$E$1203,$Z959-4000)),IF($Z959&lt;=5800,IF(INDEX(次果筐明细!$C$4:$C$603,$Z959-5200)=0,"",INDEX(次果筐明细!$C$4:$C$603,$Z959-5200)),"")))))</f>
        <v/>
      </c>
      <c r="D959" s="37" t="str">
        <f>IF($Z959="","",IF($Z959&lt;=2000,"包装物料－"&amp;INDEX(包装物料出入库明细!$H$4:$H$2003,$Z959-0),IF($Z959&lt;=4000,"周转筐－"&amp;INDEX(周转筐出入库明细!$F$4:$F$2004,$Z959-2000),IF($Z959&lt;=5200,"客户自备筐－"&amp;INDEX(客户自备加工筐明细!$J$4:$J$1203,$Z959-4000),IF($Z959&lt;=5800,"次果筐/托盘－"&amp;INDEX(次果筐明细!$F$4:$F$603,$Z959-5200),"")))))</f>
        <v/>
      </c>
      <c r="E959" s="24" t="str">
        <f>IF($Z959="","",IF($Z959&lt;=2000,IF(INDEX(包装物料出入库明细!$C$4:$C$2003,$Z959-0)=0,"",INDEX(包装物料出入库明细!$C$4:$C$2003,$Z959-0)),IF($Z959&lt;=4000,IF(INDEX(周转筐出入库明细!$E$4:$E$2004,$Z959-2000)=0,"",INDEX(周转筐出入库明细!$E$4:$E$2004,$Z959-2000)),IF($Z959&lt;=5200,IF(INDEX(客户自备加工筐明细!$D$4:$D$1203,$Z959-4000)=0,"",INDEX(客户自备加工筐明细!$D$4:$D$1203,$Z959-4000)),IF($Z959&lt;=5800,IF(INDEX(次果筐明细!$E$4:$E$603,$Z959-5200)=0,"",INDEX(次果筐明细!$E$4:$E$603,$Z959-5200)),"")))))</f>
        <v/>
      </c>
      <c r="F959" s="24" t="str">
        <f>IF($Z959="","",IF($Z959&lt;=2000,IF(INDEX(包装物料出入库明细!$E$4:$E$2003,$Z959-0)=0,"",INDEX(包装物料出入库明细!$E$4:$E$2003,$Z959-0)),IF($Z959&lt;=4000,IF(INDEX(周转筐出入库明细!$D$4:$D$2004,$Z959-2000)=0,"",INDEX(周转筐出入库明细!$D$4:$D$2004,$Z959-2000)),IF($Z959&lt;=5200,IF(INDEX(客户自备加工筐明细!$C$4:$C$1203,$Z959-4000)=0,"",INDEX(客户自备加工筐明细!$C$4:$C$1203,$Z959-4000)),IF($Z959&lt;=5800,IF(INDEX(次果筐明细!$D$4:$D$603,$Z959-5200)=0,"",INDEX(次果筐明细!$D$4:$D$603,$Z959-5200)),"")))))</f>
        <v/>
      </c>
      <c r="G959" s="24" t="str">
        <f>IF($Z959="","",IF($Z959&lt;=2000,IF(INDEX(包装物料出入库明细!$F$4:$F$2003,$Z959-0)=0,"",INDEX(包装物料出入库明细!$F$4:$F$2003,$Z959-0)),IF($Z959&lt;=4000,"",IF($Z959&lt;=5200,"",IF($Z959&lt;=5800,"","")))))</f>
        <v/>
      </c>
      <c r="H959" s="39" t="str">
        <f>IF($Z959="","",IF($Z959&lt;=2000,IF(INDEX(包装物料出入库明细!$L$4:$L$2003,$Z959-0)=0,"",INDEX(包装物料出入库明细!$L$4:$L$2003,$Z959-0)),IF($Z959&lt;=4000,N(INDEX(周转筐出入库明细!$H$4:$H$2004,$Z959-2000))+N(INDEX(周转筐出入库明细!$I$4:$I$2004,$Z959-2000))+N(INDEX(周转筐出入库明细!$J$4:$J$2004,$Z959-2000))+N(INDEX(周转筐出入库明细!$K$4:$K$2004,$Z959-2000)),IF($Z959&lt;=5200,N(INDEX(客户自备加工筐明细!$F$4:$F$1203,$Z959-4000))+N(INDEX(客户自备加工筐明细!$G$4:$G$1203,$Z959-4000)),IF($Z959&lt;=5800,IF(INDEX(次果筐明细!$G$4:$G$603,$Z959-5200)=0,"",INDEX(次果筐明细!$G$4:$G$603,$Z959-5200)),"")))))</f>
        <v/>
      </c>
      <c r="I959" s="24" t="str">
        <f>IF($Z959="","",IF($Z959&lt;=2000,IF(INDEX(包装物料出入库明细!$G$4:$G$2003,$Z959-0)=0,"",INDEX(包装物料出入库明细!$G$4:$G$2003,$Z959-0)),IF($Z959&lt;=4000,"个",IF($Z959&lt;=5200,"个",IF($Z959&lt;=5800,"个","")))))</f>
        <v/>
      </c>
      <c r="J959" s="30" t="str">
        <f t="shared" si="43"/>
        <v/>
      </c>
      <c r="K959" s="30" t="str">
        <f>IF($Z959="","",IF($Z959&lt;=2000,IF(INDEX(包装物料出入库明细!$N$4:$N$2003,$Z959-0)=0,"",INDEX(包装物料出入库明细!$N$4:$N$2003,$Z959-0)),IF($Z959&lt;=4000,IF(INDEX(周转筐出入库明细!$P$4:$P$2004,$Z959-2000)=0,"",INDEX(周转筐出入库明细!$P$4:$P$2004,$Z959-2000)),IF($Z959&lt;=5200,"",IF($Z959&lt;=5800,N(INDEX(次果筐明细!$L$4:$L$603,$Z959-5200))+N(INDEX(次果筐明细!$J$4:$J$603,$Z959-5200)),"")))))</f>
        <v/>
      </c>
      <c r="L959" s="24" t="str">
        <f>IF($Z959="","",IF($Z959&lt;=2000,IF(INDEX(包装物料出入库明细!$P$4:$P$2003,$Z959-0)=0,"",INDEX(包装物料出入库明细!$P$4:$P$2003,$Z959-0)),IF($Z959&lt;=4000,IF(INDEX(周转筐出入库明细!$Q$4:$Q$2004,$Z959-2000)=0,"",INDEX(周转筐出入库明细!$Q$4:$Q$2004,$Z959-2000)),IF($Z959&lt;=5200,"",IF($Z959&lt;=5800,IF(INDEX(次果筐明细!$M$4:$M$603,$Z959-5200)=0,"",INDEX(次果筐明细!$M$4:$M$603,$Z959-5200)),"")))))</f>
        <v/>
      </c>
      <c r="M959" s="37" t="str">
        <f>IF($Z959="","",IF($Z959&lt;=2000,IF(INDEX(包装物料出入库明细!$R$4:$R$2003,$Z959-0)=0,"",INDEX(包装物料出入库明细!$R$4:$R$2003,$Z959-0)),IF($Z959&lt;=4000,IF(INDEX(周转筐出入库明细!$W$4:$W$2004,$Z959-2000)=0,"",INDEX(周转筐出入库明细!$W$4:$W$2004,$Z959-2000)),IF($Z959&lt;=5200,IF(INDEX(客户自备加工筐明细!$L$4:$L$1203,$Z959-4000)=0,"",INDEX(客户自备加工筐明细!$L$4:$L$1203,$Z959-4000)),IF($Z959&lt;=5800,IF(INDEX(次果筐明细!$P$4:$P$603,$Z959-5200)=0,"",INDEX(次果筐明细!$P$4:$P$603,$Z959-5200)),"")))))</f>
        <v/>
      </c>
      <c r="N959" s="16" t="str">
        <f>IF($Z959="","",IF($Z959&lt;=2000,"",IF($Z959&lt;=4000,IF(INDEX(周转筐出入库明细!$D$4:$D$2004,$Z959-2000)=0,"",INDEX(周转筐出入库明细!$D$4:$D$2004,$Z959-2000)),IF($Z959&lt;=5200,IF(INDEX(客户自备加工筐明细!$C$4:$C$1203,$Z959-4000)=0,"",INDEX(客户自备加工筐明细!$C$4:$C$1203,$Z959-4000)),IF($Z959&lt;=5800,IF(INDEX(次果筐明细!$D$4:$D$603,$Z959-5200)=0,"",INDEX(次果筐明细!$D$4:$D$603,$Z959-5200)),"")))))</f>
        <v/>
      </c>
      <c r="O959" s="40" t="str">
        <f>IF($Z959="","",IF($Z959&lt;=2000,"",IF($Z959&lt;=4000,IF(N(INDEX(周转筐出入库明细!$J$4:$J$2004,$Z959-2000))+N(INDEX(周转筐出入库明细!$K$4:$K$2004,$Z959-2000))=0,"",N(INDEX(周转筐出入库明细!$J$4:$J$2004,$Z959-2000))+N(INDEX(周转筐出入库明细!$K$4:$K$2004,$Z959-2000))),IF($Z959&lt;=5200,IF(N(INDEX(客户自备加工筐明细!$G$4:$G$1203,$Z959-4000))=0,"",N(INDEX(客户自备加工筐明细!$G$4:$G$1203,$Z959-4000))),IF($Z959&lt;=5800,IF(ISNUMBER(SEARCH("退",INDEX(次果筐明细!$F$4:$F$603,$Z959-5200)&amp;"")),"",IF(N(INDEX(次果筐明细!$G$4:$G$603,$Z959-5200))=0,"",N(INDEX(次果筐明细!$G$4:$G$603,$Z959-5200)))),"")))))</f>
        <v/>
      </c>
      <c r="P959" s="40" t="str">
        <f>IF($Z959="","",IF($Z959&lt;=2000,"",IF($Z959&lt;=4000,IF(N(INDEX(周转筐出入库明细!$I$4:$I$2004,$Z959-2000))=0,"",N(INDEX(周转筐出入库明细!$I$4:$I$2004,$Z959-2000))),IF($Z959&lt;=5200,"",IF($Z959&lt;=5800,IF(ISNUMBER(SEARCH("退",INDEX(次果筐明细!$F$4:$F$603,$Z959-5200)&amp;"")),IF(N(INDEX(次果筐明细!$G$4:$G$603,$Z959-5200))=0,"",N(INDEX(次果筐明细!$G$4:$G$603,$Z959-5200))),""),"")))))</f>
        <v/>
      </c>
      <c r="Q959" s="40" t="str">
        <f>IF($Z959="","",IF($Z959&lt;=2000,"",IF($Z959&lt;=4000,IF(N(INDEX(周转筐出入库明细!$H$4:$H$2004,$Z959-2000))=0,"",N(INDEX(周转筐出入库明细!$H$4:$H$2004,$Z959-2000))),IF($Z959&lt;=5200,IF(N(INDEX(客户自备加工筐明细!$F$4:$F$1203,$Z959-4000))=0,"",N(INDEX(客户自备加工筐明细!$F$4:$F$1203,$Z959-4000))),IF($Z959&lt;=5800,"","")))))</f>
        <v/>
      </c>
      <c r="R959" s="16" t="str">
        <f>IF($Z959="","",IF($Z959&lt;=2000,IF(INDEX(包装物料出入库明细!$O$4:$O$2003,$Z959-0)=0,"",INDEX(包装物料出入库明细!$O$4:$O$2003,$Z959-0)),IF($Z959&lt;=4000,IF(INDEX(周转筐出入库明细!$M$4:$M$2004,$Z959-2000)=0,"",INDEX(周转筐出入库明细!$M$4:$M$2004,$Z959-2000)),IF($Z959&lt;=5200,IF(INDEX(客户自备加工筐明细!$H$4:$H$1203,$Z959-4000)=0,"",INDEX(客户自备加工筐明细!$H$4:$H$1203,$Z959-4000)),IF($Z959&lt;=5800,IF(INDEX(次果筐明细!$H$4:$H$603,$Z959-5200)=0,"",INDEX(次果筐明细!$H$4:$H$603,$Z959-5200)),"")))))</f>
        <v/>
      </c>
      <c r="S959" s="22" t="str">
        <f t="shared" si="44"/>
        <v/>
      </c>
      <c r="Z959" s="10" t="str">
        <f>IFERROR(MATCH(ROW()-3,_自动清单!$CQ$4:$CQ$5803,0),"")</f>
        <v/>
      </c>
    </row>
    <row r="960" spans="1:26">
      <c r="A960" s="24" t="str">
        <f t="shared" si="42"/>
        <v/>
      </c>
      <c r="B960" s="38" t="str">
        <f>IF($Z960="","",IF($Z960&lt;=2000,IF(INDEX(包装物料出入库明细!$B$4:$B$2003,$Z960-0)=0,"",INDEX(包装物料出入库明细!$B$4:$B$2003,$Z960-0)),IF($Z960&lt;=4000,IF(INDEX(周转筐出入库明细!$B$4:$B$2004,$Z960-2000)=0,"",INDEX(周转筐出入库明细!$B$4:$B$2004,$Z960-2000)),IF($Z960&lt;=5200,IF(INDEX(客户自备加工筐明细!$B$4:$B$1203,$Z960-4000)=0,"",INDEX(客户自备加工筐明细!$B$4:$B$1203,$Z960-4000)),IF($Z960&lt;=5800,IF(INDEX(次果筐明细!$B$4:$B$603,$Z960-5200)=0,"",INDEX(次果筐明细!$B$4:$B$603,$Z960-5200)),"")))))</f>
        <v/>
      </c>
      <c r="C960" s="37" t="str">
        <f>IF($Z960="","",IF($Z960&lt;=2000,IF(INDEX(包装物料出入库明细!$D$4:$D$2003,$Z960-0)=0,"",INDEX(包装物料出入库明细!$D$4:$D$2003,$Z960-0)),IF($Z960&lt;=4000,IF(INDEX(周转筐出入库明细!$C$4:$C$2004,$Z960-2000)=0,"",INDEX(周转筐出入库明细!$C$4:$C$2004,$Z960-2000)),IF($Z960&lt;=5200,IF(INDEX(客户自备加工筐明细!$E$4:$E$1203,$Z960-4000)=0,"",INDEX(客户自备加工筐明细!$E$4:$E$1203,$Z960-4000)),IF($Z960&lt;=5800,IF(INDEX(次果筐明细!$C$4:$C$603,$Z960-5200)=0,"",INDEX(次果筐明细!$C$4:$C$603,$Z960-5200)),"")))))</f>
        <v/>
      </c>
      <c r="D960" s="37" t="str">
        <f>IF($Z960="","",IF($Z960&lt;=2000,"包装物料－"&amp;INDEX(包装物料出入库明细!$H$4:$H$2003,$Z960-0),IF($Z960&lt;=4000,"周转筐－"&amp;INDEX(周转筐出入库明细!$F$4:$F$2004,$Z960-2000),IF($Z960&lt;=5200,"客户自备筐－"&amp;INDEX(客户自备加工筐明细!$J$4:$J$1203,$Z960-4000),IF($Z960&lt;=5800,"次果筐/托盘－"&amp;INDEX(次果筐明细!$F$4:$F$603,$Z960-5200),"")))))</f>
        <v/>
      </c>
      <c r="E960" s="24" t="str">
        <f>IF($Z960="","",IF($Z960&lt;=2000,IF(INDEX(包装物料出入库明细!$C$4:$C$2003,$Z960-0)=0,"",INDEX(包装物料出入库明细!$C$4:$C$2003,$Z960-0)),IF($Z960&lt;=4000,IF(INDEX(周转筐出入库明细!$E$4:$E$2004,$Z960-2000)=0,"",INDEX(周转筐出入库明细!$E$4:$E$2004,$Z960-2000)),IF($Z960&lt;=5200,IF(INDEX(客户自备加工筐明细!$D$4:$D$1203,$Z960-4000)=0,"",INDEX(客户自备加工筐明细!$D$4:$D$1203,$Z960-4000)),IF($Z960&lt;=5800,IF(INDEX(次果筐明细!$E$4:$E$603,$Z960-5200)=0,"",INDEX(次果筐明细!$E$4:$E$603,$Z960-5200)),"")))))</f>
        <v/>
      </c>
      <c r="F960" s="24" t="str">
        <f>IF($Z960="","",IF($Z960&lt;=2000,IF(INDEX(包装物料出入库明细!$E$4:$E$2003,$Z960-0)=0,"",INDEX(包装物料出入库明细!$E$4:$E$2003,$Z960-0)),IF($Z960&lt;=4000,IF(INDEX(周转筐出入库明细!$D$4:$D$2004,$Z960-2000)=0,"",INDEX(周转筐出入库明细!$D$4:$D$2004,$Z960-2000)),IF($Z960&lt;=5200,IF(INDEX(客户自备加工筐明细!$C$4:$C$1203,$Z960-4000)=0,"",INDEX(客户自备加工筐明细!$C$4:$C$1203,$Z960-4000)),IF($Z960&lt;=5800,IF(INDEX(次果筐明细!$D$4:$D$603,$Z960-5200)=0,"",INDEX(次果筐明细!$D$4:$D$603,$Z960-5200)),"")))))</f>
        <v/>
      </c>
      <c r="G960" s="24" t="str">
        <f>IF($Z960="","",IF($Z960&lt;=2000,IF(INDEX(包装物料出入库明细!$F$4:$F$2003,$Z960-0)=0,"",INDEX(包装物料出入库明细!$F$4:$F$2003,$Z960-0)),IF($Z960&lt;=4000,"",IF($Z960&lt;=5200,"",IF($Z960&lt;=5800,"","")))))</f>
        <v/>
      </c>
      <c r="H960" s="39" t="str">
        <f>IF($Z960="","",IF($Z960&lt;=2000,IF(INDEX(包装物料出入库明细!$L$4:$L$2003,$Z960-0)=0,"",INDEX(包装物料出入库明细!$L$4:$L$2003,$Z960-0)),IF($Z960&lt;=4000,N(INDEX(周转筐出入库明细!$H$4:$H$2004,$Z960-2000))+N(INDEX(周转筐出入库明细!$I$4:$I$2004,$Z960-2000))+N(INDEX(周转筐出入库明细!$J$4:$J$2004,$Z960-2000))+N(INDEX(周转筐出入库明细!$K$4:$K$2004,$Z960-2000)),IF($Z960&lt;=5200,N(INDEX(客户自备加工筐明细!$F$4:$F$1203,$Z960-4000))+N(INDEX(客户自备加工筐明细!$G$4:$G$1203,$Z960-4000)),IF($Z960&lt;=5800,IF(INDEX(次果筐明细!$G$4:$G$603,$Z960-5200)=0,"",INDEX(次果筐明细!$G$4:$G$603,$Z960-5200)),"")))))</f>
        <v/>
      </c>
      <c r="I960" s="24" t="str">
        <f>IF($Z960="","",IF($Z960&lt;=2000,IF(INDEX(包装物料出入库明细!$G$4:$G$2003,$Z960-0)=0,"",INDEX(包装物料出入库明细!$G$4:$G$2003,$Z960-0)),IF($Z960&lt;=4000,"个",IF($Z960&lt;=5200,"个",IF($Z960&lt;=5800,"个","")))))</f>
        <v/>
      </c>
      <c r="J960" s="30" t="str">
        <f t="shared" si="43"/>
        <v/>
      </c>
      <c r="K960" s="30" t="str">
        <f>IF($Z960="","",IF($Z960&lt;=2000,IF(INDEX(包装物料出入库明细!$N$4:$N$2003,$Z960-0)=0,"",INDEX(包装物料出入库明细!$N$4:$N$2003,$Z960-0)),IF($Z960&lt;=4000,IF(INDEX(周转筐出入库明细!$P$4:$P$2004,$Z960-2000)=0,"",INDEX(周转筐出入库明细!$P$4:$P$2004,$Z960-2000)),IF($Z960&lt;=5200,"",IF($Z960&lt;=5800,N(INDEX(次果筐明细!$L$4:$L$603,$Z960-5200))+N(INDEX(次果筐明细!$J$4:$J$603,$Z960-5200)),"")))))</f>
        <v/>
      </c>
      <c r="L960" s="24" t="str">
        <f>IF($Z960="","",IF($Z960&lt;=2000,IF(INDEX(包装物料出入库明细!$P$4:$P$2003,$Z960-0)=0,"",INDEX(包装物料出入库明细!$P$4:$P$2003,$Z960-0)),IF($Z960&lt;=4000,IF(INDEX(周转筐出入库明细!$Q$4:$Q$2004,$Z960-2000)=0,"",INDEX(周转筐出入库明细!$Q$4:$Q$2004,$Z960-2000)),IF($Z960&lt;=5200,"",IF($Z960&lt;=5800,IF(INDEX(次果筐明细!$M$4:$M$603,$Z960-5200)=0,"",INDEX(次果筐明细!$M$4:$M$603,$Z960-5200)),"")))))</f>
        <v/>
      </c>
      <c r="M960" s="37" t="str">
        <f>IF($Z960="","",IF($Z960&lt;=2000,IF(INDEX(包装物料出入库明细!$R$4:$R$2003,$Z960-0)=0,"",INDEX(包装物料出入库明细!$R$4:$R$2003,$Z960-0)),IF($Z960&lt;=4000,IF(INDEX(周转筐出入库明细!$W$4:$W$2004,$Z960-2000)=0,"",INDEX(周转筐出入库明细!$W$4:$W$2004,$Z960-2000)),IF($Z960&lt;=5200,IF(INDEX(客户自备加工筐明细!$L$4:$L$1203,$Z960-4000)=0,"",INDEX(客户自备加工筐明细!$L$4:$L$1203,$Z960-4000)),IF($Z960&lt;=5800,IF(INDEX(次果筐明细!$P$4:$P$603,$Z960-5200)=0,"",INDEX(次果筐明细!$P$4:$P$603,$Z960-5200)),"")))))</f>
        <v/>
      </c>
      <c r="N960" s="16" t="str">
        <f>IF($Z960="","",IF($Z960&lt;=2000,"",IF($Z960&lt;=4000,IF(INDEX(周转筐出入库明细!$D$4:$D$2004,$Z960-2000)=0,"",INDEX(周转筐出入库明细!$D$4:$D$2004,$Z960-2000)),IF($Z960&lt;=5200,IF(INDEX(客户自备加工筐明细!$C$4:$C$1203,$Z960-4000)=0,"",INDEX(客户自备加工筐明细!$C$4:$C$1203,$Z960-4000)),IF($Z960&lt;=5800,IF(INDEX(次果筐明细!$D$4:$D$603,$Z960-5200)=0,"",INDEX(次果筐明细!$D$4:$D$603,$Z960-5200)),"")))))</f>
        <v/>
      </c>
      <c r="O960" s="40" t="str">
        <f>IF($Z960="","",IF($Z960&lt;=2000,"",IF($Z960&lt;=4000,IF(N(INDEX(周转筐出入库明细!$J$4:$J$2004,$Z960-2000))+N(INDEX(周转筐出入库明细!$K$4:$K$2004,$Z960-2000))=0,"",N(INDEX(周转筐出入库明细!$J$4:$J$2004,$Z960-2000))+N(INDEX(周转筐出入库明细!$K$4:$K$2004,$Z960-2000))),IF($Z960&lt;=5200,IF(N(INDEX(客户自备加工筐明细!$G$4:$G$1203,$Z960-4000))=0,"",N(INDEX(客户自备加工筐明细!$G$4:$G$1203,$Z960-4000))),IF($Z960&lt;=5800,IF(ISNUMBER(SEARCH("退",INDEX(次果筐明细!$F$4:$F$603,$Z960-5200)&amp;"")),"",IF(N(INDEX(次果筐明细!$G$4:$G$603,$Z960-5200))=0,"",N(INDEX(次果筐明细!$G$4:$G$603,$Z960-5200)))),"")))))</f>
        <v/>
      </c>
      <c r="P960" s="40" t="str">
        <f>IF($Z960="","",IF($Z960&lt;=2000,"",IF($Z960&lt;=4000,IF(N(INDEX(周转筐出入库明细!$I$4:$I$2004,$Z960-2000))=0,"",N(INDEX(周转筐出入库明细!$I$4:$I$2004,$Z960-2000))),IF($Z960&lt;=5200,"",IF($Z960&lt;=5800,IF(ISNUMBER(SEARCH("退",INDEX(次果筐明细!$F$4:$F$603,$Z960-5200)&amp;"")),IF(N(INDEX(次果筐明细!$G$4:$G$603,$Z960-5200))=0,"",N(INDEX(次果筐明细!$G$4:$G$603,$Z960-5200))),""),"")))))</f>
        <v/>
      </c>
      <c r="Q960" s="40" t="str">
        <f>IF($Z960="","",IF($Z960&lt;=2000,"",IF($Z960&lt;=4000,IF(N(INDEX(周转筐出入库明细!$H$4:$H$2004,$Z960-2000))=0,"",N(INDEX(周转筐出入库明细!$H$4:$H$2004,$Z960-2000))),IF($Z960&lt;=5200,IF(N(INDEX(客户自备加工筐明细!$F$4:$F$1203,$Z960-4000))=0,"",N(INDEX(客户自备加工筐明细!$F$4:$F$1203,$Z960-4000))),IF($Z960&lt;=5800,"","")))))</f>
        <v/>
      </c>
      <c r="R960" s="16" t="str">
        <f>IF($Z960="","",IF($Z960&lt;=2000,IF(INDEX(包装物料出入库明细!$O$4:$O$2003,$Z960-0)=0,"",INDEX(包装物料出入库明细!$O$4:$O$2003,$Z960-0)),IF($Z960&lt;=4000,IF(INDEX(周转筐出入库明细!$M$4:$M$2004,$Z960-2000)=0,"",INDEX(周转筐出入库明细!$M$4:$M$2004,$Z960-2000)),IF($Z960&lt;=5200,IF(INDEX(客户自备加工筐明细!$H$4:$H$1203,$Z960-4000)=0,"",INDEX(客户自备加工筐明细!$H$4:$H$1203,$Z960-4000)),IF($Z960&lt;=5800,IF(INDEX(次果筐明细!$H$4:$H$603,$Z960-5200)=0,"",INDEX(次果筐明细!$H$4:$H$603,$Z960-5200)),"")))))</f>
        <v/>
      </c>
      <c r="S960" s="22" t="str">
        <f t="shared" si="44"/>
        <v/>
      </c>
      <c r="Z960" s="10" t="str">
        <f>IFERROR(MATCH(ROW()-3,_自动清单!$CQ$4:$CQ$5803,0),"")</f>
        <v/>
      </c>
    </row>
    <row r="961" spans="1:26">
      <c r="A961" s="24" t="str">
        <f t="shared" si="42"/>
        <v/>
      </c>
      <c r="B961" s="38" t="str">
        <f>IF($Z961="","",IF($Z961&lt;=2000,IF(INDEX(包装物料出入库明细!$B$4:$B$2003,$Z961-0)=0,"",INDEX(包装物料出入库明细!$B$4:$B$2003,$Z961-0)),IF($Z961&lt;=4000,IF(INDEX(周转筐出入库明细!$B$4:$B$2004,$Z961-2000)=0,"",INDEX(周转筐出入库明细!$B$4:$B$2004,$Z961-2000)),IF($Z961&lt;=5200,IF(INDEX(客户自备加工筐明细!$B$4:$B$1203,$Z961-4000)=0,"",INDEX(客户自备加工筐明细!$B$4:$B$1203,$Z961-4000)),IF($Z961&lt;=5800,IF(INDEX(次果筐明细!$B$4:$B$603,$Z961-5200)=0,"",INDEX(次果筐明细!$B$4:$B$603,$Z961-5200)),"")))))</f>
        <v/>
      </c>
      <c r="C961" s="37" t="str">
        <f>IF($Z961="","",IF($Z961&lt;=2000,IF(INDEX(包装物料出入库明细!$D$4:$D$2003,$Z961-0)=0,"",INDEX(包装物料出入库明细!$D$4:$D$2003,$Z961-0)),IF($Z961&lt;=4000,IF(INDEX(周转筐出入库明细!$C$4:$C$2004,$Z961-2000)=0,"",INDEX(周转筐出入库明细!$C$4:$C$2004,$Z961-2000)),IF($Z961&lt;=5200,IF(INDEX(客户自备加工筐明细!$E$4:$E$1203,$Z961-4000)=0,"",INDEX(客户自备加工筐明细!$E$4:$E$1203,$Z961-4000)),IF($Z961&lt;=5800,IF(INDEX(次果筐明细!$C$4:$C$603,$Z961-5200)=0,"",INDEX(次果筐明细!$C$4:$C$603,$Z961-5200)),"")))))</f>
        <v/>
      </c>
      <c r="D961" s="37" t="str">
        <f>IF($Z961="","",IF($Z961&lt;=2000,"包装物料－"&amp;INDEX(包装物料出入库明细!$H$4:$H$2003,$Z961-0),IF($Z961&lt;=4000,"周转筐－"&amp;INDEX(周转筐出入库明细!$F$4:$F$2004,$Z961-2000),IF($Z961&lt;=5200,"客户自备筐－"&amp;INDEX(客户自备加工筐明细!$J$4:$J$1203,$Z961-4000),IF($Z961&lt;=5800,"次果筐/托盘－"&amp;INDEX(次果筐明细!$F$4:$F$603,$Z961-5200),"")))))</f>
        <v/>
      </c>
      <c r="E961" s="24" t="str">
        <f>IF($Z961="","",IF($Z961&lt;=2000,IF(INDEX(包装物料出入库明细!$C$4:$C$2003,$Z961-0)=0,"",INDEX(包装物料出入库明细!$C$4:$C$2003,$Z961-0)),IF($Z961&lt;=4000,IF(INDEX(周转筐出入库明细!$E$4:$E$2004,$Z961-2000)=0,"",INDEX(周转筐出入库明细!$E$4:$E$2004,$Z961-2000)),IF($Z961&lt;=5200,IF(INDEX(客户自备加工筐明细!$D$4:$D$1203,$Z961-4000)=0,"",INDEX(客户自备加工筐明细!$D$4:$D$1203,$Z961-4000)),IF($Z961&lt;=5800,IF(INDEX(次果筐明细!$E$4:$E$603,$Z961-5200)=0,"",INDEX(次果筐明细!$E$4:$E$603,$Z961-5200)),"")))))</f>
        <v/>
      </c>
      <c r="F961" s="24" t="str">
        <f>IF($Z961="","",IF($Z961&lt;=2000,IF(INDEX(包装物料出入库明细!$E$4:$E$2003,$Z961-0)=0,"",INDEX(包装物料出入库明细!$E$4:$E$2003,$Z961-0)),IF($Z961&lt;=4000,IF(INDEX(周转筐出入库明细!$D$4:$D$2004,$Z961-2000)=0,"",INDEX(周转筐出入库明细!$D$4:$D$2004,$Z961-2000)),IF($Z961&lt;=5200,IF(INDEX(客户自备加工筐明细!$C$4:$C$1203,$Z961-4000)=0,"",INDEX(客户自备加工筐明细!$C$4:$C$1203,$Z961-4000)),IF($Z961&lt;=5800,IF(INDEX(次果筐明细!$D$4:$D$603,$Z961-5200)=0,"",INDEX(次果筐明细!$D$4:$D$603,$Z961-5200)),"")))))</f>
        <v/>
      </c>
      <c r="G961" s="24" t="str">
        <f>IF($Z961="","",IF($Z961&lt;=2000,IF(INDEX(包装物料出入库明细!$F$4:$F$2003,$Z961-0)=0,"",INDEX(包装物料出入库明细!$F$4:$F$2003,$Z961-0)),IF($Z961&lt;=4000,"",IF($Z961&lt;=5200,"",IF($Z961&lt;=5800,"","")))))</f>
        <v/>
      </c>
      <c r="H961" s="39" t="str">
        <f>IF($Z961="","",IF($Z961&lt;=2000,IF(INDEX(包装物料出入库明细!$L$4:$L$2003,$Z961-0)=0,"",INDEX(包装物料出入库明细!$L$4:$L$2003,$Z961-0)),IF($Z961&lt;=4000,N(INDEX(周转筐出入库明细!$H$4:$H$2004,$Z961-2000))+N(INDEX(周转筐出入库明细!$I$4:$I$2004,$Z961-2000))+N(INDEX(周转筐出入库明细!$J$4:$J$2004,$Z961-2000))+N(INDEX(周转筐出入库明细!$K$4:$K$2004,$Z961-2000)),IF($Z961&lt;=5200,N(INDEX(客户自备加工筐明细!$F$4:$F$1203,$Z961-4000))+N(INDEX(客户自备加工筐明细!$G$4:$G$1203,$Z961-4000)),IF($Z961&lt;=5800,IF(INDEX(次果筐明细!$G$4:$G$603,$Z961-5200)=0,"",INDEX(次果筐明细!$G$4:$G$603,$Z961-5200)),"")))))</f>
        <v/>
      </c>
      <c r="I961" s="24" t="str">
        <f>IF($Z961="","",IF($Z961&lt;=2000,IF(INDEX(包装物料出入库明细!$G$4:$G$2003,$Z961-0)=0,"",INDEX(包装物料出入库明细!$G$4:$G$2003,$Z961-0)),IF($Z961&lt;=4000,"个",IF($Z961&lt;=5200,"个",IF($Z961&lt;=5800,"个","")))))</f>
        <v/>
      </c>
      <c r="J961" s="30" t="str">
        <f t="shared" si="43"/>
        <v/>
      </c>
      <c r="K961" s="30" t="str">
        <f>IF($Z961="","",IF($Z961&lt;=2000,IF(INDEX(包装物料出入库明细!$N$4:$N$2003,$Z961-0)=0,"",INDEX(包装物料出入库明细!$N$4:$N$2003,$Z961-0)),IF($Z961&lt;=4000,IF(INDEX(周转筐出入库明细!$P$4:$P$2004,$Z961-2000)=0,"",INDEX(周转筐出入库明细!$P$4:$P$2004,$Z961-2000)),IF($Z961&lt;=5200,"",IF($Z961&lt;=5800,N(INDEX(次果筐明细!$L$4:$L$603,$Z961-5200))+N(INDEX(次果筐明细!$J$4:$J$603,$Z961-5200)),"")))))</f>
        <v/>
      </c>
      <c r="L961" s="24" t="str">
        <f>IF($Z961="","",IF($Z961&lt;=2000,IF(INDEX(包装物料出入库明细!$P$4:$P$2003,$Z961-0)=0,"",INDEX(包装物料出入库明细!$P$4:$P$2003,$Z961-0)),IF($Z961&lt;=4000,IF(INDEX(周转筐出入库明细!$Q$4:$Q$2004,$Z961-2000)=0,"",INDEX(周转筐出入库明细!$Q$4:$Q$2004,$Z961-2000)),IF($Z961&lt;=5200,"",IF($Z961&lt;=5800,IF(INDEX(次果筐明细!$M$4:$M$603,$Z961-5200)=0,"",INDEX(次果筐明细!$M$4:$M$603,$Z961-5200)),"")))))</f>
        <v/>
      </c>
      <c r="M961" s="37" t="str">
        <f>IF($Z961="","",IF($Z961&lt;=2000,IF(INDEX(包装物料出入库明细!$R$4:$R$2003,$Z961-0)=0,"",INDEX(包装物料出入库明细!$R$4:$R$2003,$Z961-0)),IF($Z961&lt;=4000,IF(INDEX(周转筐出入库明细!$W$4:$W$2004,$Z961-2000)=0,"",INDEX(周转筐出入库明细!$W$4:$W$2004,$Z961-2000)),IF($Z961&lt;=5200,IF(INDEX(客户自备加工筐明细!$L$4:$L$1203,$Z961-4000)=0,"",INDEX(客户自备加工筐明细!$L$4:$L$1203,$Z961-4000)),IF($Z961&lt;=5800,IF(INDEX(次果筐明细!$P$4:$P$603,$Z961-5200)=0,"",INDEX(次果筐明细!$P$4:$P$603,$Z961-5200)),"")))))</f>
        <v/>
      </c>
      <c r="N961" s="16" t="str">
        <f>IF($Z961="","",IF($Z961&lt;=2000,"",IF($Z961&lt;=4000,IF(INDEX(周转筐出入库明细!$D$4:$D$2004,$Z961-2000)=0,"",INDEX(周转筐出入库明细!$D$4:$D$2004,$Z961-2000)),IF($Z961&lt;=5200,IF(INDEX(客户自备加工筐明细!$C$4:$C$1203,$Z961-4000)=0,"",INDEX(客户自备加工筐明细!$C$4:$C$1203,$Z961-4000)),IF($Z961&lt;=5800,IF(INDEX(次果筐明细!$D$4:$D$603,$Z961-5200)=0,"",INDEX(次果筐明细!$D$4:$D$603,$Z961-5200)),"")))))</f>
        <v/>
      </c>
      <c r="O961" s="40" t="str">
        <f>IF($Z961="","",IF($Z961&lt;=2000,"",IF($Z961&lt;=4000,IF(N(INDEX(周转筐出入库明细!$J$4:$J$2004,$Z961-2000))+N(INDEX(周转筐出入库明细!$K$4:$K$2004,$Z961-2000))=0,"",N(INDEX(周转筐出入库明细!$J$4:$J$2004,$Z961-2000))+N(INDEX(周转筐出入库明细!$K$4:$K$2004,$Z961-2000))),IF($Z961&lt;=5200,IF(N(INDEX(客户自备加工筐明细!$G$4:$G$1203,$Z961-4000))=0,"",N(INDEX(客户自备加工筐明细!$G$4:$G$1203,$Z961-4000))),IF($Z961&lt;=5800,IF(ISNUMBER(SEARCH("退",INDEX(次果筐明细!$F$4:$F$603,$Z961-5200)&amp;"")),"",IF(N(INDEX(次果筐明细!$G$4:$G$603,$Z961-5200))=0,"",N(INDEX(次果筐明细!$G$4:$G$603,$Z961-5200)))),"")))))</f>
        <v/>
      </c>
      <c r="P961" s="40" t="str">
        <f>IF($Z961="","",IF($Z961&lt;=2000,"",IF($Z961&lt;=4000,IF(N(INDEX(周转筐出入库明细!$I$4:$I$2004,$Z961-2000))=0,"",N(INDEX(周转筐出入库明细!$I$4:$I$2004,$Z961-2000))),IF($Z961&lt;=5200,"",IF($Z961&lt;=5800,IF(ISNUMBER(SEARCH("退",INDEX(次果筐明细!$F$4:$F$603,$Z961-5200)&amp;"")),IF(N(INDEX(次果筐明细!$G$4:$G$603,$Z961-5200))=0,"",N(INDEX(次果筐明细!$G$4:$G$603,$Z961-5200))),""),"")))))</f>
        <v/>
      </c>
      <c r="Q961" s="40" t="str">
        <f>IF($Z961="","",IF($Z961&lt;=2000,"",IF($Z961&lt;=4000,IF(N(INDEX(周转筐出入库明细!$H$4:$H$2004,$Z961-2000))=0,"",N(INDEX(周转筐出入库明细!$H$4:$H$2004,$Z961-2000))),IF($Z961&lt;=5200,IF(N(INDEX(客户自备加工筐明细!$F$4:$F$1203,$Z961-4000))=0,"",N(INDEX(客户自备加工筐明细!$F$4:$F$1203,$Z961-4000))),IF($Z961&lt;=5800,"","")))))</f>
        <v/>
      </c>
      <c r="R961" s="16" t="str">
        <f>IF($Z961="","",IF($Z961&lt;=2000,IF(INDEX(包装物料出入库明细!$O$4:$O$2003,$Z961-0)=0,"",INDEX(包装物料出入库明细!$O$4:$O$2003,$Z961-0)),IF($Z961&lt;=4000,IF(INDEX(周转筐出入库明细!$M$4:$M$2004,$Z961-2000)=0,"",INDEX(周转筐出入库明细!$M$4:$M$2004,$Z961-2000)),IF($Z961&lt;=5200,IF(INDEX(客户自备加工筐明细!$H$4:$H$1203,$Z961-4000)=0,"",INDEX(客户自备加工筐明细!$H$4:$H$1203,$Z961-4000)),IF($Z961&lt;=5800,IF(INDEX(次果筐明细!$H$4:$H$603,$Z961-5200)=0,"",INDEX(次果筐明细!$H$4:$H$603,$Z961-5200)),"")))))</f>
        <v/>
      </c>
      <c r="S961" s="22" t="str">
        <f t="shared" si="44"/>
        <v/>
      </c>
      <c r="Z961" s="10" t="str">
        <f>IFERROR(MATCH(ROW()-3,_自动清单!$CQ$4:$CQ$5803,0),"")</f>
        <v/>
      </c>
    </row>
    <row r="962" spans="1:26">
      <c r="A962" s="24" t="str">
        <f t="shared" si="42"/>
        <v/>
      </c>
      <c r="B962" s="38" t="str">
        <f>IF($Z962="","",IF($Z962&lt;=2000,IF(INDEX(包装物料出入库明细!$B$4:$B$2003,$Z962-0)=0,"",INDEX(包装物料出入库明细!$B$4:$B$2003,$Z962-0)),IF($Z962&lt;=4000,IF(INDEX(周转筐出入库明细!$B$4:$B$2004,$Z962-2000)=0,"",INDEX(周转筐出入库明细!$B$4:$B$2004,$Z962-2000)),IF($Z962&lt;=5200,IF(INDEX(客户自备加工筐明细!$B$4:$B$1203,$Z962-4000)=0,"",INDEX(客户自备加工筐明细!$B$4:$B$1203,$Z962-4000)),IF($Z962&lt;=5800,IF(INDEX(次果筐明细!$B$4:$B$603,$Z962-5200)=0,"",INDEX(次果筐明细!$B$4:$B$603,$Z962-5200)),"")))))</f>
        <v/>
      </c>
      <c r="C962" s="37" t="str">
        <f>IF($Z962="","",IF($Z962&lt;=2000,IF(INDEX(包装物料出入库明细!$D$4:$D$2003,$Z962-0)=0,"",INDEX(包装物料出入库明细!$D$4:$D$2003,$Z962-0)),IF($Z962&lt;=4000,IF(INDEX(周转筐出入库明细!$C$4:$C$2004,$Z962-2000)=0,"",INDEX(周转筐出入库明细!$C$4:$C$2004,$Z962-2000)),IF($Z962&lt;=5200,IF(INDEX(客户自备加工筐明细!$E$4:$E$1203,$Z962-4000)=0,"",INDEX(客户自备加工筐明细!$E$4:$E$1203,$Z962-4000)),IF($Z962&lt;=5800,IF(INDEX(次果筐明细!$C$4:$C$603,$Z962-5200)=0,"",INDEX(次果筐明细!$C$4:$C$603,$Z962-5200)),"")))))</f>
        <v/>
      </c>
      <c r="D962" s="37" t="str">
        <f>IF($Z962="","",IF($Z962&lt;=2000,"包装物料－"&amp;INDEX(包装物料出入库明细!$H$4:$H$2003,$Z962-0),IF($Z962&lt;=4000,"周转筐－"&amp;INDEX(周转筐出入库明细!$F$4:$F$2004,$Z962-2000),IF($Z962&lt;=5200,"客户自备筐－"&amp;INDEX(客户自备加工筐明细!$J$4:$J$1203,$Z962-4000),IF($Z962&lt;=5800,"次果筐/托盘－"&amp;INDEX(次果筐明细!$F$4:$F$603,$Z962-5200),"")))))</f>
        <v/>
      </c>
      <c r="E962" s="24" t="str">
        <f>IF($Z962="","",IF($Z962&lt;=2000,IF(INDEX(包装物料出入库明细!$C$4:$C$2003,$Z962-0)=0,"",INDEX(包装物料出入库明细!$C$4:$C$2003,$Z962-0)),IF($Z962&lt;=4000,IF(INDEX(周转筐出入库明细!$E$4:$E$2004,$Z962-2000)=0,"",INDEX(周转筐出入库明细!$E$4:$E$2004,$Z962-2000)),IF($Z962&lt;=5200,IF(INDEX(客户自备加工筐明细!$D$4:$D$1203,$Z962-4000)=0,"",INDEX(客户自备加工筐明细!$D$4:$D$1203,$Z962-4000)),IF($Z962&lt;=5800,IF(INDEX(次果筐明细!$E$4:$E$603,$Z962-5200)=0,"",INDEX(次果筐明细!$E$4:$E$603,$Z962-5200)),"")))))</f>
        <v/>
      </c>
      <c r="F962" s="24" t="str">
        <f>IF($Z962="","",IF($Z962&lt;=2000,IF(INDEX(包装物料出入库明细!$E$4:$E$2003,$Z962-0)=0,"",INDEX(包装物料出入库明细!$E$4:$E$2003,$Z962-0)),IF($Z962&lt;=4000,IF(INDEX(周转筐出入库明细!$D$4:$D$2004,$Z962-2000)=0,"",INDEX(周转筐出入库明细!$D$4:$D$2004,$Z962-2000)),IF($Z962&lt;=5200,IF(INDEX(客户自备加工筐明细!$C$4:$C$1203,$Z962-4000)=0,"",INDEX(客户自备加工筐明细!$C$4:$C$1203,$Z962-4000)),IF($Z962&lt;=5800,IF(INDEX(次果筐明细!$D$4:$D$603,$Z962-5200)=0,"",INDEX(次果筐明细!$D$4:$D$603,$Z962-5200)),"")))))</f>
        <v/>
      </c>
      <c r="G962" s="24" t="str">
        <f>IF($Z962="","",IF($Z962&lt;=2000,IF(INDEX(包装物料出入库明细!$F$4:$F$2003,$Z962-0)=0,"",INDEX(包装物料出入库明细!$F$4:$F$2003,$Z962-0)),IF($Z962&lt;=4000,"",IF($Z962&lt;=5200,"",IF($Z962&lt;=5800,"","")))))</f>
        <v/>
      </c>
      <c r="H962" s="39" t="str">
        <f>IF($Z962="","",IF($Z962&lt;=2000,IF(INDEX(包装物料出入库明细!$L$4:$L$2003,$Z962-0)=0,"",INDEX(包装物料出入库明细!$L$4:$L$2003,$Z962-0)),IF($Z962&lt;=4000,N(INDEX(周转筐出入库明细!$H$4:$H$2004,$Z962-2000))+N(INDEX(周转筐出入库明细!$I$4:$I$2004,$Z962-2000))+N(INDEX(周转筐出入库明细!$J$4:$J$2004,$Z962-2000))+N(INDEX(周转筐出入库明细!$K$4:$K$2004,$Z962-2000)),IF($Z962&lt;=5200,N(INDEX(客户自备加工筐明细!$F$4:$F$1203,$Z962-4000))+N(INDEX(客户自备加工筐明细!$G$4:$G$1203,$Z962-4000)),IF($Z962&lt;=5800,IF(INDEX(次果筐明细!$G$4:$G$603,$Z962-5200)=0,"",INDEX(次果筐明细!$G$4:$G$603,$Z962-5200)),"")))))</f>
        <v/>
      </c>
      <c r="I962" s="24" t="str">
        <f>IF($Z962="","",IF($Z962&lt;=2000,IF(INDEX(包装物料出入库明细!$G$4:$G$2003,$Z962-0)=0,"",INDEX(包装物料出入库明细!$G$4:$G$2003,$Z962-0)),IF($Z962&lt;=4000,"个",IF($Z962&lt;=5200,"个",IF($Z962&lt;=5800,"个","")))))</f>
        <v/>
      </c>
      <c r="J962" s="30" t="str">
        <f t="shared" si="43"/>
        <v/>
      </c>
      <c r="K962" s="30" t="str">
        <f>IF($Z962="","",IF($Z962&lt;=2000,IF(INDEX(包装物料出入库明细!$N$4:$N$2003,$Z962-0)=0,"",INDEX(包装物料出入库明细!$N$4:$N$2003,$Z962-0)),IF($Z962&lt;=4000,IF(INDEX(周转筐出入库明细!$P$4:$P$2004,$Z962-2000)=0,"",INDEX(周转筐出入库明细!$P$4:$P$2004,$Z962-2000)),IF($Z962&lt;=5200,"",IF($Z962&lt;=5800,N(INDEX(次果筐明细!$L$4:$L$603,$Z962-5200))+N(INDEX(次果筐明细!$J$4:$J$603,$Z962-5200)),"")))))</f>
        <v/>
      </c>
      <c r="L962" s="24" t="str">
        <f>IF($Z962="","",IF($Z962&lt;=2000,IF(INDEX(包装物料出入库明细!$P$4:$P$2003,$Z962-0)=0,"",INDEX(包装物料出入库明细!$P$4:$P$2003,$Z962-0)),IF($Z962&lt;=4000,IF(INDEX(周转筐出入库明细!$Q$4:$Q$2004,$Z962-2000)=0,"",INDEX(周转筐出入库明细!$Q$4:$Q$2004,$Z962-2000)),IF($Z962&lt;=5200,"",IF($Z962&lt;=5800,IF(INDEX(次果筐明细!$M$4:$M$603,$Z962-5200)=0,"",INDEX(次果筐明细!$M$4:$M$603,$Z962-5200)),"")))))</f>
        <v/>
      </c>
      <c r="M962" s="37" t="str">
        <f>IF($Z962="","",IF($Z962&lt;=2000,IF(INDEX(包装物料出入库明细!$R$4:$R$2003,$Z962-0)=0,"",INDEX(包装物料出入库明细!$R$4:$R$2003,$Z962-0)),IF($Z962&lt;=4000,IF(INDEX(周转筐出入库明细!$W$4:$W$2004,$Z962-2000)=0,"",INDEX(周转筐出入库明细!$W$4:$W$2004,$Z962-2000)),IF($Z962&lt;=5200,IF(INDEX(客户自备加工筐明细!$L$4:$L$1203,$Z962-4000)=0,"",INDEX(客户自备加工筐明细!$L$4:$L$1203,$Z962-4000)),IF($Z962&lt;=5800,IF(INDEX(次果筐明细!$P$4:$P$603,$Z962-5200)=0,"",INDEX(次果筐明细!$P$4:$P$603,$Z962-5200)),"")))))</f>
        <v/>
      </c>
      <c r="N962" s="16" t="str">
        <f>IF($Z962="","",IF($Z962&lt;=2000,"",IF($Z962&lt;=4000,IF(INDEX(周转筐出入库明细!$D$4:$D$2004,$Z962-2000)=0,"",INDEX(周转筐出入库明细!$D$4:$D$2004,$Z962-2000)),IF($Z962&lt;=5200,IF(INDEX(客户自备加工筐明细!$C$4:$C$1203,$Z962-4000)=0,"",INDEX(客户自备加工筐明细!$C$4:$C$1203,$Z962-4000)),IF($Z962&lt;=5800,IF(INDEX(次果筐明细!$D$4:$D$603,$Z962-5200)=0,"",INDEX(次果筐明细!$D$4:$D$603,$Z962-5200)),"")))))</f>
        <v/>
      </c>
      <c r="O962" s="40" t="str">
        <f>IF($Z962="","",IF($Z962&lt;=2000,"",IF($Z962&lt;=4000,IF(N(INDEX(周转筐出入库明细!$J$4:$J$2004,$Z962-2000))+N(INDEX(周转筐出入库明细!$K$4:$K$2004,$Z962-2000))=0,"",N(INDEX(周转筐出入库明细!$J$4:$J$2004,$Z962-2000))+N(INDEX(周转筐出入库明细!$K$4:$K$2004,$Z962-2000))),IF($Z962&lt;=5200,IF(N(INDEX(客户自备加工筐明细!$G$4:$G$1203,$Z962-4000))=0,"",N(INDEX(客户自备加工筐明细!$G$4:$G$1203,$Z962-4000))),IF($Z962&lt;=5800,IF(ISNUMBER(SEARCH("退",INDEX(次果筐明细!$F$4:$F$603,$Z962-5200)&amp;"")),"",IF(N(INDEX(次果筐明细!$G$4:$G$603,$Z962-5200))=0,"",N(INDEX(次果筐明细!$G$4:$G$603,$Z962-5200)))),"")))))</f>
        <v/>
      </c>
      <c r="P962" s="40" t="str">
        <f>IF($Z962="","",IF($Z962&lt;=2000,"",IF($Z962&lt;=4000,IF(N(INDEX(周转筐出入库明细!$I$4:$I$2004,$Z962-2000))=0,"",N(INDEX(周转筐出入库明细!$I$4:$I$2004,$Z962-2000))),IF($Z962&lt;=5200,"",IF($Z962&lt;=5800,IF(ISNUMBER(SEARCH("退",INDEX(次果筐明细!$F$4:$F$603,$Z962-5200)&amp;"")),IF(N(INDEX(次果筐明细!$G$4:$G$603,$Z962-5200))=0,"",N(INDEX(次果筐明细!$G$4:$G$603,$Z962-5200))),""),"")))))</f>
        <v/>
      </c>
      <c r="Q962" s="40" t="str">
        <f>IF($Z962="","",IF($Z962&lt;=2000,"",IF($Z962&lt;=4000,IF(N(INDEX(周转筐出入库明细!$H$4:$H$2004,$Z962-2000))=0,"",N(INDEX(周转筐出入库明细!$H$4:$H$2004,$Z962-2000))),IF($Z962&lt;=5200,IF(N(INDEX(客户自备加工筐明细!$F$4:$F$1203,$Z962-4000))=0,"",N(INDEX(客户自备加工筐明细!$F$4:$F$1203,$Z962-4000))),IF($Z962&lt;=5800,"","")))))</f>
        <v/>
      </c>
      <c r="R962" s="16" t="str">
        <f>IF($Z962="","",IF($Z962&lt;=2000,IF(INDEX(包装物料出入库明细!$O$4:$O$2003,$Z962-0)=0,"",INDEX(包装物料出入库明细!$O$4:$O$2003,$Z962-0)),IF($Z962&lt;=4000,IF(INDEX(周转筐出入库明细!$M$4:$M$2004,$Z962-2000)=0,"",INDEX(周转筐出入库明细!$M$4:$M$2004,$Z962-2000)),IF($Z962&lt;=5200,IF(INDEX(客户自备加工筐明细!$H$4:$H$1203,$Z962-4000)=0,"",INDEX(客户自备加工筐明细!$H$4:$H$1203,$Z962-4000)),IF($Z962&lt;=5800,IF(INDEX(次果筐明细!$H$4:$H$603,$Z962-5200)=0,"",INDEX(次果筐明细!$H$4:$H$603,$Z962-5200)),"")))))</f>
        <v/>
      </c>
      <c r="S962" s="22" t="str">
        <f t="shared" si="44"/>
        <v/>
      </c>
      <c r="Z962" s="10" t="str">
        <f>IFERROR(MATCH(ROW()-3,_自动清单!$CQ$4:$CQ$5803,0),"")</f>
        <v/>
      </c>
    </row>
    <row r="963" spans="1:26">
      <c r="A963" s="24" t="str">
        <f t="shared" si="42"/>
        <v/>
      </c>
      <c r="B963" s="38" t="str">
        <f>IF($Z963="","",IF($Z963&lt;=2000,IF(INDEX(包装物料出入库明细!$B$4:$B$2003,$Z963-0)=0,"",INDEX(包装物料出入库明细!$B$4:$B$2003,$Z963-0)),IF($Z963&lt;=4000,IF(INDEX(周转筐出入库明细!$B$4:$B$2004,$Z963-2000)=0,"",INDEX(周转筐出入库明细!$B$4:$B$2004,$Z963-2000)),IF($Z963&lt;=5200,IF(INDEX(客户自备加工筐明细!$B$4:$B$1203,$Z963-4000)=0,"",INDEX(客户自备加工筐明细!$B$4:$B$1203,$Z963-4000)),IF($Z963&lt;=5800,IF(INDEX(次果筐明细!$B$4:$B$603,$Z963-5200)=0,"",INDEX(次果筐明细!$B$4:$B$603,$Z963-5200)),"")))))</f>
        <v/>
      </c>
      <c r="C963" s="37" t="str">
        <f>IF($Z963="","",IF($Z963&lt;=2000,IF(INDEX(包装物料出入库明细!$D$4:$D$2003,$Z963-0)=0,"",INDEX(包装物料出入库明细!$D$4:$D$2003,$Z963-0)),IF($Z963&lt;=4000,IF(INDEX(周转筐出入库明细!$C$4:$C$2004,$Z963-2000)=0,"",INDEX(周转筐出入库明细!$C$4:$C$2004,$Z963-2000)),IF($Z963&lt;=5200,IF(INDEX(客户自备加工筐明细!$E$4:$E$1203,$Z963-4000)=0,"",INDEX(客户自备加工筐明细!$E$4:$E$1203,$Z963-4000)),IF($Z963&lt;=5800,IF(INDEX(次果筐明细!$C$4:$C$603,$Z963-5200)=0,"",INDEX(次果筐明细!$C$4:$C$603,$Z963-5200)),"")))))</f>
        <v/>
      </c>
      <c r="D963" s="37" t="str">
        <f>IF($Z963="","",IF($Z963&lt;=2000,"包装物料－"&amp;INDEX(包装物料出入库明细!$H$4:$H$2003,$Z963-0),IF($Z963&lt;=4000,"周转筐－"&amp;INDEX(周转筐出入库明细!$F$4:$F$2004,$Z963-2000),IF($Z963&lt;=5200,"客户自备筐－"&amp;INDEX(客户自备加工筐明细!$J$4:$J$1203,$Z963-4000),IF($Z963&lt;=5800,"次果筐/托盘－"&amp;INDEX(次果筐明细!$F$4:$F$603,$Z963-5200),"")))))</f>
        <v/>
      </c>
      <c r="E963" s="24" t="str">
        <f>IF($Z963="","",IF($Z963&lt;=2000,IF(INDEX(包装物料出入库明细!$C$4:$C$2003,$Z963-0)=0,"",INDEX(包装物料出入库明细!$C$4:$C$2003,$Z963-0)),IF($Z963&lt;=4000,IF(INDEX(周转筐出入库明细!$E$4:$E$2004,$Z963-2000)=0,"",INDEX(周转筐出入库明细!$E$4:$E$2004,$Z963-2000)),IF($Z963&lt;=5200,IF(INDEX(客户自备加工筐明细!$D$4:$D$1203,$Z963-4000)=0,"",INDEX(客户自备加工筐明细!$D$4:$D$1203,$Z963-4000)),IF($Z963&lt;=5800,IF(INDEX(次果筐明细!$E$4:$E$603,$Z963-5200)=0,"",INDEX(次果筐明细!$E$4:$E$603,$Z963-5200)),"")))))</f>
        <v/>
      </c>
      <c r="F963" s="24" t="str">
        <f>IF($Z963="","",IF($Z963&lt;=2000,IF(INDEX(包装物料出入库明细!$E$4:$E$2003,$Z963-0)=0,"",INDEX(包装物料出入库明细!$E$4:$E$2003,$Z963-0)),IF($Z963&lt;=4000,IF(INDEX(周转筐出入库明细!$D$4:$D$2004,$Z963-2000)=0,"",INDEX(周转筐出入库明细!$D$4:$D$2004,$Z963-2000)),IF($Z963&lt;=5200,IF(INDEX(客户自备加工筐明细!$C$4:$C$1203,$Z963-4000)=0,"",INDEX(客户自备加工筐明细!$C$4:$C$1203,$Z963-4000)),IF($Z963&lt;=5800,IF(INDEX(次果筐明细!$D$4:$D$603,$Z963-5200)=0,"",INDEX(次果筐明细!$D$4:$D$603,$Z963-5200)),"")))))</f>
        <v/>
      </c>
      <c r="G963" s="24" t="str">
        <f>IF($Z963="","",IF($Z963&lt;=2000,IF(INDEX(包装物料出入库明细!$F$4:$F$2003,$Z963-0)=0,"",INDEX(包装物料出入库明细!$F$4:$F$2003,$Z963-0)),IF($Z963&lt;=4000,"",IF($Z963&lt;=5200,"",IF($Z963&lt;=5800,"","")))))</f>
        <v/>
      </c>
      <c r="H963" s="39" t="str">
        <f>IF($Z963="","",IF($Z963&lt;=2000,IF(INDEX(包装物料出入库明细!$L$4:$L$2003,$Z963-0)=0,"",INDEX(包装物料出入库明细!$L$4:$L$2003,$Z963-0)),IF($Z963&lt;=4000,N(INDEX(周转筐出入库明细!$H$4:$H$2004,$Z963-2000))+N(INDEX(周转筐出入库明细!$I$4:$I$2004,$Z963-2000))+N(INDEX(周转筐出入库明细!$J$4:$J$2004,$Z963-2000))+N(INDEX(周转筐出入库明细!$K$4:$K$2004,$Z963-2000)),IF($Z963&lt;=5200,N(INDEX(客户自备加工筐明细!$F$4:$F$1203,$Z963-4000))+N(INDEX(客户自备加工筐明细!$G$4:$G$1203,$Z963-4000)),IF($Z963&lt;=5800,IF(INDEX(次果筐明细!$G$4:$G$603,$Z963-5200)=0,"",INDEX(次果筐明细!$G$4:$G$603,$Z963-5200)),"")))))</f>
        <v/>
      </c>
      <c r="I963" s="24" t="str">
        <f>IF($Z963="","",IF($Z963&lt;=2000,IF(INDEX(包装物料出入库明细!$G$4:$G$2003,$Z963-0)=0,"",INDEX(包装物料出入库明细!$G$4:$G$2003,$Z963-0)),IF($Z963&lt;=4000,"个",IF($Z963&lt;=5200,"个",IF($Z963&lt;=5800,"个","")))))</f>
        <v/>
      </c>
      <c r="J963" s="30" t="str">
        <f t="shared" si="43"/>
        <v/>
      </c>
      <c r="K963" s="30" t="str">
        <f>IF($Z963="","",IF($Z963&lt;=2000,IF(INDEX(包装物料出入库明细!$N$4:$N$2003,$Z963-0)=0,"",INDEX(包装物料出入库明细!$N$4:$N$2003,$Z963-0)),IF($Z963&lt;=4000,IF(INDEX(周转筐出入库明细!$P$4:$P$2004,$Z963-2000)=0,"",INDEX(周转筐出入库明细!$P$4:$P$2004,$Z963-2000)),IF($Z963&lt;=5200,"",IF($Z963&lt;=5800,N(INDEX(次果筐明细!$L$4:$L$603,$Z963-5200))+N(INDEX(次果筐明细!$J$4:$J$603,$Z963-5200)),"")))))</f>
        <v/>
      </c>
      <c r="L963" s="24" t="str">
        <f>IF($Z963="","",IF($Z963&lt;=2000,IF(INDEX(包装物料出入库明细!$P$4:$P$2003,$Z963-0)=0,"",INDEX(包装物料出入库明细!$P$4:$P$2003,$Z963-0)),IF($Z963&lt;=4000,IF(INDEX(周转筐出入库明细!$Q$4:$Q$2004,$Z963-2000)=0,"",INDEX(周转筐出入库明细!$Q$4:$Q$2004,$Z963-2000)),IF($Z963&lt;=5200,"",IF($Z963&lt;=5800,IF(INDEX(次果筐明细!$M$4:$M$603,$Z963-5200)=0,"",INDEX(次果筐明细!$M$4:$M$603,$Z963-5200)),"")))))</f>
        <v/>
      </c>
      <c r="M963" s="37" t="str">
        <f>IF($Z963="","",IF($Z963&lt;=2000,IF(INDEX(包装物料出入库明细!$R$4:$R$2003,$Z963-0)=0,"",INDEX(包装物料出入库明细!$R$4:$R$2003,$Z963-0)),IF($Z963&lt;=4000,IF(INDEX(周转筐出入库明细!$W$4:$W$2004,$Z963-2000)=0,"",INDEX(周转筐出入库明细!$W$4:$W$2004,$Z963-2000)),IF($Z963&lt;=5200,IF(INDEX(客户自备加工筐明细!$L$4:$L$1203,$Z963-4000)=0,"",INDEX(客户自备加工筐明细!$L$4:$L$1203,$Z963-4000)),IF($Z963&lt;=5800,IF(INDEX(次果筐明细!$P$4:$P$603,$Z963-5200)=0,"",INDEX(次果筐明细!$P$4:$P$603,$Z963-5200)),"")))))</f>
        <v/>
      </c>
      <c r="N963" s="16" t="str">
        <f>IF($Z963="","",IF($Z963&lt;=2000,"",IF($Z963&lt;=4000,IF(INDEX(周转筐出入库明细!$D$4:$D$2004,$Z963-2000)=0,"",INDEX(周转筐出入库明细!$D$4:$D$2004,$Z963-2000)),IF($Z963&lt;=5200,IF(INDEX(客户自备加工筐明细!$C$4:$C$1203,$Z963-4000)=0,"",INDEX(客户自备加工筐明细!$C$4:$C$1203,$Z963-4000)),IF($Z963&lt;=5800,IF(INDEX(次果筐明细!$D$4:$D$603,$Z963-5200)=0,"",INDEX(次果筐明细!$D$4:$D$603,$Z963-5200)),"")))))</f>
        <v/>
      </c>
      <c r="O963" s="40" t="str">
        <f>IF($Z963="","",IF($Z963&lt;=2000,"",IF($Z963&lt;=4000,IF(N(INDEX(周转筐出入库明细!$J$4:$J$2004,$Z963-2000))+N(INDEX(周转筐出入库明细!$K$4:$K$2004,$Z963-2000))=0,"",N(INDEX(周转筐出入库明细!$J$4:$J$2004,$Z963-2000))+N(INDEX(周转筐出入库明细!$K$4:$K$2004,$Z963-2000))),IF($Z963&lt;=5200,IF(N(INDEX(客户自备加工筐明细!$G$4:$G$1203,$Z963-4000))=0,"",N(INDEX(客户自备加工筐明细!$G$4:$G$1203,$Z963-4000))),IF($Z963&lt;=5800,IF(ISNUMBER(SEARCH("退",INDEX(次果筐明细!$F$4:$F$603,$Z963-5200)&amp;"")),"",IF(N(INDEX(次果筐明细!$G$4:$G$603,$Z963-5200))=0,"",N(INDEX(次果筐明细!$G$4:$G$603,$Z963-5200)))),"")))))</f>
        <v/>
      </c>
      <c r="P963" s="40" t="str">
        <f>IF($Z963="","",IF($Z963&lt;=2000,"",IF($Z963&lt;=4000,IF(N(INDEX(周转筐出入库明细!$I$4:$I$2004,$Z963-2000))=0,"",N(INDEX(周转筐出入库明细!$I$4:$I$2004,$Z963-2000))),IF($Z963&lt;=5200,"",IF($Z963&lt;=5800,IF(ISNUMBER(SEARCH("退",INDEX(次果筐明细!$F$4:$F$603,$Z963-5200)&amp;"")),IF(N(INDEX(次果筐明细!$G$4:$G$603,$Z963-5200))=0,"",N(INDEX(次果筐明细!$G$4:$G$603,$Z963-5200))),""),"")))))</f>
        <v/>
      </c>
      <c r="Q963" s="40" t="str">
        <f>IF($Z963="","",IF($Z963&lt;=2000,"",IF($Z963&lt;=4000,IF(N(INDEX(周转筐出入库明细!$H$4:$H$2004,$Z963-2000))=0,"",N(INDEX(周转筐出入库明细!$H$4:$H$2004,$Z963-2000))),IF($Z963&lt;=5200,IF(N(INDEX(客户自备加工筐明细!$F$4:$F$1203,$Z963-4000))=0,"",N(INDEX(客户自备加工筐明细!$F$4:$F$1203,$Z963-4000))),IF($Z963&lt;=5800,"","")))))</f>
        <v/>
      </c>
      <c r="R963" s="16" t="str">
        <f>IF($Z963="","",IF($Z963&lt;=2000,IF(INDEX(包装物料出入库明细!$O$4:$O$2003,$Z963-0)=0,"",INDEX(包装物料出入库明细!$O$4:$O$2003,$Z963-0)),IF($Z963&lt;=4000,IF(INDEX(周转筐出入库明细!$M$4:$M$2004,$Z963-2000)=0,"",INDEX(周转筐出入库明细!$M$4:$M$2004,$Z963-2000)),IF($Z963&lt;=5200,IF(INDEX(客户自备加工筐明细!$H$4:$H$1203,$Z963-4000)=0,"",INDEX(客户自备加工筐明细!$H$4:$H$1203,$Z963-4000)),IF($Z963&lt;=5800,IF(INDEX(次果筐明细!$H$4:$H$603,$Z963-5200)=0,"",INDEX(次果筐明细!$H$4:$H$603,$Z963-5200)),"")))))</f>
        <v/>
      </c>
      <c r="S963" s="22" t="str">
        <f t="shared" si="44"/>
        <v/>
      </c>
      <c r="Z963" s="10" t="str">
        <f>IFERROR(MATCH(ROW()-3,_自动清单!$CQ$4:$CQ$5803,0),"")</f>
        <v/>
      </c>
    </row>
    <row r="964" spans="1:26">
      <c r="A964" s="24" t="str">
        <f t="shared" ref="A964:A1027" si="45">IF($B964="","",ROW()-3)</f>
        <v/>
      </c>
      <c r="B964" s="38" t="str">
        <f>IF($Z964="","",IF($Z964&lt;=2000,IF(INDEX(包装物料出入库明细!$B$4:$B$2003,$Z964-0)=0,"",INDEX(包装物料出入库明细!$B$4:$B$2003,$Z964-0)),IF($Z964&lt;=4000,IF(INDEX(周转筐出入库明细!$B$4:$B$2004,$Z964-2000)=0,"",INDEX(周转筐出入库明细!$B$4:$B$2004,$Z964-2000)),IF($Z964&lt;=5200,IF(INDEX(客户自备加工筐明细!$B$4:$B$1203,$Z964-4000)=0,"",INDEX(客户自备加工筐明细!$B$4:$B$1203,$Z964-4000)),IF($Z964&lt;=5800,IF(INDEX(次果筐明细!$B$4:$B$603,$Z964-5200)=0,"",INDEX(次果筐明细!$B$4:$B$603,$Z964-5200)),"")))))</f>
        <v/>
      </c>
      <c r="C964" s="37" t="str">
        <f>IF($Z964="","",IF($Z964&lt;=2000,IF(INDEX(包装物料出入库明细!$D$4:$D$2003,$Z964-0)=0,"",INDEX(包装物料出入库明细!$D$4:$D$2003,$Z964-0)),IF($Z964&lt;=4000,IF(INDEX(周转筐出入库明细!$C$4:$C$2004,$Z964-2000)=0,"",INDEX(周转筐出入库明细!$C$4:$C$2004,$Z964-2000)),IF($Z964&lt;=5200,IF(INDEX(客户自备加工筐明细!$E$4:$E$1203,$Z964-4000)=0,"",INDEX(客户自备加工筐明细!$E$4:$E$1203,$Z964-4000)),IF($Z964&lt;=5800,IF(INDEX(次果筐明细!$C$4:$C$603,$Z964-5200)=0,"",INDEX(次果筐明细!$C$4:$C$603,$Z964-5200)),"")))))</f>
        <v/>
      </c>
      <c r="D964" s="37" t="str">
        <f>IF($Z964="","",IF($Z964&lt;=2000,"包装物料－"&amp;INDEX(包装物料出入库明细!$H$4:$H$2003,$Z964-0),IF($Z964&lt;=4000,"周转筐－"&amp;INDEX(周转筐出入库明细!$F$4:$F$2004,$Z964-2000),IF($Z964&lt;=5200,"客户自备筐－"&amp;INDEX(客户自备加工筐明细!$J$4:$J$1203,$Z964-4000),IF($Z964&lt;=5800,"次果筐/托盘－"&amp;INDEX(次果筐明细!$F$4:$F$603,$Z964-5200),"")))))</f>
        <v/>
      </c>
      <c r="E964" s="24" t="str">
        <f>IF($Z964="","",IF($Z964&lt;=2000,IF(INDEX(包装物料出入库明细!$C$4:$C$2003,$Z964-0)=0,"",INDEX(包装物料出入库明细!$C$4:$C$2003,$Z964-0)),IF($Z964&lt;=4000,IF(INDEX(周转筐出入库明细!$E$4:$E$2004,$Z964-2000)=0,"",INDEX(周转筐出入库明细!$E$4:$E$2004,$Z964-2000)),IF($Z964&lt;=5200,IF(INDEX(客户自备加工筐明细!$D$4:$D$1203,$Z964-4000)=0,"",INDEX(客户自备加工筐明细!$D$4:$D$1203,$Z964-4000)),IF($Z964&lt;=5800,IF(INDEX(次果筐明细!$E$4:$E$603,$Z964-5200)=0,"",INDEX(次果筐明细!$E$4:$E$603,$Z964-5200)),"")))))</f>
        <v/>
      </c>
      <c r="F964" s="24" t="str">
        <f>IF($Z964="","",IF($Z964&lt;=2000,IF(INDEX(包装物料出入库明细!$E$4:$E$2003,$Z964-0)=0,"",INDEX(包装物料出入库明细!$E$4:$E$2003,$Z964-0)),IF($Z964&lt;=4000,IF(INDEX(周转筐出入库明细!$D$4:$D$2004,$Z964-2000)=0,"",INDEX(周转筐出入库明细!$D$4:$D$2004,$Z964-2000)),IF($Z964&lt;=5200,IF(INDEX(客户自备加工筐明细!$C$4:$C$1203,$Z964-4000)=0,"",INDEX(客户自备加工筐明细!$C$4:$C$1203,$Z964-4000)),IF($Z964&lt;=5800,IF(INDEX(次果筐明细!$D$4:$D$603,$Z964-5200)=0,"",INDEX(次果筐明细!$D$4:$D$603,$Z964-5200)),"")))))</f>
        <v/>
      </c>
      <c r="G964" s="24" t="str">
        <f>IF($Z964="","",IF($Z964&lt;=2000,IF(INDEX(包装物料出入库明细!$F$4:$F$2003,$Z964-0)=0,"",INDEX(包装物料出入库明细!$F$4:$F$2003,$Z964-0)),IF($Z964&lt;=4000,"",IF($Z964&lt;=5200,"",IF($Z964&lt;=5800,"","")))))</f>
        <v/>
      </c>
      <c r="H964" s="39" t="str">
        <f>IF($Z964="","",IF($Z964&lt;=2000,IF(INDEX(包装物料出入库明细!$L$4:$L$2003,$Z964-0)=0,"",INDEX(包装物料出入库明细!$L$4:$L$2003,$Z964-0)),IF($Z964&lt;=4000,N(INDEX(周转筐出入库明细!$H$4:$H$2004,$Z964-2000))+N(INDEX(周转筐出入库明细!$I$4:$I$2004,$Z964-2000))+N(INDEX(周转筐出入库明细!$J$4:$J$2004,$Z964-2000))+N(INDEX(周转筐出入库明细!$K$4:$K$2004,$Z964-2000)),IF($Z964&lt;=5200,N(INDEX(客户自备加工筐明细!$F$4:$F$1203,$Z964-4000))+N(INDEX(客户自备加工筐明细!$G$4:$G$1203,$Z964-4000)),IF($Z964&lt;=5800,IF(INDEX(次果筐明细!$G$4:$G$603,$Z964-5200)=0,"",INDEX(次果筐明细!$G$4:$G$603,$Z964-5200)),"")))))</f>
        <v/>
      </c>
      <c r="I964" s="24" t="str">
        <f>IF($Z964="","",IF($Z964&lt;=2000,IF(INDEX(包装物料出入库明细!$G$4:$G$2003,$Z964-0)=0,"",INDEX(包装物料出入库明细!$G$4:$G$2003,$Z964-0)),IF($Z964&lt;=4000,"个",IF($Z964&lt;=5200,"个",IF($Z964&lt;=5800,"个","")))))</f>
        <v/>
      </c>
      <c r="J964" s="30" t="str">
        <f t="shared" ref="J964:J1027" si="46">IF($Z964="","",IF($Z964&lt;=2000,"",IF($Z964&lt;=4000,"",IF($Z964&lt;=5200,"",IF($Z964&lt;=5800,"","")))))</f>
        <v/>
      </c>
      <c r="K964" s="30" t="str">
        <f>IF($Z964="","",IF($Z964&lt;=2000,IF(INDEX(包装物料出入库明细!$N$4:$N$2003,$Z964-0)=0,"",INDEX(包装物料出入库明细!$N$4:$N$2003,$Z964-0)),IF($Z964&lt;=4000,IF(INDEX(周转筐出入库明细!$P$4:$P$2004,$Z964-2000)=0,"",INDEX(周转筐出入库明细!$P$4:$P$2004,$Z964-2000)),IF($Z964&lt;=5200,"",IF($Z964&lt;=5800,N(INDEX(次果筐明细!$L$4:$L$603,$Z964-5200))+N(INDEX(次果筐明细!$J$4:$J$603,$Z964-5200)),"")))))</f>
        <v/>
      </c>
      <c r="L964" s="24" t="str">
        <f>IF($Z964="","",IF($Z964&lt;=2000,IF(INDEX(包装物料出入库明细!$P$4:$P$2003,$Z964-0)=0,"",INDEX(包装物料出入库明细!$P$4:$P$2003,$Z964-0)),IF($Z964&lt;=4000,IF(INDEX(周转筐出入库明细!$Q$4:$Q$2004,$Z964-2000)=0,"",INDEX(周转筐出入库明细!$Q$4:$Q$2004,$Z964-2000)),IF($Z964&lt;=5200,"",IF($Z964&lt;=5800,IF(INDEX(次果筐明细!$M$4:$M$603,$Z964-5200)=0,"",INDEX(次果筐明细!$M$4:$M$603,$Z964-5200)),"")))))</f>
        <v/>
      </c>
      <c r="M964" s="37" t="str">
        <f>IF($Z964="","",IF($Z964&lt;=2000,IF(INDEX(包装物料出入库明细!$R$4:$R$2003,$Z964-0)=0,"",INDEX(包装物料出入库明细!$R$4:$R$2003,$Z964-0)),IF($Z964&lt;=4000,IF(INDEX(周转筐出入库明细!$W$4:$W$2004,$Z964-2000)=0,"",INDEX(周转筐出入库明细!$W$4:$W$2004,$Z964-2000)),IF($Z964&lt;=5200,IF(INDEX(客户自备加工筐明细!$L$4:$L$1203,$Z964-4000)=0,"",INDEX(客户自备加工筐明细!$L$4:$L$1203,$Z964-4000)),IF($Z964&lt;=5800,IF(INDEX(次果筐明细!$P$4:$P$603,$Z964-5200)=0,"",INDEX(次果筐明细!$P$4:$P$603,$Z964-5200)),"")))))</f>
        <v/>
      </c>
      <c r="N964" s="16" t="str">
        <f>IF($Z964="","",IF($Z964&lt;=2000,"",IF($Z964&lt;=4000,IF(INDEX(周转筐出入库明细!$D$4:$D$2004,$Z964-2000)=0,"",INDEX(周转筐出入库明细!$D$4:$D$2004,$Z964-2000)),IF($Z964&lt;=5200,IF(INDEX(客户自备加工筐明细!$C$4:$C$1203,$Z964-4000)=0,"",INDEX(客户自备加工筐明细!$C$4:$C$1203,$Z964-4000)),IF($Z964&lt;=5800,IF(INDEX(次果筐明细!$D$4:$D$603,$Z964-5200)=0,"",INDEX(次果筐明细!$D$4:$D$603,$Z964-5200)),"")))))</f>
        <v/>
      </c>
      <c r="O964" s="40" t="str">
        <f>IF($Z964="","",IF($Z964&lt;=2000,"",IF($Z964&lt;=4000,IF(N(INDEX(周转筐出入库明细!$J$4:$J$2004,$Z964-2000))+N(INDEX(周转筐出入库明细!$K$4:$K$2004,$Z964-2000))=0,"",N(INDEX(周转筐出入库明细!$J$4:$J$2004,$Z964-2000))+N(INDEX(周转筐出入库明细!$K$4:$K$2004,$Z964-2000))),IF($Z964&lt;=5200,IF(N(INDEX(客户自备加工筐明细!$G$4:$G$1203,$Z964-4000))=0,"",N(INDEX(客户自备加工筐明细!$G$4:$G$1203,$Z964-4000))),IF($Z964&lt;=5800,IF(ISNUMBER(SEARCH("退",INDEX(次果筐明细!$F$4:$F$603,$Z964-5200)&amp;"")),"",IF(N(INDEX(次果筐明细!$G$4:$G$603,$Z964-5200))=0,"",N(INDEX(次果筐明细!$G$4:$G$603,$Z964-5200)))),"")))))</f>
        <v/>
      </c>
      <c r="P964" s="40" t="str">
        <f>IF($Z964="","",IF($Z964&lt;=2000,"",IF($Z964&lt;=4000,IF(N(INDEX(周转筐出入库明细!$I$4:$I$2004,$Z964-2000))=0,"",N(INDEX(周转筐出入库明细!$I$4:$I$2004,$Z964-2000))),IF($Z964&lt;=5200,"",IF($Z964&lt;=5800,IF(ISNUMBER(SEARCH("退",INDEX(次果筐明细!$F$4:$F$603,$Z964-5200)&amp;"")),IF(N(INDEX(次果筐明细!$G$4:$G$603,$Z964-5200))=0,"",N(INDEX(次果筐明细!$G$4:$G$603,$Z964-5200))),""),"")))))</f>
        <v/>
      </c>
      <c r="Q964" s="40" t="str">
        <f>IF($Z964="","",IF($Z964&lt;=2000,"",IF($Z964&lt;=4000,IF(N(INDEX(周转筐出入库明细!$H$4:$H$2004,$Z964-2000))=0,"",N(INDEX(周转筐出入库明细!$H$4:$H$2004,$Z964-2000))),IF($Z964&lt;=5200,IF(N(INDEX(客户自备加工筐明细!$F$4:$F$1203,$Z964-4000))=0,"",N(INDEX(客户自备加工筐明细!$F$4:$F$1203,$Z964-4000))),IF($Z964&lt;=5800,"","")))))</f>
        <v/>
      </c>
      <c r="R964" s="16" t="str">
        <f>IF($Z964="","",IF($Z964&lt;=2000,IF(INDEX(包装物料出入库明细!$O$4:$O$2003,$Z964-0)=0,"",INDEX(包装物料出入库明细!$O$4:$O$2003,$Z964-0)),IF($Z964&lt;=4000,IF(INDEX(周转筐出入库明细!$M$4:$M$2004,$Z964-2000)=0,"",INDEX(周转筐出入库明细!$M$4:$M$2004,$Z964-2000)),IF($Z964&lt;=5200,IF(INDEX(客户自备加工筐明细!$H$4:$H$1203,$Z964-4000)=0,"",INDEX(客户自备加工筐明细!$H$4:$H$1203,$Z964-4000)),IF($Z964&lt;=5800,IF(INDEX(次果筐明细!$H$4:$H$603,$Z964-5200)=0,"",INDEX(次果筐明细!$H$4:$H$603,$Z964-5200)),"")))))</f>
        <v/>
      </c>
      <c r="S964" s="22" t="str">
        <f t="shared" ref="S964:S1027" si="47">IF($N964="","",IF(OR(LEFT($N964,2)="自备",AND($Z964&gt;4000,$Z964&lt;=5200)),"自备筐","公司筐"))</f>
        <v/>
      </c>
      <c r="Z964" s="10" t="str">
        <f>IFERROR(MATCH(ROW()-3,_自动清单!$CQ$4:$CQ$5803,0),"")</f>
        <v/>
      </c>
    </row>
    <row r="965" spans="1:26">
      <c r="A965" s="24" t="str">
        <f t="shared" si="45"/>
        <v/>
      </c>
      <c r="B965" s="38" t="str">
        <f>IF($Z965="","",IF($Z965&lt;=2000,IF(INDEX(包装物料出入库明细!$B$4:$B$2003,$Z965-0)=0,"",INDEX(包装物料出入库明细!$B$4:$B$2003,$Z965-0)),IF($Z965&lt;=4000,IF(INDEX(周转筐出入库明细!$B$4:$B$2004,$Z965-2000)=0,"",INDEX(周转筐出入库明细!$B$4:$B$2004,$Z965-2000)),IF($Z965&lt;=5200,IF(INDEX(客户自备加工筐明细!$B$4:$B$1203,$Z965-4000)=0,"",INDEX(客户自备加工筐明细!$B$4:$B$1203,$Z965-4000)),IF($Z965&lt;=5800,IF(INDEX(次果筐明细!$B$4:$B$603,$Z965-5200)=0,"",INDEX(次果筐明细!$B$4:$B$603,$Z965-5200)),"")))))</f>
        <v/>
      </c>
      <c r="C965" s="37" t="str">
        <f>IF($Z965="","",IF($Z965&lt;=2000,IF(INDEX(包装物料出入库明细!$D$4:$D$2003,$Z965-0)=0,"",INDEX(包装物料出入库明细!$D$4:$D$2003,$Z965-0)),IF($Z965&lt;=4000,IF(INDEX(周转筐出入库明细!$C$4:$C$2004,$Z965-2000)=0,"",INDEX(周转筐出入库明细!$C$4:$C$2004,$Z965-2000)),IF($Z965&lt;=5200,IF(INDEX(客户自备加工筐明细!$E$4:$E$1203,$Z965-4000)=0,"",INDEX(客户自备加工筐明细!$E$4:$E$1203,$Z965-4000)),IF($Z965&lt;=5800,IF(INDEX(次果筐明细!$C$4:$C$603,$Z965-5200)=0,"",INDEX(次果筐明细!$C$4:$C$603,$Z965-5200)),"")))))</f>
        <v/>
      </c>
      <c r="D965" s="37" t="str">
        <f>IF($Z965="","",IF($Z965&lt;=2000,"包装物料－"&amp;INDEX(包装物料出入库明细!$H$4:$H$2003,$Z965-0),IF($Z965&lt;=4000,"周转筐－"&amp;INDEX(周转筐出入库明细!$F$4:$F$2004,$Z965-2000),IF($Z965&lt;=5200,"客户自备筐－"&amp;INDEX(客户自备加工筐明细!$J$4:$J$1203,$Z965-4000),IF($Z965&lt;=5800,"次果筐/托盘－"&amp;INDEX(次果筐明细!$F$4:$F$603,$Z965-5200),"")))))</f>
        <v/>
      </c>
      <c r="E965" s="24" t="str">
        <f>IF($Z965="","",IF($Z965&lt;=2000,IF(INDEX(包装物料出入库明细!$C$4:$C$2003,$Z965-0)=0,"",INDEX(包装物料出入库明细!$C$4:$C$2003,$Z965-0)),IF($Z965&lt;=4000,IF(INDEX(周转筐出入库明细!$E$4:$E$2004,$Z965-2000)=0,"",INDEX(周转筐出入库明细!$E$4:$E$2004,$Z965-2000)),IF($Z965&lt;=5200,IF(INDEX(客户自备加工筐明细!$D$4:$D$1203,$Z965-4000)=0,"",INDEX(客户自备加工筐明细!$D$4:$D$1203,$Z965-4000)),IF($Z965&lt;=5800,IF(INDEX(次果筐明细!$E$4:$E$603,$Z965-5200)=0,"",INDEX(次果筐明细!$E$4:$E$603,$Z965-5200)),"")))))</f>
        <v/>
      </c>
      <c r="F965" s="24" t="str">
        <f>IF($Z965="","",IF($Z965&lt;=2000,IF(INDEX(包装物料出入库明细!$E$4:$E$2003,$Z965-0)=0,"",INDEX(包装物料出入库明细!$E$4:$E$2003,$Z965-0)),IF($Z965&lt;=4000,IF(INDEX(周转筐出入库明细!$D$4:$D$2004,$Z965-2000)=0,"",INDEX(周转筐出入库明细!$D$4:$D$2004,$Z965-2000)),IF($Z965&lt;=5200,IF(INDEX(客户自备加工筐明细!$C$4:$C$1203,$Z965-4000)=0,"",INDEX(客户自备加工筐明细!$C$4:$C$1203,$Z965-4000)),IF($Z965&lt;=5800,IF(INDEX(次果筐明细!$D$4:$D$603,$Z965-5200)=0,"",INDEX(次果筐明细!$D$4:$D$603,$Z965-5200)),"")))))</f>
        <v/>
      </c>
      <c r="G965" s="24" t="str">
        <f>IF($Z965="","",IF($Z965&lt;=2000,IF(INDEX(包装物料出入库明细!$F$4:$F$2003,$Z965-0)=0,"",INDEX(包装物料出入库明细!$F$4:$F$2003,$Z965-0)),IF($Z965&lt;=4000,"",IF($Z965&lt;=5200,"",IF($Z965&lt;=5800,"","")))))</f>
        <v/>
      </c>
      <c r="H965" s="39" t="str">
        <f>IF($Z965="","",IF($Z965&lt;=2000,IF(INDEX(包装物料出入库明细!$L$4:$L$2003,$Z965-0)=0,"",INDEX(包装物料出入库明细!$L$4:$L$2003,$Z965-0)),IF($Z965&lt;=4000,N(INDEX(周转筐出入库明细!$H$4:$H$2004,$Z965-2000))+N(INDEX(周转筐出入库明细!$I$4:$I$2004,$Z965-2000))+N(INDEX(周转筐出入库明细!$J$4:$J$2004,$Z965-2000))+N(INDEX(周转筐出入库明细!$K$4:$K$2004,$Z965-2000)),IF($Z965&lt;=5200,N(INDEX(客户自备加工筐明细!$F$4:$F$1203,$Z965-4000))+N(INDEX(客户自备加工筐明细!$G$4:$G$1203,$Z965-4000)),IF($Z965&lt;=5800,IF(INDEX(次果筐明细!$G$4:$G$603,$Z965-5200)=0,"",INDEX(次果筐明细!$G$4:$G$603,$Z965-5200)),"")))))</f>
        <v/>
      </c>
      <c r="I965" s="24" t="str">
        <f>IF($Z965="","",IF($Z965&lt;=2000,IF(INDEX(包装物料出入库明细!$G$4:$G$2003,$Z965-0)=0,"",INDEX(包装物料出入库明细!$G$4:$G$2003,$Z965-0)),IF($Z965&lt;=4000,"个",IF($Z965&lt;=5200,"个",IF($Z965&lt;=5800,"个","")))))</f>
        <v/>
      </c>
      <c r="J965" s="30" t="str">
        <f t="shared" si="46"/>
        <v/>
      </c>
      <c r="K965" s="30" t="str">
        <f>IF($Z965="","",IF($Z965&lt;=2000,IF(INDEX(包装物料出入库明细!$N$4:$N$2003,$Z965-0)=0,"",INDEX(包装物料出入库明细!$N$4:$N$2003,$Z965-0)),IF($Z965&lt;=4000,IF(INDEX(周转筐出入库明细!$P$4:$P$2004,$Z965-2000)=0,"",INDEX(周转筐出入库明细!$P$4:$P$2004,$Z965-2000)),IF($Z965&lt;=5200,"",IF($Z965&lt;=5800,N(INDEX(次果筐明细!$L$4:$L$603,$Z965-5200))+N(INDEX(次果筐明细!$J$4:$J$603,$Z965-5200)),"")))))</f>
        <v/>
      </c>
      <c r="L965" s="24" t="str">
        <f>IF($Z965="","",IF($Z965&lt;=2000,IF(INDEX(包装物料出入库明细!$P$4:$P$2003,$Z965-0)=0,"",INDEX(包装物料出入库明细!$P$4:$P$2003,$Z965-0)),IF($Z965&lt;=4000,IF(INDEX(周转筐出入库明细!$Q$4:$Q$2004,$Z965-2000)=0,"",INDEX(周转筐出入库明细!$Q$4:$Q$2004,$Z965-2000)),IF($Z965&lt;=5200,"",IF($Z965&lt;=5800,IF(INDEX(次果筐明细!$M$4:$M$603,$Z965-5200)=0,"",INDEX(次果筐明细!$M$4:$M$603,$Z965-5200)),"")))))</f>
        <v/>
      </c>
      <c r="M965" s="37" t="str">
        <f>IF($Z965="","",IF($Z965&lt;=2000,IF(INDEX(包装物料出入库明细!$R$4:$R$2003,$Z965-0)=0,"",INDEX(包装物料出入库明细!$R$4:$R$2003,$Z965-0)),IF($Z965&lt;=4000,IF(INDEX(周转筐出入库明细!$W$4:$W$2004,$Z965-2000)=0,"",INDEX(周转筐出入库明细!$W$4:$W$2004,$Z965-2000)),IF($Z965&lt;=5200,IF(INDEX(客户自备加工筐明细!$L$4:$L$1203,$Z965-4000)=0,"",INDEX(客户自备加工筐明细!$L$4:$L$1203,$Z965-4000)),IF($Z965&lt;=5800,IF(INDEX(次果筐明细!$P$4:$P$603,$Z965-5200)=0,"",INDEX(次果筐明细!$P$4:$P$603,$Z965-5200)),"")))))</f>
        <v/>
      </c>
      <c r="N965" s="16" t="str">
        <f>IF($Z965="","",IF($Z965&lt;=2000,"",IF($Z965&lt;=4000,IF(INDEX(周转筐出入库明细!$D$4:$D$2004,$Z965-2000)=0,"",INDEX(周转筐出入库明细!$D$4:$D$2004,$Z965-2000)),IF($Z965&lt;=5200,IF(INDEX(客户自备加工筐明细!$C$4:$C$1203,$Z965-4000)=0,"",INDEX(客户自备加工筐明细!$C$4:$C$1203,$Z965-4000)),IF($Z965&lt;=5800,IF(INDEX(次果筐明细!$D$4:$D$603,$Z965-5200)=0,"",INDEX(次果筐明细!$D$4:$D$603,$Z965-5200)),"")))))</f>
        <v/>
      </c>
      <c r="O965" s="40" t="str">
        <f>IF($Z965="","",IF($Z965&lt;=2000,"",IF($Z965&lt;=4000,IF(N(INDEX(周转筐出入库明细!$J$4:$J$2004,$Z965-2000))+N(INDEX(周转筐出入库明细!$K$4:$K$2004,$Z965-2000))=0,"",N(INDEX(周转筐出入库明细!$J$4:$J$2004,$Z965-2000))+N(INDEX(周转筐出入库明细!$K$4:$K$2004,$Z965-2000))),IF($Z965&lt;=5200,IF(N(INDEX(客户自备加工筐明细!$G$4:$G$1203,$Z965-4000))=0,"",N(INDEX(客户自备加工筐明细!$G$4:$G$1203,$Z965-4000))),IF($Z965&lt;=5800,IF(ISNUMBER(SEARCH("退",INDEX(次果筐明细!$F$4:$F$603,$Z965-5200)&amp;"")),"",IF(N(INDEX(次果筐明细!$G$4:$G$603,$Z965-5200))=0,"",N(INDEX(次果筐明细!$G$4:$G$603,$Z965-5200)))),"")))))</f>
        <v/>
      </c>
      <c r="P965" s="40" t="str">
        <f>IF($Z965="","",IF($Z965&lt;=2000,"",IF($Z965&lt;=4000,IF(N(INDEX(周转筐出入库明细!$I$4:$I$2004,$Z965-2000))=0,"",N(INDEX(周转筐出入库明细!$I$4:$I$2004,$Z965-2000))),IF($Z965&lt;=5200,"",IF($Z965&lt;=5800,IF(ISNUMBER(SEARCH("退",INDEX(次果筐明细!$F$4:$F$603,$Z965-5200)&amp;"")),IF(N(INDEX(次果筐明细!$G$4:$G$603,$Z965-5200))=0,"",N(INDEX(次果筐明细!$G$4:$G$603,$Z965-5200))),""),"")))))</f>
        <v/>
      </c>
      <c r="Q965" s="40" t="str">
        <f>IF($Z965="","",IF($Z965&lt;=2000,"",IF($Z965&lt;=4000,IF(N(INDEX(周转筐出入库明细!$H$4:$H$2004,$Z965-2000))=0,"",N(INDEX(周转筐出入库明细!$H$4:$H$2004,$Z965-2000))),IF($Z965&lt;=5200,IF(N(INDEX(客户自备加工筐明细!$F$4:$F$1203,$Z965-4000))=0,"",N(INDEX(客户自备加工筐明细!$F$4:$F$1203,$Z965-4000))),IF($Z965&lt;=5800,"","")))))</f>
        <v/>
      </c>
      <c r="R965" s="16" t="str">
        <f>IF($Z965="","",IF($Z965&lt;=2000,IF(INDEX(包装物料出入库明细!$O$4:$O$2003,$Z965-0)=0,"",INDEX(包装物料出入库明细!$O$4:$O$2003,$Z965-0)),IF($Z965&lt;=4000,IF(INDEX(周转筐出入库明细!$M$4:$M$2004,$Z965-2000)=0,"",INDEX(周转筐出入库明细!$M$4:$M$2004,$Z965-2000)),IF($Z965&lt;=5200,IF(INDEX(客户自备加工筐明细!$H$4:$H$1203,$Z965-4000)=0,"",INDEX(客户自备加工筐明细!$H$4:$H$1203,$Z965-4000)),IF($Z965&lt;=5800,IF(INDEX(次果筐明细!$H$4:$H$603,$Z965-5200)=0,"",INDEX(次果筐明细!$H$4:$H$603,$Z965-5200)),"")))))</f>
        <v/>
      </c>
      <c r="S965" s="22" t="str">
        <f t="shared" si="47"/>
        <v/>
      </c>
      <c r="Z965" s="10" t="str">
        <f>IFERROR(MATCH(ROW()-3,_自动清单!$CQ$4:$CQ$5803,0),"")</f>
        <v/>
      </c>
    </row>
    <row r="966" spans="1:26">
      <c r="A966" s="24" t="str">
        <f t="shared" si="45"/>
        <v/>
      </c>
      <c r="B966" s="38" t="str">
        <f>IF($Z966="","",IF($Z966&lt;=2000,IF(INDEX(包装物料出入库明细!$B$4:$B$2003,$Z966-0)=0,"",INDEX(包装物料出入库明细!$B$4:$B$2003,$Z966-0)),IF($Z966&lt;=4000,IF(INDEX(周转筐出入库明细!$B$4:$B$2004,$Z966-2000)=0,"",INDEX(周转筐出入库明细!$B$4:$B$2004,$Z966-2000)),IF($Z966&lt;=5200,IF(INDEX(客户自备加工筐明细!$B$4:$B$1203,$Z966-4000)=0,"",INDEX(客户自备加工筐明细!$B$4:$B$1203,$Z966-4000)),IF($Z966&lt;=5800,IF(INDEX(次果筐明细!$B$4:$B$603,$Z966-5200)=0,"",INDEX(次果筐明细!$B$4:$B$603,$Z966-5200)),"")))))</f>
        <v/>
      </c>
      <c r="C966" s="37" t="str">
        <f>IF($Z966="","",IF($Z966&lt;=2000,IF(INDEX(包装物料出入库明细!$D$4:$D$2003,$Z966-0)=0,"",INDEX(包装物料出入库明细!$D$4:$D$2003,$Z966-0)),IF($Z966&lt;=4000,IF(INDEX(周转筐出入库明细!$C$4:$C$2004,$Z966-2000)=0,"",INDEX(周转筐出入库明细!$C$4:$C$2004,$Z966-2000)),IF($Z966&lt;=5200,IF(INDEX(客户自备加工筐明细!$E$4:$E$1203,$Z966-4000)=0,"",INDEX(客户自备加工筐明细!$E$4:$E$1203,$Z966-4000)),IF($Z966&lt;=5800,IF(INDEX(次果筐明细!$C$4:$C$603,$Z966-5200)=0,"",INDEX(次果筐明细!$C$4:$C$603,$Z966-5200)),"")))))</f>
        <v/>
      </c>
      <c r="D966" s="37" t="str">
        <f>IF($Z966="","",IF($Z966&lt;=2000,"包装物料－"&amp;INDEX(包装物料出入库明细!$H$4:$H$2003,$Z966-0),IF($Z966&lt;=4000,"周转筐－"&amp;INDEX(周转筐出入库明细!$F$4:$F$2004,$Z966-2000),IF($Z966&lt;=5200,"客户自备筐－"&amp;INDEX(客户自备加工筐明细!$J$4:$J$1203,$Z966-4000),IF($Z966&lt;=5800,"次果筐/托盘－"&amp;INDEX(次果筐明细!$F$4:$F$603,$Z966-5200),"")))))</f>
        <v/>
      </c>
      <c r="E966" s="24" t="str">
        <f>IF($Z966="","",IF($Z966&lt;=2000,IF(INDEX(包装物料出入库明细!$C$4:$C$2003,$Z966-0)=0,"",INDEX(包装物料出入库明细!$C$4:$C$2003,$Z966-0)),IF($Z966&lt;=4000,IF(INDEX(周转筐出入库明细!$E$4:$E$2004,$Z966-2000)=0,"",INDEX(周转筐出入库明细!$E$4:$E$2004,$Z966-2000)),IF($Z966&lt;=5200,IF(INDEX(客户自备加工筐明细!$D$4:$D$1203,$Z966-4000)=0,"",INDEX(客户自备加工筐明细!$D$4:$D$1203,$Z966-4000)),IF($Z966&lt;=5800,IF(INDEX(次果筐明细!$E$4:$E$603,$Z966-5200)=0,"",INDEX(次果筐明细!$E$4:$E$603,$Z966-5200)),"")))))</f>
        <v/>
      </c>
      <c r="F966" s="24" t="str">
        <f>IF($Z966="","",IF($Z966&lt;=2000,IF(INDEX(包装物料出入库明细!$E$4:$E$2003,$Z966-0)=0,"",INDEX(包装物料出入库明细!$E$4:$E$2003,$Z966-0)),IF($Z966&lt;=4000,IF(INDEX(周转筐出入库明细!$D$4:$D$2004,$Z966-2000)=0,"",INDEX(周转筐出入库明细!$D$4:$D$2004,$Z966-2000)),IF($Z966&lt;=5200,IF(INDEX(客户自备加工筐明细!$C$4:$C$1203,$Z966-4000)=0,"",INDEX(客户自备加工筐明细!$C$4:$C$1203,$Z966-4000)),IF($Z966&lt;=5800,IF(INDEX(次果筐明细!$D$4:$D$603,$Z966-5200)=0,"",INDEX(次果筐明细!$D$4:$D$603,$Z966-5200)),"")))))</f>
        <v/>
      </c>
      <c r="G966" s="24" t="str">
        <f>IF($Z966="","",IF($Z966&lt;=2000,IF(INDEX(包装物料出入库明细!$F$4:$F$2003,$Z966-0)=0,"",INDEX(包装物料出入库明细!$F$4:$F$2003,$Z966-0)),IF($Z966&lt;=4000,"",IF($Z966&lt;=5200,"",IF($Z966&lt;=5800,"","")))))</f>
        <v/>
      </c>
      <c r="H966" s="39" t="str">
        <f>IF($Z966="","",IF($Z966&lt;=2000,IF(INDEX(包装物料出入库明细!$L$4:$L$2003,$Z966-0)=0,"",INDEX(包装物料出入库明细!$L$4:$L$2003,$Z966-0)),IF($Z966&lt;=4000,N(INDEX(周转筐出入库明细!$H$4:$H$2004,$Z966-2000))+N(INDEX(周转筐出入库明细!$I$4:$I$2004,$Z966-2000))+N(INDEX(周转筐出入库明细!$J$4:$J$2004,$Z966-2000))+N(INDEX(周转筐出入库明细!$K$4:$K$2004,$Z966-2000)),IF($Z966&lt;=5200,N(INDEX(客户自备加工筐明细!$F$4:$F$1203,$Z966-4000))+N(INDEX(客户自备加工筐明细!$G$4:$G$1203,$Z966-4000)),IF($Z966&lt;=5800,IF(INDEX(次果筐明细!$G$4:$G$603,$Z966-5200)=0,"",INDEX(次果筐明细!$G$4:$G$603,$Z966-5200)),"")))))</f>
        <v/>
      </c>
      <c r="I966" s="24" t="str">
        <f>IF($Z966="","",IF($Z966&lt;=2000,IF(INDEX(包装物料出入库明细!$G$4:$G$2003,$Z966-0)=0,"",INDEX(包装物料出入库明细!$G$4:$G$2003,$Z966-0)),IF($Z966&lt;=4000,"个",IF($Z966&lt;=5200,"个",IF($Z966&lt;=5800,"个","")))))</f>
        <v/>
      </c>
      <c r="J966" s="30" t="str">
        <f t="shared" si="46"/>
        <v/>
      </c>
      <c r="K966" s="30" t="str">
        <f>IF($Z966="","",IF($Z966&lt;=2000,IF(INDEX(包装物料出入库明细!$N$4:$N$2003,$Z966-0)=0,"",INDEX(包装物料出入库明细!$N$4:$N$2003,$Z966-0)),IF($Z966&lt;=4000,IF(INDEX(周转筐出入库明细!$P$4:$P$2004,$Z966-2000)=0,"",INDEX(周转筐出入库明细!$P$4:$P$2004,$Z966-2000)),IF($Z966&lt;=5200,"",IF($Z966&lt;=5800,N(INDEX(次果筐明细!$L$4:$L$603,$Z966-5200))+N(INDEX(次果筐明细!$J$4:$J$603,$Z966-5200)),"")))))</f>
        <v/>
      </c>
      <c r="L966" s="24" t="str">
        <f>IF($Z966="","",IF($Z966&lt;=2000,IF(INDEX(包装物料出入库明细!$P$4:$P$2003,$Z966-0)=0,"",INDEX(包装物料出入库明细!$P$4:$P$2003,$Z966-0)),IF($Z966&lt;=4000,IF(INDEX(周转筐出入库明细!$Q$4:$Q$2004,$Z966-2000)=0,"",INDEX(周转筐出入库明细!$Q$4:$Q$2004,$Z966-2000)),IF($Z966&lt;=5200,"",IF($Z966&lt;=5800,IF(INDEX(次果筐明细!$M$4:$M$603,$Z966-5200)=0,"",INDEX(次果筐明细!$M$4:$M$603,$Z966-5200)),"")))))</f>
        <v/>
      </c>
      <c r="M966" s="37" t="str">
        <f>IF($Z966="","",IF($Z966&lt;=2000,IF(INDEX(包装物料出入库明细!$R$4:$R$2003,$Z966-0)=0,"",INDEX(包装物料出入库明细!$R$4:$R$2003,$Z966-0)),IF($Z966&lt;=4000,IF(INDEX(周转筐出入库明细!$W$4:$W$2004,$Z966-2000)=0,"",INDEX(周转筐出入库明细!$W$4:$W$2004,$Z966-2000)),IF($Z966&lt;=5200,IF(INDEX(客户自备加工筐明细!$L$4:$L$1203,$Z966-4000)=0,"",INDEX(客户自备加工筐明细!$L$4:$L$1203,$Z966-4000)),IF($Z966&lt;=5800,IF(INDEX(次果筐明细!$P$4:$P$603,$Z966-5200)=0,"",INDEX(次果筐明细!$P$4:$P$603,$Z966-5200)),"")))))</f>
        <v/>
      </c>
      <c r="N966" s="16" t="str">
        <f>IF($Z966="","",IF($Z966&lt;=2000,"",IF($Z966&lt;=4000,IF(INDEX(周转筐出入库明细!$D$4:$D$2004,$Z966-2000)=0,"",INDEX(周转筐出入库明细!$D$4:$D$2004,$Z966-2000)),IF($Z966&lt;=5200,IF(INDEX(客户自备加工筐明细!$C$4:$C$1203,$Z966-4000)=0,"",INDEX(客户自备加工筐明细!$C$4:$C$1203,$Z966-4000)),IF($Z966&lt;=5800,IF(INDEX(次果筐明细!$D$4:$D$603,$Z966-5200)=0,"",INDEX(次果筐明细!$D$4:$D$603,$Z966-5200)),"")))))</f>
        <v/>
      </c>
      <c r="O966" s="40" t="str">
        <f>IF($Z966="","",IF($Z966&lt;=2000,"",IF($Z966&lt;=4000,IF(N(INDEX(周转筐出入库明细!$J$4:$J$2004,$Z966-2000))+N(INDEX(周转筐出入库明细!$K$4:$K$2004,$Z966-2000))=0,"",N(INDEX(周转筐出入库明细!$J$4:$J$2004,$Z966-2000))+N(INDEX(周转筐出入库明细!$K$4:$K$2004,$Z966-2000))),IF($Z966&lt;=5200,IF(N(INDEX(客户自备加工筐明细!$G$4:$G$1203,$Z966-4000))=0,"",N(INDEX(客户自备加工筐明细!$G$4:$G$1203,$Z966-4000))),IF($Z966&lt;=5800,IF(ISNUMBER(SEARCH("退",INDEX(次果筐明细!$F$4:$F$603,$Z966-5200)&amp;"")),"",IF(N(INDEX(次果筐明细!$G$4:$G$603,$Z966-5200))=0,"",N(INDEX(次果筐明细!$G$4:$G$603,$Z966-5200)))),"")))))</f>
        <v/>
      </c>
      <c r="P966" s="40" t="str">
        <f>IF($Z966="","",IF($Z966&lt;=2000,"",IF($Z966&lt;=4000,IF(N(INDEX(周转筐出入库明细!$I$4:$I$2004,$Z966-2000))=0,"",N(INDEX(周转筐出入库明细!$I$4:$I$2004,$Z966-2000))),IF($Z966&lt;=5200,"",IF($Z966&lt;=5800,IF(ISNUMBER(SEARCH("退",INDEX(次果筐明细!$F$4:$F$603,$Z966-5200)&amp;"")),IF(N(INDEX(次果筐明细!$G$4:$G$603,$Z966-5200))=0,"",N(INDEX(次果筐明细!$G$4:$G$603,$Z966-5200))),""),"")))))</f>
        <v/>
      </c>
      <c r="Q966" s="40" t="str">
        <f>IF($Z966="","",IF($Z966&lt;=2000,"",IF($Z966&lt;=4000,IF(N(INDEX(周转筐出入库明细!$H$4:$H$2004,$Z966-2000))=0,"",N(INDEX(周转筐出入库明细!$H$4:$H$2004,$Z966-2000))),IF($Z966&lt;=5200,IF(N(INDEX(客户自备加工筐明细!$F$4:$F$1203,$Z966-4000))=0,"",N(INDEX(客户自备加工筐明细!$F$4:$F$1203,$Z966-4000))),IF($Z966&lt;=5800,"","")))))</f>
        <v/>
      </c>
      <c r="R966" s="16" t="str">
        <f>IF($Z966="","",IF($Z966&lt;=2000,IF(INDEX(包装物料出入库明细!$O$4:$O$2003,$Z966-0)=0,"",INDEX(包装物料出入库明细!$O$4:$O$2003,$Z966-0)),IF($Z966&lt;=4000,IF(INDEX(周转筐出入库明细!$M$4:$M$2004,$Z966-2000)=0,"",INDEX(周转筐出入库明细!$M$4:$M$2004,$Z966-2000)),IF($Z966&lt;=5200,IF(INDEX(客户自备加工筐明细!$H$4:$H$1203,$Z966-4000)=0,"",INDEX(客户自备加工筐明细!$H$4:$H$1203,$Z966-4000)),IF($Z966&lt;=5800,IF(INDEX(次果筐明细!$H$4:$H$603,$Z966-5200)=0,"",INDEX(次果筐明细!$H$4:$H$603,$Z966-5200)),"")))))</f>
        <v/>
      </c>
      <c r="S966" s="22" t="str">
        <f t="shared" si="47"/>
        <v/>
      </c>
      <c r="Z966" s="10" t="str">
        <f>IFERROR(MATCH(ROW()-3,_自动清单!$CQ$4:$CQ$5803,0),"")</f>
        <v/>
      </c>
    </row>
    <row r="967" spans="1:26">
      <c r="A967" s="24" t="str">
        <f t="shared" si="45"/>
        <v/>
      </c>
      <c r="B967" s="38" t="str">
        <f>IF($Z967="","",IF($Z967&lt;=2000,IF(INDEX(包装物料出入库明细!$B$4:$B$2003,$Z967-0)=0,"",INDEX(包装物料出入库明细!$B$4:$B$2003,$Z967-0)),IF($Z967&lt;=4000,IF(INDEX(周转筐出入库明细!$B$4:$B$2004,$Z967-2000)=0,"",INDEX(周转筐出入库明细!$B$4:$B$2004,$Z967-2000)),IF($Z967&lt;=5200,IF(INDEX(客户自备加工筐明细!$B$4:$B$1203,$Z967-4000)=0,"",INDEX(客户自备加工筐明细!$B$4:$B$1203,$Z967-4000)),IF($Z967&lt;=5800,IF(INDEX(次果筐明细!$B$4:$B$603,$Z967-5200)=0,"",INDEX(次果筐明细!$B$4:$B$603,$Z967-5200)),"")))))</f>
        <v/>
      </c>
      <c r="C967" s="37" t="str">
        <f>IF($Z967="","",IF($Z967&lt;=2000,IF(INDEX(包装物料出入库明细!$D$4:$D$2003,$Z967-0)=0,"",INDEX(包装物料出入库明细!$D$4:$D$2003,$Z967-0)),IF($Z967&lt;=4000,IF(INDEX(周转筐出入库明细!$C$4:$C$2004,$Z967-2000)=0,"",INDEX(周转筐出入库明细!$C$4:$C$2004,$Z967-2000)),IF($Z967&lt;=5200,IF(INDEX(客户自备加工筐明细!$E$4:$E$1203,$Z967-4000)=0,"",INDEX(客户自备加工筐明细!$E$4:$E$1203,$Z967-4000)),IF($Z967&lt;=5800,IF(INDEX(次果筐明细!$C$4:$C$603,$Z967-5200)=0,"",INDEX(次果筐明细!$C$4:$C$603,$Z967-5200)),"")))))</f>
        <v/>
      </c>
      <c r="D967" s="37" t="str">
        <f>IF($Z967="","",IF($Z967&lt;=2000,"包装物料－"&amp;INDEX(包装物料出入库明细!$H$4:$H$2003,$Z967-0),IF($Z967&lt;=4000,"周转筐－"&amp;INDEX(周转筐出入库明细!$F$4:$F$2004,$Z967-2000),IF($Z967&lt;=5200,"客户自备筐－"&amp;INDEX(客户自备加工筐明细!$J$4:$J$1203,$Z967-4000),IF($Z967&lt;=5800,"次果筐/托盘－"&amp;INDEX(次果筐明细!$F$4:$F$603,$Z967-5200),"")))))</f>
        <v/>
      </c>
      <c r="E967" s="24" t="str">
        <f>IF($Z967="","",IF($Z967&lt;=2000,IF(INDEX(包装物料出入库明细!$C$4:$C$2003,$Z967-0)=0,"",INDEX(包装物料出入库明细!$C$4:$C$2003,$Z967-0)),IF($Z967&lt;=4000,IF(INDEX(周转筐出入库明细!$E$4:$E$2004,$Z967-2000)=0,"",INDEX(周转筐出入库明细!$E$4:$E$2004,$Z967-2000)),IF($Z967&lt;=5200,IF(INDEX(客户自备加工筐明细!$D$4:$D$1203,$Z967-4000)=0,"",INDEX(客户自备加工筐明细!$D$4:$D$1203,$Z967-4000)),IF($Z967&lt;=5800,IF(INDEX(次果筐明细!$E$4:$E$603,$Z967-5200)=0,"",INDEX(次果筐明细!$E$4:$E$603,$Z967-5200)),"")))))</f>
        <v/>
      </c>
      <c r="F967" s="24" t="str">
        <f>IF($Z967="","",IF($Z967&lt;=2000,IF(INDEX(包装物料出入库明细!$E$4:$E$2003,$Z967-0)=0,"",INDEX(包装物料出入库明细!$E$4:$E$2003,$Z967-0)),IF($Z967&lt;=4000,IF(INDEX(周转筐出入库明细!$D$4:$D$2004,$Z967-2000)=0,"",INDEX(周转筐出入库明细!$D$4:$D$2004,$Z967-2000)),IF($Z967&lt;=5200,IF(INDEX(客户自备加工筐明细!$C$4:$C$1203,$Z967-4000)=0,"",INDEX(客户自备加工筐明细!$C$4:$C$1203,$Z967-4000)),IF($Z967&lt;=5800,IF(INDEX(次果筐明细!$D$4:$D$603,$Z967-5200)=0,"",INDEX(次果筐明细!$D$4:$D$603,$Z967-5200)),"")))))</f>
        <v/>
      </c>
      <c r="G967" s="24" t="str">
        <f>IF($Z967="","",IF($Z967&lt;=2000,IF(INDEX(包装物料出入库明细!$F$4:$F$2003,$Z967-0)=0,"",INDEX(包装物料出入库明细!$F$4:$F$2003,$Z967-0)),IF($Z967&lt;=4000,"",IF($Z967&lt;=5200,"",IF($Z967&lt;=5800,"","")))))</f>
        <v/>
      </c>
      <c r="H967" s="39" t="str">
        <f>IF($Z967="","",IF($Z967&lt;=2000,IF(INDEX(包装物料出入库明细!$L$4:$L$2003,$Z967-0)=0,"",INDEX(包装物料出入库明细!$L$4:$L$2003,$Z967-0)),IF($Z967&lt;=4000,N(INDEX(周转筐出入库明细!$H$4:$H$2004,$Z967-2000))+N(INDEX(周转筐出入库明细!$I$4:$I$2004,$Z967-2000))+N(INDEX(周转筐出入库明细!$J$4:$J$2004,$Z967-2000))+N(INDEX(周转筐出入库明细!$K$4:$K$2004,$Z967-2000)),IF($Z967&lt;=5200,N(INDEX(客户自备加工筐明细!$F$4:$F$1203,$Z967-4000))+N(INDEX(客户自备加工筐明细!$G$4:$G$1203,$Z967-4000)),IF($Z967&lt;=5800,IF(INDEX(次果筐明细!$G$4:$G$603,$Z967-5200)=0,"",INDEX(次果筐明细!$G$4:$G$603,$Z967-5200)),"")))))</f>
        <v/>
      </c>
      <c r="I967" s="24" t="str">
        <f>IF($Z967="","",IF($Z967&lt;=2000,IF(INDEX(包装物料出入库明细!$G$4:$G$2003,$Z967-0)=0,"",INDEX(包装物料出入库明细!$G$4:$G$2003,$Z967-0)),IF($Z967&lt;=4000,"个",IF($Z967&lt;=5200,"个",IF($Z967&lt;=5800,"个","")))))</f>
        <v/>
      </c>
      <c r="J967" s="30" t="str">
        <f t="shared" si="46"/>
        <v/>
      </c>
      <c r="K967" s="30" t="str">
        <f>IF($Z967="","",IF($Z967&lt;=2000,IF(INDEX(包装物料出入库明细!$N$4:$N$2003,$Z967-0)=0,"",INDEX(包装物料出入库明细!$N$4:$N$2003,$Z967-0)),IF($Z967&lt;=4000,IF(INDEX(周转筐出入库明细!$P$4:$P$2004,$Z967-2000)=0,"",INDEX(周转筐出入库明细!$P$4:$P$2004,$Z967-2000)),IF($Z967&lt;=5200,"",IF($Z967&lt;=5800,N(INDEX(次果筐明细!$L$4:$L$603,$Z967-5200))+N(INDEX(次果筐明细!$J$4:$J$603,$Z967-5200)),"")))))</f>
        <v/>
      </c>
      <c r="L967" s="24" t="str">
        <f>IF($Z967="","",IF($Z967&lt;=2000,IF(INDEX(包装物料出入库明细!$P$4:$P$2003,$Z967-0)=0,"",INDEX(包装物料出入库明细!$P$4:$P$2003,$Z967-0)),IF($Z967&lt;=4000,IF(INDEX(周转筐出入库明细!$Q$4:$Q$2004,$Z967-2000)=0,"",INDEX(周转筐出入库明细!$Q$4:$Q$2004,$Z967-2000)),IF($Z967&lt;=5200,"",IF($Z967&lt;=5800,IF(INDEX(次果筐明细!$M$4:$M$603,$Z967-5200)=0,"",INDEX(次果筐明细!$M$4:$M$603,$Z967-5200)),"")))))</f>
        <v/>
      </c>
      <c r="M967" s="37" t="str">
        <f>IF($Z967="","",IF($Z967&lt;=2000,IF(INDEX(包装物料出入库明细!$R$4:$R$2003,$Z967-0)=0,"",INDEX(包装物料出入库明细!$R$4:$R$2003,$Z967-0)),IF($Z967&lt;=4000,IF(INDEX(周转筐出入库明细!$W$4:$W$2004,$Z967-2000)=0,"",INDEX(周转筐出入库明细!$W$4:$W$2004,$Z967-2000)),IF($Z967&lt;=5200,IF(INDEX(客户自备加工筐明细!$L$4:$L$1203,$Z967-4000)=0,"",INDEX(客户自备加工筐明细!$L$4:$L$1203,$Z967-4000)),IF($Z967&lt;=5800,IF(INDEX(次果筐明细!$P$4:$P$603,$Z967-5200)=0,"",INDEX(次果筐明细!$P$4:$P$603,$Z967-5200)),"")))))</f>
        <v/>
      </c>
      <c r="N967" s="16" t="str">
        <f>IF($Z967="","",IF($Z967&lt;=2000,"",IF($Z967&lt;=4000,IF(INDEX(周转筐出入库明细!$D$4:$D$2004,$Z967-2000)=0,"",INDEX(周转筐出入库明细!$D$4:$D$2004,$Z967-2000)),IF($Z967&lt;=5200,IF(INDEX(客户自备加工筐明细!$C$4:$C$1203,$Z967-4000)=0,"",INDEX(客户自备加工筐明细!$C$4:$C$1203,$Z967-4000)),IF($Z967&lt;=5800,IF(INDEX(次果筐明细!$D$4:$D$603,$Z967-5200)=0,"",INDEX(次果筐明细!$D$4:$D$603,$Z967-5200)),"")))))</f>
        <v/>
      </c>
      <c r="O967" s="40" t="str">
        <f>IF($Z967="","",IF($Z967&lt;=2000,"",IF($Z967&lt;=4000,IF(N(INDEX(周转筐出入库明细!$J$4:$J$2004,$Z967-2000))+N(INDEX(周转筐出入库明细!$K$4:$K$2004,$Z967-2000))=0,"",N(INDEX(周转筐出入库明细!$J$4:$J$2004,$Z967-2000))+N(INDEX(周转筐出入库明细!$K$4:$K$2004,$Z967-2000))),IF($Z967&lt;=5200,IF(N(INDEX(客户自备加工筐明细!$G$4:$G$1203,$Z967-4000))=0,"",N(INDEX(客户自备加工筐明细!$G$4:$G$1203,$Z967-4000))),IF($Z967&lt;=5800,IF(ISNUMBER(SEARCH("退",INDEX(次果筐明细!$F$4:$F$603,$Z967-5200)&amp;"")),"",IF(N(INDEX(次果筐明细!$G$4:$G$603,$Z967-5200))=0,"",N(INDEX(次果筐明细!$G$4:$G$603,$Z967-5200)))),"")))))</f>
        <v/>
      </c>
      <c r="P967" s="40" t="str">
        <f>IF($Z967="","",IF($Z967&lt;=2000,"",IF($Z967&lt;=4000,IF(N(INDEX(周转筐出入库明细!$I$4:$I$2004,$Z967-2000))=0,"",N(INDEX(周转筐出入库明细!$I$4:$I$2004,$Z967-2000))),IF($Z967&lt;=5200,"",IF($Z967&lt;=5800,IF(ISNUMBER(SEARCH("退",INDEX(次果筐明细!$F$4:$F$603,$Z967-5200)&amp;"")),IF(N(INDEX(次果筐明细!$G$4:$G$603,$Z967-5200))=0,"",N(INDEX(次果筐明细!$G$4:$G$603,$Z967-5200))),""),"")))))</f>
        <v/>
      </c>
      <c r="Q967" s="40" t="str">
        <f>IF($Z967="","",IF($Z967&lt;=2000,"",IF($Z967&lt;=4000,IF(N(INDEX(周转筐出入库明细!$H$4:$H$2004,$Z967-2000))=0,"",N(INDEX(周转筐出入库明细!$H$4:$H$2004,$Z967-2000))),IF($Z967&lt;=5200,IF(N(INDEX(客户自备加工筐明细!$F$4:$F$1203,$Z967-4000))=0,"",N(INDEX(客户自备加工筐明细!$F$4:$F$1203,$Z967-4000))),IF($Z967&lt;=5800,"","")))))</f>
        <v/>
      </c>
      <c r="R967" s="16" t="str">
        <f>IF($Z967="","",IF($Z967&lt;=2000,IF(INDEX(包装物料出入库明细!$O$4:$O$2003,$Z967-0)=0,"",INDEX(包装物料出入库明细!$O$4:$O$2003,$Z967-0)),IF($Z967&lt;=4000,IF(INDEX(周转筐出入库明细!$M$4:$M$2004,$Z967-2000)=0,"",INDEX(周转筐出入库明细!$M$4:$M$2004,$Z967-2000)),IF($Z967&lt;=5200,IF(INDEX(客户自备加工筐明细!$H$4:$H$1203,$Z967-4000)=0,"",INDEX(客户自备加工筐明细!$H$4:$H$1203,$Z967-4000)),IF($Z967&lt;=5800,IF(INDEX(次果筐明细!$H$4:$H$603,$Z967-5200)=0,"",INDEX(次果筐明细!$H$4:$H$603,$Z967-5200)),"")))))</f>
        <v/>
      </c>
      <c r="S967" s="22" t="str">
        <f t="shared" si="47"/>
        <v/>
      </c>
      <c r="Z967" s="10" t="str">
        <f>IFERROR(MATCH(ROW()-3,_自动清单!$CQ$4:$CQ$5803,0),"")</f>
        <v/>
      </c>
    </row>
    <row r="968" spans="1:26">
      <c r="A968" s="24" t="str">
        <f t="shared" si="45"/>
        <v/>
      </c>
      <c r="B968" s="38" t="str">
        <f>IF($Z968="","",IF($Z968&lt;=2000,IF(INDEX(包装物料出入库明细!$B$4:$B$2003,$Z968-0)=0,"",INDEX(包装物料出入库明细!$B$4:$B$2003,$Z968-0)),IF($Z968&lt;=4000,IF(INDEX(周转筐出入库明细!$B$4:$B$2004,$Z968-2000)=0,"",INDEX(周转筐出入库明细!$B$4:$B$2004,$Z968-2000)),IF($Z968&lt;=5200,IF(INDEX(客户自备加工筐明细!$B$4:$B$1203,$Z968-4000)=0,"",INDEX(客户自备加工筐明细!$B$4:$B$1203,$Z968-4000)),IF($Z968&lt;=5800,IF(INDEX(次果筐明细!$B$4:$B$603,$Z968-5200)=0,"",INDEX(次果筐明细!$B$4:$B$603,$Z968-5200)),"")))))</f>
        <v/>
      </c>
      <c r="C968" s="37" t="str">
        <f>IF($Z968="","",IF($Z968&lt;=2000,IF(INDEX(包装物料出入库明细!$D$4:$D$2003,$Z968-0)=0,"",INDEX(包装物料出入库明细!$D$4:$D$2003,$Z968-0)),IF($Z968&lt;=4000,IF(INDEX(周转筐出入库明细!$C$4:$C$2004,$Z968-2000)=0,"",INDEX(周转筐出入库明细!$C$4:$C$2004,$Z968-2000)),IF($Z968&lt;=5200,IF(INDEX(客户自备加工筐明细!$E$4:$E$1203,$Z968-4000)=0,"",INDEX(客户自备加工筐明细!$E$4:$E$1203,$Z968-4000)),IF($Z968&lt;=5800,IF(INDEX(次果筐明细!$C$4:$C$603,$Z968-5200)=0,"",INDEX(次果筐明细!$C$4:$C$603,$Z968-5200)),"")))))</f>
        <v/>
      </c>
      <c r="D968" s="37" t="str">
        <f>IF($Z968="","",IF($Z968&lt;=2000,"包装物料－"&amp;INDEX(包装物料出入库明细!$H$4:$H$2003,$Z968-0),IF($Z968&lt;=4000,"周转筐－"&amp;INDEX(周转筐出入库明细!$F$4:$F$2004,$Z968-2000),IF($Z968&lt;=5200,"客户自备筐－"&amp;INDEX(客户自备加工筐明细!$J$4:$J$1203,$Z968-4000),IF($Z968&lt;=5800,"次果筐/托盘－"&amp;INDEX(次果筐明细!$F$4:$F$603,$Z968-5200),"")))))</f>
        <v/>
      </c>
      <c r="E968" s="24" t="str">
        <f>IF($Z968="","",IF($Z968&lt;=2000,IF(INDEX(包装物料出入库明细!$C$4:$C$2003,$Z968-0)=0,"",INDEX(包装物料出入库明细!$C$4:$C$2003,$Z968-0)),IF($Z968&lt;=4000,IF(INDEX(周转筐出入库明细!$E$4:$E$2004,$Z968-2000)=0,"",INDEX(周转筐出入库明细!$E$4:$E$2004,$Z968-2000)),IF($Z968&lt;=5200,IF(INDEX(客户自备加工筐明细!$D$4:$D$1203,$Z968-4000)=0,"",INDEX(客户自备加工筐明细!$D$4:$D$1203,$Z968-4000)),IF($Z968&lt;=5800,IF(INDEX(次果筐明细!$E$4:$E$603,$Z968-5200)=0,"",INDEX(次果筐明细!$E$4:$E$603,$Z968-5200)),"")))))</f>
        <v/>
      </c>
      <c r="F968" s="24" t="str">
        <f>IF($Z968="","",IF($Z968&lt;=2000,IF(INDEX(包装物料出入库明细!$E$4:$E$2003,$Z968-0)=0,"",INDEX(包装物料出入库明细!$E$4:$E$2003,$Z968-0)),IF($Z968&lt;=4000,IF(INDEX(周转筐出入库明细!$D$4:$D$2004,$Z968-2000)=0,"",INDEX(周转筐出入库明细!$D$4:$D$2004,$Z968-2000)),IF($Z968&lt;=5200,IF(INDEX(客户自备加工筐明细!$C$4:$C$1203,$Z968-4000)=0,"",INDEX(客户自备加工筐明细!$C$4:$C$1203,$Z968-4000)),IF($Z968&lt;=5800,IF(INDEX(次果筐明细!$D$4:$D$603,$Z968-5200)=0,"",INDEX(次果筐明细!$D$4:$D$603,$Z968-5200)),"")))))</f>
        <v/>
      </c>
      <c r="G968" s="24" t="str">
        <f>IF($Z968="","",IF($Z968&lt;=2000,IF(INDEX(包装物料出入库明细!$F$4:$F$2003,$Z968-0)=0,"",INDEX(包装物料出入库明细!$F$4:$F$2003,$Z968-0)),IF($Z968&lt;=4000,"",IF($Z968&lt;=5200,"",IF($Z968&lt;=5800,"","")))))</f>
        <v/>
      </c>
      <c r="H968" s="39" t="str">
        <f>IF($Z968="","",IF($Z968&lt;=2000,IF(INDEX(包装物料出入库明细!$L$4:$L$2003,$Z968-0)=0,"",INDEX(包装物料出入库明细!$L$4:$L$2003,$Z968-0)),IF($Z968&lt;=4000,N(INDEX(周转筐出入库明细!$H$4:$H$2004,$Z968-2000))+N(INDEX(周转筐出入库明细!$I$4:$I$2004,$Z968-2000))+N(INDEX(周转筐出入库明细!$J$4:$J$2004,$Z968-2000))+N(INDEX(周转筐出入库明细!$K$4:$K$2004,$Z968-2000)),IF($Z968&lt;=5200,N(INDEX(客户自备加工筐明细!$F$4:$F$1203,$Z968-4000))+N(INDEX(客户自备加工筐明细!$G$4:$G$1203,$Z968-4000)),IF($Z968&lt;=5800,IF(INDEX(次果筐明细!$G$4:$G$603,$Z968-5200)=0,"",INDEX(次果筐明细!$G$4:$G$603,$Z968-5200)),"")))))</f>
        <v/>
      </c>
      <c r="I968" s="24" t="str">
        <f>IF($Z968="","",IF($Z968&lt;=2000,IF(INDEX(包装物料出入库明细!$G$4:$G$2003,$Z968-0)=0,"",INDEX(包装物料出入库明细!$G$4:$G$2003,$Z968-0)),IF($Z968&lt;=4000,"个",IF($Z968&lt;=5200,"个",IF($Z968&lt;=5800,"个","")))))</f>
        <v/>
      </c>
      <c r="J968" s="30" t="str">
        <f t="shared" si="46"/>
        <v/>
      </c>
      <c r="K968" s="30" t="str">
        <f>IF($Z968="","",IF($Z968&lt;=2000,IF(INDEX(包装物料出入库明细!$N$4:$N$2003,$Z968-0)=0,"",INDEX(包装物料出入库明细!$N$4:$N$2003,$Z968-0)),IF($Z968&lt;=4000,IF(INDEX(周转筐出入库明细!$P$4:$P$2004,$Z968-2000)=0,"",INDEX(周转筐出入库明细!$P$4:$P$2004,$Z968-2000)),IF($Z968&lt;=5200,"",IF($Z968&lt;=5800,N(INDEX(次果筐明细!$L$4:$L$603,$Z968-5200))+N(INDEX(次果筐明细!$J$4:$J$603,$Z968-5200)),"")))))</f>
        <v/>
      </c>
      <c r="L968" s="24" t="str">
        <f>IF($Z968="","",IF($Z968&lt;=2000,IF(INDEX(包装物料出入库明细!$P$4:$P$2003,$Z968-0)=0,"",INDEX(包装物料出入库明细!$P$4:$P$2003,$Z968-0)),IF($Z968&lt;=4000,IF(INDEX(周转筐出入库明细!$Q$4:$Q$2004,$Z968-2000)=0,"",INDEX(周转筐出入库明细!$Q$4:$Q$2004,$Z968-2000)),IF($Z968&lt;=5200,"",IF($Z968&lt;=5800,IF(INDEX(次果筐明细!$M$4:$M$603,$Z968-5200)=0,"",INDEX(次果筐明细!$M$4:$M$603,$Z968-5200)),"")))))</f>
        <v/>
      </c>
      <c r="M968" s="37" t="str">
        <f>IF($Z968="","",IF($Z968&lt;=2000,IF(INDEX(包装物料出入库明细!$R$4:$R$2003,$Z968-0)=0,"",INDEX(包装物料出入库明细!$R$4:$R$2003,$Z968-0)),IF($Z968&lt;=4000,IF(INDEX(周转筐出入库明细!$W$4:$W$2004,$Z968-2000)=0,"",INDEX(周转筐出入库明细!$W$4:$W$2004,$Z968-2000)),IF($Z968&lt;=5200,IF(INDEX(客户自备加工筐明细!$L$4:$L$1203,$Z968-4000)=0,"",INDEX(客户自备加工筐明细!$L$4:$L$1203,$Z968-4000)),IF($Z968&lt;=5800,IF(INDEX(次果筐明细!$P$4:$P$603,$Z968-5200)=0,"",INDEX(次果筐明细!$P$4:$P$603,$Z968-5200)),"")))))</f>
        <v/>
      </c>
      <c r="N968" s="16" t="str">
        <f>IF($Z968="","",IF($Z968&lt;=2000,"",IF($Z968&lt;=4000,IF(INDEX(周转筐出入库明细!$D$4:$D$2004,$Z968-2000)=0,"",INDEX(周转筐出入库明细!$D$4:$D$2004,$Z968-2000)),IF($Z968&lt;=5200,IF(INDEX(客户自备加工筐明细!$C$4:$C$1203,$Z968-4000)=0,"",INDEX(客户自备加工筐明细!$C$4:$C$1203,$Z968-4000)),IF($Z968&lt;=5800,IF(INDEX(次果筐明细!$D$4:$D$603,$Z968-5200)=0,"",INDEX(次果筐明细!$D$4:$D$603,$Z968-5200)),"")))))</f>
        <v/>
      </c>
      <c r="O968" s="40" t="str">
        <f>IF($Z968="","",IF($Z968&lt;=2000,"",IF($Z968&lt;=4000,IF(N(INDEX(周转筐出入库明细!$J$4:$J$2004,$Z968-2000))+N(INDEX(周转筐出入库明细!$K$4:$K$2004,$Z968-2000))=0,"",N(INDEX(周转筐出入库明细!$J$4:$J$2004,$Z968-2000))+N(INDEX(周转筐出入库明细!$K$4:$K$2004,$Z968-2000))),IF($Z968&lt;=5200,IF(N(INDEX(客户自备加工筐明细!$G$4:$G$1203,$Z968-4000))=0,"",N(INDEX(客户自备加工筐明细!$G$4:$G$1203,$Z968-4000))),IF($Z968&lt;=5800,IF(ISNUMBER(SEARCH("退",INDEX(次果筐明细!$F$4:$F$603,$Z968-5200)&amp;"")),"",IF(N(INDEX(次果筐明细!$G$4:$G$603,$Z968-5200))=0,"",N(INDEX(次果筐明细!$G$4:$G$603,$Z968-5200)))),"")))))</f>
        <v/>
      </c>
      <c r="P968" s="40" t="str">
        <f>IF($Z968="","",IF($Z968&lt;=2000,"",IF($Z968&lt;=4000,IF(N(INDEX(周转筐出入库明细!$I$4:$I$2004,$Z968-2000))=0,"",N(INDEX(周转筐出入库明细!$I$4:$I$2004,$Z968-2000))),IF($Z968&lt;=5200,"",IF($Z968&lt;=5800,IF(ISNUMBER(SEARCH("退",INDEX(次果筐明细!$F$4:$F$603,$Z968-5200)&amp;"")),IF(N(INDEX(次果筐明细!$G$4:$G$603,$Z968-5200))=0,"",N(INDEX(次果筐明细!$G$4:$G$603,$Z968-5200))),""),"")))))</f>
        <v/>
      </c>
      <c r="Q968" s="40" t="str">
        <f>IF($Z968="","",IF($Z968&lt;=2000,"",IF($Z968&lt;=4000,IF(N(INDEX(周转筐出入库明细!$H$4:$H$2004,$Z968-2000))=0,"",N(INDEX(周转筐出入库明细!$H$4:$H$2004,$Z968-2000))),IF($Z968&lt;=5200,IF(N(INDEX(客户自备加工筐明细!$F$4:$F$1203,$Z968-4000))=0,"",N(INDEX(客户自备加工筐明细!$F$4:$F$1203,$Z968-4000))),IF($Z968&lt;=5800,"","")))))</f>
        <v/>
      </c>
      <c r="R968" s="16" t="str">
        <f>IF($Z968="","",IF($Z968&lt;=2000,IF(INDEX(包装物料出入库明细!$O$4:$O$2003,$Z968-0)=0,"",INDEX(包装物料出入库明细!$O$4:$O$2003,$Z968-0)),IF($Z968&lt;=4000,IF(INDEX(周转筐出入库明细!$M$4:$M$2004,$Z968-2000)=0,"",INDEX(周转筐出入库明细!$M$4:$M$2004,$Z968-2000)),IF($Z968&lt;=5200,IF(INDEX(客户自备加工筐明细!$H$4:$H$1203,$Z968-4000)=0,"",INDEX(客户自备加工筐明细!$H$4:$H$1203,$Z968-4000)),IF($Z968&lt;=5800,IF(INDEX(次果筐明细!$H$4:$H$603,$Z968-5200)=0,"",INDEX(次果筐明细!$H$4:$H$603,$Z968-5200)),"")))))</f>
        <v/>
      </c>
      <c r="S968" s="22" t="str">
        <f t="shared" si="47"/>
        <v/>
      </c>
      <c r="Z968" s="10" t="str">
        <f>IFERROR(MATCH(ROW()-3,_自动清单!$CQ$4:$CQ$5803,0),"")</f>
        <v/>
      </c>
    </row>
    <row r="969" spans="1:26">
      <c r="A969" s="24" t="str">
        <f t="shared" si="45"/>
        <v/>
      </c>
      <c r="B969" s="38" t="str">
        <f>IF($Z969="","",IF($Z969&lt;=2000,IF(INDEX(包装物料出入库明细!$B$4:$B$2003,$Z969-0)=0,"",INDEX(包装物料出入库明细!$B$4:$B$2003,$Z969-0)),IF($Z969&lt;=4000,IF(INDEX(周转筐出入库明细!$B$4:$B$2004,$Z969-2000)=0,"",INDEX(周转筐出入库明细!$B$4:$B$2004,$Z969-2000)),IF($Z969&lt;=5200,IF(INDEX(客户自备加工筐明细!$B$4:$B$1203,$Z969-4000)=0,"",INDEX(客户自备加工筐明细!$B$4:$B$1203,$Z969-4000)),IF($Z969&lt;=5800,IF(INDEX(次果筐明细!$B$4:$B$603,$Z969-5200)=0,"",INDEX(次果筐明细!$B$4:$B$603,$Z969-5200)),"")))))</f>
        <v/>
      </c>
      <c r="C969" s="37" t="str">
        <f>IF($Z969="","",IF($Z969&lt;=2000,IF(INDEX(包装物料出入库明细!$D$4:$D$2003,$Z969-0)=0,"",INDEX(包装物料出入库明细!$D$4:$D$2003,$Z969-0)),IF($Z969&lt;=4000,IF(INDEX(周转筐出入库明细!$C$4:$C$2004,$Z969-2000)=0,"",INDEX(周转筐出入库明细!$C$4:$C$2004,$Z969-2000)),IF($Z969&lt;=5200,IF(INDEX(客户自备加工筐明细!$E$4:$E$1203,$Z969-4000)=0,"",INDEX(客户自备加工筐明细!$E$4:$E$1203,$Z969-4000)),IF($Z969&lt;=5800,IF(INDEX(次果筐明细!$C$4:$C$603,$Z969-5200)=0,"",INDEX(次果筐明细!$C$4:$C$603,$Z969-5200)),"")))))</f>
        <v/>
      </c>
      <c r="D969" s="37" t="str">
        <f>IF($Z969="","",IF($Z969&lt;=2000,"包装物料－"&amp;INDEX(包装物料出入库明细!$H$4:$H$2003,$Z969-0),IF($Z969&lt;=4000,"周转筐－"&amp;INDEX(周转筐出入库明细!$F$4:$F$2004,$Z969-2000),IF($Z969&lt;=5200,"客户自备筐－"&amp;INDEX(客户自备加工筐明细!$J$4:$J$1203,$Z969-4000),IF($Z969&lt;=5800,"次果筐/托盘－"&amp;INDEX(次果筐明细!$F$4:$F$603,$Z969-5200),"")))))</f>
        <v/>
      </c>
      <c r="E969" s="24" t="str">
        <f>IF($Z969="","",IF($Z969&lt;=2000,IF(INDEX(包装物料出入库明细!$C$4:$C$2003,$Z969-0)=0,"",INDEX(包装物料出入库明细!$C$4:$C$2003,$Z969-0)),IF($Z969&lt;=4000,IF(INDEX(周转筐出入库明细!$E$4:$E$2004,$Z969-2000)=0,"",INDEX(周转筐出入库明细!$E$4:$E$2004,$Z969-2000)),IF($Z969&lt;=5200,IF(INDEX(客户自备加工筐明细!$D$4:$D$1203,$Z969-4000)=0,"",INDEX(客户自备加工筐明细!$D$4:$D$1203,$Z969-4000)),IF($Z969&lt;=5800,IF(INDEX(次果筐明细!$E$4:$E$603,$Z969-5200)=0,"",INDEX(次果筐明细!$E$4:$E$603,$Z969-5200)),"")))))</f>
        <v/>
      </c>
      <c r="F969" s="24" t="str">
        <f>IF($Z969="","",IF($Z969&lt;=2000,IF(INDEX(包装物料出入库明细!$E$4:$E$2003,$Z969-0)=0,"",INDEX(包装物料出入库明细!$E$4:$E$2003,$Z969-0)),IF($Z969&lt;=4000,IF(INDEX(周转筐出入库明细!$D$4:$D$2004,$Z969-2000)=0,"",INDEX(周转筐出入库明细!$D$4:$D$2004,$Z969-2000)),IF($Z969&lt;=5200,IF(INDEX(客户自备加工筐明细!$C$4:$C$1203,$Z969-4000)=0,"",INDEX(客户自备加工筐明细!$C$4:$C$1203,$Z969-4000)),IF($Z969&lt;=5800,IF(INDEX(次果筐明细!$D$4:$D$603,$Z969-5200)=0,"",INDEX(次果筐明细!$D$4:$D$603,$Z969-5200)),"")))))</f>
        <v/>
      </c>
      <c r="G969" s="24" t="str">
        <f>IF($Z969="","",IF($Z969&lt;=2000,IF(INDEX(包装物料出入库明细!$F$4:$F$2003,$Z969-0)=0,"",INDEX(包装物料出入库明细!$F$4:$F$2003,$Z969-0)),IF($Z969&lt;=4000,"",IF($Z969&lt;=5200,"",IF($Z969&lt;=5800,"","")))))</f>
        <v/>
      </c>
      <c r="H969" s="39" t="str">
        <f>IF($Z969="","",IF($Z969&lt;=2000,IF(INDEX(包装物料出入库明细!$L$4:$L$2003,$Z969-0)=0,"",INDEX(包装物料出入库明细!$L$4:$L$2003,$Z969-0)),IF($Z969&lt;=4000,N(INDEX(周转筐出入库明细!$H$4:$H$2004,$Z969-2000))+N(INDEX(周转筐出入库明细!$I$4:$I$2004,$Z969-2000))+N(INDEX(周转筐出入库明细!$J$4:$J$2004,$Z969-2000))+N(INDEX(周转筐出入库明细!$K$4:$K$2004,$Z969-2000)),IF($Z969&lt;=5200,N(INDEX(客户自备加工筐明细!$F$4:$F$1203,$Z969-4000))+N(INDEX(客户自备加工筐明细!$G$4:$G$1203,$Z969-4000)),IF($Z969&lt;=5800,IF(INDEX(次果筐明细!$G$4:$G$603,$Z969-5200)=0,"",INDEX(次果筐明细!$G$4:$G$603,$Z969-5200)),"")))))</f>
        <v/>
      </c>
      <c r="I969" s="24" t="str">
        <f>IF($Z969="","",IF($Z969&lt;=2000,IF(INDEX(包装物料出入库明细!$G$4:$G$2003,$Z969-0)=0,"",INDEX(包装物料出入库明细!$G$4:$G$2003,$Z969-0)),IF($Z969&lt;=4000,"个",IF($Z969&lt;=5200,"个",IF($Z969&lt;=5800,"个","")))))</f>
        <v/>
      </c>
      <c r="J969" s="30" t="str">
        <f t="shared" si="46"/>
        <v/>
      </c>
      <c r="K969" s="30" t="str">
        <f>IF($Z969="","",IF($Z969&lt;=2000,IF(INDEX(包装物料出入库明细!$N$4:$N$2003,$Z969-0)=0,"",INDEX(包装物料出入库明细!$N$4:$N$2003,$Z969-0)),IF($Z969&lt;=4000,IF(INDEX(周转筐出入库明细!$P$4:$P$2004,$Z969-2000)=0,"",INDEX(周转筐出入库明细!$P$4:$P$2004,$Z969-2000)),IF($Z969&lt;=5200,"",IF($Z969&lt;=5800,N(INDEX(次果筐明细!$L$4:$L$603,$Z969-5200))+N(INDEX(次果筐明细!$J$4:$J$603,$Z969-5200)),"")))))</f>
        <v/>
      </c>
      <c r="L969" s="24" t="str">
        <f>IF($Z969="","",IF($Z969&lt;=2000,IF(INDEX(包装物料出入库明细!$P$4:$P$2003,$Z969-0)=0,"",INDEX(包装物料出入库明细!$P$4:$P$2003,$Z969-0)),IF($Z969&lt;=4000,IF(INDEX(周转筐出入库明细!$Q$4:$Q$2004,$Z969-2000)=0,"",INDEX(周转筐出入库明细!$Q$4:$Q$2004,$Z969-2000)),IF($Z969&lt;=5200,"",IF($Z969&lt;=5800,IF(INDEX(次果筐明细!$M$4:$M$603,$Z969-5200)=0,"",INDEX(次果筐明细!$M$4:$M$603,$Z969-5200)),"")))))</f>
        <v/>
      </c>
      <c r="M969" s="37" t="str">
        <f>IF($Z969="","",IF($Z969&lt;=2000,IF(INDEX(包装物料出入库明细!$R$4:$R$2003,$Z969-0)=0,"",INDEX(包装物料出入库明细!$R$4:$R$2003,$Z969-0)),IF($Z969&lt;=4000,IF(INDEX(周转筐出入库明细!$W$4:$W$2004,$Z969-2000)=0,"",INDEX(周转筐出入库明细!$W$4:$W$2004,$Z969-2000)),IF($Z969&lt;=5200,IF(INDEX(客户自备加工筐明细!$L$4:$L$1203,$Z969-4000)=0,"",INDEX(客户自备加工筐明细!$L$4:$L$1203,$Z969-4000)),IF($Z969&lt;=5800,IF(INDEX(次果筐明细!$P$4:$P$603,$Z969-5200)=0,"",INDEX(次果筐明细!$P$4:$P$603,$Z969-5200)),"")))))</f>
        <v/>
      </c>
      <c r="N969" s="16" t="str">
        <f>IF($Z969="","",IF($Z969&lt;=2000,"",IF($Z969&lt;=4000,IF(INDEX(周转筐出入库明细!$D$4:$D$2004,$Z969-2000)=0,"",INDEX(周转筐出入库明细!$D$4:$D$2004,$Z969-2000)),IF($Z969&lt;=5200,IF(INDEX(客户自备加工筐明细!$C$4:$C$1203,$Z969-4000)=0,"",INDEX(客户自备加工筐明细!$C$4:$C$1203,$Z969-4000)),IF($Z969&lt;=5800,IF(INDEX(次果筐明细!$D$4:$D$603,$Z969-5200)=0,"",INDEX(次果筐明细!$D$4:$D$603,$Z969-5200)),"")))))</f>
        <v/>
      </c>
      <c r="O969" s="40" t="str">
        <f>IF($Z969="","",IF($Z969&lt;=2000,"",IF($Z969&lt;=4000,IF(N(INDEX(周转筐出入库明细!$J$4:$J$2004,$Z969-2000))+N(INDEX(周转筐出入库明细!$K$4:$K$2004,$Z969-2000))=0,"",N(INDEX(周转筐出入库明细!$J$4:$J$2004,$Z969-2000))+N(INDEX(周转筐出入库明细!$K$4:$K$2004,$Z969-2000))),IF($Z969&lt;=5200,IF(N(INDEX(客户自备加工筐明细!$G$4:$G$1203,$Z969-4000))=0,"",N(INDEX(客户自备加工筐明细!$G$4:$G$1203,$Z969-4000))),IF($Z969&lt;=5800,IF(ISNUMBER(SEARCH("退",INDEX(次果筐明细!$F$4:$F$603,$Z969-5200)&amp;"")),"",IF(N(INDEX(次果筐明细!$G$4:$G$603,$Z969-5200))=0,"",N(INDEX(次果筐明细!$G$4:$G$603,$Z969-5200)))),"")))))</f>
        <v/>
      </c>
      <c r="P969" s="40" t="str">
        <f>IF($Z969="","",IF($Z969&lt;=2000,"",IF($Z969&lt;=4000,IF(N(INDEX(周转筐出入库明细!$I$4:$I$2004,$Z969-2000))=0,"",N(INDEX(周转筐出入库明细!$I$4:$I$2004,$Z969-2000))),IF($Z969&lt;=5200,"",IF($Z969&lt;=5800,IF(ISNUMBER(SEARCH("退",INDEX(次果筐明细!$F$4:$F$603,$Z969-5200)&amp;"")),IF(N(INDEX(次果筐明细!$G$4:$G$603,$Z969-5200))=0,"",N(INDEX(次果筐明细!$G$4:$G$603,$Z969-5200))),""),"")))))</f>
        <v/>
      </c>
      <c r="Q969" s="40" t="str">
        <f>IF($Z969="","",IF($Z969&lt;=2000,"",IF($Z969&lt;=4000,IF(N(INDEX(周转筐出入库明细!$H$4:$H$2004,$Z969-2000))=0,"",N(INDEX(周转筐出入库明细!$H$4:$H$2004,$Z969-2000))),IF($Z969&lt;=5200,IF(N(INDEX(客户自备加工筐明细!$F$4:$F$1203,$Z969-4000))=0,"",N(INDEX(客户自备加工筐明细!$F$4:$F$1203,$Z969-4000))),IF($Z969&lt;=5800,"","")))))</f>
        <v/>
      </c>
      <c r="R969" s="16" t="str">
        <f>IF($Z969="","",IF($Z969&lt;=2000,IF(INDEX(包装物料出入库明细!$O$4:$O$2003,$Z969-0)=0,"",INDEX(包装物料出入库明细!$O$4:$O$2003,$Z969-0)),IF($Z969&lt;=4000,IF(INDEX(周转筐出入库明细!$M$4:$M$2004,$Z969-2000)=0,"",INDEX(周转筐出入库明细!$M$4:$M$2004,$Z969-2000)),IF($Z969&lt;=5200,IF(INDEX(客户自备加工筐明细!$H$4:$H$1203,$Z969-4000)=0,"",INDEX(客户自备加工筐明细!$H$4:$H$1203,$Z969-4000)),IF($Z969&lt;=5800,IF(INDEX(次果筐明细!$H$4:$H$603,$Z969-5200)=0,"",INDEX(次果筐明细!$H$4:$H$603,$Z969-5200)),"")))))</f>
        <v/>
      </c>
      <c r="S969" s="22" t="str">
        <f t="shared" si="47"/>
        <v/>
      </c>
      <c r="Z969" s="10" t="str">
        <f>IFERROR(MATCH(ROW()-3,_自动清单!$CQ$4:$CQ$5803,0),"")</f>
        <v/>
      </c>
    </row>
    <row r="970" spans="1:26">
      <c r="A970" s="24" t="str">
        <f t="shared" si="45"/>
        <v/>
      </c>
      <c r="B970" s="38" t="str">
        <f>IF($Z970="","",IF($Z970&lt;=2000,IF(INDEX(包装物料出入库明细!$B$4:$B$2003,$Z970-0)=0,"",INDEX(包装物料出入库明细!$B$4:$B$2003,$Z970-0)),IF($Z970&lt;=4000,IF(INDEX(周转筐出入库明细!$B$4:$B$2004,$Z970-2000)=0,"",INDEX(周转筐出入库明细!$B$4:$B$2004,$Z970-2000)),IF($Z970&lt;=5200,IF(INDEX(客户自备加工筐明细!$B$4:$B$1203,$Z970-4000)=0,"",INDEX(客户自备加工筐明细!$B$4:$B$1203,$Z970-4000)),IF($Z970&lt;=5800,IF(INDEX(次果筐明细!$B$4:$B$603,$Z970-5200)=0,"",INDEX(次果筐明细!$B$4:$B$603,$Z970-5200)),"")))))</f>
        <v/>
      </c>
      <c r="C970" s="37" t="str">
        <f>IF($Z970="","",IF($Z970&lt;=2000,IF(INDEX(包装物料出入库明细!$D$4:$D$2003,$Z970-0)=0,"",INDEX(包装物料出入库明细!$D$4:$D$2003,$Z970-0)),IF($Z970&lt;=4000,IF(INDEX(周转筐出入库明细!$C$4:$C$2004,$Z970-2000)=0,"",INDEX(周转筐出入库明细!$C$4:$C$2004,$Z970-2000)),IF($Z970&lt;=5200,IF(INDEX(客户自备加工筐明细!$E$4:$E$1203,$Z970-4000)=0,"",INDEX(客户自备加工筐明细!$E$4:$E$1203,$Z970-4000)),IF($Z970&lt;=5800,IF(INDEX(次果筐明细!$C$4:$C$603,$Z970-5200)=0,"",INDEX(次果筐明细!$C$4:$C$603,$Z970-5200)),"")))))</f>
        <v/>
      </c>
      <c r="D970" s="37" t="str">
        <f>IF($Z970="","",IF($Z970&lt;=2000,"包装物料－"&amp;INDEX(包装物料出入库明细!$H$4:$H$2003,$Z970-0),IF($Z970&lt;=4000,"周转筐－"&amp;INDEX(周转筐出入库明细!$F$4:$F$2004,$Z970-2000),IF($Z970&lt;=5200,"客户自备筐－"&amp;INDEX(客户自备加工筐明细!$J$4:$J$1203,$Z970-4000),IF($Z970&lt;=5800,"次果筐/托盘－"&amp;INDEX(次果筐明细!$F$4:$F$603,$Z970-5200),"")))))</f>
        <v/>
      </c>
      <c r="E970" s="24" t="str">
        <f>IF($Z970="","",IF($Z970&lt;=2000,IF(INDEX(包装物料出入库明细!$C$4:$C$2003,$Z970-0)=0,"",INDEX(包装物料出入库明细!$C$4:$C$2003,$Z970-0)),IF($Z970&lt;=4000,IF(INDEX(周转筐出入库明细!$E$4:$E$2004,$Z970-2000)=0,"",INDEX(周转筐出入库明细!$E$4:$E$2004,$Z970-2000)),IF($Z970&lt;=5200,IF(INDEX(客户自备加工筐明细!$D$4:$D$1203,$Z970-4000)=0,"",INDEX(客户自备加工筐明细!$D$4:$D$1203,$Z970-4000)),IF($Z970&lt;=5800,IF(INDEX(次果筐明细!$E$4:$E$603,$Z970-5200)=0,"",INDEX(次果筐明细!$E$4:$E$603,$Z970-5200)),"")))))</f>
        <v/>
      </c>
      <c r="F970" s="24" t="str">
        <f>IF($Z970="","",IF($Z970&lt;=2000,IF(INDEX(包装物料出入库明细!$E$4:$E$2003,$Z970-0)=0,"",INDEX(包装物料出入库明细!$E$4:$E$2003,$Z970-0)),IF($Z970&lt;=4000,IF(INDEX(周转筐出入库明细!$D$4:$D$2004,$Z970-2000)=0,"",INDEX(周转筐出入库明细!$D$4:$D$2004,$Z970-2000)),IF($Z970&lt;=5200,IF(INDEX(客户自备加工筐明细!$C$4:$C$1203,$Z970-4000)=0,"",INDEX(客户自备加工筐明细!$C$4:$C$1203,$Z970-4000)),IF($Z970&lt;=5800,IF(INDEX(次果筐明细!$D$4:$D$603,$Z970-5200)=0,"",INDEX(次果筐明细!$D$4:$D$603,$Z970-5200)),"")))))</f>
        <v/>
      </c>
      <c r="G970" s="24" t="str">
        <f>IF($Z970="","",IF($Z970&lt;=2000,IF(INDEX(包装物料出入库明细!$F$4:$F$2003,$Z970-0)=0,"",INDEX(包装物料出入库明细!$F$4:$F$2003,$Z970-0)),IF($Z970&lt;=4000,"",IF($Z970&lt;=5200,"",IF($Z970&lt;=5800,"","")))))</f>
        <v/>
      </c>
      <c r="H970" s="39" t="str">
        <f>IF($Z970="","",IF($Z970&lt;=2000,IF(INDEX(包装物料出入库明细!$L$4:$L$2003,$Z970-0)=0,"",INDEX(包装物料出入库明细!$L$4:$L$2003,$Z970-0)),IF($Z970&lt;=4000,N(INDEX(周转筐出入库明细!$H$4:$H$2004,$Z970-2000))+N(INDEX(周转筐出入库明细!$I$4:$I$2004,$Z970-2000))+N(INDEX(周转筐出入库明细!$J$4:$J$2004,$Z970-2000))+N(INDEX(周转筐出入库明细!$K$4:$K$2004,$Z970-2000)),IF($Z970&lt;=5200,N(INDEX(客户自备加工筐明细!$F$4:$F$1203,$Z970-4000))+N(INDEX(客户自备加工筐明细!$G$4:$G$1203,$Z970-4000)),IF($Z970&lt;=5800,IF(INDEX(次果筐明细!$G$4:$G$603,$Z970-5200)=0,"",INDEX(次果筐明细!$G$4:$G$603,$Z970-5200)),"")))))</f>
        <v/>
      </c>
      <c r="I970" s="24" t="str">
        <f>IF($Z970="","",IF($Z970&lt;=2000,IF(INDEX(包装物料出入库明细!$G$4:$G$2003,$Z970-0)=0,"",INDEX(包装物料出入库明细!$G$4:$G$2003,$Z970-0)),IF($Z970&lt;=4000,"个",IF($Z970&lt;=5200,"个",IF($Z970&lt;=5800,"个","")))))</f>
        <v/>
      </c>
      <c r="J970" s="30" t="str">
        <f t="shared" si="46"/>
        <v/>
      </c>
      <c r="K970" s="30" t="str">
        <f>IF($Z970="","",IF($Z970&lt;=2000,IF(INDEX(包装物料出入库明细!$N$4:$N$2003,$Z970-0)=0,"",INDEX(包装物料出入库明细!$N$4:$N$2003,$Z970-0)),IF($Z970&lt;=4000,IF(INDEX(周转筐出入库明细!$P$4:$P$2004,$Z970-2000)=0,"",INDEX(周转筐出入库明细!$P$4:$P$2004,$Z970-2000)),IF($Z970&lt;=5200,"",IF($Z970&lt;=5800,N(INDEX(次果筐明细!$L$4:$L$603,$Z970-5200))+N(INDEX(次果筐明细!$J$4:$J$603,$Z970-5200)),"")))))</f>
        <v/>
      </c>
      <c r="L970" s="24" t="str">
        <f>IF($Z970="","",IF($Z970&lt;=2000,IF(INDEX(包装物料出入库明细!$P$4:$P$2003,$Z970-0)=0,"",INDEX(包装物料出入库明细!$P$4:$P$2003,$Z970-0)),IF($Z970&lt;=4000,IF(INDEX(周转筐出入库明细!$Q$4:$Q$2004,$Z970-2000)=0,"",INDEX(周转筐出入库明细!$Q$4:$Q$2004,$Z970-2000)),IF($Z970&lt;=5200,"",IF($Z970&lt;=5800,IF(INDEX(次果筐明细!$M$4:$M$603,$Z970-5200)=0,"",INDEX(次果筐明细!$M$4:$M$603,$Z970-5200)),"")))))</f>
        <v/>
      </c>
      <c r="M970" s="37" t="str">
        <f>IF($Z970="","",IF($Z970&lt;=2000,IF(INDEX(包装物料出入库明细!$R$4:$R$2003,$Z970-0)=0,"",INDEX(包装物料出入库明细!$R$4:$R$2003,$Z970-0)),IF($Z970&lt;=4000,IF(INDEX(周转筐出入库明细!$W$4:$W$2004,$Z970-2000)=0,"",INDEX(周转筐出入库明细!$W$4:$W$2004,$Z970-2000)),IF($Z970&lt;=5200,IF(INDEX(客户自备加工筐明细!$L$4:$L$1203,$Z970-4000)=0,"",INDEX(客户自备加工筐明细!$L$4:$L$1203,$Z970-4000)),IF($Z970&lt;=5800,IF(INDEX(次果筐明细!$P$4:$P$603,$Z970-5200)=0,"",INDEX(次果筐明细!$P$4:$P$603,$Z970-5200)),"")))))</f>
        <v/>
      </c>
      <c r="N970" s="16" t="str">
        <f>IF($Z970="","",IF($Z970&lt;=2000,"",IF($Z970&lt;=4000,IF(INDEX(周转筐出入库明细!$D$4:$D$2004,$Z970-2000)=0,"",INDEX(周转筐出入库明细!$D$4:$D$2004,$Z970-2000)),IF($Z970&lt;=5200,IF(INDEX(客户自备加工筐明细!$C$4:$C$1203,$Z970-4000)=0,"",INDEX(客户自备加工筐明细!$C$4:$C$1203,$Z970-4000)),IF($Z970&lt;=5800,IF(INDEX(次果筐明细!$D$4:$D$603,$Z970-5200)=0,"",INDEX(次果筐明细!$D$4:$D$603,$Z970-5200)),"")))))</f>
        <v/>
      </c>
      <c r="O970" s="40" t="str">
        <f>IF($Z970="","",IF($Z970&lt;=2000,"",IF($Z970&lt;=4000,IF(N(INDEX(周转筐出入库明细!$J$4:$J$2004,$Z970-2000))+N(INDEX(周转筐出入库明细!$K$4:$K$2004,$Z970-2000))=0,"",N(INDEX(周转筐出入库明细!$J$4:$J$2004,$Z970-2000))+N(INDEX(周转筐出入库明细!$K$4:$K$2004,$Z970-2000))),IF($Z970&lt;=5200,IF(N(INDEX(客户自备加工筐明细!$G$4:$G$1203,$Z970-4000))=0,"",N(INDEX(客户自备加工筐明细!$G$4:$G$1203,$Z970-4000))),IF($Z970&lt;=5800,IF(ISNUMBER(SEARCH("退",INDEX(次果筐明细!$F$4:$F$603,$Z970-5200)&amp;"")),"",IF(N(INDEX(次果筐明细!$G$4:$G$603,$Z970-5200))=0,"",N(INDEX(次果筐明细!$G$4:$G$603,$Z970-5200)))),"")))))</f>
        <v/>
      </c>
      <c r="P970" s="40" t="str">
        <f>IF($Z970="","",IF($Z970&lt;=2000,"",IF($Z970&lt;=4000,IF(N(INDEX(周转筐出入库明细!$I$4:$I$2004,$Z970-2000))=0,"",N(INDEX(周转筐出入库明细!$I$4:$I$2004,$Z970-2000))),IF($Z970&lt;=5200,"",IF($Z970&lt;=5800,IF(ISNUMBER(SEARCH("退",INDEX(次果筐明细!$F$4:$F$603,$Z970-5200)&amp;"")),IF(N(INDEX(次果筐明细!$G$4:$G$603,$Z970-5200))=0,"",N(INDEX(次果筐明细!$G$4:$G$603,$Z970-5200))),""),"")))))</f>
        <v/>
      </c>
      <c r="Q970" s="40" t="str">
        <f>IF($Z970="","",IF($Z970&lt;=2000,"",IF($Z970&lt;=4000,IF(N(INDEX(周转筐出入库明细!$H$4:$H$2004,$Z970-2000))=0,"",N(INDEX(周转筐出入库明细!$H$4:$H$2004,$Z970-2000))),IF($Z970&lt;=5200,IF(N(INDEX(客户自备加工筐明细!$F$4:$F$1203,$Z970-4000))=0,"",N(INDEX(客户自备加工筐明细!$F$4:$F$1203,$Z970-4000))),IF($Z970&lt;=5800,"","")))))</f>
        <v/>
      </c>
      <c r="R970" s="16" t="str">
        <f>IF($Z970="","",IF($Z970&lt;=2000,IF(INDEX(包装物料出入库明细!$O$4:$O$2003,$Z970-0)=0,"",INDEX(包装物料出入库明细!$O$4:$O$2003,$Z970-0)),IF($Z970&lt;=4000,IF(INDEX(周转筐出入库明细!$M$4:$M$2004,$Z970-2000)=0,"",INDEX(周转筐出入库明细!$M$4:$M$2004,$Z970-2000)),IF($Z970&lt;=5200,IF(INDEX(客户自备加工筐明细!$H$4:$H$1203,$Z970-4000)=0,"",INDEX(客户自备加工筐明细!$H$4:$H$1203,$Z970-4000)),IF($Z970&lt;=5800,IF(INDEX(次果筐明细!$H$4:$H$603,$Z970-5200)=0,"",INDEX(次果筐明细!$H$4:$H$603,$Z970-5200)),"")))))</f>
        <v/>
      </c>
      <c r="S970" s="22" t="str">
        <f t="shared" si="47"/>
        <v/>
      </c>
      <c r="Z970" s="10" t="str">
        <f>IFERROR(MATCH(ROW()-3,_自动清单!$CQ$4:$CQ$5803,0),"")</f>
        <v/>
      </c>
    </row>
    <row r="971" spans="1:26">
      <c r="A971" s="24" t="str">
        <f t="shared" si="45"/>
        <v/>
      </c>
      <c r="B971" s="38" t="str">
        <f>IF($Z971="","",IF($Z971&lt;=2000,IF(INDEX(包装物料出入库明细!$B$4:$B$2003,$Z971-0)=0,"",INDEX(包装物料出入库明细!$B$4:$B$2003,$Z971-0)),IF($Z971&lt;=4000,IF(INDEX(周转筐出入库明细!$B$4:$B$2004,$Z971-2000)=0,"",INDEX(周转筐出入库明细!$B$4:$B$2004,$Z971-2000)),IF($Z971&lt;=5200,IF(INDEX(客户自备加工筐明细!$B$4:$B$1203,$Z971-4000)=0,"",INDEX(客户自备加工筐明细!$B$4:$B$1203,$Z971-4000)),IF($Z971&lt;=5800,IF(INDEX(次果筐明细!$B$4:$B$603,$Z971-5200)=0,"",INDEX(次果筐明细!$B$4:$B$603,$Z971-5200)),"")))))</f>
        <v/>
      </c>
      <c r="C971" s="37" t="str">
        <f>IF($Z971="","",IF($Z971&lt;=2000,IF(INDEX(包装物料出入库明细!$D$4:$D$2003,$Z971-0)=0,"",INDEX(包装物料出入库明细!$D$4:$D$2003,$Z971-0)),IF($Z971&lt;=4000,IF(INDEX(周转筐出入库明细!$C$4:$C$2004,$Z971-2000)=0,"",INDEX(周转筐出入库明细!$C$4:$C$2004,$Z971-2000)),IF($Z971&lt;=5200,IF(INDEX(客户自备加工筐明细!$E$4:$E$1203,$Z971-4000)=0,"",INDEX(客户自备加工筐明细!$E$4:$E$1203,$Z971-4000)),IF($Z971&lt;=5800,IF(INDEX(次果筐明细!$C$4:$C$603,$Z971-5200)=0,"",INDEX(次果筐明细!$C$4:$C$603,$Z971-5200)),"")))))</f>
        <v/>
      </c>
      <c r="D971" s="37" t="str">
        <f>IF($Z971="","",IF($Z971&lt;=2000,"包装物料－"&amp;INDEX(包装物料出入库明细!$H$4:$H$2003,$Z971-0),IF($Z971&lt;=4000,"周转筐－"&amp;INDEX(周转筐出入库明细!$F$4:$F$2004,$Z971-2000),IF($Z971&lt;=5200,"客户自备筐－"&amp;INDEX(客户自备加工筐明细!$J$4:$J$1203,$Z971-4000),IF($Z971&lt;=5800,"次果筐/托盘－"&amp;INDEX(次果筐明细!$F$4:$F$603,$Z971-5200),"")))))</f>
        <v/>
      </c>
      <c r="E971" s="24" t="str">
        <f>IF($Z971="","",IF($Z971&lt;=2000,IF(INDEX(包装物料出入库明细!$C$4:$C$2003,$Z971-0)=0,"",INDEX(包装物料出入库明细!$C$4:$C$2003,$Z971-0)),IF($Z971&lt;=4000,IF(INDEX(周转筐出入库明细!$E$4:$E$2004,$Z971-2000)=0,"",INDEX(周转筐出入库明细!$E$4:$E$2004,$Z971-2000)),IF($Z971&lt;=5200,IF(INDEX(客户自备加工筐明细!$D$4:$D$1203,$Z971-4000)=0,"",INDEX(客户自备加工筐明细!$D$4:$D$1203,$Z971-4000)),IF($Z971&lt;=5800,IF(INDEX(次果筐明细!$E$4:$E$603,$Z971-5200)=0,"",INDEX(次果筐明细!$E$4:$E$603,$Z971-5200)),"")))))</f>
        <v/>
      </c>
      <c r="F971" s="24" t="str">
        <f>IF($Z971="","",IF($Z971&lt;=2000,IF(INDEX(包装物料出入库明细!$E$4:$E$2003,$Z971-0)=0,"",INDEX(包装物料出入库明细!$E$4:$E$2003,$Z971-0)),IF($Z971&lt;=4000,IF(INDEX(周转筐出入库明细!$D$4:$D$2004,$Z971-2000)=0,"",INDEX(周转筐出入库明细!$D$4:$D$2004,$Z971-2000)),IF($Z971&lt;=5200,IF(INDEX(客户自备加工筐明细!$C$4:$C$1203,$Z971-4000)=0,"",INDEX(客户自备加工筐明细!$C$4:$C$1203,$Z971-4000)),IF($Z971&lt;=5800,IF(INDEX(次果筐明细!$D$4:$D$603,$Z971-5200)=0,"",INDEX(次果筐明细!$D$4:$D$603,$Z971-5200)),"")))))</f>
        <v/>
      </c>
      <c r="G971" s="24" t="str">
        <f>IF($Z971="","",IF($Z971&lt;=2000,IF(INDEX(包装物料出入库明细!$F$4:$F$2003,$Z971-0)=0,"",INDEX(包装物料出入库明细!$F$4:$F$2003,$Z971-0)),IF($Z971&lt;=4000,"",IF($Z971&lt;=5200,"",IF($Z971&lt;=5800,"","")))))</f>
        <v/>
      </c>
      <c r="H971" s="39" t="str">
        <f>IF($Z971="","",IF($Z971&lt;=2000,IF(INDEX(包装物料出入库明细!$L$4:$L$2003,$Z971-0)=0,"",INDEX(包装物料出入库明细!$L$4:$L$2003,$Z971-0)),IF($Z971&lt;=4000,N(INDEX(周转筐出入库明细!$H$4:$H$2004,$Z971-2000))+N(INDEX(周转筐出入库明细!$I$4:$I$2004,$Z971-2000))+N(INDEX(周转筐出入库明细!$J$4:$J$2004,$Z971-2000))+N(INDEX(周转筐出入库明细!$K$4:$K$2004,$Z971-2000)),IF($Z971&lt;=5200,N(INDEX(客户自备加工筐明细!$F$4:$F$1203,$Z971-4000))+N(INDEX(客户自备加工筐明细!$G$4:$G$1203,$Z971-4000)),IF($Z971&lt;=5800,IF(INDEX(次果筐明细!$G$4:$G$603,$Z971-5200)=0,"",INDEX(次果筐明细!$G$4:$G$603,$Z971-5200)),"")))))</f>
        <v/>
      </c>
      <c r="I971" s="24" t="str">
        <f>IF($Z971="","",IF($Z971&lt;=2000,IF(INDEX(包装物料出入库明细!$G$4:$G$2003,$Z971-0)=0,"",INDEX(包装物料出入库明细!$G$4:$G$2003,$Z971-0)),IF($Z971&lt;=4000,"个",IF($Z971&lt;=5200,"个",IF($Z971&lt;=5800,"个","")))))</f>
        <v/>
      </c>
      <c r="J971" s="30" t="str">
        <f t="shared" si="46"/>
        <v/>
      </c>
      <c r="K971" s="30" t="str">
        <f>IF($Z971="","",IF($Z971&lt;=2000,IF(INDEX(包装物料出入库明细!$N$4:$N$2003,$Z971-0)=0,"",INDEX(包装物料出入库明细!$N$4:$N$2003,$Z971-0)),IF($Z971&lt;=4000,IF(INDEX(周转筐出入库明细!$P$4:$P$2004,$Z971-2000)=0,"",INDEX(周转筐出入库明细!$P$4:$P$2004,$Z971-2000)),IF($Z971&lt;=5200,"",IF($Z971&lt;=5800,N(INDEX(次果筐明细!$L$4:$L$603,$Z971-5200))+N(INDEX(次果筐明细!$J$4:$J$603,$Z971-5200)),"")))))</f>
        <v/>
      </c>
      <c r="L971" s="24" t="str">
        <f>IF($Z971="","",IF($Z971&lt;=2000,IF(INDEX(包装物料出入库明细!$P$4:$P$2003,$Z971-0)=0,"",INDEX(包装物料出入库明细!$P$4:$P$2003,$Z971-0)),IF($Z971&lt;=4000,IF(INDEX(周转筐出入库明细!$Q$4:$Q$2004,$Z971-2000)=0,"",INDEX(周转筐出入库明细!$Q$4:$Q$2004,$Z971-2000)),IF($Z971&lt;=5200,"",IF($Z971&lt;=5800,IF(INDEX(次果筐明细!$M$4:$M$603,$Z971-5200)=0,"",INDEX(次果筐明细!$M$4:$M$603,$Z971-5200)),"")))))</f>
        <v/>
      </c>
      <c r="M971" s="37" t="str">
        <f>IF($Z971="","",IF($Z971&lt;=2000,IF(INDEX(包装物料出入库明细!$R$4:$R$2003,$Z971-0)=0,"",INDEX(包装物料出入库明细!$R$4:$R$2003,$Z971-0)),IF($Z971&lt;=4000,IF(INDEX(周转筐出入库明细!$W$4:$W$2004,$Z971-2000)=0,"",INDEX(周转筐出入库明细!$W$4:$W$2004,$Z971-2000)),IF($Z971&lt;=5200,IF(INDEX(客户自备加工筐明细!$L$4:$L$1203,$Z971-4000)=0,"",INDEX(客户自备加工筐明细!$L$4:$L$1203,$Z971-4000)),IF($Z971&lt;=5800,IF(INDEX(次果筐明细!$P$4:$P$603,$Z971-5200)=0,"",INDEX(次果筐明细!$P$4:$P$603,$Z971-5200)),"")))))</f>
        <v/>
      </c>
      <c r="N971" s="16" t="str">
        <f>IF($Z971="","",IF($Z971&lt;=2000,"",IF($Z971&lt;=4000,IF(INDEX(周转筐出入库明细!$D$4:$D$2004,$Z971-2000)=0,"",INDEX(周转筐出入库明细!$D$4:$D$2004,$Z971-2000)),IF($Z971&lt;=5200,IF(INDEX(客户自备加工筐明细!$C$4:$C$1203,$Z971-4000)=0,"",INDEX(客户自备加工筐明细!$C$4:$C$1203,$Z971-4000)),IF($Z971&lt;=5800,IF(INDEX(次果筐明细!$D$4:$D$603,$Z971-5200)=0,"",INDEX(次果筐明细!$D$4:$D$603,$Z971-5200)),"")))))</f>
        <v/>
      </c>
      <c r="O971" s="40" t="str">
        <f>IF($Z971="","",IF($Z971&lt;=2000,"",IF($Z971&lt;=4000,IF(N(INDEX(周转筐出入库明细!$J$4:$J$2004,$Z971-2000))+N(INDEX(周转筐出入库明细!$K$4:$K$2004,$Z971-2000))=0,"",N(INDEX(周转筐出入库明细!$J$4:$J$2004,$Z971-2000))+N(INDEX(周转筐出入库明细!$K$4:$K$2004,$Z971-2000))),IF($Z971&lt;=5200,IF(N(INDEX(客户自备加工筐明细!$G$4:$G$1203,$Z971-4000))=0,"",N(INDEX(客户自备加工筐明细!$G$4:$G$1203,$Z971-4000))),IF($Z971&lt;=5800,IF(ISNUMBER(SEARCH("退",INDEX(次果筐明细!$F$4:$F$603,$Z971-5200)&amp;"")),"",IF(N(INDEX(次果筐明细!$G$4:$G$603,$Z971-5200))=0,"",N(INDEX(次果筐明细!$G$4:$G$603,$Z971-5200)))),"")))))</f>
        <v/>
      </c>
      <c r="P971" s="40" t="str">
        <f>IF($Z971="","",IF($Z971&lt;=2000,"",IF($Z971&lt;=4000,IF(N(INDEX(周转筐出入库明细!$I$4:$I$2004,$Z971-2000))=0,"",N(INDEX(周转筐出入库明细!$I$4:$I$2004,$Z971-2000))),IF($Z971&lt;=5200,"",IF($Z971&lt;=5800,IF(ISNUMBER(SEARCH("退",INDEX(次果筐明细!$F$4:$F$603,$Z971-5200)&amp;"")),IF(N(INDEX(次果筐明细!$G$4:$G$603,$Z971-5200))=0,"",N(INDEX(次果筐明细!$G$4:$G$603,$Z971-5200))),""),"")))))</f>
        <v/>
      </c>
      <c r="Q971" s="40" t="str">
        <f>IF($Z971="","",IF($Z971&lt;=2000,"",IF($Z971&lt;=4000,IF(N(INDEX(周转筐出入库明细!$H$4:$H$2004,$Z971-2000))=0,"",N(INDEX(周转筐出入库明细!$H$4:$H$2004,$Z971-2000))),IF($Z971&lt;=5200,IF(N(INDEX(客户自备加工筐明细!$F$4:$F$1203,$Z971-4000))=0,"",N(INDEX(客户自备加工筐明细!$F$4:$F$1203,$Z971-4000))),IF($Z971&lt;=5800,"","")))))</f>
        <v/>
      </c>
      <c r="R971" s="16" t="str">
        <f>IF($Z971="","",IF($Z971&lt;=2000,IF(INDEX(包装物料出入库明细!$O$4:$O$2003,$Z971-0)=0,"",INDEX(包装物料出入库明细!$O$4:$O$2003,$Z971-0)),IF($Z971&lt;=4000,IF(INDEX(周转筐出入库明细!$M$4:$M$2004,$Z971-2000)=0,"",INDEX(周转筐出入库明细!$M$4:$M$2004,$Z971-2000)),IF($Z971&lt;=5200,IF(INDEX(客户自备加工筐明细!$H$4:$H$1203,$Z971-4000)=0,"",INDEX(客户自备加工筐明细!$H$4:$H$1203,$Z971-4000)),IF($Z971&lt;=5800,IF(INDEX(次果筐明细!$H$4:$H$603,$Z971-5200)=0,"",INDEX(次果筐明细!$H$4:$H$603,$Z971-5200)),"")))))</f>
        <v/>
      </c>
      <c r="S971" s="22" t="str">
        <f t="shared" si="47"/>
        <v/>
      </c>
      <c r="Z971" s="10" t="str">
        <f>IFERROR(MATCH(ROW()-3,_自动清单!$CQ$4:$CQ$5803,0),"")</f>
        <v/>
      </c>
    </row>
    <row r="972" spans="1:26">
      <c r="A972" s="24" t="str">
        <f t="shared" si="45"/>
        <v/>
      </c>
      <c r="B972" s="38" t="str">
        <f>IF($Z972="","",IF($Z972&lt;=2000,IF(INDEX(包装物料出入库明细!$B$4:$B$2003,$Z972-0)=0,"",INDEX(包装物料出入库明细!$B$4:$B$2003,$Z972-0)),IF($Z972&lt;=4000,IF(INDEX(周转筐出入库明细!$B$4:$B$2004,$Z972-2000)=0,"",INDEX(周转筐出入库明细!$B$4:$B$2004,$Z972-2000)),IF($Z972&lt;=5200,IF(INDEX(客户自备加工筐明细!$B$4:$B$1203,$Z972-4000)=0,"",INDEX(客户自备加工筐明细!$B$4:$B$1203,$Z972-4000)),IF($Z972&lt;=5800,IF(INDEX(次果筐明细!$B$4:$B$603,$Z972-5200)=0,"",INDEX(次果筐明细!$B$4:$B$603,$Z972-5200)),"")))))</f>
        <v/>
      </c>
      <c r="C972" s="37" t="str">
        <f>IF($Z972="","",IF($Z972&lt;=2000,IF(INDEX(包装物料出入库明细!$D$4:$D$2003,$Z972-0)=0,"",INDEX(包装物料出入库明细!$D$4:$D$2003,$Z972-0)),IF($Z972&lt;=4000,IF(INDEX(周转筐出入库明细!$C$4:$C$2004,$Z972-2000)=0,"",INDEX(周转筐出入库明细!$C$4:$C$2004,$Z972-2000)),IF($Z972&lt;=5200,IF(INDEX(客户自备加工筐明细!$E$4:$E$1203,$Z972-4000)=0,"",INDEX(客户自备加工筐明细!$E$4:$E$1203,$Z972-4000)),IF($Z972&lt;=5800,IF(INDEX(次果筐明细!$C$4:$C$603,$Z972-5200)=0,"",INDEX(次果筐明细!$C$4:$C$603,$Z972-5200)),"")))))</f>
        <v/>
      </c>
      <c r="D972" s="37" t="str">
        <f>IF($Z972="","",IF($Z972&lt;=2000,"包装物料－"&amp;INDEX(包装物料出入库明细!$H$4:$H$2003,$Z972-0),IF($Z972&lt;=4000,"周转筐－"&amp;INDEX(周转筐出入库明细!$F$4:$F$2004,$Z972-2000),IF($Z972&lt;=5200,"客户自备筐－"&amp;INDEX(客户自备加工筐明细!$J$4:$J$1203,$Z972-4000),IF($Z972&lt;=5800,"次果筐/托盘－"&amp;INDEX(次果筐明细!$F$4:$F$603,$Z972-5200),"")))))</f>
        <v/>
      </c>
      <c r="E972" s="24" t="str">
        <f>IF($Z972="","",IF($Z972&lt;=2000,IF(INDEX(包装物料出入库明细!$C$4:$C$2003,$Z972-0)=0,"",INDEX(包装物料出入库明细!$C$4:$C$2003,$Z972-0)),IF($Z972&lt;=4000,IF(INDEX(周转筐出入库明细!$E$4:$E$2004,$Z972-2000)=0,"",INDEX(周转筐出入库明细!$E$4:$E$2004,$Z972-2000)),IF($Z972&lt;=5200,IF(INDEX(客户自备加工筐明细!$D$4:$D$1203,$Z972-4000)=0,"",INDEX(客户自备加工筐明细!$D$4:$D$1203,$Z972-4000)),IF($Z972&lt;=5800,IF(INDEX(次果筐明细!$E$4:$E$603,$Z972-5200)=0,"",INDEX(次果筐明细!$E$4:$E$603,$Z972-5200)),"")))))</f>
        <v/>
      </c>
      <c r="F972" s="24" t="str">
        <f>IF($Z972="","",IF($Z972&lt;=2000,IF(INDEX(包装物料出入库明细!$E$4:$E$2003,$Z972-0)=0,"",INDEX(包装物料出入库明细!$E$4:$E$2003,$Z972-0)),IF($Z972&lt;=4000,IF(INDEX(周转筐出入库明细!$D$4:$D$2004,$Z972-2000)=0,"",INDEX(周转筐出入库明细!$D$4:$D$2004,$Z972-2000)),IF($Z972&lt;=5200,IF(INDEX(客户自备加工筐明细!$C$4:$C$1203,$Z972-4000)=0,"",INDEX(客户自备加工筐明细!$C$4:$C$1203,$Z972-4000)),IF($Z972&lt;=5800,IF(INDEX(次果筐明细!$D$4:$D$603,$Z972-5200)=0,"",INDEX(次果筐明细!$D$4:$D$603,$Z972-5200)),"")))))</f>
        <v/>
      </c>
      <c r="G972" s="24" t="str">
        <f>IF($Z972="","",IF($Z972&lt;=2000,IF(INDEX(包装物料出入库明细!$F$4:$F$2003,$Z972-0)=0,"",INDEX(包装物料出入库明细!$F$4:$F$2003,$Z972-0)),IF($Z972&lt;=4000,"",IF($Z972&lt;=5200,"",IF($Z972&lt;=5800,"","")))))</f>
        <v/>
      </c>
      <c r="H972" s="39" t="str">
        <f>IF($Z972="","",IF($Z972&lt;=2000,IF(INDEX(包装物料出入库明细!$L$4:$L$2003,$Z972-0)=0,"",INDEX(包装物料出入库明细!$L$4:$L$2003,$Z972-0)),IF($Z972&lt;=4000,N(INDEX(周转筐出入库明细!$H$4:$H$2004,$Z972-2000))+N(INDEX(周转筐出入库明细!$I$4:$I$2004,$Z972-2000))+N(INDEX(周转筐出入库明细!$J$4:$J$2004,$Z972-2000))+N(INDEX(周转筐出入库明细!$K$4:$K$2004,$Z972-2000)),IF($Z972&lt;=5200,N(INDEX(客户自备加工筐明细!$F$4:$F$1203,$Z972-4000))+N(INDEX(客户自备加工筐明细!$G$4:$G$1203,$Z972-4000)),IF($Z972&lt;=5800,IF(INDEX(次果筐明细!$G$4:$G$603,$Z972-5200)=0,"",INDEX(次果筐明细!$G$4:$G$603,$Z972-5200)),"")))))</f>
        <v/>
      </c>
      <c r="I972" s="24" t="str">
        <f>IF($Z972="","",IF($Z972&lt;=2000,IF(INDEX(包装物料出入库明细!$G$4:$G$2003,$Z972-0)=0,"",INDEX(包装物料出入库明细!$G$4:$G$2003,$Z972-0)),IF($Z972&lt;=4000,"个",IF($Z972&lt;=5200,"个",IF($Z972&lt;=5800,"个","")))))</f>
        <v/>
      </c>
      <c r="J972" s="30" t="str">
        <f t="shared" si="46"/>
        <v/>
      </c>
      <c r="K972" s="30" t="str">
        <f>IF($Z972="","",IF($Z972&lt;=2000,IF(INDEX(包装物料出入库明细!$N$4:$N$2003,$Z972-0)=0,"",INDEX(包装物料出入库明细!$N$4:$N$2003,$Z972-0)),IF($Z972&lt;=4000,IF(INDEX(周转筐出入库明细!$P$4:$P$2004,$Z972-2000)=0,"",INDEX(周转筐出入库明细!$P$4:$P$2004,$Z972-2000)),IF($Z972&lt;=5200,"",IF($Z972&lt;=5800,N(INDEX(次果筐明细!$L$4:$L$603,$Z972-5200))+N(INDEX(次果筐明细!$J$4:$J$603,$Z972-5200)),"")))))</f>
        <v/>
      </c>
      <c r="L972" s="24" t="str">
        <f>IF($Z972="","",IF($Z972&lt;=2000,IF(INDEX(包装物料出入库明细!$P$4:$P$2003,$Z972-0)=0,"",INDEX(包装物料出入库明细!$P$4:$P$2003,$Z972-0)),IF($Z972&lt;=4000,IF(INDEX(周转筐出入库明细!$Q$4:$Q$2004,$Z972-2000)=0,"",INDEX(周转筐出入库明细!$Q$4:$Q$2004,$Z972-2000)),IF($Z972&lt;=5200,"",IF($Z972&lt;=5800,IF(INDEX(次果筐明细!$M$4:$M$603,$Z972-5200)=0,"",INDEX(次果筐明细!$M$4:$M$603,$Z972-5200)),"")))))</f>
        <v/>
      </c>
      <c r="M972" s="37" t="str">
        <f>IF($Z972="","",IF($Z972&lt;=2000,IF(INDEX(包装物料出入库明细!$R$4:$R$2003,$Z972-0)=0,"",INDEX(包装物料出入库明细!$R$4:$R$2003,$Z972-0)),IF($Z972&lt;=4000,IF(INDEX(周转筐出入库明细!$W$4:$W$2004,$Z972-2000)=0,"",INDEX(周转筐出入库明细!$W$4:$W$2004,$Z972-2000)),IF($Z972&lt;=5200,IF(INDEX(客户自备加工筐明细!$L$4:$L$1203,$Z972-4000)=0,"",INDEX(客户自备加工筐明细!$L$4:$L$1203,$Z972-4000)),IF($Z972&lt;=5800,IF(INDEX(次果筐明细!$P$4:$P$603,$Z972-5200)=0,"",INDEX(次果筐明细!$P$4:$P$603,$Z972-5200)),"")))))</f>
        <v/>
      </c>
      <c r="N972" s="16" t="str">
        <f>IF($Z972="","",IF($Z972&lt;=2000,"",IF($Z972&lt;=4000,IF(INDEX(周转筐出入库明细!$D$4:$D$2004,$Z972-2000)=0,"",INDEX(周转筐出入库明细!$D$4:$D$2004,$Z972-2000)),IF($Z972&lt;=5200,IF(INDEX(客户自备加工筐明细!$C$4:$C$1203,$Z972-4000)=0,"",INDEX(客户自备加工筐明细!$C$4:$C$1203,$Z972-4000)),IF($Z972&lt;=5800,IF(INDEX(次果筐明细!$D$4:$D$603,$Z972-5200)=0,"",INDEX(次果筐明细!$D$4:$D$603,$Z972-5200)),"")))))</f>
        <v/>
      </c>
      <c r="O972" s="40" t="str">
        <f>IF($Z972="","",IF($Z972&lt;=2000,"",IF($Z972&lt;=4000,IF(N(INDEX(周转筐出入库明细!$J$4:$J$2004,$Z972-2000))+N(INDEX(周转筐出入库明细!$K$4:$K$2004,$Z972-2000))=0,"",N(INDEX(周转筐出入库明细!$J$4:$J$2004,$Z972-2000))+N(INDEX(周转筐出入库明细!$K$4:$K$2004,$Z972-2000))),IF($Z972&lt;=5200,IF(N(INDEX(客户自备加工筐明细!$G$4:$G$1203,$Z972-4000))=0,"",N(INDEX(客户自备加工筐明细!$G$4:$G$1203,$Z972-4000))),IF($Z972&lt;=5800,IF(ISNUMBER(SEARCH("退",INDEX(次果筐明细!$F$4:$F$603,$Z972-5200)&amp;"")),"",IF(N(INDEX(次果筐明细!$G$4:$G$603,$Z972-5200))=0,"",N(INDEX(次果筐明细!$G$4:$G$603,$Z972-5200)))),"")))))</f>
        <v/>
      </c>
      <c r="P972" s="40" t="str">
        <f>IF($Z972="","",IF($Z972&lt;=2000,"",IF($Z972&lt;=4000,IF(N(INDEX(周转筐出入库明细!$I$4:$I$2004,$Z972-2000))=0,"",N(INDEX(周转筐出入库明细!$I$4:$I$2004,$Z972-2000))),IF($Z972&lt;=5200,"",IF($Z972&lt;=5800,IF(ISNUMBER(SEARCH("退",INDEX(次果筐明细!$F$4:$F$603,$Z972-5200)&amp;"")),IF(N(INDEX(次果筐明细!$G$4:$G$603,$Z972-5200))=0,"",N(INDEX(次果筐明细!$G$4:$G$603,$Z972-5200))),""),"")))))</f>
        <v/>
      </c>
      <c r="Q972" s="40" t="str">
        <f>IF($Z972="","",IF($Z972&lt;=2000,"",IF($Z972&lt;=4000,IF(N(INDEX(周转筐出入库明细!$H$4:$H$2004,$Z972-2000))=0,"",N(INDEX(周转筐出入库明细!$H$4:$H$2004,$Z972-2000))),IF($Z972&lt;=5200,IF(N(INDEX(客户自备加工筐明细!$F$4:$F$1203,$Z972-4000))=0,"",N(INDEX(客户自备加工筐明细!$F$4:$F$1203,$Z972-4000))),IF($Z972&lt;=5800,"","")))))</f>
        <v/>
      </c>
      <c r="R972" s="16" t="str">
        <f>IF($Z972="","",IF($Z972&lt;=2000,IF(INDEX(包装物料出入库明细!$O$4:$O$2003,$Z972-0)=0,"",INDEX(包装物料出入库明细!$O$4:$O$2003,$Z972-0)),IF($Z972&lt;=4000,IF(INDEX(周转筐出入库明细!$M$4:$M$2004,$Z972-2000)=0,"",INDEX(周转筐出入库明细!$M$4:$M$2004,$Z972-2000)),IF($Z972&lt;=5200,IF(INDEX(客户自备加工筐明细!$H$4:$H$1203,$Z972-4000)=0,"",INDEX(客户自备加工筐明细!$H$4:$H$1203,$Z972-4000)),IF($Z972&lt;=5800,IF(INDEX(次果筐明细!$H$4:$H$603,$Z972-5200)=0,"",INDEX(次果筐明细!$H$4:$H$603,$Z972-5200)),"")))))</f>
        <v/>
      </c>
      <c r="S972" s="22" t="str">
        <f t="shared" si="47"/>
        <v/>
      </c>
      <c r="Z972" s="10" t="str">
        <f>IFERROR(MATCH(ROW()-3,_自动清单!$CQ$4:$CQ$5803,0),"")</f>
        <v/>
      </c>
    </row>
    <row r="973" spans="1:26">
      <c r="A973" s="24" t="str">
        <f t="shared" si="45"/>
        <v/>
      </c>
      <c r="B973" s="38" t="str">
        <f>IF($Z973="","",IF($Z973&lt;=2000,IF(INDEX(包装物料出入库明细!$B$4:$B$2003,$Z973-0)=0,"",INDEX(包装物料出入库明细!$B$4:$B$2003,$Z973-0)),IF($Z973&lt;=4000,IF(INDEX(周转筐出入库明细!$B$4:$B$2004,$Z973-2000)=0,"",INDEX(周转筐出入库明细!$B$4:$B$2004,$Z973-2000)),IF($Z973&lt;=5200,IF(INDEX(客户自备加工筐明细!$B$4:$B$1203,$Z973-4000)=0,"",INDEX(客户自备加工筐明细!$B$4:$B$1203,$Z973-4000)),IF($Z973&lt;=5800,IF(INDEX(次果筐明细!$B$4:$B$603,$Z973-5200)=0,"",INDEX(次果筐明细!$B$4:$B$603,$Z973-5200)),"")))))</f>
        <v/>
      </c>
      <c r="C973" s="37" t="str">
        <f>IF($Z973="","",IF($Z973&lt;=2000,IF(INDEX(包装物料出入库明细!$D$4:$D$2003,$Z973-0)=0,"",INDEX(包装物料出入库明细!$D$4:$D$2003,$Z973-0)),IF($Z973&lt;=4000,IF(INDEX(周转筐出入库明细!$C$4:$C$2004,$Z973-2000)=0,"",INDEX(周转筐出入库明细!$C$4:$C$2004,$Z973-2000)),IF($Z973&lt;=5200,IF(INDEX(客户自备加工筐明细!$E$4:$E$1203,$Z973-4000)=0,"",INDEX(客户自备加工筐明细!$E$4:$E$1203,$Z973-4000)),IF($Z973&lt;=5800,IF(INDEX(次果筐明细!$C$4:$C$603,$Z973-5200)=0,"",INDEX(次果筐明细!$C$4:$C$603,$Z973-5200)),"")))))</f>
        <v/>
      </c>
      <c r="D973" s="37" t="str">
        <f>IF($Z973="","",IF($Z973&lt;=2000,"包装物料－"&amp;INDEX(包装物料出入库明细!$H$4:$H$2003,$Z973-0),IF($Z973&lt;=4000,"周转筐－"&amp;INDEX(周转筐出入库明细!$F$4:$F$2004,$Z973-2000),IF($Z973&lt;=5200,"客户自备筐－"&amp;INDEX(客户自备加工筐明细!$J$4:$J$1203,$Z973-4000),IF($Z973&lt;=5800,"次果筐/托盘－"&amp;INDEX(次果筐明细!$F$4:$F$603,$Z973-5200),"")))))</f>
        <v/>
      </c>
      <c r="E973" s="24" t="str">
        <f>IF($Z973="","",IF($Z973&lt;=2000,IF(INDEX(包装物料出入库明细!$C$4:$C$2003,$Z973-0)=0,"",INDEX(包装物料出入库明细!$C$4:$C$2003,$Z973-0)),IF($Z973&lt;=4000,IF(INDEX(周转筐出入库明细!$E$4:$E$2004,$Z973-2000)=0,"",INDEX(周转筐出入库明细!$E$4:$E$2004,$Z973-2000)),IF($Z973&lt;=5200,IF(INDEX(客户自备加工筐明细!$D$4:$D$1203,$Z973-4000)=0,"",INDEX(客户自备加工筐明细!$D$4:$D$1203,$Z973-4000)),IF($Z973&lt;=5800,IF(INDEX(次果筐明细!$E$4:$E$603,$Z973-5200)=0,"",INDEX(次果筐明细!$E$4:$E$603,$Z973-5200)),"")))))</f>
        <v/>
      </c>
      <c r="F973" s="24" t="str">
        <f>IF($Z973="","",IF($Z973&lt;=2000,IF(INDEX(包装物料出入库明细!$E$4:$E$2003,$Z973-0)=0,"",INDEX(包装物料出入库明细!$E$4:$E$2003,$Z973-0)),IF($Z973&lt;=4000,IF(INDEX(周转筐出入库明细!$D$4:$D$2004,$Z973-2000)=0,"",INDEX(周转筐出入库明细!$D$4:$D$2004,$Z973-2000)),IF($Z973&lt;=5200,IF(INDEX(客户自备加工筐明细!$C$4:$C$1203,$Z973-4000)=0,"",INDEX(客户自备加工筐明细!$C$4:$C$1203,$Z973-4000)),IF($Z973&lt;=5800,IF(INDEX(次果筐明细!$D$4:$D$603,$Z973-5200)=0,"",INDEX(次果筐明细!$D$4:$D$603,$Z973-5200)),"")))))</f>
        <v/>
      </c>
      <c r="G973" s="24" t="str">
        <f>IF($Z973="","",IF($Z973&lt;=2000,IF(INDEX(包装物料出入库明细!$F$4:$F$2003,$Z973-0)=0,"",INDEX(包装物料出入库明细!$F$4:$F$2003,$Z973-0)),IF($Z973&lt;=4000,"",IF($Z973&lt;=5200,"",IF($Z973&lt;=5800,"","")))))</f>
        <v/>
      </c>
      <c r="H973" s="39" t="str">
        <f>IF($Z973="","",IF($Z973&lt;=2000,IF(INDEX(包装物料出入库明细!$L$4:$L$2003,$Z973-0)=0,"",INDEX(包装物料出入库明细!$L$4:$L$2003,$Z973-0)),IF($Z973&lt;=4000,N(INDEX(周转筐出入库明细!$H$4:$H$2004,$Z973-2000))+N(INDEX(周转筐出入库明细!$I$4:$I$2004,$Z973-2000))+N(INDEX(周转筐出入库明细!$J$4:$J$2004,$Z973-2000))+N(INDEX(周转筐出入库明细!$K$4:$K$2004,$Z973-2000)),IF($Z973&lt;=5200,N(INDEX(客户自备加工筐明细!$F$4:$F$1203,$Z973-4000))+N(INDEX(客户自备加工筐明细!$G$4:$G$1203,$Z973-4000)),IF($Z973&lt;=5800,IF(INDEX(次果筐明细!$G$4:$G$603,$Z973-5200)=0,"",INDEX(次果筐明细!$G$4:$G$603,$Z973-5200)),"")))))</f>
        <v/>
      </c>
      <c r="I973" s="24" t="str">
        <f>IF($Z973="","",IF($Z973&lt;=2000,IF(INDEX(包装物料出入库明细!$G$4:$G$2003,$Z973-0)=0,"",INDEX(包装物料出入库明细!$G$4:$G$2003,$Z973-0)),IF($Z973&lt;=4000,"个",IF($Z973&lt;=5200,"个",IF($Z973&lt;=5800,"个","")))))</f>
        <v/>
      </c>
      <c r="J973" s="30" t="str">
        <f t="shared" si="46"/>
        <v/>
      </c>
      <c r="K973" s="30" t="str">
        <f>IF($Z973="","",IF($Z973&lt;=2000,IF(INDEX(包装物料出入库明细!$N$4:$N$2003,$Z973-0)=0,"",INDEX(包装物料出入库明细!$N$4:$N$2003,$Z973-0)),IF($Z973&lt;=4000,IF(INDEX(周转筐出入库明细!$P$4:$P$2004,$Z973-2000)=0,"",INDEX(周转筐出入库明细!$P$4:$P$2004,$Z973-2000)),IF($Z973&lt;=5200,"",IF($Z973&lt;=5800,N(INDEX(次果筐明细!$L$4:$L$603,$Z973-5200))+N(INDEX(次果筐明细!$J$4:$J$603,$Z973-5200)),"")))))</f>
        <v/>
      </c>
      <c r="L973" s="24" t="str">
        <f>IF($Z973="","",IF($Z973&lt;=2000,IF(INDEX(包装物料出入库明细!$P$4:$P$2003,$Z973-0)=0,"",INDEX(包装物料出入库明细!$P$4:$P$2003,$Z973-0)),IF($Z973&lt;=4000,IF(INDEX(周转筐出入库明细!$Q$4:$Q$2004,$Z973-2000)=0,"",INDEX(周转筐出入库明细!$Q$4:$Q$2004,$Z973-2000)),IF($Z973&lt;=5200,"",IF($Z973&lt;=5800,IF(INDEX(次果筐明细!$M$4:$M$603,$Z973-5200)=0,"",INDEX(次果筐明细!$M$4:$M$603,$Z973-5200)),"")))))</f>
        <v/>
      </c>
      <c r="M973" s="37" t="str">
        <f>IF($Z973="","",IF($Z973&lt;=2000,IF(INDEX(包装物料出入库明细!$R$4:$R$2003,$Z973-0)=0,"",INDEX(包装物料出入库明细!$R$4:$R$2003,$Z973-0)),IF($Z973&lt;=4000,IF(INDEX(周转筐出入库明细!$W$4:$W$2004,$Z973-2000)=0,"",INDEX(周转筐出入库明细!$W$4:$W$2004,$Z973-2000)),IF($Z973&lt;=5200,IF(INDEX(客户自备加工筐明细!$L$4:$L$1203,$Z973-4000)=0,"",INDEX(客户自备加工筐明细!$L$4:$L$1203,$Z973-4000)),IF($Z973&lt;=5800,IF(INDEX(次果筐明细!$P$4:$P$603,$Z973-5200)=0,"",INDEX(次果筐明细!$P$4:$P$603,$Z973-5200)),"")))))</f>
        <v/>
      </c>
      <c r="N973" s="16" t="str">
        <f>IF($Z973="","",IF($Z973&lt;=2000,"",IF($Z973&lt;=4000,IF(INDEX(周转筐出入库明细!$D$4:$D$2004,$Z973-2000)=0,"",INDEX(周转筐出入库明细!$D$4:$D$2004,$Z973-2000)),IF($Z973&lt;=5200,IF(INDEX(客户自备加工筐明细!$C$4:$C$1203,$Z973-4000)=0,"",INDEX(客户自备加工筐明细!$C$4:$C$1203,$Z973-4000)),IF($Z973&lt;=5800,IF(INDEX(次果筐明细!$D$4:$D$603,$Z973-5200)=0,"",INDEX(次果筐明细!$D$4:$D$603,$Z973-5200)),"")))))</f>
        <v/>
      </c>
      <c r="O973" s="40" t="str">
        <f>IF($Z973="","",IF($Z973&lt;=2000,"",IF($Z973&lt;=4000,IF(N(INDEX(周转筐出入库明细!$J$4:$J$2004,$Z973-2000))+N(INDEX(周转筐出入库明细!$K$4:$K$2004,$Z973-2000))=0,"",N(INDEX(周转筐出入库明细!$J$4:$J$2004,$Z973-2000))+N(INDEX(周转筐出入库明细!$K$4:$K$2004,$Z973-2000))),IF($Z973&lt;=5200,IF(N(INDEX(客户自备加工筐明细!$G$4:$G$1203,$Z973-4000))=0,"",N(INDEX(客户自备加工筐明细!$G$4:$G$1203,$Z973-4000))),IF($Z973&lt;=5800,IF(ISNUMBER(SEARCH("退",INDEX(次果筐明细!$F$4:$F$603,$Z973-5200)&amp;"")),"",IF(N(INDEX(次果筐明细!$G$4:$G$603,$Z973-5200))=0,"",N(INDEX(次果筐明细!$G$4:$G$603,$Z973-5200)))),"")))))</f>
        <v/>
      </c>
      <c r="P973" s="40" t="str">
        <f>IF($Z973="","",IF($Z973&lt;=2000,"",IF($Z973&lt;=4000,IF(N(INDEX(周转筐出入库明细!$I$4:$I$2004,$Z973-2000))=0,"",N(INDEX(周转筐出入库明细!$I$4:$I$2004,$Z973-2000))),IF($Z973&lt;=5200,"",IF($Z973&lt;=5800,IF(ISNUMBER(SEARCH("退",INDEX(次果筐明细!$F$4:$F$603,$Z973-5200)&amp;"")),IF(N(INDEX(次果筐明细!$G$4:$G$603,$Z973-5200))=0,"",N(INDEX(次果筐明细!$G$4:$G$603,$Z973-5200))),""),"")))))</f>
        <v/>
      </c>
      <c r="Q973" s="40" t="str">
        <f>IF($Z973="","",IF($Z973&lt;=2000,"",IF($Z973&lt;=4000,IF(N(INDEX(周转筐出入库明细!$H$4:$H$2004,$Z973-2000))=0,"",N(INDEX(周转筐出入库明细!$H$4:$H$2004,$Z973-2000))),IF($Z973&lt;=5200,IF(N(INDEX(客户自备加工筐明细!$F$4:$F$1203,$Z973-4000))=0,"",N(INDEX(客户自备加工筐明细!$F$4:$F$1203,$Z973-4000))),IF($Z973&lt;=5800,"","")))))</f>
        <v/>
      </c>
      <c r="R973" s="16" t="str">
        <f>IF($Z973="","",IF($Z973&lt;=2000,IF(INDEX(包装物料出入库明细!$O$4:$O$2003,$Z973-0)=0,"",INDEX(包装物料出入库明细!$O$4:$O$2003,$Z973-0)),IF($Z973&lt;=4000,IF(INDEX(周转筐出入库明细!$M$4:$M$2004,$Z973-2000)=0,"",INDEX(周转筐出入库明细!$M$4:$M$2004,$Z973-2000)),IF($Z973&lt;=5200,IF(INDEX(客户自备加工筐明细!$H$4:$H$1203,$Z973-4000)=0,"",INDEX(客户自备加工筐明细!$H$4:$H$1203,$Z973-4000)),IF($Z973&lt;=5800,IF(INDEX(次果筐明细!$H$4:$H$603,$Z973-5200)=0,"",INDEX(次果筐明细!$H$4:$H$603,$Z973-5200)),"")))))</f>
        <v/>
      </c>
      <c r="S973" s="22" t="str">
        <f t="shared" si="47"/>
        <v/>
      </c>
      <c r="Z973" s="10" t="str">
        <f>IFERROR(MATCH(ROW()-3,_自动清单!$CQ$4:$CQ$5803,0),"")</f>
        <v/>
      </c>
    </row>
    <row r="974" spans="1:26">
      <c r="A974" s="24" t="str">
        <f t="shared" si="45"/>
        <v/>
      </c>
      <c r="B974" s="38" t="str">
        <f>IF($Z974="","",IF($Z974&lt;=2000,IF(INDEX(包装物料出入库明细!$B$4:$B$2003,$Z974-0)=0,"",INDEX(包装物料出入库明细!$B$4:$B$2003,$Z974-0)),IF($Z974&lt;=4000,IF(INDEX(周转筐出入库明细!$B$4:$B$2004,$Z974-2000)=0,"",INDEX(周转筐出入库明细!$B$4:$B$2004,$Z974-2000)),IF($Z974&lt;=5200,IF(INDEX(客户自备加工筐明细!$B$4:$B$1203,$Z974-4000)=0,"",INDEX(客户自备加工筐明细!$B$4:$B$1203,$Z974-4000)),IF($Z974&lt;=5800,IF(INDEX(次果筐明细!$B$4:$B$603,$Z974-5200)=0,"",INDEX(次果筐明细!$B$4:$B$603,$Z974-5200)),"")))))</f>
        <v/>
      </c>
      <c r="C974" s="37" t="str">
        <f>IF($Z974="","",IF($Z974&lt;=2000,IF(INDEX(包装物料出入库明细!$D$4:$D$2003,$Z974-0)=0,"",INDEX(包装物料出入库明细!$D$4:$D$2003,$Z974-0)),IF($Z974&lt;=4000,IF(INDEX(周转筐出入库明细!$C$4:$C$2004,$Z974-2000)=0,"",INDEX(周转筐出入库明细!$C$4:$C$2004,$Z974-2000)),IF($Z974&lt;=5200,IF(INDEX(客户自备加工筐明细!$E$4:$E$1203,$Z974-4000)=0,"",INDEX(客户自备加工筐明细!$E$4:$E$1203,$Z974-4000)),IF($Z974&lt;=5800,IF(INDEX(次果筐明细!$C$4:$C$603,$Z974-5200)=0,"",INDEX(次果筐明细!$C$4:$C$603,$Z974-5200)),"")))))</f>
        <v/>
      </c>
      <c r="D974" s="37" t="str">
        <f>IF($Z974="","",IF($Z974&lt;=2000,"包装物料－"&amp;INDEX(包装物料出入库明细!$H$4:$H$2003,$Z974-0),IF($Z974&lt;=4000,"周转筐－"&amp;INDEX(周转筐出入库明细!$F$4:$F$2004,$Z974-2000),IF($Z974&lt;=5200,"客户自备筐－"&amp;INDEX(客户自备加工筐明细!$J$4:$J$1203,$Z974-4000),IF($Z974&lt;=5800,"次果筐/托盘－"&amp;INDEX(次果筐明细!$F$4:$F$603,$Z974-5200),"")))))</f>
        <v/>
      </c>
      <c r="E974" s="24" t="str">
        <f>IF($Z974="","",IF($Z974&lt;=2000,IF(INDEX(包装物料出入库明细!$C$4:$C$2003,$Z974-0)=0,"",INDEX(包装物料出入库明细!$C$4:$C$2003,$Z974-0)),IF($Z974&lt;=4000,IF(INDEX(周转筐出入库明细!$E$4:$E$2004,$Z974-2000)=0,"",INDEX(周转筐出入库明细!$E$4:$E$2004,$Z974-2000)),IF($Z974&lt;=5200,IF(INDEX(客户自备加工筐明细!$D$4:$D$1203,$Z974-4000)=0,"",INDEX(客户自备加工筐明细!$D$4:$D$1203,$Z974-4000)),IF($Z974&lt;=5800,IF(INDEX(次果筐明细!$E$4:$E$603,$Z974-5200)=0,"",INDEX(次果筐明细!$E$4:$E$603,$Z974-5200)),"")))))</f>
        <v/>
      </c>
      <c r="F974" s="24" t="str">
        <f>IF($Z974="","",IF($Z974&lt;=2000,IF(INDEX(包装物料出入库明细!$E$4:$E$2003,$Z974-0)=0,"",INDEX(包装物料出入库明细!$E$4:$E$2003,$Z974-0)),IF($Z974&lt;=4000,IF(INDEX(周转筐出入库明细!$D$4:$D$2004,$Z974-2000)=0,"",INDEX(周转筐出入库明细!$D$4:$D$2004,$Z974-2000)),IF($Z974&lt;=5200,IF(INDEX(客户自备加工筐明细!$C$4:$C$1203,$Z974-4000)=0,"",INDEX(客户自备加工筐明细!$C$4:$C$1203,$Z974-4000)),IF($Z974&lt;=5800,IF(INDEX(次果筐明细!$D$4:$D$603,$Z974-5200)=0,"",INDEX(次果筐明细!$D$4:$D$603,$Z974-5200)),"")))))</f>
        <v/>
      </c>
      <c r="G974" s="24" t="str">
        <f>IF($Z974="","",IF($Z974&lt;=2000,IF(INDEX(包装物料出入库明细!$F$4:$F$2003,$Z974-0)=0,"",INDEX(包装物料出入库明细!$F$4:$F$2003,$Z974-0)),IF($Z974&lt;=4000,"",IF($Z974&lt;=5200,"",IF($Z974&lt;=5800,"","")))))</f>
        <v/>
      </c>
      <c r="H974" s="39" t="str">
        <f>IF($Z974="","",IF($Z974&lt;=2000,IF(INDEX(包装物料出入库明细!$L$4:$L$2003,$Z974-0)=0,"",INDEX(包装物料出入库明细!$L$4:$L$2003,$Z974-0)),IF($Z974&lt;=4000,N(INDEX(周转筐出入库明细!$H$4:$H$2004,$Z974-2000))+N(INDEX(周转筐出入库明细!$I$4:$I$2004,$Z974-2000))+N(INDEX(周转筐出入库明细!$J$4:$J$2004,$Z974-2000))+N(INDEX(周转筐出入库明细!$K$4:$K$2004,$Z974-2000)),IF($Z974&lt;=5200,N(INDEX(客户自备加工筐明细!$F$4:$F$1203,$Z974-4000))+N(INDEX(客户自备加工筐明细!$G$4:$G$1203,$Z974-4000)),IF($Z974&lt;=5800,IF(INDEX(次果筐明细!$G$4:$G$603,$Z974-5200)=0,"",INDEX(次果筐明细!$G$4:$G$603,$Z974-5200)),"")))))</f>
        <v/>
      </c>
      <c r="I974" s="24" t="str">
        <f>IF($Z974="","",IF($Z974&lt;=2000,IF(INDEX(包装物料出入库明细!$G$4:$G$2003,$Z974-0)=0,"",INDEX(包装物料出入库明细!$G$4:$G$2003,$Z974-0)),IF($Z974&lt;=4000,"个",IF($Z974&lt;=5200,"个",IF($Z974&lt;=5800,"个","")))))</f>
        <v/>
      </c>
      <c r="J974" s="30" t="str">
        <f t="shared" si="46"/>
        <v/>
      </c>
      <c r="K974" s="30" t="str">
        <f>IF($Z974="","",IF($Z974&lt;=2000,IF(INDEX(包装物料出入库明细!$N$4:$N$2003,$Z974-0)=0,"",INDEX(包装物料出入库明细!$N$4:$N$2003,$Z974-0)),IF($Z974&lt;=4000,IF(INDEX(周转筐出入库明细!$P$4:$P$2004,$Z974-2000)=0,"",INDEX(周转筐出入库明细!$P$4:$P$2004,$Z974-2000)),IF($Z974&lt;=5200,"",IF($Z974&lt;=5800,N(INDEX(次果筐明细!$L$4:$L$603,$Z974-5200))+N(INDEX(次果筐明细!$J$4:$J$603,$Z974-5200)),"")))))</f>
        <v/>
      </c>
      <c r="L974" s="24" t="str">
        <f>IF($Z974="","",IF($Z974&lt;=2000,IF(INDEX(包装物料出入库明细!$P$4:$P$2003,$Z974-0)=0,"",INDEX(包装物料出入库明细!$P$4:$P$2003,$Z974-0)),IF($Z974&lt;=4000,IF(INDEX(周转筐出入库明细!$Q$4:$Q$2004,$Z974-2000)=0,"",INDEX(周转筐出入库明细!$Q$4:$Q$2004,$Z974-2000)),IF($Z974&lt;=5200,"",IF($Z974&lt;=5800,IF(INDEX(次果筐明细!$M$4:$M$603,$Z974-5200)=0,"",INDEX(次果筐明细!$M$4:$M$603,$Z974-5200)),"")))))</f>
        <v/>
      </c>
      <c r="M974" s="37" t="str">
        <f>IF($Z974="","",IF($Z974&lt;=2000,IF(INDEX(包装物料出入库明细!$R$4:$R$2003,$Z974-0)=0,"",INDEX(包装物料出入库明细!$R$4:$R$2003,$Z974-0)),IF($Z974&lt;=4000,IF(INDEX(周转筐出入库明细!$W$4:$W$2004,$Z974-2000)=0,"",INDEX(周转筐出入库明细!$W$4:$W$2004,$Z974-2000)),IF($Z974&lt;=5200,IF(INDEX(客户自备加工筐明细!$L$4:$L$1203,$Z974-4000)=0,"",INDEX(客户自备加工筐明细!$L$4:$L$1203,$Z974-4000)),IF($Z974&lt;=5800,IF(INDEX(次果筐明细!$P$4:$P$603,$Z974-5200)=0,"",INDEX(次果筐明细!$P$4:$P$603,$Z974-5200)),"")))))</f>
        <v/>
      </c>
      <c r="N974" s="16" t="str">
        <f>IF($Z974="","",IF($Z974&lt;=2000,"",IF($Z974&lt;=4000,IF(INDEX(周转筐出入库明细!$D$4:$D$2004,$Z974-2000)=0,"",INDEX(周转筐出入库明细!$D$4:$D$2004,$Z974-2000)),IF($Z974&lt;=5200,IF(INDEX(客户自备加工筐明细!$C$4:$C$1203,$Z974-4000)=0,"",INDEX(客户自备加工筐明细!$C$4:$C$1203,$Z974-4000)),IF($Z974&lt;=5800,IF(INDEX(次果筐明细!$D$4:$D$603,$Z974-5200)=0,"",INDEX(次果筐明细!$D$4:$D$603,$Z974-5200)),"")))))</f>
        <v/>
      </c>
      <c r="O974" s="40" t="str">
        <f>IF($Z974="","",IF($Z974&lt;=2000,"",IF($Z974&lt;=4000,IF(N(INDEX(周转筐出入库明细!$J$4:$J$2004,$Z974-2000))+N(INDEX(周转筐出入库明细!$K$4:$K$2004,$Z974-2000))=0,"",N(INDEX(周转筐出入库明细!$J$4:$J$2004,$Z974-2000))+N(INDEX(周转筐出入库明细!$K$4:$K$2004,$Z974-2000))),IF($Z974&lt;=5200,IF(N(INDEX(客户自备加工筐明细!$G$4:$G$1203,$Z974-4000))=0,"",N(INDEX(客户自备加工筐明细!$G$4:$G$1203,$Z974-4000))),IF($Z974&lt;=5800,IF(ISNUMBER(SEARCH("退",INDEX(次果筐明细!$F$4:$F$603,$Z974-5200)&amp;"")),"",IF(N(INDEX(次果筐明细!$G$4:$G$603,$Z974-5200))=0,"",N(INDEX(次果筐明细!$G$4:$G$603,$Z974-5200)))),"")))))</f>
        <v/>
      </c>
      <c r="P974" s="40" t="str">
        <f>IF($Z974="","",IF($Z974&lt;=2000,"",IF($Z974&lt;=4000,IF(N(INDEX(周转筐出入库明细!$I$4:$I$2004,$Z974-2000))=0,"",N(INDEX(周转筐出入库明细!$I$4:$I$2004,$Z974-2000))),IF($Z974&lt;=5200,"",IF($Z974&lt;=5800,IF(ISNUMBER(SEARCH("退",INDEX(次果筐明细!$F$4:$F$603,$Z974-5200)&amp;"")),IF(N(INDEX(次果筐明细!$G$4:$G$603,$Z974-5200))=0,"",N(INDEX(次果筐明细!$G$4:$G$603,$Z974-5200))),""),"")))))</f>
        <v/>
      </c>
      <c r="Q974" s="40" t="str">
        <f>IF($Z974="","",IF($Z974&lt;=2000,"",IF($Z974&lt;=4000,IF(N(INDEX(周转筐出入库明细!$H$4:$H$2004,$Z974-2000))=0,"",N(INDEX(周转筐出入库明细!$H$4:$H$2004,$Z974-2000))),IF($Z974&lt;=5200,IF(N(INDEX(客户自备加工筐明细!$F$4:$F$1203,$Z974-4000))=0,"",N(INDEX(客户自备加工筐明细!$F$4:$F$1203,$Z974-4000))),IF($Z974&lt;=5800,"","")))))</f>
        <v/>
      </c>
      <c r="R974" s="16" t="str">
        <f>IF($Z974="","",IF($Z974&lt;=2000,IF(INDEX(包装物料出入库明细!$O$4:$O$2003,$Z974-0)=0,"",INDEX(包装物料出入库明细!$O$4:$O$2003,$Z974-0)),IF($Z974&lt;=4000,IF(INDEX(周转筐出入库明细!$M$4:$M$2004,$Z974-2000)=0,"",INDEX(周转筐出入库明细!$M$4:$M$2004,$Z974-2000)),IF($Z974&lt;=5200,IF(INDEX(客户自备加工筐明细!$H$4:$H$1203,$Z974-4000)=0,"",INDEX(客户自备加工筐明细!$H$4:$H$1203,$Z974-4000)),IF($Z974&lt;=5800,IF(INDEX(次果筐明细!$H$4:$H$603,$Z974-5200)=0,"",INDEX(次果筐明细!$H$4:$H$603,$Z974-5200)),"")))))</f>
        <v/>
      </c>
      <c r="S974" s="22" t="str">
        <f t="shared" si="47"/>
        <v/>
      </c>
      <c r="Z974" s="10" t="str">
        <f>IFERROR(MATCH(ROW()-3,_自动清单!$CQ$4:$CQ$5803,0),"")</f>
        <v/>
      </c>
    </row>
    <row r="975" spans="1:26">
      <c r="A975" s="24" t="str">
        <f t="shared" si="45"/>
        <v/>
      </c>
      <c r="B975" s="38" t="str">
        <f>IF($Z975="","",IF($Z975&lt;=2000,IF(INDEX(包装物料出入库明细!$B$4:$B$2003,$Z975-0)=0,"",INDEX(包装物料出入库明细!$B$4:$B$2003,$Z975-0)),IF($Z975&lt;=4000,IF(INDEX(周转筐出入库明细!$B$4:$B$2004,$Z975-2000)=0,"",INDEX(周转筐出入库明细!$B$4:$B$2004,$Z975-2000)),IF($Z975&lt;=5200,IF(INDEX(客户自备加工筐明细!$B$4:$B$1203,$Z975-4000)=0,"",INDEX(客户自备加工筐明细!$B$4:$B$1203,$Z975-4000)),IF($Z975&lt;=5800,IF(INDEX(次果筐明细!$B$4:$B$603,$Z975-5200)=0,"",INDEX(次果筐明细!$B$4:$B$603,$Z975-5200)),"")))))</f>
        <v/>
      </c>
      <c r="C975" s="37" t="str">
        <f>IF($Z975="","",IF($Z975&lt;=2000,IF(INDEX(包装物料出入库明细!$D$4:$D$2003,$Z975-0)=0,"",INDEX(包装物料出入库明细!$D$4:$D$2003,$Z975-0)),IF($Z975&lt;=4000,IF(INDEX(周转筐出入库明细!$C$4:$C$2004,$Z975-2000)=0,"",INDEX(周转筐出入库明细!$C$4:$C$2004,$Z975-2000)),IF($Z975&lt;=5200,IF(INDEX(客户自备加工筐明细!$E$4:$E$1203,$Z975-4000)=0,"",INDEX(客户自备加工筐明细!$E$4:$E$1203,$Z975-4000)),IF($Z975&lt;=5800,IF(INDEX(次果筐明细!$C$4:$C$603,$Z975-5200)=0,"",INDEX(次果筐明细!$C$4:$C$603,$Z975-5200)),"")))))</f>
        <v/>
      </c>
      <c r="D975" s="37" t="str">
        <f>IF($Z975="","",IF($Z975&lt;=2000,"包装物料－"&amp;INDEX(包装物料出入库明细!$H$4:$H$2003,$Z975-0),IF($Z975&lt;=4000,"周转筐－"&amp;INDEX(周转筐出入库明细!$F$4:$F$2004,$Z975-2000),IF($Z975&lt;=5200,"客户自备筐－"&amp;INDEX(客户自备加工筐明细!$J$4:$J$1203,$Z975-4000),IF($Z975&lt;=5800,"次果筐/托盘－"&amp;INDEX(次果筐明细!$F$4:$F$603,$Z975-5200),"")))))</f>
        <v/>
      </c>
      <c r="E975" s="24" t="str">
        <f>IF($Z975="","",IF($Z975&lt;=2000,IF(INDEX(包装物料出入库明细!$C$4:$C$2003,$Z975-0)=0,"",INDEX(包装物料出入库明细!$C$4:$C$2003,$Z975-0)),IF($Z975&lt;=4000,IF(INDEX(周转筐出入库明细!$E$4:$E$2004,$Z975-2000)=0,"",INDEX(周转筐出入库明细!$E$4:$E$2004,$Z975-2000)),IF($Z975&lt;=5200,IF(INDEX(客户自备加工筐明细!$D$4:$D$1203,$Z975-4000)=0,"",INDEX(客户自备加工筐明细!$D$4:$D$1203,$Z975-4000)),IF($Z975&lt;=5800,IF(INDEX(次果筐明细!$E$4:$E$603,$Z975-5200)=0,"",INDEX(次果筐明细!$E$4:$E$603,$Z975-5200)),"")))))</f>
        <v/>
      </c>
      <c r="F975" s="24" t="str">
        <f>IF($Z975="","",IF($Z975&lt;=2000,IF(INDEX(包装物料出入库明细!$E$4:$E$2003,$Z975-0)=0,"",INDEX(包装物料出入库明细!$E$4:$E$2003,$Z975-0)),IF($Z975&lt;=4000,IF(INDEX(周转筐出入库明细!$D$4:$D$2004,$Z975-2000)=0,"",INDEX(周转筐出入库明细!$D$4:$D$2004,$Z975-2000)),IF($Z975&lt;=5200,IF(INDEX(客户自备加工筐明细!$C$4:$C$1203,$Z975-4000)=0,"",INDEX(客户自备加工筐明细!$C$4:$C$1203,$Z975-4000)),IF($Z975&lt;=5800,IF(INDEX(次果筐明细!$D$4:$D$603,$Z975-5200)=0,"",INDEX(次果筐明细!$D$4:$D$603,$Z975-5200)),"")))))</f>
        <v/>
      </c>
      <c r="G975" s="24" t="str">
        <f>IF($Z975="","",IF($Z975&lt;=2000,IF(INDEX(包装物料出入库明细!$F$4:$F$2003,$Z975-0)=0,"",INDEX(包装物料出入库明细!$F$4:$F$2003,$Z975-0)),IF($Z975&lt;=4000,"",IF($Z975&lt;=5200,"",IF($Z975&lt;=5800,"","")))))</f>
        <v/>
      </c>
      <c r="H975" s="39" t="str">
        <f>IF($Z975="","",IF($Z975&lt;=2000,IF(INDEX(包装物料出入库明细!$L$4:$L$2003,$Z975-0)=0,"",INDEX(包装物料出入库明细!$L$4:$L$2003,$Z975-0)),IF($Z975&lt;=4000,N(INDEX(周转筐出入库明细!$H$4:$H$2004,$Z975-2000))+N(INDEX(周转筐出入库明细!$I$4:$I$2004,$Z975-2000))+N(INDEX(周转筐出入库明细!$J$4:$J$2004,$Z975-2000))+N(INDEX(周转筐出入库明细!$K$4:$K$2004,$Z975-2000)),IF($Z975&lt;=5200,N(INDEX(客户自备加工筐明细!$F$4:$F$1203,$Z975-4000))+N(INDEX(客户自备加工筐明细!$G$4:$G$1203,$Z975-4000)),IF($Z975&lt;=5800,IF(INDEX(次果筐明细!$G$4:$G$603,$Z975-5200)=0,"",INDEX(次果筐明细!$G$4:$G$603,$Z975-5200)),"")))))</f>
        <v/>
      </c>
      <c r="I975" s="24" t="str">
        <f>IF($Z975="","",IF($Z975&lt;=2000,IF(INDEX(包装物料出入库明细!$G$4:$G$2003,$Z975-0)=0,"",INDEX(包装物料出入库明细!$G$4:$G$2003,$Z975-0)),IF($Z975&lt;=4000,"个",IF($Z975&lt;=5200,"个",IF($Z975&lt;=5800,"个","")))))</f>
        <v/>
      </c>
      <c r="J975" s="30" t="str">
        <f t="shared" si="46"/>
        <v/>
      </c>
      <c r="K975" s="30" t="str">
        <f>IF($Z975="","",IF($Z975&lt;=2000,IF(INDEX(包装物料出入库明细!$N$4:$N$2003,$Z975-0)=0,"",INDEX(包装物料出入库明细!$N$4:$N$2003,$Z975-0)),IF($Z975&lt;=4000,IF(INDEX(周转筐出入库明细!$P$4:$P$2004,$Z975-2000)=0,"",INDEX(周转筐出入库明细!$P$4:$P$2004,$Z975-2000)),IF($Z975&lt;=5200,"",IF($Z975&lt;=5800,N(INDEX(次果筐明细!$L$4:$L$603,$Z975-5200))+N(INDEX(次果筐明细!$J$4:$J$603,$Z975-5200)),"")))))</f>
        <v/>
      </c>
      <c r="L975" s="24" t="str">
        <f>IF($Z975="","",IF($Z975&lt;=2000,IF(INDEX(包装物料出入库明细!$P$4:$P$2003,$Z975-0)=0,"",INDEX(包装物料出入库明细!$P$4:$P$2003,$Z975-0)),IF($Z975&lt;=4000,IF(INDEX(周转筐出入库明细!$Q$4:$Q$2004,$Z975-2000)=0,"",INDEX(周转筐出入库明细!$Q$4:$Q$2004,$Z975-2000)),IF($Z975&lt;=5200,"",IF($Z975&lt;=5800,IF(INDEX(次果筐明细!$M$4:$M$603,$Z975-5200)=0,"",INDEX(次果筐明细!$M$4:$M$603,$Z975-5200)),"")))))</f>
        <v/>
      </c>
      <c r="M975" s="37" t="str">
        <f>IF($Z975="","",IF($Z975&lt;=2000,IF(INDEX(包装物料出入库明细!$R$4:$R$2003,$Z975-0)=0,"",INDEX(包装物料出入库明细!$R$4:$R$2003,$Z975-0)),IF($Z975&lt;=4000,IF(INDEX(周转筐出入库明细!$W$4:$W$2004,$Z975-2000)=0,"",INDEX(周转筐出入库明细!$W$4:$W$2004,$Z975-2000)),IF($Z975&lt;=5200,IF(INDEX(客户自备加工筐明细!$L$4:$L$1203,$Z975-4000)=0,"",INDEX(客户自备加工筐明细!$L$4:$L$1203,$Z975-4000)),IF($Z975&lt;=5800,IF(INDEX(次果筐明细!$P$4:$P$603,$Z975-5200)=0,"",INDEX(次果筐明细!$P$4:$P$603,$Z975-5200)),"")))))</f>
        <v/>
      </c>
      <c r="N975" s="16" t="str">
        <f>IF($Z975="","",IF($Z975&lt;=2000,"",IF($Z975&lt;=4000,IF(INDEX(周转筐出入库明细!$D$4:$D$2004,$Z975-2000)=0,"",INDEX(周转筐出入库明细!$D$4:$D$2004,$Z975-2000)),IF($Z975&lt;=5200,IF(INDEX(客户自备加工筐明细!$C$4:$C$1203,$Z975-4000)=0,"",INDEX(客户自备加工筐明细!$C$4:$C$1203,$Z975-4000)),IF($Z975&lt;=5800,IF(INDEX(次果筐明细!$D$4:$D$603,$Z975-5200)=0,"",INDEX(次果筐明细!$D$4:$D$603,$Z975-5200)),"")))))</f>
        <v/>
      </c>
      <c r="O975" s="40" t="str">
        <f>IF($Z975="","",IF($Z975&lt;=2000,"",IF($Z975&lt;=4000,IF(N(INDEX(周转筐出入库明细!$J$4:$J$2004,$Z975-2000))+N(INDEX(周转筐出入库明细!$K$4:$K$2004,$Z975-2000))=0,"",N(INDEX(周转筐出入库明细!$J$4:$J$2004,$Z975-2000))+N(INDEX(周转筐出入库明细!$K$4:$K$2004,$Z975-2000))),IF($Z975&lt;=5200,IF(N(INDEX(客户自备加工筐明细!$G$4:$G$1203,$Z975-4000))=0,"",N(INDEX(客户自备加工筐明细!$G$4:$G$1203,$Z975-4000))),IF($Z975&lt;=5800,IF(ISNUMBER(SEARCH("退",INDEX(次果筐明细!$F$4:$F$603,$Z975-5200)&amp;"")),"",IF(N(INDEX(次果筐明细!$G$4:$G$603,$Z975-5200))=0,"",N(INDEX(次果筐明细!$G$4:$G$603,$Z975-5200)))),"")))))</f>
        <v/>
      </c>
      <c r="P975" s="40" t="str">
        <f>IF($Z975="","",IF($Z975&lt;=2000,"",IF($Z975&lt;=4000,IF(N(INDEX(周转筐出入库明细!$I$4:$I$2004,$Z975-2000))=0,"",N(INDEX(周转筐出入库明细!$I$4:$I$2004,$Z975-2000))),IF($Z975&lt;=5200,"",IF($Z975&lt;=5800,IF(ISNUMBER(SEARCH("退",INDEX(次果筐明细!$F$4:$F$603,$Z975-5200)&amp;"")),IF(N(INDEX(次果筐明细!$G$4:$G$603,$Z975-5200))=0,"",N(INDEX(次果筐明细!$G$4:$G$603,$Z975-5200))),""),"")))))</f>
        <v/>
      </c>
      <c r="Q975" s="40" t="str">
        <f>IF($Z975="","",IF($Z975&lt;=2000,"",IF($Z975&lt;=4000,IF(N(INDEX(周转筐出入库明细!$H$4:$H$2004,$Z975-2000))=0,"",N(INDEX(周转筐出入库明细!$H$4:$H$2004,$Z975-2000))),IF($Z975&lt;=5200,IF(N(INDEX(客户自备加工筐明细!$F$4:$F$1203,$Z975-4000))=0,"",N(INDEX(客户自备加工筐明细!$F$4:$F$1203,$Z975-4000))),IF($Z975&lt;=5800,"","")))))</f>
        <v/>
      </c>
      <c r="R975" s="16" t="str">
        <f>IF($Z975="","",IF($Z975&lt;=2000,IF(INDEX(包装物料出入库明细!$O$4:$O$2003,$Z975-0)=0,"",INDEX(包装物料出入库明细!$O$4:$O$2003,$Z975-0)),IF($Z975&lt;=4000,IF(INDEX(周转筐出入库明细!$M$4:$M$2004,$Z975-2000)=0,"",INDEX(周转筐出入库明细!$M$4:$M$2004,$Z975-2000)),IF($Z975&lt;=5200,IF(INDEX(客户自备加工筐明细!$H$4:$H$1203,$Z975-4000)=0,"",INDEX(客户自备加工筐明细!$H$4:$H$1203,$Z975-4000)),IF($Z975&lt;=5800,IF(INDEX(次果筐明细!$H$4:$H$603,$Z975-5200)=0,"",INDEX(次果筐明细!$H$4:$H$603,$Z975-5200)),"")))))</f>
        <v/>
      </c>
      <c r="S975" s="22" t="str">
        <f t="shared" si="47"/>
        <v/>
      </c>
      <c r="Z975" s="10" t="str">
        <f>IFERROR(MATCH(ROW()-3,_自动清单!$CQ$4:$CQ$5803,0),"")</f>
        <v/>
      </c>
    </row>
    <row r="976" spans="1:26">
      <c r="A976" s="24" t="str">
        <f t="shared" si="45"/>
        <v/>
      </c>
      <c r="B976" s="38" t="str">
        <f>IF($Z976="","",IF($Z976&lt;=2000,IF(INDEX(包装物料出入库明细!$B$4:$B$2003,$Z976-0)=0,"",INDEX(包装物料出入库明细!$B$4:$B$2003,$Z976-0)),IF($Z976&lt;=4000,IF(INDEX(周转筐出入库明细!$B$4:$B$2004,$Z976-2000)=0,"",INDEX(周转筐出入库明细!$B$4:$B$2004,$Z976-2000)),IF($Z976&lt;=5200,IF(INDEX(客户自备加工筐明细!$B$4:$B$1203,$Z976-4000)=0,"",INDEX(客户自备加工筐明细!$B$4:$B$1203,$Z976-4000)),IF($Z976&lt;=5800,IF(INDEX(次果筐明细!$B$4:$B$603,$Z976-5200)=0,"",INDEX(次果筐明细!$B$4:$B$603,$Z976-5200)),"")))))</f>
        <v/>
      </c>
      <c r="C976" s="37" t="str">
        <f>IF($Z976="","",IF($Z976&lt;=2000,IF(INDEX(包装物料出入库明细!$D$4:$D$2003,$Z976-0)=0,"",INDEX(包装物料出入库明细!$D$4:$D$2003,$Z976-0)),IF($Z976&lt;=4000,IF(INDEX(周转筐出入库明细!$C$4:$C$2004,$Z976-2000)=0,"",INDEX(周转筐出入库明细!$C$4:$C$2004,$Z976-2000)),IF($Z976&lt;=5200,IF(INDEX(客户自备加工筐明细!$E$4:$E$1203,$Z976-4000)=0,"",INDEX(客户自备加工筐明细!$E$4:$E$1203,$Z976-4000)),IF($Z976&lt;=5800,IF(INDEX(次果筐明细!$C$4:$C$603,$Z976-5200)=0,"",INDEX(次果筐明细!$C$4:$C$603,$Z976-5200)),"")))))</f>
        <v/>
      </c>
      <c r="D976" s="37" t="str">
        <f>IF($Z976="","",IF($Z976&lt;=2000,"包装物料－"&amp;INDEX(包装物料出入库明细!$H$4:$H$2003,$Z976-0),IF($Z976&lt;=4000,"周转筐－"&amp;INDEX(周转筐出入库明细!$F$4:$F$2004,$Z976-2000),IF($Z976&lt;=5200,"客户自备筐－"&amp;INDEX(客户自备加工筐明细!$J$4:$J$1203,$Z976-4000),IF($Z976&lt;=5800,"次果筐/托盘－"&amp;INDEX(次果筐明细!$F$4:$F$603,$Z976-5200),"")))))</f>
        <v/>
      </c>
      <c r="E976" s="24" t="str">
        <f>IF($Z976="","",IF($Z976&lt;=2000,IF(INDEX(包装物料出入库明细!$C$4:$C$2003,$Z976-0)=0,"",INDEX(包装物料出入库明细!$C$4:$C$2003,$Z976-0)),IF($Z976&lt;=4000,IF(INDEX(周转筐出入库明细!$E$4:$E$2004,$Z976-2000)=0,"",INDEX(周转筐出入库明细!$E$4:$E$2004,$Z976-2000)),IF($Z976&lt;=5200,IF(INDEX(客户自备加工筐明细!$D$4:$D$1203,$Z976-4000)=0,"",INDEX(客户自备加工筐明细!$D$4:$D$1203,$Z976-4000)),IF($Z976&lt;=5800,IF(INDEX(次果筐明细!$E$4:$E$603,$Z976-5200)=0,"",INDEX(次果筐明细!$E$4:$E$603,$Z976-5200)),"")))))</f>
        <v/>
      </c>
      <c r="F976" s="24" t="str">
        <f>IF($Z976="","",IF($Z976&lt;=2000,IF(INDEX(包装物料出入库明细!$E$4:$E$2003,$Z976-0)=0,"",INDEX(包装物料出入库明细!$E$4:$E$2003,$Z976-0)),IF($Z976&lt;=4000,IF(INDEX(周转筐出入库明细!$D$4:$D$2004,$Z976-2000)=0,"",INDEX(周转筐出入库明细!$D$4:$D$2004,$Z976-2000)),IF($Z976&lt;=5200,IF(INDEX(客户自备加工筐明细!$C$4:$C$1203,$Z976-4000)=0,"",INDEX(客户自备加工筐明细!$C$4:$C$1203,$Z976-4000)),IF($Z976&lt;=5800,IF(INDEX(次果筐明细!$D$4:$D$603,$Z976-5200)=0,"",INDEX(次果筐明细!$D$4:$D$603,$Z976-5200)),"")))))</f>
        <v/>
      </c>
      <c r="G976" s="24" t="str">
        <f>IF($Z976="","",IF($Z976&lt;=2000,IF(INDEX(包装物料出入库明细!$F$4:$F$2003,$Z976-0)=0,"",INDEX(包装物料出入库明细!$F$4:$F$2003,$Z976-0)),IF($Z976&lt;=4000,"",IF($Z976&lt;=5200,"",IF($Z976&lt;=5800,"","")))))</f>
        <v/>
      </c>
      <c r="H976" s="39" t="str">
        <f>IF($Z976="","",IF($Z976&lt;=2000,IF(INDEX(包装物料出入库明细!$L$4:$L$2003,$Z976-0)=0,"",INDEX(包装物料出入库明细!$L$4:$L$2003,$Z976-0)),IF($Z976&lt;=4000,N(INDEX(周转筐出入库明细!$H$4:$H$2004,$Z976-2000))+N(INDEX(周转筐出入库明细!$I$4:$I$2004,$Z976-2000))+N(INDEX(周转筐出入库明细!$J$4:$J$2004,$Z976-2000))+N(INDEX(周转筐出入库明细!$K$4:$K$2004,$Z976-2000)),IF($Z976&lt;=5200,N(INDEX(客户自备加工筐明细!$F$4:$F$1203,$Z976-4000))+N(INDEX(客户自备加工筐明细!$G$4:$G$1203,$Z976-4000)),IF($Z976&lt;=5800,IF(INDEX(次果筐明细!$G$4:$G$603,$Z976-5200)=0,"",INDEX(次果筐明细!$G$4:$G$603,$Z976-5200)),"")))))</f>
        <v/>
      </c>
      <c r="I976" s="24" t="str">
        <f>IF($Z976="","",IF($Z976&lt;=2000,IF(INDEX(包装物料出入库明细!$G$4:$G$2003,$Z976-0)=0,"",INDEX(包装物料出入库明细!$G$4:$G$2003,$Z976-0)),IF($Z976&lt;=4000,"个",IF($Z976&lt;=5200,"个",IF($Z976&lt;=5800,"个","")))))</f>
        <v/>
      </c>
      <c r="J976" s="30" t="str">
        <f t="shared" si="46"/>
        <v/>
      </c>
      <c r="K976" s="30" t="str">
        <f>IF($Z976="","",IF($Z976&lt;=2000,IF(INDEX(包装物料出入库明细!$N$4:$N$2003,$Z976-0)=0,"",INDEX(包装物料出入库明细!$N$4:$N$2003,$Z976-0)),IF($Z976&lt;=4000,IF(INDEX(周转筐出入库明细!$P$4:$P$2004,$Z976-2000)=0,"",INDEX(周转筐出入库明细!$P$4:$P$2004,$Z976-2000)),IF($Z976&lt;=5200,"",IF($Z976&lt;=5800,N(INDEX(次果筐明细!$L$4:$L$603,$Z976-5200))+N(INDEX(次果筐明细!$J$4:$J$603,$Z976-5200)),"")))))</f>
        <v/>
      </c>
      <c r="L976" s="24" t="str">
        <f>IF($Z976="","",IF($Z976&lt;=2000,IF(INDEX(包装物料出入库明细!$P$4:$P$2003,$Z976-0)=0,"",INDEX(包装物料出入库明细!$P$4:$P$2003,$Z976-0)),IF($Z976&lt;=4000,IF(INDEX(周转筐出入库明细!$Q$4:$Q$2004,$Z976-2000)=0,"",INDEX(周转筐出入库明细!$Q$4:$Q$2004,$Z976-2000)),IF($Z976&lt;=5200,"",IF($Z976&lt;=5800,IF(INDEX(次果筐明细!$M$4:$M$603,$Z976-5200)=0,"",INDEX(次果筐明细!$M$4:$M$603,$Z976-5200)),"")))))</f>
        <v/>
      </c>
      <c r="M976" s="37" t="str">
        <f>IF($Z976="","",IF($Z976&lt;=2000,IF(INDEX(包装物料出入库明细!$R$4:$R$2003,$Z976-0)=0,"",INDEX(包装物料出入库明细!$R$4:$R$2003,$Z976-0)),IF($Z976&lt;=4000,IF(INDEX(周转筐出入库明细!$W$4:$W$2004,$Z976-2000)=0,"",INDEX(周转筐出入库明细!$W$4:$W$2004,$Z976-2000)),IF($Z976&lt;=5200,IF(INDEX(客户自备加工筐明细!$L$4:$L$1203,$Z976-4000)=0,"",INDEX(客户自备加工筐明细!$L$4:$L$1203,$Z976-4000)),IF($Z976&lt;=5800,IF(INDEX(次果筐明细!$P$4:$P$603,$Z976-5200)=0,"",INDEX(次果筐明细!$P$4:$P$603,$Z976-5200)),"")))))</f>
        <v/>
      </c>
      <c r="N976" s="16" t="str">
        <f>IF($Z976="","",IF($Z976&lt;=2000,"",IF($Z976&lt;=4000,IF(INDEX(周转筐出入库明细!$D$4:$D$2004,$Z976-2000)=0,"",INDEX(周转筐出入库明细!$D$4:$D$2004,$Z976-2000)),IF($Z976&lt;=5200,IF(INDEX(客户自备加工筐明细!$C$4:$C$1203,$Z976-4000)=0,"",INDEX(客户自备加工筐明细!$C$4:$C$1203,$Z976-4000)),IF($Z976&lt;=5800,IF(INDEX(次果筐明细!$D$4:$D$603,$Z976-5200)=0,"",INDEX(次果筐明细!$D$4:$D$603,$Z976-5200)),"")))))</f>
        <v/>
      </c>
      <c r="O976" s="40" t="str">
        <f>IF($Z976="","",IF($Z976&lt;=2000,"",IF($Z976&lt;=4000,IF(N(INDEX(周转筐出入库明细!$J$4:$J$2004,$Z976-2000))+N(INDEX(周转筐出入库明细!$K$4:$K$2004,$Z976-2000))=0,"",N(INDEX(周转筐出入库明细!$J$4:$J$2004,$Z976-2000))+N(INDEX(周转筐出入库明细!$K$4:$K$2004,$Z976-2000))),IF($Z976&lt;=5200,IF(N(INDEX(客户自备加工筐明细!$G$4:$G$1203,$Z976-4000))=0,"",N(INDEX(客户自备加工筐明细!$G$4:$G$1203,$Z976-4000))),IF($Z976&lt;=5800,IF(ISNUMBER(SEARCH("退",INDEX(次果筐明细!$F$4:$F$603,$Z976-5200)&amp;"")),"",IF(N(INDEX(次果筐明细!$G$4:$G$603,$Z976-5200))=0,"",N(INDEX(次果筐明细!$G$4:$G$603,$Z976-5200)))),"")))))</f>
        <v/>
      </c>
      <c r="P976" s="40" t="str">
        <f>IF($Z976="","",IF($Z976&lt;=2000,"",IF($Z976&lt;=4000,IF(N(INDEX(周转筐出入库明细!$I$4:$I$2004,$Z976-2000))=0,"",N(INDEX(周转筐出入库明细!$I$4:$I$2004,$Z976-2000))),IF($Z976&lt;=5200,"",IF($Z976&lt;=5800,IF(ISNUMBER(SEARCH("退",INDEX(次果筐明细!$F$4:$F$603,$Z976-5200)&amp;"")),IF(N(INDEX(次果筐明细!$G$4:$G$603,$Z976-5200))=0,"",N(INDEX(次果筐明细!$G$4:$G$603,$Z976-5200))),""),"")))))</f>
        <v/>
      </c>
      <c r="Q976" s="40" t="str">
        <f>IF($Z976="","",IF($Z976&lt;=2000,"",IF($Z976&lt;=4000,IF(N(INDEX(周转筐出入库明细!$H$4:$H$2004,$Z976-2000))=0,"",N(INDEX(周转筐出入库明细!$H$4:$H$2004,$Z976-2000))),IF($Z976&lt;=5200,IF(N(INDEX(客户自备加工筐明细!$F$4:$F$1203,$Z976-4000))=0,"",N(INDEX(客户自备加工筐明细!$F$4:$F$1203,$Z976-4000))),IF($Z976&lt;=5800,"","")))))</f>
        <v/>
      </c>
      <c r="R976" s="16" t="str">
        <f>IF($Z976="","",IF($Z976&lt;=2000,IF(INDEX(包装物料出入库明细!$O$4:$O$2003,$Z976-0)=0,"",INDEX(包装物料出入库明细!$O$4:$O$2003,$Z976-0)),IF($Z976&lt;=4000,IF(INDEX(周转筐出入库明细!$M$4:$M$2004,$Z976-2000)=0,"",INDEX(周转筐出入库明细!$M$4:$M$2004,$Z976-2000)),IF($Z976&lt;=5200,IF(INDEX(客户自备加工筐明细!$H$4:$H$1203,$Z976-4000)=0,"",INDEX(客户自备加工筐明细!$H$4:$H$1203,$Z976-4000)),IF($Z976&lt;=5800,IF(INDEX(次果筐明细!$H$4:$H$603,$Z976-5200)=0,"",INDEX(次果筐明细!$H$4:$H$603,$Z976-5200)),"")))))</f>
        <v/>
      </c>
      <c r="S976" s="22" t="str">
        <f t="shared" si="47"/>
        <v/>
      </c>
      <c r="Z976" s="10" t="str">
        <f>IFERROR(MATCH(ROW()-3,_自动清单!$CQ$4:$CQ$5803,0),"")</f>
        <v/>
      </c>
    </row>
    <row r="977" spans="1:26">
      <c r="A977" s="24" t="str">
        <f t="shared" si="45"/>
        <v/>
      </c>
      <c r="B977" s="38" t="str">
        <f>IF($Z977="","",IF($Z977&lt;=2000,IF(INDEX(包装物料出入库明细!$B$4:$B$2003,$Z977-0)=0,"",INDEX(包装物料出入库明细!$B$4:$B$2003,$Z977-0)),IF($Z977&lt;=4000,IF(INDEX(周转筐出入库明细!$B$4:$B$2004,$Z977-2000)=0,"",INDEX(周转筐出入库明细!$B$4:$B$2004,$Z977-2000)),IF($Z977&lt;=5200,IF(INDEX(客户自备加工筐明细!$B$4:$B$1203,$Z977-4000)=0,"",INDEX(客户自备加工筐明细!$B$4:$B$1203,$Z977-4000)),IF($Z977&lt;=5800,IF(INDEX(次果筐明细!$B$4:$B$603,$Z977-5200)=0,"",INDEX(次果筐明细!$B$4:$B$603,$Z977-5200)),"")))))</f>
        <v/>
      </c>
      <c r="C977" s="37" t="str">
        <f>IF($Z977="","",IF($Z977&lt;=2000,IF(INDEX(包装物料出入库明细!$D$4:$D$2003,$Z977-0)=0,"",INDEX(包装物料出入库明细!$D$4:$D$2003,$Z977-0)),IF($Z977&lt;=4000,IF(INDEX(周转筐出入库明细!$C$4:$C$2004,$Z977-2000)=0,"",INDEX(周转筐出入库明细!$C$4:$C$2004,$Z977-2000)),IF($Z977&lt;=5200,IF(INDEX(客户自备加工筐明细!$E$4:$E$1203,$Z977-4000)=0,"",INDEX(客户自备加工筐明细!$E$4:$E$1203,$Z977-4000)),IF($Z977&lt;=5800,IF(INDEX(次果筐明细!$C$4:$C$603,$Z977-5200)=0,"",INDEX(次果筐明细!$C$4:$C$603,$Z977-5200)),"")))))</f>
        <v/>
      </c>
      <c r="D977" s="37" t="str">
        <f>IF($Z977="","",IF($Z977&lt;=2000,"包装物料－"&amp;INDEX(包装物料出入库明细!$H$4:$H$2003,$Z977-0),IF($Z977&lt;=4000,"周转筐－"&amp;INDEX(周转筐出入库明细!$F$4:$F$2004,$Z977-2000),IF($Z977&lt;=5200,"客户自备筐－"&amp;INDEX(客户自备加工筐明细!$J$4:$J$1203,$Z977-4000),IF($Z977&lt;=5800,"次果筐/托盘－"&amp;INDEX(次果筐明细!$F$4:$F$603,$Z977-5200),"")))))</f>
        <v/>
      </c>
      <c r="E977" s="24" t="str">
        <f>IF($Z977="","",IF($Z977&lt;=2000,IF(INDEX(包装物料出入库明细!$C$4:$C$2003,$Z977-0)=0,"",INDEX(包装物料出入库明细!$C$4:$C$2003,$Z977-0)),IF($Z977&lt;=4000,IF(INDEX(周转筐出入库明细!$E$4:$E$2004,$Z977-2000)=0,"",INDEX(周转筐出入库明细!$E$4:$E$2004,$Z977-2000)),IF($Z977&lt;=5200,IF(INDEX(客户自备加工筐明细!$D$4:$D$1203,$Z977-4000)=0,"",INDEX(客户自备加工筐明细!$D$4:$D$1203,$Z977-4000)),IF($Z977&lt;=5800,IF(INDEX(次果筐明细!$E$4:$E$603,$Z977-5200)=0,"",INDEX(次果筐明细!$E$4:$E$603,$Z977-5200)),"")))))</f>
        <v/>
      </c>
      <c r="F977" s="24" t="str">
        <f>IF($Z977="","",IF($Z977&lt;=2000,IF(INDEX(包装物料出入库明细!$E$4:$E$2003,$Z977-0)=0,"",INDEX(包装物料出入库明细!$E$4:$E$2003,$Z977-0)),IF($Z977&lt;=4000,IF(INDEX(周转筐出入库明细!$D$4:$D$2004,$Z977-2000)=0,"",INDEX(周转筐出入库明细!$D$4:$D$2004,$Z977-2000)),IF($Z977&lt;=5200,IF(INDEX(客户自备加工筐明细!$C$4:$C$1203,$Z977-4000)=0,"",INDEX(客户自备加工筐明细!$C$4:$C$1203,$Z977-4000)),IF($Z977&lt;=5800,IF(INDEX(次果筐明细!$D$4:$D$603,$Z977-5200)=0,"",INDEX(次果筐明细!$D$4:$D$603,$Z977-5200)),"")))))</f>
        <v/>
      </c>
      <c r="G977" s="24" t="str">
        <f>IF($Z977="","",IF($Z977&lt;=2000,IF(INDEX(包装物料出入库明细!$F$4:$F$2003,$Z977-0)=0,"",INDEX(包装物料出入库明细!$F$4:$F$2003,$Z977-0)),IF($Z977&lt;=4000,"",IF($Z977&lt;=5200,"",IF($Z977&lt;=5800,"","")))))</f>
        <v/>
      </c>
      <c r="H977" s="39" t="str">
        <f>IF($Z977="","",IF($Z977&lt;=2000,IF(INDEX(包装物料出入库明细!$L$4:$L$2003,$Z977-0)=0,"",INDEX(包装物料出入库明细!$L$4:$L$2003,$Z977-0)),IF($Z977&lt;=4000,N(INDEX(周转筐出入库明细!$H$4:$H$2004,$Z977-2000))+N(INDEX(周转筐出入库明细!$I$4:$I$2004,$Z977-2000))+N(INDEX(周转筐出入库明细!$J$4:$J$2004,$Z977-2000))+N(INDEX(周转筐出入库明细!$K$4:$K$2004,$Z977-2000)),IF($Z977&lt;=5200,N(INDEX(客户自备加工筐明细!$F$4:$F$1203,$Z977-4000))+N(INDEX(客户自备加工筐明细!$G$4:$G$1203,$Z977-4000)),IF($Z977&lt;=5800,IF(INDEX(次果筐明细!$G$4:$G$603,$Z977-5200)=0,"",INDEX(次果筐明细!$G$4:$G$603,$Z977-5200)),"")))))</f>
        <v/>
      </c>
      <c r="I977" s="24" t="str">
        <f>IF($Z977="","",IF($Z977&lt;=2000,IF(INDEX(包装物料出入库明细!$G$4:$G$2003,$Z977-0)=0,"",INDEX(包装物料出入库明细!$G$4:$G$2003,$Z977-0)),IF($Z977&lt;=4000,"个",IF($Z977&lt;=5200,"个",IF($Z977&lt;=5800,"个","")))))</f>
        <v/>
      </c>
      <c r="J977" s="30" t="str">
        <f t="shared" si="46"/>
        <v/>
      </c>
      <c r="K977" s="30" t="str">
        <f>IF($Z977="","",IF($Z977&lt;=2000,IF(INDEX(包装物料出入库明细!$N$4:$N$2003,$Z977-0)=0,"",INDEX(包装物料出入库明细!$N$4:$N$2003,$Z977-0)),IF($Z977&lt;=4000,IF(INDEX(周转筐出入库明细!$P$4:$P$2004,$Z977-2000)=0,"",INDEX(周转筐出入库明细!$P$4:$P$2004,$Z977-2000)),IF($Z977&lt;=5200,"",IF($Z977&lt;=5800,N(INDEX(次果筐明细!$L$4:$L$603,$Z977-5200))+N(INDEX(次果筐明细!$J$4:$J$603,$Z977-5200)),"")))))</f>
        <v/>
      </c>
      <c r="L977" s="24" t="str">
        <f>IF($Z977="","",IF($Z977&lt;=2000,IF(INDEX(包装物料出入库明细!$P$4:$P$2003,$Z977-0)=0,"",INDEX(包装物料出入库明细!$P$4:$P$2003,$Z977-0)),IF($Z977&lt;=4000,IF(INDEX(周转筐出入库明细!$Q$4:$Q$2004,$Z977-2000)=0,"",INDEX(周转筐出入库明细!$Q$4:$Q$2004,$Z977-2000)),IF($Z977&lt;=5200,"",IF($Z977&lt;=5800,IF(INDEX(次果筐明细!$M$4:$M$603,$Z977-5200)=0,"",INDEX(次果筐明细!$M$4:$M$603,$Z977-5200)),"")))))</f>
        <v/>
      </c>
      <c r="M977" s="37" t="str">
        <f>IF($Z977="","",IF($Z977&lt;=2000,IF(INDEX(包装物料出入库明细!$R$4:$R$2003,$Z977-0)=0,"",INDEX(包装物料出入库明细!$R$4:$R$2003,$Z977-0)),IF($Z977&lt;=4000,IF(INDEX(周转筐出入库明细!$W$4:$W$2004,$Z977-2000)=0,"",INDEX(周转筐出入库明细!$W$4:$W$2004,$Z977-2000)),IF($Z977&lt;=5200,IF(INDEX(客户自备加工筐明细!$L$4:$L$1203,$Z977-4000)=0,"",INDEX(客户自备加工筐明细!$L$4:$L$1203,$Z977-4000)),IF($Z977&lt;=5800,IF(INDEX(次果筐明细!$P$4:$P$603,$Z977-5200)=0,"",INDEX(次果筐明细!$P$4:$P$603,$Z977-5200)),"")))))</f>
        <v/>
      </c>
      <c r="N977" s="16" t="str">
        <f>IF($Z977="","",IF($Z977&lt;=2000,"",IF($Z977&lt;=4000,IF(INDEX(周转筐出入库明细!$D$4:$D$2004,$Z977-2000)=0,"",INDEX(周转筐出入库明细!$D$4:$D$2004,$Z977-2000)),IF($Z977&lt;=5200,IF(INDEX(客户自备加工筐明细!$C$4:$C$1203,$Z977-4000)=0,"",INDEX(客户自备加工筐明细!$C$4:$C$1203,$Z977-4000)),IF($Z977&lt;=5800,IF(INDEX(次果筐明细!$D$4:$D$603,$Z977-5200)=0,"",INDEX(次果筐明细!$D$4:$D$603,$Z977-5200)),"")))))</f>
        <v/>
      </c>
      <c r="O977" s="40" t="str">
        <f>IF($Z977="","",IF($Z977&lt;=2000,"",IF($Z977&lt;=4000,IF(N(INDEX(周转筐出入库明细!$J$4:$J$2004,$Z977-2000))+N(INDEX(周转筐出入库明细!$K$4:$K$2004,$Z977-2000))=0,"",N(INDEX(周转筐出入库明细!$J$4:$J$2004,$Z977-2000))+N(INDEX(周转筐出入库明细!$K$4:$K$2004,$Z977-2000))),IF($Z977&lt;=5200,IF(N(INDEX(客户自备加工筐明细!$G$4:$G$1203,$Z977-4000))=0,"",N(INDEX(客户自备加工筐明细!$G$4:$G$1203,$Z977-4000))),IF($Z977&lt;=5800,IF(ISNUMBER(SEARCH("退",INDEX(次果筐明细!$F$4:$F$603,$Z977-5200)&amp;"")),"",IF(N(INDEX(次果筐明细!$G$4:$G$603,$Z977-5200))=0,"",N(INDEX(次果筐明细!$G$4:$G$603,$Z977-5200)))),"")))))</f>
        <v/>
      </c>
      <c r="P977" s="40" t="str">
        <f>IF($Z977="","",IF($Z977&lt;=2000,"",IF($Z977&lt;=4000,IF(N(INDEX(周转筐出入库明细!$I$4:$I$2004,$Z977-2000))=0,"",N(INDEX(周转筐出入库明细!$I$4:$I$2004,$Z977-2000))),IF($Z977&lt;=5200,"",IF($Z977&lt;=5800,IF(ISNUMBER(SEARCH("退",INDEX(次果筐明细!$F$4:$F$603,$Z977-5200)&amp;"")),IF(N(INDEX(次果筐明细!$G$4:$G$603,$Z977-5200))=0,"",N(INDEX(次果筐明细!$G$4:$G$603,$Z977-5200))),""),"")))))</f>
        <v/>
      </c>
      <c r="Q977" s="40" t="str">
        <f>IF($Z977="","",IF($Z977&lt;=2000,"",IF($Z977&lt;=4000,IF(N(INDEX(周转筐出入库明细!$H$4:$H$2004,$Z977-2000))=0,"",N(INDEX(周转筐出入库明细!$H$4:$H$2004,$Z977-2000))),IF($Z977&lt;=5200,IF(N(INDEX(客户自备加工筐明细!$F$4:$F$1203,$Z977-4000))=0,"",N(INDEX(客户自备加工筐明细!$F$4:$F$1203,$Z977-4000))),IF($Z977&lt;=5800,"","")))))</f>
        <v/>
      </c>
      <c r="R977" s="16" t="str">
        <f>IF($Z977="","",IF($Z977&lt;=2000,IF(INDEX(包装物料出入库明细!$O$4:$O$2003,$Z977-0)=0,"",INDEX(包装物料出入库明细!$O$4:$O$2003,$Z977-0)),IF($Z977&lt;=4000,IF(INDEX(周转筐出入库明细!$M$4:$M$2004,$Z977-2000)=0,"",INDEX(周转筐出入库明细!$M$4:$M$2004,$Z977-2000)),IF($Z977&lt;=5200,IF(INDEX(客户自备加工筐明细!$H$4:$H$1203,$Z977-4000)=0,"",INDEX(客户自备加工筐明细!$H$4:$H$1203,$Z977-4000)),IF($Z977&lt;=5800,IF(INDEX(次果筐明细!$H$4:$H$603,$Z977-5200)=0,"",INDEX(次果筐明细!$H$4:$H$603,$Z977-5200)),"")))))</f>
        <v/>
      </c>
      <c r="S977" s="22" t="str">
        <f t="shared" si="47"/>
        <v/>
      </c>
      <c r="Z977" s="10" t="str">
        <f>IFERROR(MATCH(ROW()-3,_自动清单!$CQ$4:$CQ$5803,0),"")</f>
        <v/>
      </c>
    </row>
    <row r="978" spans="1:26">
      <c r="A978" s="24" t="str">
        <f t="shared" si="45"/>
        <v/>
      </c>
      <c r="B978" s="38" t="str">
        <f>IF($Z978="","",IF($Z978&lt;=2000,IF(INDEX(包装物料出入库明细!$B$4:$B$2003,$Z978-0)=0,"",INDEX(包装物料出入库明细!$B$4:$B$2003,$Z978-0)),IF($Z978&lt;=4000,IF(INDEX(周转筐出入库明细!$B$4:$B$2004,$Z978-2000)=0,"",INDEX(周转筐出入库明细!$B$4:$B$2004,$Z978-2000)),IF($Z978&lt;=5200,IF(INDEX(客户自备加工筐明细!$B$4:$B$1203,$Z978-4000)=0,"",INDEX(客户自备加工筐明细!$B$4:$B$1203,$Z978-4000)),IF($Z978&lt;=5800,IF(INDEX(次果筐明细!$B$4:$B$603,$Z978-5200)=0,"",INDEX(次果筐明细!$B$4:$B$603,$Z978-5200)),"")))))</f>
        <v/>
      </c>
      <c r="C978" s="37" t="str">
        <f>IF($Z978="","",IF($Z978&lt;=2000,IF(INDEX(包装物料出入库明细!$D$4:$D$2003,$Z978-0)=0,"",INDEX(包装物料出入库明细!$D$4:$D$2003,$Z978-0)),IF($Z978&lt;=4000,IF(INDEX(周转筐出入库明细!$C$4:$C$2004,$Z978-2000)=0,"",INDEX(周转筐出入库明细!$C$4:$C$2004,$Z978-2000)),IF($Z978&lt;=5200,IF(INDEX(客户自备加工筐明细!$E$4:$E$1203,$Z978-4000)=0,"",INDEX(客户自备加工筐明细!$E$4:$E$1203,$Z978-4000)),IF($Z978&lt;=5800,IF(INDEX(次果筐明细!$C$4:$C$603,$Z978-5200)=0,"",INDEX(次果筐明细!$C$4:$C$603,$Z978-5200)),"")))))</f>
        <v/>
      </c>
      <c r="D978" s="37" t="str">
        <f>IF($Z978="","",IF($Z978&lt;=2000,"包装物料－"&amp;INDEX(包装物料出入库明细!$H$4:$H$2003,$Z978-0),IF($Z978&lt;=4000,"周转筐－"&amp;INDEX(周转筐出入库明细!$F$4:$F$2004,$Z978-2000),IF($Z978&lt;=5200,"客户自备筐－"&amp;INDEX(客户自备加工筐明细!$J$4:$J$1203,$Z978-4000),IF($Z978&lt;=5800,"次果筐/托盘－"&amp;INDEX(次果筐明细!$F$4:$F$603,$Z978-5200),"")))))</f>
        <v/>
      </c>
      <c r="E978" s="24" t="str">
        <f>IF($Z978="","",IF($Z978&lt;=2000,IF(INDEX(包装物料出入库明细!$C$4:$C$2003,$Z978-0)=0,"",INDEX(包装物料出入库明细!$C$4:$C$2003,$Z978-0)),IF($Z978&lt;=4000,IF(INDEX(周转筐出入库明细!$E$4:$E$2004,$Z978-2000)=0,"",INDEX(周转筐出入库明细!$E$4:$E$2004,$Z978-2000)),IF($Z978&lt;=5200,IF(INDEX(客户自备加工筐明细!$D$4:$D$1203,$Z978-4000)=0,"",INDEX(客户自备加工筐明细!$D$4:$D$1203,$Z978-4000)),IF($Z978&lt;=5800,IF(INDEX(次果筐明细!$E$4:$E$603,$Z978-5200)=0,"",INDEX(次果筐明细!$E$4:$E$603,$Z978-5200)),"")))))</f>
        <v/>
      </c>
      <c r="F978" s="24" t="str">
        <f>IF($Z978="","",IF($Z978&lt;=2000,IF(INDEX(包装物料出入库明细!$E$4:$E$2003,$Z978-0)=0,"",INDEX(包装物料出入库明细!$E$4:$E$2003,$Z978-0)),IF($Z978&lt;=4000,IF(INDEX(周转筐出入库明细!$D$4:$D$2004,$Z978-2000)=0,"",INDEX(周转筐出入库明细!$D$4:$D$2004,$Z978-2000)),IF($Z978&lt;=5200,IF(INDEX(客户自备加工筐明细!$C$4:$C$1203,$Z978-4000)=0,"",INDEX(客户自备加工筐明细!$C$4:$C$1203,$Z978-4000)),IF($Z978&lt;=5800,IF(INDEX(次果筐明细!$D$4:$D$603,$Z978-5200)=0,"",INDEX(次果筐明细!$D$4:$D$603,$Z978-5200)),"")))))</f>
        <v/>
      </c>
      <c r="G978" s="24" t="str">
        <f>IF($Z978="","",IF($Z978&lt;=2000,IF(INDEX(包装物料出入库明细!$F$4:$F$2003,$Z978-0)=0,"",INDEX(包装物料出入库明细!$F$4:$F$2003,$Z978-0)),IF($Z978&lt;=4000,"",IF($Z978&lt;=5200,"",IF($Z978&lt;=5800,"","")))))</f>
        <v/>
      </c>
      <c r="H978" s="39" t="str">
        <f>IF($Z978="","",IF($Z978&lt;=2000,IF(INDEX(包装物料出入库明细!$L$4:$L$2003,$Z978-0)=0,"",INDEX(包装物料出入库明细!$L$4:$L$2003,$Z978-0)),IF($Z978&lt;=4000,N(INDEX(周转筐出入库明细!$H$4:$H$2004,$Z978-2000))+N(INDEX(周转筐出入库明细!$I$4:$I$2004,$Z978-2000))+N(INDEX(周转筐出入库明细!$J$4:$J$2004,$Z978-2000))+N(INDEX(周转筐出入库明细!$K$4:$K$2004,$Z978-2000)),IF($Z978&lt;=5200,N(INDEX(客户自备加工筐明细!$F$4:$F$1203,$Z978-4000))+N(INDEX(客户自备加工筐明细!$G$4:$G$1203,$Z978-4000)),IF($Z978&lt;=5800,IF(INDEX(次果筐明细!$G$4:$G$603,$Z978-5200)=0,"",INDEX(次果筐明细!$G$4:$G$603,$Z978-5200)),"")))))</f>
        <v/>
      </c>
      <c r="I978" s="24" t="str">
        <f>IF($Z978="","",IF($Z978&lt;=2000,IF(INDEX(包装物料出入库明细!$G$4:$G$2003,$Z978-0)=0,"",INDEX(包装物料出入库明细!$G$4:$G$2003,$Z978-0)),IF($Z978&lt;=4000,"个",IF($Z978&lt;=5200,"个",IF($Z978&lt;=5800,"个","")))))</f>
        <v/>
      </c>
      <c r="J978" s="30" t="str">
        <f t="shared" si="46"/>
        <v/>
      </c>
      <c r="K978" s="30" t="str">
        <f>IF($Z978="","",IF($Z978&lt;=2000,IF(INDEX(包装物料出入库明细!$N$4:$N$2003,$Z978-0)=0,"",INDEX(包装物料出入库明细!$N$4:$N$2003,$Z978-0)),IF($Z978&lt;=4000,IF(INDEX(周转筐出入库明细!$P$4:$P$2004,$Z978-2000)=0,"",INDEX(周转筐出入库明细!$P$4:$P$2004,$Z978-2000)),IF($Z978&lt;=5200,"",IF($Z978&lt;=5800,N(INDEX(次果筐明细!$L$4:$L$603,$Z978-5200))+N(INDEX(次果筐明细!$J$4:$J$603,$Z978-5200)),"")))))</f>
        <v/>
      </c>
      <c r="L978" s="24" t="str">
        <f>IF($Z978="","",IF($Z978&lt;=2000,IF(INDEX(包装物料出入库明细!$P$4:$P$2003,$Z978-0)=0,"",INDEX(包装物料出入库明细!$P$4:$P$2003,$Z978-0)),IF($Z978&lt;=4000,IF(INDEX(周转筐出入库明细!$Q$4:$Q$2004,$Z978-2000)=0,"",INDEX(周转筐出入库明细!$Q$4:$Q$2004,$Z978-2000)),IF($Z978&lt;=5200,"",IF($Z978&lt;=5800,IF(INDEX(次果筐明细!$M$4:$M$603,$Z978-5200)=0,"",INDEX(次果筐明细!$M$4:$M$603,$Z978-5200)),"")))))</f>
        <v/>
      </c>
      <c r="M978" s="37" t="str">
        <f>IF($Z978="","",IF($Z978&lt;=2000,IF(INDEX(包装物料出入库明细!$R$4:$R$2003,$Z978-0)=0,"",INDEX(包装物料出入库明细!$R$4:$R$2003,$Z978-0)),IF($Z978&lt;=4000,IF(INDEX(周转筐出入库明细!$W$4:$W$2004,$Z978-2000)=0,"",INDEX(周转筐出入库明细!$W$4:$W$2004,$Z978-2000)),IF($Z978&lt;=5200,IF(INDEX(客户自备加工筐明细!$L$4:$L$1203,$Z978-4000)=0,"",INDEX(客户自备加工筐明细!$L$4:$L$1203,$Z978-4000)),IF($Z978&lt;=5800,IF(INDEX(次果筐明细!$P$4:$P$603,$Z978-5200)=0,"",INDEX(次果筐明细!$P$4:$P$603,$Z978-5200)),"")))))</f>
        <v/>
      </c>
      <c r="N978" s="16" t="str">
        <f>IF($Z978="","",IF($Z978&lt;=2000,"",IF($Z978&lt;=4000,IF(INDEX(周转筐出入库明细!$D$4:$D$2004,$Z978-2000)=0,"",INDEX(周转筐出入库明细!$D$4:$D$2004,$Z978-2000)),IF($Z978&lt;=5200,IF(INDEX(客户自备加工筐明细!$C$4:$C$1203,$Z978-4000)=0,"",INDEX(客户自备加工筐明细!$C$4:$C$1203,$Z978-4000)),IF($Z978&lt;=5800,IF(INDEX(次果筐明细!$D$4:$D$603,$Z978-5200)=0,"",INDEX(次果筐明细!$D$4:$D$603,$Z978-5200)),"")))))</f>
        <v/>
      </c>
      <c r="O978" s="40" t="str">
        <f>IF($Z978="","",IF($Z978&lt;=2000,"",IF($Z978&lt;=4000,IF(N(INDEX(周转筐出入库明细!$J$4:$J$2004,$Z978-2000))+N(INDEX(周转筐出入库明细!$K$4:$K$2004,$Z978-2000))=0,"",N(INDEX(周转筐出入库明细!$J$4:$J$2004,$Z978-2000))+N(INDEX(周转筐出入库明细!$K$4:$K$2004,$Z978-2000))),IF($Z978&lt;=5200,IF(N(INDEX(客户自备加工筐明细!$G$4:$G$1203,$Z978-4000))=0,"",N(INDEX(客户自备加工筐明细!$G$4:$G$1203,$Z978-4000))),IF($Z978&lt;=5800,IF(ISNUMBER(SEARCH("退",INDEX(次果筐明细!$F$4:$F$603,$Z978-5200)&amp;"")),"",IF(N(INDEX(次果筐明细!$G$4:$G$603,$Z978-5200))=0,"",N(INDEX(次果筐明细!$G$4:$G$603,$Z978-5200)))),"")))))</f>
        <v/>
      </c>
      <c r="P978" s="40" t="str">
        <f>IF($Z978="","",IF($Z978&lt;=2000,"",IF($Z978&lt;=4000,IF(N(INDEX(周转筐出入库明细!$I$4:$I$2004,$Z978-2000))=0,"",N(INDEX(周转筐出入库明细!$I$4:$I$2004,$Z978-2000))),IF($Z978&lt;=5200,"",IF($Z978&lt;=5800,IF(ISNUMBER(SEARCH("退",INDEX(次果筐明细!$F$4:$F$603,$Z978-5200)&amp;"")),IF(N(INDEX(次果筐明细!$G$4:$G$603,$Z978-5200))=0,"",N(INDEX(次果筐明细!$G$4:$G$603,$Z978-5200))),""),"")))))</f>
        <v/>
      </c>
      <c r="Q978" s="40" t="str">
        <f>IF($Z978="","",IF($Z978&lt;=2000,"",IF($Z978&lt;=4000,IF(N(INDEX(周转筐出入库明细!$H$4:$H$2004,$Z978-2000))=0,"",N(INDEX(周转筐出入库明细!$H$4:$H$2004,$Z978-2000))),IF($Z978&lt;=5200,IF(N(INDEX(客户自备加工筐明细!$F$4:$F$1203,$Z978-4000))=0,"",N(INDEX(客户自备加工筐明细!$F$4:$F$1203,$Z978-4000))),IF($Z978&lt;=5800,"","")))))</f>
        <v/>
      </c>
      <c r="R978" s="16" t="str">
        <f>IF($Z978="","",IF($Z978&lt;=2000,IF(INDEX(包装物料出入库明细!$O$4:$O$2003,$Z978-0)=0,"",INDEX(包装物料出入库明细!$O$4:$O$2003,$Z978-0)),IF($Z978&lt;=4000,IF(INDEX(周转筐出入库明细!$M$4:$M$2004,$Z978-2000)=0,"",INDEX(周转筐出入库明细!$M$4:$M$2004,$Z978-2000)),IF($Z978&lt;=5200,IF(INDEX(客户自备加工筐明细!$H$4:$H$1203,$Z978-4000)=0,"",INDEX(客户自备加工筐明细!$H$4:$H$1203,$Z978-4000)),IF($Z978&lt;=5800,IF(INDEX(次果筐明细!$H$4:$H$603,$Z978-5200)=0,"",INDEX(次果筐明细!$H$4:$H$603,$Z978-5200)),"")))))</f>
        <v/>
      </c>
      <c r="S978" s="22" t="str">
        <f t="shared" si="47"/>
        <v/>
      </c>
      <c r="Z978" s="10" t="str">
        <f>IFERROR(MATCH(ROW()-3,_自动清单!$CQ$4:$CQ$5803,0),"")</f>
        <v/>
      </c>
    </row>
    <row r="979" spans="1:26">
      <c r="A979" s="24" t="str">
        <f t="shared" si="45"/>
        <v/>
      </c>
      <c r="B979" s="38" t="str">
        <f>IF($Z979="","",IF($Z979&lt;=2000,IF(INDEX(包装物料出入库明细!$B$4:$B$2003,$Z979-0)=0,"",INDEX(包装物料出入库明细!$B$4:$B$2003,$Z979-0)),IF($Z979&lt;=4000,IF(INDEX(周转筐出入库明细!$B$4:$B$2004,$Z979-2000)=0,"",INDEX(周转筐出入库明细!$B$4:$B$2004,$Z979-2000)),IF($Z979&lt;=5200,IF(INDEX(客户自备加工筐明细!$B$4:$B$1203,$Z979-4000)=0,"",INDEX(客户自备加工筐明细!$B$4:$B$1203,$Z979-4000)),IF($Z979&lt;=5800,IF(INDEX(次果筐明细!$B$4:$B$603,$Z979-5200)=0,"",INDEX(次果筐明细!$B$4:$B$603,$Z979-5200)),"")))))</f>
        <v/>
      </c>
      <c r="C979" s="37" t="str">
        <f>IF($Z979="","",IF($Z979&lt;=2000,IF(INDEX(包装物料出入库明细!$D$4:$D$2003,$Z979-0)=0,"",INDEX(包装物料出入库明细!$D$4:$D$2003,$Z979-0)),IF($Z979&lt;=4000,IF(INDEX(周转筐出入库明细!$C$4:$C$2004,$Z979-2000)=0,"",INDEX(周转筐出入库明细!$C$4:$C$2004,$Z979-2000)),IF($Z979&lt;=5200,IF(INDEX(客户自备加工筐明细!$E$4:$E$1203,$Z979-4000)=0,"",INDEX(客户自备加工筐明细!$E$4:$E$1203,$Z979-4000)),IF($Z979&lt;=5800,IF(INDEX(次果筐明细!$C$4:$C$603,$Z979-5200)=0,"",INDEX(次果筐明细!$C$4:$C$603,$Z979-5200)),"")))))</f>
        <v/>
      </c>
      <c r="D979" s="37" t="str">
        <f>IF($Z979="","",IF($Z979&lt;=2000,"包装物料－"&amp;INDEX(包装物料出入库明细!$H$4:$H$2003,$Z979-0),IF($Z979&lt;=4000,"周转筐－"&amp;INDEX(周转筐出入库明细!$F$4:$F$2004,$Z979-2000),IF($Z979&lt;=5200,"客户自备筐－"&amp;INDEX(客户自备加工筐明细!$J$4:$J$1203,$Z979-4000),IF($Z979&lt;=5800,"次果筐/托盘－"&amp;INDEX(次果筐明细!$F$4:$F$603,$Z979-5200),"")))))</f>
        <v/>
      </c>
      <c r="E979" s="24" t="str">
        <f>IF($Z979="","",IF($Z979&lt;=2000,IF(INDEX(包装物料出入库明细!$C$4:$C$2003,$Z979-0)=0,"",INDEX(包装物料出入库明细!$C$4:$C$2003,$Z979-0)),IF($Z979&lt;=4000,IF(INDEX(周转筐出入库明细!$E$4:$E$2004,$Z979-2000)=0,"",INDEX(周转筐出入库明细!$E$4:$E$2004,$Z979-2000)),IF($Z979&lt;=5200,IF(INDEX(客户自备加工筐明细!$D$4:$D$1203,$Z979-4000)=0,"",INDEX(客户自备加工筐明细!$D$4:$D$1203,$Z979-4000)),IF($Z979&lt;=5800,IF(INDEX(次果筐明细!$E$4:$E$603,$Z979-5200)=0,"",INDEX(次果筐明细!$E$4:$E$603,$Z979-5200)),"")))))</f>
        <v/>
      </c>
      <c r="F979" s="24" t="str">
        <f>IF($Z979="","",IF($Z979&lt;=2000,IF(INDEX(包装物料出入库明细!$E$4:$E$2003,$Z979-0)=0,"",INDEX(包装物料出入库明细!$E$4:$E$2003,$Z979-0)),IF($Z979&lt;=4000,IF(INDEX(周转筐出入库明细!$D$4:$D$2004,$Z979-2000)=0,"",INDEX(周转筐出入库明细!$D$4:$D$2004,$Z979-2000)),IF($Z979&lt;=5200,IF(INDEX(客户自备加工筐明细!$C$4:$C$1203,$Z979-4000)=0,"",INDEX(客户自备加工筐明细!$C$4:$C$1203,$Z979-4000)),IF($Z979&lt;=5800,IF(INDEX(次果筐明细!$D$4:$D$603,$Z979-5200)=0,"",INDEX(次果筐明细!$D$4:$D$603,$Z979-5200)),"")))))</f>
        <v/>
      </c>
      <c r="G979" s="24" t="str">
        <f>IF($Z979="","",IF($Z979&lt;=2000,IF(INDEX(包装物料出入库明细!$F$4:$F$2003,$Z979-0)=0,"",INDEX(包装物料出入库明细!$F$4:$F$2003,$Z979-0)),IF($Z979&lt;=4000,"",IF($Z979&lt;=5200,"",IF($Z979&lt;=5800,"","")))))</f>
        <v/>
      </c>
      <c r="H979" s="39" t="str">
        <f>IF($Z979="","",IF($Z979&lt;=2000,IF(INDEX(包装物料出入库明细!$L$4:$L$2003,$Z979-0)=0,"",INDEX(包装物料出入库明细!$L$4:$L$2003,$Z979-0)),IF($Z979&lt;=4000,N(INDEX(周转筐出入库明细!$H$4:$H$2004,$Z979-2000))+N(INDEX(周转筐出入库明细!$I$4:$I$2004,$Z979-2000))+N(INDEX(周转筐出入库明细!$J$4:$J$2004,$Z979-2000))+N(INDEX(周转筐出入库明细!$K$4:$K$2004,$Z979-2000)),IF($Z979&lt;=5200,N(INDEX(客户自备加工筐明细!$F$4:$F$1203,$Z979-4000))+N(INDEX(客户自备加工筐明细!$G$4:$G$1203,$Z979-4000)),IF($Z979&lt;=5800,IF(INDEX(次果筐明细!$G$4:$G$603,$Z979-5200)=0,"",INDEX(次果筐明细!$G$4:$G$603,$Z979-5200)),"")))))</f>
        <v/>
      </c>
      <c r="I979" s="24" t="str">
        <f>IF($Z979="","",IF($Z979&lt;=2000,IF(INDEX(包装物料出入库明细!$G$4:$G$2003,$Z979-0)=0,"",INDEX(包装物料出入库明细!$G$4:$G$2003,$Z979-0)),IF($Z979&lt;=4000,"个",IF($Z979&lt;=5200,"个",IF($Z979&lt;=5800,"个","")))))</f>
        <v/>
      </c>
      <c r="J979" s="30" t="str">
        <f t="shared" si="46"/>
        <v/>
      </c>
      <c r="K979" s="30" t="str">
        <f>IF($Z979="","",IF($Z979&lt;=2000,IF(INDEX(包装物料出入库明细!$N$4:$N$2003,$Z979-0)=0,"",INDEX(包装物料出入库明细!$N$4:$N$2003,$Z979-0)),IF($Z979&lt;=4000,IF(INDEX(周转筐出入库明细!$P$4:$P$2004,$Z979-2000)=0,"",INDEX(周转筐出入库明细!$P$4:$P$2004,$Z979-2000)),IF($Z979&lt;=5200,"",IF($Z979&lt;=5800,N(INDEX(次果筐明细!$L$4:$L$603,$Z979-5200))+N(INDEX(次果筐明细!$J$4:$J$603,$Z979-5200)),"")))))</f>
        <v/>
      </c>
      <c r="L979" s="24" t="str">
        <f>IF($Z979="","",IF($Z979&lt;=2000,IF(INDEX(包装物料出入库明细!$P$4:$P$2003,$Z979-0)=0,"",INDEX(包装物料出入库明细!$P$4:$P$2003,$Z979-0)),IF($Z979&lt;=4000,IF(INDEX(周转筐出入库明细!$Q$4:$Q$2004,$Z979-2000)=0,"",INDEX(周转筐出入库明细!$Q$4:$Q$2004,$Z979-2000)),IF($Z979&lt;=5200,"",IF($Z979&lt;=5800,IF(INDEX(次果筐明细!$M$4:$M$603,$Z979-5200)=0,"",INDEX(次果筐明细!$M$4:$M$603,$Z979-5200)),"")))))</f>
        <v/>
      </c>
      <c r="M979" s="37" t="str">
        <f>IF($Z979="","",IF($Z979&lt;=2000,IF(INDEX(包装物料出入库明细!$R$4:$R$2003,$Z979-0)=0,"",INDEX(包装物料出入库明细!$R$4:$R$2003,$Z979-0)),IF($Z979&lt;=4000,IF(INDEX(周转筐出入库明细!$W$4:$W$2004,$Z979-2000)=0,"",INDEX(周转筐出入库明细!$W$4:$W$2004,$Z979-2000)),IF($Z979&lt;=5200,IF(INDEX(客户自备加工筐明细!$L$4:$L$1203,$Z979-4000)=0,"",INDEX(客户自备加工筐明细!$L$4:$L$1203,$Z979-4000)),IF($Z979&lt;=5800,IF(INDEX(次果筐明细!$P$4:$P$603,$Z979-5200)=0,"",INDEX(次果筐明细!$P$4:$P$603,$Z979-5200)),"")))))</f>
        <v/>
      </c>
      <c r="N979" s="16" t="str">
        <f>IF($Z979="","",IF($Z979&lt;=2000,"",IF($Z979&lt;=4000,IF(INDEX(周转筐出入库明细!$D$4:$D$2004,$Z979-2000)=0,"",INDEX(周转筐出入库明细!$D$4:$D$2004,$Z979-2000)),IF($Z979&lt;=5200,IF(INDEX(客户自备加工筐明细!$C$4:$C$1203,$Z979-4000)=0,"",INDEX(客户自备加工筐明细!$C$4:$C$1203,$Z979-4000)),IF($Z979&lt;=5800,IF(INDEX(次果筐明细!$D$4:$D$603,$Z979-5200)=0,"",INDEX(次果筐明细!$D$4:$D$603,$Z979-5200)),"")))))</f>
        <v/>
      </c>
      <c r="O979" s="40" t="str">
        <f>IF($Z979="","",IF($Z979&lt;=2000,"",IF($Z979&lt;=4000,IF(N(INDEX(周转筐出入库明细!$J$4:$J$2004,$Z979-2000))+N(INDEX(周转筐出入库明细!$K$4:$K$2004,$Z979-2000))=0,"",N(INDEX(周转筐出入库明细!$J$4:$J$2004,$Z979-2000))+N(INDEX(周转筐出入库明细!$K$4:$K$2004,$Z979-2000))),IF($Z979&lt;=5200,IF(N(INDEX(客户自备加工筐明细!$G$4:$G$1203,$Z979-4000))=0,"",N(INDEX(客户自备加工筐明细!$G$4:$G$1203,$Z979-4000))),IF($Z979&lt;=5800,IF(ISNUMBER(SEARCH("退",INDEX(次果筐明细!$F$4:$F$603,$Z979-5200)&amp;"")),"",IF(N(INDEX(次果筐明细!$G$4:$G$603,$Z979-5200))=0,"",N(INDEX(次果筐明细!$G$4:$G$603,$Z979-5200)))),"")))))</f>
        <v/>
      </c>
      <c r="P979" s="40" t="str">
        <f>IF($Z979="","",IF($Z979&lt;=2000,"",IF($Z979&lt;=4000,IF(N(INDEX(周转筐出入库明细!$I$4:$I$2004,$Z979-2000))=0,"",N(INDEX(周转筐出入库明细!$I$4:$I$2004,$Z979-2000))),IF($Z979&lt;=5200,"",IF($Z979&lt;=5800,IF(ISNUMBER(SEARCH("退",INDEX(次果筐明细!$F$4:$F$603,$Z979-5200)&amp;"")),IF(N(INDEX(次果筐明细!$G$4:$G$603,$Z979-5200))=0,"",N(INDEX(次果筐明细!$G$4:$G$603,$Z979-5200))),""),"")))))</f>
        <v/>
      </c>
      <c r="Q979" s="40" t="str">
        <f>IF($Z979="","",IF($Z979&lt;=2000,"",IF($Z979&lt;=4000,IF(N(INDEX(周转筐出入库明细!$H$4:$H$2004,$Z979-2000))=0,"",N(INDEX(周转筐出入库明细!$H$4:$H$2004,$Z979-2000))),IF($Z979&lt;=5200,IF(N(INDEX(客户自备加工筐明细!$F$4:$F$1203,$Z979-4000))=0,"",N(INDEX(客户自备加工筐明细!$F$4:$F$1203,$Z979-4000))),IF($Z979&lt;=5800,"","")))))</f>
        <v/>
      </c>
      <c r="R979" s="16" t="str">
        <f>IF($Z979="","",IF($Z979&lt;=2000,IF(INDEX(包装物料出入库明细!$O$4:$O$2003,$Z979-0)=0,"",INDEX(包装物料出入库明细!$O$4:$O$2003,$Z979-0)),IF($Z979&lt;=4000,IF(INDEX(周转筐出入库明细!$M$4:$M$2004,$Z979-2000)=0,"",INDEX(周转筐出入库明细!$M$4:$M$2004,$Z979-2000)),IF($Z979&lt;=5200,IF(INDEX(客户自备加工筐明细!$H$4:$H$1203,$Z979-4000)=0,"",INDEX(客户自备加工筐明细!$H$4:$H$1203,$Z979-4000)),IF($Z979&lt;=5800,IF(INDEX(次果筐明细!$H$4:$H$603,$Z979-5200)=0,"",INDEX(次果筐明细!$H$4:$H$603,$Z979-5200)),"")))))</f>
        <v/>
      </c>
      <c r="S979" s="22" t="str">
        <f t="shared" si="47"/>
        <v/>
      </c>
      <c r="Z979" s="10" t="str">
        <f>IFERROR(MATCH(ROW()-3,_自动清单!$CQ$4:$CQ$5803,0),"")</f>
        <v/>
      </c>
    </row>
    <row r="980" spans="1:26">
      <c r="A980" s="24" t="str">
        <f t="shared" si="45"/>
        <v/>
      </c>
      <c r="B980" s="38" t="str">
        <f>IF($Z980="","",IF($Z980&lt;=2000,IF(INDEX(包装物料出入库明细!$B$4:$B$2003,$Z980-0)=0,"",INDEX(包装物料出入库明细!$B$4:$B$2003,$Z980-0)),IF($Z980&lt;=4000,IF(INDEX(周转筐出入库明细!$B$4:$B$2004,$Z980-2000)=0,"",INDEX(周转筐出入库明细!$B$4:$B$2004,$Z980-2000)),IF($Z980&lt;=5200,IF(INDEX(客户自备加工筐明细!$B$4:$B$1203,$Z980-4000)=0,"",INDEX(客户自备加工筐明细!$B$4:$B$1203,$Z980-4000)),IF($Z980&lt;=5800,IF(INDEX(次果筐明细!$B$4:$B$603,$Z980-5200)=0,"",INDEX(次果筐明细!$B$4:$B$603,$Z980-5200)),"")))))</f>
        <v/>
      </c>
      <c r="C980" s="37" t="str">
        <f>IF($Z980="","",IF($Z980&lt;=2000,IF(INDEX(包装物料出入库明细!$D$4:$D$2003,$Z980-0)=0,"",INDEX(包装物料出入库明细!$D$4:$D$2003,$Z980-0)),IF($Z980&lt;=4000,IF(INDEX(周转筐出入库明细!$C$4:$C$2004,$Z980-2000)=0,"",INDEX(周转筐出入库明细!$C$4:$C$2004,$Z980-2000)),IF($Z980&lt;=5200,IF(INDEX(客户自备加工筐明细!$E$4:$E$1203,$Z980-4000)=0,"",INDEX(客户自备加工筐明细!$E$4:$E$1203,$Z980-4000)),IF($Z980&lt;=5800,IF(INDEX(次果筐明细!$C$4:$C$603,$Z980-5200)=0,"",INDEX(次果筐明细!$C$4:$C$603,$Z980-5200)),"")))))</f>
        <v/>
      </c>
      <c r="D980" s="37" t="str">
        <f>IF($Z980="","",IF($Z980&lt;=2000,"包装物料－"&amp;INDEX(包装物料出入库明细!$H$4:$H$2003,$Z980-0),IF($Z980&lt;=4000,"周转筐－"&amp;INDEX(周转筐出入库明细!$F$4:$F$2004,$Z980-2000),IF($Z980&lt;=5200,"客户自备筐－"&amp;INDEX(客户自备加工筐明细!$J$4:$J$1203,$Z980-4000),IF($Z980&lt;=5800,"次果筐/托盘－"&amp;INDEX(次果筐明细!$F$4:$F$603,$Z980-5200),"")))))</f>
        <v/>
      </c>
      <c r="E980" s="24" t="str">
        <f>IF($Z980="","",IF($Z980&lt;=2000,IF(INDEX(包装物料出入库明细!$C$4:$C$2003,$Z980-0)=0,"",INDEX(包装物料出入库明细!$C$4:$C$2003,$Z980-0)),IF($Z980&lt;=4000,IF(INDEX(周转筐出入库明细!$E$4:$E$2004,$Z980-2000)=0,"",INDEX(周转筐出入库明细!$E$4:$E$2004,$Z980-2000)),IF($Z980&lt;=5200,IF(INDEX(客户自备加工筐明细!$D$4:$D$1203,$Z980-4000)=0,"",INDEX(客户自备加工筐明细!$D$4:$D$1203,$Z980-4000)),IF($Z980&lt;=5800,IF(INDEX(次果筐明细!$E$4:$E$603,$Z980-5200)=0,"",INDEX(次果筐明细!$E$4:$E$603,$Z980-5200)),"")))))</f>
        <v/>
      </c>
      <c r="F980" s="24" t="str">
        <f>IF($Z980="","",IF($Z980&lt;=2000,IF(INDEX(包装物料出入库明细!$E$4:$E$2003,$Z980-0)=0,"",INDEX(包装物料出入库明细!$E$4:$E$2003,$Z980-0)),IF($Z980&lt;=4000,IF(INDEX(周转筐出入库明细!$D$4:$D$2004,$Z980-2000)=0,"",INDEX(周转筐出入库明细!$D$4:$D$2004,$Z980-2000)),IF($Z980&lt;=5200,IF(INDEX(客户自备加工筐明细!$C$4:$C$1203,$Z980-4000)=0,"",INDEX(客户自备加工筐明细!$C$4:$C$1203,$Z980-4000)),IF($Z980&lt;=5800,IF(INDEX(次果筐明细!$D$4:$D$603,$Z980-5200)=0,"",INDEX(次果筐明细!$D$4:$D$603,$Z980-5200)),"")))))</f>
        <v/>
      </c>
      <c r="G980" s="24" t="str">
        <f>IF($Z980="","",IF($Z980&lt;=2000,IF(INDEX(包装物料出入库明细!$F$4:$F$2003,$Z980-0)=0,"",INDEX(包装物料出入库明细!$F$4:$F$2003,$Z980-0)),IF($Z980&lt;=4000,"",IF($Z980&lt;=5200,"",IF($Z980&lt;=5800,"","")))))</f>
        <v/>
      </c>
      <c r="H980" s="39" t="str">
        <f>IF($Z980="","",IF($Z980&lt;=2000,IF(INDEX(包装物料出入库明细!$L$4:$L$2003,$Z980-0)=0,"",INDEX(包装物料出入库明细!$L$4:$L$2003,$Z980-0)),IF($Z980&lt;=4000,N(INDEX(周转筐出入库明细!$H$4:$H$2004,$Z980-2000))+N(INDEX(周转筐出入库明细!$I$4:$I$2004,$Z980-2000))+N(INDEX(周转筐出入库明细!$J$4:$J$2004,$Z980-2000))+N(INDEX(周转筐出入库明细!$K$4:$K$2004,$Z980-2000)),IF($Z980&lt;=5200,N(INDEX(客户自备加工筐明细!$F$4:$F$1203,$Z980-4000))+N(INDEX(客户自备加工筐明细!$G$4:$G$1203,$Z980-4000)),IF($Z980&lt;=5800,IF(INDEX(次果筐明细!$G$4:$G$603,$Z980-5200)=0,"",INDEX(次果筐明细!$G$4:$G$603,$Z980-5200)),"")))))</f>
        <v/>
      </c>
      <c r="I980" s="24" t="str">
        <f>IF($Z980="","",IF($Z980&lt;=2000,IF(INDEX(包装物料出入库明细!$G$4:$G$2003,$Z980-0)=0,"",INDEX(包装物料出入库明细!$G$4:$G$2003,$Z980-0)),IF($Z980&lt;=4000,"个",IF($Z980&lt;=5200,"个",IF($Z980&lt;=5800,"个","")))))</f>
        <v/>
      </c>
      <c r="J980" s="30" t="str">
        <f t="shared" si="46"/>
        <v/>
      </c>
      <c r="K980" s="30" t="str">
        <f>IF($Z980="","",IF($Z980&lt;=2000,IF(INDEX(包装物料出入库明细!$N$4:$N$2003,$Z980-0)=0,"",INDEX(包装物料出入库明细!$N$4:$N$2003,$Z980-0)),IF($Z980&lt;=4000,IF(INDEX(周转筐出入库明细!$P$4:$P$2004,$Z980-2000)=0,"",INDEX(周转筐出入库明细!$P$4:$P$2004,$Z980-2000)),IF($Z980&lt;=5200,"",IF($Z980&lt;=5800,N(INDEX(次果筐明细!$L$4:$L$603,$Z980-5200))+N(INDEX(次果筐明细!$J$4:$J$603,$Z980-5200)),"")))))</f>
        <v/>
      </c>
      <c r="L980" s="24" t="str">
        <f>IF($Z980="","",IF($Z980&lt;=2000,IF(INDEX(包装物料出入库明细!$P$4:$P$2003,$Z980-0)=0,"",INDEX(包装物料出入库明细!$P$4:$P$2003,$Z980-0)),IF($Z980&lt;=4000,IF(INDEX(周转筐出入库明细!$Q$4:$Q$2004,$Z980-2000)=0,"",INDEX(周转筐出入库明细!$Q$4:$Q$2004,$Z980-2000)),IF($Z980&lt;=5200,"",IF($Z980&lt;=5800,IF(INDEX(次果筐明细!$M$4:$M$603,$Z980-5200)=0,"",INDEX(次果筐明细!$M$4:$M$603,$Z980-5200)),"")))))</f>
        <v/>
      </c>
      <c r="M980" s="37" t="str">
        <f>IF($Z980="","",IF($Z980&lt;=2000,IF(INDEX(包装物料出入库明细!$R$4:$R$2003,$Z980-0)=0,"",INDEX(包装物料出入库明细!$R$4:$R$2003,$Z980-0)),IF($Z980&lt;=4000,IF(INDEX(周转筐出入库明细!$W$4:$W$2004,$Z980-2000)=0,"",INDEX(周转筐出入库明细!$W$4:$W$2004,$Z980-2000)),IF($Z980&lt;=5200,IF(INDEX(客户自备加工筐明细!$L$4:$L$1203,$Z980-4000)=0,"",INDEX(客户自备加工筐明细!$L$4:$L$1203,$Z980-4000)),IF($Z980&lt;=5800,IF(INDEX(次果筐明细!$P$4:$P$603,$Z980-5200)=0,"",INDEX(次果筐明细!$P$4:$P$603,$Z980-5200)),"")))))</f>
        <v/>
      </c>
      <c r="N980" s="16" t="str">
        <f>IF($Z980="","",IF($Z980&lt;=2000,"",IF($Z980&lt;=4000,IF(INDEX(周转筐出入库明细!$D$4:$D$2004,$Z980-2000)=0,"",INDEX(周转筐出入库明细!$D$4:$D$2004,$Z980-2000)),IF($Z980&lt;=5200,IF(INDEX(客户自备加工筐明细!$C$4:$C$1203,$Z980-4000)=0,"",INDEX(客户自备加工筐明细!$C$4:$C$1203,$Z980-4000)),IF($Z980&lt;=5800,IF(INDEX(次果筐明细!$D$4:$D$603,$Z980-5200)=0,"",INDEX(次果筐明细!$D$4:$D$603,$Z980-5200)),"")))))</f>
        <v/>
      </c>
      <c r="O980" s="40" t="str">
        <f>IF($Z980="","",IF($Z980&lt;=2000,"",IF($Z980&lt;=4000,IF(N(INDEX(周转筐出入库明细!$J$4:$J$2004,$Z980-2000))+N(INDEX(周转筐出入库明细!$K$4:$K$2004,$Z980-2000))=0,"",N(INDEX(周转筐出入库明细!$J$4:$J$2004,$Z980-2000))+N(INDEX(周转筐出入库明细!$K$4:$K$2004,$Z980-2000))),IF($Z980&lt;=5200,IF(N(INDEX(客户自备加工筐明细!$G$4:$G$1203,$Z980-4000))=0,"",N(INDEX(客户自备加工筐明细!$G$4:$G$1203,$Z980-4000))),IF($Z980&lt;=5800,IF(ISNUMBER(SEARCH("退",INDEX(次果筐明细!$F$4:$F$603,$Z980-5200)&amp;"")),"",IF(N(INDEX(次果筐明细!$G$4:$G$603,$Z980-5200))=0,"",N(INDEX(次果筐明细!$G$4:$G$603,$Z980-5200)))),"")))))</f>
        <v/>
      </c>
      <c r="P980" s="40" t="str">
        <f>IF($Z980="","",IF($Z980&lt;=2000,"",IF($Z980&lt;=4000,IF(N(INDEX(周转筐出入库明细!$I$4:$I$2004,$Z980-2000))=0,"",N(INDEX(周转筐出入库明细!$I$4:$I$2004,$Z980-2000))),IF($Z980&lt;=5200,"",IF($Z980&lt;=5800,IF(ISNUMBER(SEARCH("退",INDEX(次果筐明细!$F$4:$F$603,$Z980-5200)&amp;"")),IF(N(INDEX(次果筐明细!$G$4:$G$603,$Z980-5200))=0,"",N(INDEX(次果筐明细!$G$4:$G$603,$Z980-5200))),""),"")))))</f>
        <v/>
      </c>
      <c r="Q980" s="40" t="str">
        <f>IF($Z980="","",IF($Z980&lt;=2000,"",IF($Z980&lt;=4000,IF(N(INDEX(周转筐出入库明细!$H$4:$H$2004,$Z980-2000))=0,"",N(INDEX(周转筐出入库明细!$H$4:$H$2004,$Z980-2000))),IF($Z980&lt;=5200,IF(N(INDEX(客户自备加工筐明细!$F$4:$F$1203,$Z980-4000))=0,"",N(INDEX(客户自备加工筐明细!$F$4:$F$1203,$Z980-4000))),IF($Z980&lt;=5800,"","")))))</f>
        <v/>
      </c>
      <c r="R980" s="16" t="str">
        <f>IF($Z980="","",IF($Z980&lt;=2000,IF(INDEX(包装物料出入库明细!$O$4:$O$2003,$Z980-0)=0,"",INDEX(包装物料出入库明细!$O$4:$O$2003,$Z980-0)),IF($Z980&lt;=4000,IF(INDEX(周转筐出入库明细!$M$4:$M$2004,$Z980-2000)=0,"",INDEX(周转筐出入库明细!$M$4:$M$2004,$Z980-2000)),IF($Z980&lt;=5200,IF(INDEX(客户自备加工筐明细!$H$4:$H$1203,$Z980-4000)=0,"",INDEX(客户自备加工筐明细!$H$4:$H$1203,$Z980-4000)),IF($Z980&lt;=5800,IF(INDEX(次果筐明细!$H$4:$H$603,$Z980-5200)=0,"",INDEX(次果筐明细!$H$4:$H$603,$Z980-5200)),"")))))</f>
        <v/>
      </c>
      <c r="S980" s="22" t="str">
        <f t="shared" si="47"/>
        <v/>
      </c>
      <c r="Z980" s="10" t="str">
        <f>IFERROR(MATCH(ROW()-3,_自动清单!$CQ$4:$CQ$5803,0),"")</f>
        <v/>
      </c>
    </row>
    <row r="981" spans="1:26">
      <c r="A981" s="24" t="str">
        <f t="shared" si="45"/>
        <v/>
      </c>
      <c r="B981" s="38" t="str">
        <f>IF($Z981="","",IF($Z981&lt;=2000,IF(INDEX(包装物料出入库明细!$B$4:$B$2003,$Z981-0)=0,"",INDEX(包装物料出入库明细!$B$4:$B$2003,$Z981-0)),IF($Z981&lt;=4000,IF(INDEX(周转筐出入库明细!$B$4:$B$2004,$Z981-2000)=0,"",INDEX(周转筐出入库明细!$B$4:$B$2004,$Z981-2000)),IF($Z981&lt;=5200,IF(INDEX(客户自备加工筐明细!$B$4:$B$1203,$Z981-4000)=0,"",INDEX(客户自备加工筐明细!$B$4:$B$1203,$Z981-4000)),IF($Z981&lt;=5800,IF(INDEX(次果筐明细!$B$4:$B$603,$Z981-5200)=0,"",INDEX(次果筐明细!$B$4:$B$603,$Z981-5200)),"")))))</f>
        <v/>
      </c>
      <c r="C981" s="37" t="str">
        <f>IF($Z981="","",IF($Z981&lt;=2000,IF(INDEX(包装物料出入库明细!$D$4:$D$2003,$Z981-0)=0,"",INDEX(包装物料出入库明细!$D$4:$D$2003,$Z981-0)),IF($Z981&lt;=4000,IF(INDEX(周转筐出入库明细!$C$4:$C$2004,$Z981-2000)=0,"",INDEX(周转筐出入库明细!$C$4:$C$2004,$Z981-2000)),IF($Z981&lt;=5200,IF(INDEX(客户自备加工筐明细!$E$4:$E$1203,$Z981-4000)=0,"",INDEX(客户自备加工筐明细!$E$4:$E$1203,$Z981-4000)),IF($Z981&lt;=5800,IF(INDEX(次果筐明细!$C$4:$C$603,$Z981-5200)=0,"",INDEX(次果筐明细!$C$4:$C$603,$Z981-5200)),"")))))</f>
        <v/>
      </c>
      <c r="D981" s="37" t="str">
        <f>IF($Z981="","",IF($Z981&lt;=2000,"包装物料－"&amp;INDEX(包装物料出入库明细!$H$4:$H$2003,$Z981-0),IF($Z981&lt;=4000,"周转筐－"&amp;INDEX(周转筐出入库明细!$F$4:$F$2004,$Z981-2000),IF($Z981&lt;=5200,"客户自备筐－"&amp;INDEX(客户自备加工筐明细!$J$4:$J$1203,$Z981-4000),IF($Z981&lt;=5800,"次果筐/托盘－"&amp;INDEX(次果筐明细!$F$4:$F$603,$Z981-5200),"")))))</f>
        <v/>
      </c>
      <c r="E981" s="24" t="str">
        <f>IF($Z981="","",IF($Z981&lt;=2000,IF(INDEX(包装物料出入库明细!$C$4:$C$2003,$Z981-0)=0,"",INDEX(包装物料出入库明细!$C$4:$C$2003,$Z981-0)),IF($Z981&lt;=4000,IF(INDEX(周转筐出入库明细!$E$4:$E$2004,$Z981-2000)=0,"",INDEX(周转筐出入库明细!$E$4:$E$2004,$Z981-2000)),IF($Z981&lt;=5200,IF(INDEX(客户自备加工筐明细!$D$4:$D$1203,$Z981-4000)=0,"",INDEX(客户自备加工筐明细!$D$4:$D$1203,$Z981-4000)),IF($Z981&lt;=5800,IF(INDEX(次果筐明细!$E$4:$E$603,$Z981-5200)=0,"",INDEX(次果筐明细!$E$4:$E$603,$Z981-5200)),"")))))</f>
        <v/>
      </c>
      <c r="F981" s="24" t="str">
        <f>IF($Z981="","",IF($Z981&lt;=2000,IF(INDEX(包装物料出入库明细!$E$4:$E$2003,$Z981-0)=0,"",INDEX(包装物料出入库明细!$E$4:$E$2003,$Z981-0)),IF($Z981&lt;=4000,IF(INDEX(周转筐出入库明细!$D$4:$D$2004,$Z981-2000)=0,"",INDEX(周转筐出入库明细!$D$4:$D$2004,$Z981-2000)),IF($Z981&lt;=5200,IF(INDEX(客户自备加工筐明细!$C$4:$C$1203,$Z981-4000)=0,"",INDEX(客户自备加工筐明细!$C$4:$C$1203,$Z981-4000)),IF($Z981&lt;=5800,IF(INDEX(次果筐明细!$D$4:$D$603,$Z981-5200)=0,"",INDEX(次果筐明细!$D$4:$D$603,$Z981-5200)),"")))))</f>
        <v/>
      </c>
      <c r="G981" s="24" t="str">
        <f>IF($Z981="","",IF($Z981&lt;=2000,IF(INDEX(包装物料出入库明细!$F$4:$F$2003,$Z981-0)=0,"",INDEX(包装物料出入库明细!$F$4:$F$2003,$Z981-0)),IF($Z981&lt;=4000,"",IF($Z981&lt;=5200,"",IF($Z981&lt;=5800,"","")))))</f>
        <v/>
      </c>
      <c r="H981" s="39" t="str">
        <f>IF($Z981="","",IF($Z981&lt;=2000,IF(INDEX(包装物料出入库明细!$L$4:$L$2003,$Z981-0)=0,"",INDEX(包装物料出入库明细!$L$4:$L$2003,$Z981-0)),IF($Z981&lt;=4000,N(INDEX(周转筐出入库明细!$H$4:$H$2004,$Z981-2000))+N(INDEX(周转筐出入库明细!$I$4:$I$2004,$Z981-2000))+N(INDEX(周转筐出入库明细!$J$4:$J$2004,$Z981-2000))+N(INDEX(周转筐出入库明细!$K$4:$K$2004,$Z981-2000)),IF($Z981&lt;=5200,N(INDEX(客户自备加工筐明细!$F$4:$F$1203,$Z981-4000))+N(INDEX(客户自备加工筐明细!$G$4:$G$1203,$Z981-4000)),IF($Z981&lt;=5800,IF(INDEX(次果筐明细!$G$4:$G$603,$Z981-5200)=0,"",INDEX(次果筐明细!$G$4:$G$603,$Z981-5200)),"")))))</f>
        <v/>
      </c>
      <c r="I981" s="24" t="str">
        <f>IF($Z981="","",IF($Z981&lt;=2000,IF(INDEX(包装物料出入库明细!$G$4:$G$2003,$Z981-0)=0,"",INDEX(包装物料出入库明细!$G$4:$G$2003,$Z981-0)),IF($Z981&lt;=4000,"个",IF($Z981&lt;=5200,"个",IF($Z981&lt;=5800,"个","")))))</f>
        <v/>
      </c>
      <c r="J981" s="30" t="str">
        <f t="shared" si="46"/>
        <v/>
      </c>
      <c r="K981" s="30" t="str">
        <f>IF($Z981="","",IF($Z981&lt;=2000,IF(INDEX(包装物料出入库明细!$N$4:$N$2003,$Z981-0)=0,"",INDEX(包装物料出入库明细!$N$4:$N$2003,$Z981-0)),IF($Z981&lt;=4000,IF(INDEX(周转筐出入库明细!$P$4:$P$2004,$Z981-2000)=0,"",INDEX(周转筐出入库明细!$P$4:$P$2004,$Z981-2000)),IF($Z981&lt;=5200,"",IF($Z981&lt;=5800,N(INDEX(次果筐明细!$L$4:$L$603,$Z981-5200))+N(INDEX(次果筐明细!$J$4:$J$603,$Z981-5200)),"")))))</f>
        <v/>
      </c>
      <c r="L981" s="24" t="str">
        <f>IF($Z981="","",IF($Z981&lt;=2000,IF(INDEX(包装物料出入库明细!$P$4:$P$2003,$Z981-0)=0,"",INDEX(包装物料出入库明细!$P$4:$P$2003,$Z981-0)),IF($Z981&lt;=4000,IF(INDEX(周转筐出入库明细!$Q$4:$Q$2004,$Z981-2000)=0,"",INDEX(周转筐出入库明细!$Q$4:$Q$2004,$Z981-2000)),IF($Z981&lt;=5200,"",IF($Z981&lt;=5800,IF(INDEX(次果筐明细!$M$4:$M$603,$Z981-5200)=0,"",INDEX(次果筐明细!$M$4:$M$603,$Z981-5200)),"")))))</f>
        <v/>
      </c>
      <c r="M981" s="37" t="str">
        <f>IF($Z981="","",IF($Z981&lt;=2000,IF(INDEX(包装物料出入库明细!$R$4:$R$2003,$Z981-0)=0,"",INDEX(包装物料出入库明细!$R$4:$R$2003,$Z981-0)),IF($Z981&lt;=4000,IF(INDEX(周转筐出入库明细!$W$4:$W$2004,$Z981-2000)=0,"",INDEX(周转筐出入库明细!$W$4:$W$2004,$Z981-2000)),IF($Z981&lt;=5200,IF(INDEX(客户自备加工筐明细!$L$4:$L$1203,$Z981-4000)=0,"",INDEX(客户自备加工筐明细!$L$4:$L$1203,$Z981-4000)),IF($Z981&lt;=5800,IF(INDEX(次果筐明细!$P$4:$P$603,$Z981-5200)=0,"",INDEX(次果筐明细!$P$4:$P$603,$Z981-5200)),"")))))</f>
        <v/>
      </c>
      <c r="N981" s="16" t="str">
        <f>IF($Z981="","",IF($Z981&lt;=2000,"",IF($Z981&lt;=4000,IF(INDEX(周转筐出入库明细!$D$4:$D$2004,$Z981-2000)=0,"",INDEX(周转筐出入库明细!$D$4:$D$2004,$Z981-2000)),IF($Z981&lt;=5200,IF(INDEX(客户自备加工筐明细!$C$4:$C$1203,$Z981-4000)=0,"",INDEX(客户自备加工筐明细!$C$4:$C$1203,$Z981-4000)),IF($Z981&lt;=5800,IF(INDEX(次果筐明细!$D$4:$D$603,$Z981-5200)=0,"",INDEX(次果筐明细!$D$4:$D$603,$Z981-5200)),"")))))</f>
        <v/>
      </c>
      <c r="O981" s="40" t="str">
        <f>IF($Z981="","",IF($Z981&lt;=2000,"",IF($Z981&lt;=4000,IF(N(INDEX(周转筐出入库明细!$J$4:$J$2004,$Z981-2000))+N(INDEX(周转筐出入库明细!$K$4:$K$2004,$Z981-2000))=0,"",N(INDEX(周转筐出入库明细!$J$4:$J$2004,$Z981-2000))+N(INDEX(周转筐出入库明细!$K$4:$K$2004,$Z981-2000))),IF($Z981&lt;=5200,IF(N(INDEX(客户自备加工筐明细!$G$4:$G$1203,$Z981-4000))=0,"",N(INDEX(客户自备加工筐明细!$G$4:$G$1203,$Z981-4000))),IF($Z981&lt;=5800,IF(ISNUMBER(SEARCH("退",INDEX(次果筐明细!$F$4:$F$603,$Z981-5200)&amp;"")),"",IF(N(INDEX(次果筐明细!$G$4:$G$603,$Z981-5200))=0,"",N(INDEX(次果筐明细!$G$4:$G$603,$Z981-5200)))),"")))))</f>
        <v/>
      </c>
      <c r="P981" s="40" t="str">
        <f>IF($Z981="","",IF($Z981&lt;=2000,"",IF($Z981&lt;=4000,IF(N(INDEX(周转筐出入库明细!$I$4:$I$2004,$Z981-2000))=0,"",N(INDEX(周转筐出入库明细!$I$4:$I$2004,$Z981-2000))),IF($Z981&lt;=5200,"",IF($Z981&lt;=5800,IF(ISNUMBER(SEARCH("退",INDEX(次果筐明细!$F$4:$F$603,$Z981-5200)&amp;"")),IF(N(INDEX(次果筐明细!$G$4:$G$603,$Z981-5200))=0,"",N(INDEX(次果筐明细!$G$4:$G$603,$Z981-5200))),""),"")))))</f>
        <v/>
      </c>
      <c r="Q981" s="40" t="str">
        <f>IF($Z981="","",IF($Z981&lt;=2000,"",IF($Z981&lt;=4000,IF(N(INDEX(周转筐出入库明细!$H$4:$H$2004,$Z981-2000))=0,"",N(INDEX(周转筐出入库明细!$H$4:$H$2004,$Z981-2000))),IF($Z981&lt;=5200,IF(N(INDEX(客户自备加工筐明细!$F$4:$F$1203,$Z981-4000))=0,"",N(INDEX(客户自备加工筐明细!$F$4:$F$1203,$Z981-4000))),IF($Z981&lt;=5800,"","")))))</f>
        <v/>
      </c>
      <c r="R981" s="16" t="str">
        <f>IF($Z981="","",IF($Z981&lt;=2000,IF(INDEX(包装物料出入库明细!$O$4:$O$2003,$Z981-0)=0,"",INDEX(包装物料出入库明细!$O$4:$O$2003,$Z981-0)),IF($Z981&lt;=4000,IF(INDEX(周转筐出入库明细!$M$4:$M$2004,$Z981-2000)=0,"",INDEX(周转筐出入库明细!$M$4:$M$2004,$Z981-2000)),IF($Z981&lt;=5200,IF(INDEX(客户自备加工筐明细!$H$4:$H$1203,$Z981-4000)=0,"",INDEX(客户自备加工筐明细!$H$4:$H$1203,$Z981-4000)),IF($Z981&lt;=5800,IF(INDEX(次果筐明细!$H$4:$H$603,$Z981-5200)=0,"",INDEX(次果筐明细!$H$4:$H$603,$Z981-5200)),"")))))</f>
        <v/>
      </c>
      <c r="S981" s="22" t="str">
        <f t="shared" si="47"/>
        <v/>
      </c>
      <c r="Z981" s="10" t="str">
        <f>IFERROR(MATCH(ROW()-3,_自动清单!$CQ$4:$CQ$5803,0),"")</f>
        <v/>
      </c>
    </row>
    <row r="982" spans="1:26">
      <c r="A982" s="24" t="str">
        <f t="shared" si="45"/>
        <v/>
      </c>
      <c r="B982" s="38" t="str">
        <f>IF($Z982="","",IF($Z982&lt;=2000,IF(INDEX(包装物料出入库明细!$B$4:$B$2003,$Z982-0)=0,"",INDEX(包装物料出入库明细!$B$4:$B$2003,$Z982-0)),IF($Z982&lt;=4000,IF(INDEX(周转筐出入库明细!$B$4:$B$2004,$Z982-2000)=0,"",INDEX(周转筐出入库明细!$B$4:$B$2004,$Z982-2000)),IF($Z982&lt;=5200,IF(INDEX(客户自备加工筐明细!$B$4:$B$1203,$Z982-4000)=0,"",INDEX(客户自备加工筐明细!$B$4:$B$1203,$Z982-4000)),IF($Z982&lt;=5800,IF(INDEX(次果筐明细!$B$4:$B$603,$Z982-5200)=0,"",INDEX(次果筐明细!$B$4:$B$603,$Z982-5200)),"")))))</f>
        <v/>
      </c>
      <c r="C982" s="37" t="str">
        <f>IF($Z982="","",IF($Z982&lt;=2000,IF(INDEX(包装物料出入库明细!$D$4:$D$2003,$Z982-0)=0,"",INDEX(包装物料出入库明细!$D$4:$D$2003,$Z982-0)),IF($Z982&lt;=4000,IF(INDEX(周转筐出入库明细!$C$4:$C$2004,$Z982-2000)=0,"",INDEX(周转筐出入库明细!$C$4:$C$2004,$Z982-2000)),IF($Z982&lt;=5200,IF(INDEX(客户自备加工筐明细!$E$4:$E$1203,$Z982-4000)=0,"",INDEX(客户自备加工筐明细!$E$4:$E$1203,$Z982-4000)),IF($Z982&lt;=5800,IF(INDEX(次果筐明细!$C$4:$C$603,$Z982-5200)=0,"",INDEX(次果筐明细!$C$4:$C$603,$Z982-5200)),"")))))</f>
        <v/>
      </c>
      <c r="D982" s="37" t="str">
        <f>IF($Z982="","",IF($Z982&lt;=2000,"包装物料－"&amp;INDEX(包装物料出入库明细!$H$4:$H$2003,$Z982-0),IF($Z982&lt;=4000,"周转筐－"&amp;INDEX(周转筐出入库明细!$F$4:$F$2004,$Z982-2000),IF($Z982&lt;=5200,"客户自备筐－"&amp;INDEX(客户自备加工筐明细!$J$4:$J$1203,$Z982-4000),IF($Z982&lt;=5800,"次果筐/托盘－"&amp;INDEX(次果筐明细!$F$4:$F$603,$Z982-5200),"")))))</f>
        <v/>
      </c>
      <c r="E982" s="24" t="str">
        <f>IF($Z982="","",IF($Z982&lt;=2000,IF(INDEX(包装物料出入库明细!$C$4:$C$2003,$Z982-0)=0,"",INDEX(包装物料出入库明细!$C$4:$C$2003,$Z982-0)),IF($Z982&lt;=4000,IF(INDEX(周转筐出入库明细!$E$4:$E$2004,$Z982-2000)=0,"",INDEX(周转筐出入库明细!$E$4:$E$2004,$Z982-2000)),IF($Z982&lt;=5200,IF(INDEX(客户自备加工筐明细!$D$4:$D$1203,$Z982-4000)=0,"",INDEX(客户自备加工筐明细!$D$4:$D$1203,$Z982-4000)),IF($Z982&lt;=5800,IF(INDEX(次果筐明细!$E$4:$E$603,$Z982-5200)=0,"",INDEX(次果筐明细!$E$4:$E$603,$Z982-5200)),"")))))</f>
        <v/>
      </c>
      <c r="F982" s="24" t="str">
        <f>IF($Z982="","",IF($Z982&lt;=2000,IF(INDEX(包装物料出入库明细!$E$4:$E$2003,$Z982-0)=0,"",INDEX(包装物料出入库明细!$E$4:$E$2003,$Z982-0)),IF($Z982&lt;=4000,IF(INDEX(周转筐出入库明细!$D$4:$D$2004,$Z982-2000)=0,"",INDEX(周转筐出入库明细!$D$4:$D$2004,$Z982-2000)),IF($Z982&lt;=5200,IF(INDEX(客户自备加工筐明细!$C$4:$C$1203,$Z982-4000)=0,"",INDEX(客户自备加工筐明细!$C$4:$C$1203,$Z982-4000)),IF($Z982&lt;=5800,IF(INDEX(次果筐明细!$D$4:$D$603,$Z982-5200)=0,"",INDEX(次果筐明细!$D$4:$D$603,$Z982-5200)),"")))))</f>
        <v/>
      </c>
      <c r="G982" s="24" t="str">
        <f>IF($Z982="","",IF($Z982&lt;=2000,IF(INDEX(包装物料出入库明细!$F$4:$F$2003,$Z982-0)=0,"",INDEX(包装物料出入库明细!$F$4:$F$2003,$Z982-0)),IF($Z982&lt;=4000,"",IF($Z982&lt;=5200,"",IF($Z982&lt;=5800,"","")))))</f>
        <v/>
      </c>
      <c r="H982" s="39" t="str">
        <f>IF($Z982="","",IF($Z982&lt;=2000,IF(INDEX(包装物料出入库明细!$L$4:$L$2003,$Z982-0)=0,"",INDEX(包装物料出入库明细!$L$4:$L$2003,$Z982-0)),IF($Z982&lt;=4000,N(INDEX(周转筐出入库明细!$H$4:$H$2004,$Z982-2000))+N(INDEX(周转筐出入库明细!$I$4:$I$2004,$Z982-2000))+N(INDEX(周转筐出入库明细!$J$4:$J$2004,$Z982-2000))+N(INDEX(周转筐出入库明细!$K$4:$K$2004,$Z982-2000)),IF($Z982&lt;=5200,N(INDEX(客户自备加工筐明细!$F$4:$F$1203,$Z982-4000))+N(INDEX(客户自备加工筐明细!$G$4:$G$1203,$Z982-4000)),IF($Z982&lt;=5800,IF(INDEX(次果筐明细!$G$4:$G$603,$Z982-5200)=0,"",INDEX(次果筐明细!$G$4:$G$603,$Z982-5200)),"")))))</f>
        <v/>
      </c>
      <c r="I982" s="24" t="str">
        <f>IF($Z982="","",IF($Z982&lt;=2000,IF(INDEX(包装物料出入库明细!$G$4:$G$2003,$Z982-0)=0,"",INDEX(包装物料出入库明细!$G$4:$G$2003,$Z982-0)),IF($Z982&lt;=4000,"个",IF($Z982&lt;=5200,"个",IF($Z982&lt;=5800,"个","")))))</f>
        <v/>
      </c>
      <c r="J982" s="30" t="str">
        <f t="shared" si="46"/>
        <v/>
      </c>
      <c r="K982" s="30" t="str">
        <f>IF($Z982="","",IF($Z982&lt;=2000,IF(INDEX(包装物料出入库明细!$N$4:$N$2003,$Z982-0)=0,"",INDEX(包装物料出入库明细!$N$4:$N$2003,$Z982-0)),IF($Z982&lt;=4000,IF(INDEX(周转筐出入库明细!$P$4:$P$2004,$Z982-2000)=0,"",INDEX(周转筐出入库明细!$P$4:$P$2004,$Z982-2000)),IF($Z982&lt;=5200,"",IF($Z982&lt;=5800,N(INDEX(次果筐明细!$L$4:$L$603,$Z982-5200))+N(INDEX(次果筐明细!$J$4:$J$603,$Z982-5200)),"")))))</f>
        <v/>
      </c>
      <c r="L982" s="24" t="str">
        <f>IF($Z982="","",IF($Z982&lt;=2000,IF(INDEX(包装物料出入库明细!$P$4:$P$2003,$Z982-0)=0,"",INDEX(包装物料出入库明细!$P$4:$P$2003,$Z982-0)),IF($Z982&lt;=4000,IF(INDEX(周转筐出入库明细!$Q$4:$Q$2004,$Z982-2000)=0,"",INDEX(周转筐出入库明细!$Q$4:$Q$2004,$Z982-2000)),IF($Z982&lt;=5200,"",IF($Z982&lt;=5800,IF(INDEX(次果筐明细!$M$4:$M$603,$Z982-5200)=0,"",INDEX(次果筐明细!$M$4:$M$603,$Z982-5200)),"")))))</f>
        <v/>
      </c>
      <c r="M982" s="37" t="str">
        <f>IF($Z982="","",IF($Z982&lt;=2000,IF(INDEX(包装物料出入库明细!$R$4:$R$2003,$Z982-0)=0,"",INDEX(包装物料出入库明细!$R$4:$R$2003,$Z982-0)),IF($Z982&lt;=4000,IF(INDEX(周转筐出入库明细!$W$4:$W$2004,$Z982-2000)=0,"",INDEX(周转筐出入库明细!$W$4:$W$2004,$Z982-2000)),IF($Z982&lt;=5200,IF(INDEX(客户自备加工筐明细!$L$4:$L$1203,$Z982-4000)=0,"",INDEX(客户自备加工筐明细!$L$4:$L$1203,$Z982-4000)),IF($Z982&lt;=5800,IF(INDEX(次果筐明细!$P$4:$P$603,$Z982-5200)=0,"",INDEX(次果筐明细!$P$4:$P$603,$Z982-5200)),"")))))</f>
        <v/>
      </c>
      <c r="N982" s="16" t="str">
        <f>IF($Z982="","",IF($Z982&lt;=2000,"",IF($Z982&lt;=4000,IF(INDEX(周转筐出入库明细!$D$4:$D$2004,$Z982-2000)=0,"",INDEX(周转筐出入库明细!$D$4:$D$2004,$Z982-2000)),IF($Z982&lt;=5200,IF(INDEX(客户自备加工筐明细!$C$4:$C$1203,$Z982-4000)=0,"",INDEX(客户自备加工筐明细!$C$4:$C$1203,$Z982-4000)),IF($Z982&lt;=5800,IF(INDEX(次果筐明细!$D$4:$D$603,$Z982-5200)=0,"",INDEX(次果筐明细!$D$4:$D$603,$Z982-5200)),"")))))</f>
        <v/>
      </c>
      <c r="O982" s="40" t="str">
        <f>IF($Z982="","",IF($Z982&lt;=2000,"",IF($Z982&lt;=4000,IF(N(INDEX(周转筐出入库明细!$J$4:$J$2004,$Z982-2000))+N(INDEX(周转筐出入库明细!$K$4:$K$2004,$Z982-2000))=0,"",N(INDEX(周转筐出入库明细!$J$4:$J$2004,$Z982-2000))+N(INDEX(周转筐出入库明细!$K$4:$K$2004,$Z982-2000))),IF($Z982&lt;=5200,IF(N(INDEX(客户自备加工筐明细!$G$4:$G$1203,$Z982-4000))=0,"",N(INDEX(客户自备加工筐明细!$G$4:$G$1203,$Z982-4000))),IF($Z982&lt;=5800,IF(ISNUMBER(SEARCH("退",INDEX(次果筐明细!$F$4:$F$603,$Z982-5200)&amp;"")),"",IF(N(INDEX(次果筐明细!$G$4:$G$603,$Z982-5200))=0,"",N(INDEX(次果筐明细!$G$4:$G$603,$Z982-5200)))),"")))))</f>
        <v/>
      </c>
      <c r="P982" s="40" t="str">
        <f>IF($Z982="","",IF($Z982&lt;=2000,"",IF($Z982&lt;=4000,IF(N(INDEX(周转筐出入库明细!$I$4:$I$2004,$Z982-2000))=0,"",N(INDEX(周转筐出入库明细!$I$4:$I$2004,$Z982-2000))),IF($Z982&lt;=5200,"",IF($Z982&lt;=5800,IF(ISNUMBER(SEARCH("退",INDEX(次果筐明细!$F$4:$F$603,$Z982-5200)&amp;"")),IF(N(INDEX(次果筐明细!$G$4:$G$603,$Z982-5200))=0,"",N(INDEX(次果筐明细!$G$4:$G$603,$Z982-5200))),""),"")))))</f>
        <v/>
      </c>
      <c r="Q982" s="40" t="str">
        <f>IF($Z982="","",IF($Z982&lt;=2000,"",IF($Z982&lt;=4000,IF(N(INDEX(周转筐出入库明细!$H$4:$H$2004,$Z982-2000))=0,"",N(INDEX(周转筐出入库明细!$H$4:$H$2004,$Z982-2000))),IF($Z982&lt;=5200,IF(N(INDEX(客户自备加工筐明细!$F$4:$F$1203,$Z982-4000))=0,"",N(INDEX(客户自备加工筐明细!$F$4:$F$1203,$Z982-4000))),IF($Z982&lt;=5800,"","")))))</f>
        <v/>
      </c>
      <c r="R982" s="16" t="str">
        <f>IF($Z982="","",IF($Z982&lt;=2000,IF(INDEX(包装物料出入库明细!$O$4:$O$2003,$Z982-0)=0,"",INDEX(包装物料出入库明细!$O$4:$O$2003,$Z982-0)),IF($Z982&lt;=4000,IF(INDEX(周转筐出入库明细!$M$4:$M$2004,$Z982-2000)=0,"",INDEX(周转筐出入库明细!$M$4:$M$2004,$Z982-2000)),IF($Z982&lt;=5200,IF(INDEX(客户自备加工筐明细!$H$4:$H$1203,$Z982-4000)=0,"",INDEX(客户自备加工筐明细!$H$4:$H$1203,$Z982-4000)),IF($Z982&lt;=5800,IF(INDEX(次果筐明细!$H$4:$H$603,$Z982-5200)=0,"",INDEX(次果筐明细!$H$4:$H$603,$Z982-5200)),"")))))</f>
        <v/>
      </c>
      <c r="S982" s="22" t="str">
        <f t="shared" si="47"/>
        <v/>
      </c>
      <c r="Z982" s="10" t="str">
        <f>IFERROR(MATCH(ROW()-3,_自动清单!$CQ$4:$CQ$5803,0),"")</f>
        <v/>
      </c>
    </row>
    <row r="983" spans="1:26">
      <c r="A983" s="24" t="str">
        <f t="shared" si="45"/>
        <v/>
      </c>
      <c r="B983" s="38" t="str">
        <f>IF($Z983="","",IF($Z983&lt;=2000,IF(INDEX(包装物料出入库明细!$B$4:$B$2003,$Z983-0)=0,"",INDEX(包装物料出入库明细!$B$4:$B$2003,$Z983-0)),IF($Z983&lt;=4000,IF(INDEX(周转筐出入库明细!$B$4:$B$2004,$Z983-2000)=0,"",INDEX(周转筐出入库明细!$B$4:$B$2004,$Z983-2000)),IF($Z983&lt;=5200,IF(INDEX(客户自备加工筐明细!$B$4:$B$1203,$Z983-4000)=0,"",INDEX(客户自备加工筐明细!$B$4:$B$1203,$Z983-4000)),IF($Z983&lt;=5800,IF(INDEX(次果筐明细!$B$4:$B$603,$Z983-5200)=0,"",INDEX(次果筐明细!$B$4:$B$603,$Z983-5200)),"")))))</f>
        <v/>
      </c>
      <c r="C983" s="37" t="str">
        <f>IF($Z983="","",IF($Z983&lt;=2000,IF(INDEX(包装物料出入库明细!$D$4:$D$2003,$Z983-0)=0,"",INDEX(包装物料出入库明细!$D$4:$D$2003,$Z983-0)),IF($Z983&lt;=4000,IF(INDEX(周转筐出入库明细!$C$4:$C$2004,$Z983-2000)=0,"",INDEX(周转筐出入库明细!$C$4:$C$2004,$Z983-2000)),IF($Z983&lt;=5200,IF(INDEX(客户自备加工筐明细!$E$4:$E$1203,$Z983-4000)=0,"",INDEX(客户自备加工筐明细!$E$4:$E$1203,$Z983-4000)),IF($Z983&lt;=5800,IF(INDEX(次果筐明细!$C$4:$C$603,$Z983-5200)=0,"",INDEX(次果筐明细!$C$4:$C$603,$Z983-5200)),"")))))</f>
        <v/>
      </c>
      <c r="D983" s="37" t="str">
        <f>IF($Z983="","",IF($Z983&lt;=2000,"包装物料－"&amp;INDEX(包装物料出入库明细!$H$4:$H$2003,$Z983-0),IF($Z983&lt;=4000,"周转筐－"&amp;INDEX(周转筐出入库明细!$F$4:$F$2004,$Z983-2000),IF($Z983&lt;=5200,"客户自备筐－"&amp;INDEX(客户自备加工筐明细!$J$4:$J$1203,$Z983-4000),IF($Z983&lt;=5800,"次果筐/托盘－"&amp;INDEX(次果筐明细!$F$4:$F$603,$Z983-5200),"")))))</f>
        <v/>
      </c>
      <c r="E983" s="24" t="str">
        <f>IF($Z983="","",IF($Z983&lt;=2000,IF(INDEX(包装物料出入库明细!$C$4:$C$2003,$Z983-0)=0,"",INDEX(包装物料出入库明细!$C$4:$C$2003,$Z983-0)),IF($Z983&lt;=4000,IF(INDEX(周转筐出入库明细!$E$4:$E$2004,$Z983-2000)=0,"",INDEX(周转筐出入库明细!$E$4:$E$2004,$Z983-2000)),IF($Z983&lt;=5200,IF(INDEX(客户自备加工筐明细!$D$4:$D$1203,$Z983-4000)=0,"",INDEX(客户自备加工筐明细!$D$4:$D$1203,$Z983-4000)),IF($Z983&lt;=5800,IF(INDEX(次果筐明细!$E$4:$E$603,$Z983-5200)=0,"",INDEX(次果筐明细!$E$4:$E$603,$Z983-5200)),"")))))</f>
        <v/>
      </c>
      <c r="F983" s="24" t="str">
        <f>IF($Z983="","",IF($Z983&lt;=2000,IF(INDEX(包装物料出入库明细!$E$4:$E$2003,$Z983-0)=0,"",INDEX(包装物料出入库明细!$E$4:$E$2003,$Z983-0)),IF($Z983&lt;=4000,IF(INDEX(周转筐出入库明细!$D$4:$D$2004,$Z983-2000)=0,"",INDEX(周转筐出入库明细!$D$4:$D$2004,$Z983-2000)),IF($Z983&lt;=5200,IF(INDEX(客户自备加工筐明细!$C$4:$C$1203,$Z983-4000)=0,"",INDEX(客户自备加工筐明细!$C$4:$C$1203,$Z983-4000)),IF($Z983&lt;=5800,IF(INDEX(次果筐明细!$D$4:$D$603,$Z983-5200)=0,"",INDEX(次果筐明细!$D$4:$D$603,$Z983-5200)),"")))))</f>
        <v/>
      </c>
      <c r="G983" s="24" t="str">
        <f>IF($Z983="","",IF($Z983&lt;=2000,IF(INDEX(包装物料出入库明细!$F$4:$F$2003,$Z983-0)=0,"",INDEX(包装物料出入库明细!$F$4:$F$2003,$Z983-0)),IF($Z983&lt;=4000,"",IF($Z983&lt;=5200,"",IF($Z983&lt;=5800,"","")))))</f>
        <v/>
      </c>
      <c r="H983" s="39" t="str">
        <f>IF($Z983="","",IF($Z983&lt;=2000,IF(INDEX(包装物料出入库明细!$L$4:$L$2003,$Z983-0)=0,"",INDEX(包装物料出入库明细!$L$4:$L$2003,$Z983-0)),IF($Z983&lt;=4000,N(INDEX(周转筐出入库明细!$H$4:$H$2004,$Z983-2000))+N(INDEX(周转筐出入库明细!$I$4:$I$2004,$Z983-2000))+N(INDEX(周转筐出入库明细!$J$4:$J$2004,$Z983-2000))+N(INDEX(周转筐出入库明细!$K$4:$K$2004,$Z983-2000)),IF($Z983&lt;=5200,N(INDEX(客户自备加工筐明细!$F$4:$F$1203,$Z983-4000))+N(INDEX(客户自备加工筐明细!$G$4:$G$1203,$Z983-4000)),IF($Z983&lt;=5800,IF(INDEX(次果筐明细!$G$4:$G$603,$Z983-5200)=0,"",INDEX(次果筐明细!$G$4:$G$603,$Z983-5200)),"")))))</f>
        <v/>
      </c>
      <c r="I983" s="24" t="str">
        <f>IF($Z983="","",IF($Z983&lt;=2000,IF(INDEX(包装物料出入库明细!$G$4:$G$2003,$Z983-0)=0,"",INDEX(包装物料出入库明细!$G$4:$G$2003,$Z983-0)),IF($Z983&lt;=4000,"个",IF($Z983&lt;=5200,"个",IF($Z983&lt;=5800,"个","")))))</f>
        <v/>
      </c>
      <c r="J983" s="30" t="str">
        <f t="shared" si="46"/>
        <v/>
      </c>
      <c r="K983" s="30" t="str">
        <f>IF($Z983="","",IF($Z983&lt;=2000,IF(INDEX(包装物料出入库明细!$N$4:$N$2003,$Z983-0)=0,"",INDEX(包装物料出入库明细!$N$4:$N$2003,$Z983-0)),IF($Z983&lt;=4000,IF(INDEX(周转筐出入库明细!$P$4:$P$2004,$Z983-2000)=0,"",INDEX(周转筐出入库明细!$P$4:$P$2004,$Z983-2000)),IF($Z983&lt;=5200,"",IF($Z983&lt;=5800,N(INDEX(次果筐明细!$L$4:$L$603,$Z983-5200))+N(INDEX(次果筐明细!$J$4:$J$603,$Z983-5200)),"")))))</f>
        <v/>
      </c>
      <c r="L983" s="24" t="str">
        <f>IF($Z983="","",IF($Z983&lt;=2000,IF(INDEX(包装物料出入库明细!$P$4:$P$2003,$Z983-0)=0,"",INDEX(包装物料出入库明细!$P$4:$P$2003,$Z983-0)),IF($Z983&lt;=4000,IF(INDEX(周转筐出入库明细!$Q$4:$Q$2004,$Z983-2000)=0,"",INDEX(周转筐出入库明细!$Q$4:$Q$2004,$Z983-2000)),IF($Z983&lt;=5200,"",IF($Z983&lt;=5800,IF(INDEX(次果筐明细!$M$4:$M$603,$Z983-5200)=0,"",INDEX(次果筐明细!$M$4:$M$603,$Z983-5200)),"")))))</f>
        <v/>
      </c>
      <c r="M983" s="37" t="str">
        <f>IF($Z983="","",IF($Z983&lt;=2000,IF(INDEX(包装物料出入库明细!$R$4:$R$2003,$Z983-0)=0,"",INDEX(包装物料出入库明细!$R$4:$R$2003,$Z983-0)),IF($Z983&lt;=4000,IF(INDEX(周转筐出入库明细!$W$4:$W$2004,$Z983-2000)=0,"",INDEX(周转筐出入库明细!$W$4:$W$2004,$Z983-2000)),IF($Z983&lt;=5200,IF(INDEX(客户自备加工筐明细!$L$4:$L$1203,$Z983-4000)=0,"",INDEX(客户自备加工筐明细!$L$4:$L$1203,$Z983-4000)),IF($Z983&lt;=5800,IF(INDEX(次果筐明细!$P$4:$P$603,$Z983-5200)=0,"",INDEX(次果筐明细!$P$4:$P$603,$Z983-5200)),"")))))</f>
        <v/>
      </c>
      <c r="N983" s="16" t="str">
        <f>IF($Z983="","",IF($Z983&lt;=2000,"",IF($Z983&lt;=4000,IF(INDEX(周转筐出入库明细!$D$4:$D$2004,$Z983-2000)=0,"",INDEX(周转筐出入库明细!$D$4:$D$2004,$Z983-2000)),IF($Z983&lt;=5200,IF(INDEX(客户自备加工筐明细!$C$4:$C$1203,$Z983-4000)=0,"",INDEX(客户自备加工筐明细!$C$4:$C$1203,$Z983-4000)),IF($Z983&lt;=5800,IF(INDEX(次果筐明细!$D$4:$D$603,$Z983-5200)=0,"",INDEX(次果筐明细!$D$4:$D$603,$Z983-5200)),"")))))</f>
        <v/>
      </c>
      <c r="O983" s="40" t="str">
        <f>IF($Z983="","",IF($Z983&lt;=2000,"",IF($Z983&lt;=4000,IF(N(INDEX(周转筐出入库明细!$J$4:$J$2004,$Z983-2000))+N(INDEX(周转筐出入库明细!$K$4:$K$2004,$Z983-2000))=0,"",N(INDEX(周转筐出入库明细!$J$4:$J$2004,$Z983-2000))+N(INDEX(周转筐出入库明细!$K$4:$K$2004,$Z983-2000))),IF($Z983&lt;=5200,IF(N(INDEX(客户自备加工筐明细!$G$4:$G$1203,$Z983-4000))=0,"",N(INDEX(客户自备加工筐明细!$G$4:$G$1203,$Z983-4000))),IF($Z983&lt;=5800,IF(ISNUMBER(SEARCH("退",INDEX(次果筐明细!$F$4:$F$603,$Z983-5200)&amp;"")),"",IF(N(INDEX(次果筐明细!$G$4:$G$603,$Z983-5200))=0,"",N(INDEX(次果筐明细!$G$4:$G$603,$Z983-5200)))),"")))))</f>
        <v/>
      </c>
      <c r="P983" s="40" t="str">
        <f>IF($Z983="","",IF($Z983&lt;=2000,"",IF($Z983&lt;=4000,IF(N(INDEX(周转筐出入库明细!$I$4:$I$2004,$Z983-2000))=0,"",N(INDEX(周转筐出入库明细!$I$4:$I$2004,$Z983-2000))),IF($Z983&lt;=5200,"",IF($Z983&lt;=5800,IF(ISNUMBER(SEARCH("退",INDEX(次果筐明细!$F$4:$F$603,$Z983-5200)&amp;"")),IF(N(INDEX(次果筐明细!$G$4:$G$603,$Z983-5200))=0,"",N(INDEX(次果筐明细!$G$4:$G$603,$Z983-5200))),""),"")))))</f>
        <v/>
      </c>
      <c r="Q983" s="40" t="str">
        <f>IF($Z983="","",IF($Z983&lt;=2000,"",IF($Z983&lt;=4000,IF(N(INDEX(周转筐出入库明细!$H$4:$H$2004,$Z983-2000))=0,"",N(INDEX(周转筐出入库明细!$H$4:$H$2004,$Z983-2000))),IF($Z983&lt;=5200,IF(N(INDEX(客户自备加工筐明细!$F$4:$F$1203,$Z983-4000))=0,"",N(INDEX(客户自备加工筐明细!$F$4:$F$1203,$Z983-4000))),IF($Z983&lt;=5800,"","")))))</f>
        <v/>
      </c>
      <c r="R983" s="16" t="str">
        <f>IF($Z983="","",IF($Z983&lt;=2000,IF(INDEX(包装物料出入库明细!$O$4:$O$2003,$Z983-0)=0,"",INDEX(包装物料出入库明细!$O$4:$O$2003,$Z983-0)),IF($Z983&lt;=4000,IF(INDEX(周转筐出入库明细!$M$4:$M$2004,$Z983-2000)=0,"",INDEX(周转筐出入库明细!$M$4:$M$2004,$Z983-2000)),IF($Z983&lt;=5200,IF(INDEX(客户自备加工筐明细!$H$4:$H$1203,$Z983-4000)=0,"",INDEX(客户自备加工筐明细!$H$4:$H$1203,$Z983-4000)),IF($Z983&lt;=5800,IF(INDEX(次果筐明细!$H$4:$H$603,$Z983-5200)=0,"",INDEX(次果筐明细!$H$4:$H$603,$Z983-5200)),"")))))</f>
        <v/>
      </c>
      <c r="S983" s="22" t="str">
        <f t="shared" si="47"/>
        <v/>
      </c>
      <c r="Z983" s="10" t="str">
        <f>IFERROR(MATCH(ROW()-3,_自动清单!$CQ$4:$CQ$5803,0),"")</f>
        <v/>
      </c>
    </row>
    <row r="984" spans="1:26">
      <c r="A984" s="24" t="str">
        <f t="shared" si="45"/>
        <v/>
      </c>
      <c r="B984" s="38" t="str">
        <f>IF($Z984="","",IF($Z984&lt;=2000,IF(INDEX(包装物料出入库明细!$B$4:$B$2003,$Z984-0)=0,"",INDEX(包装物料出入库明细!$B$4:$B$2003,$Z984-0)),IF($Z984&lt;=4000,IF(INDEX(周转筐出入库明细!$B$4:$B$2004,$Z984-2000)=0,"",INDEX(周转筐出入库明细!$B$4:$B$2004,$Z984-2000)),IF($Z984&lt;=5200,IF(INDEX(客户自备加工筐明细!$B$4:$B$1203,$Z984-4000)=0,"",INDEX(客户自备加工筐明细!$B$4:$B$1203,$Z984-4000)),IF($Z984&lt;=5800,IF(INDEX(次果筐明细!$B$4:$B$603,$Z984-5200)=0,"",INDEX(次果筐明细!$B$4:$B$603,$Z984-5200)),"")))))</f>
        <v/>
      </c>
      <c r="C984" s="37" t="str">
        <f>IF($Z984="","",IF($Z984&lt;=2000,IF(INDEX(包装物料出入库明细!$D$4:$D$2003,$Z984-0)=0,"",INDEX(包装物料出入库明细!$D$4:$D$2003,$Z984-0)),IF($Z984&lt;=4000,IF(INDEX(周转筐出入库明细!$C$4:$C$2004,$Z984-2000)=0,"",INDEX(周转筐出入库明细!$C$4:$C$2004,$Z984-2000)),IF($Z984&lt;=5200,IF(INDEX(客户自备加工筐明细!$E$4:$E$1203,$Z984-4000)=0,"",INDEX(客户自备加工筐明细!$E$4:$E$1203,$Z984-4000)),IF($Z984&lt;=5800,IF(INDEX(次果筐明细!$C$4:$C$603,$Z984-5200)=0,"",INDEX(次果筐明细!$C$4:$C$603,$Z984-5200)),"")))))</f>
        <v/>
      </c>
      <c r="D984" s="37" t="str">
        <f>IF($Z984="","",IF($Z984&lt;=2000,"包装物料－"&amp;INDEX(包装物料出入库明细!$H$4:$H$2003,$Z984-0),IF($Z984&lt;=4000,"周转筐－"&amp;INDEX(周转筐出入库明细!$F$4:$F$2004,$Z984-2000),IF($Z984&lt;=5200,"客户自备筐－"&amp;INDEX(客户自备加工筐明细!$J$4:$J$1203,$Z984-4000),IF($Z984&lt;=5800,"次果筐/托盘－"&amp;INDEX(次果筐明细!$F$4:$F$603,$Z984-5200),"")))))</f>
        <v/>
      </c>
      <c r="E984" s="24" t="str">
        <f>IF($Z984="","",IF($Z984&lt;=2000,IF(INDEX(包装物料出入库明细!$C$4:$C$2003,$Z984-0)=0,"",INDEX(包装物料出入库明细!$C$4:$C$2003,$Z984-0)),IF($Z984&lt;=4000,IF(INDEX(周转筐出入库明细!$E$4:$E$2004,$Z984-2000)=0,"",INDEX(周转筐出入库明细!$E$4:$E$2004,$Z984-2000)),IF($Z984&lt;=5200,IF(INDEX(客户自备加工筐明细!$D$4:$D$1203,$Z984-4000)=0,"",INDEX(客户自备加工筐明细!$D$4:$D$1203,$Z984-4000)),IF($Z984&lt;=5800,IF(INDEX(次果筐明细!$E$4:$E$603,$Z984-5200)=0,"",INDEX(次果筐明细!$E$4:$E$603,$Z984-5200)),"")))))</f>
        <v/>
      </c>
      <c r="F984" s="24" t="str">
        <f>IF($Z984="","",IF($Z984&lt;=2000,IF(INDEX(包装物料出入库明细!$E$4:$E$2003,$Z984-0)=0,"",INDEX(包装物料出入库明细!$E$4:$E$2003,$Z984-0)),IF($Z984&lt;=4000,IF(INDEX(周转筐出入库明细!$D$4:$D$2004,$Z984-2000)=0,"",INDEX(周转筐出入库明细!$D$4:$D$2004,$Z984-2000)),IF($Z984&lt;=5200,IF(INDEX(客户自备加工筐明细!$C$4:$C$1203,$Z984-4000)=0,"",INDEX(客户自备加工筐明细!$C$4:$C$1203,$Z984-4000)),IF($Z984&lt;=5800,IF(INDEX(次果筐明细!$D$4:$D$603,$Z984-5200)=0,"",INDEX(次果筐明细!$D$4:$D$603,$Z984-5200)),"")))))</f>
        <v/>
      </c>
      <c r="G984" s="24" t="str">
        <f>IF($Z984="","",IF($Z984&lt;=2000,IF(INDEX(包装物料出入库明细!$F$4:$F$2003,$Z984-0)=0,"",INDEX(包装物料出入库明细!$F$4:$F$2003,$Z984-0)),IF($Z984&lt;=4000,"",IF($Z984&lt;=5200,"",IF($Z984&lt;=5800,"","")))))</f>
        <v/>
      </c>
      <c r="H984" s="39" t="str">
        <f>IF($Z984="","",IF($Z984&lt;=2000,IF(INDEX(包装物料出入库明细!$L$4:$L$2003,$Z984-0)=0,"",INDEX(包装物料出入库明细!$L$4:$L$2003,$Z984-0)),IF($Z984&lt;=4000,N(INDEX(周转筐出入库明细!$H$4:$H$2004,$Z984-2000))+N(INDEX(周转筐出入库明细!$I$4:$I$2004,$Z984-2000))+N(INDEX(周转筐出入库明细!$J$4:$J$2004,$Z984-2000))+N(INDEX(周转筐出入库明细!$K$4:$K$2004,$Z984-2000)),IF($Z984&lt;=5200,N(INDEX(客户自备加工筐明细!$F$4:$F$1203,$Z984-4000))+N(INDEX(客户自备加工筐明细!$G$4:$G$1203,$Z984-4000)),IF($Z984&lt;=5800,IF(INDEX(次果筐明细!$G$4:$G$603,$Z984-5200)=0,"",INDEX(次果筐明细!$G$4:$G$603,$Z984-5200)),"")))))</f>
        <v/>
      </c>
      <c r="I984" s="24" t="str">
        <f>IF($Z984="","",IF($Z984&lt;=2000,IF(INDEX(包装物料出入库明细!$G$4:$G$2003,$Z984-0)=0,"",INDEX(包装物料出入库明细!$G$4:$G$2003,$Z984-0)),IF($Z984&lt;=4000,"个",IF($Z984&lt;=5200,"个",IF($Z984&lt;=5800,"个","")))))</f>
        <v/>
      </c>
      <c r="J984" s="30" t="str">
        <f t="shared" si="46"/>
        <v/>
      </c>
      <c r="K984" s="30" t="str">
        <f>IF($Z984="","",IF($Z984&lt;=2000,IF(INDEX(包装物料出入库明细!$N$4:$N$2003,$Z984-0)=0,"",INDEX(包装物料出入库明细!$N$4:$N$2003,$Z984-0)),IF($Z984&lt;=4000,IF(INDEX(周转筐出入库明细!$P$4:$P$2004,$Z984-2000)=0,"",INDEX(周转筐出入库明细!$P$4:$P$2004,$Z984-2000)),IF($Z984&lt;=5200,"",IF($Z984&lt;=5800,N(INDEX(次果筐明细!$L$4:$L$603,$Z984-5200))+N(INDEX(次果筐明细!$J$4:$J$603,$Z984-5200)),"")))))</f>
        <v/>
      </c>
      <c r="L984" s="24" t="str">
        <f>IF($Z984="","",IF($Z984&lt;=2000,IF(INDEX(包装物料出入库明细!$P$4:$P$2003,$Z984-0)=0,"",INDEX(包装物料出入库明细!$P$4:$P$2003,$Z984-0)),IF($Z984&lt;=4000,IF(INDEX(周转筐出入库明细!$Q$4:$Q$2004,$Z984-2000)=0,"",INDEX(周转筐出入库明细!$Q$4:$Q$2004,$Z984-2000)),IF($Z984&lt;=5200,"",IF($Z984&lt;=5800,IF(INDEX(次果筐明细!$M$4:$M$603,$Z984-5200)=0,"",INDEX(次果筐明细!$M$4:$M$603,$Z984-5200)),"")))))</f>
        <v/>
      </c>
      <c r="M984" s="37" t="str">
        <f>IF($Z984="","",IF($Z984&lt;=2000,IF(INDEX(包装物料出入库明细!$R$4:$R$2003,$Z984-0)=0,"",INDEX(包装物料出入库明细!$R$4:$R$2003,$Z984-0)),IF($Z984&lt;=4000,IF(INDEX(周转筐出入库明细!$W$4:$W$2004,$Z984-2000)=0,"",INDEX(周转筐出入库明细!$W$4:$W$2004,$Z984-2000)),IF($Z984&lt;=5200,IF(INDEX(客户自备加工筐明细!$L$4:$L$1203,$Z984-4000)=0,"",INDEX(客户自备加工筐明细!$L$4:$L$1203,$Z984-4000)),IF($Z984&lt;=5800,IF(INDEX(次果筐明细!$P$4:$P$603,$Z984-5200)=0,"",INDEX(次果筐明细!$P$4:$P$603,$Z984-5200)),"")))))</f>
        <v/>
      </c>
      <c r="N984" s="16" t="str">
        <f>IF($Z984="","",IF($Z984&lt;=2000,"",IF($Z984&lt;=4000,IF(INDEX(周转筐出入库明细!$D$4:$D$2004,$Z984-2000)=0,"",INDEX(周转筐出入库明细!$D$4:$D$2004,$Z984-2000)),IF($Z984&lt;=5200,IF(INDEX(客户自备加工筐明细!$C$4:$C$1203,$Z984-4000)=0,"",INDEX(客户自备加工筐明细!$C$4:$C$1203,$Z984-4000)),IF($Z984&lt;=5800,IF(INDEX(次果筐明细!$D$4:$D$603,$Z984-5200)=0,"",INDEX(次果筐明细!$D$4:$D$603,$Z984-5200)),"")))))</f>
        <v/>
      </c>
      <c r="O984" s="40" t="str">
        <f>IF($Z984="","",IF($Z984&lt;=2000,"",IF($Z984&lt;=4000,IF(N(INDEX(周转筐出入库明细!$J$4:$J$2004,$Z984-2000))+N(INDEX(周转筐出入库明细!$K$4:$K$2004,$Z984-2000))=0,"",N(INDEX(周转筐出入库明细!$J$4:$J$2004,$Z984-2000))+N(INDEX(周转筐出入库明细!$K$4:$K$2004,$Z984-2000))),IF($Z984&lt;=5200,IF(N(INDEX(客户自备加工筐明细!$G$4:$G$1203,$Z984-4000))=0,"",N(INDEX(客户自备加工筐明细!$G$4:$G$1203,$Z984-4000))),IF($Z984&lt;=5800,IF(ISNUMBER(SEARCH("退",INDEX(次果筐明细!$F$4:$F$603,$Z984-5200)&amp;"")),"",IF(N(INDEX(次果筐明细!$G$4:$G$603,$Z984-5200))=0,"",N(INDEX(次果筐明细!$G$4:$G$603,$Z984-5200)))),"")))))</f>
        <v/>
      </c>
      <c r="P984" s="40" t="str">
        <f>IF($Z984="","",IF($Z984&lt;=2000,"",IF($Z984&lt;=4000,IF(N(INDEX(周转筐出入库明细!$I$4:$I$2004,$Z984-2000))=0,"",N(INDEX(周转筐出入库明细!$I$4:$I$2004,$Z984-2000))),IF($Z984&lt;=5200,"",IF($Z984&lt;=5800,IF(ISNUMBER(SEARCH("退",INDEX(次果筐明细!$F$4:$F$603,$Z984-5200)&amp;"")),IF(N(INDEX(次果筐明细!$G$4:$G$603,$Z984-5200))=0,"",N(INDEX(次果筐明细!$G$4:$G$603,$Z984-5200))),""),"")))))</f>
        <v/>
      </c>
      <c r="Q984" s="40" t="str">
        <f>IF($Z984="","",IF($Z984&lt;=2000,"",IF($Z984&lt;=4000,IF(N(INDEX(周转筐出入库明细!$H$4:$H$2004,$Z984-2000))=0,"",N(INDEX(周转筐出入库明细!$H$4:$H$2004,$Z984-2000))),IF($Z984&lt;=5200,IF(N(INDEX(客户自备加工筐明细!$F$4:$F$1203,$Z984-4000))=0,"",N(INDEX(客户自备加工筐明细!$F$4:$F$1203,$Z984-4000))),IF($Z984&lt;=5800,"","")))))</f>
        <v/>
      </c>
      <c r="R984" s="16" t="str">
        <f>IF($Z984="","",IF($Z984&lt;=2000,IF(INDEX(包装物料出入库明细!$O$4:$O$2003,$Z984-0)=0,"",INDEX(包装物料出入库明细!$O$4:$O$2003,$Z984-0)),IF($Z984&lt;=4000,IF(INDEX(周转筐出入库明细!$M$4:$M$2004,$Z984-2000)=0,"",INDEX(周转筐出入库明细!$M$4:$M$2004,$Z984-2000)),IF($Z984&lt;=5200,IF(INDEX(客户自备加工筐明细!$H$4:$H$1203,$Z984-4000)=0,"",INDEX(客户自备加工筐明细!$H$4:$H$1203,$Z984-4000)),IF($Z984&lt;=5800,IF(INDEX(次果筐明细!$H$4:$H$603,$Z984-5200)=0,"",INDEX(次果筐明细!$H$4:$H$603,$Z984-5200)),"")))))</f>
        <v/>
      </c>
      <c r="S984" s="22" t="str">
        <f t="shared" si="47"/>
        <v/>
      </c>
      <c r="Z984" s="10" t="str">
        <f>IFERROR(MATCH(ROW()-3,_自动清单!$CQ$4:$CQ$5803,0),"")</f>
        <v/>
      </c>
    </row>
    <row r="985" spans="1:26">
      <c r="A985" s="24" t="str">
        <f t="shared" si="45"/>
        <v/>
      </c>
      <c r="B985" s="38" t="str">
        <f>IF($Z985="","",IF($Z985&lt;=2000,IF(INDEX(包装物料出入库明细!$B$4:$B$2003,$Z985-0)=0,"",INDEX(包装物料出入库明细!$B$4:$B$2003,$Z985-0)),IF($Z985&lt;=4000,IF(INDEX(周转筐出入库明细!$B$4:$B$2004,$Z985-2000)=0,"",INDEX(周转筐出入库明细!$B$4:$B$2004,$Z985-2000)),IF($Z985&lt;=5200,IF(INDEX(客户自备加工筐明细!$B$4:$B$1203,$Z985-4000)=0,"",INDEX(客户自备加工筐明细!$B$4:$B$1203,$Z985-4000)),IF($Z985&lt;=5800,IF(INDEX(次果筐明细!$B$4:$B$603,$Z985-5200)=0,"",INDEX(次果筐明细!$B$4:$B$603,$Z985-5200)),"")))))</f>
        <v/>
      </c>
      <c r="C985" s="37" t="str">
        <f>IF($Z985="","",IF($Z985&lt;=2000,IF(INDEX(包装物料出入库明细!$D$4:$D$2003,$Z985-0)=0,"",INDEX(包装物料出入库明细!$D$4:$D$2003,$Z985-0)),IF($Z985&lt;=4000,IF(INDEX(周转筐出入库明细!$C$4:$C$2004,$Z985-2000)=0,"",INDEX(周转筐出入库明细!$C$4:$C$2004,$Z985-2000)),IF($Z985&lt;=5200,IF(INDEX(客户自备加工筐明细!$E$4:$E$1203,$Z985-4000)=0,"",INDEX(客户自备加工筐明细!$E$4:$E$1203,$Z985-4000)),IF($Z985&lt;=5800,IF(INDEX(次果筐明细!$C$4:$C$603,$Z985-5200)=0,"",INDEX(次果筐明细!$C$4:$C$603,$Z985-5200)),"")))))</f>
        <v/>
      </c>
      <c r="D985" s="37" t="str">
        <f>IF($Z985="","",IF($Z985&lt;=2000,"包装物料－"&amp;INDEX(包装物料出入库明细!$H$4:$H$2003,$Z985-0),IF($Z985&lt;=4000,"周转筐－"&amp;INDEX(周转筐出入库明细!$F$4:$F$2004,$Z985-2000),IF($Z985&lt;=5200,"客户自备筐－"&amp;INDEX(客户自备加工筐明细!$J$4:$J$1203,$Z985-4000),IF($Z985&lt;=5800,"次果筐/托盘－"&amp;INDEX(次果筐明细!$F$4:$F$603,$Z985-5200),"")))))</f>
        <v/>
      </c>
      <c r="E985" s="24" t="str">
        <f>IF($Z985="","",IF($Z985&lt;=2000,IF(INDEX(包装物料出入库明细!$C$4:$C$2003,$Z985-0)=0,"",INDEX(包装物料出入库明细!$C$4:$C$2003,$Z985-0)),IF($Z985&lt;=4000,IF(INDEX(周转筐出入库明细!$E$4:$E$2004,$Z985-2000)=0,"",INDEX(周转筐出入库明细!$E$4:$E$2004,$Z985-2000)),IF($Z985&lt;=5200,IF(INDEX(客户自备加工筐明细!$D$4:$D$1203,$Z985-4000)=0,"",INDEX(客户自备加工筐明细!$D$4:$D$1203,$Z985-4000)),IF($Z985&lt;=5800,IF(INDEX(次果筐明细!$E$4:$E$603,$Z985-5200)=0,"",INDEX(次果筐明细!$E$4:$E$603,$Z985-5200)),"")))))</f>
        <v/>
      </c>
      <c r="F985" s="24" t="str">
        <f>IF($Z985="","",IF($Z985&lt;=2000,IF(INDEX(包装物料出入库明细!$E$4:$E$2003,$Z985-0)=0,"",INDEX(包装物料出入库明细!$E$4:$E$2003,$Z985-0)),IF($Z985&lt;=4000,IF(INDEX(周转筐出入库明细!$D$4:$D$2004,$Z985-2000)=0,"",INDEX(周转筐出入库明细!$D$4:$D$2004,$Z985-2000)),IF($Z985&lt;=5200,IF(INDEX(客户自备加工筐明细!$C$4:$C$1203,$Z985-4000)=0,"",INDEX(客户自备加工筐明细!$C$4:$C$1203,$Z985-4000)),IF($Z985&lt;=5800,IF(INDEX(次果筐明细!$D$4:$D$603,$Z985-5200)=0,"",INDEX(次果筐明细!$D$4:$D$603,$Z985-5200)),"")))))</f>
        <v/>
      </c>
      <c r="G985" s="24" t="str">
        <f>IF($Z985="","",IF($Z985&lt;=2000,IF(INDEX(包装物料出入库明细!$F$4:$F$2003,$Z985-0)=0,"",INDEX(包装物料出入库明细!$F$4:$F$2003,$Z985-0)),IF($Z985&lt;=4000,"",IF($Z985&lt;=5200,"",IF($Z985&lt;=5800,"","")))))</f>
        <v/>
      </c>
      <c r="H985" s="39" t="str">
        <f>IF($Z985="","",IF($Z985&lt;=2000,IF(INDEX(包装物料出入库明细!$L$4:$L$2003,$Z985-0)=0,"",INDEX(包装物料出入库明细!$L$4:$L$2003,$Z985-0)),IF($Z985&lt;=4000,N(INDEX(周转筐出入库明细!$H$4:$H$2004,$Z985-2000))+N(INDEX(周转筐出入库明细!$I$4:$I$2004,$Z985-2000))+N(INDEX(周转筐出入库明细!$J$4:$J$2004,$Z985-2000))+N(INDEX(周转筐出入库明细!$K$4:$K$2004,$Z985-2000)),IF($Z985&lt;=5200,N(INDEX(客户自备加工筐明细!$F$4:$F$1203,$Z985-4000))+N(INDEX(客户自备加工筐明细!$G$4:$G$1203,$Z985-4000)),IF($Z985&lt;=5800,IF(INDEX(次果筐明细!$G$4:$G$603,$Z985-5200)=0,"",INDEX(次果筐明细!$G$4:$G$603,$Z985-5200)),"")))))</f>
        <v/>
      </c>
      <c r="I985" s="24" t="str">
        <f>IF($Z985="","",IF($Z985&lt;=2000,IF(INDEX(包装物料出入库明细!$G$4:$G$2003,$Z985-0)=0,"",INDEX(包装物料出入库明细!$G$4:$G$2003,$Z985-0)),IF($Z985&lt;=4000,"个",IF($Z985&lt;=5200,"个",IF($Z985&lt;=5800,"个","")))))</f>
        <v/>
      </c>
      <c r="J985" s="30" t="str">
        <f t="shared" si="46"/>
        <v/>
      </c>
      <c r="K985" s="30" t="str">
        <f>IF($Z985="","",IF($Z985&lt;=2000,IF(INDEX(包装物料出入库明细!$N$4:$N$2003,$Z985-0)=0,"",INDEX(包装物料出入库明细!$N$4:$N$2003,$Z985-0)),IF($Z985&lt;=4000,IF(INDEX(周转筐出入库明细!$P$4:$P$2004,$Z985-2000)=0,"",INDEX(周转筐出入库明细!$P$4:$P$2004,$Z985-2000)),IF($Z985&lt;=5200,"",IF($Z985&lt;=5800,N(INDEX(次果筐明细!$L$4:$L$603,$Z985-5200))+N(INDEX(次果筐明细!$J$4:$J$603,$Z985-5200)),"")))))</f>
        <v/>
      </c>
      <c r="L985" s="24" t="str">
        <f>IF($Z985="","",IF($Z985&lt;=2000,IF(INDEX(包装物料出入库明细!$P$4:$P$2003,$Z985-0)=0,"",INDEX(包装物料出入库明细!$P$4:$P$2003,$Z985-0)),IF($Z985&lt;=4000,IF(INDEX(周转筐出入库明细!$Q$4:$Q$2004,$Z985-2000)=0,"",INDEX(周转筐出入库明细!$Q$4:$Q$2004,$Z985-2000)),IF($Z985&lt;=5200,"",IF($Z985&lt;=5800,IF(INDEX(次果筐明细!$M$4:$M$603,$Z985-5200)=0,"",INDEX(次果筐明细!$M$4:$M$603,$Z985-5200)),"")))))</f>
        <v/>
      </c>
      <c r="M985" s="37" t="str">
        <f>IF($Z985="","",IF($Z985&lt;=2000,IF(INDEX(包装物料出入库明细!$R$4:$R$2003,$Z985-0)=0,"",INDEX(包装物料出入库明细!$R$4:$R$2003,$Z985-0)),IF($Z985&lt;=4000,IF(INDEX(周转筐出入库明细!$W$4:$W$2004,$Z985-2000)=0,"",INDEX(周转筐出入库明细!$W$4:$W$2004,$Z985-2000)),IF($Z985&lt;=5200,IF(INDEX(客户自备加工筐明细!$L$4:$L$1203,$Z985-4000)=0,"",INDEX(客户自备加工筐明细!$L$4:$L$1203,$Z985-4000)),IF($Z985&lt;=5800,IF(INDEX(次果筐明细!$P$4:$P$603,$Z985-5200)=0,"",INDEX(次果筐明细!$P$4:$P$603,$Z985-5200)),"")))))</f>
        <v/>
      </c>
      <c r="N985" s="16" t="str">
        <f>IF($Z985="","",IF($Z985&lt;=2000,"",IF($Z985&lt;=4000,IF(INDEX(周转筐出入库明细!$D$4:$D$2004,$Z985-2000)=0,"",INDEX(周转筐出入库明细!$D$4:$D$2004,$Z985-2000)),IF($Z985&lt;=5200,IF(INDEX(客户自备加工筐明细!$C$4:$C$1203,$Z985-4000)=0,"",INDEX(客户自备加工筐明细!$C$4:$C$1203,$Z985-4000)),IF($Z985&lt;=5800,IF(INDEX(次果筐明细!$D$4:$D$603,$Z985-5200)=0,"",INDEX(次果筐明细!$D$4:$D$603,$Z985-5200)),"")))))</f>
        <v/>
      </c>
      <c r="O985" s="40" t="str">
        <f>IF($Z985="","",IF($Z985&lt;=2000,"",IF($Z985&lt;=4000,IF(N(INDEX(周转筐出入库明细!$J$4:$J$2004,$Z985-2000))+N(INDEX(周转筐出入库明细!$K$4:$K$2004,$Z985-2000))=0,"",N(INDEX(周转筐出入库明细!$J$4:$J$2004,$Z985-2000))+N(INDEX(周转筐出入库明细!$K$4:$K$2004,$Z985-2000))),IF($Z985&lt;=5200,IF(N(INDEX(客户自备加工筐明细!$G$4:$G$1203,$Z985-4000))=0,"",N(INDEX(客户自备加工筐明细!$G$4:$G$1203,$Z985-4000))),IF($Z985&lt;=5800,IF(ISNUMBER(SEARCH("退",INDEX(次果筐明细!$F$4:$F$603,$Z985-5200)&amp;"")),"",IF(N(INDEX(次果筐明细!$G$4:$G$603,$Z985-5200))=0,"",N(INDEX(次果筐明细!$G$4:$G$603,$Z985-5200)))),"")))))</f>
        <v/>
      </c>
      <c r="P985" s="40" t="str">
        <f>IF($Z985="","",IF($Z985&lt;=2000,"",IF($Z985&lt;=4000,IF(N(INDEX(周转筐出入库明细!$I$4:$I$2004,$Z985-2000))=0,"",N(INDEX(周转筐出入库明细!$I$4:$I$2004,$Z985-2000))),IF($Z985&lt;=5200,"",IF($Z985&lt;=5800,IF(ISNUMBER(SEARCH("退",INDEX(次果筐明细!$F$4:$F$603,$Z985-5200)&amp;"")),IF(N(INDEX(次果筐明细!$G$4:$G$603,$Z985-5200))=0,"",N(INDEX(次果筐明细!$G$4:$G$603,$Z985-5200))),""),"")))))</f>
        <v/>
      </c>
      <c r="Q985" s="40" t="str">
        <f>IF($Z985="","",IF($Z985&lt;=2000,"",IF($Z985&lt;=4000,IF(N(INDEX(周转筐出入库明细!$H$4:$H$2004,$Z985-2000))=0,"",N(INDEX(周转筐出入库明细!$H$4:$H$2004,$Z985-2000))),IF($Z985&lt;=5200,IF(N(INDEX(客户自备加工筐明细!$F$4:$F$1203,$Z985-4000))=0,"",N(INDEX(客户自备加工筐明细!$F$4:$F$1203,$Z985-4000))),IF($Z985&lt;=5800,"","")))))</f>
        <v/>
      </c>
      <c r="R985" s="16" t="str">
        <f>IF($Z985="","",IF($Z985&lt;=2000,IF(INDEX(包装物料出入库明细!$O$4:$O$2003,$Z985-0)=0,"",INDEX(包装物料出入库明细!$O$4:$O$2003,$Z985-0)),IF($Z985&lt;=4000,IF(INDEX(周转筐出入库明细!$M$4:$M$2004,$Z985-2000)=0,"",INDEX(周转筐出入库明细!$M$4:$M$2004,$Z985-2000)),IF($Z985&lt;=5200,IF(INDEX(客户自备加工筐明细!$H$4:$H$1203,$Z985-4000)=0,"",INDEX(客户自备加工筐明细!$H$4:$H$1203,$Z985-4000)),IF($Z985&lt;=5800,IF(INDEX(次果筐明细!$H$4:$H$603,$Z985-5200)=0,"",INDEX(次果筐明细!$H$4:$H$603,$Z985-5200)),"")))))</f>
        <v/>
      </c>
      <c r="S985" s="22" t="str">
        <f t="shared" si="47"/>
        <v/>
      </c>
      <c r="Z985" s="10" t="str">
        <f>IFERROR(MATCH(ROW()-3,_自动清单!$CQ$4:$CQ$5803,0),"")</f>
        <v/>
      </c>
    </row>
    <row r="986" spans="1:26">
      <c r="A986" s="24" t="str">
        <f t="shared" si="45"/>
        <v/>
      </c>
      <c r="B986" s="38" t="str">
        <f>IF($Z986="","",IF($Z986&lt;=2000,IF(INDEX(包装物料出入库明细!$B$4:$B$2003,$Z986-0)=0,"",INDEX(包装物料出入库明细!$B$4:$B$2003,$Z986-0)),IF($Z986&lt;=4000,IF(INDEX(周转筐出入库明细!$B$4:$B$2004,$Z986-2000)=0,"",INDEX(周转筐出入库明细!$B$4:$B$2004,$Z986-2000)),IF($Z986&lt;=5200,IF(INDEX(客户自备加工筐明细!$B$4:$B$1203,$Z986-4000)=0,"",INDEX(客户自备加工筐明细!$B$4:$B$1203,$Z986-4000)),IF($Z986&lt;=5800,IF(INDEX(次果筐明细!$B$4:$B$603,$Z986-5200)=0,"",INDEX(次果筐明细!$B$4:$B$603,$Z986-5200)),"")))))</f>
        <v/>
      </c>
      <c r="C986" s="37" t="str">
        <f>IF($Z986="","",IF($Z986&lt;=2000,IF(INDEX(包装物料出入库明细!$D$4:$D$2003,$Z986-0)=0,"",INDEX(包装物料出入库明细!$D$4:$D$2003,$Z986-0)),IF($Z986&lt;=4000,IF(INDEX(周转筐出入库明细!$C$4:$C$2004,$Z986-2000)=0,"",INDEX(周转筐出入库明细!$C$4:$C$2004,$Z986-2000)),IF($Z986&lt;=5200,IF(INDEX(客户自备加工筐明细!$E$4:$E$1203,$Z986-4000)=0,"",INDEX(客户自备加工筐明细!$E$4:$E$1203,$Z986-4000)),IF($Z986&lt;=5800,IF(INDEX(次果筐明细!$C$4:$C$603,$Z986-5200)=0,"",INDEX(次果筐明细!$C$4:$C$603,$Z986-5200)),"")))))</f>
        <v/>
      </c>
      <c r="D986" s="37" t="str">
        <f>IF($Z986="","",IF($Z986&lt;=2000,"包装物料－"&amp;INDEX(包装物料出入库明细!$H$4:$H$2003,$Z986-0),IF($Z986&lt;=4000,"周转筐－"&amp;INDEX(周转筐出入库明细!$F$4:$F$2004,$Z986-2000),IF($Z986&lt;=5200,"客户自备筐－"&amp;INDEX(客户自备加工筐明细!$J$4:$J$1203,$Z986-4000),IF($Z986&lt;=5800,"次果筐/托盘－"&amp;INDEX(次果筐明细!$F$4:$F$603,$Z986-5200),"")))))</f>
        <v/>
      </c>
      <c r="E986" s="24" t="str">
        <f>IF($Z986="","",IF($Z986&lt;=2000,IF(INDEX(包装物料出入库明细!$C$4:$C$2003,$Z986-0)=0,"",INDEX(包装物料出入库明细!$C$4:$C$2003,$Z986-0)),IF($Z986&lt;=4000,IF(INDEX(周转筐出入库明细!$E$4:$E$2004,$Z986-2000)=0,"",INDEX(周转筐出入库明细!$E$4:$E$2004,$Z986-2000)),IF($Z986&lt;=5200,IF(INDEX(客户自备加工筐明细!$D$4:$D$1203,$Z986-4000)=0,"",INDEX(客户自备加工筐明细!$D$4:$D$1203,$Z986-4000)),IF($Z986&lt;=5800,IF(INDEX(次果筐明细!$E$4:$E$603,$Z986-5200)=0,"",INDEX(次果筐明细!$E$4:$E$603,$Z986-5200)),"")))))</f>
        <v/>
      </c>
      <c r="F986" s="24" t="str">
        <f>IF($Z986="","",IF($Z986&lt;=2000,IF(INDEX(包装物料出入库明细!$E$4:$E$2003,$Z986-0)=0,"",INDEX(包装物料出入库明细!$E$4:$E$2003,$Z986-0)),IF($Z986&lt;=4000,IF(INDEX(周转筐出入库明细!$D$4:$D$2004,$Z986-2000)=0,"",INDEX(周转筐出入库明细!$D$4:$D$2004,$Z986-2000)),IF($Z986&lt;=5200,IF(INDEX(客户自备加工筐明细!$C$4:$C$1203,$Z986-4000)=0,"",INDEX(客户自备加工筐明细!$C$4:$C$1203,$Z986-4000)),IF($Z986&lt;=5800,IF(INDEX(次果筐明细!$D$4:$D$603,$Z986-5200)=0,"",INDEX(次果筐明细!$D$4:$D$603,$Z986-5200)),"")))))</f>
        <v/>
      </c>
      <c r="G986" s="24" t="str">
        <f>IF($Z986="","",IF($Z986&lt;=2000,IF(INDEX(包装物料出入库明细!$F$4:$F$2003,$Z986-0)=0,"",INDEX(包装物料出入库明细!$F$4:$F$2003,$Z986-0)),IF($Z986&lt;=4000,"",IF($Z986&lt;=5200,"",IF($Z986&lt;=5800,"","")))))</f>
        <v/>
      </c>
      <c r="H986" s="39" t="str">
        <f>IF($Z986="","",IF($Z986&lt;=2000,IF(INDEX(包装物料出入库明细!$L$4:$L$2003,$Z986-0)=0,"",INDEX(包装物料出入库明细!$L$4:$L$2003,$Z986-0)),IF($Z986&lt;=4000,N(INDEX(周转筐出入库明细!$H$4:$H$2004,$Z986-2000))+N(INDEX(周转筐出入库明细!$I$4:$I$2004,$Z986-2000))+N(INDEX(周转筐出入库明细!$J$4:$J$2004,$Z986-2000))+N(INDEX(周转筐出入库明细!$K$4:$K$2004,$Z986-2000)),IF($Z986&lt;=5200,N(INDEX(客户自备加工筐明细!$F$4:$F$1203,$Z986-4000))+N(INDEX(客户自备加工筐明细!$G$4:$G$1203,$Z986-4000)),IF($Z986&lt;=5800,IF(INDEX(次果筐明细!$G$4:$G$603,$Z986-5200)=0,"",INDEX(次果筐明细!$G$4:$G$603,$Z986-5200)),"")))))</f>
        <v/>
      </c>
      <c r="I986" s="24" t="str">
        <f>IF($Z986="","",IF($Z986&lt;=2000,IF(INDEX(包装物料出入库明细!$G$4:$G$2003,$Z986-0)=0,"",INDEX(包装物料出入库明细!$G$4:$G$2003,$Z986-0)),IF($Z986&lt;=4000,"个",IF($Z986&lt;=5200,"个",IF($Z986&lt;=5800,"个","")))))</f>
        <v/>
      </c>
      <c r="J986" s="30" t="str">
        <f t="shared" si="46"/>
        <v/>
      </c>
      <c r="K986" s="30" t="str">
        <f>IF($Z986="","",IF($Z986&lt;=2000,IF(INDEX(包装物料出入库明细!$N$4:$N$2003,$Z986-0)=0,"",INDEX(包装物料出入库明细!$N$4:$N$2003,$Z986-0)),IF($Z986&lt;=4000,IF(INDEX(周转筐出入库明细!$P$4:$P$2004,$Z986-2000)=0,"",INDEX(周转筐出入库明细!$P$4:$P$2004,$Z986-2000)),IF($Z986&lt;=5200,"",IF($Z986&lt;=5800,N(INDEX(次果筐明细!$L$4:$L$603,$Z986-5200))+N(INDEX(次果筐明细!$J$4:$J$603,$Z986-5200)),"")))))</f>
        <v/>
      </c>
      <c r="L986" s="24" t="str">
        <f>IF($Z986="","",IF($Z986&lt;=2000,IF(INDEX(包装物料出入库明细!$P$4:$P$2003,$Z986-0)=0,"",INDEX(包装物料出入库明细!$P$4:$P$2003,$Z986-0)),IF($Z986&lt;=4000,IF(INDEX(周转筐出入库明细!$Q$4:$Q$2004,$Z986-2000)=0,"",INDEX(周转筐出入库明细!$Q$4:$Q$2004,$Z986-2000)),IF($Z986&lt;=5200,"",IF($Z986&lt;=5800,IF(INDEX(次果筐明细!$M$4:$M$603,$Z986-5200)=0,"",INDEX(次果筐明细!$M$4:$M$603,$Z986-5200)),"")))))</f>
        <v/>
      </c>
      <c r="M986" s="37" t="str">
        <f>IF($Z986="","",IF($Z986&lt;=2000,IF(INDEX(包装物料出入库明细!$R$4:$R$2003,$Z986-0)=0,"",INDEX(包装物料出入库明细!$R$4:$R$2003,$Z986-0)),IF($Z986&lt;=4000,IF(INDEX(周转筐出入库明细!$W$4:$W$2004,$Z986-2000)=0,"",INDEX(周转筐出入库明细!$W$4:$W$2004,$Z986-2000)),IF($Z986&lt;=5200,IF(INDEX(客户自备加工筐明细!$L$4:$L$1203,$Z986-4000)=0,"",INDEX(客户自备加工筐明细!$L$4:$L$1203,$Z986-4000)),IF($Z986&lt;=5800,IF(INDEX(次果筐明细!$P$4:$P$603,$Z986-5200)=0,"",INDEX(次果筐明细!$P$4:$P$603,$Z986-5200)),"")))))</f>
        <v/>
      </c>
      <c r="N986" s="16" t="str">
        <f>IF($Z986="","",IF($Z986&lt;=2000,"",IF($Z986&lt;=4000,IF(INDEX(周转筐出入库明细!$D$4:$D$2004,$Z986-2000)=0,"",INDEX(周转筐出入库明细!$D$4:$D$2004,$Z986-2000)),IF($Z986&lt;=5200,IF(INDEX(客户自备加工筐明细!$C$4:$C$1203,$Z986-4000)=0,"",INDEX(客户自备加工筐明细!$C$4:$C$1203,$Z986-4000)),IF($Z986&lt;=5800,IF(INDEX(次果筐明细!$D$4:$D$603,$Z986-5200)=0,"",INDEX(次果筐明细!$D$4:$D$603,$Z986-5200)),"")))))</f>
        <v/>
      </c>
      <c r="O986" s="40" t="str">
        <f>IF($Z986="","",IF($Z986&lt;=2000,"",IF($Z986&lt;=4000,IF(N(INDEX(周转筐出入库明细!$J$4:$J$2004,$Z986-2000))+N(INDEX(周转筐出入库明细!$K$4:$K$2004,$Z986-2000))=0,"",N(INDEX(周转筐出入库明细!$J$4:$J$2004,$Z986-2000))+N(INDEX(周转筐出入库明细!$K$4:$K$2004,$Z986-2000))),IF($Z986&lt;=5200,IF(N(INDEX(客户自备加工筐明细!$G$4:$G$1203,$Z986-4000))=0,"",N(INDEX(客户自备加工筐明细!$G$4:$G$1203,$Z986-4000))),IF($Z986&lt;=5800,IF(ISNUMBER(SEARCH("退",INDEX(次果筐明细!$F$4:$F$603,$Z986-5200)&amp;"")),"",IF(N(INDEX(次果筐明细!$G$4:$G$603,$Z986-5200))=0,"",N(INDEX(次果筐明细!$G$4:$G$603,$Z986-5200)))),"")))))</f>
        <v/>
      </c>
      <c r="P986" s="40" t="str">
        <f>IF($Z986="","",IF($Z986&lt;=2000,"",IF($Z986&lt;=4000,IF(N(INDEX(周转筐出入库明细!$I$4:$I$2004,$Z986-2000))=0,"",N(INDEX(周转筐出入库明细!$I$4:$I$2004,$Z986-2000))),IF($Z986&lt;=5200,"",IF($Z986&lt;=5800,IF(ISNUMBER(SEARCH("退",INDEX(次果筐明细!$F$4:$F$603,$Z986-5200)&amp;"")),IF(N(INDEX(次果筐明细!$G$4:$G$603,$Z986-5200))=0,"",N(INDEX(次果筐明细!$G$4:$G$603,$Z986-5200))),""),"")))))</f>
        <v/>
      </c>
      <c r="Q986" s="40" t="str">
        <f>IF($Z986="","",IF($Z986&lt;=2000,"",IF($Z986&lt;=4000,IF(N(INDEX(周转筐出入库明细!$H$4:$H$2004,$Z986-2000))=0,"",N(INDEX(周转筐出入库明细!$H$4:$H$2004,$Z986-2000))),IF($Z986&lt;=5200,IF(N(INDEX(客户自备加工筐明细!$F$4:$F$1203,$Z986-4000))=0,"",N(INDEX(客户自备加工筐明细!$F$4:$F$1203,$Z986-4000))),IF($Z986&lt;=5800,"","")))))</f>
        <v/>
      </c>
      <c r="R986" s="16" t="str">
        <f>IF($Z986="","",IF($Z986&lt;=2000,IF(INDEX(包装物料出入库明细!$O$4:$O$2003,$Z986-0)=0,"",INDEX(包装物料出入库明细!$O$4:$O$2003,$Z986-0)),IF($Z986&lt;=4000,IF(INDEX(周转筐出入库明细!$M$4:$M$2004,$Z986-2000)=0,"",INDEX(周转筐出入库明细!$M$4:$M$2004,$Z986-2000)),IF($Z986&lt;=5200,IF(INDEX(客户自备加工筐明细!$H$4:$H$1203,$Z986-4000)=0,"",INDEX(客户自备加工筐明细!$H$4:$H$1203,$Z986-4000)),IF($Z986&lt;=5800,IF(INDEX(次果筐明细!$H$4:$H$603,$Z986-5200)=0,"",INDEX(次果筐明细!$H$4:$H$603,$Z986-5200)),"")))))</f>
        <v/>
      </c>
      <c r="S986" s="22" t="str">
        <f t="shared" si="47"/>
        <v/>
      </c>
      <c r="Z986" s="10" t="str">
        <f>IFERROR(MATCH(ROW()-3,_自动清单!$CQ$4:$CQ$5803,0),"")</f>
        <v/>
      </c>
    </row>
    <row r="987" spans="1:26">
      <c r="A987" s="24" t="str">
        <f t="shared" si="45"/>
        <v/>
      </c>
      <c r="B987" s="38" t="str">
        <f>IF($Z987="","",IF($Z987&lt;=2000,IF(INDEX(包装物料出入库明细!$B$4:$B$2003,$Z987-0)=0,"",INDEX(包装物料出入库明细!$B$4:$B$2003,$Z987-0)),IF($Z987&lt;=4000,IF(INDEX(周转筐出入库明细!$B$4:$B$2004,$Z987-2000)=0,"",INDEX(周转筐出入库明细!$B$4:$B$2004,$Z987-2000)),IF($Z987&lt;=5200,IF(INDEX(客户自备加工筐明细!$B$4:$B$1203,$Z987-4000)=0,"",INDEX(客户自备加工筐明细!$B$4:$B$1203,$Z987-4000)),IF($Z987&lt;=5800,IF(INDEX(次果筐明细!$B$4:$B$603,$Z987-5200)=0,"",INDEX(次果筐明细!$B$4:$B$603,$Z987-5200)),"")))))</f>
        <v/>
      </c>
      <c r="C987" s="37" t="str">
        <f>IF($Z987="","",IF($Z987&lt;=2000,IF(INDEX(包装物料出入库明细!$D$4:$D$2003,$Z987-0)=0,"",INDEX(包装物料出入库明细!$D$4:$D$2003,$Z987-0)),IF($Z987&lt;=4000,IF(INDEX(周转筐出入库明细!$C$4:$C$2004,$Z987-2000)=0,"",INDEX(周转筐出入库明细!$C$4:$C$2004,$Z987-2000)),IF($Z987&lt;=5200,IF(INDEX(客户自备加工筐明细!$E$4:$E$1203,$Z987-4000)=0,"",INDEX(客户自备加工筐明细!$E$4:$E$1203,$Z987-4000)),IF($Z987&lt;=5800,IF(INDEX(次果筐明细!$C$4:$C$603,$Z987-5200)=0,"",INDEX(次果筐明细!$C$4:$C$603,$Z987-5200)),"")))))</f>
        <v/>
      </c>
      <c r="D987" s="37" t="str">
        <f>IF($Z987="","",IF($Z987&lt;=2000,"包装物料－"&amp;INDEX(包装物料出入库明细!$H$4:$H$2003,$Z987-0),IF($Z987&lt;=4000,"周转筐－"&amp;INDEX(周转筐出入库明细!$F$4:$F$2004,$Z987-2000),IF($Z987&lt;=5200,"客户自备筐－"&amp;INDEX(客户自备加工筐明细!$J$4:$J$1203,$Z987-4000),IF($Z987&lt;=5800,"次果筐/托盘－"&amp;INDEX(次果筐明细!$F$4:$F$603,$Z987-5200),"")))))</f>
        <v/>
      </c>
      <c r="E987" s="24" t="str">
        <f>IF($Z987="","",IF($Z987&lt;=2000,IF(INDEX(包装物料出入库明细!$C$4:$C$2003,$Z987-0)=0,"",INDEX(包装物料出入库明细!$C$4:$C$2003,$Z987-0)),IF($Z987&lt;=4000,IF(INDEX(周转筐出入库明细!$E$4:$E$2004,$Z987-2000)=0,"",INDEX(周转筐出入库明细!$E$4:$E$2004,$Z987-2000)),IF($Z987&lt;=5200,IF(INDEX(客户自备加工筐明细!$D$4:$D$1203,$Z987-4000)=0,"",INDEX(客户自备加工筐明细!$D$4:$D$1203,$Z987-4000)),IF($Z987&lt;=5800,IF(INDEX(次果筐明细!$E$4:$E$603,$Z987-5200)=0,"",INDEX(次果筐明细!$E$4:$E$603,$Z987-5200)),"")))))</f>
        <v/>
      </c>
      <c r="F987" s="24" t="str">
        <f>IF($Z987="","",IF($Z987&lt;=2000,IF(INDEX(包装物料出入库明细!$E$4:$E$2003,$Z987-0)=0,"",INDEX(包装物料出入库明细!$E$4:$E$2003,$Z987-0)),IF($Z987&lt;=4000,IF(INDEX(周转筐出入库明细!$D$4:$D$2004,$Z987-2000)=0,"",INDEX(周转筐出入库明细!$D$4:$D$2004,$Z987-2000)),IF($Z987&lt;=5200,IF(INDEX(客户自备加工筐明细!$C$4:$C$1203,$Z987-4000)=0,"",INDEX(客户自备加工筐明细!$C$4:$C$1203,$Z987-4000)),IF($Z987&lt;=5800,IF(INDEX(次果筐明细!$D$4:$D$603,$Z987-5200)=0,"",INDEX(次果筐明细!$D$4:$D$603,$Z987-5200)),"")))))</f>
        <v/>
      </c>
      <c r="G987" s="24" t="str">
        <f>IF($Z987="","",IF($Z987&lt;=2000,IF(INDEX(包装物料出入库明细!$F$4:$F$2003,$Z987-0)=0,"",INDEX(包装物料出入库明细!$F$4:$F$2003,$Z987-0)),IF($Z987&lt;=4000,"",IF($Z987&lt;=5200,"",IF($Z987&lt;=5800,"","")))))</f>
        <v/>
      </c>
      <c r="H987" s="39" t="str">
        <f>IF($Z987="","",IF($Z987&lt;=2000,IF(INDEX(包装物料出入库明细!$L$4:$L$2003,$Z987-0)=0,"",INDEX(包装物料出入库明细!$L$4:$L$2003,$Z987-0)),IF($Z987&lt;=4000,N(INDEX(周转筐出入库明细!$H$4:$H$2004,$Z987-2000))+N(INDEX(周转筐出入库明细!$I$4:$I$2004,$Z987-2000))+N(INDEX(周转筐出入库明细!$J$4:$J$2004,$Z987-2000))+N(INDEX(周转筐出入库明细!$K$4:$K$2004,$Z987-2000)),IF($Z987&lt;=5200,N(INDEX(客户自备加工筐明细!$F$4:$F$1203,$Z987-4000))+N(INDEX(客户自备加工筐明细!$G$4:$G$1203,$Z987-4000)),IF($Z987&lt;=5800,IF(INDEX(次果筐明细!$G$4:$G$603,$Z987-5200)=0,"",INDEX(次果筐明细!$G$4:$G$603,$Z987-5200)),"")))))</f>
        <v/>
      </c>
      <c r="I987" s="24" t="str">
        <f>IF($Z987="","",IF($Z987&lt;=2000,IF(INDEX(包装物料出入库明细!$G$4:$G$2003,$Z987-0)=0,"",INDEX(包装物料出入库明细!$G$4:$G$2003,$Z987-0)),IF($Z987&lt;=4000,"个",IF($Z987&lt;=5200,"个",IF($Z987&lt;=5800,"个","")))))</f>
        <v/>
      </c>
      <c r="J987" s="30" t="str">
        <f t="shared" si="46"/>
        <v/>
      </c>
      <c r="K987" s="30" t="str">
        <f>IF($Z987="","",IF($Z987&lt;=2000,IF(INDEX(包装物料出入库明细!$N$4:$N$2003,$Z987-0)=0,"",INDEX(包装物料出入库明细!$N$4:$N$2003,$Z987-0)),IF($Z987&lt;=4000,IF(INDEX(周转筐出入库明细!$P$4:$P$2004,$Z987-2000)=0,"",INDEX(周转筐出入库明细!$P$4:$P$2004,$Z987-2000)),IF($Z987&lt;=5200,"",IF($Z987&lt;=5800,N(INDEX(次果筐明细!$L$4:$L$603,$Z987-5200))+N(INDEX(次果筐明细!$J$4:$J$603,$Z987-5200)),"")))))</f>
        <v/>
      </c>
      <c r="L987" s="24" t="str">
        <f>IF($Z987="","",IF($Z987&lt;=2000,IF(INDEX(包装物料出入库明细!$P$4:$P$2003,$Z987-0)=0,"",INDEX(包装物料出入库明细!$P$4:$P$2003,$Z987-0)),IF($Z987&lt;=4000,IF(INDEX(周转筐出入库明细!$Q$4:$Q$2004,$Z987-2000)=0,"",INDEX(周转筐出入库明细!$Q$4:$Q$2004,$Z987-2000)),IF($Z987&lt;=5200,"",IF($Z987&lt;=5800,IF(INDEX(次果筐明细!$M$4:$M$603,$Z987-5200)=0,"",INDEX(次果筐明细!$M$4:$M$603,$Z987-5200)),"")))))</f>
        <v/>
      </c>
      <c r="M987" s="37" t="str">
        <f>IF($Z987="","",IF($Z987&lt;=2000,IF(INDEX(包装物料出入库明细!$R$4:$R$2003,$Z987-0)=0,"",INDEX(包装物料出入库明细!$R$4:$R$2003,$Z987-0)),IF($Z987&lt;=4000,IF(INDEX(周转筐出入库明细!$W$4:$W$2004,$Z987-2000)=0,"",INDEX(周转筐出入库明细!$W$4:$W$2004,$Z987-2000)),IF($Z987&lt;=5200,IF(INDEX(客户自备加工筐明细!$L$4:$L$1203,$Z987-4000)=0,"",INDEX(客户自备加工筐明细!$L$4:$L$1203,$Z987-4000)),IF($Z987&lt;=5800,IF(INDEX(次果筐明细!$P$4:$P$603,$Z987-5200)=0,"",INDEX(次果筐明细!$P$4:$P$603,$Z987-5200)),"")))))</f>
        <v/>
      </c>
      <c r="N987" s="16" t="str">
        <f>IF($Z987="","",IF($Z987&lt;=2000,"",IF($Z987&lt;=4000,IF(INDEX(周转筐出入库明细!$D$4:$D$2004,$Z987-2000)=0,"",INDEX(周转筐出入库明细!$D$4:$D$2004,$Z987-2000)),IF($Z987&lt;=5200,IF(INDEX(客户自备加工筐明细!$C$4:$C$1203,$Z987-4000)=0,"",INDEX(客户自备加工筐明细!$C$4:$C$1203,$Z987-4000)),IF($Z987&lt;=5800,IF(INDEX(次果筐明细!$D$4:$D$603,$Z987-5200)=0,"",INDEX(次果筐明细!$D$4:$D$603,$Z987-5200)),"")))))</f>
        <v/>
      </c>
      <c r="O987" s="40" t="str">
        <f>IF($Z987="","",IF($Z987&lt;=2000,"",IF($Z987&lt;=4000,IF(N(INDEX(周转筐出入库明细!$J$4:$J$2004,$Z987-2000))+N(INDEX(周转筐出入库明细!$K$4:$K$2004,$Z987-2000))=0,"",N(INDEX(周转筐出入库明细!$J$4:$J$2004,$Z987-2000))+N(INDEX(周转筐出入库明细!$K$4:$K$2004,$Z987-2000))),IF($Z987&lt;=5200,IF(N(INDEX(客户自备加工筐明细!$G$4:$G$1203,$Z987-4000))=0,"",N(INDEX(客户自备加工筐明细!$G$4:$G$1203,$Z987-4000))),IF($Z987&lt;=5800,IF(ISNUMBER(SEARCH("退",INDEX(次果筐明细!$F$4:$F$603,$Z987-5200)&amp;"")),"",IF(N(INDEX(次果筐明细!$G$4:$G$603,$Z987-5200))=0,"",N(INDEX(次果筐明细!$G$4:$G$603,$Z987-5200)))),"")))))</f>
        <v/>
      </c>
      <c r="P987" s="40" t="str">
        <f>IF($Z987="","",IF($Z987&lt;=2000,"",IF($Z987&lt;=4000,IF(N(INDEX(周转筐出入库明细!$I$4:$I$2004,$Z987-2000))=0,"",N(INDEX(周转筐出入库明细!$I$4:$I$2004,$Z987-2000))),IF($Z987&lt;=5200,"",IF($Z987&lt;=5800,IF(ISNUMBER(SEARCH("退",INDEX(次果筐明细!$F$4:$F$603,$Z987-5200)&amp;"")),IF(N(INDEX(次果筐明细!$G$4:$G$603,$Z987-5200))=0,"",N(INDEX(次果筐明细!$G$4:$G$603,$Z987-5200))),""),"")))))</f>
        <v/>
      </c>
      <c r="Q987" s="40" t="str">
        <f>IF($Z987="","",IF($Z987&lt;=2000,"",IF($Z987&lt;=4000,IF(N(INDEX(周转筐出入库明细!$H$4:$H$2004,$Z987-2000))=0,"",N(INDEX(周转筐出入库明细!$H$4:$H$2004,$Z987-2000))),IF($Z987&lt;=5200,IF(N(INDEX(客户自备加工筐明细!$F$4:$F$1203,$Z987-4000))=0,"",N(INDEX(客户自备加工筐明细!$F$4:$F$1203,$Z987-4000))),IF($Z987&lt;=5800,"","")))))</f>
        <v/>
      </c>
      <c r="R987" s="16" t="str">
        <f>IF($Z987="","",IF($Z987&lt;=2000,IF(INDEX(包装物料出入库明细!$O$4:$O$2003,$Z987-0)=0,"",INDEX(包装物料出入库明细!$O$4:$O$2003,$Z987-0)),IF($Z987&lt;=4000,IF(INDEX(周转筐出入库明细!$M$4:$M$2004,$Z987-2000)=0,"",INDEX(周转筐出入库明细!$M$4:$M$2004,$Z987-2000)),IF($Z987&lt;=5200,IF(INDEX(客户自备加工筐明细!$H$4:$H$1203,$Z987-4000)=0,"",INDEX(客户自备加工筐明细!$H$4:$H$1203,$Z987-4000)),IF($Z987&lt;=5800,IF(INDEX(次果筐明细!$H$4:$H$603,$Z987-5200)=0,"",INDEX(次果筐明细!$H$4:$H$603,$Z987-5200)),"")))))</f>
        <v/>
      </c>
      <c r="S987" s="22" t="str">
        <f t="shared" si="47"/>
        <v/>
      </c>
      <c r="Z987" s="10" t="str">
        <f>IFERROR(MATCH(ROW()-3,_自动清单!$CQ$4:$CQ$5803,0),"")</f>
        <v/>
      </c>
    </row>
    <row r="988" spans="1:26">
      <c r="A988" s="24" t="str">
        <f t="shared" si="45"/>
        <v/>
      </c>
      <c r="B988" s="38" t="str">
        <f>IF($Z988="","",IF($Z988&lt;=2000,IF(INDEX(包装物料出入库明细!$B$4:$B$2003,$Z988-0)=0,"",INDEX(包装物料出入库明细!$B$4:$B$2003,$Z988-0)),IF($Z988&lt;=4000,IF(INDEX(周转筐出入库明细!$B$4:$B$2004,$Z988-2000)=0,"",INDEX(周转筐出入库明细!$B$4:$B$2004,$Z988-2000)),IF($Z988&lt;=5200,IF(INDEX(客户自备加工筐明细!$B$4:$B$1203,$Z988-4000)=0,"",INDEX(客户自备加工筐明细!$B$4:$B$1203,$Z988-4000)),IF($Z988&lt;=5800,IF(INDEX(次果筐明细!$B$4:$B$603,$Z988-5200)=0,"",INDEX(次果筐明细!$B$4:$B$603,$Z988-5200)),"")))))</f>
        <v/>
      </c>
      <c r="C988" s="37" t="str">
        <f>IF($Z988="","",IF($Z988&lt;=2000,IF(INDEX(包装物料出入库明细!$D$4:$D$2003,$Z988-0)=0,"",INDEX(包装物料出入库明细!$D$4:$D$2003,$Z988-0)),IF($Z988&lt;=4000,IF(INDEX(周转筐出入库明细!$C$4:$C$2004,$Z988-2000)=0,"",INDEX(周转筐出入库明细!$C$4:$C$2004,$Z988-2000)),IF($Z988&lt;=5200,IF(INDEX(客户自备加工筐明细!$E$4:$E$1203,$Z988-4000)=0,"",INDEX(客户自备加工筐明细!$E$4:$E$1203,$Z988-4000)),IF($Z988&lt;=5800,IF(INDEX(次果筐明细!$C$4:$C$603,$Z988-5200)=0,"",INDEX(次果筐明细!$C$4:$C$603,$Z988-5200)),"")))))</f>
        <v/>
      </c>
      <c r="D988" s="37" t="str">
        <f>IF($Z988="","",IF($Z988&lt;=2000,"包装物料－"&amp;INDEX(包装物料出入库明细!$H$4:$H$2003,$Z988-0),IF($Z988&lt;=4000,"周转筐－"&amp;INDEX(周转筐出入库明细!$F$4:$F$2004,$Z988-2000),IF($Z988&lt;=5200,"客户自备筐－"&amp;INDEX(客户自备加工筐明细!$J$4:$J$1203,$Z988-4000),IF($Z988&lt;=5800,"次果筐/托盘－"&amp;INDEX(次果筐明细!$F$4:$F$603,$Z988-5200),"")))))</f>
        <v/>
      </c>
      <c r="E988" s="24" t="str">
        <f>IF($Z988="","",IF($Z988&lt;=2000,IF(INDEX(包装物料出入库明细!$C$4:$C$2003,$Z988-0)=0,"",INDEX(包装物料出入库明细!$C$4:$C$2003,$Z988-0)),IF($Z988&lt;=4000,IF(INDEX(周转筐出入库明细!$E$4:$E$2004,$Z988-2000)=0,"",INDEX(周转筐出入库明细!$E$4:$E$2004,$Z988-2000)),IF($Z988&lt;=5200,IF(INDEX(客户自备加工筐明细!$D$4:$D$1203,$Z988-4000)=0,"",INDEX(客户自备加工筐明细!$D$4:$D$1203,$Z988-4000)),IF($Z988&lt;=5800,IF(INDEX(次果筐明细!$E$4:$E$603,$Z988-5200)=0,"",INDEX(次果筐明细!$E$4:$E$603,$Z988-5200)),"")))))</f>
        <v/>
      </c>
      <c r="F988" s="24" t="str">
        <f>IF($Z988="","",IF($Z988&lt;=2000,IF(INDEX(包装物料出入库明细!$E$4:$E$2003,$Z988-0)=0,"",INDEX(包装物料出入库明细!$E$4:$E$2003,$Z988-0)),IF($Z988&lt;=4000,IF(INDEX(周转筐出入库明细!$D$4:$D$2004,$Z988-2000)=0,"",INDEX(周转筐出入库明细!$D$4:$D$2004,$Z988-2000)),IF($Z988&lt;=5200,IF(INDEX(客户自备加工筐明细!$C$4:$C$1203,$Z988-4000)=0,"",INDEX(客户自备加工筐明细!$C$4:$C$1203,$Z988-4000)),IF($Z988&lt;=5800,IF(INDEX(次果筐明细!$D$4:$D$603,$Z988-5200)=0,"",INDEX(次果筐明细!$D$4:$D$603,$Z988-5200)),"")))))</f>
        <v/>
      </c>
      <c r="G988" s="24" t="str">
        <f>IF($Z988="","",IF($Z988&lt;=2000,IF(INDEX(包装物料出入库明细!$F$4:$F$2003,$Z988-0)=0,"",INDEX(包装物料出入库明细!$F$4:$F$2003,$Z988-0)),IF($Z988&lt;=4000,"",IF($Z988&lt;=5200,"",IF($Z988&lt;=5800,"","")))))</f>
        <v/>
      </c>
      <c r="H988" s="39" t="str">
        <f>IF($Z988="","",IF($Z988&lt;=2000,IF(INDEX(包装物料出入库明细!$L$4:$L$2003,$Z988-0)=0,"",INDEX(包装物料出入库明细!$L$4:$L$2003,$Z988-0)),IF($Z988&lt;=4000,N(INDEX(周转筐出入库明细!$H$4:$H$2004,$Z988-2000))+N(INDEX(周转筐出入库明细!$I$4:$I$2004,$Z988-2000))+N(INDEX(周转筐出入库明细!$J$4:$J$2004,$Z988-2000))+N(INDEX(周转筐出入库明细!$K$4:$K$2004,$Z988-2000)),IF($Z988&lt;=5200,N(INDEX(客户自备加工筐明细!$F$4:$F$1203,$Z988-4000))+N(INDEX(客户自备加工筐明细!$G$4:$G$1203,$Z988-4000)),IF($Z988&lt;=5800,IF(INDEX(次果筐明细!$G$4:$G$603,$Z988-5200)=0,"",INDEX(次果筐明细!$G$4:$G$603,$Z988-5200)),"")))))</f>
        <v/>
      </c>
      <c r="I988" s="24" t="str">
        <f>IF($Z988="","",IF($Z988&lt;=2000,IF(INDEX(包装物料出入库明细!$G$4:$G$2003,$Z988-0)=0,"",INDEX(包装物料出入库明细!$G$4:$G$2003,$Z988-0)),IF($Z988&lt;=4000,"个",IF($Z988&lt;=5200,"个",IF($Z988&lt;=5800,"个","")))))</f>
        <v/>
      </c>
      <c r="J988" s="30" t="str">
        <f t="shared" si="46"/>
        <v/>
      </c>
      <c r="K988" s="30" t="str">
        <f>IF($Z988="","",IF($Z988&lt;=2000,IF(INDEX(包装物料出入库明细!$N$4:$N$2003,$Z988-0)=0,"",INDEX(包装物料出入库明细!$N$4:$N$2003,$Z988-0)),IF($Z988&lt;=4000,IF(INDEX(周转筐出入库明细!$P$4:$P$2004,$Z988-2000)=0,"",INDEX(周转筐出入库明细!$P$4:$P$2004,$Z988-2000)),IF($Z988&lt;=5200,"",IF($Z988&lt;=5800,N(INDEX(次果筐明细!$L$4:$L$603,$Z988-5200))+N(INDEX(次果筐明细!$J$4:$J$603,$Z988-5200)),"")))))</f>
        <v/>
      </c>
      <c r="L988" s="24" t="str">
        <f>IF($Z988="","",IF($Z988&lt;=2000,IF(INDEX(包装物料出入库明细!$P$4:$P$2003,$Z988-0)=0,"",INDEX(包装物料出入库明细!$P$4:$P$2003,$Z988-0)),IF($Z988&lt;=4000,IF(INDEX(周转筐出入库明细!$Q$4:$Q$2004,$Z988-2000)=0,"",INDEX(周转筐出入库明细!$Q$4:$Q$2004,$Z988-2000)),IF($Z988&lt;=5200,"",IF($Z988&lt;=5800,IF(INDEX(次果筐明细!$M$4:$M$603,$Z988-5200)=0,"",INDEX(次果筐明细!$M$4:$M$603,$Z988-5200)),"")))))</f>
        <v/>
      </c>
      <c r="M988" s="37" t="str">
        <f>IF($Z988="","",IF($Z988&lt;=2000,IF(INDEX(包装物料出入库明细!$R$4:$R$2003,$Z988-0)=0,"",INDEX(包装物料出入库明细!$R$4:$R$2003,$Z988-0)),IF($Z988&lt;=4000,IF(INDEX(周转筐出入库明细!$W$4:$W$2004,$Z988-2000)=0,"",INDEX(周转筐出入库明细!$W$4:$W$2004,$Z988-2000)),IF($Z988&lt;=5200,IF(INDEX(客户自备加工筐明细!$L$4:$L$1203,$Z988-4000)=0,"",INDEX(客户自备加工筐明细!$L$4:$L$1203,$Z988-4000)),IF($Z988&lt;=5800,IF(INDEX(次果筐明细!$P$4:$P$603,$Z988-5200)=0,"",INDEX(次果筐明细!$P$4:$P$603,$Z988-5200)),"")))))</f>
        <v/>
      </c>
      <c r="N988" s="16" t="str">
        <f>IF($Z988="","",IF($Z988&lt;=2000,"",IF($Z988&lt;=4000,IF(INDEX(周转筐出入库明细!$D$4:$D$2004,$Z988-2000)=0,"",INDEX(周转筐出入库明细!$D$4:$D$2004,$Z988-2000)),IF($Z988&lt;=5200,IF(INDEX(客户自备加工筐明细!$C$4:$C$1203,$Z988-4000)=0,"",INDEX(客户自备加工筐明细!$C$4:$C$1203,$Z988-4000)),IF($Z988&lt;=5800,IF(INDEX(次果筐明细!$D$4:$D$603,$Z988-5200)=0,"",INDEX(次果筐明细!$D$4:$D$603,$Z988-5200)),"")))))</f>
        <v/>
      </c>
      <c r="O988" s="40" t="str">
        <f>IF($Z988="","",IF($Z988&lt;=2000,"",IF($Z988&lt;=4000,IF(N(INDEX(周转筐出入库明细!$J$4:$J$2004,$Z988-2000))+N(INDEX(周转筐出入库明细!$K$4:$K$2004,$Z988-2000))=0,"",N(INDEX(周转筐出入库明细!$J$4:$J$2004,$Z988-2000))+N(INDEX(周转筐出入库明细!$K$4:$K$2004,$Z988-2000))),IF($Z988&lt;=5200,IF(N(INDEX(客户自备加工筐明细!$G$4:$G$1203,$Z988-4000))=0,"",N(INDEX(客户自备加工筐明细!$G$4:$G$1203,$Z988-4000))),IF($Z988&lt;=5800,IF(ISNUMBER(SEARCH("退",INDEX(次果筐明细!$F$4:$F$603,$Z988-5200)&amp;"")),"",IF(N(INDEX(次果筐明细!$G$4:$G$603,$Z988-5200))=0,"",N(INDEX(次果筐明细!$G$4:$G$603,$Z988-5200)))),"")))))</f>
        <v/>
      </c>
      <c r="P988" s="40" t="str">
        <f>IF($Z988="","",IF($Z988&lt;=2000,"",IF($Z988&lt;=4000,IF(N(INDEX(周转筐出入库明细!$I$4:$I$2004,$Z988-2000))=0,"",N(INDEX(周转筐出入库明细!$I$4:$I$2004,$Z988-2000))),IF($Z988&lt;=5200,"",IF($Z988&lt;=5800,IF(ISNUMBER(SEARCH("退",INDEX(次果筐明细!$F$4:$F$603,$Z988-5200)&amp;"")),IF(N(INDEX(次果筐明细!$G$4:$G$603,$Z988-5200))=0,"",N(INDEX(次果筐明细!$G$4:$G$603,$Z988-5200))),""),"")))))</f>
        <v/>
      </c>
      <c r="Q988" s="40" t="str">
        <f>IF($Z988="","",IF($Z988&lt;=2000,"",IF($Z988&lt;=4000,IF(N(INDEX(周转筐出入库明细!$H$4:$H$2004,$Z988-2000))=0,"",N(INDEX(周转筐出入库明细!$H$4:$H$2004,$Z988-2000))),IF($Z988&lt;=5200,IF(N(INDEX(客户自备加工筐明细!$F$4:$F$1203,$Z988-4000))=0,"",N(INDEX(客户自备加工筐明细!$F$4:$F$1203,$Z988-4000))),IF($Z988&lt;=5800,"","")))))</f>
        <v/>
      </c>
      <c r="R988" s="16" t="str">
        <f>IF($Z988="","",IF($Z988&lt;=2000,IF(INDEX(包装物料出入库明细!$O$4:$O$2003,$Z988-0)=0,"",INDEX(包装物料出入库明细!$O$4:$O$2003,$Z988-0)),IF($Z988&lt;=4000,IF(INDEX(周转筐出入库明细!$M$4:$M$2004,$Z988-2000)=0,"",INDEX(周转筐出入库明细!$M$4:$M$2004,$Z988-2000)),IF($Z988&lt;=5200,IF(INDEX(客户自备加工筐明细!$H$4:$H$1203,$Z988-4000)=0,"",INDEX(客户自备加工筐明细!$H$4:$H$1203,$Z988-4000)),IF($Z988&lt;=5800,IF(INDEX(次果筐明细!$H$4:$H$603,$Z988-5200)=0,"",INDEX(次果筐明细!$H$4:$H$603,$Z988-5200)),"")))))</f>
        <v/>
      </c>
      <c r="S988" s="22" t="str">
        <f t="shared" si="47"/>
        <v/>
      </c>
      <c r="Z988" s="10" t="str">
        <f>IFERROR(MATCH(ROW()-3,_自动清单!$CQ$4:$CQ$5803,0),"")</f>
        <v/>
      </c>
    </row>
    <row r="989" spans="1:26">
      <c r="A989" s="24" t="str">
        <f t="shared" si="45"/>
        <v/>
      </c>
      <c r="B989" s="38" t="str">
        <f>IF($Z989="","",IF($Z989&lt;=2000,IF(INDEX(包装物料出入库明细!$B$4:$B$2003,$Z989-0)=0,"",INDEX(包装物料出入库明细!$B$4:$B$2003,$Z989-0)),IF($Z989&lt;=4000,IF(INDEX(周转筐出入库明细!$B$4:$B$2004,$Z989-2000)=0,"",INDEX(周转筐出入库明细!$B$4:$B$2004,$Z989-2000)),IF($Z989&lt;=5200,IF(INDEX(客户自备加工筐明细!$B$4:$B$1203,$Z989-4000)=0,"",INDEX(客户自备加工筐明细!$B$4:$B$1203,$Z989-4000)),IF($Z989&lt;=5800,IF(INDEX(次果筐明细!$B$4:$B$603,$Z989-5200)=0,"",INDEX(次果筐明细!$B$4:$B$603,$Z989-5200)),"")))))</f>
        <v/>
      </c>
      <c r="C989" s="37" t="str">
        <f>IF($Z989="","",IF($Z989&lt;=2000,IF(INDEX(包装物料出入库明细!$D$4:$D$2003,$Z989-0)=0,"",INDEX(包装物料出入库明细!$D$4:$D$2003,$Z989-0)),IF($Z989&lt;=4000,IF(INDEX(周转筐出入库明细!$C$4:$C$2004,$Z989-2000)=0,"",INDEX(周转筐出入库明细!$C$4:$C$2004,$Z989-2000)),IF($Z989&lt;=5200,IF(INDEX(客户自备加工筐明细!$E$4:$E$1203,$Z989-4000)=0,"",INDEX(客户自备加工筐明细!$E$4:$E$1203,$Z989-4000)),IF($Z989&lt;=5800,IF(INDEX(次果筐明细!$C$4:$C$603,$Z989-5200)=0,"",INDEX(次果筐明细!$C$4:$C$603,$Z989-5200)),"")))))</f>
        <v/>
      </c>
      <c r="D989" s="37" t="str">
        <f>IF($Z989="","",IF($Z989&lt;=2000,"包装物料－"&amp;INDEX(包装物料出入库明细!$H$4:$H$2003,$Z989-0),IF($Z989&lt;=4000,"周转筐－"&amp;INDEX(周转筐出入库明细!$F$4:$F$2004,$Z989-2000),IF($Z989&lt;=5200,"客户自备筐－"&amp;INDEX(客户自备加工筐明细!$J$4:$J$1203,$Z989-4000),IF($Z989&lt;=5800,"次果筐/托盘－"&amp;INDEX(次果筐明细!$F$4:$F$603,$Z989-5200),"")))))</f>
        <v/>
      </c>
      <c r="E989" s="24" t="str">
        <f>IF($Z989="","",IF($Z989&lt;=2000,IF(INDEX(包装物料出入库明细!$C$4:$C$2003,$Z989-0)=0,"",INDEX(包装物料出入库明细!$C$4:$C$2003,$Z989-0)),IF($Z989&lt;=4000,IF(INDEX(周转筐出入库明细!$E$4:$E$2004,$Z989-2000)=0,"",INDEX(周转筐出入库明细!$E$4:$E$2004,$Z989-2000)),IF($Z989&lt;=5200,IF(INDEX(客户自备加工筐明细!$D$4:$D$1203,$Z989-4000)=0,"",INDEX(客户自备加工筐明细!$D$4:$D$1203,$Z989-4000)),IF($Z989&lt;=5800,IF(INDEX(次果筐明细!$E$4:$E$603,$Z989-5200)=0,"",INDEX(次果筐明细!$E$4:$E$603,$Z989-5200)),"")))))</f>
        <v/>
      </c>
      <c r="F989" s="24" t="str">
        <f>IF($Z989="","",IF($Z989&lt;=2000,IF(INDEX(包装物料出入库明细!$E$4:$E$2003,$Z989-0)=0,"",INDEX(包装物料出入库明细!$E$4:$E$2003,$Z989-0)),IF($Z989&lt;=4000,IF(INDEX(周转筐出入库明细!$D$4:$D$2004,$Z989-2000)=0,"",INDEX(周转筐出入库明细!$D$4:$D$2004,$Z989-2000)),IF($Z989&lt;=5200,IF(INDEX(客户自备加工筐明细!$C$4:$C$1203,$Z989-4000)=0,"",INDEX(客户自备加工筐明细!$C$4:$C$1203,$Z989-4000)),IF($Z989&lt;=5800,IF(INDEX(次果筐明细!$D$4:$D$603,$Z989-5200)=0,"",INDEX(次果筐明细!$D$4:$D$603,$Z989-5200)),"")))))</f>
        <v/>
      </c>
      <c r="G989" s="24" t="str">
        <f>IF($Z989="","",IF($Z989&lt;=2000,IF(INDEX(包装物料出入库明细!$F$4:$F$2003,$Z989-0)=0,"",INDEX(包装物料出入库明细!$F$4:$F$2003,$Z989-0)),IF($Z989&lt;=4000,"",IF($Z989&lt;=5200,"",IF($Z989&lt;=5800,"","")))))</f>
        <v/>
      </c>
      <c r="H989" s="39" t="str">
        <f>IF($Z989="","",IF($Z989&lt;=2000,IF(INDEX(包装物料出入库明细!$L$4:$L$2003,$Z989-0)=0,"",INDEX(包装物料出入库明细!$L$4:$L$2003,$Z989-0)),IF($Z989&lt;=4000,N(INDEX(周转筐出入库明细!$H$4:$H$2004,$Z989-2000))+N(INDEX(周转筐出入库明细!$I$4:$I$2004,$Z989-2000))+N(INDEX(周转筐出入库明细!$J$4:$J$2004,$Z989-2000))+N(INDEX(周转筐出入库明细!$K$4:$K$2004,$Z989-2000)),IF($Z989&lt;=5200,N(INDEX(客户自备加工筐明细!$F$4:$F$1203,$Z989-4000))+N(INDEX(客户自备加工筐明细!$G$4:$G$1203,$Z989-4000)),IF($Z989&lt;=5800,IF(INDEX(次果筐明细!$G$4:$G$603,$Z989-5200)=0,"",INDEX(次果筐明细!$G$4:$G$603,$Z989-5200)),"")))))</f>
        <v/>
      </c>
      <c r="I989" s="24" t="str">
        <f>IF($Z989="","",IF($Z989&lt;=2000,IF(INDEX(包装物料出入库明细!$G$4:$G$2003,$Z989-0)=0,"",INDEX(包装物料出入库明细!$G$4:$G$2003,$Z989-0)),IF($Z989&lt;=4000,"个",IF($Z989&lt;=5200,"个",IF($Z989&lt;=5800,"个","")))))</f>
        <v/>
      </c>
      <c r="J989" s="30" t="str">
        <f t="shared" si="46"/>
        <v/>
      </c>
      <c r="K989" s="30" t="str">
        <f>IF($Z989="","",IF($Z989&lt;=2000,IF(INDEX(包装物料出入库明细!$N$4:$N$2003,$Z989-0)=0,"",INDEX(包装物料出入库明细!$N$4:$N$2003,$Z989-0)),IF($Z989&lt;=4000,IF(INDEX(周转筐出入库明细!$P$4:$P$2004,$Z989-2000)=0,"",INDEX(周转筐出入库明细!$P$4:$P$2004,$Z989-2000)),IF($Z989&lt;=5200,"",IF($Z989&lt;=5800,N(INDEX(次果筐明细!$L$4:$L$603,$Z989-5200))+N(INDEX(次果筐明细!$J$4:$J$603,$Z989-5200)),"")))))</f>
        <v/>
      </c>
      <c r="L989" s="24" t="str">
        <f>IF($Z989="","",IF($Z989&lt;=2000,IF(INDEX(包装物料出入库明细!$P$4:$P$2003,$Z989-0)=0,"",INDEX(包装物料出入库明细!$P$4:$P$2003,$Z989-0)),IF($Z989&lt;=4000,IF(INDEX(周转筐出入库明细!$Q$4:$Q$2004,$Z989-2000)=0,"",INDEX(周转筐出入库明细!$Q$4:$Q$2004,$Z989-2000)),IF($Z989&lt;=5200,"",IF($Z989&lt;=5800,IF(INDEX(次果筐明细!$M$4:$M$603,$Z989-5200)=0,"",INDEX(次果筐明细!$M$4:$M$603,$Z989-5200)),"")))))</f>
        <v/>
      </c>
      <c r="M989" s="37" t="str">
        <f>IF($Z989="","",IF($Z989&lt;=2000,IF(INDEX(包装物料出入库明细!$R$4:$R$2003,$Z989-0)=0,"",INDEX(包装物料出入库明细!$R$4:$R$2003,$Z989-0)),IF($Z989&lt;=4000,IF(INDEX(周转筐出入库明细!$W$4:$W$2004,$Z989-2000)=0,"",INDEX(周转筐出入库明细!$W$4:$W$2004,$Z989-2000)),IF($Z989&lt;=5200,IF(INDEX(客户自备加工筐明细!$L$4:$L$1203,$Z989-4000)=0,"",INDEX(客户自备加工筐明细!$L$4:$L$1203,$Z989-4000)),IF($Z989&lt;=5800,IF(INDEX(次果筐明细!$P$4:$P$603,$Z989-5200)=0,"",INDEX(次果筐明细!$P$4:$P$603,$Z989-5200)),"")))))</f>
        <v/>
      </c>
      <c r="N989" s="16" t="str">
        <f>IF($Z989="","",IF($Z989&lt;=2000,"",IF($Z989&lt;=4000,IF(INDEX(周转筐出入库明细!$D$4:$D$2004,$Z989-2000)=0,"",INDEX(周转筐出入库明细!$D$4:$D$2004,$Z989-2000)),IF($Z989&lt;=5200,IF(INDEX(客户自备加工筐明细!$C$4:$C$1203,$Z989-4000)=0,"",INDEX(客户自备加工筐明细!$C$4:$C$1203,$Z989-4000)),IF($Z989&lt;=5800,IF(INDEX(次果筐明细!$D$4:$D$603,$Z989-5200)=0,"",INDEX(次果筐明细!$D$4:$D$603,$Z989-5200)),"")))))</f>
        <v/>
      </c>
      <c r="O989" s="40" t="str">
        <f>IF($Z989="","",IF($Z989&lt;=2000,"",IF($Z989&lt;=4000,IF(N(INDEX(周转筐出入库明细!$J$4:$J$2004,$Z989-2000))+N(INDEX(周转筐出入库明细!$K$4:$K$2004,$Z989-2000))=0,"",N(INDEX(周转筐出入库明细!$J$4:$J$2004,$Z989-2000))+N(INDEX(周转筐出入库明细!$K$4:$K$2004,$Z989-2000))),IF($Z989&lt;=5200,IF(N(INDEX(客户自备加工筐明细!$G$4:$G$1203,$Z989-4000))=0,"",N(INDEX(客户自备加工筐明细!$G$4:$G$1203,$Z989-4000))),IF($Z989&lt;=5800,IF(ISNUMBER(SEARCH("退",INDEX(次果筐明细!$F$4:$F$603,$Z989-5200)&amp;"")),"",IF(N(INDEX(次果筐明细!$G$4:$G$603,$Z989-5200))=0,"",N(INDEX(次果筐明细!$G$4:$G$603,$Z989-5200)))),"")))))</f>
        <v/>
      </c>
      <c r="P989" s="40" t="str">
        <f>IF($Z989="","",IF($Z989&lt;=2000,"",IF($Z989&lt;=4000,IF(N(INDEX(周转筐出入库明细!$I$4:$I$2004,$Z989-2000))=0,"",N(INDEX(周转筐出入库明细!$I$4:$I$2004,$Z989-2000))),IF($Z989&lt;=5200,"",IF($Z989&lt;=5800,IF(ISNUMBER(SEARCH("退",INDEX(次果筐明细!$F$4:$F$603,$Z989-5200)&amp;"")),IF(N(INDEX(次果筐明细!$G$4:$G$603,$Z989-5200))=0,"",N(INDEX(次果筐明细!$G$4:$G$603,$Z989-5200))),""),"")))))</f>
        <v/>
      </c>
      <c r="Q989" s="40" t="str">
        <f>IF($Z989="","",IF($Z989&lt;=2000,"",IF($Z989&lt;=4000,IF(N(INDEX(周转筐出入库明细!$H$4:$H$2004,$Z989-2000))=0,"",N(INDEX(周转筐出入库明细!$H$4:$H$2004,$Z989-2000))),IF($Z989&lt;=5200,IF(N(INDEX(客户自备加工筐明细!$F$4:$F$1203,$Z989-4000))=0,"",N(INDEX(客户自备加工筐明细!$F$4:$F$1203,$Z989-4000))),IF($Z989&lt;=5800,"","")))))</f>
        <v/>
      </c>
      <c r="R989" s="16" t="str">
        <f>IF($Z989="","",IF($Z989&lt;=2000,IF(INDEX(包装物料出入库明细!$O$4:$O$2003,$Z989-0)=0,"",INDEX(包装物料出入库明细!$O$4:$O$2003,$Z989-0)),IF($Z989&lt;=4000,IF(INDEX(周转筐出入库明细!$M$4:$M$2004,$Z989-2000)=0,"",INDEX(周转筐出入库明细!$M$4:$M$2004,$Z989-2000)),IF($Z989&lt;=5200,IF(INDEX(客户自备加工筐明细!$H$4:$H$1203,$Z989-4000)=0,"",INDEX(客户自备加工筐明细!$H$4:$H$1203,$Z989-4000)),IF($Z989&lt;=5800,IF(INDEX(次果筐明细!$H$4:$H$603,$Z989-5200)=0,"",INDEX(次果筐明细!$H$4:$H$603,$Z989-5200)),"")))))</f>
        <v/>
      </c>
      <c r="S989" s="22" t="str">
        <f t="shared" si="47"/>
        <v/>
      </c>
      <c r="Z989" s="10" t="str">
        <f>IFERROR(MATCH(ROW()-3,_自动清单!$CQ$4:$CQ$5803,0),"")</f>
        <v/>
      </c>
    </row>
    <row r="990" spans="1:26">
      <c r="A990" s="24" t="str">
        <f t="shared" si="45"/>
        <v/>
      </c>
      <c r="B990" s="38" t="str">
        <f>IF($Z990="","",IF($Z990&lt;=2000,IF(INDEX(包装物料出入库明细!$B$4:$B$2003,$Z990-0)=0,"",INDEX(包装物料出入库明细!$B$4:$B$2003,$Z990-0)),IF($Z990&lt;=4000,IF(INDEX(周转筐出入库明细!$B$4:$B$2004,$Z990-2000)=0,"",INDEX(周转筐出入库明细!$B$4:$B$2004,$Z990-2000)),IF($Z990&lt;=5200,IF(INDEX(客户自备加工筐明细!$B$4:$B$1203,$Z990-4000)=0,"",INDEX(客户自备加工筐明细!$B$4:$B$1203,$Z990-4000)),IF($Z990&lt;=5800,IF(INDEX(次果筐明细!$B$4:$B$603,$Z990-5200)=0,"",INDEX(次果筐明细!$B$4:$B$603,$Z990-5200)),"")))))</f>
        <v/>
      </c>
      <c r="C990" s="37" t="str">
        <f>IF($Z990="","",IF($Z990&lt;=2000,IF(INDEX(包装物料出入库明细!$D$4:$D$2003,$Z990-0)=0,"",INDEX(包装物料出入库明细!$D$4:$D$2003,$Z990-0)),IF($Z990&lt;=4000,IF(INDEX(周转筐出入库明细!$C$4:$C$2004,$Z990-2000)=0,"",INDEX(周转筐出入库明细!$C$4:$C$2004,$Z990-2000)),IF($Z990&lt;=5200,IF(INDEX(客户自备加工筐明细!$E$4:$E$1203,$Z990-4000)=0,"",INDEX(客户自备加工筐明细!$E$4:$E$1203,$Z990-4000)),IF($Z990&lt;=5800,IF(INDEX(次果筐明细!$C$4:$C$603,$Z990-5200)=0,"",INDEX(次果筐明细!$C$4:$C$603,$Z990-5200)),"")))))</f>
        <v/>
      </c>
      <c r="D990" s="37" t="str">
        <f>IF($Z990="","",IF($Z990&lt;=2000,"包装物料－"&amp;INDEX(包装物料出入库明细!$H$4:$H$2003,$Z990-0),IF($Z990&lt;=4000,"周转筐－"&amp;INDEX(周转筐出入库明细!$F$4:$F$2004,$Z990-2000),IF($Z990&lt;=5200,"客户自备筐－"&amp;INDEX(客户自备加工筐明细!$J$4:$J$1203,$Z990-4000),IF($Z990&lt;=5800,"次果筐/托盘－"&amp;INDEX(次果筐明细!$F$4:$F$603,$Z990-5200),"")))))</f>
        <v/>
      </c>
      <c r="E990" s="24" t="str">
        <f>IF($Z990="","",IF($Z990&lt;=2000,IF(INDEX(包装物料出入库明细!$C$4:$C$2003,$Z990-0)=0,"",INDEX(包装物料出入库明细!$C$4:$C$2003,$Z990-0)),IF($Z990&lt;=4000,IF(INDEX(周转筐出入库明细!$E$4:$E$2004,$Z990-2000)=0,"",INDEX(周转筐出入库明细!$E$4:$E$2004,$Z990-2000)),IF($Z990&lt;=5200,IF(INDEX(客户自备加工筐明细!$D$4:$D$1203,$Z990-4000)=0,"",INDEX(客户自备加工筐明细!$D$4:$D$1203,$Z990-4000)),IF($Z990&lt;=5800,IF(INDEX(次果筐明细!$E$4:$E$603,$Z990-5200)=0,"",INDEX(次果筐明细!$E$4:$E$603,$Z990-5200)),"")))))</f>
        <v/>
      </c>
      <c r="F990" s="24" t="str">
        <f>IF($Z990="","",IF($Z990&lt;=2000,IF(INDEX(包装物料出入库明细!$E$4:$E$2003,$Z990-0)=0,"",INDEX(包装物料出入库明细!$E$4:$E$2003,$Z990-0)),IF($Z990&lt;=4000,IF(INDEX(周转筐出入库明细!$D$4:$D$2004,$Z990-2000)=0,"",INDEX(周转筐出入库明细!$D$4:$D$2004,$Z990-2000)),IF($Z990&lt;=5200,IF(INDEX(客户自备加工筐明细!$C$4:$C$1203,$Z990-4000)=0,"",INDEX(客户自备加工筐明细!$C$4:$C$1203,$Z990-4000)),IF($Z990&lt;=5800,IF(INDEX(次果筐明细!$D$4:$D$603,$Z990-5200)=0,"",INDEX(次果筐明细!$D$4:$D$603,$Z990-5200)),"")))))</f>
        <v/>
      </c>
      <c r="G990" s="24" t="str">
        <f>IF($Z990="","",IF($Z990&lt;=2000,IF(INDEX(包装物料出入库明细!$F$4:$F$2003,$Z990-0)=0,"",INDEX(包装物料出入库明细!$F$4:$F$2003,$Z990-0)),IF($Z990&lt;=4000,"",IF($Z990&lt;=5200,"",IF($Z990&lt;=5800,"","")))))</f>
        <v/>
      </c>
      <c r="H990" s="39" t="str">
        <f>IF($Z990="","",IF($Z990&lt;=2000,IF(INDEX(包装物料出入库明细!$L$4:$L$2003,$Z990-0)=0,"",INDEX(包装物料出入库明细!$L$4:$L$2003,$Z990-0)),IF($Z990&lt;=4000,N(INDEX(周转筐出入库明细!$H$4:$H$2004,$Z990-2000))+N(INDEX(周转筐出入库明细!$I$4:$I$2004,$Z990-2000))+N(INDEX(周转筐出入库明细!$J$4:$J$2004,$Z990-2000))+N(INDEX(周转筐出入库明细!$K$4:$K$2004,$Z990-2000)),IF($Z990&lt;=5200,N(INDEX(客户自备加工筐明细!$F$4:$F$1203,$Z990-4000))+N(INDEX(客户自备加工筐明细!$G$4:$G$1203,$Z990-4000)),IF($Z990&lt;=5800,IF(INDEX(次果筐明细!$G$4:$G$603,$Z990-5200)=0,"",INDEX(次果筐明细!$G$4:$G$603,$Z990-5200)),"")))))</f>
        <v/>
      </c>
      <c r="I990" s="24" t="str">
        <f>IF($Z990="","",IF($Z990&lt;=2000,IF(INDEX(包装物料出入库明细!$G$4:$G$2003,$Z990-0)=0,"",INDEX(包装物料出入库明细!$G$4:$G$2003,$Z990-0)),IF($Z990&lt;=4000,"个",IF($Z990&lt;=5200,"个",IF($Z990&lt;=5800,"个","")))))</f>
        <v/>
      </c>
      <c r="J990" s="30" t="str">
        <f t="shared" si="46"/>
        <v/>
      </c>
      <c r="K990" s="30" t="str">
        <f>IF($Z990="","",IF($Z990&lt;=2000,IF(INDEX(包装物料出入库明细!$N$4:$N$2003,$Z990-0)=0,"",INDEX(包装物料出入库明细!$N$4:$N$2003,$Z990-0)),IF($Z990&lt;=4000,IF(INDEX(周转筐出入库明细!$P$4:$P$2004,$Z990-2000)=0,"",INDEX(周转筐出入库明细!$P$4:$P$2004,$Z990-2000)),IF($Z990&lt;=5200,"",IF($Z990&lt;=5800,N(INDEX(次果筐明细!$L$4:$L$603,$Z990-5200))+N(INDEX(次果筐明细!$J$4:$J$603,$Z990-5200)),"")))))</f>
        <v/>
      </c>
      <c r="L990" s="24" t="str">
        <f>IF($Z990="","",IF($Z990&lt;=2000,IF(INDEX(包装物料出入库明细!$P$4:$P$2003,$Z990-0)=0,"",INDEX(包装物料出入库明细!$P$4:$P$2003,$Z990-0)),IF($Z990&lt;=4000,IF(INDEX(周转筐出入库明细!$Q$4:$Q$2004,$Z990-2000)=0,"",INDEX(周转筐出入库明细!$Q$4:$Q$2004,$Z990-2000)),IF($Z990&lt;=5200,"",IF($Z990&lt;=5800,IF(INDEX(次果筐明细!$M$4:$M$603,$Z990-5200)=0,"",INDEX(次果筐明细!$M$4:$M$603,$Z990-5200)),"")))))</f>
        <v/>
      </c>
      <c r="M990" s="37" t="str">
        <f>IF($Z990="","",IF($Z990&lt;=2000,IF(INDEX(包装物料出入库明细!$R$4:$R$2003,$Z990-0)=0,"",INDEX(包装物料出入库明细!$R$4:$R$2003,$Z990-0)),IF($Z990&lt;=4000,IF(INDEX(周转筐出入库明细!$W$4:$W$2004,$Z990-2000)=0,"",INDEX(周转筐出入库明细!$W$4:$W$2004,$Z990-2000)),IF($Z990&lt;=5200,IF(INDEX(客户自备加工筐明细!$L$4:$L$1203,$Z990-4000)=0,"",INDEX(客户自备加工筐明细!$L$4:$L$1203,$Z990-4000)),IF($Z990&lt;=5800,IF(INDEX(次果筐明细!$P$4:$P$603,$Z990-5200)=0,"",INDEX(次果筐明细!$P$4:$P$603,$Z990-5200)),"")))))</f>
        <v/>
      </c>
      <c r="N990" s="16" t="str">
        <f>IF($Z990="","",IF($Z990&lt;=2000,"",IF($Z990&lt;=4000,IF(INDEX(周转筐出入库明细!$D$4:$D$2004,$Z990-2000)=0,"",INDEX(周转筐出入库明细!$D$4:$D$2004,$Z990-2000)),IF($Z990&lt;=5200,IF(INDEX(客户自备加工筐明细!$C$4:$C$1203,$Z990-4000)=0,"",INDEX(客户自备加工筐明细!$C$4:$C$1203,$Z990-4000)),IF($Z990&lt;=5800,IF(INDEX(次果筐明细!$D$4:$D$603,$Z990-5200)=0,"",INDEX(次果筐明细!$D$4:$D$603,$Z990-5200)),"")))))</f>
        <v/>
      </c>
      <c r="O990" s="40" t="str">
        <f>IF($Z990="","",IF($Z990&lt;=2000,"",IF($Z990&lt;=4000,IF(N(INDEX(周转筐出入库明细!$J$4:$J$2004,$Z990-2000))+N(INDEX(周转筐出入库明细!$K$4:$K$2004,$Z990-2000))=0,"",N(INDEX(周转筐出入库明细!$J$4:$J$2004,$Z990-2000))+N(INDEX(周转筐出入库明细!$K$4:$K$2004,$Z990-2000))),IF($Z990&lt;=5200,IF(N(INDEX(客户自备加工筐明细!$G$4:$G$1203,$Z990-4000))=0,"",N(INDEX(客户自备加工筐明细!$G$4:$G$1203,$Z990-4000))),IF($Z990&lt;=5800,IF(ISNUMBER(SEARCH("退",INDEX(次果筐明细!$F$4:$F$603,$Z990-5200)&amp;"")),"",IF(N(INDEX(次果筐明细!$G$4:$G$603,$Z990-5200))=0,"",N(INDEX(次果筐明细!$G$4:$G$603,$Z990-5200)))),"")))))</f>
        <v/>
      </c>
      <c r="P990" s="40" t="str">
        <f>IF($Z990="","",IF($Z990&lt;=2000,"",IF($Z990&lt;=4000,IF(N(INDEX(周转筐出入库明细!$I$4:$I$2004,$Z990-2000))=0,"",N(INDEX(周转筐出入库明细!$I$4:$I$2004,$Z990-2000))),IF($Z990&lt;=5200,"",IF($Z990&lt;=5800,IF(ISNUMBER(SEARCH("退",INDEX(次果筐明细!$F$4:$F$603,$Z990-5200)&amp;"")),IF(N(INDEX(次果筐明细!$G$4:$G$603,$Z990-5200))=0,"",N(INDEX(次果筐明细!$G$4:$G$603,$Z990-5200))),""),"")))))</f>
        <v/>
      </c>
      <c r="Q990" s="40" t="str">
        <f>IF($Z990="","",IF($Z990&lt;=2000,"",IF($Z990&lt;=4000,IF(N(INDEX(周转筐出入库明细!$H$4:$H$2004,$Z990-2000))=0,"",N(INDEX(周转筐出入库明细!$H$4:$H$2004,$Z990-2000))),IF($Z990&lt;=5200,IF(N(INDEX(客户自备加工筐明细!$F$4:$F$1203,$Z990-4000))=0,"",N(INDEX(客户自备加工筐明细!$F$4:$F$1203,$Z990-4000))),IF($Z990&lt;=5800,"","")))))</f>
        <v/>
      </c>
      <c r="R990" s="16" t="str">
        <f>IF($Z990="","",IF($Z990&lt;=2000,IF(INDEX(包装物料出入库明细!$O$4:$O$2003,$Z990-0)=0,"",INDEX(包装物料出入库明细!$O$4:$O$2003,$Z990-0)),IF($Z990&lt;=4000,IF(INDEX(周转筐出入库明细!$M$4:$M$2004,$Z990-2000)=0,"",INDEX(周转筐出入库明细!$M$4:$M$2004,$Z990-2000)),IF($Z990&lt;=5200,IF(INDEX(客户自备加工筐明细!$H$4:$H$1203,$Z990-4000)=0,"",INDEX(客户自备加工筐明细!$H$4:$H$1203,$Z990-4000)),IF($Z990&lt;=5800,IF(INDEX(次果筐明细!$H$4:$H$603,$Z990-5200)=0,"",INDEX(次果筐明细!$H$4:$H$603,$Z990-5200)),"")))))</f>
        <v/>
      </c>
      <c r="S990" s="22" t="str">
        <f t="shared" si="47"/>
        <v/>
      </c>
      <c r="Z990" s="10" t="str">
        <f>IFERROR(MATCH(ROW()-3,_自动清单!$CQ$4:$CQ$5803,0),"")</f>
        <v/>
      </c>
    </row>
    <row r="991" spans="1:26">
      <c r="A991" s="24" t="str">
        <f t="shared" si="45"/>
        <v/>
      </c>
      <c r="B991" s="38" t="str">
        <f>IF($Z991="","",IF($Z991&lt;=2000,IF(INDEX(包装物料出入库明细!$B$4:$B$2003,$Z991-0)=0,"",INDEX(包装物料出入库明细!$B$4:$B$2003,$Z991-0)),IF($Z991&lt;=4000,IF(INDEX(周转筐出入库明细!$B$4:$B$2004,$Z991-2000)=0,"",INDEX(周转筐出入库明细!$B$4:$B$2004,$Z991-2000)),IF($Z991&lt;=5200,IF(INDEX(客户自备加工筐明细!$B$4:$B$1203,$Z991-4000)=0,"",INDEX(客户自备加工筐明细!$B$4:$B$1203,$Z991-4000)),IF($Z991&lt;=5800,IF(INDEX(次果筐明细!$B$4:$B$603,$Z991-5200)=0,"",INDEX(次果筐明细!$B$4:$B$603,$Z991-5200)),"")))))</f>
        <v/>
      </c>
      <c r="C991" s="37" t="str">
        <f>IF($Z991="","",IF($Z991&lt;=2000,IF(INDEX(包装物料出入库明细!$D$4:$D$2003,$Z991-0)=0,"",INDEX(包装物料出入库明细!$D$4:$D$2003,$Z991-0)),IF($Z991&lt;=4000,IF(INDEX(周转筐出入库明细!$C$4:$C$2004,$Z991-2000)=0,"",INDEX(周转筐出入库明细!$C$4:$C$2004,$Z991-2000)),IF($Z991&lt;=5200,IF(INDEX(客户自备加工筐明细!$E$4:$E$1203,$Z991-4000)=0,"",INDEX(客户自备加工筐明细!$E$4:$E$1203,$Z991-4000)),IF($Z991&lt;=5800,IF(INDEX(次果筐明细!$C$4:$C$603,$Z991-5200)=0,"",INDEX(次果筐明细!$C$4:$C$603,$Z991-5200)),"")))))</f>
        <v/>
      </c>
      <c r="D991" s="37" t="str">
        <f>IF($Z991="","",IF($Z991&lt;=2000,"包装物料－"&amp;INDEX(包装物料出入库明细!$H$4:$H$2003,$Z991-0),IF($Z991&lt;=4000,"周转筐－"&amp;INDEX(周转筐出入库明细!$F$4:$F$2004,$Z991-2000),IF($Z991&lt;=5200,"客户自备筐－"&amp;INDEX(客户自备加工筐明细!$J$4:$J$1203,$Z991-4000),IF($Z991&lt;=5800,"次果筐/托盘－"&amp;INDEX(次果筐明细!$F$4:$F$603,$Z991-5200),"")))))</f>
        <v/>
      </c>
      <c r="E991" s="24" t="str">
        <f>IF($Z991="","",IF($Z991&lt;=2000,IF(INDEX(包装物料出入库明细!$C$4:$C$2003,$Z991-0)=0,"",INDEX(包装物料出入库明细!$C$4:$C$2003,$Z991-0)),IF($Z991&lt;=4000,IF(INDEX(周转筐出入库明细!$E$4:$E$2004,$Z991-2000)=0,"",INDEX(周转筐出入库明细!$E$4:$E$2004,$Z991-2000)),IF($Z991&lt;=5200,IF(INDEX(客户自备加工筐明细!$D$4:$D$1203,$Z991-4000)=0,"",INDEX(客户自备加工筐明细!$D$4:$D$1203,$Z991-4000)),IF($Z991&lt;=5800,IF(INDEX(次果筐明细!$E$4:$E$603,$Z991-5200)=0,"",INDEX(次果筐明细!$E$4:$E$603,$Z991-5200)),"")))))</f>
        <v/>
      </c>
      <c r="F991" s="24" t="str">
        <f>IF($Z991="","",IF($Z991&lt;=2000,IF(INDEX(包装物料出入库明细!$E$4:$E$2003,$Z991-0)=0,"",INDEX(包装物料出入库明细!$E$4:$E$2003,$Z991-0)),IF($Z991&lt;=4000,IF(INDEX(周转筐出入库明细!$D$4:$D$2004,$Z991-2000)=0,"",INDEX(周转筐出入库明细!$D$4:$D$2004,$Z991-2000)),IF($Z991&lt;=5200,IF(INDEX(客户自备加工筐明细!$C$4:$C$1203,$Z991-4000)=0,"",INDEX(客户自备加工筐明细!$C$4:$C$1203,$Z991-4000)),IF($Z991&lt;=5800,IF(INDEX(次果筐明细!$D$4:$D$603,$Z991-5200)=0,"",INDEX(次果筐明细!$D$4:$D$603,$Z991-5200)),"")))))</f>
        <v/>
      </c>
      <c r="G991" s="24" t="str">
        <f>IF($Z991="","",IF($Z991&lt;=2000,IF(INDEX(包装物料出入库明细!$F$4:$F$2003,$Z991-0)=0,"",INDEX(包装物料出入库明细!$F$4:$F$2003,$Z991-0)),IF($Z991&lt;=4000,"",IF($Z991&lt;=5200,"",IF($Z991&lt;=5800,"","")))))</f>
        <v/>
      </c>
      <c r="H991" s="39" t="str">
        <f>IF($Z991="","",IF($Z991&lt;=2000,IF(INDEX(包装物料出入库明细!$L$4:$L$2003,$Z991-0)=0,"",INDEX(包装物料出入库明细!$L$4:$L$2003,$Z991-0)),IF($Z991&lt;=4000,N(INDEX(周转筐出入库明细!$H$4:$H$2004,$Z991-2000))+N(INDEX(周转筐出入库明细!$I$4:$I$2004,$Z991-2000))+N(INDEX(周转筐出入库明细!$J$4:$J$2004,$Z991-2000))+N(INDEX(周转筐出入库明细!$K$4:$K$2004,$Z991-2000)),IF($Z991&lt;=5200,N(INDEX(客户自备加工筐明细!$F$4:$F$1203,$Z991-4000))+N(INDEX(客户自备加工筐明细!$G$4:$G$1203,$Z991-4000)),IF($Z991&lt;=5800,IF(INDEX(次果筐明细!$G$4:$G$603,$Z991-5200)=0,"",INDEX(次果筐明细!$G$4:$G$603,$Z991-5200)),"")))))</f>
        <v/>
      </c>
      <c r="I991" s="24" t="str">
        <f>IF($Z991="","",IF($Z991&lt;=2000,IF(INDEX(包装物料出入库明细!$G$4:$G$2003,$Z991-0)=0,"",INDEX(包装物料出入库明细!$G$4:$G$2003,$Z991-0)),IF($Z991&lt;=4000,"个",IF($Z991&lt;=5200,"个",IF($Z991&lt;=5800,"个","")))))</f>
        <v/>
      </c>
      <c r="J991" s="30" t="str">
        <f t="shared" si="46"/>
        <v/>
      </c>
      <c r="K991" s="30" t="str">
        <f>IF($Z991="","",IF($Z991&lt;=2000,IF(INDEX(包装物料出入库明细!$N$4:$N$2003,$Z991-0)=0,"",INDEX(包装物料出入库明细!$N$4:$N$2003,$Z991-0)),IF($Z991&lt;=4000,IF(INDEX(周转筐出入库明细!$P$4:$P$2004,$Z991-2000)=0,"",INDEX(周转筐出入库明细!$P$4:$P$2004,$Z991-2000)),IF($Z991&lt;=5200,"",IF($Z991&lt;=5800,N(INDEX(次果筐明细!$L$4:$L$603,$Z991-5200))+N(INDEX(次果筐明细!$J$4:$J$603,$Z991-5200)),"")))))</f>
        <v/>
      </c>
      <c r="L991" s="24" t="str">
        <f>IF($Z991="","",IF($Z991&lt;=2000,IF(INDEX(包装物料出入库明细!$P$4:$P$2003,$Z991-0)=0,"",INDEX(包装物料出入库明细!$P$4:$P$2003,$Z991-0)),IF($Z991&lt;=4000,IF(INDEX(周转筐出入库明细!$Q$4:$Q$2004,$Z991-2000)=0,"",INDEX(周转筐出入库明细!$Q$4:$Q$2004,$Z991-2000)),IF($Z991&lt;=5200,"",IF($Z991&lt;=5800,IF(INDEX(次果筐明细!$M$4:$M$603,$Z991-5200)=0,"",INDEX(次果筐明细!$M$4:$M$603,$Z991-5200)),"")))))</f>
        <v/>
      </c>
      <c r="M991" s="37" t="str">
        <f>IF($Z991="","",IF($Z991&lt;=2000,IF(INDEX(包装物料出入库明细!$R$4:$R$2003,$Z991-0)=0,"",INDEX(包装物料出入库明细!$R$4:$R$2003,$Z991-0)),IF($Z991&lt;=4000,IF(INDEX(周转筐出入库明细!$W$4:$W$2004,$Z991-2000)=0,"",INDEX(周转筐出入库明细!$W$4:$W$2004,$Z991-2000)),IF($Z991&lt;=5200,IF(INDEX(客户自备加工筐明细!$L$4:$L$1203,$Z991-4000)=0,"",INDEX(客户自备加工筐明细!$L$4:$L$1203,$Z991-4000)),IF($Z991&lt;=5800,IF(INDEX(次果筐明细!$P$4:$P$603,$Z991-5200)=0,"",INDEX(次果筐明细!$P$4:$P$603,$Z991-5200)),"")))))</f>
        <v/>
      </c>
      <c r="N991" s="16" t="str">
        <f>IF($Z991="","",IF($Z991&lt;=2000,"",IF($Z991&lt;=4000,IF(INDEX(周转筐出入库明细!$D$4:$D$2004,$Z991-2000)=0,"",INDEX(周转筐出入库明细!$D$4:$D$2004,$Z991-2000)),IF($Z991&lt;=5200,IF(INDEX(客户自备加工筐明细!$C$4:$C$1203,$Z991-4000)=0,"",INDEX(客户自备加工筐明细!$C$4:$C$1203,$Z991-4000)),IF($Z991&lt;=5800,IF(INDEX(次果筐明细!$D$4:$D$603,$Z991-5200)=0,"",INDEX(次果筐明细!$D$4:$D$603,$Z991-5200)),"")))))</f>
        <v/>
      </c>
      <c r="O991" s="40" t="str">
        <f>IF($Z991="","",IF($Z991&lt;=2000,"",IF($Z991&lt;=4000,IF(N(INDEX(周转筐出入库明细!$J$4:$J$2004,$Z991-2000))+N(INDEX(周转筐出入库明细!$K$4:$K$2004,$Z991-2000))=0,"",N(INDEX(周转筐出入库明细!$J$4:$J$2004,$Z991-2000))+N(INDEX(周转筐出入库明细!$K$4:$K$2004,$Z991-2000))),IF($Z991&lt;=5200,IF(N(INDEX(客户自备加工筐明细!$G$4:$G$1203,$Z991-4000))=0,"",N(INDEX(客户自备加工筐明细!$G$4:$G$1203,$Z991-4000))),IF($Z991&lt;=5800,IF(ISNUMBER(SEARCH("退",INDEX(次果筐明细!$F$4:$F$603,$Z991-5200)&amp;"")),"",IF(N(INDEX(次果筐明细!$G$4:$G$603,$Z991-5200))=0,"",N(INDEX(次果筐明细!$G$4:$G$603,$Z991-5200)))),"")))))</f>
        <v/>
      </c>
      <c r="P991" s="40" t="str">
        <f>IF($Z991="","",IF($Z991&lt;=2000,"",IF($Z991&lt;=4000,IF(N(INDEX(周转筐出入库明细!$I$4:$I$2004,$Z991-2000))=0,"",N(INDEX(周转筐出入库明细!$I$4:$I$2004,$Z991-2000))),IF($Z991&lt;=5200,"",IF($Z991&lt;=5800,IF(ISNUMBER(SEARCH("退",INDEX(次果筐明细!$F$4:$F$603,$Z991-5200)&amp;"")),IF(N(INDEX(次果筐明细!$G$4:$G$603,$Z991-5200))=0,"",N(INDEX(次果筐明细!$G$4:$G$603,$Z991-5200))),""),"")))))</f>
        <v/>
      </c>
      <c r="Q991" s="40" t="str">
        <f>IF($Z991="","",IF($Z991&lt;=2000,"",IF($Z991&lt;=4000,IF(N(INDEX(周转筐出入库明细!$H$4:$H$2004,$Z991-2000))=0,"",N(INDEX(周转筐出入库明细!$H$4:$H$2004,$Z991-2000))),IF($Z991&lt;=5200,IF(N(INDEX(客户自备加工筐明细!$F$4:$F$1203,$Z991-4000))=0,"",N(INDEX(客户自备加工筐明细!$F$4:$F$1203,$Z991-4000))),IF($Z991&lt;=5800,"","")))))</f>
        <v/>
      </c>
      <c r="R991" s="16" t="str">
        <f>IF($Z991="","",IF($Z991&lt;=2000,IF(INDEX(包装物料出入库明细!$O$4:$O$2003,$Z991-0)=0,"",INDEX(包装物料出入库明细!$O$4:$O$2003,$Z991-0)),IF($Z991&lt;=4000,IF(INDEX(周转筐出入库明细!$M$4:$M$2004,$Z991-2000)=0,"",INDEX(周转筐出入库明细!$M$4:$M$2004,$Z991-2000)),IF($Z991&lt;=5200,IF(INDEX(客户自备加工筐明细!$H$4:$H$1203,$Z991-4000)=0,"",INDEX(客户自备加工筐明细!$H$4:$H$1203,$Z991-4000)),IF($Z991&lt;=5800,IF(INDEX(次果筐明细!$H$4:$H$603,$Z991-5200)=0,"",INDEX(次果筐明细!$H$4:$H$603,$Z991-5200)),"")))))</f>
        <v/>
      </c>
      <c r="S991" s="22" t="str">
        <f t="shared" si="47"/>
        <v/>
      </c>
      <c r="Z991" s="10" t="str">
        <f>IFERROR(MATCH(ROW()-3,_自动清单!$CQ$4:$CQ$5803,0),"")</f>
        <v/>
      </c>
    </row>
    <row r="992" spans="1:26">
      <c r="A992" s="24" t="str">
        <f t="shared" si="45"/>
        <v/>
      </c>
      <c r="B992" s="38" t="str">
        <f>IF($Z992="","",IF($Z992&lt;=2000,IF(INDEX(包装物料出入库明细!$B$4:$B$2003,$Z992-0)=0,"",INDEX(包装物料出入库明细!$B$4:$B$2003,$Z992-0)),IF($Z992&lt;=4000,IF(INDEX(周转筐出入库明细!$B$4:$B$2004,$Z992-2000)=0,"",INDEX(周转筐出入库明细!$B$4:$B$2004,$Z992-2000)),IF($Z992&lt;=5200,IF(INDEX(客户自备加工筐明细!$B$4:$B$1203,$Z992-4000)=0,"",INDEX(客户自备加工筐明细!$B$4:$B$1203,$Z992-4000)),IF($Z992&lt;=5800,IF(INDEX(次果筐明细!$B$4:$B$603,$Z992-5200)=0,"",INDEX(次果筐明细!$B$4:$B$603,$Z992-5200)),"")))))</f>
        <v/>
      </c>
      <c r="C992" s="37" t="str">
        <f>IF($Z992="","",IF($Z992&lt;=2000,IF(INDEX(包装物料出入库明细!$D$4:$D$2003,$Z992-0)=0,"",INDEX(包装物料出入库明细!$D$4:$D$2003,$Z992-0)),IF($Z992&lt;=4000,IF(INDEX(周转筐出入库明细!$C$4:$C$2004,$Z992-2000)=0,"",INDEX(周转筐出入库明细!$C$4:$C$2004,$Z992-2000)),IF($Z992&lt;=5200,IF(INDEX(客户自备加工筐明细!$E$4:$E$1203,$Z992-4000)=0,"",INDEX(客户自备加工筐明细!$E$4:$E$1203,$Z992-4000)),IF($Z992&lt;=5800,IF(INDEX(次果筐明细!$C$4:$C$603,$Z992-5200)=0,"",INDEX(次果筐明细!$C$4:$C$603,$Z992-5200)),"")))))</f>
        <v/>
      </c>
      <c r="D992" s="37" t="str">
        <f>IF($Z992="","",IF($Z992&lt;=2000,"包装物料－"&amp;INDEX(包装物料出入库明细!$H$4:$H$2003,$Z992-0),IF($Z992&lt;=4000,"周转筐－"&amp;INDEX(周转筐出入库明细!$F$4:$F$2004,$Z992-2000),IF($Z992&lt;=5200,"客户自备筐－"&amp;INDEX(客户自备加工筐明细!$J$4:$J$1203,$Z992-4000),IF($Z992&lt;=5800,"次果筐/托盘－"&amp;INDEX(次果筐明细!$F$4:$F$603,$Z992-5200),"")))))</f>
        <v/>
      </c>
      <c r="E992" s="24" t="str">
        <f>IF($Z992="","",IF($Z992&lt;=2000,IF(INDEX(包装物料出入库明细!$C$4:$C$2003,$Z992-0)=0,"",INDEX(包装物料出入库明细!$C$4:$C$2003,$Z992-0)),IF($Z992&lt;=4000,IF(INDEX(周转筐出入库明细!$E$4:$E$2004,$Z992-2000)=0,"",INDEX(周转筐出入库明细!$E$4:$E$2004,$Z992-2000)),IF($Z992&lt;=5200,IF(INDEX(客户自备加工筐明细!$D$4:$D$1203,$Z992-4000)=0,"",INDEX(客户自备加工筐明细!$D$4:$D$1203,$Z992-4000)),IF($Z992&lt;=5800,IF(INDEX(次果筐明细!$E$4:$E$603,$Z992-5200)=0,"",INDEX(次果筐明细!$E$4:$E$603,$Z992-5200)),"")))))</f>
        <v/>
      </c>
      <c r="F992" s="24" t="str">
        <f>IF($Z992="","",IF($Z992&lt;=2000,IF(INDEX(包装物料出入库明细!$E$4:$E$2003,$Z992-0)=0,"",INDEX(包装物料出入库明细!$E$4:$E$2003,$Z992-0)),IF($Z992&lt;=4000,IF(INDEX(周转筐出入库明细!$D$4:$D$2004,$Z992-2000)=0,"",INDEX(周转筐出入库明细!$D$4:$D$2004,$Z992-2000)),IF($Z992&lt;=5200,IF(INDEX(客户自备加工筐明细!$C$4:$C$1203,$Z992-4000)=0,"",INDEX(客户自备加工筐明细!$C$4:$C$1203,$Z992-4000)),IF($Z992&lt;=5800,IF(INDEX(次果筐明细!$D$4:$D$603,$Z992-5200)=0,"",INDEX(次果筐明细!$D$4:$D$603,$Z992-5200)),"")))))</f>
        <v/>
      </c>
      <c r="G992" s="24" t="str">
        <f>IF($Z992="","",IF($Z992&lt;=2000,IF(INDEX(包装物料出入库明细!$F$4:$F$2003,$Z992-0)=0,"",INDEX(包装物料出入库明细!$F$4:$F$2003,$Z992-0)),IF($Z992&lt;=4000,"",IF($Z992&lt;=5200,"",IF($Z992&lt;=5800,"","")))))</f>
        <v/>
      </c>
      <c r="H992" s="39" t="str">
        <f>IF($Z992="","",IF($Z992&lt;=2000,IF(INDEX(包装物料出入库明细!$L$4:$L$2003,$Z992-0)=0,"",INDEX(包装物料出入库明细!$L$4:$L$2003,$Z992-0)),IF($Z992&lt;=4000,N(INDEX(周转筐出入库明细!$H$4:$H$2004,$Z992-2000))+N(INDEX(周转筐出入库明细!$I$4:$I$2004,$Z992-2000))+N(INDEX(周转筐出入库明细!$J$4:$J$2004,$Z992-2000))+N(INDEX(周转筐出入库明细!$K$4:$K$2004,$Z992-2000)),IF($Z992&lt;=5200,N(INDEX(客户自备加工筐明细!$F$4:$F$1203,$Z992-4000))+N(INDEX(客户自备加工筐明细!$G$4:$G$1203,$Z992-4000)),IF($Z992&lt;=5800,IF(INDEX(次果筐明细!$G$4:$G$603,$Z992-5200)=0,"",INDEX(次果筐明细!$G$4:$G$603,$Z992-5200)),"")))))</f>
        <v/>
      </c>
      <c r="I992" s="24" t="str">
        <f>IF($Z992="","",IF($Z992&lt;=2000,IF(INDEX(包装物料出入库明细!$G$4:$G$2003,$Z992-0)=0,"",INDEX(包装物料出入库明细!$G$4:$G$2003,$Z992-0)),IF($Z992&lt;=4000,"个",IF($Z992&lt;=5200,"个",IF($Z992&lt;=5800,"个","")))))</f>
        <v/>
      </c>
      <c r="J992" s="30" t="str">
        <f t="shared" si="46"/>
        <v/>
      </c>
      <c r="K992" s="30" t="str">
        <f>IF($Z992="","",IF($Z992&lt;=2000,IF(INDEX(包装物料出入库明细!$N$4:$N$2003,$Z992-0)=0,"",INDEX(包装物料出入库明细!$N$4:$N$2003,$Z992-0)),IF($Z992&lt;=4000,IF(INDEX(周转筐出入库明细!$P$4:$P$2004,$Z992-2000)=0,"",INDEX(周转筐出入库明细!$P$4:$P$2004,$Z992-2000)),IF($Z992&lt;=5200,"",IF($Z992&lt;=5800,N(INDEX(次果筐明细!$L$4:$L$603,$Z992-5200))+N(INDEX(次果筐明细!$J$4:$J$603,$Z992-5200)),"")))))</f>
        <v/>
      </c>
      <c r="L992" s="24" t="str">
        <f>IF($Z992="","",IF($Z992&lt;=2000,IF(INDEX(包装物料出入库明细!$P$4:$P$2003,$Z992-0)=0,"",INDEX(包装物料出入库明细!$P$4:$P$2003,$Z992-0)),IF($Z992&lt;=4000,IF(INDEX(周转筐出入库明细!$Q$4:$Q$2004,$Z992-2000)=0,"",INDEX(周转筐出入库明细!$Q$4:$Q$2004,$Z992-2000)),IF($Z992&lt;=5200,"",IF($Z992&lt;=5800,IF(INDEX(次果筐明细!$M$4:$M$603,$Z992-5200)=0,"",INDEX(次果筐明细!$M$4:$M$603,$Z992-5200)),"")))))</f>
        <v/>
      </c>
      <c r="M992" s="37" t="str">
        <f>IF($Z992="","",IF($Z992&lt;=2000,IF(INDEX(包装物料出入库明细!$R$4:$R$2003,$Z992-0)=0,"",INDEX(包装物料出入库明细!$R$4:$R$2003,$Z992-0)),IF($Z992&lt;=4000,IF(INDEX(周转筐出入库明细!$W$4:$W$2004,$Z992-2000)=0,"",INDEX(周转筐出入库明细!$W$4:$W$2004,$Z992-2000)),IF($Z992&lt;=5200,IF(INDEX(客户自备加工筐明细!$L$4:$L$1203,$Z992-4000)=0,"",INDEX(客户自备加工筐明细!$L$4:$L$1203,$Z992-4000)),IF($Z992&lt;=5800,IF(INDEX(次果筐明细!$P$4:$P$603,$Z992-5200)=0,"",INDEX(次果筐明细!$P$4:$P$603,$Z992-5200)),"")))))</f>
        <v/>
      </c>
      <c r="N992" s="16" t="str">
        <f>IF($Z992="","",IF($Z992&lt;=2000,"",IF($Z992&lt;=4000,IF(INDEX(周转筐出入库明细!$D$4:$D$2004,$Z992-2000)=0,"",INDEX(周转筐出入库明细!$D$4:$D$2004,$Z992-2000)),IF($Z992&lt;=5200,IF(INDEX(客户自备加工筐明细!$C$4:$C$1203,$Z992-4000)=0,"",INDEX(客户自备加工筐明细!$C$4:$C$1203,$Z992-4000)),IF($Z992&lt;=5800,IF(INDEX(次果筐明细!$D$4:$D$603,$Z992-5200)=0,"",INDEX(次果筐明细!$D$4:$D$603,$Z992-5200)),"")))))</f>
        <v/>
      </c>
      <c r="O992" s="40" t="str">
        <f>IF($Z992="","",IF($Z992&lt;=2000,"",IF($Z992&lt;=4000,IF(N(INDEX(周转筐出入库明细!$J$4:$J$2004,$Z992-2000))+N(INDEX(周转筐出入库明细!$K$4:$K$2004,$Z992-2000))=0,"",N(INDEX(周转筐出入库明细!$J$4:$J$2004,$Z992-2000))+N(INDEX(周转筐出入库明细!$K$4:$K$2004,$Z992-2000))),IF($Z992&lt;=5200,IF(N(INDEX(客户自备加工筐明细!$G$4:$G$1203,$Z992-4000))=0,"",N(INDEX(客户自备加工筐明细!$G$4:$G$1203,$Z992-4000))),IF($Z992&lt;=5800,IF(ISNUMBER(SEARCH("退",INDEX(次果筐明细!$F$4:$F$603,$Z992-5200)&amp;"")),"",IF(N(INDEX(次果筐明细!$G$4:$G$603,$Z992-5200))=0,"",N(INDEX(次果筐明细!$G$4:$G$603,$Z992-5200)))),"")))))</f>
        <v/>
      </c>
      <c r="P992" s="40" t="str">
        <f>IF($Z992="","",IF($Z992&lt;=2000,"",IF($Z992&lt;=4000,IF(N(INDEX(周转筐出入库明细!$I$4:$I$2004,$Z992-2000))=0,"",N(INDEX(周转筐出入库明细!$I$4:$I$2004,$Z992-2000))),IF($Z992&lt;=5200,"",IF($Z992&lt;=5800,IF(ISNUMBER(SEARCH("退",INDEX(次果筐明细!$F$4:$F$603,$Z992-5200)&amp;"")),IF(N(INDEX(次果筐明细!$G$4:$G$603,$Z992-5200))=0,"",N(INDEX(次果筐明细!$G$4:$G$603,$Z992-5200))),""),"")))))</f>
        <v/>
      </c>
      <c r="Q992" s="40" t="str">
        <f>IF($Z992="","",IF($Z992&lt;=2000,"",IF($Z992&lt;=4000,IF(N(INDEX(周转筐出入库明细!$H$4:$H$2004,$Z992-2000))=0,"",N(INDEX(周转筐出入库明细!$H$4:$H$2004,$Z992-2000))),IF($Z992&lt;=5200,IF(N(INDEX(客户自备加工筐明细!$F$4:$F$1203,$Z992-4000))=0,"",N(INDEX(客户自备加工筐明细!$F$4:$F$1203,$Z992-4000))),IF($Z992&lt;=5800,"","")))))</f>
        <v/>
      </c>
      <c r="R992" s="16" t="str">
        <f>IF($Z992="","",IF($Z992&lt;=2000,IF(INDEX(包装物料出入库明细!$O$4:$O$2003,$Z992-0)=0,"",INDEX(包装物料出入库明细!$O$4:$O$2003,$Z992-0)),IF($Z992&lt;=4000,IF(INDEX(周转筐出入库明细!$M$4:$M$2004,$Z992-2000)=0,"",INDEX(周转筐出入库明细!$M$4:$M$2004,$Z992-2000)),IF($Z992&lt;=5200,IF(INDEX(客户自备加工筐明细!$H$4:$H$1203,$Z992-4000)=0,"",INDEX(客户自备加工筐明细!$H$4:$H$1203,$Z992-4000)),IF($Z992&lt;=5800,IF(INDEX(次果筐明细!$H$4:$H$603,$Z992-5200)=0,"",INDEX(次果筐明细!$H$4:$H$603,$Z992-5200)),"")))))</f>
        <v/>
      </c>
      <c r="S992" s="22" t="str">
        <f t="shared" si="47"/>
        <v/>
      </c>
      <c r="Z992" s="10" t="str">
        <f>IFERROR(MATCH(ROW()-3,_自动清单!$CQ$4:$CQ$5803,0),"")</f>
        <v/>
      </c>
    </row>
    <row r="993" spans="1:26">
      <c r="A993" s="24" t="str">
        <f t="shared" si="45"/>
        <v/>
      </c>
      <c r="B993" s="38" t="str">
        <f>IF($Z993="","",IF($Z993&lt;=2000,IF(INDEX(包装物料出入库明细!$B$4:$B$2003,$Z993-0)=0,"",INDEX(包装物料出入库明细!$B$4:$B$2003,$Z993-0)),IF($Z993&lt;=4000,IF(INDEX(周转筐出入库明细!$B$4:$B$2004,$Z993-2000)=0,"",INDEX(周转筐出入库明细!$B$4:$B$2004,$Z993-2000)),IF($Z993&lt;=5200,IF(INDEX(客户自备加工筐明细!$B$4:$B$1203,$Z993-4000)=0,"",INDEX(客户自备加工筐明细!$B$4:$B$1203,$Z993-4000)),IF($Z993&lt;=5800,IF(INDEX(次果筐明细!$B$4:$B$603,$Z993-5200)=0,"",INDEX(次果筐明细!$B$4:$B$603,$Z993-5200)),"")))))</f>
        <v/>
      </c>
      <c r="C993" s="37" t="str">
        <f>IF($Z993="","",IF($Z993&lt;=2000,IF(INDEX(包装物料出入库明细!$D$4:$D$2003,$Z993-0)=0,"",INDEX(包装物料出入库明细!$D$4:$D$2003,$Z993-0)),IF($Z993&lt;=4000,IF(INDEX(周转筐出入库明细!$C$4:$C$2004,$Z993-2000)=0,"",INDEX(周转筐出入库明细!$C$4:$C$2004,$Z993-2000)),IF($Z993&lt;=5200,IF(INDEX(客户自备加工筐明细!$E$4:$E$1203,$Z993-4000)=0,"",INDEX(客户自备加工筐明细!$E$4:$E$1203,$Z993-4000)),IF($Z993&lt;=5800,IF(INDEX(次果筐明细!$C$4:$C$603,$Z993-5200)=0,"",INDEX(次果筐明细!$C$4:$C$603,$Z993-5200)),"")))))</f>
        <v/>
      </c>
      <c r="D993" s="37" t="str">
        <f>IF($Z993="","",IF($Z993&lt;=2000,"包装物料－"&amp;INDEX(包装物料出入库明细!$H$4:$H$2003,$Z993-0),IF($Z993&lt;=4000,"周转筐－"&amp;INDEX(周转筐出入库明细!$F$4:$F$2004,$Z993-2000),IF($Z993&lt;=5200,"客户自备筐－"&amp;INDEX(客户自备加工筐明细!$J$4:$J$1203,$Z993-4000),IF($Z993&lt;=5800,"次果筐/托盘－"&amp;INDEX(次果筐明细!$F$4:$F$603,$Z993-5200),"")))))</f>
        <v/>
      </c>
      <c r="E993" s="24" t="str">
        <f>IF($Z993="","",IF($Z993&lt;=2000,IF(INDEX(包装物料出入库明细!$C$4:$C$2003,$Z993-0)=0,"",INDEX(包装物料出入库明细!$C$4:$C$2003,$Z993-0)),IF($Z993&lt;=4000,IF(INDEX(周转筐出入库明细!$E$4:$E$2004,$Z993-2000)=0,"",INDEX(周转筐出入库明细!$E$4:$E$2004,$Z993-2000)),IF($Z993&lt;=5200,IF(INDEX(客户自备加工筐明细!$D$4:$D$1203,$Z993-4000)=0,"",INDEX(客户自备加工筐明细!$D$4:$D$1203,$Z993-4000)),IF($Z993&lt;=5800,IF(INDEX(次果筐明细!$E$4:$E$603,$Z993-5200)=0,"",INDEX(次果筐明细!$E$4:$E$603,$Z993-5200)),"")))))</f>
        <v/>
      </c>
      <c r="F993" s="24" t="str">
        <f>IF($Z993="","",IF($Z993&lt;=2000,IF(INDEX(包装物料出入库明细!$E$4:$E$2003,$Z993-0)=0,"",INDEX(包装物料出入库明细!$E$4:$E$2003,$Z993-0)),IF($Z993&lt;=4000,IF(INDEX(周转筐出入库明细!$D$4:$D$2004,$Z993-2000)=0,"",INDEX(周转筐出入库明细!$D$4:$D$2004,$Z993-2000)),IF($Z993&lt;=5200,IF(INDEX(客户自备加工筐明细!$C$4:$C$1203,$Z993-4000)=0,"",INDEX(客户自备加工筐明细!$C$4:$C$1203,$Z993-4000)),IF($Z993&lt;=5800,IF(INDEX(次果筐明细!$D$4:$D$603,$Z993-5200)=0,"",INDEX(次果筐明细!$D$4:$D$603,$Z993-5200)),"")))))</f>
        <v/>
      </c>
      <c r="G993" s="24" t="str">
        <f>IF($Z993="","",IF($Z993&lt;=2000,IF(INDEX(包装物料出入库明细!$F$4:$F$2003,$Z993-0)=0,"",INDEX(包装物料出入库明细!$F$4:$F$2003,$Z993-0)),IF($Z993&lt;=4000,"",IF($Z993&lt;=5200,"",IF($Z993&lt;=5800,"","")))))</f>
        <v/>
      </c>
      <c r="H993" s="39" t="str">
        <f>IF($Z993="","",IF($Z993&lt;=2000,IF(INDEX(包装物料出入库明细!$L$4:$L$2003,$Z993-0)=0,"",INDEX(包装物料出入库明细!$L$4:$L$2003,$Z993-0)),IF($Z993&lt;=4000,N(INDEX(周转筐出入库明细!$H$4:$H$2004,$Z993-2000))+N(INDEX(周转筐出入库明细!$I$4:$I$2004,$Z993-2000))+N(INDEX(周转筐出入库明细!$J$4:$J$2004,$Z993-2000))+N(INDEX(周转筐出入库明细!$K$4:$K$2004,$Z993-2000)),IF($Z993&lt;=5200,N(INDEX(客户自备加工筐明细!$F$4:$F$1203,$Z993-4000))+N(INDEX(客户自备加工筐明细!$G$4:$G$1203,$Z993-4000)),IF($Z993&lt;=5800,IF(INDEX(次果筐明细!$G$4:$G$603,$Z993-5200)=0,"",INDEX(次果筐明细!$G$4:$G$603,$Z993-5200)),"")))))</f>
        <v/>
      </c>
      <c r="I993" s="24" t="str">
        <f>IF($Z993="","",IF($Z993&lt;=2000,IF(INDEX(包装物料出入库明细!$G$4:$G$2003,$Z993-0)=0,"",INDEX(包装物料出入库明细!$G$4:$G$2003,$Z993-0)),IF($Z993&lt;=4000,"个",IF($Z993&lt;=5200,"个",IF($Z993&lt;=5800,"个","")))))</f>
        <v/>
      </c>
      <c r="J993" s="30" t="str">
        <f t="shared" si="46"/>
        <v/>
      </c>
      <c r="K993" s="30" t="str">
        <f>IF($Z993="","",IF($Z993&lt;=2000,IF(INDEX(包装物料出入库明细!$N$4:$N$2003,$Z993-0)=0,"",INDEX(包装物料出入库明细!$N$4:$N$2003,$Z993-0)),IF($Z993&lt;=4000,IF(INDEX(周转筐出入库明细!$P$4:$P$2004,$Z993-2000)=0,"",INDEX(周转筐出入库明细!$P$4:$P$2004,$Z993-2000)),IF($Z993&lt;=5200,"",IF($Z993&lt;=5800,N(INDEX(次果筐明细!$L$4:$L$603,$Z993-5200))+N(INDEX(次果筐明细!$J$4:$J$603,$Z993-5200)),"")))))</f>
        <v/>
      </c>
      <c r="L993" s="24" t="str">
        <f>IF($Z993="","",IF($Z993&lt;=2000,IF(INDEX(包装物料出入库明细!$P$4:$P$2003,$Z993-0)=0,"",INDEX(包装物料出入库明细!$P$4:$P$2003,$Z993-0)),IF($Z993&lt;=4000,IF(INDEX(周转筐出入库明细!$Q$4:$Q$2004,$Z993-2000)=0,"",INDEX(周转筐出入库明细!$Q$4:$Q$2004,$Z993-2000)),IF($Z993&lt;=5200,"",IF($Z993&lt;=5800,IF(INDEX(次果筐明细!$M$4:$M$603,$Z993-5200)=0,"",INDEX(次果筐明细!$M$4:$M$603,$Z993-5200)),"")))))</f>
        <v/>
      </c>
      <c r="M993" s="37" t="str">
        <f>IF($Z993="","",IF($Z993&lt;=2000,IF(INDEX(包装物料出入库明细!$R$4:$R$2003,$Z993-0)=0,"",INDEX(包装物料出入库明细!$R$4:$R$2003,$Z993-0)),IF($Z993&lt;=4000,IF(INDEX(周转筐出入库明细!$W$4:$W$2004,$Z993-2000)=0,"",INDEX(周转筐出入库明细!$W$4:$W$2004,$Z993-2000)),IF($Z993&lt;=5200,IF(INDEX(客户自备加工筐明细!$L$4:$L$1203,$Z993-4000)=0,"",INDEX(客户自备加工筐明细!$L$4:$L$1203,$Z993-4000)),IF($Z993&lt;=5800,IF(INDEX(次果筐明细!$P$4:$P$603,$Z993-5200)=0,"",INDEX(次果筐明细!$P$4:$P$603,$Z993-5200)),"")))))</f>
        <v/>
      </c>
      <c r="N993" s="16" t="str">
        <f>IF($Z993="","",IF($Z993&lt;=2000,"",IF($Z993&lt;=4000,IF(INDEX(周转筐出入库明细!$D$4:$D$2004,$Z993-2000)=0,"",INDEX(周转筐出入库明细!$D$4:$D$2004,$Z993-2000)),IF($Z993&lt;=5200,IF(INDEX(客户自备加工筐明细!$C$4:$C$1203,$Z993-4000)=0,"",INDEX(客户自备加工筐明细!$C$4:$C$1203,$Z993-4000)),IF($Z993&lt;=5800,IF(INDEX(次果筐明细!$D$4:$D$603,$Z993-5200)=0,"",INDEX(次果筐明细!$D$4:$D$603,$Z993-5200)),"")))))</f>
        <v/>
      </c>
      <c r="O993" s="40" t="str">
        <f>IF($Z993="","",IF($Z993&lt;=2000,"",IF($Z993&lt;=4000,IF(N(INDEX(周转筐出入库明细!$J$4:$J$2004,$Z993-2000))+N(INDEX(周转筐出入库明细!$K$4:$K$2004,$Z993-2000))=0,"",N(INDEX(周转筐出入库明细!$J$4:$J$2004,$Z993-2000))+N(INDEX(周转筐出入库明细!$K$4:$K$2004,$Z993-2000))),IF($Z993&lt;=5200,IF(N(INDEX(客户自备加工筐明细!$G$4:$G$1203,$Z993-4000))=0,"",N(INDEX(客户自备加工筐明细!$G$4:$G$1203,$Z993-4000))),IF($Z993&lt;=5800,IF(ISNUMBER(SEARCH("退",INDEX(次果筐明细!$F$4:$F$603,$Z993-5200)&amp;"")),"",IF(N(INDEX(次果筐明细!$G$4:$G$603,$Z993-5200))=0,"",N(INDEX(次果筐明细!$G$4:$G$603,$Z993-5200)))),"")))))</f>
        <v/>
      </c>
      <c r="P993" s="40" t="str">
        <f>IF($Z993="","",IF($Z993&lt;=2000,"",IF($Z993&lt;=4000,IF(N(INDEX(周转筐出入库明细!$I$4:$I$2004,$Z993-2000))=0,"",N(INDEX(周转筐出入库明细!$I$4:$I$2004,$Z993-2000))),IF($Z993&lt;=5200,"",IF($Z993&lt;=5800,IF(ISNUMBER(SEARCH("退",INDEX(次果筐明细!$F$4:$F$603,$Z993-5200)&amp;"")),IF(N(INDEX(次果筐明细!$G$4:$G$603,$Z993-5200))=0,"",N(INDEX(次果筐明细!$G$4:$G$603,$Z993-5200))),""),"")))))</f>
        <v/>
      </c>
      <c r="Q993" s="40" t="str">
        <f>IF($Z993="","",IF($Z993&lt;=2000,"",IF($Z993&lt;=4000,IF(N(INDEX(周转筐出入库明细!$H$4:$H$2004,$Z993-2000))=0,"",N(INDEX(周转筐出入库明细!$H$4:$H$2004,$Z993-2000))),IF($Z993&lt;=5200,IF(N(INDEX(客户自备加工筐明细!$F$4:$F$1203,$Z993-4000))=0,"",N(INDEX(客户自备加工筐明细!$F$4:$F$1203,$Z993-4000))),IF($Z993&lt;=5800,"","")))))</f>
        <v/>
      </c>
      <c r="R993" s="16" t="str">
        <f>IF($Z993="","",IF($Z993&lt;=2000,IF(INDEX(包装物料出入库明细!$O$4:$O$2003,$Z993-0)=0,"",INDEX(包装物料出入库明细!$O$4:$O$2003,$Z993-0)),IF($Z993&lt;=4000,IF(INDEX(周转筐出入库明细!$M$4:$M$2004,$Z993-2000)=0,"",INDEX(周转筐出入库明细!$M$4:$M$2004,$Z993-2000)),IF($Z993&lt;=5200,IF(INDEX(客户自备加工筐明细!$H$4:$H$1203,$Z993-4000)=0,"",INDEX(客户自备加工筐明细!$H$4:$H$1203,$Z993-4000)),IF($Z993&lt;=5800,IF(INDEX(次果筐明细!$H$4:$H$603,$Z993-5200)=0,"",INDEX(次果筐明细!$H$4:$H$603,$Z993-5200)),"")))))</f>
        <v/>
      </c>
      <c r="S993" s="22" t="str">
        <f t="shared" si="47"/>
        <v/>
      </c>
      <c r="Z993" s="10" t="str">
        <f>IFERROR(MATCH(ROW()-3,_自动清单!$CQ$4:$CQ$5803,0),"")</f>
        <v/>
      </c>
    </row>
    <row r="994" spans="1:26">
      <c r="A994" s="24" t="str">
        <f t="shared" si="45"/>
        <v/>
      </c>
      <c r="B994" s="38" t="str">
        <f>IF($Z994="","",IF($Z994&lt;=2000,IF(INDEX(包装物料出入库明细!$B$4:$B$2003,$Z994-0)=0,"",INDEX(包装物料出入库明细!$B$4:$B$2003,$Z994-0)),IF($Z994&lt;=4000,IF(INDEX(周转筐出入库明细!$B$4:$B$2004,$Z994-2000)=0,"",INDEX(周转筐出入库明细!$B$4:$B$2004,$Z994-2000)),IF($Z994&lt;=5200,IF(INDEX(客户自备加工筐明细!$B$4:$B$1203,$Z994-4000)=0,"",INDEX(客户自备加工筐明细!$B$4:$B$1203,$Z994-4000)),IF($Z994&lt;=5800,IF(INDEX(次果筐明细!$B$4:$B$603,$Z994-5200)=0,"",INDEX(次果筐明细!$B$4:$B$603,$Z994-5200)),"")))))</f>
        <v/>
      </c>
      <c r="C994" s="37" t="str">
        <f>IF($Z994="","",IF($Z994&lt;=2000,IF(INDEX(包装物料出入库明细!$D$4:$D$2003,$Z994-0)=0,"",INDEX(包装物料出入库明细!$D$4:$D$2003,$Z994-0)),IF($Z994&lt;=4000,IF(INDEX(周转筐出入库明细!$C$4:$C$2004,$Z994-2000)=0,"",INDEX(周转筐出入库明细!$C$4:$C$2004,$Z994-2000)),IF($Z994&lt;=5200,IF(INDEX(客户自备加工筐明细!$E$4:$E$1203,$Z994-4000)=0,"",INDEX(客户自备加工筐明细!$E$4:$E$1203,$Z994-4000)),IF($Z994&lt;=5800,IF(INDEX(次果筐明细!$C$4:$C$603,$Z994-5200)=0,"",INDEX(次果筐明细!$C$4:$C$603,$Z994-5200)),"")))))</f>
        <v/>
      </c>
      <c r="D994" s="37" t="str">
        <f>IF($Z994="","",IF($Z994&lt;=2000,"包装物料－"&amp;INDEX(包装物料出入库明细!$H$4:$H$2003,$Z994-0),IF($Z994&lt;=4000,"周转筐－"&amp;INDEX(周转筐出入库明细!$F$4:$F$2004,$Z994-2000),IF($Z994&lt;=5200,"客户自备筐－"&amp;INDEX(客户自备加工筐明细!$J$4:$J$1203,$Z994-4000),IF($Z994&lt;=5800,"次果筐/托盘－"&amp;INDEX(次果筐明细!$F$4:$F$603,$Z994-5200),"")))))</f>
        <v/>
      </c>
      <c r="E994" s="24" t="str">
        <f>IF($Z994="","",IF($Z994&lt;=2000,IF(INDEX(包装物料出入库明细!$C$4:$C$2003,$Z994-0)=0,"",INDEX(包装物料出入库明细!$C$4:$C$2003,$Z994-0)),IF($Z994&lt;=4000,IF(INDEX(周转筐出入库明细!$E$4:$E$2004,$Z994-2000)=0,"",INDEX(周转筐出入库明细!$E$4:$E$2004,$Z994-2000)),IF($Z994&lt;=5200,IF(INDEX(客户自备加工筐明细!$D$4:$D$1203,$Z994-4000)=0,"",INDEX(客户自备加工筐明细!$D$4:$D$1203,$Z994-4000)),IF($Z994&lt;=5800,IF(INDEX(次果筐明细!$E$4:$E$603,$Z994-5200)=0,"",INDEX(次果筐明细!$E$4:$E$603,$Z994-5200)),"")))))</f>
        <v/>
      </c>
      <c r="F994" s="24" t="str">
        <f>IF($Z994="","",IF($Z994&lt;=2000,IF(INDEX(包装物料出入库明细!$E$4:$E$2003,$Z994-0)=0,"",INDEX(包装物料出入库明细!$E$4:$E$2003,$Z994-0)),IF($Z994&lt;=4000,IF(INDEX(周转筐出入库明细!$D$4:$D$2004,$Z994-2000)=0,"",INDEX(周转筐出入库明细!$D$4:$D$2004,$Z994-2000)),IF($Z994&lt;=5200,IF(INDEX(客户自备加工筐明细!$C$4:$C$1203,$Z994-4000)=0,"",INDEX(客户自备加工筐明细!$C$4:$C$1203,$Z994-4000)),IF($Z994&lt;=5800,IF(INDEX(次果筐明细!$D$4:$D$603,$Z994-5200)=0,"",INDEX(次果筐明细!$D$4:$D$603,$Z994-5200)),"")))))</f>
        <v/>
      </c>
      <c r="G994" s="24" t="str">
        <f>IF($Z994="","",IF($Z994&lt;=2000,IF(INDEX(包装物料出入库明细!$F$4:$F$2003,$Z994-0)=0,"",INDEX(包装物料出入库明细!$F$4:$F$2003,$Z994-0)),IF($Z994&lt;=4000,"",IF($Z994&lt;=5200,"",IF($Z994&lt;=5800,"","")))))</f>
        <v/>
      </c>
      <c r="H994" s="39" t="str">
        <f>IF($Z994="","",IF($Z994&lt;=2000,IF(INDEX(包装物料出入库明细!$L$4:$L$2003,$Z994-0)=0,"",INDEX(包装物料出入库明细!$L$4:$L$2003,$Z994-0)),IF($Z994&lt;=4000,N(INDEX(周转筐出入库明细!$H$4:$H$2004,$Z994-2000))+N(INDEX(周转筐出入库明细!$I$4:$I$2004,$Z994-2000))+N(INDEX(周转筐出入库明细!$J$4:$J$2004,$Z994-2000))+N(INDEX(周转筐出入库明细!$K$4:$K$2004,$Z994-2000)),IF($Z994&lt;=5200,N(INDEX(客户自备加工筐明细!$F$4:$F$1203,$Z994-4000))+N(INDEX(客户自备加工筐明细!$G$4:$G$1203,$Z994-4000)),IF($Z994&lt;=5800,IF(INDEX(次果筐明细!$G$4:$G$603,$Z994-5200)=0,"",INDEX(次果筐明细!$G$4:$G$603,$Z994-5200)),"")))))</f>
        <v/>
      </c>
      <c r="I994" s="24" t="str">
        <f>IF($Z994="","",IF($Z994&lt;=2000,IF(INDEX(包装物料出入库明细!$G$4:$G$2003,$Z994-0)=0,"",INDEX(包装物料出入库明细!$G$4:$G$2003,$Z994-0)),IF($Z994&lt;=4000,"个",IF($Z994&lt;=5200,"个",IF($Z994&lt;=5800,"个","")))))</f>
        <v/>
      </c>
      <c r="J994" s="30" t="str">
        <f t="shared" si="46"/>
        <v/>
      </c>
      <c r="K994" s="30" t="str">
        <f>IF($Z994="","",IF($Z994&lt;=2000,IF(INDEX(包装物料出入库明细!$N$4:$N$2003,$Z994-0)=0,"",INDEX(包装物料出入库明细!$N$4:$N$2003,$Z994-0)),IF($Z994&lt;=4000,IF(INDEX(周转筐出入库明细!$P$4:$P$2004,$Z994-2000)=0,"",INDEX(周转筐出入库明细!$P$4:$P$2004,$Z994-2000)),IF($Z994&lt;=5200,"",IF($Z994&lt;=5800,N(INDEX(次果筐明细!$L$4:$L$603,$Z994-5200))+N(INDEX(次果筐明细!$J$4:$J$603,$Z994-5200)),"")))))</f>
        <v/>
      </c>
      <c r="L994" s="24" t="str">
        <f>IF($Z994="","",IF($Z994&lt;=2000,IF(INDEX(包装物料出入库明细!$P$4:$P$2003,$Z994-0)=0,"",INDEX(包装物料出入库明细!$P$4:$P$2003,$Z994-0)),IF($Z994&lt;=4000,IF(INDEX(周转筐出入库明细!$Q$4:$Q$2004,$Z994-2000)=0,"",INDEX(周转筐出入库明细!$Q$4:$Q$2004,$Z994-2000)),IF($Z994&lt;=5200,"",IF($Z994&lt;=5800,IF(INDEX(次果筐明细!$M$4:$M$603,$Z994-5200)=0,"",INDEX(次果筐明细!$M$4:$M$603,$Z994-5200)),"")))))</f>
        <v/>
      </c>
      <c r="M994" s="37" t="str">
        <f>IF($Z994="","",IF($Z994&lt;=2000,IF(INDEX(包装物料出入库明细!$R$4:$R$2003,$Z994-0)=0,"",INDEX(包装物料出入库明细!$R$4:$R$2003,$Z994-0)),IF($Z994&lt;=4000,IF(INDEX(周转筐出入库明细!$W$4:$W$2004,$Z994-2000)=0,"",INDEX(周转筐出入库明细!$W$4:$W$2004,$Z994-2000)),IF($Z994&lt;=5200,IF(INDEX(客户自备加工筐明细!$L$4:$L$1203,$Z994-4000)=0,"",INDEX(客户自备加工筐明细!$L$4:$L$1203,$Z994-4000)),IF($Z994&lt;=5800,IF(INDEX(次果筐明细!$P$4:$P$603,$Z994-5200)=0,"",INDEX(次果筐明细!$P$4:$P$603,$Z994-5200)),"")))))</f>
        <v/>
      </c>
      <c r="N994" s="16" t="str">
        <f>IF($Z994="","",IF($Z994&lt;=2000,"",IF($Z994&lt;=4000,IF(INDEX(周转筐出入库明细!$D$4:$D$2004,$Z994-2000)=0,"",INDEX(周转筐出入库明细!$D$4:$D$2004,$Z994-2000)),IF($Z994&lt;=5200,IF(INDEX(客户自备加工筐明细!$C$4:$C$1203,$Z994-4000)=0,"",INDEX(客户自备加工筐明细!$C$4:$C$1203,$Z994-4000)),IF($Z994&lt;=5800,IF(INDEX(次果筐明细!$D$4:$D$603,$Z994-5200)=0,"",INDEX(次果筐明细!$D$4:$D$603,$Z994-5200)),"")))))</f>
        <v/>
      </c>
      <c r="O994" s="40" t="str">
        <f>IF($Z994="","",IF($Z994&lt;=2000,"",IF($Z994&lt;=4000,IF(N(INDEX(周转筐出入库明细!$J$4:$J$2004,$Z994-2000))+N(INDEX(周转筐出入库明细!$K$4:$K$2004,$Z994-2000))=0,"",N(INDEX(周转筐出入库明细!$J$4:$J$2004,$Z994-2000))+N(INDEX(周转筐出入库明细!$K$4:$K$2004,$Z994-2000))),IF($Z994&lt;=5200,IF(N(INDEX(客户自备加工筐明细!$G$4:$G$1203,$Z994-4000))=0,"",N(INDEX(客户自备加工筐明细!$G$4:$G$1203,$Z994-4000))),IF($Z994&lt;=5800,IF(ISNUMBER(SEARCH("退",INDEX(次果筐明细!$F$4:$F$603,$Z994-5200)&amp;"")),"",IF(N(INDEX(次果筐明细!$G$4:$G$603,$Z994-5200))=0,"",N(INDEX(次果筐明细!$G$4:$G$603,$Z994-5200)))),"")))))</f>
        <v/>
      </c>
      <c r="P994" s="40" t="str">
        <f>IF($Z994="","",IF($Z994&lt;=2000,"",IF($Z994&lt;=4000,IF(N(INDEX(周转筐出入库明细!$I$4:$I$2004,$Z994-2000))=0,"",N(INDEX(周转筐出入库明细!$I$4:$I$2004,$Z994-2000))),IF($Z994&lt;=5200,"",IF($Z994&lt;=5800,IF(ISNUMBER(SEARCH("退",INDEX(次果筐明细!$F$4:$F$603,$Z994-5200)&amp;"")),IF(N(INDEX(次果筐明细!$G$4:$G$603,$Z994-5200))=0,"",N(INDEX(次果筐明细!$G$4:$G$603,$Z994-5200))),""),"")))))</f>
        <v/>
      </c>
      <c r="Q994" s="40" t="str">
        <f>IF($Z994="","",IF($Z994&lt;=2000,"",IF($Z994&lt;=4000,IF(N(INDEX(周转筐出入库明细!$H$4:$H$2004,$Z994-2000))=0,"",N(INDEX(周转筐出入库明细!$H$4:$H$2004,$Z994-2000))),IF($Z994&lt;=5200,IF(N(INDEX(客户自备加工筐明细!$F$4:$F$1203,$Z994-4000))=0,"",N(INDEX(客户自备加工筐明细!$F$4:$F$1203,$Z994-4000))),IF($Z994&lt;=5800,"","")))))</f>
        <v/>
      </c>
      <c r="R994" s="16" t="str">
        <f>IF($Z994="","",IF($Z994&lt;=2000,IF(INDEX(包装物料出入库明细!$O$4:$O$2003,$Z994-0)=0,"",INDEX(包装物料出入库明细!$O$4:$O$2003,$Z994-0)),IF($Z994&lt;=4000,IF(INDEX(周转筐出入库明细!$M$4:$M$2004,$Z994-2000)=0,"",INDEX(周转筐出入库明细!$M$4:$M$2004,$Z994-2000)),IF($Z994&lt;=5200,IF(INDEX(客户自备加工筐明细!$H$4:$H$1203,$Z994-4000)=0,"",INDEX(客户自备加工筐明细!$H$4:$H$1203,$Z994-4000)),IF($Z994&lt;=5800,IF(INDEX(次果筐明细!$H$4:$H$603,$Z994-5200)=0,"",INDEX(次果筐明细!$H$4:$H$603,$Z994-5200)),"")))))</f>
        <v/>
      </c>
      <c r="S994" s="22" t="str">
        <f t="shared" si="47"/>
        <v/>
      </c>
      <c r="Z994" s="10" t="str">
        <f>IFERROR(MATCH(ROW()-3,_自动清单!$CQ$4:$CQ$5803,0),"")</f>
        <v/>
      </c>
    </row>
    <row r="995" spans="1:26">
      <c r="A995" s="24" t="str">
        <f t="shared" si="45"/>
        <v/>
      </c>
      <c r="B995" s="38" t="str">
        <f>IF($Z995="","",IF($Z995&lt;=2000,IF(INDEX(包装物料出入库明细!$B$4:$B$2003,$Z995-0)=0,"",INDEX(包装物料出入库明细!$B$4:$B$2003,$Z995-0)),IF($Z995&lt;=4000,IF(INDEX(周转筐出入库明细!$B$4:$B$2004,$Z995-2000)=0,"",INDEX(周转筐出入库明细!$B$4:$B$2004,$Z995-2000)),IF($Z995&lt;=5200,IF(INDEX(客户自备加工筐明细!$B$4:$B$1203,$Z995-4000)=0,"",INDEX(客户自备加工筐明细!$B$4:$B$1203,$Z995-4000)),IF($Z995&lt;=5800,IF(INDEX(次果筐明细!$B$4:$B$603,$Z995-5200)=0,"",INDEX(次果筐明细!$B$4:$B$603,$Z995-5200)),"")))))</f>
        <v/>
      </c>
      <c r="C995" s="37" t="str">
        <f>IF($Z995="","",IF($Z995&lt;=2000,IF(INDEX(包装物料出入库明细!$D$4:$D$2003,$Z995-0)=0,"",INDEX(包装物料出入库明细!$D$4:$D$2003,$Z995-0)),IF($Z995&lt;=4000,IF(INDEX(周转筐出入库明细!$C$4:$C$2004,$Z995-2000)=0,"",INDEX(周转筐出入库明细!$C$4:$C$2004,$Z995-2000)),IF($Z995&lt;=5200,IF(INDEX(客户自备加工筐明细!$E$4:$E$1203,$Z995-4000)=0,"",INDEX(客户自备加工筐明细!$E$4:$E$1203,$Z995-4000)),IF($Z995&lt;=5800,IF(INDEX(次果筐明细!$C$4:$C$603,$Z995-5200)=0,"",INDEX(次果筐明细!$C$4:$C$603,$Z995-5200)),"")))))</f>
        <v/>
      </c>
      <c r="D995" s="37" t="str">
        <f>IF($Z995="","",IF($Z995&lt;=2000,"包装物料－"&amp;INDEX(包装物料出入库明细!$H$4:$H$2003,$Z995-0),IF($Z995&lt;=4000,"周转筐－"&amp;INDEX(周转筐出入库明细!$F$4:$F$2004,$Z995-2000),IF($Z995&lt;=5200,"客户自备筐－"&amp;INDEX(客户自备加工筐明细!$J$4:$J$1203,$Z995-4000),IF($Z995&lt;=5800,"次果筐/托盘－"&amp;INDEX(次果筐明细!$F$4:$F$603,$Z995-5200),"")))))</f>
        <v/>
      </c>
      <c r="E995" s="24" t="str">
        <f>IF($Z995="","",IF($Z995&lt;=2000,IF(INDEX(包装物料出入库明细!$C$4:$C$2003,$Z995-0)=0,"",INDEX(包装物料出入库明细!$C$4:$C$2003,$Z995-0)),IF($Z995&lt;=4000,IF(INDEX(周转筐出入库明细!$E$4:$E$2004,$Z995-2000)=0,"",INDEX(周转筐出入库明细!$E$4:$E$2004,$Z995-2000)),IF($Z995&lt;=5200,IF(INDEX(客户自备加工筐明细!$D$4:$D$1203,$Z995-4000)=0,"",INDEX(客户自备加工筐明细!$D$4:$D$1203,$Z995-4000)),IF($Z995&lt;=5800,IF(INDEX(次果筐明细!$E$4:$E$603,$Z995-5200)=0,"",INDEX(次果筐明细!$E$4:$E$603,$Z995-5200)),"")))))</f>
        <v/>
      </c>
      <c r="F995" s="24" t="str">
        <f>IF($Z995="","",IF($Z995&lt;=2000,IF(INDEX(包装物料出入库明细!$E$4:$E$2003,$Z995-0)=0,"",INDEX(包装物料出入库明细!$E$4:$E$2003,$Z995-0)),IF($Z995&lt;=4000,IF(INDEX(周转筐出入库明细!$D$4:$D$2004,$Z995-2000)=0,"",INDEX(周转筐出入库明细!$D$4:$D$2004,$Z995-2000)),IF($Z995&lt;=5200,IF(INDEX(客户自备加工筐明细!$C$4:$C$1203,$Z995-4000)=0,"",INDEX(客户自备加工筐明细!$C$4:$C$1203,$Z995-4000)),IF($Z995&lt;=5800,IF(INDEX(次果筐明细!$D$4:$D$603,$Z995-5200)=0,"",INDEX(次果筐明细!$D$4:$D$603,$Z995-5200)),"")))))</f>
        <v/>
      </c>
      <c r="G995" s="24" t="str">
        <f>IF($Z995="","",IF($Z995&lt;=2000,IF(INDEX(包装物料出入库明细!$F$4:$F$2003,$Z995-0)=0,"",INDEX(包装物料出入库明细!$F$4:$F$2003,$Z995-0)),IF($Z995&lt;=4000,"",IF($Z995&lt;=5200,"",IF($Z995&lt;=5800,"","")))))</f>
        <v/>
      </c>
      <c r="H995" s="39" t="str">
        <f>IF($Z995="","",IF($Z995&lt;=2000,IF(INDEX(包装物料出入库明细!$L$4:$L$2003,$Z995-0)=0,"",INDEX(包装物料出入库明细!$L$4:$L$2003,$Z995-0)),IF($Z995&lt;=4000,N(INDEX(周转筐出入库明细!$H$4:$H$2004,$Z995-2000))+N(INDEX(周转筐出入库明细!$I$4:$I$2004,$Z995-2000))+N(INDEX(周转筐出入库明细!$J$4:$J$2004,$Z995-2000))+N(INDEX(周转筐出入库明细!$K$4:$K$2004,$Z995-2000)),IF($Z995&lt;=5200,N(INDEX(客户自备加工筐明细!$F$4:$F$1203,$Z995-4000))+N(INDEX(客户自备加工筐明细!$G$4:$G$1203,$Z995-4000)),IF($Z995&lt;=5800,IF(INDEX(次果筐明细!$G$4:$G$603,$Z995-5200)=0,"",INDEX(次果筐明细!$G$4:$G$603,$Z995-5200)),"")))))</f>
        <v/>
      </c>
      <c r="I995" s="24" t="str">
        <f>IF($Z995="","",IF($Z995&lt;=2000,IF(INDEX(包装物料出入库明细!$G$4:$G$2003,$Z995-0)=0,"",INDEX(包装物料出入库明细!$G$4:$G$2003,$Z995-0)),IF($Z995&lt;=4000,"个",IF($Z995&lt;=5200,"个",IF($Z995&lt;=5800,"个","")))))</f>
        <v/>
      </c>
      <c r="J995" s="30" t="str">
        <f t="shared" si="46"/>
        <v/>
      </c>
      <c r="K995" s="30" t="str">
        <f>IF($Z995="","",IF($Z995&lt;=2000,IF(INDEX(包装物料出入库明细!$N$4:$N$2003,$Z995-0)=0,"",INDEX(包装物料出入库明细!$N$4:$N$2003,$Z995-0)),IF($Z995&lt;=4000,IF(INDEX(周转筐出入库明细!$P$4:$P$2004,$Z995-2000)=0,"",INDEX(周转筐出入库明细!$P$4:$P$2004,$Z995-2000)),IF($Z995&lt;=5200,"",IF($Z995&lt;=5800,N(INDEX(次果筐明细!$L$4:$L$603,$Z995-5200))+N(INDEX(次果筐明细!$J$4:$J$603,$Z995-5200)),"")))))</f>
        <v/>
      </c>
      <c r="L995" s="24" t="str">
        <f>IF($Z995="","",IF($Z995&lt;=2000,IF(INDEX(包装物料出入库明细!$P$4:$P$2003,$Z995-0)=0,"",INDEX(包装物料出入库明细!$P$4:$P$2003,$Z995-0)),IF($Z995&lt;=4000,IF(INDEX(周转筐出入库明细!$Q$4:$Q$2004,$Z995-2000)=0,"",INDEX(周转筐出入库明细!$Q$4:$Q$2004,$Z995-2000)),IF($Z995&lt;=5200,"",IF($Z995&lt;=5800,IF(INDEX(次果筐明细!$M$4:$M$603,$Z995-5200)=0,"",INDEX(次果筐明细!$M$4:$M$603,$Z995-5200)),"")))))</f>
        <v/>
      </c>
      <c r="M995" s="37" t="str">
        <f>IF($Z995="","",IF($Z995&lt;=2000,IF(INDEX(包装物料出入库明细!$R$4:$R$2003,$Z995-0)=0,"",INDEX(包装物料出入库明细!$R$4:$R$2003,$Z995-0)),IF($Z995&lt;=4000,IF(INDEX(周转筐出入库明细!$W$4:$W$2004,$Z995-2000)=0,"",INDEX(周转筐出入库明细!$W$4:$W$2004,$Z995-2000)),IF($Z995&lt;=5200,IF(INDEX(客户自备加工筐明细!$L$4:$L$1203,$Z995-4000)=0,"",INDEX(客户自备加工筐明细!$L$4:$L$1203,$Z995-4000)),IF($Z995&lt;=5800,IF(INDEX(次果筐明细!$P$4:$P$603,$Z995-5200)=0,"",INDEX(次果筐明细!$P$4:$P$603,$Z995-5200)),"")))))</f>
        <v/>
      </c>
      <c r="N995" s="16" t="str">
        <f>IF($Z995="","",IF($Z995&lt;=2000,"",IF($Z995&lt;=4000,IF(INDEX(周转筐出入库明细!$D$4:$D$2004,$Z995-2000)=0,"",INDEX(周转筐出入库明细!$D$4:$D$2004,$Z995-2000)),IF($Z995&lt;=5200,IF(INDEX(客户自备加工筐明细!$C$4:$C$1203,$Z995-4000)=0,"",INDEX(客户自备加工筐明细!$C$4:$C$1203,$Z995-4000)),IF($Z995&lt;=5800,IF(INDEX(次果筐明细!$D$4:$D$603,$Z995-5200)=0,"",INDEX(次果筐明细!$D$4:$D$603,$Z995-5200)),"")))))</f>
        <v/>
      </c>
      <c r="O995" s="40" t="str">
        <f>IF($Z995="","",IF($Z995&lt;=2000,"",IF($Z995&lt;=4000,IF(N(INDEX(周转筐出入库明细!$J$4:$J$2004,$Z995-2000))+N(INDEX(周转筐出入库明细!$K$4:$K$2004,$Z995-2000))=0,"",N(INDEX(周转筐出入库明细!$J$4:$J$2004,$Z995-2000))+N(INDEX(周转筐出入库明细!$K$4:$K$2004,$Z995-2000))),IF($Z995&lt;=5200,IF(N(INDEX(客户自备加工筐明细!$G$4:$G$1203,$Z995-4000))=0,"",N(INDEX(客户自备加工筐明细!$G$4:$G$1203,$Z995-4000))),IF($Z995&lt;=5800,IF(ISNUMBER(SEARCH("退",INDEX(次果筐明细!$F$4:$F$603,$Z995-5200)&amp;"")),"",IF(N(INDEX(次果筐明细!$G$4:$G$603,$Z995-5200))=0,"",N(INDEX(次果筐明细!$G$4:$G$603,$Z995-5200)))),"")))))</f>
        <v/>
      </c>
      <c r="P995" s="40" t="str">
        <f>IF($Z995="","",IF($Z995&lt;=2000,"",IF($Z995&lt;=4000,IF(N(INDEX(周转筐出入库明细!$I$4:$I$2004,$Z995-2000))=0,"",N(INDEX(周转筐出入库明细!$I$4:$I$2004,$Z995-2000))),IF($Z995&lt;=5200,"",IF($Z995&lt;=5800,IF(ISNUMBER(SEARCH("退",INDEX(次果筐明细!$F$4:$F$603,$Z995-5200)&amp;"")),IF(N(INDEX(次果筐明细!$G$4:$G$603,$Z995-5200))=0,"",N(INDEX(次果筐明细!$G$4:$G$603,$Z995-5200))),""),"")))))</f>
        <v/>
      </c>
      <c r="Q995" s="40" t="str">
        <f>IF($Z995="","",IF($Z995&lt;=2000,"",IF($Z995&lt;=4000,IF(N(INDEX(周转筐出入库明细!$H$4:$H$2004,$Z995-2000))=0,"",N(INDEX(周转筐出入库明细!$H$4:$H$2004,$Z995-2000))),IF($Z995&lt;=5200,IF(N(INDEX(客户自备加工筐明细!$F$4:$F$1203,$Z995-4000))=0,"",N(INDEX(客户自备加工筐明细!$F$4:$F$1203,$Z995-4000))),IF($Z995&lt;=5800,"","")))))</f>
        <v/>
      </c>
      <c r="R995" s="16" t="str">
        <f>IF($Z995="","",IF($Z995&lt;=2000,IF(INDEX(包装物料出入库明细!$O$4:$O$2003,$Z995-0)=0,"",INDEX(包装物料出入库明细!$O$4:$O$2003,$Z995-0)),IF($Z995&lt;=4000,IF(INDEX(周转筐出入库明细!$M$4:$M$2004,$Z995-2000)=0,"",INDEX(周转筐出入库明细!$M$4:$M$2004,$Z995-2000)),IF($Z995&lt;=5200,IF(INDEX(客户自备加工筐明细!$H$4:$H$1203,$Z995-4000)=0,"",INDEX(客户自备加工筐明细!$H$4:$H$1203,$Z995-4000)),IF($Z995&lt;=5800,IF(INDEX(次果筐明细!$H$4:$H$603,$Z995-5200)=0,"",INDEX(次果筐明细!$H$4:$H$603,$Z995-5200)),"")))))</f>
        <v/>
      </c>
      <c r="S995" s="22" t="str">
        <f t="shared" si="47"/>
        <v/>
      </c>
      <c r="Z995" s="10" t="str">
        <f>IFERROR(MATCH(ROW()-3,_自动清单!$CQ$4:$CQ$5803,0),"")</f>
        <v/>
      </c>
    </row>
    <row r="996" spans="1:26">
      <c r="A996" s="24" t="str">
        <f t="shared" si="45"/>
        <v/>
      </c>
      <c r="B996" s="38" t="str">
        <f>IF($Z996="","",IF($Z996&lt;=2000,IF(INDEX(包装物料出入库明细!$B$4:$B$2003,$Z996-0)=0,"",INDEX(包装物料出入库明细!$B$4:$B$2003,$Z996-0)),IF($Z996&lt;=4000,IF(INDEX(周转筐出入库明细!$B$4:$B$2004,$Z996-2000)=0,"",INDEX(周转筐出入库明细!$B$4:$B$2004,$Z996-2000)),IF($Z996&lt;=5200,IF(INDEX(客户自备加工筐明细!$B$4:$B$1203,$Z996-4000)=0,"",INDEX(客户自备加工筐明细!$B$4:$B$1203,$Z996-4000)),IF($Z996&lt;=5800,IF(INDEX(次果筐明细!$B$4:$B$603,$Z996-5200)=0,"",INDEX(次果筐明细!$B$4:$B$603,$Z996-5200)),"")))))</f>
        <v/>
      </c>
      <c r="C996" s="37" t="str">
        <f>IF($Z996="","",IF($Z996&lt;=2000,IF(INDEX(包装物料出入库明细!$D$4:$D$2003,$Z996-0)=0,"",INDEX(包装物料出入库明细!$D$4:$D$2003,$Z996-0)),IF($Z996&lt;=4000,IF(INDEX(周转筐出入库明细!$C$4:$C$2004,$Z996-2000)=0,"",INDEX(周转筐出入库明细!$C$4:$C$2004,$Z996-2000)),IF($Z996&lt;=5200,IF(INDEX(客户自备加工筐明细!$E$4:$E$1203,$Z996-4000)=0,"",INDEX(客户自备加工筐明细!$E$4:$E$1203,$Z996-4000)),IF($Z996&lt;=5800,IF(INDEX(次果筐明细!$C$4:$C$603,$Z996-5200)=0,"",INDEX(次果筐明细!$C$4:$C$603,$Z996-5200)),"")))))</f>
        <v/>
      </c>
      <c r="D996" s="37" t="str">
        <f>IF($Z996="","",IF($Z996&lt;=2000,"包装物料－"&amp;INDEX(包装物料出入库明细!$H$4:$H$2003,$Z996-0),IF($Z996&lt;=4000,"周转筐－"&amp;INDEX(周转筐出入库明细!$F$4:$F$2004,$Z996-2000),IF($Z996&lt;=5200,"客户自备筐－"&amp;INDEX(客户自备加工筐明细!$J$4:$J$1203,$Z996-4000),IF($Z996&lt;=5800,"次果筐/托盘－"&amp;INDEX(次果筐明细!$F$4:$F$603,$Z996-5200),"")))))</f>
        <v/>
      </c>
      <c r="E996" s="24" t="str">
        <f>IF($Z996="","",IF($Z996&lt;=2000,IF(INDEX(包装物料出入库明细!$C$4:$C$2003,$Z996-0)=0,"",INDEX(包装物料出入库明细!$C$4:$C$2003,$Z996-0)),IF($Z996&lt;=4000,IF(INDEX(周转筐出入库明细!$E$4:$E$2004,$Z996-2000)=0,"",INDEX(周转筐出入库明细!$E$4:$E$2004,$Z996-2000)),IF($Z996&lt;=5200,IF(INDEX(客户自备加工筐明细!$D$4:$D$1203,$Z996-4000)=0,"",INDEX(客户自备加工筐明细!$D$4:$D$1203,$Z996-4000)),IF($Z996&lt;=5800,IF(INDEX(次果筐明细!$E$4:$E$603,$Z996-5200)=0,"",INDEX(次果筐明细!$E$4:$E$603,$Z996-5200)),"")))))</f>
        <v/>
      </c>
      <c r="F996" s="24" t="str">
        <f>IF($Z996="","",IF($Z996&lt;=2000,IF(INDEX(包装物料出入库明细!$E$4:$E$2003,$Z996-0)=0,"",INDEX(包装物料出入库明细!$E$4:$E$2003,$Z996-0)),IF($Z996&lt;=4000,IF(INDEX(周转筐出入库明细!$D$4:$D$2004,$Z996-2000)=0,"",INDEX(周转筐出入库明细!$D$4:$D$2004,$Z996-2000)),IF($Z996&lt;=5200,IF(INDEX(客户自备加工筐明细!$C$4:$C$1203,$Z996-4000)=0,"",INDEX(客户自备加工筐明细!$C$4:$C$1203,$Z996-4000)),IF($Z996&lt;=5800,IF(INDEX(次果筐明细!$D$4:$D$603,$Z996-5200)=0,"",INDEX(次果筐明细!$D$4:$D$603,$Z996-5200)),"")))))</f>
        <v/>
      </c>
      <c r="G996" s="24" t="str">
        <f>IF($Z996="","",IF($Z996&lt;=2000,IF(INDEX(包装物料出入库明细!$F$4:$F$2003,$Z996-0)=0,"",INDEX(包装物料出入库明细!$F$4:$F$2003,$Z996-0)),IF($Z996&lt;=4000,"",IF($Z996&lt;=5200,"",IF($Z996&lt;=5800,"","")))))</f>
        <v/>
      </c>
      <c r="H996" s="39" t="str">
        <f>IF($Z996="","",IF($Z996&lt;=2000,IF(INDEX(包装物料出入库明细!$L$4:$L$2003,$Z996-0)=0,"",INDEX(包装物料出入库明细!$L$4:$L$2003,$Z996-0)),IF($Z996&lt;=4000,N(INDEX(周转筐出入库明细!$H$4:$H$2004,$Z996-2000))+N(INDEX(周转筐出入库明细!$I$4:$I$2004,$Z996-2000))+N(INDEX(周转筐出入库明细!$J$4:$J$2004,$Z996-2000))+N(INDEX(周转筐出入库明细!$K$4:$K$2004,$Z996-2000)),IF($Z996&lt;=5200,N(INDEX(客户自备加工筐明细!$F$4:$F$1203,$Z996-4000))+N(INDEX(客户自备加工筐明细!$G$4:$G$1203,$Z996-4000)),IF($Z996&lt;=5800,IF(INDEX(次果筐明细!$G$4:$G$603,$Z996-5200)=0,"",INDEX(次果筐明细!$G$4:$G$603,$Z996-5200)),"")))))</f>
        <v/>
      </c>
      <c r="I996" s="24" t="str">
        <f>IF($Z996="","",IF($Z996&lt;=2000,IF(INDEX(包装物料出入库明细!$G$4:$G$2003,$Z996-0)=0,"",INDEX(包装物料出入库明细!$G$4:$G$2003,$Z996-0)),IF($Z996&lt;=4000,"个",IF($Z996&lt;=5200,"个",IF($Z996&lt;=5800,"个","")))))</f>
        <v/>
      </c>
      <c r="J996" s="30" t="str">
        <f t="shared" si="46"/>
        <v/>
      </c>
      <c r="K996" s="30" t="str">
        <f>IF($Z996="","",IF($Z996&lt;=2000,IF(INDEX(包装物料出入库明细!$N$4:$N$2003,$Z996-0)=0,"",INDEX(包装物料出入库明细!$N$4:$N$2003,$Z996-0)),IF($Z996&lt;=4000,IF(INDEX(周转筐出入库明细!$P$4:$P$2004,$Z996-2000)=0,"",INDEX(周转筐出入库明细!$P$4:$P$2004,$Z996-2000)),IF($Z996&lt;=5200,"",IF($Z996&lt;=5800,N(INDEX(次果筐明细!$L$4:$L$603,$Z996-5200))+N(INDEX(次果筐明细!$J$4:$J$603,$Z996-5200)),"")))))</f>
        <v/>
      </c>
      <c r="L996" s="24" t="str">
        <f>IF($Z996="","",IF($Z996&lt;=2000,IF(INDEX(包装物料出入库明细!$P$4:$P$2003,$Z996-0)=0,"",INDEX(包装物料出入库明细!$P$4:$P$2003,$Z996-0)),IF($Z996&lt;=4000,IF(INDEX(周转筐出入库明细!$Q$4:$Q$2004,$Z996-2000)=0,"",INDEX(周转筐出入库明细!$Q$4:$Q$2004,$Z996-2000)),IF($Z996&lt;=5200,"",IF($Z996&lt;=5800,IF(INDEX(次果筐明细!$M$4:$M$603,$Z996-5200)=0,"",INDEX(次果筐明细!$M$4:$M$603,$Z996-5200)),"")))))</f>
        <v/>
      </c>
      <c r="M996" s="37" t="str">
        <f>IF($Z996="","",IF($Z996&lt;=2000,IF(INDEX(包装物料出入库明细!$R$4:$R$2003,$Z996-0)=0,"",INDEX(包装物料出入库明细!$R$4:$R$2003,$Z996-0)),IF($Z996&lt;=4000,IF(INDEX(周转筐出入库明细!$W$4:$W$2004,$Z996-2000)=0,"",INDEX(周转筐出入库明细!$W$4:$W$2004,$Z996-2000)),IF($Z996&lt;=5200,IF(INDEX(客户自备加工筐明细!$L$4:$L$1203,$Z996-4000)=0,"",INDEX(客户自备加工筐明细!$L$4:$L$1203,$Z996-4000)),IF($Z996&lt;=5800,IF(INDEX(次果筐明细!$P$4:$P$603,$Z996-5200)=0,"",INDEX(次果筐明细!$P$4:$P$603,$Z996-5200)),"")))))</f>
        <v/>
      </c>
      <c r="N996" s="16" t="str">
        <f>IF($Z996="","",IF($Z996&lt;=2000,"",IF($Z996&lt;=4000,IF(INDEX(周转筐出入库明细!$D$4:$D$2004,$Z996-2000)=0,"",INDEX(周转筐出入库明细!$D$4:$D$2004,$Z996-2000)),IF($Z996&lt;=5200,IF(INDEX(客户自备加工筐明细!$C$4:$C$1203,$Z996-4000)=0,"",INDEX(客户自备加工筐明细!$C$4:$C$1203,$Z996-4000)),IF($Z996&lt;=5800,IF(INDEX(次果筐明细!$D$4:$D$603,$Z996-5200)=0,"",INDEX(次果筐明细!$D$4:$D$603,$Z996-5200)),"")))))</f>
        <v/>
      </c>
      <c r="O996" s="40" t="str">
        <f>IF($Z996="","",IF($Z996&lt;=2000,"",IF($Z996&lt;=4000,IF(N(INDEX(周转筐出入库明细!$J$4:$J$2004,$Z996-2000))+N(INDEX(周转筐出入库明细!$K$4:$K$2004,$Z996-2000))=0,"",N(INDEX(周转筐出入库明细!$J$4:$J$2004,$Z996-2000))+N(INDEX(周转筐出入库明细!$K$4:$K$2004,$Z996-2000))),IF($Z996&lt;=5200,IF(N(INDEX(客户自备加工筐明细!$G$4:$G$1203,$Z996-4000))=0,"",N(INDEX(客户自备加工筐明细!$G$4:$G$1203,$Z996-4000))),IF($Z996&lt;=5800,IF(ISNUMBER(SEARCH("退",INDEX(次果筐明细!$F$4:$F$603,$Z996-5200)&amp;"")),"",IF(N(INDEX(次果筐明细!$G$4:$G$603,$Z996-5200))=0,"",N(INDEX(次果筐明细!$G$4:$G$603,$Z996-5200)))),"")))))</f>
        <v/>
      </c>
      <c r="P996" s="40" t="str">
        <f>IF($Z996="","",IF($Z996&lt;=2000,"",IF($Z996&lt;=4000,IF(N(INDEX(周转筐出入库明细!$I$4:$I$2004,$Z996-2000))=0,"",N(INDEX(周转筐出入库明细!$I$4:$I$2004,$Z996-2000))),IF($Z996&lt;=5200,"",IF($Z996&lt;=5800,IF(ISNUMBER(SEARCH("退",INDEX(次果筐明细!$F$4:$F$603,$Z996-5200)&amp;"")),IF(N(INDEX(次果筐明细!$G$4:$G$603,$Z996-5200))=0,"",N(INDEX(次果筐明细!$G$4:$G$603,$Z996-5200))),""),"")))))</f>
        <v/>
      </c>
      <c r="Q996" s="40" t="str">
        <f>IF($Z996="","",IF($Z996&lt;=2000,"",IF($Z996&lt;=4000,IF(N(INDEX(周转筐出入库明细!$H$4:$H$2004,$Z996-2000))=0,"",N(INDEX(周转筐出入库明细!$H$4:$H$2004,$Z996-2000))),IF($Z996&lt;=5200,IF(N(INDEX(客户自备加工筐明细!$F$4:$F$1203,$Z996-4000))=0,"",N(INDEX(客户自备加工筐明细!$F$4:$F$1203,$Z996-4000))),IF($Z996&lt;=5800,"","")))))</f>
        <v/>
      </c>
      <c r="R996" s="16" t="str">
        <f>IF($Z996="","",IF($Z996&lt;=2000,IF(INDEX(包装物料出入库明细!$O$4:$O$2003,$Z996-0)=0,"",INDEX(包装物料出入库明细!$O$4:$O$2003,$Z996-0)),IF($Z996&lt;=4000,IF(INDEX(周转筐出入库明细!$M$4:$M$2004,$Z996-2000)=0,"",INDEX(周转筐出入库明细!$M$4:$M$2004,$Z996-2000)),IF($Z996&lt;=5200,IF(INDEX(客户自备加工筐明细!$H$4:$H$1203,$Z996-4000)=0,"",INDEX(客户自备加工筐明细!$H$4:$H$1203,$Z996-4000)),IF($Z996&lt;=5800,IF(INDEX(次果筐明细!$H$4:$H$603,$Z996-5200)=0,"",INDEX(次果筐明细!$H$4:$H$603,$Z996-5200)),"")))))</f>
        <v/>
      </c>
      <c r="S996" s="22" t="str">
        <f t="shared" si="47"/>
        <v/>
      </c>
      <c r="Z996" s="10" t="str">
        <f>IFERROR(MATCH(ROW()-3,_自动清单!$CQ$4:$CQ$5803,0),"")</f>
        <v/>
      </c>
    </row>
    <row r="997" spans="1:26">
      <c r="A997" s="24" t="str">
        <f t="shared" si="45"/>
        <v/>
      </c>
      <c r="B997" s="38" t="str">
        <f>IF($Z997="","",IF($Z997&lt;=2000,IF(INDEX(包装物料出入库明细!$B$4:$B$2003,$Z997-0)=0,"",INDEX(包装物料出入库明细!$B$4:$B$2003,$Z997-0)),IF($Z997&lt;=4000,IF(INDEX(周转筐出入库明细!$B$4:$B$2004,$Z997-2000)=0,"",INDEX(周转筐出入库明细!$B$4:$B$2004,$Z997-2000)),IF($Z997&lt;=5200,IF(INDEX(客户自备加工筐明细!$B$4:$B$1203,$Z997-4000)=0,"",INDEX(客户自备加工筐明细!$B$4:$B$1203,$Z997-4000)),IF($Z997&lt;=5800,IF(INDEX(次果筐明细!$B$4:$B$603,$Z997-5200)=0,"",INDEX(次果筐明细!$B$4:$B$603,$Z997-5200)),"")))))</f>
        <v/>
      </c>
      <c r="C997" s="37" t="str">
        <f>IF($Z997="","",IF($Z997&lt;=2000,IF(INDEX(包装物料出入库明细!$D$4:$D$2003,$Z997-0)=0,"",INDEX(包装物料出入库明细!$D$4:$D$2003,$Z997-0)),IF($Z997&lt;=4000,IF(INDEX(周转筐出入库明细!$C$4:$C$2004,$Z997-2000)=0,"",INDEX(周转筐出入库明细!$C$4:$C$2004,$Z997-2000)),IF($Z997&lt;=5200,IF(INDEX(客户自备加工筐明细!$E$4:$E$1203,$Z997-4000)=0,"",INDEX(客户自备加工筐明细!$E$4:$E$1203,$Z997-4000)),IF($Z997&lt;=5800,IF(INDEX(次果筐明细!$C$4:$C$603,$Z997-5200)=0,"",INDEX(次果筐明细!$C$4:$C$603,$Z997-5200)),"")))))</f>
        <v/>
      </c>
      <c r="D997" s="37" t="str">
        <f>IF($Z997="","",IF($Z997&lt;=2000,"包装物料－"&amp;INDEX(包装物料出入库明细!$H$4:$H$2003,$Z997-0),IF($Z997&lt;=4000,"周转筐－"&amp;INDEX(周转筐出入库明细!$F$4:$F$2004,$Z997-2000),IF($Z997&lt;=5200,"客户自备筐－"&amp;INDEX(客户自备加工筐明细!$J$4:$J$1203,$Z997-4000),IF($Z997&lt;=5800,"次果筐/托盘－"&amp;INDEX(次果筐明细!$F$4:$F$603,$Z997-5200),"")))))</f>
        <v/>
      </c>
      <c r="E997" s="24" t="str">
        <f>IF($Z997="","",IF($Z997&lt;=2000,IF(INDEX(包装物料出入库明细!$C$4:$C$2003,$Z997-0)=0,"",INDEX(包装物料出入库明细!$C$4:$C$2003,$Z997-0)),IF($Z997&lt;=4000,IF(INDEX(周转筐出入库明细!$E$4:$E$2004,$Z997-2000)=0,"",INDEX(周转筐出入库明细!$E$4:$E$2004,$Z997-2000)),IF($Z997&lt;=5200,IF(INDEX(客户自备加工筐明细!$D$4:$D$1203,$Z997-4000)=0,"",INDEX(客户自备加工筐明细!$D$4:$D$1203,$Z997-4000)),IF($Z997&lt;=5800,IF(INDEX(次果筐明细!$E$4:$E$603,$Z997-5200)=0,"",INDEX(次果筐明细!$E$4:$E$603,$Z997-5200)),"")))))</f>
        <v/>
      </c>
      <c r="F997" s="24" t="str">
        <f>IF($Z997="","",IF($Z997&lt;=2000,IF(INDEX(包装物料出入库明细!$E$4:$E$2003,$Z997-0)=0,"",INDEX(包装物料出入库明细!$E$4:$E$2003,$Z997-0)),IF($Z997&lt;=4000,IF(INDEX(周转筐出入库明细!$D$4:$D$2004,$Z997-2000)=0,"",INDEX(周转筐出入库明细!$D$4:$D$2004,$Z997-2000)),IF($Z997&lt;=5200,IF(INDEX(客户自备加工筐明细!$C$4:$C$1203,$Z997-4000)=0,"",INDEX(客户自备加工筐明细!$C$4:$C$1203,$Z997-4000)),IF($Z997&lt;=5800,IF(INDEX(次果筐明细!$D$4:$D$603,$Z997-5200)=0,"",INDEX(次果筐明细!$D$4:$D$603,$Z997-5200)),"")))))</f>
        <v/>
      </c>
      <c r="G997" s="24" t="str">
        <f>IF($Z997="","",IF($Z997&lt;=2000,IF(INDEX(包装物料出入库明细!$F$4:$F$2003,$Z997-0)=0,"",INDEX(包装物料出入库明细!$F$4:$F$2003,$Z997-0)),IF($Z997&lt;=4000,"",IF($Z997&lt;=5200,"",IF($Z997&lt;=5800,"","")))))</f>
        <v/>
      </c>
      <c r="H997" s="39" t="str">
        <f>IF($Z997="","",IF($Z997&lt;=2000,IF(INDEX(包装物料出入库明细!$L$4:$L$2003,$Z997-0)=0,"",INDEX(包装物料出入库明细!$L$4:$L$2003,$Z997-0)),IF($Z997&lt;=4000,N(INDEX(周转筐出入库明细!$H$4:$H$2004,$Z997-2000))+N(INDEX(周转筐出入库明细!$I$4:$I$2004,$Z997-2000))+N(INDEX(周转筐出入库明细!$J$4:$J$2004,$Z997-2000))+N(INDEX(周转筐出入库明细!$K$4:$K$2004,$Z997-2000)),IF($Z997&lt;=5200,N(INDEX(客户自备加工筐明细!$F$4:$F$1203,$Z997-4000))+N(INDEX(客户自备加工筐明细!$G$4:$G$1203,$Z997-4000)),IF($Z997&lt;=5800,IF(INDEX(次果筐明细!$G$4:$G$603,$Z997-5200)=0,"",INDEX(次果筐明细!$G$4:$G$603,$Z997-5200)),"")))))</f>
        <v/>
      </c>
      <c r="I997" s="24" t="str">
        <f>IF($Z997="","",IF($Z997&lt;=2000,IF(INDEX(包装物料出入库明细!$G$4:$G$2003,$Z997-0)=0,"",INDEX(包装物料出入库明细!$G$4:$G$2003,$Z997-0)),IF($Z997&lt;=4000,"个",IF($Z997&lt;=5200,"个",IF($Z997&lt;=5800,"个","")))))</f>
        <v/>
      </c>
      <c r="J997" s="30" t="str">
        <f t="shared" si="46"/>
        <v/>
      </c>
      <c r="K997" s="30" t="str">
        <f>IF($Z997="","",IF($Z997&lt;=2000,IF(INDEX(包装物料出入库明细!$N$4:$N$2003,$Z997-0)=0,"",INDEX(包装物料出入库明细!$N$4:$N$2003,$Z997-0)),IF($Z997&lt;=4000,IF(INDEX(周转筐出入库明细!$P$4:$P$2004,$Z997-2000)=0,"",INDEX(周转筐出入库明细!$P$4:$P$2004,$Z997-2000)),IF($Z997&lt;=5200,"",IF($Z997&lt;=5800,N(INDEX(次果筐明细!$L$4:$L$603,$Z997-5200))+N(INDEX(次果筐明细!$J$4:$J$603,$Z997-5200)),"")))))</f>
        <v/>
      </c>
      <c r="L997" s="24" t="str">
        <f>IF($Z997="","",IF($Z997&lt;=2000,IF(INDEX(包装物料出入库明细!$P$4:$P$2003,$Z997-0)=0,"",INDEX(包装物料出入库明细!$P$4:$P$2003,$Z997-0)),IF($Z997&lt;=4000,IF(INDEX(周转筐出入库明细!$Q$4:$Q$2004,$Z997-2000)=0,"",INDEX(周转筐出入库明细!$Q$4:$Q$2004,$Z997-2000)),IF($Z997&lt;=5200,"",IF($Z997&lt;=5800,IF(INDEX(次果筐明细!$M$4:$M$603,$Z997-5200)=0,"",INDEX(次果筐明细!$M$4:$M$603,$Z997-5200)),"")))))</f>
        <v/>
      </c>
      <c r="M997" s="37" t="str">
        <f>IF($Z997="","",IF($Z997&lt;=2000,IF(INDEX(包装物料出入库明细!$R$4:$R$2003,$Z997-0)=0,"",INDEX(包装物料出入库明细!$R$4:$R$2003,$Z997-0)),IF($Z997&lt;=4000,IF(INDEX(周转筐出入库明细!$W$4:$W$2004,$Z997-2000)=0,"",INDEX(周转筐出入库明细!$W$4:$W$2004,$Z997-2000)),IF($Z997&lt;=5200,IF(INDEX(客户自备加工筐明细!$L$4:$L$1203,$Z997-4000)=0,"",INDEX(客户自备加工筐明细!$L$4:$L$1203,$Z997-4000)),IF($Z997&lt;=5800,IF(INDEX(次果筐明细!$P$4:$P$603,$Z997-5200)=0,"",INDEX(次果筐明细!$P$4:$P$603,$Z997-5200)),"")))))</f>
        <v/>
      </c>
      <c r="N997" s="16" t="str">
        <f>IF($Z997="","",IF($Z997&lt;=2000,"",IF($Z997&lt;=4000,IF(INDEX(周转筐出入库明细!$D$4:$D$2004,$Z997-2000)=0,"",INDEX(周转筐出入库明细!$D$4:$D$2004,$Z997-2000)),IF($Z997&lt;=5200,IF(INDEX(客户自备加工筐明细!$C$4:$C$1203,$Z997-4000)=0,"",INDEX(客户自备加工筐明细!$C$4:$C$1203,$Z997-4000)),IF($Z997&lt;=5800,IF(INDEX(次果筐明细!$D$4:$D$603,$Z997-5200)=0,"",INDEX(次果筐明细!$D$4:$D$603,$Z997-5200)),"")))))</f>
        <v/>
      </c>
      <c r="O997" s="40" t="str">
        <f>IF($Z997="","",IF($Z997&lt;=2000,"",IF($Z997&lt;=4000,IF(N(INDEX(周转筐出入库明细!$J$4:$J$2004,$Z997-2000))+N(INDEX(周转筐出入库明细!$K$4:$K$2004,$Z997-2000))=0,"",N(INDEX(周转筐出入库明细!$J$4:$J$2004,$Z997-2000))+N(INDEX(周转筐出入库明细!$K$4:$K$2004,$Z997-2000))),IF($Z997&lt;=5200,IF(N(INDEX(客户自备加工筐明细!$G$4:$G$1203,$Z997-4000))=0,"",N(INDEX(客户自备加工筐明细!$G$4:$G$1203,$Z997-4000))),IF($Z997&lt;=5800,IF(ISNUMBER(SEARCH("退",INDEX(次果筐明细!$F$4:$F$603,$Z997-5200)&amp;"")),"",IF(N(INDEX(次果筐明细!$G$4:$G$603,$Z997-5200))=0,"",N(INDEX(次果筐明细!$G$4:$G$603,$Z997-5200)))),"")))))</f>
        <v/>
      </c>
      <c r="P997" s="40" t="str">
        <f>IF($Z997="","",IF($Z997&lt;=2000,"",IF($Z997&lt;=4000,IF(N(INDEX(周转筐出入库明细!$I$4:$I$2004,$Z997-2000))=0,"",N(INDEX(周转筐出入库明细!$I$4:$I$2004,$Z997-2000))),IF($Z997&lt;=5200,"",IF($Z997&lt;=5800,IF(ISNUMBER(SEARCH("退",INDEX(次果筐明细!$F$4:$F$603,$Z997-5200)&amp;"")),IF(N(INDEX(次果筐明细!$G$4:$G$603,$Z997-5200))=0,"",N(INDEX(次果筐明细!$G$4:$G$603,$Z997-5200))),""),"")))))</f>
        <v/>
      </c>
      <c r="Q997" s="40" t="str">
        <f>IF($Z997="","",IF($Z997&lt;=2000,"",IF($Z997&lt;=4000,IF(N(INDEX(周转筐出入库明细!$H$4:$H$2004,$Z997-2000))=0,"",N(INDEX(周转筐出入库明细!$H$4:$H$2004,$Z997-2000))),IF($Z997&lt;=5200,IF(N(INDEX(客户自备加工筐明细!$F$4:$F$1203,$Z997-4000))=0,"",N(INDEX(客户自备加工筐明细!$F$4:$F$1203,$Z997-4000))),IF($Z997&lt;=5800,"","")))))</f>
        <v/>
      </c>
      <c r="R997" s="16" t="str">
        <f>IF($Z997="","",IF($Z997&lt;=2000,IF(INDEX(包装物料出入库明细!$O$4:$O$2003,$Z997-0)=0,"",INDEX(包装物料出入库明细!$O$4:$O$2003,$Z997-0)),IF($Z997&lt;=4000,IF(INDEX(周转筐出入库明细!$M$4:$M$2004,$Z997-2000)=0,"",INDEX(周转筐出入库明细!$M$4:$M$2004,$Z997-2000)),IF($Z997&lt;=5200,IF(INDEX(客户自备加工筐明细!$H$4:$H$1203,$Z997-4000)=0,"",INDEX(客户自备加工筐明细!$H$4:$H$1203,$Z997-4000)),IF($Z997&lt;=5800,IF(INDEX(次果筐明细!$H$4:$H$603,$Z997-5200)=0,"",INDEX(次果筐明细!$H$4:$H$603,$Z997-5200)),"")))))</f>
        <v/>
      </c>
      <c r="S997" s="22" t="str">
        <f t="shared" si="47"/>
        <v/>
      </c>
      <c r="Z997" s="10" t="str">
        <f>IFERROR(MATCH(ROW()-3,_自动清单!$CQ$4:$CQ$5803,0),"")</f>
        <v/>
      </c>
    </row>
    <row r="998" spans="1:26">
      <c r="A998" s="24" t="str">
        <f t="shared" si="45"/>
        <v/>
      </c>
      <c r="B998" s="38" t="str">
        <f>IF($Z998="","",IF($Z998&lt;=2000,IF(INDEX(包装物料出入库明细!$B$4:$B$2003,$Z998-0)=0,"",INDEX(包装物料出入库明细!$B$4:$B$2003,$Z998-0)),IF($Z998&lt;=4000,IF(INDEX(周转筐出入库明细!$B$4:$B$2004,$Z998-2000)=0,"",INDEX(周转筐出入库明细!$B$4:$B$2004,$Z998-2000)),IF($Z998&lt;=5200,IF(INDEX(客户自备加工筐明细!$B$4:$B$1203,$Z998-4000)=0,"",INDEX(客户自备加工筐明细!$B$4:$B$1203,$Z998-4000)),IF($Z998&lt;=5800,IF(INDEX(次果筐明细!$B$4:$B$603,$Z998-5200)=0,"",INDEX(次果筐明细!$B$4:$B$603,$Z998-5200)),"")))))</f>
        <v/>
      </c>
      <c r="C998" s="37" t="str">
        <f>IF($Z998="","",IF($Z998&lt;=2000,IF(INDEX(包装物料出入库明细!$D$4:$D$2003,$Z998-0)=0,"",INDEX(包装物料出入库明细!$D$4:$D$2003,$Z998-0)),IF($Z998&lt;=4000,IF(INDEX(周转筐出入库明细!$C$4:$C$2004,$Z998-2000)=0,"",INDEX(周转筐出入库明细!$C$4:$C$2004,$Z998-2000)),IF($Z998&lt;=5200,IF(INDEX(客户自备加工筐明细!$E$4:$E$1203,$Z998-4000)=0,"",INDEX(客户自备加工筐明细!$E$4:$E$1203,$Z998-4000)),IF($Z998&lt;=5800,IF(INDEX(次果筐明细!$C$4:$C$603,$Z998-5200)=0,"",INDEX(次果筐明细!$C$4:$C$603,$Z998-5200)),"")))))</f>
        <v/>
      </c>
      <c r="D998" s="37" t="str">
        <f>IF($Z998="","",IF($Z998&lt;=2000,"包装物料－"&amp;INDEX(包装物料出入库明细!$H$4:$H$2003,$Z998-0),IF($Z998&lt;=4000,"周转筐－"&amp;INDEX(周转筐出入库明细!$F$4:$F$2004,$Z998-2000),IF($Z998&lt;=5200,"客户自备筐－"&amp;INDEX(客户自备加工筐明细!$J$4:$J$1203,$Z998-4000),IF($Z998&lt;=5800,"次果筐/托盘－"&amp;INDEX(次果筐明细!$F$4:$F$603,$Z998-5200),"")))))</f>
        <v/>
      </c>
      <c r="E998" s="24" t="str">
        <f>IF($Z998="","",IF($Z998&lt;=2000,IF(INDEX(包装物料出入库明细!$C$4:$C$2003,$Z998-0)=0,"",INDEX(包装物料出入库明细!$C$4:$C$2003,$Z998-0)),IF($Z998&lt;=4000,IF(INDEX(周转筐出入库明细!$E$4:$E$2004,$Z998-2000)=0,"",INDEX(周转筐出入库明细!$E$4:$E$2004,$Z998-2000)),IF($Z998&lt;=5200,IF(INDEX(客户自备加工筐明细!$D$4:$D$1203,$Z998-4000)=0,"",INDEX(客户自备加工筐明细!$D$4:$D$1203,$Z998-4000)),IF($Z998&lt;=5800,IF(INDEX(次果筐明细!$E$4:$E$603,$Z998-5200)=0,"",INDEX(次果筐明细!$E$4:$E$603,$Z998-5200)),"")))))</f>
        <v/>
      </c>
      <c r="F998" s="24" t="str">
        <f>IF($Z998="","",IF($Z998&lt;=2000,IF(INDEX(包装物料出入库明细!$E$4:$E$2003,$Z998-0)=0,"",INDEX(包装物料出入库明细!$E$4:$E$2003,$Z998-0)),IF($Z998&lt;=4000,IF(INDEX(周转筐出入库明细!$D$4:$D$2004,$Z998-2000)=0,"",INDEX(周转筐出入库明细!$D$4:$D$2004,$Z998-2000)),IF($Z998&lt;=5200,IF(INDEX(客户自备加工筐明细!$C$4:$C$1203,$Z998-4000)=0,"",INDEX(客户自备加工筐明细!$C$4:$C$1203,$Z998-4000)),IF($Z998&lt;=5800,IF(INDEX(次果筐明细!$D$4:$D$603,$Z998-5200)=0,"",INDEX(次果筐明细!$D$4:$D$603,$Z998-5200)),"")))))</f>
        <v/>
      </c>
      <c r="G998" s="24" t="str">
        <f>IF($Z998="","",IF($Z998&lt;=2000,IF(INDEX(包装物料出入库明细!$F$4:$F$2003,$Z998-0)=0,"",INDEX(包装物料出入库明细!$F$4:$F$2003,$Z998-0)),IF($Z998&lt;=4000,"",IF($Z998&lt;=5200,"",IF($Z998&lt;=5800,"","")))))</f>
        <v/>
      </c>
      <c r="H998" s="39" t="str">
        <f>IF($Z998="","",IF($Z998&lt;=2000,IF(INDEX(包装物料出入库明细!$L$4:$L$2003,$Z998-0)=0,"",INDEX(包装物料出入库明细!$L$4:$L$2003,$Z998-0)),IF($Z998&lt;=4000,N(INDEX(周转筐出入库明细!$H$4:$H$2004,$Z998-2000))+N(INDEX(周转筐出入库明细!$I$4:$I$2004,$Z998-2000))+N(INDEX(周转筐出入库明细!$J$4:$J$2004,$Z998-2000))+N(INDEX(周转筐出入库明细!$K$4:$K$2004,$Z998-2000)),IF($Z998&lt;=5200,N(INDEX(客户自备加工筐明细!$F$4:$F$1203,$Z998-4000))+N(INDEX(客户自备加工筐明细!$G$4:$G$1203,$Z998-4000)),IF($Z998&lt;=5800,IF(INDEX(次果筐明细!$G$4:$G$603,$Z998-5200)=0,"",INDEX(次果筐明细!$G$4:$G$603,$Z998-5200)),"")))))</f>
        <v/>
      </c>
      <c r="I998" s="24" t="str">
        <f>IF($Z998="","",IF($Z998&lt;=2000,IF(INDEX(包装物料出入库明细!$G$4:$G$2003,$Z998-0)=0,"",INDEX(包装物料出入库明细!$G$4:$G$2003,$Z998-0)),IF($Z998&lt;=4000,"个",IF($Z998&lt;=5200,"个",IF($Z998&lt;=5800,"个","")))))</f>
        <v/>
      </c>
      <c r="J998" s="30" t="str">
        <f t="shared" si="46"/>
        <v/>
      </c>
      <c r="K998" s="30" t="str">
        <f>IF($Z998="","",IF($Z998&lt;=2000,IF(INDEX(包装物料出入库明细!$N$4:$N$2003,$Z998-0)=0,"",INDEX(包装物料出入库明细!$N$4:$N$2003,$Z998-0)),IF($Z998&lt;=4000,IF(INDEX(周转筐出入库明细!$P$4:$P$2004,$Z998-2000)=0,"",INDEX(周转筐出入库明细!$P$4:$P$2004,$Z998-2000)),IF($Z998&lt;=5200,"",IF($Z998&lt;=5800,N(INDEX(次果筐明细!$L$4:$L$603,$Z998-5200))+N(INDEX(次果筐明细!$J$4:$J$603,$Z998-5200)),"")))))</f>
        <v/>
      </c>
      <c r="L998" s="24" t="str">
        <f>IF($Z998="","",IF($Z998&lt;=2000,IF(INDEX(包装物料出入库明细!$P$4:$P$2003,$Z998-0)=0,"",INDEX(包装物料出入库明细!$P$4:$P$2003,$Z998-0)),IF($Z998&lt;=4000,IF(INDEX(周转筐出入库明细!$Q$4:$Q$2004,$Z998-2000)=0,"",INDEX(周转筐出入库明细!$Q$4:$Q$2004,$Z998-2000)),IF($Z998&lt;=5200,"",IF($Z998&lt;=5800,IF(INDEX(次果筐明细!$M$4:$M$603,$Z998-5200)=0,"",INDEX(次果筐明细!$M$4:$M$603,$Z998-5200)),"")))))</f>
        <v/>
      </c>
      <c r="M998" s="37" t="str">
        <f>IF($Z998="","",IF($Z998&lt;=2000,IF(INDEX(包装物料出入库明细!$R$4:$R$2003,$Z998-0)=0,"",INDEX(包装物料出入库明细!$R$4:$R$2003,$Z998-0)),IF($Z998&lt;=4000,IF(INDEX(周转筐出入库明细!$W$4:$W$2004,$Z998-2000)=0,"",INDEX(周转筐出入库明细!$W$4:$W$2004,$Z998-2000)),IF($Z998&lt;=5200,IF(INDEX(客户自备加工筐明细!$L$4:$L$1203,$Z998-4000)=0,"",INDEX(客户自备加工筐明细!$L$4:$L$1203,$Z998-4000)),IF($Z998&lt;=5800,IF(INDEX(次果筐明细!$P$4:$P$603,$Z998-5200)=0,"",INDEX(次果筐明细!$P$4:$P$603,$Z998-5200)),"")))))</f>
        <v/>
      </c>
      <c r="N998" s="16" t="str">
        <f>IF($Z998="","",IF($Z998&lt;=2000,"",IF($Z998&lt;=4000,IF(INDEX(周转筐出入库明细!$D$4:$D$2004,$Z998-2000)=0,"",INDEX(周转筐出入库明细!$D$4:$D$2004,$Z998-2000)),IF($Z998&lt;=5200,IF(INDEX(客户自备加工筐明细!$C$4:$C$1203,$Z998-4000)=0,"",INDEX(客户自备加工筐明细!$C$4:$C$1203,$Z998-4000)),IF($Z998&lt;=5800,IF(INDEX(次果筐明细!$D$4:$D$603,$Z998-5200)=0,"",INDEX(次果筐明细!$D$4:$D$603,$Z998-5200)),"")))))</f>
        <v/>
      </c>
      <c r="O998" s="40" t="str">
        <f>IF($Z998="","",IF($Z998&lt;=2000,"",IF($Z998&lt;=4000,IF(N(INDEX(周转筐出入库明细!$J$4:$J$2004,$Z998-2000))+N(INDEX(周转筐出入库明细!$K$4:$K$2004,$Z998-2000))=0,"",N(INDEX(周转筐出入库明细!$J$4:$J$2004,$Z998-2000))+N(INDEX(周转筐出入库明细!$K$4:$K$2004,$Z998-2000))),IF($Z998&lt;=5200,IF(N(INDEX(客户自备加工筐明细!$G$4:$G$1203,$Z998-4000))=0,"",N(INDEX(客户自备加工筐明细!$G$4:$G$1203,$Z998-4000))),IF($Z998&lt;=5800,IF(ISNUMBER(SEARCH("退",INDEX(次果筐明细!$F$4:$F$603,$Z998-5200)&amp;"")),"",IF(N(INDEX(次果筐明细!$G$4:$G$603,$Z998-5200))=0,"",N(INDEX(次果筐明细!$G$4:$G$603,$Z998-5200)))),"")))))</f>
        <v/>
      </c>
      <c r="P998" s="40" t="str">
        <f>IF($Z998="","",IF($Z998&lt;=2000,"",IF($Z998&lt;=4000,IF(N(INDEX(周转筐出入库明细!$I$4:$I$2004,$Z998-2000))=0,"",N(INDEX(周转筐出入库明细!$I$4:$I$2004,$Z998-2000))),IF($Z998&lt;=5200,"",IF($Z998&lt;=5800,IF(ISNUMBER(SEARCH("退",INDEX(次果筐明细!$F$4:$F$603,$Z998-5200)&amp;"")),IF(N(INDEX(次果筐明细!$G$4:$G$603,$Z998-5200))=0,"",N(INDEX(次果筐明细!$G$4:$G$603,$Z998-5200))),""),"")))))</f>
        <v/>
      </c>
      <c r="Q998" s="40" t="str">
        <f>IF($Z998="","",IF($Z998&lt;=2000,"",IF($Z998&lt;=4000,IF(N(INDEX(周转筐出入库明细!$H$4:$H$2004,$Z998-2000))=0,"",N(INDEX(周转筐出入库明细!$H$4:$H$2004,$Z998-2000))),IF($Z998&lt;=5200,IF(N(INDEX(客户自备加工筐明细!$F$4:$F$1203,$Z998-4000))=0,"",N(INDEX(客户自备加工筐明细!$F$4:$F$1203,$Z998-4000))),IF($Z998&lt;=5800,"","")))))</f>
        <v/>
      </c>
      <c r="R998" s="16" t="str">
        <f>IF($Z998="","",IF($Z998&lt;=2000,IF(INDEX(包装物料出入库明细!$O$4:$O$2003,$Z998-0)=0,"",INDEX(包装物料出入库明细!$O$4:$O$2003,$Z998-0)),IF($Z998&lt;=4000,IF(INDEX(周转筐出入库明细!$M$4:$M$2004,$Z998-2000)=0,"",INDEX(周转筐出入库明细!$M$4:$M$2004,$Z998-2000)),IF($Z998&lt;=5200,IF(INDEX(客户自备加工筐明细!$H$4:$H$1203,$Z998-4000)=0,"",INDEX(客户自备加工筐明细!$H$4:$H$1203,$Z998-4000)),IF($Z998&lt;=5800,IF(INDEX(次果筐明细!$H$4:$H$603,$Z998-5200)=0,"",INDEX(次果筐明细!$H$4:$H$603,$Z998-5200)),"")))))</f>
        <v/>
      </c>
      <c r="S998" s="22" t="str">
        <f t="shared" si="47"/>
        <v/>
      </c>
      <c r="Z998" s="10" t="str">
        <f>IFERROR(MATCH(ROW()-3,_自动清单!$CQ$4:$CQ$5803,0),"")</f>
        <v/>
      </c>
    </row>
    <row r="999" spans="1:26">
      <c r="A999" s="24" t="str">
        <f t="shared" si="45"/>
        <v/>
      </c>
      <c r="B999" s="38" t="str">
        <f>IF($Z999="","",IF($Z999&lt;=2000,IF(INDEX(包装物料出入库明细!$B$4:$B$2003,$Z999-0)=0,"",INDEX(包装物料出入库明细!$B$4:$B$2003,$Z999-0)),IF($Z999&lt;=4000,IF(INDEX(周转筐出入库明细!$B$4:$B$2004,$Z999-2000)=0,"",INDEX(周转筐出入库明细!$B$4:$B$2004,$Z999-2000)),IF($Z999&lt;=5200,IF(INDEX(客户自备加工筐明细!$B$4:$B$1203,$Z999-4000)=0,"",INDEX(客户自备加工筐明细!$B$4:$B$1203,$Z999-4000)),IF($Z999&lt;=5800,IF(INDEX(次果筐明细!$B$4:$B$603,$Z999-5200)=0,"",INDEX(次果筐明细!$B$4:$B$603,$Z999-5200)),"")))))</f>
        <v/>
      </c>
      <c r="C999" s="37" t="str">
        <f>IF($Z999="","",IF($Z999&lt;=2000,IF(INDEX(包装物料出入库明细!$D$4:$D$2003,$Z999-0)=0,"",INDEX(包装物料出入库明细!$D$4:$D$2003,$Z999-0)),IF($Z999&lt;=4000,IF(INDEX(周转筐出入库明细!$C$4:$C$2004,$Z999-2000)=0,"",INDEX(周转筐出入库明细!$C$4:$C$2004,$Z999-2000)),IF($Z999&lt;=5200,IF(INDEX(客户自备加工筐明细!$E$4:$E$1203,$Z999-4000)=0,"",INDEX(客户自备加工筐明细!$E$4:$E$1203,$Z999-4000)),IF($Z999&lt;=5800,IF(INDEX(次果筐明细!$C$4:$C$603,$Z999-5200)=0,"",INDEX(次果筐明细!$C$4:$C$603,$Z999-5200)),"")))))</f>
        <v/>
      </c>
      <c r="D999" s="37" t="str">
        <f>IF($Z999="","",IF($Z999&lt;=2000,"包装物料－"&amp;INDEX(包装物料出入库明细!$H$4:$H$2003,$Z999-0),IF($Z999&lt;=4000,"周转筐－"&amp;INDEX(周转筐出入库明细!$F$4:$F$2004,$Z999-2000),IF($Z999&lt;=5200,"客户自备筐－"&amp;INDEX(客户自备加工筐明细!$J$4:$J$1203,$Z999-4000),IF($Z999&lt;=5800,"次果筐/托盘－"&amp;INDEX(次果筐明细!$F$4:$F$603,$Z999-5200),"")))))</f>
        <v/>
      </c>
      <c r="E999" s="24" t="str">
        <f>IF($Z999="","",IF($Z999&lt;=2000,IF(INDEX(包装物料出入库明细!$C$4:$C$2003,$Z999-0)=0,"",INDEX(包装物料出入库明细!$C$4:$C$2003,$Z999-0)),IF($Z999&lt;=4000,IF(INDEX(周转筐出入库明细!$E$4:$E$2004,$Z999-2000)=0,"",INDEX(周转筐出入库明细!$E$4:$E$2004,$Z999-2000)),IF($Z999&lt;=5200,IF(INDEX(客户自备加工筐明细!$D$4:$D$1203,$Z999-4000)=0,"",INDEX(客户自备加工筐明细!$D$4:$D$1203,$Z999-4000)),IF($Z999&lt;=5800,IF(INDEX(次果筐明细!$E$4:$E$603,$Z999-5200)=0,"",INDEX(次果筐明细!$E$4:$E$603,$Z999-5200)),"")))))</f>
        <v/>
      </c>
      <c r="F999" s="24" t="str">
        <f>IF($Z999="","",IF($Z999&lt;=2000,IF(INDEX(包装物料出入库明细!$E$4:$E$2003,$Z999-0)=0,"",INDEX(包装物料出入库明细!$E$4:$E$2003,$Z999-0)),IF($Z999&lt;=4000,IF(INDEX(周转筐出入库明细!$D$4:$D$2004,$Z999-2000)=0,"",INDEX(周转筐出入库明细!$D$4:$D$2004,$Z999-2000)),IF($Z999&lt;=5200,IF(INDEX(客户自备加工筐明细!$C$4:$C$1203,$Z999-4000)=0,"",INDEX(客户自备加工筐明细!$C$4:$C$1203,$Z999-4000)),IF($Z999&lt;=5800,IF(INDEX(次果筐明细!$D$4:$D$603,$Z999-5200)=0,"",INDEX(次果筐明细!$D$4:$D$603,$Z999-5200)),"")))))</f>
        <v/>
      </c>
      <c r="G999" s="24" t="str">
        <f>IF($Z999="","",IF($Z999&lt;=2000,IF(INDEX(包装物料出入库明细!$F$4:$F$2003,$Z999-0)=0,"",INDEX(包装物料出入库明细!$F$4:$F$2003,$Z999-0)),IF($Z999&lt;=4000,"",IF($Z999&lt;=5200,"",IF($Z999&lt;=5800,"","")))))</f>
        <v/>
      </c>
      <c r="H999" s="39" t="str">
        <f>IF($Z999="","",IF($Z999&lt;=2000,IF(INDEX(包装物料出入库明细!$L$4:$L$2003,$Z999-0)=0,"",INDEX(包装物料出入库明细!$L$4:$L$2003,$Z999-0)),IF($Z999&lt;=4000,N(INDEX(周转筐出入库明细!$H$4:$H$2004,$Z999-2000))+N(INDEX(周转筐出入库明细!$I$4:$I$2004,$Z999-2000))+N(INDEX(周转筐出入库明细!$J$4:$J$2004,$Z999-2000))+N(INDEX(周转筐出入库明细!$K$4:$K$2004,$Z999-2000)),IF($Z999&lt;=5200,N(INDEX(客户自备加工筐明细!$F$4:$F$1203,$Z999-4000))+N(INDEX(客户自备加工筐明细!$G$4:$G$1203,$Z999-4000)),IF($Z999&lt;=5800,IF(INDEX(次果筐明细!$G$4:$G$603,$Z999-5200)=0,"",INDEX(次果筐明细!$G$4:$G$603,$Z999-5200)),"")))))</f>
        <v/>
      </c>
      <c r="I999" s="24" t="str">
        <f>IF($Z999="","",IF($Z999&lt;=2000,IF(INDEX(包装物料出入库明细!$G$4:$G$2003,$Z999-0)=0,"",INDEX(包装物料出入库明细!$G$4:$G$2003,$Z999-0)),IF($Z999&lt;=4000,"个",IF($Z999&lt;=5200,"个",IF($Z999&lt;=5800,"个","")))))</f>
        <v/>
      </c>
      <c r="J999" s="30" t="str">
        <f t="shared" si="46"/>
        <v/>
      </c>
      <c r="K999" s="30" t="str">
        <f>IF($Z999="","",IF($Z999&lt;=2000,IF(INDEX(包装物料出入库明细!$N$4:$N$2003,$Z999-0)=0,"",INDEX(包装物料出入库明细!$N$4:$N$2003,$Z999-0)),IF($Z999&lt;=4000,IF(INDEX(周转筐出入库明细!$P$4:$P$2004,$Z999-2000)=0,"",INDEX(周转筐出入库明细!$P$4:$P$2004,$Z999-2000)),IF($Z999&lt;=5200,"",IF($Z999&lt;=5800,N(INDEX(次果筐明细!$L$4:$L$603,$Z999-5200))+N(INDEX(次果筐明细!$J$4:$J$603,$Z999-5200)),"")))))</f>
        <v/>
      </c>
      <c r="L999" s="24" t="str">
        <f>IF($Z999="","",IF($Z999&lt;=2000,IF(INDEX(包装物料出入库明细!$P$4:$P$2003,$Z999-0)=0,"",INDEX(包装物料出入库明细!$P$4:$P$2003,$Z999-0)),IF($Z999&lt;=4000,IF(INDEX(周转筐出入库明细!$Q$4:$Q$2004,$Z999-2000)=0,"",INDEX(周转筐出入库明细!$Q$4:$Q$2004,$Z999-2000)),IF($Z999&lt;=5200,"",IF($Z999&lt;=5800,IF(INDEX(次果筐明细!$M$4:$M$603,$Z999-5200)=0,"",INDEX(次果筐明细!$M$4:$M$603,$Z999-5200)),"")))))</f>
        <v/>
      </c>
      <c r="M999" s="37" t="str">
        <f>IF($Z999="","",IF($Z999&lt;=2000,IF(INDEX(包装物料出入库明细!$R$4:$R$2003,$Z999-0)=0,"",INDEX(包装物料出入库明细!$R$4:$R$2003,$Z999-0)),IF($Z999&lt;=4000,IF(INDEX(周转筐出入库明细!$W$4:$W$2004,$Z999-2000)=0,"",INDEX(周转筐出入库明细!$W$4:$W$2004,$Z999-2000)),IF($Z999&lt;=5200,IF(INDEX(客户自备加工筐明细!$L$4:$L$1203,$Z999-4000)=0,"",INDEX(客户自备加工筐明细!$L$4:$L$1203,$Z999-4000)),IF($Z999&lt;=5800,IF(INDEX(次果筐明细!$P$4:$P$603,$Z999-5200)=0,"",INDEX(次果筐明细!$P$4:$P$603,$Z999-5200)),"")))))</f>
        <v/>
      </c>
      <c r="N999" s="16" t="str">
        <f>IF($Z999="","",IF($Z999&lt;=2000,"",IF($Z999&lt;=4000,IF(INDEX(周转筐出入库明细!$D$4:$D$2004,$Z999-2000)=0,"",INDEX(周转筐出入库明细!$D$4:$D$2004,$Z999-2000)),IF($Z999&lt;=5200,IF(INDEX(客户自备加工筐明细!$C$4:$C$1203,$Z999-4000)=0,"",INDEX(客户自备加工筐明细!$C$4:$C$1203,$Z999-4000)),IF($Z999&lt;=5800,IF(INDEX(次果筐明细!$D$4:$D$603,$Z999-5200)=0,"",INDEX(次果筐明细!$D$4:$D$603,$Z999-5200)),"")))))</f>
        <v/>
      </c>
      <c r="O999" s="40" t="str">
        <f>IF($Z999="","",IF($Z999&lt;=2000,"",IF($Z999&lt;=4000,IF(N(INDEX(周转筐出入库明细!$J$4:$J$2004,$Z999-2000))+N(INDEX(周转筐出入库明细!$K$4:$K$2004,$Z999-2000))=0,"",N(INDEX(周转筐出入库明细!$J$4:$J$2004,$Z999-2000))+N(INDEX(周转筐出入库明细!$K$4:$K$2004,$Z999-2000))),IF($Z999&lt;=5200,IF(N(INDEX(客户自备加工筐明细!$G$4:$G$1203,$Z999-4000))=0,"",N(INDEX(客户自备加工筐明细!$G$4:$G$1203,$Z999-4000))),IF($Z999&lt;=5800,IF(ISNUMBER(SEARCH("退",INDEX(次果筐明细!$F$4:$F$603,$Z999-5200)&amp;"")),"",IF(N(INDEX(次果筐明细!$G$4:$G$603,$Z999-5200))=0,"",N(INDEX(次果筐明细!$G$4:$G$603,$Z999-5200)))),"")))))</f>
        <v/>
      </c>
      <c r="P999" s="40" t="str">
        <f>IF($Z999="","",IF($Z999&lt;=2000,"",IF($Z999&lt;=4000,IF(N(INDEX(周转筐出入库明细!$I$4:$I$2004,$Z999-2000))=0,"",N(INDEX(周转筐出入库明细!$I$4:$I$2004,$Z999-2000))),IF($Z999&lt;=5200,"",IF($Z999&lt;=5800,IF(ISNUMBER(SEARCH("退",INDEX(次果筐明细!$F$4:$F$603,$Z999-5200)&amp;"")),IF(N(INDEX(次果筐明细!$G$4:$G$603,$Z999-5200))=0,"",N(INDEX(次果筐明细!$G$4:$G$603,$Z999-5200))),""),"")))))</f>
        <v/>
      </c>
      <c r="Q999" s="40" t="str">
        <f>IF($Z999="","",IF($Z999&lt;=2000,"",IF($Z999&lt;=4000,IF(N(INDEX(周转筐出入库明细!$H$4:$H$2004,$Z999-2000))=0,"",N(INDEX(周转筐出入库明细!$H$4:$H$2004,$Z999-2000))),IF($Z999&lt;=5200,IF(N(INDEX(客户自备加工筐明细!$F$4:$F$1203,$Z999-4000))=0,"",N(INDEX(客户自备加工筐明细!$F$4:$F$1203,$Z999-4000))),IF($Z999&lt;=5800,"","")))))</f>
        <v/>
      </c>
      <c r="R999" s="16" t="str">
        <f>IF($Z999="","",IF($Z999&lt;=2000,IF(INDEX(包装物料出入库明细!$O$4:$O$2003,$Z999-0)=0,"",INDEX(包装物料出入库明细!$O$4:$O$2003,$Z999-0)),IF($Z999&lt;=4000,IF(INDEX(周转筐出入库明细!$M$4:$M$2004,$Z999-2000)=0,"",INDEX(周转筐出入库明细!$M$4:$M$2004,$Z999-2000)),IF($Z999&lt;=5200,IF(INDEX(客户自备加工筐明细!$H$4:$H$1203,$Z999-4000)=0,"",INDEX(客户自备加工筐明细!$H$4:$H$1203,$Z999-4000)),IF($Z999&lt;=5800,IF(INDEX(次果筐明细!$H$4:$H$603,$Z999-5200)=0,"",INDEX(次果筐明细!$H$4:$H$603,$Z999-5200)),"")))))</f>
        <v/>
      </c>
      <c r="S999" s="22" t="str">
        <f t="shared" si="47"/>
        <v/>
      </c>
      <c r="Z999" s="10" t="str">
        <f>IFERROR(MATCH(ROW()-3,_自动清单!$CQ$4:$CQ$5803,0),"")</f>
        <v/>
      </c>
    </row>
    <row r="1000" spans="1:26">
      <c r="A1000" s="24" t="str">
        <f t="shared" si="45"/>
        <v/>
      </c>
      <c r="B1000" s="38" t="str">
        <f>IF($Z1000="","",IF($Z1000&lt;=2000,IF(INDEX(包装物料出入库明细!$B$4:$B$2003,$Z1000-0)=0,"",INDEX(包装物料出入库明细!$B$4:$B$2003,$Z1000-0)),IF($Z1000&lt;=4000,IF(INDEX(周转筐出入库明细!$B$4:$B$2004,$Z1000-2000)=0,"",INDEX(周转筐出入库明细!$B$4:$B$2004,$Z1000-2000)),IF($Z1000&lt;=5200,IF(INDEX(客户自备加工筐明细!$B$4:$B$1203,$Z1000-4000)=0,"",INDEX(客户自备加工筐明细!$B$4:$B$1203,$Z1000-4000)),IF($Z1000&lt;=5800,IF(INDEX(次果筐明细!$B$4:$B$603,$Z1000-5200)=0,"",INDEX(次果筐明细!$B$4:$B$603,$Z1000-5200)),"")))))</f>
        <v/>
      </c>
      <c r="C1000" s="37" t="str">
        <f>IF($Z1000="","",IF($Z1000&lt;=2000,IF(INDEX(包装物料出入库明细!$D$4:$D$2003,$Z1000-0)=0,"",INDEX(包装物料出入库明细!$D$4:$D$2003,$Z1000-0)),IF($Z1000&lt;=4000,IF(INDEX(周转筐出入库明细!$C$4:$C$2004,$Z1000-2000)=0,"",INDEX(周转筐出入库明细!$C$4:$C$2004,$Z1000-2000)),IF($Z1000&lt;=5200,IF(INDEX(客户自备加工筐明细!$E$4:$E$1203,$Z1000-4000)=0,"",INDEX(客户自备加工筐明细!$E$4:$E$1203,$Z1000-4000)),IF($Z1000&lt;=5800,IF(INDEX(次果筐明细!$C$4:$C$603,$Z1000-5200)=0,"",INDEX(次果筐明细!$C$4:$C$603,$Z1000-5200)),"")))))</f>
        <v/>
      </c>
      <c r="D1000" s="37" t="str">
        <f>IF($Z1000="","",IF($Z1000&lt;=2000,"包装物料－"&amp;INDEX(包装物料出入库明细!$H$4:$H$2003,$Z1000-0),IF($Z1000&lt;=4000,"周转筐－"&amp;INDEX(周转筐出入库明细!$F$4:$F$2004,$Z1000-2000),IF($Z1000&lt;=5200,"客户自备筐－"&amp;INDEX(客户自备加工筐明细!$J$4:$J$1203,$Z1000-4000),IF($Z1000&lt;=5800,"次果筐/托盘－"&amp;INDEX(次果筐明细!$F$4:$F$603,$Z1000-5200),"")))))</f>
        <v/>
      </c>
      <c r="E1000" s="24" t="str">
        <f>IF($Z1000="","",IF($Z1000&lt;=2000,IF(INDEX(包装物料出入库明细!$C$4:$C$2003,$Z1000-0)=0,"",INDEX(包装物料出入库明细!$C$4:$C$2003,$Z1000-0)),IF($Z1000&lt;=4000,IF(INDEX(周转筐出入库明细!$E$4:$E$2004,$Z1000-2000)=0,"",INDEX(周转筐出入库明细!$E$4:$E$2004,$Z1000-2000)),IF($Z1000&lt;=5200,IF(INDEX(客户自备加工筐明细!$D$4:$D$1203,$Z1000-4000)=0,"",INDEX(客户自备加工筐明细!$D$4:$D$1203,$Z1000-4000)),IF($Z1000&lt;=5800,IF(INDEX(次果筐明细!$E$4:$E$603,$Z1000-5200)=0,"",INDEX(次果筐明细!$E$4:$E$603,$Z1000-5200)),"")))))</f>
        <v/>
      </c>
      <c r="F1000" s="24" t="str">
        <f>IF($Z1000="","",IF($Z1000&lt;=2000,IF(INDEX(包装物料出入库明细!$E$4:$E$2003,$Z1000-0)=0,"",INDEX(包装物料出入库明细!$E$4:$E$2003,$Z1000-0)),IF($Z1000&lt;=4000,IF(INDEX(周转筐出入库明细!$D$4:$D$2004,$Z1000-2000)=0,"",INDEX(周转筐出入库明细!$D$4:$D$2004,$Z1000-2000)),IF($Z1000&lt;=5200,IF(INDEX(客户自备加工筐明细!$C$4:$C$1203,$Z1000-4000)=0,"",INDEX(客户自备加工筐明细!$C$4:$C$1203,$Z1000-4000)),IF($Z1000&lt;=5800,IF(INDEX(次果筐明细!$D$4:$D$603,$Z1000-5200)=0,"",INDEX(次果筐明细!$D$4:$D$603,$Z1000-5200)),"")))))</f>
        <v/>
      </c>
      <c r="G1000" s="24" t="str">
        <f>IF($Z1000="","",IF($Z1000&lt;=2000,IF(INDEX(包装物料出入库明细!$F$4:$F$2003,$Z1000-0)=0,"",INDEX(包装物料出入库明细!$F$4:$F$2003,$Z1000-0)),IF($Z1000&lt;=4000,"",IF($Z1000&lt;=5200,"",IF($Z1000&lt;=5800,"","")))))</f>
        <v/>
      </c>
      <c r="H1000" s="39" t="str">
        <f>IF($Z1000="","",IF($Z1000&lt;=2000,IF(INDEX(包装物料出入库明细!$L$4:$L$2003,$Z1000-0)=0,"",INDEX(包装物料出入库明细!$L$4:$L$2003,$Z1000-0)),IF($Z1000&lt;=4000,N(INDEX(周转筐出入库明细!$H$4:$H$2004,$Z1000-2000))+N(INDEX(周转筐出入库明细!$I$4:$I$2004,$Z1000-2000))+N(INDEX(周转筐出入库明细!$J$4:$J$2004,$Z1000-2000))+N(INDEX(周转筐出入库明细!$K$4:$K$2004,$Z1000-2000)),IF($Z1000&lt;=5200,N(INDEX(客户自备加工筐明细!$F$4:$F$1203,$Z1000-4000))+N(INDEX(客户自备加工筐明细!$G$4:$G$1203,$Z1000-4000)),IF($Z1000&lt;=5800,IF(INDEX(次果筐明细!$G$4:$G$603,$Z1000-5200)=0,"",INDEX(次果筐明细!$G$4:$G$603,$Z1000-5200)),"")))))</f>
        <v/>
      </c>
      <c r="I1000" s="24" t="str">
        <f>IF($Z1000="","",IF($Z1000&lt;=2000,IF(INDEX(包装物料出入库明细!$G$4:$G$2003,$Z1000-0)=0,"",INDEX(包装物料出入库明细!$G$4:$G$2003,$Z1000-0)),IF($Z1000&lt;=4000,"个",IF($Z1000&lt;=5200,"个",IF($Z1000&lt;=5800,"个","")))))</f>
        <v/>
      </c>
      <c r="J1000" s="30" t="str">
        <f t="shared" si="46"/>
        <v/>
      </c>
      <c r="K1000" s="30" t="str">
        <f>IF($Z1000="","",IF($Z1000&lt;=2000,IF(INDEX(包装物料出入库明细!$N$4:$N$2003,$Z1000-0)=0,"",INDEX(包装物料出入库明细!$N$4:$N$2003,$Z1000-0)),IF($Z1000&lt;=4000,IF(INDEX(周转筐出入库明细!$P$4:$P$2004,$Z1000-2000)=0,"",INDEX(周转筐出入库明细!$P$4:$P$2004,$Z1000-2000)),IF($Z1000&lt;=5200,"",IF($Z1000&lt;=5800,N(INDEX(次果筐明细!$L$4:$L$603,$Z1000-5200))+N(INDEX(次果筐明细!$J$4:$J$603,$Z1000-5200)),"")))))</f>
        <v/>
      </c>
      <c r="L1000" s="24" t="str">
        <f>IF($Z1000="","",IF($Z1000&lt;=2000,IF(INDEX(包装物料出入库明细!$P$4:$P$2003,$Z1000-0)=0,"",INDEX(包装物料出入库明细!$P$4:$P$2003,$Z1000-0)),IF($Z1000&lt;=4000,IF(INDEX(周转筐出入库明细!$Q$4:$Q$2004,$Z1000-2000)=0,"",INDEX(周转筐出入库明细!$Q$4:$Q$2004,$Z1000-2000)),IF($Z1000&lt;=5200,"",IF($Z1000&lt;=5800,IF(INDEX(次果筐明细!$M$4:$M$603,$Z1000-5200)=0,"",INDEX(次果筐明细!$M$4:$M$603,$Z1000-5200)),"")))))</f>
        <v/>
      </c>
      <c r="M1000" s="37" t="str">
        <f>IF($Z1000="","",IF($Z1000&lt;=2000,IF(INDEX(包装物料出入库明细!$R$4:$R$2003,$Z1000-0)=0,"",INDEX(包装物料出入库明细!$R$4:$R$2003,$Z1000-0)),IF($Z1000&lt;=4000,IF(INDEX(周转筐出入库明细!$W$4:$W$2004,$Z1000-2000)=0,"",INDEX(周转筐出入库明细!$W$4:$W$2004,$Z1000-2000)),IF($Z1000&lt;=5200,IF(INDEX(客户自备加工筐明细!$L$4:$L$1203,$Z1000-4000)=0,"",INDEX(客户自备加工筐明细!$L$4:$L$1203,$Z1000-4000)),IF($Z1000&lt;=5800,IF(INDEX(次果筐明细!$P$4:$P$603,$Z1000-5200)=0,"",INDEX(次果筐明细!$P$4:$P$603,$Z1000-5200)),"")))))</f>
        <v/>
      </c>
      <c r="N1000" s="16" t="str">
        <f>IF($Z1000="","",IF($Z1000&lt;=2000,"",IF($Z1000&lt;=4000,IF(INDEX(周转筐出入库明细!$D$4:$D$2004,$Z1000-2000)=0,"",INDEX(周转筐出入库明细!$D$4:$D$2004,$Z1000-2000)),IF($Z1000&lt;=5200,IF(INDEX(客户自备加工筐明细!$C$4:$C$1203,$Z1000-4000)=0,"",INDEX(客户自备加工筐明细!$C$4:$C$1203,$Z1000-4000)),IF($Z1000&lt;=5800,IF(INDEX(次果筐明细!$D$4:$D$603,$Z1000-5200)=0,"",INDEX(次果筐明细!$D$4:$D$603,$Z1000-5200)),"")))))</f>
        <v/>
      </c>
      <c r="O1000" s="40" t="str">
        <f>IF($Z1000="","",IF($Z1000&lt;=2000,"",IF($Z1000&lt;=4000,IF(N(INDEX(周转筐出入库明细!$J$4:$J$2004,$Z1000-2000))+N(INDEX(周转筐出入库明细!$K$4:$K$2004,$Z1000-2000))=0,"",N(INDEX(周转筐出入库明细!$J$4:$J$2004,$Z1000-2000))+N(INDEX(周转筐出入库明细!$K$4:$K$2004,$Z1000-2000))),IF($Z1000&lt;=5200,IF(N(INDEX(客户自备加工筐明细!$G$4:$G$1203,$Z1000-4000))=0,"",N(INDEX(客户自备加工筐明细!$G$4:$G$1203,$Z1000-4000))),IF($Z1000&lt;=5800,IF(ISNUMBER(SEARCH("退",INDEX(次果筐明细!$F$4:$F$603,$Z1000-5200)&amp;"")),"",IF(N(INDEX(次果筐明细!$G$4:$G$603,$Z1000-5200))=0,"",N(INDEX(次果筐明细!$G$4:$G$603,$Z1000-5200)))),"")))))</f>
        <v/>
      </c>
      <c r="P1000" s="40" t="str">
        <f>IF($Z1000="","",IF($Z1000&lt;=2000,"",IF($Z1000&lt;=4000,IF(N(INDEX(周转筐出入库明细!$I$4:$I$2004,$Z1000-2000))=0,"",N(INDEX(周转筐出入库明细!$I$4:$I$2004,$Z1000-2000))),IF($Z1000&lt;=5200,"",IF($Z1000&lt;=5800,IF(ISNUMBER(SEARCH("退",INDEX(次果筐明细!$F$4:$F$603,$Z1000-5200)&amp;"")),IF(N(INDEX(次果筐明细!$G$4:$G$603,$Z1000-5200))=0,"",N(INDEX(次果筐明细!$G$4:$G$603,$Z1000-5200))),""),"")))))</f>
        <v/>
      </c>
      <c r="Q1000" s="40" t="str">
        <f>IF($Z1000="","",IF($Z1000&lt;=2000,"",IF($Z1000&lt;=4000,IF(N(INDEX(周转筐出入库明细!$H$4:$H$2004,$Z1000-2000))=0,"",N(INDEX(周转筐出入库明细!$H$4:$H$2004,$Z1000-2000))),IF($Z1000&lt;=5200,IF(N(INDEX(客户自备加工筐明细!$F$4:$F$1203,$Z1000-4000))=0,"",N(INDEX(客户自备加工筐明细!$F$4:$F$1203,$Z1000-4000))),IF($Z1000&lt;=5800,"","")))))</f>
        <v/>
      </c>
      <c r="R1000" s="16" t="str">
        <f>IF($Z1000="","",IF($Z1000&lt;=2000,IF(INDEX(包装物料出入库明细!$O$4:$O$2003,$Z1000-0)=0,"",INDEX(包装物料出入库明细!$O$4:$O$2003,$Z1000-0)),IF($Z1000&lt;=4000,IF(INDEX(周转筐出入库明细!$M$4:$M$2004,$Z1000-2000)=0,"",INDEX(周转筐出入库明细!$M$4:$M$2004,$Z1000-2000)),IF($Z1000&lt;=5200,IF(INDEX(客户自备加工筐明细!$H$4:$H$1203,$Z1000-4000)=0,"",INDEX(客户自备加工筐明细!$H$4:$H$1203,$Z1000-4000)),IF($Z1000&lt;=5800,IF(INDEX(次果筐明细!$H$4:$H$603,$Z1000-5200)=0,"",INDEX(次果筐明细!$H$4:$H$603,$Z1000-5200)),"")))))</f>
        <v/>
      </c>
      <c r="S1000" s="22" t="str">
        <f t="shared" si="47"/>
        <v/>
      </c>
      <c r="Z1000" s="10" t="str">
        <f>IFERROR(MATCH(ROW()-3,_自动清单!$CQ$4:$CQ$5803,0),"")</f>
        <v/>
      </c>
    </row>
    <row r="1001" spans="1:26">
      <c r="A1001" s="24" t="str">
        <f t="shared" si="45"/>
        <v/>
      </c>
      <c r="B1001" s="38" t="str">
        <f>IF($Z1001="","",IF($Z1001&lt;=2000,IF(INDEX(包装物料出入库明细!$B$4:$B$2003,$Z1001-0)=0,"",INDEX(包装物料出入库明细!$B$4:$B$2003,$Z1001-0)),IF($Z1001&lt;=4000,IF(INDEX(周转筐出入库明细!$B$4:$B$2004,$Z1001-2000)=0,"",INDEX(周转筐出入库明细!$B$4:$B$2004,$Z1001-2000)),IF($Z1001&lt;=5200,IF(INDEX(客户自备加工筐明细!$B$4:$B$1203,$Z1001-4000)=0,"",INDEX(客户自备加工筐明细!$B$4:$B$1203,$Z1001-4000)),IF($Z1001&lt;=5800,IF(INDEX(次果筐明细!$B$4:$B$603,$Z1001-5200)=0,"",INDEX(次果筐明细!$B$4:$B$603,$Z1001-5200)),"")))))</f>
        <v/>
      </c>
      <c r="C1001" s="37" t="str">
        <f>IF($Z1001="","",IF($Z1001&lt;=2000,IF(INDEX(包装物料出入库明细!$D$4:$D$2003,$Z1001-0)=0,"",INDEX(包装物料出入库明细!$D$4:$D$2003,$Z1001-0)),IF($Z1001&lt;=4000,IF(INDEX(周转筐出入库明细!$C$4:$C$2004,$Z1001-2000)=0,"",INDEX(周转筐出入库明细!$C$4:$C$2004,$Z1001-2000)),IF($Z1001&lt;=5200,IF(INDEX(客户自备加工筐明细!$E$4:$E$1203,$Z1001-4000)=0,"",INDEX(客户自备加工筐明细!$E$4:$E$1203,$Z1001-4000)),IF($Z1001&lt;=5800,IF(INDEX(次果筐明细!$C$4:$C$603,$Z1001-5200)=0,"",INDEX(次果筐明细!$C$4:$C$603,$Z1001-5200)),"")))))</f>
        <v/>
      </c>
      <c r="D1001" s="37" t="str">
        <f>IF($Z1001="","",IF($Z1001&lt;=2000,"包装物料－"&amp;INDEX(包装物料出入库明细!$H$4:$H$2003,$Z1001-0),IF($Z1001&lt;=4000,"周转筐－"&amp;INDEX(周转筐出入库明细!$F$4:$F$2004,$Z1001-2000),IF($Z1001&lt;=5200,"客户自备筐－"&amp;INDEX(客户自备加工筐明细!$J$4:$J$1203,$Z1001-4000),IF($Z1001&lt;=5800,"次果筐/托盘－"&amp;INDEX(次果筐明细!$F$4:$F$603,$Z1001-5200),"")))))</f>
        <v/>
      </c>
      <c r="E1001" s="24" t="str">
        <f>IF($Z1001="","",IF($Z1001&lt;=2000,IF(INDEX(包装物料出入库明细!$C$4:$C$2003,$Z1001-0)=0,"",INDEX(包装物料出入库明细!$C$4:$C$2003,$Z1001-0)),IF($Z1001&lt;=4000,IF(INDEX(周转筐出入库明细!$E$4:$E$2004,$Z1001-2000)=0,"",INDEX(周转筐出入库明细!$E$4:$E$2004,$Z1001-2000)),IF($Z1001&lt;=5200,IF(INDEX(客户自备加工筐明细!$D$4:$D$1203,$Z1001-4000)=0,"",INDEX(客户自备加工筐明细!$D$4:$D$1203,$Z1001-4000)),IF($Z1001&lt;=5800,IF(INDEX(次果筐明细!$E$4:$E$603,$Z1001-5200)=0,"",INDEX(次果筐明细!$E$4:$E$603,$Z1001-5200)),"")))))</f>
        <v/>
      </c>
      <c r="F1001" s="24" t="str">
        <f>IF($Z1001="","",IF($Z1001&lt;=2000,IF(INDEX(包装物料出入库明细!$E$4:$E$2003,$Z1001-0)=0,"",INDEX(包装物料出入库明细!$E$4:$E$2003,$Z1001-0)),IF($Z1001&lt;=4000,IF(INDEX(周转筐出入库明细!$D$4:$D$2004,$Z1001-2000)=0,"",INDEX(周转筐出入库明细!$D$4:$D$2004,$Z1001-2000)),IF($Z1001&lt;=5200,IF(INDEX(客户自备加工筐明细!$C$4:$C$1203,$Z1001-4000)=0,"",INDEX(客户自备加工筐明细!$C$4:$C$1203,$Z1001-4000)),IF($Z1001&lt;=5800,IF(INDEX(次果筐明细!$D$4:$D$603,$Z1001-5200)=0,"",INDEX(次果筐明细!$D$4:$D$603,$Z1001-5200)),"")))))</f>
        <v/>
      </c>
      <c r="G1001" s="24" t="str">
        <f>IF($Z1001="","",IF($Z1001&lt;=2000,IF(INDEX(包装物料出入库明细!$F$4:$F$2003,$Z1001-0)=0,"",INDEX(包装物料出入库明细!$F$4:$F$2003,$Z1001-0)),IF($Z1001&lt;=4000,"",IF($Z1001&lt;=5200,"",IF($Z1001&lt;=5800,"","")))))</f>
        <v/>
      </c>
      <c r="H1001" s="39" t="str">
        <f>IF($Z1001="","",IF($Z1001&lt;=2000,IF(INDEX(包装物料出入库明细!$L$4:$L$2003,$Z1001-0)=0,"",INDEX(包装物料出入库明细!$L$4:$L$2003,$Z1001-0)),IF($Z1001&lt;=4000,N(INDEX(周转筐出入库明细!$H$4:$H$2004,$Z1001-2000))+N(INDEX(周转筐出入库明细!$I$4:$I$2004,$Z1001-2000))+N(INDEX(周转筐出入库明细!$J$4:$J$2004,$Z1001-2000))+N(INDEX(周转筐出入库明细!$K$4:$K$2004,$Z1001-2000)),IF($Z1001&lt;=5200,N(INDEX(客户自备加工筐明细!$F$4:$F$1203,$Z1001-4000))+N(INDEX(客户自备加工筐明细!$G$4:$G$1203,$Z1001-4000)),IF($Z1001&lt;=5800,IF(INDEX(次果筐明细!$G$4:$G$603,$Z1001-5200)=0,"",INDEX(次果筐明细!$G$4:$G$603,$Z1001-5200)),"")))))</f>
        <v/>
      </c>
      <c r="I1001" s="24" t="str">
        <f>IF($Z1001="","",IF($Z1001&lt;=2000,IF(INDEX(包装物料出入库明细!$G$4:$G$2003,$Z1001-0)=0,"",INDEX(包装物料出入库明细!$G$4:$G$2003,$Z1001-0)),IF($Z1001&lt;=4000,"个",IF($Z1001&lt;=5200,"个",IF($Z1001&lt;=5800,"个","")))))</f>
        <v/>
      </c>
      <c r="J1001" s="30" t="str">
        <f t="shared" si="46"/>
        <v/>
      </c>
      <c r="K1001" s="30" t="str">
        <f>IF($Z1001="","",IF($Z1001&lt;=2000,IF(INDEX(包装物料出入库明细!$N$4:$N$2003,$Z1001-0)=0,"",INDEX(包装物料出入库明细!$N$4:$N$2003,$Z1001-0)),IF($Z1001&lt;=4000,IF(INDEX(周转筐出入库明细!$P$4:$P$2004,$Z1001-2000)=0,"",INDEX(周转筐出入库明细!$P$4:$P$2004,$Z1001-2000)),IF($Z1001&lt;=5200,"",IF($Z1001&lt;=5800,N(INDEX(次果筐明细!$L$4:$L$603,$Z1001-5200))+N(INDEX(次果筐明细!$J$4:$J$603,$Z1001-5200)),"")))))</f>
        <v/>
      </c>
      <c r="L1001" s="24" t="str">
        <f>IF($Z1001="","",IF($Z1001&lt;=2000,IF(INDEX(包装物料出入库明细!$P$4:$P$2003,$Z1001-0)=0,"",INDEX(包装物料出入库明细!$P$4:$P$2003,$Z1001-0)),IF($Z1001&lt;=4000,IF(INDEX(周转筐出入库明细!$Q$4:$Q$2004,$Z1001-2000)=0,"",INDEX(周转筐出入库明细!$Q$4:$Q$2004,$Z1001-2000)),IF($Z1001&lt;=5200,"",IF($Z1001&lt;=5800,IF(INDEX(次果筐明细!$M$4:$M$603,$Z1001-5200)=0,"",INDEX(次果筐明细!$M$4:$M$603,$Z1001-5200)),"")))))</f>
        <v/>
      </c>
      <c r="M1001" s="37" t="str">
        <f>IF($Z1001="","",IF($Z1001&lt;=2000,IF(INDEX(包装物料出入库明细!$R$4:$R$2003,$Z1001-0)=0,"",INDEX(包装物料出入库明细!$R$4:$R$2003,$Z1001-0)),IF($Z1001&lt;=4000,IF(INDEX(周转筐出入库明细!$W$4:$W$2004,$Z1001-2000)=0,"",INDEX(周转筐出入库明细!$W$4:$W$2004,$Z1001-2000)),IF($Z1001&lt;=5200,IF(INDEX(客户自备加工筐明细!$L$4:$L$1203,$Z1001-4000)=0,"",INDEX(客户自备加工筐明细!$L$4:$L$1203,$Z1001-4000)),IF($Z1001&lt;=5800,IF(INDEX(次果筐明细!$P$4:$P$603,$Z1001-5200)=0,"",INDEX(次果筐明细!$P$4:$P$603,$Z1001-5200)),"")))))</f>
        <v/>
      </c>
      <c r="N1001" s="16" t="str">
        <f>IF($Z1001="","",IF($Z1001&lt;=2000,"",IF($Z1001&lt;=4000,IF(INDEX(周转筐出入库明细!$D$4:$D$2004,$Z1001-2000)=0,"",INDEX(周转筐出入库明细!$D$4:$D$2004,$Z1001-2000)),IF($Z1001&lt;=5200,IF(INDEX(客户自备加工筐明细!$C$4:$C$1203,$Z1001-4000)=0,"",INDEX(客户自备加工筐明细!$C$4:$C$1203,$Z1001-4000)),IF($Z1001&lt;=5800,IF(INDEX(次果筐明细!$D$4:$D$603,$Z1001-5200)=0,"",INDEX(次果筐明细!$D$4:$D$603,$Z1001-5200)),"")))))</f>
        <v/>
      </c>
      <c r="O1001" s="40" t="str">
        <f>IF($Z1001="","",IF($Z1001&lt;=2000,"",IF($Z1001&lt;=4000,IF(N(INDEX(周转筐出入库明细!$J$4:$J$2004,$Z1001-2000))+N(INDEX(周转筐出入库明细!$K$4:$K$2004,$Z1001-2000))=0,"",N(INDEX(周转筐出入库明细!$J$4:$J$2004,$Z1001-2000))+N(INDEX(周转筐出入库明细!$K$4:$K$2004,$Z1001-2000))),IF($Z1001&lt;=5200,IF(N(INDEX(客户自备加工筐明细!$G$4:$G$1203,$Z1001-4000))=0,"",N(INDEX(客户自备加工筐明细!$G$4:$G$1203,$Z1001-4000))),IF($Z1001&lt;=5800,IF(ISNUMBER(SEARCH("退",INDEX(次果筐明细!$F$4:$F$603,$Z1001-5200)&amp;"")),"",IF(N(INDEX(次果筐明细!$G$4:$G$603,$Z1001-5200))=0,"",N(INDEX(次果筐明细!$G$4:$G$603,$Z1001-5200)))),"")))))</f>
        <v/>
      </c>
      <c r="P1001" s="40" t="str">
        <f>IF($Z1001="","",IF($Z1001&lt;=2000,"",IF($Z1001&lt;=4000,IF(N(INDEX(周转筐出入库明细!$I$4:$I$2004,$Z1001-2000))=0,"",N(INDEX(周转筐出入库明细!$I$4:$I$2004,$Z1001-2000))),IF($Z1001&lt;=5200,"",IF($Z1001&lt;=5800,IF(ISNUMBER(SEARCH("退",INDEX(次果筐明细!$F$4:$F$603,$Z1001-5200)&amp;"")),IF(N(INDEX(次果筐明细!$G$4:$G$603,$Z1001-5200))=0,"",N(INDEX(次果筐明细!$G$4:$G$603,$Z1001-5200))),""),"")))))</f>
        <v/>
      </c>
      <c r="Q1001" s="40" t="str">
        <f>IF($Z1001="","",IF($Z1001&lt;=2000,"",IF($Z1001&lt;=4000,IF(N(INDEX(周转筐出入库明细!$H$4:$H$2004,$Z1001-2000))=0,"",N(INDEX(周转筐出入库明细!$H$4:$H$2004,$Z1001-2000))),IF($Z1001&lt;=5200,IF(N(INDEX(客户自备加工筐明细!$F$4:$F$1203,$Z1001-4000))=0,"",N(INDEX(客户自备加工筐明细!$F$4:$F$1203,$Z1001-4000))),IF($Z1001&lt;=5800,"","")))))</f>
        <v/>
      </c>
      <c r="R1001" s="16" t="str">
        <f>IF($Z1001="","",IF($Z1001&lt;=2000,IF(INDEX(包装物料出入库明细!$O$4:$O$2003,$Z1001-0)=0,"",INDEX(包装物料出入库明细!$O$4:$O$2003,$Z1001-0)),IF($Z1001&lt;=4000,IF(INDEX(周转筐出入库明细!$M$4:$M$2004,$Z1001-2000)=0,"",INDEX(周转筐出入库明细!$M$4:$M$2004,$Z1001-2000)),IF($Z1001&lt;=5200,IF(INDEX(客户自备加工筐明细!$H$4:$H$1203,$Z1001-4000)=0,"",INDEX(客户自备加工筐明细!$H$4:$H$1203,$Z1001-4000)),IF($Z1001&lt;=5800,IF(INDEX(次果筐明细!$H$4:$H$603,$Z1001-5200)=0,"",INDEX(次果筐明细!$H$4:$H$603,$Z1001-5200)),"")))))</f>
        <v/>
      </c>
      <c r="S1001" s="22" t="str">
        <f t="shared" si="47"/>
        <v/>
      </c>
      <c r="Z1001" s="10" t="str">
        <f>IFERROR(MATCH(ROW()-3,_自动清单!$CQ$4:$CQ$5803,0),"")</f>
        <v/>
      </c>
    </row>
    <row r="1002" spans="1:26">
      <c r="A1002" s="24" t="str">
        <f t="shared" si="45"/>
        <v/>
      </c>
      <c r="B1002" s="38" t="str">
        <f>IF($Z1002="","",IF($Z1002&lt;=2000,IF(INDEX(包装物料出入库明细!$B$4:$B$2003,$Z1002-0)=0,"",INDEX(包装物料出入库明细!$B$4:$B$2003,$Z1002-0)),IF($Z1002&lt;=4000,IF(INDEX(周转筐出入库明细!$B$4:$B$2004,$Z1002-2000)=0,"",INDEX(周转筐出入库明细!$B$4:$B$2004,$Z1002-2000)),IF($Z1002&lt;=5200,IF(INDEX(客户自备加工筐明细!$B$4:$B$1203,$Z1002-4000)=0,"",INDEX(客户自备加工筐明细!$B$4:$B$1203,$Z1002-4000)),IF($Z1002&lt;=5800,IF(INDEX(次果筐明细!$B$4:$B$603,$Z1002-5200)=0,"",INDEX(次果筐明细!$B$4:$B$603,$Z1002-5200)),"")))))</f>
        <v/>
      </c>
      <c r="C1002" s="37" t="str">
        <f>IF($Z1002="","",IF($Z1002&lt;=2000,IF(INDEX(包装物料出入库明细!$D$4:$D$2003,$Z1002-0)=0,"",INDEX(包装物料出入库明细!$D$4:$D$2003,$Z1002-0)),IF($Z1002&lt;=4000,IF(INDEX(周转筐出入库明细!$C$4:$C$2004,$Z1002-2000)=0,"",INDEX(周转筐出入库明细!$C$4:$C$2004,$Z1002-2000)),IF($Z1002&lt;=5200,IF(INDEX(客户自备加工筐明细!$E$4:$E$1203,$Z1002-4000)=0,"",INDEX(客户自备加工筐明细!$E$4:$E$1203,$Z1002-4000)),IF($Z1002&lt;=5800,IF(INDEX(次果筐明细!$C$4:$C$603,$Z1002-5200)=0,"",INDEX(次果筐明细!$C$4:$C$603,$Z1002-5200)),"")))))</f>
        <v/>
      </c>
      <c r="D1002" s="37" t="str">
        <f>IF($Z1002="","",IF($Z1002&lt;=2000,"包装物料－"&amp;INDEX(包装物料出入库明细!$H$4:$H$2003,$Z1002-0),IF($Z1002&lt;=4000,"周转筐－"&amp;INDEX(周转筐出入库明细!$F$4:$F$2004,$Z1002-2000),IF($Z1002&lt;=5200,"客户自备筐－"&amp;INDEX(客户自备加工筐明细!$J$4:$J$1203,$Z1002-4000),IF($Z1002&lt;=5800,"次果筐/托盘－"&amp;INDEX(次果筐明细!$F$4:$F$603,$Z1002-5200),"")))))</f>
        <v/>
      </c>
      <c r="E1002" s="24" t="str">
        <f>IF($Z1002="","",IF($Z1002&lt;=2000,IF(INDEX(包装物料出入库明细!$C$4:$C$2003,$Z1002-0)=0,"",INDEX(包装物料出入库明细!$C$4:$C$2003,$Z1002-0)),IF($Z1002&lt;=4000,IF(INDEX(周转筐出入库明细!$E$4:$E$2004,$Z1002-2000)=0,"",INDEX(周转筐出入库明细!$E$4:$E$2004,$Z1002-2000)),IF($Z1002&lt;=5200,IF(INDEX(客户自备加工筐明细!$D$4:$D$1203,$Z1002-4000)=0,"",INDEX(客户自备加工筐明细!$D$4:$D$1203,$Z1002-4000)),IF($Z1002&lt;=5800,IF(INDEX(次果筐明细!$E$4:$E$603,$Z1002-5200)=0,"",INDEX(次果筐明细!$E$4:$E$603,$Z1002-5200)),"")))))</f>
        <v/>
      </c>
      <c r="F1002" s="24" t="str">
        <f>IF($Z1002="","",IF($Z1002&lt;=2000,IF(INDEX(包装物料出入库明细!$E$4:$E$2003,$Z1002-0)=0,"",INDEX(包装物料出入库明细!$E$4:$E$2003,$Z1002-0)),IF($Z1002&lt;=4000,IF(INDEX(周转筐出入库明细!$D$4:$D$2004,$Z1002-2000)=0,"",INDEX(周转筐出入库明细!$D$4:$D$2004,$Z1002-2000)),IF($Z1002&lt;=5200,IF(INDEX(客户自备加工筐明细!$C$4:$C$1203,$Z1002-4000)=0,"",INDEX(客户自备加工筐明细!$C$4:$C$1203,$Z1002-4000)),IF($Z1002&lt;=5800,IF(INDEX(次果筐明细!$D$4:$D$603,$Z1002-5200)=0,"",INDEX(次果筐明细!$D$4:$D$603,$Z1002-5200)),"")))))</f>
        <v/>
      </c>
      <c r="G1002" s="24" t="str">
        <f>IF($Z1002="","",IF($Z1002&lt;=2000,IF(INDEX(包装物料出入库明细!$F$4:$F$2003,$Z1002-0)=0,"",INDEX(包装物料出入库明细!$F$4:$F$2003,$Z1002-0)),IF($Z1002&lt;=4000,"",IF($Z1002&lt;=5200,"",IF($Z1002&lt;=5800,"","")))))</f>
        <v/>
      </c>
      <c r="H1002" s="39" t="str">
        <f>IF($Z1002="","",IF($Z1002&lt;=2000,IF(INDEX(包装物料出入库明细!$L$4:$L$2003,$Z1002-0)=0,"",INDEX(包装物料出入库明细!$L$4:$L$2003,$Z1002-0)),IF($Z1002&lt;=4000,N(INDEX(周转筐出入库明细!$H$4:$H$2004,$Z1002-2000))+N(INDEX(周转筐出入库明细!$I$4:$I$2004,$Z1002-2000))+N(INDEX(周转筐出入库明细!$J$4:$J$2004,$Z1002-2000))+N(INDEX(周转筐出入库明细!$K$4:$K$2004,$Z1002-2000)),IF($Z1002&lt;=5200,N(INDEX(客户自备加工筐明细!$F$4:$F$1203,$Z1002-4000))+N(INDEX(客户自备加工筐明细!$G$4:$G$1203,$Z1002-4000)),IF($Z1002&lt;=5800,IF(INDEX(次果筐明细!$G$4:$G$603,$Z1002-5200)=0,"",INDEX(次果筐明细!$G$4:$G$603,$Z1002-5200)),"")))))</f>
        <v/>
      </c>
      <c r="I1002" s="24" t="str">
        <f>IF($Z1002="","",IF($Z1002&lt;=2000,IF(INDEX(包装物料出入库明细!$G$4:$G$2003,$Z1002-0)=0,"",INDEX(包装物料出入库明细!$G$4:$G$2003,$Z1002-0)),IF($Z1002&lt;=4000,"个",IF($Z1002&lt;=5200,"个",IF($Z1002&lt;=5800,"个","")))))</f>
        <v/>
      </c>
      <c r="J1002" s="30" t="str">
        <f t="shared" si="46"/>
        <v/>
      </c>
      <c r="K1002" s="30" t="str">
        <f>IF($Z1002="","",IF($Z1002&lt;=2000,IF(INDEX(包装物料出入库明细!$N$4:$N$2003,$Z1002-0)=0,"",INDEX(包装物料出入库明细!$N$4:$N$2003,$Z1002-0)),IF($Z1002&lt;=4000,IF(INDEX(周转筐出入库明细!$P$4:$P$2004,$Z1002-2000)=0,"",INDEX(周转筐出入库明细!$P$4:$P$2004,$Z1002-2000)),IF($Z1002&lt;=5200,"",IF($Z1002&lt;=5800,N(INDEX(次果筐明细!$L$4:$L$603,$Z1002-5200))+N(INDEX(次果筐明细!$J$4:$J$603,$Z1002-5200)),"")))))</f>
        <v/>
      </c>
      <c r="L1002" s="24" t="str">
        <f>IF($Z1002="","",IF($Z1002&lt;=2000,IF(INDEX(包装物料出入库明细!$P$4:$P$2003,$Z1002-0)=0,"",INDEX(包装物料出入库明细!$P$4:$P$2003,$Z1002-0)),IF($Z1002&lt;=4000,IF(INDEX(周转筐出入库明细!$Q$4:$Q$2004,$Z1002-2000)=0,"",INDEX(周转筐出入库明细!$Q$4:$Q$2004,$Z1002-2000)),IF($Z1002&lt;=5200,"",IF($Z1002&lt;=5800,IF(INDEX(次果筐明细!$M$4:$M$603,$Z1002-5200)=0,"",INDEX(次果筐明细!$M$4:$M$603,$Z1002-5200)),"")))))</f>
        <v/>
      </c>
      <c r="M1002" s="37" t="str">
        <f>IF($Z1002="","",IF($Z1002&lt;=2000,IF(INDEX(包装物料出入库明细!$R$4:$R$2003,$Z1002-0)=0,"",INDEX(包装物料出入库明细!$R$4:$R$2003,$Z1002-0)),IF($Z1002&lt;=4000,IF(INDEX(周转筐出入库明细!$W$4:$W$2004,$Z1002-2000)=0,"",INDEX(周转筐出入库明细!$W$4:$W$2004,$Z1002-2000)),IF($Z1002&lt;=5200,IF(INDEX(客户自备加工筐明细!$L$4:$L$1203,$Z1002-4000)=0,"",INDEX(客户自备加工筐明细!$L$4:$L$1203,$Z1002-4000)),IF($Z1002&lt;=5800,IF(INDEX(次果筐明细!$P$4:$P$603,$Z1002-5200)=0,"",INDEX(次果筐明细!$P$4:$P$603,$Z1002-5200)),"")))))</f>
        <v/>
      </c>
      <c r="N1002" s="16" t="str">
        <f>IF($Z1002="","",IF($Z1002&lt;=2000,"",IF($Z1002&lt;=4000,IF(INDEX(周转筐出入库明细!$D$4:$D$2004,$Z1002-2000)=0,"",INDEX(周转筐出入库明细!$D$4:$D$2004,$Z1002-2000)),IF($Z1002&lt;=5200,IF(INDEX(客户自备加工筐明细!$C$4:$C$1203,$Z1002-4000)=0,"",INDEX(客户自备加工筐明细!$C$4:$C$1203,$Z1002-4000)),IF($Z1002&lt;=5800,IF(INDEX(次果筐明细!$D$4:$D$603,$Z1002-5200)=0,"",INDEX(次果筐明细!$D$4:$D$603,$Z1002-5200)),"")))))</f>
        <v/>
      </c>
      <c r="O1002" s="40" t="str">
        <f>IF($Z1002="","",IF($Z1002&lt;=2000,"",IF($Z1002&lt;=4000,IF(N(INDEX(周转筐出入库明细!$J$4:$J$2004,$Z1002-2000))+N(INDEX(周转筐出入库明细!$K$4:$K$2004,$Z1002-2000))=0,"",N(INDEX(周转筐出入库明细!$J$4:$J$2004,$Z1002-2000))+N(INDEX(周转筐出入库明细!$K$4:$K$2004,$Z1002-2000))),IF($Z1002&lt;=5200,IF(N(INDEX(客户自备加工筐明细!$G$4:$G$1203,$Z1002-4000))=0,"",N(INDEX(客户自备加工筐明细!$G$4:$G$1203,$Z1002-4000))),IF($Z1002&lt;=5800,IF(ISNUMBER(SEARCH("退",INDEX(次果筐明细!$F$4:$F$603,$Z1002-5200)&amp;"")),"",IF(N(INDEX(次果筐明细!$G$4:$G$603,$Z1002-5200))=0,"",N(INDEX(次果筐明细!$G$4:$G$603,$Z1002-5200)))),"")))))</f>
        <v/>
      </c>
      <c r="P1002" s="40" t="str">
        <f>IF($Z1002="","",IF($Z1002&lt;=2000,"",IF($Z1002&lt;=4000,IF(N(INDEX(周转筐出入库明细!$I$4:$I$2004,$Z1002-2000))=0,"",N(INDEX(周转筐出入库明细!$I$4:$I$2004,$Z1002-2000))),IF($Z1002&lt;=5200,"",IF($Z1002&lt;=5800,IF(ISNUMBER(SEARCH("退",INDEX(次果筐明细!$F$4:$F$603,$Z1002-5200)&amp;"")),IF(N(INDEX(次果筐明细!$G$4:$G$603,$Z1002-5200))=0,"",N(INDEX(次果筐明细!$G$4:$G$603,$Z1002-5200))),""),"")))))</f>
        <v/>
      </c>
      <c r="Q1002" s="40" t="str">
        <f>IF($Z1002="","",IF($Z1002&lt;=2000,"",IF($Z1002&lt;=4000,IF(N(INDEX(周转筐出入库明细!$H$4:$H$2004,$Z1002-2000))=0,"",N(INDEX(周转筐出入库明细!$H$4:$H$2004,$Z1002-2000))),IF($Z1002&lt;=5200,IF(N(INDEX(客户自备加工筐明细!$F$4:$F$1203,$Z1002-4000))=0,"",N(INDEX(客户自备加工筐明细!$F$4:$F$1203,$Z1002-4000))),IF($Z1002&lt;=5800,"","")))))</f>
        <v/>
      </c>
      <c r="R1002" s="16" t="str">
        <f>IF($Z1002="","",IF($Z1002&lt;=2000,IF(INDEX(包装物料出入库明细!$O$4:$O$2003,$Z1002-0)=0,"",INDEX(包装物料出入库明细!$O$4:$O$2003,$Z1002-0)),IF($Z1002&lt;=4000,IF(INDEX(周转筐出入库明细!$M$4:$M$2004,$Z1002-2000)=0,"",INDEX(周转筐出入库明细!$M$4:$M$2004,$Z1002-2000)),IF($Z1002&lt;=5200,IF(INDEX(客户自备加工筐明细!$H$4:$H$1203,$Z1002-4000)=0,"",INDEX(客户自备加工筐明细!$H$4:$H$1203,$Z1002-4000)),IF($Z1002&lt;=5800,IF(INDEX(次果筐明细!$H$4:$H$603,$Z1002-5200)=0,"",INDEX(次果筐明细!$H$4:$H$603,$Z1002-5200)),"")))))</f>
        <v/>
      </c>
      <c r="S1002" s="22" t="str">
        <f t="shared" si="47"/>
        <v/>
      </c>
      <c r="Z1002" s="10" t="str">
        <f>IFERROR(MATCH(ROW()-3,_自动清单!$CQ$4:$CQ$5803,0),"")</f>
        <v/>
      </c>
    </row>
    <row r="1003" spans="1:26">
      <c r="A1003" s="24" t="str">
        <f t="shared" si="45"/>
        <v/>
      </c>
      <c r="B1003" s="38" t="str">
        <f>IF($Z1003="","",IF($Z1003&lt;=2000,IF(INDEX(包装物料出入库明细!$B$4:$B$2003,$Z1003-0)=0,"",INDEX(包装物料出入库明细!$B$4:$B$2003,$Z1003-0)),IF($Z1003&lt;=4000,IF(INDEX(周转筐出入库明细!$B$4:$B$2004,$Z1003-2000)=0,"",INDEX(周转筐出入库明细!$B$4:$B$2004,$Z1003-2000)),IF($Z1003&lt;=5200,IF(INDEX(客户自备加工筐明细!$B$4:$B$1203,$Z1003-4000)=0,"",INDEX(客户自备加工筐明细!$B$4:$B$1203,$Z1003-4000)),IF($Z1003&lt;=5800,IF(INDEX(次果筐明细!$B$4:$B$603,$Z1003-5200)=0,"",INDEX(次果筐明细!$B$4:$B$603,$Z1003-5200)),"")))))</f>
        <v/>
      </c>
      <c r="C1003" s="37" t="str">
        <f>IF($Z1003="","",IF($Z1003&lt;=2000,IF(INDEX(包装物料出入库明细!$D$4:$D$2003,$Z1003-0)=0,"",INDEX(包装物料出入库明细!$D$4:$D$2003,$Z1003-0)),IF($Z1003&lt;=4000,IF(INDEX(周转筐出入库明细!$C$4:$C$2004,$Z1003-2000)=0,"",INDEX(周转筐出入库明细!$C$4:$C$2004,$Z1003-2000)),IF($Z1003&lt;=5200,IF(INDEX(客户自备加工筐明细!$E$4:$E$1203,$Z1003-4000)=0,"",INDEX(客户自备加工筐明细!$E$4:$E$1203,$Z1003-4000)),IF($Z1003&lt;=5800,IF(INDEX(次果筐明细!$C$4:$C$603,$Z1003-5200)=0,"",INDEX(次果筐明细!$C$4:$C$603,$Z1003-5200)),"")))))</f>
        <v/>
      </c>
      <c r="D1003" s="37" t="str">
        <f>IF($Z1003="","",IF($Z1003&lt;=2000,"包装物料－"&amp;INDEX(包装物料出入库明细!$H$4:$H$2003,$Z1003-0),IF($Z1003&lt;=4000,"周转筐－"&amp;INDEX(周转筐出入库明细!$F$4:$F$2004,$Z1003-2000),IF($Z1003&lt;=5200,"客户自备筐－"&amp;INDEX(客户自备加工筐明细!$J$4:$J$1203,$Z1003-4000),IF($Z1003&lt;=5800,"次果筐/托盘－"&amp;INDEX(次果筐明细!$F$4:$F$603,$Z1003-5200),"")))))</f>
        <v/>
      </c>
      <c r="E1003" s="24" t="str">
        <f>IF($Z1003="","",IF($Z1003&lt;=2000,IF(INDEX(包装物料出入库明细!$C$4:$C$2003,$Z1003-0)=0,"",INDEX(包装物料出入库明细!$C$4:$C$2003,$Z1003-0)),IF($Z1003&lt;=4000,IF(INDEX(周转筐出入库明细!$E$4:$E$2004,$Z1003-2000)=0,"",INDEX(周转筐出入库明细!$E$4:$E$2004,$Z1003-2000)),IF($Z1003&lt;=5200,IF(INDEX(客户自备加工筐明细!$D$4:$D$1203,$Z1003-4000)=0,"",INDEX(客户自备加工筐明细!$D$4:$D$1203,$Z1003-4000)),IF($Z1003&lt;=5800,IF(INDEX(次果筐明细!$E$4:$E$603,$Z1003-5200)=0,"",INDEX(次果筐明细!$E$4:$E$603,$Z1003-5200)),"")))))</f>
        <v/>
      </c>
      <c r="F1003" s="24" t="str">
        <f>IF($Z1003="","",IF($Z1003&lt;=2000,IF(INDEX(包装物料出入库明细!$E$4:$E$2003,$Z1003-0)=0,"",INDEX(包装物料出入库明细!$E$4:$E$2003,$Z1003-0)),IF($Z1003&lt;=4000,IF(INDEX(周转筐出入库明细!$D$4:$D$2004,$Z1003-2000)=0,"",INDEX(周转筐出入库明细!$D$4:$D$2004,$Z1003-2000)),IF($Z1003&lt;=5200,IF(INDEX(客户自备加工筐明细!$C$4:$C$1203,$Z1003-4000)=0,"",INDEX(客户自备加工筐明细!$C$4:$C$1203,$Z1003-4000)),IF($Z1003&lt;=5800,IF(INDEX(次果筐明细!$D$4:$D$603,$Z1003-5200)=0,"",INDEX(次果筐明细!$D$4:$D$603,$Z1003-5200)),"")))))</f>
        <v/>
      </c>
      <c r="G1003" s="24" t="str">
        <f>IF($Z1003="","",IF($Z1003&lt;=2000,IF(INDEX(包装物料出入库明细!$F$4:$F$2003,$Z1003-0)=0,"",INDEX(包装物料出入库明细!$F$4:$F$2003,$Z1003-0)),IF($Z1003&lt;=4000,"",IF($Z1003&lt;=5200,"",IF($Z1003&lt;=5800,"","")))))</f>
        <v/>
      </c>
      <c r="H1003" s="39" t="str">
        <f>IF($Z1003="","",IF($Z1003&lt;=2000,IF(INDEX(包装物料出入库明细!$L$4:$L$2003,$Z1003-0)=0,"",INDEX(包装物料出入库明细!$L$4:$L$2003,$Z1003-0)),IF($Z1003&lt;=4000,N(INDEX(周转筐出入库明细!$H$4:$H$2004,$Z1003-2000))+N(INDEX(周转筐出入库明细!$I$4:$I$2004,$Z1003-2000))+N(INDEX(周转筐出入库明细!$J$4:$J$2004,$Z1003-2000))+N(INDEX(周转筐出入库明细!$K$4:$K$2004,$Z1003-2000)),IF($Z1003&lt;=5200,N(INDEX(客户自备加工筐明细!$F$4:$F$1203,$Z1003-4000))+N(INDEX(客户自备加工筐明细!$G$4:$G$1203,$Z1003-4000)),IF($Z1003&lt;=5800,IF(INDEX(次果筐明细!$G$4:$G$603,$Z1003-5200)=0,"",INDEX(次果筐明细!$G$4:$G$603,$Z1003-5200)),"")))))</f>
        <v/>
      </c>
      <c r="I1003" s="24" t="str">
        <f>IF($Z1003="","",IF($Z1003&lt;=2000,IF(INDEX(包装物料出入库明细!$G$4:$G$2003,$Z1003-0)=0,"",INDEX(包装物料出入库明细!$G$4:$G$2003,$Z1003-0)),IF($Z1003&lt;=4000,"个",IF($Z1003&lt;=5200,"个",IF($Z1003&lt;=5800,"个","")))))</f>
        <v/>
      </c>
      <c r="J1003" s="30" t="str">
        <f t="shared" si="46"/>
        <v/>
      </c>
      <c r="K1003" s="30" t="str">
        <f>IF($Z1003="","",IF($Z1003&lt;=2000,IF(INDEX(包装物料出入库明细!$N$4:$N$2003,$Z1003-0)=0,"",INDEX(包装物料出入库明细!$N$4:$N$2003,$Z1003-0)),IF($Z1003&lt;=4000,IF(INDEX(周转筐出入库明细!$P$4:$P$2004,$Z1003-2000)=0,"",INDEX(周转筐出入库明细!$P$4:$P$2004,$Z1003-2000)),IF($Z1003&lt;=5200,"",IF($Z1003&lt;=5800,N(INDEX(次果筐明细!$L$4:$L$603,$Z1003-5200))+N(INDEX(次果筐明细!$J$4:$J$603,$Z1003-5200)),"")))))</f>
        <v/>
      </c>
      <c r="L1003" s="24" t="str">
        <f>IF($Z1003="","",IF($Z1003&lt;=2000,IF(INDEX(包装物料出入库明细!$P$4:$P$2003,$Z1003-0)=0,"",INDEX(包装物料出入库明细!$P$4:$P$2003,$Z1003-0)),IF($Z1003&lt;=4000,IF(INDEX(周转筐出入库明细!$Q$4:$Q$2004,$Z1003-2000)=0,"",INDEX(周转筐出入库明细!$Q$4:$Q$2004,$Z1003-2000)),IF($Z1003&lt;=5200,"",IF($Z1003&lt;=5800,IF(INDEX(次果筐明细!$M$4:$M$603,$Z1003-5200)=0,"",INDEX(次果筐明细!$M$4:$M$603,$Z1003-5200)),"")))))</f>
        <v/>
      </c>
      <c r="M1003" s="37" t="str">
        <f>IF($Z1003="","",IF($Z1003&lt;=2000,IF(INDEX(包装物料出入库明细!$R$4:$R$2003,$Z1003-0)=0,"",INDEX(包装物料出入库明细!$R$4:$R$2003,$Z1003-0)),IF($Z1003&lt;=4000,IF(INDEX(周转筐出入库明细!$W$4:$W$2004,$Z1003-2000)=0,"",INDEX(周转筐出入库明细!$W$4:$W$2004,$Z1003-2000)),IF($Z1003&lt;=5200,IF(INDEX(客户自备加工筐明细!$L$4:$L$1203,$Z1003-4000)=0,"",INDEX(客户自备加工筐明细!$L$4:$L$1203,$Z1003-4000)),IF($Z1003&lt;=5800,IF(INDEX(次果筐明细!$P$4:$P$603,$Z1003-5200)=0,"",INDEX(次果筐明细!$P$4:$P$603,$Z1003-5200)),"")))))</f>
        <v/>
      </c>
      <c r="N1003" s="16" t="str">
        <f>IF($Z1003="","",IF($Z1003&lt;=2000,"",IF($Z1003&lt;=4000,IF(INDEX(周转筐出入库明细!$D$4:$D$2004,$Z1003-2000)=0,"",INDEX(周转筐出入库明细!$D$4:$D$2004,$Z1003-2000)),IF($Z1003&lt;=5200,IF(INDEX(客户自备加工筐明细!$C$4:$C$1203,$Z1003-4000)=0,"",INDEX(客户自备加工筐明细!$C$4:$C$1203,$Z1003-4000)),IF($Z1003&lt;=5800,IF(INDEX(次果筐明细!$D$4:$D$603,$Z1003-5200)=0,"",INDEX(次果筐明细!$D$4:$D$603,$Z1003-5200)),"")))))</f>
        <v/>
      </c>
      <c r="O1003" s="40" t="str">
        <f>IF($Z1003="","",IF($Z1003&lt;=2000,"",IF($Z1003&lt;=4000,IF(N(INDEX(周转筐出入库明细!$J$4:$J$2004,$Z1003-2000))+N(INDEX(周转筐出入库明细!$K$4:$K$2004,$Z1003-2000))=0,"",N(INDEX(周转筐出入库明细!$J$4:$J$2004,$Z1003-2000))+N(INDEX(周转筐出入库明细!$K$4:$K$2004,$Z1003-2000))),IF($Z1003&lt;=5200,IF(N(INDEX(客户自备加工筐明细!$G$4:$G$1203,$Z1003-4000))=0,"",N(INDEX(客户自备加工筐明细!$G$4:$G$1203,$Z1003-4000))),IF($Z1003&lt;=5800,IF(ISNUMBER(SEARCH("退",INDEX(次果筐明细!$F$4:$F$603,$Z1003-5200)&amp;"")),"",IF(N(INDEX(次果筐明细!$G$4:$G$603,$Z1003-5200))=0,"",N(INDEX(次果筐明细!$G$4:$G$603,$Z1003-5200)))),"")))))</f>
        <v/>
      </c>
      <c r="P1003" s="40" t="str">
        <f>IF($Z1003="","",IF($Z1003&lt;=2000,"",IF($Z1003&lt;=4000,IF(N(INDEX(周转筐出入库明细!$I$4:$I$2004,$Z1003-2000))=0,"",N(INDEX(周转筐出入库明细!$I$4:$I$2004,$Z1003-2000))),IF($Z1003&lt;=5200,"",IF($Z1003&lt;=5800,IF(ISNUMBER(SEARCH("退",INDEX(次果筐明细!$F$4:$F$603,$Z1003-5200)&amp;"")),IF(N(INDEX(次果筐明细!$G$4:$G$603,$Z1003-5200))=0,"",N(INDEX(次果筐明细!$G$4:$G$603,$Z1003-5200))),""),"")))))</f>
        <v/>
      </c>
      <c r="Q1003" s="40" t="str">
        <f>IF($Z1003="","",IF($Z1003&lt;=2000,"",IF($Z1003&lt;=4000,IF(N(INDEX(周转筐出入库明细!$H$4:$H$2004,$Z1003-2000))=0,"",N(INDEX(周转筐出入库明细!$H$4:$H$2004,$Z1003-2000))),IF($Z1003&lt;=5200,IF(N(INDEX(客户自备加工筐明细!$F$4:$F$1203,$Z1003-4000))=0,"",N(INDEX(客户自备加工筐明细!$F$4:$F$1203,$Z1003-4000))),IF($Z1003&lt;=5800,"","")))))</f>
        <v/>
      </c>
      <c r="R1003" s="16" t="str">
        <f>IF($Z1003="","",IF($Z1003&lt;=2000,IF(INDEX(包装物料出入库明细!$O$4:$O$2003,$Z1003-0)=0,"",INDEX(包装物料出入库明细!$O$4:$O$2003,$Z1003-0)),IF($Z1003&lt;=4000,IF(INDEX(周转筐出入库明细!$M$4:$M$2004,$Z1003-2000)=0,"",INDEX(周转筐出入库明细!$M$4:$M$2004,$Z1003-2000)),IF($Z1003&lt;=5200,IF(INDEX(客户自备加工筐明细!$H$4:$H$1203,$Z1003-4000)=0,"",INDEX(客户自备加工筐明细!$H$4:$H$1203,$Z1003-4000)),IF($Z1003&lt;=5800,IF(INDEX(次果筐明细!$H$4:$H$603,$Z1003-5200)=0,"",INDEX(次果筐明细!$H$4:$H$603,$Z1003-5200)),"")))))</f>
        <v/>
      </c>
      <c r="S1003" s="22" t="str">
        <f t="shared" si="47"/>
        <v/>
      </c>
      <c r="Z1003" s="10" t="str">
        <f>IFERROR(MATCH(ROW()-3,_自动清单!$CQ$4:$CQ$5803,0),"")</f>
        <v/>
      </c>
    </row>
    <row r="1004" spans="1:26">
      <c r="A1004" s="24" t="str">
        <f t="shared" si="45"/>
        <v/>
      </c>
      <c r="B1004" s="38" t="str">
        <f>IF($Z1004="","",IF($Z1004&lt;=2000,IF(INDEX(包装物料出入库明细!$B$4:$B$2003,$Z1004-0)=0,"",INDEX(包装物料出入库明细!$B$4:$B$2003,$Z1004-0)),IF($Z1004&lt;=4000,IF(INDEX(周转筐出入库明细!$B$4:$B$2004,$Z1004-2000)=0,"",INDEX(周转筐出入库明细!$B$4:$B$2004,$Z1004-2000)),IF($Z1004&lt;=5200,IF(INDEX(客户自备加工筐明细!$B$4:$B$1203,$Z1004-4000)=0,"",INDEX(客户自备加工筐明细!$B$4:$B$1203,$Z1004-4000)),IF($Z1004&lt;=5800,IF(INDEX(次果筐明细!$B$4:$B$603,$Z1004-5200)=0,"",INDEX(次果筐明细!$B$4:$B$603,$Z1004-5200)),"")))))</f>
        <v/>
      </c>
      <c r="C1004" s="37" t="str">
        <f>IF($Z1004="","",IF($Z1004&lt;=2000,IF(INDEX(包装物料出入库明细!$D$4:$D$2003,$Z1004-0)=0,"",INDEX(包装物料出入库明细!$D$4:$D$2003,$Z1004-0)),IF($Z1004&lt;=4000,IF(INDEX(周转筐出入库明细!$C$4:$C$2004,$Z1004-2000)=0,"",INDEX(周转筐出入库明细!$C$4:$C$2004,$Z1004-2000)),IF($Z1004&lt;=5200,IF(INDEX(客户自备加工筐明细!$E$4:$E$1203,$Z1004-4000)=0,"",INDEX(客户自备加工筐明细!$E$4:$E$1203,$Z1004-4000)),IF($Z1004&lt;=5800,IF(INDEX(次果筐明细!$C$4:$C$603,$Z1004-5200)=0,"",INDEX(次果筐明细!$C$4:$C$603,$Z1004-5200)),"")))))</f>
        <v/>
      </c>
      <c r="D1004" s="37" t="str">
        <f>IF($Z1004="","",IF($Z1004&lt;=2000,"包装物料－"&amp;INDEX(包装物料出入库明细!$H$4:$H$2003,$Z1004-0),IF($Z1004&lt;=4000,"周转筐－"&amp;INDEX(周转筐出入库明细!$F$4:$F$2004,$Z1004-2000),IF($Z1004&lt;=5200,"客户自备筐－"&amp;INDEX(客户自备加工筐明细!$J$4:$J$1203,$Z1004-4000),IF($Z1004&lt;=5800,"次果筐/托盘－"&amp;INDEX(次果筐明细!$F$4:$F$603,$Z1004-5200),"")))))</f>
        <v/>
      </c>
      <c r="E1004" s="24" t="str">
        <f>IF($Z1004="","",IF($Z1004&lt;=2000,IF(INDEX(包装物料出入库明细!$C$4:$C$2003,$Z1004-0)=0,"",INDEX(包装物料出入库明细!$C$4:$C$2003,$Z1004-0)),IF($Z1004&lt;=4000,IF(INDEX(周转筐出入库明细!$E$4:$E$2004,$Z1004-2000)=0,"",INDEX(周转筐出入库明细!$E$4:$E$2004,$Z1004-2000)),IF($Z1004&lt;=5200,IF(INDEX(客户自备加工筐明细!$D$4:$D$1203,$Z1004-4000)=0,"",INDEX(客户自备加工筐明细!$D$4:$D$1203,$Z1004-4000)),IF($Z1004&lt;=5800,IF(INDEX(次果筐明细!$E$4:$E$603,$Z1004-5200)=0,"",INDEX(次果筐明细!$E$4:$E$603,$Z1004-5200)),"")))))</f>
        <v/>
      </c>
      <c r="F1004" s="24" t="str">
        <f>IF($Z1004="","",IF($Z1004&lt;=2000,IF(INDEX(包装物料出入库明细!$E$4:$E$2003,$Z1004-0)=0,"",INDEX(包装物料出入库明细!$E$4:$E$2003,$Z1004-0)),IF($Z1004&lt;=4000,IF(INDEX(周转筐出入库明细!$D$4:$D$2004,$Z1004-2000)=0,"",INDEX(周转筐出入库明细!$D$4:$D$2004,$Z1004-2000)),IF($Z1004&lt;=5200,IF(INDEX(客户自备加工筐明细!$C$4:$C$1203,$Z1004-4000)=0,"",INDEX(客户自备加工筐明细!$C$4:$C$1203,$Z1004-4000)),IF($Z1004&lt;=5800,IF(INDEX(次果筐明细!$D$4:$D$603,$Z1004-5200)=0,"",INDEX(次果筐明细!$D$4:$D$603,$Z1004-5200)),"")))))</f>
        <v/>
      </c>
      <c r="G1004" s="24" t="str">
        <f>IF($Z1004="","",IF($Z1004&lt;=2000,IF(INDEX(包装物料出入库明细!$F$4:$F$2003,$Z1004-0)=0,"",INDEX(包装物料出入库明细!$F$4:$F$2003,$Z1004-0)),IF($Z1004&lt;=4000,"",IF($Z1004&lt;=5200,"",IF($Z1004&lt;=5800,"","")))))</f>
        <v/>
      </c>
      <c r="H1004" s="39" t="str">
        <f>IF($Z1004="","",IF($Z1004&lt;=2000,IF(INDEX(包装物料出入库明细!$L$4:$L$2003,$Z1004-0)=0,"",INDEX(包装物料出入库明细!$L$4:$L$2003,$Z1004-0)),IF($Z1004&lt;=4000,N(INDEX(周转筐出入库明细!$H$4:$H$2004,$Z1004-2000))+N(INDEX(周转筐出入库明细!$I$4:$I$2004,$Z1004-2000))+N(INDEX(周转筐出入库明细!$J$4:$J$2004,$Z1004-2000))+N(INDEX(周转筐出入库明细!$K$4:$K$2004,$Z1004-2000)),IF($Z1004&lt;=5200,N(INDEX(客户自备加工筐明细!$F$4:$F$1203,$Z1004-4000))+N(INDEX(客户自备加工筐明细!$G$4:$G$1203,$Z1004-4000)),IF($Z1004&lt;=5800,IF(INDEX(次果筐明细!$G$4:$G$603,$Z1004-5200)=0,"",INDEX(次果筐明细!$G$4:$G$603,$Z1004-5200)),"")))))</f>
        <v/>
      </c>
      <c r="I1004" s="24" t="str">
        <f>IF($Z1004="","",IF($Z1004&lt;=2000,IF(INDEX(包装物料出入库明细!$G$4:$G$2003,$Z1004-0)=0,"",INDEX(包装物料出入库明细!$G$4:$G$2003,$Z1004-0)),IF($Z1004&lt;=4000,"个",IF($Z1004&lt;=5200,"个",IF($Z1004&lt;=5800,"个","")))))</f>
        <v/>
      </c>
      <c r="J1004" s="30" t="str">
        <f t="shared" si="46"/>
        <v/>
      </c>
      <c r="K1004" s="30" t="str">
        <f>IF($Z1004="","",IF($Z1004&lt;=2000,IF(INDEX(包装物料出入库明细!$N$4:$N$2003,$Z1004-0)=0,"",INDEX(包装物料出入库明细!$N$4:$N$2003,$Z1004-0)),IF($Z1004&lt;=4000,IF(INDEX(周转筐出入库明细!$P$4:$P$2004,$Z1004-2000)=0,"",INDEX(周转筐出入库明细!$P$4:$P$2004,$Z1004-2000)),IF($Z1004&lt;=5200,"",IF($Z1004&lt;=5800,N(INDEX(次果筐明细!$L$4:$L$603,$Z1004-5200))+N(INDEX(次果筐明细!$J$4:$J$603,$Z1004-5200)),"")))))</f>
        <v/>
      </c>
      <c r="L1004" s="24" t="str">
        <f>IF($Z1004="","",IF($Z1004&lt;=2000,IF(INDEX(包装物料出入库明细!$P$4:$P$2003,$Z1004-0)=0,"",INDEX(包装物料出入库明细!$P$4:$P$2003,$Z1004-0)),IF($Z1004&lt;=4000,IF(INDEX(周转筐出入库明细!$Q$4:$Q$2004,$Z1004-2000)=0,"",INDEX(周转筐出入库明细!$Q$4:$Q$2004,$Z1004-2000)),IF($Z1004&lt;=5200,"",IF($Z1004&lt;=5800,IF(INDEX(次果筐明细!$M$4:$M$603,$Z1004-5200)=0,"",INDEX(次果筐明细!$M$4:$M$603,$Z1004-5200)),"")))))</f>
        <v/>
      </c>
      <c r="M1004" s="37" t="str">
        <f>IF($Z1004="","",IF($Z1004&lt;=2000,IF(INDEX(包装物料出入库明细!$R$4:$R$2003,$Z1004-0)=0,"",INDEX(包装物料出入库明细!$R$4:$R$2003,$Z1004-0)),IF($Z1004&lt;=4000,IF(INDEX(周转筐出入库明细!$W$4:$W$2004,$Z1004-2000)=0,"",INDEX(周转筐出入库明细!$W$4:$W$2004,$Z1004-2000)),IF($Z1004&lt;=5200,IF(INDEX(客户自备加工筐明细!$L$4:$L$1203,$Z1004-4000)=0,"",INDEX(客户自备加工筐明细!$L$4:$L$1203,$Z1004-4000)),IF($Z1004&lt;=5800,IF(INDEX(次果筐明细!$P$4:$P$603,$Z1004-5200)=0,"",INDEX(次果筐明细!$P$4:$P$603,$Z1004-5200)),"")))))</f>
        <v/>
      </c>
      <c r="N1004" s="16" t="str">
        <f>IF($Z1004="","",IF($Z1004&lt;=2000,"",IF($Z1004&lt;=4000,IF(INDEX(周转筐出入库明细!$D$4:$D$2004,$Z1004-2000)=0,"",INDEX(周转筐出入库明细!$D$4:$D$2004,$Z1004-2000)),IF($Z1004&lt;=5200,IF(INDEX(客户自备加工筐明细!$C$4:$C$1203,$Z1004-4000)=0,"",INDEX(客户自备加工筐明细!$C$4:$C$1203,$Z1004-4000)),IF($Z1004&lt;=5800,IF(INDEX(次果筐明细!$D$4:$D$603,$Z1004-5200)=0,"",INDEX(次果筐明细!$D$4:$D$603,$Z1004-5200)),"")))))</f>
        <v/>
      </c>
      <c r="O1004" s="40" t="str">
        <f>IF($Z1004="","",IF($Z1004&lt;=2000,"",IF($Z1004&lt;=4000,IF(N(INDEX(周转筐出入库明细!$J$4:$J$2004,$Z1004-2000))+N(INDEX(周转筐出入库明细!$K$4:$K$2004,$Z1004-2000))=0,"",N(INDEX(周转筐出入库明细!$J$4:$J$2004,$Z1004-2000))+N(INDEX(周转筐出入库明细!$K$4:$K$2004,$Z1004-2000))),IF($Z1004&lt;=5200,IF(N(INDEX(客户自备加工筐明细!$G$4:$G$1203,$Z1004-4000))=0,"",N(INDEX(客户自备加工筐明细!$G$4:$G$1203,$Z1004-4000))),IF($Z1004&lt;=5800,IF(ISNUMBER(SEARCH("退",INDEX(次果筐明细!$F$4:$F$603,$Z1004-5200)&amp;"")),"",IF(N(INDEX(次果筐明细!$G$4:$G$603,$Z1004-5200))=0,"",N(INDEX(次果筐明细!$G$4:$G$603,$Z1004-5200)))),"")))))</f>
        <v/>
      </c>
      <c r="P1004" s="40" t="str">
        <f>IF($Z1004="","",IF($Z1004&lt;=2000,"",IF($Z1004&lt;=4000,IF(N(INDEX(周转筐出入库明细!$I$4:$I$2004,$Z1004-2000))=0,"",N(INDEX(周转筐出入库明细!$I$4:$I$2004,$Z1004-2000))),IF($Z1004&lt;=5200,"",IF($Z1004&lt;=5800,IF(ISNUMBER(SEARCH("退",INDEX(次果筐明细!$F$4:$F$603,$Z1004-5200)&amp;"")),IF(N(INDEX(次果筐明细!$G$4:$G$603,$Z1004-5200))=0,"",N(INDEX(次果筐明细!$G$4:$G$603,$Z1004-5200))),""),"")))))</f>
        <v/>
      </c>
      <c r="Q1004" s="40" t="str">
        <f>IF($Z1004="","",IF($Z1004&lt;=2000,"",IF($Z1004&lt;=4000,IF(N(INDEX(周转筐出入库明细!$H$4:$H$2004,$Z1004-2000))=0,"",N(INDEX(周转筐出入库明细!$H$4:$H$2004,$Z1004-2000))),IF($Z1004&lt;=5200,IF(N(INDEX(客户自备加工筐明细!$F$4:$F$1203,$Z1004-4000))=0,"",N(INDEX(客户自备加工筐明细!$F$4:$F$1203,$Z1004-4000))),IF($Z1004&lt;=5800,"","")))))</f>
        <v/>
      </c>
      <c r="R1004" s="16" t="str">
        <f>IF($Z1004="","",IF($Z1004&lt;=2000,IF(INDEX(包装物料出入库明细!$O$4:$O$2003,$Z1004-0)=0,"",INDEX(包装物料出入库明细!$O$4:$O$2003,$Z1004-0)),IF($Z1004&lt;=4000,IF(INDEX(周转筐出入库明细!$M$4:$M$2004,$Z1004-2000)=0,"",INDEX(周转筐出入库明细!$M$4:$M$2004,$Z1004-2000)),IF($Z1004&lt;=5200,IF(INDEX(客户自备加工筐明细!$H$4:$H$1203,$Z1004-4000)=0,"",INDEX(客户自备加工筐明细!$H$4:$H$1203,$Z1004-4000)),IF($Z1004&lt;=5800,IF(INDEX(次果筐明细!$H$4:$H$603,$Z1004-5200)=0,"",INDEX(次果筐明细!$H$4:$H$603,$Z1004-5200)),"")))))</f>
        <v/>
      </c>
      <c r="S1004" s="22" t="str">
        <f t="shared" si="47"/>
        <v/>
      </c>
      <c r="Z1004" s="10" t="str">
        <f>IFERROR(MATCH(ROW()-3,_自动清单!$CQ$4:$CQ$5803,0),"")</f>
        <v/>
      </c>
    </row>
    <row r="1005" spans="1:26">
      <c r="A1005" s="24" t="str">
        <f t="shared" si="45"/>
        <v/>
      </c>
      <c r="B1005" s="38" t="str">
        <f>IF($Z1005="","",IF($Z1005&lt;=2000,IF(INDEX(包装物料出入库明细!$B$4:$B$2003,$Z1005-0)=0,"",INDEX(包装物料出入库明细!$B$4:$B$2003,$Z1005-0)),IF($Z1005&lt;=4000,IF(INDEX(周转筐出入库明细!$B$4:$B$2004,$Z1005-2000)=0,"",INDEX(周转筐出入库明细!$B$4:$B$2004,$Z1005-2000)),IF($Z1005&lt;=5200,IF(INDEX(客户自备加工筐明细!$B$4:$B$1203,$Z1005-4000)=0,"",INDEX(客户自备加工筐明细!$B$4:$B$1203,$Z1005-4000)),IF($Z1005&lt;=5800,IF(INDEX(次果筐明细!$B$4:$B$603,$Z1005-5200)=0,"",INDEX(次果筐明细!$B$4:$B$603,$Z1005-5200)),"")))))</f>
        <v/>
      </c>
      <c r="C1005" s="37" t="str">
        <f>IF($Z1005="","",IF($Z1005&lt;=2000,IF(INDEX(包装物料出入库明细!$D$4:$D$2003,$Z1005-0)=0,"",INDEX(包装物料出入库明细!$D$4:$D$2003,$Z1005-0)),IF($Z1005&lt;=4000,IF(INDEX(周转筐出入库明细!$C$4:$C$2004,$Z1005-2000)=0,"",INDEX(周转筐出入库明细!$C$4:$C$2004,$Z1005-2000)),IF($Z1005&lt;=5200,IF(INDEX(客户自备加工筐明细!$E$4:$E$1203,$Z1005-4000)=0,"",INDEX(客户自备加工筐明细!$E$4:$E$1203,$Z1005-4000)),IF($Z1005&lt;=5800,IF(INDEX(次果筐明细!$C$4:$C$603,$Z1005-5200)=0,"",INDEX(次果筐明细!$C$4:$C$603,$Z1005-5200)),"")))))</f>
        <v/>
      </c>
      <c r="D1005" s="37" t="str">
        <f>IF($Z1005="","",IF($Z1005&lt;=2000,"包装物料－"&amp;INDEX(包装物料出入库明细!$H$4:$H$2003,$Z1005-0),IF($Z1005&lt;=4000,"周转筐－"&amp;INDEX(周转筐出入库明细!$F$4:$F$2004,$Z1005-2000),IF($Z1005&lt;=5200,"客户自备筐－"&amp;INDEX(客户自备加工筐明细!$J$4:$J$1203,$Z1005-4000),IF($Z1005&lt;=5800,"次果筐/托盘－"&amp;INDEX(次果筐明细!$F$4:$F$603,$Z1005-5200),"")))))</f>
        <v/>
      </c>
      <c r="E1005" s="24" t="str">
        <f>IF($Z1005="","",IF($Z1005&lt;=2000,IF(INDEX(包装物料出入库明细!$C$4:$C$2003,$Z1005-0)=0,"",INDEX(包装物料出入库明细!$C$4:$C$2003,$Z1005-0)),IF($Z1005&lt;=4000,IF(INDEX(周转筐出入库明细!$E$4:$E$2004,$Z1005-2000)=0,"",INDEX(周转筐出入库明细!$E$4:$E$2004,$Z1005-2000)),IF($Z1005&lt;=5200,IF(INDEX(客户自备加工筐明细!$D$4:$D$1203,$Z1005-4000)=0,"",INDEX(客户自备加工筐明细!$D$4:$D$1203,$Z1005-4000)),IF($Z1005&lt;=5800,IF(INDEX(次果筐明细!$E$4:$E$603,$Z1005-5200)=0,"",INDEX(次果筐明细!$E$4:$E$603,$Z1005-5200)),"")))))</f>
        <v/>
      </c>
      <c r="F1005" s="24" t="str">
        <f>IF($Z1005="","",IF($Z1005&lt;=2000,IF(INDEX(包装物料出入库明细!$E$4:$E$2003,$Z1005-0)=0,"",INDEX(包装物料出入库明细!$E$4:$E$2003,$Z1005-0)),IF($Z1005&lt;=4000,IF(INDEX(周转筐出入库明细!$D$4:$D$2004,$Z1005-2000)=0,"",INDEX(周转筐出入库明细!$D$4:$D$2004,$Z1005-2000)),IF($Z1005&lt;=5200,IF(INDEX(客户自备加工筐明细!$C$4:$C$1203,$Z1005-4000)=0,"",INDEX(客户自备加工筐明细!$C$4:$C$1203,$Z1005-4000)),IF($Z1005&lt;=5800,IF(INDEX(次果筐明细!$D$4:$D$603,$Z1005-5200)=0,"",INDEX(次果筐明细!$D$4:$D$603,$Z1005-5200)),"")))))</f>
        <v/>
      </c>
      <c r="G1005" s="24" t="str">
        <f>IF($Z1005="","",IF($Z1005&lt;=2000,IF(INDEX(包装物料出入库明细!$F$4:$F$2003,$Z1005-0)=0,"",INDEX(包装物料出入库明细!$F$4:$F$2003,$Z1005-0)),IF($Z1005&lt;=4000,"",IF($Z1005&lt;=5200,"",IF($Z1005&lt;=5800,"","")))))</f>
        <v/>
      </c>
      <c r="H1005" s="39" t="str">
        <f>IF($Z1005="","",IF($Z1005&lt;=2000,IF(INDEX(包装物料出入库明细!$L$4:$L$2003,$Z1005-0)=0,"",INDEX(包装物料出入库明细!$L$4:$L$2003,$Z1005-0)),IF($Z1005&lt;=4000,N(INDEX(周转筐出入库明细!$H$4:$H$2004,$Z1005-2000))+N(INDEX(周转筐出入库明细!$I$4:$I$2004,$Z1005-2000))+N(INDEX(周转筐出入库明细!$J$4:$J$2004,$Z1005-2000))+N(INDEX(周转筐出入库明细!$K$4:$K$2004,$Z1005-2000)),IF($Z1005&lt;=5200,N(INDEX(客户自备加工筐明细!$F$4:$F$1203,$Z1005-4000))+N(INDEX(客户自备加工筐明细!$G$4:$G$1203,$Z1005-4000)),IF($Z1005&lt;=5800,IF(INDEX(次果筐明细!$G$4:$G$603,$Z1005-5200)=0,"",INDEX(次果筐明细!$G$4:$G$603,$Z1005-5200)),"")))))</f>
        <v/>
      </c>
      <c r="I1005" s="24" t="str">
        <f>IF($Z1005="","",IF($Z1005&lt;=2000,IF(INDEX(包装物料出入库明细!$G$4:$G$2003,$Z1005-0)=0,"",INDEX(包装物料出入库明细!$G$4:$G$2003,$Z1005-0)),IF($Z1005&lt;=4000,"个",IF($Z1005&lt;=5200,"个",IF($Z1005&lt;=5800,"个","")))))</f>
        <v/>
      </c>
      <c r="J1005" s="30" t="str">
        <f t="shared" si="46"/>
        <v/>
      </c>
      <c r="K1005" s="30" t="str">
        <f>IF($Z1005="","",IF($Z1005&lt;=2000,IF(INDEX(包装物料出入库明细!$N$4:$N$2003,$Z1005-0)=0,"",INDEX(包装物料出入库明细!$N$4:$N$2003,$Z1005-0)),IF($Z1005&lt;=4000,IF(INDEX(周转筐出入库明细!$P$4:$P$2004,$Z1005-2000)=0,"",INDEX(周转筐出入库明细!$P$4:$P$2004,$Z1005-2000)),IF($Z1005&lt;=5200,"",IF($Z1005&lt;=5800,N(INDEX(次果筐明细!$L$4:$L$603,$Z1005-5200))+N(INDEX(次果筐明细!$J$4:$J$603,$Z1005-5200)),"")))))</f>
        <v/>
      </c>
      <c r="L1005" s="24" t="str">
        <f>IF($Z1005="","",IF($Z1005&lt;=2000,IF(INDEX(包装物料出入库明细!$P$4:$P$2003,$Z1005-0)=0,"",INDEX(包装物料出入库明细!$P$4:$P$2003,$Z1005-0)),IF($Z1005&lt;=4000,IF(INDEX(周转筐出入库明细!$Q$4:$Q$2004,$Z1005-2000)=0,"",INDEX(周转筐出入库明细!$Q$4:$Q$2004,$Z1005-2000)),IF($Z1005&lt;=5200,"",IF($Z1005&lt;=5800,IF(INDEX(次果筐明细!$M$4:$M$603,$Z1005-5200)=0,"",INDEX(次果筐明细!$M$4:$M$603,$Z1005-5200)),"")))))</f>
        <v/>
      </c>
      <c r="M1005" s="37" t="str">
        <f>IF($Z1005="","",IF($Z1005&lt;=2000,IF(INDEX(包装物料出入库明细!$R$4:$R$2003,$Z1005-0)=0,"",INDEX(包装物料出入库明细!$R$4:$R$2003,$Z1005-0)),IF($Z1005&lt;=4000,IF(INDEX(周转筐出入库明细!$W$4:$W$2004,$Z1005-2000)=0,"",INDEX(周转筐出入库明细!$W$4:$W$2004,$Z1005-2000)),IF($Z1005&lt;=5200,IF(INDEX(客户自备加工筐明细!$L$4:$L$1203,$Z1005-4000)=0,"",INDEX(客户自备加工筐明细!$L$4:$L$1203,$Z1005-4000)),IF($Z1005&lt;=5800,IF(INDEX(次果筐明细!$P$4:$P$603,$Z1005-5200)=0,"",INDEX(次果筐明细!$P$4:$P$603,$Z1005-5200)),"")))))</f>
        <v/>
      </c>
      <c r="N1005" s="16" t="str">
        <f>IF($Z1005="","",IF($Z1005&lt;=2000,"",IF($Z1005&lt;=4000,IF(INDEX(周转筐出入库明细!$D$4:$D$2004,$Z1005-2000)=0,"",INDEX(周转筐出入库明细!$D$4:$D$2004,$Z1005-2000)),IF($Z1005&lt;=5200,IF(INDEX(客户自备加工筐明细!$C$4:$C$1203,$Z1005-4000)=0,"",INDEX(客户自备加工筐明细!$C$4:$C$1203,$Z1005-4000)),IF($Z1005&lt;=5800,IF(INDEX(次果筐明细!$D$4:$D$603,$Z1005-5200)=0,"",INDEX(次果筐明细!$D$4:$D$603,$Z1005-5200)),"")))))</f>
        <v/>
      </c>
      <c r="O1005" s="40" t="str">
        <f>IF($Z1005="","",IF($Z1005&lt;=2000,"",IF($Z1005&lt;=4000,IF(N(INDEX(周转筐出入库明细!$J$4:$J$2004,$Z1005-2000))+N(INDEX(周转筐出入库明细!$K$4:$K$2004,$Z1005-2000))=0,"",N(INDEX(周转筐出入库明细!$J$4:$J$2004,$Z1005-2000))+N(INDEX(周转筐出入库明细!$K$4:$K$2004,$Z1005-2000))),IF($Z1005&lt;=5200,IF(N(INDEX(客户自备加工筐明细!$G$4:$G$1203,$Z1005-4000))=0,"",N(INDEX(客户自备加工筐明细!$G$4:$G$1203,$Z1005-4000))),IF($Z1005&lt;=5800,IF(ISNUMBER(SEARCH("退",INDEX(次果筐明细!$F$4:$F$603,$Z1005-5200)&amp;"")),"",IF(N(INDEX(次果筐明细!$G$4:$G$603,$Z1005-5200))=0,"",N(INDEX(次果筐明细!$G$4:$G$603,$Z1005-5200)))),"")))))</f>
        <v/>
      </c>
      <c r="P1005" s="40" t="str">
        <f>IF($Z1005="","",IF($Z1005&lt;=2000,"",IF($Z1005&lt;=4000,IF(N(INDEX(周转筐出入库明细!$I$4:$I$2004,$Z1005-2000))=0,"",N(INDEX(周转筐出入库明细!$I$4:$I$2004,$Z1005-2000))),IF($Z1005&lt;=5200,"",IF($Z1005&lt;=5800,IF(ISNUMBER(SEARCH("退",INDEX(次果筐明细!$F$4:$F$603,$Z1005-5200)&amp;"")),IF(N(INDEX(次果筐明细!$G$4:$G$603,$Z1005-5200))=0,"",N(INDEX(次果筐明细!$G$4:$G$603,$Z1005-5200))),""),"")))))</f>
        <v/>
      </c>
      <c r="Q1005" s="40" t="str">
        <f>IF($Z1005="","",IF($Z1005&lt;=2000,"",IF($Z1005&lt;=4000,IF(N(INDEX(周转筐出入库明细!$H$4:$H$2004,$Z1005-2000))=0,"",N(INDEX(周转筐出入库明细!$H$4:$H$2004,$Z1005-2000))),IF($Z1005&lt;=5200,IF(N(INDEX(客户自备加工筐明细!$F$4:$F$1203,$Z1005-4000))=0,"",N(INDEX(客户自备加工筐明细!$F$4:$F$1203,$Z1005-4000))),IF($Z1005&lt;=5800,"","")))))</f>
        <v/>
      </c>
      <c r="R1005" s="16" t="str">
        <f>IF($Z1005="","",IF($Z1005&lt;=2000,IF(INDEX(包装物料出入库明细!$O$4:$O$2003,$Z1005-0)=0,"",INDEX(包装物料出入库明细!$O$4:$O$2003,$Z1005-0)),IF($Z1005&lt;=4000,IF(INDEX(周转筐出入库明细!$M$4:$M$2004,$Z1005-2000)=0,"",INDEX(周转筐出入库明细!$M$4:$M$2004,$Z1005-2000)),IF($Z1005&lt;=5200,IF(INDEX(客户自备加工筐明细!$H$4:$H$1203,$Z1005-4000)=0,"",INDEX(客户自备加工筐明细!$H$4:$H$1203,$Z1005-4000)),IF($Z1005&lt;=5800,IF(INDEX(次果筐明细!$H$4:$H$603,$Z1005-5200)=0,"",INDEX(次果筐明细!$H$4:$H$603,$Z1005-5200)),"")))))</f>
        <v/>
      </c>
      <c r="S1005" s="22" t="str">
        <f t="shared" si="47"/>
        <v/>
      </c>
      <c r="Z1005" s="10" t="str">
        <f>IFERROR(MATCH(ROW()-3,_自动清单!$CQ$4:$CQ$5803,0),"")</f>
        <v/>
      </c>
    </row>
    <row r="1006" spans="1:26">
      <c r="A1006" s="24" t="str">
        <f t="shared" si="45"/>
        <v/>
      </c>
      <c r="B1006" s="38" t="str">
        <f>IF($Z1006="","",IF($Z1006&lt;=2000,IF(INDEX(包装物料出入库明细!$B$4:$B$2003,$Z1006-0)=0,"",INDEX(包装物料出入库明细!$B$4:$B$2003,$Z1006-0)),IF($Z1006&lt;=4000,IF(INDEX(周转筐出入库明细!$B$4:$B$2004,$Z1006-2000)=0,"",INDEX(周转筐出入库明细!$B$4:$B$2004,$Z1006-2000)),IF($Z1006&lt;=5200,IF(INDEX(客户自备加工筐明细!$B$4:$B$1203,$Z1006-4000)=0,"",INDEX(客户自备加工筐明细!$B$4:$B$1203,$Z1006-4000)),IF($Z1006&lt;=5800,IF(INDEX(次果筐明细!$B$4:$B$603,$Z1006-5200)=0,"",INDEX(次果筐明细!$B$4:$B$603,$Z1006-5200)),"")))))</f>
        <v/>
      </c>
      <c r="C1006" s="37" t="str">
        <f>IF($Z1006="","",IF($Z1006&lt;=2000,IF(INDEX(包装物料出入库明细!$D$4:$D$2003,$Z1006-0)=0,"",INDEX(包装物料出入库明细!$D$4:$D$2003,$Z1006-0)),IF($Z1006&lt;=4000,IF(INDEX(周转筐出入库明细!$C$4:$C$2004,$Z1006-2000)=0,"",INDEX(周转筐出入库明细!$C$4:$C$2004,$Z1006-2000)),IF($Z1006&lt;=5200,IF(INDEX(客户自备加工筐明细!$E$4:$E$1203,$Z1006-4000)=0,"",INDEX(客户自备加工筐明细!$E$4:$E$1203,$Z1006-4000)),IF($Z1006&lt;=5800,IF(INDEX(次果筐明细!$C$4:$C$603,$Z1006-5200)=0,"",INDEX(次果筐明细!$C$4:$C$603,$Z1006-5200)),"")))))</f>
        <v/>
      </c>
      <c r="D1006" s="37" t="str">
        <f>IF($Z1006="","",IF($Z1006&lt;=2000,"包装物料－"&amp;INDEX(包装物料出入库明细!$H$4:$H$2003,$Z1006-0),IF($Z1006&lt;=4000,"周转筐－"&amp;INDEX(周转筐出入库明细!$F$4:$F$2004,$Z1006-2000),IF($Z1006&lt;=5200,"客户自备筐－"&amp;INDEX(客户自备加工筐明细!$J$4:$J$1203,$Z1006-4000),IF($Z1006&lt;=5800,"次果筐/托盘－"&amp;INDEX(次果筐明细!$F$4:$F$603,$Z1006-5200),"")))))</f>
        <v/>
      </c>
      <c r="E1006" s="24" t="str">
        <f>IF($Z1006="","",IF($Z1006&lt;=2000,IF(INDEX(包装物料出入库明细!$C$4:$C$2003,$Z1006-0)=0,"",INDEX(包装物料出入库明细!$C$4:$C$2003,$Z1006-0)),IF($Z1006&lt;=4000,IF(INDEX(周转筐出入库明细!$E$4:$E$2004,$Z1006-2000)=0,"",INDEX(周转筐出入库明细!$E$4:$E$2004,$Z1006-2000)),IF($Z1006&lt;=5200,IF(INDEX(客户自备加工筐明细!$D$4:$D$1203,$Z1006-4000)=0,"",INDEX(客户自备加工筐明细!$D$4:$D$1203,$Z1006-4000)),IF($Z1006&lt;=5800,IF(INDEX(次果筐明细!$E$4:$E$603,$Z1006-5200)=0,"",INDEX(次果筐明细!$E$4:$E$603,$Z1006-5200)),"")))))</f>
        <v/>
      </c>
      <c r="F1006" s="24" t="str">
        <f>IF($Z1006="","",IF($Z1006&lt;=2000,IF(INDEX(包装物料出入库明细!$E$4:$E$2003,$Z1006-0)=0,"",INDEX(包装物料出入库明细!$E$4:$E$2003,$Z1006-0)),IF($Z1006&lt;=4000,IF(INDEX(周转筐出入库明细!$D$4:$D$2004,$Z1006-2000)=0,"",INDEX(周转筐出入库明细!$D$4:$D$2004,$Z1006-2000)),IF($Z1006&lt;=5200,IF(INDEX(客户自备加工筐明细!$C$4:$C$1203,$Z1006-4000)=0,"",INDEX(客户自备加工筐明细!$C$4:$C$1203,$Z1006-4000)),IF($Z1006&lt;=5800,IF(INDEX(次果筐明细!$D$4:$D$603,$Z1006-5200)=0,"",INDEX(次果筐明细!$D$4:$D$603,$Z1006-5200)),"")))))</f>
        <v/>
      </c>
      <c r="G1006" s="24" t="str">
        <f>IF($Z1006="","",IF($Z1006&lt;=2000,IF(INDEX(包装物料出入库明细!$F$4:$F$2003,$Z1006-0)=0,"",INDEX(包装物料出入库明细!$F$4:$F$2003,$Z1006-0)),IF($Z1006&lt;=4000,"",IF($Z1006&lt;=5200,"",IF($Z1006&lt;=5800,"","")))))</f>
        <v/>
      </c>
      <c r="H1006" s="39" t="str">
        <f>IF($Z1006="","",IF($Z1006&lt;=2000,IF(INDEX(包装物料出入库明细!$L$4:$L$2003,$Z1006-0)=0,"",INDEX(包装物料出入库明细!$L$4:$L$2003,$Z1006-0)),IF($Z1006&lt;=4000,N(INDEX(周转筐出入库明细!$H$4:$H$2004,$Z1006-2000))+N(INDEX(周转筐出入库明细!$I$4:$I$2004,$Z1006-2000))+N(INDEX(周转筐出入库明细!$J$4:$J$2004,$Z1006-2000))+N(INDEX(周转筐出入库明细!$K$4:$K$2004,$Z1006-2000)),IF($Z1006&lt;=5200,N(INDEX(客户自备加工筐明细!$F$4:$F$1203,$Z1006-4000))+N(INDEX(客户自备加工筐明细!$G$4:$G$1203,$Z1006-4000)),IF($Z1006&lt;=5800,IF(INDEX(次果筐明细!$G$4:$G$603,$Z1006-5200)=0,"",INDEX(次果筐明细!$G$4:$G$603,$Z1006-5200)),"")))))</f>
        <v/>
      </c>
      <c r="I1006" s="24" t="str">
        <f>IF($Z1006="","",IF($Z1006&lt;=2000,IF(INDEX(包装物料出入库明细!$G$4:$G$2003,$Z1006-0)=0,"",INDEX(包装物料出入库明细!$G$4:$G$2003,$Z1006-0)),IF($Z1006&lt;=4000,"个",IF($Z1006&lt;=5200,"个",IF($Z1006&lt;=5800,"个","")))))</f>
        <v/>
      </c>
      <c r="J1006" s="30" t="str">
        <f t="shared" si="46"/>
        <v/>
      </c>
      <c r="K1006" s="30" t="str">
        <f>IF($Z1006="","",IF($Z1006&lt;=2000,IF(INDEX(包装物料出入库明细!$N$4:$N$2003,$Z1006-0)=0,"",INDEX(包装物料出入库明细!$N$4:$N$2003,$Z1006-0)),IF($Z1006&lt;=4000,IF(INDEX(周转筐出入库明细!$P$4:$P$2004,$Z1006-2000)=0,"",INDEX(周转筐出入库明细!$P$4:$P$2004,$Z1006-2000)),IF($Z1006&lt;=5200,"",IF($Z1006&lt;=5800,N(INDEX(次果筐明细!$L$4:$L$603,$Z1006-5200))+N(INDEX(次果筐明细!$J$4:$J$603,$Z1006-5200)),"")))))</f>
        <v/>
      </c>
      <c r="L1006" s="24" t="str">
        <f>IF($Z1006="","",IF($Z1006&lt;=2000,IF(INDEX(包装物料出入库明细!$P$4:$P$2003,$Z1006-0)=0,"",INDEX(包装物料出入库明细!$P$4:$P$2003,$Z1006-0)),IF($Z1006&lt;=4000,IF(INDEX(周转筐出入库明细!$Q$4:$Q$2004,$Z1006-2000)=0,"",INDEX(周转筐出入库明细!$Q$4:$Q$2004,$Z1006-2000)),IF($Z1006&lt;=5200,"",IF($Z1006&lt;=5800,IF(INDEX(次果筐明细!$M$4:$M$603,$Z1006-5200)=0,"",INDEX(次果筐明细!$M$4:$M$603,$Z1006-5200)),"")))))</f>
        <v/>
      </c>
      <c r="M1006" s="37" t="str">
        <f>IF($Z1006="","",IF($Z1006&lt;=2000,IF(INDEX(包装物料出入库明细!$R$4:$R$2003,$Z1006-0)=0,"",INDEX(包装物料出入库明细!$R$4:$R$2003,$Z1006-0)),IF($Z1006&lt;=4000,IF(INDEX(周转筐出入库明细!$W$4:$W$2004,$Z1006-2000)=0,"",INDEX(周转筐出入库明细!$W$4:$W$2004,$Z1006-2000)),IF($Z1006&lt;=5200,IF(INDEX(客户自备加工筐明细!$L$4:$L$1203,$Z1006-4000)=0,"",INDEX(客户自备加工筐明细!$L$4:$L$1203,$Z1006-4000)),IF($Z1006&lt;=5800,IF(INDEX(次果筐明细!$P$4:$P$603,$Z1006-5200)=0,"",INDEX(次果筐明细!$P$4:$P$603,$Z1006-5200)),"")))))</f>
        <v/>
      </c>
      <c r="N1006" s="16" t="str">
        <f>IF($Z1006="","",IF($Z1006&lt;=2000,"",IF($Z1006&lt;=4000,IF(INDEX(周转筐出入库明细!$D$4:$D$2004,$Z1006-2000)=0,"",INDEX(周转筐出入库明细!$D$4:$D$2004,$Z1006-2000)),IF($Z1006&lt;=5200,IF(INDEX(客户自备加工筐明细!$C$4:$C$1203,$Z1006-4000)=0,"",INDEX(客户自备加工筐明细!$C$4:$C$1203,$Z1006-4000)),IF($Z1006&lt;=5800,IF(INDEX(次果筐明细!$D$4:$D$603,$Z1006-5200)=0,"",INDEX(次果筐明细!$D$4:$D$603,$Z1006-5200)),"")))))</f>
        <v/>
      </c>
      <c r="O1006" s="40" t="str">
        <f>IF($Z1006="","",IF($Z1006&lt;=2000,"",IF($Z1006&lt;=4000,IF(N(INDEX(周转筐出入库明细!$J$4:$J$2004,$Z1006-2000))+N(INDEX(周转筐出入库明细!$K$4:$K$2004,$Z1006-2000))=0,"",N(INDEX(周转筐出入库明细!$J$4:$J$2004,$Z1006-2000))+N(INDEX(周转筐出入库明细!$K$4:$K$2004,$Z1006-2000))),IF($Z1006&lt;=5200,IF(N(INDEX(客户自备加工筐明细!$G$4:$G$1203,$Z1006-4000))=0,"",N(INDEX(客户自备加工筐明细!$G$4:$G$1203,$Z1006-4000))),IF($Z1006&lt;=5800,IF(ISNUMBER(SEARCH("退",INDEX(次果筐明细!$F$4:$F$603,$Z1006-5200)&amp;"")),"",IF(N(INDEX(次果筐明细!$G$4:$G$603,$Z1006-5200))=0,"",N(INDEX(次果筐明细!$G$4:$G$603,$Z1006-5200)))),"")))))</f>
        <v/>
      </c>
      <c r="P1006" s="40" t="str">
        <f>IF($Z1006="","",IF($Z1006&lt;=2000,"",IF($Z1006&lt;=4000,IF(N(INDEX(周转筐出入库明细!$I$4:$I$2004,$Z1006-2000))=0,"",N(INDEX(周转筐出入库明细!$I$4:$I$2004,$Z1006-2000))),IF($Z1006&lt;=5200,"",IF($Z1006&lt;=5800,IF(ISNUMBER(SEARCH("退",INDEX(次果筐明细!$F$4:$F$603,$Z1006-5200)&amp;"")),IF(N(INDEX(次果筐明细!$G$4:$G$603,$Z1006-5200))=0,"",N(INDEX(次果筐明细!$G$4:$G$603,$Z1006-5200))),""),"")))))</f>
        <v/>
      </c>
      <c r="Q1006" s="40" t="str">
        <f>IF($Z1006="","",IF($Z1006&lt;=2000,"",IF($Z1006&lt;=4000,IF(N(INDEX(周转筐出入库明细!$H$4:$H$2004,$Z1006-2000))=0,"",N(INDEX(周转筐出入库明细!$H$4:$H$2004,$Z1006-2000))),IF($Z1006&lt;=5200,IF(N(INDEX(客户自备加工筐明细!$F$4:$F$1203,$Z1006-4000))=0,"",N(INDEX(客户自备加工筐明细!$F$4:$F$1203,$Z1006-4000))),IF($Z1006&lt;=5800,"","")))))</f>
        <v/>
      </c>
      <c r="R1006" s="16" t="str">
        <f>IF($Z1006="","",IF($Z1006&lt;=2000,IF(INDEX(包装物料出入库明细!$O$4:$O$2003,$Z1006-0)=0,"",INDEX(包装物料出入库明细!$O$4:$O$2003,$Z1006-0)),IF($Z1006&lt;=4000,IF(INDEX(周转筐出入库明细!$M$4:$M$2004,$Z1006-2000)=0,"",INDEX(周转筐出入库明细!$M$4:$M$2004,$Z1006-2000)),IF($Z1006&lt;=5200,IF(INDEX(客户自备加工筐明细!$H$4:$H$1203,$Z1006-4000)=0,"",INDEX(客户自备加工筐明细!$H$4:$H$1203,$Z1006-4000)),IF($Z1006&lt;=5800,IF(INDEX(次果筐明细!$H$4:$H$603,$Z1006-5200)=0,"",INDEX(次果筐明细!$H$4:$H$603,$Z1006-5200)),"")))))</f>
        <v/>
      </c>
      <c r="S1006" s="22" t="str">
        <f t="shared" si="47"/>
        <v/>
      </c>
      <c r="Z1006" s="10" t="str">
        <f>IFERROR(MATCH(ROW()-3,_自动清单!$CQ$4:$CQ$5803,0),"")</f>
        <v/>
      </c>
    </row>
    <row r="1007" spans="1:26">
      <c r="A1007" s="24" t="str">
        <f t="shared" si="45"/>
        <v/>
      </c>
      <c r="B1007" s="38" t="str">
        <f>IF($Z1007="","",IF($Z1007&lt;=2000,IF(INDEX(包装物料出入库明细!$B$4:$B$2003,$Z1007-0)=0,"",INDEX(包装物料出入库明细!$B$4:$B$2003,$Z1007-0)),IF($Z1007&lt;=4000,IF(INDEX(周转筐出入库明细!$B$4:$B$2004,$Z1007-2000)=0,"",INDEX(周转筐出入库明细!$B$4:$B$2004,$Z1007-2000)),IF($Z1007&lt;=5200,IF(INDEX(客户自备加工筐明细!$B$4:$B$1203,$Z1007-4000)=0,"",INDEX(客户自备加工筐明细!$B$4:$B$1203,$Z1007-4000)),IF($Z1007&lt;=5800,IF(INDEX(次果筐明细!$B$4:$B$603,$Z1007-5200)=0,"",INDEX(次果筐明细!$B$4:$B$603,$Z1007-5200)),"")))))</f>
        <v/>
      </c>
      <c r="C1007" s="37" t="str">
        <f>IF($Z1007="","",IF($Z1007&lt;=2000,IF(INDEX(包装物料出入库明细!$D$4:$D$2003,$Z1007-0)=0,"",INDEX(包装物料出入库明细!$D$4:$D$2003,$Z1007-0)),IF($Z1007&lt;=4000,IF(INDEX(周转筐出入库明细!$C$4:$C$2004,$Z1007-2000)=0,"",INDEX(周转筐出入库明细!$C$4:$C$2004,$Z1007-2000)),IF($Z1007&lt;=5200,IF(INDEX(客户自备加工筐明细!$E$4:$E$1203,$Z1007-4000)=0,"",INDEX(客户自备加工筐明细!$E$4:$E$1203,$Z1007-4000)),IF($Z1007&lt;=5800,IF(INDEX(次果筐明细!$C$4:$C$603,$Z1007-5200)=0,"",INDEX(次果筐明细!$C$4:$C$603,$Z1007-5200)),"")))))</f>
        <v/>
      </c>
      <c r="D1007" s="37" t="str">
        <f>IF($Z1007="","",IF($Z1007&lt;=2000,"包装物料－"&amp;INDEX(包装物料出入库明细!$H$4:$H$2003,$Z1007-0),IF($Z1007&lt;=4000,"周转筐－"&amp;INDEX(周转筐出入库明细!$F$4:$F$2004,$Z1007-2000),IF($Z1007&lt;=5200,"客户自备筐－"&amp;INDEX(客户自备加工筐明细!$J$4:$J$1203,$Z1007-4000),IF($Z1007&lt;=5800,"次果筐/托盘－"&amp;INDEX(次果筐明细!$F$4:$F$603,$Z1007-5200),"")))))</f>
        <v/>
      </c>
      <c r="E1007" s="24" t="str">
        <f>IF($Z1007="","",IF($Z1007&lt;=2000,IF(INDEX(包装物料出入库明细!$C$4:$C$2003,$Z1007-0)=0,"",INDEX(包装物料出入库明细!$C$4:$C$2003,$Z1007-0)),IF($Z1007&lt;=4000,IF(INDEX(周转筐出入库明细!$E$4:$E$2004,$Z1007-2000)=0,"",INDEX(周转筐出入库明细!$E$4:$E$2004,$Z1007-2000)),IF($Z1007&lt;=5200,IF(INDEX(客户自备加工筐明细!$D$4:$D$1203,$Z1007-4000)=0,"",INDEX(客户自备加工筐明细!$D$4:$D$1203,$Z1007-4000)),IF($Z1007&lt;=5800,IF(INDEX(次果筐明细!$E$4:$E$603,$Z1007-5200)=0,"",INDEX(次果筐明细!$E$4:$E$603,$Z1007-5200)),"")))))</f>
        <v/>
      </c>
      <c r="F1007" s="24" t="str">
        <f>IF($Z1007="","",IF($Z1007&lt;=2000,IF(INDEX(包装物料出入库明细!$E$4:$E$2003,$Z1007-0)=0,"",INDEX(包装物料出入库明细!$E$4:$E$2003,$Z1007-0)),IF($Z1007&lt;=4000,IF(INDEX(周转筐出入库明细!$D$4:$D$2004,$Z1007-2000)=0,"",INDEX(周转筐出入库明细!$D$4:$D$2004,$Z1007-2000)),IF($Z1007&lt;=5200,IF(INDEX(客户自备加工筐明细!$C$4:$C$1203,$Z1007-4000)=0,"",INDEX(客户自备加工筐明细!$C$4:$C$1203,$Z1007-4000)),IF($Z1007&lt;=5800,IF(INDEX(次果筐明细!$D$4:$D$603,$Z1007-5200)=0,"",INDEX(次果筐明细!$D$4:$D$603,$Z1007-5200)),"")))))</f>
        <v/>
      </c>
      <c r="G1007" s="24" t="str">
        <f>IF($Z1007="","",IF($Z1007&lt;=2000,IF(INDEX(包装物料出入库明细!$F$4:$F$2003,$Z1007-0)=0,"",INDEX(包装物料出入库明细!$F$4:$F$2003,$Z1007-0)),IF($Z1007&lt;=4000,"",IF($Z1007&lt;=5200,"",IF($Z1007&lt;=5800,"","")))))</f>
        <v/>
      </c>
      <c r="H1007" s="39" t="str">
        <f>IF($Z1007="","",IF($Z1007&lt;=2000,IF(INDEX(包装物料出入库明细!$L$4:$L$2003,$Z1007-0)=0,"",INDEX(包装物料出入库明细!$L$4:$L$2003,$Z1007-0)),IF($Z1007&lt;=4000,N(INDEX(周转筐出入库明细!$H$4:$H$2004,$Z1007-2000))+N(INDEX(周转筐出入库明细!$I$4:$I$2004,$Z1007-2000))+N(INDEX(周转筐出入库明细!$J$4:$J$2004,$Z1007-2000))+N(INDEX(周转筐出入库明细!$K$4:$K$2004,$Z1007-2000)),IF($Z1007&lt;=5200,N(INDEX(客户自备加工筐明细!$F$4:$F$1203,$Z1007-4000))+N(INDEX(客户自备加工筐明细!$G$4:$G$1203,$Z1007-4000)),IF($Z1007&lt;=5800,IF(INDEX(次果筐明细!$G$4:$G$603,$Z1007-5200)=0,"",INDEX(次果筐明细!$G$4:$G$603,$Z1007-5200)),"")))))</f>
        <v/>
      </c>
      <c r="I1007" s="24" t="str">
        <f>IF($Z1007="","",IF($Z1007&lt;=2000,IF(INDEX(包装物料出入库明细!$G$4:$G$2003,$Z1007-0)=0,"",INDEX(包装物料出入库明细!$G$4:$G$2003,$Z1007-0)),IF($Z1007&lt;=4000,"个",IF($Z1007&lt;=5200,"个",IF($Z1007&lt;=5800,"个","")))))</f>
        <v/>
      </c>
      <c r="J1007" s="30" t="str">
        <f t="shared" si="46"/>
        <v/>
      </c>
      <c r="K1007" s="30" t="str">
        <f>IF($Z1007="","",IF($Z1007&lt;=2000,IF(INDEX(包装物料出入库明细!$N$4:$N$2003,$Z1007-0)=0,"",INDEX(包装物料出入库明细!$N$4:$N$2003,$Z1007-0)),IF($Z1007&lt;=4000,IF(INDEX(周转筐出入库明细!$P$4:$P$2004,$Z1007-2000)=0,"",INDEX(周转筐出入库明细!$P$4:$P$2004,$Z1007-2000)),IF($Z1007&lt;=5200,"",IF($Z1007&lt;=5800,N(INDEX(次果筐明细!$L$4:$L$603,$Z1007-5200))+N(INDEX(次果筐明细!$J$4:$J$603,$Z1007-5200)),"")))))</f>
        <v/>
      </c>
      <c r="L1007" s="24" t="str">
        <f>IF($Z1007="","",IF($Z1007&lt;=2000,IF(INDEX(包装物料出入库明细!$P$4:$P$2003,$Z1007-0)=0,"",INDEX(包装物料出入库明细!$P$4:$P$2003,$Z1007-0)),IF($Z1007&lt;=4000,IF(INDEX(周转筐出入库明细!$Q$4:$Q$2004,$Z1007-2000)=0,"",INDEX(周转筐出入库明细!$Q$4:$Q$2004,$Z1007-2000)),IF($Z1007&lt;=5200,"",IF($Z1007&lt;=5800,IF(INDEX(次果筐明细!$M$4:$M$603,$Z1007-5200)=0,"",INDEX(次果筐明细!$M$4:$M$603,$Z1007-5200)),"")))))</f>
        <v/>
      </c>
      <c r="M1007" s="37" t="str">
        <f>IF($Z1007="","",IF($Z1007&lt;=2000,IF(INDEX(包装物料出入库明细!$R$4:$R$2003,$Z1007-0)=0,"",INDEX(包装物料出入库明细!$R$4:$R$2003,$Z1007-0)),IF($Z1007&lt;=4000,IF(INDEX(周转筐出入库明细!$W$4:$W$2004,$Z1007-2000)=0,"",INDEX(周转筐出入库明细!$W$4:$W$2004,$Z1007-2000)),IF($Z1007&lt;=5200,IF(INDEX(客户自备加工筐明细!$L$4:$L$1203,$Z1007-4000)=0,"",INDEX(客户自备加工筐明细!$L$4:$L$1203,$Z1007-4000)),IF($Z1007&lt;=5800,IF(INDEX(次果筐明细!$P$4:$P$603,$Z1007-5200)=0,"",INDEX(次果筐明细!$P$4:$P$603,$Z1007-5200)),"")))))</f>
        <v/>
      </c>
      <c r="N1007" s="16" t="str">
        <f>IF($Z1007="","",IF($Z1007&lt;=2000,"",IF($Z1007&lt;=4000,IF(INDEX(周转筐出入库明细!$D$4:$D$2004,$Z1007-2000)=0,"",INDEX(周转筐出入库明细!$D$4:$D$2004,$Z1007-2000)),IF($Z1007&lt;=5200,IF(INDEX(客户自备加工筐明细!$C$4:$C$1203,$Z1007-4000)=0,"",INDEX(客户自备加工筐明细!$C$4:$C$1203,$Z1007-4000)),IF($Z1007&lt;=5800,IF(INDEX(次果筐明细!$D$4:$D$603,$Z1007-5200)=0,"",INDEX(次果筐明细!$D$4:$D$603,$Z1007-5200)),"")))))</f>
        <v/>
      </c>
      <c r="O1007" s="40" t="str">
        <f>IF($Z1007="","",IF($Z1007&lt;=2000,"",IF($Z1007&lt;=4000,IF(N(INDEX(周转筐出入库明细!$J$4:$J$2004,$Z1007-2000))+N(INDEX(周转筐出入库明细!$K$4:$K$2004,$Z1007-2000))=0,"",N(INDEX(周转筐出入库明细!$J$4:$J$2004,$Z1007-2000))+N(INDEX(周转筐出入库明细!$K$4:$K$2004,$Z1007-2000))),IF($Z1007&lt;=5200,IF(N(INDEX(客户自备加工筐明细!$G$4:$G$1203,$Z1007-4000))=0,"",N(INDEX(客户自备加工筐明细!$G$4:$G$1203,$Z1007-4000))),IF($Z1007&lt;=5800,IF(ISNUMBER(SEARCH("退",INDEX(次果筐明细!$F$4:$F$603,$Z1007-5200)&amp;"")),"",IF(N(INDEX(次果筐明细!$G$4:$G$603,$Z1007-5200))=0,"",N(INDEX(次果筐明细!$G$4:$G$603,$Z1007-5200)))),"")))))</f>
        <v/>
      </c>
      <c r="P1007" s="40" t="str">
        <f>IF($Z1007="","",IF($Z1007&lt;=2000,"",IF($Z1007&lt;=4000,IF(N(INDEX(周转筐出入库明细!$I$4:$I$2004,$Z1007-2000))=0,"",N(INDEX(周转筐出入库明细!$I$4:$I$2004,$Z1007-2000))),IF($Z1007&lt;=5200,"",IF($Z1007&lt;=5800,IF(ISNUMBER(SEARCH("退",INDEX(次果筐明细!$F$4:$F$603,$Z1007-5200)&amp;"")),IF(N(INDEX(次果筐明细!$G$4:$G$603,$Z1007-5200))=0,"",N(INDEX(次果筐明细!$G$4:$G$603,$Z1007-5200))),""),"")))))</f>
        <v/>
      </c>
      <c r="Q1007" s="40" t="str">
        <f>IF($Z1007="","",IF($Z1007&lt;=2000,"",IF($Z1007&lt;=4000,IF(N(INDEX(周转筐出入库明细!$H$4:$H$2004,$Z1007-2000))=0,"",N(INDEX(周转筐出入库明细!$H$4:$H$2004,$Z1007-2000))),IF($Z1007&lt;=5200,IF(N(INDEX(客户自备加工筐明细!$F$4:$F$1203,$Z1007-4000))=0,"",N(INDEX(客户自备加工筐明细!$F$4:$F$1203,$Z1007-4000))),IF($Z1007&lt;=5800,"","")))))</f>
        <v/>
      </c>
      <c r="R1007" s="16" t="str">
        <f>IF($Z1007="","",IF($Z1007&lt;=2000,IF(INDEX(包装物料出入库明细!$O$4:$O$2003,$Z1007-0)=0,"",INDEX(包装物料出入库明细!$O$4:$O$2003,$Z1007-0)),IF($Z1007&lt;=4000,IF(INDEX(周转筐出入库明细!$M$4:$M$2004,$Z1007-2000)=0,"",INDEX(周转筐出入库明细!$M$4:$M$2004,$Z1007-2000)),IF($Z1007&lt;=5200,IF(INDEX(客户自备加工筐明细!$H$4:$H$1203,$Z1007-4000)=0,"",INDEX(客户自备加工筐明细!$H$4:$H$1203,$Z1007-4000)),IF($Z1007&lt;=5800,IF(INDEX(次果筐明细!$H$4:$H$603,$Z1007-5200)=0,"",INDEX(次果筐明细!$H$4:$H$603,$Z1007-5200)),"")))))</f>
        <v/>
      </c>
      <c r="S1007" s="22" t="str">
        <f t="shared" si="47"/>
        <v/>
      </c>
      <c r="Z1007" s="10" t="str">
        <f>IFERROR(MATCH(ROW()-3,_自动清单!$CQ$4:$CQ$5803,0),"")</f>
        <v/>
      </c>
    </row>
    <row r="1008" spans="1:26">
      <c r="A1008" s="24" t="str">
        <f t="shared" si="45"/>
        <v/>
      </c>
      <c r="B1008" s="38" t="str">
        <f>IF($Z1008="","",IF($Z1008&lt;=2000,IF(INDEX(包装物料出入库明细!$B$4:$B$2003,$Z1008-0)=0,"",INDEX(包装物料出入库明细!$B$4:$B$2003,$Z1008-0)),IF($Z1008&lt;=4000,IF(INDEX(周转筐出入库明细!$B$4:$B$2004,$Z1008-2000)=0,"",INDEX(周转筐出入库明细!$B$4:$B$2004,$Z1008-2000)),IF($Z1008&lt;=5200,IF(INDEX(客户自备加工筐明细!$B$4:$B$1203,$Z1008-4000)=0,"",INDEX(客户自备加工筐明细!$B$4:$B$1203,$Z1008-4000)),IF($Z1008&lt;=5800,IF(INDEX(次果筐明细!$B$4:$B$603,$Z1008-5200)=0,"",INDEX(次果筐明细!$B$4:$B$603,$Z1008-5200)),"")))))</f>
        <v/>
      </c>
      <c r="C1008" s="37" t="str">
        <f>IF($Z1008="","",IF($Z1008&lt;=2000,IF(INDEX(包装物料出入库明细!$D$4:$D$2003,$Z1008-0)=0,"",INDEX(包装物料出入库明细!$D$4:$D$2003,$Z1008-0)),IF($Z1008&lt;=4000,IF(INDEX(周转筐出入库明细!$C$4:$C$2004,$Z1008-2000)=0,"",INDEX(周转筐出入库明细!$C$4:$C$2004,$Z1008-2000)),IF($Z1008&lt;=5200,IF(INDEX(客户自备加工筐明细!$E$4:$E$1203,$Z1008-4000)=0,"",INDEX(客户自备加工筐明细!$E$4:$E$1203,$Z1008-4000)),IF($Z1008&lt;=5800,IF(INDEX(次果筐明细!$C$4:$C$603,$Z1008-5200)=0,"",INDEX(次果筐明细!$C$4:$C$603,$Z1008-5200)),"")))))</f>
        <v/>
      </c>
      <c r="D1008" s="37" t="str">
        <f>IF($Z1008="","",IF($Z1008&lt;=2000,"包装物料－"&amp;INDEX(包装物料出入库明细!$H$4:$H$2003,$Z1008-0),IF($Z1008&lt;=4000,"周转筐－"&amp;INDEX(周转筐出入库明细!$F$4:$F$2004,$Z1008-2000),IF($Z1008&lt;=5200,"客户自备筐－"&amp;INDEX(客户自备加工筐明细!$J$4:$J$1203,$Z1008-4000),IF($Z1008&lt;=5800,"次果筐/托盘－"&amp;INDEX(次果筐明细!$F$4:$F$603,$Z1008-5200),"")))))</f>
        <v/>
      </c>
      <c r="E1008" s="24" t="str">
        <f>IF($Z1008="","",IF($Z1008&lt;=2000,IF(INDEX(包装物料出入库明细!$C$4:$C$2003,$Z1008-0)=0,"",INDEX(包装物料出入库明细!$C$4:$C$2003,$Z1008-0)),IF($Z1008&lt;=4000,IF(INDEX(周转筐出入库明细!$E$4:$E$2004,$Z1008-2000)=0,"",INDEX(周转筐出入库明细!$E$4:$E$2004,$Z1008-2000)),IF($Z1008&lt;=5200,IF(INDEX(客户自备加工筐明细!$D$4:$D$1203,$Z1008-4000)=0,"",INDEX(客户自备加工筐明细!$D$4:$D$1203,$Z1008-4000)),IF($Z1008&lt;=5800,IF(INDEX(次果筐明细!$E$4:$E$603,$Z1008-5200)=0,"",INDEX(次果筐明细!$E$4:$E$603,$Z1008-5200)),"")))))</f>
        <v/>
      </c>
      <c r="F1008" s="24" t="str">
        <f>IF($Z1008="","",IF($Z1008&lt;=2000,IF(INDEX(包装物料出入库明细!$E$4:$E$2003,$Z1008-0)=0,"",INDEX(包装物料出入库明细!$E$4:$E$2003,$Z1008-0)),IF($Z1008&lt;=4000,IF(INDEX(周转筐出入库明细!$D$4:$D$2004,$Z1008-2000)=0,"",INDEX(周转筐出入库明细!$D$4:$D$2004,$Z1008-2000)),IF($Z1008&lt;=5200,IF(INDEX(客户自备加工筐明细!$C$4:$C$1203,$Z1008-4000)=0,"",INDEX(客户自备加工筐明细!$C$4:$C$1203,$Z1008-4000)),IF($Z1008&lt;=5800,IF(INDEX(次果筐明细!$D$4:$D$603,$Z1008-5200)=0,"",INDEX(次果筐明细!$D$4:$D$603,$Z1008-5200)),"")))))</f>
        <v/>
      </c>
      <c r="G1008" s="24" t="str">
        <f>IF($Z1008="","",IF($Z1008&lt;=2000,IF(INDEX(包装物料出入库明细!$F$4:$F$2003,$Z1008-0)=0,"",INDEX(包装物料出入库明细!$F$4:$F$2003,$Z1008-0)),IF($Z1008&lt;=4000,"",IF($Z1008&lt;=5200,"",IF($Z1008&lt;=5800,"","")))))</f>
        <v/>
      </c>
      <c r="H1008" s="39" t="str">
        <f>IF($Z1008="","",IF($Z1008&lt;=2000,IF(INDEX(包装物料出入库明细!$L$4:$L$2003,$Z1008-0)=0,"",INDEX(包装物料出入库明细!$L$4:$L$2003,$Z1008-0)),IF($Z1008&lt;=4000,N(INDEX(周转筐出入库明细!$H$4:$H$2004,$Z1008-2000))+N(INDEX(周转筐出入库明细!$I$4:$I$2004,$Z1008-2000))+N(INDEX(周转筐出入库明细!$J$4:$J$2004,$Z1008-2000))+N(INDEX(周转筐出入库明细!$K$4:$K$2004,$Z1008-2000)),IF($Z1008&lt;=5200,N(INDEX(客户自备加工筐明细!$F$4:$F$1203,$Z1008-4000))+N(INDEX(客户自备加工筐明细!$G$4:$G$1203,$Z1008-4000)),IF($Z1008&lt;=5800,IF(INDEX(次果筐明细!$G$4:$G$603,$Z1008-5200)=0,"",INDEX(次果筐明细!$G$4:$G$603,$Z1008-5200)),"")))))</f>
        <v/>
      </c>
      <c r="I1008" s="24" t="str">
        <f>IF($Z1008="","",IF($Z1008&lt;=2000,IF(INDEX(包装物料出入库明细!$G$4:$G$2003,$Z1008-0)=0,"",INDEX(包装物料出入库明细!$G$4:$G$2003,$Z1008-0)),IF($Z1008&lt;=4000,"个",IF($Z1008&lt;=5200,"个",IF($Z1008&lt;=5800,"个","")))))</f>
        <v/>
      </c>
      <c r="J1008" s="30" t="str">
        <f t="shared" si="46"/>
        <v/>
      </c>
      <c r="K1008" s="30" t="str">
        <f>IF($Z1008="","",IF($Z1008&lt;=2000,IF(INDEX(包装物料出入库明细!$N$4:$N$2003,$Z1008-0)=0,"",INDEX(包装物料出入库明细!$N$4:$N$2003,$Z1008-0)),IF($Z1008&lt;=4000,IF(INDEX(周转筐出入库明细!$P$4:$P$2004,$Z1008-2000)=0,"",INDEX(周转筐出入库明细!$P$4:$P$2004,$Z1008-2000)),IF($Z1008&lt;=5200,"",IF($Z1008&lt;=5800,N(INDEX(次果筐明细!$L$4:$L$603,$Z1008-5200))+N(INDEX(次果筐明细!$J$4:$J$603,$Z1008-5200)),"")))))</f>
        <v/>
      </c>
      <c r="L1008" s="24" t="str">
        <f>IF($Z1008="","",IF($Z1008&lt;=2000,IF(INDEX(包装物料出入库明细!$P$4:$P$2003,$Z1008-0)=0,"",INDEX(包装物料出入库明细!$P$4:$P$2003,$Z1008-0)),IF($Z1008&lt;=4000,IF(INDEX(周转筐出入库明细!$Q$4:$Q$2004,$Z1008-2000)=0,"",INDEX(周转筐出入库明细!$Q$4:$Q$2004,$Z1008-2000)),IF($Z1008&lt;=5200,"",IF($Z1008&lt;=5800,IF(INDEX(次果筐明细!$M$4:$M$603,$Z1008-5200)=0,"",INDEX(次果筐明细!$M$4:$M$603,$Z1008-5200)),"")))))</f>
        <v/>
      </c>
      <c r="M1008" s="37" t="str">
        <f>IF($Z1008="","",IF($Z1008&lt;=2000,IF(INDEX(包装物料出入库明细!$R$4:$R$2003,$Z1008-0)=0,"",INDEX(包装物料出入库明细!$R$4:$R$2003,$Z1008-0)),IF($Z1008&lt;=4000,IF(INDEX(周转筐出入库明细!$W$4:$W$2004,$Z1008-2000)=0,"",INDEX(周转筐出入库明细!$W$4:$W$2004,$Z1008-2000)),IF($Z1008&lt;=5200,IF(INDEX(客户自备加工筐明细!$L$4:$L$1203,$Z1008-4000)=0,"",INDEX(客户自备加工筐明细!$L$4:$L$1203,$Z1008-4000)),IF($Z1008&lt;=5800,IF(INDEX(次果筐明细!$P$4:$P$603,$Z1008-5200)=0,"",INDEX(次果筐明细!$P$4:$P$603,$Z1008-5200)),"")))))</f>
        <v/>
      </c>
      <c r="N1008" s="16" t="str">
        <f>IF($Z1008="","",IF($Z1008&lt;=2000,"",IF($Z1008&lt;=4000,IF(INDEX(周转筐出入库明细!$D$4:$D$2004,$Z1008-2000)=0,"",INDEX(周转筐出入库明细!$D$4:$D$2004,$Z1008-2000)),IF($Z1008&lt;=5200,IF(INDEX(客户自备加工筐明细!$C$4:$C$1203,$Z1008-4000)=0,"",INDEX(客户自备加工筐明细!$C$4:$C$1203,$Z1008-4000)),IF($Z1008&lt;=5800,IF(INDEX(次果筐明细!$D$4:$D$603,$Z1008-5200)=0,"",INDEX(次果筐明细!$D$4:$D$603,$Z1008-5200)),"")))))</f>
        <v/>
      </c>
      <c r="O1008" s="40" t="str">
        <f>IF($Z1008="","",IF($Z1008&lt;=2000,"",IF($Z1008&lt;=4000,IF(N(INDEX(周转筐出入库明细!$J$4:$J$2004,$Z1008-2000))+N(INDEX(周转筐出入库明细!$K$4:$K$2004,$Z1008-2000))=0,"",N(INDEX(周转筐出入库明细!$J$4:$J$2004,$Z1008-2000))+N(INDEX(周转筐出入库明细!$K$4:$K$2004,$Z1008-2000))),IF($Z1008&lt;=5200,IF(N(INDEX(客户自备加工筐明细!$G$4:$G$1203,$Z1008-4000))=0,"",N(INDEX(客户自备加工筐明细!$G$4:$G$1203,$Z1008-4000))),IF($Z1008&lt;=5800,IF(ISNUMBER(SEARCH("退",INDEX(次果筐明细!$F$4:$F$603,$Z1008-5200)&amp;"")),"",IF(N(INDEX(次果筐明细!$G$4:$G$603,$Z1008-5200))=0,"",N(INDEX(次果筐明细!$G$4:$G$603,$Z1008-5200)))),"")))))</f>
        <v/>
      </c>
      <c r="P1008" s="40" t="str">
        <f>IF($Z1008="","",IF($Z1008&lt;=2000,"",IF($Z1008&lt;=4000,IF(N(INDEX(周转筐出入库明细!$I$4:$I$2004,$Z1008-2000))=0,"",N(INDEX(周转筐出入库明细!$I$4:$I$2004,$Z1008-2000))),IF($Z1008&lt;=5200,"",IF($Z1008&lt;=5800,IF(ISNUMBER(SEARCH("退",INDEX(次果筐明细!$F$4:$F$603,$Z1008-5200)&amp;"")),IF(N(INDEX(次果筐明细!$G$4:$G$603,$Z1008-5200))=0,"",N(INDEX(次果筐明细!$G$4:$G$603,$Z1008-5200))),""),"")))))</f>
        <v/>
      </c>
      <c r="Q1008" s="40" t="str">
        <f>IF($Z1008="","",IF($Z1008&lt;=2000,"",IF($Z1008&lt;=4000,IF(N(INDEX(周转筐出入库明细!$H$4:$H$2004,$Z1008-2000))=0,"",N(INDEX(周转筐出入库明细!$H$4:$H$2004,$Z1008-2000))),IF($Z1008&lt;=5200,IF(N(INDEX(客户自备加工筐明细!$F$4:$F$1203,$Z1008-4000))=0,"",N(INDEX(客户自备加工筐明细!$F$4:$F$1203,$Z1008-4000))),IF($Z1008&lt;=5800,"","")))))</f>
        <v/>
      </c>
      <c r="R1008" s="16" t="str">
        <f>IF($Z1008="","",IF($Z1008&lt;=2000,IF(INDEX(包装物料出入库明细!$O$4:$O$2003,$Z1008-0)=0,"",INDEX(包装物料出入库明细!$O$4:$O$2003,$Z1008-0)),IF($Z1008&lt;=4000,IF(INDEX(周转筐出入库明细!$M$4:$M$2004,$Z1008-2000)=0,"",INDEX(周转筐出入库明细!$M$4:$M$2004,$Z1008-2000)),IF($Z1008&lt;=5200,IF(INDEX(客户自备加工筐明细!$H$4:$H$1203,$Z1008-4000)=0,"",INDEX(客户自备加工筐明细!$H$4:$H$1203,$Z1008-4000)),IF($Z1008&lt;=5800,IF(INDEX(次果筐明细!$H$4:$H$603,$Z1008-5200)=0,"",INDEX(次果筐明细!$H$4:$H$603,$Z1008-5200)),"")))))</f>
        <v/>
      </c>
      <c r="S1008" s="22" t="str">
        <f t="shared" si="47"/>
        <v/>
      </c>
      <c r="Z1008" s="10" t="str">
        <f>IFERROR(MATCH(ROW()-3,_自动清单!$CQ$4:$CQ$5803,0),"")</f>
        <v/>
      </c>
    </row>
    <row r="1009" spans="1:26">
      <c r="A1009" s="24" t="str">
        <f t="shared" si="45"/>
        <v/>
      </c>
      <c r="B1009" s="38" t="str">
        <f>IF($Z1009="","",IF($Z1009&lt;=2000,IF(INDEX(包装物料出入库明细!$B$4:$B$2003,$Z1009-0)=0,"",INDEX(包装物料出入库明细!$B$4:$B$2003,$Z1009-0)),IF($Z1009&lt;=4000,IF(INDEX(周转筐出入库明细!$B$4:$B$2004,$Z1009-2000)=0,"",INDEX(周转筐出入库明细!$B$4:$B$2004,$Z1009-2000)),IF($Z1009&lt;=5200,IF(INDEX(客户自备加工筐明细!$B$4:$B$1203,$Z1009-4000)=0,"",INDEX(客户自备加工筐明细!$B$4:$B$1203,$Z1009-4000)),IF($Z1009&lt;=5800,IF(INDEX(次果筐明细!$B$4:$B$603,$Z1009-5200)=0,"",INDEX(次果筐明细!$B$4:$B$603,$Z1009-5200)),"")))))</f>
        <v/>
      </c>
      <c r="C1009" s="37" t="str">
        <f>IF($Z1009="","",IF($Z1009&lt;=2000,IF(INDEX(包装物料出入库明细!$D$4:$D$2003,$Z1009-0)=0,"",INDEX(包装物料出入库明细!$D$4:$D$2003,$Z1009-0)),IF($Z1009&lt;=4000,IF(INDEX(周转筐出入库明细!$C$4:$C$2004,$Z1009-2000)=0,"",INDEX(周转筐出入库明细!$C$4:$C$2004,$Z1009-2000)),IF($Z1009&lt;=5200,IF(INDEX(客户自备加工筐明细!$E$4:$E$1203,$Z1009-4000)=0,"",INDEX(客户自备加工筐明细!$E$4:$E$1203,$Z1009-4000)),IF($Z1009&lt;=5800,IF(INDEX(次果筐明细!$C$4:$C$603,$Z1009-5200)=0,"",INDEX(次果筐明细!$C$4:$C$603,$Z1009-5200)),"")))))</f>
        <v/>
      </c>
      <c r="D1009" s="37" t="str">
        <f>IF($Z1009="","",IF($Z1009&lt;=2000,"包装物料－"&amp;INDEX(包装物料出入库明细!$H$4:$H$2003,$Z1009-0),IF($Z1009&lt;=4000,"周转筐－"&amp;INDEX(周转筐出入库明细!$F$4:$F$2004,$Z1009-2000),IF($Z1009&lt;=5200,"客户自备筐－"&amp;INDEX(客户自备加工筐明细!$J$4:$J$1203,$Z1009-4000),IF($Z1009&lt;=5800,"次果筐/托盘－"&amp;INDEX(次果筐明细!$F$4:$F$603,$Z1009-5200),"")))))</f>
        <v/>
      </c>
      <c r="E1009" s="24" t="str">
        <f>IF($Z1009="","",IF($Z1009&lt;=2000,IF(INDEX(包装物料出入库明细!$C$4:$C$2003,$Z1009-0)=0,"",INDEX(包装物料出入库明细!$C$4:$C$2003,$Z1009-0)),IF($Z1009&lt;=4000,IF(INDEX(周转筐出入库明细!$E$4:$E$2004,$Z1009-2000)=0,"",INDEX(周转筐出入库明细!$E$4:$E$2004,$Z1009-2000)),IF($Z1009&lt;=5200,IF(INDEX(客户自备加工筐明细!$D$4:$D$1203,$Z1009-4000)=0,"",INDEX(客户自备加工筐明细!$D$4:$D$1203,$Z1009-4000)),IF($Z1009&lt;=5800,IF(INDEX(次果筐明细!$E$4:$E$603,$Z1009-5200)=0,"",INDEX(次果筐明细!$E$4:$E$603,$Z1009-5200)),"")))))</f>
        <v/>
      </c>
      <c r="F1009" s="24" t="str">
        <f>IF($Z1009="","",IF($Z1009&lt;=2000,IF(INDEX(包装物料出入库明细!$E$4:$E$2003,$Z1009-0)=0,"",INDEX(包装物料出入库明细!$E$4:$E$2003,$Z1009-0)),IF($Z1009&lt;=4000,IF(INDEX(周转筐出入库明细!$D$4:$D$2004,$Z1009-2000)=0,"",INDEX(周转筐出入库明细!$D$4:$D$2004,$Z1009-2000)),IF($Z1009&lt;=5200,IF(INDEX(客户自备加工筐明细!$C$4:$C$1203,$Z1009-4000)=0,"",INDEX(客户自备加工筐明细!$C$4:$C$1203,$Z1009-4000)),IF($Z1009&lt;=5800,IF(INDEX(次果筐明细!$D$4:$D$603,$Z1009-5200)=0,"",INDEX(次果筐明细!$D$4:$D$603,$Z1009-5200)),"")))))</f>
        <v/>
      </c>
      <c r="G1009" s="24" t="str">
        <f>IF($Z1009="","",IF($Z1009&lt;=2000,IF(INDEX(包装物料出入库明细!$F$4:$F$2003,$Z1009-0)=0,"",INDEX(包装物料出入库明细!$F$4:$F$2003,$Z1009-0)),IF($Z1009&lt;=4000,"",IF($Z1009&lt;=5200,"",IF($Z1009&lt;=5800,"","")))))</f>
        <v/>
      </c>
      <c r="H1009" s="39" t="str">
        <f>IF($Z1009="","",IF($Z1009&lt;=2000,IF(INDEX(包装物料出入库明细!$L$4:$L$2003,$Z1009-0)=0,"",INDEX(包装物料出入库明细!$L$4:$L$2003,$Z1009-0)),IF($Z1009&lt;=4000,N(INDEX(周转筐出入库明细!$H$4:$H$2004,$Z1009-2000))+N(INDEX(周转筐出入库明细!$I$4:$I$2004,$Z1009-2000))+N(INDEX(周转筐出入库明细!$J$4:$J$2004,$Z1009-2000))+N(INDEX(周转筐出入库明细!$K$4:$K$2004,$Z1009-2000)),IF($Z1009&lt;=5200,N(INDEX(客户自备加工筐明细!$F$4:$F$1203,$Z1009-4000))+N(INDEX(客户自备加工筐明细!$G$4:$G$1203,$Z1009-4000)),IF($Z1009&lt;=5800,IF(INDEX(次果筐明细!$G$4:$G$603,$Z1009-5200)=0,"",INDEX(次果筐明细!$G$4:$G$603,$Z1009-5200)),"")))))</f>
        <v/>
      </c>
      <c r="I1009" s="24" t="str">
        <f>IF($Z1009="","",IF($Z1009&lt;=2000,IF(INDEX(包装物料出入库明细!$G$4:$G$2003,$Z1009-0)=0,"",INDEX(包装物料出入库明细!$G$4:$G$2003,$Z1009-0)),IF($Z1009&lt;=4000,"个",IF($Z1009&lt;=5200,"个",IF($Z1009&lt;=5800,"个","")))))</f>
        <v/>
      </c>
      <c r="J1009" s="30" t="str">
        <f t="shared" si="46"/>
        <v/>
      </c>
      <c r="K1009" s="30" t="str">
        <f>IF($Z1009="","",IF($Z1009&lt;=2000,IF(INDEX(包装物料出入库明细!$N$4:$N$2003,$Z1009-0)=0,"",INDEX(包装物料出入库明细!$N$4:$N$2003,$Z1009-0)),IF($Z1009&lt;=4000,IF(INDEX(周转筐出入库明细!$P$4:$P$2004,$Z1009-2000)=0,"",INDEX(周转筐出入库明细!$P$4:$P$2004,$Z1009-2000)),IF($Z1009&lt;=5200,"",IF($Z1009&lt;=5800,N(INDEX(次果筐明细!$L$4:$L$603,$Z1009-5200))+N(INDEX(次果筐明细!$J$4:$J$603,$Z1009-5200)),"")))))</f>
        <v/>
      </c>
      <c r="L1009" s="24" t="str">
        <f>IF($Z1009="","",IF($Z1009&lt;=2000,IF(INDEX(包装物料出入库明细!$P$4:$P$2003,$Z1009-0)=0,"",INDEX(包装物料出入库明细!$P$4:$P$2003,$Z1009-0)),IF($Z1009&lt;=4000,IF(INDEX(周转筐出入库明细!$Q$4:$Q$2004,$Z1009-2000)=0,"",INDEX(周转筐出入库明细!$Q$4:$Q$2004,$Z1009-2000)),IF($Z1009&lt;=5200,"",IF($Z1009&lt;=5800,IF(INDEX(次果筐明细!$M$4:$M$603,$Z1009-5200)=0,"",INDEX(次果筐明细!$M$4:$M$603,$Z1009-5200)),"")))))</f>
        <v/>
      </c>
      <c r="M1009" s="37" t="str">
        <f>IF($Z1009="","",IF($Z1009&lt;=2000,IF(INDEX(包装物料出入库明细!$R$4:$R$2003,$Z1009-0)=0,"",INDEX(包装物料出入库明细!$R$4:$R$2003,$Z1009-0)),IF($Z1009&lt;=4000,IF(INDEX(周转筐出入库明细!$W$4:$W$2004,$Z1009-2000)=0,"",INDEX(周转筐出入库明细!$W$4:$W$2004,$Z1009-2000)),IF($Z1009&lt;=5200,IF(INDEX(客户自备加工筐明细!$L$4:$L$1203,$Z1009-4000)=0,"",INDEX(客户自备加工筐明细!$L$4:$L$1203,$Z1009-4000)),IF($Z1009&lt;=5800,IF(INDEX(次果筐明细!$P$4:$P$603,$Z1009-5200)=0,"",INDEX(次果筐明细!$P$4:$P$603,$Z1009-5200)),"")))))</f>
        <v/>
      </c>
      <c r="N1009" s="16" t="str">
        <f>IF($Z1009="","",IF($Z1009&lt;=2000,"",IF($Z1009&lt;=4000,IF(INDEX(周转筐出入库明细!$D$4:$D$2004,$Z1009-2000)=0,"",INDEX(周转筐出入库明细!$D$4:$D$2004,$Z1009-2000)),IF($Z1009&lt;=5200,IF(INDEX(客户自备加工筐明细!$C$4:$C$1203,$Z1009-4000)=0,"",INDEX(客户自备加工筐明细!$C$4:$C$1203,$Z1009-4000)),IF($Z1009&lt;=5800,IF(INDEX(次果筐明细!$D$4:$D$603,$Z1009-5200)=0,"",INDEX(次果筐明细!$D$4:$D$603,$Z1009-5200)),"")))))</f>
        <v/>
      </c>
      <c r="O1009" s="40" t="str">
        <f>IF($Z1009="","",IF($Z1009&lt;=2000,"",IF($Z1009&lt;=4000,IF(N(INDEX(周转筐出入库明细!$J$4:$J$2004,$Z1009-2000))+N(INDEX(周转筐出入库明细!$K$4:$K$2004,$Z1009-2000))=0,"",N(INDEX(周转筐出入库明细!$J$4:$J$2004,$Z1009-2000))+N(INDEX(周转筐出入库明细!$K$4:$K$2004,$Z1009-2000))),IF($Z1009&lt;=5200,IF(N(INDEX(客户自备加工筐明细!$G$4:$G$1203,$Z1009-4000))=0,"",N(INDEX(客户自备加工筐明细!$G$4:$G$1203,$Z1009-4000))),IF($Z1009&lt;=5800,IF(ISNUMBER(SEARCH("退",INDEX(次果筐明细!$F$4:$F$603,$Z1009-5200)&amp;"")),"",IF(N(INDEX(次果筐明细!$G$4:$G$603,$Z1009-5200))=0,"",N(INDEX(次果筐明细!$G$4:$G$603,$Z1009-5200)))),"")))))</f>
        <v/>
      </c>
      <c r="P1009" s="40" t="str">
        <f>IF($Z1009="","",IF($Z1009&lt;=2000,"",IF($Z1009&lt;=4000,IF(N(INDEX(周转筐出入库明细!$I$4:$I$2004,$Z1009-2000))=0,"",N(INDEX(周转筐出入库明细!$I$4:$I$2004,$Z1009-2000))),IF($Z1009&lt;=5200,"",IF($Z1009&lt;=5800,IF(ISNUMBER(SEARCH("退",INDEX(次果筐明细!$F$4:$F$603,$Z1009-5200)&amp;"")),IF(N(INDEX(次果筐明细!$G$4:$G$603,$Z1009-5200))=0,"",N(INDEX(次果筐明细!$G$4:$G$603,$Z1009-5200))),""),"")))))</f>
        <v/>
      </c>
      <c r="Q1009" s="40" t="str">
        <f>IF($Z1009="","",IF($Z1009&lt;=2000,"",IF($Z1009&lt;=4000,IF(N(INDEX(周转筐出入库明细!$H$4:$H$2004,$Z1009-2000))=0,"",N(INDEX(周转筐出入库明细!$H$4:$H$2004,$Z1009-2000))),IF($Z1009&lt;=5200,IF(N(INDEX(客户自备加工筐明细!$F$4:$F$1203,$Z1009-4000))=0,"",N(INDEX(客户自备加工筐明细!$F$4:$F$1203,$Z1009-4000))),IF($Z1009&lt;=5800,"","")))))</f>
        <v/>
      </c>
      <c r="R1009" s="16" t="str">
        <f>IF($Z1009="","",IF($Z1009&lt;=2000,IF(INDEX(包装物料出入库明细!$O$4:$O$2003,$Z1009-0)=0,"",INDEX(包装物料出入库明细!$O$4:$O$2003,$Z1009-0)),IF($Z1009&lt;=4000,IF(INDEX(周转筐出入库明细!$M$4:$M$2004,$Z1009-2000)=0,"",INDEX(周转筐出入库明细!$M$4:$M$2004,$Z1009-2000)),IF($Z1009&lt;=5200,IF(INDEX(客户自备加工筐明细!$H$4:$H$1203,$Z1009-4000)=0,"",INDEX(客户自备加工筐明细!$H$4:$H$1203,$Z1009-4000)),IF($Z1009&lt;=5800,IF(INDEX(次果筐明细!$H$4:$H$603,$Z1009-5200)=0,"",INDEX(次果筐明细!$H$4:$H$603,$Z1009-5200)),"")))))</f>
        <v/>
      </c>
      <c r="S1009" s="22" t="str">
        <f t="shared" si="47"/>
        <v/>
      </c>
      <c r="Z1009" s="10" t="str">
        <f>IFERROR(MATCH(ROW()-3,_自动清单!$CQ$4:$CQ$5803,0),"")</f>
        <v/>
      </c>
    </row>
    <row r="1010" spans="1:26">
      <c r="A1010" s="24" t="str">
        <f t="shared" si="45"/>
        <v/>
      </c>
      <c r="B1010" s="38" t="str">
        <f>IF($Z1010="","",IF($Z1010&lt;=2000,IF(INDEX(包装物料出入库明细!$B$4:$B$2003,$Z1010-0)=0,"",INDEX(包装物料出入库明细!$B$4:$B$2003,$Z1010-0)),IF($Z1010&lt;=4000,IF(INDEX(周转筐出入库明细!$B$4:$B$2004,$Z1010-2000)=0,"",INDEX(周转筐出入库明细!$B$4:$B$2004,$Z1010-2000)),IF($Z1010&lt;=5200,IF(INDEX(客户自备加工筐明细!$B$4:$B$1203,$Z1010-4000)=0,"",INDEX(客户自备加工筐明细!$B$4:$B$1203,$Z1010-4000)),IF($Z1010&lt;=5800,IF(INDEX(次果筐明细!$B$4:$B$603,$Z1010-5200)=0,"",INDEX(次果筐明细!$B$4:$B$603,$Z1010-5200)),"")))))</f>
        <v/>
      </c>
      <c r="C1010" s="37" t="str">
        <f>IF($Z1010="","",IF($Z1010&lt;=2000,IF(INDEX(包装物料出入库明细!$D$4:$D$2003,$Z1010-0)=0,"",INDEX(包装物料出入库明细!$D$4:$D$2003,$Z1010-0)),IF($Z1010&lt;=4000,IF(INDEX(周转筐出入库明细!$C$4:$C$2004,$Z1010-2000)=0,"",INDEX(周转筐出入库明细!$C$4:$C$2004,$Z1010-2000)),IF($Z1010&lt;=5200,IF(INDEX(客户自备加工筐明细!$E$4:$E$1203,$Z1010-4000)=0,"",INDEX(客户自备加工筐明细!$E$4:$E$1203,$Z1010-4000)),IF($Z1010&lt;=5800,IF(INDEX(次果筐明细!$C$4:$C$603,$Z1010-5200)=0,"",INDEX(次果筐明细!$C$4:$C$603,$Z1010-5200)),"")))))</f>
        <v/>
      </c>
      <c r="D1010" s="37" t="str">
        <f>IF($Z1010="","",IF($Z1010&lt;=2000,"包装物料－"&amp;INDEX(包装物料出入库明细!$H$4:$H$2003,$Z1010-0),IF($Z1010&lt;=4000,"周转筐－"&amp;INDEX(周转筐出入库明细!$F$4:$F$2004,$Z1010-2000),IF($Z1010&lt;=5200,"客户自备筐－"&amp;INDEX(客户自备加工筐明细!$J$4:$J$1203,$Z1010-4000),IF($Z1010&lt;=5800,"次果筐/托盘－"&amp;INDEX(次果筐明细!$F$4:$F$603,$Z1010-5200),"")))))</f>
        <v/>
      </c>
      <c r="E1010" s="24" t="str">
        <f>IF($Z1010="","",IF($Z1010&lt;=2000,IF(INDEX(包装物料出入库明细!$C$4:$C$2003,$Z1010-0)=0,"",INDEX(包装物料出入库明细!$C$4:$C$2003,$Z1010-0)),IF($Z1010&lt;=4000,IF(INDEX(周转筐出入库明细!$E$4:$E$2004,$Z1010-2000)=0,"",INDEX(周转筐出入库明细!$E$4:$E$2004,$Z1010-2000)),IF($Z1010&lt;=5200,IF(INDEX(客户自备加工筐明细!$D$4:$D$1203,$Z1010-4000)=0,"",INDEX(客户自备加工筐明细!$D$4:$D$1203,$Z1010-4000)),IF($Z1010&lt;=5800,IF(INDEX(次果筐明细!$E$4:$E$603,$Z1010-5200)=0,"",INDEX(次果筐明细!$E$4:$E$603,$Z1010-5200)),"")))))</f>
        <v/>
      </c>
      <c r="F1010" s="24" t="str">
        <f>IF($Z1010="","",IF($Z1010&lt;=2000,IF(INDEX(包装物料出入库明细!$E$4:$E$2003,$Z1010-0)=0,"",INDEX(包装物料出入库明细!$E$4:$E$2003,$Z1010-0)),IF($Z1010&lt;=4000,IF(INDEX(周转筐出入库明细!$D$4:$D$2004,$Z1010-2000)=0,"",INDEX(周转筐出入库明细!$D$4:$D$2004,$Z1010-2000)),IF($Z1010&lt;=5200,IF(INDEX(客户自备加工筐明细!$C$4:$C$1203,$Z1010-4000)=0,"",INDEX(客户自备加工筐明细!$C$4:$C$1203,$Z1010-4000)),IF($Z1010&lt;=5800,IF(INDEX(次果筐明细!$D$4:$D$603,$Z1010-5200)=0,"",INDEX(次果筐明细!$D$4:$D$603,$Z1010-5200)),"")))))</f>
        <v/>
      </c>
      <c r="G1010" s="24" t="str">
        <f>IF($Z1010="","",IF($Z1010&lt;=2000,IF(INDEX(包装物料出入库明细!$F$4:$F$2003,$Z1010-0)=0,"",INDEX(包装物料出入库明细!$F$4:$F$2003,$Z1010-0)),IF($Z1010&lt;=4000,"",IF($Z1010&lt;=5200,"",IF($Z1010&lt;=5800,"","")))))</f>
        <v/>
      </c>
      <c r="H1010" s="39" t="str">
        <f>IF($Z1010="","",IF($Z1010&lt;=2000,IF(INDEX(包装物料出入库明细!$L$4:$L$2003,$Z1010-0)=0,"",INDEX(包装物料出入库明细!$L$4:$L$2003,$Z1010-0)),IF($Z1010&lt;=4000,N(INDEX(周转筐出入库明细!$H$4:$H$2004,$Z1010-2000))+N(INDEX(周转筐出入库明细!$I$4:$I$2004,$Z1010-2000))+N(INDEX(周转筐出入库明细!$J$4:$J$2004,$Z1010-2000))+N(INDEX(周转筐出入库明细!$K$4:$K$2004,$Z1010-2000)),IF($Z1010&lt;=5200,N(INDEX(客户自备加工筐明细!$F$4:$F$1203,$Z1010-4000))+N(INDEX(客户自备加工筐明细!$G$4:$G$1203,$Z1010-4000)),IF($Z1010&lt;=5800,IF(INDEX(次果筐明细!$G$4:$G$603,$Z1010-5200)=0,"",INDEX(次果筐明细!$G$4:$G$603,$Z1010-5200)),"")))))</f>
        <v/>
      </c>
      <c r="I1010" s="24" t="str">
        <f>IF($Z1010="","",IF($Z1010&lt;=2000,IF(INDEX(包装物料出入库明细!$G$4:$G$2003,$Z1010-0)=0,"",INDEX(包装物料出入库明细!$G$4:$G$2003,$Z1010-0)),IF($Z1010&lt;=4000,"个",IF($Z1010&lt;=5200,"个",IF($Z1010&lt;=5800,"个","")))))</f>
        <v/>
      </c>
      <c r="J1010" s="30" t="str">
        <f t="shared" si="46"/>
        <v/>
      </c>
      <c r="K1010" s="30" t="str">
        <f>IF($Z1010="","",IF($Z1010&lt;=2000,IF(INDEX(包装物料出入库明细!$N$4:$N$2003,$Z1010-0)=0,"",INDEX(包装物料出入库明细!$N$4:$N$2003,$Z1010-0)),IF($Z1010&lt;=4000,IF(INDEX(周转筐出入库明细!$P$4:$P$2004,$Z1010-2000)=0,"",INDEX(周转筐出入库明细!$P$4:$P$2004,$Z1010-2000)),IF($Z1010&lt;=5200,"",IF($Z1010&lt;=5800,N(INDEX(次果筐明细!$L$4:$L$603,$Z1010-5200))+N(INDEX(次果筐明细!$J$4:$J$603,$Z1010-5200)),"")))))</f>
        <v/>
      </c>
      <c r="L1010" s="24" t="str">
        <f>IF($Z1010="","",IF($Z1010&lt;=2000,IF(INDEX(包装物料出入库明细!$P$4:$P$2003,$Z1010-0)=0,"",INDEX(包装物料出入库明细!$P$4:$P$2003,$Z1010-0)),IF($Z1010&lt;=4000,IF(INDEX(周转筐出入库明细!$Q$4:$Q$2004,$Z1010-2000)=0,"",INDEX(周转筐出入库明细!$Q$4:$Q$2004,$Z1010-2000)),IF($Z1010&lt;=5200,"",IF($Z1010&lt;=5800,IF(INDEX(次果筐明细!$M$4:$M$603,$Z1010-5200)=0,"",INDEX(次果筐明细!$M$4:$M$603,$Z1010-5200)),"")))))</f>
        <v/>
      </c>
      <c r="M1010" s="37" t="str">
        <f>IF($Z1010="","",IF($Z1010&lt;=2000,IF(INDEX(包装物料出入库明细!$R$4:$R$2003,$Z1010-0)=0,"",INDEX(包装物料出入库明细!$R$4:$R$2003,$Z1010-0)),IF($Z1010&lt;=4000,IF(INDEX(周转筐出入库明细!$W$4:$W$2004,$Z1010-2000)=0,"",INDEX(周转筐出入库明细!$W$4:$W$2004,$Z1010-2000)),IF($Z1010&lt;=5200,IF(INDEX(客户自备加工筐明细!$L$4:$L$1203,$Z1010-4000)=0,"",INDEX(客户自备加工筐明细!$L$4:$L$1203,$Z1010-4000)),IF($Z1010&lt;=5800,IF(INDEX(次果筐明细!$P$4:$P$603,$Z1010-5200)=0,"",INDEX(次果筐明细!$P$4:$P$603,$Z1010-5200)),"")))))</f>
        <v/>
      </c>
      <c r="N1010" s="16" t="str">
        <f>IF($Z1010="","",IF($Z1010&lt;=2000,"",IF($Z1010&lt;=4000,IF(INDEX(周转筐出入库明细!$D$4:$D$2004,$Z1010-2000)=0,"",INDEX(周转筐出入库明细!$D$4:$D$2004,$Z1010-2000)),IF($Z1010&lt;=5200,IF(INDEX(客户自备加工筐明细!$C$4:$C$1203,$Z1010-4000)=0,"",INDEX(客户自备加工筐明细!$C$4:$C$1203,$Z1010-4000)),IF($Z1010&lt;=5800,IF(INDEX(次果筐明细!$D$4:$D$603,$Z1010-5200)=0,"",INDEX(次果筐明细!$D$4:$D$603,$Z1010-5200)),"")))))</f>
        <v/>
      </c>
      <c r="O1010" s="40" t="str">
        <f>IF($Z1010="","",IF($Z1010&lt;=2000,"",IF($Z1010&lt;=4000,IF(N(INDEX(周转筐出入库明细!$J$4:$J$2004,$Z1010-2000))+N(INDEX(周转筐出入库明细!$K$4:$K$2004,$Z1010-2000))=0,"",N(INDEX(周转筐出入库明细!$J$4:$J$2004,$Z1010-2000))+N(INDEX(周转筐出入库明细!$K$4:$K$2004,$Z1010-2000))),IF($Z1010&lt;=5200,IF(N(INDEX(客户自备加工筐明细!$G$4:$G$1203,$Z1010-4000))=0,"",N(INDEX(客户自备加工筐明细!$G$4:$G$1203,$Z1010-4000))),IF($Z1010&lt;=5800,IF(ISNUMBER(SEARCH("退",INDEX(次果筐明细!$F$4:$F$603,$Z1010-5200)&amp;"")),"",IF(N(INDEX(次果筐明细!$G$4:$G$603,$Z1010-5200))=0,"",N(INDEX(次果筐明细!$G$4:$G$603,$Z1010-5200)))),"")))))</f>
        <v/>
      </c>
      <c r="P1010" s="40" t="str">
        <f>IF($Z1010="","",IF($Z1010&lt;=2000,"",IF($Z1010&lt;=4000,IF(N(INDEX(周转筐出入库明细!$I$4:$I$2004,$Z1010-2000))=0,"",N(INDEX(周转筐出入库明细!$I$4:$I$2004,$Z1010-2000))),IF($Z1010&lt;=5200,"",IF($Z1010&lt;=5800,IF(ISNUMBER(SEARCH("退",INDEX(次果筐明细!$F$4:$F$603,$Z1010-5200)&amp;"")),IF(N(INDEX(次果筐明细!$G$4:$G$603,$Z1010-5200))=0,"",N(INDEX(次果筐明细!$G$4:$G$603,$Z1010-5200))),""),"")))))</f>
        <v/>
      </c>
      <c r="Q1010" s="40" t="str">
        <f>IF($Z1010="","",IF($Z1010&lt;=2000,"",IF($Z1010&lt;=4000,IF(N(INDEX(周转筐出入库明细!$H$4:$H$2004,$Z1010-2000))=0,"",N(INDEX(周转筐出入库明细!$H$4:$H$2004,$Z1010-2000))),IF($Z1010&lt;=5200,IF(N(INDEX(客户自备加工筐明细!$F$4:$F$1203,$Z1010-4000))=0,"",N(INDEX(客户自备加工筐明细!$F$4:$F$1203,$Z1010-4000))),IF($Z1010&lt;=5800,"","")))))</f>
        <v/>
      </c>
      <c r="R1010" s="16" t="str">
        <f>IF($Z1010="","",IF($Z1010&lt;=2000,IF(INDEX(包装物料出入库明细!$O$4:$O$2003,$Z1010-0)=0,"",INDEX(包装物料出入库明细!$O$4:$O$2003,$Z1010-0)),IF($Z1010&lt;=4000,IF(INDEX(周转筐出入库明细!$M$4:$M$2004,$Z1010-2000)=0,"",INDEX(周转筐出入库明细!$M$4:$M$2004,$Z1010-2000)),IF($Z1010&lt;=5200,IF(INDEX(客户自备加工筐明细!$H$4:$H$1203,$Z1010-4000)=0,"",INDEX(客户自备加工筐明细!$H$4:$H$1203,$Z1010-4000)),IF($Z1010&lt;=5800,IF(INDEX(次果筐明细!$H$4:$H$603,$Z1010-5200)=0,"",INDEX(次果筐明细!$H$4:$H$603,$Z1010-5200)),"")))))</f>
        <v/>
      </c>
      <c r="S1010" s="22" t="str">
        <f t="shared" si="47"/>
        <v/>
      </c>
      <c r="Z1010" s="10" t="str">
        <f>IFERROR(MATCH(ROW()-3,_自动清单!$CQ$4:$CQ$5803,0),"")</f>
        <v/>
      </c>
    </row>
    <row r="1011" spans="1:26">
      <c r="A1011" s="24" t="str">
        <f t="shared" si="45"/>
        <v/>
      </c>
      <c r="B1011" s="38" t="str">
        <f>IF($Z1011="","",IF($Z1011&lt;=2000,IF(INDEX(包装物料出入库明细!$B$4:$B$2003,$Z1011-0)=0,"",INDEX(包装物料出入库明细!$B$4:$B$2003,$Z1011-0)),IF($Z1011&lt;=4000,IF(INDEX(周转筐出入库明细!$B$4:$B$2004,$Z1011-2000)=0,"",INDEX(周转筐出入库明细!$B$4:$B$2004,$Z1011-2000)),IF($Z1011&lt;=5200,IF(INDEX(客户自备加工筐明细!$B$4:$B$1203,$Z1011-4000)=0,"",INDEX(客户自备加工筐明细!$B$4:$B$1203,$Z1011-4000)),IF($Z1011&lt;=5800,IF(INDEX(次果筐明细!$B$4:$B$603,$Z1011-5200)=0,"",INDEX(次果筐明细!$B$4:$B$603,$Z1011-5200)),"")))))</f>
        <v/>
      </c>
      <c r="C1011" s="37" t="str">
        <f>IF($Z1011="","",IF($Z1011&lt;=2000,IF(INDEX(包装物料出入库明细!$D$4:$D$2003,$Z1011-0)=0,"",INDEX(包装物料出入库明细!$D$4:$D$2003,$Z1011-0)),IF($Z1011&lt;=4000,IF(INDEX(周转筐出入库明细!$C$4:$C$2004,$Z1011-2000)=0,"",INDEX(周转筐出入库明细!$C$4:$C$2004,$Z1011-2000)),IF($Z1011&lt;=5200,IF(INDEX(客户自备加工筐明细!$E$4:$E$1203,$Z1011-4000)=0,"",INDEX(客户自备加工筐明细!$E$4:$E$1203,$Z1011-4000)),IF($Z1011&lt;=5800,IF(INDEX(次果筐明细!$C$4:$C$603,$Z1011-5200)=0,"",INDEX(次果筐明细!$C$4:$C$603,$Z1011-5200)),"")))))</f>
        <v/>
      </c>
      <c r="D1011" s="37" t="str">
        <f>IF($Z1011="","",IF($Z1011&lt;=2000,"包装物料－"&amp;INDEX(包装物料出入库明细!$H$4:$H$2003,$Z1011-0),IF($Z1011&lt;=4000,"周转筐－"&amp;INDEX(周转筐出入库明细!$F$4:$F$2004,$Z1011-2000),IF($Z1011&lt;=5200,"客户自备筐－"&amp;INDEX(客户自备加工筐明细!$J$4:$J$1203,$Z1011-4000),IF($Z1011&lt;=5800,"次果筐/托盘－"&amp;INDEX(次果筐明细!$F$4:$F$603,$Z1011-5200),"")))))</f>
        <v/>
      </c>
      <c r="E1011" s="24" t="str">
        <f>IF($Z1011="","",IF($Z1011&lt;=2000,IF(INDEX(包装物料出入库明细!$C$4:$C$2003,$Z1011-0)=0,"",INDEX(包装物料出入库明细!$C$4:$C$2003,$Z1011-0)),IF($Z1011&lt;=4000,IF(INDEX(周转筐出入库明细!$E$4:$E$2004,$Z1011-2000)=0,"",INDEX(周转筐出入库明细!$E$4:$E$2004,$Z1011-2000)),IF($Z1011&lt;=5200,IF(INDEX(客户自备加工筐明细!$D$4:$D$1203,$Z1011-4000)=0,"",INDEX(客户自备加工筐明细!$D$4:$D$1203,$Z1011-4000)),IF($Z1011&lt;=5800,IF(INDEX(次果筐明细!$E$4:$E$603,$Z1011-5200)=0,"",INDEX(次果筐明细!$E$4:$E$603,$Z1011-5200)),"")))))</f>
        <v/>
      </c>
      <c r="F1011" s="24" t="str">
        <f>IF($Z1011="","",IF($Z1011&lt;=2000,IF(INDEX(包装物料出入库明细!$E$4:$E$2003,$Z1011-0)=0,"",INDEX(包装物料出入库明细!$E$4:$E$2003,$Z1011-0)),IF($Z1011&lt;=4000,IF(INDEX(周转筐出入库明细!$D$4:$D$2004,$Z1011-2000)=0,"",INDEX(周转筐出入库明细!$D$4:$D$2004,$Z1011-2000)),IF($Z1011&lt;=5200,IF(INDEX(客户自备加工筐明细!$C$4:$C$1203,$Z1011-4000)=0,"",INDEX(客户自备加工筐明细!$C$4:$C$1203,$Z1011-4000)),IF($Z1011&lt;=5800,IF(INDEX(次果筐明细!$D$4:$D$603,$Z1011-5200)=0,"",INDEX(次果筐明细!$D$4:$D$603,$Z1011-5200)),"")))))</f>
        <v/>
      </c>
      <c r="G1011" s="24" t="str">
        <f>IF($Z1011="","",IF($Z1011&lt;=2000,IF(INDEX(包装物料出入库明细!$F$4:$F$2003,$Z1011-0)=0,"",INDEX(包装物料出入库明细!$F$4:$F$2003,$Z1011-0)),IF($Z1011&lt;=4000,"",IF($Z1011&lt;=5200,"",IF($Z1011&lt;=5800,"","")))))</f>
        <v/>
      </c>
      <c r="H1011" s="39" t="str">
        <f>IF($Z1011="","",IF($Z1011&lt;=2000,IF(INDEX(包装物料出入库明细!$L$4:$L$2003,$Z1011-0)=0,"",INDEX(包装物料出入库明细!$L$4:$L$2003,$Z1011-0)),IF($Z1011&lt;=4000,N(INDEX(周转筐出入库明细!$H$4:$H$2004,$Z1011-2000))+N(INDEX(周转筐出入库明细!$I$4:$I$2004,$Z1011-2000))+N(INDEX(周转筐出入库明细!$J$4:$J$2004,$Z1011-2000))+N(INDEX(周转筐出入库明细!$K$4:$K$2004,$Z1011-2000)),IF($Z1011&lt;=5200,N(INDEX(客户自备加工筐明细!$F$4:$F$1203,$Z1011-4000))+N(INDEX(客户自备加工筐明细!$G$4:$G$1203,$Z1011-4000)),IF($Z1011&lt;=5800,IF(INDEX(次果筐明细!$G$4:$G$603,$Z1011-5200)=0,"",INDEX(次果筐明细!$G$4:$G$603,$Z1011-5200)),"")))))</f>
        <v/>
      </c>
      <c r="I1011" s="24" t="str">
        <f>IF($Z1011="","",IF($Z1011&lt;=2000,IF(INDEX(包装物料出入库明细!$G$4:$G$2003,$Z1011-0)=0,"",INDEX(包装物料出入库明细!$G$4:$G$2003,$Z1011-0)),IF($Z1011&lt;=4000,"个",IF($Z1011&lt;=5200,"个",IF($Z1011&lt;=5800,"个","")))))</f>
        <v/>
      </c>
      <c r="J1011" s="30" t="str">
        <f t="shared" si="46"/>
        <v/>
      </c>
      <c r="K1011" s="30" t="str">
        <f>IF($Z1011="","",IF($Z1011&lt;=2000,IF(INDEX(包装物料出入库明细!$N$4:$N$2003,$Z1011-0)=0,"",INDEX(包装物料出入库明细!$N$4:$N$2003,$Z1011-0)),IF($Z1011&lt;=4000,IF(INDEX(周转筐出入库明细!$P$4:$P$2004,$Z1011-2000)=0,"",INDEX(周转筐出入库明细!$P$4:$P$2004,$Z1011-2000)),IF($Z1011&lt;=5200,"",IF($Z1011&lt;=5800,N(INDEX(次果筐明细!$L$4:$L$603,$Z1011-5200))+N(INDEX(次果筐明细!$J$4:$J$603,$Z1011-5200)),"")))))</f>
        <v/>
      </c>
      <c r="L1011" s="24" t="str">
        <f>IF($Z1011="","",IF($Z1011&lt;=2000,IF(INDEX(包装物料出入库明细!$P$4:$P$2003,$Z1011-0)=0,"",INDEX(包装物料出入库明细!$P$4:$P$2003,$Z1011-0)),IF($Z1011&lt;=4000,IF(INDEX(周转筐出入库明细!$Q$4:$Q$2004,$Z1011-2000)=0,"",INDEX(周转筐出入库明细!$Q$4:$Q$2004,$Z1011-2000)),IF($Z1011&lt;=5200,"",IF($Z1011&lt;=5800,IF(INDEX(次果筐明细!$M$4:$M$603,$Z1011-5200)=0,"",INDEX(次果筐明细!$M$4:$M$603,$Z1011-5200)),"")))))</f>
        <v/>
      </c>
      <c r="M1011" s="37" t="str">
        <f>IF($Z1011="","",IF($Z1011&lt;=2000,IF(INDEX(包装物料出入库明细!$R$4:$R$2003,$Z1011-0)=0,"",INDEX(包装物料出入库明细!$R$4:$R$2003,$Z1011-0)),IF($Z1011&lt;=4000,IF(INDEX(周转筐出入库明细!$W$4:$W$2004,$Z1011-2000)=0,"",INDEX(周转筐出入库明细!$W$4:$W$2004,$Z1011-2000)),IF($Z1011&lt;=5200,IF(INDEX(客户自备加工筐明细!$L$4:$L$1203,$Z1011-4000)=0,"",INDEX(客户自备加工筐明细!$L$4:$L$1203,$Z1011-4000)),IF($Z1011&lt;=5800,IF(INDEX(次果筐明细!$P$4:$P$603,$Z1011-5200)=0,"",INDEX(次果筐明细!$P$4:$P$603,$Z1011-5200)),"")))))</f>
        <v/>
      </c>
      <c r="N1011" s="16" t="str">
        <f>IF($Z1011="","",IF($Z1011&lt;=2000,"",IF($Z1011&lt;=4000,IF(INDEX(周转筐出入库明细!$D$4:$D$2004,$Z1011-2000)=0,"",INDEX(周转筐出入库明细!$D$4:$D$2004,$Z1011-2000)),IF($Z1011&lt;=5200,IF(INDEX(客户自备加工筐明细!$C$4:$C$1203,$Z1011-4000)=0,"",INDEX(客户自备加工筐明细!$C$4:$C$1203,$Z1011-4000)),IF($Z1011&lt;=5800,IF(INDEX(次果筐明细!$D$4:$D$603,$Z1011-5200)=0,"",INDEX(次果筐明细!$D$4:$D$603,$Z1011-5200)),"")))))</f>
        <v/>
      </c>
      <c r="O1011" s="40" t="str">
        <f>IF($Z1011="","",IF($Z1011&lt;=2000,"",IF($Z1011&lt;=4000,IF(N(INDEX(周转筐出入库明细!$J$4:$J$2004,$Z1011-2000))+N(INDEX(周转筐出入库明细!$K$4:$K$2004,$Z1011-2000))=0,"",N(INDEX(周转筐出入库明细!$J$4:$J$2004,$Z1011-2000))+N(INDEX(周转筐出入库明细!$K$4:$K$2004,$Z1011-2000))),IF($Z1011&lt;=5200,IF(N(INDEX(客户自备加工筐明细!$G$4:$G$1203,$Z1011-4000))=0,"",N(INDEX(客户自备加工筐明细!$G$4:$G$1203,$Z1011-4000))),IF($Z1011&lt;=5800,IF(ISNUMBER(SEARCH("退",INDEX(次果筐明细!$F$4:$F$603,$Z1011-5200)&amp;"")),"",IF(N(INDEX(次果筐明细!$G$4:$G$603,$Z1011-5200))=0,"",N(INDEX(次果筐明细!$G$4:$G$603,$Z1011-5200)))),"")))))</f>
        <v/>
      </c>
      <c r="P1011" s="40" t="str">
        <f>IF($Z1011="","",IF($Z1011&lt;=2000,"",IF($Z1011&lt;=4000,IF(N(INDEX(周转筐出入库明细!$I$4:$I$2004,$Z1011-2000))=0,"",N(INDEX(周转筐出入库明细!$I$4:$I$2004,$Z1011-2000))),IF($Z1011&lt;=5200,"",IF($Z1011&lt;=5800,IF(ISNUMBER(SEARCH("退",INDEX(次果筐明细!$F$4:$F$603,$Z1011-5200)&amp;"")),IF(N(INDEX(次果筐明细!$G$4:$G$603,$Z1011-5200))=0,"",N(INDEX(次果筐明细!$G$4:$G$603,$Z1011-5200))),""),"")))))</f>
        <v/>
      </c>
      <c r="Q1011" s="40" t="str">
        <f>IF($Z1011="","",IF($Z1011&lt;=2000,"",IF($Z1011&lt;=4000,IF(N(INDEX(周转筐出入库明细!$H$4:$H$2004,$Z1011-2000))=0,"",N(INDEX(周转筐出入库明细!$H$4:$H$2004,$Z1011-2000))),IF($Z1011&lt;=5200,IF(N(INDEX(客户自备加工筐明细!$F$4:$F$1203,$Z1011-4000))=0,"",N(INDEX(客户自备加工筐明细!$F$4:$F$1203,$Z1011-4000))),IF($Z1011&lt;=5800,"","")))))</f>
        <v/>
      </c>
      <c r="R1011" s="16" t="str">
        <f>IF($Z1011="","",IF($Z1011&lt;=2000,IF(INDEX(包装物料出入库明细!$O$4:$O$2003,$Z1011-0)=0,"",INDEX(包装物料出入库明细!$O$4:$O$2003,$Z1011-0)),IF($Z1011&lt;=4000,IF(INDEX(周转筐出入库明细!$M$4:$M$2004,$Z1011-2000)=0,"",INDEX(周转筐出入库明细!$M$4:$M$2004,$Z1011-2000)),IF($Z1011&lt;=5200,IF(INDEX(客户自备加工筐明细!$H$4:$H$1203,$Z1011-4000)=0,"",INDEX(客户自备加工筐明细!$H$4:$H$1203,$Z1011-4000)),IF($Z1011&lt;=5800,IF(INDEX(次果筐明细!$H$4:$H$603,$Z1011-5200)=0,"",INDEX(次果筐明细!$H$4:$H$603,$Z1011-5200)),"")))))</f>
        <v/>
      </c>
      <c r="S1011" s="22" t="str">
        <f t="shared" si="47"/>
        <v/>
      </c>
      <c r="Z1011" s="10" t="str">
        <f>IFERROR(MATCH(ROW()-3,_自动清单!$CQ$4:$CQ$5803,0),"")</f>
        <v/>
      </c>
    </row>
    <row r="1012" spans="1:26">
      <c r="A1012" s="24" t="str">
        <f t="shared" si="45"/>
        <v/>
      </c>
      <c r="B1012" s="38" t="str">
        <f>IF($Z1012="","",IF($Z1012&lt;=2000,IF(INDEX(包装物料出入库明细!$B$4:$B$2003,$Z1012-0)=0,"",INDEX(包装物料出入库明细!$B$4:$B$2003,$Z1012-0)),IF($Z1012&lt;=4000,IF(INDEX(周转筐出入库明细!$B$4:$B$2004,$Z1012-2000)=0,"",INDEX(周转筐出入库明细!$B$4:$B$2004,$Z1012-2000)),IF($Z1012&lt;=5200,IF(INDEX(客户自备加工筐明细!$B$4:$B$1203,$Z1012-4000)=0,"",INDEX(客户自备加工筐明细!$B$4:$B$1203,$Z1012-4000)),IF($Z1012&lt;=5800,IF(INDEX(次果筐明细!$B$4:$B$603,$Z1012-5200)=0,"",INDEX(次果筐明细!$B$4:$B$603,$Z1012-5200)),"")))))</f>
        <v/>
      </c>
      <c r="C1012" s="37" t="str">
        <f>IF($Z1012="","",IF($Z1012&lt;=2000,IF(INDEX(包装物料出入库明细!$D$4:$D$2003,$Z1012-0)=0,"",INDEX(包装物料出入库明细!$D$4:$D$2003,$Z1012-0)),IF($Z1012&lt;=4000,IF(INDEX(周转筐出入库明细!$C$4:$C$2004,$Z1012-2000)=0,"",INDEX(周转筐出入库明细!$C$4:$C$2004,$Z1012-2000)),IF($Z1012&lt;=5200,IF(INDEX(客户自备加工筐明细!$E$4:$E$1203,$Z1012-4000)=0,"",INDEX(客户自备加工筐明细!$E$4:$E$1203,$Z1012-4000)),IF($Z1012&lt;=5800,IF(INDEX(次果筐明细!$C$4:$C$603,$Z1012-5200)=0,"",INDEX(次果筐明细!$C$4:$C$603,$Z1012-5200)),"")))))</f>
        <v/>
      </c>
      <c r="D1012" s="37" t="str">
        <f>IF($Z1012="","",IF($Z1012&lt;=2000,"包装物料－"&amp;INDEX(包装物料出入库明细!$H$4:$H$2003,$Z1012-0),IF($Z1012&lt;=4000,"周转筐－"&amp;INDEX(周转筐出入库明细!$F$4:$F$2004,$Z1012-2000),IF($Z1012&lt;=5200,"客户自备筐－"&amp;INDEX(客户自备加工筐明细!$J$4:$J$1203,$Z1012-4000),IF($Z1012&lt;=5800,"次果筐/托盘－"&amp;INDEX(次果筐明细!$F$4:$F$603,$Z1012-5200),"")))))</f>
        <v/>
      </c>
      <c r="E1012" s="24" t="str">
        <f>IF($Z1012="","",IF($Z1012&lt;=2000,IF(INDEX(包装物料出入库明细!$C$4:$C$2003,$Z1012-0)=0,"",INDEX(包装物料出入库明细!$C$4:$C$2003,$Z1012-0)),IF($Z1012&lt;=4000,IF(INDEX(周转筐出入库明细!$E$4:$E$2004,$Z1012-2000)=0,"",INDEX(周转筐出入库明细!$E$4:$E$2004,$Z1012-2000)),IF($Z1012&lt;=5200,IF(INDEX(客户自备加工筐明细!$D$4:$D$1203,$Z1012-4000)=0,"",INDEX(客户自备加工筐明细!$D$4:$D$1203,$Z1012-4000)),IF($Z1012&lt;=5800,IF(INDEX(次果筐明细!$E$4:$E$603,$Z1012-5200)=0,"",INDEX(次果筐明细!$E$4:$E$603,$Z1012-5200)),"")))))</f>
        <v/>
      </c>
      <c r="F1012" s="24" t="str">
        <f>IF($Z1012="","",IF($Z1012&lt;=2000,IF(INDEX(包装物料出入库明细!$E$4:$E$2003,$Z1012-0)=0,"",INDEX(包装物料出入库明细!$E$4:$E$2003,$Z1012-0)),IF($Z1012&lt;=4000,IF(INDEX(周转筐出入库明细!$D$4:$D$2004,$Z1012-2000)=0,"",INDEX(周转筐出入库明细!$D$4:$D$2004,$Z1012-2000)),IF($Z1012&lt;=5200,IF(INDEX(客户自备加工筐明细!$C$4:$C$1203,$Z1012-4000)=0,"",INDEX(客户自备加工筐明细!$C$4:$C$1203,$Z1012-4000)),IF($Z1012&lt;=5800,IF(INDEX(次果筐明细!$D$4:$D$603,$Z1012-5200)=0,"",INDEX(次果筐明细!$D$4:$D$603,$Z1012-5200)),"")))))</f>
        <v/>
      </c>
      <c r="G1012" s="24" t="str">
        <f>IF($Z1012="","",IF($Z1012&lt;=2000,IF(INDEX(包装物料出入库明细!$F$4:$F$2003,$Z1012-0)=0,"",INDEX(包装物料出入库明细!$F$4:$F$2003,$Z1012-0)),IF($Z1012&lt;=4000,"",IF($Z1012&lt;=5200,"",IF($Z1012&lt;=5800,"","")))))</f>
        <v/>
      </c>
      <c r="H1012" s="39" t="str">
        <f>IF($Z1012="","",IF($Z1012&lt;=2000,IF(INDEX(包装物料出入库明细!$L$4:$L$2003,$Z1012-0)=0,"",INDEX(包装物料出入库明细!$L$4:$L$2003,$Z1012-0)),IF($Z1012&lt;=4000,N(INDEX(周转筐出入库明细!$H$4:$H$2004,$Z1012-2000))+N(INDEX(周转筐出入库明细!$I$4:$I$2004,$Z1012-2000))+N(INDEX(周转筐出入库明细!$J$4:$J$2004,$Z1012-2000))+N(INDEX(周转筐出入库明细!$K$4:$K$2004,$Z1012-2000)),IF($Z1012&lt;=5200,N(INDEX(客户自备加工筐明细!$F$4:$F$1203,$Z1012-4000))+N(INDEX(客户自备加工筐明细!$G$4:$G$1203,$Z1012-4000)),IF($Z1012&lt;=5800,IF(INDEX(次果筐明细!$G$4:$G$603,$Z1012-5200)=0,"",INDEX(次果筐明细!$G$4:$G$603,$Z1012-5200)),"")))))</f>
        <v/>
      </c>
      <c r="I1012" s="24" t="str">
        <f>IF($Z1012="","",IF($Z1012&lt;=2000,IF(INDEX(包装物料出入库明细!$G$4:$G$2003,$Z1012-0)=0,"",INDEX(包装物料出入库明细!$G$4:$G$2003,$Z1012-0)),IF($Z1012&lt;=4000,"个",IF($Z1012&lt;=5200,"个",IF($Z1012&lt;=5800,"个","")))))</f>
        <v/>
      </c>
      <c r="J1012" s="30" t="str">
        <f t="shared" si="46"/>
        <v/>
      </c>
      <c r="K1012" s="30" t="str">
        <f>IF($Z1012="","",IF($Z1012&lt;=2000,IF(INDEX(包装物料出入库明细!$N$4:$N$2003,$Z1012-0)=0,"",INDEX(包装物料出入库明细!$N$4:$N$2003,$Z1012-0)),IF($Z1012&lt;=4000,IF(INDEX(周转筐出入库明细!$P$4:$P$2004,$Z1012-2000)=0,"",INDEX(周转筐出入库明细!$P$4:$P$2004,$Z1012-2000)),IF($Z1012&lt;=5200,"",IF($Z1012&lt;=5800,N(INDEX(次果筐明细!$L$4:$L$603,$Z1012-5200))+N(INDEX(次果筐明细!$J$4:$J$603,$Z1012-5200)),"")))))</f>
        <v/>
      </c>
      <c r="L1012" s="24" t="str">
        <f>IF($Z1012="","",IF($Z1012&lt;=2000,IF(INDEX(包装物料出入库明细!$P$4:$P$2003,$Z1012-0)=0,"",INDEX(包装物料出入库明细!$P$4:$P$2003,$Z1012-0)),IF($Z1012&lt;=4000,IF(INDEX(周转筐出入库明细!$Q$4:$Q$2004,$Z1012-2000)=0,"",INDEX(周转筐出入库明细!$Q$4:$Q$2004,$Z1012-2000)),IF($Z1012&lt;=5200,"",IF($Z1012&lt;=5800,IF(INDEX(次果筐明细!$M$4:$M$603,$Z1012-5200)=0,"",INDEX(次果筐明细!$M$4:$M$603,$Z1012-5200)),"")))))</f>
        <v/>
      </c>
      <c r="M1012" s="37" t="str">
        <f>IF($Z1012="","",IF($Z1012&lt;=2000,IF(INDEX(包装物料出入库明细!$R$4:$R$2003,$Z1012-0)=0,"",INDEX(包装物料出入库明细!$R$4:$R$2003,$Z1012-0)),IF($Z1012&lt;=4000,IF(INDEX(周转筐出入库明细!$W$4:$W$2004,$Z1012-2000)=0,"",INDEX(周转筐出入库明细!$W$4:$W$2004,$Z1012-2000)),IF($Z1012&lt;=5200,IF(INDEX(客户自备加工筐明细!$L$4:$L$1203,$Z1012-4000)=0,"",INDEX(客户自备加工筐明细!$L$4:$L$1203,$Z1012-4000)),IF($Z1012&lt;=5800,IF(INDEX(次果筐明细!$P$4:$P$603,$Z1012-5200)=0,"",INDEX(次果筐明细!$P$4:$P$603,$Z1012-5200)),"")))))</f>
        <v/>
      </c>
      <c r="N1012" s="16" t="str">
        <f>IF($Z1012="","",IF($Z1012&lt;=2000,"",IF($Z1012&lt;=4000,IF(INDEX(周转筐出入库明细!$D$4:$D$2004,$Z1012-2000)=0,"",INDEX(周转筐出入库明细!$D$4:$D$2004,$Z1012-2000)),IF($Z1012&lt;=5200,IF(INDEX(客户自备加工筐明细!$C$4:$C$1203,$Z1012-4000)=0,"",INDEX(客户自备加工筐明细!$C$4:$C$1203,$Z1012-4000)),IF($Z1012&lt;=5800,IF(INDEX(次果筐明细!$D$4:$D$603,$Z1012-5200)=0,"",INDEX(次果筐明细!$D$4:$D$603,$Z1012-5200)),"")))))</f>
        <v/>
      </c>
      <c r="O1012" s="40" t="str">
        <f>IF($Z1012="","",IF($Z1012&lt;=2000,"",IF($Z1012&lt;=4000,IF(N(INDEX(周转筐出入库明细!$J$4:$J$2004,$Z1012-2000))+N(INDEX(周转筐出入库明细!$K$4:$K$2004,$Z1012-2000))=0,"",N(INDEX(周转筐出入库明细!$J$4:$J$2004,$Z1012-2000))+N(INDEX(周转筐出入库明细!$K$4:$K$2004,$Z1012-2000))),IF($Z1012&lt;=5200,IF(N(INDEX(客户自备加工筐明细!$G$4:$G$1203,$Z1012-4000))=0,"",N(INDEX(客户自备加工筐明细!$G$4:$G$1203,$Z1012-4000))),IF($Z1012&lt;=5800,IF(ISNUMBER(SEARCH("退",INDEX(次果筐明细!$F$4:$F$603,$Z1012-5200)&amp;"")),"",IF(N(INDEX(次果筐明细!$G$4:$G$603,$Z1012-5200))=0,"",N(INDEX(次果筐明细!$G$4:$G$603,$Z1012-5200)))),"")))))</f>
        <v/>
      </c>
      <c r="P1012" s="40" t="str">
        <f>IF($Z1012="","",IF($Z1012&lt;=2000,"",IF($Z1012&lt;=4000,IF(N(INDEX(周转筐出入库明细!$I$4:$I$2004,$Z1012-2000))=0,"",N(INDEX(周转筐出入库明细!$I$4:$I$2004,$Z1012-2000))),IF($Z1012&lt;=5200,"",IF($Z1012&lt;=5800,IF(ISNUMBER(SEARCH("退",INDEX(次果筐明细!$F$4:$F$603,$Z1012-5200)&amp;"")),IF(N(INDEX(次果筐明细!$G$4:$G$603,$Z1012-5200))=0,"",N(INDEX(次果筐明细!$G$4:$G$603,$Z1012-5200))),""),"")))))</f>
        <v/>
      </c>
      <c r="Q1012" s="40" t="str">
        <f>IF($Z1012="","",IF($Z1012&lt;=2000,"",IF($Z1012&lt;=4000,IF(N(INDEX(周转筐出入库明细!$H$4:$H$2004,$Z1012-2000))=0,"",N(INDEX(周转筐出入库明细!$H$4:$H$2004,$Z1012-2000))),IF($Z1012&lt;=5200,IF(N(INDEX(客户自备加工筐明细!$F$4:$F$1203,$Z1012-4000))=0,"",N(INDEX(客户自备加工筐明细!$F$4:$F$1203,$Z1012-4000))),IF($Z1012&lt;=5800,"","")))))</f>
        <v/>
      </c>
      <c r="R1012" s="16" t="str">
        <f>IF($Z1012="","",IF($Z1012&lt;=2000,IF(INDEX(包装物料出入库明细!$O$4:$O$2003,$Z1012-0)=0,"",INDEX(包装物料出入库明细!$O$4:$O$2003,$Z1012-0)),IF($Z1012&lt;=4000,IF(INDEX(周转筐出入库明细!$M$4:$M$2004,$Z1012-2000)=0,"",INDEX(周转筐出入库明细!$M$4:$M$2004,$Z1012-2000)),IF($Z1012&lt;=5200,IF(INDEX(客户自备加工筐明细!$H$4:$H$1203,$Z1012-4000)=0,"",INDEX(客户自备加工筐明细!$H$4:$H$1203,$Z1012-4000)),IF($Z1012&lt;=5800,IF(INDEX(次果筐明细!$H$4:$H$603,$Z1012-5200)=0,"",INDEX(次果筐明细!$H$4:$H$603,$Z1012-5200)),"")))))</f>
        <v/>
      </c>
      <c r="S1012" s="22" t="str">
        <f t="shared" si="47"/>
        <v/>
      </c>
      <c r="Z1012" s="10" t="str">
        <f>IFERROR(MATCH(ROW()-3,_自动清单!$CQ$4:$CQ$5803,0),"")</f>
        <v/>
      </c>
    </row>
    <row r="1013" spans="1:26">
      <c r="A1013" s="24" t="str">
        <f t="shared" si="45"/>
        <v/>
      </c>
      <c r="B1013" s="38" t="str">
        <f>IF($Z1013="","",IF($Z1013&lt;=2000,IF(INDEX(包装物料出入库明细!$B$4:$B$2003,$Z1013-0)=0,"",INDEX(包装物料出入库明细!$B$4:$B$2003,$Z1013-0)),IF($Z1013&lt;=4000,IF(INDEX(周转筐出入库明细!$B$4:$B$2004,$Z1013-2000)=0,"",INDEX(周转筐出入库明细!$B$4:$B$2004,$Z1013-2000)),IF($Z1013&lt;=5200,IF(INDEX(客户自备加工筐明细!$B$4:$B$1203,$Z1013-4000)=0,"",INDEX(客户自备加工筐明细!$B$4:$B$1203,$Z1013-4000)),IF($Z1013&lt;=5800,IF(INDEX(次果筐明细!$B$4:$B$603,$Z1013-5200)=0,"",INDEX(次果筐明细!$B$4:$B$603,$Z1013-5200)),"")))))</f>
        <v/>
      </c>
      <c r="C1013" s="37" t="str">
        <f>IF($Z1013="","",IF($Z1013&lt;=2000,IF(INDEX(包装物料出入库明细!$D$4:$D$2003,$Z1013-0)=0,"",INDEX(包装物料出入库明细!$D$4:$D$2003,$Z1013-0)),IF($Z1013&lt;=4000,IF(INDEX(周转筐出入库明细!$C$4:$C$2004,$Z1013-2000)=0,"",INDEX(周转筐出入库明细!$C$4:$C$2004,$Z1013-2000)),IF($Z1013&lt;=5200,IF(INDEX(客户自备加工筐明细!$E$4:$E$1203,$Z1013-4000)=0,"",INDEX(客户自备加工筐明细!$E$4:$E$1203,$Z1013-4000)),IF($Z1013&lt;=5800,IF(INDEX(次果筐明细!$C$4:$C$603,$Z1013-5200)=0,"",INDEX(次果筐明细!$C$4:$C$603,$Z1013-5200)),"")))))</f>
        <v/>
      </c>
      <c r="D1013" s="37" t="str">
        <f>IF($Z1013="","",IF($Z1013&lt;=2000,"包装物料－"&amp;INDEX(包装物料出入库明细!$H$4:$H$2003,$Z1013-0),IF($Z1013&lt;=4000,"周转筐－"&amp;INDEX(周转筐出入库明细!$F$4:$F$2004,$Z1013-2000),IF($Z1013&lt;=5200,"客户自备筐－"&amp;INDEX(客户自备加工筐明细!$J$4:$J$1203,$Z1013-4000),IF($Z1013&lt;=5800,"次果筐/托盘－"&amp;INDEX(次果筐明细!$F$4:$F$603,$Z1013-5200),"")))))</f>
        <v/>
      </c>
      <c r="E1013" s="24" t="str">
        <f>IF($Z1013="","",IF($Z1013&lt;=2000,IF(INDEX(包装物料出入库明细!$C$4:$C$2003,$Z1013-0)=0,"",INDEX(包装物料出入库明细!$C$4:$C$2003,$Z1013-0)),IF($Z1013&lt;=4000,IF(INDEX(周转筐出入库明细!$E$4:$E$2004,$Z1013-2000)=0,"",INDEX(周转筐出入库明细!$E$4:$E$2004,$Z1013-2000)),IF($Z1013&lt;=5200,IF(INDEX(客户自备加工筐明细!$D$4:$D$1203,$Z1013-4000)=0,"",INDEX(客户自备加工筐明细!$D$4:$D$1203,$Z1013-4000)),IF($Z1013&lt;=5800,IF(INDEX(次果筐明细!$E$4:$E$603,$Z1013-5200)=0,"",INDEX(次果筐明细!$E$4:$E$603,$Z1013-5200)),"")))))</f>
        <v/>
      </c>
      <c r="F1013" s="24" t="str">
        <f>IF($Z1013="","",IF($Z1013&lt;=2000,IF(INDEX(包装物料出入库明细!$E$4:$E$2003,$Z1013-0)=0,"",INDEX(包装物料出入库明细!$E$4:$E$2003,$Z1013-0)),IF($Z1013&lt;=4000,IF(INDEX(周转筐出入库明细!$D$4:$D$2004,$Z1013-2000)=0,"",INDEX(周转筐出入库明细!$D$4:$D$2004,$Z1013-2000)),IF($Z1013&lt;=5200,IF(INDEX(客户自备加工筐明细!$C$4:$C$1203,$Z1013-4000)=0,"",INDEX(客户自备加工筐明细!$C$4:$C$1203,$Z1013-4000)),IF($Z1013&lt;=5800,IF(INDEX(次果筐明细!$D$4:$D$603,$Z1013-5200)=0,"",INDEX(次果筐明细!$D$4:$D$603,$Z1013-5200)),"")))))</f>
        <v/>
      </c>
      <c r="G1013" s="24" t="str">
        <f>IF($Z1013="","",IF($Z1013&lt;=2000,IF(INDEX(包装物料出入库明细!$F$4:$F$2003,$Z1013-0)=0,"",INDEX(包装物料出入库明细!$F$4:$F$2003,$Z1013-0)),IF($Z1013&lt;=4000,"",IF($Z1013&lt;=5200,"",IF($Z1013&lt;=5800,"","")))))</f>
        <v/>
      </c>
      <c r="H1013" s="39" t="str">
        <f>IF($Z1013="","",IF($Z1013&lt;=2000,IF(INDEX(包装物料出入库明细!$L$4:$L$2003,$Z1013-0)=0,"",INDEX(包装物料出入库明细!$L$4:$L$2003,$Z1013-0)),IF($Z1013&lt;=4000,N(INDEX(周转筐出入库明细!$H$4:$H$2004,$Z1013-2000))+N(INDEX(周转筐出入库明细!$I$4:$I$2004,$Z1013-2000))+N(INDEX(周转筐出入库明细!$J$4:$J$2004,$Z1013-2000))+N(INDEX(周转筐出入库明细!$K$4:$K$2004,$Z1013-2000)),IF($Z1013&lt;=5200,N(INDEX(客户自备加工筐明细!$F$4:$F$1203,$Z1013-4000))+N(INDEX(客户自备加工筐明细!$G$4:$G$1203,$Z1013-4000)),IF($Z1013&lt;=5800,IF(INDEX(次果筐明细!$G$4:$G$603,$Z1013-5200)=0,"",INDEX(次果筐明细!$G$4:$G$603,$Z1013-5200)),"")))))</f>
        <v/>
      </c>
      <c r="I1013" s="24" t="str">
        <f>IF($Z1013="","",IF($Z1013&lt;=2000,IF(INDEX(包装物料出入库明细!$G$4:$G$2003,$Z1013-0)=0,"",INDEX(包装物料出入库明细!$G$4:$G$2003,$Z1013-0)),IF($Z1013&lt;=4000,"个",IF($Z1013&lt;=5200,"个",IF($Z1013&lt;=5800,"个","")))))</f>
        <v/>
      </c>
      <c r="J1013" s="30" t="str">
        <f t="shared" si="46"/>
        <v/>
      </c>
      <c r="K1013" s="30" t="str">
        <f>IF($Z1013="","",IF($Z1013&lt;=2000,IF(INDEX(包装物料出入库明细!$N$4:$N$2003,$Z1013-0)=0,"",INDEX(包装物料出入库明细!$N$4:$N$2003,$Z1013-0)),IF($Z1013&lt;=4000,IF(INDEX(周转筐出入库明细!$P$4:$P$2004,$Z1013-2000)=0,"",INDEX(周转筐出入库明细!$P$4:$P$2004,$Z1013-2000)),IF($Z1013&lt;=5200,"",IF($Z1013&lt;=5800,N(INDEX(次果筐明细!$L$4:$L$603,$Z1013-5200))+N(INDEX(次果筐明细!$J$4:$J$603,$Z1013-5200)),"")))))</f>
        <v/>
      </c>
      <c r="L1013" s="24" t="str">
        <f>IF($Z1013="","",IF($Z1013&lt;=2000,IF(INDEX(包装物料出入库明细!$P$4:$P$2003,$Z1013-0)=0,"",INDEX(包装物料出入库明细!$P$4:$P$2003,$Z1013-0)),IF($Z1013&lt;=4000,IF(INDEX(周转筐出入库明细!$Q$4:$Q$2004,$Z1013-2000)=0,"",INDEX(周转筐出入库明细!$Q$4:$Q$2004,$Z1013-2000)),IF($Z1013&lt;=5200,"",IF($Z1013&lt;=5800,IF(INDEX(次果筐明细!$M$4:$M$603,$Z1013-5200)=0,"",INDEX(次果筐明细!$M$4:$M$603,$Z1013-5200)),"")))))</f>
        <v/>
      </c>
      <c r="M1013" s="37" t="str">
        <f>IF($Z1013="","",IF($Z1013&lt;=2000,IF(INDEX(包装物料出入库明细!$R$4:$R$2003,$Z1013-0)=0,"",INDEX(包装物料出入库明细!$R$4:$R$2003,$Z1013-0)),IF($Z1013&lt;=4000,IF(INDEX(周转筐出入库明细!$W$4:$W$2004,$Z1013-2000)=0,"",INDEX(周转筐出入库明细!$W$4:$W$2004,$Z1013-2000)),IF($Z1013&lt;=5200,IF(INDEX(客户自备加工筐明细!$L$4:$L$1203,$Z1013-4000)=0,"",INDEX(客户自备加工筐明细!$L$4:$L$1203,$Z1013-4000)),IF($Z1013&lt;=5800,IF(INDEX(次果筐明细!$P$4:$P$603,$Z1013-5200)=0,"",INDEX(次果筐明细!$P$4:$P$603,$Z1013-5200)),"")))))</f>
        <v/>
      </c>
      <c r="N1013" s="16" t="str">
        <f>IF($Z1013="","",IF($Z1013&lt;=2000,"",IF($Z1013&lt;=4000,IF(INDEX(周转筐出入库明细!$D$4:$D$2004,$Z1013-2000)=0,"",INDEX(周转筐出入库明细!$D$4:$D$2004,$Z1013-2000)),IF($Z1013&lt;=5200,IF(INDEX(客户自备加工筐明细!$C$4:$C$1203,$Z1013-4000)=0,"",INDEX(客户自备加工筐明细!$C$4:$C$1203,$Z1013-4000)),IF($Z1013&lt;=5800,IF(INDEX(次果筐明细!$D$4:$D$603,$Z1013-5200)=0,"",INDEX(次果筐明细!$D$4:$D$603,$Z1013-5200)),"")))))</f>
        <v/>
      </c>
      <c r="O1013" s="40" t="str">
        <f>IF($Z1013="","",IF($Z1013&lt;=2000,"",IF($Z1013&lt;=4000,IF(N(INDEX(周转筐出入库明细!$J$4:$J$2004,$Z1013-2000))+N(INDEX(周转筐出入库明细!$K$4:$K$2004,$Z1013-2000))=0,"",N(INDEX(周转筐出入库明细!$J$4:$J$2004,$Z1013-2000))+N(INDEX(周转筐出入库明细!$K$4:$K$2004,$Z1013-2000))),IF($Z1013&lt;=5200,IF(N(INDEX(客户自备加工筐明细!$G$4:$G$1203,$Z1013-4000))=0,"",N(INDEX(客户自备加工筐明细!$G$4:$G$1203,$Z1013-4000))),IF($Z1013&lt;=5800,IF(ISNUMBER(SEARCH("退",INDEX(次果筐明细!$F$4:$F$603,$Z1013-5200)&amp;"")),"",IF(N(INDEX(次果筐明细!$G$4:$G$603,$Z1013-5200))=0,"",N(INDEX(次果筐明细!$G$4:$G$603,$Z1013-5200)))),"")))))</f>
        <v/>
      </c>
      <c r="P1013" s="40" t="str">
        <f>IF($Z1013="","",IF($Z1013&lt;=2000,"",IF($Z1013&lt;=4000,IF(N(INDEX(周转筐出入库明细!$I$4:$I$2004,$Z1013-2000))=0,"",N(INDEX(周转筐出入库明细!$I$4:$I$2004,$Z1013-2000))),IF($Z1013&lt;=5200,"",IF($Z1013&lt;=5800,IF(ISNUMBER(SEARCH("退",INDEX(次果筐明细!$F$4:$F$603,$Z1013-5200)&amp;"")),IF(N(INDEX(次果筐明细!$G$4:$G$603,$Z1013-5200))=0,"",N(INDEX(次果筐明细!$G$4:$G$603,$Z1013-5200))),""),"")))))</f>
        <v/>
      </c>
      <c r="Q1013" s="40" t="str">
        <f>IF($Z1013="","",IF($Z1013&lt;=2000,"",IF($Z1013&lt;=4000,IF(N(INDEX(周转筐出入库明细!$H$4:$H$2004,$Z1013-2000))=0,"",N(INDEX(周转筐出入库明细!$H$4:$H$2004,$Z1013-2000))),IF($Z1013&lt;=5200,IF(N(INDEX(客户自备加工筐明细!$F$4:$F$1203,$Z1013-4000))=0,"",N(INDEX(客户自备加工筐明细!$F$4:$F$1203,$Z1013-4000))),IF($Z1013&lt;=5800,"","")))))</f>
        <v/>
      </c>
      <c r="R1013" s="16" t="str">
        <f>IF($Z1013="","",IF($Z1013&lt;=2000,IF(INDEX(包装物料出入库明细!$O$4:$O$2003,$Z1013-0)=0,"",INDEX(包装物料出入库明细!$O$4:$O$2003,$Z1013-0)),IF($Z1013&lt;=4000,IF(INDEX(周转筐出入库明细!$M$4:$M$2004,$Z1013-2000)=0,"",INDEX(周转筐出入库明细!$M$4:$M$2004,$Z1013-2000)),IF($Z1013&lt;=5200,IF(INDEX(客户自备加工筐明细!$H$4:$H$1203,$Z1013-4000)=0,"",INDEX(客户自备加工筐明细!$H$4:$H$1203,$Z1013-4000)),IF($Z1013&lt;=5800,IF(INDEX(次果筐明细!$H$4:$H$603,$Z1013-5200)=0,"",INDEX(次果筐明细!$H$4:$H$603,$Z1013-5200)),"")))))</f>
        <v/>
      </c>
      <c r="S1013" s="22" t="str">
        <f t="shared" si="47"/>
        <v/>
      </c>
      <c r="Z1013" s="10" t="str">
        <f>IFERROR(MATCH(ROW()-3,_自动清单!$CQ$4:$CQ$5803,0),"")</f>
        <v/>
      </c>
    </row>
    <row r="1014" spans="1:26">
      <c r="A1014" s="24" t="str">
        <f t="shared" si="45"/>
        <v/>
      </c>
      <c r="B1014" s="38" t="str">
        <f>IF($Z1014="","",IF($Z1014&lt;=2000,IF(INDEX(包装物料出入库明细!$B$4:$B$2003,$Z1014-0)=0,"",INDEX(包装物料出入库明细!$B$4:$B$2003,$Z1014-0)),IF($Z1014&lt;=4000,IF(INDEX(周转筐出入库明细!$B$4:$B$2004,$Z1014-2000)=0,"",INDEX(周转筐出入库明细!$B$4:$B$2004,$Z1014-2000)),IF($Z1014&lt;=5200,IF(INDEX(客户自备加工筐明细!$B$4:$B$1203,$Z1014-4000)=0,"",INDEX(客户自备加工筐明细!$B$4:$B$1203,$Z1014-4000)),IF($Z1014&lt;=5800,IF(INDEX(次果筐明细!$B$4:$B$603,$Z1014-5200)=0,"",INDEX(次果筐明细!$B$4:$B$603,$Z1014-5200)),"")))))</f>
        <v/>
      </c>
      <c r="C1014" s="37" t="str">
        <f>IF($Z1014="","",IF($Z1014&lt;=2000,IF(INDEX(包装物料出入库明细!$D$4:$D$2003,$Z1014-0)=0,"",INDEX(包装物料出入库明细!$D$4:$D$2003,$Z1014-0)),IF($Z1014&lt;=4000,IF(INDEX(周转筐出入库明细!$C$4:$C$2004,$Z1014-2000)=0,"",INDEX(周转筐出入库明细!$C$4:$C$2004,$Z1014-2000)),IF($Z1014&lt;=5200,IF(INDEX(客户自备加工筐明细!$E$4:$E$1203,$Z1014-4000)=0,"",INDEX(客户自备加工筐明细!$E$4:$E$1203,$Z1014-4000)),IF($Z1014&lt;=5800,IF(INDEX(次果筐明细!$C$4:$C$603,$Z1014-5200)=0,"",INDEX(次果筐明细!$C$4:$C$603,$Z1014-5200)),"")))))</f>
        <v/>
      </c>
      <c r="D1014" s="37" t="str">
        <f>IF($Z1014="","",IF($Z1014&lt;=2000,"包装物料－"&amp;INDEX(包装物料出入库明细!$H$4:$H$2003,$Z1014-0),IF($Z1014&lt;=4000,"周转筐－"&amp;INDEX(周转筐出入库明细!$F$4:$F$2004,$Z1014-2000),IF($Z1014&lt;=5200,"客户自备筐－"&amp;INDEX(客户自备加工筐明细!$J$4:$J$1203,$Z1014-4000),IF($Z1014&lt;=5800,"次果筐/托盘－"&amp;INDEX(次果筐明细!$F$4:$F$603,$Z1014-5200),"")))))</f>
        <v/>
      </c>
      <c r="E1014" s="24" t="str">
        <f>IF($Z1014="","",IF($Z1014&lt;=2000,IF(INDEX(包装物料出入库明细!$C$4:$C$2003,$Z1014-0)=0,"",INDEX(包装物料出入库明细!$C$4:$C$2003,$Z1014-0)),IF($Z1014&lt;=4000,IF(INDEX(周转筐出入库明细!$E$4:$E$2004,$Z1014-2000)=0,"",INDEX(周转筐出入库明细!$E$4:$E$2004,$Z1014-2000)),IF($Z1014&lt;=5200,IF(INDEX(客户自备加工筐明细!$D$4:$D$1203,$Z1014-4000)=0,"",INDEX(客户自备加工筐明细!$D$4:$D$1203,$Z1014-4000)),IF($Z1014&lt;=5800,IF(INDEX(次果筐明细!$E$4:$E$603,$Z1014-5200)=0,"",INDEX(次果筐明细!$E$4:$E$603,$Z1014-5200)),"")))))</f>
        <v/>
      </c>
      <c r="F1014" s="24" t="str">
        <f>IF($Z1014="","",IF($Z1014&lt;=2000,IF(INDEX(包装物料出入库明细!$E$4:$E$2003,$Z1014-0)=0,"",INDEX(包装物料出入库明细!$E$4:$E$2003,$Z1014-0)),IF($Z1014&lt;=4000,IF(INDEX(周转筐出入库明细!$D$4:$D$2004,$Z1014-2000)=0,"",INDEX(周转筐出入库明细!$D$4:$D$2004,$Z1014-2000)),IF($Z1014&lt;=5200,IF(INDEX(客户自备加工筐明细!$C$4:$C$1203,$Z1014-4000)=0,"",INDEX(客户自备加工筐明细!$C$4:$C$1203,$Z1014-4000)),IF($Z1014&lt;=5800,IF(INDEX(次果筐明细!$D$4:$D$603,$Z1014-5200)=0,"",INDEX(次果筐明细!$D$4:$D$603,$Z1014-5200)),"")))))</f>
        <v/>
      </c>
      <c r="G1014" s="24" t="str">
        <f>IF($Z1014="","",IF($Z1014&lt;=2000,IF(INDEX(包装物料出入库明细!$F$4:$F$2003,$Z1014-0)=0,"",INDEX(包装物料出入库明细!$F$4:$F$2003,$Z1014-0)),IF($Z1014&lt;=4000,"",IF($Z1014&lt;=5200,"",IF($Z1014&lt;=5800,"","")))))</f>
        <v/>
      </c>
      <c r="H1014" s="39" t="str">
        <f>IF($Z1014="","",IF($Z1014&lt;=2000,IF(INDEX(包装物料出入库明细!$L$4:$L$2003,$Z1014-0)=0,"",INDEX(包装物料出入库明细!$L$4:$L$2003,$Z1014-0)),IF($Z1014&lt;=4000,N(INDEX(周转筐出入库明细!$H$4:$H$2004,$Z1014-2000))+N(INDEX(周转筐出入库明细!$I$4:$I$2004,$Z1014-2000))+N(INDEX(周转筐出入库明细!$J$4:$J$2004,$Z1014-2000))+N(INDEX(周转筐出入库明细!$K$4:$K$2004,$Z1014-2000)),IF($Z1014&lt;=5200,N(INDEX(客户自备加工筐明细!$F$4:$F$1203,$Z1014-4000))+N(INDEX(客户自备加工筐明细!$G$4:$G$1203,$Z1014-4000)),IF($Z1014&lt;=5800,IF(INDEX(次果筐明细!$G$4:$G$603,$Z1014-5200)=0,"",INDEX(次果筐明细!$G$4:$G$603,$Z1014-5200)),"")))))</f>
        <v/>
      </c>
      <c r="I1014" s="24" t="str">
        <f>IF($Z1014="","",IF($Z1014&lt;=2000,IF(INDEX(包装物料出入库明细!$G$4:$G$2003,$Z1014-0)=0,"",INDEX(包装物料出入库明细!$G$4:$G$2003,$Z1014-0)),IF($Z1014&lt;=4000,"个",IF($Z1014&lt;=5200,"个",IF($Z1014&lt;=5800,"个","")))))</f>
        <v/>
      </c>
      <c r="J1014" s="30" t="str">
        <f t="shared" si="46"/>
        <v/>
      </c>
      <c r="K1014" s="30" t="str">
        <f>IF($Z1014="","",IF($Z1014&lt;=2000,IF(INDEX(包装物料出入库明细!$N$4:$N$2003,$Z1014-0)=0,"",INDEX(包装物料出入库明细!$N$4:$N$2003,$Z1014-0)),IF($Z1014&lt;=4000,IF(INDEX(周转筐出入库明细!$P$4:$P$2004,$Z1014-2000)=0,"",INDEX(周转筐出入库明细!$P$4:$P$2004,$Z1014-2000)),IF($Z1014&lt;=5200,"",IF($Z1014&lt;=5800,N(INDEX(次果筐明细!$L$4:$L$603,$Z1014-5200))+N(INDEX(次果筐明细!$J$4:$J$603,$Z1014-5200)),"")))))</f>
        <v/>
      </c>
      <c r="L1014" s="24" t="str">
        <f>IF($Z1014="","",IF($Z1014&lt;=2000,IF(INDEX(包装物料出入库明细!$P$4:$P$2003,$Z1014-0)=0,"",INDEX(包装物料出入库明细!$P$4:$P$2003,$Z1014-0)),IF($Z1014&lt;=4000,IF(INDEX(周转筐出入库明细!$Q$4:$Q$2004,$Z1014-2000)=0,"",INDEX(周转筐出入库明细!$Q$4:$Q$2004,$Z1014-2000)),IF($Z1014&lt;=5200,"",IF($Z1014&lt;=5800,IF(INDEX(次果筐明细!$M$4:$M$603,$Z1014-5200)=0,"",INDEX(次果筐明细!$M$4:$M$603,$Z1014-5200)),"")))))</f>
        <v/>
      </c>
      <c r="M1014" s="37" t="str">
        <f>IF($Z1014="","",IF($Z1014&lt;=2000,IF(INDEX(包装物料出入库明细!$R$4:$R$2003,$Z1014-0)=0,"",INDEX(包装物料出入库明细!$R$4:$R$2003,$Z1014-0)),IF($Z1014&lt;=4000,IF(INDEX(周转筐出入库明细!$W$4:$W$2004,$Z1014-2000)=0,"",INDEX(周转筐出入库明细!$W$4:$W$2004,$Z1014-2000)),IF($Z1014&lt;=5200,IF(INDEX(客户自备加工筐明细!$L$4:$L$1203,$Z1014-4000)=0,"",INDEX(客户自备加工筐明细!$L$4:$L$1203,$Z1014-4000)),IF($Z1014&lt;=5800,IF(INDEX(次果筐明细!$P$4:$P$603,$Z1014-5200)=0,"",INDEX(次果筐明细!$P$4:$P$603,$Z1014-5200)),"")))))</f>
        <v/>
      </c>
      <c r="N1014" s="16" t="str">
        <f>IF($Z1014="","",IF($Z1014&lt;=2000,"",IF($Z1014&lt;=4000,IF(INDEX(周转筐出入库明细!$D$4:$D$2004,$Z1014-2000)=0,"",INDEX(周转筐出入库明细!$D$4:$D$2004,$Z1014-2000)),IF($Z1014&lt;=5200,IF(INDEX(客户自备加工筐明细!$C$4:$C$1203,$Z1014-4000)=0,"",INDEX(客户自备加工筐明细!$C$4:$C$1203,$Z1014-4000)),IF($Z1014&lt;=5800,IF(INDEX(次果筐明细!$D$4:$D$603,$Z1014-5200)=0,"",INDEX(次果筐明细!$D$4:$D$603,$Z1014-5200)),"")))))</f>
        <v/>
      </c>
      <c r="O1014" s="40" t="str">
        <f>IF($Z1014="","",IF($Z1014&lt;=2000,"",IF($Z1014&lt;=4000,IF(N(INDEX(周转筐出入库明细!$J$4:$J$2004,$Z1014-2000))+N(INDEX(周转筐出入库明细!$K$4:$K$2004,$Z1014-2000))=0,"",N(INDEX(周转筐出入库明细!$J$4:$J$2004,$Z1014-2000))+N(INDEX(周转筐出入库明细!$K$4:$K$2004,$Z1014-2000))),IF($Z1014&lt;=5200,IF(N(INDEX(客户自备加工筐明细!$G$4:$G$1203,$Z1014-4000))=0,"",N(INDEX(客户自备加工筐明细!$G$4:$G$1203,$Z1014-4000))),IF($Z1014&lt;=5800,IF(ISNUMBER(SEARCH("退",INDEX(次果筐明细!$F$4:$F$603,$Z1014-5200)&amp;"")),"",IF(N(INDEX(次果筐明细!$G$4:$G$603,$Z1014-5200))=0,"",N(INDEX(次果筐明细!$G$4:$G$603,$Z1014-5200)))),"")))))</f>
        <v/>
      </c>
      <c r="P1014" s="40" t="str">
        <f>IF($Z1014="","",IF($Z1014&lt;=2000,"",IF($Z1014&lt;=4000,IF(N(INDEX(周转筐出入库明细!$I$4:$I$2004,$Z1014-2000))=0,"",N(INDEX(周转筐出入库明细!$I$4:$I$2004,$Z1014-2000))),IF($Z1014&lt;=5200,"",IF($Z1014&lt;=5800,IF(ISNUMBER(SEARCH("退",INDEX(次果筐明细!$F$4:$F$603,$Z1014-5200)&amp;"")),IF(N(INDEX(次果筐明细!$G$4:$G$603,$Z1014-5200))=0,"",N(INDEX(次果筐明细!$G$4:$G$603,$Z1014-5200))),""),"")))))</f>
        <v/>
      </c>
      <c r="Q1014" s="40" t="str">
        <f>IF($Z1014="","",IF($Z1014&lt;=2000,"",IF($Z1014&lt;=4000,IF(N(INDEX(周转筐出入库明细!$H$4:$H$2004,$Z1014-2000))=0,"",N(INDEX(周转筐出入库明细!$H$4:$H$2004,$Z1014-2000))),IF($Z1014&lt;=5200,IF(N(INDEX(客户自备加工筐明细!$F$4:$F$1203,$Z1014-4000))=0,"",N(INDEX(客户自备加工筐明细!$F$4:$F$1203,$Z1014-4000))),IF($Z1014&lt;=5800,"","")))))</f>
        <v/>
      </c>
      <c r="R1014" s="16" t="str">
        <f>IF($Z1014="","",IF($Z1014&lt;=2000,IF(INDEX(包装物料出入库明细!$O$4:$O$2003,$Z1014-0)=0,"",INDEX(包装物料出入库明细!$O$4:$O$2003,$Z1014-0)),IF($Z1014&lt;=4000,IF(INDEX(周转筐出入库明细!$M$4:$M$2004,$Z1014-2000)=0,"",INDEX(周转筐出入库明细!$M$4:$M$2004,$Z1014-2000)),IF($Z1014&lt;=5200,IF(INDEX(客户自备加工筐明细!$H$4:$H$1203,$Z1014-4000)=0,"",INDEX(客户自备加工筐明细!$H$4:$H$1203,$Z1014-4000)),IF($Z1014&lt;=5800,IF(INDEX(次果筐明细!$H$4:$H$603,$Z1014-5200)=0,"",INDEX(次果筐明细!$H$4:$H$603,$Z1014-5200)),"")))))</f>
        <v/>
      </c>
      <c r="S1014" s="22" t="str">
        <f t="shared" si="47"/>
        <v/>
      </c>
      <c r="Z1014" s="10" t="str">
        <f>IFERROR(MATCH(ROW()-3,_自动清单!$CQ$4:$CQ$5803,0),"")</f>
        <v/>
      </c>
    </row>
    <row r="1015" spans="1:26">
      <c r="A1015" s="24" t="str">
        <f t="shared" si="45"/>
        <v/>
      </c>
      <c r="B1015" s="38" t="str">
        <f>IF($Z1015="","",IF($Z1015&lt;=2000,IF(INDEX(包装物料出入库明细!$B$4:$B$2003,$Z1015-0)=0,"",INDEX(包装物料出入库明细!$B$4:$B$2003,$Z1015-0)),IF($Z1015&lt;=4000,IF(INDEX(周转筐出入库明细!$B$4:$B$2004,$Z1015-2000)=0,"",INDEX(周转筐出入库明细!$B$4:$B$2004,$Z1015-2000)),IF($Z1015&lt;=5200,IF(INDEX(客户自备加工筐明细!$B$4:$B$1203,$Z1015-4000)=0,"",INDEX(客户自备加工筐明细!$B$4:$B$1203,$Z1015-4000)),IF($Z1015&lt;=5800,IF(INDEX(次果筐明细!$B$4:$B$603,$Z1015-5200)=0,"",INDEX(次果筐明细!$B$4:$B$603,$Z1015-5200)),"")))))</f>
        <v/>
      </c>
      <c r="C1015" s="37" t="str">
        <f>IF($Z1015="","",IF($Z1015&lt;=2000,IF(INDEX(包装物料出入库明细!$D$4:$D$2003,$Z1015-0)=0,"",INDEX(包装物料出入库明细!$D$4:$D$2003,$Z1015-0)),IF($Z1015&lt;=4000,IF(INDEX(周转筐出入库明细!$C$4:$C$2004,$Z1015-2000)=0,"",INDEX(周转筐出入库明细!$C$4:$C$2004,$Z1015-2000)),IF($Z1015&lt;=5200,IF(INDEX(客户自备加工筐明细!$E$4:$E$1203,$Z1015-4000)=0,"",INDEX(客户自备加工筐明细!$E$4:$E$1203,$Z1015-4000)),IF($Z1015&lt;=5800,IF(INDEX(次果筐明细!$C$4:$C$603,$Z1015-5200)=0,"",INDEX(次果筐明细!$C$4:$C$603,$Z1015-5200)),"")))))</f>
        <v/>
      </c>
      <c r="D1015" s="37" t="str">
        <f>IF($Z1015="","",IF($Z1015&lt;=2000,"包装物料－"&amp;INDEX(包装物料出入库明细!$H$4:$H$2003,$Z1015-0),IF($Z1015&lt;=4000,"周转筐－"&amp;INDEX(周转筐出入库明细!$F$4:$F$2004,$Z1015-2000),IF($Z1015&lt;=5200,"客户自备筐－"&amp;INDEX(客户自备加工筐明细!$J$4:$J$1203,$Z1015-4000),IF($Z1015&lt;=5800,"次果筐/托盘－"&amp;INDEX(次果筐明细!$F$4:$F$603,$Z1015-5200),"")))))</f>
        <v/>
      </c>
      <c r="E1015" s="24" t="str">
        <f>IF($Z1015="","",IF($Z1015&lt;=2000,IF(INDEX(包装物料出入库明细!$C$4:$C$2003,$Z1015-0)=0,"",INDEX(包装物料出入库明细!$C$4:$C$2003,$Z1015-0)),IF($Z1015&lt;=4000,IF(INDEX(周转筐出入库明细!$E$4:$E$2004,$Z1015-2000)=0,"",INDEX(周转筐出入库明细!$E$4:$E$2004,$Z1015-2000)),IF($Z1015&lt;=5200,IF(INDEX(客户自备加工筐明细!$D$4:$D$1203,$Z1015-4000)=0,"",INDEX(客户自备加工筐明细!$D$4:$D$1203,$Z1015-4000)),IF($Z1015&lt;=5800,IF(INDEX(次果筐明细!$E$4:$E$603,$Z1015-5200)=0,"",INDEX(次果筐明细!$E$4:$E$603,$Z1015-5200)),"")))))</f>
        <v/>
      </c>
      <c r="F1015" s="24" t="str">
        <f>IF($Z1015="","",IF($Z1015&lt;=2000,IF(INDEX(包装物料出入库明细!$E$4:$E$2003,$Z1015-0)=0,"",INDEX(包装物料出入库明细!$E$4:$E$2003,$Z1015-0)),IF($Z1015&lt;=4000,IF(INDEX(周转筐出入库明细!$D$4:$D$2004,$Z1015-2000)=0,"",INDEX(周转筐出入库明细!$D$4:$D$2004,$Z1015-2000)),IF($Z1015&lt;=5200,IF(INDEX(客户自备加工筐明细!$C$4:$C$1203,$Z1015-4000)=0,"",INDEX(客户自备加工筐明细!$C$4:$C$1203,$Z1015-4000)),IF($Z1015&lt;=5800,IF(INDEX(次果筐明细!$D$4:$D$603,$Z1015-5200)=0,"",INDEX(次果筐明细!$D$4:$D$603,$Z1015-5200)),"")))))</f>
        <v/>
      </c>
      <c r="G1015" s="24" t="str">
        <f>IF($Z1015="","",IF($Z1015&lt;=2000,IF(INDEX(包装物料出入库明细!$F$4:$F$2003,$Z1015-0)=0,"",INDEX(包装物料出入库明细!$F$4:$F$2003,$Z1015-0)),IF($Z1015&lt;=4000,"",IF($Z1015&lt;=5200,"",IF($Z1015&lt;=5800,"","")))))</f>
        <v/>
      </c>
      <c r="H1015" s="39" t="str">
        <f>IF($Z1015="","",IF($Z1015&lt;=2000,IF(INDEX(包装物料出入库明细!$L$4:$L$2003,$Z1015-0)=0,"",INDEX(包装物料出入库明细!$L$4:$L$2003,$Z1015-0)),IF($Z1015&lt;=4000,N(INDEX(周转筐出入库明细!$H$4:$H$2004,$Z1015-2000))+N(INDEX(周转筐出入库明细!$I$4:$I$2004,$Z1015-2000))+N(INDEX(周转筐出入库明细!$J$4:$J$2004,$Z1015-2000))+N(INDEX(周转筐出入库明细!$K$4:$K$2004,$Z1015-2000)),IF($Z1015&lt;=5200,N(INDEX(客户自备加工筐明细!$F$4:$F$1203,$Z1015-4000))+N(INDEX(客户自备加工筐明细!$G$4:$G$1203,$Z1015-4000)),IF($Z1015&lt;=5800,IF(INDEX(次果筐明细!$G$4:$G$603,$Z1015-5200)=0,"",INDEX(次果筐明细!$G$4:$G$603,$Z1015-5200)),"")))))</f>
        <v/>
      </c>
      <c r="I1015" s="24" t="str">
        <f>IF($Z1015="","",IF($Z1015&lt;=2000,IF(INDEX(包装物料出入库明细!$G$4:$G$2003,$Z1015-0)=0,"",INDEX(包装物料出入库明细!$G$4:$G$2003,$Z1015-0)),IF($Z1015&lt;=4000,"个",IF($Z1015&lt;=5200,"个",IF($Z1015&lt;=5800,"个","")))))</f>
        <v/>
      </c>
      <c r="J1015" s="30" t="str">
        <f t="shared" si="46"/>
        <v/>
      </c>
      <c r="K1015" s="30" t="str">
        <f>IF($Z1015="","",IF($Z1015&lt;=2000,IF(INDEX(包装物料出入库明细!$N$4:$N$2003,$Z1015-0)=0,"",INDEX(包装物料出入库明细!$N$4:$N$2003,$Z1015-0)),IF($Z1015&lt;=4000,IF(INDEX(周转筐出入库明细!$P$4:$P$2004,$Z1015-2000)=0,"",INDEX(周转筐出入库明细!$P$4:$P$2004,$Z1015-2000)),IF($Z1015&lt;=5200,"",IF($Z1015&lt;=5800,N(INDEX(次果筐明细!$L$4:$L$603,$Z1015-5200))+N(INDEX(次果筐明细!$J$4:$J$603,$Z1015-5200)),"")))))</f>
        <v/>
      </c>
      <c r="L1015" s="24" t="str">
        <f>IF($Z1015="","",IF($Z1015&lt;=2000,IF(INDEX(包装物料出入库明细!$P$4:$P$2003,$Z1015-0)=0,"",INDEX(包装物料出入库明细!$P$4:$P$2003,$Z1015-0)),IF($Z1015&lt;=4000,IF(INDEX(周转筐出入库明细!$Q$4:$Q$2004,$Z1015-2000)=0,"",INDEX(周转筐出入库明细!$Q$4:$Q$2004,$Z1015-2000)),IF($Z1015&lt;=5200,"",IF($Z1015&lt;=5800,IF(INDEX(次果筐明细!$M$4:$M$603,$Z1015-5200)=0,"",INDEX(次果筐明细!$M$4:$M$603,$Z1015-5200)),"")))))</f>
        <v/>
      </c>
      <c r="M1015" s="37" t="str">
        <f>IF($Z1015="","",IF($Z1015&lt;=2000,IF(INDEX(包装物料出入库明细!$R$4:$R$2003,$Z1015-0)=0,"",INDEX(包装物料出入库明细!$R$4:$R$2003,$Z1015-0)),IF($Z1015&lt;=4000,IF(INDEX(周转筐出入库明细!$W$4:$W$2004,$Z1015-2000)=0,"",INDEX(周转筐出入库明细!$W$4:$W$2004,$Z1015-2000)),IF($Z1015&lt;=5200,IF(INDEX(客户自备加工筐明细!$L$4:$L$1203,$Z1015-4000)=0,"",INDEX(客户自备加工筐明细!$L$4:$L$1203,$Z1015-4000)),IF($Z1015&lt;=5800,IF(INDEX(次果筐明细!$P$4:$P$603,$Z1015-5200)=0,"",INDEX(次果筐明细!$P$4:$P$603,$Z1015-5200)),"")))))</f>
        <v/>
      </c>
      <c r="N1015" s="16" t="str">
        <f>IF($Z1015="","",IF($Z1015&lt;=2000,"",IF($Z1015&lt;=4000,IF(INDEX(周转筐出入库明细!$D$4:$D$2004,$Z1015-2000)=0,"",INDEX(周转筐出入库明细!$D$4:$D$2004,$Z1015-2000)),IF($Z1015&lt;=5200,IF(INDEX(客户自备加工筐明细!$C$4:$C$1203,$Z1015-4000)=0,"",INDEX(客户自备加工筐明细!$C$4:$C$1203,$Z1015-4000)),IF($Z1015&lt;=5800,IF(INDEX(次果筐明细!$D$4:$D$603,$Z1015-5200)=0,"",INDEX(次果筐明细!$D$4:$D$603,$Z1015-5200)),"")))))</f>
        <v/>
      </c>
      <c r="O1015" s="40" t="str">
        <f>IF($Z1015="","",IF($Z1015&lt;=2000,"",IF($Z1015&lt;=4000,IF(N(INDEX(周转筐出入库明细!$J$4:$J$2004,$Z1015-2000))+N(INDEX(周转筐出入库明细!$K$4:$K$2004,$Z1015-2000))=0,"",N(INDEX(周转筐出入库明细!$J$4:$J$2004,$Z1015-2000))+N(INDEX(周转筐出入库明细!$K$4:$K$2004,$Z1015-2000))),IF($Z1015&lt;=5200,IF(N(INDEX(客户自备加工筐明细!$G$4:$G$1203,$Z1015-4000))=0,"",N(INDEX(客户自备加工筐明细!$G$4:$G$1203,$Z1015-4000))),IF($Z1015&lt;=5800,IF(ISNUMBER(SEARCH("退",INDEX(次果筐明细!$F$4:$F$603,$Z1015-5200)&amp;"")),"",IF(N(INDEX(次果筐明细!$G$4:$G$603,$Z1015-5200))=0,"",N(INDEX(次果筐明细!$G$4:$G$603,$Z1015-5200)))),"")))))</f>
        <v/>
      </c>
      <c r="P1015" s="40" t="str">
        <f>IF($Z1015="","",IF($Z1015&lt;=2000,"",IF($Z1015&lt;=4000,IF(N(INDEX(周转筐出入库明细!$I$4:$I$2004,$Z1015-2000))=0,"",N(INDEX(周转筐出入库明细!$I$4:$I$2004,$Z1015-2000))),IF($Z1015&lt;=5200,"",IF($Z1015&lt;=5800,IF(ISNUMBER(SEARCH("退",INDEX(次果筐明细!$F$4:$F$603,$Z1015-5200)&amp;"")),IF(N(INDEX(次果筐明细!$G$4:$G$603,$Z1015-5200))=0,"",N(INDEX(次果筐明细!$G$4:$G$603,$Z1015-5200))),""),"")))))</f>
        <v/>
      </c>
      <c r="Q1015" s="40" t="str">
        <f>IF($Z1015="","",IF($Z1015&lt;=2000,"",IF($Z1015&lt;=4000,IF(N(INDEX(周转筐出入库明细!$H$4:$H$2004,$Z1015-2000))=0,"",N(INDEX(周转筐出入库明细!$H$4:$H$2004,$Z1015-2000))),IF($Z1015&lt;=5200,IF(N(INDEX(客户自备加工筐明细!$F$4:$F$1203,$Z1015-4000))=0,"",N(INDEX(客户自备加工筐明细!$F$4:$F$1203,$Z1015-4000))),IF($Z1015&lt;=5800,"","")))))</f>
        <v/>
      </c>
      <c r="R1015" s="16" t="str">
        <f>IF($Z1015="","",IF($Z1015&lt;=2000,IF(INDEX(包装物料出入库明细!$O$4:$O$2003,$Z1015-0)=0,"",INDEX(包装物料出入库明细!$O$4:$O$2003,$Z1015-0)),IF($Z1015&lt;=4000,IF(INDEX(周转筐出入库明细!$M$4:$M$2004,$Z1015-2000)=0,"",INDEX(周转筐出入库明细!$M$4:$M$2004,$Z1015-2000)),IF($Z1015&lt;=5200,IF(INDEX(客户自备加工筐明细!$H$4:$H$1203,$Z1015-4000)=0,"",INDEX(客户自备加工筐明细!$H$4:$H$1203,$Z1015-4000)),IF($Z1015&lt;=5800,IF(INDEX(次果筐明细!$H$4:$H$603,$Z1015-5200)=0,"",INDEX(次果筐明细!$H$4:$H$603,$Z1015-5200)),"")))))</f>
        <v/>
      </c>
      <c r="S1015" s="22" t="str">
        <f t="shared" si="47"/>
        <v/>
      </c>
      <c r="Z1015" s="10" t="str">
        <f>IFERROR(MATCH(ROW()-3,_自动清单!$CQ$4:$CQ$5803,0),"")</f>
        <v/>
      </c>
    </row>
    <row r="1016" spans="1:26">
      <c r="A1016" s="24" t="str">
        <f t="shared" si="45"/>
        <v/>
      </c>
      <c r="B1016" s="38" t="str">
        <f>IF($Z1016="","",IF($Z1016&lt;=2000,IF(INDEX(包装物料出入库明细!$B$4:$B$2003,$Z1016-0)=0,"",INDEX(包装物料出入库明细!$B$4:$B$2003,$Z1016-0)),IF($Z1016&lt;=4000,IF(INDEX(周转筐出入库明细!$B$4:$B$2004,$Z1016-2000)=0,"",INDEX(周转筐出入库明细!$B$4:$B$2004,$Z1016-2000)),IF($Z1016&lt;=5200,IF(INDEX(客户自备加工筐明细!$B$4:$B$1203,$Z1016-4000)=0,"",INDEX(客户自备加工筐明细!$B$4:$B$1203,$Z1016-4000)),IF($Z1016&lt;=5800,IF(INDEX(次果筐明细!$B$4:$B$603,$Z1016-5200)=0,"",INDEX(次果筐明细!$B$4:$B$603,$Z1016-5200)),"")))))</f>
        <v/>
      </c>
      <c r="C1016" s="37" t="str">
        <f>IF($Z1016="","",IF($Z1016&lt;=2000,IF(INDEX(包装物料出入库明细!$D$4:$D$2003,$Z1016-0)=0,"",INDEX(包装物料出入库明细!$D$4:$D$2003,$Z1016-0)),IF($Z1016&lt;=4000,IF(INDEX(周转筐出入库明细!$C$4:$C$2004,$Z1016-2000)=0,"",INDEX(周转筐出入库明细!$C$4:$C$2004,$Z1016-2000)),IF($Z1016&lt;=5200,IF(INDEX(客户自备加工筐明细!$E$4:$E$1203,$Z1016-4000)=0,"",INDEX(客户自备加工筐明细!$E$4:$E$1203,$Z1016-4000)),IF($Z1016&lt;=5800,IF(INDEX(次果筐明细!$C$4:$C$603,$Z1016-5200)=0,"",INDEX(次果筐明细!$C$4:$C$603,$Z1016-5200)),"")))))</f>
        <v/>
      </c>
      <c r="D1016" s="37" t="str">
        <f>IF($Z1016="","",IF($Z1016&lt;=2000,"包装物料－"&amp;INDEX(包装物料出入库明细!$H$4:$H$2003,$Z1016-0),IF($Z1016&lt;=4000,"周转筐－"&amp;INDEX(周转筐出入库明细!$F$4:$F$2004,$Z1016-2000),IF($Z1016&lt;=5200,"客户自备筐－"&amp;INDEX(客户自备加工筐明细!$J$4:$J$1203,$Z1016-4000),IF($Z1016&lt;=5800,"次果筐/托盘－"&amp;INDEX(次果筐明细!$F$4:$F$603,$Z1016-5200),"")))))</f>
        <v/>
      </c>
      <c r="E1016" s="24" t="str">
        <f>IF($Z1016="","",IF($Z1016&lt;=2000,IF(INDEX(包装物料出入库明细!$C$4:$C$2003,$Z1016-0)=0,"",INDEX(包装物料出入库明细!$C$4:$C$2003,$Z1016-0)),IF($Z1016&lt;=4000,IF(INDEX(周转筐出入库明细!$E$4:$E$2004,$Z1016-2000)=0,"",INDEX(周转筐出入库明细!$E$4:$E$2004,$Z1016-2000)),IF($Z1016&lt;=5200,IF(INDEX(客户自备加工筐明细!$D$4:$D$1203,$Z1016-4000)=0,"",INDEX(客户自备加工筐明细!$D$4:$D$1203,$Z1016-4000)),IF($Z1016&lt;=5800,IF(INDEX(次果筐明细!$E$4:$E$603,$Z1016-5200)=0,"",INDEX(次果筐明细!$E$4:$E$603,$Z1016-5200)),"")))))</f>
        <v/>
      </c>
      <c r="F1016" s="24" t="str">
        <f>IF($Z1016="","",IF($Z1016&lt;=2000,IF(INDEX(包装物料出入库明细!$E$4:$E$2003,$Z1016-0)=0,"",INDEX(包装物料出入库明细!$E$4:$E$2003,$Z1016-0)),IF($Z1016&lt;=4000,IF(INDEX(周转筐出入库明细!$D$4:$D$2004,$Z1016-2000)=0,"",INDEX(周转筐出入库明细!$D$4:$D$2004,$Z1016-2000)),IF($Z1016&lt;=5200,IF(INDEX(客户自备加工筐明细!$C$4:$C$1203,$Z1016-4000)=0,"",INDEX(客户自备加工筐明细!$C$4:$C$1203,$Z1016-4000)),IF($Z1016&lt;=5800,IF(INDEX(次果筐明细!$D$4:$D$603,$Z1016-5200)=0,"",INDEX(次果筐明细!$D$4:$D$603,$Z1016-5200)),"")))))</f>
        <v/>
      </c>
      <c r="G1016" s="24" t="str">
        <f>IF($Z1016="","",IF($Z1016&lt;=2000,IF(INDEX(包装物料出入库明细!$F$4:$F$2003,$Z1016-0)=0,"",INDEX(包装物料出入库明细!$F$4:$F$2003,$Z1016-0)),IF($Z1016&lt;=4000,"",IF($Z1016&lt;=5200,"",IF($Z1016&lt;=5800,"","")))))</f>
        <v/>
      </c>
      <c r="H1016" s="39" t="str">
        <f>IF($Z1016="","",IF($Z1016&lt;=2000,IF(INDEX(包装物料出入库明细!$L$4:$L$2003,$Z1016-0)=0,"",INDEX(包装物料出入库明细!$L$4:$L$2003,$Z1016-0)),IF($Z1016&lt;=4000,N(INDEX(周转筐出入库明细!$H$4:$H$2004,$Z1016-2000))+N(INDEX(周转筐出入库明细!$I$4:$I$2004,$Z1016-2000))+N(INDEX(周转筐出入库明细!$J$4:$J$2004,$Z1016-2000))+N(INDEX(周转筐出入库明细!$K$4:$K$2004,$Z1016-2000)),IF($Z1016&lt;=5200,N(INDEX(客户自备加工筐明细!$F$4:$F$1203,$Z1016-4000))+N(INDEX(客户自备加工筐明细!$G$4:$G$1203,$Z1016-4000)),IF($Z1016&lt;=5800,IF(INDEX(次果筐明细!$G$4:$G$603,$Z1016-5200)=0,"",INDEX(次果筐明细!$G$4:$G$603,$Z1016-5200)),"")))))</f>
        <v/>
      </c>
      <c r="I1016" s="24" t="str">
        <f>IF($Z1016="","",IF($Z1016&lt;=2000,IF(INDEX(包装物料出入库明细!$G$4:$G$2003,$Z1016-0)=0,"",INDEX(包装物料出入库明细!$G$4:$G$2003,$Z1016-0)),IF($Z1016&lt;=4000,"个",IF($Z1016&lt;=5200,"个",IF($Z1016&lt;=5800,"个","")))))</f>
        <v/>
      </c>
      <c r="J1016" s="30" t="str">
        <f t="shared" si="46"/>
        <v/>
      </c>
      <c r="K1016" s="30" t="str">
        <f>IF($Z1016="","",IF($Z1016&lt;=2000,IF(INDEX(包装物料出入库明细!$N$4:$N$2003,$Z1016-0)=0,"",INDEX(包装物料出入库明细!$N$4:$N$2003,$Z1016-0)),IF($Z1016&lt;=4000,IF(INDEX(周转筐出入库明细!$P$4:$P$2004,$Z1016-2000)=0,"",INDEX(周转筐出入库明细!$P$4:$P$2004,$Z1016-2000)),IF($Z1016&lt;=5200,"",IF($Z1016&lt;=5800,N(INDEX(次果筐明细!$L$4:$L$603,$Z1016-5200))+N(INDEX(次果筐明细!$J$4:$J$603,$Z1016-5200)),"")))))</f>
        <v/>
      </c>
      <c r="L1016" s="24" t="str">
        <f>IF($Z1016="","",IF($Z1016&lt;=2000,IF(INDEX(包装物料出入库明细!$P$4:$P$2003,$Z1016-0)=0,"",INDEX(包装物料出入库明细!$P$4:$P$2003,$Z1016-0)),IF($Z1016&lt;=4000,IF(INDEX(周转筐出入库明细!$Q$4:$Q$2004,$Z1016-2000)=0,"",INDEX(周转筐出入库明细!$Q$4:$Q$2004,$Z1016-2000)),IF($Z1016&lt;=5200,"",IF($Z1016&lt;=5800,IF(INDEX(次果筐明细!$M$4:$M$603,$Z1016-5200)=0,"",INDEX(次果筐明细!$M$4:$M$603,$Z1016-5200)),"")))))</f>
        <v/>
      </c>
      <c r="M1016" s="37" t="str">
        <f>IF($Z1016="","",IF($Z1016&lt;=2000,IF(INDEX(包装物料出入库明细!$R$4:$R$2003,$Z1016-0)=0,"",INDEX(包装物料出入库明细!$R$4:$R$2003,$Z1016-0)),IF($Z1016&lt;=4000,IF(INDEX(周转筐出入库明细!$W$4:$W$2004,$Z1016-2000)=0,"",INDEX(周转筐出入库明细!$W$4:$W$2004,$Z1016-2000)),IF($Z1016&lt;=5200,IF(INDEX(客户自备加工筐明细!$L$4:$L$1203,$Z1016-4000)=0,"",INDEX(客户自备加工筐明细!$L$4:$L$1203,$Z1016-4000)),IF($Z1016&lt;=5800,IF(INDEX(次果筐明细!$P$4:$P$603,$Z1016-5200)=0,"",INDEX(次果筐明细!$P$4:$P$603,$Z1016-5200)),"")))))</f>
        <v/>
      </c>
      <c r="N1016" s="16" t="str">
        <f>IF($Z1016="","",IF($Z1016&lt;=2000,"",IF($Z1016&lt;=4000,IF(INDEX(周转筐出入库明细!$D$4:$D$2004,$Z1016-2000)=0,"",INDEX(周转筐出入库明细!$D$4:$D$2004,$Z1016-2000)),IF($Z1016&lt;=5200,IF(INDEX(客户自备加工筐明细!$C$4:$C$1203,$Z1016-4000)=0,"",INDEX(客户自备加工筐明细!$C$4:$C$1203,$Z1016-4000)),IF($Z1016&lt;=5800,IF(INDEX(次果筐明细!$D$4:$D$603,$Z1016-5200)=0,"",INDEX(次果筐明细!$D$4:$D$603,$Z1016-5200)),"")))))</f>
        <v/>
      </c>
      <c r="O1016" s="40" t="str">
        <f>IF($Z1016="","",IF($Z1016&lt;=2000,"",IF($Z1016&lt;=4000,IF(N(INDEX(周转筐出入库明细!$J$4:$J$2004,$Z1016-2000))+N(INDEX(周转筐出入库明细!$K$4:$K$2004,$Z1016-2000))=0,"",N(INDEX(周转筐出入库明细!$J$4:$J$2004,$Z1016-2000))+N(INDEX(周转筐出入库明细!$K$4:$K$2004,$Z1016-2000))),IF($Z1016&lt;=5200,IF(N(INDEX(客户自备加工筐明细!$G$4:$G$1203,$Z1016-4000))=0,"",N(INDEX(客户自备加工筐明细!$G$4:$G$1203,$Z1016-4000))),IF($Z1016&lt;=5800,IF(ISNUMBER(SEARCH("退",INDEX(次果筐明细!$F$4:$F$603,$Z1016-5200)&amp;"")),"",IF(N(INDEX(次果筐明细!$G$4:$G$603,$Z1016-5200))=0,"",N(INDEX(次果筐明细!$G$4:$G$603,$Z1016-5200)))),"")))))</f>
        <v/>
      </c>
      <c r="P1016" s="40" t="str">
        <f>IF($Z1016="","",IF($Z1016&lt;=2000,"",IF($Z1016&lt;=4000,IF(N(INDEX(周转筐出入库明细!$I$4:$I$2004,$Z1016-2000))=0,"",N(INDEX(周转筐出入库明细!$I$4:$I$2004,$Z1016-2000))),IF($Z1016&lt;=5200,"",IF($Z1016&lt;=5800,IF(ISNUMBER(SEARCH("退",INDEX(次果筐明细!$F$4:$F$603,$Z1016-5200)&amp;"")),IF(N(INDEX(次果筐明细!$G$4:$G$603,$Z1016-5200))=0,"",N(INDEX(次果筐明细!$G$4:$G$603,$Z1016-5200))),""),"")))))</f>
        <v/>
      </c>
      <c r="Q1016" s="40" t="str">
        <f>IF($Z1016="","",IF($Z1016&lt;=2000,"",IF($Z1016&lt;=4000,IF(N(INDEX(周转筐出入库明细!$H$4:$H$2004,$Z1016-2000))=0,"",N(INDEX(周转筐出入库明细!$H$4:$H$2004,$Z1016-2000))),IF($Z1016&lt;=5200,IF(N(INDEX(客户自备加工筐明细!$F$4:$F$1203,$Z1016-4000))=0,"",N(INDEX(客户自备加工筐明细!$F$4:$F$1203,$Z1016-4000))),IF($Z1016&lt;=5800,"","")))))</f>
        <v/>
      </c>
      <c r="R1016" s="16" t="str">
        <f>IF($Z1016="","",IF($Z1016&lt;=2000,IF(INDEX(包装物料出入库明细!$O$4:$O$2003,$Z1016-0)=0,"",INDEX(包装物料出入库明细!$O$4:$O$2003,$Z1016-0)),IF($Z1016&lt;=4000,IF(INDEX(周转筐出入库明细!$M$4:$M$2004,$Z1016-2000)=0,"",INDEX(周转筐出入库明细!$M$4:$M$2004,$Z1016-2000)),IF($Z1016&lt;=5200,IF(INDEX(客户自备加工筐明细!$H$4:$H$1203,$Z1016-4000)=0,"",INDEX(客户自备加工筐明细!$H$4:$H$1203,$Z1016-4000)),IF($Z1016&lt;=5800,IF(INDEX(次果筐明细!$H$4:$H$603,$Z1016-5200)=0,"",INDEX(次果筐明细!$H$4:$H$603,$Z1016-5200)),"")))))</f>
        <v/>
      </c>
      <c r="S1016" s="22" t="str">
        <f t="shared" si="47"/>
        <v/>
      </c>
      <c r="Z1016" s="10" t="str">
        <f>IFERROR(MATCH(ROW()-3,_自动清单!$CQ$4:$CQ$5803,0),"")</f>
        <v/>
      </c>
    </row>
    <row r="1017" spans="1:26">
      <c r="A1017" s="24" t="str">
        <f t="shared" si="45"/>
        <v/>
      </c>
      <c r="B1017" s="38" t="str">
        <f>IF($Z1017="","",IF($Z1017&lt;=2000,IF(INDEX(包装物料出入库明细!$B$4:$B$2003,$Z1017-0)=0,"",INDEX(包装物料出入库明细!$B$4:$B$2003,$Z1017-0)),IF($Z1017&lt;=4000,IF(INDEX(周转筐出入库明细!$B$4:$B$2004,$Z1017-2000)=0,"",INDEX(周转筐出入库明细!$B$4:$B$2004,$Z1017-2000)),IF($Z1017&lt;=5200,IF(INDEX(客户自备加工筐明细!$B$4:$B$1203,$Z1017-4000)=0,"",INDEX(客户自备加工筐明细!$B$4:$B$1203,$Z1017-4000)),IF($Z1017&lt;=5800,IF(INDEX(次果筐明细!$B$4:$B$603,$Z1017-5200)=0,"",INDEX(次果筐明细!$B$4:$B$603,$Z1017-5200)),"")))))</f>
        <v/>
      </c>
      <c r="C1017" s="37" t="str">
        <f>IF($Z1017="","",IF($Z1017&lt;=2000,IF(INDEX(包装物料出入库明细!$D$4:$D$2003,$Z1017-0)=0,"",INDEX(包装物料出入库明细!$D$4:$D$2003,$Z1017-0)),IF($Z1017&lt;=4000,IF(INDEX(周转筐出入库明细!$C$4:$C$2004,$Z1017-2000)=0,"",INDEX(周转筐出入库明细!$C$4:$C$2004,$Z1017-2000)),IF($Z1017&lt;=5200,IF(INDEX(客户自备加工筐明细!$E$4:$E$1203,$Z1017-4000)=0,"",INDEX(客户自备加工筐明细!$E$4:$E$1203,$Z1017-4000)),IF($Z1017&lt;=5800,IF(INDEX(次果筐明细!$C$4:$C$603,$Z1017-5200)=0,"",INDEX(次果筐明细!$C$4:$C$603,$Z1017-5200)),"")))))</f>
        <v/>
      </c>
      <c r="D1017" s="37" t="str">
        <f>IF($Z1017="","",IF($Z1017&lt;=2000,"包装物料－"&amp;INDEX(包装物料出入库明细!$H$4:$H$2003,$Z1017-0),IF($Z1017&lt;=4000,"周转筐－"&amp;INDEX(周转筐出入库明细!$F$4:$F$2004,$Z1017-2000),IF($Z1017&lt;=5200,"客户自备筐－"&amp;INDEX(客户自备加工筐明细!$J$4:$J$1203,$Z1017-4000),IF($Z1017&lt;=5800,"次果筐/托盘－"&amp;INDEX(次果筐明细!$F$4:$F$603,$Z1017-5200),"")))))</f>
        <v/>
      </c>
      <c r="E1017" s="24" t="str">
        <f>IF($Z1017="","",IF($Z1017&lt;=2000,IF(INDEX(包装物料出入库明细!$C$4:$C$2003,$Z1017-0)=0,"",INDEX(包装物料出入库明细!$C$4:$C$2003,$Z1017-0)),IF($Z1017&lt;=4000,IF(INDEX(周转筐出入库明细!$E$4:$E$2004,$Z1017-2000)=0,"",INDEX(周转筐出入库明细!$E$4:$E$2004,$Z1017-2000)),IF($Z1017&lt;=5200,IF(INDEX(客户自备加工筐明细!$D$4:$D$1203,$Z1017-4000)=0,"",INDEX(客户自备加工筐明细!$D$4:$D$1203,$Z1017-4000)),IF($Z1017&lt;=5800,IF(INDEX(次果筐明细!$E$4:$E$603,$Z1017-5200)=0,"",INDEX(次果筐明细!$E$4:$E$603,$Z1017-5200)),"")))))</f>
        <v/>
      </c>
      <c r="F1017" s="24" t="str">
        <f>IF($Z1017="","",IF($Z1017&lt;=2000,IF(INDEX(包装物料出入库明细!$E$4:$E$2003,$Z1017-0)=0,"",INDEX(包装物料出入库明细!$E$4:$E$2003,$Z1017-0)),IF($Z1017&lt;=4000,IF(INDEX(周转筐出入库明细!$D$4:$D$2004,$Z1017-2000)=0,"",INDEX(周转筐出入库明细!$D$4:$D$2004,$Z1017-2000)),IF($Z1017&lt;=5200,IF(INDEX(客户自备加工筐明细!$C$4:$C$1203,$Z1017-4000)=0,"",INDEX(客户自备加工筐明细!$C$4:$C$1203,$Z1017-4000)),IF($Z1017&lt;=5800,IF(INDEX(次果筐明细!$D$4:$D$603,$Z1017-5200)=0,"",INDEX(次果筐明细!$D$4:$D$603,$Z1017-5200)),"")))))</f>
        <v/>
      </c>
      <c r="G1017" s="24" t="str">
        <f>IF($Z1017="","",IF($Z1017&lt;=2000,IF(INDEX(包装物料出入库明细!$F$4:$F$2003,$Z1017-0)=0,"",INDEX(包装物料出入库明细!$F$4:$F$2003,$Z1017-0)),IF($Z1017&lt;=4000,"",IF($Z1017&lt;=5200,"",IF($Z1017&lt;=5800,"","")))))</f>
        <v/>
      </c>
      <c r="H1017" s="39" t="str">
        <f>IF($Z1017="","",IF($Z1017&lt;=2000,IF(INDEX(包装物料出入库明细!$L$4:$L$2003,$Z1017-0)=0,"",INDEX(包装物料出入库明细!$L$4:$L$2003,$Z1017-0)),IF($Z1017&lt;=4000,N(INDEX(周转筐出入库明细!$H$4:$H$2004,$Z1017-2000))+N(INDEX(周转筐出入库明细!$I$4:$I$2004,$Z1017-2000))+N(INDEX(周转筐出入库明细!$J$4:$J$2004,$Z1017-2000))+N(INDEX(周转筐出入库明细!$K$4:$K$2004,$Z1017-2000)),IF($Z1017&lt;=5200,N(INDEX(客户自备加工筐明细!$F$4:$F$1203,$Z1017-4000))+N(INDEX(客户自备加工筐明细!$G$4:$G$1203,$Z1017-4000)),IF($Z1017&lt;=5800,IF(INDEX(次果筐明细!$G$4:$G$603,$Z1017-5200)=0,"",INDEX(次果筐明细!$G$4:$G$603,$Z1017-5200)),"")))))</f>
        <v/>
      </c>
      <c r="I1017" s="24" t="str">
        <f>IF($Z1017="","",IF($Z1017&lt;=2000,IF(INDEX(包装物料出入库明细!$G$4:$G$2003,$Z1017-0)=0,"",INDEX(包装物料出入库明细!$G$4:$G$2003,$Z1017-0)),IF($Z1017&lt;=4000,"个",IF($Z1017&lt;=5200,"个",IF($Z1017&lt;=5800,"个","")))))</f>
        <v/>
      </c>
      <c r="J1017" s="30" t="str">
        <f t="shared" si="46"/>
        <v/>
      </c>
      <c r="K1017" s="30" t="str">
        <f>IF($Z1017="","",IF($Z1017&lt;=2000,IF(INDEX(包装物料出入库明细!$N$4:$N$2003,$Z1017-0)=0,"",INDEX(包装物料出入库明细!$N$4:$N$2003,$Z1017-0)),IF($Z1017&lt;=4000,IF(INDEX(周转筐出入库明细!$P$4:$P$2004,$Z1017-2000)=0,"",INDEX(周转筐出入库明细!$P$4:$P$2004,$Z1017-2000)),IF($Z1017&lt;=5200,"",IF($Z1017&lt;=5800,N(INDEX(次果筐明细!$L$4:$L$603,$Z1017-5200))+N(INDEX(次果筐明细!$J$4:$J$603,$Z1017-5200)),"")))))</f>
        <v/>
      </c>
      <c r="L1017" s="24" t="str">
        <f>IF($Z1017="","",IF($Z1017&lt;=2000,IF(INDEX(包装物料出入库明细!$P$4:$P$2003,$Z1017-0)=0,"",INDEX(包装物料出入库明细!$P$4:$P$2003,$Z1017-0)),IF($Z1017&lt;=4000,IF(INDEX(周转筐出入库明细!$Q$4:$Q$2004,$Z1017-2000)=0,"",INDEX(周转筐出入库明细!$Q$4:$Q$2004,$Z1017-2000)),IF($Z1017&lt;=5200,"",IF($Z1017&lt;=5800,IF(INDEX(次果筐明细!$M$4:$M$603,$Z1017-5200)=0,"",INDEX(次果筐明细!$M$4:$M$603,$Z1017-5200)),"")))))</f>
        <v/>
      </c>
      <c r="M1017" s="37" t="str">
        <f>IF($Z1017="","",IF($Z1017&lt;=2000,IF(INDEX(包装物料出入库明细!$R$4:$R$2003,$Z1017-0)=0,"",INDEX(包装物料出入库明细!$R$4:$R$2003,$Z1017-0)),IF($Z1017&lt;=4000,IF(INDEX(周转筐出入库明细!$W$4:$W$2004,$Z1017-2000)=0,"",INDEX(周转筐出入库明细!$W$4:$W$2004,$Z1017-2000)),IF($Z1017&lt;=5200,IF(INDEX(客户自备加工筐明细!$L$4:$L$1203,$Z1017-4000)=0,"",INDEX(客户自备加工筐明细!$L$4:$L$1203,$Z1017-4000)),IF($Z1017&lt;=5800,IF(INDEX(次果筐明细!$P$4:$P$603,$Z1017-5200)=0,"",INDEX(次果筐明细!$P$4:$P$603,$Z1017-5200)),"")))))</f>
        <v/>
      </c>
      <c r="N1017" s="16" t="str">
        <f>IF($Z1017="","",IF($Z1017&lt;=2000,"",IF($Z1017&lt;=4000,IF(INDEX(周转筐出入库明细!$D$4:$D$2004,$Z1017-2000)=0,"",INDEX(周转筐出入库明细!$D$4:$D$2004,$Z1017-2000)),IF($Z1017&lt;=5200,IF(INDEX(客户自备加工筐明细!$C$4:$C$1203,$Z1017-4000)=0,"",INDEX(客户自备加工筐明细!$C$4:$C$1203,$Z1017-4000)),IF($Z1017&lt;=5800,IF(INDEX(次果筐明细!$D$4:$D$603,$Z1017-5200)=0,"",INDEX(次果筐明细!$D$4:$D$603,$Z1017-5200)),"")))))</f>
        <v/>
      </c>
      <c r="O1017" s="40" t="str">
        <f>IF($Z1017="","",IF($Z1017&lt;=2000,"",IF($Z1017&lt;=4000,IF(N(INDEX(周转筐出入库明细!$J$4:$J$2004,$Z1017-2000))+N(INDEX(周转筐出入库明细!$K$4:$K$2004,$Z1017-2000))=0,"",N(INDEX(周转筐出入库明细!$J$4:$J$2004,$Z1017-2000))+N(INDEX(周转筐出入库明细!$K$4:$K$2004,$Z1017-2000))),IF($Z1017&lt;=5200,IF(N(INDEX(客户自备加工筐明细!$G$4:$G$1203,$Z1017-4000))=0,"",N(INDEX(客户自备加工筐明细!$G$4:$G$1203,$Z1017-4000))),IF($Z1017&lt;=5800,IF(ISNUMBER(SEARCH("退",INDEX(次果筐明细!$F$4:$F$603,$Z1017-5200)&amp;"")),"",IF(N(INDEX(次果筐明细!$G$4:$G$603,$Z1017-5200))=0,"",N(INDEX(次果筐明细!$G$4:$G$603,$Z1017-5200)))),"")))))</f>
        <v/>
      </c>
      <c r="P1017" s="40" t="str">
        <f>IF($Z1017="","",IF($Z1017&lt;=2000,"",IF($Z1017&lt;=4000,IF(N(INDEX(周转筐出入库明细!$I$4:$I$2004,$Z1017-2000))=0,"",N(INDEX(周转筐出入库明细!$I$4:$I$2004,$Z1017-2000))),IF($Z1017&lt;=5200,"",IF($Z1017&lt;=5800,IF(ISNUMBER(SEARCH("退",INDEX(次果筐明细!$F$4:$F$603,$Z1017-5200)&amp;"")),IF(N(INDEX(次果筐明细!$G$4:$G$603,$Z1017-5200))=0,"",N(INDEX(次果筐明细!$G$4:$G$603,$Z1017-5200))),""),"")))))</f>
        <v/>
      </c>
      <c r="Q1017" s="40" t="str">
        <f>IF($Z1017="","",IF($Z1017&lt;=2000,"",IF($Z1017&lt;=4000,IF(N(INDEX(周转筐出入库明细!$H$4:$H$2004,$Z1017-2000))=0,"",N(INDEX(周转筐出入库明细!$H$4:$H$2004,$Z1017-2000))),IF($Z1017&lt;=5200,IF(N(INDEX(客户自备加工筐明细!$F$4:$F$1203,$Z1017-4000))=0,"",N(INDEX(客户自备加工筐明细!$F$4:$F$1203,$Z1017-4000))),IF($Z1017&lt;=5800,"","")))))</f>
        <v/>
      </c>
      <c r="R1017" s="16" t="str">
        <f>IF($Z1017="","",IF($Z1017&lt;=2000,IF(INDEX(包装物料出入库明细!$O$4:$O$2003,$Z1017-0)=0,"",INDEX(包装物料出入库明细!$O$4:$O$2003,$Z1017-0)),IF($Z1017&lt;=4000,IF(INDEX(周转筐出入库明细!$M$4:$M$2004,$Z1017-2000)=0,"",INDEX(周转筐出入库明细!$M$4:$M$2004,$Z1017-2000)),IF($Z1017&lt;=5200,IF(INDEX(客户自备加工筐明细!$H$4:$H$1203,$Z1017-4000)=0,"",INDEX(客户自备加工筐明细!$H$4:$H$1203,$Z1017-4000)),IF($Z1017&lt;=5800,IF(INDEX(次果筐明细!$H$4:$H$603,$Z1017-5200)=0,"",INDEX(次果筐明细!$H$4:$H$603,$Z1017-5200)),"")))))</f>
        <v/>
      </c>
      <c r="S1017" s="22" t="str">
        <f t="shared" si="47"/>
        <v/>
      </c>
      <c r="Z1017" s="10" t="str">
        <f>IFERROR(MATCH(ROW()-3,_自动清单!$CQ$4:$CQ$5803,0),"")</f>
        <v/>
      </c>
    </row>
    <row r="1018" spans="1:26">
      <c r="A1018" s="24" t="str">
        <f t="shared" si="45"/>
        <v/>
      </c>
      <c r="B1018" s="38" t="str">
        <f>IF($Z1018="","",IF($Z1018&lt;=2000,IF(INDEX(包装物料出入库明细!$B$4:$B$2003,$Z1018-0)=0,"",INDEX(包装物料出入库明细!$B$4:$B$2003,$Z1018-0)),IF($Z1018&lt;=4000,IF(INDEX(周转筐出入库明细!$B$4:$B$2004,$Z1018-2000)=0,"",INDEX(周转筐出入库明细!$B$4:$B$2004,$Z1018-2000)),IF($Z1018&lt;=5200,IF(INDEX(客户自备加工筐明细!$B$4:$B$1203,$Z1018-4000)=0,"",INDEX(客户自备加工筐明细!$B$4:$B$1203,$Z1018-4000)),IF($Z1018&lt;=5800,IF(INDEX(次果筐明细!$B$4:$B$603,$Z1018-5200)=0,"",INDEX(次果筐明细!$B$4:$B$603,$Z1018-5200)),"")))))</f>
        <v/>
      </c>
      <c r="C1018" s="37" t="str">
        <f>IF($Z1018="","",IF($Z1018&lt;=2000,IF(INDEX(包装物料出入库明细!$D$4:$D$2003,$Z1018-0)=0,"",INDEX(包装物料出入库明细!$D$4:$D$2003,$Z1018-0)),IF($Z1018&lt;=4000,IF(INDEX(周转筐出入库明细!$C$4:$C$2004,$Z1018-2000)=0,"",INDEX(周转筐出入库明细!$C$4:$C$2004,$Z1018-2000)),IF($Z1018&lt;=5200,IF(INDEX(客户自备加工筐明细!$E$4:$E$1203,$Z1018-4000)=0,"",INDEX(客户自备加工筐明细!$E$4:$E$1203,$Z1018-4000)),IF($Z1018&lt;=5800,IF(INDEX(次果筐明细!$C$4:$C$603,$Z1018-5200)=0,"",INDEX(次果筐明细!$C$4:$C$603,$Z1018-5200)),"")))))</f>
        <v/>
      </c>
      <c r="D1018" s="37" t="str">
        <f>IF($Z1018="","",IF($Z1018&lt;=2000,"包装物料－"&amp;INDEX(包装物料出入库明细!$H$4:$H$2003,$Z1018-0),IF($Z1018&lt;=4000,"周转筐－"&amp;INDEX(周转筐出入库明细!$F$4:$F$2004,$Z1018-2000),IF($Z1018&lt;=5200,"客户自备筐－"&amp;INDEX(客户自备加工筐明细!$J$4:$J$1203,$Z1018-4000),IF($Z1018&lt;=5800,"次果筐/托盘－"&amp;INDEX(次果筐明细!$F$4:$F$603,$Z1018-5200),"")))))</f>
        <v/>
      </c>
      <c r="E1018" s="24" t="str">
        <f>IF($Z1018="","",IF($Z1018&lt;=2000,IF(INDEX(包装物料出入库明细!$C$4:$C$2003,$Z1018-0)=0,"",INDEX(包装物料出入库明细!$C$4:$C$2003,$Z1018-0)),IF($Z1018&lt;=4000,IF(INDEX(周转筐出入库明细!$E$4:$E$2004,$Z1018-2000)=0,"",INDEX(周转筐出入库明细!$E$4:$E$2004,$Z1018-2000)),IF($Z1018&lt;=5200,IF(INDEX(客户自备加工筐明细!$D$4:$D$1203,$Z1018-4000)=0,"",INDEX(客户自备加工筐明细!$D$4:$D$1203,$Z1018-4000)),IF($Z1018&lt;=5800,IF(INDEX(次果筐明细!$E$4:$E$603,$Z1018-5200)=0,"",INDEX(次果筐明细!$E$4:$E$603,$Z1018-5200)),"")))))</f>
        <v/>
      </c>
      <c r="F1018" s="24" t="str">
        <f>IF($Z1018="","",IF($Z1018&lt;=2000,IF(INDEX(包装物料出入库明细!$E$4:$E$2003,$Z1018-0)=0,"",INDEX(包装物料出入库明细!$E$4:$E$2003,$Z1018-0)),IF($Z1018&lt;=4000,IF(INDEX(周转筐出入库明细!$D$4:$D$2004,$Z1018-2000)=0,"",INDEX(周转筐出入库明细!$D$4:$D$2004,$Z1018-2000)),IF($Z1018&lt;=5200,IF(INDEX(客户自备加工筐明细!$C$4:$C$1203,$Z1018-4000)=0,"",INDEX(客户自备加工筐明细!$C$4:$C$1203,$Z1018-4000)),IF($Z1018&lt;=5800,IF(INDEX(次果筐明细!$D$4:$D$603,$Z1018-5200)=0,"",INDEX(次果筐明细!$D$4:$D$603,$Z1018-5200)),"")))))</f>
        <v/>
      </c>
      <c r="G1018" s="24" t="str">
        <f>IF($Z1018="","",IF($Z1018&lt;=2000,IF(INDEX(包装物料出入库明细!$F$4:$F$2003,$Z1018-0)=0,"",INDEX(包装物料出入库明细!$F$4:$F$2003,$Z1018-0)),IF($Z1018&lt;=4000,"",IF($Z1018&lt;=5200,"",IF($Z1018&lt;=5800,"","")))))</f>
        <v/>
      </c>
      <c r="H1018" s="39" t="str">
        <f>IF($Z1018="","",IF($Z1018&lt;=2000,IF(INDEX(包装物料出入库明细!$L$4:$L$2003,$Z1018-0)=0,"",INDEX(包装物料出入库明细!$L$4:$L$2003,$Z1018-0)),IF($Z1018&lt;=4000,N(INDEX(周转筐出入库明细!$H$4:$H$2004,$Z1018-2000))+N(INDEX(周转筐出入库明细!$I$4:$I$2004,$Z1018-2000))+N(INDEX(周转筐出入库明细!$J$4:$J$2004,$Z1018-2000))+N(INDEX(周转筐出入库明细!$K$4:$K$2004,$Z1018-2000)),IF($Z1018&lt;=5200,N(INDEX(客户自备加工筐明细!$F$4:$F$1203,$Z1018-4000))+N(INDEX(客户自备加工筐明细!$G$4:$G$1203,$Z1018-4000)),IF($Z1018&lt;=5800,IF(INDEX(次果筐明细!$G$4:$G$603,$Z1018-5200)=0,"",INDEX(次果筐明细!$G$4:$G$603,$Z1018-5200)),"")))))</f>
        <v/>
      </c>
      <c r="I1018" s="24" t="str">
        <f>IF($Z1018="","",IF($Z1018&lt;=2000,IF(INDEX(包装物料出入库明细!$G$4:$G$2003,$Z1018-0)=0,"",INDEX(包装物料出入库明细!$G$4:$G$2003,$Z1018-0)),IF($Z1018&lt;=4000,"个",IF($Z1018&lt;=5200,"个",IF($Z1018&lt;=5800,"个","")))))</f>
        <v/>
      </c>
      <c r="J1018" s="30" t="str">
        <f t="shared" si="46"/>
        <v/>
      </c>
      <c r="K1018" s="30" t="str">
        <f>IF($Z1018="","",IF($Z1018&lt;=2000,IF(INDEX(包装物料出入库明细!$N$4:$N$2003,$Z1018-0)=0,"",INDEX(包装物料出入库明细!$N$4:$N$2003,$Z1018-0)),IF($Z1018&lt;=4000,IF(INDEX(周转筐出入库明细!$P$4:$P$2004,$Z1018-2000)=0,"",INDEX(周转筐出入库明细!$P$4:$P$2004,$Z1018-2000)),IF($Z1018&lt;=5200,"",IF($Z1018&lt;=5800,N(INDEX(次果筐明细!$L$4:$L$603,$Z1018-5200))+N(INDEX(次果筐明细!$J$4:$J$603,$Z1018-5200)),"")))))</f>
        <v/>
      </c>
      <c r="L1018" s="24" t="str">
        <f>IF($Z1018="","",IF($Z1018&lt;=2000,IF(INDEX(包装物料出入库明细!$P$4:$P$2003,$Z1018-0)=0,"",INDEX(包装物料出入库明细!$P$4:$P$2003,$Z1018-0)),IF($Z1018&lt;=4000,IF(INDEX(周转筐出入库明细!$Q$4:$Q$2004,$Z1018-2000)=0,"",INDEX(周转筐出入库明细!$Q$4:$Q$2004,$Z1018-2000)),IF($Z1018&lt;=5200,"",IF($Z1018&lt;=5800,IF(INDEX(次果筐明细!$M$4:$M$603,$Z1018-5200)=0,"",INDEX(次果筐明细!$M$4:$M$603,$Z1018-5200)),"")))))</f>
        <v/>
      </c>
      <c r="M1018" s="37" t="str">
        <f>IF($Z1018="","",IF($Z1018&lt;=2000,IF(INDEX(包装物料出入库明细!$R$4:$R$2003,$Z1018-0)=0,"",INDEX(包装物料出入库明细!$R$4:$R$2003,$Z1018-0)),IF($Z1018&lt;=4000,IF(INDEX(周转筐出入库明细!$W$4:$W$2004,$Z1018-2000)=0,"",INDEX(周转筐出入库明细!$W$4:$W$2004,$Z1018-2000)),IF($Z1018&lt;=5200,IF(INDEX(客户自备加工筐明细!$L$4:$L$1203,$Z1018-4000)=0,"",INDEX(客户自备加工筐明细!$L$4:$L$1203,$Z1018-4000)),IF($Z1018&lt;=5800,IF(INDEX(次果筐明细!$P$4:$P$603,$Z1018-5200)=0,"",INDEX(次果筐明细!$P$4:$P$603,$Z1018-5200)),"")))))</f>
        <v/>
      </c>
      <c r="N1018" s="16" t="str">
        <f>IF($Z1018="","",IF($Z1018&lt;=2000,"",IF($Z1018&lt;=4000,IF(INDEX(周转筐出入库明细!$D$4:$D$2004,$Z1018-2000)=0,"",INDEX(周转筐出入库明细!$D$4:$D$2004,$Z1018-2000)),IF($Z1018&lt;=5200,IF(INDEX(客户自备加工筐明细!$C$4:$C$1203,$Z1018-4000)=0,"",INDEX(客户自备加工筐明细!$C$4:$C$1203,$Z1018-4000)),IF($Z1018&lt;=5800,IF(INDEX(次果筐明细!$D$4:$D$603,$Z1018-5200)=0,"",INDEX(次果筐明细!$D$4:$D$603,$Z1018-5200)),"")))))</f>
        <v/>
      </c>
      <c r="O1018" s="40" t="str">
        <f>IF($Z1018="","",IF($Z1018&lt;=2000,"",IF($Z1018&lt;=4000,IF(N(INDEX(周转筐出入库明细!$J$4:$J$2004,$Z1018-2000))+N(INDEX(周转筐出入库明细!$K$4:$K$2004,$Z1018-2000))=0,"",N(INDEX(周转筐出入库明细!$J$4:$J$2004,$Z1018-2000))+N(INDEX(周转筐出入库明细!$K$4:$K$2004,$Z1018-2000))),IF($Z1018&lt;=5200,IF(N(INDEX(客户自备加工筐明细!$G$4:$G$1203,$Z1018-4000))=0,"",N(INDEX(客户自备加工筐明细!$G$4:$G$1203,$Z1018-4000))),IF($Z1018&lt;=5800,IF(ISNUMBER(SEARCH("退",INDEX(次果筐明细!$F$4:$F$603,$Z1018-5200)&amp;"")),"",IF(N(INDEX(次果筐明细!$G$4:$G$603,$Z1018-5200))=0,"",N(INDEX(次果筐明细!$G$4:$G$603,$Z1018-5200)))),"")))))</f>
        <v/>
      </c>
      <c r="P1018" s="40" t="str">
        <f>IF($Z1018="","",IF($Z1018&lt;=2000,"",IF($Z1018&lt;=4000,IF(N(INDEX(周转筐出入库明细!$I$4:$I$2004,$Z1018-2000))=0,"",N(INDEX(周转筐出入库明细!$I$4:$I$2004,$Z1018-2000))),IF($Z1018&lt;=5200,"",IF($Z1018&lt;=5800,IF(ISNUMBER(SEARCH("退",INDEX(次果筐明细!$F$4:$F$603,$Z1018-5200)&amp;"")),IF(N(INDEX(次果筐明细!$G$4:$G$603,$Z1018-5200))=0,"",N(INDEX(次果筐明细!$G$4:$G$603,$Z1018-5200))),""),"")))))</f>
        <v/>
      </c>
      <c r="Q1018" s="40" t="str">
        <f>IF($Z1018="","",IF($Z1018&lt;=2000,"",IF($Z1018&lt;=4000,IF(N(INDEX(周转筐出入库明细!$H$4:$H$2004,$Z1018-2000))=0,"",N(INDEX(周转筐出入库明细!$H$4:$H$2004,$Z1018-2000))),IF($Z1018&lt;=5200,IF(N(INDEX(客户自备加工筐明细!$F$4:$F$1203,$Z1018-4000))=0,"",N(INDEX(客户自备加工筐明细!$F$4:$F$1203,$Z1018-4000))),IF($Z1018&lt;=5800,"","")))))</f>
        <v/>
      </c>
      <c r="R1018" s="16" t="str">
        <f>IF($Z1018="","",IF($Z1018&lt;=2000,IF(INDEX(包装物料出入库明细!$O$4:$O$2003,$Z1018-0)=0,"",INDEX(包装物料出入库明细!$O$4:$O$2003,$Z1018-0)),IF($Z1018&lt;=4000,IF(INDEX(周转筐出入库明细!$M$4:$M$2004,$Z1018-2000)=0,"",INDEX(周转筐出入库明细!$M$4:$M$2004,$Z1018-2000)),IF($Z1018&lt;=5200,IF(INDEX(客户自备加工筐明细!$H$4:$H$1203,$Z1018-4000)=0,"",INDEX(客户自备加工筐明细!$H$4:$H$1203,$Z1018-4000)),IF($Z1018&lt;=5800,IF(INDEX(次果筐明细!$H$4:$H$603,$Z1018-5200)=0,"",INDEX(次果筐明细!$H$4:$H$603,$Z1018-5200)),"")))))</f>
        <v/>
      </c>
      <c r="S1018" s="22" t="str">
        <f t="shared" si="47"/>
        <v/>
      </c>
      <c r="Z1018" s="10" t="str">
        <f>IFERROR(MATCH(ROW()-3,_自动清单!$CQ$4:$CQ$5803,0),"")</f>
        <v/>
      </c>
    </row>
    <row r="1019" spans="1:26">
      <c r="A1019" s="24" t="str">
        <f t="shared" si="45"/>
        <v/>
      </c>
      <c r="B1019" s="38" t="str">
        <f>IF($Z1019="","",IF($Z1019&lt;=2000,IF(INDEX(包装物料出入库明细!$B$4:$B$2003,$Z1019-0)=0,"",INDEX(包装物料出入库明细!$B$4:$B$2003,$Z1019-0)),IF($Z1019&lt;=4000,IF(INDEX(周转筐出入库明细!$B$4:$B$2004,$Z1019-2000)=0,"",INDEX(周转筐出入库明细!$B$4:$B$2004,$Z1019-2000)),IF($Z1019&lt;=5200,IF(INDEX(客户自备加工筐明细!$B$4:$B$1203,$Z1019-4000)=0,"",INDEX(客户自备加工筐明细!$B$4:$B$1203,$Z1019-4000)),IF($Z1019&lt;=5800,IF(INDEX(次果筐明细!$B$4:$B$603,$Z1019-5200)=0,"",INDEX(次果筐明细!$B$4:$B$603,$Z1019-5200)),"")))))</f>
        <v/>
      </c>
      <c r="C1019" s="37" t="str">
        <f>IF($Z1019="","",IF($Z1019&lt;=2000,IF(INDEX(包装物料出入库明细!$D$4:$D$2003,$Z1019-0)=0,"",INDEX(包装物料出入库明细!$D$4:$D$2003,$Z1019-0)),IF($Z1019&lt;=4000,IF(INDEX(周转筐出入库明细!$C$4:$C$2004,$Z1019-2000)=0,"",INDEX(周转筐出入库明细!$C$4:$C$2004,$Z1019-2000)),IF($Z1019&lt;=5200,IF(INDEX(客户自备加工筐明细!$E$4:$E$1203,$Z1019-4000)=0,"",INDEX(客户自备加工筐明细!$E$4:$E$1203,$Z1019-4000)),IF($Z1019&lt;=5800,IF(INDEX(次果筐明细!$C$4:$C$603,$Z1019-5200)=0,"",INDEX(次果筐明细!$C$4:$C$603,$Z1019-5200)),"")))))</f>
        <v/>
      </c>
      <c r="D1019" s="37" t="str">
        <f>IF($Z1019="","",IF($Z1019&lt;=2000,"包装物料－"&amp;INDEX(包装物料出入库明细!$H$4:$H$2003,$Z1019-0),IF($Z1019&lt;=4000,"周转筐－"&amp;INDEX(周转筐出入库明细!$F$4:$F$2004,$Z1019-2000),IF($Z1019&lt;=5200,"客户自备筐－"&amp;INDEX(客户自备加工筐明细!$J$4:$J$1203,$Z1019-4000),IF($Z1019&lt;=5800,"次果筐/托盘－"&amp;INDEX(次果筐明细!$F$4:$F$603,$Z1019-5200),"")))))</f>
        <v/>
      </c>
      <c r="E1019" s="24" t="str">
        <f>IF($Z1019="","",IF($Z1019&lt;=2000,IF(INDEX(包装物料出入库明细!$C$4:$C$2003,$Z1019-0)=0,"",INDEX(包装物料出入库明细!$C$4:$C$2003,$Z1019-0)),IF($Z1019&lt;=4000,IF(INDEX(周转筐出入库明细!$E$4:$E$2004,$Z1019-2000)=0,"",INDEX(周转筐出入库明细!$E$4:$E$2004,$Z1019-2000)),IF($Z1019&lt;=5200,IF(INDEX(客户自备加工筐明细!$D$4:$D$1203,$Z1019-4000)=0,"",INDEX(客户自备加工筐明细!$D$4:$D$1203,$Z1019-4000)),IF($Z1019&lt;=5800,IF(INDEX(次果筐明细!$E$4:$E$603,$Z1019-5200)=0,"",INDEX(次果筐明细!$E$4:$E$603,$Z1019-5200)),"")))))</f>
        <v/>
      </c>
      <c r="F1019" s="24" t="str">
        <f>IF($Z1019="","",IF($Z1019&lt;=2000,IF(INDEX(包装物料出入库明细!$E$4:$E$2003,$Z1019-0)=0,"",INDEX(包装物料出入库明细!$E$4:$E$2003,$Z1019-0)),IF($Z1019&lt;=4000,IF(INDEX(周转筐出入库明细!$D$4:$D$2004,$Z1019-2000)=0,"",INDEX(周转筐出入库明细!$D$4:$D$2004,$Z1019-2000)),IF($Z1019&lt;=5200,IF(INDEX(客户自备加工筐明细!$C$4:$C$1203,$Z1019-4000)=0,"",INDEX(客户自备加工筐明细!$C$4:$C$1203,$Z1019-4000)),IF($Z1019&lt;=5800,IF(INDEX(次果筐明细!$D$4:$D$603,$Z1019-5200)=0,"",INDEX(次果筐明细!$D$4:$D$603,$Z1019-5200)),"")))))</f>
        <v/>
      </c>
      <c r="G1019" s="24" t="str">
        <f>IF($Z1019="","",IF($Z1019&lt;=2000,IF(INDEX(包装物料出入库明细!$F$4:$F$2003,$Z1019-0)=0,"",INDEX(包装物料出入库明细!$F$4:$F$2003,$Z1019-0)),IF($Z1019&lt;=4000,"",IF($Z1019&lt;=5200,"",IF($Z1019&lt;=5800,"","")))))</f>
        <v/>
      </c>
      <c r="H1019" s="39" t="str">
        <f>IF($Z1019="","",IF($Z1019&lt;=2000,IF(INDEX(包装物料出入库明细!$L$4:$L$2003,$Z1019-0)=0,"",INDEX(包装物料出入库明细!$L$4:$L$2003,$Z1019-0)),IF($Z1019&lt;=4000,N(INDEX(周转筐出入库明细!$H$4:$H$2004,$Z1019-2000))+N(INDEX(周转筐出入库明细!$I$4:$I$2004,$Z1019-2000))+N(INDEX(周转筐出入库明细!$J$4:$J$2004,$Z1019-2000))+N(INDEX(周转筐出入库明细!$K$4:$K$2004,$Z1019-2000)),IF($Z1019&lt;=5200,N(INDEX(客户自备加工筐明细!$F$4:$F$1203,$Z1019-4000))+N(INDEX(客户自备加工筐明细!$G$4:$G$1203,$Z1019-4000)),IF($Z1019&lt;=5800,IF(INDEX(次果筐明细!$G$4:$G$603,$Z1019-5200)=0,"",INDEX(次果筐明细!$G$4:$G$603,$Z1019-5200)),"")))))</f>
        <v/>
      </c>
      <c r="I1019" s="24" t="str">
        <f>IF($Z1019="","",IF($Z1019&lt;=2000,IF(INDEX(包装物料出入库明细!$G$4:$G$2003,$Z1019-0)=0,"",INDEX(包装物料出入库明细!$G$4:$G$2003,$Z1019-0)),IF($Z1019&lt;=4000,"个",IF($Z1019&lt;=5200,"个",IF($Z1019&lt;=5800,"个","")))))</f>
        <v/>
      </c>
      <c r="J1019" s="30" t="str">
        <f t="shared" si="46"/>
        <v/>
      </c>
      <c r="K1019" s="30" t="str">
        <f>IF($Z1019="","",IF($Z1019&lt;=2000,IF(INDEX(包装物料出入库明细!$N$4:$N$2003,$Z1019-0)=0,"",INDEX(包装物料出入库明细!$N$4:$N$2003,$Z1019-0)),IF($Z1019&lt;=4000,IF(INDEX(周转筐出入库明细!$P$4:$P$2004,$Z1019-2000)=0,"",INDEX(周转筐出入库明细!$P$4:$P$2004,$Z1019-2000)),IF($Z1019&lt;=5200,"",IF($Z1019&lt;=5800,N(INDEX(次果筐明细!$L$4:$L$603,$Z1019-5200))+N(INDEX(次果筐明细!$J$4:$J$603,$Z1019-5200)),"")))))</f>
        <v/>
      </c>
      <c r="L1019" s="24" t="str">
        <f>IF($Z1019="","",IF($Z1019&lt;=2000,IF(INDEX(包装物料出入库明细!$P$4:$P$2003,$Z1019-0)=0,"",INDEX(包装物料出入库明细!$P$4:$P$2003,$Z1019-0)),IF($Z1019&lt;=4000,IF(INDEX(周转筐出入库明细!$Q$4:$Q$2004,$Z1019-2000)=0,"",INDEX(周转筐出入库明细!$Q$4:$Q$2004,$Z1019-2000)),IF($Z1019&lt;=5200,"",IF($Z1019&lt;=5800,IF(INDEX(次果筐明细!$M$4:$M$603,$Z1019-5200)=0,"",INDEX(次果筐明细!$M$4:$M$603,$Z1019-5200)),"")))))</f>
        <v/>
      </c>
      <c r="M1019" s="37" t="str">
        <f>IF($Z1019="","",IF($Z1019&lt;=2000,IF(INDEX(包装物料出入库明细!$R$4:$R$2003,$Z1019-0)=0,"",INDEX(包装物料出入库明细!$R$4:$R$2003,$Z1019-0)),IF($Z1019&lt;=4000,IF(INDEX(周转筐出入库明细!$W$4:$W$2004,$Z1019-2000)=0,"",INDEX(周转筐出入库明细!$W$4:$W$2004,$Z1019-2000)),IF($Z1019&lt;=5200,IF(INDEX(客户自备加工筐明细!$L$4:$L$1203,$Z1019-4000)=0,"",INDEX(客户自备加工筐明细!$L$4:$L$1203,$Z1019-4000)),IF($Z1019&lt;=5800,IF(INDEX(次果筐明细!$P$4:$P$603,$Z1019-5200)=0,"",INDEX(次果筐明细!$P$4:$P$603,$Z1019-5200)),"")))))</f>
        <v/>
      </c>
      <c r="N1019" s="16" t="str">
        <f>IF($Z1019="","",IF($Z1019&lt;=2000,"",IF($Z1019&lt;=4000,IF(INDEX(周转筐出入库明细!$D$4:$D$2004,$Z1019-2000)=0,"",INDEX(周转筐出入库明细!$D$4:$D$2004,$Z1019-2000)),IF($Z1019&lt;=5200,IF(INDEX(客户自备加工筐明细!$C$4:$C$1203,$Z1019-4000)=0,"",INDEX(客户自备加工筐明细!$C$4:$C$1203,$Z1019-4000)),IF($Z1019&lt;=5800,IF(INDEX(次果筐明细!$D$4:$D$603,$Z1019-5200)=0,"",INDEX(次果筐明细!$D$4:$D$603,$Z1019-5200)),"")))))</f>
        <v/>
      </c>
      <c r="O1019" s="40" t="str">
        <f>IF($Z1019="","",IF($Z1019&lt;=2000,"",IF($Z1019&lt;=4000,IF(N(INDEX(周转筐出入库明细!$J$4:$J$2004,$Z1019-2000))+N(INDEX(周转筐出入库明细!$K$4:$K$2004,$Z1019-2000))=0,"",N(INDEX(周转筐出入库明细!$J$4:$J$2004,$Z1019-2000))+N(INDEX(周转筐出入库明细!$K$4:$K$2004,$Z1019-2000))),IF($Z1019&lt;=5200,IF(N(INDEX(客户自备加工筐明细!$G$4:$G$1203,$Z1019-4000))=0,"",N(INDEX(客户自备加工筐明细!$G$4:$G$1203,$Z1019-4000))),IF($Z1019&lt;=5800,IF(ISNUMBER(SEARCH("退",INDEX(次果筐明细!$F$4:$F$603,$Z1019-5200)&amp;"")),"",IF(N(INDEX(次果筐明细!$G$4:$G$603,$Z1019-5200))=0,"",N(INDEX(次果筐明细!$G$4:$G$603,$Z1019-5200)))),"")))))</f>
        <v/>
      </c>
      <c r="P1019" s="40" t="str">
        <f>IF($Z1019="","",IF($Z1019&lt;=2000,"",IF($Z1019&lt;=4000,IF(N(INDEX(周转筐出入库明细!$I$4:$I$2004,$Z1019-2000))=0,"",N(INDEX(周转筐出入库明细!$I$4:$I$2004,$Z1019-2000))),IF($Z1019&lt;=5200,"",IF($Z1019&lt;=5800,IF(ISNUMBER(SEARCH("退",INDEX(次果筐明细!$F$4:$F$603,$Z1019-5200)&amp;"")),IF(N(INDEX(次果筐明细!$G$4:$G$603,$Z1019-5200))=0,"",N(INDEX(次果筐明细!$G$4:$G$603,$Z1019-5200))),""),"")))))</f>
        <v/>
      </c>
      <c r="Q1019" s="40" t="str">
        <f>IF($Z1019="","",IF($Z1019&lt;=2000,"",IF($Z1019&lt;=4000,IF(N(INDEX(周转筐出入库明细!$H$4:$H$2004,$Z1019-2000))=0,"",N(INDEX(周转筐出入库明细!$H$4:$H$2004,$Z1019-2000))),IF($Z1019&lt;=5200,IF(N(INDEX(客户自备加工筐明细!$F$4:$F$1203,$Z1019-4000))=0,"",N(INDEX(客户自备加工筐明细!$F$4:$F$1203,$Z1019-4000))),IF($Z1019&lt;=5800,"","")))))</f>
        <v/>
      </c>
      <c r="R1019" s="16" t="str">
        <f>IF($Z1019="","",IF($Z1019&lt;=2000,IF(INDEX(包装物料出入库明细!$O$4:$O$2003,$Z1019-0)=0,"",INDEX(包装物料出入库明细!$O$4:$O$2003,$Z1019-0)),IF($Z1019&lt;=4000,IF(INDEX(周转筐出入库明细!$M$4:$M$2004,$Z1019-2000)=0,"",INDEX(周转筐出入库明细!$M$4:$M$2004,$Z1019-2000)),IF($Z1019&lt;=5200,IF(INDEX(客户自备加工筐明细!$H$4:$H$1203,$Z1019-4000)=0,"",INDEX(客户自备加工筐明细!$H$4:$H$1203,$Z1019-4000)),IF($Z1019&lt;=5800,IF(INDEX(次果筐明细!$H$4:$H$603,$Z1019-5200)=0,"",INDEX(次果筐明细!$H$4:$H$603,$Z1019-5200)),"")))))</f>
        <v/>
      </c>
      <c r="S1019" s="22" t="str">
        <f t="shared" si="47"/>
        <v/>
      </c>
      <c r="Z1019" s="10" t="str">
        <f>IFERROR(MATCH(ROW()-3,_自动清单!$CQ$4:$CQ$5803,0),"")</f>
        <v/>
      </c>
    </row>
    <row r="1020" spans="1:26">
      <c r="A1020" s="24" t="str">
        <f t="shared" si="45"/>
        <v/>
      </c>
      <c r="B1020" s="38" t="str">
        <f>IF($Z1020="","",IF($Z1020&lt;=2000,IF(INDEX(包装物料出入库明细!$B$4:$B$2003,$Z1020-0)=0,"",INDEX(包装物料出入库明细!$B$4:$B$2003,$Z1020-0)),IF($Z1020&lt;=4000,IF(INDEX(周转筐出入库明细!$B$4:$B$2004,$Z1020-2000)=0,"",INDEX(周转筐出入库明细!$B$4:$B$2004,$Z1020-2000)),IF($Z1020&lt;=5200,IF(INDEX(客户自备加工筐明细!$B$4:$B$1203,$Z1020-4000)=0,"",INDEX(客户自备加工筐明细!$B$4:$B$1203,$Z1020-4000)),IF($Z1020&lt;=5800,IF(INDEX(次果筐明细!$B$4:$B$603,$Z1020-5200)=0,"",INDEX(次果筐明细!$B$4:$B$603,$Z1020-5200)),"")))))</f>
        <v/>
      </c>
      <c r="C1020" s="37" t="str">
        <f>IF($Z1020="","",IF($Z1020&lt;=2000,IF(INDEX(包装物料出入库明细!$D$4:$D$2003,$Z1020-0)=0,"",INDEX(包装物料出入库明细!$D$4:$D$2003,$Z1020-0)),IF($Z1020&lt;=4000,IF(INDEX(周转筐出入库明细!$C$4:$C$2004,$Z1020-2000)=0,"",INDEX(周转筐出入库明细!$C$4:$C$2004,$Z1020-2000)),IF($Z1020&lt;=5200,IF(INDEX(客户自备加工筐明细!$E$4:$E$1203,$Z1020-4000)=0,"",INDEX(客户自备加工筐明细!$E$4:$E$1203,$Z1020-4000)),IF($Z1020&lt;=5800,IF(INDEX(次果筐明细!$C$4:$C$603,$Z1020-5200)=0,"",INDEX(次果筐明细!$C$4:$C$603,$Z1020-5200)),"")))))</f>
        <v/>
      </c>
      <c r="D1020" s="37" t="str">
        <f>IF($Z1020="","",IF($Z1020&lt;=2000,"包装物料－"&amp;INDEX(包装物料出入库明细!$H$4:$H$2003,$Z1020-0),IF($Z1020&lt;=4000,"周转筐－"&amp;INDEX(周转筐出入库明细!$F$4:$F$2004,$Z1020-2000),IF($Z1020&lt;=5200,"客户自备筐－"&amp;INDEX(客户自备加工筐明细!$J$4:$J$1203,$Z1020-4000),IF($Z1020&lt;=5800,"次果筐/托盘－"&amp;INDEX(次果筐明细!$F$4:$F$603,$Z1020-5200),"")))))</f>
        <v/>
      </c>
      <c r="E1020" s="24" t="str">
        <f>IF($Z1020="","",IF($Z1020&lt;=2000,IF(INDEX(包装物料出入库明细!$C$4:$C$2003,$Z1020-0)=0,"",INDEX(包装物料出入库明细!$C$4:$C$2003,$Z1020-0)),IF($Z1020&lt;=4000,IF(INDEX(周转筐出入库明细!$E$4:$E$2004,$Z1020-2000)=0,"",INDEX(周转筐出入库明细!$E$4:$E$2004,$Z1020-2000)),IF($Z1020&lt;=5200,IF(INDEX(客户自备加工筐明细!$D$4:$D$1203,$Z1020-4000)=0,"",INDEX(客户自备加工筐明细!$D$4:$D$1203,$Z1020-4000)),IF($Z1020&lt;=5800,IF(INDEX(次果筐明细!$E$4:$E$603,$Z1020-5200)=0,"",INDEX(次果筐明细!$E$4:$E$603,$Z1020-5200)),"")))))</f>
        <v/>
      </c>
      <c r="F1020" s="24" t="str">
        <f>IF($Z1020="","",IF($Z1020&lt;=2000,IF(INDEX(包装物料出入库明细!$E$4:$E$2003,$Z1020-0)=0,"",INDEX(包装物料出入库明细!$E$4:$E$2003,$Z1020-0)),IF($Z1020&lt;=4000,IF(INDEX(周转筐出入库明细!$D$4:$D$2004,$Z1020-2000)=0,"",INDEX(周转筐出入库明细!$D$4:$D$2004,$Z1020-2000)),IF($Z1020&lt;=5200,IF(INDEX(客户自备加工筐明细!$C$4:$C$1203,$Z1020-4000)=0,"",INDEX(客户自备加工筐明细!$C$4:$C$1203,$Z1020-4000)),IF($Z1020&lt;=5800,IF(INDEX(次果筐明细!$D$4:$D$603,$Z1020-5200)=0,"",INDEX(次果筐明细!$D$4:$D$603,$Z1020-5200)),"")))))</f>
        <v/>
      </c>
      <c r="G1020" s="24" t="str">
        <f>IF($Z1020="","",IF($Z1020&lt;=2000,IF(INDEX(包装物料出入库明细!$F$4:$F$2003,$Z1020-0)=0,"",INDEX(包装物料出入库明细!$F$4:$F$2003,$Z1020-0)),IF($Z1020&lt;=4000,"",IF($Z1020&lt;=5200,"",IF($Z1020&lt;=5800,"","")))))</f>
        <v/>
      </c>
      <c r="H1020" s="39" t="str">
        <f>IF($Z1020="","",IF($Z1020&lt;=2000,IF(INDEX(包装物料出入库明细!$L$4:$L$2003,$Z1020-0)=0,"",INDEX(包装物料出入库明细!$L$4:$L$2003,$Z1020-0)),IF($Z1020&lt;=4000,N(INDEX(周转筐出入库明细!$H$4:$H$2004,$Z1020-2000))+N(INDEX(周转筐出入库明细!$I$4:$I$2004,$Z1020-2000))+N(INDEX(周转筐出入库明细!$J$4:$J$2004,$Z1020-2000))+N(INDEX(周转筐出入库明细!$K$4:$K$2004,$Z1020-2000)),IF($Z1020&lt;=5200,N(INDEX(客户自备加工筐明细!$F$4:$F$1203,$Z1020-4000))+N(INDEX(客户自备加工筐明细!$G$4:$G$1203,$Z1020-4000)),IF($Z1020&lt;=5800,IF(INDEX(次果筐明细!$G$4:$G$603,$Z1020-5200)=0,"",INDEX(次果筐明细!$G$4:$G$603,$Z1020-5200)),"")))))</f>
        <v/>
      </c>
      <c r="I1020" s="24" t="str">
        <f>IF($Z1020="","",IF($Z1020&lt;=2000,IF(INDEX(包装物料出入库明细!$G$4:$G$2003,$Z1020-0)=0,"",INDEX(包装物料出入库明细!$G$4:$G$2003,$Z1020-0)),IF($Z1020&lt;=4000,"个",IF($Z1020&lt;=5200,"个",IF($Z1020&lt;=5800,"个","")))))</f>
        <v/>
      </c>
      <c r="J1020" s="30" t="str">
        <f t="shared" si="46"/>
        <v/>
      </c>
      <c r="K1020" s="30" t="str">
        <f>IF($Z1020="","",IF($Z1020&lt;=2000,IF(INDEX(包装物料出入库明细!$N$4:$N$2003,$Z1020-0)=0,"",INDEX(包装物料出入库明细!$N$4:$N$2003,$Z1020-0)),IF($Z1020&lt;=4000,IF(INDEX(周转筐出入库明细!$P$4:$P$2004,$Z1020-2000)=0,"",INDEX(周转筐出入库明细!$P$4:$P$2004,$Z1020-2000)),IF($Z1020&lt;=5200,"",IF($Z1020&lt;=5800,N(INDEX(次果筐明细!$L$4:$L$603,$Z1020-5200))+N(INDEX(次果筐明细!$J$4:$J$603,$Z1020-5200)),"")))))</f>
        <v/>
      </c>
      <c r="L1020" s="24" t="str">
        <f>IF($Z1020="","",IF($Z1020&lt;=2000,IF(INDEX(包装物料出入库明细!$P$4:$P$2003,$Z1020-0)=0,"",INDEX(包装物料出入库明细!$P$4:$P$2003,$Z1020-0)),IF($Z1020&lt;=4000,IF(INDEX(周转筐出入库明细!$Q$4:$Q$2004,$Z1020-2000)=0,"",INDEX(周转筐出入库明细!$Q$4:$Q$2004,$Z1020-2000)),IF($Z1020&lt;=5200,"",IF($Z1020&lt;=5800,IF(INDEX(次果筐明细!$M$4:$M$603,$Z1020-5200)=0,"",INDEX(次果筐明细!$M$4:$M$603,$Z1020-5200)),"")))))</f>
        <v/>
      </c>
      <c r="M1020" s="37" t="str">
        <f>IF($Z1020="","",IF($Z1020&lt;=2000,IF(INDEX(包装物料出入库明细!$R$4:$R$2003,$Z1020-0)=0,"",INDEX(包装物料出入库明细!$R$4:$R$2003,$Z1020-0)),IF($Z1020&lt;=4000,IF(INDEX(周转筐出入库明细!$W$4:$W$2004,$Z1020-2000)=0,"",INDEX(周转筐出入库明细!$W$4:$W$2004,$Z1020-2000)),IF($Z1020&lt;=5200,IF(INDEX(客户自备加工筐明细!$L$4:$L$1203,$Z1020-4000)=0,"",INDEX(客户自备加工筐明细!$L$4:$L$1203,$Z1020-4000)),IF($Z1020&lt;=5800,IF(INDEX(次果筐明细!$P$4:$P$603,$Z1020-5200)=0,"",INDEX(次果筐明细!$P$4:$P$603,$Z1020-5200)),"")))))</f>
        <v/>
      </c>
      <c r="N1020" s="16" t="str">
        <f>IF($Z1020="","",IF($Z1020&lt;=2000,"",IF($Z1020&lt;=4000,IF(INDEX(周转筐出入库明细!$D$4:$D$2004,$Z1020-2000)=0,"",INDEX(周转筐出入库明细!$D$4:$D$2004,$Z1020-2000)),IF($Z1020&lt;=5200,IF(INDEX(客户自备加工筐明细!$C$4:$C$1203,$Z1020-4000)=0,"",INDEX(客户自备加工筐明细!$C$4:$C$1203,$Z1020-4000)),IF($Z1020&lt;=5800,IF(INDEX(次果筐明细!$D$4:$D$603,$Z1020-5200)=0,"",INDEX(次果筐明细!$D$4:$D$603,$Z1020-5200)),"")))))</f>
        <v/>
      </c>
      <c r="O1020" s="40" t="str">
        <f>IF($Z1020="","",IF($Z1020&lt;=2000,"",IF($Z1020&lt;=4000,IF(N(INDEX(周转筐出入库明细!$J$4:$J$2004,$Z1020-2000))+N(INDEX(周转筐出入库明细!$K$4:$K$2004,$Z1020-2000))=0,"",N(INDEX(周转筐出入库明细!$J$4:$J$2004,$Z1020-2000))+N(INDEX(周转筐出入库明细!$K$4:$K$2004,$Z1020-2000))),IF($Z1020&lt;=5200,IF(N(INDEX(客户自备加工筐明细!$G$4:$G$1203,$Z1020-4000))=0,"",N(INDEX(客户自备加工筐明细!$G$4:$G$1203,$Z1020-4000))),IF($Z1020&lt;=5800,IF(ISNUMBER(SEARCH("退",INDEX(次果筐明细!$F$4:$F$603,$Z1020-5200)&amp;"")),"",IF(N(INDEX(次果筐明细!$G$4:$G$603,$Z1020-5200))=0,"",N(INDEX(次果筐明细!$G$4:$G$603,$Z1020-5200)))),"")))))</f>
        <v/>
      </c>
      <c r="P1020" s="40" t="str">
        <f>IF($Z1020="","",IF($Z1020&lt;=2000,"",IF($Z1020&lt;=4000,IF(N(INDEX(周转筐出入库明细!$I$4:$I$2004,$Z1020-2000))=0,"",N(INDEX(周转筐出入库明细!$I$4:$I$2004,$Z1020-2000))),IF($Z1020&lt;=5200,"",IF($Z1020&lt;=5800,IF(ISNUMBER(SEARCH("退",INDEX(次果筐明细!$F$4:$F$603,$Z1020-5200)&amp;"")),IF(N(INDEX(次果筐明细!$G$4:$G$603,$Z1020-5200))=0,"",N(INDEX(次果筐明细!$G$4:$G$603,$Z1020-5200))),""),"")))))</f>
        <v/>
      </c>
      <c r="Q1020" s="40" t="str">
        <f>IF($Z1020="","",IF($Z1020&lt;=2000,"",IF($Z1020&lt;=4000,IF(N(INDEX(周转筐出入库明细!$H$4:$H$2004,$Z1020-2000))=0,"",N(INDEX(周转筐出入库明细!$H$4:$H$2004,$Z1020-2000))),IF($Z1020&lt;=5200,IF(N(INDEX(客户自备加工筐明细!$F$4:$F$1203,$Z1020-4000))=0,"",N(INDEX(客户自备加工筐明细!$F$4:$F$1203,$Z1020-4000))),IF($Z1020&lt;=5800,"","")))))</f>
        <v/>
      </c>
      <c r="R1020" s="16" t="str">
        <f>IF($Z1020="","",IF($Z1020&lt;=2000,IF(INDEX(包装物料出入库明细!$O$4:$O$2003,$Z1020-0)=0,"",INDEX(包装物料出入库明细!$O$4:$O$2003,$Z1020-0)),IF($Z1020&lt;=4000,IF(INDEX(周转筐出入库明细!$M$4:$M$2004,$Z1020-2000)=0,"",INDEX(周转筐出入库明细!$M$4:$M$2004,$Z1020-2000)),IF($Z1020&lt;=5200,IF(INDEX(客户自备加工筐明细!$H$4:$H$1203,$Z1020-4000)=0,"",INDEX(客户自备加工筐明细!$H$4:$H$1203,$Z1020-4000)),IF($Z1020&lt;=5800,IF(INDEX(次果筐明细!$H$4:$H$603,$Z1020-5200)=0,"",INDEX(次果筐明细!$H$4:$H$603,$Z1020-5200)),"")))))</f>
        <v/>
      </c>
      <c r="S1020" s="22" t="str">
        <f t="shared" si="47"/>
        <v/>
      </c>
      <c r="Z1020" s="10" t="str">
        <f>IFERROR(MATCH(ROW()-3,_自动清单!$CQ$4:$CQ$5803,0),"")</f>
        <v/>
      </c>
    </row>
    <row r="1021" spans="1:26">
      <c r="A1021" s="24" t="str">
        <f t="shared" si="45"/>
        <v/>
      </c>
      <c r="B1021" s="38" t="str">
        <f>IF($Z1021="","",IF($Z1021&lt;=2000,IF(INDEX(包装物料出入库明细!$B$4:$B$2003,$Z1021-0)=0,"",INDEX(包装物料出入库明细!$B$4:$B$2003,$Z1021-0)),IF($Z1021&lt;=4000,IF(INDEX(周转筐出入库明细!$B$4:$B$2004,$Z1021-2000)=0,"",INDEX(周转筐出入库明细!$B$4:$B$2004,$Z1021-2000)),IF($Z1021&lt;=5200,IF(INDEX(客户自备加工筐明细!$B$4:$B$1203,$Z1021-4000)=0,"",INDEX(客户自备加工筐明细!$B$4:$B$1203,$Z1021-4000)),IF($Z1021&lt;=5800,IF(INDEX(次果筐明细!$B$4:$B$603,$Z1021-5200)=0,"",INDEX(次果筐明细!$B$4:$B$603,$Z1021-5200)),"")))))</f>
        <v/>
      </c>
      <c r="C1021" s="37" t="str">
        <f>IF($Z1021="","",IF($Z1021&lt;=2000,IF(INDEX(包装物料出入库明细!$D$4:$D$2003,$Z1021-0)=0,"",INDEX(包装物料出入库明细!$D$4:$D$2003,$Z1021-0)),IF($Z1021&lt;=4000,IF(INDEX(周转筐出入库明细!$C$4:$C$2004,$Z1021-2000)=0,"",INDEX(周转筐出入库明细!$C$4:$C$2004,$Z1021-2000)),IF($Z1021&lt;=5200,IF(INDEX(客户自备加工筐明细!$E$4:$E$1203,$Z1021-4000)=0,"",INDEX(客户自备加工筐明细!$E$4:$E$1203,$Z1021-4000)),IF($Z1021&lt;=5800,IF(INDEX(次果筐明细!$C$4:$C$603,$Z1021-5200)=0,"",INDEX(次果筐明细!$C$4:$C$603,$Z1021-5200)),"")))))</f>
        <v/>
      </c>
      <c r="D1021" s="37" t="str">
        <f>IF($Z1021="","",IF($Z1021&lt;=2000,"包装物料－"&amp;INDEX(包装物料出入库明细!$H$4:$H$2003,$Z1021-0),IF($Z1021&lt;=4000,"周转筐－"&amp;INDEX(周转筐出入库明细!$F$4:$F$2004,$Z1021-2000),IF($Z1021&lt;=5200,"客户自备筐－"&amp;INDEX(客户自备加工筐明细!$J$4:$J$1203,$Z1021-4000),IF($Z1021&lt;=5800,"次果筐/托盘－"&amp;INDEX(次果筐明细!$F$4:$F$603,$Z1021-5200),"")))))</f>
        <v/>
      </c>
      <c r="E1021" s="24" t="str">
        <f>IF($Z1021="","",IF($Z1021&lt;=2000,IF(INDEX(包装物料出入库明细!$C$4:$C$2003,$Z1021-0)=0,"",INDEX(包装物料出入库明细!$C$4:$C$2003,$Z1021-0)),IF($Z1021&lt;=4000,IF(INDEX(周转筐出入库明细!$E$4:$E$2004,$Z1021-2000)=0,"",INDEX(周转筐出入库明细!$E$4:$E$2004,$Z1021-2000)),IF($Z1021&lt;=5200,IF(INDEX(客户自备加工筐明细!$D$4:$D$1203,$Z1021-4000)=0,"",INDEX(客户自备加工筐明细!$D$4:$D$1203,$Z1021-4000)),IF($Z1021&lt;=5800,IF(INDEX(次果筐明细!$E$4:$E$603,$Z1021-5200)=0,"",INDEX(次果筐明细!$E$4:$E$603,$Z1021-5200)),"")))))</f>
        <v/>
      </c>
      <c r="F1021" s="24" t="str">
        <f>IF($Z1021="","",IF($Z1021&lt;=2000,IF(INDEX(包装物料出入库明细!$E$4:$E$2003,$Z1021-0)=0,"",INDEX(包装物料出入库明细!$E$4:$E$2003,$Z1021-0)),IF($Z1021&lt;=4000,IF(INDEX(周转筐出入库明细!$D$4:$D$2004,$Z1021-2000)=0,"",INDEX(周转筐出入库明细!$D$4:$D$2004,$Z1021-2000)),IF($Z1021&lt;=5200,IF(INDEX(客户自备加工筐明细!$C$4:$C$1203,$Z1021-4000)=0,"",INDEX(客户自备加工筐明细!$C$4:$C$1203,$Z1021-4000)),IF($Z1021&lt;=5800,IF(INDEX(次果筐明细!$D$4:$D$603,$Z1021-5200)=0,"",INDEX(次果筐明细!$D$4:$D$603,$Z1021-5200)),"")))))</f>
        <v/>
      </c>
      <c r="G1021" s="24" t="str">
        <f>IF($Z1021="","",IF($Z1021&lt;=2000,IF(INDEX(包装物料出入库明细!$F$4:$F$2003,$Z1021-0)=0,"",INDEX(包装物料出入库明细!$F$4:$F$2003,$Z1021-0)),IF($Z1021&lt;=4000,"",IF($Z1021&lt;=5200,"",IF($Z1021&lt;=5800,"","")))))</f>
        <v/>
      </c>
      <c r="H1021" s="39" t="str">
        <f>IF($Z1021="","",IF($Z1021&lt;=2000,IF(INDEX(包装物料出入库明细!$L$4:$L$2003,$Z1021-0)=0,"",INDEX(包装物料出入库明细!$L$4:$L$2003,$Z1021-0)),IF($Z1021&lt;=4000,N(INDEX(周转筐出入库明细!$H$4:$H$2004,$Z1021-2000))+N(INDEX(周转筐出入库明细!$I$4:$I$2004,$Z1021-2000))+N(INDEX(周转筐出入库明细!$J$4:$J$2004,$Z1021-2000))+N(INDEX(周转筐出入库明细!$K$4:$K$2004,$Z1021-2000)),IF($Z1021&lt;=5200,N(INDEX(客户自备加工筐明细!$F$4:$F$1203,$Z1021-4000))+N(INDEX(客户自备加工筐明细!$G$4:$G$1203,$Z1021-4000)),IF($Z1021&lt;=5800,IF(INDEX(次果筐明细!$G$4:$G$603,$Z1021-5200)=0,"",INDEX(次果筐明细!$G$4:$G$603,$Z1021-5200)),"")))))</f>
        <v/>
      </c>
      <c r="I1021" s="24" t="str">
        <f>IF($Z1021="","",IF($Z1021&lt;=2000,IF(INDEX(包装物料出入库明细!$G$4:$G$2003,$Z1021-0)=0,"",INDEX(包装物料出入库明细!$G$4:$G$2003,$Z1021-0)),IF($Z1021&lt;=4000,"个",IF($Z1021&lt;=5200,"个",IF($Z1021&lt;=5800,"个","")))))</f>
        <v/>
      </c>
      <c r="J1021" s="30" t="str">
        <f t="shared" si="46"/>
        <v/>
      </c>
      <c r="K1021" s="30" t="str">
        <f>IF($Z1021="","",IF($Z1021&lt;=2000,IF(INDEX(包装物料出入库明细!$N$4:$N$2003,$Z1021-0)=0,"",INDEX(包装物料出入库明细!$N$4:$N$2003,$Z1021-0)),IF($Z1021&lt;=4000,IF(INDEX(周转筐出入库明细!$P$4:$P$2004,$Z1021-2000)=0,"",INDEX(周转筐出入库明细!$P$4:$P$2004,$Z1021-2000)),IF($Z1021&lt;=5200,"",IF($Z1021&lt;=5800,N(INDEX(次果筐明细!$L$4:$L$603,$Z1021-5200))+N(INDEX(次果筐明细!$J$4:$J$603,$Z1021-5200)),"")))))</f>
        <v/>
      </c>
      <c r="L1021" s="24" t="str">
        <f>IF($Z1021="","",IF($Z1021&lt;=2000,IF(INDEX(包装物料出入库明细!$P$4:$P$2003,$Z1021-0)=0,"",INDEX(包装物料出入库明细!$P$4:$P$2003,$Z1021-0)),IF($Z1021&lt;=4000,IF(INDEX(周转筐出入库明细!$Q$4:$Q$2004,$Z1021-2000)=0,"",INDEX(周转筐出入库明细!$Q$4:$Q$2004,$Z1021-2000)),IF($Z1021&lt;=5200,"",IF($Z1021&lt;=5800,IF(INDEX(次果筐明细!$M$4:$M$603,$Z1021-5200)=0,"",INDEX(次果筐明细!$M$4:$M$603,$Z1021-5200)),"")))))</f>
        <v/>
      </c>
      <c r="M1021" s="37" t="str">
        <f>IF($Z1021="","",IF($Z1021&lt;=2000,IF(INDEX(包装物料出入库明细!$R$4:$R$2003,$Z1021-0)=0,"",INDEX(包装物料出入库明细!$R$4:$R$2003,$Z1021-0)),IF($Z1021&lt;=4000,IF(INDEX(周转筐出入库明细!$W$4:$W$2004,$Z1021-2000)=0,"",INDEX(周转筐出入库明细!$W$4:$W$2004,$Z1021-2000)),IF($Z1021&lt;=5200,IF(INDEX(客户自备加工筐明细!$L$4:$L$1203,$Z1021-4000)=0,"",INDEX(客户自备加工筐明细!$L$4:$L$1203,$Z1021-4000)),IF($Z1021&lt;=5800,IF(INDEX(次果筐明细!$P$4:$P$603,$Z1021-5200)=0,"",INDEX(次果筐明细!$P$4:$P$603,$Z1021-5200)),"")))))</f>
        <v/>
      </c>
      <c r="N1021" s="16" t="str">
        <f>IF($Z1021="","",IF($Z1021&lt;=2000,"",IF($Z1021&lt;=4000,IF(INDEX(周转筐出入库明细!$D$4:$D$2004,$Z1021-2000)=0,"",INDEX(周转筐出入库明细!$D$4:$D$2004,$Z1021-2000)),IF($Z1021&lt;=5200,IF(INDEX(客户自备加工筐明细!$C$4:$C$1203,$Z1021-4000)=0,"",INDEX(客户自备加工筐明细!$C$4:$C$1203,$Z1021-4000)),IF($Z1021&lt;=5800,IF(INDEX(次果筐明细!$D$4:$D$603,$Z1021-5200)=0,"",INDEX(次果筐明细!$D$4:$D$603,$Z1021-5200)),"")))))</f>
        <v/>
      </c>
      <c r="O1021" s="40" t="str">
        <f>IF($Z1021="","",IF($Z1021&lt;=2000,"",IF($Z1021&lt;=4000,IF(N(INDEX(周转筐出入库明细!$J$4:$J$2004,$Z1021-2000))+N(INDEX(周转筐出入库明细!$K$4:$K$2004,$Z1021-2000))=0,"",N(INDEX(周转筐出入库明细!$J$4:$J$2004,$Z1021-2000))+N(INDEX(周转筐出入库明细!$K$4:$K$2004,$Z1021-2000))),IF($Z1021&lt;=5200,IF(N(INDEX(客户自备加工筐明细!$G$4:$G$1203,$Z1021-4000))=0,"",N(INDEX(客户自备加工筐明细!$G$4:$G$1203,$Z1021-4000))),IF($Z1021&lt;=5800,IF(ISNUMBER(SEARCH("退",INDEX(次果筐明细!$F$4:$F$603,$Z1021-5200)&amp;"")),"",IF(N(INDEX(次果筐明细!$G$4:$G$603,$Z1021-5200))=0,"",N(INDEX(次果筐明细!$G$4:$G$603,$Z1021-5200)))),"")))))</f>
        <v/>
      </c>
      <c r="P1021" s="40" t="str">
        <f>IF($Z1021="","",IF($Z1021&lt;=2000,"",IF($Z1021&lt;=4000,IF(N(INDEX(周转筐出入库明细!$I$4:$I$2004,$Z1021-2000))=0,"",N(INDEX(周转筐出入库明细!$I$4:$I$2004,$Z1021-2000))),IF($Z1021&lt;=5200,"",IF($Z1021&lt;=5800,IF(ISNUMBER(SEARCH("退",INDEX(次果筐明细!$F$4:$F$603,$Z1021-5200)&amp;"")),IF(N(INDEX(次果筐明细!$G$4:$G$603,$Z1021-5200))=0,"",N(INDEX(次果筐明细!$G$4:$G$603,$Z1021-5200))),""),"")))))</f>
        <v/>
      </c>
      <c r="Q1021" s="40" t="str">
        <f>IF($Z1021="","",IF($Z1021&lt;=2000,"",IF($Z1021&lt;=4000,IF(N(INDEX(周转筐出入库明细!$H$4:$H$2004,$Z1021-2000))=0,"",N(INDEX(周转筐出入库明细!$H$4:$H$2004,$Z1021-2000))),IF($Z1021&lt;=5200,IF(N(INDEX(客户自备加工筐明细!$F$4:$F$1203,$Z1021-4000))=0,"",N(INDEX(客户自备加工筐明细!$F$4:$F$1203,$Z1021-4000))),IF($Z1021&lt;=5800,"","")))))</f>
        <v/>
      </c>
      <c r="R1021" s="16" t="str">
        <f>IF($Z1021="","",IF($Z1021&lt;=2000,IF(INDEX(包装物料出入库明细!$O$4:$O$2003,$Z1021-0)=0,"",INDEX(包装物料出入库明细!$O$4:$O$2003,$Z1021-0)),IF($Z1021&lt;=4000,IF(INDEX(周转筐出入库明细!$M$4:$M$2004,$Z1021-2000)=0,"",INDEX(周转筐出入库明细!$M$4:$M$2004,$Z1021-2000)),IF($Z1021&lt;=5200,IF(INDEX(客户自备加工筐明细!$H$4:$H$1203,$Z1021-4000)=0,"",INDEX(客户自备加工筐明细!$H$4:$H$1203,$Z1021-4000)),IF($Z1021&lt;=5800,IF(INDEX(次果筐明细!$H$4:$H$603,$Z1021-5200)=0,"",INDEX(次果筐明细!$H$4:$H$603,$Z1021-5200)),"")))))</f>
        <v/>
      </c>
      <c r="S1021" s="22" t="str">
        <f t="shared" si="47"/>
        <v/>
      </c>
      <c r="Z1021" s="10" t="str">
        <f>IFERROR(MATCH(ROW()-3,_自动清单!$CQ$4:$CQ$5803,0),"")</f>
        <v/>
      </c>
    </row>
    <row r="1022" spans="1:26">
      <c r="A1022" s="24" t="str">
        <f t="shared" si="45"/>
        <v/>
      </c>
      <c r="B1022" s="38" t="str">
        <f>IF($Z1022="","",IF($Z1022&lt;=2000,IF(INDEX(包装物料出入库明细!$B$4:$B$2003,$Z1022-0)=0,"",INDEX(包装物料出入库明细!$B$4:$B$2003,$Z1022-0)),IF($Z1022&lt;=4000,IF(INDEX(周转筐出入库明细!$B$4:$B$2004,$Z1022-2000)=0,"",INDEX(周转筐出入库明细!$B$4:$B$2004,$Z1022-2000)),IF($Z1022&lt;=5200,IF(INDEX(客户自备加工筐明细!$B$4:$B$1203,$Z1022-4000)=0,"",INDEX(客户自备加工筐明细!$B$4:$B$1203,$Z1022-4000)),IF($Z1022&lt;=5800,IF(INDEX(次果筐明细!$B$4:$B$603,$Z1022-5200)=0,"",INDEX(次果筐明细!$B$4:$B$603,$Z1022-5200)),"")))))</f>
        <v/>
      </c>
      <c r="C1022" s="37" t="str">
        <f>IF($Z1022="","",IF($Z1022&lt;=2000,IF(INDEX(包装物料出入库明细!$D$4:$D$2003,$Z1022-0)=0,"",INDEX(包装物料出入库明细!$D$4:$D$2003,$Z1022-0)),IF($Z1022&lt;=4000,IF(INDEX(周转筐出入库明细!$C$4:$C$2004,$Z1022-2000)=0,"",INDEX(周转筐出入库明细!$C$4:$C$2004,$Z1022-2000)),IF($Z1022&lt;=5200,IF(INDEX(客户自备加工筐明细!$E$4:$E$1203,$Z1022-4000)=0,"",INDEX(客户自备加工筐明细!$E$4:$E$1203,$Z1022-4000)),IF($Z1022&lt;=5800,IF(INDEX(次果筐明细!$C$4:$C$603,$Z1022-5200)=0,"",INDEX(次果筐明细!$C$4:$C$603,$Z1022-5200)),"")))))</f>
        <v/>
      </c>
      <c r="D1022" s="37" t="str">
        <f>IF($Z1022="","",IF($Z1022&lt;=2000,"包装物料－"&amp;INDEX(包装物料出入库明细!$H$4:$H$2003,$Z1022-0),IF($Z1022&lt;=4000,"周转筐－"&amp;INDEX(周转筐出入库明细!$F$4:$F$2004,$Z1022-2000),IF($Z1022&lt;=5200,"客户自备筐－"&amp;INDEX(客户自备加工筐明细!$J$4:$J$1203,$Z1022-4000),IF($Z1022&lt;=5800,"次果筐/托盘－"&amp;INDEX(次果筐明细!$F$4:$F$603,$Z1022-5200),"")))))</f>
        <v/>
      </c>
      <c r="E1022" s="24" t="str">
        <f>IF($Z1022="","",IF($Z1022&lt;=2000,IF(INDEX(包装物料出入库明细!$C$4:$C$2003,$Z1022-0)=0,"",INDEX(包装物料出入库明细!$C$4:$C$2003,$Z1022-0)),IF($Z1022&lt;=4000,IF(INDEX(周转筐出入库明细!$E$4:$E$2004,$Z1022-2000)=0,"",INDEX(周转筐出入库明细!$E$4:$E$2004,$Z1022-2000)),IF($Z1022&lt;=5200,IF(INDEX(客户自备加工筐明细!$D$4:$D$1203,$Z1022-4000)=0,"",INDEX(客户自备加工筐明细!$D$4:$D$1203,$Z1022-4000)),IF($Z1022&lt;=5800,IF(INDEX(次果筐明细!$E$4:$E$603,$Z1022-5200)=0,"",INDEX(次果筐明细!$E$4:$E$603,$Z1022-5200)),"")))))</f>
        <v/>
      </c>
      <c r="F1022" s="24" t="str">
        <f>IF($Z1022="","",IF($Z1022&lt;=2000,IF(INDEX(包装物料出入库明细!$E$4:$E$2003,$Z1022-0)=0,"",INDEX(包装物料出入库明细!$E$4:$E$2003,$Z1022-0)),IF($Z1022&lt;=4000,IF(INDEX(周转筐出入库明细!$D$4:$D$2004,$Z1022-2000)=0,"",INDEX(周转筐出入库明细!$D$4:$D$2004,$Z1022-2000)),IF($Z1022&lt;=5200,IF(INDEX(客户自备加工筐明细!$C$4:$C$1203,$Z1022-4000)=0,"",INDEX(客户自备加工筐明细!$C$4:$C$1203,$Z1022-4000)),IF($Z1022&lt;=5800,IF(INDEX(次果筐明细!$D$4:$D$603,$Z1022-5200)=0,"",INDEX(次果筐明细!$D$4:$D$603,$Z1022-5200)),"")))))</f>
        <v/>
      </c>
      <c r="G1022" s="24" t="str">
        <f>IF($Z1022="","",IF($Z1022&lt;=2000,IF(INDEX(包装物料出入库明细!$F$4:$F$2003,$Z1022-0)=0,"",INDEX(包装物料出入库明细!$F$4:$F$2003,$Z1022-0)),IF($Z1022&lt;=4000,"",IF($Z1022&lt;=5200,"",IF($Z1022&lt;=5800,"","")))))</f>
        <v/>
      </c>
      <c r="H1022" s="39" t="str">
        <f>IF($Z1022="","",IF($Z1022&lt;=2000,IF(INDEX(包装物料出入库明细!$L$4:$L$2003,$Z1022-0)=0,"",INDEX(包装物料出入库明细!$L$4:$L$2003,$Z1022-0)),IF($Z1022&lt;=4000,N(INDEX(周转筐出入库明细!$H$4:$H$2004,$Z1022-2000))+N(INDEX(周转筐出入库明细!$I$4:$I$2004,$Z1022-2000))+N(INDEX(周转筐出入库明细!$J$4:$J$2004,$Z1022-2000))+N(INDEX(周转筐出入库明细!$K$4:$K$2004,$Z1022-2000)),IF($Z1022&lt;=5200,N(INDEX(客户自备加工筐明细!$F$4:$F$1203,$Z1022-4000))+N(INDEX(客户自备加工筐明细!$G$4:$G$1203,$Z1022-4000)),IF($Z1022&lt;=5800,IF(INDEX(次果筐明细!$G$4:$G$603,$Z1022-5200)=0,"",INDEX(次果筐明细!$G$4:$G$603,$Z1022-5200)),"")))))</f>
        <v/>
      </c>
      <c r="I1022" s="24" t="str">
        <f>IF($Z1022="","",IF($Z1022&lt;=2000,IF(INDEX(包装物料出入库明细!$G$4:$G$2003,$Z1022-0)=0,"",INDEX(包装物料出入库明细!$G$4:$G$2003,$Z1022-0)),IF($Z1022&lt;=4000,"个",IF($Z1022&lt;=5200,"个",IF($Z1022&lt;=5800,"个","")))))</f>
        <v/>
      </c>
      <c r="J1022" s="30" t="str">
        <f t="shared" si="46"/>
        <v/>
      </c>
      <c r="K1022" s="30" t="str">
        <f>IF($Z1022="","",IF($Z1022&lt;=2000,IF(INDEX(包装物料出入库明细!$N$4:$N$2003,$Z1022-0)=0,"",INDEX(包装物料出入库明细!$N$4:$N$2003,$Z1022-0)),IF($Z1022&lt;=4000,IF(INDEX(周转筐出入库明细!$P$4:$P$2004,$Z1022-2000)=0,"",INDEX(周转筐出入库明细!$P$4:$P$2004,$Z1022-2000)),IF($Z1022&lt;=5200,"",IF($Z1022&lt;=5800,N(INDEX(次果筐明细!$L$4:$L$603,$Z1022-5200))+N(INDEX(次果筐明细!$J$4:$J$603,$Z1022-5200)),"")))))</f>
        <v/>
      </c>
      <c r="L1022" s="24" t="str">
        <f>IF($Z1022="","",IF($Z1022&lt;=2000,IF(INDEX(包装物料出入库明细!$P$4:$P$2003,$Z1022-0)=0,"",INDEX(包装物料出入库明细!$P$4:$P$2003,$Z1022-0)),IF($Z1022&lt;=4000,IF(INDEX(周转筐出入库明细!$Q$4:$Q$2004,$Z1022-2000)=0,"",INDEX(周转筐出入库明细!$Q$4:$Q$2004,$Z1022-2000)),IF($Z1022&lt;=5200,"",IF($Z1022&lt;=5800,IF(INDEX(次果筐明细!$M$4:$M$603,$Z1022-5200)=0,"",INDEX(次果筐明细!$M$4:$M$603,$Z1022-5200)),"")))))</f>
        <v/>
      </c>
      <c r="M1022" s="37" t="str">
        <f>IF($Z1022="","",IF($Z1022&lt;=2000,IF(INDEX(包装物料出入库明细!$R$4:$R$2003,$Z1022-0)=0,"",INDEX(包装物料出入库明细!$R$4:$R$2003,$Z1022-0)),IF($Z1022&lt;=4000,IF(INDEX(周转筐出入库明细!$W$4:$W$2004,$Z1022-2000)=0,"",INDEX(周转筐出入库明细!$W$4:$W$2004,$Z1022-2000)),IF($Z1022&lt;=5200,IF(INDEX(客户自备加工筐明细!$L$4:$L$1203,$Z1022-4000)=0,"",INDEX(客户自备加工筐明细!$L$4:$L$1203,$Z1022-4000)),IF($Z1022&lt;=5800,IF(INDEX(次果筐明细!$P$4:$P$603,$Z1022-5200)=0,"",INDEX(次果筐明细!$P$4:$P$603,$Z1022-5200)),"")))))</f>
        <v/>
      </c>
      <c r="N1022" s="16" t="str">
        <f>IF($Z1022="","",IF($Z1022&lt;=2000,"",IF($Z1022&lt;=4000,IF(INDEX(周转筐出入库明细!$D$4:$D$2004,$Z1022-2000)=0,"",INDEX(周转筐出入库明细!$D$4:$D$2004,$Z1022-2000)),IF($Z1022&lt;=5200,IF(INDEX(客户自备加工筐明细!$C$4:$C$1203,$Z1022-4000)=0,"",INDEX(客户自备加工筐明细!$C$4:$C$1203,$Z1022-4000)),IF($Z1022&lt;=5800,IF(INDEX(次果筐明细!$D$4:$D$603,$Z1022-5200)=0,"",INDEX(次果筐明细!$D$4:$D$603,$Z1022-5200)),"")))))</f>
        <v/>
      </c>
      <c r="O1022" s="40" t="str">
        <f>IF($Z1022="","",IF($Z1022&lt;=2000,"",IF($Z1022&lt;=4000,IF(N(INDEX(周转筐出入库明细!$J$4:$J$2004,$Z1022-2000))+N(INDEX(周转筐出入库明细!$K$4:$K$2004,$Z1022-2000))=0,"",N(INDEX(周转筐出入库明细!$J$4:$J$2004,$Z1022-2000))+N(INDEX(周转筐出入库明细!$K$4:$K$2004,$Z1022-2000))),IF($Z1022&lt;=5200,IF(N(INDEX(客户自备加工筐明细!$G$4:$G$1203,$Z1022-4000))=0,"",N(INDEX(客户自备加工筐明细!$G$4:$G$1203,$Z1022-4000))),IF($Z1022&lt;=5800,IF(ISNUMBER(SEARCH("退",INDEX(次果筐明细!$F$4:$F$603,$Z1022-5200)&amp;"")),"",IF(N(INDEX(次果筐明细!$G$4:$G$603,$Z1022-5200))=0,"",N(INDEX(次果筐明细!$G$4:$G$603,$Z1022-5200)))),"")))))</f>
        <v/>
      </c>
      <c r="P1022" s="40" t="str">
        <f>IF($Z1022="","",IF($Z1022&lt;=2000,"",IF($Z1022&lt;=4000,IF(N(INDEX(周转筐出入库明细!$I$4:$I$2004,$Z1022-2000))=0,"",N(INDEX(周转筐出入库明细!$I$4:$I$2004,$Z1022-2000))),IF($Z1022&lt;=5200,"",IF($Z1022&lt;=5800,IF(ISNUMBER(SEARCH("退",INDEX(次果筐明细!$F$4:$F$603,$Z1022-5200)&amp;"")),IF(N(INDEX(次果筐明细!$G$4:$G$603,$Z1022-5200))=0,"",N(INDEX(次果筐明细!$G$4:$G$603,$Z1022-5200))),""),"")))))</f>
        <v/>
      </c>
      <c r="Q1022" s="40" t="str">
        <f>IF($Z1022="","",IF($Z1022&lt;=2000,"",IF($Z1022&lt;=4000,IF(N(INDEX(周转筐出入库明细!$H$4:$H$2004,$Z1022-2000))=0,"",N(INDEX(周转筐出入库明细!$H$4:$H$2004,$Z1022-2000))),IF($Z1022&lt;=5200,IF(N(INDEX(客户自备加工筐明细!$F$4:$F$1203,$Z1022-4000))=0,"",N(INDEX(客户自备加工筐明细!$F$4:$F$1203,$Z1022-4000))),IF($Z1022&lt;=5800,"","")))))</f>
        <v/>
      </c>
      <c r="R1022" s="16" t="str">
        <f>IF($Z1022="","",IF($Z1022&lt;=2000,IF(INDEX(包装物料出入库明细!$O$4:$O$2003,$Z1022-0)=0,"",INDEX(包装物料出入库明细!$O$4:$O$2003,$Z1022-0)),IF($Z1022&lt;=4000,IF(INDEX(周转筐出入库明细!$M$4:$M$2004,$Z1022-2000)=0,"",INDEX(周转筐出入库明细!$M$4:$M$2004,$Z1022-2000)),IF($Z1022&lt;=5200,IF(INDEX(客户自备加工筐明细!$H$4:$H$1203,$Z1022-4000)=0,"",INDEX(客户自备加工筐明细!$H$4:$H$1203,$Z1022-4000)),IF($Z1022&lt;=5800,IF(INDEX(次果筐明细!$H$4:$H$603,$Z1022-5200)=0,"",INDEX(次果筐明细!$H$4:$H$603,$Z1022-5200)),"")))))</f>
        <v/>
      </c>
      <c r="S1022" s="22" t="str">
        <f t="shared" si="47"/>
        <v/>
      </c>
      <c r="Z1022" s="10" t="str">
        <f>IFERROR(MATCH(ROW()-3,_自动清单!$CQ$4:$CQ$5803,0),"")</f>
        <v/>
      </c>
    </row>
    <row r="1023" spans="1:26">
      <c r="A1023" s="24" t="str">
        <f t="shared" si="45"/>
        <v/>
      </c>
      <c r="B1023" s="38" t="str">
        <f>IF($Z1023="","",IF($Z1023&lt;=2000,IF(INDEX(包装物料出入库明细!$B$4:$B$2003,$Z1023-0)=0,"",INDEX(包装物料出入库明细!$B$4:$B$2003,$Z1023-0)),IF($Z1023&lt;=4000,IF(INDEX(周转筐出入库明细!$B$4:$B$2004,$Z1023-2000)=0,"",INDEX(周转筐出入库明细!$B$4:$B$2004,$Z1023-2000)),IF($Z1023&lt;=5200,IF(INDEX(客户自备加工筐明细!$B$4:$B$1203,$Z1023-4000)=0,"",INDEX(客户自备加工筐明细!$B$4:$B$1203,$Z1023-4000)),IF($Z1023&lt;=5800,IF(INDEX(次果筐明细!$B$4:$B$603,$Z1023-5200)=0,"",INDEX(次果筐明细!$B$4:$B$603,$Z1023-5200)),"")))))</f>
        <v/>
      </c>
      <c r="C1023" s="37" t="str">
        <f>IF($Z1023="","",IF($Z1023&lt;=2000,IF(INDEX(包装物料出入库明细!$D$4:$D$2003,$Z1023-0)=0,"",INDEX(包装物料出入库明细!$D$4:$D$2003,$Z1023-0)),IF($Z1023&lt;=4000,IF(INDEX(周转筐出入库明细!$C$4:$C$2004,$Z1023-2000)=0,"",INDEX(周转筐出入库明细!$C$4:$C$2004,$Z1023-2000)),IF($Z1023&lt;=5200,IF(INDEX(客户自备加工筐明细!$E$4:$E$1203,$Z1023-4000)=0,"",INDEX(客户自备加工筐明细!$E$4:$E$1203,$Z1023-4000)),IF($Z1023&lt;=5800,IF(INDEX(次果筐明细!$C$4:$C$603,$Z1023-5200)=0,"",INDEX(次果筐明细!$C$4:$C$603,$Z1023-5200)),"")))))</f>
        <v/>
      </c>
      <c r="D1023" s="37" t="str">
        <f>IF($Z1023="","",IF($Z1023&lt;=2000,"包装物料－"&amp;INDEX(包装物料出入库明细!$H$4:$H$2003,$Z1023-0),IF($Z1023&lt;=4000,"周转筐－"&amp;INDEX(周转筐出入库明细!$F$4:$F$2004,$Z1023-2000),IF($Z1023&lt;=5200,"客户自备筐－"&amp;INDEX(客户自备加工筐明细!$J$4:$J$1203,$Z1023-4000),IF($Z1023&lt;=5800,"次果筐/托盘－"&amp;INDEX(次果筐明细!$F$4:$F$603,$Z1023-5200),"")))))</f>
        <v/>
      </c>
      <c r="E1023" s="24" t="str">
        <f>IF($Z1023="","",IF($Z1023&lt;=2000,IF(INDEX(包装物料出入库明细!$C$4:$C$2003,$Z1023-0)=0,"",INDEX(包装物料出入库明细!$C$4:$C$2003,$Z1023-0)),IF($Z1023&lt;=4000,IF(INDEX(周转筐出入库明细!$E$4:$E$2004,$Z1023-2000)=0,"",INDEX(周转筐出入库明细!$E$4:$E$2004,$Z1023-2000)),IF($Z1023&lt;=5200,IF(INDEX(客户自备加工筐明细!$D$4:$D$1203,$Z1023-4000)=0,"",INDEX(客户自备加工筐明细!$D$4:$D$1203,$Z1023-4000)),IF($Z1023&lt;=5800,IF(INDEX(次果筐明细!$E$4:$E$603,$Z1023-5200)=0,"",INDEX(次果筐明细!$E$4:$E$603,$Z1023-5200)),"")))))</f>
        <v/>
      </c>
      <c r="F1023" s="24" t="str">
        <f>IF($Z1023="","",IF($Z1023&lt;=2000,IF(INDEX(包装物料出入库明细!$E$4:$E$2003,$Z1023-0)=0,"",INDEX(包装物料出入库明细!$E$4:$E$2003,$Z1023-0)),IF($Z1023&lt;=4000,IF(INDEX(周转筐出入库明细!$D$4:$D$2004,$Z1023-2000)=0,"",INDEX(周转筐出入库明细!$D$4:$D$2004,$Z1023-2000)),IF($Z1023&lt;=5200,IF(INDEX(客户自备加工筐明细!$C$4:$C$1203,$Z1023-4000)=0,"",INDEX(客户自备加工筐明细!$C$4:$C$1203,$Z1023-4000)),IF($Z1023&lt;=5800,IF(INDEX(次果筐明细!$D$4:$D$603,$Z1023-5200)=0,"",INDEX(次果筐明细!$D$4:$D$603,$Z1023-5200)),"")))))</f>
        <v/>
      </c>
      <c r="G1023" s="24" t="str">
        <f>IF($Z1023="","",IF($Z1023&lt;=2000,IF(INDEX(包装物料出入库明细!$F$4:$F$2003,$Z1023-0)=0,"",INDEX(包装物料出入库明细!$F$4:$F$2003,$Z1023-0)),IF($Z1023&lt;=4000,"",IF($Z1023&lt;=5200,"",IF($Z1023&lt;=5800,"","")))))</f>
        <v/>
      </c>
      <c r="H1023" s="39" t="str">
        <f>IF($Z1023="","",IF($Z1023&lt;=2000,IF(INDEX(包装物料出入库明细!$L$4:$L$2003,$Z1023-0)=0,"",INDEX(包装物料出入库明细!$L$4:$L$2003,$Z1023-0)),IF($Z1023&lt;=4000,N(INDEX(周转筐出入库明细!$H$4:$H$2004,$Z1023-2000))+N(INDEX(周转筐出入库明细!$I$4:$I$2004,$Z1023-2000))+N(INDEX(周转筐出入库明细!$J$4:$J$2004,$Z1023-2000))+N(INDEX(周转筐出入库明细!$K$4:$K$2004,$Z1023-2000)),IF($Z1023&lt;=5200,N(INDEX(客户自备加工筐明细!$F$4:$F$1203,$Z1023-4000))+N(INDEX(客户自备加工筐明细!$G$4:$G$1203,$Z1023-4000)),IF($Z1023&lt;=5800,IF(INDEX(次果筐明细!$G$4:$G$603,$Z1023-5200)=0,"",INDEX(次果筐明细!$G$4:$G$603,$Z1023-5200)),"")))))</f>
        <v/>
      </c>
      <c r="I1023" s="24" t="str">
        <f>IF($Z1023="","",IF($Z1023&lt;=2000,IF(INDEX(包装物料出入库明细!$G$4:$G$2003,$Z1023-0)=0,"",INDEX(包装物料出入库明细!$G$4:$G$2003,$Z1023-0)),IF($Z1023&lt;=4000,"个",IF($Z1023&lt;=5200,"个",IF($Z1023&lt;=5800,"个","")))))</f>
        <v/>
      </c>
      <c r="J1023" s="30" t="str">
        <f t="shared" si="46"/>
        <v/>
      </c>
      <c r="K1023" s="30" t="str">
        <f>IF($Z1023="","",IF($Z1023&lt;=2000,IF(INDEX(包装物料出入库明细!$N$4:$N$2003,$Z1023-0)=0,"",INDEX(包装物料出入库明细!$N$4:$N$2003,$Z1023-0)),IF($Z1023&lt;=4000,IF(INDEX(周转筐出入库明细!$P$4:$P$2004,$Z1023-2000)=0,"",INDEX(周转筐出入库明细!$P$4:$P$2004,$Z1023-2000)),IF($Z1023&lt;=5200,"",IF($Z1023&lt;=5800,N(INDEX(次果筐明细!$L$4:$L$603,$Z1023-5200))+N(INDEX(次果筐明细!$J$4:$J$603,$Z1023-5200)),"")))))</f>
        <v/>
      </c>
      <c r="L1023" s="24" t="str">
        <f>IF($Z1023="","",IF($Z1023&lt;=2000,IF(INDEX(包装物料出入库明细!$P$4:$P$2003,$Z1023-0)=0,"",INDEX(包装物料出入库明细!$P$4:$P$2003,$Z1023-0)),IF($Z1023&lt;=4000,IF(INDEX(周转筐出入库明细!$Q$4:$Q$2004,$Z1023-2000)=0,"",INDEX(周转筐出入库明细!$Q$4:$Q$2004,$Z1023-2000)),IF($Z1023&lt;=5200,"",IF($Z1023&lt;=5800,IF(INDEX(次果筐明细!$M$4:$M$603,$Z1023-5200)=0,"",INDEX(次果筐明细!$M$4:$M$603,$Z1023-5200)),"")))))</f>
        <v/>
      </c>
      <c r="M1023" s="37" t="str">
        <f>IF($Z1023="","",IF($Z1023&lt;=2000,IF(INDEX(包装物料出入库明细!$R$4:$R$2003,$Z1023-0)=0,"",INDEX(包装物料出入库明细!$R$4:$R$2003,$Z1023-0)),IF($Z1023&lt;=4000,IF(INDEX(周转筐出入库明细!$W$4:$W$2004,$Z1023-2000)=0,"",INDEX(周转筐出入库明细!$W$4:$W$2004,$Z1023-2000)),IF($Z1023&lt;=5200,IF(INDEX(客户自备加工筐明细!$L$4:$L$1203,$Z1023-4000)=0,"",INDEX(客户自备加工筐明细!$L$4:$L$1203,$Z1023-4000)),IF($Z1023&lt;=5800,IF(INDEX(次果筐明细!$P$4:$P$603,$Z1023-5200)=0,"",INDEX(次果筐明细!$P$4:$P$603,$Z1023-5200)),"")))))</f>
        <v/>
      </c>
      <c r="N1023" s="16" t="str">
        <f>IF($Z1023="","",IF($Z1023&lt;=2000,"",IF($Z1023&lt;=4000,IF(INDEX(周转筐出入库明细!$D$4:$D$2004,$Z1023-2000)=0,"",INDEX(周转筐出入库明细!$D$4:$D$2004,$Z1023-2000)),IF($Z1023&lt;=5200,IF(INDEX(客户自备加工筐明细!$C$4:$C$1203,$Z1023-4000)=0,"",INDEX(客户自备加工筐明细!$C$4:$C$1203,$Z1023-4000)),IF($Z1023&lt;=5800,IF(INDEX(次果筐明细!$D$4:$D$603,$Z1023-5200)=0,"",INDEX(次果筐明细!$D$4:$D$603,$Z1023-5200)),"")))))</f>
        <v/>
      </c>
      <c r="O1023" s="40" t="str">
        <f>IF($Z1023="","",IF($Z1023&lt;=2000,"",IF($Z1023&lt;=4000,IF(N(INDEX(周转筐出入库明细!$J$4:$J$2004,$Z1023-2000))+N(INDEX(周转筐出入库明细!$K$4:$K$2004,$Z1023-2000))=0,"",N(INDEX(周转筐出入库明细!$J$4:$J$2004,$Z1023-2000))+N(INDEX(周转筐出入库明细!$K$4:$K$2004,$Z1023-2000))),IF($Z1023&lt;=5200,IF(N(INDEX(客户自备加工筐明细!$G$4:$G$1203,$Z1023-4000))=0,"",N(INDEX(客户自备加工筐明细!$G$4:$G$1203,$Z1023-4000))),IF($Z1023&lt;=5800,IF(ISNUMBER(SEARCH("退",INDEX(次果筐明细!$F$4:$F$603,$Z1023-5200)&amp;"")),"",IF(N(INDEX(次果筐明细!$G$4:$G$603,$Z1023-5200))=0,"",N(INDEX(次果筐明细!$G$4:$G$603,$Z1023-5200)))),"")))))</f>
        <v/>
      </c>
      <c r="P1023" s="40" t="str">
        <f>IF($Z1023="","",IF($Z1023&lt;=2000,"",IF($Z1023&lt;=4000,IF(N(INDEX(周转筐出入库明细!$I$4:$I$2004,$Z1023-2000))=0,"",N(INDEX(周转筐出入库明细!$I$4:$I$2004,$Z1023-2000))),IF($Z1023&lt;=5200,"",IF($Z1023&lt;=5800,IF(ISNUMBER(SEARCH("退",INDEX(次果筐明细!$F$4:$F$603,$Z1023-5200)&amp;"")),IF(N(INDEX(次果筐明细!$G$4:$G$603,$Z1023-5200))=0,"",N(INDEX(次果筐明细!$G$4:$G$603,$Z1023-5200))),""),"")))))</f>
        <v/>
      </c>
      <c r="Q1023" s="40" t="str">
        <f>IF($Z1023="","",IF($Z1023&lt;=2000,"",IF($Z1023&lt;=4000,IF(N(INDEX(周转筐出入库明细!$H$4:$H$2004,$Z1023-2000))=0,"",N(INDEX(周转筐出入库明细!$H$4:$H$2004,$Z1023-2000))),IF($Z1023&lt;=5200,IF(N(INDEX(客户自备加工筐明细!$F$4:$F$1203,$Z1023-4000))=0,"",N(INDEX(客户自备加工筐明细!$F$4:$F$1203,$Z1023-4000))),IF($Z1023&lt;=5800,"","")))))</f>
        <v/>
      </c>
      <c r="R1023" s="16" t="str">
        <f>IF($Z1023="","",IF($Z1023&lt;=2000,IF(INDEX(包装物料出入库明细!$O$4:$O$2003,$Z1023-0)=0,"",INDEX(包装物料出入库明细!$O$4:$O$2003,$Z1023-0)),IF($Z1023&lt;=4000,IF(INDEX(周转筐出入库明细!$M$4:$M$2004,$Z1023-2000)=0,"",INDEX(周转筐出入库明细!$M$4:$M$2004,$Z1023-2000)),IF($Z1023&lt;=5200,IF(INDEX(客户自备加工筐明细!$H$4:$H$1203,$Z1023-4000)=0,"",INDEX(客户自备加工筐明细!$H$4:$H$1203,$Z1023-4000)),IF($Z1023&lt;=5800,IF(INDEX(次果筐明细!$H$4:$H$603,$Z1023-5200)=0,"",INDEX(次果筐明细!$H$4:$H$603,$Z1023-5200)),"")))))</f>
        <v/>
      </c>
      <c r="S1023" s="22" t="str">
        <f t="shared" si="47"/>
        <v/>
      </c>
      <c r="Z1023" s="10" t="str">
        <f>IFERROR(MATCH(ROW()-3,_自动清单!$CQ$4:$CQ$5803,0),"")</f>
        <v/>
      </c>
    </row>
    <row r="1024" spans="1:26">
      <c r="A1024" s="24" t="str">
        <f t="shared" si="45"/>
        <v/>
      </c>
      <c r="B1024" s="38" t="str">
        <f>IF($Z1024="","",IF($Z1024&lt;=2000,IF(INDEX(包装物料出入库明细!$B$4:$B$2003,$Z1024-0)=0,"",INDEX(包装物料出入库明细!$B$4:$B$2003,$Z1024-0)),IF($Z1024&lt;=4000,IF(INDEX(周转筐出入库明细!$B$4:$B$2004,$Z1024-2000)=0,"",INDEX(周转筐出入库明细!$B$4:$B$2004,$Z1024-2000)),IF($Z1024&lt;=5200,IF(INDEX(客户自备加工筐明细!$B$4:$B$1203,$Z1024-4000)=0,"",INDEX(客户自备加工筐明细!$B$4:$B$1203,$Z1024-4000)),IF($Z1024&lt;=5800,IF(INDEX(次果筐明细!$B$4:$B$603,$Z1024-5200)=0,"",INDEX(次果筐明细!$B$4:$B$603,$Z1024-5200)),"")))))</f>
        <v/>
      </c>
      <c r="C1024" s="37" t="str">
        <f>IF($Z1024="","",IF($Z1024&lt;=2000,IF(INDEX(包装物料出入库明细!$D$4:$D$2003,$Z1024-0)=0,"",INDEX(包装物料出入库明细!$D$4:$D$2003,$Z1024-0)),IF($Z1024&lt;=4000,IF(INDEX(周转筐出入库明细!$C$4:$C$2004,$Z1024-2000)=0,"",INDEX(周转筐出入库明细!$C$4:$C$2004,$Z1024-2000)),IF($Z1024&lt;=5200,IF(INDEX(客户自备加工筐明细!$E$4:$E$1203,$Z1024-4000)=0,"",INDEX(客户自备加工筐明细!$E$4:$E$1203,$Z1024-4000)),IF($Z1024&lt;=5800,IF(INDEX(次果筐明细!$C$4:$C$603,$Z1024-5200)=0,"",INDEX(次果筐明细!$C$4:$C$603,$Z1024-5200)),"")))))</f>
        <v/>
      </c>
      <c r="D1024" s="37" t="str">
        <f>IF($Z1024="","",IF($Z1024&lt;=2000,"包装物料－"&amp;INDEX(包装物料出入库明细!$H$4:$H$2003,$Z1024-0),IF($Z1024&lt;=4000,"周转筐－"&amp;INDEX(周转筐出入库明细!$F$4:$F$2004,$Z1024-2000),IF($Z1024&lt;=5200,"客户自备筐－"&amp;INDEX(客户自备加工筐明细!$J$4:$J$1203,$Z1024-4000),IF($Z1024&lt;=5800,"次果筐/托盘－"&amp;INDEX(次果筐明细!$F$4:$F$603,$Z1024-5200),"")))))</f>
        <v/>
      </c>
      <c r="E1024" s="24" t="str">
        <f>IF($Z1024="","",IF($Z1024&lt;=2000,IF(INDEX(包装物料出入库明细!$C$4:$C$2003,$Z1024-0)=0,"",INDEX(包装物料出入库明细!$C$4:$C$2003,$Z1024-0)),IF($Z1024&lt;=4000,IF(INDEX(周转筐出入库明细!$E$4:$E$2004,$Z1024-2000)=0,"",INDEX(周转筐出入库明细!$E$4:$E$2004,$Z1024-2000)),IF($Z1024&lt;=5200,IF(INDEX(客户自备加工筐明细!$D$4:$D$1203,$Z1024-4000)=0,"",INDEX(客户自备加工筐明细!$D$4:$D$1203,$Z1024-4000)),IF($Z1024&lt;=5800,IF(INDEX(次果筐明细!$E$4:$E$603,$Z1024-5200)=0,"",INDEX(次果筐明细!$E$4:$E$603,$Z1024-5200)),"")))))</f>
        <v/>
      </c>
      <c r="F1024" s="24" t="str">
        <f>IF($Z1024="","",IF($Z1024&lt;=2000,IF(INDEX(包装物料出入库明细!$E$4:$E$2003,$Z1024-0)=0,"",INDEX(包装物料出入库明细!$E$4:$E$2003,$Z1024-0)),IF($Z1024&lt;=4000,IF(INDEX(周转筐出入库明细!$D$4:$D$2004,$Z1024-2000)=0,"",INDEX(周转筐出入库明细!$D$4:$D$2004,$Z1024-2000)),IF($Z1024&lt;=5200,IF(INDEX(客户自备加工筐明细!$C$4:$C$1203,$Z1024-4000)=0,"",INDEX(客户自备加工筐明细!$C$4:$C$1203,$Z1024-4000)),IF($Z1024&lt;=5800,IF(INDEX(次果筐明细!$D$4:$D$603,$Z1024-5200)=0,"",INDEX(次果筐明细!$D$4:$D$603,$Z1024-5200)),"")))))</f>
        <v/>
      </c>
      <c r="G1024" s="24" t="str">
        <f>IF($Z1024="","",IF($Z1024&lt;=2000,IF(INDEX(包装物料出入库明细!$F$4:$F$2003,$Z1024-0)=0,"",INDEX(包装物料出入库明细!$F$4:$F$2003,$Z1024-0)),IF($Z1024&lt;=4000,"",IF($Z1024&lt;=5200,"",IF($Z1024&lt;=5800,"","")))))</f>
        <v/>
      </c>
      <c r="H1024" s="39" t="str">
        <f>IF($Z1024="","",IF($Z1024&lt;=2000,IF(INDEX(包装物料出入库明细!$L$4:$L$2003,$Z1024-0)=0,"",INDEX(包装物料出入库明细!$L$4:$L$2003,$Z1024-0)),IF($Z1024&lt;=4000,N(INDEX(周转筐出入库明细!$H$4:$H$2004,$Z1024-2000))+N(INDEX(周转筐出入库明细!$I$4:$I$2004,$Z1024-2000))+N(INDEX(周转筐出入库明细!$J$4:$J$2004,$Z1024-2000))+N(INDEX(周转筐出入库明细!$K$4:$K$2004,$Z1024-2000)),IF($Z1024&lt;=5200,N(INDEX(客户自备加工筐明细!$F$4:$F$1203,$Z1024-4000))+N(INDEX(客户自备加工筐明细!$G$4:$G$1203,$Z1024-4000)),IF($Z1024&lt;=5800,IF(INDEX(次果筐明细!$G$4:$G$603,$Z1024-5200)=0,"",INDEX(次果筐明细!$G$4:$G$603,$Z1024-5200)),"")))))</f>
        <v/>
      </c>
      <c r="I1024" s="24" t="str">
        <f>IF($Z1024="","",IF($Z1024&lt;=2000,IF(INDEX(包装物料出入库明细!$G$4:$G$2003,$Z1024-0)=0,"",INDEX(包装物料出入库明细!$G$4:$G$2003,$Z1024-0)),IF($Z1024&lt;=4000,"个",IF($Z1024&lt;=5200,"个",IF($Z1024&lt;=5800,"个","")))))</f>
        <v/>
      </c>
      <c r="J1024" s="30" t="str">
        <f t="shared" si="46"/>
        <v/>
      </c>
      <c r="K1024" s="30" t="str">
        <f>IF($Z1024="","",IF($Z1024&lt;=2000,IF(INDEX(包装物料出入库明细!$N$4:$N$2003,$Z1024-0)=0,"",INDEX(包装物料出入库明细!$N$4:$N$2003,$Z1024-0)),IF($Z1024&lt;=4000,IF(INDEX(周转筐出入库明细!$P$4:$P$2004,$Z1024-2000)=0,"",INDEX(周转筐出入库明细!$P$4:$P$2004,$Z1024-2000)),IF($Z1024&lt;=5200,"",IF($Z1024&lt;=5800,N(INDEX(次果筐明细!$L$4:$L$603,$Z1024-5200))+N(INDEX(次果筐明细!$J$4:$J$603,$Z1024-5200)),"")))))</f>
        <v/>
      </c>
      <c r="L1024" s="24" t="str">
        <f>IF($Z1024="","",IF($Z1024&lt;=2000,IF(INDEX(包装物料出入库明细!$P$4:$P$2003,$Z1024-0)=0,"",INDEX(包装物料出入库明细!$P$4:$P$2003,$Z1024-0)),IF($Z1024&lt;=4000,IF(INDEX(周转筐出入库明细!$Q$4:$Q$2004,$Z1024-2000)=0,"",INDEX(周转筐出入库明细!$Q$4:$Q$2004,$Z1024-2000)),IF($Z1024&lt;=5200,"",IF($Z1024&lt;=5800,IF(INDEX(次果筐明细!$M$4:$M$603,$Z1024-5200)=0,"",INDEX(次果筐明细!$M$4:$M$603,$Z1024-5200)),"")))))</f>
        <v/>
      </c>
      <c r="M1024" s="37" t="str">
        <f>IF($Z1024="","",IF($Z1024&lt;=2000,IF(INDEX(包装物料出入库明细!$R$4:$R$2003,$Z1024-0)=0,"",INDEX(包装物料出入库明细!$R$4:$R$2003,$Z1024-0)),IF($Z1024&lt;=4000,IF(INDEX(周转筐出入库明细!$W$4:$W$2004,$Z1024-2000)=0,"",INDEX(周转筐出入库明细!$W$4:$W$2004,$Z1024-2000)),IF($Z1024&lt;=5200,IF(INDEX(客户自备加工筐明细!$L$4:$L$1203,$Z1024-4000)=0,"",INDEX(客户自备加工筐明细!$L$4:$L$1203,$Z1024-4000)),IF($Z1024&lt;=5800,IF(INDEX(次果筐明细!$P$4:$P$603,$Z1024-5200)=0,"",INDEX(次果筐明细!$P$4:$P$603,$Z1024-5200)),"")))))</f>
        <v/>
      </c>
      <c r="N1024" s="16" t="str">
        <f>IF($Z1024="","",IF($Z1024&lt;=2000,"",IF($Z1024&lt;=4000,IF(INDEX(周转筐出入库明细!$D$4:$D$2004,$Z1024-2000)=0,"",INDEX(周转筐出入库明细!$D$4:$D$2004,$Z1024-2000)),IF($Z1024&lt;=5200,IF(INDEX(客户自备加工筐明细!$C$4:$C$1203,$Z1024-4000)=0,"",INDEX(客户自备加工筐明细!$C$4:$C$1203,$Z1024-4000)),IF($Z1024&lt;=5800,IF(INDEX(次果筐明细!$D$4:$D$603,$Z1024-5200)=0,"",INDEX(次果筐明细!$D$4:$D$603,$Z1024-5200)),"")))))</f>
        <v/>
      </c>
      <c r="O1024" s="40" t="str">
        <f>IF($Z1024="","",IF($Z1024&lt;=2000,"",IF($Z1024&lt;=4000,IF(N(INDEX(周转筐出入库明细!$J$4:$J$2004,$Z1024-2000))+N(INDEX(周转筐出入库明细!$K$4:$K$2004,$Z1024-2000))=0,"",N(INDEX(周转筐出入库明细!$J$4:$J$2004,$Z1024-2000))+N(INDEX(周转筐出入库明细!$K$4:$K$2004,$Z1024-2000))),IF($Z1024&lt;=5200,IF(N(INDEX(客户自备加工筐明细!$G$4:$G$1203,$Z1024-4000))=0,"",N(INDEX(客户自备加工筐明细!$G$4:$G$1203,$Z1024-4000))),IF($Z1024&lt;=5800,IF(ISNUMBER(SEARCH("退",INDEX(次果筐明细!$F$4:$F$603,$Z1024-5200)&amp;"")),"",IF(N(INDEX(次果筐明细!$G$4:$G$603,$Z1024-5200))=0,"",N(INDEX(次果筐明细!$G$4:$G$603,$Z1024-5200)))),"")))))</f>
        <v/>
      </c>
      <c r="P1024" s="40" t="str">
        <f>IF($Z1024="","",IF($Z1024&lt;=2000,"",IF($Z1024&lt;=4000,IF(N(INDEX(周转筐出入库明细!$I$4:$I$2004,$Z1024-2000))=0,"",N(INDEX(周转筐出入库明细!$I$4:$I$2004,$Z1024-2000))),IF($Z1024&lt;=5200,"",IF($Z1024&lt;=5800,IF(ISNUMBER(SEARCH("退",INDEX(次果筐明细!$F$4:$F$603,$Z1024-5200)&amp;"")),IF(N(INDEX(次果筐明细!$G$4:$G$603,$Z1024-5200))=0,"",N(INDEX(次果筐明细!$G$4:$G$603,$Z1024-5200))),""),"")))))</f>
        <v/>
      </c>
      <c r="Q1024" s="40" t="str">
        <f>IF($Z1024="","",IF($Z1024&lt;=2000,"",IF($Z1024&lt;=4000,IF(N(INDEX(周转筐出入库明细!$H$4:$H$2004,$Z1024-2000))=0,"",N(INDEX(周转筐出入库明细!$H$4:$H$2004,$Z1024-2000))),IF($Z1024&lt;=5200,IF(N(INDEX(客户自备加工筐明细!$F$4:$F$1203,$Z1024-4000))=0,"",N(INDEX(客户自备加工筐明细!$F$4:$F$1203,$Z1024-4000))),IF($Z1024&lt;=5800,"","")))))</f>
        <v/>
      </c>
      <c r="R1024" s="16" t="str">
        <f>IF($Z1024="","",IF($Z1024&lt;=2000,IF(INDEX(包装物料出入库明细!$O$4:$O$2003,$Z1024-0)=0,"",INDEX(包装物料出入库明细!$O$4:$O$2003,$Z1024-0)),IF($Z1024&lt;=4000,IF(INDEX(周转筐出入库明细!$M$4:$M$2004,$Z1024-2000)=0,"",INDEX(周转筐出入库明细!$M$4:$M$2004,$Z1024-2000)),IF($Z1024&lt;=5200,IF(INDEX(客户自备加工筐明细!$H$4:$H$1203,$Z1024-4000)=0,"",INDEX(客户自备加工筐明细!$H$4:$H$1203,$Z1024-4000)),IF($Z1024&lt;=5800,IF(INDEX(次果筐明细!$H$4:$H$603,$Z1024-5200)=0,"",INDEX(次果筐明细!$H$4:$H$603,$Z1024-5200)),"")))))</f>
        <v/>
      </c>
      <c r="S1024" s="22" t="str">
        <f t="shared" si="47"/>
        <v/>
      </c>
      <c r="Z1024" s="10" t="str">
        <f>IFERROR(MATCH(ROW()-3,_自动清单!$CQ$4:$CQ$5803,0),"")</f>
        <v/>
      </c>
    </row>
    <row r="1025" spans="1:26">
      <c r="A1025" s="24" t="str">
        <f t="shared" si="45"/>
        <v/>
      </c>
      <c r="B1025" s="38" t="str">
        <f>IF($Z1025="","",IF($Z1025&lt;=2000,IF(INDEX(包装物料出入库明细!$B$4:$B$2003,$Z1025-0)=0,"",INDEX(包装物料出入库明细!$B$4:$B$2003,$Z1025-0)),IF($Z1025&lt;=4000,IF(INDEX(周转筐出入库明细!$B$4:$B$2004,$Z1025-2000)=0,"",INDEX(周转筐出入库明细!$B$4:$B$2004,$Z1025-2000)),IF($Z1025&lt;=5200,IF(INDEX(客户自备加工筐明细!$B$4:$B$1203,$Z1025-4000)=0,"",INDEX(客户自备加工筐明细!$B$4:$B$1203,$Z1025-4000)),IF($Z1025&lt;=5800,IF(INDEX(次果筐明细!$B$4:$B$603,$Z1025-5200)=0,"",INDEX(次果筐明细!$B$4:$B$603,$Z1025-5200)),"")))))</f>
        <v/>
      </c>
      <c r="C1025" s="37" t="str">
        <f>IF($Z1025="","",IF($Z1025&lt;=2000,IF(INDEX(包装物料出入库明细!$D$4:$D$2003,$Z1025-0)=0,"",INDEX(包装物料出入库明细!$D$4:$D$2003,$Z1025-0)),IF($Z1025&lt;=4000,IF(INDEX(周转筐出入库明细!$C$4:$C$2004,$Z1025-2000)=0,"",INDEX(周转筐出入库明细!$C$4:$C$2004,$Z1025-2000)),IF($Z1025&lt;=5200,IF(INDEX(客户自备加工筐明细!$E$4:$E$1203,$Z1025-4000)=0,"",INDEX(客户自备加工筐明细!$E$4:$E$1203,$Z1025-4000)),IF($Z1025&lt;=5800,IF(INDEX(次果筐明细!$C$4:$C$603,$Z1025-5200)=0,"",INDEX(次果筐明细!$C$4:$C$603,$Z1025-5200)),"")))))</f>
        <v/>
      </c>
      <c r="D1025" s="37" t="str">
        <f>IF($Z1025="","",IF($Z1025&lt;=2000,"包装物料－"&amp;INDEX(包装物料出入库明细!$H$4:$H$2003,$Z1025-0),IF($Z1025&lt;=4000,"周转筐－"&amp;INDEX(周转筐出入库明细!$F$4:$F$2004,$Z1025-2000),IF($Z1025&lt;=5200,"客户自备筐－"&amp;INDEX(客户自备加工筐明细!$J$4:$J$1203,$Z1025-4000),IF($Z1025&lt;=5800,"次果筐/托盘－"&amp;INDEX(次果筐明细!$F$4:$F$603,$Z1025-5200),"")))))</f>
        <v/>
      </c>
      <c r="E1025" s="24" t="str">
        <f>IF($Z1025="","",IF($Z1025&lt;=2000,IF(INDEX(包装物料出入库明细!$C$4:$C$2003,$Z1025-0)=0,"",INDEX(包装物料出入库明细!$C$4:$C$2003,$Z1025-0)),IF($Z1025&lt;=4000,IF(INDEX(周转筐出入库明细!$E$4:$E$2004,$Z1025-2000)=0,"",INDEX(周转筐出入库明细!$E$4:$E$2004,$Z1025-2000)),IF($Z1025&lt;=5200,IF(INDEX(客户自备加工筐明细!$D$4:$D$1203,$Z1025-4000)=0,"",INDEX(客户自备加工筐明细!$D$4:$D$1203,$Z1025-4000)),IF($Z1025&lt;=5800,IF(INDEX(次果筐明细!$E$4:$E$603,$Z1025-5200)=0,"",INDEX(次果筐明细!$E$4:$E$603,$Z1025-5200)),"")))))</f>
        <v/>
      </c>
      <c r="F1025" s="24" t="str">
        <f>IF($Z1025="","",IF($Z1025&lt;=2000,IF(INDEX(包装物料出入库明细!$E$4:$E$2003,$Z1025-0)=0,"",INDEX(包装物料出入库明细!$E$4:$E$2003,$Z1025-0)),IF($Z1025&lt;=4000,IF(INDEX(周转筐出入库明细!$D$4:$D$2004,$Z1025-2000)=0,"",INDEX(周转筐出入库明细!$D$4:$D$2004,$Z1025-2000)),IF($Z1025&lt;=5200,IF(INDEX(客户自备加工筐明细!$C$4:$C$1203,$Z1025-4000)=0,"",INDEX(客户自备加工筐明细!$C$4:$C$1203,$Z1025-4000)),IF($Z1025&lt;=5800,IF(INDEX(次果筐明细!$D$4:$D$603,$Z1025-5200)=0,"",INDEX(次果筐明细!$D$4:$D$603,$Z1025-5200)),"")))))</f>
        <v/>
      </c>
      <c r="G1025" s="24" t="str">
        <f>IF($Z1025="","",IF($Z1025&lt;=2000,IF(INDEX(包装物料出入库明细!$F$4:$F$2003,$Z1025-0)=0,"",INDEX(包装物料出入库明细!$F$4:$F$2003,$Z1025-0)),IF($Z1025&lt;=4000,"",IF($Z1025&lt;=5200,"",IF($Z1025&lt;=5800,"","")))))</f>
        <v/>
      </c>
      <c r="H1025" s="39" t="str">
        <f>IF($Z1025="","",IF($Z1025&lt;=2000,IF(INDEX(包装物料出入库明细!$L$4:$L$2003,$Z1025-0)=0,"",INDEX(包装物料出入库明细!$L$4:$L$2003,$Z1025-0)),IF($Z1025&lt;=4000,N(INDEX(周转筐出入库明细!$H$4:$H$2004,$Z1025-2000))+N(INDEX(周转筐出入库明细!$I$4:$I$2004,$Z1025-2000))+N(INDEX(周转筐出入库明细!$J$4:$J$2004,$Z1025-2000))+N(INDEX(周转筐出入库明细!$K$4:$K$2004,$Z1025-2000)),IF($Z1025&lt;=5200,N(INDEX(客户自备加工筐明细!$F$4:$F$1203,$Z1025-4000))+N(INDEX(客户自备加工筐明细!$G$4:$G$1203,$Z1025-4000)),IF($Z1025&lt;=5800,IF(INDEX(次果筐明细!$G$4:$G$603,$Z1025-5200)=0,"",INDEX(次果筐明细!$G$4:$G$603,$Z1025-5200)),"")))))</f>
        <v/>
      </c>
      <c r="I1025" s="24" t="str">
        <f>IF($Z1025="","",IF($Z1025&lt;=2000,IF(INDEX(包装物料出入库明细!$G$4:$G$2003,$Z1025-0)=0,"",INDEX(包装物料出入库明细!$G$4:$G$2003,$Z1025-0)),IF($Z1025&lt;=4000,"个",IF($Z1025&lt;=5200,"个",IF($Z1025&lt;=5800,"个","")))))</f>
        <v/>
      </c>
      <c r="J1025" s="30" t="str">
        <f t="shared" si="46"/>
        <v/>
      </c>
      <c r="K1025" s="30" t="str">
        <f>IF($Z1025="","",IF($Z1025&lt;=2000,IF(INDEX(包装物料出入库明细!$N$4:$N$2003,$Z1025-0)=0,"",INDEX(包装物料出入库明细!$N$4:$N$2003,$Z1025-0)),IF($Z1025&lt;=4000,IF(INDEX(周转筐出入库明细!$P$4:$P$2004,$Z1025-2000)=0,"",INDEX(周转筐出入库明细!$P$4:$P$2004,$Z1025-2000)),IF($Z1025&lt;=5200,"",IF($Z1025&lt;=5800,N(INDEX(次果筐明细!$L$4:$L$603,$Z1025-5200))+N(INDEX(次果筐明细!$J$4:$J$603,$Z1025-5200)),"")))))</f>
        <v/>
      </c>
      <c r="L1025" s="24" t="str">
        <f>IF($Z1025="","",IF($Z1025&lt;=2000,IF(INDEX(包装物料出入库明细!$P$4:$P$2003,$Z1025-0)=0,"",INDEX(包装物料出入库明细!$P$4:$P$2003,$Z1025-0)),IF($Z1025&lt;=4000,IF(INDEX(周转筐出入库明细!$Q$4:$Q$2004,$Z1025-2000)=0,"",INDEX(周转筐出入库明细!$Q$4:$Q$2004,$Z1025-2000)),IF($Z1025&lt;=5200,"",IF($Z1025&lt;=5800,IF(INDEX(次果筐明细!$M$4:$M$603,$Z1025-5200)=0,"",INDEX(次果筐明细!$M$4:$M$603,$Z1025-5200)),"")))))</f>
        <v/>
      </c>
      <c r="M1025" s="37" t="str">
        <f>IF($Z1025="","",IF($Z1025&lt;=2000,IF(INDEX(包装物料出入库明细!$R$4:$R$2003,$Z1025-0)=0,"",INDEX(包装物料出入库明细!$R$4:$R$2003,$Z1025-0)),IF($Z1025&lt;=4000,IF(INDEX(周转筐出入库明细!$W$4:$W$2004,$Z1025-2000)=0,"",INDEX(周转筐出入库明细!$W$4:$W$2004,$Z1025-2000)),IF($Z1025&lt;=5200,IF(INDEX(客户自备加工筐明细!$L$4:$L$1203,$Z1025-4000)=0,"",INDEX(客户自备加工筐明细!$L$4:$L$1203,$Z1025-4000)),IF($Z1025&lt;=5800,IF(INDEX(次果筐明细!$P$4:$P$603,$Z1025-5200)=0,"",INDEX(次果筐明细!$P$4:$P$603,$Z1025-5200)),"")))))</f>
        <v/>
      </c>
      <c r="N1025" s="16" t="str">
        <f>IF($Z1025="","",IF($Z1025&lt;=2000,"",IF($Z1025&lt;=4000,IF(INDEX(周转筐出入库明细!$D$4:$D$2004,$Z1025-2000)=0,"",INDEX(周转筐出入库明细!$D$4:$D$2004,$Z1025-2000)),IF($Z1025&lt;=5200,IF(INDEX(客户自备加工筐明细!$C$4:$C$1203,$Z1025-4000)=0,"",INDEX(客户自备加工筐明细!$C$4:$C$1203,$Z1025-4000)),IF($Z1025&lt;=5800,IF(INDEX(次果筐明细!$D$4:$D$603,$Z1025-5200)=0,"",INDEX(次果筐明细!$D$4:$D$603,$Z1025-5200)),"")))))</f>
        <v/>
      </c>
      <c r="O1025" s="40" t="str">
        <f>IF($Z1025="","",IF($Z1025&lt;=2000,"",IF($Z1025&lt;=4000,IF(N(INDEX(周转筐出入库明细!$J$4:$J$2004,$Z1025-2000))+N(INDEX(周转筐出入库明细!$K$4:$K$2004,$Z1025-2000))=0,"",N(INDEX(周转筐出入库明细!$J$4:$J$2004,$Z1025-2000))+N(INDEX(周转筐出入库明细!$K$4:$K$2004,$Z1025-2000))),IF($Z1025&lt;=5200,IF(N(INDEX(客户自备加工筐明细!$G$4:$G$1203,$Z1025-4000))=0,"",N(INDEX(客户自备加工筐明细!$G$4:$G$1203,$Z1025-4000))),IF($Z1025&lt;=5800,IF(ISNUMBER(SEARCH("退",INDEX(次果筐明细!$F$4:$F$603,$Z1025-5200)&amp;"")),"",IF(N(INDEX(次果筐明细!$G$4:$G$603,$Z1025-5200))=0,"",N(INDEX(次果筐明细!$G$4:$G$603,$Z1025-5200)))),"")))))</f>
        <v/>
      </c>
      <c r="P1025" s="40" t="str">
        <f>IF($Z1025="","",IF($Z1025&lt;=2000,"",IF($Z1025&lt;=4000,IF(N(INDEX(周转筐出入库明细!$I$4:$I$2004,$Z1025-2000))=0,"",N(INDEX(周转筐出入库明细!$I$4:$I$2004,$Z1025-2000))),IF($Z1025&lt;=5200,"",IF($Z1025&lt;=5800,IF(ISNUMBER(SEARCH("退",INDEX(次果筐明细!$F$4:$F$603,$Z1025-5200)&amp;"")),IF(N(INDEX(次果筐明细!$G$4:$G$603,$Z1025-5200))=0,"",N(INDEX(次果筐明细!$G$4:$G$603,$Z1025-5200))),""),"")))))</f>
        <v/>
      </c>
      <c r="Q1025" s="40" t="str">
        <f>IF($Z1025="","",IF($Z1025&lt;=2000,"",IF($Z1025&lt;=4000,IF(N(INDEX(周转筐出入库明细!$H$4:$H$2004,$Z1025-2000))=0,"",N(INDEX(周转筐出入库明细!$H$4:$H$2004,$Z1025-2000))),IF($Z1025&lt;=5200,IF(N(INDEX(客户自备加工筐明细!$F$4:$F$1203,$Z1025-4000))=0,"",N(INDEX(客户自备加工筐明细!$F$4:$F$1203,$Z1025-4000))),IF($Z1025&lt;=5800,"","")))))</f>
        <v/>
      </c>
      <c r="R1025" s="16" t="str">
        <f>IF($Z1025="","",IF($Z1025&lt;=2000,IF(INDEX(包装物料出入库明细!$O$4:$O$2003,$Z1025-0)=0,"",INDEX(包装物料出入库明细!$O$4:$O$2003,$Z1025-0)),IF($Z1025&lt;=4000,IF(INDEX(周转筐出入库明细!$M$4:$M$2004,$Z1025-2000)=0,"",INDEX(周转筐出入库明细!$M$4:$M$2004,$Z1025-2000)),IF($Z1025&lt;=5200,IF(INDEX(客户自备加工筐明细!$H$4:$H$1203,$Z1025-4000)=0,"",INDEX(客户自备加工筐明细!$H$4:$H$1203,$Z1025-4000)),IF($Z1025&lt;=5800,IF(INDEX(次果筐明细!$H$4:$H$603,$Z1025-5200)=0,"",INDEX(次果筐明细!$H$4:$H$603,$Z1025-5200)),"")))))</f>
        <v/>
      </c>
      <c r="S1025" s="22" t="str">
        <f t="shared" si="47"/>
        <v/>
      </c>
      <c r="Z1025" s="10" t="str">
        <f>IFERROR(MATCH(ROW()-3,_自动清单!$CQ$4:$CQ$5803,0),"")</f>
        <v/>
      </c>
    </row>
    <row r="1026" spans="1:26">
      <c r="A1026" s="24" t="str">
        <f t="shared" si="45"/>
        <v/>
      </c>
      <c r="B1026" s="38" t="str">
        <f>IF($Z1026="","",IF($Z1026&lt;=2000,IF(INDEX(包装物料出入库明细!$B$4:$B$2003,$Z1026-0)=0,"",INDEX(包装物料出入库明细!$B$4:$B$2003,$Z1026-0)),IF($Z1026&lt;=4000,IF(INDEX(周转筐出入库明细!$B$4:$B$2004,$Z1026-2000)=0,"",INDEX(周转筐出入库明细!$B$4:$B$2004,$Z1026-2000)),IF($Z1026&lt;=5200,IF(INDEX(客户自备加工筐明细!$B$4:$B$1203,$Z1026-4000)=0,"",INDEX(客户自备加工筐明细!$B$4:$B$1203,$Z1026-4000)),IF($Z1026&lt;=5800,IF(INDEX(次果筐明细!$B$4:$B$603,$Z1026-5200)=0,"",INDEX(次果筐明细!$B$4:$B$603,$Z1026-5200)),"")))))</f>
        <v/>
      </c>
      <c r="C1026" s="37" t="str">
        <f>IF($Z1026="","",IF($Z1026&lt;=2000,IF(INDEX(包装物料出入库明细!$D$4:$D$2003,$Z1026-0)=0,"",INDEX(包装物料出入库明细!$D$4:$D$2003,$Z1026-0)),IF($Z1026&lt;=4000,IF(INDEX(周转筐出入库明细!$C$4:$C$2004,$Z1026-2000)=0,"",INDEX(周转筐出入库明细!$C$4:$C$2004,$Z1026-2000)),IF($Z1026&lt;=5200,IF(INDEX(客户自备加工筐明细!$E$4:$E$1203,$Z1026-4000)=0,"",INDEX(客户自备加工筐明细!$E$4:$E$1203,$Z1026-4000)),IF($Z1026&lt;=5800,IF(INDEX(次果筐明细!$C$4:$C$603,$Z1026-5200)=0,"",INDEX(次果筐明细!$C$4:$C$603,$Z1026-5200)),"")))))</f>
        <v/>
      </c>
      <c r="D1026" s="37" t="str">
        <f>IF($Z1026="","",IF($Z1026&lt;=2000,"包装物料－"&amp;INDEX(包装物料出入库明细!$H$4:$H$2003,$Z1026-0),IF($Z1026&lt;=4000,"周转筐－"&amp;INDEX(周转筐出入库明细!$F$4:$F$2004,$Z1026-2000),IF($Z1026&lt;=5200,"客户自备筐－"&amp;INDEX(客户自备加工筐明细!$J$4:$J$1203,$Z1026-4000),IF($Z1026&lt;=5800,"次果筐/托盘－"&amp;INDEX(次果筐明细!$F$4:$F$603,$Z1026-5200),"")))))</f>
        <v/>
      </c>
      <c r="E1026" s="24" t="str">
        <f>IF($Z1026="","",IF($Z1026&lt;=2000,IF(INDEX(包装物料出入库明细!$C$4:$C$2003,$Z1026-0)=0,"",INDEX(包装物料出入库明细!$C$4:$C$2003,$Z1026-0)),IF($Z1026&lt;=4000,IF(INDEX(周转筐出入库明细!$E$4:$E$2004,$Z1026-2000)=0,"",INDEX(周转筐出入库明细!$E$4:$E$2004,$Z1026-2000)),IF($Z1026&lt;=5200,IF(INDEX(客户自备加工筐明细!$D$4:$D$1203,$Z1026-4000)=0,"",INDEX(客户自备加工筐明细!$D$4:$D$1203,$Z1026-4000)),IF($Z1026&lt;=5800,IF(INDEX(次果筐明细!$E$4:$E$603,$Z1026-5200)=0,"",INDEX(次果筐明细!$E$4:$E$603,$Z1026-5200)),"")))))</f>
        <v/>
      </c>
      <c r="F1026" s="24" t="str">
        <f>IF($Z1026="","",IF($Z1026&lt;=2000,IF(INDEX(包装物料出入库明细!$E$4:$E$2003,$Z1026-0)=0,"",INDEX(包装物料出入库明细!$E$4:$E$2003,$Z1026-0)),IF($Z1026&lt;=4000,IF(INDEX(周转筐出入库明细!$D$4:$D$2004,$Z1026-2000)=0,"",INDEX(周转筐出入库明细!$D$4:$D$2004,$Z1026-2000)),IF($Z1026&lt;=5200,IF(INDEX(客户自备加工筐明细!$C$4:$C$1203,$Z1026-4000)=0,"",INDEX(客户自备加工筐明细!$C$4:$C$1203,$Z1026-4000)),IF($Z1026&lt;=5800,IF(INDEX(次果筐明细!$D$4:$D$603,$Z1026-5200)=0,"",INDEX(次果筐明细!$D$4:$D$603,$Z1026-5200)),"")))))</f>
        <v/>
      </c>
      <c r="G1026" s="24" t="str">
        <f>IF($Z1026="","",IF($Z1026&lt;=2000,IF(INDEX(包装物料出入库明细!$F$4:$F$2003,$Z1026-0)=0,"",INDEX(包装物料出入库明细!$F$4:$F$2003,$Z1026-0)),IF($Z1026&lt;=4000,"",IF($Z1026&lt;=5200,"",IF($Z1026&lt;=5800,"","")))))</f>
        <v/>
      </c>
      <c r="H1026" s="39" t="str">
        <f>IF($Z1026="","",IF($Z1026&lt;=2000,IF(INDEX(包装物料出入库明细!$L$4:$L$2003,$Z1026-0)=0,"",INDEX(包装物料出入库明细!$L$4:$L$2003,$Z1026-0)),IF($Z1026&lt;=4000,N(INDEX(周转筐出入库明细!$H$4:$H$2004,$Z1026-2000))+N(INDEX(周转筐出入库明细!$I$4:$I$2004,$Z1026-2000))+N(INDEX(周转筐出入库明细!$J$4:$J$2004,$Z1026-2000))+N(INDEX(周转筐出入库明细!$K$4:$K$2004,$Z1026-2000)),IF($Z1026&lt;=5200,N(INDEX(客户自备加工筐明细!$F$4:$F$1203,$Z1026-4000))+N(INDEX(客户自备加工筐明细!$G$4:$G$1203,$Z1026-4000)),IF($Z1026&lt;=5800,IF(INDEX(次果筐明细!$G$4:$G$603,$Z1026-5200)=0,"",INDEX(次果筐明细!$G$4:$G$603,$Z1026-5200)),"")))))</f>
        <v/>
      </c>
      <c r="I1026" s="24" t="str">
        <f>IF($Z1026="","",IF($Z1026&lt;=2000,IF(INDEX(包装物料出入库明细!$G$4:$G$2003,$Z1026-0)=0,"",INDEX(包装物料出入库明细!$G$4:$G$2003,$Z1026-0)),IF($Z1026&lt;=4000,"个",IF($Z1026&lt;=5200,"个",IF($Z1026&lt;=5800,"个","")))))</f>
        <v/>
      </c>
      <c r="J1026" s="30" t="str">
        <f t="shared" si="46"/>
        <v/>
      </c>
      <c r="K1026" s="30" t="str">
        <f>IF($Z1026="","",IF($Z1026&lt;=2000,IF(INDEX(包装物料出入库明细!$N$4:$N$2003,$Z1026-0)=0,"",INDEX(包装物料出入库明细!$N$4:$N$2003,$Z1026-0)),IF($Z1026&lt;=4000,IF(INDEX(周转筐出入库明细!$P$4:$P$2004,$Z1026-2000)=0,"",INDEX(周转筐出入库明细!$P$4:$P$2004,$Z1026-2000)),IF($Z1026&lt;=5200,"",IF($Z1026&lt;=5800,N(INDEX(次果筐明细!$L$4:$L$603,$Z1026-5200))+N(INDEX(次果筐明细!$J$4:$J$603,$Z1026-5200)),"")))))</f>
        <v/>
      </c>
      <c r="L1026" s="24" t="str">
        <f>IF($Z1026="","",IF($Z1026&lt;=2000,IF(INDEX(包装物料出入库明细!$P$4:$P$2003,$Z1026-0)=0,"",INDEX(包装物料出入库明细!$P$4:$P$2003,$Z1026-0)),IF($Z1026&lt;=4000,IF(INDEX(周转筐出入库明细!$Q$4:$Q$2004,$Z1026-2000)=0,"",INDEX(周转筐出入库明细!$Q$4:$Q$2004,$Z1026-2000)),IF($Z1026&lt;=5200,"",IF($Z1026&lt;=5800,IF(INDEX(次果筐明细!$M$4:$M$603,$Z1026-5200)=0,"",INDEX(次果筐明细!$M$4:$M$603,$Z1026-5200)),"")))))</f>
        <v/>
      </c>
      <c r="M1026" s="37" t="str">
        <f>IF($Z1026="","",IF($Z1026&lt;=2000,IF(INDEX(包装物料出入库明细!$R$4:$R$2003,$Z1026-0)=0,"",INDEX(包装物料出入库明细!$R$4:$R$2003,$Z1026-0)),IF($Z1026&lt;=4000,IF(INDEX(周转筐出入库明细!$W$4:$W$2004,$Z1026-2000)=0,"",INDEX(周转筐出入库明细!$W$4:$W$2004,$Z1026-2000)),IF($Z1026&lt;=5200,IF(INDEX(客户自备加工筐明细!$L$4:$L$1203,$Z1026-4000)=0,"",INDEX(客户自备加工筐明细!$L$4:$L$1203,$Z1026-4000)),IF($Z1026&lt;=5800,IF(INDEX(次果筐明细!$P$4:$P$603,$Z1026-5200)=0,"",INDEX(次果筐明细!$P$4:$P$603,$Z1026-5200)),"")))))</f>
        <v/>
      </c>
      <c r="N1026" s="16" t="str">
        <f>IF($Z1026="","",IF($Z1026&lt;=2000,"",IF($Z1026&lt;=4000,IF(INDEX(周转筐出入库明细!$D$4:$D$2004,$Z1026-2000)=0,"",INDEX(周转筐出入库明细!$D$4:$D$2004,$Z1026-2000)),IF($Z1026&lt;=5200,IF(INDEX(客户自备加工筐明细!$C$4:$C$1203,$Z1026-4000)=0,"",INDEX(客户自备加工筐明细!$C$4:$C$1203,$Z1026-4000)),IF($Z1026&lt;=5800,IF(INDEX(次果筐明细!$D$4:$D$603,$Z1026-5200)=0,"",INDEX(次果筐明细!$D$4:$D$603,$Z1026-5200)),"")))))</f>
        <v/>
      </c>
      <c r="O1026" s="40" t="str">
        <f>IF($Z1026="","",IF($Z1026&lt;=2000,"",IF($Z1026&lt;=4000,IF(N(INDEX(周转筐出入库明细!$J$4:$J$2004,$Z1026-2000))+N(INDEX(周转筐出入库明细!$K$4:$K$2004,$Z1026-2000))=0,"",N(INDEX(周转筐出入库明细!$J$4:$J$2004,$Z1026-2000))+N(INDEX(周转筐出入库明细!$K$4:$K$2004,$Z1026-2000))),IF($Z1026&lt;=5200,IF(N(INDEX(客户自备加工筐明细!$G$4:$G$1203,$Z1026-4000))=0,"",N(INDEX(客户自备加工筐明细!$G$4:$G$1203,$Z1026-4000))),IF($Z1026&lt;=5800,IF(ISNUMBER(SEARCH("退",INDEX(次果筐明细!$F$4:$F$603,$Z1026-5200)&amp;"")),"",IF(N(INDEX(次果筐明细!$G$4:$G$603,$Z1026-5200))=0,"",N(INDEX(次果筐明细!$G$4:$G$603,$Z1026-5200)))),"")))))</f>
        <v/>
      </c>
      <c r="P1026" s="40" t="str">
        <f>IF($Z1026="","",IF($Z1026&lt;=2000,"",IF($Z1026&lt;=4000,IF(N(INDEX(周转筐出入库明细!$I$4:$I$2004,$Z1026-2000))=0,"",N(INDEX(周转筐出入库明细!$I$4:$I$2004,$Z1026-2000))),IF($Z1026&lt;=5200,"",IF($Z1026&lt;=5800,IF(ISNUMBER(SEARCH("退",INDEX(次果筐明细!$F$4:$F$603,$Z1026-5200)&amp;"")),IF(N(INDEX(次果筐明细!$G$4:$G$603,$Z1026-5200))=0,"",N(INDEX(次果筐明细!$G$4:$G$603,$Z1026-5200))),""),"")))))</f>
        <v/>
      </c>
      <c r="Q1026" s="40" t="str">
        <f>IF($Z1026="","",IF($Z1026&lt;=2000,"",IF($Z1026&lt;=4000,IF(N(INDEX(周转筐出入库明细!$H$4:$H$2004,$Z1026-2000))=0,"",N(INDEX(周转筐出入库明细!$H$4:$H$2004,$Z1026-2000))),IF($Z1026&lt;=5200,IF(N(INDEX(客户自备加工筐明细!$F$4:$F$1203,$Z1026-4000))=0,"",N(INDEX(客户自备加工筐明细!$F$4:$F$1203,$Z1026-4000))),IF($Z1026&lt;=5800,"","")))))</f>
        <v/>
      </c>
      <c r="R1026" s="16" t="str">
        <f>IF($Z1026="","",IF($Z1026&lt;=2000,IF(INDEX(包装物料出入库明细!$O$4:$O$2003,$Z1026-0)=0,"",INDEX(包装物料出入库明细!$O$4:$O$2003,$Z1026-0)),IF($Z1026&lt;=4000,IF(INDEX(周转筐出入库明细!$M$4:$M$2004,$Z1026-2000)=0,"",INDEX(周转筐出入库明细!$M$4:$M$2004,$Z1026-2000)),IF($Z1026&lt;=5200,IF(INDEX(客户自备加工筐明细!$H$4:$H$1203,$Z1026-4000)=0,"",INDEX(客户自备加工筐明细!$H$4:$H$1203,$Z1026-4000)),IF($Z1026&lt;=5800,IF(INDEX(次果筐明细!$H$4:$H$603,$Z1026-5200)=0,"",INDEX(次果筐明细!$H$4:$H$603,$Z1026-5200)),"")))))</f>
        <v/>
      </c>
      <c r="S1026" s="22" t="str">
        <f t="shared" si="47"/>
        <v/>
      </c>
      <c r="Z1026" s="10" t="str">
        <f>IFERROR(MATCH(ROW()-3,_自动清单!$CQ$4:$CQ$5803,0),"")</f>
        <v/>
      </c>
    </row>
    <row r="1027" spans="1:26">
      <c r="A1027" s="24" t="str">
        <f t="shared" si="45"/>
        <v/>
      </c>
      <c r="B1027" s="38" t="str">
        <f>IF($Z1027="","",IF($Z1027&lt;=2000,IF(INDEX(包装物料出入库明细!$B$4:$B$2003,$Z1027-0)=0,"",INDEX(包装物料出入库明细!$B$4:$B$2003,$Z1027-0)),IF($Z1027&lt;=4000,IF(INDEX(周转筐出入库明细!$B$4:$B$2004,$Z1027-2000)=0,"",INDEX(周转筐出入库明细!$B$4:$B$2004,$Z1027-2000)),IF($Z1027&lt;=5200,IF(INDEX(客户自备加工筐明细!$B$4:$B$1203,$Z1027-4000)=0,"",INDEX(客户自备加工筐明细!$B$4:$B$1203,$Z1027-4000)),IF($Z1027&lt;=5800,IF(INDEX(次果筐明细!$B$4:$B$603,$Z1027-5200)=0,"",INDEX(次果筐明细!$B$4:$B$603,$Z1027-5200)),"")))))</f>
        <v/>
      </c>
      <c r="C1027" s="37" t="str">
        <f>IF($Z1027="","",IF($Z1027&lt;=2000,IF(INDEX(包装物料出入库明细!$D$4:$D$2003,$Z1027-0)=0,"",INDEX(包装物料出入库明细!$D$4:$D$2003,$Z1027-0)),IF($Z1027&lt;=4000,IF(INDEX(周转筐出入库明细!$C$4:$C$2004,$Z1027-2000)=0,"",INDEX(周转筐出入库明细!$C$4:$C$2004,$Z1027-2000)),IF($Z1027&lt;=5200,IF(INDEX(客户自备加工筐明细!$E$4:$E$1203,$Z1027-4000)=0,"",INDEX(客户自备加工筐明细!$E$4:$E$1203,$Z1027-4000)),IF($Z1027&lt;=5800,IF(INDEX(次果筐明细!$C$4:$C$603,$Z1027-5200)=0,"",INDEX(次果筐明细!$C$4:$C$603,$Z1027-5200)),"")))))</f>
        <v/>
      </c>
      <c r="D1027" s="37" t="str">
        <f>IF($Z1027="","",IF($Z1027&lt;=2000,"包装物料－"&amp;INDEX(包装物料出入库明细!$H$4:$H$2003,$Z1027-0),IF($Z1027&lt;=4000,"周转筐－"&amp;INDEX(周转筐出入库明细!$F$4:$F$2004,$Z1027-2000),IF($Z1027&lt;=5200,"客户自备筐－"&amp;INDEX(客户自备加工筐明细!$J$4:$J$1203,$Z1027-4000),IF($Z1027&lt;=5800,"次果筐/托盘－"&amp;INDEX(次果筐明细!$F$4:$F$603,$Z1027-5200),"")))))</f>
        <v/>
      </c>
      <c r="E1027" s="24" t="str">
        <f>IF($Z1027="","",IF($Z1027&lt;=2000,IF(INDEX(包装物料出入库明细!$C$4:$C$2003,$Z1027-0)=0,"",INDEX(包装物料出入库明细!$C$4:$C$2003,$Z1027-0)),IF($Z1027&lt;=4000,IF(INDEX(周转筐出入库明细!$E$4:$E$2004,$Z1027-2000)=0,"",INDEX(周转筐出入库明细!$E$4:$E$2004,$Z1027-2000)),IF($Z1027&lt;=5200,IF(INDEX(客户自备加工筐明细!$D$4:$D$1203,$Z1027-4000)=0,"",INDEX(客户自备加工筐明细!$D$4:$D$1203,$Z1027-4000)),IF($Z1027&lt;=5800,IF(INDEX(次果筐明细!$E$4:$E$603,$Z1027-5200)=0,"",INDEX(次果筐明细!$E$4:$E$603,$Z1027-5200)),"")))))</f>
        <v/>
      </c>
      <c r="F1027" s="24" t="str">
        <f>IF($Z1027="","",IF($Z1027&lt;=2000,IF(INDEX(包装物料出入库明细!$E$4:$E$2003,$Z1027-0)=0,"",INDEX(包装物料出入库明细!$E$4:$E$2003,$Z1027-0)),IF($Z1027&lt;=4000,IF(INDEX(周转筐出入库明细!$D$4:$D$2004,$Z1027-2000)=0,"",INDEX(周转筐出入库明细!$D$4:$D$2004,$Z1027-2000)),IF($Z1027&lt;=5200,IF(INDEX(客户自备加工筐明细!$C$4:$C$1203,$Z1027-4000)=0,"",INDEX(客户自备加工筐明细!$C$4:$C$1203,$Z1027-4000)),IF($Z1027&lt;=5800,IF(INDEX(次果筐明细!$D$4:$D$603,$Z1027-5200)=0,"",INDEX(次果筐明细!$D$4:$D$603,$Z1027-5200)),"")))))</f>
        <v/>
      </c>
      <c r="G1027" s="24" t="str">
        <f>IF($Z1027="","",IF($Z1027&lt;=2000,IF(INDEX(包装物料出入库明细!$F$4:$F$2003,$Z1027-0)=0,"",INDEX(包装物料出入库明细!$F$4:$F$2003,$Z1027-0)),IF($Z1027&lt;=4000,"",IF($Z1027&lt;=5200,"",IF($Z1027&lt;=5800,"","")))))</f>
        <v/>
      </c>
      <c r="H1027" s="39" t="str">
        <f>IF($Z1027="","",IF($Z1027&lt;=2000,IF(INDEX(包装物料出入库明细!$L$4:$L$2003,$Z1027-0)=0,"",INDEX(包装物料出入库明细!$L$4:$L$2003,$Z1027-0)),IF($Z1027&lt;=4000,N(INDEX(周转筐出入库明细!$H$4:$H$2004,$Z1027-2000))+N(INDEX(周转筐出入库明细!$I$4:$I$2004,$Z1027-2000))+N(INDEX(周转筐出入库明细!$J$4:$J$2004,$Z1027-2000))+N(INDEX(周转筐出入库明细!$K$4:$K$2004,$Z1027-2000)),IF($Z1027&lt;=5200,N(INDEX(客户自备加工筐明细!$F$4:$F$1203,$Z1027-4000))+N(INDEX(客户自备加工筐明细!$G$4:$G$1203,$Z1027-4000)),IF($Z1027&lt;=5800,IF(INDEX(次果筐明细!$G$4:$G$603,$Z1027-5200)=0,"",INDEX(次果筐明细!$G$4:$G$603,$Z1027-5200)),"")))))</f>
        <v/>
      </c>
      <c r="I1027" s="24" t="str">
        <f>IF($Z1027="","",IF($Z1027&lt;=2000,IF(INDEX(包装物料出入库明细!$G$4:$G$2003,$Z1027-0)=0,"",INDEX(包装物料出入库明细!$G$4:$G$2003,$Z1027-0)),IF($Z1027&lt;=4000,"个",IF($Z1027&lt;=5200,"个",IF($Z1027&lt;=5800,"个","")))))</f>
        <v/>
      </c>
      <c r="J1027" s="30" t="str">
        <f t="shared" si="46"/>
        <v/>
      </c>
      <c r="K1027" s="30" t="str">
        <f>IF($Z1027="","",IF($Z1027&lt;=2000,IF(INDEX(包装物料出入库明细!$N$4:$N$2003,$Z1027-0)=0,"",INDEX(包装物料出入库明细!$N$4:$N$2003,$Z1027-0)),IF($Z1027&lt;=4000,IF(INDEX(周转筐出入库明细!$P$4:$P$2004,$Z1027-2000)=0,"",INDEX(周转筐出入库明细!$P$4:$P$2004,$Z1027-2000)),IF($Z1027&lt;=5200,"",IF($Z1027&lt;=5800,N(INDEX(次果筐明细!$L$4:$L$603,$Z1027-5200))+N(INDEX(次果筐明细!$J$4:$J$603,$Z1027-5200)),"")))))</f>
        <v/>
      </c>
      <c r="L1027" s="24" t="str">
        <f>IF($Z1027="","",IF($Z1027&lt;=2000,IF(INDEX(包装物料出入库明细!$P$4:$P$2003,$Z1027-0)=0,"",INDEX(包装物料出入库明细!$P$4:$P$2003,$Z1027-0)),IF($Z1027&lt;=4000,IF(INDEX(周转筐出入库明细!$Q$4:$Q$2004,$Z1027-2000)=0,"",INDEX(周转筐出入库明细!$Q$4:$Q$2004,$Z1027-2000)),IF($Z1027&lt;=5200,"",IF($Z1027&lt;=5800,IF(INDEX(次果筐明细!$M$4:$M$603,$Z1027-5200)=0,"",INDEX(次果筐明细!$M$4:$M$603,$Z1027-5200)),"")))))</f>
        <v/>
      </c>
      <c r="M1027" s="37" t="str">
        <f>IF($Z1027="","",IF($Z1027&lt;=2000,IF(INDEX(包装物料出入库明细!$R$4:$R$2003,$Z1027-0)=0,"",INDEX(包装物料出入库明细!$R$4:$R$2003,$Z1027-0)),IF($Z1027&lt;=4000,IF(INDEX(周转筐出入库明细!$W$4:$W$2004,$Z1027-2000)=0,"",INDEX(周转筐出入库明细!$W$4:$W$2004,$Z1027-2000)),IF($Z1027&lt;=5200,IF(INDEX(客户自备加工筐明细!$L$4:$L$1203,$Z1027-4000)=0,"",INDEX(客户自备加工筐明细!$L$4:$L$1203,$Z1027-4000)),IF($Z1027&lt;=5800,IF(INDEX(次果筐明细!$P$4:$P$603,$Z1027-5200)=0,"",INDEX(次果筐明细!$P$4:$P$603,$Z1027-5200)),"")))))</f>
        <v/>
      </c>
      <c r="N1027" s="16" t="str">
        <f>IF($Z1027="","",IF($Z1027&lt;=2000,"",IF($Z1027&lt;=4000,IF(INDEX(周转筐出入库明细!$D$4:$D$2004,$Z1027-2000)=0,"",INDEX(周转筐出入库明细!$D$4:$D$2004,$Z1027-2000)),IF($Z1027&lt;=5200,IF(INDEX(客户自备加工筐明细!$C$4:$C$1203,$Z1027-4000)=0,"",INDEX(客户自备加工筐明细!$C$4:$C$1203,$Z1027-4000)),IF($Z1027&lt;=5800,IF(INDEX(次果筐明细!$D$4:$D$603,$Z1027-5200)=0,"",INDEX(次果筐明细!$D$4:$D$603,$Z1027-5200)),"")))))</f>
        <v/>
      </c>
      <c r="O1027" s="40" t="str">
        <f>IF($Z1027="","",IF($Z1027&lt;=2000,"",IF($Z1027&lt;=4000,IF(N(INDEX(周转筐出入库明细!$J$4:$J$2004,$Z1027-2000))+N(INDEX(周转筐出入库明细!$K$4:$K$2004,$Z1027-2000))=0,"",N(INDEX(周转筐出入库明细!$J$4:$J$2004,$Z1027-2000))+N(INDEX(周转筐出入库明细!$K$4:$K$2004,$Z1027-2000))),IF($Z1027&lt;=5200,IF(N(INDEX(客户自备加工筐明细!$G$4:$G$1203,$Z1027-4000))=0,"",N(INDEX(客户自备加工筐明细!$G$4:$G$1203,$Z1027-4000))),IF($Z1027&lt;=5800,IF(ISNUMBER(SEARCH("退",INDEX(次果筐明细!$F$4:$F$603,$Z1027-5200)&amp;"")),"",IF(N(INDEX(次果筐明细!$G$4:$G$603,$Z1027-5200))=0,"",N(INDEX(次果筐明细!$G$4:$G$603,$Z1027-5200)))),"")))))</f>
        <v/>
      </c>
      <c r="P1027" s="40" t="str">
        <f>IF($Z1027="","",IF($Z1027&lt;=2000,"",IF($Z1027&lt;=4000,IF(N(INDEX(周转筐出入库明细!$I$4:$I$2004,$Z1027-2000))=0,"",N(INDEX(周转筐出入库明细!$I$4:$I$2004,$Z1027-2000))),IF($Z1027&lt;=5200,"",IF($Z1027&lt;=5800,IF(ISNUMBER(SEARCH("退",INDEX(次果筐明细!$F$4:$F$603,$Z1027-5200)&amp;"")),IF(N(INDEX(次果筐明细!$G$4:$G$603,$Z1027-5200))=0,"",N(INDEX(次果筐明细!$G$4:$G$603,$Z1027-5200))),""),"")))))</f>
        <v/>
      </c>
      <c r="Q1027" s="40" t="str">
        <f>IF($Z1027="","",IF($Z1027&lt;=2000,"",IF($Z1027&lt;=4000,IF(N(INDEX(周转筐出入库明细!$H$4:$H$2004,$Z1027-2000))=0,"",N(INDEX(周转筐出入库明细!$H$4:$H$2004,$Z1027-2000))),IF($Z1027&lt;=5200,IF(N(INDEX(客户自备加工筐明细!$F$4:$F$1203,$Z1027-4000))=0,"",N(INDEX(客户自备加工筐明细!$F$4:$F$1203,$Z1027-4000))),IF($Z1027&lt;=5800,"","")))))</f>
        <v/>
      </c>
      <c r="R1027" s="16" t="str">
        <f>IF($Z1027="","",IF($Z1027&lt;=2000,IF(INDEX(包装物料出入库明细!$O$4:$O$2003,$Z1027-0)=0,"",INDEX(包装物料出入库明细!$O$4:$O$2003,$Z1027-0)),IF($Z1027&lt;=4000,IF(INDEX(周转筐出入库明细!$M$4:$M$2004,$Z1027-2000)=0,"",INDEX(周转筐出入库明细!$M$4:$M$2004,$Z1027-2000)),IF($Z1027&lt;=5200,IF(INDEX(客户自备加工筐明细!$H$4:$H$1203,$Z1027-4000)=0,"",INDEX(客户自备加工筐明细!$H$4:$H$1203,$Z1027-4000)),IF($Z1027&lt;=5800,IF(INDEX(次果筐明细!$H$4:$H$603,$Z1027-5200)=0,"",INDEX(次果筐明细!$H$4:$H$603,$Z1027-5200)),"")))))</f>
        <v/>
      </c>
      <c r="S1027" s="22" t="str">
        <f t="shared" si="47"/>
        <v/>
      </c>
      <c r="Z1027" s="10" t="str">
        <f>IFERROR(MATCH(ROW()-3,_自动清单!$CQ$4:$CQ$5803,0),"")</f>
        <v/>
      </c>
    </row>
    <row r="1028" spans="1:26">
      <c r="A1028" s="24" t="str">
        <f t="shared" ref="A1028:A1091" si="48">IF($B1028="","",ROW()-3)</f>
        <v/>
      </c>
      <c r="B1028" s="38" t="str">
        <f>IF($Z1028="","",IF($Z1028&lt;=2000,IF(INDEX(包装物料出入库明细!$B$4:$B$2003,$Z1028-0)=0,"",INDEX(包装物料出入库明细!$B$4:$B$2003,$Z1028-0)),IF($Z1028&lt;=4000,IF(INDEX(周转筐出入库明细!$B$4:$B$2004,$Z1028-2000)=0,"",INDEX(周转筐出入库明细!$B$4:$B$2004,$Z1028-2000)),IF($Z1028&lt;=5200,IF(INDEX(客户自备加工筐明细!$B$4:$B$1203,$Z1028-4000)=0,"",INDEX(客户自备加工筐明细!$B$4:$B$1203,$Z1028-4000)),IF($Z1028&lt;=5800,IF(INDEX(次果筐明细!$B$4:$B$603,$Z1028-5200)=0,"",INDEX(次果筐明细!$B$4:$B$603,$Z1028-5200)),"")))))</f>
        <v/>
      </c>
      <c r="C1028" s="37" t="str">
        <f>IF($Z1028="","",IF($Z1028&lt;=2000,IF(INDEX(包装物料出入库明细!$D$4:$D$2003,$Z1028-0)=0,"",INDEX(包装物料出入库明细!$D$4:$D$2003,$Z1028-0)),IF($Z1028&lt;=4000,IF(INDEX(周转筐出入库明细!$C$4:$C$2004,$Z1028-2000)=0,"",INDEX(周转筐出入库明细!$C$4:$C$2004,$Z1028-2000)),IF($Z1028&lt;=5200,IF(INDEX(客户自备加工筐明细!$E$4:$E$1203,$Z1028-4000)=0,"",INDEX(客户自备加工筐明细!$E$4:$E$1203,$Z1028-4000)),IF($Z1028&lt;=5800,IF(INDEX(次果筐明细!$C$4:$C$603,$Z1028-5200)=0,"",INDEX(次果筐明细!$C$4:$C$603,$Z1028-5200)),"")))))</f>
        <v/>
      </c>
      <c r="D1028" s="37" t="str">
        <f>IF($Z1028="","",IF($Z1028&lt;=2000,"包装物料－"&amp;INDEX(包装物料出入库明细!$H$4:$H$2003,$Z1028-0),IF($Z1028&lt;=4000,"周转筐－"&amp;INDEX(周转筐出入库明细!$F$4:$F$2004,$Z1028-2000),IF($Z1028&lt;=5200,"客户自备筐－"&amp;INDEX(客户自备加工筐明细!$J$4:$J$1203,$Z1028-4000),IF($Z1028&lt;=5800,"次果筐/托盘－"&amp;INDEX(次果筐明细!$F$4:$F$603,$Z1028-5200),"")))))</f>
        <v/>
      </c>
      <c r="E1028" s="24" t="str">
        <f>IF($Z1028="","",IF($Z1028&lt;=2000,IF(INDEX(包装物料出入库明细!$C$4:$C$2003,$Z1028-0)=0,"",INDEX(包装物料出入库明细!$C$4:$C$2003,$Z1028-0)),IF($Z1028&lt;=4000,IF(INDEX(周转筐出入库明细!$E$4:$E$2004,$Z1028-2000)=0,"",INDEX(周转筐出入库明细!$E$4:$E$2004,$Z1028-2000)),IF($Z1028&lt;=5200,IF(INDEX(客户自备加工筐明细!$D$4:$D$1203,$Z1028-4000)=0,"",INDEX(客户自备加工筐明细!$D$4:$D$1203,$Z1028-4000)),IF($Z1028&lt;=5800,IF(INDEX(次果筐明细!$E$4:$E$603,$Z1028-5200)=0,"",INDEX(次果筐明细!$E$4:$E$603,$Z1028-5200)),"")))))</f>
        <v/>
      </c>
      <c r="F1028" s="24" t="str">
        <f>IF($Z1028="","",IF($Z1028&lt;=2000,IF(INDEX(包装物料出入库明细!$E$4:$E$2003,$Z1028-0)=0,"",INDEX(包装物料出入库明细!$E$4:$E$2003,$Z1028-0)),IF($Z1028&lt;=4000,IF(INDEX(周转筐出入库明细!$D$4:$D$2004,$Z1028-2000)=0,"",INDEX(周转筐出入库明细!$D$4:$D$2004,$Z1028-2000)),IF($Z1028&lt;=5200,IF(INDEX(客户自备加工筐明细!$C$4:$C$1203,$Z1028-4000)=0,"",INDEX(客户自备加工筐明细!$C$4:$C$1203,$Z1028-4000)),IF($Z1028&lt;=5800,IF(INDEX(次果筐明细!$D$4:$D$603,$Z1028-5200)=0,"",INDEX(次果筐明细!$D$4:$D$603,$Z1028-5200)),"")))))</f>
        <v/>
      </c>
      <c r="G1028" s="24" t="str">
        <f>IF($Z1028="","",IF($Z1028&lt;=2000,IF(INDEX(包装物料出入库明细!$F$4:$F$2003,$Z1028-0)=0,"",INDEX(包装物料出入库明细!$F$4:$F$2003,$Z1028-0)),IF($Z1028&lt;=4000,"",IF($Z1028&lt;=5200,"",IF($Z1028&lt;=5800,"","")))))</f>
        <v/>
      </c>
      <c r="H1028" s="39" t="str">
        <f>IF($Z1028="","",IF($Z1028&lt;=2000,IF(INDEX(包装物料出入库明细!$L$4:$L$2003,$Z1028-0)=0,"",INDEX(包装物料出入库明细!$L$4:$L$2003,$Z1028-0)),IF($Z1028&lt;=4000,N(INDEX(周转筐出入库明细!$H$4:$H$2004,$Z1028-2000))+N(INDEX(周转筐出入库明细!$I$4:$I$2004,$Z1028-2000))+N(INDEX(周转筐出入库明细!$J$4:$J$2004,$Z1028-2000))+N(INDEX(周转筐出入库明细!$K$4:$K$2004,$Z1028-2000)),IF($Z1028&lt;=5200,N(INDEX(客户自备加工筐明细!$F$4:$F$1203,$Z1028-4000))+N(INDEX(客户自备加工筐明细!$G$4:$G$1203,$Z1028-4000)),IF($Z1028&lt;=5800,IF(INDEX(次果筐明细!$G$4:$G$603,$Z1028-5200)=0,"",INDEX(次果筐明细!$G$4:$G$603,$Z1028-5200)),"")))))</f>
        <v/>
      </c>
      <c r="I1028" s="24" t="str">
        <f>IF($Z1028="","",IF($Z1028&lt;=2000,IF(INDEX(包装物料出入库明细!$G$4:$G$2003,$Z1028-0)=0,"",INDEX(包装物料出入库明细!$G$4:$G$2003,$Z1028-0)),IF($Z1028&lt;=4000,"个",IF($Z1028&lt;=5200,"个",IF($Z1028&lt;=5800,"个","")))))</f>
        <v/>
      </c>
      <c r="J1028" s="30" t="str">
        <f t="shared" ref="J1028:J1091" si="49">IF($Z1028="","",IF($Z1028&lt;=2000,"",IF($Z1028&lt;=4000,"",IF($Z1028&lt;=5200,"",IF($Z1028&lt;=5800,"","")))))</f>
        <v/>
      </c>
      <c r="K1028" s="30" t="str">
        <f>IF($Z1028="","",IF($Z1028&lt;=2000,IF(INDEX(包装物料出入库明细!$N$4:$N$2003,$Z1028-0)=0,"",INDEX(包装物料出入库明细!$N$4:$N$2003,$Z1028-0)),IF($Z1028&lt;=4000,IF(INDEX(周转筐出入库明细!$P$4:$P$2004,$Z1028-2000)=0,"",INDEX(周转筐出入库明细!$P$4:$P$2004,$Z1028-2000)),IF($Z1028&lt;=5200,"",IF($Z1028&lt;=5800,N(INDEX(次果筐明细!$L$4:$L$603,$Z1028-5200))+N(INDEX(次果筐明细!$J$4:$J$603,$Z1028-5200)),"")))))</f>
        <v/>
      </c>
      <c r="L1028" s="24" t="str">
        <f>IF($Z1028="","",IF($Z1028&lt;=2000,IF(INDEX(包装物料出入库明细!$P$4:$P$2003,$Z1028-0)=0,"",INDEX(包装物料出入库明细!$P$4:$P$2003,$Z1028-0)),IF($Z1028&lt;=4000,IF(INDEX(周转筐出入库明细!$Q$4:$Q$2004,$Z1028-2000)=0,"",INDEX(周转筐出入库明细!$Q$4:$Q$2004,$Z1028-2000)),IF($Z1028&lt;=5200,"",IF($Z1028&lt;=5800,IF(INDEX(次果筐明细!$M$4:$M$603,$Z1028-5200)=0,"",INDEX(次果筐明细!$M$4:$M$603,$Z1028-5200)),"")))))</f>
        <v/>
      </c>
      <c r="M1028" s="37" t="str">
        <f>IF($Z1028="","",IF($Z1028&lt;=2000,IF(INDEX(包装物料出入库明细!$R$4:$R$2003,$Z1028-0)=0,"",INDEX(包装物料出入库明细!$R$4:$R$2003,$Z1028-0)),IF($Z1028&lt;=4000,IF(INDEX(周转筐出入库明细!$W$4:$W$2004,$Z1028-2000)=0,"",INDEX(周转筐出入库明细!$W$4:$W$2004,$Z1028-2000)),IF($Z1028&lt;=5200,IF(INDEX(客户自备加工筐明细!$L$4:$L$1203,$Z1028-4000)=0,"",INDEX(客户自备加工筐明细!$L$4:$L$1203,$Z1028-4000)),IF($Z1028&lt;=5800,IF(INDEX(次果筐明细!$P$4:$P$603,$Z1028-5200)=0,"",INDEX(次果筐明细!$P$4:$P$603,$Z1028-5200)),"")))))</f>
        <v/>
      </c>
      <c r="N1028" s="16" t="str">
        <f>IF($Z1028="","",IF($Z1028&lt;=2000,"",IF($Z1028&lt;=4000,IF(INDEX(周转筐出入库明细!$D$4:$D$2004,$Z1028-2000)=0,"",INDEX(周转筐出入库明细!$D$4:$D$2004,$Z1028-2000)),IF($Z1028&lt;=5200,IF(INDEX(客户自备加工筐明细!$C$4:$C$1203,$Z1028-4000)=0,"",INDEX(客户自备加工筐明细!$C$4:$C$1203,$Z1028-4000)),IF($Z1028&lt;=5800,IF(INDEX(次果筐明细!$D$4:$D$603,$Z1028-5200)=0,"",INDEX(次果筐明细!$D$4:$D$603,$Z1028-5200)),"")))))</f>
        <v/>
      </c>
      <c r="O1028" s="40" t="str">
        <f>IF($Z1028="","",IF($Z1028&lt;=2000,"",IF($Z1028&lt;=4000,IF(N(INDEX(周转筐出入库明细!$J$4:$J$2004,$Z1028-2000))+N(INDEX(周转筐出入库明细!$K$4:$K$2004,$Z1028-2000))=0,"",N(INDEX(周转筐出入库明细!$J$4:$J$2004,$Z1028-2000))+N(INDEX(周转筐出入库明细!$K$4:$K$2004,$Z1028-2000))),IF($Z1028&lt;=5200,IF(N(INDEX(客户自备加工筐明细!$G$4:$G$1203,$Z1028-4000))=0,"",N(INDEX(客户自备加工筐明细!$G$4:$G$1203,$Z1028-4000))),IF($Z1028&lt;=5800,IF(ISNUMBER(SEARCH("退",INDEX(次果筐明细!$F$4:$F$603,$Z1028-5200)&amp;"")),"",IF(N(INDEX(次果筐明细!$G$4:$G$603,$Z1028-5200))=0,"",N(INDEX(次果筐明细!$G$4:$G$603,$Z1028-5200)))),"")))))</f>
        <v/>
      </c>
      <c r="P1028" s="40" t="str">
        <f>IF($Z1028="","",IF($Z1028&lt;=2000,"",IF($Z1028&lt;=4000,IF(N(INDEX(周转筐出入库明细!$I$4:$I$2004,$Z1028-2000))=0,"",N(INDEX(周转筐出入库明细!$I$4:$I$2004,$Z1028-2000))),IF($Z1028&lt;=5200,"",IF($Z1028&lt;=5800,IF(ISNUMBER(SEARCH("退",INDEX(次果筐明细!$F$4:$F$603,$Z1028-5200)&amp;"")),IF(N(INDEX(次果筐明细!$G$4:$G$603,$Z1028-5200))=0,"",N(INDEX(次果筐明细!$G$4:$G$603,$Z1028-5200))),""),"")))))</f>
        <v/>
      </c>
      <c r="Q1028" s="40" t="str">
        <f>IF($Z1028="","",IF($Z1028&lt;=2000,"",IF($Z1028&lt;=4000,IF(N(INDEX(周转筐出入库明细!$H$4:$H$2004,$Z1028-2000))=0,"",N(INDEX(周转筐出入库明细!$H$4:$H$2004,$Z1028-2000))),IF($Z1028&lt;=5200,IF(N(INDEX(客户自备加工筐明细!$F$4:$F$1203,$Z1028-4000))=0,"",N(INDEX(客户自备加工筐明细!$F$4:$F$1203,$Z1028-4000))),IF($Z1028&lt;=5800,"","")))))</f>
        <v/>
      </c>
      <c r="R1028" s="16" t="str">
        <f>IF($Z1028="","",IF($Z1028&lt;=2000,IF(INDEX(包装物料出入库明细!$O$4:$O$2003,$Z1028-0)=0,"",INDEX(包装物料出入库明细!$O$4:$O$2003,$Z1028-0)),IF($Z1028&lt;=4000,IF(INDEX(周转筐出入库明细!$M$4:$M$2004,$Z1028-2000)=0,"",INDEX(周转筐出入库明细!$M$4:$M$2004,$Z1028-2000)),IF($Z1028&lt;=5200,IF(INDEX(客户自备加工筐明细!$H$4:$H$1203,$Z1028-4000)=0,"",INDEX(客户自备加工筐明细!$H$4:$H$1203,$Z1028-4000)),IF($Z1028&lt;=5800,IF(INDEX(次果筐明细!$H$4:$H$603,$Z1028-5200)=0,"",INDEX(次果筐明细!$H$4:$H$603,$Z1028-5200)),"")))))</f>
        <v/>
      </c>
      <c r="S1028" s="22" t="str">
        <f t="shared" ref="S1028:S1091" si="50">IF($N1028="","",IF(OR(LEFT($N1028,2)="自备",AND($Z1028&gt;4000,$Z1028&lt;=5200)),"自备筐","公司筐"))</f>
        <v/>
      </c>
      <c r="Z1028" s="10" t="str">
        <f>IFERROR(MATCH(ROW()-3,_自动清单!$CQ$4:$CQ$5803,0),"")</f>
        <v/>
      </c>
    </row>
    <row r="1029" spans="1:26">
      <c r="A1029" s="24" t="str">
        <f t="shared" si="48"/>
        <v/>
      </c>
      <c r="B1029" s="38" t="str">
        <f>IF($Z1029="","",IF($Z1029&lt;=2000,IF(INDEX(包装物料出入库明细!$B$4:$B$2003,$Z1029-0)=0,"",INDEX(包装物料出入库明细!$B$4:$B$2003,$Z1029-0)),IF($Z1029&lt;=4000,IF(INDEX(周转筐出入库明细!$B$4:$B$2004,$Z1029-2000)=0,"",INDEX(周转筐出入库明细!$B$4:$B$2004,$Z1029-2000)),IF($Z1029&lt;=5200,IF(INDEX(客户自备加工筐明细!$B$4:$B$1203,$Z1029-4000)=0,"",INDEX(客户自备加工筐明细!$B$4:$B$1203,$Z1029-4000)),IF($Z1029&lt;=5800,IF(INDEX(次果筐明细!$B$4:$B$603,$Z1029-5200)=0,"",INDEX(次果筐明细!$B$4:$B$603,$Z1029-5200)),"")))))</f>
        <v/>
      </c>
      <c r="C1029" s="37" t="str">
        <f>IF($Z1029="","",IF($Z1029&lt;=2000,IF(INDEX(包装物料出入库明细!$D$4:$D$2003,$Z1029-0)=0,"",INDEX(包装物料出入库明细!$D$4:$D$2003,$Z1029-0)),IF($Z1029&lt;=4000,IF(INDEX(周转筐出入库明细!$C$4:$C$2004,$Z1029-2000)=0,"",INDEX(周转筐出入库明细!$C$4:$C$2004,$Z1029-2000)),IF($Z1029&lt;=5200,IF(INDEX(客户自备加工筐明细!$E$4:$E$1203,$Z1029-4000)=0,"",INDEX(客户自备加工筐明细!$E$4:$E$1203,$Z1029-4000)),IF($Z1029&lt;=5800,IF(INDEX(次果筐明细!$C$4:$C$603,$Z1029-5200)=0,"",INDEX(次果筐明细!$C$4:$C$603,$Z1029-5200)),"")))))</f>
        <v/>
      </c>
      <c r="D1029" s="37" t="str">
        <f>IF($Z1029="","",IF($Z1029&lt;=2000,"包装物料－"&amp;INDEX(包装物料出入库明细!$H$4:$H$2003,$Z1029-0),IF($Z1029&lt;=4000,"周转筐－"&amp;INDEX(周转筐出入库明细!$F$4:$F$2004,$Z1029-2000),IF($Z1029&lt;=5200,"客户自备筐－"&amp;INDEX(客户自备加工筐明细!$J$4:$J$1203,$Z1029-4000),IF($Z1029&lt;=5800,"次果筐/托盘－"&amp;INDEX(次果筐明细!$F$4:$F$603,$Z1029-5200),"")))))</f>
        <v/>
      </c>
      <c r="E1029" s="24" t="str">
        <f>IF($Z1029="","",IF($Z1029&lt;=2000,IF(INDEX(包装物料出入库明细!$C$4:$C$2003,$Z1029-0)=0,"",INDEX(包装物料出入库明细!$C$4:$C$2003,$Z1029-0)),IF($Z1029&lt;=4000,IF(INDEX(周转筐出入库明细!$E$4:$E$2004,$Z1029-2000)=0,"",INDEX(周转筐出入库明细!$E$4:$E$2004,$Z1029-2000)),IF($Z1029&lt;=5200,IF(INDEX(客户自备加工筐明细!$D$4:$D$1203,$Z1029-4000)=0,"",INDEX(客户自备加工筐明细!$D$4:$D$1203,$Z1029-4000)),IF($Z1029&lt;=5800,IF(INDEX(次果筐明细!$E$4:$E$603,$Z1029-5200)=0,"",INDEX(次果筐明细!$E$4:$E$603,$Z1029-5200)),"")))))</f>
        <v/>
      </c>
      <c r="F1029" s="24" t="str">
        <f>IF($Z1029="","",IF($Z1029&lt;=2000,IF(INDEX(包装物料出入库明细!$E$4:$E$2003,$Z1029-0)=0,"",INDEX(包装物料出入库明细!$E$4:$E$2003,$Z1029-0)),IF($Z1029&lt;=4000,IF(INDEX(周转筐出入库明细!$D$4:$D$2004,$Z1029-2000)=0,"",INDEX(周转筐出入库明细!$D$4:$D$2004,$Z1029-2000)),IF($Z1029&lt;=5200,IF(INDEX(客户自备加工筐明细!$C$4:$C$1203,$Z1029-4000)=0,"",INDEX(客户自备加工筐明细!$C$4:$C$1203,$Z1029-4000)),IF($Z1029&lt;=5800,IF(INDEX(次果筐明细!$D$4:$D$603,$Z1029-5200)=0,"",INDEX(次果筐明细!$D$4:$D$603,$Z1029-5200)),"")))))</f>
        <v/>
      </c>
      <c r="G1029" s="24" t="str">
        <f>IF($Z1029="","",IF($Z1029&lt;=2000,IF(INDEX(包装物料出入库明细!$F$4:$F$2003,$Z1029-0)=0,"",INDEX(包装物料出入库明细!$F$4:$F$2003,$Z1029-0)),IF($Z1029&lt;=4000,"",IF($Z1029&lt;=5200,"",IF($Z1029&lt;=5800,"","")))))</f>
        <v/>
      </c>
      <c r="H1029" s="39" t="str">
        <f>IF($Z1029="","",IF($Z1029&lt;=2000,IF(INDEX(包装物料出入库明细!$L$4:$L$2003,$Z1029-0)=0,"",INDEX(包装物料出入库明细!$L$4:$L$2003,$Z1029-0)),IF($Z1029&lt;=4000,N(INDEX(周转筐出入库明细!$H$4:$H$2004,$Z1029-2000))+N(INDEX(周转筐出入库明细!$I$4:$I$2004,$Z1029-2000))+N(INDEX(周转筐出入库明细!$J$4:$J$2004,$Z1029-2000))+N(INDEX(周转筐出入库明细!$K$4:$K$2004,$Z1029-2000)),IF($Z1029&lt;=5200,N(INDEX(客户自备加工筐明细!$F$4:$F$1203,$Z1029-4000))+N(INDEX(客户自备加工筐明细!$G$4:$G$1203,$Z1029-4000)),IF($Z1029&lt;=5800,IF(INDEX(次果筐明细!$G$4:$G$603,$Z1029-5200)=0,"",INDEX(次果筐明细!$G$4:$G$603,$Z1029-5200)),"")))))</f>
        <v/>
      </c>
      <c r="I1029" s="24" t="str">
        <f>IF($Z1029="","",IF($Z1029&lt;=2000,IF(INDEX(包装物料出入库明细!$G$4:$G$2003,$Z1029-0)=0,"",INDEX(包装物料出入库明细!$G$4:$G$2003,$Z1029-0)),IF($Z1029&lt;=4000,"个",IF($Z1029&lt;=5200,"个",IF($Z1029&lt;=5800,"个","")))))</f>
        <v/>
      </c>
      <c r="J1029" s="30" t="str">
        <f t="shared" si="49"/>
        <v/>
      </c>
      <c r="K1029" s="30" t="str">
        <f>IF($Z1029="","",IF($Z1029&lt;=2000,IF(INDEX(包装物料出入库明细!$N$4:$N$2003,$Z1029-0)=0,"",INDEX(包装物料出入库明细!$N$4:$N$2003,$Z1029-0)),IF($Z1029&lt;=4000,IF(INDEX(周转筐出入库明细!$P$4:$P$2004,$Z1029-2000)=0,"",INDEX(周转筐出入库明细!$P$4:$P$2004,$Z1029-2000)),IF($Z1029&lt;=5200,"",IF($Z1029&lt;=5800,N(INDEX(次果筐明细!$L$4:$L$603,$Z1029-5200))+N(INDEX(次果筐明细!$J$4:$J$603,$Z1029-5200)),"")))))</f>
        <v/>
      </c>
      <c r="L1029" s="24" t="str">
        <f>IF($Z1029="","",IF($Z1029&lt;=2000,IF(INDEX(包装物料出入库明细!$P$4:$P$2003,$Z1029-0)=0,"",INDEX(包装物料出入库明细!$P$4:$P$2003,$Z1029-0)),IF($Z1029&lt;=4000,IF(INDEX(周转筐出入库明细!$Q$4:$Q$2004,$Z1029-2000)=0,"",INDEX(周转筐出入库明细!$Q$4:$Q$2004,$Z1029-2000)),IF($Z1029&lt;=5200,"",IF($Z1029&lt;=5800,IF(INDEX(次果筐明细!$M$4:$M$603,$Z1029-5200)=0,"",INDEX(次果筐明细!$M$4:$M$603,$Z1029-5200)),"")))))</f>
        <v/>
      </c>
      <c r="M1029" s="37" t="str">
        <f>IF($Z1029="","",IF($Z1029&lt;=2000,IF(INDEX(包装物料出入库明细!$R$4:$R$2003,$Z1029-0)=0,"",INDEX(包装物料出入库明细!$R$4:$R$2003,$Z1029-0)),IF($Z1029&lt;=4000,IF(INDEX(周转筐出入库明细!$W$4:$W$2004,$Z1029-2000)=0,"",INDEX(周转筐出入库明细!$W$4:$W$2004,$Z1029-2000)),IF($Z1029&lt;=5200,IF(INDEX(客户自备加工筐明细!$L$4:$L$1203,$Z1029-4000)=0,"",INDEX(客户自备加工筐明细!$L$4:$L$1203,$Z1029-4000)),IF($Z1029&lt;=5800,IF(INDEX(次果筐明细!$P$4:$P$603,$Z1029-5200)=0,"",INDEX(次果筐明细!$P$4:$P$603,$Z1029-5200)),"")))))</f>
        <v/>
      </c>
      <c r="N1029" s="16" t="str">
        <f>IF($Z1029="","",IF($Z1029&lt;=2000,"",IF($Z1029&lt;=4000,IF(INDEX(周转筐出入库明细!$D$4:$D$2004,$Z1029-2000)=0,"",INDEX(周转筐出入库明细!$D$4:$D$2004,$Z1029-2000)),IF($Z1029&lt;=5200,IF(INDEX(客户自备加工筐明细!$C$4:$C$1203,$Z1029-4000)=0,"",INDEX(客户自备加工筐明细!$C$4:$C$1203,$Z1029-4000)),IF($Z1029&lt;=5800,IF(INDEX(次果筐明细!$D$4:$D$603,$Z1029-5200)=0,"",INDEX(次果筐明细!$D$4:$D$603,$Z1029-5200)),"")))))</f>
        <v/>
      </c>
      <c r="O1029" s="40" t="str">
        <f>IF($Z1029="","",IF($Z1029&lt;=2000,"",IF($Z1029&lt;=4000,IF(N(INDEX(周转筐出入库明细!$J$4:$J$2004,$Z1029-2000))+N(INDEX(周转筐出入库明细!$K$4:$K$2004,$Z1029-2000))=0,"",N(INDEX(周转筐出入库明细!$J$4:$J$2004,$Z1029-2000))+N(INDEX(周转筐出入库明细!$K$4:$K$2004,$Z1029-2000))),IF($Z1029&lt;=5200,IF(N(INDEX(客户自备加工筐明细!$G$4:$G$1203,$Z1029-4000))=0,"",N(INDEX(客户自备加工筐明细!$G$4:$G$1203,$Z1029-4000))),IF($Z1029&lt;=5800,IF(ISNUMBER(SEARCH("退",INDEX(次果筐明细!$F$4:$F$603,$Z1029-5200)&amp;"")),"",IF(N(INDEX(次果筐明细!$G$4:$G$603,$Z1029-5200))=0,"",N(INDEX(次果筐明细!$G$4:$G$603,$Z1029-5200)))),"")))))</f>
        <v/>
      </c>
      <c r="P1029" s="40" t="str">
        <f>IF($Z1029="","",IF($Z1029&lt;=2000,"",IF($Z1029&lt;=4000,IF(N(INDEX(周转筐出入库明细!$I$4:$I$2004,$Z1029-2000))=0,"",N(INDEX(周转筐出入库明细!$I$4:$I$2004,$Z1029-2000))),IF($Z1029&lt;=5200,"",IF($Z1029&lt;=5800,IF(ISNUMBER(SEARCH("退",INDEX(次果筐明细!$F$4:$F$603,$Z1029-5200)&amp;"")),IF(N(INDEX(次果筐明细!$G$4:$G$603,$Z1029-5200))=0,"",N(INDEX(次果筐明细!$G$4:$G$603,$Z1029-5200))),""),"")))))</f>
        <v/>
      </c>
      <c r="Q1029" s="40" t="str">
        <f>IF($Z1029="","",IF($Z1029&lt;=2000,"",IF($Z1029&lt;=4000,IF(N(INDEX(周转筐出入库明细!$H$4:$H$2004,$Z1029-2000))=0,"",N(INDEX(周转筐出入库明细!$H$4:$H$2004,$Z1029-2000))),IF($Z1029&lt;=5200,IF(N(INDEX(客户自备加工筐明细!$F$4:$F$1203,$Z1029-4000))=0,"",N(INDEX(客户自备加工筐明细!$F$4:$F$1203,$Z1029-4000))),IF($Z1029&lt;=5800,"","")))))</f>
        <v/>
      </c>
      <c r="R1029" s="16" t="str">
        <f>IF($Z1029="","",IF($Z1029&lt;=2000,IF(INDEX(包装物料出入库明细!$O$4:$O$2003,$Z1029-0)=0,"",INDEX(包装物料出入库明细!$O$4:$O$2003,$Z1029-0)),IF($Z1029&lt;=4000,IF(INDEX(周转筐出入库明细!$M$4:$M$2004,$Z1029-2000)=0,"",INDEX(周转筐出入库明细!$M$4:$M$2004,$Z1029-2000)),IF($Z1029&lt;=5200,IF(INDEX(客户自备加工筐明细!$H$4:$H$1203,$Z1029-4000)=0,"",INDEX(客户自备加工筐明细!$H$4:$H$1203,$Z1029-4000)),IF($Z1029&lt;=5800,IF(INDEX(次果筐明细!$H$4:$H$603,$Z1029-5200)=0,"",INDEX(次果筐明细!$H$4:$H$603,$Z1029-5200)),"")))))</f>
        <v/>
      </c>
      <c r="S1029" s="22" t="str">
        <f t="shared" si="50"/>
        <v/>
      </c>
      <c r="Z1029" s="10" t="str">
        <f>IFERROR(MATCH(ROW()-3,_自动清单!$CQ$4:$CQ$5803,0),"")</f>
        <v/>
      </c>
    </row>
    <row r="1030" spans="1:26">
      <c r="A1030" s="24" t="str">
        <f t="shared" si="48"/>
        <v/>
      </c>
      <c r="B1030" s="38" t="str">
        <f>IF($Z1030="","",IF($Z1030&lt;=2000,IF(INDEX(包装物料出入库明细!$B$4:$B$2003,$Z1030-0)=0,"",INDEX(包装物料出入库明细!$B$4:$B$2003,$Z1030-0)),IF($Z1030&lt;=4000,IF(INDEX(周转筐出入库明细!$B$4:$B$2004,$Z1030-2000)=0,"",INDEX(周转筐出入库明细!$B$4:$B$2004,$Z1030-2000)),IF($Z1030&lt;=5200,IF(INDEX(客户自备加工筐明细!$B$4:$B$1203,$Z1030-4000)=0,"",INDEX(客户自备加工筐明细!$B$4:$B$1203,$Z1030-4000)),IF($Z1030&lt;=5800,IF(INDEX(次果筐明细!$B$4:$B$603,$Z1030-5200)=0,"",INDEX(次果筐明细!$B$4:$B$603,$Z1030-5200)),"")))))</f>
        <v/>
      </c>
      <c r="C1030" s="37" t="str">
        <f>IF($Z1030="","",IF($Z1030&lt;=2000,IF(INDEX(包装物料出入库明细!$D$4:$D$2003,$Z1030-0)=0,"",INDEX(包装物料出入库明细!$D$4:$D$2003,$Z1030-0)),IF($Z1030&lt;=4000,IF(INDEX(周转筐出入库明细!$C$4:$C$2004,$Z1030-2000)=0,"",INDEX(周转筐出入库明细!$C$4:$C$2004,$Z1030-2000)),IF($Z1030&lt;=5200,IF(INDEX(客户自备加工筐明细!$E$4:$E$1203,$Z1030-4000)=0,"",INDEX(客户自备加工筐明细!$E$4:$E$1203,$Z1030-4000)),IF($Z1030&lt;=5800,IF(INDEX(次果筐明细!$C$4:$C$603,$Z1030-5200)=0,"",INDEX(次果筐明细!$C$4:$C$603,$Z1030-5200)),"")))))</f>
        <v/>
      </c>
      <c r="D1030" s="37" t="str">
        <f>IF($Z1030="","",IF($Z1030&lt;=2000,"包装物料－"&amp;INDEX(包装物料出入库明细!$H$4:$H$2003,$Z1030-0),IF($Z1030&lt;=4000,"周转筐－"&amp;INDEX(周转筐出入库明细!$F$4:$F$2004,$Z1030-2000),IF($Z1030&lt;=5200,"客户自备筐－"&amp;INDEX(客户自备加工筐明细!$J$4:$J$1203,$Z1030-4000),IF($Z1030&lt;=5800,"次果筐/托盘－"&amp;INDEX(次果筐明细!$F$4:$F$603,$Z1030-5200),"")))))</f>
        <v/>
      </c>
      <c r="E1030" s="24" t="str">
        <f>IF($Z1030="","",IF($Z1030&lt;=2000,IF(INDEX(包装物料出入库明细!$C$4:$C$2003,$Z1030-0)=0,"",INDEX(包装物料出入库明细!$C$4:$C$2003,$Z1030-0)),IF($Z1030&lt;=4000,IF(INDEX(周转筐出入库明细!$E$4:$E$2004,$Z1030-2000)=0,"",INDEX(周转筐出入库明细!$E$4:$E$2004,$Z1030-2000)),IF($Z1030&lt;=5200,IF(INDEX(客户自备加工筐明细!$D$4:$D$1203,$Z1030-4000)=0,"",INDEX(客户自备加工筐明细!$D$4:$D$1203,$Z1030-4000)),IF($Z1030&lt;=5800,IF(INDEX(次果筐明细!$E$4:$E$603,$Z1030-5200)=0,"",INDEX(次果筐明细!$E$4:$E$603,$Z1030-5200)),"")))))</f>
        <v/>
      </c>
      <c r="F1030" s="24" t="str">
        <f>IF($Z1030="","",IF($Z1030&lt;=2000,IF(INDEX(包装物料出入库明细!$E$4:$E$2003,$Z1030-0)=0,"",INDEX(包装物料出入库明细!$E$4:$E$2003,$Z1030-0)),IF($Z1030&lt;=4000,IF(INDEX(周转筐出入库明细!$D$4:$D$2004,$Z1030-2000)=0,"",INDEX(周转筐出入库明细!$D$4:$D$2004,$Z1030-2000)),IF($Z1030&lt;=5200,IF(INDEX(客户自备加工筐明细!$C$4:$C$1203,$Z1030-4000)=0,"",INDEX(客户自备加工筐明细!$C$4:$C$1203,$Z1030-4000)),IF($Z1030&lt;=5800,IF(INDEX(次果筐明细!$D$4:$D$603,$Z1030-5200)=0,"",INDEX(次果筐明细!$D$4:$D$603,$Z1030-5200)),"")))))</f>
        <v/>
      </c>
      <c r="G1030" s="24" t="str">
        <f>IF($Z1030="","",IF($Z1030&lt;=2000,IF(INDEX(包装物料出入库明细!$F$4:$F$2003,$Z1030-0)=0,"",INDEX(包装物料出入库明细!$F$4:$F$2003,$Z1030-0)),IF($Z1030&lt;=4000,"",IF($Z1030&lt;=5200,"",IF($Z1030&lt;=5800,"","")))))</f>
        <v/>
      </c>
      <c r="H1030" s="39" t="str">
        <f>IF($Z1030="","",IF($Z1030&lt;=2000,IF(INDEX(包装物料出入库明细!$L$4:$L$2003,$Z1030-0)=0,"",INDEX(包装物料出入库明细!$L$4:$L$2003,$Z1030-0)),IF($Z1030&lt;=4000,N(INDEX(周转筐出入库明细!$H$4:$H$2004,$Z1030-2000))+N(INDEX(周转筐出入库明细!$I$4:$I$2004,$Z1030-2000))+N(INDEX(周转筐出入库明细!$J$4:$J$2004,$Z1030-2000))+N(INDEX(周转筐出入库明细!$K$4:$K$2004,$Z1030-2000)),IF($Z1030&lt;=5200,N(INDEX(客户自备加工筐明细!$F$4:$F$1203,$Z1030-4000))+N(INDEX(客户自备加工筐明细!$G$4:$G$1203,$Z1030-4000)),IF($Z1030&lt;=5800,IF(INDEX(次果筐明细!$G$4:$G$603,$Z1030-5200)=0,"",INDEX(次果筐明细!$G$4:$G$603,$Z1030-5200)),"")))))</f>
        <v/>
      </c>
      <c r="I1030" s="24" t="str">
        <f>IF($Z1030="","",IF($Z1030&lt;=2000,IF(INDEX(包装物料出入库明细!$G$4:$G$2003,$Z1030-0)=0,"",INDEX(包装物料出入库明细!$G$4:$G$2003,$Z1030-0)),IF($Z1030&lt;=4000,"个",IF($Z1030&lt;=5200,"个",IF($Z1030&lt;=5800,"个","")))))</f>
        <v/>
      </c>
      <c r="J1030" s="30" t="str">
        <f t="shared" si="49"/>
        <v/>
      </c>
      <c r="K1030" s="30" t="str">
        <f>IF($Z1030="","",IF($Z1030&lt;=2000,IF(INDEX(包装物料出入库明细!$N$4:$N$2003,$Z1030-0)=0,"",INDEX(包装物料出入库明细!$N$4:$N$2003,$Z1030-0)),IF($Z1030&lt;=4000,IF(INDEX(周转筐出入库明细!$P$4:$P$2004,$Z1030-2000)=0,"",INDEX(周转筐出入库明细!$P$4:$P$2004,$Z1030-2000)),IF($Z1030&lt;=5200,"",IF($Z1030&lt;=5800,N(INDEX(次果筐明细!$L$4:$L$603,$Z1030-5200))+N(INDEX(次果筐明细!$J$4:$J$603,$Z1030-5200)),"")))))</f>
        <v/>
      </c>
      <c r="L1030" s="24" t="str">
        <f>IF($Z1030="","",IF($Z1030&lt;=2000,IF(INDEX(包装物料出入库明细!$P$4:$P$2003,$Z1030-0)=0,"",INDEX(包装物料出入库明细!$P$4:$P$2003,$Z1030-0)),IF($Z1030&lt;=4000,IF(INDEX(周转筐出入库明细!$Q$4:$Q$2004,$Z1030-2000)=0,"",INDEX(周转筐出入库明细!$Q$4:$Q$2004,$Z1030-2000)),IF($Z1030&lt;=5200,"",IF($Z1030&lt;=5800,IF(INDEX(次果筐明细!$M$4:$M$603,$Z1030-5200)=0,"",INDEX(次果筐明细!$M$4:$M$603,$Z1030-5200)),"")))))</f>
        <v/>
      </c>
      <c r="M1030" s="37" t="str">
        <f>IF($Z1030="","",IF($Z1030&lt;=2000,IF(INDEX(包装物料出入库明细!$R$4:$R$2003,$Z1030-0)=0,"",INDEX(包装物料出入库明细!$R$4:$R$2003,$Z1030-0)),IF($Z1030&lt;=4000,IF(INDEX(周转筐出入库明细!$W$4:$W$2004,$Z1030-2000)=0,"",INDEX(周转筐出入库明细!$W$4:$W$2004,$Z1030-2000)),IF($Z1030&lt;=5200,IF(INDEX(客户自备加工筐明细!$L$4:$L$1203,$Z1030-4000)=0,"",INDEX(客户自备加工筐明细!$L$4:$L$1203,$Z1030-4000)),IF($Z1030&lt;=5800,IF(INDEX(次果筐明细!$P$4:$P$603,$Z1030-5200)=0,"",INDEX(次果筐明细!$P$4:$P$603,$Z1030-5200)),"")))))</f>
        <v/>
      </c>
      <c r="N1030" s="16" t="str">
        <f>IF($Z1030="","",IF($Z1030&lt;=2000,"",IF($Z1030&lt;=4000,IF(INDEX(周转筐出入库明细!$D$4:$D$2004,$Z1030-2000)=0,"",INDEX(周转筐出入库明细!$D$4:$D$2004,$Z1030-2000)),IF($Z1030&lt;=5200,IF(INDEX(客户自备加工筐明细!$C$4:$C$1203,$Z1030-4000)=0,"",INDEX(客户自备加工筐明细!$C$4:$C$1203,$Z1030-4000)),IF($Z1030&lt;=5800,IF(INDEX(次果筐明细!$D$4:$D$603,$Z1030-5200)=0,"",INDEX(次果筐明细!$D$4:$D$603,$Z1030-5200)),"")))))</f>
        <v/>
      </c>
      <c r="O1030" s="40" t="str">
        <f>IF($Z1030="","",IF($Z1030&lt;=2000,"",IF($Z1030&lt;=4000,IF(N(INDEX(周转筐出入库明细!$J$4:$J$2004,$Z1030-2000))+N(INDEX(周转筐出入库明细!$K$4:$K$2004,$Z1030-2000))=0,"",N(INDEX(周转筐出入库明细!$J$4:$J$2004,$Z1030-2000))+N(INDEX(周转筐出入库明细!$K$4:$K$2004,$Z1030-2000))),IF($Z1030&lt;=5200,IF(N(INDEX(客户自备加工筐明细!$G$4:$G$1203,$Z1030-4000))=0,"",N(INDEX(客户自备加工筐明细!$G$4:$G$1203,$Z1030-4000))),IF($Z1030&lt;=5800,IF(ISNUMBER(SEARCH("退",INDEX(次果筐明细!$F$4:$F$603,$Z1030-5200)&amp;"")),"",IF(N(INDEX(次果筐明细!$G$4:$G$603,$Z1030-5200))=0,"",N(INDEX(次果筐明细!$G$4:$G$603,$Z1030-5200)))),"")))))</f>
        <v/>
      </c>
      <c r="P1030" s="40" t="str">
        <f>IF($Z1030="","",IF($Z1030&lt;=2000,"",IF($Z1030&lt;=4000,IF(N(INDEX(周转筐出入库明细!$I$4:$I$2004,$Z1030-2000))=0,"",N(INDEX(周转筐出入库明细!$I$4:$I$2004,$Z1030-2000))),IF($Z1030&lt;=5200,"",IF($Z1030&lt;=5800,IF(ISNUMBER(SEARCH("退",INDEX(次果筐明细!$F$4:$F$603,$Z1030-5200)&amp;"")),IF(N(INDEX(次果筐明细!$G$4:$G$603,$Z1030-5200))=0,"",N(INDEX(次果筐明细!$G$4:$G$603,$Z1030-5200))),""),"")))))</f>
        <v/>
      </c>
      <c r="Q1030" s="40" t="str">
        <f>IF($Z1030="","",IF($Z1030&lt;=2000,"",IF($Z1030&lt;=4000,IF(N(INDEX(周转筐出入库明细!$H$4:$H$2004,$Z1030-2000))=0,"",N(INDEX(周转筐出入库明细!$H$4:$H$2004,$Z1030-2000))),IF($Z1030&lt;=5200,IF(N(INDEX(客户自备加工筐明细!$F$4:$F$1203,$Z1030-4000))=0,"",N(INDEX(客户自备加工筐明细!$F$4:$F$1203,$Z1030-4000))),IF($Z1030&lt;=5800,"","")))))</f>
        <v/>
      </c>
      <c r="R1030" s="16" t="str">
        <f>IF($Z1030="","",IF($Z1030&lt;=2000,IF(INDEX(包装物料出入库明细!$O$4:$O$2003,$Z1030-0)=0,"",INDEX(包装物料出入库明细!$O$4:$O$2003,$Z1030-0)),IF($Z1030&lt;=4000,IF(INDEX(周转筐出入库明细!$M$4:$M$2004,$Z1030-2000)=0,"",INDEX(周转筐出入库明细!$M$4:$M$2004,$Z1030-2000)),IF($Z1030&lt;=5200,IF(INDEX(客户自备加工筐明细!$H$4:$H$1203,$Z1030-4000)=0,"",INDEX(客户自备加工筐明细!$H$4:$H$1203,$Z1030-4000)),IF($Z1030&lt;=5800,IF(INDEX(次果筐明细!$H$4:$H$603,$Z1030-5200)=0,"",INDEX(次果筐明细!$H$4:$H$603,$Z1030-5200)),"")))))</f>
        <v/>
      </c>
      <c r="S1030" s="22" t="str">
        <f t="shared" si="50"/>
        <v/>
      </c>
      <c r="Z1030" s="10" t="str">
        <f>IFERROR(MATCH(ROW()-3,_自动清单!$CQ$4:$CQ$5803,0),"")</f>
        <v/>
      </c>
    </row>
    <row r="1031" spans="1:26">
      <c r="A1031" s="24" t="str">
        <f t="shared" si="48"/>
        <v/>
      </c>
      <c r="B1031" s="38" t="str">
        <f>IF($Z1031="","",IF($Z1031&lt;=2000,IF(INDEX(包装物料出入库明细!$B$4:$B$2003,$Z1031-0)=0,"",INDEX(包装物料出入库明细!$B$4:$B$2003,$Z1031-0)),IF($Z1031&lt;=4000,IF(INDEX(周转筐出入库明细!$B$4:$B$2004,$Z1031-2000)=0,"",INDEX(周转筐出入库明细!$B$4:$B$2004,$Z1031-2000)),IF($Z1031&lt;=5200,IF(INDEX(客户自备加工筐明细!$B$4:$B$1203,$Z1031-4000)=0,"",INDEX(客户自备加工筐明细!$B$4:$B$1203,$Z1031-4000)),IF($Z1031&lt;=5800,IF(INDEX(次果筐明细!$B$4:$B$603,$Z1031-5200)=0,"",INDEX(次果筐明细!$B$4:$B$603,$Z1031-5200)),"")))))</f>
        <v/>
      </c>
      <c r="C1031" s="37" t="str">
        <f>IF($Z1031="","",IF($Z1031&lt;=2000,IF(INDEX(包装物料出入库明细!$D$4:$D$2003,$Z1031-0)=0,"",INDEX(包装物料出入库明细!$D$4:$D$2003,$Z1031-0)),IF($Z1031&lt;=4000,IF(INDEX(周转筐出入库明细!$C$4:$C$2004,$Z1031-2000)=0,"",INDEX(周转筐出入库明细!$C$4:$C$2004,$Z1031-2000)),IF($Z1031&lt;=5200,IF(INDEX(客户自备加工筐明细!$E$4:$E$1203,$Z1031-4000)=0,"",INDEX(客户自备加工筐明细!$E$4:$E$1203,$Z1031-4000)),IF($Z1031&lt;=5800,IF(INDEX(次果筐明细!$C$4:$C$603,$Z1031-5200)=0,"",INDEX(次果筐明细!$C$4:$C$603,$Z1031-5200)),"")))))</f>
        <v/>
      </c>
      <c r="D1031" s="37" t="str">
        <f>IF($Z1031="","",IF($Z1031&lt;=2000,"包装物料－"&amp;INDEX(包装物料出入库明细!$H$4:$H$2003,$Z1031-0),IF($Z1031&lt;=4000,"周转筐－"&amp;INDEX(周转筐出入库明细!$F$4:$F$2004,$Z1031-2000),IF($Z1031&lt;=5200,"客户自备筐－"&amp;INDEX(客户自备加工筐明细!$J$4:$J$1203,$Z1031-4000),IF($Z1031&lt;=5800,"次果筐/托盘－"&amp;INDEX(次果筐明细!$F$4:$F$603,$Z1031-5200),"")))))</f>
        <v/>
      </c>
      <c r="E1031" s="24" t="str">
        <f>IF($Z1031="","",IF($Z1031&lt;=2000,IF(INDEX(包装物料出入库明细!$C$4:$C$2003,$Z1031-0)=0,"",INDEX(包装物料出入库明细!$C$4:$C$2003,$Z1031-0)),IF($Z1031&lt;=4000,IF(INDEX(周转筐出入库明细!$E$4:$E$2004,$Z1031-2000)=0,"",INDEX(周转筐出入库明细!$E$4:$E$2004,$Z1031-2000)),IF($Z1031&lt;=5200,IF(INDEX(客户自备加工筐明细!$D$4:$D$1203,$Z1031-4000)=0,"",INDEX(客户自备加工筐明细!$D$4:$D$1203,$Z1031-4000)),IF($Z1031&lt;=5800,IF(INDEX(次果筐明细!$E$4:$E$603,$Z1031-5200)=0,"",INDEX(次果筐明细!$E$4:$E$603,$Z1031-5200)),"")))))</f>
        <v/>
      </c>
      <c r="F1031" s="24" t="str">
        <f>IF($Z1031="","",IF($Z1031&lt;=2000,IF(INDEX(包装物料出入库明细!$E$4:$E$2003,$Z1031-0)=0,"",INDEX(包装物料出入库明细!$E$4:$E$2003,$Z1031-0)),IF($Z1031&lt;=4000,IF(INDEX(周转筐出入库明细!$D$4:$D$2004,$Z1031-2000)=0,"",INDEX(周转筐出入库明细!$D$4:$D$2004,$Z1031-2000)),IF($Z1031&lt;=5200,IF(INDEX(客户自备加工筐明细!$C$4:$C$1203,$Z1031-4000)=0,"",INDEX(客户自备加工筐明细!$C$4:$C$1203,$Z1031-4000)),IF($Z1031&lt;=5800,IF(INDEX(次果筐明细!$D$4:$D$603,$Z1031-5200)=0,"",INDEX(次果筐明细!$D$4:$D$603,$Z1031-5200)),"")))))</f>
        <v/>
      </c>
      <c r="G1031" s="24" t="str">
        <f>IF($Z1031="","",IF($Z1031&lt;=2000,IF(INDEX(包装物料出入库明细!$F$4:$F$2003,$Z1031-0)=0,"",INDEX(包装物料出入库明细!$F$4:$F$2003,$Z1031-0)),IF($Z1031&lt;=4000,"",IF($Z1031&lt;=5200,"",IF($Z1031&lt;=5800,"","")))))</f>
        <v/>
      </c>
      <c r="H1031" s="39" t="str">
        <f>IF($Z1031="","",IF($Z1031&lt;=2000,IF(INDEX(包装物料出入库明细!$L$4:$L$2003,$Z1031-0)=0,"",INDEX(包装物料出入库明细!$L$4:$L$2003,$Z1031-0)),IF($Z1031&lt;=4000,N(INDEX(周转筐出入库明细!$H$4:$H$2004,$Z1031-2000))+N(INDEX(周转筐出入库明细!$I$4:$I$2004,$Z1031-2000))+N(INDEX(周转筐出入库明细!$J$4:$J$2004,$Z1031-2000))+N(INDEX(周转筐出入库明细!$K$4:$K$2004,$Z1031-2000)),IF($Z1031&lt;=5200,N(INDEX(客户自备加工筐明细!$F$4:$F$1203,$Z1031-4000))+N(INDEX(客户自备加工筐明细!$G$4:$G$1203,$Z1031-4000)),IF($Z1031&lt;=5800,IF(INDEX(次果筐明细!$G$4:$G$603,$Z1031-5200)=0,"",INDEX(次果筐明细!$G$4:$G$603,$Z1031-5200)),"")))))</f>
        <v/>
      </c>
      <c r="I1031" s="24" t="str">
        <f>IF($Z1031="","",IF($Z1031&lt;=2000,IF(INDEX(包装物料出入库明细!$G$4:$G$2003,$Z1031-0)=0,"",INDEX(包装物料出入库明细!$G$4:$G$2003,$Z1031-0)),IF($Z1031&lt;=4000,"个",IF($Z1031&lt;=5200,"个",IF($Z1031&lt;=5800,"个","")))))</f>
        <v/>
      </c>
      <c r="J1031" s="30" t="str">
        <f t="shared" si="49"/>
        <v/>
      </c>
      <c r="K1031" s="30" t="str">
        <f>IF($Z1031="","",IF($Z1031&lt;=2000,IF(INDEX(包装物料出入库明细!$N$4:$N$2003,$Z1031-0)=0,"",INDEX(包装物料出入库明细!$N$4:$N$2003,$Z1031-0)),IF($Z1031&lt;=4000,IF(INDEX(周转筐出入库明细!$P$4:$P$2004,$Z1031-2000)=0,"",INDEX(周转筐出入库明细!$P$4:$P$2004,$Z1031-2000)),IF($Z1031&lt;=5200,"",IF($Z1031&lt;=5800,N(INDEX(次果筐明细!$L$4:$L$603,$Z1031-5200))+N(INDEX(次果筐明细!$J$4:$J$603,$Z1031-5200)),"")))))</f>
        <v/>
      </c>
      <c r="L1031" s="24" t="str">
        <f>IF($Z1031="","",IF($Z1031&lt;=2000,IF(INDEX(包装物料出入库明细!$P$4:$P$2003,$Z1031-0)=0,"",INDEX(包装物料出入库明细!$P$4:$P$2003,$Z1031-0)),IF($Z1031&lt;=4000,IF(INDEX(周转筐出入库明细!$Q$4:$Q$2004,$Z1031-2000)=0,"",INDEX(周转筐出入库明细!$Q$4:$Q$2004,$Z1031-2000)),IF($Z1031&lt;=5200,"",IF($Z1031&lt;=5800,IF(INDEX(次果筐明细!$M$4:$M$603,$Z1031-5200)=0,"",INDEX(次果筐明细!$M$4:$M$603,$Z1031-5200)),"")))))</f>
        <v/>
      </c>
      <c r="M1031" s="37" t="str">
        <f>IF($Z1031="","",IF($Z1031&lt;=2000,IF(INDEX(包装物料出入库明细!$R$4:$R$2003,$Z1031-0)=0,"",INDEX(包装物料出入库明细!$R$4:$R$2003,$Z1031-0)),IF($Z1031&lt;=4000,IF(INDEX(周转筐出入库明细!$W$4:$W$2004,$Z1031-2000)=0,"",INDEX(周转筐出入库明细!$W$4:$W$2004,$Z1031-2000)),IF($Z1031&lt;=5200,IF(INDEX(客户自备加工筐明细!$L$4:$L$1203,$Z1031-4000)=0,"",INDEX(客户自备加工筐明细!$L$4:$L$1203,$Z1031-4000)),IF($Z1031&lt;=5800,IF(INDEX(次果筐明细!$P$4:$P$603,$Z1031-5200)=0,"",INDEX(次果筐明细!$P$4:$P$603,$Z1031-5200)),"")))))</f>
        <v/>
      </c>
      <c r="N1031" s="16" t="str">
        <f>IF($Z1031="","",IF($Z1031&lt;=2000,"",IF($Z1031&lt;=4000,IF(INDEX(周转筐出入库明细!$D$4:$D$2004,$Z1031-2000)=0,"",INDEX(周转筐出入库明细!$D$4:$D$2004,$Z1031-2000)),IF($Z1031&lt;=5200,IF(INDEX(客户自备加工筐明细!$C$4:$C$1203,$Z1031-4000)=0,"",INDEX(客户自备加工筐明细!$C$4:$C$1203,$Z1031-4000)),IF($Z1031&lt;=5800,IF(INDEX(次果筐明细!$D$4:$D$603,$Z1031-5200)=0,"",INDEX(次果筐明细!$D$4:$D$603,$Z1031-5200)),"")))))</f>
        <v/>
      </c>
      <c r="O1031" s="40" t="str">
        <f>IF($Z1031="","",IF($Z1031&lt;=2000,"",IF($Z1031&lt;=4000,IF(N(INDEX(周转筐出入库明细!$J$4:$J$2004,$Z1031-2000))+N(INDEX(周转筐出入库明细!$K$4:$K$2004,$Z1031-2000))=0,"",N(INDEX(周转筐出入库明细!$J$4:$J$2004,$Z1031-2000))+N(INDEX(周转筐出入库明细!$K$4:$K$2004,$Z1031-2000))),IF($Z1031&lt;=5200,IF(N(INDEX(客户自备加工筐明细!$G$4:$G$1203,$Z1031-4000))=0,"",N(INDEX(客户自备加工筐明细!$G$4:$G$1203,$Z1031-4000))),IF($Z1031&lt;=5800,IF(ISNUMBER(SEARCH("退",INDEX(次果筐明细!$F$4:$F$603,$Z1031-5200)&amp;"")),"",IF(N(INDEX(次果筐明细!$G$4:$G$603,$Z1031-5200))=0,"",N(INDEX(次果筐明细!$G$4:$G$603,$Z1031-5200)))),"")))))</f>
        <v/>
      </c>
      <c r="P1031" s="40" t="str">
        <f>IF($Z1031="","",IF($Z1031&lt;=2000,"",IF($Z1031&lt;=4000,IF(N(INDEX(周转筐出入库明细!$I$4:$I$2004,$Z1031-2000))=0,"",N(INDEX(周转筐出入库明细!$I$4:$I$2004,$Z1031-2000))),IF($Z1031&lt;=5200,"",IF($Z1031&lt;=5800,IF(ISNUMBER(SEARCH("退",INDEX(次果筐明细!$F$4:$F$603,$Z1031-5200)&amp;"")),IF(N(INDEX(次果筐明细!$G$4:$G$603,$Z1031-5200))=0,"",N(INDEX(次果筐明细!$G$4:$G$603,$Z1031-5200))),""),"")))))</f>
        <v/>
      </c>
      <c r="Q1031" s="40" t="str">
        <f>IF($Z1031="","",IF($Z1031&lt;=2000,"",IF($Z1031&lt;=4000,IF(N(INDEX(周转筐出入库明细!$H$4:$H$2004,$Z1031-2000))=0,"",N(INDEX(周转筐出入库明细!$H$4:$H$2004,$Z1031-2000))),IF($Z1031&lt;=5200,IF(N(INDEX(客户自备加工筐明细!$F$4:$F$1203,$Z1031-4000))=0,"",N(INDEX(客户自备加工筐明细!$F$4:$F$1203,$Z1031-4000))),IF($Z1031&lt;=5800,"","")))))</f>
        <v/>
      </c>
      <c r="R1031" s="16" t="str">
        <f>IF($Z1031="","",IF($Z1031&lt;=2000,IF(INDEX(包装物料出入库明细!$O$4:$O$2003,$Z1031-0)=0,"",INDEX(包装物料出入库明细!$O$4:$O$2003,$Z1031-0)),IF($Z1031&lt;=4000,IF(INDEX(周转筐出入库明细!$M$4:$M$2004,$Z1031-2000)=0,"",INDEX(周转筐出入库明细!$M$4:$M$2004,$Z1031-2000)),IF($Z1031&lt;=5200,IF(INDEX(客户自备加工筐明细!$H$4:$H$1203,$Z1031-4000)=0,"",INDEX(客户自备加工筐明细!$H$4:$H$1203,$Z1031-4000)),IF($Z1031&lt;=5800,IF(INDEX(次果筐明细!$H$4:$H$603,$Z1031-5200)=0,"",INDEX(次果筐明细!$H$4:$H$603,$Z1031-5200)),"")))))</f>
        <v/>
      </c>
      <c r="S1031" s="22" t="str">
        <f t="shared" si="50"/>
        <v/>
      </c>
      <c r="Z1031" s="10" t="str">
        <f>IFERROR(MATCH(ROW()-3,_自动清单!$CQ$4:$CQ$5803,0),"")</f>
        <v/>
      </c>
    </row>
    <row r="1032" spans="1:26">
      <c r="A1032" s="24" t="str">
        <f t="shared" si="48"/>
        <v/>
      </c>
      <c r="B1032" s="38" t="str">
        <f>IF($Z1032="","",IF($Z1032&lt;=2000,IF(INDEX(包装物料出入库明细!$B$4:$B$2003,$Z1032-0)=0,"",INDEX(包装物料出入库明细!$B$4:$B$2003,$Z1032-0)),IF($Z1032&lt;=4000,IF(INDEX(周转筐出入库明细!$B$4:$B$2004,$Z1032-2000)=0,"",INDEX(周转筐出入库明细!$B$4:$B$2004,$Z1032-2000)),IF($Z1032&lt;=5200,IF(INDEX(客户自备加工筐明细!$B$4:$B$1203,$Z1032-4000)=0,"",INDEX(客户自备加工筐明细!$B$4:$B$1203,$Z1032-4000)),IF($Z1032&lt;=5800,IF(INDEX(次果筐明细!$B$4:$B$603,$Z1032-5200)=0,"",INDEX(次果筐明细!$B$4:$B$603,$Z1032-5200)),"")))))</f>
        <v/>
      </c>
      <c r="C1032" s="37" t="str">
        <f>IF($Z1032="","",IF($Z1032&lt;=2000,IF(INDEX(包装物料出入库明细!$D$4:$D$2003,$Z1032-0)=0,"",INDEX(包装物料出入库明细!$D$4:$D$2003,$Z1032-0)),IF($Z1032&lt;=4000,IF(INDEX(周转筐出入库明细!$C$4:$C$2004,$Z1032-2000)=0,"",INDEX(周转筐出入库明细!$C$4:$C$2004,$Z1032-2000)),IF($Z1032&lt;=5200,IF(INDEX(客户自备加工筐明细!$E$4:$E$1203,$Z1032-4000)=0,"",INDEX(客户自备加工筐明细!$E$4:$E$1203,$Z1032-4000)),IF($Z1032&lt;=5800,IF(INDEX(次果筐明细!$C$4:$C$603,$Z1032-5200)=0,"",INDEX(次果筐明细!$C$4:$C$603,$Z1032-5200)),"")))))</f>
        <v/>
      </c>
      <c r="D1032" s="37" t="str">
        <f>IF($Z1032="","",IF($Z1032&lt;=2000,"包装物料－"&amp;INDEX(包装物料出入库明细!$H$4:$H$2003,$Z1032-0),IF($Z1032&lt;=4000,"周转筐－"&amp;INDEX(周转筐出入库明细!$F$4:$F$2004,$Z1032-2000),IF($Z1032&lt;=5200,"客户自备筐－"&amp;INDEX(客户自备加工筐明细!$J$4:$J$1203,$Z1032-4000),IF($Z1032&lt;=5800,"次果筐/托盘－"&amp;INDEX(次果筐明细!$F$4:$F$603,$Z1032-5200),"")))))</f>
        <v/>
      </c>
      <c r="E1032" s="24" t="str">
        <f>IF($Z1032="","",IF($Z1032&lt;=2000,IF(INDEX(包装物料出入库明细!$C$4:$C$2003,$Z1032-0)=0,"",INDEX(包装物料出入库明细!$C$4:$C$2003,$Z1032-0)),IF($Z1032&lt;=4000,IF(INDEX(周转筐出入库明细!$E$4:$E$2004,$Z1032-2000)=0,"",INDEX(周转筐出入库明细!$E$4:$E$2004,$Z1032-2000)),IF($Z1032&lt;=5200,IF(INDEX(客户自备加工筐明细!$D$4:$D$1203,$Z1032-4000)=0,"",INDEX(客户自备加工筐明细!$D$4:$D$1203,$Z1032-4000)),IF($Z1032&lt;=5800,IF(INDEX(次果筐明细!$E$4:$E$603,$Z1032-5200)=0,"",INDEX(次果筐明细!$E$4:$E$603,$Z1032-5200)),"")))))</f>
        <v/>
      </c>
      <c r="F1032" s="24" t="str">
        <f>IF($Z1032="","",IF($Z1032&lt;=2000,IF(INDEX(包装物料出入库明细!$E$4:$E$2003,$Z1032-0)=0,"",INDEX(包装物料出入库明细!$E$4:$E$2003,$Z1032-0)),IF($Z1032&lt;=4000,IF(INDEX(周转筐出入库明细!$D$4:$D$2004,$Z1032-2000)=0,"",INDEX(周转筐出入库明细!$D$4:$D$2004,$Z1032-2000)),IF($Z1032&lt;=5200,IF(INDEX(客户自备加工筐明细!$C$4:$C$1203,$Z1032-4000)=0,"",INDEX(客户自备加工筐明细!$C$4:$C$1203,$Z1032-4000)),IF($Z1032&lt;=5800,IF(INDEX(次果筐明细!$D$4:$D$603,$Z1032-5200)=0,"",INDEX(次果筐明细!$D$4:$D$603,$Z1032-5200)),"")))))</f>
        <v/>
      </c>
      <c r="G1032" s="24" t="str">
        <f>IF($Z1032="","",IF($Z1032&lt;=2000,IF(INDEX(包装物料出入库明细!$F$4:$F$2003,$Z1032-0)=0,"",INDEX(包装物料出入库明细!$F$4:$F$2003,$Z1032-0)),IF($Z1032&lt;=4000,"",IF($Z1032&lt;=5200,"",IF($Z1032&lt;=5800,"","")))))</f>
        <v/>
      </c>
      <c r="H1032" s="39" t="str">
        <f>IF($Z1032="","",IF($Z1032&lt;=2000,IF(INDEX(包装物料出入库明细!$L$4:$L$2003,$Z1032-0)=0,"",INDEX(包装物料出入库明细!$L$4:$L$2003,$Z1032-0)),IF($Z1032&lt;=4000,N(INDEX(周转筐出入库明细!$H$4:$H$2004,$Z1032-2000))+N(INDEX(周转筐出入库明细!$I$4:$I$2004,$Z1032-2000))+N(INDEX(周转筐出入库明细!$J$4:$J$2004,$Z1032-2000))+N(INDEX(周转筐出入库明细!$K$4:$K$2004,$Z1032-2000)),IF($Z1032&lt;=5200,N(INDEX(客户自备加工筐明细!$F$4:$F$1203,$Z1032-4000))+N(INDEX(客户自备加工筐明细!$G$4:$G$1203,$Z1032-4000)),IF($Z1032&lt;=5800,IF(INDEX(次果筐明细!$G$4:$G$603,$Z1032-5200)=0,"",INDEX(次果筐明细!$G$4:$G$603,$Z1032-5200)),"")))))</f>
        <v/>
      </c>
      <c r="I1032" s="24" t="str">
        <f>IF($Z1032="","",IF($Z1032&lt;=2000,IF(INDEX(包装物料出入库明细!$G$4:$G$2003,$Z1032-0)=0,"",INDEX(包装物料出入库明细!$G$4:$G$2003,$Z1032-0)),IF($Z1032&lt;=4000,"个",IF($Z1032&lt;=5200,"个",IF($Z1032&lt;=5800,"个","")))))</f>
        <v/>
      </c>
      <c r="J1032" s="30" t="str">
        <f t="shared" si="49"/>
        <v/>
      </c>
      <c r="K1032" s="30" t="str">
        <f>IF($Z1032="","",IF($Z1032&lt;=2000,IF(INDEX(包装物料出入库明细!$N$4:$N$2003,$Z1032-0)=0,"",INDEX(包装物料出入库明细!$N$4:$N$2003,$Z1032-0)),IF($Z1032&lt;=4000,IF(INDEX(周转筐出入库明细!$P$4:$P$2004,$Z1032-2000)=0,"",INDEX(周转筐出入库明细!$P$4:$P$2004,$Z1032-2000)),IF($Z1032&lt;=5200,"",IF($Z1032&lt;=5800,N(INDEX(次果筐明细!$L$4:$L$603,$Z1032-5200))+N(INDEX(次果筐明细!$J$4:$J$603,$Z1032-5200)),"")))))</f>
        <v/>
      </c>
      <c r="L1032" s="24" t="str">
        <f>IF($Z1032="","",IF($Z1032&lt;=2000,IF(INDEX(包装物料出入库明细!$P$4:$P$2003,$Z1032-0)=0,"",INDEX(包装物料出入库明细!$P$4:$P$2003,$Z1032-0)),IF($Z1032&lt;=4000,IF(INDEX(周转筐出入库明细!$Q$4:$Q$2004,$Z1032-2000)=0,"",INDEX(周转筐出入库明细!$Q$4:$Q$2004,$Z1032-2000)),IF($Z1032&lt;=5200,"",IF($Z1032&lt;=5800,IF(INDEX(次果筐明细!$M$4:$M$603,$Z1032-5200)=0,"",INDEX(次果筐明细!$M$4:$M$603,$Z1032-5200)),"")))))</f>
        <v/>
      </c>
      <c r="M1032" s="37" t="str">
        <f>IF($Z1032="","",IF($Z1032&lt;=2000,IF(INDEX(包装物料出入库明细!$R$4:$R$2003,$Z1032-0)=0,"",INDEX(包装物料出入库明细!$R$4:$R$2003,$Z1032-0)),IF($Z1032&lt;=4000,IF(INDEX(周转筐出入库明细!$W$4:$W$2004,$Z1032-2000)=0,"",INDEX(周转筐出入库明细!$W$4:$W$2004,$Z1032-2000)),IF($Z1032&lt;=5200,IF(INDEX(客户自备加工筐明细!$L$4:$L$1203,$Z1032-4000)=0,"",INDEX(客户自备加工筐明细!$L$4:$L$1203,$Z1032-4000)),IF($Z1032&lt;=5800,IF(INDEX(次果筐明细!$P$4:$P$603,$Z1032-5200)=0,"",INDEX(次果筐明细!$P$4:$P$603,$Z1032-5200)),"")))))</f>
        <v/>
      </c>
      <c r="N1032" s="16" t="str">
        <f>IF($Z1032="","",IF($Z1032&lt;=2000,"",IF($Z1032&lt;=4000,IF(INDEX(周转筐出入库明细!$D$4:$D$2004,$Z1032-2000)=0,"",INDEX(周转筐出入库明细!$D$4:$D$2004,$Z1032-2000)),IF($Z1032&lt;=5200,IF(INDEX(客户自备加工筐明细!$C$4:$C$1203,$Z1032-4000)=0,"",INDEX(客户自备加工筐明细!$C$4:$C$1203,$Z1032-4000)),IF($Z1032&lt;=5800,IF(INDEX(次果筐明细!$D$4:$D$603,$Z1032-5200)=0,"",INDEX(次果筐明细!$D$4:$D$603,$Z1032-5200)),"")))))</f>
        <v/>
      </c>
      <c r="O1032" s="40" t="str">
        <f>IF($Z1032="","",IF($Z1032&lt;=2000,"",IF($Z1032&lt;=4000,IF(N(INDEX(周转筐出入库明细!$J$4:$J$2004,$Z1032-2000))+N(INDEX(周转筐出入库明细!$K$4:$K$2004,$Z1032-2000))=0,"",N(INDEX(周转筐出入库明细!$J$4:$J$2004,$Z1032-2000))+N(INDEX(周转筐出入库明细!$K$4:$K$2004,$Z1032-2000))),IF($Z1032&lt;=5200,IF(N(INDEX(客户自备加工筐明细!$G$4:$G$1203,$Z1032-4000))=0,"",N(INDEX(客户自备加工筐明细!$G$4:$G$1203,$Z1032-4000))),IF($Z1032&lt;=5800,IF(ISNUMBER(SEARCH("退",INDEX(次果筐明细!$F$4:$F$603,$Z1032-5200)&amp;"")),"",IF(N(INDEX(次果筐明细!$G$4:$G$603,$Z1032-5200))=0,"",N(INDEX(次果筐明细!$G$4:$G$603,$Z1032-5200)))),"")))))</f>
        <v/>
      </c>
      <c r="P1032" s="40" t="str">
        <f>IF($Z1032="","",IF($Z1032&lt;=2000,"",IF($Z1032&lt;=4000,IF(N(INDEX(周转筐出入库明细!$I$4:$I$2004,$Z1032-2000))=0,"",N(INDEX(周转筐出入库明细!$I$4:$I$2004,$Z1032-2000))),IF($Z1032&lt;=5200,"",IF($Z1032&lt;=5800,IF(ISNUMBER(SEARCH("退",INDEX(次果筐明细!$F$4:$F$603,$Z1032-5200)&amp;"")),IF(N(INDEX(次果筐明细!$G$4:$G$603,$Z1032-5200))=0,"",N(INDEX(次果筐明细!$G$4:$G$603,$Z1032-5200))),""),"")))))</f>
        <v/>
      </c>
      <c r="Q1032" s="40" t="str">
        <f>IF($Z1032="","",IF($Z1032&lt;=2000,"",IF($Z1032&lt;=4000,IF(N(INDEX(周转筐出入库明细!$H$4:$H$2004,$Z1032-2000))=0,"",N(INDEX(周转筐出入库明细!$H$4:$H$2004,$Z1032-2000))),IF($Z1032&lt;=5200,IF(N(INDEX(客户自备加工筐明细!$F$4:$F$1203,$Z1032-4000))=0,"",N(INDEX(客户自备加工筐明细!$F$4:$F$1203,$Z1032-4000))),IF($Z1032&lt;=5800,"","")))))</f>
        <v/>
      </c>
      <c r="R1032" s="16" t="str">
        <f>IF($Z1032="","",IF($Z1032&lt;=2000,IF(INDEX(包装物料出入库明细!$O$4:$O$2003,$Z1032-0)=0,"",INDEX(包装物料出入库明细!$O$4:$O$2003,$Z1032-0)),IF($Z1032&lt;=4000,IF(INDEX(周转筐出入库明细!$M$4:$M$2004,$Z1032-2000)=0,"",INDEX(周转筐出入库明细!$M$4:$M$2004,$Z1032-2000)),IF($Z1032&lt;=5200,IF(INDEX(客户自备加工筐明细!$H$4:$H$1203,$Z1032-4000)=0,"",INDEX(客户自备加工筐明细!$H$4:$H$1203,$Z1032-4000)),IF($Z1032&lt;=5800,IF(INDEX(次果筐明细!$H$4:$H$603,$Z1032-5200)=0,"",INDEX(次果筐明细!$H$4:$H$603,$Z1032-5200)),"")))))</f>
        <v/>
      </c>
      <c r="S1032" s="22" t="str">
        <f t="shared" si="50"/>
        <v/>
      </c>
      <c r="Z1032" s="10" t="str">
        <f>IFERROR(MATCH(ROW()-3,_自动清单!$CQ$4:$CQ$5803,0),"")</f>
        <v/>
      </c>
    </row>
    <row r="1033" spans="1:26">
      <c r="A1033" s="24" t="str">
        <f t="shared" si="48"/>
        <v/>
      </c>
      <c r="B1033" s="38" t="str">
        <f>IF($Z1033="","",IF($Z1033&lt;=2000,IF(INDEX(包装物料出入库明细!$B$4:$B$2003,$Z1033-0)=0,"",INDEX(包装物料出入库明细!$B$4:$B$2003,$Z1033-0)),IF($Z1033&lt;=4000,IF(INDEX(周转筐出入库明细!$B$4:$B$2004,$Z1033-2000)=0,"",INDEX(周转筐出入库明细!$B$4:$B$2004,$Z1033-2000)),IF($Z1033&lt;=5200,IF(INDEX(客户自备加工筐明细!$B$4:$B$1203,$Z1033-4000)=0,"",INDEX(客户自备加工筐明细!$B$4:$B$1203,$Z1033-4000)),IF($Z1033&lt;=5800,IF(INDEX(次果筐明细!$B$4:$B$603,$Z1033-5200)=0,"",INDEX(次果筐明细!$B$4:$B$603,$Z1033-5200)),"")))))</f>
        <v/>
      </c>
      <c r="C1033" s="37" t="str">
        <f>IF($Z1033="","",IF($Z1033&lt;=2000,IF(INDEX(包装物料出入库明细!$D$4:$D$2003,$Z1033-0)=0,"",INDEX(包装物料出入库明细!$D$4:$D$2003,$Z1033-0)),IF($Z1033&lt;=4000,IF(INDEX(周转筐出入库明细!$C$4:$C$2004,$Z1033-2000)=0,"",INDEX(周转筐出入库明细!$C$4:$C$2004,$Z1033-2000)),IF($Z1033&lt;=5200,IF(INDEX(客户自备加工筐明细!$E$4:$E$1203,$Z1033-4000)=0,"",INDEX(客户自备加工筐明细!$E$4:$E$1203,$Z1033-4000)),IF($Z1033&lt;=5800,IF(INDEX(次果筐明细!$C$4:$C$603,$Z1033-5200)=0,"",INDEX(次果筐明细!$C$4:$C$603,$Z1033-5200)),"")))))</f>
        <v/>
      </c>
      <c r="D1033" s="37" t="str">
        <f>IF($Z1033="","",IF($Z1033&lt;=2000,"包装物料－"&amp;INDEX(包装物料出入库明细!$H$4:$H$2003,$Z1033-0),IF($Z1033&lt;=4000,"周转筐－"&amp;INDEX(周转筐出入库明细!$F$4:$F$2004,$Z1033-2000),IF($Z1033&lt;=5200,"客户自备筐－"&amp;INDEX(客户自备加工筐明细!$J$4:$J$1203,$Z1033-4000),IF($Z1033&lt;=5800,"次果筐/托盘－"&amp;INDEX(次果筐明细!$F$4:$F$603,$Z1033-5200),"")))))</f>
        <v/>
      </c>
      <c r="E1033" s="24" t="str">
        <f>IF($Z1033="","",IF($Z1033&lt;=2000,IF(INDEX(包装物料出入库明细!$C$4:$C$2003,$Z1033-0)=0,"",INDEX(包装物料出入库明细!$C$4:$C$2003,$Z1033-0)),IF($Z1033&lt;=4000,IF(INDEX(周转筐出入库明细!$E$4:$E$2004,$Z1033-2000)=0,"",INDEX(周转筐出入库明细!$E$4:$E$2004,$Z1033-2000)),IF($Z1033&lt;=5200,IF(INDEX(客户自备加工筐明细!$D$4:$D$1203,$Z1033-4000)=0,"",INDEX(客户自备加工筐明细!$D$4:$D$1203,$Z1033-4000)),IF($Z1033&lt;=5800,IF(INDEX(次果筐明细!$E$4:$E$603,$Z1033-5200)=0,"",INDEX(次果筐明细!$E$4:$E$603,$Z1033-5200)),"")))))</f>
        <v/>
      </c>
      <c r="F1033" s="24" t="str">
        <f>IF($Z1033="","",IF($Z1033&lt;=2000,IF(INDEX(包装物料出入库明细!$E$4:$E$2003,$Z1033-0)=0,"",INDEX(包装物料出入库明细!$E$4:$E$2003,$Z1033-0)),IF($Z1033&lt;=4000,IF(INDEX(周转筐出入库明细!$D$4:$D$2004,$Z1033-2000)=0,"",INDEX(周转筐出入库明细!$D$4:$D$2004,$Z1033-2000)),IF($Z1033&lt;=5200,IF(INDEX(客户自备加工筐明细!$C$4:$C$1203,$Z1033-4000)=0,"",INDEX(客户自备加工筐明细!$C$4:$C$1203,$Z1033-4000)),IF($Z1033&lt;=5800,IF(INDEX(次果筐明细!$D$4:$D$603,$Z1033-5200)=0,"",INDEX(次果筐明细!$D$4:$D$603,$Z1033-5200)),"")))))</f>
        <v/>
      </c>
      <c r="G1033" s="24" t="str">
        <f>IF($Z1033="","",IF($Z1033&lt;=2000,IF(INDEX(包装物料出入库明细!$F$4:$F$2003,$Z1033-0)=0,"",INDEX(包装物料出入库明细!$F$4:$F$2003,$Z1033-0)),IF($Z1033&lt;=4000,"",IF($Z1033&lt;=5200,"",IF($Z1033&lt;=5800,"","")))))</f>
        <v/>
      </c>
      <c r="H1033" s="39" t="str">
        <f>IF($Z1033="","",IF($Z1033&lt;=2000,IF(INDEX(包装物料出入库明细!$L$4:$L$2003,$Z1033-0)=0,"",INDEX(包装物料出入库明细!$L$4:$L$2003,$Z1033-0)),IF($Z1033&lt;=4000,N(INDEX(周转筐出入库明细!$H$4:$H$2004,$Z1033-2000))+N(INDEX(周转筐出入库明细!$I$4:$I$2004,$Z1033-2000))+N(INDEX(周转筐出入库明细!$J$4:$J$2004,$Z1033-2000))+N(INDEX(周转筐出入库明细!$K$4:$K$2004,$Z1033-2000)),IF($Z1033&lt;=5200,N(INDEX(客户自备加工筐明细!$F$4:$F$1203,$Z1033-4000))+N(INDEX(客户自备加工筐明细!$G$4:$G$1203,$Z1033-4000)),IF($Z1033&lt;=5800,IF(INDEX(次果筐明细!$G$4:$G$603,$Z1033-5200)=0,"",INDEX(次果筐明细!$G$4:$G$603,$Z1033-5200)),"")))))</f>
        <v/>
      </c>
      <c r="I1033" s="24" t="str">
        <f>IF($Z1033="","",IF($Z1033&lt;=2000,IF(INDEX(包装物料出入库明细!$G$4:$G$2003,$Z1033-0)=0,"",INDEX(包装物料出入库明细!$G$4:$G$2003,$Z1033-0)),IF($Z1033&lt;=4000,"个",IF($Z1033&lt;=5200,"个",IF($Z1033&lt;=5800,"个","")))))</f>
        <v/>
      </c>
      <c r="J1033" s="30" t="str">
        <f t="shared" si="49"/>
        <v/>
      </c>
      <c r="K1033" s="30" t="str">
        <f>IF($Z1033="","",IF($Z1033&lt;=2000,IF(INDEX(包装物料出入库明细!$N$4:$N$2003,$Z1033-0)=0,"",INDEX(包装物料出入库明细!$N$4:$N$2003,$Z1033-0)),IF($Z1033&lt;=4000,IF(INDEX(周转筐出入库明细!$P$4:$P$2004,$Z1033-2000)=0,"",INDEX(周转筐出入库明细!$P$4:$P$2004,$Z1033-2000)),IF($Z1033&lt;=5200,"",IF($Z1033&lt;=5800,N(INDEX(次果筐明细!$L$4:$L$603,$Z1033-5200))+N(INDEX(次果筐明细!$J$4:$J$603,$Z1033-5200)),"")))))</f>
        <v/>
      </c>
      <c r="L1033" s="24" t="str">
        <f>IF($Z1033="","",IF($Z1033&lt;=2000,IF(INDEX(包装物料出入库明细!$P$4:$P$2003,$Z1033-0)=0,"",INDEX(包装物料出入库明细!$P$4:$P$2003,$Z1033-0)),IF($Z1033&lt;=4000,IF(INDEX(周转筐出入库明细!$Q$4:$Q$2004,$Z1033-2000)=0,"",INDEX(周转筐出入库明细!$Q$4:$Q$2004,$Z1033-2000)),IF($Z1033&lt;=5200,"",IF($Z1033&lt;=5800,IF(INDEX(次果筐明细!$M$4:$M$603,$Z1033-5200)=0,"",INDEX(次果筐明细!$M$4:$M$603,$Z1033-5200)),"")))))</f>
        <v/>
      </c>
      <c r="M1033" s="37" t="str">
        <f>IF($Z1033="","",IF($Z1033&lt;=2000,IF(INDEX(包装物料出入库明细!$R$4:$R$2003,$Z1033-0)=0,"",INDEX(包装物料出入库明细!$R$4:$R$2003,$Z1033-0)),IF($Z1033&lt;=4000,IF(INDEX(周转筐出入库明细!$W$4:$W$2004,$Z1033-2000)=0,"",INDEX(周转筐出入库明细!$W$4:$W$2004,$Z1033-2000)),IF($Z1033&lt;=5200,IF(INDEX(客户自备加工筐明细!$L$4:$L$1203,$Z1033-4000)=0,"",INDEX(客户自备加工筐明细!$L$4:$L$1203,$Z1033-4000)),IF($Z1033&lt;=5800,IF(INDEX(次果筐明细!$P$4:$P$603,$Z1033-5200)=0,"",INDEX(次果筐明细!$P$4:$P$603,$Z1033-5200)),"")))))</f>
        <v/>
      </c>
      <c r="N1033" s="16" t="str">
        <f>IF($Z1033="","",IF($Z1033&lt;=2000,"",IF($Z1033&lt;=4000,IF(INDEX(周转筐出入库明细!$D$4:$D$2004,$Z1033-2000)=0,"",INDEX(周转筐出入库明细!$D$4:$D$2004,$Z1033-2000)),IF($Z1033&lt;=5200,IF(INDEX(客户自备加工筐明细!$C$4:$C$1203,$Z1033-4000)=0,"",INDEX(客户自备加工筐明细!$C$4:$C$1203,$Z1033-4000)),IF($Z1033&lt;=5800,IF(INDEX(次果筐明细!$D$4:$D$603,$Z1033-5200)=0,"",INDEX(次果筐明细!$D$4:$D$603,$Z1033-5200)),"")))))</f>
        <v/>
      </c>
      <c r="O1033" s="40" t="str">
        <f>IF($Z1033="","",IF($Z1033&lt;=2000,"",IF($Z1033&lt;=4000,IF(N(INDEX(周转筐出入库明细!$J$4:$J$2004,$Z1033-2000))+N(INDEX(周转筐出入库明细!$K$4:$K$2004,$Z1033-2000))=0,"",N(INDEX(周转筐出入库明细!$J$4:$J$2004,$Z1033-2000))+N(INDEX(周转筐出入库明细!$K$4:$K$2004,$Z1033-2000))),IF($Z1033&lt;=5200,IF(N(INDEX(客户自备加工筐明细!$G$4:$G$1203,$Z1033-4000))=0,"",N(INDEX(客户自备加工筐明细!$G$4:$G$1203,$Z1033-4000))),IF($Z1033&lt;=5800,IF(ISNUMBER(SEARCH("退",INDEX(次果筐明细!$F$4:$F$603,$Z1033-5200)&amp;"")),"",IF(N(INDEX(次果筐明细!$G$4:$G$603,$Z1033-5200))=0,"",N(INDEX(次果筐明细!$G$4:$G$603,$Z1033-5200)))),"")))))</f>
        <v/>
      </c>
      <c r="P1033" s="40" t="str">
        <f>IF($Z1033="","",IF($Z1033&lt;=2000,"",IF($Z1033&lt;=4000,IF(N(INDEX(周转筐出入库明细!$I$4:$I$2004,$Z1033-2000))=0,"",N(INDEX(周转筐出入库明细!$I$4:$I$2004,$Z1033-2000))),IF($Z1033&lt;=5200,"",IF($Z1033&lt;=5800,IF(ISNUMBER(SEARCH("退",INDEX(次果筐明细!$F$4:$F$603,$Z1033-5200)&amp;"")),IF(N(INDEX(次果筐明细!$G$4:$G$603,$Z1033-5200))=0,"",N(INDEX(次果筐明细!$G$4:$G$603,$Z1033-5200))),""),"")))))</f>
        <v/>
      </c>
      <c r="Q1033" s="40" t="str">
        <f>IF($Z1033="","",IF($Z1033&lt;=2000,"",IF($Z1033&lt;=4000,IF(N(INDEX(周转筐出入库明细!$H$4:$H$2004,$Z1033-2000))=0,"",N(INDEX(周转筐出入库明细!$H$4:$H$2004,$Z1033-2000))),IF($Z1033&lt;=5200,IF(N(INDEX(客户自备加工筐明细!$F$4:$F$1203,$Z1033-4000))=0,"",N(INDEX(客户自备加工筐明细!$F$4:$F$1203,$Z1033-4000))),IF($Z1033&lt;=5800,"","")))))</f>
        <v/>
      </c>
      <c r="R1033" s="16" t="str">
        <f>IF($Z1033="","",IF($Z1033&lt;=2000,IF(INDEX(包装物料出入库明细!$O$4:$O$2003,$Z1033-0)=0,"",INDEX(包装物料出入库明细!$O$4:$O$2003,$Z1033-0)),IF($Z1033&lt;=4000,IF(INDEX(周转筐出入库明细!$M$4:$M$2004,$Z1033-2000)=0,"",INDEX(周转筐出入库明细!$M$4:$M$2004,$Z1033-2000)),IF($Z1033&lt;=5200,IF(INDEX(客户自备加工筐明细!$H$4:$H$1203,$Z1033-4000)=0,"",INDEX(客户自备加工筐明细!$H$4:$H$1203,$Z1033-4000)),IF($Z1033&lt;=5800,IF(INDEX(次果筐明细!$H$4:$H$603,$Z1033-5200)=0,"",INDEX(次果筐明细!$H$4:$H$603,$Z1033-5200)),"")))))</f>
        <v/>
      </c>
      <c r="S1033" s="22" t="str">
        <f t="shared" si="50"/>
        <v/>
      </c>
      <c r="Z1033" s="10" t="str">
        <f>IFERROR(MATCH(ROW()-3,_自动清单!$CQ$4:$CQ$5803,0),"")</f>
        <v/>
      </c>
    </row>
    <row r="1034" spans="1:26">
      <c r="A1034" s="24" t="str">
        <f t="shared" si="48"/>
        <v/>
      </c>
      <c r="B1034" s="38" t="str">
        <f>IF($Z1034="","",IF($Z1034&lt;=2000,IF(INDEX(包装物料出入库明细!$B$4:$B$2003,$Z1034-0)=0,"",INDEX(包装物料出入库明细!$B$4:$B$2003,$Z1034-0)),IF($Z1034&lt;=4000,IF(INDEX(周转筐出入库明细!$B$4:$B$2004,$Z1034-2000)=0,"",INDEX(周转筐出入库明细!$B$4:$B$2004,$Z1034-2000)),IF($Z1034&lt;=5200,IF(INDEX(客户自备加工筐明细!$B$4:$B$1203,$Z1034-4000)=0,"",INDEX(客户自备加工筐明细!$B$4:$B$1203,$Z1034-4000)),IF($Z1034&lt;=5800,IF(INDEX(次果筐明细!$B$4:$B$603,$Z1034-5200)=0,"",INDEX(次果筐明细!$B$4:$B$603,$Z1034-5200)),"")))))</f>
        <v/>
      </c>
      <c r="C1034" s="37" t="str">
        <f>IF($Z1034="","",IF($Z1034&lt;=2000,IF(INDEX(包装物料出入库明细!$D$4:$D$2003,$Z1034-0)=0,"",INDEX(包装物料出入库明细!$D$4:$D$2003,$Z1034-0)),IF($Z1034&lt;=4000,IF(INDEX(周转筐出入库明细!$C$4:$C$2004,$Z1034-2000)=0,"",INDEX(周转筐出入库明细!$C$4:$C$2004,$Z1034-2000)),IF($Z1034&lt;=5200,IF(INDEX(客户自备加工筐明细!$E$4:$E$1203,$Z1034-4000)=0,"",INDEX(客户自备加工筐明细!$E$4:$E$1203,$Z1034-4000)),IF($Z1034&lt;=5800,IF(INDEX(次果筐明细!$C$4:$C$603,$Z1034-5200)=0,"",INDEX(次果筐明细!$C$4:$C$603,$Z1034-5200)),"")))))</f>
        <v/>
      </c>
      <c r="D1034" s="37" t="str">
        <f>IF($Z1034="","",IF($Z1034&lt;=2000,"包装物料－"&amp;INDEX(包装物料出入库明细!$H$4:$H$2003,$Z1034-0),IF($Z1034&lt;=4000,"周转筐－"&amp;INDEX(周转筐出入库明细!$F$4:$F$2004,$Z1034-2000),IF($Z1034&lt;=5200,"客户自备筐－"&amp;INDEX(客户自备加工筐明细!$J$4:$J$1203,$Z1034-4000),IF($Z1034&lt;=5800,"次果筐/托盘－"&amp;INDEX(次果筐明细!$F$4:$F$603,$Z1034-5200),"")))))</f>
        <v/>
      </c>
      <c r="E1034" s="24" t="str">
        <f>IF($Z1034="","",IF($Z1034&lt;=2000,IF(INDEX(包装物料出入库明细!$C$4:$C$2003,$Z1034-0)=0,"",INDEX(包装物料出入库明细!$C$4:$C$2003,$Z1034-0)),IF($Z1034&lt;=4000,IF(INDEX(周转筐出入库明细!$E$4:$E$2004,$Z1034-2000)=0,"",INDEX(周转筐出入库明细!$E$4:$E$2004,$Z1034-2000)),IF($Z1034&lt;=5200,IF(INDEX(客户自备加工筐明细!$D$4:$D$1203,$Z1034-4000)=0,"",INDEX(客户自备加工筐明细!$D$4:$D$1203,$Z1034-4000)),IF($Z1034&lt;=5800,IF(INDEX(次果筐明细!$E$4:$E$603,$Z1034-5200)=0,"",INDEX(次果筐明细!$E$4:$E$603,$Z1034-5200)),"")))))</f>
        <v/>
      </c>
      <c r="F1034" s="24" t="str">
        <f>IF($Z1034="","",IF($Z1034&lt;=2000,IF(INDEX(包装物料出入库明细!$E$4:$E$2003,$Z1034-0)=0,"",INDEX(包装物料出入库明细!$E$4:$E$2003,$Z1034-0)),IF($Z1034&lt;=4000,IF(INDEX(周转筐出入库明细!$D$4:$D$2004,$Z1034-2000)=0,"",INDEX(周转筐出入库明细!$D$4:$D$2004,$Z1034-2000)),IF($Z1034&lt;=5200,IF(INDEX(客户自备加工筐明细!$C$4:$C$1203,$Z1034-4000)=0,"",INDEX(客户自备加工筐明细!$C$4:$C$1203,$Z1034-4000)),IF($Z1034&lt;=5800,IF(INDEX(次果筐明细!$D$4:$D$603,$Z1034-5200)=0,"",INDEX(次果筐明细!$D$4:$D$603,$Z1034-5200)),"")))))</f>
        <v/>
      </c>
      <c r="G1034" s="24" t="str">
        <f>IF($Z1034="","",IF($Z1034&lt;=2000,IF(INDEX(包装物料出入库明细!$F$4:$F$2003,$Z1034-0)=0,"",INDEX(包装物料出入库明细!$F$4:$F$2003,$Z1034-0)),IF($Z1034&lt;=4000,"",IF($Z1034&lt;=5200,"",IF($Z1034&lt;=5800,"","")))))</f>
        <v/>
      </c>
      <c r="H1034" s="39" t="str">
        <f>IF($Z1034="","",IF($Z1034&lt;=2000,IF(INDEX(包装物料出入库明细!$L$4:$L$2003,$Z1034-0)=0,"",INDEX(包装物料出入库明细!$L$4:$L$2003,$Z1034-0)),IF($Z1034&lt;=4000,N(INDEX(周转筐出入库明细!$H$4:$H$2004,$Z1034-2000))+N(INDEX(周转筐出入库明细!$I$4:$I$2004,$Z1034-2000))+N(INDEX(周转筐出入库明细!$J$4:$J$2004,$Z1034-2000))+N(INDEX(周转筐出入库明细!$K$4:$K$2004,$Z1034-2000)),IF($Z1034&lt;=5200,N(INDEX(客户自备加工筐明细!$F$4:$F$1203,$Z1034-4000))+N(INDEX(客户自备加工筐明细!$G$4:$G$1203,$Z1034-4000)),IF($Z1034&lt;=5800,IF(INDEX(次果筐明细!$G$4:$G$603,$Z1034-5200)=0,"",INDEX(次果筐明细!$G$4:$G$603,$Z1034-5200)),"")))))</f>
        <v/>
      </c>
      <c r="I1034" s="24" t="str">
        <f>IF($Z1034="","",IF($Z1034&lt;=2000,IF(INDEX(包装物料出入库明细!$G$4:$G$2003,$Z1034-0)=0,"",INDEX(包装物料出入库明细!$G$4:$G$2003,$Z1034-0)),IF($Z1034&lt;=4000,"个",IF($Z1034&lt;=5200,"个",IF($Z1034&lt;=5800,"个","")))))</f>
        <v/>
      </c>
      <c r="J1034" s="30" t="str">
        <f t="shared" si="49"/>
        <v/>
      </c>
      <c r="K1034" s="30" t="str">
        <f>IF($Z1034="","",IF($Z1034&lt;=2000,IF(INDEX(包装物料出入库明细!$N$4:$N$2003,$Z1034-0)=0,"",INDEX(包装物料出入库明细!$N$4:$N$2003,$Z1034-0)),IF($Z1034&lt;=4000,IF(INDEX(周转筐出入库明细!$P$4:$P$2004,$Z1034-2000)=0,"",INDEX(周转筐出入库明细!$P$4:$P$2004,$Z1034-2000)),IF($Z1034&lt;=5200,"",IF($Z1034&lt;=5800,N(INDEX(次果筐明细!$L$4:$L$603,$Z1034-5200))+N(INDEX(次果筐明细!$J$4:$J$603,$Z1034-5200)),"")))))</f>
        <v/>
      </c>
      <c r="L1034" s="24" t="str">
        <f>IF($Z1034="","",IF($Z1034&lt;=2000,IF(INDEX(包装物料出入库明细!$P$4:$P$2003,$Z1034-0)=0,"",INDEX(包装物料出入库明细!$P$4:$P$2003,$Z1034-0)),IF($Z1034&lt;=4000,IF(INDEX(周转筐出入库明细!$Q$4:$Q$2004,$Z1034-2000)=0,"",INDEX(周转筐出入库明细!$Q$4:$Q$2004,$Z1034-2000)),IF($Z1034&lt;=5200,"",IF($Z1034&lt;=5800,IF(INDEX(次果筐明细!$M$4:$M$603,$Z1034-5200)=0,"",INDEX(次果筐明细!$M$4:$M$603,$Z1034-5200)),"")))))</f>
        <v/>
      </c>
      <c r="M1034" s="37" t="str">
        <f>IF($Z1034="","",IF($Z1034&lt;=2000,IF(INDEX(包装物料出入库明细!$R$4:$R$2003,$Z1034-0)=0,"",INDEX(包装物料出入库明细!$R$4:$R$2003,$Z1034-0)),IF($Z1034&lt;=4000,IF(INDEX(周转筐出入库明细!$W$4:$W$2004,$Z1034-2000)=0,"",INDEX(周转筐出入库明细!$W$4:$W$2004,$Z1034-2000)),IF($Z1034&lt;=5200,IF(INDEX(客户自备加工筐明细!$L$4:$L$1203,$Z1034-4000)=0,"",INDEX(客户自备加工筐明细!$L$4:$L$1203,$Z1034-4000)),IF($Z1034&lt;=5800,IF(INDEX(次果筐明细!$P$4:$P$603,$Z1034-5200)=0,"",INDEX(次果筐明细!$P$4:$P$603,$Z1034-5200)),"")))))</f>
        <v/>
      </c>
      <c r="N1034" s="16" t="str">
        <f>IF($Z1034="","",IF($Z1034&lt;=2000,"",IF($Z1034&lt;=4000,IF(INDEX(周转筐出入库明细!$D$4:$D$2004,$Z1034-2000)=0,"",INDEX(周转筐出入库明细!$D$4:$D$2004,$Z1034-2000)),IF($Z1034&lt;=5200,IF(INDEX(客户自备加工筐明细!$C$4:$C$1203,$Z1034-4000)=0,"",INDEX(客户自备加工筐明细!$C$4:$C$1203,$Z1034-4000)),IF($Z1034&lt;=5800,IF(INDEX(次果筐明细!$D$4:$D$603,$Z1034-5200)=0,"",INDEX(次果筐明细!$D$4:$D$603,$Z1034-5200)),"")))))</f>
        <v/>
      </c>
      <c r="O1034" s="40" t="str">
        <f>IF($Z1034="","",IF($Z1034&lt;=2000,"",IF($Z1034&lt;=4000,IF(N(INDEX(周转筐出入库明细!$J$4:$J$2004,$Z1034-2000))+N(INDEX(周转筐出入库明细!$K$4:$K$2004,$Z1034-2000))=0,"",N(INDEX(周转筐出入库明细!$J$4:$J$2004,$Z1034-2000))+N(INDEX(周转筐出入库明细!$K$4:$K$2004,$Z1034-2000))),IF($Z1034&lt;=5200,IF(N(INDEX(客户自备加工筐明细!$G$4:$G$1203,$Z1034-4000))=0,"",N(INDEX(客户自备加工筐明细!$G$4:$G$1203,$Z1034-4000))),IF($Z1034&lt;=5800,IF(ISNUMBER(SEARCH("退",INDEX(次果筐明细!$F$4:$F$603,$Z1034-5200)&amp;"")),"",IF(N(INDEX(次果筐明细!$G$4:$G$603,$Z1034-5200))=0,"",N(INDEX(次果筐明细!$G$4:$G$603,$Z1034-5200)))),"")))))</f>
        <v/>
      </c>
      <c r="P1034" s="40" t="str">
        <f>IF($Z1034="","",IF($Z1034&lt;=2000,"",IF($Z1034&lt;=4000,IF(N(INDEX(周转筐出入库明细!$I$4:$I$2004,$Z1034-2000))=0,"",N(INDEX(周转筐出入库明细!$I$4:$I$2004,$Z1034-2000))),IF($Z1034&lt;=5200,"",IF($Z1034&lt;=5800,IF(ISNUMBER(SEARCH("退",INDEX(次果筐明细!$F$4:$F$603,$Z1034-5200)&amp;"")),IF(N(INDEX(次果筐明细!$G$4:$G$603,$Z1034-5200))=0,"",N(INDEX(次果筐明细!$G$4:$G$603,$Z1034-5200))),""),"")))))</f>
        <v/>
      </c>
      <c r="Q1034" s="40" t="str">
        <f>IF($Z1034="","",IF($Z1034&lt;=2000,"",IF($Z1034&lt;=4000,IF(N(INDEX(周转筐出入库明细!$H$4:$H$2004,$Z1034-2000))=0,"",N(INDEX(周转筐出入库明细!$H$4:$H$2004,$Z1034-2000))),IF($Z1034&lt;=5200,IF(N(INDEX(客户自备加工筐明细!$F$4:$F$1203,$Z1034-4000))=0,"",N(INDEX(客户自备加工筐明细!$F$4:$F$1203,$Z1034-4000))),IF($Z1034&lt;=5800,"","")))))</f>
        <v/>
      </c>
      <c r="R1034" s="16" t="str">
        <f>IF($Z1034="","",IF($Z1034&lt;=2000,IF(INDEX(包装物料出入库明细!$O$4:$O$2003,$Z1034-0)=0,"",INDEX(包装物料出入库明细!$O$4:$O$2003,$Z1034-0)),IF($Z1034&lt;=4000,IF(INDEX(周转筐出入库明细!$M$4:$M$2004,$Z1034-2000)=0,"",INDEX(周转筐出入库明细!$M$4:$M$2004,$Z1034-2000)),IF($Z1034&lt;=5200,IF(INDEX(客户自备加工筐明细!$H$4:$H$1203,$Z1034-4000)=0,"",INDEX(客户自备加工筐明细!$H$4:$H$1203,$Z1034-4000)),IF($Z1034&lt;=5800,IF(INDEX(次果筐明细!$H$4:$H$603,$Z1034-5200)=0,"",INDEX(次果筐明细!$H$4:$H$603,$Z1034-5200)),"")))))</f>
        <v/>
      </c>
      <c r="S1034" s="22" t="str">
        <f t="shared" si="50"/>
        <v/>
      </c>
      <c r="Z1034" s="10" t="str">
        <f>IFERROR(MATCH(ROW()-3,_自动清单!$CQ$4:$CQ$5803,0),"")</f>
        <v/>
      </c>
    </row>
    <row r="1035" spans="1:26">
      <c r="A1035" s="24" t="str">
        <f t="shared" si="48"/>
        <v/>
      </c>
      <c r="B1035" s="38" t="str">
        <f>IF($Z1035="","",IF($Z1035&lt;=2000,IF(INDEX(包装物料出入库明细!$B$4:$B$2003,$Z1035-0)=0,"",INDEX(包装物料出入库明细!$B$4:$B$2003,$Z1035-0)),IF($Z1035&lt;=4000,IF(INDEX(周转筐出入库明细!$B$4:$B$2004,$Z1035-2000)=0,"",INDEX(周转筐出入库明细!$B$4:$B$2004,$Z1035-2000)),IF($Z1035&lt;=5200,IF(INDEX(客户自备加工筐明细!$B$4:$B$1203,$Z1035-4000)=0,"",INDEX(客户自备加工筐明细!$B$4:$B$1203,$Z1035-4000)),IF($Z1035&lt;=5800,IF(INDEX(次果筐明细!$B$4:$B$603,$Z1035-5200)=0,"",INDEX(次果筐明细!$B$4:$B$603,$Z1035-5200)),"")))))</f>
        <v/>
      </c>
      <c r="C1035" s="37" t="str">
        <f>IF($Z1035="","",IF($Z1035&lt;=2000,IF(INDEX(包装物料出入库明细!$D$4:$D$2003,$Z1035-0)=0,"",INDEX(包装物料出入库明细!$D$4:$D$2003,$Z1035-0)),IF($Z1035&lt;=4000,IF(INDEX(周转筐出入库明细!$C$4:$C$2004,$Z1035-2000)=0,"",INDEX(周转筐出入库明细!$C$4:$C$2004,$Z1035-2000)),IF($Z1035&lt;=5200,IF(INDEX(客户自备加工筐明细!$E$4:$E$1203,$Z1035-4000)=0,"",INDEX(客户自备加工筐明细!$E$4:$E$1203,$Z1035-4000)),IF($Z1035&lt;=5800,IF(INDEX(次果筐明细!$C$4:$C$603,$Z1035-5200)=0,"",INDEX(次果筐明细!$C$4:$C$603,$Z1035-5200)),"")))))</f>
        <v/>
      </c>
      <c r="D1035" s="37" t="str">
        <f>IF($Z1035="","",IF($Z1035&lt;=2000,"包装物料－"&amp;INDEX(包装物料出入库明细!$H$4:$H$2003,$Z1035-0),IF($Z1035&lt;=4000,"周转筐－"&amp;INDEX(周转筐出入库明细!$F$4:$F$2004,$Z1035-2000),IF($Z1035&lt;=5200,"客户自备筐－"&amp;INDEX(客户自备加工筐明细!$J$4:$J$1203,$Z1035-4000),IF($Z1035&lt;=5800,"次果筐/托盘－"&amp;INDEX(次果筐明细!$F$4:$F$603,$Z1035-5200),"")))))</f>
        <v/>
      </c>
      <c r="E1035" s="24" t="str">
        <f>IF($Z1035="","",IF($Z1035&lt;=2000,IF(INDEX(包装物料出入库明细!$C$4:$C$2003,$Z1035-0)=0,"",INDEX(包装物料出入库明细!$C$4:$C$2003,$Z1035-0)),IF($Z1035&lt;=4000,IF(INDEX(周转筐出入库明细!$E$4:$E$2004,$Z1035-2000)=0,"",INDEX(周转筐出入库明细!$E$4:$E$2004,$Z1035-2000)),IF($Z1035&lt;=5200,IF(INDEX(客户自备加工筐明细!$D$4:$D$1203,$Z1035-4000)=0,"",INDEX(客户自备加工筐明细!$D$4:$D$1203,$Z1035-4000)),IF($Z1035&lt;=5800,IF(INDEX(次果筐明细!$E$4:$E$603,$Z1035-5200)=0,"",INDEX(次果筐明细!$E$4:$E$603,$Z1035-5200)),"")))))</f>
        <v/>
      </c>
      <c r="F1035" s="24" t="str">
        <f>IF($Z1035="","",IF($Z1035&lt;=2000,IF(INDEX(包装物料出入库明细!$E$4:$E$2003,$Z1035-0)=0,"",INDEX(包装物料出入库明细!$E$4:$E$2003,$Z1035-0)),IF($Z1035&lt;=4000,IF(INDEX(周转筐出入库明细!$D$4:$D$2004,$Z1035-2000)=0,"",INDEX(周转筐出入库明细!$D$4:$D$2004,$Z1035-2000)),IF($Z1035&lt;=5200,IF(INDEX(客户自备加工筐明细!$C$4:$C$1203,$Z1035-4000)=0,"",INDEX(客户自备加工筐明细!$C$4:$C$1203,$Z1035-4000)),IF($Z1035&lt;=5800,IF(INDEX(次果筐明细!$D$4:$D$603,$Z1035-5200)=0,"",INDEX(次果筐明细!$D$4:$D$603,$Z1035-5200)),"")))))</f>
        <v/>
      </c>
      <c r="G1035" s="24" t="str">
        <f>IF($Z1035="","",IF($Z1035&lt;=2000,IF(INDEX(包装物料出入库明细!$F$4:$F$2003,$Z1035-0)=0,"",INDEX(包装物料出入库明细!$F$4:$F$2003,$Z1035-0)),IF($Z1035&lt;=4000,"",IF($Z1035&lt;=5200,"",IF($Z1035&lt;=5800,"","")))))</f>
        <v/>
      </c>
      <c r="H1035" s="39" t="str">
        <f>IF($Z1035="","",IF($Z1035&lt;=2000,IF(INDEX(包装物料出入库明细!$L$4:$L$2003,$Z1035-0)=0,"",INDEX(包装物料出入库明细!$L$4:$L$2003,$Z1035-0)),IF($Z1035&lt;=4000,N(INDEX(周转筐出入库明细!$H$4:$H$2004,$Z1035-2000))+N(INDEX(周转筐出入库明细!$I$4:$I$2004,$Z1035-2000))+N(INDEX(周转筐出入库明细!$J$4:$J$2004,$Z1035-2000))+N(INDEX(周转筐出入库明细!$K$4:$K$2004,$Z1035-2000)),IF($Z1035&lt;=5200,N(INDEX(客户自备加工筐明细!$F$4:$F$1203,$Z1035-4000))+N(INDEX(客户自备加工筐明细!$G$4:$G$1203,$Z1035-4000)),IF($Z1035&lt;=5800,IF(INDEX(次果筐明细!$G$4:$G$603,$Z1035-5200)=0,"",INDEX(次果筐明细!$G$4:$G$603,$Z1035-5200)),"")))))</f>
        <v/>
      </c>
      <c r="I1035" s="24" t="str">
        <f>IF($Z1035="","",IF($Z1035&lt;=2000,IF(INDEX(包装物料出入库明细!$G$4:$G$2003,$Z1035-0)=0,"",INDEX(包装物料出入库明细!$G$4:$G$2003,$Z1035-0)),IF($Z1035&lt;=4000,"个",IF($Z1035&lt;=5200,"个",IF($Z1035&lt;=5800,"个","")))))</f>
        <v/>
      </c>
      <c r="J1035" s="30" t="str">
        <f t="shared" si="49"/>
        <v/>
      </c>
      <c r="K1035" s="30" t="str">
        <f>IF($Z1035="","",IF($Z1035&lt;=2000,IF(INDEX(包装物料出入库明细!$N$4:$N$2003,$Z1035-0)=0,"",INDEX(包装物料出入库明细!$N$4:$N$2003,$Z1035-0)),IF($Z1035&lt;=4000,IF(INDEX(周转筐出入库明细!$P$4:$P$2004,$Z1035-2000)=0,"",INDEX(周转筐出入库明细!$P$4:$P$2004,$Z1035-2000)),IF($Z1035&lt;=5200,"",IF($Z1035&lt;=5800,N(INDEX(次果筐明细!$L$4:$L$603,$Z1035-5200))+N(INDEX(次果筐明细!$J$4:$J$603,$Z1035-5200)),"")))))</f>
        <v/>
      </c>
      <c r="L1035" s="24" t="str">
        <f>IF($Z1035="","",IF($Z1035&lt;=2000,IF(INDEX(包装物料出入库明细!$P$4:$P$2003,$Z1035-0)=0,"",INDEX(包装物料出入库明细!$P$4:$P$2003,$Z1035-0)),IF($Z1035&lt;=4000,IF(INDEX(周转筐出入库明细!$Q$4:$Q$2004,$Z1035-2000)=0,"",INDEX(周转筐出入库明细!$Q$4:$Q$2004,$Z1035-2000)),IF($Z1035&lt;=5200,"",IF($Z1035&lt;=5800,IF(INDEX(次果筐明细!$M$4:$M$603,$Z1035-5200)=0,"",INDEX(次果筐明细!$M$4:$M$603,$Z1035-5200)),"")))))</f>
        <v/>
      </c>
      <c r="M1035" s="37" t="str">
        <f>IF($Z1035="","",IF($Z1035&lt;=2000,IF(INDEX(包装物料出入库明细!$R$4:$R$2003,$Z1035-0)=0,"",INDEX(包装物料出入库明细!$R$4:$R$2003,$Z1035-0)),IF($Z1035&lt;=4000,IF(INDEX(周转筐出入库明细!$W$4:$W$2004,$Z1035-2000)=0,"",INDEX(周转筐出入库明细!$W$4:$W$2004,$Z1035-2000)),IF($Z1035&lt;=5200,IF(INDEX(客户自备加工筐明细!$L$4:$L$1203,$Z1035-4000)=0,"",INDEX(客户自备加工筐明细!$L$4:$L$1203,$Z1035-4000)),IF($Z1035&lt;=5800,IF(INDEX(次果筐明细!$P$4:$P$603,$Z1035-5200)=0,"",INDEX(次果筐明细!$P$4:$P$603,$Z1035-5200)),"")))))</f>
        <v/>
      </c>
      <c r="N1035" s="16" t="str">
        <f>IF($Z1035="","",IF($Z1035&lt;=2000,"",IF($Z1035&lt;=4000,IF(INDEX(周转筐出入库明细!$D$4:$D$2004,$Z1035-2000)=0,"",INDEX(周转筐出入库明细!$D$4:$D$2004,$Z1035-2000)),IF($Z1035&lt;=5200,IF(INDEX(客户自备加工筐明细!$C$4:$C$1203,$Z1035-4000)=0,"",INDEX(客户自备加工筐明细!$C$4:$C$1203,$Z1035-4000)),IF($Z1035&lt;=5800,IF(INDEX(次果筐明细!$D$4:$D$603,$Z1035-5200)=0,"",INDEX(次果筐明细!$D$4:$D$603,$Z1035-5200)),"")))))</f>
        <v/>
      </c>
      <c r="O1035" s="40" t="str">
        <f>IF($Z1035="","",IF($Z1035&lt;=2000,"",IF($Z1035&lt;=4000,IF(N(INDEX(周转筐出入库明细!$J$4:$J$2004,$Z1035-2000))+N(INDEX(周转筐出入库明细!$K$4:$K$2004,$Z1035-2000))=0,"",N(INDEX(周转筐出入库明细!$J$4:$J$2004,$Z1035-2000))+N(INDEX(周转筐出入库明细!$K$4:$K$2004,$Z1035-2000))),IF($Z1035&lt;=5200,IF(N(INDEX(客户自备加工筐明细!$G$4:$G$1203,$Z1035-4000))=0,"",N(INDEX(客户自备加工筐明细!$G$4:$G$1203,$Z1035-4000))),IF($Z1035&lt;=5800,IF(ISNUMBER(SEARCH("退",INDEX(次果筐明细!$F$4:$F$603,$Z1035-5200)&amp;"")),"",IF(N(INDEX(次果筐明细!$G$4:$G$603,$Z1035-5200))=0,"",N(INDEX(次果筐明细!$G$4:$G$603,$Z1035-5200)))),"")))))</f>
        <v/>
      </c>
      <c r="P1035" s="40" t="str">
        <f>IF($Z1035="","",IF($Z1035&lt;=2000,"",IF($Z1035&lt;=4000,IF(N(INDEX(周转筐出入库明细!$I$4:$I$2004,$Z1035-2000))=0,"",N(INDEX(周转筐出入库明细!$I$4:$I$2004,$Z1035-2000))),IF($Z1035&lt;=5200,"",IF($Z1035&lt;=5800,IF(ISNUMBER(SEARCH("退",INDEX(次果筐明细!$F$4:$F$603,$Z1035-5200)&amp;"")),IF(N(INDEX(次果筐明细!$G$4:$G$603,$Z1035-5200))=0,"",N(INDEX(次果筐明细!$G$4:$G$603,$Z1035-5200))),""),"")))))</f>
        <v/>
      </c>
      <c r="Q1035" s="40" t="str">
        <f>IF($Z1035="","",IF($Z1035&lt;=2000,"",IF($Z1035&lt;=4000,IF(N(INDEX(周转筐出入库明细!$H$4:$H$2004,$Z1035-2000))=0,"",N(INDEX(周转筐出入库明细!$H$4:$H$2004,$Z1035-2000))),IF($Z1035&lt;=5200,IF(N(INDEX(客户自备加工筐明细!$F$4:$F$1203,$Z1035-4000))=0,"",N(INDEX(客户自备加工筐明细!$F$4:$F$1203,$Z1035-4000))),IF($Z1035&lt;=5800,"","")))))</f>
        <v/>
      </c>
      <c r="R1035" s="16" t="str">
        <f>IF($Z1035="","",IF($Z1035&lt;=2000,IF(INDEX(包装物料出入库明细!$O$4:$O$2003,$Z1035-0)=0,"",INDEX(包装物料出入库明细!$O$4:$O$2003,$Z1035-0)),IF($Z1035&lt;=4000,IF(INDEX(周转筐出入库明细!$M$4:$M$2004,$Z1035-2000)=0,"",INDEX(周转筐出入库明细!$M$4:$M$2004,$Z1035-2000)),IF($Z1035&lt;=5200,IF(INDEX(客户自备加工筐明细!$H$4:$H$1203,$Z1035-4000)=0,"",INDEX(客户自备加工筐明细!$H$4:$H$1203,$Z1035-4000)),IF($Z1035&lt;=5800,IF(INDEX(次果筐明细!$H$4:$H$603,$Z1035-5200)=0,"",INDEX(次果筐明细!$H$4:$H$603,$Z1035-5200)),"")))))</f>
        <v/>
      </c>
      <c r="S1035" s="22" t="str">
        <f t="shared" si="50"/>
        <v/>
      </c>
      <c r="Z1035" s="10" t="str">
        <f>IFERROR(MATCH(ROW()-3,_自动清单!$CQ$4:$CQ$5803,0),"")</f>
        <v/>
      </c>
    </row>
    <row r="1036" spans="1:26">
      <c r="A1036" s="24" t="str">
        <f t="shared" si="48"/>
        <v/>
      </c>
      <c r="B1036" s="38" t="str">
        <f>IF($Z1036="","",IF($Z1036&lt;=2000,IF(INDEX(包装物料出入库明细!$B$4:$B$2003,$Z1036-0)=0,"",INDEX(包装物料出入库明细!$B$4:$B$2003,$Z1036-0)),IF($Z1036&lt;=4000,IF(INDEX(周转筐出入库明细!$B$4:$B$2004,$Z1036-2000)=0,"",INDEX(周转筐出入库明细!$B$4:$B$2004,$Z1036-2000)),IF($Z1036&lt;=5200,IF(INDEX(客户自备加工筐明细!$B$4:$B$1203,$Z1036-4000)=0,"",INDEX(客户自备加工筐明细!$B$4:$B$1203,$Z1036-4000)),IF($Z1036&lt;=5800,IF(INDEX(次果筐明细!$B$4:$B$603,$Z1036-5200)=0,"",INDEX(次果筐明细!$B$4:$B$603,$Z1036-5200)),"")))))</f>
        <v/>
      </c>
      <c r="C1036" s="37" t="str">
        <f>IF($Z1036="","",IF($Z1036&lt;=2000,IF(INDEX(包装物料出入库明细!$D$4:$D$2003,$Z1036-0)=0,"",INDEX(包装物料出入库明细!$D$4:$D$2003,$Z1036-0)),IF($Z1036&lt;=4000,IF(INDEX(周转筐出入库明细!$C$4:$C$2004,$Z1036-2000)=0,"",INDEX(周转筐出入库明细!$C$4:$C$2004,$Z1036-2000)),IF($Z1036&lt;=5200,IF(INDEX(客户自备加工筐明细!$E$4:$E$1203,$Z1036-4000)=0,"",INDEX(客户自备加工筐明细!$E$4:$E$1203,$Z1036-4000)),IF($Z1036&lt;=5800,IF(INDEX(次果筐明细!$C$4:$C$603,$Z1036-5200)=0,"",INDEX(次果筐明细!$C$4:$C$603,$Z1036-5200)),"")))))</f>
        <v/>
      </c>
      <c r="D1036" s="37" t="str">
        <f>IF($Z1036="","",IF($Z1036&lt;=2000,"包装物料－"&amp;INDEX(包装物料出入库明细!$H$4:$H$2003,$Z1036-0),IF($Z1036&lt;=4000,"周转筐－"&amp;INDEX(周转筐出入库明细!$F$4:$F$2004,$Z1036-2000),IF($Z1036&lt;=5200,"客户自备筐－"&amp;INDEX(客户自备加工筐明细!$J$4:$J$1203,$Z1036-4000),IF($Z1036&lt;=5800,"次果筐/托盘－"&amp;INDEX(次果筐明细!$F$4:$F$603,$Z1036-5200),"")))))</f>
        <v/>
      </c>
      <c r="E1036" s="24" t="str">
        <f>IF($Z1036="","",IF($Z1036&lt;=2000,IF(INDEX(包装物料出入库明细!$C$4:$C$2003,$Z1036-0)=0,"",INDEX(包装物料出入库明细!$C$4:$C$2003,$Z1036-0)),IF($Z1036&lt;=4000,IF(INDEX(周转筐出入库明细!$E$4:$E$2004,$Z1036-2000)=0,"",INDEX(周转筐出入库明细!$E$4:$E$2004,$Z1036-2000)),IF($Z1036&lt;=5200,IF(INDEX(客户自备加工筐明细!$D$4:$D$1203,$Z1036-4000)=0,"",INDEX(客户自备加工筐明细!$D$4:$D$1203,$Z1036-4000)),IF($Z1036&lt;=5800,IF(INDEX(次果筐明细!$E$4:$E$603,$Z1036-5200)=0,"",INDEX(次果筐明细!$E$4:$E$603,$Z1036-5200)),"")))))</f>
        <v/>
      </c>
      <c r="F1036" s="24" t="str">
        <f>IF($Z1036="","",IF($Z1036&lt;=2000,IF(INDEX(包装物料出入库明细!$E$4:$E$2003,$Z1036-0)=0,"",INDEX(包装物料出入库明细!$E$4:$E$2003,$Z1036-0)),IF($Z1036&lt;=4000,IF(INDEX(周转筐出入库明细!$D$4:$D$2004,$Z1036-2000)=0,"",INDEX(周转筐出入库明细!$D$4:$D$2004,$Z1036-2000)),IF($Z1036&lt;=5200,IF(INDEX(客户自备加工筐明细!$C$4:$C$1203,$Z1036-4000)=0,"",INDEX(客户自备加工筐明细!$C$4:$C$1203,$Z1036-4000)),IF($Z1036&lt;=5800,IF(INDEX(次果筐明细!$D$4:$D$603,$Z1036-5200)=0,"",INDEX(次果筐明细!$D$4:$D$603,$Z1036-5200)),"")))))</f>
        <v/>
      </c>
      <c r="G1036" s="24" t="str">
        <f>IF($Z1036="","",IF($Z1036&lt;=2000,IF(INDEX(包装物料出入库明细!$F$4:$F$2003,$Z1036-0)=0,"",INDEX(包装物料出入库明细!$F$4:$F$2003,$Z1036-0)),IF($Z1036&lt;=4000,"",IF($Z1036&lt;=5200,"",IF($Z1036&lt;=5800,"","")))))</f>
        <v/>
      </c>
      <c r="H1036" s="39" t="str">
        <f>IF($Z1036="","",IF($Z1036&lt;=2000,IF(INDEX(包装物料出入库明细!$L$4:$L$2003,$Z1036-0)=0,"",INDEX(包装物料出入库明细!$L$4:$L$2003,$Z1036-0)),IF($Z1036&lt;=4000,N(INDEX(周转筐出入库明细!$H$4:$H$2004,$Z1036-2000))+N(INDEX(周转筐出入库明细!$I$4:$I$2004,$Z1036-2000))+N(INDEX(周转筐出入库明细!$J$4:$J$2004,$Z1036-2000))+N(INDEX(周转筐出入库明细!$K$4:$K$2004,$Z1036-2000)),IF($Z1036&lt;=5200,N(INDEX(客户自备加工筐明细!$F$4:$F$1203,$Z1036-4000))+N(INDEX(客户自备加工筐明细!$G$4:$G$1203,$Z1036-4000)),IF($Z1036&lt;=5800,IF(INDEX(次果筐明细!$G$4:$G$603,$Z1036-5200)=0,"",INDEX(次果筐明细!$G$4:$G$603,$Z1036-5200)),"")))))</f>
        <v/>
      </c>
      <c r="I1036" s="24" t="str">
        <f>IF($Z1036="","",IF($Z1036&lt;=2000,IF(INDEX(包装物料出入库明细!$G$4:$G$2003,$Z1036-0)=0,"",INDEX(包装物料出入库明细!$G$4:$G$2003,$Z1036-0)),IF($Z1036&lt;=4000,"个",IF($Z1036&lt;=5200,"个",IF($Z1036&lt;=5800,"个","")))))</f>
        <v/>
      </c>
      <c r="J1036" s="30" t="str">
        <f t="shared" si="49"/>
        <v/>
      </c>
      <c r="K1036" s="30" t="str">
        <f>IF($Z1036="","",IF($Z1036&lt;=2000,IF(INDEX(包装物料出入库明细!$N$4:$N$2003,$Z1036-0)=0,"",INDEX(包装物料出入库明细!$N$4:$N$2003,$Z1036-0)),IF($Z1036&lt;=4000,IF(INDEX(周转筐出入库明细!$P$4:$P$2004,$Z1036-2000)=0,"",INDEX(周转筐出入库明细!$P$4:$P$2004,$Z1036-2000)),IF($Z1036&lt;=5200,"",IF($Z1036&lt;=5800,N(INDEX(次果筐明细!$L$4:$L$603,$Z1036-5200))+N(INDEX(次果筐明细!$J$4:$J$603,$Z1036-5200)),"")))))</f>
        <v/>
      </c>
      <c r="L1036" s="24" t="str">
        <f>IF($Z1036="","",IF($Z1036&lt;=2000,IF(INDEX(包装物料出入库明细!$P$4:$P$2003,$Z1036-0)=0,"",INDEX(包装物料出入库明细!$P$4:$P$2003,$Z1036-0)),IF($Z1036&lt;=4000,IF(INDEX(周转筐出入库明细!$Q$4:$Q$2004,$Z1036-2000)=0,"",INDEX(周转筐出入库明细!$Q$4:$Q$2004,$Z1036-2000)),IF($Z1036&lt;=5200,"",IF($Z1036&lt;=5800,IF(INDEX(次果筐明细!$M$4:$M$603,$Z1036-5200)=0,"",INDEX(次果筐明细!$M$4:$M$603,$Z1036-5200)),"")))))</f>
        <v/>
      </c>
      <c r="M1036" s="37" t="str">
        <f>IF($Z1036="","",IF($Z1036&lt;=2000,IF(INDEX(包装物料出入库明细!$R$4:$R$2003,$Z1036-0)=0,"",INDEX(包装物料出入库明细!$R$4:$R$2003,$Z1036-0)),IF($Z1036&lt;=4000,IF(INDEX(周转筐出入库明细!$W$4:$W$2004,$Z1036-2000)=0,"",INDEX(周转筐出入库明细!$W$4:$W$2004,$Z1036-2000)),IF($Z1036&lt;=5200,IF(INDEX(客户自备加工筐明细!$L$4:$L$1203,$Z1036-4000)=0,"",INDEX(客户自备加工筐明细!$L$4:$L$1203,$Z1036-4000)),IF($Z1036&lt;=5800,IF(INDEX(次果筐明细!$P$4:$P$603,$Z1036-5200)=0,"",INDEX(次果筐明细!$P$4:$P$603,$Z1036-5200)),"")))))</f>
        <v/>
      </c>
      <c r="N1036" s="16" t="str">
        <f>IF($Z1036="","",IF($Z1036&lt;=2000,"",IF($Z1036&lt;=4000,IF(INDEX(周转筐出入库明细!$D$4:$D$2004,$Z1036-2000)=0,"",INDEX(周转筐出入库明细!$D$4:$D$2004,$Z1036-2000)),IF($Z1036&lt;=5200,IF(INDEX(客户自备加工筐明细!$C$4:$C$1203,$Z1036-4000)=0,"",INDEX(客户自备加工筐明细!$C$4:$C$1203,$Z1036-4000)),IF($Z1036&lt;=5800,IF(INDEX(次果筐明细!$D$4:$D$603,$Z1036-5200)=0,"",INDEX(次果筐明细!$D$4:$D$603,$Z1036-5200)),"")))))</f>
        <v/>
      </c>
      <c r="O1036" s="40" t="str">
        <f>IF($Z1036="","",IF($Z1036&lt;=2000,"",IF($Z1036&lt;=4000,IF(N(INDEX(周转筐出入库明细!$J$4:$J$2004,$Z1036-2000))+N(INDEX(周转筐出入库明细!$K$4:$K$2004,$Z1036-2000))=0,"",N(INDEX(周转筐出入库明细!$J$4:$J$2004,$Z1036-2000))+N(INDEX(周转筐出入库明细!$K$4:$K$2004,$Z1036-2000))),IF($Z1036&lt;=5200,IF(N(INDEX(客户自备加工筐明细!$G$4:$G$1203,$Z1036-4000))=0,"",N(INDEX(客户自备加工筐明细!$G$4:$G$1203,$Z1036-4000))),IF($Z1036&lt;=5800,IF(ISNUMBER(SEARCH("退",INDEX(次果筐明细!$F$4:$F$603,$Z1036-5200)&amp;"")),"",IF(N(INDEX(次果筐明细!$G$4:$G$603,$Z1036-5200))=0,"",N(INDEX(次果筐明细!$G$4:$G$603,$Z1036-5200)))),"")))))</f>
        <v/>
      </c>
      <c r="P1036" s="40" t="str">
        <f>IF($Z1036="","",IF($Z1036&lt;=2000,"",IF($Z1036&lt;=4000,IF(N(INDEX(周转筐出入库明细!$I$4:$I$2004,$Z1036-2000))=0,"",N(INDEX(周转筐出入库明细!$I$4:$I$2004,$Z1036-2000))),IF($Z1036&lt;=5200,"",IF($Z1036&lt;=5800,IF(ISNUMBER(SEARCH("退",INDEX(次果筐明细!$F$4:$F$603,$Z1036-5200)&amp;"")),IF(N(INDEX(次果筐明细!$G$4:$G$603,$Z1036-5200))=0,"",N(INDEX(次果筐明细!$G$4:$G$603,$Z1036-5200))),""),"")))))</f>
        <v/>
      </c>
      <c r="Q1036" s="40" t="str">
        <f>IF($Z1036="","",IF($Z1036&lt;=2000,"",IF($Z1036&lt;=4000,IF(N(INDEX(周转筐出入库明细!$H$4:$H$2004,$Z1036-2000))=0,"",N(INDEX(周转筐出入库明细!$H$4:$H$2004,$Z1036-2000))),IF($Z1036&lt;=5200,IF(N(INDEX(客户自备加工筐明细!$F$4:$F$1203,$Z1036-4000))=0,"",N(INDEX(客户自备加工筐明细!$F$4:$F$1203,$Z1036-4000))),IF($Z1036&lt;=5800,"","")))))</f>
        <v/>
      </c>
      <c r="R1036" s="16" t="str">
        <f>IF($Z1036="","",IF($Z1036&lt;=2000,IF(INDEX(包装物料出入库明细!$O$4:$O$2003,$Z1036-0)=0,"",INDEX(包装物料出入库明细!$O$4:$O$2003,$Z1036-0)),IF($Z1036&lt;=4000,IF(INDEX(周转筐出入库明细!$M$4:$M$2004,$Z1036-2000)=0,"",INDEX(周转筐出入库明细!$M$4:$M$2004,$Z1036-2000)),IF($Z1036&lt;=5200,IF(INDEX(客户自备加工筐明细!$H$4:$H$1203,$Z1036-4000)=0,"",INDEX(客户自备加工筐明细!$H$4:$H$1203,$Z1036-4000)),IF($Z1036&lt;=5800,IF(INDEX(次果筐明细!$H$4:$H$603,$Z1036-5200)=0,"",INDEX(次果筐明细!$H$4:$H$603,$Z1036-5200)),"")))))</f>
        <v/>
      </c>
      <c r="S1036" s="22" t="str">
        <f t="shared" si="50"/>
        <v/>
      </c>
      <c r="Z1036" s="10" t="str">
        <f>IFERROR(MATCH(ROW()-3,_自动清单!$CQ$4:$CQ$5803,0),"")</f>
        <v/>
      </c>
    </row>
    <row r="1037" spans="1:26">
      <c r="A1037" s="24" t="str">
        <f t="shared" si="48"/>
        <v/>
      </c>
      <c r="B1037" s="38" t="str">
        <f>IF($Z1037="","",IF($Z1037&lt;=2000,IF(INDEX(包装物料出入库明细!$B$4:$B$2003,$Z1037-0)=0,"",INDEX(包装物料出入库明细!$B$4:$B$2003,$Z1037-0)),IF($Z1037&lt;=4000,IF(INDEX(周转筐出入库明细!$B$4:$B$2004,$Z1037-2000)=0,"",INDEX(周转筐出入库明细!$B$4:$B$2004,$Z1037-2000)),IF($Z1037&lt;=5200,IF(INDEX(客户自备加工筐明细!$B$4:$B$1203,$Z1037-4000)=0,"",INDEX(客户自备加工筐明细!$B$4:$B$1203,$Z1037-4000)),IF($Z1037&lt;=5800,IF(INDEX(次果筐明细!$B$4:$B$603,$Z1037-5200)=0,"",INDEX(次果筐明细!$B$4:$B$603,$Z1037-5200)),"")))))</f>
        <v/>
      </c>
      <c r="C1037" s="37" t="str">
        <f>IF($Z1037="","",IF($Z1037&lt;=2000,IF(INDEX(包装物料出入库明细!$D$4:$D$2003,$Z1037-0)=0,"",INDEX(包装物料出入库明细!$D$4:$D$2003,$Z1037-0)),IF($Z1037&lt;=4000,IF(INDEX(周转筐出入库明细!$C$4:$C$2004,$Z1037-2000)=0,"",INDEX(周转筐出入库明细!$C$4:$C$2004,$Z1037-2000)),IF($Z1037&lt;=5200,IF(INDEX(客户自备加工筐明细!$E$4:$E$1203,$Z1037-4000)=0,"",INDEX(客户自备加工筐明细!$E$4:$E$1203,$Z1037-4000)),IF($Z1037&lt;=5800,IF(INDEX(次果筐明细!$C$4:$C$603,$Z1037-5200)=0,"",INDEX(次果筐明细!$C$4:$C$603,$Z1037-5200)),"")))))</f>
        <v/>
      </c>
      <c r="D1037" s="37" t="str">
        <f>IF($Z1037="","",IF($Z1037&lt;=2000,"包装物料－"&amp;INDEX(包装物料出入库明细!$H$4:$H$2003,$Z1037-0),IF($Z1037&lt;=4000,"周转筐－"&amp;INDEX(周转筐出入库明细!$F$4:$F$2004,$Z1037-2000),IF($Z1037&lt;=5200,"客户自备筐－"&amp;INDEX(客户自备加工筐明细!$J$4:$J$1203,$Z1037-4000),IF($Z1037&lt;=5800,"次果筐/托盘－"&amp;INDEX(次果筐明细!$F$4:$F$603,$Z1037-5200),"")))))</f>
        <v/>
      </c>
      <c r="E1037" s="24" t="str">
        <f>IF($Z1037="","",IF($Z1037&lt;=2000,IF(INDEX(包装物料出入库明细!$C$4:$C$2003,$Z1037-0)=0,"",INDEX(包装物料出入库明细!$C$4:$C$2003,$Z1037-0)),IF($Z1037&lt;=4000,IF(INDEX(周转筐出入库明细!$E$4:$E$2004,$Z1037-2000)=0,"",INDEX(周转筐出入库明细!$E$4:$E$2004,$Z1037-2000)),IF($Z1037&lt;=5200,IF(INDEX(客户自备加工筐明细!$D$4:$D$1203,$Z1037-4000)=0,"",INDEX(客户自备加工筐明细!$D$4:$D$1203,$Z1037-4000)),IF($Z1037&lt;=5800,IF(INDEX(次果筐明细!$E$4:$E$603,$Z1037-5200)=0,"",INDEX(次果筐明细!$E$4:$E$603,$Z1037-5200)),"")))))</f>
        <v/>
      </c>
      <c r="F1037" s="24" t="str">
        <f>IF($Z1037="","",IF($Z1037&lt;=2000,IF(INDEX(包装物料出入库明细!$E$4:$E$2003,$Z1037-0)=0,"",INDEX(包装物料出入库明细!$E$4:$E$2003,$Z1037-0)),IF($Z1037&lt;=4000,IF(INDEX(周转筐出入库明细!$D$4:$D$2004,$Z1037-2000)=0,"",INDEX(周转筐出入库明细!$D$4:$D$2004,$Z1037-2000)),IF($Z1037&lt;=5200,IF(INDEX(客户自备加工筐明细!$C$4:$C$1203,$Z1037-4000)=0,"",INDEX(客户自备加工筐明细!$C$4:$C$1203,$Z1037-4000)),IF($Z1037&lt;=5800,IF(INDEX(次果筐明细!$D$4:$D$603,$Z1037-5200)=0,"",INDEX(次果筐明细!$D$4:$D$603,$Z1037-5200)),"")))))</f>
        <v/>
      </c>
      <c r="G1037" s="24" t="str">
        <f>IF($Z1037="","",IF($Z1037&lt;=2000,IF(INDEX(包装物料出入库明细!$F$4:$F$2003,$Z1037-0)=0,"",INDEX(包装物料出入库明细!$F$4:$F$2003,$Z1037-0)),IF($Z1037&lt;=4000,"",IF($Z1037&lt;=5200,"",IF($Z1037&lt;=5800,"","")))))</f>
        <v/>
      </c>
      <c r="H1037" s="39" t="str">
        <f>IF($Z1037="","",IF($Z1037&lt;=2000,IF(INDEX(包装物料出入库明细!$L$4:$L$2003,$Z1037-0)=0,"",INDEX(包装物料出入库明细!$L$4:$L$2003,$Z1037-0)),IF($Z1037&lt;=4000,N(INDEX(周转筐出入库明细!$H$4:$H$2004,$Z1037-2000))+N(INDEX(周转筐出入库明细!$I$4:$I$2004,$Z1037-2000))+N(INDEX(周转筐出入库明细!$J$4:$J$2004,$Z1037-2000))+N(INDEX(周转筐出入库明细!$K$4:$K$2004,$Z1037-2000)),IF($Z1037&lt;=5200,N(INDEX(客户自备加工筐明细!$F$4:$F$1203,$Z1037-4000))+N(INDEX(客户自备加工筐明细!$G$4:$G$1203,$Z1037-4000)),IF($Z1037&lt;=5800,IF(INDEX(次果筐明细!$G$4:$G$603,$Z1037-5200)=0,"",INDEX(次果筐明细!$G$4:$G$603,$Z1037-5200)),"")))))</f>
        <v/>
      </c>
      <c r="I1037" s="24" t="str">
        <f>IF($Z1037="","",IF($Z1037&lt;=2000,IF(INDEX(包装物料出入库明细!$G$4:$G$2003,$Z1037-0)=0,"",INDEX(包装物料出入库明细!$G$4:$G$2003,$Z1037-0)),IF($Z1037&lt;=4000,"个",IF($Z1037&lt;=5200,"个",IF($Z1037&lt;=5800,"个","")))))</f>
        <v/>
      </c>
      <c r="J1037" s="30" t="str">
        <f t="shared" si="49"/>
        <v/>
      </c>
      <c r="K1037" s="30" t="str">
        <f>IF($Z1037="","",IF($Z1037&lt;=2000,IF(INDEX(包装物料出入库明细!$N$4:$N$2003,$Z1037-0)=0,"",INDEX(包装物料出入库明细!$N$4:$N$2003,$Z1037-0)),IF($Z1037&lt;=4000,IF(INDEX(周转筐出入库明细!$P$4:$P$2004,$Z1037-2000)=0,"",INDEX(周转筐出入库明细!$P$4:$P$2004,$Z1037-2000)),IF($Z1037&lt;=5200,"",IF($Z1037&lt;=5800,N(INDEX(次果筐明细!$L$4:$L$603,$Z1037-5200))+N(INDEX(次果筐明细!$J$4:$J$603,$Z1037-5200)),"")))))</f>
        <v/>
      </c>
      <c r="L1037" s="24" t="str">
        <f>IF($Z1037="","",IF($Z1037&lt;=2000,IF(INDEX(包装物料出入库明细!$P$4:$P$2003,$Z1037-0)=0,"",INDEX(包装物料出入库明细!$P$4:$P$2003,$Z1037-0)),IF($Z1037&lt;=4000,IF(INDEX(周转筐出入库明细!$Q$4:$Q$2004,$Z1037-2000)=0,"",INDEX(周转筐出入库明细!$Q$4:$Q$2004,$Z1037-2000)),IF($Z1037&lt;=5200,"",IF($Z1037&lt;=5800,IF(INDEX(次果筐明细!$M$4:$M$603,$Z1037-5200)=0,"",INDEX(次果筐明细!$M$4:$M$603,$Z1037-5200)),"")))))</f>
        <v/>
      </c>
      <c r="M1037" s="37" t="str">
        <f>IF($Z1037="","",IF($Z1037&lt;=2000,IF(INDEX(包装物料出入库明细!$R$4:$R$2003,$Z1037-0)=0,"",INDEX(包装物料出入库明细!$R$4:$R$2003,$Z1037-0)),IF($Z1037&lt;=4000,IF(INDEX(周转筐出入库明细!$W$4:$W$2004,$Z1037-2000)=0,"",INDEX(周转筐出入库明细!$W$4:$W$2004,$Z1037-2000)),IF($Z1037&lt;=5200,IF(INDEX(客户自备加工筐明细!$L$4:$L$1203,$Z1037-4000)=0,"",INDEX(客户自备加工筐明细!$L$4:$L$1203,$Z1037-4000)),IF($Z1037&lt;=5800,IF(INDEX(次果筐明细!$P$4:$P$603,$Z1037-5200)=0,"",INDEX(次果筐明细!$P$4:$P$603,$Z1037-5200)),"")))))</f>
        <v/>
      </c>
      <c r="N1037" s="16" t="str">
        <f>IF($Z1037="","",IF($Z1037&lt;=2000,"",IF($Z1037&lt;=4000,IF(INDEX(周转筐出入库明细!$D$4:$D$2004,$Z1037-2000)=0,"",INDEX(周转筐出入库明细!$D$4:$D$2004,$Z1037-2000)),IF($Z1037&lt;=5200,IF(INDEX(客户自备加工筐明细!$C$4:$C$1203,$Z1037-4000)=0,"",INDEX(客户自备加工筐明细!$C$4:$C$1203,$Z1037-4000)),IF($Z1037&lt;=5800,IF(INDEX(次果筐明细!$D$4:$D$603,$Z1037-5200)=0,"",INDEX(次果筐明细!$D$4:$D$603,$Z1037-5200)),"")))))</f>
        <v/>
      </c>
      <c r="O1037" s="40" t="str">
        <f>IF($Z1037="","",IF($Z1037&lt;=2000,"",IF($Z1037&lt;=4000,IF(N(INDEX(周转筐出入库明细!$J$4:$J$2004,$Z1037-2000))+N(INDEX(周转筐出入库明细!$K$4:$K$2004,$Z1037-2000))=0,"",N(INDEX(周转筐出入库明细!$J$4:$J$2004,$Z1037-2000))+N(INDEX(周转筐出入库明细!$K$4:$K$2004,$Z1037-2000))),IF($Z1037&lt;=5200,IF(N(INDEX(客户自备加工筐明细!$G$4:$G$1203,$Z1037-4000))=0,"",N(INDEX(客户自备加工筐明细!$G$4:$G$1203,$Z1037-4000))),IF($Z1037&lt;=5800,IF(ISNUMBER(SEARCH("退",INDEX(次果筐明细!$F$4:$F$603,$Z1037-5200)&amp;"")),"",IF(N(INDEX(次果筐明细!$G$4:$G$603,$Z1037-5200))=0,"",N(INDEX(次果筐明细!$G$4:$G$603,$Z1037-5200)))),"")))))</f>
        <v/>
      </c>
      <c r="P1037" s="40" t="str">
        <f>IF($Z1037="","",IF($Z1037&lt;=2000,"",IF($Z1037&lt;=4000,IF(N(INDEX(周转筐出入库明细!$I$4:$I$2004,$Z1037-2000))=0,"",N(INDEX(周转筐出入库明细!$I$4:$I$2004,$Z1037-2000))),IF($Z1037&lt;=5200,"",IF($Z1037&lt;=5800,IF(ISNUMBER(SEARCH("退",INDEX(次果筐明细!$F$4:$F$603,$Z1037-5200)&amp;"")),IF(N(INDEX(次果筐明细!$G$4:$G$603,$Z1037-5200))=0,"",N(INDEX(次果筐明细!$G$4:$G$603,$Z1037-5200))),""),"")))))</f>
        <v/>
      </c>
      <c r="Q1037" s="40" t="str">
        <f>IF($Z1037="","",IF($Z1037&lt;=2000,"",IF($Z1037&lt;=4000,IF(N(INDEX(周转筐出入库明细!$H$4:$H$2004,$Z1037-2000))=0,"",N(INDEX(周转筐出入库明细!$H$4:$H$2004,$Z1037-2000))),IF($Z1037&lt;=5200,IF(N(INDEX(客户自备加工筐明细!$F$4:$F$1203,$Z1037-4000))=0,"",N(INDEX(客户自备加工筐明细!$F$4:$F$1203,$Z1037-4000))),IF($Z1037&lt;=5800,"","")))))</f>
        <v/>
      </c>
      <c r="R1037" s="16" t="str">
        <f>IF($Z1037="","",IF($Z1037&lt;=2000,IF(INDEX(包装物料出入库明细!$O$4:$O$2003,$Z1037-0)=0,"",INDEX(包装物料出入库明细!$O$4:$O$2003,$Z1037-0)),IF($Z1037&lt;=4000,IF(INDEX(周转筐出入库明细!$M$4:$M$2004,$Z1037-2000)=0,"",INDEX(周转筐出入库明细!$M$4:$M$2004,$Z1037-2000)),IF($Z1037&lt;=5200,IF(INDEX(客户自备加工筐明细!$H$4:$H$1203,$Z1037-4000)=0,"",INDEX(客户自备加工筐明细!$H$4:$H$1203,$Z1037-4000)),IF($Z1037&lt;=5800,IF(INDEX(次果筐明细!$H$4:$H$603,$Z1037-5200)=0,"",INDEX(次果筐明细!$H$4:$H$603,$Z1037-5200)),"")))))</f>
        <v/>
      </c>
      <c r="S1037" s="22" t="str">
        <f t="shared" si="50"/>
        <v/>
      </c>
      <c r="Z1037" s="10" t="str">
        <f>IFERROR(MATCH(ROW()-3,_自动清单!$CQ$4:$CQ$5803,0),"")</f>
        <v/>
      </c>
    </row>
    <row r="1038" spans="1:26">
      <c r="A1038" s="24" t="str">
        <f t="shared" si="48"/>
        <v/>
      </c>
      <c r="B1038" s="38" t="str">
        <f>IF($Z1038="","",IF($Z1038&lt;=2000,IF(INDEX(包装物料出入库明细!$B$4:$B$2003,$Z1038-0)=0,"",INDEX(包装物料出入库明细!$B$4:$B$2003,$Z1038-0)),IF($Z1038&lt;=4000,IF(INDEX(周转筐出入库明细!$B$4:$B$2004,$Z1038-2000)=0,"",INDEX(周转筐出入库明细!$B$4:$B$2004,$Z1038-2000)),IF($Z1038&lt;=5200,IF(INDEX(客户自备加工筐明细!$B$4:$B$1203,$Z1038-4000)=0,"",INDEX(客户自备加工筐明细!$B$4:$B$1203,$Z1038-4000)),IF($Z1038&lt;=5800,IF(INDEX(次果筐明细!$B$4:$B$603,$Z1038-5200)=0,"",INDEX(次果筐明细!$B$4:$B$603,$Z1038-5200)),"")))))</f>
        <v/>
      </c>
      <c r="C1038" s="37" t="str">
        <f>IF($Z1038="","",IF($Z1038&lt;=2000,IF(INDEX(包装物料出入库明细!$D$4:$D$2003,$Z1038-0)=0,"",INDEX(包装物料出入库明细!$D$4:$D$2003,$Z1038-0)),IF($Z1038&lt;=4000,IF(INDEX(周转筐出入库明细!$C$4:$C$2004,$Z1038-2000)=0,"",INDEX(周转筐出入库明细!$C$4:$C$2004,$Z1038-2000)),IF($Z1038&lt;=5200,IF(INDEX(客户自备加工筐明细!$E$4:$E$1203,$Z1038-4000)=0,"",INDEX(客户自备加工筐明细!$E$4:$E$1203,$Z1038-4000)),IF($Z1038&lt;=5800,IF(INDEX(次果筐明细!$C$4:$C$603,$Z1038-5200)=0,"",INDEX(次果筐明细!$C$4:$C$603,$Z1038-5200)),"")))))</f>
        <v/>
      </c>
      <c r="D1038" s="37" t="str">
        <f>IF($Z1038="","",IF($Z1038&lt;=2000,"包装物料－"&amp;INDEX(包装物料出入库明细!$H$4:$H$2003,$Z1038-0),IF($Z1038&lt;=4000,"周转筐－"&amp;INDEX(周转筐出入库明细!$F$4:$F$2004,$Z1038-2000),IF($Z1038&lt;=5200,"客户自备筐－"&amp;INDEX(客户自备加工筐明细!$J$4:$J$1203,$Z1038-4000),IF($Z1038&lt;=5800,"次果筐/托盘－"&amp;INDEX(次果筐明细!$F$4:$F$603,$Z1038-5200),"")))))</f>
        <v/>
      </c>
      <c r="E1038" s="24" t="str">
        <f>IF($Z1038="","",IF($Z1038&lt;=2000,IF(INDEX(包装物料出入库明细!$C$4:$C$2003,$Z1038-0)=0,"",INDEX(包装物料出入库明细!$C$4:$C$2003,$Z1038-0)),IF($Z1038&lt;=4000,IF(INDEX(周转筐出入库明细!$E$4:$E$2004,$Z1038-2000)=0,"",INDEX(周转筐出入库明细!$E$4:$E$2004,$Z1038-2000)),IF($Z1038&lt;=5200,IF(INDEX(客户自备加工筐明细!$D$4:$D$1203,$Z1038-4000)=0,"",INDEX(客户自备加工筐明细!$D$4:$D$1203,$Z1038-4000)),IF($Z1038&lt;=5800,IF(INDEX(次果筐明细!$E$4:$E$603,$Z1038-5200)=0,"",INDEX(次果筐明细!$E$4:$E$603,$Z1038-5200)),"")))))</f>
        <v/>
      </c>
      <c r="F1038" s="24" t="str">
        <f>IF($Z1038="","",IF($Z1038&lt;=2000,IF(INDEX(包装物料出入库明细!$E$4:$E$2003,$Z1038-0)=0,"",INDEX(包装物料出入库明细!$E$4:$E$2003,$Z1038-0)),IF($Z1038&lt;=4000,IF(INDEX(周转筐出入库明细!$D$4:$D$2004,$Z1038-2000)=0,"",INDEX(周转筐出入库明细!$D$4:$D$2004,$Z1038-2000)),IF($Z1038&lt;=5200,IF(INDEX(客户自备加工筐明细!$C$4:$C$1203,$Z1038-4000)=0,"",INDEX(客户自备加工筐明细!$C$4:$C$1203,$Z1038-4000)),IF($Z1038&lt;=5800,IF(INDEX(次果筐明细!$D$4:$D$603,$Z1038-5200)=0,"",INDEX(次果筐明细!$D$4:$D$603,$Z1038-5200)),"")))))</f>
        <v/>
      </c>
      <c r="G1038" s="24" t="str">
        <f>IF($Z1038="","",IF($Z1038&lt;=2000,IF(INDEX(包装物料出入库明细!$F$4:$F$2003,$Z1038-0)=0,"",INDEX(包装物料出入库明细!$F$4:$F$2003,$Z1038-0)),IF($Z1038&lt;=4000,"",IF($Z1038&lt;=5200,"",IF($Z1038&lt;=5800,"","")))))</f>
        <v/>
      </c>
      <c r="H1038" s="39" t="str">
        <f>IF($Z1038="","",IF($Z1038&lt;=2000,IF(INDEX(包装物料出入库明细!$L$4:$L$2003,$Z1038-0)=0,"",INDEX(包装物料出入库明细!$L$4:$L$2003,$Z1038-0)),IF($Z1038&lt;=4000,N(INDEX(周转筐出入库明细!$H$4:$H$2004,$Z1038-2000))+N(INDEX(周转筐出入库明细!$I$4:$I$2004,$Z1038-2000))+N(INDEX(周转筐出入库明细!$J$4:$J$2004,$Z1038-2000))+N(INDEX(周转筐出入库明细!$K$4:$K$2004,$Z1038-2000)),IF($Z1038&lt;=5200,N(INDEX(客户自备加工筐明细!$F$4:$F$1203,$Z1038-4000))+N(INDEX(客户自备加工筐明细!$G$4:$G$1203,$Z1038-4000)),IF($Z1038&lt;=5800,IF(INDEX(次果筐明细!$G$4:$G$603,$Z1038-5200)=0,"",INDEX(次果筐明细!$G$4:$G$603,$Z1038-5200)),"")))))</f>
        <v/>
      </c>
      <c r="I1038" s="24" t="str">
        <f>IF($Z1038="","",IF($Z1038&lt;=2000,IF(INDEX(包装物料出入库明细!$G$4:$G$2003,$Z1038-0)=0,"",INDEX(包装物料出入库明细!$G$4:$G$2003,$Z1038-0)),IF($Z1038&lt;=4000,"个",IF($Z1038&lt;=5200,"个",IF($Z1038&lt;=5800,"个","")))))</f>
        <v/>
      </c>
      <c r="J1038" s="30" t="str">
        <f t="shared" si="49"/>
        <v/>
      </c>
      <c r="K1038" s="30" t="str">
        <f>IF($Z1038="","",IF($Z1038&lt;=2000,IF(INDEX(包装物料出入库明细!$N$4:$N$2003,$Z1038-0)=0,"",INDEX(包装物料出入库明细!$N$4:$N$2003,$Z1038-0)),IF($Z1038&lt;=4000,IF(INDEX(周转筐出入库明细!$P$4:$P$2004,$Z1038-2000)=0,"",INDEX(周转筐出入库明细!$P$4:$P$2004,$Z1038-2000)),IF($Z1038&lt;=5200,"",IF($Z1038&lt;=5800,N(INDEX(次果筐明细!$L$4:$L$603,$Z1038-5200))+N(INDEX(次果筐明细!$J$4:$J$603,$Z1038-5200)),"")))))</f>
        <v/>
      </c>
      <c r="L1038" s="24" t="str">
        <f>IF($Z1038="","",IF($Z1038&lt;=2000,IF(INDEX(包装物料出入库明细!$P$4:$P$2003,$Z1038-0)=0,"",INDEX(包装物料出入库明细!$P$4:$P$2003,$Z1038-0)),IF($Z1038&lt;=4000,IF(INDEX(周转筐出入库明细!$Q$4:$Q$2004,$Z1038-2000)=0,"",INDEX(周转筐出入库明细!$Q$4:$Q$2004,$Z1038-2000)),IF($Z1038&lt;=5200,"",IF($Z1038&lt;=5800,IF(INDEX(次果筐明细!$M$4:$M$603,$Z1038-5200)=0,"",INDEX(次果筐明细!$M$4:$M$603,$Z1038-5200)),"")))))</f>
        <v/>
      </c>
      <c r="M1038" s="37" t="str">
        <f>IF($Z1038="","",IF($Z1038&lt;=2000,IF(INDEX(包装物料出入库明细!$R$4:$R$2003,$Z1038-0)=0,"",INDEX(包装物料出入库明细!$R$4:$R$2003,$Z1038-0)),IF($Z1038&lt;=4000,IF(INDEX(周转筐出入库明细!$W$4:$W$2004,$Z1038-2000)=0,"",INDEX(周转筐出入库明细!$W$4:$W$2004,$Z1038-2000)),IF($Z1038&lt;=5200,IF(INDEX(客户自备加工筐明细!$L$4:$L$1203,$Z1038-4000)=0,"",INDEX(客户自备加工筐明细!$L$4:$L$1203,$Z1038-4000)),IF($Z1038&lt;=5800,IF(INDEX(次果筐明细!$P$4:$P$603,$Z1038-5200)=0,"",INDEX(次果筐明细!$P$4:$P$603,$Z1038-5200)),"")))))</f>
        <v/>
      </c>
      <c r="N1038" s="16" t="str">
        <f>IF($Z1038="","",IF($Z1038&lt;=2000,"",IF($Z1038&lt;=4000,IF(INDEX(周转筐出入库明细!$D$4:$D$2004,$Z1038-2000)=0,"",INDEX(周转筐出入库明细!$D$4:$D$2004,$Z1038-2000)),IF($Z1038&lt;=5200,IF(INDEX(客户自备加工筐明细!$C$4:$C$1203,$Z1038-4000)=0,"",INDEX(客户自备加工筐明细!$C$4:$C$1203,$Z1038-4000)),IF($Z1038&lt;=5800,IF(INDEX(次果筐明细!$D$4:$D$603,$Z1038-5200)=0,"",INDEX(次果筐明细!$D$4:$D$603,$Z1038-5200)),"")))))</f>
        <v/>
      </c>
      <c r="O1038" s="40" t="str">
        <f>IF($Z1038="","",IF($Z1038&lt;=2000,"",IF($Z1038&lt;=4000,IF(N(INDEX(周转筐出入库明细!$J$4:$J$2004,$Z1038-2000))+N(INDEX(周转筐出入库明细!$K$4:$K$2004,$Z1038-2000))=0,"",N(INDEX(周转筐出入库明细!$J$4:$J$2004,$Z1038-2000))+N(INDEX(周转筐出入库明细!$K$4:$K$2004,$Z1038-2000))),IF($Z1038&lt;=5200,IF(N(INDEX(客户自备加工筐明细!$G$4:$G$1203,$Z1038-4000))=0,"",N(INDEX(客户自备加工筐明细!$G$4:$G$1203,$Z1038-4000))),IF($Z1038&lt;=5800,IF(ISNUMBER(SEARCH("退",INDEX(次果筐明细!$F$4:$F$603,$Z1038-5200)&amp;"")),"",IF(N(INDEX(次果筐明细!$G$4:$G$603,$Z1038-5200))=0,"",N(INDEX(次果筐明细!$G$4:$G$603,$Z1038-5200)))),"")))))</f>
        <v/>
      </c>
      <c r="P1038" s="40" t="str">
        <f>IF($Z1038="","",IF($Z1038&lt;=2000,"",IF($Z1038&lt;=4000,IF(N(INDEX(周转筐出入库明细!$I$4:$I$2004,$Z1038-2000))=0,"",N(INDEX(周转筐出入库明细!$I$4:$I$2004,$Z1038-2000))),IF($Z1038&lt;=5200,"",IF($Z1038&lt;=5800,IF(ISNUMBER(SEARCH("退",INDEX(次果筐明细!$F$4:$F$603,$Z1038-5200)&amp;"")),IF(N(INDEX(次果筐明细!$G$4:$G$603,$Z1038-5200))=0,"",N(INDEX(次果筐明细!$G$4:$G$603,$Z1038-5200))),""),"")))))</f>
        <v/>
      </c>
      <c r="Q1038" s="40" t="str">
        <f>IF($Z1038="","",IF($Z1038&lt;=2000,"",IF($Z1038&lt;=4000,IF(N(INDEX(周转筐出入库明细!$H$4:$H$2004,$Z1038-2000))=0,"",N(INDEX(周转筐出入库明细!$H$4:$H$2004,$Z1038-2000))),IF($Z1038&lt;=5200,IF(N(INDEX(客户自备加工筐明细!$F$4:$F$1203,$Z1038-4000))=0,"",N(INDEX(客户自备加工筐明细!$F$4:$F$1203,$Z1038-4000))),IF($Z1038&lt;=5800,"","")))))</f>
        <v/>
      </c>
      <c r="R1038" s="16" t="str">
        <f>IF($Z1038="","",IF($Z1038&lt;=2000,IF(INDEX(包装物料出入库明细!$O$4:$O$2003,$Z1038-0)=0,"",INDEX(包装物料出入库明细!$O$4:$O$2003,$Z1038-0)),IF($Z1038&lt;=4000,IF(INDEX(周转筐出入库明细!$M$4:$M$2004,$Z1038-2000)=0,"",INDEX(周转筐出入库明细!$M$4:$M$2004,$Z1038-2000)),IF($Z1038&lt;=5200,IF(INDEX(客户自备加工筐明细!$H$4:$H$1203,$Z1038-4000)=0,"",INDEX(客户自备加工筐明细!$H$4:$H$1203,$Z1038-4000)),IF($Z1038&lt;=5800,IF(INDEX(次果筐明细!$H$4:$H$603,$Z1038-5200)=0,"",INDEX(次果筐明细!$H$4:$H$603,$Z1038-5200)),"")))))</f>
        <v/>
      </c>
      <c r="S1038" s="22" t="str">
        <f t="shared" si="50"/>
        <v/>
      </c>
      <c r="Z1038" s="10" t="str">
        <f>IFERROR(MATCH(ROW()-3,_自动清单!$CQ$4:$CQ$5803,0),"")</f>
        <v/>
      </c>
    </row>
    <row r="1039" spans="1:26">
      <c r="A1039" s="24" t="str">
        <f t="shared" si="48"/>
        <v/>
      </c>
      <c r="B1039" s="38" t="str">
        <f>IF($Z1039="","",IF($Z1039&lt;=2000,IF(INDEX(包装物料出入库明细!$B$4:$B$2003,$Z1039-0)=0,"",INDEX(包装物料出入库明细!$B$4:$B$2003,$Z1039-0)),IF($Z1039&lt;=4000,IF(INDEX(周转筐出入库明细!$B$4:$B$2004,$Z1039-2000)=0,"",INDEX(周转筐出入库明细!$B$4:$B$2004,$Z1039-2000)),IF($Z1039&lt;=5200,IF(INDEX(客户自备加工筐明细!$B$4:$B$1203,$Z1039-4000)=0,"",INDEX(客户自备加工筐明细!$B$4:$B$1203,$Z1039-4000)),IF($Z1039&lt;=5800,IF(INDEX(次果筐明细!$B$4:$B$603,$Z1039-5200)=0,"",INDEX(次果筐明细!$B$4:$B$603,$Z1039-5200)),"")))))</f>
        <v/>
      </c>
      <c r="C1039" s="37" t="str">
        <f>IF($Z1039="","",IF($Z1039&lt;=2000,IF(INDEX(包装物料出入库明细!$D$4:$D$2003,$Z1039-0)=0,"",INDEX(包装物料出入库明细!$D$4:$D$2003,$Z1039-0)),IF($Z1039&lt;=4000,IF(INDEX(周转筐出入库明细!$C$4:$C$2004,$Z1039-2000)=0,"",INDEX(周转筐出入库明细!$C$4:$C$2004,$Z1039-2000)),IF($Z1039&lt;=5200,IF(INDEX(客户自备加工筐明细!$E$4:$E$1203,$Z1039-4000)=0,"",INDEX(客户自备加工筐明细!$E$4:$E$1203,$Z1039-4000)),IF($Z1039&lt;=5800,IF(INDEX(次果筐明细!$C$4:$C$603,$Z1039-5200)=0,"",INDEX(次果筐明细!$C$4:$C$603,$Z1039-5200)),"")))))</f>
        <v/>
      </c>
      <c r="D1039" s="37" t="str">
        <f>IF($Z1039="","",IF($Z1039&lt;=2000,"包装物料－"&amp;INDEX(包装物料出入库明细!$H$4:$H$2003,$Z1039-0),IF($Z1039&lt;=4000,"周转筐－"&amp;INDEX(周转筐出入库明细!$F$4:$F$2004,$Z1039-2000),IF($Z1039&lt;=5200,"客户自备筐－"&amp;INDEX(客户自备加工筐明细!$J$4:$J$1203,$Z1039-4000),IF($Z1039&lt;=5800,"次果筐/托盘－"&amp;INDEX(次果筐明细!$F$4:$F$603,$Z1039-5200),"")))))</f>
        <v/>
      </c>
      <c r="E1039" s="24" t="str">
        <f>IF($Z1039="","",IF($Z1039&lt;=2000,IF(INDEX(包装物料出入库明细!$C$4:$C$2003,$Z1039-0)=0,"",INDEX(包装物料出入库明细!$C$4:$C$2003,$Z1039-0)),IF($Z1039&lt;=4000,IF(INDEX(周转筐出入库明细!$E$4:$E$2004,$Z1039-2000)=0,"",INDEX(周转筐出入库明细!$E$4:$E$2004,$Z1039-2000)),IF($Z1039&lt;=5200,IF(INDEX(客户自备加工筐明细!$D$4:$D$1203,$Z1039-4000)=0,"",INDEX(客户自备加工筐明细!$D$4:$D$1203,$Z1039-4000)),IF($Z1039&lt;=5800,IF(INDEX(次果筐明细!$E$4:$E$603,$Z1039-5200)=0,"",INDEX(次果筐明细!$E$4:$E$603,$Z1039-5200)),"")))))</f>
        <v/>
      </c>
      <c r="F1039" s="24" t="str">
        <f>IF($Z1039="","",IF($Z1039&lt;=2000,IF(INDEX(包装物料出入库明细!$E$4:$E$2003,$Z1039-0)=0,"",INDEX(包装物料出入库明细!$E$4:$E$2003,$Z1039-0)),IF($Z1039&lt;=4000,IF(INDEX(周转筐出入库明细!$D$4:$D$2004,$Z1039-2000)=0,"",INDEX(周转筐出入库明细!$D$4:$D$2004,$Z1039-2000)),IF($Z1039&lt;=5200,IF(INDEX(客户自备加工筐明细!$C$4:$C$1203,$Z1039-4000)=0,"",INDEX(客户自备加工筐明细!$C$4:$C$1203,$Z1039-4000)),IF($Z1039&lt;=5800,IF(INDEX(次果筐明细!$D$4:$D$603,$Z1039-5200)=0,"",INDEX(次果筐明细!$D$4:$D$603,$Z1039-5200)),"")))))</f>
        <v/>
      </c>
      <c r="G1039" s="24" t="str">
        <f>IF($Z1039="","",IF($Z1039&lt;=2000,IF(INDEX(包装物料出入库明细!$F$4:$F$2003,$Z1039-0)=0,"",INDEX(包装物料出入库明细!$F$4:$F$2003,$Z1039-0)),IF($Z1039&lt;=4000,"",IF($Z1039&lt;=5200,"",IF($Z1039&lt;=5800,"","")))))</f>
        <v/>
      </c>
      <c r="H1039" s="39" t="str">
        <f>IF($Z1039="","",IF($Z1039&lt;=2000,IF(INDEX(包装物料出入库明细!$L$4:$L$2003,$Z1039-0)=0,"",INDEX(包装物料出入库明细!$L$4:$L$2003,$Z1039-0)),IF($Z1039&lt;=4000,N(INDEX(周转筐出入库明细!$H$4:$H$2004,$Z1039-2000))+N(INDEX(周转筐出入库明细!$I$4:$I$2004,$Z1039-2000))+N(INDEX(周转筐出入库明细!$J$4:$J$2004,$Z1039-2000))+N(INDEX(周转筐出入库明细!$K$4:$K$2004,$Z1039-2000)),IF($Z1039&lt;=5200,N(INDEX(客户自备加工筐明细!$F$4:$F$1203,$Z1039-4000))+N(INDEX(客户自备加工筐明细!$G$4:$G$1203,$Z1039-4000)),IF($Z1039&lt;=5800,IF(INDEX(次果筐明细!$G$4:$G$603,$Z1039-5200)=0,"",INDEX(次果筐明细!$G$4:$G$603,$Z1039-5200)),"")))))</f>
        <v/>
      </c>
      <c r="I1039" s="24" t="str">
        <f>IF($Z1039="","",IF($Z1039&lt;=2000,IF(INDEX(包装物料出入库明细!$G$4:$G$2003,$Z1039-0)=0,"",INDEX(包装物料出入库明细!$G$4:$G$2003,$Z1039-0)),IF($Z1039&lt;=4000,"个",IF($Z1039&lt;=5200,"个",IF($Z1039&lt;=5800,"个","")))))</f>
        <v/>
      </c>
      <c r="J1039" s="30" t="str">
        <f t="shared" si="49"/>
        <v/>
      </c>
      <c r="K1039" s="30" t="str">
        <f>IF($Z1039="","",IF($Z1039&lt;=2000,IF(INDEX(包装物料出入库明细!$N$4:$N$2003,$Z1039-0)=0,"",INDEX(包装物料出入库明细!$N$4:$N$2003,$Z1039-0)),IF($Z1039&lt;=4000,IF(INDEX(周转筐出入库明细!$P$4:$P$2004,$Z1039-2000)=0,"",INDEX(周转筐出入库明细!$P$4:$P$2004,$Z1039-2000)),IF($Z1039&lt;=5200,"",IF($Z1039&lt;=5800,N(INDEX(次果筐明细!$L$4:$L$603,$Z1039-5200))+N(INDEX(次果筐明细!$J$4:$J$603,$Z1039-5200)),"")))))</f>
        <v/>
      </c>
      <c r="L1039" s="24" t="str">
        <f>IF($Z1039="","",IF($Z1039&lt;=2000,IF(INDEX(包装物料出入库明细!$P$4:$P$2003,$Z1039-0)=0,"",INDEX(包装物料出入库明细!$P$4:$P$2003,$Z1039-0)),IF($Z1039&lt;=4000,IF(INDEX(周转筐出入库明细!$Q$4:$Q$2004,$Z1039-2000)=0,"",INDEX(周转筐出入库明细!$Q$4:$Q$2004,$Z1039-2000)),IF($Z1039&lt;=5200,"",IF($Z1039&lt;=5800,IF(INDEX(次果筐明细!$M$4:$M$603,$Z1039-5200)=0,"",INDEX(次果筐明细!$M$4:$M$603,$Z1039-5200)),"")))))</f>
        <v/>
      </c>
      <c r="M1039" s="37" t="str">
        <f>IF($Z1039="","",IF($Z1039&lt;=2000,IF(INDEX(包装物料出入库明细!$R$4:$R$2003,$Z1039-0)=0,"",INDEX(包装物料出入库明细!$R$4:$R$2003,$Z1039-0)),IF($Z1039&lt;=4000,IF(INDEX(周转筐出入库明细!$W$4:$W$2004,$Z1039-2000)=0,"",INDEX(周转筐出入库明细!$W$4:$W$2004,$Z1039-2000)),IF($Z1039&lt;=5200,IF(INDEX(客户自备加工筐明细!$L$4:$L$1203,$Z1039-4000)=0,"",INDEX(客户自备加工筐明细!$L$4:$L$1203,$Z1039-4000)),IF($Z1039&lt;=5800,IF(INDEX(次果筐明细!$P$4:$P$603,$Z1039-5200)=0,"",INDEX(次果筐明细!$P$4:$P$603,$Z1039-5200)),"")))))</f>
        <v/>
      </c>
      <c r="N1039" s="16" t="str">
        <f>IF($Z1039="","",IF($Z1039&lt;=2000,"",IF($Z1039&lt;=4000,IF(INDEX(周转筐出入库明细!$D$4:$D$2004,$Z1039-2000)=0,"",INDEX(周转筐出入库明细!$D$4:$D$2004,$Z1039-2000)),IF($Z1039&lt;=5200,IF(INDEX(客户自备加工筐明细!$C$4:$C$1203,$Z1039-4000)=0,"",INDEX(客户自备加工筐明细!$C$4:$C$1203,$Z1039-4000)),IF($Z1039&lt;=5800,IF(INDEX(次果筐明细!$D$4:$D$603,$Z1039-5200)=0,"",INDEX(次果筐明细!$D$4:$D$603,$Z1039-5200)),"")))))</f>
        <v/>
      </c>
      <c r="O1039" s="40" t="str">
        <f>IF($Z1039="","",IF($Z1039&lt;=2000,"",IF($Z1039&lt;=4000,IF(N(INDEX(周转筐出入库明细!$J$4:$J$2004,$Z1039-2000))+N(INDEX(周转筐出入库明细!$K$4:$K$2004,$Z1039-2000))=0,"",N(INDEX(周转筐出入库明细!$J$4:$J$2004,$Z1039-2000))+N(INDEX(周转筐出入库明细!$K$4:$K$2004,$Z1039-2000))),IF($Z1039&lt;=5200,IF(N(INDEX(客户自备加工筐明细!$G$4:$G$1203,$Z1039-4000))=0,"",N(INDEX(客户自备加工筐明细!$G$4:$G$1203,$Z1039-4000))),IF($Z1039&lt;=5800,IF(ISNUMBER(SEARCH("退",INDEX(次果筐明细!$F$4:$F$603,$Z1039-5200)&amp;"")),"",IF(N(INDEX(次果筐明细!$G$4:$G$603,$Z1039-5200))=0,"",N(INDEX(次果筐明细!$G$4:$G$603,$Z1039-5200)))),"")))))</f>
        <v/>
      </c>
      <c r="P1039" s="40" t="str">
        <f>IF($Z1039="","",IF($Z1039&lt;=2000,"",IF($Z1039&lt;=4000,IF(N(INDEX(周转筐出入库明细!$I$4:$I$2004,$Z1039-2000))=0,"",N(INDEX(周转筐出入库明细!$I$4:$I$2004,$Z1039-2000))),IF($Z1039&lt;=5200,"",IF($Z1039&lt;=5800,IF(ISNUMBER(SEARCH("退",INDEX(次果筐明细!$F$4:$F$603,$Z1039-5200)&amp;"")),IF(N(INDEX(次果筐明细!$G$4:$G$603,$Z1039-5200))=0,"",N(INDEX(次果筐明细!$G$4:$G$603,$Z1039-5200))),""),"")))))</f>
        <v/>
      </c>
      <c r="Q1039" s="40" t="str">
        <f>IF($Z1039="","",IF($Z1039&lt;=2000,"",IF($Z1039&lt;=4000,IF(N(INDEX(周转筐出入库明细!$H$4:$H$2004,$Z1039-2000))=0,"",N(INDEX(周转筐出入库明细!$H$4:$H$2004,$Z1039-2000))),IF($Z1039&lt;=5200,IF(N(INDEX(客户自备加工筐明细!$F$4:$F$1203,$Z1039-4000))=0,"",N(INDEX(客户自备加工筐明细!$F$4:$F$1203,$Z1039-4000))),IF($Z1039&lt;=5800,"","")))))</f>
        <v/>
      </c>
      <c r="R1039" s="16" t="str">
        <f>IF($Z1039="","",IF($Z1039&lt;=2000,IF(INDEX(包装物料出入库明细!$O$4:$O$2003,$Z1039-0)=0,"",INDEX(包装物料出入库明细!$O$4:$O$2003,$Z1039-0)),IF($Z1039&lt;=4000,IF(INDEX(周转筐出入库明细!$M$4:$M$2004,$Z1039-2000)=0,"",INDEX(周转筐出入库明细!$M$4:$M$2004,$Z1039-2000)),IF($Z1039&lt;=5200,IF(INDEX(客户自备加工筐明细!$H$4:$H$1203,$Z1039-4000)=0,"",INDEX(客户自备加工筐明细!$H$4:$H$1203,$Z1039-4000)),IF($Z1039&lt;=5800,IF(INDEX(次果筐明细!$H$4:$H$603,$Z1039-5200)=0,"",INDEX(次果筐明细!$H$4:$H$603,$Z1039-5200)),"")))))</f>
        <v/>
      </c>
      <c r="S1039" s="22" t="str">
        <f t="shared" si="50"/>
        <v/>
      </c>
      <c r="Z1039" s="10" t="str">
        <f>IFERROR(MATCH(ROW()-3,_自动清单!$CQ$4:$CQ$5803,0),"")</f>
        <v/>
      </c>
    </row>
    <row r="1040" spans="1:26">
      <c r="A1040" s="24" t="str">
        <f t="shared" si="48"/>
        <v/>
      </c>
      <c r="B1040" s="38" t="str">
        <f>IF($Z1040="","",IF($Z1040&lt;=2000,IF(INDEX(包装物料出入库明细!$B$4:$B$2003,$Z1040-0)=0,"",INDEX(包装物料出入库明细!$B$4:$B$2003,$Z1040-0)),IF($Z1040&lt;=4000,IF(INDEX(周转筐出入库明细!$B$4:$B$2004,$Z1040-2000)=0,"",INDEX(周转筐出入库明细!$B$4:$B$2004,$Z1040-2000)),IF($Z1040&lt;=5200,IF(INDEX(客户自备加工筐明细!$B$4:$B$1203,$Z1040-4000)=0,"",INDEX(客户自备加工筐明细!$B$4:$B$1203,$Z1040-4000)),IF($Z1040&lt;=5800,IF(INDEX(次果筐明细!$B$4:$B$603,$Z1040-5200)=0,"",INDEX(次果筐明细!$B$4:$B$603,$Z1040-5200)),"")))))</f>
        <v/>
      </c>
      <c r="C1040" s="37" t="str">
        <f>IF($Z1040="","",IF($Z1040&lt;=2000,IF(INDEX(包装物料出入库明细!$D$4:$D$2003,$Z1040-0)=0,"",INDEX(包装物料出入库明细!$D$4:$D$2003,$Z1040-0)),IF($Z1040&lt;=4000,IF(INDEX(周转筐出入库明细!$C$4:$C$2004,$Z1040-2000)=0,"",INDEX(周转筐出入库明细!$C$4:$C$2004,$Z1040-2000)),IF($Z1040&lt;=5200,IF(INDEX(客户自备加工筐明细!$E$4:$E$1203,$Z1040-4000)=0,"",INDEX(客户自备加工筐明细!$E$4:$E$1203,$Z1040-4000)),IF($Z1040&lt;=5800,IF(INDEX(次果筐明细!$C$4:$C$603,$Z1040-5200)=0,"",INDEX(次果筐明细!$C$4:$C$603,$Z1040-5200)),"")))))</f>
        <v/>
      </c>
      <c r="D1040" s="37" t="str">
        <f>IF($Z1040="","",IF($Z1040&lt;=2000,"包装物料－"&amp;INDEX(包装物料出入库明细!$H$4:$H$2003,$Z1040-0),IF($Z1040&lt;=4000,"周转筐－"&amp;INDEX(周转筐出入库明细!$F$4:$F$2004,$Z1040-2000),IF($Z1040&lt;=5200,"客户自备筐－"&amp;INDEX(客户自备加工筐明细!$J$4:$J$1203,$Z1040-4000),IF($Z1040&lt;=5800,"次果筐/托盘－"&amp;INDEX(次果筐明细!$F$4:$F$603,$Z1040-5200),"")))))</f>
        <v/>
      </c>
      <c r="E1040" s="24" t="str">
        <f>IF($Z1040="","",IF($Z1040&lt;=2000,IF(INDEX(包装物料出入库明细!$C$4:$C$2003,$Z1040-0)=0,"",INDEX(包装物料出入库明细!$C$4:$C$2003,$Z1040-0)),IF($Z1040&lt;=4000,IF(INDEX(周转筐出入库明细!$E$4:$E$2004,$Z1040-2000)=0,"",INDEX(周转筐出入库明细!$E$4:$E$2004,$Z1040-2000)),IF($Z1040&lt;=5200,IF(INDEX(客户自备加工筐明细!$D$4:$D$1203,$Z1040-4000)=0,"",INDEX(客户自备加工筐明细!$D$4:$D$1203,$Z1040-4000)),IF($Z1040&lt;=5800,IF(INDEX(次果筐明细!$E$4:$E$603,$Z1040-5200)=0,"",INDEX(次果筐明细!$E$4:$E$603,$Z1040-5200)),"")))))</f>
        <v/>
      </c>
      <c r="F1040" s="24" t="str">
        <f>IF($Z1040="","",IF($Z1040&lt;=2000,IF(INDEX(包装物料出入库明细!$E$4:$E$2003,$Z1040-0)=0,"",INDEX(包装物料出入库明细!$E$4:$E$2003,$Z1040-0)),IF($Z1040&lt;=4000,IF(INDEX(周转筐出入库明细!$D$4:$D$2004,$Z1040-2000)=0,"",INDEX(周转筐出入库明细!$D$4:$D$2004,$Z1040-2000)),IF($Z1040&lt;=5200,IF(INDEX(客户自备加工筐明细!$C$4:$C$1203,$Z1040-4000)=0,"",INDEX(客户自备加工筐明细!$C$4:$C$1203,$Z1040-4000)),IF($Z1040&lt;=5800,IF(INDEX(次果筐明细!$D$4:$D$603,$Z1040-5200)=0,"",INDEX(次果筐明细!$D$4:$D$603,$Z1040-5200)),"")))))</f>
        <v/>
      </c>
      <c r="G1040" s="24" t="str">
        <f>IF($Z1040="","",IF($Z1040&lt;=2000,IF(INDEX(包装物料出入库明细!$F$4:$F$2003,$Z1040-0)=0,"",INDEX(包装物料出入库明细!$F$4:$F$2003,$Z1040-0)),IF($Z1040&lt;=4000,"",IF($Z1040&lt;=5200,"",IF($Z1040&lt;=5800,"","")))))</f>
        <v/>
      </c>
      <c r="H1040" s="39" t="str">
        <f>IF($Z1040="","",IF($Z1040&lt;=2000,IF(INDEX(包装物料出入库明细!$L$4:$L$2003,$Z1040-0)=0,"",INDEX(包装物料出入库明细!$L$4:$L$2003,$Z1040-0)),IF($Z1040&lt;=4000,N(INDEX(周转筐出入库明细!$H$4:$H$2004,$Z1040-2000))+N(INDEX(周转筐出入库明细!$I$4:$I$2004,$Z1040-2000))+N(INDEX(周转筐出入库明细!$J$4:$J$2004,$Z1040-2000))+N(INDEX(周转筐出入库明细!$K$4:$K$2004,$Z1040-2000)),IF($Z1040&lt;=5200,N(INDEX(客户自备加工筐明细!$F$4:$F$1203,$Z1040-4000))+N(INDEX(客户自备加工筐明细!$G$4:$G$1203,$Z1040-4000)),IF($Z1040&lt;=5800,IF(INDEX(次果筐明细!$G$4:$G$603,$Z1040-5200)=0,"",INDEX(次果筐明细!$G$4:$G$603,$Z1040-5200)),"")))))</f>
        <v/>
      </c>
      <c r="I1040" s="24" t="str">
        <f>IF($Z1040="","",IF($Z1040&lt;=2000,IF(INDEX(包装物料出入库明细!$G$4:$G$2003,$Z1040-0)=0,"",INDEX(包装物料出入库明细!$G$4:$G$2003,$Z1040-0)),IF($Z1040&lt;=4000,"个",IF($Z1040&lt;=5200,"个",IF($Z1040&lt;=5800,"个","")))))</f>
        <v/>
      </c>
      <c r="J1040" s="30" t="str">
        <f t="shared" si="49"/>
        <v/>
      </c>
      <c r="K1040" s="30" t="str">
        <f>IF($Z1040="","",IF($Z1040&lt;=2000,IF(INDEX(包装物料出入库明细!$N$4:$N$2003,$Z1040-0)=0,"",INDEX(包装物料出入库明细!$N$4:$N$2003,$Z1040-0)),IF($Z1040&lt;=4000,IF(INDEX(周转筐出入库明细!$P$4:$P$2004,$Z1040-2000)=0,"",INDEX(周转筐出入库明细!$P$4:$P$2004,$Z1040-2000)),IF($Z1040&lt;=5200,"",IF($Z1040&lt;=5800,N(INDEX(次果筐明细!$L$4:$L$603,$Z1040-5200))+N(INDEX(次果筐明细!$J$4:$J$603,$Z1040-5200)),"")))))</f>
        <v/>
      </c>
      <c r="L1040" s="24" t="str">
        <f>IF($Z1040="","",IF($Z1040&lt;=2000,IF(INDEX(包装物料出入库明细!$P$4:$P$2003,$Z1040-0)=0,"",INDEX(包装物料出入库明细!$P$4:$P$2003,$Z1040-0)),IF($Z1040&lt;=4000,IF(INDEX(周转筐出入库明细!$Q$4:$Q$2004,$Z1040-2000)=0,"",INDEX(周转筐出入库明细!$Q$4:$Q$2004,$Z1040-2000)),IF($Z1040&lt;=5200,"",IF($Z1040&lt;=5800,IF(INDEX(次果筐明细!$M$4:$M$603,$Z1040-5200)=0,"",INDEX(次果筐明细!$M$4:$M$603,$Z1040-5200)),"")))))</f>
        <v/>
      </c>
      <c r="M1040" s="37" t="str">
        <f>IF($Z1040="","",IF($Z1040&lt;=2000,IF(INDEX(包装物料出入库明细!$R$4:$R$2003,$Z1040-0)=0,"",INDEX(包装物料出入库明细!$R$4:$R$2003,$Z1040-0)),IF($Z1040&lt;=4000,IF(INDEX(周转筐出入库明细!$W$4:$W$2004,$Z1040-2000)=0,"",INDEX(周转筐出入库明细!$W$4:$W$2004,$Z1040-2000)),IF($Z1040&lt;=5200,IF(INDEX(客户自备加工筐明细!$L$4:$L$1203,$Z1040-4000)=0,"",INDEX(客户自备加工筐明细!$L$4:$L$1203,$Z1040-4000)),IF($Z1040&lt;=5800,IF(INDEX(次果筐明细!$P$4:$P$603,$Z1040-5200)=0,"",INDEX(次果筐明细!$P$4:$P$603,$Z1040-5200)),"")))))</f>
        <v/>
      </c>
      <c r="N1040" s="16" t="str">
        <f>IF($Z1040="","",IF($Z1040&lt;=2000,"",IF($Z1040&lt;=4000,IF(INDEX(周转筐出入库明细!$D$4:$D$2004,$Z1040-2000)=0,"",INDEX(周转筐出入库明细!$D$4:$D$2004,$Z1040-2000)),IF($Z1040&lt;=5200,IF(INDEX(客户自备加工筐明细!$C$4:$C$1203,$Z1040-4000)=0,"",INDEX(客户自备加工筐明细!$C$4:$C$1203,$Z1040-4000)),IF($Z1040&lt;=5800,IF(INDEX(次果筐明细!$D$4:$D$603,$Z1040-5200)=0,"",INDEX(次果筐明细!$D$4:$D$603,$Z1040-5200)),"")))))</f>
        <v/>
      </c>
      <c r="O1040" s="40" t="str">
        <f>IF($Z1040="","",IF($Z1040&lt;=2000,"",IF($Z1040&lt;=4000,IF(N(INDEX(周转筐出入库明细!$J$4:$J$2004,$Z1040-2000))+N(INDEX(周转筐出入库明细!$K$4:$K$2004,$Z1040-2000))=0,"",N(INDEX(周转筐出入库明细!$J$4:$J$2004,$Z1040-2000))+N(INDEX(周转筐出入库明细!$K$4:$K$2004,$Z1040-2000))),IF($Z1040&lt;=5200,IF(N(INDEX(客户自备加工筐明细!$G$4:$G$1203,$Z1040-4000))=0,"",N(INDEX(客户自备加工筐明细!$G$4:$G$1203,$Z1040-4000))),IF($Z1040&lt;=5800,IF(ISNUMBER(SEARCH("退",INDEX(次果筐明细!$F$4:$F$603,$Z1040-5200)&amp;"")),"",IF(N(INDEX(次果筐明细!$G$4:$G$603,$Z1040-5200))=0,"",N(INDEX(次果筐明细!$G$4:$G$603,$Z1040-5200)))),"")))))</f>
        <v/>
      </c>
      <c r="P1040" s="40" t="str">
        <f>IF($Z1040="","",IF($Z1040&lt;=2000,"",IF($Z1040&lt;=4000,IF(N(INDEX(周转筐出入库明细!$I$4:$I$2004,$Z1040-2000))=0,"",N(INDEX(周转筐出入库明细!$I$4:$I$2004,$Z1040-2000))),IF($Z1040&lt;=5200,"",IF($Z1040&lt;=5800,IF(ISNUMBER(SEARCH("退",INDEX(次果筐明细!$F$4:$F$603,$Z1040-5200)&amp;"")),IF(N(INDEX(次果筐明细!$G$4:$G$603,$Z1040-5200))=0,"",N(INDEX(次果筐明细!$G$4:$G$603,$Z1040-5200))),""),"")))))</f>
        <v/>
      </c>
      <c r="Q1040" s="40" t="str">
        <f>IF($Z1040="","",IF($Z1040&lt;=2000,"",IF($Z1040&lt;=4000,IF(N(INDEX(周转筐出入库明细!$H$4:$H$2004,$Z1040-2000))=0,"",N(INDEX(周转筐出入库明细!$H$4:$H$2004,$Z1040-2000))),IF($Z1040&lt;=5200,IF(N(INDEX(客户自备加工筐明细!$F$4:$F$1203,$Z1040-4000))=0,"",N(INDEX(客户自备加工筐明细!$F$4:$F$1203,$Z1040-4000))),IF($Z1040&lt;=5800,"","")))))</f>
        <v/>
      </c>
      <c r="R1040" s="16" t="str">
        <f>IF($Z1040="","",IF($Z1040&lt;=2000,IF(INDEX(包装物料出入库明细!$O$4:$O$2003,$Z1040-0)=0,"",INDEX(包装物料出入库明细!$O$4:$O$2003,$Z1040-0)),IF($Z1040&lt;=4000,IF(INDEX(周转筐出入库明细!$M$4:$M$2004,$Z1040-2000)=0,"",INDEX(周转筐出入库明细!$M$4:$M$2004,$Z1040-2000)),IF($Z1040&lt;=5200,IF(INDEX(客户自备加工筐明细!$H$4:$H$1203,$Z1040-4000)=0,"",INDEX(客户自备加工筐明细!$H$4:$H$1203,$Z1040-4000)),IF($Z1040&lt;=5800,IF(INDEX(次果筐明细!$H$4:$H$603,$Z1040-5200)=0,"",INDEX(次果筐明细!$H$4:$H$603,$Z1040-5200)),"")))))</f>
        <v/>
      </c>
      <c r="S1040" s="22" t="str">
        <f t="shared" si="50"/>
        <v/>
      </c>
      <c r="Z1040" s="10" t="str">
        <f>IFERROR(MATCH(ROW()-3,_自动清单!$CQ$4:$CQ$5803,0),"")</f>
        <v/>
      </c>
    </row>
    <row r="1041" spans="1:26">
      <c r="A1041" s="24" t="str">
        <f t="shared" si="48"/>
        <v/>
      </c>
      <c r="B1041" s="38" t="str">
        <f>IF($Z1041="","",IF($Z1041&lt;=2000,IF(INDEX(包装物料出入库明细!$B$4:$B$2003,$Z1041-0)=0,"",INDEX(包装物料出入库明细!$B$4:$B$2003,$Z1041-0)),IF($Z1041&lt;=4000,IF(INDEX(周转筐出入库明细!$B$4:$B$2004,$Z1041-2000)=0,"",INDEX(周转筐出入库明细!$B$4:$B$2004,$Z1041-2000)),IF($Z1041&lt;=5200,IF(INDEX(客户自备加工筐明细!$B$4:$B$1203,$Z1041-4000)=0,"",INDEX(客户自备加工筐明细!$B$4:$B$1203,$Z1041-4000)),IF($Z1041&lt;=5800,IF(INDEX(次果筐明细!$B$4:$B$603,$Z1041-5200)=0,"",INDEX(次果筐明细!$B$4:$B$603,$Z1041-5200)),"")))))</f>
        <v/>
      </c>
      <c r="C1041" s="37" t="str">
        <f>IF($Z1041="","",IF($Z1041&lt;=2000,IF(INDEX(包装物料出入库明细!$D$4:$D$2003,$Z1041-0)=0,"",INDEX(包装物料出入库明细!$D$4:$D$2003,$Z1041-0)),IF($Z1041&lt;=4000,IF(INDEX(周转筐出入库明细!$C$4:$C$2004,$Z1041-2000)=0,"",INDEX(周转筐出入库明细!$C$4:$C$2004,$Z1041-2000)),IF($Z1041&lt;=5200,IF(INDEX(客户自备加工筐明细!$E$4:$E$1203,$Z1041-4000)=0,"",INDEX(客户自备加工筐明细!$E$4:$E$1203,$Z1041-4000)),IF($Z1041&lt;=5800,IF(INDEX(次果筐明细!$C$4:$C$603,$Z1041-5200)=0,"",INDEX(次果筐明细!$C$4:$C$603,$Z1041-5200)),"")))))</f>
        <v/>
      </c>
      <c r="D1041" s="37" t="str">
        <f>IF($Z1041="","",IF($Z1041&lt;=2000,"包装物料－"&amp;INDEX(包装物料出入库明细!$H$4:$H$2003,$Z1041-0),IF($Z1041&lt;=4000,"周转筐－"&amp;INDEX(周转筐出入库明细!$F$4:$F$2004,$Z1041-2000),IF($Z1041&lt;=5200,"客户自备筐－"&amp;INDEX(客户自备加工筐明细!$J$4:$J$1203,$Z1041-4000),IF($Z1041&lt;=5800,"次果筐/托盘－"&amp;INDEX(次果筐明细!$F$4:$F$603,$Z1041-5200),"")))))</f>
        <v/>
      </c>
      <c r="E1041" s="24" t="str">
        <f>IF($Z1041="","",IF($Z1041&lt;=2000,IF(INDEX(包装物料出入库明细!$C$4:$C$2003,$Z1041-0)=0,"",INDEX(包装物料出入库明细!$C$4:$C$2003,$Z1041-0)),IF($Z1041&lt;=4000,IF(INDEX(周转筐出入库明细!$E$4:$E$2004,$Z1041-2000)=0,"",INDEX(周转筐出入库明细!$E$4:$E$2004,$Z1041-2000)),IF($Z1041&lt;=5200,IF(INDEX(客户自备加工筐明细!$D$4:$D$1203,$Z1041-4000)=0,"",INDEX(客户自备加工筐明细!$D$4:$D$1203,$Z1041-4000)),IF($Z1041&lt;=5800,IF(INDEX(次果筐明细!$E$4:$E$603,$Z1041-5200)=0,"",INDEX(次果筐明细!$E$4:$E$603,$Z1041-5200)),"")))))</f>
        <v/>
      </c>
      <c r="F1041" s="24" t="str">
        <f>IF($Z1041="","",IF($Z1041&lt;=2000,IF(INDEX(包装物料出入库明细!$E$4:$E$2003,$Z1041-0)=0,"",INDEX(包装物料出入库明细!$E$4:$E$2003,$Z1041-0)),IF($Z1041&lt;=4000,IF(INDEX(周转筐出入库明细!$D$4:$D$2004,$Z1041-2000)=0,"",INDEX(周转筐出入库明细!$D$4:$D$2004,$Z1041-2000)),IF($Z1041&lt;=5200,IF(INDEX(客户自备加工筐明细!$C$4:$C$1203,$Z1041-4000)=0,"",INDEX(客户自备加工筐明细!$C$4:$C$1203,$Z1041-4000)),IF($Z1041&lt;=5800,IF(INDEX(次果筐明细!$D$4:$D$603,$Z1041-5200)=0,"",INDEX(次果筐明细!$D$4:$D$603,$Z1041-5200)),"")))))</f>
        <v/>
      </c>
      <c r="G1041" s="24" t="str">
        <f>IF($Z1041="","",IF($Z1041&lt;=2000,IF(INDEX(包装物料出入库明细!$F$4:$F$2003,$Z1041-0)=0,"",INDEX(包装物料出入库明细!$F$4:$F$2003,$Z1041-0)),IF($Z1041&lt;=4000,"",IF($Z1041&lt;=5200,"",IF($Z1041&lt;=5800,"","")))))</f>
        <v/>
      </c>
      <c r="H1041" s="39" t="str">
        <f>IF($Z1041="","",IF($Z1041&lt;=2000,IF(INDEX(包装物料出入库明细!$L$4:$L$2003,$Z1041-0)=0,"",INDEX(包装物料出入库明细!$L$4:$L$2003,$Z1041-0)),IF($Z1041&lt;=4000,N(INDEX(周转筐出入库明细!$H$4:$H$2004,$Z1041-2000))+N(INDEX(周转筐出入库明细!$I$4:$I$2004,$Z1041-2000))+N(INDEX(周转筐出入库明细!$J$4:$J$2004,$Z1041-2000))+N(INDEX(周转筐出入库明细!$K$4:$K$2004,$Z1041-2000)),IF($Z1041&lt;=5200,N(INDEX(客户自备加工筐明细!$F$4:$F$1203,$Z1041-4000))+N(INDEX(客户自备加工筐明细!$G$4:$G$1203,$Z1041-4000)),IF($Z1041&lt;=5800,IF(INDEX(次果筐明细!$G$4:$G$603,$Z1041-5200)=0,"",INDEX(次果筐明细!$G$4:$G$603,$Z1041-5200)),"")))))</f>
        <v/>
      </c>
      <c r="I1041" s="24" t="str">
        <f>IF($Z1041="","",IF($Z1041&lt;=2000,IF(INDEX(包装物料出入库明细!$G$4:$G$2003,$Z1041-0)=0,"",INDEX(包装物料出入库明细!$G$4:$G$2003,$Z1041-0)),IF($Z1041&lt;=4000,"个",IF($Z1041&lt;=5200,"个",IF($Z1041&lt;=5800,"个","")))))</f>
        <v/>
      </c>
      <c r="J1041" s="30" t="str">
        <f t="shared" si="49"/>
        <v/>
      </c>
      <c r="K1041" s="30" t="str">
        <f>IF($Z1041="","",IF($Z1041&lt;=2000,IF(INDEX(包装物料出入库明细!$N$4:$N$2003,$Z1041-0)=0,"",INDEX(包装物料出入库明细!$N$4:$N$2003,$Z1041-0)),IF($Z1041&lt;=4000,IF(INDEX(周转筐出入库明细!$P$4:$P$2004,$Z1041-2000)=0,"",INDEX(周转筐出入库明细!$P$4:$P$2004,$Z1041-2000)),IF($Z1041&lt;=5200,"",IF($Z1041&lt;=5800,N(INDEX(次果筐明细!$L$4:$L$603,$Z1041-5200))+N(INDEX(次果筐明细!$J$4:$J$603,$Z1041-5200)),"")))))</f>
        <v/>
      </c>
      <c r="L1041" s="24" t="str">
        <f>IF($Z1041="","",IF($Z1041&lt;=2000,IF(INDEX(包装物料出入库明细!$P$4:$P$2003,$Z1041-0)=0,"",INDEX(包装物料出入库明细!$P$4:$P$2003,$Z1041-0)),IF($Z1041&lt;=4000,IF(INDEX(周转筐出入库明细!$Q$4:$Q$2004,$Z1041-2000)=0,"",INDEX(周转筐出入库明细!$Q$4:$Q$2004,$Z1041-2000)),IF($Z1041&lt;=5200,"",IF($Z1041&lt;=5800,IF(INDEX(次果筐明细!$M$4:$M$603,$Z1041-5200)=0,"",INDEX(次果筐明细!$M$4:$M$603,$Z1041-5200)),"")))))</f>
        <v/>
      </c>
      <c r="M1041" s="37" t="str">
        <f>IF($Z1041="","",IF($Z1041&lt;=2000,IF(INDEX(包装物料出入库明细!$R$4:$R$2003,$Z1041-0)=0,"",INDEX(包装物料出入库明细!$R$4:$R$2003,$Z1041-0)),IF($Z1041&lt;=4000,IF(INDEX(周转筐出入库明细!$W$4:$W$2004,$Z1041-2000)=0,"",INDEX(周转筐出入库明细!$W$4:$W$2004,$Z1041-2000)),IF($Z1041&lt;=5200,IF(INDEX(客户自备加工筐明细!$L$4:$L$1203,$Z1041-4000)=0,"",INDEX(客户自备加工筐明细!$L$4:$L$1203,$Z1041-4000)),IF($Z1041&lt;=5800,IF(INDEX(次果筐明细!$P$4:$P$603,$Z1041-5200)=0,"",INDEX(次果筐明细!$P$4:$P$603,$Z1041-5200)),"")))))</f>
        <v/>
      </c>
      <c r="N1041" s="16" t="str">
        <f>IF($Z1041="","",IF($Z1041&lt;=2000,"",IF($Z1041&lt;=4000,IF(INDEX(周转筐出入库明细!$D$4:$D$2004,$Z1041-2000)=0,"",INDEX(周转筐出入库明细!$D$4:$D$2004,$Z1041-2000)),IF($Z1041&lt;=5200,IF(INDEX(客户自备加工筐明细!$C$4:$C$1203,$Z1041-4000)=0,"",INDEX(客户自备加工筐明细!$C$4:$C$1203,$Z1041-4000)),IF($Z1041&lt;=5800,IF(INDEX(次果筐明细!$D$4:$D$603,$Z1041-5200)=0,"",INDEX(次果筐明细!$D$4:$D$603,$Z1041-5200)),"")))))</f>
        <v/>
      </c>
      <c r="O1041" s="40" t="str">
        <f>IF($Z1041="","",IF($Z1041&lt;=2000,"",IF($Z1041&lt;=4000,IF(N(INDEX(周转筐出入库明细!$J$4:$J$2004,$Z1041-2000))+N(INDEX(周转筐出入库明细!$K$4:$K$2004,$Z1041-2000))=0,"",N(INDEX(周转筐出入库明细!$J$4:$J$2004,$Z1041-2000))+N(INDEX(周转筐出入库明细!$K$4:$K$2004,$Z1041-2000))),IF($Z1041&lt;=5200,IF(N(INDEX(客户自备加工筐明细!$G$4:$G$1203,$Z1041-4000))=0,"",N(INDEX(客户自备加工筐明细!$G$4:$G$1203,$Z1041-4000))),IF($Z1041&lt;=5800,IF(ISNUMBER(SEARCH("退",INDEX(次果筐明细!$F$4:$F$603,$Z1041-5200)&amp;"")),"",IF(N(INDEX(次果筐明细!$G$4:$G$603,$Z1041-5200))=0,"",N(INDEX(次果筐明细!$G$4:$G$603,$Z1041-5200)))),"")))))</f>
        <v/>
      </c>
      <c r="P1041" s="40" t="str">
        <f>IF($Z1041="","",IF($Z1041&lt;=2000,"",IF($Z1041&lt;=4000,IF(N(INDEX(周转筐出入库明细!$I$4:$I$2004,$Z1041-2000))=0,"",N(INDEX(周转筐出入库明细!$I$4:$I$2004,$Z1041-2000))),IF($Z1041&lt;=5200,"",IF($Z1041&lt;=5800,IF(ISNUMBER(SEARCH("退",INDEX(次果筐明细!$F$4:$F$603,$Z1041-5200)&amp;"")),IF(N(INDEX(次果筐明细!$G$4:$G$603,$Z1041-5200))=0,"",N(INDEX(次果筐明细!$G$4:$G$603,$Z1041-5200))),""),"")))))</f>
        <v/>
      </c>
      <c r="Q1041" s="40" t="str">
        <f>IF($Z1041="","",IF($Z1041&lt;=2000,"",IF($Z1041&lt;=4000,IF(N(INDEX(周转筐出入库明细!$H$4:$H$2004,$Z1041-2000))=0,"",N(INDEX(周转筐出入库明细!$H$4:$H$2004,$Z1041-2000))),IF($Z1041&lt;=5200,IF(N(INDEX(客户自备加工筐明细!$F$4:$F$1203,$Z1041-4000))=0,"",N(INDEX(客户自备加工筐明细!$F$4:$F$1203,$Z1041-4000))),IF($Z1041&lt;=5800,"","")))))</f>
        <v/>
      </c>
      <c r="R1041" s="16" t="str">
        <f>IF($Z1041="","",IF($Z1041&lt;=2000,IF(INDEX(包装物料出入库明细!$O$4:$O$2003,$Z1041-0)=0,"",INDEX(包装物料出入库明细!$O$4:$O$2003,$Z1041-0)),IF($Z1041&lt;=4000,IF(INDEX(周转筐出入库明细!$M$4:$M$2004,$Z1041-2000)=0,"",INDEX(周转筐出入库明细!$M$4:$M$2004,$Z1041-2000)),IF($Z1041&lt;=5200,IF(INDEX(客户自备加工筐明细!$H$4:$H$1203,$Z1041-4000)=0,"",INDEX(客户自备加工筐明细!$H$4:$H$1203,$Z1041-4000)),IF($Z1041&lt;=5800,IF(INDEX(次果筐明细!$H$4:$H$603,$Z1041-5200)=0,"",INDEX(次果筐明细!$H$4:$H$603,$Z1041-5200)),"")))))</f>
        <v/>
      </c>
      <c r="S1041" s="22" t="str">
        <f t="shared" si="50"/>
        <v/>
      </c>
      <c r="Z1041" s="10" t="str">
        <f>IFERROR(MATCH(ROW()-3,_自动清单!$CQ$4:$CQ$5803,0),"")</f>
        <v/>
      </c>
    </row>
    <row r="1042" spans="1:26">
      <c r="A1042" s="24" t="str">
        <f t="shared" si="48"/>
        <v/>
      </c>
      <c r="B1042" s="38" t="str">
        <f>IF($Z1042="","",IF($Z1042&lt;=2000,IF(INDEX(包装物料出入库明细!$B$4:$B$2003,$Z1042-0)=0,"",INDEX(包装物料出入库明细!$B$4:$B$2003,$Z1042-0)),IF($Z1042&lt;=4000,IF(INDEX(周转筐出入库明细!$B$4:$B$2004,$Z1042-2000)=0,"",INDEX(周转筐出入库明细!$B$4:$B$2004,$Z1042-2000)),IF($Z1042&lt;=5200,IF(INDEX(客户自备加工筐明细!$B$4:$B$1203,$Z1042-4000)=0,"",INDEX(客户自备加工筐明细!$B$4:$B$1203,$Z1042-4000)),IF($Z1042&lt;=5800,IF(INDEX(次果筐明细!$B$4:$B$603,$Z1042-5200)=0,"",INDEX(次果筐明细!$B$4:$B$603,$Z1042-5200)),"")))))</f>
        <v/>
      </c>
      <c r="C1042" s="37" t="str">
        <f>IF($Z1042="","",IF($Z1042&lt;=2000,IF(INDEX(包装物料出入库明细!$D$4:$D$2003,$Z1042-0)=0,"",INDEX(包装物料出入库明细!$D$4:$D$2003,$Z1042-0)),IF($Z1042&lt;=4000,IF(INDEX(周转筐出入库明细!$C$4:$C$2004,$Z1042-2000)=0,"",INDEX(周转筐出入库明细!$C$4:$C$2004,$Z1042-2000)),IF($Z1042&lt;=5200,IF(INDEX(客户自备加工筐明细!$E$4:$E$1203,$Z1042-4000)=0,"",INDEX(客户自备加工筐明细!$E$4:$E$1203,$Z1042-4000)),IF($Z1042&lt;=5800,IF(INDEX(次果筐明细!$C$4:$C$603,$Z1042-5200)=0,"",INDEX(次果筐明细!$C$4:$C$603,$Z1042-5200)),"")))))</f>
        <v/>
      </c>
      <c r="D1042" s="37" t="str">
        <f>IF($Z1042="","",IF($Z1042&lt;=2000,"包装物料－"&amp;INDEX(包装物料出入库明细!$H$4:$H$2003,$Z1042-0),IF($Z1042&lt;=4000,"周转筐－"&amp;INDEX(周转筐出入库明细!$F$4:$F$2004,$Z1042-2000),IF($Z1042&lt;=5200,"客户自备筐－"&amp;INDEX(客户自备加工筐明细!$J$4:$J$1203,$Z1042-4000),IF($Z1042&lt;=5800,"次果筐/托盘－"&amp;INDEX(次果筐明细!$F$4:$F$603,$Z1042-5200),"")))))</f>
        <v/>
      </c>
      <c r="E1042" s="24" t="str">
        <f>IF($Z1042="","",IF($Z1042&lt;=2000,IF(INDEX(包装物料出入库明细!$C$4:$C$2003,$Z1042-0)=0,"",INDEX(包装物料出入库明细!$C$4:$C$2003,$Z1042-0)),IF($Z1042&lt;=4000,IF(INDEX(周转筐出入库明细!$E$4:$E$2004,$Z1042-2000)=0,"",INDEX(周转筐出入库明细!$E$4:$E$2004,$Z1042-2000)),IF($Z1042&lt;=5200,IF(INDEX(客户自备加工筐明细!$D$4:$D$1203,$Z1042-4000)=0,"",INDEX(客户自备加工筐明细!$D$4:$D$1203,$Z1042-4000)),IF($Z1042&lt;=5800,IF(INDEX(次果筐明细!$E$4:$E$603,$Z1042-5200)=0,"",INDEX(次果筐明细!$E$4:$E$603,$Z1042-5200)),"")))))</f>
        <v/>
      </c>
      <c r="F1042" s="24" t="str">
        <f>IF($Z1042="","",IF($Z1042&lt;=2000,IF(INDEX(包装物料出入库明细!$E$4:$E$2003,$Z1042-0)=0,"",INDEX(包装物料出入库明细!$E$4:$E$2003,$Z1042-0)),IF($Z1042&lt;=4000,IF(INDEX(周转筐出入库明细!$D$4:$D$2004,$Z1042-2000)=0,"",INDEX(周转筐出入库明细!$D$4:$D$2004,$Z1042-2000)),IF($Z1042&lt;=5200,IF(INDEX(客户自备加工筐明细!$C$4:$C$1203,$Z1042-4000)=0,"",INDEX(客户自备加工筐明细!$C$4:$C$1203,$Z1042-4000)),IF($Z1042&lt;=5800,IF(INDEX(次果筐明细!$D$4:$D$603,$Z1042-5200)=0,"",INDEX(次果筐明细!$D$4:$D$603,$Z1042-5200)),"")))))</f>
        <v/>
      </c>
      <c r="G1042" s="24" t="str">
        <f>IF($Z1042="","",IF($Z1042&lt;=2000,IF(INDEX(包装物料出入库明细!$F$4:$F$2003,$Z1042-0)=0,"",INDEX(包装物料出入库明细!$F$4:$F$2003,$Z1042-0)),IF($Z1042&lt;=4000,"",IF($Z1042&lt;=5200,"",IF($Z1042&lt;=5800,"","")))))</f>
        <v/>
      </c>
      <c r="H1042" s="39" t="str">
        <f>IF($Z1042="","",IF($Z1042&lt;=2000,IF(INDEX(包装物料出入库明细!$L$4:$L$2003,$Z1042-0)=0,"",INDEX(包装物料出入库明细!$L$4:$L$2003,$Z1042-0)),IF($Z1042&lt;=4000,N(INDEX(周转筐出入库明细!$H$4:$H$2004,$Z1042-2000))+N(INDEX(周转筐出入库明细!$I$4:$I$2004,$Z1042-2000))+N(INDEX(周转筐出入库明细!$J$4:$J$2004,$Z1042-2000))+N(INDEX(周转筐出入库明细!$K$4:$K$2004,$Z1042-2000)),IF($Z1042&lt;=5200,N(INDEX(客户自备加工筐明细!$F$4:$F$1203,$Z1042-4000))+N(INDEX(客户自备加工筐明细!$G$4:$G$1203,$Z1042-4000)),IF($Z1042&lt;=5800,IF(INDEX(次果筐明细!$G$4:$G$603,$Z1042-5200)=0,"",INDEX(次果筐明细!$G$4:$G$603,$Z1042-5200)),"")))))</f>
        <v/>
      </c>
      <c r="I1042" s="24" t="str">
        <f>IF($Z1042="","",IF($Z1042&lt;=2000,IF(INDEX(包装物料出入库明细!$G$4:$G$2003,$Z1042-0)=0,"",INDEX(包装物料出入库明细!$G$4:$G$2003,$Z1042-0)),IF($Z1042&lt;=4000,"个",IF($Z1042&lt;=5200,"个",IF($Z1042&lt;=5800,"个","")))))</f>
        <v/>
      </c>
      <c r="J1042" s="30" t="str">
        <f t="shared" si="49"/>
        <v/>
      </c>
      <c r="K1042" s="30" t="str">
        <f>IF($Z1042="","",IF($Z1042&lt;=2000,IF(INDEX(包装物料出入库明细!$N$4:$N$2003,$Z1042-0)=0,"",INDEX(包装物料出入库明细!$N$4:$N$2003,$Z1042-0)),IF($Z1042&lt;=4000,IF(INDEX(周转筐出入库明细!$P$4:$P$2004,$Z1042-2000)=0,"",INDEX(周转筐出入库明细!$P$4:$P$2004,$Z1042-2000)),IF($Z1042&lt;=5200,"",IF($Z1042&lt;=5800,N(INDEX(次果筐明细!$L$4:$L$603,$Z1042-5200))+N(INDEX(次果筐明细!$J$4:$J$603,$Z1042-5200)),"")))))</f>
        <v/>
      </c>
      <c r="L1042" s="24" t="str">
        <f>IF($Z1042="","",IF($Z1042&lt;=2000,IF(INDEX(包装物料出入库明细!$P$4:$P$2003,$Z1042-0)=0,"",INDEX(包装物料出入库明细!$P$4:$P$2003,$Z1042-0)),IF($Z1042&lt;=4000,IF(INDEX(周转筐出入库明细!$Q$4:$Q$2004,$Z1042-2000)=0,"",INDEX(周转筐出入库明细!$Q$4:$Q$2004,$Z1042-2000)),IF($Z1042&lt;=5200,"",IF($Z1042&lt;=5800,IF(INDEX(次果筐明细!$M$4:$M$603,$Z1042-5200)=0,"",INDEX(次果筐明细!$M$4:$M$603,$Z1042-5200)),"")))))</f>
        <v/>
      </c>
      <c r="M1042" s="37" t="str">
        <f>IF($Z1042="","",IF($Z1042&lt;=2000,IF(INDEX(包装物料出入库明细!$R$4:$R$2003,$Z1042-0)=0,"",INDEX(包装物料出入库明细!$R$4:$R$2003,$Z1042-0)),IF($Z1042&lt;=4000,IF(INDEX(周转筐出入库明细!$W$4:$W$2004,$Z1042-2000)=0,"",INDEX(周转筐出入库明细!$W$4:$W$2004,$Z1042-2000)),IF($Z1042&lt;=5200,IF(INDEX(客户自备加工筐明细!$L$4:$L$1203,$Z1042-4000)=0,"",INDEX(客户自备加工筐明细!$L$4:$L$1203,$Z1042-4000)),IF($Z1042&lt;=5800,IF(INDEX(次果筐明细!$P$4:$P$603,$Z1042-5200)=0,"",INDEX(次果筐明细!$P$4:$P$603,$Z1042-5200)),"")))))</f>
        <v/>
      </c>
      <c r="N1042" s="16" t="str">
        <f>IF($Z1042="","",IF($Z1042&lt;=2000,"",IF($Z1042&lt;=4000,IF(INDEX(周转筐出入库明细!$D$4:$D$2004,$Z1042-2000)=0,"",INDEX(周转筐出入库明细!$D$4:$D$2004,$Z1042-2000)),IF($Z1042&lt;=5200,IF(INDEX(客户自备加工筐明细!$C$4:$C$1203,$Z1042-4000)=0,"",INDEX(客户自备加工筐明细!$C$4:$C$1203,$Z1042-4000)),IF($Z1042&lt;=5800,IF(INDEX(次果筐明细!$D$4:$D$603,$Z1042-5200)=0,"",INDEX(次果筐明细!$D$4:$D$603,$Z1042-5200)),"")))))</f>
        <v/>
      </c>
      <c r="O1042" s="40" t="str">
        <f>IF($Z1042="","",IF($Z1042&lt;=2000,"",IF($Z1042&lt;=4000,IF(N(INDEX(周转筐出入库明细!$J$4:$J$2004,$Z1042-2000))+N(INDEX(周转筐出入库明细!$K$4:$K$2004,$Z1042-2000))=0,"",N(INDEX(周转筐出入库明细!$J$4:$J$2004,$Z1042-2000))+N(INDEX(周转筐出入库明细!$K$4:$K$2004,$Z1042-2000))),IF($Z1042&lt;=5200,IF(N(INDEX(客户自备加工筐明细!$G$4:$G$1203,$Z1042-4000))=0,"",N(INDEX(客户自备加工筐明细!$G$4:$G$1203,$Z1042-4000))),IF($Z1042&lt;=5800,IF(ISNUMBER(SEARCH("退",INDEX(次果筐明细!$F$4:$F$603,$Z1042-5200)&amp;"")),"",IF(N(INDEX(次果筐明细!$G$4:$G$603,$Z1042-5200))=0,"",N(INDEX(次果筐明细!$G$4:$G$603,$Z1042-5200)))),"")))))</f>
        <v/>
      </c>
      <c r="P1042" s="40" t="str">
        <f>IF($Z1042="","",IF($Z1042&lt;=2000,"",IF($Z1042&lt;=4000,IF(N(INDEX(周转筐出入库明细!$I$4:$I$2004,$Z1042-2000))=0,"",N(INDEX(周转筐出入库明细!$I$4:$I$2004,$Z1042-2000))),IF($Z1042&lt;=5200,"",IF($Z1042&lt;=5800,IF(ISNUMBER(SEARCH("退",INDEX(次果筐明细!$F$4:$F$603,$Z1042-5200)&amp;"")),IF(N(INDEX(次果筐明细!$G$4:$G$603,$Z1042-5200))=0,"",N(INDEX(次果筐明细!$G$4:$G$603,$Z1042-5200))),""),"")))))</f>
        <v/>
      </c>
      <c r="Q1042" s="40" t="str">
        <f>IF($Z1042="","",IF($Z1042&lt;=2000,"",IF($Z1042&lt;=4000,IF(N(INDEX(周转筐出入库明细!$H$4:$H$2004,$Z1042-2000))=0,"",N(INDEX(周转筐出入库明细!$H$4:$H$2004,$Z1042-2000))),IF($Z1042&lt;=5200,IF(N(INDEX(客户自备加工筐明细!$F$4:$F$1203,$Z1042-4000))=0,"",N(INDEX(客户自备加工筐明细!$F$4:$F$1203,$Z1042-4000))),IF($Z1042&lt;=5800,"","")))))</f>
        <v/>
      </c>
      <c r="R1042" s="16" t="str">
        <f>IF($Z1042="","",IF($Z1042&lt;=2000,IF(INDEX(包装物料出入库明细!$O$4:$O$2003,$Z1042-0)=0,"",INDEX(包装物料出入库明细!$O$4:$O$2003,$Z1042-0)),IF($Z1042&lt;=4000,IF(INDEX(周转筐出入库明细!$M$4:$M$2004,$Z1042-2000)=0,"",INDEX(周转筐出入库明细!$M$4:$M$2004,$Z1042-2000)),IF($Z1042&lt;=5200,IF(INDEX(客户自备加工筐明细!$H$4:$H$1203,$Z1042-4000)=0,"",INDEX(客户自备加工筐明细!$H$4:$H$1203,$Z1042-4000)),IF($Z1042&lt;=5800,IF(INDEX(次果筐明细!$H$4:$H$603,$Z1042-5200)=0,"",INDEX(次果筐明细!$H$4:$H$603,$Z1042-5200)),"")))))</f>
        <v/>
      </c>
      <c r="S1042" s="22" t="str">
        <f t="shared" si="50"/>
        <v/>
      </c>
      <c r="Z1042" s="10" t="str">
        <f>IFERROR(MATCH(ROW()-3,_自动清单!$CQ$4:$CQ$5803,0),"")</f>
        <v/>
      </c>
    </row>
    <row r="1043" spans="1:26">
      <c r="A1043" s="24" t="str">
        <f t="shared" si="48"/>
        <v/>
      </c>
      <c r="B1043" s="38" t="str">
        <f>IF($Z1043="","",IF($Z1043&lt;=2000,IF(INDEX(包装物料出入库明细!$B$4:$B$2003,$Z1043-0)=0,"",INDEX(包装物料出入库明细!$B$4:$B$2003,$Z1043-0)),IF($Z1043&lt;=4000,IF(INDEX(周转筐出入库明细!$B$4:$B$2004,$Z1043-2000)=0,"",INDEX(周转筐出入库明细!$B$4:$B$2004,$Z1043-2000)),IF($Z1043&lt;=5200,IF(INDEX(客户自备加工筐明细!$B$4:$B$1203,$Z1043-4000)=0,"",INDEX(客户自备加工筐明细!$B$4:$B$1203,$Z1043-4000)),IF($Z1043&lt;=5800,IF(INDEX(次果筐明细!$B$4:$B$603,$Z1043-5200)=0,"",INDEX(次果筐明细!$B$4:$B$603,$Z1043-5200)),"")))))</f>
        <v/>
      </c>
      <c r="C1043" s="37" t="str">
        <f>IF($Z1043="","",IF($Z1043&lt;=2000,IF(INDEX(包装物料出入库明细!$D$4:$D$2003,$Z1043-0)=0,"",INDEX(包装物料出入库明细!$D$4:$D$2003,$Z1043-0)),IF($Z1043&lt;=4000,IF(INDEX(周转筐出入库明细!$C$4:$C$2004,$Z1043-2000)=0,"",INDEX(周转筐出入库明细!$C$4:$C$2004,$Z1043-2000)),IF($Z1043&lt;=5200,IF(INDEX(客户自备加工筐明细!$E$4:$E$1203,$Z1043-4000)=0,"",INDEX(客户自备加工筐明细!$E$4:$E$1203,$Z1043-4000)),IF($Z1043&lt;=5800,IF(INDEX(次果筐明细!$C$4:$C$603,$Z1043-5200)=0,"",INDEX(次果筐明细!$C$4:$C$603,$Z1043-5200)),"")))))</f>
        <v/>
      </c>
      <c r="D1043" s="37" t="str">
        <f>IF($Z1043="","",IF($Z1043&lt;=2000,"包装物料－"&amp;INDEX(包装物料出入库明细!$H$4:$H$2003,$Z1043-0),IF($Z1043&lt;=4000,"周转筐－"&amp;INDEX(周转筐出入库明细!$F$4:$F$2004,$Z1043-2000),IF($Z1043&lt;=5200,"客户自备筐－"&amp;INDEX(客户自备加工筐明细!$J$4:$J$1203,$Z1043-4000),IF($Z1043&lt;=5800,"次果筐/托盘－"&amp;INDEX(次果筐明细!$F$4:$F$603,$Z1043-5200),"")))))</f>
        <v/>
      </c>
      <c r="E1043" s="24" t="str">
        <f>IF($Z1043="","",IF($Z1043&lt;=2000,IF(INDEX(包装物料出入库明细!$C$4:$C$2003,$Z1043-0)=0,"",INDEX(包装物料出入库明细!$C$4:$C$2003,$Z1043-0)),IF($Z1043&lt;=4000,IF(INDEX(周转筐出入库明细!$E$4:$E$2004,$Z1043-2000)=0,"",INDEX(周转筐出入库明细!$E$4:$E$2004,$Z1043-2000)),IF($Z1043&lt;=5200,IF(INDEX(客户自备加工筐明细!$D$4:$D$1203,$Z1043-4000)=0,"",INDEX(客户自备加工筐明细!$D$4:$D$1203,$Z1043-4000)),IF($Z1043&lt;=5800,IF(INDEX(次果筐明细!$E$4:$E$603,$Z1043-5200)=0,"",INDEX(次果筐明细!$E$4:$E$603,$Z1043-5200)),"")))))</f>
        <v/>
      </c>
      <c r="F1043" s="24" t="str">
        <f>IF($Z1043="","",IF($Z1043&lt;=2000,IF(INDEX(包装物料出入库明细!$E$4:$E$2003,$Z1043-0)=0,"",INDEX(包装物料出入库明细!$E$4:$E$2003,$Z1043-0)),IF($Z1043&lt;=4000,IF(INDEX(周转筐出入库明细!$D$4:$D$2004,$Z1043-2000)=0,"",INDEX(周转筐出入库明细!$D$4:$D$2004,$Z1043-2000)),IF($Z1043&lt;=5200,IF(INDEX(客户自备加工筐明细!$C$4:$C$1203,$Z1043-4000)=0,"",INDEX(客户自备加工筐明细!$C$4:$C$1203,$Z1043-4000)),IF($Z1043&lt;=5800,IF(INDEX(次果筐明细!$D$4:$D$603,$Z1043-5200)=0,"",INDEX(次果筐明细!$D$4:$D$603,$Z1043-5200)),"")))))</f>
        <v/>
      </c>
      <c r="G1043" s="24" t="str">
        <f>IF($Z1043="","",IF($Z1043&lt;=2000,IF(INDEX(包装物料出入库明细!$F$4:$F$2003,$Z1043-0)=0,"",INDEX(包装物料出入库明细!$F$4:$F$2003,$Z1043-0)),IF($Z1043&lt;=4000,"",IF($Z1043&lt;=5200,"",IF($Z1043&lt;=5800,"","")))))</f>
        <v/>
      </c>
      <c r="H1043" s="39" t="str">
        <f>IF($Z1043="","",IF($Z1043&lt;=2000,IF(INDEX(包装物料出入库明细!$L$4:$L$2003,$Z1043-0)=0,"",INDEX(包装物料出入库明细!$L$4:$L$2003,$Z1043-0)),IF($Z1043&lt;=4000,N(INDEX(周转筐出入库明细!$H$4:$H$2004,$Z1043-2000))+N(INDEX(周转筐出入库明细!$I$4:$I$2004,$Z1043-2000))+N(INDEX(周转筐出入库明细!$J$4:$J$2004,$Z1043-2000))+N(INDEX(周转筐出入库明细!$K$4:$K$2004,$Z1043-2000)),IF($Z1043&lt;=5200,N(INDEX(客户自备加工筐明细!$F$4:$F$1203,$Z1043-4000))+N(INDEX(客户自备加工筐明细!$G$4:$G$1203,$Z1043-4000)),IF($Z1043&lt;=5800,IF(INDEX(次果筐明细!$G$4:$G$603,$Z1043-5200)=0,"",INDEX(次果筐明细!$G$4:$G$603,$Z1043-5200)),"")))))</f>
        <v/>
      </c>
      <c r="I1043" s="24" t="str">
        <f>IF($Z1043="","",IF($Z1043&lt;=2000,IF(INDEX(包装物料出入库明细!$G$4:$G$2003,$Z1043-0)=0,"",INDEX(包装物料出入库明细!$G$4:$G$2003,$Z1043-0)),IF($Z1043&lt;=4000,"个",IF($Z1043&lt;=5200,"个",IF($Z1043&lt;=5800,"个","")))))</f>
        <v/>
      </c>
      <c r="J1043" s="30" t="str">
        <f t="shared" si="49"/>
        <v/>
      </c>
      <c r="K1043" s="30" t="str">
        <f>IF($Z1043="","",IF($Z1043&lt;=2000,IF(INDEX(包装物料出入库明细!$N$4:$N$2003,$Z1043-0)=0,"",INDEX(包装物料出入库明细!$N$4:$N$2003,$Z1043-0)),IF($Z1043&lt;=4000,IF(INDEX(周转筐出入库明细!$P$4:$P$2004,$Z1043-2000)=0,"",INDEX(周转筐出入库明细!$P$4:$P$2004,$Z1043-2000)),IF($Z1043&lt;=5200,"",IF($Z1043&lt;=5800,N(INDEX(次果筐明细!$L$4:$L$603,$Z1043-5200))+N(INDEX(次果筐明细!$J$4:$J$603,$Z1043-5200)),"")))))</f>
        <v/>
      </c>
      <c r="L1043" s="24" t="str">
        <f>IF($Z1043="","",IF($Z1043&lt;=2000,IF(INDEX(包装物料出入库明细!$P$4:$P$2003,$Z1043-0)=0,"",INDEX(包装物料出入库明细!$P$4:$P$2003,$Z1043-0)),IF($Z1043&lt;=4000,IF(INDEX(周转筐出入库明细!$Q$4:$Q$2004,$Z1043-2000)=0,"",INDEX(周转筐出入库明细!$Q$4:$Q$2004,$Z1043-2000)),IF($Z1043&lt;=5200,"",IF($Z1043&lt;=5800,IF(INDEX(次果筐明细!$M$4:$M$603,$Z1043-5200)=0,"",INDEX(次果筐明细!$M$4:$M$603,$Z1043-5200)),"")))))</f>
        <v/>
      </c>
      <c r="M1043" s="37" t="str">
        <f>IF($Z1043="","",IF($Z1043&lt;=2000,IF(INDEX(包装物料出入库明细!$R$4:$R$2003,$Z1043-0)=0,"",INDEX(包装物料出入库明细!$R$4:$R$2003,$Z1043-0)),IF($Z1043&lt;=4000,IF(INDEX(周转筐出入库明细!$W$4:$W$2004,$Z1043-2000)=0,"",INDEX(周转筐出入库明细!$W$4:$W$2004,$Z1043-2000)),IF($Z1043&lt;=5200,IF(INDEX(客户自备加工筐明细!$L$4:$L$1203,$Z1043-4000)=0,"",INDEX(客户自备加工筐明细!$L$4:$L$1203,$Z1043-4000)),IF($Z1043&lt;=5800,IF(INDEX(次果筐明细!$P$4:$P$603,$Z1043-5200)=0,"",INDEX(次果筐明细!$P$4:$P$603,$Z1043-5200)),"")))))</f>
        <v/>
      </c>
      <c r="N1043" s="16" t="str">
        <f>IF($Z1043="","",IF($Z1043&lt;=2000,"",IF($Z1043&lt;=4000,IF(INDEX(周转筐出入库明细!$D$4:$D$2004,$Z1043-2000)=0,"",INDEX(周转筐出入库明细!$D$4:$D$2004,$Z1043-2000)),IF($Z1043&lt;=5200,IF(INDEX(客户自备加工筐明细!$C$4:$C$1203,$Z1043-4000)=0,"",INDEX(客户自备加工筐明细!$C$4:$C$1203,$Z1043-4000)),IF($Z1043&lt;=5800,IF(INDEX(次果筐明细!$D$4:$D$603,$Z1043-5200)=0,"",INDEX(次果筐明细!$D$4:$D$603,$Z1043-5200)),"")))))</f>
        <v/>
      </c>
      <c r="O1043" s="40" t="str">
        <f>IF($Z1043="","",IF($Z1043&lt;=2000,"",IF($Z1043&lt;=4000,IF(N(INDEX(周转筐出入库明细!$J$4:$J$2004,$Z1043-2000))+N(INDEX(周转筐出入库明细!$K$4:$K$2004,$Z1043-2000))=0,"",N(INDEX(周转筐出入库明细!$J$4:$J$2004,$Z1043-2000))+N(INDEX(周转筐出入库明细!$K$4:$K$2004,$Z1043-2000))),IF($Z1043&lt;=5200,IF(N(INDEX(客户自备加工筐明细!$G$4:$G$1203,$Z1043-4000))=0,"",N(INDEX(客户自备加工筐明细!$G$4:$G$1203,$Z1043-4000))),IF($Z1043&lt;=5800,IF(ISNUMBER(SEARCH("退",INDEX(次果筐明细!$F$4:$F$603,$Z1043-5200)&amp;"")),"",IF(N(INDEX(次果筐明细!$G$4:$G$603,$Z1043-5200))=0,"",N(INDEX(次果筐明细!$G$4:$G$603,$Z1043-5200)))),"")))))</f>
        <v/>
      </c>
      <c r="P1043" s="40" t="str">
        <f>IF($Z1043="","",IF($Z1043&lt;=2000,"",IF($Z1043&lt;=4000,IF(N(INDEX(周转筐出入库明细!$I$4:$I$2004,$Z1043-2000))=0,"",N(INDEX(周转筐出入库明细!$I$4:$I$2004,$Z1043-2000))),IF($Z1043&lt;=5200,"",IF($Z1043&lt;=5800,IF(ISNUMBER(SEARCH("退",INDEX(次果筐明细!$F$4:$F$603,$Z1043-5200)&amp;"")),IF(N(INDEX(次果筐明细!$G$4:$G$603,$Z1043-5200))=0,"",N(INDEX(次果筐明细!$G$4:$G$603,$Z1043-5200))),""),"")))))</f>
        <v/>
      </c>
      <c r="Q1043" s="40" t="str">
        <f>IF($Z1043="","",IF($Z1043&lt;=2000,"",IF($Z1043&lt;=4000,IF(N(INDEX(周转筐出入库明细!$H$4:$H$2004,$Z1043-2000))=0,"",N(INDEX(周转筐出入库明细!$H$4:$H$2004,$Z1043-2000))),IF($Z1043&lt;=5200,IF(N(INDEX(客户自备加工筐明细!$F$4:$F$1203,$Z1043-4000))=0,"",N(INDEX(客户自备加工筐明细!$F$4:$F$1203,$Z1043-4000))),IF($Z1043&lt;=5800,"","")))))</f>
        <v/>
      </c>
      <c r="R1043" s="16" t="str">
        <f>IF($Z1043="","",IF($Z1043&lt;=2000,IF(INDEX(包装物料出入库明细!$O$4:$O$2003,$Z1043-0)=0,"",INDEX(包装物料出入库明细!$O$4:$O$2003,$Z1043-0)),IF($Z1043&lt;=4000,IF(INDEX(周转筐出入库明细!$M$4:$M$2004,$Z1043-2000)=0,"",INDEX(周转筐出入库明细!$M$4:$M$2004,$Z1043-2000)),IF($Z1043&lt;=5200,IF(INDEX(客户自备加工筐明细!$H$4:$H$1203,$Z1043-4000)=0,"",INDEX(客户自备加工筐明细!$H$4:$H$1203,$Z1043-4000)),IF($Z1043&lt;=5800,IF(INDEX(次果筐明细!$H$4:$H$603,$Z1043-5200)=0,"",INDEX(次果筐明细!$H$4:$H$603,$Z1043-5200)),"")))))</f>
        <v/>
      </c>
      <c r="S1043" s="22" t="str">
        <f t="shared" si="50"/>
        <v/>
      </c>
      <c r="Z1043" s="10" t="str">
        <f>IFERROR(MATCH(ROW()-3,_自动清单!$CQ$4:$CQ$5803,0),"")</f>
        <v/>
      </c>
    </row>
    <row r="1044" spans="1:26">
      <c r="A1044" s="24" t="str">
        <f t="shared" si="48"/>
        <v/>
      </c>
      <c r="B1044" s="38" t="str">
        <f>IF($Z1044="","",IF($Z1044&lt;=2000,IF(INDEX(包装物料出入库明细!$B$4:$B$2003,$Z1044-0)=0,"",INDEX(包装物料出入库明细!$B$4:$B$2003,$Z1044-0)),IF($Z1044&lt;=4000,IF(INDEX(周转筐出入库明细!$B$4:$B$2004,$Z1044-2000)=0,"",INDEX(周转筐出入库明细!$B$4:$B$2004,$Z1044-2000)),IF($Z1044&lt;=5200,IF(INDEX(客户自备加工筐明细!$B$4:$B$1203,$Z1044-4000)=0,"",INDEX(客户自备加工筐明细!$B$4:$B$1203,$Z1044-4000)),IF($Z1044&lt;=5800,IF(INDEX(次果筐明细!$B$4:$B$603,$Z1044-5200)=0,"",INDEX(次果筐明细!$B$4:$B$603,$Z1044-5200)),"")))))</f>
        <v/>
      </c>
      <c r="C1044" s="37" t="str">
        <f>IF($Z1044="","",IF($Z1044&lt;=2000,IF(INDEX(包装物料出入库明细!$D$4:$D$2003,$Z1044-0)=0,"",INDEX(包装物料出入库明细!$D$4:$D$2003,$Z1044-0)),IF($Z1044&lt;=4000,IF(INDEX(周转筐出入库明细!$C$4:$C$2004,$Z1044-2000)=0,"",INDEX(周转筐出入库明细!$C$4:$C$2004,$Z1044-2000)),IF($Z1044&lt;=5200,IF(INDEX(客户自备加工筐明细!$E$4:$E$1203,$Z1044-4000)=0,"",INDEX(客户自备加工筐明细!$E$4:$E$1203,$Z1044-4000)),IF($Z1044&lt;=5800,IF(INDEX(次果筐明细!$C$4:$C$603,$Z1044-5200)=0,"",INDEX(次果筐明细!$C$4:$C$603,$Z1044-5200)),"")))))</f>
        <v/>
      </c>
      <c r="D1044" s="37" t="str">
        <f>IF($Z1044="","",IF($Z1044&lt;=2000,"包装物料－"&amp;INDEX(包装物料出入库明细!$H$4:$H$2003,$Z1044-0),IF($Z1044&lt;=4000,"周转筐－"&amp;INDEX(周转筐出入库明细!$F$4:$F$2004,$Z1044-2000),IF($Z1044&lt;=5200,"客户自备筐－"&amp;INDEX(客户自备加工筐明细!$J$4:$J$1203,$Z1044-4000),IF($Z1044&lt;=5800,"次果筐/托盘－"&amp;INDEX(次果筐明细!$F$4:$F$603,$Z1044-5200),"")))))</f>
        <v/>
      </c>
      <c r="E1044" s="24" t="str">
        <f>IF($Z1044="","",IF($Z1044&lt;=2000,IF(INDEX(包装物料出入库明细!$C$4:$C$2003,$Z1044-0)=0,"",INDEX(包装物料出入库明细!$C$4:$C$2003,$Z1044-0)),IF($Z1044&lt;=4000,IF(INDEX(周转筐出入库明细!$E$4:$E$2004,$Z1044-2000)=0,"",INDEX(周转筐出入库明细!$E$4:$E$2004,$Z1044-2000)),IF($Z1044&lt;=5200,IF(INDEX(客户自备加工筐明细!$D$4:$D$1203,$Z1044-4000)=0,"",INDEX(客户自备加工筐明细!$D$4:$D$1203,$Z1044-4000)),IF($Z1044&lt;=5800,IF(INDEX(次果筐明细!$E$4:$E$603,$Z1044-5200)=0,"",INDEX(次果筐明细!$E$4:$E$603,$Z1044-5200)),"")))))</f>
        <v/>
      </c>
      <c r="F1044" s="24" t="str">
        <f>IF($Z1044="","",IF($Z1044&lt;=2000,IF(INDEX(包装物料出入库明细!$E$4:$E$2003,$Z1044-0)=0,"",INDEX(包装物料出入库明细!$E$4:$E$2003,$Z1044-0)),IF($Z1044&lt;=4000,IF(INDEX(周转筐出入库明细!$D$4:$D$2004,$Z1044-2000)=0,"",INDEX(周转筐出入库明细!$D$4:$D$2004,$Z1044-2000)),IF($Z1044&lt;=5200,IF(INDEX(客户自备加工筐明细!$C$4:$C$1203,$Z1044-4000)=0,"",INDEX(客户自备加工筐明细!$C$4:$C$1203,$Z1044-4000)),IF($Z1044&lt;=5800,IF(INDEX(次果筐明细!$D$4:$D$603,$Z1044-5200)=0,"",INDEX(次果筐明细!$D$4:$D$603,$Z1044-5200)),"")))))</f>
        <v/>
      </c>
      <c r="G1044" s="24" t="str">
        <f>IF($Z1044="","",IF($Z1044&lt;=2000,IF(INDEX(包装物料出入库明细!$F$4:$F$2003,$Z1044-0)=0,"",INDEX(包装物料出入库明细!$F$4:$F$2003,$Z1044-0)),IF($Z1044&lt;=4000,"",IF($Z1044&lt;=5200,"",IF($Z1044&lt;=5800,"","")))))</f>
        <v/>
      </c>
      <c r="H1044" s="39" t="str">
        <f>IF($Z1044="","",IF($Z1044&lt;=2000,IF(INDEX(包装物料出入库明细!$L$4:$L$2003,$Z1044-0)=0,"",INDEX(包装物料出入库明细!$L$4:$L$2003,$Z1044-0)),IF($Z1044&lt;=4000,N(INDEX(周转筐出入库明细!$H$4:$H$2004,$Z1044-2000))+N(INDEX(周转筐出入库明细!$I$4:$I$2004,$Z1044-2000))+N(INDEX(周转筐出入库明细!$J$4:$J$2004,$Z1044-2000))+N(INDEX(周转筐出入库明细!$K$4:$K$2004,$Z1044-2000)),IF($Z1044&lt;=5200,N(INDEX(客户自备加工筐明细!$F$4:$F$1203,$Z1044-4000))+N(INDEX(客户自备加工筐明细!$G$4:$G$1203,$Z1044-4000)),IF($Z1044&lt;=5800,IF(INDEX(次果筐明细!$G$4:$G$603,$Z1044-5200)=0,"",INDEX(次果筐明细!$G$4:$G$603,$Z1044-5200)),"")))))</f>
        <v/>
      </c>
      <c r="I1044" s="24" t="str">
        <f>IF($Z1044="","",IF($Z1044&lt;=2000,IF(INDEX(包装物料出入库明细!$G$4:$G$2003,$Z1044-0)=0,"",INDEX(包装物料出入库明细!$G$4:$G$2003,$Z1044-0)),IF($Z1044&lt;=4000,"个",IF($Z1044&lt;=5200,"个",IF($Z1044&lt;=5800,"个","")))))</f>
        <v/>
      </c>
      <c r="J1044" s="30" t="str">
        <f t="shared" si="49"/>
        <v/>
      </c>
      <c r="K1044" s="30" t="str">
        <f>IF($Z1044="","",IF($Z1044&lt;=2000,IF(INDEX(包装物料出入库明细!$N$4:$N$2003,$Z1044-0)=0,"",INDEX(包装物料出入库明细!$N$4:$N$2003,$Z1044-0)),IF($Z1044&lt;=4000,IF(INDEX(周转筐出入库明细!$P$4:$P$2004,$Z1044-2000)=0,"",INDEX(周转筐出入库明细!$P$4:$P$2004,$Z1044-2000)),IF($Z1044&lt;=5200,"",IF($Z1044&lt;=5800,N(INDEX(次果筐明细!$L$4:$L$603,$Z1044-5200))+N(INDEX(次果筐明细!$J$4:$J$603,$Z1044-5200)),"")))))</f>
        <v/>
      </c>
      <c r="L1044" s="24" t="str">
        <f>IF($Z1044="","",IF($Z1044&lt;=2000,IF(INDEX(包装物料出入库明细!$P$4:$P$2003,$Z1044-0)=0,"",INDEX(包装物料出入库明细!$P$4:$P$2003,$Z1044-0)),IF($Z1044&lt;=4000,IF(INDEX(周转筐出入库明细!$Q$4:$Q$2004,$Z1044-2000)=0,"",INDEX(周转筐出入库明细!$Q$4:$Q$2004,$Z1044-2000)),IF($Z1044&lt;=5200,"",IF($Z1044&lt;=5800,IF(INDEX(次果筐明细!$M$4:$M$603,$Z1044-5200)=0,"",INDEX(次果筐明细!$M$4:$M$603,$Z1044-5200)),"")))))</f>
        <v/>
      </c>
      <c r="M1044" s="37" t="str">
        <f>IF($Z1044="","",IF($Z1044&lt;=2000,IF(INDEX(包装物料出入库明细!$R$4:$R$2003,$Z1044-0)=0,"",INDEX(包装物料出入库明细!$R$4:$R$2003,$Z1044-0)),IF($Z1044&lt;=4000,IF(INDEX(周转筐出入库明细!$W$4:$W$2004,$Z1044-2000)=0,"",INDEX(周转筐出入库明细!$W$4:$W$2004,$Z1044-2000)),IF($Z1044&lt;=5200,IF(INDEX(客户自备加工筐明细!$L$4:$L$1203,$Z1044-4000)=0,"",INDEX(客户自备加工筐明细!$L$4:$L$1203,$Z1044-4000)),IF($Z1044&lt;=5800,IF(INDEX(次果筐明细!$P$4:$P$603,$Z1044-5200)=0,"",INDEX(次果筐明细!$P$4:$P$603,$Z1044-5200)),"")))))</f>
        <v/>
      </c>
      <c r="N1044" s="16" t="str">
        <f>IF($Z1044="","",IF($Z1044&lt;=2000,"",IF($Z1044&lt;=4000,IF(INDEX(周转筐出入库明细!$D$4:$D$2004,$Z1044-2000)=0,"",INDEX(周转筐出入库明细!$D$4:$D$2004,$Z1044-2000)),IF($Z1044&lt;=5200,IF(INDEX(客户自备加工筐明细!$C$4:$C$1203,$Z1044-4000)=0,"",INDEX(客户自备加工筐明细!$C$4:$C$1203,$Z1044-4000)),IF($Z1044&lt;=5800,IF(INDEX(次果筐明细!$D$4:$D$603,$Z1044-5200)=0,"",INDEX(次果筐明细!$D$4:$D$603,$Z1044-5200)),"")))))</f>
        <v/>
      </c>
      <c r="O1044" s="40" t="str">
        <f>IF($Z1044="","",IF($Z1044&lt;=2000,"",IF($Z1044&lt;=4000,IF(N(INDEX(周转筐出入库明细!$J$4:$J$2004,$Z1044-2000))+N(INDEX(周转筐出入库明细!$K$4:$K$2004,$Z1044-2000))=0,"",N(INDEX(周转筐出入库明细!$J$4:$J$2004,$Z1044-2000))+N(INDEX(周转筐出入库明细!$K$4:$K$2004,$Z1044-2000))),IF($Z1044&lt;=5200,IF(N(INDEX(客户自备加工筐明细!$G$4:$G$1203,$Z1044-4000))=0,"",N(INDEX(客户自备加工筐明细!$G$4:$G$1203,$Z1044-4000))),IF($Z1044&lt;=5800,IF(ISNUMBER(SEARCH("退",INDEX(次果筐明细!$F$4:$F$603,$Z1044-5200)&amp;"")),"",IF(N(INDEX(次果筐明细!$G$4:$G$603,$Z1044-5200))=0,"",N(INDEX(次果筐明细!$G$4:$G$603,$Z1044-5200)))),"")))))</f>
        <v/>
      </c>
      <c r="P1044" s="40" t="str">
        <f>IF($Z1044="","",IF($Z1044&lt;=2000,"",IF($Z1044&lt;=4000,IF(N(INDEX(周转筐出入库明细!$I$4:$I$2004,$Z1044-2000))=0,"",N(INDEX(周转筐出入库明细!$I$4:$I$2004,$Z1044-2000))),IF($Z1044&lt;=5200,"",IF($Z1044&lt;=5800,IF(ISNUMBER(SEARCH("退",INDEX(次果筐明细!$F$4:$F$603,$Z1044-5200)&amp;"")),IF(N(INDEX(次果筐明细!$G$4:$G$603,$Z1044-5200))=0,"",N(INDEX(次果筐明细!$G$4:$G$603,$Z1044-5200))),""),"")))))</f>
        <v/>
      </c>
      <c r="Q1044" s="40" t="str">
        <f>IF($Z1044="","",IF($Z1044&lt;=2000,"",IF($Z1044&lt;=4000,IF(N(INDEX(周转筐出入库明细!$H$4:$H$2004,$Z1044-2000))=0,"",N(INDEX(周转筐出入库明细!$H$4:$H$2004,$Z1044-2000))),IF($Z1044&lt;=5200,IF(N(INDEX(客户自备加工筐明细!$F$4:$F$1203,$Z1044-4000))=0,"",N(INDEX(客户自备加工筐明细!$F$4:$F$1203,$Z1044-4000))),IF($Z1044&lt;=5800,"","")))))</f>
        <v/>
      </c>
      <c r="R1044" s="16" t="str">
        <f>IF($Z1044="","",IF($Z1044&lt;=2000,IF(INDEX(包装物料出入库明细!$O$4:$O$2003,$Z1044-0)=0,"",INDEX(包装物料出入库明细!$O$4:$O$2003,$Z1044-0)),IF($Z1044&lt;=4000,IF(INDEX(周转筐出入库明细!$M$4:$M$2004,$Z1044-2000)=0,"",INDEX(周转筐出入库明细!$M$4:$M$2004,$Z1044-2000)),IF($Z1044&lt;=5200,IF(INDEX(客户自备加工筐明细!$H$4:$H$1203,$Z1044-4000)=0,"",INDEX(客户自备加工筐明细!$H$4:$H$1203,$Z1044-4000)),IF($Z1044&lt;=5800,IF(INDEX(次果筐明细!$H$4:$H$603,$Z1044-5200)=0,"",INDEX(次果筐明细!$H$4:$H$603,$Z1044-5200)),"")))))</f>
        <v/>
      </c>
      <c r="S1044" s="22" t="str">
        <f t="shared" si="50"/>
        <v/>
      </c>
      <c r="Z1044" s="10" t="str">
        <f>IFERROR(MATCH(ROW()-3,_自动清单!$CQ$4:$CQ$5803,0),"")</f>
        <v/>
      </c>
    </row>
    <row r="1045" spans="1:26">
      <c r="A1045" s="24" t="str">
        <f t="shared" si="48"/>
        <v/>
      </c>
      <c r="B1045" s="38" t="str">
        <f>IF($Z1045="","",IF($Z1045&lt;=2000,IF(INDEX(包装物料出入库明细!$B$4:$B$2003,$Z1045-0)=0,"",INDEX(包装物料出入库明细!$B$4:$B$2003,$Z1045-0)),IF($Z1045&lt;=4000,IF(INDEX(周转筐出入库明细!$B$4:$B$2004,$Z1045-2000)=0,"",INDEX(周转筐出入库明细!$B$4:$B$2004,$Z1045-2000)),IF($Z1045&lt;=5200,IF(INDEX(客户自备加工筐明细!$B$4:$B$1203,$Z1045-4000)=0,"",INDEX(客户自备加工筐明细!$B$4:$B$1203,$Z1045-4000)),IF($Z1045&lt;=5800,IF(INDEX(次果筐明细!$B$4:$B$603,$Z1045-5200)=0,"",INDEX(次果筐明细!$B$4:$B$603,$Z1045-5200)),"")))))</f>
        <v/>
      </c>
      <c r="C1045" s="37" t="str">
        <f>IF($Z1045="","",IF($Z1045&lt;=2000,IF(INDEX(包装物料出入库明细!$D$4:$D$2003,$Z1045-0)=0,"",INDEX(包装物料出入库明细!$D$4:$D$2003,$Z1045-0)),IF($Z1045&lt;=4000,IF(INDEX(周转筐出入库明细!$C$4:$C$2004,$Z1045-2000)=0,"",INDEX(周转筐出入库明细!$C$4:$C$2004,$Z1045-2000)),IF($Z1045&lt;=5200,IF(INDEX(客户自备加工筐明细!$E$4:$E$1203,$Z1045-4000)=0,"",INDEX(客户自备加工筐明细!$E$4:$E$1203,$Z1045-4000)),IF($Z1045&lt;=5800,IF(INDEX(次果筐明细!$C$4:$C$603,$Z1045-5200)=0,"",INDEX(次果筐明细!$C$4:$C$603,$Z1045-5200)),"")))))</f>
        <v/>
      </c>
      <c r="D1045" s="37" t="str">
        <f>IF($Z1045="","",IF($Z1045&lt;=2000,"包装物料－"&amp;INDEX(包装物料出入库明细!$H$4:$H$2003,$Z1045-0),IF($Z1045&lt;=4000,"周转筐－"&amp;INDEX(周转筐出入库明细!$F$4:$F$2004,$Z1045-2000),IF($Z1045&lt;=5200,"客户自备筐－"&amp;INDEX(客户自备加工筐明细!$J$4:$J$1203,$Z1045-4000),IF($Z1045&lt;=5800,"次果筐/托盘－"&amp;INDEX(次果筐明细!$F$4:$F$603,$Z1045-5200),"")))))</f>
        <v/>
      </c>
      <c r="E1045" s="24" t="str">
        <f>IF($Z1045="","",IF($Z1045&lt;=2000,IF(INDEX(包装物料出入库明细!$C$4:$C$2003,$Z1045-0)=0,"",INDEX(包装物料出入库明细!$C$4:$C$2003,$Z1045-0)),IF($Z1045&lt;=4000,IF(INDEX(周转筐出入库明细!$E$4:$E$2004,$Z1045-2000)=0,"",INDEX(周转筐出入库明细!$E$4:$E$2004,$Z1045-2000)),IF($Z1045&lt;=5200,IF(INDEX(客户自备加工筐明细!$D$4:$D$1203,$Z1045-4000)=0,"",INDEX(客户自备加工筐明细!$D$4:$D$1203,$Z1045-4000)),IF($Z1045&lt;=5800,IF(INDEX(次果筐明细!$E$4:$E$603,$Z1045-5200)=0,"",INDEX(次果筐明细!$E$4:$E$603,$Z1045-5200)),"")))))</f>
        <v/>
      </c>
      <c r="F1045" s="24" t="str">
        <f>IF($Z1045="","",IF($Z1045&lt;=2000,IF(INDEX(包装物料出入库明细!$E$4:$E$2003,$Z1045-0)=0,"",INDEX(包装物料出入库明细!$E$4:$E$2003,$Z1045-0)),IF($Z1045&lt;=4000,IF(INDEX(周转筐出入库明细!$D$4:$D$2004,$Z1045-2000)=0,"",INDEX(周转筐出入库明细!$D$4:$D$2004,$Z1045-2000)),IF($Z1045&lt;=5200,IF(INDEX(客户自备加工筐明细!$C$4:$C$1203,$Z1045-4000)=0,"",INDEX(客户自备加工筐明细!$C$4:$C$1203,$Z1045-4000)),IF($Z1045&lt;=5800,IF(INDEX(次果筐明细!$D$4:$D$603,$Z1045-5200)=0,"",INDEX(次果筐明细!$D$4:$D$603,$Z1045-5200)),"")))))</f>
        <v/>
      </c>
      <c r="G1045" s="24" t="str">
        <f>IF($Z1045="","",IF($Z1045&lt;=2000,IF(INDEX(包装物料出入库明细!$F$4:$F$2003,$Z1045-0)=0,"",INDEX(包装物料出入库明细!$F$4:$F$2003,$Z1045-0)),IF($Z1045&lt;=4000,"",IF($Z1045&lt;=5200,"",IF($Z1045&lt;=5800,"","")))))</f>
        <v/>
      </c>
      <c r="H1045" s="39" t="str">
        <f>IF($Z1045="","",IF($Z1045&lt;=2000,IF(INDEX(包装物料出入库明细!$L$4:$L$2003,$Z1045-0)=0,"",INDEX(包装物料出入库明细!$L$4:$L$2003,$Z1045-0)),IF($Z1045&lt;=4000,N(INDEX(周转筐出入库明细!$H$4:$H$2004,$Z1045-2000))+N(INDEX(周转筐出入库明细!$I$4:$I$2004,$Z1045-2000))+N(INDEX(周转筐出入库明细!$J$4:$J$2004,$Z1045-2000))+N(INDEX(周转筐出入库明细!$K$4:$K$2004,$Z1045-2000)),IF($Z1045&lt;=5200,N(INDEX(客户自备加工筐明细!$F$4:$F$1203,$Z1045-4000))+N(INDEX(客户自备加工筐明细!$G$4:$G$1203,$Z1045-4000)),IF($Z1045&lt;=5800,IF(INDEX(次果筐明细!$G$4:$G$603,$Z1045-5200)=0,"",INDEX(次果筐明细!$G$4:$G$603,$Z1045-5200)),"")))))</f>
        <v/>
      </c>
      <c r="I1045" s="24" t="str">
        <f>IF($Z1045="","",IF($Z1045&lt;=2000,IF(INDEX(包装物料出入库明细!$G$4:$G$2003,$Z1045-0)=0,"",INDEX(包装物料出入库明细!$G$4:$G$2003,$Z1045-0)),IF($Z1045&lt;=4000,"个",IF($Z1045&lt;=5200,"个",IF($Z1045&lt;=5800,"个","")))))</f>
        <v/>
      </c>
      <c r="J1045" s="30" t="str">
        <f t="shared" si="49"/>
        <v/>
      </c>
      <c r="K1045" s="30" t="str">
        <f>IF($Z1045="","",IF($Z1045&lt;=2000,IF(INDEX(包装物料出入库明细!$N$4:$N$2003,$Z1045-0)=0,"",INDEX(包装物料出入库明细!$N$4:$N$2003,$Z1045-0)),IF($Z1045&lt;=4000,IF(INDEX(周转筐出入库明细!$P$4:$P$2004,$Z1045-2000)=0,"",INDEX(周转筐出入库明细!$P$4:$P$2004,$Z1045-2000)),IF($Z1045&lt;=5200,"",IF($Z1045&lt;=5800,N(INDEX(次果筐明细!$L$4:$L$603,$Z1045-5200))+N(INDEX(次果筐明细!$J$4:$J$603,$Z1045-5200)),"")))))</f>
        <v/>
      </c>
      <c r="L1045" s="24" t="str">
        <f>IF($Z1045="","",IF($Z1045&lt;=2000,IF(INDEX(包装物料出入库明细!$P$4:$P$2003,$Z1045-0)=0,"",INDEX(包装物料出入库明细!$P$4:$P$2003,$Z1045-0)),IF($Z1045&lt;=4000,IF(INDEX(周转筐出入库明细!$Q$4:$Q$2004,$Z1045-2000)=0,"",INDEX(周转筐出入库明细!$Q$4:$Q$2004,$Z1045-2000)),IF($Z1045&lt;=5200,"",IF($Z1045&lt;=5800,IF(INDEX(次果筐明细!$M$4:$M$603,$Z1045-5200)=0,"",INDEX(次果筐明细!$M$4:$M$603,$Z1045-5200)),"")))))</f>
        <v/>
      </c>
      <c r="M1045" s="37" t="str">
        <f>IF($Z1045="","",IF($Z1045&lt;=2000,IF(INDEX(包装物料出入库明细!$R$4:$R$2003,$Z1045-0)=0,"",INDEX(包装物料出入库明细!$R$4:$R$2003,$Z1045-0)),IF($Z1045&lt;=4000,IF(INDEX(周转筐出入库明细!$W$4:$W$2004,$Z1045-2000)=0,"",INDEX(周转筐出入库明细!$W$4:$W$2004,$Z1045-2000)),IF($Z1045&lt;=5200,IF(INDEX(客户自备加工筐明细!$L$4:$L$1203,$Z1045-4000)=0,"",INDEX(客户自备加工筐明细!$L$4:$L$1203,$Z1045-4000)),IF($Z1045&lt;=5800,IF(INDEX(次果筐明细!$P$4:$P$603,$Z1045-5200)=0,"",INDEX(次果筐明细!$P$4:$P$603,$Z1045-5200)),"")))))</f>
        <v/>
      </c>
      <c r="N1045" s="16" t="str">
        <f>IF($Z1045="","",IF($Z1045&lt;=2000,"",IF($Z1045&lt;=4000,IF(INDEX(周转筐出入库明细!$D$4:$D$2004,$Z1045-2000)=0,"",INDEX(周转筐出入库明细!$D$4:$D$2004,$Z1045-2000)),IF($Z1045&lt;=5200,IF(INDEX(客户自备加工筐明细!$C$4:$C$1203,$Z1045-4000)=0,"",INDEX(客户自备加工筐明细!$C$4:$C$1203,$Z1045-4000)),IF($Z1045&lt;=5800,IF(INDEX(次果筐明细!$D$4:$D$603,$Z1045-5200)=0,"",INDEX(次果筐明细!$D$4:$D$603,$Z1045-5200)),"")))))</f>
        <v/>
      </c>
      <c r="O1045" s="40" t="str">
        <f>IF($Z1045="","",IF($Z1045&lt;=2000,"",IF($Z1045&lt;=4000,IF(N(INDEX(周转筐出入库明细!$J$4:$J$2004,$Z1045-2000))+N(INDEX(周转筐出入库明细!$K$4:$K$2004,$Z1045-2000))=0,"",N(INDEX(周转筐出入库明细!$J$4:$J$2004,$Z1045-2000))+N(INDEX(周转筐出入库明细!$K$4:$K$2004,$Z1045-2000))),IF($Z1045&lt;=5200,IF(N(INDEX(客户自备加工筐明细!$G$4:$G$1203,$Z1045-4000))=0,"",N(INDEX(客户自备加工筐明细!$G$4:$G$1203,$Z1045-4000))),IF($Z1045&lt;=5800,IF(ISNUMBER(SEARCH("退",INDEX(次果筐明细!$F$4:$F$603,$Z1045-5200)&amp;"")),"",IF(N(INDEX(次果筐明细!$G$4:$G$603,$Z1045-5200))=0,"",N(INDEX(次果筐明细!$G$4:$G$603,$Z1045-5200)))),"")))))</f>
        <v/>
      </c>
      <c r="P1045" s="40" t="str">
        <f>IF($Z1045="","",IF($Z1045&lt;=2000,"",IF($Z1045&lt;=4000,IF(N(INDEX(周转筐出入库明细!$I$4:$I$2004,$Z1045-2000))=0,"",N(INDEX(周转筐出入库明细!$I$4:$I$2004,$Z1045-2000))),IF($Z1045&lt;=5200,"",IF($Z1045&lt;=5800,IF(ISNUMBER(SEARCH("退",INDEX(次果筐明细!$F$4:$F$603,$Z1045-5200)&amp;"")),IF(N(INDEX(次果筐明细!$G$4:$G$603,$Z1045-5200))=0,"",N(INDEX(次果筐明细!$G$4:$G$603,$Z1045-5200))),""),"")))))</f>
        <v/>
      </c>
      <c r="Q1045" s="40" t="str">
        <f>IF($Z1045="","",IF($Z1045&lt;=2000,"",IF($Z1045&lt;=4000,IF(N(INDEX(周转筐出入库明细!$H$4:$H$2004,$Z1045-2000))=0,"",N(INDEX(周转筐出入库明细!$H$4:$H$2004,$Z1045-2000))),IF($Z1045&lt;=5200,IF(N(INDEX(客户自备加工筐明细!$F$4:$F$1203,$Z1045-4000))=0,"",N(INDEX(客户自备加工筐明细!$F$4:$F$1203,$Z1045-4000))),IF($Z1045&lt;=5800,"","")))))</f>
        <v/>
      </c>
      <c r="R1045" s="16" t="str">
        <f>IF($Z1045="","",IF($Z1045&lt;=2000,IF(INDEX(包装物料出入库明细!$O$4:$O$2003,$Z1045-0)=0,"",INDEX(包装物料出入库明细!$O$4:$O$2003,$Z1045-0)),IF($Z1045&lt;=4000,IF(INDEX(周转筐出入库明细!$M$4:$M$2004,$Z1045-2000)=0,"",INDEX(周转筐出入库明细!$M$4:$M$2004,$Z1045-2000)),IF($Z1045&lt;=5200,IF(INDEX(客户自备加工筐明细!$H$4:$H$1203,$Z1045-4000)=0,"",INDEX(客户自备加工筐明细!$H$4:$H$1203,$Z1045-4000)),IF($Z1045&lt;=5800,IF(INDEX(次果筐明细!$H$4:$H$603,$Z1045-5200)=0,"",INDEX(次果筐明细!$H$4:$H$603,$Z1045-5200)),"")))))</f>
        <v/>
      </c>
      <c r="S1045" s="22" t="str">
        <f t="shared" si="50"/>
        <v/>
      </c>
      <c r="Z1045" s="10" t="str">
        <f>IFERROR(MATCH(ROW()-3,_自动清单!$CQ$4:$CQ$5803,0),"")</f>
        <v/>
      </c>
    </row>
    <row r="1046" spans="1:26">
      <c r="A1046" s="24" t="str">
        <f t="shared" si="48"/>
        <v/>
      </c>
      <c r="B1046" s="38" t="str">
        <f>IF($Z1046="","",IF($Z1046&lt;=2000,IF(INDEX(包装物料出入库明细!$B$4:$B$2003,$Z1046-0)=0,"",INDEX(包装物料出入库明细!$B$4:$B$2003,$Z1046-0)),IF($Z1046&lt;=4000,IF(INDEX(周转筐出入库明细!$B$4:$B$2004,$Z1046-2000)=0,"",INDEX(周转筐出入库明细!$B$4:$B$2004,$Z1046-2000)),IF($Z1046&lt;=5200,IF(INDEX(客户自备加工筐明细!$B$4:$B$1203,$Z1046-4000)=0,"",INDEX(客户自备加工筐明细!$B$4:$B$1203,$Z1046-4000)),IF($Z1046&lt;=5800,IF(INDEX(次果筐明细!$B$4:$B$603,$Z1046-5200)=0,"",INDEX(次果筐明细!$B$4:$B$603,$Z1046-5200)),"")))))</f>
        <v/>
      </c>
      <c r="C1046" s="37" t="str">
        <f>IF($Z1046="","",IF($Z1046&lt;=2000,IF(INDEX(包装物料出入库明细!$D$4:$D$2003,$Z1046-0)=0,"",INDEX(包装物料出入库明细!$D$4:$D$2003,$Z1046-0)),IF($Z1046&lt;=4000,IF(INDEX(周转筐出入库明细!$C$4:$C$2004,$Z1046-2000)=0,"",INDEX(周转筐出入库明细!$C$4:$C$2004,$Z1046-2000)),IF($Z1046&lt;=5200,IF(INDEX(客户自备加工筐明细!$E$4:$E$1203,$Z1046-4000)=0,"",INDEX(客户自备加工筐明细!$E$4:$E$1203,$Z1046-4000)),IF($Z1046&lt;=5800,IF(INDEX(次果筐明细!$C$4:$C$603,$Z1046-5200)=0,"",INDEX(次果筐明细!$C$4:$C$603,$Z1046-5200)),"")))))</f>
        <v/>
      </c>
      <c r="D1046" s="37" t="str">
        <f>IF($Z1046="","",IF($Z1046&lt;=2000,"包装物料－"&amp;INDEX(包装物料出入库明细!$H$4:$H$2003,$Z1046-0),IF($Z1046&lt;=4000,"周转筐－"&amp;INDEX(周转筐出入库明细!$F$4:$F$2004,$Z1046-2000),IF($Z1046&lt;=5200,"客户自备筐－"&amp;INDEX(客户自备加工筐明细!$J$4:$J$1203,$Z1046-4000),IF($Z1046&lt;=5800,"次果筐/托盘－"&amp;INDEX(次果筐明细!$F$4:$F$603,$Z1046-5200),"")))))</f>
        <v/>
      </c>
      <c r="E1046" s="24" t="str">
        <f>IF($Z1046="","",IF($Z1046&lt;=2000,IF(INDEX(包装物料出入库明细!$C$4:$C$2003,$Z1046-0)=0,"",INDEX(包装物料出入库明细!$C$4:$C$2003,$Z1046-0)),IF($Z1046&lt;=4000,IF(INDEX(周转筐出入库明细!$E$4:$E$2004,$Z1046-2000)=0,"",INDEX(周转筐出入库明细!$E$4:$E$2004,$Z1046-2000)),IF($Z1046&lt;=5200,IF(INDEX(客户自备加工筐明细!$D$4:$D$1203,$Z1046-4000)=0,"",INDEX(客户自备加工筐明细!$D$4:$D$1203,$Z1046-4000)),IF($Z1046&lt;=5800,IF(INDEX(次果筐明细!$E$4:$E$603,$Z1046-5200)=0,"",INDEX(次果筐明细!$E$4:$E$603,$Z1046-5200)),"")))))</f>
        <v/>
      </c>
      <c r="F1046" s="24" t="str">
        <f>IF($Z1046="","",IF($Z1046&lt;=2000,IF(INDEX(包装物料出入库明细!$E$4:$E$2003,$Z1046-0)=0,"",INDEX(包装物料出入库明细!$E$4:$E$2003,$Z1046-0)),IF($Z1046&lt;=4000,IF(INDEX(周转筐出入库明细!$D$4:$D$2004,$Z1046-2000)=0,"",INDEX(周转筐出入库明细!$D$4:$D$2004,$Z1046-2000)),IF($Z1046&lt;=5200,IF(INDEX(客户自备加工筐明细!$C$4:$C$1203,$Z1046-4000)=0,"",INDEX(客户自备加工筐明细!$C$4:$C$1203,$Z1046-4000)),IF($Z1046&lt;=5800,IF(INDEX(次果筐明细!$D$4:$D$603,$Z1046-5200)=0,"",INDEX(次果筐明细!$D$4:$D$603,$Z1046-5200)),"")))))</f>
        <v/>
      </c>
      <c r="G1046" s="24" t="str">
        <f>IF($Z1046="","",IF($Z1046&lt;=2000,IF(INDEX(包装物料出入库明细!$F$4:$F$2003,$Z1046-0)=0,"",INDEX(包装物料出入库明细!$F$4:$F$2003,$Z1046-0)),IF($Z1046&lt;=4000,"",IF($Z1046&lt;=5200,"",IF($Z1046&lt;=5800,"","")))))</f>
        <v/>
      </c>
      <c r="H1046" s="39" t="str">
        <f>IF($Z1046="","",IF($Z1046&lt;=2000,IF(INDEX(包装物料出入库明细!$L$4:$L$2003,$Z1046-0)=0,"",INDEX(包装物料出入库明细!$L$4:$L$2003,$Z1046-0)),IF($Z1046&lt;=4000,N(INDEX(周转筐出入库明细!$H$4:$H$2004,$Z1046-2000))+N(INDEX(周转筐出入库明细!$I$4:$I$2004,$Z1046-2000))+N(INDEX(周转筐出入库明细!$J$4:$J$2004,$Z1046-2000))+N(INDEX(周转筐出入库明细!$K$4:$K$2004,$Z1046-2000)),IF($Z1046&lt;=5200,N(INDEX(客户自备加工筐明细!$F$4:$F$1203,$Z1046-4000))+N(INDEX(客户自备加工筐明细!$G$4:$G$1203,$Z1046-4000)),IF($Z1046&lt;=5800,IF(INDEX(次果筐明细!$G$4:$G$603,$Z1046-5200)=0,"",INDEX(次果筐明细!$G$4:$G$603,$Z1046-5200)),"")))))</f>
        <v/>
      </c>
      <c r="I1046" s="24" t="str">
        <f>IF($Z1046="","",IF($Z1046&lt;=2000,IF(INDEX(包装物料出入库明细!$G$4:$G$2003,$Z1046-0)=0,"",INDEX(包装物料出入库明细!$G$4:$G$2003,$Z1046-0)),IF($Z1046&lt;=4000,"个",IF($Z1046&lt;=5200,"个",IF($Z1046&lt;=5800,"个","")))))</f>
        <v/>
      </c>
      <c r="J1046" s="30" t="str">
        <f t="shared" si="49"/>
        <v/>
      </c>
      <c r="K1046" s="30" t="str">
        <f>IF($Z1046="","",IF($Z1046&lt;=2000,IF(INDEX(包装物料出入库明细!$N$4:$N$2003,$Z1046-0)=0,"",INDEX(包装物料出入库明细!$N$4:$N$2003,$Z1046-0)),IF($Z1046&lt;=4000,IF(INDEX(周转筐出入库明细!$P$4:$P$2004,$Z1046-2000)=0,"",INDEX(周转筐出入库明细!$P$4:$P$2004,$Z1046-2000)),IF($Z1046&lt;=5200,"",IF($Z1046&lt;=5800,N(INDEX(次果筐明细!$L$4:$L$603,$Z1046-5200))+N(INDEX(次果筐明细!$J$4:$J$603,$Z1046-5200)),"")))))</f>
        <v/>
      </c>
      <c r="L1046" s="24" t="str">
        <f>IF($Z1046="","",IF($Z1046&lt;=2000,IF(INDEX(包装物料出入库明细!$P$4:$P$2003,$Z1046-0)=0,"",INDEX(包装物料出入库明细!$P$4:$P$2003,$Z1046-0)),IF($Z1046&lt;=4000,IF(INDEX(周转筐出入库明细!$Q$4:$Q$2004,$Z1046-2000)=0,"",INDEX(周转筐出入库明细!$Q$4:$Q$2004,$Z1046-2000)),IF($Z1046&lt;=5200,"",IF($Z1046&lt;=5800,IF(INDEX(次果筐明细!$M$4:$M$603,$Z1046-5200)=0,"",INDEX(次果筐明细!$M$4:$M$603,$Z1046-5200)),"")))))</f>
        <v/>
      </c>
      <c r="M1046" s="37" t="str">
        <f>IF($Z1046="","",IF($Z1046&lt;=2000,IF(INDEX(包装物料出入库明细!$R$4:$R$2003,$Z1046-0)=0,"",INDEX(包装物料出入库明细!$R$4:$R$2003,$Z1046-0)),IF($Z1046&lt;=4000,IF(INDEX(周转筐出入库明细!$W$4:$W$2004,$Z1046-2000)=0,"",INDEX(周转筐出入库明细!$W$4:$W$2004,$Z1046-2000)),IF($Z1046&lt;=5200,IF(INDEX(客户自备加工筐明细!$L$4:$L$1203,$Z1046-4000)=0,"",INDEX(客户自备加工筐明细!$L$4:$L$1203,$Z1046-4000)),IF($Z1046&lt;=5800,IF(INDEX(次果筐明细!$P$4:$P$603,$Z1046-5200)=0,"",INDEX(次果筐明细!$P$4:$P$603,$Z1046-5200)),"")))))</f>
        <v/>
      </c>
      <c r="N1046" s="16" t="str">
        <f>IF($Z1046="","",IF($Z1046&lt;=2000,"",IF($Z1046&lt;=4000,IF(INDEX(周转筐出入库明细!$D$4:$D$2004,$Z1046-2000)=0,"",INDEX(周转筐出入库明细!$D$4:$D$2004,$Z1046-2000)),IF($Z1046&lt;=5200,IF(INDEX(客户自备加工筐明细!$C$4:$C$1203,$Z1046-4000)=0,"",INDEX(客户自备加工筐明细!$C$4:$C$1203,$Z1046-4000)),IF($Z1046&lt;=5800,IF(INDEX(次果筐明细!$D$4:$D$603,$Z1046-5200)=0,"",INDEX(次果筐明细!$D$4:$D$603,$Z1046-5200)),"")))))</f>
        <v/>
      </c>
      <c r="O1046" s="40" t="str">
        <f>IF($Z1046="","",IF($Z1046&lt;=2000,"",IF($Z1046&lt;=4000,IF(N(INDEX(周转筐出入库明细!$J$4:$J$2004,$Z1046-2000))+N(INDEX(周转筐出入库明细!$K$4:$K$2004,$Z1046-2000))=0,"",N(INDEX(周转筐出入库明细!$J$4:$J$2004,$Z1046-2000))+N(INDEX(周转筐出入库明细!$K$4:$K$2004,$Z1046-2000))),IF($Z1046&lt;=5200,IF(N(INDEX(客户自备加工筐明细!$G$4:$G$1203,$Z1046-4000))=0,"",N(INDEX(客户自备加工筐明细!$G$4:$G$1203,$Z1046-4000))),IF($Z1046&lt;=5800,IF(ISNUMBER(SEARCH("退",INDEX(次果筐明细!$F$4:$F$603,$Z1046-5200)&amp;"")),"",IF(N(INDEX(次果筐明细!$G$4:$G$603,$Z1046-5200))=0,"",N(INDEX(次果筐明细!$G$4:$G$603,$Z1046-5200)))),"")))))</f>
        <v/>
      </c>
      <c r="P1046" s="40" t="str">
        <f>IF($Z1046="","",IF($Z1046&lt;=2000,"",IF($Z1046&lt;=4000,IF(N(INDEX(周转筐出入库明细!$I$4:$I$2004,$Z1046-2000))=0,"",N(INDEX(周转筐出入库明细!$I$4:$I$2004,$Z1046-2000))),IF($Z1046&lt;=5200,"",IF($Z1046&lt;=5800,IF(ISNUMBER(SEARCH("退",INDEX(次果筐明细!$F$4:$F$603,$Z1046-5200)&amp;"")),IF(N(INDEX(次果筐明细!$G$4:$G$603,$Z1046-5200))=0,"",N(INDEX(次果筐明细!$G$4:$G$603,$Z1046-5200))),""),"")))))</f>
        <v/>
      </c>
      <c r="Q1046" s="40" t="str">
        <f>IF($Z1046="","",IF($Z1046&lt;=2000,"",IF($Z1046&lt;=4000,IF(N(INDEX(周转筐出入库明细!$H$4:$H$2004,$Z1046-2000))=0,"",N(INDEX(周转筐出入库明细!$H$4:$H$2004,$Z1046-2000))),IF($Z1046&lt;=5200,IF(N(INDEX(客户自备加工筐明细!$F$4:$F$1203,$Z1046-4000))=0,"",N(INDEX(客户自备加工筐明细!$F$4:$F$1203,$Z1046-4000))),IF($Z1046&lt;=5800,"","")))))</f>
        <v/>
      </c>
      <c r="R1046" s="16" t="str">
        <f>IF($Z1046="","",IF($Z1046&lt;=2000,IF(INDEX(包装物料出入库明细!$O$4:$O$2003,$Z1046-0)=0,"",INDEX(包装物料出入库明细!$O$4:$O$2003,$Z1046-0)),IF($Z1046&lt;=4000,IF(INDEX(周转筐出入库明细!$M$4:$M$2004,$Z1046-2000)=0,"",INDEX(周转筐出入库明细!$M$4:$M$2004,$Z1046-2000)),IF($Z1046&lt;=5200,IF(INDEX(客户自备加工筐明细!$H$4:$H$1203,$Z1046-4000)=0,"",INDEX(客户自备加工筐明细!$H$4:$H$1203,$Z1046-4000)),IF($Z1046&lt;=5800,IF(INDEX(次果筐明细!$H$4:$H$603,$Z1046-5200)=0,"",INDEX(次果筐明细!$H$4:$H$603,$Z1046-5200)),"")))))</f>
        <v/>
      </c>
      <c r="S1046" s="22" t="str">
        <f t="shared" si="50"/>
        <v/>
      </c>
      <c r="Z1046" s="10" t="str">
        <f>IFERROR(MATCH(ROW()-3,_自动清单!$CQ$4:$CQ$5803,0),"")</f>
        <v/>
      </c>
    </row>
    <row r="1047" spans="1:26">
      <c r="A1047" s="24" t="str">
        <f t="shared" si="48"/>
        <v/>
      </c>
      <c r="B1047" s="38" t="str">
        <f>IF($Z1047="","",IF($Z1047&lt;=2000,IF(INDEX(包装物料出入库明细!$B$4:$B$2003,$Z1047-0)=0,"",INDEX(包装物料出入库明细!$B$4:$B$2003,$Z1047-0)),IF($Z1047&lt;=4000,IF(INDEX(周转筐出入库明细!$B$4:$B$2004,$Z1047-2000)=0,"",INDEX(周转筐出入库明细!$B$4:$B$2004,$Z1047-2000)),IF($Z1047&lt;=5200,IF(INDEX(客户自备加工筐明细!$B$4:$B$1203,$Z1047-4000)=0,"",INDEX(客户自备加工筐明细!$B$4:$B$1203,$Z1047-4000)),IF($Z1047&lt;=5800,IF(INDEX(次果筐明细!$B$4:$B$603,$Z1047-5200)=0,"",INDEX(次果筐明细!$B$4:$B$603,$Z1047-5200)),"")))))</f>
        <v/>
      </c>
      <c r="C1047" s="37" t="str">
        <f>IF($Z1047="","",IF($Z1047&lt;=2000,IF(INDEX(包装物料出入库明细!$D$4:$D$2003,$Z1047-0)=0,"",INDEX(包装物料出入库明细!$D$4:$D$2003,$Z1047-0)),IF($Z1047&lt;=4000,IF(INDEX(周转筐出入库明细!$C$4:$C$2004,$Z1047-2000)=0,"",INDEX(周转筐出入库明细!$C$4:$C$2004,$Z1047-2000)),IF($Z1047&lt;=5200,IF(INDEX(客户自备加工筐明细!$E$4:$E$1203,$Z1047-4000)=0,"",INDEX(客户自备加工筐明细!$E$4:$E$1203,$Z1047-4000)),IF($Z1047&lt;=5800,IF(INDEX(次果筐明细!$C$4:$C$603,$Z1047-5200)=0,"",INDEX(次果筐明细!$C$4:$C$603,$Z1047-5200)),"")))))</f>
        <v/>
      </c>
      <c r="D1047" s="37" t="str">
        <f>IF($Z1047="","",IF($Z1047&lt;=2000,"包装物料－"&amp;INDEX(包装物料出入库明细!$H$4:$H$2003,$Z1047-0),IF($Z1047&lt;=4000,"周转筐－"&amp;INDEX(周转筐出入库明细!$F$4:$F$2004,$Z1047-2000),IF($Z1047&lt;=5200,"客户自备筐－"&amp;INDEX(客户自备加工筐明细!$J$4:$J$1203,$Z1047-4000),IF($Z1047&lt;=5800,"次果筐/托盘－"&amp;INDEX(次果筐明细!$F$4:$F$603,$Z1047-5200),"")))))</f>
        <v/>
      </c>
      <c r="E1047" s="24" t="str">
        <f>IF($Z1047="","",IF($Z1047&lt;=2000,IF(INDEX(包装物料出入库明细!$C$4:$C$2003,$Z1047-0)=0,"",INDEX(包装物料出入库明细!$C$4:$C$2003,$Z1047-0)),IF($Z1047&lt;=4000,IF(INDEX(周转筐出入库明细!$E$4:$E$2004,$Z1047-2000)=0,"",INDEX(周转筐出入库明细!$E$4:$E$2004,$Z1047-2000)),IF($Z1047&lt;=5200,IF(INDEX(客户自备加工筐明细!$D$4:$D$1203,$Z1047-4000)=0,"",INDEX(客户自备加工筐明细!$D$4:$D$1203,$Z1047-4000)),IF($Z1047&lt;=5800,IF(INDEX(次果筐明细!$E$4:$E$603,$Z1047-5200)=0,"",INDEX(次果筐明细!$E$4:$E$603,$Z1047-5200)),"")))))</f>
        <v/>
      </c>
      <c r="F1047" s="24" t="str">
        <f>IF($Z1047="","",IF($Z1047&lt;=2000,IF(INDEX(包装物料出入库明细!$E$4:$E$2003,$Z1047-0)=0,"",INDEX(包装物料出入库明细!$E$4:$E$2003,$Z1047-0)),IF($Z1047&lt;=4000,IF(INDEX(周转筐出入库明细!$D$4:$D$2004,$Z1047-2000)=0,"",INDEX(周转筐出入库明细!$D$4:$D$2004,$Z1047-2000)),IF($Z1047&lt;=5200,IF(INDEX(客户自备加工筐明细!$C$4:$C$1203,$Z1047-4000)=0,"",INDEX(客户自备加工筐明细!$C$4:$C$1203,$Z1047-4000)),IF($Z1047&lt;=5800,IF(INDEX(次果筐明细!$D$4:$D$603,$Z1047-5200)=0,"",INDEX(次果筐明细!$D$4:$D$603,$Z1047-5200)),"")))))</f>
        <v/>
      </c>
      <c r="G1047" s="24" t="str">
        <f>IF($Z1047="","",IF($Z1047&lt;=2000,IF(INDEX(包装物料出入库明细!$F$4:$F$2003,$Z1047-0)=0,"",INDEX(包装物料出入库明细!$F$4:$F$2003,$Z1047-0)),IF($Z1047&lt;=4000,"",IF($Z1047&lt;=5200,"",IF($Z1047&lt;=5800,"","")))))</f>
        <v/>
      </c>
      <c r="H1047" s="39" t="str">
        <f>IF($Z1047="","",IF($Z1047&lt;=2000,IF(INDEX(包装物料出入库明细!$L$4:$L$2003,$Z1047-0)=0,"",INDEX(包装物料出入库明细!$L$4:$L$2003,$Z1047-0)),IF($Z1047&lt;=4000,N(INDEX(周转筐出入库明细!$H$4:$H$2004,$Z1047-2000))+N(INDEX(周转筐出入库明细!$I$4:$I$2004,$Z1047-2000))+N(INDEX(周转筐出入库明细!$J$4:$J$2004,$Z1047-2000))+N(INDEX(周转筐出入库明细!$K$4:$K$2004,$Z1047-2000)),IF($Z1047&lt;=5200,N(INDEX(客户自备加工筐明细!$F$4:$F$1203,$Z1047-4000))+N(INDEX(客户自备加工筐明细!$G$4:$G$1203,$Z1047-4000)),IF($Z1047&lt;=5800,IF(INDEX(次果筐明细!$G$4:$G$603,$Z1047-5200)=0,"",INDEX(次果筐明细!$G$4:$G$603,$Z1047-5200)),"")))))</f>
        <v/>
      </c>
      <c r="I1047" s="24" t="str">
        <f>IF($Z1047="","",IF($Z1047&lt;=2000,IF(INDEX(包装物料出入库明细!$G$4:$G$2003,$Z1047-0)=0,"",INDEX(包装物料出入库明细!$G$4:$G$2003,$Z1047-0)),IF($Z1047&lt;=4000,"个",IF($Z1047&lt;=5200,"个",IF($Z1047&lt;=5800,"个","")))))</f>
        <v/>
      </c>
      <c r="J1047" s="30" t="str">
        <f t="shared" si="49"/>
        <v/>
      </c>
      <c r="K1047" s="30" t="str">
        <f>IF($Z1047="","",IF($Z1047&lt;=2000,IF(INDEX(包装物料出入库明细!$N$4:$N$2003,$Z1047-0)=0,"",INDEX(包装物料出入库明细!$N$4:$N$2003,$Z1047-0)),IF($Z1047&lt;=4000,IF(INDEX(周转筐出入库明细!$P$4:$P$2004,$Z1047-2000)=0,"",INDEX(周转筐出入库明细!$P$4:$P$2004,$Z1047-2000)),IF($Z1047&lt;=5200,"",IF($Z1047&lt;=5800,N(INDEX(次果筐明细!$L$4:$L$603,$Z1047-5200))+N(INDEX(次果筐明细!$J$4:$J$603,$Z1047-5200)),"")))))</f>
        <v/>
      </c>
      <c r="L1047" s="24" t="str">
        <f>IF($Z1047="","",IF($Z1047&lt;=2000,IF(INDEX(包装物料出入库明细!$P$4:$P$2003,$Z1047-0)=0,"",INDEX(包装物料出入库明细!$P$4:$P$2003,$Z1047-0)),IF($Z1047&lt;=4000,IF(INDEX(周转筐出入库明细!$Q$4:$Q$2004,$Z1047-2000)=0,"",INDEX(周转筐出入库明细!$Q$4:$Q$2004,$Z1047-2000)),IF($Z1047&lt;=5200,"",IF($Z1047&lt;=5800,IF(INDEX(次果筐明细!$M$4:$M$603,$Z1047-5200)=0,"",INDEX(次果筐明细!$M$4:$M$603,$Z1047-5200)),"")))))</f>
        <v/>
      </c>
      <c r="M1047" s="37" t="str">
        <f>IF($Z1047="","",IF($Z1047&lt;=2000,IF(INDEX(包装物料出入库明细!$R$4:$R$2003,$Z1047-0)=0,"",INDEX(包装物料出入库明细!$R$4:$R$2003,$Z1047-0)),IF($Z1047&lt;=4000,IF(INDEX(周转筐出入库明细!$W$4:$W$2004,$Z1047-2000)=0,"",INDEX(周转筐出入库明细!$W$4:$W$2004,$Z1047-2000)),IF($Z1047&lt;=5200,IF(INDEX(客户自备加工筐明细!$L$4:$L$1203,$Z1047-4000)=0,"",INDEX(客户自备加工筐明细!$L$4:$L$1203,$Z1047-4000)),IF($Z1047&lt;=5800,IF(INDEX(次果筐明细!$P$4:$P$603,$Z1047-5200)=0,"",INDEX(次果筐明细!$P$4:$P$603,$Z1047-5200)),"")))))</f>
        <v/>
      </c>
      <c r="N1047" s="16" t="str">
        <f>IF($Z1047="","",IF($Z1047&lt;=2000,"",IF($Z1047&lt;=4000,IF(INDEX(周转筐出入库明细!$D$4:$D$2004,$Z1047-2000)=0,"",INDEX(周转筐出入库明细!$D$4:$D$2004,$Z1047-2000)),IF($Z1047&lt;=5200,IF(INDEX(客户自备加工筐明细!$C$4:$C$1203,$Z1047-4000)=0,"",INDEX(客户自备加工筐明细!$C$4:$C$1203,$Z1047-4000)),IF($Z1047&lt;=5800,IF(INDEX(次果筐明细!$D$4:$D$603,$Z1047-5200)=0,"",INDEX(次果筐明细!$D$4:$D$603,$Z1047-5200)),"")))))</f>
        <v/>
      </c>
      <c r="O1047" s="40" t="str">
        <f>IF($Z1047="","",IF($Z1047&lt;=2000,"",IF($Z1047&lt;=4000,IF(N(INDEX(周转筐出入库明细!$J$4:$J$2004,$Z1047-2000))+N(INDEX(周转筐出入库明细!$K$4:$K$2004,$Z1047-2000))=0,"",N(INDEX(周转筐出入库明细!$J$4:$J$2004,$Z1047-2000))+N(INDEX(周转筐出入库明细!$K$4:$K$2004,$Z1047-2000))),IF($Z1047&lt;=5200,IF(N(INDEX(客户自备加工筐明细!$G$4:$G$1203,$Z1047-4000))=0,"",N(INDEX(客户自备加工筐明细!$G$4:$G$1203,$Z1047-4000))),IF($Z1047&lt;=5800,IF(ISNUMBER(SEARCH("退",INDEX(次果筐明细!$F$4:$F$603,$Z1047-5200)&amp;"")),"",IF(N(INDEX(次果筐明细!$G$4:$G$603,$Z1047-5200))=0,"",N(INDEX(次果筐明细!$G$4:$G$603,$Z1047-5200)))),"")))))</f>
        <v/>
      </c>
      <c r="P1047" s="40" t="str">
        <f>IF($Z1047="","",IF($Z1047&lt;=2000,"",IF($Z1047&lt;=4000,IF(N(INDEX(周转筐出入库明细!$I$4:$I$2004,$Z1047-2000))=0,"",N(INDEX(周转筐出入库明细!$I$4:$I$2004,$Z1047-2000))),IF($Z1047&lt;=5200,"",IF($Z1047&lt;=5800,IF(ISNUMBER(SEARCH("退",INDEX(次果筐明细!$F$4:$F$603,$Z1047-5200)&amp;"")),IF(N(INDEX(次果筐明细!$G$4:$G$603,$Z1047-5200))=0,"",N(INDEX(次果筐明细!$G$4:$G$603,$Z1047-5200))),""),"")))))</f>
        <v/>
      </c>
      <c r="Q1047" s="40" t="str">
        <f>IF($Z1047="","",IF($Z1047&lt;=2000,"",IF($Z1047&lt;=4000,IF(N(INDEX(周转筐出入库明细!$H$4:$H$2004,$Z1047-2000))=0,"",N(INDEX(周转筐出入库明细!$H$4:$H$2004,$Z1047-2000))),IF($Z1047&lt;=5200,IF(N(INDEX(客户自备加工筐明细!$F$4:$F$1203,$Z1047-4000))=0,"",N(INDEX(客户自备加工筐明细!$F$4:$F$1203,$Z1047-4000))),IF($Z1047&lt;=5800,"","")))))</f>
        <v/>
      </c>
      <c r="R1047" s="16" t="str">
        <f>IF($Z1047="","",IF($Z1047&lt;=2000,IF(INDEX(包装物料出入库明细!$O$4:$O$2003,$Z1047-0)=0,"",INDEX(包装物料出入库明细!$O$4:$O$2003,$Z1047-0)),IF($Z1047&lt;=4000,IF(INDEX(周转筐出入库明细!$M$4:$M$2004,$Z1047-2000)=0,"",INDEX(周转筐出入库明细!$M$4:$M$2004,$Z1047-2000)),IF($Z1047&lt;=5200,IF(INDEX(客户自备加工筐明细!$H$4:$H$1203,$Z1047-4000)=0,"",INDEX(客户自备加工筐明细!$H$4:$H$1203,$Z1047-4000)),IF($Z1047&lt;=5800,IF(INDEX(次果筐明细!$H$4:$H$603,$Z1047-5200)=0,"",INDEX(次果筐明细!$H$4:$H$603,$Z1047-5200)),"")))))</f>
        <v/>
      </c>
      <c r="S1047" s="22" t="str">
        <f t="shared" si="50"/>
        <v/>
      </c>
      <c r="Z1047" s="10" t="str">
        <f>IFERROR(MATCH(ROW()-3,_自动清单!$CQ$4:$CQ$5803,0),"")</f>
        <v/>
      </c>
    </row>
    <row r="1048" spans="1:26">
      <c r="A1048" s="24" t="str">
        <f t="shared" si="48"/>
        <v/>
      </c>
      <c r="B1048" s="38" t="str">
        <f>IF($Z1048="","",IF($Z1048&lt;=2000,IF(INDEX(包装物料出入库明细!$B$4:$B$2003,$Z1048-0)=0,"",INDEX(包装物料出入库明细!$B$4:$B$2003,$Z1048-0)),IF($Z1048&lt;=4000,IF(INDEX(周转筐出入库明细!$B$4:$B$2004,$Z1048-2000)=0,"",INDEX(周转筐出入库明细!$B$4:$B$2004,$Z1048-2000)),IF($Z1048&lt;=5200,IF(INDEX(客户自备加工筐明细!$B$4:$B$1203,$Z1048-4000)=0,"",INDEX(客户自备加工筐明细!$B$4:$B$1203,$Z1048-4000)),IF($Z1048&lt;=5800,IF(INDEX(次果筐明细!$B$4:$B$603,$Z1048-5200)=0,"",INDEX(次果筐明细!$B$4:$B$603,$Z1048-5200)),"")))))</f>
        <v/>
      </c>
      <c r="C1048" s="37" t="str">
        <f>IF($Z1048="","",IF($Z1048&lt;=2000,IF(INDEX(包装物料出入库明细!$D$4:$D$2003,$Z1048-0)=0,"",INDEX(包装物料出入库明细!$D$4:$D$2003,$Z1048-0)),IF($Z1048&lt;=4000,IF(INDEX(周转筐出入库明细!$C$4:$C$2004,$Z1048-2000)=0,"",INDEX(周转筐出入库明细!$C$4:$C$2004,$Z1048-2000)),IF($Z1048&lt;=5200,IF(INDEX(客户自备加工筐明细!$E$4:$E$1203,$Z1048-4000)=0,"",INDEX(客户自备加工筐明细!$E$4:$E$1203,$Z1048-4000)),IF($Z1048&lt;=5800,IF(INDEX(次果筐明细!$C$4:$C$603,$Z1048-5200)=0,"",INDEX(次果筐明细!$C$4:$C$603,$Z1048-5200)),"")))))</f>
        <v/>
      </c>
      <c r="D1048" s="37" t="str">
        <f>IF($Z1048="","",IF($Z1048&lt;=2000,"包装物料－"&amp;INDEX(包装物料出入库明细!$H$4:$H$2003,$Z1048-0),IF($Z1048&lt;=4000,"周转筐－"&amp;INDEX(周转筐出入库明细!$F$4:$F$2004,$Z1048-2000),IF($Z1048&lt;=5200,"客户自备筐－"&amp;INDEX(客户自备加工筐明细!$J$4:$J$1203,$Z1048-4000),IF($Z1048&lt;=5800,"次果筐/托盘－"&amp;INDEX(次果筐明细!$F$4:$F$603,$Z1048-5200),"")))))</f>
        <v/>
      </c>
      <c r="E1048" s="24" t="str">
        <f>IF($Z1048="","",IF($Z1048&lt;=2000,IF(INDEX(包装物料出入库明细!$C$4:$C$2003,$Z1048-0)=0,"",INDEX(包装物料出入库明细!$C$4:$C$2003,$Z1048-0)),IF($Z1048&lt;=4000,IF(INDEX(周转筐出入库明细!$E$4:$E$2004,$Z1048-2000)=0,"",INDEX(周转筐出入库明细!$E$4:$E$2004,$Z1048-2000)),IF($Z1048&lt;=5200,IF(INDEX(客户自备加工筐明细!$D$4:$D$1203,$Z1048-4000)=0,"",INDEX(客户自备加工筐明细!$D$4:$D$1203,$Z1048-4000)),IF($Z1048&lt;=5800,IF(INDEX(次果筐明细!$E$4:$E$603,$Z1048-5200)=0,"",INDEX(次果筐明细!$E$4:$E$603,$Z1048-5200)),"")))))</f>
        <v/>
      </c>
      <c r="F1048" s="24" t="str">
        <f>IF($Z1048="","",IF($Z1048&lt;=2000,IF(INDEX(包装物料出入库明细!$E$4:$E$2003,$Z1048-0)=0,"",INDEX(包装物料出入库明细!$E$4:$E$2003,$Z1048-0)),IF($Z1048&lt;=4000,IF(INDEX(周转筐出入库明细!$D$4:$D$2004,$Z1048-2000)=0,"",INDEX(周转筐出入库明细!$D$4:$D$2004,$Z1048-2000)),IF($Z1048&lt;=5200,IF(INDEX(客户自备加工筐明细!$C$4:$C$1203,$Z1048-4000)=0,"",INDEX(客户自备加工筐明细!$C$4:$C$1203,$Z1048-4000)),IF($Z1048&lt;=5800,IF(INDEX(次果筐明细!$D$4:$D$603,$Z1048-5200)=0,"",INDEX(次果筐明细!$D$4:$D$603,$Z1048-5200)),"")))))</f>
        <v/>
      </c>
      <c r="G1048" s="24" t="str">
        <f>IF($Z1048="","",IF($Z1048&lt;=2000,IF(INDEX(包装物料出入库明细!$F$4:$F$2003,$Z1048-0)=0,"",INDEX(包装物料出入库明细!$F$4:$F$2003,$Z1048-0)),IF($Z1048&lt;=4000,"",IF($Z1048&lt;=5200,"",IF($Z1048&lt;=5800,"","")))))</f>
        <v/>
      </c>
      <c r="H1048" s="39" t="str">
        <f>IF($Z1048="","",IF($Z1048&lt;=2000,IF(INDEX(包装物料出入库明细!$L$4:$L$2003,$Z1048-0)=0,"",INDEX(包装物料出入库明细!$L$4:$L$2003,$Z1048-0)),IF($Z1048&lt;=4000,N(INDEX(周转筐出入库明细!$H$4:$H$2004,$Z1048-2000))+N(INDEX(周转筐出入库明细!$I$4:$I$2004,$Z1048-2000))+N(INDEX(周转筐出入库明细!$J$4:$J$2004,$Z1048-2000))+N(INDEX(周转筐出入库明细!$K$4:$K$2004,$Z1048-2000)),IF($Z1048&lt;=5200,N(INDEX(客户自备加工筐明细!$F$4:$F$1203,$Z1048-4000))+N(INDEX(客户自备加工筐明细!$G$4:$G$1203,$Z1048-4000)),IF($Z1048&lt;=5800,IF(INDEX(次果筐明细!$G$4:$G$603,$Z1048-5200)=0,"",INDEX(次果筐明细!$G$4:$G$603,$Z1048-5200)),"")))))</f>
        <v/>
      </c>
      <c r="I1048" s="24" t="str">
        <f>IF($Z1048="","",IF($Z1048&lt;=2000,IF(INDEX(包装物料出入库明细!$G$4:$G$2003,$Z1048-0)=0,"",INDEX(包装物料出入库明细!$G$4:$G$2003,$Z1048-0)),IF($Z1048&lt;=4000,"个",IF($Z1048&lt;=5200,"个",IF($Z1048&lt;=5800,"个","")))))</f>
        <v/>
      </c>
      <c r="J1048" s="30" t="str">
        <f t="shared" si="49"/>
        <v/>
      </c>
      <c r="K1048" s="30" t="str">
        <f>IF($Z1048="","",IF($Z1048&lt;=2000,IF(INDEX(包装物料出入库明细!$N$4:$N$2003,$Z1048-0)=0,"",INDEX(包装物料出入库明细!$N$4:$N$2003,$Z1048-0)),IF($Z1048&lt;=4000,IF(INDEX(周转筐出入库明细!$P$4:$P$2004,$Z1048-2000)=0,"",INDEX(周转筐出入库明细!$P$4:$P$2004,$Z1048-2000)),IF($Z1048&lt;=5200,"",IF($Z1048&lt;=5800,N(INDEX(次果筐明细!$L$4:$L$603,$Z1048-5200))+N(INDEX(次果筐明细!$J$4:$J$603,$Z1048-5200)),"")))))</f>
        <v/>
      </c>
      <c r="L1048" s="24" t="str">
        <f>IF($Z1048="","",IF($Z1048&lt;=2000,IF(INDEX(包装物料出入库明细!$P$4:$P$2003,$Z1048-0)=0,"",INDEX(包装物料出入库明细!$P$4:$P$2003,$Z1048-0)),IF($Z1048&lt;=4000,IF(INDEX(周转筐出入库明细!$Q$4:$Q$2004,$Z1048-2000)=0,"",INDEX(周转筐出入库明细!$Q$4:$Q$2004,$Z1048-2000)),IF($Z1048&lt;=5200,"",IF($Z1048&lt;=5800,IF(INDEX(次果筐明细!$M$4:$M$603,$Z1048-5200)=0,"",INDEX(次果筐明细!$M$4:$M$603,$Z1048-5200)),"")))))</f>
        <v/>
      </c>
      <c r="M1048" s="37" t="str">
        <f>IF($Z1048="","",IF($Z1048&lt;=2000,IF(INDEX(包装物料出入库明细!$R$4:$R$2003,$Z1048-0)=0,"",INDEX(包装物料出入库明细!$R$4:$R$2003,$Z1048-0)),IF($Z1048&lt;=4000,IF(INDEX(周转筐出入库明细!$W$4:$W$2004,$Z1048-2000)=0,"",INDEX(周转筐出入库明细!$W$4:$W$2004,$Z1048-2000)),IF($Z1048&lt;=5200,IF(INDEX(客户自备加工筐明细!$L$4:$L$1203,$Z1048-4000)=0,"",INDEX(客户自备加工筐明细!$L$4:$L$1203,$Z1048-4000)),IF($Z1048&lt;=5800,IF(INDEX(次果筐明细!$P$4:$P$603,$Z1048-5200)=0,"",INDEX(次果筐明细!$P$4:$P$603,$Z1048-5200)),"")))))</f>
        <v/>
      </c>
      <c r="N1048" s="16" t="str">
        <f>IF($Z1048="","",IF($Z1048&lt;=2000,"",IF($Z1048&lt;=4000,IF(INDEX(周转筐出入库明细!$D$4:$D$2004,$Z1048-2000)=0,"",INDEX(周转筐出入库明细!$D$4:$D$2004,$Z1048-2000)),IF($Z1048&lt;=5200,IF(INDEX(客户自备加工筐明细!$C$4:$C$1203,$Z1048-4000)=0,"",INDEX(客户自备加工筐明细!$C$4:$C$1203,$Z1048-4000)),IF($Z1048&lt;=5800,IF(INDEX(次果筐明细!$D$4:$D$603,$Z1048-5200)=0,"",INDEX(次果筐明细!$D$4:$D$603,$Z1048-5200)),"")))))</f>
        <v/>
      </c>
      <c r="O1048" s="40" t="str">
        <f>IF($Z1048="","",IF($Z1048&lt;=2000,"",IF($Z1048&lt;=4000,IF(N(INDEX(周转筐出入库明细!$J$4:$J$2004,$Z1048-2000))+N(INDEX(周转筐出入库明细!$K$4:$K$2004,$Z1048-2000))=0,"",N(INDEX(周转筐出入库明细!$J$4:$J$2004,$Z1048-2000))+N(INDEX(周转筐出入库明细!$K$4:$K$2004,$Z1048-2000))),IF($Z1048&lt;=5200,IF(N(INDEX(客户自备加工筐明细!$G$4:$G$1203,$Z1048-4000))=0,"",N(INDEX(客户自备加工筐明细!$G$4:$G$1203,$Z1048-4000))),IF($Z1048&lt;=5800,IF(ISNUMBER(SEARCH("退",INDEX(次果筐明细!$F$4:$F$603,$Z1048-5200)&amp;"")),"",IF(N(INDEX(次果筐明细!$G$4:$G$603,$Z1048-5200))=0,"",N(INDEX(次果筐明细!$G$4:$G$603,$Z1048-5200)))),"")))))</f>
        <v/>
      </c>
      <c r="P1048" s="40" t="str">
        <f>IF($Z1048="","",IF($Z1048&lt;=2000,"",IF($Z1048&lt;=4000,IF(N(INDEX(周转筐出入库明细!$I$4:$I$2004,$Z1048-2000))=0,"",N(INDEX(周转筐出入库明细!$I$4:$I$2004,$Z1048-2000))),IF($Z1048&lt;=5200,"",IF($Z1048&lt;=5800,IF(ISNUMBER(SEARCH("退",INDEX(次果筐明细!$F$4:$F$603,$Z1048-5200)&amp;"")),IF(N(INDEX(次果筐明细!$G$4:$G$603,$Z1048-5200))=0,"",N(INDEX(次果筐明细!$G$4:$G$603,$Z1048-5200))),""),"")))))</f>
        <v/>
      </c>
      <c r="Q1048" s="40" t="str">
        <f>IF($Z1048="","",IF($Z1048&lt;=2000,"",IF($Z1048&lt;=4000,IF(N(INDEX(周转筐出入库明细!$H$4:$H$2004,$Z1048-2000))=0,"",N(INDEX(周转筐出入库明细!$H$4:$H$2004,$Z1048-2000))),IF($Z1048&lt;=5200,IF(N(INDEX(客户自备加工筐明细!$F$4:$F$1203,$Z1048-4000))=0,"",N(INDEX(客户自备加工筐明细!$F$4:$F$1203,$Z1048-4000))),IF($Z1048&lt;=5800,"","")))))</f>
        <v/>
      </c>
      <c r="R1048" s="16" t="str">
        <f>IF($Z1048="","",IF($Z1048&lt;=2000,IF(INDEX(包装物料出入库明细!$O$4:$O$2003,$Z1048-0)=0,"",INDEX(包装物料出入库明细!$O$4:$O$2003,$Z1048-0)),IF($Z1048&lt;=4000,IF(INDEX(周转筐出入库明细!$M$4:$M$2004,$Z1048-2000)=0,"",INDEX(周转筐出入库明细!$M$4:$M$2004,$Z1048-2000)),IF($Z1048&lt;=5200,IF(INDEX(客户自备加工筐明细!$H$4:$H$1203,$Z1048-4000)=0,"",INDEX(客户自备加工筐明细!$H$4:$H$1203,$Z1048-4000)),IF($Z1048&lt;=5800,IF(INDEX(次果筐明细!$H$4:$H$603,$Z1048-5200)=0,"",INDEX(次果筐明细!$H$4:$H$603,$Z1048-5200)),"")))))</f>
        <v/>
      </c>
      <c r="S1048" s="22" t="str">
        <f t="shared" si="50"/>
        <v/>
      </c>
      <c r="Z1048" s="10" t="str">
        <f>IFERROR(MATCH(ROW()-3,_自动清单!$CQ$4:$CQ$5803,0),"")</f>
        <v/>
      </c>
    </row>
    <row r="1049" spans="1:26">
      <c r="A1049" s="24" t="str">
        <f t="shared" si="48"/>
        <v/>
      </c>
      <c r="B1049" s="38" t="str">
        <f>IF($Z1049="","",IF($Z1049&lt;=2000,IF(INDEX(包装物料出入库明细!$B$4:$B$2003,$Z1049-0)=0,"",INDEX(包装物料出入库明细!$B$4:$B$2003,$Z1049-0)),IF($Z1049&lt;=4000,IF(INDEX(周转筐出入库明细!$B$4:$B$2004,$Z1049-2000)=0,"",INDEX(周转筐出入库明细!$B$4:$B$2004,$Z1049-2000)),IF($Z1049&lt;=5200,IF(INDEX(客户自备加工筐明细!$B$4:$B$1203,$Z1049-4000)=0,"",INDEX(客户自备加工筐明细!$B$4:$B$1203,$Z1049-4000)),IF($Z1049&lt;=5800,IF(INDEX(次果筐明细!$B$4:$B$603,$Z1049-5200)=0,"",INDEX(次果筐明细!$B$4:$B$603,$Z1049-5200)),"")))))</f>
        <v/>
      </c>
      <c r="C1049" s="37" t="str">
        <f>IF($Z1049="","",IF($Z1049&lt;=2000,IF(INDEX(包装物料出入库明细!$D$4:$D$2003,$Z1049-0)=0,"",INDEX(包装物料出入库明细!$D$4:$D$2003,$Z1049-0)),IF($Z1049&lt;=4000,IF(INDEX(周转筐出入库明细!$C$4:$C$2004,$Z1049-2000)=0,"",INDEX(周转筐出入库明细!$C$4:$C$2004,$Z1049-2000)),IF($Z1049&lt;=5200,IF(INDEX(客户自备加工筐明细!$E$4:$E$1203,$Z1049-4000)=0,"",INDEX(客户自备加工筐明细!$E$4:$E$1203,$Z1049-4000)),IF($Z1049&lt;=5800,IF(INDEX(次果筐明细!$C$4:$C$603,$Z1049-5200)=0,"",INDEX(次果筐明细!$C$4:$C$603,$Z1049-5200)),"")))))</f>
        <v/>
      </c>
      <c r="D1049" s="37" t="str">
        <f>IF($Z1049="","",IF($Z1049&lt;=2000,"包装物料－"&amp;INDEX(包装物料出入库明细!$H$4:$H$2003,$Z1049-0),IF($Z1049&lt;=4000,"周转筐－"&amp;INDEX(周转筐出入库明细!$F$4:$F$2004,$Z1049-2000),IF($Z1049&lt;=5200,"客户自备筐－"&amp;INDEX(客户自备加工筐明细!$J$4:$J$1203,$Z1049-4000),IF($Z1049&lt;=5800,"次果筐/托盘－"&amp;INDEX(次果筐明细!$F$4:$F$603,$Z1049-5200),"")))))</f>
        <v/>
      </c>
      <c r="E1049" s="24" t="str">
        <f>IF($Z1049="","",IF($Z1049&lt;=2000,IF(INDEX(包装物料出入库明细!$C$4:$C$2003,$Z1049-0)=0,"",INDEX(包装物料出入库明细!$C$4:$C$2003,$Z1049-0)),IF($Z1049&lt;=4000,IF(INDEX(周转筐出入库明细!$E$4:$E$2004,$Z1049-2000)=0,"",INDEX(周转筐出入库明细!$E$4:$E$2004,$Z1049-2000)),IF($Z1049&lt;=5200,IF(INDEX(客户自备加工筐明细!$D$4:$D$1203,$Z1049-4000)=0,"",INDEX(客户自备加工筐明细!$D$4:$D$1203,$Z1049-4000)),IF($Z1049&lt;=5800,IF(INDEX(次果筐明细!$E$4:$E$603,$Z1049-5200)=0,"",INDEX(次果筐明细!$E$4:$E$603,$Z1049-5200)),"")))))</f>
        <v/>
      </c>
      <c r="F1049" s="24" t="str">
        <f>IF($Z1049="","",IF($Z1049&lt;=2000,IF(INDEX(包装物料出入库明细!$E$4:$E$2003,$Z1049-0)=0,"",INDEX(包装物料出入库明细!$E$4:$E$2003,$Z1049-0)),IF($Z1049&lt;=4000,IF(INDEX(周转筐出入库明细!$D$4:$D$2004,$Z1049-2000)=0,"",INDEX(周转筐出入库明细!$D$4:$D$2004,$Z1049-2000)),IF($Z1049&lt;=5200,IF(INDEX(客户自备加工筐明细!$C$4:$C$1203,$Z1049-4000)=0,"",INDEX(客户自备加工筐明细!$C$4:$C$1203,$Z1049-4000)),IF($Z1049&lt;=5800,IF(INDEX(次果筐明细!$D$4:$D$603,$Z1049-5200)=0,"",INDEX(次果筐明细!$D$4:$D$603,$Z1049-5200)),"")))))</f>
        <v/>
      </c>
      <c r="G1049" s="24" t="str">
        <f>IF($Z1049="","",IF($Z1049&lt;=2000,IF(INDEX(包装物料出入库明细!$F$4:$F$2003,$Z1049-0)=0,"",INDEX(包装物料出入库明细!$F$4:$F$2003,$Z1049-0)),IF($Z1049&lt;=4000,"",IF($Z1049&lt;=5200,"",IF($Z1049&lt;=5800,"","")))))</f>
        <v/>
      </c>
      <c r="H1049" s="39" t="str">
        <f>IF($Z1049="","",IF($Z1049&lt;=2000,IF(INDEX(包装物料出入库明细!$L$4:$L$2003,$Z1049-0)=0,"",INDEX(包装物料出入库明细!$L$4:$L$2003,$Z1049-0)),IF($Z1049&lt;=4000,N(INDEX(周转筐出入库明细!$H$4:$H$2004,$Z1049-2000))+N(INDEX(周转筐出入库明细!$I$4:$I$2004,$Z1049-2000))+N(INDEX(周转筐出入库明细!$J$4:$J$2004,$Z1049-2000))+N(INDEX(周转筐出入库明细!$K$4:$K$2004,$Z1049-2000)),IF($Z1049&lt;=5200,N(INDEX(客户自备加工筐明细!$F$4:$F$1203,$Z1049-4000))+N(INDEX(客户自备加工筐明细!$G$4:$G$1203,$Z1049-4000)),IF($Z1049&lt;=5800,IF(INDEX(次果筐明细!$G$4:$G$603,$Z1049-5200)=0,"",INDEX(次果筐明细!$G$4:$G$603,$Z1049-5200)),"")))))</f>
        <v/>
      </c>
      <c r="I1049" s="24" t="str">
        <f>IF($Z1049="","",IF($Z1049&lt;=2000,IF(INDEX(包装物料出入库明细!$G$4:$G$2003,$Z1049-0)=0,"",INDEX(包装物料出入库明细!$G$4:$G$2003,$Z1049-0)),IF($Z1049&lt;=4000,"个",IF($Z1049&lt;=5200,"个",IF($Z1049&lt;=5800,"个","")))))</f>
        <v/>
      </c>
      <c r="J1049" s="30" t="str">
        <f t="shared" si="49"/>
        <v/>
      </c>
      <c r="K1049" s="30" t="str">
        <f>IF($Z1049="","",IF($Z1049&lt;=2000,IF(INDEX(包装物料出入库明细!$N$4:$N$2003,$Z1049-0)=0,"",INDEX(包装物料出入库明细!$N$4:$N$2003,$Z1049-0)),IF($Z1049&lt;=4000,IF(INDEX(周转筐出入库明细!$P$4:$P$2004,$Z1049-2000)=0,"",INDEX(周转筐出入库明细!$P$4:$P$2004,$Z1049-2000)),IF($Z1049&lt;=5200,"",IF($Z1049&lt;=5800,N(INDEX(次果筐明细!$L$4:$L$603,$Z1049-5200))+N(INDEX(次果筐明细!$J$4:$J$603,$Z1049-5200)),"")))))</f>
        <v/>
      </c>
      <c r="L1049" s="24" t="str">
        <f>IF($Z1049="","",IF($Z1049&lt;=2000,IF(INDEX(包装物料出入库明细!$P$4:$P$2003,$Z1049-0)=0,"",INDEX(包装物料出入库明细!$P$4:$P$2003,$Z1049-0)),IF($Z1049&lt;=4000,IF(INDEX(周转筐出入库明细!$Q$4:$Q$2004,$Z1049-2000)=0,"",INDEX(周转筐出入库明细!$Q$4:$Q$2004,$Z1049-2000)),IF($Z1049&lt;=5200,"",IF($Z1049&lt;=5800,IF(INDEX(次果筐明细!$M$4:$M$603,$Z1049-5200)=0,"",INDEX(次果筐明细!$M$4:$M$603,$Z1049-5200)),"")))))</f>
        <v/>
      </c>
      <c r="M1049" s="37" t="str">
        <f>IF($Z1049="","",IF($Z1049&lt;=2000,IF(INDEX(包装物料出入库明细!$R$4:$R$2003,$Z1049-0)=0,"",INDEX(包装物料出入库明细!$R$4:$R$2003,$Z1049-0)),IF($Z1049&lt;=4000,IF(INDEX(周转筐出入库明细!$W$4:$W$2004,$Z1049-2000)=0,"",INDEX(周转筐出入库明细!$W$4:$W$2004,$Z1049-2000)),IF($Z1049&lt;=5200,IF(INDEX(客户自备加工筐明细!$L$4:$L$1203,$Z1049-4000)=0,"",INDEX(客户自备加工筐明细!$L$4:$L$1203,$Z1049-4000)),IF($Z1049&lt;=5800,IF(INDEX(次果筐明细!$P$4:$P$603,$Z1049-5200)=0,"",INDEX(次果筐明细!$P$4:$P$603,$Z1049-5200)),"")))))</f>
        <v/>
      </c>
      <c r="N1049" s="16" t="str">
        <f>IF($Z1049="","",IF($Z1049&lt;=2000,"",IF($Z1049&lt;=4000,IF(INDEX(周转筐出入库明细!$D$4:$D$2004,$Z1049-2000)=0,"",INDEX(周转筐出入库明细!$D$4:$D$2004,$Z1049-2000)),IF($Z1049&lt;=5200,IF(INDEX(客户自备加工筐明细!$C$4:$C$1203,$Z1049-4000)=0,"",INDEX(客户自备加工筐明细!$C$4:$C$1203,$Z1049-4000)),IF($Z1049&lt;=5800,IF(INDEX(次果筐明细!$D$4:$D$603,$Z1049-5200)=0,"",INDEX(次果筐明细!$D$4:$D$603,$Z1049-5200)),"")))))</f>
        <v/>
      </c>
      <c r="O1049" s="40" t="str">
        <f>IF($Z1049="","",IF($Z1049&lt;=2000,"",IF($Z1049&lt;=4000,IF(N(INDEX(周转筐出入库明细!$J$4:$J$2004,$Z1049-2000))+N(INDEX(周转筐出入库明细!$K$4:$K$2004,$Z1049-2000))=0,"",N(INDEX(周转筐出入库明细!$J$4:$J$2004,$Z1049-2000))+N(INDEX(周转筐出入库明细!$K$4:$K$2004,$Z1049-2000))),IF($Z1049&lt;=5200,IF(N(INDEX(客户自备加工筐明细!$G$4:$G$1203,$Z1049-4000))=0,"",N(INDEX(客户自备加工筐明细!$G$4:$G$1203,$Z1049-4000))),IF($Z1049&lt;=5800,IF(ISNUMBER(SEARCH("退",INDEX(次果筐明细!$F$4:$F$603,$Z1049-5200)&amp;"")),"",IF(N(INDEX(次果筐明细!$G$4:$G$603,$Z1049-5200))=0,"",N(INDEX(次果筐明细!$G$4:$G$603,$Z1049-5200)))),"")))))</f>
        <v/>
      </c>
      <c r="P1049" s="40" t="str">
        <f>IF($Z1049="","",IF($Z1049&lt;=2000,"",IF($Z1049&lt;=4000,IF(N(INDEX(周转筐出入库明细!$I$4:$I$2004,$Z1049-2000))=0,"",N(INDEX(周转筐出入库明细!$I$4:$I$2004,$Z1049-2000))),IF($Z1049&lt;=5200,"",IF($Z1049&lt;=5800,IF(ISNUMBER(SEARCH("退",INDEX(次果筐明细!$F$4:$F$603,$Z1049-5200)&amp;"")),IF(N(INDEX(次果筐明细!$G$4:$G$603,$Z1049-5200))=0,"",N(INDEX(次果筐明细!$G$4:$G$603,$Z1049-5200))),""),"")))))</f>
        <v/>
      </c>
      <c r="Q1049" s="40" t="str">
        <f>IF($Z1049="","",IF($Z1049&lt;=2000,"",IF($Z1049&lt;=4000,IF(N(INDEX(周转筐出入库明细!$H$4:$H$2004,$Z1049-2000))=0,"",N(INDEX(周转筐出入库明细!$H$4:$H$2004,$Z1049-2000))),IF($Z1049&lt;=5200,IF(N(INDEX(客户自备加工筐明细!$F$4:$F$1203,$Z1049-4000))=0,"",N(INDEX(客户自备加工筐明细!$F$4:$F$1203,$Z1049-4000))),IF($Z1049&lt;=5800,"","")))))</f>
        <v/>
      </c>
      <c r="R1049" s="16" t="str">
        <f>IF($Z1049="","",IF($Z1049&lt;=2000,IF(INDEX(包装物料出入库明细!$O$4:$O$2003,$Z1049-0)=0,"",INDEX(包装物料出入库明细!$O$4:$O$2003,$Z1049-0)),IF($Z1049&lt;=4000,IF(INDEX(周转筐出入库明细!$M$4:$M$2004,$Z1049-2000)=0,"",INDEX(周转筐出入库明细!$M$4:$M$2004,$Z1049-2000)),IF($Z1049&lt;=5200,IF(INDEX(客户自备加工筐明细!$H$4:$H$1203,$Z1049-4000)=0,"",INDEX(客户自备加工筐明细!$H$4:$H$1203,$Z1049-4000)),IF($Z1049&lt;=5800,IF(INDEX(次果筐明细!$H$4:$H$603,$Z1049-5200)=0,"",INDEX(次果筐明细!$H$4:$H$603,$Z1049-5200)),"")))))</f>
        <v/>
      </c>
      <c r="S1049" s="22" t="str">
        <f t="shared" si="50"/>
        <v/>
      </c>
      <c r="Z1049" s="10" t="str">
        <f>IFERROR(MATCH(ROW()-3,_自动清单!$CQ$4:$CQ$5803,0),"")</f>
        <v/>
      </c>
    </row>
    <row r="1050" spans="1:26">
      <c r="A1050" s="24" t="str">
        <f t="shared" si="48"/>
        <v/>
      </c>
      <c r="B1050" s="38" t="str">
        <f>IF($Z1050="","",IF($Z1050&lt;=2000,IF(INDEX(包装物料出入库明细!$B$4:$B$2003,$Z1050-0)=0,"",INDEX(包装物料出入库明细!$B$4:$B$2003,$Z1050-0)),IF($Z1050&lt;=4000,IF(INDEX(周转筐出入库明细!$B$4:$B$2004,$Z1050-2000)=0,"",INDEX(周转筐出入库明细!$B$4:$B$2004,$Z1050-2000)),IF($Z1050&lt;=5200,IF(INDEX(客户自备加工筐明细!$B$4:$B$1203,$Z1050-4000)=0,"",INDEX(客户自备加工筐明细!$B$4:$B$1203,$Z1050-4000)),IF($Z1050&lt;=5800,IF(INDEX(次果筐明细!$B$4:$B$603,$Z1050-5200)=0,"",INDEX(次果筐明细!$B$4:$B$603,$Z1050-5200)),"")))))</f>
        <v/>
      </c>
      <c r="C1050" s="37" t="str">
        <f>IF($Z1050="","",IF($Z1050&lt;=2000,IF(INDEX(包装物料出入库明细!$D$4:$D$2003,$Z1050-0)=0,"",INDEX(包装物料出入库明细!$D$4:$D$2003,$Z1050-0)),IF($Z1050&lt;=4000,IF(INDEX(周转筐出入库明细!$C$4:$C$2004,$Z1050-2000)=0,"",INDEX(周转筐出入库明细!$C$4:$C$2004,$Z1050-2000)),IF($Z1050&lt;=5200,IF(INDEX(客户自备加工筐明细!$E$4:$E$1203,$Z1050-4000)=0,"",INDEX(客户自备加工筐明细!$E$4:$E$1203,$Z1050-4000)),IF($Z1050&lt;=5800,IF(INDEX(次果筐明细!$C$4:$C$603,$Z1050-5200)=0,"",INDEX(次果筐明细!$C$4:$C$603,$Z1050-5200)),"")))))</f>
        <v/>
      </c>
      <c r="D1050" s="37" t="str">
        <f>IF($Z1050="","",IF($Z1050&lt;=2000,"包装物料－"&amp;INDEX(包装物料出入库明细!$H$4:$H$2003,$Z1050-0),IF($Z1050&lt;=4000,"周转筐－"&amp;INDEX(周转筐出入库明细!$F$4:$F$2004,$Z1050-2000),IF($Z1050&lt;=5200,"客户自备筐－"&amp;INDEX(客户自备加工筐明细!$J$4:$J$1203,$Z1050-4000),IF($Z1050&lt;=5800,"次果筐/托盘－"&amp;INDEX(次果筐明细!$F$4:$F$603,$Z1050-5200),"")))))</f>
        <v/>
      </c>
      <c r="E1050" s="24" t="str">
        <f>IF($Z1050="","",IF($Z1050&lt;=2000,IF(INDEX(包装物料出入库明细!$C$4:$C$2003,$Z1050-0)=0,"",INDEX(包装物料出入库明细!$C$4:$C$2003,$Z1050-0)),IF($Z1050&lt;=4000,IF(INDEX(周转筐出入库明细!$E$4:$E$2004,$Z1050-2000)=0,"",INDEX(周转筐出入库明细!$E$4:$E$2004,$Z1050-2000)),IF($Z1050&lt;=5200,IF(INDEX(客户自备加工筐明细!$D$4:$D$1203,$Z1050-4000)=0,"",INDEX(客户自备加工筐明细!$D$4:$D$1203,$Z1050-4000)),IF($Z1050&lt;=5800,IF(INDEX(次果筐明细!$E$4:$E$603,$Z1050-5200)=0,"",INDEX(次果筐明细!$E$4:$E$603,$Z1050-5200)),"")))))</f>
        <v/>
      </c>
      <c r="F1050" s="24" t="str">
        <f>IF($Z1050="","",IF($Z1050&lt;=2000,IF(INDEX(包装物料出入库明细!$E$4:$E$2003,$Z1050-0)=0,"",INDEX(包装物料出入库明细!$E$4:$E$2003,$Z1050-0)),IF($Z1050&lt;=4000,IF(INDEX(周转筐出入库明细!$D$4:$D$2004,$Z1050-2000)=0,"",INDEX(周转筐出入库明细!$D$4:$D$2004,$Z1050-2000)),IF($Z1050&lt;=5200,IF(INDEX(客户自备加工筐明细!$C$4:$C$1203,$Z1050-4000)=0,"",INDEX(客户自备加工筐明细!$C$4:$C$1203,$Z1050-4000)),IF($Z1050&lt;=5800,IF(INDEX(次果筐明细!$D$4:$D$603,$Z1050-5200)=0,"",INDEX(次果筐明细!$D$4:$D$603,$Z1050-5200)),"")))))</f>
        <v/>
      </c>
      <c r="G1050" s="24" t="str">
        <f>IF($Z1050="","",IF($Z1050&lt;=2000,IF(INDEX(包装物料出入库明细!$F$4:$F$2003,$Z1050-0)=0,"",INDEX(包装物料出入库明细!$F$4:$F$2003,$Z1050-0)),IF($Z1050&lt;=4000,"",IF($Z1050&lt;=5200,"",IF($Z1050&lt;=5800,"","")))))</f>
        <v/>
      </c>
      <c r="H1050" s="39" t="str">
        <f>IF($Z1050="","",IF($Z1050&lt;=2000,IF(INDEX(包装物料出入库明细!$L$4:$L$2003,$Z1050-0)=0,"",INDEX(包装物料出入库明细!$L$4:$L$2003,$Z1050-0)),IF($Z1050&lt;=4000,N(INDEX(周转筐出入库明细!$H$4:$H$2004,$Z1050-2000))+N(INDEX(周转筐出入库明细!$I$4:$I$2004,$Z1050-2000))+N(INDEX(周转筐出入库明细!$J$4:$J$2004,$Z1050-2000))+N(INDEX(周转筐出入库明细!$K$4:$K$2004,$Z1050-2000)),IF($Z1050&lt;=5200,N(INDEX(客户自备加工筐明细!$F$4:$F$1203,$Z1050-4000))+N(INDEX(客户自备加工筐明细!$G$4:$G$1203,$Z1050-4000)),IF($Z1050&lt;=5800,IF(INDEX(次果筐明细!$G$4:$G$603,$Z1050-5200)=0,"",INDEX(次果筐明细!$G$4:$G$603,$Z1050-5200)),"")))))</f>
        <v/>
      </c>
      <c r="I1050" s="24" t="str">
        <f>IF($Z1050="","",IF($Z1050&lt;=2000,IF(INDEX(包装物料出入库明细!$G$4:$G$2003,$Z1050-0)=0,"",INDEX(包装物料出入库明细!$G$4:$G$2003,$Z1050-0)),IF($Z1050&lt;=4000,"个",IF($Z1050&lt;=5200,"个",IF($Z1050&lt;=5800,"个","")))))</f>
        <v/>
      </c>
      <c r="J1050" s="30" t="str">
        <f t="shared" si="49"/>
        <v/>
      </c>
      <c r="K1050" s="30" t="str">
        <f>IF($Z1050="","",IF($Z1050&lt;=2000,IF(INDEX(包装物料出入库明细!$N$4:$N$2003,$Z1050-0)=0,"",INDEX(包装物料出入库明细!$N$4:$N$2003,$Z1050-0)),IF($Z1050&lt;=4000,IF(INDEX(周转筐出入库明细!$P$4:$P$2004,$Z1050-2000)=0,"",INDEX(周转筐出入库明细!$P$4:$P$2004,$Z1050-2000)),IF($Z1050&lt;=5200,"",IF($Z1050&lt;=5800,N(INDEX(次果筐明细!$L$4:$L$603,$Z1050-5200))+N(INDEX(次果筐明细!$J$4:$J$603,$Z1050-5200)),"")))))</f>
        <v/>
      </c>
      <c r="L1050" s="24" t="str">
        <f>IF($Z1050="","",IF($Z1050&lt;=2000,IF(INDEX(包装物料出入库明细!$P$4:$P$2003,$Z1050-0)=0,"",INDEX(包装物料出入库明细!$P$4:$P$2003,$Z1050-0)),IF($Z1050&lt;=4000,IF(INDEX(周转筐出入库明细!$Q$4:$Q$2004,$Z1050-2000)=0,"",INDEX(周转筐出入库明细!$Q$4:$Q$2004,$Z1050-2000)),IF($Z1050&lt;=5200,"",IF($Z1050&lt;=5800,IF(INDEX(次果筐明细!$M$4:$M$603,$Z1050-5200)=0,"",INDEX(次果筐明细!$M$4:$M$603,$Z1050-5200)),"")))))</f>
        <v/>
      </c>
      <c r="M1050" s="37" t="str">
        <f>IF($Z1050="","",IF($Z1050&lt;=2000,IF(INDEX(包装物料出入库明细!$R$4:$R$2003,$Z1050-0)=0,"",INDEX(包装物料出入库明细!$R$4:$R$2003,$Z1050-0)),IF($Z1050&lt;=4000,IF(INDEX(周转筐出入库明细!$W$4:$W$2004,$Z1050-2000)=0,"",INDEX(周转筐出入库明细!$W$4:$W$2004,$Z1050-2000)),IF($Z1050&lt;=5200,IF(INDEX(客户自备加工筐明细!$L$4:$L$1203,$Z1050-4000)=0,"",INDEX(客户自备加工筐明细!$L$4:$L$1203,$Z1050-4000)),IF($Z1050&lt;=5800,IF(INDEX(次果筐明细!$P$4:$P$603,$Z1050-5200)=0,"",INDEX(次果筐明细!$P$4:$P$603,$Z1050-5200)),"")))))</f>
        <v/>
      </c>
      <c r="N1050" s="16" t="str">
        <f>IF($Z1050="","",IF($Z1050&lt;=2000,"",IF($Z1050&lt;=4000,IF(INDEX(周转筐出入库明细!$D$4:$D$2004,$Z1050-2000)=0,"",INDEX(周转筐出入库明细!$D$4:$D$2004,$Z1050-2000)),IF($Z1050&lt;=5200,IF(INDEX(客户自备加工筐明细!$C$4:$C$1203,$Z1050-4000)=0,"",INDEX(客户自备加工筐明细!$C$4:$C$1203,$Z1050-4000)),IF($Z1050&lt;=5800,IF(INDEX(次果筐明细!$D$4:$D$603,$Z1050-5200)=0,"",INDEX(次果筐明细!$D$4:$D$603,$Z1050-5200)),"")))))</f>
        <v/>
      </c>
      <c r="O1050" s="40" t="str">
        <f>IF($Z1050="","",IF($Z1050&lt;=2000,"",IF($Z1050&lt;=4000,IF(N(INDEX(周转筐出入库明细!$J$4:$J$2004,$Z1050-2000))+N(INDEX(周转筐出入库明细!$K$4:$K$2004,$Z1050-2000))=0,"",N(INDEX(周转筐出入库明细!$J$4:$J$2004,$Z1050-2000))+N(INDEX(周转筐出入库明细!$K$4:$K$2004,$Z1050-2000))),IF($Z1050&lt;=5200,IF(N(INDEX(客户自备加工筐明细!$G$4:$G$1203,$Z1050-4000))=0,"",N(INDEX(客户自备加工筐明细!$G$4:$G$1203,$Z1050-4000))),IF($Z1050&lt;=5800,IF(ISNUMBER(SEARCH("退",INDEX(次果筐明细!$F$4:$F$603,$Z1050-5200)&amp;"")),"",IF(N(INDEX(次果筐明细!$G$4:$G$603,$Z1050-5200))=0,"",N(INDEX(次果筐明细!$G$4:$G$603,$Z1050-5200)))),"")))))</f>
        <v/>
      </c>
      <c r="P1050" s="40" t="str">
        <f>IF($Z1050="","",IF($Z1050&lt;=2000,"",IF($Z1050&lt;=4000,IF(N(INDEX(周转筐出入库明细!$I$4:$I$2004,$Z1050-2000))=0,"",N(INDEX(周转筐出入库明细!$I$4:$I$2004,$Z1050-2000))),IF($Z1050&lt;=5200,"",IF($Z1050&lt;=5800,IF(ISNUMBER(SEARCH("退",INDEX(次果筐明细!$F$4:$F$603,$Z1050-5200)&amp;"")),IF(N(INDEX(次果筐明细!$G$4:$G$603,$Z1050-5200))=0,"",N(INDEX(次果筐明细!$G$4:$G$603,$Z1050-5200))),""),"")))))</f>
        <v/>
      </c>
      <c r="Q1050" s="40" t="str">
        <f>IF($Z1050="","",IF($Z1050&lt;=2000,"",IF($Z1050&lt;=4000,IF(N(INDEX(周转筐出入库明细!$H$4:$H$2004,$Z1050-2000))=0,"",N(INDEX(周转筐出入库明细!$H$4:$H$2004,$Z1050-2000))),IF($Z1050&lt;=5200,IF(N(INDEX(客户自备加工筐明细!$F$4:$F$1203,$Z1050-4000))=0,"",N(INDEX(客户自备加工筐明细!$F$4:$F$1203,$Z1050-4000))),IF($Z1050&lt;=5800,"","")))))</f>
        <v/>
      </c>
      <c r="R1050" s="16" t="str">
        <f>IF($Z1050="","",IF($Z1050&lt;=2000,IF(INDEX(包装物料出入库明细!$O$4:$O$2003,$Z1050-0)=0,"",INDEX(包装物料出入库明细!$O$4:$O$2003,$Z1050-0)),IF($Z1050&lt;=4000,IF(INDEX(周转筐出入库明细!$M$4:$M$2004,$Z1050-2000)=0,"",INDEX(周转筐出入库明细!$M$4:$M$2004,$Z1050-2000)),IF($Z1050&lt;=5200,IF(INDEX(客户自备加工筐明细!$H$4:$H$1203,$Z1050-4000)=0,"",INDEX(客户自备加工筐明细!$H$4:$H$1203,$Z1050-4000)),IF($Z1050&lt;=5800,IF(INDEX(次果筐明细!$H$4:$H$603,$Z1050-5200)=0,"",INDEX(次果筐明细!$H$4:$H$603,$Z1050-5200)),"")))))</f>
        <v/>
      </c>
      <c r="S1050" s="22" t="str">
        <f t="shared" si="50"/>
        <v/>
      </c>
      <c r="Z1050" s="10" t="str">
        <f>IFERROR(MATCH(ROW()-3,_自动清单!$CQ$4:$CQ$5803,0),"")</f>
        <v/>
      </c>
    </row>
    <row r="1051" spans="1:26">
      <c r="A1051" s="24" t="str">
        <f t="shared" si="48"/>
        <v/>
      </c>
      <c r="B1051" s="38" t="str">
        <f>IF($Z1051="","",IF($Z1051&lt;=2000,IF(INDEX(包装物料出入库明细!$B$4:$B$2003,$Z1051-0)=0,"",INDEX(包装物料出入库明细!$B$4:$B$2003,$Z1051-0)),IF($Z1051&lt;=4000,IF(INDEX(周转筐出入库明细!$B$4:$B$2004,$Z1051-2000)=0,"",INDEX(周转筐出入库明细!$B$4:$B$2004,$Z1051-2000)),IF($Z1051&lt;=5200,IF(INDEX(客户自备加工筐明细!$B$4:$B$1203,$Z1051-4000)=0,"",INDEX(客户自备加工筐明细!$B$4:$B$1203,$Z1051-4000)),IF($Z1051&lt;=5800,IF(INDEX(次果筐明细!$B$4:$B$603,$Z1051-5200)=0,"",INDEX(次果筐明细!$B$4:$B$603,$Z1051-5200)),"")))))</f>
        <v/>
      </c>
      <c r="C1051" s="37" t="str">
        <f>IF($Z1051="","",IF($Z1051&lt;=2000,IF(INDEX(包装物料出入库明细!$D$4:$D$2003,$Z1051-0)=0,"",INDEX(包装物料出入库明细!$D$4:$D$2003,$Z1051-0)),IF($Z1051&lt;=4000,IF(INDEX(周转筐出入库明细!$C$4:$C$2004,$Z1051-2000)=0,"",INDEX(周转筐出入库明细!$C$4:$C$2004,$Z1051-2000)),IF($Z1051&lt;=5200,IF(INDEX(客户自备加工筐明细!$E$4:$E$1203,$Z1051-4000)=0,"",INDEX(客户自备加工筐明细!$E$4:$E$1203,$Z1051-4000)),IF($Z1051&lt;=5800,IF(INDEX(次果筐明细!$C$4:$C$603,$Z1051-5200)=0,"",INDEX(次果筐明细!$C$4:$C$603,$Z1051-5200)),"")))))</f>
        <v/>
      </c>
      <c r="D1051" s="37" t="str">
        <f>IF($Z1051="","",IF($Z1051&lt;=2000,"包装物料－"&amp;INDEX(包装物料出入库明细!$H$4:$H$2003,$Z1051-0),IF($Z1051&lt;=4000,"周转筐－"&amp;INDEX(周转筐出入库明细!$F$4:$F$2004,$Z1051-2000),IF($Z1051&lt;=5200,"客户自备筐－"&amp;INDEX(客户自备加工筐明细!$J$4:$J$1203,$Z1051-4000),IF($Z1051&lt;=5800,"次果筐/托盘－"&amp;INDEX(次果筐明细!$F$4:$F$603,$Z1051-5200),"")))))</f>
        <v/>
      </c>
      <c r="E1051" s="24" t="str">
        <f>IF($Z1051="","",IF($Z1051&lt;=2000,IF(INDEX(包装物料出入库明细!$C$4:$C$2003,$Z1051-0)=0,"",INDEX(包装物料出入库明细!$C$4:$C$2003,$Z1051-0)),IF($Z1051&lt;=4000,IF(INDEX(周转筐出入库明细!$E$4:$E$2004,$Z1051-2000)=0,"",INDEX(周转筐出入库明细!$E$4:$E$2004,$Z1051-2000)),IF($Z1051&lt;=5200,IF(INDEX(客户自备加工筐明细!$D$4:$D$1203,$Z1051-4000)=0,"",INDEX(客户自备加工筐明细!$D$4:$D$1203,$Z1051-4000)),IF($Z1051&lt;=5800,IF(INDEX(次果筐明细!$E$4:$E$603,$Z1051-5200)=0,"",INDEX(次果筐明细!$E$4:$E$603,$Z1051-5200)),"")))))</f>
        <v/>
      </c>
      <c r="F1051" s="24" t="str">
        <f>IF($Z1051="","",IF($Z1051&lt;=2000,IF(INDEX(包装物料出入库明细!$E$4:$E$2003,$Z1051-0)=0,"",INDEX(包装物料出入库明细!$E$4:$E$2003,$Z1051-0)),IF($Z1051&lt;=4000,IF(INDEX(周转筐出入库明细!$D$4:$D$2004,$Z1051-2000)=0,"",INDEX(周转筐出入库明细!$D$4:$D$2004,$Z1051-2000)),IF($Z1051&lt;=5200,IF(INDEX(客户自备加工筐明细!$C$4:$C$1203,$Z1051-4000)=0,"",INDEX(客户自备加工筐明细!$C$4:$C$1203,$Z1051-4000)),IF($Z1051&lt;=5800,IF(INDEX(次果筐明细!$D$4:$D$603,$Z1051-5200)=0,"",INDEX(次果筐明细!$D$4:$D$603,$Z1051-5200)),"")))))</f>
        <v/>
      </c>
      <c r="G1051" s="24" t="str">
        <f>IF($Z1051="","",IF($Z1051&lt;=2000,IF(INDEX(包装物料出入库明细!$F$4:$F$2003,$Z1051-0)=0,"",INDEX(包装物料出入库明细!$F$4:$F$2003,$Z1051-0)),IF($Z1051&lt;=4000,"",IF($Z1051&lt;=5200,"",IF($Z1051&lt;=5800,"","")))))</f>
        <v/>
      </c>
      <c r="H1051" s="39" t="str">
        <f>IF($Z1051="","",IF($Z1051&lt;=2000,IF(INDEX(包装物料出入库明细!$L$4:$L$2003,$Z1051-0)=0,"",INDEX(包装物料出入库明细!$L$4:$L$2003,$Z1051-0)),IF($Z1051&lt;=4000,N(INDEX(周转筐出入库明细!$H$4:$H$2004,$Z1051-2000))+N(INDEX(周转筐出入库明细!$I$4:$I$2004,$Z1051-2000))+N(INDEX(周转筐出入库明细!$J$4:$J$2004,$Z1051-2000))+N(INDEX(周转筐出入库明细!$K$4:$K$2004,$Z1051-2000)),IF($Z1051&lt;=5200,N(INDEX(客户自备加工筐明细!$F$4:$F$1203,$Z1051-4000))+N(INDEX(客户自备加工筐明细!$G$4:$G$1203,$Z1051-4000)),IF($Z1051&lt;=5800,IF(INDEX(次果筐明细!$G$4:$G$603,$Z1051-5200)=0,"",INDEX(次果筐明细!$G$4:$G$603,$Z1051-5200)),"")))))</f>
        <v/>
      </c>
      <c r="I1051" s="24" t="str">
        <f>IF($Z1051="","",IF($Z1051&lt;=2000,IF(INDEX(包装物料出入库明细!$G$4:$G$2003,$Z1051-0)=0,"",INDEX(包装物料出入库明细!$G$4:$G$2003,$Z1051-0)),IF($Z1051&lt;=4000,"个",IF($Z1051&lt;=5200,"个",IF($Z1051&lt;=5800,"个","")))))</f>
        <v/>
      </c>
      <c r="J1051" s="30" t="str">
        <f t="shared" si="49"/>
        <v/>
      </c>
      <c r="K1051" s="30" t="str">
        <f>IF($Z1051="","",IF($Z1051&lt;=2000,IF(INDEX(包装物料出入库明细!$N$4:$N$2003,$Z1051-0)=0,"",INDEX(包装物料出入库明细!$N$4:$N$2003,$Z1051-0)),IF($Z1051&lt;=4000,IF(INDEX(周转筐出入库明细!$P$4:$P$2004,$Z1051-2000)=0,"",INDEX(周转筐出入库明细!$P$4:$P$2004,$Z1051-2000)),IF($Z1051&lt;=5200,"",IF($Z1051&lt;=5800,N(INDEX(次果筐明细!$L$4:$L$603,$Z1051-5200))+N(INDEX(次果筐明细!$J$4:$J$603,$Z1051-5200)),"")))))</f>
        <v/>
      </c>
      <c r="L1051" s="24" t="str">
        <f>IF($Z1051="","",IF($Z1051&lt;=2000,IF(INDEX(包装物料出入库明细!$P$4:$P$2003,$Z1051-0)=0,"",INDEX(包装物料出入库明细!$P$4:$P$2003,$Z1051-0)),IF($Z1051&lt;=4000,IF(INDEX(周转筐出入库明细!$Q$4:$Q$2004,$Z1051-2000)=0,"",INDEX(周转筐出入库明细!$Q$4:$Q$2004,$Z1051-2000)),IF($Z1051&lt;=5200,"",IF($Z1051&lt;=5800,IF(INDEX(次果筐明细!$M$4:$M$603,$Z1051-5200)=0,"",INDEX(次果筐明细!$M$4:$M$603,$Z1051-5200)),"")))))</f>
        <v/>
      </c>
      <c r="M1051" s="37" t="str">
        <f>IF($Z1051="","",IF($Z1051&lt;=2000,IF(INDEX(包装物料出入库明细!$R$4:$R$2003,$Z1051-0)=0,"",INDEX(包装物料出入库明细!$R$4:$R$2003,$Z1051-0)),IF($Z1051&lt;=4000,IF(INDEX(周转筐出入库明细!$W$4:$W$2004,$Z1051-2000)=0,"",INDEX(周转筐出入库明细!$W$4:$W$2004,$Z1051-2000)),IF($Z1051&lt;=5200,IF(INDEX(客户自备加工筐明细!$L$4:$L$1203,$Z1051-4000)=0,"",INDEX(客户自备加工筐明细!$L$4:$L$1203,$Z1051-4000)),IF($Z1051&lt;=5800,IF(INDEX(次果筐明细!$P$4:$P$603,$Z1051-5200)=0,"",INDEX(次果筐明细!$P$4:$P$603,$Z1051-5200)),"")))))</f>
        <v/>
      </c>
      <c r="N1051" s="16" t="str">
        <f>IF($Z1051="","",IF($Z1051&lt;=2000,"",IF($Z1051&lt;=4000,IF(INDEX(周转筐出入库明细!$D$4:$D$2004,$Z1051-2000)=0,"",INDEX(周转筐出入库明细!$D$4:$D$2004,$Z1051-2000)),IF($Z1051&lt;=5200,IF(INDEX(客户自备加工筐明细!$C$4:$C$1203,$Z1051-4000)=0,"",INDEX(客户自备加工筐明细!$C$4:$C$1203,$Z1051-4000)),IF($Z1051&lt;=5800,IF(INDEX(次果筐明细!$D$4:$D$603,$Z1051-5200)=0,"",INDEX(次果筐明细!$D$4:$D$603,$Z1051-5200)),"")))))</f>
        <v/>
      </c>
      <c r="O1051" s="40" t="str">
        <f>IF($Z1051="","",IF($Z1051&lt;=2000,"",IF($Z1051&lt;=4000,IF(N(INDEX(周转筐出入库明细!$J$4:$J$2004,$Z1051-2000))+N(INDEX(周转筐出入库明细!$K$4:$K$2004,$Z1051-2000))=0,"",N(INDEX(周转筐出入库明细!$J$4:$J$2004,$Z1051-2000))+N(INDEX(周转筐出入库明细!$K$4:$K$2004,$Z1051-2000))),IF($Z1051&lt;=5200,IF(N(INDEX(客户自备加工筐明细!$G$4:$G$1203,$Z1051-4000))=0,"",N(INDEX(客户自备加工筐明细!$G$4:$G$1203,$Z1051-4000))),IF($Z1051&lt;=5800,IF(ISNUMBER(SEARCH("退",INDEX(次果筐明细!$F$4:$F$603,$Z1051-5200)&amp;"")),"",IF(N(INDEX(次果筐明细!$G$4:$G$603,$Z1051-5200))=0,"",N(INDEX(次果筐明细!$G$4:$G$603,$Z1051-5200)))),"")))))</f>
        <v/>
      </c>
      <c r="P1051" s="40" t="str">
        <f>IF($Z1051="","",IF($Z1051&lt;=2000,"",IF($Z1051&lt;=4000,IF(N(INDEX(周转筐出入库明细!$I$4:$I$2004,$Z1051-2000))=0,"",N(INDEX(周转筐出入库明细!$I$4:$I$2004,$Z1051-2000))),IF($Z1051&lt;=5200,"",IF($Z1051&lt;=5800,IF(ISNUMBER(SEARCH("退",INDEX(次果筐明细!$F$4:$F$603,$Z1051-5200)&amp;"")),IF(N(INDEX(次果筐明细!$G$4:$G$603,$Z1051-5200))=0,"",N(INDEX(次果筐明细!$G$4:$G$603,$Z1051-5200))),""),"")))))</f>
        <v/>
      </c>
      <c r="Q1051" s="40" t="str">
        <f>IF($Z1051="","",IF($Z1051&lt;=2000,"",IF($Z1051&lt;=4000,IF(N(INDEX(周转筐出入库明细!$H$4:$H$2004,$Z1051-2000))=0,"",N(INDEX(周转筐出入库明细!$H$4:$H$2004,$Z1051-2000))),IF($Z1051&lt;=5200,IF(N(INDEX(客户自备加工筐明细!$F$4:$F$1203,$Z1051-4000))=0,"",N(INDEX(客户自备加工筐明细!$F$4:$F$1203,$Z1051-4000))),IF($Z1051&lt;=5800,"","")))))</f>
        <v/>
      </c>
      <c r="R1051" s="16" t="str">
        <f>IF($Z1051="","",IF($Z1051&lt;=2000,IF(INDEX(包装物料出入库明细!$O$4:$O$2003,$Z1051-0)=0,"",INDEX(包装物料出入库明细!$O$4:$O$2003,$Z1051-0)),IF($Z1051&lt;=4000,IF(INDEX(周转筐出入库明细!$M$4:$M$2004,$Z1051-2000)=0,"",INDEX(周转筐出入库明细!$M$4:$M$2004,$Z1051-2000)),IF($Z1051&lt;=5200,IF(INDEX(客户自备加工筐明细!$H$4:$H$1203,$Z1051-4000)=0,"",INDEX(客户自备加工筐明细!$H$4:$H$1203,$Z1051-4000)),IF($Z1051&lt;=5800,IF(INDEX(次果筐明细!$H$4:$H$603,$Z1051-5200)=0,"",INDEX(次果筐明细!$H$4:$H$603,$Z1051-5200)),"")))))</f>
        <v/>
      </c>
      <c r="S1051" s="22" t="str">
        <f t="shared" si="50"/>
        <v/>
      </c>
      <c r="Z1051" s="10" t="str">
        <f>IFERROR(MATCH(ROW()-3,_自动清单!$CQ$4:$CQ$5803,0),"")</f>
        <v/>
      </c>
    </row>
    <row r="1052" spans="1:26">
      <c r="A1052" s="24" t="str">
        <f t="shared" si="48"/>
        <v/>
      </c>
      <c r="B1052" s="38" t="str">
        <f>IF($Z1052="","",IF($Z1052&lt;=2000,IF(INDEX(包装物料出入库明细!$B$4:$B$2003,$Z1052-0)=0,"",INDEX(包装物料出入库明细!$B$4:$B$2003,$Z1052-0)),IF($Z1052&lt;=4000,IF(INDEX(周转筐出入库明细!$B$4:$B$2004,$Z1052-2000)=0,"",INDEX(周转筐出入库明细!$B$4:$B$2004,$Z1052-2000)),IF($Z1052&lt;=5200,IF(INDEX(客户自备加工筐明细!$B$4:$B$1203,$Z1052-4000)=0,"",INDEX(客户自备加工筐明细!$B$4:$B$1203,$Z1052-4000)),IF($Z1052&lt;=5800,IF(INDEX(次果筐明细!$B$4:$B$603,$Z1052-5200)=0,"",INDEX(次果筐明细!$B$4:$B$603,$Z1052-5200)),"")))))</f>
        <v/>
      </c>
      <c r="C1052" s="37" t="str">
        <f>IF($Z1052="","",IF($Z1052&lt;=2000,IF(INDEX(包装物料出入库明细!$D$4:$D$2003,$Z1052-0)=0,"",INDEX(包装物料出入库明细!$D$4:$D$2003,$Z1052-0)),IF($Z1052&lt;=4000,IF(INDEX(周转筐出入库明细!$C$4:$C$2004,$Z1052-2000)=0,"",INDEX(周转筐出入库明细!$C$4:$C$2004,$Z1052-2000)),IF($Z1052&lt;=5200,IF(INDEX(客户自备加工筐明细!$E$4:$E$1203,$Z1052-4000)=0,"",INDEX(客户自备加工筐明细!$E$4:$E$1203,$Z1052-4000)),IF($Z1052&lt;=5800,IF(INDEX(次果筐明细!$C$4:$C$603,$Z1052-5200)=0,"",INDEX(次果筐明细!$C$4:$C$603,$Z1052-5200)),"")))))</f>
        <v/>
      </c>
      <c r="D1052" s="37" t="str">
        <f>IF($Z1052="","",IF($Z1052&lt;=2000,"包装物料－"&amp;INDEX(包装物料出入库明细!$H$4:$H$2003,$Z1052-0),IF($Z1052&lt;=4000,"周转筐－"&amp;INDEX(周转筐出入库明细!$F$4:$F$2004,$Z1052-2000),IF($Z1052&lt;=5200,"客户自备筐－"&amp;INDEX(客户自备加工筐明细!$J$4:$J$1203,$Z1052-4000),IF($Z1052&lt;=5800,"次果筐/托盘－"&amp;INDEX(次果筐明细!$F$4:$F$603,$Z1052-5200),"")))))</f>
        <v/>
      </c>
      <c r="E1052" s="24" t="str">
        <f>IF($Z1052="","",IF($Z1052&lt;=2000,IF(INDEX(包装物料出入库明细!$C$4:$C$2003,$Z1052-0)=0,"",INDEX(包装物料出入库明细!$C$4:$C$2003,$Z1052-0)),IF($Z1052&lt;=4000,IF(INDEX(周转筐出入库明细!$E$4:$E$2004,$Z1052-2000)=0,"",INDEX(周转筐出入库明细!$E$4:$E$2004,$Z1052-2000)),IF($Z1052&lt;=5200,IF(INDEX(客户自备加工筐明细!$D$4:$D$1203,$Z1052-4000)=0,"",INDEX(客户自备加工筐明细!$D$4:$D$1203,$Z1052-4000)),IF($Z1052&lt;=5800,IF(INDEX(次果筐明细!$E$4:$E$603,$Z1052-5200)=0,"",INDEX(次果筐明细!$E$4:$E$603,$Z1052-5200)),"")))))</f>
        <v/>
      </c>
      <c r="F1052" s="24" t="str">
        <f>IF($Z1052="","",IF($Z1052&lt;=2000,IF(INDEX(包装物料出入库明细!$E$4:$E$2003,$Z1052-0)=0,"",INDEX(包装物料出入库明细!$E$4:$E$2003,$Z1052-0)),IF($Z1052&lt;=4000,IF(INDEX(周转筐出入库明细!$D$4:$D$2004,$Z1052-2000)=0,"",INDEX(周转筐出入库明细!$D$4:$D$2004,$Z1052-2000)),IF($Z1052&lt;=5200,IF(INDEX(客户自备加工筐明细!$C$4:$C$1203,$Z1052-4000)=0,"",INDEX(客户自备加工筐明细!$C$4:$C$1203,$Z1052-4000)),IF($Z1052&lt;=5800,IF(INDEX(次果筐明细!$D$4:$D$603,$Z1052-5200)=0,"",INDEX(次果筐明细!$D$4:$D$603,$Z1052-5200)),"")))))</f>
        <v/>
      </c>
      <c r="G1052" s="24" t="str">
        <f>IF($Z1052="","",IF($Z1052&lt;=2000,IF(INDEX(包装物料出入库明细!$F$4:$F$2003,$Z1052-0)=0,"",INDEX(包装物料出入库明细!$F$4:$F$2003,$Z1052-0)),IF($Z1052&lt;=4000,"",IF($Z1052&lt;=5200,"",IF($Z1052&lt;=5800,"","")))))</f>
        <v/>
      </c>
      <c r="H1052" s="39" t="str">
        <f>IF($Z1052="","",IF($Z1052&lt;=2000,IF(INDEX(包装物料出入库明细!$L$4:$L$2003,$Z1052-0)=0,"",INDEX(包装物料出入库明细!$L$4:$L$2003,$Z1052-0)),IF($Z1052&lt;=4000,N(INDEX(周转筐出入库明细!$H$4:$H$2004,$Z1052-2000))+N(INDEX(周转筐出入库明细!$I$4:$I$2004,$Z1052-2000))+N(INDEX(周转筐出入库明细!$J$4:$J$2004,$Z1052-2000))+N(INDEX(周转筐出入库明细!$K$4:$K$2004,$Z1052-2000)),IF($Z1052&lt;=5200,N(INDEX(客户自备加工筐明细!$F$4:$F$1203,$Z1052-4000))+N(INDEX(客户自备加工筐明细!$G$4:$G$1203,$Z1052-4000)),IF($Z1052&lt;=5800,IF(INDEX(次果筐明细!$G$4:$G$603,$Z1052-5200)=0,"",INDEX(次果筐明细!$G$4:$G$603,$Z1052-5200)),"")))))</f>
        <v/>
      </c>
      <c r="I1052" s="24" t="str">
        <f>IF($Z1052="","",IF($Z1052&lt;=2000,IF(INDEX(包装物料出入库明细!$G$4:$G$2003,$Z1052-0)=0,"",INDEX(包装物料出入库明细!$G$4:$G$2003,$Z1052-0)),IF($Z1052&lt;=4000,"个",IF($Z1052&lt;=5200,"个",IF($Z1052&lt;=5800,"个","")))))</f>
        <v/>
      </c>
      <c r="J1052" s="30" t="str">
        <f t="shared" si="49"/>
        <v/>
      </c>
      <c r="K1052" s="30" t="str">
        <f>IF($Z1052="","",IF($Z1052&lt;=2000,IF(INDEX(包装物料出入库明细!$N$4:$N$2003,$Z1052-0)=0,"",INDEX(包装物料出入库明细!$N$4:$N$2003,$Z1052-0)),IF($Z1052&lt;=4000,IF(INDEX(周转筐出入库明细!$P$4:$P$2004,$Z1052-2000)=0,"",INDEX(周转筐出入库明细!$P$4:$P$2004,$Z1052-2000)),IF($Z1052&lt;=5200,"",IF($Z1052&lt;=5800,N(INDEX(次果筐明细!$L$4:$L$603,$Z1052-5200))+N(INDEX(次果筐明细!$J$4:$J$603,$Z1052-5200)),"")))))</f>
        <v/>
      </c>
      <c r="L1052" s="24" t="str">
        <f>IF($Z1052="","",IF($Z1052&lt;=2000,IF(INDEX(包装物料出入库明细!$P$4:$P$2003,$Z1052-0)=0,"",INDEX(包装物料出入库明细!$P$4:$P$2003,$Z1052-0)),IF($Z1052&lt;=4000,IF(INDEX(周转筐出入库明细!$Q$4:$Q$2004,$Z1052-2000)=0,"",INDEX(周转筐出入库明细!$Q$4:$Q$2004,$Z1052-2000)),IF($Z1052&lt;=5200,"",IF($Z1052&lt;=5800,IF(INDEX(次果筐明细!$M$4:$M$603,$Z1052-5200)=0,"",INDEX(次果筐明细!$M$4:$M$603,$Z1052-5200)),"")))))</f>
        <v/>
      </c>
      <c r="M1052" s="37" t="str">
        <f>IF($Z1052="","",IF($Z1052&lt;=2000,IF(INDEX(包装物料出入库明细!$R$4:$R$2003,$Z1052-0)=0,"",INDEX(包装物料出入库明细!$R$4:$R$2003,$Z1052-0)),IF($Z1052&lt;=4000,IF(INDEX(周转筐出入库明细!$W$4:$W$2004,$Z1052-2000)=0,"",INDEX(周转筐出入库明细!$W$4:$W$2004,$Z1052-2000)),IF($Z1052&lt;=5200,IF(INDEX(客户自备加工筐明细!$L$4:$L$1203,$Z1052-4000)=0,"",INDEX(客户自备加工筐明细!$L$4:$L$1203,$Z1052-4000)),IF($Z1052&lt;=5800,IF(INDEX(次果筐明细!$P$4:$P$603,$Z1052-5200)=0,"",INDEX(次果筐明细!$P$4:$P$603,$Z1052-5200)),"")))))</f>
        <v/>
      </c>
      <c r="N1052" s="16" t="str">
        <f>IF($Z1052="","",IF($Z1052&lt;=2000,"",IF($Z1052&lt;=4000,IF(INDEX(周转筐出入库明细!$D$4:$D$2004,$Z1052-2000)=0,"",INDEX(周转筐出入库明细!$D$4:$D$2004,$Z1052-2000)),IF($Z1052&lt;=5200,IF(INDEX(客户自备加工筐明细!$C$4:$C$1203,$Z1052-4000)=0,"",INDEX(客户自备加工筐明细!$C$4:$C$1203,$Z1052-4000)),IF($Z1052&lt;=5800,IF(INDEX(次果筐明细!$D$4:$D$603,$Z1052-5200)=0,"",INDEX(次果筐明细!$D$4:$D$603,$Z1052-5200)),"")))))</f>
        <v/>
      </c>
      <c r="O1052" s="40" t="str">
        <f>IF($Z1052="","",IF($Z1052&lt;=2000,"",IF($Z1052&lt;=4000,IF(N(INDEX(周转筐出入库明细!$J$4:$J$2004,$Z1052-2000))+N(INDEX(周转筐出入库明细!$K$4:$K$2004,$Z1052-2000))=0,"",N(INDEX(周转筐出入库明细!$J$4:$J$2004,$Z1052-2000))+N(INDEX(周转筐出入库明细!$K$4:$K$2004,$Z1052-2000))),IF($Z1052&lt;=5200,IF(N(INDEX(客户自备加工筐明细!$G$4:$G$1203,$Z1052-4000))=0,"",N(INDEX(客户自备加工筐明细!$G$4:$G$1203,$Z1052-4000))),IF($Z1052&lt;=5800,IF(ISNUMBER(SEARCH("退",INDEX(次果筐明细!$F$4:$F$603,$Z1052-5200)&amp;"")),"",IF(N(INDEX(次果筐明细!$G$4:$G$603,$Z1052-5200))=0,"",N(INDEX(次果筐明细!$G$4:$G$603,$Z1052-5200)))),"")))))</f>
        <v/>
      </c>
      <c r="P1052" s="40" t="str">
        <f>IF($Z1052="","",IF($Z1052&lt;=2000,"",IF($Z1052&lt;=4000,IF(N(INDEX(周转筐出入库明细!$I$4:$I$2004,$Z1052-2000))=0,"",N(INDEX(周转筐出入库明细!$I$4:$I$2004,$Z1052-2000))),IF($Z1052&lt;=5200,"",IF($Z1052&lt;=5800,IF(ISNUMBER(SEARCH("退",INDEX(次果筐明细!$F$4:$F$603,$Z1052-5200)&amp;"")),IF(N(INDEX(次果筐明细!$G$4:$G$603,$Z1052-5200))=0,"",N(INDEX(次果筐明细!$G$4:$G$603,$Z1052-5200))),""),"")))))</f>
        <v/>
      </c>
      <c r="Q1052" s="40" t="str">
        <f>IF($Z1052="","",IF($Z1052&lt;=2000,"",IF($Z1052&lt;=4000,IF(N(INDEX(周转筐出入库明细!$H$4:$H$2004,$Z1052-2000))=0,"",N(INDEX(周转筐出入库明细!$H$4:$H$2004,$Z1052-2000))),IF($Z1052&lt;=5200,IF(N(INDEX(客户自备加工筐明细!$F$4:$F$1203,$Z1052-4000))=0,"",N(INDEX(客户自备加工筐明细!$F$4:$F$1203,$Z1052-4000))),IF($Z1052&lt;=5800,"","")))))</f>
        <v/>
      </c>
      <c r="R1052" s="16" t="str">
        <f>IF($Z1052="","",IF($Z1052&lt;=2000,IF(INDEX(包装物料出入库明细!$O$4:$O$2003,$Z1052-0)=0,"",INDEX(包装物料出入库明细!$O$4:$O$2003,$Z1052-0)),IF($Z1052&lt;=4000,IF(INDEX(周转筐出入库明细!$M$4:$M$2004,$Z1052-2000)=0,"",INDEX(周转筐出入库明细!$M$4:$M$2004,$Z1052-2000)),IF($Z1052&lt;=5200,IF(INDEX(客户自备加工筐明细!$H$4:$H$1203,$Z1052-4000)=0,"",INDEX(客户自备加工筐明细!$H$4:$H$1203,$Z1052-4000)),IF($Z1052&lt;=5800,IF(INDEX(次果筐明细!$H$4:$H$603,$Z1052-5200)=0,"",INDEX(次果筐明细!$H$4:$H$603,$Z1052-5200)),"")))))</f>
        <v/>
      </c>
      <c r="S1052" s="22" t="str">
        <f t="shared" si="50"/>
        <v/>
      </c>
      <c r="Z1052" s="10" t="str">
        <f>IFERROR(MATCH(ROW()-3,_自动清单!$CQ$4:$CQ$5803,0),"")</f>
        <v/>
      </c>
    </row>
    <row r="1053" spans="1:26">
      <c r="A1053" s="24" t="str">
        <f t="shared" si="48"/>
        <v/>
      </c>
      <c r="B1053" s="38" t="str">
        <f>IF($Z1053="","",IF($Z1053&lt;=2000,IF(INDEX(包装物料出入库明细!$B$4:$B$2003,$Z1053-0)=0,"",INDEX(包装物料出入库明细!$B$4:$B$2003,$Z1053-0)),IF($Z1053&lt;=4000,IF(INDEX(周转筐出入库明细!$B$4:$B$2004,$Z1053-2000)=0,"",INDEX(周转筐出入库明细!$B$4:$B$2004,$Z1053-2000)),IF($Z1053&lt;=5200,IF(INDEX(客户自备加工筐明细!$B$4:$B$1203,$Z1053-4000)=0,"",INDEX(客户自备加工筐明细!$B$4:$B$1203,$Z1053-4000)),IF($Z1053&lt;=5800,IF(INDEX(次果筐明细!$B$4:$B$603,$Z1053-5200)=0,"",INDEX(次果筐明细!$B$4:$B$603,$Z1053-5200)),"")))))</f>
        <v/>
      </c>
      <c r="C1053" s="37" t="str">
        <f>IF($Z1053="","",IF($Z1053&lt;=2000,IF(INDEX(包装物料出入库明细!$D$4:$D$2003,$Z1053-0)=0,"",INDEX(包装物料出入库明细!$D$4:$D$2003,$Z1053-0)),IF($Z1053&lt;=4000,IF(INDEX(周转筐出入库明细!$C$4:$C$2004,$Z1053-2000)=0,"",INDEX(周转筐出入库明细!$C$4:$C$2004,$Z1053-2000)),IF($Z1053&lt;=5200,IF(INDEX(客户自备加工筐明细!$E$4:$E$1203,$Z1053-4000)=0,"",INDEX(客户自备加工筐明细!$E$4:$E$1203,$Z1053-4000)),IF($Z1053&lt;=5800,IF(INDEX(次果筐明细!$C$4:$C$603,$Z1053-5200)=0,"",INDEX(次果筐明细!$C$4:$C$603,$Z1053-5200)),"")))))</f>
        <v/>
      </c>
      <c r="D1053" s="37" t="str">
        <f>IF($Z1053="","",IF($Z1053&lt;=2000,"包装物料－"&amp;INDEX(包装物料出入库明细!$H$4:$H$2003,$Z1053-0),IF($Z1053&lt;=4000,"周转筐－"&amp;INDEX(周转筐出入库明细!$F$4:$F$2004,$Z1053-2000),IF($Z1053&lt;=5200,"客户自备筐－"&amp;INDEX(客户自备加工筐明细!$J$4:$J$1203,$Z1053-4000),IF($Z1053&lt;=5800,"次果筐/托盘－"&amp;INDEX(次果筐明细!$F$4:$F$603,$Z1053-5200),"")))))</f>
        <v/>
      </c>
      <c r="E1053" s="24" t="str">
        <f>IF($Z1053="","",IF($Z1053&lt;=2000,IF(INDEX(包装物料出入库明细!$C$4:$C$2003,$Z1053-0)=0,"",INDEX(包装物料出入库明细!$C$4:$C$2003,$Z1053-0)),IF($Z1053&lt;=4000,IF(INDEX(周转筐出入库明细!$E$4:$E$2004,$Z1053-2000)=0,"",INDEX(周转筐出入库明细!$E$4:$E$2004,$Z1053-2000)),IF($Z1053&lt;=5200,IF(INDEX(客户自备加工筐明细!$D$4:$D$1203,$Z1053-4000)=0,"",INDEX(客户自备加工筐明细!$D$4:$D$1203,$Z1053-4000)),IF($Z1053&lt;=5800,IF(INDEX(次果筐明细!$E$4:$E$603,$Z1053-5200)=0,"",INDEX(次果筐明细!$E$4:$E$603,$Z1053-5200)),"")))))</f>
        <v/>
      </c>
      <c r="F1053" s="24" t="str">
        <f>IF($Z1053="","",IF($Z1053&lt;=2000,IF(INDEX(包装物料出入库明细!$E$4:$E$2003,$Z1053-0)=0,"",INDEX(包装物料出入库明细!$E$4:$E$2003,$Z1053-0)),IF($Z1053&lt;=4000,IF(INDEX(周转筐出入库明细!$D$4:$D$2004,$Z1053-2000)=0,"",INDEX(周转筐出入库明细!$D$4:$D$2004,$Z1053-2000)),IF($Z1053&lt;=5200,IF(INDEX(客户自备加工筐明细!$C$4:$C$1203,$Z1053-4000)=0,"",INDEX(客户自备加工筐明细!$C$4:$C$1203,$Z1053-4000)),IF($Z1053&lt;=5800,IF(INDEX(次果筐明细!$D$4:$D$603,$Z1053-5200)=0,"",INDEX(次果筐明细!$D$4:$D$603,$Z1053-5200)),"")))))</f>
        <v/>
      </c>
      <c r="G1053" s="24" t="str">
        <f>IF($Z1053="","",IF($Z1053&lt;=2000,IF(INDEX(包装物料出入库明细!$F$4:$F$2003,$Z1053-0)=0,"",INDEX(包装物料出入库明细!$F$4:$F$2003,$Z1053-0)),IF($Z1053&lt;=4000,"",IF($Z1053&lt;=5200,"",IF($Z1053&lt;=5800,"","")))))</f>
        <v/>
      </c>
      <c r="H1053" s="39" t="str">
        <f>IF($Z1053="","",IF($Z1053&lt;=2000,IF(INDEX(包装物料出入库明细!$L$4:$L$2003,$Z1053-0)=0,"",INDEX(包装物料出入库明细!$L$4:$L$2003,$Z1053-0)),IF($Z1053&lt;=4000,N(INDEX(周转筐出入库明细!$H$4:$H$2004,$Z1053-2000))+N(INDEX(周转筐出入库明细!$I$4:$I$2004,$Z1053-2000))+N(INDEX(周转筐出入库明细!$J$4:$J$2004,$Z1053-2000))+N(INDEX(周转筐出入库明细!$K$4:$K$2004,$Z1053-2000)),IF($Z1053&lt;=5200,N(INDEX(客户自备加工筐明细!$F$4:$F$1203,$Z1053-4000))+N(INDEX(客户自备加工筐明细!$G$4:$G$1203,$Z1053-4000)),IF($Z1053&lt;=5800,IF(INDEX(次果筐明细!$G$4:$G$603,$Z1053-5200)=0,"",INDEX(次果筐明细!$G$4:$G$603,$Z1053-5200)),"")))))</f>
        <v/>
      </c>
      <c r="I1053" s="24" t="str">
        <f>IF($Z1053="","",IF($Z1053&lt;=2000,IF(INDEX(包装物料出入库明细!$G$4:$G$2003,$Z1053-0)=0,"",INDEX(包装物料出入库明细!$G$4:$G$2003,$Z1053-0)),IF($Z1053&lt;=4000,"个",IF($Z1053&lt;=5200,"个",IF($Z1053&lt;=5800,"个","")))))</f>
        <v/>
      </c>
      <c r="J1053" s="30" t="str">
        <f t="shared" si="49"/>
        <v/>
      </c>
      <c r="K1053" s="30" t="str">
        <f>IF($Z1053="","",IF($Z1053&lt;=2000,IF(INDEX(包装物料出入库明细!$N$4:$N$2003,$Z1053-0)=0,"",INDEX(包装物料出入库明细!$N$4:$N$2003,$Z1053-0)),IF($Z1053&lt;=4000,IF(INDEX(周转筐出入库明细!$P$4:$P$2004,$Z1053-2000)=0,"",INDEX(周转筐出入库明细!$P$4:$P$2004,$Z1053-2000)),IF($Z1053&lt;=5200,"",IF($Z1053&lt;=5800,N(INDEX(次果筐明细!$L$4:$L$603,$Z1053-5200))+N(INDEX(次果筐明细!$J$4:$J$603,$Z1053-5200)),"")))))</f>
        <v/>
      </c>
      <c r="L1053" s="24" t="str">
        <f>IF($Z1053="","",IF($Z1053&lt;=2000,IF(INDEX(包装物料出入库明细!$P$4:$P$2003,$Z1053-0)=0,"",INDEX(包装物料出入库明细!$P$4:$P$2003,$Z1053-0)),IF($Z1053&lt;=4000,IF(INDEX(周转筐出入库明细!$Q$4:$Q$2004,$Z1053-2000)=0,"",INDEX(周转筐出入库明细!$Q$4:$Q$2004,$Z1053-2000)),IF($Z1053&lt;=5200,"",IF($Z1053&lt;=5800,IF(INDEX(次果筐明细!$M$4:$M$603,$Z1053-5200)=0,"",INDEX(次果筐明细!$M$4:$M$603,$Z1053-5200)),"")))))</f>
        <v/>
      </c>
      <c r="M1053" s="37" t="str">
        <f>IF($Z1053="","",IF($Z1053&lt;=2000,IF(INDEX(包装物料出入库明细!$R$4:$R$2003,$Z1053-0)=0,"",INDEX(包装物料出入库明细!$R$4:$R$2003,$Z1053-0)),IF($Z1053&lt;=4000,IF(INDEX(周转筐出入库明细!$W$4:$W$2004,$Z1053-2000)=0,"",INDEX(周转筐出入库明细!$W$4:$W$2004,$Z1053-2000)),IF($Z1053&lt;=5200,IF(INDEX(客户自备加工筐明细!$L$4:$L$1203,$Z1053-4000)=0,"",INDEX(客户自备加工筐明细!$L$4:$L$1203,$Z1053-4000)),IF($Z1053&lt;=5800,IF(INDEX(次果筐明细!$P$4:$P$603,$Z1053-5200)=0,"",INDEX(次果筐明细!$P$4:$P$603,$Z1053-5200)),"")))))</f>
        <v/>
      </c>
      <c r="N1053" s="16" t="str">
        <f>IF($Z1053="","",IF($Z1053&lt;=2000,"",IF($Z1053&lt;=4000,IF(INDEX(周转筐出入库明细!$D$4:$D$2004,$Z1053-2000)=0,"",INDEX(周转筐出入库明细!$D$4:$D$2004,$Z1053-2000)),IF($Z1053&lt;=5200,IF(INDEX(客户自备加工筐明细!$C$4:$C$1203,$Z1053-4000)=0,"",INDEX(客户自备加工筐明细!$C$4:$C$1203,$Z1053-4000)),IF($Z1053&lt;=5800,IF(INDEX(次果筐明细!$D$4:$D$603,$Z1053-5200)=0,"",INDEX(次果筐明细!$D$4:$D$603,$Z1053-5200)),"")))))</f>
        <v/>
      </c>
      <c r="O1053" s="40" t="str">
        <f>IF($Z1053="","",IF($Z1053&lt;=2000,"",IF($Z1053&lt;=4000,IF(N(INDEX(周转筐出入库明细!$J$4:$J$2004,$Z1053-2000))+N(INDEX(周转筐出入库明细!$K$4:$K$2004,$Z1053-2000))=0,"",N(INDEX(周转筐出入库明细!$J$4:$J$2004,$Z1053-2000))+N(INDEX(周转筐出入库明细!$K$4:$K$2004,$Z1053-2000))),IF($Z1053&lt;=5200,IF(N(INDEX(客户自备加工筐明细!$G$4:$G$1203,$Z1053-4000))=0,"",N(INDEX(客户自备加工筐明细!$G$4:$G$1203,$Z1053-4000))),IF($Z1053&lt;=5800,IF(ISNUMBER(SEARCH("退",INDEX(次果筐明细!$F$4:$F$603,$Z1053-5200)&amp;"")),"",IF(N(INDEX(次果筐明细!$G$4:$G$603,$Z1053-5200))=0,"",N(INDEX(次果筐明细!$G$4:$G$603,$Z1053-5200)))),"")))))</f>
        <v/>
      </c>
      <c r="P1053" s="40" t="str">
        <f>IF($Z1053="","",IF($Z1053&lt;=2000,"",IF($Z1053&lt;=4000,IF(N(INDEX(周转筐出入库明细!$I$4:$I$2004,$Z1053-2000))=0,"",N(INDEX(周转筐出入库明细!$I$4:$I$2004,$Z1053-2000))),IF($Z1053&lt;=5200,"",IF($Z1053&lt;=5800,IF(ISNUMBER(SEARCH("退",INDEX(次果筐明细!$F$4:$F$603,$Z1053-5200)&amp;"")),IF(N(INDEX(次果筐明细!$G$4:$G$603,$Z1053-5200))=0,"",N(INDEX(次果筐明细!$G$4:$G$603,$Z1053-5200))),""),"")))))</f>
        <v/>
      </c>
      <c r="Q1053" s="40" t="str">
        <f>IF($Z1053="","",IF($Z1053&lt;=2000,"",IF($Z1053&lt;=4000,IF(N(INDEX(周转筐出入库明细!$H$4:$H$2004,$Z1053-2000))=0,"",N(INDEX(周转筐出入库明细!$H$4:$H$2004,$Z1053-2000))),IF($Z1053&lt;=5200,IF(N(INDEX(客户自备加工筐明细!$F$4:$F$1203,$Z1053-4000))=0,"",N(INDEX(客户自备加工筐明细!$F$4:$F$1203,$Z1053-4000))),IF($Z1053&lt;=5800,"","")))))</f>
        <v/>
      </c>
      <c r="R1053" s="16" t="str">
        <f>IF($Z1053="","",IF($Z1053&lt;=2000,IF(INDEX(包装物料出入库明细!$O$4:$O$2003,$Z1053-0)=0,"",INDEX(包装物料出入库明细!$O$4:$O$2003,$Z1053-0)),IF($Z1053&lt;=4000,IF(INDEX(周转筐出入库明细!$M$4:$M$2004,$Z1053-2000)=0,"",INDEX(周转筐出入库明细!$M$4:$M$2004,$Z1053-2000)),IF($Z1053&lt;=5200,IF(INDEX(客户自备加工筐明细!$H$4:$H$1203,$Z1053-4000)=0,"",INDEX(客户自备加工筐明细!$H$4:$H$1203,$Z1053-4000)),IF($Z1053&lt;=5800,IF(INDEX(次果筐明细!$H$4:$H$603,$Z1053-5200)=0,"",INDEX(次果筐明细!$H$4:$H$603,$Z1053-5200)),"")))))</f>
        <v/>
      </c>
      <c r="S1053" s="22" t="str">
        <f t="shared" si="50"/>
        <v/>
      </c>
      <c r="Z1053" s="10" t="str">
        <f>IFERROR(MATCH(ROW()-3,_自动清单!$CQ$4:$CQ$5803,0),"")</f>
        <v/>
      </c>
    </row>
    <row r="1054" spans="1:26">
      <c r="A1054" s="24" t="str">
        <f t="shared" si="48"/>
        <v/>
      </c>
      <c r="B1054" s="38" t="str">
        <f>IF($Z1054="","",IF($Z1054&lt;=2000,IF(INDEX(包装物料出入库明细!$B$4:$B$2003,$Z1054-0)=0,"",INDEX(包装物料出入库明细!$B$4:$B$2003,$Z1054-0)),IF($Z1054&lt;=4000,IF(INDEX(周转筐出入库明细!$B$4:$B$2004,$Z1054-2000)=0,"",INDEX(周转筐出入库明细!$B$4:$B$2004,$Z1054-2000)),IF($Z1054&lt;=5200,IF(INDEX(客户自备加工筐明细!$B$4:$B$1203,$Z1054-4000)=0,"",INDEX(客户自备加工筐明细!$B$4:$B$1203,$Z1054-4000)),IF($Z1054&lt;=5800,IF(INDEX(次果筐明细!$B$4:$B$603,$Z1054-5200)=0,"",INDEX(次果筐明细!$B$4:$B$603,$Z1054-5200)),"")))))</f>
        <v/>
      </c>
      <c r="C1054" s="37" t="str">
        <f>IF($Z1054="","",IF($Z1054&lt;=2000,IF(INDEX(包装物料出入库明细!$D$4:$D$2003,$Z1054-0)=0,"",INDEX(包装物料出入库明细!$D$4:$D$2003,$Z1054-0)),IF($Z1054&lt;=4000,IF(INDEX(周转筐出入库明细!$C$4:$C$2004,$Z1054-2000)=0,"",INDEX(周转筐出入库明细!$C$4:$C$2004,$Z1054-2000)),IF($Z1054&lt;=5200,IF(INDEX(客户自备加工筐明细!$E$4:$E$1203,$Z1054-4000)=0,"",INDEX(客户自备加工筐明细!$E$4:$E$1203,$Z1054-4000)),IF($Z1054&lt;=5800,IF(INDEX(次果筐明细!$C$4:$C$603,$Z1054-5200)=0,"",INDEX(次果筐明细!$C$4:$C$603,$Z1054-5200)),"")))))</f>
        <v/>
      </c>
      <c r="D1054" s="37" t="str">
        <f>IF($Z1054="","",IF($Z1054&lt;=2000,"包装物料－"&amp;INDEX(包装物料出入库明细!$H$4:$H$2003,$Z1054-0),IF($Z1054&lt;=4000,"周转筐－"&amp;INDEX(周转筐出入库明细!$F$4:$F$2004,$Z1054-2000),IF($Z1054&lt;=5200,"客户自备筐－"&amp;INDEX(客户自备加工筐明细!$J$4:$J$1203,$Z1054-4000),IF($Z1054&lt;=5800,"次果筐/托盘－"&amp;INDEX(次果筐明细!$F$4:$F$603,$Z1054-5200),"")))))</f>
        <v/>
      </c>
      <c r="E1054" s="24" t="str">
        <f>IF($Z1054="","",IF($Z1054&lt;=2000,IF(INDEX(包装物料出入库明细!$C$4:$C$2003,$Z1054-0)=0,"",INDEX(包装物料出入库明细!$C$4:$C$2003,$Z1054-0)),IF($Z1054&lt;=4000,IF(INDEX(周转筐出入库明细!$E$4:$E$2004,$Z1054-2000)=0,"",INDEX(周转筐出入库明细!$E$4:$E$2004,$Z1054-2000)),IF($Z1054&lt;=5200,IF(INDEX(客户自备加工筐明细!$D$4:$D$1203,$Z1054-4000)=0,"",INDEX(客户自备加工筐明细!$D$4:$D$1203,$Z1054-4000)),IF($Z1054&lt;=5800,IF(INDEX(次果筐明细!$E$4:$E$603,$Z1054-5200)=0,"",INDEX(次果筐明细!$E$4:$E$603,$Z1054-5200)),"")))))</f>
        <v/>
      </c>
      <c r="F1054" s="24" t="str">
        <f>IF($Z1054="","",IF($Z1054&lt;=2000,IF(INDEX(包装物料出入库明细!$E$4:$E$2003,$Z1054-0)=0,"",INDEX(包装物料出入库明细!$E$4:$E$2003,$Z1054-0)),IF($Z1054&lt;=4000,IF(INDEX(周转筐出入库明细!$D$4:$D$2004,$Z1054-2000)=0,"",INDEX(周转筐出入库明细!$D$4:$D$2004,$Z1054-2000)),IF($Z1054&lt;=5200,IF(INDEX(客户自备加工筐明细!$C$4:$C$1203,$Z1054-4000)=0,"",INDEX(客户自备加工筐明细!$C$4:$C$1203,$Z1054-4000)),IF($Z1054&lt;=5800,IF(INDEX(次果筐明细!$D$4:$D$603,$Z1054-5200)=0,"",INDEX(次果筐明细!$D$4:$D$603,$Z1054-5200)),"")))))</f>
        <v/>
      </c>
      <c r="G1054" s="24" t="str">
        <f>IF($Z1054="","",IF($Z1054&lt;=2000,IF(INDEX(包装物料出入库明细!$F$4:$F$2003,$Z1054-0)=0,"",INDEX(包装物料出入库明细!$F$4:$F$2003,$Z1054-0)),IF($Z1054&lt;=4000,"",IF($Z1054&lt;=5200,"",IF($Z1054&lt;=5800,"","")))))</f>
        <v/>
      </c>
      <c r="H1054" s="39" t="str">
        <f>IF($Z1054="","",IF($Z1054&lt;=2000,IF(INDEX(包装物料出入库明细!$L$4:$L$2003,$Z1054-0)=0,"",INDEX(包装物料出入库明细!$L$4:$L$2003,$Z1054-0)),IF($Z1054&lt;=4000,N(INDEX(周转筐出入库明细!$H$4:$H$2004,$Z1054-2000))+N(INDEX(周转筐出入库明细!$I$4:$I$2004,$Z1054-2000))+N(INDEX(周转筐出入库明细!$J$4:$J$2004,$Z1054-2000))+N(INDEX(周转筐出入库明细!$K$4:$K$2004,$Z1054-2000)),IF($Z1054&lt;=5200,N(INDEX(客户自备加工筐明细!$F$4:$F$1203,$Z1054-4000))+N(INDEX(客户自备加工筐明细!$G$4:$G$1203,$Z1054-4000)),IF($Z1054&lt;=5800,IF(INDEX(次果筐明细!$G$4:$G$603,$Z1054-5200)=0,"",INDEX(次果筐明细!$G$4:$G$603,$Z1054-5200)),"")))))</f>
        <v/>
      </c>
      <c r="I1054" s="24" t="str">
        <f>IF($Z1054="","",IF($Z1054&lt;=2000,IF(INDEX(包装物料出入库明细!$G$4:$G$2003,$Z1054-0)=0,"",INDEX(包装物料出入库明细!$G$4:$G$2003,$Z1054-0)),IF($Z1054&lt;=4000,"个",IF($Z1054&lt;=5200,"个",IF($Z1054&lt;=5800,"个","")))))</f>
        <v/>
      </c>
      <c r="J1054" s="30" t="str">
        <f t="shared" si="49"/>
        <v/>
      </c>
      <c r="K1054" s="30" t="str">
        <f>IF($Z1054="","",IF($Z1054&lt;=2000,IF(INDEX(包装物料出入库明细!$N$4:$N$2003,$Z1054-0)=0,"",INDEX(包装物料出入库明细!$N$4:$N$2003,$Z1054-0)),IF($Z1054&lt;=4000,IF(INDEX(周转筐出入库明细!$P$4:$P$2004,$Z1054-2000)=0,"",INDEX(周转筐出入库明细!$P$4:$P$2004,$Z1054-2000)),IF($Z1054&lt;=5200,"",IF($Z1054&lt;=5800,N(INDEX(次果筐明细!$L$4:$L$603,$Z1054-5200))+N(INDEX(次果筐明细!$J$4:$J$603,$Z1054-5200)),"")))))</f>
        <v/>
      </c>
      <c r="L1054" s="24" t="str">
        <f>IF($Z1054="","",IF($Z1054&lt;=2000,IF(INDEX(包装物料出入库明细!$P$4:$P$2003,$Z1054-0)=0,"",INDEX(包装物料出入库明细!$P$4:$P$2003,$Z1054-0)),IF($Z1054&lt;=4000,IF(INDEX(周转筐出入库明细!$Q$4:$Q$2004,$Z1054-2000)=0,"",INDEX(周转筐出入库明细!$Q$4:$Q$2004,$Z1054-2000)),IF($Z1054&lt;=5200,"",IF($Z1054&lt;=5800,IF(INDEX(次果筐明细!$M$4:$M$603,$Z1054-5200)=0,"",INDEX(次果筐明细!$M$4:$M$603,$Z1054-5200)),"")))))</f>
        <v/>
      </c>
      <c r="M1054" s="37" t="str">
        <f>IF($Z1054="","",IF($Z1054&lt;=2000,IF(INDEX(包装物料出入库明细!$R$4:$R$2003,$Z1054-0)=0,"",INDEX(包装物料出入库明细!$R$4:$R$2003,$Z1054-0)),IF($Z1054&lt;=4000,IF(INDEX(周转筐出入库明细!$W$4:$W$2004,$Z1054-2000)=0,"",INDEX(周转筐出入库明细!$W$4:$W$2004,$Z1054-2000)),IF($Z1054&lt;=5200,IF(INDEX(客户自备加工筐明细!$L$4:$L$1203,$Z1054-4000)=0,"",INDEX(客户自备加工筐明细!$L$4:$L$1203,$Z1054-4000)),IF($Z1054&lt;=5800,IF(INDEX(次果筐明细!$P$4:$P$603,$Z1054-5200)=0,"",INDEX(次果筐明细!$P$4:$P$603,$Z1054-5200)),"")))))</f>
        <v/>
      </c>
      <c r="N1054" s="16" t="str">
        <f>IF($Z1054="","",IF($Z1054&lt;=2000,"",IF($Z1054&lt;=4000,IF(INDEX(周转筐出入库明细!$D$4:$D$2004,$Z1054-2000)=0,"",INDEX(周转筐出入库明细!$D$4:$D$2004,$Z1054-2000)),IF($Z1054&lt;=5200,IF(INDEX(客户自备加工筐明细!$C$4:$C$1203,$Z1054-4000)=0,"",INDEX(客户自备加工筐明细!$C$4:$C$1203,$Z1054-4000)),IF($Z1054&lt;=5800,IF(INDEX(次果筐明细!$D$4:$D$603,$Z1054-5200)=0,"",INDEX(次果筐明细!$D$4:$D$603,$Z1054-5200)),"")))))</f>
        <v/>
      </c>
      <c r="O1054" s="40" t="str">
        <f>IF($Z1054="","",IF($Z1054&lt;=2000,"",IF($Z1054&lt;=4000,IF(N(INDEX(周转筐出入库明细!$J$4:$J$2004,$Z1054-2000))+N(INDEX(周转筐出入库明细!$K$4:$K$2004,$Z1054-2000))=0,"",N(INDEX(周转筐出入库明细!$J$4:$J$2004,$Z1054-2000))+N(INDEX(周转筐出入库明细!$K$4:$K$2004,$Z1054-2000))),IF($Z1054&lt;=5200,IF(N(INDEX(客户自备加工筐明细!$G$4:$G$1203,$Z1054-4000))=0,"",N(INDEX(客户自备加工筐明细!$G$4:$G$1203,$Z1054-4000))),IF($Z1054&lt;=5800,IF(ISNUMBER(SEARCH("退",INDEX(次果筐明细!$F$4:$F$603,$Z1054-5200)&amp;"")),"",IF(N(INDEX(次果筐明细!$G$4:$G$603,$Z1054-5200))=0,"",N(INDEX(次果筐明细!$G$4:$G$603,$Z1054-5200)))),"")))))</f>
        <v/>
      </c>
      <c r="P1054" s="40" t="str">
        <f>IF($Z1054="","",IF($Z1054&lt;=2000,"",IF($Z1054&lt;=4000,IF(N(INDEX(周转筐出入库明细!$I$4:$I$2004,$Z1054-2000))=0,"",N(INDEX(周转筐出入库明细!$I$4:$I$2004,$Z1054-2000))),IF($Z1054&lt;=5200,"",IF($Z1054&lt;=5800,IF(ISNUMBER(SEARCH("退",INDEX(次果筐明细!$F$4:$F$603,$Z1054-5200)&amp;"")),IF(N(INDEX(次果筐明细!$G$4:$G$603,$Z1054-5200))=0,"",N(INDEX(次果筐明细!$G$4:$G$603,$Z1054-5200))),""),"")))))</f>
        <v/>
      </c>
      <c r="Q1054" s="40" t="str">
        <f>IF($Z1054="","",IF($Z1054&lt;=2000,"",IF($Z1054&lt;=4000,IF(N(INDEX(周转筐出入库明细!$H$4:$H$2004,$Z1054-2000))=0,"",N(INDEX(周转筐出入库明细!$H$4:$H$2004,$Z1054-2000))),IF($Z1054&lt;=5200,IF(N(INDEX(客户自备加工筐明细!$F$4:$F$1203,$Z1054-4000))=0,"",N(INDEX(客户自备加工筐明细!$F$4:$F$1203,$Z1054-4000))),IF($Z1054&lt;=5800,"","")))))</f>
        <v/>
      </c>
      <c r="R1054" s="16" t="str">
        <f>IF($Z1054="","",IF($Z1054&lt;=2000,IF(INDEX(包装物料出入库明细!$O$4:$O$2003,$Z1054-0)=0,"",INDEX(包装物料出入库明细!$O$4:$O$2003,$Z1054-0)),IF($Z1054&lt;=4000,IF(INDEX(周转筐出入库明细!$M$4:$M$2004,$Z1054-2000)=0,"",INDEX(周转筐出入库明细!$M$4:$M$2004,$Z1054-2000)),IF($Z1054&lt;=5200,IF(INDEX(客户自备加工筐明细!$H$4:$H$1203,$Z1054-4000)=0,"",INDEX(客户自备加工筐明细!$H$4:$H$1203,$Z1054-4000)),IF($Z1054&lt;=5800,IF(INDEX(次果筐明细!$H$4:$H$603,$Z1054-5200)=0,"",INDEX(次果筐明细!$H$4:$H$603,$Z1054-5200)),"")))))</f>
        <v/>
      </c>
      <c r="S1054" s="22" t="str">
        <f t="shared" si="50"/>
        <v/>
      </c>
      <c r="Z1054" s="10" t="str">
        <f>IFERROR(MATCH(ROW()-3,_自动清单!$CQ$4:$CQ$5803,0),"")</f>
        <v/>
      </c>
    </row>
    <row r="1055" spans="1:26">
      <c r="A1055" s="24" t="str">
        <f t="shared" si="48"/>
        <v/>
      </c>
      <c r="B1055" s="38" t="str">
        <f>IF($Z1055="","",IF($Z1055&lt;=2000,IF(INDEX(包装物料出入库明细!$B$4:$B$2003,$Z1055-0)=0,"",INDEX(包装物料出入库明细!$B$4:$B$2003,$Z1055-0)),IF($Z1055&lt;=4000,IF(INDEX(周转筐出入库明细!$B$4:$B$2004,$Z1055-2000)=0,"",INDEX(周转筐出入库明细!$B$4:$B$2004,$Z1055-2000)),IF($Z1055&lt;=5200,IF(INDEX(客户自备加工筐明细!$B$4:$B$1203,$Z1055-4000)=0,"",INDEX(客户自备加工筐明细!$B$4:$B$1203,$Z1055-4000)),IF($Z1055&lt;=5800,IF(INDEX(次果筐明细!$B$4:$B$603,$Z1055-5200)=0,"",INDEX(次果筐明细!$B$4:$B$603,$Z1055-5200)),"")))))</f>
        <v/>
      </c>
      <c r="C1055" s="37" t="str">
        <f>IF($Z1055="","",IF($Z1055&lt;=2000,IF(INDEX(包装物料出入库明细!$D$4:$D$2003,$Z1055-0)=0,"",INDEX(包装物料出入库明细!$D$4:$D$2003,$Z1055-0)),IF($Z1055&lt;=4000,IF(INDEX(周转筐出入库明细!$C$4:$C$2004,$Z1055-2000)=0,"",INDEX(周转筐出入库明细!$C$4:$C$2004,$Z1055-2000)),IF($Z1055&lt;=5200,IF(INDEX(客户自备加工筐明细!$E$4:$E$1203,$Z1055-4000)=0,"",INDEX(客户自备加工筐明细!$E$4:$E$1203,$Z1055-4000)),IF($Z1055&lt;=5800,IF(INDEX(次果筐明细!$C$4:$C$603,$Z1055-5200)=0,"",INDEX(次果筐明细!$C$4:$C$603,$Z1055-5200)),"")))))</f>
        <v/>
      </c>
      <c r="D1055" s="37" t="str">
        <f>IF($Z1055="","",IF($Z1055&lt;=2000,"包装物料－"&amp;INDEX(包装物料出入库明细!$H$4:$H$2003,$Z1055-0),IF($Z1055&lt;=4000,"周转筐－"&amp;INDEX(周转筐出入库明细!$F$4:$F$2004,$Z1055-2000),IF($Z1055&lt;=5200,"客户自备筐－"&amp;INDEX(客户自备加工筐明细!$J$4:$J$1203,$Z1055-4000),IF($Z1055&lt;=5800,"次果筐/托盘－"&amp;INDEX(次果筐明细!$F$4:$F$603,$Z1055-5200),"")))))</f>
        <v/>
      </c>
      <c r="E1055" s="24" t="str">
        <f>IF($Z1055="","",IF($Z1055&lt;=2000,IF(INDEX(包装物料出入库明细!$C$4:$C$2003,$Z1055-0)=0,"",INDEX(包装物料出入库明细!$C$4:$C$2003,$Z1055-0)),IF($Z1055&lt;=4000,IF(INDEX(周转筐出入库明细!$E$4:$E$2004,$Z1055-2000)=0,"",INDEX(周转筐出入库明细!$E$4:$E$2004,$Z1055-2000)),IF($Z1055&lt;=5200,IF(INDEX(客户自备加工筐明细!$D$4:$D$1203,$Z1055-4000)=0,"",INDEX(客户自备加工筐明细!$D$4:$D$1203,$Z1055-4000)),IF($Z1055&lt;=5800,IF(INDEX(次果筐明细!$E$4:$E$603,$Z1055-5200)=0,"",INDEX(次果筐明细!$E$4:$E$603,$Z1055-5200)),"")))))</f>
        <v/>
      </c>
      <c r="F1055" s="24" t="str">
        <f>IF($Z1055="","",IF($Z1055&lt;=2000,IF(INDEX(包装物料出入库明细!$E$4:$E$2003,$Z1055-0)=0,"",INDEX(包装物料出入库明细!$E$4:$E$2003,$Z1055-0)),IF($Z1055&lt;=4000,IF(INDEX(周转筐出入库明细!$D$4:$D$2004,$Z1055-2000)=0,"",INDEX(周转筐出入库明细!$D$4:$D$2004,$Z1055-2000)),IF($Z1055&lt;=5200,IF(INDEX(客户自备加工筐明细!$C$4:$C$1203,$Z1055-4000)=0,"",INDEX(客户自备加工筐明细!$C$4:$C$1203,$Z1055-4000)),IF($Z1055&lt;=5800,IF(INDEX(次果筐明细!$D$4:$D$603,$Z1055-5200)=0,"",INDEX(次果筐明细!$D$4:$D$603,$Z1055-5200)),"")))))</f>
        <v/>
      </c>
      <c r="G1055" s="24" t="str">
        <f>IF($Z1055="","",IF($Z1055&lt;=2000,IF(INDEX(包装物料出入库明细!$F$4:$F$2003,$Z1055-0)=0,"",INDEX(包装物料出入库明细!$F$4:$F$2003,$Z1055-0)),IF($Z1055&lt;=4000,"",IF($Z1055&lt;=5200,"",IF($Z1055&lt;=5800,"","")))))</f>
        <v/>
      </c>
      <c r="H1055" s="39" t="str">
        <f>IF($Z1055="","",IF($Z1055&lt;=2000,IF(INDEX(包装物料出入库明细!$L$4:$L$2003,$Z1055-0)=0,"",INDEX(包装物料出入库明细!$L$4:$L$2003,$Z1055-0)),IF($Z1055&lt;=4000,N(INDEX(周转筐出入库明细!$H$4:$H$2004,$Z1055-2000))+N(INDEX(周转筐出入库明细!$I$4:$I$2004,$Z1055-2000))+N(INDEX(周转筐出入库明细!$J$4:$J$2004,$Z1055-2000))+N(INDEX(周转筐出入库明细!$K$4:$K$2004,$Z1055-2000)),IF($Z1055&lt;=5200,N(INDEX(客户自备加工筐明细!$F$4:$F$1203,$Z1055-4000))+N(INDEX(客户自备加工筐明细!$G$4:$G$1203,$Z1055-4000)),IF($Z1055&lt;=5800,IF(INDEX(次果筐明细!$G$4:$G$603,$Z1055-5200)=0,"",INDEX(次果筐明细!$G$4:$G$603,$Z1055-5200)),"")))))</f>
        <v/>
      </c>
      <c r="I1055" s="24" t="str">
        <f>IF($Z1055="","",IF($Z1055&lt;=2000,IF(INDEX(包装物料出入库明细!$G$4:$G$2003,$Z1055-0)=0,"",INDEX(包装物料出入库明细!$G$4:$G$2003,$Z1055-0)),IF($Z1055&lt;=4000,"个",IF($Z1055&lt;=5200,"个",IF($Z1055&lt;=5800,"个","")))))</f>
        <v/>
      </c>
      <c r="J1055" s="30" t="str">
        <f t="shared" si="49"/>
        <v/>
      </c>
      <c r="K1055" s="30" t="str">
        <f>IF($Z1055="","",IF($Z1055&lt;=2000,IF(INDEX(包装物料出入库明细!$N$4:$N$2003,$Z1055-0)=0,"",INDEX(包装物料出入库明细!$N$4:$N$2003,$Z1055-0)),IF($Z1055&lt;=4000,IF(INDEX(周转筐出入库明细!$P$4:$P$2004,$Z1055-2000)=0,"",INDEX(周转筐出入库明细!$P$4:$P$2004,$Z1055-2000)),IF($Z1055&lt;=5200,"",IF($Z1055&lt;=5800,N(INDEX(次果筐明细!$L$4:$L$603,$Z1055-5200))+N(INDEX(次果筐明细!$J$4:$J$603,$Z1055-5200)),"")))))</f>
        <v/>
      </c>
      <c r="L1055" s="24" t="str">
        <f>IF($Z1055="","",IF($Z1055&lt;=2000,IF(INDEX(包装物料出入库明细!$P$4:$P$2003,$Z1055-0)=0,"",INDEX(包装物料出入库明细!$P$4:$P$2003,$Z1055-0)),IF($Z1055&lt;=4000,IF(INDEX(周转筐出入库明细!$Q$4:$Q$2004,$Z1055-2000)=0,"",INDEX(周转筐出入库明细!$Q$4:$Q$2004,$Z1055-2000)),IF($Z1055&lt;=5200,"",IF($Z1055&lt;=5800,IF(INDEX(次果筐明细!$M$4:$M$603,$Z1055-5200)=0,"",INDEX(次果筐明细!$M$4:$M$603,$Z1055-5200)),"")))))</f>
        <v/>
      </c>
      <c r="M1055" s="37" t="str">
        <f>IF($Z1055="","",IF($Z1055&lt;=2000,IF(INDEX(包装物料出入库明细!$R$4:$R$2003,$Z1055-0)=0,"",INDEX(包装物料出入库明细!$R$4:$R$2003,$Z1055-0)),IF($Z1055&lt;=4000,IF(INDEX(周转筐出入库明细!$W$4:$W$2004,$Z1055-2000)=0,"",INDEX(周转筐出入库明细!$W$4:$W$2004,$Z1055-2000)),IF($Z1055&lt;=5200,IF(INDEX(客户自备加工筐明细!$L$4:$L$1203,$Z1055-4000)=0,"",INDEX(客户自备加工筐明细!$L$4:$L$1203,$Z1055-4000)),IF($Z1055&lt;=5800,IF(INDEX(次果筐明细!$P$4:$P$603,$Z1055-5200)=0,"",INDEX(次果筐明细!$P$4:$P$603,$Z1055-5200)),"")))))</f>
        <v/>
      </c>
      <c r="N1055" s="16" t="str">
        <f>IF($Z1055="","",IF($Z1055&lt;=2000,"",IF($Z1055&lt;=4000,IF(INDEX(周转筐出入库明细!$D$4:$D$2004,$Z1055-2000)=0,"",INDEX(周转筐出入库明细!$D$4:$D$2004,$Z1055-2000)),IF($Z1055&lt;=5200,IF(INDEX(客户自备加工筐明细!$C$4:$C$1203,$Z1055-4000)=0,"",INDEX(客户自备加工筐明细!$C$4:$C$1203,$Z1055-4000)),IF($Z1055&lt;=5800,IF(INDEX(次果筐明细!$D$4:$D$603,$Z1055-5200)=0,"",INDEX(次果筐明细!$D$4:$D$603,$Z1055-5200)),"")))))</f>
        <v/>
      </c>
      <c r="O1055" s="40" t="str">
        <f>IF($Z1055="","",IF($Z1055&lt;=2000,"",IF($Z1055&lt;=4000,IF(N(INDEX(周转筐出入库明细!$J$4:$J$2004,$Z1055-2000))+N(INDEX(周转筐出入库明细!$K$4:$K$2004,$Z1055-2000))=0,"",N(INDEX(周转筐出入库明细!$J$4:$J$2004,$Z1055-2000))+N(INDEX(周转筐出入库明细!$K$4:$K$2004,$Z1055-2000))),IF($Z1055&lt;=5200,IF(N(INDEX(客户自备加工筐明细!$G$4:$G$1203,$Z1055-4000))=0,"",N(INDEX(客户自备加工筐明细!$G$4:$G$1203,$Z1055-4000))),IF($Z1055&lt;=5800,IF(ISNUMBER(SEARCH("退",INDEX(次果筐明细!$F$4:$F$603,$Z1055-5200)&amp;"")),"",IF(N(INDEX(次果筐明细!$G$4:$G$603,$Z1055-5200))=0,"",N(INDEX(次果筐明细!$G$4:$G$603,$Z1055-5200)))),"")))))</f>
        <v/>
      </c>
      <c r="P1055" s="40" t="str">
        <f>IF($Z1055="","",IF($Z1055&lt;=2000,"",IF($Z1055&lt;=4000,IF(N(INDEX(周转筐出入库明细!$I$4:$I$2004,$Z1055-2000))=0,"",N(INDEX(周转筐出入库明细!$I$4:$I$2004,$Z1055-2000))),IF($Z1055&lt;=5200,"",IF($Z1055&lt;=5800,IF(ISNUMBER(SEARCH("退",INDEX(次果筐明细!$F$4:$F$603,$Z1055-5200)&amp;"")),IF(N(INDEX(次果筐明细!$G$4:$G$603,$Z1055-5200))=0,"",N(INDEX(次果筐明细!$G$4:$G$603,$Z1055-5200))),""),"")))))</f>
        <v/>
      </c>
      <c r="Q1055" s="40" t="str">
        <f>IF($Z1055="","",IF($Z1055&lt;=2000,"",IF($Z1055&lt;=4000,IF(N(INDEX(周转筐出入库明细!$H$4:$H$2004,$Z1055-2000))=0,"",N(INDEX(周转筐出入库明细!$H$4:$H$2004,$Z1055-2000))),IF($Z1055&lt;=5200,IF(N(INDEX(客户自备加工筐明细!$F$4:$F$1203,$Z1055-4000))=0,"",N(INDEX(客户自备加工筐明细!$F$4:$F$1203,$Z1055-4000))),IF($Z1055&lt;=5800,"","")))))</f>
        <v/>
      </c>
      <c r="R1055" s="16" t="str">
        <f>IF($Z1055="","",IF($Z1055&lt;=2000,IF(INDEX(包装物料出入库明细!$O$4:$O$2003,$Z1055-0)=0,"",INDEX(包装物料出入库明细!$O$4:$O$2003,$Z1055-0)),IF($Z1055&lt;=4000,IF(INDEX(周转筐出入库明细!$M$4:$M$2004,$Z1055-2000)=0,"",INDEX(周转筐出入库明细!$M$4:$M$2004,$Z1055-2000)),IF($Z1055&lt;=5200,IF(INDEX(客户自备加工筐明细!$H$4:$H$1203,$Z1055-4000)=0,"",INDEX(客户自备加工筐明细!$H$4:$H$1203,$Z1055-4000)),IF($Z1055&lt;=5800,IF(INDEX(次果筐明细!$H$4:$H$603,$Z1055-5200)=0,"",INDEX(次果筐明细!$H$4:$H$603,$Z1055-5200)),"")))))</f>
        <v/>
      </c>
      <c r="S1055" s="22" t="str">
        <f t="shared" si="50"/>
        <v/>
      </c>
      <c r="Z1055" s="10" t="str">
        <f>IFERROR(MATCH(ROW()-3,_自动清单!$CQ$4:$CQ$5803,0),"")</f>
        <v/>
      </c>
    </row>
    <row r="1056" spans="1:26">
      <c r="A1056" s="24" t="str">
        <f t="shared" si="48"/>
        <v/>
      </c>
      <c r="B1056" s="38" t="str">
        <f>IF($Z1056="","",IF($Z1056&lt;=2000,IF(INDEX(包装物料出入库明细!$B$4:$B$2003,$Z1056-0)=0,"",INDEX(包装物料出入库明细!$B$4:$B$2003,$Z1056-0)),IF($Z1056&lt;=4000,IF(INDEX(周转筐出入库明细!$B$4:$B$2004,$Z1056-2000)=0,"",INDEX(周转筐出入库明细!$B$4:$B$2004,$Z1056-2000)),IF($Z1056&lt;=5200,IF(INDEX(客户自备加工筐明细!$B$4:$B$1203,$Z1056-4000)=0,"",INDEX(客户自备加工筐明细!$B$4:$B$1203,$Z1056-4000)),IF($Z1056&lt;=5800,IF(INDEX(次果筐明细!$B$4:$B$603,$Z1056-5200)=0,"",INDEX(次果筐明细!$B$4:$B$603,$Z1056-5200)),"")))))</f>
        <v/>
      </c>
      <c r="C1056" s="37" t="str">
        <f>IF($Z1056="","",IF($Z1056&lt;=2000,IF(INDEX(包装物料出入库明细!$D$4:$D$2003,$Z1056-0)=0,"",INDEX(包装物料出入库明细!$D$4:$D$2003,$Z1056-0)),IF($Z1056&lt;=4000,IF(INDEX(周转筐出入库明细!$C$4:$C$2004,$Z1056-2000)=0,"",INDEX(周转筐出入库明细!$C$4:$C$2004,$Z1056-2000)),IF($Z1056&lt;=5200,IF(INDEX(客户自备加工筐明细!$E$4:$E$1203,$Z1056-4000)=0,"",INDEX(客户自备加工筐明细!$E$4:$E$1203,$Z1056-4000)),IF($Z1056&lt;=5800,IF(INDEX(次果筐明细!$C$4:$C$603,$Z1056-5200)=0,"",INDEX(次果筐明细!$C$4:$C$603,$Z1056-5200)),"")))))</f>
        <v/>
      </c>
      <c r="D1056" s="37" t="str">
        <f>IF($Z1056="","",IF($Z1056&lt;=2000,"包装物料－"&amp;INDEX(包装物料出入库明细!$H$4:$H$2003,$Z1056-0),IF($Z1056&lt;=4000,"周转筐－"&amp;INDEX(周转筐出入库明细!$F$4:$F$2004,$Z1056-2000),IF($Z1056&lt;=5200,"客户自备筐－"&amp;INDEX(客户自备加工筐明细!$J$4:$J$1203,$Z1056-4000),IF($Z1056&lt;=5800,"次果筐/托盘－"&amp;INDEX(次果筐明细!$F$4:$F$603,$Z1056-5200),"")))))</f>
        <v/>
      </c>
      <c r="E1056" s="24" t="str">
        <f>IF($Z1056="","",IF($Z1056&lt;=2000,IF(INDEX(包装物料出入库明细!$C$4:$C$2003,$Z1056-0)=0,"",INDEX(包装物料出入库明细!$C$4:$C$2003,$Z1056-0)),IF($Z1056&lt;=4000,IF(INDEX(周转筐出入库明细!$E$4:$E$2004,$Z1056-2000)=0,"",INDEX(周转筐出入库明细!$E$4:$E$2004,$Z1056-2000)),IF($Z1056&lt;=5200,IF(INDEX(客户自备加工筐明细!$D$4:$D$1203,$Z1056-4000)=0,"",INDEX(客户自备加工筐明细!$D$4:$D$1203,$Z1056-4000)),IF($Z1056&lt;=5800,IF(INDEX(次果筐明细!$E$4:$E$603,$Z1056-5200)=0,"",INDEX(次果筐明细!$E$4:$E$603,$Z1056-5200)),"")))))</f>
        <v/>
      </c>
      <c r="F1056" s="24" t="str">
        <f>IF($Z1056="","",IF($Z1056&lt;=2000,IF(INDEX(包装物料出入库明细!$E$4:$E$2003,$Z1056-0)=0,"",INDEX(包装物料出入库明细!$E$4:$E$2003,$Z1056-0)),IF($Z1056&lt;=4000,IF(INDEX(周转筐出入库明细!$D$4:$D$2004,$Z1056-2000)=0,"",INDEX(周转筐出入库明细!$D$4:$D$2004,$Z1056-2000)),IF($Z1056&lt;=5200,IF(INDEX(客户自备加工筐明细!$C$4:$C$1203,$Z1056-4000)=0,"",INDEX(客户自备加工筐明细!$C$4:$C$1203,$Z1056-4000)),IF($Z1056&lt;=5800,IF(INDEX(次果筐明细!$D$4:$D$603,$Z1056-5200)=0,"",INDEX(次果筐明细!$D$4:$D$603,$Z1056-5200)),"")))))</f>
        <v/>
      </c>
      <c r="G1056" s="24" t="str">
        <f>IF($Z1056="","",IF($Z1056&lt;=2000,IF(INDEX(包装物料出入库明细!$F$4:$F$2003,$Z1056-0)=0,"",INDEX(包装物料出入库明细!$F$4:$F$2003,$Z1056-0)),IF($Z1056&lt;=4000,"",IF($Z1056&lt;=5200,"",IF($Z1056&lt;=5800,"","")))))</f>
        <v/>
      </c>
      <c r="H1056" s="39" t="str">
        <f>IF($Z1056="","",IF($Z1056&lt;=2000,IF(INDEX(包装物料出入库明细!$L$4:$L$2003,$Z1056-0)=0,"",INDEX(包装物料出入库明细!$L$4:$L$2003,$Z1056-0)),IF($Z1056&lt;=4000,N(INDEX(周转筐出入库明细!$H$4:$H$2004,$Z1056-2000))+N(INDEX(周转筐出入库明细!$I$4:$I$2004,$Z1056-2000))+N(INDEX(周转筐出入库明细!$J$4:$J$2004,$Z1056-2000))+N(INDEX(周转筐出入库明细!$K$4:$K$2004,$Z1056-2000)),IF($Z1056&lt;=5200,N(INDEX(客户自备加工筐明细!$F$4:$F$1203,$Z1056-4000))+N(INDEX(客户自备加工筐明细!$G$4:$G$1203,$Z1056-4000)),IF($Z1056&lt;=5800,IF(INDEX(次果筐明细!$G$4:$G$603,$Z1056-5200)=0,"",INDEX(次果筐明细!$G$4:$G$603,$Z1056-5200)),"")))))</f>
        <v/>
      </c>
      <c r="I1056" s="24" t="str">
        <f>IF($Z1056="","",IF($Z1056&lt;=2000,IF(INDEX(包装物料出入库明细!$G$4:$G$2003,$Z1056-0)=0,"",INDEX(包装物料出入库明细!$G$4:$G$2003,$Z1056-0)),IF($Z1056&lt;=4000,"个",IF($Z1056&lt;=5200,"个",IF($Z1056&lt;=5800,"个","")))))</f>
        <v/>
      </c>
      <c r="J1056" s="30" t="str">
        <f t="shared" si="49"/>
        <v/>
      </c>
      <c r="K1056" s="30" t="str">
        <f>IF($Z1056="","",IF($Z1056&lt;=2000,IF(INDEX(包装物料出入库明细!$N$4:$N$2003,$Z1056-0)=0,"",INDEX(包装物料出入库明细!$N$4:$N$2003,$Z1056-0)),IF($Z1056&lt;=4000,IF(INDEX(周转筐出入库明细!$P$4:$P$2004,$Z1056-2000)=0,"",INDEX(周转筐出入库明细!$P$4:$P$2004,$Z1056-2000)),IF($Z1056&lt;=5200,"",IF($Z1056&lt;=5800,N(INDEX(次果筐明细!$L$4:$L$603,$Z1056-5200))+N(INDEX(次果筐明细!$J$4:$J$603,$Z1056-5200)),"")))))</f>
        <v/>
      </c>
      <c r="L1056" s="24" t="str">
        <f>IF($Z1056="","",IF($Z1056&lt;=2000,IF(INDEX(包装物料出入库明细!$P$4:$P$2003,$Z1056-0)=0,"",INDEX(包装物料出入库明细!$P$4:$P$2003,$Z1056-0)),IF($Z1056&lt;=4000,IF(INDEX(周转筐出入库明细!$Q$4:$Q$2004,$Z1056-2000)=0,"",INDEX(周转筐出入库明细!$Q$4:$Q$2004,$Z1056-2000)),IF($Z1056&lt;=5200,"",IF($Z1056&lt;=5800,IF(INDEX(次果筐明细!$M$4:$M$603,$Z1056-5200)=0,"",INDEX(次果筐明细!$M$4:$M$603,$Z1056-5200)),"")))))</f>
        <v/>
      </c>
      <c r="M1056" s="37" t="str">
        <f>IF($Z1056="","",IF($Z1056&lt;=2000,IF(INDEX(包装物料出入库明细!$R$4:$R$2003,$Z1056-0)=0,"",INDEX(包装物料出入库明细!$R$4:$R$2003,$Z1056-0)),IF($Z1056&lt;=4000,IF(INDEX(周转筐出入库明细!$W$4:$W$2004,$Z1056-2000)=0,"",INDEX(周转筐出入库明细!$W$4:$W$2004,$Z1056-2000)),IF($Z1056&lt;=5200,IF(INDEX(客户自备加工筐明细!$L$4:$L$1203,$Z1056-4000)=0,"",INDEX(客户自备加工筐明细!$L$4:$L$1203,$Z1056-4000)),IF($Z1056&lt;=5800,IF(INDEX(次果筐明细!$P$4:$P$603,$Z1056-5200)=0,"",INDEX(次果筐明细!$P$4:$P$603,$Z1056-5200)),"")))))</f>
        <v/>
      </c>
      <c r="N1056" s="16" t="str">
        <f>IF($Z1056="","",IF($Z1056&lt;=2000,"",IF($Z1056&lt;=4000,IF(INDEX(周转筐出入库明细!$D$4:$D$2004,$Z1056-2000)=0,"",INDEX(周转筐出入库明细!$D$4:$D$2004,$Z1056-2000)),IF($Z1056&lt;=5200,IF(INDEX(客户自备加工筐明细!$C$4:$C$1203,$Z1056-4000)=0,"",INDEX(客户自备加工筐明细!$C$4:$C$1203,$Z1056-4000)),IF($Z1056&lt;=5800,IF(INDEX(次果筐明细!$D$4:$D$603,$Z1056-5200)=0,"",INDEX(次果筐明细!$D$4:$D$603,$Z1056-5200)),"")))))</f>
        <v/>
      </c>
      <c r="O1056" s="40" t="str">
        <f>IF($Z1056="","",IF($Z1056&lt;=2000,"",IF($Z1056&lt;=4000,IF(N(INDEX(周转筐出入库明细!$J$4:$J$2004,$Z1056-2000))+N(INDEX(周转筐出入库明细!$K$4:$K$2004,$Z1056-2000))=0,"",N(INDEX(周转筐出入库明细!$J$4:$J$2004,$Z1056-2000))+N(INDEX(周转筐出入库明细!$K$4:$K$2004,$Z1056-2000))),IF($Z1056&lt;=5200,IF(N(INDEX(客户自备加工筐明细!$G$4:$G$1203,$Z1056-4000))=0,"",N(INDEX(客户自备加工筐明细!$G$4:$G$1203,$Z1056-4000))),IF($Z1056&lt;=5800,IF(ISNUMBER(SEARCH("退",INDEX(次果筐明细!$F$4:$F$603,$Z1056-5200)&amp;"")),"",IF(N(INDEX(次果筐明细!$G$4:$G$603,$Z1056-5200))=0,"",N(INDEX(次果筐明细!$G$4:$G$603,$Z1056-5200)))),"")))))</f>
        <v/>
      </c>
      <c r="P1056" s="40" t="str">
        <f>IF($Z1056="","",IF($Z1056&lt;=2000,"",IF($Z1056&lt;=4000,IF(N(INDEX(周转筐出入库明细!$I$4:$I$2004,$Z1056-2000))=0,"",N(INDEX(周转筐出入库明细!$I$4:$I$2004,$Z1056-2000))),IF($Z1056&lt;=5200,"",IF($Z1056&lt;=5800,IF(ISNUMBER(SEARCH("退",INDEX(次果筐明细!$F$4:$F$603,$Z1056-5200)&amp;"")),IF(N(INDEX(次果筐明细!$G$4:$G$603,$Z1056-5200))=0,"",N(INDEX(次果筐明细!$G$4:$G$603,$Z1056-5200))),""),"")))))</f>
        <v/>
      </c>
      <c r="Q1056" s="40" t="str">
        <f>IF($Z1056="","",IF($Z1056&lt;=2000,"",IF($Z1056&lt;=4000,IF(N(INDEX(周转筐出入库明细!$H$4:$H$2004,$Z1056-2000))=0,"",N(INDEX(周转筐出入库明细!$H$4:$H$2004,$Z1056-2000))),IF($Z1056&lt;=5200,IF(N(INDEX(客户自备加工筐明细!$F$4:$F$1203,$Z1056-4000))=0,"",N(INDEX(客户自备加工筐明细!$F$4:$F$1203,$Z1056-4000))),IF($Z1056&lt;=5800,"","")))))</f>
        <v/>
      </c>
      <c r="R1056" s="16" t="str">
        <f>IF($Z1056="","",IF($Z1056&lt;=2000,IF(INDEX(包装物料出入库明细!$O$4:$O$2003,$Z1056-0)=0,"",INDEX(包装物料出入库明细!$O$4:$O$2003,$Z1056-0)),IF($Z1056&lt;=4000,IF(INDEX(周转筐出入库明细!$M$4:$M$2004,$Z1056-2000)=0,"",INDEX(周转筐出入库明细!$M$4:$M$2004,$Z1056-2000)),IF($Z1056&lt;=5200,IF(INDEX(客户自备加工筐明细!$H$4:$H$1203,$Z1056-4000)=0,"",INDEX(客户自备加工筐明细!$H$4:$H$1203,$Z1056-4000)),IF($Z1056&lt;=5800,IF(INDEX(次果筐明细!$H$4:$H$603,$Z1056-5200)=0,"",INDEX(次果筐明细!$H$4:$H$603,$Z1056-5200)),"")))))</f>
        <v/>
      </c>
      <c r="S1056" s="22" t="str">
        <f t="shared" si="50"/>
        <v/>
      </c>
      <c r="Z1056" s="10" t="str">
        <f>IFERROR(MATCH(ROW()-3,_自动清单!$CQ$4:$CQ$5803,0),"")</f>
        <v/>
      </c>
    </row>
    <row r="1057" spans="1:26">
      <c r="A1057" s="24" t="str">
        <f t="shared" si="48"/>
        <v/>
      </c>
      <c r="B1057" s="38" t="str">
        <f>IF($Z1057="","",IF($Z1057&lt;=2000,IF(INDEX(包装物料出入库明细!$B$4:$B$2003,$Z1057-0)=0,"",INDEX(包装物料出入库明细!$B$4:$B$2003,$Z1057-0)),IF($Z1057&lt;=4000,IF(INDEX(周转筐出入库明细!$B$4:$B$2004,$Z1057-2000)=0,"",INDEX(周转筐出入库明细!$B$4:$B$2004,$Z1057-2000)),IF($Z1057&lt;=5200,IF(INDEX(客户自备加工筐明细!$B$4:$B$1203,$Z1057-4000)=0,"",INDEX(客户自备加工筐明细!$B$4:$B$1203,$Z1057-4000)),IF($Z1057&lt;=5800,IF(INDEX(次果筐明细!$B$4:$B$603,$Z1057-5200)=0,"",INDEX(次果筐明细!$B$4:$B$603,$Z1057-5200)),"")))))</f>
        <v/>
      </c>
      <c r="C1057" s="37" t="str">
        <f>IF($Z1057="","",IF($Z1057&lt;=2000,IF(INDEX(包装物料出入库明细!$D$4:$D$2003,$Z1057-0)=0,"",INDEX(包装物料出入库明细!$D$4:$D$2003,$Z1057-0)),IF($Z1057&lt;=4000,IF(INDEX(周转筐出入库明细!$C$4:$C$2004,$Z1057-2000)=0,"",INDEX(周转筐出入库明细!$C$4:$C$2004,$Z1057-2000)),IF($Z1057&lt;=5200,IF(INDEX(客户自备加工筐明细!$E$4:$E$1203,$Z1057-4000)=0,"",INDEX(客户自备加工筐明细!$E$4:$E$1203,$Z1057-4000)),IF($Z1057&lt;=5800,IF(INDEX(次果筐明细!$C$4:$C$603,$Z1057-5200)=0,"",INDEX(次果筐明细!$C$4:$C$603,$Z1057-5200)),"")))))</f>
        <v/>
      </c>
      <c r="D1057" s="37" t="str">
        <f>IF($Z1057="","",IF($Z1057&lt;=2000,"包装物料－"&amp;INDEX(包装物料出入库明细!$H$4:$H$2003,$Z1057-0),IF($Z1057&lt;=4000,"周转筐－"&amp;INDEX(周转筐出入库明细!$F$4:$F$2004,$Z1057-2000),IF($Z1057&lt;=5200,"客户自备筐－"&amp;INDEX(客户自备加工筐明细!$J$4:$J$1203,$Z1057-4000),IF($Z1057&lt;=5800,"次果筐/托盘－"&amp;INDEX(次果筐明细!$F$4:$F$603,$Z1057-5200),"")))))</f>
        <v/>
      </c>
      <c r="E1057" s="24" t="str">
        <f>IF($Z1057="","",IF($Z1057&lt;=2000,IF(INDEX(包装物料出入库明细!$C$4:$C$2003,$Z1057-0)=0,"",INDEX(包装物料出入库明细!$C$4:$C$2003,$Z1057-0)),IF($Z1057&lt;=4000,IF(INDEX(周转筐出入库明细!$E$4:$E$2004,$Z1057-2000)=0,"",INDEX(周转筐出入库明细!$E$4:$E$2004,$Z1057-2000)),IF($Z1057&lt;=5200,IF(INDEX(客户自备加工筐明细!$D$4:$D$1203,$Z1057-4000)=0,"",INDEX(客户自备加工筐明细!$D$4:$D$1203,$Z1057-4000)),IF($Z1057&lt;=5800,IF(INDEX(次果筐明细!$E$4:$E$603,$Z1057-5200)=0,"",INDEX(次果筐明细!$E$4:$E$603,$Z1057-5200)),"")))))</f>
        <v/>
      </c>
      <c r="F1057" s="24" t="str">
        <f>IF($Z1057="","",IF($Z1057&lt;=2000,IF(INDEX(包装物料出入库明细!$E$4:$E$2003,$Z1057-0)=0,"",INDEX(包装物料出入库明细!$E$4:$E$2003,$Z1057-0)),IF($Z1057&lt;=4000,IF(INDEX(周转筐出入库明细!$D$4:$D$2004,$Z1057-2000)=0,"",INDEX(周转筐出入库明细!$D$4:$D$2004,$Z1057-2000)),IF($Z1057&lt;=5200,IF(INDEX(客户自备加工筐明细!$C$4:$C$1203,$Z1057-4000)=0,"",INDEX(客户自备加工筐明细!$C$4:$C$1203,$Z1057-4000)),IF($Z1057&lt;=5800,IF(INDEX(次果筐明细!$D$4:$D$603,$Z1057-5200)=0,"",INDEX(次果筐明细!$D$4:$D$603,$Z1057-5200)),"")))))</f>
        <v/>
      </c>
      <c r="G1057" s="24" t="str">
        <f>IF($Z1057="","",IF($Z1057&lt;=2000,IF(INDEX(包装物料出入库明细!$F$4:$F$2003,$Z1057-0)=0,"",INDEX(包装物料出入库明细!$F$4:$F$2003,$Z1057-0)),IF($Z1057&lt;=4000,"",IF($Z1057&lt;=5200,"",IF($Z1057&lt;=5800,"","")))))</f>
        <v/>
      </c>
      <c r="H1057" s="39" t="str">
        <f>IF($Z1057="","",IF($Z1057&lt;=2000,IF(INDEX(包装物料出入库明细!$L$4:$L$2003,$Z1057-0)=0,"",INDEX(包装物料出入库明细!$L$4:$L$2003,$Z1057-0)),IF($Z1057&lt;=4000,N(INDEX(周转筐出入库明细!$H$4:$H$2004,$Z1057-2000))+N(INDEX(周转筐出入库明细!$I$4:$I$2004,$Z1057-2000))+N(INDEX(周转筐出入库明细!$J$4:$J$2004,$Z1057-2000))+N(INDEX(周转筐出入库明细!$K$4:$K$2004,$Z1057-2000)),IF($Z1057&lt;=5200,N(INDEX(客户自备加工筐明细!$F$4:$F$1203,$Z1057-4000))+N(INDEX(客户自备加工筐明细!$G$4:$G$1203,$Z1057-4000)),IF($Z1057&lt;=5800,IF(INDEX(次果筐明细!$G$4:$G$603,$Z1057-5200)=0,"",INDEX(次果筐明细!$G$4:$G$603,$Z1057-5200)),"")))))</f>
        <v/>
      </c>
      <c r="I1057" s="24" t="str">
        <f>IF($Z1057="","",IF($Z1057&lt;=2000,IF(INDEX(包装物料出入库明细!$G$4:$G$2003,$Z1057-0)=0,"",INDEX(包装物料出入库明细!$G$4:$G$2003,$Z1057-0)),IF($Z1057&lt;=4000,"个",IF($Z1057&lt;=5200,"个",IF($Z1057&lt;=5800,"个","")))))</f>
        <v/>
      </c>
      <c r="J1057" s="30" t="str">
        <f t="shared" si="49"/>
        <v/>
      </c>
      <c r="K1057" s="30" t="str">
        <f>IF($Z1057="","",IF($Z1057&lt;=2000,IF(INDEX(包装物料出入库明细!$N$4:$N$2003,$Z1057-0)=0,"",INDEX(包装物料出入库明细!$N$4:$N$2003,$Z1057-0)),IF($Z1057&lt;=4000,IF(INDEX(周转筐出入库明细!$P$4:$P$2004,$Z1057-2000)=0,"",INDEX(周转筐出入库明细!$P$4:$P$2004,$Z1057-2000)),IF($Z1057&lt;=5200,"",IF($Z1057&lt;=5800,N(INDEX(次果筐明细!$L$4:$L$603,$Z1057-5200))+N(INDEX(次果筐明细!$J$4:$J$603,$Z1057-5200)),"")))))</f>
        <v/>
      </c>
      <c r="L1057" s="24" t="str">
        <f>IF($Z1057="","",IF($Z1057&lt;=2000,IF(INDEX(包装物料出入库明细!$P$4:$P$2003,$Z1057-0)=0,"",INDEX(包装物料出入库明细!$P$4:$P$2003,$Z1057-0)),IF($Z1057&lt;=4000,IF(INDEX(周转筐出入库明细!$Q$4:$Q$2004,$Z1057-2000)=0,"",INDEX(周转筐出入库明细!$Q$4:$Q$2004,$Z1057-2000)),IF($Z1057&lt;=5200,"",IF($Z1057&lt;=5800,IF(INDEX(次果筐明细!$M$4:$M$603,$Z1057-5200)=0,"",INDEX(次果筐明细!$M$4:$M$603,$Z1057-5200)),"")))))</f>
        <v/>
      </c>
      <c r="M1057" s="37" t="str">
        <f>IF($Z1057="","",IF($Z1057&lt;=2000,IF(INDEX(包装物料出入库明细!$R$4:$R$2003,$Z1057-0)=0,"",INDEX(包装物料出入库明细!$R$4:$R$2003,$Z1057-0)),IF($Z1057&lt;=4000,IF(INDEX(周转筐出入库明细!$W$4:$W$2004,$Z1057-2000)=0,"",INDEX(周转筐出入库明细!$W$4:$W$2004,$Z1057-2000)),IF($Z1057&lt;=5200,IF(INDEX(客户自备加工筐明细!$L$4:$L$1203,$Z1057-4000)=0,"",INDEX(客户自备加工筐明细!$L$4:$L$1203,$Z1057-4000)),IF($Z1057&lt;=5800,IF(INDEX(次果筐明细!$P$4:$P$603,$Z1057-5200)=0,"",INDEX(次果筐明细!$P$4:$P$603,$Z1057-5200)),"")))))</f>
        <v/>
      </c>
      <c r="N1057" s="16" t="str">
        <f>IF($Z1057="","",IF($Z1057&lt;=2000,"",IF($Z1057&lt;=4000,IF(INDEX(周转筐出入库明细!$D$4:$D$2004,$Z1057-2000)=0,"",INDEX(周转筐出入库明细!$D$4:$D$2004,$Z1057-2000)),IF($Z1057&lt;=5200,IF(INDEX(客户自备加工筐明细!$C$4:$C$1203,$Z1057-4000)=0,"",INDEX(客户自备加工筐明细!$C$4:$C$1203,$Z1057-4000)),IF($Z1057&lt;=5800,IF(INDEX(次果筐明细!$D$4:$D$603,$Z1057-5200)=0,"",INDEX(次果筐明细!$D$4:$D$603,$Z1057-5200)),"")))))</f>
        <v/>
      </c>
      <c r="O1057" s="40" t="str">
        <f>IF($Z1057="","",IF($Z1057&lt;=2000,"",IF($Z1057&lt;=4000,IF(N(INDEX(周转筐出入库明细!$J$4:$J$2004,$Z1057-2000))+N(INDEX(周转筐出入库明细!$K$4:$K$2004,$Z1057-2000))=0,"",N(INDEX(周转筐出入库明细!$J$4:$J$2004,$Z1057-2000))+N(INDEX(周转筐出入库明细!$K$4:$K$2004,$Z1057-2000))),IF($Z1057&lt;=5200,IF(N(INDEX(客户自备加工筐明细!$G$4:$G$1203,$Z1057-4000))=0,"",N(INDEX(客户自备加工筐明细!$G$4:$G$1203,$Z1057-4000))),IF($Z1057&lt;=5800,IF(ISNUMBER(SEARCH("退",INDEX(次果筐明细!$F$4:$F$603,$Z1057-5200)&amp;"")),"",IF(N(INDEX(次果筐明细!$G$4:$G$603,$Z1057-5200))=0,"",N(INDEX(次果筐明细!$G$4:$G$603,$Z1057-5200)))),"")))))</f>
        <v/>
      </c>
      <c r="P1057" s="40" t="str">
        <f>IF($Z1057="","",IF($Z1057&lt;=2000,"",IF($Z1057&lt;=4000,IF(N(INDEX(周转筐出入库明细!$I$4:$I$2004,$Z1057-2000))=0,"",N(INDEX(周转筐出入库明细!$I$4:$I$2004,$Z1057-2000))),IF($Z1057&lt;=5200,"",IF($Z1057&lt;=5800,IF(ISNUMBER(SEARCH("退",INDEX(次果筐明细!$F$4:$F$603,$Z1057-5200)&amp;"")),IF(N(INDEX(次果筐明细!$G$4:$G$603,$Z1057-5200))=0,"",N(INDEX(次果筐明细!$G$4:$G$603,$Z1057-5200))),""),"")))))</f>
        <v/>
      </c>
      <c r="Q1057" s="40" t="str">
        <f>IF($Z1057="","",IF($Z1057&lt;=2000,"",IF($Z1057&lt;=4000,IF(N(INDEX(周转筐出入库明细!$H$4:$H$2004,$Z1057-2000))=0,"",N(INDEX(周转筐出入库明细!$H$4:$H$2004,$Z1057-2000))),IF($Z1057&lt;=5200,IF(N(INDEX(客户自备加工筐明细!$F$4:$F$1203,$Z1057-4000))=0,"",N(INDEX(客户自备加工筐明细!$F$4:$F$1203,$Z1057-4000))),IF($Z1057&lt;=5800,"","")))))</f>
        <v/>
      </c>
      <c r="R1057" s="16" t="str">
        <f>IF($Z1057="","",IF($Z1057&lt;=2000,IF(INDEX(包装物料出入库明细!$O$4:$O$2003,$Z1057-0)=0,"",INDEX(包装物料出入库明细!$O$4:$O$2003,$Z1057-0)),IF($Z1057&lt;=4000,IF(INDEX(周转筐出入库明细!$M$4:$M$2004,$Z1057-2000)=0,"",INDEX(周转筐出入库明细!$M$4:$M$2004,$Z1057-2000)),IF($Z1057&lt;=5200,IF(INDEX(客户自备加工筐明细!$H$4:$H$1203,$Z1057-4000)=0,"",INDEX(客户自备加工筐明细!$H$4:$H$1203,$Z1057-4000)),IF($Z1057&lt;=5800,IF(INDEX(次果筐明细!$H$4:$H$603,$Z1057-5200)=0,"",INDEX(次果筐明细!$H$4:$H$603,$Z1057-5200)),"")))))</f>
        <v/>
      </c>
      <c r="S1057" s="22" t="str">
        <f t="shared" si="50"/>
        <v/>
      </c>
      <c r="Z1057" s="10" t="str">
        <f>IFERROR(MATCH(ROW()-3,_自动清单!$CQ$4:$CQ$5803,0),"")</f>
        <v/>
      </c>
    </row>
    <row r="1058" spans="1:26">
      <c r="A1058" s="24" t="str">
        <f t="shared" si="48"/>
        <v/>
      </c>
      <c r="B1058" s="38" t="str">
        <f>IF($Z1058="","",IF($Z1058&lt;=2000,IF(INDEX(包装物料出入库明细!$B$4:$B$2003,$Z1058-0)=0,"",INDEX(包装物料出入库明细!$B$4:$B$2003,$Z1058-0)),IF($Z1058&lt;=4000,IF(INDEX(周转筐出入库明细!$B$4:$B$2004,$Z1058-2000)=0,"",INDEX(周转筐出入库明细!$B$4:$B$2004,$Z1058-2000)),IF($Z1058&lt;=5200,IF(INDEX(客户自备加工筐明细!$B$4:$B$1203,$Z1058-4000)=0,"",INDEX(客户自备加工筐明细!$B$4:$B$1203,$Z1058-4000)),IF($Z1058&lt;=5800,IF(INDEX(次果筐明细!$B$4:$B$603,$Z1058-5200)=0,"",INDEX(次果筐明细!$B$4:$B$603,$Z1058-5200)),"")))))</f>
        <v/>
      </c>
      <c r="C1058" s="37" t="str">
        <f>IF($Z1058="","",IF($Z1058&lt;=2000,IF(INDEX(包装物料出入库明细!$D$4:$D$2003,$Z1058-0)=0,"",INDEX(包装物料出入库明细!$D$4:$D$2003,$Z1058-0)),IF($Z1058&lt;=4000,IF(INDEX(周转筐出入库明细!$C$4:$C$2004,$Z1058-2000)=0,"",INDEX(周转筐出入库明细!$C$4:$C$2004,$Z1058-2000)),IF($Z1058&lt;=5200,IF(INDEX(客户自备加工筐明细!$E$4:$E$1203,$Z1058-4000)=0,"",INDEX(客户自备加工筐明细!$E$4:$E$1203,$Z1058-4000)),IF($Z1058&lt;=5800,IF(INDEX(次果筐明细!$C$4:$C$603,$Z1058-5200)=0,"",INDEX(次果筐明细!$C$4:$C$603,$Z1058-5200)),"")))))</f>
        <v/>
      </c>
      <c r="D1058" s="37" t="str">
        <f>IF($Z1058="","",IF($Z1058&lt;=2000,"包装物料－"&amp;INDEX(包装物料出入库明细!$H$4:$H$2003,$Z1058-0),IF($Z1058&lt;=4000,"周转筐－"&amp;INDEX(周转筐出入库明细!$F$4:$F$2004,$Z1058-2000),IF($Z1058&lt;=5200,"客户自备筐－"&amp;INDEX(客户自备加工筐明细!$J$4:$J$1203,$Z1058-4000),IF($Z1058&lt;=5800,"次果筐/托盘－"&amp;INDEX(次果筐明细!$F$4:$F$603,$Z1058-5200),"")))))</f>
        <v/>
      </c>
      <c r="E1058" s="24" t="str">
        <f>IF($Z1058="","",IF($Z1058&lt;=2000,IF(INDEX(包装物料出入库明细!$C$4:$C$2003,$Z1058-0)=0,"",INDEX(包装物料出入库明细!$C$4:$C$2003,$Z1058-0)),IF($Z1058&lt;=4000,IF(INDEX(周转筐出入库明细!$E$4:$E$2004,$Z1058-2000)=0,"",INDEX(周转筐出入库明细!$E$4:$E$2004,$Z1058-2000)),IF($Z1058&lt;=5200,IF(INDEX(客户自备加工筐明细!$D$4:$D$1203,$Z1058-4000)=0,"",INDEX(客户自备加工筐明细!$D$4:$D$1203,$Z1058-4000)),IF($Z1058&lt;=5800,IF(INDEX(次果筐明细!$E$4:$E$603,$Z1058-5200)=0,"",INDEX(次果筐明细!$E$4:$E$603,$Z1058-5200)),"")))))</f>
        <v/>
      </c>
      <c r="F1058" s="24" t="str">
        <f>IF($Z1058="","",IF($Z1058&lt;=2000,IF(INDEX(包装物料出入库明细!$E$4:$E$2003,$Z1058-0)=0,"",INDEX(包装物料出入库明细!$E$4:$E$2003,$Z1058-0)),IF($Z1058&lt;=4000,IF(INDEX(周转筐出入库明细!$D$4:$D$2004,$Z1058-2000)=0,"",INDEX(周转筐出入库明细!$D$4:$D$2004,$Z1058-2000)),IF($Z1058&lt;=5200,IF(INDEX(客户自备加工筐明细!$C$4:$C$1203,$Z1058-4000)=0,"",INDEX(客户自备加工筐明细!$C$4:$C$1203,$Z1058-4000)),IF($Z1058&lt;=5800,IF(INDEX(次果筐明细!$D$4:$D$603,$Z1058-5200)=0,"",INDEX(次果筐明细!$D$4:$D$603,$Z1058-5200)),"")))))</f>
        <v/>
      </c>
      <c r="G1058" s="24" t="str">
        <f>IF($Z1058="","",IF($Z1058&lt;=2000,IF(INDEX(包装物料出入库明细!$F$4:$F$2003,$Z1058-0)=0,"",INDEX(包装物料出入库明细!$F$4:$F$2003,$Z1058-0)),IF($Z1058&lt;=4000,"",IF($Z1058&lt;=5200,"",IF($Z1058&lt;=5800,"","")))))</f>
        <v/>
      </c>
      <c r="H1058" s="39" t="str">
        <f>IF($Z1058="","",IF($Z1058&lt;=2000,IF(INDEX(包装物料出入库明细!$L$4:$L$2003,$Z1058-0)=0,"",INDEX(包装物料出入库明细!$L$4:$L$2003,$Z1058-0)),IF($Z1058&lt;=4000,N(INDEX(周转筐出入库明细!$H$4:$H$2004,$Z1058-2000))+N(INDEX(周转筐出入库明细!$I$4:$I$2004,$Z1058-2000))+N(INDEX(周转筐出入库明细!$J$4:$J$2004,$Z1058-2000))+N(INDEX(周转筐出入库明细!$K$4:$K$2004,$Z1058-2000)),IF($Z1058&lt;=5200,N(INDEX(客户自备加工筐明细!$F$4:$F$1203,$Z1058-4000))+N(INDEX(客户自备加工筐明细!$G$4:$G$1203,$Z1058-4000)),IF($Z1058&lt;=5800,IF(INDEX(次果筐明细!$G$4:$G$603,$Z1058-5200)=0,"",INDEX(次果筐明细!$G$4:$G$603,$Z1058-5200)),"")))))</f>
        <v/>
      </c>
      <c r="I1058" s="24" t="str">
        <f>IF($Z1058="","",IF($Z1058&lt;=2000,IF(INDEX(包装物料出入库明细!$G$4:$G$2003,$Z1058-0)=0,"",INDEX(包装物料出入库明细!$G$4:$G$2003,$Z1058-0)),IF($Z1058&lt;=4000,"个",IF($Z1058&lt;=5200,"个",IF($Z1058&lt;=5800,"个","")))))</f>
        <v/>
      </c>
      <c r="J1058" s="30" t="str">
        <f t="shared" si="49"/>
        <v/>
      </c>
      <c r="K1058" s="30" t="str">
        <f>IF($Z1058="","",IF($Z1058&lt;=2000,IF(INDEX(包装物料出入库明细!$N$4:$N$2003,$Z1058-0)=0,"",INDEX(包装物料出入库明细!$N$4:$N$2003,$Z1058-0)),IF($Z1058&lt;=4000,IF(INDEX(周转筐出入库明细!$P$4:$P$2004,$Z1058-2000)=0,"",INDEX(周转筐出入库明细!$P$4:$P$2004,$Z1058-2000)),IF($Z1058&lt;=5200,"",IF($Z1058&lt;=5800,N(INDEX(次果筐明细!$L$4:$L$603,$Z1058-5200))+N(INDEX(次果筐明细!$J$4:$J$603,$Z1058-5200)),"")))))</f>
        <v/>
      </c>
      <c r="L1058" s="24" t="str">
        <f>IF($Z1058="","",IF($Z1058&lt;=2000,IF(INDEX(包装物料出入库明细!$P$4:$P$2003,$Z1058-0)=0,"",INDEX(包装物料出入库明细!$P$4:$P$2003,$Z1058-0)),IF($Z1058&lt;=4000,IF(INDEX(周转筐出入库明细!$Q$4:$Q$2004,$Z1058-2000)=0,"",INDEX(周转筐出入库明细!$Q$4:$Q$2004,$Z1058-2000)),IF($Z1058&lt;=5200,"",IF($Z1058&lt;=5800,IF(INDEX(次果筐明细!$M$4:$M$603,$Z1058-5200)=0,"",INDEX(次果筐明细!$M$4:$M$603,$Z1058-5200)),"")))))</f>
        <v/>
      </c>
      <c r="M1058" s="37" t="str">
        <f>IF($Z1058="","",IF($Z1058&lt;=2000,IF(INDEX(包装物料出入库明细!$R$4:$R$2003,$Z1058-0)=0,"",INDEX(包装物料出入库明细!$R$4:$R$2003,$Z1058-0)),IF($Z1058&lt;=4000,IF(INDEX(周转筐出入库明细!$W$4:$W$2004,$Z1058-2000)=0,"",INDEX(周转筐出入库明细!$W$4:$W$2004,$Z1058-2000)),IF($Z1058&lt;=5200,IF(INDEX(客户自备加工筐明细!$L$4:$L$1203,$Z1058-4000)=0,"",INDEX(客户自备加工筐明细!$L$4:$L$1203,$Z1058-4000)),IF($Z1058&lt;=5800,IF(INDEX(次果筐明细!$P$4:$P$603,$Z1058-5200)=0,"",INDEX(次果筐明细!$P$4:$P$603,$Z1058-5200)),"")))))</f>
        <v/>
      </c>
      <c r="N1058" s="16" t="str">
        <f>IF($Z1058="","",IF($Z1058&lt;=2000,"",IF($Z1058&lt;=4000,IF(INDEX(周转筐出入库明细!$D$4:$D$2004,$Z1058-2000)=0,"",INDEX(周转筐出入库明细!$D$4:$D$2004,$Z1058-2000)),IF($Z1058&lt;=5200,IF(INDEX(客户自备加工筐明细!$C$4:$C$1203,$Z1058-4000)=0,"",INDEX(客户自备加工筐明细!$C$4:$C$1203,$Z1058-4000)),IF($Z1058&lt;=5800,IF(INDEX(次果筐明细!$D$4:$D$603,$Z1058-5200)=0,"",INDEX(次果筐明细!$D$4:$D$603,$Z1058-5200)),"")))))</f>
        <v/>
      </c>
      <c r="O1058" s="40" t="str">
        <f>IF($Z1058="","",IF($Z1058&lt;=2000,"",IF($Z1058&lt;=4000,IF(N(INDEX(周转筐出入库明细!$J$4:$J$2004,$Z1058-2000))+N(INDEX(周转筐出入库明细!$K$4:$K$2004,$Z1058-2000))=0,"",N(INDEX(周转筐出入库明细!$J$4:$J$2004,$Z1058-2000))+N(INDEX(周转筐出入库明细!$K$4:$K$2004,$Z1058-2000))),IF($Z1058&lt;=5200,IF(N(INDEX(客户自备加工筐明细!$G$4:$G$1203,$Z1058-4000))=0,"",N(INDEX(客户自备加工筐明细!$G$4:$G$1203,$Z1058-4000))),IF($Z1058&lt;=5800,IF(ISNUMBER(SEARCH("退",INDEX(次果筐明细!$F$4:$F$603,$Z1058-5200)&amp;"")),"",IF(N(INDEX(次果筐明细!$G$4:$G$603,$Z1058-5200))=0,"",N(INDEX(次果筐明细!$G$4:$G$603,$Z1058-5200)))),"")))))</f>
        <v/>
      </c>
      <c r="P1058" s="40" t="str">
        <f>IF($Z1058="","",IF($Z1058&lt;=2000,"",IF($Z1058&lt;=4000,IF(N(INDEX(周转筐出入库明细!$I$4:$I$2004,$Z1058-2000))=0,"",N(INDEX(周转筐出入库明细!$I$4:$I$2004,$Z1058-2000))),IF($Z1058&lt;=5200,"",IF($Z1058&lt;=5800,IF(ISNUMBER(SEARCH("退",INDEX(次果筐明细!$F$4:$F$603,$Z1058-5200)&amp;"")),IF(N(INDEX(次果筐明细!$G$4:$G$603,$Z1058-5200))=0,"",N(INDEX(次果筐明细!$G$4:$G$603,$Z1058-5200))),""),"")))))</f>
        <v/>
      </c>
      <c r="Q1058" s="40" t="str">
        <f>IF($Z1058="","",IF($Z1058&lt;=2000,"",IF($Z1058&lt;=4000,IF(N(INDEX(周转筐出入库明细!$H$4:$H$2004,$Z1058-2000))=0,"",N(INDEX(周转筐出入库明细!$H$4:$H$2004,$Z1058-2000))),IF($Z1058&lt;=5200,IF(N(INDEX(客户自备加工筐明细!$F$4:$F$1203,$Z1058-4000))=0,"",N(INDEX(客户自备加工筐明细!$F$4:$F$1203,$Z1058-4000))),IF($Z1058&lt;=5800,"","")))))</f>
        <v/>
      </c>
      <c r="R1058" s="16" t="str">
        <f>IF($Z1058="","",IF($Z1058&lt;=2000,IF(INDEX(包装物料出入库明细!$O$4:$O$2003,$Z1058-0)=0,"",INDEX(包装物料出入库明细!$O$4:$O$2003,$Z1058-0)),IF($Z1058&lt;=4000,IF(INDEX(周转筐出入库明细!$M$4:$M$2004,$Z1058-2000)=0,"",INDEX(周转筐出入库明细!$M$4:$M$2004,$Z1058-2000)),IF($Z1058&lt;=5200,IF(INDEX(客户自备加工筐明细!$H$4:$H$1203,$Z1058-4000)=0,"",INDEX(客户自备加工筐明细!$H$4:$H$1203,$Z1058-4000)),IF($Z1058&lt;=5800,IF(INDEX(次果筐明细!$H$4:$H$603,$Z1058-5200)=0,"",INDEX(次果筐明细!$H$4:$H$603,$Z1058-5200)),"")))))</f>
        <v/>
      </c>
      <c r="S1058" s="22" t="str">
        <f t="shared" si="50"/>
        <v/>
      </c>
      <c r="Z1058" s="10" t="str">
        <f>IFERROR(MATCH(ROW()-3,_自动清单!$CQ$4:$CQ$5803,0),"")</f>
        <v/>
      </c>
    </row>
    <row r="1059" spans="1:26">
      <c r="A1059" s="24" t="str">
        <f t="shared" si="48"/>
        <v/>
      </c>
      <c r="B1059" s="38" t="str">
        <f>IF($Z1059="","",IF($Z1059&lt;=2000,IF(INDEX(包装物料出入库明细!$B$4:$B$2003,$Z1059-0)=0,"",INDEX(包装物料出入库明细!$B$4:$B$2003,$Z1059-0)),IF($Z1059&lt;=4000,IF(INDEX(周转筐出入库明细!$B$4:$B$2004,$Z1059-2000)=0,"",INDEX(周转筐出入库明细!$B$4:$B$2004,$Z1059-2000)),IF($Z1059&lt;=5200,IF(INDEX(客户自备加工筐明细!$B$4:$B$1203,$Z1059-4000)=0,"",INDEX(客户自备加工筐明细!$B$4:$B$1203,$Z1059-4000)),IF($Z1059&lt;=5800,IF(INDEX(次果筐明细!$B$4:$B$603,$Z1059-5200)=0,"",INDEX(次果筐明细!$B$4:$B$603,$Z1059-5200)),"")))))</f>
        <v/>
      </c>
      <c r="C1059" s="37" t="str">
        <f>IF($Z1059="","",IF($Z1059&lt;=2000,IF(INDEX(包装物料出入库明细!$D$4:$D$2003,$Z1059-0)=0,"",INDEX(包装物料出入库明细!$D$4:$D$2003,$Z1059-0)),IF($Z1059&lt;=4000,IF(INDEX(周转筐出入库明细!$C$4:$C$2004,$Z1059-2000)=0,"",INDEX(周转筐出入库明细!$C$4:$C$2004,$Z1059-2000)),IF($Z1059&lt;=5200,IF(INDEX(客户自备加工筐明细!$E$4:$E$1203,$Z1059-4000)=0,"",INDEX(客户自备加工筐明细!$E$4:$E$1203,$Z1059-4000)),IF($Z1059&lt;=5800,IF(INDEX(次果筐明细!$C$4:$C$603,$Z1059-5200)=0,"",INDEX(次果筐明细!$C$4:$C$603,$Z1059-5200)),"")))))</f>
        <v/>
      </c>
      <c r="D1059" s="37" t="str">
        <f>IF($Z1059="","",IF($Z1059&lt;=2000,"包装物料－"&amp;INDEX(包装物料出入库明细!$H$4:$H$2003,$Z1059-0),IF($Z1059&lt;=4000,"周转筐－"&amp;INDEX(周转筐出入库明细!$F$4:$F$2004,$Z1059-2000),IF($Z1059&lt;=5200,"客户自备筐－"&amp;INDEX(客户自备加工筐明细!$J$4:$J$1203,$Z1059-4000),IF($Z1059&lt;=5800,"次果筐/托盘－"&amp;INDEX(次果筐明细!$F$4:$F$603,$Z1059-5200),"")))))</f>
        <v/>
      </c>
      <c r="E1059" s="24" t="str">
        <f>IF($Z1059="","",IF($Z1059&lt;=2000,IF(INDEX(包装物料出入库明细!$C$4:$C$2003,$Z1059-0)=0,"",INDEX(包装物料出入库明细!$C$4:$C$2003,$Z1059-0)),IF($Z1059&lt;=4000,IF(INDEX(周转筐出入库明细!$E$4:$E$2004,$Z1059-2000)=0,"",INDEX(周转筐出入库明细!$E$4:$E$2004,$Z1059-2000)),IF($Z1059&lt;=5200,IF(INDEX(客户自备加工筐明细!$D$4:$D$1203,$Z1059-4000)=0,"",INDEX(客户自备加工筐明细!$D$4:$D$1203,$Z1059-4000)),IF($Z1059&lt;=5800,IF(INDEX(次果筐明细!$E$4:$E$603,$Z1059-5200)=0,"",INDEX(次果筐明细!$E$4:$E$603,$Z1059-5200)),"")))))</f>
        <v/>
      </c>
      <c r="F1059" s="24" t="str">
        <f>IF($Z1059="","",IF($Z1059&lt;=2000,IF(INDEX(包装物料出入库明细!$E$4:$E$2003,$Z1059-0)=0,"",INDEX(包装物料出入库明细!$E$4:$E$2003,$Z1059-0)),IF($Z1059&lt;=4000,IF(INDEX(周转筐出入库明细!$D$4:$D$2004,$Z1059-2000)=0,"",INDEX(周转筐出入库明细!$D$4:$D$2004,$Z1059-2000)),IF($Z1059&lt;=5200,IF(INDEX(客户自备加工筐明细!$C$4:$C$1203,$Z1059-4000)=0,"",INDEX(客户自备加工筐明细!$C$4:$C$1203,$Z1059-4000)),IF($Z1059&lt;=5800,IF(INDEX(次果筐明细!$D$4:$D$603,$Z1059-5200)=0,"",INDEX(次果筐明细!$D$4:$D$603,$Z1059-5200)),"")))))</f>
        <v/>
      </c>
      <c r="G1059" s="24" t="str">
        <f>IF($Z1059="","",IF($Z1059&lt;=2000,IF(INDEX(包装物料出入库明细!$F$4:$F$2003,$Z1059-0)=0,"",INDEX(包装物料出入库明细!$F$4:$F$2003,$Z1059-0)),IF($Z1059&lt;=4000,"",IF($Z1059&lt;=5200,"",IF($Z1059&lt;=5800,"","")))))</f>
        <v/>
      </c>
      <c r="H1059" s="39" t="str">
        <f>IF($Z1059="","",IF($Z1059&lt;=2000,IF(INDEX(包装物料出入库明细!$L$4:$L$2003,$Z1059-0)=0,"",INDEX(包装物料出入库明细!$L$4:$L$2003,$Z1059-0)),IF($Z1059&lt;=4000,N(INDEX(周转筐出入库明细!$H$4:$H$2004,$Z1059-2000))+N(INDEX(周转筐出入库明细!$I$4:$I$2004,$Z1059-2000))+N(INDEX(周转筐出入库明细!$J$4:$J$2004,$Z1059-2000))+N(INDEX(周转筐出入库明细!$K$4:$K$2004,$Z1059-2000)),IF($Z1059&lt;=5200,N(INDEX(客户自备加工筐明细!$F$4:$F$1203,$Z1059-4000))+N(INDEX(客户自备加工筐明细!$G$4:$G$1203,$Z1059-4000)),IF($Z1059&lt;=5800,IF(INDEX(次果筐明细!$G$4:$G$603,$Z1059-5200)=0,"",INDEX(次果筐明细!$G$4:$G$603,$Z1059-5200)),"")))))</f>
        <v/>
      </c>
      <c r="I1059" s="24" t="str">
        <f>IF($Z1059="","",IF($Z1059&lt;=2000,IF(INDEX(包装物料出入库明细!$G$4:$G$2003,$Z1059-0)=0,"",INDEX(包装物料出入库明细!$G$4:$G$2003,$Z1059-0)),IF($Z1059&lt;=4000,"个",IF($Z1059&lt;=5200,"个",IF($Z1059&lt;=5800,"个","")))))</f>
        <v/>
      </c>
      <c r="J1059" s="30" t="str">
        <f t="shared" si="49"/>
        <v/>
      </c>
      <c r="K1059" s="30" t="str">
        <f>IF($Z1059="","",IF($Z1059&lt;=2000,IF(INDEX(包装物料出入库明细!$N$4:$N$2003,$Z1059-0)=0,"",INDEX(包装物料出入库明细!$N$4:$N$2003,$Z1059-0)),IF($Z1059&lt;=4000,IF(INDEX(周转筐出入库明细!$P$4:$P$2004,$Z1059-2000)=0,"",INDEX(周转筐出入库明细!$P$4:$P$2004,$Z1059-2000)),IF($Z1059&lt;=5200,"",IF($Z1059&lt;=5800,N(INDEX(次果筐明细!$L$4:$L$603,$Z1059-5200))+N(INDEX(次果筐明细!$J$4:$J$603,$Z1059-5200)),"")))))</f>
        <v/>
      </c>
      <c r="L1059" s="24" t="str">
        <f>IF($Z1059="","",IF($Z1059&lt;=2000,IF(INDEX(包装物料出入库明细!$P$4:$P$2003,$Z1059-0)=0,"",INDEX(包装物料出入库明细!$P$4:$P$2003,$Z1059-0)),IF($Z1059&lt;=4000,IF(INDEX(周转筐出入库明细!$Q$4:$Q$2004,$Z1059-2000)=0,"",INDEX(周转筐出入库明细!$Q$4:$Q$2004,$Z1059-2000)),IF($Z1059&lt;=5200,"",IF($Z1059&lt;=5800,IF(INDEX(次果筐明细!$M$4:$M$603,$Z1059-5200)=0,"",INDEX(次果筐明细!$M$4:$M$603,$Z1059-5200)),"")))))</f>
        <v/>
      </c>
      <c r="M1059" s="37" t="str">
        <f>IF($Z1059="","",IF($Z1059&lt;=2000,IF(INDEX(包装物料出入库明细!$R$4:$R$2003,$Z1059-0)=0,"",INDEX(包装物料出入库明细!$R$4:$R$2003,$Z1059-0)),IF($Z1059&lt;=4000,IF(INDEX(周转筐出入库明细!$W$4:$W$2004,$Z1059-2000)=0,"",INDEX(周转筐出入库明细!$W$4:$W$2004,$Z1059-2000)),IF($Z1059&lt;=5200,IF(INDEX(客户自备加工筐明细!$L$4:$L$1203,$Z1059-4000)=0,"",INDEX(客户自备加工筐明细!$L$4:$L$1203,$Z1059-4000)),IF($Z1059&lt;=5800,IF(INDEX(次果筐明细!$P$4:$P$603,$Z1059-5200)=0,"",INDEX(次果筐明细!$P$4:$P$603,$Z1059-5200)),"")))))</f>
        <v/>
      </c>
      <c r="N1059" s="16" t="str">
        <f>IF($Z1059="","",IF($Z1059&lt;=2000,"",IF($Z1059&lt;=4000,IF(INDEX(周转筐出入库明细!$D$4:$D$2004,$Z1059-2000)=0,"",INDEX(周转筐出入库明细!$D$4:$D$2004,$Z1059-2000)),IF($Z1059&lt;=5200,IF(INDEX(客户自备加工筐明细!$C$4:$C$1203,$Z1059-4000)=0,"",INDEX(客户自备加工筐明细!$C$4:$C$1203,$Z1059-4000)),IF($Z1059&lt;=5800,IF(INDEX(次果筐明细!$D$4:$D$603,$Z1059-5200)=0,"",INDEX(次果筐明细!$D$4:$D$603,$Z1059-5200)),"")))))</f>
        <v/>
      </c>
      <c r="O1059" s="40" t="str">
        <f>IF($Z1059="","",IF($Z1059&lt;=2000,"",IF($Z1059&lt;=4000,IF(N(INDEX(周转筐出入库明细!$J$4:$J$2004,$Z1059-2000))+N(INDEX(周转筐出入库明细!$K$4:$K$2004,$Z1059-2000))=0,"",N(INDEX(周转筐出入库明细!$J$4:$J$2004,$Z1059-2000))+N(INDEX(周转筐出入库明细!$K$4:$K$2004,$Z1059-2000))),IF($Z1059&lt;=5200,IF(N(INDEX(客户自备加工筐明细!$G$4:$G$1203,$Z1059-4000))=0,"",N(INDEX(客户自备加工筐明细!$G$4:$G$1203,$Z1059-4000))),IF($Z1059&lt;=5800,IF(ISNUMBER(SEARCH("退",INDEX(次果筐明细!$F$4:$F$603,$Z1059-5200)&amp;"")),"",IF(N(INDEX(次果筐明细!$G$4:$G$603,$Z1059-5200))=0,"",N(INDEX(次果筐明细!$G$4:$G$603,$Z1059-5200)))),"")))))</f>
        <v/>
      </c>
      <c r="P1059" s="40" t="str">
        <f>IF($Z1059="","",IF($Z1059&lt;=2000,"",IF($Z1059&lt;=4000,IF(N(INDEX(周转筐出入库明细!$I$4:$I$2004,$Z1059-2000))=0,"",N(INDEX(周转筐出入库明细!$I$4:$I$2004,$Z1059-2000))),IF($Z1059&lt;=5200,"",IF($Z1059&lt;=5800,IF(ISNUMBER(SEARCH("退",INDEX(次果筐明细!$F$4:$F$603,$Z1059-5200)&amp;"")),IF(N(INDEX(次果筐明细!$G$4:$G$603,$Z1059-5200))=0,"",N(INDEX(次果筐明细!$G$4:$G$603,$Z1059-5200))),""),"")))))</f>
        <v/>
      </c>
      <c r="Q1059" s="40" t="str">
        <f>IF($Z1059="","",IF($Z1059&lt;=2000,"",IF($Z1059&lt;=4000,IF(N(INDEX(周转筐出入库明细!$H$4:$H$2004,$Z1059-2000))=0,"",N(INDEX(周转筐出入库明细!$H$4:$H$2004,$Z1059-2000))),IF($Z1059&lt;=5200,IF(N(INDEX(客户自备加工筐明细!$F$4:$F$1203,$Z1059-4000))=0,"",N(INDEX(客户自备加工筐明细!$F$4:$F$1203,$Z1059-4000))),IF($Z1059&lt;=5800,"","")))))</f>
        <v/>
      </c>
      <c r="R1059" s="16" t="str">
        <f>IF($Z1059="","",IF($Z1059&lt;=2000,IF(INDEX(包装物料出入库明细!$O$4:$O$2003,$Z1059-0)=0,"",INDEX(包装物料出入库明细!$O$4:$O$2003,$Z1059-0)),IF($Z1059&lt;=4000,IF(INDEX(周转筐出入库明细!$M$4:$M$2004,$Z1059-2000)=0,"",INDEX(周转筐出入库明细!$M$4:$M$2004,$Z1059-2000)),IF($Z1059&lt;=5200,IF(INDEX(客户自备加工筐明细!$H$4:$H$1203,$Z1059-4000)=0,"",INDEX(客户自备加工筐明细!$H$4:$H$1203,$Z1059-4000)),IF($Z1059&lt;=5800,IF(INDEX(次果筐明细!$H$4:$H$603,$Z1059-5200)=0,"",INDEX(次果筐明细!$H$4:$H$603,$Z1059-5200)),"")))))</f>
        <v/>
      </c>
      <c r="S1059" s="22" t="str">
        <f t="shared" si="50"/>
        <v/>
      </c>
      <c r="Z1059" s="10" t="str">
        <f>IFERROR(MATCH(ROW()-3,_自动清单!$CQ$4:$CQ$5803,0),"")</f>
        <v/>
      </c>
    </row>
    <row r="1060" spans="1:26">
      <c r="A1060" s="24" t="str">
        <f t="shared" si="48"/>
        <v/>
      </c>
      <c r="B1060" s="38" t="str">
        <f>IF($Z1060="","",IF($Z1060&lt;=2000,IF(INDEX(包装物料出入库明细!$B$4:$B$2003,$Z1060-0)=0,"",INDEX(包装物料出入库明细!$B$4:$B$2003,$Z1060-0)),IF($Z1060&lt;=4000,IF(INDEX(周转筐出入库明细!$B$4:$B$2004,$Z1060-2000)=0,"",INDEX(周转筐出入库明细!$B$4:$B$2004,$Z1060-2000)),IF($Z1060&lt;=5200,IF(INDEX(客户自备加工筐明细!$B$4:$B$1203,$Z1060-4000)=0,"",INDEX(客户自备加工筐明细!$B$4:$B$1203,$Z1060-4000)),IF($Z1060&lt;=5800,IF(INDEX(次果筐明细!$B$4:$B$603,$Z1060-5200)=0,"",INDEX(次果筐明细!$B$4:$B$603,$Z1060-5200)),"")))))</f>
        <v/>
      </c>
      <c r="C1060" s="37" t="str">
        <f>IF($Z1060="","",IF($Z1060&lt;=2000,IF(INDEX(包装物料出入库明细!$D$4:$D$2003,$Z1060-0)=0,"",INDEX(包装物料出入库明细!$D$4:$D$2003,$Z1060-0)),IF($Z1060&lt;=4000,IF(INDEX(周转筐出入库明细!$C$4:$C$2004,$Z1060-2000)=0,"",INDEX(周转筐出入库明细!$C$4:$C$2004,$Z1060-2000)),IF($Z1060&lt;=5200,IF(INDEX(客户自备加工筐明细!$E$4:$E$1203,$Z1060-4000)=0,"",INDEX(客户自备加工筐明细!$E$4:$E$1203,$Z1060-4000)),IF($Z1060&lt;=5800,IF(INDEX(次果筐明细!$C$4:$C$603,$Z1060-5200)=0,"",INDEX(次果筐明细!$C$4:$C$603,$Z1060-5200)),"")))))</f>
        <v/>
      </c>
      <c r="D1060" s="37" t="str">
        <f>IF($Z1060="","",IF($Z1060&lt;=2000,"包装物料－"&amp;INDEX(包装物料出入库明细!$H$4:$H$2003,$Z1060-0),IF($Z1060&lt;=4000,"周转筐－"&amp;INDEX(周转筐出入库明细!$F$4:$F$2004,$Z1060-2000),IF($Z1060&lt;=5200,"客户自备筐－"&amp;INDEX(客户自备加工筐明细!$J$4:$J$1203,$Z1060-4000),IF($Z1060&lt;=5800,"次果筐/托盘－"&amp;INDEX(次果筐明细!$F$4:$F$603,$Z1060-5200),"")))))</f>
        <v/>
      </c>
      <c r="E1060" s="24" t="str">
        <f>IF($Z1060="","",IF($Z1060&lt;=2000,IF(INDEX(包装物料出入库明细!$C$4:$C$2003,$Z1060-0)=0,"",INDEX(包装物料出入库明细!$C$4:$C$2003,$Z1060-0)),IF($Z1060&lt;=4000,IF(INDEX(周转筐出入库明细!$E$4:$E$2004,$Z1060-2000)=0,"",INDEX(周转筐出入库明细!$E$4:$E$2004,$Z1060-2000)),IF($Z1060&lt;=5200,IF(INDEX(客户自备加工筐明细!$D$4:$D$1203,$Z1060-4000)=0,"",INDEX(客户自备加工筐明细!$D$4:$D$1203,$Z1060-4000)),IF($Z1060&lt;=5800,IF(INDEX(次果筐明细!$E$4:$E$603,$Z1060-5200)=0,"",INDEX(次果筐明细!$E$4:$E$603,$Z1060-5200)),"")))))</f>
        <v/>
      </c>
      <c r="F1060" s="24" t="str">
        <f>IF($Z1060="","",IF($Z1060&lt;=2000,IF(INDEX(包装物料出入库明细!$E$4:$E$2003,$Z1060-0)=0,"",INDEX(包装物料出入库明细!$E$4:$E$2003,$Z1060-0)),IF($Z1060&lt;=4000,IF(INDEX(周转筐出入库明细!$D$4:$D$2004,$Z1060-2000)=0,"",INDEX(周转筐出入库明细!$D$4:$D$2004,$Z1060-2000)),IF($Z1060&lt;=5200,IF(INDEX(客户自备加工筐明细!$C$4:$C$1203,$Z1060-4000)=0,"",INDEX(客户自备加工筐明细!$C$4:$C$1203,$Z1060-4000)),IF($Z1060&lt;=5800,IF(INDEX(次果筐明细!$D$4:$D$603,$Z1060-5200)=0,"",INDEX(次果筐明细!$D$4:$D$603,$Z1060-5200)),"")))))</f>
        <v/>
      </c>
      <c r="G1060" s="24" t="str">
        <f>IF($Z1060="","",IF($Z1060&lt;=2000,IF(INDEX(包装物料出入库明细!$F$4:$F$2003,$Z1060-0)=0,"",INDEX(包装物料出入库明细!$F$4:$F$2003,$Z1060-0)),IF($Z1060&lt;=4000,"",IF($Z1060&lt;=5200,"",IF($Z1060&lt;=5800,"","")))))</f>
        <v/>
      </c>
      <c r="H1060" s="39" t="str">
        <f>IF($Z1060="","",IF($Z1060&lt;=2000,IF(INDEX(包装物料出入库明细!$L$4:$L$2003,$Z1060-0)=0,"",INDEX(包装物料出入库明细!$L$4:$L$2003,$Z1060-0)),IF($Z1060&lt;=4000,N(INDEX(周转筐出入库明细!$H$4:$H$2004,$Z1060-2000))+N(INDEX(周转筐出入库明细!$I$4:$I$2004,$Z1060-2000))+N(INDEX(周转筐出入库明细!$J$4:$J$2004,$Z1060-2000))+N(INDEX(周转筐出入库明细!$K$4:$K$2004,$Z1060-2000)),IF($Z1060&lt;=5200,N(INDEX(客户自备加工筐明细!$F$4:$F$1203,$Z1060-4000))+N(INDEX(客户自备加工筐明细!$G$4:$G$1203,$Z1060-4000)),IF($Z1060&lt;=5800,IF(INDEX(次果筐明细!$G$4:$G$603,$Z1060-5200)=0,"",INDEX(次果筐明细!$G$4:$G$603,$Z1060-5200)),"")))))</f>
        <v/>
      </c>
      <c r="I1060" s="24" t="str">
        <f>IF($Z1060="","",IF($Z1060&lt;=2000,IF(INDEX(包装物料出入库明细!$G$4:$G$2003,$Z1060-0)=0,"",INDEX(包装物料出入库明细!$G$4:$G$2003,$Z1060-0)),IF($Z1060&lt;=4000,"个",IF($Z1060&lt;=5200,"个",IF($Z1060&lt;=5800,"个","")))))</f>
        <v/>
      </c>
      <c r="J1060" s="30" t="str">
        <f t="shared" si="49"/>
        <v/>
      </c>
      <c r="K1060" s="30" t="str">
        <f>IF($Z1060="","",IF($Z1060&lt;=2000,IF(INDEX(包装物料出入库明细!$N$4:$N$2003,$Z1060-0)=0,"",INDEX(包装物料出入库明细!$N$4:$N$2003,$Z1060-0)),IF($Z1060&lt;=4000,IF(INDEX(周转筐出入库明细!$P$4:$P$2004,$Z1060-2000)=0,"",INDEX(周转筐出入库明细!$P$4:$P$2004,$Z1060-2000)),IF($Z1060&lt;=5200,"",IF($Z1060&lt;=5800,N(INDEX(次果筐明细!$L$4:$L$603,$Z1060-5200))+N(INDEX(次果筐明细!$J$4:$J$603,$Z1060-5200)),"")))))</f>
        <v/>
      </c>
      <c r="L1060" s="24" t="str">
        <f>IF($Z1060="","",IF($Z1060&lt;=2000,IF(INDEX(包装物料出入库明细!$P$4:$P$2003,$Z1060-0)=0,"",INDEX(包装物料出入库明细!$P$4:$P$2003,$Z1060-0)),IF($Z1060&lt;=4000,IF(INDEX(周转筐出入库明细!$Q$4:$Q$2004,$Z1060-2000)=0,"",INDEX(周转筐出入库明细!$Q$4:$Q$2004,$Z1060-2000)),IF($Z1060&lt;=5200,"",IF($Z1060&lt;=5800,IF(INDEX(次果筐明细!$M$4:$M$603,$Z1060-5200)=0,"",INDEX(次果筐明细!$M$4:$M$603,$Z1060-5200)),"")))))</f>
        <v/>
      </c>
      <c r="M1060" s="37" t="str">
        <f>IF($Z1060="","",IF($Z1060&lt;=2000,IF(INDEX(包装物料出入库明细!$R$4:$R$2003,$Z1060-0)=0,"",INDEX(包装物料出入库明细!$R$4:$R$2003,$Z1060-0)),IF($Z1060&lt;=4000,IF(INDEX(周转筐出入库明细!$W$4:$W$2004,$Z1060-2000)=0,"",INDEX(周转筐出入库明细!$W$4:$W$2004,$Z1060-2000)),IF($Z1060&lt;=5200,IF(INDEX(客户自备加工筐明细!$L$4:$L$1203,$Z1060-4000)=0,"",INDEX(客户自备加工筐明细!$L$4:$L$1203,$Z1060-4000)),IF($Z1060&lt;=5800,IF(INDEX(次果筐明细!$P$4:$P$603,$Z1060-5200)=0,"",INDEX(次果筐明细!$P$4:$P$603,$Z1060-5200)),"")))))</f>
        <v/>
      </c>
      <c r="N1060" s="16" t="str">
        <f>IF($Z1060="","",IF($Z1060&lt;=2000,"",IF($Z1060&lt;=4000,IF(INDEX(周转筐出入库明细!$D$4:$D$2004,$Z1060-2000)=0,"",INDEX(周转筐出入库明细!$D$4:$D$2004,$Z1060-2000)),IF($Z1060&lt;=5200,IF(INDEX(客户自备加工筐明细!$C$4:$C$1203,$Z1060-4000)=0,"",INDEX(客户自备加工筐明细!$C$4:$C$1203,$Z1060-4000)),IF($Z1060&lt;=5800,IF(INDEX(次果筐明细!$D$4:$D$603,$Z1060-5200)=0,"",INDEX(次果筐明细!$D$4:$D$603,$Z1060-5200)),"")))))</f>
        <v/>
      </c>
      <c r="O1060" s="40" t="str">
        <f>IF($Z1060="","",IF($Z1060&lt;=2000,"",IF($Z1060&lt;=4000,IF(N(INDEX(周转筐出入库明细!$J$4:$J$2004,$Z1060-2000))+N(INDEX(周转筐出入库明细!$K$4:$K$2004,$Z1060-2000))=0,"",N(INDEX(周转筐出入库明细!$J$4:$J$2004,$Z1060-2000))+N(INDEX(周转筐出入库明细!$K$4:$K$2004,$Z1060-2000))),IF($Z1060&lt;=5200,IF(N(INDEX(客户自备加工筐明细!$G$4:$G$1203,$Z1060-4000))=0,"",N(INDEX(客户自备加工筐明细!$G$4:$G$1203,$Z1060-4000))),IF($Z1060&lt;=5800,IF(ISNUMBER(SEARCH("退",INDEX(次果筐明细!$F$4:$F$603,$Z1060-5200)&amp;"")),"",IF(N(INDEX(次果筐明细!$G$4:$G$603,$Z1060-5200))=0,"",N(INDEX(次果筐明细!$G$4:$G$603,$Z1060-5200)))),"")))))</f>
        <v/>
      </c>
      <c r="P1060" s="40" t="str">
        <f>IF($Z1060="","",IF($Z1060&lt;=2000,"",IF($Z1060&lt;=4000,IF(N(INDEX(周转筐出入库明细!$I$4:$I$2004,$Z1060-2000))=0,"",N(INDEX(周转筐出入库明细!$I$4:$I$2004,$Z1060-2000))),IF($Z1060&lt;=5200,"",IF($Z1060&lt;=5800,IF(ISNUMBER(SEARCH("退",INDEX(次果筐明细!$F$4:$F$603,$Z1060-5200)&amp;"")),IF(N(INDEX(次果筐明细!$G$4:$G$603,$Z1060-5200))=0,"",N(INDEX(次果筐明细!$G$4:$G$603,$Z1060-5200))),""),"")))))</f>
        <v/>
      </c>
      <c r="Q1060" s="40" t="str">
        <f>IF($Z1060="","",IF($Z1060&lt;=2000,"",IF($Z1060&lt;=4000,IF(N(INDEX(周转筐出入库明细!$H$4:$H$2004,$Z1060-2000))=0,"",N(INDEX(周转筐出入库明细!$H$4:$H$2004,$Z1060-2000))),IF($Z1060&lt;=5200,IF(N(INDEX(客户自备加工筐明细!$F$4:$F$1203,$Z1060-4000))=0,"",N(INDEX(客户自备加工筐明细!$F$4:$F$1203,$Z1060-4000))),IF($Z1060&lt;=5800,"","")))))</f>
        <v/>
      </c>
      <c r="R1060" s="16" t="str">
        <f>IF($Z1060="","",IF($Z1060&lt;=2000,IF(INDEX(包装物料出入库明细!$O$4:$O$2003,$Z1060-0)=0,"",INDEX(包装物料出入库明细!$O$4:$O$2003,$Z1060-0)),IF($Z1060&lt;=4000,IF(INDEX(周转筐出入库明细!$M$4:$M$2004,$Z1060-2000)=0,"",INDEX(周转筐出入库明细!$M$4:$M$2004,$Z1060-2000)),IF($Z1060&lt;=5200,IF(INDEX(客户自备加工筐明细!$H$4:$H$1203,$Z1060-4000)=0,"",INDEX(客户自备加工筐明细!$H$4:$H$1203,$Z1060-4000)),IF($Z1060&lt;=5800,IF(INDEX(次果筐明细!$H$4:$H$603,$Z1060-5200)=0,"",INDEX(次果筐明细!$H$4:$H$603,$Z1060-5200)),"")))))</f>
        <v/>
      </c>
      <c r="S1060" s="22" t="str">
        <f t="shared" si="50"/>
        <v/>
      </c>
      <c r="Z1060" s="10" t="str">
        <f>IFERROR(MATCH(ROW()-3,_自动清单!$CQ$4:$CQ$5803,0),"")</f>
        <v/>
      </c>
    </row>
    <row r="1061" spans="1:26">
      <c r="A1061" s="24" t="str">
        <f t="shared" si="48"/>
        <v/>
      </c>
      <c r="B1061" s="38" t="str">
        <f>IF($Z1061="","",IF($Z1061&lt;=2000,IF(INDEX(包装物料出入库明细!$B$4:$B$2003,$Z1061-0)=0,"",INDEX(包装物料出入库明细!$B$4:$B$2003,$Z1061-0)),IF($Z1061&lt;=4000,IF(INDEX(周转筐出入库明细!$B$4:$B$2004,$Z1061-2000)=0,"",INDEX(周转筐出入库明细!$B$4:$B$2004,$Z1061-2000)),IF($Z1061&lt;=5200,IF(INDEX(客户自备加工筐明细!$B$4:$B$1203,$Z1061-4000)=0,"",INDEX(客户自备加工筐明细!$B$4:$B$1203,$Z1061-4000)),IF($Z1061&lt;=5800,IF(INDEX(次果筐明细!$B$4:$B$603,$Z1061-5200)=0,"",INDEX(次果筐明细!$B$4:$B$603,$Z1061-5200)),"")))))</f>
        <v/>
      </c>
      <c r="C1061" s="37" t="str">
        <f>IF($Z1061="","",IF($Z1061&lt;=2000,IF(INDEX(包装物料出入库明细!$D$4:$D$2003,$Z1061-0)=0,"",INDEX(包装物料出入库明细!$D$4:$D$2003,$Z1061-0)),IF($Z1061&lt;=4000,IF(INDEX(周转筐出入库明细!$C$4:$C$2004,$Z1061-2000)=0,"",INDEX(周转筐出入库明细!$C$4:$C$2004,$Z1061-2000)),IF($Z1061&lt;=5200,IF(INDEX(客户自备加工筐明细!$E$4:$E$1203,$Z1061-4000)=0,"",INDEX(客户自备加工筐明细!$E$4:$E$1203,$Z1061-4000)),IF($Z1061&lt;=5800,IF(INDEX(次果筐明细!$C$4:$C$603,$Z1061-5200)=0,"",INDEX(次果筐明细!$C$4:$C$603,$Z1061-5200)),"")))))</f>
        <v/>
      </c>
      <c r="D1061" s="37" t="str">
        <f>IF($Z1061="","",IF($Z1061&lt;=2000,"包装物料－"&amp;INDEX(包装物料出入库明细!$H$4:$H$2003,$Z1061-0),IF($Z1061&lt;=4000,"周转筐－"&amp;INDEX(周转筐出入库明细!$F$4:$F$2004,$Z1061-2000),IF($Z1061&lt;=5200,"客户自备筐－"&amp;INDEX(客户自备加工筐明细!$J$4:$J$1203,$Z1061-4000),IF($Z1061&lt;=5800,"次果筐/托盘－"&amp;INDEX(次果筐明细!$F$4:$F$603,$Z1061-5200),"")))))</f>
        <v/>
      </c>
      <c r="E1061" s="24" t="str">
        <f>IF($Z1061="","",IF($Z1061&lt;=2000,IF(INDEX(包装物料出入库明细!$C$4:$C$2003,$Z1061-0)=0,"",INDEX(包装物料出入库明细!$C$4:$C$2003,$Z1061-0)),IF($Z1061&lt;=4000,IF(INDEX(周转筐出入库明细!$E$4:$E$2004,$Z1061-2000)=0,"",INDEX(周转筐出入库明细!$E$4:$E$2004,$Z1061-2000)),IF($Z1061&lt;=5200,IF(INDEX(客户自备加工筐明细!$D$4:$D$1203,$Z1061-4000)=0,"",INDEX(客户自备加工筐明细!$D$4:$D$1203,$Z1061-4000)),IF($Z1061&lt;=5800,IF(INDEX(次果筐明细!$E$4:$E$603,$Z1061-5200)=0,"",INDEX(次果筐明细!$E$4:$E$603,$Z1061-5200)),"")))))</f>
        <v/>
      </c>
      <c r="F1061" s="24" t="str">
        <f>IF($Z1061="","",IF($Z1061&lt;=2000,IF(INDEX(包装物料出入库明细!$E$4:$E$2003,$Z1061-0)=0,"",INDEX(包装物料出入库明细!$E$4:$E$2003,$Z1061-0)),IF($Z1061&lt;=4000,IF(INDEX(周转筐出入库明细!$D$4:$D$2004,$Z1061-2000)=0,"",INDEX(周转筐出入库明细!$D$4:$D$2004,$Z1061-2000)),IF($Z1061&lt;=5200,IF(INDEX(客户自备加工筐明细!$C$4:$C$1203,$Z1061-4000)=0,"",INDEX(客户自备加工筐明细!$C$4:$C$1203,$Z1061-4000)),IF($Z1061&lt;=5800,IF(INDEX(次果筐明细!$D$4:$D$603,$Z1061-5200)=0,"",INDEX(次果筐明细!$D$4:$D$603,$Z1061-5200)),"")))))</f>
        <v/>
      </c>
      <c r="G1061" s="24" t="str">
        <f>IF($Z1061="","",IF($Z1061&lt;=2000,IF(INDEX(包装物料出入库明细!$F$4:$F$2003,$Z1061-0)=0,"",INDEX(包装物料出入库明细!$F$4:$F$2003,$Z1061-0)),IF($Z1061&lt;=4000,"",IF($Z1061&lt;=5200,"",IF($Z1061&lt;=5800,"","")))))</f>
        <v/>
      </c>
      <c r="H1061" s="39" t="str">
        <f>IF($Z1061="","",IF($Z1061&lt;=2000,IF(INDEX(包装物料出入库明细!$L$4:$L$2003,$Z1061-0)=0,"",INDEX(包装物料出入库明细!$L$4:$L$2003,$Z1061-0)),IF($Z1061&lt;=4000,N(INDEX(周转筐出入库明细!$H$4:$H$2004,$Z1061-2000))+N(INDEX(周转筐出入库明细!$I$4:$I$2004,$Z1061-2000))+N(INDEX(周转筐出入库明细!$J$4:$J$2004,$Z1061-2000))+N(INDEX(周转筐出入库明细!$K$4:$K$2004,$Z1061-2000)),IF($Z1061&lt;=5200,N(INDEX(客户自备加工筐明细!$F$4:$F$1203,$Z1061-4000))+N(INDEX(客户自备加工筐明细!$G$4:$G$1203,$Z1061-4000)),IF($Z1061&lt;=5800,IF(INDEX(次果筐明细!$G$4:$G$603,$Z1061-5200)=0,"",INDEX(次果筐明细!$G$4:$G$603,$Z1061-5200)),"")))))</f>
        <v/>
      </c>
      <c r="I1061" s="24" t="str">
        <f>IF($Z1061="","",IF($Z1061&lt;=2000,IF(INDEX(包装物料出入库明细!$G$4:$G$2003,$Z1061-0)=0,"",INDEX(包装物料出入库明细!$G$4:$G$2003,$Z1061-0)),IF($Z1061&lt;=4000,"个",IF($Z1061&lt;=5200,"个",IF($Z1061&lt;=5800,"个","")))))</f>
        <v/>
      </c>
      <c r="J1061" s="30" t="str">
        <f t="shared" si="49"/>
        <v/>
      </c>
      <c r="K1061" s="30" t="str">
        <f>IF($Z1061="","",IF($Z1061&lt;=2000,IF(INDEX(包装物料出入库明细!$N$4:$N$2003,$Z1061-0)=0,"",INDEX(包装物料出入库明细!$N$4:$N$2003,$Z1061-0)),IF($Z1061&lt;=4000,IF(INDEX(周转筐出入库明细!$P$4:$P$2004,$Z1061-2000)=0,"",INDEX(周转筐出入库明细!$P$4:$P$2004,$Z1061-2000)),IF($Z1061&lt;=5200,"",IF($Z1061&lt;=5800,N(INDEX(次果筐明细!$L$4:$L$603,$Z1061-5200))+N(INDEX(次果筐明细!$J$4:$J$603,$Z1061-5200)),"")))))</f>
        <v/>
      </c>
      <c r="L1061" s="24" t="str">
        <f>IF($Z1061="","",IF($Z1061&lt;=2000,IF(INDEX(包装物料出入库明细!$P$4:$P$2003,$Z1061-0)=0,"",INDEX(包装物料出入库明细!$P$4:$P$2003,$Z1061-0)),IF($Z1061&lt;=4000,IF(INDEX(周转筐出入库明细!$Q$4:$Q$2004,$Z1061-2000)=0,"",INDEX(周转筐出入库明细!$Q$4:$Q$2004,$Z1061-2000)),IF($Z1061&lt;=5200,"",IF($Z1061&lt;=5800,IF(INDEX(次果筐明细!$M$4:$M$603,$Z1061-5200)=0,"",INDEX(次果筐明细!$M$4:$M$603,$Z1061-5200)),"")))))</f>
        <v/>
      </c>
      <c r="M1061" s="37" t="str">
        <f>IF($Z1061="","",IF($Z1061&lt;=2000,IF(INDEX(包装物料出入库明细!$R$4:$R$2003,$Z1061-0)=0,"",INDEX(包装物料出入库明细!$R$4:$R$2003,$Z1061-0)),IF($Z1061&lt;=4000,IF(INDEX(周转筐出入库明细!$W$4:$W$2004,$Z1061-2000)=0,"",INDEX(周转筐出入库明细!$W$4:$W$2004,$Z1061-2000)),IF($Z1061&lt;=5200,IF(INDEX(客户自备加工筐明细!$L$4:$L$1203,$Z1061-4000)=0,"",INDEX(客户自备加工筐明细!$L$4:$L$1203,$Z1061-4000)),IF($Z1061&lt;=5800,IF(INDEX(次果筐明细!$P$4:$P$603,$Z1061-5200)=0,"",INDEX(次果筐明细!$P$4:$P$603,$Z1061-5200)),"")))))</f>
        <v/>
      </c>
      <c r="N1061" s="16" t="str">
        <f>IF($Z1061="","",IF($Z1061&lt;=2000,"",IF($Z1061&lt;=4000,IF(INDEX(周转筐出入库明细!$D$4:$D$2004,$Z1061-2000)=0,"",INDEX(周转筐出入库明细!$D$4:$D$2004,$Z1061-2000)),IF($Z1061&lt;=5200,IF(INDEX(客户自备加工筐明细!$C$4:$C$1203,$Z1061-4000)=0,"",INDEX(客户自备加工筐明细!$C$4:$C$1203,$Z1061-4000)),IF($Z1061&lt;=5800,IF(INDEX(次果筐明细!$D$4:$D$603,$Z1061-5200)=0,"",INDEX(次果筐明细!$D$4:$D$603,$Z1061-5200)),"")))))</f>
        <v/>
      </c>
      <c r="O1061" s="40" t="str">
        <f>IF($Z1061="","",IF($Z1061&lt;=2000,"",IF($Z1061&lt;=4000,IF(N(INDEX(周转筐出入库明细!$J$4:$J$2004,$Z1061-2000))+N(INDEX(周转筐出入库明细!$K$4:$K$2004,$Z1061-2000))=0,"",N(INDEX(周转筐出入库明细!$J$4:$J$2004,$Z1061-2000))+N(INDEX(周转筐出入库明细!$K$4:$K$2004,$Z1061-2000))),IF($Z1061&lt;=5200,IF(N(INDEX(客户自备加工筐明细!$G$4:$G$1203,$Z1061-4000))=0,"",N(INDEX(客户自备加工筐明细!$G$4:$G$1203,$Z1061-4000))),IF($Z1061&lt;=5800,IF(ISNUMBER(SEARCH("退",INDEX(次果筐明细!$F$4:$F$603,$Z1061-5200)&amp;"")),"",IF(N(INDEX(次果筐明细!$G$4:$G$603,$Z1061-5200))=0,"",N(INDEX(次果筐明细!$G$4:$G$603,$Z1061-5200)))),"")))))</f>
        <v/>
      </c>
      <c r="P1061" s="40" t="str">
        <f>IF($Z1061="","",IF($Z1061&lt;=2000,"",IF($Z1061&lt;=4000,IF(N(INDEX(周转筐出入库明细!$I$4:$I$2004,$Z1061-2000))=0,"",N(INDEX(周转筐出入库明细!$I$4:$I$2004,$Z1061-2000))),IF($Z1061&lt;=5200,"",IF($Z1061&lt;=5800,IF(ISNUMBER(SEARCH("退",INDEX(次果筐明细!$F$4:$F$603,$Z1061-5200)&amp;"")),IF(N(INDEX(次果筐明细!$G$4:$G$603,$Z1061-5200))=0,"",N(INDEX(次果筐明细!$G$4:$G$603,$Z1061-5200))),""),"")))))</f>
        <v/>
      </c>
      <c r="Q1061" s="40" t="str">
        <f>IF($Z1061="","",IF($Z1061&lt;=2000,"",IF($Z1061&lt;=4000,IF(N(INDEX(周转筐出入库明细!$H$4:$H$2004,$Z1061-2000))=0,"",N(INDEX(周转筐出入库明细!$H$4:$H$2004,$Z1061-2000))),IF($Z1061&lt;=5200,IF(N(INDEX(客户自备加工筐明细!$F$4:$F$1203,$Z1061-4000))=0,"",N(INDEX(客户自备加工筐明细!$F$4:$F$1203,$Z1061-4000))),IF($Z1061&lt;=5800,"","")))))</f>
        <v/>
      </c>
      <c r="R1061" s="16" t="str">
        <f>IF($Z1061="","",IF($Z1061&lt;=2000,IF(INDEX(包装物料出入库明细!$O$4:$O$2003,$Z1061-0)=0,"",INDEX(包装物料出入库明细!$O$4:$O$2003,$Z1061-0)),IF($Z1061&lt;=4000,IF(INDEX(周转筐出入库明细!$M$4:$M$2004,$Z1061-2000)=0,"",INDEX(周转筐出入库明细!$M$4:$M$2004,$Z1061-2000)),IF($Z1061&lt;=5200,IF(INDEX(客户自备加工筐明细!$H$4:$H$1203,$Z1061-4000)=0,"",INDEX(客户自备加工筐明细!$H$4:$H$1203,$Z1061-4000)),IF($Z1061&lt;=5800,IF(INDEX(次果筐明细!$H$4:$H$603,$Z1061-5200)=0,"",INDEX(次果筐明细!$H$4:$H$603,$Z1061-5200)),"")))))</f>
        <v/>
      </c>
      <c r="S1061" s="22" t="str">
        <f t="shared" si="50"/>
        <v/>
      </c>
      <c r="Z1061" s="10" t="str">
        <f>IFERROR(MATCH(ROW()-3,_自动清单!$CQ$4:$CQ$5803,0),"")</f>
        <v/>
      </c>
    </row>
    <row r="1062" spans="1:26">
      <c r="A1062" s="24" t="str">
        <f t="shared" si="48"/>
        <v/>
      </c>
      <c r="B1062" s="38" t="str">
        <f>IF($Z1062="","",IF($Z1062&lt;=2000,IF(INDEX(包装物料出入库明细!$B$4:$B$2003,$Z1062-0)=0,"",INDEX(包装物料出入库明细!$B$4:$B$2003,$Z1062-0)),IF($Z1062&lt;=4000,IF(INDEX(周转筐出入库明细!$B$4:$B$2004,$Z1062-2000)=0,"",INDEX(周转筐出入库明细!$B$4:$B$2004,$Z1062-2000)),IF($Z1062&lt;=5200,IF(INDEX(客户自备加工筐明细!$B$4:$B$1203,$Z1062-4000)=0,"",INDEX(客户自备加工筐明细!$B$4:$B$1203,$Z1062-4000)),IF($Z1062&lt;=5800,IF(INDEX(次果筐明细!$B$4:$B$603,$Z1062-5200)=0,"",INDEX(次果筐明细!$B$4:$B$603,$Z1062-5200)),"")))))</f>
        <v/>
      </c>
      <c r="C1062" s="37" t="str">
        <f>IF($Z1062="","",IF($Z1062&lt;=2000,IF(INDEX(包装物料出入库明细!$D$4:$D$2003,$Z1062-0)=0,"",INDEX(包装物料出入库明细!$D$4:$D$2003,$Z1062-0)),IF($Z1062&lt;=4000,IF(INDEX(周转筐出入库明细!$C$4:$C$2004,$Z1062-2000)=0,"",INDEX(周转筐出入库明细!$C$4:$C$2004,$Z1062-2000)),IF($Z1062&lt;=5200,IF(INDEX(客户自备加工筐明细!$E$4:$E$1203,$Z1062-4000)=0,"",INDEX(客户自备加工筐明细!$E$4:$E$1203,$Z1062-4000)),IF($Z1062&lt;=5800,IF(INDEX(次果筐明细!$C$4:$C$603,$Z1062-5200)=0,"",INDEX(次果筐明细!$C$4:$C$603,$Z1062-5200)),"")))))</f>
        <v/>
      </c>
      <c r="D1062" s="37" t="str">
        <f>IF($Z1062="","",IF($Z1062&lt;=2000,"包装物料－"&amp;INDEX(包装物料出入库明细!$H$4:$H$2003,$Z1062-0),IF($Z1062&lt;=4000,"周转筐－"&amp;INDEX(周转筐出入库明细!$F$4:$F$2004,$Z1062-2000),IF($Z1062&lt;=5200,"客户自备筐－"&amp;INDEX(客户自备加工筐明细!$J$4:$J$1203,$Z1062-4000),IF($Z1062&lt;=5800,"次果筐/托盘－"&amp;INDEX(次果筐明细!$F$4:$F$603,$Z1062-5200),"")))))</f>
        <v/>
      </c>
      <c r="E1062" s="24" t="str">
        <f>IF($Z1062="","",IF($Z1062&lt;=2000,IF(INDEX(包装物料出入库明细!$C$4:$C$2003,$Z1062-0)=0,"",INDEX(包装物料出入库明细!$C$4:$C$2003,$Z1062-0)),IF($Z1062&lt;=4000,IF(INDEX(周转筐出入库明细!$E$4:$E$2004,$Z1062-2000)=0,"",INDEX(周转筐出入库明细!$E$4:$E$2004,$Z1062-2000)),IF($Z1062&lt;=5200,IF(INDEX(客户自备加工筐明细!$D$4:$D$1203,$Z1062-4000)=0,"",INDEX(客户自备加工筐明细!$D$4:$D$1203,$Z1062-4000)),IF($Z1062&lt;=5800,IF(INDEX(次果筐明细!$E$4:$E$603,$Z1062-5200)=0,"",INDEX(次果筐明细!$E$4:$E$603,$Z1062-5200)),"")))))</f>
        <v/>
      </c>
      <c r="F1062" s="24" t="str">
        <f>IF($Z1062="","",IF($Z1062&lt;=2000,IF(INDEX(包装物料出入库明细!$E$4:$E$2003,$Z1062-0)=0,"",INDEX(包装物料出入库明细!$E$4:$E$2003,$Z1062-0)),IF($Z1062&lt;=4000,IF(INDEX(周转筐出入库明细!$D$4:$D$2004,$Z1062-2000)=0,"",INDEX(周转筐出入库明细!$D$4:$D$2004,$Z1062-2000)),IF($Z1062&lt;=5200,IF(INDEX(客户自备加工筐明细!$C$4:$C$1203,$Z1062-4000)=0,"",INDEX(客户自备加工筐明细!$C$4:$C$1203,$Z1062-4000)),IF($Z1062&lt;=5800,IF(INDEX(次果筐明细!$D$4:$D$603,$Z1062-5200)=0,"",INDEX(次果筐明细!$D$4:$D$603,$Z1062-5200)),"")))))</f>
        <v/>
      </c>
      <c r="G1062" s="24" t="str">
        <f>IF($Z1062="","",IF($Z1062&lt;=2000,IF(INDEX(包装物料出入库明细!$F$4:$F$2003,$Z1062-0)=0,"",INDEX(包装物料出入库明细!$F$4:$F$2003,$Z1062-0)),IF($Z1062&lt;=4000,"",IF($Z1062&lt;=5200,"",IF($Z1062&lt;=5800,"","")))))</f>
        <v/>
      </c>
      <c r="H1062" s="39" t="str">
        <f>IF($Z1062="","",IF($Z1062&lt;=2000,IF(INDEX(包装物料出入库明细!$L$4:$L$2003,$Z1062-0)=0,"",INDEX(包装物料出入库明细!$L$4:$L$2003,$Z1062-0)),IF($Z1062&lt;=4000,N(INDEX(周转筐出入库明细!$H$4:$H$2004,$Z1062-2000))+N(INDEX(周转筐出入库明细!$I$4:$I$2004,$Z1062-2000))+N(INDEX(周转筐出入库明细!$J$4:$J$2004,$Z1062-2000))+N(INDEX(周转筐出入库明细!$K$4:$K$2004,$Z1062-2000)),IF($Z1062&lt;=5200,N(INDEX(客户自备加工筐明细!$F$4:$F$1203,$Z1062-4000))+N(INDEX(客户自备加工筐明细!$G$4:$G$1203,$Z1062-4000)),IF($Z1062&lt;=5800,IF(INDEX(次果筐明细!$G$4:$G$603,$Z1062-5200)=0,"",INDEX(次果筐明细!$G$4:$G$603,$Z1062-5200)),"")))))</f>
        <v/>
      </c>
      <c r="I1062" s="24" t="str">
        <f>IF($Z1062="","",IF($Z1062&lt;=2000,IF(INDEX(包装物料出入库明细!$G$4:$G$2003,$Z1062-0)=0,"",INDEX(包装物料出入库明细!$G$4:$G$2003,$Z1062-0)),IF($Z1062&lt;=4000,"个",IF($Z1062&lt;=5200,"个",IF($Z1062&lt;=5800,"个","")))))</f>
        <v/>
      </c>
      <c r="J1062" s="30" t="str">
        <f t="shared" si="49"/>
        <v/>
      </c>
      <c r="K1062" s="30" t="str">
        <f>IF($Z1062="","",IF($Z1062&lt;=2000,IF(INDEX(包装物料出入库明细!$N$4:$N$2003,$Z1062-0)=0,"",INDEX(包装物料出入库明细!$N$4:$N$2003,$Z1062-0)),IF($Z1062&lt;=4000,IF(INDEX(周转筐出入库明细!$P$4:$P$2004,$Z1062-2000)=0,"",INDEX(周转筐出入库明细!$P$4:$P$2004,$Z1062-2000)),IF($Z1062&lt;=5200,"",IF($Z1062&lt;=5800,N(INDEX(次果筐明细!$L$4:$L$603,$Z1062-5200))+N(INDEX(次果筐明细!$J$4:$J$603,$Z1062-5200)),"")))))</f>
        <v/>
      </c>
      <c r="L1062" s="24" t="str">
        <f>IF($Z1062="","",IF($Z1062&lt;=2000,IF(INDEX(包装物料出入库明细!$P$4:$P$2003,$Z1062-0)=0,"",INDEX(包装物料出入库明细!$P$4:$P$2003,$Z1062-0)),IF($Z1062&lt;=4000,IF(INDEX(周转筐出入库明细!$Q$4:$Q$2004,$Z1062-2000)=0,"",INDEX(周转筐出入库明细!$Q$4:$Q$2004,$Z1062-2000)),IF($Z1062&lt;=5200,"",IF($Z1062&lt;=5800,IF(INDEX(次果筐明细!$M$4:$M$603,$Z1062-5200)=0,"",INDEX(次果筐明细!$M$4:$M$603,$Z1062-5200)),"")))))</f>
        <v/>
      </c>
      <c r="M1062" s="37" t="str">
        <f>IF($Z1062="","",IF($Z1062&lt;=2000,IF(INDEX(包装物料出入库明细!$R$4:$R$2003,$Z1062-0)=0,"",INDEX(包装物料出入库明细!$R$4:$R$2003,$Z1062-0)),IF($Z1062&lt;=4000,IF(INDEX(周转筐出入库明细!$W$4:$W$2004,$Z1062-2000)=0,"",INDEX(周转筐出入库明细!$W$4:$W$2004,$Z1062-2000)),IF($Z1062&lt;=5200,IF(INDEX(客户自备加工筐明细!$L$4:$L$1203,$Z1062-4000)=0,"",INDEX(客户自备加工筐明细!$L$4:$L$1203,$Z1062-4000)),IF($Z1062&lt;=5800,IF(INDEX(次果筐明细!$P$4:$P$603,$Z1062-5200)=0,"",INDEX(次果筐明细!$P$4:$P$603,$Z1062-5200)),"")))))</f>
        <v/>
      </c>
      <c r="N1062" s="16" t="str">
        <f>IF($Z1062="","",IF($Z1062&lt;=2000,"",IF($Z1062&lt;=4000,IF(INDEX(周转筐出入库明细!$D$4:$D$2004,$Z1062-2000)=0,"",INDEX(周转筐出入库明细!$D$4:$D$2004,$Z1062-2000)),IF($Z1062&lt;=5200,IF(INDEX(客户自备加工筐明细!$C$4:$C$1203,$Z1062-4000)=0,"",INDEX(客户自备加工筐明细!$C$4:$C$1203,$Z1062-4000)),IF($Z1062&lt;=5800,IF(INDEX(次果筐明细!$D$4:$D$603,$Z1062-5200)=0,"",INDEX(次果筐明细!$D$4:$D$603,$Z1062-5200)),"")))))</f>
        <v/>
      </c>
      <c r="O1062" s="40" t="str">
        <f>IF($Z1062="","",IF($Z1062&lt;=2000,"",IF($Z1062&lt;=4000,IF(N(INDEX(周转筐出入库明细!$J$4:$J$2004,$Z1062-2000))+N(INDEX(周转筐出入库明细!$K$4:$K$2004,$Z1062-2000))=0,"",N(INDEX(周转筐出入库明细!$J$4:$J$2004,$Z1062-2000))+N(INDEX(周转筐出入库明细!$K$4:$K$2004,$Z1062-2000))),IF($Z1062&lt;=5200,IF(N(INDEX(客户自备加工筐明细!$G$4:$G$1203,$Z1062-4000))=0,"",N(INDEX(客户自备加工筐明细!$G$4:$G$1203,$Z1062-4000))),IF($Z1062&lt;=5800,IF(ISNUMBER(SEARCH("退",INDEX(次果筐明细!$F$4:$F$603,$Z1062-5200)&amp;"")),"",IF(N(INDEX(次果筐明细!$G$4:$G$603,$Z1062-5200))=0,"",N(INDEX(次果筐明细!$G$4:$G$603,$Z1062-5200)))),"")))))</f>
        <v/>
      </c>
      <c r="P1062" s="40" t="str">
        <f>IF($Z1062="","",IF($Z1062&lt;=2000,"",IF($Z1062&lt;=4000,IF(N(INDEX(周转筐出入库明细!$I$4:$I$2004,$Z1062-2000))=0,"",N(INDEX(周转筐出入库明细!$I$4:$I$2004,$Z1062-2000))),IF($Z1062&lt;=5200,"",IF($Z1062&lt;=5800,IF(ISNUMBER(SEARCH("退",INDEX(次果筐明细!$F$4:$F$603,$Z1062-5200)&amp;"")),IF(N(INDEX(次果筐明细!$G$4:$G$603,$Z1062-5200))=0,"",N(INDEX(次果筐明细!$G$4:$G$603,$Z1062-5200))),""),"")))))</f>
        <v/>
      </c>
      <c r="Q1062" s="40" t="str">
        <f>IF($Z1062="","",IF($Z1062&lt;=2000,"",IF($Z1062&lt;=4000,IF(N(INDEX(周转筐出入库明细!$H$4:$H$2004,$Z1062-2000))=0,"",N(INDEX(周转筐出入库明细!$H$4:$H$2004,$Z1062-2000))),IF($Z1062&lt;=5200,IF(N(INDEX(客户自备加工筐明细!$F$4:$F$1203,$Z1062-4000))=0,"",N(INDEX(客户自备加工筐明细!$F$4:$F$1203,$Z1062-4000))),IF($Z1062&lt;=5800,"","")))))</f>
        <v/>
      </c>
      <c r="R1062" s="16" t="str">
        <f>IF($Z1062="","",IF($Z1062&lt;=2000,IF(INDEX(包装物料出入库明细!$O$4:$O$2003,$Z1062-0)=0,"",INDEX(包装物料出入库明细!$O$4:$O$2003,$Z1062-0)),IF($Z1062&lt;=4000,IF(INDEX(周转筐出入库明细!$M$4:$M$2004,$Z1062-2000)=0,"",INDEX(周转筐出入库明细!$M$4:$M$2004,$Z1062-2000)),IF($Z1062&lt;=5200,IF(INDEX(客户自备加工筐明细!$H$4:$H$1203,$Z1062-4000)=0,"",INDEX(客户自备加工筐明细!$H$4:$H$1203,$Z1062-4000)),IF($Z1062&lt;=5800,IF(INDEX(次果筐明细!$H$4:$H$603,$Z1062-5200)=0,"",INDEX(次果筐明细!$H$4:$H$603,$Z1062-5200)),"")))))</f>
        <v/>
      </c>
      <c r="S1062" s="22" t="str">
        <f t="shared" si="50"/>
        <v/>
      </c>
      <c r="Z1062" s="10" t="str">
        <f>IFERROR(MATCH(ROW()-3,_自动清单!$CQ$4:$CQ$5803,0),"")</f>
        <v/>
      </c>
    </row>
    <row r="1063" spans="1:26">
      <c r="A1063" s="24" t="str">
        <f t="shared" si="48"/>
        <v/>
      </c>
      <c r="B1063" s="38" t="str">
        <f>IF($Z1063="","",IF($Z1063&lt;=2000,IF(INDEX(包装物料出入库明细!$B$4:$B$2003,$Z1063-0)=0,"",INDEX(包装物料出入库明细!$B$4:$B$2003,$Z1063-0)),IF($Z1063&lt;=4000,IF(INDEX(周转筐出入库明细!$B$4:$B$2004,$Z1063-2000)=0,"",INDEX(周转筐出入库明细!$B$4:$B$2004,$Z1063-2000)),IF($Z1063&lt;=5200,IF(INDEX(客户自备加工筐明细!$B$4:$B$1203,$Z1063-4000)=0,"",INDEX(客户自备加工筐明细!$B$4:$B$1203,$Z1063-4000)),IF($Z1063&lt;=5800,IF(INDEX(次果筐明细!$B$4:$B$603,$Z1063-5200)=0,"",INDEX(次果筐明细!$B$4:$B$603,$Z1063-5200)),"")))))</f>
        <v/>
      </c>
      <c r="C1063" s="37" t="str">
        <f>IF($Z1063="","",IF($Z1063&lt;=2000,IF(INDEX(包装物料出入库明细!$D$4:$D$2003,$Z1063-0)=0,"",INDEX(包装物料出入库明细!$D$4:$D$2003,$Z1063-0)),IF($Z1063&lt;=4000,IF(INDEX(周转筐出入库明细!$C$4:$C$2004,$Z1063-2000)=0,"",INDEX(周转筐出入库明细!$C$4:$C$2004,$Z1063-2000)),IF($Z1063&lt;=5200,IF(INDEX(客户自备加工筐明细!$E$4:$E$1203,$Z1063-4000)=0,"",INDEX(客户自备加工筐明细!$E$4:$E$1203,$Z1063-4000)),IF($Z1063&lt;=5800,IF(INDEX(次果筐明细!$C$4:$C$603,$Z1063-5200)=0,"",INDEX(次果筐明细!$C$4:$C$603,$Z1063-5200)),"")))))</f>
        <v/>
      </c>
      <c r="D1063" s="37" t="str">
        <f>IF($Z1063="","",IF($Z1063&lt;=2000,"包装物料－"&amp;INDEX(包装物料出入库明细!$H$4:$H$2003,$Z1063-0),IF($Z1063&lt;=4000,"周转筐－"&amp;INDEX(周转筐出入库明细!$F$4:$F$2004,$Z1063-2000),IF($Z1063&lt;=5200,"客户自备筐－"&amp;INDEX(客户自备加工筐明细!$J$4:$J$1203,$Z1063-4000),IF($Z1063&lt;=5800,"次果筐/托盘－"&amp;INDEX(次果筐明细!$F$4:$F$603,$Z1063-5200),"")))))</f>
        <v/>
      </c>
      <c r="E1063" s="24" t="str">
        <f>IF($Z1063="","",IF($Z1063&lt;=2000,IF(INDEX(包装物料出入库明细!$C$4:$C$2003,$Z1063-0)=0,"",INDEX(包装物料出入库明细!$C$4:$C$2003,$Z1063-0)),IF($Z1063&lt;=4000,IF(INDEX(周转筐出入库明细!$E$4:$E$2004,$Z1063-2000)=0,"",INDEX(周转筐出入库明细!$E$4:$E$2004,$Z1063-2000)),IF($Z1063&lt;=5200,IF(INDEX(客户自备加工筐明细!$D$4:$D$1203,$Z1063-4000)=0,"",INDEX(客户自备加工筐明细!$D$4:$D$1203,$Z1063-4000)),IF($Z1063&lt;=5800,IF(INDEX(次果筐明细!$E$4:$E$603,$Z1063-5200)=0,"",INDEX(次果筐明细!$E$4:$E$603,$Z1063-5200)),"")))))</f>
        <v/>
      </c>
      <c r="F1063" s="24" t="str">
        <f>IF($Z1063="","",IF($Z1063&lt;=2000,IF(INDEX(包装物料出入库明细!$E$4:$E$2003,$Z1063-0)=0,"",INDEX(包装物料出入库明细!$E$4:$E$2003,$Z1063-0)),IF($Z1063&lt;=4000,IF(INDEX(周转筐出入库明细!$D$4:$D$2004,$Z1063-2000)=0,"",INDEX(周转筐出入库明细!$D$4:$D$2004,$Z1063-2000)),IF($Z1063&lt;=5200,IF(INDEX(客户自备加工筐明细!$C$4:$C$1203,$Z1063-4000)=0,"",INDEX(客户自备加工筐明细!$C$4:$C$1203,$Z1063-4000)),IF($Z1063&lt;=5800,IF(INDEX(次果筐明细!$D$4:$D$603,$Z1063-5200)=0,"",INDEX(次果筐明细!$D$4:$D$603,$Z1063-5200)),"")))))</f>
        <v/>
      </c>
      <c r="G1063" s="24" t="str">
        <f>IF($Z1063="","",IF($Z1063&lt;=2000,IF(INDEX(包装物料出入库明细!$F$4:$F$2003,$Z1063-0)=0,"",INDEX(包装物料出入库明细!$F$4:$F$2003,$Z1063-0)),IF($Z1063&lt;=4000,"",IF($Z1063&lt;=5200,"",IF($Z1063&lt;=5800,"","")))))</f>
        <v/>
      </c>
      <c r="H1063" s="39" t="str">
        <f>IF($Z1063="","",IF($Z1063&lt;=2000,IF(INDEX(包装物料出入库明细!$L$4:$L$2003,$Z1063-0)=0,"",INDEX(包装物料出入库明细!$L$4:$L$2003,$Z1063-0)),IF($Z1063&lt;=4000,N(INDEX(周转筐出入库明细!$H$4:$H$2004,$Z1063-2000))+N(INDEX(周转筐出入库明细!$I$4:$I$2004,$Z1063-2000))+N(INDEX(周转筐出入库明细!$J$4:$J$2004,$Z1063-2000))+N(INDEX(周转筐出入库明细!$K$4:$K$2004,$Z1063-2000)),IF($Z1063&lt;=5200,N(INDEX(客户自备加工筐明细!$F$4:$F$1203,$Z1063-4000))+N(INDEX(客户自备加工筐明细!$G$4:$G$1203,$Z1063-4000)),IF($Z1063&lt;=5800,IF(INDEX(次果筐明细!$G$4:$G$603,$Z1063-5200)=0,"",INDEX(次果筐明细!$G$4:$G$603,$Z1063-5200)),"")))))</f>
        <v/>
      </c>
      <c r="I1063" s="24" t="str">
        <f>IF($Z1063="","",IF($Z1063&lt;=2000,IF(INDEX(包装物料出入库明细!$G$4:$G$2003,$Z1063-0)=0,"",INDEX(包装物料出入库明细!$G$4:$G$2003,$Z1063-0)),IF($Z1063&lt;=4000,"个",IF($Z1063&lt;=5200,"个",IF($Z1063&lt;=5800,"个","")))))</f>
        <v/>
      </c>
      <c r="J1063" s="30" t="str">
        <f t="shared" si="49"/>
        <v/>
      </c>
      <c r="K1063" s="30" t="str">
        <f>IF($Z1063="","",IF($Z1063&lt;=2000,IF(INDEX(包装物料出入库明细!$N$4:$N$2003,$Z1063-0)=0,"",INDEX(包装物料出入库明细!$N$4:$N$2003,$Z1063-0)),IF($Z1063&lt;=4000,IF(INDEX(周转筐出入库明细!$P$4:$P$2004,$Z1063-2000)=0,"",INDEX(周转筐出入库明细!$P$4:$P$2004,$Z1063-2000)),IF($Z1063&lt;=5200,"",IF($Z1063&lt;=5800,N(INDEX(次果筐明细!$L$4:$L$603,$Z1063-5200))+N(INDEX(次果筐明细!$J$4:$J$603,$Z1063-5200)),"")))))</f>
        <v/>
      </c>
      <c r="L1063" s="24" t="str">
        <f>IF($Z1063="","",IF($Z1063&lt;=2000,IF(INDEX(包装物料出入库明细!$P$4:$P$2003,$Z1063-0)=0,"",INDEX(包装物料出入库明细!$P$4:$P$2003,$Z1063-0)),IF($Z1063&lt;=4000,IF(INDEX(周转筐出入库明细!$Q$4:$Q$2004,$Z1063-2000)=0,"",INDEX(周转筐出入库明细!$Q$4:$Q$2004,$Z1063-2000)),IF($Z1063&lt;=5200,"",IF($Z1063&lt;=5800,IF(INDEX(次果筐明细!$M$4:$M$603,$Z1063-5200)=0,"",INDEX(次果筐明细!$M$4:$M$603,$Z1063-5200)),"")))))</f>
        <v/>
      </c>
      <c r="M1063" s="37" t="str">
        <f>IF($Z1063="","",IF($Z1063&lt;=2000,IF(INDEX(包装物料出入库明细!$R$4:$R$2003,$Z1063-0)=0,"",INDEX(包装物料出入库明细!$R$4:$R$2003,$Z1063-0)),IF($Z1063&lt;=4000,IF(INDEX(周转筐出入库明细!$W$4:$W$2004,$Z1063-2000)=0,"",INDEX(周转筐出入库明细!$W$4:$W$2004,$Z1063-2000)),IF($Z1063&lt;=5200,IF(INDEX(客户自备加工筐明细!$L$4:$L$1203,$Z1063-4000)=0,"",INDEX(客户自备加工筐明细!$L$4:$L$1203,$Z1063-4000)),IF($Z1063&lt;=5800,IF(INDEX(次果筐明细!$P$4:$P$603,$Z1063-5200)=0,"",INDEX(次果筐明细!$P$4:$P$603,$Z1063-5200)),"")))))</f>
        <v/>
      </c>
      <c r="N1063" s="16" t="str">
        <f>IF($Z1063="","",IF($Z1063&lt;=2000,"",IF($Z1063&lt;=4000,IF(INDEX(周转筐出入库明细!$D$4:$D$2004,$Z1063-2000)=0,"",INDEX(周转筐出入库明细!$D$4:$D$2004,$Z1063-2000)),IF($Z1063&lt;=5200,IF(INDEX(客户自备加工筐明细!$C$4:$C$1203,$Z1063-4000)=0,"",INDEX(客户自备加工筐明细!$C$4:$C$1203,$Z1063-4000)),IF($Z1063&lt;=5800,IF(INDEX(次果筐明细!$D$4:$D$603,$Z1063-5200)=0,"",INDEX(次果筐明细!$D$4:$D$603,$Z1063-5200)),"")))))</f>
        <v/>
      </c>
      <c r="O1063" s="40" t="str">
        <f>IF($Z1063="","",IF($Z1063&lt;=2000,"",IF($Z1063&lt;=4000,IF(N(INDEX(周转筐出入库明细!$J$4:$J$2004,$Z1063-2000))+N(INDEX(周转筐出入库明细!$K$4:$K$2004,$Z1063-2000))=0,"",N(INDEX(周转筐出入库明细!$J$4:$J$2004,$Z1063-2000))+N(INDEX(周转筐出入库明细!$K$4:$K$2004,$Z1063-2000))),IF($Z1063&lt;=5200,IF(N(INDEX(客户自备加工筐明细!$G$4:$G$1203,$Z1063-4000))=0,"",N(INDEX(客户自备加工筐明细!$G$4:$G$1203,$Z1063-4000))),IF($Z1063&lt;=5800,IF(ISNUMBER(SEARCH("退",INDEX(次果筐明细!$F$4:$F$603,$Z1063-5200)&amp;"")),"",IF(N(INDEX(次果筐明细!$G$4:$G$603,$Z1063-5200))=0,"",N(INDEX(次果筐明细!$G$4:$G$603,$Z1063-5200)))),"")))))</f>
        <v/>
      </c>
      <c r="P1063" s="40" t="str">
        <f>IF($Z1063="","",IF($Z1063&lt;=2000,"",IF($Z1063&lt;=4000,IF(N(INDEX(周转筐出入库明细!$I$4:$I$2004,$Z1063-2000))=0,"",N(INDEX(周转筐出入库明细!$I$4:$I$2004,$Z1063-2000))),IF($Z1063&lt;=5200,"",IF($Z1063&lt;=5800,IF(ISNUMBER(SEARCH("退",INDEX(次果筐明细!$F$4:$F$603,$Z1063-5200)&amp;"")),IF(N(INDEX(次果筐明细!$G$4:$G$603,$Z1063-5200))=0,"",N(INDEX(次果筐明细!$G$4:$G$603,$Z1063-5200))),""),"")))))</f>
        <v/>
      </c>
      <c r="Q1063" s="40" t="str">
        <f>IF($Z1063="","",IF($Z1063&lt;=2000,"",IF($Z1063&lt;=4000,IF(N(INDEX(周转筐出入库明细!$H$4:$H$2004,$Z1063-2000))=0,"",N(INDEX(周转筐出入库明细!$H$4:$H$2004,$Z1063-2000))),IF($Z1063&lt;=5200,IF(N(INDEX(客户自备加工筐明细!$F$4:$F$1203,$Z1063-4000))=0,"",N(INDEX(客户自备加工筐明细!$F$4:$F$1203,$Z1063-4000))),IF($Z1063&lt;=5800,"","")))))</f>
        <v/>
      </c>
      <c r="R1063" s="16" t="str">
        <f>IF($Z1063="","",IF($Z1063&lt;=2000,IF(INDEX(包装物料出入库明细!$O$4:$O$2003,$Z1063-0)=0,"",INDEX(包装物料出入库明细!$O$4:$O$2003,$Z1063-0)),IF($Z1063&lt;=4000,IF(INDEX(周转筐出入库明细!$M$4:$M$2004,$Z1063-2000)=0,"",INDEX(周转筐出入库明细!$M$4:$M$2004,$Z1063-2000)),IF($Z1063&lt;=5200,IF(INDEX(客户自备加工筐明细!$H$4:$H$1203,$Z1063-4000)=0,"",INDEX(客户自备加工筐明细!$H$4:$H$1203,$Z1063-4000)),IF($Z1063&lt;=5800,IF(INDEX(次果筐明细!$H$4:$H$603,$Z1063-5200)=0,"",INDEX(次果筐明细!$H$4:$H$603,$Z1063-5200)),"")))))</f>
        <v/>
      </c>
      <c r="S1063" s="22" t="str">
        <f t="shared" si="50"/>
        <v/>
      </c>
      <c r="Z1063" s="10" t="str">
        <f>IFERROR(MATCH(ROW()-3,_自动清单!$CQ$4:$CQ$5803,0),"")</f>
        <v/>
      </c>
    </row>
    <row r="1064" spans="1:26">
      <c r="A1064" s="24" t="str">
        <f t="shared" si="48"/>
        <v/>
      </c>
      <c r="B1064" s="38" t="str">
        <f>IF($Z1064="","",IF($Z1064&lt;=2000,IF(INDEX(包装物料出入库明细!$B$4:$B$2003,$Z1064-0)=0,"",INDEX(包装物料出入库明细!$B$4:$B$2003,$Z1064-0)),IF($Z1064&lt;=4000,IF(INDEX(周转筐出入库明细!$B$4:$B$2004,$Z1064-2000)=0,"",INDEX(周转筐出入库明细!$B$4:$B$2004,$Z1064-2000)),IF($Z1064&lt;=5200,IF(INDEX(客户自备加工筐明细!$B$4:$B$1203,$Z1064-4000)=0,"",INDEX(客户自备加工筐明细!$B$4:$B$1203,$Z1064-4000)),IF($Z1064&lt;=5800,IF(INDEX(次果筐明细!$B$4:$B$603,$Z1064-5200)=0,"",INDEX(次果筐明细!$B$4:$B$603,$Z1064-5200)),"")))))</f>
        <v/>
      </c>
      <c r="C1064" s="37" t="str">
        <f>IF($Z1064="","",IF($Z1064&lt;=2000,IF(INDEX(包装物料出入库明细!$D$4:$D$2003,$Z1064-0)=0,"",INDEX(包装物料出入库明细!$D$4:$D$2003,$Z1064-0)),IF($Z1064&lt;=4000,IF(INDEX(周转筐出入库明细!$C$4:$C$2004,$Z1064-2000)=0,"",INDEX(周转筐出入库明细!$C$4:$C$2004,$Z1064-2000)),IF($Z1064&lt;=5200,IF(INDEX(客户自备加工筐明细!$E$4:$E$1203,$Z1064-4000)=0,"",INDEX(客户自备加工筐明细!$E$4:$E$1203,$Z1064-4000)),IF($Z1064&lt;=5800,IF(INDEX(次果筐明细!$C$4:$C$603,$Z1064-5200)=0,"",INDEX(次果筐明细!$C$4:$C$603,$Z1064-5200)),"")))))</f>
        <v/>
      </c>
      <c r="D1064" s="37" t="str">
        <f>IF($Z1064="","",IF($Z1064&lt;=2000,"包装物料－"&amp;INDEX(包装物料出入库明细!$H$4:$H$2003,$Z1064-0),IF($Z1064&lt;=4000,"周转筐－"&amp;INDEX(周转筐出入库明细!$F$4:$F$2004,$Z1064-2000),IF($Z1064&lt;=5200,"客户自备筐－"&amp;INDEX(客户自备加工筐明细!$J$4:$J$1203,$Z1064-4000),IF($Z1064&lt;=5800,"次果筐/托盘－"&amp;INDEX(次果筐明细!$F$4:$F$603,$Z1064-5200),"")))))</f>
        <v/>
      </c>
      <c r="E1064" s="24" t="str">
        <f>IF($Z1064="","",IF($Z1064&lt;=2000,IF(INDEX(包装物料出入库明细!$C$4:$C$2003,$Z1064-0)=0,"",INDEX(包装物料出入库明细!$C$4:$C$2003,$Z1064-0)),IF($Z1064&lt;=4000,IF(INDEX(周转筐出入库明细!$E$4:$E$2004,$Z1064-2000)=0,"",INDEX(周转筐出入库明细!$E$4:$E$2004,$Z1064-2000)),IF($Z1064&lt;=5200,IF(INDEX(客户自备加工筐明细!$D$4:$D$1203,$Z1064-4000)=0,"",INDEX(客户自备加工筐明细!$D$4:$D$1203,$Z1064-4000)),IF($Z1064&lt;=5800,IF(INDEX(次果筐明细!$E$4:$E$603,$Z1064-5200)=0,"",INDEX(次果筐明细!$E$4:$E$603,$Z1064-5200)),"")))))</f>
        <v/>
      </c>
      <c r="F1064" s="24" t="str">
        <f>IF($Z1064="","",IF($Z1064&lt;=2000,IF(INDEX(包装物料出入库明细!$E$4:$E$2003,$Z1064-0)=0,"",INDEX(包装物料出入库明细!$E$4:$E$2003,$Z1064-0)),IF($Z1064&lt;=4000,IF(INDEX(周转筐出入库明细!$D$4:$D$2004,$Z1064-2000)=0,"",INDEX(周转筐出入库明细!$D$4:$D$2004,$Z1064-2000)),IF($Z1064&lt;=5200,IF(INDEX(客户自备加工筐明细!$C$4:$C$1203,$Z1064-4000)=0,"",INDEX(客户自备加工筐明细!$C$4:$C$1203,$Z1064-4000)),IF($Z1064&lt;=5800,IF(INDEX(次果筐明细!$D$4:$D$603,$Z1064-5200)=0,"",INDEX(次果筐明细!$D$4:$D$603,$Z1064-5200)),"")))))</f>
        <v/>
      </c>
      <c r="G1064" s="24" t="str">
        <f>IF($Z1064="","",IF($Z1064&lt;=2000,IF(INDEX(包装物料出入库明细!$F$4:$F$2003,$Z1064-0)=0,"",INDEX(包装物料出入库明细!$F$4:$F$2003,$Z1064-0)),IF($Z1064&lt;=4000,"",IF($Z1064&lt;=5200,"",IF($Z1064&lt;=5800,"","")))))</f>
        <v/>
      </c>
      <c r="H1064" s="39" t="str">
        <f>IF($Z1064="","",IF($Z1064&lt;=2000,IF(INDEX(包装物料出入库明细!$L$4:$L$2003,$Z1064-0)=0,"",INDEX(包装物料出入库明细!$L$4:$L$2003,$Z1064-0)),IF($Z1064&lt;=4000,N(INDEX(周转筐出入库明细!$H$4:$H$2004,$Z1064-2000))+N(INDEX(周转筐出入库明细!$I$4:$I$2004,$Z1064-2000))+N(INDEX(周转筐出入库明细!$J$4:$J$2004,$Z1064-2000))+N(INDEX(周转筐出入库明细!$K$4:$K$2004,$Z1064-2000)),IF($Z1064&lt;=5200,N(INDEX(客户自备加工筐明细!$F$4:$F$1203,$Z1064-4000))+N(INDEX(客户自备加工筐明细!$G$4:$G$1203,$Z1064-4000)),IF($Z1064&lt;=5800,IF(INDEX(次果筐明细!$G$4:$G$603,$Z1064-5200)=0,"",INDEX(次果筐明细!$G$4:$G$603,$Z1064-5200)),"")))))</f>
        <v/>
      </c>
      <c r="I1064" s="24" t="str">
        <f>IF($Z1064="","",IF($Z1064&lt;=2000,IF(INDEX(包装物料出入库明细!$G$4:$G$2003,$Z1064-0)=0,"",INDEX(包装物料出入库明细!$G$4:$G$2003,$Z1064-0)),IF($Z1064&lt;=4000,"个",IF($Z1064&lt;=5200,"个",IF($Z1064&lt;=5800,"个","")))))</f>
        <v/>
      </c>
      <c r="J1064" s="30" t="str">
        <f t="shared" si="49"/>
        <v/>
      </c>
      <c r="K1064" s="30" t="str">
        <f>IF($Z1064="","",IF($Z1064&lt;=2000,IF(INDEX(包装物料出入库明细!$N$4:$N$2003,$Z1064-0)=0,"",INDEX(包装物料出入库明细!$N$4:$N$2003,$Z1064-0)),IF($Z1064&lt;=4000,IF(INDEX(周转筐出入库明细!$P$4:$P$2004,$Z1064-2000)=0,"",INDEX(周转筐出入库明细!$P$4:$P$2004,$Z1064-2000)),IF($Z1064&lt;=5200,"",IF($Z1064&lt;=5800,N(INDEX(次果筐明细!$L$4:$L$603,$Z1064-5200))+N(INDEX(次果筐明细!$J$4:$J$603,$Z1064-5200)),"")))))</f>
        <v/>
      </c>
      <c r="L1064" s="24" t="str">
        <f>IF($Z1064="","",IF($Z1064&lt;=2000,IF(INDEX(包装物料出入库明细!$P$4:$P$2003,$Z1064-0)=0,"",INDEX(包装物料出入库明细!$P$4:$P$2003,$Z1064-0)),IF($Z1064&lt;=4000,IF(INDEX(周转筐出入库明细!$Q$4:$Q$2004,$Z1064-2000)=0,"",INDEX(周转筐出入库明细!$Q$4:$Q$2004,$Z1064-2000)),IF($Z1064&lt;=5200,"",IF($Z1064&lt;=5800,IF(INDEX(次果筐明细!$M$4:$M$603,$Z1064-5200)=0,"",INDEX(次果筐明细!$M$4:$M$603,$Z1064-5200)),"")))))</f>
        <v/>
      </c>
      <c r="M1064" s="37" t="str">
        <f>IF($Z1064="","",IF($Z1064&lt;=2000,IF(INDEX(包装物料出入库明细!$R$4:$R$2003,$Z1064-0)=0,"",INDEX(包装物料出入库明细!$R$4:$R$2003,$Z1064-0)),IF($Z1064&lt;=4000,IF(INDEX(周转筐出入库明细!$W$4:$W$2004,$Z1064-2000)=0,"",INDEX(周转筐出入库明细!$W$4:$W$2004,$Z1064-2000)),IF($Z1064&lt;=5200,IF(INDEX(客户自备加工筐明细!$L$4:$L$1203,$Z1064-4000)=0,"",INDEX(客户自备加工筐明细!$L$4:$L$1203,$Z1064-4000)),IF($Z1064&lt;=5800,IF(INDEX(次果筐明细!$P$4:$P$603,$Z1064-5200)=0,"",INDEX(次果筐明细!$P$4:$P$603,$Z1064-5200)),"")))))</f>
        <v/>
      </c>
      <c r="N1064" s="16" t="str">
        <f>IF($Z1064="","",IF($Z1064&lt;=2000,"",IF($Z1064&lt;=4000,IF(INDEX(周转筐出入库明细!$D$4:$D$2004,$Z1064-2000)=0,"",INDEX(周转筐出入库明细!$D$4:$D$2004,$Z1064-2000)),IF($Z1064&lt;=5200,IF(INDEX(客户自备加工筐明细!$C$4:$C$1203,$Z1064-4000)=0,"",INDEX(客户自备加工筐明细!$C$4:$C$1203,$Z1064-4000)),IF($Z1064&lt;=5800,IF(INDEX(次果筐明细!$D$4:$D$603,$Z1064-5200)=0,"",INDEX(次果筐明细!$D$4:$D$603,$Z1064-5200)),"")))))</f>
        <v/>
      </c>
      <c r="O1064" s="40" t="str">
        <f>IF($Z1064="","",IF($Z1064&lt;=2000,"",IF($Z1064&lt;=4000,IF(N(INDEX(周转筐出入库明细!$J$4:$J$2004,$Z1064-2000))+N(INDEX(周转筐出入库明细!$K$4:$K$2004,$Z1064-2000))=0,"",N(INDEX(周转筐出入库明细!$J$4:$J$2004,$Z1064-2000))+N(INDEX(周转筐出入库明细!$K$4:$K$2004,$Z1064-2000))),IF($Z1064&lt;=5200,IF(N(INDEX(客户自备加工筐明细!$G$4:$G$1203,$Z1064-4000))=0,"",N(INDEX(客户自备加工筐明细!$G$4:$G$1203,$Z1064-4000))),IF($Z1064&lt;=5800,IF(ISNUMBER(SEARCH("退",INDEX(次果筐明细!$F$4:$F$603,$Z1064-5200)&amp;"")),"",IF(N(INDEX(次果筐明细!$G$4:$G$603,$Z1064-5200))=0,"",N(INDEX(次果筐明细!$G$4:$G$603,$Z1064-5200)))),"")))))</f>
        <v/>
      </c>
      <c r="P1064" s="40" t="str">
        <f>IF($Z1064="","",IF($Z1064&lt;=2000,"",IF($Z1064&lt;=4000,IF(N(INDEX(周转筐出入库明细!$I$4:$I$2004,$Z1064-2000))=0,"",N(INDEX(周转筐出入库明细!$I$4:$I$2004,$Z1064-2000))),IF($Z1064&lt;=5200,"",IF($Z1064&lt;=5800,IF(ISNUMBER(SEARCH("退",INDEX(次果筐明细!$F$4:$F$603,$Z1064-5200)&amp;"")),IF(N(INDEX(次果筐明细!$G$4:$G$603,$Z1064-5200))=0,"",N(INDEX(次果筐明细!$G$4:$G$603,$Z1064-5200))),""),"")))))</f>
        <v/>
      </c>
      <c r="Q1064" s="40" t="str">
        <f>IF($Z1064="","",IF($Z1064&lt;=2000,"",IF($Z1064&lt;=4000,IF(N(INDEX(周转筐出入库明细!$H$4:$H$2004,$Z1064-2000))=0,"",N(INDEX(周转筐出入库明细!$H$4:$H$2004,$Z1064-2000))),IF($Z1064&lt;=5200,IF(N(INDEX(客户自备加工筐明细!$F$4:$F$1203,$Z1064-4000))=0,"",N(INDEX(客户自备加工筐明细!$F$4:$F$1203,$Z1064-4000))),IF($Z1064&lt;=5800,"","")))))</f>
        <v/>
      </c>
      <c r="R1064" s="16" t="str">
        <f>IF($Z1064="","",IF($Z1064&lt;=2000,IF(INDEX(包装物料出入库明细!$O$4:$O$2003,$Z1064-0)=0,"",INDEX(包装物料出入库明细!$O$4:$O$2003,$Z1064-0)),IF($Z1064&lt;=4000,IF(INDEX(周转筐出入库明细!$M$4:$M$2004,$Z1064-2000)=0,"",INDEX(周转筐出入库明细!$M$4:$M$2004,$Z1064-2000)),IF($Z1064&lt;=5200,IF(INDEX(客户自备加工筐明细!$H$4:$H$1203,$Z1064-4000)=0,"",INDEX(客户自备加工筐明细!$H$4:$H$1203,$Z1064-4000)),IF($Z1064&lt;=5800,IF(INDEX(次果筐明细!$H$4:$H$603,$Z1064-5200)=0,"",INDEX(次果筐明细!$H$4:$H$603,$Z1064-5200)),"")))))</f>
        <v/>
      </c>
      <c r="S1064" s="22" t="str">
        <f t="shared" si="50"/>
        <v/>
      </c>
      <c r="Z1064" s="10" t="str">
        <f>IFERROR(MATCH(ROW()-3,_自动清单!$CQ$4:$CQ$5803,0),"")</f>
        <v/>
      </c>
    </row>
    <row r="1065" spans="1:26">
      <c r="A1065" s="24" t="str">
        <f t="shared" si="48"/>
        <v/>
      </c>
      <c r="B1065" s="38" t="str">
        <f>IF($Z1065="","",IF($Z1065&lt;=2000,IF(INDEX(包装物料出入库明细!$B$4:$B$2003,$Z1065-0)=0,"",INDEX(包装物料出入库明细!$B$4:$B$2003,$Z1065-0)),IF($Z1065&lt;=4000,IF(INDEX(周转筐出入库明细!$B$4:$B$2004,$Z1065-2000)=0,"",INDEX(周转筐出入库明细!$B$4:$B$2004,$Z1065-2000)),IF($Z1065&lt;=5200,IF(INDEX(客户自备加工筐明细!$B$4:$B$1203,$Z1065-4000)=0,"",INDEX(客户自备加工筐明细!$B$4:$B$1203,$Z1065-4000)),IF($Z1065&lt;=5800,IF(INDEX(次果筐明细!$B$4:$B$603,$Z1065-5200)=0,"",INDEX(次果筐明细!$B$4:$B$603,$Z1065-5200)),"")))))</f>
        <v/>
      </c>
      <c r="C1065" s="37" t="str">
        <f>IF($Z1065="","",IF($Z1065&lt;=2000,IF(INDEX(包装物料出入库明细!$D$4:$D$2003,$Z1065-0)=0,"",INDEX(包装物料出入库明细!$D$4:$D$2003,$Z1065-0)),IF($Z1065&lt;=4000,IF(INDEX(周转筐出入库明细!$C$4:$C$2004,$Z1065-2000)=0,"",INDEX(周转筐出入库明细!$C$4:$C$2004,$Z1065-2000)),IF($Z1065&lt;=5200,IF(INDEX(客户自备加工筐明细!$E$4:$E$1203,$Z1065-4000)=0,"",INDEX(客户自备加工筐明细!$E$4:$E$1203,$Z1065-4000)),IF($Z1065&lt;=5800,IF(INDEX(次果筐明细!$C$4:$C$603,$Z1065-5200)=0,"",INDEX(次果筐明细!$C$4:$C$603,$Z1065-5200)),"")))))</f>
        <v/>
      </c>
      <c r="D1065" s="37" t="str">
        <f>IF($Z1065="","",IF($Z1065&lt;=2000,"包装物料－"&amp;INDEX(包装物料出入库明细!$H$4:$H$2003,$Z1065-0),IF($Z1065&lt;=4000,"周转筐－"&amp;INDEX(周转筐出入库明细!$F$4:$F$2004,$Z1065-2000),IF($Z1065&lt;=5200,"客户自备筐－"&amp;INDEX(客户自备加工筐明细!$J$4:$J$1203,$Z1065-4000),IF($Z1065&lt;=5800,"次果筐/托盘－"&amp;INDEX(次果筐明细!$F$4:$F$603,$Z1065-5200),"")))))</f>
        <v/>
      </c>
      <c r="E1065" s="24" t="str">
        <f>IF($Z1065="","",IF($Z1065&lt;=2000,IF(INDEX(包装物料出入库明细!$C$4:$C$2003,$Z1065-0)=0,"",INDEX(包装物料出入库明细!$C$4:$C$2003,$Z1065-0)),IF($Z1065&lt;=4000,IF(INDEX(周转筐出入库明细!$E$4:$E$2004,$Z1065-2000)=0,"",INDEX(周转筐出入库明细!$E$4:$E$2004,$Z1065-2000)),IF($Z1065&lt;=5200,IF(INDEX(客户自备加工筐明细!$D$4:$D$1203,$Z1065-4000)=0,"",INDEX(客户自备加工筐明细!$D$4:$D$1203,$Z1065-4000)),IF($Z1065&lt;=5800,IF(INDEX(次果筐明细!$E$4:$E$603,$Z1065-5200)=0,"",INDEX(次果筐明细!$E$4:$E$603,$Z1065-5200)),"")))))</f>
        <v/>
      </c>
      <c r="F1065" s="24" t="str">
        <f>IF($Z1065="","",IF($Z1065&lt;=2000,IF(INDEX(包装物料出入库明细!$E$4:$E$2003,$Z1065-0)=0,"",INDEX(包装物料出入库明细!$E$4:$E$2003,$Z1065-0)),IF($Z1065&lt;=4000,IF(INDEX(周转筐出入库明细!$D$4:$D$2004,$Z1065-2000)=0,"",INDEX(周转筐出入库明细!$D$4:$D$2004,$Z1065-2000)),IF($Z1065&lt;=5200,IF(INDEX(客户自备加工筐明细!$C$4:$C$1203,$Z1065-4000)=0,"",INDEX(客户自备加工筐明细!$C$4:$C$1203,$Z1065-4000)),IF($Z1065&lt;=5800,IF(INDEX(次果筐明细!$D$4:$D$603,$Z1065-5200)=0,"",INDEX(次果筐明细!$D$4:$D$603,$Z1065-5200)),"")))))</f>
        <v/>
      </c>
      <c r="G1065" s="24" t="str">
        <f>IF($Z1065="","",IF($Z1065&lt;=2000,IF(INDEX(包装物料出入库明细!$F$4:$F$2003,$Z1065-0)=0,"",INDEX(包装物料出入库明细!$F$4:$F$2003,$Z1065-0)),IF($Z1065&lt;=4000,"",IF($Z1065&lt;=5200,"",IF($Z1065&lt;=5800,"","")))))</f>
        <v/>
      </c>
      <c r="H1065" s="39" t="str">
        <f>IF($Z1065="","",IF($Z1065&lt;=2000,IF(INDEX(包装物料出入库明细!$L$4:$L$2003,$Z1065-0)=0,"",INDEX(包装物料出入库明细!$L$4:$L$2003,$Z1065-0)),IF($Z1065&lt;=4000,N(INDEX(周转筐出入库明细!$H$4:$H$2004,$Z1065-2000))+N(INDEX(周转筐出入库明细!$I$4:$I$2004,$Z1065-2000))+N(INDEX(周转筐出入库明细!$J$4:$J$2004,$Z1065-2000))+N(INDEX(周转筐出入库明细!$K$4:$K$2004,$Z1065-2000)),IF($Z1065&lt;=5200,N(INDEX(客户自备加工筐明细!$F$4:$F$1203,$Z1065-4000))+N(INDEX(客户自备加工筐明细!$G$4:$G$1203,$Z1065-4000)),IF($Z1065&lt;=5800,IF(INDEX(次果筐明细!$G$4:$G$603,$Z1065-5200)=0,"",INDEX(次果筐明细!$G$4:$G$603,$Z1065-5200)),"")))))</f>
        <v/>
      </c>
      <c r="I1065" s="24" t="str">
        <f>IF($Z1065="","",IF($Z1065&lt;=2000,IF(INDEX(包装物料出入库明细!$G$4:$G$2003,$Z1065-0)=0,"",INDEX(包装物料出入库明细!$G$4:$G$2003,$Z1065-0)),IF($Z1065&lt;=4000,"个",IF($Z1065&lt;=5200,"个",IF($Z1065&lt;=5800,"个","")))))</f>
        <v/>
      </c>
      <c r="J1065" s="30" t="str">
        <f t="shared" si="49"/>
        <v/>
      </c>
      <c r="K1065" s="30" t="str">
        <f>IF($Z1065="","",IF($Z1065&lt;=2000,IF(INDEX(包装物料出入库明细!$N$4:$N$2003,$Z1065-0)=0,"",INDEX(包装物料出入库明细!$N$4:$N$2003,$Z1065-0)),IF($Z1065&lt;=4000,IF(INDEX(周转筐出入库明细!$P$4:$P$2004,$Z1065-2000)=0,"",INDEX(周转筐出入库明细!$P$4:$P$2004,$Z1065-2000)),IF($Z1065&lt;=5200,"",IF($Z1065&lt;=5800,N(INDEX(次果筐明细!$L$4:$L$603,$Z1065-5200))+N(INDEX(次果筐明细!$J$4:$J$603,$Z1065-5200)),"")))))</f>
        <v/>
      </c>
      <c r="L1065" s="24" t="str">
        <f>IF($Z1065="","",IF($Z1065&lt;=2000,IF(INDEX(包装物料出入库明细!$P$4:$P$2003,$Z1065-0)=0,"",INDEX(包装物料出入库明细!$P$4:$P$2003,$Z1065-0)),IF($Z1065&lt;=4000,IF(INDEX(周转筐出入库明细!$Q$4:$Q$2004,$Z1065-2000)=0,"",INDEX(周转筐出入库明细!$Q$4:$Q$2004,$Z1065-2000)),IF($Z1065&lt;=5200,"",IF($Z1065&lt;=5800,IF(INDEX(次果筐明细!$M$4:$M$603,$Z1065-5200)=0,"",INDEX(次果筐明细!$M$4:$M$603,$Z1065-5200)),"")))))</f>
        <v/>
      </c>
      <c r="M1065" s="37" t="str">
        <f>IF($Z1065="","",IF($Z1065&lt;=2000,IF(INDEX(包装物料出入库明细!$R$4:$R$2003,$Z1065-0)=0,"",INDEX(包装物料出入库明细!$R$4:$R$2003,$Z1065-0)),IF($Z1065&lt;=4000,IF(INDEX(周转筐出入库明细!$W$4:$W$2004,$Z1065-2000)=0,"",INDEX(周转筐出入库明细!$W$4:$W$2004,$Z1065-2000)),IF($Z1065&lt;=5200,IF(INDEX(客户自备加工筐明细!$L$4:$L$1203,$Z1065-4000)=0,"",INDEX(客户自备加工筐明细!$L$4:$L$1203,$Z1065-4000)),IF($Z1065&lt;=5800,IF(INDEX(次果筐明细!$P$4:$P$603,$Z1065-5200)=0,"",INDEX(次果筐明细!$P$4:$P$603,$Z1065-5200)),"")))))</f>
        <v/>
      </c>
      <c r="N1065" s="16" t="str">
        <f>IF($Z1065="","",IF($Z1065&lt;=2000,"",IF($Z1065&lt;=4000,IF(INDEX(周转筐出入库明细!$D$4:$D$2004,$Z1065-2000)=0,"",INDEX(周转筐出入库明细!$D$4:$D$2004,$Z1065-2000)),IF($Z1065&lt;=5200,IF(INDEX(客户自备加工筐明细!$C$4:$C$1203,$Z1065-4000)=0,"",INDEX(客户自备加工筐明细!$C$4:$C$1203,$Z1065-4000)),IF($Z1065&lt;=5800,IF(INDEX(次果筐明细!$D$4:$D$603,$Z1065-5200)=0,"",INDEX(次果筐明细!$D$4:$D$603,$Z1065-5200)),"")))))</f>
        <v/>
      </c>
      <c r="O1065" s="40" t="str">
        <f>IF($Z1065="","",IF($Z1065&lt;=2000,"",IF($Z1065&lt;=4000,IF(N(INDEX(周转筐出入库明细!$J$4:$J$2004,$Z1065-2000))+N(INDEX(周转筐出入库明细!$K$4:$K$2004,$Z1065-2000))=0,"",N(INDEX(周转筐出入库明细!$J$4:$J$2004,$Z1065-2000))+N(INDEX(周转筐出入库明细!$K$4:$K$2004,$Z1065-2000))),IF($Z1065&lt;=5200,IF(N(INDEX(客户自备加工筐明细!$G$4:$G$1203,$Z1065-4000))=0,"",N(INDEX(客户自备加工筐明细!$G$4:$G$1203,$Z1065-4000))),IF($Z1065&lt;=5800,IF(ISNUMBER(SEARCH("退",INDEX(次果筐明细!$F$4:$F$603,$Z1065-5200)&amp;"")),"",IF(N(INDEX(次果筐明细!$G$4:$G$603,$Z1065-5200))=0,"",N(INDEX(次果筐明细!$G$4:$G$603,$Z1065-5200)))),"")))))</f>
        <v/>
      </c>
      <c r="P1065" s="40" t="str">
        <f>IF($Z1065="","",IF($Z1065&lt;=2000,"",IF($Z1065&lt;=4000,IF(N(INDEX(周转筐出入库明细!$I$4:$I$2004,$Z1065-2000))=0,"",N(INDEX(周转筐出入库明细!$I$4:$I$2004,$Z1065-2000))),IF($Z1065&lt;=5200,"",IF($Z1065&lt;=5800,IF(ISNUMBER(SEARCH("退",INDEX(次果筐明细!$F$4:$F$603,$Z1065-5200)&amp;"")),IF(N(INDEX(次果筐明细!$G$4:$G$603,$Z1065-5200))=0,"",N(INDEX(次果筐明细!$G$4:$G$603,$Z1065-5200))),""),"")))))</f>
        <v/>
      </c>
      <c r="Q1065" s="40" t="str">
        <f>IF($Z1065="","",IF($Z1065&lt;=2000,"",IF($Z1065&lt;=4000,IF(N(INDEX(周转筐出入库明细!$H$4:$H$2004,$Z1065-2000))=0,"",N(INDEX(周转筐出入库明细!$H$4:$H$2004,$Z1065-2000))),IF($Z1065&lt;=5200,IF(N(INDEX(客户自备加工筐明细!$F$4:$F$1203,$Z1065-4000))=0,"",N(INDEX(客户自备加工筐明细!$F$4:$F$1203,$Z1065-4000))),IF($Z1065&lt;=5800,"","")))))</f>
        <v/>
      </c>
      <c r="R1065" s="16" t="str">
        <f>IF($Z1065="","",IF($Z1065&lt;=2000,IF(INDEX(包装物料出入库明细!$O$4:$O$2003,$Z1065-0)=0,"",INDEX(包装物料出入库明细!$O$4:$O$2003,$Z1065-0)),IF($Z1065&lt;=4000,IF(INDEX(周转筐出入库明细!$M$4:$M$2004,$Z1065-2000)=0,"",INDEX(周转筐出入库明细!$M$4:$M$2004,$Z1065-2000)),IF($Z1065&lt;=5200,IF(INDEX(客户自备加工筐明细!$H$4:$H$1203,$Z1065-4000)=0,"",INDEX(客户自备加工筐明细!$H$4:$H$1203,$Z1065-4000)),IF($Z1065&lt;=5800,IF(INDEX(次果筐明细!$H$4:$H$603,$Z1065-5200)=0,"",INDEX(次果筐明细!$H$4:$H$603,$Z1065-5200)),"")))))</f>
        <v/>
      </c>
      <c r="S1065" s="22" t="str">
        <f t="shared" si="50"/>
        <v/>
      </c>
      <c r="Z1065" s="10" t="str">
        <f>IFERROR(MATCH(ROW()-3,_自动清单!$CQ$4:$CQ$5803,0),"")</f>
        <v/>
      </c>
    </row>
    <row r="1066" spans="1:26">
      <c r="A1066" s="24" t="str">
        <f t="shared" si="48"/>
        <v/>
      </c>
      <c r="B1066" s="38" t="str">
        <f>IF($Z1066="","",IF($Z1066&lt;=2000,IF(INDEX(包装物料出入库明细!$B$4:$B$2003,$Z1066-0)=0,"",INDEX(包装物料出入库明细!$B$4:$B$2003,$Z1066-0)),IF($Z1066&lt;=4000,IF(INDEX(周转筐出入库明细!$B$4:$B$2004,$Z1066-2000)=0,"",INDEX(周转筐出入库明细!$B$4:$B$2004,$Z1066-2000)),IF($Z1066&lt;=5200,IF(INDEX(客户自备加工筐明细!$B$4:$B$1203,$Z1066-4000)=0,"",INDEX(客户自备加工筐明细!$B$4:$B$1203,$Z1066-4000)),IF($Z1066&lt;=5800,IF(INDEX(次果筐明细!$B$4:$B$603,$Z1066-5200)=0,"",INDEX(次果筐明细!$B$4:$B$603,$Z1066-5200)),"")))))</f>
        <v/>
      </c>
      <c r="C1066" s="37" t="str">
        <f>IF($Z1066="","",IF($Z1066&lt;=2000,IF(INDEX(包装物料出入库明细!$D$4:$D$2003,$Z1066-0)=0,"",INDEX(包装物料出入库明细!$D$4:$D$2003,$Z1066-0)),IF($Z1066&lt;=4000,IF(INDEX(周转筐出入库明细!$C$4:$C$2004,$Z1066-2000)=0,"",INDEX(周转筐出入库明细!$C$4:$C$2004,$Z1066-2000)),IF($Z1066&lt;=5200,IF(INDEX(客户自备加工筐明细!$E$4:$E$1203,$Z1066-4000)=0,"",INDEX(客户自备加工筐明细!$E$4:$E$1203,$Z1066-4000)),IF($Z1066&lt;=5800,IF(INDEX(次果筐明细!$C$4:$C$603,$Z1066-5200)=0,"",INDEX(次果筐明细!$C$4:$C$603,$Z1066-5200)),"")))))</f>
        <v/>
      </c>
      <c r="D1066" s="37" t="str">
        <f>IF($Z1066="","",IF($Z1066&lt;=2000,"包装物料－"&amp;INDEX(包装物料出入库明细!$H$4:$H$2003,$Z1066-0),IF($Z1066&lt;=4000,"周转筐－"&amp;INDEX(周转筐出入库明细!$F$4:$F$2004,$Z1066-2000),IF($Z1066&lt;=5200,"客户自备筐－"&amp;INDEX(客户自备加工筐明细!$J$4:$J$1203,$Z1066-4000),IF($Z1066&lt;=5800,"次果筐/托盘－"&amp;INDEX(次果筐明细!$F$4:$F$603,$Z1066-5200),"")))))</f>
        <v/>
      </c>
      <c r="E1066" s="24" t="str">
        <f>IF($Z1066="","",IF($Z1066&lt;=2000,IF(INDEX(包装物料出入库明细!$C$4:$C$2003,$Z1066-0)=0,"",INDEX(包装物料出入库明细!$C$4:$C$2003,$Z1066-0)),IF($Z1066&lt;=4000,IF(INDEX(周转筐出入库明细!$E$4:$E$2004,$Z1066-2000)=0,"",INDEX(周转筐出入库明细!$E$4:$E$2004,$Z1066-2000)),IF($Z1066&lt;=5200,IF(INDEX(客户自备加工筐明细!$D$4:$D$1203,$Z1066-4000)=0,"",INDEX(客户自备加工筐明细!$D$4:$D$1203,$Z1066-4000)),IF($Z1066&lt;=5800,IF(INDEX(次果筐明细!$E$4:$E$603,$Z1066-5200)=0,"",INDEX(次果筐明细!$E$4:$E$603,$Z1066-5200)),"")))))</f>
        <v/>
      </c>
      <c r="F1066" s="24" t="str">
        <f>IF($Z1066="","",IF($Z1066&lt;=2000,IF(INDEX(包装物料出入库明细!$E$4:$E$2003,$Z1066-0)=0,"",INDEX(包装物料出入库明细!$E$4:$E$2003,$Z1066-0)),IF($Z1066&lt;=4000,IF(INDEX(周转筐出入库明细!$D$4:$D$2004,$Z1066-2000)=0,"",INDEX(周转筐出入库明细!$D$4:$D$2004,$Z1066-2000)),IF($Z1066&lt;=5200,IF(INDEX(客户自备加工筐明细!$C$4:$C$1203,$Z1066-4000)=0,"",INDEX(客户自备加工筐明细!$C$4:$C$1203,$Z1066-4000)),IF($Z1066&lt;=5800,IF(INDEX(次果筐明细!$D$4:$D$603,$Z1066-5200)=0,"",INDEX(次果筐明细!$D$4:$D$603,$Z1066-5200)),"")))))</f>
        <v/>
      </c>
      <c r="G1066" s="24" t="str">
        <f>IF($Z1066="","",IF($Z1066&lt;=2000,IF(INDEX(包装物料出入库明细!$F$4:$F$2003,$Z1066-0)=0,"",INDEX(包装物料出入库明细!$F$4:$F$2003,$Z1066-0)),IF($Z1066&lt;=4000,"",IF($Z1066&lt;=5200,"",IF($Z1066&lt;=5800,"","")))))</f>
        <v/>
      </c>
      <c r="H1066" s="39" t="str">
        <f>IF($Z1066="","",IF($Z1066&lt;=2000,IF(INDEX(包装物料出入库明细!$L$4:$L$2003,$Z1066-0)=0,"",INDEX(包装物料出入库明细!$L$4:$L$2003,$Z1066-0)),IF($Z1066&lt;=4000,N(INDEX(周转筐出入库明细!$H$4:$H$2004,$Z1066-2000))+N(INDEX(周转筐出入库明细!$I$4:$I$2004,$Z1066-2000))+N(INDEX(周转筐出入库明细!$J$4:$J$2004,$Z1066-2000))+N(INDEX(周转筐出入库明细!$K$4:$K$2004,$Z1066-2000)),IF($Z1066&lt;=5200,N(INDEX(客户自备加工筐明细!$F$4:$F$1203,$Z1066-4000))+N(INDEX(客户自备加工筐明细!$G$4:$G$1203,$Z1066-4000)),IF($Z1066&lt;=5800,IF(INDEX(次果筐明细!$G$4:$G$603,$Z1066-5200)=0,"",INDEX(次果筐明细!$G$4:$G$603,$Z1066-5200)),"")))))</f>
        <v/>
      </c>
      <c r="I1066" s="24" t="str">
        <f>IF($Z1066="","",IF($Z1066&lt;=2000,IF(INDEX(包装物料出入库明细!$G$4:$G$2003,$Z1066-0)=0,"",INDEX(包装物料出入库明细!$G$4:$G$2003,$Z1066-0)),IF($Z1066&lt;=4000,"个",IF($Z1066&lt;=5200,"个",IF($Z1066&lt;=5800,"个","")))))</f>
        <v/>
      </c>
      <c r="J1066" s="30" t="str">
        <f t="shared" si="49"/>
        <v/>
      </c>
      <c r="K1066" s="30" t="str">
        <f>IF($Z1066="","",IF($Z1066&lt;=2000,IF(INDEX(包装物料出入库明细!$N$4:$N$2003,$Z1066-0)=0,"",INDEX(包装物料出入库明细!$N$4:$N$2003,$Z1066-0)),IF($Z1066&lt;=4000,IF(INDEX(周转筐出入库明细!$P$4:$P$2004,$Z1066-2000)=0,"",INDEX(周转筐出入库明细!$P$4:$P$2004,$Z1066-2000)),IF($Z1066&lt;=5200,"",IF($Z1066&lt;=5800,N(INDEX(次果筐明细!$L$4:$L$603,$Z1066-5200))+N(INDEX(次果筐明细!$J$4:$J$603,$Z1066-5200)),"")))))</f>
        <v/>
      </c>
      <c r="L1066" s="24" t="str">
        <f>IF($Z1066="","",IF($Z1066&lt;=2000,IF(INDEX(包装物料出入库明细!$P$4:$P$2003,$Z1066-0)=0,"",INDEX(包装物料出入库明细!$P$4:$P$2003,$Z1066-0)),IF($Z1066&lt;=4000,IF(INDEX(周转筐出入库明细!$Q$4:$Q$2004,$Z1066-2000)=0,"",INDEX(周转筐出入库明细!$Q$4:$Q$2004,$Z1066-2000)),IF($Z1066&lt;=5200,"",IF($Z1066&lt;=5800,IF(INDEX(次果筐明细!$M$4:$M$603,$Z1066-5200)=0,"",INDEX(次果筐明细!$M$4:$M$603,$Z1066-5200)),"")))))</f>
        <v/>
      </c>
      <c r="M1066" s="37" t="str">
        <f>IF($Z1066="","",IF($Z1066&lt;=2000,IF(INDEX(包装物料出入库明细!$R$4:$R$2003,$Z1066-0)=0,"",INDEX(包装物料出入库明细!$R$4:$R$2003,$Z1066-0)),IF($Z1066&lt;=4000,IF(INDEX(周转筐出入库明细!$W$4:$W$2004,$Z1066-2000)=0,"",INDEX(周转筐出入库明细!$W$4:$W$2004,$Z1066-2000)),IF($Z1066&lt;=5200,IF(INDEX(客户自备加工筐明细!$L$4:$L$1203,$Z1066-4000)=0,"",INDEX(客户自备加工筐明细!$L$4:$L$1203,$Z1066-4000)),IF($Z1066&lt;=5800,IF(INDEX(次果筐明细!$P$4:$P$603,$Z1066-5200)=0,"",INDEX(次果筐明细!$P$4:$P$603,$Z1066-5200)),"")))))</f>
        <v/>
      </c>
      <c r="N1066" s="16" t="str">
        <f>IF($Z1066="","",IF($Z1066&lt;=2000,"",IF($Z1066&lt;=4000,IF(INDEX(周转筐出入库明细!$D$4:$D$2004,$Z1066-2000)=0,"",INDEX(周转筐出入库明细!$D$4:$D$2004,$Z1066-2000)),IF($Z1066&lt;=5200,IF(INDEX(客户自备加工筐明细!$C$4:$C$1203,$Z1066-4000)=0,"",INDEX(客户自备加工筐明细!$C$4:$C$1203,$Z1066-4000)),IF($Z1066&lt;=5800,IF(INDEX(次果筐明细!$D$4:$D$603,$Z1066-5200)=0,"",INDEX(次果筐明细!$D$4:$D$603,$Z1066-5200)),"")))))</f>
        <v/>
      </c>
      <c r="O1066" s="40" t="str">
        <f>IF($Z1066="","",IF($Z1066&lt;=2000,"",IF($Z1066&lt;=4000,IF(N(INDEX(周转筐出入库明细!$J$4:$J$2004,$Z1066-2000))+N(INDEX(周转筐出入库明细!$K$4:$K$2004,$Z1066-2000))=0,"",N(INDEX(周转筐出入库明细!$J$4:$J$2004,$Z1066-2000))+N(INDEX(周转筐出入库明细!$K$4:$K$2004,$Z1066-2000))),IF($Z1066&lt;=5200,IF(N(INDEX(客户自备加工筐明细!$G$4:$G$1203,$Z1066-4000))=0,"",N(INDEX(客户自备加工筐明细!$G$4:$G$1203,$Z1066-4000))),IF($Z1066&lt;=5800,IF(ISNUMBER(SEARCH("退",INDEX(次果筐明细!$F$4:$F$603,$Z1066-5200)&amp;"")),"",IF(N(INDEX(次果筐明细!$G$4:$G$603,$Z1066-5200))=0,"",N(INDEX(次果筐明细!$G$4:$G$603,$Z1066-5200)))),"")))))</f>
        <v/>
      </c>
      <c r="P1066" s="40" t="str">
        <f>IF($Z1066="","",IF($Z1066&lt;=2000,"",IF($Z1066&lt;=4000,IF(N(INDEX(周转筐出入库明细!$I$4:$I$2004,$Z1066-2000))=0,"",N(INDEX(周转筐出入库明细!$I$4:$I$2004,$Z1066-2000))),IF($Z1066&lt;=5200,"",IF($Z1066&lt;=5800,IF(ISNUMBER(SEARCH("退",INDEX(次果筐明细!$F$4:$F$603,$Z1066-5200)&amp;"")),IF(N(INDEX(次果筐明细!$G$4:$G$603,$Z1066-5200))=0,"",N(INDEX(次果筐明细!$G$4:$G$603,$Z1066-5200))),""),"")))))</f>
        <v/>
      </c>
      <c r="Q1066" s="40" t="str">
        <f>IF($Z1066="","",IF($Z1066&lt;=2000,"",IF($Z1066&lt;=4000,IF(N(INDEX(周转筐出入库明细!$H$4:$H$2004,$Z1066-2000))=0,"",N(INDEX(周转筐出入库明细!$H$4:$H$2004,$Z1066-2000))),IF($Z1066&lt;=5200,IF(N(INDEX(客户自备加工筐明细!$F$4:$F$1203,$Z1066-4000))=0,"",N(INDEX(客户自备加工筐明细!$F$4:$F$1203,$Z1066-4000))),IF($Z1066&lt;=5800,"","")))))</f>
        <v/>
      </c>
      <c r="R1066" s="16" t="str">
        <f>IF($Z1066="","",IF($Z1066&lt;=2000,IF(INDEX(包装物料出入库明细!$O$4:$O$2003,$Z1066-0)=0,"",INDEX(包装物料出入库明细!$O$4:$O$2003,$Z1066-0)),IF($Z1066&lt;=4000,IF(INDEX(周转筐出入库明细!$M$4:$M$2004,$Z1066-2000)=0,"",INDEX(周转筐出入库明细!$M$4:$M$2004,$Z1066-2000)),IF($Z1066&lt;=5200,IF(INDEX(客户自备加工筐明细!$H$4:$H$1203,$Z1066-4000)=0,"",INDEX(客户自备加工筐明细!$H$4:$H$1203,$Z1066-4000)),IF($Z1066&lt;=5800,IF(INDEX(次果筐明细!$H$4:$H$603,$Z1066-5200)=0,"",INDEX(次果筐明细!$H$4:$H$603,$Z1066-5200)),"")))))</f>
        <v/>
      </c>
      <c r="S1066" s="22" t="str">
        <f t="shared" si="50"/>
        <v/>
      </c>
      <c r="Z1066" s="10" t="str">
        <f>IFERROR(MATCH(ROW()-3,_自动清单!$CQ$4:$CQ$5803,0),"")</f>
        <v/>
      </c>
    </row>
    <row r="1067" spans="1:26">
      <c r="A1067" s="24" t="str">
        <f t="shared" si="48"/>
        <v/>
      </c>
      <c r="B1067" s="38" t="str">
        <f>IF($Z1067="","",IF($Z1067&lt;=2000,IF(INDEX(包装物料出入库明细!$B$4:$B$2003,$Z1067-0)=0,"",INDEX(包装物料出入库明细!$B$4:$B$2003,$Z1067-0)),IF($Z1067&lt;=4000,IF(INDEX(周转筐出入库明细!$B$4:$B$2004,$Z1067-2000)=0,"",INDEX(周转筐出入库明细!$B$4:$B$2004,$Z1067-2000)),IF($Z1067&lt;=5200,IF(INDEX(客户自备加工筐明细!$B$4:$B$1203,$Z1067-4000)=0,"",INDEX(客户自备加工筐明细!$B$4:$B$1203,$Z1067-4000)),IF($Z1067&lt;=5800,IF(INDEX(次果筐明细!$B$4:$B$603,$Z1067-5200)=0,"",INDEX(次果筐明细!$B$4:$B$603,$Z1067-5200)),"")))))</f>
        <v/>
      </c>
      <c r="C1067" s="37" t="str">
        <f>IF($Z1067="","",IF($Z1067&lt;=2000,IF(INDEX(包装物料出入库明细!$D$4:$D$2003,$Z1067-0)=0,"",INDEX(包装物料出入库明细!$D$4:$D$2003,$Z1067-0)),IF($Z1067&lt;=4000,IF(INDEX(周转筐出入库明细!$C$4:$C$2004,$Z1067-2000)=0,"",INDEX(周转筐出入库明细!$C$4:$C$2004,$Z1067-2000)),IF($Z1067&lt;=5200,IF(INDEX(客户自备加工筐明细!$E$4:$E$1203,$Z1067-4000)=0,"",INDEX(客户自备加工筐明细!$E$4:$E$1203,$Z1067-4000)),IF($Z1067&lt;=5800,IF(INDEX(次果筐明细!$C$4:$C$603,$Z1067-5200)=0,"",INDEX(次果筐明细!$C$4:$C$603,$Z1067-5200)),"")))))</f>
        <v/>
      </c>
      <c r="D1067" s="37" t="str">
        <f>IF($Z1067="","",IF($Z1067&lt;=2000,"包装物料－"&amp;INDEX(包装物料出入库明细!$H$4:$H$2003,$Z1067-0),IF($Z1067&lt;=4000,"周转筐－"&amp;INDEX(周转筐出入库明细!$F$4:$F$2004,$Z1067-2000),IF($Z1067&lt;=5200,"客户自备筐－"&amp;INDEX(客户自备加工筐明细!$J$4:$J$1203,$Z1067-4000),IF($Z1067&lt;=5800,"次果筐/托盘－"&amp;INDEX(次果筐明细!$F$4:$F$603,$Z1067-5200),"")))))</f>
        <v/>
      </c>
      <c r="E1067" s="24" t="str">
        <f>IF($Z1067="","",IF($Z1067&lt;=2000,IF(INDEX(包装物料出入库明细!$C$4:$C$2003,$Z1067-0)=0,"",INDEX(包装物料出入库明细!$C$4:$C$2003,$Z1067-0)),IF($Z1067&lt;=4000,IF(INDEX(周转筐出入库明细!$E$4:$E$2004,$Z1067-2000)=0,"",INDEX(周转筐出入库明细!$E$4:$E$2004,$Z1067-2000)),IF($Z1067&lt;=5200,IF(INDEX(客户自备加工筐明细!$D$4:$D$1203,$Z1067-4000)=0,"",INDEX(客户自备加工筐明细!$D$4:$D$1203,$Z1067-4000)),IF($Z1067&lt;=5800,IF(INDEX(次果筐明细!$E$4:$E$603,$Z1067-5200)=0,"",INDEX(次果筐明细!$E$4:$E$603,$Z1067-5200)),"")))))</f>
        <v/>
      </c>
      <c r="F1067" s="24" t="str">
        <f>IF($Z1067="","",IF($Z1067&lt;=2000,IF(INDEX(包装物料出入库明细!$E$4:$E$2003,$Z1067-0)=0,"",INDEX(包装物料出入库明细!$E$4:$E$2003,$Z1067-0)),IF($Z1067&lt;=4000,IF(INDEX(周转筐出入库明细!$D$4:$D$2004,$Z1067-2000)=0,"",INDEX(周转筐出入库明细!$D$4:$D$2004,$Z1067-2000)),IF($Z1067&lt;=5200,IF(INDEX(客户自备加工筐明细!$C$4:$C$1203,$Z1067-4000)=0,"",INDEX(客户自备加工筐明细!$C$4:$C$1203,$Z1067-4000)),IF($Z1067&lt;=5800,IF(INDEX(次果筐明细!$D$4:$D$603,$Z1067-5200)=0,"",INDEX(次果筐明细!$D$4:$D$603,$Z1067-5200)),"")))))</f>
        <v/>
      </c>
      <c r="G1067" s="24" t="str">
        <f>IF($Z1067="","",IF($Z1067&lt;=2000,IF(INDEX(包装物料出入库明细!$F$4:$F$2003,$Z1067-0)=0,"",INDEX(包装物料出入库明细!$F$4:$F$2003,$Z1067-0)),IF($Z1067&lt;=4000,"",IF($Z1067&lt;=5200,"",IF($Z1067&lt;=5800,"","")))))</f>
        <v/>
      </c>
      <c r="H1067" s="39" t="str">
        <f>IF($Z1067="","",IF($Z1067&lt;=2000,IF(INDEX(包装物料出入库明细!$L$4:$L$2003,$Z1067-0)=0,"",INDEX(包装物料出入库明细!$L$4:$L$2003,$Z1067-0)),IF($Z1067&lt;=4000,N(INDEX(周转筐出入库明细!$H$4:$H$2004,$Z1067-2000))+N(INDEX(周转筐出入库明细!$I$4:$I$2004,$Z1067-2000))+N(INDEX(周转筐出入库明细!$J$4:$J$2004,$Z1067-2000))+N(INDEX(周转筐出入库明细!$K$4:$K$2004,$Z1067-2000)),IF($Z1067&lt;=5200,N(INDEX(客户自备加工筐明细!$F$4:$F$1203,$Z1067-4000))+N(INDEX(客户自备加工筐明细!$G$4:$G$1203,$Z1067-4000)),IF($Z1067&lt;=5800,IF(INDEX(次果筐明细!$G$4:$G$603,$Z1067-5200)=0,"",INDEX(次果筐明细!$G$4:$G$603,$Z1067-5200)),"")))))</f>
        <v/>
      </c>
      <c r="I1067" s="24" t="str">
        <f>IF($Z1067="","",IF($Z1067&lt;=2000,IF(INDEX(包装物料出入库明细!$G$4:$G$2003,$Z1067-0)=0,"",INDEX(包装物料出入库明细!$G$4:$G$2003,$Z1067-0)),IF($Z1067&lt;=4000,"个",IF($Z1067&lt;=5200,"个",IF($Z1067&lt;=5800,"个","")))))</f>
        <v/>
      </c>
      <c r="J1067" s="30" t="str">
        <f t="shared" si="49"/>
        <v/>
      </c>
      <c r="K1067" s="30" t="str">
        <f>IF($Z1067="","",IF($Z1067&lt;=2000,IF(INDEX(包装物料出入库明细!$N$4:$N$2003,$Z1067-0)=0,"",INDEX(包装物料出入库明细!$N$4:$N$2003,$Z1067-0)),IF($Z1067&lt;=4000,IF(INDEX(周转筐出入库明细!$P$4:$P$2004,$Z1067-2000)=0,"",INDEX(周转筐出入库明细!$P$4:$P$2004,$Z1067-2000)),IF($Z1067&lt;=5200,"",IF($Z1067&lt;=5800,N(INDEX(次果筐明细!$L$4:$L$603,$Z1067-5200))+N(INDEX(次果筐明细!$J$4:$J$603,$Z1067-5200)),"")))))</f>
        <v/>
      </c>
      <c r="L1067" s="24" t="str">
        <f>IF($Z1067="","",IF($Z1067&lt;=2000,IF(INDEX(包装物料出入库明细!$P$4:$P$2003,$Z1067-0)=0,"",INDEX(包装物料出入库明细!$P$4:$P$2003,$Z1067-0)),IF($Z1067&lt;=4000,IF(INDEX(周转筐出入库明细!$Q$4:$Q$2004,$Z1067-2000)=0,"",INDEX(周转筐出入库明细!$Q$4:$Q$2004,$Z1067-2000)),IF($Z1067&lt;=5200,"",IF($Z1067&lt;=5800,IF(INDEX(次果筐明细!$M$4:$M$603,$Z1067-5200)=0,"",INDEX(次果筐明细!$M$4:$M$603,$Z1067-5200)),"")))))</f>
        <v/>
      </c>
      <c r="M1067" s="37" t="str">
        <f>IF($Z1067="","",IF($Z1067&lt;=2000,IF(INDEX(包装物料出入库明细!$R$4:$R$2003,$Z1067-0)=0,"",INDEX(包装物料出入库明细!$R$4:$R$2003,$Z1067-0)),IF($Z1067&lt;=4000,IF(INDEX(周转筐出入库明细!$W$4:$W$2004,$Z1067-2000)=0,"",INDEX(周转筐出入库明细!$W$4:$W$2004,$Z1067-2000)),IF($Z1067&lt;=5200,IF(INDEX(客户自备加工筐明细!$L$4:$L$1203,$Z1067-4000)=0,"",INDEX(客户自备加工筐明细!$L$4:$L$1203,$Z1067-4000)),IF($Z1067&lt;=5800,IF(INDEX(次果筐明细!$P$4:$P$603,$Z1067-5200)=0,"",INDEX(次果筐明细!$P$4:$P$603,$Z1067-5200)),"")))))</f>
        <v/>
      </c>
      <c r="N1067" s="16" t="str">
        <f>IF($Z1067="","",IF($Z1067&lt;=2000,"",IF($Z1067&lt;=4000,IF(INDEX(周转筐出入库明细!$D$4:$D$2004,$Z1067-2000)=0,"",INDEX(周转筐出入库明细!$D$4:$D$2004,$Z1067-2000)),IF($Z1067&lt;=5200,IF(INDEX(客户自备加工筐明细!$C$4:$C$1203,$Z1067-4000)=0,"",INDEX(客户自备加工筐明细!$C$4:$C$1203,$Z1067-4000)),IF($Z1067&lt;=5800,IF(INDEX(次果筐明细!$D$4:$D$603,$Z1067-5200)=0,"",INDEX(次果筐明细!$D$4:$D$603,$Z1067-5200)),"")))))</f>
        <v/>
      </c>
      <c r="O1067" s="40" t="str">
        <f>IF($Z1067="","",IF($Z1067&lt;=2000,"",IF($Z1067&lt;=4000,IF(N(INDEX(周转筐出入库明细!$J$4:$J$2004,$Z1067-2000))+N(INDEX(周转筐出入库明细!$K$4:$K$2004,$Z1067-2000))=0,"",N(INDEX(周转筐出入库明细!$J$4:$J$2004,$Z1067-2000))+N(INDEX(周转筐出入库明细!$K$4:$K$2004,$Z1067-2000))),IF($Z1067&lt;=5200,IF(N(INDEX(客户自备加工筐明细!$G$4:$G$1203,$Z1067-4000))=0,"",N(INDEX(客户自备加工筐明细!$G$4:$G$1203,$Z1067-4000))),IF($Z1067&lt;=5800,IF(ISNUMBER(SEARCH("退",INDEX(次果筐明细!$F$4:$F$603,$Z1067-5200)&amp;"")),"",IF(N(INDEX(次果筐明细!$G$4:$G$603,$Z1067-5200))=0,"",N(INDEX(次果筐明细!$G$4:$G$603,$Z1067-5200)))),"")))))</f>
        <v/>
      </c>
      <c r="P1067" s="40" t="str">
        <f>IF($Z1067="","",IF($Z1067&lt;=2000,"",IF($Z1067&lt;=4000,IF(N(INDEX(周转筐出入库明细!$I$4:$I$2004,$Z1067-2000))=0,"",N(INDEX(周转筐出入库明细!$I$4:$I$2004,$Z1067-2000))),IF($Z1067&lt;=5200,"",IF($Z1067&lt;=5800,IF(ISNUMBER(SEARCH("退",INDEX(次果筐明细!$F$4:$F$603,$Z1067-5200)&amp;"")),IF(N(INDEX(次果筐明细!$G$4:$G$603,$Z1067-5200))=0,"",N(INDEX(次果筐明细!$G$4:$G$603,$Z1067-5200))),""),"")))))</f>
        <v/>
      </c>
      <c r="Q1067" s="40" t="str">
        <f>IF($Z1067="","",IF($Z1067&lt;=2000,"",IF($Z1067&lt;=4000,IF(N(INDEX(周转筐出入库明细!$H$4:$H$2004,$Z1067-2000))=0,"",N(INDEX(周转筐出入库明细!$H$4:$H$2004,$Z1067-2000))),IF($Z1067&lt;=5200,IF(N(INDEX(客户自备加工筐明细!$F$4:$F$1203,$Z1067-4000))=0,"",N(INDEX(客户自备加工筐明细!$F$4:$F$1203,$Z1067-4000))),IF($Z1067&lt;=5800,"","")))))</f>
        <v/>
      </c>
      <c r="R1067" s="16" t="str">
        <f>IF($Z1067="","",IF($Z1067&lt;=2000,IF(INDEX(包装物料出入库明细!$O$4:$O$2003,$Z1067-0)=0,"",INDEX(包装物料出入库明细!$O$4:$O$2003,$Z1067-0)),IF($Z1067&lt;=4000,IF(INDEX(周转筐出入库明细!$M$4:$M$2004,$Z1067-2000)=0,"",INDEX(周转筐出入库明细!$M$4:$M$2004,$Z1067-2000)),IF($Z1067&lt;=5200,IF(INDEX(客户自备加工筐明细!$H$4:$H$1203,$Z1067-4000)=0,"",INDEX(客户自备加工筐明细!$H$4:$H$1203,$Z1067-4000)),IF($Z1067&lt;=5800,IF(INDEX(次果筐明细!$H$4:$H$603,$Z1067-5200)=0,"",INDEX(次果筐明细!$H$4:$H$603,$Z1067-5200)),"")))))</f>
        <v/>
      </c>
      <c r="S1067" s="22" t="str">
        <f t="shared" si="50"/>
        <v/>
      </c>
      <c r="Z1067" s="10" t="str">
        <f>IFERROR(MATCH(ROW()-3,_自动清单!$CQ$4:$CQ$5803,0),"")</f>
        <v/>
      </c>
    </row>
    <row r="1068" spans="1:26">
      <c r="A1068" s="24" t="str">
        <f t="shared" si="48"/>
        <v/>
      </c>
      <c r="B1068" s="38" t="str">
        <f>IF($Z1068="","",IF($Z1068&lt;=2000,IF(INDEX(包装物料出入库明细!$B$4:$B$2003,$Z1068-0)=0,"",INDEX(包装物料出入库明细!$B$4:$B$2003,$Z1068-0)),IF($Z1068&lt;=4000,IF(INDEX(周转筐出入库明细!$B$4:$B$2004,$Z1068-2000)=0,"",INDEX(周转筐出入库明细!$B$4:$B$2004,$Z1068-2000)),IF($Z1068&lt;=5200,IF(INDEX(客户自备加工筐明细!$B$4:$B$1203,$Z1068-4000)=0,"",INDEX(客户自备加工筐明细!$B$4:$B$1203,$Z1068-4000)),IF($Z1068&lt;=5800,IF(INDEX(次果筐明细!$B$4:$B$603,$Z1068-5200)=0,"",INDEX(次果筐明细!$B$4:$B$603,$Z1068-5200)),"")))))</f>
        <v/>
      </c>
      <c r="C1068" s="37" t="str">
        <f>IF($Z1068="","",IF($Z1068&lt;=2000,IF(INDEX(包装物料出入库明细!$D$4:$D$2003,$Z1068-0)=0,"",INDEX(包装物料出入库明细!$D$4:$D$2003,$Z1068-0)),IF($Z1068&lt;=4000,IF(INDEX(周转筐出入库明细!$C$4:$C$2004,$Z1068-2000)=0,"",INDEX(周转筐出入库明细!$C$4:$C$2004,$Z1068-2000)),IF($Z1068&lt;=5200,IF(INDEX(客户自备加工筐明细!$E$4:$E$1203,$Z1068-4000)=0,"",INDEX(客户自备加工筐明细!$E$4:$E$1203,$Z1068-4000)),IF($Z1068&lt;=5800,IF(INDEX(次果筐明细!$C$4:$C$603,$Z1068-5200)=0,"",INDEX(次果筐明细!$C$4:$C$603,$Z1068-5200)),"")))))</f>
        <v/>
      </c>
      <c r="D1068" s="37" t="str">
        <f>IF($Z1068="","",IF($Z1068&lt;=2000,"包装物料－"&amp;INDEX(包装物料出入库明细!$H$4:$H$2003,$Z1068-0),IF($Z1068&lt;=4000,"周转筐－"&amp;INDEX(周转筐出入库明细!$F$4:$F$2004,$Z1068-2000),IF($Z1068&lt;=5200,"客户自备筐－"&amp;INDEX(客户自备加工筐明细!$J$4:$J$1203,$Z1068-4000),IF($Z1068&lt;=5800,"次果筐/托盘－"&amp;INDEX(次果筐明细!$F$4:$F$603,$Z1068-5200),"")))))</f>
        <v/>
      </c>
      <c r="E1068" s="24" t="str">
        <f>IF($Z1068="","",IF($Z1068&lt;=2000,IF(INDEX(包装物料出入库明细!$C$4:$C$2003,$Z1068-0)=0,"",INDEX(包装物料出入库明细!$C$4:$C$2003,$Z1068-0)),IF($Z1068&lt;=4000,IF(INDEX(周转筐出入库明细!$E$4:$E$2004,$Z1068-2000)=0,"",INDEX(周转筐出入库明细!$E$4:$E$2004,$Z1068-2000)),IF($Z1068&lt;=5200,IF(INDEX(客户自备加工筐明细!$D$4:$D$1203,$Z1068-4000)=0,"",INDEX(客户自备加工筐明细!$D$4:$D$1203,$Z1068-4000)),IF($Z1068&lt;=5800,IF(INDEX(次果筐明细!$E$4:$E$603,$Z1068-5200)=0,"",INDEX(次果筐明细!$E$4:$E$603,$Z1068-5200)),"")))))</f>
        <v/>
      </c>
      <c r="F1068" s="24" t="str">
        <f>IF($Z1068="","",IF($Z1068&lt;=2000,IF(INDEX(包装物料出入库明细!$E$4:$E$2003,$Z1068-0)=0,"",INDEX(包装物料出入库明细!$E$4:$E$2003,$Z1068-0)),IF($Z1068&lt;=4000,IF(INDEX(周转筐出入库明细!$D$4:$D$2004,$Z1068-2000)=0,"",INDEX(周转筐出入库明细!$D$4:$D$2004,$Z1068-2000)),IF($Z1068&lt;=5200,IF(INDEX(客户自备加工筐明细!$C$4:$C$1203,$Z1068-4000)=0,"",INDEX(客户自备加工筐明细!$C$4:$C$1203,$Z1068-4000)),IF($Z1068&lt;=5800,IF(INDEX(次果筐明细!$D$4:$D$603,$Z1068-5200)=0,"",INDEX(次果筐明细!$D$4:$D$603,$Z1068-5200)),"")))))</f>
        <v/>
      </c>
      <c r="G1068" s="24" t="str">
        <f>IF($Z1068="","",IF($Z1068&lt;=2000,IF(INDEX(包装物料出入库明细!$F$4:$F$2003,$Z1068-0)=0,"",INDEX(包装物料出入库明细!$F$4:$F$2003,$Z1068-0)),IF($Z1068&lt;=4000,"",IF($Z1068&lt;=5200,"",IF($Z1068&lt;=5800,"","")))))</f>
        <v/>
      </c>
      <c r="H1068" s="39" t="str">
        <f>IF($Z1068="","",IF($Z1068&lt;=2000,IF(INDEX(包装物料出入库明细!$L$4:$L$2003,$Z1068-0)=0,"",INDEX(包装物料出入库明细!$L$4:$L$2003,$Z1068-0)),IF($Z1068&lt;=4000,N(INDEX(周转筐出入库明细!$H$4:$H$2004,$Z1068-2000))+N(INDEX(周转筐出入库明细!$I$4:$I$2004,$Z1068-2000))+N(INDEX(周转筐出入库明细!$J$4:$J$2004,$Z1068-2000))+N(INDEX(周转筐出入库明细!$K$4:$K$2004,$Z1068-2000)),IF($Z1068&lt;=5200,N(INDEX(客户自备加工筐明细!$F$4:$F$1203,$Z1068-4000))+N(INDEX(客户自备加工筐明细!$G$4:$G$1203,$Z1068-4000)),IF($Z1068&lt;=5800,IF(INDEX(次果筐明细!$G$4:$G$603,$Z1068-5200)=0,"",INDEX(次果筐明细!$G$4:$G$603,$Z1068-5200)),"")))))</f>
        <v/>
      </c>
      <c r="I1068" s="24" t="str">
        <f>IF($Z1068="","",IF($Z1068&lt;=2000,IF(INDEX(包装物料出入库明细!$G$4:$G$2003,$Z1068-0)=0,"",INDEX(包装物料出入库明细!$G$4:$G$2003,$Z1068-0)),IF($Z1068&lt;=4000,"个",IF($Z1068&lt;=5200,"个",IF($Z1068&lt;=5800,"个","")))))</f>
        <v/>
      </c>
      <c r="J1068" s="30" t="str">
        <f t="shared" si="49"/>
        <v/>
      </c>
      <c r="K1068" s="30" t="str">
        <f>IF($Z1068="","",IF($Z1068&lt;=2000,IF(INDEX(包装物料出入库明细!$N$4:$N$2003,$Z1068-0)=0,"",INDEX(包装物料出入库明细!$N$4:$N$2003,$Z1068-0)),IF($Z1068&lt;=4000,IF(INDEX(周转筐出入库明细!$P$4:$P$2004,$Z1068-2000)=0,"",INDEX(周转筐出入库明细!$P$4:$P$2004,$Z1068-2000)),IF($Z1068&lt;=5200,"",IF($Z1068&lt;=5800,N(INDEX(次果筐明细!$L$4:$L$603,$Z1068-5200))+N(INDEX(次果筐明细!$J$4:$J$603,$Z1068-5200)),"")))))</f>
        <v/>
      </c>
      <c r="L1068" s="24" t="str">
        <f>IF($Z1068="","",IF($Z1068&lt;=2000,IF(INDEX(包装物料出入库明细!$P$4:$P$2003,$Z1068-0)=0,"",INDEX(包装物料出入库明细!$P$4:$P$2003,$Z1068-0)),IF($Z1068&lt;=4000,IF(INDEX(周转筐出入库明细!$Q$4:$Q$2004,$Z1068-2000)=0,"",INDEX(周转筐出入库明细!$Q$4:$Q$2004,$Z1068-2000)),IF($Z1068&lt;=5200,"",IF($Z1068&lt;=5800,IF(INDEX(次果筐明细!$M$4:$M$603,$Z1068-5200)=0,"",INDEX(次果筐明细!$M$4:$M$603,$Z1068-5200)),"")))))</f>
        <v/>
      </c>
      <c r="M1068" s="37" t="str">
        <f>IF($Z1068="","",IF($Z1068&lt;=2000,IF(INDEX(包装物料出入库明细!$R$4:$R$2003,$Z1068-0)=0,"",INDEX(包装物料出入库明细!$R$4:$R$2003,$Z1068-0)),IF($Z1068&lt;=4000,IF(INDEX(周转筐出入库明细!$W$4:$W$2004,$Z1068-2000)=0,"",INDEX(周转筐出入库明细!$W$4:$W$2004,$Z1068-2000)),IF($Z1068&lt;=5200,IF(INDEX(客户自备加工筐明细!$L$4:$L$1203,$Z1068-4000)=0,"",INDEX(客户自备加工筐明细!$L$4:$L$1203,$Z1068-4000)),IF($Z1068&lt;=5800,IF(INDEX(次果筐明细!$P$4:$P$603,$Z1068-5200)=0,"",INDEX(次果筐明细!$P$4:$P$603,$Z1068-5200)),"")))))</f>
        <v/>
      </c>
      <c r="N1068" s="16" t="str">
        <f>IF($Z1068="","",IF($Z1068&lt;=2000,"",IF($Z1068&lt;=4000,IF(INDEX(周转筐出入库明细!$D$4:$D$2004,$Z1068-2000)=0,"",INDEX(周转筐出入库明细!$D$4:$D$2004,$Z1068-2000)),IF($Z1068&lt;=5200,IF(INDEX(客户自备加工筐明细!$C$4:$C$1203,$Z1068-4000)=0,"",INDEX(客户自备加工筐明细!$C$4:$C$1203,$Z1068-4000)),IF($Z1068&lt;=5800,IF(INDEX(次果筐明细!$D$4:$D$603,$Z1068-5200)=0,"",INDEX(次果筐明细!$D$4:$D$603,$Z1068-5200)),"")))))</f>
        <v/>
      </c>
      <c r="O1068" s="40" t="str">
        <f>IF($Z1068="","",IF($Z1068&lt;=2000,"",IF($Z1068&lt;=4000,IF(N(INDEX(周转筐出入库明细!$J$4:$J$2004,$Z1068-2000))+N(INDEX(周转筐出入库明细!$K$4:$K$2004,$Z1068-2000))=0,"",N(INDEX(周转筐出入库明细!$J$4:$J$2004,$Z1068-2000))+N(INDEX(周转筐出入库明细!$K$4:$K$2004,$Z1068-2000))),IF($Z1068&lt;=5200,IF(N(INDEX(客户自备加工筐明细!$G$4:$G$1203,$Z1068-4000))=0,"",N(INDEX(客户自备加工筐明细!$G$4:$G$1203,$Z1068-4000))),IF($Z1068&lt;=5800,IF(ISNUMBER(SEARCH("退",INDEX(次果筐明细!$F$4:$F$603,$Z1068-5200)&amp;"")),"",IF(N(INDEX(次果筐明细!$G$4:$G$603,$Z1068-5200))=0,"",N(INDEX(次果筐明细!$G$4:$G$603,$Z1068-5200)))),"")))))</f>
        <v/>
      </c>
      <c r="P1068" s="40" t="str">
        <f>IF($Z1068="","",IF($Z1068&lt;=2000,"",IF($Z1068&lt;=4000,IF(N(INDEX(周转筐出入库明细!$I$4:$I$2004,$Z1068-2000))=0,"",N(INDEX(周转筐出入库明细!$I$4:$I$2004,$Z1068-2000))),IF($Z1068&lt;=5200,"",IF($Z1068&lt;=5800,IF(ISNUMBER(SEARCH("退",INDEX(次果筐明细!$F$4:$F$603,$Z1068-5200)&amp;"")),IF(N(INDEX(次果筐明细!$G$4:$G$603,$Z1068-5200))=0,"",N(INDEX(次果筐明细!$G$4:$G$603,$Z1068-5200))),""),"")))))</f>
        <v/>
      </c>
      <c r="Q1068" s="40" t="str">
        <f>IF($Z1068="","",IF($Z1068&lt;=2000,"",IF($Z1068&lt;=4000,IF(N(INDEX(周转筐出入库明细!$H$4:$H$2004,$Z1068-2000))=0,"",N(INDEX(周转筐出入库明细!$H$4:$H$2004,$Z1068-2000))),IF($Z1068&lt;=5200,IF(N(INDEX(客户自备加工筐明细!$F$4:$F$1203,$Z1068-4000))=0,"",N(INDEX(客户自备加工筐明细!$F$4:$F$1203,$Z1068-4000))),IF($Z1068&lt;=5800,"","")))))</f>
        <v/>
      </c>
      <c r="R1068" s="16" t="str">
        <f>IF($Z1068="","",IF($Z1068&lt;=2000,IF(INDEX(包装物料出入库明细!$O$4:$O$2003,$Z1068-0)=0,"",INDEX(包装物料出入库明细!$O$4:$O$2003,$Z1068-0)),IF($Z1068&lt;=4000,IF(INDEX(周转筐出入库明细!$M$4:$M$2004,$Z1068-2000)=0,"",INDEX(周转筐出入库明细!$M$4:$M$2004,$Z1068-2000)),IF($Z1068&lt;=5200,IF(INDEX(客户自备加工筐明细!$H$4:$H$1203,$Z1068-4000)=0,"",INDEX(客户自备加工筐明细!$H$4:$H$1203,$Z1068-4000)),IF($Z1068&lt;=5800,IF(INDEX(次果筐明细!$H$4:$H$603,$Z1068-5200)=0,"",INDEX(次果筐明细!$H$4:$H$603,$Z1068-5200)),"")))))</f>
        <v/>
      </c>
      <c r="S1068" s="22" t="str">
        <f t="shared" si="50"/>
        <v/>
      </c>
      <c r="Z1068" s="10" t="str">
        <f>IFERROR(MATCH(ROW()-3,_自动清单!$CQ$4:$CQ$5803,0),"")</f>
        <v/>
      </c>
    </row>
    <row r="1069" spans="1:26">
      <c r="A1069" s="24" t="str">
        <f t="shared" si="48"/>
        <v/>
      </c>
      <c r="B1069" s="38" t="str">
        <f>IF($Z1069="","",IF($Z1069&lt;=2000,IF(INDEX(包装物料出入库明细!$B$4:$B$2003,$Z1069-0)=0,"",INDEX(包装物料出入库明细!$B$4:$B$2003,$Z1069-0)),IF($Z1069&lt;=4000,IF(INDEX(周转筐出入库明细!$B$4:$B$2004,$Z1069-2000)=0,"",INDEX(周转筐出入库明细!$B$4:$B$2004,$Z1069-2000)),IF($Z1069&lt;=5200,IF(INDEX(客户自备加工筐明细!$B$4:$B$1203,$Z1069-4000)=0,"",INDEX(客户自备加工筐明细!$B$4:$B$1203,$Z1069-4000)),IF($Z1069&lt;=5800,IF(INDEX(次果筐明细!$B$4:$B$603,$Z1069-5200)=0,"",INDEX(次果筐明细!$B$4:$B$603,$Z1069-5200)),"")))))</f>
        <v/>
      </c>
      <c r="C1069" s="37" t="str">
        <f>IF($Z1069="","",IF($Z1069&lt;=2000,IF(INDEX(包装物料出入库明细!$D$4:$D$2003,$Z1069-0)=0,"",INDEX(包装物料出入库明细!$D$4:$D$2003,$Z1069-0)),IF($Z1069&lt;=4000,IF(INDEX(周转筐出入库明细!$C$4:$C$2004,$Z1069-2000)=0,"",INDEX(周转筐出入库明细!$C$4:$C$2004,$Z1069-2000)),IF($Z1069&lt;=5200,IF(INDEX(客户自备加工筐明细!$E$4:$E$1203,$Z1069-4000)=0,"",INDEX(客户自备加工筐明细!$E$4:$E$1203,$Z1069-4000)),IF($Z1069&lt;=5800,IF(INDEX(次果筐明细!$C$4:$C$603,$Z1069-5200)=0,"",INDEX(次果筐明细!$C$4:$C$603,$Z1069-5200)),"")))))</f>
        <v/>
      </c>
      <c r="D1069" s="37" t="str">
        <f>IF($Z1069="","",IF($Z1069&lt;=2000,"包装物料－"&amp;INDEX(包装物料出入库明细!$H$4:$H$2003,$Z1069-0),IF($Z1069&lt;=4000,"周转筐－"&amp;INDEX(周转筐出入库明细!$F$4:$F$2004,$Z1069-2000),IF($Z1069&lt;=5200,"客户自备筐－"&amp;INDEX(客户自备加工筐明细!$J$4:$J$1203,$Z1069-4000),IF($Z1069&lt;=5800,"次果筐/托盘－"&amp;INDEX(次果筐明细!$F$4:$F$603,$Z1069-5200),"")))))</f>
        <v/>
      </c>
      <c r="E1069" s="24" t="str">
        <f>IF($Z1069="","",IF($Z1069&lt;=2000,IF(INDEX(包装物料出入库明细!$C$4:$C$2003,$Z1069-0)=0,"",INDEX(包装物料出入库明细!$C$4:$C$2003,$Z1069-0)),IF($Z1069&lt;=4000,IF(INDEX(周转筐出入库明细!$E$4:$E$2004,$Z1069-2000)=0,"",INDEX(周转筐出入库明细!$E$4:$E$2004,$Z1069-2000)),IF($Z1069&lt;=5200,IF(INDEX(客户自备加工筐明细!$D$4:$D$1203,$Z1069-4000)=0,"",INDEX(客户自备加工筐明细!$D$4:$D$1203,$Z1069-4000)),IF($Z1069&lt;=5800,IF(INDEX(次果筐明细!$E$4:$E$603,$Z1069-5200)=0,"",INDEX(次果筐明细!$E$4:$E$603,$Z1069-5200)),"")))))</f>
        <v/>
      </c>
      <c r="F1069" s="24" t="str">
        <f>IF($Z1069="","",IF($Z1069&lt;=2000,IF(INDEX(包装物料出入库明细!$E$4:$E$2003,$Z1069-0)=0,"",INDEX(包装物料出入库明细!$E$4:$E$2003,$Z1069-0)),IF($Z1069&lt;=4000,IF(INDEX(周转筐出入库明细!$D$4:$D$2004,$Z1069-2000)=0,"",INDEX(周转筐出入库明细!$D$4:$D$2004,$Z1069-2000)),IF($Z1069&lt;=5200,IF(INDEX(客户自备加工筐明细!$C$4:$C$1203,$Z1069-4000)=0,"",INDEX(客户自备加工筐明细!$C$4:$C$1203,$Z1069-4000)),IF($Z1069&lt;=5800,IF(INDEX(次果筐明细!$D$4:$D$603,$Z1069-5200)=0,"",INDEX(次果筐明细!$D$4:$D$603,$Z1069-5200)),"")))))</f>
        <v/>
      </c>
      <c r="G1069" s="24" t="str">
        <f>IF($Z1069="","",IF($Z1069&lt;=2000,IF(INDEX(包装物料出入库明细!$F$4:$F$2003,$Z1069-0)=0,"",INDEX(包装物料出入库明细!$F$4:$F$2003,$Z1069-0)),IF($Z1069&lt;=4000,"",IF($Z1069&lt;=5200,"",IF($Z1069&lt;=5800,"","")))))</f>
        <v/>
      </c>
      <c r="H1069" s="39" t="str">
        <f>IF($Z1069="","",IF($Z1069&lt;=2000,IF(INDEX(包装物料出入库明细!$L$4:$L$2003,$Z1069-0)=0,"",INDEX(包装物料出入库明细!$L$4:$L$2003,$Z1069-0)),IF($Z1069&lt;=4000,N(INDEX(周转筐出入库明细!$H$4:$H$2004,$Z1069-2000))+N(INDEX(周转筐出入库明细!$I$4:$I$2004,$Z1069-2000))+N(INDEX(周转筐出入库明细!$J$4:$J$2004,$Z1069-2000))+N(INDEX(周转筐出入库明细!$K$4:$K$2004,$Z1069-2000)),IF($Z1069&lt;=5200,N(INDEX(客户自备加工筐明细!$F$4:$F$1203,$Z1069-4000))+N(INDEX(客户自备加工筐明细!$G$4:$G$1203,$Z1069-4000)),IF($Z1069&lt;=5800,IF(INDEX(次果筐明细!$G$4:$G$603,$Z1069-5200)=0,"",INDEX(次果筐明细!$G$4:$G$603,$Z1069-5200)),"")))))</f>
        <v/>
      </c>
      <c r="I1069" s="24" t="str">
        <f>IF($Z1069="","",IF($Z1069&lt;=2000,IF(INDEX(包装物料出入库明细!$G$4:$G$2003,$Z1069-0)=0,"",INDEX(包装物料出入库明细!$G$4:$G$2003,$Z1069-0)),IF($Z1069&lt;=4000,"个",IF($Z1069&lt;=5200,"个",IF($Z1069&lt;=5800,"个","")))))</f>
        <v/>
      </c>
      <c r="J1069" s="30" t="str">
        <f t="shared" si="49"/>
        <v/>
      </c>
      <c r="K1069" s="30" t="str">
        <f>IF($Z1069="","",IF($Z1069&lt;=2000,IF(INDEX(包装物料出入库明细!$N$4:$N$2003,$Z1069-0)=0,"",INDEX(包装物料出入库明细!$N$4:$N$2003,$Z1069-0)),IF($Z1069&lt;=4000,IF(INDEX(周转筐出入库明细!$P$4:$P$2004,$Z1069-2000)=0,"",INDEX(周转筐出入库明细!$P$4:$P$2004,$Z1069-2000)),IF($Z1069&lt;=5200,"",IF($Z1069&lt;=5800,N(INDEX(次果筐明细!$L$4:$L$603,$Z1069-5200))+N(INDEX(次果筐明细!$J$4:$J$603,$Z1069-5200)),"")))))</f>
        <v/>
      </c>
      <c r="L1069" s="24" t="str">
        <f>IF($Z1069="","",IF($Z1069&lt;=2000,IF(INDEX(包装物料出入库明细!$P$4:$P$2003,$Z1069-0)=0,"",INDEX(包装物料出入库明细!$P$4:$P$2003,$Z1069-0)),IF($Z1069&lt;=4000,IF(INDEX(周转筐出入库明细!$Q$4:$Q$2004,$Z1069-2000)=0,"",INDEX(周转筐出入库明细!$Q$4:$Q$2004,$Z1069-2000)),IF($Z1069&lt;=5200,"",IF($Z1069&lt;=5800,IF(INDEX(次果筐明细!$M$4:$M$603,$Z1069-5200)=0,"",INDEX(次果筐明细!$M$4:$M$603,$Z1069-5200)),"")))))</f>
        <v/>
      </c>
      <c r="M1069" s="37" t="str">
        <f>IF($Z1069="","",IF($Z1069&lt;=2000,IF(INDEX(包装物料出入库明细!$R$4:$R$2003,$Z1069-0)=0,"",INDEX(包装物料出入库明细!$R$4:$R$2003,$Z1069-0)),IF($Z1069&lt;=4000,IF(INDEX(周转筐出入库明细!$W$4:$W$2004,$Z1069-2000)=0,"",INDEX(周转筐出入库明细!$W$4:$W$2004,$Z1069-2000)),IF($Z1069&lt;=5200,IF(INDEX(客户自备加工筐明细!$L$4:$L$1203,$Z1069-4000)=0,"",INDEX(客户自备加工筐明细!$L$4:$L$1203,$Z1069-4000)),IF($Z1069&lt;=5800,IF(INDEX(次果筐明细!$P$4:$P$603,$Z1069-5200)=0,"",INDEX(次果筐明细!$P$4:$P$603,$Z1069-5200)),"")))))</f>
        <v/>
      </c>
      <c r="N1069" s="16" t="str">
        <f>IF($Z1069="","",IF($Z1069&lt;=2000,"",IF($Z1069&lt;=4000,IF(INDEX(周转筐出入库明细!$D$4:$D$2004,$Z1069-2000)=0,"",INDEX(周转筐出入库明细!$D$4:$D$2004,$Z1069-2000)),IF($Z1069&lt;=5200,IF(INDEX(客户自备加工筐明细!$C$4:$C$1203,$Z1069-4000)=0,"",INDEX(客户自备加工筐明细!$C$4:$C$1203,$Z1069-4000)),IF($Z1069&lt;=5800,IF(INDEX(次果筐明细!$D$4:$D$603,$Z1069-5200)=0,"",INDEX(次果筐明细!$D$4:$D$603,$Z1069-5200)),"")))))</f>
        <v/>
      </c>
      <c r="O1069" s="40" t="str">
        <f>IF($Z1069="","",IF($Z1069&lt;=2000,"",IF($Z1069&lt;=4000,IF(N(INDEX(周转筐出入库明细!$J$4:$J$2004,$Z1069-2000))+N(INDEX(周转筐出入库明细!$K$4:$K$2004,$Z1069-2000))=0,"",N(INDEX(周转筐出入库明细!$J$4:$J$2004,$Z1069-2000))+N(INDEX(周转筐出入库明细!$K$4:$K$2004,$Z1069-2000))),IF($Z1069&lt;=5200,IF(N(INDEX(客户自备加工筐明细!$G$4:$G$1203,$Z1069-4000))=0,"",N(INDEX(客户自备加工筐明细!$G$4:$G$1203,$Z1069-4000))),IF($Z1069&lt;=5800,IF(ISNUMBER(SEARCH("退",INDEX(次果筐明细!$F$4:$F$603,$Z1069-5200)&amp;"")),"",IF(N(INDEX(次果筐明细!$G$4:$G$603,$Z1069-5200))=0,"",N(INDEX(次果筐明细!$G$4:$G$603,$Z1069-5200)))),"")))))</f>
        <v/>
      </c>
      <c r="P1069" s="40" t="str">
        <f>IF($Z1069="","",IF($Z1069&lt;=2000,"",IF($Z1069&lt;=4000,IF(N(INDEX(周转筐出入库明细!$I$4:$I$2004,$Z1069-2000))=0,"",N(INDEX(周转筐出入库明细!$I$4:$I$2004,$Z1069-2000))),IF($Z1069&lt;=5200,"",IF($Z1069&lt;=5800,IF(ISNUMBER(SEARCH("退",INDEX(次果筐明细!$F$4:$F$603,$Z1069-5200)&amp;"")),IF(N(INDEX(次果筐明细!$G$4:$G$603,$Z1069-5200))=0,"",N(INDEX(次果筐明细!$G$4:$G$603,$Z1069-5200))),""),"")))))</f>
        <v/>
      </c>
      <c r="Q1069" s="40" t="str">
        <f>IF($Z1069="","",IF($Z1069&lt;=2000,"",IF($Z1069&lt;=4000,IF(N(INDEX(周转筐出入库明细!$H$4:$H$2004,$Z1069-2000))=0,"",N(INDEX(周转筐出入库明细!$H$4:$H$2004,$Z1069-2000))),IF($Z1069&lt;=5200,IF(N(INDEX(客户自备加工筐明细!$F$4:$F$1203,$Z1069-4000))=0,"",N(INDEX(客户自备加工筐明细!$F$4:$F$1203,$Z1069-4000))),IF($Z1069&lt;=5800,"","")))))</f>
        <v/>
      </c>
      <c r="R1069" s="16" t="str">
        <f>IF($Z1069="","",IF($Z1069&lt;=2000,IF(INDEX(包装物料出入库明细!$O$4:$O$2003,$Z1069-0)=0,"",INDEX(包装物料出入库明细!$O$4:$O$2003,$Z1069-0)),IF($Z1069&lt;=4000,IF(INDEX(周转筐出入库明细!$M$4:$M$2004,$Z1069-2000)=0,"",INDEX(周转筐出入库明细!$M$4:$M$2004,$Z1069-2000)),IF($Z1069&lt;=5200,IF(INDEX(客户自备加工筐明细!$H$4:$H$1203,$Z1069-4000)=0,"",INDEX(客户自备加工筐明细!$H$4:$H$1203,$Z1069-4000)),IF($Z1069&lt;=5800,IF(INDEX(次果筐明细!$H$4:$H$603,$Z1069-5200)=0,"",INDEX(次果筐明细!$H$4:$H$603,$Z1069-5200)),"")))))</f>
        <v/>
      </c>
      <c r="S1069" s="22" t="str">
        <f t="shared" si="50"/>
        <v/>
      </c>
      <c r="Z1069" s="10" t="str">
        <f>IFERROR(MATCH(ROW()-3,_自动清单!$CQ$4:$CQ$5803,0),"")</f>
        <v/>
      </c>
    </row>
    <row r="1070" spans="1:26">
      <c r="A1070" s="24" t="str">
        <f t="shared" si="48"/>
        <v/>
      </c>
      <c r="B1070" s="38" t="str">
        <f>IF($Z1070="","",IF($Z1070&lt;=2000,IF(INDEX(包装物料出入库明细!$B$4:$B$2003,$Z1070-0)=0,"",INDEX(包装物料出入库明细!$B$4:$B$2003,$Z1070-0)),IF($Z1070&lt;=4000,IF(INDEX(周转筐出入库明细!$B$4:$B$2004,$Z1070-2000)=0,"",INDEX(周转筐出入库明细!$B$4:$B$2004,$Z1070-2000)),IF($Z1070&lt;=5200,IF(INDEX(客户自备加工筐明细!$B$4:$B$1203,$Z1070-4000)=0,"",INDEX(客户自备加工筐明细!$B$4:$B$1203,$Z1070-4000)),IF($Z1070&lt;=5800,IF(INDEX(次果筐明细!$B$4:$B$603,$Z1070-5200)=0,"",INDEX(次果筐明细!$B$4:$B$603,$Z1070-5200)),"")))))</f>
        <v/>
      </c>
      <c r="C1070" s="37" t="str">
        <f>IF($Z1070="","",IF($Z1070&lt;=2000,IF(INDEX(包装物料出入库明细!$D$4:$D$2003,$Z1070-0)=0,"",INDEX(包装物料出入库明细!$D$4:$D$2003,$Z1070-0)),IF($Z1070&lt;=4000,IF(INDEX(周转筐出入库明细!$C$4:$C$2004,$Z1070-2000)=0,"",INDEX(周转筐出入库明细!$C$4:$C$2004,$Z1070-2000)),IF($Z1070&lt;=5200,IF(INDEX(客户自备加工筐明细!$E$4:$E$1203,$Z1070-4000)=0,"",INDEX(客户自备加工筐明细!$E$4:$E$1203,$Z1070-4000)),IF($Z1070&lt;=5800,IF(INDEX(次果筐明细!$C$4:$C$603,$Z1070-5200)=0,"",INDEX(次果筐明细!$C$4:$C$603,$Z1070-5200)),"")))))</f>
        <v/>
      </c>
      <c r="D1070" s="37" t="str">
        <f>IF($Z1070="","",IF($Z1070&lt;=2000,"包装物料－"&amp;INDEX(包装物料出入库明细!$H$4:$H$2003,$Z1070-0),IF($Z1070&lt;=4000,"周转筐－"&amp;INDEX(周转筐出入库明细!$F$4:$F$2004,$Z1070-2000),IF($Z1070&lt;=5200,"客户自备筐－"&amp;INDEX(客户自备加工筐明细!$J$4:$J$1203,$Z1070-4000),IF($Z1070&lt;=5800,"次果筐/托盘－"&amp;INDEX(次果筐明细!$F$4:$F$603,$Z1070-5200),"")))))</f>
        <v/>
      </c>
      <c r="E1070" s="24" t="str">
        <f>IF($Z1070="","",IF($Z1070&lt;=2000,IF(INDEX(包装物料出入库明细!$C$4:$C$2003,$Z1070-0)=0,"",INDEX(包装物料出入库明细!$C$4:$C$2003,$Z1070-0)),IF($Z1070&lt;=4000,IF(INDEX(周转筐出入库明细!$E$4:$E$2004,$Z1070-2000)=0,"",INDEX(周转筐出入库明细!$E$4:$E$2004,$Z1070-2000)),IF($Z1070&lt;=5200,IF(INDEX(客户自备加工筐明细!$D$4:$D$1203,$Z1070-4000)=0,"",INDEX(客户自备加工筐明细!$D$4:$D$1203,$Z1070-4000)),IF($Z1070&lt;=5800,IF(INDEX(次果筐明细!$E$4:$E$603,$Z1070-5200)=0,"",INDEX(次果筐明细!$E$4:$E$603,$Z1070-5200)),"")))))</f>
        <v/>
      </c>
      <c r="F1070" s="24" t="str">
        <f>IF($Z1070="","",IF($Z1070&lt;=2000,IF(INDEX(包装物料出入库明细!$E$4:$E$2003,$Z1070-0)=0,"",INDEX(包装物料出入库明细!$E$4:$E$2003,$Z1070-0)),IF($Z1070&lt;=4000,IF(INDEX(周转筐出入库明细!$D$4:$D$2004,$Z1070-2000)=0,"",INDEX(周转筐出入库明细!$D$4:$D$2004,$Z1070-2000)),IF($Z1070&lt;=5200,IF(INDEX(客户自备加工筐明细!$C$4:$C$1203,$Z1070-4000)=0,"",INDEX(客户自备加工筐明细!$C$4:$C$1203,$Z1070-4000)),IF($Z1070&lt;=5800,IF(INDEX(次果筐明细!$D$4:$D$603,$Z1070-5200)=0,"",INDEX(次果筐明细!$D$4:$D$603,$Z1070-5200)),"")))))</f>
        <v/>
      </c>
      <c r="G1070" s="24" t="str">
        <f>IF($Z1070="","",IF($Z1070&lt;=2000,IF(INDEX(包装物料出入库明细!$F$4:$F$2003,$Z1070-0)=0,"",INDEX(包装物料出入库明细!$F$4:$F$2003,$Z1070-0)),IF($Z1070&lt;=4000,"",IF($Z1070&lt;=5200,"",IF($Z1070&lt;=5800,"","")))))</f>
        <v/>
      </c>
      <c r="H1070" s="39" t="str">
        <f>IF($Z1070="","",IF($Z1070&lt;=2000,IF(INDEX(包装物料出入库明细!$L$4:$L$2003,$Z1070-0)=0,"",INDEX(包装物料出入库明细!$L$4:$L$2003,$Z1070-0)),IF($Z1070&lt;=4000,N(INDEX(周转筐出入库明细!$H$4:$H$2004,$Z1070-2000))+N(INDEX(周转筐出入库明细!$I$4:$I$2004,$Z1070-2000))+N(INDEX(周转筐出入库明细!$J$4:$J$2004,$Z1070-2000))+N(INDEX(周转筐出入库明细!$K$4:$K$2004,$Z1070-2000)),IF($Z1070&lt;=5200,N(INDEX(客户自备加工筐明细!$F$4:$F$1203,$Z1070-4000))+N(INDEX(客户自备加工筐明细!$G$4:$G$1203,$Z1070-4000)),IF($Z1070&lt;=5800,IF(INDEX(次果筐明细!$G$4:$G$603,$Z1070-5200)=0,"",INDEX(次果筐明细!$G$4:$G$603,$Z1070-5200)),"")))))</f>
        <v/>
      </c>
      <c r="I1070" s="24" t="str">
        <f>IF($Z1070="","",IF($Z1070&lt;=2000,IF(INDEX(包装物料出入库明细!$G$4:$G$2003,$Z1070-0)=0,"",INDEX(包装物料出入库明细!$G$4:$G$2003,$Z1070-0)),IF($Z1070&lt;=4000,"个",IF($Z1070&lt;=5200,"个",IF($Z1070&lt;=5800,"个","")))))</f>
        <v/>
      </c>
      <c r="J1070" s="30" t="str">
        <f t="shared" si="49"/>
        <v/>
      </c>
      <c r="K1070" s="30" t="str">
        <f>IF($Z1070="","",IF($Z1070&lt;=2000,IF(INDEX(包装物料出入库明细!$N$4:$N$2003,$Z1070-0)=0,"",INDEX(包装物料出入库明细!$N$4:$N$2003,$Z1070-0)),IF($Z1070&lt;=4000,IF(INDEX(周转筐出入库明细!$P$4:$P$2004,$Z1070-2000)=0,"",INDEX(周转筐出入库明细!$P$4:$P$2004,$Z1070-2000)),IF($Z1070&lt;=5200,"",IF($Z1070&lt;=5800,N(INDEX(次果筐明细!$L$4:$L$603,$Z1070-5200))+N(INDEX(次果筐明细!$J$4:$J$603,$Z1070-5200)),"")))))</f>
        <v/>
      </c>
      <c r="L1070" s="24" t="str">
        <f>IF($Z1070="","",IF($Z1070&lt;=2000,IF(INDEX(包装物料出入库明细!$P$4:$P$2003,$Z1070-0)=0,"",INDEX(包装物料出入库明细!$P$4:$P$2003,$Z1070-0)),IF($Z1070&lt;=4000,IF(INDEX(周转筐出入库明细!$Q$4:$Q$2004,$Z1070-2000)=0,"",INDEX(周转筐出入库明细!$Q$4:$Q$2004,$Z1070-2000)),IF($Z1070&lt;=5200,"",IF($Z1070&lt;=5800,IF(INDEX(次果筐明细!$M$4:$M$603,$Z1070-5200)=0,"",INDEX(次果筐明细!$M$4:$M$603,$Z1070-5200)),"")))))</f>
        <v/>
      </c>
      <c r="M1070" s="37" t="str">
        <f>IF($Z1070="","",IF($Z1070&lt;=2000,IF(INDEX(包装物料出入库明细!$R$4:$R$2003,$Z1070-0)=0,"",INDEX(包装物料出入库明细!$R$4:$R$2003,$Z1070-0)),IF($Z1070&lt;=4000,IF(INDEX(周转筐出入库明细!$W$4:$W$2004,$Z1070-2000)=0,"",INDEX(周转筐出入库明细!$W$4:$W$2004,$Z1070-2000)),IF($Z1070&lt;=5200,IF(INDEX(客户自备加工筐明细!$L$4:$L$1203,$Z1070-4000)=0,"",INDEX(客户自备加工筐明细!$L$4:$L$1203,$Z1070-4000)),IF($Z1070&lt;=5800,IF(INDEX(次果筐明细!$P$4:$P$603,$Z1070-5200)=0,"",INDEX(次果筐明细!$P$4:$P$603,$Z1070-5200)),"")))))</f>
        <v/>
      </c>
      <c r="N1070" s="16" t="str">
        <f>IF($Z1070="","",IF($Z1070&lt;=2000,"",IF($Z1070&lt;=4000,IF(INDEX(周转筐出入库明细!$D$4:$D$2004,$Z1070-2000)=0,"",INDEX(周转筐出入库明细!$D$4:$D$2004,$Z1070-2000)),IF($Z1070&lt;=5200,IF(INDEX(客户自备加工筐明细!$C$4:$C$1203,$Z1070-4000)=0,"",INDEX(客户自备加工筐明细!$C$4:$C$1203,$Z1070-4000)),IF($Z1070&lt;=5800,IF(INDEX(次果筐明细!$D$4:$D$603,$Z1070-5200)=0,"",INDEX(次果筐明细!$D$4:$D$603,$Z1070-5200)),"")))))</f>
        <v/>
      </c>
      <c r="O1070" s="40" t="str">
        <f>IF($Z1070="","",IF($Z1070&lt;=2000,"",IF($Z1070&lt;=4000,IF(N(INDEX(周转筐出入库明细!$J$4:$J$2004,$Z1070-2000))+N(INDEX(周转筐出入库明细!$K$4:$K$2004,$Z1070-2000))=0,"",N(INDEX(周转筐出入库明细!$J$4:$J$2004,$Z1070-2000))+N(INDEX(周转筐出入库明细!$K$4:$K$2004,$Z1070-2000))),IF($Z1070&lt;=5200,IF(N(INDEX(客户自备加工筐明细!$G$4:$G$1203,$Z1070-4000))=0,"",N(INDEX(客户自备加工筐明细!$G$4:$G$1203,$Z1070-4000))),IF($Z1070&lt;=5800,IF(ISNUMBER(SEARCH("退",INDEX(次果筐明细!$F$4:$F$603,$Z1070-5200)&amp;"")),"",IF(N(INDEX(次果筐明细!$G$4:$G$603,$Z1070-5200))=0,"",N(INDEX(次果筐明细!$G$4:$G$603,$Z1070-5200)))),"")))))</f>
        <v/>
      </c>
      <c r="P1070" s="40" t="str">
        <f>IF($Z1070="","",IF($Z1070&lt;=2000,"",IF($Z1070&lt;=4000,IF(N(INDEX(周转筐出入库明细!$I$4:$I$2004,$Z1070-2000))=0,"",N(INDEX(周转筐出入库明细!$I$4:$I$2004,$Z1070-2000))),IF($Z1070&lt;=5200,"",IF($Z1070&lt;=5800,IF(ISNUMBER(SEARCH("退",INDEX(次果筐明细!$F$4:$F$603,$Z1070-5200)&amp;"")),IF(N(INDEX(次果筐明细!$G$4:$G$603,$Z1070-5200))=0,"",N(INDEX(次果筐明细!$G$4:$G$603,$Z1070-5200))),""),"")))))</f>
        <v/>
      </c>
      <c r="Q1070" s="40" t="str">
        <f>IF($Z1070="","",IF($Z1070&lt;=2000,"",IF($Z1070&lt;=4000,IF(N(INDEX(周转筐出入库明细!$H$4:$H$2004,$Z1070-2000))=0,"",N(INDEX(周转筐出入库明细!$H$4:$H$2004,$Z1070-2000))),IF($Z1070&lt;=5200,IF(N(INDEX(客户自备加工筐明细!$F$4:$F$1203,$Z1070-4000))=0,"",N(INDEX(客户自备加工筐明细!$F$4:$F$1203,$Z1070-4000))),IF($Z1070&lt;=5800,"","")))))</f>
        <v/>
      </c>
      <c r="R1070" s="16" t="str">
        <f>IF($Z1070="","",IF($Z1070&lt;=2000,IF(INDEX(包装物料出入库明细!$O$4:$O$2003,$Z1070-0)=0,"",INDEX(包装物料出入库明细!$O$4:$O$2003,$Z1070-0)),IF($Z1070&lt;=4000,IF(INDEX(周转筐出入库明细!$M$4:$M$2004,$Z1070-2000)=0,"",INDEX(周转筐出入库明细!$M$4:$M$2004,$Z1070-2000)),IF($Z1070&lt;=5200,IF(INDEX(客户自备加工筐明细!$H$4:$H$1203,$Z1070-4000)=0,"",INDEX(客户自备加工筐明细!$H$4:$H$1203,$Z1070-4000)),IF($Z1070&lt;=5800,IF(INDEX(次果筐明细!$H$4:$H$603,$Z1070-5200)=0,"",INDEX(次果筐明细!$H$4:$H$603,$Z1070-5200)),"")))))</f>
        <v/>
      </c>
      <c r="S1070" s="22" t="str">
        <f t="shared" si="50"/>
        <v/>
      </c>
      <c r="Z1070" s="10" t="str">
        <f>IFERROR(MATCH(ROW()-3,_自动清单!$CQ$4:$CQ$5803,0),"")</f>
        <v/>
      </c>
    </row>
    <row r="1071" spans="1:26">
      <c r="A1071" s="24" t="str">
        <f t="shared" si="48"/>
        <v/>
      </c>
      <c r="B1071" s="38" t="str">
        <f>IF($Z1071="","",IF($Z1071&lt;=2000,IF(INDEX(包装物料出入库明细!$B$4:$B$2003,$Z1071-0)=0,"",INDEX(包装物料出入库明细!$B$4:$B$2003,$Z1071-0)),IF($Z1071&lt;=4000,IF(INDEX(周转筐出入库明细!$B$4:$B$2004,$Z1071-2000)=0,"",INDEX(周转筐出入库明细!$B$4:$B$2004,$Z1071-2000)),IF($Z1071&lt;=5200,IF(INDEX(客户自备加工筐明细!$B$4:$B$1203,$Z1071-4000)=0,"",INDEX(客户自备加工筐明细!$B$4:$B$1203,$Z1071-4000)),IF($Z1071&lt;=5800,IF(INDEX(次果筐明细!$B$4:$B$603,$Z1071-5200)=0,"",INDEX(次果筐明细!$B$4:$B$603,$Z1071-5200)),"")))))</f>
        <v/>
      </c>
      <c r="C1071" s="37" t="str">
        <f>IF($Z1071="","",IF($Z1071&lt;=2000,IF(INDEX(包装物料出入库明细!$D$4:$D$2003,$Z1071-0)=0,"",INDEX(包装物料出入库明细!$D$4:$D$2003,$Z1071-0)),IF($Z1071&lt;=4000,IF(INDEX(周转筐出入库明细!$C$4:$C$2004,$Z1071-2000)=0,"",INDEX(周转筐出入库明细!$C$4:$C$2004,$Z1071-2000)),IF($Z1071&lt;=5200,IF(INDEX(客户自备加工筐明细!$E$4:$E$1203,$Z1071-4000)=0,"",INDEX(客户自备加工筐明细!$E$4:$E$1203,$Z1071-4000)),IF($Z1071&lt;=5800,IF(INDEX(次果筐明细!$C$4:$C$603,$Z1071-5200)=0,"",INDEX(次果筐明细!$C$4:$C$603,$Z1071-5200)),"")))))</f>
        <v/>
      </c>
      <c r="D1071" s="37" t="str">
        <f>IF($Z1071="","",IF($Z1071&lt;=2000,"包装物料－"&amp;INDEX(包装物料出入库明细!$H$4:$H$2003,$Z1071-0),IF($Z1071&lt;=4000,"周转筐－"&amp;INDEX(周转筐出入库明细!$F$4:$F$2004,$Z1071-2000),IF($Z1071&lt;=5200,"客户自备筐－"&amp;INDEX(客户自备加工筐明细!$J$4:$J$1203,$Z1071-4000),IF($Z1071&lt;=5800,"次果筐/托盘－"&amp;INDEX(次果筐明细!$F$4:$F$603,$Z1071-5200),"")))))</f>
        <v/>
      </c>
      <c r="E1071" s="24" t="str">
        <f>IF($Z1071="","",IF($Z1071&lt;=2000,IF(INDEX(包装物料出入库明细!$C$4:$C$2003,$Z1071-0)=0,"",INDEX(包装物料出入库明细!$C$4:$C$2003,$Z1071-0)),IF($Z1071&lt;=4000,IF(INDEX(周转筐出入库明细!$E$4:$E$2004,$Z1071-2000)=0,"",INDEX(周转筐出入库明细!$E$4:$E$2004,$Z1071-2000)),IF($Z1071&lt;=5200,IF(INDEX(客户自备加工筐明细!$D$4:$D$1203,$Z1071-4000)=0,"",INDEX(客户自备加工筐明细!$D$4:$D$1203,$Z1071-4000)),IF($Z1071&lt;=5800,IF(INDEX(次果筐明细!$E$4:$E$603,$Z1071-5200)=0,"",INDEX(次果筐明细!$E$4:$E$603,$Z1071-5200)),"")))))</f>
        <v/>
      </c>
      <c r="F1071" s="24" t="str">
        <f>IF($Z1071="","",IF($Z1071&lt;=2000,IF(INDEX(包装物料出入库明细!$E$4:$E$2003,$Z1071-0)=0,"",INDEX(包装物料出入库明细!$E$4:$E$2003,$Z1071-0)),IF($Z1071&lt;=4000,IF(INDEX(周转筐出入库明细!$D$4:$D$2004,$Z1071-2000)=0,"",INDEX(周转筐出入库明细!$D$4:$D$2004,$Z1071-2000)),IF($Z1071&lt;=5200,IF(INDEX(客户自备加工筐明细!$C$4:$C$1203,$Z1071-4000)=0,"",INDEX(客户自备加工筐明细!$C$4:$C$1203,$Z1071-4000)),IF($Z1071&lt;=5800,IF(INDEX(次果筐明细!$D$4:$D$603,$Z1071-5200)=0,"",INDEX(次果筐明细!$D$4:$D$603,$Z1071-5200)),"")))))</f>
        <v/>
      </c>
      <c r="G1071" s="24" t="str">
        <f>IF($Z1071="","",IF($Z1071&lt;=2000,IF(INDEX(包装物料出入库明细!$F$4:$F$2003,$Z1071-0)=0,"",INDEX(包装物料出入库明细!$F$4:$F$2003,$Z1071-0)),IF($Z1071&lt;=4000,"",IF($Z1071&lt;=5200,"",IF($Z1071&lt;=5800,"","")))))</f>
        <v/>
      </c>
      <c r="H1071" s="39" t="str">
        <f>IF($Z1071="","",IF($Z1071&lt;=2000,IF(INDEX(包装物料出入库明细!$L$4:$L$2003,$Z1071-0)=0,"",INDEX(包装物料出入库明细!$L$4:$L$2003,$Z1071-0)),IF($Z1071&lt;=4000,N(INDEX(周转筐出入库明细!$H$4:$H$2004,$Z1071-2000))+N(INDEX(周转筐出入库明细!$I$4:$I$2004,$Z1071-2000))+N(INDEX(周转筐出入库明细!$J$4:$J$2004,$Z1071-2000))+N(INDEX(周转筐出入库明细!$K$4:$K$2004,$Z1071-2000)),IF($Z1071&lt;=5200,N(INDEX(客户自备加工筐明细!$F$4:$F$1203,$Z1071-4000))+N(INDEX(客户自备加工筐明细!$G$4:$G$1203,$Z1071-4000)),IF($Z1071&lt;=5800,IF(INDEX(次果筐明细!$G$4:$G$603,$Z1071-5200)=0,"",INDEX(次果筐明细!$G$4:$G$603,$Z1071-5200)),"")))))</f>
        <v/>
      </c>
      <c r="I1071" s="24" t="str">
        <f>IF($Z1071="","",IF($Z1071&lt;=2000,IF(INDEX(包装物料出入库明细!$G$4:$G$2003,$Z1071-0)=0,"",INDEX(包装物料出入库明细!$G$4:$G$2003,$Z1071-0)),IF($Z1071&lt;=4000,"个",IF($Z1071&lt;=5200,"个",IF($Z1071&lt;=5800,"个","")))))</f>
        <v/>
      </c>
      <c r="J1071" s="30" t="str">
        <f t="shared" si="49"/>
        <v/>
      </c>
      <c r="K1071" s="30" t="str">
        <f>IF($Z1071="","",IF($Z1071&lt;=2000,IF(INDEX(包装物料出入库明细!$N$4:$N$2003,$Z1071-0)=0,"",INDEX(包装物料出入库明细!$N$4:$N$2003,$Z1071-0)),IF($Z1071&lt;=4000,IF(INDEX(周转筐出入库明细!$P$4:$P$2004,$Z1071-2000)=0,"",INDEX(周转筐出入库明细!$P$4:$P$2004,$Z1071-2000)),IF($Z1071&lt;=5200,"",IF($Z1071&lt;=5800,N(INDEX(次果筐明细!$L$4:$L$603,$Z1071-5200))+N(INDEX(次果筐明细!$J$4:$J$603,$Z1071-5200)),"")))))</f>
        <v/>
      </c>
      <c r="L1071" s="24" t="str">
        <f>IF($Z1071="","",IF($Z1071&lt;=2000,IF(INDEX(包装物料出入库明细!$P$4:$P$2003,$Z1071-0)=0,"",INDEX(包装物料出入库明细!$P$4:$P$2003,$Z1071-0)),IF($Z1071&lt;=4000,IF(INDEX(周转筐出入库明细!$Q$4:$Q$2004,$Z1071-2000)=0,"",INDEX(周转筐出入库明细!$Q$4:$Q$2004,$Z1071-2000)),IF($Z1071&lt;=5200,"",IF($Z1071&lt;=5800,IF(INDEX(次果筐明细!$M$4:$M$603,$Z1071-5200)=0,"",INDEX(次果筐明细!$M$4:$M$603,$Z1071-5200)),"")))))</f>
        <v/>
      </c>
      <c r="M1071" s="37" t="str">
        <f>IF($Z1071="","",IF($Z1071&lt;=2000,IF(INDEX(包装物料出入库明细!$R$4:$R$2003,$Z1071-0)=0,"",INDEX(包装物料出入库明细!$R$4:$R$2003,$Z1071-0)),IF($Z1071&lt;=4000,IF(INDEX(周转筐出入库明细!$W$4:$W$2004,$Z1071-2000)=0,"",INDEX(周转筐出入库明细!$W$4:$W$2004,$Z1071-2000)),IF($Z1071&lt;=5200,IF(INDEX(客户自备加工筐明细!$L$4:$L$1203,$Z1071-4000)=0,"",INDEX(客户自备加工筐明细!$L$4:$L$1203,$Z1071-4000)),IF($Z1071&lt;=5800,IF(INDEX(次果筐明细!$P$4:$P$603,$Z1071-5200)=0,"",INDEX(次果筐明细!$P$4:$P$603,$Z1071-5200)),"")))))</f>
        <v/>
      </c>
      <c r="N1071" s="16" t="str">
        <f>IF($Z1071="","",IF($Z1071&lt;=2000,"",IF($Z1071&lt;=4000,IF(INDEX(周转筐出入库明细!$D$4:$D$2004,$Z1071-2000)=0,"",INDEX(周转筐出入库明细!$D$4:$D$2004,$Z1071-2000)),IF($Z1071&lt;=5200,IF(INDEX(客户自备加工筐明细!$C$4:$C$1203,$Z1071-4000)=0,"",INDEX(客户自备加工筐明细!$C$4:$C$1203,$Z1071-4000)),IF($Z1071&lt;=5800,IF(INDEX(次果筐明细!$D$4:$D$603,$Z1071-5200)=0,"",INDEX(次果筐明细!$D$4:$D$603,$Z1071-5200)),"")))))</f>
        <v/>
      </c>
      <c r="O1071" s="40" t="str">
        <f>IF($Z1071="","",IF($Z1071&lt;=2000,"",IF($Z1071&lt;=4000,IF(N(INDEX(周转筐出入库明细!$J$4:$J$2004,$Z1071-2000))+N(INDEX(周转筐出入库明细!$K$4:$K$2004,$Z1071-2000))=0,"",N(INDEX(周转筐出入库明细!$J$4:$J$2004,$Z1071-2000))+N(INDEX(周转筐出入库明细!$K$4:$K$2004,$Z1071-2000))),IF($Z1071&lt;=5200,IF(N(INDEX(客户自备加工筐明细!$G$4:$G$1203,$Z1071-4000))=0,"",N(INDEX(客户自备加工筐明细!$G$4:$G$1203,$Z1071-4000))),IF($Z1071&lt;=5800,IF(ISNUMBER(SEARCH("退",INDEX(次果筐明细!$F$4:$F$603,$Z1071-5200)&amp;"")),"",IF(N(INDEX(次果筐明细!$G$4:$G$603,$Z1071-5200))=0,"",N(INDEX(次果筐明细!$G$4:$G$603,$Z1071-5200)))),"")))))</f>
        <v/>
      </c>
      <c r="P1071" s="40" t="str">
        <f>IF($Z1071="","",IF($Z1071&lt;=2000,"",IF($Z1071&lt;=4000,IF(N(INDEX(周转筐出入库明细!$I$4:$I$2004,$Z1071-2000))=0,"",N(INDEX(周转筐出入库明细!$I$4:$I$2004,$Z1071-2000))),IF($Z1071&lt;=5200,"",IF($Z1071&lt;=5800,IF(ISNUMBER(SEARCH("退",INDEX(次果筐明细!$F$4:$F$603,$Z1071-5200)&amp;"")),IF(N(INDEX(次果筐明细!$G$4:$G$603,$Z1071-5200))=0,"",N(INDEX(次果筐明细!$G$4:$G$603,$Z1071-5200))),""),"")))))</f>
        <v/>
      </c>
      <c r="Q1071" s="40" t="str">
        <f>IF($Z1071="","",IF($Z1071&lt;=2000,"",IF($Z1071&lt;=4000,IF(N(INDEX(周转筐出入库明细!$H$4:$H$2004,$Z1071-2000))=0,"",N(INDEX(周转筐出入库明细!$H$4:$H$2004,$Z1071-2000))),IF($Z1071&lt;=5200,IF(N(INDEX(客户自备加工筐明细!$F$4:$F$1203,$Z1071-4000))=0,"",N(INDEX(客户自备加工筐明细!$F$4:$F$1203,$Z1071-4000))),IF($Z1071&lt;=5800,"","")))))</f>
        <v/>
      </c>
      <c r="R1071" s="16" t="str">
        <f>IF($Z1071="","",IF($Z1071&lt;=2000,IF(INDEX(包装物料出入库明细!$O$4:$O$2003,$Z1071-0)=0,"",INDEX(包装物料出入库明细!$O$4:$O$2003,$Z1071-0)),IF($Z1071&lt;=4000,IF(INDEX(周转筐出入库明细!$M$4:$M$2004,$Z1071-2000)=0,"",INDEX(周转筐出入库明细!$M$4:$M$2004,$Z1071-2000)),IF($Z1071&lt;=5200,IF(INDEX(客户自备加工筐明细!$H$4:$H$1203,$Z1071-4000)=0,"",INDEX(客户自备加工筐明细!$H$4:$H$1203,$Z1071-4000)),IF($Z1071&lt;=5800,IF(INDEX(次果筐明细!$H$4:$H$603,$Z1071-5200)=0,"",INDEX(次果筐明细!$H$4:$H$603,$Z1071-5200)),"")))))</f>
        <v/>
      </c>
      <c r="S1071" s="22" t="str">
        <f t="shared" si="50"/>
        <v/>
      </c>
      <c r="Z1071" s="10" t="str">
        <f>IFERROR(MATCH(ROW()-3,_自动清单!$CQ$4:$CQ$5803,0),"")</f>
        <v/>
      </c>
    </row>
    <row r="1072" spans="1:26">
      <c r="A1072" s="24" t="str">
        <f t="shared" si="48"/>
        <v/>
      </c>
      <c r="B1072" s="38" t="str">
        <f>IF($Z1072="","",IF($Z1072&lt;=2000,IF(INDEX(包装物料出入库明细!$B$4:$B$2003,$Z1072-0)=0,"",INDEX(包装物料出入库明细!$B$4:$B$2003,$Z1072-0)),IF($Z1072&lt;=4000,IF(INDEX(周转筐出入库明细!$B$4:$B$2004,$Z1072-2000)=0,"",INDEX(周转筐出入库明细!$B$4:$B$2004,$Z1072-2000)),IF($Z1072&lt;=5200,IF(INDEX(客户自备加工筐明细!$B$4:$B$1203,$Z1072-4000)=0,"",INDEX(客户自备加工筐明细!$B$4:$B$1203,$Z1072-4000)),IF($Z1072&lt;=5800,IF(INDEX(次果筐明细!$B$4:$B$603,$Z1072-5200)=0,"",INDEX(次果筐明细!$B$4:$B$603,$Z1072-5200)),"")))))</f>
        <v/>
      </c>
      <c r="C1072" s="37" t="str">
        <f>IF($Z1072="","",IF($Z1072&lt;=2000,IF(INDEX(包装物料出入库明细!$D$4:$D$2003,$Z1072-0)=0,"",INDEX(包装物料出入库明细!$D$4:$D$2003,$Z1072-0)),IF($Z1072&lt;=4000,IF(INDEX(周转筐出入库明细!$C$4:$C$2004,$Z1072-2000)=0,"",INDEX(周转筐出入库明细!$C$4:$C$2004,$Z1072-2000)),IF($Z1072&lt;=5200,IF(INDEX(客户自备加工筐明细!$E$4:$E$1203,$Z1072-4000)=0,"",INDEX(客户自备加工筐明细!$E$4:$E$1203,$Z1072-4000)),IF($Z1072&lt;=5800,IF(INDEX(次果筐明细!$C$4:$C$603,$Z1072-5200)=0,"",INDEX(次果筐明细!$C$4:$C$603,$Z1072-5200)),"")))))</f>
        <v/>
      </c>
      <c r="D1072" s="37" t="str">
        <f>IF($Z1072="","",IF($Z1072&lt;=2000,"包装物料－"&amp;INDEX(包装物料出入库明细!$H$4:$H$2003,$Z1072-0),IF($Z1072&lt;=4000,"周转筐－"&amp;INDEX(周转筐出入库明细!$F$4:$F$2004,$Z1072-2000),IF($Z1072&lt;=5200,"客户自备筐－"&amp;INDEX(客户自备加工筐明细!$J$4:$J$1203,$Z1072-4000),IF($Z1072&lt;=5800,"次果筐/托盘－"&amp;INDEX(次果筐明细!$F$4:$F$603,$Z1072-5200),"")))))</f>
        <v/>
      </c>
      <c r="E1072" s="24" t="str">
        <f>IF($Z1072="","",IF($Z1072&lt;=2000,IF(INDEX(包装物料出入库明细!$C$4:$C$2003,$Z1072-0)=0,"",INDEX(包装物料出入库明细!$C$4:$C$2003,$Z1072-0)),IF($Z1072&lt;=4000,IF(INDEX(周转筐出入库明细!$E$4:$E$2004,$Z1072-2000)=0,"",INDEX(周转筐出入库明细!$E$4:$E$2004,$Z1072-2000)),IF($Z1072&lt;=5200,IF(INDEX(客户自备加工筐明细!$D$4:$D$1203,$Z1072-4000)=0,"",INDEX(客户自备加工筐明细!$D$4:$D$1203,$Z1072-4000)),IF($Z1072&lt;=5800,IF(INDEX(次果筐明细!$E$4:$E$603,$Z1072-5200)=0,"",INDEX(次果筐明细!$E$4:$E$603,$Z1072-5200)),"")))))</f>
        <v/>
      </c>
      <c r="F1072" s="24" t="str">
        <f>IF($Z1072="","",IF($Z1072&lt;=2000,IF(INDEX(包装物料出入库明细!$E$4:$E$2003,$Z1072-0)=0,"",INDEX(包装物料出入库明细!$E$4:$E$2003,$Z1072-0)),IF($Z1072&lt;=4000,IF(INDEX(周转筐出入库明细!$D$4:$D$2004,$Z1072-2000)=0,"",INDEX(周转筐出入库明细!$D$4:$D$2004,$Z1072-2000)),IF($Z1072&lt;=5200,IF(INDEX(客户自备加工筐明细!$C$4:$C$1203,$Z1072-4000)=0,"",INDEX(客户自备加工筐明细!$C$4:$C$1203,$Z1072-4000)),IF($Z1072&lt;=5800,IF(INDEX(次果筐明细!$D$4:$D$603,$Z1072-5200)=0,"",INDEX(次果筐明细!$D$4:$D$603,$Z1072-5200)),"")))))</f>
        <v/>
      </c>
      <c r="G1072" s="24" t="str">
        <f>IF($Z1072="","",IF($Z1072&lt;=2000,IF(INDEX(包装物料出入库明细!$F$4:$F$2003,$Z1072-0)=0,"",INDEX(包装物料出入库明细!$F$4:$F$2003,$Z1072-0)),IF($Z1072&lt;=4000,"",IF($Z1072&lt;=5200,"",IF($Z1072&lt;=5800,"","")))))</f>
        <v/>
      </c>
      <c r="H1072" s="39" t="str">
        <f>IF($Z1072="","",IF($Z1072&lt;=2000,IF(INDEX(包装物料出入库明细!$L$4:$L$2003,$Z1072-0)=0,"",INDEX(包装物料出入库明细!$L$4:$L$2003,$Z1072-0)),IF($Z1072&lt;=4000,N(INDEX(周转筐出入库明细!$H$4:$H$2004,$Z1072-2000))+N(INDEX(周转筐出入库明细!$I$4:$I$2004,$Z1072-2000))+N(INDEX(周转筐出入库明细!$J$4:$J$2004,$Z1072-2000))+N(INDEX(周转筐出入库明细!$K$4:$K$2004,$Z1072-2000)),IF($Z1072&lt;=5200,N(INDEX(客户自备加工筐明细!$F$4:$F$1203,$Z1072-4000))+N(INDEX(客户自备加工筐明细!$G$4:$G$1203,$Z1072-4000)),IF($Z1072&lt;=5800,IF(INDEX(次果筐明细!$G$4:$G$603,$Z1072-5200)=0,"",INDEX(次果筐明细!$G$4:$G$603,$Z1072-5200)),"")))))</f>
        <v/>
      </c>
      <c r="I1072" s="24" t="str">
        <f>IF($Z1072="","",IF($Z1072&lt;=2000,IF(INDEX(包装物料出入库明细!$G$4:$G$2003,$Z1072-0)=0,"",INDEX(包装物料出入库明细!$G$4:$G$2003,$Z1072-0)),IF($Z1072&lt;=4000,"个",IF($Z1072&lt;=5200,"个",IF($Z1072&lt;=5800,"个","")))))</f>
        <v/>
      </c>
      <c r="J1072" s="30" t="str">
        <f t="shared" si="49"/>
        <v/>
      </c>
      <c r="K1072" s="30" t="str">
        <f>IF($Z1072="","",IF($Z1072&lt;=2000,IF(INDEX(包装物料出入库明细!$N$4:$N$2003,$Z1072-0)=0,"",INDEX(包装物料出入库明细!$N$4:$N$2003,$Z1072-0)),IF($Z1072&lt;=4000,IF(INDEX(周转筐出入库明细!$P$4:$P$2004,$Z1072-2000)=0,"",INDEX(周转筐出入库明细!$P$4:$P$2004,$Z1072-2000)),IF($Z1072&lt;=5200,"",IF($Z1072&lt;=5800,N(INDEX(次果筐明细!$L$4:$L$603,$Z1072-5200))+N(INDEX(次果筐明细!$J$4:$J$603,$Z1072-5200)),"")))))</f>
        <v/>
      </c>
      <c r="L1072" s="24" t="str">
        <f>IF($Z1072="","",IF($Z1072&lt;=2000,IF(INDEX(包装物料出入库明细!$P$4:$P$2003,$Z1072-0)=0,"",INDEX(包装物料出入库明细!$P$4:$P$2003,$Z1072-0)),IF($Z1072&lt;=4000,IF(INDEX(周转筐出入库明细!$Q$4:$Q$2004,$Z1072-2000)=0,"",INDEX(周转筐出入库明细!$Q$4:$Q$2004,$Z1072-2000)),IF($Z1072&lt;=5200,"",IF($Z1072&lt;=5800,IF(INDEX(次果筐明细!$M$4:$M$603,$Z1072-5200)=0,"",INDEX(次果筐明细!$M$4:$M$603,$Z1072-5200)),"")))))</f>
        <v/>
      </c>
      <c r="M1072" s="37" t="str">
        <f>IF($Z1072="","",IF($Z1072&lt;=2000,IF(INDEX(包装物料出入库明细!$R$4:$R$2003,$Z1072-0)=0,"",INDEX(包装物料出入库明细!$R$4:$R$2003,$Z1072-0)),IF($Z1072&lt;=4000,IF(INDEX(周转筐出入库明细!$W$4:$W$2004,$Z1072-2000)=0,"",INDEX(周转筐出入库明细!$W$4:$W$2004,$Z1072-2000)),IF($Z1072&lt;=5200,IF(INDEX(客户自备加工筐明细!$L$4:$L$1203,$Z1072-4000)=0,"",INDEX(客户自备加工筐明细!$L$4:$L$1203,$Z1072-4000)),IF($Z1072&lt;=5800,IF(INDEX(次果筐明细!$P$4:$P$603,$Z1072-5200)=0,"",INDEX(次果筐明细!$P$4:$P$603,$Z1072-5200)),"")))))</f>
        <v/>
      </c>
      <c r="N1072" s="16" t="str">
        <f>IF($Z1072="","",IF($Z1072&lt;=2000,"",IF($Z1072&lt;=4000,IF(INDEX(周转筐出入库明细!$D$4:$D$2004,$Z1072-2000)=0,"",INDEX(周转筐出入库明细!$D$4:$D$2004,$Z1072-2000)),IF($Z1072&lt;=5200,IF(INDEX(客户自备加工筐明细!$C$4:$C$1203,$Z1072-4000)=0,"",INDEX(客户自备加工筐明细!$C$4:$C$1203,$Z1072-4000)),IF($Z1072&lt;=5800,IF(INDEX(次果筐明细!$D$4:$D$603,$Z1072-5200)=0,"",INDEX(次果筐明细!$D$4:$D$603,$Z1072-5200)),"")))))</f>
        <v/>
      </c>
      <c r="O1072" s="40" t="str">
        <f>IF($Z1072="","",IF($Z1072&lt;=2000,"",IF($Z1072&lt;=4000,IF(N(INDEX(周转筐出入库明细!$J$4:$J$2004,$Z1072-2000))+N(INDEX(周转筐出入库明细!$K$4:$K$2004,$Z1072-2000))=0,"",N(INDEX(周转筐出入库明细!$J$4:$J$2004,$Z1072-2000))+N(INDEX(周转筐出入库明细!$K$4:$K$2004,$Z1072-2000))),IF($Z1072&lt;=5200,IF(N(INDEX(客户自备加工筐明细!$G$4:$G$1203,$Z1072-4000))=0,"",N(INDEX(客户自备加工筐明细!$G$4:$G$1203,$Z1072-4000))),IF($Z1072&lt;=5800,IF(ISNUMBER(SEARCH("退",INDEX(次果筐明细!$F$4:$F$603,$Z1072-5200)&amp;"")),"",IF(N(INDEX(次果筐明细!$G$4:$G$603,$Z1072-5200))=0,"",N(INDEX(次果筐明细!$G$4:$G$603,$Z1072-5200)))),"")))))</f>
        <v/>
      </c>
      <c r="P1072" s="40" t="str">
        <f>IF($Z1072="","",IF($Z1072&lt;=2000,"",IF($Z1072&lt;=4000,IF(N(INDEX(周转筐出入库明细!$I$4:$I$2004,$Z1072-2000))=0,"",N(INDEX(周转筐出入库明细!$I$4:$I$2004,$Z1072-2000))),IF($Z1072&lt;=5200,"",IF($Z1072&lt;=5800,IF(ISNUMBER(SEARCH("退",INDEX(次果筐明细!$F$4:$F$603,$Z1072-5200)&amp;"")),IF(N(INDEX(次果筐明细!$G$4:$G$603,$Z1072-5200))=0,"",N(INDEX(次果筐明细!$G$4:$G$603,$Z1072-5200))),""),"")))))</f>
        <v/>
      </c>
      <c r="Q1072" s="40" t="str">
        <f>IF($Z1072="","",IF($Z1072&lt;=2000,"",IF($Z1072&lt;=4000,IF(N(INDEX(周转筐出入库明细!$H$4:$H$2004,$Z1072-2000))=0,"",N(INDEX(周转筐出入库明细!$H$4:$H$2004,$Z1072-2000))),IF($Z1072&lt;=5200,IF(N(INDEX(客户自备加工筐明细!$F$4:$F$1203,$Z1072-4000))=0,"",N(INDEX(客户自备加工筐明细!$F$4:$F$1203,$Z1072-4000))),IF($Z1072&lt;=5800,"","")))))</f>
        <v/>
      </c>
      <c r="R1072" s="16" t="str">
        <f>IF($Z1072="","",IF($Z1072&lt;=2000,IF(INDEX(包装物料出入库明细!$O$4:$O$2003,$Z1072-0)=0,"",INDEX(包装物料出入库明细!$O$4:$O$2003,$Z1072-0)),IF($Z1072&lt;=4000,IF(INDEX(周转筐出入库明细!$M$4:$M$2004,$Z1072-2000)=0,"",INDEX(周转筐出入库明细!$M$4:$M$2004,$Z1072-2000)),IF($Z1072&lt;=5200,IF(INDEX(客户自备加工筐明细!$H$4:$H$1203,$Z1072-4000)=0,"",INDEX(客户自备加工筐明细!$H$4:$H$1203,$Z1072-4000)),IF($Z1072&lt;=5800,IF(INDEX(次果筐明细!$H$4:$H$603,$Z1072-5200)=0,"",INDEX(次果筐明细!$H$4:$H$603,$Z1072-5200)),"")))))</f>
        <v/>
      </c>
      <c r="S1072" s="22" t="str">
        <f t="shared" si="50"/>
        <v/>
      </c>
      <c r="Z1072" s="10" t="str">
        <f>IFERROR(MATCH(ROW()-3,_自动清单!$CQ$4:$CQ$5803,0),"")</f>
        <v/>
      </c>
    </row>
    <row r="1073" spans="1:26">
      <c r="A1073" s="24" t="str">
        <f t="shared" si="48"/>
        <v/>
      </c>
      <c r="B1073" s="38" t="str">
        <f>IF($Z1073="","",IF($Z1073&lt;=2000,IF(INDEX(包装物料出入库明细!$B$4:$B$2003,$Z1073-0)=0,"",INDEX(包装物料出入库明细!$B$4:$B$2003,$Z1073-0)),IF($Z1073&lt;=4000,IF(INDEX(周转筐出入库明细!$B$4:$B$2004,$Z1073-2000)=0,"",INDEX(周转筐出入库明细!$B$4:$B$2004,$Z1073-2000)),IF($Z1073&lt;=5200,IF(INDEX(客户自备加工筐明细!$B$4:$B$1203,$Z1073-4000)=0,"",INDEX(客户自备加工筐明细!$B$4:$B$1203,$Z1073-4000)),IF($Z1073&lt;=5800,IF(INDEX(次果筐明细!$B$4:$B$603,$Z1073-5200)=0,"",INDEX(次果筐明细!$B$4:$B$603,$Z1073-5200)),"")))))</f>
        <v/>
      </c>
      <c r="C1073" s="37" t="str">
        <f>IF($Z1073="","",IF($Z1073&lt;=2000,IF(INDEX(包装物料出入库明细!$D$4:$D$2003,$Z1073-0)=0,"",INDEX(包装物料出入库明细!$D$4:$D$2003,$Z1073-0)),IF($Z1073&lt;=4000,IF(INDEX(周转筐出入库明细!$C$4:$C$2004,$Z1073-2000)=0,"",INDEX(周转筐出入库明细!$C$4:$C$2004,$Z1073-2000)),IF($Z1073&lt;=5200,IF(INDEX(客户自备加工筐明细!$E$4:$E$1203,$Z1073-4000)=0,"",INDEX(客户自备加工筐明细!$E$4:$E$1203,$Z1073-4000)),IF($Z1073&lt;=5800,IF(INDEX(次果筐明细!$C$4:$C$603,$Z1073-5200)=0,"",INDEX(次果筐明细!$C$4:$C$603,$Z1073-5200)),"")))))</f>
        <v/>
      </c>
      <c r="D1073" s="37" t="str">
        <f>IF($Z1073="","",IF($Z1073&lt;=2000,"包装物料－"&amp;INDEX(包装物料出入库明细!$H$4:$H$2003,$Z1073-0),IF($Z1073&lt;=4000,"周转筐－"&amp;INDEX(周转筐出入库明细!$F$4:$F$2004,$Z1073-2000),IF($Z1073&lt;=5200,"客户自备筐－"&amp;INDEX(客户自备加工筐明细!$J$4:$J$1203,$Z1073-4000),IF($Z1073&lt;=5800,"次果筐/托盘－"&amp;INDEX(次果筐明细!$F$4:$F$603,$Z1073-5200),"")))))</f>
        <v/>
      </c>
      <c r="E1073" s="24" t="str">
        <f>IF($Z1073="","",IF($Z1073&lt;=2000,IF(INDEX(包装物料出入库明细!$C$4:$C$2003,$Z1073-0)=0,"",INDEX(包装物料出入库明细!$C$4:$C$2003,$Z1073-0)),IF($Z1073&lt;=4000,IF(INDEX(周转筐出入库明细!$E$4:$E$2004,$Z1073-2000)=0,"",INDEX(周转筐出入库明细!$E$4:$E$2004,$Z1073-2000)),IF($Z1073&lt;=5200,IF(INDEX(客户自备加工筐明细!$D$4:$D$1203,$Z1073-4000)=0,"",INDEX(客户自备加工筐明细!$D$4:$D$1203,$Z1073-4000)),IF($Z1073&lt;=5800,IF(INDEX(次果筐明细!$E$4:$E$603,$Z1073-5200)=0,"",INDEX(次果筐明细!$E$4:$E$603,$Z1073-5200)),"")))))</f>
        <v/>
      </c>
      <c r="F1073" s="24" t="str">
        <f>IF($Z1073="","",IF($Z1073&lt;=2000,IF(INDEX(包装物料出入库明细!$E$4:$E$2003,$Z1073-0)=0,"",INDEX(包装物料出入库明细!$E$4:$E$2003,$Z1073-0)),IF($Z1073&lt;=4000,IF(INDEX(周转筐出入库明细!$D$4:$D$2004,$Z1073-2000)=0,"",INDEX(周转筐出入库明细!$D$4:$D$2004,$Z1073-2000)),IF($Z1073&lt;=5200,IF(INDEX(客户自备加工筐明细!$C$4:$C$1203,$Z1073-4000)=0,"",INDEX(客户自备加工筐明细!$C$4:$C$1203,$Z1073-4000)),IF($Z1073&lt;=5800,IF(INDEX(次果筐明细!$D$4:$D$603,$Z1073-5200)=0,"",INDEX(次果筐明细!$D$4:$D$603,$Z1073-5200)),"")))))</f>
        <v/>
      </c>
      <c r="G1073" s="24" t="str">
        <f>IF($Z1073="","",IF($Z1073&lt;=2000,IF(INDEX(包装物料出入库明细!$F$4:$F$2003,$Z1073-0)=0,"",INDEX(包装物料出入库明细!$F$4:$F$2003,$Z1073-0)),IF($Z1073&lt;=4000,"",IF($Z1073&lt;=5200,"",IF($Z1073&lt;=5800,"","")))))</f>
        <v/>
      </c>
      <c r="H1073" s="39" t="str">
        <f>IF($Z1073="","",IF($Z1073&lt;=2000,IF(INDEX(包装物料出入库明细!$L$4:$L$2003,$Z1073-0)=0,"",INDEX(包装物料出入库明细!$L$4:$L$2003,$Z1073-0)),IF($Z1073&lt;=4000,N(INDEX(周转筐出入库明细!$H$4:$H$2004,$Z1073-2000))+N(INDEX(周转筐出入库明细!$I$4:$I$2004,$Z1073-2000))+N(INDEX(周转筐出入库明细!$J$4:$J$2004,$Z1073-2000))+N(INDEX(周转筐出入库明细!$K$4:$K$2004,$Z1073-2000)),IF($Z1073&lt;=5200,N(INDEX(客户自备加工筐明细!$F$4:$F$1203,$Z1073-4000))+N(INDEX(客户自备加工筐明细!$G$4:$G$1203,$Z1073-4000)),IF($Z1073&lt;=5800,IF(INDEX(次果筐明细!$G$4:$G$603,$Z1073-5200)=0,"",INDEX(次果筐明细!$G$4:$G$603,$Z1073-5200)),"")))))</f>
        <v/>
      </c>
      <c r="I1073" s="24" t="str">
        <f>IF($Z1073="","",IF($Z1073&lt;=2000,IF(INDEX(包装物料出入库明细!$G$4:$G$2003,$Z1073-0)=0,"",INDEX(包装物料出入库明细!$G$4:$G$2003,$Z1073-0)),IF($Z1073&lt;=4000,"个",IF($Z1073&lt;=5200,"个",IF($Z1073&lt;=5800,"个","")))))</f>
        <v/>
      </c>
      <c r="J1073" s="30" t="str">
        <f t="shared" si="49"/>
        <v/>
      </c>
      <c r="K1073" s="30" t="str">
        <f>IF($Z1073="","",IF($Z1073&lt;=2000,IF(INDEX(包装物料出入库明细!$N$4:$N$2003,$Z1073-0)=0,"",INDEX(包装物料出入库明细!$N$4:$N$2003,$Z1073-0)),IF($Z1073&lt;=4000,IF(INDEX(周转筐出入库明细!$P$4:$P$2004,$Z1073-2000)=0,"",INDEX(周转筐出入库明细!$P$4:$P$2004,$Z1073-2000)),IF($Z1073&lt;=5200,"",IF($Z1073&lt;=5800,N(INDEX(次果筐明细!$L$4:$L$603,$Z1073-5200))+N(INDEX(次果筐明细!$J$4:$J$603,$Z1073-5200)),"")))))</f>
        <v/>
      </c>
      <c r="L1073" s="24" t="str">
        <f>IF($Z1073="","",IF($Z1073&lt;=2000,IF(INDEX(包装物料出入库明细!$P$4:$P$2003,$Z1073-0)=0,"",INDEX(包装物料出入库明细!$P$4:$P$2003,$Z1073-0)),IF($Z1073&lt;=4000,IF(INDEX(周转筐出入库明细!$Q$4:$Q$2004,$Z1073-2000)=0,"",INDEX(周转筐出入库明细!$Q$4:$Q$2004,$Z1073-2000)),IF($Z1073&lt;=5200,"",IF($Z1073&lt;=5800,IF(INDEX(次果筐明细!$M$4:$M$603,$Z1073-5200)=0,"",INDEX(次果筐明细!$M$4:$M$603,$Z1073-5200)),"")))))</f>
        <v/>
      </c>
      <c r="M1073" s="37" t="str">
        <f>IF($Z1073="","",IF($Z1073&lt;=2000,IF(INDEX(包装物料出入库明细!$R$4:$R$2003,$Z1073-0)=0,"",INDEX(包装物料出入库明细!$R$4:$R$2003,$Z1073-0)),IF($Z1073&lt;=4000,IF(INDEX(周转筐出入库明细!$W$4:$W$2004,$Z1073-2000)=0,"",INDEX(周转筐出入库明细!$W$4:$W$2004,$Z1073-2000)),IF($Z1073&lt;=5200,IF(INDEX(客户自备加工筐明细!$L$4:$L$1203,$Z1073-4000)=0,"",INDEX(客户自备加工筐明细!$L$4:$L$1203,$Z1073-4000)),IF($Z1073&lt;=5800,IF(INDEX(次果筐明细!$P$4:$P$603,$Z1073-5200)=0,"",INDEX(次果筐明细!$P$4:$P$603,$Z1073-5200)),"")))))</f>
        <v/>
      </c>
      <c r="N1073" s="16" t="str">
        <f>IF($Z1073="","",IF($Z1073&lt;=2000,"",IF($Z1073&lt;=4000,IF(INDEX(周转筐出入库明细!$D$4:$D$2004,$Z1073-2000)=0,"",INDEX(周转筐出入库明细!$D$4:$D$2004,$Z1073-2000)),IF($Z1073&lt;=5200,IF(INDEX(客户自备加工筐明细!$C$4:$C$1203,$Z1073-4000)=0,"",INDEX(客户自备加工筐明细!$C$4:$C$1203,$Z1073-4000)),IF($Z1073&lt;=5800,IF(INDEX(次果筐明细!$D$4:$D$603,$Z1073-5200)=0,"",INDEX(次果筐明细!$D$4:$D$603,$Z1073-5200)),"")))))</f>
        <v/>
      </c>
      <c r="O1073" s="40" t="str">
        <f>IF($Z1073="","",IF($Z1073&lt;=2000,"",IF($Z1073&lt;=4000,IF(N(INDEX(周转筐出入库明细!$J$4:$J$2004,$Z1073-2000))+N(INDEX(周转筐出入库明细!$K$4:$K$2004,$Z1073-2000))=0,"",N(INDEX(周转筐出入库明细!$J$4:$J$2004,$Z1073-2000))+N(INDEX(周转筐出入库明细!$K$4:$K$2004,$Z1073-2000))),IF($Z1073&lt;=5200,IF(N(INDEX(客户自备加工筐明细!$G$4:$G$1203,$Z1073-4000))=0,"",N(INDEX(客户自备加工筐明细!$G$4:$G$1203,$Z1073-4000))),IF($Z1073&lt;=5800,IF(ISNUMBER(SEARCH("退",INDEX(次果筐明细!$F$4:$F$603,$Z1073-5200)&amp;"")),"",IF(N(INDEX(次果筐明细!$G$4:$G$603,$Z1073-5200))=0,"",N(INDEX(次果筐明细!$G$4:$G$603,$Z1073-5200)))),"")))))</f>
        <v/>
      </c>
      <c r="P1073" s="40" t="str">
        <f>IF($Z1073="","",IF($Z1073&lt;=2000,"",IF($Z1073&lt;=4000,IF(N(INDEX(周转筐出入库明细!$I$4:$I$2004,$Z1073-2000))=0,"",N(INDEX(周转筐出入库明细!$I$4:$I$2004,$Z1073-2000))),IF($Z1073&lt;=5200,"",IF($Z1073&lt;=5800,IF(ISNUMBER(SEARCH("退",INDEX(次果筐明细!$F$4:$F$603,$Z1073-5200)&amp;"")),IF(N(INDEX(次果筐明细!$G$4:$G$603,$Z1073-5200))=0,"",N(INDEX(次果筐明细!$G$4:$G$603,$Z1073-5200))),""),"")))))</f>
        <v/>
      </c>
      <c r="Q1073" s="40" t="str">
        <f>IF($Z1073="","",IF($Z1073&lt;=2000,"",IF($Z1073&lt;=4000,IF(N(INDEX(周转筐出入库明细!$H$4:$H$2004,$Z1073-2000))=0,"",N(INDEX(周转筐出入库明细!$H$4:$H$2004,$Z1073-2000))),IF($Z1073&lt;=5200,IF(N(INDEX(客户自备加工筐明细!$F$4:$F$1203,$Z1073-4000))=0,"",N(INDEX(客户自备加工筐明细!$F$4:$F$1203,$Z1073-4000))),IF($Z1073&lt;=5800,"","")))))</f>
        <v/>
      </c>
      <c r="R1073" s="16" t="str">
        <f>IF($Z1073="","",IF($Z1073&lt;=2000,IF(INDEX(包装物料出入库明细!$O$4:$O$2003,$Z1073-0)=0,"",INDEX(包装物料出入库明细!$O$4:$O$2003,$Z1073-0)),IF($Z1073&lt;=4000,IF(INDEX(周转筐出入库明细!$M$4:$M$2004,$Z1073-2000)=0,"",INDEX(周转筐出入库明细!$M$4:$M$2004,$Z1073-2000)),IF($Z1073&lt;=5200,IF(INDEX(客户自备加工筐明细!$H$4:$H$1203,$Z1073-4000)=0,"",INDEX(客户自备加工筐明细!$H$4:$H$1203,$Z1073-4000)),IF($Z1073&lt;=5800,IF(INDEX(次果筐明细!$H$4:$H$603,$Z1073-5200)=0,"",INDEX(次果筐明细!$H$4:$H$603,$Z1073-5200)),"")))))</f>
        <v/>
      </c>
      <c r="S1073" s="22" t="str">
        <f t="shared" si="50"/>
        <v/>
      </c>
      <c r="Z1073" s="10" t="str">
        <f>IFERROR(MATCH(ROW()-3,_自动清单!$CQ$4:$CQ$5803,0),"")</f>
        <v/>
      </c>
    </row>
    <row r="1074" spans="1:26">
      <c r="A1074" s="24" t="str">
        <f t="shared" si="48"/>
        <v/>
      </c>
      <c r="B1074" s="38" t="str">
        <f>IF($Z1074="","",IF($Z1074&lt;=2000,IF(INDEX(包装物料出入库明细!$B$4:$B$2003,$Z1074-0)=0,"",INDEX(包装物料出入库明细!$B$4:$B$2003,$Z1074-0)),IF($Z1074&lt;=4000,IF(INDEX(周转筐出入库明细!$B$4:$B$2004,$Z1074-2000)=0,"",INDEX(周转筐出入库明细!$B$4:$B$2004,$Z1074-2000)),IF($Z1074&lt;=5200,IF(INDEX(客户自备加工筐明细!$B$4:$B$1203,$Z1074-4000)=0,"",INDEX(客户自备加工筐明细!$B$4:$B$1203,$Z1074-4000)),IF($Z1074&lt;=5800,IF(INDEX(次果筐明细!$B$4:$B$603,$Z1074-5200)=0,"",INDEX(次果筐明细!$B$4:$B$603,$Z1074-5200)),"")))))</f>
        <v/>
      </c>
      <c r="C1074" s="37" t="str">
        <f>IF($Z1074="","",IF($Z1074&lt;=2000,IF(INDEX(包装物料出入库明细!$D$4:$D$2003,$Z1074-0)=0,"",INDEX(包装物料出入库明细!$D$4:$D$2003,$Z1074-0)),IF($Z1074&lt;=4000,IF(INDEX(周转筐出入库明细!$C$4:$C$2004,$Z1074-2000)=0,"",INDEX(周转筐出入库明细!$C$4:$C$2004,$Z1074-2000)),IF($Z1074&lt;=5200,IF(INDEX(客户自备加工筐明细!$E$4:$E$1203,$Z1074-4000)=0,"",INDEX(客户自备加工筐明细!$E$4:$E$1203,$Z1074-4000)),IF($Z1074&lt;=5800,IF(INDEX(次果筐明细!$C$4:$C$603,$Z1074-5200)=0,"",INDEX(次果筐明细!$C$4:$C$603,$Z1074-5200)),"")))))</f>
        <v/>
      </c>
      <c r="D1074" s="37" t="str">
        <f>IF($Z1074="","",IF($Z1074&lt;=2000,"包装物料－"&amp;INDEX(包装物料出入库明细!$H$4:$H$2003,$Z1074-0),IF($Z1074&lt;=4000,"周转筐－"&amp;INDEX(周转筐出入库明细!$F$4:$F$2004,$Z1074-2000),IF($Z1074&lt;=5200,"客户自备筐－"&amp;INDEX(客户自备加工筐明细!$J$4:$J$1203,$Z1074-4000),IF($Z1074&lt;=5800,"次果筐/托盘－"&amp;INDEX(次果筐明细!$F$4:$F$603,$Z1074-5200),"")))))</f>
        <v/>
      </c>
      <c r="E1074" s="24" t="str">
        <f>IF($Z1074="","",IF($Z1074&lt;=2000,IF(INDEX(包装物料出入库明细!$C$4:$C$2003,$Z1074-0)=0,"",INDEX(包装物料出入库明细!$C$4:$C$2003,$Z1074-0)),IF($Z1074&lt;=4000,IF(INDEX(周转筐出入库明细!$E$4:$E$2004,$Z1074-2000)=0,"",INDEX(周转筐出入库明细!$E$4:$E$2004,$Z1074-2000)),IF($Z1074&lt;=5200,IF(INDEX(客户自备加工筐明细!$D$4:$D$1203,$Z1074-4000)=0,"",INDEX(客户自备加工筐明细!$D$4:$D$1203,$Z1074-4000)),IF($Z1074&lt;=5800,IF(INDEX(次果筐明细!$E$4:$E$603,$Z1074-5200)=0,"",INDEX(次果筐明细!$E$4:$E$603,$Z1074-5200)),"")))))</f>
        <v/>
      </c>
      <c r="F1074" s="24" t="str">
        <f>IF($Z1074="","",IF($Z1074&lt;=2000,IF(INDEX(包装物料出入库明细!$E$4:$E$2003,$Z1074-0)=0,"",INDEX(包装物料出入库明细!$E$4:$E$2003,$Z1074-0)),IF($Z1074&lt;=4000,IF(INDEX(周转筐出入库明细!$D$4:$D$2004,$Z1074-2000)=0,"",INDEX(周转筐出入库明细!$D$4:$D$2004,$Z1074-2000)),IF($Z1074&lt;=5200,IF(INDEX(客户自备加工筐明细!$C$4:$C$1203,$Z1074-4000)=0,"",INDEX(客户自备加工筐明细!$C$4:$C$1203,$Z1074-4000)),IF($Z1074&lt;=5800,IF(INDEX(次果筐明细!$D$4:$D$603,$Z1074-5200)=0,"",INDEX(次果筐明细!$D$4:$D$603,$Z1074-5200)),"")))))</f>
        <v/>
      </c>
      <c r="G1074" s="24" t="str">
        <f>IF($Z1074="","",IF($Z1074&lt;=2000,IF(INDEX(包装物料出入库明细!$F$4:$F$2003,$Z1074-0)=0,"",INDEX(包装物料出入库明细!$F$4:$F$2003,$Z1074-0)),IF($Z1074&lt;=4000,"",IF($Z1074&lt;=5200,"",IF($Z1074&lt;=5800,"","")))))</f>
        <v/>
      </c>
      <c r="H1074" s="39" t="str">
        <f>IF($Z1074="","",IF($Z1074&lt;=2000,IF(INDEX(包装物料出入库明细!$L$4:$L$2003,$Z1074-0)=0,"",INDEX(包装物料出入库明细!$L$4:$L$2003,$Z1074-0)),IF($Z1074&lt;=4000,N(INDEX(周转筐出入库明细!$H$4:$H$2004,$Z1074-2000))+N(INDEX(周转筐出入库明细!$I$4:$I$2004,$Z1074-2000))+N(INDEX(周转筐出入库明细!$J$4:$J$2004,$Z1074-2000))+N(INDEX(周转筐出入库明细!$K$4:$K$2004,$Z1074-2000)),IF($Z1074&lt;=5200,N(INDEX(客户自备加工筐明细!$F$4:$F$1203,$Z1074-4000))+N(INDEX(客户自备加工筐明细!$G$4:$G$1203,$Z1074-4000)),IF($Z1074&lt;=5800,IF(INDEX(次果筐明细!$G$4:$G$603,$Z1074-5200)=0,"",INDEX(次果筐明细!$G$4:$G$603,$Z1074-5200)),"")))))</f>
        <v/>
      </c>
      <c r="I1074" s="24" t="str">
        <f>IF($Z1074="","",IF($Z1074&lt;=2000,IF(INDEX(包装物料出入库明细!$G$4:$G$2003,$Z1074-0)=0,"",INDEX(包装物料出入库明细!$G$4:$G$2003,$Z1074-0)),IF($Z1074&lt;=4000,"个",IF($Z1074&lt;=5200,"个",IF($Z1074&lt;=5800,"个","")))))</f>
        <v/>
      </c>
      <c r="J1074" s="30" t="str">
        <f t="shared" si="49"/>
        <v/>
      </c>
      <c r="K1074" s="30" t="str">
        <f>IF($Z1074="","",IF($Z1074&lt;=2000,IF(INDEX(包装物料出入库明细!$N$4:$N$2003,$Z1074-0)=0,"",INDEX(包装物料出入库明细!$N$4:$N$2003,$Z1074-0)),IF($Z1074&lt;=4000,IF(INDEX(周转筐出入库明细!$P$4:$P$2004,$Z1074-2000)=0,"",INDEX(周转筐出入库明细!$P$4:$P$2004,$Z1074-2000)),IF($Z1074&lt;=5200,"",IF($Z1074&lt;=5800,N(INDEX(次果筐明细!$L$4:$L$603,$Z1074-5200))+N(INDEX(次果筐明细!$J$4:$J$603,$Z1074-5200)),"")))))</f>
        <v/>
      </c>
      <c r="L1074" s="24" t="str">
        <f>IF($Z1074="","",IF($Z1074&lt;=2000,IF(INDEX(包装物料出入库明细!$P$4:$P$2003,$Z1074-0)=0,"",INDEX(包装物料出入库明细!$P$4:$P$2003,$Z1074-0)),IF($Z1074&lt;=4000,IF(INDEX(周转筐出入库明细!$Q$4:$Q$2004,$Z1074-2000)=0,"",INDEX(周转筐出入库明细!$Q$4:$Q$2004,$Z1074-2000)),IF($Z1074&lt;=5200,"",IF($Z1074&lt;=5800,IF(INDEX(次果筐明细!$M$4:$M$603,$Z1074-5200)=0,"",INDEX(次果筐明细!$M$4:$M$603,$Z1074-5200)),"")))))</f>
        <v/>
      </c>
      <c r="M1074" s="37" t="str">
        <f>IF($Z1074="","",IF($Z1074&lt;=2000,IF(INDEX(包装物料出入库明细!$R$4:$R$2003,$Z1074-0)=0,"",INDEX(包装物料出入库明细!$R$4:$R$2003,$Z1074-0)),IF($Z1074&lt;=4000,IF(INDEX(周转筐出入库明细!$W$4:$W$2004,$Z1074-2000)=0,"",INDEX(周转筐出入库明细!$W$4:$W$2004,$Z1074-2000)),IF($Z1074&lt;=5200,IF(INDEX(客户自备加工筐明细!$L$4:$L$1203,$Z1074-4000)=0,"",INDEX(客户自备加工筐明细!$L$4:$L$1203,$Z1074-4000)),IF($Z1074&lt;=5800,IF(INDEX(次果筐明细!$P$4:$P$603,$Z1074-5200)=0,"",INDEX(次果筐明细!$P$4:$P$603,$Z1074-5200)),"")))))</f>
        <v/>
      </c>
      <c r="N1074" s="16" t="str">
        <f>IF($Z1074="","",IF($Z1074&lt;=2000,"",IF($Z1074&lt;=4000,IF(INDEX(周转筐出入库明细!$D$4:$D$2004,$Z1074-2000)=0,"",INDEX(周转筐出入库明细!$D$4:$D$2004,$Z1074-2000)),IF($Z1074&lt;=5200,IF(INDEX(客户自备加工筐明细!$C$4:$C$1203,$Z1074-4000)=0,"",INDEX(客户自备加工筐明细!$C$4:$C$1203,$Z1074-4000)),IF($Z1074&lt;=5800,IF(INDEX(次果筐明细!$D$4:$D$603,$Z1074-5200)=0,"",INDEX(次果筐明细!$D$4:$D$603,$Z1074-5200)),"")))))</f>
        <v/>
      </c>
      <c r="O1074" s="40" t="str">
        <f>IF($Z1074="","",IF($Z1074&lt;=2000,"",IF($Z1074&lt;=4000,IF(N(INDEX(周转筐出入库明细!$J$4:$J$2004,$Z1074-2000))+N(INDEX(周转筐出入库明细!$K$4:$K$2004,$Z1074-2000))=0,"",N(INDEX(周转筐出入库明细!$J$4:$J$2004,$Z1074-2000))+N(INDEX(周转筐出入库明细!$K$4:$K$2004,$Z1074-2000))),IF($Z1074&lt;=5200,IF(N(INDEX(客户自备加工筐明细!$G$4:$G$1203,$Z1074-4000))=0,"",N(INDEX(客户自备加工筐明细!$G$4:$G$1203,$Z1074-4000))),IF($Z1074&lt;=5800,IF(ISNUMBER(SEARCH("退",INDEX(次果筐明细!$F$4:$F$603,$Z1074-5200)&amp;"")),"",IF(N(INDEX(次果筐明细!$G$4:$G$603,$Z1074-5200))=0,"",N(INDEX(次果筐明细!$G$4:$G$603,$Z1074-5200)))),"")))))</f>
        <v/>
      </c>
      <c r="P1074" s="40" t="str">
        <f>IF($Z1074="","",IF($Z1074&lt;=2000,"",IF($Z1074&lt;=4000,IF(N(INDEX(周转筐出入库明细!$I$4:$I$2004,$Z1074-2000))=0,"",N(INDEX(周转筐出入库明细!$I$4:$I$2004,$Z1074-2000))),IF($Z1074&lt;=5200,"",IF($Z1074&lt;=5800,IF(ISNUMBER(SEARCH("退",INDEX(次果筐明细!$F$4:$F$603,$Z1074-5200)&amp;"")),IF(N(INDEX(次果筐明细!$G$4:$G$603,$Z1074-5200))=0,"",N(INDEX(次果筐明细!$G$4:$G$603,$Z1074-5200))),""),"")))))</f>
        <v/>
      </c>
      <c r="Q1074" s="40" t="str">
        <f>IF($Z1074="","",IF($Z1074&lt;=2000,"",IF($Z1074&lt;=4000,IF(N(INDEX(周转筐出入库明细!$H$4:$H$2004,$Z1074-2000))=0,"",N(INDEX(周转筐出入库明细!$H$4:$H$2004,$Z1074-2000))),IF($Z1074&lt;=5200,IF(N(INDEX(客户自备加工筐明细!$F$4:$F$1203,$Z1074-4000))=0,"",N(INDEX(客户自备加工筐明细!$F$4:$F$1203,$Z1074-4000))),IF($Z1074&lt;=5800,"","")))))</f>
        <v/>
      </c>
      <c r="R1074" s="16" t="str">
        <f>IF($Z1074="","",IF($Z1074&lt;=2000,IF(INDEX(包装物料出入库明细!$O$4:$O$2003,$Z1074-0)=0,"",INDEX(包装物料出入库明细!$O$4:$O$2003,$Z1074-0)),IF($Z1074&lt;=4000,IF(INDEX(周转筐出入库明细!$M$4:$M$2004,$Z1074-2000)=0,"",INDEX(周转筐出入库明细!$M$4:$M$2004,$Z1074-2000)),IF($Z1074&lt;=5200,IF(INDEX(客户自备加工筐明细!$H$4:$H$1203,$Z1074-4000)=0,"",INDEX(客户自备加工筐明细!$H$4:$H$1203,$Z1074-4000)),IF($Z1074&lt;=5800,IF(INDEX(次果筐明细!$H$4:$H$603,$Z1074-5200)=0,"",INDEX(次果筐明细!$H$4:$H$603,$Z1074-5200)),"")))))</f>
        <v/>
      </c>
      <c r="S1074" s="22" t="str">
        <f t="shared" si="50"/>
        <v/>
      </c>
      <c r="Z1074" s="10" t="str">
        <f>IFERROR(MATCH(ROW()-3,_自动清单!$CQ$4:$CQ$5803,0),"")</f>
        <v/>
      </c>
    </row>
    <row r="1075" spans="1:26">
      <c r="A1075" s="24" t="str">
        <f t="shared" si="48"/>
        <v/>
      </c>
      <c r="B1075" s="38" t="str">
        <f>IF($Z1075="","",IF($Z1075&lt;=2000,IF(INDEX(包装物料出入库明细!$B$4:$B$2003,$Z1075-0)=0,"",INDEX(包装物料出入库明细!$B$4:$B$2003,$Z1075-0)),IF($Z1075&lt;=4000,IF(INDEX(周转筐出入库明细!$B$4:$B$2004,$Z1075-2000)=0,"",INDEX(周转筐出入库明细!$B$4:$B$2004,$Z1075-2000)),IF($Z1075&lt;=5200,IF(INDEX(客户自备加工筐明细!$B$4:$B$1203,$Z1075-4000)=0,"",INDEX(客户自备加工筐明细!$B$4:$B$1203,$Z1075-4000)),IF($Z1075&lt;=5800,IF(INDEX(次果筐明细!$B$4:$B$603,$Z1075-5200)=0,"",INDEX(次果筐明细!$B$4:$B$603,$Z1075-5200)),"")))))</f>
        <v/>
      </c>
      <c r="C1075" s="37" t="str">
        <f>IF($Z1075="","",IF($Z1075&lt;=2000,IF(INDEX(包装物料出入库明细!$D$4:$D$2003,$Z1075-0)=0,"",INDEX(包装物料出入库明细!$D$4:$D$2003,$Z1075-0)),IF($Z1075&lt;=4000,IF(INDEX(周转筐出入库明细!$C$4:$C$2004,$Z1075-2000)=0,"",INDEX(周转筐出入库明细!$C$4:$C$2004,$Z1075-2000)),IF($Z1075&lt;=5200,IF(INDEX(客户自备加工筐明细!$E$4:$E$1203,$Z1075-4000)=0,"",INDEX(客户自备加工筐明细!$E$4:$E$1203,$Z1075-4000)),IF($Z1075&lt;=5800,IF(INDEX(次果筐明细!$C$4:$C$603,$Z1075-5200)=0,"",INDEX(次果筐明细!$C$4:$C$603,$Z1075-5200)),"")))))</f>
        <v/>
      </c>
      <c r="D1075" s="37" t="str">
        <f>IF($Z1075="","",IF($Z1075&lt;=2000,"包装物料－"&amp;INDEX(包装物料出入库明细!$H$4:$H$2003,$Z1075-0),IF($Z1075&lt;=4000,"周转筐－"&amp;INDEX(周转筐出入库明细!$F$4:$F$2004,$Z1075-2000),IF($Z1075&lt;=5200,"客户自备筐－"&amp;INDEX(客户自备加工筐明细!$J$4:$J$1203,$Z1075-4000),IF($Z1075&lt;=5800,"次果筐/托盘－"&amp;INDEX(次果筐明细!$F$4:$F$603,$Z1075-5200),"")))))</f>
        <v/>
      </c>
      <c r="E1075" s="24" t="str">
        <f>IF($Z1075="","",IF($Z1075&lt;=2000,IF(INDEX(包装物料出入库明细!$C$4:$C$2003,$Z1075-0)=0,"",INDEX(包装物料出入库明细!$C$4:$C$2003,$Z1075-0)),IF($Z1075&lt;=4000,IF(INDEX(周转筐出入库明细!$E$4:$E$2004,$Z1075-2000)=0,"",INDEX(周转筐出入库明细!$E$4:$E$2004,$Z1075-2000)),IF($Z1075&lt;=5200,IF(INDEX(客户自备加工筐明细!$D$4:$D$1203,$Z1075-4000)=0,"",INDEX(客户自备加工筐明细!$D$4:$D$1203,$Z1075-4000)),IF($Z1075&lt;=5800,IF(INDEX(次果筐明细!$E$4:$E$603,$Z1075-5200)=0,"",INDEX(次果筐明细!$E$4:$E$603,$Z1075-5200)),"")))))</f>
        <v/>
      </c>
      <c r="F1075" s="24" t="str">
        <f>IF($Z1075="","",IF($Z1075&lt;=2000,IF(INDEX(包装物料出入库明细!$E$4:$E$2003,$Z1075-0)=0,"",INDEX(包装物料出入库明细!$E$4:$E$2003,$Z1075-0)),IF($Z1075&lt;=4000,IF(INDEX(周转筐出入库明细!$D$4:$D$2004,$Z1075-2000)=0,"",INDEX(周转筐出入库明细!$D$4:$D$2004,$Z1075-2000)),IF($Z1075&lt;=5200,IF(INDEX(客户自备加工筐明细!$C$4:$C$1203,$Z1075-4000)=0,"",INDEX(客户自备加工筐明细!$C$4:$C$1203,$Z1075-4000)),IF($Z1075&lt;=5800,IF(INDEX(次果筐明细!$D$4:$D$603,$Z1075-5200)=0,"",INDEX(次果筐明细!$D$4:$D$603,$Z1075-5200)),"")))))</f>
        <v/>
      </c>
      <c r="G1075" s="24" t="str">
        <f>IF($Z1075="","",IF($Z1075&lt;=2000,IF(INDEX(包装物料出入库明细!$F$4:$F$2003,$Z1075-0)=0,"",INDEX(包装物料出入库明细!$F$4:$F$2003,$Z1075-0)),IF($Z1075&lt;=4000,"",IF($Z1075&lt;=5200,"",IF($Z1075&lt;=5800,"","")))))</f>
        <v/>
      </c>
      <c r="H1075" s="39" t="str">
        <f>IF($Z1075="","",IF($Z1075&lt;=2000,IF(INDEX(包装物料出入库明细!$L$4:$L$2003,$Z1075-0)=0,"",INDEX(包装物料出入库明细!$L$4:$L$2003,$Z1075-0)),IF($Z1075&lt;=4000,N(INDEX(周转筐出入库明细!$H$4:$H$2004,$Z1075-2000))+N(INDEX(周转筐出入库明细!$I$4:$I$2004,$Z1075-2000))+N(INDEX(周转筐出入库明细!$J$4:$J$2004,$Z1075-2000))+N(INDEX(周转筐出入库明细!$K$4:$K$2004,$Z1075-2000)),IF($Z1075&lt;=5200,N(INDEX(客户自备加工筐明细!$F$4:$F$1203,$Z1075-4000))+N(INDEX(客户自备加工筐明细!$G$4:$G$1203,$Z1075-4000)),IF($Z1075&lt;=5800,IF(INDEX(次果筐明细!$G$4:$G$603,$Z1075-5200)=0,"",INDEX(次果筐明细!$G$4:$G$603,$Z1075-5200)),"")))))</f>
        <v/>
      </c>
      <c r="I1075" s="24" t="str">
        <f>IF($Z1075="","",IF($Z1075&lt;=2000,IF(INDEX(包装物料出入库明细!$G$4:$G$2003,$Z1075-0)=0,"",INDEX(包装物料出入库明细!$G$4:$G$2003,$Z1075-0)),IF($Z1075&lt;=4000,"个",IF($Z1075&lt;=5200,"个",IF($Z1075&lt;=5800,"个","")))))</f>
        <v/>
      </c>
      <c r="J1075" s="30" t="str">
        <f t="shared" si="49"/>
        <v/>
      </c>
      <c r="K1075" s="30" t="str">
        <f>IF($Z1075="","",IF($Z1075&lt;=2000,IF(INDEX(包装物料出入库明细!$N$4:$N$2003,$Z1075-0)=0,"",INDEX(包装物料出入库明细!$N$4:$N$2003,$Z1075-0)),IF($Z1075&lt;=4000,IF(INDEX(周转筐出入库明细!$P$4:$P$2004,$Z1075-2000)=0,"",INDEX(周转筐出入库明细!$P$4:$P$2004,$Z1075-2000)),IF($Z1075&lt;=5200,"",IF($Z1075&lt;=5800,N(INDEX(次果筐明细!$L$4:$L$603,$Z1075-5200))+N(INDEX(次果筐明细!$J$4:$J$603,$Z1075-5200)),"")))))</f>
        <v/>
      </c>
      <c r="L1075" s="24" t="str">
        <f>IF($Z1075="","",IF($Z1075&lt;=2000,IF(INDEX(包装物料出入库明细!$P$4:$P$2003,$Z1075-0)=0,"",INDEX(包装物料出入库明细!$P$4:$P$2003,$Z1075-0)),IF($Z1075&lt;=4000,IF(INDEX(周转筐出入库明细!$Q$4:$Q$2004,$Z1075-2000)=0,"",INDEX(周转筐出入库明细!$Q$4:$Q$2004,$Z1075-2000)),IF($Z1075&lt;=5200,"",IF($Z1075&lt;=5800,IF(INDEX(次果筐明细!$M$4:$M$603,$Z1075-5200)=0,"",INDEX(次果筐明细!$M$4:$M$603,$Z1075-5200)),"")))))</f>
        <v/>
      </c>
      <c r="M1075" s="37" t="str">
        <f>IF($Z1075="","",IF($Z1075&lt;=2000,IF(INDEX(包装物料出入库明细!$R$4:$R$2003,$Z1075-0)=0,"",INDEX(包装物料出入库明细!$R$4:$R$2003,$Z1075-0)),IF($Z1075&lt;=4000,IF(INDEX(周转筐出入库明细!$W$4:$W$2004,$Z1075-2000)=0,"",INDEX(周转筐出入库明细!$W$4:$W$2004,$Z1075-2000)),IF($Z1075&lt;=5200,IF(INDEX(客户自备加工筐明细!$L$4:$L$1203,$Z1075-4000)=0,"",INDEX(客户自备加工筐明细!$L$4:$L$1203,$Z1075-4000)),IF($Z1075&lt;=5800,IF(INDEX(次果筐明细!$P$4:$P$603,$Z1075-5200)=0,"",INDEX(次果筐明细!$P$4:$P$603,$Z1075-5200)),"")))))</f>
        <v/>
      </c>
      <c r="N1075" s="16" t="str">
        <f>IF($Z1075="","",IF($Z1075&lt;=2000,"",IF($Z1075&lt;=4000,IF(INDEX(周转筐出入库明细!$D$4:$D$2004,$Z1075-2000)=0,"",INDEX(周转筐出入库明细!$D$4:$D$2004,$Z1075-2000)),IF($Z1075&lt;=5200,IF(INDEX(客户自备加工筐明细!$C$4:$C$1203,$Z1075-4000)=0,"",INDEX(客户自备加工筐明细!$C$4:$C$1203,$Z1075-4000)),IF($Z1075&lt;=5800,IF(INDEX(次果筐明细!$D$4:$D$603,$Z1075-5200)=0,"",INDEX(次果筐明细!$D$4:$D$603,$Z1075-5200)),"")))))</f>
        <v/>
      </c>
      <c r="O1075" s="40" t="str">
        <f>IF($Z1075="","",IF($Z1075&lt;=2000,"",IF($Z1075&lt;=4000,IF(N(INDEX(周转筐出入库明细!$J$4:$J$2004,$Z1075-2000))+N(INDEX(周转筐出入库明细!$K$4:$K$2004,$Z1075-2000))=0,"",N(INDEX(周转筐出入库明细!$J$4:$J$2004,$Z1075-2000))+N(INDEX(周转筐出入库明细!$K$4:$K$2004,$Z1075-2000))),IF($Z1075&lt;=5200,IF(N(INDEX(客户自备加工筐明细!$G$4:$G$1203,$Z1075-4000))=0,"",N(INDEX(客户自备加工筐明细!$G$4:$G$1203,$Z1075-4000))),IF($Z1075&lt;=5800,IF(ISNUMBER(SEARCH("退",INDEX(次果筐明细!$F$4:$F$603,$Z1075-5200)&amp;"")),"",IF(N(INDEX(次果筐明细!$G$4:$G$603,$Z1075-5200))=0,"",N(INDEX(次果筐明细!$G$4:$G$603,$Z1075-5200)))),"")))))</f>
        <v/>
      </c>
      <c r="P1075" s="40" t="str">
        <f>IF($Z1075="","",IF($Z1075&lt;=2000,"",IF($Z1075&lt;=4000,IF(N(INDEX(周转筐出入库明细!$I$4:$I$2004,$Z1075-2000))=0,"",N(INDEX(周转筐出入库明细!$I$4:$I$2004,$Z1075-2000))),IF($Z1075&lt;=5200,"",IF($Z1075&lt;=5800,IF(ISNUMBER(SEARCH("退",INDEX(次果筐明细!$F$4:$F$603,$Z1075-5200)&amp;"")),IF(N(INDEX(次果筐明细!$G$4:$G$603,$Z1075-5200))=0,"",N(INDEX(次果筐明细!$G$4:$G$603,$Z1075-5200))),""),"")))))</f>
        <v/>
      </c>
      <c r="Q1075" s="40" t="str">
        <f>IF($Z1075="","",IF($Z1075&lt;=2000,"",IF($Z1075&lt;=4000,IF(N(INDEX(周转筐出入库明细!$H$4:$H$2004,$Z1075-2000))=0,"",N(INDEX(周转筐出入库明细!$H$4:$H$2004,$Z1075-2000))),IF($Z1075&lt;=5200,IF(N(INDEX(客户自备加工筐明细!$F$4:$F$1203,$Z1075-4000))=0,"",N(INDEX(客户自备加工筐明细!$F$4:$F$1203,$Z1075-4000))),IF($Z1075&lt;=5800,"","")))))</f>
        <v/>
      </c>
      <c r="R1075" s="16" t="str">
        <f>IF($Z1075="","",IF($Z1075&lt;=2000,IF(INDEX(包装物料出入库明细!$O$4:$O$2003,$Z1075-0)=0,"",INDEX(包装物料出入库明细!$O$4:$O$2003,$Z1075-0)),IF($Z1075&lt;=4000,IF(INDEX(周转筐出入库明细!$M$4:$M$2004,$Z1075-2000)=0,"",INDEX(周转筐出入库明细!$M$4:$M$2004,$Z1075-2000)),IF($Z1075&lt;=5200,IF(INDEX(客户自备加工筐明细!$H$4:$H$1203,$Z1075-4000)=0,"",INDEX(客户自备加工筐明细!$H$4:$H$1203,$Z1075-4000)),IF($Z1075&lt;=5800,IF(INDEX(次果筐明细!$H$4:$H$603,$Z1075-5200)=0,"",INDEX(次果筐明细!$H$4:$H$603,$Z1075-5200)),"")))))</f>
        <v/>
      </c>
      <c r="S1075" s="22" t="str">
        <f t="shared" si="50"/>
        <v/>
      </c>
      <c r="Z1075" s="10" t="str">
        <f>IFERROR(MATCH(ROW()-3,_自动清单!$CQ$4:$CQ$5803,0),"")</f>
        <v/>
      </c>
    </row>
    <row r="1076" spans="1:26">
      <c r="A1076" s="24" t="str">
        <f t="shared" si="48"/>
        <v/>
      </c>
      <c r="B1076" s="38" t="str">
        <f>IF($Z1076="","",IF($Z1076&lt;=2000,IF(INDEX(包装物料出入库明细!$B$4:$B$2003,$Z1076-0)=0,"",INDEX(包装物料出入库明细!$B$4:$B$2003,$Z1076-0)),IF($Z1076&lt;=4000,IF(INDEX(周转筐出入库明细!$B$4:$B$2004,$Z1076-2000)=0,"",INDEX(周转筐出入库明细!$B$4:$B$2004,$Z1076-2000)),IF($Z1076&lt;=5200,IF(INDEX(客户自备加工筐明细!$B$4:$B$1203,$Z1076-4000)=0,"",INDEX(客户自备加工筐明细!$B$4:$B$1203,$Z1076-4000)),IF($Z1076&lt;=5800,IF(INDEX(次果筐明细!$B$4:$B$603,$Z1076-5200)=0,"",INDEX(次果筐明细!$B$4:$B$603,$Z1076-5200)),"")))))</f>
        <v/>
      </c>
      <c r="C1076" s="37" t="str">
        <f>IF($Z1076="","",IF($Z1076&lt;=2000,IF(INDEX(包装物料出入库明细!$D$4:$D$2003,$Z1076-0)=0,"",INDEX(包装物料出入库明细!$D$4:$D$2003,$Z1076-0)),IF($Z1076&lt;=4000,IF(INDEX(周转筐出入库明细!$C$4:$C$2004,$Z1076-2000)=0,"",INDEX(周转筐出入库明细!$C$4:$C$2004,$Z1076-2000)),IF($Z1076&lt;=5200,IF(INDEX(客户自备加工筐明细!$E$4:$E$1203,$Z1076-4000)=0,"",INDEX(客户自备加工筐明细!$E$4:$E$1203,$Z1076-4000)),IF($Z1076&lt;=5800,IF(INDEX(次果筐明细!$C$4:$C$603,$Z1076-5200)=0,"",INDEX(次果筐明细!$C$4:$C$603,$Z1076-5200)),"")))))</f>
        <v/>
      </c>
      <c r="D1076" s="37" t="str">
        <f>IF($Z1076="","",IF($Z1076&lt;=2000,"包装物料－"&amp;INDEX(包装物料出入库明细!$H$4:$H$2003,$Z1076-0),IF($Z1076&lt;=4000,"周转筐－"&amp;INDEX(周转筐出入库明细!$F$4:$F$2004,$Z1076-2000),IF($Z1076&lt;=5200,"客户自备筐－"&amp;INDEX(客户自备加工筐明细!$J$4:$J$1203,$Z1076-4000),IF($Z1076&lt;=5800,"次果筐/托盘－"&amp;INDEX(次果筐明细!$F$4:$F$603,$Z1076-5200),"")))))</f>
        <v/>
      </c>
      <c r="E1076" s="24" t="str">
        <f>IF($Z1076="","",IF($Z1076&lt;=2000,IF(INDEX(包装物料出入库明细!$C$4:$C$2003,$Z1076-0)=0,"",INDEX(包装物料出入库明细!$C$4:$C$2003,$Z1076-0)),IF($Z1076&lt;=4000,IF(INDEX(周转筐出入库明细!$E$4:$E$2004,$Z1076-2000)=0,"",INDEX(周转筐出入库明细!$E$4:$E$2004,$Z1076-2000)),IF($Z1076&lt;=5200,IF(INDEX(客户自备加工筐明细!$D$4:$D$1203,$Z1076-4000)=0,"",INDEX(客户自备加工筐明细!$D$4:$D$1203,$Z1076-4000)),IF($Z1076&lt;=5800,IF(INDEX(次果筐明细!$E$4:$E$603,$Z1076-5200)=0,"",INDEX(次果筐明细!$E$4:$E$603,$Z1076-5200)),"")))))</f>
        <v/>
      </c>
      <c r="F1076" s="24" t="str">
        <f>IF($Z1076="","",IF($Z1076&lt;=2000,IF(INDEX(包装物料出入库明细!$E$4:$E$2003,$Z1076-0)=0,"",INDEX(包装物料出入库明细!$E$4:$E$2003,$Z1076-0)),IF($Z1076&lt;=4000,IF(INDEX(周转筐出入库明细!$D$4:$D$2004,$Z1076-2000)=0,"",INDEX(周转筐出入库明细!$D$4:$D$2004,$Z1076-2000)),IF($Z1076&lt;=5200,IF(INDEX(客户自备加工筐明细!$C$4:$C$1203,$Z1076-4000)=0,"",INDEX(客户自备加工筐明细!$C$4:$C$1203,$Z1076-4000)),IF($Z1076&lt;=5800,IF(INDEX(次果筐明细!$D$4:$D$603,$Z1076-5200)=0,"",INDEX(次果筐明细!$D$4:$D$603,$Z1076-5200)),"")))))</f>
        <v/>
      </c>
      <c r="G1076" s="24" t="str">
        <f>IF($Z1076="","",IF($Z1076&lt;=2000,IF(INDEX(包装物料出入库明细!$F$4:$F$2003,$Z1076-0)=0,"",INDEX(包装物料出入库明细!$F$4:$F$2003,$Z1076-0)),IF($Z1076&lt;=4000,"",IF($Z1076&lt;=5200,"",IF($Z1076&lt;=5800,"","")))))</f>
        <v/>
      </c>
      <c r="H1076" s="39" t="str">
        <f>IF($Z1076="","",IF($Z1076&lt;=2000,IF(INDEX(包装物料出入库明细!$L$4:$L$2003,$Z1076-0)=0,"",INDEX(包装物料出入库明细!$L$4:$L$2003,$Z1076-0)),IF($Z1076&lt;=4000,N(INDEX(周转筐出入库明细!$H$4:$H$2004,$Z1076-2000))+N(INDEX(周转筐出入库明细!$I$4:$I$2004,$Z1076-2000))+N(INDEX(周转筐出入库明细!$J$4:$J$2004,$Z1076-2000))+N(INDEX(周转筐出入库明细!$K$4:$K$2004,$Z1076-2000)),IF($Z1076&lt;=5200,N(INDEX(客户自备加工筐明细!$F$4:$F$1203,$Z1076-4000))+N(INDEX(客户自备加工筐明细!$G$4:$G$1203,$Z1076-4000)),IF($Z1076&lt;=5800,IF(INDEX(次果筐明细!$G$4:$G$603,$Z1076-5200)=0,"",INDEX(次果筐明细!$G$4:$G$603,$Z1076-5200)),"")))))</f>
        <v/>
      </c>
      <c r="I1076" s="24" t="str">
        <f>IF($Z1076="","",IF($Z1076&lt;=2000,IF(INDEX(包装物料出入库明细!$G$4:$G$2003,$Z1076-0)=0,"",INDEX(包装物料出入库明细!$G$4:$G$2003,$Z1076-0)),IF($Z1076&lt;=4000,"个",IF($Z1076&lt;=5200,"个",IF($Z1076&lt;=5800,"个","")))))</f>
        <v/>
      </c>
      <c r="J1076" s="30" t="str">
        <f t="shared" si="49"/>
        <v/>
      </c>
      <c r="K1076" s="30" t="str">
        <f>IF($Z1076="","",IF($Z1076&lt;=2000,IF(INDEX(包装物料出入库明细!$N$4:$N$2003,$Z1076-0)=0,"",INDEX(包装物料出入库明细!$N$4:$N$2003,$Z1076-0)),IF($Z1076&lt;=4000,IF(INDEX(周转筐出入库明细!$P$4:$P$2004,$Z1076-2000)=0,"",INDEX(周转筐出入库明细!$P$4:$P$2004,$Z1076-2000)),IF($Z1076&lt;=5200,"",IF($Z1076&lt;=5800,N(INDEX(次果筐明细!$L$4:$L$603,$Z1076-5200))+N(INDEX(次果筐明细!$J$4:$J$603,$Z1076-5200)),"")))))</f>
        <v/>
      </c>
      <c r="L1076" s="24" t="str">
        <f>IF($Z1076="","",IF($Z1076&lt;=2000,IF(INDEX(包装物料出入库明细!$P$4:$P$2003,$Z1076-0)=0,"",INDEX(包装物料出入库明细!$P$4:$P$2003,$Z1076-0)),IF($Z1076&lt;=4000,IF(INDEX(周转筐出入库明细!$Q$4:$Q$2004,$Z1076-2000)=0,"",INDEX(周转筐出入库明细!$Q$4:$Q$2004,$Z1076-2000)),IF($Z1076&lt;=5200,"",IF($Z1076&lt;=5800,IF(INDEX(次果筐明细!$M$4:$M$603,$Z1076-5200)=0,"",INDEX(次果筐明细!$M$4:$M$603,$Z1076-5200)),"")))))</f>
        <v/>
      </c>
      <c r="M1076" s="37" t="str">
        <f>IF($Z1076="","",IF($Z1076&lt;=2000,IF(INDEX(包装物料出入库明细!$R$4:$R$2003,$Z1076-0)=0,"",INDEX(包装物料出入库明细!$R$4:$R$2003,$Z1076-0)),IF($Z1076&lt;=4000,IF(INDEX(周转筐出入库明细!$W$4:$W$2004,$Z1076-2000)=0,"",INDEX(周转筐出入库明细!$W$4:$W$2004,$Z1076-2000)),IF($Z1076&lt;=5200,IF(INDEX(客户自备加工筐明细!$L$4:$L$1203,$Z1076-4000)=0,"",INDEX(客户自备加工筐明细!$L$4:$L$1203,$Z1076-4000)),IF($Z1076&lt;=5800,IF(INDEX(次果筐明细!$P$4:$P$603,$Z1076-5200)=0,"",INDEX(次果筐明细!$P$4:$P$603,$Z1076-5200)),"")))))</f>
        <v/>
      </c>
      <c r="N1076" s="16" t="str">
        <f>IF($Z1076="","",IF($Z1076&lt;=2000,"",IF($Z1076&lt;=4000,IF(INDEX(周转筐出入库明细!$D$4:$D$2004,$Z1076-2000)=0,"",INDEX(周转筐出入库明细!$D$4:$D$2004,$Z1076-2000)),IF($Z1076&lt;=5200,IF(INDEX(客户自备加工筐明细!$C$4:$C$1203,$Z1076-4000)=0,"",INDEX(客户自备加工筐明细!$C$4:$C$1203,$Z1076-4000)),IF($Z1076&lt;=5800,IF(INDEX(次果筐明细!$D$4:$D$603,$Z1076-5200)=0,"",INDEX(次果筐明细!$D$4:$D$603,$Z1076-5200)),"")))))</f>
        <v/>
      </c>
      <c r="O1076" s="40" t="str">
        <f>IF($Z1076="","",IF($Z1076&lt;=2000,"",IF($Z1076&lt;=4000,IF(N(INDEX(周转筐出入库明细!$J$4:$J$2004,$Z1076-2000))+N(INDEX(周转筐出入库明细!$K$4:$K$2004,$Z1076-2000))=0,"",N(INDEX(周转筐出入库明细!$J$4:$J$2004,$Z1076-2000))+N(INDEX(周转筐出入库明细!$K$4:$K$2004,$Z1076-2000))),IF($Z1076&lt;=5200,IF(N(INDEX(客户自备加工筐明细!$G$4:$G$1203,$Z1076-4000))=0,"",N(INDEX(客户自备加工筐明细!$G$4:$G$1203,$Z1076-4000))),IF($Z1076&lt;=5800,IF(ISNUMBER(SEARCH("退",INDEX(次果筐明细!$F$4:$F$603,$Z1076-5200)&amp;"")),"",IF(N(INDEX(次果筐明细!$G$4:$G$603,$Z1076-5200))=0,"",N(INDEX(次果筐明细!$G$4:$G$603,$Z1076-5200)))),"")))))</f>
        <v/>
      </c>
      <c r="P1076" s="40" t="str">
        <f>IF($Z1076="","",IF($Z1076&lt;=2000,"",IF($Z1076&lt;=4000,IF(N(INDEX(周转筐出入库明细!$I$4:$I$2004,$Z1076-2000))=0,"",N(INDEX(周转筐出入库明细!$I$4:$I$2004,$Z1076-2000))),IF($Z1076&lt;=5200,"",IF($Z1076&lt;=5800,IF(ISNUMBER(SEARCH("退",INDEX(次果筐明细!$F$4:$F$603,$Z1076-5200)&amp;"")),IF(N(INDEX(次果筐明细!$G$4:$G$603,$Z1076-5200))=0,"",N(INDEX(次果筐明细!$G$4:$G$603,$Z1076-5200))),""),"")))))</f>
        <v/>
      </c>
      <c r="Q1076" s="40" t="str">
        <f>IF($Z1076="","",IF($Z1076&lt;=2000,"",IF($Z1076&lt;=4000,IF(N(INDEX(周转筐出入库明细!$H$4:$H$2004,$Z1076-2000))=0,"",N(INDEX(周转筐出入库明细!$H$4:$H$2004,$Z1076-2000))),IF($Z1076&lt;=5200,IF(N(INDEX(客户自备加工筐明细!$F$4:$F$1203,$Z1076-4000))=0,"",N(INDEX(客户自备加工筐明细!$F$4:$F$1203,$Z1076-4000))),IF($Z1076&lt;=5800,"","")))))</f>
        <v/>
      </c>
      <c r="R1076" s="16" t="str">
        <f>IF($Z1076="","",IF($Z1076&lt;=2000,IF(INDEX(包装物料出入库明细!$O$4:$O$2003,$Z1076-0)=0,"",INDEX(包装物料出入库明细!$O$4:$O$2003,$Z1076-0)),IF($Z1076&lt;=4000,IF(INDEX(周转筐出入库明细!$M$4:$M$2004,$Z1076-2000)=0,"",INDEX(周转筐出入库明细!$M$4:$M$2004,$Z1076-2000)),IF($Z1076&lt;=5200,IF(INDEX(客户自备加工筐明细!$H$4:$H$1203,$Z1076-4000)=0,"",INDEX(客户自备加工筐明细!$H$4:$H$1203,$Z1076-4000)),IF($Z1076&lt;=5800,IF(INDEX(次果筐明细!$H$4:$H$603,$Z1076-5200)=0,"",INDEX(次果筐明细!$H$4:$H$603,$Z1076-5200)),"")))))</f>
        <v/>
      </c>
      <c r="S1076" s="22" t="str">
        <f t="shared" si="50"/>
        <v/>
      </c>
      <c r="Z1076" s="10" t="str">
        <f>IFERROR(MATCH(ROW()-3,_自动清单!$CQ$4:$CQ$5803,0),"")</f>
        <v/>
      </c>
    </row>
    <row r="1077" spans="1:26">
      <c r="A1077" s="24" t="str">
        <f t="shared" si="48"/>
        <v/>
      </c>
      <c r="B1077" s="38" t="str">
        <f>IF($Z1077="","",IF($Z1077&lt;=2000,IF(INDEX(包装物料出入库明细!$B$4:$B$2003,$Z1077-0)=0,"",INDEX(包装物料出入库明细!$B$4:$B$2003,$Z1077-0)),IF($Z1077&lt;=4000,IF(INDEX(周转筐出入库明细!$B$4:$B$2004,$Z1077-2000)=0,"",INDEX(周转筐出入库明细!$B$4:$B$2004,$Z1077-2000)),IF($Z1077&lt;=5200,IF(INDEX(客户自备加工筐明细!$B$4:$B$1203,$Z1077-4000)=0,"",INDEX(客户自备加工筐明细!$B$4:$B$1203,$Z1077-4000)),IF($Z1077&lt;=5800,IF(INDEX(次果筐明细!$B$4:$B$603,$Z1077-5200)=0,"",INDEX(次果筐明细!$B$4:$B$603,$Z1077-5200)),"")))))</f>
        <v/>
      </c>
      <c r="C1077" s="37" t="str">
        <f>IF($Z1077="","",IF($Z1077&lt;=2000,IF(INDEX(包装物料出入库明细!$D$4:$D$2003,$Z1077-0)=0,"",INDEX(包装物料出入库明细!$D$4:$D$2003,$Z1077-0)),IF($Z1077&lt;=4000,IF(INDEX(周转筐出入库明细!$C$4:$C$2004,$Z1077-2000)=0,"",INDEX(周转筐出入库明细!$C$4:$C$2004,$Z1077-2000)),IF($Z1077&lt;=5200,IF(INDEX(客户自备加工筐明细!$E$4:$E$1203,$Z1077-4000)=0,"",INDEX(客户自备加工筐明细!$E$4:$E$1203,$Z1077-4000)),IF($Z1077&lt;=5800,IF(INDEX(次果筐明细!$C$4:$C$603,$Z1077-5200)=0,"",INDEX(次果筐明细!$C$4:$C$603,$Z1077-5200)),"")))))</f>
        <v/>
      </c>
      <c r="D1077" s="37" t="str">
        <f>IF($Z1077="","",IF($Z1077&lt;=2000,"包装物料－"&amp;INDEX(包装物料出入库明细!$H$4:$H$2003,$Z1077-0),IF($Z1077&lt;=4000,"周转筐－"&amp;INDEX(周转筐出入库明细!$F$4:$F$2004,$Z1077-2000),IF($Z1077&lt;=5200,"客户自备筐－"&amp;INDEX(客户自备加工筐明细!$J$4:$J$1203,$Z1077-4000),IF($Z1077&lt;=5800,"次果筐/托盘－"&amp;INDEX(次果筐明细!$F$4:$F$603,$Z1077-5200),"")))))</f>
        <v/>
      </c>
      <c r="E1077" s="24" t="str">
        <f>IF($Z1077="","",IF($Z1077&lt;=2000,IF(INDEX(包装物料出入库明细!$C$4:$C$2003,$Z1077-0)=0,"",INDEX(包装物料出入库明细!$C$4:$C$2003,$Z1077-0)),IF($Z1077&lt;=4000,IF(INDEX(周转筐出入库明细!$E$4:$E$2004,$Z1077-2000)=0,"",INDEX(周转筐出入库明细!$E$4:$E$2004,$Z1077-2000)),IF($Z1077&lt;=5200,IF(INDEX(客户自备加工筐明细!$D$4:$D$1203,$Z1077-4000)=0,"",INDEX(客户自备加工筐明细!$D$4:$D$1203,$Z1077-4000)),IF($Z1077&lt;=5800,IF(INDEX(次果筐明细!$E$4:$E$603,$Z1077-5200)=0,"",INDEX(次果筐明细!$E$4:$E$603,$Z1077-5200)),"")))))</f>
        <v/>
      </c>
      <c r="F1077" s="24" t="str">
        <f>IF($Z1077="","",IF($Z1077&lt;=2000,IF(INDEX(包装物料出入库明细!$E$4:$E$2003,$Z1077-0)=0,"",INDEX(包装物料出入库明细!$E$4:$E$2003,$Z1077-0)),IF($Z1077&lt;=4000,IF(INDEX(周转筐出入库明细!$D$4:$D$2004,$Z1077-2000)=0,"",INDEX(周转筐出入库明细!$D$4:$D$2004,$Z1077-2000)),IF($Z1077&lt;=5200,IF(INDEX(客户自备加工筐明细!$C$4:$C$1203,$Z1077-4000)=0,"",INDEX(客户自备加工筐明细!$C$4:$C$1203,$Z1077-4000)),IF($Z1077&lt;=5800,IF(INDEX(次果筐明细!$D$4:$D$603,$Z1077-5200)=0,"",INDEX(次果筐明细!$D$4:$D$603,$Z1077-5200)),"")))))</f>
        <v/>
      </c>
      <c r="G1077" s="24" t="str">
        <f>IF($Z1077="","",IF($Z1077&lt;=2000,IF(INDEX(包装物料出入库明细!$F$4:$F$2003,$Z1077-0)=0,"",INDEX(包装物料出入库明细!$F$4:$F$2003,$Z1077-0)),IF($Z1077&lt;=4000,"",IF($Z1077&lt;=5200,"",IF($Z1077&lt;=5800,"","")))))</f>
        <v/>
      </c>
      <c r="H1077" s="39" t="str">
        <f>IF($Z1077="","",IF($Z1077&lt;=2000,IF(INDEX(包装物料出入库明细!$L$4:$L$2003,$Z1077-0)=0,"",INDEX(包装物料出入库明细!$L$4:$L$2003,$Z1077-0)),IF($Z1077&lt;=4000,N(INDEX(周转筐出入库明细!$H$4:$H$2004,$Z1077-2000))+N(INDEX(周转筐出入库明细!$I$4:$I$2004,$Z1077-2000))+N(INDEX(周转筐出入库明细!$J$4:$J$2004,$Z1077-2000))+N(INDEX(周转筐出入库明细!$K$4:$K$2004,$Z1077-2000)),IF($Z1077&lt;=5200,N(INDEX(客户自备加工筐明细!$F$4:$F$1203,$Z1077-4000))+N(INDEX(客户自备加工筐明细!$G$4:$G$1203,$Z1077-4000)),IF($Z1077&lt;=5800,IF(INDEX(次果筐明细!$G$4:$G$603,$Z1077-5200)=0,"",INDEX(次果筐明细!$G$4:$G$603,$Z1077-5200)),"")))))</f>
        <v/>
      </c>
      <c r="I1077" s="24" t="str">
        <f>IF($Z1077="","",IF($Z1077&lt;=2000,IF(INDEX(包装物料出入库明细!$G$4:$G$2003,$Z1077-0)=0,"",INDEX(包装物料出入库明细!$G$4:$G$2003,$Z1077-0)),IF($Z1077&lt;=4000,"个",IF($Z1077&lt;=5200,"个",IF($Z1077&lt;=5800,"个","")))))</f>
        <v/>
      </c>
      <c r="J1077" s="30" t="str">
        <f t="shared" si="49"/>
        <v/>
      </c>
      <c r="K1077" s="30" t="str">
        <f>IF($Z1077="","",IF($Z1077&lt;=2000,IF(INDEX(包装物料出入库明细!$N$4:$N$2003,$Z1077-0)=0,"",INDEX(包装物料出入库明细!$N$4:$N$2003,$Z1077-0)),IF($Z1077&lt;=4000,IF(INDEX(周转筐出入库明细!$P$4:$P$2004,$Z1077-2000)=0,"",INDEX(周转筐出入库明细!$P$4:$P$2004,$Z1077-2000)),IF($Z1077&lt;=5200,"",IF($Z1077&lt;=5800,N(INDEX(次果筐明细!$L$4:$L$603,$Z1077-5200))+N(INDEX(次果筐明细!$J$4:$J$603,$Z1077-5200)),"")))))</f>
        <v/>
      </c>
      <c r="L1077" s="24" t="str">
        <f>IF($Z1077="","",IF($Z1077&lt;=2000,IF(INDEX(包装物料出入库明细!$P$4:$P$2003,$Z1077-0)=0,"",INDEX(包装物料出入库明细!$P$4:$P$2003,$Z1077-0)),IF($Z1077&lt;=4000,IF(INDEX(周转筐出入库明细!$Q$4:$Q$2004,$Z1077-2000)=0,"",INDEX(周转筐出入库明细!$Q$4:$Q$2004,$Z1077-2000)),IF($Z1077&lt;=5200,"",IF($Z1077&lt;=5800,IF(INDEX(次果筐明细!$M$4:$M$603,$Z1077-5200)=0,"",INDEX(次果筐明细!$M$4:$M$603,$Z1077-5200)),"")))))</f>
        <v/>
      </c>
      <c r="M1077" s="37" t="str">
        <f>IF($Z1077="","",IF($Z1077&lt;=2000,IF(INDEX(包装物料出入库明细!$R$4:$R$2003,$Z1077-0)=0,"",INDEX(包装物料出入库明细!$R$4:$R$2003,$Z1077-0)),IF($Z1077&lt;=4000,IF(INDEX(周转筐出入库明细!$W$4:$W$2004,$Z1077-2000)=0,"",INDEX(周转筐出入库明细!$W$4:$W$2004,$Z1077-2000)),IF($Z1077&lt;=5200,IF(INDEX(客户自备加工筐明细!$L$4:$L$1203,$Z1077-4000)=0,"",INDEX(客户自备加工筐明细!$L$4:$L$1203,$Z1077-4000)),IF($Z1077&lt;=5800,IF(INDEX(次果筐明细!$P$4:$P$603,$Z1077-5200)=0,"",INDEX(次果筐明细!$P$4:$P$603,$Z1077-5200)),"")))))</f>
        <v/>
      </c>
      <c r="N1077" s="16" t="str">
        <f>IF($Z1077="","",IF($Z1077&lt;=2000,"",IF($Z1077&lt;=4000,IF(INDEX(周转筐出入库明细!$D$4:$D$2004,$Z1077-2000)=0,"",INDEX(周转筐出入库明细!$D$4:$D$2004,$Z1077-2000)),IF($Z1077&lt;=5200,IF(INDEX(客户自备加工筐明细!$C$4:$C$1203,$Z1077-4000)=0,"",INDEX(客户自备加工筐明细!$C$4:$C$1203,$Z1077-4000)),IF($Z1077&lt;=5800,IF(INDEX(次果筐明细!$D$4:$D$603,$Z1077-5200)=0,"",INDEX(次果筐明细!$D$4:$D$603,$Z1077-5200)),"")))))</f>
        <v/>
      </c>
      <c r="O1077" s="40" t="str">
        <f>IF($Z1077="","",IF($Z1077&lt;=2000,"",IF($Z1077&lt;=4000,IF(N(INDEX(周转筐出入库明细!$J$4:$J$2004,$Z1077-2000))+N(INDEX(周转筐出入库明细!$K$4:$K$2004,$Z1077-2000))=0,"",N(INDEX(周转筐出入库明细!$J$4:$J$2004,$Z1077-2000))+N(INDEX(周转筐出入库明细!$K$4:$K$2004,$Z1077-2000))),IF($Z1077&lt;=5200,IF(N(INDEX(客户自备加工筐明细!$G$4:$G$1203,$Z1077-4000))=0,"",N(INDEX(客户自备加工筐明细!$G$4:$G$1203,$Z1077-4000))),IF($Z1077&lt;=5800,IF(ISNUMBER(SEARCH("退",INDEX(次果筐明细!$F$4:$F$603,$Z1077-5200)&amp;"")),"",IF(N(INDEX(次果筐明细!$G$4:$G$603,$Z1077-5200))=0,"",N(INDEX(次果筐明细!$G$4:$G$603,$Z1077-5200)))),"")))))</f>
        <v/>
      </c>
      <c r="P1077" s="40" t="str">
        <f>IF($Z1077="","",IF($Z1077&lt;=2000,"",IF($Z1077&lt;=4000,IF(N(INDEX(周转筐出入库明细!$I$4:$I$2004,$Z1077-2000))=0,"",N(INDEX(周转筐出入库明细!$I$4:$I$2004,$Z1077-2000))),IF($Z1077&lt;=5200,"",IF($Z1077&lt;=5800,IF(ISNUMBER(SEARCH("退",INDEX(次果筐明细!$F$4:$F$603,$Z1077-5200)&amp;"")),IF(N(INDEX(次果筐明细!$G$4:$G$603,$Z1077-5200))=0,"",N(INDEX(次果筐明细!$G$4:$G$603,$Z1077-5200))),""),"")))))</f>
        <v/>
      </c>
      <c r="Q1077" s="40" t="str">
        <f>IF($Z1077="","",IF($Z1077&lt;=2000,"",IF($Z1077&lt;=4000,IF(N(INDEX(周转筐出入库明细!$H$4:$H$2004,$Z1077-2000))=0,"",N(INDEX(周转筐出入库明细!$H$4:$H$2004,$Z1077-2000))),IF($Z1077&lt;=5200,IF(N(INDEX(客户自备加工筐明细!$F$4:$F$1203,$Z1077-4000))=0,"",N(INDEX(客户自备加工筐明细!$F$4:$F$1203,$Z1077-4000))),IF($Z1077&lt;=5800,"","")))))</f>
        <v/>
      </c>
      <c r="R1077" s="16" t="str">
        <f>IF($Z1077="","",IF($Z1077&lt;=2000,IF(INDEX(包装物料出入库明细!$O$4:$O$2003,$Z1077-0)=0,"",INDEX(包装物料出入库明细!$O$4:$O$2003,$Z1077-0)),IF($Z1077&lt;=4000,IF(INDEX(周转筐出入库明细!$M$4:$M$2004,$Z1077-2000)=0,"",INDEX(周转筐出入库明细!$M$4:$M$2004,$Z1077-2000)),IF($Z1077&lt;=5200,IF(INDEX(客户自备加工筐明细!$H$4:$H$1203,$Z1077-4000)=0,"",INDEX(客户自备加工筐明细!$H$4:$H$1203,$Z1077-4000)),IF($Z1077&lt;=5800,IF(INDEX(次果筐明细!$H$4:$H$603,$Z1077-5200)=0,"",INDEX(次果筐明细!$H$4:$H$603,$Z1077-5200)),"")))))</f>
        <v/>
      </c>
      <c r="S1077" s="22" t="str">
        <f t="shared" si="50"/>
        <v/>
      </c>
      <c r="Z1077" s="10" t="str">
        <f>IFERROR(MATCH(ROW()-3,_自动清单!$CQ$4:$CQ$5803,0),"")</f>
        <v/>
      </c>
    </row>
    <row r="1078" spans="1:26">
      <c r="A1078" s="24" t="str">
        <f t="shared" si="48"/>
        <v/>
      </c>
      <c r="B1078" s="38" t="str">
        <f>IF($Z1078="","",IF($Z1078&lt;=2000,IF(INDEX(包装物料出入库明细!$B$4:$B$2003,$Z1078-0)=0,"",INDEX(包装物料出入库明细!$B$4:$B$2003,$Z1078-0)),IF($Z1078&lt;=4000,IF(INDEX(周转筐出入库明细!$B$4:$B$2004,$Z1078-2000)=0,"",INDEX(周转筐出入库明细!$B$4:$B$2004,$Z1078-2000)),IF($Z1078&lt;=5200,IF(INDEX(客户自备加工筐明细!$B$4:$B$1203,$Z1078-4000)=0,"",INDEX(客户自备加工筐明细!$B$4:$B$1203,$Z1078-4000)),IF($Z1078&lt;=5800,IF(INDEX(次果筐明细!$B$4:$B$603,$Z1078-5200)=0,"",INDEX(次果筐明细!$B$4:$B$603,$Z1078-5200)),"")))))</f>
        <v/>
      </c>
      <c r="C1078" s="37" t="str">
        <f>IF($Z1078="","",IF($Z1078&lt;=2000,IF(INDEX(包装物料出入库明细!$D$4:$D$2003,$Z1078-0)=0,"",INDEX(包装物料出入库明细!$D$4:$D$2003,$Z1078-0)),IF($Z1078&lt;=4000,IF(INDEX(周转筐出入库明细!$C$4:$C$2004,$Z1078-2000)=0,"",INDEX(周转筐出入库明细!$C$4:$C$2004,$Z1078-2000)),IF($Z1078&lt;=5200,IF(INDEX(客户自备加工筐明细!$E$4:$E$1203,$Z1078-4000)=0,"",INDEX(客户自备加工筐明细!$E$4:$E$1203,$Z1078-4000)),IF($Z1078&lt;=5800,IF(INDEX(次果筐明细!$C$4:$C$603,$Z1078-5200)=0,"",INDEX(次果筐明细!$C$4:$C$603,$Z1078-5200)),"")))))</f>
        <v/>
      </c>
      <c r="D1078" s="37" t="str">
        <f>IF($Z1078="","",IF($Z1078&lt;=2000,"包装物料－"&amp;INDEX(包装物料出入库明细!$H$4:$H$2003,$Z1078-0),IF($Z1078&lt;=4000,"周转筐－"&amp;INDEX(周转筐出入库明细!$F$4:$F$2004,$Z1078-2000),IF($Z1078&lt;=5200,"客户自备筐－"&amp;INDEX(客户自备加工筐明细!$J$4:$J$1203,$Z1078-4000),IF($Z1078&lt;=5800,"次果筐/托盘－"&amp;INDEX(次果筐明细!$F$4:$F$603,$Z1078-5200),"")))))</f>
        <v/>
      </c>
      <c r="E1078" s="24" t="str">
        <f>IF($Z1078="","",IF($Z1078&lt;=2000,IF(INDEX(包装物料出入库明细!$C$4:$C$2003,$Z1078-0)=0,"",INDEX(包装物料出入库明细!$C$4:$C$2003,$Z1078-0)),IF($Z1078&lt;=4000,IF(INDEX(周转筐出入库明细!$E$4:$E$2004,$Z1078-2000)=0,"",INDEX(周转筐出入库明细!$E$4:$E$2004,$Z1078-2000)),IF($Z1078&lt;=5200,IF(INDEX(客户自备加工筐明细!$D$4:$D$1203,$Z1078-4000)=0,"",INDEX(客户自备加工筐明细!$D$4:$D$1203,$Z1078-4000)),IF($Z1078&lt;=5800,IF(INDEX(次果筐明细!$E$4:$E$603,$Z1078-5200)=0,"",INDEX(次果筐明细!$E$4:$E$603,$Z1078-5200)),"")))))</f>
        <v/>
      </c>
      <c r="F1078" s="24" t="str">
        <f>IF($Z1078="","",IF($Z1078&lt;=2000,IF(INDEX(包装物料出入库明细!$E$4:$E$2003,$Z1078-0)=0,"",INDEX(包装物料出入库明细!$E$4:$E$2003,$Z1078-0)),IF($Z1078&lt;=4000,IF(INDEX(周转筐出入库明细!$D$4:$D$2004,$Z1078-2000)=0,"",INDEX(周转筐出入库明细!$D$4:$D$2004,$Z1078-2000)),IF($Z1078&lt;=5200,IF(INDEX(客户自备加工筐明细!$C$4:$C$1203,$Z1078-4000)=0,"",INDEX(客户自备加工筐明细!$C$4:$C$1203,$Z1078-4000)),IF($Z1078&lt;=5800,IF(INDEX(次果筐明细!$D$4:$D$603,$Z1078-5200)=0,"",INDEX(次果筐明细!$D$4:$D$603,$Z1078-5200)),"")))))</f>
        <v/>
      </c>
      <c r="G1078" s="24" t="str">
        <f>IF($Z1078="","",IF($Z1078&lt;=2000,IF(INDEX(包装物料出入库明细!$F$4:$F$2003,$Z1078-0)=0,"",INDEX(包装物料出入库明细!$F$4:$F$2003,$Z1078-0)),IF($Z1078&lt;=4000,"",IF($Z1078&lt;=5200,"",IF($Z1078&lt;=5800,"","")))))</f>
        <v/>
      </c>
      <c r="H1078" s="39" t="str">
        <f>IF($Z1078="","",IF($Z1078&lt;=2000,IF(INDEX(包装物料出入库明细!$L$4:$L$2003,$Z1078-0)=0,"",INDEX(包装物料出入库明细!$L$4:$L$2003,$Z1078-0)),IF($Z1078&lt;=4000,N(INDEX(周转筐出入库明细!$H$4:$H$2004,$Z1078-2000))+N(INDEX(周转筐出入库明细!$I$4:$I$2004,$Z1078-2000))+N(INDEX(周转筐出入库明细!$J$4:$J$2004,$Z1078-2000))+N(INDEX(周转筐出入库明细!$K$4:$K$2004,$Z1078-2000)),IF($Z1078&lt;=5200,N(INDEX(客户自备加工筐明细!$F$4:$F$1203,$Z1078-4000))+N(INDEX(客户自备加工筐明细!$G$4:$G$1203,$Z1078-4000)),IF($Z1078&lt;=5800,IF(INDEX(次果筐明细!$G$4:$G$603,$Z1078-5200)=0,"",INDEX(次果筐明细!$G$4:$G$603,$Z1078-5200)),"")))))</f>
        <v/>
      </c>
      <c r="I1078" s="24" t="str">
        <f>IF($Z1078="","",IF($Z1078&lt;=2000,IF(INDEX(包装物料出入库明细!$G$4:$G$2003,$Z1078-0)=0,"",INDEX(包装物料出入库明细!$G$4:$G$2003,$Z1078-0)),IF($Z1078&lt;=4000,"个",IF($Z1078&lt;=5200,"个",IF($Z1078&lt;=5800,"个","")))))</f>
        <v/>
      </c>
      <c r="J1078" s="30" t="str">
        <f t="shared" si="49"/>
        <v/>
      </c>
      <c r="K1078" s="30" t="str">
        <f>IF($Z1078="","",IF($Z1078&lt;=2000,IF(INDEX(包装物料出入库明细!$N$4:$N$2003,$Z1078-0)=0,"",INDEX(包装物料出入库明细!$N$4:$N$2003,$Z1078-0)),IF($Z1078&lt;=4000,IF(INDEX(周转筐出入库明细!$P$4:$P$2004,$Z1078-2000)=0,"",INDEX(周转筐出入库明细!$P$4:$P$2004,$Z1078-2000)),IF($Z1078&lt;=5200,"",IF($Z1078&lt;=5800,N(INDEX(次果筐明细!$L$4:$L$603,$Z1078-5200))+N(INDEX(次果筐明细!$J$4:$J$603,$Z1078-5200)),"")))))</f>
        <v/>
      </c>
      <c r="L1078" s="24" t="str">
        <f>IF($Z1078="","",IF($Z1078&lt;=2000,IF(INDEX(包装物料出入库明细!$P$4:$P$2003,$Z1078-0)=0,"",INDEX(包装物料出入库明细!$P$4:$P$2003,$Z1078-0)),IF($Z1078&lt;=4000,IF(INDEX(周转筐出入库明细!$Q$4:$Q$2004,$Z1078-2000)=0,"",INDEX(周转筐出入库明细!$Q$4:$Q$2004,$Z1078-2000)),IF($Z1078&lt;=5200,"",IF($Z1078&lt;=5800,IF(INDEX(次果筐明细!$M$4:$M$603,$Z1078-5200)=0,"",INDEX(次果筐明细!$M$4:$M$603,$Z1078-5200)),"")))))</f>
        <v/>
      </c>
      <c r="M1078" s="37" t="str">
        <f>IF($Z1078="","",IF($Z1078&lt;=2000,IF(INDEX(包装物料出入库明细!$R$4:$R$2003,$Z1078-0)=0,"",INDEX(包装物料出入库明细!$R$4:$R$2003,$Z1078-0)),IF($Z1078&lt;=4000,IF(INDEX(周转筐出入库明细!$W$4:$W$2004,$Z1078-2000)=0,"",INDEX(周转筐出入库明细!$W$4:$W$2004,$Z1078-2000)),IF($Z1078&lt;=5200,IF(INDEX(客户自备加工筐明细!$L$4:$L$1203,$Z1078-4000)=0,"",INDEX(客户自备加工筐明细!$L$4:$L$1203,$Z1078-4000)),IF($Z1078&lt;=5800,IF(INDEX(次果筐明细!$P$4:$P$603,$Z1078-5200)=0,"",INDEX(次果筐明细!$P$4:$P$603,$Z1078-5200)),"")))))</f>
        <v/>
      </c>
      <c r="N1078" s="16" t="str">
        <f>IF($Z1078="","",IF($Z1078&lt;=2000,"",IF($Z1078&lt;=4000,IF(INDEX(周转筐出入库明细!$D$4:$D$2004,$Z1078-2000)=0,"",INDEX(周转筐出入库明细!$D$4:$D$2004,$Z1078-2000)),IF($Z1078&lt;=5200,IF(INDEX(客户自备加工筐明细!$C$4:$C$1203,$Z1078-4000)=0,"",INDEX(客户自备加工筐明细!$C$4:$C$1203,$Z1078-4000)),IF($Z1078&lt;=5800,IF(INDEX(次果筐明细!$D$4:$D$603,$Z1078-5200)=0,"",INDEX(次果筐明细!$D$4:$D$603,$Z1078-5200)),"")))))</f>
        <v/>
      </c>
      <c r="O1078" s="40" t="str">
        <f>IF($Z1078="","",IF($Z1078&lt;=2000,"",IF($Z1078&lt;=4000,IF(N(INDEX(周转筐出入库明细!$J$4:$J$2004,$Z1078-2000))+N(INDEX(周转筐出入库明细!$K$4:$K$2004,$Z1078-2000))=0,"",N(INDEX(周转筐出入库明细!$J$4:$J$2004,$Z1078-2000))+N(INDEX(周转筐出入库明细!$K$4:$K$2004,$Z1078-2000))),IF($Z1078&lt;=5200,IF(N(INDEX(客户自备加工筐明细!$G$4:$G$1203,$Z1078-4000))=0,"",N(INDEX(客户自备加工筐明细!$G$4:$G$1203,$Z1078-4000))),IF($Z1078&lt;=5800,IF(ISNUMBER(SEARCH("退",INDEX(次果筐明细!$F$4:$F$603,$Z1078-5200)&amp;"")),"",IF(N(INDEX(次果筐明细!$G$4:$G$603,$Z1078-5200))=0,"",N(INDEX(次果筐明细!$G$4:$G$603,$Z1078-5200)))),"")))))</f>
        <v/>
      </c>
      <c r="P1078" s="40" t="str">
        <f>IF($Z1078="","",IF($Z1078&lt;=2000,"",IF($Z1078&lt;=4000,IF(N(INDEX(周转筐出入库明细!$I$4:$I$2004,$Z1078-2000))=0,"",N(INDEX(周转筐出入库明细!$I$4:$I$2004,$Z1078-2000))),IF($Z1078&lt;=5200,"",IF($Z1078&lt;=5800,IF(ISNUMBER(SEARCH("退",INDEX(次果筐明细!$F$4:$F$603,$Z1078-5200)&amp;"")),IF(N(INDEX(次果筐明细!$G$4:$G$603,$Z1078-5200))=0,"",N(INDEX(次果筐明细!$G$4:$G$603,$Z1078-5200))),""),"")))))</f>
        <v/>
      </c>
      <c r="Q1078" s="40" t="str">
        <f>IF($Z1078="","",IF($Z1078&lt;=2000,"",IF($Z1078&lt;=4000,IF(N(INDEX(周转筐出入库明细!$H$4:$H$2004,$Z1078-2000))=0,"",N(INDEX(周转筐出入库明细!$H$4:$H$2004,$Z1078-2000))),IF($Z1078&lt;=5200,IF(N(INDEX(客户自备加工筐明细!$F$4:$F$1203,$Z1078-4000))=0,"",N(INDEX(客户自备加工筐明细!$F$4:$F$1203,$Z1078-4000))),IF($Z1078&lt;=5800,"","")))))</f>
        <v/>
      </c>
      <c r="R1078" s="16" t="str">
        <f>IF($Z1078="","",IF($Z1078&lt;=2000,IF(INDEX(包装物料出入库明细!$O$4:$O$2003,$Z1078-0)=0,"",INDEX(包装物料出入库明细!$O$4:$O$2003,$Z1078-0)),IF($Z1078&lt;=4000,IF(INDEX(周转筐出入库明细!$M$4:$M$2004,$Z1078-2000)=0,"",INDEX(周转筐出入库明细!$M$4:$M$2004,$Z1078-2000)),IF($Z1078&lt;=5200,IF(INDEX(客户自备加工筐明细!$H$4:$H$1203,$Z1078-4000)=0,"",INDEX(客户自备加工筐明细!$H$4:$H$1203,$Z1078-4000)),IF($Z1078&lt;=5800,IF(INDEX(次果筐明细!$H$4:$H$603,$Z1078-5200)=0,"",INDEX(次果筐明细!$H$4:$H$603,$Z1078-5200)),"")))))</f>
        <v/>
      </c>
      <c r="S1078" s="22" t="str">
        <f t="shared" si="50"/>
        <v/>
      </c>
      <c r="Z1078" s="10" t="str">
        <f>IFERROR(MATCH(ROW()-3,_自动清单!$CQ$4:$CQ$5803,0),"")</f>
        <v/>
      </c>
    </row>
    <row r="1079" spans="1:26">
      <c r="A1079" s="24" t="str">
        <f t="shared" si="48"/>
        <v/>
      </c>
      <c r="B1079" s="38" t="str">
        <f>IF($Z1079="","",IF($Z1079&lt;=2000,IF(INDEX(包装物料出入库明细!$B$4:$B$2003,$Z1079-0)=0,"",INDEX(包装物料出入库明细!$B$4:$B$2003,$Z1079-0)),IF($Z1079&lt;=4000,IF(INDEX(周转筐出入库明细!$B$4:$B$2004,$Z1079-2000)=0,"",INDEX(周转筐出入库明细!$B$4:$B$2004,$Z1079-2000)),IF($Z1079&lt;=5200,IF(INDEX(客户自备加工筐明细!$B$4:$B$1203,$Z1079-4000)=0,"",INDEX(客户自备加工筐明细!$B$4:$B$1203,$Z1079-4000)),IF($Z1079&lt;=5800,IF(INDEX(次果筐明细!$B$4:$B$603,$Z1079-5200)=0,"",INDEX(次果筐明细!$B$4:$B$603,$Z1079-5200)),"")))))</f>
        <v/>
      </c>
      <c r="C1079" s="37" t="str">
        <f>IF($Z1079="","",IF($Z1079&lt;=2000,IF(INDEX(包装物料出入库明细!$D$4:$D$2003,$Z1079-0)=0,"",INDEX(包装物料出入库明细!$D$4:$D$2003,$Z1079-0)),IF($Z1079&lt;=4000,IF(INDEX(周转筐出入库明细!$C$4:$C$2004,$Z1079-2000)=0,"",INDEX(周转筐出入库明细!$C$4:$C$2004,$Z1079-2000)),IF($Z1079&lt;=5200,IF(INDEX(客户自备加工筐明细!$E$4:$E$1203,$Z1079-4000)=0,"",INDEX(客户自备加工筐明细!$E$4:$E$1203,$Z1079-4000)),IF($Z1079&lt;=5800,IF(INDEX(次果筐明细!$C$4:$C$603,$Z1079-5200)=0,"",INDEX(次果筐明细!$C$4:$C$603,$Z1079-5200)),"")))))</f>
        <v/>
      </c>
      <c r="D1079" s="37" t="str">
        <f>IF($Z1079="","",IF($Z1079&lt;=2000,"包装物料－"&amp;INDEX(包装物料出入库明细!$H$4:$H$2003,$Z1079-0),IF($Z1079&lt;=4000,"周转筐－"&amp;INDEX(周转筐出入库明细!$F$4:$F$2004,$Z1079-2000),IF($Z1079&lt;=5200,"客户自备筐－"&amp;INDEX(客户自备加工筐明细!$J$4:$J$1203,$Z1079-4000),IF($Z1079&lt;=5800,"次果筐/托盘－"&amp;INDEX(次果筐明细!$F$4:$F$603,$Z1079-5200),"")))))</f>
        <v/>
      </c>
      <c r="E1079" s="24" t="str">
        <f>IF($Z1079="","",IF($Z1079&lt;=2000,IF(INDEX(包装物料出入库明细!$C$4:$C$2003,$Z1079-0)=0,"",INDEX(包装物料出入库明细!$C$4:$C$2003,$Z1079-0)),IF($Z1079&lt;=4000,IF(INDEX(周转筐出入库明细!$E$4:$E$2004,$Z1079-2000)=0,"",INDEX(周转筐出入库明细!$E$4:$E$2004,$Z1079-2000)),IF($Z1079&lt;=5200,IF(INDEX(客户自备加工筐明细!$D$4:$D$1203,$Z1079-4000)=0,"",INDEX(客户自备加工筐明细!$D$4:$D$1203,$Z1079-4000)),IF($Z1079&lt;=5800,IF(INDEX(次果筐明细!$E$4:$E$603,$Z1079-5200)=0,"",INDEX(次果筐明细!$E$4:$E$603,$Z1079-5200)),"")))))</f>
        <v/>
      </c>
      <c r="F1079" s="24" t="str">
        <f>IF($Z1079="","",IF($Z1079&lt;=2000,IF(INDEX(包装物料出入库明细!$E$4:$E$2003,$Z1079-0)=0,"",INDEX(包装物料出入库明细!$E$4:$E$2003,$Z1079-0)),IF($Z1079&lt;=4000,IF(INDEX(周转筐出入库明细!$D$4:$D$2004,$Z1079-2000)=0,"",INDEX(周转筐出入库明细!$D$4:$D$2004,$Z1079-2000)),IF($Z1079&lt;=5200,IF(INDEX(客户自备加工筐明细!$C$4:$C$1203,$Z1079-4000)=0,"",INDEX(客户自备加工筐明细!$C$4:$C$1203,$Z1079-4000)),IF($Z1079&lt;=5800,IF(INDEX(次果筐明细!$D$4:$D$603,$Z1079-5200)=0,"",INDEX(次果筐明细!$D$4:$D$603,$Z1079-5200)),"")))))</f>
        <v/>
      </c>
      <c r="G1079" s="24" t="str">
        <f>IF($Z1079="","",IF($Z1079&lt;=2000,IF(INDEX(包装物料出入库明细!$F$4:$F$2003,$Z1079-0)=0,"",INDEX(包装物料出入库明细!$F$4:$F$2003,$Z1079-0)),IF($Z1079&lt;=4000,"",IF($Z1079&lt;=5200,"",IF($Z1079&lt;=5800,"","")))))</f>
        <v/>
      </c>
      <c r="H1079" s="39" t="str">
        <f>IF($Z1079="","",IF($Z1079&lt;=2000,IF(INDEX(包装物料出入库明细!$L$4:$L$2003,$Z1079-0)=0,"",INDEX(包装物料出入库明细!$L$4:$L$2003,$Z1079-0)),IF($Z1079&lt;=4000,N(INDEX(周转筐出入库明细!$H$4:$H$2004,$Z1079-2000))+N(INDEX(周转筐出入库明细!$I$4:$I$2004,$Z1079-2000))+N(INDEX(周转筐出入库明细!$J$4:$J$2004,$Z1079-2000))+N(INDEX(周转筐出入库明细!$K$4:$K$2004,$Z1079-2000)),IF($Z1079&lt;=5200,N(INDEX(客户自备加工筐明细!$F$4:$F$1203,$Z1079-4000))+N(INDEX(客户自备加工筐明细!$G$4:$G$1203,$Z1079-4000)),IF($Z1079&lt;=5800,IF(INDEX(次果筐明细!$G$4:$G$603,$Z1079-5200)=0,"",INDEX(次果筐明细!$G$4:$G$603,$Z1079-5200)),"")))))</f>
        <v/>
      </c>
      <c r="I1079" s="24" t="str">
        <f>IF($Z1079="","",IF($Z1079&lt;=2000,IF(INDEX(包装物料出入库明细!$G$4:$G$2003,$Z1079-0)=0,"",INDEX(包装物料出入库明细!$G$4:$G$2003,$Z1079-0)),IF($Z1079&lt;=4000,"个",IF($Z1079&lt;=5200,"个",IF($Z1079&lt;=5800,"个","")))))</f>
        <v/>
      </c>
      <c r="J1079" s="30" t="str">
        <f t="shared" si="49"/>
        <v/>
      </c>
      <c r="K1079" s="30" t="str">
        <f>IF($Z1079="","",IF($Z1079&lt;=2000,IF(INDEX(包装物料出入库明细!$N$4:$N$2003,$Z1079-0)=0,"",INDEX(包装物料出入库明细!$N$4:$N$2003,$Z1079-0)),IF($Z1079&lt;=4000,IF(INDEX(周转筐出入库明细!$P$4:$P$2004,$Z1079-2000)=0,"",INDEX(周转筐出入库明细!$P$4:$P$2004,$Z1079-2000)),IF($Z1079&lt;=5200,"",IF($Z1079&lt;=5800,N(INDEX(次果筐明细!$L$4:$L$603,$Z1079-5200))+N(INDEX(次果筐明细!$J$4:$J$603,$Z1079-5200)),"")))))</f>
        <v/>
      </c>
      <c r="L1079" s="24" t="str">
        <f>IF($Z1079="","",IF($Z1079&lt;=2000,IF(INDEX(包装物料出入库明细!$P$4:$P$2003,$Z1079-0)=0,"",INDEX(包装物料出入库明细!$P$4:$P$2003,$Z1079-0)),IF($Z1079&lt;=4000,IF(INDEX(周转筐出入库明细!$Q$4:$Q$2004,$Z1079-2000)=0,"",INDEX(周转筐出入库明细!$Q$4:$Q$2004,$Z1079-2000)),IF($Z1079&lt;=5200,"",IF($Z1079&lt;=5800,IF(INDEX(次果筐明细!$M$4:$M$603,$Z1079-5200)=0,"",INDEX(次果筐明细!$M$4:$M$603,$Z1079-5200)),"")))))</f>
        <v/>
      </c>
      <c r="M1079" s="37" t="str">
        <f>IF($Z1079="","",IF($Z1079&lt;=2000,IF(INDEX(包装物料出入库明细!$R$4:$R$2003,$Z1079-0)=0,"",INDEX(包装物料出入库明细!$R$4:$R$2003,$Z1079-0)),IF($Z1079&lt;=4000,IF(INDEX(周转筐出入库明细!$W$4:$W$2004,$Z1079-2000)=0,"",INDEX(周转筐出入库明细!$W$4:$W$2004,$Z1079-2000)),IF($Z1079&lt;=5200,IF(INDEX(客户自备加工筐明细!$L$4:$L$1203,$Z1079-4000)=0,"",INDEX(客户自备加工筐明细!$L$4:$L$1203,$Z1079-4000)),IF($Z1079&lt;=5800,IF(INDEX(次果筐明细!$P$4:$P$603,$Z1079-5200)=0,"",INDEX(次果筐明细!$P$4:$P$603,$Z1079-5200)),"")))))</f>
        <v/>
      </c>
      <c r="N1079" s="16" t="str">
        <f>IF($Z1079="","",IF($Z1079&lt;=2000,"",IF($Z1079&lt;=4000,IF(INDEX(周转筐出入库明细!$D$4:$D$2004,$Z1079-2000)=0,"",INDEX(周转筐出入库明细!$D$4:$D$2004,$Z1079-2000)),IF($Z1079&lt;=5200,IF(INDEX(客户自备加工筐明细!$C$4:$C$1203,$Z1079-4000)=0,"",INDEX(客户自备加工筐明细!$C$4:$C$1203,$Z1079-4000)),IF($Z1079&lt;=5800,IF(INDEX(次果筐明细!$D$4:$D$603,$Z1079-5200)=0,"",INDEX(次果筐明细!$D$4:$D$603,$Z1079-5200)),"")))))</f>
        <v/>
      </c>
      <c r="O1079" s="40" t="str">
        <f>IF($Z1079="","",IF($Z1079&lt;=2000,"",IF($Z1079&lt;=4000,IF(N(INDEX(周转筐出入库明细!$J$4:$J$2004,$Z1079-2000))+N(INDEX(周转筐出入库明细!$K$4:$K$2004,$Z1079-2000))=0,"",N(INDEX(周转筐出入库明细!$J$4:$J$2004,$Z1079-2000))+N(INDEX(周转筐出入库明细!$K$4:$K$2004,$Z1079-2000))),IF($Z1079&lt;=5200,IF(N(INDEX(客户自备加工筐明细!$G$4:$G$1203,$Z1079-4000))=0,"",N(INDEX(客户自备加工筐明细!$G$4:$G$1203,$Z1079-4000))),IF($Z1079&lt;=5800,IF(ISNUMBER(SEARCH("退",INDEX(次果筐明细!$F$4:$F$603,$Z1079-5200)&amp;"")),"",IF(N(INDEX(次果筐明细!$G$4:$G$603,$Z1079-5200))=0,"",N(INDEX(次果筐明细!$G$4:$G$603,$Z1079-5200)))),"")))))</f>
        <v/>
      </c>
      <c r="P1079" s="40" t="str">
        <f>IF($Z1079="","",IF($Z1079&lt;=2000,"",IF($Z1079&lt;=4000,IF(N(INDEX(周转筐出入库明细!$I$4:$I$2004,$Z1079-2000))=0,"",N(INDEX(周转筐出入库明细!$I$4:$I$2004,$Z1079-2000))),IF($Z1079&lt;=5200,"",IF($Z1079&lt;=5800,IF(ISNUMBER(SEARCH("退",INDEX(次果筐明细!$F$4:$F$603,$Z1079-5200)&amp;"")),IF(N(INDEX(次果筐明细!$G$4:$G$603,$Z1079-5200))=0,"",N(INDEX(次果筐明细!$G$4:$G$603,$Z1079-5200))),""),"")))))</f>
        <v/>
      </c>
      <c r="Q1079" s="40" t="str">
        <f>IF($Z1079="","",IF($Z1079&lt;=2000,"",IF($Z1079&lt;=4000,IF(N(INDEX(周转筐出入库明细!$H$4:$H$2004,$Z1079-2000))=0,"",N(INDEX(周转筐出入库明细!$H$4:$H$2004,$Z1079-2000))),IF($Z1079&lt;=5200,IF(N(INDEX(客户自备加工筐明细!$F$4:$F$1203,$Z1079-4000))=0,"",N(INDEX(客户自备加工筐明细!$F$4:$F$1203,$Z1079-4000))),IF($Z1079&lt;=5800,"","")))))</f>
        <v/>
      </c>
      <c r="R1079" s="16" t="str">
        <f>IF($Z1079="","",IF($Z1079&lt;=2000,IF(INDEX(包装物料出入库明细!$O$4:$O$2003,$Z1079-0)=0,"",INDEX(包装物料出入库明细!$O$4:$O$2003,$Z1079-0)),IF($Z1079&lt;=4000,IF(INDEX(周转筐出入库明细!$M$4:$M$2004,$Z1079-2000)=0,"",INDEX(周转筐出入库明细!$M$4:$M$2004,$Z1079-2000)),IF($Z1079&lt;=5200,IF(INDEX(客户自备加工筐明细!$H$4:$H$1203,$Z1079-4000)=0,"",INDEX(客户自备加工筐明细!$H$4:$H$1203,$Z1079-4000)),IF($Z1079&lt;=5800,IF(INDEX(次果筐明细!$H$4:$H$603,$Z1079-5200)=0,"",INDEX(次果筐明细!$H$4:$H$603,$Z1079-5200)),"")))))</f>
        <v/>
      </c>
      <c r="S1079" s="22" t="str">
        <f t="shared" si="50"/>
        <v/>
      </c>
      <c r="Z1079" s="10" t="str">
        <f>IFERROR(MATCH(ROW()-3,_自动清单!$CQ$4:$CQ$5803,0),"")</f>
        <v/>
      </c>
    </row>
    <row r="1080" spans="1:26">
      <c r="A1080" s="24" t="str">
        <f t="shared" si="48"/>
        <v/>
      </c>
      <c r="B1080" s="38" t="str">
        <f>IF($Z1080="","",IF($Z1080&lt;=2000,IF(INDEX(包装物料出入库明细!$B$4:$B$2003,$Z1080-0)=0,"",INDEX(包装物料出入库明细!$B$4:$B$2003,$Z1080-0)),IF($Z1080&lt;=4000,IF(INDEX(周转筐出入库明细!$B$4:$B$2004,$Z1080-2000)=0,"",INDEX(周转筐出入库明细!$B$4:$B$2004,$Z1080-2000)),IF($Z1080&lt;=5200,IF(INDEX(客户自备加工筐明细!$B$4:$B$1203,$Z1080-4000)=0,"",INDEX(客户自备加工筐明细!$B$4:$B$1203,$Z1080-4000)),IF($Z1080&lt;=5800,IF(INDEX(次果筐明细!$B$4:$B$603,$Z1080-5200)=0,"",INDEX(次果筐明细!$B$4:$B$603,$Z1080-5200)),"")))))</f>
        <v/>
      </c>
      <c r="C1080" s="37" t="str">
        <f>IF($Z1080="","",IF($Z1080&lt;=2000,IF(INDEX(包装物料出入库明细!$D$4:$D$2003,$Z1080-0)=0,"",INDEX(包装物料出入库明细!$D$4:$D$2003,$Z1080-0)),IF($Z1080&lt;=4000,IF(INDEX(周转筐出入库明细!$C$4:$C$2004,$Z1080-2000)=0,"",INDEX(周转筐出入库明细!$C$4:$C$2004,$Z1080-2000)),IF($Z1080&lt;=5200,IF(INDEX(客户自备加工筐明细!$E$4:$E$1203,$Z1080-4000)=0,"",INDEX(客户自备加工筐明细!$E$4:$E$1203,$Z1080-4000)),IF($Z1080&lt;=5800,IF(INDEX(次果筐明细!$C$4:$C$603,$Z1080-5200)=0,"",INDEX(次果筐明细!$C$4:$C$603,$Z1080-5200)),"")))))</f>
        <v/>
      </c>
      <c r="D1080" s="37" t="str">
        <f>IF($Z1080="","",IF($Z1080&lt;=2000,"包装物料－"&amp;INDEX(包装物料出入库明细!$H$4:$H$2003,$Z1080-0),IF($Z1080&lt;=4000,"周转筐－"&amp;INDEX(周转筐出入库明细!$F$4:$F$2004,$Z1080-2000),IF($Z1080&lt;=5200,"客户自备筐－"&amp;INDEX(客户自备加工筐明细!$J$4:$J$1203,$Z1080-4000),IF($Z1080&lt;=5800,"次果筐/托盘－"&amp;INDEX(次果筐明细!$F$4:$F$603,$Z1080-5200),"")))))</f>
        <v/>
      </c>
      <c r="E1080" s="24" t="str">
        <f>IF($Z1080="","",IF($Z1080&lt;=2000,IF(INDEX(包装物料出入库明细!$C$4:$C$2003,$Z1080-0)=0,"",INDEX(包装物料出入库明细!$C$4:$C$2003,$Z1080-0)),IF($Z1080&lt;=4000,IF(INDEX(周转筐出入库明细!$E$4:$E$2004,$Z1080-2000)=0,"",INDEX(周转筐出入库明细!$E$4:$E$2004,$Z1080-2000)),IF($Z1080&lt;=5200,IF(INDEX(客户自备加工筐明细!$D$4:$D$1203,$Z1080-4000)=0,"",INDEX(客户自备加工筐明细!$D$4:$D$1203,$Z1080-4000)),IF($Z1080&lt;=5800,IF(INDEX(次果筐明细!$E$4:$E$603,$Z1080-5200)=0,"",INDEX(次果筐明细!$E$4:$E$603,$Z1080-5200)),"")))))</f>
        <v/>
      </c>
      <c r="F1080" s="24" t="str">
        <f>IF($Z1080="","",IF($Z1080&lt;=2000,IF(INDEX(包装物料出入库明细!$E$4:$E$2003,$Z1080-0)=0,"",INDEX(包装物料出入库明细!$E$4:$E$2003,$Z1080-0)),IF($Z1080&lt;=4000,IF(INDEX(周转筐出入库明细!$D$4:$D$2004,$Z1080-2000)=0,"",INDEX(周转筐出入库明细!$D$4:$D$2004,$Z1080-2000)),IF($Z1080&lt;=5200,IF(INDEX(客户自备加工筐明细!$C$4:$C$1203,$Z1080-4000)=0,"",INDEX(客户自备加工筐明细!$C$4:$C$1203,$Z1080-4000)),IF($Z1080&lt;=5800,IF(INDEX(次果筐明细!$D$4:$D$603,$Z1080-5200)=0,"",INDEX(次果筐明细!$D$4:$D$603,$Z1080-5200)),"")))))</f>
        <v/>
      </c>
      <c r="G1080" s="24" t="str">
        <f>IF($Z1080="","",IF($Z1080&lt;=2000,IF(INDEX(包装物料出入库明细!$F$4:$F$2003,$Z1080-0)=0,"",INDEX(包装物料出入库明细!$F$4:$F$2003,$Z1080-0)),IF($Z1080&lt;=4000,"",IF($Z1080&lt;=5200,"",IF($Z1080&lt;=5800,"","")))))</f>
        <v/>
      </c>
      <c r="H1080" s="39" t="str">
        <f>IF($Z1080="","",IF($Z1080&lt;=2000,IF(INDEX(包装物料出入库明细!$L$4:$L$2003,$Z1080-0)=0,"",INDEX(包装物料出入库明细!$L$4:$L$2003,$Z1080-0)),IF($Z1080&lt;=4000,N(INDEX(周转筐出入库明细!$H$4:$H$2004,$Z1080-2000))+N(INDEX(周转筐出入库明细!$I$4:$I$2004,$Z1080-2000))+N(INDEX(周转筐出入库明细!$J$4:$J$2004,$Z1080-2000))+N(INDEX(周转筐出入库明细!$K$4:$K$2004,$Z1080-2000)),IF($Z1080&lt;=5200,N(INDEX(客户自备加工筐明细!$F$4:$F$1203,$Z1080-4000))+N(INDEX(客户自备加工筐明细!$G$4:$G$1203,$Z1080-4000)),IF($Z1080&lt;=5800,IF(INDEX(次果筐明细!$G$4:$G$603,$Z1080-5200)=0,"",INDEX(次果筐明细!$G$4:$G$603,$Z1080-5200)),"")))))</f>
        <v/>
      </c>
      <c r="I1080" s="24" t="str">
        <f>IF($Z1080="","",IF($Z1080&lt;=2000,IF(INDEX(包装物料出入库明细!$G$4:$G$2003,$Z1080-0)=0,"",INDEX(包装物料出入库明细!$G$4:$G$2003,$Z1080-0)),IF($Z1080&lt;=4000,"个",IF($Z1080&lt;=5200,"个",IF($Z1080&lt;=5800,"个","")))))</f>
        <v/>
      </c>
      <c r="J1080" s="30" t="str">
        <f t="shared" si="49"/>
        <v/>
      </c>
      <c r="K1080" s="30" t="str">
        <f>IF($Z1080="","",IF($Z1080&lt;=2000,IF(INDEX(包装物料出入库明细!$N$4:$N$2003,$Z1080-0)=0,"",INDEX(包装物料出入库明细!$N$4:$N$2003,$Z1080-0)),IF($Z1080&lt;=4000,IF(INDEX(周转筐出入库明细!$P$4:$P$2004,$Z1080-2000)=0,"",INDEX(周转筐出入库明细!$P$4:$P$2004,$Z1080-2000)),IF($Z1080&lt;=5200,"",IF($Z1080&lt;=5800,N(INDEX(次果筐明细!$L$4:$L$603,$Z1080-5200))+N(INDEX(次果筐明细!$J$4:$J$603,$Z1080-5200)),"")))))</f>
        <v/>
      </c>
      <c r="L1080" s="24" t="str">
        <f>IF($Z1080="","",IF($Z1080&lt;=2000,IF(INDEX(包装物料出入库明细!$P$4:$P$2003,$Z1080-0)=0,"",INDEX(包装物料出入库明细!$P$4:$P$2003,$Z1080-0)),IF($Z1080&lt;=4000,IF(INDEX(周转筐出入库明细!$Q$4:$Q$2004,$Z1080-2000)=0,"",INDEX(周转筐出入库明细!$Q$4:$Q$2004,$Z1080-2000)),IF($Z1080&lt;=5200,"",IF($Z1080&lt;=5800,IF(INDEX(次果筐明细!$M$4:$M$603,$Z1080-5200)=0,"",INDEX(次果筐明细!$M$4:$M$603,$Z1080-5200)),"")))))</f>
        <v/>
      </c>
      <c r="M1080" s="37" t="str">
        <f>IF($Z1080="","",IF($Z1080&lt;=2000,IF(INDEX(包装物料出入库明细!$R$4:$R$2003,$Z1080-0)=0,"",INDEX(包装物料出入库明细!$R$4:$R$2003,$Z1080-0)),IF($Z1080&lt;=4000,IF(INDEX(周转筐出入库明细!$W$4:$W$2004,$Z1080-2000)=0,"",INDEX(周转筐出入库明细!$W$4:$W$2004,$Z1080-2000)),IF($Z1080&lt;=5200,IF(INDEX(客户自备加工筐明细!$L$4:$L$1203,$Z1080-4000)=0,"",INDEX(客户自备加工筐明细!$L$4:$L$1203,$Z1080-4000)),IF($Z1080&lt;=5800,IF(INDEX(次果筐明细!$P$4:$P$603,$Z1080-5200)=0,"",INDEX(次果筐明细!$P$4:$P$603,$Z1080-5200)),"")))))</f>
        <v/>
      </c>
      <c r="N1080" s="16" t="str">
        <f>IF($Z1080="","",IF($Z1080&lt;=2000,"",IF($Z1080&lt;=4000,IF(INDEX(周转筐出入库明细!$D$4:$D$2004,$Z1080-2000)=0,"",INDEX(周转筐出入库明细!$D$4:$D$2004,$Z1080-2000)),IF($Z1080&lt;=5200,IF(INDEX(客户自备加工筐明细!$C$4:$C$1203,$Z1080-4000)=0,"",INDEX(客户自备加工筐明细!$C$4:$C$1203,$Z1080-4000)),IF($Z1080&lt;=5800,IF(INDEX(次果筐明细!$D$4:$D$603,$Z1080-5200)=0,"",INDEX(次果筐明细!$D$4:$D$603,$Z1080-5200)),"")))))</f>
        <v/>
      </c>
      <c r="O1080" s="40" t="str">
        <f>IF($Z1080="","",IF($Z1080&lt;=2000,"",IF($Z1080&lt;=4000,IF(N(INDEX(周转筐出入库明细!$J$4:$J$2004,$Z1080-2000))+N(INDEX(周转筐出入库明细!$K$4:$K$2004,$Z1080-2000))=0,"",N(INDEX(周转筐出入库明细!$J$4:$J$2004,$Z1080-2000))+N(INDEX(周转筐出入库明细!$K$4:$K$2004,$Z1080-2000))),IF($Z1080&lt;=5200,IF(N(INDEX(客户自备加工筐明细!$G$4:$G$1203,$Z1080-4000))=0,"",N(INDEX(客户自备加工筐明细!$G$4:$G$1203,$Z1080-4000))),IF($Z1080&lt;=5800,IF(ISNUMBER(SEARCH("退",INDEX(次果筐明细!$F$4:$F$603,$Z1080-5200)&amp;"")),"",IF(N(INDEX(次果筐明细!$G$4:$G$603,$Z1080-5200))=0,"",N(INDEX(次果筐明细!$G$4:$G$603,$Z1080-5200)))),"")))))</f>
        <v/>
      </c>
      <c r="P1080" s="40" t="str">
        <f>IF($Z1080="","",IF($Z1080&lt;=2000,"",IF($Z1080&lt;=4000,IF(N(INDEX(周转筐出入库明细!$I$4:$I$2004,$Z1080-2000))=0,"",N(INDEX(周转筐出入库明细!$I$4:$I$2004,$Z1080-2000))),IF($Z1080&lt;=5200,"",IF($Z1080&lt;=5800,IF(ISNUMBER(SEARCH("退",INDEX(次果筐明细!$F$4:$F$603,$Z1080-5200)&amp;"")),IF(N(INDEX(次果筐明细!$G$4:$G$603,$Z1080-5200))=0,"",N(INDEX(次果筐明细!$G$4:$G$603,$Z1080-5200))),""),"")))))</f>
        <v/>
      </c>
      <c r="Q1080" s="40" t="str">
        <f>IF($Z1080="","",IF($Z1080&lt;=2000,"",IF($Z1080&lt;=4000,IF(N(INDEX(周转筐出入库明细!$H$4:$H$2004,$Z1080-2000))=0,"",N(INDEX(周转筐出入库明细!$H$4:$H$2004,$Z1080-2000))),IF($Z1080&lt;=5200,IF(N(INDEX(客户自备加工筐明细!$F$4:$F$1203,$Z1080-4000))=0,"",N(INDEX(客户自备加工筐明细!$F$4:$F$1203,$Z1080-4000))),IF($Z1080&lt;=5800,"","")))))</f>
        <v/>
      </c>
      <c r="R1080" s="16" t="str">
        <f>IF($Z1080="","",IF($Z1080&lt;=2000,IF(INDEX(包装物料出入库明细!$O$4:$O$2003,$Z1080-0)=0,"",INDEX(包装物料出入库明细!$O$4:$O$2003,$Z1080-0)),IF($Z1080&lt;=4000,IF(INDEX(周转筐出入库明细!$M$4:$M$2004,$Z1080-2000)=0,"",INDEX(周转筐出入库明细!$M$4:$M$2004,$Z1080-2000)),IF($Z1080&lt;=5200,IF(INDEX(客户自备加工筐明细!$H$4:$H$1203,$Z1080-4000)=0,"",INDEX(客户自备加工筐明细!$H$4:$H$1203,$Z1080-4000)),IF($Z1080&lt;=5800,IF(INDEX(次果筐明细!$H$4:$H$603,$Z1080-5200)=0,"",INDEX(次果筐明细!$H$4:$H$603,$Z1080-5200)),"")))))</f>
        <v/>
      </c>
      <c r="S1080" s="22" t="str">
        <f t="shared" si="50"/>
        <v/>
      </c>
      <c r="Z1080" s="10" t="str">
        <f>IFERROR(MATCH(ROW()-3,_自动清单!$CQ$4:$CQ$5803,0),"")</f>
        <v/>
      </c>
    </row>
    <row r="1081" spans="1:26">
      <c r="A1081" s="24" t="str">
        <f t="shared" si="48"/>
        <v/>
      </c>
      <c r="B1081" s="38" t="str">
        <f>IF($Z1081="","",IF($Z1081&lt;=2000,IF(INDEX(包装物料出入库明细!$B$4:$B$2003,$Z1081-0)=0,"",INDEX(包装物料出入库明细!$B$4:$B$2003,$Z1081-0)),IF($Z1081&lt;=4000,IF(INDEX(周转筐出入库明细!$B$4:$B$2004,$Z1081-2000)=0,"",INDEX(周转筐出入库明细!$B$4:$B$2004,$Z1081-2000)),IF($Z1081&lt;=5200,IF(INDEX(客户自备加工筐明细!$B$4:$B$1203,$Z1081-4000)=0,"",INDEX(客户自备加工筐明细!$B$4:$B$1203,$Z1081-4000)),IF($Z1081&lt;=5800,IF(INDEX(次果筐明细!$B$4:$B$603,$Z1081-5200)=0,"",INDEX(次果筐明细!$B$4:$B$603,$Z1081-5200)),"")))))</f>
        <v/>
      </c>
      <c r="C1081" s="37" t="str">
        <f>IF($Z1081="","",IF($Z1081&lt;=2000,IF(INDEX(包装物料出入库明细!$D$4:$D$2003,$Z1081-0)=0,"",INDEX(包装物料出入库明细!$D$4:$D$2003,$Z1081-0)),IF($Z1081&lt;=4000,IF(INDEX(周转筐出入库明细!$C$4:$C$2004,$Z1081-2000)=0,"",INDEX(周转筐出入库明细!$C$4:$C$2004,$Z1081-2000)),IF($Z1081&lt;=5200,IF(INDEX(客户自备加工筐明细!$E$4:$E$1203,$Z1081-4000)=0,"",INDEX(客户自备加工筐明细!$E$4:$E$1203,$Z1081-4000)),IF($Z1081&lt;=5800,IF(INDEX(次果筐明细!$C$4:$C$603,$Z1081-5200)=0,"",INDEX(次果筐明细!$C$4:$C$603,$Z1081-5200)),"")))))</f>
        <v/>
      </c>
      <c r="D1081" s="37" t="str">
        <f>IF($Z1081="","",IF($Z1081&lt;=2000,"包装物料－"&amp;INDEX(包装物料出入库明细!$H$4:$H$2003,$Z1081-0),IF($Z1081&lt;=4000,"周转筐－"&amp;INDEX(周转筐出入库明细!$F$4:$F$2004,$Z1081-2000),IF($Z1081&lt;=5200,"客户自备筐－"&amp;INDEX(客户自备加工筐明细!$J$4:$J$1203,$Z1081-4000),IF($Z1081&lt;=5800,"次果筐/托盘－"&amp;INDEX(次果筐明细!$F$4:$F$603,$Z1081-5200),"")))))</f>
        <v/>
      </c>
      <c r="E1081" s="24" t="str">
        <f>IF($Z1081="","",IF($Z1081&lt;=2000,IF(INDEX(包装物料出入库明细!$C$4:$C$2003,$Z1081-0)=0,"",INDEX(包装物料出入库明细!$C$4:$C$2003,$Z1081-0)),IF($Z1081&lt;=4000,IF(INDEX(周转筐出入库明细!$E$4:$E$2004,$Z1081-2000)=0,"",INDEX(周转筐出入库明细!$E$4:$E$2004,$Z1081-2000)),IF($Z1081&lt;=5200,IF(INDEX(客户自备加工筐明细!$D$4:$D$1203,$Z1081-4000)=0,"",INDEX(客户自备加工筐明细!$D$4:$D$1203,$Z1081-4000)),IF($Z1081&lt;=5800,IF(INDEX(次果筐明细!$E$4:$E$603,$Z1081-5200)=0,"",INDEX(次果筐明细!$E$4:$E$603,$Z1081-5200)),"")))))</f>
        <v/>
      </c>
      <c r="F1081" s="24" t="str">
        <f>IF($Z1081="","",IF($Z1081&lt;=2000,IF(INDEX(包装物料出入库明细!$E$4:$E$2003,$Z1081-0)=0,"",INDEX(包装物料出入库明细!$E$4:$E$2003,$Z1081-0)),IF($Z1081&lt;=4000,IF(INDEX(周转筐出入库明细!$D$4:$D$2004,$Z1081-2000)=0,"",INDEX(周转筐出入库明细!$D$4:$D$2004,$Z1081-2000)),IF($Z1081&lt;=5200,IF(INDEX(客户自备加工筐明细!$C$4:$C$1203,$Z1081-4000)=0,"",INDEX(客户自备加工筐明细!$C$4:$C$1203,$Z1081-4000)),IF($Z1081&lt;=5800,IF(INDEX(次果筐明细!$D$4:$D$603,$Z1081-5200)=0,"",INDEX(次果筐明细!$D$4:$D$603,$Z1081-5200)),"")))))</f>
        <v/>
      </c>
      <c r="G1081" s="24" t="str">
        <f>IF($Z1081="","",IF($Z1081&lt;=2000,IF(INDEX(包装物料出入库明细!$F$4:$F$2003,$Z1081-0)=0,"",INDEX(包装物料出入库明细!$F$4:$F$2003,$Z1081-0)),IF($Z1081&lt;=4000,"",IF($Z1081&lt;=5200,"",IF($Z1081&lt;=5800,"","")))))</f>
        <v/>
      </c>
      <c r="H1081" s="39" t="str">
        <f>IF($Z1081="","",IF($Z1081&lt;=2000,IF(INDEX(包装物料出入库明细!$L$4:$L$2003,$Z1081-0)=0,"",INDEX(包装物料出入库明细!$L$4:$L$2003,$Z1081-0)),IF($Z1081&lt;=4000,N(INDEX(周转筐出入库明细!$H$4:$H$2004,$Z1081-2000))+N(INDEX(周转筐出入库明细!$I$4:$I$2004,$Z1081-2000))+N(INDEX(周转筐出入库明细!$J$4:$J$2004,$Z1081-2000))+N(INDEX(周转筐出入库明细!$K$4:$K$2004,$Z1081-2000)),IF($Z1081&lt;=5200,N(INDEX(客户自备加工筐明细!$F$4:$F$1203,$Z1081-4000))+N(INDEX(客户自备加工筐明细!$G$4:$G$1203,$Z1081-4000)),IF($Z1081&lt;=5800,IF(INDEX(次果筐明细!$G$4:$G$603,$Z1081-5200)=0,"",INDEX(次果筐明细!$G$4:$G$603,$Z1081-5200)),"")))))</f>
        <v/>
      </c>
      <c r="I1081" s="24" t="str">
        <f>IF($Z1081="","",IF($Z1081&lt;=2000,IF(INDEX(包装物料出入库明细!$G$4:$G$2003,$Z1081-0)=0,"",INDEX(包装物料出入库明细!$G$4:$G$2003,$Z1081-0)),IF($Z1081&lt;=4000,"个",IF($Z1081&lt;=5200,"个",IF($Z1081&lt;=5800,"个","")))))</f>
        <v/>
      </c>
      <c r="J1081" s="30" t="str">
        <f t="shared" si="49"/>
        <v/>
      </c>
      <c r="K1081" s="30" t="str">
        <f>IF($Z1081="","",IF($Z1081&lt;=2000,IF(INDEX(包装物料出入库明细!$N$4:$N$2003,$Z1081-0)=0,"",INDEX(包装物料出入库明细!$N$4:$N$2003,$Z1081-0)),IF($Z1081&lt;=4000,IF(INDEX(周转筐出入库明细!$P$4:$P$2004,$Z1081-2000)=0,"",INDEX(周转筐出入库明细!$P$4:$P$2004,$Z1081-2000)),IF($Z1081&lt;=5200,"",IF($Z1081&lt;=5800,N(INDEX(次果筐明细!$L$4:$L$603,$Z1081-5200))+N(INDEX(次果筐明细!$J$4:$J$603,$Z1081-5200)),"")))))</f>
        <v/>
      </c>
      <c r="L1081" s="24" t="str">
        <f>IF($Z1081="","",IF($Z1081&lt;=2000,IF(INDEX(包装物料出入库明细!$P$4:$P$2003,$Z1081-0)=0,"",INDEX(包装物料出入库明细!$P$4:$P$2003,$Z1081-0)),IF($Z1081&lt;=4000,IF(INDEX(周转筐出入库明细!$Q$4:$Q$2004,$Z1081-2000)=0,"",INDEX(周转筐出入库明细!$Q$4:$Q$2004,$Z1081-2000)),IF($Z1081&lt;=5200,"",IF($Z1081&lt;=5800,IF(INDEX(次果筐明细!$M$4:$M$603,$Z1081-5200)=0,"",INDEX(次果筐明细!$M$4:$M$603,$Z1081-5200)),"")))))</f>
        <v/>
      </c>
      <c r="M1081" s="37" t="str">
        <f>IF($Z1081="","",IF($Z1081&lt;=2000,IF(INDEX(包装物料出入库明细!$R$4:$R$2003,$Z1081-0)=0,"",INDEX(包装物料出入库明细!$R$4:$R$2003,$Z1081-0)),IF($Z1081&lt;=4000,IF(INDEX(周转筐出入库明细!$W$4:$W$2004,$Z1081-2000)=0,"",INDEX(周转筐出入库明细!$W$4:$W$2004,$Z1081-2000)),IF($Z1081&lt;=5200,IF(INDEX(客户自备加工筐明细!$L$4:$L$1203,$Z1081-4000)=0,"",INDEX(客户自备加工筐明细!$L$4:$L$1203,$Z1081-4000)),IF($Z1081&lt;=5800,IF(INDEX(次果筐明细!$P$4:$P$603,$Z1081-5200)=0,"",INDEX(次果筐明细!$P$4:$P$603,$Z1081-5200)),"")))))</f>
        <v/>
      </c>
      <c r="N1081" s="16" t="str">
        <f>IF($Z1081="","",IF($Z1081&lt;=2000,"",IF($Z1081&lt;=4000,IF(INDEX(周转筐出入库明细!$D$4:$D$2004,$Z1081-2000)=0,"",INDEX(周转筐出入库明细!$D$4:$D$2004,$Z1081-2000)),IF($Z1081&lt;=5200,IF(INDEX(客户自备加工筐明细!$C$4:$C$1203,$Z1081-4000)=0,"",INDEX(客户自备加工筐明细!$C$4:$C$1203,$Z1081-4000)),IF($Z1081&lt;=5800,IF(INDEX(次果筐明细!$D$4:$D$603,$Z1081-5200)=0,"",INDEX(次果筐明细!$D$4:$D$603,$Z1081-5200)),"")))))</f>
        <v/>
      </c>
      <c r="O1081" s="40" t="str">
        <f>IF($Z1081="","",IF($Z1081&lt;=2000,"",IF($Z1081&lt;=4000,IF(N(INDEX(周转筐出入库明细!$J$4:$J$2004,$Z1081-2000))+N(INDEX(周转筐出入库明细!$K$4:$K$2004,$Z1081-2000))=0,"",N(INDEX(周转筐出入库明细!$J$4:$J$2004,$Z1081-2000))+N(INDEX(周转筐出入库明细!$K$4:$K$2004,$Z1081-2000))),IF($Z1081&lt;=5200,IF(N(INDEX(客户自备加工筐明细!$G$4:$G$1203,$Z1081-4000))=0,"",N(INDEX(客户自备加工筐明细!$G$4:$G$1203,$Z1081-4000))),IF($Z1081&lt;=5800,IF(ISNUMBER(SEARCH("退",INDEX(次果筐明细!$F$4:$F$603,$Z1081-5200)&amp;"")),"",IF(N(INDEX(次果筐明细!$G$4:$G$603,$Z1081-5200))=0,"",N(INDEX(次果筐明细!$G$4:$G$603,$Z1081-5200)))),"")))))</f>
        <v/>
      </c>
      <c r="P1081" s="40" t="str">
        <f>IF($Z1081="","",IF($Z1081&lt;=2000,"",IF($Z1081&lt;=4000,IF(N(INDEX(周转筐出入库明细!$I$4:$I$2004,$Z1081-2000))=0,"",N(INDEX(周转筐出入库明细!$I$4:$I$2004,$Z1081-2000))),IF($Z1081&lt;=5200,"",IF($Z1081&lt;=5800,IF(ISNUMBER(SEARCH("退",INDEX(次果筐明细!$F$4:$F$603,$Z1081-5200)&amp;"")),IF(N(INDEX(次果筐明细!$G$4:$G$603,$Z1081-5200))=0,"",N(INDEX(次果筐明细!$G$4:$G$603,$Z1081-5200))),""),"")))))</f>
        <v/>
      </c>
      <c r="Q1081" s="40" t="str">
        <f>IF($Z1081="","",IF($Z1081&lt;=2000,"",IF($Z1081&lt;=4000,IF(N(INDEX(周转筐出入库明细!$H$4:$H$2004,$Z1081-2000))=0,"",N(INDEX(周转筐出入库明细!$H$4:$H$2004,$Z1081-2000))),IF($Z1081&lt;=5200,IF(N(INDEX(客户自备加工筐明细!$F$4:$F$1203,$Z1081-4000))=0,"",N(INDEX(客户自备加工筐明细!$F$4:$F$1203,$Z1081-4000))),IF($Z1081&lt;=5800,"","")))))</f>
        <v/>
      </c>
      <c r="R1081" s="16" t="str">
        <f>IF($Z1081="","",IF($Z1081&lt;=2000,IF(INDEX(包装物料出入库明细!$O$4:$O$2003,$Z1081-0)=0,"",INDEX(包装物料出入库明细!$O$4:$O$2003,$Z1081-0)),IF($Z1081&lt;=4000,IF(INDEX(周转筐出入库明细!$M$4:$M$2004,$Z1081-2000)=0,"",INDEX(周转筐出入库明细!$M$4:$M$2004,$Z1081-2000)),IF($Z1081&lt;=5200,IF(INDEX(客户自备加工筐明细!$H$4:$H$1203,$Z1081-4000)=0,"",INDEX(客户自备加工筐明细!$H$4:$H$1203,$Z1081-4000)),IF($Z1081&lt;=5800,IF(INDEX(次果筐明细!$H$4:$H$603,$Z1081-5200)=0,"",INDEX(次果筐明细!$H$4:$H$603,$Z1081-5200)),"")))))</f>
        <v/>
      </c>
      <c r="S1081" s="22" t="str">
        <f t="shared" si="50"/>
        <v/>
      </c>
      <c r="Z1081" s="10" t="str">
        <f>IFERROR(MATCH(ROW()-3,_自动清单!$CQ$4:$CQ$5803,0),"")</f>
        <v/>
      </c>
    </row>
    <row r="1082" spans="1:26">
      <c r="A1082" s="24" t="str">
        <f t="shared" si="48"/>
        <v/>
      </c>
      <c r="B1082" s="38" t="str">
        <f>IF($Z1082="","",IF($Z1082&lt;=2000,IF(INDEX(包装物料出入库明细!$B$4:$B$2003,$Z1082-0)=0,"",INDEX(包装物料出入库明细!$B$4:$B$2003,$Z1082-0)),IF($Z1082&lt;=4000,IF(INDEX(周转筐出入库明细!$B$4:$B$2004,$Z1082-2000)=0,"",INDEX(周转筐出入库明细!$B$4:$B$2004,$Z1082-2000)),IF($Z1082&lt;=5200,IF(INDEX(客户自备加工筐明细!$B$4:$B$1203,$Z1082-4000)=0,"",INDEX(客户自备加工筐明细!$B$4:$B$1203,$Z1082-4000)),IF($Z1082&lt;=5800,IF(INDEX(次果筐明细!$B$4:$B$603,$Z1082-5200)=0,"",INDEX(次果筐明细!$B$4:$B$603,$Z1082-5200)),"")))))</f>
        <v/>
      </c>
      <c r="C1082" s="37" t="str">
        <f>IF($Z1082="","",IF($Z1082&lt;=2000,IF(INDEX(包装物料出入库明细!$D$4:$D$2003,$Z1082-0)=0,"",INDEX(包装物料出入库明细!$D$4:$D$2003,$Z1082-0)),IF($Z1082&lt;=4000,IF(INDEX(周转筐出入库明细!$C$4:$C$2004,$Z1082-2000)=0,"",INDEX(周转筐出入库明细!$C$4:$C$2004,$Z1082-2000)),IF($Z1082&lt;=5200,IF(INDEX(客户自备加工筐明细!$E$4:$E$1203,$Z1082-4000)=0,"",INDEX(客户自备加工筐明细!$E$4:$E$1203,$Z1082-4000)),IF($Z1082&lt;=5800,IF(INDEX(次果筐明细!$C$4:$C$603,$Z1082-5200)=0,"",INDEX(次果筐明细!$C$4:$C$603,$Z1082-5200)),"")))))</f>
        <v/>
      </c>
      <c r="D1082" s="37" t="str">
        <f>IF($Z1082="","",IF($Z1082&lt;=2000,"包装物料－"&amp;INDEX(包装物料出入库明细!$H$4:$H$2003,$Z1082-0),IF($Z1082&lt;=4000,"周转筐－"&amp;INDEX(周转筐出入库明细!$F$4:$F$2004,$Z1082-2000),IF($Z1082&lt;=5200,"客户自备筐－"&amp;INDEX(客户自备加工筐明细!$J$4:$J$1203,$Z1082-4000),IF($Z1082&lt;=5800,"次果筐/托盘－"&amp;INDEX(次果筐明细!$F$4:$F$603,$Z1082-5200),"")))))</f>
        <v/>
      </c>
      <c r="E1082" s="24" t="str">
        <f>IF($Z1082="","",IF($Z1082&lt;=2000,IF(INDEX(包装物料出入库明细!$C$4:$C$2003,$Z1082-0)=0,"",INDEX(包装物料出入库明细!$C$4:$C$2003,$Z1082-0)),IF($Z1082&lt;=4000,IF(INDEX(周转筐出入库明细!$E$4:$E$2004,$Z1082-2000)=0,"",INDEX(周转筐出入库明细!$E$4:$E$2004,$Z1082-2000)),IF($Z1082&lt;=5200,IF(INDEX(客户自备加工筐明细!$D$4:$D$1203,$Z1082-4000)=0,"",INDEX(客户自备加工筐明细!$D$4:$D$1203,$Z1082-4000)),IF($Z1082&lt;=5800,IF(INDEX(次果筐明细!$E$4:$E$603,$Z1082-5200)=0,"",INDEX(次果筐明细!$E$4:$E$603,$Z1082-5200)),"")))))</f>
        <v/>
      </c>
      <c r="F1082" s="24" t="str">
        <f>IF($Z1082="","",IF($Z1082&lt;=2000,IF(INDEX(包装物料出入库明细!$E$4:$E$2003,$Z1082-0)=0,"",INDEX(包装物料出入库明细!$E$4:$E$2003,$Z1082-0)),IF($Z1082&lt;=4000,IF(INDEX(周转筐出入库明细!$D$4:$D$2004,$Z1082-2000)=0,"",INDEX(周转筐出入库明细!$D$4:$D$2004,$Z1082-2000)),IF($Z1082&lt;=5200,IF(INDEX(客户自备加工筐明细!$C$4:$C$1203,$Z1082-4000)=0,"",INDEX(客户自备加工筐明细!$C$4:$C$1203,$Z1082-4000)),IF($Z1082&lt;=5800,IF(INDEX(次果筐明细!$D$4:$D$603,$Z1082-5200)=0,"",INDEX(次果筐明细!$D$4:$D$603,$Z1082-5200)),"")))))</f>
        <v/>
      </c>
      <c r="G1082" s="24" t="str">
        <f>IF($Z1082="","",IF($Z1082&lt;=2000,IF(INDEX(包装物料出入库明细!$F$4:$F$2003,$Z1082-0)=0,"",INDEX(包装物料出入库明细!$F$4:$F$2003,$Z1082-0)),IF($Z1082&lt;=4000,"",IF($Z1082&lt;=5200,"",IF($Z1082&lt;=5800,"","")))))</f>
        <v/>
      </c>
      <c r="H1082" s="39" t="str">
        <f>IF($Z1082="","",IF($Z1082&lt;=2000,IF(INDEX(包装物料出入库明细!$L$4:$L$2003,$Z1082-0)=0,"",INDEX(包装物料出入库明细!$L$4:$L$2003,$Z1082-0)),IF($Z1082&lt;=4000,N(INDEX(周转筐出入库明细!$H$4:$H$2004,$Z1082-2000))+N(INDEX(周转筐出入库明细!$I$4:$I$2004,$Z1082-2000))+N(INDEX(周转筐出入库明细!$J$4:$J$2004,$Z1082-2000))+N(INDEX(周转筐出入库明细!$K$4:$K$2004,$Z1082-2000)),IF($Z1082&lt;=5200,N(INDEX(客户自备加工筐明细!$F$4:$F$1203,$Z1082-4000))+N(INDEX(客户自备加工筐明细!$G$4:$G$1203,$Z1082-4000)),IF($Z1082&lt;=5800,IF(INDEX(次果筐明细!$G$4:$G$603,$Z1082-5200)=0,"",INDEX(次果筐明细!$G$4:$G$603,$Z1082-5200)),"")))))</f>
        <v/>
      </c>
      <c r="I1082" s="24" t="str">
        <f>IF($Z1082="","",IF($Z1082&lt;=2000,IF(INDEX(包装物料出入库明细!$G$4:$G$2003,$Z1082-0)=0,"",INDEX(包装物料出入库明细!$G$4:$G$2003,$Z1082-0)),IF($Z1082&lt;=4000,"个",IF($Z1082&lt;=5200,"个",IF($Z1082&lt;=5800,"个","")))))</f>
        <v/>
      </c>
      <c r="J1082" s="30" t="str">
        <f t="shared" si="49"/>
        <v/>
      </c>
      <c r="K1082" s="30" t="str">
        <f>IF($Z1082="","",IF($Z1082&lt;=2000,IF(INDEX(包装物料出入库明细!$N$4:$N$2003,$Z1082-0)=0,"",INDEX(包装物料出入库明细!$N$4:$N$2003,$Z1082-0)),IF($Z1082&lt;=4000,IF(INDEX(周转筐出入库明细!$P$4:$P$2004,$Z1082-2000)=0,"",INDEX(周转筐出入库明细!$P$4:$P$2004,$Z1082-2000)),IF($Z1082&lt;=5200,"",IF($Z1082&lt;=5800,N(INDEX(次果筐明细!$L$4:$L$603,$Z1082-5200))+N(INDEX(次果筐明细!$J$4:$J$603,$Z1082-5200)),"")))))</f>
        <v/>
      </c>
      <c r="L1082" s="24" t="str">
        <f>IF($Z1082="","",IF($Z1082&lt;=2000,IF(INDEX(包装物料出入库明细!$P$4:$P$2003,$Z1082-0)=0,"",INDEX(包装物料出入库明细!$P$4:$P$2003,$Z1082-0)),IF($Z1082&lt;=4000,IF(INDEX(周转筐出入库明细!$Q$4:$Q$2004,$Z1082-2000)=0,"",INDEX(周转筐出入库明细!$Q$4:$Q$2004,$Z1082-2000)),IF($Z1082&lt;=5200,"",IF($Z1082&lt;=5800,IF(INDEX(次果筐明细!$M$4:$M$603,$Z1082-5200)=0,"",INDEX(次果筐明细!$M$4:$M$603,$Z1082-5200)),"")))))</f>
        <v/>
      </c>
      <c r="M1082" s="37" t="str">
        <f>IF($Z1082="","",IF($Z1082&lt;=2000,IF(INDEX(包装物料出入库明细!$R$4:$R$2003,$Z1082-0)=0,"",INDEX(包装物料出入库明细!$R$4:$R$2003,$Z1082-0)),IF($Z1082&lt;=4000,IF(INDEX(周转筐出入库明细!$W$4:$W$2004,$Z1082-2000)=0,"",INDEX(周转筐出入库明细!$W$4:$W$2004,$Z1082-2000)),IF($Z1082&lt;=5200,IF(INDEX(客户自备加工筐明细!$L$4:$L$1203,$Z1082-4000)=0,"",INDEX(客户自备加工筐明细!$L$4:$L$1203,$Z1082-4000)),IF($Z1082&lt;=5800,IF(INDEX(次果筐明细!$P$4:$P$603,$Z1082-5200)=0,"",INDEX(次果筐明细!$P$4:$P$603,$Z1082-5200)),"")))))</f>
        <v/>
      </c>
      <c r="N1082" s="16" t="str">
        <f>IF($Z1082="","",IF($Z1082&lt;=2000,"",IF($Z1082&lt;=4000,IF(INDEX(周转筐出入库明细!$D$4:$D$2004,$Z1082-2000)=0,"",INDEX(周转筐出入库明细!$D$4:$D$2004,$Z1082-2000)),IF($Z1082&lt;=5200,IF(INDEX(客户自备加工筐明细!$C$4:$C$1203,$Z1082-4000)=0,"",INDEX(客户自备加工筐明细!$C$4:$C$1203,$Z1082-4000)),IF($Z1082&lt;=5800,IF(INDEX(次果筐明细!$D$4:$D$603,$Z1082-5200)=0,"",INDEX(次果筐明细!$D$4:$D$603,$Z1082-5200)),"")))))</f>
        <v/>
      </c>
      <c r="O1082" s="40" t="str">
        <f>IF($Z1082="","",IF($Z1082&lt;=2000,"",IF($Z1082&lt;=4000,IF(N(INDEX(周转筐出入库明细!$J$4:$J$2004,$Z1082-2000))+N(INDEX(周转筐出入库明细!$K$4:$K$2004,$Z1082-2000))=0,"",N(INDEX(周转筐出入库明细!$J$4:$J$2004,$Z1082-2000))+N(INDEX(周转筐出入库明细!$K$4:$K$2004,$Z1082-2000))),IF($Z1082&lt;=5200,IF(N(INDEX(客户自备加工筐明细!$G$4:$G$1203,$Z1082-4000))=0,"",N(INDEX(客户自备加工筐明细!$G$4:$G$1203,$Z1082-4000))),IF($Z1082&lt;=5800,IF(ISNUMBER(SEARCH("退",INDEX(次果筐明细!$F$4:$F$603,$Z1082-5200)&amp;"")),"",IF(N(INDEX(次果筐明细!$G$4:$G$603,$Z1082-5200))=0,"",N(INDEX(次果筐明细!$G$4:$G$603,$Z1082-5200)))),"")))))</f>
        <v/>
      </c>
      <c r="P1082" s="40" t="str">
        <f>IF($Z1082="","",IF($Z1082&lt;=2000,"",IF($Z1082&lt;=4000,IF(N(INDEX(周转筐出入库明细!$I$4:$I$2004,$Z1082-2000))=0,"",N(INDEX(周转筐出入库明细!$I$4:$I$2004,$Z1082-2000))),IF($Z1082&lt;=5200,"",IF($Z1082&lt;=5800,IF(ISNUMBER(SEARCH("退",INDEX(次果筐明细!$F$4:$F$603,$Z1082-5200)&amp;"")),IF(N(INDEX(次果筐明细!$G$4:$G$603,$Z1082-5200))=0,"",N(INDEX(次果筐明细!$G$4:$G$603,$Z1082-5200))),""),"")))))</f>
        <v/>
      </c>
      <c r="Q1082" s="40" t="str">
        <f>IF($Z1082="","",IF($Z1082&lt;=2000,"",IF($Z1082&lt;=4000,IF(N(INDEX(周转筐出入库明细!$H$4:$H$2004,$Z1082-2000))=0,"",N(INDEX(周转筐出入库明细!$H$4:$H$2004,$Z1082-2000))),IF($Z1082&lt;=5200,IF(N(INDEX(客户自备加工筐明细!$F$4:$F$1203,$Z1082-4000))=0,"",N(INDEX(客户自备加工筐明细!$F$4:$F$1203,$Z1082-4000))),IF($Z1082&lt;=5800,"","")))))</f>
        <v/>
      </c>
      <c r="R1082" s="16" t="str">
        <f>IF($Z1082="","",IF($Z1082&lt;=2000,IF(INDEX(包装物料出入库明细!$O$4:$O$2003,$Z1082-0)=0,"",INDEX(包装物料出入库明细!$O$4:$O$2003,$Z1082-0)),IF($Z1082&lt;=4000,IF(INDEX(周转筐出入库明细!$M$4:$M$2004,$Z1082-2000)=0,"",INDEX(周转筐出入库明细!$M$4:$M$2004,$Z1082-2000)),IF($Z1082&lt;=5200,IF(INDEX(客户自备加工筐明细!$H$4:$H$1203,$Z1082-4000)=0,"",INDEX(客户自备加工筐明细!$H$4:$H$1203,$Z1082-4000)),IF($Z1082&lt;=5800,IF(INDEX(次果筐明细!$H$4:$H$603,$Z1082-5200)=0,"",INDEX(次果筐明细!$H$4:$H$603,$Z1082-5200)),"")))))</f>
        <v/>
      </c>
      <c r="S1082" s="22" t="str">
        <f t="shared" si="50"/>
        <v/>
      </c>
      <c r="Z1082" s="10" t="str">
        <f>IFERROR(MATCH(ROW()-3,_自动清单!$CQ$4:$CQ$5803,0),"")</f>
        <v/>
      </c>
    </row>
    <row r="1083" spans="1:26">
      <c r="A1083" s="24" t="str">
        <f t="shared" si="48"/>
        <v/>
      </c>
      <c r="B1083" s="38" t="str">
        <f>IF($Z1083="","",IF($Z1083&lt;=2000,IF(INDEX(包装物料出入库明细!$B$4:$B$2003,$Z1083-0)=0,"",INDEX(包装物料出入库明细!$B$4:$B$2003,$Z1083-0)),IF($Z1083&lt;=4000,IF(INDEX(周转筐出入库明细!$B$4:$B$2004,$Z1083-2000)=0,"",INDEX(周转筐出入库明细!$B$4:$B$2004,$Z1083-2000)),IF($Z1083&lt;=5200,IF(INDEX(客户自备加工筐明细!$B$4:$B$1203,$Z1083-4000)=0,"",INDEX(客户自备加工筐明细!$B$4:$B$1203,$Z1083-4000)),IF($Z1083&lt;=5800,IF(INDEX(次果筐明细!$B$4:$B$603,$Z1083-5200)=0,"",INDEX(次果筐明细!$B$4:$B$603,$Z1083-5200)),"")))))</f>
        <v/>
      </c>
      <c r="C1083" s="37" t="str">
        <f>IF($Z1083="","",IF($Z1083&lt;=2000,IF(INDEX(包装物料出入库明细!$D$4:$D$2003,$Z1083-0)=0,"",INDEX(包装物料出入库明细!$D$4:$D$2003,$Z1083-0)),IF($Z1083&lt;=4000,IF(INDEX(周转筐出入库明细!$C$4:$C$2004,$Z1083-2000)=0,"",INDEX(周转筐出入库明细!$C$4:$C$2004,$Z1083-2000)),IF($Z1083&lt;=5200,IF(INDEX(客户自备加工筐明细!$E$4:$E$1203,$Z1083-4000)=0,"",INDEX(客户自备加工筐明细!$E$4:$E$1203,$Z1083-4000)),IF($Z1083&lt;=5800,IF(INDEX(次果筐明细!$C$4:$C$603,$Z1083-5200)=0,"",INDEX(次果筐明细!$C$4:$C$603,$Z1083-5200)),"")))))</f>
        <v/>
      </c>
      <c r="D1083" s="37" t="str">
        <f>IF($Z1083="","",IF($Z1083&lt;=2000,"包装物料－"&amp;INDEX(包装物料出入库明细!$H$4:$H$2003,$Z1083-0),IF($Z1083&lt;=4000,"周转筐－"&amp;INDEX(周转筐出入库明细!$F$4:$F$2004,$Z1083-2000),IF($Z1083&lt;=5200,"客户自备筐－"&amp;INDEX(客户自备加工筐明细!$J$4:$J$1203,$Z1083-4000),IF($Z1083&lt;=5800,"次果筐/托盘－"&amp;INDEX(次果筐明细!$F$4:$F$603,$Z1083-5200),"")))))</f>
        <v/>
      </c>
      <c r="E1083" s="24" t="str">
        <f>IF($Z1083="","",IF($Z1083&lt;=2000,IF(INDEX(包装物料出入库明细!$C$4:$C$2003,$Z1083-0)=0,"",INDEX(包装物料出入库明细!$C$4:$C$2003,$Z1083-0)),IF($Z1083&lt;=4000,IF(INDEX(周转筐出入库明细!$E$4:$E$2004,$Z1083-2000)=0,"",INDEX(周转筐出入库明细!$E$4:$E$2004,$Z1083-2000)),IF($Z1083&lt;=5200,IF(INDEX(客户自备加工筐明细!$D$4:$D$1203,$Z1083-4000)=0,"",INDEX(客户自备加工筐明细!$D$4:$D$1203,$Z1083-4000)),IF($Z1083&lt;=5800,IF(INDEX(次果筐明细!$E$4:$E$603,$Z1083-5200)=0,"",INDEX(次果筐明细!$E$4:$E$603,$Z1083-5200)),"")))))</f>
        <v/>
      </c>
      <c r="F1083" s="24" t="str">
        <f>IF($Z1083="","",IF($Z1083&lt;=2000,IF(INDEX(包装物料出入库明细!$E$4:$E$2003,$Z1083-0)=0,"",INDEX(包装物料出入库明细!$E$4:$E$2003,$Z1083-0)),IF($Z1083&lt;=4000,IF(INDEX(周转筐出入库明细!$D$4:$D$2004,$Z1083-2000)=0,"",INDEX(周转筐出入库明细!$D$4:$D$2004,$Z1083-2000)),IF($Z1083&lt;=5200,IF(INDEX(客户自备加工筐明细!$C$4:$C$1203,$Z1083-4000)=0,"",INDEX(客户自备加工筐明细!$C$4:$C$1203,$Z1083-4000)),IF($Z1083&lt;=5800,IF(INDEX(次果筐明细!$D$4:$D$603,$Z1083-5200)=0,"",INDEX(次果筐明细!$D$4:$D$603,$Z1083-5200)),"")))))</f>
        <v/>
      </c>
      <c r="G1083" s="24" t="str">
        <f>IF($Z1083="","",IF($Z1083&lt;=2000,IF(INDEX(包装物料出入库明细!$F$4:$F$2003,$Z1083-0)=0,"",INDEX(包装物料出入库明细!$F$4:$F$2003,$Z1083-0)),IF($Z1083&lt;=4000,"",IF($Z1083&lt;=5200,"",IF($Z1083&lt;=5800,"","")))))</f>
        <v/>
      </c>
      <c r="H1083" s="39" t="str">
        <f>IF($Z1083="","",IF($Z1083&lt;=2000,IF(INDEX(包装物料出入库明细!$L$4:$L$2003,$Z1083-0)=0,"",INDEX(包装物料出入库明细!$L$4:$L$2003,$Z1083-0)),IF($Z1083&lt;=4000,N(INDEX(周转筐出入库明细!$H$4:$H$2004,$Z1083-2000))+N(INDEX(周转筐出入库明细!$I$4:$I$2004,$Z1083-2000))+N(INDEX(周转筐出入库明细!$J$4:$J$2004,$Z1083-2000))+N(INDEX(周转筐出入库明细!$K$4:$K$2004,$Z1083-2000)),IF($Z1083&lt;=5200,N(INDEX(客户自备加工筐明细!$F$4:$F$1203,$Z1083-4000))+N(INDEX(客户自备加工筐明细!$G$4:$G$1203,$Z1083-4000)),IF($Z1083&lt;=5800,IF(INDEX(次果筐明细!$G$4:$G$603,$Z1083-5200)=0,"",INDEX(次果筐明细!$G$4:$G$603,$Z1083-5200)),"")))))</f>
        <v/>
      </c>
      <c r="I1083" s="24" t="str">
        <f>IF($Z1083="","",IF($Z1083&lt;=2000,IF(INDEX(包装物料出入库明细!$G$4:$G$2003,$Z1083-0)=0,"",INDEX(包装物料出入库明细!$G$4:$G$2003,$Z1083-0)),IF($Z1083&lt;=4000,"个",IF($Z1083&lt;=5200,"个",IF($Z1083&lt;=5800,"个","")))))</f>
        <v/>
      </c>
      <c r="J1083" s="30" t="str">
        <f t="shared" si="49"/>
        <v/>
      </c>
      <c r="K1083" s="30" t="str">
        <f>IF($Z1083="","",IF($Z1083&lt;=2000,IF(INDEX(包装物料出入库明细!$N$4:$N$2003,$Z1083-0)=0,"",INDEX(包装物料出入库明细!$N$4:$N$2003,$Z1083-0)),IF($Z1083&lt;=4000,IF(INDEX(周转筐出入库明细!$P$4:$P$2004,$Z1083-2000)=0,"",INDEX(周转筐出入库明细!$P$4:$P$2004,$Z1083-2000)),IF($Z1083&lt;=5200,"",IF($Z1083&lt;=5800,N(INDEX(次果筐明细!$L$4:$L$603,$Z1083-5200))+N(INDEX(次果筐明细!$J$4:$J$603,$Z1083-5200)),"")))))</f>
        <v/>
      </c>
      <c r="L1083" s="24" t="str">
        <f>IF($Z1083="","",IF($Z1083&lt;=2000,IF(INDEX(包装物料出入库明细!$P$4:$P$2003,$Z1083-0)=0,"",INDEX(包装物料出入库明细!$P$4:$P$2003,$Z1083-0)),IF($Z1083&lt;=4000,IF(INDEX(周转筐出入库明细!$Q$4:$Q$2004,$Z1083-2000)=0,"",INDEX(周转筐出入库明细!$Q$4:$Q$2004,$Z1083-2000)),IF($Z1083&lt;=5200,"",IF($Z1083&lt;=5800,IF(INDEX(次果筐明细!$M$4:$M$603,$Z1083-5200)=0,"",INDEX(次果筐明细!$M$4:$M$603,$Z1083-5200)),"")))))</f>
        <v/>
      </c>
      <c r="M1083" s="37" t="str">
        <f>IF($Z1083="","",IF($Z1083&lt;=2000,IF(INDEX(包装物料出入库明细!$R$4:$R$2003,$Z1083-0)=0,"",INDEX(包装物料出入库明细!$R$4:$R$2003,$Z1083-0)),IF($Z1083&lt;=4000,IF(INDEX(周转筐出入库明细!$W$4:$W$2004,$Z1083-2000)=0,"",INDEX(周转筐出入库明细!$W$4:$W$2004,$Z1083-2000)),IF($Z1083&lt;=5200,IF(INDEX(客户自备加工筐明细!$L$4:$L$1203,$Z1083-4000)=0,"",INDEX(客户自备加工筐明细!$L$4:$L$1203,$Z1083-4000)),IF($Z1083&lt;=5800,IF(INDEX(次果筐明细!$P$4:$P$603,$Z1083-5200)=0,"",INDEX(次果筐明细!$P$4:$P$603,$Z1083-5200)),"")))))</f>
        <v/>
      </c>
      <c r="N1083" s="16" t="str">
        <f>IF($Z1083="","",IF($Z1083&lt;=2000,"",IF($Z1083&lt;=4000,IF(INDEX(周转筐出入库明细!$D$4:$D$2004,$Z1083-2000)=0,"",INDEX(周转筐出入库明细!$D$4:$D$2004,$Z1083-2000)),IF($Z1083&lt;=5200,IF(INDEX(客户自备加工筐明细!$C$4:$C$1203,$Z1083-4000)=0,"",INDEX(客户自备加工筐明细!$C$4:$C$1203,$Z1083-4000)),IF($Z1083&lt;=5800,IF(INDEX(次果筐明细!$D$4:$D$603,$Z1083-5200)=0,"",INDEX(次果筐明细!$D$4:$D$603,$Z1083-5200)),"")))))</f>
        <v/>
      </c>
      <c r="O1083" s="40" t="str">
        <f>IF($Z1083="","",IF($Z1083&lt;=2000,"",IF($Z1083&lt;=4000,IF(N(INDEX(周转筐出入库明细!$J$4:$J$2004,$Z1083-2000))+N(INDEX(周转筐出入库明细!$K$4:$K$2004,$Z1083-2000))=0,"",N(INDEX(周转筐出入库明细!$J$4:$J$2004,$Z1083-2000))+N(INDEX(周转筐出入库明细!$K$4:$K$2004,$Z1083-2000))),IF($Z1083&lt;=5200,IF(N(INDEX(客户自备加工筐明细!$G$4:$G$1203,$Z1083-4000))=0,"",N(INDEX(客户自备加工筐明细!$G$4:$G$1203,$Z1083-4000))),IF($Z1083&lt;=5800,IF(ISNUMBER(SEARCH("退",INDEX(次果筐明细!$F$4:$F$603,$Z1083-5200)&amp;"")),"",IF(N(INDEX(次果筐明细!$G$4:$G$603,$Z1083-5200))=0,"",N(INDEX(次果筐明细!$G$4:$G$603,$Z1083-5200)))),"")))))</f>
        <v/>
      </c>
      <c r="P1083" s="40" t="str">
        <f>IF($Z1083="","",IF($Z1083&lt;=2000,"",IF($Z1083&lt;=4000,IF(N(INDEX(周转筐出入库明细!$I$4:$I$2004,$Z1083-2000))=0,"",N(INDEX(周转筐出入库明细!$I$4:$I$2004,$Z1083-2000))),IF($Z1083&lt;=5200,"",IF($Z1083&lt;=5800,IF(ISNUMBER(SEARCH("退",INDEX(次果筐明细!$F$4:$F$603,$Z1083-5200)&amp;"")),IF(N(INDEX(次果筐明细!$G$4:$G$603,$Z1083-5200))=0,"",N(INDEX(次果筐明细!$G$4:$G$603,$Z1083-5200))),""),"")))))</f>
        <v/>
      </c>
      <c r="Q1083" s="40" t="str">
        <f>IF($Z1083="","",IF($Z1083&lt;=2000,"",IF($Z1083&lt;=4000,IF(N(INDEX(周转筐出入库明细!$H$4:$H$2004,$Z1083-2000))=0,"",N(INDEX(周转筐出入库明细!$H$4:$H$2004,$Z1083-2000))),IF($Z1083&lt;=5200,IF(N(INDEX(客户自备加工筐明细!$F$4:$F$1203,$Z1083-4000))=0,"",N(INDEX(客户自备加工筐明细!$F$4:$F$1203,$Z1083-4000))),IF($Z1083&lt;=5800,"","")))))</f>
        <v/>
      </c>
      <c r="R1083" s="16" t="str">
        <f>IF($Z1083="","",IF($Z1083&lt;=2000,IF(INDEX(包装物料出入库明细!$O$4:$O$2003,$Z1083-0)=0,"",INDEX(包装物料出入库明细!$O$4:$O$2003,$Z1083-0)),IF($Z1083&lt;=4000,IF(INDEX(周转筐出入库明细!$M$4:$M$2004,$Z1083-2000)=0,"",INDEX(周转筐出入库明细!$M$4:$M$2004,$Z1083-2000)),IF($Z1083&lt;=5200,IF(INDEX(客户自备加工筐明细!$H$4:$H$1203,$Z1083-4000)=0,"",INDEX(客户自备加工筐明细!$H$4:$H$1203,$Z1083-4000)),IF($Z1083&lt;=5800,IF(INDEX(次果筐明细!$H$4:$H$603,$Z1083-5200)=0,"",INDEX(次果筐明细!$H$4:$H$603,$Z1083-5200)),"")))))</f>
        <v/>
      </c>
      <c r="S1083" s="22" t="str">
        <f t="shared" si="50"/>
        <v/>
      </c>
      <c r="Z1083" s="10" t="str">
        <f>IFERROR(MATCH(ROW()-3,_自动清单!$CQ$4:$CQ$5803,0),"")</f>
        <v/>
      </c>
    </row>
    <row r="1084" spans="1:26">
      <c r="A1084" s="24" t="str">
        <f t="shared" si="48"/>
        <v/>
      </c>
      <c r="B1084" s="38" t="str">
        <f>IF($Z1084="","",IF($Z1084&lt;=2000,IF(INDEX(包装物料出入库明细!$B$4:$B$2003,$Z1084-0)=0,"",INDEX(包装物料出入库明细!$B$4:$B$2003,$Z1084-0)),IF($Z1084&lt;=4000,IF(INDEX(周转筐出入库明细!$B$4:$B$2004,$Z1084-2000)=0,"",INDEX(周转筐出入库明细!$B$4:$B$2004,$Z1084-2000)),IF($Z1084&lt;=5200,IF(INDEX(客户自备加工筐明细!$B$4:$B$1203,$Z1084-4000)=0,"",INDEX(客户自备加工筐明细!$B$4:$B$1203,$Z1084-4000)),IF($Z1084&lt;=5800,IF(INDEX(次果筐明细!$B$4:$B$603,$Z1084-5200)=0,"",INDEX(次果筐明细!$B$4:$B$603,$Z1084-5200)),"")))))</f>
        <v/>
      </c>
      <c r="C1084" s="37" t="str">
        <f>IF($Z1084="","",IF($Z1084&lt;=2000,IF(INDEX(包装物料出入库明细!$D$4:$D$2003,$Z1084-0)=0,"",INDEX(包装物料出入库明细!$D$4:$D$2003,$Z1084-0)),IF($Z1084&lt;=4000,IF(INDEX(周转筐出入库明细!$C$4:$C$2004,$Z1084-2000)=0,"",INDEX(周转筐出入库明细!$C$4:$C$2004,$Z1084-2000)),IF($Z1084&lt;=5200,IF(INDEX(客户自备加工筐明细!$E$4:$E$1203,$Z1084-4000)=0,"",INDEX(客户自备加工筐明细!$E$4:$E$1203,$Z1084-4000)),IF($Z1084&lt;=5800,IF(INDEX(次果筐明细!$C$4:$C$603,$Z1084-5200)=0,"",INDEX(次果筐明细!$C$4:$C$603,$Z1084-5200)),"")))))</f>
        <v/>
      </c>
      <c r="D1084" s="37" t="str">
        <f>IF($Z1084="","",IF($Z1084&lt;=2000,"包装物料－"&amp;INDEX(包装物料出入库明细!$H$4:$H$2003,$Z1084-0),IF($Z1084&lt;=4000,"周转筐－"&amp;INDEX(周转筐出入库明细!$F$4:$F$2004,$Z1084-2000),IF($Z1084&lt;=5200,"客户自备筐－"&amp;INDEX(客户自备加工筐明细!$J$4:$J$1203,$Z1084-4000),IF($Z1084&lt;=5800,"次果筐/托盘－"&amp;INDEX(次果筐明细!$F$4:$F$603,$Z1084-5200),"")))))</f>
        <v/>
      </c>
      <c r="E1084" s="24" t="str">
        <f>IF($Z1084="","",IF($Z1084&lt;=2000,IF(INDEX(包装物料出入库明细!$C$4:$C$2003,$Z1084-0)=0,"",INDEX(包装物料出入库明细!$C$4:$C$2003,$Z1084-0)),IF($Z1084&lt;=4000,IF(INDEX(周转筐出入库明细!$E$4:$E$2004,$Z1084-2000)=0,"",INDEX(周转筐出入库明细!$E$4:$E$2004,$Z1084-2000)),IF($Z1084&lt;=5200,IF(INDEX(客户自备加工筐明细!$D$4:$D$1203,$Z1084-4000)=0,"",INDEX(客户自备加工筐明细!$D$4:$D$1203,$Z1084-4000)),IF($Z1084&lt;=5800,IF(INDEX(次果筐明细!$E$4:$E$603,$Z1084-5200)=0,"",INDEX(次果筐明细!$E$4:$E$603,$Z1084-5200)),"")))))</f>
        <v/>
      </c>
      <c r="F1084" s="24" t="str">
        <f>IF($Z1084="","",IF($Z1084&lt;=2000,IF(INDEX(包装物料出入库明细!$E$4:$E$2003,$Z1084-0)=0,"",INDEX(包装物料出入库明细!$E$4:$E$2003,$Z1084-0)),IF($Z1084&lt;=4000,IF(INDEX(周转筐出入库明细!$D$4:$D$2004,$Z1084-2000)=0,"",INDEX(周转筐出入库明细!$D$4:$D$2004,$Z1084-2000)),IF($Z1084&lt;=5200,IF(INDEX(客户自备加工筐明细!$C$4:$C$1203,$Z1084-4000)=0,"",INDEX(客户自备加工筐明细!$C$4:$C$1203,$Z1084-4000)),IF($Z1084&lt;=5800,IF(INDEX(次果筐明细!$D$4:$D$603,$Z1084-5200)=0,"",INDEX(次果筐明细!$D$4:$D$603,$Z1084-5200)),"")))))</f>
        <v/>
      </c>
      <c r="G1084" s="24" t="str">
        <f>IF($Z1084="","",IF($Z1084&lt;=2000,IF(INDEX(包装物料出入库明细!$F$4:$F$2003,$Z1084-0)=0,"",INDEX(包装物料出入库明细!$F$4:$F$2003,$Z1084-0)),IF($Z1084&lt;=4000,"",IF($Z1084&lt;=5200,"",IF($Z1084&lt;=5800,"","")))))</f>
        <v/>
      </c>
      <c r="H1084" s="39" t="str">
        <f>IF($Z1084="","",IF($Z1084&lt;=2000,IF(INDEX(包装物料出入库明细!$L$4:$L$2003,$Z1084-0)=0,"",INDEX(包装物料出入库明细!$L$4:$L$2003,$Z1084-0)),IF($Z1084&lt;=4000,N(INDEX(周转筐出入库明细!$H$4:$H$2004,$Z1084-2000))+N(INDEX(周转筐出入库明细!$I$4:$I$2004,$Z1084-2000))+N(INDEX(周转筐出入库明细!$J$4:$J$2004,$Z1084-2000))+N(INDEX(周转筐出入库明细!$K$4:$K$2004,$Z1084-2000)),IF($Z1084&lt;=5200,N(INDEX(客户自备加工筐明细!$F$4:$F$1203,$Z1084-4000))+N(INDEX(客户自备加工筐明细!$G$4:$G$1203,$Z1084-4000)),IF($Z1084&lt;=5800,IF(INDEX(次果筐明细!$G$4:$G$603,$Z1084-5200)=0,"",INDEX(次果筐明细!$G$4:$G$603,$Z1084-5200)),"")))))</f>
        <v/>
      </c>
      <c r="I1084" s="24" t="str">
        <f>IF($Z1084="","",IF($Z1084&lt;=2000,IF(INDEX(包装物料出入库明细!$G$4:$G$2003,$Z1084-0)=0,"",INDEX(包装物料出入库明细!$G$4:$G$2003,$Z1084-0)),IF($Z1084&lt;=4000,"个",IF($Z1084&lt;=5200,"个",IF($Z1084&lt;=5800,"个","")))))</f>
        <v/>
      </c>
      <c r="J1084" s="30" t="str">
        <f t="shared" si="49"/>
        <v/>
      </c>
      <c r="K1084" s="30" t="str">
        <f>IF($Z1084="","",IF($Z1084&lt;=2000,IF(INDEX(包装物料出入库明细!$N$4:$N$2003,$Z1084-0)=0,"",INDEX(包装物料出入库明细!$N$4:$N$2003,$Z1084-0)),IF($Z1084&lt;=4000,IF(INDEX(周转筐出入库明细!$P$4:$P$2004,$Z1084-2000)=0,"",INDEX(周转筐出入库明细!$P$4:$P$2004,$Z1084-2000)),IF($Z1084&lt;=5200,"",IF($Z1084&lt;=5800,N(INDEX(次果筐明细!$L$4:$L$603,$Z1084-5200))+N(INDEX(次果筐明细!$J$4:$J$603,$Z1084-5200)),"")))))</f>
        <v/>
      </c>
      <c r="L1084" s="24" t="str">
        <f>IF($Z1084="","",IF($Z1084&lt;=2000,IF(INDEX(包装物料出入库明细!$P$4:$P$2003,$Z1084-0)=0,"",INDEX(包装物料出入库明细!$P$4:$P$2003,$Z1084-0)),IF($Z1084&lt;=4000,IF(INDEX(周转筐出入库明细!$Q$4:$Q$2004,$Z1084-2000)=0,"",INDEX(周转筐出入库明细!$Q$4:$Q$2004,$Z1084-2000)),IF($Z1084&lt;=5200,"",IF($Z1084&lt;=5800,IF(INDEX(次果筐明细!$M$4:$M$603,$Z1084-5200)=0,"",INDEX(次果筐明细!$M$4:$M$603,$Z1084-5200)),"")))))</f>
        <v/>
      </c>
      <c r="M1084" s="37" t="str">
        <f>IF($Z1084="","",IF($Z1084&lt;=2000,IF(INDEX(包装物料出入库明细!$R$4:$R$2003,$Z1084-0)=0,"",INDEX(包装物料出入库明细!$R$4:$R$2003,$Z1084-0)),IF($Z1084&lt;=4000,IF(INDEX(周转筐出入库明细!$W$4:$W$2004,$Z1084-2000)=0,"",INDEX(周转筐出入库明细!$W$4:$W$2004,$Z1084-2000)),IF($Z1084&lt;=5200,IF(INDEX(客户自备加工筐明细!$L$4:$L$1203,$Z1084-4000)=0,"",INDEX(客户自备加工筐明细!$L$4:$L$1203,$Z1084-4000)),IF($Z1084&lt;=5800,IF(INDEX(次果筐明细!$P$4:$P$603,$Z1084-5200)=0,"",INDEX(次果筐明细!$P$4:$P$603,$Z1084-5200)),"")))))</f>
        <v/>
      </c>
      <c r="N1084" s="16" t="str">
        <f>IF($Z1084="","",IF($Z1084&lt;=2000,"",IF($Z1084&lt;=4000,IF(INDEX(周转筐出入库明细!$D$4:$D$2004,$Z1084-2000)=0,"",INDEX(周转筐出入库明细!$D$4:$D$2004,$Z1084-2000)),IF($Z1084&lt;=5200,IF(INDEX(客户自备加工筐明细!$C$4:$C$1203,$Z1084-4000)=0,"",INDEX(客户自备加工筐明细!$C$4:$C$1203,$Z1084-4000)),IF($Z1084&lt;=5800,IF(INDEX(次果筐明细!$D$4:$D$603,$Z1084-5200)=0,"",INDEX(次果筐明细!$D$4:$D$603,$Z1084-5200)),"")))))</f>
        <v/>
      </c>
      <c r="O1084" s="40" t="str">
        <f>IF($Z1084="","",IF($Z1084&lt;=2000,"",IF($Z1084&lt;=4000,IF(N(INDEX(周转筐出入库明细!$J$4:$J$2004,$Z1084-2000))+N(INDEX(周转筐出入库明细!$K$4:$K$2004,$Z1084-2000))=0,"",N(INDEX(周转筐出入库明细!$J$4:$J$2004,$Z1084-2000))+N(INDEX(周转筐出入库明细!$K$4:$K$2004,$Z1084-2000))),IF($Z1084&lt;=5200,IF(N(INDEX(客户自备加工筐明细!$G$4:$G$1203,$Z1084-4000))=0,"",N(INDEX(客户自备加工筐明细!$G$4:$G$1203,$Z1084-4000))),IF($Z1084&lt;=5800,IF(ISNUMBER(SEARCH("退",INDEX(次果筐明细!$F$4:$F$603,$Z1084-5200)&amp;"")),"",IF(N(INDEX(次果筐明细!$G$4:$G$603,$Z1084-5200))=0,"",N(INDEX(次果筐明细!$G$4:$G$603,$Z1084-5200)))),"")))))</f>
        <v/>
      </c>
      <c r="P1084" s="40" t="str">
        <f>IF($Z1084="","",IF($Z1084&lt;=2000,"",IF($Z1084&lt;=4000,IF(N(INDEX(周转筐出入库明细!$I$4:$I$2004,$Z1084-2000))=0,"",N(INDEX(周转筐出入库明细!$I$4:$I$2004,$Z1084-2000))),IF($Z1084&lt;=5200,"",IF($Z1084&lt;=5800,IF(ISNUMBER(SEARCH("退",INDEX(次果筐明细!$F$4:$F$603,$Z1084-5200)&amp;"")),IF(N(INDEX(次果筐明细!$G$4:$G$603,$Z1084-5200))=0,"",N(INDEX(次果筐明细!$G$4:$G$603,$Z1084-5200))),""),"")))))</f>
        <v/>
      </c>
      <c r="Q1084" s="40" t="str">
        <f>IF($Z1084="","",IF($Z1084&lt;=2000,"",IF($Z1084&lt;=4000,IF(N(INDEX(周转筐出入库明细!$H$4:$H$2004,$Z1084-2000))=0,"",N(INDEX(周转筐出入库明细!$H$4:$H$2004,$Z1084-2000))),IF($Z1084&lt;=5200,IF(N(INDEX(客户自备加工筐明细!$F$4:$F$1203,$Z1084-4000))=0,"",N(INDEX(客户自备加工筐明细!$F$4:$F$1203,$Z1084-4000))),IF($Z1084&lt;=5800,"","")))))</f>
        <v/>
      </c>
      <c r="R1084" s="16" t="str">
        <f>IF($Z1084="","",IF($Z1084&lt;=2000,IF(INDEX(包装物料出入库明细!$O$4:$O$2003,$Z1084-0)=0,"",INDEX(包装物料出入库明细!$O$4:$O$2003,$Z1084-0)),IF($Z1084&lt;=4000,IF(INDEX(周转筐出入库明细!$M$4:$M$2004,$Z1084-2000)=0,"",INDEX(周转筐出入库明细!$M$4:$M$2004,$Z1084-2000)),IF($Z1084&lt;=5200,IF(INDEX(客户自备加工筐明细!$H$4:$H$1203,$Z1084-4000)=0,"",INDEX(客户自备加工筐明细!$H$4:$H$1203,$Z1084-4000)),IF($Z1084&lt;=5800,IF(INDEX(次果筐明细!$H$4:$H$603,$Z1084-5200)=0,"",INDEX(次果筐明细!$H$4:$H$603,$Z1084-5200)),"")))))</f>
        <v/>
      </c>
      <c r="S1084" s="22" t="str">
        <f t="shared" si="50"/>
        <v/>
      </c>
      <c r="Z1084" s="10" t="str">
        <f>IFERROR(MATCH(ROW()-3,_自动清单!$CQ$4:$CQ$5803,0),"")</f>
        <v/>
      </c>
    </row>
    <row r="1085" spans="1:26">
      <c r="A1085" s="24" t="str">
        <f t="shared" si="48"/>
        <v/>
      </c>
      <c r="B1085" s="38" t="str">
        <f>IF($Z1085="","",IF($Z1085&lt;=2000,IF(INDEX(包装物料出入库明细!$B$4:$B$2003,$Z1085-0)=0,"",INDEX(包装物料出入库明细!$B$4:$B$2003,$Z1085-0)),IF($Z1085&lt;=4000,IF(INDEX(周转筐出入库明细!$B$4:$B$2004,$Z1085-2000)=0,"",INDEX(周转筐出入库明细!$B$4:$B$2004,$Z1085-2000)),IF($Z1085&lt;=5200,IF(INDEX(客户自备加工筐明细!$B$4:$B$1203,$Z1085-4000)=0,"",INDEX(客户自备加工筐明细!$B$4:$B$1203,$Z1085-4000)),IF($Z1085&lt;=5800,IF(INDEX(次果筐明细!$B$4:$B$603,$Z1085-5200)=0,"",INDEX(次果筐明细!$B$4:$B$603,$Z1085-5200)),"")))))</f>
        <v/>
      </c>
      <c r="C1085" s="37" t="str">
        <f>IF($Z1085="","",IF($Z1085&lt;=2000,IF(INDEX(包装物料出入库明细!$D$4:$D$2003,$Z1085-0)=0,"",INDEX(包装物料出入库明细!$D$4:$D$2003,$Z1085-0)),IF($Z1085&lt;=4000,IF(INDEX(周转筐出入库明细!$C$4:$C$2004,$Z1085-2000)=0,"",INDEX(周转筐出入库明细!$C$4:$C$2004,$Z1085-2000)),IF($Z1085&lt;=5200,IF(INDEX(客户自备加工筐明细!$E$4:$E$1203,$Z1085-4000)=0,"",INDEX(客户自备加工筐明细!$E$4:$E$1203,$Z1085-4000)),IF($Z1085&lt;=5800,IF(INDEX(次果筐明细!$C$4:$C$603,$Z1085-5200)=0,"",INDEX(次果筐明细!$C$4:$C$603,$Z1085-5200)),"")))))</f>
        <v/>
      </c>
      <c r="D1085" s="37" t="str">
        <f>IF($Z1085="","",IF($Z1085&lt;=2000,"包装物料－"&amp;INDEX(包装物料出入库明细!$H$4:$H$2003,$Z1085-0),IF($Z1085&lt;=4000,"周转筐－"&amp;INDEX(周转筐出入库明细!$F$4:$F$2004,$Z1085-2000),IF($Z1085&lt;=5200,"客户自备筐－"&amp;INDEX(客户自备加工筐明细!$J$4:$J$1203,$Z1085-4000),IF($Z1085&lt;=5800,"次果筐/托盘－"&amp;INDEX(次果筐明细!$F$4:$F$603,$Z1085-5200),"")))))</f>
        <v/>
      </c>
      <c r="E1085" s="24" t="str">
        <f>IF($Z1085="","",IF($Z1085&lt;=2000,IF(INDEX(包装物料出入库明细!$C$4:$C$2003,$Z1085-0)=0,"",INDEX(包装物料出入库明细!$C$4:$C$2003,$Z1085-0)),IF($Z1085&lt;=4000,IF(INDEX(周转筐出入库明细!$E$4:$E$2004,$Z1085-2000)=0,"",INDEX(周转筐出入库明细!$E$4:$E$2004,$Z1085-2000)),IF($Z1085&lt;=5200,IF(INDEX(客户自备加工筐明细!$D$4:$D$1203,$Z1085-4000)=0,"",INDEX(客户自备加工筐明细!$D$4:$D$1203,$Z1085-4000)),IF($Z1085&lt;=5800,IF(INDEX(次果筐明细!$E$4:$E$603,$Z1085-5200)=0,"",INDEX(次果筐明细!$E$4:$E$603,$Z1085-5200)),"")))))</f>
        <v/>
      </c>
      <c r="F1085" s="24" t="str">
        <f>IF($Z1085="","",IF($Z1085&lt;=2000,IF(INDEX(包装物料出入库明细!$E$4:$E$2003,$Z1085-0)=0,"",INDEX(包装物料出入库明细!$E$4:$E$2003,$Z1085-0)),IF($Z1085&lt;=4000,IF(INDEX(周转筐出入库明细!$D$4:$D$2004,$Z1085-2000)=0,"",INDEX(周转筐出入库明细!$D$4:$D$2004,$Z1085-2000)),IF($Z1085&lt;=5200,IF(INDEX(客户自备加工筐明细!$C$4:$C$1203,$Z1085-4000)=0,"",INDEX(客户自备加工筐明细!$C$4:$C$1203,$Z1085-4000)),IF($Z1085&lt;=5800,IF(INDEX(次果筐明细!$D$4:$D$603,$Z1085-5200)=0,"",INDEX(次果筐明细!$D$4:$D$603,$Z1085-5200)),"")))))</f>
        <v/>
      </c>
      <c r="G1085" s="24" t="str">
        <f>IF($Z1085="","",IF($Z1085&lt;=2000,IF(INDEX(包装物料出入库明细!$F$4:$F$2003,$Z1085-0)=0,"",INDEX(包装物料出入库明细!$F$4:$F$2003,$Z1085-0)),IF($Z1085&lt;=4000,"",IF($Z1085&lt;=5200,"",IF($Z1085&lt;=5800,"","")))))</f>
        <v/>
      </c>
      <c r="H1085" s="39" t="str">
        <f>IF($Z1085="","",IF($Z1085&lt;=2000,IF(INDEX(包装物料出入库明细!$L$4:$L$2003,$Z1085-0)=0,"",INDEX(包装物料出入库明细!$L$4:$L$2003,$Z1085-0)),IF($Z1085&lt;=4000,N(INDEX(周转筐出入库明细!$H$4:$H$2004,$Z1085-2000))+N(INDEX(周转筐出入库明细!$I$4:$I$2004,$Z1085-2000))+N(INDEX(周转筐出入库明细!$J$4:$J$2004,$Z1085-2000))+N(INDEX(周转筐出入库明细!$K$4:$K$2004,$Z1085-2000)),IF($Z1085&lt;=5200,N(INDEX(客户自备加工筐明细!$F$4:$F$1203,$Z1085-4000))+N(INDEX(客户自备加工筐明细!$G$4:$G$1203,$Z1085-4000)),IF($Z1085&lt;=5800,IF(INDEX(次果筐明细!$G$4:$G$603,$Z1085-5200)=0,"",INDEX(次果筐明细!$G$4:$G$603,$Z1085-5200)),"")))))</f>
        <v/>
      </c>
      <c r="I1085" s="24" t="str">
        <f>IF($Z1085="","",IF($Z1085&lt;=2000,IF(INDEX(包装物料出入库明细!$G$4:$G$2003,$Z1085-0)=0,"",INDEX(包装物料出入库明细!$G$4:$G$2003,$Z1085-0)),IF($Z1085&lt;=4000,"个",IF($Z1085&lt;=5200,"个",IF($Z1085&lt;=5800,"个","")))))</f>
        <v/>
      </c>
      <c r="J1085" s="30" t="str">
        <f t="shared" si="49"/>
        <v/>
      </c>
      <c r="K1085" s="30" t="str">
        <f>IF($Z1085="","",IF($Z1085&lt;=2000,IF(INDEX(包装物料出入库明细!$N$4:$N$2003,$Z1085-0)=0,"",INDEX(包装物料出入库明细!$N$4:$N$2003,$Z1085-0)),IF($Z1085&lt;=4000,IF(INDEX(周转筐出入库明细!$P$4:$P$2004,$Z1085-2000)=0,"",INDEX(周转筐出入库明细!$P$4:$P$2004,$Z1085-2000)),IF($Z1085&lt;=5200,"",IF($Z1085&lt;=5800,N(INDEX(次果筐明细!$L$4:$L$603,$Z1085-5200))+N(INDEX(次果筐明细!$J$4:$J$603,$Z1085-5200)),"")))))</f>
        <v/>
      </c>
      <c r="L1085" s="24" t="str">
        <f>IF($Z1085="","",IF($Z1085&lt;=2000,IF(INDEX(包装物料出入库明细!$P$4:$P$2003,$Z1085-0)=0,"",INDEX(包装物料出入库明细!$P$4:$P$2003,$Z1085-0)),IF($Z1085&lt;=4000,IF(INDEX(周转筐出入库明细!$Q$4:$Q$2004,$Z1085-2000)=0,"",INDEX(周转筐出入库明细!$Q$4:$Q$2004,$Z1085-2000)),IF($Z1085&lt;=5200,"",IF($Z1085&lt;=5800,IF(INDEX(次果筐明细!$M$4:$M$603,$Z1085-5200)=0,"",INDEX(次果筐明细!$M$4:$M$603,$Z1085-5200)),"")))))</f>
        <v/>
      </c>
      <c r="M1085" s="37" t="str">
        <f>IF($Z1085="","",IF($Z1085&lt;=2000,IF(INDEX(包装物料出入库明细!$R$4:$R$2003,$Z1085-0)=0,"",INDEX(包装物料出入库明细!$R$4:$R$2003,$Z1085-0)),IF($Z1085&lt;=4000,IF(INDEX(周转筐出入库明细!$W$4:$W$2004,$Z1085-2000)=0,"",INDEX(周转筐出入库明细!$W$4:$W$2004,$Z1085-2000)),IF($Z1085&lt;=5200,IF(INDEX(客户自备加工筐明细!$L$4:$L$1203,$Z1085-4000)=0,"",INDEX(客户自备加工筐明细!$L$4:$L$1203,$Z1085-4000)),IF($Z1085&lt;=5800,IF(INDEX(次果筐明细!$P$4:$P$603,$Z1085-5200)=0,"",INDEX(次果筐明细!$P$4:$P$603,$Z1085-5200)),"")))))</f>
        <v/>
      </c>
      <c r="N1085" s="16" t="str">
        <f>IF($Z1085="","",IF($Z1085&lt;=2000,"",IF($Z1085&lt;=4000,IF(INDEX(周转筐出入库明细!$D$4:$D$2004,$Z1085-2000)=0,"",INDEX(周转筐出入库明细!$D$4:$D$2004,$Z1085-2000)),IF($Z1085&lt;=5200,IF(INDEX(客户自备加工筐明细!$C$4:$C$1203,$Z1085-4000)=0,"",INDEX(客户自备加工筐明细!$C$4:$C$1203,$Z1085-4000)),IF($Z1085&lt;=5800,IF(INDEX(次果筐明细!$D$4:$D$603,$Z1085-5200)=0,"",INDEX(次果筐明细!$D$4:$D$603,$Z1085-5200)),"")))))</f>
        <v/>
      </c>
      <c r="O1085" s="40" t="str">
        <f>IF($Z1085="","",IF($Z1085&lt;=2000,"",IF($Z1085&lt;=4000,IF(N(INDEX(周转筐出入库明细!$J$4:$J$2004,$Z1085-2000))+N(INDEX(周转筐出入库明细!$K$4:$K$2004,$Z1085-2000))=0,"",N(INDEX(周转筐出入库明细!$J$4:$J$2004,$Z1085-2000))+N(INDEX(周转筐出入库明细!$K$4:$K$2004,$Z1085-2000))),IF($Z1085&lt;=5200,IF(N(INDEX(客户自备加工筐明细!$G$4:$G$1203,$Z1085-4000))=0,"",N(INDEX(客户自备加工筐明细!$G$4:$G$1203,$Z1085-4000))),IF($Z1085&lt;=5800,IF(ISNUMBER(SEARCH("退",INDEX(次果筐明细!$F$4:$F$603,$Z1085-5200)&amp;"")),"",IF(N(INDEX(次果筐明细!$G$4:$G$603,$Z1085-5200))=0,"",N(INDEX(次果筐明细!$G$4:$G$603,$Z1085-5200)))),"")))))</f>
        <v/>
      </c>
      <c r="P1085" s="40" t="str">
        <f>IF($Z1085="","",IF($Z1085&lt;=2000,"",IF($Z1085&lt;=4000,IF(N(INDEX(周转筐出入库明细!$I$4:$I$2004,$Z1085-2000))=0,"",N(INDEX(周转筐出入库明细!$I$4:$I$2004,$Z1085-2000))),IF($Z1085&lt;=5200,"",IF($Z1085&lt;=5800,IF(ISNUMBER(SEARCH("退",INDEX(次果筐明细!$F$4:$F$603,$Z1085-5200)&amp;"")),IF(N(INDEX(次果筐明细!$G$4:$G$603,$Z1085-5200))=0,"",N(INDEX(次果筐明细!$G$4:$G$603,$Z1085-5200))),""),"")))))</f>
        <v/>
      </c>
      <c r="Q1085" s="40" t="str">
        <f>IF($Z1085="","",IF($Z1085&lt;=2000,"",IF($Z1085&lt;=4000,IF(N(INDEX(周转筐出入库明细!$H$4:$H$2004,$Z1085-2000))=0,"",N(INDEX(周转筐出入库明细!$H$4:$H$2004,$Z1085-2000))),IF($Z1085&lt;=5200,IF(N(INDEX(客户自备加工筐明细!$F$4:$F$1203,$Z1085-4000))=0,"",N(INDEX(客户自备加工筐明细!$F$4:$F$1203,$Z1085-4000))),IF($Z1085&lt;=5800,"","")))))</f>
        <v/>
      </c>
      <c r="R1085" s="16" t="str">
        <f>IF($Z1085="","",IF($Z1085&lt;=2000,IF(INDEX(包装物料出入库明细!$O$4:$O$2003,$Z1085-0)=0,"",INDEX(包装物料出入库明细!$O$4:$O$2003,$Z1085-0)),IF($Z1085&lt;=4000,IF(INDEX(周转筐出入库明细!$M$4:$M$2004,$Z1085-2000)=0,"",INDEX(周转筐出入库明细!$M$4:$M$2004,$Z1085-2000)),IF($Z1085&lt;=5200,IF(INDEX(客户自备加工筐明细!$H$4:$H$1203,$Z1085-4000)=0,"",INDEX(客户自备加工筐明细!$H$4:$H$1203,$Z1085-4000)),IF($Z1085&lt;=5800,IF(INDEX(次果筐明细!$H$4:$H$603,$Z1085-5200)=0,"",INDEX(次果筐明细!$H$4:$H$603,$Z1085-5200)),"")))))</f>
        <v/>
      </c>
      <c r="S1085" s="22" t="str">
        <f t="shared" si="50"/>
        <v/>
      </c>
      <c r="Z1085" s="10" t="str">
        <f>IFERROR(MATCH(ROW()-3,_自动清单!$CQ$4:$CQ$5803,0),"")</f>
        <v/>
      </c>
    </row>
    <row r="1086" spans="1:26">
      <c r="A1086" s="24" t="str">
        <f t="shared" si="48"/>
        <v/>
      </c>
      <c r="B1086" s="38" t="str">
        <f>IF($Z1086="","",IF($Z1086&lt;=2000,IF(INDEX(包装物料出入库明细!$B$4:$B$2003,$Z1086-0)=0,"",INDEX(包装物料出入库明细!$B$4:$B$2003,$Z1086-0)),IF($Z1086&lt;=4000,IF(INDEX(周转筐出入库明细!$B$4:$B$2004,$Z1086-2000)=0,"",INDEX(周转筐出入库明细!$B$4:$B$2004,$Z1086-2000)),IF($Z1086&lt;=5200,IF(INDEX(客户自备加工筐明细!$B$4:$B$1203,$Z1086-4000)=0,"",INDEX(客户自备加工筐明细!$B$4:$B$1203,$Z1086-4000)),IF($Z1086&lt;=5800,IF(INDEX(次果筐明细!$B$4:$B$603,$Z1086-5200)=0,"",INDEX(次果筐明细!$B$4:$B$603,$Z1086-5200)),"")))))</f>
        <v/>
      </c>
      <c r="C1086" s="37" t="str">
        <f>IF($Z1086="","",IF($Z1086&lt;=2000,IF(INDEX(包装物料出入库明细!$D$4:$D$2003,$Z1086-0)=0,"",INDEX(包装物料出入库明细!$D$4:$D$2003,$Z1086-0)),IF($Z1086&lt;=4000,IF(INDEX(周转筐出入库明细!$C$4:$C$2004,$Z1086-2000)=0,"",INDEX(周转筐出入库明细!$C$4:$C$2004,$Z1086-2000)),IF($Z1086&lt;=5200,IF(INDEX(客户自备加工筐明细!$E$4:$E$1203,$Z1086-4000)=0,"",INDEX(客户自备加工筐明细!$E$4:$E$1203,$Z1086-4000)),IF($Z1086&lt;=5800,IF(INDEX(次果筐明细!$C$4:$C$603,$Z1086-5200)=0,"",INDEX(次果筐明细!$C$4:$C$603,$Z1086-5200)),"")))))</f>
        <v/>
      </c>
      <c r="D1086" s="37" t="str">
        <f>IF($Z1086="","",IF($Z1086&lt;=2000,"包装物料－"&amp;INDEX(包装物料出入库明细!$H$4:$H$2003,$Z1086-0),IF($Z1086&lt;=4000,"周转筐－"&amp;INDEX(周转筐出入库明细!$F$4:$F$2004,$Z1086-2000),IF($Z1086&lt;=5200,"客户自备筐－"&amp;INDEX(客户自备加工筐明细!$J$4:$J$1203,$Z1086-4000),IF($Z1086&lt;=5800,"次果筐/托盘－"&amp;INDEX(次果筐明细!$F$4:$F$603,$Z1086-5200),"")))))</f>
        <v/>
      </c>
      <c r="E1086" s="24" t="str">
        <f>IF($Z1086="","",IF($Z1086&lt;=2000,IF(INDEX(包装物料出入库明细!$C$4:$C$2003,$Z1086-0)=0,"",INDEX(包装物料出入库明细!$C$4:$C$2003,$Z1086-0)),IF($Z1086&lt;=4000,IF(INDEX(周转筐出入库明细!$E$4:$E$2004,$Z1086-2000)=0,"",INDEX(周转筐出入库明细!$E$4:$E$2004,$Z1086-2000)),IF($Z1086&lt;=5200,IF(INDEX(客户自备加工筐明细!$D$4:$D$1203,$Z1086-4000)=0,"",INDEX(客户自备加工筐明细!$D$4:$D$1203,$Z1086-4000)),IF($Z1086&lt;=5800,IF(INDEX(次果筐明细!$E$4:$E$603,$Z1086-5200)=0,"",INDEX(次果筐明细!$E$4:$E$603,$Z1086-5200)),"")))))</f>
        <v/>
      </c>
      <c r="F1086" s="24" t="str">
        <f>IF($Z1086="","",IF($Z1086&lt;=2000,IF(INDEX(包装物料出入库明细!$E$4:$E$2003,$Z1086-0)=0,"",INDEX(包装物料出入库明细!$E$4:$E$2003,$Z1086-0)),IF($Z1086&lt;=4000,IF(INDEX(周转筐出入库明细!$D$4:$D$2004,$Z1086-2000)=0,"",INDEX(周转筐出入库明细!$D$4:$D$2004,$Z1086-2000)),IF($Z1086&lt;=5200,IF(INDEX(客户自备加工筐明细!$C$4:$C$1203,$Z1086-4000)=0,"",INDEX(客户自备加工筐明细!$C$4:$C$1203,$Z1086-4000)),IF($Z1086&lt;=5800,IF(INDEX(次果筐明细!$D$4:$D$603,$Z1086-5200)=0,"",INDEX(次果筐明细!$D$4:$D$603,$Z1086-5200)),"")))))</f>
        <v/>
      </c>
      <c r="G1086" s="24" t="str">
        <f>IF($Z1086="","",IF($Z1086&lt;=2000,IF(INDEX(包装物料出入库明细!$F$4:$F$2003,$Z1086-0)=0,"",INDEX(包装物料出入库明细!$F$4:$F$2003,$Z1086-0)),IF($Z1086&lt;=4000,"",IF($Z1086&lt;=5200,"",IF($Z1086&lt;=5800,"","")))))</f>
        <v/>
      </c>
      <c r="H1086" s="39" t="str">
        <f>IF($Z1086="","",IF($Z1086&lt;=2000,IF(INDEX(包装物料出入库明细!$L$4:$L$2003,$Z1086-0)=0,"",INDEX(包装物料出入库明细!$L$4:$L$2003,$Z1086-0)),IF($Z1086&lt;=4000,N(INDEX(周转筐出入库明细!$H$4:$H$2004,$Z1086-2000))+N(INDEX(周转筐出入库明细!$I$4:$I$2004,$Z1086-2000))+N(INDEX(周转筐出入库明细!$J$4:$J$2004,$Z1086-2000))+N(INDEX(周转筐出入库明细!$K$4:$K$2004,$Z1086-2000)),IF($Z1086&lt;=5200,N(INDEX(客户自备加工筐明细!$F$4:$F$1203,$Z1086-4000))+N(INDEX(客户自备加工筐明细!$G$4:$G$1203,$Z1086-4000)),IF($Z1086&lt;=5800,IF(INDEX(次果筐明细!$G$4:$G$603,$Z1086-5200)=0,"",INDEX(次果筐明细!$G$4:$G$603,$Z1086-5200)),"")))))</f>
        <v/>
      </c>
      <c r="I1086" s="24" t="str">
        <f>IF($Z1086="","",IF($Z1086&lt;=2000,IF(INDEX(包装物料出入库明细!$G$4:$G$2003,$Z1086-0)=0,"",INDEX(包装物料出入库明细!$G$4:$G$2003,$Z1086-0)),IF($Z1086&lt;=4000,"个",IF($Z1086&lt;=5200,"个",IF($Z1086&lt;=5800,"个","")))))</f>
        <v/>
      </c>
      <c r="J1086" s="30" t="str">
        <f t="shared" si="49"/>
        <v/>
      </c>
      <c r="K1086" s="30" t="str">
        <f>IF($Z1086="","",IF($Z1086&lt;=2000,IF(INDEX(包装物料出入库明细!$N$4:$N$2003,$Z1086-0)=0,"",INDEX(包装物料出入库明细!$N$4:$N$2003,$Z1086-0)),IF($Z1086&lt;=4000,IF(INDEX(周转筐出入库明细!$P$4:$P$2004,$Z1086-2000)=0,"",INDEX(周转筐出入库明细!$P$4:$P$2004,$Z1086-2000)),IF($Z1086&lt;=5200,"",IF($Z1086&lt;=5800,N(INDEX(次果筐明细!$L$4:$L$603,$Z1086-5200))+N(INDEX(次果筐明细!$J$4:$J$603,$Z1086-5200)),"")))))</f>
        <v/>
      </c>
      <c r="L1086" s="24" t="str">
        <f>IF($Z1086="","",IF($Z1086&lt;=2000,IF(INDEX(包装物料出入库明细!$P$4:$P$2003,$Z1086-0)=0,"",INDEX(包装物料出入库明细!$P$4:$P$2003,$Z1086-0)),IF($Z1086&lt;=4000,IF(INDEX(周转筐出入库明细!$Q$4:$Q$2004,$Z1086-2000)=0,"",INDEX(周转筐出入库明细!$Q$4:$Q$2004,$Z1086-2000)),IF($Z1086&lt;=5200,"",IF($Z1086&lt;=5800,IF(INDEX(次果筐明细!$M$4:$M$603,$Z1086-5200)=0,"",INDEX(次果筐明细!$M$4:$M$603,$Z1086-5200)),"")))))</f>
        <v/>
      </c>
      <c r="M1086" s="37" t="str">
        <f>IF($Z1086="","",IF($Z1086&lt;=2000,IF(INDEX(包装物料出入库明细!$R$4:$R$2003,$Z1086-0)=0,"",INDEX(包装物料出入库明细!$R$4:$R$2003,$Z1086-0)),IF($Z1086&lt;=4000,IF(INDEX(周转筐出入库明细!$W$4:$W$2004,$Z1086-2000)=0,"",INDEX(周转筐出入库明细!$W$4:$W$2004,$Z1086-2000)),IF($Z1086&lt;=5200,IF(INDEX(客户自备加工筐明细!$L$4:$L$1203,$Z1086-4000)=0,"",INDEX(客户自备加工筐明细!$L$4:$L$1203,$Z1086-4000)),IF($Z1086&lt;=5800,IF(INDEX(次果筐明细!$P$4:$P$603,$Z1086-5200)=0,"",INDEX(次果筐明细!$P$4:$P$603,$Z1086-5200)),"")))))</f>
        <v/>
      </c>
      <c r="N1086" s="16" t="str">
        <f>IF($Z1086="","",IF($Z1086&lt;=2000,"",IF($Z1086&lt;=4000,IF(INDEX(周转筐出入库明细!$D$4:$D$2004,$Z1086-2000)=0,"",INDEX(周转筐出入库明细!$D$4:$D$2004,$Z1086-2000)),IF($Z1086&lt;=5200,IF(INDEX(客户自备加工筐明细!$C$4:$C$1203,$Z1086-4000)=0,"",INDEX(客户自备加工筐明细!$C$4:$C$1203,$Z1086-4000)),IF($Z1086&lt;=5800,IF(INDEX(次果筐明细!$D$4:$D$603,$Z1086-5200)=0,"",INDEX(次果筐明细!$D$4:$D$603,$Z1086-5200)),"")))))</f>
        <v/>
      </c>
      <c r="O1086" s="40" t="str">
        <f>IF($Z1086="","",IF($Z1086&lt;=2000,"",IF($Z1086&lt;=4000,IF(N(INDEX(周转筐出入库明细!$J$4:$J$2004,$Z1086-2000))+N(INDEX(周转筐出入库明细!$K$4:$K$2004,$Z1086-2000))=0,"",N(INDEX(周转筐出入库明细!$J$4:$J$2004,$Z1086-2000))+N(INDEX(周转筐出入库明细!$K$4:$K$2004,$Z1086-2000))),IF($Z1086&lt;=5200,IF(N(INDEX(客户自备加工筐明细!$G$4:$G$1203,$Z1086-4000))=0,"",N(INDEX(客户自备加工筐明细!$G$4:$G$1203,$Z1086-4000))),IF($Z1086&lt;=5800,IF(ISNUMBER(SEARCH("退",INDEX(次果筐明细!$F$4:$F$603,$Z1086-5200)&amp;"")),"",IF(N(INDEX(次果筐明细!$G$4:$G$603,$Z1086-5200))=0,"",N(INDEX(次果筐明细!$G$4:$G$603,$Z1086-5200)))),"")))))</f>
        <v/>
      </c>
      <c r="P1086" s="40" t="str">
        <f>IF($Z1086="","",IF($Z1086&lt;=2000,"",IF($Z1086&lt;=4000,IF(N(INDEX(周转筐出入库明细!$I$4:$I$2004,$Z1086-2000))=0,"",N(INDEX(周转筐出入库明细!$I$4:$I$2004,$Z1086-2000))),IF($Z1086&lt;=5200,"",IF($Z1086&lt;=5800,IF(ISNUMBER(SEARCH("退",INDEX(次果筐明细!$F$4:$F$603,$Z1086-5200)&amp;"")),IF(N(INDEX(次果筐明细!$G$4:$G$603,$Z1086-5200))=0,"",N(INDEX(次果筐明细!$G$4:$G$603,$Z1086-5200))),""),"")))))</f>
        <v/>
      </c>
      <c r="Q1086" s="40" t="str">
        <f>IF($Z1086="","",IF($Z1086&lt;=2000,"",IF($Z1086&lt;=4000,IF(N(INDEX(周转筐出入库明细!$H$4:$H$2004,$Z1086-2000))=0,"",N(INDEX(周转筐出入库明细!$H$4:$H$2004,$Z1086-2000))),IF($Z1086&lt;=5200,IF(N(INDEX(客户自备加工筐明细!$F$4:$F$1203,$Z1086-4000))=0,"",N(INDEX(客户自备加工筐明细!$F$4:$F$1203,$Z1086-4000))),IF($Z1086&lt;=5800,"","")))))</f>
        <v/>
      </c>
      <c r="R1086" s="16" t="str">
        <f>IF($Z1086="","",IF($Z1086&lt;=2000,IF(INDEX(包装物料出入库明细!$O$4:$O$2003,$Z1086-0)=0,"",INDEX(包装物料出入库明细!$O$4:$O$2003,$Z1086-0)),IF($Z1086&lt;=4000,IF(INDEX(周转筐出入库明细!$M$4:$M$2004,$Z1086-2000)=0,"",INDEX(周转筐出入库明细!$M$4:$M$2004,$Z1086-2000)),IF($Z1086&lt;=5200,IF(INDEX(客户自备加工筐明细!$H$4:$H$1203,$Z1086-4000)=0,"",INDEX(客户自备加工筐明细!$H$4:$H$1203,$Z1086-4000)),IF($Z1086&lt;=5800,IF(INDEX(次果筐明细!$H$4:$H$603,$Z1086-5200)=0,"",INDEX(次果筐明细!$H$4:$H$603,$Z1086-5200)),"")))))</f>
        <v/>
      </c>
      <c r="S1086" s="22" t="str">
        <f t="shared" si="50"/>
        <v/>
      </c>
      <c r="Z1086" s="10" t="str">
        <f>IFERROR(MATCH(ROW()-3,_自动清单!$CQ$4:$CQ$5803,0),"")</f>
        <v/>
      </c>
    </row>
    <row r="1087" spans="1:26">
      <c r="A1087" s="24" t="str">
        <f t="shared" si="48"/>
        <v/>
      </c>
      <c r="B1087" s="38" t="str">
        <f>IF($Z1087="","",IF($Z1087&lt;=2000,IF(INDEX(包装物料出入库明细!$B$4:$B$2003,$Z1087-0)=0,"",INDEX(包装物料出入库明细!$B$4:$B$2003,$Z1087-0)),IF($Z1087&lt;=4000,IF(INDEX(周转筐出入库明细!$B$4:$B$2004,$Z1087-2000)=0,"",INDEX(周转筐出入库明细!$B$4:$B$2004,$Z1087-2000)),IF($Z1087&lt;=5200,IF(INDEX(客户自备加工筐明细!$B$4:$B$1203,$Z1087-4000)=0,"",INDEX(客户自备加工筐明细!$B$4:$B$1203,$Z1087-4000)),IF($Z1087&lt;=5800,IF(INDEX(次果筐明细!$B$4:$B$603,$Z1087-5200)=0,"",INDEX(次果筐明细!$B$4:$B$603,$Z1087-5200)),"")))))</f>
        <v/>
      </c>
      <c r="C1087" s="37" t="str">
        <f>IF($Z1087="","",IF($Z1087&lt;=2000,IF(INDEX(包装物料出入库明细!$D$4:$D$2003,$Z1087-0)=0,"",INDEX(包装物料出入库明细!$D$4:$D$2003,$Z1087-0)),IF($Z1087&lt;=4000,IF(INDEX(周转筐出入库明细!$C$4:$C$2004,$Z1087-2000)=0,"",INDEX(周转筐出入库明细!$C$4:$C$2004,$Z1087-2000)),IF($Z1087&lt;=5200,IF(INDEX(客户自备加工筐明细!$E$4:$E$1203,$Z1087-4000)=0,"",INDEX(客户自备加工筐明细!$E$4:$E$1203,$Z1087-4000)),IF($Z1087&lt;=5800,IF(INDEX(次果筐明细!$C$4:$C$603,$Z1087-5200)=0,"",INDEX(次果筐明细!$C$4:$C$603,$Z1087-5200)),"")))))</f>
        <v/>
      </c>
      <c r="D1087" s="37" t="str">
        <f>IF($Z1087="","",IF($Z1087&lt;=2000,"包装物料－"&amp;INDEX(包装物料出入库明细!$H$4:$H$2003,$Z1087-0),IF($Z1087&lt;=4000,"周转筐－"&amp;INDEX(周转筐出入库明细!$F$4:$F$2004,$Z1087-2000),IF($Z1087&lt;=5200,"客户自备筐－"&amp;INDEX(客户自备加工筐明细!$J$4:$J$1203,$Z1087-4000),IF($Z1087&lt;=5800,"次果筐/托盘－"&amp;INDEX(次果筐明细!$F$4:$F$603,$Z1087-5200),"")))))</f>
        <v/>
      </c>
      <c r="E1087" s="24" t="str">
        <f>IF($Z1087="","",IF($Z1087&lt;=2000,IF(INDEX(包装物料出入库明细!$C$4:$C$2003,$Z1087-0)=0,"",INDEX(包装物料出入库明细!$C$4:$C$2003,$Z1087-0)),IF($Z1087&lt;=4000,IF(INDEX(周转筐出入库明细!$E$4:$E$2004,$Z1087-2000)=0,"",INDEX(周转筐出入库明细!$E$4:$E$2004,$Z1087-2000)),IF($Z1087&lt;=5200,IF(INDEX(客户自备加工筐明细!$D$4:$D$1203,$Z1087-4000)=0,"",INDEX(客户自备加工筐明细!$D$4:$D$1203,$Z1087-4000)),IF($Z1087&lt;=5800,IF(INDEX(次果筐明细!$E$4:$E$603,$Z1087-5200)=0,"",INDEX(次果筐明细!$E$4:$E$603,$Z1087-5200)),"")))))</f>
        <v/>
      </c>
      <c r="F1087" s="24" t="str">
        <f>IF($Z1087="","",IF($Z1087&lt;=2000,IF(INDEX(包装物料出入库明细!$E$4:$E$2003,$Z1087-0)=0,"",INDEX(包装物料出入库明细!$E$4:$E$2003,$Z1087-0)),IF($Z1087&lt;=4000,IF(INDEX(周转筐出入库明细!$D$4:$D$2004,$Z1087-2000)=0,"",INDEX(周转筐出入库明细!$D$4:$D$2004,$Z1087-2000)),IF($Z1087&lt;=5200,IF(INDEX(客户自备加工筐明细!$C$4:$C$1203,$Z1087-4000)=0,"",INDEX(客户自备加工筐明细!$C$4:$C$1203,$Z1087-4000)),IF($Z1087&lt;=5800,IF(INDEX(次果筐明细!$D$4:$D$603,$Z1087-5200)=0,"",INDEX(次果筐明细!$D$4:$D$603,$Z1087-5200)),"")))))</f>
        <v/>
      </c>
      <c r="G1087" s="24" t="str">
        <f>IF($Z1087="","",IF($Z1087&lt;=2000,IF(INDEX(包装物料出入库明细!$F$4:$F$2003,$Z1087-0)=0,"",INDEX(包装物料出入库明细!$F$4:$F$2003,$Z1087-0)),IF($Z1087&lt;=4000,"",IF($Z1087&lt;=5200,"",IF($Z1087&lt;=5800,"","")))))</f>
        <v/>
      </c>
      <c r="H1087" s="39" t="str">
        <f>IF($Z1087="","",IF($Z1087&lt;=2000,IF(INDEX(包装物料出入库明细!$L$4:$L$2003,$Z1087-0)=0,"",INDEX(包装物料出入库明细!$L$4:$L$2003,$Z1087-0)),IF($Z1087&lt;=4000,N(INDEX(周转筐出入库明细!$H$4:$H$2004,$Z1087-2000))+N(INDEX(周转筐出入库明细!$I$4:$I$2004,$Z1087-2000))+N(INDEX(周转筐出入库明细!$J$4:$J$2004,$Z1087-2000))+N(INDEX(周转筐出入库明细!$K$4:$K$2004,$Z1087-2000)),IF($Z1087&lt;=5200,N(INDEX(客户自备加工筐明细!$F$4:$F$1203,$Z1087-4000))+N(INDEX(客户自备加工筐明细!$G$4:$G$1203,$Z1087-4000)),IF($Z1087&lt;=5800,IF(INDEX(次果筐明细!$G$4:$G$603,$Z1087-5200)=0,"",INDEX(次果筐明细!$G$4:$G$603,$Z1087-5200)),"")))))</f>
        <v/>
      </c>
      <c r="I1087" s="24" t="str">
        <f>IF($Z1087="","",IF($Z1087&lt;=2000,IF(INDEX(包装物料出入库明细!$G$4:$G$2003,$Z1087-0)=0,"",INDEX(包装物料出入库明细!$G$4:$G$2003,$Z1087-0)),IF($Z1087&lt;=4000,"个",IF($Z1087&lt;=5200,"个",IF($Z1087&lt;=5800,"个","")))))</f>
        <v/>
      </c>
      <c r="J1087" s="30" t="str">
        <f t="shared" si="49"/>
        <v/>
      </c>
      <c r="K1087" s="30" t="str">
        <f>IF($Z1087="","",IF($Z1087&lt;=2000,IF(INDEX(包装物料出入库明细!$N$4:$N$2003,$Z1087-0)=0,"",INDEX(包装物料出入库明细!$N$4:$N$2003,$Z1087-0)),IF($Z1087&lt;=4000,IF(INDEX(周转筐出入库明细!$P$4:$P$2004,$Z1087-2000)=0,"",INDEX(周转筐出入库明细!$P$4:$P$2004,$Z1087-2000)),IF($Z1087&lt;=5200,"",IF($Z1087&lt;=5800,N(INDEX(次果筐明细!$L$4:$L$603,$Z1087-5200))+N(INDEX(次果筐明细!$J$4:$J$603,$Z1087-5200)),"")))))</f>
        <v/>
      </c>
      <c r="L1087" s="24" t="str">
        <f>IF($Z1087="","",IF($Z1087&lt;=2000,IF(INDEX(包装物料出入库明细!$P$4:$P$2003,$Z1087-0)=0,"",INDEX(包装物料出入库明细!$P$4:$P$2003,$Z1087-0)),IF($Z1087&lt;=4000,IF(INDEX(周转筐出入库明细!$Q$4:$Q$2004,$Z1087-2000)=0,"",INDEX(周转筐出入库明细!$Q$4:$Q$2004,$Z1087-2000)),IF($Z1087&lt;=5200,"",IF($Z1087&lt;=5800,IF(INDEX(次果筐明细!$M$4:$M$603,$Z1087-5200)=0,"",INDEX(次果筐明细!$M$4:$M$603,$Z1087-5200)),"")))))</f>
        <v/>
      </c>
      <c r="M1087" s="37" t="str">
        <f>IF($Z1087="","",IF($Z1087&lt;=2000,IF(INDEX(包装物料出入库明细!$R$4:$R$2003,$Z1087-0)=0,"",INDEX(包装物料出入库明细!$R$4:$R$2003,$Z1087-0)),IF($Z1087&lt;=4000,IF(INDEX(周转筐出入库明细!$W$4:$W$2004,$Z1087-2000)=0,"",INDEX(周转筐出入库明细!$W$4:$W$2004,$Z1087-2000)),IF($Z1087&lt;=5200,IF(INDEX(客户自备加工筐明细!$L$4:$L$1203,$Z1087-4000)=0,"",INDEX(客户自备加工筐明细!$L$4:$L$1203,$Z1087-4000)),IF($Z1087&lt;=5800,IF(INDEX(次果筐明细!$P$4:$P$603,$Z1087-5200)=0,"",INDEX(次果筐明细!$P$4:$P$603,$Z1087-5200)),"")))))</f>
        <v/>
      </c>
      <c r="N1087" s="16" t="str">
        <f>IF($Z1087="","",IF($Z1087&lt;=2000,"",IF($Z1087&lt;=4000,IF(INDEX(周转筐出入库明细!$D$4:$D$2004,$Z1087-2000)=0,"",INDEX(周转筐出入库明细!$D$4:$D$2004,$Z1087-2000)),IF($Z1087&lt;=5200,IF(INDEX(客户自备加工筐明细!$C$4:$C$1203,$Z1087-4000)=0,"",INDEX(客户自备加工筐明细!$C$4:$C$1203,$Z1087-4000)),IF($Z1087&lt;=5800,IF(INDEX(次果筐明细!$D$4:$D$603,$Z1087-5200)=0,"",INDEX(次果筐明细!$D$4:$D$603,$Z1087-5200)),"")))))</f>
        <v/>
      </c>
      <c r="O1087" s="40" t="str">
        <f>IF($Z1087="","",IF($Z1087&lt;=2000,"",IF($Z1087&lt;=4000,IF(N(INDEX(周转筐出入库明细!$J$4:$J$2004,$Z1087-2000))+N(INDEX(周转筐出入库明细!$K$4:$K$2004,$Z1087-2000))=0,"",N(INDEX(周转筐出入库明细!$J$4:$J$2004,$Z1087-2000))+N(INDEX(周转筐出入库明细!$K$4:$K$2004,$Z1087-2000))),IF($Z1087&lt;=5200,IF(N(INDEX(客户自备加工筐明细!$G$4:$G$1203,$Z1087-4000))=0,"",N(INDEX(客户自备加工筐明细!$G$4:$G$1203,$Z1087-4000))),IF($Z1087&lt;=5800,IF(ISNUMBER(SEARCH("退",INDEX(次果筐明细!$F$4:$F$603,$Z1087-5200)&amp;"")),"",IF(N(INDEX(次果筐明细!$G$4:$G$603,$Z1087-5200))=0,"",N(INDEX(次果筐明细!$G$4:$G$603,$Z1087-5200)))),"")))))</f>
        <v/>
      </c>
      <c r="P1087" s="40" t="str">
        <f>IF($Z1087="","",IF($Z1087&lt;=2000,"",IF($Z1087&lt;=4000,IF(N(INDEX(周转筐出入库明细!$I$4:$I$2004,$Z1087-2000))=0,"",N(INDEX(周转筐出入库明细!$I$4:$I$2004,$Z1087-2000))),IF($Z1087&lt;=5200,"",IF($Z1087&lt;=5800,IF(ISNUMBER(SEARCH("退",INDEX(次果筐明细!$F$4:$F$603,$Z1087-5200)&amp;"")),IF(N(INDEX(次果筐明细!$G$4:$G$603,$Z1087-5200))=0,"",N(INDEX(次果筐明细!$G$4:$G$603,$Z1087-5200))),""),"")))))</f>
        <v/>
      </c>
      <c r="Q1087" s="40" t="str">
        <f>IF($Z1087="","",IF($Z1087&lt;=2000,"",IF($Z1087&lt;=4000,IF(N(INDEX(周转筐出入库明细!$H$4:$H$2004,$Z1087-2000))=0,"",N(INDEX(周转筐出入库明细!$H$4:$H$2004,$Z1087-2000))),IF($Z1087&lt;=5200,IF(N(INDEX(客户自备加工筐明细!$F$4:$F$1203,$Z1087-4000))=0,"",N(INDEX(客户自备加工筐明细!$F$4:$F$1203,$Z1087-4000))),IF($Z1087&lt;=5800,"","")))))</f>
        <v/>
      </c>
      <c r="R1087" s="16" t="str">
        <f>IF($Z1087="","",IF($Z1087&lt;=2000,IF(INDEX(包装物料出入库明细!$O$4:$O$2003,$Z1087-0)=0,"",INDEX(包装物料出入库明细!$O$4:$O$2003,$Z1087-0)),IF($Z1087&lt;=4000,IF(INDEX(周转筐出入库明细!$M$4:$M$2004,$Z1087-2000)=0,"",INDEX(周转筐出入库明细!$M$4:$M$2004,$Z1087-2000)),IF($Z1087&lt;=5200,IF(INDEX(客户自备加工筐明细!$H$4:$H$1203,$Z1087-4000)=0,"",INDEX(客户自备加工筐明细!$H$4:$H$1203,$Z1087-4000)),IF($Z1087&lt;=5800,IF(INDEX(次果筐明细!$H$4:$H$603,$Z1087-5200)=0,"",INDEX(次果筐明细!$H$4:$H$603,$Z1087-5200)),"")))))</f>
        <v/>
      </c>
      <c r="S1087" s="22" t="str">
        <f t="shared" si="50"/>
        <v/>
      </c>
      <c r="Z1087" s="10" t="str">
        <f>IFERROR(MATCH(ROW()-3,_自动清单!$CQ$4:$CQ$5803,0),"")</f>
        <v/>
      </c>
    </row>
    <row r="1088" spans="1:26">
      <c r="A1088" s="24" t="str">
        <f t="shared" si="48"/>
        <v/>
      </c>
      <c r="B1088" s="38" t="str">
        <f>IF($Z1088="","",IF($Z1088&lt;=2000,IF(INDEX(包装物料出入库明细!$B$4:$B$2003,$Z1088-0)=0,"",INDEX(包装物料出入库明细!$B$4:$B$2003,$Z1088-0)),IF($Z1088&lt;=4000,IF(INDEX(周转筐出入库明细!$B$4:$B$2004,$Z1088-2000)=0,"",INDEX(周转筐出入库明细!$B$4:$B$2004,$Z1088-2000)),IF($Z1088&lt;=5200,IF(INDEX(客户自备加工筐明细!$B$4:$B$1203,$Z1088-4000)=0,"",INDEX(客户自备加工筐明细!$B$4:$B$1203,$Z1088-4000)),IF($Z1088&lt;=5800,IF(INDEX(次果筐明细!$B$4:$B$603,$Z1088-5200)=0,"",INDEX(次果筐明细!$B$4:$B$603,$Z1088-5200)),"")))))</f>
        <v/>
      </c>
      <c r="C1088" s="37" t="str">
        <f>IF($Z1088="","",IF($Z1088&lt;=2000,IF(INDEX(包装物料出入库明细!$D$4:$D$2003,$Z1088-0)=0,"",INDEX(包装物料出入库明细!$D$4:$D$2003,$Z1088-0)),IF($Z1088&lt;=4000,IF(INDEX(周转筐出入库明细!$C$4:$C$2004,$Z1088-2000)=0,"",INDEX(周转筐出入库明细!$C$4:$C$2004,$Z1088-2000)),IF($Z1088&lt;=5200,IF(INDEX(客户自备加工筐明细!$E$4:$E$1203,$Z1088-4000)=0,"",INDEX(客户自备加工筐明细!$E$4:$E$1203,$Z1088-4000)),IF($Z1088&lt;=5800,IF(INDEX(次果筐明细!$C$4:$C$603,$Z1088-5200)=0,"",INDEX(次果筐明细!$C$4:$C$603,$Z1088-5200)),"")))))</f>
        <v/>
      </c>
      <c r="D1088" s="37" t="str">
        <f>IF($Z1088="","",IF($Z1088&lt;=2000,"包装物料－"&amp;INDEX(包装物料出入库明细!$H$4:$H$2003,$Z1088-0),IF($Z1088&lt;=4000,"周转筐－"&amp;INDEX(周转筐出入库明细!$F$4:$F$2004,$Z1088-2000),IF($Z1088&lt;=5200,"客户自备筐－"&amp;INDEX(客户自备加工筐明细!$J$4:$J$1203,$Z1088-4000),IF($Z1088&lt;=5800,"次果筐/托盘－"&amp;INDEX(次果筐明细!$F$4:$F$603,$Z1088-5200),"")))))</f>
        <v/>
      </c>
      <c r="E1088" s="24" t="str">
        <f>IF($Z1088="","",IF($Z1088&lt;=2000,IF(INDEX(包装物料出入库明细!$C$4:$C$2003,$Z1088-0)=0,"",INDEX(包装物料出入库明细!$C$4:$C$2003,$Z1088-0)),IF($Z1088&lt;=4000,IF(INDEX(周转筐出入库明细!$E$4:$E$2004,$Z1088-2000)=0,"",INDEX(周转筐出入库明细!$E$4:$E$2004,$Z1088-2000)),IF($Z1088&lt;=5200,IF(INDEX(客户自备加工筐明细!$D$4:$D$1203,$Z1088-4000)=0,"",INDEX(客户自备加工筐明细!$D$4:$D$1203,$Z1088-4000)),IF($Z1088&lt;=5800,IF(INDEX(次果筐明细!$E$4:$E$603,$Z1088-5200)=0,"",INDEX(次果筐明细!$E$4:$E$603,$Z1088-5200)),"")))))</f>
        <v/>
      </c>
      <c r="F1088" s="24" t="str">
        <f>IF($Z1088="","",IF($Z1088&lt;=2000,IF(INDEX(包装物料出入库明细!$E$4:$E$2003,$Z1088-0)=0,"",INDEX(包装物料出入库明细!$E$4:$E$2003,$Z1088-0)),IF($Z1088&lt;=4000,IF(INDEX(周转筐出入库明细!$D$4:$D$2004,$Z1088-2000)=0,"",INDEX(周转筐出入库明细!$D$4:$D$2004,$Z1088-2000)),IF($Z1088&lt;=5200,IF(INDEX(客户自备加工筐明细!$C$4:$C$1203,$Z1088-4000)=0,"",INDEX(客户自备加工筐明细!$C$4:$C$1203,$Z1088-4000)),IF($Z1088&lt;=5800,IF(INDEX(次果筐明细!$D$4:$D$603,$Z1088-5200)=0,"",INDEX(次果筐明细!$D$4:$D$603,$Z1088-5200)),"")))))</f>
        <v/>
      </c>
      <c r="G1088" s="24" t="str">
        <f>IF($Z1088="","",IF($Z1088&lt;=2000,IF(INDEX(包装物料出入库明细!$F$4:$F$2003,$Z1088-0)=0,"",INDEX(包装物料出入库明细!$F$4:$F$2003,$Z1088-0)),IF($Z1088&lt;=4000,"",IF($Z1088&lt;=5200,"",IF($Z1088&lt;=5800,"","")))))</f>
        <v/>
      </c>
      <c r="H1088" s="39" t="str">
        <f>IF($Z1088="","",IF($Z1088&lt;=2000,IF(INDEX(包装物料出入库明细!$L$4:$L$2003,$Z1088-0)=0,"",INDEX(包装物料出入库明细!$L$4:$L$2003,$Z1088-0)),IF($Z1088&lt;=4000,N(INDEX(周转筐出入库明细!$H$4:$H$2004,$Z1088-2000))+N(INDEX(周转筐出入库明细!$I$4:$I$2004,$Z1088-2000))+N(INDEX(周转筐出入库明细!$J$4:$J$2004,$Z1088-2000))+N(INDEX(周转筐出入库明细!$K$4:$K$2004,$Z1088-2000)),IF($Z1088&lt;=5200,N(INDEX(客户自备加工筐明细!$F$4:$F$1203,$Z1088-4000))+N(INDEX(客户自备加工筐明细!$G$4:$G$1203,$Z1088-4000)),IF($Z1088&lt;=5800,IF(INDEX(次果筐明细!$G$4:$G$603,$Z1088-5200)=0,"",INDEX(次果筐明细!$G$4:$G$603,$Z1088-5200)),"")))))</f>
        <v/>
      </c>
      <c r="I1088" s="24" t="str">
        <f>IF($Z1088="","",IF($Z1088&lt;=2000,IF(INDEX(包装物料出入库明细!$G$4:$G$2003,$Z1088-0)=0,"",INDEX(包装物料出入库明细!$G$4:$G$2003,$Z1088-0)),IF($Z1088&lt;=4000,"个",IF($Z1088&lt;=5200,"个",IF($Z1088&lt;=5800,"个","")))))</f>
        <v/>
      </c>
      <c r="J1088" s="30" t="str">
        <f t="shared" si="49"/>
        <v/>
      </c>
      <c r="K1088" s="30" t="str">
        <f>IF($Z1088="","",IF($Z1088&lt;=2000,IF(INDEX(包装物料出入库明细!$N$4:$N$2003,$Z1088-0)=0,"",INDEX(包装物料出入库明细!$N$4:$N$2003,$Z1088-0)),IF($Z1088&lt;=4000,IF(INDEX(周转筐出入库明细!$P$4:$P$2004,$Z1088-2000)=0,"",INDEX(周转筐出入库明细!$P$4:$P$2004,$Z1088-2000)),IF($Z1088&lt;=5200,"",IF($Z1088&lt;=5800,N(INDEX(次果筐明细!$L$4:$L$603,$Z1088-5200))+N(INDEX(次果筐明细!$J$4:$J$603,$Z1088-5200)),"")))))</f>
        <v/>
      </c>
      <c r="L1088" s="24" t="str">
        <f>IF($Z1088="","",IF($Z1088&lt;=2000,IF(INDEX(包装物料出入库明细!$P$4:$P$2003,$Z1088-0)=0,"",INDEX(包装物料出入库明细!$P$4:$P$2003,$Z1088-0)),IF($Z1088&lt;=4000,IF(INDEX(周转筐出入库明细!$Q$4:$Q$2004,$Z1088-2000)=0,"",INDEX(周转筐出入库明细!$Q$4:$Q$2004,$Z1088-2000)),IF($Z1088&lt;=5200,"",IF($Z1088&lt;=5800,IF(INDEX(次果筐明细!$M$4:$M$603,$Z1088-5200)=0,"",INDEX(次果筐明细!$M$4:$M$603,$Z1088-5200)),"")))))</f>
        <v/>
      </c>
      <c r="M1088" s="37" t="str">
        <f>IF($Z1088="","",IF($Z1088&lt;=2000,IF(INDEX(包装物料出入库明细!$R$4:$R$2003,$Z1088-0)=0,"",INDEX(包装物料出入库明细!$R$4:$R$2003,$Z1088-0)),IF($Z1088&lt;=4000,IF(INDEX(周转筐出入库明细!$W$4:$W$2004,$Z1088-2000)=0,"",INDEX(周转筐出入库明细!$W$4:$W$2004,$Z1088-2000)),IF($Z1088&lt;=5200,IF(INDEX(客户自备加工筐明细!$L$4:$L$1203,$Z1088-4000)=0,"",INDEX(客户自备加工筐明细!$L$4:$L$1203,$Z1088-4000)),IF($Z1088&lt;=5800,IF(INDEX(次果筐明细!$P$4:$P$603,$Z1088-5200)=0,"",INDEX(次果筐明细!$P$4:$P$603,$Z1088-5200)),"")))))</f>
        <v/>
      </c>
      <c r="N1088" s="16" t="str">
        <f>IF($Z1088="","",IF($Z1088&lt;=2000,"",IF($Z1088&lt;=4000,IF(INDEX(周转筐出入库明细!$D$4:$D$2004,$Z1088-2000)=0,"",INDEX(周转筐出入库明细!$D$4:$D$2004,$Z1088-2000)),IF($Z1088&lt;=5200,IF(INDEX(客户自备加工筐明细!$C$4:$C$1203,$Z1088-4000)=0,"",INDEX(客户自备加工筐明细!$C$4:$C$1203,$Z1088-4000)),IF($Z1088&lt;=5800,IF(INDEX(次果筐明细!$D$4:$D$603,$Z1088-5200)=0,"",INDEX(次果筐明细!$D$4:$D$603,$Z1088-5200)),"")))))</f>
        <v/>
      </c>
      <c r="O1088" s="40" t="str">
        <f>IF($Z1088="","",IF($Z1088&lt;=2000,"",IF($Z1088&lt;=4000,IF(N(INDEX(周转筐出入库明细!$J$4:$J$2004,$Z1088-2000))+N(INDEX(周转筐出入库明细!$K$4:$K$2004,$Z1088-2000))=0,"",N(INDEX(周转筐出入库明细!$J$4:$J$2004,$Z1088-2000))+N(INDEX(周转筐出入库明细!$K$4:$K$2004,$Z1088-2000))),IF($Z1088&lt;=5200,IF(N(INDEX(客户自备加工筐明细!$G$4:$G$1203,$Z1088-4000))=0,"",N(INDEX(客户自备加工筐明细!$G$4:$G$1203,$Z1088-4000))),IF($Z1088&lt;=5800,IF(ISNUMBER(SEARCH("退",INDEX(次果筐明细!$F$4:$F$603,$Z1088-5200)&amp;"")),"",IF(N(INDEX(次果筐明细!$G$4:$G$603,$Z1088-5200))=0,"",N(INDEX(次果筐明细!$G$4:$G$603,$Z1088-5200)))),"")))))</f>
        <v/>
      </c>
      <c r="P1088" s="40" t="str">
        <f>IF($Z1088="","",IF($Z1088&lt;=2000,"",IF($Z1088&lt;=4000,IF(N(INDEX(周转筐出入库明细!$I$4:$I$2004,$Z1088-2000))=0,"",N(INDEX(周转筐出入库明细!$I$4:$I$2004,$Z1088-2000))),IF($Z1088&lt;=5200,"",IF($Z1088&lt;=5800,IF(ISNUMBER(SEARCH("退",INDEX(次果筐明细!$F$4:$F$603,$Z1088-5200)&amp;"")),IF(N(INDEX(次果筐明细!$G$4:$G$603,$Z1088-5200))=0,"",N(INDEX(次果筐明细!$G$4:$G$603,$Z1088-5200))),""),"")))))</f>
        <v/>
      </c>
      <c r="Q1088" s="40" t="str">
        <f>IF($Z1088="","",IF($Z1088&lt;=2000,"",IF($Z1088&lt;=4000,IF(N(INDEX(周转筐出入库明细!$H$4:$H$2004,$Z1088-2000))=0,"",N(INDEX(周转筐出入库明细!$H$4:$H$2004,$Z1088-2000))),IF($Z1088&lt;=5200,IF(N(INDEX(客户自备加工筐明细!$F$4:$F$1203,$Z1088-4000))=0,"",N(INDEX(客户自备加工筐明细!$F$4:$F$1203,$Z1088-4000))),IF($Z1088&lt;=5800,"","")))))</f>
        <v/>
      </c>
      <c r="R1088" s="16" t="str">
        <f>IF($Z1088="","",IF($Z1088&lt;=2000,IF(INDEX(包装物料出入库明细!$O$4:$O$2003,$Z1088-0)=0,"",INDEX(包装物料出入库明细!$O$4:$O$2003,$Z1088-0)),IF($Z1088&lt;=4000,IF(INDEX(周转筐出入库明细!$M$4:$M$2004,$Z1088-2000)=0,"",INDEX(周转筐出入库明细!$M$4:$M$2004,$Z1088-2000)),IF($Z1088&lt;=5200,IF(INDEX(客户自备加工筐明细!$H$4:$H$1203,$Z1088-4000)=0,"",INDEX(客户自备加工筐明细!$H$4:$H$1203,$Z1088-4000)),IF($Z1088&lt;=5800,IF(INDEX(次果筐明细!$H$4:$H$603,$Z1088-5200)=0,"",INDEX(次果筐明细!$H$4:$H$603,$Z1088-5200)),"")))))</f>
        <v/>
      </c>
      <c r="S1088" s="22" t="str">
        <f t="shared" si="50"/>
        <v/>
      </c>
      <c r="Z1088" s="10" t="str">
        <f>IFERROR(MATCH(ROW()-3,_自动清单!$CQ$4:$CQ$5803,0),"")</f>
        <v/>
      </c>
    </row>
    <row r="1089" spans="1:26">
      <c r="A1089" s="24" t="str">
        <f t="shared" si="48"/>
        <v/>
      </c>
      <c r="B1089" s="38" t="str">
        <f>IF($Z1089="","",IF($Z1089&lt;=2000,IF(INDEX(包装物料出入库明细!$B$4:$B$2003,$Z1089-0)=0,"",INDEX(包装物料出入库明细!$B$4:$B$2003,$Z1089-0)),IF($Z1089&lt;=4000,IF(INDEX(周转筐出入库明细!$B$4:$B$2004,$Z1089-2000)=0,"",INDEX(周转筐出入库明细!$B$4:$B$2004,$Z1089-2000)),IF($Z1089&lt;=5200,IF(INDEX(客户自备加工筐明细!$B$4:$B$1203,$Z1089-4000)=0,"",INDEX(客户自备加工筐明细!$B$4:$B$1203,$Z1089-4000)),IF($Z1089&lt;=5800,IF(INDEX(次果筐明细!$B$4:$B$603,$Z1089-5200)=0,"",INDEX(次果筐明细!$B$4:$B$603,$Z1089-5200)),"")))))</f>
        <v/>
      </c>
      <c r="C1089" s="37" t="str">
        <f>IF($Z1089="","",IF($Z1089&lt;=2000,IF(INDEX(包装物料出入库明细!$D$4:$D$2003,$Z1089-0)=0,"",INDEX(包装物料出入库明细!$D$4:$D$2003,$Z1089-0)),IF($Z1089&lt;=4000,IF(INDEX(周转筐出入库明细!$C$4:$C$2004,$Z1089-2000)=0,"",INDEX(周转筐出入库明细!$C$4:$C$2004,$Z1089-2000)),IF($Z1089&lt;=5200,IF(INDEX(客户自备加工筐明细!$E$4:$E$1203,$Z1089-4000)=0,"",INDEX(客户自备加工筐明细!$E$4:$E$1203,$Z1089-4000)),IF($Z1089&lt;=5800,IF(INDEX(次果筐明细!$C$4:$C$603,$Z1089-5200)=0,"",INDEX(次果筐明细!$C$4:$C$603,$Z1089-5200)),"")))))</f>
        <v/>
      </c>
      <c r="D1089" s="37" t="str">
        <f>IF($Z1089="","",IF($Z1089&lt;=2000,"包装物料－"&amp;INDEX(包装物料出入库明细!$H$4:$H$2003,$Z1089-0),IF($Z1089&lt;=4000,"周转筐－"&amp;INDEX(周转筐出入库明细!$F$4:$F$2004,$Z1089-2000),IF($Z1089&lt;=5200,"客户自备筐－"&amp;INDEX(客户自备加工筐明细!$J$4:$J$1203,$Z1089-4000),IF($Z1089&lt;=5800,"次果筐/托盘－"&amp;INDEX(次果筐明细!$F$4:$F$603,$Z1089-5200),"")))))</f>
        <v/>
      </c>
      <c r="E1089" s="24" t="str">
        <f>IF($Z1089="","",IF($Z1089&lt;=2000,IF(INDEX(包装物料出入库明细!$C$4:$C$2003,$Z1089-0)=0,"",INDEX(包装物料出入库明细!$C$4:$C$2003,$Z1089-0)),IF($Z1089&lt;=4000,IF(INDEX(周转筐出入库明细!$E$4:$E$2004,$Z1089-2000)=0,"",INDEX(周转筐出入库明细!$E$4:$E$2004,$Z1089-2000)),IF($Z1089&lt;=5200,IF(INDEX(客户自备加工筐明细!$D$4:$D$1203,$Z1089-4000)=0,"",INDEX(客户自备加工筐明细!$D$4:$D$1203,$Z1089-4000)),IF($Z1089&lt;=5800,IF(INDEX(次果筐明细!$E$4:$E$603,$Z1089-5200)=0,"",INDEX(次果筐明细!$E$4:$E$603,$Z1089-5200)),"")))))</f>
        <v/>
      </c>
      <c r="F1089" s="24" t="str">
        <f>IF($Z1089="","",IF($Z1089&lt;=2000,IF(INDEX(包装物料出入库明细!$E$4:$E$2003,$Z1089-0)=0,"",INDEX(包装物料出入库明细!$E$4:$E$2003,$Z1089-0)),IF($Z1089&lt;=4000,IF(INDEX(周转筐出入库明细!$D$4:$D$2004,$Z1089-2000)=0,"",INDEX(周转筐出入库明细!$D$4:$D$2004,$Z1089-2000)),IF($Z1089&lt;=5200,IF(INDEX(客户自备加工筐明细!$C$4:$C$1203,$Z1089-4000)=0,"",INDEX(客户自备加工筐明细!$C$4:$C$1203,$Z1089-4000)),IF($Z1089&lt;=5800,IF(INDEX(次果筐明细!$D$4:$D$603,$Z1089-5200)=0,"",INDEX(次果筐明细!$D$4:$D$603,$Z1089-5200)),"")))))</f>
        <v/>
      </c>
      <c r="G1089" s="24" t="str">
        <f>IF($Z1089="","",IF($Z1089&lt;=2000,IF(INDEX(包装物料出入库明细!$F$4:$F$2003,$Z1089-0)=0,"",INDEX(包装物料出入库明细!$F$4:$F$2003,$Z1089-0)),IF($Z1089&lt;=4000,"",IF($Z1089&lt;=5200,"",IF($Z1089&lt;=5800,"","")))))</f>
        <v/>
      </c>
      <c r="H1089" s="39" t="str">
        <f>IF($Z1089="","",IF($Z1089&lt;=2000,IF(INDEX(包装物料出入库明细!$L$4:$L$2003,$Z1089-0)=0,"",INDEX(包装物料出入库明细!$L$4:$L$2003,$Z1089-0)),IF($Z1089&lt;=4000,N(INDEX(周转筐出入库明细!$H$4:$H$2004,$Z1089-2000))+N(INDEX(周转筐出入库明细!$I$4:$I$2004,$Z1089-2000))+N(INDEX(周转筐出入库明细!$J$4:$J$2004,$Z1089-2000))+N(INDEX(周转筐出入库明细!$K$4:$K$2004,$Z1089-2000)),IF($Z1089&lt;=5200,N(INDEX(客户自备加工筐明细!$F$4:$F$1203,$Z1089-4000))+N(INDEX(客户自备加工筐明细!$G$4:$G$1203,$Z1089-4000)),IF($Z1089&lt;=5800,IF(INDEX(次果筐明细!$G$4:$G$603,$Z1089-5200)=0,"",INDEX(次果筐明细!$G$4:$G$603,$Z1089-5200)),"")))))</f>
        <v/>
      </c>
      <c r="I1089" s="24" t="str">
        <f>IF($Z1089="","",IF($Z1089&lt;=2000,IF(INDEX(包装物料出入库明细!$G$4:$G$2003,$Z1089-0)=0,"",INDEX(包装物料出入库明细!$G$4:$G$2003,$Z1089-0)),IF($Z1089&lt;=4000,"个",IF($Z1089&lt;=5200,"个",IF($Z1089&lt;=5800,"个","")))))</f>
        <v/>
      </c>
      <c r="J1089" s="30" t="str">
        <f t="shared" si="49"/>
        <v/>
      </c>
      <c r="K1089" s="30" t="str">
        <f>IF($Z1089="","",IF($Z1089&lt;=2000,IF(INDEX(包装物料出入库明细!$N$4:$N$2003,$Z1089-0)=0,"",INDEX(包装物料出入库明细!$N$4:$N$2003,$Z1089-0)),IF($Z1089&lt;=4000,IF(INDEX(周转筐出入库明细!$P$4:$P$2004,$Z1089-2000)=0,"",INDEX(周转筐出入库明细!$P$4:$P$2004,$Z1089-2000)),IF($Z1089&lt;=5200,"",IF($Z1089&lt;=5800,N(INDEX(次果筐明细!$L$4:$L$603,$Z1089-5200))+N(INDEX(次果筐明细!$J$4:$J$603,$Z1089-5200)),"")))))</f>
        <v/>
      </c>
      <c r="L1089" s="24" t="str">
        <f>IF($Z1089="","",IF($Z1089&lt;=2000,IF(INDEX(包装物料出入库明细!$P$4:$P$2003,$Z1089-0)=0,"",INDEX(包装物料出入库明细!$P$4:$P$2003,$Z1089-0)),IF($Z1089&lt;=4000,IF(INDEX(周转筐出入库明细!$Q$4:$Q$2004,$Z1089-2000)=0,"",INDEX(周转筐出入库明细!$Q$4:$Q$2004,$Z1089-2000)),IF($Z1089&lt;=5200,"",IF($Z1089&lt;=5800,IF(INDEX(次果筐明细!$M$4:$M$603,$Z1089-5200)=0,"",INDEX(次果筐明细!$M$4:$M$603,$Z1089-5200)),"")))))</f>
        <v/>
      </c>
      <c r="M1089" s="37" t="str">
        <f>IF($Z1089="","",IF($Z1089&lt;=2000,IF(INDEX(包装物料出入库明细!$R$4:$R$2003,$Z1089-0)=0,"",INDEX(包装物料出入库明细!$R$4:$R$2003,$Z1089-0)),IF($Z1089&lt;=4000,IF(INDEX(周转筐出入库明细!$W$4:$W$2004,$Z1089-2000)=0,"",INDEX(周转筐出入库明细!$W$4:$W$2004,$Z1089-2000)),IF($Z1089&lt;=5200,IF(INDEX(客户自备加工筐明细!$L$4:$L$1203,$Z1089-4000)=0,"",INDEX(客户自备加工筐明细!$L$4:$L$1203,$Z1089-4000)),IF($Z1089&lt;=5800,IF(INDEX(次果筐明细!$P$4:$P$603,$Z1089-5200)=0,"",INDEX(次果筐明细!$P$4:$P$603,$Z1089-5200)),"")))))</f>
        <v/>
      </c>
      <c r="N1089" s="16" t="str">
        <f>IF($Z1089="","",IF($Z1089&lt;=2000,"",IF($Z1089&lt;=4000,IF(INDEX(周转筐出入库明细!$D$4:$D$2004,$Z1089-2000)=0,"",INDEX(周转筐出入库明细!$D$4:$D$2004,$Z1089-2000)),IF($Z1089&lt;=5200,IF(INDEX(客户自备加工筐明细!$C$4:$C$1203,$Z1089-4000)=0,"",INDEX(客户自备加工筐明细!$C$4:$C$1203,$Z1089-4000)),IF($Z1089&lt;=5800,IF(INDEX(次果筐明细!$D$4:$D$603,$Z1089-5200)=0,"",INDEX(次果筐明细!$D$4:$D$603,$Z1089-5200)),"")))))</f>
        <v/>
      </c>
      <c r="O1089" s="40" t="str">
        <f>IF($Z1089="","",IF($Z1089&lt;=2000,"",IF($Z1089&lt;=4000,IF(N(INDEX(周转筐出入库明细!$J$4:$J$2004,$Z1089-2000))+N(INDEX(周转筐出入库明细!$K$4:$K$2004,$Z1089-2000))=0,"",N(INDEX(周转筐出入库明细!$J$4:$J$2004,$Z1089-2000))+N(INDEX(周转筐出入库明细!$K$4:$K$2004,$Z1089-2000))),IF($Z1089&lt;=5200,IF(N(INDEX(客户自备加工筐明细!$G$4:$G$1203,$Z1089-4000))=0,"",N(INDEX(客户自备加工筐明细!$G$4:$G$1203,$Z1089-4000))),IF($Z1089&lt;=5800,IF(ISNUMBER(SEARCH("退",INDEX(次果筐明细!$F$4:$F$603,$Z1089-5200)&amp;"")),"",IF(N(INDEX(次果筐明细!$G$4:$G$603,$Z1089-5200))=0,"",N(INDEX(次果筐明细!$G$4:$G$603,$Z1089-5200)))),"")))))</f>
        <v/>
      </c>
      <c r="P1089" s="40" t="str">
        <f>IF($Z1089="","",IF($Z1089&lt;=2000,"",IF($Z1089&lt;=4000,IF(N(INDEX(周转筐出入库明细!$I$4:$I$2004,$Z1089-2000))=0,"",N(INDEX(周转筐出入库明细!$I$4:$I$2004,$Z1089-2000))),IF($Z1089&lt;=5200,"",IF($Z1089&lt;=5800,IF(ISNUMBER(SEARCH("退",INDEX(次果筐明细!$F$4:$F$603,$Z1089-5200)&amp;"")),IF(N(INDEX(次果筐明细!$G$4:$G$603,$Z1089-5200))=0,"",N(INDEX(次果筐明细!$G$4:$G$603,$Z1089-5200))),""),"")))))</f>
        <v/>
      </c>
      <c r="Q1089" s="40" t="str">
        <f>IF($Z1089="","",IF($Z1089&lt;=2000,"",IF($Z1089&lt;=4000,IF(N(INDEX(周转筐出入库明细!$H$4:$H$2004,$Z1089-2000))=0,"",N(INDEX(周转筐出入库明细!$H$4:$H$2004,$Z1089-2000))),IF($Z1089&lt;=5200,IF(N(INDEX(客户自备加工筐明细!$F$4:$F$1203,$Z1089-4000))=0,"",N(INDEX(客户自备加工筐明细!$F$4:$F$1203,$Z1089-4000))),IF($Z1089&lt;=5800,"","")))))</f>
        <v/>
      </c>
      <c r="R1089" s="16" t="str">
        <f>IF($Z1089="","",IF($Z1089&lt;=2000,IF(INDEX(包装物料出入库明细!$O$4:$O$2003,$Z1089-0)=0,"",INDEX(包装物料出入库明细!$O$4:$O$2003,$Z1089-0)),IF($Z1089&lt;=4000,IF(INDEX(周转筐出入库明细!$M$4:$M$2004,$Z1089-2000)=0,"",INDEX(周转筐出入库明细!$M$4:$M$2004,$Z1089-2000)),IF($Z1089&lt;=5200,IF(INDEX(客户自备加工筐明细!$H$4:$H$1203,$Z1089-4000)=0,"",INDEX(客户自备加工筐明细!$H$4:$H$1203,$Z1089-4000)),IF($Z1089&lt;=5800,IF(INDEX(次果筐明细!$H$4:$H$603,$Z1089-5200)=0,"",INDEX(次果筐明细!$H$4:$H$603,$Z1089-5200)),"")))))</f>
        <v/>
      </c>
      <c r="S1089" s="22" t="str">
        <f t="shared" si="50"/>
        <v/>
      </c>
      <c r="Z1089" s="10" t="str">
        <f>IFERROR(MATCH(ROW()-3,_自动清单!$CQ$4:$CQ$5803,0),"")</f>
        <v/>
      </c>
    </row>
    <row r="1090" spans="1:26">
      <c r="A1090" s="24" t="str">
        <f t="shared" si="48"/>
        <v/>
      </c>
      <c r="B1090" s="38" t="str">
        <f>IF($Z1090="","",IF($Z1090&lt;=2000,IF(INDEX(包装物料出入库明细!$B$4:$B$2003,$Z1090-0)=0,"",INDEX(包装物料出入库明细!$B$4:$B$2003,$Z1090-0)),IF($Z1090&lt;=4000,IF(INDEX(周转筐出入库明细!$B$4:$B$2004,$Z1090-2000)=0,"",INDEX(周转筐出入库明细!$B$4:$B$2004,$Z1090-2000)),IF($Z1090&lt;=5200,IF(INDEX(客户自备加工筐明细!$B$4:$B$1203,$Z1090-4000)=0,"",INDEX(客户自备加工筐明细!$B$4:$B$1203,$Z1090-4000)),IF($Z1090&lt;=5800,IF(INDEX(次果筐明细!$B$4:$B$603,$Z1090-5200)=0,"",INDEX(次果筐明细!$B$4:$B$603,$Z1090-5200)),"")))))</f>
        <v/>
      </c>
      <c r="C1090" s="37" t="str">
        <f>IF($Z1090="","",IF($Z1090&lt;=2000,IF(INDEX(包装物料出入库明细!$D$4:$D$2003,$Z1090-0)=0,"",INDEX(包装物料出入库明细!$D$4:$D$2003,$Z1090-0)),IF($Z1090&lt;=4000,IF(INDEX(周转筐出入库明细!$C$4:$C$2004,$Z1090-2000)=0,"",INDEX(周转筐出入库明细!$C$4:$C$2004,$Z1090-2000)),IF($Z1090&lt;=5200,IF(INDEX(客户自备加工筐明细!$E$4:$E$1203,$Z1090-4000)=0,"",INDEX(客户自备加工筐明细!$E$4:$E$1203,$Z1090-4000)),IF($Z1090&lt;=5800,IF(INDEX(次果筐明细!$C$4:$C$603,$Z1090-5200)=0,"",INDEX(次果筐明细!$C$4:$C$603,$Z1090-5200)),"")))))</f>
        <v/>
      </c>
      <c r="D1090" s="37" t="str">
        <f>IF($Z1090="","",IF($Z1090&lt;=2000,"包装物料－"&amp;INDEX(包装物料出入库明细!$H$4:$H$2003,$Z1090-0),IF($Z1090&lt;=4000,"周转筐－"&amp;INDEX(周转筐出入库明细!$F$4:$F$2004,$Z1090-2000),IF($Z1090&lt;=5200,"客户自备筐－"&amp;INDEX(客户自备加工筐明细!$J$4:$J$1203,$Z1090-4000),IF($Z1090&lt;=5800,"次果筐/托盘－"&amp;INDEX(次果筐明细!$F$4:$F$603,$Z1090-5200),"")))))</f>
        <v/>
      </c>
      <c r="E1090" s="24" t="str">
        <f>IF($Z1090="","",IF($Z1090&lt;=2000,IF(INDEX(包装物料出入库明细!$C$4:$C$2003,$Z1090-0)=0,"",INDEX(包装物料出入库明细!$C$4:$C$2003,$Z1090-0)),IF($Z1090&lt;=4000,IF(INDEX(周转筐出入库明细!$E$4:$E$2004,$Z1090-2000)=0,"",INDEX(周转筐出入库明细!$E$4:$E$2004,$Z1090-2000)),IF($Z1090&lt;=5200,IF(INDEX(客户自备加工筐明细!$D$4:$D$1203,$Z1090-4000)=0,"",INDEX(客户自备加工筐明细!$D$4:$D$1203,$Z1090-4000)),IF($Z1090&lt;=5800,IF(INDEX(次果筐明细!$E$4:$E$603,$Z1090-5200)=0,"",INDEX(次果筐明细!$E$4:$E$603,$Z1090-5200)),"")))))</f>
        <v/>
      </c>
      <c r="F1090" s="24" t="str">
        <f>IF($Z1090="","",IF($Z1090&lt;=2000,IF(INDEX(包装物料出入库明细!$E$4:$E$2003,$Z1090-0)=0,"",INDEX(包装物料出入库明细!$E$4:$E$2003,$Z1090-0)),IF($Z1090&lt;=4000,IF(INDEX(周转筐出入库明细!$D$4:$D$2004,$Z1090-2000)=0,"",INDEX(周转筐出入库明细!$D$4:$D$2004,$Z1090-2000)),IF($Z1090&lt;=5200,IF(INDEX(客户自备加工筐明细!$C$4:$C$1203,$Z1090-4000)=0,"",INDEX(客户自备加工筐明细!$C$4:$C$1203,$Z1090-4000)),IF($Z1090&lt;=5800,IF(INDEX(次果筐明细!$D$4:$D$603,$Z1090-5200)=0,"",INDEX(次果筐明细!$D$4:$D$603,$Z1090-5200)),"")))))</f>
        <v/>
      </c>
      <c r="G1090" s="24" t="str">
        <f>IF($Z1090="","",IF($Z1090&lt;=2000,IF(INDEX(包装物料出入库明细!$F$4:$F$2003,$Z1090-0)=0,"",INDEX(包装物料出入库明细!$F$4:$F$2003,$Z1090-0)),IF($Z1090&lt;=4000,"",IF($Z1090&lt;=5200,"",IF($Z1090&lt;=5800,"","")))))</f>
        <v/>
      </c>
      <c r="H1090" s="39" t="str">
        <f>IF($Z1090="","",IF($Z1090&lt;=2000,IF(INDEX(包装物料出入库明细!$L$4:$L$2003,$Z1090-0)=0,"",INDEX(包装物料出入库明细!$L$4:$L$2003,$Z1090-0)),IF($Z1090&lt;=4000,N(INDEX(周转筐出入库明细!$H$4:$H$2004,$Z1090-2000))+N(INDEX(周转筐出入库明细!$I$4:$I$2004,$Z1090-2000))+N(INDEX(周转筐出入库明细!$J$4:$J$2004,$Z1090-2000))+N(INDEX(周转筐出入库明细!$K$4:$K$2004,$Z1090-2000)),IF($Z1090&lt;=5200,N(INDEX(客户自备加工筐明细!$F$4:$F$1203,$Z1090-4000))+N(INDEX(客户自备加工筐明细!$G$4:$G$1203,$Z1090-4000)),IF($Z1090&lt;=5800,IF(INDEX(次果筐明细!$G$4:$G$603,$Z1090-5200)=0,"",INDEX(次果筐明细!$G$4:$G$603,$Z1090-5200)),"")))))</f>
        <v/>
      </c>
      <c r="I1090" s="24" t="str">
        <f>IF($Z1090="","",IF($Z1090&lt;=2000,IF(INDEX(包装物料出入库明细!$G$4:$G$2003,$Z1090-0)=0,"",INDEX(包装物料出入库明细!$G$4:$G$2003,$Z1090-0)),IF($Z1090&lt;=4000,"个",IF($Z1090&lt;=5200,"个",IF($Z1090&lt;=5800,"个","")))))</f>
        <v/>
      </c>
      <c r="J1090" s="30" t="str">
        <f t="shared" si="49"/>
        <v/>
      </c>
      <c r="K1090" s="30" t="str">
        <f>IF($Z1090="","",IF($Z1090&lt;=2000,IF(INDEX(包装物料出入库明细!$N$4:$N$2003,$Z1090-0)=0,"",INDEX(包装物料出入库明细!$N$4:$N$2003,$Z1090-0)),IF($Z1090&lt;=4000,IF(INDEX(周转筐出入库明细!$P$4:$P$2004,$Z1090-2000)=0,"",INDEX(周转筐出入库明细!$P$4:$P$2004,$Z1090-2000)),IF($Z1090&lt;=5200,"",IF($Z1090&lt;=5800,N(INDEX(次果筐明细!$L$4:$L$603,$Z1090-5200))+N(INDEX(次果筐明细!$J$4:$J$603,$Z1090-5200)),"")))))</f>
        <v/>
      </c>
      <c r="L1090" s="24" t="str">
        <f>IF($Z1090="","",IF($Z1090&lt;=2000,IF(INDEX(包装物料出入库明细!$P$4:$P$2003,$Z1090-0)=0,"",INDEX(包装物料出入库明细!$P$4:$P$2003,$Z1090-0)),IF($Z1090&lt;=4000,IF(INDEX(周转筐出入库明细!$Q$4:$Q$2004,$Z1090-2000)=0,"",INDEX(周转筐出入库明细!$Q$4:$Q$2004,$Z1090-2000)),IF($Z1090&lt;=5200,"",IF($Z1090&lt;=5800,IF(INDEX(次果筐明细!$M$4:$M$603,$Z1090-5200)=0,"",INDEX(次果筐明细!$M$4:$M$603,$Z1090-5200)),"")))))</f>
        <v/>
      </c>
      <c r="M1090" s="37" t="str">
        <f>IF($Z1090="","",IF($Z1090&lt;=2000,IF(INDEX(包装物料出入库明细!$R$4:$R$2003,$Z1090-0)=0,"",INDEX(包装物料出入库明细!$R$4:$R$2003,$Z1090-0)),IF($Z1090&lt;=4000,IF(INDEX(周转筐出入库明细!$W$4:$W$2004,$Z1090-2000)=0,"",INDEX(周转筐出入库明细!$W$4:$W$2004,$Z1090-2000)),IF($Z1090&lt;=5200,IF(INDEX(客户自备加工筐明细!$L$4:$L$1203,$Z1090-4000)=0,"",INDEX(客户自备加工筐明细!$L$4:$L$1203,$Z1090-4000)),IF($Z1090&lt;=5800,IF(INDEX(次果筐明细!$P$4:$P$603,$Z1090-5200)=0,"",INDEX(次果筐明细!$P$4:$P$603,$Z1090-5200)),"")))))</f>
        <v/>
      </c>
      <c r="N1090" s="16" t="str">
        <f>IF($Z1090="","",IF($Z1090&lt;=2000,"",IF($Z1090&lt;=4000,IF(INDEX(周转筐出入库明细!$D$4:$D$2004,$Z1090-2000)=0,"",INDEX(周转筐出入库明细!$D$4:$D$2004,$Z1090-2000)),IF($Z1090&lt;=5200,IF(INDEX(客户自备加工筐明细!$C$4:$C$1203,$Z1090-4000)=0,"",INDEX(客户自备加工筐明细!$C$4:$C$1203,$Z1090-4000)),IF($Z1090&lt;=5800,IF(INDEX(次果筐明细!$D$4:$D$603,$Z1090-5200)=0,"",INDEX(次果筐明细!$D$4:$D$603,$Z1090-5200)),"")))))</f>
        <v/>
      </c>
      <c r="O1090" s="40" t="str">
        <f>IF($Z1090="","",IF($Z1090&lt;=2000,"",IF($Z1090&lt;=4000,IF(N(INDEX(周转筐出入库明细!$J$4:$J$2004,$Z1090-2000))+N(INDEX(周转筐出入库明细!$K$4:$K$2004,$Z1090-2000))=0,"",N(INDEX(周转筐出入库明细!$J$4:$J$2004,$Z1090-2000))+N(INDEX(周转筐出入库明细!$K$4:$K$2004,$Z1090-2000))),IF($Z1090&lt;=5200,IF(N(INDEX(客户自备加工筐明细!$G$4:$G$1203,$Z1090-4000))=0,"",N(INDEX(客户自备加工筐明细!$G$4:$G$1203,$Z1090-4000))),IF($Z1090&lt;=5800,IF(ISNUMBER(SEARCH("退",INDEX(次果筐明细!$F$4:$F$603,$Z1090-5200)&amp;"")),"",IF(N(INDEX(次果筐明细!$G$4:$G$603,$Z1090-5200))=0,"",N(INDEX(次果筐明细!$G$4:$G$603,$Z1090-5200)))),"")))))</f>
        <v/>
      </c>
      <c r="P1090" s="40" t="str">
        <f>IF($Z1090="","",IF($Z1090&lt;=2000,"",IF($Z1090&lt;=4000,IF(N(INDEX(周转筐出入库明细!$I$4:$I$2004,$Z1090-2000))=0,"",N(INDEX(周转筐出入库明细!$I$4:$I$2004,$Z1090-2000))),IF($Z1090&lt;=5200,"",IF($Z1090&lt;=5800,IF(ISNUMBER(SEARCH("退",INDEX(次果筐明细!$F$4:$F$603,$Z1090-5200)&amp;"")),IF(N(INDEX(次果筐明细!$G$4:$G$603,$Z1090-5200))=0,"",N(INDEX(次果筐明细!$G$4:$G$603,$Z1090-5200))),""),"")))))</f>
        <v/>
      </c>
      <c r="Q1090" s="40" t="str">
        <f>IF($Z1090="","",IF($Z1090&lt;=2000,"",IF($Z1090&lt;=4000,IF(N(INDEX(周转筐出入库明细!$H$4:$H$2004,$Z1090-2000))=0,"",N(INDEX(周转筐出入库明细!$H$4:$H$2004,$Z1090-2000))),IF($Z1090&lt;=5200,IF(N(INDEX(客户自备加工筐明细!$F$4:$F$1203,$Z1090-4000))=0,"",N(INDEX(客户自备加工筐明细!$F$4:$F$1203,$Z1090-4000))),IF($Z1090&lt;=5800,"","")))))</f>
        <v/>
      </c>
      <c r="R1090" s="16" t="str">
        <f>IF($Z1090="","",IF($Z1090&lt;=2000,IF(INDEX(包装物料出入库明细!$O$4:$O$2003,$Z1090-0)=0,"",INDEX(包装物料出入库明细!$O$4:$O$2003,$Z1090-0)),IF($Z1090&lt;=4000,IF(INDEX(周转筐出入库明细!$M$4:$M$2004,$Z1090-2000)=0,"",INDEX(周转筐出入库明细!$M$4:$M$2004,$Z1090-2000)),IF($Z1090&lt;=5200,IF(INDEX(客户自备加工筐明细!$H$4:$H$1203,$Z1090-4000)=0,"",INDEX(客户自备加工筐明细!$H$4:$H$1203,$Z1090-4000)),IF($Z1090&lt;=5800,IF(INDEX(次果筐明细!$H$4:$H$603,$Z1090-5200)=0,"",INDEX(次果筐明细!$H$4:$H$603,$Z1090-5200)),"")))))</f>
        <v/>
      </c>
      <c r="S1090" s="22" t="str">
        <f t="shared" si="50"/>
        <v/>
      </c>
      <c r="Z1090" s="10" t="str">
        <f>IFERROR(MATCH(ROW()-3,_自动清单!$CQ$4:$CQ$5803,0),"")</f>
        <v/>
      </c>
    </row>
    <row r="1091" spans="1:26">
      <c r="A1091" s="24" t="str">
        <f t="shared" si="48"/>
        <v/>
      </c>
      <c r="B1091" s="38" t="str">
        <f>IF($Z1091="","",IF($Z1091&lt;=2000,IF(INDEX(包装物料出入库明细!$B$4:$B$2003,$Z1091-0)=0,"",INDEX(包装物料出入库明细!$B$4:$B$2003,$Z1091-0)),IF($Z1091&lt;=4000,IF(INDEX(周转筐出入库明细!$B$4:$B$2004,$Z1091-2000)=0,"",INDEX(周转筐出入库明细!$B$4:$B$2004,$Z1091-2000)),IF($Z1091&lt;=5200,IF(INDEX(客户自备加工筐明细!$B$4:$B$1203,$Z1091-4000)=0,"",INDEX(客户自备加工筐明细!$B$4:$B$1203,$Z1091-4000)),IF($Z1091&lt;=5800,IF(INDEX(次果筐明细!$B$4:$B$603,$Z1091-5200)=0,"",INDEX(次果筐明细!$B$4:$B$603,$Z1091-5200)),"")))))</f>
        <v/>
      </c>
      <c r="C1091" s="37" t="str">
        <f>IF($Z1091="","",IF($Z1091&lt;=2000,IF(INDEX(包装物料出入库明细!$D$4:$D$2003,$Z1091-0)=0,"",INDEX(包装物料出入库明细!$D$4:$D$2003,$Z1091-0)),IF($Z1091&lt;=4000,IF(INDEX(周转筐出入库明细!$C$4:$C$2004,$Z1091-2000)=0,"",INDEX(周转筐出入库明细!$C$4:$C$2004,$Z1091-2000)),IF($Z1091&lt;=5200,IF(INDEX(客户自备加工筐明细!$E$4:$E$1203,$Z1091-4000)=0,"",INDEX(客户自备加工筐明细!$E$4:$E$1203,$Z1091-4000)),IF($Z1091&lt;=5800,IF(INDEX(次果筐明细!$C$4:$C$603,$Z1091-5200)=0,"",INDEX(次果筐明细!$C$4:$C$603,$Z1091-5200)),"")))))</f>
        <v/>
      </c>
      <c r="D1091" s="37" t="str">
        <f>IF($Z1091="","",IF($Z1091&lt;=2000,"包装物料－"&amp;INDEX(包装物料出入库明细!$H$4:$H$2003,$Z1091-0),IF($Z1091&lt;=4000,"周转筐－"&amp;INDEX(周转筐出入库明细!$F$4:$F$2004,$Z1091-2000),IF($Z1091&lt;=5200,"客户自备筐－"&amp;INDEX(客户自备加工筐明细!$J$4:$J$1203,$Z1091-4000),IF($Z1091&lt;=5800,"次果筐/托盘－"&amp;INDEX(次果筐明细!$F$4:$F$603,$Z1091-5200),"")))))</f>
        <v/>
      </c>
      <c r="E1091" s="24" t="str">
        <f>IF($Z1091="","",IF($Z1091&lt;=2000,IF(INDEX(包装物料出入库明细!$C$4:$C$2003,$Z1091-0)=0,"",INDEX(包装物料出入库明细!$C$4:$C$2003,$Z1091-0)),IF($Z1091&lt;=4000,IF(INDEX(周转筐出入库明细!$E$4:$E$2004,$Z1091-2000)=0,"",INDEX(周转筐出入库明细!$E$4:$E$2004,$Z1091-2000)),IF($Z1091&lt;=5200,IF(INDEX(客户自备加工筐明细!$D$4:$D$1203,$Z1091-4000)=0,"",INDEX(客户自备加工筐明细!$D$4:$D$1203,$Z1091-4000)),IF($Z1091&lt;=5800,IF(INDEX(次果筐明细!$E$4:$E$603,$Z1091-5200)=0,"",INDEX(次果筐明细!$E$4:$E$603,$Z1091-5200)),"")))))</f>
        <v/>
      </c>
      <c r="F1091" s="24" t="str">
        <f>IF($Z1091="","",IF($Z1091&lt;=2000,IF(INDEX(包装物料出入库明细!$E$4:$E$2003,$Z1091-0)=0,"",INDEX(包装物料出入库明细!$E$4:$E$2003,$Z1091-0)),IF($Z1091&lt;=4000,IF(INDEX(周转筐出入库明细!$D$4:$D$2004,$Z1091-2000)=0,"",INDEX(周转筐出入库明细!$D$4:$D$2004,$Z1091-2000)),IF($Z1091&lt;=5200,IF(INDEX(客户自备加工筐明细!$C$4:$C$1203,$Z1091-4000)=0,"",INDEX(客户自备加工筐明细!$C$4:$C$1203,$Z1091-4000)),IF($Z1091&lt;=5800,IF(INDEX(次果筐明细!$D$4:$D$603,$Z1091-5200)=0,"",INDEX(次果筐明细!$D$4:$D$603,$Z1091-5200)),"")))))</f>
        <v/>
      </c>
      <c r="G1091" s="24" t="str">
        <f>IF($Z1091="","",IF($Z1091&lt;=2000,IF(INDEX(包装物料出入库明细!$F$4:$F$2003,$Z1091-0)=0,"",INDEX(包装物料出入库明细!$F$4:$F$2003,$Z1091-0)),IF($Z1091&lt;=4000,"",IF($Z1091&lt;=5200,"",IF($Z1091&lt;=5800,"","")))))</f>
        <v/>
      </c>
      <c r="H1091" s="39" t="str">
        <f>IF($Z1091="","",IF($Z1091&lt;=2000,IF(INDEX(包装物料出入库明细!$L$4:$L$2003,$Z1091-0)=0,"",INDEX(包装物料出入库明细!$L$4:$L$2003,$Z1091-0)),IF($Z1091&lt;=4000,N(INDEX(周转筐出入库明细!$H$4:$H$2004,$Z1091-2000))+N(INDEX(周转筐出入库明细!$I$4:$I$2004,$Z1091-2000))+N(INDEX(周转筐出入库明细!$J$4:$J$2004,$Z1091-2000))+N(INDEX(周转筐出入库明细!$K$4:$K$2004,$Z1091-2000)),IF($Z1091&lt;=5200,N(INDEX(客户自备加工筐明细!$F$4:$F$1203,$Z1091-4000))+N(INDEX(客户自备加工筐明细!$G$4:$G$1203,$Z1091-4000)),IF($Z1091&lt;=5800,IF(INDEX(次果筐明细!$G$4:$G$603,$Z1091-5200)=0,"",INDEX(次果筐明细!$G$4:$G$603,$Z1091-5200)),"")))))</f>
        <v/>
      </c>
      <c r="I1091" s="24" t="str">
        <f>IF($Z1091="","",IF($Z1091&lt;=2000,IF(INDEX(包装物料出入库明细!$G$4:$G$2003,$Z1091-0)=0,"",INDEX(包装物料出入库明细!$G$4:$G$2003,$Z1091-0)),IF($Z1091&lt;=4000,"个",IF($Z1091&lt;=5200,"个",IF($Z1091&lt;=5800,"个","")))))</f>
        <v/>
      </c>
      <c r="J1091" s="30" t="str">
        <f t="shared" si="49"/>
        <v/>
      </c>
      <c r="K1091" s="30" t="str">
        <f>IF($Z1091="","",IF($Z1091&lt;=2000,IF(INDEX(包装物料出入库明细!$N$4:$N$2003,$Z1091-0)=0,"",INDEX(包装物料出入库明细!$N$4:$N$2003,$Z1091-0)),IF($Z1091&lt;=4000,IF(INDEX(周转筐出入库明细!$P$4:$P$2004,$Z1091-2000)=0,"",INDEX(周转筐出入库明细!$P$4:$P$2004,$Z1091-2000)),IF($Z1091&lt;=5200,"",IF($Z1091&lt;=5800,N(INDEX(次果筐明细!$L$4:$L$603,$Z1091-5200))+N(INDEX(次果筐明细!$J$4:$J$603,$Z1091-5200)),"")))))</f>
        <v/>
      </c>
      <c r="L1091" s="24" t="str">
        <f>IF($Z1091="","",IF($Z1091&lt;=2000,IF(INDEX(包装物料出入库明细!$P$4:$P$2003,$Z1091-0)=0,"",INDEX(包装物料出入库明细!$P$4:$P$2003,$Z1091-0)),IF($Z1091&lt;=4000,IF(INDEX(周转筐出入库明细!$Q$4:$Q$2004,$Z1091-2000)=0,"",INDEX(周转筐出入库明细!$Q$4:$Q$2004,$Z1091-2000)),IF($Z1091&lt;=5200,"",IF($Z1091&lt;=5800,IF(INDEX(次果筐明细!$M$4:$M$603,$Z1091-5200)=0,"",INDEX(次果筐明细!$M$4:$M$603,$Z1091-5200)),"")))))</f>
        <v/>
      </c>
      <c r="M1091" s="37" t="str">
        <f>IF($Z1091="","",IF($Z1091&lt;=2000,IF(INDEX(包装物料出入库明细!$R$4:$R$2003,$Z1091-0)=0,"",INDEX(包装物料出入库明细!$R$4:$R$2003,$Z1091-0)),IF($Z1091&lt;=4000,IF(INDEX(周转筐出入库明细!$W$4:$W$2004,$Z1091-2000)=0,"",INDEX(周转筐出入库明细!$W$4:$W$2004,$Z1091-2000)),IF($Z1091&lt;=5200,IF(INDEX(客户自备加工筐明细!$L$4:$L$1203,$Z1091-4000)=0,"",INDEX(客户自备加工筐明细!$L$4:$L$1203,$Z1091-4000)),IF($Z1091&lt;=5800,IF(INDEX(次果筐明细!$P$4:$P$603,$Z1091-5200)=0,"",INDEX(次果筐明细!$P$4:$P$603,$Z1091-5200)),"")))))</f>
        <v/>
      </c>
      <c r="N1091" s="16" t="str">
        <f>IF($Z1091="","",IF($Z1091&lt;=2000,"",IF($Z1091&lt;=4000,IF(INDEX(周转筐出入库明细!$D$4:$D$2004,$Z1091-2000)=0,"",INDEX(周转筐出入库明细!$D$4:$D$2004,$Z1091-2000)),IF($Z1091&lt;=5200,IF(INDEX(客户自备加工筐明细!$C$4:$C$1203,$Z1091-4000)=0,"",INDEX(客户自备加工筐明细!$C$4:$C$1203,$Z1091-4000)),IF($Z1091&lt;=5800,IF(INDEX(次果筐明细!$D$4:$D$603,$Z1091-5200)=0,"",INDEX(次果筐明细!$D$4:$D$603,$Z1091-5200)),"")))))</f>
        <v/>
      </c>
      <c r="O1091" s="40" t="str">
        <f>IF($Z1091="","",IF($Z1091&lt;=2000,"",IF($Z1091&lt;=4000,IF(N(INDEX(周转筐出入库明细!$J$4:$J$2004,$Z1091-2000))+N(INDEX(周转筐出入库明细!$K$4:$K$2004,$Z1091-2000))=0,"",N(INDEX(周转筐出入库明细!$J$4:$J$2004,$Z1091-2000))+N(INDEX(周转筐出入库明细!$K$4:$K$2004,$Z1091-2000))),IF($Z1091&lt;=5200,IF(N(INDEX(客户自备加工筐明细!$G$4:$G$1203,$Z1091-4000))=0,"",N(INDEX(客户自备加工筐明细!$G$4:$G$1203,$Z1091-4000))),IF($Z1091&lt;=5800,IF(ISNUMBER(SEARCH("退",INDEX(次果筐明细!$F$4:$F$603,$Z1091-5200)&amp;"")),"",IF(N(INDEX(次果筐明细!$G$4:$G$603,$Z1091-5200))=0,"",N(INDEX(次果筐明细!$G$4:$G$603,$Z1091-5200)))),"")))))</f>
        <v/>
      </c>
      <c r="P1091" s="40" t="str">
        <f>IF($Z1091="","",IF($Z1091&lt;=2000,"",IF($Z1091&lt;=4000,IF(N(INDEX(周转筐出入库明细!$I$4:$I$2004,$Z1091-2000))=0,"",N(INDEX(周转筐出入库明细!$I$4:$I$2004,$Z1091-2000))),IF($Z1091&lt;=5200,"",IF($Z1091&lt;=5800,IF(ISNUMBER(SEARCH("退",INDEX(次果筐明细!$F$4:$F$603,$Z1091-5200)&amp;"")),IF(N(INDEX(次果筐明细!$G$4:$G$603,$Z1091-5200))=0,"",N(INDEX(次果筐明细!$G$4:$G$603,$Z1091-5200))),""),"")))))</f>
        <v/>
      </c>
      <c r="Q1091" s="40" t="str">
        <f>IF($Z1091="","",IF($Z1091&lt;=2000,"",IF($Z1091&lt;=4000,IF(N(INDEX(周转筐出入库明细!$H$4:$H$2004,$Z1091-2000))=0,"",N(INDEX(周转筐出入库明细!$H$4:$H$2004,$Z1091-2000))),IF($Z1091&lt;=5200,IF(N(INDEX(客户自备加工筐明细!$F$4:$F$1203,$Z1091-4000))=0,"",N(INDEX(客户自备加工筐明细!$F$4:$F$1203,$Z1091-4000))),IF($Z1091&lt;=5800,"","")))))</f>
        <v/>
      </c>
      <c r="R1091" s="16" t="str">
        <f>IF($Z1091="","",IF($Z1091&lt;=2000,IF(INDEX(包装物料出入库明细!$O$4:$O$2003,$Z1091-0)=0,"",INDEX(包装物料出入库明细!$O$4:$O$2003,$Z1091-0)),IF($Z1091&lt;=4000,IF(INDEX(周转筐出入库明细!$M$4:$M$2004,$Z1091-2000)=0,"",INDEX(周转筐出入库明细!$M$4:$M$2004,$Z1091-2000)),IF($Z1091&lt;=5200,IF(INDEX(客户自备加工筐明细!$H$4:$H$1203,$Z1091-4000)=0,"",INDEX(客户自备加工筐明细!$H$4:$H$1203,$Z1091-4000)),IF($Z1091&lt;=5800,IF(INDEX(次果筐明细!$H$4:$H$603,$Z1091-5200)=0,"",INDEX(次果筐明细!$H$4:$H$603,$Z1091-5200)),"")))))</f>
        <v/>
      </c>
      <c r="S1091" s="22" t="str">
        <f t="shared" si="50"/>
        <v/>
      </c>
      <c r="Z1091" s="10" t="str">
        <f>IFERROR(MATCH(ROW()-3,_自动清单!$CQ$4:$CQ$5803,0),"")</f>
        <v/>
      </c>
    </row>
    <row r="1092" spans="1:26">
      <c r="A1092" s="24" t="str">
        <f t="shared" ref="A1092:A1155" si="51">IF($B1092="","",ROW()-3)</f>
        <v/>
      </c>
      <c r="B1092" s="38" t="str">
        <f>IF($Z1092="","",IF($Z1092&lt;=2000,IF(INDEX(包装物料出入库明细!$B$4:$B$2003,$Z1092-0)=0,"",INDEX(包装物料出入库明细!$B$4:$B$2003,$Z1092-0)),IF($Z1092&lt;=4000,IF(INDEX(周转筐出入库明细!$B$4:$B$2004,$Z1092-2000)=0,"",INDEX(周转筐出入库明细!$B$4:$B$2004,$Z1092-2000)),IF($Z1092&lt;=5200,IF(INDEX(客户自备加工筐明细!$B$4:$B$1203,$Z1092-4000)=0,"",INDEX(客户自备加工筐明细!$B$4:$B$1203,$Z1092-4000)),IF($Z1092&lt;=5800,IF(INDEX(次果筐明细!$B$4:$B$603,$Z1092-5200)=0,"",INDEX(次果筐明细!$B$4:$B$603,$Z1092-5200)),"")))))</f>
        <v/>
      </c>
      <c r="C1092" s="37" t="str">
        <f>IF($Z1092="","",IF($Z1092&lt;=2000,IF(INDEX(包装物料出入库明细!$D$4:$D$2003,$Z1092-0)=0,"",INDEX(包装物料出入库明细!$D$4:$D$2003,$Z1092-0)),IF($Z1092&lt;=4000,IF(INDEX(周转筐出入库明细!$C$4:$C$2004,$Z1092-2000)=0,"",INDEX(周转筐出入库明细!$C$4:$C$2004,$Z1092-2000)),IF($Z1092&lt;=5200,IF(INDEX(客户自备加工筐明细!$E$4:$E$1203,$Z1092-4000)=0,"",INDEX(客户自备加工筐明细!$E$4:$E$1203,$Z1092-4000)),IF($Z1092&lt;=5800,IF(INDEX(次果筐明细!$C$4:$C$603,$Z1092-5200)=0,"",INDEX(次果筐明细!$C$4:$C$603,$Z1092-5200)),"")))))</f>
        <v/>
      </c>
      <c r="D1092" s="37" t="str">
        <f>IF($Z1092="","",IF($Z1092&lt;=2000,"包装物料－"&amp;INDEX(包装物料出入库明细!$H$4:$H$2003,$Z1092-0),IF($Z1092&lt;=4000,"周转筐－"&amp;INDEX(周转筐出入库明细!$F$4:$F$2004,$Z1092-2000),IF($Z1092&lt;=5200,"客户自备筐－"&amp;INDEX(客户自备加工筐明细!$J$4:$J$1203,$Z1092-4000),IF($Z1092&lt;=5800,"次果筐/托盘－"&amp;INDEX(次果筐明细!$F$4:$F$603,$Z1092-5200),"")))))</f>
        <v/>
      </c>
      <c r="E1092" s="24" t="str">
        <f>IF($Z1092="","",IF($Z1092&lt;=2000,IF(INDEX(包装物料出入库明细!$C$4:$C$2003,$Z1092-0)=0,"",INDEX(包装物料出入库明细!$C$4:$C$2003,$Z1092-0)),IF($Z1092&lt;=4000,IF(INDEX(周转筐出入库明细!$E$4:$E$2004,$Z1092-2000)=0,"",INDEX(周转筐出入库明细!$E$4:$E$2004,$Z1092-2000)),IF($Z1092&lt;=5200,IF(INDEX(客户自备加工筐明细!$D$4:$D$1203,$Z1092-4000)=0,"",INDEX(客户自备加工筐明细!$D$4:$D$1203,$Z1092-4000)),IF($Z1092&lt;=5800,IF(INDEX(次果筐明细!$E$4:$E$603,$Z1092-5200)=0,"",INDEX(次果筐明细!$E$4:$E$603,$Z1092-5200)),"")))))</f>
        <v/>
      </c>
      <c r="F1092" s="24" t="str">
        <f>IF($Z1092="","",IF($Z1092&lt;=2000,IF(INDEX(包装物料出入库明细!$E$4:$E$2003,$Z1092-0)=0,"",INDEX(包装物料出入库明细!$E$4:$E$2003,$Z1092-0)),IF($Z1092&lt;=4000,IF(INDEX(周转筐出入库明细!$D$4:$D$2004,$Z1092-2000)=0,"",INDEX(周转筐出入库明细!$D$4:$D$2004,$Z1092-2000)),IF($Z1092&lt;=5200,IF(INDEX(客户自备加工筐明细!$C$4:$C$1203,$Z1092-4000)=0,"",INDEX(客户自备加工筐明细!$C$4:$C$1203,$Z1092-4000)),IF($Z1092&lt;=5800,IF(INDEX(次果筐明细!$D$4:$D$603,$Z1092-5200)=0,"",INDEX(次果筐明细!$D$4:$D$603,$Z1092-5200)),"")))))</f>
        <v/>
      </c>
      <c r="G1092" s="24" t="str">
        <f>IF($Z1092="","",IF($Z1092&lt;=2000,IF(INDEX(包装物料出入库明细!$F$4:$F$2003,$Z1092-0)=0,"",INDEX(包装物料出入库明细!$F$4:$F$2003,$Z1092-0)),IF($Z1092&lt;=4000,"",IF($Z1092&lt;=5200,"",IF($Z1092&lt;=5800,"","")))))</f>
        <v/>
      </c>
      <c r="H1092" s="39" t="str">
        <f>IF($Z1092="","",IF($Z1092&lt;=2000,IF(INDEX(包装物料出入库明细!$L$4:$L$2003,$Z1092-0)=0,"",INDEX(包装物料出入库明细!$L$4:$L$2003,$Z1092-0)),IF($Z1092&lt;=4000,N(INDEX(周转筐出入库明细!$H$4:$H$2004,$Z1092-2000))+N(INDEX(周转筐出入库明细!$I$4:$I$2004,$Z1092-2000))+N(INDEX(周转筐出入库明细!$J$4:$J$2004,$Z1092-2000))+N(INDEX(周转筐出入库明细!$K$4:$K$2004,$Z1092-2000)),IF($Z1092&lt;=5200,N(INDEX(客户自备加工筐明细!$F$4:$F$1203,$Z1092-4000))+N(INDEX(客户自备加工筐明细!$G$4:$G$1203,$Z1092-4000)),IF($Z1092&lt;=5800,IF(INDEX(次果筐明细!$G$4:$G$603,$Z1092-5200)=0,"",INDEX(次果筐明细!$G$4:$G$603,$Z1092-5200)),"")))))</f>
        <v/>
      </c>
      <c r="I1092" s="24" t="str">
        <f>IF($Z1092="","",IF($Z1092&lt;=2000,IF(INDEX(包装物料出入库明细!$G$4:$G$2003,$Z1092-0)=0,"",INDEX(包装物料出入库明细!$G$4:$G$2003,$Z1092-0)),IF($Z1092&lt;=4000,"个",IF($Z1092&lt;=5200,"个",IF($Z1092&lt;=5800,"个","")))))</f>
        <v/>
      </c>
      <c r="J1092" s="30" t="str">
        <f t="shared" ref="J1092:J1155" si="52">IF($Z1092="","",IF($Z1092&lt;=2000,"",IF($Z1092&lt;=4000,"",IF($Z1092&lt;=5200,"",IF($Z1092&lt;=5800,"","")))))</f>
        <v/>
      </c>
      <c r="K1092" s="30" t="str">
        <f>IF($Z1092="","",IF($Z1092&lt;=2000,IF(INDEX(包装物料出入库明细!$N$4:$N$2003,$Z1092-0)=0,"",INDEX(包装物料出入库明细!$N$4:$N$2003,$Z1092-0)),IF($Z1092&lt;=4000,IF(INDEX(周转筐出入库明细!$P$4:$P$2004,$Z1092-2000)=0,"",INDEX(周转筐出入库明细!$P$4:$P$2004,$Z1092-2000)),IF($Z1092&lt;=5200,"",IF($Z1092&lt;=5800,N(INDEX(次果筐明细!$L$4:$L$603,$Z1092-5200))+N(INDEX(次果筐明细!$J$4:$J$603,$Z1092-5200)),"")))))</f>
        <v/>
      </c>
      <c r="L1092" s="24" t="str">
        <f>IF($Z1092="","",IF($Z1092&lt;=2000,IF(INDEX(包装物料出入库明细!$P$4:$P$2003,$Z1092-0)=0,"",INDEX(包装物料出入库明细!$P$4:$P$2003,$Z1092-0)),IF($Z1092&lt;=4000,IF(INDEX(周转筐出入库明细!$Q$4:$Q$2004,$Z1092-2000)=0,"",INDEX(周转筐出入库明细!$Q$4:$Q$2004,$Z1092-2000)),IF($Z1092&lt;=5200,"",IF($Z1092&lt;=5800,IF(INDEX(次果筐明细!$M$4:$M$603,$Z1092-5200)=0,"",INDEX(次果筐明细!$M$4:$M$603,$Z1092-5200)),"")))))</f>
        <v/>
      </c>
      <c r="M1092" s="37" t="str">
        <f>IF($Z1092="","",IF($Z1092&lt;=2000,IF(INDEX(包装物料出入库明细!$R$4:$R$2003,$Z1092-0)=0,"",INDEX(包装物料出入库明细!$R$4:$R$2003,$Z1092-0)),IF($Z1092&lt;=4000,IF(INDEX(周转筐出入库明细!$W$4:$W$2004,$Z1092-2000)=0,"",INDEX(周转筐出入库明细!$W$4:$W$2004,$Z1092-2000)),IF($Z1092&lt;=5200,IF(INDEX(客户自备加工筐明细!$L$4:$L$1203,$Z1092-4000)=0,"",INDEX(客户自备加工筐明细!$L$4:$L$1203,$Z1092-4000)),IF($Z1092&lt;=5800,IF(INDEX(次果筐明细!$P$4:$P$603,$Z1092-5200)=0,"",INDEX(次果筐明细!$P$4:$P$603,$Z1092-5200)),"")))))</f>
        <v/>
      </c>
      <c r="N1092" s="16" t="str">
        <f>IF($Z1092="","",IF($Z1092&lt;=2000,"",IF($Z1092&lt;=4000,IF(INDEX(周转筐出入库明细!$D$4:$D$2004,$Z1092-2000)=0,"",INDEX(周转筐出入库明细!$D$4:$D$2004,$Z1092-2000)),IF($Z1092&lt;=5200,IF(INDEX(客户自备加工筐明细!$C$4:$C$1203,$Z1092-4000)=0,"",INDEX(客户自备加工筐明细!$C$4:$C$1203,$Z1092-4000)),IF($Z1092&lt;=5800,IF(INDEX(次果筐明细!$D$4:$D$603,$Z1092-5200)=0,"",INDEX(次果筐明细!$D$4:$D$603,$Z1092-5200)),"")))))</f>
        <v/>
      </c>
      <c r="O1092" s="40" t="str">
        <f>IF($Z1092="","",IF($Z1092&lt;=2000,"",IF($Z1092&lt;=4000,IF(N(INDEX(周转筐出入库明细!$J$4:$J$2004,$Z1092-2000))+N(INDEX(周转筐出入库明细!$K$4:$K$2004,$Z1092-2000))=0,"",N(INDEX(周转筐出入库明细!$J$4:$J$2004,$Z1092-2000))+N(INDEX(周转筐出入库明细!$K$4:$K$2004,$Z1092-2000))),IF($Z1092&lt;=5200,IF(N(INDEX(客户自备加工筐明细!$G$4:$G$1203,$Z1092-4000))=0,"",N(INDEX(客户自备加工筐明细!$G$4:$G$1203,$Z1092-4000))),IF($Z1092&lt;=5800,IF(ISNUMBER(SEARCH("退",INDEX(次果筐明细!$F$4:$F$603,$Z1092-5200)&amp;"")),"",IF(N(INDEX(次果筐明细!$G$4:$G$603,$Z1092-5200))=0,"",N(INDEX(次果筐明细!$G$4:$G$603,$Z1092-5200)))),"")))))</f>
        <v/>
      </c>
      <c r="P1092" s="40" t="str">
        <f>IF($Z1092="","",IF($Z1092&lt;=2000,"",IF($Z1092&lt;=4000,IF(N(INDEX(周转筐出入库明细!$I$4:$I$2004,$Z1092-2000))=0,"",N(INDEX(周转筐出入库明细!$I$4:$I$2004,$Z1092-2000))),IF($Z1092&lt;=5200,"",IF($Z1092&lt;=5800,IF(ISNUMBER(SEARCH("退",INDEX(次果筐明细!$F$4:$F$603,$Z1092-5200)&amp;"")),IF(N(INDEX(次果筐明细!$G$4:$G$603,$Z1092-5200))=0,"",N(INDEX(次果筐明细!$G$4:$G$603,$Z1092-5200))),""),"")))))</f>
        <v/>
      </c>
      <c r="Q1092" s="40" t="str">
        <f>IF($Z1092="","",IF($Z1092&lt;=2000,"",IF($Z1092&lt;=4000,IF(N(INDEX(周转筐出入库明细!$H$4:$H$2004,$Z1092-2000))=0,"",N(INDEX(周转筐出入库明细!$H$4:$H$2004,$Z1092-2000))),IF($Z1092&lt;=5200,IF(N(INDEX(客户自备加工筐明细!$F$4:$F$1203,$Z1092-4000))=0,"",N(INDEX(客户自备加工筐明细!$F$4:$F$1203,$Z1092-4000))),IF($Z1092&lt;=5800,"","")))))</f>
        <v/>
      </c>
      <c r="R1092" s="16" t="str">
        <f>IF($Z1092="","",IF($Z1092&lt;=2000,IF(INDEX(包装物料出入库明细!$O$4:$O$2003,$Z1092-0)=0,"",INDEX(包装物料出入库明细!$O$4:$O$2003,$Z1092-0)),IF($Z1092&lt;=4000,IF(INDEX(周转筐出入库明细!$M$4:$M$2004,$Z1092-2000)=0,"",INDEX(周转筐出入库明细!$M$4:$M$2004,$Z1092-2000)),IF($Z1092&lt;=5200,IF(INDEX(客户自备加工筐明细!$H$4:$H$1203,$Z1092-4000)=0,"",INDEX(客户自备加工筐明细!$H$4:$H$1203,$Z1092-4000)),IF($Z1092&lt;=5800,IF(INDEX(次果筐明细!$H$4:$H$603,$Z1092-5200)=0,"",INDEX(次果筐明细!$H$4:$H$603,$Z1092-5200)),"")))))</f>
        <v/>
      </c>
      <c r="S1092" s="22" t="str">
        <f t="shared" ref="S1092:S1155" si="53">IF($N1092="","",IF(OR(LEFT($N1092,2)="自备",AND($Z1092&gt;4000,$Z1092&lt;=5200)),"自备筐","公司筐"))</f>
        <v/>
      </c>
      <c r="Z1092" s="10" t="str">
        <f>IFERROR(MATCH(ROW()-3,_自动清单!$CQ$4:$CQ$5803,0),"")</f>
        <v/>
      </c>
    </row>
    <row r="1093" spans="1:26">
      <c r="A1093" s="24" t="str">
        <f t="shared" si="51"/>
        <v/>
      </c>
      <c r="B1093" s="38" t="str">
        <f>IF($Z1093="","",IF($Z1093&lt;=2000,IF(INDEX(包装物料出入库明细!$B$4:$B$2003,$Z1093-0)=0,"",INDEX(包装物料出入库明细!$B$4:$B$2003,$Z1093-0)),IF($Z1093&lt;=4000,IF(INDEX(周转筐出入库明细!$B$4:$B$2004,$Z1093-2000)=0,"",INDEX(周转筐出入库明细!$B$4:$B$2004,$Z1093-2000)),IF($Z1093&lt;=5200,IF(INDEX(客户自备加工筐明细!$B$4:$B$1203,$Z1093-4000)=0,"",INDEX(客户自备加工筐明细!$B$4:$B$1203,$Z1093-4000)),IF($Z1093&lt;=5800,IF(INDEX(次果筐明细!$B$4:$B$603,$Z1093-5200)=0,"",INDEX(次果筐明细!$B$4:$B$603,$Z1093-5200)),"")))))</f>
        <v/>
      </c>
      <c r="C1093" s="37" t="str">
        <f>IF($Z1093="","",IF($Z1093&lt;=2000,IF(INDEX(包装物料出入库明细!$D$4:$D$2003,$Z1093-0)=0,"",INDEX(包装物料出入库明细!$D$4:$D$2003,$Z1093-0)),IF($Z1093&lt;=4000,IF(INDEX(周转筐出入库明细!$C$4:$C$2004,$Z1093-2000)=0,"",INDEX(周转筐出入库明细!$C$4:$C$2004,$Z1093-2000)),IF($Z1093&lt;=5200,IF(INDEX(客户自备加工筐明细!$E$4:$E$1203,$Z1093-4000)=0,"",INDEX(客户自备加工筐明细!$E$4:$E$1203,$Z1093-4000)),IF($Z1093&lt;=5800,IF(INDEX(次果筐明细!$C$4:$C$603,$Z1093-5200)=0,"",INDEX(次果筐明细!$C$4:$C$603,$Z1093-5200)),"")))))</f>
        <v/>
      </c>
      <c r="D1093" s="37" t="str">
        <f>IF($Z1093="","",IF($Z1093&lt;=2000,"包装物料－"&amp;INDEX(包装物料出入库明细!$H$4:$H$2003,$Z1093-0),IF($Z1093&lt;=4000,"周转筐－"&amp;INDEX(周转筐出入库明细!$F$4:$F$2004,$Z1093-2000),IF($Z1093&lt;=5200,"客户自备筐－"&amp;INDEX(客户自备加工筐明细!$J$4:$J$1203,$Z1093-4000),IF($Z1093&lt;=5800,"次果筐/托盘－"&amp;INDEX(次果筐明细!$F$4:$F$603,$Z1093-5200),"")))))</f>
        <v/>
      </c>
      <c r="E1093" s="24" t="str">
        <f>IF($Z1093="","",IF($Z1093&lt;=2000,IF(INDEX(包装物料出入库明细!$C$4:$C$2003,$Z1093-0)=0,"",INDEX(包装物料出入库明细!$C$4:$C$2003,$Z1093-0)),IF($Z1093&lt;=4000,IF(INDEX(周转筐出入库明细!$E$4:$E$2004,$Z1093-2000)=0,"",INDEX(周转筐出入库明细!$E$4:$E$2004,$Z1093-2000)),IF($Z1093&lt;=5200,IF(INDEX(客户自备加工筐明细!$D$4:$D$1203,$Z1093-4000)=0,"",INDEX(客户自备加工筐明细!$D$4:$D$1203,$Z1093-4000)),IF($Z1093&lt;=5800,IF(INDEX(次果筐明细!$E$4:$E$603,$Z1093-5200)=0,"",INDEX(次果筐明细!$E$4:$E$603,$Z1093-5200)),"")))))</f>
        <v/>
      </c>
      <c r="F1093" s="24" t="str">
        <f>IF($Z1093="","",IF($Z1093&lt;=2000,IF(INDEX(包装物料出入库明细!$E$4:$E$2003,$Z1093-0)=0,"",INDEX(包装物料出入库明细!$E$4:$E$2003,$Z1093-0)),IF($Z1093&lt;=4000,IF(INDEX(周转筐出入库明细!$D$4:$D$2004,$Z1093-2000)=0,"",INDEX(周转筐出入库明细!$D$4:$D$2004,$Z1093-2000)),IF($Z1093&lt;=5200,IF(INDEX(客户自备加工筐明细!$C$4:$C$1203,$Z1093-4000)=0,"",INDEX(客户自备加工筐明细!$C$4:$C$1203,$Z1093-4000)),IF($Z1093&lt;=5800,IF(INDEX(次果筐明细!$D$4:$D$603,$Z1093-5200)=0,"",INDEX(次果筐明细!$D$4:$D$603,$Z1093-5200)),"")))))</f>
        <v/>
      </c>
      <c r="G1093" s="24" t="str">
        <f>IF($Z1093="","",IF($Z1093&lt;=2000,IF(INDEX(包装物料出入库明细!$F$4:$F$2003,$Z1093-0)=0,"",INDEX(包装物料出入库明细!$F$4:$F$2003,$Z1093-0)),IF($Z1093&lt;=4000,"",IF($Z1093&lt;=5200,"",IF($Z1093&lt;=5800,"","")))))</f>
        <v/>
      </c>
      <c r="H1093" s="39" t="str">
        <f>IF($Z1093="","",IF($Z1093&lt;=2000,IF(INDEX(包装物料出入库明细!$L$4:$L$2003,$Z1093-0)=0,"",INDEX(包装物料出入库明细!$L$4:$L$2003,$Z1093-0)),IF($Z1093&lt;=4000,N(INDEX(周转筐出入库明细!$H$4:$H$2004,$Z1093-2000))+N(INDEX(周转筐出入库明细!$I$4:$I$2004,$Z1093-2000))+N(INDEX(周转筐出入库明细!$J$4:$J$2004,$Z1093-2000))+N(INDEX(周转筐出入库明细!$K$4:$K$2004,$Z1093-2000)),IF($Z1093&lt;=5200,N(INDEX(客户自备加工筐明细!$F$4:$F$1203,$Z1093-4000))+N(INDEX(客户自备加工筐明细!$G$4:$G$1203,$Z1093-4000)),IF($Z1093&lt;=5800,IF(INDEX(次果筐明细!$G$4:$G$603,$Z1093-5200)=0,"",INDEX(次果筐明细!$G$4:$G$603,$Z1093-5200)),"")))))</f>
        <v/>
      </c>
      <c r="I1093" s="24" t="str">
        <f>IF($Z1093="","",IF($Z1093&lt;=2000,IF(INDEX(包装物料出入库明细!$G$4:$G$2003,$Z1093-0)=0,"",INDEX(包装物料出入库明细!$G$4:$G$2003,$Z1093-0)),IF($Z1093&lt;=4000,"个",IF($Z1093&lt;=5200,"个",IF($Z1093&lt;=5800,"个","")))))</f>
        <v/>
      </c>
      <c r="J1093" s="30" t="str">
        <f t="shared" si="52"/>
        <v/>
      </c>
      <c r="K1093" s="30" t="str">
        <f>IF($Z1093="","",IF($Z1093&lt;=2000,IF(INDEX(包装物料出入库明细!$N$4:$N$2003,$Z1093-0)=0,"",INDEX(包装物料出入库明细!$N$4:$N$2003,$Z1093-0)),IF($Z1093&lt;=4000,IF(INDEX(周转筐出入库明细!$P$4:$P$2004,$Z1093-2000)=0,"",INDEX(周转筐出入库明细!$P$4:$P$2004,$Z1093-2000)),IF($Z1093&lt;=5200,"",IF($Z1093&lt;=5800,N(INDEX(次果筐明细!$L$4:$L$603,$Z1093-5200))+N(INDEX(次果筐明细!$J$4:$J$603,$Z1093-5200)),"")))))</f>
        <v/>
      </c>
      <c r="L1093" s="24" t="str">
        <f>IF($Z1093="","",IF($Z1093&lt;=2000,IF(INDEX(包装物料出入库明细!$P$4:$P$2003,$Z1093-0)=0,"",INDEX(包装物料出入库明细!$P$4:$P$2003,$Z1093-0)),IF($Z1093&lt;=4000,IF(INDEX(周转筐出入库明细!$Q$4:$Q$2004,$Z1093-2000)=0,"",INDEX(周转筐出入库明细!$Q$4:$Q$2004,$Z1093-2000)),IF($Z1093&lt;=5200,"",IF($Z1093&lt;=5800,IF(INDEX(次果筐明细!$M$4:$M$603,$Z1093-5200)=0,"",INDEX(次果筐明细!$M$4:$M$603,$Z1093-5200)),"")))))</f>
        <v/>
      </c>
      <c r="M1093" s="37" t="str">
        <f>IF($Z1093="","",IF($Z1093&lt;=2000,IF(INDEX(包装物料出入库明细!$R$4:$R$2003,$Z1093-0)=0,"",INDEX(包装物料出入库明细!$R$4:$R$2003,$Z1093-0)),IF($Z1093&lt;=4000,IF(INDEX(周转筐出入库明细!$W$4:$W$2004,$Z1093-2000)=0,"",INDEX(周转筐出入库明细!$W$4:$W$2004,$Z1093-2000)),IF($Z1093&lt;=5200,IF(INDEX(客户自备加工筐明细!$L$4:$L$1203,$Z1093-4000)=0,"",INDEX(客户自备加工筐明细!$L$4:$L$1203,$Z1093-4000)),IF($Z1093&lt;=5800,IF(INDEX(次果筐明细!$P$4:$P$603,$Z1093-5200)=0,"",INDEX(次果筐明细!$P$4:$P$603,$Z1093-5200)),"")))))</f>
        <v/>
      </c>
      <c r="N1093" s="16" t="str">
        <f>IF($Z1093="","",IF($Z1093&lt;=2000,"",IF($Z1093&lt;=4000,IF(INDEX(周转筐出入库明细!$D$4:$D$2004,$Z1093-2000)=0,"",INDEX(周转筐出入库明细!$D$4:$D$2004,$Z1093-2000)),IF($Z1093&lt;=5200,IF(INDEX(客户自备加工筐明细!$C$4:$C$1203,$Z1093-4000)=0,"",INDEX(客户自备加工筐明细!$C$4:$C$1203,$Z1093-4000)),IF($Z1093&lt;=5800,IF(INDEX(次果筐明细!$D$4:$D$603,$Z1093-5200)=0,"",INDEX(次果筐明细!$D$4:$D$603,$Z1093-5200)),"")))))</f>
        <v/>
      </c>
      <c r="O1093" s="40" t="str">
        <f>IF($Z1093="","",IF($Z1093&lt;=2000,"",IF($Z1093&lt;=4000,IF(N(INDEX(周转筐出入库明细!$J$4:$J$2004,$Z1093-2000))+N(INDEX(周转筐出入库明细!$K$4:$K$2004,$Z1093-2000))=0,"",N(INDEX(周转筐出入库明细!$J$4:$J$2004,$Z1093-2000))+N(INDEX(周转筐出入库明细!$K$4:$K$2004,$Z1093-2000))),IF($Z1093&lt;=5200,IF(N(INDEX(客户自备加工筐明细!$G$4:$G$1203,$Z1093-4000))=0,"",N(INDEX(客户自备加工筐明细!$G$4:$G$1203,$Z1093-4000))),IF($Z1093&lt;=5800,IF(ISNUMBER(SEARCH("退",INDEX(次果筐明细!$F$4:$F$603,$Z1093-5200)&amp;"")),"",IF(N(INDEX(次果筐明细!$G$4:$G$603,$Z1093-5200))=0,"",N(INDEX(次果筐明细!$G$4:$G$603,$Z1093-5200)))),"")))))</f>
        <v/>
      </c>
      <c r="P1093" s="40" t="str">
        <f>IF($Z1093="","",IF($Z1093&lt;=2000,"",IF($Z1093&lt;=4000,IF(N(INDEX(周转筐出入库明细!$I$4:$I$2004,$Z1093-2000))=0,"",N(INDEX(周转筐出入库明细!$I$4:$I$2004,$Z1093-2000))),IF($Z1093&lt;=5200,"",IF($Z1093&lt;=5800,IF(ISNUMBER(SEARCH("退",INDEX(次果筐明细!$F$4:$F$603,$Z1093-5200)&amp;"")),IF(N(INDEX(次果筐明细!$G$4:$G$603,$Z1093-5200))=0,"",N(INDEX(次果筐明细!$G$4:$G$603,$Z1093-5200))),""),"")))))</f>
        <v/>
      </c>
      <c r="Q1093" s="40" t="str">
        <f>IF($Z1093="","",IF($Z1093&lt;=2000,"",IF($Z1093&lt;=4000,IF(N(INDEX(周转筐出入库明细!$H$4:$H$2004,$Z1093-2000))=0,"",N(INDEX(周转筐出入库明细!$H$4:$H$2004,$Z1093-2000))),IF($Z1093&lt;=5200,IF(N(INDEX(客户自备加工筐明细!$F$4:$F$1203,$Z1093-4000))=0,"",N(INDEX(客户自备加工筐明细!$F$4:$F$1203,$Z1093-4000))),IF($Z1093&lt;=5800,"","")))))</f>
        <v/>
      </c>
      <c r="R1093" s="16" t="str">
        <f>IF($Z1093="","",IF($Z1093&lt;=2000,IF(INDEX(包装物料出入库明细!$O$4:$O$2003,$Z1093-0)=0,"",INDEX(包装物料出入库明细!$O$4:$O$2003,$Z1093-0)),IF($Z1093&lt;=4000,IF(INDEX(周转筐出入库明细!$M$4:$M$2004,$Z1093-2000)=0,"",INDEX(周转筐出入库明细!$M$4:$M$2004,$Z1093-2000)),IF($Z1093&lt;=5200,IF(INDEX(客户自备加工筐明细!$H$4:$H$1203,$Z1093-4000)=0,"",INDEX(客户自备加工筐明细!$H$4:$H$1203,$Z1093-4000)),IF($Z1093&lt;=5800,IF(INDEX(次果筐明细!$H$4:$H$603,$Z1093-5200)=0,"",INDEX(次果筐明细!$H$4:$H$603,$Z1093-5200)),"")))))</f>
        <v/>
      </c>
      <c r="S1093" s="22" t="str">
        <f t="shared" si="53"/>
        <v/>
      </c>
      <c r="Z1093" s="10" t="str">
        <f>IFERROR(MATCH(ROW()-3,_自动清单!$CQ$4:$CQ$5803,0),"")</f>
        <v/>
      </c>
    </row>
    <row r="1094" spans="1:26">
      <c r="A1094" s="24" t="str">
        <f t="shared" si="51"/>
        <v/>
      </c>
      <c r="B1094" s="38" t="str">
        <f>IF($Z1094="","",IF($Z1094&lt;=2000,IF(INDEX(包装物料出入库明细!$B$4:$B$2003,$Z1094-0)=0,"",INDEX(包装物料出入库明细!$B$4:$B$2003,$Z1094-0)),IF($Z1094&lt;=4000,IF(INDEX(周转筐出入库明细!$B$4:$B$2004,$Z1094-2000)=0,"",INDEX(周转筐出入库明细!$B$4:$B$2004,$Z1094-2000)),IF($Z1094&lt;=5200,IF(INDEX(客户自备加工筐明细!$B$4:$B$1203,$Z1094-4000)=0,"",INDEX(客户自备加工筐明细!$B$4:$B$1203,$Z1094-4000)),IF($Z1094&lt;=5800,IF(INDEX(次果筐明细!$B$4:$B$603,$Z1094-5200)=0,"",INDEX(次果筐明细!$B$4:$B$603,$Z1094-5200)),"")))))</f>
        <v/>
      </c>
      <c r="C1094" s="37" t="str">
        <f>IF($Z1094="","",IF($Z1094&lt;=2000,IF(INDEX(包装物料出入库明细!$D$4:$D$2003,$Z1094-0)=0,"",INDEX(包装物料出入库明细!$D$4:$D$2003,$Z1094-0)),IF($Z1094&lt;=4000,IF(INDEX(周转筐出入库明细!$C$4:$C$2004,$Z1094-2000)=0,"",INDEX(周转筐出入库明细!$C$4:$C$2004,$Z1094-2000)),IF($Z1094&lt;=5200,IF(INDEX(客户自备加工筐明细!$E$4:$E$1203,$Z1094-4000)=0,"",INDEX(客户自备加工筐明细!$E$4:$E$1203,$Z1094-4000)),IF($Z1094&lt;=5800,IF(INDEX(次果筐明细!$C$4:$C$603,$Z1094-5200)=0,"",INDEX(次果筐明细!$C$4:$C$603,$Z1094-5200)),"")))))</f>
        <v/>
      </c>
      <c r="D1094" s="37" t="str">
        <f>IF($Z1094="","",IF($Z1094&lt;=2000,"包装物料－"&amp;INDEX(包装物料出入库明细!$H$4:$H$2003,$Z1094-0),IF($Z1094&lt;=4000,"周转筐－"&amp;INDEX(周转筐出入库明细!$F$4:$F$2004,$Z1094-2000),IF($Z1094&lt;=5200,"客户自备筐－"&amp;INDEX(客户自备加工筐明细!$J$4:$J$1203,$Z1094-4000),IF($Z1094&lt;=5800,"次果筐/托盘－"&amp;INDEX(次果筐明细!$F$4:$F$603,$Z1094-5200),"")))))</f>
        <v/>
      </c>
      <c r="E1094" s="24" t="str">
        <f>IF($Z1094="","",IF($Z1094&lt;=2000,IF(INDEX(包装物料出入库明细!$C$4:$C$2003,$Z1094-0)=0,"",INDEX(包装物料出入库明细!$C$4:$C$2003,$Z1094-0)),IF($Z1094&lt;=4000,IF(INDEX(周转筐出入库明细!$E$4:$E$2004,$Z1094-2000)=0,"",INDEX(周转筐出入库明细!$E$4:$E$2004,$Z1094-2000)),IF($Z1094&lt;=5200,IF(INDEX(客户自备加工筐明细!$D$4:$D$1203,$Z1094-4000)=0,"",INDEX(客户自备加工筐明细!$D$4:$D$1203,$Z1094-4000)),IF($Z1094&lt;=5800,IF(INDEX(次果筐明细!$E$4:$E$603,$Z1094-5200)=0,"",INDEX(次果筐明细!$E$4:$E$603,$Z1094-5200)),"")))))</f>
        <v/>
      </c>
      <c r="F1094" s="24" t="str">
        <f>IF($Z1094="","",IF($Z1094&lt;=2000,IF(INDEX(包装物料出入库明细!$E$4:$E$2003,$Z1094-0)=0,"",INDEX(包装物料出入库明细!$E$4:$E$2003,$Z1094-0)),IF($Z1094&lt;=4000,IF(INDEX(周转筐出入库明细!$D$4:$D$2004,$Z1094-2000)=0,"",INDEX(周转筐出入库明细!$D$4:$D$2004,$Z1094-2000)),IF($Z1094&lt;=5200,IF(INDEX(客户自备加工筐明细!$C$4:$C$1203,$Z1094-4000)=0,"",INDEX(客户自备加工筐明细!$C$4:$C$1203,$Z1094-4000)),IF($Z1094&lt;=5800,IF(INDEX(次果筐明细!$D$4:$D$603,$Z1094-5200)=0,"",INDEX(次果筐明细!$D$4:$D$603,$Z1094-5200)),"")))))</f>
        <v/>
      </c>
      <c r="G1094" s="24" t="str">
        <f>IF($Z1094="","",IF($Z1094&lt;=2000,IF(INDEX(包装物料出入库明细!$F$4:$F$2003,$Z1094-0)=0,"",INDEX(包装物料出入库明细!$F$4:$F$2003,$Z1094-0)),IF($Z1094&lt;=4000,"",IF($Z1094&lt;=5200,"",IF($Z1094&lt;=5800,"","")))))</f>
        <v/>
      </c>
      <c r="H1094" s="39" t="str">
        <f>IF($Z1094="","",IF($Z1094&lt;=2000,IF(INDEX(包装物料出入库明细!$L$4:$L$2003,$Z1094-0)=0,"",INDEX(包装物料出入库明细!$L$4:$L$2003,$Z1094-0)),IF($Z1094&lt;=4000,N(INDEX(周转筐出入库明细!$H$4:$H$2004,$Z1094-2000))+N(INDEX(周转筐出入库明细!$I$4:$I$2004,$Z1094-2000))+N(INDEX(周转筐出入库明细!$J$4:$J$2004,$Z1094-2000))+N(INDEX(周转筐出入库明细!$K$4:$K$2004,$Z1094-2000)),IF($Z1094&lt;=5200,N(INDEX(客户自备加工筐明细!$F$4:$F$1203,$Z1094-4000))+N(INDEX(客户自备加工筐明细!$G$4:$G$1203,$Z1094-4000)),IF($Z1094&lt;=5800,IF(INDEX(次果筐明细!$G$4:$G$603,$Z1094-5200)=0,"",INDEX(次果筐明细!$G$4:$G$603,$Z1094-5200)),"")))))</f>
        <v/>
      </c>
      <c r="I1094" s="24" t="str">
        <f>IF($Z1094="","",IF($Z1094&lt;=2000,IF(INDEX(包装物料出入库明细!$G$4:$G$2003,$Z1094-0)=0,"",INDEX(包装物料出入库明细!$G$4:$G$2003,$Z1094-0)),IF($Z1094&lt;=4000,"个",IF($Z1094&lt;=5200,"个",IF($Z1094&lt;=5800,"个","")))))</f>
        <v/>
      </c>
      <c r="J1094" s="30" t="str">
        <f t="shared" si="52"/>
        <v/>
      </c>
      <c r="K1094" s="30" t="str">
        <f>IF($Z1094="","",IF($Z1094&lt;=2000,IF(INDEX(包装物料出入库明细!$N$4:$N$2003,$Z1094-0)=0,"",INDEX(包装物料出入库明细!$N$4:$N$2003,$Z1094-0)),IF($Z1094&lt;=4000,IF(INDEX(周转筐出入库明细!$P$4:$P$2004,$Z1094-2000)=0,"",INDEX(周转筐出入库明细!$P$4:$P$2004,$Z1094-2000)),IF($Z1094&lt;=5200,"",IF($Z1094&lt;=5800,N(INDEX(次果筐明细!$L$4:$L$603,$Z1094-5200))+N(INDEX(次果筐明细!$J$4:$J$603,$Z1094-5200)),"")))))</f>
        <v/>
      </c>
      <c r="L1094" s="24" t="str">
        <f>IF($Z1094="","",IF($Z1094&lt;=2000,IF(INDEX(包装物料出入库明细!$P$4:$P$2003,$Z1094-0)=0,"",INDEX(包装物料出入库明细!$P$4:$P$2003,$Z1094-0)),IF($Z1094&lt;=4000,IF(INDEX(周转筐出入库明细!$Q$4:$Q$2004,$Z1094-2000)=0,"",INDEX(周转筐出入库明细!$Q$4:$Q$2004,$Z1094-2000)),IF($Z1094&lt;=5200,"",IF($Z1094&lt;=5800,IF(INDEX(次果筐明细!$M$4:$M$603,$Z1094-5200)=0,"",INDEX(次果筐明细!$M$4:$M$603,$Z1094-5200)),"")))))</f>
        <v/>
      </c>
      <c r="M1094" s="37" t="str">
        <f>IF($Z1094="","",IF($Z1094&lt;=2000,IF(INDEX(包装物料出入库明细!$R$4:$R$2003,$Z1094-0)=0,"",INDEX(包装物料出入库明细!$R$4:$R$2003,$Z1094-0)),IF($Z1094&lt;=4000,IF(INDEX(周转筐出入库明细!$W$4:$W$2004,$Z1094-2000)=0,"",INDEX(周转筐出入库明细!$W$4:$W$2004,$Z1094-2000)),IF($Z1094&lt;=5200,IF(INDEX(客户自备加工筐明细!$L$4:$L$1203,$Z1094-4000)=0,"",INDEX(客户自备加工筐明细!$L$4:$L$1203,$Z1094-4000)),IF($Z1094&lt;=5800,IF(INDEX(次果筐明细!$P$4:$P$603,$Z1094-5200)=0,"",INDEX(次果筐明细!$P$4:$P$603,$Z1094-5200)),"")))))</f>
        <v/>
      </c>
      <c r="N1094" s="16" t="str">
        <f>IF($Z1094="","",IF($Z1094&lt;=2000,"",IF($Z1094&lt;=4000,IF(INDEX(周转筐出入库明细!$D$4:$D$2004,$Z1094-2000)=0,"",INDEX(周转筐出入库明细!$D$4:$D$2004,$Z1094-2000)),IF($Z1094&lt;=5200,IF(INDEX(客户自备加工筐明细!$C$4:$C$1203,$Z1094-4000)=0,"",INDEX(客户自备加工筐明细!$C$4:$C$1203,$Z1094-4000)),IF($Z1094&lt;=5800,IF(INDEX(次果筐明细!$D$4:$D$603,$Z1094-5200)=0,"",INDEX(次果筐明细!$D$4:$D$603,$Z1094-5200)),"")))))</f>
        <v/>
      </c>
      <c r="O1094" s="40" t="str">
        <f>IF($Z1094="","",IF($Z1094&lt;=2000,"",IF($Z1094&lt;=4000,IF(N(INDEX(周转筐出入库明细!$J$4:$J$2004,$Z1094-2000))+N(INDEX(周转筐出入库明细!$K$4:$K$2004,$Z1094-2000))=0,"",N(INDEX(周转筐出入库明细!$J$4:$J$2004,$Z1094-2000))+N(INDEX(周转筐出入库明细!$K$4:$K$2004,$Z1094-2000))),IF($Z1094&lt;=5200,IF(N(INDEX(客户自备加工筐明细!$G$4:$G$1203,$Z1094-4000))=0,"",N(INDEX(客户自备加工筐明细!$G$4:$G$1203,$Z1094-4000))),IF($Z1094&lt;=5800,IF(ISNUMBER(SEARCH("退",INDEX(次果筐明细!$F$4:$F$603,$Z1094-5200)&amp;"")),"",IF(N(INDEX(次果筐明细!$G$4:$G$603,$Z1094-5200))=0,"",N(INDEX(次果筐明细!$G$4:$G$603,$Z1094-5200)))),"")))))</f>
        <v/>
      </c>
      <c r="P1094" s="40" t="str">
        <f>IF($Z1094="","",IF($Z1094&lt;=2000,"",IF($Z1094&lt;=4000,IF(N(INDEX(周转筐出入库明细!$I$4:$I$2004,$Z1094-2000))=0,"",N(INDEX(周转筐出入库明细!$I$4:$I$2004,$Z1094-2000))),IF($Z1094&lt;=5200,"",IF($Z1094&lt;=5800,IF(ISNUMBER(SEARCH("退",INDEX(次果筐明细!$F$4:$F$603,$Z1094-5200)&amp;"")),IF(N(INDEX(次果筐明细!$G$4:$G$603,$Z1094-5200))=0,"",N(INDEX(次果筐明细!$G$4:$G$603,$Z1094-5200))),""),"")))))</f>
        <v/>
      </c>
      <c r="Q1094" s="40" t="str">
        <f>IF($Z1094="","",IF($Z1094&lt;=2000,"",IF($Z1094&lt;=4000,IF(N(INDEX(周转筐出入库明细!$H$4:$H$2004,$Z1094-2000))=0,"",N(INDEX(周转筐出入库明细!$H$4:$H$2004,$Z1094-2000))),IF($Z1094&lt;=5200,IF(N(INDEX(客户自备加工筐明细!$F$4:$F$1203,$Z1094-4000))=0,"",N(INDEX(客户自备加工筐明细!$F$4:$F$1203,$Z1094-4000))),IF($Z1094&lt;=5800,"","")))))</f>
        <v/>
      </c>
      <c r="R1094" s="16" t="str">
        <f>IF($Z1094="","",IF($Z1094&lt;=2000,IF(INDEX(包装物料出入库明细!$O$4:$O$2003,$Z1094-0)=0,"",INDEX(包装物料出入库明细!$O$4:$O$2003,$Z1094-0)),IF($Z1094&lt;=4000,IF(INDEX(周转筐出入库明细!$M$4:$M$2004,$Z1094-2000)=0,"",INDEX(周转筐出入库明细!$M$4:$M$2004,$Z1094-2000)),IF($Z1094&lt;=5200,IF(INDEX(客户自备加工筐明细!$H$4:$H$1203,$Z1094-4000)=0,"",INDEX(客户自备加工筐明细!$H$4:$H$1203,$Z1094-4000)),IF($Z1094&lt;=5800,IF(INDEX(次果筐明细!$H$4:$H$603,$Z1094-5200)=0,"",INDEX(次果筐明细!$H$4:$H$603,$Z1094-5200)),"")))))</f>
        <v/>
      </c>
      <c r="S1094" s="22" t="str">
        <f t="shared" si="53"/>
        <v/>
      </c>
      <c r="Z1094" s="10" t="str">
        <f>IFERROR(MATCH(ROW()-3,_自动清单!$CQ$4:$CQ$5803,0),"")</f>
        <v/>
      </c>
    </row>
    <row r="1095" spans="1:26">
      <c r="A1095" s="24" t="str">
        <f t="shared" si="51"/>
        <v/>
      </c>
      <c r="B1095" s="38" t="str">
        <f>IF($Z1095="","",IF($Z1095&lt;=2000,IF(INDEX(包装物料出入库明细!$B$4:$B$2003,$Z1095-0)=0,"",INDEX(包装物料出入库明细!$B$4:$B$2003,$Z1095-0)),IF($Z1095&lt;=4000,IF(INDEX(周转筐出入库明细!$B$4:$B$2004,$Z1095-2000)=0,"",INDEX(周转筐出入库明细!$B$4:$B$2004,$Z1095-2000)),IF($Z1095&lt;=5200,IF(INDEX(客户自备加工筐明细!$B$4:$B$1203,$Z1095-4000)=0,"",INDEX(客户自备加工筐明细!$B$4:$B$1203,$Z1095-4000)),IF($Z1095&lt;=5800,IF(INDEX(次果筐明细!$B$4:$B$603,$Z1095-5200)=0,"",INDEX(次果筐明细!$B$4:$B$603,$Z1095-5200)),"")))))</f>
        <v/>
      </c>
      <c r="C1095" s="37" t="str">
        <f>IF($Z1095="","",IF($Z1095&lt;=2000,IF(INDEX(包装物料出入库明细!$D$4:$D$2003,$Z1095-0)=0,"",INDEX(包装物料出入库明细!$D$4:$D$2003,$Z1095-0)),IF($Z1095&lt;=4000,IF(INDEX(周转筐出入库明细!$C$4:$C$2004,$Z1095-2000)=0,"",INDEX(周转筐出入库明细!$C$4:$C$2004,$Z1095-2000)),IF($Z1095&lt;=5200,IF(INDEX(客户自备加工筐明细!$E$4:$E$1203,$Z1095-4000)=0,"",INDEX(客户自备加工筐明细!$E$4:$E$1203,$Z1095-4000)),IF($Z1095&lt;=5800,IF(INDEX(次果筐明细!$C$4:$C$603,$Z1095-5200)=0,"",INDEX(次果筐明细!$C$4:$C$603,$Z1095-5200)),"")))))</f>
        <v/>
      </c>
      <c r="D1095" s="37" t="str">
        <f>IF($Z1095="","",IF($Z1095&lt;=2000,"包装物料－"&amp;INDEX(包装物料出入库明细!$H$4:$H$2003,$Z1095-0),IF($Z1095&lt;=4000,"周转筐－"&amp;INDEX(周转筐出入库明细!$F$4:$F$2004,$Z1095-2000),IF($Z1095&lt;=5200,"客户自备筐－"&amp;INDEX(客户自备加工筐明细!$J$4:$J$1203,$Z1095-4000),IF($Z1095&lt;=5800,"次果筐/托盘－"&amp;INDEX(次果筐明细!$F$4:$F$603,$Z1095-5200),"")))))</f>
        <v/>
      </c>
      <c r="E1095" s="24" t="str">
        <f>IF($Z1095="","",IF($Z1095&lt;=2000,IF(INDEX(包装物料出入库明细!$C$4:$C$2003,$Z1095-0)=0,"",INDEX(包装物料出入库明细!$C$4:$C$2003,$Z1095-0)),IF($Z1095&lt;=4000,IF(INDEX(周转筐出入库明细!$E$4:$E$2004,$Z1095-2000)=0,"",INDEX(周转筐出入库明细!$E$4:$E$2004,$Z1095-2000)),IF($Z1095&lt;=5200,IF(INDEX(客户自备加工筐明细!$D$4:$D$1203,$Z1095-4000)=0,"",INDEX(客户自备加工筐明细!$D$4:$D$1203,$Z1095-4000)),IF($Z1095&lt;=5800,IF(INDEX(次果筐明细!$E$4:$E$603,$Z1095-5200)=0,"",INDEX(次果筐明细!$E$4:$E$603,$Z1095-5200)),"")))))</f>
        <v/>
      </c>
      <c r="F1095" s="24" t="str">
        <f>IF($Z1095="","",IF($Z1095&lt;=2000,IF(INDEX(包装物料出入库明细!$E$4:$E$2003,$Z1095-0)=0,"",INDEX(包装物料出入库明细!$E$4:$E$2003,$Z1095-0)),IF($Z1095&lt;=4000,IF(INDEX(周转筐出入库明细!$D$4:$D$2004,$Z1095-2000)=0,"",INDEX(周转筐出入库明细!$D$4:$D$2004,$Z1095-2000)),IF($Z1095&lt;=5200,IF(INDEX(客户自备加工筐明细!$C$4:$C$1203,$Z1095-4000)=0,"",INDEX(客户自备加工筐明细!$C$4:$C$1203,$Z1095-4000)),IF($Z1095&lt;=5800,IF(INDEX(次果筐明细!$D$4:$D$603,$Z1095-5200)=0,"",INDEX(次果筐明细!$D$4:$D$603,$Z1095-5200)),"")))))</f>
        <v/>
      </c>
      <c r="G1095" s="24" t="str">
        <f>IF($Z1095="","",IF($Z1095&lt;=2000,IF(INDEX(包装物料出入库明细!$F$4:$F$2003,$Z1095-0)=0,"",INDEX(包装物料出入库明细!$F$4:$F$2003,$Z1095-0)),IF($Z1095&lt;=4000,"",IF($Z1095&lt;=5200,"",IF($Z1095&lt;=5800,"","")))))</f>
        <v/>
      </c>
      <c r="H1095" s="39" t="str">
        <f>IF($Z1095="","",IF($Z1095&lt;=2000,IF(INDEX(包装物料出入库明细!$L$4:$L$2003,$Z1095-0)=0,"",INDEX(包装物料出入库明细!$L$4:$L$2003,$Z1095-0)),IF($Z1095&lt;=4000,N(INDEX(周转筐出入库明细!$H$4:$H$2004,$Z1095-2000))+N(INDEX(周转筐出入库明细!$I$4:$I$2004,$Z1095-2000))+N(INDEX(周转筐出入库明细!$J$4:$J$2004,$Z1095-2000))+N(INDEX(周转筐出入库明细!$K$4:$K$2004,$Z1095-2000)),IF($Z1095&lt;=5200,N(INDEX(客户自备加工筐明细!$F$4:$F$1203,$Z1095-4000))+N(INDEX(客户自备加工筐明细!$G$4:$G$1203,$Z1095-4000)),IF($Z1095&lt;=5800,IF(INDEX(次果筐明细!$G$4:$G$603,$Z1095-5200)=0,"",INDEX(次果筐明细!$G$4:$G$603,$Z1095-5200)),"")))))</f>
        <v/>
      </c>
      <c r="I1095" s="24" t="str">
        <f>IF($Z1095="","",IF($Z1095&lt;=2000,IF(INDEX(包装物料出入库明细!$G$4:$G$2003,$Z1095-0)=0,"",INDEX(包装物料出入库明细!$G$4:$G$2003,$Z1095-0)),IF($Z1095&lt;=4000,"个",IF($Z1095&lt;=5200,"个",IF($Z1095&lt;=5800,"个","")))))</f>
        <v/>
      </c>
      <c r="J1095" s="30" t="str">
        <f t="shared" si="52"/>
        <v/>
      </c>
      <c r="K1095" s="30" t="str">
        <f>IF($Z1095="","",IF($Z1095&lt;=2000,IF(INDEX(包装物料出入库明细!$N$4:$N$2003,$Z1095-0)=0,"",INDEX(包装物料出入库明细!$N$4:$N$2003,$Z1095-0)),IF($Z1095&lt;=4000,IF(INDEX(周转筐出入库明细!$P$4:$P$2004,$Z1095-2000)=0,"",INDEX(周转筐出入库明细!$P$4:$P$2004,$Z1095-2000)),IF($Z1095&lt;=5200,"",IF($Z1095&lt;=5800,N(INDEX(次果筐明细!$L$4:$L$603,$Z1095-5200))+N(INDEX(次果筐明细!$J$4:$J$603,$Z1095-5200)),"")))))</f>
        <v/>
      </c>
      <c r="L1095" s="24" t="str">
        <f>IF($Z1095="","",IF($Z1095&lt;=2000,IF(INDEX(包装物料出入库明细!$P$4:$P$2003,$Z1095-0)=0,"",INDEX(包装物料出入库明细!$P$4:$P$2003,$Z1095-0)),IF($Z1095&lt;=4000,IF(INDEX(周转筐出入库明细!$Q$4:$Q$2004,$Z1095-2000)=0,"",INDEX(周转筐出入库明细!$Q$4:$Q$2004,$Z1095-2000)),IF($Z1095&lt;=5200,"",IF($Z1095&lt;=5800,IF(INDEX(次果筐明细!$M$4:$M$603,$Z1095-5200)=0,"",INDEX(次果筐明细!$M$4:$M$603,$Z1095-5200)),"")))))</f>
        <v/>
      </c>
      <c r="M1095" s="37" t="str">
        <f>IF($Z1095="","",IF($Z1095&lt;=2000,IF(INDEX(包装物料出入库明细!$R$4:$R$2003,$Z1095-0)=0,"",INDEX(包装物料出入库明细!$R$4:$R$2003,$Z1095-0)),IF($Z1095&lt;=4000,IF(INDEX(周转筐出入库明细!$W$4:$W$2004,$Z1095-2000)=0,"",INDEX(周转筐出入库明细!$W$4:$W$2004,$Z1095-2000)),IF($Z1095&lt;=5200,IF(INDEX(客户自备加工筐明细!$L$4:$L$1203,$Z1095-4000)=0,"",INDEX(客户自备加工筐明细!$L$4:$L$1203,$Z1095-4000)),IF($Z1095&lt;=5800,IF(INDEX(次果筐明细!$P$4:$P$603,$Z1095-5200)=0,"",INDEX(次果筐明细!$P$4:$P$603,$Z1095-5200)),"")))))</f>
        <v/>
      </c>
      <c r="N1095" s="16" t="str">
        <f>IF($Z1095="","",IF($Z1095&lt;=2000,"",IF($Z1095&lt;=4000,IF(INDEX(周转筐出入库明细!$D$4:$D$2004,$Z1095-2000)=0,"",INDEX(周转筐出入库明细!$D$4:$D$2004,$Z1095-2000)),IF($Z1095&lt;=5200,IF(INDEX(客户自备加工筐明细!$C$4:$C$1203,$Z1095-4000)=0,"",INDEX(客户自备加工筐明细!$C$4:$C$1203,$Z1095-4000)),IF($Z1095&lt;=5800,IF(INDEX(次果筐明细!$D$4:$D$603,$Z1095-5200)=0,"",INDEX(次果筐明细!$D$4:$D$603,$Z1095-5200)),"")))))</f>
        <v/>
      </c>
      <c r="O1095" s="40" t="str">
        <f>IF($Z1095="","",IF($Z1095&lt;=2000,"",IF($Z1095&lt;=4000,IF(N(INDEX(周转筐出入库明细!$J$4:$J$2004,$Z1095-2000))+N(INDEX(周转筐出入库明细!$K$4:$K$2004,$Z1095-2000))=0,"",N(INDEX(周转筐出入库明细!$J$4:$J$2004,$Z1095-2000))+N(INDEX(周转筐出入库明细!$K$4:$K$2004,$Z1095-2000))),IF($Z1095&lt;=5200,IF(N(INDEX(客户自备加工筐明细!$G$4:$G$1203,$Z1095-4000))=0,"",N(INDEX(客户自备加工筐明细!$G$4:$G$1203,$Z1095-4000))),IF($Z1095&lt;=5800,IF(ISNUMBER(SEARCH("退",INDEX(次果筐明细!$F$4:$F$603,$Z1095-5200)&amp;"")),"",IF(N(INDEX(次果筐明细!$G$4:$G$603,$Z1095-5200))=0,"",N(INDEX(次果筐明细!$G$4:$G$603,$Z1095-5200)))),"")))))</f>
        <v/>
      </c>
      <c r="P1095" s="40" t="str">
        <f>IF($Z1095="","",IF($Z1095&lt;=2000,"",IF($Z1095&lt;=4000,IF(N(INDEX(周转筐出入库明细!$I$4:$I$2004,$Z1095-2000))=0,"",N(INDEX(周转筐出入库明细!$I$4:$I$2004,$Z1095-2000))),IF($Z1095&lt;=5200,"",IF($Z1095&lt;=5800,IF(ISNUMBER(SEARCH("退",INDEX(次果筐明细!$F$4:$F$603,$Z1095-5200)&amp;"")),IF(N(INDEX(次果筐明细!$G$4:$G$603,$Z1095-5200))=0,"",N(INDEX(次果筐明细!$G$4:$G$603,$Z1095-5200))),""),"")))))</f>
        <v/>
      </c>
      <c r="Q1095" s="40" t="str">
        <f>IF($Z1095="","",IF($Z1095&lt;=2000,"",IF($Z1095&lt;=4000,IF(N(INDEX(周转筐出入库明细!$H$4:$H$2004,$Z1095-2000))=0,"",N(INDEX(周转筐出入库明细!$H$4:$H$2004,$Z1095-2000))),IF($Z1095&lt;=5200,IF(N(INDEX(客户自备加工筐明细!$F$4:$F$1203,$Z1095-4000))=0,"",N(INDEX(客户自备加工筐明细!$F$4:$F$1203,$Z1095-4000))),IF($Z1095&lt;=5800,"","")))))</f>
        <v/>
      </c>
      <c r="R1095" s="16" t="str">
        <f>IF($Z1095="","",IF($Z1095&lt;=2000,IF(INDEX(包装物料出入库明细!$O$4:$O$2003,$Z1095-0)=0,"",INDEX(包装物料出入库明细!$O$4:$O$2003,$Z1095-0)),IF($Z1095&lt;=4000,IF(INDEX(周转筐出入库明细!$M$4:$M$2004,$Z1095-2000)=0,"",INDEX(周转筐出入库明细!$M$4:$M$2004,$Z1095-2000)),IF($Z1095&lt;=5200,IF(INDEX(客户自备加工筐明细!$H$4:$H$1203,$Z1095-4000)=0,"",INDEX(客户自备加工筐明细!$H$4:$H$1203,$Z1095-4000)),IF($Z1095&lt;=5800,IF(INDEX(次果筐明细!$H$4:$H$603,$Z1095-5200)=0,"",INDEX(次果筐明细!$H$4:$H$603,$Z1095-5200)),"")))))</f>
        <v/>
      </c>
      <c r="S1095" s="22" t="str">
        <f t="shared" si="53"/>
        <v/>
      </c>
      <c r="Z1095" s="10" t="str">
        <f>IFERROR(MATCH(ROW()-3,_自动清单!$CQ$4:$CQ$5803,0),"")</f>
        <v/>
      </c>
    </row>
    <row r="1096" spans="1:26">
      <c r="A1096" s="24" t="str">
        <f t="shared" si="51"/>
        <v/>
      </c>
      <c r="B1096" s="38" t="str">
        <f>IF($Z1096="","",IF($Z1096&lt;=2000,IF(INDEX(包装物料出入库明细!$B$4:$B$2003,$Z1096-0)=0,"",INDEX(包装物料出入库明细!$B$4:$B$2003,$Z1096-0)),IF($Z1096&lt;=4000,IF(INDEX(周转筐出入库明细!$B$4:$B$2004,$Z1096-2000)=0,"",INDEX(周转筐出入库明细!$B$4:$B$2004,$Z1096-2000)),IF($Z1096&lt;=5200,IF(INDEX(客户自备加工筐明细!$B$4:$B$1203,$Z1096-4000)=0,"",INDEX(客户自备加工筐明细!$B$4:$B$1203,$Z1096-4000)),IF($Z1096&lt;=5800,IF(INDEX(次果筐明细!$B$4:$B$603,$Z1096-5200)=0,"",INDEX(次果筐明细!$B$4:$B$603,$Z1096-5200)),"")))))</f>
        <v/>
      </c>
      <c r="C1096" s="37" t="str">
        <f>IF($Z1096="","",IF($Z1096&lt;=2000,IF(INDEX(包装物料出入库明细!$D$4:$D$2003,$Z1096-0)=0,"",INDEX(包装物料出入库明细!$D$4:$D$2003,$Z1096-0)),IF($Z1096&lt;=4000,IF(INDEX(周转筐出入库明细!$C$4:$C$2004,$Z1096-2000)=0,"",INDEX(周转筐出入库明细!$C$4:$C$2004,$Z1096-2000)),IF($Z1096&lt;=5200,IF(INDEX(客户自备加工筐明细!$E$4:$E$1203,$Z1096-4000)=0,"",INDEX(客户自备加工筐明细!$E$4:$E$1203,$Z1096-4000)),IF($Z1096&lt;=5800,IF(INDEX(次果筐明细!$C$4:$C$603,$Z1096-5200)=0,"",INDEX(次果筐明细!$C$4:$C$603,$Z1096-5200)),"")))))</f>
        <v/>
      </c>
      <c r="D1096" s="37" t="str">
        <f>IF($Z1096="","",IF($Z1096&lt;=2000,"包装物料－"&amp;INDEX(包装物料出入库明细!$H$4:$H$2003,$Z1096-0),IF($Z1096&lt;=4000,"周转筐－"&amp;INDEX(周转筐出入库明细!$F$4:$F$2004,$Z1096-2000),IF($Z1096&lt;=5200,"客户自备筐－"&amp;INDEX(客户自备加工筐明细!$J$4:$J$1203,$Z1096-4000),IF($Z1096&lt;=5800,"次果筐/托盘－"&amp;INDEX(次果筐明细!$F$4:$F$603,$Z1096-5200),"")))))</f>
        <v/>
      </c>
      <c r="E1096" s="24" t="str">
        <f>IF($Z1096="","",IF($Z1096&lt;=2000,IF(INDEX(包装物料出入库明细!$C$4:$C$2003,$Z1096-0)=0,"",INDEX(包装物料出入库明细!$C$4:$C$2003,$Z1096-0)),IF($Z1096&lt;=4000,IF(INDEX(周转筐出入库明细!$E$4:$E$2004,$Z1096-2000)=0,"",INDEX(周转筐出入库明细!$E$4:$E$2004,$Z1096-2000)),IF($Z1096&lt;=5200,IF(INDEX(客户自备加工筐明细!$D$4:$D$1203,$Z1096-4000)=0,"",INDEX(客户自备加工筐明细!$D$4:$D$1203,$Z1096-4000)),IF($Z1096&lt;=5800,IF(INDEX(次果筐明细!$E$4:$E$603,$Z1096-5200)=0,"",INDEX(次果筐明细!$E$4:$E$603,$Z1096-5200)),"")))))</f>
        <v/>
      </c>
      <c r="F1096" s="24" t="str">
        <f>IF($Z1096="","",IF($Z1096&lt;=2000,IF(INDEX(包装物料出入库明细!$E$4:$E$2003,$Z1096-0)=0,"",INDEX(包装物料出入库明细!$E$4:$E$2003,$Z1096-0)),IF($Z1096&lt;=4000,IF(INDEX(周转筐出入库明细!$D$4:$D$2004,$Z1096-2000)=0,"",INDEX(周转筐出入库明细!$D$4:$D$2004,$Z1096-2000)),IF($Z1096&lt;=5200,IF(INDEX(客户自备加工筐明细!$C$4:$C$1203,$Z1096-4000)=0,"",INDEX(客户自备加工筐明细!$C$4:$C$1203,$Z1096-4000)),IF($Z1096&lt;=5800,IF(INDEX(次果筐明细!$D$4:$D$603,$Z1096-5200)=0,"",INDEX(次果筐明细!$D$4:$D$603,$Z1096-5200)),"")))))</f>
        <v/>
      </c>
      <c r="G1096" s="24" t="str">
        <f>IF($Z1096="","",IF($Z1096&lt;=2000,IF(INDEX(包装物料出入库明细!$F$4:$F$2003,$Z1096-0)=0,"",INDEX(包装物料出入库明细!$F$4:$F$2003,$Z1096-0)),IF($Z1096&lt;=4000,"",IF($Z1096&lt;=5200,"",IF($Z1096&lt;=5800,"","")))))</f>
        <v/>
      </c>
      <c r="H1096" s="39" t="str">
        <f>IF($Z1096="","",IF($Z1096&lt;=2000,IF(INDEX(包装物料出入库明细!$L$4:$L$2003,$Z1096-0)=0,"",INDEX(包装物料出入库明细!$L$4:$L$2003,$Z1096-0)),IF($Z1096&lt;=4000,N(INDEX(周转筐出入库明细!$H$4:$H$2004,$Z1096-2000))+N(INDEX(周转筐出入库明细!$I$4:$I$2004,$Z1096-2000))+N(INDEX(周转筐出入库明细!$J$4:$J$2004,$Z1096-2000))+N(INDEX(周转筐出入库明细!$K$4:$K$2004,$Z1096-2000)),IF($Z1096&lt;=5200,N(INDEX(客户自备加工筐明细!$F$4:$F$1203,$Z1096-4000))+N(INDEX(客户自备加工筐明细!$G$4:$G$1203,$Z1096-4000)),IF($Z1096&lt;=5800,IF(INDEX(次果筐明细!$G$4:$G$603,$Z1096-5200)=0,"",INDEX(次果筐明细!$G$4:$G$603,$Z1096-5200)),"")))))</f>
        <v/>
      </c>
      <c r="I1096" s="24" t="str">
        <f>IF($Z1096="","",IF($Z1096&lt;=2000,IF(INDEX(包装物料出入库明细!$G$4:$G$2003,$Z1096-0)=0,"",INDEX(包装物料出入库明细!$G$4:$G$2003,$Z1096-0)),IF($Z1096&lt;=4000,"个",IF($Z1096&lt;=5200,"个",IF($Z1096&lt;=5800,"个","")))))</f>
        <v/>
      </c>
      <c r="J1096" s="30" t="str">
        <f t="shared" si="52"/>
        <v/>
      </c>
      <c r="K1096" s="30" t="str">
        <f>IF($Z1096="","",IF($Z1096&lt;=2000,IF(INDEX(包装物料出入库明细!$N$4:$N$2003,$Z1096-0)=0,"",INDEX(包装物料出入库明细!$N$4:$N$2003,$Z1096-0)),IF($Z1096&lt;=4000,IF(INDEX(周转筐出入库明细!$P$4:$P$2004,$Z1096-2000)=0,"",INDEX(周转筐出入库明细!$P$4:$P$2004,$Z1096-2000)),IF($Z1096&lt;=5200,"",IF($Z1096&lt;=5800,N(INDEX(次果筐明细!$L$4:$L$603,$Z1096-5200))+N(INDEX(次果筐明细!$J$4:$J$603,$Z1096-5200)),"")))))</f>
        <v/>
      </c>
      <c r="L1096" s="24" t="str">
        <f>IF($Z1096="","",IF($Z1096&lt;=2000,IF(INDEX(包装物料出入库明细!$P$4:$P$2003,$Z1096-0)=0,"",INDEX(包装物料出入库明细!$P$4:$P$2003,$Z1096-0)),IF($Z1096&lt;=4000,IF(INDEX(周转筐出入库明细!$Q$4:$Q$2004,$Z1096-2000)=0,"",INDEX(周转筐出入库明细!$Q$4:$Q$2004,$Z1096-2000)),IF($Z1096&lt;=5200,"",IF($Z1096&lt;=5800,IF(INDEX(次果筐明细!$M$4:$M$603,$Z1096-5200)=0,"",INDEX(次果筐明细!$M$4:$M$603,$Z1096-5200)),"")))))</f>
        <v/>
      </c>
      <c r="M1096" s="37" t="str">
        <f>IF($Z1096="","",IF($Z1096&lt;=2000,IF(INDEX(包装物料出入库明细!$R$4:$R$2003,$Z1096-0)=0,"",INDEX(包装物料出入库明细!$R$4:$R$2003,$Z1096-0)),IF($Z1096&lt;=4000,IF(INDEX(周转筐出入库明细!$W$4:$W$2004,$Z1096-2000)=0,"",INDEX(周转筐出入库明细!$W$4:$W$2004,$Z1096-2000)),IF($Z1096&lt;=5200,IF(INDEX(客户自备加工筐明细!$L$4:$L$1203,$Z1096-4000)=0,"",INDEX(客户自备加工筐明细!$L$4:$L$1203,$Z1096-4000)),IF($Z1096&lt;=5800,IF(INDEX(次果筐明细!$P$4:$P$603,$Z1096-5200)=0,"",INDEX(次果筐明细!$P$4:$P$603,$Z1096-5200)),"")))))</f>
        <v/>
      </c>
      <c r="N1096" s="16" t="str">
        <f>IF($Z1096="","",IF($Z1096&lt;=2000,"",IF($Z1096&lt;=4000,IF(INDEX(周转筐出入库明细!$D$4:$D$2004,$Z1096-2000)=0,"",INDEX(周转筐出入库明细!$D$4:$D$2004,$Z1096-2000)),IF($Z1096&lt;=5200,IF(INDEX(客户自备加工筐明细!$C$4:$C$1203,$Z1096-4000)=0,"",INDEX(客户自备加工筐明细!$C$4:$C$1203,$Z1096-4000)),IF($Z1096&lt;=5800,IF(INDEX(次果筐明细!$D$4:$D$603,$Z1096-5200)=0,"",INDEX(次果筐明细!$D$4:$D$603,$Z1096-5200)),"")))))</f>
        <v/>
      </c>
      <c r="O1096" s="40" t="str">
        <f>IF($Z1096="","",IF($Z1096&lt;=2000,"",IF($Z1096&lt;=4000,IF(N(INDEX(周转筐出入库明细!$J$4:$J$2004,$Z1096-2000))+N(INDEX(周转筐出入库明细!$K$4:$K$2004,$Z1096-2000))=0,"",N(INDEX(周转筐出入库明细!$J$4:$J$2004,$Z1096-2000))+N(INDEX(周转筐出入库明细!$K$4:$K$2004,$Z1096-2000))),IF($Z1096&lt;=5200,IF(N(INDEX(客户自备加工筐明细!$G$4:$G$1203,$Z1096-4000))=0,"",N(INDEX(客户自备加工筐明细!$G$4:$G$1203,$Z1096-4000))),IF($Z1096&lt;=5800,IF(ISNUMBER(SEARCH("退",INDEX(次果筐明细!$F$4:$F$603,$Z1096-5200)&amp;"")),"",IF(N(INDEX(次果筐明细!$G$4:$G$603,$Z1096-5200))=0,"",N(INDEX(次果筐明细!$G$4:$G$603,$Z1096-5200)))),"")))))</f>
        <v/>
      </c>
      <c r="P1096" s="40" t="str">
        <f>IF($Z1096="","",IF($Z1096&lt;=2000,"",IF($Z1096&lt;=4000,IF(N(INDEX(周转筐出入库明细!$I$4:$I$2004,$Z1096-2000))=0,"",N(INDEX(周转筐出入库明细!$I$4:$I$2004,$Z1096-2000))),IF($Z1096&lt;=5200,"",IF($Z1096&lt;=5800,IF(ISNUMBER(SEARCH("退",INDEX(次果筐明细!$F$4:$F$603,$Z1096-5200)&amp;"")),IF(N(INDEX(次果筐明细!$G$4:$G$603,$Z1096-5200))=0,"",N(INDEX(次果筐明细!$G$4:$G$603,$Z1096-5200))),""),"")))))</f>
        <v/>
      </c>
      <c r="Q1096" s="40" t="str">
        <f>IF($Z1096="","",IF($Z1096&lt;=2000,"",IF($Z1096&lt;=4000,IF(N(INDEX(周转筐出入库明细!$H$4:$H$2004,$Z1096-2000))=0,"",N(INDEX(周转筐出入库明细!$H$4:$H$2004,$Z1096-2000))),IF($Z1096&lt;=5200,IF(N(INDEX(客户自备加工筐明细!$F$4:$F$1203,$Z1096-4000))=0,"",N(INDEX(客户自备加工筐明细!$F$4:$F$1203,$Z1096-4000))),IF($Z1096&lt;=5800,"","")))))</f>
        <v/>
      </c>
      <c r="R1096" s="16" t="str">
        <f>IF($Z1096="","",IF($Z1096&lt;=2000,IF(INDEX(包装物料出入库明细!$O$4:$O$2003,$Z1096-0)=0,"",INDEX(包装物料出入库明细!$O$4:$O$2003,$Z1096-0)),IF($Z1096&lt;=4000,IF(INDEX(周转筐出入库明细!$M$4:$M$2004,$Z1096-2000)=0,"",INDEX(周转筐出入库明细!$M$4:$M$2004,$Z1096-2000)),IF($Z1096&lt;=5200,IF(INDEX(客户自备加工筐明细!$H$4:$H$1203,$Z1096-4000)=0,"",INDEX(客户自备加工筐明细!$H$4:$H$1203,$Z1096-4000)),IF($Z1096&lt;=5800,IF(INDEX(次果筐明细!$H$4:$H$603,$Z1096-5200)=0,"",INDEX(次果筐明细!$H$4:$H$603,$Z1096-5200)),"")))))</f>
        <v/>
      </c>
      <c r="S1096" s="22" t="str">
        <f t="shared" si="53"/>
        <v/>
      </c>
      <c r="Z1096" s="10" t="str">
        <f>IFERROR(MATCH(ROW()-3,_自动清单!$CQ$4:$CQ$5803,0),"")</f>
        <v/>
      </c>
    </row>
    <row r="1097" spans="1:26">
      <c r="A1097" s="24" t="str">
        <f t="shared" si="51"/>
        <v/>
      </c>
      <c r="B1097" s="38" t="str">
        <f>IF($Z1097="","",IF($Z1097&lt;=2000,IF(INDEX(包装物料出入库明细!$B$4:$B$2003,$Z1097-0)=0,"",INDEX(包装物料出入库明细!$B$4:$B$2003,$Z1097-0)),IF($Z1097&lt;=4000,IF(INDEX(周转筐出入库明细!$B$4:$B$2004,$Z1097-2000)=0,"",INDEX(周转筐出入库明细!$B$4:$B$2004,$Z1097-2000)),IF($Z1097&lt;=5200,IF(INDEX(客户自备加工筐明细!$B$4:$B$1203,$Z1097-4000)=0,"",INDEX(客户自备加工筐明细!$B$4:$B$1203,$Z1097-4000)),IF($Z1097&lt;=5800,IF(INDEX(次果筐明细!$B$4:$B$603,$Z1097-5200)=0,"",INDEX(次果筐明细!$B$4:$B$603,$Z1097-5200)),"")))))</f>
        <v/>
      </c>
      <c r="C1097" s="37" t="str">
        <f>IF($Z1097="","",IF($Z1097&lt;=2000,IF(INDEX(包装物料出入库明细!$D$4:$D$2003,$Z1097-0)=0,"",INDEX(包装物料出入库明细!$D$4:$D$2003,$Z1097-0)),IF($Z1097&lt;=4000,IF(INDEX(周转筐出入库明细!$C$4:$C$2004,$Z1097-2000)=0,"",INDEX(周转筐出入库明细!$C$4:$C$2004,$Z1097-2000)),IF($Z1097&lt;=5200,IF(INDEX(客户自备加工筐明细!$E$4:$E$1203,$Z1097-4000)=0,"",INDEX(客户自备加工筐明细!$E$4:$E$1203,$Z1097-4000)),IF($Z1097&lt;=5800,IF(INDEX(次果筐明细!$C$4:$C$603,$Z1097-5200)=0,"",INDEX(次果筐明细!$C$4:$C$603,$Z1097-5200)),"")))))</f>
        <v/>
      </c>
      <c r="D1097" s="37" t="str">
        <f>IF($Z1097="","",IF($Z1097&lt;=2000,"包装物料－"&amp;INDEX(包装物料出入库明细!$H$4:$H$2003,$Z1097-0),IF($Z1097&lt;=4000,"周转筐－"&amp;INDEX(周转筐出入库明细!$F$4:$F$2004,$Z1097-2000),IF($Z1097&lt;=5200,"客户自备筐－"&amp;INDEX(客户自备加工筐明细!$J$4:$J$1203,$Z1097-4000),IF($Z1097&lt;=5800,"次果筐/托盘－"&amp;INDEX(次果筐明细!$F$4:$F$603,$Z1097-5200),"")))))</f>
        <v/>
      </c>
      <c r="E1097" s="24" t="str">
        <f>IF($Z1097="","",IF($Z1097&lt;=2000,IF(INDEX(包装物料出入库明细!$C$4:$C$2003,$Z1097-0)=0,"",INDEX(包装物料出入库明细!$C$4:$C$2003,$Z1097-0)),IF($Z1097&lt;=4000,IF(INDEX(周转筐出入库明细!$E$4:$E$2004,$Z1097-2000)=0,"",INDEX(周转筐出入库明细!$E$4:$E$2004,$Z1097-2000)),IF($Z1097&lt;=5200,IF(INDEX(客户自备加工筐明细!$D$4:$D$1203,$Z1097-4000)=0,"",INDEX(客户自备加工筐明细!$D$4:$D$1203,$Z1097-4000)),IF($Z1097&lt;=5800,IF(INDEX(次果筐明细!$E$4:$E$603,$Z1097-5200)=0,"",INDEX(次果筐明细!$E$4:$E$603,$Z1097-5200)),"")))))</f>
        <v/>
      </c>
      <c r="F1097" s="24" t="str">
        <f>IF($Z1097="","",IF($Z1097&lt;=2000,IF(INDEX(包装物料出入库明细!$E$4:$E$2003,$Z1097-0)=0,"",INDEX(包装物料出入库明细!$E$4:$E$2003,$Z1097-0)),IF($Z1097&lt;=4000,IF(INDEX(周转筐出入库明细!$D$4:$D$2004,$Z1097-2000)=0,"",INDEX(周转筐出入库明细!$D$4:$D$2004,$Z1097-2000)),IF($Z1097&lt;=5200,IF(INDEX(客户自备加工筐明细!$C$4:$C$1203,$Z1097-4000)=0,"",INDEX(客户自备加工筐明细!$C$4:$C$1203,$Z1097-4000)),IF($Z1097&lt;=5800,IF(INDEX(次果筐明细!$D$4:$D$603,$Z1097-5200)=0,"",INDEX(次果筐明细!$D$4:$D$603,$Z1097-5200)),"")))))</f>
        <v/>
      </c>
      <c r="G1097" s="24" t="str">
        <f>IF($Z1097="","",IF($Z1097&lt;=2000,IF(INDEX(包装物料出入库明细!$F$4:$F$2003,$Z1097-0)=0,"",INDEX(包装物料出入库明细!$F$4:$F$2003,$Z1097-0)),IF($Z1097&lt;=4000,"",IF($Z1097&lt;=5200,"",IF($Z1097&lt;=5800,"","")))))</f>
        <v/>
      </c>
      <c r="H1097" s="39" t="str">
        <f>IF($Z1097="","",IF($Z1097&lt;=2000,IF(INDEX(包装物料出入库明细!$L$4:$L$2003,$Z1097-0)=0,"",INDEX(包装物料出入库明细!$L$4:$L$2003,$Z1097-0)),IF($Z1097&lt;=4000,N(INDEX(周转筐出入库明细!$H$4:$H$2004,$Z1097-2000))+N(INDEX(周转筐出入库明细!$I$4:$I$2004,$Z1097-2000))+N(INDEX(周转筐出入库明细!$J$4:$J$2004,$Z1097-2000))+N(INDEX(周转筐出入库明细!$K$4:$K$2004,$Z1097-2000)),IF($Z1097&lt;=5200,N(INDEX(客户自备加工筐明细!$F$4:$F$1203,$Z1097-4000))+N(INDEX(客户自备加工筐明细!$G$4:$G$1203,$Z1097-4000)),IF($Z1097&lt;=5800,IF(INDEX(次果筐明细!$G$4:$G$603,$Z1097-5200)=0,"",INDEX(次果筐明细!$G$4:$G$603,$Z1097-5200)),"")))))</f>
        <v/>
      </c>
      <c r="I1097" s="24" t="str">
        <f>IF($Z1097="","",IF($Z1097&lt;=2000,IF(INDEX(包装物料出入库明细!$G$4:$G$2003,$Z1097-0)=0,"",INDEX(包装物料出入库明细!$G$4:$G$2003,$Z1097-0)),IF($Z1097&lt;=4000,"个",IF($Z1097&lt;=5200,"个",IF($Z1097&lt;=5800,"个","")))))</f>
        <v/>
      </c>
      <c r="J1097" s="30" t="str">
        <f t="shared" si="52"/>
        <v/>
      </c>
      <c r="K1097" s="30" t="str">
        <f>IF($Z1097="","",IF($Z1097&lt;=2000,IF(INDEX(包装物料出入库明细!$N$4:$N$2003,$Z1097-0)=0,"",INDEX(包装物料出入库明细!$N$4:$N$2003,$Z1097-0)),IF($Z1097&lt;=4000,IF(INDEX(周转筐出入库明细!$P$4:$P$2004,$Z1097-2000)=0,"",INDEX(周转筐出入库明细!$P$4:$P$2004,$Z1097-2000)),IF($Z1097&lt;=5200,"",IF($Z1097&lt;=5800,N(INDEX(次果筐明细!$L$4:$L$603,$Z1097-5200))+N(INDEX(次果筐明细!$J$4:$J$603,$Z1097-5200)),"")))))</f>
        <v/>
      </c>
      <c r="L1097" s="24" t="str">
        <f>IF($Z1097="","",IF($Z1097&lt;=2000,IF(INDEX(包装物料出入库明细!$P$4:$P$2003,$Z1097-0)=0,"",INDEX(包装物料出入库明细!$P$4:$P$2003,$Z1097-0)),IF($Z1097&lt;=4000,IF(INDEX(周转筐出入库明细!$Q$4:$Q$2004,$Z1097-2000)=0,"",INDEX(周转筐出入库明细!$Q$4:$Q$2004,$Z1097-2000)),IF($Z1097&lt;=5200,"",IF($Z1097&lt;=5800,IF(INDEX(次果筐明细!$M$4:$M$603,$Z1097-5200)=0,"",INDEX(次果筐明细!$M$4:$M$603,$Z1097-5200)),"")))))</f>
        <v/>
      </c>
      <c r="M1097" s="37" t="str">
        <f>IF($Z1097="","",IF($Z1097&lt;=2000,IF(INDEX(包装物料出入库明细!$R$4:$R$2003,$Z1097-0)=0,"",INDEX(包装物料出入库明细!$R$4:$R$2003,$Z1097-0)),IF($Z1097&lt;=4000,IF(INDEX(周转筐出入库明细!$W$4:$W$2004,$Z1097-2000)=0,"",INDEX(周转筐出入库明细!$W$4:$W$2004,$Z1097-2000)),IF($Z1097&lt;=5200,IF(INDEX(客户自备加工筐明细!$L$4:$L$1203,$Z1097-4000)=0,"",INDEX(客户自备加工筐明细!$L$4:$L$1203,$Z1097-4000)),IF($Z1097&lt;=5800,IF(INDEX(次果筐明细!$P$4:$P$603,$Z1097-5200)=0,"",INDEX(次果筐明细!$P$4:$P$603,$Z1097-5200)),"")))))</f>
        <v/>
      </c>
      <c r="N1097" s="16" t="str">
        <f>IF($Z1097="","",IF($Z1097&lt;=2000,"",IF($Z1097&lt;=4000,IF(INDEX(周转筐出入库明细!$D$4:$D$2004,$Z1097-2000)=0,"",INDEX(周转筐出入库明细!$D$4:$D$2004,$Z1097-2000)),IF($Z1097&lt;=5200,IF(INDEX(客户自备加工筐明细!$C$4:$C$1203,$Z1097-4000)=0,"",INDEX(客户自备加工筐明细!$C$4:$C$1203,$Z1097-4000)),IF($Z1097&lt;=5800,IF(INDEX(次果筐明细!$D$4:$D$603,$Z1097-5200)=0,"",INDEX(次果筐明细!$D$4:$D$603,$Z1097-5200)),"")))))</f>
        <v/>
      </c>
      <c r="O1097" s="40" t="str">
        <f>IF($Z1097="","",IF($Z1097&lt;=2000,"",IF($Z1097&lt;=4000,IF(N(INDEX(周转筐出入库明细!$J$4:$J$2004,$Z1097-2000))+N(INDEX(周转筐出入库明细!$K$4:$K$2004,$Z1097-2000))=0,"",N(INDEX(周转筐出入库明细!$J$4:$J$2004,$Z1097-2000))+N(INDEX(周转筐出入库明细!$K$4:$K$2004,$Z1097-2000))),IF($Z1097&lt;=5200,IF(N(INDEX(客户自备加工筐明细!$G$4:$G$1203,$Z1097-4000))=0,"",N(INDEX(客户自备加工筐明细!$G$4:$G$1203,$Z1097-4000))),IF($Z1097&lt;=5800,IF(ISNUMBER(SEARCH("退",INDEX(次果筐明细!$F$4:$F$603,$Z1097-5200)&amp;"")),"",IF(N(INDEX(次果筐明细!$G$4:$G$603,$Z1097-5200))=0,"",N(INDEX(次果筐明细!$G$4:$G$603,$Z1097-5200)))),"")))))</f>
        <v/>
      </c>
      <c r="P1097" s="40" t="str">
        <f>IF($Z1097="","",IF($Z1097&lt;=2000,"",IF($Z1097&lt;=4000,IF(N(INDEX(周转筐出入库明细!$I$4:$I$2004,$Z1097-2000))=0,"",N(INDEX(周转筐出入库明细!$I$4:$I$2004,$Z1097-2000))),IF($Z1097&lt;=5200,"",IF($Z1097&lt;=5800,IF(ISNUMBER(SEARCH("退",INDEX(次果筐明细!$F$4:$F$603,$Z1097-5200)&amp;"")),IF(N(INDEX(次果筐明细!$G$4:$G$603,$Z1097-5200))=0,"",N(INDEX(次果筐明细!$G$4:$G$603,$Z1097-5200))),""),"")))))</f>
        <v/>
      </c>
      <c r="Q1097" s="40" t="str">
        <f>IF($Z1097="","",IF($Z1097&lt;=2000,"",IF($Z1097&lt;=4000,IF(N(INDEX(周转筐出入库明细!$H$4:$H$2004,$Z1097-2000))=0,"",N(INDEX(周转筐出入库明细!$H$4:$H$2004,$Z1097-2000))),IF($Z1097&lt;=5200,IF(N(INDEX(客户自备加工筐明细!$F$4:$F$1203,$Z1097-4000))=0,"",N(INDEX(客户自备加工筐明细!$F$4:$F$1203,$Z1097-4000))),IF($Z1097&lt;=5800,"","")))))</f>
        <v/>
      </c>
      <c r="R1097" s="16" t="str">
        <f>IF($Z1097="","",IF($Z1097&lt;=2000,IF(INDEX(包装物料出入库明细!$O$4:$O$2003,$Z1097-0)=0,"",INDEX(包装物料出入库明细!$O$4:$O$2003,$Z1097-0)),IF($Z1097&lt;=4000,IF(INDEX(周转筐出入库明细!$M$4:$M$2004,$Z1097-2000)=0,"",INDEX(周转筐出入库明细!$M$4:$M$2004,$Z1097-2000)),IF($Z1097&lt;=5200,IF(INDEX(客户自备加工筐明细!$H$4:$H$1203,$Z1097-4000)=0,"",INDEX(客户自备加工筐明细!$H$4:$H$1203,$Z1097-4000)),IF($Z1097&lt;=5800,IF(INDEX(次果筐明细!$H$4:$H$603,$Z1097-5200)=0,"",INDEX(次果筐明细!$H$4:$H$603,$Z1097-5200)),"")))))</f>
        <v/>
      </c>
      <c r="S1097" s="22" t="str">
        <f t="shared" si="53"/>
        <v/>
      </c>
      <c r="Z1097" s="10" t="str">
        <f>IFERROR(MATCH(ROW()-3,_自动清单!$CQ$4:$CQ$5803,0),"")</f>
        <v/>
      </c>
    </row>
    <row r="1098" spans="1:26">
      <c r="A1098" s="24" t="str">
        <f t="shared" si="51"/>
        <v/>
      </c>
      <c r="B1098" s="38" t="str">
        <f>IF($Z1098="","",IF($Z1098&lt;=2000,IF(INDEX(包装物料出入库明细!$B$4:$B$2003,$Z1098-0)=0,"",INDEX(包装物料出入库明细!$B$4:$B$2003,$Z1098-0)),IF($Z1098&lt;=4000,IF(INDEX(周转筐出入库明细!$B$4:$B$2004,$Z1098-2000)=0,"",INDEX(周转筐出入库明细!$B$4:$B$2004,$Z1098-2000)),IF($Z1098&lt;=5200,IF(INDEX(客户自备加工筐明细!$B$4:$B$1203,$Z1098-4000)=0,"",INDEX(客户自备加工筐明细!$B$4:$B$1203,$Z1098-4000)),IF($Z1098&lt;=5800,IF(INDEX(次果筐明细!$B$4:$B$603,$Z1098-5200)=0,"",INDEX(次果筐明细!$B$4:$B$603,$Z1098-5200)),"")))))</f>
        <v/>
      </c>
      <c r="C1098" s="37" t="str">
        <f>IF($Z1098="","",IF($Z1098&lt;=2000,IF(INDEX(包装物料出入库明细!$D$4:$D$2003,$Z1098-0)=0,"",INDEX(包装物料出入库明细!$D$4:$D$2003,$Z1098-0)),IF($Z1098&lt;=4000,IF(INDEX(周转筐出入库明细!$C$4:$C$2004,$Z1098-2000)=0,"",INDEX(周转筐出入库明细!$C$4:$C$2004,$Z1098-2000)),IF($Z1098&lt;=5200,IF(INDEX(客户自备加工筐明细!$E$4:$E$1203,$Z1098-4000)=0,"",INDEX(客户自备加工筐明细!$E$4:$E$1203,$Z1098-4000)),IF($Z1098&lt;=5800,IF(INDEX(次果筐明细!$C$4:$C$603,$Z1098-5200)=0,"",INDEX(次果筐明细!$C$4:$C$603,$Z1098-5200)),"")))))</f>
        <v/>
      </c>
      <c r="D1098" s="37" t="str">
        <f>IF($Z1098="","",IF($Z1098&lt;=2000,"包装物料－"&amp;INDEX(包装物料出入库明细!$H$4:$H$2003,$Z1098-0),IF($Z1098&lt;=4000,"周转筐－"&amp;INDEX(周转筐出入库明细!$F$4:$F$2004,$Z1098-2000),IF($Z1098&lt;=5200,"客户自备筐－"&amp;INDEX(客户自备加工筐明细!$J$4:$J$1203,$Z1098-4000),IF($Z1098&lt;=5800,"次果筐/托盘－"&amp;INDEX(次果筐明细!$F$4:$F$603,$Z1098-5200),"")))))</f>
        <v/>
      </c>
      <c r="E1098" s="24" t="str">
        <f>IF($Z1098="","",IF($Z1098&lt;=2000,IF(INDEX(包装物料出入库明细!$C$4:$C$2003,$Z1098-0)=0,"",INDEX(包装物料出入库明细!$C$4:$C$2003,$Z1098-0)),IF($Z1098&lt;=4000,IF(INDEX(周转筐出入库明细!$E$4:$E$2004,$Z1098-2000)=0,"",INDEX(周转筐出入库明细!$E$4:$E$2004,$Z1098-2000)),IF($Z1098&lt;=5200,IF(INDEX(客户自备加工筐明细!$D$4:$D$1203,$Z1098-4000)=0,"",INDEX(客户自备加工筐明细!$D$4:$D$1203,$Z1098-4000)),IF($Z1098&lt;=5800,IF(INDEX(次果筐明细!$E$4:$E$603,$Z1098-5200)=0,"",INDEX(次果筐明细!$E$4:$E$603,$Z1098-5200)),"")))))</f>
        <v/>
      </c>
      <c r="F1098" s="24" t="str">
        <f>IF($Z1098="","",IF($Z1098&lt;=2000,IF(INDEX(包装物料出入库明细!$E$4:$E$2003,$Z1098-0)=0,"",INDEX(包装物料出入库明细!$E$4:$E$2003,$Z1098-0)),IF($Z1098&lt;=4000,IF(INDEX(周转筐出入库明细!$D$4:$D$2004,$Z1098-2000)=0,"",INDEX(周转筐出入库明细!$D$4:$D$2004,$Z1098-2000)),IF($Z1098&lt;=5200,IF(INDEX(客户自备加工筐明细!$C$4:$C$1203,$Z1098-4000)=0,"",INDEX(客户自备加工筐明细!$C$4:$C$1203,$Z1098-4000)),IF($Z1098&lt;=5800,IF(INDEX(次果筐明细!$D$4:$D$603,$Z1098-5200)=0,"",INDEX(次果筐明细!$D$4:$D$603,$Z1098-5200)),"")))))</f>
        <v/>
      </c>
      <c r="G1098" s="24" t="str">
        <f>IF($Z1098="","",IF($Z1098&lt;=2000,IF(INDEX(包装物料出入库明细!$F$4:$F$2003,$Z1098-0)=0,"",INDEX(包装物料出入库明细!$F$4:$F$2003,$Z1098-0)),IF($Z1098&lt;=4000,"",IF($Z1098&lt;=5200,"",IF($Z1098&lt;=5800,"","")))))</f>
        <v/>
      </c>
      <c r="H1098" s="39" t="str">
        <f>IF($Z1098="","",IF($Z1098&lt;=2000,IF(INDEX(包装物料出入库明细!$L$4:$L$2003,$Z1098-0)=0,"",INDEX(包装物料出入库明细!$L$4:$L$2003,$Z1098-0)),IF($Z1098&lt;=4000,N(INDEX(周转筐出入库明细!$H$4:$H$2004,$Z1098-2000))+N(INDEX(周转筐出入库明细!$I$4:$I$2004,$Z1098-2000))+N(INDEX(周转筐出入库明细!$J$4:$J$2004,$Z1098-2000))+N(INDEX(周转筐出入库明细!$K$4:$K$2004,$Z1098-2000)),IF($Z1098&lt;=5200,N(INDEX(客户自备加工筐明细!$F$4:$F$1203,$Z1098-4000))+N(INDEX(客户自备加工筐明细!$G$4:$G$1203,$Z1098-4000)),IF($Z1098&lt;=5800,IF(INDEX(次果筐明细!$G$4:$G$603,$Z1098-5200)=0,"",INDEX(次果筐明细!$G$4:$G$603,$Z1098-5200)),"")))))</f>
        <v/>
      </c>
      <c r="I1098" s="24" t="str">
        <f>IF($Z1098="","",IF($Z1098&lt;=2000,IF(INDEX(包装物料出入库明细!$G$4:$G$2003,$Z1098-0)=0,"",INDEX(包装物料出入库明细!$G$4:$G$2003,$Z1098-0)),IF($Z1098&lt;=4000,"个",IF($Z1098&lt;=5200,"个",IF($Z1098&lt;=5800,"个","")))))</f>
        <v/>
      </c>
      <c r="J1098" s="30" t="str">
        <f t="shared" si="52"/>
        <v/>
      </c>
      <c r="K1098" s="30" t="str">
        <f>IF($Z1098="","",IF($Z1098&lt;=2000,IF(INDEX(包装物料出入库明细!$N$4:$N$2003,$Z1098-0)=0,"",INDEX(包装物料出入库明细!$N$4:$N$2003,$Z1098-0)),IF($Z1098&lt;=4000,IF(INDEX(周转筐出入库明细!$P$4:$P$2004,$Z1098-2000)=0,"",INDEX(周转筐出入库明细!$P$4:$P$2004,$Z1098-2000)),IF($Z1098&lt;=5200,"",IF($Z1098&lt;=5800,N(INDEX(次果筐明细!$L$4:$L$603,$Z1098-5200))+N(INDEX(次果筐明细!$J$4:$J$603,$Z1098-5200)),"")))))</f>
        <v/>
      </c>
      <c r="L1098" s="24" t="str">
        <f>IF($Z1098="","",IF($Z1098&lt;=2000,IF(INDEX(包装物料出入库明细!$P$4:$P$2003,$Z1098-0)=0,"",INDEX(包装物料出入库明细!$P$4:$P$2003,$Z1098-0)),IF($Z1098&lt;=4000,IF(INDEX(周转筐出入库明细!$Q$4:$Q$2004,$Z1098-2000)=0,"",INDEX(周转筐出入库明细!$Q$4:$Q$2004,$Z1098-2000)),IF($Z1098&lt;=5200,"",IF($Z1098&lt;=5800,IF(INDEX(次果筐明细!$M$4:$M$603,$Z1098-5200)=0,"",INDEX(次果筐明细!$M$4:$M$603,$Z1098-5200)),"")))))</f>
        <v/>
      </c>
      <c r="M1098" s="37" t="str">
        <f>IF($Z1098="","",IF($Z1098&lt;=2000,IF(INDEX(包装物料出入库明细!$R$4:$R$2003,$Z1098-0)=0,"",INDEX(包装物料出入库明细!$R$4:$R$2003,$Z1098-0)),IF($Z1098&lt;=4000,IF(INDEX(周转筐出入库明细!$W$4:$W$2004,$Z1098-2000)=0,"",INDEX(周转筐出入库明细!$W$4:$W$2004,$Z1098-2000)),IF($Z1098&lt;=5200,IF(INDEX(客户自备加工筐明细!$L$4:$L$1203,$Z1098-4000)=0,"",INDEX(客户自备加工筐明细!$L$4:$L$1203,$Z1098-4000)),IF($Z1098&lt;=5800,IF(INDEX(次果筐明细!$P$4:$P$603,$Z1098-5200)=0,"",INDEX(次果筐明细!$P$4:$P$603,$Z1098-5200)),"")))))</f>
        <v/>
      </c>
      <c r="N1098" s="16" t="str">
        <f>IF($Z1098="","",IF($Z1098&lt;=2000,"",IF($Z1098&lt;=4000,IF(INDEX(周转筐出入库明细!$D$4:$D$2004,$Z1098-2000)=0,"",INDEX(周转筐出入库明细!$D$4:$D$2004,$Z1098-2000)),IF($Z1098&lt;=5200,IF(INDEX(客户自备加工筐明细!$C$4:$C$1203,$Z1098-4000)=0,"",INDEX(客户自备加工筐明细!$C$4:$C$1203,$Z1098-4000)),IF($Z1098&lt;=5800,IF(INDEX(次果筐明细!$D$4:$D$603,$Z1098-5200)=0,"",INDEX(次果筐明细!$D$4:$D$603,$Z1098-5200)),"")))))</f>
        <v/>
      </c>
      <c r="O1098" s="40" t="str">
        <f>IF($Z1098="","",IF($Z1098&lt;=2000,"",IF($Z1098&lt;=4000,IF(N(INDEX(周转筐出入库明细!$J$4:$J$2004,$Z1098-2000))+N(INDEX(周转筐出入库明细!$K$4:$K$2004,$Z1098-2000))=0,"",N(INDEX(周转筐出入库明细!$J$4:$J$2004,$Z1098-2000))+N(INDEX(周转筐出入库明细!$K$4:$K$2004,$Z1098-2000))),IF($Z1098&lt;=5200,IF(N(INDEX(客户自备加工筐明细!$G$4:$G$1203,$Z1098-4000))=0,"",N(INDEX(客户自备加工筐明细!$G$4:$G$1203,$Z1098-4000))),IF($Z1098&lt;=5800,IF(ISNUMBER(SEARCH("退",INDEX(次果筐明细!$F$4:$F$603,$Z1098-5200)&amp;"")),"",IF(N(INDEX(次果筐明细!$G$4:$G$603,$Z1098-5200))=0,"",N(INDEX(次果筐明细!$G$4:$G$603,$Z1098-5200)))),"")))))</f>
        <v/>
      </c>
      <c r="P1098" s="40" t="str">
        <f>IF($Z1098="","",IF($Z1098&lt;=2000,"",IF($Z1098&lt;=4000,IF(N(INDEX(周转筐出入库明细!$I$4:$I$2004,$Z1098-2000))=0,"",N(INDEX(周转筐出入库明细!$I$4:$I$2004,$Z1098-2000))),IF($Z1098&lt;=5200,"",IF($Z1098&lt;=5800,IF(ISNUMBER(SEARCH("退",INDEX(次果筐明细!$F$4:$F$603,$Z1098-5200)&amp;"")),IF(N(INDEX(次果筐明细!$G$4:$G$603,$Z1098-5200))=0,"",N(INDEX(次果筐明细!$G$4:$G$603,$Z1098-5200))),""),"")))))</f>
        <v/>
      </c>
      <c r="Q1098" s="40" t="str">
        <f>IF($Z1098="","",IF($Z1098&lt;=2000,"",IF($Z1098&lt;=4000,IF(N(INDEX(周转筐出入库明细!$H$4:$H$2004,$Z1098-2000))=0,"",N(INDEX(周转筐出入库明细!$H$4:$H$2004,$Z1098-2000))),IF($Z1098&lt;=5200,IF(N(INDEX(客户自备加工筐明细!$F$4:$F$1203,$Z1098-4000))=0,"",N(INDEX(客户自备加工筐明细!$F$4:$F$1203,$Z1098-4000))),IF($Z1098&lt;=5800,"","")))))</f>
        <v/>
      </c>
      <c r="R1098" s="16" t="str">
        <f>IF($Z1098="","",IF($Z1098&lt;=2000,IF(INDEX(包装物料出入库明细!$O$4:$O$2003,$Z1098-0)=0,"",INDEX(包装物料出入库明细!$O$4:$O$2003,$Z1098-0)),IF($Z1098&lt;=4000,IF(INDEX(周转筐出入库明细!$M$4:$M$2004,$Z1098-2000)=0,"",INDEX(周转筐出入库明细!$M$4:$M$2004,$Z1098-2000)),IF($Z1098&lt;=5200,IF(INDEX(客户自备加工筐明细!$H$4:$H$1203,$Z1098-4000)=0,"",INDEX(客户自备加工筐明细!$H$4:$H$1203,$Z1098-4000)),IF($Z1098&lt;=5800,IF(INDEX(次果筐明细!$H$4:$H$603,$Z1098-5200)=0,"",INDEX(次果筐明细!$H$4:$H$603,$Z1098-5200)),"")))))</f>
        <v/>
      </c>
      <c r="S1098" s="22" t="str">
        <f t="shared" si="53"/>
        <v/>
      </c>
      <c r="Z1098" s="10" t="str">
        <f>IFERROR(MATCH(ROW()-3,_自动清单!$CQ$4:$CQ$5803,0),"")</f>
        <v/>
      </c>
    </row>
    <row r="1099" spans="1:26">
      <c r="A1099" s="24" t="str">
        <f t="shared" si="51"/>
        <v/>
      </c>
      <c r="B1099" s="38" t="str">
        <f>IF($Z1099="","",IF($Z1099&lt;=2000,IF(INDEX(包装物料出入库明细!$B$4:$B$2003,$Z1099-0)=0,"",INDEX(包装物料出入库明细!$B$4:$B$2003,$Z1099-0)),IF($Z1099&lt;=4000,IF(INDEX(周转筐出入库明细!$B$4:$B$2004,$Z1099-2000)=0,"",INDEX(周转筐出入库明细!$B$4:$B$2004,$Z1099-2000)),IF($Z1099&lt;=5200,IF(INDEX(客户自备加工筐明细!$B$4:$B$1203,$Z1099-4000)=0,"",INDEX(客户自备加工筐明细!$B$4:$B$1203,$Z1099-4000)),IF($Z1099&lt;=5800,IF(INDEX(次果筐明细!$B$4:$B$603,$Z1099-5200)=0,"",INDEX(次果筐明细!$B$4:$B$603,$Z1099-5200)),"")))))</f>
        <v/>
      </c>
      <c r="C1099" s="37" t="str">
        <f>IF($Z1099="","",IF($Z1099&lt;=2000,IF(INDEX(包装物料出入库明细!$D$4:$D$2003,$Z1099-0)=0,"",INDEX(包装物料出入库明细!$D$4:$D$2003,$Z1099-0)),IF($Z1099&lt;=4000,IF(INDEX(周转筐出入库明细!$C$4:$C$2004,$Z1099-2000)=0,"",INDEX(周转筐出入库明细!$C$4:$C$2004,$Z1099-2000)),IF($Z1099&lt;=5200,IF(INDEX(客户自备加工筐明细!$E$4:$E$1203,$Z1099-4000)=0,"",INDEX(客户自备加工筐明细!$E$4:$E$1203,$Z1099-4000)),IF($Z1099&lt;=5800,IF(INDEX(次果筐明细!$C$4:$C$603,$Z1099-5200)=0,"",INDEX(次果筐明细!$C$4:$C$603,$Z1099-5200)),"")))))</f>
        <v/>
      </c>
      <c r="D1099" s="37" t="str">
        <f>IF($Z1099="","",IF($Z1099&lt;=2000,"包装物料－"&amp;INDEX(包装物料出入库明细!$H$4:$H$2003,$Z1099-0),IF($Z1099&lt;=4000,"周转筐－"&amp;INDEX(周转筐出入库明细!$F$4:$F$2004,$Z1099-2000),IF($Z1099&lt;=5200,"客户自备筐－"&amp;INDEX(客户自备加工筐明细!$J$4:$J$1203,$Z1099-4000),IF($Z1099&lt;=5800,"次果筐/托盘－"&amp;INDEX(次果筐明细!$F$4:$F$603,$Z1099-5200),"")))))</f>
        <v/>
      </c>
      <c r="E1099" s="24" t="str">
        <f>IF($Z1099="","",IF($Z1099&lt;=2000,IF(INDEX(包装物料出入库明细!$C$4:$C$2003,$Z1099-0)=0,"",INDEX(包装物料出入库明细!$C$4:$C$2003,$Z1099-0)),IF($Z1099&lt;=4000,IF(INDEX(周转筐出入库明细!$E$4:$E$2004,$Z1099-2000)=0,"",INDEX(周转筐出入库明细!$E$4:$E$2004,$Z1099-2000)),IF($Z1099&lt;=5200,IF(INDEX(客户自备加工筐明细!$D$4:$D$1203,$Z1099-4000)=0,"",INDEX(客户自备加工筐明细!$D$4:$D$1203,$Z1099-4000)),IF($Z1099&lt;=5800,IF(INDEX(次果筐明细!$E$4:$E$603,$Z1099-5200)=0,"",INDEX(次果筐明细!$E$4:$E$603,$Z1099-5200)),"")))))</f>
        <v/>
      </c>
      <c r="F1099" s="24" t="str">
        <f>IF($Z1099="","",IF($Z1099&lt;=2000,IF(INDEX(包装物料出入库明细!$E$4:$E$2003,$Z1099-0)=0,"",INDEX(包装物料出入库明细!$E$4:$E$2003,$Z1099-0)),IF($Z1099&lt;=4000,IF(INDEX(周转筐出入库明细!$D$4:$D$2004,$Z1099-2000)=0,"",INDEX(周转筐出入库明细!$D$4:$D$2004,$Z1099-2000)),IF($Z1099&lt;=5200,IF(INDEX(客户自备加工筐明细!$C$4:$C$1203,$Z1099-4000)=0,"",INDEX(客户自备加工筐明细!$C$4:$C$1203,$Z1099-4000)),IF($Z1099&lt;=5800,IF(INDEX(次果筐明细!$D$4:$D$603,$Z1099-5200)=0,"",INDEX(次果筐明细!$D$4:$D$603,$Z1099-5200)),"")))))</f>
        <v/>
      </c>
      <c r="G1099" s="24" t="str">
        <f>IF($Z1099="","",IF($Z1099&lt;=2000,IF(INDEX(包装物料出入库明细!$F$4:$F$2003,$Z1099-0)=0,"",INDEX(包装物料出入库明细!$F$4:$F$2003,$Z1099-0)),IF($Z1099&lt;=4000,"",IF($Z1099&lt;=5200,"",IF($Z1099&lt;=5800,"","")))))</f>
        <v/>
      </c>
      <c r="H1099" s="39" t="str">
        <f>IF($Z1099="","",IF($Z1099&lt;=2000,IF(INDEX(包装物料出入库明细!$L$4:$L$2003,$Z1099-0)=0,"",INDEX(包装物料出入库明细!$L$4:$L$2003,$Z1099-0)),IF($Z1099&lt;=4000,N(INDEX(周转筐出入库明细!$H$4:$H$2004,$Z1099-2000))+N(INDEX(周转筐出入库明细!$I$4:$I$2004,$Z1099-2000))+N(INDEX(周转筐出入库明细!$J$4:$J$2004,$Z1099-2000))+N(INDEX(周转筐出入库明细!$K$4:$K$2004,$Z1099-2000)),IF($Z1099&lt;=5200,N(INDEX(客户自备加工筐明细!$F$4:$F$1203,$Z1099-4000))+N(INDEX(客户自备加工筐明细!$G$4:$G$1203,$Z1099-4000)),IF($Z1099&lt;=5800,IF(INDEX(次果筐明细!$G$4:$G$603,$Z1099-5200)=0,"",INDEX(次果筐明细!$G$4:$G$603,$Z1099-5200)),"")))))</f>
        <v/>
      </c>
      <c r="I1099" s="24" t="str">
        <f>IF($Z1099="","",IF($Z1099&lt;=2000,IF(INDEX(包装物料出入库明细!$G$4:$G$2003,$Z1099-0)=0,"",INDEX(包装物料出入库明细!$G$4:$G$2003,$Z1099-0)),IF($Z1099&lt;=4000,"个",IF($Z1099&lt;=5200,"个",IF($Z1099&lt;=5800,"个","")))))</f>
        <v/>
      </c>
      <c r="J1099" s="30" t="str">
        <f t="shared" si="52"/>
        <v/>
      </c>
      <c r="K1099" s="30" t="str">
        <f>IF($Z1099="","",IF($Z1099&lt;=2000,IF(INDEX(包装物料出入库明细!$N$4:$N$2003,$Z1099-0)=0,"",INDEX(包装物料出入库明细!$N$4:$N$2003,$Z1099-0)),IF($Z1099&lt;=4000,IF(INDEX(周转筐出入库明细!$P$4:$P$2004,$Z1099-2000)=0,"",INDEX(周转筐出入库明细!$P$4:$P$2004,$Z1099-2000)),IF($Z1099&lt;=5200,"",IF($Z1099&lt;=5800,N(INDEX(次果筐明细!$L$4:$L$603,$Z1099-5200))+N(INDEX(次果筐明细!$J$4:$J$603,$Z1099-5200)),"")))))</f>
        <v/>
      </c>
      <c r="L1099" s="24" t="str">
        <f>IF($Z1099="","",IF($Z1099&lt;=2000,IF(INDEX(包装物料出入库明细!$P$4:$P$2003,$Z1099-0)=0,"",INDEX(包装物料出入库明细!$P$4:$P$2003,$Z1099-0)),IF($Z1099&lt;=4000,IF(INDEX(周转筐出入库明细!$Q$4:$Q$2004,$Z1099-2000)=0,"",INDEX(周转筐出入库明细!$Q$4:$Q$2004,$Z1099-2000)),IF($Z1099&lt;=5200,"",IF($Z1099&lt;=5800,IF(INDEX(次果筐明细!$M$4:$M$603,$Z1099-5200)=0,"",INDEX(次果筐明细!$M$4:$M$603,$Z1099-5200)),"")))))</f>
        <v/>
      </c>
      <c r="M1099" s="37" t="str">
        <f>IF($Z1099="","",IF($Z1099&lt;=2000,IF(INDEX(包装物料出入库明细!$R$4:$R$2003,$Z1099-0)=0,"",INDEX(包装物料出入库明细!$R$4:$R$2003,$Z1099-0)),IF($Z1099&lt;=4000,IF(INDEX(周转筐出入库明细!$W$4:$W$2004,$Z1099-2000)=0,"",INDEX(周转筐出入库明细!$W$4:$W$2004,$Z1099-2000)),IF($Z1099&lt;=5200,IF(INDEX(客户自备加工筐明细!$L$4:$L$1203,$Z1099-4000)=0,"",INDEX(客户自备加工筐明细!$L$4:$L$1203,$Z1099-4000)),IF($Z1099&lt;=5800,IF(INDEX(次果筐明细!$P$4:$P$603,$Z1099-5200)=0,"",INDEX(次果筐明细!$P$4:$P$603,$Z1099-5200)),"")))))</f>
        <v/>
      </c>
      <c r="N1099" s="16" t="str">
        <f>IF($Z1099="","",IF($Z1099&lt;=2000,"",IF($Z1099&lt;=4000,IF(INDEX(周转筐出入库明细!$D$4:$D$2004,$Z1099-2000)=0,"",INDEX(周转筐出入库明细!$D$4:$D$2004,$Z1099-2000)),IF($Z1099&lt;=5200,IF(INDEX(客户自备加工筐明细!$C$4:$C$1203,$Z1099-4000)=0,"",INDEX(客户自备加工筐明细!$C$4:$C$1203,$Z1099-4000)),IF($Z1099&lt;=5800,IF(INDEX(次果筐明细!$D$4:$D$603,$Z1099-5200)=0,"",INDEX(次果筐明细!$D$4:$D$603,$Z1099-5200)),"")))))</f>
        <v/>
      </c>
      <c r="O1099" s="40" t="str">
        <f>IF($Z1099="","",IF($Z1099&lt;=2000,"",IF($Z1099&lt;=4000,IF(N(INDEX(周转筐出入库明细!$J$4:$J$2004,$Z1099-2000))+N(INDEX(周转筐出入库明细!$K$4:$K$2004,$Z1099-2000))=0,"",N(INDEX(周转筐出入库明细!$J$4:$J$2004,$Z1099-2000))+N(INDEX(周转筐出入库明细!$K$4:$K$2004,$Z1099-2000))),IF($Z1099&lt;=5200,IF(N(INDEX(客户自备加工筐明细!$G$4:$G$1203,$Z1099-4000))=0,"",N(INDEX(客户自备加工筐明细!$G$4:$G$1203,$Z1099-4000))),IF($Z1099&lt;=5800,IF(ISNUMBER(SEARCH("退",INDEX(次果筐明细!$F$4:$F$603,$Z1099-5200)&amp;"")),"",IF(N(INDEX(次果筐明细!$G$4:$G$603,$Z1099-5200))=0,"",N(INDEX(次果筐明细!$G$4:$G$603,$Z1099-5200)))),"")))))</f>
        <v/>
      </c>
      <c r="P1099" s="40" t="str">
        <f>IF($Z1099="","",IF($Z1099&lt;=2000,"",IF($Z1099&lt;=4000,IF(N(INDEX(周转筐出入库明细!$I$4:$I$2004,$Z1099-2000))=0,"",N(INDEX(周转筐出入库明细!$I$4:$I$2004,$Z1099-2000))),IF($Z1099&lt;=5200,"",IF($Z1099&lt;=5800,IF(ISNUMBER(SEARCH("退",INDEX(次果筐明细!$F$4:$F$603,$Z1099-5200)&amp;"")),IF(N(INDEX(次果筐明细!$G$4:$G$603,$Z1099-5200))=0,"",N(INDEX(次果筐明细!$G$4:$G$603,$Z1099-5200))),""),"")))))</f>
        <v/>
      </c>
      <c r="Q1099" s="40" t="str">
        <f>IF($Z1099="","",IF($Z1099&lt;=2000,"",IF($Z1099&lt;=4000,IF(N(INDEX(周转筐出入库明细!$H$4:$H$2004,$Z1099-2000))=0,"",N(INDEX(周转筐出入库明细!$H$4:$H$2004,$Z1099-2000))),IF($Z1099&lt;=5200,IF(N(INDEX(客户自备加工筐明细!$F$4:$F$1203,$Z1099-4000))=0,"",N(INDEX(客户自备加工筐明细!$F$4:$F$1203,$Z1099-4000))),IF($Z1099&lt;=5800,"","")))))</f>
        <v/>
      </c>
      <c r="R1099" s="16" t="str">
        <f>IF($Z1099="","",IF($Z1099&lt;=2000,IF(INDEX(包装物料出入库明细!$O$4:$O$2003,$Z1099-0)=0,"",INDEX(包装物料出入库明细!$O$4:$O$2003,$Z1099-0)),IF($Z1099&lt;=4000,IF(INDEX(周转筐出入库明细!$M$4:$M$2004,$Z1099-2000)=0,"",INDEX(周转筐出入库明细!$M$4:$M$2004,$Z1099-2000)),IF($Z1099&lt;=5200,IF(INDEX(客户自备加工筐明细!$H$4:$H$1203,$Z1099-4000)=0,"",INDEX(客户自备加工筐明细!$H$4:$H$1203,$Z1099-4000)),IF($Z1099&lt;=5800,IF(INDEX(次果筐明细!$H$4:$H$603,$Z1099-5200)=0,"",INDEX(次果筐明细!$H$4:$H$603,$Z1099-5200)),"")))))</f>
        <v/>
      </c>
      <c r="S1099" s="22" t="str">
        <f t="shared" si="53"/>
        <v/>
      </c>
      <c r="Z1099" s="10" t="str">
        <f>IFERROR(MATCH(ROW()-3,_自动清单!$CQ$4:$CQ$5803,0),"")</f>
        <v/>
      </c>
    </row>
    <row r="1100" spans="1:26">
      <c r="A1100" s="24" t="str">
        <f t="shared" si="51"/>
        <v/>
      </c>
      <c r="B1100" s="38" t="str">
        <f>IF($Z1100="","",IF($Z1100&lt;=2000,IF(INDEX(包装物料出入库明细!$B$4:$B$2003,$Z1100-0)=0,"",INDEX(包装物料出入库明细!$B$4:$B$2003,$Z1100-0)),IF($Z1100&lt;=4000,IF(INDEX(周转筐出入库明细!$B$4:$B$2004,$Z1100-2000)=0,"",INDEX(周转筐出入库明细!$B$4:$B$2004,$Z1100-2000)),IF($Z1100&lt;=5200,IF(INDEX(客户自备加工筐明细!$B$4:$B$1203,$Z1100-4000)=0,"",INDEX(客户自备加工筐明细!$B$4:$B$1203,$Z1100-4000)),IF($Z1100&lt;=5800,IF(INDEX(次果筐明细!$B$4:$B$603,$Z1100-5200)=0,"",INDEX(次果筐明细!$B$4:$B$603,$Z1100-5200)),"")))))</f>
        <v/>
      </c>
      <c r="C1100" s="37" t="str">
        <f>IF($Z1100="","",IF($Z1100&lt;=2000,IF(INDEX(包装物料出入库明细!$D$4:$D$2003,$Z1100-0)=0,"",INDEX(包装物料出入库明细!$D$4:$D$2003,$Z1100-0)),IF($Z1100&lt;=4000,IF(INDEX(周转筐出入库明细!$C$4:$C$2004,$Z1100-2000)=0,"",INDEX(周转筐出入库明细!$C$4:$C$2004,$Z1100-2000)),IF($Z1100&lt;=5200,IF(INDEX(客户自备加工筐明细!$E$4:$E$1203,$Z1100-4000)=0,"",INDEX(客户自备加工筐明细!$E$4:$E$1203,$Z1100-4000)),IF($Z1100&lt;=5800,IF(INDEX(次果筐明细!$C$4:$C$603,$Z1100-5200)=0,"",INDEX(次果筐明细!$C$4:$C$603,$Z1100-5200)),"")))))</f>
        <v/>
      </c>
      <c r="D1100" s="37" t="str">
        <f>IF($Z1100="","",IF($Z1100&lt;=2000,"包装物料－"&amp;INDEX(包装物料出入库明细!$H$4:$H$2003,$Z1100-0),IF($Z1100&lt;=4000,"周转筐－"&amp;INDEX(周转筐出入库明细!$F$4:$F$2004,$Z1100-2000),IF($Z1100&lt;=5200,"客户自备筐－"&amp;INDEX(客户自备加工筐明细!$J$4:$J$1203,$Z1100-4000),IF($Z1100&lt;=5800,"次果筐/托盘－"&amp;INDEX(次果筐明细!$F$4:$F$603,$Z1100-5200),"")))))</f>
        <v/>
      </c>
      <c r="E1100" s="24" t="str">
        <f>IF($Z1100="","",IF($Z1100&lt;=2000,IF(INDEX(包装物料出入库明细!$C$4:$C$2003,$Z1100-0)=0,"",INDEX(包装物料出入库明细!$C$4:$C$2003,$Z1100-0)),IF($Z1100&lt;=4000,IF(INDEX(周转筐出入库明细!$E$4:$E$2004,$Z1100-2000)=0,"",INDEX(周转筐出入库明细!$E$4:$E$2004,$Z1100-2000)),IF($Z1100&lt;=5200,IF(INDEX(客户自备加工筐明细!$D$4:$D$1203,$Z1100-4000)=0,"",INDEX(客户自备加工筐明细!$D$4:$D$1203,$Z1100-4000)),IF($Z1100&lt;=5800,IF(INDEX(次果筐明细!$E$4:$E$603,$Z1100-5200)=0,"",INDEX(次果筐明细!$E$4:$E$603,$Z1100-5200)),"")))))</f>
        <v/>
      </c>
      <c r="F1100" s="24" t="str">
        <f>IF($Z1100="","",IF($Z1100&lt;=2000,IF(INDEX(包装物料出入库明细!$E$4:$E$2003,$Z1100-0)=0,"",INDEX(包装物料出入库明细!$E$4:$E$2003,$Z1100-0)),IF($Z1100&lt;=4000,IF(INDEX(周转筐出入库明细!$D$4:$D$2004,$Z1100-2000)=0,"",INDEX(周转筐出入库明细!$D$4:$D$2004,$Z1100-2000)),IF($Z1100&lt;=5200,IF(INDEX(客户自备加工筐明细!$C$4:$C$1203,$Z1100-4000)=0,"",INDEX(客户自备加工筐明细!$C$4:$C$1203,$Z1100-4000)),IF($Z1100&lt;=5800,IF(INDEX(次果筐明细!$D$4:$D$603,$Z1100-5200)=0,"",INDEX(次果筐明细!$D$4:$D$603,$Z1100-5200)),"")))))</f>
        <v/>
      </c>
      <c r="G1100" s="24" t="str">
        <f>IF($Z1100="","",IF($Z1100&lt;=2000,IF(INDEX(包装物料出入库明细!$F$4:$F$2003,$Z1100-0)=0,"",INDEX(包装物料出入库明细!$F$4:$F$2003,$Z1100-0)),IF($Z1100&lt;=4000,"",IF($Z1100&lt;=5200,"",IF($Z1100&lt;=5800,"","")))))</f>
        <v/>
      </c>
      <c r="H1100" s="39" t="str">
        <f>IF($Z1100="","",IF($Z1100&lt;=2000,IF(INDEX(包装物料出入库明细!$L$4:$L$2003,$Z1100-0)=0,"",INDEX(包装物料出入库明细!$L$4:$L$2003,$Z1100-0)),IF($Z1100&lt;=4000,N(INDEX(周转筐出入库明细!$H$4:$H$2004,$Z1100-2000))+N(INDEX(周转筐出入库明细!$I$4:$I$2004,$Z1100-2000))+N(INDEX(周转筐出入库明细!$J$4:$J$2004,$Z1100-2000))+N(INDEX(周转筐出入库明细!$K$4:$K$2004,$Z1100-2000)),IF($Z1100&lt;=5200,N(INDEX(客户自备加工筐明细!$F$4:$F$1203,$Z1100-4000))+N(INDEX(客户自备加工筐明细!$G$4:$G$1203,$Z1100-4000)),IF($Z1100&lt;=5800,IF(INDEX(次果筐明细!$G$4:$G$603,$Z1100-5200)=0,"",INDEX(次果筐明细!$G$4:$G$603,$Z1100-5200)),"")))))</f>
        <v/>
      </c>
      <c r="I1100" s="24" t="str">
        <f>IF($Z1100="","",IF($Z1100&lt;=2000,IF(INDEX(包装物料出入库明细!$G$4:$G$2003,$Z1100-0)=0,"",INDEX(包装物料出入库明细!$G$4:$G$2003,$Z1100-0)),IF($Z1100&lt;=4000,"个",IF($Z1100&lt;=5200,"个",IF($Z1100&lt;=5800,"个","")))))</f>
        <v/>
      </c>
      <c r="J1100" s="30" t="str">
        <f t="shared" si="52"/>
        <v/>
      </c>
      <c r="K1100" s="30" t="str">
        <f>IF($Z1100="","",IF($Z1100&lt;=2000,IF(INDEX(包装物料出入库明细!$N$4:$N$2003,$Z1100-0)=0,"",INDEX(包装物料出入库明细!$N$4:$N$2003,$Z1100-0)),IF($Z1100&lt;=4000,IF(INDEX(周转筐出入库明细!$P$4:$P$2004,$Z1100-2000)=0,"",INDEX(周转筐出入库明细!$P$4:$P$2004,$Z1100-2000)),IF($Z1100&lt;=5200,"",IF($Z1100&lt;=5800,N(INDEX(次果筐明细!$L$4:$L$603,$Z1100-5200))+N(INDEX(次果筐明细!$J$4:$J$603,$Z1100-5200)),"")))))</f>
        <v/>
      </c>
      <c r="L1100" s="24" t="str">
        <f>IF($Z1100="","",IF($Z1100&lt;=2000,IF(INDEX(包装物料出入库明细!$P$4:$P$2003,$Z1100-0)=0,"",INDEX(包装物料出入库明细!$P$4:$P$2003,$Z1100-0)),IF($Z1100&lt;=4000,IF(INDEX(周转筐出入库明细!$Q$4:$Q$2004,$Z1100-2000)=0,"",INDEX(周转筐出入库明细!$Q$4:$Q$2004,$Z1100-2000)),IF($Z1100&lt;=5200,"",IF($Z1100&lt;=5800,IF(INDEX(次果筐明细!$M$4:$M$603,$Z1100-5200)=0,"",INDEX(次果筐明细!$M$4:$M$603,$Z1100-5200)),"")))))</f>
        <v/>
      </c>
      <c r="M1100" s="37" t="str">
        <f>IF($Z1100="","",IF($Z1100&lt;=2000,IF(INDEX(包装物料出入库明细!$R$4:$R$2003,$Z1100-0)=0,"",INDEX(包装物料出入库明细!$R$4:$R$2003,$Z1100-0)),IF($Z1100&lt;=4000,IF(INDEX(周转筐出入库明细!$W$4:$W$2004,$Z1100-2000)=0,"",INDEX(周转筐出入库明细!$W$4:$W$2004,$Z1100-2000)),IF($Z1100&lt;=5200,IF(INDEX(客户自备加工筐明细!$L$4:$L$1203,$Z1100-4000)=0,"",INDEX(客户自备加工筐明细!$L$4:$L$1203,$Z1100-4000)),IF($Z1100&lt;=5800,IF(INDEX(次果筐明细!$P$4:$P$603,$Z1100-5200)=0,"",INDEX(次果筐明细!$P$4:$P$603,$Z1100-5200)),"")))))</f>
        <v/>
      </c>
      <c r="N1100" s="16" t="str">
        <f>IF($Z1100="","",IF($Z1100&lt;=2000,"",IF($Z1100&lt;=4000,IF(INDEX(周转筐出入库明细!$D$4:$D$2004,$Z1100-2000)=0,"",INDEX(周转筐出入库明细!$D$4:$D$2004,$Z1100-2000)),IF($Z1100&lt;=5200,IF(INDEX(客户自备加工筐明细!$C$4:$C$1203,$Z1100-4000)=0,"",INDEX(客户自备加工筐明细!$C$4:$C$1203,$Z1100-4000)),IF($Z1100&lt;=5800,IF(INDEX(次果筐明细!$D$4:$D$603,$Z1100-5200)=0,"",INDEX(次果筐明细!$D$4:$D$603,$Z1100-5200)),"")))))</f>
        <v/>
      </c>
      <c r="O1100" s="40" t="str">
        <f>IF($Z1100="","",IF($Z1100&lt;=2000,"",IF($Z1100&lt;=4000,IF(N(INDEX(周转筐出入库明细!$J$4:$J$2004,$Z1100-2000))+N(INDEX(周转筐出入库明细!$K$4:$K$2004,$Z1100-2000))=0,"",N(INDEX(周转筐出入库明细!$J$4:$J$2004,$Z1100-2000))+N(INDEX(周转筐出入库明细!$K$4:$K$2004,$Z1100-2000))),IF($Z1100&lt;=5200,IF(N(INDEX(客户自备加工筐明细!$G$4:$G$1203,$Z1100-4000))=0,"",N(INDEX(客户自备加工筐明细!$G$4:$G$1203,$Z1100-4000))),IF($Z1100&lt;=5800,IF(ISNUMBER(SEARCH("退",INDEX(次果筐明细!$F$4:$F$603,$Z1100-5200)&amp;"")),"",IF(N(INDEX(次果筐明细!$G$4:$G$603,$Z1100-5200))=0,"",N(INDEX(次果筐明细!$G$4:$G$603,$Z1100-5200)))),"")))))</f>
        <v/>
      </c>
      <c r="P1100" s="40" t="str">
        <f>IF($Z1100="","",IF($Z1100&lt;=2000,"",IF($Z1100&lt;=4000,IF(N(INDEX(周转筐出入库明细!$I$4:$I$2004,$Z1100-2000))=0,"",N(INDEX(周转筐出入库明细!$I$4:$I$2004,$Z1100-2000))),IF($Z1100&lt;=5200,"",IF($Z1100&lt;=5800,IF(ISNUMBER(SEARCH("退",INDEX(次果筐明细!$F$4:$F$603,$Z1100-5200)&amp;"")),IF(N(INDEX(次果筐明细!$G$4:$G$603,$Z1100-5200))=0,"",N(INDEX(次果筐明细!$G$4:$G$603,$Z1100-5200))),""),"")))))</f>
        <v/>
      </c>
      <c r="Q1100" s="40" t="str">
        <f>IF($Z1100="","",IF($Z1100&lt;=2000,"",IF($Z1100&lt;=4000,IF(N(INDEX(周转筐出入库明细!$H$4:$H$2004,$Z1100-2000))=0,"",N(INDEX(周转筐出入库明细!$H$4:$H$2004,$Z1100-2000))),IF($Z1100&lt;=5200,IF(N(INDEX(客户自备加工筐明细!$F$4:$F$1203,$Z1100-4000))=0,"",N(INDEX(客户自备加工筐明细!$F$4:$F$1203,$Z1100-4000))),IF($Z1100&lt;=5800,"","")))))</f>
        <v/>
      </c>
      <c r="R1100" s="16" t="str">
        <f>IF($Z1100="","",IF($Z1100&lt;=2000,IF(INDEX(包装物料出入库明细!$O$4:$O$2003,$Z1100-0)=0,"",INDEX(包装物料出入库明细!$O$4:$O$2003,$Z1100-0)),IF($Z1100&lt;=4000,IF(INDEX(周转筐出入库明细!$M$4:$M$2004,$Z1100-2000)=0,"",INDEX(周转筐出入库明细!$M$4:$M$2004,$Z1100-2000)),IF($Z1100&lt;=5200,IF(INDEX(客户自备加工筐明细!$H$4:$H$1203,$Z1100-4000)=0,"",INDEX(客户自备加工筐明细!$H$4:$H$1203,$Z1100-4000)),IF($Z1100&lt;=5800,IF(INDEX(次果筐明细!$H$4:$H$603,$Z1100-5200)=0,"",INDEX(次果筐明细!$H$4:$H$603,$Z1100-5200)),"")))))</f>
        <v/>
      </c>
      <c r="S1100" s="22" t="str">
        <f t="shared" si="53"/>
        <v/>
      </c>
      <c r="Z1100" s="10" t="str">
        <f>IFERROR(MATCH(ROW()-3,_自动清单!$CQ$4:$CQ$5803,0),"")</f>
        <v/>
      </c>
    </row>
    <row r="1101" spans="1:26">
      <c r="A1101" s="24" t="str">
        <f t="shared" si="51"/>
        <v/>
      </c>
      <c r="B1101" s="38" t="str">
        <f>IF($Z1101="","",IF($Z1101&lt;=2000,IF(INDEX(包装物料出入库明细!$B$4:$B$2003,$Z1101-0)=0,"",INDEX(包装物料出入库明细!$B$4:$B$2003,$Z1101-0)),IF($Z1101&lt;=4000,IF(INDEX(周转筐出入库明细!$B$4:$B$2004,$Z1101-2000)=0,"",INDEX(周转筐出入库明细!$B$4:$B$2004,$Z1101-2000)),IF($Z1101&lt;=5200,IF(INDEX(客户自备加工筐明细!$B$4:$B$1203,$Z1101-4000)=0,"",INDEX(客户自备加工筐明细!$B$4:$B$1203,$Z1101-4000)),IF($Z1101&lt;=5800,IF(INDEX(次果筐明细!$B$4:$B$603,$Z1101-5200)=0,"",INDEX(次果筐明细!$B$4:$B$603,$Z1101-5200)),"")))))</f>
        <v/>
      </c>
      <c r="C1101" s="37" t="str">
        <f>IF($Z1101="","",IF($Z1101&lt;=2000,IF(INDEX(包装物料出入库明细!$D$4:$D$2003,$Z1101-0)=0,"",INDEX(包装物料出入库明细!$D$4:$D$2003,$Z1101-0)),IF($Z1101&lt;=4000,IF(INDEX(周转筐出入库明细!$C$4:$C$2004,$Z1101-2000)=0,"",INDEX(周转筐出入库明细!$C$4:$C$2004,$Z1101-2000)),IF($Z1101&lt;=5200,IF(INDEX(客户自备加工筐明细!$E$4:$E$1203,$Z1101-4000)=0,"",INDEX(客户自备加工筐明细!$E$4:$E$1203,$Z1101-4000)),IF($Z1101&lt;=5800,IF(INDEX(次果筐明细!$C$4:$C$603,$Z1101-5200)=0,"",INDEX(次果筐明细!$C$4:$C$603,$Z1101-5200)),"")))))</f>
        <v/>
      </c>
      <c r="D1101" s="37" t="str">
        <f>IF($Z1101="","",IF($Z1101&lt;=2000,"包装物料－"&amp;INDEX(包装物料出入库明细!$H$4:$H$2003,$Z1101-0),IF($Z1101&lt;=4000,"周转筐－"&amp;INDEX(周转筐出入库明细!$F$4:$F$2004,$Z1101-2000),IF($Z1101&lt;=5200,"客户自备筐－"&amp;INDEX(客户自备加工筐明细!$J$4:$J$1203,$Z1101-4000),IF($Z1101&lt;=5800,"次果筐/托盘－"&amp;INDEX(次果筐明细!$F$4:$F$603,$Z1101-5200),"")))))</f>
        <v/>
      </c>
      <c r="E1101" s="24" t="str">
        <f>IF($Z1101="","",IF($Z1101&lt;=2000,IF(INDEX(包装物料出入库明细!$C$4:$C$2003,$Z1101-0)=0,"",INDEX(包装物料出入库明细!$C$4:$C$2003,$Z1101-0)),IF($Z1101&lt;=4000,IF(INDEX(周转筐出入库明细!$E$4:$E$2004,$Z1101-2000)=0,"",INDEX(周转筐出入库明细!$E$4:$E$2004,$Z1101-2000)),IF($Z1101&lt;=5200,IF(INDEX(客户自备加工筐明细!$D$4:$D$1203,$Z1101-4000)=0,"",INDEX(客户自备加工筐明细!$D$4:$D$1203,$Z1101-4000)),IF($Z1101&lt;=5800,IF(INDEX(次果筐明细!$E$4:$E$603,$Z1101-5200)=0,"",INDEX(次果筐明细!$E$4:$E$603,$Z1101-5200)),"")))))</f>
        <v/>
      </c>
      <c r="F1101" s="24" t="str">
        <f>IF($Z1101="","",IF($Z1101&lt;=2000,IF(INDEX(包装物料出入库明细!$E$4:$E$2003,$Z1101-0)=0,"",INDEX(包装物料出入库明细!$E$4:$E$2003,$Z1101-0)),IF($Z1101&lt;=4000,IF(INDEX(周转筐出入库明细!$D$4:$D$2004,$Z1101-2000)=0,"",INDEX(周转筐出入库明细!$D$4:$D$2004,$Z1101-2000)),IF($Z1101&lt;=5200,IF(INDEX(客户自备加工筐明细!$C$4:$C$1203,$Z1101-4000)=0,"",INDEX(客户自备加工筐明细!$C$4:$C$1203,$Z1101-4000)),IF($Z1101&lt;=5800,IF(INDEX(次果筐明细!$D$4:$D$603,$Z1101-5200)=0,"",INDEX(次果筐明细!$D$4:$D$603,$Z1101-5200)),"")))))</f>
        <v/>
      </c>
      <c r="G1101" s="24" t="str">
        <f>IF($Z1101="","",IF($Z1101&lt;=2000,IF(INDEX(包装物料出入库明细!$F$4:$F$2003,$Z1101-0)=0,"",INDEX(包装物料出入库明细!$F$4:$F$2003,$Z1101-0)),IF($Z1101&lt;=4000,"",IF($Z1101&lt;=5200,"",IF($Z1101&lt;=5800,"","")))))</f>
        <v/>
      </c>
      <c r="H1101" s="39" t="str">
        <f>IF($Z1101="","",IF($Z1101&lt;=2000,IF(INDEX(包装物料出入库明细!$L$4:$L$2003,$Z1101-0)=0,"",INDEX(包装物料出入库明细!$L$4:$L$2003,$Z1101-0)),IF($Z1101&lt;=4000,N(INDEX(周转筐出入库明细!$H$4:$H$2004,$Z1101-2000))+N(INDEX(周转筐出入库明细!$I$4:$I$2004,$Z1101-2000))+N(INDEX(周转筐出入库明细!$J$4:$J$2004,$Z1101-2000))+N(INDEX(周转筐出入库明细!$K$4:$K$2004,$Z1101-2000)),IF($Z1101&lt;=5200,N(INDEX(客户自备加工筐明细!$F$4:$F$1203,$Z1101-4000))+N(INDEX(客户自备加工筐明细!$G$4:$G$1203,$Z1101-4000)),IF($Z1101&lt;=5800,IF(INDEX(次果筐明细!$G$4:$G$603,$Z1101-5200)=0,"",INDEX(次果筐明细!$G$4:$G$603,$Z1101-5200)),"")))))</f>
        <v/>
      </c>
      <c r="I1101" s="24" t="str">
        <f>IF($Z1101="","",IF($Z1101&lt;=2000,IF(INDEX(包装物料出入库明细!$G$4:$G$2003,$Z1101-0)=0,"",INDEX(包装物料出入库明细!$G$4:$G$2003,$Z1101-0)),IF($Z1101&lt;=4000,"个",IF($Z1101&lt;=5200,"个",IF($Z1101&lt;=5800,"个","")))))</f>
        <v/>
      </c>
      <c r="J1101" s="30" t="str">
        <f t="shared" si="52"/>
        <v/>
      </c>
      <c r="K1101" s="30" t="str">
        <f>IF($Z1101="","",IF($Z1101&lt;=2000,IF(INDEX(包装物料出入库明细!$N$4:$N$2003,$Z1101-0)=0,"",INDEX(包装物料出入库明细!$N$4:$N$2003,$Z1101-0)),IF($Z1101&lt;=4000,IF(INDEX(周转筐出入库明细!$P$4:$P$2004,$Z1101-2000)=0,"",INDEX(周转筐出入库明细!$P$4:$P$2004,$Z1101-2000)),IF($Z1101&lt;=5200,"",IF($Z1101&lt;=5800,N(INDEX(次果筐明细!$L$4:$L$603,$Z1101-5200))+N(INDEX(次果筐明细!$J$4:$J$603,$Z1101-5200)),"")))))</f>
        <v/>
      </c>
      <c r="L1101" s="24" t="str">
        <f>IF($Z1101="","",IF($Z1101&lt;=2000,IF(INDEX(包装物料出入库明细!$P$4:$P$2003,$Z1101-0)=0,"",INDEX(包装物料出入库明细!$P$4:$P$2003,$Z1101-0)),IF($Z1101&lt;=4000,IF(INDEX(周转筐出入库明细!$Q$4:$Q$2004,$Z1101-2000)=0,"",INDEX(周转筐出入库明细!$Q$4:$Q$2004,$Z1101-2000)),IF($Z1101&lt;=5200,"",IF($Z1101&lt;=5800,IF(INDEX(次果筐明细!$M$4:$M$603,$Z1101-5200)=0,"",INDEX(次果筐明细!$M$4:$M$603,$Z1101-5200)),"")))))</f>
        <v/>
      </c>
      <c r="M1101" s="37" t="str">
        <f>IF($Z1101="","",IF($Z1101&lt;=2000,IF(INDEX(包装物料出入库明细!$R$4:$R$2003,$Z1101-0)=0,"",INDEX(包装物料出入库明细!$R$4:$R$2003,$Z1101-0)),IF($Z1101&lt;=4000,IF(INDEX(周转筐出入库明细!$W$4:$W$2004,$Z1101-2000)=0,"",INDEX(周转筐出入库明细!$W$4:$W$2004,$Z1101-2000)),IF($Z1101&lt;=5200,IF(INDEX(客户自备加工筐明细!$L$4:$L$1203,$Z1101-4000)=0,"",INDEX(客户自备加工筐明细!$L$4:$L$1203,$Z1101-4000)),IF($Z1101&lt;=5800,IF(INDEX(次果筐明细!$P$4:$P$603,$Z1101-5200)=0,"",INDEX(次果筐明细!$P$4:$P$603,$Z1101-5200)),"")))))</f>
        <v/>
      </c>
      <c r="N1101" s="16" t="str">
        <f>IF($Z1101="","",IF($Z1101&lt;=2000,"",IF($Z1101&lt;=4000,IF(INDEX(周转筐出入库明细!$D$4:$D$2004,$Z1101-2000)=0,"",INDEX(周转筐出入库明细!$D$4:$D$2004,$Z1101-2000)),IF($Z1101&lt;=5200,IF(INDEX(客户自备加工筐明细!$C$4:$C$1203,$Z1101-4000)=0,"",INDEX(客户自备加工筐明细!$C$4:$C$1203,$Z1101-4000)),IF($Z1101&lt;=5800,IF(INDEX(次果筐明细!$D$4:$D$603,$Z1101-5200)=0,"",INDEX(次果筐明细!$D$4:$D$603,$Z1101-5200)),"")))))</f>
        <v/>
      </c>
      <c r="O1101" s="40" t="str">
        <f>IF($Z1101="","",IF($Z1101&lt;=2000,"",IF($Z1101&lt;=4000,IF(N(INDEX(周转筐出入库明细!$J$4:$J$2004,$Z1101-2000))+N(INDEX(周转筐出入库明细!$K$4:$K$2004,$Z1101-2000))=0,"",N(INDEX(周转筐出入库明细!$J$4:$J$2004,$Z1101-2000))+N(INDEX(周转筐出入库明细!$K$4:$K$2004,$Z1101-2000))),IF($Z1101&lt;=5200,IF(N(INDEX(客户自备加工筐明细!$G$4:$G$1203,$Z1101-4000))=0,"",N(INDEX(客户自备加工筐明细!$G$4:$G$1203,$Z1101-4000))),IF($Z1101&lt;=5800,IF(ISNUMBER(SEARCH("退",INDEX(次果筐明细!$F$4:$F$603,$Z1101-5200)&amp;"")),"",IF(N(INDEX(次果筐明细!$G$4:$G$603,$Z1101-5200))=0,"",N(INDEX(次果筐明细!$G$4:$G$603,$Z1101-5200)))),"")))))</f>
        <v/>
      </c>
      <c r="P1101" s="40" t="str">
        <f>IF($Z1101="","",IF($Z1101&lt;=2000,"",IF($Z1101&lt;=4000,IF(N(INDEX(周转筐出入库明细!$I$4:$I$2004,$Z1101-2000))=0,"",N(INDEX(周转筐出入库明细!$I$4:$I$2004,$Z1101-2000))),IF($Z1101&lt;=5200,"",IF($Z1101&lt;=5800,IF(ISNUMBER(SEARCH("退",INDEX(次果筐明细!$F$4:$F$603,$Z1101-5200)&amp;"")),IF(N(INDEX(次果筐明细!$G$4:$G$603,$Z1101-5200))=0,"",N(INDEX(次果筐明细!$G$4:$G$603,$Z1101-5200))),""),"")))))</f>
        <v/>
      </c>
      <c r="Q1101" s="40" t="str">
        <f>IF($Z1101="","",IF($Z1101&lt;=2000,"",IF($Z1101&lt;=4000,IF(N(INDEX(周转筐出入库明细!$H$4:$H$2004,$Z1101-2000))=0,"",N(INDEX(周转筐出入库明细!$H$4:$H$2004,$Z1101-2000))),IF($Z1101&lt;=5200,IF(N(INDEX(客户自备加工筐明细!$F$4:$F$1203,$Z1101-4000))=0,"",N(INDEX(客户自备加工筐明细!$F$4:$F$1203,$Z1101-4000))),IF($Z1101&lt;=5800,"","")))))</f>
        <v/>
      </c>
      <c r="R1101" s="16" t="str">
        <f>IF($Z1101="","",IF($Z1101&lt;=2000,IF(INDEX(包装物料出入库明细!$O$4:$O$2003,$Z1101-0)=0,"",INDEX(包装物料出入库明细!$O$4:$O$2003,$Z1101-0)),IF($Z1101&lt;=4000,IF(INDEX(周转筐出入库明细!$M$4:$M$2004,$Z1101-2000)=0,"",INDEX(周转筐出入库明细!$M$4:$M$2004,$Z1101-2000)),IF($Z1101&lt;=5200,IF(INDEX(客户自备加工筐明细!$H$4:$H$1203,$Z1101-4000)=0,"",INDEX(客户自备加工筐明细!$H$4:$H$1203,$Z1101-4000)),IF($Z1101&lt;=5800,IF(INDEX(次果筐明细!$H$4:$H$603,$Z1101-5200)=0,"",INDEX(次果筐明细!$H$4:$H$603,$Z1101-5200)),"")))))</f>
        <v/>
      </c>
      <c r="S1101" s="22" t="str">
        <f t="shared" si="53"/>
        <v/>
      </c>
      <c r="Z1101" s="10" t="str">
        <f>IFERROR(MATCH(ROW()-3,_自动清单!$CQ$4:$CQ$5803,0),"")</f>
        <v/>
      </c>
    </row>
    <row r="1102" spans="1:26">
      <c r="A1102" s="24" t="str">
        <f t="shared" si="51"/>
        <v/>
      </c>
      <c r="B1102" s="38" t="str">
        <f>IF($Z1102="","",IF($Z1102&lt;=2000,IF(INDEX(包装物料出入库明细!$B$4:$B$2003,$Z1102-0)=0,"",INDEX(包装物料出入库明细!$B$4:$B$2003,$Z1102-0)),IF($Z1102&lt;=4000,IF(INDEX(周转筐出入库明细!$B$4:$B$2004,$Z1102-2000)=0,"",INDEX(周转筐出入库明细!$B$4:$B$2004,$Z1102-2000)),IF($Z1102&lt;=5200,IF(INDEX(客户自备加工筐明细!$B$4:$B$1203,$Z1102-4000)=0,"",INDEX(客户自备加工筐明细!$B$4:$B$1203,$Z1102-4000)),IF($Z1102&lt;=5800,IF(INDEX(次果筐明细!$B$4:$B$603,$Z1102-5200)=0,"",INDEX(次果筐明细!$B$4:$B$603,$Z1102-5200)),"")))))</f>
        <v/>
      </c>
      <c r="C1102" s="37" t="str">
        <f>IF($Z1102="","",IF($Z1102&lt;=2000,IF(INDEX(包装物料出入库明细!$D$4:$D$2003,$Z1102-0)=0,"",INDEX(包装物料出入库明细!$D$4:$D$2003,$Z1102-0)),IF($Z1102&lt;=4000,IF(INDEX(周转筐出入库明细!$C$4:$C$2004,$Z1102-2000)=0,"",INDEX(周转筐出入库明细!$C$4:$C$2004,$Z1102-2000)),IF($Z1102&lt;=5200,IF(INDEX(客户自备加工筐明细!$E$4:$E$1203,$Z1102-4000)=0,"",INDEX(客户自备加工筐明细!$E$4:$E$1203,$Z1102-4000)),IF($Z1102&lt;=5800,IF(INDEX(次果筐明细!$C$4:$C$603,$Z1102-5200)=0,"",INDEX(次果筐明细!$C$4:$C$603,$Z1102-5200)),"")))))</f>
        <v/>
      </c>
      <c r="D1102" s="37" t="str">
        <f>IF($Z1102="","",IF($Z1102&lt;=2000,"包装物料－"&amp;INDEX(包装物料出入库明细!$H$4:$H$2003,$Z1102-0),IF($Z1102&lt;=4000,"周转筐－"&amp;INDEX(周转筐出入库明细!$F$4:$F$2004,$Z1102-2000),IF($Z1102&lt;=5200,"客户自备筐－"&amp;INDEX(客户自备加工筐明细!$J$4:$J$1203,$Z1102-4000),IF($Z1102&lt;=5800,"次果筐/托盘－"&amp;INDEX(次果筐明细!$F$4:$F$603,$Z1102-5200),"")))))</f>
        <v/>
      </c>
      <c r="E1102" s="24" t="str">
        <f>IF($Z1102="","",IF($Z1102&lt;=2000,IF(INDEX(包装物料出入库明细!$C$4:$C$2003,$Z1102-0)=0,"",INDEX(包装物料出入库明细!$C$4:$C$2003,$Z1102-0)),IF($Z1102&lt;=4000,IF(INDEX(周转筐出入库明细!$E$4:$E$2004,$Z1102-2000)=0,"",INDEX(周转筐出入库明细!$E$4:$E$2004,$Z1102-2000)),IF($Z1102&lt;=5200,IF(INDEX(客户自备加工筐明细!$D$4:$D$1203,$Z1102-4000)=0,"",INDEX(客户自备加工筐明细!$D$4:$D$1203,$Z1102-4000)),IF($Z1102&lt;=5800,IF(INDEX(次果筐明细!$E$4:$E$603,$Z1102-5200)=0,"",INDEX(次果筐明细!$E$4:$E$603,$Z1102-5200)),"")))))</f>
        <v/>
      </c>
      <c r="F1102" s="24" t="str">
        <f>IF($Z1102="","",IF($Z1102&lt;=2000,IF(INDEX(包装物料出入库明细!$E$4:$E$2003,$Z1102-0)=0,"",INDEX(包装物料出入库明细!$E$4:$E$2003,$Z1102-0)),IF($Z1102&lt;=4000,IF(INDEX(周转筐出入库明细!$D$4:$D$2004,$Z1102-2000)=0,"",INDEX(周转筐出入库明细!$D$4:$D$2004,$Z1102-2000)),IF($Z1102&lt;=5200,IF(INDEX(客户自备加工筐明细!$C$4:$C$1203,$Z1102-4000)=0,"",INDEX(客户自备加工筐明细!$C$4:$C$1203,$Z1102-4000)),IF($Z1102&lt;=5800,IF(INDEX(次果筐明细!$D$4:$D$603,$Z1102-5200)=0,"",INDEX(次果筐明细!$D$4:$D$603,$Z1102-5200)),"")))))</f>
        <v/>
      </c>
      <c r="G1102" s="24" t="str">
        <f>IF($Z1102="","",IF($Z1102&lt;=2000,IF(INDEX(包装物料出入库明细!$F$4:$F$2003,$Z1102-0)=0,"",INDEX(包装物料出入库明细!$F$4:$F$2003,$Z1102-0)),IF($Z1102&lt;=4000,"",IF($Z1102&lt;=5200,"",IF($Z1102&lt;=5800,"","")))))</f>
        <v/>
      </c>
      <c r="H1102" s="39" t="str">
        <f>IF($Z1102="","",IF($Z1102&lt;=2000,IF(INDEX(包装物料出入库明细!$L$4:$L$2003,$Z1102-0)=0,"",INDEX(包装物料出入库明细!$L$4:$L$2003,$Z1102-0)),IF($Z1102&lt;=4000,N(INDEX(周转筐出入库明细!$H$4:$H$2004,$Z1102-2000))+N(INDEX(周转筐出入库明细!$I$4:$I$2004,$Z1102-2000))+N(INDEX(周转筐出入库明细!$J$4:$J$2004,$Z1102-2000))+N(INDEX(周转筐出入库明细!$K$4:$K$2004,$Z1102-2000)),IF($Z1102&lt;=5200,N(INDEX(客户自备加工筐明细!$F$4:$F$1203,$Z1102-4000))+N(INDEX(客户自备加工筐明细!$G$4:$G$1203,$Z1102-4000)),IF($Z1102&lt;=5800,IF(INDEX(次果筐明细!$G$4:$G$603,$Z1102-5200)=0,"",INDEX(次果筐明细!$G$4:$G$603,$Z1102-5200)),"")))))</f>
        <v/>
      </c>
      <c r="I1102" s="24" t="str">
        <f>IF($Z1102="","",IF($Z1102&lt;=2000,IF(INDEX(包装物料出入库明细!$G$4:$G$2003,$Z1102-0)=0,"",INDEX(包装物料出入库明细!$G$4:$G$2003,$Z1102-0)),IF($Z1102&lt;=4000,"个",IF($Z1102&lt;=5200,"个",IF($Z1102&lt;=5800,"个","")))))</f>
        <v/>
      </c>
      <c r="J1102" s="30" t="str">
        <f t="shared" si="52"/>
        <v/>
      </c>
      <c r="K1102" s="30" t="str">
        <f>IF($Z1102="","",IF($Z1102&lt;=2000,IF(INDEX(包装物料出入库明细!$N$4:$N$2003,$Z1102-0)=0,"",INDEX(包装物料出入库明细!$N$4:$N$2003,$Z1102-0)),IF($Z1102&lt;=4000,IF(INDEX(周转筐出入库明细!$P$4:$P$2004,$Z1102-2000)=0,"",INDEX(周转筐出入库明细!$P$4:$P$2004,$Z1102-2000)),IF($Z1102&lt;=5200,"",IF($Z1102&lt;=5800,N(INDEX(次果筐明细!$L$4:$L$603,$Z1102-5200))+N(INDEX(次果筐明细!$J$4:$J$603,$Z1102-5200)),"")))))</f>
        <v/>
      </c>
      <c r="L1102" s="24" t="str">
        <f>IF($Z1102="","",IF($Z1102&lt;=2000,IF(INDEX(包装物料出入库明细!$P$4:$P$2003,$Z1102-0)=0,"",INDEX(包装物料出入库明细!$P$4:$P$2003,$Z1102-0)),IF($Z1102&lt;=4000,IF(INDEX(周转筐出入库明细!$Q$4:$Q$2004,$Z1102-2000)=0,"",INDEX(周转筐出入库明细!$Q$4:$Q$2004,$Z1102-2000)),IF($Z1102&lt;=5200,"",IF($Z1102&lt;=5800,IF(INDEX(次果筐明细!$M$4:$M$603,$Z1102-5200)=0,"",INDEX(次果筐明细!$M$4:$M$603,$Z1102-5200)),"")))))</f>
        <v/>
      </c>
      <c r="M1102" s="37" t="str">
        <f>IF($Z1102="","",IF($Z1102&lt;=2000,IF(INDEX(包装物料出入库明细!$R$4:$R$2003,$Z1102-0)=0,"",INDEX(包装物料出入库明细!$R$4:$R$2003,$Z1102-0)),IF($Z1102&lt;=4000,IF(INDEX(周转筐出入库明细!$W$4:$W$2004,$Z1102-2000)=0,"",INDEX(周转筐出入库明细!$W$4:$W$2004,$Z1102-2000)),IF($Z1102&lt;=5200,IF(INDEX(客户自备加工筐明细!$L$4:$L$1203,$Z1102-4000)=0,"",INDEX(客户自备加工筐明细!$L$4:$L$1203,$Z1102-4000)),IF($Z1102&lt;=5800,IF(INDEX(次果筐明细!$P$4:$P$603,$Z1102-5200)=0,"",INDEX(次果筐明细!$P$4:$P$603,$Z1102-5200)),"")))))</f>
        <v/>
      </c>
      <c r="N1102" s="16" t="str">
        <f>IF($Z1102="","",IF($Z1102&lt;=2000,"",IF($Z1102&lt;=4000,IF(INDEX(周转筐出入库明细!$D$4:$D$2004,$Z1102-2000)=0,"",INDEX(周转筐出入库明细!$D$4:$D$2004,$Z1102-2000)),IF($Z1102&lt;=5200,IF(INDEX(客户自备加工筐明细!$C$4:$C$1203,$Z1102-4000)=0,"",INDEX(客户自备加工筐明细!$C$4:$C$1203,$Z1102-4000)),IF($Z1102&lt;=5800,IF(INDEX(次果筐明细!$D$4:$D$603,$Z1102-5200)=0,"",INDEX(次果筐明细!$D$4:$D$603,$Z1102-5200)),"")))))</f>
        <v/>
      </c>
      <c r="O1102" s="40" t="str">
        <f>IF($Z1102="","",IF($Z1102&lt;=2000,"",IF($Z1102&lt;=4000,IF(N(INDEX(周转筐出入库明细!$J$4:$J$2004,$Z1102-2000))+N(INDEX(周转筐出入库明细!$K$4:$K$2004,$Z1102-2000))=0,"",N(INDEX(周转筐出入库明细!$J$4:$J$2004,$Z1102-2000))+N(INDEX(周转筐出入库明细!$K$4:$K$2004,$Z1102-2000))),IF($Z1102&lt;=5200,IF(N(INDEX(客户自备加工筐明细!$G$4:$G$1203,$Z1102-4000))=0,"",N(INDEX(客户自备加工筐明细!$G$4:$G$1203,$Z1102-4000))),IF($Z1102&lt;=5800,IF(ISNUMBER(SEARCH("退",INDEX(次果筐明细!$F$4:$F$603,$Z1102-5200)&amp;"")),"",IF(N(INDEX(次果筐明细!$G$4:$G$603,$Z1102-5200))=0,"",N(INDEX(次果筐明细!$G$4:$G$603,$Z1102-5200)))),"")))))</f>
        <v/>
      </c>
      <c r="P1102" s="40" t="str">
        <f>IF($Z1102="","",IF($Z1102&lt;=2000,"",IF($Z1102&lt;=4000,IF(N(INDEX(周转筐出入库明细!$I$4:$I$2004,$Z1102-2000))=0,"",N(INDEX(周转筐出入库明细!$I$4:$I$2004,$Z1102-2000))),IF($Z1102&lt;=5200,"",IF($Z1102&lt;=5800,IF(ISNUMBER(SEARCH("退",INDEX(次果筐明细!$F$4:$F$603,$Z1102-5200)&amp;"")),IF(N(INDEX(次果筐明细!$G$4:$G$603,$Z1102-5200))=0,"",N(INDEX(次果筐明细!$G$4:$G$603,$Z1102-5200))),""),"")))))</f>
        <v/>
      </c>
      <c r="Q1102" s="40" t="str">
        <f>IF($Z1102="","",IF($Z1102&lt;=2000,"",IF($Z1102&lt;=4000,IF(N(INDEX(周转筐出入库明细!$H$4:$H$2004,$Z1102-2000))=0,"",N(INDEX(周转筐出入库明细!$H$4:$H$2004,$Z1102-2000))),IF($Z1102&lt;=5200,IF(N(INDEX(客户自备加工筐明细!$F$4:$F$1203,$Z1102-4000))=0,"",N(INDEX(客户自备加工筐明细!$F$4:$F$1203,$Z1102-4000))),IF($Z1102&lt;=5800,"","")))))</f>
        <v/>
      </c>
      <c r="R1102" s="16" t="str">
        <f>IF($Z1102="","",IF($Z1102&lt;=2000,IF(INDEX(包装物料出入库明细!$O$4:$O$2003,$Z1102-0)=0,"",INDEX(包装物料出入库明细!$O$4:$O$2003,$Z1102-0)),IF($Z1102&lt;=4000,IF(INDEX(周转筐出入库明细!$M$4:$M$2004,$Z1102-2000)=0,"",INDEX(周转筐出入库明细!$M$4:$M$2004,$Z1102-2000)),IF($Z1102&lt;=5200,IF(INDEX(客户自备加工筐明细!$H$4:$H$1203,$Z1102-4000)=0,"",INDEX(客户自备加工筐明细!$H$4:$H$1203,$Z1102-4000)),IF($Z1102&lt;=5800,IF(INDEX(次果筐明细!$H$4:$H$603,$Z1102-5200)=0,"",INDEX(次果筐明细!$H$4:$H$603,$Z1102-5200)),"")))))</f>
        <v/>
      </c>
      <c r="S1102" s="22" t="str">
        <f t="shared" si="53"/>
        <v/>
      </c>
      <c r="Z1102" s="10" t="str">
        <f>IFERROR(MATCH(ROW()-3,_自动清单!$CQ$4:$CQ$5803,0),"")</f>
        <v/>
      </c>
    </row>
    <row r="1103" spans="1:26">
      <c r="A1103" s="24" t="str">
        <f t="shared" si="51"/>
        <v/>
      </c>
      <c r="B1103" s="38" t="str">
        <f>IF($Z1103="","",IF($Z1103&lt;=2000,IF(INDEX(包装物料出入库明细!$B$4:$B$2003,$Z1103-0)=0,"",INDEX(包装物料出入库明细!$B$4:$B$2003,$Z1103-0)),IF($Z1103&lt;=4000,IF(INDEX(周转筐出入库明细!$B$4:$B$2004,$Z1103-2000)=0,"",INDEX(周转筐出入库明细!$B$4:$B$2004,$Z1103-2000)),IF($Z1103&lt;=5200,IF(INDEX(客户自备加工筐明细!$B$4:$B$1203,$Z1103-4000)=0,"",INDEX(客户自备加工筐明细!$B$4:$B$1203,$Z1103-4000)),IF($Z1103&lt;=5800,IF(INDEX(次果筐明细!$B$4:$B$603,$Z1103-5200)=0,"",INDEX(次果筐明细!$B$4:$B$603,$Z1103-5200)),"")))))</f>
        <v/>
      </c>
      <c r="C1103" s="37" t="str">
        <f>IF($Z1103="","",IF($Z1103&lt;=2000,IF(INDEX(包装物料出入库明细!$D$4:$D$2003,$Z1103-0)=0,"",INDEX(包装物料出入库明细!$D$4:$D$2003,$Z1103-0)),IF($Z1103&lt;=4000,IF(INDEX(周转筐出入库明细!$C$4:$C$2004,$Z1103-2000)=0,"",INDEX(周转筐出入库明细!$C$4:$C$2004,$Z1103-2000)),IF($Z1103&lt;=5200,IF(INDEX(客户自备加工筐明细!$E$4:$E$1203,$Z1103-4000)=0,"",INDEX(客户自备加工筐明细!$E$4:$E$1203,$Z1103-4000)),IF($Z1103&lt;=5800,IF(INDEX(次果筐明细!$C$4:$C$603,$Z1103-5200)=0,"",INDEX(次果筐明细!$C$4:$C$603,$Z1103-5200)),"")))))</f>
        <v/>
      </c>
      <c r="D1103" s="37" t="str">
        <f>IF($Z1103="","",IF($Z1103&lt;=2000,"包装物料－"&amp;INDEX(包装物料出入库明细!$H$4:$H$2003,$Z1103-0),IF($Z1103&lt;=4000,"周转筐－"&amp;INDEX(周转筐出入库明细!$F$4:$F$2004,$Z1103-2000),IF($Z1103&lt;=5200,"客户自备筐－"&amp;INDEX(客户自备加工筐明细!$J$4:$J$1203,$Z1103-4000),IF($Z1103&lt;=5800,"次果筐/托盘－"&amp;INDEX(次果筐明细!$F$4:$F$603,$Z1103-5200),"")))))</f>
        <v/>
      </c>
      <c r="E1103" s="24" t="str">
        <f>IF($Z1103="","",IF($Z1103&lt;=2000,IF(INDEX(包装物料出入库明细!$C$4:$C$2003,$Z1103-0)=0,"",INDEX(包装物料出入库明细!$C$4:$C$2003,$Z1103-0)),IF($Z1103&lt;=4000,IF(INDEX(周转筐出入库明细!$E$4:$E$2004,$Z1103-2000)=0,"",INDEX(周转筐出入库明细!$E$4:$E$2004,$Z1103-2000)),IF($Z1103&lt;=5200,IF(INDEX(客户自备加工筐明细!$D$4:$D$1203,$Z1103-4000)=0,"",INDEX(客户自备加工筐明细!$D$4:$D$1203,$Z1103-4000)),IF($Z1103&lt;=5800,IF(INDEX(次果筐明细!$E$4:$E$603,$Z1103-5200)=0,"",INDEX(次果筐明细!$E$4:$E$603,$Z1103-5200)),"")))))</f>
        <v/>
      </c>
      <c r="F1103" s="24" t="str">
        <f>IF($Z1103="","",IF($Z1103&lt;=2000,IF(INDEX(包装物料出入库明细!$E$4:$E$2003,$Z1103-0)=0,"",INDEX(包装物料出入库明细!$E$4:$E$2003,$Z1103-0)),IF($Z1103&lt;=4000,IF(INDEX(周转筐出入库明细!$D$4:$D$2004,$Z1103-2000)=0,"",INDEX(周转筐出入库明细!$D$4:$D$2004,$Z1103-2000)),IF($Z1103&lt;=5200,IF(INDEX(客户自备加工筐明细!$C$4:$C$1203,$Z1103-4000)=0,"",INDEX(客户自备加工筐明细!$C$4:$C$1203,$Z1103-4000)),IF($Z1103&lt;=5800,IF(INDEX(次果筐明细!$D$4:$D$603,$Z1103-5200)=0,"",INDEX(次果筐明细!$D$4:$D$603,$Z1103-5200)),"")))))</f>
        <v/>
      </c>
      <c r="G1103" s="24" t="str">
        <f>IF($Z1103="","",IF($Z1103&lt;=2000,IF(INDEX(包装物料出入库明细!$F$4:$F$2003,$Z1103-0)=0,"",INDEX(包装物料出入库明细!$F$4:$F$2003,$Z1103-0)),IF($Z1103&lt;=4000,"",IF($Z1103&lt;=5200,"",IF($Z1103&lt;=5800,"","")))))</f>
        <v/>
      </c>
      <c r="H1103" s="39" t="str">
        <f>IF($Z1103="","",IF($Z1103&lt;=2000,IF(INDEX(包装物料出入库明细!$L$4:$L$2003,$Z1103-0)=0,"",INDEX(包装物料出入库明细!$L$4:$L$2003,$Z1103-0)),IF($Z1103&lt;=4000,N(INDEX(周转筐出入库明细!$H$4:$H$2004,$Z1103-2000))+N(INDEX(周转筐出入库明细!$I$4:$I$2004,$Z1103-2000))+N(INDEX(周转筐出入库明细!$J$4:$J$2004,$Z1103-2000))+N(INDEX(周转筐出入库明细!$K$4:$K$2004,$Z1103-2000)),IF($Z1103&lt;=5200,N(INDEX(客户自备加工筐明细!$F$4:$F$1203,$Z1103-4000))+N(INDEX(客户自备加工筐明细!$G$4:$G$1203,$Z1103-4000)),IF($Z1103&lt;=5800,IF(INDEX(次果筐明细!$G$4:$G$603,$Z1103-5200)=0,"",INDEX(次果筐明细!$G$4:$G$603,$Z1103-5200)),"")))))</f>
        <v/>
      </c>
      <c r="I1103" s="24" t="str">
        <f>IF($Z1103="","",IF($Z1103&lt;=2000,IF(INDEX(包装物料出入库明细!$G$4:$G$2003,$Z1103-0)=0,"",INDEX(包装物料出入库明细!$G$4:$G$2003,$Z1103-0)),IF($Z1103&lt;=4000,"个",IF($Z1103&lt;=5200,"个",IF($Z1103&lt;=5800,"个","")))))</f>
        <v/>
      </c>
      <c r="J1103" s="30" t="str">
        <f t="shared" si="52"/>
        <v/>
      </c>
      <c r="K1103" s="30" t="str">
        <f>IF($Z1103="","",IF($Z1103&lt;=2000,IF(INDEX(包装物料出入库明细!$N$4:$N$2003,$Z1103-0)=0,"",INDEX(包装物料出入库明细!$N$4:$N$2003,$Z1103-0)),IF($Z1103&lt;=4000,IF(INDEX(周转筐出入库明细!$P$4:$P$2004,$Z1103-2000)=0,"",INDEX(周转筐出入库明细!$P$4:$P$2004,$Z1103-2000)),IF($Z1103&lt;=5200,"",IF($Z1103&lt;=5800,N(INDEX(次果筐明细!$L$4:$L$603,$Z1103-5200))+N(INDEX(次果筐明细!$J$4:$J$603,$Z1103-5200)),"")))))</f>
        <v/>
      </c>
      <c r="L1103" s="24" t="str">
        <f>IF($Z1103="","",IF($Z1103&lt;=2000,IF(INDEX(包装物料出入库明细!$P$4:$P$2003,$Z1103-0)=0,"",INDEX(包装物料出入库明细!$P$4:$P$2003,$Z1103-0)),IF($Z1103&lt;=4000,IF(INDEX(周转筐出入库明细!$Q$4:$Q$2004,$Z1103-2000)=0,"",INDEX(周转筐出入库明细!$Q$4:$Q$2004,$Z1103-2000)),IF($Z1103&lt;=5200,"",IF($Z1103&lt;=5800,IF(INDEX(次果筐明细!$M$4:$M$603,$Z1103-5200)=0,"",INDEX(次果筐明细!$M$4:$M$603,$Z1103-5200)),"")))))</f>
        <v/>
      </c>
      <c r="M1103" s="37" t="str">
        <f>IF($Z1103="","",IF($Z1103&lt;=2000,IF(INDEX(包装物料出入库明细!$R$4:$R$2003,$Z1103-0)=0,"",INDEX(包装物料出入库明细!$R$4:$R$2003,$Z1103-0)),IF($Z1103&lt;=4000,IF(INDEX(周转筐出入库明细!$W$4:$W$2004,$Z1103-2000)=0,"",INDEX(周转筐出入库明细!$W$4:$W$2004,$Z1103-2000)),IF($Z1103&lt;=5200,IF(INDEX(客户自备加工筐明细!$L$4:$L$1203,$Z1103-4000)=0,"",INDEX(客户自备加工筐明细!$L$4:$L$1203,$Z1103-4000)),IF($Z1103&lt;=5800,IF(INDEX(次果筐明细!$P$4:$P$603,$Z1103-5200)=0,"",INDEX(次果筐明细!$P$4:$P$603,$Z1103-5200)),"")))))</f>
        <v/>
      </c>
      <c r="N1103" s="16" t="str">
        <f>IF($Z1103="","",IF($Z1103&lt;=2000,"",IF($Z1103&lt;=4000,IF(INDEX(周转筐出入库明细!$D$4:$D$2004,$Z1103-2000)=0,"",INDEX(周转筐出入库明细!$D$4:$D$2004,$Z1103-2000)),IF($Z1103&lt;=5200,IF(INDEX(客户自备加工筐明细!$C$4:$C$1203,$Z1103-4000)=0,"",INDEX(客户自备加工筐明细!$C$4:$C$1203,$Z1103-4000)),IF($Z1103&lt;=5800,IF(INDEX(次果筐明细!$D$4:$D$603,$Z1103-5200)=0,"",INDEX(次果筐明细!$D$4:$D$603,$Z1103-5200)),"")))))</f>
        <v/>
      </c>
      <c r="O1103" s="40" t="str">
        <f>IF($Z1103="","",IF($Z1103&lt;=2000,"",IF($Z1103&lt;=4000,IF(N(INDEX(周转筐出入库明细!$J$4:$J$2004,$Z1103-2000))+N(INDEX(周转筐出入库明细!$K$4:$K$2004,$Z1103-2000))=0,"",N(INDEX(周转筐出入库明细!$J$4:$J$2004,$Z1103-2000))+N(INDEX(周转筐出入库明细!$K$4:$K$2004,$Z1103-2000))),IF($Z1103&lt;=5200,IF(N(INDEX(客户自备加工筐明细!$G$4:$G$1203,$Z1103-4000))=0,"",N(INDEX(客户自备加工筐明细!$G$4:$G$1203,$Z1103-4000))),IF($Z1103&lt;=5800,IF(ISNUMBER(SEARCH("退",INDEX(次果筐明细!$F$4:$F$603,$Z1103-5200)&amp;"")),"",IF(N(INDEX(次果筐明细!$G$4:$G$603,$Z1103-5200))=0,"",N(INDEX(次果筐明细!$G$4:$G$603,$Z1103-5200)))),"")))))</f>
        <v/>
      </c>
      <c r="P1103" s="40" t="str">
        <f>IF($Z1103="","",IF($Z1103&lt;=2000,"",IF($Z1103&lt;=4000,IF(N(INDEX(周转筐出入库明细!$I$4:$I$2004,$Z1103-2000))=0,"",N(INDEX(周转筐出入库明细!$I$4:$I$2004,$Z1103-2000))),IF($Z1103&lt;=5200,"",IF($Z1103&lt;=5800,IF(ISNUMBER(SEARCH("退",INDEX(次果筐明细!$F$4:$F$603,$Z1103-5200)&amp;"")),IF(N(INDEX(次果筐明细!$G$4:$G$603,$Z1103-5200))=0,"",N(INDEX(次果筐明细!$G$4:$G$603,$Z1103-5200))),""),"")))))</f>
        <v/>
      </c>
      <c r="Q1103" s="40" t="str">
        <f>IF($Z1103="","",IF($Z1103&lt;=2000,"",IF($Z1103&lt;=4000,IF(N(INDEX(周转筐出入库明细!$H$4:$H$2004,$Z1103-2000))=0,"",N(INDEX(周转筐出入库明细!$H$4:$H$2004,$Z1103-2000))),IF($Z1103&lt;=5200,IF(N(INDEX(客户自备加工筐明细!$F$4:$F$1203,$Z1103-4000))=0,"",N(INDEX(客户自备加工筐明细!$F$4:$F$1203,$Z1103-4000))),IF($Z1103&lt;=5800,"","")))))</f>
        <v/>
      </c>
      <c r="R1103" s="16" t="str">
        <f>IF($Z1103="","",IF($Z1103&lt;=2000,IF(INDEX(包装物料出入库明细!$O$4:$O$2003,$Z1103-0)=0,"",INDEX(包装物料出入库明细!$O$4:$O$2003,$Z1103-0)),IF($Z1103&lt;=4000,IF(INDEX(周转筐出入库明细!$M$4:$M$2004,$Z1103-2000)=0,"",INDEX(周转筐出入库明细!$M$4:$M$2004,$Z1103-2000)),IF($Z1103&lt;=5200,IF(INDEX(客户自备加工筐明细!$H$4:$H$1203,$Z1103-4000)=0,"",INDEX(客户自备加工筐明细!$H$4:$H$1203,$Z1103-4000)),IF($Z1103&lt;=5800,IF(INDEX(次果筐明细!$H$4:$H$603,$Z1103-5200)=0,"",INDEX(次果筐明细!$H$4:$H$603,$Z1103-5200)),"")))))</f>
        <v/>
      </c>
      <c r="S1103" s="22" t="str">
        <f t="shared" si="53"/>
        <v/>
      </c>
      <c r="Z1103" s="10" t="str">
        <f>IFERROR(MATCH(ROW()-3,_自动清单!$CQ$4:$CQ$5803,0),"")</f>
        <v/>
      </c>
    </row>
    <row r="1104" spans="1:26">
      <c r="A1104" s="24" t="str">
        <f t="shared" si="51"/>
        <v/>
      </c>
      <c r="B1104" s="38" t="str">
        <f>IF($Z1104="","",IF($Z1104&lt;=2000,IF(INDEX(包装物料出入库明细!$B$4:$B$2003,$Z1104-0)=0,"",INDEX(包装物料出入库明细!$B$4:$B$2003,$Z1104-0)),IF($Z1104&lt;=4000,IF(INDEX(周转筐出入库明细!$B$4:$B$2004,$Z1104-2000)=0,"",INDEX(周转筐出入库明细!$B$4:$B$2004,$Z1104-2000)),IF($Z1104&lt;=5200,IF(INDEX(客户自备加工筐明细!$B$4:$B$1203,$Z1104-4000)=0,"",INDEX(客户自备加工筐明细!$B$4:$B$1203,$Z1104-4000)),IF($Z1104&lt;=5800,IF(INDEX(次果筐明细!$B$4:$B$603,$Z1104-5200)=0,"",INDEX(次果筐明细!$B$4:$B$603,$Z1104-5200)),"")))))</f>
        <v/>
      </c>
      <c r="C1104" s="37" t="str">
        <f>IF($Z1104="","",IF($Z1104&lt;=2000,IF(INDEX(包装物料出入库明细!$D$4:$D$2003,$Z1104-0)=0,"",INDEX(包装物料出入库明细!$D$4:$D$2003,$Z1104-0)),IF($Z1104&lt;=4000,IF(INDEX(周转筐出入库明细!$C$4:$C$2004,$Z1104-2000)=0,"",INDEX(周转筐出入库明细!$C$4:$C$2004,$Z1104-2000)),IF($Z1104&lt;=5200,IF(INDEX(客户自备加工筐明细!$E$4:$E$1203,$Z1104-4000)=0,"",INDEX(客户自备加工筐明细!$E$4:$E$1203,$Z1104-4000)),IF($Z1104&lt;=5800,IF(INDEX(次果筐明细!$C$4:$C$603,$Z1104-5200)=0,"",INDEX(次果筐明细!$C$4:$C$603,$Z1104-5200)),"")))))</f>
        <v/>
      </c>
      <c r="D1104" s="37" t="str">
        <f>IF($Z1104="","",IF($Z1104&lt;=2000,"包装物料－"&amp;INDEX(包装物料出入库明细!$H$4:$H$2003,$Z1104-0),IF($Z1104&lt;=4000,"周转筐－"&amp;INDEX(周转筐出入库明细!$F$4:$F$2004,$Z1104-2000),IF($Z1104&lt;=5200,"客户自备筐－"&amp;INDEX(客户自备加工筐明细!$J$4:$J$1203,$Z1104-4000),IF($Z1104&lt;=5800,"次果筐/托盘－"&amp;INDEX(次果筐明细!$F$4:$F$603,$Z1104-5200),"")))))</f>
        <v/>
      </c>
      <c r="E1104" s="24" t="str">
        <f>IF($Z1104="","",IF($Z1104&lt;=2000,IF(INDEX(包装物料出入库明细!$C$4:$C$2003,$Z1104-0)=0,"",INDEX(包装物料出入库明细!$C$4:$C$2003,$Z1104-0)),IF($Z1104&lt;=4000,IF(INDEX(周转筐出入库明细!$E$4:$E$2004,$Z1104-2000)=0,"",INDEX(周转筐出入库明细!$E$4:$E$2004,$Z1104-2000)),IF($Z1104&lt;=5200,IF(INDEX(客户自备加工筐明细!$D$4:$D$1203,$Z1104-4000)=0,"",INDEX(客户自备加工筐明细!$D$4:$D$1203,$Z1104-4000)),IF($Z1104&lt;=5800,IF(INDEX(次果筐明细!$E$4:$E$603,$Z1104-5200)=0,"",INDEX(次果筐明细!$E$4:$E$603,$Z1104-5200)),"")))))</f>
        <v/>
      </c>
      <c r="F1104" s="24" t="str">
        <f>IF($Z1104="","",IF($Z1104&lt;=2000,IF(INDEX(包装物料出入库明细!$E$4:$E$2003,$Z1104-0)=0,"",INDEX(包装物料出入库明细!$E$4:$E$2003,$Z1104-0)),IF($Z1104&lt;=4000,IF(INDEX(周转筐出入库明细!$D$4:$D$2004,$Z1104-2000)=0,"",INDEX(周转筐出入库明细!$D$4:$D$2004,$Z1104-2000)),IF($Z1104&lt;=5200,IF(INDEX(客户自备加工筐明细!$C$4:$C$1203,$Z1104-4000)=0,"",INDEX(客户自备加工筐明细!$C$4:$C$1203,$Z1104-4000)),IF($Z1104&lt;=5800,IF(INDEX(次果筐明细!$D$4:$D$603,$Z1104-5200)=0,"",INDEX(次果筐明细!$D$4:$D$603,$Z1104-5200)),"")))))</f>
        <v/>
      </c>
      <c r="G1104" s="24" t="str">
        <f>IF($Z1104="","",IF($Z1104&lt;=2000,IF(INDEX(包装物料出入库明细!$F$4:$F$2003,$Z1104-0)=0,"",INDEX(包装物料出入库明细!$F$4:$F$2003,$Z1104-0)),IF($Z1104&lt;=4000,"",IF($Z1104&lt;=5200,"",IF($Z1104&lt;=5800,"","")))))</f>
        <v/>
      </c>
      <c r="H1104" s="39" t="str">
        <f>IF($Z1104="","",IF($Z1104&lt;=2000,IF(INDEX(包装物料出入库明细!$L$4:$L$2003,$Z1104-0)=0,"",INDEX(包装物料出入库明细!$L$4:$L$2003,$Z1104-0)),IF($Z1104&lt;=4000,N(INDEX(周转筐出入库明细!$H$4:$H$2004,$Z1104-2000))+N(INDEX(周转筐出入库明细!$I$4:$I$2004,$Z1104-2000))+N(INDEX(周转筐出入库明细!$J$4:$J$2004,$Z1104-2000))+N(INDEX(周转筐出入库明细!$K$4:$K$2004,$Z1104-2000)),IF($Z1104&lt;=5200,N(INDEX(客户自备加工筐明细!$F$4:$F$1203,$Z1104-4000))+N(INDEX(客户自备加工筐明细!$G$4:$G$1203,$Z1104-4000)),IF($Z1104&lt;=5800,IF(INDEX(次果筐明细!$G$4:$G$603,$Z1104-5200)=0,"",INDEX(次果筐明细!$G$4:$G$603,$Z1104-5200)),"")))))</f>
        <v/>
      </c>
      <c r="I1104" s="24" t="str">
        <f>IF($Z1104="","",IF($Z1104&lt;=2000,IF(INDEX(包装物料出入库明细!$G$4:$G$2003,$Z1104-0)=0,"",INDEX(包装物料出入库明细!$G$4:$G$2003,$Z1104-0)),IF($Z1104&lt;=4000,"个",IF($Z1104&lt;=5200,"个",IF($Z1104&lt;=5800,"个","")))))</f>
        <v/>
      </c>
      <c r="J1104" s="30" t="str">
        <f t="shared" si="52"/>
        <v/>
      </c>
      <c r="K1104" s="30" t="str">
        <f>IF($Z1104="","",IF($Z1104&lt;=2000,IF(INDEX(包装物料出入库明细!$N$4:$N$2003,$Z1104-0)=0,"",INDEX(包装物料出入库明细!$N$4:$N$2003,$Z1104-0)),IF($Z1104&lt;=4000,IF(INDEX(周转筐出入库明细!$P$4:$P$2004,$Z1104-2000)=0,"",INDEX(周转筐出入库明细!$P$4:$P$2004,$Z1104-2000)),IF($Z1104&lt;=5200,"",IF($Z1104&lt;=5800,N(INDEX(次果筐明细!$L$4:$L$603,$Z1104-5200))+N(INDEX(次果筐明细!$J$4:$J$603,$Z1104-5200)),"")))))</f>
        <v/>
      </c>
      <c r="L1104" s="24" t="str">
        <f>IF($Z1104="","",IF($Z1104&lt;=2000,IF(INDEX(包装物料出入库明细!$P$4:$P$2003,$Z1104-0)=0,"",INDEX(包装物料出入库明细!$P$4:$P$2003,$Z1104-0)),IF($Z1104&lt;=4000,IF(INDEX(周转筐出入库明细!$Q$4:$Q$2004,$Z1104-2000)=0,"",INDEX(周转筐出入库明细!$Q$4:$Q$2004,$Z1104-2000)),IF($Z1104&lt;=5200,"",IF($Z1104&lt;=5800,IF(INDEX(次果筐明细!$M$4:$M$603,$Z1104-5200)=0,"",INDEX(次果筐明细!$M$4:$M$603,$Z1104-5200)),"")))))</f>
        <v/>
      </c>
      <c r="M1104" s="37" t="str">
        <f>IF($Z1104="","",IF($Z1104&lt;=2000,IF(INDEX(包装物料出入库明细!$R$4:$R$2003,$Z1104-0)=0,"",INDEX(包装物料出入库明细!$R$4:$R$2003,$Z1104-0)),IF($Z1104&lt;=4000,IF(INDEX(周转筐出入库明细!$W$4:$W$2004,$Z1104-2000)=0,"",INDEX(周转筐出入库明细!$W$4:$W$2004,$Z1104-2000)),IF($Z1104&lt;=5200,IF(INDEX(客户自备加工筐明细!$L$4:$L$1203,$Z1104-4000)=0,"",INDEX(客户自备加工筐明细!$L$4:$L$1203,$Z1104-4000)),IF($Z1104&lt;=5800,IF(INDEX(次果筐明细!$P$4:$P$603,$Z1104-5200)=0,"",INDEX(次果筐明细!$P$4:$P$603,$Z1104-5200)),"")))))</f>
        <v/>
      </c>
      <c r="N1104" s="16" t="str">
        <f>IF($Z1104="","",IF($Z1104&lt;=2000,"",IF($Z1104&lt;=4000,IF(INDEX(周转筐出入库明细!$D$4:$D$2004,$Z1104-2000)=0,"",INDEX(周转筐出入库明细!$D$4:$D$2004,$Z1104-2000)),IF($Z1104&lt;=5200,IF(INDEX(客户自备加工筐明细!$C$4:$C$1203,$Z1104-4000)=0,"",INDEX(客户自备加工筐明细!$C$4:$C$1203,$Z1104-4000)),IF($Z1104&lt;=5800,IF(INDEX(次果筐明细!$D$4:$D$603,$Z1104-5200)=0,"",INDEX(次果筐明细!$D$4:$D$603,$Z1104-5200)),"")))))</f>
        <v/>
      </c>
      <c r="O1104" s="40" t="str">
        <f>IF($Z1104="","",IF($Z1104&lt;=2000,"",IF($Z1104&lt;=4000,IF(N(INDEX(周转筐出入库明细!$J$4:$J$2004,$Z1104-2000))+N(INDEX(周转筐出入库明细!$K$4:$K$2004,$Z1104-2000))=0,"",N(INDEX(周转筐出入库明细!$J$4:$J$2004,$Z1104-2000))+N(INDEX(周转筐出入库明细!$K$4:$K$2004,$Z1104-2000))),IF($Z1104&lt;=5200,IF(N(INDEX(客户自备加工筐明细!$G$4:$G$1203,$Z1104-4000))=0,"",N(INDEX(客户自备加工筐明细!$G$4:$G$1203,$Z1104-4000))),IF($Z1104&lt;=5800,IF(ISNUMBER(SEARCH("退",INDEX(次果筐明细!$F$4:$F$603,$Z1104-5200)&amp;"")),"",IF(N(INDEX(次果筐明细!$G$4:$G$603,$Z1104-5200))=0,"",N(INDEX(次果筐明细!$G$4:$G$603,$Z1104-5200)))),"")))))</f>
        <v/>
      </c>
      <c r="P1104" s="40" t="str">
        <f>IF($Z1104="","",IF($Z1104&lt;=2000,"",IF($Z1104&lt;=4000,IF(N(INDEX(周转筐出入库明细!$I$4:$I$2004,$Z1104-2000))=0,"",N(INDEX(周转筐出入库明细!$I$4:$I$2004,$Z1104-2000))),IF($Z1104&lt;=5200,"",IF($Z1104&lt;=5800,IF(ISNUMBER(SEARCH("退",INDEX(次果筐明细!$F$4:$F$603,$Z1104-5200)&amp;"")),IF(N(INDEX(次果筐明细!$G$4:$G$603,$Z1104-5200))=0,"",N(INDEX(次果筐明细!$G$4:$G$603,$Z1104-5200))),""),"")))))</f>
        <v/>
      </c>
      <c r="Q1104" s="40" t="str">
        <f>IF($Z1104="","",IF($Z1104&lt;=2000,"",IF($Z1104&lt;=4000,IF(N(INDEX(周转筐出入库明细!$H$4:$H$2004,$Z1104-2000))=0,"",N(INDEX(周转筐出入库明细!$H$4:$H$2004,$Z1104-2000))),IF($Z1104&lt;=5200,IF(N(INDEX(客户自备加工筐明细!$F$4:$F$1203,$Z1104-4000))=0,"",N(INDEX(客户自备加工筐明细!$F$4:$F$1203,$Z1104-4000))),IF($Z1104&lt;=5800,"","")))))</f>
        <v/>
      </c>
      <c r="R1104" s="16" t="str">
        <f>IF($Z1104="","",IF($Z1104&lt;=2000,IF(INDEX(包装物料出入库明细!$O$4:$O$2003,$Z1104-0)=0,"",INDEX(包装物料出入库明细!$O$4:$O$2003,$Z1104-0)),IF($Z1104&lt;=4000,IF(INDEX(周转筐出入库明细!$M$4:$M$2004,$Z1104-2000)=0,"",INDEX(周转筐出入库明细!$M$4:$M$2004,$Z1104-2000)),IF($Z1104&lt;=5200,IF(INDEX(客户自备加工筐明细!$H$4:$H$1203,$Z1104-4000)=0,"",INDEX(客户自备加工筐明细!$H$4:$H$1203,$Z1104-4000)),IF($Z1104&lt;=5800,IF(INDEX(次果筐明细!$H$4:$H$603,$Z1104-5200)=0,"",INDEX(次果筐明细!$H$4:$H$603,$Z1104-5200)),"")))))</f>
        <v/>
      </c>
      <c r="S1104" s="22" t="str">
        <f t="shared" si="53"/>
        <v/>
      </c>
      <c r="Z1104" s="10" t="str">
        <f>IFERROR(MATCH(ROW()-3,_自动清单!$CQ$4:$CQ$5803,0),"")</f>
        <v/>
      </c>
    </row>
    <row r="1105" spans="1:26">
      <c r="A1105" s="24" t="str">
        <f t="shared" si="51"/>
        <v/>
      </c>
      <c r="B1105" s="38" t="str">
        <f>IF($Z1105="","",IF($Z1105&lt;=2000,IF(INDEX(包装物料出入库明细!$B$4:$B$2003,$Z1105-0)=0,"",INDEX(包装物料出入库明细!$B$4:$B$2003,$Z1105-0)),IF($Z1105&lt;=4000,IF(INDEX(周转筐出入库明细!$B$4:$B$2004,$Z1105-2000)=0,"",INDEX(周转筐出入库明细!$B$4:$B$2004,$Z1105-2000)),IF($Z1105&lt;=5200,IF(INDEX(客户自备加工筐明细!$B$4:$B$1203,$Z1105-4000)=0,"",INDEX(客户自备加工筐明细!$B$4:$B$1203,$Z1105-4000)),IF($Z1105&lt;=5800,IF(INDEX(次果筐明细!$B$4:$B$603,$Z1105-5200)=0,"",INDEX(次果筐明细!$B$4:$B$603,$Z1105-5200)),"")))))</f>
        <v/>
      </c>
      <c r="C1105" s="37" t="str">
        <f>IF($Z1105="","",IF($Z1105&lt;=2000,IF(INDEX(包装物料出入库明细!$D$4:$D$2003,$Z1105-0)=0,"",INDEX(包装物料出入库明细!$D$4:$D$2003,$Z1105-0)),IF($Z1105&lt;=4000,IF(INDEX(周转筐出入库明细!$C$4:$C$2004,$Z1105-2000)=0,"",INDEX(周转筐出入库明细!$C$4:$C$2004,$Z1105-2000)),IF($Z1105&lt;=5200,IF(INDEX(客户自备加工筐明细!$E$4:$E$1203,$Z1105-4000)=0,"",INDEX(客户自备加工筐明细!$E$4:$E$1203,$Z1105-4000)),IF($Z1105&lt;=5800,IF(INDEX(次果筐明细!$C$4:$C$603,$Z1105-5200)=0,"",INDEX(次果筐明细!$C$4:$C$603,$Z1105-5200)),"")))))</f>
        <v/>
      </c>
      <c r="D1105" s="37" t="str">
        <f>IF($Z1105="","",IF($Z1105&lt;=2000,"包装物料－"&amp;INDEX(包装物料出入库明细!$H$4:$H$2003,$Z1105-0),IF($Z1105&lt;=4000,"周转筐－"&amp;INDEX(周转筐出入库明细!$F$4:$F$2004,$Z1105-2000),IF($Z1105&lt;=5200,"客户自备筐－"&amp;INDEX(客户自备加工筐明细!$J$4:$J$1203,$Z1105-4000),IF($Z1105&lt;=5800,"次果筐/托盘－"&amp;INDEX(次果筐明细!$F$4:$F$603,$Z1105-5200),"")))))</f>
        <v/>
      </c>
      <c r="E1105" s="24" t="str">
        <f>IF($Z1105="","",IF($Z1105&lt;=2000,IF(INDEX(包装物料出入库明细!$C$4:$C$2003,$Z1105-0)=0,"",INDEX(包装物料出入库明细!$C$4:$C$2003,$Z1105-0)),IF($Z1105&lt;=4000,IF(INDEX(周转筐出入库明细!$E$4:$E$2004,$Z1105-2000)=0,"",INDEX(周转筐出入库明细!$E$4:$E$2004,$Z1105-2000)),IF($Z1105&lt;=5200,IF(INDEX(客户自备加工筐明细!$D$4:$D$1203,$Z1105-4000)=0,"",INDEX(客户自备加工筐明细!$D$4:$D$1203,$Z1105-4000)),IF($Z1105&lt;=5800,IF(INDEX(次果筐明细!$E$4:$E$603,$Z1105-5200)=0,"",INDEX(次果筐明细!$E$4:$E$603,$Z1105-5200)),"")))))</f>
        <v/>
      </c>
      <c r="F1105" s="24" t="str">
        <f>IF($Z1105="","",IF($Z1105&lt;=2000,IF(INDEX(包装物料出入库明细!$E$4:$E$2003,$Z1105-0)=0,"",INDEX(包装物料出入库明细!$E$4:$E$2003,$Z1105-0)),IF($Z1105&lt;=4000,IF(INDEX(周转筐出入库明细!$D$4:$D$2004,$Z1105-2000)=0,"",INDEX(周转筐出入库明细!$D$4:$D$2004,$Z1105-2000)),IF($Z1105&lt;=5200,IF(INDEX(客户自备加工筐明细!$C$4:$C$1203,$Z1105-4000)=0,"",INDEX(客户自备加工筐明细!$C$4:$C$1203,$Z1105-4000)),IF($Z1105&lt;=5800,IF(INDEX(次果筐明细!$D$4:$D$603,$Z1105-5200)=0,"",INDEX(次果筐明细!$D$4:$D$603,$Z1105-5200)),"")))))</f>
        <v/>
      </c>
      <c r="G1105" s="24" t="str">
        <f>IF($Z1105="","",IF($Z1105&lt;=2000,IF(INDEX(包装物料出入库明细!$F$4:$F$2003,$Z1105-0)=0,"",INDEX(包装物料出入库明细!$F$4:$F$2003,$Z1105-0)),IF($Z1105&lt;=4000,"",IF($Z1105&lt;=5200,"",IF($Z1105&lt;=5800,"","")))))</f>
        <v/>
      </c>
      <c r="H1105" s="39" t="str">
        <f>IF($Z1105="","",IF($Z1105&lt;=2000,IF(INDEX(包装物料出入库明细!$L$4:$L$2003,$Z1105-0)=0,"",INDEX(包装物料出入库明细!$L$4:$L$2003,$Z1105-0)),IF($Z1105&lt;=4000,N(INDEX(周转筐出入库明细!$H$4:$H$2004,$Z1105-2000))+N(INDEX(周转筐出入库明细!$I$4:$I$2004,$Z1105-2000))+N(INDEX(周转筐出入库明细!$J$4:$J$2004,$Z1105-2000))+N(INDEX(周转筐出入库明细!$K$4:$K$2004,$Z1105-2000)),IF($Z1105&lt;=5200,N(INDEX(客户自备加工筐明细!$F$4:$F$1203,$Z1105-4000))+N(INDEX(客户自备加工筐明细!$G$4:$G$1203,$Z1105-4000)),IF($Z1105&lt;=5800,IF(INDEX(次果筐明细!$G$4:$G$603,$Z1105-5200)=0,"",INDEX(次果筐明细!$G$4:$G$603,$Z1105-5200)),"")))))</f>
        <v/>
      </c>
      <c r="I1105" s="24" t="str">
        <f>IF($Z1105="","",IF($Z1105&lt;=2000,IF(INDEX(包装物料出入库明细!$G$4:$G$2003,$Z1105-0)=0,"",INDEX(包装物料出入库明细!$G$4:$G$2003,$Z1105-0)),IF($Z1105&lt;=4000,"个",IF($Z1105&lt;=5200,"个",IF($Z1105&lt;=5800,"个","")))))</f>
        <v/>
      </c>
      <c r="J1105" s="30" t="str">
        <f t="shared" si="52"/>
        <v/>
      </c>
      <c r="K1105" s="30" t="str">
        <f>IF($Z1105="","",IF($Z1105&lt;=2000,IF(INDEX(包装物料出入库明细!$N$4:$N$2003,$Z1105-0)=0,"",INDEX(包装物料出入库明细!$N$4:$N$2003,$Z1105-0)),IF($Z1105&lt;=4000,IF(INDEX(周转筐出入库明细!$P$4:$P$2004,$Z1105-2000)=0,"",INDEX(周转筐出入库明细!$P$4:$P$2004,$Z1105-2000)),IF($Z1105&lt;=5200,"",IF($Z1105&lt;=5800,N(INDEX(次果筐明细!$L$4:$L$603,$Z1105-5200))+N(INDEX(次果筐明细!$J$4:$J$603,$Z1105-5200)),"")))))</f>
        <v/>
      </c>
      <c r="L1105" s="24" t="str">
        <f>IF($Z1105="","",IF($Z1105&lt;=2000,IF(INDEX(包装物料出入库明细!$P$4:$P$2003,$Z1105-0)=0,"",INDEX(包装物料出入库明细!$P$4:$P$2003,$Z1105-0)),IF($Z1105&lt;=4000,IF(INDEX(周转筐出入库明细!$Q$4:$Q$2004,$Z1105-2000)=0,"",INDEX(周转筐出入库明细!$Q$4:$Q$2004,$Z1105-2000)),IF($Z1105&lt;=5200,"",IF($Z1105&lt;=5800,IF(INDEX(次果筐明细!$M$4:$M$603,$Z1105-5200)=0,"",INDEX(次果筐明细!$M$4:$M$603,$Z1105-5200)),"")))))</f>
        <v/>
      </c>
      <c r="M1105" s="37" t="str">
        <f>IF($Z1105="","",IF($Z1105&lt;=2000,IF(INDEX(包装物料出入库明细!$R$4:$R$2003,$Z1105-0)=0,"",INDEX(包装物料出入库明细!$R$4:$R$2003,$Z1105-0)),IF($Z1105&lt;=4000,IF(INDEX(周转筐出入库明细!$W$4:$W$2004,$Z1105-2000)=0,"",INDEX(周转筐出入库明细!$W$4:$W$2004,$Z1105-2000)),IF($Z1105&lt;=5200,IF(INDEX(客户自备加工筐明细!$L$4:$L$1203,$Z1105-4000)=0,"",INDEX(客户自备加工筐明细!$L$4:$L$1203,$Z1105-4000)),IF($Z1105&lt;=5800,IF(INDEX(次果筐明细!$P$4:$P$603,$Z1105-5200)=0,"",INDEX(次果筐明细!$P$4:$P$603,$Z1105-5200)),"")))))</f>
        <v/>
      </c>
      <c r="N1105" s="16" t="str">
        <f>IF($Z1105="","",IF($Z1105&lt;=2000,"",IF($Z1105&lt;=4000,IF(INDEX(周转筐出入库明细!$D$4:$D$2004,$Z1105-2000)=0,"",INDEX(周转筐出入库明细!$D$4:$D$2004,$Z1105-2000)),IF($Z1105&lt;=5200,IF(INDEX(客户自备加工筐明细!$C$4:$C$1203,$Z1105-4000)=0,"",INDEX(客户自备加工筐明细!$C$4:$C$1203,$Z1105-4000)),IF($Z1105&lt;=5800,IF(INDEX(次果筐明细!$D$4:$D$603,$Z1105-5200)=0,"",INDEX(次果筐明细!$D$4:$D$603,$Z1105-5200)),"")))))</f>
        <v/>
      </c>
      <c r="O1105" s="40" t="str">
        <f>IF($Z1105="","",IF($Z1105&lt;=2000,"",IF($Z1105&lt;=4000,IF(N(INDEX(周转筐出入库明细!$J$4:$J$2004,$Z1105-2000))+N(INDEX(周转筐出入库明细!$K$4:$K$2004,$Z1105-2000))=0,"",N(INDEX(周转筐出入库明细!$J$4:$J$2004,$Z1105-2000))+N(INDEX(周转筐出入库明细!$K$4:$K$2004,$Z1105-2000))),IF($Z1105&lt;=5200,IF(N(INDEX(客户自备加工筐明细!$G$4:$G$1203,$Z1105-4000))=0,"",N(INDEX(客户自备加工筐明细!$G$4:$G$1203,$Z1105-4000))),IF($Z1105&lt;=5800,IF(ISNUMBER(SEARCH("退",INDEX(次果筐明细!$F$4:$F$603,$Z1105-5200)&amp;"")),"",IF(N(INDEX(次果筐明细!$G$4:$G$603,$Z1105-5200))=0,"",N(INDEX(次果筐明细!$G$4:$G$603,$Z1105-5200)))),"")))))</f>
        <v/>
      </c>
      <c r="P1105" s="40" t="str">
        <f>IF($Z1105="","",IF($Z1105&lt;=2000,"",IF($Z1105&lt;=4000,IF(N(INDEX(周转筐出入库明细!$I$4:$I$2004,$Z1105-2000))=0,"",N(INDEX(周转筐出入库明细!$I$4:$I$2004,$Z1105-2000))),IF($Z1105&lt;=5200,"",IF($Z1105&lt;=5800,IF(ISNUMBER(SEARCH("退",INDEX(次果筐明细!$F$4:$F$603,$Z1105-5200)&amp;"")),IF(N(INDEX(次果筐明细!$G$4:$G$603,$Z1105-5200))=0,"",N(INDEX(次果筐明细!$G$4:$G$603,$Z1105-5200))),""),"")))))</f>
        <v/>
      </c>
      <c r="Q1105" s="40" t="str">
        <f>IF($Z1105="","",IF($Z1105&lt;=2000,"",IF($Z1105&lt;=4000,IF(N(INDEX(周转筐出入库明细!$H$4:$H$2004,$Z1105-2000))=0,"",N(INDEX(周转筐出入库明细!$H$4:$H$2004,$Z1105-2000))),IF($Z1105&lt;=5200,IF(N(INDEX(客户自备加工筐明细!$F$4:$F$1203,$Z1105-4000))=0,"",N(INDEX(客户自备加工筐明细!$F$4:$F$1203,$Z1105-4000))),IF($Z1105&lt;=5800,"","")))))</f>
        <v/>
      </c>
      <c r="R1105" s="16" t="str">
        <f>IF($Z1105="","",IF($Z1105&lt;=2000,IF(INDEX(包装物料出入库明细!$O$4:$O$2003,$Z1105-0)=0,"",INDEX(包装物料出入库明细!$O$4:$O$2003,$Z1105-0)),IF($Z1105&lt;=4000,IF(INDEX(周转筐出入库明细!$M$4:$M$2004,$Z1105-2000)=0,"",INDEX(周转筐出入库明细!$M$4:$M$2004,$Z1105-2000)),IF($Z1105&lt;=5200,IF(INDEX(客户自备加工筐明细!$H$4:$H$1203,$Z1105-4000)=0,"",INDEX(客户自备加工筐明细!$H$4:$H$1203,$Z1105-4000)),IF($Z1105&lt;=5800,IF(INDEX(次果筐明细!$H$4:$H$603,$Z1105-5200)=0,"",INDEX(次果筐明细!$H$4:$H$603,$Z1105-5200)),"")))))</f>
        <v/>
      </c>
      <c r="S1105" s="22" t="str">
        <f t="shared" si="53"/>
        <v/>
      </c>
      <c r="Z1105" s="10" t="str">
        <f>IFERROR(MATCH(ROW()-3,_自动清单!$CQ$4:$CQ$5803,0),"")</f>
        <v/>
      </c>
    </row>
    <row r="1106" spans="1:26">
      <c r="A1106" s="24" t="str">
        <f t="shared" si="51"/>
        <v/>
      </c>
      <c r="B1106" s="38" t="str">
        <f>IF($Z1106="","",IF($Z1106&lt;=2000,IF(INDEX(包装物料出入库明细!$B$4:$B$2003,$Z1106-0)=0,"",INDEX(包装物料出入库明细!$B$4:$B$2003,$Z1106-0)),IF($Z1106&lt;=4000,IF(INDEX(周转筐出入库明细!$B$4:$B$2004,$Z1106-2000)=0,"",INDEX(周转筐出入库明细!$B$4:$B$2004,$Z1106-2000)),IF($Z1106&lt;=5200,IF(INDEX(客户自备加工筐明细!$B$4:$B$1203,$Z1106-4000)=0,"",INDEX(客户自备加工筐明细!$B$4:$B$1203,$Z1106-4000)),IF($Z1106&lt;=5800,IF(INDEX(次果筐明细!$B$4:$B$603,$Z1106-5200)=0,"",INDEX(次果筐明细!$B$4:$B$603,$Z1106-5200)),"")))))</f>
        <v/>
      </c>
      <c r="C1106" s="37" t="str">
        <f>IF($Z1106="","",IF($Z1106&lt;=2000,IF(INDEX(包装物料出入库明细!$D$4:$D$2003,$Z1106-0)=0,"",INDEX(包装物料出入库明细!$D$4:$D$2003,$Z1106-0)),IF($Z1106&lt;=4000,IF(INDEX(周转筐出入库明细!$C$4:$C$2004,$Z1106-2000)=0,"",INDEX(周转筐出入库明细!$C$4:$C$2004,$Z1106-2000)),IF($Z1106&lt;=5200,IF(INDEX(客户自备加工筐明细!$E$4:$E$1203,$Z1106-4000)=0,"",INDEX(客户自备加工筐明细!$E$4:$E$1203,$Z1106-4000)),IF($Z1106&lt;=5800,IF(INDEX(次果筐明细!$C$4:$C$603,$Z1106-5200)=0,"",INDEX(次果筐明细!$C$4:$C$603,$Z1106-5200)),"")))))</f>
        <v/>
      </c>
      <c r="D1106" s="37" t="str">
        <f>IF($Z1106="","",IF($Z1106&lt;=2000,"包装物料－"&amp;INDEX(包装物料出入库明细!$H$4:$H$2003,$Z1106-0),IF($Z1106&lt;=4000,"周转筐－"&amp;INDEX(周转筐出入库明细!$F$4:$F$2004,$Z1106-2000),IF($Z1106&lt;=5200,"客户自备筐－"&amp;INDEX(客户自备加工筐明细!$J$4:$J$1203,$Z1106-4000),IF($Z1106&lt;=5800,"次果筐/托盘－"&amp;INDEX(次果筐明细!$F$4:$F$603,$Z1106-5200),"")))))</f>
        <v/>
      </c>
      <c r="E1106" s="24" t="str">
        <f>IF($Z1106="","",IF($Z1106&lt;=2000,IF(INDEX(包装物料出入库明细!$C$4:$C$2003,$Z1106-0)=0,"",INDEX(包装物料出入库明细!$C$4:$C$2003,$Z1106-0)),IF($Z1106&lt;=4000,IF(INDEX(周转筐出入库明细!$E$4:$E$2004,$Z1106-2000)=0,"",INDEX(周转筐出入库明细!$E$4:$E$2004,$Z1106-2000)),IF($Z1106&lt;=5200,IF(INDEX(客户自备加工筐明细!$D$4:$D$1203,$Z1106-4000)=0,"",INDEX(客户自备加工筐明细!$D$4:$D$1203,$Z1106-4000)),IF($Z1106&lt;=5800,IF(INDEX(次果筐明细!$E$4:$E$603,$Z1106-5200)=0,"",INDEX(次果筐明细!$E$4:$E$603,$Z1106-5200)),"")))))</f>
        <v/>
      </c>
      <c r="F1106" s="24" t="str">
        <f>IF($Z1106="","",IF($Z1106&lt;=2000,IF(INDEX(包装物料出入库明细!$E$4:$E$2003,$Z1106-0)=0,"",INDEX(包装物料出入库明细!$E$4:$E$2003,$Z1106-0)),IF($Z1106&lt;=4000,IF(INDEX(周转筐出入库明细!$D$4:$D$2004,$Z1106-2000)=0,"",INDEX(周转筐出入库明细!$D$4:$D$2004,$Z1106-2000)),IF($Z1106&lt;=5200,IF(INDEX(客户自备加工筐明细!$C$4:$C$1203,$Z1106-4000)=0,"",INDEX(客户自备加工筐明细!$C$4:$C$1203,$Z1106-4000)),IF($Z1106&lt;=5800,IF(INDEX(次果筐明细!$D$4:$D$603,$Z1106-5200)=0,"",INDEX(次果筐明细!$D$4:$D$603,$Z1106-5200)),"")))))</f>
        <v/>
      </c>
      <c r="G1106" s="24" t="str">
        <f>IF($Z1106="","",IF($Z1106&lt;=2000,IF(INDEX(包装物料出入库明细!$F$4:$F$2003,$Z1106-0)=0,"",INDEX(包装物料出入库明细!$F$4:$F$2003,$Z1106-0)),IF($Z1106&lt;=4000,"",IF($Z1106&lt;=5200,"",IF($Z1106&lt;=5800,"","")))))</f>
        <v/>
      </c>
      <c r="H1106" s="39" t="str">
        <f>IF($Z1106="","",IF($Z1106&lt;=2000,IF(INDEX(包装物料出入库明细!$L$4:$L$2003,$Z1106-0)=0,"",INDEX(包装物料出入库明细!$L$4:$L$2003,$Z1106-0)),IF($Z1106&lt;=4000,N(INDEX(周转筐出入库明细!$H$4:$H$2004,$Z1106-2000))+N(INDEX(周转筐出入库明细!$I$4:$I$2004,$Z1106-2000))+N(INDEX(周转筐出入库明细!$J$4:$J$2004,$Z1106-2000))+N(INDEX(周转筐出入库明细!$K$4:$K$2004,$Z1106-2000)),IF($Z1106&lt;=5200,N(INDEX(客户自备加工筐明细!$F$4:$F$1203,$Z1106-4000))+N(INDEX(客户自备加工筐明细!$G$4:$G$1203,$Z1106-4000)),IF($Z1106&lt;=5800,IF(INDEX(次果筐明细!$G$4:$G$603,$Z1106-5200)=0,"",INDEX(次果筐明细!$G$4:$G$603,$Z1106-5200)),"")))))</f>
        <v/>
      </c>
      <c r="I1106" s="24" t="str">
        <f>IF($Z1106="","",IF($Z1106&lt;=2000,IF(INDEX(包装物料出入库明细!$G$4:$G$2003,$Z1106-0)=0,"",INDEX(包装物料出入库明细!$G$4:$G$2003,$Z1106-0)),IF($Z1106&lt;=4000,"个",IF($Z1106&lt;=5200,"个",IF($Z1106&lt;=5800,"个","")))))</f>
        <v/>
      </c>
      <c r="J1106" s="30" t="str">
        <f t="shared" si="52"/>
        <v/>
      </c>
      <c r="K1106" s="30" t="str">
        <f>IF($Z1106="","",IF($Z1106&lt;=2000,IF(INDEX(包装物料出入库明细!$N$4:$N$2003,$Z1106-0)=0,"",INDEX(包装物料出入库明细!$N$4:$N$2003,$Z1106-0)),IF($Z1106&lt;=4000,IF(INDEX(周转筐出入库明细!$P$4:$P$2004,$Z1106-2000)=0,"",INDEX(周转筐出入库明细!$P$4:$P$2004,$Z1106-2000)),IF($Z1106&lt;=5200,"",IF($Z1106&lt;=5800,N(INDEX(次果筐明细!$L$4:$L$603,$Z1106-5200))+N(INDEX(次果筐明细!$J$4:$J$603,$Z1106-5200)),"")))))</f>
        <v/>
      </c>
      <c r="L1106" s="24" t="str">
        <f>IF($Z1106="","",IF($Z1106&lt;=2000,IF(INDEX(包装物料出入库明细!$P$4:$P$2003,$Z1106-0)=0,"",INDEX(包装物料出入库明细!$P$4:$P$2003,$Z1106-0)),IF($Z1106&lt;=4000,IF(INDEX(周转筐出入库明细!$Q$4:$Q$2004,$Z1106-2000)=0,"",INDEX(周转筐出入库明细!$Q$4:$Q$2004,$Z1106-2000)),IF($Z1106&lt;=5200,"",IF($Z1106&lt;=5800,IF(INDEX(次果筐明细!$M$4:$M$603,$Z1106-5200)=0,"",INDEX(次果筐明细!$M$4:$M$603,$Z1106-5200)),"")))))</f>
        <v/>
      </c>
      <c r="M1106" s="37" t="str">
        <f>IF($Z1106="","",IF($Z1106&lt;=2000,IF(INDEX(包装物料出入库明细!$R$4:$R$2003,$Z1106-0)=0,"",INDEX(包装物料出入库明细!$R$4:$R$2003,$Z1106-0)),IF($Z1106&lt;=4000,IF(INDEX(周转筐出入库明细!$W$4:$W$2004,$Z1106-2000)=0,"",INDEX(周转筐出入库明细!$W$4:$W$2004,$Z1106-2000)),IF($Z1106&lt;=5200,IF(INDEX(客户自备加工筐明细!$L$4:$L$1203,$Z1106-4000)=0,"",INDEX(客户自备加工筐明细!$L$4:$L$1203,$Z1106-4000)),IF($Z1106&lt;=5800,IF(INDEX(次果筐明细!$P$4:$P$603,$Z1106-5200)=0,"",INDEX(次果筐明细!$P$4:$P$603,$Z1106-5200)),"")))))</f>
        <v/>
      </c>
      <c r="N1106" s="16" t="str">
        <f>IF($Z1106="","",IF($Z1106&lt;=2000,"",IF($Z1106&lt;=4000,IF(INDEX(周转筐出入库明细!$D$4:$D$2004,$Z1106-2000)=0,"",INDEX(周转筐出入库明细!$D$4:$D$2004,$Z1106-2000)),IF($Z1106&lt;=5200,IF(INDEX(客户自备加工筐明细!$C$4:$C$1203,$Z1106-4000)=0,"",INDEX(客户自备加工筐明细!$C$4:$C$1203,$Z1106-4000)),IF($Z1106&lt;=5800,IF(INDEX(次果筐明细!$D$4:$D$603,$Z1106-5200)=0,"",INDEX(次果筐明细!$D$4:$D$603,$Z1106-5200)),"")))))</f>
        <v/>
      </c>
      <c r="O1106" s="40" t="str">
        <f>IF($Z1106="","",IF($Z1106&lt;=2000,"",IF($Z1106&lt;=4000,IF(N(INDEX(周转筐出入库明细!$J$4:$J$2004,$Z1106-2000))+N(INDEX(周转筐出入库明细!$K$4:$K$2004,$Z1106-2000))=0,"",N(INDEX(周转筐出入库明细!$J$4:$J$2004,$Z1106-2000))+N(INDEX(周转筐出入库明细!$K$4:$K$2004,$Z1106-2000))),IF($Z1106&lt;=5200,IF(N(INDEX(客户自备加工筐明细!$G$4:$G$1203,$Z1106-4000))=0,"",N(INDEX(客户自备加工筐明细!$G$4:$G$1203,$Z1106-4000))),IF($Z1106&lt;=5800,IF(ISNUMBER(SEARCH("退",INDEX(次果筐明细!$F$4:$F$603,$Z1106-5200)&amp;"")),"",IF(N(INDEX(次果筐明细!$G$4:$G$603,$Z1106-5200))=0,"",N(INDEX(次果筐明细!$G$4:$G$603,$Z1106-5200)))),"")))))</f>
        <v/>
      </c>
      <c r="P1106" s="40" t="str">
        <f>IF($Z1106="","",IF($Z1106&lt;=2000,"",IF($Z1106&lt;=4000,IF(N(INDEX(周转筐出入库明细!$I$4:$I$2004,$Z1106-2000))=0,"",N(INDEX(周转筐出入库明细!$I$4:$I$2004,$Z1106-2000))),IF($Z1106&lt;=5200,"",IF($Z1106&lt;=5800,IF(ISNUMBER(SEARCH("退",INDEX(次果筐明细!$F$4:$F$603,$Z1106-5200)&amp;"")),IF(N(INDEX(次果筐明细!$G$4:$G$603,$Z1106-5200))=0,"",N(INDEX(次果筐明细!$G$4:$G$603,$Z1106-5200))),""),"")))))</f>
        <v/>
      </c>
      <c r="Q1106" s="40" t="str">
        <f>IF($Z1106="","",IF($Z1106&lt;=2000,"",IF($Z1106&lt;=4000,IF(N(INDEX(周转筐出入库明细!$H$4:$H$2004,$Z1106-2000))=0,"",N(INDEX(周转筐出入库明细!$H$4:$H$2004,$Z1106-2000))),IF($Z1106&lt;=5200,IF(N(INDEX(客户自备加工筐明细!$F$4:$F$1203,$Z1106-4000))=0,"",N(INDEX(客户自备加工筐明细!$F$4:$F$1203,$Z1106-4000))),IF($Z1106&lt;=5800,"","")))))</f>
        <v/>
      </c>
      <c r="R1106" s="16" t="str">
        <f>IF($Z1106="","",IF($Z1106&lt;=2000,IF(INDEX(包装物料出入库明细!$O$4:$O$2003,$Z1106-0)=0,"",INDEX(包装物料出入库明细!$O$4:$O$2003,$Z1106-0)),IF($Z1106&lt;=4000,IF(INDEX(周转筐出入库明细!$M$4:$M$2004,$Z1106-2000)=0,"",INDEX(周转筐出入库明细!$M$4:$M$2004,$Z1106-2000)),IF($Z1106&lt;=5200,IF(INDEX(客户自备加工筐明细!$H$4:$H$1203,$Z1106-4000)=0,"",INDEX(客户自备加工筐明细!$H$4:$H$1203,$Z1106-4000)),IF($Z1106&lt;=5800,IF(INDEX(次果筐明细!$H$4:$H$603,$Z1106-5200)=0,"",INDEX(次果筐明细!$H$4:$H$603,$Z1106-5200)),"")))))</f>
        <v/>
      </c>
      <c r="S1106" s="22" t="str">
        <f t="shared" si="53"/>
        <v/>
      </c>
      <c r="Z1106" s="10" t="str">
        <f>IFERROR(MATCH(ROW()-3,_自动清单!$CQ$4:$CQ$5803,0),"")</f>
        <v/>
      </c>
    </row>
    <row r="1107" spans="1:26">
      <c r="A1107" s="24" t="str">
        <f t="shared" si="51"/>
        <v/>
      </c>
      <c r="B1107" s="38" t="str">
        <f>IF($Z1107="","",IF($Z1107&lt;=2000,IF(INDEX(包装物料出入库明细!$B$4:$B$2003,$Z1107-0)=0,"",INDEX(包装物料出入库明细!$B$4:$B$2003,$Z1107-0)),IF($Z1107&lt;=4000,IF(INDEX(周转筐出入库明细!$B$4:$B$2004,$Z1107-2000)=0,"",INDEX(周转筐出入库明细!$B$4:$B$2004,$Z1107-2000)),IF($Z1107&lt;=5200,IF(INDEX(客户自备加工筐明细!$B$4:$B$1203,$Z1107-4000)=0,"",INDEX(客户自备加工筐明细!$B$4:$B$1203,$Z1107-4000)),IF($Z1107&lt;=5800,IF(INDEX(次果筐明细!$B$4:$B$603,$Z1107-5200)=0,"",INDEX(次果筐明细!$B$4:$B$603,$Z1107-5200)),"")))))</f>
        <v/>
      </c>
      <c r="C1107" s="37" t="str">
        <f>IF($Z1107="","",IF($Z1107&lt;=2000,IF(INDEX(包装物料出入库明细!$D$4:$D$2003,$Z1107-0)=0,"",INDEX(包装物料出入库明细!$D$4:$D$2003,$Z1107-0)),IF($Z1107&lt;=4000,IF(INDEX(周转筐出入库明细!$C$4:$C$2004,$Z1107-2000)=0,"",INDEX(周转筐出入库明细!$C$4:$C$2004,$Z1107-2000)),IF($Z1107&lt;=5200,IF(INDEX(客户自备加工筐明细!$E$4:$E$1203,$Z1107-4000)=0,"",INDEX(客户自备加工筐明细!$E$4:$E$1203,$Z1107-4000)),IF($Z1107&lt;=5800,IF(INDEX(次果筐明细!$C$4:$C$603,$Z1107-5200)=0,"",INDEX(次果筐明细!$C$4:$C$603,$Z1107-5200)),"")))))</f>
        <v/>
      </c>
      <c r="D1107" s="37" t="str">
        <f>IF($Z1107="","",IF($Z1107&lt;=2000,"包装物料－"&amp;INDEX(包装物料出入库明细!$H$4:$H$2003,$Z1107-0),IF($Z1107&lt;=4000,"周转筐－"&amp;INDEX(周转筐出入库明细!$F$4:$F$2004,$Z1107-2000),IF($Z1107&lt;=5200,"客户自备筐－"&amp;INDEX(客户自备加工筐明细!$J$4:$J$1203,$Z1107-4000),IF($Z1107&lt;=5800,"次果筐/托盘－"&amp;INDEX(次果筐明细!$F$4:$F$603,$Z1107-5200),"")))))</f>
        <v/>
      </c>
      <c r="E1107" s="24" t="str">
        <f>IF($Z1107="","",IF($Z1107&lt;=2000,IF(INDEX(包装物料出入库明细!$C$4:$C$2003,$Z1107-0)=0,"",INDEX(包装物料出入库明细!$C$4:$C$2003,$Z1107-0)),IF($Z1107&lt;=4000,IF(INDEX(周转筐出入库明细!$E$4:$E$2004,$Z1107-2000)=0,"",INDEX(周转筐出入库明细!$E$4:$E$2004,$Z1107-2000)),IF($Z1107&lt;=5200,IF(INDEX(客户自备加工筐明细!$D$4:$D$1203,$Z1107-4000)=0,"",INDEX(客户自备加工筐明细!$D$4:$D$1203,$Z1107-4000)),IF($Z1107&lt;=5800,IF(INDEX(次果筐明细!$E$4:$E$603,$Z1107-5200)=0,"",INDEX(次果筐明细!$E$4:$E$603,$Z1107-5200)),"")))))</f>
        <v/>
      </c>
      <c r="F1107" s="24" t="str">
        <f>IF($Z1107="","",IF($Z1107&lt;=2000,IF(INDEX(包装物料出入库明细!$E$4:$E$2003,$Z1107-0)=0,"",INDEX(包装物料出入库明细!$E$4:$E$2003,$Z1107-0)),IF($Z1107&lt;=4000,IF(INDEX(周转筐出入库明细!$D$4:$D$2004,$Z1107-2000)=0,"",INDEX(周转筐出入库明细!$D$4:$D$2004,$Z1107-2000)),IF($Z1107&lt;=5200,IF(INDEX(客户自备加工筐明细!$C$4:$C$1203,$Z1107-4000)=0,"",INDEX(客户自备加工筐明细!$C$4:$C$1203,$Z1107-4000)),IF($Z1107&lt;=5800,IF(INDEX(次果筐明细!$D$4:$D$603,$Z1107-5200)=0,"",INDEX(次果筐明细!$D$4:$D$603,$Z1107-5200)),"")))))</f>
        <v/>
      </c>
      <c r="G1107" s="24" t="str">
        <f>IF($Z1107="","",IF($Z1107&lt;=2000,IF(INDEX(包装物料出入库明细!$F$4:$F$2003,$Z1107-0)=0,"",INDEX(包装物料出入库明细!$F$4:$F$2003,$Z1107-0)),IF($Z1107&lt;=4000,"",IF($Z1107&lt;=5200,"",IF($Z1107&lt;=5800,"","")))))</f>
        <v/>
      </c>
      <c r="H1107" s="39" t="str">
        <f>IF($Z1107="","",IF($Z1107&lt;=2000,IF(INDEX(包装物料出入库明细!$L$4:$L$2003,$Z1107-0)=0,"",INDEX(包装物料出入库明细!$L$4:$L$2003,$Z1107-0)),IF($Z1107&lt;=4000,N(INDEX(周转筐出入库明细!$H$4:$H$2004,$Z1107-2000))+N(INDEX(周转筐出入库明细!$I$4:$I$2004,$Z1107-2000))+N(INDEX(周转筐出入库明细!$J$4:$J$2004,$Z1107-2000))+N(INDEX(周转筐出入库明细!$K$4:$K$2004,$Z1107-2000)),IF($Z1107&lt;=5200,N(INDEX(客户自备加工筐明细!$F$4:$F$1203,$Z1107-4000))+N(INDEX(客户自备加工筐明细!$G$4:$G$1203,$Z1107-4000)),IF($Z1107&lt;=5800,IF(INDEX(次果筐明细!$G$4:$G$603,$Z1107-5200)=0,"",INDEX(次果筐明细!$G$4:$G$603,$Z1107-5200)),"")))))</f>
        <v/>
      </c>
      <c r="I1107" s="24" t="str">
        <f>IF($Z1107="","",IF($Z1107&lt;=2000,IF(INDEX(包装物料出入库明细!$G$4:$G$2003,$Z1107-0)=0,"",INDEX(包装物料出入库明细!$G$4:$G$2003,$Z1107-0)),IF($Z1107&lt;=4000,"个",IF($Z1107&lt;=5200,"个",IF($Z1107&lt;=5800,"个","")))))</f>
        <v/>
      </c>
      <c r="J1107" s="30" t="str">
        <f t="shared" si="52"/>
        <v/>
      </c>
      <c r="K1107" s="30" t="str">
        <f>IF($Z1107="","",IF($Z1107&lt;=2000,IF(INDEX(包装物料出入库明细!$N$4:$N$2003,$Z1107-0)=0,"",INDEX(包装物料出入库明细!$N$4:$N$2003,$Z1107-0)),IF($Z1107&lt;=4000,IF(INDEX(周转筐出入库明细!$P$4:$P$2004,$Z1107-2000)=0,"",INDEX(周转筐出入库明细!$P$4:$P$2004,$Z1107-2000)),IF($Z1107&lt;=5200,"",IF($Z1107&lt;=5800,N(INDEX(次果筐明细!$L$4:$L$603,$Z1107-5200))+N(INDEX(次果筐明细!$J$4:$J$603,$Z1107-5200)),"")))))</f>
        <v/>
      </c>
      <c r="L1107" s="24" t="str">
        <f>IF($Z1107="","",IF($Z1107&lt;=2000,IF(INDEX(包装物料出入库明细!$P$4:$P$2003,$Z1107-0)=0,"",INDEX(包装物料出入库明细!$P$4:$P$2003,$Z1107-0)),IF($Z1107&lt;=4000,IF(INDEX(周转筐出入库明细!$Q$4:$Q$2004,$Z1107-2000)=0,"",INDEX(周转筐出入库明细!$Q$4:$Q$2004,$Z1107-2000)),IF($Z1107&lt;=5200,"",IF($Z1107&lt;=5800,IF(INDEX(次果筐明细!$M$4:$M$603,$Z1107-5200)=0,"",INDEX(次果筐明细!$M$4:$M$603,$Z1107-5200)),"")))))</f>
        <v/>
      </c>
      <c r="M1107" s="37" t="str">
        <f>IF($Z1107="","",IF($Z1107&lt;=2000,IF(INDEX(包装物料出入库明细!$R$4:$R$2003,$Z1107-0)=0,"",INDEX(包装物料出入库明细!$R$4:$R$2003,$Z1107-0)),IF($Z1107&lt;=4000,IF(INDEX(周转筐出入库明细!$W$4:$W$2004,$Z1107-2000)=0,"",INDEX(周转筐出入库明细!$W$4:$W$2004,$Z1107-2000)),IF($Z1107&lt;=5200,IF(INDEX(客户自备加工筐明细!$L$4:$L$1203,$Z1107-4000)=0,"",INDEX(客户自备加工筐明细!$L$4:$L$1203,$Z1107-4000)),IF($Z1107&lt;=5800,IF(INDEX(次果筐明细!$P$4:$P$603,$Z1107-5200)=0,"",INDEX(次果筐明细!$P$4:$P$603,$Z1107-5200)),"")))))</f>
        <v/>
      </c>
      <c r="N1107" s="16" t="str">
        <f>IF($Z1107="","",IF($Z1107&lt;=2000,"",IF($Z1107&lt;=4000,IF(INDEX(周转筐出入库明细!$D$4:$D$2004,$Z1107-2000)=0,"",INDEX(周转筐出入库明细!$D$4:$D$2004,$Z1107-2000)),IF($Z1107&lt;=5200,IF(INDEX(客户自备加工筐明细!$C$4:$C$1203,$Z1107-4000)=0,"",INDEX(客户自备加工筐明细!$C$4:$C$1203,$Z1107-4000)),IF($Z1107&lt;=5800,IF(INDEX(次果筐明细!$D$4:$D$603,$Z1107-5200)=0,"",INDEX(次果筐明细!$D$4:$D$603,$Z1107-5200)),"")))))</f>
        <v/>
      </c>
      <c r="O1107" s="40" t="str">
        <f>IF($Z1107="","",IF($Z1107&lt;=2000,"",IF($Z1107&lt;=4000,IF(N(INDEX(周转筐出入库明细!$J$4:$J$2004,$Z1107-2000))+N(INDEX(周转筐出入库明细!$K$4:$K$2004,$Z1107-2000))=0,"",N(INDEX(周转筐出入库明细!$J$4:$J$2004,$Z1107-2000))+N(INDEX(周转筐出入库明细!$K$4:$K$2004,$Z1107-2000))),IF($Z1107&lt;=5200,IF(N(INDEX(客户自备加工筐明细!$G$4:$G$1203,$Z1107-4000))=0,"",N(INDEX(客户自备加工筐明细!$G$4:$G$1203,$Z1107-4000))),IF($Z1107&lt;=5800,IF(ISNUMBER(SEARCH("退",INDEX(次果筐明细!$F$4:$F$603,$Z1107-5200)&amp;"")),"",IF(N(INDEX(次果筐明细!$G$4:$G$603,$Z1107-5200))=0,"",N(INDEX(次果筐明细!$G$4:$G$603,$Z1107-5200)))),"")))))</f>
        <v/>
      </c>
      <c r="P1107" s="40" t="str">
        <f>IF($Z1107="","",IF($Z1107&lt;=2000,"",IF($Z1107&lt;=4000,IF(N(INDEX(周转筐出入库明细!$I$4:$I$2004,$Z1107-2000))=0,"",N(INDEX(周转筐出入库明细!$I$4:$I$2004,$Z1107-2000))),IF($Z1107&lt;=5200,"",IF($Z1107&lt;=5800,IF(ISNUMBER(SEARCH("退",INDEX(次果筐明细!$F$4:$F$603,$Z1107-5200)&amp;"")),IF(N(INDEX(次果筐明细!$G$4:$G$603,$Z1107-5200))=0,"",N(INDEX(次果筐明细!$G$4:$G$603,$Z1107-5200))),""),"")))))</f>
        <v/>
      </c>
      <c r="Q1107" s="40" t="str">
        <f>IF($Z1107="","",IF($Z1107&lt;=2000,"",IF($Z1107&lt;=4000,IF(N(INDEX(周转筐出入库明细!$H$4:$H$2004,$Z1107-2000))=0,"",N(INDEX(周转筐出入库明细!$H$4:$H$2004,$Z1107-2000))),IF($Z1107&lt;=5200,IF(N(INDEX(客户自备加工筐明细!$F$4:$F$1203,$Z1107-4000))=0,"",N(INDEX(客户自备加工筐明细!$F$4:$F$1203,$Z1107-4000))),IF($Z1107&lt;=5800,"","")))))</f>
        <v/>
      </c>
      <c r="R1107" s="16" t="str">
        <f>IF($Z1107="","",IF($Z1107&lt;=2000,IF(INDEX(包装物料出入库明细!$O$4:$O$2003,$Z1107-0)=0,"",INDEX(包装物料出入库明细!$O$4:$O$2003,$Z1107-0)),IF($Z1107&lt;=4000,IF(INDEX(周转筐出入库明细!$M$4:$M$2004,$Z1107-2000)=0,"",INDEX(周转筐出入库明细!$M$4:$M$2004,$Z1107-2000)),IF($Z1107&lt;=5200,IF(INDEX(客户自备加工筐明细!$H$4:$H$1203,$Z1107-4000)=0,"",INDEX(客户自备加工筐明细!$H$4:$H$1203,$Z1107-4000)),IF($Z1107&lt;=5800,IF(INDEX(次果筐明细!$H$4:$H$603,$Z1107-5200)=0,"",INDEX(次果筐明细!$H$4:$H$603,$Z1107-5200)),"")))))</f>
        <v/>
      </c>
      <c r="S1107" s="22" t="str">
        <f t="shared" si="53"/>
        <v/>
      </c>
      <c r="Z1107" s="10" t="str">
        <f>IFERROR(MATCH(ROW()-3,_自动清单!$CQ$4:$CQ$5803,0),"")</f>
        <v/>
      </c>
    </row>
    <row r="1108" spans="1:26">
      <c r="A1108" s="24" t="str">
        <f t="shared" si="51"/>
        <v/>
      </c>
      <c r="B1108" s="38" t="str">
        <f>IF($Z1108="","",IF($Z1108&lt;=2000,IF(INDEX(包装物料出入库明细!$B$4:$B$2003,$Z1108-0)=0,"",INDEX(包装物料出入库明细!$B$4:$B$2003,$Z1108-0)),IF($Z1108&lt;=4000,IF(INDEX(周转筐出入库明细!$B$4:$B$2004,$Z1108-2000)=0,"",INDEX(周转筐出入库明细!$B$4:$B$2004,$Z1108-2000)),IF($Z1108&lt;=5200,IF(INDEX(客户自备加工筐明细!$B$4:$B$1203,$Z1108-4000)=0,"",INDEX(客户自备加工筐明细!$B$4:$B$1203,$Z1108-4000)),IF($Z1108&lt;=5800,IF(INDEX(次果筐明细!$B$4:$B$603,$Z1108-5200)=0,"",INDEX(次果筐明细!$B$4:$B$603,$Z1108-5200)),"")))))</f>
        <v/>
      </c>
      <c r="C1108" s="37" t="str">
        <f>IF($Z1108="","",IF($Z1108&lt;=2000,IF(INDEX(包装物料出入库明细!$D$4:$D$2003,$Z1108-0)=0,"",INDEX(包装物料出入库明细!$D$4:$D$2003,$Z1108-0)),IF($Z1108&lt;=4000,IF(INDEX(周转筐出入库明细!$C$4:$C$2004,$Z1108-2000)=0,"",INDEX(周转筐出入库明细!$C$4:$C$2004,$Z1108-2000)),IF($Z1108&lt;=5200,IF(INDEX(客户自备加工筐明细!$E$4:$E$1203,$Z1108-4000)=0,"",INDEX(客户自备加工筐明细!$E$4:$E$1203,$Z1108-4000)),IF($Z1108&lt;=5800,IF(INDEX(次果筐明细!$C$4:$C$603,$Z1108-5200)=0,"",INDEX(次果筐明细!$C$4:$C$603,$Z1108-5200)),"")))))</f>
        <v/>
      </c>
      <c r="D1108" s="37" t="str">
        <f>IF($Z1108="","",IF($Z1108&lt;=2000,"包装物料－"&amp;INDEX(包装物料出入库明细!$H$4:$H$2003,$Z1108-0),IF($Z1108&lt;=4000,"周转筐－"&amp;INDEX(周转筐出入库明细!$F$4:$F$2004,$Z1108-2000),IF($Z1108&lt;=5200,"客户自备筐－"&amp;INDEX(客户自备加工筐明细!$J$4:$J$1203,$Z1108-4000),IF($Z1108&lt;=5800,"次果筐/托盘－"&amp;INDEX(次果筐明细!$F$4:$F$603,$Z1108-5200),"")))))</f>
        <v/>
      </c>
      <c r="E1108" s="24" t="str">
        <f>IF($Z1108="","",IF($Z1108&lt;=2000,IF(INDEX(包装物料出入库明细!$C$4:$C$2003,$Z1108-0)=0,"",INDEX(包装物料出入库明细!$C$4:$C$2003,$Z1108-0)),IF($Z1108&lt;=4000,IF(INDEX(周转筐出入库明细!$E$4:$E$2004,$Z1108-2000)=0,"",INDEX(周转筐出入库明细!$E$4:$E$2004,$Z1108-2000)),IF($Z1108&lt;=5200,IF(INDEX(客户自备加工筐明细!$D$4:$D$1203,$Z1108-4000)=0,"",INDEX(客户自备加工筐明细!$D$4:$D$1203,$Z1108-4000)),IF($Z1108&lt;=5800,IF(INDEX(次果筐明细!$E$4:$E$603,$Z1108-5200)=0,"",INDEX(次果筐明细!$E$4:$E$603,$Z1108-5200)),"")))))</f>
        <v/>
      </c>
      <c r="F1108" s="24" t="str">
        <f>IF($Z1108="","",IF($Z1108&lt;=2000,IF(INDEX(包装物料出入库明细!$E$4:$E$2003,$Z1108-0)=0,"",INDEX(包装物料出入库明细!$E$4:$E$2003,$Z1108-0)),IF($Z1108&lt;=4000,IF(INDEX(周转筐出入库明细!$D$4:$D$2004,$Z1108-2000)=0,"",INDEX(周转筐出入库明细!$D$4:$D$2004,$Z1108-2000)),IF($Z1108&lt;=5200,IF(INDEX(客户自备加工筐明细!$C$4:$C$1203,$Z1108-4000)=0,"",INDEX(客户自备加工筐明细!$C$4:$C$1203,$Z1108-4000)),IF($Z1108&lt;=5800,IF(INDEX(次果筐明细!$D$4:$D$603,$Z1108-5200)=0,"",INDEX(次果筐明细!$D$4:$D$603,$Z1108-5200)),"")))))</f>
        <v/>
      </c>
      <c r="G1108" s="24" t="str">
        <f>IF($Z1108="","",IF($Z1108&lt;=2000,IF(INDEX(包装物料出入库明细!$F$4:$F$2003,$Z1108-0)=0,"",INDEX(包装物料出入库明细!$F$4:$F$2003,$Z1108-0)),IF($Z1108&lt;=4000,"",IF($Z1108&lt;=5200,"",IF($Z1108&lt;=5800,"","")))))</f>
        <v/>
      </c>
      <c r="H1108" s="39" t="str">
        <f>IF($Z1108="","",IF($Z1108&lt;=2000,IF(INDEX(包装物料出入库明细!$L$4:$L$2003,$Z1108-0)=0,"",INDEX(包装物料出入库明细!$L$4:$L$2003,$Z1108-0)),IF($Z1108&lt;=4000,N(INDEX(周转筐出入库明细!$H$4:$H$2004,$Z1108-2000))+N(INDEX(周转筐出入库明细!$I$4:$I$2004,$Z1108-2000))+N(INDEX(周转筐出入库明细!$J$4:$J$2004,$Z1108-2000))+N(INDEX(周转筐出入库明细!$K$4:$K$2004,$Z1108-2000)),IF($Z1108&lt;=5200,N(INDEX(客户自备加工筐明细!$F$4:$F$1203,$Z1108-4000))+N(INDEX(客户自备加工筐明细!$G$4:$G$1203,$Z1108-4000)),IF($Z1108&lt;=5800,IF(INDEX(次果筐明细!$G$4:$G$603,$Z1108-5200)=0,"",INDEX(次果筐明细!$G$4:$G$603,$Z1108-5200)),"")))))</f>
        <v/>
      </c>
      <c r="I1108" s="24" t="str">
        <f>IF($Z1108="","",IF($Z1108&lt;=2000,IF(INDEX(包装物料出入库明细!$G$4:$G$2003,$Z1108-0)=0,"",INDEX(包装物料出入库明细!$G$4:$G$2003,$Z1108-0)),IF($Z1108&lt;=4000,"个",IF($Z1108&lt;=5200,"个",IF($Z1108&lt;=5800,"个","")))))</f>
        <v/>
      </c>
      <c r="J1108" s="30" t="str">
        <f t="shared" si="52"/>
        <v/>
      </c>
      <c r="K1108" s="30" t="str">
        <f>IF($Z1108="","",IF($Z1108&lt;=2000,IF(INDEX(包装物料出入库明细!$N$4:$N$2003,$Z1108-0)=0,"",INDEX(包装物料出入库明细!$N$4:$N$2003,$Z1108-0)),IF($Z1108&lt;=4000,IF(INDEX(周转筐出入库明细!$P$4:$P$2004,$Z1108-2000)=0,"",INDEX(周转筐出入库明细!$P$4:$P$2004,$Z1108-2000)),IF($Z1108&lt;=5200,"",IF($Z1108&lt;=5800,N(INDEX(次果筐明细!$L$4:$L$603,$Z1108-5200))+N(INDEX(次果筐明细!$J$4:$J$603,$Z1108-5200)),"")))))</f>
        <v/>
      </c>
      <c r="L1108" s="24" t="str">
        <f>IF($Z1108="","",IF($Z1108&lt;=2000,IF(INDEX(包装物料出入库明细!$P$4:$P$2003,$Z1108-0)=0,"",INDEX(包装物料出入库明细!$P$4:$P$2003,$Z1108-0)),IF($Z1108&lt;=4000,IF(INDEX(周转筐出入库明细!$Q$4:$Q$2004,$Z1108-2000)=0,"",INDEX(周转筐出入库明细!$Q$4:$Q$2004,$Z1108-2000)),IF($Z1108&lt;=5200,"",IF($Z1108&lt;=5800,IF(INDEX(次果筐明细!$M$4:$M$603,$Z1108-5200)=0,"",INDEX(次果筐明细!$M$4:$M$603,$Z1108-5200)),"")))))</f>
        <v/>
      </c>
      <c r="M1108" s="37" t="str">
        <f>IF($Z1108="","",IF($Z1108&lt;=2000,IF(INDEX(包装物料出入库明细!$R$4:$R$2003,$Z1108-0)=0,"",INDEX(包装物料出入库明细!$R$4:$R$2003,$Z1108-0)),IF($Z1108&lt;=4000,IF(INDEX(周转筐出入库明细!$W$4:$W$2004,$Z1108-2000)=0,"",INDEX(周转筐出入库明细!$W$4:$W$2004,$Z1108-2000)),IF($Z1108&lt;=5200,IF(INDEX(客户自备加工筐明细!$L$4:$L$1203,$Z1108-4000)=0,"",INDEX(客户自备加工筐明细!$L$4:$L$1203,$Z1108-4000)),IF($Z1108&lt;=5800,IF(INDEX(次果筐明细!$P$4:$P$603,$Z1108-5200)=0,"",INDEX(次果筐明细!$P$4:$P$603,$Z1108-5200)),"")))))</f>
        <v/>
      </c>
      <c r="N1108" s="16" t="str">
        <f>IF($Z1108="","",IF($Z1108&lt;=2000,"",IF($Z1108&lt;=4000,IF(INDEX(周转筐出入库明细!$D$4:$D$2004,$Z1108-2000)=0,"",INDEX(周转筐出入库明细!$D$4:$D$2004,$Z1108-2000)),IF($Z1108&lt;=5200,IF(INDEX(客户自备加工筐明细!$C$4:$C$1203,$Z1108-4000)=0,"",INDEX(客户自备加工筐明细!$C$4:$C$1203,$Z1108-4000)),IF($Z1108&lt;=5800,IF(INDEX(次果筐明细!$D$4:$D$603,$Z1108-5200)=0,"",INDEX(次果筐明细!$D$4:$D$603,$Z1108-5200)),"")))))</f>
        <v/>
      </c>
      <c r="O1108" s="40" t="str">
        <f>IF($Z1108="","",IF($Z1108&lt;=2000,"",IF($Z1108&lt;=4000,IF(N(INDEX(周转筐出入库明细!$J$4:$J$2004,$Z1108-2000))+N(INDEX(周转筐出入库明细!$K$4:$K$2004,$Z1108-2000))=0,"",N(INDEX(周转筐出入库明细!$J$4:$J$2004,$Z1108-2000))+N(INDEX(周转筐出入库明细!$K$4:$K$2004,$Z1108-2000))),IF($Z1108&lt;=5200,IF(N(INDEX(客户自备加工筐明细!$G$4:$G$1203,$Z1108-4000))=0,"",N(INDEX(客户自备加工筐明细!$G$4:$G$1203,$Z1108-4000))),IF($Z1108&lt;=5800,IF(ISNUMBER(SEARCH("退",INDEX(次果筐明细!$F$4:$F$603,$Z1108-5200)&amp;"")),"",IF(N(INDEX(次果筐明细!$G$4:$G$603,$Z1108-5200))=0,"",N(INDEX(次果筐明细!$G$4:$G$603,$Z1108-5200)))),"")))))</f>
        <v/>
      </c>
      <c r="P1108" s="40" t="str">
        <f>IF($Z1108="","",IF($Z1108&lt;=2000,"",IF($Z1108&lt;=4000,IF(N(INDEX(周转筐出入库明细!$I$4:$I$2004,$Z1108-2000))=0,"",N(INDEX(周转筐出入库明细!$I$4:$I$2004,$Z1108-2000))),IF($Z1108&lt;=5200,"",IF($Z1108&lt;=5800,IF(ISNUMBER(SEARCH("退",INDEX(次果筐明细!$F$4:$F$603,$Z1108-5200)&amp;"")),IF(N(INDEX(次果筐明细!$G$4:$G$603,$Z1108-5200))=0,"",N(INDEX(次果筐明细!$G$4:$G$603,$Z1108-5200))),""),"")))))</f>
        <v/>
      </c>
      <c r="Q1108" s="40" t="str">
        <f>IF($Z1108="","",IF($Z1108&lt;=2000,"",IF($Z1108&lt;=4000,IF(N(INDEX(周转筐出入库明细!$H$4:$H$2004,$Z1108-2000))=0,"",N(INDEX(周转筐出入库明细!$H$4:$H$2004,$Z1108-2000))),IF($Z1108&lt;=5200,IF(N(INDEX(客户自备加工筐明细!$F$4:$F$1203,$Z1108-4000))=0,"",N(INDEX(客户自备加工筐明细!$F$4:$F$1203,$Z1108-4000))),IF($Z1108&lt;=5800,"","")))))</f>
        <v/>
      </c>
      <c r="R1108" s="16" t="str">
        <f>IF($Z1108="","",IF($Z1108&lt;=2000,IF(INDEX(包装物料出入库明细!$O$4:$O$2003,$Z1108-0)=0,"",INDEX(包装物料出入库明细!$O$4:$O$2003,$Z1108-0)),IF($Z1108&lt;=4000,IF(INDEX(周转筐出入库明细!$M$4:$M$2004,$Z1108-2000)=0,"",INDEX(周转筐出入库明细!$M$4:$M$2004,$Z1108-2000)),IF($Z1108&lt;=5200,IF(INDEX(客户自备加工筐明细!$H$4:$H$1203,$Z1108-4000)=0,"",INDEX(客户自备加工筐明细!$H$4:$H$1203,$Z1108-4000)),IF($Z1108&lt;=5800,IF(INDEX(次果筐明细!$H$4:$H$603,$Z1108-5200)=0,"",INDEX(次果筐明细!$H$4:$H$603,$Z1108-5200)),"")))))</f>
        <v/>
      </c>
      <c r="S1108" s="22" t="str">
        <f t="shared" si="53"/>
        <v/>
      </c>
      <c r="Z1108" s="10" t="str">
        <f>IFERROR(MATCH(ROW()-3,_自动清单!$CQ$4:$CQ$5803,0),"")</f>
        <v/>
      </c>
    </row>
    <row r="1109" spans="1:26">
      <c r="A1109" s="24" t="str">
        <f t="shared" si="51"/>
        <v/>
      </c>
      <c r="B1109" s="38" t="str">
        <f>IF($Z1109="","",IF($Z1109&lt;=2000,IF(INDEX(包装物料出入库明细!$B$4:$B$2003,$Z1109-0)=0,"",INDEX(包装物料出入库明细!$B$4:$B$2003,$Z1109-0)),IF($Z1109&lt;=4000,IF(INDEX(周转筐出入库明细!$B$4:$B$2004,$Z1109-2000)=0,"",INDEX(周转筐出入库明细!$B$4:$B$2004,$Z1109-2000)),IF($Z1109&lt;=5200,IF(INDEX(客户自备加工筐明细!$B$4:$B$1203,$Z1109-4000)=0,"",INDEX(客户自备加工筐明细!$B$4:$B$1203,$Z1109-4000)),IF($Z1109&lt;=5800,IF(INDEX(次果筐明细!$B$4:$B$603,$Z1109-5200)=0,"",INDEX(次果筐明细!$B$4:$B$603,$Z1109-5200)),"")))))</f>
        <v/>
      </c>
      <c r="C1109" s="37" t="str">
        <f>IF($Z1109="","",IF($Z1109&lt;=2000,IF(INDEX(包装物料出入库明细!$D$4:$D$2003,$Z1109-0)=0,"",INDEX(包装物料出入库明细!$D$4:$D$2003,$Z1109-0)),IF($Z1109&lt;=4000,IF(INDEX(周转筐出入库明细!$C$4:$C$2004,$Z1109-2000)=0,"",INDEX(周转筐出入库明细!$C$4:$C$2004,$Z1109-2000)),IF($Z1109&lt;=5200,IF(INDEX(客户自备加工筐明细!$E$4:$E$1203,$Z1109-4000)=0,"",INDEX(客户自备加工筐明细!$E$4:$E$1203,$Z1109-4000)),IF($Z1109&lt;=5800,IF(INDEX(次果筐明细!$C$4:$C$603,$Z1109-5200)=0,"",INDEX(次果筐明细!$C$4:$C$603,$Z1109-5200)),"")))))</f>
        <v/>
      </c>
      <c r="D1109" s="37" t="str">
        <f>IF($Z1109="","",IF($Z1109&lt;=2000,"包装物料－"&amp;INDEX(包装物料出入库明细!$H$4:$H$2003,$Z1109-0),IF($Z1109&lt;=4000,"周转筐－"&amp;INDEX(周转筐出入库明细!$F$4:$F$2004,$Z1109-2000),IF($Z1109&lt;=5200,"客户自备筐－"&amp;INDEX(客户自备加工筐明细!$J$4:$J$1203,$Z1109-4000),IF($Z1109&lt;=5800,"次果筐/托盘－"&amp;INDEX(次果筐明细!$F$4:$F$603,$Z1109-5200),"")))))</f>
        <v/>
      </c>
      <c r="E1109" s="24" t="str">
        <f>IF($Z1109="","",IF($Z1109&lt;=2000,IF(INDEX(包装物料出入库明细!$C$4:$C$2003,$Z1109-0)=0,"",INDEX(包装物料出入库明细!$C$4:$C$2003,$Z1109-0)),IF($Z1109&lt;=4000,IF(INDEX(周转筐出入库明细!$E$4:$E$2004,$Z1109-2000)=0,"",INDEX(周转筐出入库明细!$E$4:$E$2004,$Z1109-2000)),IF($Z1109&lt;=5200,IF(INDEX(客户自备加工筐明细!$D$4:$D$1203,$Z1109-4000)=0,"",INDEX(客户自备加工筐明细!$D$4:$D$1203,$Z1109-4000)),IF($Z1109&lt;=5800,IF(INDEX(次果筐明细!$E$4:$E$603,$Z1109-5200)=0,"",INDEX(次果筐明细!$E$4:$E$603,$Z1109-5200)),"")))))</f>
        <v/>
      </c>
      <c r="F1109" s="24" t="str">
        <f>IF($Z1109="","",IF($Z1109&lt;=2000,IF(INDEX(包装物料出入库明细!$E$4:$E$2003,$Z1109-0)=0,"",INDEX(包装物料出入库明细!$E$4:$E$2003,$Z1109-0)),IF($Z1109&lt;=4000,IF(INDEX(周转筐出入库明细!$D$4:$D$2004,$Z1109-2000)=0,"",INDEX(周转筐出入库明细!$D$4:$D$2004,$Z1109-2000)),IF($Z1109&lt;=5200,IF(INDEX(客户自备加工筐明细!$C$4:$C$1203,$Z1109-4000)=0,"",INDEX(客户自备加工筐明细!$C$4:$C$1203,$Z1109-4000)),IF($Z1109&lt;=5800,IF(INDEX(次果筐明细!$D$4:$D$603,$Z1109-5200)=0,"",INDEX(次果筐明细!$D$4:$D$603,$Z1109-5200)),"")))))</f>
        <v/>
      </c>
      <c r="G1109" s="24" t="str">
        <f>IF($Z1109="","",IF($Z1109&lt;=2000,IF(INDEX(包装物料出入库明细!$F$4:$F$2003,$Z1109-0)=0,"",INDEX(包装物料出入库明细!$F$4:$F$2003,$Z1109-0)),IF($Z1109&lt;=4000,"",IF($Z1109&lt;=5200,"",IF($Z1109&lt;=5800,"","")))))</f>
        <v/>
      </c>
      <c r="H1109" s="39" t="str">
        <f>IF($Z1109="","",IF($Z1109&lt;=2000,IF(INDEX(包装物料出入库明细!$L$4:$L$2003,$Z1109-0)=0,"",INDEX(包装物料出入库明细!$L$4:$L$2003,$Z1109-0)),IF($Z1109&lt;=4000,N(INDEX(周转筐出入库明细!$H$4:$H$2004,$Z1109-2000))+N(INDEX(周转筐出入库明细!$I$4:$I$2004,$Z1109-2000))+N(INDEX(周转筐出入库明细!$J$4:$J$2004,$Z1109-2000))+N(INDEX(周转筐出入库明细!$K$4:$K$2004,$Z1109-2000)),IF($Z1109&lt;=5200,N(INDEX(客户自备加工筐明细!$F$4:$F$1203,$Z1109-4000))+N(INDEX(客户自备加工筐明细!$G$4:$G$1203,$Z1109-4000)),IF($Z1109&lt;=5800,IF(INDEX(次果筐明细!$G$4:$G$603,$Z1109-5200)=0,"",INDEX(次果筐明细!$G$4:$G$603,$Z1109-5200)),"")))))</f>
        <v/>
      </c>
      <c r="I1109" s="24" t="str">
        <f>IF($Z1109="","",IF($Z1109&lt;=2000,IF(INDEX(包装物料出入库明细!$G$4:$G$2003,$Z1109-0)=0,"",INDEX(包装物料出入库明细!$G$4:$G$2003,$Z1109-0)),IF($Z1109&lt;=4000,"个",IF($Z1109&lt;=5200,"个",IF($Z1109&lt;=5800,"个","")))))</f>
        <v/>
      </c>
      <c r="J1109" s="30" t="str">
        <f t="shared" si="52"/>
        <v/>
      </c>
      <c r="K1109" s="30" t="str">
        <f>IF($Z1109="","",IF($Z1109&lt;=2000,IF(INDEX(包装物料出入库明细!$N$4:$N$2003,$Z1109-0)=0,"",INDEX(包装物料出入库明细!$N$4:$N$2003,$Z1109-0)),IF($Z1109&lt;=4000,IF(INDEX(周转筐出入库明细!$P$4:$P$2004,$Z1109-2000)=0,"",INDEX(周转筐出入库明细!$P$4:$P$2004,$Z1109-2000)),IF($Z1109&lt;=5200,"",IF($Z1109&lt;=5800,N(INDEX(次果筐明细!$L$4:$L$603,$Z1109-5200))+N(INDEX(次果筐明细!$J$4:$J$603,$Z1109-5200)),"")))))</f>
        <v/>
      </c>
      <c r="L1109" s="24" t="str">
        <f>IF($Z1109="","",IF($Z1109&lt;=2000,IF(INDEX(包装物料出入库明细!$P$4:$P$2003,$Z1109-0)=0,"",INDEX(包装物料出入库明细!$P$4:$P$2003,$Z1109-0)),IF($Z1109&lt;=4000,IF(INDEX(周转筐出入库明细!$Q$4:$Q$2004,$Z1109-2000)=0,"",INDEX(周转筐出入库明细!$Q$4:$Q$2004,$Z1109-2000)),IF($Z1109&lt;=5200,"",IF($Z1109&lt;=5800,IF(INDEX(次果筐明细!$M$4:$M$603,$Z1109-5200)=0,"",INDEX(次果筐明细!$M$4:$M$603,$Z1109-5200)),"")))))</f>
        <v/>
      </c>
      <c r="M1109" s="37" t="str">
        <f>IF($Z1109="","",IF($Z1109&lt;=2000,IF(INDEX(包装物料出入库明细!$R$4:$R$2003,$Z1109-0)=0,"",INDEX(包装物料出入库明细!$R$4:$R$2003,$Z1109-0)),IF($Z1109&lt;=4000,IF(INDEX(周转筐出入库明细!$W$4:$W$2004,$Z1109-2000)=0,"",INDEX(周转筐出入库明细!$W$4:$W$2004,$Z1109-2000)),IF($Z1109&lt;=5200,IF(INDEX(客户自备加工筐明细!$L$4:$L$1203,$Z1109-4000)=0,"",INDEX(客户自备加工筐明细!$L$4:$L$1203,$Z1109-4000)),IF($Z1109&lt;=5800,IF(INDEX(次果筐明细!$P$4:$P$603,$Z1109-5200)=0,"",INDEX(次果筐明细!$P$4:$P$603,$Z1109-5200)),"")))))</f>
        <v/>
      </c>
      <c r="N1109" s="16" t="str">
        <f>IF($Z1109="","",IF($Z1109&lt;=2000,"",IF($Z1109&lt;=4000,IF(INDEX(周转筐出入库明细!$D$4:$D$2004,$Z1109-2000)=0,"",INDEX(周转筐出入库明细!$D$4:$D$2004,$Z1109-2000)),IF($Z1109&lt;=5200,IF(INDEX(客户自备加工筐明细!$C$4:$C$1203,$Z1109-4000)=0,"",INDEX(客户自备加工筐明细!$C$4:$C$1203,$Z1109-4000)),IF($Z1109&lt;=5800,IF(INDEX(次果筐明细!$D$4:$D$603,$Z1109-5200)=0,"",INDEX(次果筐明细!$D$4:$D$603,$Z1109-5200)),"")))))</f>
        <v/>
      </c>
      <c r="O1109" s="40" t="str">
        <f>IF($Z1109="","",IF($Z1109&lt;=2000,"",IF($Z1109&lt;=4000,IF(N(INDEX(周转筐出入库明细!$J$4:$J$2004,$Z1109-2000))+N(INDEX(周转筐出入库明细!$K$4:$K$2004,$Z1109-2000))=0,"",N(INDEX(周转筐出入库明细!$J$4:$J$2004,$Z1109-2000))+N(INDEX(周转筐出入库明细!$K$4:$K$2004,$Z1109-2000))),IF($Z1109&lt;=5200,IF(N(INDEX(客户自备加工筐明细!$G$4:$G$1203,$Z1109-4000))=0,"",N(INDEX(客户自备加工筐明细!$G$4:$G$1203,$Z1109-4000))),IF($Z1109&lt;=5800,IF(ISNUMBER(SEARCH("退",INDEX(次果筐明细!$F$4:$F$603,$Z1109-5200)&amp;"")),"",IF(N(INDEX(次果筐明细!$G$4:$G$603,$Z1109-5200))=0,"",N(INDEX(次果筐明细!$G$4:$G$603,$Z1109-5200)))),"")))))</f>
        <v/>
      </c>
      <c r="P1109" s="40" t="str">
        <f>IF($Z1109="","",IF($Z1109&lt;=2000,"",IF($Z1109&lt;=4000,IF(N(INDEX(周转筐出入库明细!$I$4:$I$2004,$Z1109-2000))=0,"",N(INDEX(周转筐出入库明细!$I$4:$I$2004,$Z1109-2000))),IF($Z1109&lt;=5200,"",IF($Z1109&lt;=5800,IF(ISNUMBER(SEARCH("退",INDEX(次果筐明细!$F$4:$F$603,$Z1109-5200)&amp;"")),IF(N(INDEX(次果筐明细!$G$4:$G$603,$Z1109-5200))=0,"",N(INDEX(次果筐明细!$G$4:$G$603,$Z1109-5200))),""),"")))))</f>
        <v/>
      </c>
      <c r="Q1109" s="40" t="str">
        <f>IF($Z1109="","",IF($Z1109&lt;=2000,"",IF($Z1109&lt;=4000,IF(N(INDEX(周转筐出入库明细!$H$4:$H$2004,$Z1109-2000))=0,"",N(INDEX(周转筐出入库明细!$H$4:$H$2004,$Z1109-2000))),IF($Z1109&lt;=5200,IF(N(INDEX(客户自备加工筐明细!$F$4:$F$1203,$Z1109-4000))=0,"",N(INDEX(客户自备加工筐明细!$F$4:$F$1203,$Z1109-4000))),IF($Z1109&lt;=5800,"","")))))</f>
        <v/>
      </c>
      <c r="R1109" s="16" t="str">
        <f>IF($Z1109="","",IF($Z1109&lt;=2000,IF(INDEX(包装物料出入库明细!$O$4:$O$2003,$Z1109-0)=0,"",INDEX(包装物料出入库明细!$O$4:$O$2003,$Z1109-0)),IF($Z1109&lt;=4000,IF(INDEX(周转筐出入库明细!$M$4:$M$2004,$Z1109-2000)=0,"",INDEX(周转筐出入库明细!$M$4:$M$2004,$Z1109-2000)),IF($Z1109&lt;=5200,IF(INDEX(客户自备加工筐明细!$H$4:$H$1203,$Z1109-4000)=0,"",INDEX(客户自备加工筐明细!$H$4:$H$1203,$Z1109-4000)),IF($Z1109&lt;=5800,IF(INDEX(次果筐明细!$H$4:$H$603,$Z1109-5200)=0,"",INDEX(次果筐明细!$H$4:$H$603,$Z1109-5200)),"")))))</f>
        <v/>
      </c>
      <c r="S1109" s="22" t="str">
        <f t="shared" si="53"/>
        <v/>
      </c>
      <c r="Z1109" s="10" t="str">
        <f>IFERROR(MATCH(ROW()-3,_自动清单!$CQ$4:$CQ$5803,0),"")</f>
        <v/>
      </c>
    </row>
    <row r="1110" spans="1:26">
      <c r="A1110" s="24" t="str">
        <f t="shared" si="51"/>
        <v/>
      </c>
      <c r="B1110" s="38" t="str">
        <f>IF($Z1110="","",IF($Z1110&lt;=2000,IF(INDEX(包装物料出入库明细!$B$4:$B$2003,$Z1110-0)=0,"",INDEX(包装物料出入库明细!$B$4:$B$2003,$Z1110-0)),IF($Z1110&lt;=4000,IF(INDEX(周转筐出入库明细!$B$4:$B$2004,$Z1110-2000)=0,"",INDEX(周转筐出入库明细!$B$4:$B$2004,$Z1110-2000)),IF($Z1110&lt;=5200,IF(INDEX(客户自备加工筐明细!$B$4:$B$1203,$Z1110-4000)=0,"",INDEX(客户自备加工筐明细!$B$4:$B$1203,$Z1110-4000)),IF($Z1110&lt;=5800,IF(INDEX(次果筐明细!$B$4:$B$603,$Z1110-5200)=0,"",INDEX(次果筐明细!$B$4:$B$603,$Z1110-5200)),"")))))</f>
        <v/>
      </c>
      <c r="C1110" s="37" t="str">
        <f>IF($Z1110="","",IF($Z1110&lt;=2000,IF(INDEX(包装物料出入库明细!$D$4:$D$2003,$Z1110-0)=0,"",INDEX(包装物料出入库明细!$D$4:$D$2003,$Z1110-0)),IF($Z1110&lt;=4000,IF(INDEX(周转筐出入库明细!$C$4:$C$2004,$Z1110-2000)=0,"",INDEX(周转筐出入库明细!$C$4:$C$2004,$Z1110-2000)),IF($Z1110&lt;=5200,IF(INDEX(客户自备加工筐明细!$E$4:$E$1203,$Z1110-4000)=0,"",INDEX(客户自备加工筐明细!$E$4:$E$1203,$Z1110-4000)),IF($Z1110&lt;=5800,IF(INDEX(次果筐明细!$C$4:$C$603,$Z1110-5200)=0,"",INDEX(次果筐明细!$C$4:$C$603,$Z1110-5200)),"")))))</f>
        <v/>
      </c>
      <c r="D1110" s="37" t="str">
        <f>IF($Z1110="","",IF($Z1110&lt;=2000,"包装物料－"&amp;INDEX(包装物料出入库明细!$H$4:$H$2003,$Z1110-0),IF($Z1110&lt;=4000,"周转筐－"&amp;INDEX(周转筐出入库明细!$F$4:$F$2004,$Z1110-2000),IF($Z1110&lt;=5200,"客户自备筐－"&amp;INDEX(客户自备加工筐明细!$J$4:$J$1203,$Z1110-4000),IF($Z1110&lt;=5800,"次果筐/托盘－"&amp;INDEX(次果筐明细!$F$4:$F$603,$Z1110-5200),"")))))</f>
        <v/>
      </c>
      <c r="E1110" s="24" t="str">
        <f>IF($Z1110="","",IF($Z1110&lt;=2000,IF(INDEX(包装物料出入库明细!$C$4:$C$2003,$Z1110-0)=0,"",INDEX(包装物料出入库明细!$C$4:$C$2003,$Z1110-0)),IF($Z1110&lt;=4000,IF(INDEX(周转筐出入库明细!$E$4:$E$2004,$Z1110-2000)=0,"",INDEX(周转筐出入库明细!$E$4:$E$2004,$Z1110-2000)),IF($Z1110&lt;=5200,IF(INDEX(客户自备加工筐明细!$D$4:$D$1203,$Z1110-4000)=0,"",INDEX(客户自备加工筐明细!$D$4:$D$1203,$Z1110-4000)),IF($Z1110&lt;=5800,IF(INDEX(次果筐明细!$E$4:$E$603,$Z1110-5200)=0,"",INDEX(次果筐明细!$E$4:$E$603,$Z1110-5200)),"")))))</f>
        <v/>
      </c>
      <c r="F1110" s="24" t="str">
        <f>IF($Z1110="","",IF($Z1110&lt;=2000,IF(INDEX(包装物料出入库明细!$E$4:$E$2003,$Z1110-0)=0,"",INDEX(包装物料出入库明细!$E$4:$E$2003,$Z1110-0)),IF($Z1110&lt;=4000,IF(INDEX(周转筐出入库明细!$D$4:$D$2004,$Z1110-2000)=0,"",INDEX(周转筐出入库明细!$D$4:$D$2004,$Z1110-2000)),IF($Z1110&lt;=5200,IF(INDEX(客户自备加工筐明细!$C$4:$C$1203,$Z1110-4000)=0,"",INDEX(客户自备加工筐明细!$C$4:$C$1203,$Z1110-4000)),IF($Z1110&lt;=5800,IF(INDEX(次果筐明细!$D$4:$D$603,$Z1110-5200)=0,"",INDEX(次果筐明细!$D$4:$D$603,$Z1110-5200)),"")))))</f>
        <v/>
      </c>
      <c r="G1110" s="24" t="str">
        <f>IF($Z1110="","",IF($Z1110&lt;=2000,IF(INDEX(包装物料出入库明细!$F$4:$F$2003,$Z1110-0)=0,"",INDEX(包装物料出入库明细!$F$4:$F$2003,$Z1110-0)),IF($Z1110&lt;=4000,"",IF($Z1110&lt;=5200,"",IF($Z1110&lt;=5800,"","")))))</f>
        <v/>
      </c>
      <c r="H1110" s="39" t="str">
        <f>IF($Z1110="","",IF($Z1110&lt;=2000,IF(INDEX(包装物料出入库明细!$L$4:$L$2003,$Z1110-0)=0,"",INDEX(包装物料出入库明细!$L$4:$L$2003,$Z1110-0)),IF($Z1110&lt;=4000,N(INDEX(周转筐出入库明细!$H$4:$H$2004,$Z1110-2000))+N(INDEX(周转筐出入库明细!$I$4:$I$2004,$Z1110-2000))+N(INDEX(周转筐出入库明细!$J$4:$J$2004,$Z1110-2000))+N(INDEX(周转筐出入库明细!$K$4:$K$2004,$Z1110-2000)),IF($Z1110&lt;=5200,N(INDEX(客户自备加工筐明细!$F$4:$F$1203,$Z1110-4000))+N(INDEX(客户自备加工筐明细!$G$4:$G$1203,$Z1110-4000)),IF($Z1110&lt;=5800,IF(INDEX(次果筐明细!$G$4:$G$603,$Z1110-5200)=0,"",INDEX(次果筐明细!$G$4:$G$603,$Z1110-5200)),"")))))</f>
        <v/>
      </c>
      <c r="I1110" s="24" t="str">
        <f>IF($Z1110="","",IF($Z1110&lt;=2000,IF(INDEX(包装物料出入库明细!$G$4:$G$2003,$Z1110-0)=0,"",INDEX(包装物料出入库明细!$G$4:$G$2003,$Z1110-0)),IF($Z1110&lt;=4000,"个",IF($Z1110&lt;=5200,"个",IF($Z1110&lt;=5800,"个","")))))</f>
        <v/>
      </c>
      <c r="J1110" s="30" t="str">
        <f t="shared" si="52"/>
        <v/>
      </c>
      <c r="K1110" s="30" t="str">
        <f>IF($Z1110="","",IF($Z1110&lt;=2000,IF(INDEX(包装物料出入库明细!$N$4:$N$2003,$Z1110-0)=0,"",INDEX(包装物料出入库明细!$N$4:$N$2003,$Z1110-0)),IF($Z1110&lt;=4000,IF(INDEX(周转筐出入库明细!$P$4:$P$2004,$Z1110-2000)=0,"",INDEX(周转筐出入库明细!$P$4:$P$2004,$Z1110-2000)),IF($Z1110&lt;=5200,"",IF($Z1110&lt;=5800,N(INDEX(次果筐明细!$L$4:$L$603,$Z1110-5200))+N(INDEX(次果筐明细!$J$4:$J$603,$Z1110-5200)),"")))))</f>
        <v/>
      </c>
      <c r="L1110" s="24" t="str">
        <f>IF($Z1110="","",IF($Z1110&lt;=2000,IF(INDEX(包装物料出入库明细!$P$4:$P$2003,$Z1110-0)=0,"",INDEX(包装物料出入库明细!$P$4:$P$2003,$Z1110-0)),IF($Z1110&lt;=4000,IF(INDEX(周转筐出入库明细!$Q$4:$Q$2004,$Z1110-2000)=0,"",INDEX(周转筐出入库明细!$Q$4:$Q$2004,$Z1110-2000)),IF($Z1110&lt;=5200,"",IF($Z1110&lt;=5800,IF(INDEX(次果筐明细!$M$4:$M$603,$Z1110-5200)=0,"",INDEX(次果筐明细!$M$4:$M$603,$Z1110-5200)),"")))))</f>
        <v/>
      </c>
      <c r="M1110" s="37" t="str">
        <f>IF($Z1110="","",IF($Z1110&lt;=2000,IF(INDEX(包装物料出入库明细!$R$4:$R$2003,$Z1110-0)=0,"",INDEX(包装物料出入库明细!$R$4:$R$2003,$Z1110-0)),IF($Z1110&lt;=4000,IF(INDEX(周转筐出入库明细!$W$4:$W$2004,$Z1110-2000)=0,"",INDEX(周转筐出入库明细!$W$4:$W$2004,$Z1110-2000)),IF($Z1110&lt;=5200,IF(INDEX(客户自备加工筐明细!$L$4:$L$1203,$Z1110-4000)=0,"",INDEX(客户自备加工筐明细!$L$4:$L$1203,$Z1110-4000)),IF($Z1110&lt;=5800,IF(INDEX(次果筐明细!$P$4:$P$603,$Z1110-5200)=0,"",INDEX(次果筐明细!$P$4:$P$603,$Z1110-5200)),"")))))</f>
        <v/>
      </c>
      <c r="N1110" s="16" t="str">
        <f>IF($Z1110="","",IF($Z1110&lt;=2000,"",IF($Z1110&lt;=4000,IF(INDEX(周转筐出入库明细!$D$4:$D$2004,$Z1110-2000)=0,"",INDEX(周转筐出入库明细!$D$4:$D$2004,$Z1110-2000)),IF($Z1110&lt;=5200,IF(INDEX(客户自备加工筐明细!$C$4:$C$1203,$Z1110-4000)=0,"",INDEX(客户自备加工筐明细!$C$4:$C$1203,$Z1110-4000)),IF($Z1110&lt;=5800,IF(INDEX(次果筐明细!$D$4:$D$603,$Z1110-5200)=0,"",INDEX(次果筐明细!$D$4:$D$603,$Z1110-5200)),"")))))</f>
        <v/>
      </c>
      <c r="O1110" s="40" t="str">
        <f>IF($Z1110="","",IF($Z1110&lt;=2000,"",IF($Z1110&lt;=4000,IF(N(INDEX(周转筐出入库明细!$J$4:$J$2004,$Z1110-2000))+N(INDEX(周转筐出入库明细!$K$4:$K$2004,$Z1110-2000))=0,"",N(INDEX(周转筐出入库明细!$J$4:$J$2004,$Z1110-2000))+N(INDEX(周转筐出入库明细!$K$4:$K$2004,$Z1110-2000))),IF($Z1110&lt;=5200,IF(N(INDEX(客户自备加工筐明细!$G$4:$G$1203,$Z1110-4000))=0,"",N(INDEX(客户自备加工筐明细!$G$4:$G$1203,$Z1110-4000))),IF($Z1110&lt;=5800,IF(ISNUMBER(SEARCH("退",INDEX(次果筐明细!$F$4:$F$603,$Z1110-5200)&amp;"")),"",IF(N(INDEX(次果筐明细!$G$4:$G$603,$Z1110-5200))=0,"",N(INDEX(次果筐明细!$G$4:$G$603,$Z1110-5200)))),"")))))</f>
        <v/>
      </c>
      <c r="P1110" s="40" t="str">
        <f>IF($Z1110="","",IF($Z1110&lt;=2000,"",IF($Z1110&lt;=4000,IF(N(INDEX(周转筐出入库明细!$I$4:$I$2004,$Z1110-2000))=0,"",N(INDEX(周转筐出入库明细!$I$4:$I$2004,$Z1110-2000))),IF($Z1110&lt;=5200,"",IF($Z1110&lt;=5800,IF(ISNUMBER(SEARCH("退",INDEX(次果筐明细!$F$4:$F$603,$Z1110-5200)&amp;"")),IF(N(INDEX(次果筐明细!$G$4:$G$603,$Z1110-5200))=0,"",N(INDEX(次果筐明细!$G$4:$G$603,$Z1110-5200))),""),"")))))</f>
        <v/>
      </c>
      <c r="Q1110" s="40" t="str">
        <f>IF($Z1110="","",IF($Z1110&lt;=2000,"",IF($Z1110&lt;=4000,IF(N(INDEX(周转筐出入库明细!$H$4:$H$2004,$Z1110-2000))=0,"",N(INDEX(周转筐出入库明细!$H$4:$H$2004,$Z1110-2000))),IF($Z1110&lt;=5200,IF(N(INDEX(客户自备加工筐明细!$F$4:$F$1203,$Z1110-4000))=0,"",N(INDEX(客户自备加工筐明细!$F$4:$F$1203,$Z1110-4000))),IF($Z1110&lt;=5800,"","")))))</f>
        <v/>
      </c>
      <c r="R1110" s="16" t="str">
        <f>IF($Z1110="","",IF($Z1110&lt;=2000,IF(INDEX(包装物料出入库明细!$O$4:$O$2003,$Z1110-0)=0,"",INDEX(包装物料出入库明细!$O$4:$O$2003,$Z1110-0)),IF($Z1110&lt;=4000,IF(INDEX(周转筐出入库明细!$M$4:$M$2004,$Z1110-2000)=0,"",INDEX(周转筐出入库明细!$M$4:$M$2004,$Z1110-2000)),IF($Z1110&lt;=5200,IF(INDEX(客户自备加工筐明细!$H$4:$H$1203,$Z1110-4000)=0,"",INDEX(客户自备加工筐明细!$H$4:$H$1203,$Z1110-4000)),IF($Z1110&lt;=5800,IF(INDEX(次果筐明细!$H$4:$H$603,$Z1110-5200)=0,"",INDEX(次果筐明细!$H$4:$H$603,$Z1110-5200)),"")))))</f>
        <v/>
      </c>
      <c r="S1110" s="22" t="str">
        <f t="shared" si="53"/>
        <v/>
      </c>
      <c r="Z1110" s="10" t="str">
        <f>IFERROR(MATCH(ROW()-3,_自动清单!$CQ$4:$CQ$5803,0),"")</f>
        <v/>
      </c>
    </row>
    <row r="1111" spans="1:26">
      <c r="A1111" s="24" t="str">
        <f t="shared" si="51"/>
        <v/>
      </c>
      <c r="B1111" s="38" t="str">
        <f>IF($Z1111="","",IF($Z1111&lt;=2000,IF(INDEX(包装物料出入库明细!$B$4:$B$2003,$Z1111-0)=0,"",INDEX(包装物料出入库明细!$B$4:$B$2003,$Z1111-0)),IF($Z1111&lt;=4000,IF(INDEX(周转筐出入库明细!$B$4:$B$2004,$Z1111-2000)=0,"",INDEX(周转筐出入库明细!$B$4:$B$2004,$Z1111-2000)),IF($Z1111&lt;=5200,IF(INDEX(客户自备加工筐明细!$B$4:$B$1203,$Z1111-4000)=0,"",INDEX(客户自备加工筐明细!$B$4:$B$1203,$Z1111-4000)),IF($Z1111&lt;=5800,IF(INDEX(次果筐明细!$B$4:$B$603,$Z1111-5200)=0,"",INDEX(次果筐明细!$B$4:$B$603,$Z1111-5200)),"")))))</f>
        <v/>
      </c>
      <c r="C1111" s="37" t="str">
        <f>IF($Z1111="","",IF($Z1111&lt;=2000,IF(INDEX(包装物料出入库明细!$D$4:$D$2003,$Z1111-0)=0,"",INDEX(包装物料出入库明细!$D$4:$D$2003,$Z1111-0)),IF($Z1111&lt;=4000,IF(INDEX(周转筐出入库明细!$C$4:$C$2004,$Z1111-2000)=0,"",INDEX(周转筐出入库明细!$C$4:$C$2004,$Z1111-2000)),IF($Z1111&lt;=5200,IF(INDEX(客户自备加工筐明细!$E$4:$E$1203,$Z1111-4000)=0,"",INDEX(客户自备加工筐明细!$E$4:$E$1203,$Z1111-4000)),IF($Z1111&lt;=5800,IF(INDEX(次果筐明细!$C$4:$C$603,$Z1111-5200)=0,"",INDEX(次果筐明细!$C$4:$C$603,$Z1111-5200)),"")))))</f>
        <v/>
      </c>
      <c r="D1111" s="37" t="str">
        <f>IF($Z1111="","",IF($Z1111&lt;=2000,"包装物料－"&amp;INDEX(包装物料出入库明细!$H$4:$H$2003,$Z1111-0),IF($Z1111&lt;=4000,"周转筐－"&amp;INDEX(周转筐出入库明细!$F$4:$F$2004,$Z1111-2000),IF($Z1111&lt;=5200,"客户自备筐－"&amp;INDEX(客户自备加工筐明细!$J$4:$J$1203,$Z1111-4000),IF($Z1111&lt;=5800,"次果筐/托盘－"&amp;INDEX(次果筐明细!$F$4:$F$603,$Z1111-5200),"")))))</f>
        <v/>
      </c>
      <c r="E1111" s="24" t="str">
        <f>IF($Z1111="","",IF($Z1111&lt;=2000,IF(INDEX(包装物料出入库明细!$C$4:$C$2003,$Z1111-0)=0,"",INDEX(包装物料出入库明细!$C$4:$C$2003,$Z1111-0)),IF($Z1111&lt;=4000,IF(INDEX(周转筐出入库明细!$E$4:$E$2004,$Z1111-2000)=0,"",INDEX(周转筐出入库明细!$E$4:$E$2004,$Z1111-2000)),IF($Z1111&lt;=5200,IF(INDEX(客户自备加工筐明细!$D$4:$D$1203,$Z1111-4000)=0,"",INDEX(客户自备加工筐明细!$D$4:$D$1203,$Z1111-4000)),IF($Z1111&lt;=5800,IF(INDEX(次果筐明细!$E$4:$E$603,$Z1111-5200)=0,"",INDEX(次果筐明细!$E$4:$E$603,$Z1111-5200)),"")))))</f>
        <v/>
      </c>
      <c r="F1111" s="24" t="str">
        <f>IF($Z1111="","",IF($Z1111&lt;=2000,IF(INDEX(包装物料出入库明细!$E$4:$E$2003,$Z1111-0)=0,"",INDEX(包装物料出入库明细!$E$4:$E$2003,$Z1111-0)),IF($Z1111&lt;=4000,IF(INDEX(周转筐出入库明细!$D$4:$D$2004,$Z1111-2000)=0,"",INDEX(周转筐出入库明细!$D$4:$D$2004,$Z1111-2000)),IF($Z1111&lt;=5200,IF(INDEX(客户自备加工筐明细!$C$4:$C$1203,$Z1111-4000)=0,"",INDEX(客户自备加工筐明细!$C$4:$C$1203,$Z1111-4000)),IF($Z1111&lt;=5800,IF(INDEX(次果筐明细!$D$4:$D$603,$Z1111-5200)=0,"",INDEX(次果筐明细!$D$4:$D$603,$Z1111-5200)),"")))))</f>
        <v/>
      </c>
      <c r="G1111" s="24" t="str">
        <f>IF($Z1111="","",IF($Z1111&lt;=2000,IF(INDEX(包装物料出入库明细!$F$4:$F$2003,$Z1111-0)=0,"",INDEX(包装物料出入库明细!$F$4:$F$2003,$Z1111-0)),IF($Z1111&lt;=4000,"",IF($Z1111&lt;=5200,"",IF($Z1111&lt;=5800,"","")))))</f>
        <v/>
      </c>
      <c r="H1111" s="39" t="str">
        <f>IF($Z1111="","",IF($Z1111&lt;=2000,IF(INDEX(包装物料出入库明细!$L$4:$L$2003,$Z1111-0)=0,"",INDEX(包装物料出入库明细!$L$4:$L$2003,$Z1111-0)),IF($Z1111&lt;=4000,N(INDEX(周转筐出入库明细!$H$4:$H$2004,$Z1111-2000))+N(INDEX(周转筐出入库明细!$I$4:$I$2004,$Z1111-2000))+N(INDEX(周转筐出入库明细!$J$4:$J$2004,$Z1111-2000))+N(INDEX(周转筐出入库明细!$K$4:$K$2004,$Z1111-2000)),IF($Z1111&lt;=5200,N(INDEX(客户自备加工筐明细!$F$4:$F$1203,$Z1111-4000))+N(INDEX(客户自备加工筐明细!$G$4:$G$1203,$Z1111-4000)),IF($Z1111&lt;=5800,IF(INDEX(次果筐明细!$G$4:$G$603,$Z1111-5200)=0,"",INDEX(次果筐明细!$G$4:$G$603,$Z1111-5200)),"")))))</f>
        <v/>
      </c>
      <c r="I1111" s="24" t="str">
        <f>IF($Z1111="","",IF($Z1111&lt;=2000,IF(INDEX(包装物料出入库明细!$G$4:$G$2003,$Z1111-0)=0,"",INDEX(包装物料出入库明细!$G$4:$G$2003,$Z1111-0)),IF($Z1111&lt;=4000,"个",IF($Z1111&lt;=5200,"个",IF($Z1111&lt;=5800,"个","")))))</f>
        <v/>
      </c>
      <c r="J1111" s="30" t="str">
        <f t="shared" si="52"/>
        <v/>
      </c>
      <c r="K1111" s="30" t="str">
        <f>IF($Z1111="","",IF($Z1111&lt;=2000,IF(INDEX(包装物料出入库明细!$N$4:$N$2003,$Z1111-0)=0,"",INDEX(包装物料出入库明细!$N$4:$N$2003,$Z1111-0)),IF($Z1111&lt;=4000,IF(INDEX(周转筐出入库明细!$P$4:$P$2004,$Z1111-2000)=0,"",INDEX(周转筐出入库明细!$P$4:$P$2004,$Z1111-2000)),IF($Z1111&lt;=5200,"",IF($Z1111&lt;=5800,N(INDEX(次果筐明细!$L$4:$L$603,$Z1111-5200))+N(INDEX(次果筐明细!$J$4:$J$603,$Z1111-5200)),"")))))</f>
        <v/>
      </c>
      <c r="L1111" s="24" t="str">
        <f>IF($Z1111="","",IF($Z1111&lt;=2000,IF(INDEX(包装物料出入库明细!$P$4:$P$2003,$Z1111-0)=0,"",INDEX(包装物料出入库明细!$P$4:$P$2003,$Z1111-0)),IF($Z1111&lt;=4000,IF(INDEX(周转筐出入库明细!$Q$4:$Q$2004,$Z1111-2000)=0,"",INDEX(周转筐出入库明细!$Q$4:$Q$2004,$Z1111-2000)),IF($Z1111&lt;=5200,"",IF($Z1111&lt;=5800,IF(INDEX(次果筐明细!$M$4:$M$603,$Z1111-5200)=0,"",INDEX(次果筐明细!$M$4:$M$603,$Z1111-5200)),"")))))</f>
        <v/>
      </c>
      <c r="M1111" s="37" t="str">
        <f>IF($Z1111="","",IF($Z1111&lt;=2000,IF(INDEX(包装物料出入库明细!$R$4:$R$2003,$Z1111-0)=0,"",INDEX(包装物料出入库明细!$R$4:$R$2003,$Z1111-0)),IF($Z1111&lt;=4000,IF(INDEX(周转筐出入库明细!$W$4:$W$2004,$Z1111-2000)=0,"",INDEX(周转筐出入库明细!$W$4:$W$2004,$Z1111-2000)),IF($Z1111&lt;=5200,IF(INDEX(客户自备加工筐明细!$L$4:$L$1203,$Z1111-4000)=0,"",INDEX(客户自备加工筐明细!$L$4:$L$1203,$Z1111-4000)),IF($Z1111&lt;=5800,IF(INDEX(次果筐明细!$P$4:$P$603,$Z1111-5200)=0,"",INDEX(次果筐明细!$P$4:$P$603,$Z1111-5200)),"")))))</f>
        <v/>
      </c>
      <c r="N1111" s="16" t="str">
        <f>IF($Z1111="","",IF($Z1111&lt;=2000,"",IF($Z1111&lt;=4000,IF(INDEX(周转筐出入库明细!$D$4:$D$2004,$Z1111-2000)=0,"",INDEX(周转筐出入库明细!$D$4:$D$2004,$Z1111-2000)),IF($Z1111&lt;=5200,IF(INDEX(客户自备加工筐明细!$C$4:$C$1203,$Z1111-4000)=0,"",INDEX(客户自备加工筐明细!$C$4:$C$1203,$Z1111-4000)),IF($Z1111&lt;=5800,IF(INDEX(次果筐明细!$D$4:$D$603,$Z1111-5200)=0,"",INDEX(次果筐明细!$D$4:$D$603,$Z1111-5200)),"")))))</f>
        <v/>
      </c>
      <c r="O1111" s="40" t="str">
        <f>IF($Z1111="","",IF($Z1111&lt;=2000,"",IF($Z1111&lt;=4000,IF(N(INDEX(周转筐出入库明细!$J$4:$J$2004,$Z1111-2000))+N(INDEX(周转筐出入库明细!$K$4:$K$2004,$Z1111-2000))=0,"",N(INDEX(周转筐出入库明细!$J$4:$J$2004,$Z1111-2000))+N(INDEX(周转筐出入库明细!$K$4:$K$2004,$Z1111-2000))),IF($Z1111&lt;=5200,IF(N(INDEX(客户自备加工筐明细!$G$4:$G$1203,$Z1111-4000))=0,"",N(INDEX(客户自备加工筐明细!$G$4:$G$1203,$Z1111-4000))),IF($Z1111&lt;=5800,IF(ISNUMBER(SEARCH("退",INDEX(次果筐明细!$F$4:$F$603,$Z1111-5200)&amp;"")),"",IF(N(INDEX(次果筐明细!$G$4:$G$603,$Z1111-5200))=0,"",N(INDEX(次果筐明细!$G$4:$G$603,$Z1111-5200)))),"")))))</f>
        <v/>
      </c>
      <c r="P1111" s="40" t="str">
        <f>IF($Z1111="","",IF($Z1111&lt;=2000,"",IF($Z1111&lt;=4000,IF(N(INDEX(周转筐出入库明细!$I$4:$I$2004,$Z1111-2000))=0,"",N(INDEX(周转筐出入库明细!$I$4:$I$2004,$Z1111-2000))),IF($Z1111&lt;=5200,"",IF($Z1111&lt;=5800,IF(ISNUMBER(SEARCH("退",INDEX(次果筐明细!$F$4:$F$603,$Z1111-5200)&amp;"")),IF(N(INDEX(次果筐明细!$G$4:$G$603,$Z1111-5200))=0,"",N(INDEX(次果筐明细!$G$4:$G$603,$Z1111-5200))),""),"")))))</f>
        <v/>
      </c>
      <c r="Q1111" s="40" t="str">
        <f>IF($Z1111="","",IF($Z1111&lt;=2000,"",IF($Z1111&lt;=4000,IF(N(INDEX(周转筐出入库明细!$H$4:$H$2004,$Z1111-2000))=0,"",N(INDEX(周转筐出入库明细!$H$4:$H$2004,$Z1111-2000))),IF($Z1111&lt;=5200,IF(N(INDEX(客户自备加工筐明细!$F$4:$F$1203,$Z1111-4000))=0,"",N(INDEX(客户自备加工筐明细!$F$4:$F$1203,$Z1111-4000))),IF($Z1111&lt;=5800,"","")))))</f>
        <v/>
      </c>
      <c r="R1111" s="16" t="str">
        <f>IF($Z1111="","",IF($Z1111&lt;=2000,IF(INDEX(包装物料出入库明细!$O$4:$O$2003,$Z1111-0)=0,"",INDEX(包装物料出入库明细!$O$4:$O$2003,$Z1111-0)),IF($Z1111&lt;=4000,IF(INDEX(周转筐出入库明细!$M$4:$M$2004,$Z1111-2000)=0,"",INDEX(周转筐出入库明细!$M$4:$M$2004,$Z1111-2000)),IF($Z1111&lt;=5200,IF(INDEX(客户自备加工筐明细!$H$4:$H$1203,$Z1111-4000)=0,"",INDEX(客户自备加工筐明细!$H$4:$H$1203,$Z1111-4000)),IF($Z1111&lt;=5800,IF(INDEX(次果筐明细!$H$4:$H$603,$Z1111-5200)=0,"",INDEX(次果筐明细!$H$4:$H$603,$Z1111-5200)),"")))))</f>
        <v/>
      </c>
      <c r="S1111" s="22" t="str">
        <f t="shared" si="53"/>
        <v/>
      </c>
      <c r="Z1111" s="10" t="str">
        <f>IFERROR(MATCH(ROW()-3,_自动清单!$CQ$4:$CQ$5803,0),"")</f>
        <v/>
      </c>
    </row>
    <row r="1112" spans="1:26">
      <c r="A1112" s="24" t="str">
        <f t="shared" si="51"/>
        <v/>
      </c>
      <c r="B1112" s="38" t="str">
        <f>IF($Z1112="","",IF($Z1112&lt;=2000,IF(INDEX(包装物料出入库明细!$B$4:$B$2003,$Z1112-0)=0,"",INDEX(包装物料出入库明细!$B$4:$B$2003,$Z1112-0)),IF($Z1112&lt;=4000,IF(INDEX(周转筐出入库明细!$B$4:$B$2004,$Z1112-2000)=0,"",INDEX(周转筐出入库明细!$B$4:$B$2004,$Z1112-2000)),IF($Z1112&lt;=5200,IF(INDEX(客户自备加工筐明细!$B$4:$B$1203,$Z1112-4000)=0,"",INDEX(客户自备加工筐明细!$B$4:$B$1203,$Z1112-4000)),IF($Z1112&lt;=5800,IF(INDEX(次果筐明细!$B$4:$B$603,$Z1112-5200)=0,"",INDEX(次果筐明细!$B$4:$B$603,$Z1112-5200)),"")))))</f>
        <v/>
      </c>
      <c r="C1112" s="37" t="str">
        <f>IF($Z1112="","",IF($Z1112&lt;=2000,IF(INDEX(包装物料出入库明细!$D$4:$D$2003,$Z1112-0)=0,"",INDEX(包装物料出入库明细!$D$4:$D$2003,$Z1112-0)),IF($Z1112&lt;=4000,IF(INDEX(周转筐出入库明细!$C$4:$C$2004,$Z1112-2000)=0,"",INDEX(周转筐出入库明细!$C$4:$C$2004,$Z1112-2000)),IF($Z1112&lt;=5200,IF(INDEX(客户自备加工筐明细!$E$4:$E$1203,$Z1112-4000)=0,"",INDEX(客户自备加工筐明细!$E$4:$E$1203,$Z1112-4000)),IF($Z1112&lt;=5800,IF(INDEX(次果筐明细!$C$4:$C$603,$Z1112-5200)=0,"",INDEX(次果筐明细!$C$4:$C$603,$Z1112-5200)),"")))))</f>
        <v/>
      </c>
      <c r="D1112" s="37" t="str">
        <f>IF($Z1112="","",IF($Z1112&lt;=2000,"包装物料－"&amp;INDEX(包装物料出入库明细!$H$4:$H$2003,$Z1112-0),IF($Z1112&lt;=4000,"周转筐－"&amp;INDEX(周转筐出入库明细!$F$4:$F$2004,$Z1112-2000),IF($Z1112&lt;=5200,"客户自备筐－"&amp;INDEX(客户自备加工筐明细!$J$4:$J$1203,$Z1112-4000),IF($Z1112&lt;=5800,"次果筐/托盘－"&amp;INDEX(次果筐明细!$F$4:$F$603,$Z1112-5200),"")))))</f>
        <v/>
      </c>
      <c r="E1112" s="24" t="str">
        <f>IF($Z1112="","",IF($Z1112&lt;=2000,IF(INDEX(包装物料出入库明细!$C$4:$C$2003,$Z1112-0)=0,"",INDEX(包装物料出入库明细!$C$4:$C$2003,$Z1112-0)),IF($Z1112&lt;=4000,IF(INDEX(周转筐出入库明细!$E$4:$E$2004,$Z1112-2000)=0,"",INDEX(周转筐出入库明细!$E$4:$E$2004,$Z1112-2000)),IF($Z1112&lt;=5200,IF(INDEX(客户自备加工筐明细!$D$4:$D$1203,$Z1112-4000)=0,"",INDEX(客户自备加工筐明细!$D$4:$D$1203,$Z1112-4000)),IF($Z1112&lt;=5800,IF(INDEX(次果筐明细!$E$4:$E$603,$Z1112-5200)=0,"",INDEX(次果筐明细!$E$4:$E$603,$Z1112-5200)),"")))))</f>
        <v/>
      </c>
      <c r="F1112" s="24" t="str">
        <f>IF($Z1112="","",IF($Z1112&lt;=2000,IF(INDEX(包装物料出入库明细!$E$4:$E$2003,$Z1112-0)=0,"",INDEX(包装物料出入库明细!$E$4:$E$2003,$Z1112-0)),IF($Z1112&lt;=4000,IF(INDEX(周转筐出入库明细!$D$4:$D$2004,$Z1112-2000)=0,"",INDEX(周转筐出入库明细!$D$4:$D$2004,$Z1112-2000)),IF($Z1112&lt;=5200,IF(INDEX(客户自备加工筐明细!$C$4:$C$1203,$Z1112-4000)=0,"",INDEX(客户自备加工筐明细!$C$4:$C$1203,$Z1112-4000)),IF($Z1112&lt;=5800,IF(INDEX(次果筐明细!$D$4:$D$603,$Z1112-5200)=0,"",INDEX(次果筐明细!$D$4:$D$603,$Z1112-5200)),"")))))</f>
        <v/>
      </c>
      <c r="G1112" s="24" t="str">
        <f>IF($Z1112="","",IF($Z1112&lt;=2000,IF(INDEX(包装物料出入库明细!$F$4:$F$2003,$Z1112-0)=0,"",INDEX(包装物料出入库明细!$F$4:$F$2003,$Z1112-0)),IF($Z1112&lt;=4000,"",IF($Z1112&lt;=5200,"",IF($Z1112&lt;=5800,"","")))))</f>
        <v/>
      </c>
      <c r="H1112" s="39" t="str">
        <f>IF($Z1112="","",IF($Z1112&lt;=2000,IF(INDEX(包装物料出入库明细!$L$4:$L$2003,$Z1112-0)=0,"",INDEX(包装物料出入库明细!$L$4:$L$2003,$Z1112-0)),IF($Z1112&lt;=4000,N(INDEX(周转筐出入库明细!$H$4:$H$2004,$Z1112-2000))+N(INDEX(周转筐出入库明细!$I$4:$I$2004,$Z1112-2000))+N(INDEX(周转筐出入库明细!$J$4:$J$2004,$Z1112-2000))+N(INDEX(周转筐出入库明细!$K$4:$K$2004,$Z1112-2000)),IF($Z1112&lt;=5200,N(INDEX(客户自备加工筐明细!$F$4:$F$1203,$Z1112-4000))+N(INDEX(客户自备加工筐明细!$G$4:$G$1203,$Z1112-4000)),IF($Z1112&lt;=5800,IF(INDEX(次果筐明细!$G$4:$G$603,$Z1112-5200)=0,"",INDEX(次果筐明细!$G$4:$G$603,$Z1112-5200)),"")))))</f>
        <v/>
      </c>
      <c r="I1112" s="24" t="str">
        <f>IF($Z1112="","",IF($Z1112&lt;=2000,IF(INDEX(包装物料出入库明细!$G$4:$G$2003,$Z1112-0)=0,"",INDEX(包装物料出入库明细!$G$4:$G$2003,$Z1112-0)),IF($Z1112&lt;=4000,"个",IF($Z1112&lt;=5200,"个",IF($Z1112&lt;=5800,"个","")))))</f>
        <v/>
      </c>
      <c r="J1112" s="30" t="str">
        <f t="shared" si="52"/>
        <v/>
      </c>
      <c r="K1112" s="30" t="str">
        <f>IF($Z1112="","",IF($Z1112&lt;=2000,IF(INDEX(包装物料出入库明细!$N$4:$N$2003,$Z1112-0)=0,"",INDEX(包装物料出入库明细!$N$4:$N$2003,$Z1112-0)),IF($Z1112&lt;=4000,IF(INDEX(周转筐出入库明细!$P$4:$P$2004,$Z1112-2000)=0,"",INDEX(周转筐出入库明细!$P$4:$P$2004,$Z1112-2000)),IF($Z1112&lt;=5200,"",IF($Z1112&lt;=5800,N(INDEX(次果筐明细!$L$4:$L$603,$Z1112-5200))+N(INDEX(次果筐明细!$J$4:$J$603,$Z1112-5200)),"")))))</f>
        <v/>
      </c>
      <c r="L1112" s="24" t="str">
        <f>IF($Z1112="","",IF($Z1112&lt;=2000,IF(INDEX(包装物料出入库明细!$P$4:$P$2003,$Z1112-0)=0,"",INDEX(包装物料出入库明细!$P$4:$P$2003,$Z1112-0)),IF($Z1112&lt;=4000,IF(INDEX(周转筐出入库明细!$Q$4:$Q$2004,$Z1112-2000)=0,"",INDEX(周转筐出入库明细!$Q$4:$Q$2004,$Z1112-2000)),IF($Z1112&lt;=5200,"",IF($Z1112&lt;=5800,IF(INDEX(次果筐明细!$M$4:$M$603,$Z1112-5200)=0,"",INDEX(次果筐明细!$M$4:$M$603,$Z1112-5200)),"")))))</f>
        <v/>
      </c>
      <c r="M1112" s="37" t="str">
        <f>IF($Z1112="","",IF($Z1112&lt;=2000,IF(INDEX(包装物料出入库明细!$R$4:$R$2003,$Z1112-0)=0,"",INDEX(包装物料出入库明细!$R$4:$R$2003,$Z1112-0)),IF($Z1112&lt;=4000,IF(INDEX(周转筐出入库明细!$W$4:$W$2004,$Z1112-2000)=0,"",INDEX(周转筐出入库明细!$W$4:$W$2004,$Z1112-2000)),IF($Z1112&lt;=5200,IF(INDEX(客户自备加工筐明细!$L$4:$L$1203,$Z1112-4000)=0,"",INDEX(客户自备加工筐明细!$L$4:$L$1203,$Z1112-4000)),IF($Z1112&lt;=5800,IF(INDEX(次果筐明细!$P$4:$P$603,$Z1112-5200)=0,"",INDEX(次果筐明细!$P$4:$P$603,$Z1112-5200)),"")))))</f>
        <v/>
      </c>
      <c r="N1112" s="16" t="str">
        <f>IF($Z1112="","",IF($Z1112&lt;=2000,"",IF($Z1112&lt;=4000,IF(INDEX(周转筐出入库明细!$D$4:$D$2004,$Z1112-2000)=0,"",INDEX(周转筐出入库明细!$D$4:$D$2004,$Z1112-2000)),IF($Z1112&lt;=5200,IF(INDEX(客户自备加工筐明细!$C$4:$C$1203,$Z1112-4000)=0,"",INDEX(客户自备加工筐明细!$C$4:$C$1203,$Z1112-4000)),IF($Z1112&lt;=5800,IF(INDEX(次果筐明细!$D$4:$D$603,$Z1112-5200)=0,"",INDEX(次果筐明细!$D$4:$D$603,$Z1112-5200)),"")))))</f>
        <v/>
      </c>
      <c r="O1112" s="40" t="str">
        <f>IF($Z1112="","",IF($Z1112&lt;=2000,"",IF($Z1112&lt;=4000,IF(N(INDEX(周转筐出入库明细!$J$4:$J$2004,$Z1112-2000))+N(INDEX(周转筐出入库明细!$K$4:$K$2004,$Z1112-2000))=0,"",N(INDEX(周转筐出入库明细!$J$4:$J$2004,$Z1112-2000))+N(INDEX(周转筐出入库明细!$K$4:$K$2004,$Z1112-2000))),IF($Z1112&lt;=5200,IF(N(INDEX(客户自备加工筐明细!$G$4:$G$1203,$Z1112-4000))=0,"",N(INDEX(客户自备加工筐明细!$G$4:$G$1203,$Z1112-4000))),IF($Z1112&lt;=5800,IF(ISNUMBER(SEARCH("退",INDEX(次果筐明细!$F$4:$F$603,$Z1112-5200)&amp;"")),"",IF(N(INDEX(次果筐明细!$G$4:$G$603,$Z1112-5200))=0,"",N(INDEX(次果筐明细!$G$4:$G$603,$Z1112-5200)))),"")))))</f>
        <v/>
      </c>
      <c r="P1112" s="40" t="str">
        <f>IF($Z1112="","",IF($Z1112&lt;=2000,"",IF($Z1112&lt;=4000,IF(N(INDEX(周转筐出入库明细!$I$4:$I$2004,$Z1112-2000))=0,"",N(INDEX(周转筐出入库明细!$I$4:$I$2004,$Z1112-2000))),IF($Z1112&lt;=5200,"",IF($Z1112&lt;=5800,IF(ISNUMBER(SEARCH("退",INDEX(次果筐明细!$F$4:$F$603,$Z1112-5200)&amp;"")),IF(N(INDEX(次果筐明细!$G$4:$G$603,$Z1112-5200))=0,"",N(INDEX(次果筐明细!$G$4:$G$603,$Z1112-5200))),""),"")))))</f>
        <v/>
      </c>
      <c r="Q1112" s="40" t="str">
        <f>IF($Z1112="","",IF($Z1112&lt;=2000,"",IF($Z1112&lt;=4000,IF(N(INDEX(周转筐出入库明细!$H$4:$H$2004,$Z1112-2000))=0,"",N(INDEX(周转筐出入库明细!$H$4:$H$2004,$Z1112-2000))),IF($Z1112&lt;=5200,IF(N(INDEX(客户自备加工筐明细!$F$4:$F$1203,$Z1112-4000))=0,"",N(INDEX(客户自备加工筐明细!$F$4:$F$1203,$Z1112-4000))),IF($Z1112&lt;=5800,"","")))))</f>
        <v/>
      </c>
      <c r="R1112" s="16" t="str">
        <f>IF($Z1112="","",IF($Z1112&lt;=2000,IF(INDEX(包装物料出入库明细!$O$4:$O$2003,$Z1112-0)=0,"",INDEX(包装物料出入库明细!$O$4:$O$2003,$Z1112-0)),IF($Z1112&lt;=4000,IF(INDEX(周转筐出入库明细!$M$4:$M$2004,$Z1112-2000)=0,"",INDEX(周转筐出入库明细!$M$4:$M$2004,$Z1112-2000)),IF($Z1112&lt;=5200,IF(INDEX(客户自备加工筐明细!$H$4:$H$1203,$Z1112-4000)=0,"",INDEX(客户自备加工筐明细!$H$4:$H$1203,$Z1112-4000)),IF($Z1112&lt;=5800,IF(INDEX(次果筐明细!$H$4:$H$603,$Z1112-5200)=0,"",INDEX(次果筐明细!$H$4:$H$603,$Z1112-5200)),"")))))</f>
        <v/>
      </c>
      <c r="S1112" s="22" t="str">
        <f t="shared" si="53"/>
        <v/>
      </c>
      <c r="Z1112" s="10" t="str">
        <f>IFERROR(MATCH(ROW()-3,_自动清单!$CQ$4:$CQ$5803,0),"")</f>
        <v/>
      </c>
    </row>
    <row r="1113" spans="1:26">
      <c r="A1113" s="24" t="str">
        <f t="shared" si="51"/>
        <v/>
      </c>
      <c r="B1113" s="38" t="str">
        <f>IF($Z1113="","",IF($Z1113&lt;=2000,IF(INDEX(包装物料出入库明细!$B$4:$B$2003,$Z1113-0)=0,"",INDEX(包装物料出入库明细!$B$4:$B$2003,$Z1113-0)),IF($Z1113&lt;=4000,IF(INDEX(周转筐出入库明细!$B$4:$B$2004,$Z1113-2000)=0,"",INDEX(周转筐出入库明细!$B$4:$B$2004,$Z1113-2000)),IF($Z1113&lt;=5200,IF(INDEX(客户自备加工筐明细!$B$4:$B$1203,$Z1113-4000)=0,"",INDEX(客户自备加工筐明细!$B$4:$B$1203,$Z1113-4000)),IF($Z1113&lt;=5800,IF(INDEX(次果筐明细!$B$4:$B$603,$Z1113-5200)=0,"",INDEX(次果筐明细!$B$4:$B$603,$Z1113-5200)),"")))))</f>
        <v/>
      </c>
      <c r="C1113" s="37" t="str">
        <f>IF($Z1113="","",IF($Z1113&lt;=2000,IF(INDEX(包装物料出入库明细!$D$4:$D$2003,$Z1113-0)=0,"",INDEX(包装物料出入库明细!$D$4:$D$2003,$Z1113-0)),IF($Z1113&lt;=4000,IF(INDEX(周转筐出入库明细!$C$4:$C$2004,$Z1113-2000)=0,"",INDEX(周转筐出入库明细!$C$4:$C$2004,$Z1113-2000)),IF($Z1113&lt;=5200,IF(INDEX(客户自备加工筐明细!$E$4:$E$1203,$Z1113-4000)=0,"",INDEX(客户自备加工筐明细!$E$4:$E$1203,$Z1113-4000)),IF($Z1113&lt;=5800,IF(INDEX(次果筐明细!$C$4:$C$603,$Z1113-5200)=0,"",INDEX(次果筐明细!$C$4:$C$603,$Z1113-5200)),"")))))</f>
        <v/>
      </c>
      <c r="D1113" s="37" t="str">
        <f>IF($Z1113="","",IF($Z1113&lt;=2000,"包装物料－"&amp;INDEX(包装物料出入库明细!$H$4:$H$2003,$Z1113-0),IF($Z1113&lt;=4000,"周转筐－"&amp;INDEX(周转筐出入库明细!$F$4:$F$2004,$Z1113-2000),IF($Z1113&lt;=5200,"客户自备筐－"&amp;INDEX(客户自备加工筐明细!$J$4:$J$1203,$Z1113-4000),IF($Z1113&lt;=5800,"次果筐/托盘－"&amp;INDEX(次果筐明细!$F$4:$F$603,$Z1113-5200),"")))))</f>
        <v/>
      </c>
      <c r="E1113" s="24" t="str">
        <f>IF($Z1113="","",IF($Z1113&lt;=2000,IF(INDEX(包装物料出入库明细!$C$4:$C$2003,$Z1113-0)=0,"",INDEX(包装物料出入库明细!$C$4:$C$2003,$Z1113-0)),IF($Z1113&lt;=4000,IF(INDEX(周转筐出入库明细!$E$4:$E$2004,$Z1113-2000)=0,"",INDEX(周转筐出入库明细!$E$4:$E$2004,$Z1113-2000)),IF($Z1113&lt;=5200,IF(INDEX(客户自备加工筐明细!$D$4:$D$1203,$Z1113-4000)=0,"",INDEX(客户自备加工筐明细!$D$4:$D$1203,$Z1113-4000)),IF($Z1113&lt;=5800,IF(INDEX(次果筐明细!$E$4:$E$603,$Z1113-5200)=0,"",INDEX(次果筐明细!$E$4:$E$603,$Z1113-5200)),"")))))</f>
        <v/>
      </c>
      <c r="F1113" s="24" t="str">
        <f>IF($Z1113="","",IF($Z1113&lt;=2000,IF(INDEX(包装物料出入库明细!$E$4:$E$2003,$Z1113-0)=0,"",INDEX(包装物料出入库明细!$E$4:$E$2003,$Z1113-0)),IF($Z1113&lt;=4000,IF(INDEX(周转筐出入库明细!$D$4:$D$2004,$Z1113-2000)=0,"",INDEX(周转筐出入库明细!$D$4:$D$2004,$Z1113-2000)),IF($Z1113&lt;=5200,IF(INDEX(客户自备加工筐明细!$C$4:$C$1203,$Z1113-4000)=0,"",INDEX(客户自备加工筐明细!$C$4:$C$1203,$Z1113-4000)),IF($Z1113&lt;=5800,IF(INDEX(次果筐明细!$D$4:$D$603,$Z1113-5200)=0,"",INDEX(次果筐明细!$D$4:$D$603,$Z1113-5200)),"")))))</f>
        <v/>
      </c>
      <c r="G1113" s="24" t="str">
        <f>IF($Z1113="","",IF($Z1113&lt;=2000,IF(INDEX(包装物料出入库明细!$F$4:$F$2003,$Z1113-0)=0,"",INDEX(包装物料出入库明细!$F$4:$F$2003,$Z1113-0)),IF($Z1113&lt;=4000,"",IF($Z1113&lt;=5200,"",IF($Z1113&lt;=5800,"","")))))</f>
        <v/>
      </c>
      <c r="H1113" s="39" t="str">
        <f>IF($Z1113="","",IF($Z1113&lt;=2000,IF(INDEX(包装物料出入库明细!$L$4:$L$2003,$Z1113-0)=0,"",INDEX(包装物料出入库明细!$L$4:$L$2003,$Z1113-0)),IF($Z1113&lt;=4000,N(INDEX(周转筐出入库明细!$H$4:$H$2004,$Z1113-2000))+N(INDEX(周转筐出入库明细!$I$4:$I$2004,$Z1113-2000))+N(INDEX(周转筐出入库明细!$J$4:$J$2004,$Z1113-2000))+N(INDEX(周转筐出入库明细!$K$4:$K$2004,$Z1113-2000)),IF($Z1113&lt;=5200,N(INDEX(客户自备加工筐明细!$F$4:$F$1203,$Z1113-4000))+N(INDEX(客户自备加工筐明细!$G$4:$G$1203,$Z1113-4000)),IF($Z1113&lt;=5800,IF(INDEX(次果筐明细!$G$4:$G$603,$Z1113-5200)=0,"",INDEX(次果筐明细!$G$4:$G$603,$Z1113-5200)),"")))))</f>
        <v/>
      </c>
      <c r="I1113" s="24" t="str">
        <f>IF($Z1113="","",IF($Z1113&lt;=2000,IF(INDEX(包装物料出入库明细!$G$4:$G$2003,$Z1113-0)=0,"",INDEX(包装物料出入库明细!$G$4:$G$2003,$Z1113-0)),IF($Z1113&lt;=4000,"个",IF($Z1113&lt;=5200,"个",IF($Z1113&lt;=5800,"个","")))))</f>
        <v/>
      </c>
      <c r="J1113" s="30" t="str">
        <f t="shared" si="52"/>
        <v/>
      </c>
      <c r="K1113" s="30" t="str">
        <f>IF($Z1113="","",IF($Z1113&lt;=2000,IF(INDEX(包装物料出入库明细!$N$4:$N$2003,$Z1113-0)=0,"",INDEX(包装物料出入库明细!$N$4:$N$2003,$Z1113-0)),IF($Z1113&lt;=4000,IF(INDEX(周转筐出入库明细!$P$4:$P$2004,$Z1113-2000)=0,"",INDEX(周转筐出入库明细!$P$4:$P$2004,$Z1113-2000)),IF($Z1113&lt;=5200,"",IF($Z1113&lt;=5800,N(INDEX(次果筐明细!$L$4:$L$603,$Z1113-5200))+N(INDEX(次果筐明细!$J$4:$J$603,$Z1113-5200)),"")))))</f>
        <v/>
      </c>
      <c r="L1113" s="24" t="str">
        <f>IF($Z1113="","",IF($Z1113&lt;=2000,IF(INDEX(包装物料出入库明细!$P$4:$P$2003,$Z1113-0)=0,"",INDEX(包装物料出入库明细!$P$4:$P$2003,$Z1113-0)),IF($Z1113&lt;=4000,IF(INDEX(周转筐出入库明细!$Q$4:$Q$2004,$Z1113-2000)=0,"",INDEX(周转筐出入库明细!$Q$4:$Q$2004,$Z1113-2000)),IF($Z1113&lt;=5200,"",IF($Z1113&lt;=5800,IF(INDEX(次果筐明细!$M$4:$M$603,$Z1113-5200)=0,"",INDEX(次果筐明细!$M$4:$M$603,$Z1113-5200)),"")))))</f>
        <v/>
      </c>
      <c r="M1113" s="37" t="str">
        <f>IF($Z1113="","",IF($Z1113&lt;=2000,IF(INDEX(包装物料出入库明细!$R$4:$R$2003,$Z1113-0)=0,"",INDEX(包装物料出入库明细!$R$4:$R$2003,$Z1113-0)),IF($Z1113&lt;=4000,IF(INDEX(周转筐出入库明细!$W$4:$W$2004,$Z1113-2000)=0,"",INDEX(周转筐出入库明细!$W$4:$W$2004,$Z1113-2000)),IF($Z1113&lt;=5200,IF(INDEX(客户自备加工筐明细!$L$4:$L$1203,$Z1113-4000)=0,"",INDEX(客户自备加工筐明细!$L$4:$L$1203,$Z1113-4000)),IF($Z1113&lt;=5800,IF(INDEX(次果筐明细!$P$4:$P$603,$Z1113-5200)=0,"",INDEX(次果筐明细!$P$4:$P$603,$Z1113-5200)),"")))))</f>
        <v/>
      </c>
      <c r="N1113" s="16" t="str">
        <f>IF($Z1113="","",IF($Z1113&lt;=2000,"",IF($Z1113&lt;=4000,IF(INDEX(周转筐出入库明细!$D$4:$D$2004,$Z1113-2000)=0,"",INDEX(周转筐出入库明细!$D$4:$D$2004,$Z1113-2000)),IF($Z1113&lt;=5200,IF(INDEX(客户自备加工筐明细!$C$4:$C$1203,$Z1113-4000)=0,"",INDEX(客户自备加工筐明细!$C$4:$C$1203,$Z1113-4000)),IF($Z1113&lt;=5800,IF(INDEX(次果筐明细!$D$4:$D$603,$Z1113-5200)=0,"",INDEX(次果筐明细!$D$4:$D$603,$Z1113-5200)),"")))))</f>
        <v/>
      </c>
      <c r="O1113" s="40" t="str">
        <f>IF($Z1113="","",IF($Z1113&lt;=2000,"",IF($Z1113&lt;=4000,IF(N(INDEX(周转筐出入库明细!$J$4:$J$2004,$Z1113-2000))+N(INDEX(周转筐出入库明细!$K$4:$K$2004,$Z1113-2000))=0,"",N(INDEX(周转筐出入库明细!$J$4:$J$2004,$Z1113-2000))+N(INDEX(周转筐出入库明细!$K$4:$K$2004,$Z1113-2000))),IF($Z1113&lt;=5200,IF(N(INDEX(客户自备加工筐明细!$G$4:$G$1203,$Z1113-4000))=0,"",N(INDEX(客户自备加工筐明细!$G$4:$G$1203,$Z1113-4000))),IF($Z1113&lt;=5800,IF(ISNUMBER(SEARCH("退",INDEX(次果筐明细!$F$4:$F$603,$Z1113-5200)&amp;"")),"",IF(N(INDEX(次果筐明细!$G$4:$G$603,$Z1113-5200))=0,"",N(INDEX(次果筐明细!$G$4:$G$603,$Z1113-5200)))),"")))))</f>
        <v/>
      </c>
      <c r="P1113" s="40" t="str">
        <f>IF($Z1113="","",IF($Z1113&lt;=2000,"",IF($Z1113&lt;=4000,IF(N(INDEX(周转筐出入库明细!$I$4:$I$2004,$Z1113-2000))=0,"",N(INDEX(周转筐出入库明细!$I$4:$I$2004,$Z1113-2000))),IF($Z1113&lt;=5200,"",IF($Z1113&lt;=5800,IF(ISNUMBER(SEARCH("退",INDEX(次果筐明细!$F$4:$F$603,$Z1113-5200)&amp;"")),IF(N(INDEX(次果筐明细!$G$4:$G$603,$Z1113-5200))=0,"",N(INDEX(次果筐明细!$G$4:$G$603,$Z1113-5200))),""),"")))))</f>
        <v/>
      </c>
      <c r="Q1113" s="40" t="str">
        <f>IF($Z1113="","",IF($Z1113&lt;=2000,"",IF($Z1113&lt;=4000,IF(N(INDEX(周转筐出入库明细!$H$4:$H$2004,$Z1113-2000))=0,"",N(INDEX(周转筐出入库明细!$H$4:$H$2004,$Z1113-2000))),IF($Z1113&lt;=5200,IF(N(INDEX(客户自备加工筐明细!$F$4:$F$1203,$Z1113-4000))=0,"",N(INDEX(客户自备加工筐明细!$F$4:$F$1203,$Z1113-4000))),IF($Z1113&lt;=5800,"","")))))</f>
        <v/>
      </c>
      <c r="R1113" s="16" t="str">
        <f>IF($Z1113="","",IF($Z1113&lt;=2000,IF(INDEX(包装物料出入库明细!$O$4:$O$2003,$Z1113-0)=0,"",INDEX(包装物料出入库明细!$O$4:$O$2003,$Z1113-0)),IF($Z1113&lt;=4000,IF(INDEX(周转筐出入库明细!$M$4:$M$2004,$Z1113-2000)=0,"",INDEX(周转筐出入库明细!$M$4:$M$2004,$Z1113-2000)),IF($Z1113&lt;=5200,IF(INDEX(客户自备加工筐明细!$H$4:$H$1203,$Z1113-4000)=0,"",INDEX(客户自备加工筐明细!$H$4:$H$1203,$Z1113-4000)),IF($Z1113&lt;=5800,IF(INDEX(次果筐明细!$H$4:$H$603,$Z1113-5200)=0,"",INDEX(次果筐明细!$H$4:$H$603,$Z1113-5200)),"")))))</f>
        <v/>
      </c>
      <c r="S1113" s="22" t="str">
        <f t="shared" si="53"/>
        <v/>
      </c>
      <c r="Z1113" s="10" t="str">
        <f>IFERROR(MATCH(ROW()-3,_自动清单!$CQ$4:$CQ$5803,0),"")</f>
        <v/>
      </c>
    </row>
    <row r="1114" spans="1:26">
      <c r="A1114" s="24" t="str">
        <f t="shared" si="51"/>
        <v/>
      </c>
      <c r="B1114" s="38" t="str">
        <f>IF($Z1114="","",IF($Z1114&lt;=2000,IF(INDEX(包装物料出入库明细!$B$4:$B$2003,$Z1114-0)=0,"",INDEX(包装物料出入库明细!$B$4:$B$2003,$Z1114-0)),IF($Z1114&lt;=4000,IF(INDEX(周转筐出入库明细!$B$4:$B$2004,$Z1114-2000)=0,"",INDEX(周转筐出入库明细!$B$4:$B$2004,$Z1114-2000)),IF($Z1114&lt;=5200,IF(INDEX(客户自备加工筐明细!$B$4:$B$1203,$Z1114-4000)=0,"",INDEX(客户自备加工筐明细!$B$4:$B$1203,$Z1114-4000)),IF($Z1114&lt;=5800,IF(INDEX(次果筐明细!$B$4:$B$603,$Z1114-5200)=0,"",INDEX(次果筐明细!$B$4:$B$603,$Z1114-5200)),"")))))</f>
        <v/>
      </c>
      <c r="C1114" s="37" t="str">
        <f>IF($Z1114="","",IF($Z1114&lt;=2000,IF(INDEX(包装物料出入库明细!$D$4:$D$2003,$Z1114-0)=0,"",INDEX(包装物料出入库明细!$D$4:$D$2003,$Z1114-0)),IF($Z1114&lt;=4000,IF(INDEX(周转筐出入库明细!$C$4:$C$2004,$Z1114-2000)=0,"",INDEX(周转筐出入库明细!$C$4:$C$2004,$Z1114-2000)),IF($Z1114&lt;=5200,IF(INDEX(客户自备加工筐明细!$E$4:$E$1203,$Z1114-4000)=0,"",INDEX(客户自备加工筐明细!$E$4:$E$1203,$Z1114-4000)),IF($Z1114&lt;=5800,IF(INDEX(次果筐明细!$C$4:$C$603,$Z1114-5200)=0,"",INDEX(次果筐明细!$C$4:$C$603,$Z1114-5200)),"")))))</f>
        <v/>
      </c>
      <c r="D1114" s="37" t="str">
        <f>IF($Z1114="","",IF($Z1114&lt;=2000,"包装物料－"&amp;INDEX(包装物料出入库明细!$H$4:$H$2003,$Z1114-0),IF($Z1114&lt;=4000,"周转筐－"&amp;INDEX(周转筐出入库明细!$F$4:$F$2004,$Z1114-2000),IF($Z1114&lt;=5200,"客户自备筐－"&amp;INDEX(客户自备加工筐明细!$J$4:$J$1203,$Z1114-4000),IF($Z1114&lt;=5800,"次果筐/托盘－"&amp;INDEX(次果筐明细!$F$4:$F$603,$Z1114-5200),"")))))</f>
        <v/>
      </c>
      <c r="E1114" s="24" t="str">
        <f>IF($Z1114="","",IF($Z1114&lt;=2000,IF(INDEX(包装物料出入库明细!$C$4:$C$2003,$Z1114-0)=0,"",INDEX(包装物料出入库明细!$C$4:$C$2003,$Z1114-0)),IF($Z1114&lt;=4000,IF(INDEX(周转筐出入库明细!$E$4:$E$2004,$Z1114-2000)=0,"",INDEX(周转筐出入库明细!$E$4:$E$2004,$Z1114-2000)),IF($Z1114&lt;=5200,IF(INDEX(客户自备加工筐明细!$D$4:$D$1203,$Z1114-4000)=0,"",INDEX(客户自备加工筐明细!$D$4:$D$1203,$Z1114-4000)),IF($Z1114&lt;=5800,IF(INDEX(次果筐明细!$E$4:$E$603,$Z1114-5200)=0,"",INDEX(次果筐明细!$E$4:$E$603,$Z1114-5200)),"")))))</f>
        <v/>
      </c>
      <c r="F1114" s="24" t="str">
        <f>IF($Z1114="","",IF($Z1114&lt;=2000,IF(INDEX(包装物料出入库明细!$E$4:$E$2003,$Z1114-0)=0,"",INDEX(包装物料出入库明细!$E$4:$E$2003,$Z1114-0)),IF($Z1114&lt;=4000,IF(INDEX(周转筐出入库明细!$D$4:$D$2004,$Z1114-2000)=0,"",INDEX(周转筐出入库明细!$D$4:$D$2004,$Z1114-2000)),IF($Z1114&lt;=5200,IF(INDEX(客户自备加工筐明细!$C$4:$C$1203,$Z1114-4000)=0,"",INDEX(客户自备加工筐明细!$C$4:$C$1203,$Z1114-4000)),IF($Z1114&lt;=5800,IF(INDEX(次果筐明细!$D$4:$D$603,$Z1114-5200)=0,"",INDEX(次果筐明细!$D$4:$D$603,$Z1114-5200)),"")))))</f>
        <v/>
      </c>
      <c r="G1114" s="24" t="str">
        <f>IF($Z1114="","",IF($Z1114&lt;=2000,IF(INDEX(包装物料出入库明细!$F$4:$F$2003,$Z1114-0)=0,"",INDEX(包装物料出入库明细!$F$4:$F$2003,$Z1114-0)),IF($Z1114&lt;=4000,"",IF($Z1114&lt;=5200,"",IF($Z1114&lt;=5800,"","")))))</f>
        <v/>
      </c>
      <c r="H1114" s="39" t="str">
        <f>IF($Z1114="","",IF($Z1114&lt;=2000,IF(INDEX(包装物料出入库明细!$L$4:$L$2003,$Z1114-0)=0,"",INDEX(包装物料出入库明细!$L$4:$L$2003,$Z1114-0)),IF($Z1114&lt;=4000,N(INDEX(周转筐出入库明细!$H$4:$H$2004,$Z1114-2000))+N(INDEX(周转筐出入库明细!$I$4:$I$2004,$Z1114-2000))+N(INDEX(周转筐出入库明细!$J$4:$J$2004,$Z1114-2000))+N(INDEX(周转筐出入库明细!$K$4:$K$2004,$Z1114-2000)),IF($Z1114&lt;=5200,N(INDEX(客户自备加工筐明细!$F$4:$F$1203,$Z1114-4000))+N(INDEX(客户自备加工筐明细!$G$4:$G$1203,$Z1114-4000)),IF($Z1114&lt;=5800,IF(INDEX(次果筐明细!$G$4:$G$603,$Z1114-5200)=0,"",INDEX(次果筐明细!$G$4:$G$603,$Z1114-5200)),"")))))</f>
        <v/>
      </c>
      <c r="I1114" s="24" t="str">
        <f>IF($Z1114="","",IF($Z1114&lt;=2000,IF(INDEX(包装物料出入库明细!$G$4:$G$2003,$Z1114-0)=0,"",INDEX(包装物料出入库明细!$G$4:$G$2003,$Z1114-0)),IF($Z1114&lt;=4000,"个",IF($Z1114&lt;=5200,"个",IF($Z1114&lt;=5800,"个","")))))</f>
        <v/>
      </c>
      <c r="J1114" s="30" t="str">
        <f t="shared" si="52"/>
        <v/>
      </c>
      <c r="K1114" s="30" t="str">
        <f>IF($Z1114="","",IF($Z1114&lt;=2000,IF(INDEX(包装物料出入库明细!$N$4:$N$2003,$Z1114-0)=0,"",INDEX(包装物料出入库明细!$N$4:$N$2003,$Z1114-0)),IF($Z1114&lt;=4000,IF(INDEX(周转筐出入库明细!$P$4:$P$2004,$Z1114-2000)=0,"",INDEX(周转筐出入库明细!$P$4:$P$2004,$Z1114-2000)),IF($Z1114&lt;=5200,"",IF($Z1114&lt;=5800,N(INDEX(次果筐明细!$L$4:$L$603,$Z1114-5200))+N(INDEX(次果筐明细!$J$4:$J$603,$Z1114-5200)),"")))))</f>
        <v/>
      </c>
      <c r="L1114" s="24" t="str">
        <f>IF($Z1114="","",IF($Z1114&lt;=2000,IF(INDEX(包装物料出入库明细!$P$4:$P$2003,$Z1114-0)=0,"",INDEX(包装物料出入库明细!$P$4:$P$2003,$Z1114-0)),IF($Z1114&lt;=4000,IF(INDEX(周转筐出入库明细!$Q$4:$Q$2004,$Z1114-2000)=0,"",INDEX(周转筐出入库明细!$Q$4:$Q$2004,$Z1114-2000)),IF($Z1114&lt;=5200,"",IF($Z1114&lt;=5800,IF(INDEX(次果筐明细!$M$4:$M$603,$Z1114-5200)=0,"",INDEX(次果筐明细!$M$4:$M$603,$Z1114-5200)),"")))))</f>
        <v/>
      </c>
      <c r="M1114" s="37" t="str">
        <f>IF($Z1114="","",IF($Z1114&lt;=2000,IF(INDEX(包装物料出入库明细!$R$4:$R$2003,$Z1114-0)=0,"",INDEX(包装物料出入库明细!$R$4:$R$2003,$Z1114-0)),IF($Z1114&lt;=4000,IF(INDEX(周转筐出入库明细!$W$4:$W$2004,$Z1114-2000)=0,"",INDEX(周转筐出入库明细!$W$4:$W$2004,$Z1114-2000)),IF($Z1114&lt;=5200,IF(INDEX(客户自备加工筐明细!$L$4:$L$1203,$Z1114-4000)=0,"",INDEX(客户自备加工筐明细!$L$4:$L$1203,$Z1114-4000)),IF($Z1114&lt;=5800,IF(INDEX(次果筐明细!$P$4:$P$603,$Z1114-5200)=0,"",INDEX(次果筐明细!$P$4:$P$603,$Z1114-5200)),"")))))</f>
        <v/>
      </c>
      <c r="N1114" s="16" t="str">
        <f>IF($Z1114="","",IF($Z1114&lt;=2000,"",IF($Z1114&lt;=4000,IF(INDEX(周转筐出入库明细!$D$4:$D$2004,$Z1114-2000)=0,"",INDEX(周转筐出入库明细!$D$4:$D$2004,$Z1114-2000)),IF($Z1114&lt;=5200,IF(INDEX(客户自备加工筐明细!$C$4:$C$1203,$Z1114-4000)=0,"",INDEX(客户自备加工筐明细!$C$4:$C$1203,$Z1114-4000)),IF($Z1114&lt;=5800,IF(INDEX(次果筐明细!$D$4:$D$603,$Z1114-5200)=0,"",INDEX(次果筐明细!$D$4:$D$603,$Z1114-5200)),"")))))</f>
        <v/>
      </c>
      <c r="O1114" s="40" t="str">
        <f>IF($Z1114="","",IF($Z1114&lt;=2000,"",IF($Z1114&lt;=4000,IF(N(INDEX(周转筐出入库明细!$J$4:$J$2004,$Z1114-2000))+N(INDEX(周转筐出入库明细!$K$4:$K$2004,$Z1114-2000))=0,"",N(INDEX(周转筐出入库明细!$J$4:$J$2004,$Z1114-2000))+N(INDEX(周转筐出入库明细!$K$4:$K$2004,$Z1114-2000))),IF($Z1114&lt;=5200,IF(N(INDEX(客户自备加工筐明细!$G$4:$G$1203,$Z1114-4000))=0,"",N(INDEX(客户自备加工筐明细!$G$4:$G$1203,$Z1114-4000))),IF($Z1114&lt;=5800,IF(ISNUMBER(SEARCH("退",INDEX(次果筐明细!$F$4:$F$603,$Z1114-5200)&amp;"")),"",IF(N(INDEX(次果筐明细!$G$4:$G$603,$Z1114-5200))=0,"",N(INDEX(次果筐明细!$G$4:$G$603,$Z1114-5200)))),"")))))</f>
        <v/>
      </c>
      <c r="P1114" s="40" t="str">
        <f>IF($Z1114="","",IF($Z1114&lt;=2000,"",IF($Z1114&lt;=4000,IF(N(INDEX(周转筐出入库明细!$I$4:$I$2004,$Z1114-2000))=0,"",N(INDEX(周转筐出入库明细!$I$4:$I$2004,$Z1114-2000))),IF($Z1114&lt;=5200,"",IF($Z1114&lt;=5800,IF(ISNUMBER(SEARCH("退",INDEX(次果筐明细!$F$4:$F$603,$Z1114-5200)&amp;"")),IF(N(INDEX(次果筐明细!$G$4:$G$603,$Z1114-5200))=0,"",N(INDEX(次果筐明细!$G$4:$G$603,$Z1114-5200))),""),"")))))</f>
        <v/>
      </c>
      <c r="Q1114" s="40" t="str">
        <f>IF($Z1114="","",IF($Z1114&lt;=2000,"",IF($Z1114&lt;=4000,IF(N(INDEX(周转筐出入库明细!$H$4:$H$2004,$Z1114-2000))=0,"",N(INDEX(周转筐出入库明细!$H$4:$H$2004,$Z1114-2000))),IF($Z1114&lt;=5200,IF(N(INDEX(客户自备加工筐明细!$F$4:$F$1203,$Z1114-4000))=0,"",N(INDEX(客户自备加工筐明细!$F$4:$F$1203,$Z1114-4000))),IF($Z1114&lt;=5800,"","")))))</f>
        <v/>
      </c>
      <c r="R1114" s="16" t="str">
        <f>IF($Z1114="","",IF($Z1114&lt;=2000,IF(INDEX(包装物料出入库明细!$O$4:$O$2003,$Z1114-0)=0,"",INDEX(包装物料出入库明细!$O$4:$O$2003,$Z1114-0)),IF($Z1114&lt;=4000,IF(INDEX(周转筐出入库明细!$M$4:$M$2004,$Z1114-2000)=0,"",INDEX(周转筐出入库明细!$M$4:$M$2004,$Z1114-2000)),IF($Z1114&lt;=5200,IF(INDEX(客户自备加工筐明细!$H$4:$H$1203,$Z1114-4000)=0,"",INDEX(客户自备加工筐明细!$H$4:$H$1203,$Z1114-4000)),IF($Z1114&lt;=5800,IF(INDEX(次果筐明细!$H$4:$H$603,$Z1114-5200)=0,"",INDEX(次果筐明细!$H$4:$H$603,$Z1114-5200)),"")))))</f>
        <v/>
      </c>
      <c r="S1114" s="22" t="str">
        <f t="shared" si="53"/>
        <v/>
      </c>
      <c r="Z1114" s="10" t="str">
        <f>IFERROR(MATCH(ROW()-3,_自动清单!$CQ$4:$CQ$5803,0),"")</f>
        <v/>
      </c>
    </row>
    <row r="1115" spans="1:26">
      <c r="A1115" s="24" t="str">
        <f t="shared" si="51"/>
        <v/>
      </c>
      <c r="B1115" s="38" t="str">
        <f>IF($Z1115="","",IF($Z1115&lt;=2000,IF(INDEX(包装物料出入库明细!$B$4:$B$2003,$Z1115-0)=0,"",INDEX(包装物料出入库明细!$B$4:$B$2003,$Z1115-0)),IF($Z1115&lt;=4000,IF(INDEX(周转筐出入库明细!$B$4:$B$2004,$Z1115-2000)=0,"",INDEX(周转筐出入库明细!$B$4:$B$2004,$Z1115-2000)),IF($Z1115&lt;=5200,IF(INDEX(客户自备加工筐明细!$B$4:$B$1203,$Z1115-4000)=0,"",INDEX(客户自备加工筐明细!$B$4:$B$1203,$Z1115-4000)),IF($Z1115&lt;=5800,IF(INDEX(次果筐明细!$B$4:$B$603,$Z1115-5200)=0,"",INDEX(次果筐明细!$B$4:$B$603,$Z1115-5200)),"")))))</f>
        <v/>
      </c>
      <c r="C1115" s="37" t="str">
        <f>IF($Z1115="","",IF($Z1115&lt;=2000,IF(INDEX(包装物料出入库明细!$D$4:$D$2003,$Z1115-0)=0,"",INDEX(包装物料出入库明细!$D$4:$D$2003,$Z1115-0)),IF($Z1115&lt;=4000,IF(INDEX(周转筐出入库明细!$C$4:$C$2004,$Z1115-2000)=0,"",INDEX(周转筐出入库明细!$C$4:$C$2004,$Z1115-2000)),IF($Z1115&lt;=5200,IF(INDEX(客户自备加工筐明细!$E$4:$E$1203,$Z1115-4000)=0,"",INDEX(客户自备加工筐明细!$E$4:$E$1203,$Z1115-4000)),IF($Z1115&lt;=5800,IF(INDEX(次果筐明细!$C$4:$C$603,$Z1115-5200)=0,"",INDEX(次果筐明细!$C$4:$C$603,$Z1115-5200)),"")))))</f>
        <v/>
      </c>
      <c r="D1115" s="37" t="str">
        <f>IF($Z1115="","",IF($Z1115&lt;=2000,"包装物料－"&amp;INDEX(包装物料出入库明细!$H$4:$H$2003,$Z1115-0),IF($Z1115&lt;=4000,"周转筐－"&amp;INDEX(周转筐出入库明细!$F$4:$F$2004,$Z1115-2000),IF($Z1115&lt;=5200,"客户自备筐－"&amp;INDEX(客户自备加工筐明细!$J$4:$J$1203,$Z1115-4000),IF($Z1115&lt;=5800,"次果筐/托盘－"&amp;INDEX(次果筐明细!$F$4:$F$603,$Z1115-5200),"")))))</f>
        <v/>
      </c>
      <c r="E1115" s="24" t="str">
        <f>IF($Z1115="","",IF($Z1115&lt;=2000,IF(INDEX(包装物料出入库明细!$C$4:$C$2003,$Z1115-0)=0,"",INDEX(包装物料出入库明细!$C$4:$C$2003,$Z1115-0)),IF($Z1115&lt;=4000,IF(INDEX(周转筐出入库明细!$E$4:$E$2004,$Z1115-2000)=0,"",INDEX(周转筐出入库明细!$E$4:$E$2004,$Z1115-2000)),IF($Z1115&lt;=5200,IF(INDEX(客户自备加工筐明细!$D$4:$D$1203,$Z1115-4000)=0,"",INDEX(客户自备加工筐明细!$D$4:$D$1203,$Z1115-4000)),IF($Z1115&lt;=5800,IF(INDEX(次果筐明细!$E$4:$E$603,$Z1115-5200)=0,"",INDEX(次果筐明细!$E$4:$E$603,$Z1115-5200)),"")))))</f>
        <v/>
      </c>
      <c r="F1115" s="24" t="str">
        <f>IF($Z1115="","",IF($Z1115&lt;=2000,IF(INDEX(包装物料出入库明细!$E$4:$E$2003,$Z1115-0)=0,"",INDEX(包装物料出入库明细!$E$4:$E$2003,$Z1115-0)),IF($Z1115&lt;=4000,IF(INDEX(周转筐出入库明细!$D$4:$D$2004,$Z1115-2000)=0,"",INDEX(周转筐出入库明细!$D$4:$D$2004,$Z1115-2000)),IF($Z1115&lt;=5200,IF(INDEX(客户自备加工筐明细!$C$4:$C$1203,$Z1115-4000)=0,"",INDEX(客户自备加工筐明细!$C$4:$C$1203,$Z1115-4000)),IF($Z1115&lt;=5800,IF(INDEX(次果筐明细!$D$4:$D$603,$Z1115-5200)=0,"",INDEX(次果筐明细!$D$4:$D$603,$Z1115-5200)),"")))))</f>
        <v/>
      </c>
      <c r="G1115" s="24" t="str">
        <f>IF($Z1115="","",IF($Z1115&lt;=2000,IF(INDEX(包装物料出入库明细!$F$4:$F$2003,$Z1115-0)=0,"",INDEX(包装物料出入库明细!$F$4:$F$2003,$Z1115-0)),IF($Z1115&lt;=4000,"",IF($Z1115&lt;=5200,"",IF($Z1115&lt;=5800,"","")))))</f>
        <v/>
      </c>
      <c r="H1115" s="39" t="str">
        <f>IF($Z1115="","",IF($Z1115&lt;=2000,IF(INDEX(包装物料出入库明细!$L$4:$L$2003,$Z1115-0)=0,"",INDEX(包装物料出入库明细!$L$4:$L$2003,$Z1115-0)),IF($Z1115&lt;=4000,N(INDEX(周转筐出入库明细!$H$4:$H$2004,$Z1115-2000))+N(INDEX(周转筐出入库明细!$I$4:$I$2004,$Z1115-2000))+N(INDEX(周转筐出入库明细!$J$4:$J$2004,$Z1115-2000))+N(INDEX(周转筐出入库明细!$K$4:$K$2004,$Z1115-2000)),IF($Z1115&lt;=5200,N(INDEX(客户自备加工筐明细!$F$4:$F$1203,$Z1115-4000))+N(INDEX(客户自备加工筐明细!$G$4:$G$1203,$Z1115-4000)),IF($Z1115&lt;=5800,IF(INDEX(次果筐明细!$G$4:$G$603,$Z1115-5200)=0,"",INDEX(次果筐明细!$G$4:$G$603,$Z1115-5200)),"")))))</f>
        <v/>
      </c>
      <c r="I1115" s="24" t="str">
        <f>IF($Z1115="","",IF($Z1115&lt;=2000,IF(INDEX(包装物料出入库明细!$G$4:$G$2003,$Z1115-0)=0,"",INDEX(包装物料出入库明细!$G$4:$G$2003,$Z1115-0)),IF($Z1115&lt;=4000,"个",IF($Z1115&lt;=5200,"个",IF($Z1115&lt;=5800,"个","")))))</f>
        <v/>
      </c>
      <c r="J1115" s="30" t="str">
        <f t="shared" si="52"/>
        <v/>
      </c>
      <c r="K1115" s="30" t="str">
        <f>IF($Z1115="","",IF($Z1115&lt;=2000,IF(INDEX(包装物料出入库明细!$N$4:$N$2003,$Z1115-0)=0,"",INDEX(包装物料出入库明细!$N$4:$N$2003,$Z1115-0)),IF($Z1115&lt;=4000,IF(INDEX(周转筐出入库明细!$P$4:$P$2004,$Z1115-2000)=0,"",INDEX(周转筐出入库明细!$P$4:$P$2004,$Z1115-2000)),IF($Z1115&lt;=5200,"",IF($Z1115&lt;=5800,N(INDEX(次果筐明细!$L$4:$L$603,$Z1115-5200))+N(INDEX(次果筐明细!$J$4:$J$603,$Z1115-5200)),"")))))</f>
        <v/>
      </c>
      <c r="L1115" s="24" t="str">
        <f>IF($Z1115="","",IF($Z1115&lt;=2000,IF(INDEX(包装物料出入库明细!$P$4:$P$2003,$Z1115-0)=0,"",INDEX(包装物料出入库明细!$P$4:$P$2003,$Z1115-0)),IF($Z1115&lt;=4000,IF(INDEX(周转筐出入库明细!$Q$4:$Q$2004,$Z1115-2000)=0,"",INDEX(周转筐出入库明细!$Q$4:$Q$2004,$Z1115-2000)),IF($Z1115&lt;=5200,"",IF($Z1115&lt;=5800,IF(INDEX(次果筐明细!$M$4:$M$603,$Z1115-5200)=0,"",INDEX(次果筐明细!$M$4:$M$603,$Z1115-5200)),"")))))</f>
        <v/>
      </c>
      <c r="M1115" s="37" t="str">
        <f>IF($Z1115="","",IF($Z1115&lt;=2000,IF(INDEX(包装物料出入库明细!$R$4:$R$2003,$Z1115-0)=0,"",INDEX(包装物料出入库明细!$R$4:$R$2003,$Z1115-0)),IF($Z1115&lt;=4000,IF(INDEX(周转筐出入库明细!$W$4:$W$2004,$Z1115-2000)=0,"",INDEX(周转筐出入库明细!$W$4:$W$2004,$Z1115-2000)),IF($Z1115&lt;=5200,IF(INDEX(客户自备加工筐明细!$L$4:$L$1203,$Z1115-4000)=0,"",INDEX(客户自备加工筐明细!$L$4:$L$1203,$Z1115-4000)),IF($Z1115&lt;=5800,IF(INDEX(次果筐明细!$P$4:$P$603,$Z1115-5200)=0,"",INDEX(次果筐明细!$P$4:$P$603,$Z1115-5200)),"")))))</f>
        <v/>
      </c>
      <c r="N1115" s="16" t="str">
        <f>IF($Z1115="","",IF($Z1115&lt;=2000,"",IF($Z1115&lt;=4000,IF(INDEX(周转筐出入库明细!$D$4:$D$2004,$Z1115-2000)=0,"",INDEX(周转筐出入库明细!$D$4:$D$2004,$Z1115-2000)),IF($Z1115&lt;=5200,IF(INDEX(客户自备加工筐明细!$C$4:$C$1203,$Z1115-4000)=0,"",INDEX(客户自备加工筐明细!$C$4:$C$1203,$Z1115-4000)),IF($Z1115&lt;=5800,IF(INDEX(次果筐明细!$D$4:$D$603,$Z1115-5200)=0,"",INDEX(次果筐明细!$D$4:$D$603,$Z1115-5200)),"")))))</f>
        <v/>
      </c>
      <c r="O1115" s="40" t="str">
        <f>IF($Z1115="","",IF($Z1115&lt;=2000,"",IF($Z1115&lt;=4000,IF(N(INDEX(周转筐出入库明细!$J$4:$J$2004,$Z1115-2000))+N(INDEX(周转筐出入库明细!$K$4:$K$2004,$Z1115-2000))=0,"",N(INDEX(周转筐出入库明细!$J$4:$J$2004,$Z1115-2000))+N(INDEX(周转筐出入库明细!$K$4:$K$2004,$Z1115-2000))),IF($Z1115&lt;=5200,IF(N(INDEX(客户自备加工筐明细!$G$4:$G$1203,$Z1115-4000))=0,"",N(INDEX(客户自备加工筐明细!$G$4:$G$1203,$Z1115-4000))),IF($Z1115&lt;=5800,IF(ISNUMBER(SEARCH("退",INDEX(次果筐明细!$F$4:$F$603,$Z1115-5200)&amp;"")),"",IF(N(INDEX(次果筐明细!$G$4:$G$603,$Z1115-5200))=0,"",N(INDEX(次果筐明细!$G$4:$G$603,$Z1115-5200)))),"")))))</f>
        <v/>
      </c>
      <c r="P1115" s="40" t="str">
        <f>IF($Z1115="","",IF($Z1115&lt;=2000,"",IF($Z1115&lt;=4000,IF(N(INDEX(周转筐出入库明细!$I$4:$I$2004,$Z1115-2000))=0,"",N(INDEX(周转筐出入库明细!$I$4:$I$2004,$Z1115-2000))),IF($Z1115&lt;=5200,"",IF($Z1115&lt;=5800,IF(ISNUMBER(SEARCH("退",INDEX(次果筐明细!$F$4:$F$603,$Z1115-5200)&amp;"")),IF(N(INDEX(次果筐明细!$G$4:$G$603,$Z1115-5200))=0,"",N(INDEX(次果筐明细!$G$4:$G$603,$Z1115-5200))),""),"")))))</f>
        <v/>
      </c>
      <c r="Q1115" s="40" t="str">
        <f>IF($Z1115="","",IF($Z1115&lt;=2000,"",IF($Z1115&lt;=4000,IF(N(INDEX(周转筐出入库明细!$H$4:$H$2004,$Z1115-2000))=0,"",N(INDEX(周转筐出入库明细!$H$4:$H$2004,$Z1115-2000))),IF($Z1115&lt;=5200,IF(N(INDEX(客户自备加工筐明细!$F$4:$F$1203,$Z1115-4000))=0,"",N(INDEX(客户自备加工筐明细!$F$4:$F$1203,$Z1115-4000))),IF($Z1115&lt;=5800,"","")))))</f>
        <v/>
      </c>
      <c r="R1115" s="16" t="str">
        <f>IF($Z1115="","",IF($Z1115&lt;=2000,IF(INDEX(包装物料出入库明细!$O$4:$O$2003,$Z1115-0)=0,"",INDEX(包装物料出入库明细!$O$4:$O$2003,$Z1115-0)),IF($Z1115&lt;=4000,IF(INDEX(周转筐出入库明细!$M$4:$M$2004,$Z1115-2000)=0,"",INDEX(周转筐出入库明细!$M$4:$M$2004,$Z1115-2000)),IF($Z1115&lt;=5200,IF(INDEX(客户自备加工筐明细!$H$4:$H$1203,$Z1115-4000)=0,"",INDEX(客户自备加工筐明细!$H$4:$H$1203,$Z1115-4000)),IF($Z1115&lt;=5800,IF(INDEX(次果筐明细!$H$4:$H$603,$Z1115-5200)=0,"",INDEX(次果筐明细!$H$4:$H$603,$Z1115-5200)),"")))))</f>
        <v/>
      </c>
      <c r="S1115" s="22" t="str">
        <f t="shared" si="53"/>
        <v/>
      </c>
      <c r="Z1115" s="10" t="str">
        <f>IFERROR(MATCH(ROW()-3,_自动清单!$CQ$4:$CQ$5803,0),"")</f>
        <v/>
      </c>
    </row>
    <row r="1116" spans="1:26">
      <c r="A1116" s="24" t="str">
        <f t="shared" si="51"/>
        <v/>
      </c>
      <c r="B1116" s="38" t="str">
        <f>IF($Z1116="","",IF($Z1116&lt;=2000,IF(INDEX(包装物料出入库明细!$B$4:$B$2003,$Z1116-0)=0,"",INDEX(包装物料出入库明细!$B$4:$B$2003,$Z1116-0)),IF($Z1116&lt;=4000,IF(INDEX(周转筐出入库明细!$B$4:$B$2004,$Z1116-2000)=0,"",INDEX(周转筐出入库明细!$B$4:$B$2004,$Z1116-2000)),IF($Z1116&lt;=5200,IF(INDEX(客户自备加工筐明细!$B$4:$B$1203,$Z1116-4000)=0,"",INDEX(客户自备加工筐明细!$B$4:$B$1203,$Z1116-4000)),IF($Z1116&lt;=5800,IF(INDEX(次果筐明细!$B$4:$B$603,$Z1116-5200)=0,"",INDEX(次果筐明细!$B$4:$B$603,$Z1116-5200)),"")))))</f>
        <v/>
      </c>
      <c r="C1116" s="37" t="str">
        <f>IF($Z1116="","",IF($Z1116&lt;=2000,IF(INDEX(包装物料出入库明细!$D$4:$D$2003,$Z1116-0)=0,"",INDEX(包装物料出入库明细!$D$4:$D$2003,$Z1116-0)),IF($Z1116&lt;=4000,IF(INDEX(周转筐出入库明细!$C$4:$C$2004,$Z1116-2000)=0,"",INDEX(周转筐出入库明细!$C$4:$C$2004,$Z1116-2000)),IF($Z1116&lt;=5200,IF(INDEX(客户自备加工筐明细!$E$4:$E$1203,$Z1116-4000)=0,"",INDEX(客户自备加工筐明细!$E$4:$E$1203,$Z1116-4000)),IF($Z1116&lt;=5800,IF(INDEX(次果筐明细!$C$4:$C$603,$Z1116-5200)=0,"",INDEX(次果筐明细!$C$4:$C$603,$Z1116-5200)),"")))))</f>
        <v/>
      </c>
      <c r="D1116" s="37" t="str">
        <f>IF($Z1116="","",IF($Z1116&lt;=2000,"包装物料－"&amp;INDEX(包装物料出入库明细!$H$4:$H$2003,$Z1116-0),IF($Z1116&lt;=4000,"周转筐－"&amp;INDEX(周转筐出入库明细!$F$4:$F$2004,$Z1116-2000),IF($Z1116&lt;=5200,"客户自备筐－"&amp;INDEX(客户自备加工筐明细!$J$4:$J$1203,$Z1116-4000),IF($Z1116&lt;=5800,"次果筐/托盘－"&amp;INDEX(次果筐明细!$F$4:$F$603,$Z1116-5200),"")))))</f>
        <v/>
      </c>
      <c r="E1116" s="24" t="str">
        <f>IF($Z1116="","",IF($Z1116&lt;=2000,IF(INDEX(包装物料出入库明细!$C$4:$C$2003,$Z1116-0)=0,"",INDEX(包装物料出入库明细!$C$4:$C$2003,$Z1116-0)),IF($Z1116&lt;=4000,IF(INDEX(周转筐出入库明细!$E$4:$E$2004,$Z1116-2000)=0,"",INDEX(周转筐出入库明细!$E$4:$E$2004,$Z1116-2000)),IF($Z1116&lt;=5200,IF(INDEX(客户自备加工筐明细!$D$4:$D$1203,$Z1116-4000)=0,"",INDEX(客户自备加工筐明细!$D$4:$D$1203,$Z1116-4000)),IF($Z1116&lt;=5800,IF(INDEX(次果筐明细!$E$4:$E$603,$Z1116-5200)=0,"",INDEX(次果筐明细!$E$4:$E$603,$Z1116-5200)),"")))))</f>
        <v/>
      </c>
      <c r="F1116" s="24" t="str">
        <f>IF($Z1116="","",IF($Z1116&lt;=2000,IF(INDEX(包装物料出入库明细!$E$4:$E$2003,$Z1116-0)=0,"",INDEX(包装物料出入库明细!$E$4:$E$2003,$Z1116-0)),IF($Z1116&lt;=4000,IF(INDEX(周转筐出入库明细!$D$4:$D$2004,$Z1116-2000)=0,"",INDEX(周转筐出入库明细!$D$4:$D$2004,$Z1116-2000)),IF($Z1116&lt;=5200,IF(INDEX(客户自备加工筐明细!$C$4:$C$1203,$Z1116-4000)=0,"",INDEX(客户自备加工筐明细!$C$4:$C$1203,$Z1116-4000)),IF($Z1116&lt;=5800,IF(INDEX(次果筐明细!$D$4:$D$603,$Z1116-5200)=0,"",INDEX(次果筐明细!$D$4:$D$603,$Z1116-5200)),"")))))</f>
        <v/>
      </c>
      <c r="G1116" s="24" t="str">
        <f>IF($Z1116="","",IF($Z1116&lt;=2000,IF(INDEX(包装物料出入库明细!$F$4:$F$2003,$Z1116-0)=0,"",INDEX(包装物料出入库明细!$F$4:$F$2003,$Z1116-0)),IF($Z1116&lt;=4000,"",IF($Z1116&lt;=5200,"",IF($Z1116&lt;=5800,"","")))))</f>
        <v/>
      </c>
      <c r="H1116" s="39" t="str">
        <f>IF($Z1116="","",IF($Z1116&lt;=2000,IF(INDEX(包装物料出入库明细!$L$4:$L$2003,$Z1116-0)=0,"",INDEX(包装物料出入库明细!$L$4:$L$2003,$Z1116-0)),IF($Z1116&lt;=4000,N(INDEX(周转筐出入库明细!$H$4:$H$2004,$Z1116-2000))+N(INDEX(周转筐出入库明细!$I$4:$I$2004,$Z1116-2000))+N(INDEX(周转筐出入库明细!$J$4:$J$2004,$Z1116-2000))+N(INDEX(周转筐出入库明细!$K$4:$K$2004,$Z1116-2000)),IF($Z1116&lt;=5200,N(INDEX(客户自备加工筐明细!$F$4:$F$1203,$Z1116-4000))+N(INDEX(客户自备加工筐明细!$G$4:$G$1203,$Z1116-4000)),IF($Z1116&lt;=5800,IF(INDEX(次果筐明细!$G$4:$G$603,$Z1116-5200)=0,"",INDEX(次果筐明细!$G$4:$G$603,$Z1116-5200)),"")))))</f>
        <v/>
      </c>
      <c r="I1116" s="24" t="str">
        <f>IF($Z1116="","",IF($Z1116&lt;=2000,IF(INDEX(包装物料出入库明细!$G$4:$G$2003,$Z1116-0)=0,"",INDEX(包装物料出入库明细!$G$4:$G$2003,$Z1116-0)),IF($Z1116&lt;=4000,"个",IF($Z1116&lt;=5200,"个",IF($Z1116&lt;=5800,"个","")))))</f>
        <v/>
      </c>
      <c r="J1116" s="30" t="str">
        <f t="shared" si="52"/>
        <v/>
      </c>
      <c r="K1116" s="30" t="str">
        <f>IF($Z1116="","",IF($Z1116&lt;=2000,IF(INDEX(包装物料出入库明细!$N$4:$N$2003,$Z1116-0)=0,"",INDEX(包装物料出入库明细!$N$4:$N$2003,$Z1116-0)),IF($Z1116&lt;=4000,IF(INDEX(周转筐出入库明细!$P$4:$P$2004,$Z1116-2000)=0,"",INDEX(周转筐出入库明细!$P$4:$P$2004,$Z1116-2000)),IF($Z1116&lt;=5200,"",IF($Z1116&lt;=5800,N(INDEX(次果筐明细!$L$4:$L$603,$Z1116-5200))+N(INDEX(次果筐明细!$J$4:$J$603,$Z1116-5200)),"")))))</f>
        <v/>
      </c>
      <c r="L1116" s="24" t="str">
        <f>IF($Z1116="","",IF($Z1116&lt;=2000,IF(INDEX(包装物料出入库明细!$P$4:$P$2003,$Z1116-0)=0,"",INDEX(包装物料出入库明细!$P$4:$P$2003,$Z1116-0)),IF($Z1116&lt;=4000,IF(INDEX(周转筐出入库明细!$Q$4:$Q$2004,$Z1116-2000)=0,"",INDEX(周转筐出入库明细!$Q$4:$Q$2004,$Z1116-2000)),IF($Z1116&lt;=5200,"",IF($Z1116&lt;=5800,IF(INDEX(次果筐明细!$M$4:$M$603,$Z1116-5200)=0,"",INDEX(次果筐明细!$M$4:$M$603,$Z1116-5200)),"")))))</f>
        <v/>
      </c>
      <c r="M1116" s="37" t="str">
        <f>IF($Z1116="","",IF($Z1116&lt;=2000,IF(INDEX(包装物料出入库明细!$R$4:$R$2003,$Z1116-0)=0,"",INDEX(包装物料出入库明细!$R$4:$R$2003,$Z1116-0)),IF($Z1116&lt;=4000,IF(INDEX(周转筐出入库明细!$W$4:$W$2004,$Z1116-2000)=0,"",INDEX(周转筐出入库明细!$W$4:$W$2004,$Z1116-2000)),IF($Z1116&lt;=5200,IF(INDEX(客户自备加工筐明细!$L$4:$L$1203,$Z1116-4000)=0,"",INDEX(客户自备加工筐明细!$L$4:$L$1203,$Z1116-4000)),IF($Z1116&lt;=5800,IF(INDEX(次果筐明细!$P$4:$P$603,$Z1116-5200)=0,"",INDEX(次果筐明细!$P$4:$P$603,$Z1116-5200)),"")))))</f>
        <v/>
      </c>
      <c r="N1116" s="16" t="str">
        <f>IF($Z1116="","",IF($Z1116&lt;=2000,"",IF($Z1116&lt;=4000,IF(INDEX(周转筐出入库明细!$D$4:$D$2004,$Z1116-2000)=0,"",INDEX(周转筐出入库明细!$D$4:$D$2004,$Z1116-2000)),IF($Z1116&lt;=5200,IF(INDEX(客户自备加工筐明细!$C$4:$C$1203,$Z1116-4000)=0,"",INDEX(客户自备加工筐明细!$C$4:$C$1203,$Z1116-4000)),IF($Z1116&lt;=5800,IF(INDEX(次果筐明细!$D$4:$D$603,$Z1116-5200)=0,"",INDEX(次果筐明细!$D$4:$D$603,$Z1116-5200)),"")))))</f>
        <v/>
      </c>
      <c r="O1116" s="40" t="str">
        <f>IF($Z1116="","",IF($Z1116&lt;=2000,"",IF($Z1116&lt;=4000,IF(N(INDEX(周转筐出入库明细!$J$4:$J$2004,$Z1116-2000))+N(INDEX(周转筐出入库明细!$K$4:$K$2004,$Z1116-2000))=0,"",N(INDEX(周转筐出入库明细!$J$4:$J$2004,$Z1116-2000))+N(INDEX(周转筐出入库明细!$K$4:$K$2004,$Z1116-2000))),IF($Z1116&lt;=5200,IF(N(INDEX(客户自备加工筐明细!$G$4:$G$1203,$Z1116-4000))=0,"",N(INDEX(客户自备加工筐明细!$G$4:$G$1203,$Z1116-4000))),IF($Z1116&lt;=5800,IF(ISNUMBER(SEARCH("退",INDEX(次果筐明细!$F$4:$F$603,$Z1116-5200)&amp;"")),"",IF(N(INDEX(次果筐明细!$G$4:$G$603,$Z1116-5200))=0,"",N(INDEX(次果筐明细!$G$4:$G$603,$Z1116-5200)))),"")))))</f>
        <v/>
      </c>
      <c r="P1116" s="40" t="str">
        <f>IF($Z1116="","",IF($Z1116&lt;=2000,"",IF($Z1116&lt;=4000,IF(N(INDEX(周转筐出入库明细!$I$4:$I$2004,$Z1116-2000))=0,"",N(INDEX(周转筐出入库明细!$I$4:$I$2004,$Z1116-2000))),IF($Z1116&lt;=5200,"",IF($Z1116&lt;=5800,IF(ISNUMBER(SEARCH("退",INDEX(次果筐明细!$F$4:$F$603,$Z1116-5200)&amp;"")),IF(N(INDEX(次果筐明细!$G$4:$G$603,$Z1116-5200))=0,"",N(INDEX(次果筐明细!$G$4:$G$603,$Z1116-5200))),""),"")))))</f>
        <v/>
      </c>
      <c r="Q1116" s="40" t="str">
        <f>IF($Z1116="","",IF($Z1116&lt;=2000,"",IF($Z1116&lt;=4000,IF(N(INDEX(周转筐出入库明细!$H$4:$H$2004,$Z1116-2000))=0,"",N(INDEX(周转筐出入库明细!$H$4:$H$2004,$Z1116-2000))),IF($Z1116&lt;=5200,IF(N(INDEX(客户自备加工筐明细!$F$4:$F$1203,$Z1116-4000))=0,"",N(INDEX(客户自备加工筐明细!$F$4:$F$1203,$Z1116-4000))),IF($Z1116&lt;=5800,"","")))))</f>
        <v/>
      </c>
      <c r="R1116" s="16" t="str">
        <f>IF($Z1116="","",IF($Z1116&lt;=2000,IF(INDEX(包装物料出入库明细!$O$4:$O$2003,$Z1116-0)=0,"",INDEX(包装物料出入库明细!$O$4:$O$2003,$Z1116-0)),IF($Z1116&lt;=4000,IF(INDEX(周转筐出入库明细!$M$4:$M$2004,$Z1116-2000)=0,"",INDEX(周转筐出入库明细!$M$4:$M$2004,$Z1116-2000)),IF($Z1116&lt;=5200,IF(INDEX(客户自备加工筐明细!$H$4:$H$1203,$Z1116-4000)=0,"",INDEX(客户自备加工筐明细!$H$4:$H$1203,$Z1116-4000)),IF($Z1116&lt;=5800,IF(INDEX(次果筐明细!$H$4:$H$603,$Z1116-5200)=0,"",INDEX(次果筐明细!$H$4:$H$603,$Z1116-5200)),"")))))</f>
        <v/>
      </c>
      <c r="S1116" s="22" t="str">
        <f t="shared" si="53"/>
        <v/>
      </c>
      <c r="Z1116" s="10" t="str">
        <f>IFERROR(MATCH(ROW()-3,_自动清单!$CQ$4:$CQ$5803,0),"")</f>
        <v/>
      </c>
    </row>
    <row r="1117" spans="1:26">
      <c r="A1117" s="24" t="str">
        <f t="shared" si="51"/>
        <v/>
      </c>
      <c r="B1117" s="38" t="str">
        <f>IF($Z1117="","",IF($Z1117&lt;=2000,IF(INDEX(包装物料出入库明细!$B$4:$B$2003,$Z1117-0)=0,"",INDEX(包装物料出入库明细!$B$4:$B$2003,$Z1117-0)),IF($Z1117&lt;=4000,IF(INDEX(周转筐出入库明细!$B$4:$B$2004,$Z1117-2000)=0,"",INDEX(周转筐出入库明细!$B$4:$B$2004,$Z1117-2000)),IF($Z1117&lt;=5200,IF(INDEX(客户自备加工筐明细!$B$4:$B$1203,$Z1117-4000)=0,"",INDEX(客户自备加工筐明细!$B$4:$B$1203,$Z1117-4000)),IF($Z1117&lt;=5800,IF(INDEX(次果筐明细!$B$4:$B$603,$Z1117-5200)=0,"",INDEX(次果筐明细!$B$4:$B$603,$Z1117-5200)),"")))))</f>
        <v/>
      </c>
      <c r="C1117" s="37" t="str">
        <f>IF($Z1117="","",IF($Z1117&lt;=2000,IF(INDEX(包装物料出入库明细!$D$4:$D$2003,$Z1117-0)=0,"",INDEX(包装物料出入库明细!$D$4:$D$2003,$Z1117-0)),IF($Z1117&lt;=4000,IF(INDEX(周转筐出入库明细!$C$4:$C$2004,$Z1117-2000)=0,"",INDEX(周转筐出入库明细!$C$4:$C$2004,$Z1117-2000)),IF($Z1117&lt;=5200,IF(INDEX(客户自备加工筐明细!$E$4:$E$1203,$Z1117-4000)=0,"",INDEX(客户自备加工筐明细!$E$4:$E$1203,$Z1117-4000)),IF($Z1117&lt;=5800,IF(INDEX(次果筐明细!$C$4:$C$603,$Z1117-5200)=0,"",INDEX(次果筐明细!$C$4:$C$603,$Z1117-5200)),"")))))</f>
        <v/>
      </c>
      <c r="D1117" s="37" t="str">
        <f>IF($Z1117="","",IF($Z1117&lt;=2000,"包装物料－"&amp;INDEX(包装物料出入库明细!$H$4:$H$2003,$Z1117-0),IF($Z1117&lt;=4000,"周转筐－"&amp;INDEX(周转筐出入库明细!$F$4:$F$2004,$Z1117-2000),IF($Z1117&lt;=5200,"客户自备筐－"&amp;INDEX(客户自备加工筐明细!$J$4:$J$1203,$Z1117-4000),IF($Z1117&lt;=5800,"次果筐/托盘－"&amp;INDEX(次果筐明细!$F$4:$F$603,$Z1117-5200),"")))))</f>
        <v/>
      </c>
      <c r="E1117" s="24" t="str">
        <f>IF($Z1117="","",IF($Z1117&lt;=2000,IF(INDEX(包装物料出入库明细!$C$4:$C$2003,$Z1117-0)=0,"",INDEX(包装物料出入库明细!$C$4:$C$2003,$Z1117-0)),IF($Z1117&lt;=4000,IF(INDEX(周转筐出入库明细!$E$4:$E$2004,$Z1117-2000)=0,"",INDEX(周转筐出入库明细!$E$4:$E$2004,$Z1117-2000)),IF($Z1117&lt;=5200,IF(INDEX(客户自备加工筐明细!$D$4:$D$1203,$Z1117-4000)=0,"",INDEX(客户自备加工筐明细!$D$4:$D$1203,$Z1117-4000)),IF($Z1117&lt;=5800,IF(INDEX(次果筐明细!$E$4:$E$603,$Z1117-5200)=0,"",INDEX(次果筐明细!$E$4:$E$603,$Z1117-5200)),"")))))</f>
        <v/>
      </c>
      <c r="F1117" s="24" t="str">
        <f>IF($Z1117="","",IF($Z1117&lt;=2000,IF(INDEX(包装物料出入库明细!$E$4:$E$2003,$Z1117-0)=0,"",INDEX(包装物料出入库明细!$E$4:$E$2003,$Z1117-0)),IF($Z1117&lt;=4000,IF(INDEX(周转筐出入库明细!$D$4:$D$2004,$Z1117-2000)=0,"",INDEX(周转筐出入库明细!$D$4:$D$2004,$Z1117-2000)),IF($Z1117&lt;=5200,IF(INDEX(客户自备加工筐明细!$C$4:$C$1203,$Z1117-4000)=0,"",INDEX(客户自备加工筐明细!$C$4:$C$1203,$Z1117-4000)),IF($Z1117&lt;=5800,IF(INDEX(次果筐明细!$D$4:$D$603,$Z1117-5200)=0,"",INDEX(次果筐明细!$D$4:$D$603,$Z1117-5200)),"")))))</f>
        <v/>
      </c>
      <c r="G1117" s="24" t="str">
        <f>IF($Z1117="","",IF($Z1117&lt;=2000,IF(INDEX(包装物料出入库明细!$F$4:$F$2003,$Z1117-0)=0,"",INDEX(包装物料出入库明细!$F$4:$F$2003,$Z1117-0)),IF($Z1117&lt;=4000,"",IF($Z1117&lt;=5200,"",IF($Z1117&lt;=5800,"","")))))</f>
        <v/>
      </c>
      <c r="H1117" s="39" t="str">
        <f>IF($Z1117="","",IF($Z1117&lt;=2000,IF(INDEX(包装物料出入库明细!$L$4:$L$2003,$Z1117-0)=0,"",INDEX(包装物料出入库明细!$L$4:$L$2003,$Z1117-0)),IF($Z1117&lt;=4000,N(INDEX(周转筐出入库明细!$H$4:$H$2004,$Z1117-2000))+N(INDEX(周转筐出入库明细!$I$4:$I$2004,$Z1117-2000))+N(INDEX(周转筐出入库明细!$J$4:$J$2004,$Z1117-2000))+N(INDEX(周转筐出入库明细!$K$4:$K$2004,$Z1117-2000)),IF($Z1117&lt;=5200,N(INDEX(客户自备加工筐明细!$F$4:$F$1203,$Z1117-4000))+N(INDEX(客户自备加工筐明细!$G$4:$G$1203,$Z1117-4000)),IF($Z1117&lt;=5800,IF(INDEX(次果筐明细!$G$4:$G$603,$Z1117-5200)=0,"",INDEX(次果筐明细!$G$4:$G$603,$Z1117-5200)),"")))))</f>
        <v/>
      </c>
      <c r="I1117" s="24" t="str">
        <f>IF($Z1117="","",IF($Z1117&lt;=2000,IF(INDEX(包装物料出入库明细!$G$4:$G$2003,$Z1117-0)=0,"",INDEX(包装物料出入库明细!$G$4:$G$2003,$Z1117-0)),IF($Z1117&lt;=4000,"个",IF($Z1117&lt;=5200,"个",IF($Z1117&lt;=5800,"个","")))))</f>
        <v/>
      </c>
      <c r="J1117" s="30" t="str">
        <f t="shared" si="52"/>
        <v/>
      </c>
      <c r="K1117" s="30" t="str">
        <f>IF($Z1117="","",IF($Z1117&lt;=2000,IF(INDEX(包装物料出入库明细!$N$4:$N$2003,$Z1117-0)=0,"",INDEX(包装物料出入库明细!$N$4:$N$2003,$Z1117-0)),IF($Z1117&lt;=4000,IF(INDEX(周转筐出入库明细!$P$4:$P$2004,$Z1117-2000)=0,"",INDEX(周转筐出入库明细!$P$4:$P$2004,$Z1117-2000)),IF($Z1117&lt;=5200,"",IF($Z1117&lt;=5800,N(INDEX(次果筐明细!$L$4:$L$603,$Z1117-5200))+N(INDEX(次果筐明细!$J$4:$J$603,$Z1117-5200)),"")))))</f>
        <v/>
      </c>
      <c r="L1117" s="24" t="str">
        <f>IF($Z1117="","",IF($Z1117&lt;=2000,IF(INDEX(包装物料出入库明细!$P$4:$P$2003,$Z1117-0)=0,"",INDEX(包装物料出入库明细!$P$4:$P$2003,$Z1117-0)),IF($Z1117&lt;=4000,IF(INDEX(周转筐出入库明细!$Q$4:$Q$2004,$Z1117-2000)=0,"",INDEX(周转筐出入库明细!$Q$4:$Q$2004,$Z1117-2000)),IF($Z1117&lt;=5200,"",IF($Z1117&lt;=5800,IF(INDEX(次果筐明细!$M$4:$M$603,$Z1117-5200)=0,"",INDEX(次果筐明细!$M$4:$M$603,$Z1117-5200)),"")))))</f>
        <v/>
      </c>
      <c r="M1117" s="37" t="str">
        <f>IF($Z1117="","",IF($Z1117&lt;=2000,IF(INDEX(包装物料出入库明细!$R$4:$R$2003,$Z1117-0)=0,"",INDEX(包装物料出入库明细!$R$4:$R$2003,$Z1117-0)),IF($Z1117&lt;=4000,IF(INDEX(周转筐出入库明细!$W$4:$W$2004,$Z1117-2000)=0,"",INDEX(周转筐出入库明细!$W$4:$W$2004,$Z1117-2000)),IF($Z1117&lt;=5200,IF(INDEX(客户自备加工筐明细!$L$4:$L$1203,$Z1117-4000)=0,"",INDEX(客户自备加工筐明细!$L$4:$L$1203,$Z1117-4000)),IF($Z1117&lt;=5800,IF(INDEX(次果筐明细!$P$4:$P$603,$Z1117-5200)=0,"",INDEX(次果筐明细!$P$4:$P$603,$Z1117-5200)),"")))))</f>
        <v/>
      </c>
      <c r="N1117" s="16" t="str">
        <f>IF($Z1117="","",IF($Z1117&lt;=2000,"",IF($Z1117&lt;=4000,IF(INDEX(周转筐出入库明细!$D$4:$D$2004,$Z1117-2000)=0,"",INDEX(周转筐出入库明细!$D$4:$D$2004,$Z1117-2000)),IF($Z1117&lt;=5200,IF(INDEX(客户自备加工筐明细!$C$4:$C$1203,$Z1117-4000)=0,"",INDEX(客户自备加工筐明细!$C$4:$C$1203,$Z1117-4000)),IF($Z1117&lt;=5800,IF(INDEX(次果筐明细!$D$4:$D$603,$Z1117-5200)=0,"",INDEX(次果筐明细!$D$4:$D$603,$Z1117-5200)),"")))))</f>
        <v/>
      </c>
      <c r="O1117" s="40" t="str">
        <f>IF($Z1117="","",IF($Z1117&lt;=2000,"",IF($Z1117&lt;=4000,IF(N(INDEX(周转筐出入库明细!$J$4:$J$2004,$Z1117-2000))+N(INDEX(周转筐出入库明细!$K$4:$K$2004,$Z1117-2000))=0,"",N(INDEX(周转筐出入库明细!$J$4:$J$2004,$Z1117-2000))+N(INDEX(周转筐出入库明细!$K$4:$K$2004,$Z1117-2000))),IF($Z1117&lt;=5200,IF(N(INDEX(客户自备加工筐明细!$G$4:$G$1203,$Z1117-4000))=0,"",N(INDEX(客户自备加工筐明细!$G$4:$G$1203,$Z1117-4000))),IF($Z1117&lt;=5800,IF(ISNUMBER(SEARCH("退",INDEX(次果筐明细!$F$4:$F$603,$Z1117-5200)&amp;"")),"",IF(N(INDEX(次果筐明细!$G$4:$G$603,$Z1117-5200))=0,"",N(INDEX(次果筐明细!$G$4:$G$603,$Z1117-5200)))),"")))))</f>
        <v/>
      </c>
      <c r="P1117" s="40" t="str">
        <f>IF($Z1117="","",IF($Z1117&lt;=2000,"",IF($Z1117&lt;=4000,IF(N(INDEX(周转筐出入库明细!$I$4:$I$2004,$Z1117-2000))=0,"",N(INDEX(周转筐出入库明细!$I$4:$I$2004,$Z1117-2000))),IF($Z1117&lt;=5200,"",IF($Z1117&lt;=5800,IF(ISNUMBER(SEARCH("退",INDEX(次果筐明细!$F$4:$F$603,$Z1117-5200)&amp;"")),IF(N(INDEX(次果筐明细!$G$4:$G$603,$Z1117-5200))=0,"",N(INDEX(次果筐明细!$G$4:$G$603,$Z1117-5200))),""),"")))))</f>
        <v/>
      </c>
      <c r="Q1117" s="40" t="str">
        <f>IF($Z1117="","",IF($Z1117&lt;=2000,"",IF($Z1117&lt;=4000,IF(N(INDEX(周转筐出入库明细!$H$4:$H$2004,$Z1117-2000))=0,"",N(INDEX(周转筐出入库明细!$H$4:$H$2004,$Z1117-2000))),IF($Z1117&lt;=5200,IF(N(INDEX(客户自备加工筐明细!$F$4:$F$1203,$Z1117-4000))=0,"",N(INDEX(客户自备加工筐明细!$F$4:$F$1203,$Z1117-4000))),IF($Z1117&lt;=5800,"","")))))</f>
        <v/>
      </c>
      <c r="R1117" s="16" t="str">
        <f>IF($Z1117="","",IF($Z1117&lt;=2000,IF(INDEX(包装物料出入库明细!$O$4:$O$2003,$Z1117-0)=0,"",INDEX(包装物料出入库明细!$O$4:$O$2003,$Z1117-0)),IF($Z1117&lt;=4000,IF(INDEX(周转筐出入库明细!$M$4:$M$2004,$Z1117-2000)=0,"",INDEX(周转筐出入库明细!$M$4:$M$2004,$Z1117-2000)),IF($Z1117&lt;=5200,IF(INDEX(客户自备加工筐明细!$H$4:$H$1203,$Z1117-4000)=0,"",INDEX(客户自备加工筐明细!$H$4:$H$1203,$Z1117-4000)),IF($Z1117&lt;=5800,IF(INDEX(次果筐明细!$H$4:$H$603,$Z1117-5200)=0,"",INDEX(次果筐明细!$H$4:$H$603,$Z1117-5200)),"")))))</f>
        <v/>
      </c>
      <c r="S1117" s="22" t="str">
        <f t="shared" si="53"/>
        <v/>
      </c>
      <c r="Z1117" s="10" t="str">
        <f>IFERROR(MATCH(ROW()-3,_自动清单!$CQ$4:$CQ$5803,0),"")</f>
        <v/>
      </c>
    </row>
    <row r="1118" spans="1:26">
      <c r="A1118" s="24" t="str">
        <f t="shared" si="51"/>
        <v/>
      </c>
      <c r="B1118" s="38" t="str">
        <f>IF($Z1118="","",IF($Z1118&lt;=2000,IF(INDEX(包装物料出入库明细!$B$4:$B$2003,$Z1118-0)=0,"",INDEX(包装物料出入库明细!$B$4:$B$2003,$Z1118-0)),IF($Z1118&lt;=4000,IF(INDEX(周转筐出入库明细!$B$4:$B$2004,$Z1118-2000)=0,"",INDEX(周转筐出入库明细!$B$4:$B$2004,$Z1118-2000)),IF($Z1118&lt;=5200,IF(INDEX(客户自备加工筐明细!$B$4:$B$1203,$Z1118-4000)=0,"",INDEX(客户自备加工筐明细!$B$4:$B$1203,$Z1118-4000)),IF($Z1118&lt;=5800,IF(INDEX(次果筐明细!$B$4:$B$603,$Z1118-5200)=0,"",INDEX(次果筐明细!$B$4:$B$603,$Z1118-5200)),"")))))</f>
        <v/>
      </c>
      <c r="C1118" s="37" t="str">
        <f>IF($Z1118="","",IF($Z1118&lt;=2000,IF(INDEX(包装物料出入库明细!$D$4:$D$2003,$Z1118-0)=0,"",INDEX(包装物料出入库明细!$D$4:$D$2003,$Z1118-0)),IF($Z1118&lt;=4000,IF(INDEX(周转筐出入库明细!$C$4:$C$2004,$Z1118-2000)=0,"",INDEX(周转筐出入库明细!$C$4:$C$2004,$Z1118-2000)),IF($Z1118&lt;=5200,IF(INDEX(客户自备加工筐明细!$E$4:$E$1203,$Z1118-4000)=0,"",INDEX(客户自备加工筐明细!$E$4:$E$1203,$Z1118-4000)),IF($Z1118&lt;=5800,IF(INDEX(次果筐明细!$C$4:$C$603,$Z1118-5200)=0,"",INDEX(次果筐明细!$C$4:$C$603,$Z1118-5200)),"")))))</f>
        <v/>
      </c>
      <c r="D1118" s="37" t="str">
        <f>IF($Z1118="","",IF($Z1118&lt;=2000,"包装物料－"&amp;INDEX(包装物料出入库明细!$H$4:$H$2003,$Z1118-0),IF($Z1118&lt;=4000,"周转筐－"&amp;INDEX(周转筐出入库明细!$F$4:$F$2004,$Z1118-2000),IF($Z1118&lt;=5200,"客户自备筐－"&amp;INDEX(客户自备加工筐明细!$J$4:$J$1203,$Z1118-4000),IF($Z1118&lt;=5800,"次果筐/托盘－"&amp;INDEX(次果筐明细!$F$4:$F$603,$Z1118-5200),"")))))</f>
        <v/>
      </c>
      <c r="E1118" s="24" t="str">
        <f>IF($Z1118="","",IF($Z1118&lt;=2000,IF(INDEX(包装物料出入库明细!$C$4:$C$2003,$Z1118-0)=0,"",INDEX(包装物料出入库明细!$C$4:$C$2003,$Z1118-0)),IF($Z1118&lt;=4000,IF(INDEX(周转筐出入库明细!$E$4:$E$2004,$Z1118-2000)=0,"",INDEX(周转筐出入库明细!$E$4:$E$2004,$Z1118-2000)),IF($Z1118&lt;=5200,IF(INDEX(客户自备加工筐明细!$D$4:$D$1203,$Z1118-4000)=0,"",INDEX(客户自备加工筐明细!$D$4:$D$1203,$Z1118-4000)),IF($Z1118&lt;=5800,IF(INDEX(次果筐明细!$E$4:$E$603,$Z1118-5200)=0,"",INDEX(次果筐明细!$E$4:$E$603,$Z1118-5200)),"")))))</f>
        <v/>
      </c>
      <c r="F1118" s="24" t="str">
        <f>IF($Z1118="","",IF($Z1118&lt;=2000,IF(INDEX(包装物料出入库明细!$E$4:$E$2003,$Z1118-0)=0,"",INDEX(包装物料出入库明细!$E$4:$E$2003,$Z1118-0)),IF($Z1118&lt;=4000,IF(INDEX(周转筐出入库明细!$D$4:$D$2004,$Z1118-2000)=0,"",INDEX(周转筐出入库明细!$D$4:$D$2004,$Z1118-2000)),IF($Z1118&lt;=5200,IF(INDEX(客户自备加工筐明细!$C$4:$C$1203,$Z1118-4000)=0,"",INDEX(客户自备加工筐明细!$C$4:$C$1203,$Z1118-4000)),IF($Z1118&lt;=5800,IF(INDEX(次果筐明细!$D$4:$D$603,$Z1118-5200)=0,"",INDEX(次果筐明细!$D$4:$D$603,$Z1118-5200)),"")))))</f>
        <v/>
      </c>
      <c r="G1118" s="24" t="str">
        <f>IF($Z1118="","",IF($Z1118&lt;=2000,IF(INDEX(包装物料出入库明细!$F$4:$F$2003,$Z1118-0)=0,"",INDEX(包装物料出入库明细!$F$4:$F$2003,$Z1118-0)),IF($Z1118&lt;=4000,"",IF($Z1118&lt;=5200,"",IF($Z1118&lt;=5800,"","")))))</f>
        <v/>
      </c>
      <c r="H1118" s="39" t="str">
        <f>IF($Z1118="","",IF($Z1118&lt;=2000,IF(INDEX(包装物料出入库明细!$L$4:$L$2003,$Z1118-0)=0,"",INDEX(包装物料出入库明细!$L$4:$L$2003,$Z1118-0)),IF($Z1118&lt;=4000,N(INDEX(周转筐出入库明细!$H$4:$H$2004,$Z1118-2000))+N(INDEX(周转筐出入库明细!$I$4:$I$2004,$Z1118-2000))+N(INDEX(周转筐出入库明细!$J$4:$J$2004,$Z1118-2000))+N(INDEX(周转筐出入库明细!$K$4:$K$2004,$Z1118-2000)),IF($Z1118&lt;=5200,N(INDEX(客户自备加工筐明细!$F$4:$F$1203,$Z1118-4000))+N(INDEX(客户自备加工筐明细!$G$4:$G$1203,$Z1118-4000)),IF($Z1118&lt;=5800,IF(INDEX(次果筐明细!$G$4:$G$603,$Z1118-5200)=0,"",INDEX(次果筐明细!$G$4:$G$603,$Z1118-5200)),"")))))</f>
        <v/>
      </c>
      <c r="I1118" s="24" t="str">
        <f>IF($Z1118="","",IF($Z1118&lt;=2000,IF(INDEX(包装物料出入库明细!$G$4:$G$2003,$Z1118-0)=0,"",INDEX(包装物料出入库明细!$G$4:$G$2003,$Z1118-0)),IF($Z1118&lt;=4000,"个",IF($Z1118&lt;=5200,"个",IF($Z1118&lt;=5800,"个","")))))</f>
        <v/>
      </c>
      <c r="J1118" s="30" t="str">
        <f t="shared" si="52"/>
        <v/>
      </c>
      <c r="K1118" s="30" t="str">
        <f>IF($Z1118="","",IF($Z1118&lt;=2000,IF(INDEX(包装物料出入库明细!$N$4:$N$2003,$Z1118-0)=0,"",INDEX(包装物料出入库明细!$N$4:$N$2003,$Z1118-0)),IF($Z1118&lt;=4000,IF(INDEX(周转筐出入库明细!$P$4:$P$2004,$Z1118-2000)=0,"",INDEX(周转筐出入库明细!$P$4:$P$2004,$Z1118-2000)),IF($Z1118&lt;=5200,"",IF($Z1118&lt;=5800,N(INDEX(次果筐明细!$L$4:$L$603,$Z1118-5200))+N(INDEX(次果筐明细!$J$4:$J$603,$Z1118-5200)),"")))))</f>
        <v/>
      </c>
      <c r="L1118" s="24" t="str">
        <f>IF($Z1118="","",IF($Z1118&lt;=2000,IF(INDEX(包装物料出入库明细!$P$4:$P$2003,$Z1118-0)=0,"",INDEX(包装物料出入库明细!$P$4:$P$2003,$Z1118-0)),IF($Z1118&lt;=4000,IF(INDEX(周转筐出入库明细!$Q$4:$Q$2004,$Z1118-2000)=0,"",INDEX(周转筐出入库明细!$Q$4:$Q$2004,$Z1118-2000)),IF($Z1118&lt;=5200,"",IF($Z1118&lt;=5800,IF(INDEX(次果筐明细!$M$4:$M$603,$Z1118-5200)=0,"",INDEX(次果筐明细!$M$4:$M$603,$Z1118-5200)),"")))))</f>
        <v/>
      </c>
      <c r="M1118" s="37" t="str">
        <f>IF($Z1118="","",IF($Z1118&lt;=2000,IF(INDEX(包装物料出入库明细!$R$4:$R$2003,$Z1118-0)=0,"",INDEX(包装物料出入库明细!$R$4:$R$2003,$Z1118-0)),IF($Z1118&lt;=4000,IF(INDEX(周转筐出入库明细!$W$4:$W$2004,$Z1118-2000)=0,"",INDEX(周转筐出入库明细!$W$4:$W$2004,$Z1118-2000)),IF($Z1118&lt;=5200,IF(INDEX(客户自备加工筐明细!$L$4:$L$1203,$Z1118-4000)=0,"",INDEX(客户自备加工筐明细!$L$4:$L$1203,$Z1118-4000)),IF($Z1118&lt;=5800,IF(INDEX(次果筐明细!$P$4:$P$603,$Z1118-5200)=0,"",INDEX(次果筐明细!$P$4:$P$603,$Z1118-5200)),"")))))</f>
        <v/>
      </c>
      <c r="N1118" s="16" t="str">
        <f>IF($Z1118="","",IF($Z1118&lt;=2000,"",IF($Z1118&lt;=4000,IF(INDEX(周转筐出入库明细!$D$4:$D$2004,$Z1118-2000)=0,"",INDEX(周转筐出入库明细!$D$4:$D$2004,$Z1118-2000)),IF($Z1118&lt;=5200,IF(INDEX(客户自备加工筐明细!$C$4:$C$1203,$Z1118-4000)=0,"",INDEX(客户自备加工筐明细!$C$4:$C$1203,$Z1118-4000)),IF($Z1118&lt;=5800,IF(INDEX(次果筐明细!$D$4:$D$603,$Z1118-5200)=0,"",INDEX(次果筐明细!$D$4:$D$603,$Z1118-5200)),"")))))</f>
        <v/>
      </c>
      <c r="O1118" s="40" t="str">
        <f>IF($Z1118="","",IF($Z1118&lt;=2000,"",IF($Z1118&lt;=4000,IF(N(INDEX(周转筐出入库明细!$J$4:$J$2004,$Z1118-2000))+N(INDEX(周转筐出入库明细!$K$4:$K$2004,$Z1118-2000))=0,"",N(INDEX(周转筐出入库明细!$J$4:$J$2004,$Z1118-2000))+N(INDEX(周转筐出入库明细!$K$4:$K$2004,$Z1118-2000))),IF($Z1118&lt;=5200,IF(N(INDEX(客户自备加工筐明细!$G$4:$G$1203,$Z1118-4000))=0,"",N(INDEX(客户自备加工筐明细!$G$4:$G$1203,$Z1118-4000))),IF($Z1118&lt;=5800,IF(ISNUMBER(SEARCH("退",INDEX(次果筐明细!$F$4:$F$603,$Z1118-5200)&amp;"")),"",IF(N(INDEX(次果筐明细!$G$4:$G$603,$Z1118-5200))=0,"",N(INDEX(次果筐明细!$G$4:$G$603,$Z1118-5200)))),"")))))</f>
        <v/>
      </c>
      <c r="P1118" s="40" t="str">
        <f>IF($Z1118="","",IF($Z1118&lt;=2000,"",IF($Z1118&lt;=4000,IF(N(INDEX(周转筐出入库明细!$I$4:$I$2004,$Z1118-2000))=0,"",N(INDEX(周转筐出入库明细!$I$4:$I$2004,$Z1118-2000))),IF($Z1118&lt;=5200,"",IF($Z1118&lt;=5800,IF(ISNUMBER(SEARCH("退",INDEX(次果筐明细!$F$4:$F$603,$Z1118-5200)&amp;"")),IF(N(INDEX(次果筐明细!$G$4:$G$603,$Z1118-5200))=0,"",N(INDEX(次果筐明细!$G$4:$G$603,$Z1118-5200))),""),"")))))</f>
        <v/>
      </c>
      <c r="Q1118" s="40" t="str">
        <f>IF($Z1118="","",IF($Z1118&lt;=2000,"",IF($Z1118&lt;=4000,IF(N(INDEX(周转筐出入库明细!$H$4:$H$2004,$Z1118-2000))=0,"",N(INDEX(周转筐出入库明细!$H$4:$H$2004,$Z1118-2000))),IF($Z1118&lt;=5200,IF(N(INDEX(客户自备加工筐明细!$F$4:$F$1203,$Z1118-4000))=0,"",N(INDEX(客户自备加工筐明细!$F$4:$F$1203,$Z1118-4000))),IF($Z1118&lt;=5800,"","")))))</f>
        <v/>
      </c>
      <c r="R1118" s="16" t="str">
        <f>IF($Z1118="","",IF($Z1118&lt;=2000,IF(INDEX(包装物料出入库明细!$O$4:$O$2003,$Z1118-0)=0,"",INDEX(包装物料出入库明细!$O$4:$O$2003,$Z1118-0)),IF($Z1118&lt;=4000,IF(INDEX(周转筐出入库明细!$M$4:$M$2004,$Z1118-2000)=0,"",INDEX(周转筐出入库明细!$M$4:$M$2004,$Z1118-2000)),IF($Z1118&lt;=5200,IF(INDEX(客户自备加工筐明细!$H$4:$H$1203,$Z1118-4000)=0,"",INDEX(客户自备加工筐明细!$H$4:$H$1203,$Z1118-4000)),IF($Z1118&lt;=5800,IF(INDEX(次果筐明细!$H$4:$H$603,$Z1118-5200)=0,"",INDEX(次果筐明细!$H$4:$H$603,$Z1118-5200)),"")))))</f>
        <v/>
      </c>
      <c r="S1118" s="22" t="str">
        <f t="shared" si="53"/>
        <v/>
      </c>
      <c r="Z1118" s="10" t="str">
        <f>IFERROR(MATCH(ROW()-3,_自动清单!$CQ$4:$CQ$5803,0),"")</f>
        <v/>
      </c>
    </row>
    <row r="1119" spans="1:26">
      <c r="A1119" s="24" t="str">
        <f t="shared" si="51"/>
        <v/>
      </c>
      <c r="B1119" s="38" t="str">
        <f>IF($Z1119="","",IF($Z1119&lt;=2000,IF(INDEX(包装物料出入库明细!$B$4:$B$2003,$Z1119-0)=0,"",INDEX(包装物料出入库明细!$B$4:$B$2003,$Z1119-0)),IF($Z1119&lt;=4000,IF(INDEX(周转筐出入库明细!$B$4:$B$2004,$Z1119-2000)=0,"",INDEX(周转筐出入库明细!$B$4:$B$2004,$Z1119-2000)),IF($Z1119&lt;=5200,IF(INDEX(客户自备加工筐明细!$B$4:$B$1203,$Z1119-4000)=0,"",INDEX(客户自备加工筐明细!$B$4:$B$1203,$Z1119-4000)),IF($Z1119&lt;=5800,IF(INDEX(次果筐明细!$B$4:$B$603,$Z1119-5200)=0,"",INDEX(次果筐明细!$B$4:$B$603,$Z1119-5200)),"")))))</f>
        <v/>
      </c>
      <c r="C1119" s="37" t="str">
        <f>IF($Z1119="","",IF($Z1119&lt;=2000,IF(INDEX(包装物料出入库明细!$D$4:$D$2003,$Z1119-0)=0,"",INDEX(包装物料出入库明细!$D$4:$D$2003,$Z1119-0)),IF($Z1119&lt;=4000,IF(INDEX(周转筐出入库明细!$C$4:$C$2004,$Z1119-2000)=0,"",INDEX(周转筐出入库明细!$C$4:$C$2004,$Z1119-2000)),IF($Z1119&lt;=5200,IF(INDEX(客户自备加工筐明细!$E$4:$E$1203,$Z1119-4000)=0,"",INDEX(客户自备加工筐明细!$E$4:$E$1203,$Z1119-4000)),IF($Z1119&lt;=5800,IF(INDEX(次果筐明细!$C$4:$C$603,$Z1119-5200)=0,"",INDEX(次果筐明细!$C$4:$C$603,$Z1119-5200)),"")))))</f>
        <v/>
      </c>
      <c r="D1119" s="37" t="str">
        <f>IF($Z1119="","",IF($Z1119&lt;=2000,"包装物料－"&amp;INDEX(包装物料出入库明细!$H$4:$H$2003,$Z1119-0),IF($Z1119&lt;=4000,"周转筐－"&amp;INDEX(周转筐出入库明细!$F$4:$F$2004,$Z1119-2000),IF($Z1119&lt;=5200,"客户自备筐－"&amp;INDEX(客户自备加工筐明细!$J$4:$J$1203,$Z1119-4000),IF($Z1119&lt;=5800,"次果筐/托盘－"&amp;INDEX(次果筐明细!$F$4:$F$603,$Z1119-5200),"")))))</f>
        <v/>
      </c>
      <c r="E1119" s="24" t="str">
        <f>IF($Z1119="","",IF($Z1119&lt;=2000,IF(INDEX(包装物料出入库明细!$C$4:$C$2003,$Z1119-0)=0,"",INDEX(包装物料出入库明细!$C$4:$C$2003,$Z1119-0)),IF($Z1119&lt;=4000,IF(INDEX(周转筐出入库明细!$E$4:$E$2004,$Z1119-2000)=0,"",INDEX(周转筐出入库明细!$E$4:$E$2004,$Z1119-2000)),IF($Z1119&lt;=5200,IF(INDEX(客户自备加工筐明细!$D$4:$D$1203,$Z1119-4000)=0,"",INDEX(客户自备加工筐明细!$D$4:$D$1203,$Z1119-4000)),IF($Z1119&lt;=5800,IF(INDEX(次果筐明细!$E$4:$E$603,$Z1119-5200)=0,"",INDEX(次果筐明细!$E$4:$E$603,$Z1119-5200)),"")))))</f>
        <v/>
      </c>
      <c r="F1119" s="24" t="str">
        <f>IF($Z1119="","",IF($Z1119&lt;=2000,IF(INDEX(包装物料出入库明细!$E$4:$E$2003,$Z1119-0)=0,"",INDEX(包装物料出入库明细!$E$4:$E$2003,$Z1119-0)),IF($Z1119&lt;=4000,IF(INDEX(周转筐出入库明细!$D$4:$D$2004,$Z1119-2000)=0,"",INDEX(周转筐出入库明细!$D$4:$D$2004,$Z1119-2000)),IF($Z1119&lt;=5200,IF(INDEX(客户自备加工筐明细!$C$4:$C$1203,$Z1119-4000)=0,"",INDEX(客户自备加工筐明细!$C$4:$C$1203,$Z1119-4000)),IF($Z1119&lt;=5800,IF(INDEX(次果筐明细!$D$4:$D$603,$Z1119-5200)=0,"",INDEX(次果筐明细!$D$4:$D$603,$Z1119-5200)),"")))))</f>
        <v/>
      </c>
      <c r="G1119" s="24" t="str">
        <f>IF($Z1119="","",IF($Z1119&lt;=2000,IF(INDEX(包装物料出入库明细!$F$4:$F$2003,$Z1119-0)=0,"",INDEX(包装物料出入库明细!$F$4:$F$2003,$Z1119-0)),IF($Z1119&lt;=4000,"",IF($Z1119&lt;=5200,"",IF($Z1119&lt;=5800,"","")))))</f>
        <v/>
      </c>
      <c r="H1119" s="39" t="str">
        <f>IF($Z1119="","",IF($Z1119&lt;=2000,IF(INDEX(包装物料出入库明细!$L$4:$L$2003,$Z1119-0)=0,"",INDEX(包装物料出入库明细!$L$4:$L$2003,$Z1119-0)),IF($Z1119&lt;=4000,N(INDEX(周转筐出入库明细!$H$4:$H$2004,$Z1119-2000))+N(INDEX(周转筐出入库明细!$I$4:$I$2004,$Z1119-2000))+N(INDEX(周转筐出入库明细!$J$4:$J$2004,$Z1119-2000))+N(INDEX(周转筐出入库明细!$K$4:$K$2004,$Z1119-2000)),IF($Z1119&lt;=5200,N(INDEX(客户自备加工筐明细!$F$4:$F$1203,$Z1119-4000))+N(INDEX(客户自备加工筐明细!$G$4:$G$1203,$Z1119-4000)),IF($Z1119&lt;=5800,IF(INDEX(次果筐明细!$G$4:$G$603,$Z1119-5200)=0,"",INDEX(次果筐明细!$G$4:$G$603,$Z1119-5200)),"")))))</f>
        <v/>
      </c>
      <c r="I1119" s="24" t="str">
        <f>IF($Z1119="","",IF($Z1119&lt;=2000,IF(INDEX(包装物料出入库明细!$G$4:$G$2003,$Z1119-0)=0,"",INDEX(包装物料出入库明细!$G$4:$G$2003,$Z1119-0)),IF($Z1119&lt;=4000,"个",IF($Z1119&lt;=5200,"个",IF($Z1119&lt;=5800,"个","")))))</f>
        <v/>
      </c>
      <c r="J1119" s="30" t="str">
        <f t="shared" si="52"/>
        <v/>
      </c>
      <c r="K1119" s="30" t="str">
        <f>IF($Z1119="","",IF($Z1119&lt;=2000,IF(INDEX(包装物料出入库明细!$N$4:$N$2003,$Z1119-0)=0,"",INDEX(包装物料出入库明细!$N$4:$N$2003,$Z1119-0)),IF($Z1119&lt;=4000,IF(INDEX(周转筐出入库明细!$P$4:$P$2004,$Z1119-2000)=0,"",INDEX(周转筐出入库明细!$P$4:$P$2004,$Z1119-2000)),IF($Z1119&lt;=5200,"",IF($Z1119&lt;=5800,N(INDEX(次果筐明细!$L$4:$L$603,$Z1119-5200))+N(INDEX(次果筐明细!$J$4:$J$603,$Z1119-5200)),"")))))</f>
        <v/>
      </c>
      <c r="L1119" s="24" t="str">
        <f>IF($Z1119="","",IF($Z1119&lt;=2000,IF(INDEX(包装物料出入库明细!$P$4:$P$2003,$Z1119-0)=0,"",INDEX(包装物料出入库明细!$P$4:$P$2003,$Z1119-0)),IF($Z1119&lt;=4000,IF(INDEX(周转筐出入库明细!$Q$4:$Q$2004,$Z1119-2000)=0,"",INDEX(周转筐出入库明细!$Q$4:$Q$2004,$Z1119-2000)),IF($Z1119&lt;=5200,"",IF($Z1119&lt;=5800,IF(INDEX(次果筐明细!$M$4:$M$603,$Z1119-5200)=0,"",INDEX(次果筐明细!$M$4:$M$603,$Z1119-5200)),"")))))</f>
        <v/>
      </c>
      <c r="M1119" s="37" t="str">
        <f>IF($Z1119="","",IF($Z1119&lt;=2000,IF(INDEX(包装物料出入库明细!$R$4:$R$2003,$Z1119-0)=0,"",INDEX(包装物料出入库明细!$R$4:$R$2003,$Z1119-0)),IF($Z1119&lt;=4000,IF(INDEX(周转筐出入库明细!$W$4:$W$2004,$Z1119-2000)=0,"",INDEX(周转筐出入库明细!$W$4:$W$2004,$Z1119-2000)),IF($Z1119&lt;=5200,IF(INDEX(客户自备加工筐明细!$L$4:$L$1203,$Z1119-4000)=0,"",INDEX(客户自备加工筐明细!$L$4:$L$1203,$Z1119-4000)),IF($Z1119&lt;=5800,IF(INDEX(次果筐明细!$P$4:$P$603,$Z1119-5200)=0,"",INDEX(次果筐明细!$P$4:$P$603,$Z1119-5200)),"")))))</f>
        <v/>
      </c>
      <c r="N1119" s="16" t="str">
        <f>IF($Z1119="","",IF($Z1119&lt;=2000,"",IF($Z1119&lt;=4000,IF(INDEX(周转筐出入库明细!$D$4:$D$2004,$Z1119-2000)=0,"",INDEX(周转筐出入库明细!$D$4:$D$2004,$Z1119-2000)),IF($Z1119&lt;=5200,IF(INDEX(客户自备加工筐明细!$C$4:$C$1203,$Z1119-4000)=0,"",INDEX(客户自备加工筐明细!$C$4:$C$1203,$Z1119-4000)),IF($Z1119&lt;=5800,IF(INDEX(次果筐明细!$D$4:$D$603,$Z1119-5200)=0,"",INDEX(次果筐明细!$D$4:$D$603,$Z1119-5200)),"")))))</f>
        <v/>
      </c>
      <c r="O1119" s="40" t="str">
        <f>IF($Z1119="","",IF($Z1119&lt;=2000,"",IF($Z1119&lt;=4000,IF(N(INDEX(周转筐出入库明细!$J$4:$J$2004,$Z1119-2000))+N(INDEX(周转筐出入库明细!$K$4:$K$2004,$Z1119-2000))=0,"",N(INDEX(周转筐出入库明细!$J$4:$J$2004,$Z1119-2000))+N(INDEX(周转筐出入库明细!$K$4:$K$2004,$Z1119-2000))),IF($Z1119&lt;=5200,IF(N(INDEX(客户自备加工筐明细!$G$4:$G$1203,$Z1119-4000))=0,"",N(INDEX(客户自备加工筐明细!$G$4:$G$1203,$Z1119-4000))),IF($Z1119&lt;=5800,IF(ISNUMBER(SEARCH("退",INDEX(次果筐明细!$F$4:$F$603,$Z1119-5200)&amp;"")),"",IF(N(INDEX(次果筐明细!$G$4:$G$603,$Z1119-5200))=0,"",N(INDEX(次果筐明细!$G$4:$G$603,$Z1119-5200)))),"")))))</f>
        <v/>
      </c>
      <c r="P1119" s="40" t="str">
        <f>IF($Z1119="","",IF($Z1119&lt;=2000,"",IF($Z1119&lt;=4000,IF(N(INDEX(周转筐出入库明细!$I$4:$I$2004,$Z1119-2000))=0,"",N(INDEX(周转筐出入库明细!$I$4:$I$2004,$Z1119-2000))),IF($Z1119&lt;=5200,"",IF($Z1119&lt;=5800,IF(ISNUMBER(SEARCH("退",INDEX(次果筐明细!$F$4:$F$603,$Z1119-5200)&amp;"")),IF(N(INDEX(次果筐明细!$G$4:$G$603,$Z1119-5200))=0,"",N(INDEX(次果筐明细!$G$4:$G$603,$Z1119-5200))),""),"")))))</f>
        <v/>
      </c>
      <c r="Q1119" s="40" t="str">
        <f>IF($Z1119="","",IF($Z1119&lt;=2000,"",IF($Z1119&lt;=4000,IF(N(INDEX(周转筐出入库明细!$H$4:$H$2004,$Z1119-2000))=0,"",N(INDEX(周转筐出入库明细!$H$4:$H$2004,$Z1119-2000))),IF($Z1119&lt;=5200,IF(N(INDEX(客户自备加工筐明细!$F$4:$F$1203,$Z1119-4000))=0,"",N(INDEX(客户自备加工筐明细!$F$4:$F$1203,$Z1119-4000))),IF($Z1119&lt;=5800,"","")))))</f>
        <v/>
      </c>
      <c r="R1119" s="16" t="str">
        <f>IF($Z1119="","",IF($Z1119&lt;=2000,IF(INDEX(包装物料出入库明细!$O$4:$O$2003,$Z1119-0)=0,"",INDEX(包装物料出入库明细!$O$4:$O$2003,$Z1119-0)),IF($Z1119&lt;=4000,IF(INDEX(周转筐出入库明细!$M$4:$M$2004,$Z1119-2000)=0,"",INDEX(周转筐出入库明细!$M$4:$M$2004,$Z1119-2000)),IF($Z1119&lt;=5200,IF(INDEX(客户自备加工筐明细!$H$4:$H$1203,$Z1119-4000)=0,"",INDEX(客户自备加工筐明细!$H$4:$H$1203,$Z1119-4000)),IF($Z1119&lt;=5800,IF(INDEX(次果筐明细!$H$4:$H$603,$Z1119-5200)=0,"",INDEX(次果筐明细!$H$4:$H$603,$Z1119-5200)),"")))))</f>
        <v/>
      </c>
      <c r="S1119" s="22" t="str">
        <f t="shared" si="53"/>
        <v/>
      </c>
      <c r="Z1119" s="10" t="str">
        <f>IFERROR(MATCH(ROW()-3,_自动清单!$CQ$4:$CQ$5803,0),"")</f>
        <v/>
      </c>
    </row>
    <row r="1120" spans="1:26">
      <c r="A1120" s="24" t="str">
        <f t="shared" si="51"/>
        <v/>
      </c>
      <c r="B1120" s="38" t="str">
        <f>IF($Z1120="","",IF($Z1120&lt;=2000,IF(INDEX(包装物料出入库明细!$B$4:$B$2003,$Z1120-0)=0,"",INDEX(包装物料出入库明细!$B$4:$B$2003,$Z1120-0)),IF($Z1120&lt;=4000,IF(INDEX(周转筐出入库明细!$B$4:$B$2004,$Z1120-2000)=0,"",INDEX(周转筐出入库明细!$B$4:$B$2004,$Z1120-2000)),IF($Z1120&lt;=5200,IF(INDEX(客户自备加工筐明细!$B$4:$B$1203,$Z1120-4000)=0,"",INDEX(客户自备加工筐明细!$B$4:$B$1203,$Z1120-4000)),IF($Z1120&lt;=5800,IF(INDEX(次果筐明细!$B$4:$B$603,$Z1120-5200)=0,"",INDEX(次果筐明细!$B$4:$B$603,$Z1120-5200)),"")))))</f>
        <v/>
      </c>
      <c r="C1120" s="37" t="str">
        <f>IF($Z1120="","",IF($Z1120&lt;=2000,IF(INDEX(包装物料出入库明细!$D$4:$D$2003,$Z1120-0)=0,"",INDEX(包装物料出入库明细!$D$4:$D$2003,$Z1120-0)),IF($Z1120&lt;=4000,IF(INDEX(周转筐出入库明细!$C$4:$C$2004,$Z1120-2000)=0,"",INDEX(周转筐出入库明细!$C$4:$C$2004,$Z1120-2000)),IF($Z1120&lt;=5200,IF(INDEX(客户自备加工筐明细!$E$4:$E$1203,$Z1120-4000)=0,"",INDEX(客户自备加工筐明细!$E$4:$E$1203,$Z1120-4000)),IF($Z1120&lt;=5800,IF(INDEX(次果筐明细!$C$4:$C$603,$Z1120-5200)=0,"",INDEX(次果筐明细!$C$4:$C$603,$Z1120-5200)),"")))))</f>
        <v/>
      </c>
      <c r="D1120" s="37" t="str">
        <f>IF($Z1120="","",IF($Z1120&lt;=2000,"包装物料－"&amp;INDEX(包装物料出入库明细!$H$4:$H$2003,$Z1120-0),IF($Z1120&lt;=4000,"周转筐－"&amp;INDEX(周转筐出入库明细!$F$4:$F$2004,$Z1120-2000),IF($Z1120&lt;=5200,"客户自备筐－"&amp;INDEX(客户自备加工筐明细!$J$4:$J$1203,$Z1120-4000),IF($Z1120&lt;=5800,"次果筐/托盘－"&amp;INDEX(次果筐明细!$F$4:$F$603,$Z1120-5200),"")))))</f>
        <v/>
      </c>
      <c r="E1120" s="24" t="str">
        <f>IF($Z1120="","",IF($Z1120&lt;=2000,IF(INDEX(包装物料出入库明细!$C$4:$C$2003,$Z1120-0)=0,"",INDEX(包装物料出入库明细!$C$4:$C$2003,$Z1120-0)),IF($Z1120&lt;=4000,IF(INDEX(周转筐出入库明细!$E$4:$E$2004,$Z1120-2000)=0,"",INDEX(周转筐出入库明细!$E$4:$E$2004,$Z1120-2000)),IF($Z1120&lt;=5200,IF(INDEX(客户自备加工筐明细!$D$4:$D$1203,$Z1120-4000)=0,"",INDEX(客户自备加工筐明细!$D$4:$D$1203,$Z1120-4000)),IF($Z1120&lt;=5800,IF(INDEX(次果筐明细!$E$4:$E$603,$Z1120-5200)=0,"",INDEX(次果筐明细!$E$4:$E$603,$Z1120-5200)),"")))))</f>
        <v/>
      </c>
      <c r="F1120" s="24" t="str">
        <f>IF($Z1120="","",IF($Z1120&lt;=2000,IF(INDEX(包装物料出入库明细!$E$4:$E$2003,$Z1120-0)=0,"",INDEX(包装物料出入库明细!$E$4:$E$2003,$Z1120-0)),IF($Z1120&lt;=4000,IF(INDEX(周转筐出入库明细!$D$4:$D$2004,$Z1120-2000)=0,"",INDEX(周转筐出入库明细!$D$4:$D$2004,$Z1120-2000)),IF($Z1120&lt;=5200,IF(INDEX(客户自备加工筐明细!$C$4:$C$1203,$Z1120-4000)=0,"",INDEX(客户自备加工筐明细!$C$4:$C$1203,$Z1120-4000)),IF($Z1120&lt;=5800,IF(INDEX(次果筐明细!$D$4:$D$603,$Z1120-5200)=0,"",INDEX(次果筐明细!$D$4:$D$603,$Z1120-5200)),"")))))</f>
        <v/>
      </c>
      <c r="G1120" s="24" t="str">
        <f>IF($Z1120="","",IF($Z1120&lt;=2000,IF(INDEX(包装物料出入库明细!$F$4:$F$2003,$Z1120-0)=0,"",INDEX(包装物料出入库明细!$F$4:$F$2003,$Z1120-0)),IF($Z1120&lt;=4000,"",IF($Z1120&lt;=5200,"",IF($Z1120&lt;=5800,"","")))))</f>
        <v/>
      </c>
      <c r="H1120" s="39" t="str">
        <f>IF($Z1120="","",IF($Z1120&lt;=2000,IF(INDEX(包装物料出入库明细!$L$4:$L$2003,$Z1120-0)=0,"",INDEX(包装物料出入库明细!$L$4:$L$2003,$Z1120-0)),IF($Z1120&lt;=4000,N(INDEX(周转筐出入库明细!$H$4:$H$2004,$Z1120-2000))+N(INDEX(周转筐出入库明细!$I$4:$I$2004,$Z1120-2000))+N(INDEX(周转筐出入库明细!$J$4:$J$2004,$Z1120-2000))+N(INDEX(周转筐出入库明细!$K$4:$K$2004,$Z1120-2000)),IF($Z1120&lt;=5200,N(INDEX(客户自备加工筐明细!$F$4:$F$1203,$Z1120-4000))+N(INDEX(客户自备加工筐明细!$G$4:$G$1203,$Z1120-4000)),IF($Z1120&lt;=5800,IF(INDEX(次果筐明细!$G$4:$G$603,$Z1120-5200)=0,"",INDEX(次果筐明细!$G$4:$G$603,$Z1120-5200)),"")))))</f>
        <v/>
      </c>
      <c r="I1120" s="24" t="str">
        <f>IF($Z1120="","",IF($Z1120&lt;=2000,IF(INDEX(包装物料出入库明细!$G$4:$G$2003,$Z1120-0)=0,"",INDEX(包装物料出入库明细!$G$4:$G$2003,$Z1120-0)),IF($Z1120&lt;=4000,"个",IF($Z1120&lt;=5200,"个",IF($Z1120&lt;=5800,"个","")))))</f>
        <v/>
      </c>
      <c r="J1120" s="30" t="str">
        <f t="shared" si="52"/>
        <v/>
      </c>
      <c r="K1120" s="30" t="str">
        <f>IF($Z1120="","",IF($Z1120&lt;=2000,IF(INDEX(包装物料出入库明细!$N$4:$N$2003,$Z1120-0)=0,"",INDEX(包装物料出入库明细!$N$4:$N$2003,$Z1120-0)),IF($Z1120&lt;=4000,IF(INDEX(周转筐出入库明细!$P$4:$P$2004,$Z1120-2000)=0,"",INDEX(周转筐出入库明细!$P$4:$P$2004,$Z1120-2000)),IF($Z1120&lt;=5200,"",IF($Z1120&lt;=5800,N(INDEX(次果筐明细!$L$4:$L$603,$Z1120-5200))+N(INDEX(次果筐明细!$J$4:$J$603,$Z1120-5200)),"")))))</f>
        <v/>
      </c>
      <c r="L1120" s="24" t="str">
        <f>IF($Z1120="","",IF($Z1120&lt;=2000,IF(INDEX(包装物料出入库明细!$P$4:$P$2003,$Z1120-0)=0,"",INDEX(包装物料出入库明细!$P$4:$P$2003,$Z1120-0)),IF($Z1120&lt;=4000,IF(INDEX(周转筐出入库明细!$Q$4:$Q$2004,$Z1120-2000)=0,"",INDEX(周转筐出入库明细!$Q$4:$Q$2004,$Z1120-2000)),IF($Z1120&lt;=5200,"",IF($Z1120&lt;=5800,IF(INDEX(次果筐明细!$M$4:$M$603,$Z1120-5200)=0,"",INDEX(次果筐明细!$M$4:$M$603,$Z1120-5200)),"")))))</f>
        <v/>
      </c>
      <c r="M1120" s="37" t="str">
        <f>IF($Z1120="","",IF($Z1120&lt;=2000,IF(INDEX(包装物料出入库明细!$R$4:$R$2003,$Z1120-0)=0,"",INDEX(包装物料出入库明细!$R$4:$R$2003,$Z1120-0)),IF($Z1120&lt;=4000,IF(INDEX(周转筐出入库明细!$W$4:$W$2004,$Z1120-2000)=0,"",INDEX(周转筐出入库明细!$W$4:$W$2004,$Z1120-2000)),IF($Z1120&lt;=5200,IF(INDEX(客户自备加工筐明细!$L$4:$L$1203,$Z1120-4000)=0,"",INDEX(客户自备加工筐明细!$L$4:$L$1203,$Z1120-4000)),IF($Z1120&lt;=5800,IF(INDEX(次果筐明细!$P$4:$P$603,$Z1120-5200)=0,"",INDEX(次果筐明细!$P$4:$P$603,$Z1120-5200)),"")))))</f>
        <v/>
      </c>
      <c r="N1120" s="16" t="str">
        <f>IF($Z1120="","",IF($Z1120&lt;=2000,"",IF($Z1120&lt;=4000,IF(INDEX(周转筐出入库明细!$D$4:$D$2004,$Z1120-2000)=0,"",INDEX(周转筐出入库明细!$D$4:$D$2004,$Z1120-2000)),IF($Z1120&lt;=5200,IF(INDEX(客户自备加工筐明细!$C$4:$C$1203,$Z1120-4000)=0,"",INDEX(客户自备加工筐明细!$C$4:$C$1203,$Z1120-4000)),IF($Z1120&lt;=5800,IF(INDEX(次果筐明细!$D$4:$D$603,$Z1120-5200)=0,"",INDEX(次果筐明细!$D$4:$D$603,$Z1120-5200)),"")))))</f>
        <v/>
      </c>
      <c r="O1120" s="40" t="str">
        <f>IF($Z1120="","",IF($Z1120&lt;=2000,"",IF($Z1120&lt;=4000,IF(N(INDEX(周转筐出入库明细!$J$4:$J$2004,$Z1120-2000))+N(INDEX(周转筐出入库明细!$K$4:$K$2004,$Z1120-2000))=0,"",N(INDEX(周转筐出入库明细!$J$4:$J$2004,$Z1120-2000))+N(INDEX(周转筐出入库明细!$K$4:$K$2004,$Z1120-2000))),IF($Z1120&lt;=5200,IF(N(INDEX(客户自备加工筐明细!$G$4:$G$1203,$Z1120-4000))=0,"",N(INDEX(客户自备加工筐明细!$G$4:$G$1203,$Z1120-4000))),IF($Z1120&lt;=5800,IF(ISNUMBER(SEARCH("退",INDEX(次果筐明细!$F$4:$F$603,$Z1120-5200)&amp;"")),"",IF(N(INDEX(次果筐明细!$G$4:$G$603,$Z1120-5200))=0,"",N(INDEX(次果筐明细!$G$4:$G$603,$Z1120-5200)))),"")))))</f>
        <v/>
      </c>
      <c r="P1120" s="40" t="str">
        <f>IF($Z1120="","",IF($Z1120&lt;=2000,"",IF($Z1120&lt;=4000,IF(N(INDEX(周转筐出入库明细!$I$4:$I$2004,$Z1120-2000))=0,"",N(INDEX(周转筐出入库明细!$I$4:$I$2004,$Z1120-2000))),IF($Z1120&lt;=5200,"",IF($Z1120&lt;=5800,IF(ISNUMBER(SEARCH("退",INDEX(次果筐明细!$F$4:$F$603,$Z1120-5200)&amp;"")),IF(N(INDEX(次果筐明细!$G$4:$G$603,$Z1120-5200))=0,"",N(INDEX(次果筐明细!$G$4:$G$603,$Z1120-5200))),""),"")))))</f>
        <v/>
      </c>
      <c r="Q1120" s="40" t="str">
        <f>IF($Z1120="","",IF($Z1120&lt;=2000,"",IF($Z1120&lt;=4000,IF(N(INDEX(周转筐出入库明细!$H$4:$H$2004,$Z1120-2000))=0,"",N(INDEX(周转筐出入库明细!$H$4:$H$2004,$Z1120-2000))),IF($Z1120&lt;=5200,IF(N(INDEX(客户自备加工筐明细!$F$4:$F$1203,$Z1120-4000))=0,"",N(INDEX(客户自备加工筐明细!$F$4:$F$1203,$Z1120-4000))),IF($Z1120&lt;=5800,"","")))))</f>
        <v/>
      </c>
      <c r="R1120" s="16" t="str">
        <f>IF($Z1120="","",IF($Z1120&lt;=2000,IF(INDEX(包装物料出入库明细!$O$4:$O$2003,$Z1120-0)=0,"",INDEX(包装物料出入库明细!$O$4:$O$2003,$Z1120-0)),IF($Z1120&lt;=4000,IF(INDEX(周转筐出入库明细!$M$4:$M$2004,$Z1120-2000)=0,"",INDEX(周转筐出入库明细!$M$4:$M$2004,$Z1120-2000)),IF($Z1120&lt;=5200,IF(INDEX(客户自备加工筐明细!$H$4:$H$1203,$Z1120-4000)=0,"",INDEX(客户自备加工筐明细!$H$4:$H$1203,$Z1120-4000)),IF($Z1120&lt;=5800,IF(INDEX(次果筐明细!$H$4:$H$603,$Z1120-5200)=0,"",INDEX(次果筐明细!$H$4:$H$603,$Z1120-5200)),"")))))</f>
        <v/>
      </c>
      <c r="S1120" s="22" t="str">
        <f t="shared" si="53"/>
        <v/>
      </c>
      <c r="Z1120" s="10" t="str">
        <f>IFERROR(MATCH(ROW()-3,_自动清单!$CQ$4:$CQ$5803,0),"")</f>
        <v/>
      </c>
    </row>
    <row r="1121" spans="1:26">
      <c r="A1121" s="24" t="str">
        <f t="shared" si="51"/>
        <v/>
      </c>
      <c r="B1121" s="38" t="str">
        <f>IF($Z1121="","",IF($Z1121&lt;=2000,IF(INDEX(包装物料出入库明细!$B$4:$B$2003,$Z1121-0)=0,"",INDEX(包装物料出入库明细!$B$4:$B$2003,$Z1121-0)),IF($Z1121&lt;=4000,IF(INDEX(周转筐出入库明细!$B$4:$B$2004,$Z1121-2000)=0,"",INDEX(周转筐出入库明细!$B$4:$B$2004,$Z1121-2000)),IF($Z1121&lt;=5200,IF(INDEX(客户自备加工筐明细!$B$4:$B$1203,$Z1121-4000)=0,"",INDEX(客户自备加工筐明细!$B$4:$B$1203,$Z1121-4000)),IF($Z1121&lt;=5800,IF(INDEX(次果筐明细!$B$4:$B$603,$Z1121-5200)=0,"",INDEX(次果筐明细!$B$4:$B$603,$Z1121-5200)),"")))))</f>
        <v/>
      </c>
      <c r="C1121" s="37" t="str">
        <f>IF($Z1121="","",IF($Z1121&lt;=2000,IF(INDEX(包装物料出入库明细!$D$4:$D$2003,$Z1121-0)=0,"",INDEX(包装物料出入库明细!$D$4:$D$2003,$Z1121-0)),IF($Z1121&lt;=4000,IF(INDEX(周转筐出入库明细!$C$4:$C$2004,$Z1121-2000)=0,"",INDEX(周转筐出入库明细!$C$4:$C$2004,$Z1121-2000)),IF($Z1121&lt;=5200,IF(INDEX(客户自备加工筐明细!$E$4:$E$1203,$Z1121-4000)=0,"",INDEX(客户自备加工筐明细!$E$4:$E$1203,$Z1121-4000)),IF($Z1121&lt;=5800,IF(INDEX(次果筐明细!$C$4:$C$603,$Z1121-5200)=0,"",INDEX(次果筐明细!$C$4:$C$603,$Z1121-5200)),"")))))</f>
        <v/>
      </c>
      <c r="D1121" s="37" t="str">
        <f>IF($Z1121="","",IF($Z1121&lt;=2000,"包装物料－"&amp;INDEX(包装物料出入库明细!$H$4:$H$2003,$Z1121-0),IF($Z1121&lt;=4000,"周转筐－"&amp;INDEX(周转筐出入库明细!$F$4:$F$2004,$Z1121-2000),IF($Z1121&lt;=5200,"客户自备筐－"&amp;INDEX(客户自备加工筐明细!$J$4:$J$1203,$Z1121-4000),IF($Z1121&lt;=5800,"次果筐/托盘－"&amp;INDEX(次果筐明细!$F$4:$F$603,$Z1121-5200),"")))))</f>
        <v/>
      </c>
      <c r="E1121" s="24" t="str">
        <f>IF($Z1121="","",IF($Z1121&lt;=2000,IF(INDEX(包装物料出入库明细!$C$4:$C$2003,$Z1121-0)=0,"",INDEX(包装物料出入库明细!$C$4:$C$2003,$Z1121-0)),IF($Z1121&lt;=4000,IF(INDEX(周转筐出入库明细!$E$4:$E$2004,$Z1121-2000)=0,"",INDEX(周转筐出入库明细!$E$4:$E$2004,$Z1121-2000)),IF($Z1121&lt;=5200,IF(INDEX(客户自备加工筐明细!$D$4:$D$1203,$Z1121-4000)=0,"",INDEX(客户自备加工筐明细!$D$4:$D$1203,$Z1121-4000)),IF($Z1121&lt;=5800,IF(INDEX(次果筐明细!$E$4:$E$603,$Z1121-5200)=0,"",INDEX(次果筐明细!$E$4:$E$603,$Z1121-5200)),"")))))</f>
        <v/>
      </c>
      <c r="F1121" s="24" t="str">
        <f>IF($Z1121="","",IF($Z1121&lt;=2000,IF(INDEX(包装物料出入库明细!$E$4:$E$2003,$Z1121-0)=0,"",INDEX(包装物料出入库明细!$E$4:$E$2003,$Z1121-0)),IF($Z1121&lt;=4000,IF(INDEX(周转筐出入库明细!$D$4:$D$2004,$Z1121-2000)=0,"",INDEX(周转筐出入库明细!$D$4:$D$2004,$Z1121-2000)),IF($Z1121&lt;=5200,IF(INDEX(客户自备加工筐明细!$C$4:$C$1203,$Z1121-4000)=0,"",INDEX(客户自备加工筐明细!$C$4:$C$1203,$Z1121-4000)),IF($Z1121&lt;=5800,IF(INDEX(次果筐明细!$D$4:$D$603,$Z1121-5200)=0,"",INDEX(次果筐明细!$D$4:$D$603,$Z1121-5200)),"")))))</f>
        <v/>
      </c>
      <c r="G1121" s="24" t="str">
        <f>IF($Z1121="","",IF($Z1121&lt;=2000,IF(INDEX(包装物料出入库明细!$F$4:$F$2003,$Z1121-0)=0,"",INDEX(包装物料出入库明细!$F$4:$F$2003,$Z1121-0)),IF($Z1121&lt;=4000,"",IF($Z1121&lt;=5200,"",IF($Z1121&lt;=5800,"","")))))</f>
        <v/>
      </c>
      <c r="H1121" s="39" t="str">
        <f>IF($Z1121="","",IF($Z1121&lt;=2000,IF(INDEX(包装物料出入库明细!$L$4:$L$2003,$Z1121-0)=0,"",INDEX(包装物料出入库明细!$L$4:$L$2003,$Z1121-0)),IF($Z1121&lt;=4000,N(INDEX(周转筐出入库明细!$H$4:$H$2004,$Z1121-2000))+N(INDEX(周转筐出入库明细!$I$4:$I$2004,$Z1121-2000))+N(INDEX(周转筐出入库明细!$J$4:$J$2004,$Z1121-2000))+N(INDEX(周转筐出入库明细!$K$4:$K$2004,$Z1121-2000)),IF($Z1121&lt;=5200,N(INDEX(客户自备加工筐明细!$F$4:$F$1203,$Z1121-4000))+N(INDEX(客户自备加工筐明细!$G$4:$G$1203,$Z1121-4000)),IF($Z1121&lt;=5800,IF(INDEX(次果筐明细!$G$4:$G$603,$Z1121-5200)=0,"",INDEX(次果筐明细!$G$4:$G$603,$Z1121-5200)),"")))))</f>
        <v/>
      </c>
      <c r="I1121" s="24" t="str">
        <f>IF($Z1121="","",IF($Z1121&lt;=2000,IF(INDEX(包装物料出入库明细!$G$4:$G$2003,$Z1121-0)=0,"",INDEX(包装物料出入库明细!$G$4:$G$2003,$Z1121-0)),IF($Z1121&lt;=4000,"个",IF($Z1121&lt;=5200,"个",IF($Z1121&lt;=5800,"个","")))))</f>
        <v/>
      </c>
      <c r="J1121" s="30" t="str">
        <f t="shared" si="52"/>
        <v/>
      </c>
      <c r="K1121" s="30" t="str">
        <f>IF($Z1121="","",IF($Z1121&lt;=2000,IF(INDEX(包装物料出入库明细!$N$4:$N$2003,$Z1121-0)=0,"",INDEX(包装物料出入库明细!$N$4:$N$2003,$Z1121-0)),IF($Z1121&lt;=4000,IF(INDEX(周转筐出入库明细!$P$4:$P$2004,$Z1121-2000)=0,"",INDEX(周转筐出入库明细!$P$4:$P$2004,$Z1121-2000)),IF($Z1121&lt;=5200,"",IF($Z1121&lt;=5800,N(INDEX(次果筐明细!$L$4:$L$603,$Z1121-5200))+N(INDEX(次果筐明细!$J$4:$J$603,$Z1121-5200)),"")))))</f>
        <v/>
      </c>
      <c r="L1121" s="24" t="str">
        <f>IF($Z1121="","",IF($Z1121&lt;=2000,IF(INDEX(包装物料出入库明细!$P$4:$P$2003,$Z1121-0)=0,"",INDEX(包装物料出入库明细!$P$4:$P$2003,$Z1121-0)),IF($Z1121&lt;=4000,IF(INDEX(周转筐出入库明细!$Q$4:$Q$2004,$Z1121-2000)=0,"",INDEX(周转筐出入库明细!$Q$4:$Q$2004,$Z1121-2000)),IF($Z1121&lt;=5200,"",IF($Z1121&lt;=5800,IF(INDEX(次果筐明细!$M$4:$M$603,$Z1121-5200)=0,"",INDEX(次果筐明细!$M$4:$M$603,$Z1121-5200)),"")))))</f>
        <v/>
      </c>
      <c r="M1121" s="37" t="str">
        <f>IF($Z1121="","",IF($Z1121&lt;=2000,IF(INDEX(包装物料出入库明细!$R$4:$R$2003,$Z1121-0)=0,"",INDEX(包装物料出入库明细!$R$4:$R$2003,$Z1121-0)),IF($Z1121&lt;=4000,IF(INDEX(周转筐出入库明细!$W$4:$W$2004,$Z1121-2000)=0,"",INDEX(周转筐出入库明细!$W$4:$W$2004,$Z1121-2000)),IF($Z1121&lt;=5200,IF(INDEX(客户自备加工筐明细!$L$4:$L$1203,$Z1121-4000)=0,"",INDEX(客户自备加工筐明细!$L$4:$L$1203,$Z1121-4000)),IF($Z1121&lt;=5800,IF(INDEX(次果筐明细!$P$4:$P$603,$Z1121-5200)=0,"",INDEX(次果筐明细!$P$4:$P$603,$Z1121-5200)),"")))))</f>
        <v/>
      </c>
      <c r="N1121" s="16" t="str">
        <f>IF($Z1121="","",IF($Z1121&lt;=2000,"",IF($Z1121&lt;=4000,IF(INDEX(周转筐出入库明细!$D$4:$D$2004,$Z1121-2000)=0,"",INDEX(周转筐出入库明细!$D$4:$D$2004,$Z1121-2000)),IF($Z1121&lt;=5200,IF(INDEX(客户自备加工筐明细!$C$4:$C$1203,$Z1121-4000)=0,"",INDEX(客户自备加工筐明细!$C$4:$C$1203,$Z1121-4000)),IF($Z1121&lt;=5800,IF(INDEX(次果筐明细!$D$4:$D$603,$Z1121-5200)=0,"",INDEX(次果筐明细!$D$4:$D$603,$Z1121-5200)),"")))))</f>
        <v/>
      </c>
      <c r="O1121" s="40" t="str">
        <f>IF($Z1121="","",IF($Z1121&lt;=2000,"",IF($Z1121&lt;=4000,IF(N(INDEX(周转筐出入库明细!$J$4:$J$2004,$Z1121-2000))+N(INDEX(周转筐出入库明细!$K$4:$K$2004,$Z1121-2000))=0,"",N(INDEX(周转筐出入库明细!$J$4:$J$2004,$Z1121-2000))+N(INDEX(周转筐出入库明细!$K$4:$K$2004,$Z1121-2000))),IF($Z1121&lt;=5200,IF(N(INDEX(客户自备加工筐明细!$G$4:$G$1203,$Z1121-4000))=0,"",N(INDEX(客户自备加工筐明细!$G$4:$G$1203,$Z1121-4000))),IF($Z1121&lt;=5800,IF(ISNUMBER(SEARCH("退",INDEX(次果筐明细!$F$4:$F$603,$Z1121-5200)&amp;"")),"",IF(N(INDEX(次果筐明细!$G$4:$G$603,$Z1121-5200))=0,"",N(INDEX(次果筐明细!$G$4:$G$603,$Z1121-5200)))),"")))))</f>
        <v/>
      </c>
      <c r="P1121" s="40" t="str">
        <f>IF($Z1121="","",IF($Z1121&lt;=2000,"",IF($Z1121&lt;=4000,IF(N(INDEX(周转筐出入库明细!$I$4:$I$2004,$Z1121-2000))=0,"",N(INDEX(周转筐出入库明细!$I$4:$I$2004,$Z1121-2000))),IF($Z1121&lt;=5200,"",IF($Z1121&lt;=5800,IF(ISNUMBER(SEARCH("退",INDEX(次果筐明细!$F$4:$F$603,$Z1121-5200)&amp;"")),IF(N(INDEX(次果筐明细!$G$4:$G$603,$Z1121-5200))=0,"",N(INDEX(次果筐明细!$G$4:$G$603,$Z1121-5200))),""),"")))))</f>
        <v/>
      </c>
      <c r="Q1121" s="40" t="str">
        <f>IF($Z1121="","",IF($Z1121&lt;=2000,"",IF($Z1121&lt;=4000,IF(N(INDEX(周转筐出入库明细!$H$4:$H$2004,$Z1121-2000))=0,"",N(INDEX(周转筐出入库明细!$H$4:$H$2004,$Z1121-2000))),IF($Z1121&lt;=5200,IF(N(INDEX(客户自备加工筐明细!$F$4:$F$1203,$Z1121-4000))=0,"",N(INDEX(客户自备加工筐明细!$F$4:$F$1203,$Z1121-4000))),IF($Z1121&lt;=5800,"","")))))</f>
        <v/>
      </c>
      <c r="R1121" s="16" t="str">
        <f>IF($Z1121="","",IF($Z1121&lt;=2000,IF(INDEX(包装物料出入库明细!$O$4:$O$2003,$Z1121-0)=0,"",INDEX(包装物料出入库明细!$O$4:$O$2003,$Z1121-0)),IF($Z1121&lt;=4000,IF(INDEX(周转筐出入库明细!$M$4:$M$2004,$Z1121-2000)=0,"",INDEX(周转筐出入库明细!$M$4:$M$2004,$Z1121-2000)),IF($Z1121&lt;=5200,IF(INDEX(客户自备加工筐明细!$H$4:$H$1203,$Z1121-4000)=0,"",INDEX(客户自备加工筐明细!$H$4:$H$1203,$Z1121-4000)),IF($Z1121&lt;=5800,IF(INDEX(次果筐明细!$H$4:$H$603,$Z1121-5200)=0,"",INDEX(次果筐明细!$H$4:$H$603,$Z1121-5200)),"")))))</f>
        <v/>
      </c>
      <c r="S1121" s="22" t="str">
        <f t="shared" si="53"/>
        <v/>
      </c>
      <c r="Z1121" s="10" t="str">
        <f>IFERROR(MATCH(ROW()-3,_自动清单!$CQ$4:$CQ$5803,0),"")</f>
        <v/>
      </c>
    </row>
    <row r="1122" spans="1:26">
      <c r="A1122" s="24" t="str">
        <f t="shared" si="51"/>
        <v/>
      </c>
      <c r="B1122" s="38" t="str">
        <f>IF($Z1122="","",IF($Z1122&lt;=2000,IF(INDEX(包装物料出入库明细!$B$4:$B$2003,$Z1122-0)=0,"",INDEX(包装物料出入库明细!$B$4:$B$2003,$Z1122-0)),IF($Z1122&lt;=4000,IF(INDEX(周转筐出入库明细!$B$4:$B$2004,$Z1122-2000)=0,"",INDEX(周转筐出入库明细!$B$4:$B$2004,$Z1122-2000)),IF($Z1122&lt;=5200,IF(INDEX(客户自备加工筐明细!$B$4:$B$1203,$Z1122-4000)=0,"",INDEX(客户自备加工筐明细!$B$4:$B$1203,$Z1122-4000)),IF($Z1122&lt;=5800,IF(INDEX(次果筐明细!$B$4:$B$603,$Z1122-5200)=0,"",INDEX(次果筐明细!$B$4:$B$603,$Z1122-5200)),"")))))</f>
        <v/>
      </c>
      <c r="C1122" s="37" t="str">
        <f>IF($Z1122="","",IF($Z1122&lt;=2000,IF(INDEX(包装物料出入库明细!$D$4:$D$2003,$Z1122-0)=0,"",INDEX(包装物料出入库明细!$D$4:$D$2003,$Z1122-0)),IF($Z1122&lt;=4000,IF(INDEX(周转筐出入库明细!$C$4:$C$2004,$Z1122-2000)=0,"",INDEX(周转筐出入库明细!$C$4:$C$2004,$Z1122-2000)),IF($Z1122&lt;=5200,IF(INDEX(客户自备加工筐明细!$E$4:$E$1203,$Z1122-4000)=0,"",INDEX(客户自备加工筐明细!$E$4:$E$1203,$Z1122-4000)),IF($Z1122&lt;=5800,IF(INDEX(次果筐明细!$C$4:$C$603,$Z1122-5200)=0,"",INDEX(次果筐明细!$C$4:$C$603,$Z1122-5200)),"")))))</f>
        <v/>
      </c>
      <c r="D1122" s="37" t="str">
        <f>IF($Z1122="","",IF($Z1122&lt;=2000,"包装物料－"&amp;INDEX(包装物料出入库明细!$H$4:$H$2003,$Z1122-0),IF($Z1122&lt;=4000,"周转筐－"&amp;INDEX(周转筐出入库明细!$F$4:$F$2004,$Z1122-2000),IF($Z1122&lt;=5200,"客户自备筐－"&amp;INDEX(客户自备加工筐明细!$J$4:$J$1203,$Z1122-4000),IF($Z1122&lt;=5800,"次果筐/托盘－"&amp;INDEX(次果筐明细!$F$4:$F$603,$Z1122-5200),"")))))</f>
        <v/>
      </c>
      <c r="E1122" s="24" t="str">
        <f>IF($Z1122="","",IF($Z1122&lt;=2000,IF(INDEX(包装物料出入库明细!$C$4:$C$2003,$Z1122-0)=0,"",INDEX(包装物料出入库明细!$C$4:$C$2003,$Z1122-0)),IF($Z1122&lt;=4000,IF(INDEX(周转筐出入库明细!$E$4:$E$2004,$Z1122-2000)=0,"",INDEX(周转筐出入库明细!$E$4:$E$2004,$Z1122-2000)),IF($Z1122&lt;=5200,IF(INDEX(客户自备加工筐明细!$D$4:$D$1203,$Z1122-4000)=0,"",INDEX(客户自备加工筐明细!$D$4:$D$1203,$Z1122-4000)),IF($Z1122&lt;=5800,IF(INDEX(次果筐明细!$E$4:$E$603,$Z1122-5200)=0,"",INDEX(次果筐明细!$E$4:$E$603,$Z1122-5200)),"")))))</f>
        <v/>
      </c>
      <c r="F1122" s="24" t="str">
        <f>IF($Z1122="","",IF($Z1122&lt;=2000,IF(INDEX(包装物料出入库明细!$E$4:$E$2003,$Z1122-0)=0,"",INDEX(包装物料出入库明细!$E$4:$E$2003,$Z1122-0)),IF($Z1122&lt;=4000,IF(INDEX(周转筐出入库明细!$D$4:$D$2004,$Z1122-2000)=0,"",INDEX(周转筐出入库明细!$D$4:$D$2004,$Z1122-2000)),IF($Z1122&lt;=5200,IF(INDEX(客户自备加工筐明细!$C$4:$C$1203,$Z1122-4000)=0,"",INDEX(客户自备加工筐明细!$C$4:$C$1203,$Z1122-4000)),IF($Z1122&lt;=5800,IF(INDEX(次果筐明细!$D$4:$D$603,$Z1122-5200)=0,"",INDEX(次果筐明细!$D$4:$D$603,$Z1122-5200)),"")))))</f>
        <v/>
      </c>
      <c r="G1122" s="24" t="str">
        <f>IF($Z1122="","",IF($Z1122&lt;=2000,IF(INDEX(包装物料出入库明细!$F$4:$F$2003,$Z1122-0)=0,"",INDEX(包装物料出入库明细!$F$4:$F$2003,$Z1122-0)),IF($Z1122&lt;=4000,"",IF($Z1122&lt;=5200,"",IF($Z1122&lt;=5800,"","")))))</f>
        <v/>
      </c>
      <c r="H1122" s="39" t="str">
        <f>IF($Z1122="","",IF($Z1122&lt;=2000,IF(INDEX(包装物料出入库明细!$L$4:$L$2003,$Z1122-0)=0,"",INDEX(包装物料出入库明细!$L$4:$L$2003,$Z1122-0)),IF($Z1122&lt;=4000,N(INDEX(周转筐出入库明细!$H$4:$H$2004,$Z1122-2000))+N(INDEX(周转筐出入库明细!$I$4:$I$2004,$Z1122-2000))+N(INDEX(周转筐出入库明细!$J$4:$J$2004,$Z1122-2000))+N(INDEX(周转筐出入库明细!$K$4:$K$2004,$Z1122-2000)),IF($Z1122&lt;=5200,N(INDEX(客户自备加工筐明细!$F$4:$F$1203,$Z1122-4000))+N(INDEX(客户自备加工筐明细!$G$4:$G$1203,$Z1122-4000)),IF($Z1122&lt;=5800,IF(INDEX(次果筐明细!$G$4:$G$603,$Z1122-5200)=0,"",INDEX(次果筐明细!$G$4:$G$603,$Z1122-5200)),"")))))</f>
        <v/>
      </c>
      <c r="I1122" s="24" t="str">
        <f>IF($Z1122="","",IF($Z1122&lt;=2000,IF(INDEX(包装物料出入库明细!$G$4:$G$2003,$Z1122-0)=0,"",INDEX(包装物料出入库明细!$G$4:$G$2003,$Z1122-0)),IF($Z1122&lt;=4000,"个",IF($Z1122&lt;=5200,"个",IF($Z1122&lt;=5800,"个","")))))</f>
        <v/>
      </c>
      <c r="J1122" s="30" t="str">
        <f t="shared" si="52"/>
        <v/>
      </c>
      <c r="K1122" s="30" t="str">
        <f>IF($Z1122="","",IF($Z1122&lt;=2000,IF(INDEX(包装物料出入库明细!$N$4:$N$2003,$Z1122-0)=0,"",INDEX(包装物料出入库明细!$N$4:$N$2003,$Z1122-0)),IF($Z1122&lt;=4000,IF(INDEX(周转筐出入库明细!$P$4:$P$2004,$Z1122-2000)=0,"",INDEX(周转筐出入库明细!$P$4:$P$2004,$Z1122-2000)),IF($Z1122&lt;=5200,"",IF($Z1122&lt;=5800,N(INDEX(次果筐明细!$L$4:$L$603,$Z1122-5200))+N(INDEX(次果筐明细!$J$4:$J$603,$Z1122-5200)),"")))))</f>
        <v/>
      </c>
      <c r="L1122" s="24" t="str">
        <f>IF($Z1122="","",IF($Z1122&lt;=2000,IF(INDEX(包装物料出入库明细!$P$4:$P$2003,$Z1122-0)=0,"",INDEX(包装物料出入库明细!$P$4:$P$2003,$Z1122-0)),IF($Z1122&lt;=4000,IF(INDEX(周转筐出入库明细!$Q$4:$Q$2004,$Z1122-2000)=0,"",INDEX(周转筐出入库明细!$Q$4:$Q$2004,$Z1122-2000)),IF($Z1122&lt;=5200,"",IF($Z1122&lt;=5800,IF(INDEX(次果筐明细!$M$4:$M$603,$Z1122-5200)=0,"",INDEX(次果筐明细!$M$4:$M$603,$Z1122-5200)),"")))))</f>
        <v/>
      </c>
      <c r="M1122" s="37" t="str">
        <f>IF($Z1122="","",IF($Z1122&lt;=2000,IF(INDEX(包装物料出入库明细!$R$4:$R$2003,$Z1122-0)=0,"",INDEX(包装物料出入库明细!$R$4:$R$2003,$Z1122-0)),IF($Z1122&lt;=4000,IF(INDEX(周转筐出入库明细!$W$4:$W$2004,$Z1122-2000)=0,"",INDEX(周转筐出入库明细!$W$4:$W$2004,$Z1122-2000)),IF($Z1122&lt;=5200,IF(INDEX(客户自备加工筐明细!$L$4:$L$1203,$Z1122-4000)=0,"",INDEX(客户自备加工筐明细!$L$4:$L$1203,$Z1122-4000)),IF($Z1122&lt;=5800,IF(INDEX(次果筐明细!$P$4:$P$603,$Z1122-5200)=0,"",INDEX(次果筐明细!$P$4:$P$603,$Z1122-5200)),"")))))</f>
        <v/>
      </c>
      <c r="N1122" s="16" t="str">
        <f>IF($Z1122="","",IF($Z1122&lt;=2000,"",IF($Z1122&lt;=4000,IF(INDEX(周转筐出入库明细!$D$4:$D$2004,$Z1122-2000)=0,"",INDEX(周转筐出入库明细!$D$4:$D$2004,$Z1122-2000)),IF($Z1122&lt;=5200,IF(INDEX(客户自备加工筐明细!$C$4:$C$1203,$Z1122-4000)=0,"",INDEX(客户自备加工筐明细!$C$4:$C$1203,$Z1122-4000)),IF($Z1122&lt;=5800,IF(INDEX(次果筐明细!$D$4:$D$603,$Z1122-5200)=0,"",INDEX(次果筐明细!$D$4:$D$603,$Z1122-5200)),"")))))</f>
        <v/>
      </c>
      <c r="O1122" s="40" t="str">
        <f>IF($Z1122="","",IF($Z1122&lt;=2000,"",IF($Z1122&lt;=4000,IF(N(INDEX(周转筐出入库明细!$J$4:$J$2004,$Z1122-2000))+N(INDEX(周转筐出入库明细!$K$4:$K$2004,$Z1122-2000))=0,"",N(INDEX(周转筐出入库明细!$J$4:$J$2004,$Z1122-2000))+N(INDEX(周转筐出入库明细!$K$4:$K$2004,$Z1122-2000))),IF($Z1122&lt;=5200,IF(N(INDEX(客户自备加工筐明细!$G$4:$G$1203,$Z1122-4000))=0,"",N(INDEX(客户自备加工筐明细!$G$4:$G$1203,$Z1122-4000))),IF($Z1122&lt;=5800,IF(ISNUMBER(SEARCH("退",INDEX(次果筐明细!$F$4:$F$603,$Z1122-5200)&amp;"")),"",IF(N(INDEX(次果筐明细!$G$4:$G$603,$Z1122-5200))=0,"",N(INDEX(次果筐明细!$G$4:$G$603,$Z1122-5200)))),"")))))</f>
        <v/>
      </c>
      <c r="P1122" s="40" t="str">
        <f>IF($Z1122="","",IF($Z1122&lt;=2000,"",IF($Z1122&lt;=4000,IF(N(INDEX(周转筐出入库明细!$I$4:$I$2004,$Z1122-2000))=0,"",N(INDEX(周转筐出入库明细!$I$4:$I$2004,$Z1122-2000))),IF($Z1122&lt;=5200,"",IF($Z1122&lt;=5800,IF(ISNUMBER(SEARCH("退",INDEX(次果筐明细!$F$4:$F$603,$Z1122-5200)&amp;"")),IF(N(INDEX(次果筐明细!$G$4:$G$603,$Z1122-5200))=0,"",N(INDEX(次果筐明细!$G$4:$G$603,$Z1122-5200))),""),"")))))</f>
        <v/>
      </c>
      <c r="Q1122" s="40" t="str">
        <f>IF($Z1122="","",IF($Z1122&lt;=2000,"",IF($Z1122&lt;=4000,IF(N(INDEX(周转筐出入库明细!$H$4:$H$2004,$Z1122-2000))=0,"",N(INDEX(周转筐出入库明细!$H$4:$H$2004,$Z1122-2000))),IF($Z1122&lt;=5200,IF(N(INDEX(客户自备加工筐明细!$F$4:$F$1203,$Z1122-4000))=0,"",N(INDEX(客户自备加工筐明细!$F$4:$F$1203,$Z1122-4000))),IF($Z1122&lt;=5800,"","")))))</f>
        <v/>
      </c>
      <c r="R1122" s="16" t="str">
        <f>IF($Z1122="","",IF($Z1122&lt;=2000,IF(INDEX(包装物料出入库明细!$O$4:$O$2003,$Z1122-0)=0,"",INDEX(包装物料出入库明细!$O$4:$O$2003,$Z1122-0)),IF($Z1122&lt;=4000,IF(INDEX(周转筐出入库明细!$M$4:$M$2004,$Z1122-2000)=0,"",INDEX(周转筐出入库明细!$M$4:$M$2004,$Z1122-2000)),IF($Z1122&lt;=5200,IF(INDEX(客户自备加工筐明细!$H$4:$H$1203,$Z1122-4000)=0,"",INDEX(客户自备加工筐明细!$H$4:$H$1203,$Z1122-4000)),IF($Z1122&lt;=5800,IF(INDEX(次果筐明细!$H$4:$H$603,$Z1122-5200)=0,"",INDEX(次果筐明细!$H$4:$H$603,$Z1122-5200)),"")))))</f>
        <v/>
      </c>
      <c r="S1122" s="22" t="str">
        <f t="shared" si="53"/>
        <v/>
      </c>
      <c r="Z1122" s="10" t="str">
        <f>IFERROR(MATCH(ROW()-3,_自动清单!$CQ$4:$CQ$5803,0),"")</f>
        <v/>
      </c>
    </row>
    <row r="1123" spans="1:26">
      <c r="A1123" s="24" t="str">
        <f t="shared" si="51"/>
        <v/>
      </c>
      <c r="B1123" s="38" t="str">
        <f>IF($Z1123="","",IF($Z1123&lt;=2000,IF(INDEX(包装物料出入库明细!$B$4:$B$2003,$Z1123-0)=0,"",INDEX(包装物料出入库明细!$B$4:$B$2003,$Z1123-0)),IF($Z1123&lt;=4000,IF(INDEX(周转筐出入库明细!$B$4:$B$2004,$Z1123-2000)=0,"",INDEX(周转筐出入库明细!$B$4:$B$2004,$Z1123-2000)),IF($Z1123&lt;=5200,IF(INDEX(客户自备加工筐明细!$B$4:$B$1203,$Z1123-4000)=0,"",INDEX(客户自备加工筐明细!$B$4:$B$1203,$Z1123-4000)),IF($Z1123&lt;=5800,IF(INDEX(次果筐明细!$B$4:$B$603,$Z1123-5200)=0,"",INDEX(次果筐明细!$B$4:$B$603,$Z1123-5200)),"")))))</f>
        <v/>
      </c>
      <c r="C1123" s="37" t="str">
        <f>IF($Z1123="","",IF($Z1123&lt;=2000,IF(INDEX(包装物料出入库明细!$D$4:$D$2003,$Z1123-0)=0,"",INDEX(包装物料出入库明细!$D$4:$D$2003,$Z1123-0)),IF($Z1123&lt;=4000,IF(INDEX(周转筐出入库明细!$C$4:$C$2004,$Z1123-2000)=0,"",INDEX(周转筐出入库明细!$C$4:$C$2004,$Z1123-2000)),IF($Z1123&lt;=5200,IF(INDEX(客户自备加工筐明细!$E$4:$E$1203,$Z1123-4000)=0,"",INDEX(客户自备加工筐明细!$E$4:$E$1203,$Z1123-4000)),IF($Z1123&lt;=5800,IF(INDEX(次果筐明细!$C$4:$C$603,$Z1123-5200)=0,"",INDEX(次果筐明细!$C$4:$C$603,$Z1123-5200)),"")))))</f>
        <v/>
      </c>
      <c r="D1123" s="37" t="str">
        <f>IF($Z1123="","",IF($Z1123&lt;=2000,"包装物料－"&amp;INDEX(包装物料出入库明细!$H$4:$H$2003,$Z1123-0),IF($Z1123&lt;=4000,"周转筐－"&amp;INDEX(周转筐出入库明细!$F$4:$F$2004,$Z1123-2000),IF($Z1123&lt;=5200,"客户自备筐－"&amp;INDEX(客户自备加工筐明细!$J$4:$J$1203,$Z1123-4000),IF($Z1123&lt;=5800,"次果筐/托盘－"&amp;INDEX(次果筐明细!$F$4:$F$603,$Z1123-5200),"")))))</f>
        <v/>
      </c>
      <c r="E1123" s="24" t="str">
        <f>IF($Z1123="","",IF($Z1123&lt;=2000,IF(INDEX(包装物料出入库明细!$C$4:$C$2003,$Z1123-0)=0,"",INDEX(包装物料出入库明细!$C$4:$C$2003,$Z1123-0)),IF($Z1123&lt;=4000,IF(INDEX(周转筐出入库明细!$E$4:$E$2004,$Z1123-2000)=0,"",INDEX(周转筐出入库明细!$E$4:$E$2004,$Z1123-2000)),IF($Z1123&lt;=5200,IF(INDEX(客户自备加工筐明细!$D$4:$D$1203,$Z1123-4000)=0,"",INDEX(客户自备加工筐明细!$D$4:$D$1203,$Z1123-4000)),IF($Z1123&lt;=5800,IF(INDEX(次果筐明细!$E$4:$E$603,$Z1123-5200)=0,"",INDEX(次果筐明细!$E$4:$E$603,$Z1123-5200)),"")))))</f>
        <v/>
      </c>
      <c r="F1123" s="24" t="str">
        <f>IF($Z1123="","",IF($Z1123&lt;=2000,IF(INDEX(包装物料出入库明细!$E$4:$E$2003,$Z1123-0)=0,"",INDEX(包装物料出入库明细!$E$4:$E$2003,$Z1123-0)),IF($Z1123&lt;=4000,IF(INDEX(周转筐出入库明细!$D$4:$D$2004,$Z1123-2000)=0,"",INDEX(周转筐出入库明细!$D$4:$D$2004,$Z1123-2000)),IF($Z1123&lt;=5200,IF(INDEX(客户自备加工筐明细!$C$4:$C$1203,$Z1123-4000)=0,"",INDEX(客户自备加工筐明细!$C$4:$C$1203,$Z1123-4000)),IF($Z1123&lt;=5800,IF(INDEX(次果筐明细!$D$4:$D$603,$Z1123-5200)=0,"",INDEX(次果筐明细!$D$4:$D$603,$Z1123-5200)),"")))))</f>
        <v/>
      </c>
      <c r="G1123" s="24" t="str">
        <f>IF($Z1123="","",IF($Z1123&lt;=2000,IF(INDEX(包装物料出入库明细!$F$4:$F$2003,$Z1123-0)=0,"",INDEX(包装物料出入库明细!$F$4:$F$2003,$Z1123-0)),IF($Z1123&lt;=4000,"",IF($Z1123&lt;=5200,"",IF($Z1123&lt;=5800,"","")))))</f>
        <v/>
      </c>
      <c r="H1123" s="39" t="str">
        <f>IF($Z1123="","",IF($Z1123&lt;=2000,IF(INDEX(包装物料出入库明细!$L$4:$L$2003,$Z1123-0)=0,"",INDEX(包装物料出入库明细!$L$4:$L$2003,$Z1123-0)),IF($Z1123&lt;=4000,N(INDEX(周转筐出入库明细!$H$4:$H$2004,$Z1123-2000))+N(INDEX(周转筐出入库明细!$I$4:$I$2004,$Z1123-2000))+N(INDEX(周转筐出入库明细!$J$4:$J$2004,$Z1123-2000))+N(INDEX(周转筐出入库明细!$K$4:$K$2004,$Z1123-2000)),IF($Z1123&lt;=5200,N(INDEX(客户自备加工筐明细!$F$4:$F$1203,$Z1123-4000))+N(INDEX(客户自备加工筐明细!$G$4:$G$1203,$Z1123-4000)),IF($Z1123&lt;=5800,IF(INDEX(次果筐明细!$G$4:$G$603,$Z1123-5200)=0,"",INDEX(次果筐明细!$G$4:$G$603,$Z1123-5200)),"")))))</f>
        <v/>
      </c>
      <c r="I1123" s="24" t="str">
        <f>IF($Z1123="","",IF($Z1123&lt;=2000,IF(INDEX(包装物料出入库明细!$G$4:$G$2003,$Z1123-0)=0,"",INDEX(包装物料出入库明细!$G$4:$G$2003,$Z1123-0)),IF($Z1123&lt;=4000,"个",IF($Z1123&lt;=5200,"个",IF($Z1123&lt;=5800,"个","")))))</f>
        <v/>
      </c>
      <c r="J1123" s="30" t="str">
        <f t="shared" si="52"/>
        <v/>
      </c>
      <c r="K1123" s="30" t="str">
        <f>IF($Z1123="","",IF($Z1123&lt;=2000,IF(INDEX(包装物料出入库明细!$N$4:$N$2003,$Z1123-0)=0,"",INDEX(包装物料出入库明细!$N$4:$N$2003,$Z1123-0)),IF($Z1123&lt;=4000,IF(INDEX(周转筐出入库明细!$P$4:$P$2004,$Z1123-2000)=0,"",INDEX(周转筐出入库明细!$P$4:$P$2004,$Z1123-2000)),IF($Z1123&lt;=5200,"",IF($Z1123&lt;=5800,N(INDEX(次果筐明细!$L$4:$L$603,$Z1123-5200))+N(INDEX(次果筐明细!$J$4:$J$603,$Z1123-5200)),"")))))</f>
        <v/>
      </c>
      <c r="L1123" s="24" t="str">
        <f>IF($Z1123="","",IF($Z1123&lt;=2000,IF(INDEX(包装物料出入库明细!$P$4:$P$2003,$Z1123-0)=0,"",INDEX(包装物料出入库明细!$P$4:$P$2003,$Z1123-0)),IF($Z1123&lt;=4000,IF(INDEX(周转筐出入库明细!$Q$4:$Q$2004,$Z1123-2000)=0,"",INDEX(周转筐出入库明细!$Q$4:$Q$2004,$Z1123-2000)),IF($Z1123&lt;=5200,"",IF($Z1123&lt;=5800,IF(INDEX(次果筐明细!$M$4:$M$603,$Z1123-5200)=0,"",INDEX(次果筐明细!$M$4:$M$603,$Z1123-5200)),"")))))</f>
        <v/>
      </c>
      <c r="M1123" s="37" t="str">
        <f>IF($Z1123="","",IF($Z1123&lt;=2000,IF(INDEX(包装物料出入库明细!$R$4:$R$2003,$Z1123-0)=0,"",INDEX(包装物料出入库明细!$R$4:$R$2003,$Z1123-0)),IF($Z1123&lt;=4000,IF(INDEX(周转筐出入库明细!$W$4:$W$2004,$Z1123-2000)=0,"",INDEX(周转筐出入库明细!$W$4:$W$2004,$Z1123-2000)),IF($Z1123&lt;=5200,IF(INDEX(客户自备加工筐明细!$L$4:$L$1203,$Z1123-4000)=0,"",INDEX(客户自备加工筐明细!$L$4:$L$1203,$Z1123-4000)),IF($Z1123&lt;=5800,IF(INDEX(次果筐明细!$P$4:$P$603,$Z1123-5200)=0,"",INDEX(次果筐明细!$P$4:$P$603,$Z1123-5200)),"")))))</f>
        <v/>
      </c>
      <c r="N1123" s="16" t="str">
        <f>IF($Z1123="","",IF($Z1123&lt;=2000,"",IF($Z1123&lt;=4000,IF(INDEX(周转筐出入库明细!$D$4:$D$2004,$Z1123-2000)=0,"",INDEX(周转筐出入库明细!$D$4:$D$2004,$Z1123-2000)),IF($Z1123&lt;=5200,IF(INDEX(客户自备加工筐明细!$C$4:$C$1203,$Z1123-4000)=0,"",INDEX(客户自备加工筐明细!$C$4:$C$1203,$Z1123-4000)),IF($Z1123&lt;=5800,IF(INDEX(次果筐明细!$D$4:$D$603,$Z1123-5200)=0,"",INDEX(次果筐明细!$D$4:$D$603,$Z1123-5200)),"")))))</f>
        <v/>
      </c>
      <c r="O1123" s="40" t="str">
        <f>IF($Z1123="","",IF($Z1123&lt;=2000,"",IF($Z1123&lt;=4000,IF(N(INDEX(周转筐出入库明细!$J$4:$J$2004,$Z1123-2000))+N(INDEX(周转筐出入库明细!$K$4:$K$2004,$Z1123-2000))=0,"",N(INDEX(周转筐出入库明细!$J$4:$J$2004,$Z1123-2000))+N(INDEX(周转筐出入库明细!$K$4:$K$2004,$Z1123-2000))),IF($Z1123&lt;=5200,IF(N(INDEX(客户自备加工筐明细!$G$4:$G$1203,$Z1123-4000))=0,"",N(INDEX(客户自备加工筐明细!$G$4:$G$1203,$Z1123-4000))),IF($Z1123&lt;=5800,IF(ISNUMBER(SEARCH("退",INDEX(次果筐明细!$F$4:$F$603,$Z1123-5200)&amp;"")),"",IF(N(INDEX(次果筐明细!$G$4:$G$603,$Z1123-5200))=0,"",N(INDEX(次果筐明细!$G$4:$G$603,$Z1123-5200)))),"")))))</f>
        <v/>
      </c>
      <c r="P1123" s="40" t="str">
        <f>IF($Z1123="","",IF($Z1123&lt;=2000,"",IF($Z1123&lt;=4000,IF(N(INDEX(周转筐出入库明细!$I$4:$I$2004,$Z1123-2000))=0,"",N(INDEX(周转筐出入库明细!$I$4:$I$2004,$Z1123-2000))),IF($Z1123&lt;=5200,"",IF($Z1123&lt;=5800,IF(ISNUMBER(SEARCH("退",INDEX(次果筐明细!$F$4:$F$603,$Z1123-5200)&amp;"")),IF(N(INDEX(次果筐明细!$G$4:$G$603,$Z1123-5200))=0,"",N(INDEX(次果筐明细!$G$4:$G$603,$Z1123-5200))),""),"")))))</f>
        <v/>
      </c>
      <c r="Q1123" s="40" t="str">
        <f>IF($Z1123="","",IF($Z1123&lt;=2000,"",IF($Z1123&lt;=4000,IF(N(INDEX(周转筐出入库明细!$H$4:$H$2004,$Z1123-2000))=0,"",N(INDEX(周转筐出入库明细!$H$4:$H$2004,$Z1123-2000))),IF($Z1123&lt;=5200,IF(N(INDEX(客户自备加工筐明细!$F$4:$F$1203,$Z1123-4000))=0,"",N(INDEX(客户自备加工筐明细!$F$4:$F$1203,$Z1123-4000))),IF($Z1123&lt;=5800,"","")))))</f>
        <v/>
      </c>
      <c r="R1123" s="16" t="str">
        <f>IF($Z1123="","",IF($Z1123&lt;=2000,IF(INDEX(包装物料出入库明细!$O$4:$O$2003,$Z1123-0)=0,"",INDEX(包装物料出入库明细!$O$4:$O$2003,$Z1123-0)),IF($Z1123&lt;=4000,IF(INDEX(周转筐出入库明细!$M$4:$M$2004,$Z1123-2000)=0,"",INDEX(周转筐出入库明细!$M$4:$M$2004,$Z1123-2000)),IF($Z1123&lt;=5200,IF(INDEX(客户自备加工筐明细!$H$4:$H$1203,$Z1123-4000)=0,"",INDEX(客户自备加工筐明细!$H$4:$H$1203,$Z1123-4000)),IF($Z1123&lt;=5800,IF(INDEX(次果筐明细!$H$4:$H$603,$Z1123-5200)=0,"",INDEX(次果筐明细!$H$4:$H$603,$Z1123-5200)),"")))))</f>
        <v/>
      </c>
      <c r="S1123" s="22" t="str">
        <f t="shared" si="53"/>
        <v/>
      </c>
      <c r="Z1123" s="10" t="str">
        <f>IFERROR(MATCH(ROW()-3,_自动清单!$CQ$4:$CQ$5803,0),"")</f>
        <v/>
      </c>
    </row>
    <row r="1124" spans="1:26">
      <c r="A1124" s="24" t="str">
        <f t="shared" si="51"/>
        <v/>
      </c>
      <c r="B1124" s="38" t="str">
        <f>IF($Z1124="","",IF($Z1124&lt;=2000,IF(INDEX(包装物料出入库明细!$B$4:$B$2003,$Z1124-0)=0,"",INDEX(包装物料出入库明细!$B$4:$B$2003,$Z1124-0)),IF($Z1124&lt;=4000,IF(INDEX(周转筐出入库明细!$B$4:$B$2004,$Z1124-2000)=0,"",INDEX(周转筐出入库明细!$B$4:$B$2004,$Z1124-2000)),IF($Z1124&lt;=5200,IF(INDEX(客户自备加工筐明细!$B$4:$B$1203,$Z1124-4000)=0,"",INDEX(客户自备加工筐明细!$B$4:$B$1203,$Z1124-4000)),IF($Z1124&lt;=5800,IF(INDEX(次果筐明细!$B$4:$B$603,$Z1124-5200)=0,"",INDEX(次果筐明细!$B$4:$B$603,$Z1124-5200)),"")))))</f>
        <v/>
      </c>
      <c r="C1124" s="37" t="str">
        <f>IF($Z1124="","",IF($Z1124&lt;=2000,IF(INDEX(包装物料出入库明细!$D$4:$D$2003,$Z1124-0)=0,"",INDEX(包装物料出入库明细!$D$4:$D$2003,$Z1124-0)),IF($Z1124&lt;=4000,IF(INDEX(周转筐出入库明细!$C$4:$C$2004,$Z1124-2000)=0,"",INDEX(周转筐出入库明细!$C$4:$C$2004,$Z1124-2000)),IF($Z1124&lt;=5200,IF(INDEX(客户自备加工筐明细!$E$4:$E$1203,$Z1124-4000)=0,"",INDEX(客户自备加工筐明细!$E$4:$E$1203,$Z1124-4000)),IF($Z1124&lt;=5800,IF(INDEX(次果筐明细!$C$4:$C$603,$Z1124-5200)=0,"",INDEX(次果筐明细!$C$4:$C$603,$Z1124-5200)),"")))))</f>
        <v/>
      </c>
      <c r="D1124" s="37" t="str">
        <f>IF($Z1124="","",IF($Z1124&lt;=2000,"包装物料－"&amp;INDEX(包装物料出入库明细!$H$4:$H$2003,$Z1124-0),IF($Z1124&lt;=4000,"周转筐－"&amp;INDEX(周转筐出入库明细!$F$4:$F$2004,$Z1124-2000),IF($Z1124&lt;=5200,"客户自备筐－"&amp;INDEX(客户自备加工筐明细!$J$4:$J$1203,$Z1124-4000),IF($Z1124&lt;=5800,"次果筐/托盘－"&amp;INDEX(次果筐明细!$F$4:$F$603,$Z1124-5200),"")))))</f>
        <v/>
      </c>
      <c r="E1124" s="24" t="str">
        <f>IF($Z1124="","",IF($Z1124&lt;=2000,IF(INDEX(包装物料出入库明细!$C$4:$C$2003,$Z1124-0)=0,"",INDEX(包装物料出入库明细!$C$4:$C$2003,$Z1124-0)),IF($Z1124&lt;=4000,IF(INDEX(周转筐出入库明细!$E$4:$E$2004,$Z1124-2000)=0,"",INDEX(周转筐出入库明细!$E$4:$E$2004,$Z1124-2000)),IF($Z1124&lt;=5200,IF(INDEX(客户自备加工筐明细!$D$4:$D$1203,$Z1124-4000)=0,"",INDEX(客户自备加工筐明细!$D$4:$D$1203,$Z1124-4000)),IF($Z1124&lt;=5800,IF(INDEX(次果筐明细!$E$4:$E$603,$Z1124-5200)=0,"",INDEX(次果筐明细!$E$4:$E$603,$Z1124-5200)),"")))))</f>
        <v/>
      </c>
      <c r="F1124" s="24" t="str">
        <f>IF($Z1124="","",IF($Z1124&lt;=2000,IF(INDEX(包装物料出入库明细!$E$4:$E$2003,$Z1124-0)=0,"",INDEX(包装物料出入库明细!$E$4:$E$2003,$Z1124-0)),IF($Z1124&lt;=4000,IF(INDEX(周转筐出入库明细!$D$4:$D$2004,$Z1124-2000)=0,"",INDEX(周转筐出入库明细!$D$4:$D$2004,$Z1124-2000)),IF($Z1124&lt;=5200,IF(INDEX(客户自备加工筐明细!$C$4:$C$1203,$Z1124-4000)=0,"",INDEX(客户自备加工筐明细!$C$4:$C$1203,$Z1124-4000)),IF($Z1124&lt;=5800,IF(INDEX(次果筐明细!$D$4:$D$603,$Z1124-5200)=0,"",INDEX(次果筐明细!$D$4:$D$603,$Z1124-5200)),"")))))</f>
        <v/>
      </c>
      <c r="G1124" s="24" t="str">
        <f>IF($Z1124="","",IF($Z1124&lt;=2000,IF(INDEX(包装物料出入库明细!$F$4:$F$2003,$Z1124-0)=0,"",INDEX(包装物料出入库明细!$F$4:$F$2003,$Z1124-0)),IF($Z1124&lt;=4000,"",IF($Z1124&lt;=5200,"",IF($Z1124&lt;=5800,"","")))))</f>
        <v/>
      </c>
      <c r="H1124" s="39" t="str">
        <f>IF($Z1124="","",IF($Z1124&lt;=2000,IF(INDEX(包装物料出入库明细!$L$4:$L$2003,$Z1124-0)=0,"",INDEX(包装物料出入库明细!$L$4:$L$2003,$Z1124-0)),IF($Z1124&lt;=4000,N(INDEX(周转筐出入库明细!$H$4:$H$2004,$Z1124-2000))+N(INDEX(周转筐出入库明细!$I$4:$I$2004,$Z1124-2000))+N(INDEX(周转筐出入库明细!$J$4:$J$2004,$Z1124-2000))+N(INDEX(周转筐出入库明细!$K$4:$K$2004,$Z1124-2000)),IF($Z1124&lt;=5200,N(INDEX(客户自备加工筐明细!$F$4:$F$1203,$Z1124-4000))+N(INDEX(客户自备加工筐明细!$G$4:$G$1203,$Z1124-4000)),IF($Z1124&lt;=5800,IF(INDEX(次果筐明细!$G$4:$G$603,$Z1124-5200)=0,"",INDEX(次果筐明细!$G$4:$G$603,$Z1124-5200)),"")))))</f>
        <v/>
      </c>
      <c r="I1124" s="24" t="str">
        <f>IF($Z1124="","",IF($Z1124&lt;=2000,IF(INDEX(包装物料出入库明细!$G$4:$G$2003,$Z1124-0)=0,"",INDEX(包装物料出入库明细!$G$4:$G$2003,$Z1124-0)),IF($Z1124&lt;=4000,"个",IF($Z1124&lt;=5200,"个",IF($Z1124&lt;=5800,"个","")))))</f>
        <v/>
      </c>
      <c r="J1124" s="30" t="str">
        <f t="shared" si="52"/>
        <v/>
      </c>
      <c r="K1124" s="30" t="str">
        <f>IF($Z1124="","",IF($Z1124&lt;=2000,IF(INDEX(包装物料出入库明细!$N$4:$N$2003,$Z1124-0)=0,"",INDEX(包装物料出入库明细!$N$4:$N$2003,$Z1124-0)),IF($Z1124&lt;=4000,IF(INDEX(周转筐出入库明细!$P$4:$P$2004,$Z1124-2000)=0,"",INDEX(周转筐出入库明细!$P$4:$P$2004,$Z1124-2000)),IF($Z1124&lt;=5200,"",IF($Z1124&lt;=5800,N(INDEX(次果筐明细!$L$4:$L$603,$Z1124-5200))+N(INDEX(次果筐明细!$J$4:$J$603,$Z1124-5200)),"")))))</f>
        <v/>
      </c>
      <c r="L1124" s="24" t="str">
        <f>IF($Z1124="","",IF($Z1124&lt;=2000,IF(INDEX(包装物料出入库明细!$P$4:$P$2003,$Z1124-0)=0,"",INDEX(包装物料出入库明细!$P$4:$P$2003,$Z1124-0)),IF($Z1124&lt;=4000,IF(INDEX(周转筐出入库明细!$Q$4:$Q$2004,$Z1124-2000)=0,"",INDEX(周转筐出入库明细!$Q$4:$Q$2004,$Z1124-2000)),IF($Z1124&lt;=5200,"",IF($Z1124&lt;=5800,IF(INDEX(次果筐明细!$M$4:$M$603,$Z1124-5200)=0,"",INDEX(次果筐明细!$M$4:$M$603,$Z1124-5200)),"")))))</f>
        <v/>
      </c>
      <c r="M1124" s="37" t="str">
        <f>IF($Z1124="","",IF($Z1124&lt;=2000,IF(INDEX(包装物料出入库明细!$R$4:$R$2003,$Z1124-0)=0,"",INDEX(包装物料出入库明细!$R$4:$R$2003,$Z1124-0)),IF($Z1124&lt;=4000,IF(INDEX(周转筐出入库明细!$W$4:$W$2004,$Z1124-2000)=0,"",INDEX(周转筐出入库明细!$W$4:$W$2004,$Z1124-2000)),IF($Z1124&lt;=5200,IF(INDEX(客户自备加工筐明细!$L$4:$L$1203,$Z1124-4000)=0,"",INDEX(客户自备加工筐明细!$L$4:$L$1203,$Z1124-4000)),IF($Z1124&lt;=5800,IF(INDEX(次果筐明细!$P$4:$P$603,$Z1124-5200)=0,"",INDEX(次果筐明细!$P$4:$P$603,$Z1124-5200)),"")))))</f>
        <v/>
      </c>
      <c r="N1124" s="16" t="str">
        <f>IF($Z1124="","",IF($Z1124&lt;=2000,"",IF($Z1124&lt;=4000,IF(INDEX(周转筐出入库明细!$D$4:$D$2004,$Z1124-2000)=0,"",INDEX(周转筐出入库明细!$D$4:$D$2004,$Z1124-2000)),IF($Z1124&lt;=5200,IF(INDEX(客户自备加工筐明细!$C$4:$C$1203,$Z1124-4000)=0,"",INDEX(客户自备加工筐明细!$C$4:$C$1203,$Z1124-4000)),IF($Z1124&lt;=5800,IF(INDEX(次果筐明细!$D$4:$D$603,$Z1124-5200)=0,"",INDEX(次果筐明细!$D$4:$D$603,$Z1124-5200)),"")))))</f>
        <v/>
      </c>
      <c r="O1124" s="40" t="str">
        <f>IF($Z1124="","",IF($Z1124&lt;=2000,"",IF($Z1124&lt;=4000,IF(N(INDEX(周转筐出入库明细!$J$4:$J$2004,$Z1124-2000))+N(INDEX(周转筐出入库明细!$K$4:$K$2004,$Z1124-2000))=0,"",N(INDEX(周转筐出入库明细!$J$4:$J$2004,$Z1124-2000))+N(INDEX(周转筐出入库明细!$K$4:$K$2004,$Z1124-2000))),IF($Z1124&lt;=5200,IF(N(INDEX(客户自备加工筐明细!$G$4:$G$1203,$Z1124-4000))=0,"",N(INDEX(客户自备加工筐明细!$G$4:$G$1203,$Z1124-4000))),IF($Z1124&lt;=5800,IF(ISNUMBER(SEARCH("退",INDEX(次果筐明细!$F$4:$F$603,$Z1124-5200)&amp;"")),"",IF(N(INDEX(次果筐明细!$G$4:$G$603,$Z1124-5200))=0,"",N(INDEX(次果筐明细!$G$4:$G$603,$Z1124-5200)))),"")))))</f>
        <v/>
      </c>
      <c r="P1124" s="40" t="str">
        <f>IF($Z1124="","",IF($Z1124&lt;=2000,"",IF($Z1124&lt;=4000,IF(N(INDEX(周转筐出入库明细!$I$4:$I$2004,$Z1124-2000))=0,"",N(INDEX(周转筐出入库明细!$I$4:$I$2004,$Z1124-2000))),IF($Z1124&lt;=5200,"",IF($Z1124&lt;=5800,IF(ISNUMBER(SEARCH("退",INDEX(次果筐明细!$F$4:$F$603,$Z1124-5200)&amp;"")),IF(N(INDEX(次果筐明细!$G$4:$G$603,$Z1124-5200))=0,"",N(INDEX(次果筐明细!$G$4:$G$603,$Z1124-5200))),""),"")))))</f>
        <v/>
      </c>
      <c r="Q1124" s="40" t="str">
        <f>IF($Z1124="","",IF($Z1124&lt;=2000,"",IF($Z1124&lt;=4000,IF(N(INDEX(周转筐出入库明细!$H$4:$H$2004,$Z1124-2000))=0,"",N(INDEX(周转筐出入库明细!$H$4:$H$2004,$Z1124-2000))),IF($Z1124&lt;=5200,IF(N(INDEX(客户自备加工筐明细!$F$4:$F$1203,$Z1124-4000))=0,"",N(INDEX(客户自备加工筐明细!$F$4:$F$1203,$Z1124-4000))),IF($Z1124&lt;=5800,"","")))))</f>
        <v/>
      </c>
      <c r="R1124" s="16" t="str">
        <f>IF($Z1124="","",IF($Z1124&lt;=2000,IF(INDEX(包装物料出入库明细!$O$4:$O$2003,$Z1124-0)=0,"",INDEX(包装物料出入库明细!$O$4:$O$2003,$Z1124-0)),IF($Z1124&lt;=4000,IF(INDEX(周转筐出入库明细!$M$4:$M$2004,$Z1124-2000)=0,"",INDEX(周转筐出入库明细!$M$4:$M$2004,$Z1124-2000)),IF($Z1124&lt;=5200,IF(INDEX(客户自备加工筐明细!$H$4:$H$1203,$Z1124-4000)=0,"",INDEX(客户自备加工筐明细!$H$4:$H$1203,$Z1124-4000)),IF($Z1124&lt;=5800,IF(INDEX(次果筐明细!$H$4:$H$603,$Z1124-5200)=0,"",INDEX(次果筐明细!$H$4:$H$603,$Z1124-5200)),"")))))</f>
        <v/>
      </c>
      <c r="S1124" s="22" t="str">
        <f t="shared" si="53"/>
        <v/>
      </c>
      <c r="Z1124" s="10" t="str">
        <f>IFERROR(MATCH(ROW()-3,_自动清单!$CQ$4:$CQ$5803,0),"")</f>
        <v/>
      </c>
    </row>
    <row r="1125" spans="1:26">
      <c r="A1125" s="24" t="str">
        <f t="shared" si="51"/>
        <v/>
      </c>
      <c r="B1125" s="38" t="str">
        <f>IF($Z1125="","",IF($Z1125&lt;=2000,IF(INDEX(包装物料出入库明细!$B$4:$B$2003,$Z1125-0)=0,"",INDEX(包装物料出入库明细!$B$4:$B$2003,$Z1125-0)),IF($Z1125&lt;=4000,IF(INDEX(周转筐出入库明细!$B$4:$B$2004,$Z1125-2000)=0,"",INDEX(周转筐出入库明细!$B$4:$B$2004,$Z1125-2000)),IF($Z1125&lt;=5200,IF(INDEX(客户自备加工筐明细!$B$4:$B$1203,$Z1125-4000)=0,"",INDEX(客户自备加工筐明细!$B$4:$B$1203,$Z1125-4000)),IF($Z1125&lt;=5800,IF(INDEX(次果筐明细!$B$4:$B$603,$Z1125-5200)=0,"",INDEX(次果筐明细!$B$4:$B$603,$Z1125-5200)),"")))))</f>
        <v/>
      </c>
      <c r="C1125" s="37" t="str">
        <f>IF($Z1125="","",IF($Z1125&lt;=2000,IF(INDEX(包装物料出入库明细!$D$4:$D$2003,$Z1125-0)=0,"",INDEX(包装物料出入库明细!$D$4:$D$2003,$Z1125-0)),IF($Z1125&lt;=4000,IF(INDEX(周转筐出入库明细!$C$4:$C$2004,$Z1125-2000)=0,"",INDEX(周转筐出入库明细!$C$4:$C$2004,$Z1125-2000)),IF($Z1125&lt;=5200,IF(INDEX(客户自备加工筐明细!$E$4:$E$1203,$Z1125-4000)=0,"",INDEX(客户自备加工筐明细!$E$4:$E$1203,$Z1125-4000)),IF($Z1125&lt;=5800,IF(INDEX(次果筐明细!$C$4:$C$603,$Z1125-5200)=0,"",INDEX(次果筐明细!$C$4:$C$603,$Z1125-5200)),"")))))</f>
        <v/>
      </c>
      <c r="D1125" s="37" t="str">
        <f>IF($Z1125="","",IF($Z1125&lt;=2000,"包装物料－"&amp;INDEX(包装物料出入库明细!$H$4:$H$2003,$Z1125-0),IF($Z1125&lt;=4000,"周转筐－"&amp;INDEX(周转筐出入库明细!$F$4:$F$2004,$Z1125-2000),IF($Z1125&lt;=5200,"客户自备筐－"&amp;INDEX(客户自备加工筐明细!$J$4:$J$1203,$Z1125-4000),IF($Z1125&lt;=5800,"次果筐/托盘－"&amp;INDEX(次果筐明细!$F$4:$F$603,$Z1125-5200),"")))))</f>
        <v/>
      </c>
      <c r="E1125" s="24" t="str">
        <f>IF($Z1125="","",IF($Z1125&lt;=2000,IF(INDEX(包装物料出入库明细!$C$4:$C$2003,$Z1125-0)=0,"",INDEX(包装物料出入库明细!$C$4:$C$2003,$Z1125-0)),IF($Z1125&lt;=4000,IF(INDEX(周转筐出入库明细!$E$4:$E$2004,$Z1125-2000)=0,"",INDEX(周转筐出入库明细!$E$4:$E$2004,$Z1125-2000)),IF($Z1125&lt;=5200,IF(INDEX(客户自备加工筐明细!$D$4:$D$1203,$Z1125-4000)=0,"",INDEX(客户自备加工筐明细!$D$4:$D$1203,$Z1125-4000)),IF($Z1125&lt;=5800,IF(INDEX(次果筐明细!$E$4:$E$603,$Z1125-5200)=0,"",INDEX(次果筐明细!$E$4:$E$603,$Z1125-5200)),"")))))</f>
        <v/>
      </c>
      <c r="F1125" s="24" t="str">
        <f>IF($Z1125="","",IF($Z1125&lt;=2000,IF(INDEX(包装物料出入库明细!$E$4:$E$2003,$Z1125-0)=0,"",INDEX(包装物料出入库明细!$E$4:$E$2003,$Z1125-0)),IF($Z1125&lt;=4000,IF(INDEX(周转筐出入库明细!$D$4:$D$2004,$Z1125-2000)=0,"",INDEX(周转筐出入库明细!$D$4:$D$2004,$Z1125-2000)),IF($Z1125&lt;=5200,IF(INDEX(客户自备加工筐明细!$C$4:$C$1203,$Z1125-4000)=0,"",INDEX(客户自备加工筐明细!$C$4:$C$1203,$Z1125-4000)),IF($Z1125&lt;=5800,IF(INDEX(次果筐明细!$D$4:$D$603,$Z1125-5200)=0,"",INDEX(次果筐明细!$D$4:$D$603,$Z1125-5200)),"")))))</f>
        <v/>
      </c>
      <c r="G1125" s="24" t="str">
        <f>IF($Z1125="","",IF($Z1125&lt;=2000,IF(INDEX(包装物料出入库明细!$F$4:$F$2003,$Z1125-0)=0,"",INDEX(包装物料出入库明细!$F$4:$F$2003,$Z1125-0)),IF($Z1125&lt;=4000,"",IF($Z1125&lt;=5200,"",IF($Z1125&lt;=5800,"","")))))</f>
        <v/>
      </c>
      <c r="H1125" s="39" t="str">
        <f>IF($Z1125="","",IF($Z1125&lt;=2000,IF(INDEX(包装物料出入库明细!$L$4:$L$2003,$Z1125-0)=0,"",INDEX(包装物料出入库明细!$L$4:$L$2003,$Z1125-0)),IF($Z1125&lt;=4000,N(INDEX(周转筐出入库明细!$H$4:$H$2004,$Z1125-2000))+N(INDEX(周转筐出入库明细!$I$4:$I$2004,$Z1125-2000))+N(INDEX(周转筐出入库明细!$J$4:$J$2004,$Z1125-2000))+N(INDEX(周转筐出入库明细!$K$4:$K$2004,$Z1125-2000)),IF($Z1125&lt;=5200,N(INDEX(客户自备加工筐明细!$F$4:$F$1203,$Z1125-4000))+N(INDEX(客户自备加工筐明细!$G$4:$G$1203,$Z1125-4000)),IF($Z1125&lt;=5800,IF(INDEX(次果筐明细!$G$4:$G$603,$Z1125-5200)=0,"",INDEX(次果筐明细!$G$4:$G$603,$Z1125-5200)),"")))))</f>
        <v/>
      </c>
      <c r="I1125" s="24" t="str">
        <f>IF($Z1125="","",IF($Z1125&lt;=2000,IF(INDEX(包装物料出入库明细!$G$4:$G$2003,$Z1125-0)=0,"",INDEX(包装物料出入库明细!$G$4:$G$2003,$Z1125-0)),IF($Z1125&lt;=4000,"个",IF($Z1125&lt;=5200,"个",IF($Z1125&lt;=5800,"个","")))))</f>
        <v/>
      </c>
      <c r="J1125" s="30" t="str">
        <f t="shared" si="52"/>
        <v/>
      </c>
      <c r="K1125" s="30" t="str">
        <f>IF($Z1125="","",IF($Z1125&lt;=2000,IF(INDEX(包装物料出入库明细!$N$4:$N$2003,$Z1125-0)=0,"",INDEX(包装物料出入库明细!$N$4:$N$2003,$Z1125-0)),IF($Z1125&lt;=4000,IF(INDEX(周转筐出入库明细!$P$4:$P$2004,$Z1125-2000)=0,"",INDEX(周转筐出入库明细!$P$4:$P$2004,$Z1125-2000)),IF($Z1125&lt;=5200,"",IF($Z1125&lt;=5800,N(INDEX(次果筐明细!$L$4:$L$603,$Z1125-5200))+N(INDEX(次果筐明细!$J$4:$J$603,$Z1125-5200)),"")))))</f>
        <v/>
      </c>
      <c r="L1125" s="24" t="str">
        <f>IF($Z1125="","",IF($Z1125&lt;=2000,IF(INDEX(包装物料出入库明细!$P$4:$P$2003,$Z1125-0)=0,"",INDEX(包装物料出入库明细!$P$4:$P$2003,$Z1125-0)),IF($Z1125&lt;=4000,IF(INDEX(周转筐出入库明细!$Q$4:$Q$2004,$Z1125-2000)=0,"",INDEX(周转筐出入库明细!$Q$4:$Q$2004,$Z1125-2000)),IF($Z1125&lt;=5200,"",IF($Z1125&lt;=5800,IF(INDEX(次果筐明细!$M$4:$M$603,$Z1125-5200)=0,"",INDEX(次果筐明细!$M$4:$M$603,$Z1125-5200)),"")))))</f>
        <v/>
      </c>
      <c r="M1125" s="37" t="str">
        <f>IF($Z1125="","",IF($Z1125&lt;=2000,IF(INDEX(包装物料出入库明细!$R$4:$R$2003,$Z1125-0)=0,"",INDEX(包装物料出入库明细!$R$4:$R$2003,$Z1125-0)),IF($Z1125&lt;=4000,IF(INDEX(周转筐出入库明细!$W$4:$W$2004,$Z1125-2000)=0,"",INDEX(周转筐出入库明细!$W$4:$W$2004,$Z1125-2000)),IF($Z1125&lt;=5200,IF(INDEX(客户自备加工筐明细!$L$4:$L$1203,$Z1125-4000)=0,"",INDEX(客户自备加工筐明细!$L$4:$L$1203,$Z1125-4000)),IF($Z1125&lt;=5800,IF(INDEX(次果筐明细!$P$4:$P$603,$Z1125-5200)=0,"",INDEX(次果筐明细!$P$4:$P$603,$Z1125-5200)),"")))))</f>
        <v/>
      </c>
      <c r="N1125" s="16" t="str">
        <f>IF($Z1125="","",IF($Z1125&lt;=2000,"",IF($Z1125&lt;=4000,IF(INDEX(周转筐出入库明细!$D$4:$D$2004,$Z1125-2000)=0,"",INDEX(周转筐出入库明细!$D$4:$D$2004,$Z1125-2000)),IF($Z1125&lt;=5200,IF(INDEX(客户自备加工筐明细!$C$4:$C$1203,$Z1125-4000)=0,"",INDEX(客户自备加工筐明细!$C$4:$C$1203,$Z1125-4000)),IF($Z1125&lt;=5800,IF(INDEX(次果筐明细!$D$4:$D$603,$Z1125-5200)=0,"",INDEX(次果筐明细!$D$4:$D$603,$Z1125-5200)),"")))))</f>
        <v/>
      </c>
      <c r="O1125" s="40" t="str">
        <f>IF($Z1125="","",IF($Z1125&lt;=2000,"",IF($Z1125&lt;=4000,IF(N(INDEX(周转筐出入库明细!$J$4:$J$2004,$Z1125-2000))+N(INDEX(周转筐出入库明细!$K$4:$K$2004,$Z1125-2000))=0,"",N(INDEX(周转筐出入库明细!$J$4:$J$2004,$Z1125-2000))+N(INDEX(周转筐出入库明细!$K$4:$K$2004,$Z1125-2000))),IF($Z1125&lt;=5200,IF(N(INDEX(客户自备加工筐明细!$G$4:$G$1203,$Z1125-4000))=0,"",N(INDEX(客户自备加工筐明细!$G$4:$G$1203,$Z1125-4000))),IF($Z1125&lt;=5800,IF(ISNUMBER(SEARCH("退",INDEX(次果筐明细!$F$4:$F$603,$Z1125-5200)&amp;"")),"",IF(N(INDEX(次果筐明细!$G$4:$G$603,$Z1125-5200))=0,"",N(INDEX(次果筐明细!$G$4:$G$603,$Z1125-5200)))),"")))))</f>
        <v/>
      </c>
      <c r="P1125" s="40" t="str">
        <f>IF($Z1125="","",IF($Z1125&lt;=2000,"",IF($Z1125&lt;=4000,IF(N(INDEX(周转筐出入库明细!$I$4:$I$2004,$Z1125-2000))=0,"",N(INDEX(周转筐出入库明细!$I$4:$I$2004,$Z1125-2000))),IF($Z1125&lt;=5200,"",IF($Z1125&lt;=5800,IF(ISNUMBER(SEARCH("退",INDEX(次果筐明细!$F$4:$F$603,$Z1125-5200)&amp;"")),IF(N(INDEX(次果筐明细!$G$4:$G$603,$Z1125-5200))=0,"",N(INDEX(次果筐明细!$G$4:$G$603,$Z1125-5200))),""),"")))))</f>
        <v/>
      </c>
      <c r="Q1125" s="40" t="str">
        <f>IF($Z1125="","",IF($Z1125&lt;=2000,"",IF($Z1125&lt;=4000,IF(N(INDEX(周转筐出入库明细!$H$4:$H$2004,$Z1125-2000))=0,"",N(INDEX(周转筐出入库明细!$H$4:$H$2004,$Z1125-2000))),IF($Z1125&lt;=5200,IF(N(INDEX(客户自备加工筐明细!$F$4:$F$1203,$Z1125-4000))=0,"",N(INDEX(客户自备加工筐明细!$F$4:$F$1203,$Z1125-4000))),IF($Z1125&lt;=5800,"","")))))</f>
        <v/>
      </c>
      <c r="R1125" s="16" t="str">
        <f>IF($Z1125="","",IF($Z1125&lt;=2000,IF(INDEX(包装物料出入库明细!$O$4:$O$2003,$Z1125-0)=0,"",INDEX(包装物料出入库明细!$O$4:$O$2003,$Z1125-0)),IF($Z1125&lt;=4000,IF(INDEX(周转筐出入库明细!$M$4:$M$2004,$Z1125-2000)=0,"",INDEX(周转筐出入库明细!$M$4:$M$2004,$Z1125-2000)),IF($Z1125&lt;=5200,IF(INDEX(客户自备加工筐明细!$H$4:$H$1203,$Z1125-4000)=0,"",INDEX(客户自备加工筐明细!$H$4:$H$1203,$Z1125-4000)),IF($Z1125&lt;=5800,IF(INDEX(次果筐明细!$H$4:$H$603,$Z1125-5200)=0,"",INDEX(次果筐明细!$H$4:$H$603,$Z1125-5200)),"")))))</f>
        <v/>
      </c>
      <c r="S1125" s="22" t="str">
        <f t="shared" si="53"/>
        <v/>
      </c>
      <c r="Z1125" s="10" t="str">
        <f>IFERROR(MATCH(ROW()-3,_自动清单!$CQ$4:$CQ$5803,0),"")</f>
        <v/>
      </c>
    </row>
    <row r="1126" spans="1:26">
      <c r="A1126" s="24" t="str">
        <f t="shared" si="51"/>
        <v/>
      </c>
      <c r="B1126" s="38" t="str">
        <f>IF($Z1126="","",IF($Z1126&lt;=2000,IF(INDEX(包装物料出入库明细!$B$4:$B$2003,$Z1126-0)=0,"",INDEX(包装物料出入库明细!$B$4:$B$2003,$Z1126-0)),IF($Z1126&lt;=4000,IF(INDEX(周转筐出入库明细!$B$4:$B$2004,$Z1126-2000)=0,"",INDEX(周转筐出入库明细!$B$4:$B$2004,$Z1126-2000)),IF($Z1126&lt;=5200,IF(INDEX(客户自备加工筐明细!$B$4:$B$1203,$Z1126-4000)=0,"",INDEX(客户自备加工筐明细!$B$4:$B$1203,$Z1126-4000)),IF($Z1126&lt;=5800,IF(INDEX(次果筐明细!$B$4:$B$603,$Z1126-5200)=0,"",INDEX(次果筐明细!$B$4:$B$603,$Z1126-5200)),"")))))</f>
        <v/>
      </c>
      <c r="C1126" s="37" t="str">
        <f>IF($Z1126="","",IF($Z1126&lt;=2000,IF(INDEX(包装物料出入库明细!$D$4:$D$2003,$Z1126-0)=0,"",INDEX(包装物料出入库明细!$D$4:$D$2003,$Z1126-0)),IF($Z1126&lt;=4000,IF(INDEX(周转筐出入库明细!$C$4:$C$2004,$Z1126-2000)=0,"",INDEX(周转筐出入库明细!$C$4:$C$2004,$Z1126-2000)),IF($Z1126&lt;=5200,IF(INDEX(客户自备加工筐明细!$E$4:$E$1203,$Z1126-4000)=0,"",INDEX(客户自备加工筐明细!$E$4:$E$1203,$Z1126-4000)),IF($Z1126&lt;=5800,IF(INDEX(次果筐明细!$C$4:$C$603,$Z1126-5200)=0,"",INDEX(次果筐明细!$C$4:$C$603,$Z1126-5200)),"")))))</f>
        <v/>
      </c>
      <c r="D1126" s="37" t="str">
        <f>IF($Z1126="","",IF($Z1126&lt;=2000,"包装物料－"&amp;INDEX(包装物料出入库明细!$H$4:$H$2003,$Z1126-0),IF($Z1126&lt;=4000,"周转筐－"&amp;INDEX(周转筐出入库明细!$F$4:$F$2004,$Z1126-2000),IF($Z1126&lt;=5200,"客户自备筐－"&amp;INDEX(客户自备加工筐明细!$J$4:$J$1203,$Z1126-4000),IF($Z1126&lt;=5800,"次果筐/托盘－"&amp;INDEX(次果筐明细!$F$4:$F$603,$Z1126-5200),"")))))</f>
        <v/>
      </c>
      <c r="E1126" s="24" t="str">
        <f>IF($Z1126="","",IF($Z1126&lt;=2000,IF(INDEX(包装物料出入库明细!$C$4:$C$2003,$Z1126-0)=0,"",INDEX(包装物料出入库明细!$C$4:$C$2003,$Z1126-0)),IF($Z1126&lt;=4000,IF(INDEX(周转筐出入库明细!$E$4:$E$2004,$Z1126-2000)=0,"",INDEX(周转筐出入库明细!$E$4:$E$2004,$Z1126-2000)),IF($Z1126&lt;=5200,IF(INDEX(客户自备加工筐明细!$D$4:$D$1203,$Z1126-4000)=0,"",INDEX(客户自备加工筐明细!$D$4:$D$1203,$Z1126-4000)),IF($Z1126&lt;=5800,IF(INDEX(次果筐明细!$E$4:$E$603,$Z1126-5200)=0,"",INDEX(次果筐明细!$E$4:$E$603,$Z1126-5200)),"")))))</f>
        <v/>
      </c>
      <c r="F1126" s="24" t="str">
        <f>IF($Z1126="","",IF($Z1126&lt;=2000,IF(INDEX(包装物料出入库明细!$E$4:$E$2003,$Z1126-0)=0,"",INDEX(包装物料出入库明细!$E$4:$E$2003,$Z1126-0)),IF($Z1126&lt;=4000,IF(INDEX(周转筐出入库明细!$D$4:$D$2004,$Z1126-2000)=0,"",INDEX(周转筐出入库明细!$D$4:$D$2004,$Z1126-2000)),IF($Z1126&lt;=5200,IF(INDEX(客户自备加工筐明细!$C$4:$C$1203,$Z1126-4000)=0,"",INDEX(客户自备加工筐明细!$C$4:$C$1203,$Z1126-4000)),IF($Z1126&lt;=5800,IF(INDEX(次果筐明细!$D$4:$D$603,$Z1126-5200)=0,"",INDEX(次果筐明细!$D$4:$D$603,$Z1126-5200)),"")))))</f>
        <v/>
      </c>
      <c r="G1126" s="24" t="str">
        <f>IF($Z1126="","",IF($Z1126&lt;=2000,IF(INDEX(包装物料出入库明细!$F$4:$F$2003,$Z1126-0)=0,"",INDEX(包装物料出入库明细!$F$4:$F$2003,$Z1126-0)),IF($Z1126&lt;=4000,"",IF($Z1126&lt;=5200,"",IF($Z1126&lt;=5800,"","")))))</f>
        <v/>
      </c>
      <c r="H1126" s="39" t="str">
        <f>IF($Z1126="","",IF($Z1126&lt;=2000,IF(INDEX(包装物料出入库明细!$L$4:$L$2003,$Z1126-0)=0,"",INDEX(包装物料出入库明细!$L$4:$L$2003,$Z1126-0)),IF($Z1126&lt;=4000,N(INDEX(周转筐出入库明细!$H$4:$H$2004,$Z1126-2000))+N(INDEX(周转筐出入库明细!$I$4:$I$2004,$Z1126-2000))+N(INDEX(周转筐出入库明细!$J$4:$J$2004,$Z1126-2000))+N(INDEX(周转筐出入库明细!$K$4:$K$2004,$Z1126-2000)),IF($Z1126&lt;=5200,N(INDEX(客户自备加工筐明细!$F$4:$F$1203,$Z1126-4000))+N(INDEX(客户自备加工筐明细!$G$4:$G$1203,$Z1126-4000)),IF($Z1126&lt;=5800,IF(INDEX(次果筐明细!$G$4:$G$603,$Z1126-5200)=0,"",INDEX(次果筐明细!$G$4:$G$603,$Z1126-5200)),"")))))</f>
        <v/>
      </c>
      <c r="I1126" s="24" t="str">
        <f>IF($Z1126="","",IF($Z1126&lt;=2000,IF(INDEX(包装物料出入库明细!$G$4:$G$2003,$Z1126-0)=0,"",INDEX(包装物料出入库明细!$G$4:$G$2003,$Z1126-0)),IF($Z1126&lt;=4000,"个",IF($Z1126&lt;=5200,"个",IF($Z1126&lt;=5800,"个","")))))</f>
        <v/>
      </c>
      <c r="J1126" s="30" t="str">
        <f t="shared" si="52"/>
        <v/>
      </c>
      <c r="K1126" s="30" t="str">
        <f>IF($Z1126="","",IF($Z1126&lt;=2000,IF(INDEX(包装物料出入库明细!$N$4:$N$2003,$Z1126-0)=0,"",INDEX(包装物料出入库明细!$N$4:$N$2003,$Z1126-0)),IF($Z1126&lt;=4000,IF(INDEX(周转筐出入库明细!$P$4:$P$2004,$Z1126-2000)=0,"",INDEX(周转筐出入库明细!$P$4:$P$2004,$Z1126-2000)),IF($Z1126&lt;=5200,"",IF($Z1126&lt;=5800,N(INDEX(次果筐明细!$L$4:$L$603,$Z1126-5200))+N(INDEX(次果筐明细!$J$4:$J$603,$Z1126-5200)),"")))))</f>
        <v/>
      </c>
      <c r="L1126" s="24" t="str">
        <f>IF($Z1126="","",IF($Z1126&lt;=2000,IF(INDEX(包装物料出入库明细!$P$4:$P$2003,$Z1126-0)=0,"",INDEX(包装物料出入库明细!$P$4:$P$2003,$Z1126-0)),IF($Z1126&lt;=4000,IF(INDEX(周转筐出入库明细!$Q$4:$Q$2004,$Z1126-2000)=0,"",INDEX(周转筐出入库明细!$Q$4:$Q$2004,$Z1126-2000)),IF($Z1126&lt;=5200,"",IF($Z1126&lt;=5800,IF(INDEX(次果筐明细!$M$4:$M$603,$Z1126-5200)=0,"",INDEX(次果筐明细!$M$4:$M$603,$Z1126-5200)),"")))))</f>
        <v/>
      </c>
      <c r="M1126" s="37" t="str">
        <f>IF($Z1126="","",IF($Z1126&lt;=2000,IF(INDEX(包装物料出入库明细!$R$4:$R$2003,$Z1126-0)=0,"",INDEX(包装物料出入库明细!$R$4:$R$2003,$Z1126-0)),IF($Z1126&lt;=4000,IF(INDEX(周转筐出入库明细!$W$4:$W$2004,$Z1126-2000)=0,"",INDEX(周转筐出入库明细!$W$4:$W$2004,$Z1126-2000)),IF($Z1126&lt;=5200,IF(INDEX(客户自备加工筐明细!$L$4:$L$1203,$Z1126-4000)=0,"",INDEX(客户自备加工筐明细!$L$4:$L$1203,$Z1126-4000)),IF($Z1126&lt;=5800,IF(INDEX(次果筐明细!$P$4:$P$603,$Z1126-5200)=0,"",INDEX(次果筐明细!$P$4:$P$603,$Z1126-5200)),"")))))</f>
        <v/>
      </c>
      <c r="N1126" s="16" t="str">
        <f>IF($Z1126="","",IF($Z1126&lt;=2000,"",IF($Z1126&lt;=4000,IF(INDEX(周转筐出入库明细!$D$4:$D$2004,$Z1126-2000)=0,"",INDEX(周转筐出入库明细!$D$4:$D$2004,$Z1126-2000)),IF($Z1126&lt;=5200,IF(INDEX(客户自备加工筐明细!$C$4:$C$1203,$Z1126-4000)=0,"",INDEX(客户自备加工筐明细!$C$4:$C$1203,$Z1126-4000)),IF($Z1126&lt;=5800,IF(INDEX(次果筐明细!$D$4:$D$603,$Z1126-5200)=0,"",INDEX(次果筐明细!$D$4:$D$603,$Z1126-5200)),"")))))</f>
        <v/>
      </c>
      <c r="O1126" s="40" t="str">
        <f>IF($Z1126="","",IF($Z1126&lt;=2000,"",IF($Z1126&lt;=4000,IF(N(INDEX(周转筐出入库明细!$J$4:$J$2004,$Z1126-2000))+N(INDEX(周转筐出入库明细!$K$4:$K$2004,$Z1126-2000))=0,"",N(INDEX(周转筐出入库明细!$J$4:$J$2004,$Z1126-2000))+N(INDEX(周转筐出入库明细!$K$4:$K$2004,$Z1126-2000))),IF($Z1126&lt;=5200,IF(N(INDEX(客户自备加工筐明细!$G$4:$G$1203,$Z1126-4000))=0,"",N(INDEX(客户自备加工筐明细!$G$4:$G$1203,$Z1126-4000))),IF($Z1126&lt;=5800,IF(ISNUMBER(SEARCH("退",INDEX(次果筐明细!$F$4:$F$603,$Z1126-5200)&amp;"")),"",IF(N(INDEX(次果筐明细!$G$4:$G$603,$Z1126-5200))=0,"",N(INDEX(次果筐明细!$G$4:$G$603,$Z1126-5200)))),"")))))</f>
        <v/>
      </c>
      <c r="P1126" s="40" t="str">
        <f>IF($Z1126="","",IF($Z1126&lt;=2000,"",IF($Z1126&lt;=4000,IF(N(INDEX(周转筐出入库明细!$I$4:$I$2004,$Z1126-2000))=0,"",N(INDEX(周转筐出入库明细!$I$4:$I$2004,$Z1126-2000))),IF($Z1126&lt;=5200,"",IF($Z1126&lt;=5800,IF(ISNUMBER(SEARCH("退",INDEX(次果筐明细!$F$4:$F$603,$Z1126-5200)&amp;"")),IF(N(INDEX(次果筐明细!$G$4:$G$603,$Z1126-5200))=0,"",N(INDEX(次果筐明细!$G$4:$G$603,$Z1126-5200))),""),"")))))</f>
        <v/>
      </c>
      <c r="Q1126" s="40" t="str">
        <f>IF($Z1126="","",IF($Z1126&lt;=2000,"",IF($Z1126&lt;=4000,IF(N(INDEX(周转筐出入库明细!$H$4:$H$2004,$Z1126-2000))=0,"",N(INDEX(周转筐出入库明细!$H$4:$H$2004,$Z1126-2000))),IF($Z1126&lt;=5200,IF(N(INDEX(客户自备加工筐明细!$F$4:$F$1203,$Z1126-4000))=0,"",N(INDEX(客户自备加工筐明细!$F$4:$F$1203,$Z1126-4000))),IF($Z1126&lt;=5800,"","")))))</f>
        <v/>
      </c>
      <c r="R1126" s="16" t="str">
        <f>IF($Z1126="","",IF($Z1126&lt;=2000,IF(INDEX(包装物料出入库明细!$O$4:$O$2003,$Z1126-0)=0,"",INDEX(包装物料出入库明细!$O$4:$O$2003,$Z1126-0)),IF($Z1126&lt;=4000,IF(INDEX(周转筐出入库明细!$M$4:$M$2004,$Z1126-2000)=0,"",INDEX(周转筐出入库明细!$M$4:$M$2004,$Z1126-2000)),IF($Z1126&lt;=5200,IF(INDEX(客户自备加工筐明细!$H$4:$H$1203,$Z1126-4000)=0,"",INDEX(客户自备加工筐明细!$H$4:$H$1203,$Z1126-4000)),IF($Z1126&lt;=5800,IF(INDEX(次果筐明细!$H$4:$H$603,$Z1126-5200)=0,"",INDEX(次果筐明细!$H$4:$H$603,$Z1126-5200)),"")))))</f>
        <v/>
      </c>
      <c r="S1126" s="22" t="str">
        <f t="shared" si="53"/>
        <v/>
      </c>
      <c r="Z1126" s="10" t="str">
        <f>IFERROR(MATCH(ROW()-3,_自动清单!$CQ$4:$CQ$5803,0),"")</f>
        <v/>
      </c>
    </row>
    <row r="1127" spans="1:26">
      <c r="A1127" s="24" t="str">
        <f t="shared" si="51"/>
        <v/>
      </c>
      <c r="B1127" s="38" t="str">
        <f>IF($Z1127="","",IF($Z1127&lt;=2000,IF(INDEX(包装物料出入库明细!$B$4:$B$2003,$Z1127-0)=0,"",INDEX(包装物料出入库明细!$B$4:$B$2003,$Z1127-0)),IF($Z1127&lt;=4000,IF(INDEX(周转筐出入库明细!$B$4:$B$2004,$Z1127-2000)=0,"",INDEX(周转筐出入库明细!$B$4:$B$2004,$Z1127-2000)),IF($Z1127&lt;=5200,IF(INDEX(客户自备加工筐明细!$B$4:$B$1203,$Z1127-4000)=0,"",INDEX(客户自备加工筐明细!$B$4:$B$1203,$Z1127-4000)),IF($Z1127&lt;=5800,IF(INDEX(次果筐明细!$B$4:$B$603,$Z1127-5200)=0,"",INDEX(次果筐明细!$B$4:$B$603,$Z1127-5200)),"")))))</f>
        <v/>
      </c>
      <c r="C1127" s="37" t="str">
        <f>IF($Z1127="","",IF($Z1127&lt;=2000,IF(INDEX(包装物料出入库明细!$D$4:$D$2003,$Z1127-0)=0,"",INDEX(包装物料出入库明细!$D$4:$D$2003,$Z1127-0)),IF($Z1127&lt;=4000,IF(INDEX(周转筐出入库明细!$C$4:$C$2004,$Z1127-2000)=0,"",INDEX(周转筐出入库明细!$C$4:$C$2004,$Z1127-2000)),IF($Z1127&lt;=5200,IF(INDEX(客户自备加工筐明细!$E$4:$E$1203,$Z1127-4000)=0,"",INDEX(客户自备加工筐明细!$E$4:$E$1203,$Z1127-4000)),IF($Z1127&lt;=5800,IF(INDEX(次果筐明细!$C$4:$C$603,$Z1127-5200)=0,"",INDEX(次果筐明细!$C$4:$C$603,$Z1127-5200)),"")))))</f>
        <v/>
      </c>
      <c r="D1127" s="37" t="str">
        <f>IF($Z1127="","",IF($Z1127&lt;=2000,"包装物料－"&amp;INDEX(包装物料出入库明细!$H$4:$H$2003,$Z1127-0),IF($Z1127&lt;=4000,"周转筐－"&amp;INDEX(周转筐出入库明细!$F$4:$F$2004,$Z1127-2000),IF($Z1127&lt;=5200,"客户自备筐－"&amp;INDEX(客户自备加工筐明细!$J$4:$J$1203,$Z1127-4000),IF($Z1127&lt;=5800,"次果筐/托盘－"&amp;INDEX(次果筐明细!$F$4:$F$603,$Z1127-5200),"")))))</f>
        <v/>
      </c>
      <c r="E1127" s="24" t="str">
        <f>IF($Z1127="","",IF($Z1127&lt;=2000,IF(INDEX(包装物料出入库明细!$C$4:$C$2003,$Z1127-0)=0,"",INDEX(包装物料出入库明细!$C$4:$C$2003,$Z1127-0)),IF($Z1127&lt;=4000,IF(INDEX(周转筐出入库明细!$E$4:$E$2004,$Z1127-2000)=0,"",INDEX(周转筐出入库明细!$E$4:$E$2004,$Z1127-2000)),IF($Z1127&lt;=5200,IF(INDEX(客户自备加工筐明细!$D$4:$D$1203,$Z1127-4000)=0,"",INDEX(客户自备加工筐明细!$D$4:$D$1203,$Z1127-4000)),IF($Z1127&lt;=5800,IF(INDEX(次果筐明细!$E$4:$E$603,$Z1127-5200)=0,"",INDEX(次果筐明细!$E$4:$E$603,$Z1127-5200)),"")))))</f>
        <v/>
      </c>
      <c r="F1127" s="24" t="str">
        <f>IF($Z1127="","",IF($Z1127&lt;=2000,IF(INDEX(包装物料出入库明细!$E$4:$E$2003,$Z1127-0)=0,"",INDEX(包装物料出入库明细!$E$4:$E$2003,$Z1127-0)),IF($Z1127&lt;=4000,IF(INDEX(周转筐出入库明细!$D$4:$D$2004,$Z1127-2000)=0,"",INDEX(周转筐出入库明细!$D$4:$D$2004,$Z1127-2000)),IF($Z1127&lt;=5200,IF(INDEX(客户自备加工筐明细!$C$4:$C$1203,$Z1127-4000)=0,"",INDEX(客户自备加工筐明细!$C$4:$C$1203,$Z1127-4000)),IF($Z1127&lt;=5800,IF(INDEX(次果筐明细!$D$4:$D$603,$Z1127-5200)=0,"",INDEX(次果筐明细!$D$4:$D$603,$Z1127-5200)),"")))))</f>
        <v/>
      </c>
      <c r="G1127" s="24" t="str">
        <f>IF($Z1127="","",IF($Z1127&lt;=2000,IF(INDEX(包装物料出入库明细!$F$4:$F$2003,$Z1127-0)=0,"",INDEX(包装物料出入库明细!$F$4:$F$2003,$Z1127-0)),IF($Z1127&lt;=4000,"",IF($Z1127&lt;=5200,"",IF($Z1127&lt;=5800,"","")))))</f>
        <v/>
      </c>
      <c r="H1127" s="39" t="str">
        <f>IF($Z1127="","",IF($Z1127&lt;=2000,IF(INDEX(包装物料出入库明细!$L$4:$L$2003,$Z1127-0)=0,"",INDEX(包装物料出入库明细!$L$4:$L$2003,$Z1127-0)),IF($Z1127&lt;=4000,N(INDEX(周转筐出入库明细!$H$4:$H$2004,$Z1127-2000))+N(INDEX(周转筐出入库明细!$I$4:$I$2004,$Z1127-2000))+N(INDEX(周转筐出入库明细!$J$4:$J$2004,$Z1127-2000))+N(INDEX(周转筐出入库明细!$K$4:$K$2004,$Z1127-2000)),IF($Z1127&lt;=5200,N(INDEX(客户自备加工筐明细!$F$4:$F$1203,$Z1127-4000))+N(INDEX(客户自备加工筐明细!$G$4:$G$1203,$Z1127-4000)),IF($Z1127&lt;=5800,IF(INDEX(次果筐明细!$G$4:$G$603,$Z1127-5200)=0,"",INDEX(次果筐明细!$G$4:$G$603,$Z1127-5200)),"")))))</f>
        <v/>
      </c>
      <c r="I1127" s="24" t="str">
        <f>IF($Z1127="","",IF($Z1127&lt;=2000,IF(INDEX(包装物料出入库明细!$G$4:$G$2003,$Z1127-0)=0,"",INDEX(包装物料出入库明细!$G$4:$G$2003,$Z1127-0)),IF($Z1127&lt;=4000,"个",IF($Z1127&lt;=5200,"个",IF($Z1127&lt;=5800,"个","")))))</f>
        <v/>
      </c>
      <c r="J1127" s="30" t="str">
        <f t="shared" si="52"/>
        <v/>
      </c>
      <c r="K1127" s="30" t="str">
        <f>IF($Z1127="","",IF($Z1127&lt;=2000,IF(INDEX(包装物料出入库明细!$N$4:$N$2003,$Z1127-0)=0,"",INDEX(包装物料出入库明细!$N$4:$N$2003,$Z1127-0)),IF($Z1127&lt;=4000,IF(INDEX(周转筐出入库明细!$P$4:$P$2004,$Z1127-2000)=0,"",INDEX(周转筐出入库明细!$P$4:$P$2004,$Z1127-2000)),IF($Z1127&lt;=5200,"",IF($Z1127&lt;=5800,N(INDEX(次果筐明细!$L$4:$L$603,$Z1127-5200))+N(INDEX(次果筐明细!$J$4:$J$603,$Z1127-5200)),"")))))</f>
        <v/>
      </c>
      <c r="L1127" s="24" t="str">
        <f>IF($Z1127="","",IF($Z1127&lt;=2000,IF(INDEX(包装物料出入库明细!$P$4:$P$2003,$Z1127-0)=0,"",INDEX(包装物料出入库明细!$P$4:$P$2003,$Z1127-0)),IF($Z1127&lt;=4000,IF(INDEX(周转筐出入库明细!$Q$4:$Q$2004,$Z1127-2000)=0,"",INDEX(周转筐出入库明细!$Q$4:$Q$2004,$Z1127-2000)),IF($Z1127&lt;=5200,"",IF($Z1127&lt;=5800,IF(INDEX(次果筐明细!$M$4:$M$603,$Z1127-5200)=0,"",INDEX(次果筐明细!$M$4:$M$603,$Z1127-5200)),"")))))</f>
        <v/>
      </c>
      <c r="M1127" s="37" t="str">
        <f>IF($Z1127="","",IF($Z1127&lt;=2000,IF(INDEX(包装物料出入库明细!$R$4:$R$2003,$Z1127-0)=0,"",INDEX(包装物料出入库明细!$R$4:$R$2003,$Z1127-0)),IF($Z1127&lt;=4000,IF(INDEX(周转筐出入库明细!$W$4:$W$2004,$Z1127-2000)=0,"",INDEX(周转筐出入库明细!$W$4:$W$2004,$Z1127-2000)),IF($Z1127&lt;=5200,IF(INDEX(客户自备加工筐明细!$L$4:$L$1203,$Z1127-4000)=0,"",INDEX(客户自备加工筐明细!$L$4:$L$1203,$Z1127-4000)),IF($Z1127&lt;=5800,IF(INDEX(次果筐明细!$P$4:$P$603,$Z1127-5200)=0,"",INDEX(次果筐明细!$P$4:$P$603,$Z1127-5200)),"")))))</f>
        <v/>
      </c>
      <c r="N1127" s="16" t="str">
        <f>IF($Z1127="","",IF($Z1127&lt;=2000,"",IF($Z1127&lt;=4000,IF(INDEX(周转筐出入库明细!$D$4:$D$2004,$Z1127-2000)=0,"",INDEX(周转筐出入库明细!$D$4:$D$2004,$Z1127-2000)),IF($Z1127&lt;=5200,IF(INDEX(客户自备加工筐明细!$C$4:$C$1203,$Z1127-4000)=0,"",INDEX(客户自备加工筐明细!$C$4:$C$1203,$Z1127-4000)),IF($Z1127&lt;=5800,IF(INDEX(次果筐明细!$D$4:$D$603,$Z1127-5200)=0,"",INDEX(次果筐明细!$D$4:$D$603,$Z1127-5200)),"")))))</f>
        <v/>
      </c>
      <c r="O1127" s="40" t="str">
        <f>IF($Z1127="","",IF($Z1127&lt;=2000,"",IF($Z1127&lt;=4000,IF(N(INDEX(周转筐出入库明细!$J$4:$J$2004,$Z1127-2000))+N(INDEX(周转筐出入库明细!$K$4:$K$2004,$Z1127-2000))=0,"",N(INDEX(周转筐出入库明细!$J$4:$J$2004,$Z1127-2000))+N(INDEX(周转筐出入库明细!$K$4:$K$2004,$Z1127-2000))),IF($Z1127&lt;=5200,IF(N(INDEX(客户自备加工筐明细!$G$4:$G$1203,$Z1127-4000))=0,"",N(INDEX(客户自备加工筐明细!$G$4:$G$1203,$Z1127-4000))),IF($Z1127&lt;=5800,IF(ISNUMBER(SEARCH("退",INDEX(次果筐明细!$F$4:$F$603,$Z1127-5200)&amp;"")),"",IF(N(INDEX(次果筐明细!$G$4:$G$603,$Z1127-5200))=0,"",N(INDEX(次果筐明细!$G$4:$G$603,$Z1127-5200)))),"")))))</f>
        <v/>
      </c>
      <c r="P1127" s="40" t="str">
        <f>IF($Z1127="","",IF($Z1127&lt;=2000,"",IF($Z1127&lt;=4000,IF(N(INDEX(周转筐出入库明细!$I$4:$I$2004,$Z1127-2000))=0,"",N(INDEX(周转筐出入库明细!$I$4:$I$2004,$Z1127-2000))),IF($Z1127&lt;=5200,"",IF($Z1127&lt;=5800,IF(ISNUMBER(SEARCH("退",INDEX(次果筐明细!$F$4:$F$603,$Z1127-5200)&amp;"")),IF(N(INDEX(次果筐明细!$G$4:$G$603,$Z1127-5200))=0,"",N(INDEX(次果筐明细!$G$4:$G$603,$Z1127-5200))),""),"")))))</f>
        <v/>
      </c>
      <c r="Q1127" s="40" t="str">
        <f>IF($Z1127="","",IF($Z1127&lt;=2000,"",IF($Z1127&lt;=4000,IF(N(INDEX(周转筐出入库明细!$H$4:$H$2004,$Z1127-2000))=0,"",N(INDEX(周转筐出入库明细!$H$4:$H$2004,$Z1127-2000))),IF($Z1127&lt;=5200,IF(N(INDEX(客户自备加工筐明细!$F$4:$F$1203,$Z1127-4000))=0,"",N(INDEX(客户自备加工筐明细!$F$4:$F$1203,$Z1127-4000))),IF($Z1127&lt;=5800,"","")))))</f>
        <v/>
      </c>
      <c r="R1127" s="16" t="str">
        <f>IF($Z1127="","",IF($Z1127&lt;=2000,IF(INDEX(包装物料出入库明细!$O$4:$O$2003,$Z1127-0)=0,"",INDEX(包装物料出入库明细!$O$4:$O$2003,$Z1127-0)),IF($Z1127&lt;=4000,IF(INDEX(周转筐出入库明细!$M$4:$M$2004,$Z1127-2000)=0,"",INDEX(周转筐出入库明细!$M$4:$M$2004,$Z1127-2000)),IF($Z1127&lt;=5200,IF(INDEX(客户自备加工筐明细!$H$4:$H$1203,$Z1127-4000)=0,"",INDEX(客户自备加工筐明细!$H$4:$H$1203,$Z1127-4000)),IF($Z1127&lt;=5800,IF(INDEX(次果筐明细!$H$4:$H$603,$Z1127-5200)=0,"",INDEX(次果筐明细!$H$4:$H$603,$Z1127-5200)),"")))))</f>
        <v/>
      </c>
      <c r="S1127" s="22" t="str">
        <f t="shared" si="53"/>
        <v/>
      </c>
      <c r="Z1127" s="10" t="str">
        <f>IFERROR(MATCH(ROW()-3,_自动清单!$CQ$4:$CQ$5803,0),"")</f>
        <v/>
      </c>
    </row>
    <row r="1128" spans="1:26">
      <c r="A1128" s="24" t="str">
        <f t="shared" si="51"/>
        <v/>
      </c>
      <c r="B1128" s="38" t="str">
        <f>IF($Z1128="","",IF($Z1128&lt;=2000,IF(INDEX(包装物料出入库明细!$B$4:$B$2003,$Z1128-0)=0,"",INDEX(包装物料出入库明细!$B$4:$B$2003,$Z1128-0)),IF($Z1128&lt;=4000,IF(INDEX(周转筐出入库明细!$B$4:$B$2004,$Z1128-2000)=0,"",INDEX(周转筐出入库明细!$B$4:$B$2004,$Z1128-2000)),IF($Z1128&lt;=5200,IF(INDEX(客户自备加工筐明细!$B$4:$B$1203,$Z1128-4000)=0,"",INDEX(客户自备加工筐明细!$B$4:$B$1203,$Z1128-4000)),IF($Z1128&lt;=5800,IF(INDEX(次果筐明细!$B$4:$B$603,$Z1128-5200)=0,"",INDEX(次果筐明细!$B$4:$B$603,$Z1128-5200)),"")))))</f>
        <v/>
      </c>
      <c r="C1128" s="37" t="str">
        <f>IF($Z1128="","",IF($Z1128&lt;=2000,IF(INDEX(包装物料出入库明细!$D$4:$D$2003,$Z1128-0)=0,"",INDEX(包装物料出入库明细!$D$4:$D$2003,$Z1128-0)),IF($Z1128&lt;=4000,IF(INDEX(周转筐出入库明细!$C$4:$C$2004,$Z1128-2000)=0,"",INDEX(周转筐出入库明细!$C$4:$C$2004,$Z1128-2000)),IF($Z1128&lt;=5200,IF(INDEX(客户自备加工筐明细!$E$4:$E$1203,$Z1128-4000)=0,"",INDEX(客户自备加工筐明细!$E$4:$E$1203,$Z1128-4000)),IF($Z1128&lt;=5800,IF(INDEX(次果筐明细!$C$4:$C$603,$Z1128-5200)=0,"",INDEX(次果筐明细!$C$4:$C$603,$Z1128-5200)),"")))))</f>
        <v/>
      </c>
      <c r="D1128" s="37" t="str">
        <f>IF($Z1128="","",IF($Z1128&lt;=2000,"包装物料－"&amp;INDEX(包装物料出入库明细!$H$4:$H$2003,$Z1128-0),IF($Z1128&lt;=4000,"周转筐－"&amp;INDEX(周转筐出入库明细!$F$4:$F$2004,$Z1128-2000),IF($Z1128&lt;=5200,"客户自备筐－"&amp;INDEX(客户自备加工筐明细!$J$4:$J$1203,$Z1128-4000),IF($Z1128&lt;=5800,"次果筐/托盘－"&amp;INDEX(次果筐明细!$F$4:$F$603,$Z1128-5200),"")))))</f>
        <v/>
      </c>
      <c r="E1128" s="24" t="str">
        <f>IF($Z1128="","",IF($Z1128&lt;=2000,IF(INDEX(包装物料出入库明细!$C$4:$C$2003,$Z1128-0)=0,"",INDEX(包装物料出入库明细!$C$4:$C$2003,$Z1128-0)),IF($Z1128&lt;=4000,IF(INDEX(周转筐出入库明细!$E$4:$E$2004,$Z1128-2000)=0,"",INDEX(周转筐出入库明细!$E$4:$E$2004,$Z1128-2000)),IF($Z1128&lt;=5200,IF(INDEX(客户自备加工筐明细!$D$4:$D$1203,$Z1128-4000)=0,"",INDEX(客户自备加工筐明细!$D$4:$D$1203,$Z1128-4000)),IF($Z1128&lt;=5800,IF(INDEX(次果筐明细!$E$4:$E$603,$Z1128-5200)=0,"",INDEX(次果筐明细!$E$4:$E$603,$Z1128-5200)),"")))))</f>
        <v/>
      </c>
      <c r="F1128" s="24" t="str">
        <f>IF($Z1128="","",IF($Z1128&lt;=2000,IF(INDEX(包装物料出入库明细!$E$4:$E$2003,$Z1128-0)=0,"",INDEX(包装物料出入库明细!$E$4:$E$2003,$Z1128-0)),IF($Z1128&lt;=4000,IF(INDEX(周转筐出入库明细!$D$4:$D$2004,$Z1128-2000)=0,"",INDEX(周转筐出入库明细!$D$4:$D$2004,$Z1128-2000)),IF($Z1128&lt;=5200,IF(INDEX(客户自备加工筐明细!$C$4:$C$1203,$Z1128-4000)=0,"",INDEX(客户自备加工筐明细!$C$4:$C$1203,$Z1128-4000)),IF($Z1128&lt;=5800,IF(INDEX(次果筐明细!$D$4:$D$603,$Z1128-5200)=0,"",INDEX(次果筐明细!$D$4:$D$603,$Z1128-5200)),"")))))</f>
        <v/>
      </c>
      <c r="G1128" s="24" t="str">
        <f>IF($Z1128="","",IF($Z1128&lt;=2000,IF(INDEX(包装物料出入库明细!$F$4:$F$2003,$Z1128-0)=0,"",INDEX(包装物料出入库明细!$F$4:$F$2003,$Z1128-0)),IF($Z1128&lt;=4000,"",IF($Z1128&lt;=5200,"",IF($Z1128&lt;=5800,"","")))))</f>
        <v/>
      </c>
      <c r="H1128" s="39" t="str">
        <f>IF($Z1128="","",IF($Z1128&lt;=2000,IF(INDEX(包装物料出入库明细!$L$4:$L$2003,$Z1128-0)=0,"",INDEX(包装物料出入库明细!$L$4:$L$2003,$Z1128-0)),IF($Z1128&lt;=4000,N(INDEX(周转筐出入库明细!$H$4:$H$2004,$Z1128-2000))+N(INDEX(周转筐出入库明细!$I$4:$I$2004,$Z1128-2000))+N(INDEX(周转筐出入库明细!$J$4:$J$2004,$Z1128-2000))+N(INDEX(周转筐出入库明细!$K$4:$K$2004,$Z1128-2000)),IF($Z1128&lt;=5200,N(INDEX(客户自备加工筐明细!$F$4:$F$1203,$Z1128-4000))+N(INDEX(客户自备加工筐明细!$G$4:$G$1203,$Z1128-4000)),IF($Z1128&lt;=5800,IF(INDEX(次果筐明细!$G$4:$G$603,$Z1128-5200)=0,"",INDEX(次果筐明细!$G$4:$G$603,$Z1128-5200)),"")))))</f>
        <v/>
      </c>
      <c r="I1128" s="24" t="str">
        <f>IF($Z1128="","",IF($Z1128&lt;=2000,IF(INDEX(包装物料出入库明细!$G$4:$G$2003,$Z1128-0)=0,"",INDEX(包装物料出入库明细!$G$4:$G$2003,$Z1128-0)),IF($Z1128&lt;=4000,"个",IF($Z1128&lt;=5200,"个",IF($Z1128&lt;=5800,"个","")))))</f>
        <v/>
      </c>
      <c r="J1128" s="30" t="str">
        <f t="shared" si="52"/>
        <v/>
      </c>
      <c r="K1128" s="30" t="str">
        <f>IF($Z1128="","",IF($Z1128&lt;=2000,IF(INDEX(包装物料出入库明细!$N$4:$N$2003,$Z1128-0)=0,"",INDEX(包装物料出入库明细!$N$4:$N$2003,$Z1128-0)),IF($Z1128&lt;=4000,IF(INDEX(周转筐出入库明细!$P$4:$P$2004,$Z1128-2000)=0,"",INDEX(周转筐出入库明细!$P$4:$P$2004,$Z1128-2000)),IF($Z1128&lt;=5200,"",IF($Z1128&lt;=5800,N(INDEX(次果筐明细!$L$4:$L$603,$Z1128-5200))+N(INDEX(次果筐明细!$J$4:$J$603,$Z1128-5200)),"")))))</f>
        <v/>
      </c>
      <c r="L1128" s="24" t="str">
        <f>IF($Z1128="","",IF($Z1128&lt;=2000,IF(INDEX(包装物料出入库明细!$P$4:$P$2003,$Z1128-0)=0,"",INDEX(包装物料出入库明细!$P$4:$P$2003,$Z1128-0)),IF($Z1128&lt;=4000,IF(INDEX(周转筐出入库明细!$Q$4:$Q$2004,$Z1128-2000)=0,"",INDEX(周转筐出入库明细!$Q$4:$Q$2004,$Z1128-2000)),IF($Z1128&lt;=5200,"",IF($Z1128&lt;=5800,IF(INDEX(次果筐明细!$M$4:$M$603,$Z1128-5200)=0,"",INDEX(次果筐明细!$M$4:$M$603,$Z1128-5200)),"")))))</f>
        <v/>
      </c>
      <c r="M1128" s="37" t="str">
        <f>IF($Z1128="","",IF($Z1128&lt;=2000,IF(INDEX(包装物料出入库明细!$R$4:$R$2003,$Z1128-0)=0,"",INDEX(包装物料出入库明细!$R$4:$R$2003,$Z1128-0)),IF($Z1128&lt;=4000,IF(INDEX(周转筐出入库明细!$W$4:$W$2004,$Z1128-2000)=0,"",INDEX(周转筐出入库明细!$W$4:$W$2004,$Z1128-2000)),IF($Z1128&lt;=5200,IF(INDEX(客户自备加工筐明细!$L$4:$L$1203,$Z1128-4000)=0,"",INDEX(客户自备加工筐明细!$L$4:$L$1203,$Z1128-4000)),IF($Z1128&lt;=5800,IF(INDEX(次果筐明细!$P$4:$P$603,$Z1128-5200)=0,"",INDEX(次果筐明细!$P$4:$P$603,$Z1128-5200)),"")))))</f>
        <v/>
      </c>
      <c r="N1128" s="16" t="str">
        <f>IF($Z1128="","",IF($Z1128&lt;=2000,"",IF($Z1128&lt;=4000,IF(INDEX(周转筐出入库明细!$D$4:$D$2004,$Z1128-2000)=0,"",INDEX(周转筐出入库明细!$D$4:$D$2004,$Z1128-2000)),IF($Z1128&lt;=5200,IF(INDEX(客户自备加工筐明细!$C$4:$C$1203,$Z1128-4000)=0,"",INDEX(客户自备加工筐明细!$C$4:$C$1203,$Z1128-4000)),IF($Z1128&lt;=5800,IF(INDEX(次果筐明细!$D$4:$D$603,$Z1128-5200)=0,"",INDEX(次果筐明细!$D$4:$D$603,$Z1128-5200)),"")))))</f>
        <v/>
      </c>
      <c r="O1128" s="40" t="str">
        <f>IF($Z1128="","",IF($Z1128&lt;=2000,"",IF($Z1128&lt;=4000,IF(N(INDEX(周转筐出入库明细!$J$4:$J$2004,$Z1128-2000))+N(INDEX(周转筐出入库明细!$K$4:$K$2004,$Z1128-2000))=0,"",N(INDEX(周转筐出入库明细!$J$4:$J$2004,$Z1128-2000))+N(INDEX(周转筐出入库明细!$K$4:$K$2004,$Z1128-2000))),IF($Z1128&lt;=5200,IF(N(INDEX(客户自备加工筐明细!$G$4:$G$1203,$Z1128-4000))=0,"",N(INDEX(客户自备加工筐明细!$G$4:$G$1203,$Z1128-4000))),IF($Z1128&lt;=5800,IF(ISNUMBER(SEARCH("退",INDEX(次果筐明细!$F$4:$F$603,$Z1128-5200)&amp;"")),"",IF(N(INDEX(次果筐明细!$G$4:$G$603,$Z1128-5200))=0,"",N(INDEX(次果筐明细!$G$4:$G$603,$Z1128-5200)))),"")))))</f>
        <v/>
      </c>
      <c r="P1128" s="40" t="str">
        <f>IF($Z1128="","",IF($Z1128&lt;=2000,"",IF($Z1128&lt;=4000,IF(N(INDEX(周转筐出入库明细!$I$4:$I$2004,$Z1128-2000))=0,"",N(INDEX(周转筐出入库明细!$I$4:$I$2004,$Z1128-2000))),IF($Z1128&lt;=5200,"",IF($Z1128&lt;=5800,IF(ISNUMBER(SEARCH("退",INDEX(次果筐明细!$F$4:$F$603,$Z1128-5200)&amp;"")),IF(N(INDEX(次果筐明细!$G$4:$G$603,$Z1128-5200))=0,"",N(INDEX(次果筐明细!$G$4:$G$603,$Z1128-5200))),""),"")))))</f>
        <v/>
      </c>
      <c r="Q1128" s="40" t="str">
        <f>IF($Z1128="","",IF($Z1128&lt;=2000,"",IF($Z1128&lt;=4000,IF(N(INDEX(周转筐出入库明细!$H$4:$H$2004,$Z1128-2000))=0,"",N(INDEX(周转筐出入库明细!$H$4:$H$2004,$Z1128-2000))),IF($Z1128&lt;=5200,IF(N(INDEX(客户自备加工筐明细!$F$4:$F$1203,$Z1128-4000))=0,"",N(INDEX(客户自备加工筐明细!$F$4:$F$1203,$Z1128-4000))),IF($Z1128&lt;=5800,"","")))))</f>
        <v/>
      </c>
      <c r="R1128" s="16" t="str">
        <f>IF($Z1128="","",IF($Z1128&lt;=2000,IF(INDEX(包装物料出入库明细!$O$4:$O$2003,$Z1128-0)=0,"",INDEX(包装物料出入库明细!$O$4:$O$2003,$Z1128-0)),IF($Z1128&lt;=4000,IF(INDEX(周转筐出入库明细!$M$4:$M$2004,$Z1128-2000)=0,"",INDEX(周转筐出入库明细!$M$4:$M$2004,$Z1128-2000)),IF($Z1128&lt;=5200,IF(INDEX(客户自备加工筐明细!$H$4:$H$1203,$Z1128-4000)=0,"",INDEX(客户自备加工筐明细!$H$4:$H$1203,$Z1128-4000)),IF($Z1128&lt;=5800,IF(INDEX(次果筐明细!$H$4:$H$603,$Z1128-5200)=0,"",INDEX(次果筐明细!$H$4:$H$603,$Z1128-5200)),"")))))</f>
        <v/>
      </c>
      <c r="S1128" s="22" t="str">
        <f t="shared" si="53"/>
        <v/>
      </c>
      <c r="Z1128" s="10" t="str">
        <f>IFERROR(MATCH(ROW()-3,_自动清单!$CQ$4:$CQ$5803,0),"")</f>
        <v/>
      </c>
    </row>
    <row r="1129" spans="1:26">
      <c r="A1129" s="24" t="str">
        <f t="shared" si="51"/>
        <v/>
      </c>
      <c r="B1129" s="38" t="str">
        <f>IF($Z1129="","",IF($Z1129&lt;=2000,IF(INDEX(包装物料出入库明细!$B$4:$B$2003,$Z1129-0)=0,"",INDEX(包装物料出入库明细!$B$4:$B$2003,$Z1129-0)),IF($Z1129&lt;=4000,IF(INDEX(周转筐出入库明细!$B$4:$B$2004,$Z1129-2000)=0,"",INDEX(周转筐出入库明细!$B$4:$B$2004,$Z1129-2000)),IF($Z1129&lt;=5200,IF(INDEX(客户自备加工筐明细!$B$4:$B$1203,$Z1129-4000)=0,"",INDEX(客户自备加工筐明细!$B$4:$B$1203,$Z1129-4000)),IF($Z1129&lt;=5800,IF(INDEX(次果筐明细!$B$4:$B$603,$Z1129-5200)=0,"",INDEX(次果筐明细!$B$4:$B$603,$Z1129-5200)),"")))))</f>
        <v/>
      </c>
      <c r="C1129" s="37" t="str">
        <f>IF($Z1129="","",IF($Z1129&lt;=2000,IF(INDEX(包装物料出入库明细!$D$4:$D$2003,$Z1129-0)=0,"",INDEX(包装物料出入库明细!$D$4:$D$2003,$Z1129-0)),IF($Z1129&lt;=4000,IF(INDEX(周转筐出入库明细!$C$4:$C$2004,$Z1129-2000)=0,"",INDEX(周转筐出入库明细!$C$4:$C$2004,$Z1129-2000)),IF($Z1129&lt;=5200,IF(INDEX(客户自备加工筐明细!$E$4:$E$1203,$Z1129-4000)=0,"",INDEX(客户自备加工筐明细!$E$4:$E$1203,$Z1129-4000)),IF($Z1129&lt;=5800,IF(INDEX(次果筐明细!$C$4:$C$603,$Z1129-5200)=0,"",INDEX(次果筐明细!$C$4:$C$603,$Z1129-5200)),"")))))</f>
        <v/>
      </c>
      <c r="D1129" s="37" t="str">
        <f>IF($Z1129="","",IF($Z1129&lt;=2000,"包装物料－"&amp;INDEX(包装物料出入库明细!$H$4:$H$2003,$Z1129-0),IF($Z1129&lt;=4000,"周转筐－"&amp;INDEX(周转筐出入库明细!$F$4:$F$2004,$Z1129-2000),IF($Z1129&lt;=5200,"客户自备筐－"&amp;INDEX(客户自备加工筐明细!$J$4:$J$1203,$Z1129-4000),IF($Z1129&lt;=5800,"次果筐/托盘－"&amp;INDEX(次果筐明细!$F$4:$F$603,$Z1129-5200),"")))))</f>
        <v/>
      </c>
      <c r="E1129" s="24" t="str">
        <f>IF($Z1129="","",IF($Z1129&lt;=2000,IF(INDEX(包装物料出入库明细!$C$4:$C$2003,$Z1129-0)=0,"",INDEX(包装物料出入库明细!$C$4:$C$2003,$Z1129-0)),IF($Z1129&lt;=4000,IF(INDEX(周转筐出入库明细!$E$4:$E$2004,$Z1129-2000)=0,"",INDEX(周转筐出入库明细!$E$4:$E$2004,$Z1129-2000)),IF($Z1129&lt;=5200,IF(INDEX(客户自备加工筐明细!$D$4:$D$1203,$Z1129-4000)=0,"",INDEX(客户自备加工筐明细!$D$4:$D$1203,$Z1129-4000)),IF($Z1129&lt;=5800,IF(INDEX(次果筐明细!$E$4:$E$603,$Z1129-5200)=0,"",INDEX(次果筐明细!$E$4:$E$603,$Z1129-5200)),"")))))</f>
        <v/>
      </c>
      <c r="F1129" s="24" t="str">
        <f>IF($Z1129="","",IF($Z1129&lt;=2000,IF(INDEX(包装物料出入库明细!$E$4:$E$2003,$Z1129-0)=0,"",INDEX(包装物料出入库明细!$E$4:$E$2003,$Z1129-0)),IF($Z1129&lt;=4000,IF(INDEX(周转筐出入库明细!$D$4:$D$2004,$Z1129-2000)=0,"",INDEX(周转筐出入库明细!$D$4:$D$2004,$Z1129-2000)),IF($Z1129&lt;=5200,IF(INDEX(客户自备加工筐明细!$C$4:$C$1203,$Z1129-4000)=0,"",INDEX(客户自备加工筐明细!$C$4:$C$1203,$Z1129-4000)),IF($Z1129&lt;=5800,IF(INDEX(次果筐明细!$D$4:$D$603,$Z1129-5200)=0,"",INDEX(次果筐明细!$D$4:$D$603,$Z1129-5200)),"")))))</f>
        <v/>
      </c>
      <c r="G1129" s="24" t="str">
        <f>IF($Z1129="","",IF($Z1129&lt;=2000,IF(INDEX(包装物料出入库明细!$F$4:$F$2003,$Z1129-0)=0,"",INDEX(包装物料出入库明细!$F$4:$F$2003,$Z1129-0)),IF($Z1129&lt;=4000,"",IF($Z1129&lt;=5200,"",IF($Z1129&lt;=5800,"","")))))</f>
        <v/>
      </c>
      <c r="H1129" s="39" t="str">
        <f>IF($Z1129="","",IF($Z1129&lt;=2000,IF(INDEX(包装物料出入库明细!$L$4:$L$2003,$Z1129-0)=0,"",INDEX(包装物料出入库明细!$L$4:$L$2003,$Z1129-0)),IF($Z1129&lt;=4000,N(INDEX(周转筐出入库明细!$H$4:$H$2004,$Z1129-2000))+N(INDEX(周转筐出入库明细!$I$4:$I$2004,$Z1129-2000))+N(INDEX(周转筐出入库明细!$J$4:$J$2004,$Z1129-2000))+N(INDEX(周转筐出入库明细!$K$4:$K$2004,$Z1129-2000)),IF($Z1129&lt;=5200,N(INDEX(客户自备加工筐明细!$F$4:$F$1203,$Z1129-4000))+N(INDEX(客户自备加工筐明细!$G$4:$G$1203,$Z1129-4000)),IF($Z1129&lt;=5800,IF(INDEX(次果筐明细!$G$4:$G$603,$Z1129-5200)=0,"",INDEX(次果筐明细!$G$4:$G$603,$Z1129-5200)),"")))))</f>
        <v/>
      </c>
      <c r="I1129" s="24" t="str">
        <f>IF($Z1129="","",IF($Z1129&lt;=2000,IF(INDEX(包装物料出入库明细!$G$4:$G$2003,$Z1129-0)=0,"",INDEX(包装物料出入库明细!$G$4:$G$2003,$Z1129-0)),IF($Z1129&lt;=4000,"个",IF($Z1129&lt;=5200,"个",IF($Z1129&lt;=5800,"个","")))))</f>
        <v/>
      </c>
      <c r="J1129" s="30" t="str">
        <f t="shared" si="52"/>
        <v/>
      </c>
      <c r="K1129" s="30" t="str">
        <f>IF($Z1129="","",IF($Z1129&lt;=2000,IF(INDEX(包装物料出入库明细!$N$4:$N$2003,$Z1129-0)=0,"",INDEX(包装物料出入库明细!$N$4:$N$2003,$Z1129-0)),IF($Z1129&lt;=4000,IF(INDEX(周转筐出入库明细!$P$4:$P$2004,$Z1129-2000)=0,"",INDEX(周转筐出入库明细!$P$4:$P$2004,$Z1129-2000)),IF($Z1129&lt;=5200,"",IF($Z1129&lt;=5800,N(INDEX(次果筐明细!$L$4:$L$603,$Z1129-5200))+N(INDEX(次果筐明细!$J$4:$J$603,$Z1129-5200)),"")))))</f>
        <v/>
      </c>
      <c r="L1129" s="24" t="str">
        <f>IF($Z1129="","",IF($Z1129&lt;=2000,IF(INDEX(包装物料出入库明细!$P$4:$P$2003,$Z1129-0)=0,"",INDEX(包装物料出入库明细!$P$4:$P$2003,$Z1129-0)),IF($Z1129&lt;=4000,IF(INDEX(周转筐出入库明细!$Q$4:$Q$2004,$Z1129-2000)=0,"",INDEX(周转筐出入库明细!$Q$4:$Q$2004,$Z1129-2000)),IF($Z1129&lt;=5200,"",IF($Z1129&lt;=5800,IF(INDEX(次果筐明细!$M$4:$M$603,$Z1129-5200)=0,"",INDEX(次果筐明细!$M$4:$M$603,$Z1129-5200)),"")))))</f>
        <v/>
      </c>
      <c r="M1129" s="37" t="str">
        <f>IF($Z1129="","",IF($Z1129&lt;=2000,IF(INDEX(包装物料出入库明细!$R$4:$R$2003,$Z1129-0)=0,"",INDEX(包装物料出入库明细!$R$4:$R$2003,$Z1129-0)),IF($Z1129&lt;=4000,IF(INDEX(周转筐出入库明细!$W$4:$W$2004,$Z1129-2000)=0,"",INDEX(周转筐出入库明细!$W$4:$W$2004,$Z1129-2000)),IF($Z1129&lt;=5200,IF(INDEX(客户自备加工筐明细!$L$4:$L$1203,$Z1129-4000)=0,"",INDEX(客户自备加工筐明细!$L$4:$L$1203,$Z1129-4000)),IF($Z1129&lt;=5800,IF(INDEX(次果筐明细!$P$4:$P$603,$Z1129-5200)=0,"",INDEX(次果筐明细!$P$4:$P$603,$Z1129-5200)),"")))))</f>
        <v/>
      </c>
      <c r="N1129" s="16" t="str">
        <f>IF($Z1129="","",IF($Z1129&lt;=2000,"",IF($Z1129&lt;=4000,IF(INDEX(周转筐出入库明细!$D$4:$D$2004,$Z1129-2000)=0,"",INDEX(周转筐出入库明细!$D$4:$D$2004,$Z1129-2000)),IF($Z1129&lt;=5200,IF(INDEX(客户自备加工筐明细!$C$4:$C$1203,$Z1129-4000)=0,"",INDEX(客户自备加工筐明细!$C$4:$C$1203,$Z1129-4000)),IF($Z1129&lt;=5800,IF(INDEX(次果筐明细!$D$4:$D$603,$Z1129-5200)=0,"",INDEX(次果筐明细!$D$4:$D$603,$Z1129-5200)),"")))))</f>
        <v/>
      </c>
      <c r="O1129" s="40" t="str">
        <f>IF($Z1129="","",IF($Z1129&lt;=2000,"",IF($Z1129&lt;=4000,IF(N(INDEX(周转筐出入库明细!$J$4:$J$2004,$Z1129-2000))+N(INDEX(周转筐出入库明细!$K$4:$K$2004,$Z1129-2000))=0,"",N(INDEX(周转筐出入库明细!$J$4:$J$2004,$Z1129-2000))+N(INDEX(周转筐出入库明细!$K$4:$K$2004,$Z1129-2000))),IF($Z1129&lt;=5200,IF(N(INDEX(客户自备加工筐明细!$G$4:$G$1203,$Z1129-4000))=0,"",N(INDEX(客户自备加工筐明细!$G$4:$G$1203,$Z1129-4000))),IF($Z1129&lt;=5800,IF(ISNUMBER(SEARCH("退",INDEX(次果筐明细!$F$4:$F$603,$Z1129-5200)&amp;"")),"",IF(N(INDEX(次果筐明细!$G$4:$G$603,$Z1129-5200))=0,"",N(INDEX(次果筐明细!$G$4:$G$603,$Z1129-5200)))),"")))))</f>
        <v/>
      </c>
      <c r="P1129" s="40" t="str">
        <f>IF($Z1129="","",IF($Z1129&lt;=2000,"",IF($Z1129&lt;=4000,IF(N(INDEX(周转筐出入库明细!$I$4:$I$2004,$Z1129-2000))=0,"",N(INDEX(周转筐出入库明细!$I$4:$I$2004,$Z1129-2000))),IF($Z1129&lt;=5200,"",IF($Z1129&lt;=5800,IF(ISNUMBER(SEARCH("退",INDEX(次果筐明细!$F$4:$F$603,$Z1129-5200)&amp;"")),IF(N(INDEX(次果筐明细!$G$4:$G$603,$Z1129-5200))=0,"",N(INDEX(次果筐明细!$G$4:$G$603,$Z1129-5200))),""),"")))))</f>
        <v/>
      </c>
      <c r="Q1129" s="40" t="str">
        <f>IF($Z1129="","",IF($Z1129&lt;=2000,"",IF($Z1129&lt;=4000,IF(N(INDEX(周转筐出入库明细!$H$4:$H$2004,$Z1129-2000))=0,"",N(INDEX(周转筐出入库明细!$H$4:$H$2004,$Z1129-2000))),IF($Z1129&lt;=5200,IF(N(INDEX(客户自备加工筐明细!$F$4:$F$1203,$Z1129-4000))=0,"",N(INDEX(客户自备加工筐明细!$F$4:$F$1203,$Z1129-4000))),IF($Z1129&lt;=5800,"","")))))</f>
        <v/>
      </c>
      <c r="R1129" s="16" t="str">
        <f>IF($Z1129="","",IF($Z1129&lt;=2000,IF(INDEX(包装物料出入库明细!$O$4:$O$2003,$Z1129-0)=0,"",INDEX(包装物料出入库明细!$O$4:$O$2003,$Z1129-0)),IF($Z1129&lt;=4000,IF(INDEX(周转筐出入库明细!$M$4:$M$2004,$Z1129-2000)=0,"",INDEX(周转筐出入库明细!$M$4:$M$2004,$Z1129-2000)),IF($Z1129&lt;=5200,IF(INDEX(客户自备加工筐明细!$H$4:$H$1203,$Z1129-4000)=0,"",INDEX(客户自备加工筐明细!$H$4:$H$1203,$Z1129-4000)),IF($Z1129&lt;=5800,IF(INDEX(次果筐明细!$H$4:$H$603,$Z1129-5200)=0,"",INDEX(次果筐明细!$H$4:$H$603,$Z1129-5200)),"")))))</f>
        <v/>
      </c>
      <c r="S1129" s="22" t="str">
        <f t="shared" si="53"/>
        <v/>
      </c>
      <c r="Z1129" s="10" t="str">
        <f>IFERROR(MATCH(ROW()-3,_自动清单!$CQ$4:$CQ$5803,0),"")</f>
        <v/>
      </c>
    </row>
    <row r="1130" spans="1:26">
      <c r="A1130" s="24" t="str">
        <f t="shared" si="51"/>
        <v/>
      </c>
      <c r="B1130" s="38" t="str">
        <f>IF($Z1130="","",IF($Z1130&lt;=2000,IF(INDEX(包装物料出入库明细!$B$4:$B$2003,$Z1130-0)=0,"",INDEX(包装物料出入库明细!$B$4:$B$2003,$Z1130-0)),IF($Z1130&lt;=4000,IF(INDEX(周转筐出入库明细!$B$4:$B$2004,$Z1130-2000)=0,"",INDEX(周转筐出入库明细!$B$4:$B$2004,$Z1130-2000)),IF($Z1130&lt;=5200,IF(INDEX(客户自备加工筐明细!$B$4:$B$1203,$Z1130-4000)=0,"",INDEX(客户自备加工筐明细!$B$4:$B$1203,$Z1130-4000)),IF($Z1130&lt;=5800,IF(INDEX(次果筐明细!$B$4:$B$603,$Z1130-5200)=0,"",INDEX(次果筐明细!$B$4:$B$603,$Z1130-5200)),"")))))</f>
        <v/>
      </c>
      <c r="C1130" s="37" t="str">
        <f>IF($Z1130="","",IF($Z1130&lt;=2000,IF(INDEX(包装物料出入库明细!$D$4:$D$2003,$Z1130-0)=0,"",INDEX(包装物料出入库明细!$D$4:$D$2003,$Z1130-0)),IF($Z1130&lt;=4000,IF(INDEX(周转筐出入库明细!$C$4:$C$2004,$Z1130-2000)=0,"",INDEX(周转筐出入库明细!$C$4:$C$2004,$Z1130-2000)),IF($Z1130&lt;=5200,IF(INDEX(客户自备加工筐明细!$E$4:$E$1203,$Z1130-4000)=0,"",INDEX(客户自备加工筐明细!$E$4:$E$1203,$Z1130-4000)),IF($Z1130&lt;=5800,IF(INDEX(次果筐明细!$C$4:$C$603,$Z1130-5200)=0,"",INDEX(次果筐明细!$C$4:$C$603,$Z1130-5200)),"")))))</f>
        <v/>
      </c>
      <c r="D1130" s="37" t="str">
        <f>IF($Z1130="","",IF($Z1130&lt;=2000,"包装物料－"&amp;INDEX(包装物料出入库明细!$H$4:$H$2003,$Z1130-0),IF($Z1130&lt;=4000,"周转筐－"&amp;INDEX(周转筐出入库明细!$F$4:$F$2004,$Z1130-2000),IF($Z1130&lt;=5200,"客户自备筐－"&amp;INDEX(客户自备加工筐明细!$J$4:$J$1203,$Z1130-4000),IF($Z1130&lt;=5800,"次果筐/托盘－"&amp;INDEX(次果筐明细!$F$4:$F$603,$Z1130-5200),"")))))</f>
        <v/>
      </c>
      <c r="E1130" s="24" t="str">
        <f>IF($Z1130="","",IF($Z1130&lt;=2000,IF(INDEX(包装物料出入库明细!$C$4:$C$2003,$Z1130-0)=0,"",INDEX(包装物料出入库明细!$C$4:$C$2003,$Z1130-0)),IF($Z1130&lt;=4000,IF(INDEX(周转筐出入库明细!$E$4:$E$2004,$Z1130-2000)=0,"",INDEX(周转筐出入库明细!$E$4:$E$2004,$Z1130-2000)),IF($Z1130&lt;=5200,IF(INDEX(客户自备加工筐明细!$D$4:$D$1203,$Z1130-4000)=0,"",INDEX(客户自备加工筐明细!$D$4:$D$1203,$Z1130-4000)),IF($Z1130&lt;=5800,IF(INDEX(次果筐明细!$E$4:$E$603,$Z1130-5200)=0,"",INDEX(次果筐明细!$E$4:$E$603,$Z1130-5200)),"")))))</f>
        <v/>
      </c>
      <c r="F1130" s="24" t="str">
        <f>IF($Z1130="","",IF($Z1130&lt;=2000,IF(INDEX(包装物料出入库明细!$E$4:$E$2003,$Z1130-0)=0,"",INDEX(包装物料出入库明细!$E$4:$E$2003,$Z1130-0)),IF($Z1130&lt;=4000,IF(INDEX(周转筐出入库明细!$D$4:$D$2004,$Z1130-2000)=0,"",INDEX(周转筐出入库明细!$D$4:$D$2004,$Z1130-2000)),IF($Z1130&lt;=5200,IF(INDEX(客户自备加工筐明细!$C$4:$C$1203,$Z1130-4000)=0,"",INDEX(客户自备加工筐明细!$C$4:$C$1203,$Z1130-4000)),IF($Z1130&lt;=5800,IF(INDEX(次果筐明细!$D$4:$D$603,$Z1130-5200)=0,"",INDEX(次果筐明细!$D$4:$D$603,$Z1130-5200)),"")))))</f>
        <v/>
      </c>
      <c r="G1130" s="24" t="str">
        <f>IF($Z1130="","",IF($Z1130&lt;=2000,IF(INDEX(包装物料出入库明细!$F$4:$F$2003,$Z1130-0)=0,"",INDEX(包装物料出入库明细!$F$4:$F$2003,$Z1130-0)),IF($Z1130&lt;=4000,"",IF($Z1130&lt;=5200,"",IF($Z1130&lt;=5800,"","")))))</f>
        <v/>
      </c>
      <c r="H1130" s="39" t="str">
        <f>IF($Z1130="","",IF($Z1130&lt;=2000,IF(INDEX(包装物料出入库明细!$L$4:$L$2003,$Z1130-0)=0,"",INDEX(包装物料出入库明细!$L$4:$L$2003,$Z1130-0)),IF($Z1130&lt;=4000,N(INDEX(周转筐出入库明细!$H$4:$H$2004,$Z1130-2000))+N(INDEX(周转筐出入库明细!$I$4:$I$2004,$Z1130-2000))+N(INDEX(周转筐出入库明细!$J$4:$J$2004,$Z1130-2000))+N(INDEX(周转筐出入库明细!$K$4:$K$2004,$Z1130-2000)),IF($Z1130&lt;=5200,N(INDEX(客户自备加工筐明细!$F$4:$F$1203,$Z1130-4000))+N(INDEX(客户自备加工筐明细!$G$4:$G$1203,$Z1130-4000)),IF($Z1130&lt;=5800,IF(INDEX(次果筐明细!$G$4:$G$603,$Z1130-5200)=0,"",INDEX(次果筐明细!$G$4:$G$603,$Z1130-5200)),"")))))</f>
        <v/>
      </c>
      <c r="I1130" s="24" t="str">
        <f>IF($Z1130="","",IF($Z1130&lt;=2000,IF(INDEX(包装物料出入库明细!$G$4:$G$2003,$Z1130-0)=0,"",INDEX(包装物料出入库明细!$G$4:$G$2003,$Z1130-0)),IF($Z1130&lt;=4000,"个",IF($Z1130&lt;=5200,"个",IF($Z1130&lt;=5800,"个","")))))</f>
        <v/>
      </c>
      <c r="J1130" s="30" t="str">
        <f t="shared" si="52"/>
        <v/>
      </c>
      <c r="K1130" s="30" t="str">
        <f>IF($Z1130="","",IF($Z1130&lt;=2000,IF(INDEX(包装物料出入库明细!$N$4:$N$2003,$Z1130-0)=0,"",INDEX(包装物料出入库明细!$N$4:$N$2003,$Z1130-0)),IF($Z1130&lt;=4000,IF(INDEX(周转筐出入库明细!$P$4:$P$2004,$Z1130-2000)=0,"",INDEX(周转筐出入库明细!$P$4:$P$2004,$Z1130-2000)),IF($Z1130&lt;=5200,"",IF($Z1130&lt;=5800,N(INDEX(次果筐明细!$L$4:$L$603,$Z1130-5200))+N(INDEX(次果筐明细!$J$4:$J$603,$Z1130-5200)),"")))))</f>
        <v/>
      </c>
      <c r="L1130" s="24" t="str">
        <f>IF($Z1130="","",IF($Z1130&lt;=2000,IF(INDEX(包装物料出入库明细!$P$4:$P$2003,$Z1130-0)=0,"",INDEX(包装物料出入库明细!$P$4:$P$2003,$Z1130-0)),IF($Z1130&lt;=4000,IF(INDEX(周转筐出入库明细!$Q$4:$Q$2004,$Z1130-2000)=0,"",INDEX(周转筐出入库明细!$Q$4:$Q$2004,$Z1130-2000)),IF($Z1130&lt;=5200,"",IF($Z1130&lt;=5800,IF(INDEX(次果筐明细!$M$4:$M$603,$Z1130-5200)=0,"",INDEX(次果筐明细!$M$4:$M$603,$Z1130-5200)),"")))))</f>
        <v/>
      </c>
      <c r="M1130" s="37" t="str">
        <f>IF($Z1130="","",IF($Z1130&lt;=2000,IF(INDEX(包装物料出入库明细!$R$4:$R$2003,$Z1130-0)=0,"",INDEX(包装物料出入库明细!$R$4:$R$2003,$Z1130-0)),IF($Z1130&lt;=4000,IF(INDEX(周转筐出入库明细!$W$4:$W$2004,$Z1130-2000)=0,"",INDEX(周转筐出入库明细!$W$4:$W$2004,$Z1130-2000)),IF($Z1130&lt;=5200,IF(INDEX(客户自备加工筐明细!$L$4:$L$1203,$Z1130-4000)=0,"",INDEX(客户自备加工筐明细!$L$4:$L$1203,$Z1130-4000)),IF($Z1130&lt;=5800,IF(INDEX(次果筐明细!$P$4:$P$603,$Z1130-5200)=0,"",INDEX(次果筐明细!$P$4:$P$603,$Z1130-5200)),"")))))</f>
        <v/>
      </c>
      <c r="N1130" s="16" t="str">
        <f>IF($Z1130="","",IF($Z1130&lt;=2000,"",IF($Z1130&lt;=4000,IF(INDEX(周转筐出入库明细!$D$4:$D$2004,$Z1130-2000)=0,"",INDEX(周转筐出入库明细!$D$4:$D$2004,$Z1130-2000)),IF($Z1130&lt;=5200,IF(INDEX(客户自备加工筐明细!$C$4:$C$1203,$Z1130-4000)=0,"",INDEX(客户自备加工筐明细!$C$4:$C$1203,$Z1130-4000)),IF($Z1130&lt;=5800,IF(INDEX(次果筐明细!$D$4:$D$603,$Z1130-5200)=0,"",INDEX(次果筐明细!$D$4:$D$603,$Z1130-5200)),"")))))</f>
        <v/>
      </c>
      <c r="O1130" s="40" t="str">
        <f>IF($Z1130="","",IF($Z1130&lt;=2000,"",IF($Z1130&lt;=4000,IF(N(INDEX(周转筐出入库明细!$J$4:$J$2004,$Z1130-2000))+N(INDEX(周转筐出入库明细!$K$4:$K$2004,$Z1130-2000))=0,"",N(INDEX(周转筐出入库明细!$J$4:$J$2004,$Z1130-2000))+N(INDEX(周转筐出入库明细!$K$4:$K$2004,$Z1130-2000))),IF($Z1130&lt;=5200,IF(N(INDEX(客户自备加工筐明细!$G$4:$G$1203,$Z1130-4000))=0,"",N(INDEX(客户自备加工筐明细!$G$4:$G$1203,$Z1130-4000))),IF($Z1130&lt;=5800,IF(ISNUMBER(SEARCH("退",INDEX(次果筐明细!$F$4:$F$603,$Z1130-5200)&amp;"")),"",IF(N(INDEX(次果筐明细!$G$4:$G$603,$Z1130-5200))=0,"",N(INDEX(次果筐明细!$G$4:$G$603,$Z1130-5200)))),"")))))</f>
        <v/>
      </c>
      <c r="P1130" s="40" t="str">
        <f>IF($Z1130="","",IF($Z1130&lt;=2000,"",IF($Z1130&lt;=4000,IF(N(INDEX(周转筐出入库明细!$I$4:$I$2004,$Z1130-2000))=0,"",N(INDEX(周转筐出入库明细!$I$4:$I$2004,$Z1130-2000))),IF($Z1130&lt;=5200,"",IF($Z1130&lt;=5800,IF(ISNUMBER(SEARCH("退",INDEX(次果筐明细!$F$4:$F$603,$Z1130-5200)&amp;"")),IF(N(INDEX(次果筐明细!$G$4:$G$603,$Z1130-5200))=0,"",N(INDEX(次果筐明细!$G$4:$G$603,$Z1130-5200))),""),"")))))</f>
        <v/>
      </c>
      <c r="Q1130" s="40" t="str">
        <f>IF($Z1130="","",IF($Z1130&lt;=2000,"",IF($Z1130&lt;=4000,IF(N(INDEX(周转筐出入库明细!$H$4:$H$2004,$Z1130-2000))=0,"",N(INDEX(周转筐出入库明细!$H$4:$H$2004,$Z1130-2000))),IF($Z1130&lt;=5200,IF(N(INDEX(客户自备加工筐明细!$F$4:$F$1203,$Z1130-4000))=0,"",N(INDEX(客户自备加工筐明细!$F$4:$F$1203,$Z1130-4000))),IF($Z1130&lt;=5800,"","")))))</f>
        <v/>
      </c>
      <c r="R1130" s="16" t="str">
        <f>IF($Z1130="","",IF($Z1130&lt;=2000,IF(INDEX(包装物料出入库明细!$O$4:$O$2003,$Z1130-0)=0,"",INDEX(包装物料出入库明细!$O$4:$O$2003,$Z1130-0)),IF($Z1130&lt;=4000,IF(INDEX(周转筐出入库明细!$M$4:$M$2004,$Z1130-2000)=0,"",INDEX(周转筐出入库明细!$M$4:$M$2004,$Z1130-2000)),IF($Z1130&lt;=5200,IF(INDEX(客户自备加工筐明细!$H$4:$H$1203,$Z1130-4000)=0,"",INDEX(客户自备加工筐明细!$H$4:$H$1203,$Z1130-4000)),IF($Z1130&lt;=5800,IF(INDEX(次果筐明细!$H$4:$H$603,$Z1130-5200)=0,"",INDEX(次果筐明细!$H$4:$H$603,$Z1130-5200)),"")))))</f>
        <v/>
      </c>
      <c r="S1130" s="22" t="str">
        <f t="shared" si="53"/>
        <v/>
      </c>
      <c r="Z1130" s="10" t="str">
        <f>IFERROR(MATCH(ROW()-3,_自动清单!$CQ$4:$CQ$5803,0),"")</f>
        <v/>
      </c>
    </row>
    <row r="1131" spans="1:26">
      <c r="A1131" s="24" t="str">
        <f t="shared" si="51"/>
        <v/>
      </c>
      <c r="B1131" s="38" t="str">
        <f>IF($Z1131="","",IF($Z1131&lt;=2000,IF(INDEX(包装物料出入库明细!$B$4:$B$2003,$Z1131-0)=0,"",INDEX(包装物料出入库明细!$B$4:$B$2003,$Z1131-0)),IF($Z1131&lt;=4000,IF(INDEX(周转筐出入库明细!$B$4:$B$2004,$Z1131-2000)=0,"",INDEX(周转筐出入库明细!$B$4:$B$2004,$Z1131-2000)),IF($Z1131&lt;=5200,IF(INDEX(客户自备加工筐明细!$B$4:$B$1203,$Z1131-4000)=0,"",INDEX(客户自备加工筐明细!$B$4:$B$1203,$Z1131-4000)),IF($Z1131&lt;=5800,IF(INDEX(次果筐明细!$B$4:$B$603,$Z1131-5200)=0,"",INDEX(次果筐明细!$B$4:$B$603,$Z1131-5200)),"")))))</f>
        <v/>
      </c>
      <c r="C1131" s="37" t="str">
        <f>IF($Z1131="","",IF($Z1131&lt;=2000,IF(INDEX(包装物料出入库明细!$D$4:$D$2003,$Z1131-0)=0,"",INDEX(包装物料出入库明细!$D$4:$D$2003,$Z1131-0)),IF($Z1131&lt;=4000,IF(INDEX(周转筐出入库明细!$C$4:$C$2004,$Z1131-2000)=0,"",INDEX(周转筐出入库明细!$C$4:$C$2004,$Z1131-2000)),IF($Z1131&lt;=5200,IF(INDEX(客户自备加工筐明细!$E$4:$E$1203,$Z1131-4000)=0,"",INDEX(客户自备加工筐明细!$E$4:$E$1203,$Z1131-4000)),IF($Z1131&lt;=5800,IF(INDEX(次果筐明细!$C$4:$C$603,$Z1131-5200)=0,"",INDEX(次果筐明细!$C$4:$C$603,$Z1131-5200)),"")))))</f>
        <v/>
      </c>
      <c r="D1131" s="37" t="str">
        <f>IF($Z1131="","",IF($Z1131&lt;=2000,"包装物料－"&amp;INDEX(包装物料出入库明细!$H$4:$H$2003,$Z1131-0),IF($Z1131&lt;=4000,"周转筐－"&amp;INDEX(周转筐出入库明细!$F$4:$F$2004,$Z1131-2000),IF($Z1131&lt;=5200,"客户自备筐－"&amp;INDEX(客户自备加工筐明细!$J$4:$J$1203,$Z1131-4000),IF($Z1131&lt;=5800,"次果筐/托盘－"&amp;INDEX(次果筐明细!$F$4:$F$603,$Z1131-5200),"")))))</f>
        <v/>
      </c>
      <c r="E1131" s="24" t="str">
        <f>IF($Z1131="","",IF($Z1131&lt;=2000,IF(INDEX(包装物料出入库明细!$C$4:$C$2003,$Z1131-0)=0,"",INDEX(包装物料出入库明细!$C$4:$C$2003,$Z1131-0)),IF($Z1131&lt;=4000,IF(INDEX(周转筐出入库明细!$E$4:$E$2004,$Z1131-2000)=0,"",INDEX(周转筐出入库明细!$E$4:$E$2004,$Z1131-2000)),IF($Z1131&lt;=5200,IF(INDEX(客户自备加工筐明细!$D$4:$D$1203,$Z1131-4000)=0,"",INDEX(客户自备加工筐明细!$D$4:$D$1203,$Z1131-4000)),IF($Z1131&lt;=5800,IF(INDEX(次果筐明细!$E$4:$E$603,$Z1131-5200)=0,"",INDEX(次果筐明细!$E$4:$E$603,$Z1131-5200)),"")))))</f>
        <v/>
      </c>
      <c r="F1131" s="24" t="str">
        <f>IF($Z1131="","",IF($Z1131&lt;=2000,IF(INDEX(包装物料出入库明细!$E$4:$E$2003,$Z1131-0)=0,"",INDEX(包装物料出入库明细!$E$4:$E$2003,$Z1131-0)),IF($Z1131&lt;=4000,IF(INDEX(周转筐出入库明细!$D$4:$D$2004,$Z1131-2000)=0,"",INDEX(周转筐出入库明细!$D$4:$D$2004,$Z1131-2000)),IF($Z1131&lt;=5200,IF(INDEX(客户自备加工筐明细!$C$4:$C$1203,$Z1131-4000)=0,"",INDEX(客户自备加工筐明细!$C$4:$C$1203,$Z1131-4000)),IF($Z1131&lt;=5800,IF(INDEX(次果筐明细!$D$4:$D$603,$Z1131-5200)=0,"",INDEX(次果筐明细!$D$4:$D$603,$Z1131-5200)),"")))))</f>
        <v/>
      </c>
      <c r="G1131" s="24" t="str">
        <f>IF($Z1131="","",IF($Z1131&lt;=2000,IF(INDEX(包装物料出入库明细!$F$4:$F$2003,$Z1131-0)=0,"",INDEX(包装物料出入库明细!$F$4:$F$2003,$Z1131-0)),IF($Z1131&lt;=4000,"",IF($Z1131&lt;=5200,"",IF($Z1131&lt;=5800,"","")))))</f>
        <v/>
      </c>
      <c r="H1131" s="39" t="str">
        <f>IF($Z1131="","",IF($Z1131&lt;=2000,IF(INDEX(包装物料出入库明细!$L$4:$L$2003,$Z1131-0)=0,"",INDEX(包装物料出入库明细!$L$4:$L$2003,$Z1131-0)),IF($Z1131&lt;=4000,N(INDEX(周转筐出入库明细!$H$4:$H$2004,$Z1131-2000))+N(INDEX(周转筐出入库明细!$I$4:$I$2004,$Z1131-2000))+N(INDEX(周转筐出入库明细!$J$4:$J$2004,$Z1131-2000))+N(INDEX(周转筐出入库明细!$K$4:$K$2004,$Z1131-2000)),IF($Z1131&lt;=5200,N(INDEX(客户自备加工筐明细!$F$4:$F$1203,$Z1131-4000))+N(INDEX(客户自备加工筐明细!$G$4:$G$1203,$Z1131-4000)),IF($Z1131&lt;=5800,IF(INDEX(次果筐明细!$G$4:$G$603,$Z1131-5200)=0,"",INDEX(次果筐明细!$G$4:$G$603,$Z1131-5200)),"")))))</f>
        <v/>
      </c>
      <c r="I1131" s="24" t="str">
        <f>IF($Z1131="","",IF($Z1131&lt;=2000,IF(INDEX(包装物料出入库明细!$G$4:$G$2003,$Z1131-0)=0,"",INDEX(包装物料出入库明细!$G$4:$G$2003,$Z1131-0)),IF($Z1131&lt;=4000,"个",IF($Z1131&lt;=5200,"个",IF($Z1131&lt;=5800,"个","")))))</f>
        <v/>
      </c>
      <c r="J1131" s="30" t="str">
        <f t="shared" si="52"/>
        <v/>
      </c>
      <c r="K1131" s="30" t="str">
        <f>IF($Z1131="","",IF($Z1131&lt;=2000,IF(INDEX(包装物料出入库明细!$N$4:$N$2003,$Z1131-0)=0,"",INDEX(包装物料出入库明细!$N$4:$N$2003,$Z1131-0)),IF($Z1131&lt;=4000,IF(INDEX(周转筐出入库明细!$P$4:$P$2004,$Z1131-2000)=0,"",INDEX(周转筐出入库明细!$P$4:$P$2004,$Z1131-2000)),IF($Z1131&lt;=5200,"",IF($Z1131&lt;=5800,N(INDEX(次果筐明细!$L$4:$L$603,$Z1131-5200))+N(INDEX(次果筐明细!$J$4:$J$603,$Z1131-5200)),"")))))</f>
        <v/>
      </c>
      <c r="L1131" s="24" t="str">
        <f>IF($Z1131="","",IF($Z1131&lt;=2000,IF(INDEX(包装物料出入库明细!$P$4:$P$2003,$Z1131-0)=0,"",INDEX(包装物料出入库明细!$P$4:$P$2003,$Z1131-0)),IF($Z1131&lt;=4000,IF(INDEX(周转筐出入库明细!$Q$4:$Q$2004,$Z1131-2000)=0,"",INDEX(周转筐出入库明细!$Q$4:$Q$2004,$Z1131-2000)),IF($Z1131&lt;=5200,"",IF($Z1131&lt;=5800,IF(INDEX(次果筐明细!$M$4:$M$603,$Z1131-5200)=0,"",INDEX(次果筐明细!$M$4:$M$603,$Z1131-5200)),"")))))</f>
        <v/>
      </c>
      <c r="M1131" s="37" t="str">
        <f>IF($Z1131="","",IF($Z1131&lt;=2000,IF(INDEX(包装物料出入库明细!$R$4:$R$2003,$Z1131-0)=0,"",INDEX(包装物料出入库明细!$R$4:$R$2003,$Z1131-0)),IF($Z1131&lt;=4000,IF(INDEX(周转筐出入库明细!$W$4:$W$2004,$Z1131-2000)=0,"",INDEX(周转筐出入库明细!$W$4:$W$2004,$Z1131-2000)),IF($Z1131&lt;=5200,IF(INDEX(客户自备加工筐明细!$L$4:$L$1203,$Z1131-4000)=0,"",INDEX(客户自备加工筐明细!$L$4:$L$1203,$Z1131-4000)),IF($Z1131&lt;=5800,IF(INDEX(次果筐明细!$P$4:$P$603,$Z1131-5200)=0,"",INDEX(次果筐明细!$P$4:$P$603,$Z1131-5200)),"")))))</f>
        <v/>
      </c>
      <c r="N1131" s="16" t="str">
        <f>IF($Z1131="","",IF($Z1131&lt;=2000,"",IF($Z1131&lt;=4000,IF(INDEX(周转筐出入库明细!$D$4:$D$2004,$Z1131-2000)=0,"",INDEX(周转筐出入库明细!$D$4:$D$2004,$Z1131-2000)),IF($Z1131&lt;=5200,IF(INDEX(客户自备加工筐明细!$C$4:$C$1203,$Z1131-4000)=0,"",INDEX(客户自备加工筐明细!$C$4:$C$1203,$Z1131-4000)),IF($Z1131&lt;=5800,IF(INDEX(次果筐明细!$D$4:$D$603,$Z1131-5200)=0,"",INDEX(次果筐明细!$D$4:$D$603,$Z1131-5200)),"")))))</f>
        <v/>
      </c>
      <c r="O1131" s="40" t="str">
        <f>IF($Z1131="","",IF($Z1131&lt;=2000,"",IF($Z1131&lt;=4000,IF(N(INDEX(周转筐出入库明细!$J$4:$J$2004,$Z1131-2000))+N(INDEX(周转筐出入库明细!$K$4:$K$2004,$Z1131-2000))=0,"",N(INDEX(周转筐出入库明细!$J$4:$J$2004,$Z1131-2000))+N(INDEX(周转筐出入库明细!$K$4:$K$2004,$Z1131-2000))),IF($Z1131&lt;=5200,IF(N(INDEX(客户自备加工筐明细!$G$4:$G$1203,$Z1131-4000))=0,"",N(INDEX(客户自备加工筐明细!$G$4:$G$1203,$Z1131-4000))),IF($Z1131&lt;=5800,IF(ISNUMBER(SEARCH("退",INDEX(次果筐明细!$F$4:$F$603,$Z1131-5200)&amp;"")),"",IF(N(INDEX(次果筐明细!$G$4:$G$603,$Z1131-5200))=0,"",N(INDEX(次果筐明细!$G$4:$G$603,$Z1131-5200)))),"")))))</f>
        <v/>
      </c>
      <c r="P1131" s="40" t="str">
        <f>IF($Z1131="","",IF($Z1131&lt;=2000,"",IF($Z1131&lt;=4000,IF(N(INDEX(周转筐出入库明细!$I$4:$I$2004,$Z1131-2000))=0,"",N(INDEX(周转筐出入库明细!$I$4:$I$2004,$Z1131-2000))),IF($Z1131&lt;=5200,"",IF($Z1131&lt;=5800,IF(ISNUMBER(SEARCH("退",INDEX(次果筐明细!$F$4:$F$603,$Z1131-5200)&amp;"")),IF(N(INDEX(次果筐明细!$G$4:$G$603,$Z1131-5200))=0,"",N(INDEX(次果筐明细!$G$4:$G$603,$Z1131-5200))),""),"")))))</f>
        <v/>
      </c>
      <c r="Q1131" s="40" t="str">
        <f>IF($Z1131="","",IF($Z1131&lt;=2000,"",IF($Z1131&lt;=4000,IF(N(INDEX(周转筐出入库明细!$H$4:$H$2004,$Z1131-2000))=0,"",N(INDEX(周转筐出入库明细!$H$4:$H$2004,$Z1131-2000))),IF($Z1131&lt;=5200,IF(N(INDEX(客户自备加工筐明细!$F$4:$F$1203,$Z1131-4000))=0,"",N(INDEX(客户自备加工筐明细!$F$4:$F$1203,$Z1131-4000))),IF($Z1131&lt;=5800,"","")))))</f>
        <v/>
      </c>
      <c r="R1131" s="16" t="str">
        <f>IF($Z1131="","",IF($Z1131&lt;=2000,IF(INDEX(包装物料出入库明细!$O$4:$O$2003,$Z1131-0)=0,"",INDEX(包装物料出入库明细!$O$4:$O$2003,$Z1131-0)),IF($Z1131&lt;=4000,IF(INDEX(周转筐出入库明细!$M$4:$M$2004,$Z1131-2000)=0,"",INDEX(周转筐出入库明细!$M$4:$M$2004,$Z1131-2000)),IF($Z1131&lt;=5200,IF(INDEX(客户自备加工筐明细!$H$4:$H$1203,$Z1131-4000)=0,"",INDEX(客户自备加工筐明细!$H$4:$H$1203,$Z1131-4000)),IF($Z1131&lt;=5800,IF(INDEX(次果筐明细!$H$4:$H$603,$Z1131-5200)=0,"",INDEX(次果筐明细!$H$4:$H$603,$Z1131-5200)),"")))))</f>
        <v/>
      </c>
      <c r="S1131" s="22" t="str">
        <f t="shared" si="53"/>
        <v/>
      </c>
      <c r="Z1131" s="10" t="str">
        <f>IFERROR(MATCH(ROW()-3,_自动清单!$CQ$4:$CQ$5803,0),"")</f>
        <v/>
      </c>
    </row>
    <row r="1132" spans="1:26">
      <c r="A1132" s="24" t="str">
        <f t="shared" si="51"/>
        <v/>
      </c>
      <c r="B1132" s="38" t="str">
        <f>IF($Z1132="","",IF($Z1132&lt;=2000,IF(INDEX(包装物料出入库明细!$B$4:$B$2003,$Z1132-0)=0,"",INDEX(包装物料出入库明细!$B$4:$B$2003,$Z1132-0)),IF($Z1132&lt;=4000,IF(INDEX(周转筐出入库明细!$B$4:$B$2004,$Z1132-2000)=0,"",INDEX(周转筐出入库明细!$B$4:$B$2004,$Z1132-2000)),IF($Z1132&lt;=5200,IF(INDEX(客户自备加工筐明细!$B$4:$B$1203,$Z1132-4000)=0,"",INDEX(客户自备加工筐明细!$B$4:$B$1203,$Z1132-4000)),IF($Z1132&lt;=5800,IF(INDEX(次果筐明细!$B$4:$B$603,$Z1132-5200)=0,"",INDEX(次果筐明细!$B$4:$B$603,$Z1132-5200)),"")))))</f>
        <v/>
      </c>
      <c r="C1132" s="37" t="str">
        <f>IF($Z1132="","",IF($Z1132&lt;=2000,IF(INDEX(包装物料出入库明细!$D$4:$D$2003,$Z1132-0)=0,"",INDEX(包装物料出入库明细!$D$4:$D$2003,$Z1132-0)),IF($Z1132&lt;=4000,IF(INDEX(周转筐出入库明细!$C$4:$C$2004,$Z1132-2000)=0,"",INDEX(周转筐出入库明细!$C$4:$C$2004,$Z1132-2000)),IF($Z1132&lt;=5200,IF(INDEX(客户自备加工筐明细!$E$4:$E$1203,$Z1132-4000)=0,"",INDEX(客户自备加工筐明细!$E$4:$E$1203,$Z1132-4000)),IF($Z1132&lt;=5800,IF(INDEX(次果筐明细!$C$4:$C$603,$Z1132-5200)=0,"",INDEX(次果筐明细!$C$4:$C$603,$Z1132-5200)),"")))))</f>
        <v/>
      </c>
      <c r="D1132" s="37" t="str">
        <f>IF($Z1132="","",IF($Z1132&lt;=2000,"包装物料－"&amp;INDEX(包装物料出入库明细!$H$4:$H$2003,$Z1132-0),IF($Z1132&lt;=4000,"周转筐－"&amp;INDEX(周转筐出入库明细!$F$4:$F$2004,$Z1132-2000),IF($Z1132&lt;=5200,"客户自备筐－"&amp;INDEX(客户自备加工筐明细!$J$4:$J$1203,$Z1132-4000),IF($Z1132&lt;=5800,"次果筐/托盘－"&amp;INDEX(次果筐明细!$F$4:$F$603,$Z1132-5200),"")))))</f>
        <v/>
      </c>
      <c r="E1132" s="24" t="str">
        <f>IF($Z1132="","",IF($Z1132&lt;=2000,IF(INDEX(包装物料出入库明细!$C$4:$C$2003,$Z1132-0)=0,"",INDEX(包装物料出入库明细!$C$4:$C$2003,$Z1132-0)),IF($Z1132&lt;=4000,IF(INDEX(周转筐出入库明细!$E$4:$E$2004,$Z1132-2000)=0,"",INDEX(周转筐出入库明细!$E$4:$E$2004,$Z1132-2000)),IF($Z1132&lt;=5200,IF(INDEX(客户自备加工筐明细!$D$4:$D$1203,$Z1132-4000)=0,"",INDEX(客户自备加工筐明细!$D$4:$D$1203,$Z1132-4000)),IF($Z1132&lt;=5800,IF(INDEX(次果筐明细!$E$4:$E$603,$Z1132-5200)=0,"",INDEX(次果筐明细!$E$4:$E$603,$Z1132-5200)),"")))))</f>
        <v/>
      </c>
      <c r="F1132" s="24" t="str">
        <f>IF($Z1132="","",IF($Z1132&lt;=2000,IF(INDEX(包装物料出入库明细!$E$4:$E$2003,$Z1132-0)=0,"",INDEX(包装物料出入库明细!$E$4:$E$2003,$Z1132-0)),IF($Z1132&lt;=4000,IF(INDEX(周转筐出入库明细!$D$4:$D$2004,$Z1132-2000)=0,"",INDEX(周转筐出入库明细!$D$4:$D$2004,$Z1132-2000)),IF($Z1132&lt;=5200,IF(INDEX(客户自备加工筐明细!$C$4:$C$1203,$Z1132-4000)=0,"",INDEX(客户自备加工筐明细!$C$4:$C$1203,$Z1132-4000)),IF($Z1132&lt;=5800,IF(INDEX(次果筐明细!$D$4:$D$603,$Z1132-5200)=0,"",INDEX(次果筐明细!$D$4:$D$603,$Z1132-5200)),"")))))</f>
        <v/>
      </c>
      <c r="G1132" s="24" t="str">
        <f>IF($Z1132="","",IF($Z1132&lt;=2000,IF(INDEX(包装物料出入库明细!$F$4:$F$2003,$Z1132-0)=0,"",INDEX(包装物料出入库明细!$F$4:$F$2003,$Z1132-0)),IF($Z1132&lt;=4000,"",IF($Z1132&lt;=5200,"",IF($Z1132&lt;=5800,"","")))))</f>
        <v/>
      </c>
      <c r="H1132" s="39" t="str">
        <f>IF($Z1132="","",IF($Z1132&lt;=2000,IF(INDEX(包装物料出入库明细!$L$4:$L$2003,$Z1132-0)=0,"",INDEX(包装物料出入库明细!$L$4:$L$2003,$Z1132-0)),IF($Z1132&lt;=4000,N(INDEX(周转筐出入库明细!$H$4:$H$2004,$Z1132-2000))+N(INDEX(周转筐出入库明细!$I$4:$I$2004,$Z1132-2000))+N(INDEX(周转筐出入库明细!$J$4:$J$2004,$Z1132-2000))+N(INDEX(周转筐出入库明细!$K$4:$K$2004,$Z1132-2000)),IF($Z1132&lt;=5200,N(INDEX(客户自备加工筐明细!$F$4:$F$1203,$Z1132-4000))+N(INDEX(客户自备加工筐明细!$G$4:$G$1203,$Z1132-4000)),IF($Z1132&lt;=5800,IF(INDEX(次果筐明细!$G$4:$G$603,$Z1132-5200)=0,"",INDEX(次果筐明细!$G$4:$G$603,$Z1132-5200)),"")))))</f>
        <v/>
      </c>
      <c r="I1132" s="24" t="str">
        <f>IF($Z1132="","",IF($Z1132&lt;=2000,IF(INDEX(包装物料出入库明细!$G$4:$G$2003,$Z1132-0)=0,"",INDEX(包装物料出入库明细!$G$4:$G$2003,$Z1132-0)),IF($Z1132&lt;=4000,"个",IF($Z1132&lt;=5200,"个",IF($Z1132&lt;=5800,"个","")))))</f>
        <v/>
      </c>
      <c r="J1132" s="30" t="str">
        <f t="shared" si="52"/>
        <v/>
      </c>
      <c r="K1132" s="30" t="str">
        <f>IF($Z1132="","",IF($Z1132&lt;=2000,IF(INDEX(包装物料出入库明细!$N$4:$N$2003,$Z1132-0)=0,"",INDEX(包装物料出入库明细!$N$4:$N$2003,$Z1132-0)),IF($Z1132&lt;=4000,IF(INDEX(周转筐出入库明细!$P$4:$P$2004,$Z1132-2000)=0,"",INDEX(周转筐出入库明细!$P$4:$P$2004,$Z1132-2000)),IF($Z1132&lt;=5200,"",IF($Z1132&lt;=5800,N(INDEX(次果筐明细!$L$4:$L$603,$Z1132-5200))+N(INDEX(次果筐明细!$J$4:$J$603,$Z1132-5200)),"")))))</f>
        <v/>
      </c>
      <c r="L1132" s="24" t="str">
        <f>IF($Z1132="","",IF($Z1132&lt;=2000,IF(INDEX(包装物料出入库明细!$P$4:$P$2003,$Z1132-0)=0,"",INDEX(包装物料出入库明细!$P$4:$P$2003,$Z1132-0)),IF($Z1132&lt;=4000,IF(INDEX(周转筐出入库明细!$Q$4:$Q$2004,$Z1132-2000)=0,"",INDEX(周转筐出入库明细!$Q$4:$Q$2004,$Z1132-2000)),IF($Z1132&lt;=5200,"",IF($Z1132&lt;=5800,IF(INDEX(次果筐明细!$M$4:$M$603,$Z1132-5200)=0,"",INDEX(次果筐明细!$M$4:$M$603,$Z1132-5200)),"")))))</f>
        <v/>
      </c>
      <c r="M1132" s="37" t="str">
        <f>IF($Z1132="","",IF($Z1132&lt;=2000,IF(INDEX(包装物料出入库明细!$R$4:$R$2003,$Z1132-0)=0,"",INDEX(包装物料出入库明细!$R$4:$R$2003,$Z1132-0)),IF($Z1132&lt;=4000,IF(INDEX(周转筐出入库明细!$W$4:$W$2004,$Z1132-2000)=0,"",INDEX(周转筐出入库明细!$W$4:$W$2004,$Z1132-2000)),IF($Z1132&lt;=5200,IF(INDEX(客户自备加工筐明细!$L$4:$L$1203,$Z1132-4000)=0,"",INDEX(客户自备加工筐明细!$L$4:$L$1203,$Z1132-4000)),IF($Z1132&lt;=5800,IF(INDEX(次果筐明细!$P$4:$P$603,$Z1132-5200)=0,"",INDEX(次果筐明细!$P$4:$P$603,$Z1132-5200)),"")))))</f>
        <v/>
      </c>
      <c r="N1132" s="16" t="str">
        <f>IF($Z1132="","",IF($Z1132&lt;=2000,"",IF($Z1132&lt;=4000,IF(INDEX(周转筐出入库明细!$D$4:$D$2004,$Z1132-2000)=0,"",INDEX(周转筐出入库明细!$D$4:$D$2004,$Z1132-2000)),IF($Z1132&lt;=5200,IF(INDEX(客户自备加工筐明细!$C$4:$C$1203,$Z1132-4000)=0,"",INDEX(客户自备加工筐明细!$C$4:$C$1203,$Z1132-4000)),IF($Z1132&lt;=5800,IF(INDEX(次果筐明细!$D$4:$D$603,$Z1132-5200)=0,"",INDEX(次果筐明细!$D$4:$D$603,$Z1132-5200)),"")))))</f>
        <v/>
      </c>
      <c r="O1132" s="40" t="str">
        <f>IF($Z1132="","",IF($Z1132&lt;=2000,"",IF($Z1132&lt;=4000,IF(N(INDEX(周转筐出入库明细!$J$4:$J$2004,$Z1132-2000))+N(INDEX(周转筐出入库明细!$K$4:$K$2004,$Z1132-2000))=0,"",N(INDEX(周转筐出入库明细!$J$4:$J$2004,$Z1132-2000))+N(INDEX(周转筐出入库明细!$K$4:$K$2004,$Z1132-2000))),IF($Z1132&lt;=5200,IF(N(INDEX(客户自备加工筐明细!$G$4:$G$1203,$Z1132-4000))=0,"",N(INDEX(客户自备加工筐明细!$G$4:$G$1203,$Z1132-4000))),IF($Z1132&lt;=5800,IF(ISNUMBER(SEARCH("退",INDEX(次果筐明细!$F$4:$F$603,$Z1132-5200)&amp;"")),"",IF(N(INDEX(次果筐明细!$G$4:$G$603,$Z1132-5200))=0,"",N(INDEX(次果筐明细!$G$4:$G$603,$Z1132-5200)))),"")))))</f>
        <v/>
      </c>
      <c r="P1132" s="40" t="str">
        <f>IF($Z1132="","",IF($Z1132&lt;=2000,"",IF($Z1132&lt;=4000,IF(N(INDEX(周转筐出入库明细!$I$4:$I$2004,$Z1132-2000))=0,"",N(INDEX(周转筐出入库明细!$I$4:$I$2004,$Z1132-2000))),IF($Z1132&lt;=5200,"",IF($Z1132&lt;=5800,IF(ISNUMBER(SEARCH("退",INDEX(次果筐明细!$F$4:$F$603,$Z1132-5200)&amp;"")),IF(N(INDEX(次果筐明细!$G$4:$G$603,$Z1132-5200))=0,"",N(INDEX(次果筐明细!$G$4:$G$603,$Z1132-5200))),""),"")))))</f>
        <v/>
      </c>
      <c r="Q1132" s="40" t="str">
        <f>IF($Z1132="","",IF($Z1132&lt;=2000,"",IF($Z1132&lt;=4000,IF(N(INDEX(周转筐出入库明细!$H$4:$H$2004,$Z1132-2000))=0,"",N(INDEX(周转筐出入库明细!$H$4:$H$2004,$Z1132-2000))),IF($Z1132&lt;=5200,IF(N(INDEX(客户自备加工筐明细!$F$4:$F$1203,$Z1132-4000))=0,"",N(INDEX(客户自备加工筐明细!$F$4:$F$1203,$Z1132-4000))),IF($Z1132&lt;=5800,"","")))))</f>
        <v/>
      </c>
      <c r="R1132" s="16" t="str">
        <f>IF($Z1132="","",IF($Z1132&lt;=2000,IF(INDEX(包装物料出入库明细!$O$4:$O$2003,$Z1132-0)=0,"",INDEX(包装物料出入库明细!$O$4:$O$2003,$Z1132-0)),IF($Z1132&lt;=4000,IF(INDEX(周转筐出入库明细!$M$4:$M$2004,$Z1132-2000)=0,"",INDEX(周转筐出入库明细!$M$4:$M$2004,$Z1132-2000)),IF($Z1132&lt;=5200,IF(INDEX(客户自备加工筐明细!$H$4:$H$1203,$Z1132-4000)=0,"",INDEX(客户自备加工筐明细!$H$4:$H$1203,$Z1132-4000)),IF($Z1132&lt;=5800,IF(INDEX(次果筐明细!$H$4:$H$603,$Z1132-5200)=0,"",INDEX(次果筐明细!$H$4:$H$603,$Z1132-5200)),"")))))</f>
        <v/>
      </c>
      <c r="S1132" s="22" t="str">
        <f t="shared" si="53"/>
        <v/>
      </c>
      <c r="Z1132" s="10" t="str">
        <f>IFERROR(MATCH(ROW()-3,_自动清单!$CQ$4:$CQ$5803,0),"")</f>
        <v/>
      </c>
    </row>
    <row r="1133" spans="1:26">
      <c r="A1133" s="24" t="str">
        <f t="shared" si="51"/>
        <v/>
      </c>
      <c r="B1133" s="38" t="str">
        <f>IF($Z1133="","",IF($Z1133&lt;=2000,IF(INDEX(包装物料出入库明细!$B$4:$B$2003,$Z1133-0)=0,"",INDEX(包装物料出入库明细!$B$4:$B$2003,$Z1133-0)),IF($Z1133&lt;=4000,IF(INDEX(周转筐出入库明细!$B$4:$B$2004,$Z1133-2000)=0,"",INDEX(周转筐出入库明细!$B$4:$B$2004,$Z1133-2000)),IF($Z1133&lt;=5200,IF(INDEX(客户自备加工筐明细!$B$4:$B$1203,$Z1133-4000)=0,"",INDEX(客户自备加工筐明细!$B$4:$B$1203,$Z1133-4000)),IF($Z1133&lt;=5800,IF(INDEX(次果筐明细!$B$4:$B$603,$Z1133-5200)=0,"",INDEX(次果筐明细!$B$4:$B$603,$Z1133-5200)),"")))))</f>
        <v/>
      </c>
      <c r="C1133" s="37" t="str">
        <f>IF($Z1133="","",IF($Z1133&lt;=2000,IF(INDEX(包装物料出入库明细!$D$4:$D$2003,$Z1133-0)=0,"",INDEX(包装物料出入库明细!$D$4:$D$2003,$Z1133-0)),IF($Z1133&lt;=4000,IF(INDEX(周转筐出入库明细!$C$4:$C$2004,$Z1133-2000)=0,"",INDEX(周转筐出入库明细!$C$4:$C$2004,$Z1133-2000)),IF($Z1133&lt;=5200,IF(INDEX(客户自备加工筐明细!$E$4:$E$1203,$Z1133-4000)=0,"",INDEX(客户自备加工筐明细!$E$4:$E$1203,$Z1133-4000)),IF($Z1133&lt;=5800,IF(INDEX(次果筐明细!$C$4:$C$603,$Z1133-5200)=0,"",INDEX(次果筐明细!$C$4:$C$603,$Z1133-5200)),"")))))</f>
        <v/>
      </c>
      <c r="D1133" s="37" t="str">
        <f>IF($Z1133="","",IF($Z1133&lt;=2000,"包装物料－"&amp;INDEX(包装物料出入库明细!$H$4:$H$2003,$Z1133-0),IF($Z1133&lt;=4000,"周转筐－"&amp;INDEX(周转筐出入库明细!$F$4:$F$2004,$Z1133-2000),IF($Z1133&lt;=5200,"客户自备筐－"&amp;INDEX(客户自备加工筐明细!$J$4:$J$1203,$Z1133-4000),IF($Z1133&lt;=5800,"次果筐/托盘－"&amp;INDEX(次果筐明细!$F$4:$F$603,$Z1133-5200),"")))))</f>
        <v/>
      </c>
      <c r="E1133" s="24" t="str">
        <f>IF($Z1133="","",IF($Z1133&lt;=2000,IF(INDEX(包装物料出入库明细!$C$4:$C$2003,$Z1133-0)=0,"",INDEX(包装物料出入库明细!$C$4:$C$2003,$Z1133-0)),IF($Z1133&lt;=4000,IF(INDEX(周转筐出入库明细!$E$4:$E$2004,$Z1133-2000)=0,"",INDEX(周转筐出入库明细!$E$4:$E$2004,$Z1133-2000)),IF($Z1133&lt;=5200,IF(INDEX(客户自备加工筐明细!$D$4:$D$1203,$Z1133-4000)=0,"",INDEX(客户自备加工筐明细!$D$4:$D$1203,$Z1133-4000)),IF($Z1133&lt;=5800,IF(INDEX(次果筐明细!$E$4:$E$603,$Z1133-5200)=0,"",INDEX(次果筐明细!$E$4:$E$603,$Z1133-5200)),"")))))</f>
        <v/>
      </c>
      <c r="F1133" s="24" t="str">
        <f>IF($Z1133="","",IF($Z1133&lt;=2000,IF(INDEX(包装物料出入库明细!$E$4:$E$2003,$Z1133-0)=0,"",INDEX(包装物料出入库明细!$E$4:$E$2003,$Z1133-0)),IF($Z1133&lt;=4000,IF(INDEX(周转筐出入库明细!$D$4:$D$2004,$Z1133-2000)=0,"",INDEX(周转筐出入库明细!$D$4:$D$2004,$Z1133-2000)),IF($Z1133&lt;=5200,IF(INDEX(客户自备加工筐明细!$C$4:$C$1203,$Z1133-4000)=0,"",INDEX(客户自备加工筐明细!$C$4:$C$1203,$Z1133-4000)),IF($Z1133&lt;=5800,IF(INDEX(次果筐明细!$D$4:$D$603,$Z1133-5200)=0,"",INDEX(次果筐明细!$D$4:$D$603,$Z1133-5200)),"")))))</f>
        <v/>
      </c>
      <c r="G1133" s="24" t="str">
        <f>IF($Z1133="","",IF($Z1133&lt;=2000,IF(INDEX(包装物料出入库明细!$F$4:$F$2003,$Z1133-0)=0,"",INDEX(包装物料出入库明细!$F$4:$F$2003,$Z1133-0)),IF($Z1133&lt;=4000,"",IF($Z1133&lt;=5200,"",IF($Z1133&lt;=5800,"","")))))</f>
        <v/>
      </c>
      <c r="H1133" s="39" t="str">
        <f>IF($Z1133="","",IF($Z1133&lt;=2000,IF(INDEX(包装物料出入库明细!$L$4:$L$2003,$Z1133-0)=0,"",INDEX(包装物料出入库明细!$L$4:$L$2003,$Z1133-0)),IF($Z1133&lt;=4000,N(INDEX(周转筐出入库明细!$H$4:$H$2004,$Z1133-2000))+N(INDEX(周转筐出入库明细!$I$4:$I$2004,$Z1133-2000))+N(INDEX(周转筐出入库明细!$J$4:$J$2004,$Z1133-2000))+N(INDEX(周转筐出入库明细!$K$4:$K$2004,$Z1133-2000)),IF($Z1133&lt;=5200,N(INDEX(客户自备加工筐明细!$F$4:$F$1203,$Z1133-4000))+N(INDEX(客户自备加工筐明细!$G$4:$G$1203,$Z1133-4000)),IF($Z1133&lt;=5800,IF(INDEX(次果筐明细!$G$4:$G$603,$Z1133-5200)=0,"",INDEX(次果筐明细!$G$4:$G$603,$Z1133-5200)),"")))))</f>
        <v/>
      </c>
      <c r="I1133" s="24" t="str">
        <f>IF($Z1133="","",IF($Z1133&lt;=2000,IF(INDEX(包装物料出入库明细!$G$4:$G$2003,$Z1133-0)=0,"",INDEX(包装物料出入库明细!$G$4:$G$2003,$Z1133-0)),IF($Z1133&lt;=4000,"个",IF($Z1133&lt;=5200,"个",IF($Z1133&lt;=5800,"个","")))))</f>
        <v/>
      </c>
      <c r="J1133" s="30" t="str">
        <f t="shared" si="52"/>
        <v/>
      </c>
      <c r="K1133" s="30" t="str">
        <f>IF($Z1133="","",IF($Z1133&lt;=2000,IF(INDEX(包装物料出入库明细!$N$4:$N$2003,$Z1133-0)=0,"",INDEX(包装物料出入库明细!$N$4:$N$2003,$Z1133-0)),IF($Z1133&lt;=4000,IF(INDEX(周转筐出入库明细!$P$4:$P$2004,$Z1133-2000)=0,"",INDEX(周转筐出入库明细!$P$4:$P$2004,$Z1133-2000)),IF($Z1133&lt;=5200,"",IF($Z1133&lt;=5800,N(INDEX(次果筐明细!$L$4:$L$603,$Z1133-5200))+N(INDEX(次果筐明细!$J$4:$J$603,$Z1133-5200)),"")))))</f>
        <v/>
      </c>
      <c r="L1133" s="24" t="str">
        <f>IF($Z1133="","",IF($Z1133&lt;=2000,IF(INDEX(包装物料出入库明细!$P$4:$P$2003,$Z1133-0)=0,"",INDEX(包装物料出入库明细!$P$4:$P$2003,$Z1133-0)),IF($Z1133&lt;=4000,IF(INDEX(周转筐出入库明细!$Q$4:$Q$2004,$Z1133-2000)=0,"",INDEX(周转筐出入库明细!$Q$4:$Q$2004,$Z1133-2000)),IF($Z1133&lt;=5200,"",IF($Z1133&lt;=5800,IF(INDEX(次果筐明细!$M$4:$M$603,$Z1133-5200)=0,"",INDEX(次果筐明细!$M$4:$M$603,$Z1133-5200)),"")))))</f>
        <v/>
      </c>
      <c r="M1133" s="37" t="str">
        <f>IF($Z1133="","",IF($Z1133&lt;=2000,IF(INDEX(包装物料出入库明细!$R$4:$R$2003,$Z1133-0)=0,"",INDEX(包装物料出入库明细!$R$4:$R$2003,$Z1133-0)),IF($Z1133&lt;=4000,IF(INDEX(周转筐出入库明细!$W$4:$W$2004,$Z1133-2000)=0,"",INDEX(周转筐出入库明细!$W$4:$W$2004,$Z1133-2000)),IF($Z1133&lt;=5200,IF(INDEX(客户自备加工筐明细!$L$4:$L$1203,$Z1133-4000)=0,"",INDEX(客户自备加工筐明细!$L$4:$L$1203,$Z1133-4000)),IF($Z1133&lt;=5800,IF(INDEX(次果筐明细!$P$4:$P$603,$Z1133-5200)=0,"",INDEX(次果筐明细!$P$4:$P$603,$Z1133-5200)),"")))))</f>
        <v/>
      </c>
      <c r="N1133" s="16" t="str">
        <f>IF($Z1133="","",IF($Z1133&lt;=2000,"",IF($Z1133&lt;=4000,IF(INDEX(周转筐出入库明细!$D$4:$D$2004,$Z1133-2000)=0,"",INDEX(周转筐出入库明细!$D$4:$D$2004,$Z1133-2000)),IF($Z1133&lt;=5200,IF(INDEX(客户自备加工筐明细!$C$4:$C$1203,$Z1133-4000)=0,"",INDEX(客户自备加工筐明细!$C$4:$C$1203,$Z1133-4000)),IF($Z1133&lt;=5800,IF(INDEX(次果筐明细!$D$4:$D$603,$Z1133-5200)=0,"",INDEX(次果筐明细!$D$4:$D$603,$Z1133-5200)),"")))))</f>
        <v/>
      </c>
      <c r="O1133" s="40" t="str">
        <f>IF($Z1133="","",IF($Z1133&lt;=2000,"",IF($Z1133&lt;=4000,IF(N(INDEX(周转筐出入库明细!$J$4:$J$2004,$Z1133-2000))+N(INDEX(周转筐出入库明细!$K$4:$K$2004,$Z1133-2000))=0,"",N(INDEX(周转筐出入库明细!$J$4:$J$2004,$Z1133-2000))+N(INDEX(周转筐出入库明细!$K$4:$K$2004,$Z1133-2000))),IF($Z1133&lt;=5200,IF(N(INDEX(客户自备加工筐明细!$G$4:$G$1203,$Z1133-4000))=0,"",N(INDEX(客户自备加工筐明细!$G$4:$G$1203,$Z1133-4000))),IF($Z1133&lt;=5800,IF(ISNUMBER(SEARCH("退",INDEX(次果筐明细!$F$4:$F$603,$Z1133-5200)&amp;"")),"",IF(N(INDEX(次果筐明细!$G$4:$G$603,$Z1133-5200))=0,"",N(INDEX(次果筐明细!$G$4:$G$603,$Z1133-5200)))),"")))))</f>
        <v/>
      </c>
      <c r="P1133" s="40" t="str">
        <f>IF($Z1133="","",IF($Z1133&lt;=2000,"",IF($Z1133&lt;=4000,IF(N(INDEX(周转筐出入库明细!$I$4:$I$2004,$Z1133-2000))=0,"",N(INDEX(周转筐出入库明细!$I$4:$I$2004,$Z1133-2000))),IF($Z1133&lt;=5200,"",IF($Z1133&lt;=5800,IF(ISNUMBER(SEARCH("退",INDEX(次果筐明细!$F$4:$F$603,$Z1133-5200)&amp;"")),IF(N(INDEX(次果筐明细!$G$4:$G$603,$Z1133-5200))=0,"",N(INDEX(次果筐明细!$G$4:$G$603,$Z1133-5200))),""),"")))))</f>
        <v/>
      </c>
      <c r="Q1133" s="40" t="str">
        <f>IF($Z1133="","",IF($Z1133&lt;=2000,"",IF($Z1133&lt;=4000,IF(N(INDEX(周转筐出入库明细!$H$4:$H$2004,$Z1133-2000))=0,"",N(INDEX(周转筐出入库明细!$H$4:$H$2004,$Z1133-2000))),IF($Z1133&lt;=5200,IF(N(INDEX(客户自备加工筐明细!$F$4:$F$1203,$Z1133-4000))=0,"",N(INDEX(客户自备加工筐明细!$F$4:$F$1203,$Z1133-4000))),IF($Z1133&lt;=5800,"","")))))</f>
        <v/>
      </c>
      <c r="R1133" s="16" t="str">
        <f>IF($Z1133="","",IF($Z1133&lt;=2000,IF(INDEX(包装物料出入库明细!$O$4:$O$2003,$Z1133-0)=0,"",INDEX(包装物料出入库明细!$O$4:$O$2003,$Z1133-0)),IF($Z1133&lt;=4000,IF(INDEX(周转筐出入库明细!$M$4:$M$2004,$Z1133-2000)=0,"",INDEX(周转筐出入库明细!$M$4:$M$2004,$Z1133-2000)),IF($Z1133&lt;=5200,IF(INDEX(客户自备加工筐明细!$H$4:$H$1203,$Z1133-4000)=0,"",INDEX(客户自备加工筐明细!$H$4:$H$1203,$Z1133-4000)),IF($Z1133&lt;=5800,IF(INDEX(次果筐明细!$H$4:$H$603,$Z1133-5200)=0,"",INDEX(次果筐明细!$H$4:$H$603,$Z1133-5200)),"")))))</f>
        <v/>
      </c>
      <c r="S1133" s="22" t="str">
        <f t="shared" si="53"/>
        <v/>
      </c>
      <c r="Z1133" s="10" t="str">
        <f>IFERROR(MATCH(ROW()-3,_自动清单!$CQ$4:$CQ$5803,0),"")</f>
        <v/>
      </c>
    </row>
    <row r="1134" spans="1:26">
      <c r="A1134" s="24" t="str">
        <f t="shared" si="51"/>
        <v/>
      </c>
      <c r="B1134" s="38" t="str">
        <f>IF($Z1134="","",IF($Z1134&lt;=2000,IF(INDEX(包装物料出入库明细!$B$4:$B$2003,$Z1134-0)=0,"",INDEX(包装物料出入库明细!$B$4:$B$2003,$Z1134-0)),IF($Z1134&lt;=4000,IF(INDEX(周转筐出入库明细!$B$4:$B$2004,$Z1134-2000)=0,"",INDEX(周转筐出入库明细!$B$4:$B$2004,$Z1134-2000)),IF($Z1134&lt;=5200,IF(INDEX(客户自备加工筐明细!$B$4:$B$1203,$Z1134-4000)=0,"",INDEX(客户自备加工筐明细!$B$4:$B$1203,$Z1134-4000)),IF($Z1134&lt;=5800,IF(INDEX(次果筐明细!$B$4:$B$603,$Z1134-5200)=0,"",INDEX(次果筐明细!$B$4:$B$603,$Z1134-5200)),"")))))</f>
        <v/>
      </c>
      <c r="C1134" s="37" t="str">
        <f>IF($Z1134="","",IF($Z1134&lt;=2000,IF(INDEX(包装物料出入库明细!$D$4:$D$2003,$Z1134-0)=0,"",INDEX(包装物料出入库明细!$D$4:$D$2003,$Z1134-0)),IF($Z1134&lt;=4000,IF(INDEX(周转筐出入库明细!$C$4:$C$2004,$Z1134-2000)=0,"",INDEX(周转筐出入库明细!$C$4:$C$2004,$Z1134-2000)),IF($Z1134&lt;=5200,IF(INDEX(客户自备加工筐明细!$E$4:$E$1203,$Z1134-4000)=0,"",INDEX(客户自备加工筐明细!$E$4:$E$1203,$Z1134-4000)),IF($Z1134&lt;=5800,IF(INDEX(次果筐明细!$C$4:$C$603,$Z1134-5200)=0,"",INDEX(次果筐明细!$C$4:$C$603,$Z1134-5200)),"")))))</f>
        <v/>
      </c>
      <c r="D1134" s="37" t="str">
        <f>IF($Z1134="","",IF($Z1134&lt;=2000,"包装物料－"&amp;INDEX(包装物料出入库明细!$H$4:$H$2003,$Z1134-0),IF($Z1134&lt;=4000,"周转筐－"&amp;INDEX(周转筐出入库明细!$F$4:$F$2004,$Z1134-2000),IF($Z1134&lt;=5200,"客户自备筐－"&amp;INDEX(客户自备加工筐明细!$J$4:$J$1203,$Z1134-4000),IF($Z1134&lt;=5800,"次果筐/托盘－"&amp;INDEX(次果筐明细!$F$4:$F$603,$Z1134-5200),"")))))</f>
        <v/>
      </c>
      <c r="E1134" s="24" t="str">
        <f>IF($Z1134="","",IF($Z1134&lt;=2000,IF(INDEX(包装物料出入库明细!$C$4:$C$2003,$Z1134-0)=0,"",INDEX(包装物料出入库明细!$C$4:$C$2003,$Z1134-0)),IF($Z1134&lt;=4000,IF(INDEX(周转筐出入库明细!$E$4:$E$2004,$Z1134-2000)=0,"",INDEX(周转筐出入库明细!$E$4:$E$2004,$Z1134-2000)),IF($Z1134&lt;=5200,IF(INDEX(客户自备加工筐明细!$D$4:$D$1203,$Z1134-4000)=0,"",INDEX(客户自备加工筐明细!$D$4:$D$1203,$Z1134-4000)),IF($Z1134&lt;=5800,IF(INDEX(次果筐明细!$E$4:$E$603,$Z1134-5200)=0,"",INDEX(次果筐明细!$E$4:$E$603,$Z1134-5200)),"")))))</f>
        <v/>
      </c>
      <c r="F1134" s="24" t="str">
        <f>IF($Z1134="","",IF($Z1134&lt;=2000,IF(INDEX(包装物料出入库明细!$E$4:$E$2003,$Z1134-0)=0,"",INDEX(包装物料出入库明细!$E$4:$E$2003,$Z1134-0)),IF($Z1134&lt;=4000,IF(INDEX(周转筐出入库明细!$D$4:$D$2004,$Z1134-2000)=0,"",INDEX(周转筐出入库明细!$D$4:$D$2004,$Z1134-2000)),IF($Z1134&lt;=5200,IF(INDEX(客户自备加工筐明细!$C$4:$C$1203,$Z1134-4000)=0,"",INDEX(客户自备加工筐明细!$C$4:$C$1203,$Z1134-4000)),IF($Z1134&lt;=5800,IF(INDEX(次果筐明细!$D$4:$D$603,$Z1134-5200)=0,"",INDEX(次果筐明细!$D$4:$D$603,$Z1134-5200)),"")))))</f>
        <v/>
      </c>
      <c r="G1134" s="24" t="str">
        <f>IF($Z1134="","",IF($Z1134&lt;=2000,IF(INDEX(包装物料出入库明细!$F$4:$F$2003,$Z1134-0)=0,"",INDEX(包装物料出入库明细!$F$4:$F$2003,$Z1134-0)),IF($Z1134&lt;=4000,"",IF($Z1134&lt;=5200,"",IF($Z1134&lt;=5800,"","")))))</f>
        <v/>
      </c>
      <c r="H1134" s="39" t="str">
        <f>IF($Z1134="","",IF($Z1134&lt;=2000,IF(INDEX(包装物料出入库明细!$L$4:$L$2003,$Z1134-0)=0,"",INDEX(包装物料出入库明细!$L$4:$L$2003,$Z1134-0)),IF($Z1134&lt;=4000,N(INDEX(周转筐出入库明细!$H$4:$H$2004,$Z1134-2000))+N(INDEX(周转筐出入库明细!$I$4:$I$2004,$Z1134-2000))+N(INDEX(周转筐出入库明细!$J$4:$J$2004,$Z1134-2000))+N(INDEX(周转筐出入库明细!$K$4:$K$2004,$Z1134-2000)),IF($Z1134&lt;=5200,N(INDEX(客户自备加工筐明细!$F$4:$F$1203,$Z1134-4000))+N(INDEX(客户自备加工筐明细!$G$4:$G$1203,$Z1134-4000)),IF($Z1134&lt;=5800,IF(INDEX(次果筐明细!$G$4:$G$603,$Z1134-5200)=0,"",INDEX(次果筐明细!$G$4:$G$603,$Z1134-5200)),"")))))</f>
        <v/>
      </c>
      <c r="I1134" s="24" t="str">
        <f>IF($Z1134="","",IF($Z1134&lt;=2000,IF(INDEX(包装物料出入库明细!$G$4:$G$2003,$Z1134-0)=0,"",INDEX(包装物料出入库明细!$G$4:$G$2003,$Z1134-0)),IF($Z1134&lt;=4000,"个",IF($Z1134&lt;=5200,"个",IF($Z1134&lt;=5800,"个","")))))</f>
        <v/>
      </c>
      <c r="J1134" s="30" t="str">
        <f t="shared" si="52"/>
        <v/>
      </c>
      <c r="K1134" s="30" t="str">
        <f>IF($Z1134="","",IF($Z1134&lt;=2000,IF(INDEX(包装物料出入库明细!$N$4:$N$2003,$Z1134-0)=0,"",INDEX(包装物料出入库明细!$N$4:$N$2003,$Z1134-0)),IF($Z1134&lt;=4000,IF(INDEX(周转筐出入库明细!$P$4:$P$2004,$Z1134-2000)=0,"",INDEX(周转筐出入库明细!$P$4:$P$2004,$Z1134-2000)),IF($Z1134&lt;=5200,"",IF($Z1134&lt;=5800,N(INDEX(次果筐明细!$L$4:$L$603,$Z1134-5200))+N(INDEX(次果筐明细!$J$4:$J$603,$Z1134-5200)),"")))))</f>
        <v/>
      </c>
      <c r="L1134" s="24" t="str">
        <f>IF($Z1134="","",IF($Z1134&lt;=2000,IF(INDEX(包装物料出入库明细!$P$4:$P$2003,$Z1134-0)=0,"",INDEX(包装物料出入库明细!$P$4:$P$2003,$Z1134-0)),IF($Z1134&lt;=4000,IF(INDEX(周转筐出入库明细!$Q$4:$Q$2004,$Z1134-2000)=0,"",INDEX(周转筐出入库明细!$Q$4:$Q$2004,$Z1134-2000)),IF($Z1134&lt;=5200,"",IF($Z1134&lt;=5800,IF(INDEX(次果筐明细!$M$4:$M$603,$Z1134-5200)=0,"",INDEX(次果筐明细!$M$4:$M$603,$Z1134-5200)),"")))))</f>
        <v/>
      </c>
      <c r="M1134" s="37" t="str">
        <f>IF($Z1134="","",IF($Z1134&lt;=2000,IF(INDEX(包装物料出入库明细!$R$4:$R$2003,$Z1134-0)=0,"",INDEX(包装物料出入库明细!$R$4:$R$2003,$Z1134-0)),IF($Z1134&lt;=4000,IF(INDEX(周转筐出入库明细!$W$4:$W$2004,$Z1134-2000)=0,"",INDEX(周转筐出入库明细!$W$4:$W$2004,$Z1134-2000)),IF($Z1134&lt;=5200,IF(INDEX(客户自备加工筐明细!$L$4:$L$1203,$Z1134-4000)=0,"",INDEX(客户自备加工筐明细!$L$4:$L$1203,$Z1134-4000)),IF($Z1134&lt;=5800,IF(INDEX(次果筐明细!$P$4:$P$603,$Z1134-5200)=0,"",INDEX(次果筐明细!$P$4:$P$603,$Z1134-5200)),"")))))</f>
        <v/>
      </c>
      <c r="N1134" s="16" t="str">
        <f>IF($Z1134="","",IF($Z1134&lt;=2000,"",IF($Z1134&lt;=4000,IF(INDEX(周转筐出入库明细!$D$4:$D$2004,$Z1134-2000)=0,"",INDEX(周转筐出入库明细!$D$4:$D$2004,$Z1134-2000)),IF($Z1134&lt;=5200,IF(INDEX(客户自备加工筐明细!$C$4:$C$1203,$Z1134-4000)=0,"",INDEX(客户自备加工筐明细!$C$4:$C$1203,$Z1134-4000)),IF($Z1134&lt;=5800,IF(INDEX(次果筐明细!$D$4:$D$603,$Z1134-5200)=0,"",INDEX(次果筐明细!$D$4:$D$603,$Z1134-5200)),"")))))</f>
        <v/>
      </c>
      <c r="O1134" s="40" t="str">
        <f>IF($Z1134="","",IF($Z1134&lt;=2000,"",IF($Z1134&lt;=4000,IF(N(INDEX(周转筐出入库明细!$J$4:$J$2004,$Z1134-2000))+N(INDEX(周转筐出入库明细!$K$4:$K$2004,$Z1134-2000))=0,"",N(INDEX(周转筐出入库明细!$J$4:$J$2004,$Z1134-2000))+N(INDEX(周转筐出入库明细!$K$4:$K$2004,$Z1134-2000))),IF($Z1134&lt;=5200,IF(N(INDEX(客户自备加工筐明细!$G$4:$G$1203,$Z1134-4000))=0,"",N(INDEX(客户自备加工筐明细!$G$4:$G$1203,$Z1134-4000))),IF($Z1134&lt;=5800,IF(ISNUMBER(SEARCH("退",INDEX(次果筐明细!$F$4:$F$603,$Z1134-5200)&amp;"")),"",IF(N(INDEX(次果筐明细!$G$4:$G$603,$Z1134-5200))=0,"",N(INDEX(次果筐明细!$G$4:$G$603,$Z1134-5200)))),"")))))</f>
        <v/>
      </c>
      <c r="P1134" s="40" t="str">
        <f>IF($Z1134="","",IF($Z1134&lt;=2000,"",IF($Z1134&lt;=4000,IF(N(INDEX(周转筐出入库明细!$I$4:$I$2004,$Z1134-2000))=0,"",N(INDEX(周转筐出入库明细!$I$4:$I$2004,$Z1134-2000))),IF($Z1134&lt;=5200,"",IF($Z1134&lt;=5800,IF(ISNUMBER(SEARCH("退",INDEX(次果筐明细!$F$4:$F$603,$Z1134-5200)&amp;"")),IF(N(INDEX(次果筐明细!$G$4:$G$603,$Z1134-5200))=0,"",N(INDEX(次果筐明细!$G$4:$G$603,$Z1134-5200))),""),"")))))</f>
        <v/>
      </c>
      <c r="Q1134" s="40" t="str">
        <f>IF($Z1134="","",IF($Z1134&lt;=2000,"",IF($Z1134&lt;=4000,IF(N(INDEX(周转筐出入库明细!$H$4:$H$2004,$Z1134-2000))=0,"",N(INDEX(周转筐出入库明细!$H$4:$H$2004,$Z1134-2000))),IF($Z1134&lt;=5200,IF(N(INDEX(客户自备加工筐明细!$F$4:$F$1203,$Z1134-4000))=0,"",N(INDEX(客户自备加工筐明细!$F$4:$F$1203,$Z1134-4000))),IF($Z1134&lt;=5800,"","")))))</f>
        <v/>
      </c>
      <c r="R1134" s="16" t="str">
        <f>IF($Z1134="","",IF($Z1134&lt;=2000,IF(INDEX(包装物料出入库明细!$O$4:$O$2003,$Z1134-0)=0,"",INDEX(包装物料出入库明细!$O$4:$O$2003,$Z1134-0)),IF($Z1134&lt;=4000,IF(INDEX(周转筐出入库明细!$M$4:$M$2004,$Z1134-2000)=0,"",INDEX(周转筐出入库明细!$M$4:$M$2004,$Z1134-2000)),IF($Z1134&lt;=5200,IF(INDEX(客户自备加工筐明细!$H$4:$H$1203,$Z1134-4000)=0,"",INDEX(客户自备加工筐明细!$H$4:$H$1203,$Z1134-4000)),IF($Z1134&lt;=5800,IF(INDEX(次果筐明细!$H$4:$H$603,$Z1134-5200)=0,"",INDEX(次果筐明细!$H$4:$H$603,$Z1134-5200)),"")))))</f>
        <v/>
      </c>
      <c r="S1134" s="22" t="str">
        <f t="shared" si="53"/>
        <v/>
      </c>
      <c r="Z1134" s="10" t="str">
        <f>IFERROR(MATCH(ROW()-3,_自动清单!$CQ$4:$CQ$5803,0),"")</f>
        <v/>
      </c>
    </row>
    <row r="1135" spans="1:26">
      <c r="A1135" s="24" t="str">
        <f t="shared" si="51"/>
        <v/>
      </c>
      <c r="B1135" s="38" t="str">
        <f>IF($Z1135="","",IF($Z1135&lt;=2000,IF(INDEX(包装物料出入库明细!$B$4:$B$2003,$Z1135-0)=0,"",INDEX(包装物料出入库明细!$B$4:$B$2003,$Z1135-0)),IF($Z1135&lt;=4000,IF(INDEX(周转筐出入库明细!$B$4:$B$2004,$Z1135-2000)=0,"",INDEX(周转筐出入库明细!$B$4:$B$2004,$Z1135-2000)),IF($Z1135&lt;=5200,IF(INDEX(客户自备加工筐明细!$B$4:$B$1203,$Z1135-4000)=0,"",INDEX(客户自备加工筐明细!$B$4:$B$1203,$Z1135-4000)),IF($Z1135&lt;=5800,IF(INDEX(次果筐明细!$B$4:$B$603,$Z1135-5200)=0,"",INDEX(次果筐明细!$B$4:$B$603,$Z1135-5200)),"")))))</f>
        <v/>
      </c>
      <c r="C1135" s="37" t="str">
        <f>IF($Z1135="","",IF($Z1135&lt;=2000,IF(INDEX(包装物料出入库明细!$D$4:$D$2003,$Z1135-0)=0,"",INDEX(包装物料出入库明细!$D$4:$D$2003,$Z1135-0)),IF($Z1135&lt;=4000,IF(INDEX(周转筐出入库明细!$C$4:$C$2004,$Z1135-2000)=0,"",INDEX(周转筐出入库明细!$C$4:$C$2004,$Z1135-2000)),IF($Z1135&lt;=5200,IF(INDEX(客户自备加工筐明细!$E$4:$E$1203,$Z1135-4000)=0,"",INDEX(客户自备加工筐明细!$E$4:$E$1203,$Z1135-4000)),IF($Z1135&lt;=5800,IF(INDEX(次果筐明细!$C$4:$C$603,$Z1135-5200)=0,"",INDEX(次果筐明细!$C$4:$C$603,$Z1135-5200)),"")))))</f>
        <v/>
      </c>
      <c r="D1135" s="37" t="str">
        <f>IF($Z1135="","",IF($Z1135&lt;=2000,"包装物料－"&amp;INDEX(包装物料出入库明细!$H$4:$H$2003,$Z1135-0),IF($Z1135&lt;=4000,"周转筐－"&amp;INDEX(周转筐出入库明细!$F$4:$F$2004,$Z1135-2000),IF($Z1135&lt;=5200,"客户自备筐－"&amp;INDEX(客户自备加工筐明细!$J$4:$J$1203,$Z1135-4000),IF($Z1135&lt;=5800,"次果筐/托盘－"&amp;INDEX(次果筐明细!$F$4:$F$603,$Z1135-5200),"")))))</f>
        <v/>
      </c>
      <c r="E1135" s="24" t="str">
        <f>IF($Z1135="","",IF($Z1135&lt;=2000,IF(INDEX(包装物料出入库明细!$C$4:$C$2003,$Z1135-0)=0,"",INDEX(包装物料出入库明细!$C$4:$C$2003,$Z1135-0)),IF($Z1135&lt;=4000,IF(INDEX(周转筐出入库明细!$E$4:$E$2004,$Z1135-2000)=0,"",INDEX(周转筐出入库明细!$E$4:$E$2004,$Z1135-2000)),IF($Z1135&lt;=5200,IF(INDEX(客户自备加工筐明细!$D$4:$D$1203,$Z1135-4000)=0,"",INDEX(客户自备加工筐明细!$D$4:$D$1203,$Z1135-4000)),IF($Z1135&lt;=5800,IF(INDEX(次果筐明细!$E$4:$E$603,$Z1135-5200)=0,"",INDEX(次果筐明细!$E$4:$E$603,$Z1135-5200)),"")))))</f>
        <v/>
      </c>
      <c r="F1135" s="24" t="str">
        <f>IF($Z1135="","",IF($Z1135&lt;=2000,IF(INDEX(包装物料出入库明细!$E$4:$E$2003,$Z1135-0)=0,"",INDEX(包装物料出入库明细!$E$4:$E$2003,$Z1135-0)),IF($Z1135&lt;=4000,IF(INDEX(周转筐出入库明细!$D$4:$D$2004,$Z1135-2000)=0,"",INDEX(周转筐出入库明细!$D$4:$D$2004,$Z1135-2000)),IF($Z1135&lt;=5200,IF(INDEX(客户自备加工筐明细!$C$4:$C$1203,$Z1135-4000)=0,"",INDEX(客户自备加工筐明细!$C$4:$C$1203,$Z1135-4000)),IF($Z1135&lt;=5800,IF(INDEX(次果筐明细!$D$4:$D$603,$Z1135-5200)=0,"",INDEX(次果筐明细!$D$4:$D$603,$Z1135-5200)),"")))))</f>
        <v/>
      </c>
      <c r="G1135" s="24" t="str">
        <f>IF($Z1135="","",IF($Z1135&lt;=2000,IF(INDEX(包装物料出入库明细!$F$4:$F$2003,$Z1135-0)=0,"",INDEX(包装物料出入库明细!$F$4:$F$2003,$Z1135-0)),IF($Z1135&lt;=4000,"",IF($Z1135&lt;=5200,"",IF($Z1135&lt;=5800,"","")))))</f>
        <v/>
      </c>
      <c r="H1135" s="39" t="str">
        <f>IF($Z1135="","",IF($Z1135&lt;=2000,IF(INDEX(包装物料出入库明细!$L$4:$L$2003,$Z1135-0)=0,"",INDEX(包装物料出入库明细!$L$4:$L$2003,$Z1135-0)),IF($Z1135&lt;=4000,N(INDEX(周转筐出入库明细!$H$4:$H$2004,$Z1135-2000))+N(INDEX(周转筐出入库明细!$I$4:$I$2004,$Z1135-2000))+N(INDEX(周转筐出入库明细!$J$4:$J$2004,$Z1135-2000))+N(INDEX(周转筐出入库明细!$K$4:$K$2004,$Z1135-2000)),IF($Z1135&lt;=5200,N(INDEX(客户自备加工筐明细!$F$4:$F$1203,$Z1135-4000))+N(INDEX(客户自备加工筐明细!$G$4:$G$1203,$Z1135-4000)),IF($Z1135&lt;=5800,IF(INDEX(次果筐明细!$G$4:$G$603,$Z1135-5200)=0,"",INDEX(次果筐明细!$G$4:$G$603,$Z1135-5200)),"")))))</f>
        <v/>
      </c>
      <c r="I1135" s="24" t="str">
        <f>IF($Z1135="","",IF($Z1135&lt;=2000,IF(INDEX(包装物料出入库明细!$G$4:$G$2003,$Z1135-0)=0,"",INDEX(包装物料出入库明细!$G$4:$G$2003,$Z1135-0)),IF($Z1135&lt;=4000,"个",IF($Z1135&lt;=5200,"个",IF($Z1135&lt;=5800,"个","")))))</f>
        <v/>
      </c>
      <c r="J1135" s="30" t="str">
        <f t="shared" si="52"/>
        <v/>
      </c>
      <c r="K1135" s="30" t="str">
        <f>IF($Z1135="","",IF($Z1135&lt;=2000,IF(INDEX(包装物料出入库明细!$N$4:$N$2003,$Z1135-0)=0,"",INDEX(包装物料出入库明细!$N$4:$N$2003,$Z1135-0)),IF($Z1135&lt;=4000,IF(INDEX(周转筐出入库明细!$P$4:$P$2004,$Z1135-2000)=0,"",INDEX(周转筐出入库明细!$P$4:$P$2004,$Z1135-2000)),IF($Z1135&lt;=5200,"",IF($Z1135&lt;=5800,N(INDEX(次果筐明细!$L$4:$L$603,$Z1135-5200))+N(INDEX(次果筐明细!$J$4:$J$603,$Z1135-5200)),"")))))</f>
        <v/>
      </c>
      <c r="L1135" s="24" t="str">
        <f>IF($Z1135="","",IF($Z1135&lt;=2000,IF(INDEX(包装物料出入库明细!$P$4:$P$2003,$Z1135-0)=0,"",INDEX(包装物料出入库明细!$P$4:$P$2003,$Z1135-0)),IF($Z1135&lt;=4000,IF(INDEX(周转筐出入库明细!$Q$4:$Q$2004,$Z1135-2000)=0,"",INDEX(周转筐出入库明细!$Q$4:$Q$2004,$Z1135-2000)),IF($Z1135&lt;=5200,"",IF($Z1135&lt;=5800,IF(INDEX(次果筐明细!$M$4:$M$603,$Z1135-5200)=0,"",INDEX(次果筐明细!$M$4:$M$603,$Z1135-5200)),"")))))</f>
        <v/>
      </c>
      <c r="M1135" s="37" t="str">
        <f>IF($Z1135="","",IF($Z1135&lt;=2000,IF(INDEX(包装物料出入库明细!$R$4:$R$2003,$Z1135-0)=0,"",INDEX(包装物料出入库明细!$R$4:$R$2003,$Z1135-0)),IF($Z1135&lt;=4000,IF(INDEX(周转筐出入库明细!$W$4:$W$2004,$Z1135-2000)=0,"",INDEX(周转筐出入库明细!$W$4:$W$2004,$Z1135-2000)),IF($Z1135&lt;=5200,IF(INDEX(客户自备加工筐明细!$L$4:$L$1203,$Z1135-4000)=0,"",INDEX(客户自备加工筐明细!$L$4:$L$1203,$Z1135-4000)),IF($Z1135&lt;=5800,IF(INDEX(次果筐明细!$P$4:$P$603,$Z1135-5200)=0,"",INDEX(次果筐明细!$P$4:$P$603,$Z1135-5200)),"")))))</f>
        <v/>
      </c>
      <c r="N1135" s="16" t="str">
        <f>IF($Z1135="","",IF($Z1135&lt;=2000,"",IF($Z1135&lt;=4000,IF(INDEX(周转筐出入库明细!$D$4:$D$2004,$Z1135-2000)=0,"",INDEX(周转筐出入库明细!$D$4:$D$2004,$Z1135-2000)),IF($Z1135&lt;=5200,IF(INDEX(客户自备加工筐明细!$C$4:$C$1203,$Z1135-4000)=0,"",INDEX(客户自备加工筐明细!$C$4:$C$1203,$Z1135-4000)),IF($Z1135&lt;=5800,IF(INDEX(次果筐明细!$D$4:$D$603,$Z1135-5200)=0,"",INDEX(次果筐明细!$D$4:$D$603,$Z1135-5200)),"")))))</f>
        <v/>
      </c>
      <c r="O1135" s="40" t="str">
        <f>IF($Z1135="","",IF($Z1135&lt;=2000,"",IF($Z1135&lt;=4000,IF(N(INDEX(周转筐出入库明细!$J$4:$J$2004,$Z1135-2000))+N(INDEX(周转筐出入库明细!$K$4:$K$2004,$Z1135-2000))=0,"",N(INDEX(周转筐出入库明细!$J$4:$J$2004,$Z1135-2000))+N(INDEX(周转筐出入库明细!$K$4:$K$2004,$Z1135-2000))),IF($Z1135&lt;=5200,IF(N(INDEX(客户自备加工筐明细!$G$4:$G$1203,$Z1135-4000))=0,"",N(INDEX(客户自备加工筐明细!$G$4:$G$1203,$Z1135-4000))),IF($Z1135&lt;=5800,IF(ISNUMBER(SEARCH("退",INDEX(次果筐明细!$F$4:$F$603,$Z1135-5200)&amp;"")),"",IF(N(INDEX(次果筐明细!$G$4:$G$603,$Z1135-5200))=0,"",N(INDEX(次果筐明细!$G$4:$G$603,$Z1135-5200)))),"")))))</f>
        <v/>
      </c>
      <c r="P1135" s="40" t="str">
        <f>IF($Z1135="","",IF($Z1135&lt;=2000,"",IF($Z1135&lt;=4000,IF(N(INDEX(周转筐出入库明细!$I$4:$I$2004,$Z1135-2000))=0,"",N(INDEX(周转筐出入库明细!$I$4:$I$2004,$Z1135-2000))),IF($Z1135&lt;=5200,"",IF($Z1135&lt;=5800,IF(ISNUMBER(SEARCH("退",INDEX(次果筐明细!$F$4:$F$603,$Z1135-5200)&amp;"")),IF(N(INDEX(次果筐明细!$G$4:$G$603,$Z1135-5200))=0,"",N(INDEX(次果筐明细!$G$4:$G$603,$Z1135-5200))),""),"")))))</f>
        <v/>
      </c>
      <c r="Q1135" s="40" t="str">
        <f>IF($Z1135="","",IF($Z1135&lt;=2000,"",IF($Z1135&lt;=4000,IF(N(INDEX(周转筐出入库明细!$H$4:$H$2004,$Z1135-2000))=0,"",N(INDEX(周转筐出入库明细!$H$4:$H$2004,$Z1135-2000))),IF($Z1135&lt;=5200,IF(N(INDEX(客户自备加工筐明细!$F$4:$F$1203,$Z1135-4000))=0,"",N(INDEX(客户自备加工筐明细!$F$4:$F$1203,$Z1135-4000))),IF($Z1135&lt;=5800,"","")))))</f>
        <v/>
      </c>
      <c r="R1135" s="16" t="str">
        <f>IF($Z1135="","",IF($Z1135&lt;=2000,IF(INDEX(包装物料出入库明细!$O$4:$O$2003,$Z1135-0)=0,"",INDEX(包装物料出入库明细!$O$4:$O$2003,$Z1135-0)),IF($Z1135&lt;=4000,IF(INDEX(周转筐出入库明细!$M$4:$M$2004,$Z1135-2000)=0,"",INDEX(周转筐出入库明细!$M$4:$M$2004,$Z1135-2000)),IF($Z1135&lt;=5200,IF(INDEX(客户自备加工筐明细!$H$4:$H$1203,$Z1135-4000)=0,"",INDEX(客户自备加工筐明细!$H$4:$H$1203,$Z1135-4000)),IF($Z1135&lt;=5800,IF(INDEX(次果筐明细!$H$4:$H$603,$Z1135-5200)=0,"",INDEX(次果筐明细!$H$4:$H$603,$Z1135-5200)),"")))))</f>
        <v/>
      </c>
      <c r="S1135" s="22" t="str">
        <f t="shared" si="53"/>
        <v/>
      </c>
      <c r="Z1135" s="10" t="str">
        <f>IFERROR(MATCH(ROW()-3,_自动清单!$CQ$4:$CQ$5803,0),"")</f>
        <v/>
      </c>
    </row>
    <row r="1136" spans="1:26">
      <c r="A1136" s="24" t="str">
        <f t="shared" si="51"/>
        <v/>
      </c>
      <c r="B1136" s="38" t="str">
        <f>IF($Z1136="","",IF($Z1136&lt;=2000,IF(INDEX(包装物料出入库明细!$B$4:$B$2003,$Z1136-0)=0,"",INDEX(包装物料出入库明细!$B$4:$B$2003,$Z1136-0)),IF($Z1136&lt;=4000,IF(INDEX(周转筐出入库明细!$B$4:$B$2004,$Z1136-2000)=0,"",INDEX(周转筐出入库明细!$B$4:$B$2004,$Z1136-2000)),IF($Z1136&lt;=5200,IF(INDEX(客户自备加工筐明细!$B$4:$B$1203,$Z1136-4000)=0,"",INDEX(客户自备加工筐明细!$B$4:$B$1203,$Z1136-4000)),IF($Z1136&lt;=5800,IF(INDEX(次果筐明细!$B$4:$B$603,$Z1136-5200)=0,"",INDEX(次果筐明细!$B$4:$B$603,$Z1136-5200)),"")))))</f>
        <v/>
      </c>
      <c r="C1136" s="37" t="str">
        <f>IF($Z1136="","",IF($Z1136&lt;=2000,IF(INDEX(包装物料出入库明细!$D$4:$D$2003,$Z1136-0)=0,"",INDEX(包装物料出入库明细!$D$4:$D$2003,$Z1136-0)),IF($Z1136&lt;=4000,IF(INDEX(周转筐出入库明细!$C$4:$C$2004,$Z1136-2000)=0,"",INDEX(周转筐出入库明细!$C$4:$C$2004,$Z1136-2000)),IF($Z1136&lt;=5200,IF(INDEX(客户自备加工筐明细!$E$4:$E$1203,$Z1136-4000)=0,"",INDEX(客户自备加工筐明细!$E$4:$E$1203,$Z1136-4000)),IF($Z1136&lt;=5800,IF(INDEX(次果筐明细!$C$4:$C$603,$Z1136-5200)=0,"",INDEX(次果筐明细!$C$4:$C$603,$Z1136-5200)),"")))))</f>
        <v/>
      </c>
      <c r="D1136" s="37" t="str">
        <f>IF($Z1136="","",IF($Z1136&lt;=2000,"包装物料－"&amp;INDEX(包装物料出入库明细!$H$4:$H$2003,$Z1136-0),IF($Z1136&lt;=4000,"周转筐－"&amp;INDEX(周转筐出入库明细!$F$4:$F$2004,$Z1136-2000),IF($Z1136&lt;=5200,"客户自备筐－"&amp;INDEX(客户自备加工筐明细!$J$4:$J$1203,$Z1136-4000),IF($Z1136&lt;=5800,"次果筐/托盘－"&amp;INDEX(次果筐明细!$F$4:$F$603,$Z1136-5200),"")))))</f>
        <v/>
      </c>
      <c r="E1136" s="24" t="str">
        <f>IF($Z1136="","",IF($Z1136&lt;=2000,IF(INDEX(包装物料出入库明细!$C$4:$C$2003,$Z1136-0)=0,"",INDEX(包装物料出入库明细!$C$4:$C$2003,$Z1136-0)),IF($Z1136&lt;=4000,IF(INDEX(周转筐出入库明细!$E$4:$E$2004,$Z1136-2000)=0,"",INDEX(周转筐出入库明细!$E$4:$E$2004,$Z1136-2000)),IF($Z1136&lt;=5200,IF(INDEX(客户自备加工筐明细!$D$4:$D$1203,$Z1136-4000)=0,"",INDEX(客户自备加工筐明细!$D$4:$D$1203,$Z1136-4000)),IF($Z1136&lt;=5800,IF(INDEX(次果筐明细!$E$4:$E$603,$Z1136-5200)=0,"",INDEX(次果筐明细!$E$4:$E$603,$Z1136-5200)),"")))))</f>
        <v/>
      </c>
      <c r="F1136" s="24" t="str">
        <f>IF($Z1136="","",IF($Z1136&lt;=2000,IF(INDEX(包装物料出入库明细!$E$4:$E$2003,$Z1136-0)=0,"",INDEX(包装物料出入库明细!$E$4:$E$2003,$Z1136-0)),IF($Z1136&lt;=4000,IF(INDEX(周转筐出入库明细!$D$4:$D$2004,$Z1136-2000)=0,"",INDEX(周转筐出入库明细!$D$4:$D$2004,$Z1136-2000)),IF($Z1136&lt;=5200,IF(INDEX(客户自备加工筐明细!$C$4:$C$1203,$Z1136-4000)=0,"",INDEX(客户自备加工筐明细!$C$4:$C$1203,$Z1136-4000)),IF($Z1136&lt;=5800,IF(INDEX(次果筐明细!$D$4:$D$603,$Z1136-5200)=0,"",INDEX(次果筐明细!$D$4:$D$603,$Z1136-5200)),"")))))</f>
        <v/>
      </c>
      <c r="G1136" s="24" t="str">
        <f>IF($Z1136="","",IF($Z1136&lt;=2000,IF(INDEX(包装物料出入库明细!$F$4:$F$2003,$Z1136-0)=0,"",INDEX(包装物料出入库明细!$F$4:$F$2003,$Z1136-0)),IF($Z1136&lt;=4000,"",IF($Z1136&lt;=5200,"",IF($Z1136&lt;=5800,"","")))))</f>
        <v/>
      </c>
      <c r="H1136" s="39" t="str">
        <f>IF($Z1136="","",IF($Z1136&lt;=2000,IF(INDEX(包装物料出入库明细!$L$4:$L$2003,$Z1136-0)=0,"",INDEX(包装物料出入库明细!$L$4:$L$2003,$Z1136-0)),IF($Z1136&lt;=4000,N(INDEX(周转筐出入库明细!$H$4:$H$2004,$Z1136-2000))+N(INDEX(周转筐出入库明细!$I$4:$I$2004,$Z1136-2000))+N(INDEX(周转筐出入库明细!$J$4:$J$2004,$Z1136-2000))+N(INDEX(周转筐出入库明细!$K$4:$K$2004,$Z1136-2000)),IF($Z1136&lt;=5200,N(INDEX(客户自备加工筐明细!$F$4:$F$1203,$Z1136-4000))+N(INDEX(客户自备加工筐明细!$G$4:$G$1203,$Z1136-4000)),IF($Z1136&lt;=5800,IF(INDEX(次果筐明细!$G$4:$G$603,$Z1136-5200)=0,"",INDEX(次果筐明细!$G$4:$G$603,$Z1136-5200)),"")))))</f>
        <v/>
      </c>
      <c r="I1136" s="24" t="str">
        <f>IF($Z1136="","",IF($Z1136&lt;=2000,IF(INDEX(包装物料出入库明细!$G$4:$G$2003,$Z1136-0)=0,"",INDEX(包装物料出入库明细!$G$4:$G$2003,$Z1136-0)),IF($Z1136&lt;=4000,"个",IF($Z1136&lt;=5200,"个",IF($Z1136&lt;=5800,"个","")))))</f>
        <v/>
      </c>
      <c r="J1136" s="30" t="str">
        <f t="shared" si="52"/>
        <v/>
      </c>
      <c r="K1136" s="30" t="str">
        <f>IF($Z1136="","",IF($Z1136&lt;=2000,IF(INDEX(包装物料出入库明细!$N$4:$N$2003,$Z1136-0)=0,"",INDEX(包装物料出入库明细!$N$4:$N$2003,$Z1136-0)),IF($Z1136&lt;=4000,IF(INDEX(周转筐出入库明细!$P$4:$P$2004,$Z1136-2000)=0,"",INDEX(周转筐出入库明细!$P$4:$P$2004,$Z1136-2000)),IF($Z1136&lt;=5200,"",IF($Z1136&lt;=5800,N(INDEX(次果筐明细!$L$4:$L$603,$Z1136-5200))+N(INDEX(次果筐明细!$J$4:$J$603,$Z1136-5200)),"")))))</f>
        <v/>
      </c>
      <c r="L1136" s="24" t="str">
        <f>IF($Z1136="","",IF($Z1136&lt;=2000,IF(INDEX(包装物料出入库明细!$P$4:$P$2003,$Z1136-0)=0,"",INDEX(包装物料出入库明细!$P$4:$P$2003,$Z1136-0)),IF($Z1136&lt;=4000,IF(INDEX(周转筐出入库明细!$Q$4:$Q$2004,$Z1136-2000)=0,"",INDEX(周转筐出入库明细!$Q$4:$Q$2004,$Z1136-2000)),IF($Z1136&lt;=5200,"",IF($Z1136&lt;=5800,IF(INDEX(次果筐明细!$M$4:$M$603,$Z1136-5200)=0,"",INDEX(次果筐明细!$M$4:$M$603,$Z1136-5200)),"")))))</f>
        <v/>
      </c>
      <c r="M1136" s="37" t="str">
        <f>IF($Z1136="","",IF($Z1136&lt;=2000,IF(INDEX(包装物料出入库明细!$R$4:$R$2003,$Z1136-0)=0,"",INDEX(包装物料出入库明细!$R$4:$R$2003,$Z1136-0)),IF($Z1136&lt;=4000,IF(INDEX(周转筐出入库明细!$W$4:$W$2004,$Z1136-2000)=0,"",INDEX(周转筐出入库明细!$W$4:$W$2004,$Z1136-2000)),IF($Z1136&lt;=5200,IF(INDEX(客户自备加工筐明细!$L$4:$L$1203,$Z1136-4000)=0,"",INDEX(客户自备加工筐明细!$L$4:$L$1203,$Z1136-4000)),IF($Z1136&lt;=5800,IF(INDEX(次果筐明细!$P$4:$P$603,$Z1136-5200)=0,"",INDEX(次果筐明细!$P$4:$P$603,$Z1136-5200)),"")))))</f>
        <v/>
      </c>
      <c r="N1136" s="16" t="str">
        <f>IF($Z1136="","",IF($Z1136&lt;=2000,"",IF($Z1136&lt;=4000,IF(INDEX(周转筐出入库明细!$D$4:$D$2004,$Z1136-2000)=0,"",INDEX(周转筐出入库明细!$D$4:$D$2004,$Z1136-2000)),IF($Z1136&lt;=5200,IF(INDEX(客户自备加工筐明细!$C$4:$C$1203,$Z1136-4000)=0,"",INDEX(客户自备加工筐明细!$C$4:$C$1203,$Z1136-4000)),IF($Z1136&lt;=5800,IF(INDEX(次果筐明细!$D$4:$D$603,$Z1136-5200)=0,"",INDEX(次果筐明细!$D$4:$D$603,$Z1136-5200)),"")))))</f>
        <v/>
      </c>
      <c r="O1136" s="40" t="str">
        <f>IF($Z1136="","",IF($Z1136&lt;=2000,"",IF($Z1136&lt;=4000,IF(N(INDEX(周转筐出入库明细!$J$4:$J$2004,$Z1136-2000))+N(INDEX(周转筐出入库明细!$K$4:$K$2004,$Z1136-2000))=0,"",N(INDEX(周转筐出入库明细!$J$4:$J$2004,$Z1136-2000))+N(INDEX(周转筐出入库明细!$K$4:$K$2004,$Z1136-2000))),IF($Z1136&lt;=5200,IF(N(INDEX(客户自备加工筐明细!$G$4:$G$1203,$Z1136-4000))=0,"",N(INDEX(客户自备加工筐明细!$G$4:$G$1203,$Z1136-4000))),IF($Z1136&lt;=5800,IF(ISNUMBER(SEARCH("退",INDEX(次果筐明细!$F$4:$F$603,$Z1136-5200)&amp;"")),"",IF(N(INDEX(次果筐明细!$G$4:$G$603,$Z1136-5200))=0,"",N(INDEX(次果筐明细!$G$4:$G$603,$Z1136-5200)))),"")))))</f>
        <v/>
      </c>
      <c r="P1136" s="40" t="str">
        <f>IF($Z1136="","",IF($Z1136&lt;=2000,"",IF($Z1136&lt;=4000,IF(N(INDEX(周转筐出入库明细!$I$4:$I$2004,$Z1136-2000))=0,"",N(INDEX(周转筐出入库明细!$I$4:$I$2004,$Z1136-2000))),IF($Z1136&lt;=5200,"",IF($Z1136&lt;=5800,IF(ISNUMBER(SEARCH("退",INDEX(次果筐明细!$F$4:$F$603,$Z1136-5200)&amp;"")),IF(N(INDEX(次果筐明细!$G$4:$G$603,$Z1136-5200))=0,"",N(INDEX(次果筐明细!$G$4:$G$603,$Z1136-5200))),""),"")))))</f>
        <v/>
      </c>
      <c r="Q1136" s="40" t="str">
        <f>IF($Z1136="","",IF($Z1136&lt;=2000,"",IF($Z1136&lt;=4000,IF(N(INDEX(周转筐出入库明细!$H$4:$H$2004,$Z1136-2000))=0,"",N(INDEX(周转筐出入库明细!$H$4:$H$2004,$Z1136-2000))),IF($Z1136&lt;=5200,IF(N(INDEX(客户自备加工筐明细!$F$4:$F$1203,$Z1136-4000))=0,"",N(INDEX(客户自备加工筐明细!$F$4:$F$1203,$Z1136-4000))),IF($Z1136&lt;=5800,"","")))))</f>
        <v/>
      </c>
      <c r="R1136" s="16" t="str">
        <f>IF($Z1136="","",IF($Z1136&lt;=2000,IF(INDEX(包装物料出入库明细!$O$4:$O$2003,$Z1136-0)=0,"",INDEX(包装物料出入库明细!$O$4:$O$2003,$Z1136-0)),IF($Z1136&lt;=4000,IF(INDEX(周转筐出入库明细!$M$4:$M$2004,$Z1136-2000)=0,"",INDEX(周转筐出入库明细!$M$4:$M$2004,$Z1136-2000)),IF($Z1136&lt;=5200,IF(INDEX(客户自备加工筐明细!$H$4:$H$1203,$Z1136-4000)=0,"",INDEX(客户自备加工筐明细!$H$4:$H$1203,$Z1136-4000)),IF($Z1136&lt;=5800,IF(INDEX(次果筐明细!$H$4:$H$603,$Z1136-5200)=0,"",INDEX(次果筐明细!$H$4:$H$603,$Z1136-5200)),"")))))</f>
        <v/>
      </c>
      <c r="S1136" s="22" t="str">
        <f t="shared" si="53"/>
        <v/>
      </c>
      <c r="Z1136" s="10" t="str">
        <f>IFERROR(MATCH(ROW()-3,_自动清单!$CQ$4:$CQ$5803,0),"")</f>
        <v/>
      </c>
    </row>
    <row r="1137" spans="1:26">
      <c r="A1137" s="24" t="str">
        <f t="shared" si="51"/>
        <v/>
      </c>
      <c r="B1137" s="38" t="str">
        <f>IF($Z1137="","",IF($Z1137&lt;=2000,IF(INDEX(包装物料出入库明细!$B$4:$B$2003,$Z1137-0)=0,"",INDEX(包装物料出入库明细!$B$4:$B$2003,$Z1137-0)),IF($Z1137&lt;=4000,IF(INDEX(周转筐出入库明细!$B$4:$B$2004,$Z1137-2000)=0,"",INDEX(周转筐出入库明细!$B$4:$B$2004,$Z1137-2000)),IF($Z1137&lt;=5200,IF(INDEX(客户自备加工筐明细!$B$4:$B$1203,$Z1137-4000)=0,"",INDEX(客户自备加工筐明细!$B$4:$B$1203,$Z1137-4000)),IF($Z1137&lt;=5800,IF(INDEX(次果筐明细!$B$4:$B$603,$Z1137-5200)=0,"",INDEX(次果筐明细!$B$4:$B$603,$Z1137-5200)),"")))))</f>
        <v/>
      </c>
      <c r="C1137" s="37" t="str">
        <f>IF($Z1137="","",IF($Z1137&lt;=2000,IF(INDEX(包装物料出入库明细!$D$4:$D$2003,$Z1137-0)=0,"",INDEX(包装物料出入库明细!$D$4:$D$2003,$Z1137-0)),IF($Z1137&lt;=4000,IF(INDEX(周转筐出入库明细!$C$4:$C$2004,$Z1137-2000)=0,"",INDEX(周转筐出入库明细!$C$4:$C$2004,$Z1137-2000)),IF($Z1137&lt;=5200,IF(INDEX(客户自备加工筐明细!$E$4:$E$1203,$Z1137-4000)=0,"",INDEX(客户自备加工筐明细!$E$4:$E$1203,$Z1137-4000)),IF($Z1137&lt;=5800,IF(INDEX(次果筐明细!$C$4:$C$603,$Z1137-5200)=0,"",INDEX(次果筐明细!$C$4:$C$603,$Z1137-5200)),"")))))</f>
        <v/>
      </c>
      <c r="D1137" s="37" t="str">
        <f>IF($Z1137="","",IF($Z1137&lt;=2000,"包装物料－"&amp;INDEX(包装物料出入库明细!$H$4:$H$2003,$Z1137-0),IF($Z1137&lt;=4000,"周转筐－"&amp;INDEX(周转筐出入库明细!$F$4:$F$2004,$Z1137-2000),IF($Z1137&lt;=5200,"客户自备筐－"&amp;INDEX(客户自备加工筐明细!$J$4:$J$1203,$Z1137-4000),IF($Z1137&lt;=5800,"次果筐/托盘－"&amp;INDEX(次果筐明细!$F$4:$F$603,$Z1137-5200),"")))))</f>
        <v/>
      </c>
      <c r="E1137" s="24" t="str">
        <f>IF($Z1137="","",IF($Z1137&lt;=2000,IF(INDEX(包装物料出入库明细!$C$4:$C$2003,$Z1137-0)=0,"",INDEX(包装物料出入库明细!$C$4:$C$2003,$Z1137-0)),IF($Z1137&lt;=4000,IF(INDEX(周转筐出入库明细!$E$4:$E$2004,$Z1137-2000)=0,"",INDEX(周转筐出入库明细!$E$4:$E$2004,$Z1137-2000)),IF($Z1137&lt;=5200,IF(INDEX(客户自备加工筐明细!$D$4:$D$1203,$Z1137-4000)=0,"",INDEX(客户自备加工筐明细!$D$4:$D$1203,$Z1137-4000)),IF($Z1137&lt;=5800,IF(INDEX(次果筐明细!$E$4:$E$603,$Z1137-5200)=0,"",INDEX(次果筐明细!$E$4:$E$603,$Z1137-5200)),"")))))</f>
        <v/>
      </c>
      <c r="F1137" s="24" t="str">
        <f>IF($Z1137="","",IF($Z1137&lt;=2000,IF(INDEX(包装物料出入库明细!$E$4:$E$2003,$Z1137-0)=0,"",INDEX(包装物料出入库明细!$E$4:$E$2003,$Z1137-0)),IF($Z1137&lt;=4000,IF(INDEX(周转筐出入库明细!$D$4:$D$2004,$Z1137-2000)=0,"",INDEX(周转筐出入库明细!$D$4:$D$2004,$Z1137-2000)),IF($Z1137&lt;=5200,IF(INDEX(客户自备加工筐明细!$C$4:$C$1203,$Z1137-4000)=0,"",INDEX(客户自备加工筐明细!$C$4:$C$1203,$Z1137-4000)),IF($Z1137&lt;=5800,IF(INDEX(次果筐明细!$D$4:$D$603,$Z1137-5200)=0,"",INDEX(次果筐明细!$D$4:$D$603,$Z1137-5200)),"")))))</f>
        <v/>
      </c>
      <c r="G1137" s="24" t="str">
        <f>IF($Z1137="","",IF($Z1137&lt;=2000,IF(INDEX(包装物料出入库明细!$F$4:$F$2003,$Z1137-0)=0,"",INDEX(包装物料出入库明细!$F$4:$F$2003,$Z1137-0)),IF($Z1137&lt;=4000,"",IF($Z1137&lt;=5200,"",IF($Z1137&lt;=5800,"","")))))</f>
        <v/>
      </c>
      <c r="H1137" s="39" t="str">
        <f>IF($Z1137="","",IF($Z1137&lt;=2000,IF(INDEX(包装物料出入库明细!$L$4:$L$2003,$Z1137-0)=0,"",INDEX(包装物料出入库明细!$L$4:$L$2003,$Z1137-0)),IF($Z1137&lt;=4000,N(INDEX(周转筐出入库明细!$H$4:$H$2004,$Z1137-2000))+N(INDEX(周转筐出入库明细!$I$4:$I$2004,$Z1137-2000))+N(INDEX(周转筐出入库明细!$J$4:$J$2004,$Z1137-2000))+N(INDEX(周转筐出入库明细!$K$4:$K$2004,$Z1137-2000)),IF($Z1137&lt;=5200,N(INDEX(客户自备加工筐明细!$F$4:$F$1203,$Z1137-4000))+N(INDEX(客户自备加工筐明细!$G$4:$G$1203,$Z1137-4000)),IF($Z1137&lt;=5800,IF(INDEX(次果筐明细!$G$4:$G$603,$Z1137-5200)=0,"",INDEX(次果筐明细!$G$4:$G$603,$Z1137-5200)),"")))))</f>
        <v/>
      </c>
      <c r="I1137" s="24" t="str">
        <f>IF($Z1137="","",IF($Z1137&lt;=2000,IF(INDEX(包装物料出入库明细!$G$4:$G$2003,$Z1137-0)=0,"",INDEX(包装物料出入库明细!$G$4:$G$2003,$Z1137-0)),IF($Z1137&lt;=4000,"个",IF($Z1137&lt;=5200,"个",IF($Z1137&lt;=5800,"个","")))))</f>
        <v/>
      </c>
      <c r="J1137" s="30" t="str">
        <f t="shared" si="52"/>
        <v/>
      </c>
      <c r="K1137" s="30" t="str">
        <f>IF($Z1137="","",IF($Z1137&lt;=2000,IF(INDEX(包装物料出入库明细!$N$4:$N$2003,$Z1137-0)=0,"",INDEX(包装物料出入库明细!$N$4:$N$2003,$Z1137-0)),IF($Z1137&lt;=4000,IF(INDEX(周转筐出入库明细!$P$4:$P$2004,$Z1137-2000)=0,"",INDEX(周转筐出入库明细!$P$4:$P$2004,$Z1137-2000)),IF($Z1137&lt;=5200,"",IF($Z1137&lt;=5800,N(INDEX(次果筐明细!$L$4:$L$603,$Z1137-5200))+N(INDEX(次果筐明细!$J$4:$J$603,$Z1137-5200)),"")))))</f>
        <v/>
      </c>
      <c r="L1137" s="24" t="str">
        <f>IF($Z1137="","",IF($Z1137&lt;=2000,IF(INDEX(包装物料出入库明细!$P$4:$P$2003,$Z1137-0)=0,"",INDEX(包装物料出入库明细!$P$4:$P$2003,$Z1137-0)),IF($Z1137&lt;=4000,IF(INDEX(周转筐出入库明细!$Q$4:$Q$2004,$Z1137-2000)=0,"",INDEX(周转筐出入库明细!$Q$4:$Q$2004,$Z1137-2000)),IF($Z1137&lt;=5200,"",IF($Z1137&lt;=5800,IF(INDEX(次果筐明细!$M$4:$M$603,$Z1137-5200)=0,"",INDEX(次果筐明细!$M$4:$M$603,$Z1137-5200)),"")))))</f>
        <v/>
      </c>
      <c r="M1137" s="37" t="str">
        <f>IF($Z1137="","",IF($Z1137&lt;=2000,IF(INDEX(包装物料出入库明细!$R$4:$R$2003,$Z1137-0)=0,"",INDEX(包装物料出入库明细!$R$4:$R$2003,$Z1137-0)),IF($Z1137&lt;=4000,IF(INDEX(周转筐出入库明细!$W$4:$W$2004,$Z1137-2000)=0,"",INDEX(周转筐出入库明细!$W$4:$W$2004,$Z1137-2000)),IF($Z1137&lt;=5200,IF(INDEX(客户自备加工筐明细!$L$4:$L$1203,$Z1137-4000)=0,"",INDEX(客户自备加工筐明细!$L$4:$L$1203,$Z1137-4000)),IF($Z1137&lt;=5800,IF(INDEX(次果筐明细!$P$4:$P$603,$Z1137-5200)=0,"",INDEX(次果筐明细!$P$4:$P$603,$Z1137-5200)),"")))))</f>
        <v/>
      </c>
      <c r="N1137" s="16" t="str">
        <f>IF($Z1137="","",IF($Z1137&lt;=2000,"",IF($Z1137&lt;=4000,IF(INDEX(周转筐出入库明细!$D$4:$D$2004,$Z1137-2000)=0,"",INDEX(周转筐出入库明细!$D$4:$D$2004,$Z1137-2000)),IF($Z1137&lt;=5200,IF(INDEX(客户自备加工筐明细!$C$4:$C$1203,$Z1137-4000)=0,"",INDEX(客户自备加工筐明细!$C$4:$C$1203,$Z1137-4000)),IF($Z1137&lt;=5800,IF(INDEX(次果筐明细!$D$4:$D$603,$Z1137-5200)=0,"",INDEX(次果筐明细!$D$4:$D$603,$Z1137-5200)),"")))))</f>
        <v/>
      </c>
      <c r="O1137" s="40" t="str">
        <f>IF($Z1137="","",IF($Z1137&lt;=2000,"",IF($Z1137&lt;=4000,IF(N(INDEX(周转筐出入库明细!$J$4:$J$2004,$Z1137-2000))+N(INDEX(周转筐出入库明细!$K$4:$K$2004,$Z1137-2000))=0,"",N(INDEX(周转筐出入库明细!$J$4:$J$2004,$Z1137-2000))+N(INDEX(周转筐出入库明细!$K$4:$K$2004,$Z1137-2000))),IF($Z1137&lt;=5200,IF(N(INDEX(客户自备加工筐明细!$G$4:$G$1203,$Z1137-4000))=0,"",N(INDEX(客户自备加工筐明细!$G$4:$G$1203,$Z1137-4000))),IF($Z1137&lt;=5800,IF(ISNUMBER(SEARCH("退",INDEX(次果筐明细!$F$4:$F$603,$Z1137-5200)&amp;"")),"",IF(N(INDEX(次果筐明细!$G$4:$G$603,$Z1137-5200))=0,"",N(INDEX(次果筐明细!$G$4:$G$603,$Z1137-5200)))),"")))))</f>
        <v/>
      </c>
      <c r="P1137" s="40" t="str">
        <f>IF($Z1137="","",IF($Z1137&lt;=2000,"",IF($Z1137&lt;=4000,IF(N(INDEX(周转筐出入库明细!$I$4:$I$2004,$Z1137-2000))=0,"",N(INDEX(周转筐出入库明细!$I$4:$I$2004,$Z1137-2000))),IF($Z1137&lt;=5200,"",IF($Z1137&lt;=5800,IF(ISNUMBER(SEARCH("退",INDEX(次果筐明细!$F$4:$F$603,$Z1137-5200)&amp;"")),IF(N(INDEX(次果筐明细!$G$4:$G$603,$Z1137-5200))=0,"",N(INDEX(次果筐明细!$G$4:$G$603,$Z1137-5200))),""),"")))))</f>
        <v/>
      </c>
      <c r="Q1137" s="40" t="str">
        <f>IF($Z1137="","",IF($Z1137&lt;=2000,"",IF($Z1137&lt;=4000,IF(N(INDEX(周转筐出入库明细!$H$4:$H$2004,$Z1137-2000))=0,"",N(INDEX(周转筐出入库明细!$H$4:$H$2004,$Z1137-2000))),IF($Z1137&lt;=5200,IF(N(INDEX(客户自备加工筐明细!$F$4:$F$1203,$Z1137-4000))=0,"",N(INDEX(客户自备加工筐明细!$F$4:$F$1203,$Z1137-4000))),IF($Z1137&lt;=5800,"","")))))</f>
        <v/>
      </c>
      <c r="R1137" s="16" t="str">
        <f>IF($Z1137="","",IF($Z1137&lt;=2000,IF(INDEX(包装物料出入库明细!$O$4:$O$2003,$Z1137-0)=0,"",INDEX(包装物料出入库明细!$O$4:$O$2003,$Z1137-0)),IF($Z1137&lt;=4000,IF(INDEX(周转筐出入库明细!$M$4:$M$2004,$Z1137-2000)=0,"",INDEX(周转筐出入库明细!$M$4:$M$2004,$Z1137-2000)),IF($Z1137&lt;=5200,IF(INDEX(客户自备加工筐明细!$H$4:$H$1203,$Z1137-4000)=0,"",INDEX(客户自备加工筐明细!$H$4:$H$1203,$Z1137-4000)),IF($Z1137&lt;=5800,IF(INDEX(次果筐明细!$H$4:$H$603,$Z1137-5200)=0,"",INDEX(次果筐明细!$H$4:$H$603,$Z1137-5200)),"")))))</f>
        <v/>
      </c>
      <c r="S1137" s="22" t="str">
        <f t="shared" si="53"/>
        <v/>
      </c>
      <c r="Z1137" s="10" t="str">
        <f>IFERROR(MATCH(ROW()-3,_自动清单!$CQ$4:$CQ$5803,0),"")</f>
        <v/>
      </c>
    </row>
    <row r="1138" spans="1:26">
      <c r="A1138" s="24" t="str">
        <f t="shared" si="51"/>
        <v/>
      </c>
      <c r="B1138" s="38" t="str">
        <f>IF($Z1138="","",IF($Z1138&lt;=2000,IF(INDEX(包装物料出入库明细!$B$4:$B$2003,$Z1138-0)=0,"",INDEX(包装物料出入库明细!$B$4:$B$2003,$Z1138-0)),IF($Z1138&lt;=4000,IF(INDEX(周转筐出入库明细!$B$4:$B$2004,$Z1138-2000)=0,"",INDEX(周转筐出入库明细!$B$4:$B$2004,$Z1138-2000)),IF($Z1138&lt;=5200,IF(INDEX(客户自备加工筐明细!$B$4:$B$1203,$Z1138-4000)=0,"",INDEX(客户自备加工筐明细!$B$4:$B$1203,$Z1138-4000)),IF($Z1138&lt;=5800,IF(INDEX(次果筐明细!$B$4:$B$603,$Z1138-5200)=0,"",INDEX(次果筐明细!$B$4:$B$603,$Z1138-5200)),"")))))</f>
        <v/>
      </c>
      <c r="C1138" s="37" t="str">
        <f>IF($Z1138="","",IF($Z1138&lt;=2000,IF(INDEX(包装物料出入库明细!$D$4:$D$2003,$Z1138-0)=0,"",INDEX(包装物料出入库明细!$D$4:$D$2003,$Z1138-0)),IF($Z1138&lt;=4000,IF(INDEX(周转筐出入库明细!$C$4:$C$2004,$Z1138-2000)=0,"",INDEX(周转筐出入库明细!$C$4:$C$2004,$Z1138-2000)),IF($Z1138&lt;=5200,IF(INDEX(客户自备加工筐明细!$E$4:$E$1203,$Z1138-4000)=0,"",INDEX(客户自备加工筐明细!$E$4:$E$1203,$Z1138-4000)),IF($Z1138&lt;=5800,IF(INDEX(次果筐明细!$C$4:$C$603,$Z1138-5200)=0,"",INDEX(次果筐明细!$C$4:$C$603,$Z1138-5200)),"")))))</f>
        <v/>
      </c>
      <c r="D1138" s="37" t="str">
        <f>IF($Z1138="","",IF($Z1138&lt;=2000,"包装物料－"&amp;INDEX(包装物料出入库明细!$H$4:$H$2003,$Z1138-0),IF($Z1138&lt;=4000,"周转筐－"&amp;INDEX(周转筐出入库明细!$F$4:$F$2004,$Z1138-2000),IF($Z1138&lt;=5200,"客户自备筐－"&amp;INDEX(客户自备加工筐明细!$J$4:$J$1203,$Z1138-4000),IF($Z1138&lt;=5800,"次果筐/托盘－"&amp;INDEX(次果筐明细!$F$4:$F$603,$Z1138-5200),"")))))</f>
        <v/>
      </c>
      <c r="E1138" s="24" t="str">
        <f>IF($Z1138="","",IF($Z1138&lt;=2000,IF(INDEX(包装物料出入库明细!$C$4:$C$2003,$Z1138-0)=0,"",INDEX(包装物料出入库明细!$C$4:$C$2003,$Z1138-0)),IF($Z1138&lt;=4000,IF(INDEX(周转筐出入库明细!$E$4:$E$2004,$Z1138-2000)=0,"",INDEX(周转筐出入库明细!$E$4:$E$2004,$Z1138-2000)),IF($Z1138&lt;=5200,IF(INDEX(客户自备加工筐明细!$D$4:$D$1203,$Z1138-4000)=0,"",INDEX(客户自备加工筐明细!$D$4:$D$1203,$Z1138-4000)),IF($Z1138&lt;=5800,IF(INDEX(次果筐明细!$E$4:$E$603,$Z1138-5200)=0,"",INDEX(次果筐明细!$E$4:$E$603,$Z1138-5200)),"")))))</f>
        <v/>
      </c>
      <c r="F1138" s="24" t="str">
        <f>IF($Z1138="","",IF($Z1138&lt;=2000,IF(INDEX(包装物料出入库明细!$E$4:$E$2003,$Z1138-0)=0,"",INDEX(包装物料出入库明细!$E$4:$E$2003,$Z1138-0)),IF($Z1138&lt;=4000,IF(INDEX(周转筐出入库明细!$D$4:$D$2004,$Z1138-2000)=0,"",INDEX(周转筐出入库明细!$D$4:$D$2004,$Z1138-2000)),IF($Z1138&lt;=5200,IF(INDEX(客户自备加工筐明细!$C$4:$C$1203,$Z1138-4000)=0,"",INDEX(客户自备加工筐明细!$C$4:$C$1203,$Z1138-4000)),IF($Z1138&lt;=5800,IF(INDEX(次果筐明细!$D$4:$D$603,$Z1138-5200)=0,"",INDEX(次果筐明细!$D$4:$D$603,$Z1138-5200)),"")))))</f>
        <v/>
      </c>
      <c r="G1138" s="24" t="str">
        <f>IF($Z1138="","",IF($Z1138&lt;=2000,IF(INDEX(包装物料出入库明细!$F$4:$F$2003,$Z1138-0)=0,"",INDEX(包装物料出入库明细!$F$4:$F$2003,$Z1138-0)),IF($Z1138&lt;=4000,"",IF($Z1138&lt;=5200,"",IF($Z1138&lt;=5800,"","")))))</f>
        <v/>
      </c>
      <c r="H1138" s="39" t="str">
        <f>IF($Z1138="","",IF($Z1138&lt;=2000,IF(INDEX(包装物料出入库明细!$L$4:$L$2003,$Z1138-0)=0,"",INDEX(包装物料出入库明细!$L$4:$L$2003,$Z1138-0)),IF($Z1138&lt;=4000,N(INDEX(周转筐出入库明细!$H$4:$H$2004,$Z1138-2000))+N(INDEX(周转筐出入库明细!$I$4:$I$2004,$Z1138-2000))+N(INDEX(周转筐出入库明细!$J$4:$J$2004,$Z1138-2000))+N(INDEX(周转筐出入库明细!$K$4:$K$2004,$Z1138-2000)),IF($Z1138&lt;=5200,N(INDEX(客户自备加工筐明细!$F$4:$F$1203,$Z1138-4000))+N(INDEX(客户自备加工筐明细!$G$4:$G$1203,$Z1138-4000)),IF($Z1138&lt;=5800,IF(INDEX(次果筐明细!$G$4:$G$603,$Z1138-5200)=0,"",INDEX(次果筐明细!$G$4:$G$603,$Z1138-5200)),"")))))</f>
        <v/>
      </c>
      <c r="I1138" s="24" t="str">
        <f>IF($Z1138="","",IF($Z1138&lt;=2000,IF(INDEX(包装物料出入库明细!$G$4:$G$2003,$Z1138-0)=0,"",INDEX(包装物料出入库明细!$G$4:$G$2003,$Z1138-0)),IF($Z1138&lt;=4000,"个",IF($Z1138&lt;=5200,"个",IF($Z1138&lt;=5800,"个","")))))</f>
        <v/>
      </c>
      <c r="J1138" s="30" t="str">
        <f t="shared" si="52"/>
        <v/>
      </c>
      <c r="K1138" s="30" t="str">
        <f>IF($Z1138="","",IF($Z1138&lt;=2000,IF(INDEX(包装物料出入库明细!$N$4:$N$2003,$Z1138-0)=0,"",INDEX(包装物料出入库明细!$N$4:$N$2003,$Z1138-0)),IF($Z1138&lt;=4000,IF(INDEX(周转筐出入库明细!$P$4:$P$2004,$Z1138-2000)=0,"",INDEX(周转筐出入库明细!$P$4:$P$2004,$Z1138-2000)),IF($Z1138&lt;=5200,"",IF($Z1138&lt;=5800,N(INDEX(次果筐明细!$L$4:$L$603,$Z1138-5200))+N(INDEX(次果筐明细!$J$4:$J$603,$Z1138-5200)),"")))))</f>
        <v/>
      </c>
      <c r="L1138" s="24" t="str">
        <f>IF($Z1138="","",IF($Z1138&lt;=2000,IF(INDEX(包装物料出入库明细!$P$4:$P$2003,$Z1138-0)=0,"",INDEX(包装物料出入库明细!$P$4:$P$2003,$Z1138-0)),IF($Z1138&lt;=4000,IF(INDEX(周转筐出入库明细!$Q$4:$Q$2004,$Z1138-2000)=0,"",INDEX(周转筐出入库明细!$Q$4:$Q$2004,$Z1138-2000)),IF($Z1138&lt;=5200,"",IF($Z1138&lt;=5800,IF(INDEX(次果筐明细!$M$4:$M$603,$Z1138-5200)=0,"",INDEX(次果筐明细!$M$4:$M$603,$Z1138-5200)),"")))))</f>
        <v/>
      </c>
      <c r="M1138" s="37" t="str">
        <f>IF($Z1138="","",IF($Z1138&lt;=2000,IF(INDEX(包装物料出入库明细!$R$4:$R$2003,$Z1138-0)=0,"",INDEX(包装物料出入库明细!$R$4:$R$2003,$Z1138-0)),IF($Z1138&lt;=4000,IF(INDEX(周转筐出入库明细!$W$4:$W$2004,$Z1138-2000)=0,"",INDEX(周转筐出入库明细!$W$4:$W$2004,$Z1138-2000)),IF($Z1138&lt;=5200,IF(INDEX(客户自备加工筐明细!$L$4:$L$1203,$Z1138-4000)=0,"",INDEX(客户自备加工筐明细!$L$4:$L$1203,$Z1138-4000)),IF($Z1138&lt;=5800,IF(INDEX(次果筐明细!$P$4:$P$603,$Z1138-5200)=0,"",INDEX(次果筐明细!$P$4:$P$603,$Z1138-5200)),"")))))</f>
        <v/>
      </c>
      <c r="N1138" s="16" t="str">
        <f>IF($Z1138="","",IF($Z1138&lt;=2000,"",IF($Z1138&lt;=4000,IF(INDEX(周转筐出入库明细!$D$4:$D$2004,$Z1138-2000)=0,"",INDEX(周转筐出入库明细!$D$4:$D$2004,$Z1138-2000)),IF($Z1138&lt;=5200,IF(INDEX(客户自备加工筐明细!$C$4:$C$1203,$Z1138-4000)=0,"",INDEX(客户自备加工筐明细!$C$4:$C$1203,$Z1138-4000)),IF($Z1138&lt;=5800,IF(INDEX(次果筐明细!$D$4:$D$603,$Z1138-5200)=0,"",INDEX(次果筐明细!$D$4:$D$603,$Z1138-5200)),"")))))</f>
        <v/>
      </c>
      <c r="O1138" s="40" t="str">
        <f>IF($Z1138="","",IF($Z1138&lt;=2000,"",IF($Z1138&lt;=4000,IF(N(INDEX(周转筐出入库明细!$J$4:$J$2004,$Z1138-2000))+N(INDEX(周转筐出入库明细!$K$4:$K$2004,$Z1138-2000))=0,"",N(INDEX(周转筐出入库明细!$J$4:$J$2004,$Z1138-2000))+N(INDEX(周转筐出入库明细!$K$4:$K$2004,$Z1138-2000))),IF($Z1138&lt;=5200,IF(N(INDEX(客户自备加工筐明细!$G$4:$G$1203,$Z1138-4000))=0,"",N(INDEX(客户自备加工筐明细!$G$4:$G$1203,$Z1138-4000))),IF($Z1138&lt;=5800,IF(ISNUMBER(SEARCH("退",INDEX(次果筐明细!$F$4:$F$603,$Z1138-5200)&amp;"")),"",IF(N(INDEX(次果筐明细!$G$4:$G$603,$Z1138-5200))=0,"",N(INDEX(次果筐明细!$G$4:$G$603,$Z1138-5200)))),"")))))</f>
        <v/>
      </c>
      <c r="P1138" s="40" t="str">
        <f>IF($Z1138="","",IF($Z1138&lt;=2000,"",IF($Z1138&lt;=4000,IF(N(INDEX(周转筐出入库明细!$I$4:$I$2004,$Z1138-2000))=0,"",N(INDEX(周转筐出入库明细!$I$4:$I$2004,$Z1138-2000))),IF($Z1138&lt;=5200,"",IF($Z1138&lt;=5800,IF(ISNUMBER(SEARCH("退",INDEX(次果筐明细!$F$4:$F$603,$Z1138-5200)&amp;"")),IF(N(INDEX(次果筐明细!$G$4:$G$603,$Z1138-5200))=0,"",N(INDEX(次果筐明细!$G$4:$G$603,$Z1138-5200))),""),"")))))</f>
        <v/>
      </c>
      <c r="Q1138" s="40" t="str">
        <f>IF($Z1138="","",IF($Z1138&lt;=2000,"",IF($Z1138&lt;=4000,IF(N(INDEX(周转筐出入库明细!$H$4:$H$2004,$Z1138-2000))=0,"",N(INDEX(周转筐出入库明细!$H$4:$H$2004,$Z1138-2000))),IF($Z1138&lt;=5200,IF(N(INDEX(客户自备加工筐明细!$F$4:$F$1203,$Z1138-4000))=0,"",N(INDEX(客户自备加工筐明细!$F$4:$F$1203,$Z1138-4000))),IF($Z1138&lt;=5800,"","")))))</f>
        <v/>
      </c>
      <c r="R1138" s="16" t="str">
        <f>IF($Z1138="","",IF($Z1138&lt;=2000,IF(INDEX(包装物料出入库明细!$O$4:$O$2003,$Z1138-0)=0,"",INDEX(包装物料出入库明细!$O$4:$O$2003,$Z1138-0)),IF($Z1138&lt;=4000,IF(INDEX(周转筐出入库明细!$M$4:$M$2004,$Z1138-2000)=0,"",INDEX(周转筐出入库明细!$M$4:$M$2004,$Z1138-2000)),IF($Z1138&lt;=5200,IF(INDEX(客户自备加工筐明细!$H$4:$H$1203,$Z1138-4000)=0,"",INDEX(客户自备加工筐明细!$H$4:$H$1203,$Z1138-4000)),IF($Z1138&lt;=5800,IF(INDEX(次果筐明细!$H$4:$H$603,$Z1138-5200)=0,"",INDEX(次果筐明细!$H$4:$H$603,$Z1138-5200)),"")))))</f>
        <v/>
      </c>
      <c r="S1138" s="22" t="str">
        <f t="shared" si="53"/>
        <v/>
      </c>
      <c r="Z1138" s="10" t="str">
        <f>IFERROR(MATCH(ROW()-3,_自动清单!$CQ$4:$CQ$5803,0),"")</f>
        <v/>
      </c>
    </row>
    <row r="1139" spans="1:26">
      <c r="A1139" s="24" t="str">
        <f t="shared" si="51"/>
        <v/>
      </c>
      <c r="B1139" s="38" t="str">
        <f>IF($Z1139="","",IF($Z1139&lt;=2000,IF(INDEX(包装物料出入库明细!$B$4:$B$2003,$Z1139-0)=0,"",INDEX(包装物料出入库明细!$B$4:$B$2003,$Z1139-0)),IF($Z1139&lt;=4000,IF(INDEX(周转筐出入库明细!$B$4:$B$2004,$Z1139-2000)=0,"",INDEX(周转筐出入库明细!$B$4:$B$2004,$Z1139-2000)),IF($Z1139&lt;=5200,IF(INDEX(客户自备加工筐明细!$B$4:$B$1203,$Z1139-4000)=0,"",INDEX(客户自备加工筐明细!$B$4:$B$1203,$Z1139-4000)),IF($Z1139&lt;=5800,IF(INDEX(次果筐明细!$B$4:$B$603,$Z1139-5200)=0,"",INDEX(次果筐明细!$B$4:$B$603,$Z1139-5200)),"")))))</f>
        <v/>
      </c>
      <c r="C1139" s="37" t="str">
        <f>IF($Z1139="","",IF($Z1139&lt;=2000,IF(INDEX(包装物料出入库明细!$D$4:$D$2003,$Z1139-0)=0,"",INDEX(包装物料出入库明细!$D$4:$D$2003,$Z1139-0)),IF($Z1139&lt;=4000,IF(INDEX(周转筐出入库明细!$C$4:$C$2004,$Z1139-2000)=0,"",INDEX(周转筐出入库明细!$C$4:$C$2004,$Z1139-2000)),IF($Z1139&lt;=5200,IF(INDEX(客户自备加工筐明细!$E$4:$E$1203,$Z1139-4000)=0,"",INDEX(客户自备加工筐明细!$E$4:$E$1203,$Z1139-4000)),IF($Z1139&lt;=5800,IF(INDEX(次果筐明细!$C$4:$C$603,$Z1139-5200)=0,"",INDEX(次果筐明细!$C$4:$C$603,$Z1139-5200)),"")))))</f>
        <v/>
      </c>
      <c r="D1139" s="37" t="str">
        <f>IF($Z1139="","",IF($Z1139&lt;=2000,"包装物料－"&amp;INDEX(包装物料出入库明细!$H$4:$H$2003,$Z1139-0),IF($Z1139&lt;=4000,"周转筐－"&amp;INDEX(周转筐出入库明细!$F$4:$F$2004,$Z1139-2000),IF($Z1139&lt;=5200,"客户自备筐－"&amp;INDEX(客户自备加工筐明细!$J$4:$J$1203,$Z1139-4000),IF($Z1139&lt;=5800,"次果筐/托盘－"&amp;INDEX(次果筐明细!$F$4:$F$603,$Z1139-5200),"")))))</f>
        <v/>
      </c>
      <c r="E1139" s="24" t="str">
        <f>IF($Z1139="","",IF($Z1139&lt;=2000,IF(INDEX(包装物料出入库明细!$C$4:$C$2003,$Z1139-0)=0,"",INDEX(包装物料出入库明细!$C$4:$C$2003,$Z1139-0)),IF($Z1139&lt;=4000,IF(INDEX(周转筐出入库明细!$E$4:$E$2004,$Z1139-2000)=0,"",INDEX(周转筐出入库明细!$E$4:$E$2004,$Z1139-2000)),IF($Z1139&lt;=5200,IF(INDEX(客户自备加工筐明细!$D$4:$D$1203,$Z1139-4000)=0,"",INDEX(客户自备加工筐明细!$D$4:$D$1203,$Z1139-4000)),IF($Z1139&lt;=5800,IF(INDEX(次果筐明细!$E$4:$E$603,$Z1139-5200)=0,"",INDEX(次果筐明细!$E$4:$E$603,$Z1139-5200)),"")))))</f>
        <v/>
      </c>
      <c r="F1139" s="24" t="str">
        <f>IF($Z1139="","",IF($Z1139&lt;=2000,IF(INDEX(包装物料出入库明细!$E$4:$E$2003,$Z1139-0)=0,"",INDEX(包装物料出入库明细!$E$4:$E$2003,$Z1139-0)),IF($Z1139&lt;=4000,IF(INDEX(周转筐出入库明细!$D$4:$D$2004,$Z1139-2000)=0,"",INDEX(周转筐出入库明细!$D$4:$D$2004,$Z1139-2000)),IF($Z1139&lt;=5200,IF(INDEX(客户自备加工筐明细!$C$4:$C$1203,$Z1139-4000)=0,"",INDEX(客户自备加工筐明细!$C$4:$C$1203,$Z1139-4000)),IF($Z1139&lt;=5800,IF(INDEX(次果筐明细!$D$4:$D$603,$Z1139-5200)=0,"",INDEX(次果筐明细!$D$4:$D$603,$Z1139-5200)),"")))))</f>
        <v/>
      </c>
      <c r="G1139" s="24" t="str">
        <f>IF($Z1139="","",IF($Z1139&lt;=2000,IF(INDEX(包装物料出入库明细!$F$4:$F$2003,$Z1139-0)=0,"",INDEX(包装物料出入库明细!$F$4:$F$2003,$Z1139-0)),IF($Z1139&lt;=4000,"",IF($Z1139&lt;=5200,"",IF($Z1139&lt;=5800,"","")))))</f>
        <v/>
      </c>
      <c r="H1139" s="39" t="str">
        <f>IF($Z1139="","",IF($Z1139&lt;=2000,IF(INDEX(包装物料出入库明细!$L$4:$L$2003,$Z1139-0)=0,"",INDEX(包装物料出入库明细!$L$4:$L$2003,$Z1139-0)),IF($Z1139&lt;=4000,N(INDEX(周转筐出入库明细!$H$4:$H$2004,$Z1139-2000))+N(INDEX(周转筐出入库明细!$I$4:$I$2004,$Z1139-2000))+N(INDEX(周转筐出入库明细!$J$4:$J$2004,$Z1139-2000))+N(INDEX(周转筐出入库明细!$K$4:$K$2004,$Z1139-2000)),IF($Z1139&lt;=5200,N(INDEX(客户自备加工筐明细!$F$4:$F$1203,$Z1139-4000))+N(INDEX(客户自备加工筐明细!$G$4:$G$1203,$Z1139-4000)),IF($Z1139&lt;=5800,IF(INDEX(次果筐明细!$G$4:$G$603,$Z1139-5200)=0,"",INDEX(次果筐明细!$G$4:$G$603,$Z1139-5200)),"")))))</f>
        <v/>
      </c>
      <c r="I1139" s="24" t="str">
        <f>IF($Z1139="","",IF($Z1139&lt;=2000,IF(INDEX(包装物料出入库明细!$G$4:$G$2003,$Z1139-0)=0,"",INDEX(包装物料出入库明细!$G$4:$G$2003,$Z1139-0)),IF($Z1139&lt;=4000,"个",IF($Z1139&lt;=5200,"个",IF($Z1139&lt;=5800,"个","")))))</f>
        <v/>
      </c>
      <c r="J1139" s="30" t="str">
        <f t="shared" si="52"/>
        <v/>
      </c>
      <c r="K1139" s="30" t="str">
        <f>IF($Z1139="","",IF($Z1139&lt;=2000,IF(INDEX(包装物料出入库明细!$N$4:$N$2003,$Z1139-0)=0,"",INDEX(包装物料出入库明细!$N$4:$N$2003,$Z1139-0)),IF($Z1139&lt;=4000,IF(INDEX(周转筐出入库明细!$P$4:$P$2004,$Z1139-2000)=0,"",INDEX(周转筐出入库明细!$P$4:$P$2004,$Z1139-2000)),IF($Z1139&lt;=5200,"",IF($Z1139&lt;=5800,N(INDEX(次果筐明细!$L$4:$L$603,$Z1139-5200))+N(INDEX(次果筐明细!$J$4:$J$603,$Z1139-5200)),"")))))</f>
        <v/>
      </c>
      <c r="L1139" s="24" t="str">
        <f>IF($Z1139="","",IF($Z1139&lt;=2000,IF(INDEX(包装物料出入库明细!$P$4:$P$2003,$Z1139-0)=0,"",INDEX(包装物料出入库明细!$P$4:$P$2003,$Z1139-0)),IF($Z1139&lt;=4000,IF(INDEX(周转筐出入库明细!$Q$4:$Q$2004,$Z1139-2000)=0,"",INDEX(周转筐出入库明细!$Q$4:$Q$2004,$Z1139-2000)),IF($Z1139&lt;=5200,"",IF($Z1139&lt;=5800,IF(INDEX(次果筐明细!$M$4:$M$603,$Z1139-5200)=0,"",INDEX(次果筐明细!$M$4:$M$603,$Z1139-5200)),"")))))</f>
        <v/>
      </c>
      <c r="M1139" s="37" t="str">
        <f>IF($Z1139="","",IF($Z1139&lt;=2000,IF(INDEX(包装物料出入库明细!$R$4:$R$2003,$Z1139-0)=0,"",INDEX(包装物料出入库明细!$R$4:$R$2003,$Z1139-0)),IF($Z1139&lt;=4000,IF(INDEX(周转筐出入库明细!$W$4:$W$2004,$Z1139-2000)=0,"",INDEX(周转筐出入库明细!$W$4:$W$2004,$Z1139-2000)),IF($Z1139&lt;=5200,IF(INDEX(客户自备加工筐明细!$L$4:$L$1203,$Z1139-4000)=0,"",INDEX(客户自备加工筐明细!$L$4:$L$1203,$Z1139-4000)),IF($Z1139&lt;=5800,IF(INDEX(次果筐明细!$P$4:$P$603,$Z1139-5200)=0,"",INDEX(次果筐明细!$P$4:$P$603,$Z1139-5200)),"")))))</f>
        <v/>
      </c>
      <c r="N1139" s="16" t="str">
        <f>IF($Z1139="","",IF($Z1139&lt;=2000,"",IF($Z1139&lt;=4000,IF(INDEX(周转筐出入库明细!$D$4:$D$2004,$Z1139-2000)=0,"",INDEX(周转筐出入库明细!$D$4:$D$2004,$Z1139-2000)),IF($Z1139&lt;=5200,IF(INDEX(客户自备加工筐明细!$C$4:$C$1203,$Z1139-4000)=0,"",INDEX(客户自备加工筐明细!$C$4:$C$1203,$Z1139-4000)),IF($Z1139&lt;=5800,IF(INDEX(次果筐明细!$D$4:$D$603,$Z1139-5200)=0,"",INDEX(次果筐明细!$D$4:$D$603,$Z1139-5200)),"")))))</f>
        <v/>
      </c>
      <c r="O1139" s="40" t="str">
        <f>IF($Z1139="","",IF($Z1139&lt;=2000,"",IF($Z1139&lt;=4000,IF(N(INDEX(周转筐出入库明细!$J$4:$J$2004,$Z1139-2000))+N(INDEX(周转筐出入库明细!$K$4:$K$2004,$Z1139-2000))=0,"",N(INDEX(周转筐出入库明细!$J$4:$J$2004,$Z1139-2000))+N(INDEX(周转筐出入库明细!$K$4:$K$2004,$Z1139-2000))),IF($Z1139&lt;=5200,IF(N(INDEX(客户自备加工筐明细!$G$4:$G$1203,$Z1139-4000))=0,"",N(INDEX(客户自备加工筐明细!$G$4:$G$1203,$Z1139-4000))),IF($Z1139&lt;=5800,IF(ISNUMBER(SEARCH("退",INDEX(次果筐明细!$F$4:$F$603,$Z1139-5200)&amp;"")),"",IF(N(INDEX(次果筐明细!$G$4:$G$603,$Z1139-5200))=0,"",N(INDEX(次果筐明细!$G$4:$G$603,$Z1139-5200)))),"")))))</f>
        <v/>
      </c>
      <c r="P1139" s="40" t="str">
        <f>IF($Z1139="","",IF($Z1139&lt;=2000,"",IF($Z1139&lt;=4000,IF(N(INDEX(周转筐出入库明细!$I$4:$I$2004,$Z1139-2000))=0,"",N(INDEX(周转筐出入库明细!$I$4:$I$2004,$Z1139-2000))),IF($Z1139&lt;=5200,"",IF($Z1139&lt;=5800,IF(ISNUMBER(SEARCH("退",INDEX(次果筐明细!$F$4:$F$603,$Z1139-5200)&amp;"")),IF(N(INDEX(次果筐明细!$G$4:$G$603,$Z1139-5200))=0,"",N(INDEX(次果筐明细!$G$4:$G$603,$Z1139-5200))),""),"")))))</f>
        <v/>
      </c>
      <c r="Q1139" s="40" t="str">
        <f>IF($Z1139="","",IF($Z1139&lt;=2000,"",IF($Z1139&lt;=4000,IF(N(INDEX(周转筐出入库明细!$H$4:$H$2004,$Z1139-2000))=0,"",N(INDEX(周转筐出入库明细!$H$4:$H$2004,$Z1139-2000))),IF($Z1139&lt;=5200,IF(N(INDEX(客户自备加工筐明细!$F$4:$F$1203,$Z1139-4000))=0,"",N(INDEX(客户自备加工筐明细!$F$4:$F$1203,$Z1139-4000))),IF($Z1139&lt;=5800,"","")))))</f>
        <v/>
      </c>
      <c r="R1139" s="16" t="str">
        <f>IF($Z1139="","",IF($Z1139&lt;=2000,IF(INDEX(包装物料出入库明细!$O$4:$O$2003,$Z1139-0)=0,"",INDEX(包装物料出入库明细!$O$4:$O$2003,$Z1139-0)),IF($Z1139&lt;=4000,IF(INDEX(周转筐出入库明细!$M$4:$M$2004,$Z1139-2000)=0,"",INDEX(周转筐出入库明细!$M$4:$M$2004,$Z1139-2000)),IF($Z1139&lt;=5200,IF(INDEX(客户自备加工筐明细!$H$4:$H$1203,$Z1139-4000)=0,"",INDEX(客户自备加工筐明细!$H$4:$H$1203,$Z1139-4000)),IF($Z1139&lt;=5800,IF(INDEX(次果筐明细!$H$4:$H$603,$Z1139-5200)=0,"",INDEX(次果筐明细!$H$4:$H$603,$Z1139-5200)),"")))))</f>
        <v/>
      </c>
      <c r="S1139" s="22" t="str">
        <f t="shared" si="53"/>
        <v/>
      </c>
      <c r="Z1139" s="10" t="str">
        <f>IFERROR(MATCH(ROW()-3,_自动清单!$CQ$4:$CQ$5803,0),"")</f>
        <v/>
      </c>
    </row>
    <row r="1140" spans="1:26">
      <c r="A1140" s="24" t="str">
        <f t="shared" si="51"/>
        <v/>
      </c>
      <c r="B1140" s="38" t="str">
        <f>IF($Z1140="","",IF($Z1140&lt;=2000,IF(INDEX(包装物料出入库明细!$B$4:$B$2003,$Z1140-0)=0,"",INDEX(包装物料出入库明细!$B$4:$B$2003,$Z1140-0)),IF($Z1140&lt;=4000,IF(INDEX(周转筐出入库明细!$B$4:$B$2004,$Z1140-2000)=0,"",INDEX(周转筐出入库明细!$B$4:$B$2004,$Z1140-2000)),IF($Z1140&lt;=5200,IF(INDEX(客户自备加工筐明细!$B$4:$B$1203,$Z1140-4000)=0,"",INDEX(客户自备加工筐明细!$B$4:$B$1203,$Z1140-4000)),IF($Z1140&lt;=5800,IF(INDEX(次果筐明细!$B$4:$B$603,$Z1140-5200)=0,"",INDEX(次果筐明细!$B$4:$B$603,$Z1140-5200)),"")))))</f>
        <v/>
      </c>
      <c r="C1140" s="37" t="str">
        <f>IF($Z1140="","",IF($Z1140&lt;=2000,IF(INDEX(包装物料出入库明细!$D$4:$D$2003,$Z1140-0)=0,"",INDEX(包装物料出入库明细!$D$4:$D$2003,$Z1140-0)),IF($Z1140&lt;=4000,IF(INDEX(周转筐出入库明细!$C$4:$C$2004,$Z1140-2000)=0,"",INDEX(周转筐出入库明细!$C$4:$C$2004,$Z1140-2000)),IF($Z1140&lt;=5200,IF(INDEX(客户自备加工筐明细!$E$4:$E$1203,$Z1140-4000)=0,"",INDEX(客户自备加工筐明细!$E$4:$E$1203,$Z1140-4000)),IF($Z1140&lt;=5800,IF(INDEX(次果筐明细!$C$4:$C$603,$Z1140-5200)=0,"",INDEX(次果筐明细!$C$4:$C$603,$Z1140-5200)),"")))))</f>
        <v/>
      </c>
      <c r="D1140" s="37" t="str">
        <f>IF($Z1140="","",IF($Z1140&lt;=2000,"包装物料－"&amp;INDEX(包装物料出入库明细!$H$4:$H$2003,$Z1140-0),IF($Z1140&lt;=4000,"周转筐－"&amp;INDEX(周转筐出入库明细!$F$4:$F$2004,$Z1140-2000),IF($Z1140&lt;=5200,"客户自备筐－"&amp;INDEX(客户自备加工筐明细!$J$4:$J$1203,$Z1140-4000),IF($Z1140&lt;=5800,"次果筐/托盘－"&amp;INDEX(次果筐明细!$F$4:$F$603,$Z1140-5200),"")))))</f>
        <v/>
      </c>
      <c r="E1140" s="24" t="str">
        <f>IF($Z1140="","",IF($Z1140&lt;=2000,IF(INDEX(包装物料出入库明细!$C$4:$C$2003,$Z1140-0)=0,"",INDEX(包装物料出入库明细!$C$4:$C$2003,$Z1140-0)),IF($Z1140&lt;=4000,IF(INDEX(周转筐出入库明细!$E$4:$E$2004,$Z1140-2000)=0,"",INDEX(周转筐出入库明细!$E$4:$E$2004,$Z1140-2000)),IF($Z1140&lt;=5200,IF(INDEX(客户自备加工筐明细!$D$4:$D$1203,$Z1140-4000)=0,"",INDEX(客户自备加工筐明细!$D$4:$D$1203,$Z1140-4000)),IF($Z1140&lt;=5800,IF(INDEX(次果筐明细!$E$4:$E$603,$Z1140-5200)=0,"",INDEX(次果筐明细!$E$4:$E$603,$Z1140-5200)),"")))))</f>
        <v/>
      </c>
      <c r="F1140" s="24" t="str">
        <f>IF($Z1140="","",IF($Z1140&lt;=2000,IF(INDEX(包装物料出入库明细!$E$4:$E$2003,$Z1140-0)=0,"",INDEX(包装物料出入库明细!$E$4:$E$2003,$Z1140-0)),IF($Z1140&lt;=4000,IF(INDEX(周转筐出入库明细!$D$4:$D$2004,$Z1140-2000)=0,"",INDEX(周转筐出入库明细!$D$4:$D$2004,$Z1140-2000)),IF($Z1140&lt;=5200,IF(INDEX(客户自备加工筐明细!$C$4:$C$1203,$Z1140-4000)=0,"",INDEX(客户自备加工筐明细!$C$4:$C$1203,$Z1140-4000)),IF($Z1140&lt;=5800,IF(INDEX(次果筐明细!$D$4:$D$603,$Z1140-5200)=0,"",INDEX(次果筐明细!$D$4:$D$603,$Z1140-5200)),"")))))</f>
        <v/>
      </c>
      <c r="G1140" s="24" t="str">
        <f>IF($Z1140="","",IF($Z1140&lt;=2000,IF(INDEX(包装物料出入库明细!$F$4:$F$2003,$Z1140-0)=0,"",INDEX(包装物料出入库明细!$F$4:$F$2003,$Z1140-0)),IF($Z1140&lt;=4000,"",IF($Z1140&lt;=5200,"",IF($Z1140&lt;=5800,"","")))))</f>
        <v/>
      </c>
      <c r="H1140" s="39" t="str">
        <f>IF($Z1140="","",IF($Z1140&lt;=2000,IF(INDEX(包装物料出入库明细!$L$4:$L$2003,$Z1140-0)=0,"",INDEX(包装物料出入库明细!$L$4:$L$2003,$Z1140-0)),IF($Z1140&lt;=4000,N(INDEX(周转筐出入库明细!$H$4:$H$2004,$Z1140-2000))+N(INDEX(周转筐出入库明细!$I$4:$I$2004,$Z1140-2000))+N(INDEX(周转筐出入库明细!$J$4:$J$2004,$Z1140-2000))+N(INDEX(周转筐出入库明细!$K$4:$K$2004,$Z1140-2000)),IF($Z1140&lt;=5200,N(INDEX(客户自备加工筐明细!$F$4:$F$1203,$Z1140-4000))+N(INDEX(客户自备加工筐明细!$G$4:$G$1203,$Z1140-4000)),IF($Z1140&lt;=5800,IF(INDEX(次果筐明细!$G$4:$G$603,$Z1140-5200)=0,"",INDEX(次果筐明细!$G$4:$G$603,$Z1140-5200)),"")))))</f>
        <v/>
      </c>
      <c r="I1140" s="24" t="str">
        <f>IF($Z1140="","",IF($Z1140&lt;=2000,IF(INDEX(包装物料出入库明细!$G$4:$G$2003,$Z1140-0)=0,"",INDEX(包装物料出入库明细!$G$4:$G$2003,$Z1140-0)),IF($Z1140&lt;=4000,"个",IF($Z1140&lt;=5200,"个",IF($Z1140&lt;=5800,"个","")))))</f>
        <v/>
      </c>
      <c r="J1140" s="30" t="str">
        <f t="shared" si="52"/>
        <v/>
      </c>
      <c r="K1140" s="30" t="str">
        <f>IF($Z1140="","",IF($Z1140&lt;=2000,IF(INDEX(包装物料出入库明细!$N$4:$N$2003,$Z1140-0)=0,"",INDEX(包装物料出入库明细!$N$4:$N$2003,$Z1140-0)),IF($Z1140&lt;=4000,IF(INDEX(周转筐出入库明细!$P$4:$P$2004,$Z1140-2000)=0,"",INDEX(周转筐出入库明细!$P$4:$P$2004,$Z1140-2000)),IF($Z1140&lt;=5200,"",IF($Z1140&lt;=5800,N(INDEX(次果筐明细!$L$4:$L$603,$Z1140-5200))+N(INDEX(次果筐明细!$J$4:$J$603,$Z1140-5200)),"")))))</f>
        <v/>
      </c>
      <c r="L1140" s="24" t="str">
        <f>IF($Z1140="","",IF($Z1140&lt;=2000,IF(INDEX(包装物料出入库明细!$P$4:$P$2003,$Z1140-0)=0,"",INDEX(包装物料出入库明细!$P$4:$P$2003,$Z1140-0)),IF($Z1140&lt;=4000,IF(INDEX(周转筐出入库明细!$Q$4:$Q$2004,$Z1140-2000)=0,"",INDEX(周转筐出入库明细!$Q$4:$Q$2004,$Z1140-2000)),IF($Z1140&lt;=5200,"",IF($Z1140&lt;=5800,IF(INDEX(次果筐明细!$M$4:$M$603,$Z1140-5200)=0,"",INDEX(次果筐明细!$M$4:$M$603,$Z1140-5200)),"")))))</f>
        <v/>
      </c>
      <c r="M1140" s="37" t="str">
        <f>IF($Z1140="","",IF($Z1140&lt;=2000,IF(INDEX(包装物料出入库明细!$R$4:$R$2003,$Z1140-0)=0,"",INDEX(包装物料出入库明细!$R$4:$R$2003,$Z1140-0)),IF($Z1140&lt;=4000,IF(INDEX(周转筐出入库明细!$W$4:$W$2004,$Z1140-2000)=0,"",INDEX(周转筐出入库明细!$W$4:$W$2004,$Z1140-2000)),IF($Z1140&lt;=5200,IF(INDEX(客户自备加工筐明细!$L$4:$L$1203,$Z1140-4000)=0,"",INDEX(客户自备加工筐明细!$L$4:$L$1203,$Z1140-4000)),IF($Z1140&lt;=5800,IF(INDEX(次果筐明细!$P$4:$P$603,$Z1140-5200)=0,"",INDEX(次果筐明细!$P$4:$P$603,$Z1140-5200)),"")))))</f>
        <v/>
      </c>
      <c r="N1140" s="16" t="str">
        <f>IF($Z1140="","",IF($Z1140&lt;=2000,"",IF($Z1140&lt;=4000,IF(INDEX(周转筐出入库明细!$D$4:$D$2004,$Z1140-2000)=0,"",INDEX(周转筐出入库明细!$D$4:$D$2004,$Z1140-2000)),IF($Z1140&lt;=5200,IF(INDEX(客户自备加工筐明细!$C$4:$C$1203,$Z1140-4000)=0,"",INDEX(客户自备加工筐明细!$C$4:$C$1203,$Z1140-4000)),IF($Z1140&lt;=5800,IF(INDEX(次果筐明细!$D$4:$D$603,$Z1140-5200)=0,"",INDEX(次果筐明细!$D$4:$D$603,$Z1140-5200)),"")))))</f>
        <v/>
      </c>
      <c r="O1140" s="40" t="str">
        <f>IF($Z1140="","",IF($Z1140&lt;=2000,"",IF($Z1140&lt;=4000,IF(N(INDEX(周转筐出入库明细!$J$4:$J$2004,$Z1140-2000))+N(INDEX(周转筐出入库明细!$K$4:$K$2004,$Z1140-2000))=0,"",N(INDEX(周转筐出入库明细!$J$4:$J$2004,$Z1140-2000))+N(INDEX(周转筐出入库明细!$K$4:$K$2004,$Z1140-2000))),IF($Z1140&lt;=5200,IF(N(INDEX(客户自备加工筐明细!$G$4:$G$1203,$Z1140-4000))=0,"",N(INDEX(客户自备加工筐明细!$G$4:$G$1203,$Z1140-4000))),IF($Z1140&lt;=5800,IF(ISNUMBER(SEARCH("退",INDEX(次果筐明细!$F$4:$F$603,$Z1140-5200)&amp;"")),"",IF(N(INDEX(次果筐明细!$G$4:$G$603,$Z1140-5200))=0,"",N(INDEX(次果筐明细!$G$4:$G$603,$Z1140-5200)))),"")))))</f>
        <v/>
      </c>
      <c r="P1140" s="40" t="str">
        <f>IF($Z1140="","",IF($Z1140&lt;=2000,"",IF($Z1140&lt;=4000,IF(N(INDEX(周转筐出入库明细!$I$4:$I$2004,$Z1140-2000))=0,"",N(INDEX(周转筐出入库明细!$I$4:$I$2004,$Z1140-2000))),IF($Z1140&lt;=5200,"",IF($Z1140&lt;=5800,IF(ISNUMBER(SEARCH("退",INDEX(次果筐明细!$F$4:$F$603,$Z1140-5200)&amp;"")),IF(N(INDEX(次果筐明细!$G$4:$G$603,$Z1140-5200))=0,"",N(INDEX(次果筐明细!$G$4:$G$603,$Z1140-5200))),""),"")))))</f>
        <v/>
      </c>
      <c r="Q1140" s="40" t="str">
        <f>IF($Z1140="","",IF($Z1140&lt;=2000,"",IF($Z1140&lt;=4000,IF(N(INDEX(周转筐出入库明细!$H$4:$H$2004,$Z1140-2000))=0,"",N(INDEX(周转筐出入库明细!$H$4:$H$2004,$Z1140-2000))),IF($Z1140&lt;=5200,IF(N(INDEX(客户自备加工筐明细!$F$4:$F$1203,$Z1140-4000))=0,"",N(INDEX(客户自备加工筐明细!$F$4:$F$1203,$Z1140-4000))),IF($Z1140&lt;=5800,"","")))))</f>
        <v/>
      </c>
      <c r="R1140" s="16" t="str">
        <f>IF($Z1140="","",IF($Z1140&lt;=2000,IF(INDEX(包装物料出入库明细!$O$4:$O$2003,$Z1140-0)=0,"",INDEX(包装物料出入库明细!$O$4:$O$2003,$Z1140-0)),IF($Z1140&lt;=4000,IF(INDEX(周转筐出入库明细!$M$4:$M$2004,$Z1140-2000)=0,"",INDEX(周转筐出入库明细!$M$4:$M$2004,$Z1140-2000)),IF($Z1140&lt;=5200,IF(INDEX(客户自备加工筐明细!$H$4:$H$1203,$Z1140-4000)=0,"",INDEX(客户自备加工筐明细!$H$4:$H$1203,$Z1140-4000)),IF($Z1140&lt;=5800,IF(INDEX(次果筐明细!$H$4:$H$603,$Z1140-5200)=0,"",INDEX(次果筐明细!$H$4:$H$603,$Z1140-5200)),"")))))</f>
        <v/>
      </c>
      <c r="S1140" s="22" t="str">
        <f t="shared" si="53"/>
        <v/>
      </c>
      <c r="Z1140" s="10" t="str">
        <f>IFERROR(MATCH(ROW()-3,_自动清单!$CQ$4:$CQ$5803,0),"")</f>
        <v/>
      </c>
    </row>
    <row r="1141" spans="1:26">
      <c r="A1141" s="24" t="str">
        <f t="shared" si="51"/>
        <v/>
      </c>
      <c r="B1141" s="38" t="str">
        <f>IF($Z1141="","",IF($Z1141&lt;=2000,IF(INDEX(包装物料出入库明细!$B$4:$B$2003,$Z1141-0)=0,"",INDEX(包装物料出入库明细!$B$4:$B$2003,$Z1141-0)),IF($Z1141&lt;=4000,IF(INDEX(周转筐出入库明细!$B$4:$B$2004,$Z1141-2000)=0,"",INDEX(周转筐出入库明细!$B$4:$B$2004,$Z1141-2000)),IF($Z1141&lt;=5200,IF(INDEX(客户自备加工筐明细!$B$4:$B$1203,$Z1141-4000)=0,"",INDEX(客户自备加工筐明细!$B$4:$B$1203,$Z1141-4000)),IF($Z1141&lt;=5800,IF(INDEX(次果筐明细!$B$4:$B$603,$Z1141-5200)=0,"",INDEX(次果筐明细!$B$4:$B$603,$Z1141-5200)),"")))))</f>
        <v/>
      </c>
      <c r="C1141" s="37" t="str">
        <f>IF($Z1141="","",IF($Z1141&lt;=2000,IF(INDEX(包装物料出入库明细!$D$4:$D$2003,$Z1141-0)=0,"",INDEX(包装物料出入库明细!$D$4:$D$2003,$Z1141-0)),IF($Z1141&lt;=4000,IF(INDEX(周转筐出入库明细!$C$4:$C$2004,$Z1141-2000)=0,"",INDEX(周转筐出入库明细!$C$4:$C$2004,$Z1141-2000)),IF($Z1141&lt;=5200,IF(INDEX(客户自备加工筐明细!$E$4:$E$1203,$Z1141-4000)=0,"",INDEX(客户自备加工筐明细!$E$4:$E$1203,$Z1141-4000)),IF($Z1141&lt;=5800,IF(INDEX(次果筐明细!$C$4:$C$603,$Z1141-5200)=0,"",INDEX(次果筐明细!$C$4:$C$603,$Z1141-5200)),"")))))</f>
        <v/>
      </c>
      <c r="D1141" s="37" t="str">
        <f>IF($Z1141="","",IF($Z1141&lt;=2000,"包装物料－"&amp;INDEX(包装物料出入库明细!$H$4:$H$2003,$Z1141-0),IF($Z1141&lt;=4000,"周转筐－"&amp;INDEX(周转筐出入库明细!$F$4:$F$2004,$Z1141-2000),IF($Z1141&lt;=5200,"客户自备筐－"&amp;INDEX(客户自备加工筐明细!$J$4:$J$1203,$Z1141-4000),IF($Z1141&lt;=5800,"次果筐/托盘－"&amp;INDEX(次果筐明细!$F$4:$F$603,$Z1141-5200),"")))))</f>
        <v/>
      </c>
      <c r="E1141" s="24" t="str">
        <f>IF($Z1141="","",IF($Z1141&lt;=2000,IF(INDEX(包装物料出入库明细!$C$4:$C$2003,$Z1141-0)=0,"",INDEX(包装物料出入库明细!$C$4:$C$2003,$Z1141-0)),IF($Z1141&lt;=4000,IF(INDEX(周转筐出入库明细!$E$4:$E$2004,$Z1141-2000)=0,"",INDEX(周转筐出入库明细!$E$4:$E$2004,$Z1141-2000)),IF($Z1141&lt;=5200,IF(INDEX(客户自备加工筐明细!$D$4:$D$1203,$Z1141-4000)=0,"",INDEX(客户自备加工筐明细!$D$4:$D$1203,$Z1141-4000)),IF($Z1141&lt;=5800,IF(INDEX(次果筐明细!$E$4:$E$603,$Z1141-5200)=0,"",INDEX(次果筐明细!$E$4:$E$603,$Z1141-5200)),"")))))</f>
        <v/>
      </c>
      <c r="F1141" s="24" t="str">
        <f>IF($Z1141="","",IF($Z1141&lt;=2000,IF(INDEX(包装物料出入库明细!$E$4:$E$2003,$Z1141-0)=0,"",INDEX(包装物料出入库明细!$E$4:$E$2003,$Z1141-0)),IF($Z1141&lt;=4000,IF(INDEX(周转筐出入库明细!$D$4:$D$2004,$Z1141-2000)=0,"",INDEX(周转筐出入库明细!$D$4:$D$2004,$Z1141-2000)),IF($Z1141&lt;=5200,IF(INDEX(客户自备加工筐明细!$C$4:$C$1203,$Z1141-4000)=0,"",INDEX(客户自备加工筐明细!$C$4:$C$1203,$Z1141-4000)),IF($Z1141&lt;=5800,IF(INDEX(次果筐明细!$D$4:$D$603,$Z1141-5200)=0,"",INDEX(次果筐明细!$D$4:$D$603,$Z1141-5200)),"")))))</f>
        <v/>
      </c>
      <c r="G1141" s="24" t="str">
        <f>IF($Z1141="","",IF($Z1141&lt;=2000,IF(INDEX(包装物料出入库明细!$F$4:$F$2003,$Z1141-0)=0,"",INDEX(包装物料出入库明细!$F$4:$F$2003,$Z1141-0)),IF($Z1141&lt;=4000,"",IF($Z1141&lt;=5200,"",IF($Z1141&lt;=5800,"","")))))</f>
        <v/>
      </c>
      <c r="H1141" s="39" t="str">
        <f>IF($Z1141="","",IF($Z1141&lt;=2000,IF(INDEX(包装物料出入库明细!$L$4:$L$2003,$Z1141-0)=0,"",INDEX(包装物料出入库明细!$L$4:$L$2003,$Z1141-0)),IF($Z1141&lt;=4000,N(INDEX(周转筐出入库明细!$H$4:$H$2004,$Z1141-2000))+N(INDEX(周转筐出入库明细!$I$4:$I$2004,$Z1141-2000))+N(INDEX(周转筐出入库明细!$J$4:$J$2004,$Z1141-2000))+N(INDEX(周转筐出入库明细!$K$4:$K$2004,$Z1141-2000)),IF($Z1141&lt;=5200,N(INDEX(客户自备加工筐明细!$F$4:$F$1203,$Z1141-4000))+N(INDEX(客户自备加工筐明细!$G$4:$G$1203,$Z1141-4000)),IF($Z1141&lt;=5800,IF(INDEX(次果筐明细!$G$4:$G$603,$Z1141-5200)=0,"",INDEX(次果筐明细!$G$4:$G$603,$Z1141-5200)),"")))))</f>
        <v/>
      </c>
      <c r="I1141" s="24" t="str">
        <f>IF($Z1141="","",IF($Z1141&lt;=2000,IF(INDEX(包装物料出入库明细!$G$4:$G$2003,$Z1141-0)=0,"",INDEX(包装物料出入库明细!$G$4:$G$2003,$Z1141-0)),IF($Z1141&lt;=4000,"个",IF($Z1141&lt;=5200,"个",IF($Z1141&lt;=5800,"个","")))))</f>
        <v/>
      </c>
      <c r="J1141" s="30" t="str">
        <f t="shared" si="52"/>
        <v/>
      </c>
      <c r="K1141" s="30" t="str">
        <f>IF($Z1141="","",IF($Z1141&lt;=2000,IF(INDEX(包装物料出入库明细!$N$4:$N$2003,$Z1141-0)=0,"",INDEX(包装物料出入库明细!$N$4:$N$2003,$Z1141-0)),IF($Z1141&lt;=4000,IF(INDEX(周转筐出入库明细!$P$4:$P$2004,$Z1141-2000)=0,"",INDEX(周转筐出入库明细!$P$4:$P$2004,$Z1141-2000)),IF($Z1141&lt;=5200,"",IF($Z1141&lt;=5800,N(INDEX(次果筐明细!$L$4:$L$603,$Z1141-5200))+N(INDEX(次果筐明细!$J$4:$J$603,$Z1141-5200)),"")))))</f>
        <v/>
      </c>
      <c r="L1141" s="24" t="str">
        <f>IF($Z1141="","",IF($Z1141&lt;=2000,IF(INDEX(包装物料出入库明细!$P$4:$P$2003,$Z1141-0)=0,"",INDEX(包装物料出入库明细!$P$4:$P$2003,$Z1141-0)),IF($Z1141&lt;=4000,IF(INDEX(周转筐出入库明细!$Q$4:$Q$2004,$Z1141-2000)=0,"",INDEX(周转筐出入库明细!$Q$4:$Q$2004,$Z1141-2000)),IF($Z1141&lt;=5200,"",IF($Z1141&lt;=5800,IF(INDEX(次果筐明细!$M$4:$M$603,$Z1141-5200)=0,"",INDEX(次果筐明细!$M$4:$M$603,$Z1141-5200)),"")))))</f>
        <v/>
      </c>
      <c r="M1141" s="37" t="str">
        <f>IF($Z1141="","",IF($Z1141&lt;=2000,IF(INDEX(包装物料出入库明细!$R$4:$R$2003,$Z1141-0)=0,"",INDEX(包装物料出入库明细!$R$4:$R$2003,$Z1141-0)),IF($Z1141&lt;=4000,IF(INDEX(周转筐出入库明细!$W$4:$W$2004,$Z1141-2000)=0,"",INDEX(周转筐出入库明细!$W$4:$W$2004,$Z1141-2000)),IF($Z1141&lt;=5200,IF(INDEX(客户自备加工筐明细!$L$4:$L$1203,$Z1141-4000)=0,"",INDEX(客户自备加工筐明细!$L$4:$L$1203,$Z1141-4000)),IF($Z1141&lt;=5800,IF(INDEX(次果筐明细!$P$4:$P$603,$Z1141-5200)=0,"",INDEX(次果筐明细!$P$4:$P$603,$Z1141-5200)),"")))))</f>
        <v/>
      </c>
      <c r="N1141" s="16" t="str">
        <f>IF($Z1141="","",IF($Z1141&lt;=2000,"",IF($Z1141&lt;=4000,IF(INDEX(周转筐出入库明细!$D$4:$D$2004,$Z1141-2000)=0,"",INDEX(周转筐出入库明细!$D$4:$D$2004,$Z1141-2000)),IF($Z1141&lt;=5200,IF(INDEX(客户自备加工筐明细!$C$4:$C$1203,$Z1141-4000)=0,"",INDEX(客户自备加工筐明细!$C$4:$C$1203,$Z1141-4000)),IF($Z1141&lt;=5800,IF(INDEX(次果筐明细!$D$4:$D$603,$Z1141-5200)=0,"",INDEX(次果筐明细!$D$4:$D$603,$Z1141-5200)),"")))))</f>
        <v/>
      </c>
      <c r="O1141" s="40" t="str">
        <f>IF($Z1141="","",IF($Z1141&lt;=2000,"",IF($Z1141&lt;=4000,IF(N(INDEX(周转筐出入库明细!$J$4:$J$2004,$Z1141-2000))+N(INDEX(周转筐出入库明细!$K$4:$K$2004,$Z1141-2000))=0,"",N(INDEX(周转筐出入库明细!$J$4:$J$2004,$Z1141-2000))+N(INDEX(周转筐出入库明细!$K$4:$K$2004,$Z1141-2000))),IF($Z1141&lt;=5200,IF(N(INDEX(客户自备加工筐明细!$G$4:$G$1203,$Z1141-4000))=0,"",N(INDEX(客户自备加工筐明细!$G$4:$G$1203,$Z1141-4000))),IF($Z1141&lt;=5800,IF(ISNUMBER(SEARCH("退",INDEX(次果筐明细!$F$4:$F$603,$Z1141-5200)&amp;"")),"",IF(N(INDEX(次果筐明细!$G$4:$G$603,$Z1141-5200))=0,"",N(INDEX(次果筐明细!$G$4:$G$603,$Z1141-5200)))),"")))))</f>
        <v/>
      </c>
      <c r="P1141" s="40" t="str">
        <f>IF($Z1141="","",IF($Z1141&lt;=2000,"",IF($Z1141&lt;=4000,IF(N(INDEX(周转筐出入库明细!$I$4:$I$2004,$Z1141-2000))=0,"",N(INDEX(周转筐出入库明细!$I$4:$I$2004,$Z1141-2000))),IF($Z1141&lt;=5200,"",IF($Z1141&lt;=5800,IF(ISNUMBER(SEARCH("退",INDEX(次果筐明细!$F$4:$F$603,$Z1141-5200)&amp;"")),IF(N(INDEX(次果筐明细!$G$4:$G$603,$Z1141-5200))=0,"",N(INDEX(次果筐明细!$G$4:$G$603,$Z1141-5200))),""),"")))))</f>
        <v/>
      </c>
      <c r="Q1141" s="40" t="str">
        <f>IF($Z1141="","",IF($Z1141&lt;=2000,"",IF($Z1141&lt;=4000,IF(N(INDEX(周转筐出入库明细!$H$4:$H$2004,$Z1141-2000))=0,"",N(INDEX(周转筐出入库明细!$H$4:$H$2004,$Z1141-2000))),IF($Z1141&lt;=5200,IF(N(INDEX(客户自备加工筐明细!$F$4:$F$1203,$Z1141-4000))=0,"",N(INDEX(客户自备加工筐明细!$F$4:$F$1203,$Z1141-4000))),IF($Z1141&lt;=5800,"","")))))</f>
        <v/>
      </c>
      <c r="R1141" s="16" t="str">
        <f>IF($Z1141="","",IF($Z1141&lt;=2000,IF(INDEX(包装物料出入库明细!$O$4:$O$2003,$Z1141-0)=0,"",INDEX(包装物料出入库明细!$O$4:$O$2003,$Z1141-0)),IF($Z1141&lt;=4000,IF(INDEX(周转筐出入库明细!$M$4:$M$2004,$Z1141-2000)=0,"",INDEX(周转筐出入库明细!$M$4:$M$2004,$Z1141-2000)),IF($Z1141&lt;=5200,IF(INDEX(客户自备加工筐明细!$H$4:$H$1203,$Z1141-4000)=0,"",INDEX(客户自备加工筐明细!$H$4:$H$1203,$Z1141-4000)),IF($Z1141&lt;=5800,IF(INDEX(次果筐明细!$H$4:$H$603,$Z1141-5200)=0,"",INDEX(次果筐明细!$H$4:$H$603,$Z1141-5200)),"")))))</f>
        <v/>
      </c>
      <c r="S1141" s="22" t="str">
        <f t="shared" si="53"/>
        <v/>
      </c>
      <c r="Z1141" s="10" t="str">
        <f>IFERROR(MATCH(ROW()-3,_自动清单!$CQ$4:$CQ$5803,0),"")</f>
        <v/>
      </c>
    </row>
    <row r="1142" spans="1:26">
      <c r="A1142" s="24" t="str">
        <f t="shared" si="51"/>
        <v/>
      </c>
      <c r="B1142" s="38" t="str">
        <f>IF($Z1142="","",IF($Z1142&lt;=2000,IF(INDEX(包装物料出入库明细!$B$4:$B$2003,$Z1142-0)=0,"",INDEX(包装物料出入库明细!$B$4:$B$2003,$Z1142-0)),IF($Z1142&lt;=4000,IF(INDEX(周转筐出入库明细!$B$4:$B$2004,$Z1142-2000)=0,"",INDEX(周转筐出入库明细!$B$4:$B$2004,$Z1142-2000)),IF($Z1142&lt;=5200,IF(INDEX(客户自备加工筐明细!$B$4:$B$1203,$Z1142-4000)=0,"",INDEX(客户自备加工筐明细!$B$4:$B$1203,$Z1142-4000)),IF($Z1142&lt;=5800,IF(INDEX(次果筐明细!$B$4:$B$603,$Z1142-5200)=0,"",INDEX(次果筐明细!$B$4:$B$603,$Z1142-5200)),"")))))</f>
        <v/>
      </c>
      <c r="C1142" s="37" t="str">
        <f>IF($Z1142="","",IF($Z1142&lt;=2000,IF(INDEX(包装物料出入库明细!$D$4:$D$2003,$Z1142-0)=0,"",INDEX(包装物料出入库明细!$D$4:$D$2003,$Z1142-0)),IF($Z1142&lt;=4000,IF(INDEX(周转筐出入库明细!$C$4:$C$2004,$Z1142-2000)=0,"",INDEX(周转筐出入库明细!$C$4:$C$2004,$Z1142-2000)),IF($Z1142&lt;=5200,IF(INDEX(客户自备加工筐明细!$E$4:$E$1203,$Z1142-4000)=0,"",INDEX(客户自备加工筐明细!$E$4:$E$1203,$Z1142-4000)),IF($Z1142&lt;=5800,IF(INDEX(次果筐明细!$C$4:$C$603,$Z1142-5200)=0,"",INDEX(次果筐明细!$C$4:$C$603,$Z1142-5200)),"")))))</f>
        <v/>
      </c>
      <c r="D1142" s="37" t="str">
        <f>IF($Z1142="","",IF($Z1142&lt;=2000,"包装物料－"&amp;INDEX(包装物料出入库明细!$H$4:$H$2003,$Z1142-0),IF($Z1142&lt;=4000,"周转筐－"&amp;INDEX(周转筐出入库明细!$F$4:$F$2004,$Z1142-2000),IF($Z1142&lt;=5200,"客户自备筐－"&amp;INDEX(客户自备加工筐明细!$J$4:$J$1203,$Z1142-4000),IF($Z1142&lt;=5800,"次果筐/托盘－"&amp;INDEX(次果筐明细!$F$4:$F$603,$Z1142-5200),"")))))</f>
        <v/>
      </c>
      <c r="E1142" s="24" t="str">
        <f>IF($Z1142="","",IF($Z1142&lt;=2000,IF(INDEX(包装物料出入库明细!$C$4:$C$2003,$Z1142-0)=0,"",INDEX(包装物料出入库明细!$C$4:$C$2003,$Z1142-0)),IF($Z1142&lt;=4000,IF(INDEX(周转筐出入库明细!$E$4:$E$2004,$Z1142-2000)=0,"",INDEX(周转筐出入库明细!$E$4:$E$2004,$Z1142-2000)),IF($Z1142&lt;=5200,IF(INDEX(客户自备加工筐明细!$D$4:$D$1203,$Z1142-4000)=0,"",INDEX(客户自备加工筐明细!$D$4:$D$1203,$Z1142-4000)),IF($Z1142&lt;=5800,IF(INDEX(次果筐明细!$E$4:$E$603,$Z1142-5200)=0,"",INDEX(次果筐明细!$E$4:$E$603,$Z1142-5200)),"")))))</f>
        <v/>
      </c>
      <c r="F1142" s="24" t="str">
        <f>IF($Z1142="","",IF($Z1142&lt;=2000,IF(INDEX(包装物料出入库明细!$E$4:$E$2003,$Z1142-0)=0,"",INDEX(包装物料出入库明细!$E$4:$E$2003,$Z1142-0)),IF($Z1142&lt;=4000,IF(INDEX(周转筐出入库明细!$D$4:$D$2004,$Z1142-2000)=0,"",INDEX(周转筐出入库明细!$D$4:$D$2004,$Z1142-2000)),IF($Z1142&lt;=5200,IF(INDEX(客户自备加工筐明细!$C$4:$C$1203,$Z1142-4000)=0,"",INDEX(客户自备加工筐明细!$C$4:$C$1203,$Z1142-4000)),IF($Z1142&lt;=5800,IF(INDEX(次果筐明细!$D$4:$D$603,$Z1142-5200)=0,"",INDEX(次果筐明细!$D$4:$D$603,$Z1142-5200)),"")))))</f>
        <v/>
      </c>
      <c r="G1142" s="24" t="str">
        <f>IF($Z1142="","",IF($Z1142&lt;=2000,IF(INDEX(包装物料出入库明细!$F$4:$F$2003,$Z1142-0)=0,"",INDEX(包装物料出入库明细!$F$4:$F$2003,$Z1142-0)),IF($Z1142&lt;=4000,"",IF($Z1142&lt;=5200,"",IF($Z1142&lt;=5800,"","")))))</f>
        <v/>
      </c>
      <c r="H1142" s="39" t="str">
        <f>IF($Z1142="","",IF($Z1142&lt;=2000,IF(INDEX(包装物料出入库明细!$L$4:$L$2003,$Z1142-0)=0,"",INDEX(包装物料出入库明细!$L$4:$L$2003,$Z1142-0)),IF($Z1142&lt;=4000,N(INDEX(周转筐出入库明细!$H$4:$H$2004,$Z1142-2000))+N(INDEX(周转筐出入库明细!$I$4:$I$2004,$Z1142-2000))+N(INDEX(周转筐出入库明细!$J$4:$J$2004,$Z1142-2000))+N(INDEX(周转筐出入库明细!$K$4:$K$2004,$Z1142-2000)),IF($Z1142&lt;=5200,N(INDEX(客户自备加工筐明细!$F$4:$F$1203,$Z1142-4000))+N(INDEX(客户自备加工筐明细!$G$4:$G$1203,$Z1142-4000)),IF($Z1142&lt;=5800,IF(INDEX(次果筐明细!$G$4:$G$603,$Z1142-5200)=0,"",INDEX(次果筐明细!$G$4:$G$603,$Z1142-5200)),"")))))</f>
        <v/>
      </c>
      <c r="I1142" s="24" t="str">
        <f>IF($Z1142="","",IF($Z1142&lt;=2000,IF(INDEX(包装物料出入库明细!$G$4:$G$2003,$Z1142-0)=0,"",INDEX(包装物料出入库明细!$G$4:$G$2003,$Z1142-0)),IF($Z1142&lt;=4000,"个",IF($Z1142&lt;=5200,"个",IF($Z1142&lt;=5800,"个","")))))</f>
        <v/>
      </c>
      <c r="J1142" s="30" t="str">
        <f t="shared" si="52"/>
        <v/>
      </c>
      <c r="K1142" s="30" t="str">
        <f>IF($Z1142="","",IF($Z1142&lt;=2000,IF(INDEX(包装物料出入库明细!$N$4:$N$2003,$Z1142-0)=0,"",INDEX(包装物料出入库明细!$N$4:$N$2003,$Z1142-0)),IF($Z1142&lt;=4000,IF(INDEX(周转筐出入库明细!$P$4:$P$2004,$Z1142-2000)=0,"",INDEX(周转筐出入库明细!$P$4:$P$2004,$Z1142-2000)),IF($Z1142&lt;=5200,"",IF($Z1142&lt;=5800,N(INDEX(次果筐明细!$L$4:$L$603,$Z1142-5200))+N(INDEX(次果筐明细!$J$4:$J$603,$Z1142-5200)),"")))))</f>
        <v/>
      </c>
      <c r="L1142" s="24" t="str">
        <f>IF($Z1142="","",IF($Z1142&lt;=2000,IF(INDEX(包装物料出入库明细!$P$4:$P$2003,$Z1142-0)=0,"",INDEX(包装物料出入库明细!$P$4:$P$2003,$Z1142-0)),IF($Z1142&lt;=4000,IF(INDEX(周转筐出入库明细!$Q$4:$Q$2004,$Z1142-2000)=0,"",INDEX(周转筐出入库明细!$Q$4:$Q$2004,$Z1142-2000)),IF($Z1142&lt;=5200,"",IF($Z1142&lt;=5800,IF(INDEX(次果筐明细!$M$4:$M$603,$Z1142-5200)=0,"",INDEX(次果筐明细!$M$4:$M$603,$Z1142-5200)),"")))))</f>
        <v/>
      </c>
      <c r="M1142" s="37" t="str">
        <f>IF($Z1142="","",IF($Z1142&lt;=2000,IF(INDEX(包装物料出入库明细!$R$4:$R$2003,$Z1142-0)=0,"",INDEX(包装物料出入库明细!$R$4:$R$2003,$Z1142-0)),IF($Z1142&lt;=4000,IF(INDEX(周转筐出入库明细!$W$4:$W$2004,$Z1142-2000)=0,"",INDEX(周转筐出入库明细!$W$4:$W$2004,$Z1142-2000)),IF($Z1142&lt;=5200,IF(INDEX(客户自备加工筐明细!$L$4:$L$1203,$Z1142-4000)=0,"",INDEX(客户自备加工筐明细!$L$4:$L$1203,$Z1142-4000)),IF($Z1142&lt;=5800,IF(INDEX(次果筐明细!$P$4:$P$603,$Z1142-5200)=0,"",INDEX(次果筐明细!$P$4:$P$603,$Z1142-5200)),"")))))</f>
        <v/>
      </c>
      <c r="N1142" s="16" t="str">
        <f>IF($Z1142="","",IF($Z1142&lt;=2000,"",IF($Z1142&lt;=4000,IF(INDEX(周转筐出入库明细!$D$4:$D$2004,$Z1142-2000)=0,"",INDEX(周转筐出入库明细!$D$4:$D$2004,$Z1142-2000)),IF($Z1142&lt;=5200,IF(INDEX(客户自备加工筐明细!$C$4:$C$1203,$Z1142-4000)=0,"",INDEX(客户自备加工筐明细!$C$4:$C$1203,$Z1142-4000)),IF($Z1142&lt;=5800,IF(INDEX(次果筐明细!$D$4:$D$603,$Z1142-5200)=0,"",INDEX(次果筐明细!$D$4:$D$603,$Z1142-5200)),"")))))</f>
        <v/>
      </c>
      <c r="O1142" s="40" t="str">
        <f>IF($Z1142="","",IF($Z1142&lt;=2000,"",IF($Z1142&lt;=4000,IF(N(INDEX(周转筐出入库明细!$J$4:$J$2004,$Z1142-2000))+N(INDEX(周转筐出入库明细!$K$4:$K$2004,$Z1142-2000))=0,"",N(INDEX(周转筐出入库明细!$J$4:$J$2004,$Z1142-2000))+N(INDEX(周转筐出入库明细!$K$4:$K$2004,$Z1142-2000))),IF($Z1142&lt;=5200,IF(N(INDEX(客户自备加工筐明细!$G$4:$G$1203,$Z1142-4000))=0,"",N(INDEX(客户自备加工筐明细!$G$4:$G$1203,$Z1142-4000))),IF($Z1142&lt;=5800,IF(ISNUMBER(SEARCH("退",INDEX(次果筐明细!$F$4:$F$603,$Z1142-5200)&amp;"")),"",IF(N(INDEX(次果筐明细!$G$4:$G$603,$Z1142-5200))=0,"",N(INDEX(次果筐明细!$G$4:$G$603,$Z1142-5200)))),"")))))</f>
        <v/>
      </c>
      <c r="P1142" s="40" t="str">
        <f>IF($Z1142="","",IF($Z1142&lt;=2000,"",IF($Z1142&lt;=4000,IF(N(INDEX(周转筐出入库明细!$I$4:$I$2004,$Z1142-2000))=0,"",N(INDEX(周转筐出入库明细!$I$4:$I$2004,$Z1142-2000))),IF($Z1142&lt;=5200,"",IF($Z1142&lt;=5800,IF(ISNUMBER(SEARCH("退",INDEX(次果筐明细!$F$4:$F$603,$Z1142-5200)&amp;"")),IF(N(INDEX(次果筐明细!$G$4:$G$603,$Z1142-5200))=0,"",N(INDEX(次果筐明细!$G$4:$G$603,$Z1142-5200))),""),"")))))</f>
        <v/>
      </c>
      <c r="Q1142" s="40" t="str">
        <f>IF($Z1142="","",IF($Z1142&lt;=2000,"",IF($Z1142&lt;=4000,IF(N(INDEX(周转筐出入库明细!$H$4:$H$2004,$Z1142-2000))=0,"",N(INDEX(周转筐出入库明细!$H$4:$H$2004,$Z1142-2000))),IF($Z1142&lt;=5200,IF(N(INDEX(客户自备加工筐明细!$F$4:$F$1203,$Z1142-4000))=0,"",N(INDEX(客户自备加工筐明细!$F$4:$F$1203,$Z1142-4000))),IF($Z1142&lt;=5800,"","")))))</f>
        <v/>
      </c>
      <c r="R1142" s="16" t="str">
        <f>IF($Z1142="","",IF($Z1142&lt;=2000,IF(INDEX(包装物料出入库明细!$O$4:$O$2003,$Z1142-0)=0,"",INDEX(包装物料出入库明细!$O$4:$O$2003,$Z1142-0)),IF($Z1142&lt;=4000,IF(INDEX(周转筐出入库明细!$M$4:$M$2004,$Z1142-2000)=0,"",INDEX(周转筐出入库明细!$M$4:$M$2004,$Z1142-2000)),IF($Z1142&lt;=5200,IF(INDEX(客户自备加工筐明细!$H$4:$H$1203,$Z1142-4000)=0,"",INDEX(客户自备加工筐明细!$H$4:$H$1203,$Z1142-4000)),IF($Z1142&lt;=5800,IF(INDEX(次果筐明细!$H$4:$H$603,$Z1142-5200)=0,"",INDEX(次果筐明细!$H$4:$H$603,$Z1142-5200)),"")))))</f>
        <v/>
      </c>
      <c r="S1142" s="22" t="str">
        <f t="shared" si="53"/>
        <v/>
      </c>
      <c r="Z1142" s="10" t="str">
        <f>IFERROR(MATCH(ROW()-3,_自动清单!$CQ$4:$CQ$5803,0),"")</f>
        <v/>
      </c>
    </row>
    <row r="1143" spans="1:26">
      <c r="A1143" s="24" t="str">
        <f t="shared" si="51"/>
        <v/>
      </c>
      <c r="B1143" s="38" t="str">
        <f>IF($Z1143="","",IF($Z1143&lt;=2000,IF(INDEX(包装物料出入库明细!$B$4:$B$2003,$Z1143-0)=0,"",INDEX(包装物料出入库明细!$B$4:$B$2003,$Z1143-0)),IF($Z1143&lt;=4000,IF(INDEX(周转筐出入库明细!$B$4:$B$2004,$Z1143-2000)=0,"",INDEX(周转筐出入库明细!$B$4:$B$2004,$Z1143-2000)),IF($Z1143&lt;=5200,IF(INDEX(客户自备加工筐明细!$B$4:$B$1203,$Z1143-4000)=0,"",INDEX(客户自备加工筐明细!$B$4:$B$1203,$Z1143-4000)),IF($Z1143&lt;=5800,IF(INDEX(次果筐明细!$B$4:$B$603,$Z1143-5200)=0,"",INDEX(次果筐明细!$B$4:$B$603,$Z1143-5200)),"")))))</f>
        <v/>
      </c>
      <c r="C1143" s="37" t="str">
        <f>IF($Z1143="","",IF($Z1143&lt;=2000,IF(INDEX(包装物料出入库明细!$D$4:$D$2003,$Z1143-0)=0,"",INDEX(包装物料出入库明细!$D$4:$D$2003,$Z1143-0)),IF($Z1143&lt;=4000,IF(INDEX(周转筐出入库明细!$C$4:$C$2004,$Z1143-2000)=0,"",INDEX(周转筐出入库明细!$C$4:$C$2004,$Z1143-2000)),IF($Z1143&lt;=5200,IF(INDEX(客户自备加工筐明细!$E$4:$E$1203,$Z1143-4000)=0,"",INDEX(客户自备加工筐明细!$E$4:$E$1203,$Z1143-4000)),IF($Z1143&lt;=5800,IF(INDEX(次果筐明细!$C$4:$C$603,$Z1143-5200)=0,"",INDEX(次果筐明细!$C$4:$C$603,$Z1143-5200)),"")))))</f>
        <v/>
      </c>
      <c r="D1143" s="37" t="str">
        <f>IF($Z1143="","",IF($Z1143&lt;=2000,"包装物料－"&amp;INDEX(包装物料出入库明细!$H$4:$H$2003,$Z1143-0),IF($Z1143&lt;=4000,"周转筐－"&amp;INDEX(周转筐出入库明细!$F$4:$F$2004,$Z1143-2000),IF($Z1143&lt;=5200,"客户自备筐－"&amp;INDEX(客户自备加工筐明细!$J$4:$J$1203,$Z1143-4000),IF($Z1143&lt;=5800,"次果筐/托盘－"&amp;INDEX(次果筐明细!$F$4:$F$603,$Z1143-5200),"")))))</f>
        <v/>
      </c>
      <c r="E1143" s="24" t="str">
        <f>IF($Z1143="","",IF($Z1143&lt;=2000,IF(INDEX(包装物料出入库明细!$C$4:$C$2003,$Z1143-0)=0,"",INDEX(包装物料出入库明细!$C$4:$C$2003,$Z1143-0)),IF($Z1143&lt;=4000,IF(INDEX(周转筐出入库明细!$E$4:$E$2004,$Z1143-2000)=0,"",INDEX(周转筐出入库明细!$E$4:$E$2004,$Z1143-2000)),IF($Z1143&lt;=5200,IF(INDEX(客户自备加工筐明细!$D$4:$D$1203,$Z1143-4000)=0,"",INDEX(客户自备加工筐明细!$D$4:$D$1203,$Z1143-4000)),IF($Z1143&lt;=5800,IF(INDEX(次果筐明细!$E$4:$E$603,$Z1143-5200)=0,"",INDEX(次果筐明细!$E$4:$E$603,$Z1143-5200)),"")))))</f>
        <v/>
      </c>
      <c r="F1143" s="24" t="str">
        <f>IF($Z1143="","",IF($Z1143&lt;=2000,IF(INDEX(包装物料出入库明细!$E$4:$E$2003,$Z1143-0)=0,"",INDEX(包装物料出入库明细!$E$4:$E$2003,$Z1143-0)),IF($Z1143&lt;=4000,IF(INDEX(周转筐出入库明细!$D$4:$D$2004,$Z1143-2000)=0,"",INDEX(周转筐出入库明细!$D$4:$D$2004,$Z1143-2000)),IF($Z1143&lt;=5200,IF(INDEX(客户自备加工筐明细!$C$4:$C$1203,$Z1143-4000)=0,"",INDEX(客户自备加工筐明细!$C$4:$C$1203,$Z1143-4000)),IF($Z1143&lt;=5800,IF(INDEX(次果筐明细!$D$4:$D$603,$Z1143-5200)=0,"",INDEX(次果筐明细!$D$4:$D$603,$Z1143-5200)),"")))))</f>
        <v/>
      </c>
      <c r="G1143" s="24" t="str">
        <f>IF($Z1143="","",IF($Z1143&lt;=2000,IF(INDEX(包装物料出入库明细!$F$4:$F$2003,$Z1143-0)=0,"",INDEX(包装物料出入库明细!$F$4:$F$2003,$Z1143-0)),IF($Z1143&lt;=4000,"",IF($Z1143&lt;=5200,"",IF($Z1143&lt;=5800,"","")))))</f>
        <v/>
      </c>
      <c r="H1143" s="39" t="str">
        <f>IF($Z1143="","",IF($Z1143&lt;=2000,IF(INDEX(包装物料出入库明细!$L$4:$L$2003,$Z1143-0)=0,"",INDEX(包装物料出入库明细!$L$4:$L$2003,$Z1143-0)),IF($Z1143&lt;=4000,N(INDEX(周转筐出入库明细!$H$4:$H$2004,$Z1143-2000))+N(INDEX(周转筐出入库明细!$I$4:$I$2004,$Z1143-2000))+N(INDEX(周转筐出入库明细!$J$4:$J$2004,$Z1143-2000))+N(INDEX(周转筐出入库明细!$K$4:$K$2004,$Z1143-2000)),IF($Z1143&lt;=5200,N(INDEX(客户自备加工筐明细!$F$4:$F$1203,$Z1143-4000))+N(INDEX(客户自备加工筐明细!$G$4:$G$1203,$Z1143-4000)),IF($Z1143&lt;=5800,IF(INDEX(次果筐明细!$G$4:$G$603,$Z1143-5200)=0,"",INDEX(次果筐明细!$G$4:$G$603,$Z1143-5200)),"")))))</f>
        <v/>
      </c>
      <c r="I1143" s="24" t="str">
        <f>IF($Z1143="","",IF($Z1143&lt;=2000,IF(INDEX(包装物料出入库明细!$G$4:$G$2003,$Z1143-0)=0,"",INDEX(包装物料出入库明细!$G$4:$G$2003,$Z1143-0)),IF($Z1143&lt;=4000,"个",IF($Z1143&lt;=5200,"个",IF($Z1143&lt;=5800,"个","")))))</f>
        <v/>
      </c>
      <c r="J1143" s="30" t="str">
        <f t="shared" si="52"/>
        <v/>
      </c>
      <c r="K1143" s="30" t="str">
        <f>IF($Z1143="","",IF($Z1143&lt;=2000,IF(INDEX(包装物料出入库明细!$N$4:$N$2003,$Z1143-0)=0,"",INDEX(包装物料出入库明细!$N$4:$N$2003,$Z1143-0)),IF($Z1143&lt;=4000,IF(INDEX(周转筐出入库明细!$P$4:$P$2004,$Z1143-2000)=0,"",INDEX(周转筐出入库明细!$P$4:$P$2004,$Z1143-2000)),IF($Z1143&lt;=5200,"",IF($Z1143&lt;=5800,N(INDEX(次果筐明细!$L$4:$L$603,$Z1143-5200))+N(INDEX(次果筐明细!$J$4:$J$603,$Z1143-5200)),"")))))</f>
        <v/>
      </c>
      <c r="L1143" s="24" t="str">
        <f>IF($Z1143="","",IF($Z1143&lt;=2000,IF(INDEX(包装物料出入库明细!$P$4:$P$2003,$Z1143-0)=0,"",INDEX(包装物料出入库明细!$P$4:$P$2003,$Z1143-0)),IF($Z1143&lt;=4000,IF(INDEX(周转筐出入库明细!$Q$4:$Q$2004,$Z1143-2000)=0,"",INDEX(周转筐出入库明细!$Q$4:$Q$2004,$Z1143-2000)),IF($Z1143&lt;=5200,"",IF($Z1143&lt;=5800,IF(INDEX(次果筐明细!$M$4:$M$603,$Z1143-5200)=0,"",INDEX(次果筐明细!$M$4:$M$603,$Z1143-5200)),"")))))</f>
        <v/>
      </c>
      <c r="M1143" s="37" t="str">
        <f>IF($Z1143="","",IF($Z1143&lt;=2000,IF(INDEX(包装物料出入库明细!$R$4:$R$2003,$Z1143-0)=0,"",INDEX(包装物料出入库明细!$R$4:$R$2003,$Z1143-0)),IF($Z1143&lt;=4000,IF(INDEX(周转筐出入库明细!$W$4:$W$2004,$Z1143-2000)=0,"",INDEX(周转筐出入库明细!$W$4:$W$2004,$Z1143-2000)),IF($Z1143&lt;=5200,IF(INDEX(客户自备加工筐明细!$L$4:$L$1203,$Z1143-4000)=0,"",INDEX(客户自备加工筐明细!$L$4:$L$1203,$Z1143-4000)),IF($Z1143&lt;=5800,IF(INDEX(次果筐明细!$P$4:$P$603,$Z1143-5200)=0,"",INDEX(次果筐明细!$P$4:$P$603,$Z1143-5200)),"")))))</f>
        <v/>
      </c>
      <c r="N1143" s="16" t="str">
        <f>IF($Z1143="","",IF($Z1143&lt;=2000,"",IF($Z1143&lt;=4000,IF(INDEX(周转筐出入库明细!$D$4:$D$2004,$Z1143-2000)=0,"",INDEX(周转筐出入库明细!$D$4:$D$2004,$Z1143-2000)),IF($Z1143&lt;=5200,IF(INDEX(客户自备加工筐明细!$C$4:$C$1203,$Z1143-4000)=0,"",INDEX(客户自备加工筐明细!$C$4:$C$1203,$Z1143-4000)),IF($Z1143&lt;=5800,IF(INDEX(次果筐明细!$D$4:$D$603,$Z1143-5200)=0,"",INDEX(次果筐明细!$D$4:$D$603,$Z1143-5200)),"")))))</f>
        <v/>
      </c>
      <c r="O1143" s="40" t="str">
        <f>IF($Z1143="","",IF($Z1143&lt;=2000,"",IF($Z1143&lt;=4000,IF(N(INDEX(周转筐出入库明细!$J$4:$J$2004,$Z1143-2000))+N(INDEX(周转筐出入库明细!$K$4:$K$2004,$Z1143-2000))=0,"",N(INDEX(周转筐出入库明细!$J$4:$J$2004,$Z1143-2000))+N(INDEX(周转筐出入库明细!$K$4:$K$2004,$Z1143-2000))),IF($Z1143&lt;=5200,IF(N(INDEX(客户自备加工筐明细!$G$4:$G$1203,$Z1143-4000))=0,"",N(INDEX(客户自备加工筐明细!$G$4:$G$1203,$Z1143-4000))),IF($Z1143&lt;=5800,IF(ISNUMBER(SEARCH("退",INDEX(次果筐明细!$F$4:$F$603,$Z1143-5200)&amp;"")),"",IF(N(INDEX(次果筐明细!$G$4:$G$603,$Z1143-5200))=0,"",N(INDEX(次果筐明细!$G$4:$G$603,$Z1143-5200)))),"")))))</f>
        <v/>
      </c>
      <c r="P1143" s="40" t="str">
        <f>IF($Z1143="","",IF($Z1143&lt;=2000,"",IF($Z1143&lt;=4000,IF(N(INDEX(周转筐出入库明细!$I$4:$I$2004,$Z1143-2000))=0,"",N(INDEX(周转筐出入库明细!$I$4:$I$2004,$Z1143-2000))),IF($Z1143&lt;=5200,"",IF($Z1143&lt;=5800,IF(ISNUMBER(SEARCH("退",INDEX(次果筐明细!$F$4:$F$603,$Z1143-5200)&amp;"")),IF(N(INDEX(次果筐明细!$G$4:$G$603,$Z1143-5200))=0,"",N(INDEX(次果筐明细!$G$4:$G$603,$Z1143-5200))),""),"")))))</f>
        <v/>
      </c>
      <c r="Q1143" s="40" t="str">
        <f>IF($Z1143="","",IF($Z1143&lt;=2000,"",IF($Z1143&lt;=4000,IF(N(INDEX(周转筐出入库明细!$H$4:$H$2004,$Z1143-2000))=0,"",N(INDEX(周转筐出入库明细!$H$4:$H$2004,$Z1143-2000))),IF($Z1143&lt;=5200,IF(N(INDEX(客户自备加工筐明细!$F$4:$F$1203,$Z1143-4000))=0,"",N(INDEX(客户自备加工筐明细!$F$4:$F$1203,$Z1143-4000))),IF($Z1143&lt;=5800,"","")))))</f>
        <v/>
      </c>
      <c r="R1143" s="16" t="str">
        <f>IF($Z1143="","",IF($Z1143&lt;=2000,IF(INDEX(包装物料出入库明细!$O$4:$O$2003,$Z1143-0)=0,"",INDEX(包装物料出入库明细!$O$4:$O$2003,$Z1143-0)),IF($Z1143&lt;=4000,IF(INDEX(周转筐出入库明细!$M$4:$M$2004,$Z1143-2000)=0,"",INDEX(周转筐出入库明细!$M$4:$M$2004,$Z1143-2000)),IF($Z1143&lt;=5200,IF(INDEX(客户自备加工筐明细!$H$4:$H$1203,$Z1143-4000)=0,"",INDEX(客户自备加工筐明细!$H$4:$H$1203,$Z1143-4000)),IF($Z1143&lt;=5800,IF(INDEX(次果筐明细!$H$4:$H$603,$Z1143-5200)=0,"",INDEX(次果筐明细!$H$4:$H$603,$Z1143-5200)),"")))))</f>
        <v/>
      </c>
      <c r="S1143" s="22" t="str">
        <f t="shared" si="53"/>
        <v/>
      </c>
      <c r="Z1143" s="10" t="str">
        <f>IFERROR(MATCH(ROW()-3,_自动清单!$CQ$4:$CQ$5803,0),"")</f>
        <v/>
      </c>
    </row>
    <row r="1144" spans="1:26">
      <c r="A1144" s="24" t="str">
        <f t="shared" si="51"/>
        <v/>
      </c>
      <c r="B1144" s="38" t="str">
        <f>IF($Z1144="","",IF($Z1144&lt;=2000,IF(INDEX(包装物料出入库明细!$B$4:$B$2003,$Z1144-0)=0,"",INDEX(包装物料出入库明细!$B$4:$B$2003,$Z1144-0)),IF($Z1144&lt;=4000,IF(INDEX(周转筐出入库明细!$B$4:$B$2004,$Z1144-2000)=0,"",INDEX(周转筐出入库明细!$B$4:$B$2004,$Z1144-2000)),IF($Z1144&lt;=5200,IF(INDEX(客户自备加工筐明细!$B$4:$B$1203,$Z1144-4000)=0,"",INDEX(客户自备加工筐明细!$B$4:$B$1203,$Z1144-4000)),IF($Z1144&lt;=5800,IF(INDEX(次果筐明细!$B$4:$B$603,$Z1144-5200)=0,"",INDEX(次果筐明细!$B$4:$B$603,$Z1144-5200)),"")))))</f>
        <v/>
      </c>
      <c r="C1144" s="37" t="str">
        <f>IF($Z1144="","",IF($Z1144&lt;=2000,IF(INDEX(包装物料出入库明细!$D$4:$D$2003,$Z1144-0)=0,"",INDEX(包装物料出入库明细!$D$4:$D$2003,$Z1144-0)),IF($Z1144&lt;=4000,IF(INDEX(周转筐出入库明细!$C$4:$C$2004,$Z1144-2000)=0,"",INDEX(周转筐出入库明细!$C$4:$C$2004,$Z1144-2000)),IF($Z1144&lt;=5200,IF(INDEX(客户自备加工筐明细!$E$4:$E$1203,$Z1144-4000)=0,"",INDEX(客户自备加工筐明细!$E$4:$E$1203,$Z1144-4000)),IF($Z1144&lt;=5800,IF(INDEX(次果筐明细!$C$4:$C$603,$Z1144-5200)=0,"",INDEX(次果筐明细!$C$4:$C$603,$Z1144-5200)),"")))))</f>
        <v/>
      </c>
      <c r="D1144" s="37" t="str">
        <f>IF($Z1144="","",IF($Z1144&lt;=2000,"包装物料－"&amp;INDEX(包装物料出入库明细!$H$4:$H$2003,$Z1144-0),IF($Z1144&lt;=4000,"周转筐－"&amp;INDEX(周转筐出入库明细!$F$4:$F$2004,$Z1144-2000),IF($Z1144&lt;=5200,"客户自备筐－"&amp;INDEX(客户自备加工筐明细!$J$4:$J$1203,$Z1144-4000),IF($Z1144&lt;=5800,"次果筐/托盘－"&amp;INDEX(次果筐明细!$F$4:$F$603,$Z1144-5200),"")))))</f>
        <v/>
      </c>
      <c r="E1144" s="24" t="str">
        <f>IF($Z1144="","",IF($Z1144&lt;=2000,IF(INDEX(包装物料出入库明细!$C$4:$C$2003,$Z1144-0)=0,"",INDEX(包装物料出入库明细!$C$4:$C$2003,$Z1144-0)),IF($Z1144&lt;=4000,IF(INDEX(周转筐出入库明细!$E$4:$E$2004,$Z1144-2000)=0,"",INDEX(周转筐出入库明细!$E$4:$E$2004,$Z1144-2000)),IF($Z1144&lt;=5200,IF(INDEX(客户自备加工筐明细!$D$4:$D$1203,$Z1144-4000)=0,"",INDEX(客户自备加工筐明细!$D$4:$D$1203,$Z1144-4000)),IF($Z1144&lt;=5800,IF(INDEX(次果筐明细!$E$4:$E$603,$Z1144-5200)=0,"",INDEX(次果筐明细!$E$4:$E$603,$Z1144-5200)),"")))))</f>
        <v/>
      </c>
      <c r="F1144" s="24" t="str">
        <f>IF($Z1144="","",IF($Z1144&lt;=2000,IF(INDEX(包装物料出入库明细!$E$4:$E$2003,$Z1144-0)=0,"",INDEX(包装物料出入库明细!$E$4:$E$2003,$Z1144-0)),IF($Z1144&lt;=4000,IF(INDEX(周转筐出入库明细!$D$4:$D$2004,$Z1144-2000)=0,"",INDEX(周转筐出入库明细!$D$4:$D$2004,$Z1144-2000)),IF($Z1144&lt;=5200,IF(INDEX(客户自备加工筐明细!$C$4:$C$1203,$Z1144-4000)=0,"",INDEX(客户自备加工筐明细!$C$4:$C$1203,$Z1144-4000)),IF($Z1144&lt;=5800,IF(INDEX(次果筐明细!$D$4:$D$603,$Z1144-5200)=0,"",INDEX(次果筐明细!$D$4:$D$603,$Z1144-5200)),"")))))</f>
        <v/>
      </c>
      <c r="G1144" s="24" t="str">
        <f>IF($Z1144="","",IF($Z1144&lt;=2000,IF(INDEX(包装物料出入库明细!$F$4:$F$2003,$Z1144-0)=0,"",INDEX(包装物料出入库明细!$F$4:$F$2003,$Z1144-0)),IF($Z1144&lt;=4000,"",IF($Z1144&lt;=5200,"",IF($Z1144&lt;=5800,"","")))))</f>
        <v/>
      </c>
      <c r="H1144" s="39" t="str">
        <f>IF($Z1144="","",IF($Z1144&lt;=2000,IF(INDEX(包装物料出入库明细!$L$4:$L$2003,$Z1144-0)=0,"",INDEX(包装物料出入库明细!$L$4:$L$2003,$Z1144-0)),IF($Z1144&lt;=4000,N(INDEX(周转筐出入库明细!$H$4:$H$2004,$Z1144-2000))+N(INDEX(周转筐出入库明细!$I$4:$I$2004,$Z1144-2000))+N(INDEX(周转筐出入库明细!$J$4:$J$2004,$Z1144-2000))+N(INDEX(周转筐出入库明细!$K$4:$K$2004,$Z1144-2000)),IF($Z1144&lt;=5200,N(INDEX(客户自备加工筐明细!$F$4:$F$1203,$Z1144-4000))+N(INDEX(客户自备加工筐明细!$G$4:$G$1203,$Z1144-4000)),IF($Z1144&lt;=5800,IF(INDEX(次果筐明细!$G$4:$G$603,$Z1144-5200)=0,"",INDEX(次果筐明细!$G$4:$G$603,$Z1144-5200)),"")))))</f>
        <v/>
      </c>
      <c r="I1144" s="24" t="str">
        <f>IF($Z1144="","",IF($Z1144&lt;=2000,IF(INDEX(包装物料出入库明细!$G$4:$G$2003,$Z1144-0)=0,"",INDEX(包装物料出入库明细!$G$4:$G$2003,$Z1144-0)),IF($Z1144&lt;=4000,"个",IF($Z1144&lt;=5200,"个",IF($Z1144&lt;=5800,"个","")))))</f>
        <v/>
      </c>
      <c r="J1144" s="30" t="str">
        <f t="shared" si="52"/>
        <v/>
      </c>
      <c r="K1144" s="30" t="str">
        <f>IF($Z1144="","",IF($Z1144&lt;=2000,IF(INDEX(包装物料出入库明细!$N$4:$N$2003,$Z1144-0)=0,"",INDEX(包装物料出入库明细!$N$4:$N$2003,$Z1144-0)),IF($Z1144&lt;=4000,IF(INDEX(周转筐出入库明细!$P$4:$P$2004,$Z1144-2000)=0,"",INDEX(周转筐出入库明细!$P$4:$P$2004,$Z1144-2000)),IF($Z1144&lt;=5200,"",IF($Z1144&lt;=5800,N(INDEX(次果筐明细!$L$4:$L$603,$Z1144-5200))+N(INDEX(次果筐明细!$J$4:$J$603,$Z1144-5200)),"")))))</f>
        <v/>
      </c>
      <c r="L1144" s="24" t="str">
        <f>IF($Z1144="","",IF($Z1144&lt;=2000,IF(INDEX(包装物料出入库明细!$P$4:$P$2003,$Z1144-0)=0,"",INDEX(包装物料出入库明细!$P$4:$P$2003,$Z1144-0)),IF($Z1144&lt;=4000,IF(INDEX(周转筐出入库明细!$Q$4:$Q$2004,$Z1144-2000)=0,"",INDEX(周转筐出入库明细!$Q$4:$Q$2004,$Z1144-2000)),IF($Z1144&lt;=5200,"",IF($Z1144&lt;=5800,IF(INDEX(次果筐明细!$M$4:$M$603,$Z1144-5200)=0,"",INDEX(次果筐明细!$M$4:$M$603,$Z1144-5200)),"")))))</f>
        <v/>
      </c>
      <c r="M1144" s="37" t="str">
        <f>IF($Z1144="","",IF($Z1144&lt;=2000,IF(INDEX(包装物料出入库明细!$R$4:$R$2003,$Z1144-0)=0,"",INDEX(包装物料出入库明细!$R$4:$R$2003,$Z1144-0)),IF($Z1144&lt;=4000,IF(INDEX(周转筐出入库明细!$W$4:$W$2004,$Z1144-2000)=0,"",INDEX(周转筐出入库明细!$W$4:$W$2004,$Z1144-2000)),IF($Z1144&lt;=5200,IF(INDEX(客户自备加工筐明细!$L$4:$L$1203,$Z1144-4000)=0,"",INDEX(客户自备加工筐明细!$L$4:$L$1203,$Z1144-4000)),IF($Z1144&lt;=5800,IF(INDEX(次果筐明细!$P$4:$P$603,$Z1144-5200)=0,"",INDEX(次果筐明细!$P$4:$P$603,$Z1144-5200)),"")))))</f>
        <v/>
      </c>
      <c r="N1144" s="16" t="str">
        <f>IF($Z1144="","",IF($Z1144&lt;=2000,"",IF($Z1144&lt;=4000,IF(INDEX(周转筐出入库明细!$D$4:$D$2004,$Z1144-2000)=0,"",INDEX(周转筐出入库明细!$D$4:$D$2004,$Z1144-2000)),IF($Z1144&lt;=5200,IF(INDEX(客户自备加工筐明细!$C$4:$C$1203,$Z1144-4000)=0,"",INDEX(客户自备加工筐明细!$C$4:$C$1203,$Z1144-4000)),IF($Z1144&lt;=5800,IF(INDEX(次果筐明细!$D$4:$D$603,$Z1144-5200)=0,"",INDEX(次果筐明细!$D$4:$D$603,$Z1144-5200)),"")))))</f>
        <v/>
      </c>
      <c r="O1144" s="40" t="str">
        <f>IF($Z1144="","",IF($Z1144&lt;=2000,"",IF($Z1144&lt;=4000,IF(N(INDEX(周转筐出入库明细!$J$4:$J$2004,$Z1144-2000))+N(INDEX(周转筐出入库明细!$K$4:$K$2004,$Z1144-2000))=0,"",N(INDEX(周转筐出入库明细!$J$4:$J$2004,$Z1144-2000))+N(INDEX(周转筐出入库明细!$K$4:$K$2004,$Z1144-2000))),IF($Z1144&lt;=5200,IF(N(INDEX(客户自备加工筐明细!$G$4:$G$1203,$Z1144-4000))=0,"",N(INDEX(客户自备加工筐明细!$G$4:$G$1203,$Z1144-4000))),IF($Z1144&lt;=5800,IF(ISNUMBER(SEARCH("退",INDEX(次果筐明细!$F$4:$F$603,$Z1144-5200)&amp;"")),"",IF(N(INDEX(次果筐明细!$G$4:$G$603,$Z1144-5200))=0,"",N(INDEX(次果筐明细!$G$4:$G$603,$Z1144-5200)))),"")))))</f>
        <v/>
      </c>
      <c r="P1144" s="40" t="str">
        <f>IF($Z1144="","",IF($Z1144&lt;=2000,"",IF($Z1144&lt;=4000,IF(N(INDEX(周转筐出入库明细!$I$4:$I$2004,$Z1144-2000))=0,"",N(INDEX(周转筐出入库明细!$I$4:$I$2004,$Z1144-2000))),IF($Z1144&lt;=5200,"",IF($Z1144&lt;=5800,IF(ISNUMBER(SEARCH("退",INDEX(次果筐明细!$F$4:$F$603,$Z1144-5200)&amp;"")),IF(N(INDEX(次果筐明细!$G$4:$G$603,$Z1144-5200))=0,"",N(INDEX(次果筐明细!$G$4:$G$603,$Z1144-5200))),""),"")))))</f>
        <v/>
      </c>
      <c r="Q1144" s="40" t="str">
        <f>IF($Z1144="","",IF($Z1144&lt;=2000,"",IF($Z1144&lt;=4000,IF(N(INDEX(周转筐出入库明细!$H$4:$H$2004,$Z1144-2000))=0,"",N(INDEX(周转筐出入库明细!$H$4:$H$2004,$Z1144-2000))),IF($Z1144&lt;=5200,IF(N(INDEX(客户自备加工筐明细!$F$4:$F$1203,$Z1144-4000))=0,"",N(INDEX(客户自备加工筐明细!$F$4:$F$1203,$Z1144-4000))),IF($Z1144&lt;=5800,"","")))))</f>
        <v/>
      </c>
      <c r="R1144" s="16" t="str">
        <f>IF($Z1144="","",IF($Z1144&lt;=2000,IF(INDEX(包装物料出入库明细!$O$4:$O$2003,$Z1144-0)=0,"",INDEX(包装物料出入库明细!$O$4:$O$2003,$Z1144-0)),IF($Z1144&lt;=4000,IF(INDEX(周转筐出入库明细!$M$4:$M$2004,$Z1144-2000)=0,"",INDEX(周转筐出入库明细!$M$4:$M$2004,$Z1144-2000)),IF($Z1144&lt;=5200,IF(INDEX(客户自备加工筐明细!$H$4:$H$1203,$Z1144-4000)=0,"",INDEX(客户自备加工筐明细!$H$4:$H$1203,$Z1144-4000)),IF($Z1144&lt;=5800,IF(INDEX(次果筐明细!$H$4:$H$603,$Z1144-5200)=0,"",INDEX(次果筐明细!$H$4:$H$603,$Z1144-5200)),"")))))</f>
        <v/>
      </c>
      <c r="S1144" s="22" t="str">
        <f t="shared" si="53"/>
        <v/>
      </c>
      <c r="Z1144" s="10" t="str">
        <f>IFERROR(MATCH(ROW()-3,_自动清单!$CQ$4:$CQ$5803,0),"")</f>
        <v/>
      </c>
    </row>
    <row r="1145" spans="1:26">
      <c r="A1145" s="24" t="str">
        <f t="shared" si="51"/>
        <v/>
      </c>
      <c r="B1145" s="38" t="str">
        <f>IF($Z1145="","",IF($Z1145&lt;=2000,IF(INDEX(包装物料出入库明细!$B$4:$B$2003,$Z1145-0)=0,"",INDEX(包装物料出入库明细!$B$4:$B$2003,$Z1145-0)),IF($Z1145&lt;=4000,IF(INDEX(周转筐出入库明细!$B$4:$B$2004,$Z1145-2000)=0,"",INDEX(周转筐出入库明细!$B$4:$B$2004,$Z1145-2000)),IF($Z1145&lt;=5200,IF(INDEX(客户自备加工筐明细!$B$4:$B$1203,$Z1145-4000)=0,"",INDEX(客户自备加工筐明细!$B$4:$B$1203,$Z1145-4000)),IF($Z1145&lt;=5800,IF(INDEX(次果筐明细!$B$4:$B$603,$Z1145-5200)=0,"",INDEX(次果筐明细!$B$4:$B$603,$Z1145-5200)),"")))))</f>
        <v/>
      </c>
      <c r="C1145" s="37" t="str">
        <f>IF($Z1145="","",IF($Z1145&lt;=2000,IF(INDEX(包装物料出入库明细!$D$4:$D$2003,$Z1145-0)=0,"",INDEX(包装物料出入库明细!$D$4:$D$2003,$Z1145-0)),IF($Z1145&lt;=4000,IF(INDEX(周转筐出入库明细!$C$4:$C$2004,$Z1145-2000)=0,"",INDEX(周转筐出入库明细!$C$4:$C$2004,$Z1145-2000)),IF($Z1145&lt;=5200,IF(INDEX(客户自备加工筐明细!$E$4:$E$1203,$Z1145-4000)=0,"",INDEX(客户自备加工筐明细!$E$4:$E$1203,$Z1145-4000)),IF($Z1145&lt;=5800,IF(INDEX(次果筐明细!$C$4:$C$603,$Z1145-5200)=0,"",INDEX(次果筐明细!$C$4:$C$603,$Z1145-5200)),"")))))</f>
        <v/>
      </c>
      <c r="D1145" s="37" t="str">
        <f>IF($Z1145="","",IF($Z1145&lt;=2000,"包装物料－"&amp;INDEX(包装物料出入库明细!$H$4:$H$2003,$Z1145-0),IF($Z1145&lt;=4000,"周转筐－"&amp;INDEX(周转筐出入库明细!$F$4:$F$2004,$Z1145-2000),IF($Z1145&lt;=5200,"客户自备筐－"&amp;INDEX(客户自备加工筐明细!$J$4:$J$1203,$Z1145-4000),IF($Z1145&lt;=5800,"次果筐/托盘－"&amp;INDEX(次果筐明细!$F$4:$F$603,$Z1145-5200),"")))))</f>
        <v/>
      </c>
      <c r="E1145" s="24" t="str">
        <f>IF($Z1145="","",IF($Z1145&lt;=2000,IF(INDEX(包装物料出入库明细!$C$4:$C$2003,$Z1145-0)=0,"",INDEX(包装物料出入库明细!$C$4:$C$2003,$Z1145-0)),IF($Z1145&lt;=4000,IF(INDEX(周转筐出入库明细!$E$4:$E$2004,$Z1145-2000)=0,"",INDEX(周转筐出入库明细!$E$4:$E$2004,$Z1145-2000)),IF($Z1145&lt;=5200,IF(INDEX(客户自备加工筐明细!$D$4:$D$1203,$Z1145-4000)=0,"",INDEX(客户自备加工筐明细!$D$4:$D$1203,$Z1145-4000)),IF($Z1145&lt;=5800,IF(INDEX(次果筐明细!$E$4:$E$603,$Z1145-5200)=0,"",INDEX(次果筐明细!$E$4:$E$603,$Z1145-5200)),"")))))</f>
        <v/>
      </c>
      <c r="F1145" s="24" t="str">
        <f>IF($Z1145="","",IF($Z1145&lt;=2000,IF(INDEX(包装物料出入库明细!$E$4:$E$2003,$Z1145-0)=0,"",INDEX(包装物料出入库明细!$E$4:$E$2003,$Z1145-0)),IF($Z1145&lt;=4000,IF(INDEX(周转筐出入库明细!$D$4:$D$2004,$Z1145-2000)=0,"",INDEX(周转筐出入库明细!$D$4:$D$2004,$Z1145-2000)),IF($Z1145&lt;=5200,IF(INDEX(客户自备加工筐明细!$C$4:$C$1203,$Z1145-4000)=0,"",INDEX(客户自备加工筐明细!$C$4:$C$1203,$Z1145-4000)),IF($Z1145&lt;=5800,IF(INDEX(次果筐明细!$D$4:$D$603,$Z1145-5200)=0,"",INDEX(次果筐明细!$D$4:$D$603,$Z1145-5200)),"")))))</f>
        <v/>
      </c>
      <c r="G1145" s="24" t="str">
        <f>IF($Z1145="","",IF($Z1145&lt;=2000,IF(INDEX(包装物料出入库明细!$F$4:$F$2003,$Z1145-0)=0,"",INDEX(包装物料出入库明细!$F$4:$F$2003,$Z1145-0)),IF($Z1145&lt;=4000,"",IF($Z1145&lt;=5200,"",IF($Z1145&lt;=5800,"","")))))</f>
        <v/>
      </c>
      <c r="H1145" s="39" t="str">
        <f>IF($Z1145="","",IF($Z1145&lt;=2000,IF(INDEX(包装物料出入库明细!$L$4:$L$2003,$Z1145-0)=0,"",INDEX(包装物料出入库明细!$L$4:$L$2003,$Z1145-0)),IF($Z1145&lt;=4000,N(INDEX(周转筐出入库明细!$H$4:$H$2004,$Z1145-2000))+N(INDEX(周转筐出入库明细!$I$4:$I$2004,$Z1145-2000))+N(INDEX(周转筐出入库明细!$J$4:$J$2004,$Z1145-2000))+N(INDEX(周转筐出入库明细!$K$4:$K$2004,$Z1145-2000)),IF($Z1145&lt;=5200,N(INDEX(客户自备加工筐明细!$F$4:$F$1203,$Z1145-4000))+N(INDEX(客户自备加工筐明细!$G$4:$G$1203,$Z1145-4000)),IF($Z1145&lt;=5800,IF(INDEX(次果筐明细!$G$4:$G$603,$Z1145-5200)=0,"",INDEX(次果筐明细!$G$4:$G$603,$Z1145-5200)),"")))))</f>
        <v/>
      </c>
      <c r="I1145" s="24" t="str">
        <f>IF($Z1145="","",IF($Z1145&lt;=2000,IF(INDEX(包装物料出入库明细!$G$4:$G$2003,$Z1145-0)=0,"",INDEX(包装物料出入库明细!$G$4:$G$2003,$Z1145-0)),IF($Z1145&lt;=4000,"个",IF($Z1145&lt;=5200,"个",IF($Z1145&lt;=5800,"个","")))))</f>
        <v/>
      </c>
      <c r="J1145" s="30" t="str">
        <f t="shared" si="52"/>
        <v/>
      </c>
      <c r="K1145" s="30" t="str">
        <f>IF($Z1145="","",IF($Z1145&lt;=2000,IF(INDEX(包装物料出入库明细!$N$4:$N$2003,$Z1145-0)=0,"",INDEX(包装物料出入库明细!$N$4:$N$2003,$Z1145-0)),IF($Z1145&lt;=4000,IF(INDEX(周转筐出入库明细!$P$4:$P$2004,$Z1145-2000)=0,"",INDEX(周转筐出入库明细!$P$4:$P$2004,$Z1145-2000)),IF($Z1145&lt;=5200,"",IF($Z1145&lt;=5800,N(INDEX(次果筐明细!$L$4:$L$603,$Z1145-5200))+N(INDEX(次果筐明细!$J$4:$J$603,$Z1145-5200)),"")))))</f>
        <v/>
      </c>
      <c r="L1145" s="24" t="str">
        <f>IF($Z1145="","",IF($Z1145&lt;=2000,IF(INDEX(包装物料出入库明细!$P$4:$P$2003,$Z1145-0)=0,"",INDEX(包装物料出入库明细!$P$4:$P$2003,$Z1145-0)),IF($Z1145&lt;=4000,IF(INDEX(周转筐出入库明细!$Q$4:$Q$2004,$Z1145-2000)=0,"",INDEX(周转筐出入库明细!$Q$4:$Q$2004,$Z1145-2000)),IF($Z1145&lt;=5200,"",IF($Z1145&lt;=5800,IF(INDEX(次果筐明细!$M$4:$M$603,$Z1145-5200)=0,"",INDEX(次果筐明细!$M$4:$M$603,$Z1145-5200)),"")))))</f>
        <v/>
      </c>
      <c r="M1145" s="37" t="str">
        <f>IF($Z1145="","",IF($Z1145&lt;=2000,IF(INDEX(包装物料出入库明细!$R$4:$R$2003,$Z1145-0)=0,"",INDEX(包装物料出入库明细!$R$4:$R$2003,$Z1145-0)),IF($Z1145&lt;=4000,IF(INDEX(周转筐出入库明细!$W$4:$W$2004,$Z1145-2000)=0,"",INDEX(周转筐出入库明细!$W$4:$W$2004,$Z1145-2000)),IF($Z1145&lt;=5200,IF(INDEX(客户自备加工筐明细!$L$4:$L$1203,$Z1145-4000)=0,"",INDEX(客户自备加工筐明细!$L$4:$L$1203,$Z1145-4000)),IF($Z1145&lt;=5800,IF(INDEX(次果筐明细!$P$4:$P$603,$Z1145-5200)=0,"",INDEX(次果筐明细!$P$4:$P$603,$Z1145-5200)),"")))))</f>
        <v/>
      </c>
      <c r="N1145" s="16" t="str">
        <f>IF($Z1145="","",IF($Z1145&lt;=2000,"",IF($Z1145&lt;=4000,IF(INDEX(周转筐出入库明细!$D$4:$D$2004,$Z1145-2000)=0,"",INDEX(周转筐出入库明细!$D$4:$D$2004,$Z1145-2000)),IF($Z1145&lt;=5200,IF(INDEX(客户自备加工筐明细!$C$4:$C$1203,$Z1145-4000)=0,"",INDEX(客户自备加工筐明细!$C$4:$C$1203,$Z1145-4000)),IF($Z1145&lt;=5800,IF(INDEX(次果筐明细!$D$4:$D$603,$Z1145-5200)=0,"",INDEX(次果筐明细!$D$4:$D$603,$Z1145-5200)),"")))))</f>
        <v/>
      </c>
      <c r="O1145" s="40" t="str">
        <f>IF($Z1145="","",IF($Z1145&lt;=2000,"",IF($Z1145&lt;=4000,IF(N(INDEX(周转筐出入库明细!$J$4:$J$2004,$Z1145-2000))+N(INDEX(周转筐出入库明细!$K$4:$K$2004,$Z1145-2000))=0,"",N(INDEX(周转筐出入库明细!$J$4:$J$2004,$Z1145-2000))+N(INDEX(周转筐出入库明细!$K$4:$K$2004,$Z1145-2000))),IF($Z1145&lt;=5200,IF(N(INDEX(客户自备加工筐明细!$G$4:$G$1203,$Z1145-4000))=0,"",N(INDEX(客户自备加工筐明细!$G$4:$G$1203,$Z1145-4000))),IF($Z1145&lt;=5800,IF(ISNUMBER(SEARCH("退",INDEX(次果筐明细!$F$4:$F$603,$Z1145-5200)&amp;"")),"",IF(N(INDEX(次果筐明细!$G$4:$G$603,$Z1145-5200))=0,"",N(INDEX(次果筐明细!$G$4:$G$603,$Z1145-5200)))),"")))))</f>
        <v/>
      </c>
      <c r="P1145" s="40" t="str">
        <f>IF($Z1145="","",IF($Z1145&lt;=2000,"",IF($Z1145&lt;=4000,IF(N(INDEX(周转筐出入库明细!$I$4:$I$2004,$Z1145-2000))=0,"",N(INDEX(周转筐出入库明细!$I$4:$I$2004,$Z1145-2000))),IF($Z1145&lt;=5200,"",IF($Z1145&lt;=5800,IF(ISNUMBER(SEARCH("退",INDEX(次果筐明细!$F$4:$F$603,$Z1145-5200)&amp;"")),IF(N(INDEX(次果筐明细!$G$4:$G$603,$Z1145-5200))=0,"",N(INDEX(次果筐明细!$G$4:$G$603,$Z1145-5200))),""),"")))))</f>
        <v/>
      </c>
      <c r="Q1145" s="40" t="str">
        <f>IF($Z1145="","",IF($Z1145&lt;=2000,"",IF($Z1145&lt;=4000,IF(N(INDEX(周转筐出入库明细!$H$4:$H$2004,$Z1145-2000))=0,"",N(INDEX(周转筐出入库明细!$H$4:$H$2004,$Z1145-2000))),IF($Z1145&lt;=5200,IF(N(INDEX(客户自备加工筐明细!$F$4:$F$1203,$Z1145-4000))=0,"",N(INDEX(客户自备加工筐明细!$F$4:$F$1203,$Z1145-4000))),IF($Z1145&lt;=5800,"","")))))</f>
        <v/>
      </c>
      <c r="R1145" s="16" t="str">
        <f>IF($Z1145="","",IF($Z1145&lt;=2000,IF(INDEX(包装物料出入库明细!$O$4:$O$2003,$Z1145-0)=0,"",INDEX(包装物料出入库明细!$O$4:$O$2003,$Z1145-0)),IF($Z1145&lt;=4000,IF(INDEX(周转筐出入库明细!$M$4:$M$2004,$Z1145-2000)=0,"",INDEX(周转筐出入库明细!$M$4:$M$2004,$Z1145-2000)),IF($Z1145&lt;=5200,IF(INDEX(客户自备加工筐明细!$H$4:$H$1203,$Z1145-4000)=0,"",INDEX(客户自备加工筐明细!$H$4:$H$1203,$Z1145-4000)),IF($Z1145&lt;=5800,IF(INDEX(次果筐明细!$H$4:$H$603,$Z1145-5200)=0,"",INDEX(次果筐明细!$H$4:$H$603,$Z1145-5200)),"")))))</f>
        <v/>
      </c>
      <c r="S1145" s="22" t="str">
        <f t="shared" si="53"/>
        <v/>
      </c>
      <c r="Z1145" s="10" t="str">
        <f>IFERROR(MATCH(ROW()-3,_自动清单!$CQ$4:$CQ$5803,0),"")</f>
        <v/>
      </c>
    </row>
    <row r="1146" spans="1:26">
      <c r="A1146" s="24" t="str">
        <f t="shared" si="51"/>
        <v/>
      </c>
      <c r="B1146" s="38" t="str">
        <f>IF($Z1146="","",IF($Z1146&lt;=2000,IF(INDEX(包装物料出入库明细!$B$4:$B$2003,$Z1146-0)=0,"",INDEX(包装物料出入库明细!$B$4:$B$2003,$Z1146-0)),IF($Z1146&lt;=4000,IF(INDEX(周转筐出入库明细!$B$4:$B$2004,$Z1146-2000)=0,"",INDEX(周转筐出入库明细!$B$4:$B$2004,$Z1146-2000)),IF($Z1146&lt;=5200,IF(INDEX(客户自备加工筐明细!$B$4:$B$1203,$Z1146-4000)=0,"",INDEX(客户自备加工筐明细!$B$4:$B$1203,$Z1146-4000)),IF($Z1146&lt;=5800,IF(INDEX(次果筐明细!$B$4:$B$603,$Z1146-5200)=0,"",INDEX(次果筐明细!$B$4:$B$603,$Z1146-5200)),"")))))</f>
        <v/>
      </c>
      <c r="C1146" s="37" t="str">
        <f>IF($Z1146="","",IF($Z1146&lt;=2000,IF(INDEX(包装物料出入库明细!$D$4:$D$2003,$Z1146-0)=0,"",INDEX(包装物料出入库明细!$D$4:$D$2003,$Z1146-0)),IF($Z1146&lt;=4000,IF(INDEX(周转筐出入库明细!$C$4:$C$2004,$Z1146-2000)=0,"",INDEX(周转筐出入库明细!$C$4:$C$2004,$Z1146-2000)),IF($Z1146&lt;=5200,IF(INDEX(客户自备加工筐明细!$E$4:$E$1203,$Z1146-4000)=0,"",INDEX(客户自备加工筐明细!$E$4:$E$1203,$Z1146-4000)),IF($Z1146&lt;=5800,IF(INDEX(次果筐明细!$C$4:$C$603,$Z1146-5200)=0,"",INDEX(次果筐明细!$C$4:$C$603,$Z1146-5200)),"")))))</f>
        <v/>
      </c>
      <c r="D1146" s="37" t="str">
        <f>IF($Z1146="","",IF($Z1146&lt;=2000,"包装物料－"&amp;INDEX(包装物料出入库明细!$H$4:$H$2003,$Z1146-0),IF($Z1146&lt;=4000,"周转筐－"&amp;INDEX(周转筐出入库明细!$F$4:$F$2004,$Z1146-2000),IF($Z1146&lt;=5200,"客户自备筐－"&amp;INDEX(客户自备加工筐明细!$J$4:$J$1203,$Z1146-4000),IF($Z1146&lt;=5800,"次果筐/托盘－"&amp;INDEX(次果筐明细!$F$4:$F$603,$Z1146-5200),"")))))</f>
        <v/>
      </c>
      <c r="E1146" s="24" t="str">
        <f>IF($Z1146="","",IF($Z1146&lt;=2000,IF(INDEX(包装物料出入库明细!$C$4:$C$2003,$Z1146-0)=0,"",INDEX(包装物料出入库明细!$C$4:$C$2003,$Z1146-0)),IF($Z1146&lt;=4000,IF(INDEX(周转筐出入库明细!$E$4:$E$2004,$Z1146-2000)=0,"",INDEX(周转筐出入库明细!$E$4:$E$2004,$Z1146-2000)),IF($Z1146&lt;=5200,IF(INDEX(客户自备加工筐明细!$D$4:$D$1203,$Z1146-4000)=0,"",INDEX(客户自备加工筐明细!$D$4:$D$1203,$Z1146-4000)),IF($Z1146&lt;=5800,IF(INDEX(次果筐明细!$E$4:$E$603,$Z1146-5200)=0,"",INDEX(次果筐明细!$E$4:$E$603,$Z1146-5200)),"")))))</f>
        <v/>
      </c>
      <c r="F1146" s="24" t="str">
        <f>IF($Z1146="","",IF($Z1146&lt;=2000,IF(INDEX(包装物料出入库明细!$E$4:$E$2003,$Z1146-0)=0,"",INDEX(包装物料出入库明细!$E$4:$E$2003,$Z1146-0)),IF($Z1146&lt;=4000,IF(INDEX(周转筐出入库明细!$D$4:$D$2004,$Z1146-2000)=0,"",INDEX(周转筐出入库明细!$D$4:$D$2004,$Z1146-2000)),IF($Z1146&lt;=5200,IF(INDEX(客户自备加工筐明细!$C$4:$C$1203,$Z1146-4000)=0,"",INDEX(客户自备加工筐明细!$C$4:$C$1203,$Z1146-4000)),IF($Z1146&lt;=5800,IF(INDEX(次果筐明细!$D$4:$D$603,$Z1146-5200)=0,"",INDEX(次果筐明细!$D$4:$D$603,$Z1146-5200)),"")))))</f>
        <v/>
      </c>
      <c r="G1146" s="24" t="str">
        <f>IF($Z1146="","",IF($Z1146&lt;=2000,IF(INDEX(包装物料出入库明细!$F$4:$F$2003,$Z1146-0)=0,"",INDEX(包装物料出入库明细!$F$4:$F$2003,$Z1146-0)),IF($Z1146&lt;=4000,"",IF($Z1146&lt;=5200,"",IF($Z1146&lt;=5800,"","")))))</f>
        <v/>
      </c>
      <c r="H1146" s="39" t="str">
        <f>IF($Z1146="","",IF($Z1146&lt;=2000,IF(INDEX(包装物料出入库明细!$L$4:$L$2003,$Z1146-0)=0,"",INDEX(包装物料出入库明细!$L$4:$L$2003,$Z1146-0)),IF($Z1146&lt;=4000,N(INDEX(周转筐出入库明细!$H$4:$H$2004,$Z1146-2000))+N(INDEX(周转筐出入库明细!$I$4:$I$2004,$Z1146-2000))+N(INDEX(周转筐出入库明细!$J$4:$J$2004,$Z1146-2000))+N(INDEX(周转筐出入库明细!$K$4:$K$2004,$Z1146-2000)),IF($Z1146&lt;=5200,N(INDEX(客户自备加工筐明细!$F$4:$F$1203,$Z1146-4000))+N(INDEX(客户自备加工筐明细!$G$4:$G$1203,$Z1146-4000)),IF($Z1146&lt;=5800,IF(INDEX(次果筐明细!$G$4:$G$603,$Z1146-5200)=0,"",INDEX(次果筐明细!$G$4:$G$603,$Z1146-5200)),"")))))</f>
        <v/>
      </c>
      <c r="I1146" s="24" t="str">
        <f>IF($Z1146="","",IF($Z1146&lt;=2000,IF(INDEX(包装物料出入库明细!$G$4:$G$2003,$Z1146-0)=0,"",INDEX(包装物料出入库明细!$G$4:$G$2003,$Z1146-0)),IF($Z1146&lt;=4000,"个",IF($Z1146&lt;=5200,"个",IF($Z1146&lt;=5800,"个","")))))</f>
        <v/>
      </c>
      <c r="J1146" s="30" t="str">
        <f t="shared" si="52"/>
        <v/>
      </c>
      <c r="K1146" s="30" t="str">
        <f>IF($Z1146="","",IF($Z1146&lt;=2000,IF(INDEX(包装物料出入库明细!$N$4:$N$2003,$Z1146-0)=0,"",INDEX(包装物料出入库明细!$N$4:$N$2003,$Z1146-0)),IF($Z1146&lt;=4000,IF(INDEX(周转筐出入库明细!$P$4:$P$2004,$Z1146-2000)=0,"",INDEX(周转筐出入库明细!$P$4:$P$2004,$Z1146-2000)),IF($Z1146&lt;=5200,"",IF($Z1146&lt;=5800,N(INDEX(次果筐明细!$L$4:$L$603,$Z1146-5200))+N(INDEX(次果筐明细!$J$4:$J$603,$Z1146-5200)),"")))))</f>
        <v/>
      </c>
      <c r="L1146" s="24" t="str">
        <f>IF($Z1146="","",IF($Z1146&lt;=2000,IF(INDEX(包装物料出入库明细!$P$4:$P$2003,$Z1146-0)=0,"",INDEX(包装物料出入库明细!$P$4:$P$2003,$Z1146-0)),IF($Z1146&lt;=4000,IF(INDEX(周转筐出入库明细!$Q$4:$Q$2004,$Z1146-2000)=0,"",INDEX(周转筐出入库明细!$Q$4:$Q$2004,$Z1146-2000)),IF($Z1146&lt;=5200,"",IF($Z1146&lt;=5800,IF(INDEX(次果筐明细!$M$4:$M$603,$Z1146-5200)=0,"",INDEX(次果筐明细!$M$4:$M$603,$Z1146-5200)),"")))))</f>
        <v/>
      </c>
      <c r="M1146" s="37" t="str">
        <f>IF($Z1146="","",IF($Z1146&lt;=2000,IF(INDEX(包装物料出入库明细!$R$4:$R$2003,$Z1146-0)=0,"",INDEX(包装物料出入库明细!$R$4:$R$2003,$Z1146-0)),IF($Z1146&lt;=4000,IF(INDEX(周转筐出入库明细!$W$4:$W$2004,$Z1146-2000)=0,"",INDEX(周转筐出入库明细!$W$4:$W$2004,$Z1146-2000)),IF($Z1146&lt;=5200,IF(INDEX(客户自备加工筐明细!$L$4:$L$1203,$Z1146-4000)=0,"",INDEX(客户自备加工筐明细!$L$4:$L$1203,$Z1146-4000)),IF($Z1146&lt;=5800,IF(INDEX(次果筐明细!$P$4:$P$603,$Z1146-5200)=0,"",INDEX(次果筐明细!$P$4:$P$603,$Z1146-5200)),"")))))</f>
        <v/>
      </c>
      <c r="N1146" s="16" t="str">
        <f>IF($Z1146="","",IF($Z1146&lt;=2000,"",IF($Z1146&lt;=4000,IF(INDEX(周转筐出入库明细!$D$4:$D$2004,$Z1146-2000)=0,"",INDEX(周转筐出入库明细!$D$4:$D$2004,$Z1146-2000)),IF($Z1146&lt;=5200,IF(INDEX(客户自备加工筐明细!$C$4:$C$1203,$Z1146-4000)=0,"",INDEX(客户自备加工筐明细!$C$4:$C$1203,$Z1146-4000)),IF($Z1146&lt;=5800,IF(INDEX(次果筐明细!$D$4:$D$603,$Z1146-5200)=0,"",INDEX(次果筐明细!$D$4:$D$603,$Z1146-5200)),"")))))</f>
        <v/>
      </c>
      <c r="O1146" s="40" t="str">
        <f>IF($Z1146="","",IF($Z1146&lt;=2000,"",IF($Z1146&lt;=4000,IF(N(INDEX(周转筐出入库明细!$J$4:$J$2004,$Z1146-2000))+N(INDEX(周转筐出入库明细!$K$4:$K$2004,$Z1146-2000))=0,"",N(INDEX(周转筐出入库明细!$J$4:$J$2004,$Z1146-2000))+N(INDEX(周转筐出入库明细!$K$4:$K$2004,$Z1146-2000))),IF($Z1146&lt;=5200,IF(N(INDEX(客户自备加工筐明细!$G$4:$G$1203,$Z1146-4000))=0,"",N(INDEX(客户自备加工筐明细!$G$4:$G$1203,$Z1146-4000))),IF($Z1146&lt;=5800,IF(ISNUMBER(SEARCH("退",INDEX(次果筐明细!$F$4:$F$603,$Z1146-5200)&amp;"")),"",IF(N(INDEX(次果筐明细!$G$4:$G$603,$Z1146-5200))=0,"",N(INDEX(次果筐明细!$G$4:$G$603,$Z1146-5200)))),"")))))</f>
        <v/>
      </c>
      <c r="P1146" s="40" t="str">
        <f>IF($Z1146="","",IF($Z1146&lt;=2000,"",IF($Z1146&lt;=4000,IF(N(INDEX(周转筐出入库明细!$I$4:$I$2004,$Z1146-2000))=0,"",N(INDEX(周转筐出入库明细!$I$4:$I$2004,$Z1146-2000))),IF($Z1146&lt;=5200,"",IF($Z1146&lt;=5800,IF(ISNUMBER(SEARCH("退",INDEX(次果筐明细!$F$4:$F$603,$Z1146-5200)&amp;"")),IF(N(INDEX(次果筐明细!$G$4:$G$603,$Z1146-5200))=0,"",N(INDEX(次果筐明细!$G$4:$G$603,$Z1146-5200))),""),"")))))</f>
        <v/>
      </c>
      <c r="Q1146" s="40" t="str">
        <f>IF($Z1146="","",IF($Z1146&lt;=2000,"",IF($Z1146&lt;=4000,IF(N(INDEX(周转筐出入库明细!$H$4:$H$2004,$Z1146-2000))=0,"",N(INDEX(周转筐出入库明细!$H$4:$H$2004,$Z1146-2000))),IF($Z1146&lt;=5200,IF(N(INDEX(客户自备加工筐明细!$F$4:$F$1203,$Z1146-4000))=0,"",N(INDEX(客户自备加工筐明细!$F$4:$F$1203,$Z1146-4000))),IF($Z1146&lt;=5800,"","")))))</f>
        <v/>
      </c>
      <c r="R1146" s="16" t="str">
        <f>IF($Z1146="","",IF($Z1146&lt;=2000,IF(INDEX(包装物料出入库明细!$O$4:$O$2003,$Z1146-0)=0,"",INDEX(包装物料出入库明细!$O$4:$O$2003,$Z1146-0)),IF($Z1146&lt;=4000,IF(INDEX(周转筐出入库明细!$M$4:$M$2004,$Z1146-2000)=0,"",INDEX(周转筐出入库明细!$M$4:$M$2004,$Z1146-2000)),IF($Z1146&lt;=5200,IF(INDEX(客户自备加工筐明细!$H$4:$H$1203,$Z1146-4000)=0,"",INDEX(客户自备加工筐明细!$H$4:$H$1203,$Z1146-4000)),IF($Z1146&lt;=5800,IF(INDEX(次果筐明细!$H$4:$H$603,$Z1146-5200)=0,"",INDEX(次果筐明细!$H$4:$H$603,$Z1146-5200)),"")))))</f>
        <v/>
      </c>
      <c r="S1146" s="22" t="str">
        <f t="shared" si="53"/>
        <v/>
      </c>
      <c r="Z1146" s="10" t="str">
        <f>IFERROR(MATCH(ROW()-3,_自动清单!$CQ$4:$CQ$5803,0),"")</f>
        <v/>
      </c>
    </row>
    <row r="1147" spans="1:26">
      <c r="A1147" s="24" t="str">
        <f t="shared" si="51"/>
        <v/>
      </c>
      <c r="B1147" s="38" t="str">
        <f>IF($Z1147="","",IF($Z1147&lt;=2000,IF(INDEX(包装物料出入库明细!$B$4:$B$2003,$Z1147-0)=0,"",INDEX(包装物料出入库明细!$B$4:$B$2003,$Z1147-0)),IF($Z1147&lt;=4000,IF(INDEX(周转筐出入库明细!$B$4:$B$2004,$Z1147-2000)=0,"",INDEX(周转筐出入库明细!$B$4:$B$2004,$Z1147-2000)),IF($Z1147&lt;=5200,IF(INDEX(客户自备加工筐明细!$B$4:$B$1203,$Z1147-4000)=0,"",INDEX(客户自备加工筐明细!$B$4:$B$1203,$Z1147-4000)),IF($Z1147&lt;=5800,IF(INDEX(次果筐明细!$B$4:$B$603,$Z1147-5200)=0,"",INDEX(次果筐明细!$B$4:$B$603,$Z1147-5200)),"")))))</f>
        <v/>
      </c>
      <c r="C1147" s="37" t="str">
        <f>IF($Z1147="","",IF($Z1147&lt;=2000,IF(INDEX(包装物料出入库明细!$D$4:$D$2003,$Z1147-0)=0,"",INDEX(包装物料出入库明细!$D$4:$D$2003,$Z1147-0)),IF($Z1147&lt;=4000,IF(INDEX(周转筐出入库明细!$C$4:$C$2004,$Z1147-2000)=0,"",INDEX(周转筐出入库明细!$C$4:$C$2004,$Z1147-2000)),IF($Z1147&lt;=5200,IF(INDEX(客户自备加工筐明细!$E$4:$E$1203,$Z1147-4000)=0,"",INDEX(客户自备加工筐明细!$E$4:$E$1203,$Z1147-4000)),IF($Z1147&lt;=5800,IF(INDEX(次果筐明细!$C$4:$C$603,$Z1147-5200)=0,"",INDEX(次果筐明细!$C$4:$C$603,$Z1147-5200)),"")))))</f>
        <v/>
      </c>
      <c r="D1147" s="37" t="str">
        <f>IF($Z1147="","",IF($Z1147&lt;=2000,"包装物料－"&amp;INDEX(包装物料出入库明细!$H$4:$H$2003,$Z1147-0),IF($Z1147&lt;=4000,"周转筐－"&amp;INDEX(周转筐出入库明细!$F$4:$F$2004,$Z1147-2000),IF($Z1147&lt;=5200,"客户自备筐－"&amp;INDEX(客户自备加工筐明细!$J$4:$J$1203,$Z1147-4000),IF($Z1147&lt;=5800,"次果筐/托盘－"&amp;INDEX(次果筐明细!$F$4:$F$603,$Z1147-5200),"")))))</f>
        <v/>
      </c>
      <c r="E1147" s="24" t="str">
        <f>IF($Z1147="","",IF($Z1147&lt;=2000,IF(INDEX(包装物料出入库明细!$C$4:$C$2003,$Z1147-0)=0,"",INDEX(包装物料出入库明细!$C$4:$C$2003,$Z1147-0)),IF($Z1147&lt;=4000,IF(INDEX(周转筐出入库明细!$E$4:$E$2004,$Z1147-2000)=0,"",INDEX(周转筐出入库明细!$E$4:$E$2004,$Z1147-2000)),IF($Z1147&lt;=5200,IF(INDEX(客户自备加工筐明细!$D$4:$D$1203,$Z1147-4000)=0,"",INDEX(客户自备加工筐明细!$D$4:$D$1203,$Z1147-4000)),IF($Z1147&lt;=5800,IF(INDEX(次果筐明细!$E$4:$E$603,$Z1147-5200)=0,"",INDEX(次果筐明细!$E$4:$E$603,$Z1147-5200)),"")))))</f>
        <v/>
      </c>
      <c r="F1147" s="24" t="str">
        <f>IF($Z1147="","",IF($Z1147&lt;=2000,IF(INDEX(包装物料出入库明细!$E$4:$E$2003,$Z1147-0)=0,"",INDEX(包装物料出入库明细!$E$4:$E$2003,$Z1147-0)),IF($Z1147&lt;=4000,IF(INDEX(周转筐出入库明细!$D$4:$D$2004,$Z1147-2000)=0,"",INDEX(周转筐出入库明细!$D$4:$D$2004,$Z1147-2000)),IF($Z1147&lt;=5200,IF(INDEX(客户自备加工筐明细!$C$4:$C$1203,$Z1147-4000)=0,"",INDEX(客户自备加工筐明细!$C$4:$C$1203,$Z1147-4000)),IF($Z1147&lt;=5800,IF(INDEX(次果筐明细!$D$4:$D$603,$Z1147-5200)=0,"",INDEX(次果筐明细!$D$4:$D$603,$Z1147-5200)),"")))))</f>
        <v/>
      </c>
      <c r="G1147" s="24" t="str">
        <f>IF($Z1147="","",IF($Z1147&lt;=2000,IF(INDEX(包装物料出入库明细!$F$4:$F$2003,$Z1147-0)=0,"",INDEX(包装物料出入库明细!$F$4:$F$2003,$Z1147-0)),IF($Z1147&lt;=4000,"",IF($Z1147&lt;=5200,"",IF($Z1147&lt;=5800,"","")))))</f>
        <v/>
      </c>
      <c r="H1147" s="39" t="str">
        <f>IF($Z1147="","",IF($Z1147&lt;=2000,IF(INDEX(包装物料出入库明细!$L$4:$L$2003,$Z1147-0)=0,"",INDEX(包装物料出入库明细!$L$4:$L$2003,$Z1147-0)),IF($Z1147&lt;=4000,N(INDEX(周转筐出入库明细!$H$4:$H$2004,$Z1147-2000))+N(INDEX(周转筐出入库明细!$I$4:$I$2004,$Z1147-2000))+N(INDEX(周转筐出入库明细!$J$4:$J$2004,$Z1147-2000))+N(INDEX(周转筐出入库明细!$K$4:$K$2004,$Z1147-2000)),IF($Z1147&lt;=5200,N(INDEX(客户自备加工筐明细!$F$4:$F$1203,$Z1147-4000))+N(INDEX(客户自备加工筐明细!$G$4:$G$1203,$Z1147-4000)),IF($Z1147&lt;=5800,IF(INDEX(次果筐明细!$G$4:$G$603,$Z1147-5200)=0,"",INDEX(次果筐明细!$G$4:$G$603,$Z1147-5200)),"")))))</f>
        <v/>
      </c>
      <c r="I1147" s="24" t="str">
        <f>IF($Z1147="","",IF($Z1147&lt;=2000,IF(INDEX(包装物料出入库明细!$G$4:$G$2003,$Z1147-0)=0,"",INDEX(包装物料出入库明细!$G$4:$G$2003,$Z1147-0)),IF($Z1147&lt;=4000,"个",IF($Z1147&lt;=5200,"个",IF($Z1147&lt;=5800,"个","")))))</f>
        <v/>
      </c>
      <c r="J1147" s="30" t="str">
        <f t="shared" si="52"/>
        <v/>
      </c>
      <c r="K1147" s="30" t="str">
        <f>IF($Z1147="","",IF($Z1147&lt;=2000,IF(INDEX(包装物料出入库明细!$N$4:$N$2003,$Z1147-0)=0,"",INDEX(包装物料出入库明细!$N$4:$N$2003,$Z1147-0)),IF($Z1147&lt;=4000,IF(INDEX(周转筐出入库明细!$P$4:$P$2004,$Z1147-2000)=0,"",INDEX(周转筐出入库明细!$P$4:$P$2004,$Z1147-2000)),IF($Z1147&lt;=5200,"",IF($Z1147&lt;=5800,N(INDEX(次果筐明细!$L$4:$L$603,$Z1147-5200))+N(INDEX(次果筐明细!$J$4:$J$603,$Z1147-5200)),"")))))</f>
        <v/>
      </c>
      <c r="L1147" s="24" t="str">
        <f>IF($Z1147="","",IF($Z1147&lt;=2000,IF(INDEX(包装物料出入库明细!$P$4:$P$2003,$Z1147-0)=0,"",INDEX(包装物料出入库明细!$P$4:$P$2003,$Z1147-0)),IF($Z1147&lt;=4000,IF(INDEX(周转筐出入库明细!$Q$4:$Q$2004,$Z1147-2000)=0,"",INDEX(周转筐出入库明细!$Q$4:$Q$2004,$Z1147-2000)),IF($Z1147&lt;=5200,"",IF($Z1147&lt;=5800,IF(INDEX(次果筐明细!$M$4:$M$603,$Z1147-5200)=0,"",INDEX(次果筐明细!$M$4:$M$603,$Z1147-5200)),"")))))</f>
        <v/>
      </c>
      <c r="M1147" s="37" t="str">
        <f>IF($Z1147="","",IF($Z1147&lt;=2000,IF(INDEX(包装物料出入库明细!$R$4:$R$2003,$Z1147-0)=0,"",INDEX(包装物料出入库明细!$R$4:$R$2003,$Z1147-0)),IF($Z1147&lt;=4000,IF(INDEX(周转筐出入库明细!$W$4:$W$2004,$Z1147-2000)=0,"",INDEX(周转筐出入库明细!$W$4:$W$2004,$Z1147-2000)),IF($Z1147&lt;=5200,IF(INDEX(客户自备加工筐明细!$L$4:$L$1203,$Z1147-4000)=0,"",INDEX(客户自备加工筐明细!$L$4:$L$1203,$Z1147-4000)),IF($Z1147&lt;=5800,IF(INDEX(次果筐明细!$P$4:$P$603,$Z1147-5200)=0,"",INDEX(次果筐明细!$P$4:$P$603,$Z1147-5200)),"")))))</f>
        <v/>
      </c>
      <c r="N1147" s="16" t="str">
        <f>IF($Z1147="","",IF($Z1147&lt;=2000,"",IF($Z1147&lt;=4000,IF(INDEX(周转筐出入库明细!$D$4:$D$2004,$Z1147-2000)=0,"",INDEX(周转筐出入库明细!$D$4:$D$2004,$Z1147-2000)),IF($Z1147&lt;=5200,IF(INDEX(客户自备加工筐明细!$C$4:$C$1203,$Z1147-4000)=0,"",INDEX(客户自备加工筐明细!$C$4:$C$1203,$Z1147-4000)),IF($Z1147&lt;=5800,IF(INDEX(次果筐明细!$D$4:$D$603,$Z1147-5200)=0,"",INDEX(次果筐明细!$D$4:$D$603,$Z1147-5200)),"")))))</f>
        <v/>
      </c>
      <c r="O1147" s="40" t="str">
        <f>IF($Z1147="","",IF($Z1147&lt;=2000,"",IF($Z1147&lt;=4000,IF(N(INDEX(周转筐出入库明细!$J$4:$J$2004,$Z1147-2000))+N(INDEX(周转筐出入库明细!$K$4:$K$2004,$Z1147-2000))=0,"",N(INDEX(周转筐出入库明细!$J$4:$J$2004,$Z1147-2000))+N(INDEX(周转筐出入库明细!$K$4:$K$2004,$Z1147-2000))),IF($Z1147&lt;=5200,IF(N(INDEX(客户自备加工筐明细!$G$4:$G$1203,$Z1147-4000))=0,"",N(INDEX(客户自备加工筐明细!$G$4:$G$1203,$Z1147-4000))),IF($Z1147&lt;=5800,IF(ISNUMBER(SEARCH("退",INDEX(次果筐明细!$F$4:$F$603,$Z1147-5200)&amp;"")),"",IF(N(INDEX(次果筐明细!$G$4:$G$603,$Z1147-5200))=0,"",N(INDEX(次果筐明细!$G$4:$G$603,$Z1147-5200)))),"")))))</f>
        <v/>
      </c>
      <c r="P1147" s="40" t="str">
        <f>IF($Z1147="","",IF($Z1147&lt;=2000,"",IF($Z1147&lt;=4000,IF(N(INDEX(周转筐出入库明细!$I$4:$I$2004,$Z1147-2000))=0,"",N(INDEX(周转筐出入库明细!$I$4:$I$2004,$Z1147-2000))),IF($Z1147&lt;=5200,"",IF($Z1147&lt;=5800,IF(ISNUMBER(SEARCH("退",INDEX(次果筐明细!$F$4:$F$603,$Z1147-5200)&amp;"")),IF(N(INDEX(次果筐明细!$G$4:$G$603,$Z1147-5200))=0,"",N(INDEX(次果筐明细!$G$4:$G$603,$Z1147-5200))),""),"")))))</f>
        <v/>
      </c>
      <c r="Q1147" s="40" t="str">
        <f>IF($Z1147="","",IF($Z1147&lt;=2000,"",IF($Z1147&lt;=4000,IF(N(INDEX(周转筐出入库明细!$H$4:$H$2004,$Z1147-2000))=0,"",N(INDEX(周转筐出入库明细!$H$4:$H$2004,$Z1147-2000))),IF($Z1147&lt;=5200,IF(N(INDEX(客户自备加工筐明细!$F$4:$F$1203,$Z1147-4000))=0,"",N(INDEX(客户自备加工筐明细!$F$4:$F$1203,$Z1147-4000))),IF($Z1147&lt;=5800,"","")))))</f>
        <v/>
      </c>
      <c r="R1147" s="16" t="str">
        <f>IF($Z1147="","",IF($Z1147&lt;=2000,IF(INDEX(包装物料出入库明细!$O$4:$O$2003,$Z1147-0)=0,"",INDEX(包装物料出入库明细!$O$4:$O$2003,$Z1147-0)),IF($Z1147&lt;=4000,IF(INDEX(周转筐出入库明细!$M$4:$M$2004,$Z1147-2000)=0,"",INDEX(周转筐出入库明细!$M$4:$M$2004,$Z1147-2000)),IF($Z1147&lt;=5200,IF(INDEX(客户自备加工筐明细!$H$4:$H$1203,$Z1147-4000)=0,"",INDEX(客户自备加工筐明细!$H$4:$H$1203,$Z1147-4000)),IF($Z1147&lt;=5800,IF(INDEX(次果筐明细!$H$4:$H$603,$Z1147-5200)=0,"",INDEX(次果筐明细!$H$4:$H$603,$Z1147-5200)),"")))))</f>
        <v/>
      </c>
      <c r="S1147" s="22" t="str">
        <f t="shared" si="53"/>
        <v/>
      </c>
      <c r="Z1147" s="10" t="str">
        <f>IFERROR(MATCH(ROW()-3,_自动清单!$CQ$4:$CQ$5803,0),"")</f>
        <v/>
      </c>
    </row>
    <row r="1148" spans="1:26">
      <c r="A1148" s="24" t="str">
        <f t="shared" si="51"/>
        <v/>
      </c>
      <c r="B1148" s="38" t="str">
        <f>IF($Z1148="","",IF($Z1148&lt;=2000,IF(INDEX(包装物料出入库明细!$B$4:$B$2003,$Z1148-0)=0,"",INDEX(包装物料出入库明细!$B$4:$B$2003,$Z1148-0)),IF($Z1148&lt;=4000,IF(INDEX(周转筐出入库明细!$B$4:$B$2004,$Z1148-2000)=0,"",INDEX(周转筐出入库明细!$B$4:$B$2004,$Z1148-2000)),IF($Z1148&lt;=5200,IF(INDEX(客户自备加工筐明细!$B$4:$B$1203,$Z1148-4000)=0,"",INDEX(客户自备加工筐明细!$B$4:$B$1203,$Z1148-4000)),IF($Z1148&lt;=5800,IF(INDEX(次果筐明细!$B$4:$B$603,$Z1148-5200)=0,"",INDEX(次果筐明细!$B$4:$B$603,$Z1148-5200)),"")))))</f>
        <v/>
      </c>
      <c r="C1148" s="37" t="str">
        <f>IF($Z1148="","",IF($Z1148&lt;=2000,IF(INDEX(包装物料出入库明细!$D$4:$D$2003,$Z1148-0)=0,"",INDEX(包装物料出入库明细!$D$4:$D$2003,$Z1148-0)),IF($Z1148&lt;=4000,IF(INDEX(周转筐出入库明细!$C$4:$C$2004,$Z1148-2000)=0,"",INDEX(周转筐出入库明细!$C$4:$C$2004,$Z1148-2000)),IF($Z1148&lt;=5200,IF(INDEX(客户自备加工筐明细!$E$4:$E$1203,$Z1148-4000)=0,"",INDEX(客户自备加工筐明细!$E$4:$E$1203,$Z1148-4000)),IF($Z1148&lt;=5800,IF(INDEX(次果筐明细!$C$4:$C$603,$Z1148-5200)=0,"",INDEX(次果筐明细!$C$4:$C$603,$Z1148-5200)),"")))))</f>
        <v/>
      </c>
      <c r="D1148" s="37" t="str">
        <f>IF($Z1148="","",IF($Z1148&lt;=2000,"包装物料－"&amp;INDEX(包装物料出入库明细!$H$4:$H$2003,$Z1148-0),IF($Z1148&lt;=4000,"周转筐－"&amp;INDEX(周转筐出入库明细!$F$4:$F$2004,$Z1148-2000),IF($Z1148&lt;=5200,"客户自备筐－"&amp;INDEX(客户自备加工筐明细!$J$4:$J$1203,$Z1148-4000),IF($Z1148&lt;=5800,"次果筐/托盘－"&amp;INDEX(次果筐明细!$F$4:$F$603,$Z1148-5200),"")))))</f>
        <v/>
      </c>
      <c r="E1148" s="24" t="str">
        <f>IF($Z1148="","",IF($Z1148&lt;=2000,IF(INDEX(包装物料出入库明细!$C$4:$C$2003,$Z1148-0)=0,"",INDEX(包装物料出入库明细!$C$4:$C$2003,$Z1148-0)),IF($Z1148&lt;=4000,IF(INDEX(周转筐出入库明细!$E$4:$E$2004,$Z1148-2000)=0,"",INDEX(周转筐出入库明细!$E$4:$E$2004,$Z1148-2000)),IF($Z1148&lt;=5200,IF(INDEX(客户自备加工筐明细!$D$4:$D$1203,$Z1148-4000)=0,"",INDEX(客户自备加工筐明细!$D$4:$D$1203,$Z1148-4000)),IF($Z1148&lt;=5800,IF(INDEX(次果筐明细!$E$4:$E$603,$Z1148-5200)=0,"",INDEX(次果筐明细!$E$4:$E$603,$Z1148-5200)),"")))))</f>
        <v/>
      </c>
      <c r="F1148" s="24" t="str">
        <f>IF($Z1148="","",IF($Z1148&lt;=2000,IF(INDEX(包装物料出入库明细!$E$4:$E$2003,$Z1148-0)=0,"",INDEX(包装物料出入库明细!$E$4:$E$2003,$Z1148-0)),IF($Z1148&lt;=4000,IF(INDEX(周转筐出入库明细!$D$4:$D$2004,$Z1148-2000)=0,"",INDEX(周转筐出入库明细!$D$4:$D$2004,$Z1148-2000)),IF($Z1148&lt;=5200,IF(INDEX(客户自备加工筐明细!$C$4:$C$1203,$Z1148-4000)=0,"",INDEX(客户自备加工筐明细!$C$4:$C$1203,$Z1148-4000)),IF($Z1148&lt;=5800,IF(INDEX(次果筐明细!$D$4:$D$603,$Z1148-5200)=0,"",INDEX(次果筐明细!$D$4:$D$603,$Z1148-5200)),"")))))</f>
        <v/>
      </c>
      <c r="G1148" s="24" t="str">
        <f>IF($Z1148="","",IF($Z1148&lt;=2000,IF(INDEX(包装物料出入库明细!$F$4:$F$2003,$Z1148-0)=0,"",INDEX(包装物料出入库明细!$F$4:$F$2003,$Z1148-0)),IF($Z1148&lt;=4000,"",IF($Z1148&lt;=5200,"",IF($Z1148&lt;=5800,"","")))))</f>
        <v/>
      </c>
      <c r="H1148" s="39" t="str">
        <f>IF($Z1148="","",IF($Z1148&lt;=2000,IF(INDEX(包装物料出入库明细!$L$4:$L$2003,$Z1148-0)=0,"",INDEX(包装物料出入库明细!$L$4:$L$2003,$Z1148-0)),IF($Z1148&lt;=4000,N(INDEX(周转筐出入库明细!$H$4:$H$2004,$Z1148-2000))+N(INDEX(周转筐出入库明细!$I$4:$I$2004,$Z1148-2000))+N(INDEX(周转筐出入库明细!$J$4:$J$2004,$Z1148-2000))+N(INDEX(周转筐出入库明细!$K$4:$K$2004,$Z1148-2000)),IF($Z1148&lt;=5200,N(INDEX(客户自备加工筐明细!$F$4:$F$1203,$Z1148-4000))+N(INDEX(客户自备加工筐明细!$G$4:$G$1203,$Z1148-4000)),IF($Z1148&lt;=5800,IF(INDEX(次果筐明细!$G$4:$G$603,$Z1148-5200)=0,"",INDEX(次果筐明细!$G$4:$G$603,$Z1148-5200)),"")))))</f>
        <v/>
      </c>
      <c r="I1148" s="24" t="str">
        <f>IF($Z1148="","",IF($Z1148&lt;=2000,IF(INDEX(包装物料出入库明细!$G$4:$G$2003,$Z1148-0)=0,"",INDEX(包装物料出入库明细!$G$4:$G$2003,$Z1148-0)),IF($Z1148&lt;=4000,"个",IF($Z1148&lt;=5200,"个",IF($Z1148&lt;=5800,"个","")))))</f>
        <v/>
      </c>
      <c r="J1148" s="30" t="str">
        <f t="shared" si="52"/>
        <v/>
      </c>
      <c r="K1148" s="30" t="str">
        <f>IF($Z1148="","",IF($Z1148&lt;=2000,IF(INDEX(包装物料出入库明细!$N$4:$N$2003,$Z1148-0)=0,"",INDEX(包装物料出入库明细!$N$4:$N$2003,$Z1148-0)),IF($Z1148&lt;=4000,IF(INDEX(周转筐出入库明细!$P$4:$P$2004,$Z1148-2000)=0,"",INDEX(周转筐出入库明细!$P$4:$P$2004,$Z1148-2000)),IF($Z1148&lt;=5200,"",IF($Z1148&lt;=5800,N(INDEX(次果筐明细!$L$4:$L$603,$Z1148-5200))+N(INDEX(次果筐明细!$J$4:$J$603,$Z1148-5200)),"")))))</f>
        <v/>
      </c>
      <c r="L1148" s="24" t="str">
        <f>IF($Z1148="","",IF($Z1148&lt;=2000,IF(INDEX(包装物料出入库明细!$P$4:$P$2003,$Z1148-0)=0,"",INDEX(包装物料出入库明细!$P$4:$P$2003,$Z1148-0)),IF($Z1148&lt;=4000,IF(INDEX(周转筐出入库明细!$Q$4:$Q$2004,$Z1148-2000)=0,"",INDEX(周转筐出入库明细!$Q$4:$Q$2004,$Z1148-2000)),IF($Z1148&lt;=5200,"",IF($Z1148&lt;=5800,IF(INDEX(次果筐明细!$M$4:$M$603,$Z1148-5200)=0,"",INDEX(次果筐明细!$M$4:$M$603,$Z1148-5200)),"")))))</f>
        <v/>
      </c>
      <c r="M1148" s="37" t="str">
        <f>IF($Z1148="","",IF($Z1148&lt;=2000,IF(INDEX(包装物料出入库明细!$R$4:$R$2003,$Z1148-0)=0,"",INDEX(包装物料出入库明细!$R$4:$R$2003,$Z1148-0)),IF($Z1148&lt;=4000,IF(INDEX(周转筐出入库明细!$W$4:$W$2004,$Z1148-2000)=0,"",INDEX(周转筐出入库明细!$W$4:$W$2004,$Z1148-2000)),IF($Z1148&lt;=5200,IF(INDEX(客户自备加工筐明细!$L$4:$L$1203,$Z1148-4000)=0,"",INDEX(客户自备加工筐明细!$L$4:$L$1203,$Z1148-4000)),IF($Z1148&lt;=5800,IF(INDEX(次果筐明细!$P$4:$P$603,$Z1148-5200)=0,"",INDEX(次果筐明细!$P$4:$P$603,$Z1148-5200)),"")))))</f>
        <v/>
      </c>
      <c r="N1148" s="16" t="str">
        <f>IF($Z1148="","",IF($Z1148&lt;=2000,"",IF($Z1148&lt;=4000,IF(INDEX(周转筐出入库明细!$D$4:$D$2004,$Z1148-2000)=0,"",INDEX(周转筐出入库明细!$D$4:$D$2004,$Z1148-2000)),IF($Z1148&lt;=5200,IF(INDEX(客户自备加工筐明细!$C$4:$C$1203,$Z1148-4000)=0,"",INDEX(客户自备加工筐明细!$C$4:$C$1203,$Z1148-4000)),IF($Z1148&lt;=5800,IF(INDEX(次果筐明细!$D$4:$D$603,$Z1148-5200)=0,"",INDEX(次果筐明细!$D$4:$D$603,$Z1148-5200)),"")))))</f>
        <v/>
      </c>
      <c r="O1148" s="40" t="str">
        <f>IF($Z1148="","",IF($Z1148&lt;=2000,"",IF($Z1148&lt;=4000,IF(N(INDEX(周转筐出入库明细!$J$4:$J$2004,$Z1148-2000))+N(INDEX(周转筐出入库明细!$K$4:$K$2004,$Z1148-2000))=0,"",N(INDEX(周转筐出入库明细!$J$4:$J$2004,$Z1148-2000))+N(INDEX(周转筐出入库明细!$K$4:$K$2004,$Z1148-2000))),IF($Z1148&lt;=5200,IF(N(INDEX(客户自备加工筐明细!$G$4:$G$1203,$Z1148-4000))=0,"",N(INDEX(客户自备加工筐明细!$G$4:$G$1203,$Z1148-4000))),IF($Z1148&lt;=5800,IF(ISNUMBER(SEARCH("退",INDEX(次果筐明细!$F$4:$F$603,$Z1148-5200)&amp;"")),"",IF(N(INDEX(次果筐明细!$G$4:$G$603,$Z1148-5200))=0,"",N(INDEX(次果筐明细!$G$4:$G$603,$Z1148-5200)))),"")))))</f>
        <v/>
      </c>
      <c r="P1148" s="40" t="str">
        <f>IF($Z1148="","",IF($Z1148&lt;=2000,"",IF($Z1148&lt;=4000,IF(N(INDEX(周转筐出入库明细!$I$4:$I$2004,$Z1148-2000))=0,"",N(INDEX(周转筐出入库明细!$I$4:$I$2004,$Z1148-2000))),IF($Z1148&lt;=5200,"",IF($Z1148&lt;=5800,IF(ISNUMBER(SEARCH("退",INDEX(次果筐明细!$F$4:$F$603,$Z1148-5200)&amp;"")),IF(N(INDEX(次果筐明细!$G$4:$G$603,$Z1148-5200))=0,"",N(INDEX(次果筐明细!$G$4:$G$603,$Z1148-5200))),""),"")))))</f>
        <v/>
      </c>
      <c r="Q1148" s="40" t="str">
        <f>IF($Z1148="","",IF($Z1148&lt;=2000,"",IF($Z1148&lt;=4000,IF(N(INDEX(周转筐出入库明细!$H$4:$H$2004,$Z1148-2000))=0,"",N(INDEX(周转筐出入库明细!$H$4:$H$2004,$Z1148-2000))),IF($Z1148&lt;=5200,IF(N(INDEX(客户自备加工筐明细!$F$4:$F$1203,$Z1148-4000))=0,"",N(INDEX(客户自备加工筐明细!$F$4:$F$1203,$Z1148-4000))),IF($Z1148&lt;=5800,"","")))))</f>
        <v/>
      </c>
      <c r="R1148" s="16" t="str">
        <f>IF($Z1148="","",IF($Z1148&lt;=2000,IF(INDEX(包装物料出入库明细!$O$4:$O$2003,$Z1148-0)=0,"",INDEX(包装物料出入库明细!$O$4:$O$2003,$Z1148-0)),IF($Z1148&lt;=4000,IF(INDEX(周转筐出入库明细!$M$4:$M$2004,$Z1148-2000)=0,"",INDEX(周转筐出入库明细!$M$4:$M$2004,$Z1148-2000)),IF($Z1148&lt;=5200,IF(INDEX(客户自备加工筐明细!$H$4:$H$1203,$Z1148-4000)=0,"",INDEX(客户自备加工筐明细!$H$4:$H$1203,$Z1148-4000)),IF($Z1148&lt;=5800,IF(INDEX(次果筐明细!$H$4:$H$603,$Z1148-5200)=0,"",INDEX(次果筐明细!$H$4:$H$603,$Z1148-5200)),"")))))</f>
        <v/>
      </c>
      <c r="S1148" s="22" t="str">
        <f t="shared" si="53"/>
        <v/>
      </c>
      <c r="Z1148" s="10" t="str">
        <f>IFERROR(MATCH(ROW()-3,_自动清单!$CQ$4:$CQ$5803,0),"")</f>
        <v/>
      </c>
    </row>
    <row r="1149" spans="1:26">
      <c r="A1149" s="24" t="str">
        <f t="shared" si="51"/>
        <v/>
      </c>
      <c r="B1149" s="38" t="str">
        <f>IF($Z1149="","",IF($Z1149&lt;=2000,IF(INDEX(包装物料出入库明细!$B$4:$B$2003,$Z1149-0)=0,"",INDEX(包装物料出入库明细!$B$4:$B$2003,$Z1149-0)),IF($Z1149&lt;=4000,IF(INDEX(周转筐出入库明细!$B$4:$B$2004,$Z1149-2000)=0,"",INDEX(周转筐出入库明细!$B$4:$B$2004,$Z1149-2000)),IF($Z1149&lt;=5200,IF(INDEX(客户自备加工筐明细!$B$4:$B$1203,$Z1149-4000)=0,"",INDEX(客户自备加工筐明细!$B$4:$B$1203,$Z1149-4000)),IF($Z1149&lt;=5800,IF(INDEX(次果筐明细!$B$4:$B$603,$Z1149-5200)=0,"",INDEX(次果筐明细!$B$4:$B$603,$Z1149-5200)),"")))))</f>
        <v/>
      </c>
      <c r="C1149" s="37" t="str">
        <f>IF($Z1149="","",IF($Z1149&lt;=2000,IF(INDEX(包装物料出入库明细!$D$4:$D$2003,$Z1149-0)=0,"",INDEX(包装物料出入库明细!$D$4:$D$2003,$Z1149-0)),IF($Z1149&lt;=4000,IF(INDEX(周转筐出入库明细!$C$4:$C$2004,$Z1149-2000)=0,"",INDEX(周转筐出入库明细!$C$4:$C$2004,$Z1149-2000)),IF($Z1149&lt;=5200,IF(INDEX(客户自备加工筐明细!$E$4:$E$1203,$Z1149-4000)=0,"",INDEX(客户自备加工筐明细!$E$4:$E$1203,$Z1149-4000)),IF($Z1149&lt;=5800,IF(INDEX(次果筐明细!$C$4:$C$603,$Z1149-5200)=0,"",INDEX(次果筐明细!$C$4:$C$603,$Z1149-5200)),"")))))</f>
        <v/>
      </c>
      <c r="D1149" s="37" t="str">
        <f>IF($Z1149="","",IF($Z1149&lt;=2000,"包装物料－"&amp;INDEX(包装物料出入库明细!$H$4:$H$2003,$Z1149-0),IF($Z1149&lt;=4000,"周转筐－"&amp;INDEX(周转筐出入库明细!$F$4:$F$2004,$Z1149-2000),IF($Z1149&lt;=5200,"客户自备筐－"&amp;INDEX(客户自备加工筐明细!$J$4:$J$1203,$Z1149-4000),IF($Z1149&lt;=5800,"次果筐/托盘－"&amp;INDEX(次果筐明细!$F$4:$F$603,$Z1149-5200),"")))))</f>
        <v/>
      </c>
      <c r="E1149" s="24" t="str">
        <f>IF($Z1149="","",IF($Z1149&lt;=2000,IF(INDEX(包装物料出入库明细!$C$4:$C$2003,$Z1149-0)=0,"",INDEX(包装物料出入库明细!$C$4:$C$2003,$Z1149-0)),IF($Z1149&lt;=4000,IF(INDEX(周转筐出入库明细!$E$4:$E$2004,$Z1149-2000)=0,"",INDEX(周转筐出入库明细!$E$4:$E$2004,$Z1149-2000)),IF($Z1149&lt;=5200,IF(INDEX(客户自备加工筐明细!$D$4:$D$1203,$Z1149-4000)=0,"",INDEX(客户自备加工筐明细!$D$4:$D$1203,$Z1149-4000)),IF($Z1149&lt;=5800,IF(INDEX(次果筐明细!$E$4:$E$603,$Z1149-5200)=0,"",INDEX(次果筐明细!$E$4:$E$603,$Z1149-5200)),"")))))</f>
        <v/>
      </c>
      <c r="F1149" s="24" t="str">
        <f>IF($Z1149="","",IF($Z1149&lt;=2000,IF(INDEX(包装物料出入库明细!$E$4:$E$2003,$Z1149-0)=0,"",INDEX(包装物料出入库明细!$E$4:$E$2003,$Z1149-0)),IF($Z1149&lt;=4000,IF(INDEX(周转筐出入库明细!$D$4:$D$2004,$Z1149-2000)=0,"",INDEX(周转筐出入库明细!$D$4:$D$2004,$Z1149-2000)),IF($Z1149&lt;=5200,IF(INDEX(客户自备加工筐明细!$C$4:$C$1203,$Z1149-4000)=0,"",INDEX(客户自备加工筐明细!$C$4:$C$1203,$Z1149-4000)),IF($Z1149&lt;=5800,IF(INDEX(次果筐明细!$D$4:$D$603,$Z1149-5200)=0,"",INDEX(次果筐明细!$D$4:$D$603,$Z1149-5200)),"")))))</f>
        <v/>
      </c>
      <c r="G1149" s="24" t="str">
        <f>IF($Z1149="","",IF($Z1149&lt;=2000,IF(INDEX(包装物料出入库明细!$F$4:$F$2003,$Z1149-0)=0,"",INDEX(包装物料出入库明细!$F$4:$F$2003,$Z1149-0)),IF($Z1149&lt;=4000,"",IF($Z1149&lt;=5200,"",IF($Z1149&lt;=5800,"","")))))</f>
        <v/>
      </c>
      <c r="H1149" s="39" t="str">
        <f>IF($Z1149="","",IF($Z1149&lt;=2000,IF(INDEX(包装物料出入库明细!$L$4:$L$2003,$Z1149-0)=0,"",INDEX(包装物料出入库明细!$L$4:$L$2003,$Z1149-0)),IF($Z1149&lt;=4000,N(INDEX(周转筐出入库明细!$H$4:$H$2004,$Z1149-2000))+N(INDEX(周转筐出入库明细!$I$4:$I$2004,$Z1149-2000))+N(INDEX(周转筐出入库明细!$J$4:$J$2004,$Z1149-2000))+N(INDEX(周转筐出入库明细!$K$4:$K$2004,$Z1149-2000)),IF($Z1149&lt;=5200,N(INDEX(客户自备加工筐明细!$F$4:$F$1203,$Z1149-4000))+N(INDEX(客户自备加工筐明细!$G$4:$G$1203,$Z1149-4000)),IF($Z1149&lt;=5800,IF(INDEX(次果筐明细!$G$4:$G$603,$Z1149-5200)=0,"",INDEX(次果筐明细!$G$4:$G$603,$Z1149-5200)),"")))))</f>
        <v/>
      </c>
      <c r="I1149" s="24" t="str">
        <f>IF($Z1149="","",IF($Z1149&lt;=2000,IF(INDEX(包装物料出入库明细!$G$4:$G$2003,$Z1149-0)=0,"",INDEX(包装物料出入库明细!$G$4:$G$2003,$Z1149-0)),IF($Z1149&lt;=4000,"个",IF($Z1149&lt;=5200,"个",IF($Z1149&lt;=5800,"个","")))))</f>
        <v/>
      </c>
      <c r="J1149" s="30" t="str">
        <f t="shared" si="52"/>
        <v/>
      </c>
      <c r="K1149" s="30" t="str">
        <f>IF($Z1149="","",IF($Z1149&lt;=2000,IF(INDEX(包装物料出入库明细!$N$4:$N$2003,$Z1149-0)=0,"",INDEX(包装物料出入库明细!$N$4:$N$2003,$Z1149-0)),IF($Z1149&lt;=4000,IF(INDEX(周转筐出入库明细!$P$4:$P$2004,$Z1149-2000)=0,"",INDEX(周转筐出入库明细!$P$4:$P$2004,$Z1149-2000)),IF($Z1149&lt;=5200,"",IF($Z1149&lt;=5800,N(INDEX(次果筐明细!$L$4:$L$603,$Z1149-5200))+N(INDEX(次果筐明细!$J$4:$J$603,$Z1149-5200)),"")))))</f>
        <v/>
      </c>
      <c r="L1149" s="24" t="str">
        <f>IF($Z1149="","",IF($Z1149&lt;=2000,IF(INDEX(包装物料出入库明细!$P$4:$P$2003,$Z1149-0)=0,"",INDEX(包装物料出入库明细!$P$4:$P$2003,$Z1149-0)),IF($Z1149&lt;=4000,IF(INDEX(周转筐出入库明细!$Q$4:$Q$2004,$Z1149-2000)=0,"",INDEX(周转筐出入库明细!$Q$4:$Q$2004,$Z1149-2000)),IF($Z1149&lt;=5200,"",IF($Z1149&lt;=5800,IF(INDEX(次果筐明细!$M$4:$M$603,$Z1149-5200)=0,"",INDEX(次果筐明细!$M$4:$M$603,$Z1149-5200)),"")))))</f>
        <v/>
      </c>
      <c r="M1149" s="37" t="str">
        <f>IF($Z1149="","",IF($Z1149&lt;=2000,IF(INDEX(包装物料出入库明细!$R$4:$R$2003,$Z1149-0)=0,"",INDEX(包装物料出入库明细!$R$4:$R$2003,$Z1149-0)),IF($Z1149&lt;=4000,IF(INDEX(周转筐出入库明细!$W$4:$W$2004,$Z1149-2000)=0,"",INDEX(周转筐出入库明细!$W$4:$W$2004,$Z1149-2000)),IF($Z1149&lt;=5200,IF(INDEX(客户自备加工筐明细!$L$4:$L$1203,$Z1149-4000)=0,"",INDEX(客户自备加工筐明细!$L$4:$L$1203,$Z1149-4000)),IF($Z1149&lt;=5800,IF(INDEX(次果筐明细!$P$4:$P$603,$Z1149-5200)=0,"",INDEX(次果筐明细!$P$4:$P$603,$Z1149-5200)),"")))))</f>
        <v/>
      </c>
      <c r="N1149" s="16" t="str">
        <f>IF($Z1149="","",IF($Z1149&lt;=2000,"",IF($Z1149&lt;=4000,IF(INDEX(周转筐出入库明细!$D$4:$D$2004,$Z1149-2000)=0,"",INDEX(周转筐出入库明细!$D$4:$D$2004,$Z1149-2000)),IF($Z1149&lt;=5200,IF(INDEX(客户自备加工筐明细!$C$4:$C$1203,$Z1149-4000)=0,"",INDEX(客户自备加工筐明细!$C$4:$C$1203,$Z1149-4000)),IF($Z1149&lt;=5800,IF(INDEX(次果筐明细!$D$4:$D$603,$Z1149-5200)=0,"",INDEX(次果筐明细!$D$4:$D$603,$Z1149-5200)),"")))))</f>
        <v/>
      </c>
      <c r="O1149" s="40" t="str">
        <f>IF($Z1149="","",IF($Z1149&lt;=2000,"",IF($Z1149&lt;=4000,IF(N(INDEX(周转筐出入库明细!$J$4:$J$2004,$Z1149-2000))+N(INDEX(周转筐出入库明细!$K$4:$K$2004,$Z1149-2000))=0,"",N(INDEX(周转筐出入库明细!$J$4:$J$2004,$Z1149-2000))+N(INDEX(周转筐出入库明细!$K$4:$K$2004,$Z1149-2000))),IF($Z1149&lt;=5200,IF(N(INDEX(客户自备加工筐明细!$G$4:$G$1203,$Z1149-4000))=0,"",N(INDEX(客户自备加工筐明细!$G$4:$G$1203,$Z1149-4000))),IF($Z1149&lt;=5800,IF(ISNUMBER(SEARCH("退",INDEX(次果筐明细!$F$4:$F$603,$Z1149-5200)&amp;"")),"",IF(N(INDEX(次果筐明细!$G$4:$G$603,$Z1149-5200))=0,"",N(INDEX(次果筐明细!$G$4:$G$603,$Z1149-5200)))),"")))))</f>
        <v/>
      </c>
      <c r="P1149" s="40" t="str">
        <f>IF($Z1149="","",IF($Z1149&lt;=2000,"",IF($Z1149&lt;=4000,IF(N(INDEX(周转筐出入库明细!$I$4:$I$2004,$Z1149-2000))=0,"",N(INDEX(周转筐出入库明细!$I$4:$I$2004,$Z1149-2000))),IF($Z1149&lt;=5200,"",IF($Z1149&lt;=5800,IF(ISNUMBER(SEARCH("退",INDEX(次果筐明细!$F$4:$F$603,$Z1149-5200)&amp;"")),IF(N(INDEX(次果筐明细!$G$4:$G$603,$Z1149-5200))=0,"",N(INDEX(次果筐明细!$G$4:$G$603,$Z1149-5200))),""),"")))))</f>
        <v/>
      </c>
      <c r="Q1149" s="40" t="str">
        <f>IF($Z1149="","",IF($Z1149&lt;=2000,"",IF($Z1149&lt;=4000,IF(N(INDEX(周转筐出入库明细!$H$4:$H$2004,$Z1149-2000))=0,"",N(INDEX(周转筐出入库明细!$H$4:$H$2004,$Z1149-2000))),IF($Z1149&lt;=5200,IF(N(INDEX(客户自备加工筐明细!$F$4:$F$1203,$Z1149-4000))=0,"",N(INDEX(客户自备加工筐明细!$F$4:$F$1203,$Z1149-4000))),IF($Z1149&lt;=5800,"","")))))</f>
        <v/>
      </c>
      <c r="R1149" s="16" t="str">
        <f>IF($Z1149="","",IF($Z1149&lt;=2000,IF(INDEX(包装物料出入库明细!$O$4:$O$2003,$Z1149-0)=0,"",INDEX(包装物料出入库明细!$O$4:$O$2003,$Z1149-0)),IF($Z1149&lt;=4000,IF(INDEX(周转筐出入库明细!$M$4:$M$2004,$Z1149-2000)=0,"",INDEX(周转筐出入库明细!$M$4:$M$2004,$Z1149-2000)),IF($Z1149&lt;=5200,IF(INDEX(客户自备加工筐明细!$H$4:$H$1203,$Z1149-4000)=0,"",INDEX(客户自备加工筐明细!$H$4:$H$1203,$Z1149-4000)),IF($Z1149&lt;=5800,IF(INDEX(次果筐明细!$H$4:$H$603,$Z1149-5200)=0,"",INDEX(次果筐明细!$H$4:$H$603,$Z1149-5200)),"")))))</f>
        <v/>
      </c>
      <c r="S1149" s="22" t="str">
        <f t="shared" si="53"/>
        <v/>
      </c>
      <c r="Z1149" s="10" t="str">
        <f>IFERROR(MATCH(ROW()-3,_自动清单!$CQ$4:$CQ$5803,0),"")</f>
        <v/>
      </c>
    </row>
    <row r="1150" spans="1:26">
      <c r="A1150" s="24" t="str">
        <f t="shared" si="51"/>
        <v/>
      </c>
      <c r="B1150" s="38" t="str">
        <f>IF($Z1150="","",IF($Z1150&lt;=2000,IF(INDEX(包装物料出入库明细!$B$4:$B$2003,$Z1150-0)=0,"",INDEX(包装物料出入库明细!$B$4:$B$2003,$Z1150-0)),IF($Z1150&lt;=4000,IF(INDEX(周转筐出入库明细!$B$4:$B$2004,$Z1150-2000)=0,"",INDEX(周转筐出入库明细!$B$4:$B$2004,$Z1150-2000)),IF($Z1150&lt;=5200,IF(INDEX(客户自备加工筐明细!$B$4:$B$1203,$Z1150-4000)=0,"",INDEX(客户自备加工筐明细!$B$4:$B$1203,$Z1150-4000)),IF($Z1150&lt;=5800,IF(INDEX(次果筐明细!$B$4:$B$603,$Z1150-5200)=0,"",INDEX(次果筐明细!$B$4:$B$603,$Z1150-5200)),"")))))</f>
        <v/>
      </c>
      <c r="C1150" s="37" t="str">
        <f>IF($Z1150="","",IF($Z1150&lt;=2000,IF(INDEX(包装物料出入库明细!$D$4:$D$2003,$Z1150-0)=0,"",INDEX(包装物料出入库明细!$D$4:$D$2003,$Z1150-0)),IF($Z1150&lt;=4000,IF(INDEX(周转筐出入库明细!$C$4:$C$2004,$Z1150-2000)=0,"",INDEX(周转筐出入库明细!$C$4:$C$2004,$Z1150-2000)),IF($Z1150&lt;=5200,IF(INDEX(客户自备加工筐明细!$E$4:$E$1203,$Z1150-4000)=0,"",INDEX(客户自备加工筐明细!$E$4:$E$1203,$Z1150-4000)),IF($Z1150&lt;=5800,IF(INDEX(次果筐明细!$C$4:$C$603,$Z1150-5200)=0,"",INDEX(次果筐明细!$C$4:$C$603,$Z1150-5200)),"")))))</f>
        <v/>
      </c>
      <c r="D1150" s="37" t="str">
        <f>IF($Z1150="","",IF($Z1150&lt;=2000,"包装物料－"&amp;INDEX(包装物料出入库明细!$H$4:$H$2003,$Z1150-0),IF($Z1150&lt;=4000,"周转筐－"&amp;INDEX(周转筐出入库明细!$F$4:$F$2004,$Z1150-2000),IF($Z1150&lt;=5200,"客户自备筐－"&amp;INDEX(客户自备加工筐明细!$J$4:$J$1203,$Z1150-4000),IF($Z1150&lt;=5800,"次果筐/托盘－"&amp;INDEX(次果筐明细!$F$4:$F$603,$Z1150-5200),"")))))</f>
        <v/>
      </c>
      <c r="E1150" s="24" t="str">
        <f>IF($Z1150="","",IF($Z1150&lt;=2000,IF(INDEX(包装物料出入库明细!$C$4:$C$2003,$Z1150-0)=0,"",INDEX(包装物料出入库明细!$C$4:$C$2003,$Z1150-0)),IF($Z1150&lt;=4000,IF(INDEX(周转筐出入库明细!$E$4:$E$2004,$Z1150-2000)=0,"",INDEX(周转筐出入库明细!$E$4:$E$2004,$Z1150-2000)),IF($Z1150&lt;=5200,IF(INDEX(客户自备加工筐明细!$D$4:$D$1203,$Z1150-4000)=0,"",INDEX(客户自备加工筐明细!$D$4:$D$1203,$Z1150-4000)),IF($Z1150&lt;=5800,IF(INDEX(次果筐明细!$E$4:$E$603,$Z1150-5200)=0,"",INDEX(次果筐明细!$E$4:$E$603,$Z1150-5200)),"")))))</f>
        <v/>
      </c>
      <c r="F1150" s="24" t="str">
        <f>IF($Z1150="","",IF($Z1150&lt;=2000,IF(INDEX(包装物料出入库明细!$E$4:$E$2003,$Z1150-0)=0,"",INDEX(包装物料出入库明细!$E$4:$E$2003,$Z1150-0)),IF($Z1150&lt;=4000,IF(INDEX(周转筐出入库明细!$D$4:$D$2004,$Z1150-2000)=0,"",INDEX(周转筐出入库明细!$D$4:$D$2004,$Z1150-2000)),IF($Z1150&lt;=5200,IF(INDEX(客户自备加工筐明细!$C$4:$C$1203,$Z1150-4000)=0,"",INDEX(客户自备加工筐明细!$C$4:$C$1203,$Z1150-4000)),IF($Z1150&lt;=5800,IF(INDEX(次果筐明细!$D$4:$D$603,$Z1150-5200)=0,"",INDEX(次果筐明细!$D$4:$D$603,$Z1150-5200)),"")))))</f>
        <v/>
      </c>
      <c r="G1150" s="24" t="str">
        <f>IF($Z1150="","",IF($Z1150&lt;=2000,IF(INDEX(包装物料出入库明细!$F$4:$F$2003,$Z1150-0)=0,"",INDEX(包装物料出入库明细!$F$4:$F$2003,$Z1150-0)),IF($Z1150&lt;=4000,"",IF($Z1150&lt;=5200,"",IF($Z1150&lt;=5800,"","")))))</f>
        <v/>
      </c>
      <c r="H1150" s="39" t="str">
        <f>IF($Z1150="","",IF($Z1150&lt;=2000,IF(INDEX(包装物料出入库明细!$L$4:$L$2003,$Z1150-0)=0,"",INDEX(包装物料出入库明细!$L$4:$L$2003,$Z1150-0)),IF($Z1150&lt;=4000,N(INDEX(周转筐出入库明细!$H$4:$H$2004,$Z1150-2000))+N(INDEX(周转筐出入库明细!$I$4:$I$2004,$Z1150-2000))+N(INDEX(周转筐出入库明细!$J$4:$J$2004,$Z1150-2000))+N(INDEX(周转筐出入库明细!$K$4:$K$2004,$Z1150-2000)),IF($Z1150&lt;=5200,N(INDEX(客户自备加工筐明细!$F$4:$F$1203,$Z1150-4000))+N(INDEX(客户自备加工筐明细!$G$4:$G$1203,$Z1150-4000)),IF($Z1150&lt;=5800,IF(INDEX(次果筐明细!$G$4:$G$603,$Z1150-5200)=0,"",INDEX(次果筐明细!$G$4:$G$603,$Z1150-5200)),"")))))</f>
        <v/>
      </c>
      <c r="I1150" s="24" t="str">
        <f>IF($Z1150="","",IF($Z1150&lt;=2000,IF(INDEX(包装物料出入库明细!$G$4:$G$2003,$Z1150-0)=0,"",INDEX(包装物料出入库明细!$G$4:$G$2003,$Z1150-0)),IF($Z1150&lt;=4000,"个",IF($Z1150&lt;=5200,"个",IF($Z1150&lt;=5800,"个","")))))</f>
        <v/>
      </c>
      <c r="J1150" s="30" t="str">
        <f t="shared" si="52"/>
        <v/>
      </c>
      <c r="K1150" s="30" t="str">
        <f>IF($Z1150="","",IF($Z1150&lt;=2000,IF(INDEX(包装物料出入库明细!$N$4:$N$2003,$Z1150-0)=0,"",INDEX(包装物料出入库明细!$N$4:$N$2003,$Z1150-0)),IF($Z1150&lt;=4000,IF(INDEX(周转筐出入库明细!$P$4:$P$2004,$Z1150-2000)=0,"",INDEX(周转筐出入库明细!$P$4:$P$2004,$Z1150-2000)),IF($Z1150&lt;=5200,"",IF($Z1150&lt;=5800,N(INDEX(次果筐明细!$L$4:$L$603,$Z1150-5200))+N(INDEX(次果筐明细!$J$4:$J$603,$Z1150-5200)),"")))))</f>
        <v/>
      </c>
      <c r="L1150" s="24" t="str">
        <f>IF($Z1150="","",IF($Z1150&lt;=2000,IF(INDEX(包装物料出入库明细!$P$4:$P$2003,$Z1150-0)=0,"",INDEX(包装物料出入库明细!$P$4:$P$2003,$Z1150-0)),IF($Z1150&lt;=4000,IF(INDEX(周转筐出入库明细!$Q$4:$Q$2004,$Z1150-2000)=0,"",INDEX(周转筐出入库明细!$Q$4:$Q$2004,$Z1150-2000)),IF($Z1150&lt;=5200,"",IF($Z1150&lt;=5800,IF(INDEX(次果筐明细!$M$4:$M$603,$Z1150-5200)=0,"",INDEX(次果筐明细!$M$4:$M$603,$Z1150-5200)),"")))))</f>
        <v/>
      </c>
      <c r="M1150" s="37" t="str">
        <f>IF($Z1150="","",IF($Z1150&lt;=2000,IF(INDEX(包装物料出入库明细!$R$4:$R$2003,$Z1150-0)=0,"",INDEX(包装物料出入库明细!$R$4:$R$2003,$Z1150-0)),IF($Z1150&lt;=4000,IF(INDEX(周转筐出入库明细!$W$4:$W$2004,$Z1150-2000)=0,"",INDEX(周转筐出入库明细!$W$4:$W$2004,$Z1150-2000)),IF($Z1150&lt;=5200,IF(INDEX(客户自备加工筐明细!$L$4:$L$1203,$Z1150-4000)=0,"",INDEX(客户自备加工筐明细!$L$4:$L$1203,$Z1150-4000)),IF($Z1150&lt;=5800,IF(INDEX(次果筐明细!$P$4:$P$603,$Z1150-5200)=0,"",INDEX(次果筐明细!$P$4:$P$603,$Z1150-5200)),"")))))</f>
        <v/>
      </c>
      <c r="N1150" s="16" t="str">
        <f>IF($Z1150="","",IF($Z1150&lt;=2000,"",IF($Z1150&lt;=4000,IF(INDEX(周转筐出入库明细!$D$4:$D$2004,$Z1150-2000)=0,"",INDEX(周转筐出入库明细!$D$4:$D$2004,$Z1150-2000)),IF($Z1150&lt;=5200,IF(INDEX(客户自备加工筐明细!$C$4:$C$1203,$Z1150-4000)=0,"",INDEX(客户自备加工筐明细!$C$4:$C$1203,$Z1150-4000)),IF($Z1150&lt;=5800,IF(INDEX(次果筐明细!$D$4:$D$603,$Z1150-5200)=0,"",INDEX(次果筐明细!$D$4:$D$603,$Z1150-5200)),"")))))</f>
        <v/>
      </c>
      <c r="O1150" s="40" t="str">
        <f>IF($Z1150="","",IF($Z1150&lt;=2000,"",IF($Z1150&lt;=4000,IF(N(INDEX(周转筐出入库明细!$J$4:$J$2004,$Z1150-2000))+N(INDEX(周转筐出入库明细!$K$4:$K$2004,$Z1150-2000))=0,"",N(INDEX(周转筐出入库明细!$J$4:$J$2004,$Z1150-2000))+N(INDEX(周转筐出入库明细!$K$4:$K$2004,$Z1150-2000))),IF($Z1150&lt;=5200,IF(N(INDEX(客户自备加工筐明细!$G$4:$G$1203,$Z1150-4000))=0,"",N(INDEX(客户自备加工筐明细!$G$4:$G$1203,$Z1150-4000))),IF($Z1150&lt;=5800,IF(ISNUMBER(SEARCH("退",INDEX(次果筐明细!$F$4:$F$603,$Z1150-5200)&amp;"")),"",IF(N(INDEX(次果筐明细!$G$4:$G$603,$Z1150-5200))=0,"",N(INDEX(次果筐明细!$G$4:$G$603,$Z1150-5200)))),"")))))</f>
        <v/>
      </c>
      <c r="P1150" s="40" t="str">
        <f>IF($Z1150="","",IF($Z1150&lt;=2000,"",IF($Z1150&lt;=4000,IF(N(INDEX(周转筐出入库明细!$I$4:$I$2004,$Z1150-2000))=0,"",N(INDEX(周转筐出入库明细!$I$4:$I$2004,$Z1150-2000))),IF($Z1150&lt;=5200,"",IF($Z1150&lt;=5800,IF(ISNUMBER(SEARCH("退",INDEX(次果筐明细!$F$4:$F$603,$Z1150-5200)&amp;"")),IF(N(INDEX(次果筐明细!$G$4:$G$603,$Z1150-5200))=0,"",N(INDEX(次果筐明细!$G$4:$G$603,$Z1150-5200))),""),"")))))</f>
        <v/>
      </c>
      <c r="Q1150" s="40" t="str">
        <f>IF($Z1150="","",IF($Z1150&lt;=2000,"",IF($Z1150&lt;=4000,IF(N(INDEX(周转筐出入库明细!$H$4:$H$2004,$Z1150-2000))=0,"",N(INDEX(周转筐出入库明细!$H$4:$H$2004,$Z1150-2000))),IF($Z1150&lt;=5200,IF(N(INDEX(客户自备加工筐明细!$F$4:$F$1203,$Z1150-4000))=0,"",N(INDEX(客户自备加工筐明细!$F$4:$F$1203,$Z1150-4000))),IF($Z1150&lt;=5800,"","")))))</f>
        <v/>
      </c>
      <c r="R1150" s="16" t="str">
        <f>IF($Z1150="","",IF($Z1150&lt;=2000,IF(INDEX(包装物料出入库明细!$O$4:$O$2003,$Z1150-0)=0,"",INDEX(包装物料出入库明细!$O$4:$O$2003,$Z1150-0)),IF($Z1150&lt;=4000,IF(INDEX(周转筐出入库明细!$M$4:$M$2004,$Z1150-2000)=0,"",INDEX(周转筐出入库明细!$M$4:$M$2004,$Z1150-2000)),IF($Z1150&lt;=5200,IF(INDEX(客户自备加工筐明细!$H$4:$H$1203,$Z1150-4000)=0,"",INDEX(客户自备加工筐明细!$H$4:$H$1203,$Z1150-4000)),IF($Z1150&lt;=5800,IF(INDEX(次果筐明细!$H$4:$H$603,$Z1150-5200)=0,"",INDEX(次果筐明细!$H$4:$H$603,$Z1150-5200)),"")))))</f>
        <v/>
      </c>
      <c r="S1150" s="22" t="str">
        <f t="shared" si="53"/>
        <v/>
      </c>
      <c r="Z1150" s="10" t="str">
        <f>IFERROR(MATCH(ROW()-3,_自动清单!$CQ$4:$CQ$5803,0),"")</f>
        <v/>
      </c>
    </row>
    <row r="1151" spans="1:26">
      <c r="A1151" s="24" t="str">
        <f t="shared" si="51"/>
        <v/>
      </c>
      <c r="B1151" s="38" t="str">
        <f>IF($Z1151="","",IF($Z1151&lt;=2000,IF(INDEX(包装物料出入库明细!$B$4:$B$2003,$Z1151-0)=0,"",INDEX(包装物料出入库明细!$B$4:$B$2003,$Z1151-0)),IF($Z1151&lt;=4000,IF(INDEX(周转筐出入库明细!$B$4:$B$2004,$Z1151-2000)=0,"",INDEX(周转筐出入库明细!$B$4:$B$2004,$Z1151-2000)),IF($Z1151&lt;=5200,IF(INDEX(客户自备加工筐明细!$B$4:$B$1203,$Z1151-4000)=0,"",INDEX(客户自备加工筐明细!$B$4:$B$1203,$Z1151-4000)),IF($Z1151&lt;=5800,IF(INDEX(次果筐明细!$B$4:$B$603,$Z1151-5200)=0,"",INDEX(次果筐明细!$B$4:$B$603,$Z1151-5200)),"")))))</f>
        <v/>
      </c>
      <c r="C1151" s="37" t="str">
        <f>IF($Z1151="","",IF($Z1151&lt;=2000,IF(INDEX(包装物料出入库明细!$D$4:$D$2003,$Z1151-0)=0,"",INDEX(包装物料出入库明细!$D$4:$D$2003,$Z1151-0)),IF($Z1151&lt;=4000,IF(INDEX(周转筐出入库明细!$C$4:$C$2004,$Z1151-2000)=0,"",INDEX(周转筐出入库明细!$C$4:$C$2004,$Z1151-2000)),IF($Z1151&lt;=5200,IF(INDEX(客户自备加工筐明细!$E$4:$E$1203,$Z1151-4000)=0,"",INDEX(客户自备加工筐明细!$E$4:$E$1203,$Z1151-4000)),IF($Z1151&lt;=5800,IF(INDEX(次果筐明细!$C$4:$C$603,$Z1151-5200)=0,"",INDEX(次果筐明细!$C$4:$C$603,$Z1151-5200)),"")))))</f>
        <v/>
      </c>
      <c r="D1151" s="37" t="str">
        <f>IF($Z1151="","",IF($Z1151&lt;=2000,"包装物料－"&amp;INDEX(包装物料出入库明细!$H$4:$H$2003,$Z1151-0),IF($Z1151&lt;=4000,"周转筐－"&amp;INDEX(周转筐出入库明细!$F$4:$F$2004,$Z1151-2000),IF($Z1151&lt;=5200,"客户自备筐－"&amp;INDEX(客户自备加工筐明细!$J$4:$J$1203,$Z1151-4000),IF($Z1151&lt;=5800,"次果筐/托盘－"&amp;INDEX(次果筐明细!$F$4:$F$603,$Z1151-5200),"")))))</f>
        <v/>
      </c>
      <c r="E1151" s="24" t="str">
        <f>IF($Z1151="","",IF($Z1151&lt;=2000,IF(INDEX(包装物料出入库明细!$C$4:$C$2003,$Z1151-0)=0,"",INDEX(包装物料出入库明细!$C$4:$C$2003,$Z1151-0)),IF($Z1151&lt;=4000,IF(INDEX(周转筐出入库明细!$E$4:$E$2004,$Z1151-2000)=0,"",INDEX(周转筐出入库明细!$E$4:$E$2004,$Z1151-2000)),IF($Z1151&lt;=5200,IF(INDEX(客户自备加工筐明细!$D$4:$D$1203,$Z1151-4000)=0,"",INDEX(客户自备加工筐明细!$D$4:$D$1203,$Z1151-4000)),IF($Z1151&lt;=5800,IF(INDEX(次果筐明细!$E$4:$E$603,$Z1151-5200)=0,"",INDEX(次果筐明细!$E$4:$E$603,$Z1151-5200)),"")))))</f>
        <v/>
      </c>
      <c r="F1151" s="24" t="str">
        <f>IF($Z1151="","",IF($Z1151&lt;=2000,IF(INDEX(包装物料出入库明细!$E$4:$E$2003,$Z1151-0)=0,"",INDEX(包装物料出入库明细!$E$4:$E$2003,$Z1151-0)),IF($Z1151&lt;=4000,IF(INDEX(周转筐出入库明细!$D$4:$D$2004,$Z1151-2000)=0,"",INDEX(周转筐出入库明细!$D$4:$D$2004,$Z1151-2000)),IF($Z1151&lt;=5200,IF(INDEX(客户自备加工筐明细!$C$4:$C$1203,$Z1151-4000)=0,"",INDEX(客户自备加工筐明细!$C$4:$C$1203,$Z1151-4000)),IF($Z1151&lt;=5800,IF(INDEX(次果筐明细!$D$4:$D$603,$Z1151-5200)=0,"",INDEX(次果筐明细!$D$4:$D$603,$Z1151-5200)),"")))))</f>
        <v/>
      </c>
      <c r="G1151" s="24" t="str">
        <f>IF($Z1151="","",IF($Z1151&lt;=2000,IF(INDEX(包装物料出入库明细!$F$4:$F$2003,$Z1151-0)=0,"",INDEX(包装物料出入库明细!$F$4:$F$2003,$Z1151-0)),IF($Z1151&lt;=4000,"",IF($Z1151&lt;=5200,"",IF($Z1151&lt;=5800,"","")))))</f>
        <v/>
      </c>
      <c r="H1151" s="39" t="str">
        <f>IF($Z1151="","",IF($Z1151&lt;=2000,IF(INDEX(包装物料出入库明细!$L$4:$L$2003,$Z1151-0)=0,"",INDEX(包装物料出入库明细!$L$4:$L$2003,$Z1151-0)),IF($Z1151&lt;=4000,N(INDEX(周转筐出入库明细!$H$4:$H$2004,$Z1151-2000))+N(INDEX(周转筐出入库明细!$I$4:$I$2004,$Z1151-2000))+N(INDEX(周转筐出入库明细!$J$4:$J$2004,$Z1151-2000))+N(INDEX(周转筐出入库明细!$K$4:$K$2004,$Z1151-2000)),IF($Z1151&lt;=5200,N(INDEX(客户自备加工筐明细!$F$4:$F$1203,$Z1151-4000))+N(INDEX(客户自备加工筐明细!$G$4:$G$1203,$Z1151-4000)),IF($Z1151&lt;=5800,IF(INDEX(次果筐明细!$G$4:$G$603,$Z1151-5200)=0,"",INDEX(次果筐明细!$G$4:$G$603,$Z1151-5200)),"")))))</f>
        <v/>
      </c>
      <c r="I1151" s="24" t="str">
        <f>IF($Z1151="","",IF($Z1151&lt;=2000,IF(INDEX(包装物料出入库明细!$G$4:$G$2003,$Z1151-0)=0,"",INDEX(包装物料出入库明细!$G$4:$G$2003,$Z1151-0)),IF($Z1151&lt;=4000,"个",IF($Z1151&lt;=5200,"个",IF($Z1151&lt;=5800,"个","")))))</f>
        <v/>
      </c>
      <c r="J1151" s="30" t="str">
        <f t="shared" si="52"/>
        <v/>
      </c>
      <c r="K1151" s="30" t="str">
        <f>IF($Z1151="","",IF($Z1151&lt;=2000,IF(INDEX(包装物料出入库明细!$N$4:$N$2003,$Z1151-0)=0,"",INDEX(包装物料出入库明细!$N$4:$N$2003,$Z1151-0)),IF($Z1151&lt;=4000,IF(INDEX(周转筐出入库明细!$P$4:$P$2004,$Z1151-2000)=0,"",INDEX(周转筐出入库明细!$P$4:$P$2004,$Z1151-2000)),IF($Z1151&lt;=5200,"",IF($Z1151&lt;=5800,N(INDEX(次果筐明细!$L$4:$L$603,$Z1151-5200))+N(INDEX(次果筐明细!$J$4:$J$603,$Z1151-5200)),"")))))</f>
        <v/>
      </c>
      <c r="L1151" s="24" t="str">
        <f>IF($Z1151="","",IF($Z1151&lt;=2000,IF(INDEX(包装物料出入库明细!$P$4:$P$2003,$Z1151-0)=0,"",INDEX(包装物料出入库明细!$P$4:$P$2003,$Z1151-0)),IF($Z1151&lt;=4000,IF(INDEX(周转筐出入库明细!$Q$4:$Q$2004,$Z1151-2000)=0,"",INDEX(周转筐出入库明细!$Q$4:$Q$2004,$Z1151-2000)),IF($Z1151&lt;=5200,"",IF($Z1151&lt;=5800,IF(INDEX(次果筐明细!$M$4:$M$603,$Z1151-5200)=0,"",INDEX(次果筐明细!$M$4:$M$603,$Z1151-5200)),"")))))</f>
        <v/>
      </c>
      <c r="M1151" s="37" t="str">
        <f>IF($Z1151="","",IF($Z1151&lt;=2000,IF(INDEX(包装物料出入库明细!$R$4:$R$2003,$Z1151-0)=0,"",INDEX(包装物料出入库明细!$R$4:$R$2003,$Z1151-0)),IF($Z1151&lt;=4000,IF(INDEX(周转筐出入库明细!$W$4:$W$2004,$Z1151-2000)=0,"",INDEX(周转筐出入库明细!$W$4:$W$2004,$Z1151-2000)),IF($Z1151&lt;=5200,IF(INDEX(客户自备加工筐明细!$L$4:$L$1203,$Z1151-4000)=0,"",INDEX(客户自备加工筐明细!$L$4:$L$1203,$Z1151-4000)),IF($Z1151&lt;=5800,IF(INDEX(次果筐明细!$P$4:$P$603,$Z1151-5200)=0,"",INDEX(次果筐明细!$P$4:$P$603,$Z1151-5200)),"")))))</f>
        <v/>
      </c>
      <c r="N1151" s="16" t="str">
        <f>IF($Z1151="","",IF($Z1151&lt;=2000,"",IF($Z1151&lt;=4000,IF(INDEX(周转筐出入库明细!$D$4:$D$2004,$Z1151-2000)=0,"",INDEX(周转筐出入库明细!$D$4:$D$2004,$Z1151-2000)),IF($Z1151&lt;=5200,IF(INDEX(客户自备加工筐明细!$C$4:$C$1203,$Z1151-4000)=0,"",INDEX(客户自备加工筐明细!$C$4:$C$1203,$Z1151-4000)),IF($Z1151&lt;=5800,IF(INDEX(次果筐明细!$D$4:$D$603,$Z1151-5200)=0,"",INDEX(次果筐明细!$D$4:$D$603,$Z1151-5200)),"")))))</f>
        <v/>
      </c>
      <c r="O1151" s="40" t="str">
        <f>IF($Z1151="","",IF($Z1151&lt;=2000,"",IF($Z1151&lt;=4000,IF(N(INDEX(周转筐出入库明细!$J$4:$J$2004,$Z1151-2000))+N(INDEX(周转筐出入库明细!$K$4:$K$2004,$Z1151-2000))=0,"",N(INDEX(周转筐出入库明细!$J$4:$J$2004,$Z1151-2000))+N(INDEX(周转筐出入库明细!$K$4:$K$2004,$Z1151-2000))),IF($Z1151&lt;=5200,IF(N(INDEX(客户自备加工筐明细!$G$4:$G$1203,$Z1151-4000))=0,"",N(INDEX(客户自备加工筐明细!$G$4:$G$1203,$Z1151-4000))),IF($Z1151&lt;=5800,IF(ISNUMBER(SEARCH("退",INDEX(次果筐明细!$F$4:$F$603,$Z1151-5200)&amp;"")),"",IF(N(INDEX(次果筐明细!$G$4:$G$603,$Z1151-5200))=0,"",N(INDEX(次果筐明细!$G$4:$G$603,$Z1151-5200)))),"")))))</f>
        <v/>
      </c>
      <c r="P1151" s="40" t="str">
        <f>IF($Z1151="","",IF($Z1151&lt;=2000,"",IF($Z1151&lt;=4000,IF(N(INDEX(周转筐出入库明细!$I$4:$I$2004,$Z1151-2000))=0,"",N(INDEX(周转筐出入库明细!$I$4:$I$2004,$Z1151-2000))),IF($Z1151&lt;=5200,"",IF($Z1151&lt;=5800,IF(ISNUMBER(SEARCH("退",INDEX(次果筐明细!$F$4:$F$603,$Z1151-5200)&amp;"")),IF(N(INDEX(次果筐明细!$G$4:$G$603,$Z1151-5200))=0,"",N(INDEX(次果筐明细!$G$4:$G$603,$Z1151-5200))),""),"")))))</f>
        <v/>
      </c>
      <c r="Q1151" s="40" t="str">
        <f>IF($Z1151="","",IF($Z1151&lt;=2000,"",IF($Z1151&lt;=4000,IF(N(INDEX(周转筐出入库明细!$H$4:$H$2004,$Z1151-2000))=0,"",N(INDEX(周转筐出入库明细!$H$4:$H$2004,$Z1151-2000))),IF($Z1151&lt;=5200,IF(N(INDEX(客户自备加工筐明细!$F$4:$F$1203,$Z1151-4000))=0,"",N(INDEX(客户自备加工筐明细!$F$4:$F$1203,$Z1151-4000))),IF($Z1151&lt;=5800,"","")))))</f>
        <v/>
      </c>
      <c r="R1151" s="16" t="str">
        <f>IF($Z1151="","",IF($Z1151&lt;=2000,IF(INDEX(包装物料出入库明细!$O$4:$O$2003,$Z1151-0)=0,"",INDEX(包装物料出入库明细!$O$4:$O$2003,$Z1151-0)),IF($Z1151&lt;=4000,IF(INDEX(周转筐出入库明细!$M$4:$M$2004,$Z1151-2000)=0,"",INDEX(周转筐出入库明细!$M$4:$M$2004,$Z1151-2000)),IF($Z1151&lt;=5200,IF(INDEX(客户自备加工筐明细!$H$4:$H$1203,$Z1151-4000)=0,"",INDEX(客户自备加工筐明细!$H$4:$H$1203,$Z1151-4000)),IF($Z1151&lt;=5800,IF(INDEX(次果筐明细!$H$4:$H$603,$Z1151-5200)=0,"",INDEX(次果筐明细!$H$4:$H$603,$Z1151-5200)),"")))))</f>
        <v/>
      </c>
      <c r="S1151" s="22" t="str">
        <f t="shared" si="53"/>
        <v/>
      </c>
      <c r="Z1151" s="10" t="str">
        <f>IFERROR(MATCH(ROW()-3,_自动清单!$CQ$4:$CQ$5803,0),"")</f>
        <v/>
      </c>
    </row>
    <row r="1152" spans="1:26">
      <c r="A1152" s="24" t="str">
        <f t="shared" si="51"/>
        <v/>
      </c>
      <c r="B1152" s="38" t="str">
        <f>IF($Z1152="","",IF($Z1152&lt;=2000,IF(INDEX(包装物料出入库明细!$B$4:$B$2003,$Z1152-0)=0,"",INDEX(包装物料出入库明细!$B$4:$B$2003,$Z1152-0)),IF($Z1152&lt;=4000,IF(INDEX(周转筐出入库明细!$B$4:$B$2004,$Z1152-2000)=0,"",INDEX(周转筐出入库明细!$B$4:$B$2004,$Z1152-2000)),IF($Z1152&lt;=5200,IF(INDEX(客户自备加工筐明细!$B$4:$B$1203,$Z1152-4000)=0,"",INDEX(客户自备加工筐明细!$B$4:$B$1203,$Z1152-4000)),IF($Z1152&lt;=5800,IF(INDEX(次果筐明细!$B$4:$B$603,$Z1152-5200)=0,"",INDEX(次果筐明细!$B$4:$B$603,$Z1152-5200)),"")))))</f>
        <v/>
      </c>
      <c r="C1152" s="37" t="str">
        <f>IF($Z1152="","",IF($Z1152&lt;=2000,IF(INDEX(包装物料出入库明细!$D$4:$D$2003,$Z1152-0)=0,"",INDEX(包装物料出入库明细!$D$4:$D$2003,$Z1152-0)),IF($Z1152&lt;=4000,IF(INDEX(周转筐出入库明细!$C$4:$C$2004,$Z1152-2000)=0,"",INDEX(周转筐出入库明细!$C$4:$C$2004,$Z1152-2000)),IF($Z1152&lt;=5200,IF(INDEX(客户自备加工筐明细!$E$4:$E$1203,$Z1152-4000)=0,"",INDEX(客户自备加工筐明细!$E$4:$E$1203,$Z1152-4000)),IF($Z1152&lt;=5800,IF(INDEX(次果筐明细!$C$4:$C$603,$Z1152-5200)=0,"",INDEX(次果筐明细!$C$4:$C$603,$Z1152-5200)),"")))))</f>
        <v/>
      </c>
      <c r="D1152" s="37" t="str">
        <f>IF($Z1152="","",IF($Z1152&lt;=2000,"包装物料－"&amp;INDEX(包装物料出入库明细!$H$4:$H$2003,$Z1152-0),IF($Z1152&lt;=4000,"周转筐－"&amp;INDEX(周转筐出入库明细!$F$4:$F$2004,$Z1152-2000),IF($Z1152&lt;=5200,"客户自备筐－"&amp;INDEX(客户自备加工筐明细!$J$4:$J$1203,$Z1152-4000),IF($Z1152&lt;=5800,"次果筐/托盘－"&amp;INDEX(次果筐明细!$F$4:$F$603,$Z1152-5200),"")))))</f>
        <v/>
      </c>
      <c r="E1152" s="24" t="str">
        <f>IF($Z1152="","",IF($Z1152&lt;=2000,IF(INDEX(包装物料出入库明细!$C$4:$C$2003,$Z1152-0)=0,"",INDEX(包装物料出入库明细!$C$4:$C$2003,$Z1152-0)),IF($Z1152&lt;=4000,IF(INDEX(周转筐出入库明细!$E$4:$E$2004,$Z1152-2000)=0,"",INDEX(周转筐出入库明细!$E$4:$E$2004,$Z1152-2000)),IF($Z1152&lt;=5200,IF(INDEX(客户自备加工筐明细!$D$4:$D$1203,$Z1152-4000)=0,"",INDEX(客户自备加工筐明细!$D$4:$D$1203,$Z1152-4000)),IF($Z1152&lt;=5800,IF(INDEX(次果筐明细!$E$4:$E$603,$Z1152-5200)=0,"",INDEX(次果筐明细!$E$4:$E$603,$Z1152-5200)),"")))))</f>
        <v/>
      </c>
      <c r="F1152" s="24" t="str">
        <f>IF($Z1152="","",IF($Z1152&lt;=2000,IF(INDEX(包装物料出入库明细!$E$4:$E$2003,$Z1152-0)=0,"",INDEX(包装物料出入库明细!$E$4:$E$2003,$Z1152-0)),IF($Z1152&lt;=4000,IF(INDEX(周转筐出入库明细!$D$4:$D$2004,$Z1152-2000)=0,"",INDEX(周转筐出入库明细!$D$4:$D$2004,$Z1152-2000)),IF($Z1152&lt;=5200,IF(INDEX(客户自备加工筐明细!$C$4:$C$1203,$Z1152-4000)=0,"",INDEX(客户自备加工筐明细!$C$4:$C$1203,$Z1152-4000)),IF($Z1152&lt;=5800,IF(INDEX(次果筐明细!$D$4:$D$603,$Z1152-5200)=0,"",INDEX(次果筐明细!$D$4:$D$603,$Z1152-5200)),"")))))</f>
        <v/>
      </c>
      <c r="G1152" s="24" t="str">
        <f>IF($Z1152="","",IF($Z1152&lt;=2000,IF(INDEX(包装物料出入库明细!$F$4:$F$2003,$Z1152-0)=0,"",INDEX(包装物料出入库明细!$F$4:$F$2003,$Z1152-0)),IF($Z1152&lt;=4000,"",IF($Z1152&lt;=5200,"",IF($Z1152&lt;=5800,"","")))))</f>
        <v/>
      </c>
      <c r="H1152" s="39" t="str">
        <f>IF($Z1152="","",IF($Z1152&lt;=2000,IF(INDEX(包装物料出入库明细!$L$4:$L$2003,$Z1152-0)=0,"",INDEX(包装物料出入库明细!$L$4:$L$2003,$Z1152-0)),IF($Z1152&lt;=4000,N(INDEX(周转筐出入库明细!$H$4:$H$2004,$Z1152-2000))+N(INDEX(周转筐出入库明细!$I$4:$I$2004,$Z1152-2000))+N(INDEX(周转筐出入库明细!$J$4:$J$2004,$Z1152-2000))+N(INDEX(周转筐出入库明细!$K$4:$K$2004,$Z1152-2000)),IF($Z1152&lt;=5200,N(INDEX(客户自备加工筐明细!$F$4:$F$1203,$Z1152-4000))+N(INDEX(客户自备加工筐明细!$G$4:$G$1203,$Z1152-4000)),IF($Z1152&lt;=5800,IF(INDEX(次果筐明细!$G$4:$G$603,$Z1152-5200)=0,"",INDEX(次果筐明细!$G$4:$G$603,$Z1152-5200)),"")))))</f>
        <v/>
      </c>
      <c r="I1152" s="24" t="str">
        <f>IF($Z1152="","",IF($Z1152&lt;=2000,IF(INDEX(包装物料出入库明细!$G$4:$G$2003,$Z1152-0)=0,"",INDEX(包装物料出入库明细!$G$4:$G$2003,$Z1152-0)),IF($Z1152&lt;=4000,"个",IF($Z1152&lt;=5200,"个",IF($Z1152&lt;=5800,"个","")))))</f>
        <v/>
      </c>
      <c r="J1152" s="30" t="str">
        <f t="shared" si="52"/>
        <v/>
      </c>
      <c r="K1152" s="30" t="str">
        <f>IF($Z1152="","",IF($Z1152&lt;=2000,IF(INDEX(包装物料出入库明细!$N$4:$N$2003,$Z1152-0)=0,"",INDEX(包装物料出入库明细!$N$4:$N$2003,$Z1152-0)),IF($Z1152&lt;=4000,IF(INDEX(周转筐出入库明细!$P$4:$P$2004,$Z1152-2000)=0,"",INDEX(周转筐出入库明细!$P$4:$P$2004,$Z1152-2000)),IF($Z1152&lt;=5200,"",IF($Z1152&lt;=5800,N(INDEX(次果筐明细!$L$4:$L$603,$Z1152-5200))+N(INDEX(次果筐明细!$J$4:$J$603,$Z1152-5200)),"")))))</f>
        <v/>
      </c>
      <c r="L1152" s="24" t="str">
        <f>IF($Z1152="","",IF($Z1152&lt;=2000,IF(INDEX(包装物料出入库明细!$P$4:$P$2003,$Z1152-0)=0,"",INDEX(包装物料出入库明细!$P$4:$P$2003,$Z1152-0)),IF($Z1152&lt;=4000,IF(INDEX(周转筐出入库明细!$Q$4:$Q$2004,$Z1152-2000)=0,"",INDEX(周转筐出入库明细!$Q$4:$Q$2004,$Z1152-2000)),IF($Z1152&lt;=5200,"",IF($Z1152&lt;=5800,IF(INDEX(次果筐明细!$M$4:$M$603,$Z1152-5200)=0,"",INDEX(次果筐明细!$M$4:$M$603,$Z1152-5200)),"")))))</f>
        <v/>
      </c>
      <c r="M1152" s="37" t="str">
        <f>IF($Z1152="","",IF($Z1152&lt;=2000,IF(INDEX(包装物料出入库明细!$R$4:$R$2003,$Z1152-0)=0,"",INDEX(包装物料出入库明细!$R$4:$R$2003,$Z1152-0)),IF($Z1152&lt;=4000,IF(INDEX(周转筐出入库明细!$W$4:$W$2004,$Z1152-2000)=0,"",INDEX(周转筐出入库明细!$W$4:$W$2004,$Z1152-2000)),IF($Z1152&lt;=5200,IF(INDEX(客户自备加工筐明细!$L$4:$L$1203,$Z1152-4000)=0,"",INDEX(客户自备加工筐明细!$L$4:$L$1203,$Z1152-4000)),IF($Z1152&lt;=5800,IF(INDEX(次果筐明细!$P$4:$P$603,$Z1152-5200)=0,"",INDEX(次果筐明细!$P$4:$P$603,$Z1152-5200)),"")))))</f>
        <v/>
      </c>
      <c r="N1152" s="16" t="str">
        <f>IF($Z1152="","",IF($Z1152&lt;=2000,"",IF($Z1152&lt;=4000,IF(INDEX(周转筐出入库明细!$D$4:$D$2004,$Z1152-2000)=0,"",INDEX(周转筐出入库明细!$D$4:$D$2004,$Z1152-2000)),IF($Z1152&lt;=5200,IF(INDEX(客户自备加工筐明细!$C$4:$C$1203,$Z1152-4000)=0,"",INDEX(客户自备加工筐明细!$C$4:$C$1203,$Z1152-4000)),IF($Z1152&lt;=5800,IF(INDEX(次果筐明细!$D$4:$D$603,$Z1152-5200)=0,"",INDEX(次果筐明细!$D$4:$D$603,$Z1152-5200)),"")))))</f>
        <v/>
      </c>
      <c r="O1152" s="40" t="str">
        <f>IF($Z1152="","",IF($Z1152&lt;=2000,"",IF($Z1152&lt;=4000,IF(N(INDEX(周转筐出入库明细!$J$4:$J$2004,$Z1152-2000))+N(INDEX(周转筐出入库明细!$K$4:$K$2004,$Z1152-2000))=0,"",N(INDEX(周转筐出入库明细!$J$4:$J$2004,$Z1152-2000))+N(INDEX(周转筐出入库明细!$K$4:$K$2004,$Z1152-2000))),IF($Z1152&lt;=5200,IF(N(INDEX(客户自备加工筐明细!$G$4:$G$1203,$Z1152-4000))=0,"",N(INDEX(客户自备加工筐明细!$G$4:$G$1203,$Z1152-4000))),IF($Z1152&lt;=5800,IF(ISNUMBER(SEARCH("退",INDEX(次果筐明细!$F$4:$F$603,$Z1152-5200)&amp;"")),"",IF(N(INDEX(次果筐明细!$G$4:$G$603,$Z1152-5200))=0,"",N(INDEX(次果筐明细!$G$4:$G$603,$Z1152-5200)))),"")))))</f>
        <v/>
      </c>
      <c r="P1152" s="40" t="str">
        <f>IF($Z1152="","",IF($Z1152&lt;=2000,"",IF($Z1152&lt;=4000,IF(N(INDEX(周转筐出入库明细!$I$4:$I$2004,$Z1152-2000))=0,"",N(INDEX(周转筐出入库明细!$I$4:$I$2004,$Z1152-2000))),IF($Z1152&lt;=5200,"",IF($Z1152&lt;=5800,IF(ISNUMBER(SEARCH("退",INDEX(次果筐明细!$F$4:$F$603,$Z1152-5200)&amp;"")),IF(N(INDEX(次果筐明细!$G$4:$G$603,$Z1152-5200))=0,"",N(INDEX(次果筐明细!$G$4:$G$603,$Z1152-5200))),""),"")))))</f>
        <v/>
      </c>
      <c r="Q1152" s="40" t="str">
        <f>IF($Z1152="","",IF($Z1152&lt;=2000,"",IF($Z1152&lt;=4000,IF(N(INDEX(周转筐出入库明细!$H$4:$H$2004,$Z1152-2000))=0,"",N(INDEX(周转筐出入库明细!$H$4:$H$2004,$Z1152-2000))),IF($Z1152&lt;=5200,IF(N(INDEX(客户自备加工筐明细!$F$4:$F$1203,$Z1152-4000))=0,"",N(INDEX(客户自备加工筐明细!$F$4:$F$1203,$Z1152-4000))),IF($Z1152&lt;=5800,"","")))))</f>
        <v/>
      </c>
      <c r="R1152" s="16" t="str">
        <f>IF($Z1152="","",IF($Z1152&lt;=2000,IF(INDEX(包装物料出入库明细!$O$4:$O$2003,$Z1152-0)=0,"",INDEX(包装物料出入库明细!$O$4:$O$2003,$Z1152-0)),IF($Z1152&lt;=4000,IF(INDEX(周转筐出入库明细!$M$4:$M$2004,$Z1152-2000)=0,"",INDEX(周转筐出入库明细!$M$4:$M$2004,$Z1152-2000)),IF($Z1152&lt;=5200,IF(INDEX(客户自备加工筐明细!$H$4:$H$1203,$Z1152-4000)=0,"",INDEX(客户自备加工筐明细!$H$4:$H$1203,$Z1152-4000)),IF($Z1152&lt;=5800,IF(INDEX(次果筐明细!$H$4:$H$603,$Z1152-5200)=0,"",INDEX(次果筐明细!$H$4:$H$603,$Z1152-5200)),"")))))</f>
        <v/>
      </c>
      <c r="S1152" s="22" t="str">
        <f t="shared" si="53"/>
        <v/>
      </c>
      <c r="Z1152" s="10" t="str">
        <f>IFERROR(MATCH(ROW()-3,_自动清单!$CQ$4:$CQ$5803,0),"")</f>
        <v/>
      </c>
    </row>
    <row r="1153" spans="1:26">
      <c r="A1153" s="24" t="str">
        <f t="shared" si="51"/>
        <v/>
      </c>
      <c r="B1153" s="38" t="str">
        <f>IF($Z1153="","",IF($Z1153&lt;=2000,IF(INDEX(包装物料出入库明细!$B$4:$B$2003,$Z1153-0)=0,"",INDEX(包装物料出入库明细!$B$4:$B$2003,$Z1153-0)),IF($Z1153&lt;=4000,IF(INDEX(周转筐出入库明细!$B$4:$B$2004,$Z1153-2000)=0,"",INDEX(周转筐出入库明细!$B$4:$B$2004,$Z1153-2000)),IF($Z1153&lt;=5200,IF(INDEX(客户自备加工筐明细!$B$4:$B$1203,$Z1153-4000)=0,"",INDEX(客户自备加工筐明细!$B$4:$B$1203,$Z1153-4000)),IF($Z1153&lt;=5800,IF(INDEX(次果筐明细!$B$4:$B$603,$Z1153-5200)=0,"",INDEX(次果筐明细!$B$4:$B$603,$Z1153-5200)),"")))))</f>
        <v/>
      </c>
      <c r="C1153" s="37" t="str">
        <f>IF($Z1153="","",IF($Z1153&lt;=2000,IF(INDEX(包装物料出入库明细!$D$4:$D$2003,$Z1153-0)=0,"",INDEX(包装物料出入库明细!$D$4:$D$2003,$Z1153-0)),IF($Z1153&lt;=4000,IF(INDEX(周转筐出入库明细!$C$4:$C$2004,$Z1153-2000)=0,"",INDEX(周转筐出入库明细!$C$4:$C$2004,$Z1153-2000)),IF($Z1153&lt;=5200,IF(INDEX(客户自备加工筐明细!$E$4:$E$1203,$Z1153-4000)=0,"",INDEX(客户自备加工筐明细!$E$4:$E$1203,$Z1153-4000)),IF($Z1153&lt;=5800,IF(INDEX(次果筐明细!$C$4:$C$603,$Z1153-5200)=0,"",INDEX(次果筐明细!$C$4:$C$603,$Z1153-5200)),"")))))</f>
        <v/>
      </c>
      <c r="D1153" s="37" t="str">
        <f>IF($Z1153="","",IF($Z1153&lt;=2000,"包装物料－"&amp;INDEX(包装物料出入库明细!$H$4:$H$2003,$Z1153-0),IF($Z1153&lt;=4000,"周转筐－"&amp;INDEX(周转筐出入库明细!$F$4:$F$2004,$Z1153-2000),IF($Z1153&lt;=5200,"客户自备筐－"&amp;INDEX(客户自备加工筐明细!$J$4:$J$1203,$Z1153-4000),IF($Z1153&lt;=5800,"次果筐/托盘－"&amp;INDEX(次果筐明细!$F$4:$F$603,$Z1153-5200),"")))))</f>
        <v/>
      </c>
      <c r="E1153" s="24" t="str">
        <f>IF($Z1153="","",IF($Z1153&lt;=2000,IF(INDEX(包装物料出入库明细!$C$4:$C$2003,$Z1153-0)=0,"",INDEX(包装物料出入库明细!$C$4:$C$2003,$Z1153-0)),IF($Z1153&lt;=4000,IF(INDEX(周转筐出入库明细!$E$4:$E$2004,$Z1153-2000)=0,"",INDEX(周转筐出入库明细!$E$4:$E$2004,$Z1153-2000)),IF($Z1153&lt;=5200,IF(INDEX(客户自备加工筐明细!$D$4:$D$1203,$Z1153-4000)=0,"",INDEX(客户自备加工筐明细!$D$4:$D$1203,$Z1153-4000)),IF($Z1153&lt;=5800,IF(INDEX(次果筐明细!$E$4:$E$603,$Z1153-5200)=0,"",INDEX(次果筐明细!$E$4:$E$603,$Z1153-5200)),"")))))</f>
        <v/>
      </c>
      <c r="F1153" s="24" t="str">
        <f>IF($Z1153="","",IF($Z1153&lt;=2000,IF(INDEX(包装物料出入库明细!$E$4:$E$2003,$Z1153-0)=0,"",INDEX(包装物料出入库明细!$E$4:$E$2003,$Z1153-0)),IF($Z1153&lt;=4000,IF(INDEX(周转筐出入库明细!$D$4:$D$2004,$Z1153-2000)=0,"",INDEX(周转筐出入库明细!$D$4:$D$2004,$Z1153-2000)),IF($Z1153&lt;=5200,IF(INDEX(客户自备加工筐明细!$C$4:$C$1203,$Z1153-4000)=0,"",INDEX(客户自备加工筐明细!$C$4:$C$1203,$Z1153-4000)),IF($Z1153&lt;=5800,IF(INDEX(次果筐明细!$D$4:$D$603,$Z1153-5200)=0,"",INDEX(次果筐明细!$D$4:$D$603,$Z1153-5200)),"")))))</f>
        <v/>
      </c>
      <c r="G1153" s="24" t="str">
        <f>IF($Z1153="","",IF($Z1153&lt;=2000,IF(INDEX(包装物料出入库明细!$F$4:$F$2003,$Z1153-0)=0,"",INDEX(包装物料出入库明细!$F$4:$F$2003,$Z1153-0)),IF($Z1153&lt;=4000,"",IF($Z1153&lt;=5200,"",IF($Z1153&lt;=5800,"","")))))</f>
        <v/>
      </c>
      <c r="H1153" s="39" t="str">
        <f>IF($Z1153="","",IF($Z1153&lt;=2000,IF(INDEX(包装物料出入库明细!$L$4:$L$2003,$Z1153-0)=0,"",INDEX(包装物料出入库明细!$L$4:$L$2003,$Z1153-0)),IF($Z1153&lt;=4000,N(INDEX(周转筐出入库明细!$H$4:$H$2004,$Z1153-2000))+N(INDEX(周转筐出入库明细!$I$4:$I$2004,$Z1153-2000))+N(INDEX(周转筐出入库明细!$J$4:$J$2004,$Z1153-2000))+N(INDEX(周转筐出入库明细!$K$4:$K$2004,$Z1153-2000)),IF($Z1153&lt;=5200,N(INDEX(客户自备加工筐明细!$F$4:$F$1203,$Z1153-4000))+N(INDEX(客户自备加工筐明细!$G$4:$G$1203,$Z1153-4000)),IF($Z1153&lt;=5800,IF(INDEX(次果筐明细!$G$4:$G$603,$Z1153-5200)=0,"",INDEX(次果筐明细!$G$4:$G$603,$Z1153-5200)),"")))))</f>
        <v/>
      </c>
      <c r="I1153" s="24" t="str">
        <f>IF($Z1153="","",IF($Z1153&lt;=2000,IF(INDEX(包装物料出入库明细!$G$4:$G$2003,$Z1153-0)=0,"",INDEX(包装物料出入库明细!$G$4:$G$2003,$Z1153-0)),IF($Z1153&lt;=4000,"个",IF($Z1153&lt;=5200,"个",IF($Z1153&lt;=5800,"个","")))))</f>
        <v/>
      </c>
      <c r="J1153" s="30" t="str">
        <f t="shared" si="52"/>
        <v/>
      </c>
      <c r="K1153" s="30" t="str">
        <f>IF($Z1153="","",IF($Z1153&lt;=2000,IF(INDEX(包装物料出入库明细!$N$4:$N$2003,$Z1153-0)=0,"",INDEX(包装物料出入库明细!$N$4:$N$2003,$Z1153-0)),IF($Z1153&lt;=4000,IF(INDEX(周转筐出入库明细!$P$4:$P$2004,$Z1153-2000)=0,"",INDEX(周转筐出入库明细!$P$4:$P$2004,$Z1153-2000)),IF($Z1153&lt;=5200,"",IF($Z1153&lt;=5800,N(INDEX(次果筐明细!$L$4:$L$603,$Z1153-5200))+N(INDEX(次果筐明细!$J$4:$J$603,$Z1153-5200)),"")))))</f>
        <v/>
      </c>
      <c r="L1153" s="24" t="str">
        <f>IF($Z1153="","",IF($Z1153&lt;=2000,IF(INDEX(包装物料出入库明细!$P$4:$P$2003,$Z1153-0)=0,"",INDEX(包装物料出入库明细!$P$4:$P$2003,$Z1153-0)),IF($Z1153&lt;=4000,IF(INDEX(周转筐出入库明细!$Q$4:$Q$2004,$Z1153-2000)=0,"",INDEX(周转筐出入库明细!$Q$4:$Q$2004,$Z1153-2000)),IF($Z1153&lt;=5200,"",IF($Z1153&lt;=5800,IF(INDEX(次果筐明细!$M$4:$M$603,$Z1153-5200)=0,"",INDEX(次果筐明细!$M$4:$M$603,$Z1153-5200)),"")))))</f>
        <v/>
      </c>
      <c r="M1153" s="37" t="str">
        <f>IF($Z1153="","",IF($Z1153&lt;=2000,IF(INDEX(包装物料出入库明细!$R$4:$R$2003,$Z1153-0)=0,"",INDEX(包装物料出入库明细!$R$4:$R$2003,$Z1153-0)),IF($Z1153&lt;=4000,IF(INDEX(周转筐出入库明细!$W$4:$W$2004,$Z1153-2000)=0,"",INDEX(周转筐出入库明细!$W$4:$W$2004,$Z1153-2000)),IF($Z1153&lt;=5200,IF(INDEX(客户自备加工筐明细!$L$4:$L$1203,$Z1153-4000)=0,"",INDEX(客户自备加工筐明细!$L$4:$L$1203,$Z1153-4000)),IF($Z1153&lt;=5800,IF(INDEX(次果筐明细!$P$4:$P$603,$Z1153-5200)=0,"",INDEX(次果筐明细!$P$4:$P$603,$Z1153-5200)),"")))))</f>
        <v/>
      </c>
      <c r="N1153" s="16" t="str">
        <f>IF($Z1153="","",IF($Z1153&lt;=2000,"",IF($Z1153&lt;=4000,IF(INDEX(周转筐出入库明细!$D$4:$D$2004,$Z1153-2000)=0,"",INDEX(周转筐出入库明细!$D$4:$D$2004,$Z1153-2000)),IF($Z1153&lt;=5200,IF(INDEX(客户自备加工筐明细!$C$4:$C$1203,$Z1153-4000)=0,"",INDEX(客户自备加工筐明细!$C$4:$C$1203,$Z1153-4000)),IF($Z1153&lt;=5800,IF(INDEX(次果筐明细!$D$4:$D$603,$Z1153-5200)=0,"",INDEX(次果筐明细!$D$4:$D$603,$Z1153-5200)),"")))))</f>
        <v/>
      </c>
      <c r="O1153" s="40" t="str">
        <f>IF($Z1153="","",IF($Z1153&lt;=2000,"",IF($Z1153&lt;=4000,IF(N(INDEX(周转筐出入库明细!$J$4:$J$2004,$Z1153-2000))+N(INDEX(周转筐出入库明细!$K$4:$K$2004,$Z1153-2000))=0,"",N(INDEX(周转筐出入库明细!$J$4:$J$2004,$Z1153-2000))+N(INDEX(周转筐出入库明细!$K$4:$K$2004,$Z1153-2000))),IF($Z1153&lt;=5200,IF(N(INDEX(客户自备加工筐明细!$G$4:$G$1203,$Z1153-4000))=0,"",N(INDEX(客户自备加工筐明细!$G$4:$G$1203,$Z1153-4000))),IF($Z1153&lt;=5800,IF(ISNUMBER(SEARCH("退",INDEX(次果筐明细!$F$4:$F$603,$Z1153-5200)&amp;"")),"",IF(N(INDEX(次果筐明细!$G$4:$G$603,$Z1153-5200))=0,"",N(INDEX(次果筐明细!$G$4:$G$603,$Z1153-5200)))),"")))))</f>
        <v/>
      </c>
      <c r="P1153" s="40" t="str">
        <f>IF($Z1153="","",IF($Z1153&lt;=2000,"",IF($Z1153&lt;=4000,IF(N(INDEX(周转筐出入库明细!$I$4:$I$2004,$Z1153-2000))=0,"",N(INDEX(周转筐出入库明细!$I$4:$I$2004,$Z1153-2000))),IF($Z1153&lt;=5200,"",IF($Z1153&lt;=5800,IF(ISNUMBER(SEARCH("退",INDEX(次果筐明细!$F$4:$F$603,$Z1153-5200)&amp;"")),IF(N(INDEX(次果筐明细!$G$4:$G$603,$Z1153-5200))=0,"",N(INDEX(次果筐明细!$G$4:$G$603,$Z1153-5200))),""),"")))))</f>
        <v/>
      </c>
      <c r="Q1153" s="40" t="str">
        <f>IF($Z1153="","",IF($Z1153&lt;=2000,"",IF($Z1153&lt;=4000,IF(N(INDEX(周转筐出入库明细!$H$4:$H$2004,$Z1153-2000))=0,"",N(INDEX(周转筐出入库明细!$H$4:$H$2004,$Z1153-2000))),IF($Z1153&lt;=5200,IF(N(INDEX(客户自备加工筐明细!$F$4:$F$1203,$Z1153-4000))=0,"",N(INDEX(客户自备加工筐明细!$F$4:$F$1203,$Z1153-4000))),IF($Z1153&lt;=5800,"","")))))</f>
        <v/>
      </c>
      <c r="R1153" s="16" t="str">
        <f>IF($Z1153="","",IF($Z1153&lt;=2000,IF(INDEX(包装物料出入库明细!$O$4:$O$2003,$Z1153-0)=0,"",INDEX(包装物料出入库明细!$O$4:$O$2003,$Z1153-0)),IF($Z1153&lt;=4000,IF(INDEX(周转筐出入库明细!$M$4:$M$2004,$Z1153-2000)=0,"",INDEX(周转筐出入库明细!$M$4:$M$2004,$Z1153-2000)),IF($Z1153&lt;=5200,IF(INDEX(客户自备加工筐明细!$H$4:$H$1203,$Z1153-4000)=0,"",INDEX(客户自备加工筐明细!$H$4:$H$1203,$Z1153-4000)),IF($Z1153&lt;=5800,IF(INDEX(次果筐明细!$H$4:$H$603,$Z1153-5200)=0,"",INDEX(次果筐明细!$H$4:$H$603,$Z1153-5200)),"")))))</f>
        <v/>
      </c>
      <c r="S1153" s="22" t="str">
        <f t="shared" si="53"/>
        <v/>
      </c>
      <c r="Z1153" s="10" t="str">
        <f>IFERROR(MATCH(ROW()-3,_自动清单!$CQ$4:$CQ$5803,0),"")</f>
        <v/>
      </c>
    </row>
    <row r="1154" spans="1:26">
      <c r="A1154" s="24" t="str">
        <f t="shared" si="51"/>
        <v/>
      </c>
      <c r="B1154" s="38" t="str">
        <f>IF($Z1154="","",IF($Z1154&lt;=2000,IF(INDEX(包装物料出入库明细!$B$4:$B$2003,$Z1154-0)=0,"",INDEX(包装物料出入库明细!$B$4:$B$2003,$Z1154-0)),IF($Z1154&lt;=4000,IF(INDEX(周转筐出入库明细!$B$4:$B$2004,$Z1154-2000)=0,"",INDEX(周转筐出入库明细!$B$4:$B$2004,$Z1154-2000)),IF($Z1154&lt;=5200,IF(INDEX(客户自备加工筐明细!$B$4:$B$1203,$Z1154-4000)=0,"",INDEX(客户自备加工筐明细!$B$4:$B$1203,$Z1154-4000)),IF($Z1154&lt;=5800,IF(INDEX(次果筐明细!$B$4:$B$603,$Z1154-5200)=0,"",INDEX(次果筐明细!$B$4:$B$603,$Z1154-5200)),"")))))</f>
        <v/>
      </c>
      <c r="C1154" s="37" t="str">
        <f>IF($Z1154="","",IF($Z1154&lt;=2000,IF(INDEX(包装物料出入库明细!$D$4:$D$2003,$Z1154-0)=0,"",INDEX(包装物料出入库明细!$D$4:$D$2003,$Z1154-0)),IF($Z1154&lt;=4000,IF(INDEX(周转筐出入库明细!$C$4:$C$2004,$Z1154-2000)=0,"",INDEX(周转筐出入库明细!$C$4:$C$2004,$Z1154-2000)),IF($Z1154&lt;=5200,IF(INDEX(客户自备加工筐明细!$E$4:$E$1203,$Z1154-4000)=0,"",INDEX(客户自备加工筐明细!$E$4:$E$1203,$Z1154-4000)),IF($Z1154&lt;=5800,IF(INDEX(次果筐明细!$C$4:$C$603,$Z1154-5200)=0,"",INDEX(次果筐明细!$C$4:$C$603,$Z1154-5200)),"")))))</f>
        <v/>
      </c>
      <c r="D1154" s="37" t="str">
        <f>IF($Z1154="","",IF($Z1154&lt;=2000,"包装物料－"&amp;INDEX(包装物料出入库明细!$H$4:$H$2003,$Z1154-0),IF($Z1154&lt;=4000,"周转筐－"&amp;INDEX(周转筐出入库明细!$F$4:$F$2004,$Z1154-2000),IF($Z1154&lt;=5200,"客户自备筐－"&amp;INDEX(客户自备加工筐明细!$J$4:$J$1203,$Z1154-4000),IF($Z1154&lt;=5800,"次果筐/托盘－"&amp;INDEX(次果筐明细!$F$4:$F$603,$Z1154-5200),"")))))</f>
        <v/>
      </c>
      <c r="E1154" s="24" t="str">
        <f>IF($Z1154="","",IF($Z1154&lt;=2000,IF(INDEX(包装物料出入库明细!$C$4:$C$2003,$Z1154-0)=0,"",INDEX(包装物料出入库明细!$C$4:$C$2003,$Z1154-0)),IF($Z1154&lt;=4000,IF(INDEX(周转筐出入库明细!$E$4:$E$2004,$Z1154-2000)=0,"",INDEX(周转筐出入库明细!$E$4:$E$2004,$Z1154-2000)),IF($Z1154&lt;=5200,IF(INDEX(客户自备加工筐明细!$D$4:$D$1203,$Z1154-4000)=0,"",INDEX(客户自备加工筐明细!$D$4:$D$1203,$Z1154-4000)),IF($Z1154&lt;=5800,IF(INDEX(次果筐明细!$E$4:$E$603,$Z1154-5200)=0,"",INDEX(次果筐明细!$E$4:$E$603,$Z1154-5200)),"")))))</f>
        <v/>
      </c>
      <c r="F1154" s="24" t="str">
        <f>IF($Z1154="","",IF($Z1154&lt;=2000,IF(INDEX(包装物料出入库明细!$E$4:$E$2003,$Z1154-0)=0,"",INDEX(包装物料出入库明细!$E$4:$E$2003,$Z1154-0)),IF($Z1154&lt;=4000,IF(INDEX(周转筐出入库明细!$D$4:$D$2004,$Z1154-2000)=0,"",INDEX(周转筐出入库明细!$D$4:$D$2004,$Z1154-2000)),IF($Z1154&lt;=5200,IF(INDEX(客户自备加工筐明细!$C$4:$C$1203,$Z1154-4000)=0,"",INDEX(客户自备加工筐明细!$C$4:$C$1203,$Z1154-4000)),IF($Z1154&lt;=5800,IF(INDEX(次果筐明细!$D$4:$D$603,$Z1154-5200)=0,"",INDEX(次果筐明细!$D$4:$D$603,$Z1154-5200)),"")))))</f>
        <v/>
      </c>
      <c r="G1154" s="24" t="str">
        <f>IF($Z1154="","",IF($Z1154&lt;=2000,IF(INDEX(包装物料出入库明细!$F$4:$F$2003,$Z1154-0)=0,"",INDEX(包装物料出入库明细!$F$4:$F$2003,$Z1154-0)),IF($Z1154&lt;=4000,"",IF($Z1154&lt;=5200,"",IF($Z1154&lt;=5800,"","")))))</f>
        <v/>
      </c>
      <c r="H1154" s="39" t="str">
        <f>IF($Z1154="","",IF($Z1154&lt;=2000,IF(INDEX(包装物料出入库明细!$L$4:$L$2003,$Z1154-0)=0,"",INDEX(包装物料出入库明细!$L$4:$L$2003,$Z1154-0)),IF($Z1154&lt;=4000,N(INDEX(周转筐出入库明细!$H$4:$H$2004,$Z1154-2000))+N(INDEX(周转筐出入库明细!$I$4:$I$2004,$Z1154-2000))+N(INDEX(周转筐出入库明细!$J$4:$J$2004,$Z1154-2000))+N(INDEX(周转筐出入库明细!$K$4:$K$2004,$Z1154-2000)),IF($Z1154&lt;=5200,N(INDEX(客户自备加工筐明细!$F$4:$F$1203,$Z1154-4000))+N(INDEX(客户自备加工筐明细!$G$4:$G$1203,$Z1154-4000)),IF($Z1154&lt;=5800,IF(INDEX(次果筐明细!$G$4:$G$603,$Z1154-5200)=0,"",INDEX(次果筐明细!$G$4:$G$603,$Z1154-5200)),"")))))</f>
        <v/>
      </c>
      <c r="I1154" s="24" t="str">
        <f>IF($Z1154="","",IF($Z1154&lt;=2000,IF(INDEX(包装物料出入库明细!$G$4:$G$2003,$Z1154-0)=0,"",INDEX(包装物料出入库明细!$G$4:$G$2003,$Z1154-0)),IF($Z1154&lt;=4000,"个",IF($Z1154&lt;=5200,"个",IF($Z1154&lt;=5800,"个","")))))</f>
        <v/>
      </c>
      <c r="J1154" s="30" t="str">
        <f t="shared" si="52"/>
        <v/>
      </c>
      <c r="K1154" s="30" t="str">
        <f>IF($Z1154="","",IF($Z1154&lt;=2000,IF(INDEX(包装物料出入库明细!$N$4:$N$2003,$Z1154-0)=0,"",INDEX(包装物料出入库明细!$N$4:$N$2003,$Z1154-0)),IF($Z1154&lt;=4000,IF(INDEX(周转筐出入库明细!$P$4:$P$2004,$Z1154-2000)=0,"",INDEX(周转筐出入库明细!$P$4:$P$2004,$Z1154-2000)),IF($Z1154&lt;=5200,"",IF($Z1154&lt;=5800,N(INDEX(次果筐明细!$L$4:$L$603,$Z1154-5200))+N(INDEX(次果筐明细!$J$4:$J$603,$Z1154-5200)),"")))))</f>
        <v/>
      </c>
      <c r="L1154" s="24" t="str">
        <f>IF($Z1154="","",IF($Z1154&lt;=2000,IF(INDEX(包装物料出入库明细!$P$4:$P$2003,$Z1154-0)=0,"",INDEX(包装物料出入库明细!$P$4:$P$2003,$Z1154-0)),IF($Z1154&lt;=4000,IF(INDEX(周转筐出入库明细!$Q$4:$Q$2004,$Z1154-2000)=0,"",INDEX(周转筐出入库明细!$Q$4:$Q$2004,$Z1154-2000)),IF($Z1154&lt;=5200,"",IF($Z1154&lt;=5800,IF(INDEX(次果筐明细!$M$4:$M$603,$Z1154-5200)=0,"",INDEX(次果筐明细!$M$4:$M$603,$Z1154-5200)),"")))))</f>
        <v/>
      </c>
      <c r="M1154" s="37" t="str">
        <f>IF($Z1154="","",IF($Z1154&lt;=2000,IF(INDEX(包装物料出入库明细!$R$4:$R$2003,$Z1154-0)=0,"",INDEX(包装物料出入库明细!$R$4:$R$2003,$Z1154-0)),IF($Z1154&lt;=4000,IF(INDEX(周转筐出入库明细!$W$4:$W$2004,$Z1154-2000)=0,"",INDEX(周转筐出入库明细!$W$4:$W$2004,$Z1154-2000)),IF($Z1154&lt;=5200,IF(INDEX(客户自备加工筐明细!$L$4:$L$1203,$Z1154-4000)=0,"",INDEX(客户自备加工筐明细!$L$4:$L$1203,$Z1154-4000)),IF($Z1154&lt;=5800,IF(INDEX(次果筐明细!$P$4:$P$603,$Z1154-5200)=0,"",INDEX(次果筐明细!$P$4:$P$603,$Z1154-5200)),"")))))</f>
        <v/>
      </c>
      <c r="N1154" s="16" t="str">
        <f>IF($Z1154="","",IF($Z1154&lt;=2000,"",IF($Z1154&lt;=4000,IF(INDEX(周转筐出入库明细!$D$4:$D$2004,$Z1154-2000)=0,"",INDEX(周转筐出入库明细!$D$4:$D$2004,$Z1154-2000)),IF($Z1154&lt;=5200,IF(INDEX(客户自备加工筐明细!$C$4:$C$1203,$Z1154-4000)=0,"",INDEX(客户自备加工筐明细!$C$4:$C$1203,$Z1154-4000)),IF($Z1154&lt;=5800,IF(INDEX(次果筐明细!$D$4:$D$603,$Z1154-5200)=0,"",INDEX(次果筐明细!$D$4:$D$603,$Z1154-5200)),"")))))</f>
        <v/>
      </c>
      <c r="O1154" s="40" t="str">
        <f>IF($Z1154="","",IF($Z1154&lt;=2000,"",IF($Z1154&lt;=4000,IF(N(INDEX(周转筐出入库明细!$J$4:$J$2004,$Z1154-2000))+N(INDEX(周转筐出入库明细!$K$4:$K$2004,$Z1154-2000))=0,"",N(INDEX(周转筐出入库明细!$J$4:$J$2004,$Z1154-2000))+N(INDEX(周转筐出入库明细!$K$4:$K$2004,$Z1154-2000))),IF($Z1154&lt;=5200,IF(N(INDEX(客户自备加工筐明细!$G$4:$G$1203,$Z1154-4000))=0,"",N(INDEX(客户自备加工筐明细!$G$4:$G$1203,$Z1154-4000))),IF($Z1154&lt;=5800,IF(ISNUMBER(SEARCH("退",INDEX(次果筐明细!$F$4:$F$603,$Z1154-5200)&amp;"")),"",IF(N(INDEX(次果筐明细!$G$4:$G$603,$Z1154-5200))=0,"",N(INDEX(次果筐明细!$G$4:$G$603,$Z1154-5200)))),"")))))</f>
        <v/>
      </c>
      <c r="P1154" s="40" t="str">
        <f>IF($Z1154="","",IF($Z1154&lt;=2000,"",IF($Z1154&lt;=4000,IF(N(INDEX(周转筐出入库明细!$I$4:$I$2004,$Z1154-2000))=0,"",N(INDEX(周转筐出入库明细!$I$4:$I$2004,$Z1154-2000))),IF($Z1154&lt;=5200,"",IF($Z1154&lt;=5800,IF(ISNUMBER(SEARCH("退",INDEX(次果筐明细!$F$4:$F$603,$Z1154-5200)&amp;"")),IF(N(INDEX(次果筐明细!$G$4:$G$603,$Z1154-5200))=0,"",N(INDEX(次果筐明细!$G$4:$G$603,$Z1154-5200))),""),"")))))</f>
        <v/>
      </c>
      <c r="Q1154" s="40" t="str">
        <f>IF($Z1154="","",IF($Z1154&lt;=2000,"",IF($Z1154&lt;=4000,IF(N(INDEX(周转筐出入库明细!$H$4:$H$2004,$Z1154-2000))=0,"",N(INDEX(周转筐出入库明细!$H$4:$H$2004,$Z1154-2000))),IF($Z1154&lt;=5200,IF(N(INDEX(客户自备加工筐明细!$F$4:$F$1203,$Z1154-4000))=0,"",N(INDEX(客户自备加工筐明细!$F$4:$F$1203,$Z1154-4000))),IF($Z1154&lt;=5800,"","")))))</f>
        <v/>
      </c>
      <c r="R1154" s="16" t="str">
        <f>IF($Z1154="","",IF($Z1154&lt;=2000,IF(INDEX(包装物料出入库明细!$O$4:$O$2003,$Z1154-0)=0,"",INDEX(包装物料出入库明细!$O$4:$O$2003,$Z1154-0)),IF($Z1154&lt;=4000,IF(INDEX(周转筐出入库明细!$M$4:$M$2004,$Z1154-2000)=0,"",INDEX(周转筐出入库明细!$M$4:$M$2004,$Z1154-2000)),IF($Z1154&lt;=5200,IF(INDEX(客户自备加工筐明细!$H$4:$H$1203,$Z1154-4000)=0,"",INDEX(客户自备加工筐明细!$H$4:$H$1203,$Z1154-4000)),IF($Z1154&lt;=5800,IF(INDEX(次果筐明细!$H$4:$H$603,$Z1154-5200)=0,"",INDEX(次果筐明细!$H$4:$H$603,$Z1154-5200)),"")))))</f>
        <v/>
      </c>
      <c r="S1154" s="22" t="str">
        <f t="shared" si="53"/>
        <v/>
      </c>
      <c r="Z1154" s="10" t="str">
        <f>IFERROR(MATCH(ROW()-3,_自动清单!$CQ$4:$CQ$5803,0),"")</f>
        <v/>
      </c>
    </row>
    <row r="1155" spans="1:26">
      <c r="A1155" s="24" t="str">
        <f t="shared" si="51"/>
        <v/>
      </c>
      <c r="B1155" s="38" t="str">
        <f>IF($Z1155="","",IF($Z1155&lt;=2000,IF(INDEX(包装物料出入库明细!$B$4:$B$2003,$Z1155-0)=0,"",INDEX(包装物料出入库明细!$B$4:$B$2003,$Z1155-0)),IF($Z1155&lt;=4000,IF(INDEX(周转筐出入库明细!$B$4:$B$2004,$Z1155-2000)=0,"",INDEX(周转筐出入库明细!$B$4:$B$2004,$Z1155-2000)),IF($Z1155&lt;=5200,IF(INDEX(客户自备加工筐明细!$B$4:$B$1203,$Z1155-4000)=0,"",INDEX(客户自备加工筐明细!$B$4:$B$1203,$Z1155-4000)),IF($Z1155&lt;=5800,IF(INDEX(次果筐明细!$B$4:$B$603,$Z1155-5200)=0,"",INDEX(次果筐明细!$B$4:$B$603,$Z1155-5200)),"")))))</f>
        <v/>
      </c>
      <c r="C1155" s="37" t="str">
        <f>IF($Z1155="","",IF($Z1155&lt;=2000,IF(INDEX(包装物料出入库明细!$D$4:$D$2003,$Z1155-0)=0,"",INDEX(包装物料出入库明细!$D$4:$D$2003,$Z1155-0)),IF($Z1155&lt;=4000,IF(INDEX(周转筐出入库明细!$C$4:$C$2004,$Z1155-2000)=0,"",INDEX(周转筐出入库明细!$C$4:$C$2004,$Z1155-2000)),IF($Z1155&lt;=5200,IF(INDEX(客户自备加工筐明细!$E$4:$E$1203,$Z1155-4000)=0,"",INDEX(客户自备加工筐明细!$E$4:$E$1203,$Z1155-4000)),IF($Z1155&lt;=5800,IF(INDEX(次果筐明细!$C$4:$C$603,$Z1155-5200)=0,"",INDEX(次果筐明细!$C$4:$C$603,$Z1155-5200)),"")))))</f>
        <v/>
      </c>
      <c r="D1155" s="37" t="str">
        <f>IF($Z1155="","",IF($Z1155&lt;=2000,"包装物料－"&amp;INDEX(包装物料出入库明细!$H$4:$H$2003,$Z1155-0),IF($Z1155&lt;=4000,"周转筐－"&amp;INDEX(周转筐出入库明细!$F$4:$F$2004,$Z1155-2000),IF($Z1155&lt;=5200,"客户自备筐－"&amp;INDEX(客户自备加工筐明细!$J$4:$J$1203,$Z1155-4000),IF($Z1155&lt;=5800,"次果筐/托盘－"&amp;INDEX(次果筐明细!$F$4:$F$603,$Z1155-5200),"")))))</f>
        <v/>
      </c>
      <c r="E1155" s="24" t="str">
        <f>IF($Z1155="","",IF($Z1155&lt;=2000,IF(INDEX(包装物料出入库明细!$C$4:$C$2003,$Z1155-0)=0,"",INDEX(包装物料出入库明细!$C$4:$C$2003,$Z1155-0)),IF($Z1155&lt;=4000,IF(INDEX(周转筐出入库明细!$E$4:$E$2004,$Z1155-2000)=0,"",INDEX(周转筐出入库明细!$E$4:$E$2004,$Z1155-2000)),IF($Z1155&lt;=5200,IF(INDEX(客户自备加工筐明细!$D$4:$D$1203,$Z1155-4000)=0,"",INDEX(客户自备加工筐明细!$D$4:$D$1203,$Z1155-4000)),IF($Z1155&lt;=5800,IF(INDEX(次果筐明细!$E$4:$E$603,$Z1155-5200)=0,"",INDEX(次果筐明细!$E$4:$E$603,$Z1155-5200)),"")))))</f>
        <v/>
      </c>
      <c r="F1155" s="24" t="str">
        <f>IF($Z1155="","",IF($Z1155&lt;=2000,IF(INDEX(包装物料出入库明细!$E$4:$E$2003,$Z1155-0)=0,"",INDEX(包装物料出入库明细!$E$4:$E$2003,$Z1155-0)),IF($Z1155&lt;=4000,IF(INDEX(周转筐出入库明细!$D$4:$D$2004,$Z1155-2000)=0,"",INDEX(周转筐出入库明细!$D$4:$D$2004,$Z1155-2000)),IF($Z1155&lt;=5200,IF(INDEX(客户自备加工筐明细!$C$4:$C$1203,$Z1155-4000)=0,"",INDEX(客户自备加工筐明细!$C$4:$C$1203,$Z1155-4000)),IF($Z1155&lt;=5800,IF(INDEX(次果筐明细!$D$4:$D$603,$Z1155-5200)=0,"",INDEX(次果筐明细!$D$4:$D$603,$Z1155-5200)),"")))))</f>
        <v/>
      </c>
      <c r="G1155" s="24" t="str">
        <f>IF($Z1155="","",IF($Z1155&lt;=2000,IF(INDEX(包装物料出入库明细!$F$4:$F$2003,$Z1155-0)=0,"",INDEX(包装物料出入库明细!$F$4:$F$2003,$Z1155-0)),IF($Z1155&lt;=4000,"",IF($Z1155&lt;=5200,"",IF($Z1155&lt;=5800,"","")))))</f>
        <v/>
      </c>
      <c r="H1155" s="39" t="str">
        <f>IF($Z1155="","",IF($Z1155&lt;=2000,IF(INDEX(包装物料出入库明细!$L$4:$L$2003,$Z1155-0)=0,"",INDEX(包装物料出入库明细!$L$4:$L$2003,$Z1155-0)),IF($Z1155&lt;=4000,N(INDEX(周转筐出入库明细!$H$4:$H$2004,$Z1155-2000))+N(INDEX(周转筐出入库明细!$I$4:$I$2004,$Z1155-2000))+N(INDEX(周转筐出入库明细!$J$4:$J$2004,$Z1155-2000))+N(INDEX(周转筐出入库明细!$K$4:$K$2004,$Z1155-2000)),IF($Z1155&lt;=5200,N(INDEX(客户自备加工筐明细!$F$4:$F$1203,$Z1155-4000))+N(INDEX(客户自备加工筐明细!$G$4:$G$1203,$Z1155-4000)),IF($Z1155&lt;=5800,IF(INDEX(次果筐明细!$G$4:$G$603,$Z1155-5200)=0,"",INDEX(次果筐明细!$G$4:$G$603,$Z1155-5200)),"")))))</f>
        <v/>
      </c>
      <c r="I1155" s="24" t="str">
        <f>IF($Z1155="","",IF($Z1155&lt;=2000,IF(INDEX(包装物料出入库明细!$G$4:$G$2003,$Z1155-0)=0,"",INDEX(包装物料出入库明细!$G$4:$G$2003,$Z1155-0)),IF($Z1155&lt;=4000,"个",IF($Z1155&lt;=5200,"个",IF($Z1155&lt;=5800,"个","")))))</f>
        <v/>
      </c>
      <c r="J1155" s="30" t="str">
        <f t="shared" si="52"/>
        <v/>
      </c>
      <c r="K1155" s="30" t="str">
        <f>IF($Z1155="","",IF($Z1155&lt;=2000,IF(INDEX(包装物料出入库明细!$N$4:$N$2003,$Z1155-0)=0,"",INDEX(包装物料出入库明细!$N$4:$N$2003,$Z1155-0)),IF($Z1155&lt;=4000,IF(INDEX(周转筐出入库明细!$P$4:$P$2004,$Z1155-2000)=0,"",INDEX(周转筐出入库明细!$P$4:$P$2004,$Z1155-2000)),IF($Z1155&lt;=5200,"",IF($Z1155&lt;=5800,N(INDEX(次果筐明细!$L$4:$L$603,$Z1155-5200))+N(INDEX(次果筐明细!$J$4:$J$603,$Z1155-5200)),"")))))</f>
        <v/>
      </c>
      <c r="L1155" s="24" t="str">
        <f>IF($Z1155="","",IF($Z1155&lt;=2000,IF(INDEX(包装物料出入库明细!$P$4:$P$2003,$Z1155-0)=0,"",INDEX(包装物料出入库明细!$P$4:$P$2003,$Z1155-0)),IF($Z1155&lt;=4000,IF(INDEX(周转筐出入库明细!$Q$4:$Q$2004,$Z1155-2000)=0,"",INDEX(周转筐出入库明细!$Q$4:$Q$2004,$Z1155-2000)),IF($Z1155&lt;=5200,"",IF($Z1155&lt;=5800,IF(INDEX(次果筐明细!$M$4:$M$603,$Z1155-5200)=0,"",INDEX(次果筐明细!$M$4:$M$603,$Z1155-5200)),"")))))</f>
        <v/>
      </c>
      <c r="M1155" s="37" t="str">
        <f>IF($Z1155="","",IF($Z1155&lt;=2000,IF(INDEX(包装物料出入库明细!$R$4:$R$2003,$Z1155-0)=0,"",INDEX(包装物料出入库明细!$R$4:$R$2003,$Z1155-0)),IF($Z1155&lt;=4000,IF(INDEX(周转筐出入库明细!$W$4:$W$2004,$Z1155-2000)=0,"",INDEX(周转筐出入库明细!$W$4:$W$2004,$Z1155-2000)),IF($Z1155&lt;=5200,IF(INDEX(客户自备加工筐明细!$L$4:$L$1203,$Z1155-4000)=0,"",INDEX(客户自备加工筐明细!$L$4:$L$1203,$Z1155-4000)),IF($Z1155&lt;=5800,IF(INDEX(次果筐明细!$P$4:$P$603,$Z1155-5200)=0,"",INDEX(次果筐明细!$P$4:$P$603,$Z1155-5200)),"")))))</f>
        <v/>
      </c>
      <c r="N1155" s="16" t="str">
        <f>IF($Z1155="","",IF($Z1155&lt;=2000,"",IF($Z1155&lt;=4000,IF(INDEX(周转筐出入库明细!$D$4:$D$2004,$Z1155-2000)=0,"",INDEX(周转筐出入库明细!$D$4:$D$2004,$Z1155-2000)),IF($Z1155&lt;=5200,IF(INDEX(客户自备加工筐明细!$C$4:$C$1203,$Z1155-4000)=0,"",INDEX(客户自备加工筐明细!$C$4:$C$1203,$Z1155-4000)),IF($Z1155&lt;=5800,IF(INDEX(次果筐明细!$D$4:$D$603,$Z1155-5200)=0,"",INDEX(次果筐明细!$D$4:$D$603,$Z1155-5200)),"")))))</f>
        <v/>
      </c>
      <c r="O1155" s="40" t="str">
        <f>IF($Z1155="","",IF($Z1155&lt;=2000,"",IF($Z1155&lt;=4000,IF(N(INDEX(周转筐出入库明细!$J$4:$J$2004,$Z1155-2000))+N(INDEX(周转筐出入库明细!$K$4:$K$2004,$Z1155-2000))=0,"",N(INDEX(周转筐出入库明细!$J$4:$J$2004,$Z1155-2000))+N(INDEX(周转筐出入库明细!$K$4:$K$2004,$Z1155-2000))),IF($Z1155&lt;=5200,IF(N(INDEX(客户自备加工筐明细!$G$4:$G$1203,$Z1155-4000))=0,"",N(INDEX(客户自备加工筐明细!$G$4:$G$1203,$Z1155-4000))),IF($Z1155&lt;=5800,IF(ISNUMBER(SEARCH("退",INDEX(次果筐明细!$F$4:$F$603,$Z1155-5200)&amp;"")),"",IF(N(INDEX(次果筐明细!$G$4:$G$603,$Z1155-5200))=0,"",N(INDEX(次果筐明细!$G$4:$G$603,$Z1155-5200)))),"")))))</f>
        <v/>
      </c>
      <c r="P1155" s="40" t="str">
        <f>IF($Z1155="","",IF($Z1155&lt;=2000,"",IF($Z1155&lt;=4000,IF(N(INDEX(周转筐出入库明细!$I$4:$I$2004,$Z1155-2000))=0,"",N(INDEX(周转筐出入库明细!$I$4:$I$2004,$Z1155-2000))),IF($Z1155&lt;=5200,"",IF($Z1155&lt;=5800,IF(ISNUMBER(SEARCH("退",INDEX(次果筐明细!$F$4:$F$603,$Z1155-5200)&amp;"")),IF(N(INDEX(次果筐明细!$G$4:$G$603,$Z1155-5200))=0,"",N(INDEX(次果筐明细!$G$4:$G$603,$Z1155-5200))),""),"")))))</f>
        <v/>
      </c>
      <c r="Q1155" s="40" t="str">
        <f>IF($Z1155="","",IF($Z1155&lt;=2000,"",IF($Z1155&lt;=4000,IF(N(INDEX(周转筐出入库明细!$H$4:$H$2004,$Z1155-2000))=0,"",N(INDEX(周转筐出入库明细!$H$4:$H$2004,$Z1155-2000))),IF($Z1155&lt;=5200,IF(N(INDEX(客户自备加工筐明细!$F$4:$F$1203,$Z1155-4000))=0,"",N(INDEX(客户自备加工筐明细!$F$4:$F$1203,$Z1155-4000))),IF($Z1155&lt;=5800,"","")))))</f>
        <v/>
      </c>
      <c r="R1155" s="16" t="str">
        <f>IF($Z1155="","",IF($Z1155&lt;=2000,IF(INDEX(包装物料出入库明细!$O$4:$O$2003,$Z1155-0)=0,"",INDEX(包装物料出入库明细!$O$4:$O$2003,$Z1155-0)),IF($Z1155&lt;=4000,IF(INDEX(周转筐出入库明细!$M$4:$M$2004,$Z1155-2000)=0,"",INDEX(周转筐出入库明细!$M$4:$M$2004,$Z1155-2000)),IF($Z1155&lt;=5200,IF(INDEX(客户自备加工筐明细!$H$4:$H$1203,$Z1155-4000)=0,"",INDEX(客户自备加工筐明细!$H$4:$H$1203,$Z1155-4000)),IF($Z1155&lt;=5800,IF(INDEX(次果筐明细!$H$4:$H$603,$Z1155-5200)=0,"",INDEX(次果筐明细!$H$4:$H$603,$Z1155-5200)),"")))))</f>
        <v/>
      </c>
      <c r="S1155" s="22" t="str">
        <f t="shared" si="53"/>
        <v/>
      </c>
      <c r="Z1155" s="10" t="str">
        <f>IFERROR(MATCH(ROW()-3,_自动清单!$CQ$4:$CQ$5803,0),"")</f>
        <v/>
      </c>
    </row>
    <row r="1156" spans="1:26">
      <c r="A1156" s="24" t="str">
        <f t="shared" ref="A1156:A1203" si="54">IF($B1156="","",ROW()-3)</f>
        <v/>
      </c>
      <c r="B1156" s="38" t="str">
        <f>IF($Z1156="","",IF($Z1156&lt;=2000,IF(INDEX(包装物料出入库明细!$B$4:$B$2003,$Z1156-0)=0,"",INDEX(包装物料出入库明细!$B$4:$B$2003,$Z1156-0)),IF($Z1156&lt;=4000,IF(INDEX(周转筐出入库明细!$B$4:$B$2004,$Z1156-2000)=0,"",INDEX(周转筐出入库明细!$B$4:$B$2004,$Z1156-2000)),IF($Z1156&lt;=5200,IF(INDEX(客户自备加工筐明细!$B$4:$B$1203,$Z1156-4000)=0,"",INDEX(客户自备加工筐明细!$B$4:$B$1203,$Z1156-4000)),IF($Z1156&lt;=5800,IF(INDEX(次果筐明细!$B$4:$B$603,$Z1156-5200)=0,"",INDEX(次果筐明细!$B$4:$B$603,$Z1156-5200)),"")))))</f>
        <v/>
      </c>
      <c r="C1156" s="37" t="str">
        <f>IF($Z1156="","",IF($Z1156&lt;=2000,IF(INDEX(包装物料出入库明细!$D$4:$D$2003,$Z1156-0)=0,"",INDEX(包装物料出入库明细!$D$4:$D$2003,$Z1156-0)),IF($Z1156&lt;=4000,IF(INDEX(周转筐出入库明细!$C$4:$C$2004,$Z1156-2000)=0,"",INDEX(周转筐出入库明细!$C$4:$C$2004,$Z1156-2000)),IF($Z1156&lt;=5200,IF(INDEX(客户自备加工筐明细!$E$4:$E$1203,$Z1156-4000)=0,"",INDEX(客户自备加工筐明细!$E$4:$E$1203,$Z1156-4000)),IF($Z1156&lt;=5800,IF(INDEX(次果筐明细!$C$4:$C$603,$Z1156-5200)=0,"",INDEX(次果筐明细!$C$4:$C$603,$Z1156-5200)),"")))))</f>
        <v/>
      </c>
      <c r="D1156" s="37" t="str">
        <f>IF($Z1156="","",IF($Z1156&lt;=2000,"包装物料－"&amp;INDEX(包装物料出入库明细!$H$4:$H$2003,$Z1156-0),IF($Z1156&lt;=4000,"周转筐－"&amp;INDEX(周转筐出入库明细!$F$4:$F$2004,$Z1156-2000),IF($Z1156&lt;=5200,"客户自备筐－"&amp;INDEX(客户自备加工筐明细!$J$4:$J$1203,$Z1156-4000),IF($Z1156&lt;=5800,"次果筐/托盘－"&amp;INDEX(次果筐明细!$F$4:$F$603,$Z1156-5200),"")))))</f>
        <v/>
      </c>
      <c r="E1156" s="24" t="str">
        <f>IF($Z1156="","",IF($Z1156&lt;=2000,IF(INDEX(包装物料出入库明细!$C$4:$C$2003,$Z1156-0)=0,"",INDEX(包装物料出入库明细!$C$4:$C$2003,$Z1156-0)),IF($Z1156&lt;=4000,IF(INDEX(周转筐出入库明细!$E$4:$E$2004,$Z1156-2000)=0,"",INDEX(周转筐出入库明细!$E$4:$E$2004,$Z1156-2000)),IF($Z1156&lt;=5200,IF(INDEX(客户自备加工筐明细!$D$4:$D$1203,$Z1156-4000)=0,"",INDEX(客户自备加工筐明细!$D$4:$D$1203,$Z1156-4000)),IF($Z1156&lt;=5800,IF(INDEX(次果筐明细!$E$4:$E$603,$Z1156-5200)=0,"",INDEX(次果筐明细!$E$4:$E$603,$Z1156-5200)),"")))))</f>
        <v/>
      </c>
      <c r="F1156" s="24" t="str">
        <f>IF($Z1156="","",IF($Z1156&lt;=2000,IF(INDEX(包装物料出入库明细!$E$4:$E$2003,$Z1156-0)=0,"",INDEX(包装物料出入库明细!$E$4:$E$2003,$Z1156-0)),IF($Z1156&lt;=4000,IF(INDEX(周转筐出入库明细!$D$4:$D$2004,$Z1156-2000)=0,"",INDEX(周转筐出入库明细!$D$4:$D$2004,$Z1156-2000)),IF($Z1156&lt;=5200,IF(INDEX(客户自备加工筐明细!$C$4:$C$1203,$Z1156-4000)=0,"",INDEX(客户自备加工筐明细!$C$4:$C$1203,$Z1156-4000)),IF($Z1156&lt;=5800,IF(INDEX(次果筐明细!$D$4:$D$603,$Z1156-5200)=0,"",INDEX(次果筐明细!$D$4:$D$603,$Z1156-5200)),"")))))</f>
        <v/>
      </c>
      <c r="G1156" s="24" t="str">
        <f>IF($Z1156="","",IF($Z1156&lt;=2000,IF(INDEX(包装物料出入库明细!$F$4:$F$2003,$Z1156-0)=0,"",INDEX(包装物料出入库明细!$F$4:$F$2003,$Z1156-0)),IF($Z1156&lt;=4000,"",IF($Z1156&lt;=5200,"",IF($Z1156&lt;=5800,"","")))))</f>
        <v/>
      </c>
      <c r="H1156" s="39" t="str">
        <f>IF($Z1156="","",IF($Z1156&lt;=2000,IF(INDEX(包装物料出入库明细!$L$4:$L$2003,$Z1156-0)=0,"",INDEX(包装物料出入库明细!$L$4:$L$2003,$Z1156-0)),IF($Z1156&lt;=4000,N(INDEX(周转筐出入库明细!$H$4:$H$2004,$Z1156-2000))+N(INDEX(周转筐出入库明细!$I$4:$I$2004,$Z1156-2000))+N(INDEX(周转筐出入库明细!$J$4:$J$2004,$Z1156-2000))+N(INDEX(周转筐出入库明细!$K$4:$K$2004,$Z1156-2000)),IF($Z1156&lt;=5200,N(INDEX(客户自备加工筐明细!$F$4:$F$1203,$Z1156-4000))+N(INDEX(客户自备加工筐明细!$G$4:$G$1203,$Z1156-4000)),IF($Z1156&lt;=5800,IF(INDEX(次果筐明细!$G$4:$G$603,$Z1156-5200)=0,"",INDEX(次果筐明细!$G$4:$G$603,$Z1156-5200)),"")))))</f>
        <v/>
      </c>
      <c r="I1156" s="24" t="str">
        <f>IF($Z1156="","",IF($Z1156&lt;=2000,IF(INDEX(包装物料出入库明细!$G$4:$G$2003,$Z1156-0)=0,"",INDEX(包装物料出入库明细!$G$4:$G$2003,$Z1156-0)),IF($Z1156&lt;=4000,"个",IF($Z1156&lt;=5200,"个",IF($Z1156&lt;=5800,"个","")))))</f>
        <v/>
      </c>
      <c r="J1156" s="30" t="str">
        <f t="shared" ref="J1156:J1203" si="55">IF($Z1156="","",IF($Z1156&lt;=2000,"",IF($Z1156&lt;=4000,"",IF($Z1156&lt;=5200,"",IF($Z1156&lt;=5800,"","")))))</f>
        <v/>
      </c>
      <c r="K1156" s="30" t="str">
        <f>IF($Z1156="","",IF($Z1156&lt;=2000,IF(INDEX(包装物料出入库明细!$N$4:$N$2003,$Z1156-0)=0,"",INDEX(包装物料出入库明细!$N$4:$N$2003,$Z1156-0)),IF($Z1156&lt;=4000,IF(INDEX(周转筐出入库明细!$P$4:$P$2004,$Z1156-2000)=0,"",INDEX(周转筐出入库明细!$P$4:$P$2004,$Z1156-2000)),IF($Z1156&lt;=5200,"",IF($Z1156&lt;=5800,N(INDEX(次果筐明细!$L$4:$L$603,$Z1156-5200))+N(INDEX(次果筐明细!$J$4:$J$603,$Z1156-5200)),"")))))</f>
        <v/>
      </c>
      <c r="L1156" s="24" t="str">
        <f>IF($Z1156="","",IF($Z1156&lt;=2000,IF(INDEX(包装物料出入库明细!$P$4:$P$2003,$Z1156-0)=0,"",INDEX(包装物料出入库明细!$P$4:$P$2003,$Z1156-0)),IF($Z1156&lt;=4000,IF(INDEX(周转筐出入库明细!$Q$4:$Q$2004,$Z1156-2000)=0,"",INDEX(周转筐出入库明细!$Q$4:$Q$2004,$Z1156-2000)),IF($Z1156&lt;=5200,"",IF($Z1156&lt;=5800,IF(INDEX(次果筐明细!$M$4:$M$603,$Z1156-5200)=0,"",INDEX(次果筐明细!$M$4:$M$603,$Z1156-5200)),"")))))</f>
        <v/>
      </c>
      <c r="M1156" s="37" t="str">
        <f>IF($Z1156="","",IF($Z1156&lt;=2000,IF(INDEX(包装物料出入库明细!$R$4:$R$2003,$Z1156-0)=0,"",INDEX(包装物料出入库明细!$R$4:$R$2003,$Z1156-0)),IF($Z1156&lt;=4000,IF(INDEX(周转筐出入库明细!$W$4:$W$2004,$Z1156-2000)=0,"",INDEX(周转筐出入库明细!$W$4:$W$2004,$Z1156-2000)),IF($Z1156&lt;=5200,IF(INDEX(客户自备加工筐明细!$L$4:$L$1203,$Z1156-4000)=0,"",INDEX(客户自备加工筐明细!$L$4:$L$1203,$Z1156-4000)),IF($Z1156&lt;=5800,IF(INDEX(次果筐明细!$P$4:$P$603,$Z1156-5200)=0,"",INDEX(次果筐明细!$P$4:$P$603,$Z1156-5200)),"")))))</f>
        <v/>
      </c>
      <c r="N1156" s="16" t="str">
        <f>IF($Z1156="","",IF($Z1156&lt;=2000,"",IF($Z1156&lt;=4000,IF(INDEX(周转筐出入库明细!$D$4:$D$2004,$Z1156-2000)=0,"",INDEX(周转筐出入库明细!$D$4:$D$2004,$Z1156-2000)),IF($Z1156&lt;=5200,IF(INDEX(客户自备加工筐明细!$C$4:$C$1203,$Z1156-4000)=0,"",INDEX(客户自备加工筐明细!$C$4:$C$1203,$Z1156-4000)),IF($Z1156&lt;=5800,IF(INDEX(次果筐明细!$D$4:$D$603,$Z1156-5200)=0,"",INDEX(次果筐明细!$D$4:$D$603,$Z1156-5200)),"")))))</f>
        <v/>
      </c>
      <c r="O1156" s="40" t="str">
        <f>IF($Z1156="","",IF($Z1156&lt;=2000,"",IF($Z1156&lt;=4000,IF(N(INDEX(周转筐出入库明细!$J$4:$J$2004,$Z1156-2000))+N(INDEX(周转筐出入库明细!$K$4:$K$2004,$Z1156-2000))=0,"",N(INDEX(周转筐出入库明细!$J$4:$J$2004,$Z1156-2000))+N(INDEX(周转筐出入库明细!$K$4:$K$2004,$Z1156-2000))),IF($Z1156&lt;=5200,IF(N(INDEX(客户自备加工筐明细!$G$4:$G$1203,$Z1156-4000))=0,"",N(INDEX(客户自备加工筐明细!$G$4:$G$1203,$Z1156-4000))),IF($Z1156&lt;=5800,IF(ISNUMBER(SEARCH("退",INDEX(次果筐明细!$F$4:$F$603,$Z1156-5200)&amp;"")),"",IF(N(INDEX(次果筐明细!$G$4:$G$603,$Z1156-5200))=0,"",N(INDEX(次果筐明细!$G$4:$G$603,$Z1156-5200)))),"")))))</f>
        <v/>
      </c>
      <c r="P1156" s="40" t="str">
        <f>IF($Z1156="","",IF($Z1156&lt;=2000,"",IF($Z1156&lt;=4000,IF(N(INDEX(周转筐出入库明细!$I$4:$I$2004,$Z1156-2000))=0,"",N(INDEX(周转筐出入库明细!$I$4:$I$2004,$Z1156-2000))),IF($Z1156&lt;=5200,"",IF($Z1156&lt;=5800,IF(ISNUMBER(SEARCH("退",INDEX(次果筐明细!$F$4:$F$603,$Z1156-5200)&amp;"")),IF(N(INDEX(次果筐明细!$G$4:$G$603,$Z1156-5200))=0,"",N(INDEX(次果筐明细!$G$4:$G$603,$Z1156-5200))),""),"")))))</f>
        <v/>
      </c>
      <c r="Q1156" s="40" t="str">
        <f>IF($Z1156="","",IF($Z1156&lt;=2000,"",IF($Z1156&lt;=4000,IF(N(INDEX(周转筐出入库明细!$H$4:$H$2004,$Z1156-2000))=0,"",N(INDEX(周转筐出入库明细!$H$4:$H$2004,$Z1156-2000))),IF($Z1156&lt;=5200,IF(N(INDEX(客户自备加工筐明细!$F$4:$F$1203,$Z1156-4000))=0,"",N(INDEX(客户自备加工筐明细!$F$4:$F$1203,$Z1156-4000))),IF($Z1156&lt;=5800,"","")))))</f>
        <v/>
      </c>
      <c r="R1156" s="16" t="str">
        <f>IF($Z1156="","",IF($Z1156&lt;=2000,IF(INDEX(包装物料出入库明细!$O$4:$O$2003,$Z1156-0)=0,"",INDEX(包装物料出入库明细!$O$4:$O$2003,$Z1156-0)),IF($Z1156&lt;=4000,IF(INDEX(周转筐出入库明细!$M$4:$M$2004,$Z1156-2000)=0,"",INDEX(周转筐出入库明细!$M$4:$M$2004,$Z1156-2000)),IF($Z1156&lt;=5200,IF(INDEX(客户自备加工筐明细!$H$4:$H$1203,$Z1156-4000)=0,"",INDEX(客户自备加工筐明细!$H$4:$H$1203,$Z1156-4000)),IF($Z1156&lt;=5800,IF(INDEX(次果筐明细!$H$4:$H$603,$Z1156-5200)=0,"",INDEX(次果筐明细!$H$4:$H$603,$Z1156-5200)),"")))))</f>
        <v/>
      </c>
      <c r="S1156" s="22" t="str">
        <f t="shared" ref="S1156:S1203" si="56">IF($N1156="","",IF(OR(LEFT($N1156,2)="自备",AND($Z1156&gt;4000,$Z1156&lt;=5200)),"自备筐","公司筐"))</f>
        <v/>
      </c>
      <c r="Z1156" s="10" t="str">
        <f>IFERROR(MATCH(ROW()-3,_自动清单!$CQ$4:$CQ$5803,0),"")</f>
        <v/>
      </c>
    </row>
    <row r="1157" spans="1:26">
      <c r="A1157" s="24" t="str">
        <f t="shared" si="54"/>
        <v/>
      </c>
      <c r="B1157" s="38" t="str">
        <f>IF($Z1157="","",IF($Z1157&lt;=2000,IF(INDEX(包装物料出入库明细!$B$4:$B$2003,$Z1157-0)=0,"",INDEX(包装物料出入库明细!$B$4:$B$2003,$Z1157-0)),IF($Z1157&lt;=4000,IF(INDEX(周转筐出入库明细!$B$4:$B$2004,$Z1157-2000)=0,"",INDEX(周转筐出入库明细!$B$4:$B$2004,$Z1157-2000)),IF($Z1157&lt;=5200,IF(INDEX(客户自备加工筐明细!$B$4:$B$1203,$Z1157-4000)=0,"",INDEX(客户自备加工筐明细!$B$4:$B$1203,$Z1157-4000)),IF($Z1157&lt;=5800,IF(INDEX(次果筐明细!$B$4:$B$603,$Z1157-5200)=0,"",INDEX(次果筐明细!$B$4:$B$603,$Z1157-5200)),"")))))</f>
        <v/>
      </c>
      <c r="C1157" s="37" t="str">
        <f>IF($Z1157="","",IF($Z1157&lt;=2000,IF(INDEX(包装物料出入库明细!$D$4:$D$2003,$Z1157-0)=0,"",INDEX(包装物料出入库明细!$D$4:$D$2003,$Z1157-0)),IF($Z1157&lt;=4000,IF(INDEX(周转筐出入库明细!$C$4:$C$2004,$Z1157-2000)=0,"",INDEX(周转筐出入库明细!$C$4:$C$2004,$Z1157-2000)),IF($Z1157&lt;=5200,IF(INDEX(客户自备加工筐明细!$E$4:$E$1203,$Z1157-4000)=0,"",INDEX(客户自备加工筐明细!$E$4:$E$1203,$Z1157-4000)),IF($Z1157&lt;=5800,IF(INDEX(次果筐明细!$C$4:$C$603,$Z1157-5200)=0,"",INDEX(次果筐明细!$C$4:$C$603,$Z1157-5200)),"")))))</f>
        <v/>
      </c>
      <c r="D1157" s="37" t="str">
        <f>IF($Z1157="","",IF($Z1157&lt;=2000,"包装物料－"&amp;INDEX(包装物料出入库明细!$H$4:$H$2003,$Z1157-0),IF($Z1157&lt;=4000,"周转筐－"&amp;INDEX(周转筐出入库明细!$F$4:$F$2004,$Z1157-2000),IF($Z1157&lt;=5200,"客户自备筐－"&amp;INDEX(客户自备加工筐明细!$J$4:$J$1203,$Z1157-4000),IF($Z1157&lt;=5800,"次果筐/托盘－"&amp;INDEX(次果筐明细!$F$4:$F$603,$Z1157-5200),"")))))</f>
        <v/>
      </c>
      <c r="E1157" s="24" t="str">
        <f>IF($Z1157="","",IF($Z1157&lt;=2000,IF(INDEX(包装物料出入库明细!$C$4:$C$2003,$Z1157-0)=0,"",INDEX(包装物料出入库明细!$C$4:$C$2003,$Z1157-0)),IF($Z1157&lt;=4000,IF(INDEX(周转筐出入库明细!$E$4:$E$2004,$Z1157-2000)=0,"",INDEX(周转筐出入库明细!$E$4:$E$2004,$Z1157-2000)),IF($Z1157&lt;=5200,IF(INDEX(客户自备加工筐明细!$D$4:$D$1203,$Z1157-4000)=0,"",INDEX(客户自备加工筐明细!$D$4:$D$1203,$Z1157-4000)),IF($Z1157&lt;=5800,IF(INDEX(次果筐明细!$E$4:$E$603,$Z1157-5200)=0,"",INDEX(次果筐明细!$E$4:$E$603,$Z1157-5200)),"")))))</f>
        <v/>
      </c>
      <c r="F1157" s="24" t="str">
        <f>IF($Z1157="","",IF($Z1157&lt;=2000,IF(INDEX(包装物料出入库明细!$E$4:$E$2003,$Z1157-0)=0,"",INDEX(包装物料出入库明细!$E$4:$E$2003,$Z1157-0)),IF($Z1157&lt;=4000,IF(INDEX(周转筐出入库明细!$D$4:$D$2004,$Z1157-2000)=0,"",INDEX(周转筐出入库明细!$D$4:$D$2004,$Z1157-2000)),IF($Z1157&lt;=5200,IF(INDEX(客户自备加工筐明细!$C$4:$C$1203,$Z1157-4000)=0,"",INDEX(客户自备加工筐明细!$C$4:$C$1203,$Z1157-4000)),IF($Z1157&lt;=5800,IF(INDEX(次果筐明细!$D$4:$D$603,$Z1157-5200)=0,"",INDEX(次果筐明细!$D$4:$D$603,$Z1157-5200)),"")))))</f>
        <v/>
      </c>
      <c r="G1157" s="24" t="str">
        <f>IF($Z1157="","",IF($Z1157&lt;=2000,IF(INDEX(包装物料出入库明细!$F$4:$F$2003,$Z1157-0)=0,"",INDEX(包装物料出入库明细!$F$4:$F$2003,$Z1157-0)),IF($Z1157&lt;=4000,"",IF($Z1157&lt;=5200,"",IF($Z1157&lt;=5800,"","")))))</f>
        <v/>
      </c>
      <c r="H1157" s="39" t="str">
        <f>IF($Z1157="","",IF($Z1157&lt;=2000,IF(INDEX(包装物料出入库明细!$L$4:$L$2003,$Z1157-0)=0,"",INDEX(包装物料出入库明细!$L$4:$L$2003,$Z1157-0)),IF($Z1157&lt;=4000,N(INDEX(周转筐出入库明细!$H$4:$H$2004,$Z1157-2000))+N(INDEX(周转筐出入库明细!$I$4:$I$2004,$Z1157-2000))+N(INDEX(周转筐出入库明细!$J$4:$J$2004,$Z1157-2000))+N(INDEX(周转筐出入库明细!$K$4:$K$2004,$Z1157-2000)),IF($Z1157&lt;=5200,N(INDEX(客户自备加工筐明细!$F$4:$F$1203,$Z1157-4000))+N(INDEX(客户自备加工筐明细!$G$4:$G$1203,$Z1157-4000)),IF($Z1157&lt;=5800,IF(INDEX(次果筐明细!$G$4:$G$603,$Z1157-5200)=0,"",INDEX(次果筐明细!$G$4:$G$603,$Z1157-5200)),"")))))</f>
        <v/>
      </c>
      <c r="I1157" s="24" t="str">
        <f>IF($Z1157="","",IF($Z1157&lt;=2000,IF(INDEX(包装物料出入库明细!$G$4:$G$2003,$Z1157-0)=0,"",INDEX(包装物料出入库明细!$G$4:$G$2003,$Z1157-0)),IF($Z1157&lt;=4000,"个",IF($Z1157&lt;=5200,"个",IF($Z1157&lt;=5800,"个","")))))</f>
        <v/>
      </c>
      <c r="J1157" s="30" t="str">
        <f t="shared" si="55"/>
        <v/>
      </c>
      <c r="K1157" s="30" t="str">
        <f>IF($Z1157="","",IF($Z1157&lt;=2000,IF(INDEX(包装物料出入库明细!$N$4:$N$2003,$Z1157-0)=0,"",INDEX(包装物料出入库明细!$N$4:$N$2003,$Z1157-0)),IF($Z1157&lt;=4000,IF(INDEX(周转筐出入库明细!$P$4:$P$2004,$Z1157-2000)=0,"",INDEX(周转筐出入库明细!$P$4:$P$2004,$Z1157-2000)),IF($Z1157&lt;=5200,"",IF($Z1157&lt;=5800,N(INDEX(次果筐明细!$L$4:$L$603,$Z1157-5200))+N(INDEX(次果筐明细!$J$4:$J$603,$Z1157-5200)),"")))))</f>
        <v/>
      </c>
      <c r="L1157" s="24" t="str">
        <f>IF($Z1157="","",IF($Z1157&lt;=2000,IF(INDEX(包装物料出入库明细!$P$4:$P$2003,$Z1157-0)=0,"",INDEX(包装物料出入库明细!$P$4:$P$2003,$Z1157-0)),IF($Z1157&lt;=4000,IF(INDEX(周转筐出入库明细!$Q$4:$Q$2004,$Z1157-2000)=0,"",INDEX(周转筐出入库明细!$Q$4:$Q$2004,$Z1157-2000)),IF($Z1157&lt;=5200,"",IF($Z1157&lt;=5800,IF(INDEX(次果筐明细!$M$4:$M$603,$Z1157-5200)=0,"",INDEX(次果筐明细!$M$4:$M$603,$Z1157-5200)),"")))))</f>
        <v/>
      </c>
      <c r="M1157" s="37" t="str">
        <f>IF($Z1157="","",IF($Z1157&lt;=2000,IF(INDEX(包装物料出入库明细!$R$4:$R$2003,$Z1157-0)=0,"",INDEX(包装物料出入库明细!$R$4:$R$2003,$Z1157-0)),IF($Z1157&lt;=4000,IF(INDEX(周转筐出入库明细!$W$4:$W$2004,$Z1157-2000)=0,"",INDEX(周转筐出入库明细!$W$4:$W$2004,$Z1157-2000)),IF($Z1157&lt;=5200,IF(INDEX(客户自备加工筐明细!$L$4:$L$1203,$Z1157-4000)=0,"",INDEX(客户自备加工筐明细!$L$4:$L$1203,$Z1157-4000)),IF($Z1157&lt;=5800,IF(INDEX(次果筐明细!$P$4:$P$603,$Z1157-5200)=0,"",INDEX(次果筐明细!$P$4:$P$603,$Z1157-5200)),"")))))</f>
        <v/>
      </c>
      <c r="N1157" s="16" t="str">
        <f>IF($Z1157="","",IF($Z1157&lt;=2000,"",IF($Z1157&lt;=4000,IF(INDEX(周转筐出入库明细!$D$4:$D$2004,$Z1157-2000)=0,"",INDEX(周转筐出入库明细!$D$4:$D$2004,$Z1157-2000)),IF($Z1157&lt;=5200,IF(INDEX(客户自备加工筐明细!$C$4:$C$1203,$Z1157-4000)=0,"",INDEX(客户自备加工筐明细!$C$4:$C$1203,$Z1157-4000)),IF($Z1157&lt;=5800,IF(INDEX(次果筐明细!$D$4:$D$603,$Z1157-5200)=0,"",INDEX(次果筐明细!$D$4:$D$603,$Z1157-5200)),"")))))</f>
        <v/>
      </c>
      <c r="O1157" s="40" t="str">
        <f>IF($Z1157="","",IF($Z1157&lt;=2000,"",IF($Z1157&lt;=4000,IF(N(INDEX(周转筐出入库明细!$J$4:$J$2004,$Z1157-2000))+N(INDEX(周转筐出入库明细!$K$4:$K$2004,$Z1157-2000))=0,"",N(INDEX(周转筐出入库明细!$J$4:$J$2004,$Z1157-2000))+N(INDEX(周转筐出入库明细!$K$4:$K$2004,$Z1157-2000))),IF($Z1157&lt;=5200,IF(N(INDEX(客户自备加工筐明细!$G$4:$G$1203,$Z1157-4000))=0,"",N(INDEX(客户自备加工筐明细!$G$4:$G$1203,$Z1157-4000))),IF($Z1157&lt;=5800,IF(ISNUMBER(SEARCH("退",INDEX(次果筐明细!$F$4:$F$603,$Z1157-5200)&amp;"")),"",IF(N(INDEX(次果筐明细!$G$4:$G$603,$Z1157-5200))=0,"",N(INDEX(次果筐明细!$G$4:$G$603,$Z1157-5200)))),"")))))</f>
        <v/>
      </c>
      <c r="P1157" s="40" t="str">
        <f>IF($Z1157="","",IF($Z1157&lt;=2000,"",IF($Z1157&lt;=4000,IF(N(INDEX(周转筐出入库明细!$I$4:$I$2004,$Z1157-2000))=0,"",N(INDEX(周转筐出入库明细!$I$4:$I$2004,$Z1157-2000))),IF($Z1157&lt;=5200,"",IF($Z1157&lt;=5800,IF(ISNUMBER(SEARCH("退",INDEX(次果筐明细!$F$4:$F$603,$Z1157-5200)&amp;"")),IF(N(INDEX(次果筐明细!$G$4:$G$603,$Z1157-5200))=0,"",N(INDEX(次果筐明细!$G$4:$G$603,$Z1157-5200))),""),"")))))</f>
        <v/>
      </c>
      <c r="Q1157" s="40" t="str">
        <f>IF($Z1157="","",IF($Z1157&lt;=2000,"",IF($Z1157&lt;=4000,IF(N(INDEX(周转筐出入库明细!$H$4:$H$2004,$Z1157-2000))=0,"",N(INDEX(周转筐出入库明细!$H$4:$H$2004,$Z1157-2000))),IF($Z1157&lt;=5200,IF(N(INDEX(客户自备加工筐明细!$F$4:$F$1203,$Z1157-4000))=0,"",N(INDEX(客户自备加工筐明细!$F$4:$F$1203,$Z1157-4000))),IF($Z1157&lt;=5800,"","")))))</f>
        <v/>
      </c>
      <c r="R1157" s="16" t="str">
        <f>IF($Z1157="","",IF($Z1157&lt;=2000,IF(INDEX(包装物料出入库明细!$O$4:$O$2003,$Z1157-0)=0,"",INDEX(包装物料出入库明细!$O$4:$O$2003,$Z1157-0)),IF($Z1157&lt;=4000,IF(INDEX(周转筐出入库明细!$M$4:$M$2004,$Z1157-2000)=0,"",INDEX(周转筐出入库明细!$M$4:$M$2004,$Z1157-2000)),IF($Z1157&lt;=5200,IF(INDEX(客户自备加工筐明细!$H$4:$H$1203,$Z1157-4000)=0,"",INDEX(客户自备加工筐明细!$H$4:$H$1203,$Z1157-4000)),IF($Z1157&lt;=5800,IF(INDEX(次果筐明细!$H$4:$H$603,$Z1157-5200)=0,"",INDEX(次果筐明细!$H$4:$H$603,$Z1157-5200)),"")))))</f>
        <v/>
      </c>
      <c r="S1157" s="22" t="str">
        <f t="shared" si="56"/>
        <v/>
      </c>
      <c r="Z1157" s="10" t="str">
        <f>IFERROR(MATCH(ROW()-3,_自动清单!$CQ$4:$CQ$5803,0),"")</f>
        <v/>
      </c>
    </row>
    <row r="1158" spans="1:26">
      <c r="A1158" s="24" t="str">
        <f t="shared" si="54"/>
        <v/>
      </c>
      <c r="B1158" s="38" t="str">
        <f>IF($Z1158="","",IF($Z1158&lt;=2000,IF(INDEX(包装物料出入库明细!$B$4:$B$2003,$Z1158-0)=0,"",INDEX(包装物料出入库明细!$B$4:$B$2003,$Z1158-0)),IF($Z1158&lt;=4000,IF(INDEX(周转筐出入库明细!$B$4:$B$2004,$Z1158-2000)=0,"",INDEX(周转筐出入库明细!$B$4:$B$2004,$Z1158-2000)),IF($Z1158&lt;=5200,IF(INDEX(客户自备加工筐明细!$B$4:$B$1203,$Z1158-4000)=0,"",INDEX(客户自备加工筐明细!$B$4:$B$1203,$Z1158-4000)),IF($Z1158&lt;=5800,IF(INDEX(次果筐明细!$B$4:$B$603,$Z1158-5200)=0,"",INDEX(次果筐明细!$B$4:$B$603,$Z1158-5200)),"")))))</f>
        <v/>
      </c>
      <c r="C1158" s="37" t="str">
        <f>IF($Z1158="","",IF($Z1158&lt;=2000,IF(INDEX(包装物料出入库明细!$D$4:$D$2003,$Z1158-0)=0,"",INDEX(包装物料出入库明细!$D$4:$D$2003,$Z1158-0)),IF($Z1158&lt;=4000,IF(INDEX(周转筐出入库明细!$C$4:$C$2004,$Z1158-2000)=0,"",INDEX(周转筐出入库明细!$C$4:$C$2004,$Z1158-2000)),IF($Z1158&lt;=5200,IF(INDEX(客户自备加工筐明细!$E$4:$E$1203,$Z1158-4000)=0,"",INDEX(客户自备加工筐明细!$E$4:$E$1203,$Z1158-4000)),IF($Z1158&lt;=5800,IF(INDEX(次果筐明细!$C$4:$C$603,$Z1158-5200)=0,"",INDEX(次果筐明细!$C$4:$C$603,$Z1158-5200)),"")))))</f>
        <v/>
      </c>
      <c r="D1158" s="37" t="str">
        <f>IF($Z1158="","",IF($Z1158&lt;=2000,"包装物料－"&amp;INDEX(包装物料出入库明细!$H$4:$H$2003,$Z1158-0),IF($Z1158&lt;=4000,"周转筐－"&amp;INDEX(周转筐出入库明细!$F$4:$F$2004,$Z1158-2000),IF($Z1158&lt;=5200,"客户自备筐－"&amp;INDEX(客户自备加工筐明细!$J$4:$J$1203,$Z1158-4000),IF($Z1158&lt;=5800,"次果筐/托盘－"&amp;INDEX(次果筐明细!$F$4:$F$603,$Z1158-5200),"")))))</f>
        <v/>
      </c>
      <c r="E1158" s="24" t="str">
        <f>IF($Z1158="","",IF($Z1158&lt;=2000,IF(INDEX(包装物料出入库明细!$C$4:$C$2003,$Z1158-0)=0,"",INDEX(包装物料出入库明细!$C$4:$C$2003,$Z1158-0)),IF($Z1158&lt;=4000,IF(INDEX(周转筐出入库明细!$E$4:$E$2004,$Z1158-2000)=0,"",INDEX(周转筐出入库明细!$E$4:$E$2004,$Z1158-2000)),IF($Z1158&lt;=5200,IF(INDEX(客户自备加工筐明细!$D$4:$D$1203,$Z1158-4000)=0,"",INDEX(客户自备加工筐明细!$D$4:$D$1203,$Z1158-4000)),IF($Z1158&lt;=5800,IF(INDEX(次果筐明细!$E$4:$E$603,$Z1158-5200)=0,"",INDEX(次果筐明细!$E$4:$E$603,$Z1158-5200)),"")))))</f>
        <v/>
      </c>
      <c r="F1158" s="24" t="str">
        <f>IF($Z1158="","",IF($Z1158&lt;=2000,IF(INDEX(包装物料出入库明细!$E$4:$E$2003,$Z1158-0)=0,"",INDEX(包装物料出入库明细!$E$4:$E$2003,$Z1158-0)),IF($Z1158&lt;=4000,IF(INDEX(周转筐出入库明细!$D$4:$D$2004,$Z1158-2000)=0,"",INDEX(周转筐出入库明细!$D$4:$D$2004,$Z1158-2000)),IF($Z1158&lt;=5200,IF(INDEX(客户自备加工筐明细!$C$4:$C$1203,$Z1158-4000)=0,"",INDEX(客户自备加工筐明细!$C$4:$C$1203,$Z1158-4000)),IF($Z1158&lt;=5800,IF(INDEX(次果筐明细!$D$4:$D$603,$Z1158-5200)=0,"",INDEX(次果筐明细!$D$4:$D$603,$Z1158-5200)),"")))))</f>
        <v/>
      </c>
      <c r="G1158" s="24" t="str">
        <f>IF($Z1158="","",IF($Z1158&lt;=2000,IF(INDEX(包装物料出入库明细!$F$4:$F$2003,$Z1158-0)=0,"",INDEX(包装物料出入库明细!$F$4:$F$2003,$Z1158-0)),IF($Z1158&lt;=4000,"",IF($Z1158&lt;=5200,"",IF($Z1158&lt;=5800,"","")))))</f>
        <v/>
      </c>
      <c r="H1158" s="39" t="str">
        <f>IF($Z1158="","",IF($Z1158&lt;=2000,IF(INDEX(包装物料出入库明细!$L$4:$L$2003,$Z1158-0)=0,"",INDEX(包装物料出入库明细!$L$4:$L$2003,$Z1158-0)),IF($Z1158&lt;=4000,N(INDEX(周转筐出入库明细!$H$4:$H$2004,$Z1158-2000))+N(INDEX(周转筐出入库明细!$I$4:$I$2004,$Z1158-2000))+N(INDEX(周转筐出入库明细!$J$4:$J$2004,$Z1158-2000))+N(INDEX(周转筐出入库明细!$K$4:$K$2004,$Z1158-2000)),IF($Z1158&lt;=5200,N(INDEX(客户自备加工筐明细!$F$4:$F$1203,$Z1158-4000))+N(INDEX(客户自备加工筐明细!$G$4:$G$1203,$Z1158-4000)),IF($Z1158&lt;=5800,IF(INDEX(次果筐明细!$G$4:$G$603,$Z1158-5200)=0,"",INDEX(次果筐明细!$G$4:$G$603,$Z1158-5200)),"")))))</f>
        <v/>
      </c>
      <c r="I1158" s="24" t="str">
        <f>IF($Z1158="","",IF($Z1158&lt;=2000,IF(INDEX(包装物料出入库明细!$G$4:$G$2003,$Z1158-0)=0,"",INDEX(包装物料出入库明细!$G$4:$G$2003,$Z1158-0)),IF($Z1158&lt;=4000,"个",IF($Z1158&lt;=5200,"个",IF($Z1158&lt;=5800,"个","")))))</f>
        <v/>
      </c>
      <c r="J1158" s="30" t="str">
        <f t="shared" si="55"/>
        <v/>
      </c>
      <c r="K1158" s="30" t="str">
        <f>IF($Z1158="","",IF($Z1158&lt;=2000,IF(INDEX(包装物料出入库明细!$N$4:$N$2003,$Z1158-0)=0,"",INDEX(包装物料出入库明细!$N$4:$N$2003,$Z1158-0)),IF($Z1158&lt;=4000,IF(INDEX(周转筐出入库明细!$P$4:$P$2004,$Z1158-2000)=0,"",INDEX(周转筐出入库明细!$P$4:$P$2004,$Z1158-2000)),IF($Z1158&lt;=5200,"",IF($Z1158&lt;=5800,N(INDEX(次果筐明细!$L$4:$L$603,$Z1158-5200))+N(INDEX(次果筐明细!$J$4:$J$603,$Z1158-5200)),"")))))</f>
        <v/>
      </c>
      <c r="L1158" s="24" t="str">
        <f>IF($Z1158="","",IF($Z1158&lt;=2000,IF(INDEX(包装物料出入库明细!$P$4:$P$2003,$Z1158-0)=0,"",INDEX(包装物料出入库明细!$P$4:$P$2003,$Z1158-0)),IF($Z1158&lt;=4000,IF(INDEX(周转筐出入库明细!$Q$4:$Q$2004,$Z1158-2000)=0,"",INDEX(周转筐出入库明细!$Q$4:$Q$2004,$Z1158-2000)),IF($Z1158&lt;=5200,"",IF($Z1158&lt;=5800,IF(INDEX(次果筐明细!$M$4:$M$603,$Z1158-5200)=0,"",INDEX(次果筐明细!$M$4:$M$603,$Z1158-5200)),"")))))</f>
        <v/>
      </c>
      <c r="M1158" s="37" t="str">
        <f>IF($Z1158="","",IF($Z1158&lt;=2000,IF(INDEX(包装物料出入库明细!$R$4:$R$2003,$Z1158-0)=0,"",INDEX(包装物料出入库明细!$R$4:$R$2003,$Z1158-0)),IF($Z1158&lt;=4000,IF(INDEX(周转筐出入库明细!$W$4:$W$2004,$Z1158-2000)=0,"",INDEX(周转筐出入库明细!$W$4:$W$2004,$Z1158-2000)),IF($Z1158&lt;=5200,IF(INDEX(客户自备加工筐明细!$L$4:$L$1203,$Z1158-4000)=0,"",INDEX(客户自备加工筐明细!$L$4:$L$1203,$Z1158-4000)),IF($Z1158&lt;=5800,IF(INDEX(次果筐明细!$P$4:$P$603,$Z1158-5200)=0,"",INDEX(次果筐明细!$P$4:$P$603,$Z1158-5200)),"")))))</f>
        <v/>
      </c>
      <c r="N1158" s="16" t="str">
        <f>IF($Z1158="","",IF($Z1158&lt;=2000,"",IF($Z1158&lt;=4000,IF(INDEX(周转筐出入库明细!$D$4:$D$2004,$Z1158-2000)=0,"",INDEX(周转筐出入库明细!$D$4:$D$2004,$Z1158-2000)),IF($Z1158&lt;=5200,IF(INDEX(客户自备加工筐明细!$C$4:$C$1203,$Z1158-4000)=0,"",INDEX(客户自备加工筐明细!$C$4:$C$1203,$Z1158-4000)),IF($Z1158&lt;=5800,IF(INDEX(次果筐明细!$D$4:$D$603,$Z1158-5200)=0,"",INDEX(次果筐明细!$D$4:$D$603,$Z1158-5200)),"")))))</f>
        <v/>
      </c>
      <c r="O1158" s="40" t="str">
        <f>IF($Z1158="","",IF($Z1158&lt;=2000,"",IF($Z1158&lt;=4000,IF(N(INDEX(周转筐出入库明细!$J$4:$J$2004,$Z1158-2000))+N(INDEX(周转筐出入库明细!$K$4:$K$2004,$Z1158-2000))=0,"",N(INDEX(周转筐出入库明细!$J$4:$J$2004,$Z1158-2000))+N(INDEX(周转筐出入库明细!$K$4:$K$2004,$Z1158-2000))),IF($Z1158&lt;=5200,IF(N(INDEX(客户自备加工筐明细!$G$4:$G$1203,$Z1158-4000))=0,"",N(INDEX(客户自备加工筐明细!$G$4:$G$1203,$Z1158-4000))),IF($Z1158&lt;=5800,IF(ISNUMBER(SEARCH("退",INDEX(次果筐明细!$F$4:$F$603,$Z1158-5200)&amp;"")),"",IF(N(INDEX(次果筐明细!$G$4:$G$603,$Z1158-5200))=0,"",N(INDEX(次果筐明细!$G$4:$G$603,$Z1158-5200)))),"")))))</f>
        <v/>
      </c>
      <c r="P1158" s="40" t="str">
        <f>IF($Z1158="","",IF($Z1158&lt;=2000,"",IF($Z1158&lt;=4000,IF(N(INDEX(周转筐出入库明细!$I$4:$I$2004,$Z1158-2000))=0,"",N(INDEX(周转筐出入库明细!$I$4:$I$2004,$Z1158-2000))),IF($Z1158&lt;=5200,"",IF($Z1158&lt;=5800,IF(ISNUMBER(SEARCH("退",INDEX(次果筐明细!$F$4:$F$603,$Z1158-5200)&amp;"")),IF(N(INDEX(次果筐明细!$G$4:$G$603,$Z1158-5200))=0,"",N(INDEX(次果筐明细!$G$4:$G$603,$Z1158-5200))),""),"")))))</f>
        <v/>
      </c>
      <c r="Q1158" s="40" t="str">
        <f>IF($Z1158="","",IF($Z1158&lt;=2000,"",IF($Z1158&lt;=4000,IF(N(INDEX(周转筐出入库明细!$H$4:$H$2004,$Z1158-2000))=0,"",N(INDEX(周转筐出入库明细!$H$4:$H$2004,$Z1158-2000))),IF($Z1158&lt;=5200,IF(N(INDEX(客户自备加工筐明细!$F$4:$F$1203,$Z1158-4000))=0,"",N(INDEX(客户自备加工筐明细!$F$4:$F$1203,$Z1158-4000))),IF($Z1158&lt;=5800,"","")))))</f>
        <v/>
      </c>
      <c r="R1158" s="16" t="str">
        <f>IF($Z1158="","",IF($Z1158&lt;=2000,IF(INDEX(包装物料出入库明细!$O$4:$O$2003,$Z1158-0)=0,"",INDEX(包装物料出入库明细!$O$4:$O$2003,$Z1158-0)),IF($Z1158&lt;=4000,IF(INDEX(周转筐出入库明细!$M$4:$M$2004,$Z1158-2000)=0,"",INDEX(周转筐出入库明细!$M$4:$M$2004,$Z1158-2000)),IF($Z1158&lt;=5200,IF(INDEX(客户自备加工筐明细!$H$4:$H$1203,$Z1158-4000)=0,"",INDEX(客户自备加工筐明细!$H$4:$H$1203,$Z1158-4000)),IF($Z1158&lt;=5800,IF(INDEX(次果筐明细!$H$4:$H$603,$Z1158-5200)=0,"",INDEX(次果筐明细!$H$4:$H$603,$Z1158-5200)),"")))))</f>
        <v/>
      </c>
      <c r="S1158" s="22" t="str">
        <f t="shared" si="56"/>
        <v/>
      </c>
      <c r="Z1158" s="10" t="str">
        <f>IFERROR(MATCH(ROW()-3,_自动清单!$CQ$4:$CQ$5803,0),"")</f>
        <v/>
      </c>
    </row>
    <row r="1159" spans="1:26">
      <c r="A1159" s="24" t="str">
        <f t="shared" si="54"/>
        <v/>
      </c>
      <c r="B1159" s="38" t="str">
        <f>IF($Z1159="","",IF($Z1159&lt;=2000,IF(INDEX(包装物料出入库明细!$B$4:$B$2003,$Z1159-0)=0,"",INDEX(包装物料出入库明细!$B$4:$B$2003,$Z1159-0)),IF($Z1159&lt;=4000,IF(INDEX(周转筐出入库明细!$B$4:$B$2004,$Z1159-2000)=0,"",INDEX(周转筐出入库明细!$B$4:$B$2004,$Z1159-2000)),IF($Z1159&lt;=5200,IF(INDEX(客户自备加工筐明细!$B$4:$B$1203,$Z1159-4000)=0,"",INDEX(客户自备加工筐明细!$B$4:$B$1203,$Z1159-4000)),IF($Z1159&lt;=5800,IF(INDEX(次果筐明细!$B$4:$B$603,$Z1159-5200)=0,"",INDEX(次果筐明细!$B$4:$B$603,$Z1159-5200)),"")))))</f>
        <v/>
      </c>
      <c r="C1159" s="37" t="str">
        <f>IF($Z1159="","",IF($Z1159&lt;=2000,IF(INDEX(包装物料出入库明细!$D$4:$D$2003,$Z1159-0)=0,"",INDEX(包装物料出入库明细!$D$4:$D$2003,$Z1159-0)),IF($Z1159&lt;=4000,IF(INDEX(周转筐出入库明细!$C$4:$C$2004,$Z1159-2000)=0,"",INDEX(周转筐出入库明细!$C$4:$C$2004,$Z1159-2000)),IF($Z1159&lt;=5200,IF(INDEX(客户自备加工筐明细!$E$4:$E$1203,$Z1159-4000)=0,"",INDEX(客户自备加工筐明细!$E$4:$E$1203,$Z1159-4000)),IF($Z1159&lt;=5800,IF(INDEX(次果筐明细!$C$4:$C$603,$Z1159-5200)=0,"",INDEX(次果筐明细!$C$4:$C$603,$Z1159-5200)),"")))))</f>
        <v/>
      </c>
      <c r="D1159" s="37" t="str">
        <f>IF($Z1159="","",IF($Z1159&lt;=2000,"包装物料－"&amp;INDEX(包装物料出入库明细!$H$4:$H$2003,$Z1159-0),IF($Z1159&lt;=4000,"周转筐－"&amp;INDEX(周转筐出入库明细!$F$4:$F$2004,$Z1159-2000),IF($Z1159&lt;=5200,"客户自备筐－"&amp;INDEX(客户自备加工筐明细!$J$4:$J$1203,$Z1159-4000),IF($Z1159&lt;=5800,"次果筐/托盘－"&amp;INDEX(次果筐明细!$F$4:$F$603,$Z1159-5200),"")))))</f>
        <v/>
      </c>
      <c r="E1159" s="24" t="str">
        <f>IF($Z1159="","",IF($Z1159&lt;=2000,IF(INDEX(包装物料出入库明细!$C$4:$C$2003,$Z1159-0)=0,"",INDEX(包装物料出入库明细!$C$4:$C$2003,$Z1159-0)),IF($Z1159&lt;=4000,IF(INDEX(周转筐出入库明细!$E$4:$E$2004,$Z1159-2000)=0,"",INDEX(周转筐出入库明细!$E$4:$E$2004,$Z1159-2000)),IF($Z1159&lt;=5200,IF(INDEX(客户自备加工筐明细!$D$4:$D$1203,$Z1159-4000)=0,"",INDEX(客户自备加工筐明细!$D$4:$D$1203,$Z1159-4000)),IF($Z1159&lt;=5800,IF(INDEX(次果筐明细!$E$4:$E$603,$Z1159-5200)=0,"",INDEX(次果筐明细!$E$4:$E$603,$Z1159-5200)),"")))))</f>
        <v/>
      </c>
      <c r="F1159" s="24" t="str">
        <f>IF($Z1159="","",IF($Z1159&lt;=2000,IF(INDEX(包装物料出入库明细!$E$4:$E$2003,$Z1159-0)=0,"",INDEX(包装物料出入库明细!$E$4:$E$2003,$Z1159-0)),IF($Z1159&lt;=4000,IF(INDEX(周转筐出入库明细!$D$4:$D$2004,$Z1159-2000)=0,"",INDEX(周转筐出入库明细!$D$4:$D$2004,$Z1159-2000)),IF($Z1159&lt;=5200,IF(INDEX(客户自备加工筐明细!$C$4:$C$1203,$Z1159-4000)=0,"",INDEX(客户自备加工筐明细!$C$4:$C$1203,$Z1159-4000)),IF($Z1159&lt;=5800,IF(INDEX(次果筐明细!$D$4:$D$603,$Z1159-5200)=0,"",INDEX(次果筐明细!$D$4:$D$603,$Z1159-5200)),"")))))</f>
        <v/>
      </c>
      <c r="G1159" s="24" t="str">
        <f>IF($Z1159="","",IF($Z1159&lt;=2000,IF(INDEX(包装物料出入库明细!$F$4:$F$2003,$Z1159-0)=0,"",INDEX(包装物料出入库明细!$F$4:$F$2003,$Z1159-0)),IF($Z1159&lt;=4000,"",IF($Z1159&lt;=5200,"",IF($Z1159&lt;=5800,"","")))))</f>
        <v/>
      </c>
      <c r="H1159" s="39" t="str">
        <f>IF($Z1159="","",IF($Z1159&lt;=2000,IF(INDEX(包装物料出入库明细!$L$4:$L$2003,$Z1159-0)=0,"",INDEX(包装物料出入库明细!$L$4:$L$2003,$Z1159-0)),IF($Z1159&lt;=4000,N(INDEX(周转筐出入库明细!$H$4:$H$2004,$Z1159-2000))+N(INDEX(周转筐出入库明细!$I$4:$I$2004,$Z1159-2000))+N(INDEX(周转筐出入库明细!$J$4:$J$2004,$Z1159-2000))+N(INDEX(周转筐出入库明细!$K$4:$K$2004,$Z1159-2000)),IF($Z1159&lt;=5200,N(INDEX(客户自备加工筐明细!$F$4:$F$1203,$Z1159-4000))+N(INDEX(客户自备加工筐明细!$G$4:$G$1203,$Z1159-4000)),IF($Z1159&lt;=5800,IF(INDEX(次果筐明细!$G$4:$G$603,$Z1159-5200)=0,"",INDEX(次果筐明细!$G$4:$G$603,$Z1159-5200)),"")))))</f>
        <v/>
      </c>
      <c r="I1159" s="24" t="str">
        <f>IF($Z1159="","",IF($Z1159&lt;=2000,IF(INDEX(包装物料出入库明细!$G$4:$G$2003,$Z1159-0)=0,"",INDEX(包装物料出入库明细!$G$4:$G$2003,$Z1159-0)),IF($Z1159&lt;=4000,"个",IF($Z1159&lt;=5200,"个",IF($Z1159&lt;=5800,"个","")))))</f>
        <v/>
      </c>
      <c r="J1159" s="30" t="str">
        <f t="shared" si="55"/>
        <v/>
      </c>
      <c r="K1159" s="30" t="str">
        <f>IF($Z1159="","",IF($Z1159&lt;=2000,IF(INDEX(包装物料出入库明细!$N$4:$N$2003,$Z1159-0)=0,"",INDEX(包装物料出入库明细!$N$4:$N$2003,$Z1159-0)),IF($Z1159&lt;=4000,IF(INDEX(周转筐出入库明细!$P$4:$P$2004,$Z1159-2000)=0,"",INDEX(周转筐出入库明细!$P$4:$P$2004,$Z1159-2000)),IF($Z1159&lt;=5200,"",IF($Z1159&lt;=5800,N(INDEX(次果筐明细!$L$4:$L$603,$Z1159-5200))+N(INDEX(次果筐明细!$J$4:$J$603,$Z1159-5200)),"")))))</f>
        <v/>
      </c>
      <c r="L1159" s="24" t="str">
        <f>IF($Z1159="","",IF($Z1159&lt;=2000,IF(INDEX(包装物料出入库明细!$P$4:$P$2003,$Z1159-0)=0,"",INDEX(包装物料出入库明细!$P$4:$P$2003,$Z1159-0)),IF($Z1159&lt;=4000,IF(INDEX(周转筐出入库明细!$Q$4:$Q$2004,$Z1159-2000)=0,"",INDEX(周转筐出入库明细!$Q$4:$Q$2004,$Z1159-2000)),IF($Z1159&lt;=5200,"",IF($Z1159&lt;=5800,IF(INDEX(次果筐明细!$M$4:$M$603,$Z1159-5200)=0,"",INDEX(次果筐明细!$M$4:$M$603,$Z1159-5200)),"")))))</f>
        <v/>
      </c>
      <c r="M1159" s="37" t="str">
        <f>IF($Z1159="","",IF($Z1159&lt;=2000,IF(INDEX(包装物料出入库明细!$R$4:$R$2003,$Z1159-0)=0,"",INDEX(包装物料出入库明细!$R$4:$R$2003,$Z1159-0)),IF($Z1159&lt;=4000,IF(INDEX(周转筐出入库明细!$W$4:$W$2004,$Z1159-2000)=0,"",INDEX(周转筐出入库明细!$W$4:$W$2004,$Z1159-2000)),IF($Z1159&lt;=5200,IF(INDEX(客户自备加工筐明细!$L$4:$L$1203,$Z1159-4000)=0,"",INDEX(客户自备加工筐明细!$L$4:$L$1203,$Z1159-4000)),IF($Z1159&lt;=5800,IF(INDEX(次果筐明细!$P$4:$P$603,$Z1159-5200)=0,"",INDEX(次果筐明细!$P$4:$P$603,$Z1159-5200)),"")))))</f>
        <v/>
      </c>
      <c r="N1159" s="16" t="str">
        <f>IF($Z1159="","",IF($Z1159&lt;=2000,"",IF($Z1159&lt;=4000,IF(INDEX(周转筐出入库明细!$D$4:$D$2004,$Z1159-2000)=0,"",INDEX(周转筐出入库明细!$D$4:$D$2004,$Z1159-2000)),IF($Z1159&lt;=5200,IF(INDEX(客户自备加工筐明细!$C$4:$C$1203,$Z1159-4000)=0,"",INDEX(客户自备加工筐明细!$C$4:$C$1203,$Z1159-4000)),IF($Z1159&lt;=5800,IF(INDEX(次果筐明细!$D$4:$D$603,$Z1159-5200)=0,"",INDEX(次果筐明细!$D$4:$D$603,$Z1159-5200)),"")))))</f>
        <v/>
      </c>
      <c r="O1159" s="40" t="str">
        <f>IF($Z1159="","",IF($Z1159&lt;=2000,"",IF($Z1159&lt;=4000,IF(N(INDEX(周转筐出入库明细!$J$4:$J$2004,$Z1159-2000))+N(INDEX(周转筐出入库明细!$K$4:$K$2004,$Z1159-2000))=0,"",N(INDEX(周转筐出入库明细!$J$4:$J$2004,$Z1159-2000))+N(INDEX(周转筐出入库明细!$K$4:$K$2004,$Z1159-2000))),IF($Z1159&lt;=5200,IF(N(INDEX(客户自备加工筐明细!$G$4:$G$1203,$Z1159-4000))=0,"",N(INDEX(客户自备加工筐明细!$G$4:$G$1203,$Z1159-4000))),IF($Z1159&lt;=5800,IF(ISNUMBER(SEARCH("退",INDEX(次果筐明细!$F$4:$F$603,$Z1159-5200)&amp;"")),"",IF(N(INDEX(次果筐明细!$G$4:$G$603,$Z1159-5200))=0,"",N(INDEX(次果筐明细!$G$4:$G$603,$Z1159-5200)))),"")))))</f>
        <v/>
      </c>
      <c r="P1159" s="40" t="str">
        <f>IF($Z1159="","",IF($Z1159&lt;=2000,"",IF($Z1159&lt;=4000,IF(N(INDEX(周转筐出入库明细!$I$4:$I$2004,$Z1159-2000))=0,"",N(INDEX(周转筐出入库明细!$I$4:$I$2004,$Z1159-2000))),IF($Z1159&lt;=5200,"",IF($Z1159&lt;=5800,IF(ISNUMBER(SEARCH("退",INDEX(次果筐明细!$F$4:$F$603,$Z1159-5200)&amp;"")),IF(N(INDEX(次果筐明细!$G$4:$G$603,$Z1159-5200))=0,"",N(INDEX(次果筐明细!$G$4:$G$603,$Z1159-5200))),""),"")))))</f>
        <v/>
      </c>
      <c r="Q1159" s="40" t="str">
        <f>IF($Z1159="","",IF($Z1159&lt;=2000,"",IF($Z1159&lt;=4000,IF(N(INDEX(周转筐出入库明细!$H$4:$H$2004,$Z1159-2000))=0,"",N(INDEX(周转筐出入库明细!$H$4:$H$2004,$Z1159-2000))),IF($Z1159&lt;=5200,IF(N(INDEX(客户自备加工筐明细!$F$4:$F$1203,$Z1159-4000))=0,"",N(INDEX(客户自备加工筐明细!$F$4:$F$1203,$Z1159-4000))),IF($Z1159&lt;=5800,"","")))))</f>
        <v/>
      </c>
      <c r="R1159" s="16" t="str">
        <f>IF($Z1159="","",IF($Z1159&lt;=2000,IF(INDEX(包装物料出入库明细!$O$4:$O$2003,$Z1159-0)=0,"",INDEX(包装物料出入库明细!$O$4:$O$2003,$Z1159-0)),IF($Z1159&lt;=4000,IF(INDEX(周转筐出入库明细!$M$4:$M$2004,$Z1159-2000)=0,"",INDEX(周转筐出入库明细!$M$4:$M$2004,$Z1159-2000)),IF($Z1159&lt;=5200,IF(INDEX(客户自备加工筐明细!$H$4:$H$1203,$Z1159-4000)=0,"",INDEX(客户自备加工筐明细!$H$4:$H$1203,$Z1159-4000)),IF($Z1159&lt;=5800,IF(INDEX(次果筐明细!$H$4:$H$603,$Z1159-5200)=0,"",INDEX(次果筐明细!$H$4:$H$603,$Z1159-5200)),"")))))</f>
        <v/>
      </c>
      <c r="S1159" s="22" t="str">
        <f t="shared" si="56"/>
        <v/>
      </c>
      <c r="Z1159" s="10" t="str">
        <f>IFERROR(MATCH(ROW()-3,_自动清单!$CQ$4:$CQ$5803,0),"")</f>
        <v/>
      </c>
    </row>
    <row r="1160" spans="1:26">
      <c r="A1160" s="24" t="str">
        <f t="shared" si="54"/>
        <v/>
      </c>
      <c r="B1160" s="38" t="str">
        <f>IF($Z1160="","",IF($Z1160&lt;=2000,IF(INDEX(包装物料出入库明细!$B$4:$B$2003,$Z1160-0)=0,"",INDEX(包装物料出入库明细!$B$4:$B$2003,$Z1160-0)),IF($Z1160&lt;=4000,IF(INDEX(周转筐出入库明细!$B$4:$B$2004,$Z1160-2000)=0,"",INDEX(周转筐出入库明细!$B$4:$B$2004,$Z1160-2000)),IF($Z1160&lt;=5200,IF(INDEX(客户自备加工筐明细!$B$4:$B$1203,$Z1160-4000)=0,"",INDEX(客户自备加工筐明细!$B$4:$B$1203,$Z1160-4000)),IF($Z1160&lt;=5800,IF(INDEX(次果筐明细!$B$4:$B$603,$Z1160-5200)=0,"",INDEX(次果筐明细!$B$4:$B$603,$Z1160-5200)),"")))))</f>
        <v/>
      </c>
      <c r="C1160" s="37" t="str">
        <f>IF($Z1160="","",IF($Z1160&lt;=2000,IF(INDEX(包装物料出入库明细!$D$4:$D$2003,$Z1160-0)=0,"",INDEX(包装物料出入库明细!$D$4:$D$2003,$Z1160-0)),IF($Z1160&lt;=4000,IF(INDEX(周转筐出入库明细!$C$4:$C$2004,$Z1160-2000)=0,"",INDEX(周转筐出入库明细!$C$4:$C$2004,$Z1160-2000)),IF($Z1160&lt;=5200,IF(INDEX(客户自备加工筐明细!$E$4:$E$1203,$Z1160-4000)=0,"",INDEX(客户自备加工筐明细!$E$4:$E$1203,$Z1160-4000)),IF($Z1160&lt;=5800,IF(INDEX(次果筐明细!$C$4:$C$603,$Z1160-5200)=0,"",INDEX(次果筐明细!$C$4:$C$603,$Z1160-5200)),"")))))</f>
        <v/>
      </c>
      <c r="D1160" s="37" t="str">
        <f>IF($Z1160="","",IF($Z1160&lt;=2000,"包装物料－"&amp;INDEX(包装物料出入库明细!$H$4:$H$2003,$Z1160-0),IF($Z1160&lt;=4000,"周转筐－"&amp;INDEX(周转筐出入库明细!$F$4:$F$2004,$Z1160-2000),IF($Z1160&lt;=5200,"客户自备筐－"&amp;INDEX(客户自备加工筐明细!$J$4:$J$1203,$Z1160-4000),IF($Z1160&lt;=5800,"次果筐/托盘－"&amp;INDEX(次果筐明细!$F$4:$F$603,$Z1160-5200),"")))))</f>
        <v/>
      </c>
      <c r="E1160" s="24" t="str">
        <f>IF($Z1160="","",IF($Z1160&lt;=2000,IF(INDEX(包装物料出入库明细!$C$4:$C$2003,$Z1160-0)=0,"",INDEX(包装物料出入库明细!$C$4:$C$2003,$Z1160-0)),IF($Z1160&lt;=4000,IF(INDEX(周转筐出入库明细!$E$4:$E$2004,$Z1160-2000)=0,"",INDEX(周转筐出入库明细!$E$4:$E$2004,$Z1160-2000)),IF($Z1160&lt;=5200,IF(INDEX(客户自备加工筐明细!$D$4:$D$1203,$Z1160-4000)=0,"",INDEX(客户自备加工筐明细!$D$4:$D$1203,$Z1160-4000)),IF($Z1160&lt;=5800,IF(INDEX(次果筐明细!$E$4:$E$603,$Z1160-5200)=0,"",INDEX(次果筐明细!$E$4:$E$603,$Z1160-5200)),"")))))</f>
        <v/>
      </c>
      <c r="F1160" s="24" t="str">
        <f>IF($Z1160="","",IF($Z1160&lt;=2000,IF(INDEX(包装物料出入库明细!$E$4:$E$2003,$Z1160-0)=0,"",INDEX(包装物料出入库明细!$E$4:$E$2003,$Z1160-0)),IF($Z1160&lt;=4000,IF(INDEX(周转筐出入库明细!$D$4:$D$2004,$Z1160-2000)=0,"",INDEX(周转筐出入库明细!$D$4:$D$2004,$Z1160-2000)),IF($Z1160&lt;=5200,IF(INDEX(客户自备加工筐明细!$C$4:$C$1203,$Z1160-4000)=0,"",INDEX(客户自备加工筐明细!$C$4:$C$1203,$Z1160-4000)),IF($Z1160&lt;=5800,IF(INDEX(次果筐明细!$D$4:$D$603,$Z1160-5200)=0,"",INDEX(次果筐明细!$D$4:$D$603,$Z1160-5200)),"")))))</f>
        <v/>
      </c>
      <c r="G1160" s="24" t="str">
        <f>IF($Z1160="","",IF($Z1160&lt;=2000,IF(INDEX(包装物料出入库明细!$F$4:$F$2003,$Z1160-0)=0,"",INDEX(包装物料出入库明细!$F$4:$F$2003,$Z1160-0)),IF($Z1160&lt;=4000,"",IF($Z1160&lt;=5200,"",IF($Z1160&lt;=5800,"","")))))</f>
        <v/>
      </c>
      <c r="H1160" s="39" t="str">
        <f>IF($Z1160="","",IF($Z1160&lt;=2000,IF(INDEX(包装物料出入库明细!$L$4:$L$2003,$Z1160-0)=0,"",INDEX(包装物料出入库明细!$L$4:$L$2003,$Z1160-0)),IF($Z1160&lt;=4000,N(INDEX(周转筐出入库明细!$H$4:$H$2004,$Z1160-2000))+N(INDEX(周转筐出入库明细!$I$4:$I$2004,$Z1160-2000))+N(INDEX(周转筐出入库明细!$J$4:$J$2004,$Z1160-2000))+N(INDEX(周转筐出入库明细!$K$4:$K$2004,$Z1160-2000)),IF($Z1160&lt;=5200,N(INDEX(客户自备加工筐明细!$F$4:$F$1203,$Z1160-4000))+N(INDEX(客户自备加工筐明细!$G$4:$G$1203,$Z1160-4000)),IF($Z1160&lt;=5800,IF(INDEX(次果筐明细!$G$4:$G$603,$Z1160-5200)=0,"",INDEX(次果筐明细!$G$4:$G$603,$Z1160-5200)),"")))))</f>
        <v/>
      </c>
      <c r="I1160" s="24" t="str">
        <f>IF($Z1160="","",IF($Z1160&lt;=2000,IF(INDEX(包装物料出入库明细!$G$4:$G$2003,$Z1160-0)=0,"",INDEX(包装物料出入库明细!$G$4:$G$2003,$Z1160-0)),IF($Z1160&lt;=4000,"个",IF($Z1160&lt;=5200,"个",IF($Z1160&lt;=5800,"个","")))))</f>
        <v/>
      </c>
      <c r="J1160" s="30" t="str">
        <f t="shared" si="55"/>
        <v/>
      </c>
      <c r="K1160" s="30" t="str">
        <f>IF($Z1160="","",IF($Z1160&lt;=2000,IF(INDEX(包装物料出入库明细!$N$4:$N$2003,$Z1160-0)=0,"",INDEX(包装物料出入库明细!$N$4:$N$2003,$Z1160-0)),IF($Z1160&lt;=4000,IF(INDEX(周转筐出入库明细!$P$4:$P$2004,$Z1160-2000)=0,"",INDEX(周转筐出入库明细!$P$4:$P$2004,$Z1160-2000)),IF($Z1160&lt;=5200,"",IF($Z1160&lt;=5800,N(INDEX(次果筐明细!$L$4:$L$603,$Z1160-5200))+N(INDEX(次果筐明细!$J$4:$J$603,$Z1160-5200)),"")))))</f>
        <v/>
      </c>
      <c r="L1160" s="24" t="str">
        <f>IF($Z1160="","",IF($Z1160&lt;=2000,IF(INDEX(包装物料出入库明细!$P$4:$P$2003,$Z1160-0)=0,"",INDEX(包装物料出入库明细!$P$4:$P$2003,$Z1160-0)),IF($Z1160&lt;=4000,IF(INDEX(周转筐出入库明细!$Q$4:$Q$2004,$Z1160-2000)=0,"",INDEX(周转筐出入库明细!$Q$4:$Q$2004,$Z1160-2000)),IF($Z1160&lt;=5200,"",IF($Z1160&lt;=5800,IF(INDEX(次果筐明细!$M$4:$M$603,$Z1160-5200)=0,"",INDEX(次果筐明细!$M$4:$M$603,$Z1160-5200)),"")))))</f>
        <v/>
      </c>
      <c r="M1160" s="37" t="str">
        <f>IF($Z1160="","",IF($Z1160&lt;=2000,IF(INDEX(包装物料出入库明细!$R$4:$R$2003,$Z1160-0)=0,"",INDEX(包装物料出入库明细!$R$4:$R$2003,$Z1160-0)),IF($Z1160&lt;=4000,IF(INDEX(周转筐出入库明细!$W$4:$W$2004,$Z1160-2000)=0,"",INDEX(周转筐出入库明细!$W$4:$W$2004,$Z1160-2000)),IF($Z1160&lt;=5200,IF(INDEX(客户自备加工筐明细!$L$4:$L$1203,$Z1160-4000)=0,"",INDEX(客户自备加工筐明细!$L$4:$L$1203,$Z1160-4000)),IF($Z1160&lt;=5800,IF(INDEX(次果筐明细!$P$4:$P$603,$Z1160-5200)=0,"",INDEX(次果筐明细!$P$4:$P$603,$Z1160-5200)),"")))))</f>
        <v/>
      </c>
      <c r="N1160" s="16" t="str">
        <f>IF($Z1160="","",IF($Z1160&lt;=2000,"",IF($Z1160&lt;=4000,IF(INDEX(周转筐出入库明细!$D$4:$D$2004,$Z1160-2000)=0,"",INDEX(周转筐出入库明细!$D$4:$D$2004,$Z1160-2000)),IF($Z1160&lt;=5200,IF(INDEX(客户自备加工筐明细!$C$4:$C$1203,$Z1160-4000)=0,"",INDEX(客户自备加工筐明细!$C$4:$C$1203,$Z1160-4000)),IF($Z1160&lt;=5800,IF(INDEX(次果筐明细!$D$4:$D$603,$Z1160-5200)=0,"",INDEX(次果筐明细!$D$4:$D$603,$Z1160-5200)),"")))))</f>
        <v/>
      </c>
      <c r="O1160" s="40" t="str">
        <f>IF($Z1160="","",IF($Z1160&lt;=2000,"",IF($Z1160&lt;=4000,IF(N(INDEX(周转筐出入库明细!$J$4:$J$2004,$Z1160-2000))+N(INDEX(周转筐出入库明细!$K$4:$K$2004,$Z1160-2000))=0,"",N(INDEX(周转筐出入库明细!$J$4:$J$2004,$Z1160-2000))+N(INDEX(周转筐出入库明细!$K$4:$K$2004,$Z1160-2000))),IF($Z1160&lt;=5200,IF(N(INDEX(客户自备加工筐明细!$G$4:$G$1203,$Z1160-4000))=0,"",N(INDEX(客户自备加工筐明细!$G$4:$G$1203,$Z1160-4000))),IF($Z1160&lt;=5800,IF(ISNUMBER(SEARCH("退",INDEX(次果筐明细!$F$4:$F$603,$Z1160-5200)&amp;"")),"",IF(N(INDEX(次果筐明细!$G$4:$G$603,$Z1160-5200))=0,"",N(INDEX(次果筐明细!$G$4:$G$603,$Z1160-5200)))),"")))))</f>
        <v/>
      </c>
      <c r="P1160" s="40" t="str">
        <f>IF($Z1160="","",IF($Z1160&lt;=2000,"",IF($Z1160&lt;=4000,IF(N(INDEX(周转筐出入库明细!$I$4:$I$2004,$Z1160-2000))=0,"",N(INDEX(周转筐出入库明细!$I$4:$I$2004,$Z1160-2000))),IF($Z1160&lt;=5200,"",IF($Z1160&lt;=5800,IF(ISNUMBER(SEARCH("退",INDEX(次果筐明细!$F$4:$F$603,$Z1160-5200)&amp;"")),IF(N(INDEX(次果筐明细!$G$4:$G$603,$Z1160-5200))=0,"",N(INDEX(次果筐明细!$G$4:$G$603,$Z1160-5200))),""),"")))))</f>
        <v/>
      </c>
      <c r="Q1160" s="40" t="str">
        <f>IF($Z1160="","",IF($Z1160&lt;=2000,"",IF($Z1160&lt;=4000,IF(N(INDEX(周转筐出入库明细!$H$4:$H$2004,$Z1160-2000))=0,"",N(INDEX(周转筐出入库明细!$H$4:$H$2004,$Z1160-2000))),IF($Z1160&lt;=5200,IF(N(INDEX(客户自备加工筐明细!$F$4:$F$1203,$Z1160-4000))=0,"",N(INDEX(客户自备加工筐明细!$F$4:$F$1203,$Z1160-4000))),IF($Z1160&lt;=5800,"","")))))</f>
        <v/>
      </c>
      <c r="R1160" s="16" t="str">
        <f>IF($Z1160="","",IF($Z1160&lt;=2000,IF(INDEX(包装物料出入库明细!$O$4:$O$2003,$Z1160-0)=0,"",INDEX(包装物料出入库明细!$O$4:$O$2003,$Z1160-0)),IF($Z1160&lt;=4000,IF(INDEX(周转筐出入库明细!$M$4:$M$2004,$Z1160-2000)=0,"",INDEX(周转筐出入库明细!$M$4:$M$2004,$Z1160-2000)),IF($Z1160&lt;=5200,IF(INDEX(客户自备加工筐明细!$H$4:$H$1203,$Z1160-4000)=0,"",INDEX(客户自备加工筐明细!$H$4:$H$1203,$Z1160-4000)),IF($Z1160&lt;=5800,IF(INDEX(次果筐明细!$H$4:$H$603,$Z1160-5200)=0,"",INDEX(次果筐明细!$H$4:$H$603,$Z1160-5200)),"")))))</f>
        <v/>
      </c>
      <c r="S1160" s="22" t="str">
        <f t="shared" si="56"/>
        <v/>
      </c>
      <c r="Z1160" s="10" t="str">
        <f>IFERROR(MATCH(ROW()-3,_自动清单!$CQ$4:$CQ$5803,0),"")</f>
        <v/>
      </c>
    </row>
    <row r="1161" spans="1:26">
      <c r="A1161" s="24" t="str">
        <f t="shared" si="54"/>
        <v/>
      </c>
      <c r="B1161" s="38" t="str">
        <f>IF($Z1161="","",IF($Z1161&lt;=2000,IF(INDEX(包装物料出入库明细!$B$4:$B$2003,$Z1161-0)=0,"",INDEX(包装物料出入库明细!$B$4:$B$2003,$Z1161-0)),IF($Z1161&lt;=4000,IF(INDEX(周转筐出入库明细!$B$4:$B$2004,$Z1161-2000)=0,"",INDEX(周转筐出入库明细!$B$4:$B$2004,$Z1161-2000)),IF($Z1161&lt;=5200,IF(INDEX(客户自备加工筐明细!$B$4:$B$1203,$Z1161-4000)=0,"",INDEX(客户自备加工筐明细!$B$4:$B$1203,$Z1161-4000)),IF($Z1161&lt;=5800,IF(INDEX(次果筐明细!$B$4:$B$603,$Z1161-5200)=0,"",INDEX(次果筐明细!$B$4:$B$603,$Z1161-5200)),"")))))</f>
        <v/>
      </c>
      <c r="C1161" s="37" t="str">
        <f>IF($Z1161="","",IF($Z1161&lt;=2000,IF(INDEX(包装物料出入库明细!$D$4:$D$2003,$Z1161-0)=0,"",INDEX(包装物料出入库明细!$D$4:$D$2003,$Z1161-0)),IF($Z1161&lt;=4000,IF(INDEX(周转筐出入库明细!$C$4:$C$2004,$Z1161-2000)=0,"",INDEX(周转筐出入库明细!$C$4:$C$2004,$Z1161-2000)),IF($Z1161&lt;=5200,IF(INDEX(客户自备加工筐明细!$E$4:$E$1203,$Z1161-4000)=0,"",INDEX(客户自备加工筐明细!$E$4:$E$1203,$Z1161-4000)),IF($Z1161&lt;=5800,IF(INDEX(次果筐明细!$C$4:$C$603,$Z1161-5200)=0,"",INDEX(次果筐明细!$C$4:$C$603,$Z1161-5200)),"")))))</f>
        <v/>
      </c>
      <c r="D1161" s="37" t="str">
        <f>IF($Z1161="","",IF($Z1161&lt;=2000,"包装物料－"&amp;INDEX(包装物料出入库明细!$H$4:$H$2003,$Z1161-0),IF($Z1161&lt;=4000,"周转筐－"&amp;INDEX(周转筐出入库明细!$F$4:$F$2004,$Z1161-2000),IF($Z1161&lt;=5200,"客户自备筐－"&amp;INDEX(客户自备加工筐明细!$J$4:$J$1203,$Z1161-4000),IF($Z1161&lt;=5800,"次果筐/托盘－"&amp;INDEX(次果筐明细!$F$4:$F$603,$Z1161-5200),"")))))</f>
        <v/>
      </c>
      <c r="E1161" s="24" t="str">
        <f>IF($Z1161="","",IF($Z1161&lt;=2000,IF(INDEX(包装物料出入库明细!$C$4:$C$2003,$Z1161-0)=0,"",INDEX(包装物料出入库明细!$C$4:$C$2003,$Z1161-0)),IF($Z1161&lt;=4000,IF(INDEX(周转筐出入库明细!$E$4:$E$2004,$Z1161-2000)=0,"",INDEX(周转筐出入库明细!$E$4:$E$2004,$Z1161-2000)),IF($Z1161&lt;=5200,IF(INDEX(客户自备加工筐明细!$D$4:$D$1203,$Z1161-4000)=0,"",INDEX(客户自备加工筐明细!$D$4:$D$1203,$Z1161-4000)),IF($Z1161&lt;=5800,IF(INDEX(次果筐明细!$E$4:$E$603,$Z1161-5200)=0,"",INDEX(次果筐明细!$E$4:$E$603,$Z1161-5200)),"")))))</f>
        <v/>
      </c>
      <c r="F1161" s="24" t="str">
        <f>IF($Z1161="","",IF($Z1161&lt;=2000,IF(INDEX(包装物料出入库明细!$E$4:$E$2003,$Z1161-0)=0,"",INDEX(包装物料出入库明细!$E$4:$E$2003,$Z1161-0)),IF($Z1161&lt;=4000,IF(INDEX(周转筐出入库明细!$D$4:$D$2004,$Z1161-2000)=0,"",INDEX(周转筐出入库明细!$D$4:$D$2004,$Z1161-2000)),IF($Z1161&lt;=5200,IF(INDEX(客户自备加工筐明细!$C$4:$C$1203,$Z1161-4000)=0,"",INDEX(客户自备加工筐明细!$C$4:$C$1203,$Z1161-4000)),IF($Z1161&lt;=5800,IF(INDEX(次果筐明细!$D$4:$D$603,$Z1161-5200)=0,"",INDEX(次果筐明细!$D$4:$D$603,$Z1161-5200)),"")))))</f>
        <v/>
      </c>
      <c r="G1161" s="24" t="str">
        <f>IF($Z1161="","",IF($Z1161&lt;=2000,IF(INDEX(包装物料出入库明细!$F$4:$F$2003,$Z1161-0)=0,"",INDEX(包装物料出入库明细!$F$4:$F$2003,$Z1161-0)),IF($Z1161&lt;=4000,"",IF($Z1161&lt;=5200,"",IF($Z1161&lt;=5800,"","")))))</f>
        <v/>
      </c>
      <c r="H1161" s="39" t="str">
        <f>IF($Z1161="","",IF($Z1161&lt;=2000,IF(INDEX(包装物料出入库明细!$L$4:$L$2003,$Z1161-0)=0,"",INDEX(包装物料出入库明细!$L$4:$L$2003,$Z1161-0)),IF($Z1161&lt;=4000,N(INDEX(周转筐出入库明细!$H$4:$H$2004,$Z1161-2000))+N(INDEX(周转筐出入库明细!$I$4:$I$2004,$Z1161-2000))+N(INDEX(周转筐出入库明细!$J$4:$J$2004,$Z1161-2000))+N(INDEX(周转筐出入库明细!$K$4:$K$2004,$Z1161-2000)),IF($Z1161&lt;=5200,N(INDEX(客户自备加工筐明细!$F$4:$F$1203,$Z1161-4000))+N(INDEX(客户自备加工筐明细!$G$4:$G$1203,$Z1161-4000)),IF($Z1161&lt;=5800,IF(INDEX(次果筐明细!$G$4:$G$603,$Z1161-5200)=0,"",INDEX(次果筐明细!$G$4:$G$603,$Z1161-5200)),"")))))</f>
        <v/>
      </c>
      <c r="I1161" s="24" t="str">
        <f>IF($Z1161="","",IF($Z1161&lt;=2000,IF(INDEX(包装物料出入库明细!$G$4:$G$2003,$Z1161-0)=0,"",INDEX(包装物料出入库明细!$G$4:$G$2003,$Z1161-0)),IF($Z1161&lt;=4000,"个",IF($Z1161&lt;=5200,"个",IF($Z1161&lt;=5800,"个","")))))</f>
        <v/>
      </c>
      <c r="J1161" s="30" t="str">
        <f t="shared" si="55"/>
        <v/>
      </c>
      <c r="K1161" s="30" t="str">
        <f>IF($Z1161="","",IF($Z1161&lt;=2000,IF(INDEX(包装物料出入库明细!$N$4:$N$2003,$Z1161-0)=0,"",INDEX(包装物料出入库明细!$N$4:$N$2003,$Z1161-0)),IF($Z1161&lt;=4000,IF(INDEX(周转筐出入库明细!$P$4:$P$2004,$Z1161-2000)=0,"",INDEX(周转筐出入库明细!$P$4:$P$2004,$Z1161-2000)),IF($Z1161&lt;=5200,"",IF($Z1161&lt;=5800,N(INDEX(次果筐明细!$L$4:$L$603,$Z1161-5200))+N(INDEX(次果筐明细!$J$4:$J$603,$Z1161-5200)),"")))))</f>
        <v/>
      </c>
      <c r="L1161" s="24" t="str">
        <f>IF($Z1161="","",IF($Z1161&lt;=2000,IF(INDEX(包装物料出入库明细!$P$4:$P$2003,$Z1161-0)=0,"",INDEX(包装物料出入库明细!$P$4:$P$2003,$Z1161-0)),IF($Z1161&lt;=4000,IF(INDEX(周转筐出入库明细!$Q$4:$Q$2004,$Z1161-2000)=0,"",INDEX(周转筐出入库明细!$Q$4:$Q$2004,$Z1161-2000)),IF($Z1161&lt;=5200,"",IF($Z1161&lt;=5800,IF(INDEX(次果筐明细!$M$4:$M$603,$Z1161-5200)=0,"",INDEX(次果筐明细!$M$4:$M$603,$Z1161-5200)),"")))))</f>
        <v/>
      </c>
      <c r="M1161" s="37" t="str">
        <f>IF($Z1161="","",IF($Z1161&lt;=2000,IF(INDEX(包装物料出入库明细!$R$4:$R$2003,$Z1161-0)=0,"",INDEX(包装物料出入库明细!$R$4:$R$2003,$Z1161-0)),IF($Z1161&lt;=4000,IF(INDEX(周转筐出入库明细!$W$4:$W$2004,$Z1161-2000)=0,"",INDEX(周转筐出入库明细!$W$4:$W$2004,$Z1161-2000)),IF($Z1161&lt;=5200,IF(INDEX(客户自备加工筐明细!$L$4:$L$1203,$Z1161-4000)=0,"",INDEX(客户自备加工筐明细!$L$4:$L$1203,$Z1161-4000)),IF($Z1161&lt;=5800,IF(INDEX(次果筐明细!$P$4:$P$603,$Z1161-5200)=0,"",INDEX(次果筐明细!$P$4:$P$603,$Z1161-5200)),"")))))</f>
        <v/>
      </c>
      <c r="N1161" s="16" t="str">
        <f>IF($Z1161="","",IF($Z1161&lt;=2000,"",IF($Z1161&lt;=4000,IF(INDEX(周转筐出入库明细!$D$4:$D$2004,$Z1161-2000)=0,"",INDEX(周转筐出入库明细!$D$4:$D$2004,$Z1161-2000)),IF($Z1161&lt;=5200,IF(INDEX(客户自备加工筐明细!$C$4:$C$1203,$Z1161-4000)=0,"",INDEX(客户自备加工筐明细!$C$4:$C$1203,$Z1161-4000)),IF($Z1161&lt;=5800,IF(INDEX(次果筐明细!$D$4:$D$603,$Z1161-5200)=0,"",INDEX(次果筐明细!$D$4:$D$603,$Z1161-5200)),"")))))</f>
        <v/>
      </c>
      <c r="O1161" s="40" t="str">
        <f>IF($Z1161="","",IF($Z1161&lt;=2000,"",IF($Z1161&lt;=4000,IF(N(INDEX(周转筐出入库明细!$J$4:$J$2004,$Z1161-2000))+N(INDEX(周转筐出入库明细!$K$4:$K$2004,$Z1161-2000))=0,"",N(INDEX(周转筐出入库明细!$J$4:$J$2004,$Z1161-2000))+N(INDEX(周转筐出入库明细!$K$4:$K$2004,$Z1161-2000))),IF($Z1161&lt;=5200,IF(N(INDEX(客户自备加工筐明细!$G$4:$G$1203,$Z1161-4000))=0,"",N(INDEX(客户自备加工筐明细!$G$4:$G$1203,$Z1161-4000))),IF($Z1161&lt;=5800,IF(ISNUMBER(SEARCH("退",INDEX(次果筐明细!$F$4:$F$603,$Z1161-5200)&amp;"")),"",IF(N(INDEX(次果筐明细!$G$4:$G$603,$Z1161-5200))=0,"",N(INDEX(次果筐明细!$G$4:$G$603,$Z1161-5200)))),"")))))</f>
        <v/>
      </c>
      <c r="P1161" s="40" t="str">
        <f>IF($Z1161="","",IF($Z1161&lt;=2000,"",IF($Z1161&lt;=4000,IF(N(INDEX(周转筐出入库明细!$I$4:$I$2004,$Z1161-2000))=0,"",N(INDEX(周转筐出入库明细!$I$4:$I$2004,$Z1161-2000))),IF($Z1161&lt;=5200,"",IF($Z1161&lt;=5800,IF(ISNUMBER(SEARCH("退",INDEX(次果筐明细!$F$4:$F$603,$Z1161-5200)&amp;"")),IF(N(INDEX(次果筐明细!$G$4:$G$603,$Z1161-5200))=0,"",N(INDEX(次果筐明细!$G$4:$G$603,$Z1161-5200))),""),"")))))</f>
        <v/>
      </c>
      <c r="Q1161" s="40" t="str">
        <f>IF($Z1161="","",IF($Z1161&lt;=2000,"",IF($Z1161&lt;=4000,IF(N(INDEX(周转筐出入库明细!$H$4:$H$2004,$Z1161-2000))=0,"",N(INDEX(周转筐出入库明细!$H$4:$H$2004,$Z1161-2000))),IF($Z1161&lt;=5200,IF(N(INDEX(客户自备加工筐明细!$F$4:$F$1203,$Z1161-4000))=0,"",N(INDEX(客户自备加工筐明细!$F$4:$F$1203,$Z1161-4000))),IF($Z1161&lt;=5800,"","")))))</f>
        <v/>
      </c>
      <c r="R1161" s="16" t="str">
        <f>IF($Z1161="","",IF($Z1161&lt;=2000,IF(INDEX(包装物料出入库明细!$O$4:$O$2003,$Z1161-0)=0,"",INDEX(包装物料出入库明细!$O$4:$O$2003,$Z1161-0)),IF($Z1161&lt;=4000,IF(INDEX(周转筐出入库明细!$M$4:$M$2004,$Z1161-2000)=0,"",INDEX(周转筐出入库明细!$M$4:$M$2004,$Z1161-2000)),IF($Z1161&lt;=5200,IF(INDEX(客户自备加工筐明细!$H$4:$H$1203,$Z1161-4000)=0,"",INDEX(客户自备加工筐明细!$H$4:$H$1203,$Z1161-4000)),IF($Z1161&lt;=5800,IF(INDEX(次果筐明细!$H$4:$H$603,$Z1161-5200)=0,"",INDEX(次果筐明细!$H$4:$H$603,$Z1161-5200)),"")))))</f>
        <v/>
      </c>
      <c r="S1161" s="22" t="str">
        <f t="shared" si="56"/>
        <v/>
      </c>
      <c r="Z1161" s="10" t="str">
        <f>IFERROR(MATCH(ROW()-3,_自动清单!$CQ$4:$CQ$5803,0),"")</f>
        <v/>
      </c>
    </row>
    <row r="1162" spans="1:26">
      <c r="A1162" s="24" t="str">
        <f t="shared" si="54"/>
        <v/>
      </c>
      <c r="B1162" s="38" t="str">
        <f>IF($Z1162="","",IF($Z1162&lt;=2000,IF(INDEX(包装物料出入库明细!$B$4:$B$2003,$Z1162-0)=0,"",INDEX(包装物料出入库明细!$B$4:$B$2003,$Z1162-0)),IF($Z1162&lt;=4000,IF(INDEX(周转筐出入库明细!$B$4:$B$2004,$Z1162-2000)=0,"",INDEX(周转筐出入库明细!$B$4:$B$2004,$Z1162-2000)),IF($Z1162&lt;=5200,IF(INDEX(客户自备加工筐明细!$B$4:$B$1203,$Z1162-4000)=0,"",INDEX(客户自备加工筐明细!$B$4:$B$1203,$Z1162-4000)),IF($Z1162&lt;=5800,IF(INDEX(次果筐明细!$B$4:$B$603,$Z1162-5200)=0,"",INDEX(次果筐明细!$B$4:$B$603,$Z1162-5200)),"")))))</f>
        <v/>
      </c>
      <c r="C1162" s="37" t="str">
        <f>IF($Z1162="","",IF($Z1162&lt;=2000,IF(INDEX(包装物料出入库明细!$D$4:$D$2003,$Z1162-0)=0,"",INDEX(包装物料出入库明细!$D$4:$D$2003,$Z1162-0)),IF($Z1162&lt;=4000,IF(INDEX(周转筐出入库明细!$C$4:$C$2004,$Z1162-2000)=0,"",INDEX(周转筐出入库明细!$C$4:$C$2004,$Z1162-2000)),IF($Z1162&lt;=5200,IF(INDEX(客户自备加工筐明细!$E$4:$E$1203,$Z1162-4000)=0,"",INDEX(客户自备加工筐明细!$E$4:$E$1203,$Z1162-4000)),IF($Z1162&lt;=5800,IF(INDEX(次果筐明细!$C$4:$C$603,$Z1162-5200)=0,"",INDEX(次果筐明细!$C$4:$C$603,$Z1162-5200)),"")))))</f>
        <v/>
      </c>
      <c r="D1162" s="37" t="str">
        <f>IF($Z1162="","",IF($Z1162&lt;=2000,"包装物料－"&amp;INDEX(包装物料出入库明细!$H$4:$H$2003,$Z1162-0),IF($Z1162&lt;=4000,"周转筐－"&amp;INDEX(周转筐出入库明细!$F$4:$F$2004,$Z1162-2000),IF($Z1162&lt;=5200,"客户自备筐－"&amp;INDEX(客户自备加工筐明细!$J$4:$J$1203,$Z1162-4000),IF($Z1162&lt;=5800,"次果筐/托盘－"&amp;INDEX(次果筐明细!$F$4:$F$603,$Z1162-5200),"")))))</f>
        <v/>
      </c>
      <c r="E1162" s="24" t="str">
        <f>IF($Z1162="","",IF($Z1162&lt;=2000,IF(INDEX(包装物料出入库明细!$C$4:$C$2003,$Z1162-0)=0,"",INDEX(包装物料出入库明细!$C$4:$C$2003,$Z1162-0)),IF($Z1162&lt;=4000,IF(INDEX(周转筐出入库明细!$E$4:$E$2004,$Z1162-2000)=0,"",INDEX(周转筐出入库明细!$E$4:$E$2004,$Z1162-2000)),IF($Z1162&lt;=5200,IF(INDEX(客户自备加工筐明细!$D$4:$D$1203,$Z1162-4000)=0,"",INDEX(客户自备加工筐明细!$D$4:$D$1203,$Z1162-4000)),IF($Z1162&lt;=5800,IF(INDEX(次果筐明细!$E$4:$E$603,$Z1162-5200)=0,"",INDEX(次果筐明细!$E$4:$E$603,$Z1162-5200)),"")))))</f>
        <v/>
      </c>
      <c r="F1162" s="24" t="str">
        <f>IF($Z1162="","",IF($Z1162&lt;=2000,IF(INDEX(包装物料出入库明细!$E$4:$E$2003,$Z1162-0)=0,"",INDEX(包装物料出入库明细!$E$4:$E$2003,$Z1162-0)),IF($Z1162&lt;=4000,IF(INDEX(周转筐出入库明细!$D$4:$D$2004,$Z1162-2000)=0,"",INDEX(周转筐出入库明细!$D$4:$D$2004,$Z1162-2000)),IF($Z1162&lt;=5200,IF(INDEX(客户自备加工筐明细!$C$4:$C$1203,$Z1162-4000)=0,"",INDEX(客户自备加工筐明细!$C$4:$C$1203,$Z1162-4000)),IF($Z1162&lt;=5800,IF(INDEX(次果筐明细!$D$4:$D$603,$Z1162-5200)=0,"",INDEX(次果筐明细!$D$4:$D$603,$Z1162-5200)),"")))))</f>
        <v/>
      </c>
      <c r="G1162" s="24" t="str">
        <f>IF($Z1162="","",IF($Z1162&lt;=2000,IF(INDEX(包装物料出入库明细!$F$4:$F$2003,$Z1162-0)=0,"",INDEX(包装物料出入库明细!$F$4:$F$2003,$Z1162-0)),IF($Z1162&lt;=4000,"",IF($Z1162&lt;=5200,"",IF($Z1162&lt;=5800,"","")))))</f>
        <v/>
      </c>
      <c r="H1162" s="39" t="str">
        <f>IF($Z1162="","",IF($Z1162&lt;=2000,IF(INDEX(包装物料出入库明细!$L$4:$L$2003,$Z1162-0)=0,"",INDEX(包装物料出入库明细!$L$4:$L$2003,$Z1162-0)),IF($Z1162&lt;=4000,N(INDEX(周转筐出入库明细!$H$4:$H$2004,$Z1162-2000))+N(INDEX(周转筐出入库明细!$I$4:$I$2004,$Z1162-2000))+N(INDEX(周转筐出入库明细!$J$4:$J$2004,$Z1162-2000))+N(INDEX(周转筐出入库明细!$K$4:$K$2004,$Z1162-2000)),IF($Z1162&lt;=5200,N(INDEX(客户自备加工筐明细!$F$4:$F$1203,$Z1162-4000))+N(INDEX(客户自备加工筐明细!$G$4:$G$1203,$Z1162-4000)),IF($Z1162&lt;=5800,IF(INDEX(次果筐明细!$G$4:$G$603,$Z1162-5200)=0,"",INDEX(次果筐明细!$G$4:$G$603,$Z1162-5200)),"")))))</f>
        <v/>
      </c>
      <c r="I1162" s="24" t="str">
        <f>IF($Z1162="","",IF($Z1162&lt;=2000,IF(INDEX(包装物料出入库明细!$G$4:$G$2003,$Z1162-0)=0,"",INDEX(包装物料出入库明细!$G$4:$G$2003,$Z1162-0)),IF($Z1162&lt;=4000,"个",IF($Z1162&lt;=5200,"个",IF($Z1162&lt;=5800,"个","")))))</f>
        <v/>
      </c>
      <c r="J1162" s="30" t="str">
        <f t="shared" si="55"/>
        <v/>
      </c>
      <c r="K1162" s="30" t="str">
        <f>IF($Z1162="","",IF($Z1162&lt;=2000,IF(INDEX(包装物料出入库明细!$N$4:$N$2003,$Z1162-0)=0,"",INDEX(包装物料出入库明细!$N$4:$N$2003,$Z1162-0)),IF($Z1162&lt;=4000,IF(INDEX(周转筐出入库明细!$P$4:$P$2004,$Z1162-2000)=0,"",INDEX(周转筐出入库明细!$P$4:$P$2004,$Z1162-2000)),IF($Z1162&lt;=5200,"",IF($Z1162&lt;=5800,N(INDEX(次果筐明细!$L$4:$L$603,$Z1162-5200))+N(INDEX(次果筐明细!$J$4:$J$603,$Z1162-5200)),"")))))</f>
        <v/>
      </c>
      <c r="L1162" s="24" t="str">
        <f>IF($Z1162="","",IF($Z1162&lt;=2000,IF(INDEX(包装物料出入库明细!$P$4:$P$2003,$Z1162-0)=0,"",INDEX(包装物料出入库明细!$P$4:$P$2003,$Z1162-0)),IF($Z1162&lt;=4000,IF(INDEX(周转筐出入库明细!$Q$4:$Q$2004,$Z1162-2000)=0,"",INDEX(周转筐出入库明细!$Q$4:$Q$2004,$Z1162-2000)),IF($Z1162&lt;=5200,"",IF($Z1162&lt;=5800,IF(INDEX(次果筐明细!$M$4:$M$603,$Z1162-5200)=0,"",INDEX(次果筐明细!$M$4:$M$603,$Z1162-5200)),"")))))</f>
        <v/>
      </c>
      <c r="M1162" s="37" t="str">
        <f>IF($Z1162="","",IF($Z1162&lt;=2000,IF(INDEX(包装物料出入库明细!$R$4:$R$2003,$Z1162-0)=0,"",INDEX(包装物料出入库明细!$R$4:$R$2003,$Z1162-0)),IF($Z1162&lt;=4000,IF(INDEX(周转筐出入库明细!$W$4:$W$2004,$Z1162-2000)=0,"",INDEX(周转筐出入库明细!$W$4:$W$2004,$Z1162-2000)),IF($Z1162&lt;=5200,IF(INDEX(客户自备加工筐明细!$L$4:$L$1203,$Z1162-4000)=0,"",INDEX(客户自备加工筐明细!$L$4:$L$1203,$Z1162-4000)),IF($Z1162&lt;=5800,IF(INDEX(次果筐明细!$P$4:$P$603,$Z1162-5200)=0,"",INDEX(次果筐明细!$P$4:$P$603,$Z1162-5200)),"")))))</f>
        <v/>
      </c>
      <c r="N1162" s="16" t="str">
        <f>IF($Z1162="","",IF($Z1162&lt;=2000,"",IF($Z1162&lt;=4000,IF(INDEX(周转筐出入库明细!$D$4:$D$2004,$Z1162-2000)=0,"",INDEX(周转筐出入库明细!$D$4:$D$2004,$Z1162-2000)),IF($Z1162&lt;=5200,IF(INDEX(客户自备加工筐明细!$C$4:$C$1203,$Z1162-4000)=0,"",INDEX(客户自备加工筐明细!$C$4:$C$1203,$Z1162-4000)),IF($Z1162&lt;=5800,IF(INDEX(次果筐明细!$D$4:$D$603,$Z1162-5200)=0,"",INDEX(次果筐明细!$D$4:$D$603,$Z1162-5200)),"")))))</f>
        <v/>
      </c>
      <c r="O1162" s="40" t="str">
        <f>IF($Z1162="","",IF($Z1162&lt;=2000,"",IF($Z1162&lt;=4000,IF(N(INDEX(周转筐出入库明细!$J$4:$J$2004,$Z1162-2000))+N(INDEX(周转筐出入库明细!$K$4:$K$2004,$Z1162-2000))=0,"",N(INDEX(周转筐出入库明细!$J$4:$J$2004,$Z1162-2000))+N(INDEX(周转筐出入库明细!$K$4:$K$2004,$Z1162-2000))),IF($Z1162&lt;=5200,IF(N(INDEX(客户自备加工筐明细!$G$4:$G$1203,$Z1162-4000))=0,"",N(INDEX(客户自备加工筐明细!$G$4:$G$1203,$Z1162-4000))),IF($Z1162&lt;=5800,IF(ISNUMBER(SEARCH("退",INDEX(次果筐明细!$F$4:$F$603,$Z1162-5200)&amp;"")),"",IF(N(INDEX(次果筐明细!$G$4:$G$603,$Z1162-5200))=0,"",N(INDEX(次果筐明细!$G$4:$G$603,$Z1162-5200)))),"")))))</f>
        <v/>
      </c>
      <c r="P1162" s="40" t="str">
        <f>IF($Z1162="","",IF($Z1162&lt;=2000,"",IF($Z1162&lt;=4000,IF(N(INDEX(周转筐出入库明细!$I$4:$I$2004,$Z1162-2000))=0,"",N(INDEX(周转筐出入库明细!$I$4:$I$2004,$Z1162-2000))),IF($Z1162&lt;=5200,"",IF($Z1162&lt;=5800,IF(ISNUMBER(SEARCH("退",INDEX(次果筐明细!$F$4:$F$603,$Z1162-5200)&amp;"")),IF(N(INDEX(次果筐明细!$G$4:$G$603,$Z1162-5200))=0,"",N(INDEX(次果筐明细!$G$4:$G$603,$Z1162-5200))),""),"")))))</f>
        <v/>
      </c>
      <c r="Q1162" s="40" t="str">
        <f>IF($Z1162="","",IF($Z1162&lt;=2000,"",IF($Z1162&lt;=4000,IF(N(INDEX(周转筐出入库明细!$H$4:$H$2004,$Z1162-2000))=0,"",N(INDEX(周转筐出入库明细!$H$4:$H$2004,$Z1162-2000))),IF($Z1162&lt;=5200,IF(N(INDEX(客户自备加工筐明细!$F$4:$F$1203,$Z1162-4000))=0,"",N(INDEX(客户自备加工筐明细!$F$4:$F$1203,$Z1162-4000))),IF($Z1162&lt;=5800,"","")))))</f>
        <v/>
      </c>
      <c r="R1162" s="16" t="str">
        <f>IF($Z1162="","",IF($Z1162&lt;=2000,IF(INDEX(包装物料出入库明细!$O$4:$O$2003,$Z1162-0)=0,"",INDEX(包装物料出入库明细!$O$4:$O$2003,$Z1162-0)),IF($Z1162&lt;=4000,IF(INDEX(周转筐出入库明细!$M$4:$M$2004,$Z1162-2000)=0,"",INDEX(周转筐出入库明细!$M$4:$M$2004,$Z1162-2000)),IF($Z1162&lt;=5200,IF(INDEX(客户自备加工筐明细!$H$4:$H$1203,$Z1162-4000)=0,"",INDEX(客户自备加工筐明细!$H$4:$H$1203,$Z1162-4000)),IF($Z1162&lt;=5800,IF(INDEX(次果筐明细!$H$4:$H$603,$Z1162-5200)=0,"",INDEX(次果筐明细!$H$4:$H$603,$Z1162-5200)),"")))))</f>
        <v/>
      </c>
      <c r="S1162" s="22" t="str">
        <f t="shared" si="56"/>
        <v/>
      </c>
      <c r="Z1162" s="10" t="str">
        <f>IFERROR(MATCH(ROW()-3,_自动清单!$CQ$4:$CQ$5803,0),"")</f>
        <v/>
      </c>
    </row>
    <row r="1163" spans="1:26">
      <c r="A1163" s="24" t="str">
        <f t="shared" si="54"/>
        <v/>
      </c>
      <c r="B1163" s="38" t="str">
        <f>IF($Z1163="","",IF($Z1163&lt;=2000,IF(INDEX(包装物料出入库明细!$B$4:$B$2003,$Z1163-0)=0,"",INDEX(包装物料出入库明细!$B$4:$B$2003,$Z1163-0)),IF($Z1163&lt;=4000,IF(INDEX(周转筐出入库明细!$B$4:$B$2004,$Z1163-2000)=0,"",INDEX(周转筐出入库明细!$B$4:$B$2004,$Z1163-2000)),IF($Z1163&lt;=5200,IF(INDEX(客户自备加工筐明细!$B$4:$B$1203,$Z1163-4000)=0,"",INDEX(客户自备加工筐明细!$B$4:$B$1203,$Z1163-4000)),IF($Z1163&lt;=5800,IF(INDEX(次果筐明细!$B$4:$B$603,$Z1163-5200)=0,"",INDEX(次果筐明细!$B$4:$B$603,$Z1163-5200)),"")))))</f>
        <v/>
      </c>
      <c r="C1163" s="37" t="str">
        <f>IF($Z1163="","",IF($Z1163&lt;=2000,IF(INDEX(包装物料出入库明细!$D$4:$D$2003,$Z1163-0)=0,"",INDEX(包装物料出入库明细!$D$4:$D$2003,$Z1163-0)),IF($Z1163&lt;=4000,IF(INDEX(周转筐出入库明细!$C$4:$C$2004,$Z1163-2000)=0,"",INDEX(周转筐出入库明细!$C$4:$C$2004,$Z1163-2000)),IF($Z1163&lt;=5200,IF(INDEX(客户自备加工筐明细!$E$4:$E$1203,$Z1163-4000)=0,"",INDEX(客户自备加工筐明细!$E$4:$E$1203,$Z1163-4000)),IF($Z1163&lt;=5800,IF(INDEX(次果筐明细!$C$4:$C$603,$Z1163-5200)=0,"",INDEX(次果筐明细!$C$4:$C$603,$Z1163-5200)),"")))))</f>
        <v/>
      </c>
      <c r="D1163" s="37" t="str">
        <f>IF($Z1163="","",IF($Z1163&lt;=2000,"包装物料－"&amp;INDEX(包装物料出入库明细!$H$4:$H$2003,$Z1163-0),IF($Z1163&lt;=4000,"周转筐－"&amp;INDEX(周转筐出入库明细!$F$4:$F$2004,$Z1163-2000),IF($Z1163&lt;=5200,"客户自备筐－"&amp;INDEX(客户自备加工筐明细!$J$4:$J$1203,$Z1163-4000),IF($Z1163&lt;=5800,"次果筐/托盘－"&amp;INDEX(次果筐明细!$F$4:$F$603,$Z1163-5200),"")))))</f>
        <v/>
      </c>
      <c r="E1163" s="24" t="str">
        <f>IF($Z1163="","",IF($Z1163&lt;=2000,IF(INDEX(包装物料出入库明细!$C$4:$C$2003,$Z1163-0)=0,"",INDEX(包装物料出入库明细!$C$4:$C$2003,$Z1163-0)),IF($Z1163&lt;=4000,IF(INDEX(周转筐出入库明细!$E$4:$E$2004,$Z1163-2000)=0,"",INDEX(周转筐出入库明细!$E$4:$E$2004,$Z1163-2000)),IF($Z1163&lt;=5200,IF(INDEX(客户自备加工筐明细!$D$4:$D$1203,$Z1163-4000)=0,"",INDEX(客户自备加工筐明细!$D$4:$D$1203,$Z1163-4000)),IF($Z1163&lt;=5800,IF(INDEX(次果筐明细!$E$4:$E$603,$Z1163-5200)=0,"",INDEX(次果筐明细!$E$4:$E$603,$Z1163-5200)),"")))))</f>
        <v/>
      </c>
      <c r="F1163" s="24" t="str">
        <f>IF($Z1163="","",IF($Z1163&lt;=2000,IF(INDEX(包装物料出入库明细!$E$4:$E$2003,$Z1163-0)=0,"",INDEX(包装物料出入库明细!$E$4:$E$2003,$Z1163-0)),IF($Z1163&lt;=4000,IF(INDEX(周转筐出入库明细!$D$4:$D$2004,$Z1163-2000)=0,"",INDEX(周转筐出入库明细!$D$4:$D$2004,$Z1163-2000)),IF($Z1163&lt;=5200,IF(INDEX(客户自备加工筐明细!$C$4:$C$1203,$Z1163-4000)=0,"",INDEX(客户自备加工筐明细!$C$4:$C$1203,$Z1163-4000)),IF($Z1163&lt;=5800,IF(INDEX(次果筐明细!$D$4:$D$603,$Z1163-5200)=0,"",INDEX(次果筐明细!$D$4:$D$603,$Z1163-5200)),"")))))</f>
        <v/>
      </c>
      <c r="G1163" s="24" t="str">
        <f>IF($Z1163="","",IF($Z1163&lt;=2000,IF(INDEX(包装物料出入库明细!$F$4:$F$2003,$Z1163-0)=0,"",INDEX(包装物料出入库明细!$F$4:$F$2003,$Z1163-0)),IF($Z1163&lt;=4000,"",IF($Z1163&lt;=5200,"",IF($Z1163&lt;=5800,"","")))))</f>
        <v/>
      </c>
      <c r="H1163" s="39" t="str">
        <f>IF($Z1163="","",IF($Z1163&lt;=2000,IF(INDEX(包装物料出入库明细!$L$4:$L$2003,$Z1163-0)=0,"",INDEX(包装物料出入库明细!$L$4:$L$2003,$Z1163-0)),IF($Z1163&lt;=4000,N(INDEX(周转筐出入库明细!$H$4:$H$2004,$Z1163-2000))+N(INDEX(周转筐出入库明细!$I$4:$I$2004,$Z1163-2000))+N(INDEX(周转筐出入库明细!$J$4:$J$2004,$Z1163-2000))+N(INDEX(周转筐出入库明细!$K$4:$K$2004,$Z1163-2000)),IF($Z1163&lt;=5200,N(INDEX(客户自备加工筐明细!$F$4:$F$1203,$Z1163-4000))+N(INDEX(客户自备加工筐明细!$G$4:$G$1203,$Z1163-4000)),IF($Z1163&lt;=5800,IF(INDEX(次果筐明细!$G$4:$G$603,$Z1163-5200)=0,"",INDEX(次果筐明细!$G$4:$G$603,$Z1163-5200)),"")))))</f>
        <v/>
      </c>
      <c r="I1163" s="24" t="str">
        <f>IF($Z1163="","",IF($Z1163&lt;=2000,IF(INDEX(包装物料出入库明细!$G$4:$G$2003,$Z1163-0)=0,"",INDEX(包装物料出入库明细!$G$4:$G$2003,$Z1163-0)),IF($Z1163&lt;=4000,"个",IF($Z1163&lt;=5200,"个",IF($Z1163&lt;=5800,"个","")))))</f>
        <v/>
      </c>
      <c r="J1163" s="30" t="str">
        <f t="shared" si="55"/>
        <v/>
      </c>
      <c r="K1163" s="30" t="str">
        <f>IF($Z1163="","",IF($Z1163&lt;=2000,IF(INDEX(包装物料出入库明细!$N$4:$N$2003,$Z1163-0)=0,"",INDEX(包装物料出入库明细!$N$4:$N$2003,$Z1163-0)),IF($Z1163&lt;=4000,IF(INDEX(周转筐出入库明细!$P$4:$P$2004,$Z1163-2000)=0,"",INDEX(周转筐出入库明细!$P$4:$P$2004,$Z1163-2000)),IF($Z1163&lt;=5200,"",IF($Z1163&lt;=5800,N(INDEX(次果筐明细!$L$4:$L$603,$Z1163-5200))+N(INDEX(次果筐明细!$J$4:$J$603,$Z1163-5200)),"")))))</f>
        <v/>
      </c>
      <c r="L1163" s="24" t="str">
        <f>IF($Z1163="","",IF($Z1163&lt;=2000,IF(INDEX(包装物料出入库明细!$P$4:$P$2003,$Z1163-0)=0,"",INDEX(包装物料出入库明细!$P$4:$P$2003,$Z1163-0)),IF($Z1163&lt;=4000,IF(INDEX(周转筐出入库明细!$Q$4:$Q$2004,$Z1163-2000)=0,"",INDEX(周转筐出入库明细!$Q$4:$Q$2004,$Z1163-2000)),IF($Z1163&lt;=5200,"",IF($Z1163&lt;=5800,IF(INDEX(次果筐明细!$M$4:$M$603,$Z1163-5200)=0,"",INDEX(次果筐明细!$M$4:$M$603,$Z1163-5200)),"")))))</f>
        <v/>
      </c>
      <c r="M1163" s="37" t="str">
        <f>IF($Z1163="","",IF($Z1163&lt;=2000,IF(INDEX(包装物料出入库明细!$R$4:$R$2003,$Z1163-0)=0,"",INDEX(包装物料出入库明细!$R$4:$R$2003,$Z1163-0)),IF($Z1163&lt;=4000,IF(INDEX(周转筐出入库明细!$W$4:$W$2004,$Z1163-2000)=0,"",INDEX(周转筐出入库明细!$W$4:$W$2004,$Z1163-2000)),IF($Z1163&lt;=5200,IF(INDEX(客户自备加工筐明细!$L$4:$L$1203,$Z1163-4000)=0,"",INDEX(客户自备加工筐明细!$L$4:$L$1203,$Z1163-4000)),IF($Z1163&lt;=5800,IF(INDEX(次果筐明细!$P$4:$P$603,$Z1163-5200)=0,"",INDEX(次果筐明细!$P$4:$P$603,$Z1163-5200)),"")))))</f>
        <v/>
      </c>
      <c r="N1163" s="16" t="str">
        <f>IF($Z1163="","",IF($Z1163&lt;=2000,"",IF($Z1163&lt;=4000,IF(INDEX(周转筐出入库明细!$D$4:$D$2004,$Z1163-2000)=0,"",INDEX(周转筐出入库明细!$D$4:$D$2004,$Z1163-2000)),IF($Z1163&lt;=5200,IF(INDEX(客户自备加工筐明细!$C$4:$C$1203,$Z1163-4000)=0,"",INDEX(客户自备加工筐明细!$C$4:$C$1203,$Z1163-4000)),IF($Z1163&lt;=5800,IF(INDEX(次果筐明细!$D$4:$D$603,$Z1163-5200)=0,"",INDEX(次果筐明细!$D$4:$D$603,$Z1163-5200)),"")))))</f>
        <v/>
      </c>
      <c r="O1163" s="40" t="str">
        <f>IF($Z1163="","",IF($Z1163&lt;=2000,"",IF($Z1163&lt;=4000,IF(N(INDEX(周转筐出入库明细!$J$4:$J$2004,$Z1163-2000))+N(INDEX(周转筐出入库明细!$K$4:$K$2004,$Z1163-2000))=0,"",N(INDEX(周转筐出入库明细!$J$4:$J$2004,$Z1163-2000))+N(INDEX(周转筐出入库明细!$K$4:$K$2004,$Z1163-2000))),IF($Z1163&lt;=5200,IF(N(INDEX(客户自备加工筐明细!$G$4:$G$1203,$Z1163-4000))=0,"",N(INDEX(客户自备加工筐明细!$G$4:$G$1203,$Z1163-4000))),IF($Z1163&lt;=5800,IF(ISNUMBER(SEARCH("退",INDEX(次果筐明细!$F$4:$F$603,$Z1163-5200)&amp;"")),"",IF(N(INDEX(次果筐明细!$G$4:$G$603,$Z1163-5200))=0,"",N(INDEX(次果筐明细!$G$4:$G$603,$Z1163-5200)))),"")))))</f>
        <v/>
      </c>
      <c r="P1163" s="40" t="str">
        <f>IF($Z1163="","",IF($Z1163&lt;=2000,"",IF($Z1163&lt;=4000,IF(N(INDEX(周转筐出入库明细!$I$4:$I$2004,$Z1163-2000))=0,"",N(INDEX(周转筐出入库明细!$I$4:$I$2004,$Z1163-2000))),IF($Z1163&lt;=5200,"",IF($Z1163&lt;=5800,IF(ISNUMBER(SEARCH("退",INDEX(次果筐明细!$F$4:$F$603,$Z1163-5200)&amp;"")),IF(N(INDEX(次果筐明细!$G$4:$G$603,$Z1163-5200))=0,"",N(INDEX(次果筐明细!$G$4:$G$603,$Z1163-5200))),""),"")))))</f>
        <v/>
      </c>
      <c r="Q1163" s="40" t="str">
        <f>IF($Z1163="","",IF($Z1163&lt;=2000,"",IF($Z1163&lt;=4000,IF(N(INDEX(周转筐出入库明细!$H$4:$H$2004,$Z1163-2000))=0,"",N(INDEX(周转筐出入库明细!$H$4:$H$2004,$Z1163-2000))),IF($Z1163&lt;=5200,IF(N(INDEX(客户自备加工筐明细!$F$4:$F$1203,$Z1163-4000))=0,"",N(INDEX(客户自备加工筐明细!$F$4:$F$1203,$Z1163-4000))),IF($Z1163&lt;=5800,"","")))))</f>
        <v/>
      </c>
      <c r="R1163" s="16" t="str">
        <f>IF($Z1163="","",IF($Z1163&lt;=2000,IF(INDEX(包装物料出入库明细!$O$4:$O$2003,$Z1163-0)=0,"",INDEX(包装物料出入库明细!$O$4:$O$2003,$Z1163-0)),IF($Z1163&lt;=4000,IF(INDEX(周转筐出入库明细!$M$4:$M$2004,$Z1163-2000)=0,"",INDEX(周转筐出入库明细!$M$4:$M$2004,$Z1163-2000)),IF($Z1163&lt;=5200,IF(INDEX(客户自备加工筐明细!$H$4:$H$1203,$Z1163-4000)=0,"",INDEX(客户自备加工筐明细!$H$4:$H$1203,$Z1163-4000)),IF($Z1163&lt;=5800,IF(INDEX(次果筐明细!$H$4:$H$603,$Z1163-5200)=0,"",INDEX(次果筐明细!$H$4:$H$603,$Z1163-5200)),"")))))</f>
        <v/>
      </c>
      <c r="S1163" s="22" t="str">
        <f t="shared" si="56"/>
        <v/>
      </c>
      <c r="Z1163" s="10" t="str">
        <f>IFERROR(MATCH(ROW()-3,_自动清单!$CQ$4:$CQ$5803,0),"")</f>
        <v/>
      </c>
    </row>
    <row r="1164" spans="1:26">
      <c r="A1164" s="24" t="str">
        <f t="shared" si="54"/>
        <v/>
      </c>
      <c r="B1164" s="38" t="str">
        <f>IF($Z1164="","",IF($Z1164&lt;=2000,IF(INDEX(包装物料出入库明细!$B$4:$B$2003,$Z1164-0)=0,"",INDEX(包装物料出入库明细!$B$4:$B$2003,$Z1164-0)),IF($Z1164&lt;=4000,IF(INDEX(周转筐出入库明细!$B$4:$B$2004,$Z1164-2000)=0,"",INDEX(周转筐出入库明细!$B$4:$B$2004,$Z1164-2000)),IF($Z1164&lt;=5200,IF(INDEX(客户自备加工筐明细!$B$4:$B$1203,$Z1164-4000)=0,"",INDEX(客户自备加工筐明细!$B$4:$B$1203,$Z1164-4000)),IF($Z1164&lt;=5800,IF(INDEX(次果筐明细!$B$4:$B$603,$Z1164-5200)=0,"",INDEX(次果筐明细!$B$4:$B$603,$Z1164-5200)),"")))))</f>
        <v/>
      </c>
      <c r="C1164" s="37" t="str">
        <f>IF($Z1164="","",IF($Z1164&lt;=2000,IF(INDEX(包装物料出入库明细!$D$4:$D$2003,$Z1164-0)=0,"",INDEX(包装物料出入库明细!$D$4:$D$2003,$Z1164-0)),IF($Z1164&lt;=4000,IF(INDEX(周转筐出入库明细!$C$4:$C$2004,$Z1164-2000)=0,"",INDEX(周转筐出入库明细!$C$4:$C$2004,$Z1164-2000)),IF($Z1164&lt;=5200,IF(INDEX(客户自备加工筐明细!$E$4:$E$1203,$Z1164-4000)=0,"",INDEX(客户自备加工筐明细!$E$4:$E$1203,$Z1164-4000)),IF($Z1164&lt;=5800,IF(INDEX(次果筐明细!$C$4:$C$603,$Z1164-5200)=0,"",INDEX(次果筐明细!$C$4:$C$603,$Z1164-5200)),"")))))</f>
        <v/>
      </c>
      <c r="D1164" s="37" t="str">
        <f>IF($Z1164="","",IF($Z1164&lt;=2000,"包装物料－"&amp;INDEX(包装物料出入库明细!$H$4:$H$2003,$Z1164-0),IF($Z1164&lt;=4000,"周转筐－"&amp;INDEX(周转筐出入库明细!$F$4:$F$2004,$Z1164-2000),IF($Z1164&lt;=5200,"客户自备筐－"&amp;INDEX(客户自备加工筐明细!$J$4:$J$1203,$Z1164-4000),IF($Z1164&lt;=5800,"次果筐/托盘－"&amp;INDEX(次果筐明细!$F$4:$F$603,$Z1164-5200),"")))))</f>
        <v/>
      </c>
      <c r="E1164" s="24" t="str">
        <f>IF($Z1164="","",IF($Z1164&lt;=2000,IF(INDEX(包装物料出入库明细!$C$4:$C$2003,$Z1164-0)=0,"",INDEX(包装物料出入库明细!$C$4:$C$2003,$Z1164-0)),IF($Z1164&lt;=4000,IF(INDEX(周转筐出入库明细!$E$4:$E$2004,$Z1164-2000)=0,"",INDEX(周转筐出入库明细!$E$4:$E$2004,$Z1164-2000)),IF($Z1164&lt;=5200,IF(INDEX(客户自备加工筐明细!$D$4:$D$1203,$Z1164-4000)=0,"",INDEX(客户自备加工筐明细!$D$4:$D$1203,$Z1164-4000)),IF($Z1164&lt;=5800,IF(INDEX(次果筐明细!$E$4:$E$603,$Z1164-5200)=0,"",INDEX(次果筐明细!$E$4:$E$603,$Z1164-5200)),"")))))</f>
        <v/>
      </c>
      <c r="F1164" s="24" t="str">
        <f>IF($Z1164="","",IF($Z1164&lt;=2000,IF(INDEX(包装物料出入库明细!$E$4:$E$2003,$Z1164-0)=0,"",INDEX(包装物料出入库明细!$E$4:$E$2003,$Z1164-0)),IF($Z1164&lt;=4000,IF(INDEX(周转筐出入库明细!$D$4:$D$2004,$Z1164-2000)=0,"",INDEX(周转筐出入库明细!$D$4:$D$2004,$Z1164-2000)),IF($Z1164&lt;=5200,IF(INDEX(客户自备加工筐明细!$C$4:$C$1203,$Z1164-4000)=0,"",INDEX(客户自备加工筐明细!$C$4:$C$1203,$Z1164-4000)),IF($Z1164&lt;=5800,IF(INDEX(次果筐明细!$D$4:$D$603,$Z1164-5200)=0,"",INDEX(次果筐明细!$D$4:$D$603,$Z1164-5200)),"")))))</f>
        <v/>
      </c>
      <c r="G1164" s="24" t="str">
        <f>IF($Z1164="","",IF($Z1164&lt;=2000,IF(INDEX(包装物料出入库明细!$F$4:$F$2003,$Z1164-0)=0,"",INDEX(包装物料出入库明细!$F$4:$F$2003,$Z1164-0)),IF($Z1164&lt;=4000,"",IF($Z1164&lt;=5200,"",IF($Z1164&lt;=5800,"","")))))</f>
        <v/>
      </c>
      <c r="H1164" s="39" t="str">
        <f>IF($Z1164="","",IF($Z1164&lt;=2000,IF(INDEX(包装物料出入库明细!$L$4:$L$2003,$Z1164-0)=0,"",INDEX(包装物料出入库明细!$L$4:$L$2003,$Z1164-0)),IF($Z1164&lt;=4000,N(INDEX(周转筐出入库明细!$H$4:$H$2004,$Z1164-2000))+N(INDEX(周转筐出入库明细!$I$4:$I$2004,$Z1164-2000))+N(INDEX(周转筐出入库明细!$J$4:$J$2004,$Z1164-2000))+N(INDEX(周转筐出入库明细!$K$4:$K$2004,$Z1164-2000)),IF($Z1164&lt;=5200,N(INDEX(客户自备加工筐明细!$F$4:$F$1203,$Z1164-4000))+N(INDEX(客户自备加工筐明细!$G$4:$G$1203,$Z1164-4000)),IF($Z1164&lt;=5800,IF(INDEX(次果筐明细!$G$4:$G$603,$Z1164-5200)=0,"",INDEX(次果筐明细!$G$4:$G$603,$Z1164-5200)),"")))))</f>
        <v/>
      </c>
      <c r="I1164" s="24" t="str">
        <f>IF($Z1164="","",IF($Z1164&lt;=2000,IF(INDEX(包装物料出入库明细!$G$4:$G$2003,$Z1164-0)=0,"",INDEX(包装物料出入库明细!$G$4:$G$2003,$Z1164-0)),IF($Z1164&lt;=4000,"个",IF($Z1164&lt;=5200,"个",IF($Z1164&lt;=5800,"个","")))))</f>
        <v/>
      </c>
      <c r="J1164" s="30" t="str">
        <f t="shared" si="55"/>
        <v/>
      </c>
      <c r="K1164" s="30" t="str">
        <f>IF($Z1164="","",IF($Z1164&lt;=2000,IF(INDEX(包装物料出入库明细!$N$4:$N$2003,$Z1164-0)=0,"",INDEX(包装物料出入库明细!$N$4:$N$2003,$Z1164-0)),IF($Z1164&lt;=4000,IF(INDEX(周转筐出入库明细!$P$4:$P$2004,$Z1164-2000)=0,"",INDEX(周转筐出入库明细!$P$4:$P$2004,$Z1164-2000)),IF($Z1164&lt;=5200,"",IF($Z1164&lt;=5800,N(INDEX(次果筐明细!$L$4:$L$603,$Z1164-5200))+N(INDEX(次果筐明细!$J$4:$J$603,$Z1164-5200)),"")))))</f>
        <v/>
      </c>
      <c r="L1164" s="24" t="str">
        <f>IF($Z1164="","",IF($Z1164&lt;=2000,IF(INDEX(包装物料出入库明细!$P$4:$P$2003,$Z1164-0)=0,"",INDEX(包装物料出入库明细!$P$4:$P$2003,$Z1164-0)),IF($Z1164&lt;=4000,IF(INDEX(周转筐出入库明细!$Q$4:$Q$2004,$Z1164-2000)=0,"",INDEX(周转筐出入库明细!$Q$4:$Q$2004,$Z1164-2000)),IF($Z1164&lt;=5200,"",IF($Z1164&lt;=5800,IF(INDEX(次果筐明细!$M$4:$M$603,$Z1164-5200)=0,"",INDEX(次果筐明细!$M$4:$M$603,$Z1164-5200)),"")))))</f>
        <v/>
      </c>
      <c r="M1164" s="37" t="str">
        <f>IF($Z1164="","",IF($Z1164&lt;=2000,IF(INDEX(包装物料出入库明细!$R$4:$R$2003,$Z1164-0)=0,"",INDEX(包装物料出入库明细!$R$4:$R$2003,$Z1164-0)),IF($Z1164&lt;=4000,IF(INDEX(周转筐出入库明细!$W$4:$W$2004,$Z1164-2000)=0,"",INDEX(周转筐出入库明细!$W$4:$W$2004,$Z1164-2000)),IF($Z1164&lt;=5200,IF(INDEX(客户自备加工筐明细!$L$4:$L$1203,$Z1164-4000)=0,"",INDEX(客户自备加工筐明细!$L$4:$L$1203,$Z1164-4000)),IF($Z1164&lt;=5800,IF(INDEX(次果筐明细!$P$4:$P$603,$Z1164-5200)=0,"",INDEX(次果筐明细!$P$4:$P$603,$Z1164-5200)),"")))))</f>
        <v/>
      </c>
      <c r="N1164" s="16" t="str">
        <f>IF($Z1164="","",IF($Z1164&lt;=2000,"",IF($Z1164&lt;=4000,IF(INDEX(周转筐出入库明细!$D$4:$D$2004,$Z1164-2000)=0,"",INDEX(周转筐出入库明细!$D$4:$D$2004,$Z1164-2000)),IF($Z1164&lt;=5200,IF(INDEX(客户自备加工筐明细!$C$4:$C$1203,$Z1164-4000)=0,"",INDEX(客户自备加工筐明细!$C$4:$C$1203,$Z1164-4000)),IF($Z1164&lt;=5800,IF(INDEX(次果筐明细!$D$4:$D$603,$Z1164-5200)=0,"",INDEX(次果筐明细!$D$4:$D$603,$Z1164-5200)),"")))))</f>
        <v/>
      </c>
      <c r="O1164" s="40" t="str">
        <f>IF($Z1164="","",IF($Z1164&lt;=2000,"",IF($Z1164&lt;=4000,IF(N(INDEX(周转筐出入库明细!$J$4:$J$2004,$Z1164-2000))+N(INDEX(周转筐出入库明细!$K$4:$K$2004,$Z1164-2000))=0,"",N(INDEX(周转筐出入库明细!$J$4:$J$2004,$Z1164-2000))+N(INDEX(周转筐出入库明细!$K$4:$K$2004,$Z1164-2000))),IF($Z1164&lt;=5200,IF(N(INDEX(客户自备加工筐明细!$G$4:$G$1203,$Z1164-4000))=0,"",N(INDEX(客户自备加工筐明细!$G$4:$G$1203,$Z1164-4000))),IF($Z1164&lt;=5800,IF(ISNUMBER(SEARCH("退",INDEX(次果筐明细!$F$4:$F$603,$Z1164-5200)&amp;"")),"",IF(N(INDEX(次果筐明细!$G$4:$G$603,$Z1164-5200))=0,"",N(INDEX(次果筐明细!$G$4:$G$603,$Z1164-5200)))),"")))))</f>
        <v/>
      </c>
      <c r="P1164" s="40" t="str">
        <f>IF($Z1164="","",IF($Z1164&lt;=2000,"",IF($Z1164&lt;=4000,IF(N(INDEX(周转筐出入库明细!$I$4:$I$2004,$Z1164-2000))=0,"",N(INDEX(周转筐出入库明细!$I$4:$I$2004,$Z1164-2000))),IF($Z1164&lt;=5200,"",IF($Z1164&lt;=5800,IF(ISNUMBER(SEARCH("退",INDEX(次果筐明细!$F$4:$F$603,$Z1164-5200)&amp;"")),IF(N(INDEX(次果筐明细!$G$4:$G$603,$Z1164-5200))=0,"",N(INDEX(次果筐明细!$G$4:$G$603,$Z1164-5200))),""),"")))))</f>
        <v/>
      </c>
      <c r="Q1164" s="40" t="str">
        <f>IF($Z1164="","",IF($Z1164&lt;=2000,"",IF($Z1164&lt;=4000,IF(N(INDEX(周转筐出入库明细!$H$4:$H$2004,$Z1164-2000))=0,"",N(INDEX(周转筐出入库明细!$H$4:$H$2004,$Z1164-2000))),IF($Z1164&lt;=5200,IF(N(INDEX(客户自备加工筐明细!$F$4:$F$1203,$Z1164-4000))=0,"",N(INDEX(客户自备加工筐明细!$F$4:$F$1203,$Z1164-4000))),IF($Z1164&lt;=5800,"","")))))</f>
        <v/>
      </c>
      <c r="R1164" s="16" t="str">
        <f>IF($Z1164="","",IF($Z1164&lt;=2000,IF(INDEX(包装物料出入库明细!$O$4:$O$2003,$Z1164-0)=0,"",INDEX(包装物料出入库明细!$O$4:$O$2003,$Z1164-0)),IF($Z1164&lt;=4000,IF(INDEX(周转筐出入库明细!$M$4:$M$2004,$Z1164-2000)=0,"",INDEX(周转筐出入库明细!$M$4:$M$2004,$Z1164-2000)),IF($Z1164&lt;=5200,IF(INDEX(客户自备加工筐明细!$H$4:$H$1203,$Z1164-4000)=0,"",INDEX(客户自备加工筐明细!$H$4:$H$1203,$Z1164-4000)),IF($Z1164&lt;=5800,IF(INDEX(次果筐明细!$H$4:$H$603,$Z1164-5200)=0,"",INDEX(次果筐明细!$H$4:$H$603,$Z1164-5200)),"")))))</f>
        <v/>
      </c>
      <c r="S1164" s="22" t="str">
        <f t="shared" si="56"/>
        <v/>
      </c>
      <c r="Z1164" s="10" t="str">
        <f>IFERROR(MATCH(ROW()-3,_自动清单!$CQ$4:$CQ$5803,0),"")</f>
        <v/>
      </c>
    </row>
    <row r="1165" spans="1:26">
      <c r="A1165" s="24" t="str">
        <f t="shared" si="54"/>
        <v/>
      </c>
      <c r="B1165" s="38" t="str">
        <f>IF($Z1165="","",IF($Z1165&lt;=2000,IF(INDEX(包装物料出入库明细!$B$4:$B$2003,$Z1165-0)=0,"",INDEX(包装物料出入库明细!$B$4:$B$2003,$Z1165-0)),IF($Z1165&lt;=4000,IF(INDEX(周转筐出入库明细!$B$4:$B$2004,$Z1165-2000)=0,"",INDEX(周转筐出入库明细!$B$4:$B$2004,$Z1165-2000)),IF($Z1165&lt;=5200,IF(INDEX(客户自备加工筐明细!$B$4:$B$1203,$Z1165-4000)=0,"",INDEX(客户自备加工筐明细!$B$4:$B$1203,$Z1165-4000)),IF($Z1165&lt;=5800,IF(INDEX(次果筐明细!$B$4:$B$603,$Z1165-5200)=0,"",INDEX(次果筐明细!$B$4:$B$603,$Z1165-5200)),"")))))</f>
        <v/>
      </c>
      <c r="C1165" s="37" t="str">
        <f>IF($Z1165="","",IF($Z1165&lt;=2000,IF(INDEX(包装物料出入库明细!$D$4:$D$2003,$Z1165-0)=0,"",INDEX(包装物料出入库明细!$D$4:$D$2003,$Z1165-0)),IF($Z1165&lt;=4000,IF(INDEX(周转筐出入库明细!$C$4:$C$2004,$Z1165-2000)=0,"",INDEX(周转筐出入库明细!$C$4:$C$2004,$Z1165-2000)),IF($Z1165&lt;=5200,IF(INDEX(客户自备加工筐明细!$E$4:$E$1203,$Z1165-4000)=0,"",INDEX(客户自备加工筐明细!$E$4:$E$1203,$Z1165-4000)),IF($Z1165&lt;=5800,IF(INDEX(次果筐明细!$C$4:$C$603,$Z1165-5200)=0,"",INDEX(次果筐明细!$C$4:$C$603,$Z1165-5200)),"")))))</f>
        <v/>
      </c>
      <c r="D1165" s="37" t="str">
        <f>IF($Z1165="","",IF($Z1165&lt;=2000,"包装物料－"&amp;INDEX(包装物料出入库明细!$H$4:$H$2003,$Z1165-0),IF($Z1165&lt;=4000,"周转筐－"&amp;INDEX(周转筐出入库明细!$F$4:$F$2004,$Z1165-2000),IF($Z1165&lt;=5200,"客户自备筐－"&amp;INDEX(客户自备加工筐明细!$J$4:$J$1203,$Z1165-4000),IF($Z1165&lt;=5800,"次果筐/托盘－"&amp;INDEX(次果筐明细!$F$4:$F$603,$Z1165-5200),"")))))</f>
        <v/>
      </c>
      <c r="E1165" s="24" t="str">
        <f>IF($Z1165="","",IF($Z1165&lt;=2000,IF(INDEX(包装物料出入库明细!$C$4:$C$2003,$Z1165-0)=0,"",INDEX(包装物料出入库明细!$C$4:$C$2003,$Z1165-0)),IF($Z1165&lt;=4000,IF(INDEX(周转筐出入库明细!$E$4:$E$2004,$Z1165-2000)=0,"",INDEX(周转筐出入库明细!$E$4:$E$2004,$Z1165-2000)),IF($Z1165&lt;=5200,IF(INDEX(客户自备加工筐明细!$D$4:$D$1203,$Z1165-4000)=0,"",INDEX(客户自备加工筐明细!$D$4:$D$1203,$Z1165-4000)),IF($Z1165&lt;=5800,IF(INDEX(次果筐明细!$E$4:$E$603,$Z1165-5200)=0,"",INDEX(次果筐明细!$E$4:$E$603,$Z1165-5200)),"")))))</f>
        <v/>
      </c>
      <c r="F1165" s="24" t="str">
        <f>IF($Z1165="","",IF($Z1165&lt;=2000,IF(INDEX(包装物料出入库明细!$E$4:$E$2003,$Z1165-0)=0,"",INDEX(包装物料出入库明细!$E$4:$E$2003,$Z1165-0)),IF($Z1165&lt;=4000,IF(INDEX(周转筐出入库明细!$D$4:$D$2004,$Z1165-2000)=0,"",INDEX(周转筐出入库明细!$D$4:$D$2004,$Z1165-2000)),IF($Z1165&lt;=5200,IF(INDEX(客户自备加工筐明细!$C$4:$C$1203,$Z1165-4000)=0,"",INDEX(客户自备加工筐明细!$C$4:$C$1203,$Z1165-4000)),IF($Z1165&lt;=5800,IF(INDEX(次果筐明细!$D$4:$D$603,$Z1165-5200)=0,"",INDEX(次果筐明细!$D$4:$D$603,$Z1165-5200)),"")))))</f>
        <v/>
      </c>
      <c r="G1165" s="24" t="str">
        <f>IF($Z1165="","",IF($Z1165&lt;=2000,IF(INDEX(包装物料出入库明细!$F$4:$F$2003,$Z1165-0)=0,"",INDEX(包装物料出入库明细!$F$4:$F$2003,$Z1165-0)),IF($Z1165&lt;=4000,"",IF($Z1165&lt;=5200,"",IF($Z1165&lt;=5800,"","")))))</f>
        <v/>
      </c>
      <c r="H1165" s="39" t="str">
        <f>IF($Z1165="","",IF($Z1165&lt;=2000,IF(INDEX(包装物料出入库明细!$L$4:$L$2003,$Z1165-0)=0,"",INDEX(包装物料出入库明细!$L$4:$L$2003,$Z1165-0)),IF($Z1165&lt;=4000,N(INDEX(周转筐出入库明细!$H$4:$H$2004,$Z1165-2000))+N(INDEX(周转筐出入库明细!$I$4:$I$2004,$Z1165-2000))+N(INDEX(周转筐出入库明细!$J$4:$J$2004,$Z1165-2000))+N(INDEX(周转筐出入库明细!$K$4:$K$2004,$Z1165-2000)),IF($Z1165&lt;=5200,N(INDEX(客户自备加工筐明细!$F$4:$F$1203,$Z1165-4000))+N(INDEX(客户自备加工筐明细!$G$4:$G$1203,$Z1165-4000)),IF($Z1165&lt;=5800,IF(INDEX(次果筐明细!$G$4:$G$603,$Z1165-5200)=0,"",INDEX(次果筐明细!$G$4:$G$603,$Z1165-5200)),"")))))</f>
        <v/>
      </c>
      <c r="I1165" s="24" t="str">
        <f>IF($Z1165="","",IF($Z1165&lt;=2000,IF(INDEX(包装物料出入库明细!$G$4:$G$2003,$Z1165-0)=0,"",INDEX(包装物料出入库明细!$G$4:$G$2003,$Z1165-0)),IF($Z1165&lt;=4000,"个",IF($Z1165&lt;=5200,"个",IF($Z1165&lt;=5800,"个","")))))</f>
        <v/>
      </c>
      <c r="J1165" s="30" t="str">
        <f t="shared" si="55"/>
        <v/>
      </c>
      <c r="K1165" s="30" t="str">
        <f>IF($Z1165="","",IF($Z1165&lt;=2000,IF(INDEX(包装物料出入库明细!$N$4:$N$2003,$Z1165-0)=0,"",INDEX(包装物料出入库明细!$N$4:$N$2003,$Z1165-0)),IF($Z1165&lt;=4000,IF(INDEX(周转筐出入库明细!$P$4:$P$2004,$Z1165-2000)=0,"",INDEX(周转筐出入库明细!$P$4:$P$2004,$Z1165-2000)),IF($Z1165&lt;=5200,"",IF($Z1165&lt;=5800,N(INDEX(次果筐明细!$L$4:$L$603,$Z1165-5200))+N(INDEX(次果筐明细!$J$4:$J$603,$Z1165-5200)),"")))))</f>
        <v/>
      </c>
      <c r="L1165" s="24" t="str">
        <f>IF($Z1165="","",IF($Z1165&lt;=2000,IF(INDEX(包装物料出入库明细!$P$4:$P$2003,$Z1165-0)=0,"",INDEX(包装物料出入库明细!$P$4:$P$2003,$Z1165-0)),IF($Z1165&lt;=4000,IF(INDEX(周转筐出入库明细!$Q$4:$Q$2004,$Z1165-2000)=0,"",INDEX(周转筐出入库明细!$Q$4:$Q$2004,$Z1165-2000)),IF($Z1165&lt;=5200,"",IF($Z1165&lt;=5800,IF(INDEX(次果筐明细!$M$4:$M$603,$Z1165-5200)=0,"",INDEX(次果筐明细!$M$4:$M$603,$Z1165-5200)),"")))))</f>
        <v/>
      </c>
      <c r="M1165" s="37" t="str">
        <f>IF($Z1165="","",IF($Z1165&lt;=2000,IF(INDEX(包装物料出入库明细!$R$4:$R$2003,$Z1165-0)=0,"",INDEX(包装物料出入库明细!$R$4:$R$2003,$Z1165-0)),IF($Z1165&lt;=4000,IF(INDEX(周转筐出入库明细!$W$4:$W$2004,$Z1165-2000)=0,"",INDEX(周转筐出入库明细!$W$4:$W$2004,$Z1165-2000)),IF($Z1165&lt;=5200,IF(INDEX(客户自备加工筐明细!$L$4:$L$1203,$Z1165-4000)=0,"",INDEX(客户自备加工筐明细!$L$4:$L$1203,$Z1165-4000)),IF($Z1165&lt;=5800,IF(INDEX(次果筐明细!$P$4:$P$603,$Z1165-5200)=0,"",INDEX(次果筐明细!$P$4:$P$603,$Z1165-5200)),"")))))</f>
        <v/>
      </c>
      <c r="N1165" s="16" t="str">
        <f>IF($Z1165="","",IF($Z1165&lt;=2000,"",IF($Z1165&lt;=4000,IF(INDEX(周转筐出入库明细!$D$4:$D$2004,$Z1165-2000)=0,"",INDEX(周转筐出入库明细!$D$4:$D$2004,$Z1165-2000)),IF($Z1165&lt;=5200,IF(INDEX(客户自备加工筐明细!$C$4:$C$1203,$Z1165-4000)=0,"",INDEX(客户自备加工筐明细!$C$4:$C$1203,$Z1165-4000)),IF($Z1165&lt;=5800,IF(INDEX(次果筐明细!$D$4:$D$603,$Z1165-5200)=0,"",INDEX(次果筐明细!$D$4:$D$603,$Z1165-5200)),"")))))</f>
        <v/>
      </c>
      <c r="O1165" s="40" t="str">
        <f>IF($Z1165="","",IF($Z1165&lt;=2000,"",IF($Z1165&lt;=4000,IF(N(INDEX(周转筐出入库明细!$J$4:$J$2004,$Z1165-2000))+N(INDEX(周转筐出入库明细!$K$4:$K$2004,$Z1165-2000))=0,"",N(INDEX(周转筐出入库明细!$J$4:$J$2004,$Z1165-2000))+N(INDEX(周转筐出入库明细!$K$4:$K$2004,$Z1165-2000))),IF($Z1165&lt;=5200,IF(N(INDEX(客户自备加工筐明细!$G$4:$G$1203,$Z1165-4000))=0,"",N(INDEX(客户自备加工筐明细!$G$4:$G$1203,$Z1165-4000))),IF($Z1165&lt;=5800,IF(ISNUMBER(SEARCH("退",INDEX(次果筐明细!$F$4:$F$603,$Z1165-5200)&amp;"")),"",IF(N(INDEX(次果筐明细!$G$4:$G$603,$Z1165-5200))=0,"",N(INDEX(次果筐明细!$G$4:$G$603,$Z1165-5200)))),"")))))</f>
        <v/>
      </c>
      <c r="P1165" s="40" t="str">
        <f>IF($Z1165="","",IF($Z1165&lt;=2000,"",IF($Z1165&lt;=4000,IF(N(INDEX(周转筐出入库明细!$I$4:$I$2004,$Z1165-2000))=0,"",N(INDEX(周转筐出入库明细!$I$4:$I$2004,$Z1165-2000))),IF($Z1165&lt;=5200,"",IF($Z1165&lt;=5800,IF(ISNUMBER(SEARCH("退",INDEX(次果筐明细!$F$4:$F$603,$Z1165-5200)&amp;"")),IF(N(INDEX(次果筐明细!$G$4:$G$603,$Z1165-5200))=0,"",N(INDEX(次果筐明细!$G$4:$G$603,$Z1165-5200))),""),"")))))</f>
        <v/>
      </c>
      <c r="Q1165" s="40" t="str">
        <f>IF($Z1165="","",IF($Z1165&lt;=2000,"",IF($Z1165&lt;=4000,IF(N(INDEX(周转筐出入库明细!$H$4:$H$2004,$Z1165-2000))=0,"",N(INDEX(周转筐出入库明细!$H$4:$H$2004,$Z1165-2000))),IF($Z1165&lt;=5200,IF(N(INDEX(客户自备加工筐明细!$F$4:$F$1203,$Z1165-4000))=0,"",N(INDEX(客户自备加工筐明细!$F$4:$F$1203,$Z1165-4000))),IF($Z1165&lt;=5800,"","")))))</f>
        <v/>
      </c>
      <c r="R1165" s="16" t="str">
        <f>IF($Z1165="","",IF($Z1165&lt;=2000,IF(INDEX(包装物料出入库明细!$O$4:$O$2003,$Z1165-0)=0,"",INDEX(包装物料出入库明细!$O$4:$O$2003,$Z1165-0)),IF($Z1165&lt;=4000,IF(INDEX(周转筐出入库明细!$M$4:$M$2004,$Z1165-2000)=0,"",INDEX(周转筐出入库明细!$M$4:$M$2004,$Z1165-2000)),IF($Z1165&lt;=5200,IF(INDEX(客户自备加工筐明细!$H$4:$H$1203,$Z1165-4000)=0,"",INDEX(客户自备加工筐明细!$H$4:$H$1203,$Z1165-4000)),IF($Z1165&lt;=5800,IF(INDEX(次果筐明细!$H$4:$H$603,$Z1165-5200)=0,"",INDEX(次果筐明细!$H$4:$H$603,$Z1165-5200)),"")))))</f>
        <v/>
      </c>
      <c r="S1165" s="22" t="str">
        <f t="shared" si="56"/>
        <v/>
      </c>
      <c r="Z1165" s="10" t="str">
        <f>IFERROR(MATCH(ROW()-3,_自动清单!$CQ$4:$CQ$5803,0),"")</f>
        <v/>
      </c>
    </row>
    <row r="1166" spans="1:26">
      <c r="A1166" s="24" t="str">
        <f t="shared" si="54"/>
        <v/>
      </c>
      <c r="B1166" s="38" t="str">
        <f>IF($Z1166="","",IF($Z1166&lt;=2000,IF(INDEX(包装物料出入库明细!$B$4:$B$2003,$Z1166-0)=0,"",INDEX(包装物料出入库明细!$B$4:$B$2003,$Z1166-0)),IF($Z1166&lt;=4000,IF(INDEX(周转筐出入库明细!$B$4:$B$2004,$Z1166-2000)=0,"",INDEX(周转筐出入库明细!$B$4:$B$2004,$Z1166-2000)),IF($Z1166&lt;=5200,IF(INDEX(客户自备加工筐明细!$B$4:$B$1203,$Z1166-4000)=0,"",INDEX(客户自备加工筐明细!$B$4:$B$1203,$Z1166-4000)),IF($Z1166&lt;=5800,IF(INDEX(次果筐明细!$B$4:$B$603,$Z1166-5200)=0,"",INDEX(次果筐明细!$B$4:$B$603,$Z1166-5200)),"")))))</f>
        <v/>
      </c>
      <c r="C1166" s="37" t="str">
        <f>IF($Z1166="","",IF($Z1166&lt;=2000,IF(INDEX(包装物料出入库明细!$D$4:$D$2003,$Z1166-0)=0,"",INDEX(包装物料出入库明细!$D$4:$D$2003,$Z1166-0)),IF($Z1166&lt;=4000,IF(INDEX(周转筐出入库明细!$C$4:$C$2004,$Z1166-2000)=0,"",INDEX(周转筐出入库明细!$C$4:$C$2004,$Z1166-2000)),IF($Z1166&lt;=5200,IF(INDEX(客户自备加工筐明细!$E$4:$E$1203,$Z1166-4000)=0,"",INDEX(客户自备加工筐明细!$E$4:$E$1203,$Z1166-4000)),IF($Z1166&lt;=5800,IF(INDEX(次果筐明细!$C$4:$C$603,$Z1166-5200)=0,"",INDEX(次果筐明细!$C$4:$C$603,$Z1166-5200)),"")))))</f>
        <v/>
      </c>
      <c r="D1166" s="37" t="str">
        <f>IF($Z1166="","",IF($Z1166&lt;=2000,"包装物料－"&amp;INDEX(包装物料出入库明细!$H$4:$H$2003,$Z1166-0),IF($Z1166&lt;=4000,"周转筐－"&amp;INDEX(周转筐出入库明细!$F$4:$F$2004,$Z1166-2000),IF($Z1166&lt;=5200,"客户自备筐－"&amp;INDEX(客户自备加工筐明细!$J$4:$J$1203,$Z1166-4000),IF($Z1166&lt;=5800,"次果筐/托盘－"&amp;INDEX(次果筐明细!$F$4:$F$603,$Z1166-5200),"")))))</f>
        <v/>
      </c>
      <c r="E1166" s="24" t="str">
        <f>IF($Z1166="","",IF($Z1166&lt;=2000,IF(INDEX(包装物料出入库明细!$C$4:$C$2003,$Z1166-0)=0,"",INDEX(包装物料出入库明细!$C$4:$C$2003,$Z1166-0)),IF($Z1166&lt;=4000,IF(INDEX(周转筐出入库明细!$E$4:$E$2004,$Z1166-2000)=0,"",INDEX(周转筐出入库明细!$E$4:$E$2004,$Z1166-2000)),IF($Z1166&lt;=5200,IF(INDEX(客户自备加工筐明细!$D$4:$D$1203,$Z1166-4000)=0,"",INDEX(客户自备加工筐明细!$D$4:$D$1203,$Z1166-4000)),IF($Z1166&lt;=5800,IF(INDEX(次果筐明细!$E$4:$E$603,$Z1166-5200)=0,"",INDEX(次果筐明细!$E$4:$E$603,$Z1166-5200)),"")))))</f>
        <v/>
      </c>
      <c r="F1166" s="24" t="str">
        <f>IF($Z1166="","",IF($Z1166&lt;=2000,IF(INDEX(包装物料出入库明细!$E$4:$E$2003,$Z1166-0)=0,"",INDEX(包装物料出入库明细!$E$4:$E$2003,$Z1166-0)),IF($Z1166&lt;=4000,IF(INDEX(周转筐出入库明细!$D$4:$D$2004,$Z1166-2000)=0,"",INDEX(周转筐出入库明细!$D$4:$D$2004,$Z1166-2000)),IF($Z1166&lt;=5200,IF(INDEX(客户自备加工筐明细!$C$4:$C$1203,$Z1166-4000)=0,"",INDEX(客户自备加工筐明细!$C$4:$C$1203,$Z1166-4000)),IF($Z1166&lt;=5800,IF(INDEX(次果筐明细!$D$4:$D$603,$Z1166-5200)=0,"",INDEX(次果筐明细!$D$4:$D$603,$Z1166-5200)),"")))))</f>
        <v/>
      </c>
      <c r="G1166" s="24" t="str">
        <f>IF($Z1166="","",IF($Z1166&lt;=2000,IF(INDEX(包装物料出入库明细!$F$4:$F$2003,$Z1166-0)=0,"",INDEX(包装物料出入库明细!$F$4:$F$2003,$Z1166-0)),IF($Z1166&lt;=4000,"",IF($Z1166&lt;=5200,"",IF($Z1166&lt;=5800,"","")))))</f>
        <v/>
      </c>
      <c r="H1166" s="39" t="str">
        <f>IF($Z1166="","",IF($Z1166&lt;=2000,IF(INDEX(包装物料出入库明细!$L$4:$L$2003,$Z1166-0)=0,"",INDEX(包装物料出入库明细!$L$4:$L$2003,$Z1166-0)),IF($Z1166&lt;=4000,N(INDEX(周转筐出入库明细!$H$4:$H$2004,$Z1166-2000))+N(INDEX(周转筐出入库明细!$I$4:$I$2004,$Z1166-2000))+N(INDEX(周转筐出入库明细!$J$4:$J$2004,$Z1166-2000))+N(INDEX(周转筐出入库明细!$K$4:$K$2004,$Z1166-2000)),IF($Z1166&lt;=5200,N(INDEX(客户自备加工筐明细!$F$4:$F$1203,$Z1166-4000))+N(INDEX(客户自备加工筐明细!$G$4:$G$1203,$Z1166-4000)),IF($Z1166&lt;=5800,IF(INDEX(次果筐明细!$G$4:$G$603,$Z1166-5200)=0,"",INDEX(次果筐明细!$G$4:$G$603,$Z1166-5200)),"")))))</f>
        <v/>
      </c>
      <c r="I1166" s="24" t="str">
        <f>IF($Z1166="","",IF($Z1166&lt;=2000,IF(INDEX(包装物料出入库明细!$G$4:$G$2003,$Z1166-0)=0,"",INDEX(包装物料出入库明细!$G$4:$G$2003,$Z1166-0)),IF($Z1166&lt;=4000,"个",IF($Z1166&lt;=5200,"个",IF($Z1166&lt;=5800,"个","")))))</f>
        <v/>
      </c>
      <c r="J1166" s="30" t="str">
        <f t="shared" si="55"/>
        <v/>
      </c>
      <c r="K1166" s="30" t="str">
        <f>IF($Z1166="","",IF($Z1166&lt;=2000,IF(INDEX(包装物料出入库明细!$N$4:$N$2003,$Z1166-0)=0,"",INDEX(包装物料出入库明细!$N$4:$N$2003,$Z1166-0)),IF($Z1166&lt;=4000,IF(INDEX(周转筐出入库明细!$P$4:$P$2004,$Z1166-2000)=0,"",INDEX(周转筐出入库明细!$P$4:$P$2004,$Z1166-2000)),IF($Z1166&lt;=5200,"",IF($Z1166&lt;=5800,N(INDEX(次果筐明细!$L$4:$L$603,$Z1166-5200))+N(INDEX(次果筐明细!$J$4:$J$603,$Z1166-5200)),"")))))</f>
        <v/>
      </c>
      <c r="L1166" s="24" t="str">
        <f>IF($Z1166="","",IF($Z1166&lt;=2000,IF(INDEX(包装物料出入库明细!$P$4:$P$2003,$Z1166-0)=0,"",INDEX(包装物料出入库明细!$P$4:$P$2003,$Z1166-0)),IF($Z1166&lt;=4000,IF(INDEX(周转筐出入库明细!$Q$4:$Q$2004,$Z1166-2000)=0,"",INDEX(周转筐出入库明细!$Q$4:$Q$2004,$Z1166-2000)),IF($Z1166&lt;=5200,"",IF($Z1166&lt;=5800,IF(INDEX(次果筐明细!$M$4:$M$603,$Z1166-5200)=0,"",INDEX(次果筐明细!$M$4:$M$603,$Z1166-5200)),"")))))</f>
        <v/>
      </c>
      <c r="M1166" s="37" t="str">
        <f>IF($Z1166="","",IF($Z1166&lt;=2000,IF(INDEX(包装物料出入库明细!$R$4:$R$2003,$Z1166-0)=0,"",INDEX(包装物料出入库明细!$R$4:$R$2003,$Z1166-0)),IF($Z1166&lt;=4000,IF(INDEX(周转筐出入库明细!$W$4:$W$2004,$Z1166-2000)=0,"",INDEX(周转筐出入库明细!$W$4:$W$2004,$Z1166-2000)),IF($Z1166&lt;=5200,IF(INDEX(客户自备加工筐明细!$L$4:$L$1203,$Z1166-4000)=0,"",INDEX(客户自备加工筐明细!$L$4:$L$1203,$Z1166-4000)),IF($Z1166&lt;=5800,IF(INDEX(次果筐明细!$P$4:$P$603,$Z1166-5200)=0,"",INDEX(次果筐明细!$P$4:$P$603,$Z1166-5200)),"")))))</f>
        <v/>
      </c>
      <c r="N1166" s="16" t="str">
        <f>IF($Z1166="","",IF($Z1166&lt;=2000,"",IF($Z1166&lt;=4000,IF(INDEX(周转筐出入库明细!$D$4:$D$2004,$Z1166-2000)=0,"",INDEX(周转筐出入库明细!$D$4:$D$2004,$Z1166-2000)),IF($Z1166&lt;=5200,IF(INDEX(客户自备加工筐明细!$C$4:$C$1203,$Z1166-4000)=0,"",INDEX(客户自备加工筐明细!$C$4:$C$1203,$Z1166-4000)),IF($Z1166&lt;=5800,IF(INDEX(次果筐明细!$D$4:$D$603,$Z1166-5200)=0,"",INDEX(次果筐明细!$D$4:$D$603,$Z1166-5200)),"")))))</f>
        <v/>
      </c>
      <c r="O1166" s="40" t="str">
        <f>IF($Z1166="","",IF($Z1166&lt;=2000,"",IF($Z1166&lt;=4000,IF(N(INDEX(周转筐出入库明细!$J$4:$J$2004,$Z1166-2000))+N(INDEX(周转筐出入库明细!$K$4:$K$2004,$Z1166-2000))=0,"",N(INDEX(周转筐出入库明细!$J$4:$J$2004,$Z1166-2000))+N(INDEX(周转筐出入库明细!$K$4:$K$2004,$Z1166-2000))),IF($Z1166&lt;=5200,IF(N(INDEX(客户自备加工筐明细!$G$4:$G$1203,$Z1166-4000))=0,"",N(INDEX(客户自备加工筐明细!$G$4:$G$1203,$Z1166-4000))),IF($Z1166&lt;=5800,IF(ISNUMBER(SEARCH("退",INDEX(次果筐明细!$F$4:$F$603,$Z1166-5200)&amp;"")),"",IF(N(INDEX(次果筐明细!$G$4:$G$603,$Z1166-5200))=0,"",N(INDEX(次果筐明细!$G$4:$G$603,$Z1166-5200)))),"")))))</f>
        <v/>
      </c>
      <c r="P1166" s="40" t="str">
        <f>IF($Z1166="","",IF($Z1166&lt;=2000,"",IF($Z1166&lt;=4000,IF(N(INDEX(周转筐出入库明细!$I$4:$I$2004,$Z1166-2000))=0,"",N(INDEX(周转筐出入库明细!$I$4:$I$2004,$Z1166-2000))),IF($Z1166&lt;=5200,"",IF($Z1166&lt;=5800,IF(ISNUMBER(SEARCH("退",INDEX(次果筐明细!$F$4:$F$603,$Z1166-5200)&amp;"")),IF(N(INDEX(次果筐明细!$G$4:$G$603,$Z1166-5200))=0,"",N(INDEX(次果筐明细!$G$4:$G$603,$Z1166-5200))),""),"")))))</f>
        <v/>
      </c>
      <c r="Q1166" s="40" t="str">
        <f>IF($Z1166="","",IF($Z1166&lt;=2000,"",IF($Z1166&lt;=4000,IF(N(INDEX(周转筐出入库明细!$H$4:$H$2004,$Z1166-2000))=0,"",N(INDEX(周转筐出入库明细!$H$4:$H$2004,$Z1166-2000))),IF($Z1166&lt;=5200,IF(N(INDEX(客户自备加工筐明细!$F$4:$F$1203,$Z1166-4000))=0,"",N(INDEX(客户自备加工筐明细!$F$4:$F$1203,$Z1166-4000))),IF($Z1166&lt;=5800,"","")))))</f>
        <v/>
      </c>
      <c r="R1166" s="16" t="str">
        <f>IF($Z1166="","",IF($Z1166&lt;=2000,IF(INDEX(包装物料出入库明细!$O$4:$O$2003,$Z1166-0)=0,"",INDEX(包装物料出入库明细!$O$4:$O$2003,$Z1166-0)),IF($Z1166&lt;=4000,IF(INDEX(周转筐出入库明细!$M$4:$M$2004,$Z1166-2000)=0,"",INDEX(周转筐出入库明细!$M$4:$M$2004,$Z1166-2000)),IF($Z1166&lt;=5200,IF(INDEX(客户自备加工筐明细!$H$4:$H$1203,$Z1166-4000)=0,"",INDEX(客户自备加工筐明细!$H$4:$H$1203,$Z1166-4000)),IF($Z1166&lt;=5800,IF(INDEX(次果筐明细!$H$4:$H$603,$Z1166-5200)=0,"",INDEX(次果筐明细!$H$4:$H$603,$Z1166-5200)),"")))))</f>
        <v/>
      </c>
      <c r="S1166" s="22" t="str">
        <f t="shared" si="56"/>
        <v/>
      </c>
      <c r="Z1166" s="10" t="str">
        <f>IFERROR(MATCH(ROW()-3,_自动清单!$CQ$4:$CQ$5803,0),"")</f>
        <v/>
      </c>
    </row>
    <row r="1167" spans="1:26">
      <c r="A1167" s="24" t="str">
        <f t="shared" si="54"/>
        <v/>
      </c>
      <c r="B1167" s="38" t="str">
        <f>IF($Z1167="","",IF($Z1167&lt;=2000,IF(INDEX(包装物料出入库明细!$B$4:$B$2003,$Z1167-0)=0,"",INDEX(包装物料出入库明细!$B$4:$B$2003,$Z1167-0)),IF($Z1167&lt;=4000,IF(INDEX(周转筐出入库明细!$B$4:$B$2004,$Z1167-2000)=0,"",INDEX(周转筐出入库明细!$B$4:$B$2004,$Z1167-2000)),IF($Z1167&lt;=5200,IF(INDEX(客户自备加工筐明细!$B$4:$B$1203,$Z1167-4000)=0,"",INDEX(客户自备加工筐明细!$B$4:$B$1203,$Z1167-4000)),IF($Z1167&lt;=5800,IF(INDEX(次果筐明细!$B$4:$B$603,$Z1167-5200)=0,"",INDEX(次果筐明细!$B$4:$B$603,$Z1167-5200)),"")))))</f>
        <v/>
      </c>
      <c r="C1167" s="37" t="str">
        <f>IF($Z1167="","",IF($Z1167&lt;=2000,IF(INDEX(包装物料出入库明细!$D$4:$D$2003,$Z1167-0)=0,"",INDEX(包装物料出入库明细!$D$4:$D$2003,$Z1167-0)),IF($Z1167&lt;=4000,IF(INDEX(周转筐出入库明细!$C$4:$C$2004,$Z1167-2000)=0,"",INDEX(周转筐出入库明细!$C$4:$C$2004,$Z1167-2000)),IF($Z1167&lt;=5200,IF(INDEX(客户自备加工筐明细!$E$4:$E$1203,$Z1167-4000)=0,"",INDEX(客户自备加工筐明细!$E$4:$E$1203,$Z1167-4000)),IF($Z1167&lt;=5800,IF(INDEX(次果筐明细!$C$4:$C$603,$Z1167-5200)=0,"",INDEX(次果筐明细!$C$4:$C$603,$Z1167-5200)),"")))))</f>
        <v/>
      </c>
      <c r="D1167" s="37" t="str">
        <f>IF($Z1167="","",IF($Z1167&lt;=2000,"包装物料－"&amp;INDEX(包装物料出入库明细!$H$4:$H$2003,$Z1167-0),IF($Z1167&lt;=4000,"周转筐－"&amp;INDEX(周转筐出入库明细!$F$4:$F$2004,$Z1167-2000),IF($Z1167&lt;=5200,"客户自备筐－"&amp;INDEX(客户自备加工筐明细!$J$4:$J$1203,$Z1167-4000),IF($Z1167&lt;=5800,"次果筐/托盘－"&amp;INDEX(次果筐明细!$F$4:$F$603,$Z1167-5200),"")))))</f>
        <v/>
      </c>
      <c r="E1167" s="24" t="str">
        <f>IF($Z1167="","",IF($Z1167&lt;=2000,IF(INDEX(包装物料出入库明细!$C$4:$C$2003,$Z1167-0)=0,"",INDEX(包装物料出入库明细!$C$4:$C$2003,$Z1167-0)),IF($Z1167&lt;=4000,IF(INDEX(周转筐出入库明细!$E$4:$E$2004,$Z1167-2000)=0,"",INDEX(周转筐出入库明细!$E$4:$E$2004,$Z1167-2000)),IF($Z1167&lt;=5200,IF(INDEX(客户自备加工筐明细!$D$4:$D$1203,$Z1167-4000)=0,"",INDEX(客户自备加工筐明细!$D$4:$D$1203,$Z1167-4000)),IF($Z1167&lt;=5800,IF(INDEX(次果筐明细!$E$4:$E$603,$Z1167-5200)=0,"",INDEX(次果筐明细!$E$4:$E$603,$Z1167-5200)),"")))))</f>
        <v/>
      </c>
      <c r="F1167" s="24" t="str">
        <f>IF($Z1167="","",IF($Z1167&lt;=2000,IF(INDEX(包装物料出入库明细!$E$4:$E$2003,$Z1167-0)=0,"",INDEX(包装物料出入库明细!$E$4:$E$2003,$Z1167-0)),IF($Z1167&lt;=4000,IF(INDEX(周转筐出入库明细!$D$4:$D$2004,$Z1167-2000)=0,"",INDEX(周转筐出入库明细!$D$4:$D$2004,$Z1167-2000)),IF($Z1167&lt;=5200,IF(INDEX(客户自备加工筐明细!$C$4:$C$1203,$Z1167-4000)=0,"",INDEX(客户自备加工筐明细!$C$4:$C$1203,$Z1167-4000)),IF($Z1167&lt;=5800,IF(INDEX(次果筐明细!$D$4:$D$603,$Z1167-5200)=0,"",INDEX(次果筐明细!$D$4:$D$603,$Z1167-5200)),"")))))</f>
        <v/>
      </c>
      <c r="G1167" s="24" t="str">
        <f>IF($Z1167="","",IF($Z1167&lt;=2000,IF(INDEX(包装物料出入库明细!$F$4:$F$2003,$Z1167-0)=0,"",INDEX(包装物料出入库明细!$F$4:$F$2003,$Z1167-0)),IF($Z1167&lt;=4000,"",IF($Z1167&lt;=5200,"",IF($Z1167&lt;=5800,"","")))))</f>
        <v/>
      </c>
      <c r="H1167" s="39" t="str">
        <f>IF($Z1167="","",IF($Z1167&lt;=2000,IF(INDEX(包装物料出入库明细!$L$4:$L$2003,$Z1167-0)=0,"",INDEX(包装物料出入库明细!$L$4:$L$2003,$Z1167-0)),IF($Z1167&lt;=4000,N(INDEX(周转筐出入库明细!$H$4:$H$2004,$Z1167-2000))+N(INDEX(周转筐出入库明细!$I$4:$I$2004,$Z1167-2000))+N(INDEX(周转筐出入库明细!$J$4:$J$2004,$Z1167-2000))+N(INDEX(周转筐出入库明细!$K$4:$K$2004,$Z1167-2000)),IF($Z1167&lt;=5200,N(INDEX(客户自备加工筐明细!$F$4:$F$1203,$Z1167-4000))+N(INDEX(客户自备加工筐明细!$G$4:$G$1203,$Z1167-4000)),IF($Z1167&lt;=5800,IF(INDEX(次果筐明细!$G$4:$G$603,$Z1167-5200)=0,"",INDEX(次果筐明细!$G$4:$G$603,$Z1167-5200)),"")))))</f>
        <v/>
      </c>
      <c r="I1167" s="24" t="str">
        <f>IF($Z1167="","",IF($Z1167&lt;=2000,IF(INDEX(包装物料出入库明细!$G$4:$G$2003,$Z1167-0)=0,"",INDEX(包装物料出入库明细!$G$4:$G$2003,$Z1167-0)),IF($Z1167&lt;=4000,"个",IF($Z1167&lt;=5200,"个",IF($Z1167&lt;=5800,"个","")))))</f>
        <v/>
      </c>
      <c r="J1167" s="30" t="str">
        <f t="shared" si="55"/>
        <v/>
      </c>
      <c r="K1167" s="30" t="str">
        <f>IF($Z1167="","",IF($Z1167&lt;=2000,IF(INDEX(包装物料出入库明细!$N$4:$N$2003,$Z1167-0)=0,"",INDEX(包装物料出入库明细!$N$4:$N$2003,$Z1167-0)),IF($Z1167&lt;=4000,IF(INDEX(周转筐出入库明细!$P$4:$P$2004,$Z1167-2000)=0,"",INDEX(周转筐出入库明细!$P$4:$P$2004,$Z1167-2000)),IF($Z1167&lt;=5200,"",IF($Z1167&lt;=5800,N(INDEX(次果筐明细!$L$4:$L$603,$Z1167-5200))+N(INDEX(次果筐明细!$J$4:$J$603,$Z1167-5200)),"")))))</f>
        <v/>
      </c>
      <c r="L1167" s="24" t="str">
        <f>IF($Z1167="","",IF($Z1167&lt;=2000,IF(INDEX(包装物料出入库明细!$P$4:$P$2003,$Z1167-0)=0,"",INDEX(包装物料出入库明细!$P$4:$P$2003,$Z1167-0)),IF($Z1167&lt;=4000,IF(INDEX(周转筐出入库明细!$Q$4:$Q$2004,$Z1167-2000)=0,"",INDEX(周转筐出入库明细!$Q$4:$Q$2004,$Z1167-2000)),IF($Z1167&lt;=5200,"",IF($Z1167&lt;=5800,IF(INDEX(次果筐明细!$M$4:$M$603,$Z1167-5200)=0,"",INDEX(次果筐明细!$M$4:$M$603,$Z1167-5200)),"")))))</f>
        <v/>
      </c>
      <c r="M1167" s="37" t="str">
        <f>IF($Z1167="","",IF($Z1167&lt;=2000,IF(INDEX(包装物料出入库明细!$R$4:$R$2003,$Z1167-0)=0,"",INDEX(包装物料出入库明细!$R$4:$R$2003,$Z1167-0)),IF($Z1167&lt;=4000,IF(INDEX(周转筐出入库明细!$W$4:$W$2004,$Z1167-2000)=0,"",INDEX(周转筐出入库明细!$W$4:$W$2004,$Z1167-2000)),IF($Z1167&lt;=5200,IF(INDEX(客户自备加工筐明细!$L$4:$L$1203,$Z1167-4000)=0,"",INDEX(客户自备加工筐明细!$L$4:$L$1203,$Z1167-4000)),IF($Z1167&lt;=5800,IF(INDEX(次果筐明细!$P$4:$P$603,$Z1167-5200)=0,"",INDEX(次果筐明细!$P$4:$P$603,$Z1167-5200)),"")))))</f>
        <v/>
      </c>
      <c r="N1167" s="16" t="str">
        <f>IF($Z1167="","",IF($Z1167&lt;=2000,"",IF($Z1167&lt;=4000,IF(INDEX(周转筐出入库明细!$D$4:$D$2004,$Z1167-2000)=0,"",INDEX(周转筐出入库明细!$D$4:$D$2004,$Z1167-2000)),IF($Z1167&lt;=5200,IF(INDEX(客户自备加工筐明细!$C$4:$C$1203,$Z1167-4000)=0,"",INDEX(客户自备加工筐明细!$C$4:$C$1203,$Z1167-4000)),IF($Z1167&lt;=5800,IF(INDEX(次果筐明细!$D$4:$D$603,$Z1167-5200)=0,"",INDEX(次果筐明细!$D$4:$D$603,$Z1167-5200)),"")))))</f>
        <v/>
      </c>
      <c r="O1167" s="40" t="str">
        <f>IF($Z1167="","",IF($Z1167&lt;=2000,"",IF($Z1167&lt;=4000,IF(N(INDEX(周转筐出入库明细!$J$4:$J$2004,$Z1167-2000))+N(INDEX(周转筐出入库明细!$K$4:$K$2004,$Z1167-2000))=0,"",N(INDEX(周转筐出入库明细!$J$4:$J$2004,$Z1167-2000))+N(INDEX(周转筐出入库明细!$K$4:$K$2004,$Z1167-2000))),IF($Z1167&lt;=5200,IF(N(INDEX(客户自备加工筐明细!$G$4:$G$1203,$Z1167-4000))=0,"",N(INDEX(客户自备加工筐明细!$G$4:$G$1203,$Z1167-4000))),IF($Z1167&lt;=5800,IF(ISNUMBER(SEARCH("退",INDEX(次果筐明细!$F$4:$F$603,$Z1167-5200)&amp;"")),"",IF(N(INDEX(次果筐明细!$G$4:$G$603,$Z1167-5200))=0,"",N(INDEX(次果筐明细!$G$4:$G$603,$Z1167-5200)))),"")))))</f>
        <v/>
      </c>
      <c r="P1167" s="40" t="str">
        <f>IF($Z1167="","",IF($Z1167&lt;=2000,"",IF($Z1167&lt;=4000,IF(N(INDEX(周转筐出入库明细!$I$4:$I$2004,$Z1167-2000))=0,"",N(INDEX(周转筐出入库明细!$I$4:$I$2004,$Z1167-2000))),IF($Z1167&lt;=5200,"",IF($Z1167&lt;=5800,IF(ISNUMBER(SEARCH("退",INDEX(次果筐明细!$F$4:$F$603,$Z1167-5200)&amp;"")),IF(N(INDEX(次果筐明细!$G$4:$G$603,$Z1167-5200))=0,"",N(INDEX(次果筐明细!$G$4:$G$603,$Z1167-5200))),""),"")))))</f>
        <v/>
      </c>
      <c r="Q1167" s="40" t="str">
        <f>IF($Z1167="","",IF($Z1167&lt;=2000,"",IF($Z1167&lt;=4000,IF(N(INDEX(周转筐出入库明细!$H$4:$H$2004,$Z1167-2000))=0,"",N(INDEX(周转筐出入库明细!$H$4:$H$2004,$Z1167-2000))),IF($Z1167&lt;=5200,IF(N(INDEX(客户自备加工筐明细!$F$4:$F$1203,$Z1167-4000))=0,"",N(INDEX(客户自备加工筐明细!$F$4:$F$1203,$Z1167-4000))),IF($Z1167&lt;=5800,"","")))))</f>
        <v/>
      </c>
      <c r="R1167" s="16" t="str">
        <f>IF($Z1167="","",IF($Z1167&lt;=2000,IF(INDEX(包装物料出入库明细!$O$4:$O$2003,$Z1167-0)=0,"",INDEX(包装物料出入库明细!$O$4:$O$2003,$Z1167-0)),IF($Z1167&lt;=4000,IF(INDEX(周转筐出入库明细!$M$4:$M$2004,$Z1167-2000)=0,"",INDEX(周转筐出入库明细!$M$4:$M$2004,$Z1167-2000)),IF($Z1167&lt;=5200,IF(INDEX(客户自备加工筐明细!$H$4:$H$1203,$Z1167-4000)=0,"",INDEX(客户自备加工筐明细!$H$4:$H$1203,$Z1167-4000)),IF($Z1167&lt;=5800,IF(INDEX(次果筐明细!$H$4:$H$603,$Z1167-5200)=0,"",INDEX(次果筐明细!$H$4:$H$603,$Z1167-5200)),"")))))</f>
        <v/>
      </c>
      <c r="S1167" s="22" t="str">
        <f t="shared" si="56"/>
        <v/>
      </c>
      <c r="Z1167" s="10" t="str">
        <f>IFERROR(MATCH(ROW()-3,_自动清单!$CQ$4:$CQ$5803,0),"")</f>
        <v/>
      </c>
    </row>
    <row r="1168" spans="1:26">
      <c r="A1168" s="24" t="str">
        <f t="shared" si="54"/>
        <v/>
      </c>
      <c r="B1168" s="38" t="str">
        <f>IF($Z1168="","",IF($Z1168&lt;=2000,IF(INDEX(包装物料出入库明细!$B$4:$B$2003,$Z1168-0)=0,"",INDEX(包装物料出入库明细!$B$4:$B$2003,$Z1168-0)),IF($Z1168&lt;=4000,IF(INDEX(周转筐出入库明细!$B$4:$B$2004,$Z1168-2000)=0,"",INDEX(周转筐出入库明细!$B$4:$B$2004,$Z1168-2000)),IF($Z1168&lt;=5200,IF(INDEX(客户自备加工筐明细!$B$4:$B$1203,$Z1168-4000)=0,"",INDEX(客户自备加工筐明细!$B$4:$B$1203,$Z1168-4000)),IF($Z1168&lt;=5800,IF(INDEX(次果筐明细!$B$4:$B$603,$Z1168-5200)=0,"",INDEX(次果筐明细!$B$4:$B$603,$Z1168-5200)),"")))))</f>
        <v/>
      </c>
      <c r="C1168" s="37" t="str">
        <f>IF($Z1168="","",IF($Z1168&lt;=2000,IF(INDEX(包装物料出入库明细!$D$4:$D$2003,$Z1168-0)=0,"",INDEX(包装物料出入库明细!$D$4:$D$2003,$Z1168-0)),IF($Z1168&lt;=4000,IF(INDEX(周转筐出入库明细!$C$4:$C$2004,$Z1168-2000)=0,"",INDEX(周转筐出入库明细!$C$4:$C$2004,$Z1168-2000)),IF($Z1168&lt;=5200,IF(INDEX(客户自备加工筐明细!$E$4:$E$1203,$Z1168-4000)=0,"",INDEX(客户自备加工筐明细!$E$4:$E$1203,$Z1168-4000)),IF($Z1168&lt;=5800,IF(INDEX(次果筐明细!$C$4:$C$603,$Z1168-5200)=0,"",INDEX(次果筐明细!$C$4:$C$603,$Z1168-5200)),"")))))</f>
        <v/>
      </c>
      <c r="D1168" s="37" t="str">
        <f>IF($Z1168="","",IF($Z1168&lt;=2000,"包装物料－"&amp;INDEX(包装物料出入库明细!$H$4:$H$2003,$Z1168-0),IF($Z1168&lt;=4000,"周转筐－"&amp;INDEX(周转筐出入库明细!$F$4:$F$2004,$Z1168-2000),IF($Z1168&lt;=5200,"客户自备筐－"&amp;INDEX(客户自备加工筐明细!$J$4:$J$1203,$Z1168-4000),IF($Z1168&lt;=5800,"次果筐/托盘－"&amp;INDEX(次果筐明细!$F$4:$F$603,$Z1168-5200),"")))))</f>
        <v/>
      </c>
      <c r="E1168" s="24" t="str">
        <f>IF($Z1168="","",IF($Z1168&lt;=2000,IF(INDEX(包装物料出入库明细!$C$4:$C$2003,$Z1168-0)=0,"",INDEX(包装物料出入库明细!$C$4:$C$2003,$Z1168-0)),IF($Z1168&lt;=4000,IF(INDEX(周转筐出入库明细!$E$4:$E$2004,$Z1168-2000)=0,"",INDEX(周转筐出入库明细!$E$4:$E$2004,$Z1168-2000)),IF($Z1168&lt;=5200,IF(INDEX(客户自备加工筐明细!$D$4:$D$1203,$Z1168-4000)=0,"",INDEX(客户自备加工筐明细!$D$4:$D$1203,$Z1168-4000)),IF($Z1168&lt;=5800,IF(INDEX(次果筐明细!$E$4:$E$603,$Z1168-5200)=0,"",INDEX(次果筐明细!$E$4:$E$603,$Z1168-5200)),"")))))</f>
        <v/>
      </c>
      <c r="F1168" s="24" t="str">
        <f>IF($Z1168="","",IF($Z1168&lt;=2000,IF(INDEX(包装物料出入库明细!$E$4:$E$2003,$Z1168-0)=0,"",INDEX(包装物料出入库明细!$E$4:$E$2003,$Z1168-0)),IF($Z1168&lt;=4000,IF(INDEX(周转筐出入库明细!$D$4:$D$2004,$Z1168-2000)=0,"",INDEX(周转筐出入库明细!$D$4:$D$2004,$Z1168-2000)),IF($Z1168&lt;=5200,IF(INDEX(客户自备加工筐明细!$C$4:$C$1203,$Z1168-4000)=0,"",INDEX(客户自备加工筐明细!$C$4:$C$1203,$Z1168-4000)),IF($Z1168&lt;=5800,IF(INDEX(次果筐明细!$D$4:$D$603,$Z1168-5200)=0,"",INDEX(次果筐明细!$D$4:$D$603,$Z1168-5200)),"")))))</f>
        <v/>
      </c>
      <c r="G1168" s="24" t="str">
        <f>IF($Z1168="","",IF($Z1168&lt;=2000,IF(INDEX(包装物料出入库明细!$F$4:$F$2003,$Z1168-0)=0,"",INDEX(包装物料出入库明细!$F$4:$F$2003,$Z1168-0)),IF($Z1168&lt;=4000,"",IF($Z1168&lt;=5200,"",IF($Z1168&lt;=5800,"","")))))</f>
        <v/>
      </c>
      <c r="H1168" s="39" t="str">
        <f>IF($Z1168="","",IF($Z1168&lt;=2000,IF(INDEX(包装物料出入库明细!$L$4:$L$2003,$Z1168-0)=0,"",INDEX(包装物料出入库明细!$L$4:$L$2003,$Z1168-0)),IF($Z1168&lt;=4000,N(INDEX(周转筐出入库明细!$H$4:$H$2004,$Z1168-2000))+N(INDEX(周转筐出入库明细!$I$4:$I$2004,$Z1168-2000))+N(INDEX(周转筐出入库明细!$J$4:$J$2004,$Z1168-2000))+N(INDEX(周转筐出入库明细!$K$4:$K$2004,$Z1168-2000)),IF($Z1168&lt;=5200,N(INDEX(客户自备加工筐明细!$F$4:$F$1203,$Z1168-4000))+N(INDEX(客户自备加工筐明细!$G$4:$G$1203,$Z1168-4000)),IF($Z1168&lt;=5800,IF(INDEX(次果筐明细!$G$4:$G$603,$Z1168-5200)=0,"",INDEX(次果筐明细!$G$4:$G$603,$Z1168-5200)),"")))))</f>
        <v/>
      </c>
      <c r="I1168" s="24" t="str">
        <f>IF($Z1168="","",IF($Z1168&lt;=2000,IF(INDEX(包装物料出入库明细!$G$4:$G$2003,$Z1168-0)=0,"",INDEX(包装物料出入库明细!$G$4:$G$2003,$Z1168-0)),IF($Z1168&lt;=4000,"个",IF($Z1168&lt;=5200,"个",IF($Z1168&lt;=5800,"个","")))))</f>
        <v/>
      </c>
      <c r="J1168" s="30" t="str">
        <f t="shared" si="55"/>
        <v/>
      </c>
      <c r="K1168" s="30" t="str">
        <f>IF($Z1168="","",IF($Z1168&lt;=2000,IF(INDEX(包装物料出入库明细!$N$4:$N$2003,$Z1168-0)=0,"",INDEX(包装物料出入库明细!$N$4:$N$2003,$Z1168-0)),IF($Z1168&lt;=4000,IF(INDEX(周转筐出入库明细!$P$4:$P$2004,$Z1168-2000)=0,"",INDEX(周转筐出入库明细!$P$4:$P$2004,$Z1168-2000)),IF($Z1168&lt;=5200,"",IF($Z1168&lt;=5800,N(INDEX(次果筐明细!$L$4:$L$603,$Z1168-5200))+N(INDEX(次果筐明细!$J$4:$J$603,$Z1168-5200)),"")))))</f>
        <v/>
      </c>
      <c r="L1168" s="24" t="str">
        <f>IF($Z1168="","",IF($Z1168&lt;=2000,IF(INDEX(包装物料出入库明细!$P$4:$P$2003,$Z1168-0)=0,"",INDEX(包装物料出入库明细!$P$4:$P$2003,$Z1168-0)),IF($Z1168&lt;=4000,IF(INDEX(周转筐出入库明细!$Q$4:$Q$2004,$Z1168-2000)=0,"",INDEX(周转筐出入库明细!$Q$4:$Q$2004,$Z1168-2000)),IF($Z1168&lt;=5200,"",IF($Z1168&lt;=5800,IF(INDEX(次果筐明细!$M$4:$M$603,$Z1168-5200)=0,"",INDEX(次果筐明细!$M$4:$M$603,$Z1168-5200)),"")))))</f>
        <v/>
      </c>
      <c r="M1168" s="37" t="str">
        <f>IF($Z1168="","",IF($Z1168&lt;=2000,IF(INDEX(包装物料出入库明细!$R$4:$R$2003,$Z1168-0)=0,"",INDEX(包装物料出入库明细!$R$4:$R$2003,$Z1168-0)),IF($Z1168&lt;=4000,IF(INDEX(周转筐出入库明细!$W$4:$W$2004,$Z1168-2000)=0,"",INDEX(周转筐出入库明细!$W$4:$W$2004,$Z1168-2000)),IF($Z1168&lt;=5200,IF(INDEX(客户自备加工筐明细!$L$4:$L$1203,$Z1168-4000)=0,"",INDEX(客户自备加工筐明细!$L$4:$L$1203,$Z1168-4000)),IF($Z1168&lt;=5800,IF(INDEX(次果筐明细!$P$4:$P$603,$Z1168-5200)=0,"",INDEX(次果筐明细!$P$4:$P$603,$Z1168-5200)),"")))))</f>
        <v/>
      </c>
      <c r="N1168" s="16" t="str">
        <f>IF($Z1168="","",IF($Z1168&lt;=2000,"",IF($Z1168&lt;=4000,IF(INDEX(周转筐出入库明细!$D$4:$D$2004,$Z1168-2000)=0,"",INDEX(周转筐出入库明细!$D$4:$D$2004,$Z1168-2000)),IF($Z1168&lt;=5200,IF(INDEX(客户自备加工筐明细!$C$4:$C$1203,$Z1168-4000)=0,"",INDEX(客户自备加工筐明细!$C$4:$C$1203,$Z1168-4000)),IF($Z1168&lt;=5800,IF(INDEX(次果筐明细!$D$4:$D$603,$Z1168-5200)=0,"",INDEX(次果筐明细!$D$4:$D$603,$Z1168-5200)),"")))))</f>
        <v/>
      </c>
      <c r="O1168" s="40" t="str">
        <f>IF($Z1168="","",IF($Z1168&lt;=2000,"",IF($Z1168&lt;=4000,IF(N(INDEX(周转筐出入库明细!$J$4:$J$2004,$Z1168-2000))+N(INDEX(周转筐出入库明细!$K$4:$K$2004,$Z1168-2000))=0,"",N(INDEX(周转筐出入库明细!$J$4:$J$2004,$Z1168-2000))+N(INDEX(周转筐出入库明细!$K$4:$K$2004,$Z1168-2000))),IF($Z1168&lt;=5200,IF(N(INDEX(客户自备加工筐明细!$G$4:$G$1203,$Z1168-4000))=0,"",N(INDEX(客户自备加工筐明细!$G$4:$G$1203,$Z1168-4000))),IF($Z1168&lt;=5800,IF(ISNUMBER(SEARCH("退",INDEX(次果筐明细!$F$4:$F$603,$Z1168-5200)&amp;"")),"",IF(N(INDEX(次果筐明细!$G$4:$G$603,$Z1168-5200))=0,"",N(INDEX(次果筐明细!$G$4:$G$603,$Z1168-5200)))),"")))))</f>
        <v/>
      </c>
      <c r="P1168" s="40" t="str">
        <f>IF($Z1168="","",IF($Z1168&lt;=2000,"",IF($Z1168&lt;=4000,IF(N(INDEX(周转筐出入库明细!$I$4:$I$2004,$Z1168-2000))=0,"",N(INDEX(周转筐出入库明细!$I$4:$I$2004,$Z1168-2000))),IF($Z1168&lt;=5200,"",IF($Z1168&lt;=5800,IF(ISNUMBER(SEARCH("退",INDEX(次果筐明细!$F$4:$F$603,$Z1168-5200)&amp;"")),IF(N(INDEX(次果筐明细!$G$4:$G$603,$Z1168-5200))=0,"",N(INDEX(次果筐明细!$G$4:$G$603,$Z1168-5200))),""),"")))))</f>
        <v/>
      </c>
      <c r="Q1168" s="40" t="str">
        <f>IF($Z1168="","",IF($Z1168&lt;=2000,"",IF($Z1168&lt;=4000,IF(N(INDEX(周转筐出入库明细!$H$4:$H$2004,$Z1168-2000))=0,"",N(INDEX(周转筐出入库明细!$H$4:$H$2004,$Z1168-2000))),IF($Z1168&lt;=5200,IF(N(INDEX(客户自备加工筐明细!$F$4:$F$1203,$Z1168-4000))=0,"",N(INDEX(客户自备加工筐明细!$F$4:$F$1203,$Z1168-4000))),IF($Z1168&lt;=5800,"","")))))</f>
        <v/>
      </c>
      <c r="R1168" s="16" t="str">
        <f>IF($Z1168="","",IF($Z1168&lt;=2000,IF(INDEX(包装物料出入库明细!$O$4:$O$2003,$Z1168-0)=0,"",INDEX(包装物料出入库明细!$O$4:$O$2003,$Z1168-0)),IF($Z1168&lt;=4000,IF(INDEX(周转筐出入库明细!$M$4:$M$2004,$Z1168-2000)=0,"",INDEX(周转筐出入库明细!$M$4:$M$2004,$Z1168-2000)),IF($Z1168&lt;=5200,IF(INDEX(客户自备加工筐明细!$H$4:$H$1203,$Z1168-4000)=0,"",INDEX(客户自备加工筐明细!$H$4:$H$1203,$Z1168-4000)),IF($Z1168&lt;=5800,IF(INDEX(次果筐明细!$H$4:$H$603,$Z1168-5200)=0,"",INDEX(次果筐明细!$H$4:$H$603,$Z1168-5200)),"")))))</f>
        <v/>
      </c>
      <c r="S1168" s="22" t="str">
        <f t="shared" si="56"/>
        <v/>
      </c>
      <c r="Z1168" s="10" t="str">
        <f>IFERROR(MATCH(ROW()-3,_自动清单!$CQ$4:$CQ$5803,0),"")</f>
        <v/>
      </c>
    </row>
    <row r="1169" spans="1:26">
      <c r="A1169" s="24" t="str">
        <f t="shared" si="54"/>
        <v/>
      </c>
      <c r="B1169" s="38" t="str">
        <f>IF($Z1169="","",IF($Z1169&lt;=2000,IF(INDEX(包装物料出入库明细!$B$4:$B$2003,$Z1169-0)=0,"",INDEX(包装物料出入库明细!$B$4:$B$2003,$Z1169-0)),IF($Z1169&lt;=4000,IF(INDEX(周转筐出入库明细!$B$4:$B$2004,$Z1169-2000)=0,"",INDEX(周转筐出入库明细!$B$4:$B$2004,$Z1169-2000)),IF($Z1169&lt;=5200,IF(INDEX(客户自备加工筐明细!$B$4:$B$1203,$Z1169-4000)=0,"",INDEX(客户自备加工筐明细!$B$4:$B$1203,$Z1169-4000)),IF($Z1169&lt;=5800,IF(INDEX(次果筐明细!$B$4:$B$603,$Z1169-5200)=0,"",INDEX(次果筐明细!$B$4:$B$603,$Z1169-5200)),"")))))</f>
        <v/>
      </c>
      <c r="C1169" s="37" t="str">
        <f>IF($Z1169="","",IF($Z1169&lt;=2000,IF(INDEX(包装物料出入库明细!$D$4:$D$2003,$Z1169-0)=0,"",INDEX(包装物料出入库明细!$D$4:$D$2003,$Z1169-0)),IF($Z1169&lt;=4000,IF(INDEX(周转筐出入库明细!$C$4:$C$2004,$Z1169-2000)=0,"",INDEX(周转筐出入库明细!$C$4:$C$2004,$Z1169-2000)),IF($Z1169&lt;=5200,IF(INDEX(客户自备加工筐明细!$E$4:$E$1203,$Z1169-4000)=0,"",INDEX(客户自备加工筐明细!$E$4:$E$1203,$Z1169-4000)),IF($Z1169&lt;=5800,IF(INDEX(次果筐明细!$C$4:$C$603,$Z1169-5200)=0,"",INDEX(次果筐明细!$C$4:$C$603,$Z1169-5200)),"")))))</f>
        <v/>
      </c>
      <c r="D1169" s="37" t="str">
        <f>IF($Z1169="","",IF($Z1169&lt;=2000,"包装物料－"&amp;INDEX(包装物料出入库明细!$H$4:$H$2003,$Z1169-0),IF($Z1169&lt;=4000,"周转筐－"&amp;INDEX(周转筐出入库明细!$F$4:$F$2004,$Z1169-2000),IF($Z1169&lt;=5200,"客户自备筐－"&amp;INDEX(客户自备加工筐明细!$J$4:$J$1203,$Z1169-4000),IF($Z1169&lt;=5800,"次果筐/托盘－"&amp;INDEX(次果筐明细!$F$4:$F$603,$Z1169-5200),"")))))</f>
        <v/>
      </c>
      <c r="E1169" s="24" t="str">
        <f>IF($Z1169="","",IF($Z1169&lt;=2000,IF(INDEX(包装物料出入库明细!$C$4:$C$2003,$Z1169-0)=0,"",INDEX(包装物料出入库明细!$C$4:$C$2003,$Z1169-0)),IF($Z1169&lt;=4000,IF(INDEX(周转筐出入库明细!$E$4:$E$2004,$Z1169-2000)=0,"",INDEX(周转筐出入库明细!$E$4:$E$2004,$Z1169-2000)),IF($Z1169&lt;=5200,IF(INDEX(客户自备加工筐明细!$D$4:$D$1203,$Z1169-4000)=0,"",INDEX(客户自备加工筐明细!$D$4:$D$1203,$Z1169-4000)),IF($Z1169&lt;=5800,IF(INDEX(次果筐明细!$E$4:$E$603,$Z1169-5200)=0,"",INDEX(次果筐明细!$E$4:$E$603,$Z1169-5200)),"")))))</f>
        <v/>
      </c>
      <c r="F1169" s="24" t="str">
        <f>IF($Z1169="","",IF($Z1169&lt;=2000,IF(INDEX(包装物料出入库明细!$E$4:$E$2003,$Z1169-0)=0,"",INDEX(包装物料出入库明细!$E$4:$E$2003,$Z1169-0)),IF($Z1169&lt;=4000,IF(INDEX(周转筐出入库明细!$D$4:$D$2004,$Z1169-2000)=0,"",INDEX(周转筐出入库明细!$D$4:$D$2004,$Z1169-2000)),IF($Z1169&lt;=5200,IF(INDEX(客户自备加工筐明细!$C$4:$C$1203,$Z1169-4000)=0,"",INDEX(客户自备加工筐明细!$C$4:$C$1203,$Z1169-4000)),IF($Z1169&lt;=5800,IF(INDEX(次果筐明细!$D$4:$D$603,$Z1169-5200)=0,"",INDEX(次果筐明细!$D$4:$D$603,$Z1169-5200)),"")))))</f>
        <v/>
      </c>
      <c r="G1169" s="24" t="str">
        <f>IF($Z1169="","",IF($Z1169&lt;=2000,IF(INDEX(包装物料出入库明细!$F$4:$F$2003,$Z1169-0)=0,"",INDEX(包装物料出入库明细!$F$4:$F$2003,$Z1169-0)),IF($Z1169&lt;=4000,"",IF($Z1169&lt;=5200,"",IF($Z1169&lt;=5800,"","")))))</f>
        <v/>
      </c>
      <c r="H1169" s="39" t="str">
        <f>IF($Z1169="","",IF($Z1169&lt;=2000,IF(INDEX(包装物料出入库明细!$L$4:$L$2003,$Z1169-0)=0,"",INDEX(包装物料出入库明细!$L$4:$L$2003,$Z1169-0)),IF($Z1169&lt;=4000,N(INDEX(周转筐出入库明细!$H$4:$H$2004,$Z1169-2000))+N(INDEX(周转筐出入库明细!$I$4:$I$2004,$Z1169-2000))+N(INDEX(周转筐出入库明细!$J$4:$J$2004,$Z1169-2000))+N(INDEX(周转筐出入库明细!$K$4:$K$2004,$Z1169-2000)),IF($Z1169&lt;=5200,N(INDEX(客户自备加工筐明细!$F$4:$F$1203,$Z1169-4000))+N(INDEX(客户自备加工筐明细!$G$4:$G$1203,$Z1169-4000)),IF($Z1169&lt;=5800,IF(INDEX(次果筐明细!$G$4:$G$603,$Z1169-5200)=0,"",INDEX(次果筐明细!$G$4:$G$603,$Z1169-5200)),"")))))</f>
        <v/>
      </c>
      <c r="I1169" s="24" t="str">
        <f>IF($Z1169="","",IF($Z1169&lt;=2000,IF(INDEX(包装物料出入库明细!$G$4:$G$2003,$Z1169-0)=0,"",INDEX(包装物料出入库明细!$G$4:$G$2003,$Z1169-0)),IF($Z1169&lt;=4000,"个",IF($Z1169&lt;=5200,"个",IF($Z1169&lt;=5800,"个","")))))</f>
        <v/>
      </c>
      <c r="J1169" s="30" t="str">
        <f t="shared" si="55"/>
        <v/>
      </c>
      <c r="K1169" s="30" t="str">
        <f>IF($Z1169="","",IF($Z1169&lt;=2000,IF(INDEX(包装物料出入库明细!$N$4:$N$2003,$Z1169-0)=0,"",INDEX(包装物料出入库明细!$N$4:$N$2003,$Z1169-0)),IF($Z1169&lt;=4000,IF(INDEX(周转筐出入库明细!$P$4:$P$2004,$Z1169-2000)=0,"",INDEX(周转筐出入库明细!$P$4:$P$2004,$Z1169-2000)),IF($Z1169&lt;=5200,"",IF($Z1169&lt;=5800,N(INDEX(次果筐明细!$L$4:$L$603,$Z1169-5200))+N(INDEX(次果筐明细!$J$4:$J$603,$Z1169-5200)),"")))))</f>
        <v/>
      </c>
      <c r="L1169" s="24" t="str">
        <f>IF($Z1169="","",IF($Z1169&lt;=2000,IF(INDEX(包装物料出入库明细!$P$4:$P$2003,$Z1169-0)=0,"",INDEX(包装物料出入库明细!$P$4:$P$2003,$Z1169-0)),IF($Z1169&lt;=4000,IF(INDEX(周转筐出入库明细!$Q$4:$Q$2004,$Z1169-2000)=0,"",INDEX(周转筐出入库明细!$Q$4:$Q$2004,$Z1169-2000)),IF($Z1169&lt;=5200,"",IF($Z1169&lt;=5800,IF(INDEX(次果筐明细!$M$4:$M$603,$Z1169-5200)=0,"",INDEX(次果筐明细!$M$4:$M$603,$Z1169-5200)),"")))))</f>
        <v/>
      </c>
      <c r="M1169" s="37" t="str">
        <f>IF($Z1169="","",IF($Z1169&lt;=2000,IF(INDEX(包装物料出入库明细!$R$4:$R$2003,$Z1169-0)=0,"",INDEX(包装物料出入库明细!$R$4:$R$2003,$Z1169-0)),IF($Z1169&lt;=4000,IF(INDEX(周转筐出入库明细!$W$4:$W$2004,$Z1169-2000)=0,"",INDEX(周转筐出入库明细!$W$4:$W$2004,$Z1169-2000)),IF($Z1169&lt;=5200,IF(INDEX(客户自备加工筐明细!$L$4:$L$1203,$Z1169-4000)=0,"",INDEX(客户自备加工筐明细!$L$4:$L$1203,$Z1169-4000)),IF($Z1169&lt;=5800,IF(INDEX(次果筐明细!$P$4:$P$603,$Z1169-5200)=0,"",INDEX(次果筐明细!$P$4:$P$603,$Z1169-5200)),"")))))</f>
        <v/>
      </c>
      <c r="N1169" s="16" t="str">
        <f>IF($Z1169="","",IF($Z1169&lt;=2000,"",IF($Z1169&lt;=4000,IF(INDEX(周转筐出入库明细!$D$4:$D$2004,$Z1169-2000)=0,"",INDEX(周转筐出入库明细!$D$4:$D$2004,$Z1169-2000)),IF($Z1169&lt;=5200,IF(INDEX(客户自备加工筐明细!$C$4:$C$1203,$Z1169-4000)=0,"",INDEX(客户自备加工筐明细!$C$4:$C$1203,$Z1169-4000)),IF($Z1169&lt;=5800,IF(INDEX(次果筐明细!$D$4:$D$603,$Z1169-5200)=0,"",INDEX(次果筐明细!$D$4:$D$603,$Z1169-5200)),"")))))</f>
        <v/>
      </c>
      <c r="O1169" s="40" t="str">
        <f>IF($Z1169="","",IF($Z1169&lt;=2000,"",IF($Z1169&lt;=4000,IF(N(INDEX(周转筐出入库明细!$J$4:$J$2004,$Z1169-2000))+N(INDEX(周转筐出入库明细!$K$4:$K$2004,$Z1169-2000))=0,"",N(INDEX(周转筐出入库明细!$J$4:$J$2004,$Z1169-2000))+N(INDEX(周转筐出入库明细!$K$4:$K$2004,$Z1169-2000))),IF($Z1169&lt;=5200,IF(N(INDEX(客户自备加工筐明细!$G$4:$G$1203,$Z1169-4000))=0,"",N(INDEX(客户自备加工筐明细!$G$4:$G$1203,$Z1169-4000))),IF($Z1169&lt;=5800,IF(ISNUMBER(SEARCH("退",INDEX(次果筐明细!$F$4:$F$603,$Z1169-5200)&amp;"")),"",IF(N(INDEX(次果筐明细!$G$4:$G$603,$Z1169-5200))=0,"",N(INDEX(次果筐明细!$G$4:$G$603,$Z1169-5200)))),"")))))</f>
        <v/>
      </c>
      <c r="P1169" s="40" t="str">
        <f>IF($Z1169="","",IF($Z1169&lt;=2000,"",IF($Z1169&lt;=4000,IF(N(INDEX(周转筐出入库明细!$I$4:$I$2004,$Z1169-2000))=0,"",N(INDEX(周转筐出入库明细!$I$4:$I$2004,$Z1169-2000))),IF($Z1169&lt;=5200,"",IF($Z1169&lt;=5800,IF(ISNUMBER(SEARCH("退",INDEX(次果筐明细!$F$4:$F$603,$Z1169-5200)&amp;"")),IF(N(INDEX(次果筐明细!$G$4:$G$603,$Z1169-5200))=0,"",N(INDEX(次果筐明细!$G$4:$G$603,$Z1169-5200))),""),"")))))</f>
        <v/>
      </c>
      <c r="Q1169" s="40" t="str">
        <f>IF($Z1169="","",IF($Z1169&lt;=2000,"",IF($Z1169&lt;=4000,IF(N(INDEX(周转筐出入库明细!$H$4:$H$2004,$Z1169-2000))=0,"",N(INDEX(周转筐出入库明细!$H$4:$H$2004,$Z1169-2000))),IF($Z1169&lt;=5200,IF(N(INDEX(客户自备加工筐明细!$F$4:$F$1203,$Z1169-4000))=0,"",N(INDEX(客户自备加工筐明细!$F$4:$F$1203,$Z1169-4000))),IF($Z1169&lt;=5800,"","")))))</f>
        <v/>
      </c>
      <c r="R1169" s="16" t="str">
        <f>IF($Z1169="","",IF($Z1169&lt;=2000,IF(INDEX(包装物料出入库明细!$O$4:$O$2003,$Z1169-0)=0,"",INDEX(包装物料出入库明细!$O$4:$O$2003,$Z1169-0)),IF($Z1169&lt;=4000,IF(INDEX(周转筐出入库明细!$M$4:$M$2004,$Z1169-2000)=0,"",INDEX(周转筐出入库明细!$M$4:$M$2004,$Z1169-2000)),IF($Z1169&lt;=5200,IF(INDEX(客户自备加工筐明细!$H$4:$H$1203,$Z1169-4000)=0,"",INDEX(客户自备加工筐明细!$H$4:$H$1203,$Z1169-4000)),IF($Z1169&lt;=5800,IF(INDEX(次果筐明细!$H$4:$H$603,$Z1169-5200)=0,"",INDEX(次果筐明细!$H$4:$H$603,$Z1169-5200)),"")))))</f>
        <v/>
      </c>
      <c r="S1169" s="22" t="str">
        <f t="shared" si="56"/>
        <v/>
      </c>
      <c r="Z1169" s="10" t="str">
        <f>IFERROR(MATCH(ROW()-3,_自动清单!$CQ$4:$CQ$5803,0),"")</f>
        <v/>
      </c>
    </row>
    <row r="1170" spans="1:26">
      <c r="A1170" s="24" t="str">
        <f t="shared" si="54"/>
        <v/>
      </c>
      <c r="B1170" s="38" t="str">
        <f>IF($Z1170="","",IF($Z1170&lt;=2000,IF(INDEX(包装物料出入库明细!$B$4:$B$2003,$Z1170-0)=0,"",INDEX(包装物料出入库明细!$B$4:$B$2003,$Z1170-0)),IF($Z1170&lt;=4000,IF(INDEX(周转筐出入库明细!$B$4:$B$2004,$Z1170-2000)=0,"",INDEX(周转筐出入库明细!$B$4:$B$2004,$Z1170-2000)),IF($Z1170&lt;=5200,IF(INDEX(客户自备加工筐明细!$B$4:$B$1203,$Z1170-4000)=0,"",INDEX(客户自备加工筐明细!$B$4:$B$1203,$Z1170-4000)),IF($Z1170&lt;=5800,IF(INDEX(次果筐明细!$B$4:$B$603,$Z1170-5200)=0,"",INDEX(次果筐明细!$B$4:$B$603,$Z1170-5200)),"")))))</f>
        <v/>
      </c>
      <c r="C1170" s="37" t="str">
        <f>IF($Z1170="","",IF($Z1170&lt;=2000,IF(INDEX(包装物料出入库明细!$D$4:$D$2003,$Z1170-0)=0,"",INDEX(包装物料出入库明细!$D$4:$D$2003,$Z1170-0)),IF($Z1170&lt;=4000,IF(INDEX(周转筐出入库明细!$C$4:$C$2004,$Z1170-2000)=0,"",INDEX(周转筐出入库明细!$C$4:$C$2004,$Z1170-2000)),IF($Z1170&lt;=5200,IF(INDEX(客户自备加工筐明细!$E$4:$E$1203,$Z1170-4000)=0,"",INDEX(客户自备加工筐明细!$E$4:$E$1203,$Z1170-4000)),IF($Z1170&lt;=5800,IF(INDEX(次果筐明细!$C$4:$C$603,$Z1170-5200)=0,"",INDEX(次果筐明细!$C$4:$C$603,$Z1170-5200)),"")))))</f>
        <v/>
      </c>
      <c r="D1170" s="37" t="str">
        <f>IF($Z1170="","",IF($Z1170&lt;=2000,"包装物料－"&amp;INDEX(包装物料出入库明细!$H$4:$H$2003,$Z1170-0),IF($Z1170&lt;=4000,"周转筐－"&amp;INDEX(周转筐出入库明细!$F$4:$F$2004,$Z1170-2000),IF($Z1170&lt;=5200,"客户自备筐－"&amp;INDEX(客户自备加工筐明细!$J$4:$J$1203,$Z1170-4000),IF($Z1170&lt;=5800,"次果筐/托盘－"&amp;INDEX(次果筐明细!$F$4:$F$603,$Z1170-5200),"")))))</f>
        <v/>
      </c>
      <c r="E1170" s="24" t="str">
        <f>IF($Z1170="","",IF($Z1170&lt;=2000,IF(INDEX(包装物料出入库明细!$C$4:$C$2003,$Z1170-0)=0,"",INDEX(包装物料出入库明细!$C$4:$C$2003,$Z1170-0)),IF($Z1170&lt;=4000,IF(INDEX(周转筐出入库明细!$E$4:$E$2004,$Z1170-2000)=0,"",INDEX(周转筐出入库明细!$E$4:$E$2004,$Z1170-2000)),IF($Z1170&lt;=5200,IF(INDEX(客户自备加工筐明细!$D$4:$D$1203,$Z1170-4000)=0,"",INDEX(客户自备加工筐明细!$D$4:$D$1203,$Z1170-4000)),IF($Z1170&lt;=5800,IF(INDEX(次果筐明细!$E$4:$E$603,$Z1170-5200)=0,"",INDEX(次果筐明细!$E$4:$E$603,$Z1170-5200)),"")))))</f>
        <v/>
      </c>
      <c r="F1170" s="24" t="str">
        <f>IF($Z1170="","",IF($Z1170&lt;=2000,IF(INDEX(包装物料出入库明细!$E$4:$E$2003,$Z1170-0)=0,"",INDEX(包装物料出入库明细!$E$4:$E$2003,$Z1170-0)),IF($Z1170&lt;=4000,IF(INDEX(周转筐出入库明细!$D$4:$D$2004,$Z1170-2000)=0,"",INDEX(周转筐出入库明细!$D$4:$D$2004,$Z1170-2000)),IF($Z1170&lt;=5200,IF(INDEX(客户自备加工筐明细!$C$4:$C$1203,$Z1170-4000)=0,"",INDEX(客户自备加工筐明细!$C$4:$C$1203,$Z1170-4000)),IF($Z1170&lt;=5800,IF(INDEX(次果筐明细!$D$4:$D$603,$Z1170-5200)=0,"",INDEX(次果筐明细!$D$4:$D$603,$Z1170-5200)),"")))))</f>
        <v/>
      </c>
      <c r="G1170" s="24" t="str">
        <f>IF($Z1170="","",IF($Z1170&lt;=2000,IF(INDEX(包装物料出入库明细!$F$4:$F$2003,$Z1170-0)=0,"",INDEX(包装物料出入库明细!$F$4:$F$2003,$Z1170-0)),IF($Z1170&lt;=4000,"",IF($Z1170&lt;=5200,"",IF($Z1170&lt;=5800,"","")))))</f>
        <v/>
      </c>
      <c r="H1170" s="39" t="str">
        <f>IF($Z1170="","",IF($Z1170&lt;=2000,IF(INDEX(包装物料出入库明细!$L$4:$L$2003,$Z1170-0)=0,"",INDEX(包装物料出入库明细!$L$4:$L$2003,$Z1170-0)),IF($Z1170&lt;=4000,N(INDEX(周转筐出入库明细!$H$4:$H$2004,$Z1170-2000))+N(INDEX(周转筐出入库明细!$I$4:$I$2004,$Z1170-2000))+N(INDEX(周转筐出入库明细!$J$4:$J$2004,$Z1170-2000))+N(INDEX(周转筐出入库明细!$K$4:$K$2004,$Z1170-2000)),IF($Z1170&lt;=5200,N(INDEX(客户自备加工筐明细!$F$4:$F$1203,$Z1170-4000))+N(INDEX(客户自备加工筐明细!$G$4:$G$1203,$Z1170-4000)),IF($Z1170&lt;=5800,IF(INDEX(次果筐明细!$G$4:$G$603,$Z1170-5200)=0,"",INDEX(次果筐明细!$G$4:$G$603,$Z1170-5200)),"")))))</f>
        <v/>
      </c>
      <c r="I1170" s="24" t="str">
        <f>IF($Z1170="","",IF($Z1170&lt;=2000,IF(INDEX(包装物料出入库明细!$G$4:$G$2003,$Z1170-0)=0,"",INDEX(包装物料出入库明细!$G$4:$G$2003,$Z1170-0)),IF($Z1170&lt;=4000,"个",IF($Z1170&lt;=5200,"个",IF($Z1170&lt;=5800,"个","")))))</f>
        <v/>
      </c>
      <c r="J1170" s="30" t="str">
        <f t="shared" si="55"/>
        <v/>
      </c>
      <c r="K1170" s="30" t="str">
        <f>IF($Z1170="","",IF($Z1170&lt;=2000,IF(INDEX(包装物料出入库明细!$N$4:$N$2003,$Z1170-0)=0,"",INDEX(包装物料出入库明细!$N$4:$N$2003,$Z1170-0)),IF($Z1170&lt;=4000,IF(INDEX(周转筐出入库明细!$P$4:$P$2004,$Z1170-2000)=0,"",INDEX(周转筐出入库明细!$P$4:$P$2004,$Z1170-2000)),IF($Z1170&lt;=5200,"",IF($Z1170&lt;=5800,N(INDEX(次果筐明细!$L$4:$L$603,$Z1170-5200))+N(INDEX(次果筐明细!$J$4:$J$603,$Z1170-5200)),"")))))</f>
        <v/>
      </c>
      <c r="L1170" s="24" t="str">
        <f>IF($Z1170="","",IF($Z1170&lt;=2000,IF(INDEX(包装物料出入库明细!$P$4:$P$2003,$Z1170-0)=0,"",INDEX(包装物料出入库明细!$P$4:$P$2003,$Z1170-0)),IF($Z1170&lt;=4000,IF(INDEX(周转筐出入库明细!$Q$4:$Q$2004,$Z1170-2000)=0,"",INDEX(周转筐出入库明细!$Q$4:$Q$2004,$Z1170-2000)),IF($Z1170&lt;=5200,"",IF($Z1170&lt;=5800,IF(INDEX(次果筐明细!$M$4:$M$603,$Z1170-5200)=0,"",INDEX(次果筐明细!$M$4:$M$603,$Z1170-5200)),"")))))</f>
        <v/>
      </c>
      <c r="M1170" s="37" t="str">
        <f>IF($Z1170="","",IF($Z1170&lt;=2000,IF(INDEX(包装物料出入库明细!$R$4:$R$2003,$Z1170-0)=0,"",INDEX(包装物料出入库明细!$R$4:$R$2003,$Z1170-0)),IF($Z1170&lt;=4000,IF(INDEX(周转筐出入库明细!$W$4:$W$2004,$Z1170-2000)=0,"",INDEX(周转筐出入库明细!$W$4:$W$2004,$Z1170-2000)),IF($Z1170&lt;=5200,IF(INDEX(客户自备加工筐明细!$L$4:$L$1203,$Z1170-4000)=0,"",INDEX(客户自备加工筐明细!$L$4:$L$1203,$Z1170-4000)),IF($Z1170&lt;=5800,IF(INDEX(次果筐明细!$P$4:$P$603,$Z1170-5200)=0,"",INDEX(次果筐明细!$P$4:$P$603,$Z1170-5200)),"")))))</f>
        <v/>
      </c>
      <c r="N1170" s="16" t="str">
        <f>IF($Z1170="","",IF($Z1170&lt;=2000,"",IF($Z1170&lt;=4000,IF(INDEX(周转筐出入库明细!$D$4:$D$2004,$Z1170-2000)=0,"",INDEX(周转筐出入库明细!$D$4:$D$2004,$Z1170-2000)),IF($Z1170&lt;=5200,IF(INDEX(客户自备加工筐明细!$C$4:$C$1203,$Z1170-4000)=0,"",INDEX(客户自备加工筐明细!$C$4:$C$1203,$Z1170-4000)),IF($Z1170&lt;=5800,IF(INDEX(次果筐明细!$D$4:$D$603,$Z1170-5200)=0,"",INDEX(次果筐明细!$D$4:$D$603,$Z1170-5200)),"")))))</f>
        <v/>
      </c>
      <c r="O1170" s="40" t="str">
        <f>IF($Z1170="","",IF($Z1170&lt;=2000,"",IF($Z1170&lt;=4000,IF(N(INDEX(周转筐出入库明细!$J$4:$J$2004,$Z1170-2000))+N(INDEX(周转筐出入库明细!$K$4:$K$2004,$Z1170-2000))=0,"",N(INDEX(周转筐出入库明细!$J$4:$J$2004,$Z1170-2000))+N(INDEX(周转筐出入库明细!$K$4:$K$2004,$Z1170-2000))),IF($Z1170&lt;=5200,IF(N(INDEX(客户自备加工筐明细!$G$4:$G$1203,$Z1170-4000))=0,"",N(INDEX(客户自备加工筐明细!$G$4:$G$1203,$Z1170-4000))),IF($Z1170&lt;=5800,IF(ISNUMBER(SEARCH("退",INDEX(次果筐明细!$F$4:$F$603,$Z1170-5200)&amp;"")),"",IF(N(INDEX(次果筐明细!$G$4:$G$603,$Z1170-5200))=0,"",N(INDEX(次果筐明细!$G$4:$G$603,$Z1170-5200)))),"")))))</f>
        <v/>
      </c>
      <c r="P1170" s="40" t="str">
        <f>IF($Z1170="","",IF($Z1170&lt;=2000,"",IF($Z1170&lt;=4000,IF(N(INDEX(周转筐出入库明细!$I$4:$I$2004,$Z1170-2000))=0,"",N(INDEX(周转筐出入库明细!$I$4:$I$2004,$Z1170-2000))),IF($Z1170&lt;=5200,"",IF($Z1170&lt;=5800,IF(ISNUMBER(SEARCH("退",INDEX(次果筐明细!$F$4:$F$603,$Z1170-5200)&amp;"")),IF(N(INDEX(次果筐明细!$G$4:$G$603,$Z1170-5200))=0,"",N(INDEX(次果筐明细!$G$4:$G$603,$Z1170-5200))),""),"")))))</f>
        <v/>
      </c>
      <c r="Q1170" s="40" t="str">
        <f>IF($Z1170="","",IF($Z1170&lt;=2000,"",IF($Z1170&lt;=4000,IF(N(INDEX(周转筐出入库明细!$H$4:$H$2004,$Z1170-2000))=0,"",N(INDEX(周转筐出入库明细!$H$4:$H$2004,$Z1170-2000))),IF($Z1170&lt;=5200,IF(N(INDEX(客户自备加工筐明细!$F$4:$F$1203,$Z1170-4000))=0,"",N(INDEX(客户自备加工筐明细!$F$4:$F$1203,$Z1170-4000))),IF($Z1170&lt;=5800,"","")))))</f>
        <v/>
      </c>
      <c r="R1170" s="16" t="str">
        <f>IF($Z1170="","",IF($Z1170&lt;=2000,IF(INDEX(包装物料出入库明细!$O$4:$O$2003,$Z1170-0)=0,"",INDEX(包装物料出入库明细!$O$4:$O$2003,$Z1170-0)),IF($Z1170&lt;=4000,IF(INDEX(周转筐出入库明细!$M$4:$M$2004,$Z1170-2000)=0,"",INDEX(周转筐出入库明细!$M$4:$M$2004,$Z1170-2000)),IF($Z1170&lt;=5200,IF(INDEX(客户自备加工筐明细!$H$4:$H$1203,$Z1170-4000)=0,"",INDEX(客户自备加工筐明细!$H$4:$H$1203,$Z1170-4000)),IF($Z1170&lt;=5800,IF(INDEX(次果筐明细!$H$4:$H$603,$Z1170-5200)=0,"",INDEX(次果筐明细!$H$4:$H$603,$Z1170-5200)),"")))))</f>
        <v/>
      </c>
      <c r="S1170" s="22" t="str">
        <f t="shared" si="56"/>
        <v/>
      </c>
      <c r="Z1170" s="10" t="str">
        <f>IFERROR(MATCH(ROW()-3,_自动清单!$CQ$4:$CQ$5803,0),"")</f>
        <v/>
      </c>
    </row>
    <row r="1171" spans="1:26">
      <c r="A1171" s="24" t="str">
        <f t="shared" si="54"/>
        <v/>
      </c>
      <c r="B1171" s="38" t="str">
        <f>IF($Z1171="","",IF($Z1171&lt;=2000,IF(INDEX(包装物料出入库明细!$B$4:$B$2003,$Z1171-0)=0,"",INDEX(包装物料出入库明细!$B$4:$B$2003,$Z1171-0)),IF($Z1171&lt;=4000,IF(INDEX(周转筐出入库明细!$B$4:$B$2004,$Z1171-2000)=0,"",INDEX(周转筐出入库明细!$B$4:$B$2004,$Z1171-2000)),IF($Z1171&lt;=5200,IF(INDEX(客户自备加工筐明细!$B$4:$B$1203,$Z1171-4000)=0,"",INDEX(客户自备加工筐明细!$B$4:$B$1203,$Z1171-4000)),IF($Z1171&lt;=5800,IF(INDEX(次果筐明细!$B$4:$B$603,$Z1171-5200)=0,"",INDEX(次果筐明细!$B$4:$B$603,$Z1171-5200)),"")))))</f>
        <v/>
      </c>
      <c r="C1171" s="37" t="str">
        <f>IF($Z1171="","",IF($Z1171&lt;=2000,IF(INDEX(包装物料出入库明细!$D$4:$D$2003,$Z1171-0)=0,"",INDEX(包装物料出入库明细!$D$4:$D$2003,$Z1171-0)),IF($Z1171&lt;=4000,IF(INDEX(周转筐出入库明细!$C$4:$C$2004,$Z1171-2000)=0,"",INDEX(周转筐出入库明细!$C$4:$C$2004,$Z1171-2000)),IF($Z1171&lt;=5200,IF(INDEX(客户自备加工筐明细!$E$4:$E$1203,$Z1171-4000)=0,"",INDEX(客户自备加工筐明细!$E$4:$E$1203,$Z1171-4000)),IF($Z1171&lt;=5800,IF(INDEX(次果筐明细!$C$4:$C$603,$Z1171-5200)=0,"",INDEX(次果筐明细!$C$4:$C$603,$Z1171-5200)),"")))))</f>
        <v/>
      </c>
      <c r="D1171" s="37" t="str">
        <f>IF($Z1171="","",IF($Z1171&lt;=2000,"包装物料－"&amp;INDEX(包装物料出入库明细!$H$4:$H$2003,$Z1171-0),IF($Z1171&lt;=4000,"周转筐－"&amp;INDEX(周转筐出入库明细!$F$4:$F$2004,$Z1171-2000),IF($Z1171&lt;=5200,"客户自备筐－"&amp;INDEX(客户自备加工筐明细!$J$4:$J$1203,$Z1171-4000),IF($Z1171&lt;=5800,"次果筐/托盘－"&amp;INDEX(次果筐明细!$F$4:$F$603,$Z1171-5200),"")))))</f>
        <v/>
      </c>
      <c r="E1171" s="24" t="str">
        <f>IF($Z1171="","",IF($Z1171&lt;=2000,IF(INDEX(包装物料出入库明细!$C$4:$C$2003,$Z1171-0)=0,"",INDEX(包装物料出入库明细!$C$4:$C$2003,$Z1171-0)),IF($Z1171&lt;=4000,IF(INDEX(周转筐出入库明细!$E$4:$E$2004,$Z1171-2000)=0,"",INDEX(周转筐出入库明细!$E$4:$E$2004,$Z1171-2000)),IF($Z1171&lt;=5200,IF(INDEX(客户自备加工筐明细!$D$4:$D$1203,$Z1171-4000)=0,"",INDEX(客户自备加工筐明细!$D$4:$D$1203,$Z1171-4000)),IF($Z1171&lt;=5800,IF(INDEX(次果筐明细!$E$4:$E$603,$Z1171-5200)=0,"",INDEX(次果筐明细!$E$4:$E$603,$Z1171-5200)),"")))))</f>
        <v/>
      </c>
      <c r="F1171" s="24" t="str">
        <f>IF($Z1171="","",IF($Z1171&lt;=2000,IF(INDEX(包装物料出入库明细!$E$4:$E$2003,$Z1171-0)=0,"",INDEX(包装物料出入库明细!$E$4:$E$2003,$Z1171-0)),IF($Z1171&lt;=4000,IF(INDEX(周转筐出入库明细!$D$4:$D$2004,$Z1171-2000)=0,"",INDEX(周转筐出入库明细!$D$4:$D$2004,$Z1171-2000)),IF($Z1171&lt;=5200,IF(INDEX(客户自备加工筐明细!$C$4:$C$1203,$Z1171-4000)=0,"",INDEX(客户自备加工筐明细!$C$4:$C$1203,$Z1171-4000)),IF($Z1171&lt;=5800,IF(INDEX(次果筐明细!$D$4:$D$603,$Z1171-5200)=0,"",INDEX(次果筐明细!$D$4:$D$603,$Z1171-5200)),"")))))</f>
        <v/>
      </c>
      <c r="G1171" s="24" t="str">
        <f>IF($Z1171="","",IF($Z1171&lt;=2000,IF(INDEX(包装物料出入库明细!$F$4:$F$2003,$Z1171-0)=0,"",INDEX(包装物料出入库明细!$F$4:$F$2003,$Z1171-0)),IF($Z1171&lt;=4000,"",IF($Z1171&lt;=5200,"",IF($Z1171&lt;=5800,"","")))))</f>
        <v/>
      </c>
      <c r="H1171" s="39" t="str">
        <f>IF($Z1171="","",IF($Z1171&lt;=2000,IF(INDEX(包装物料出入库明细!$L$4:$L$2003,$Z1171-0)=0,"",INDEX(包装物料出入库明细!$L$4:$L$2003,$Z1171-0)),IF($Z1171&lt;=4000,N(INDEX(周转筐出入库明细!$H$4:$H$2004,$Z1171-2000))+N(INDEX(周转筐出入库明细!$I$4:$I$2004,$Z1171-2000))+N(INDEX(周转筐出入库明细!$J$4:$J$2004,$Z1171-2000))+N(INDEX(周转筐出入库明细!$K$4:$K$2004,$Z1171-2000)),IF($Z1171&lt;=5200,N(INDEX(客户自备加工筐明细!$F$4:$F$1203,$Z1171-4000))+N(INDEX(客户自备加工筐明细!$G$4:$G$1203,$Z1171-4000)),IF($Z1171&lt;=5800,IF(INDEX(次果筐明细!$G$4:$G$603,$Z1171-5200)=0,"",INDEX(次果筐明细!$G$4:$G$603,$Z1171-5200)),"")))))</f>
        <v/>
      </c>
      <c r="I1171" s="24" t="str">
        <f>IF($Z1171="","",IF($Z1171&lt;=2000,IF(INDEX(包装物料出入库明细!$G$4:$G$2003,$Z1171-0)=0,"",INDEX(包装物料出入库明细!$G$4:$G$2003,$Z1171-0)),IF($Z1171&lt;=4000,"个",IF($Z1171&lt;=5200,"个",IF($Z1171&lt;=5800,"个","")))))</f>
        <v/>
      </c>
      <c r="J1171" s="30" t="str">
        <f t="shared" si="55"/>
        <v/>
      </c>
      <c r="K1171" s="30" t="str">
        <f>IF($Z1171="","",IF($Z1171&lt;=2000,IF(INDEX(包装物料出入库明细!$N$4:$N$2003,$Z1171-0)=0,"",INDEX(包装物料出入库明细!$N$4:$N$2003,$Z1171-0)),IF($Z1171&lt;=4000,IF(INDEX(周转筐出入库明细!$P$4:$P$2004,$Z1171-2000)=0,"",INDEX(周转筐出入库明细!$P$4:$P$2004,$Z1171-2000)),IF($Z1171&lt;=5200,"",IF($Z1171&lt;=5800,N(INDEX(次果筐明细!$L$4:$L$603,$Z1171-5200))+N(INDEX(次果筐明细!$J$4:$J$603,$Z1171-5200)),"")))))</f>
        <v/>
      </c>
      <c r="L1171" s="24" t="str">
        <f>IF($Z1171="","",IF($Z1171&lt;=2000,IF(INDEX(包装物料出入库明细!$P$4:$P$2003,$Z1171-0)=0,"",INDEX(包装物料出入库明细!$P$4:$P$2003,$Z1171-0)),IF($Z1171&lt;=4000,IF(INDEX(周转筐出入库明细!$Q$4:$Q$2004,$Z1171-2000)=0,"",INDEX(周转筐出入库明细!$Q$4:$Q$2004,$Z1171-2000)),IF($Z1171&lt;=5200,"",IF($Z1171&lt;=5800,IF(INDEX(次果筐明细!$M$4:$M$603,$Z1171-5200)=0,"",INDEX(次果筐明细!$M$4:$M$603,$Z1171-5200)),"")))))</f>
        <v/>
      </c>
      <c r="M1171" s="37" t="str">
        <f>IF($Z1171="","",IF($Z1171&lt;=2000,IF(INDEX(包装物料出入库明细!$R$4:$R$2003,$Z1171-0)=0,"",INDEX(包装物料出入库明细!$R$4:$R$2003,$Z1171-0)),IF($Z1171&lt;=4000,IF(INDEX(周转筐出入库明细!$W$4:$W$2004,$Z1171-2000)=0,"",INDEX(周转筐出入库明细!$W$4:$W$2004,$Z1171-2000)),IF($Z1171&lt;=5200,IF(INDEX(客户自备加工筐明细!$L$4:$L$1203,$Z1171-4000)=0,"",INDEX(客户自备加工筐明细!$L$4:$L$1203,$Z1171-4000)),IF($Z1171&lt;=5800,IF(INDEX(次果筐明细!$P$4:$P$603,$Z1171-5200)=0,"",INDEX(次果筐明细!$P$4:$P$603,$Z1171-5200)),"")))))</f>
        <v/>
      </c>
      <c r="N1171" s="16" t="str">
        <f>IF($Z1171="","",IF($Z1171&lt;=2000,"",IF($Z1171&lt;=4000,IF(INDEX(周转筐出入库明细!$D$4:$D$2004,$Z1171-2000)=0,"",INDEX(周转筐出入库明细!$D$4:$D$2004,$Z1171-2000)),IF($Z1171&lt;=5200,IF(INDEX(客户自备加工筐明细!$C$4:$C$1203,$Z1171-4000)=0,"",INDEX(客户自备加工筐明细!$C$4:$C$1203,$Z1171-4000)),IF($Z1171&lt;=5800,IF(INDEX(次果筐明细!$D$4:$D$603,$Z1171-5200)=0,"",INDEX(次果筐明细!$D$4:$D$603,$Z1171-5200)),"")))))</f>
        <v/>
      </c>
      <c r="O1171" s="40" t="str">
        <f>IF($Z1171="","",IF($Z1171&lt;=2000,"",IF($Z1171&lt;=4000,IF(N(INDEX(周转筐出入库明细!$J$4:$J$2004,$Z1171-2000))+N(INDEX(周转筐出入库明细!$K$4:$K$2004,$Z1171-2000))=0,"",N(INDEX(周转筐出入库明细!$J$4:$J$2004,$Z1171-2000))+N(INDEX(周转筐出入库明细!$K$4:$K$2004,$Z1171-2000))),IF($Z1171&lt;=5200,IF(N(INDEX(客户自备加工筐明细!$G$4:$G$1203,$Z1171-4000))=0,"",N(INDEX(客户自备加工筐明细!$G$4:$G$1203,$Z1171-4000))),IF($Z1171&lt;=5800,IF(ISNUMBER(SEARCH("退",INDEX(次果筐明细!$F$4:$F$603,$Z1171-5200)&amp;"")),"",IF(N(INDEX(次果筐明细!$G$4:$G$603,$Z1171-5200))=0,"",N(INDEX(次果筐明细!$G$4:$G$603,$Z1171-5200)))),"")))))</f>
        <v/>
      </c>
      <c r="P1171" s="40" t="str">
        <f>IF($Z1171="","",IF($Z1171&lt;=2000,"",IF($Z1171&lt;=4000,IF(N(INDEX(周转筐出入库明细!$I$4:$I$2004,$Z1171-2000))=0,"",N(INDEX(周转筐出入库明细!$I$4:$I$2004,$Z1171-2000))),IF($Z1171&lt;=5200,"",IF($Z1171&lt;=5800,IF(ISNUMBER(SEARCH("退",INDEX(次果筐明细!$F$4:$F$603,$Z1171-5200)&amp;"")),IF(N(INDEX(次果筐明细!$G$4:$G$603,$Z1171-5200))=0,"",N(INDEX(次果筐明细!$G$4:$G$603,$Z1171-5200))),""),"")))))</f>
        <v/>
      </c>
      <c r="Q1171" s="40" t="str">
        <f>IF($Z1171="","",IF($Z1171&lt;=2000,"",IF($Z1171&lt;=4000,IF(N(INDEX(周转筐出入库明细!$H$4:$H$2004,$Z1171-2000))=0,"",N(INDEX(周转筐出入库明细!$H$4:$H$2004,$Z1171-2000))),IF($Z1171&lt;=5200,IF(N(INDEX(客户自备加工筐明细!$F$4:$F$1203,$Z1171-4000))=0,"",N(INDEX(客户自备加工筐明细!$F$4:$F$1203,$Z1171-4000))),IF($Z1171&lt;=5800,"","")))))</f>
        <v/>
      </c>
      <c r="R1171" s="16" t="str">
        <f>IF($Z1171="","",IF($Z1171&lt;=2000,IF(INDEX(包装物料出入库明细!$O$4:$O$2003,$Z1171-0)=0,"",INDEX(包装物料出入库明细!$O$4:$O$2003,$Z1171-0)),IF($Z1171&lt;=4000,IF(INDEX(周转筐出入库明细!$M$4:$M$2004,$Z1171-2000)=0,"",INDEX(周转筐出入库明细!$M$4:$M$2004,$Z1171-2000)),IF($Z1171&lt;=5200,IF(INDEX(客户自备加工筐明细!$H$4:$H$1203,$Z1171-4000)=0,"",INDEX(客户自备加工筐明细!$H$4:$H$1203,$Z1171-4000)),IF($Z1171&lt;=5800,IF(INDEX(次果筐明细!$H$4:$H$603,$Z1171-5200)=0,"",INDEX(次果筐明细!$H$4:$H$603,$Z1171-5200)),"")))))</f>
        <v/>
      </c>
      <c r="S1171" s="22" t="str">
        <f t="shared" si="56"/>
        <v/>
      </c>
      <c r="Z1171" s="10" t="str">
        <f>IFERROR(MATCH(ROW()-3,_自动清单!$CQ$4:$CQ$5803,0),"")</f>
        <v/>
      </c>
    </row>
    <row r="1172" spans="1:26">
      <c r="A1172" s="24" t="str">
        <f t="shared" si="54"/>
        <v/>
      </c>
      <c r="B1172" s="38" t="str">
        <f>IF($Z1172="","",IF($Z1172&lt;=2000,IF(INDEX(包装物料出入库明细!$B$4:$B$2003,$Z1172-0)=0,"",INDEX(包装物料出入库明细!$B$4:$B$2003,$Z1172-0)),IF($Z1172&lt;=4000,IF(INDEX(周转筐出入库明细!$B$4:$B$2004,$Z1172-2000)=0,"",INDEX(周转筐出入库明细!$B$4:$B$2004,$Z1172-2000)),IF($Z1172&lt;=5200,IF(INDEX(客户自备加工筐明细!$B$4:$B$1203,$Z1172-4000)=0,"",INDEX(客户自备加工筐明细!$B$4:$B$1203,$Z1172-4000)),IF($Z1172&lt;=5800,IF(INDEX(次果筐明细!$B$4:$B$603,$Z1172-5200)=0,"",INDEX(次果筐明细!$B$4:$B$603,$Z1172-5200)),"")))))</f>
        <v/>
      </c>
      <c r="C1172" s="37" t="str">
        <f>IF($Z1172="","",IF($Z1172&lt;=2000,IF(INDEX(包装物料出入库明细!$D$4:$D$2003,$Z1172-0)=0,"",INDEX(包装物料出入库明细!$D$4:$D$2003,$Z1172-0)),IF($Z1172&lt;=4000,IF(INDEX(周转筐出入库明细!$C$4:$C$2004,$Z1172-2000)=0,"",INDEX(周转筐出入库明细!$C$4:$C$2004,$Z1172-2000)),IF($Z1172&lt;=5200,IF(INDEX(客户自备加工筐明细!$E$4:$E$1203,$Z1172-4000)=0,"",INDEX(客户自备加工筐明细!$E$4:$E$1203,$Z1172-4000)),IF($Z1172&lt;=5800,IF(INDEX(次果筐明细!$C$4:$C$603,$Z1172-5200)=0,"",INDEX(次果筐明细!$C$4:$C$603,$Z1172-5200)),"")))))</f>
        <v/>
      </c>
      <c r="D1172" s="37" t="str">
        <f>IF($Z1172="","",IF($Z1172&lt;=2000,"包装物料－"&amp;INDEX(包装物料出入库明细!$H$4:$H$2003,$Z1172-0),IF($Z1172&lt;=4000,"周转筐－"&amp;INDEX(周转筐出入库明细!$F$4:$F$2004,$Z1172-2000),IF($Z1172&lt;=5200,"客户自备筐－"&amp;INDEX(客户自备加工筐明细!$J$4:$J$1203,$Z1172-4000),IF($Z1172&lt;=5800,"次果筐/托盘－"&amp;INDEX(次果筐明细!$F$4:$F$603,$Z1172-5200),"")))))</f>
        <v/>
      </c>
      <c r="E1172" s="24" t="str">
        <f>IF($Z1172="","",IF($Z1172&lt;=2000,IF(INDEX(包装物料出入库明细!$C$4:$C$2003,$Z1172-0)=0,"",INDEX(包装物料出入库明细!$C$4:$C$2003,$Z1172-0)),IF($Z1172&lt;=4000,IF(INDEX(周转筐出入库明细!$E$4:$E$2004,$Z1172-2000)=0,"",INDEX(周转筐出入库明细!$E$4:$E$2004,$Z1172-2000)),IF($Z1172&lt;=5200,IF(INDEX(客户自备加工筐明细!$D$4:$D$1203,$Z1172-4000)=0,"",INDEX(客户自备加工筐明细!$D$4:$D$1203,$Z1172-4000)),IF($Z1172&lt;=5800,IF(INDEX(次果筐明细!$E$4:$E$603,$Z1172-5200)=0,"",INDEX(次果筐明细!$E$4:$E$603,$Z1172-5200)),"")))))</f>
        <v/>
      </c>
      <c r="F1172" s="24" t="str">
        <f>IF($Z1172="","",IF($Z1172&lt;=2000,IF(INDEX(包装物料出入库明细!$E$4:$E$2003,$Z1172-0)=0,"",INDEX(包装物料出入库明细!$E$4:$E$2003,$Z1172-0)),IF($Z1172&lt;=4000,IF(INDEX(周转筐出入库明细!$D$4:$D$2004,$Z1172-2000)=0,"",INDEX(周转筐出入库明细!$D$4:$D$2004,$Z1172-2000)),IF($Z1172&lt;=5200,IF(INDEX(客户自备加工筐明细!$C$4:$C$1203,$Z1172-4000)=0,"",INDEX(客户自备加工筐明细!$C$4:$C$1203,$Z1172-4000)),IF($Z1172&lt;=5800,IF(INDEX(次果筐明细!$D$4:$D$603,$Z1172-5200)=0,"",INDEX(次果筐明细!$D$4:$D$603,$Z1172-5200)),"")))))</f>
        <v/>
      </c>
      <c r="G1172" s="24" t="str">
        <f>IF($Z1172="","",IF($Z1172&lt;=2000,IF(INDEX(包装物料出入库明细!$F$4:$F$2003,$Z1172-0)=0,"",INDEX(包装物料出入库明细!$F$4:$F$2003,$Z1172-0)),IF($Z1172&lt;=4000,"",IF($Z1172&lt;=5200,"",IF($Z1172&lt;=5800,"","")))))</f>
        <v/>
      </c>
      <c r="H1172" s="39" t="str">
        <f>IF($Z1172="","",IF($Z1172&lt;=2000,IF(INDEX(包装物料出入库明细!$L$4:$L$2003,$Z1172-0)=0,"",INDEX(包装物料出入库明细!$L$4:$L$2003,$Z1172-0)),IF($Z1172&lt;=4000,N(INDEX(周转筐出入库明细!$H$4:$H$2004,$Z1172-2000))+N(INDEX(周转筐出入库明细!$I$4:$I$2004,$Z1172-2000))+N(INDEX(周转筐出入库明细!$J$4:$J$2004,$Z1172-2000))+N(INDEX(周转筐出入库明细!$K$4:$K$2004,$Z1172-2000)),IF($Z1172&lt;=5200,N(INDEX(客户自备加工筐明细!$F$4:$F$1203,$Z1172-4000))+N(INDEX(客户自备加工筐明细!$G$4:$G$1203,$Z1172-4000)),IF($Z1172&lt;=5800,IF(INDEX(次果筐明细!$G$4:$G$603,$Z1172-5200)=0,"",INDEX(次果筐明细!$G$4:$G$603,$Z1172-5200)),"")))))</f>
        <v/>
      </c>
      <c r="I1172" s="24" t="str">
        <f>IF($Z1172="","",IF($Z1172&lt;=2000,IF(INDEX(包装物料出入库明细!$G$4:$G$2003,$Z1172-0)=0,"",INDEX(包装物料出入库明细!$G$4:$G$2003,$Z1172-0)),IF($Z1172&lt;=4000,"个",IF($Z1172&lt;=5200,"个",IF($Z1172&lt;=5800,"个","")))))</f>
        <v/>
      </c>
      <c r="J1172" s="30" t="str">
        <f t="shared" si="55"/>
        <v/>
      </c>
      <c r="K1172" s="30" t="str">
        <f>IF($Z1172="","",IF($Z1172&lt;=2000,IF(INDEX(包装物料出入库明细!$N$4:$N$2003,$Z1172-0)=0,"",INDEX(包装物料出入库明细!$N$4:$N$2003,$Z1172-0)),IF($Z1172&lt;=4000,IF(INDEX(周转筐出入库明细!$P$4:$P$2004,$Z1172-2000)=0,"",INDEX(周转筐出入库明细!$P$4:$P$2004,$Z1172-2000)),IF($Z1172&lt;=5200,"",IF($Z1172&lt;=5800,N(INDEX(次果筐明细!$L$4:$L$603,$Z1172-5200))+N(INDEX(次果筐明细!$J$4:$J$603,$Z1172-5200)),"")))))</f>
        <v/>
      </c>
      <c r="L1172" s="24" t="str">
        <f>IF($Z1172="","",IF($Z1172&lt;=2000,IF(INDEX(包装物料出入库明细!$P$4:$P$2003,$Z1172-0)=0,"",INDEX(包装物料出入库明细!$P$4:$P$2003,$Z1172-0)),IF($Z1172&lt;=4000,IF(INDEX(周转筐出入库明细!$Q$4:$Q$2004,$Z1172-2000)=0,"",INDEX(周转筐出入库明细!$Q$4:$Q$2004,$Z1172-2000)),IF($Z1172&lt;=5200,"",IF($Z1172&lt;=5800,IF(INDEX(次果筐明细!$M$4:$M$603,$Z1172-5200)=0,"",INDEX(次果筐明细!$M$4:$M$603,$Z1172-5200)),"")))))</f>
        <v/>
      </c>
      <c r="M1172" s="37" t="str">
        <f>IF($Z1172="","",IF($Z1172&lt;=2000,IF(INDEX(包装物料出入库明细!$R$4:$R$2003,$Z1172-0)=0,"",INDEX(包装物料出入库明细!$R$4:$R$2003,$Z1172-0)),IF($Z1172&lt;=4000,IF(INDEX(周转筐出入库明细!$W$4:$W$2004,$Z1172-2000)=0,"",INDEX(周转筐出入库明细!$W$4:$W$2004,$Z1172-2000)),IF($Z1172&lt;=5200,IF(INDEX(客户自备加工筐明细!$L$4:$L$1203,$Z1172-4000)=0,"",INDEX(客户自备加工筐明细!$L$4:$L$1203,$Z1172-4000)),IF($Z1172&lt;=5800,IF(INDEX(次果筐明细!$P$4:$P$603,$Z1172-5200)=0,"",INDEX(次果筐明细!$P$4:$P$603,$Z1172-5200)),"")))))</f>
        <v/>
      </c>
      <c r="N1172" s="16" t="str">
        <f>IF($Z1172="","",IF($Z1172&lt;=2000,"",IF($Z1172&lt;=4000,IF(INDEX(周转筐出入库明细!$D$4:$D$2004,$Z1172-2000)=0,"",INDEX(周转筐出入库明细!$D$4:$D$2004,$Z1172-2000)),IF($Z1172&lt;=5200,IF(INDEX(客户自备加工筐明细!$C$4:$C$1203,$Z1172-4000)=0,"",INDEX(客户自备加工筐明细!$C$4:$C$1203,$Z1172-4000)),IF($Z1172&lt;=5800,IF(INDEX(次果筐明细!$D$4:$D$603,$Z1172-5200)=0,"",INDEX(次果筐明细!$D$4:$D$603,$Z1172-5200)),"")))))</f>
        <v/>
      </c>
      <c r="O1172" s="40" t="str">
        <f>IF($Z1172="","",IF($Z1172&lt;=2000,"",IF($Z1172&lt;=4000,IF(N(INDEX(周转筐出入库明细!$J$4:$J$2004,$Z1172-2000))+N(INDEX(周转筐出入库明细!$K$4:$K$2004,$Z1172-2000))=0,"",N(INDEX(周转筐出入库明细!$J$4:$J$2004,$Z1172-2000))+N(INDEX(周转筐出入库明细!$K$4:$K$2004,$Z1172-2000))),IF($Z1172&lt;=5200,IF(N(INDEX(客户自备加工筐明细!$G$4:$G$1203,$Z1172-4000))=0,"",N(INDEX(客户自备加工筐明细!$G$4:$G$1203,$Z1172-4000))),IF($Z1172&lt;=5800,IF(ISNUMBER(SEARCH("退",INDEX(次果筐明细!$F$4:$F$603,$Z1172-5200)&amp;"")),"",IF(N(INDEX(次果筐明细!$G$4:$G$603,$Z1172-5200))=0,"",N(INDEX(次果筐明细!$G$4:$G$603,$Z1172-5200)))),"")))))</f>
        <v/>
      </c>
      <c r="P1172" s="40" t="str">
        <f>IF($Z1172="","",IF($Z1172&lt;=2000,"",IF($Z1172&lt;=4000,IF(N(INDEX(周转筐出入库明细!$I$4:$I$2004,$Z1172-2000))=0,"",N(INDEX(周转筐出入库明细!$I$4:$I$2004,$Z1172-2000))),IF($Z1172&lt;=5200,"",IF($Z1172&lt;=5800,IF(ISNUMBER(SEARCH("退",INDEX(次果筐明细!$F$4:$F$603,$Z1172-5200)&amp;"")),IF(N(INDEX(次果筐明细!$G$4:$G$603,$Z1172-5200))=0,"",N(INDEX(次果筐明细!$G$4:$G$603,$Z1172-5200))),""),"")))))</f>
        <v/>
      </c>
      <c r="Q1172" s="40" t="str">
        <f>IF($Z1172="","",IF($Z1172&lt;=2000,"",IF($Z1172&lt;=4000,IF(N(INDEX(周转筐出入库明细!$H$4:$H$2004,$Z1172-2000))=0,"",N(INDEX(周转筐出入库明细!$H$4:$H$2004,$Z1172-2000))),IF($Z1172&lt;=5200,IF(N(INDEX(客户自备加工筐明细!$F$4:$F$1203,$Z1172-4000))=0,"",N(INDEX(客户自备加工筐明细!$F$4:$F$1203,$Z1172-4000))),IF($Z1172&lt;=5800,"","")))))</f>
        <v/>
      </c>
      <c r="R1172" s="16" t="str">
        <f>IF($Z1172="","",IF($Z1172&lt;=2000,IF(INDEX(包装物料出入库明细!$O$4:$O$2003,$Z1172-0)=0,"",INDEX(包装物料出入库明细!$O$4:$O$2003,$Z1172-0)),IF($Z1172&lt;=4000,IF(INDEX(周转筐出入库明细!$M$4:$M$2004,$Z1172-2000)=0,"",INDEX(周转筐出入库明细!$M$4:$M$2004,$Z1172-2000)),IF($Z1172&lt;=5200,IF(INDEX(客户自备加工筐明细!$H$4:$H$1203,$Z1172-4000)=0,"",INDEX(客户自备加工筐明细!$H$4:$H$1203,$Z1172-4000)),IF($Z1172&lt;=5800,IF(INDEX(次果筐明细!$H$4:$H$603,$Z1172-5200)=0,"",INDEX(次果筐明细!$H$4:$H$603,$Z1172-5200)),"")))))</f>
        <v/>
      </c>
      <c r="S1172" s="22" t="str">
        <f t="shared" si="56"/>
        <v/>
      </c>
      <c r="Z1172" s="10" t="str">
        <f>IFERROR(MATCH(ROW()-3,_自动清单!$CQ$4:$CQ$5803,0),"")</f>
        <v/>
      </c>
    </row>
    <row r="1173" spans="1:26">
      <c r="A1173" s="24" t="str">
        <f t="shared" si="54"/>
        <v/>
      </c>
      <c r="B1173" s="38" t="str">
        <f>IF($Z1173="","",IF($Z1173&lt;=2000,IF(INDEX(包装物料出入库明细!$B$4:$B$2003,$Z1173-0)=0,"",INDEX(包装物料出入库明细!$B$4:$B$2003,$Z1173-0)),IF($Z1173&lt;=4000,IF(INDEX(周转筐出入库明细!$B$4:$B$2004,$Z1173-2000)=0,"",INDEX(周转筐出入库明细!$B$4:$B$2004,$Z1173-2000)),IF($Z1173&lt;=5200,IF(INDEX(客户自备加工筐明细!$B$4:$B$1203,$Z1173-4000)=0,"",INDEX(客户自备加工筐明细!$B$4:$B$1203,$Z1173-4000)),IF($Z1173&lt;=5800,IF(INDEX(次果筐明细!$B$4:$B$603,$Z1173-5200)=0,"",INDEX(次果筐明细!$B$4:$B$603,$Z1173-5200)),"")))))</f>
        <v/>
      </c>
      <c r="C1173" s="37" t="str">
        <f>IF($Z1173="","",IF($Z1173&lt;=2000,IF(INDEX(包装物料出入库明细!$D$4:$D$2003,$Z1173-0)=0,"",INDEX(包装物料出入库明细!$D$4:$D$2003,$Z1173-0)),IF($Z1173&lt;=4000,IF(INDEX(周转筐出入库明细!$C$4:$C$2004,$Z1173-2000)=0,"",INDEX(周转筐出入库明细!$C$4:$C$2004,$Z1173-2000)),IF($Z1173&lt;=5200,IF(INDEX(客户自备加工筐明细!$E$4:$E$1203,$Z1173-4000)=0,"",INDEX(客户自备加工筐明细!$E$4:$E$1203,$Z1173-4000)),IF($Z1173&lt;=5800,IF(INDEX(次果筐明细!$C$4:$C$603,$Z1173-5200)=0,"",INDEX(次果筐明细!$C$4:$C$603,$Z1173-5200)),"")))))</f>
        <v/>
      </c>
      <c r="D1173" s="37" t="str">
        <f>IF($Z1173="","",IF($Z1173&lt;=2000,"包装物料－"&amp;INDEX(包装物料出入库明细!$H$4:$H$2003,$Z1173-0),IF($Z1173&lt;=4000,"周转筐－"&amp;INDEX(周转筐出入库明细!$F$4:$F$2004,$Z1173-2000),IF($Z1173&lt;=5200,"客户自备筐－"&amp;INDEX(客户自备加工筐明细!$J$4:$J$1203,$Z1173-4000),IF($Z1173&lt;=5800,"次果筐/托盘－"&amp;INDEX(次果筐明细!$F$4:$F$603,$Z1173-5200),"")))))</f>
        <v/>
      </c>
      <c r="E1173" s="24" t="str">
        <f>IF($Z1173="","",IF($Z1173&lt;=2000,IF(INDEX(包装物料出入库明细!$C$4:$C$2003,$Z1173-0)=0,"",INDEX(包装物料出入库明细!$C$4:$C$2003,$Z1173-0)),IF($Z1173&lt;=4000,IF(INDEX(周转筐出入库明细!$E$4:$E$2004,$Z1173-2000)=0,"",INDEX(周转筐出入库明细!$E$4:$E$2004,$Z1173-2000)),IF($Z1173&lt;=5200,IF(INDEX(客户自备加工筐明细!$D$4:$D$1203,$Z1173-4000)=0,"",INDEX(客户自备加工筐明细!$D$4:$D$1203,$Z1173-4000)),IF($Z1173&lt;=5800,IF(INDEX(次果筐明细!$E$4:$E$603,$Z1173-5200)=0,"",INDEX(次果筐明细!$E$4:$E$603,$Z1173-5200)),"")))))</f>
        <v/>
      </c>
      <c r="F1173" s="24" t="str">
        <f>IF($Z1173="","",IF($Z1173&lt;=2000,IF(INDEX(包装物料出入库明细!$E$4:$E$2003,$Z1173-0)=0,"",INDEX(包装物料出入库明细!$E$4:$E$2003,$Z1173-0)),IF($Z1173&lt;=4000,IF(INDEX(周转筐出入库明细!$D$4:$D$2004,$Z1173-2000)=0,"",INDEX(周转筐出入库明细!$D$4:$D$2004,$Z1173-2000)),IF($Z1173&lt;=5200,IF(INDEX(客户自备加工筐明细!$C$4:$C$1203,$Z1173-4000)=0,"",INDEX(客户自备加工筐明细!$C$4:$C$1203,$Z1173-4000)),IF($Z1173&lt;=5800,IF(INDEX(次果筐明细!$D$4:$D$603,$Z1173-5200)=0,"",INDEX(次果筐明细!$D$4:$D$603,$Z1173-5200)),"")))))</f>
        <v/>
      </c>
      <c r="G1173" s="24" t="str">
        <f>IF($Z1173="","",IF($Z1173&lt;=2000,IF(INDEX(包装物料出入库明细!$F$4:$F$2003,$Z1173-0)=0,"",INDEX(包装物料出入库明细!$F$4:$F$2003,$Z1173-0)),IF($Z1173&lt;=4000,"",IF($Z1173&lt;=5200,"",IF($Z1173&lt;=5800,"","")))))</f>
        <v/>
      </c>
      <c r="H1173" s="39" t="str">
        <f>IF($Z1173="","",IF($Z1173&lt;=2000,IF(INDEX(包装物料出入库明细!$L$4:$L$2003,$Z1173-0)=0,"",INDEX(包装物料出入库明细!$L$4:$L$2003,$Z1173-0)),IF($Z1173&lt;=4000,N(INDEX(周转筐出入库明细!$H$4:$H$2004,$Z1173-2000))+N(INDEX(周转筐出入库明细!$I$4:$I$2004,$Z1173-2000))+N(INDEX(周转筐出入库明细!$J$4:$J$2004,$Z1173-2000))+N(INDEX(周转筐出入库明细!$K$4:$K$2004,$Z1173-2000)),IF($Z1173&lt;=5200,N(INDEX(客户自备加工筐明细!$F$4:$F$1203,$Z1173-4000))+N(INDEX(客户自备加工筐明细!$G$4:$G$1203,$Z1173-4000)),IF($Z1173&lt;=5800,IF(INDEX(次果筐明细!$G$4:$G$603,$Z1173-5200)=0,"",INDEX(次果筐明细!$G$4:$G$603,$Z1173-5200)),"")))))</f>
        <v/>
      </c>
      <c r="I1173" s="24" t="str">
        <f>IF($Z1173="","",IF($Z1173&lt;=2000,IF(INDEX(包装物料出入库明细!$G$4:$G$2003,$Z1173-0)=0,"",INDEX(包装物料出入库明细!$G$4:$G$2003,$Z1173-0)),IF($Z1173&lt;=4000,"个",IF($Z1173&lt;=5200,"个",IF($Z1173&lt;=5800,"个","")))))</f>
        <v/>
      </c>
      <c r="J1173" s="30" t="str">
        <f t="shared" si="55"/>
        <v/>
      </c>
      <c r="K1173" s="30" t="str">
        <f>IF($Z1173="","",IF($Z1173&lt;=2000,IF(INDEX(包装物料出入库明细!$N$4:$N$2003,$Z1173-0)=0,"",INDEX(包装物料出入库明细!$N$4:$N$2003,$Z1173-0)),IF($Z1173&lt;=4000,IF(INDEX(周转筐出入库明细!$P$4:$P$2004,$Z1173-2000)=0,"",INDEX(周转筐出入库明细!$P$4:$P$2004,$Z1173-2000)),IF($Z1173&lt;=5200,"",IF($Z1173&lt;=5800,N(INDEX(次果筐明细!$L$4:$L$603,$Z1173-5200))+N(INDEX(次果筐明细!$J$4:$J$603,$Z1173-5200)),"")))))</f>
        <v/>
      </c>
      <c r="L1173" s="24" t="str">
        <f>IF($Z1173="","",IF($Z1173&lt;=2000,IF(INDEX(包装物料出入库明细!$P$4:$P$2003,$Z1173-0)=0,"",INDEX(包装物料出入库明细!$P$4:$P$2003,$Z1173-0)),IF($Z1173&lt;=4000,IF(INDEX(周转筐出入库明细!$Q$4:$Q$2004,$Z1173-2000)=0,"",INDEX(周转筐出入库明细!$Q$4:$Q$2004,$Z1173-2000)),IF($Z1173&lt;=5200,"",IF($Z1173&lt;=5800,IF(INDEX(次果筐明细!$M$4:$M$603,$Z1173-5200)=0,"",INDEX(次果筐明细!$M$4:$M$603,$Z1173-5200)),"")))))</f>
        <v/>
      </c>
      <c r="M1173" s="37" t="str">
        <f>IF($Z1173="","",IF($Z1173&lt;=2000,IF(INDEX(包装物料出入库明细!$R$4:$R$2003,$Z1173-0)=0,"",INDEX(包装物料出入库明细!$R$4:$R$2003,$Z1173-0)),IF($Z1173&lt;=4000,IF(INDEX(周转筐出入库明细!$W$4:$W$2004,$Z1173-2000)=0,"",INDEX(周转筐出入库明细!$W$4:$W$2004,$Z1173-2000)),IF($Z1173&lt;=5200,IF(INDEX(客户自备加工筐明细!$L$4:$L$1203,$Z1173-4000)=0,"",INDEX(客户自备加工筐明细!$L$4:$L$1203,$Z1173-4000)),IF($Z1173&lt;=5800,IF(INDEX(次果筐明细!$P$4:$P$603,$Z1173-5200)=0,"",INDEX(次果筐明细!$P$4:$P$603,$Z1173-5200)),"")))))</f>
        <v/>
      </c>
      <c r="N1173" s="16" t="str">
        <f>IF($Z1173="","",IF($Z1173&lt;=2000,"",IF($Z1173&lt;=4000,IF(INDEX(周转筐出入库明细!$D$4:$D$2004,$Z1173-2000)=0,"",INDEX(周转筐出入库明细!$D$4:$D$2004,$Z1173-2000)),IF($Z1173&lt;=5200,IF(INDEX(客户自备加工筐明细!$C$4:$C$1203,$Z1173-4000)=0,"",INDEX(客户自备加工筐明细!$C$4:$C$1203,$Z1173-4000)),IF($Z1173&lt;=5800,IF(INDEX(次果筐明细!$D$4:$D$603,$Z1173-5200)=0,"",INDEX(次果筐明细!$D$4:$D$603,$Z1173-5200)),"")))))</f>
        <v/>
      </c>
      <c r="O1173" s="40" t="str">
        <f>IF($Z1173="","",IF($Z1173&lt;=2000,"",IF($Z1173&lt;=4000,IF(N(INDEX(周转筐出入库明细!$J$4:$J$2004,$Z1173-2000))+N(INDEX(周转筐出入库明细!$K$4:$K$2004,$Z1173-2000))=0,"",N(INDEX(周转筐出入库明细!$J$4:$J$2004,$Z1173-2000))+N(INDEX(周转筐出入库明细!$K$4:$K$2004,$Z1173-2000))),IF($Z1173&lt;=5200,IF(N(INDEX(客户自备加工筐明细!$G$4:$G$1203,$Z1173-4000))=0,"",N(INDEX(客户自备加工筐明细!$G$4:$G$1203,$Z1173-4000))),IF($Z1173&lt;=5800,IF(ISNUMBER(SEARCH("退",INDEX(次果筐明细!$F$4:$F$603,$Z1173-5200)&amp;"")),"",IF(N(INDEX(次果筐明细!$G$4:$G$603,$Z1173-5200))=0,"",N(INDEX(次果筐明细!$G$4:$G$603,$Z1173-5200)))),"")))))</f>
        <v/>
      </c>
      <c r="P1173" s="40" t="str">
        <f>IF($Z1173="","",IF($Z1173&lt;=2000,"",IF($Z1173&lt;=4000,IF(N(INDEX(周转筐出入库明细!$I$4:$I$2004,$Z1173-2000))=0,"",N(INDEX(周转筐出入库明细!$I$4:$I$2004,$Z1173-2000))),IF($Z1173&lt;=5200,"",IF($Z1173&lt;=5800,IF(ISNUMBER(SEARCH("退",INDEX(次果筐明细!$F$4:$F$603,$Z1173-5200)&amp;"")),IF(N(INDEX(次果筐明细!$G$4:$G$603,$Z1173-5200))=0,"",N(INDEX(次果筐明细!$G$4:$G$603,$Z1173-5200))),""),"")))))</f>
        <v/>
      </c>
      <c r="Q1173" s="40" t="str">
        <f>IF($Z1173="","",IF($Z1173&lt;=2000,"",IF($Z1173&lt;=4000,IF(N(INDEX(周转筐出入库明细!$H$4:$H$2004,$Z1173-2000))=0,"",N(INDEX(周转筐出入库明细!$H$4:$H$2004,$Z1173-2000))),IF($Z1173&lt;=5200,IF(N(INDEX(客户自备加工筐明细!$F$4:$F$1203,$Z1173-4000))=0,"",N(INDEX(客户自备加工筐明细!$F$4:$F$1203,$Z1173-4000))),IF($Z1173&lt;=5800,"","")))))</f>
        <v/>
      </c>
      <c r="R1173" s="16" t="str">
        <f>IF($Z1173="","",IF($Z1173&lt;=2000,IF(INDEX(包装物料出入库明细!$O$4:$O$2003,$Z1173-0)=0,"",INDEX(包装物料出入库明细!$O$4:$O$2003,$Z1173-0)),IF($Z1173&lt;=4000,IF(INDEX(周转筐出入库明细!$M$4:$M$2004,$Z1173-2000)=0,"",INDEX(周转筐出入库明细!$M$4:$M$2004,$Z1173-2000)),IF($Z1173&lt;=5200,IF(INDEX(客户自备加工筐明细!$H$4:$H$1203,$Z1173-4000)=0,"",INDEX(客户自备加工筐明细!$H$4:$H$1203,$Z1173-4000)),IF($Z1173&lt;=5800,IF(INDEX(次果筐明细!$H$4:$H$603,$Z1173-5200)=0,"",INDEX(次果筐明细!$H$4:$H$603,$Z1173-5200)),"")))))</f>
        <v/>
      </c>
      <c r="S1173" s="22" t="str">
        <f t="shared" si="56"/>
        <v/>
      </c>
      <c r="Z1173" s="10" t="str">
        <f>IFERROR(MATCH(ROW()-3,_自动清单!$CQ$4:$CQ$5803,0),"")</f>
        <v/>
      </c>
    </row>
    <row r="1174" spans="1:26">
      <c r="A1174" s="24" t="str">
        <f t="shared" si="54"/>
        <v/>
      </c>
      <c r="B1174" s="38" t="str">
        <f>IF($Z1174="","",IF($Z1174&lt;=2000,IF(INDEX(包装物料出入库明细!$B$4:$B$2003,$Z1174-0)=0,"",INDEX(包装物料出入库明细!$B$4:$B$2003,$Z1174-0)),IF($Z1174&lt;=4000,IF(INDEX(周转筐出入库明细!$B$4:$B$2004,$Z1174-2000)=0,"",INDEX(周转筐出入库明细!$B$4:$B$2004,$Z1174-2000)),IF($Z1174&lt;=5200,IF(INDEX(客户自备加工筐明细!$B$4:$B$1203,$Z1174-4000)=0,"",INDEX(客户自备加工筐明细!$B$4:$B$1203,$Z1174-4000)),IF($Z1174&lt;=5800,IF(INDEX(次果筐明细!$B$4:$B$603,$Z1174-5200)=0,"",INDEX(次果筐明细!$B$4:$B$603,$Z1174-5200)),"")))))</f>
        <v/>
      </c>
      <c r="C1174" s="37" t="str">
        <f>IF($Z1174="","",IF($Z1174&lt;=2000,IF(INDEX(包装物料出入库明细!$D$4:$D$2003,$Z1174-0)=0,"",INDEX(包装物料出入库明细!$D$4:$D$2003,$Z1174-0)),IF($Z1174&lt;=4000,IF(INDEX(周转筐出入库明细!$C$4:$C$2004,$Z1174-2000)=0,"",INDEX(周转筐出入库明细!$C$4:$C$2004,$Z1174-2000)),IF($Z1174&lt;=5200,IF(INDEX(客户自备加工筐明细!$E$4:$E$1203,$Z1174-4000)=0,"",INDEX(客户自备加工筐明细!$E$4:$E$1203,$Z1174-4000)),IF($Z1174&lt;=5800,IF(INDEX(次果筐明细!$C$4:$C$603,$Z1174-5200)=0,"",INDEX(次果筐明细!$C$4:$C$603,$Z1174-5200)),"")))))</f>
        <v/>
      </c>
      <c r="D1174" s="37" t="str">
        <f>IF($Z1174="","",IF($Z1174&lt;=2000,"包装物料－"&amp;INDEX(包装物料出入库明细!$H$4:$H$2003,$Z1174-0),IF($Z1174&lt;=4000,"周转筐－"&amp;INDEX(周转筐出入库明细!$F$4:$F$2004,$Z1174-2000),IF($Z1174&lt;=5200,"客户自备筐－"&amp;INDEX(客户自备加工筐明细!$J$4:$J$1203,$Z1174-4000),IF($Z1174&lt;=5800,"次果筐/托盘－"&amp;INDEX(次果筐明细!$F$4:$F$603,$Z1174-5200),"")))))</f>
        <v/>
      </c>
      <c r="E1174" s="24" t="str">
        <f>IF($Z1174="","",IF($Z1174&lt;=2000,IF(INDEX(包装物料出入库明细!$C$4:$C$2003,$Z1174-0)=0,"",INDEX(包装物料出入库明细!$C$4:$C$2003,$Z1174-0)),IF($Z1174&lt;=4000,IF(INDEX(周转筐出入库明细!$E$4:$E$2004,$Z1174-2000)=0,"",INDEX(周转筐出入库明细!$E$4:$E$2004,$Z1174-2000)),IF($Z1174&lt;=5200,IF(INDEX(客户自备加工筐明细!$D$4:$D$1203,$Z1174-4000)=0,"",INDEX(客户自备加工筐明细!$D$4:$D$1203,$Z1174-4000)),IF($Z1174&lt;=5800,IF(INDEX(次果筐明细!$E$4:$E$603,$Z1174-5200)=0,"",INDEX(次果筐明细!$E$4:$E$603,$Z1174-5200)),"")))))</f>
        <v/>
      </c>
      <c r="F1174" s="24" t="str">
        <f>IF($Z1174="","",IF($Z1174&lt;=2000,IF(INDEX(包装物料出入库明细!$E$4:$E$2003,$Z1174-0)=0,"",INDEX(包装物料出入库明细!$E$4:$E$2003,$Z1174-0)),IF($Z1174&lt;=4000,IF(INDEX(周转筐出入库明细!$D$4:$D$2004,$Z1174-2000)=0,"",INDEX(周转筐出入库明细!$D$4:$D$2004,$Z1174-2000)),IF($Z1174&lt;=5200,IF(INDEX(客户自备加工筐明细!$C$4:$C$1203,$Z1174-4000)=0,"",INDEX(客户自备加工筐明细!$C$4:$C$1203,$Z1174-4000)),IF($Z1174&lt;=5800,IF(INDEX(次果筐明细!$D$4:$D$603,$Z1174-5200)=0,"",INDEX(次果筐明细!$D$4:$D$603,$Z1174-5200)),"")))))</f>
        <v/>
      </c>
      <c r="G1174" s="24" t="str">
        <f>IF($Z1174="","",IF($Z1174&lt;=2000,IF(INDEX(包装物料出入库明细!$F$4:$F$2003,$Z1174-0)=0,"",INDEX(包装物料出入库明细!$F$4:$F$2003,$Z1174-0)),IF($Z1174&lt;=4000,"",IF($Z1174&lt;=5200,"",IF($Z1174&lt;=5800,"","")))))</f>
        <v/>
      </c>
      <c r="H1174" s="39" t="str">
        <f>IF($Z1174="","",IF($Z1174&lt;=2000,IF(INDEX(包装物料出入库明细!$L$4:$L$2003,$Z1174-0)=0,"",INDEX(包装物料出入库明细!$L$4:$L$2003,$Z1174-0)),IF($Z1174&lt;=4000,N(INDEX(周转筐出入库明细!$H$4:$H$2004,$Z1174-2000))+N(INDEX(周转筐出入库明细!$I$4:$I$2004,$Z1174-2000))+N(INDEX(周转筐出入库明细!$J$4:$J$2004,$Z1174-2000))+N(INDEX(周转筐出入库明细!$K$4:$K$2004,$Z1174-2000)),IF($Z1174&lt;=5200,N(INDEX(客户自备加工筐明细!$F$4:$F$1203,$Z1174-4000))+N(INDEX(客户自备加工筐明细!$G$4:$G$1203,$Z1174-4000)),IF($Z1174&lt;=5800,IF(INDEX(次果筐明细!$G$4:$G$603,$Z1174-5200)=0,"",INDEX(次果筐明细!$G$4:$G$603,$Z1174-5200)),"")))))</f>
        <v/>
      </c>
      <c r="I1174" s="24" t="str">
        <f>IF($Z1174="","",IF($Z1174&lt;=2000,IF(INDEX(包装物料出入库明细!$G$4:$G$2003,$Z1174-0)=0,"",INDEX(包装物料出入库明细!$G$4:$G$2003,$Z1174-0)),IF($Z1174&lt;=4000,"个",IF($Z1174&lt;=5200,"个",IF($Z1174&lt;=5800,"个","")))))</f>
        <v/>
      </c>
      <c r="J1174" s="30" t="str">
        <f t="shared" si="55"/>
        <v/>
      </c>
      <c r="K1174" s="30" t="str">
        <f>IF($Z1174="","",IF($Z1174&lt;=2000,IF(INDEX(包装物料出入库明细!$N$4:$N$2003,$Z1174-0)=0,"",INDEX(包装物料出入库明细!$N$4:$N$2003,$Z1174-0)),IF($Z1174&lt;=4000,IF(INDEX(周转筐出入库明细!$P$4:$P$2004,$Z1174-2000)=0,"",INDEX(周转筐出入库明细!$P$4:$P$2004,$Z1174-2000)),IF($Z1174&lt;=5200,"",IF($Z1174&lt;=5800,N(INDEX(次果筐明细!$L$4:$L$603,$Z1174-5200))+N(INDEX(次果筐明细!$J$4:$J$603,$Z1174-5200)),"")))))</f>
        <v/>
      </c>
      <c r="L1174" s="24" t="str">
        <f>IF($Z1174="","",IF($Z1174&lt;=2000,IF(INDEX(包装物料出入库明细!$P$4:$P$2003,$Z1174-0)=0,"",INDEX(包装物料出入库明细!$P$4:$P$2003,$Z1174-0)),IF($Z1174&lt;=4000,IF(INDEX(周转筐出入库明细!$Q$4:$Q$2004,$Z1174-2000)=0,"",INDEX(周转筐出入库明细!$Q$4:$Q$2004,$Z1174-2000)),IF($Z1174&lt;=5200,"",IF($Z1174&lt;=5800,IF(INDEX(次果筐明细!$M$4:$M$603,$Z1174-5200)=0,"",INDEX(次果筐明细!$M$4:$M$603,$Z1174-5200)),"")))))</f>
        <v/>
      </c>
      <c r="M1174" s="37" t="str">
        <f>IF($Z1174="","",IF($Z1174&lt;=2000,IF(INDEX(包装物料出入库明细!$R$4:$R$2003,$Z1174-0)=0,"",INDEX(包装物料出入库明细!$R$4:$R$2003,$Z1174-0)),IF($Z1174&lt;=4000,IF(INDEX(周转筐出入库明细!$W$4:$W$2004,$Z1174-2000)=0,"",INDEX(周转筐出入库明细!$W$4:$W$2004,$Z1174-2000)),IF($Z1174&lt;=5200,IF(INDEX(客户自备加工筐明细!$L$4:$L$1203,$Z1174-4000)=0,"",INDEX(客户自备加工筐明细!$L$4:$L$1203,$Z1174-4000)),IF($Z1174&lt;=5800,IF(INDEX(次果筐明细!$P$4:$P$603,$Z1174-5200)=0,"",INDEX(次果筐明细!$P$4:$P$603,$Z1174-5200)),"")))))</f>
        <v/>
      </c>
      <c r="N1174" s="16" t="str">
        <f>IF($Z1174="","",IF($Z1174&lt;=2000,"",IF($Z1174&lt;=4000,IF(INDEX(周转筐出入库明细!$D$4:$D$2004,$Z1174-2000)=0,"",INDEX(周转筐出入库明细!$D$4:$D$2004,$Z1174-2000)),IF($Z1174&lt;=5200,IF(INDEX(客户自备加工筐明细!$C$4:$C$1203,$Z1174-4000)=0,"",INDEX(客户自备加工筐明细!$C$4:$C$1203,$Z1174-4000)),IF($Z1174&lt;=5800,IF(INDEX(次果筐明细!$D$4:$D$603,$Z1174-5200)=0,"",INDEX(次果筐明细!$D$4:$D$603,$Z1174-5200)),"")))))</f>
        <v/>
      </c>
      <c r="O1174" s="40" t="str">
        <f>IF($Z1174="","",IF($Z1174&lt;=2000,"",IF($Z1174&lt;=4000,IF(N(INDEX(周转筐出入库明细!$J$4:$J$2004,$Z1174-2000))+N(INDEX(周转筐出入库明细!$K$4:$K$2004,$Z1174-2000))=0,"",N(INDEX(周转筐出入库明细!$J$4:$J$2004,$Z1174-2000))+N(INDEX(周转筐出入库明细!$K$4:$K$2004,$Z1174-2000))),IF($Z1174&lt;=5200,IF(N(INDEX(客户自备加工筐明细!$G$4:$G$1203,$Z1174-4000))=0,"",N(INDEX(客户自备加工筐明细!$G$4:$G$1203,$Z1174-4000))),IF($Z1174&lt;=5800,IF(ISNUMBER(SEARCH("退",INDEX(次果筐明细!$F$4:$F$603,$Z1174-5200)&amp;"")),"",IF(N(INDEX(次果筐明细!$G$4:$G$603,$Z1174-5200))=0,"",N(INDEX(次果筐明细!$G$4:$G$603,$Z1174-5200)))),"")))))</f>
        <v/>
      </c>
      <c r="P1174" s="40" t="str">
        <f>IF($Z1174="","",IF($Z1174&lt;=2000,"",IF($Z1174&lt;=4000,IF(N(INDEX(周转筐出入库明细!$I$4:$I$2004,$Z1174-2000))=0,"",N(INDEX(周转筐出入库明细!$I$4:$I$2004,$Z1174-2000))),IF($Z1174&lt;=5200,"",IF($Z1174&lt;=5800,IF(ISNUMBER(SEARCH("退",INDEX(次果筐明细!$F$4:$F$603,$Z1174-5200)&amp;"")),IF(N(INDEX(次果筐明细!$G$4:$G$603,$Z1174-5200))=0,"",N(INDEX(次果筐明细!$G$4:$G$603,$Z1174-5200))),""),"")))))</f>
        <v/>
      </c>
      <c r="Q1174" s="40" t="str">
        <f>IF($Z1174="","",IF($Z1174&lt;=2000,"",IF($Z1174&lt;=4000,IF(N(INDEX(周转筐出入库明细!$H$4:$H$2004,$Z1174-2000))=0,"",N(INDEX(周转筐出入库明细!$H$4:$H$2004,$Z1174-2000))),IF($Z1174&lt;=5200,IF(N(INDEX(客户自备加工筐明细!$F$4:$F$1203,$Z1174-4000))=0,"",N(INDEX(客户自备加工筐明细!$F$4:$F$1203,$Z1174-4000))),IF($Z1174&lt;=5800,"","")))))</f>
        <v/>
      </c>
      <c r="R1174" s="16" t="str">
        <f>IF($Z1174="","",IF($Z1174&lt;=2000,IF(INDEX(包装物料出入库明细!$O$4:$O$2003,$Z1174-0)=0,"",INDEX(包装物料出入库明细!$O$4:$O$2003,$Z1174-0)),IF($Z1174&lt;=4000,IF(INDEX(周转筐出入库明细!$M$4:$M$2004,$Z1174-2000)=0,"",INDEX(周转筐出入库明细!$M$4:$M$2004,$Z1174-2000)),IF($Z1174&lt;=5200,IF(INDEX(客户自备加工筐明细!$H$4:$H$1203,$Z1174-4000)=0,"",INDEX(客户自备加工筐明细!$H$4:$H$1203,$Z1174-4000)),IF($Z1174&lt;=5800,IF(INDEX(次果筐明细!$H$4:$H$603,$Z1174-5200)=0,"",INDEX(次果筐明细!$H$4:$H$603,$Z1174-5200)),"")))))</f>
        <v/>
      </c>
      <c r="S1174" s="22" t="str">
        <f t="shared" si="56"/>
        <v/>
      </c>
      <c r="Z1174" s="10" t="str">
        <f>IFERROR(MATCH(ROW()-3,_自动清单!$CQ$4:$CQ$5803,0),"")</f>
        <v/>
      </c>
    </row>
    <row r="1175" spans="1:26">
      <c r="A1175" s="24" t="str">
        <f t="shared" si="54"/>
        <v/>
      </c>
      <c r="B1175" s="38" t="str">
        <f>IF($Z1175="","",IF($Z1175&lt;=2000,IF(INDEX(包装物料出入库明细!$B$4:$B$2003,$Z1175-0)=0,"",INDEX(包装物料出入库明细!$B$4:$B$2003,$Z1175-0)),IF($Z1175&lt;=4000,IF(INDEX(周转筐出入库明细!$B$4:$B$2004,$Z1175-2000)=0,"",INDEX(周转筐出入库明细!$B$4:$B$2004,$Z1175-2000)),IF($Z1175&lt;=5200,IF(INDEX(客户自备加工筐明细!$B$4:$B$1203,$Z1175-4000)=0,"",INDEX(客户自备加工筐明细!$B$4:$B$1203,$Z1175-4000)),IF($Z1175&lt;=5800,IF(INDEX(次果筐明细!$B$4:$B$603,$Z1175-5200)=0,"",INDEX(次果筐明细!$B$4:$B$603,$Z1175-5200)),"")))))</f>
        <v/>
      </c>
      <c r="C1175" s="37" t="str">
        <f>IF($Z1175="","",IF($Z1175&lt;=2000,IF(INDEX(包装物料出入库明细!$D$4:$D$2003,$Z1175-0)=0,"",INDEX(包装物料出入库明细!$D$4:$D$2003,$Z1175-0)),IF($Z1175&lt;=4000,IF(INDEX(周转筐出入库明细!$C$4:$C$2004,$Z1175-2000)=0,"",INDEX(周转筐出入库明细!$C$4:$C$2004,$Z1175-2000)),IF($Z1175&lt;=5200,IF(INDEX(客户自备加工筐明细!$E$4:$E$1203,$Z1175-4000)=0,"",INDEX(客户自备加工筐明细!$E$4:$E$1203,$Z1175-4000)),IF($Z1175&lt;=5800,IF(INDEX(次果筐明细!$C$4:$C$603,$Z1175-5200)=0,"",INDEX(次果筐明细!$C$4:$C$603,$Z1175-5200)),"")))))</f>
        <v/>
      </c>
      <c r="D1175" s="37" t="str">
        <f>IF($Z1175="","",IF($Z1175&lt;=2000,"包装物料－"&amp;INDEX(包装物料出入库明细!$H$4:$H$2003,$Z1175-0),IF($Z1175&lt;=4000,"周转筐－"&amp;INDEX(周转筐出入库明细!$F$4:$F$2004,$Z1175-2000),IF($Z1175&lt;=5200,"客户自备筐－"&amp;INDEX(客户自备加工筐明细!$J$4:$J$1203,$Z1175-4000),IF($Z1175&lt;=5800,"次果筐/托盘－"&amp;INDEX(次果筐明细!$F$4:$F$603,$Z1175-5200),"")))))</f>
        <v/>
      </c>
      <c r="E1175" s="24" t="str">
        <f>IF($Z1175="","",IF($Z1175&lt;=2000,IF(INDEX(包装物料出入库明细!$C$4:$C$2003,$Z1175-0)=0,"",INDEX(包装物料出入库明细!$C$4:$C$2003,$Z1175-0)),IF($Z1175&lt;=4000,IF(INDEX(周转筐出入库明细!$E$4:$E$2004,$Z1175-2000)=0,"",INDEX(周转筐出入库明细!$E$4:$E$2004,$Z1175-2000)),IF($Z1175&lt;=5200,IF(INDEX(客户自备加工筐明细!$D$4:$D$1203,$Z1175-4000)=0,"",INDEX(客户自备加工筐明细!$D$4:$D$1203,$Z1175-4000)),IF($Z1175&lt;=5800,IF(INDEX(次果筐明细!$E$4:$E$603,$Z1175-5200)=0,"",INDEX(次果筐明细!$E$4:$E$603,$Z1175-5200)),"")))))</f>
        <v/>
      </c>
      <c r="F1175" s="24" t="str">
        <f>IF($Z1175="","",IF($Z1175&lt;=2000,IF(INDEX(包装物料出入库明细!$E$4:$E$2003,$Z1175-0)=0,"",INDEX(包装物料出入库明细!$E$4:$E$2003,$Z1175-0)),IF($Z1175&lt;=4000,IF(INDEX(周转筐出入库明细!$D$4:$D$2004,$Z1175-2000)=0,"",INDEX(周转筐出入库明细!$D$4:$D$2004,$Z1175-2000)),IF($Z1175&lt;=5200,IF(INDEX(客户自备加工筐明细!$C$4:$C$1203,$Z1175-4000)=0,"",INDEX(客户自备加工筐明细!$C$4:$C$1203,$Z1175-4000)),IF($Z1175&lt;=5800,IF(INDEX(次果筐明细!$D$4:$D$603,$Z1175-5200)=0,"",INDEX(次果筐明细!$D$4:$D$603,$Z1175-5200)),"")))))</f>
        <v/>
      </c>
      <c r="G1175" s="24" t="str">
        <f>IF($Z1175="","",IF($Z1175&lt;=2000,IF(INDEX(包装物料出入库明细!$F$4:$F$2003,$Z1175-0)=0,"",INDEX(包装物料出入库明细!$F$4:$F$2003,$Z1175-0)),IF($Z1175&lt;=4000,"",IF($Z1175&lt;=5200,"",IF($Z1175&lt;=5800,"","")))))</f>
        <v/>
      </c>
      <c r="H1175" s="39" t="str">
        <f>IF($Z1175="","",IF($Z1175&lt;=2000,IF(INDEX(包装物料出入库明细!$L$4:$L$2003,$Z1175-0)=0,"",INDEX(包装物料出入库明细!$L$4:$L$2003,$Z1175-0)),IF($Z1175&lt;=4000,N(INDEX(周转筐出入库明细!$H$4:$H$2004,$Z1175-2000))+N(INDEX(周转筐出入库明细!$I$4:$I$2004,$Z1175-2000))+N(INDEX(周转筐出入库明细!$J$4:$J$2004,$Z1175-2000))+N(INDEX(周转筐出入库明细!$K$4:$K$2004,$Z1175-2000)),IF($Z1175&lt;=5200,N(INDEX(客户自备加工筐明细!$F$4:$F$1203,$Z1175-4000))+N(INDEX(客户自备加工筐明细!$G$4:$G$1203,$Z1175-4000)),IF($Z1175&lt;=5800,IF(INDEX(次果筐明细!$G$4:$G$603,$Z1175-5200)=0,"",INDEX(次果筐明细!$G$4:$G$603,$Z1175-5200)),"")))))</f>
        <v/>
      </c>
      <c r="I1175" s="24" t="str">
        <f>IF($Z1175="","",IF($Z1175&lt;=2000,IF(INDEX(包装物料出入库明细!$G$4:$G$2003,$Z1175-0)=0,"",INDEX(包装物料出入库明细!$G$4:$G$2003,$Z1175-0)),IF($Z1175&lt;=4000,"个",IF($Z1175&lt;=5200,"个",IF($Z1175&lt;=5800,"个","")))))</f>
        <v/>
      </c>
      <c r="J1175" s="30" t="str">
        <f t="shared" si="55"/>
        <v/>
      </c>
      <c r="K1175" s="30" t="str">
        <f>IF($Z1175="","",IF($Z1175&lt;=2000,IF(INDEX(包装物料出入库明细!$N$4:$N$2003,$Z1175-0)=0,"",INDEX(包装物料出入库明细!$N$4:$N$2003,$Z1175-0)),IF($Z1175&lt;=4000,IF(INDEX(周转筐出入库明细!$P$4:$P$2004,$Z1175-2000)=0,"",INDEX(周转筐出入库明细!$P$4:$P$2004,$Z1175-2000)),IF($Z1175&lt;=5200,"",IF($Z1175&lt;=5800,N(INDEX(次果筐明细!$L$4:$L$603,$Z1175-5200))+N(INDEX(次果筐明细!$J$4:$J$603,$Z1175-5200)),"")))))</f>
        <v/>
      </c>
      <c r="L1175" s="24" t="str">
        <f>IF($Z1175="","",IF($Z1175&lt;=2000,IF(INDEX(包装物料出入库明细!$P$4:$P$2003,$Z1175-0)=0,"",INDEX(包装物料出入库明细!$P$4:$P$2003,$Z1175-0)),IF($Z1175&lt;=4000,IF(INDEX(周转筐出入库明细!$Q$4:$Q$2004,$Z1175-2000)=0,"",INDEX(周转筐出入库明细!$Q$4:$Q$2004,$Z1175-2000)),IF($Z1175&lt;=5200,"",IF($Z1175&lt;=5800,IF(INDEX(次果筐明细!$M$4:$M$603,$Z1175-5200)=0,"",INDEX(次果筐明细!$M$4:$M$603,$Z1175-5200)),"")))))</f>
        <v/>
      </c>
      <c r="M1175" s="37" t="str">
        <f>IF($Z1175="","",IF($Z1175&lt;=2000,IF(INDEX(包装物料出入库明细!$R$4:$R$2003,$Z1175-0)=0,"",INDEX(包装物料出入库明细!$R$4:$R$2003,$Z1175-0)),IF($Z1175&lt;=4000,IF(INDEX(周转筐出入库明细!$W$4:$W$2004,$Z1175-2000)=0,"",INDEX(周转筐出入库明细!$W$4:$W$2004,$Z1175-2000)),IF($Z1175&lt;=5200,IF(INDEX(客户自备加工筐明细!$L$4:$L$1203,$Z1175-4000)=0,"",INDEX(客户自备加工筐明细!$L$4:$L$1203,$Z1175-4000)),IF($Z1175&lt;=5800,IF(INDEX(次果筐明细!$P$4:$P$603,$Z1175-5200)=0,"",INDEX(次果筐明细!$P$4:$P$603,$Z1175-5200)),"")))))</f>
        <v/>
      </c>
      <c r="N1175" s="16" t="str">
        <f>IF($Z1175="","",IF($Z1175&lt;=2000,"",IF($Z1175&lt;=4000,IF(INDEX(周转筐出入库明细!$D$4:$D$2004,$Z1175-2000)=0,"",INDEX(周转筐出入库明细!$D$4:$D$2004,$Z1175-2000)),IF($Z1175&lt;=5200,IF(INDEX(客户自备加工筐明细!$C$4:$C$1203,$Z1175-4000)=0,"",INDEX(客户自备加工筐明细!$C$4:$C$1203,$Z1175-4000)),IF($Z1175&lt;=5800,IF(INDEX(次果筐明细!$D$4:$D$603,$Z1175-5200)=0,"",INDEX(次果筐明细!$D$4:$D$603,$Z1175-5200)),"")))))</f>
        <v/>
      </c>
      <c r="O1175" s="40" t="str">
        <f>IF($Z1175="","",IF($Z1175&lt;=2000,"",IF($Z1175&lt;=4000,IF(N(INDEX(周转筐出入库明细!$J$4:$J$2004,$Z1175-2000))+N(INDEX(周转筐出入库明细!$K$4:$K$2004,$Z1175-2000))=0,"",N(INDEX(周转筐出入库明细!$J$4:$J$2004,$Z1175-2000))+N(INDEX(周转筐出入库明细!$K$4:$K$2004,$Z1175-2000))),IF($Z1175&lt;=5200,IF(N(INDEX(客户自备加工筐明细!$G$4:$G$1203,$Z1175-4000))=0,"",N(INDEX(客户自备加工筐明细!$G$4:$G$1203,$Z1175-4000))),IF($Z1175&lt;=5800,IF(ISNUMBER(SEARCH("退",INDEX(次果筐明细!$F$4:$F$603,$Z1175-5200)&amp;"")),"",IF(N(INDEX(次果筐明细!$G$4:$G$603,$Z1175-5200))=0,"",N(INDEX(次果筐明细!$G$4:$G$603,$Z1175-5200)))),"")))))</f>
        <v/>
      </c>
      <c r="P1175" s="40" t="str">
        <f>IF($Z1175="","",IF($Z1175&lt;=2000,"",IF($Z1175&lt;=4000,IF(N(INDEX(周转筐出入库明细!$I$4:$I$2004,$Z1175-2000))=0,"",N(INDEX(周转筐出入库明细!$I$4:$I$2004,$Z1175-2000))),IF($Z1175&lt;=5200,"",IF($Z1175&lt;=5800,IF(ISNUMBER(SEARCH("退",INDEX(次果筐明细!$F$4:$F$603,$Z1175-5200)&amp;"")),IF(N(INDEX(次果筐明细!$G$4:$G$603,$Z1175-5200))=0,"",N(INDEX(次果筐明细!$G$4:$G$603,$Z1175-5200))),""),"")))))</f>
        <v/>
      </c>
      <c r="Q1175" s="40" t="str">
        <f>IF($Z1175="","",IF($Z1175&lt;=2000,"",IF($Z1175&lt;=4000,IF(N(INDEX(周转筐出入库明细!$H$4:$H$2004,$Z1175-2000))=0,"",N(INDEX(周转筐出入库明细!$H$4:$H$2004,$Z1175-2000))),IF($Z1175&lt;=5200,IF(N(INDEX(客户自备加工筐明细!$F$4:$F$1203,$Z1175-4000))=0,"",N(INDEX(客户自备加工筐明细!$F$4:$F$1203,$Z1175-4000))),IF($Z1175&lt;=5800,"","")))))</f>
        <v/>
      </c>
      <c r="R1175" s="16" t="str">
        <f>IF($Z1175="","",IF($Z1175&lt;=2000,IF(INDEX(包装物料出入库明细!$O$4:$O$2003,$Z1175-0)=0,"",INDEX(包装物料出入库明细!$O$4:$O$2003,$Z1175-0)),IF($Z1175&lt;=4000,IF(INDEX(周转筐出入库明细!$M$4:$M$2004,$Z1175-2000)=0,"",INDEX(周转筐出入库明细!$M$4:$M$2004,$Z1175-2000)),IF($Z1175&lt;=5200,IF(INDEX(客户自备加工筐明细!$H$4:$H$1203,$Z1175-4000)=0,"",INDEX(客户自备加工筐明细!$H$4:$H$1203,$Z1175-4000)),IF($Z1175&lt;=5800,IF(INDEX(次果筐明细!$H$4:$H$603,$Z1175-5200)=0,"",INDEX(次果筐明细!$H$4:$H$603,$Z1175-5200)),"")))))</f>
        <v/>
      </c>
      <c r="S1175" s="22" t="str">
        <f t="shared" si="56"/>
        <v/>
      </c>
      <c r="Z1175" s="10" t="str">
        <f>IFERROR(MATCH(ROW()-3,_自动清单!$CQ$4:$CQ$5803,0),"")</f>
        <v/>
      </c>
    </row>
    <row r="1176" spans="1:26">
      <c r="A1176" s="24" t="str">
        <f t="shared" si="54"/>
        <v/>
      </c>
      <c r="B1176" s="38" t="str">
        <f>IF($Z1176="","",IF($Z1176&lt;=2000,IF(INDEX(包装物料出入库明细!$B$4:$B$2003,$Z1176-0)=0,"",INDEX(包装物料出入库明细!$B$4:$B$2003,$Z1176-0)),IF($Z1176&lt;=4000,IF(INDEX(周转筐出入库明细!$B$4:$B$2004,$Z1176-2000)=0,"",INDEX(周转筐出入库明细!$B$4:$B$2004,$Z1176-2000)),IF($Z1176&lt;=5200,IF(INDEX(客户自备加工筐明细!$B$4:$B$1203,$Z1176-4000)=0,"",INDEX(客户自备加工筐明细!$B$4:$B$1203,$Z1176-4000)),IF($Z1176&lt;=5800,IF(INDEX(次果筐明细!$B$4:$B$603,$Z1176-5200)=0,"",INDEX(次果筐明细!$B$4:$B$603,$Z1176-5200)),"")))))</f>
        <v/>
      </c>
      <c r="C1176" s="37" t="str">
        <f>IF($Z1176="","",IF($Z1176&lt;=2000,IF(INDEX(包装物料出入库明细!$D$4:$D$2003,$Z1176-0)=0,"",INDEX(包装物料出入库明细!$D$4:$D$2003,$Z1176-0)),IF($Z1176&lt;=4000,IF(INDEX(周转筐出入库明细!$C$4:$C$2004,$Z1176-2000)=0,"",INDEX(周转筐出入库明细!$C$4:$C$2004,$Z1176-2000)),IF($Z1176&lt;=5200,IF(INDEX(客户自备加工筐明细!$E$4:$E$1203,$Z1176-4000)=0,"",INDEX(客户自备加工筐明细!$E$4:$E$1203,$Z1176-4000)),IF($Z1176&lt;=5800,IF(INDEX(次果筐明细!$C$4:$C$603,$Z1176-5200)=0,"",INDEX(次果筐明细!$C$4:$C$603,$Z1176-5200)),"")))))</f>
        <v/>
      </c>
      <c r="D1176" s="37" t="str">
        <f>IF($Z1176="","",IF($Z1176&lt;=2000,"包装物料－"&amp;INDEX(包装物料出入库明细!$H$4:$H$2003,$Z1176-0),IF($Z1176&lt;=4000,"周转筐－"&amp;INDEX(周转筐出入库明细!$F$4:$F$2004,$Z1176-2000),IF($Z1176&lt;=5200,"客户自备筐－"&amp;INDEX(客户自备加工筐明细!$J$4:$J$1203,$Z1176-4000),IF($Z1176&lt;=5800,"次果筐/托盘－"&amp;INDEX(次果筐明细!$F$4:$F$603,$Z1176-5200),"")))))</f>
        <v/>
      </c>
      <c r="E1176" s="24" t="str">
        <f>IF($Z1176="","",IF($Z1176&lt;=2000,IF(INDEX(包装物料出入库明细!$C$4:$C$2003,$Z1176-0)=0,"",INDEX(包装物料出入库明细!$C$4:$C$2003,$Z1176-0)),IF($Z1176&lt;=4000,IF(INDEX(周转筐出入库明细!$E$4:$E$2004,$Z1176-2000)=0,"",INDEX(周转筐出入库明细!$E$4:$E$2004,$Z1176-2000)),IF($Z1176&lt;=5200,IF(INDEX(客户自备加工筐明细!$D$4:$D$1203,$Z1176-4000)=0,"",INDEX(客户自备加工筐明细!$D$4:$D$1203,$Z1176-4000)),IF($Z1176&lt;=5800,IF(INDEX(次果筐明细!$E$4:$E$603,$Z1176-5200)=0,"",INDEX(次果筐明细!$E$4:$E$603,$Z1176-5200)),"")))))</f>
        <v/>
      </c>
      <c r="F1176" s="24" t="str">
        <f>IF($Z1176="","",IF($Z1176&lt;=2000,IF(INDEX(包装物料出入库明细!$E$4:$E$2003,$Z1176-0)=0,"",INDEX(包装物料出入库明细!$E$4:$E$2003,$Z1176-0)),IF($Z1176&lt;=4000,IF(INDEX(周转筐出入库明细!$D$4:$D$2004,$Z1176-2000)=0,"",INDEX(周转筐出入库明细!$D$4:$D$2004,$Z1176-2000)),IF($Z1176&lt;=5200,IF(INDEX(客户自备加工筐明细!$C$4:$C$1203,$Z1176-4000)=0,"",INDEX(客户自备加工筐明细!$C$4:$C$1203,$Z1176-4000)),IF($Z1176&lt;=5800,IF(INDEX(次果筐明细!$D$4:$D$603,$Z1176-5200)=0,"",INDEX(次果筐明细!$D$4:$D$603,$Z1176-5200)),"")))))</f>
        <v/>
      </c>
      <c r="G1176" s="24" t="str">
        <f>IF($Z1176="","",IF($Z1176&lt;=2000,IF(INDEX(包装物料出入库明细!$F$4:$F$2003,$Z1176-0)=0,"",INDEX(包装物料出入库明细!$F$4:$F$2003,$Z1176-0)),IF($Z1176&lt;=4000,"",IF($Z1176&lt;=5200,"",IF($Z1176&lt;=5800,"","")))))</f>
        <v/>
      </c>
      <c r="H1176" s="39" t="str">
        <f>IF($Z1176="","",IF($Z1176&lt;=2000,IF(INDEX(包装物料出入库明细!$L$4:$L$2003,$Z1176-0)=0,"",INDEX(包装物料出入库明细!$L$4:$L$2003,$Z1176-0)),IF($Z1176&lt;=4000,N(INDEX(周转筐出入库明细!$H$4:$H$2004,$Z1176-2000))+N(INDEX(周转筐出入库明细!$I$4:$I$2004,$Z1176-2000))+N(INDEX(周转筐出入库明细!$J$4:$J$2004,$Z1176-2000))+N(INDEX(周转筐出入库明细!$K$4:$K$2004,$Z1176-2000)),IF($Z1176&lt;=5200,N(INDEX(客户自备加工筐明细!$F$4:$F$1203,$Z1176-4000))+N(INDEX(客户自备加工筐明细!$G$4:$G$1203,$Z1176-4000)),IF($Z1176&lt;=5800,IF(INDEX(次果筐明细!$G$4:$G$603,$Z1176-5200)=0,"",INDEX(次果筐明细!$G$4:$G$603,$Z1176-5200)),"")))))</f>
        <v/>
      </c>
      <c r="I1176" s="24" t="str">
        <f>IF($Z1176="","",IF($Z1176&lt;=2000,IF(INDEX(包装物料出入库明细!$G$4:$G$2003,$Z1176-0)=0,"",INDEX(包装物料出入库明细!$G$4:$G$2003,$Z1176-0)),IF($Z1176&lt;=4000,"个",IF($Z1176&lt;=5200,"个",IF($Z1176&lt;=5800,"个","")))))</f>
        <v/>
      </c>
      <c r="J1176" s="30" t="str">
        <f t="shared" si="55"/>
        <v/>
      </c>
      <c r="K1176" s="30" t="str">
        <f>IF($Z1176="","",IF($Z1176&lt;=2000,IF(INDEX(包装物料出入库明细!$N$4:$N$2003,$Z1176-0)=0,"",INDEX(包装物料出入库明细!$N$4:$N$2003,$Z1176-0)),IF($Z1176&lt;=4000,IF(INDEX(周转筐出入库明细!$P$4:$P$2004,$Z1176-2000)=0,"",INDEX(周转筐出入库明细!$P$4:$P$2004,$Z1176-2000)),IF($Z1176&lt;=5200,"",IF($Z1176&lt;=5800,N(INDEX(次果筐明细!$L$4:$L$603,$Z1176-5200))+N(INDEX(次果筐明细!$J$4:$J$603,$Z1176-5200)),"")))))</f>
        <v/>
      </c>
      <c r="L1176" s="24" t="str">
        <f>IF($Z1176="","",IF($Z1176&lt;=2000,IF(INDEX(包装物料出入库明细!$P$4:$P$2003,$Z1176-0)=0,"",INDEX(包装物料出入库明细!$P$4:$P$2003,$Z1176-0)),IF($Z1176&lt;=4000,IF(INDEX(周转筐出入库明细!$Q$4:$Q$2004,$Z1176-2000)=0,"",INDEX(周转筐出入库明细!$Q$4:$Q$2004,$Z1176-2000)),IF($Z1176&lt;=5200,"",IF($Z1176&lt;=5800,IF(INDEX(次果筐明细!$M$4:$M$603,$Z1176-5200)=0,"",INDEX(次果筐明细!$M$4:$M$603,$Z1176-5200)),"")))))</f>
        <v/>
      </c>
      <c r="M1176" s="37" t="str">
        <f>IF($Z1176="","",IF($Z1176&lt;=2000,IF(INDEX(包装物料出入库明细!$R$4:$R$2003,$Z1176-0)=0,"",INDEX(包装物料出入库明细!$R$4:$R$2003,$Z1176-0)),IF($Z1176&lt;=4000,IF(INDEX(周转筐出入库明细!$W$4:$W$2004,$Z1176-2000)=0,"",INDEX(周转筐出入库明细!$W$4:$W$2004,$Z1176-2000)),IF($Z1176&lt;=5200,IF(INDEX(客户自备加工筐明细!$L$4:$L$1203,$Z1176-4000)=0,"",INDEX(客户自备加工筐明细!$L$4:$L$1203,$Z1176-4000)),IF($Z1176&lt;=5800,IF(INDEX(次果筐明细!$P$4:$P$603,$Z1176-5200)=0,"",INDEX(次果筐明细!$P$4:$P$603,$Z1176-5200)),"")))))</f>
        <v/>
      </c>
      <c r="N1176" s="16" t="str">
        <f>IF($Z1176="","",IF($Z1176&lt;=2000,"",IF($Z1176&lt;=4000,IF(INDEX(周转筐出入库明细!$D$4:$D$2004,$Z1176-2000)=0,"",INDEX(周转筐出入库明细!$D$4:$D$2004,$Z1176-2000)),IF($Z1176&lt;=5200,IF(INDEX(客户自备加工筐明细!$C$4:$C$1203,$Z1176-4000)=0,"",INDEX(客户自备加工筐明细!$C$4:$C$1203,$Z1176-4000)),IF($Z1176&lt;=5800,IF(INDEX(次果筐明细!$D$4:$D$603,$Z1176-5200)=0,"",INDEX(次果筐明细!$D$4:$D$603,$Z1176-5200)),"")))))</f>
        <v/>
      </c>
      <c r="O1176" s="40" t="str">
        <f>IF($Z1176="","",IF($Z1176&lt;=2000,"",IF($Z1176&lt;=4000,IF(N(INDEX(周转筐出入库明细!$J$4:$J$2004,$Z1176-2000))+N(INDEX(周转筐出入库明细!$K$4:$K$2004,$Z1176-2000))=0,"",N(INDEX(周转筐出入库明细!$J$4:$J$2004,$Z1176-2000))+N(INDEX(周转筐出入库明细!$K$4:$K$2004,$Z1176-2000))),IF($Z1176&lt;=5200,IF(N(INDEX(客户自备加工筐明细!$G$4:$G$1203,$Z1176-4000))=0,"",N(INDEX(客户自备加工筐明细!$G$4:$G$1203,$Z1176-4000))),IF($Z1176&lt;=5800,IF(ISNUMBER(SEARCH("退",INDEX(次果筐明细!$F$4:$F$603,$Z1176-5200)&amp;"")),"",IF(N(INDEX(次果筐明细!$G$4:$G$603,$Z1176-5200))=0,"",N(INDEX(次果筐明细!$G$4:$G$603,$Z1176-5200)))),"")))))</f>
        <v/>
      </c>
      <c r="P1176" s="40" t="str">
        <f>IF($Z1176="","",IF($Z1176&lt;=2000,"",IF($Z1176&lt;=4000,IF(N(INDEX(周转筐出入库明细!$I$4:$I$2004,$Z1176-2000))=0,"",N(INDEX(周转筐出入库明细!$I$4:$I$2004,$Z1176-2000))),IF($Z1176&lt;=5200,"",IF($Z1176&lt;=5800,IF(ISNUMBER(SEARCH("退",INDEX(次果筐明细!$F$4:$F$603,$Z1176-5200)&amp;"")),IF(N(INDEX(次果筐明细!$G$4:$G$603,$Z1176-5200))=0,"",N(INDEX(次果筐明细!$G$4:$G$603,$Z1176-5200))),""),"")))))</f>
        <v/>
      </c>
      <c r="Q1176" s="40" t="str">
        <f>IF($Z1176="","",IF($Z1176&lt;=2000,"",IF($Z1176&lt;=4000,IF(N(INDEX(周转筐出入库明细!$H$4:$H$2004,$Z1176-2000))=0,"",N(INDEX(周转筐出入库明细!$H$4:$H$2004,$Z1176-2000))),IF($Z1176&lt;=5200,IF(N(INDEX(客户自备加工筐明细!$F$4:$F$1203,$Z1176-4000))=0,"",N(INDEX(客户自备加工筐明细!$F$4:$F$1203,$Z1176-4000))),IF($Z1176&lt;=5800,"","")))))</f>
        <v/>
      </c>
      <c r="R1176" s="16" t="str">
        <f>IF($Z1176="","",IF($Z1176&lt;=2000,IF(INDEX(包装物料出入库明细!$O$4:$O$2003,$Z1176-0)=0,"",INDEX(包装物料出入库明细!$O$4:$O$2003,$Z1176-0)),IF($Z1176&lt;=4000,IF(INDEX(周转筐出入库明细!$M$4:$M$2004,$Z1176-2000)=0,"",INDEX(周转筐出入库明细!$M$4:$M$2004,$Z1176-2000)),IF($Z1176&lt;=5200,IF(INDEX(客户自备加工筐明细!$H$4:$H$1203,$Z1176-4000)=0,"",INDEX(客户自备加工筐明细!$H$4:$H$1203,$Z1176-4000)),IF($Z1176&lt;=5800,IF(INDEX(次果筐明细!$H$4:$H$603,$Z1176-5200)=0,"",INDEX(次果筐明细!$H$4:$H$603,$Z1176-5200)),"")))))</f>
        <v/>
      </c>
      <c r="S1176" s="22" t="str">
        <f t="shared" si="56"/>
        <v/>
      </c>
      <c r="Z1176" s="10" t="str">
        <f>IFERROR(MATCH(ROW()-3,_自动清单!$CQ$4:$CQ$5803,0),"")</f>
        <v/>
      </c>
    </row>
    <row r="1177" spans="1:26">
      <c r="A1177" s="24" t="str">
        <f t="shared" si="54"/>
        <v/>
      </c>
      <c r="B1177" s="38" t="str">
        <f>IF($Z1177="","",IF($Z1177&lt;=2000,IF(INDEX(包装物料出入库明细!$B$4:$B$2003,$Z1177-0)=0,"",INDEX(包装物料出入库明细!$B$4:$B$2003,$Z1177-0)),IF($Z1177&lt;=4000,IF(INDEX(周转筐出入库明细!$B$4:$B$2004,$Z1177-2000)=0,"",INDEX(周转筐出入库明细!$B$4:$B$2004,$Z1177-2000)),IF($Z1177&lt;=5200,IF(INDEX(客户自备加工筐明细!$B$4:$B$1203,$Z1177-4000)=0,"",INDEX(客户自备加工筐明细!$B$4:$B$1203,$Z1177-4000)),IF($Z1177&lt;=5800,IF(INDEX(次果筐明细!$B$4:$B$603,$Z1177-5200)=0,"",INDEX(次果筐明细!$B$4:$B$603,$Z1177-5200)),"")))))</f>
        <v/>
      </c>
      <c r="C1177" s="37" t="str">
        <f>IF($Z1177="","",IF($Z1177&lt;=2000,IF(INDEX(包装物料出入库明细!$D$4:$D$2003,$Z1177-0)=0,"",INDEX(包装物料出入库明细!$D$4:$D$2003,$Z1177-0)),IF($Z1177&lt;=4000,IF(INDEX(周转筐出入库明细!$C$4:$C$2004,$Z1177-2000)=0,"",INDEX(周转筐出入库明细!$C$4:$C$2004,$Z1177-2000)),IF($Z1177&lt;=5200,IF(INDEX(客户自备加工筐明细!$E$4:$E$1203,$Z1177-4000)=0,"",INDEX(客户自备加工筐明细!$E$4:$E$1203,$Z1177-4000)),IF($Z1177&lt;=5800,IF(INDEX(次果筐明细!$C$4:$C$603,$Z1177-5200)=0,"",INDEX(次果筐明细!$C$4:$C$603,$Z1177-5200)),"")))))</f>
        <v/>
      </c>
      <c r="D1177" s="37" t="str">
        <f>IF($Z1177="","",IF($Z1177&lt;=2000,"包装物料－"&amp;INDEX(包装物料出入库明细!$H$4:$H$2003,$Z1177-0),IF($Z1177&lt;=4000,"周转筐－"&amp;INDEX(周转筐出入库明细!$F$4:$F$2004,$Z1177-2000),IF($Z1177&lt;=5200,"客户自备筐－"&amp;INDEX(客户自备加工筐明细!$J$4:$J$1203,$Z1177-4000),IF($Z1177&lt;=5800,"次果筐/托盘－"&amp;INDEX(次果筐明细!$F$4:$F$603,$Z1177-5200),"")))))</f>
        <v/>
      </c>
      <c r="E1177" s="24" t="str">
        <f>IF($Z1177="","",IF($Z1177&lt;=2000,IF(INDEX(包装物料出入库明细!$C$4:$C$2003,$Z1177-0)=0,"",INDEX(包装物料出入库明细!$C$4:$C$2003,$Z1177-0)),IF($Z1177&lt;=4000,IF(INDEX(周转筐出入库明细!$E$4:$E$2004,$Z1177-2000)=0,"",INDEX(周转筐出入库明细!$E$4:$E$2004,$Z1177-2000)),IF($Z1177&lt;=5200,IF(INDEX(客户自备加工筐明细!$D$4:$D$1203,$Z1177-4000)=0,"",INDEX(客户自备加工筐明细!$D$4:$D$1203,$Z1177-4000)),IF($Z1177&lt;=5800,IF(INDEX(次果筐明细!$E$4:$E$603,$Z1177-5200)=0,"",INDEX(次果筐明细!$E$4:$E$603,$Z1177-5200)),"")))))</f>
        <v/>
      </c>
      <c r="F1177" s="24" t="str">
        <f>IF($Z1177="","",IF($Z1177&lt;=2000,IF(INDEX(包装物料出入库明细!$E$4:$E$2003,$Z1177-0)=0,"",INDEX(包装物料出入库明细!$E$4:$E$2003,$Z1177-0)),IF($Z1177&lt;=4000,IF(INDEX(周转筐出入库明细!$D$4:$D$2004,$Z1177-2000)=0,"",INDEX(周转筐出入库明细!$D$4:$D$2004,$Z1177-2000)),IF($Z1177&lt;=5200,IF(INDEX(客户自备加工筐明细!$C$4:$C$1203,$Z1177-4000)=0,"",INDEX(客户自备加工筐明细!$C$4:$C$1203,$Z1177-4000)),IF($Z1177&lt;=5800,IF(INDEX(次果筐明细!$D$4:$D$603,$Z1177-5200)=0,"",INDEX(次果筐明细!$D$4:$D$603,$Z1177-5200)),"")))))</f>
        <v/>
      </c>
      <c r="G1177" s="24" t="str">
        <f>IF($Z1177="","",IF($Z1177&lt;=2000,IF(INDEX(包装物料出入库明细!$F$4:$F$2003,$Z1177-0)=0,"",INDEX(包装物料出入库明细!$F$4:$F$2003,$Z1177-0)),IF($Z1177&lt;=4000,"",IF($Z1177&lt;=5200,"",IF($Z1177&lt;=5800,"","")))))</f>
        <v/>
      </c>
      <c r="H1177" s="39" t="str">
        <f>IF($Z1177="","",IF($Z1177&lt;=2000,IF(INDEX(包装物料出入库明细!$L$4:$L$2003,$Z1177-0)=0,"",INDEX(包装物料出入库明细!$L$4:$L$2003,$Z1177-0)),IF($Z1177&lt;=4000,N(INDEX(周转筐出入库明细!$H$4:$H$2004,$Z1177-2000))+N(INDEX(周转筐出入库明细!$I$4:$I$2004,$Z1177-2000))+N(INDEX(周转筐出入库明细!$J$4:$J$2004,$Z1177-2000))+N(INDEX(周转筐出入库明细!$K$4:$K$2004,$Z1177-2000)),IF($Z1177&lt;=5200,N(INDEX(客户自备加工筐明细!$F$4:$F$1203,$Z1177-4000))+N(INDEX(客户自备加工筐明细!$G$4:$G$1203,$Z1177-4000)),IF($Z1177&lt;=5800,IF(INDEX(次果筐明细!$G$4:$G$603,$Z1177-5200)=0,"",INDEX(次果筐明细!$G$4:$G$603,$Z1177-5200)),"")))))</f>
        <v/>
      </c>
      <c r="I1177" s="24" t="str">
        <f>IF($Z1177="","",IF($Z1177&lt;=2000,IF(INDEX(包装物料出入库明细!$G$4:$G$2003,$Z1177-0)=0,"",INDEX(包装物料出入库明细!$G$4:$G$2003,$Z1177-0)),IF($Z1177&lt;=4000,"个",IF($Z1177&lt;=5200,"个",IF($Z1177&lt;=5800,"个","")))))</f>
        <v/>
      </c>
      <c r="J1177" s="30" t="str">
        <f t="shared" si="55"/>
        <v/>
      </c>
      <c r="K1177" s="30" t="str">
        <f>IF($Z1177="","",IF($Z1177&lt;=2000,IF(INDEX(包装物料出入库明细!$N$4:$N$2003,$Z1177-0)=0,"",INDEX(包装物料出入库明细!$N$4:$N$2003,$Z1177-0)),IF($Z1177&lt;=4000,IF(INDEX(周转筐出入库明细!$P$4:$P$2004,$Z1177-2000)=0,"",INDEX(周转筐出入库明细!$P$4:$P$2004,$Z1177-2000)),IF($Z1177&lt;=5200,"",IF($Z1177&lt;=5800,N(INDEX(次果筐明细!$L$4:$L$603,$Z1177-5200))+N(INDEX(次果筐明细!$J$4:$J$603,$Z1177-5200)),"")))))</f>
        <v/>
      </c>
      <c r="L1177" s="24" t="str">
        <f>IF($Z1177="","",IF($Z1177&lt;=2000,IF(INDEX(包装物料出入库明细!$P$4:$P$2003,$Z1177-0)=0,"",INDEX(包装物料出入库明细!$P$4:$P$2003,$Z1177-0)),IF($Z1177&lt;=4000,IF(INDEX(周转筐出入库明细!$Q$4:$Q$2004,$Z1177-2000)=0,"",INDEX(周转筐出入库明细!$Q$4:$Q$2004,$Z1177-2000)),IF($Z1177&lt;=5200,"",IF($Z1177&lt;=5800,IF(INDEX(次果筐明细!$M$4:$M$603,$Z1177-5200)=0,"",INDEX(次果筐明细!$M$4:$M$603,$Z1177-5200)),"")))))</f>
        <v/>
      </c>
      <c r="M1177" s="37" t="str">
        <f>IF($Z1177="","",IF($Z1177&lt;=2000,IF(INDEX(包装物料出入库明细!$R$4:$R$2003,$Z1177-0)=0,"",INDEX(包装物料出入库明细!$R$4:$R$2003,$Z1177-0)),IF($Z1177&lt;=4000,IF(INDEX(周转筐出入库明细!$W$4:$W$2004,$Z1177-2000)=0,"",INDEX(周转筐出入库明细!$W$4:$W$2004,$Z1177-2000)),IF($Z1177&lt;=5200,IF(INDEX(客户自备加工筐明细!$L$4:$L$1203,$Z1177-4000)=0,"",INDEX(客户自备加工筐明细!$L$4:$L$1203,$Z1177-4000)),IF($Z1177&lt;=5800,IF(INDEX(次果筐明细!$P$4:$P$603,$Z1177-5200)=0,"",INDEX(次果筐明细!$P$4:$P$603,$Z1177-5200)),"")))))</f>
        <v/>
      </c>
      <c r="N1177" s="16" t="str">
        <f>IF($Z1177="","",IF($Z1177&lt;=2000,"",IF($Z1177&lt;=4000,IF(INDEX(周转筐出入库明细!$D$4:$D$2004,$Z1177-2000)=0,"",INDEX(周转筐出入库明细!$D$4:$D$2004,$Z1177-2000)),IF($Z1177&lt;=5200,IF(INDEX(客户自备加工筐明细!$C$4:$C$1203,$Z1177-4000)=0,"",INDEX(客户自备加工筐明细!$C$4:$C$1203,$Z1177-4000)),IF($Z1177&lt;=5800,IF(INDEX(次果筐明细!$D$4:$D$603,$Z1177-5200)=0,"",INDEX(次果筐明细!$D$4:$D$603,$Z1177-5200)),"")))))</f>
        <v/>
      </c>
      <c r="O1177" s="40" t="str">
        <f>IF($Z1177="","",IF($Z1177&lt;=2000,"",IF($Z1177&lt;=4000,IF(N(INDEX(周转筐出入库明细!$J$4:$J$2004,$Z1177-2000))+N(INDEX(周转筐出入库明细!$K$4:$K$2004,$Z1177-2000))=0,"",N(INDEX(周转筐出入库明细!$J$4:$J$2004,$Z1177-2000))+N(INDEX(周转筐出入库明细!$K$4:$K$2004,$Z1177-2000))),IF($Z1177&lt;=5200,IF(N(INDEX(客户自备加工筐明细!$G$4:$G$1203,$Z1177-4000))=0,"",N(INDEX(客户自备加工筐明细!$G$4:$G$1203,$Z1177-4000))),IF($Z1177&lt;=5800,IF(ISNUMBER(SEARCH("退",INDEX(次果筐明细!$F$4:$F$603,$Z1177-5200)&amp;"")),"",IF(N(INDEX(次果筐明细!$G$4:$G$603,$Z1177-5200))=0,"",N(INDEX(次果筐明细!$G$4:$G$603,$Z1177-5200)))),"")))))</f>
        <v/>
      </c>
      <c r="P1177" s="40" t="str">
        <f>IF($Z1177="","",IF($Z1177&lt;=2000,"",IF($Z1177&lt;=4000,IF(N(INDEX(周转筐出入库明细!$I$4:$I$2004,$Z1177-2000))=0,"",N(INDEX(周转筐出入库明细!$I$4:$I$2004,$Z1177-2000))),IF($Z1177&lt;=5200,"",IF($Z1177&lt;=5800,IF(ISNUMBER(SEARCH("退",INDEX(次果筐明细!$F$4:$F$603,$Z1177-5200)&amp;"")),IF(N(INDEX(次果筐明细!$G$4:$G$603,$Z1177-5200))=0,"",N(INDEX(次果筐明细!$G$4:$G$603,$Z1177-5200))),""),"")))))</f>
        <v/>
      </c>
      <c r="Q1177" s="40" t="str">
        <f>IF($Z1177="","",IF($Z1177&lt;=2000,"",IF($Z1177&lt;=4000,IF(N(INDEX(周转筐出入库明细!$H$4:$H$2004,$Z1177-2000))=0,"",N(INDEX(周转筐出入库明细!$H$4:$H$2004,$Z1177-2000))),IF($Z1177&lt;=5200,IF(N(INDEX(客户自备加工筐明细!$F$4:$F$1203,$Z1177-4000))=0,"",N(INDEX(客户自备加工筐明细!$F$4:$F$1203,$Z1177-4000))),IF($Z1177&lt;=5800,"","")))))</f>
        <v/>
      </c>
      <c r="R1177" s="16" t="str">
        <f>IF($Z1177="","",IF($Z1177&lt;=2000,IF(INDEX(包装物料出入库明细!$O$4:$O$2003,$Z1177-0)=0,"",INDEX(包装物料出入库明细!$O$4:$O$2003,$Z1177-0)),IF($Z1177&lt;=4000,IF(INDEX(周转筐出入库明细!$M$4:$M$2004,$Z1177-2000)=0,"",INDEX(周转筐出入库明细!$M$4:$M$2004,$Z1177-2000)),IF($Z1177&lt;=5200,IF(INDEX(客户自备加工筐明细!$H$4:$H$1203,$Z1177-4000)=0,"",INDEX(客户自备加工筐明细!$H$4:$H$1203,$Z1177-4000)),IF($Z1177&lt;=5800,IF(INDEX(次果筐明细!$H$4:$H$603,$Z1177-5200)=0,"",INDEX(次果筐明细!$H$4:$H$603,$Z1177-5200)),"")))))</f>
        <v/>
      </c>
      <c r="S1177" s="22" t="str">
        <f t="shared" si="56"/>
        <v/>
      </c>
      <c r="Z1177" s="10" t="str">
        <f>IFERROR(MATCH(ROW()-3,_自动清单!$CQ$4:$CQ$5803,0),"")</f>
        <v/>
      </c>
    </row>
    <row r="1178" spans="1:26">
      <c r="A1178" s="24" t="str">
        <f t="shared" si="54"/>
        <v/>
      </c>
      <c r="B1178" s="38" t="str">
        <f>IF($Z1178="","",IF($Z1178&lt;=2000,IF(INDEX(包装物料出入库明细!$B$4:$B$2003,$Z1178-0)=0,"",INDEX(包装物料出入库明细!$B$4:$B$2003,$Z1178-0)),IF($Z1178&lt;=4000,IF(INDEX(周转筐出入库明细!$B$4:$B$2004,$Z1178-2000)=0,"",INDEX(周转筐出入库明细!$B$4:$B$2004,$Z1178-2000)),IF($Z1178&lt;=5200,IF(INDEX(客户自备加工筐明细!$B$4:$B$1203,$Z1178-4000)=0,"",INDEX(客户自备加工筐明细!$B$4:$B$1203,$Z1178-4000)),IF($Z1178&lt;=5800,IF(INDEX(次果筐明细!$B$4:$B$603,$Z1178-5200)=0,"",INDEX(次果筐明细!$B$4:$B$603,$Z1178-5200)),"")))))</f>
        <v/>
      </c>
      <c r="C1178" s="37" t="str">
        <f>IF($Z1178="","",IF($Z1178&lt;=2000,IF(INDEX(包装物料出入库明细!$D$4:$D$2003,$Z1178-0)=0,"",INDEX(包装物料出入库明细!$D$4:$D$2003,$Z1178-0)),IF($Z1178&lt;=4000,IF(INDEX(周转筐出入库明细!$C$4:$C$2004,$Z1178-2000)=0,"",INDEX(周转筐出入库明细!$C$4:$C$2004,$Z1178-2000)),IF($Z1178&lt;=5200,IF(INDEX(客户自备加工筐明细!$E$4:$E$1203,$Z1178-4000)=0,"",INDEX(客户自备加工筐明细!$E$4:$E$1203,$Z1178-4000)),IF($Z1178&lt;=5800,IF(INDEX(次果筐明细!$C$4:$C$603,$Z1178-5200)=0,"",INDEX(次果筐明细!$C$4:$C$603,$Z1178-5200)),"")))))</f>
        <v/>
      </c>
      <c r="D1178" s="37" t="str">
        <f>IF($Z1178="","",IF($Z1178&lt;=2000,"包装物料－"&amp;INDEX(包装物料出入库明细!$H$4:$H$2003,$Z1178-0),IF($Z1178&lt;=4000,"周转筐－"&amp;INDEX(周转筐出入库明细!$F$4:$F$2004,$Z1178-2000),IF($Z1178&lt;=5200,"客户自备筐－"&amp;INDEX(客户自备加工筐明细!$J$4:$J$1203,$Z1178-4000),IF($Z1178&lt;=5800,"次果筐/托盘－"&amp;INDEX(次果筐明细!$F$4:$F$603,$Z1178-5200),"")))))</f>
        <v/>
      </c>
      <c r="E1178" s="24" t="str">
        <f>IF($Z1178="","",IF($Z1178&lt;=2000,IF(INDEX(包装物料出入库明细!$C$4:$C$2003,$Z1178-0)=0,"",INDEX(包装物料出入库明细!$C$4:$C$2003,$Z1178-0)),IF($Z1178&lt;=4000,IF(INDEX(周转筐出入库明细!$E$4:$E$2004,$Z1178-2000)=0,"",INDEX(周转筐出入库明细!$E$4:$E$2004,$Z1178-2000)),IF($Z1178&lt;=5200,IF(INDEX(客户自备加工筐明细!$D$4:$D$1203,$Z1178-4000)=0,"",INDEX(客户自备加工筐明细!$D$4:$D$1203,$Z1178-4000)),IF($Z1178&lt;=5800,IF(INDEX(次果筐明细!$E$4:$E$603,$Z1178-5200)=0,"",INDEX(次果筐明细!$E$4:$E$603,$Z1178-5200)),"")))))</f>
        <v/>
      </c>
      <c r="F1178" s="24" t="str">
        <f>IF($Z1178="","",IF($Z1178&lt;=2000,IF(INDEX(包装物料出入库明细!$E$4:$E$2003,$Z1178-0)=0,"",INDEX(包装物料出入库明细!$E$4:$E$2003,$Z1178-0)),IF($Z1178&lt;=4000,IF(INDEX(周转筐出入库明细!$D$4:$D$2004,$Z1178-2000)=0,"",INDEX(周转筐出入库明细!$D$4:$D$2004,$Z1178-2000)),IF($Z1178&lt;=5200,IF(INDEX(客户自备加工筐明细!$C$4:$C$1203,$Z1178-4000)=0,"",INDEX(客户自备加工筐明细!$C$4:$C$1203,$Z1178-4000)),IF($Z1178&lt;=5800,IF(INDEX(次果筐明细!$D$4:$D$603,$Z1178-5200)=0,"",INDEX(次果筐明细!$D$4:$D$603,$Z1178-5200)),"")))))</f>
        <v/>
      </c>
      <c r="G1178" s="24" t="str">
        <f>IF($Z1178="","",IF($Z1178&lt;=2000,IF(INDEX(包装物料出入库明细!$F$4:$F$2003,$Z1178-0)=0,"",INDEX(包装物料出入库明细!$F$4:$F$2003,$Z1178-0)),IF($Z1178&lt;=4000,"",IF($Z1178&lt;=5200,"",IF($Z1178&lt;=5800,"","")))))</f>
        <v/>
      </c>
      <c r="H1178" s="39" t="str">
        <f>IF($Z1178="","",IF($Z1178&lt;=2000,IF(INDEX(包装物料出入库明细!$L$4:$L$2003,$Z1178-0)=0,"",INDEX(包装物料出入库明细!$L$4:$L$2003,$Z1178-0)),IF($Z1178&lt;=4000,N(INDEX(周转筐出入库明细!$H$4:$H$2004,$Z1178-2000))+N(INDEX(周转筐出入库明细!$I$4:$I$2004,$Z1178-2000))+N(INDEX(周转筐出入库明细!$J$4:$J$2004,$Z1178-2000))+N(INDEX(周转筐出入库明细!$K$4:$K$2004,$Z1178-2000)),IF($Z1178&lt;=5200,N(INDEX(客户自备加工筐明细!$F$4:$F$1203,$Z1178-4000))+N(INDEX(客户自备加工筐明细!$G$4:$G$1203,$Z1178-4000)),IF($Z1178&lt;=5800,IF(INDEX(次果筐明细!$G$4:$G$603,$Z1178-5200)=0,"",INDEX(次果筐明细!$G$4:$G$603,$Z1178-5200)),"")))))</f>
        <v/>
      </c>
      <c r="I1178" s="24" t="str">
        <f>IF($Z1178="","",IF($Z1178&lt;=2000,IF(INDEX(包装物料出入库明细!$G$4:$G$2003,$Z1178-0)=0,"",INDEX(包装物料出入库明细!$G$4:$G$2003,$Z1178-0)),IF($Z1178&lt;=4000,"个",IF($Z1178&lt;=5200,"个",IF($Z1178&lt;=5800,"个","")))))</f>
        <v/>
      </c>
      <c r="J1178" s="30" t="str">
        <f t="shared" si="55"/>
        <v/>
      </c>
      <c r="K1178" s="30" t="str">
        <f>IF($Z1178="","",IF($Z1178&lt;=2000,IF(INDEX(包装物料出入库明细!$N$4:$N$2003,$Z1178-0)=0,"",INDEX(包装物料出入库明细!$N$4:$N$2003,$Z1178-0)),IF($Z1178&lt;=4000,IF(INDEX(周转筐出入库明细!$P$4:$P$2004,$Z1178-2000)=0,"",INDEX(周转筐出入库明细!$P$4:$P$2004,$Z1178-2000)),IF($Z1178&lt;=5200,"",IF($Z1178&lt;=5800,N(INDEX(次果筐明细!$L$4:$L$603,$Z1178-5200))+N(INDEX(次果筐明细!$J$4:$J$603,$Z1178-5200)),"")))))</f>
        <v/>
      </c>
      <c r="L1178" s="24" t="str">
        <f>IF($Z1178="","",IF($Z1178&lt;=2000,IF(INDEX(包装物料出入库明细!$P$4:$P$2003,$Z1178-0)=0,"",INDEX(包装物料出入库明细!$P$4:$P$2003,$Z1178-0)),IF($Z1178&lt;=4000,IF(INDEX(周转筐出入库明细!$Q$4:$Q$2004,$Z1178-2000)=0,"",INDEX(周转筐出入库明细!$Q$4:$Q$2004,$Z1178-2000)),IF($Z1178&lt;=5200,"",IF($Z1178&lt;=5800,IF(INDEX(次果筐明细!$M$4:$M$603,$Z1178-5200)=0,"",INDEX(次果筐明细!$M$4:$M$603,$Z1178-5200)),"")))))</f>
        <v/>
      </c>
      <c r="M1178" s="37" t="str">
        <f>IF($Z1178="","",IF($Z1178&lt;=2000,IF(INDEX(包装物料出入库明细!$R$4:$R$2003,$Z1178-0)=0,"",INDEX(包装物料出入库明细!$R$4:$R$2003,$Z1178-0)),IF($Z1178&lt;=4000,IF(INDEX(周转筐出入库明细!$W$4:$W$2004,$Z1178-2000)=0,"",INDEX(周转筐出入库明细!$W$4:$W$2004,$Z1178-2000)),IF($Z1178&lt;=5200,IF(INDEX(客户自备加工筐明细!$L$4:$L$1203,$Z1178-4000)=0,"",INDEX(客户自备加工筐明细!$L$4:$L$1203,$Z1178-4000)),IF($Z1178&lt;=5800,IF(INDEX(次果筐明细!$P$4:$P$603,$Z1178-5200)=0,"",INDEX(次果筐明细!$P$4:$P$603,$Z1178-5200)),"")))))</f>
        <v/>
      </c>
      <c r="N1178" s="16" t="str">
        <f>IF($Z1178="","",IF($Z1178&lt;=2000,"",IF($Z1178&lt;=4000,IF(INDEX(周转筐出入库明细!$D$4:$D$2004,$Z1178-2000)=0,"",INDEX(周转筐出入库明细!$D$4:$D$2004,$Z1178-2000)),IF($Z1178&lt;=5200,IF(INDEX(客户自备加工筐明细!$C$4:$C$1203,$Z1178-4000)=0,"",INDEX(客户自备加工筐明细!$C$4:$C$1203,$Z1178-4000)),IF($Z1178&lt;=5800,IF(INDEX(次果筐明细!$D$4:$D$603,$Z1178-5200)=0,"",INDEX(次果筐明细!$D$4:$D$603,$Z1178-5200)),"")))))</f>
        <v/>
      </c>
      <c r="O1178" s="40" t="str">
        <f>IF($Z1178="","",IF($Z1178&lt;=2000,"",IF($Z1178&lt;=4000,IF(N(INDEX(周转筐出入库明细!$J$4:$J$2004,$Z1178-2000))+N(INDEX(周转筐出入库明细!$K$4:$K$2004,$Z1178-2000))=0,"",N(INDEX(周转筐出入库明细!$J$4:$J$2004,$Z1178-2000))+N(INDEX(周转筐出入库明细!$K$4:$K$2004,$Z1178-2000))),IF($Z1178&lt;=5200,IF(N(INDEX(客户自备加工筐明细!$G$4:$G$1203,$Z1178-4000))=0,"",N(INDEX(客户自备加工筐明细!$G$4:$G$1203,$Z1178-4000))),IF($Z1178&lt;=5800,IF(ISNUMBER(SEARCH("退",INDEX(次果筐明细!$F$4:$F$603,$Z1178-5200)&amp;"")),"",IF(N(INDEX(次果筐明细!$G$4:$G$603,$Z1178-5200))=0,"",N(INDEX(次果筐明细!$G$4:$G$603,$Z1178-5200)))),"")))))</f>
        <v/>
      </c>
      <c r="P1178" s="40" t="str">
        <f>IF($Z1178="","",IF($Z1178&lt;=2000,"",IF($Z1178&lt;=4000,IF(N(INDEX(周转筐出入库明细!$I$4:$I$2004,$Z1178-2000))=0,"",N(INDEX(周转筐出入库明细!$I$4:$I$2004,$Z1178-2000))),IF($Z1178&lt;=5200,"",IF($Z1178&lt;=5800,IF(ISNUMBER(SEARCH("退",INDEX(次果筐明细!$F$4:$F$603,$Z1178-5200)&amp;"")),IF(N(INDEX(次果筐明细!$G$4:$G$603,$Z1178-5200))=0,"",N(INDEX(次果筐明细!$G$4:$G$603,$Z1178-5200))),""),"")))))</f>
        <v/>
      </c>
      <c r="Q1178" s="40" t="str">
        <f>IF($Z1178="","",IF($Z1178&lt;=2000,"",IF($Z1178&lt;=4000,IF(N(INDEX(周转筐出入库明细!$H$4:$H$2004,$Z1178-2000))=0,"",N(INDEX(周转筐出入库明细!$H$4:$H$2004,$Z1178-2000))),IF($Z1178&lt;=5200,IF(N(INDEX(客户自备加工筐明细!$F$4:$F$1203,$Z1178-4000))=0,"",N(INDEX(客户自备加工筐明细!$F$4:$F$1203,$Z1178-4000))),IF($Z1178&lt;=5800,"","")))))</f>
        <v/>
      </c>
      <c r="R1178" s="16" t="str">
        <f>IF($Z1178="","",IF($Z1178&lt;=2000,IF(INDEX(包装物料出入库明细!$O$4:$O$2003,$Z1178-0)=0,"",INDEX(包装物料出入库明细!$O$4:$O$2003,$Z1178-0)),IF($Z1178&lt;=4000,IF(INDEX(周转筐出入库明细!$M$4:$M$2004,$Z1178-2000)=0,"",INDEX(周转筐出入库明细!$M$4:$M$2004,$Z1178-2000)),IF($Z1178&lt;=5200,IF(INDEX(客户自备加工筐明细!$H$4:$H$1203,$Z1178-4000)=0,"",INDEX(客户自备加工筐明细!$H$4:$H$1203,$Z1178-4000)),IF($Z1178&lt;=5800,IF(INDEX(次果筐明细!$H$4:$H$603,$Z1178-5200)=0,"",INDEX(次果筐明细!$H$4:$H$603,$Z1178-5200)),"")))))</f>
        <v/>
      </c>
      <c r="S1178" s="22" t="str">
        <f t="shared" si="56"/>
        <v/>
      </c>
      <c r="Z1178" s="10" t="str">
        <f>IFERROR(MATCH(ROW()-3,_自动清单!$CQ$4:$CQ$5803,0),"")</f>
        <v/>
      </c>
    </row>
    <row r="1179" spans="1:26">
      <c r="A1179" s="24" t="str">
        <f t="shared" si="54"/>
        <v/>
      </c>
      <c r="B1179" s="38" t="str">
        <f>IF($Z1179="","",IF($Z1179&lt;=2000,IF(INDEX(包装物料出入库明细!$B$4:$B$2003,$Z1179-0)=0,"",INDEX(包装物料出入库明细!$B$4:$B$2003,$Z1179-0)),IF($Z1179&lt;=4000,IF(INDEX(周转筐出入库明细!$B$4:$B$2004,$Z1179-2000)=0,"",INDEX(周转筐出入库明细!$B$4:$B$2004,$Z1179-2000)),IF($Z1179&lt;=5200,IF(INDEX(客户自备加工筐明细!$B$4:$B$1203,$Z1179-4000)=0,"",INDEX(客户自备加工筐明细!$B$4:$B$1203,$Z1179-4000)),IF($Z1179&lt;=5800,IF(INDEX(次果筐明细!$B$4:$B$603,$Z1179-5200)=0,"",INDEX(次果筐明细!$B$4:$B$603,$Z1179-5200)),"")))))</f>
        <v/>
      </c>
      <c r="C1179" s="37" t="str">
        <f>IF($Z1179="","",IF($Z1179&lt;=2000,IF(INDEX(包装物料出入库明细!$D$4:$D$2003,$Z1179-0)=0,"",INDEX(包装物料出入库明细!$D$4:$D$2003,$Z1179-0)),IF($Z1179&lt;=4000,IF(INDEX(周转筐出入库明细!$C$4:$C$2004,$Z1179-2000)=0,"",INDEX(周转筐出入库明细!$C$4:$C$2004,$Z1179-2000)),IF($Z1179&lt;=5200,IF(INDEX(客户自备加工筐明细!$E$4:$E$1203,$Z1179-4000)=0,"",INDEX(客户自备加工筐明细!$E$4:$E$1203,$Z1179-4000)),IF($Z1179&lt;=5800,IF(INDEX(次果筐明细!$C$4:$C$603,$Z1179-5200)=0,"",INDEX(次果筐明细!$C$4:$C$603,$Z1179-5200)),"")))))</f>
        <v/>
      </c>
      <c r="D1179" s="37" t="str">
        <f>IF($Z1179="","",IF($Z1179&lt;=2000,"包装物料－"&amp;INDEX(包装物料出入库明细!$H$4:$H$2003,$Z1179-0),IF($Z1179&lt;=4000,"周转筐－"&amp;INDEX(周转筐出入库明细!$F$4:$F$2004,$Z1179-2000),IF($Z1179&lt;=5200,"客户自备筐－"&amp;INDEX(客户自备加工筐明细!$J$4:$J$1203,$Z1179-4000),IF($Z1179&lt;=5800,"次果筐/托盘－"&amp;INDEX(次果筐明细!$F$4:$F$603,$Z1179-5200),"")))))</f>
        <v/>
      </c>
      <c r="E1179" s="24" t="str">
        <f>IF($Z1179="","",IF($Z1179&lt;=2000,IF(INDEX(包装物料出入库明细!$C$4:$C$2003,$Z1179-0)=0,"",INDEX(包装物料出入库明细!$C$4:$C$2003,$Z1179-0)),IF($Z1179&lt;=4000,IF(INDEX(周转筐出入库明细!$E$4:$E$2004,$Z1179-2000)=0,"",INDEX(周转筐出入库明细!$E$4:$E$2004,$Z1179-2000)),IF($Z1179&lt;=5200,IF(INDEX(客户自备加工筐明细!$D$4:$D$1203,$Z1179-4000)=0,"",INDEX(客户自备加工筐明细!$D$4:$D$1203,$Z1179-4000)),IF($Z1179&lt;=5800,IF(INDEX(次果筐明细!$E$4:$E$603,$Z1179-5200)=0,"",INDEX(次果筐明细!$E$4:$E$603,$Z1179-5200)),"")))))</f>
        <v/>
      </c>
      <c r="F1179" s="24" t="str">
        <f>IF($Z1179="","",IF($Z1179&lt;=2000,IF(INDEX(包装物料出入库明细!$E$4:$E$2003,$Z1179-0)=0,"",INDEX(包装物料出入库明细!$E$4:$E$2003,$Z1179-0)),IF($Z1179&lt;=4000,IF(INDEX(周转筐出入库明细!$D$4:$D$2004,$Z1179-2000)=0,"",INDEX(周转筐出入库明细!$D$4:$D$2004,$Z1179-2000)),IF($Z1179&lt;=5200,IF(INDEX(客户自备加工筐明细!$C$4:$C$1203,$Z1179-4000)=0,"",INDEX(客户自备加工筐明细!$C$4:$C$1203,$Z1179-4000)),IF($Z1179&lt;=5800,IF(INDEX(次果筐明细!$D$4:$D$603,$Z1179-5200)=0,"",INDEX(次果筐明细!$D$4:$D$603,$Z1179-5200)),"")))))</f>
        <v/>
      </c>
      <c r="G1179" s="24" t="str">
        <f>IF($Z1179="","",IF($Z1179&lt;=2000,IF(INDEX(包装物料出入库明细!$F$4:$F$2003,$Z1179-0)=0,"",INDEX(包装物料出入库明细!$F$4:$F$2003,$Z1179-0)),IF($Z1179&lt;=4000,"",IF($Z1179&lt;=5200,"",IF($Z1179&lt;=5800,"","")))))</f>
        <v/>
      </c>
      <c r="H1179" s="39" t="str">
        <f>IF($Z1179="","",IF($Z1179&lt;=2000,IF(INDEX(包装物料出入库明细!$L$4:$L$2003,$Z1179-0)=0,"",INDEX(包装物料出入库明细!$L$4:$L$2003,$Z1179-0)),IF($Z1179&lt;=4000,N(INDEX(周转筐出入库明细!$H$4:$H$2004,$Z1179-2000))+N(INDEX(周转筐出入库明细!$I$4:$I$2004,$Z1179-2000))+N(INDEX(周转筐出入库明细!$J$4:$J$2004,$Z1179-2000))+N(INDEX(周转筐出入库明细!$K$4:$K$2004,$Z1179-2000)),IF($Z1179&lt;=5200,N(INDEX(客户自备加工筐明细!$F$4:$F$1203,$Z1179-4000))+N(INDEX(客户自备加工筐明细!$G$4:$G$1203,$Z1179-4000)),IF($Z1179&lt;=5800,IF(INDEX(次果筐明细!$G$4:$G$603,$Z1179-5200)=0,"",INDEX(次果筐明细!$G$4:$G$603,$Z1179-5200)),"")))))</f>
        <v/>
      </c>
      <c r="I1179" s="24" t="str">
        <f>IF($Z1179="","",IF($Z1179&lt;=2000,IF(INDEX(包装物料出入库明细!$G$4:$G$2003,$Z1179-0)=0,"",INDEX(包装物料出入库明细!$G$4:$G$2003,$Z1179-0)),IF($Z1179&lt;=4000,"个",IF($Z1179&lt;=5200,"个",IF($Z1179&lt;=5800,"个","")))))</f>
        <v/>
      </c>
      <c r="J1179" s="30" t="str">
        <f t="shared" si="55"/>
        <v/>
      </c>
      <c r="K1179" s="30" t="str">
        <f>IF($Z1179="","",IF($Z1179&lt;=2000,IF(INDEX(包装物料出入库明细!$N$4:$N$2003,$Z1179-0)=0,"",INDEX(包装物料出入库明细!$N$4:$N$2003,$Z1179-0)),IF($Z1179&lt;=4000,IF(INDEX(周转筐出入库明细!$P$4:$P$2004,$Z1179-2000)=0,"",INDEX(周转筐出入库明细!$P$4:$P$2004,$Z1179-2000)),IF($Z1179&lt;=5200,"",IF($Z1179&lt;=5800,N(INDEX(次果筐明细!$L$4:$L$603,$Z1179-5200))+N(INDEX(次果筐明细!$J$4:$J$603,$Z1179-5200)),"")))))</f>
        <v/>
      </c>
      <c r="L1179" s="24" t="str">
        <f>IF($Z1179="","",IF($Z1179&lt;=2000,IF(INDEX(包装物料出入库明细!$P$4:$P$2003,$Z1179-0)=0,"",INDEX(包装物料出入库明细!$P$4:$P$2003,$Z1179-0)),IF($Z1179&lt;=4000,IF(INDEX(周转筐出入库明细!$Q$4:$Q$2004,$Z1179-2000)=0,"",INDEX(周转筐出入库明细!$Q$4:$Q$2004,$Z1179-2000)),IF($Z1179&lt;=5200,"",IF($Z1179&lt;=5800,IF(INDEX(次果筐明细!$M$4:$M$603,$Z1179-5200)=0,"",INDEX(次果筐明细!$M$4:$M$603,$Z1179-5200)),"")))))</f>
        <v/>
      </c>
      <c r="M1179" s="37" t="str">
        <f>IF($Z1179="","",IF($Z1179&lt;=2000,IF(INDEX(包装物料出入库明细!$R$4:$R$2003,$Z1179-0)=0,"",INDEX(包装物料出入库明细!$R$4:$R$2003,$Z1179-0)),IF($Z1179&lt;=4000,IF(INDEX(周转筐出入库明细!$W$4:$W$2004,$Z1179-2000)=0,"",INDEX(周转筐出入库明细!$W$4:$W$2004,$Z1179-2000)),IF($Z1179&lt;=5200,IF(INDEX(客户自备加工筐明细!$L$4:$L$1203,$Z1179-4000)=0,"",INDEX(客户自备加工筐明细!$L$4:$L$1203,$Z1179-4000)),IF($Z1179&lt;=5800,IF(INDEX(次果筐明细!$P$4:$P$603,$Z1179-5200)=0,"",INDEX(次果筐明细!$P$4:$P$603,$Z1179-5200)),"")))))</f>
        <v/>
      </c>
      <c r="N1179" s="16" t="str">
        <f>IF($Z1179="","",IF($Z1179&lt;=2000,"",IF($Z1179&lt;=4000,IF(INDEX(周转筐出入库明细!$D$4:$D$2004,$Z1179-2000)=0,"",INDEX(周转筐出入库明细!$D$4:$D$2004,$Z1179-2000)),IF($Z1179&lt;=5200,IF(INDEX(客户自备加工筐明细!$C$4:$C$1203,$Z1179-4000)=0,"",INDEX(客户自备加工筐明细!$C$4:$C$1203,$Z1179-4000)),IF($Z1179&lt;=5800,IF(INDEX(次果筐明细!$D$4:$D$603,$Z1179-5200)=0,"",INDEX(次果筐明细!$D$4:$D$603,$Z1179-5200)),"")))))</f>
        <v/>
      </c>
      <c r="O1179" s="40" t="str">
        <f>IF($Z1179="","",IF($Z1179&lt;=2000,"",IF($Z1179&lt;=4000,IF(N(INDEX(周转筐出入库明细!$J$4:$J$2004,$Z1179-2000))+N(INDEX(周转筐出入库明细!$K$4:$K$2004,$Z1179-2000))=0,"",N(INDEX(周转筐出入库明细!$J$4:$J$2004,$Z1179-2000))+N(INDEX(周转筐出入库明细!$K$4:$K$2004,$Z1179-2000))),IF($Z1179&lt;=5200,IF(N(INDEX(客户自备加工筐明细!$G$4:$G$1203,$Z1179-4000))=0,"",N(INDEX(客户自备加工筐明细!$G$4:$G$1203,$Z1179-4000))),IF($Z1179&lt;=5800,IF(ISNUMBER(SEARCH("退",INDEX(次果筐明细!$F$4:$F$603,$Z1179-5200)&amp;"")),"",IF(N(INDEX(次果筐明细!$G$4:$G$603,$Z1179-5200))=0,"",N(INDEX(次果筐明细!$G$4:$G$603,$Z1179-5200)))),"")))))</f>
        <v/>
      </c>
      <c r="P1179" s="40" t="str">
        <f>IF($Z1179="","",IF($Z1179&lt;=2000,"",IF($Z1179&lt;=4000,IF(N(INDEX(周转筐出入库明细!$I$4:$I$2004,$Z1179-2000))=0,"",N(INDEX(周转筐出入库明细!$I$4:$I$2004,$Z1179-2000))),IF($Z1179&lt;=5200,"",IF($Z1179&lt;=5800,IF(ISNUMBER(SEARCH("退",INDEX(次果筐明细!$F$4:$F$603,$Z1179-5200)&amp;"")),IF(N(INDEX(次果筐明细!$G$4:$G$603,$Z1179-5200))=0,"",N(INDEX(次果筐明细!$G$4:$G$603,$Z1179-5200))),""),"")))))</f>
        <v/>
      </c>
      <c r="Q1179" s="40" t="str">
        <f>IF($Z1179="","",IF($Z1179&lt;=2000,"",IF($Z1179&lt;=4000,IF(N(INDEX(周转筐出入库明细!$H$4:$H$2004,$Z1179-2000))=0,"",N(INDEX(周转筐出入库明细!$H$4:$H$2004,$Z1179-2000))),IF($Z1179&lt;=5200,IF(N(INDEX(客户自备加工筐明细!$F$4:$F$1203,$Z1179-4000))=0,"",N(INDEX(客户自备加工筐明细!$F$4:$F$1203,$Z1179-4000))),IF($Z1179&lt;=5800,"","")))))</f>
        <v/>
      </c>
      <c r="R1179" s="16" t="str">
        <f>IF($Z1179="","",IF($Z1179&lt;=2000,IF(INDEX(包装物料出入库明细!$O$4:$O$2003,$Z1179-0)=0,"",INDEX(包装物料出入库明细!$O$4:$O$2003,$Z1179-0)),IF($Z1179&lt;=4000,IF(INDEX(周转筐出入库明细!$M$4:$M$2004,$Z1179-2000)=0,"",INDEX(周转筐出入库明细!$M$4:$M$2004,$Z1179-2000)),IF($Z1179&lt;=5200,IF(INDEX(客户自备加工筐明细!$H$4:$H$1203,$Z1179-4000)=0,"",INDEX(客户自备加工筐明细!$H$4:$H$1203,$Z1179-4000)),IF($Z1179&lt;=5800,IF(INDEX(次果筐明细!$H$4:$H$603,$Z1179-5200)=0,"",INDEX(次果筐明细!$H$4:$H$603,$Z1179-5200)),"")))))</f>
        <v/>
      </c>
      <c r="S1179" s="22" t="str">
        <f t="shared" si="56"/>
        <v/>
      </c>
      <c r="Z1179" s="10" t="str">
        <f>IFERROR(MATCH(ROW()-3,_自动清单!$CQ$4:$CQ$5803,0),"")</f>
        <v/>
      </c>
    </row>
    <row r="1180" spans="1:26">
      <c r="A1180" s="24" t="str">
        <f t="shared" si="54"/>
        <v/>
      </c>
      <c r="B1180" s="38" t="str">
        <f>IF($Z1180="","",IF($Z1180&lt;=2000,IF(INDEX(包装物料出入库明细!$B$4:$B$2003,$Z1180-0)=0,"",INDEX(包装物料出入库明细!$B$4:$B$2003,$Z1180-0)),IF($Z1180&lt;=4000,IF(INDEX(周转筐出入库明细!$B$4:$B$2004,$Z1180-2000)=0,"",INDEX(周转筐出入库明细!$B$4:$B$2004,$Z1180-2000)),IF($Z1180&lt;=5200,IF(INDEX(客户自备加工筐明细!$B$4:$B$1203,$Z1180-4000)=0,"",INDEX(客户自备加工筐明细!$B$4:$B$1203,$Z1180-4000)),IF($Z1180&lt;=5800,IF(INDEX(次果筐明细!$B$4:$B$603,$Z1180-5200)=0,"",INDEX(次果筐明细!$B$4:$B$603,$Z1180-5200)),"")))))</f>
        <v/>
      </c>
      <c r="C1180" s="37" t="str">
        <f>IF($Z1180="","",IF($Z1180&lt;=2000,IF(INDEX(包装物料出入库明细!$D$4:$D$2003,$Z1180-0)=0,"",INDEX(包装物料出入库明细!$D$4:$D$2003,$Z1180-0)),IF($Z1180&lt;=4000,IF(INDEX(周转筐出入库明细!$C$4:$C$2004,$Z1180-2000)=0,"",INDEX(周转筐出入库明细!$C$4:$C$2004,$Z1180-2000)),IF($Z1180&lt;=5200,IF(INDEX(客户自备加工筐明细!$E$4:$E$1203,$Z1180-4000)=0,"",INDEX(客户自备加工筐明细!$E$4:$E$1203,$Z1180-4000)),IF($Z1180&lt;=5800,IF(INDEX(次果筐明细!$C$4:$C$603,$Z1180-5200)=0,"",INDEX(次果筐明细!$C$4:$C$603,$Z1180-5200)),"")))))</f>
        <v/>
      </c>
      <c r="D1180" s="37" t="str">
        <f>IF($Z1180="","",IF($Z1180&lt;=2000,"包装物料－"&amp;INDEX(包装物料出入库明细!$H$4:$H$2003,$Z1180-0),IF($Z1180&lt;=4000,"周转筐－"&amp;INDEX(周转筐出入库明细!$F$4:$F$2004,$Z1180-2000),IF($Z1180&lt;=5200,"客户自备筐－"&amp;INDEX(客户自备加工筐明细!$J$4:$J$1203,$Z1180-4000),IF($Z1180&lt;=5800,"次果筐/托盘－"&amp;INDEX(次果筐明细!$F$4:$F$603,$Z1180-5200),"")))))</f>
        <v/>
      </c>
      <c r="E1180" s="24" t="str">
        <f>IF($Z1180="","",IF($Z1180&lt;=2000,IF(INDEX(包装物料出入库明细!$C$4:$C$2003,$Z1180-0)=0,"",INDEX(包装物料出入库明细!$C$4:$C$2003,$Z1180-0)),IF($Z1180&lt;=4000,IF(INDEX(周转筐出入库明细!$E$4:$E$2004,$Z1180-2000)=0,"",INDEX(周转筐出入库明细!$E$4:$E$2004,$Z1180-2000)),IF($Z1180&lt;=5200,IF(INDEX(客户自备加工筐明细!$D$4:$D$1203,$Z1180-4000)=0,"",INDEX(客户自备加工筐明细!$D$4:$D$1203,$Z1180-4000)),IF($Z1180&lt;=5800,IF(INDEX(次果筐明细!$E$4:$E$603,$Z1180-5200)=0,"",INDEX(次果筐明细!$E$4:$E$603,$Z1180-5200)),"")))))</f>
        <v/>
      </c>
      <c r="F1180" s="24" t="str">
        <f>IF($Z1180="","",IF($Z1180&lt;=2000,IF(INDEX(包装物料出入库明细!$E$4:$E$2003,$Z1180-0)=0,"",INDEX(包装物料出入库明细!$E$4:$E$2003,$Z1180-0)),IF($Z1180&lt;=4000,IF(INDEX(周转筐出入库明细!$D$4:$D$2004,$Z1180-2000)=0,"",INDEX(周转筐出入库明细!$D$4:$D$2004,$Z1180-2000)),IF($Z1180&lt;=5200,IF(INDEX(客户自备加工筐明细!$C$4:$C$1203,$Z1180-4000)=0,"",INDEX(客户自备加工筐明细!$C$4:$C$1203,$Z1180-4000)),IF($Z1180&lt;=5800,IF(INDEX(次果筐明细!$D$4:$D$603,$Z1180-5200)=0,"",INDEX(次果筐明细!$D$4:$D$603,$Z1180-5200)),"")))))</f>
        <v/>
      </c>
      <c r="G1180" s="24" t="str">
        <f>IF($Z1180="","",IF($Z1180&lt;=2000,IF(INDEX(包装物料出入库明细!$F$4:$F$2003,$Z1180-0)=0,"",INDEX(包装物料出入库明细!$F$4:$F$2003,$Z1180-0)),IF($Z1180&lt;=4000,"",IF($Z1180&lt;=5200,"",IF($Z1180&lt;=5800,"","")))))</f>
        <v/>
      </c>
      <c r="H1180" s="39" t="str">
        <f>IF($Z1180="","",IF($Z1180&lt;=2000,IF(INDEX(包装物料出入库明细!$L$4:$L$2003,$Z1180-0)=0,"",INDEX(包装物料出入库明细!$L$4:$L$2003,$Z1180-0)),IF($Z1180&lt;=4000,N(INDEX(周转筐出入库明细!$H$4:$H$2004,$Z1180-2000))+N(INDEX(周转筐出入库明细!$I$4:$I$2004,$Z1180-2000))+N(INDEX(周转筐出入库明细!$J$4:$J$2004,$Z1180-2000))+N(INDEX(周转筐出入库明细!$K$4:$K$2004,$Z1180-2000)),IF($Z1180&lt;=5200,N(INDEX(客户自备加工筐明细!$F$4:$F$1203,$Z1180-4000))+N(INDEX(客户自备加工筐明细!$G$4:$G$1203,$Z1180-4000)),IF($Z1180&lt;=5800,IF(INDEX(次果筐明细!$G$4:$G$603,$Z1180-5200)=0,"",INDEX(次果筐明细!$G$4:$G$603,$Z1180-5200)),"")))))</f>
        <v/>
      </c>
      <c r="I1180" s="24" t="str">
        <f>IF($Z1180="","",IF($Z1180&lt;=2000,IF(INDEX(包装物料出入库明细!$G$4:$G$2003,$Z1180-0)=0,"",INDEX(包装物料出入库明细!$G$4:$G$2003,$Z1180-0)),IF($Z1180&lt;=4000,"个",IF($Z1180&lt;=5200,"个",IF($Z1180&lt;=5800,"个","")))))</f>
        <v/>
      </c>
      <c r="J1180" s="30" t="str">
        <f t="shared" si="55"/>
        <v/>
      </c>
      <c r="K1180" s="30" t="str">
        <f>IF($Z1180="","",IF($Z1180&lt;=2000,IF(INDEX(包装物料出入库明细!$N$4:$N$2003,$Z1180-0)=0,"",INDEX(包装物料出入库明细!$N$4:$N$2003,$Z1180-0)),IF($Z1180&lt;=4000,IF(INDEX(周转筐出入库明细!$P$4:$P$2004,$Z1180-2000)=0,"",INDEX(周转筐出入库明细!$P$4:$P$2004,$Z1180-2000)),IF($Z1180&lt;=5200,"",IF($Z1180&lt;=5800,N(INDEX(次果筐明细!$L$4:$L$603,$Z1180-5200))+N(INDEX(次果筐明细!$J$4:$J$603,$Z1180-5200)),"")))))</f>
        <v/>
      </c>
      <c r="L1180" s="24" t="str">
        <f>IF($Z1180="","",IF($Z1180&lt;=2000,IF(INDEX(包装物料出入库明细!$P$4:$P$2003,$Z1180-0)=0,"",INDEX(包装物料出入库明细!$P$4:$P$2003,$Z1180-0)),IF($Z1180&lt;=4000,IF(INDEX(周转筐出入库明细!$Q$4:$Q$2004,$Z1180-2000)=0,"",INDEX(周转筐出入库明细!$Q$4:$Q$2004,$Z1180-2000)),IF($Z1180&lt;=5200,"",IF($Z1180&lt;=5800,IF(INDEX(次果筐明细!$M$4:$M$603,$Z1180-5200)=0,"",INDEX(次果筐明细!$M$4:$M$603,$Z1180-5200)),"")))))</f>
        <v/>
      </c>
      <c r="M1180" s="37" t="str">
        <f>IF($Z1180="","",IF($Z1180&lt;=2000,IF(INDEX(包装物料出入库明细!$R$4:$R$2003,$Z1180-0)=0,"",INDEX(包装物料出入库明细!$R$4:$R$2003,$Z1180-0)),IF($Z1180&lt;=4000,IF(INDEX(周转筐出入库明细!$W$4:$W$2004,$Z1180-2000)=0,"",INDEX(周转筐出入库明细!$W$4:$W$2004,$Z1180-2000)),IF($Z1180&lt;=5200,IF(INDEX(客户自备加工筐明细!$L$4:$L$1203,$Z1180-4000)=0,"",INDEX(客户自备加工筐明细!$L$4:$L$1203,$Z1180-4000)),IF($Z1180&lt;=5800,IF(INDEX(次果筐明细!$P$4:$P$603,$Z1180-5200)=0,"",INDEX(次果筐明细!$P$4:$P$603,$Z1180-5200)),"")))))</f>
        <v/>
      </c>
      <c r="N1180" s="16" t="str">
        <f>IF($Z1180="","",IF($Z1180&lt;=2000,"",IF($Z1180&lt;=4000,IF(INDEX(周转筐出入库明细!$D$4:$D$2004,$Z1180-2000)=0,"",INDEX(周转筐出入库明细!$D$4:$D$2004,$Z1180-2000)),IF($Z1180&lt;=5200,IF(INDEX(客户自备加工筐明细!$C$4:$C$1203,$Z1180-4000)=0,"",INDEX(客户自备加工筐明细!$C$4:$C$1203,$Z1180-4000)),IF($Z1180&lt;=5800,IF(INDEX(次果筐明细!$D$4:$D$603,$Z1180-5200)=0,"",INDEX(次果筐明细!$D$4:$D$603,$Z1180-5200)),"")))))</f>
        <v/>
      </c>
      <c r="O1180" s="40" t="str">
        <f>IF($Z1180="","",IF($Z1180&lt;=2000,"",IF($Z1180&lt;=4000,IF(N(INDEX(周转筐出入库明细!$J$4:$J$2004,$Z1180-2000))+N(INDEX(周转筐出入库明细!$K$4:$K$2004,$Z1180-2000))=0,"",N(INDEX(周转筐出入库明细!$J$4:$J$2004,$Z1180-2000))+N(INDEX(周转筐出入库明细!$K$4:$K$2004,$Z1180-2000))),IF($Z1180&lt;=5200,IF(N(INDEX(客户自备加工筐明细!$G$4:$G$1203,$Z1180-4000))=0,"",N(INDEX(客户自备加工筐明细!$G$4:$G$1203,$Z1180-4000))),IF($Z1180&lt;=5800,IF(ISNUMBER(SEARCH("退",INDEX(次果筐明细!$F$4:$F$603,$Z1180-5200)&amp;"")),"",IF(N(INDEX(次果筐明细!$G$4:$G$603,$Z1180-5200))=0,"",N(INDEX(次果筐明细!$G$4:$G$603,$Z1180-5200)))),"")))))</f>
        <v/>
      </c>
      <c r="P1180" s="40" t="str">
        <f>IF($Z1180="","",IF($Z1180&lt;=2000,"",IF($Z1180&lt;=4000,IF(N(INDEX(周转筐出入库明细!$I$4:$I$2004,$Z1180-2000))=0,"",N(INDEX(周转筐出入库明细!$I$4:$I$2004,$Z1180-2000))),IF($Z1180&lt;=5200,"",IF($Z1180&lt;=5800,IF(ISNUMBER(SEARCH("退",INDEX(次果筐明细!$F$4:$F$603,$Z1180-5200)&amp;"")),IF(N(INDEX(次果筐明细!$G$4:$G$603,$Z1180-5200))=0,"",N(INDEX(次果筐明细!$G$4:$G$603,$Z1180-5200))),""),"")))))</f>
        <v/>
      </c>
      <c r="Q1180" s="40" t="str">
        <f>IF($Z1180="","",IF($Z1180&lt;=2000,"",IF($Z1180&lt;=4000,IF(N(INDEX(周转筐出入库明细!$H$4:$H$2004,$Z1180-2000))=0,"",N(INDEX(周转筐出入库明细!$H$4:$H$2004,$Z1180-2000))),IF($Z1180&lt;=5200,IF(N(INDEX(客户自备加工筐明细!$F$4:$F$1203,$Z1180-4000))=0,"",N(INDEX(客户自备加工筐明细!$F$4:$F$1203,$Z1180-4000))),IF($Z1180&lt;=5800,"","")))))</f>
        <v/>
      </c>
      <c r="R1180" s="16" t="str">
        <f>IF($Z1180="","",IF($Z1180&lt;=2000,IF(INDEX(包装物料出入库明细!$O$4:$O$2003,$Z1180-0)=0,"",INDEX(包装物料出入库明细!$O$4:$O$2003,$Z1180-0)),IF($Z1180&lt;=4000,IF(INDEX(周转筐出入库明细!$M$4:$M$2004,$Z1180-2000)=0,"",INDEX(周转筐出入库明细!$M$4:$M$2004,$Z1180-2000)),IF($Z1180&lt;=5200,IF(INDEX(客户自备加工筐明细!$H$4:$H$1203,$Z1180-4000)=0,"",INDEX(客户自备加工筐明细!$H$4:$H$1203,$Z1180-4000)),IF($Z1180&lt;=5800,IF(INDEX(次果筐明细!$H$4:$H$603,$Z1180-5200)=0,"",INDEX(次果筐明细!$H$4:$H$603,$Z1180-5200)),"")))))</f>
        <v/>
      </c>
      <c r="S1180" s="22" t="str">
        <f t="shared" si="56"/>
        <v/>
      </c>
      <c r="Z1180" s="10" t="str">
        <f>IFERROR(MATCH(ROW()-3,_自动清单!$CQ$4:$CQ$5803,0),"")</f>
        <v/>
      </c>
    </row>
    <row r="1181" spans="1:26">
      <c r="A1181" s="24" t="str">
        <f t="shared" si="54"/>
        <v/>
      </c>
      <c r="B1181" s="38" t="str">
        <f>IF($Z1181="","",IF($Z1181&lt;=2000,IF(INDEX(包装物料出入库明细!$B$4:$B$2003,$Z1181-0)=0,"",INDEX(包装物料出入库明细!$B$4:$B$2003,$Z1181-0)),IF($Z1181&lt;=4000,IF(INDEX(周转筐出入库明细!$B$4:$B$2004,$Z1181-2000)=0,"",INDEX(周转筐出入库明细!$B$4:$B$2004,$Z1181-2000)),IF($Z1181&lt;=5200,IF(INDEX(客户自备加工筐明细!$B$4:$B$1203,$Z1181-4000)=0,"",INDEX(客户自备加工筐明细!$B$4:$B$1203,$Z1181-4000)),IF($Z1181&lt;=5800,IF(INDEX(次果筐明细!$B$4:$B$603,$Z1181-5200)=0,"",INDEX(次果筐明细!$B$4:$B$603,$Z1181-5200)),"")))))</f>
        <v/>
      </c>
      <c r="C1181" s="37" t="str">
        <f>IF($Z1181="","",IF($Z1181&lt;=2000,IF(INDEX(包装物料出入库明细!$D$4:$D$2003,$Z1181-0)=0,"",INDEX(包装物料出入库明细!$D$4:$D$2003,$Z1181-0)),IF($Z1181&lt;=4000,IF(INDEX(周转筐出入库明细!$C$4:$C$2004,$Z1181-2000)=0,"",INDEX(周转筐出入库明细!$C$4:$C$2004,$Z1181-2000)),IF($Z1181&lt;=5200,IF(INDEX(客户自备加工筐明细!$E$4:$E$1203,$Z1181-4000)=0,"",INDEX(客户自备加工筐明细!$E$4:$E$1203,$Z1181-4000)),IF($Z1181&lt;=5800,IF(INDEX(次果筐明细!$C$4:$C$603,$Z1181-5200)=0,"",INDEX(次果筐明细!$C$4:$C$603,$Z1181-5200)),"")))))</f>
        <v/>
      </c>
      <c r="D1181" s="37" t="str">
        <f>IF($Z1181="","",IF($Z1181&lt;=2000,"包装物料－"&amp;INDEX(包装物料出入库明细!$H$4:$H$2003,$Z1181-0),IF($Z1181&lt;=4000,"周转筐－"&amp;INDEX(周转筐出入库明细!$F$4:$F$2004,$Z1181-2000),IF($Z1181&lt;=5200,"客户自备筐－"&amp;INDEX(客户自备加工筐明细!$J$4:$J$1203,$Z1181-4000),IF($Z1181&lt;=5800,"次果筐/托盘－"&amp;INDEX(次果筐明细!$F$4:$F$603,$Z1181-5200),"")))))</f>
        <v/>
      </c>
      <c r="E1181" s="24" t="str">
        <f>IF($Z1181="","",IF($Z1181&lt;=2000,IF(INDEX(包装物料出入库明细!$C$4:$C$2003,$Z1181-0)=0,"",INDEX(包装物料出入库明细!$C$4:$C$2003,$Z1181-0)),IF($Z1181&lt;=4000,IF(INDEX(周转筐出入库明细!$E$4:$E$2004,$Z1181-2000)=0,"",INDEX(周转筐出入库明细!$E$4:$E$2004,$Z1181-2000)),IF($Z1181&lt;=5200,IF(INDEX(客户自备加工筐明细!$D$4:$D$1203,$Z1181-4000)=0,"",INDEX(客户自备加工筐明细!$D$4:$D$1203,$Z1181-4000)),IF($Z1181&lt;=5800,IF(INDEX(次果筐明细!$E$4:$E$603,$Z1181-5200)=0,"",INDEX(次果筐明细!$E$4:$E$603,$Z1181-5200)),"")))))</f>
        <v/>
      </c>
      <c r="F1181" s="24" t="str">
        <f>IF($Z1181="","",IF($Z1181&lt;=2000,IF(INDEX(包装物料出入库明细!$E$4:$E$2003,$Z1181-0)=0,"",INDEX(包装物料出入库明细!$E$4:$E$2003,$Z1181-0)),IF($Z1181&lt;=4000,IF(INDEX(周转筐出入库明细!$D$4:$D$2004,$Z1181-2000)=0,"",INDEX(周转筐出入库明细!$D$4:$D$2004,$Z1181-2000)),IF($Z1181&lt;=5200,IF(INDEX(客户自备加工筐明细!$C$4:$C$1203,$Z1181-4000)=0,"",INDEX(客户自备加工筐明细!$C$4:$C$1203,$Z1181-4000)),IF($Z1181&lt;=5800,IF(INDEX(次果筐明细!$D$4:$D$603,$Z1181-5200)=0,"",INDEX(次果筐明细!$D$4:$D$603,$Z1181-5200)),"")))))</f>
        <v/>
      </c>
      <c r="G1181" s="24" t="str">
        <f>IF($Z1181="","",IF($Z1181&lt;=2000,IF(INDEX(包装物料出入库明细!$F$4:$F$2003,$Z1181-0)=0,"",INDEX(包装物料出入库明细!$F$4:$F$2003,$Z1181-0)),IF($Z1181&lt;=4000,"",IF($Z1181&lt;=5200,"",IF($Z1181&lt;=5800,"","")))))</f>
        <v/>
      </c>
      <c r="H1181" s="39" t="str">
        <f>IF($Z1181="","",IF($Z1181&lt;=2000,IF(INDEX(包装物料出入库明细!$L$4:$L$2003,$Z1181-0)=0,"",INDEX(包装物料出入库明细!$L$4:$L$2003,$Z1181-0)),IF($Z1181&lt;=4000,N(INDEX(周转筐出入库明细!$H$4:$H$2004,$Z1181-2000))+N(INDEX(周转筐出入库明细!$I$4:$I$2004,$Z1181-2000))+N(INDEX(周转筐出入库明细!$J$4:$J$2004,$Z1181-2000))+N(INDEX(周转筐出入库明细!$K$4:$K$2004,$Z1181-2000)),IF($Z1181&lt;=5200,N(INDEX(客户自备加工筐明细!$F$4:$F$1203,$Z1181-4000))+N(INDEX(客户自备加工筐明细!$G$4:$G$1203,$Z1181-4000)),IF($Z1181&lt;=5800,IF(INDEX(次果筐明细!$G$4:$G$603,$Z1181-5200)=0,"",INDEX(次果筐明细!$G$4:$G$603,$Z1181-5200)),"")))))</f>
        <v/>
      </c>
      <c r="I1181" s="24" t="str">
        <f>IF($Z1181="","",IF($Z1181&lt;=2000,IF(INDEX(包装物料出入库明细!$G$4:$G$2003,$Z1181-0)=0,"",INDEX(包装物料出入库明细!$G$4:$G$2003,$Z1181-0)),IF($Z1181&lt;=4000,"个",IF($Z1181&lt;=5200,"个",IF($Z1181&lt;=5800,"个","")))))</f>
        <v/>
      </c>
      <c r="J1181" s="30" t="str">
        <f t="shared" si="55"/>
        <v/>
      </c>
      <c r="K1181" s="30" t="str">
        <f>IF($Z1181="","",IF($Z1181&lt;=2000,IF(INDEX(包装物料出入库明细!$N$4:$N$2003,$Z1181-0)=0,"",INDEX(包装物料出入库明细!$N$4:$N$2003,$Z1181-0)),IF($Z1181&lt;=4000,IF(INDEX(周转筐出入库明细!$P$4:$P$2004,$Z1181-2000)=0,"",INDEX(周转筐出入库明细!$P$4:$P$2004,$Z1181-2000)),IF($Z1181&lt;=5200,"",IF($Z1181&lt;=5800,N(INDEX(次果筐明细!$L$4:$L$603,$Z1181-5200))+N(INDEX(次果筐明细!$J$4:$J$603,$Z1181-5200)),"")))))</f>
        <v/>
      </c>
      <c r="L1181" s="24" t="str">
        <f>IF($Z1181="","",IF($Z1181&lt;=2000,IF(INDEX(包装物料出入库明细!$P$4:$P$2003,$Z1181-0)=0,"",INDEX(包装物料出入库明细!$P$4:$P$2003,$Z1181-0)),IF($Z1181&lt;=4000,IF(INDEX(周转筐出入库明细!$Q$4:$Q$2004,$Z1181-2000)=0,"",INDEX(周转筐出入库明细!$Q$4:$Q$2004,$Z1181-2000)),IF($Z1181&lt;=5200,"",IF($Z1181&lt;=5800,IF(INDEX(次果筐明细!$M$4:$M$603,$Z1181-5200)=0,"",INDEX(次果筐明细!$M$4:$M$603,$Z1181-5200)),"")))))</f>
        <v/>
      </c>
      <c r="M1181" s="37" t="str">
        <f>IF($Z1181="","",IF($Z1181&lt;=2000,IF(INDEX(包装物料出入库明细!$R$4:$R$2003,$Z1181-0)=0,"",INDEX(包装物料出入库明细!$R$4:$R$2003,$Z1181-0)),IF($Z1181&lt;=4000,IF(INDEX(周转筐出入库明细!$W$4:$W$2004,$Z1181-2000)=0,"",INDEX(周转筐出入库明细!$W$4:$W$2004,$Z1181-2000)),IF($Z1181&lt;=5200,IF(INDEX(客户自备加工筐明细!$L$4:$L$1203,$Z1181-4000)=0,"",INDEX(客户自备加工筐明细!$L$4:$L$1203,$Z1181-4000)),IF($Z1181&lt;=5800,IF(INDEX(次果筐明细!$P$4:$P$603,$Z1181-5200)=0,"",INDEX(次果筐明细!$P$4:$P$603,$Z1181-5200)),"")))))</f>
        <v/>
      </c>
      <c r="N1181" s="16" t="str">
        <f>IF($Z1181="","",IF($Z1181&lt;=2000,"",IF($Z1181&lt;=4000,IF(INDEX(周转筐出入库明细!$D$4:$D$2004,$Z1181-2000)=0,"",INDEX(周转筐出入库明细!$D$4:$D$2004,$Z1181-2000)),IF($Z1181&lt;=5200,IF(INDEX(客户自备加工筐明细!$C$4:$C$1203,$Z1181-4000)=0,"",INDEX(客户自备加工筐明细!$C$4:$C$1203,$Z1181-4000)),IF($Z1181&lt;=5800,IF(INDEX(次果筐明细!$D$4:$D$603,$Z1181-5200)=0,"",INDEX(次果筐明细!$D$4:$D$603,$Z1181-5200)),"")))))</f>
        <v/>
      </c>
      <c r="O1181" s="40" t="str">
        <f>IF($Z1181="","",IF($Z1181&lt;=2000,"",IF($Z1181&lt;=4000,IF(N(INDEX(周转筐出入库明细!$J$4:$J$2004,$Z1181-2000))+N(INDEX(周转筐出入库明细!$K$4:$K$2004,$Z1181-2000))=0,"",N(INDEX(周转筐出入库明细!$J$4:$J$2004,$Z1181-2000))+N(INDEX(周转筐出入库明细!$K$4:$K$2004,$Z1181-2000))),IF($Z1181&lt;=5200,IF(N(INDEX(客户自备加工筐明细!$G$4:$G$1203,$Z1181-4000))=0,"",N(INDEX(客户自备加工筐明细!$G$4:$G$1203,$Z1181-4000))),IF($Z1181&lt;=5800,IF(ISNUMBER(SEARCH("退",INDEX(次果筐明细!$F$4:$F$603,$Z1181-5200)&amp;"")),"",IF(N(INDEX(次果筐明细!$G$4:$G$603,$Z1181-5200))=0,"",N(INDEX(次果筐明细!$G$4:$G$603,$Z1181-5200)))),"")))))</f>
        <v/>
      </c>
      <c r="P1181" s="40" t="str">
        <f>IF($Z1181="","",IF($Z1181&lt;=2000,"",IF($Z1181&lt;=4000,IF(N(INDEX(周转筐出入库明细!$I$4:$I$2004,$Z1181-2000))=0,"",N(INDEX(周转筐出入库明细!$I$4:$I$2004,$Z1181-2000))),IF($Z1181&lt;=5200,"",IF($Z1181&lt;=5800,IF(ISNUMBER(SEARCH("退",INDEX(次果筐明细!$F$4:$F$603,$Z1181-5200)&amp;"")),IF(N(INDEX(次果筐明细!$G$4:$G$603,$Z1181-5200))=0,"",N(INDEX(次果筐明细!$G$4:$G$603,$Z1181-5200))),""),"")))))</f>
        <v/>
      </c>
      <c r="Q1181" s="40" t="str">
        <f>IF($Z1181="","",IF($Z1181&lt;=2000,"",IF($Z1181&lt;=4000,IF(N(INDEX(周转筐出入库明细!$H$4:$H$2004,$Z1181-2000))=0,"",N(INDEX(周转筐出入库明细!$H$4:$H$2004,$Z1181-2000))),IF($Z1181&lt;=5200,IF(N(INDEX(客户自备加工筐明细!$F$4:$F$1203,$Z1181-4000))=0,"",N(INDEX(客户自备加工筐明细!$F$4:$F$1203,$Z1181-4000))),IF($Z1181&lt;=5800,"","")))))</f>
        <v/>
      </c>
      <c r="R1181" s="16" t="str">
        <f>IF($Z1181="","",IF($Z1181&lt;=2000,IF(INDEX(包装物料出入库明细!$O$4:$O$2003,$Z1181-0)=0,"",INDEX(包装物料出入库明细!$O$4:$O$2003,$Z1181-0)),IF($Z1181&lt;=4000,IF(INDEX(周转筐出入库明细!$M$4:$M$2004,$Z1181-2000)=0,"",INDEX(周转筐出入库明细!$M$4:$M$2004,$Z1181-2000)),IF($Z1181&lt;=5200,IF(INDEX(客户自备加工筐明细!$H$4:$H$1203,$Z1181-4000)=0,"",INDEX(客户自备加工筐明细!$H$4:$H$1203,$Z1181-4000)),IF($Z1181&lt;=5800,IF(INDEX(次果筐明细!$H$4:$H$603,$Z1181-5200)=0,"",INDEX(次果筐明细!$H$4:$H$603,$Z1181-5200)),"")))))</f>
        <v/>
      </c>
      <c r="S1181" s="22" t="str">
        <f t="shared" si="56"/>
        <v/>
      </c>
      <c r="Z1181" s="10" t="str">
        <f>IFERROR(MATCH(ROW()-3,_自动清单!$CQ$4:$CQ$5803,0),"")</f>
        <v/>
      </c>
    </row>
    <row r="1182" spans="1:26">
      <c r="A1182" s="24" t="str">
        <f t="shared" si="54"/>
        <v/>
      </c>
      <c r="B1182" s="38" t="str">
        <f>IF($Z1182="","",IF($Z1182&lt;=2000,IF(INDEX(包装物料出入库明细!$B$4:$B$2003,$Z1182-0)=0,"",INDEX(包装物料出入库明细!$B$4:$B$2003,$Z1182-0)),IF($Z1182&lt;=4000,IF(INDEX(周转筐出入库明细!$B$4:$B$2004,$Z1182-2000)=0,"",INDEX(周转筐出入库明细!$B$4:$B$2004,$Z1182-2000)),IF($Z1182&lt;=5200,IF(INDEX(客户自备加工筐明细!$B$4:$B$1203,$Z1182-4000)=0,"",INDEX(客户自备加工筐明细!$B$4:$B$1203,$Z1182-4000)),IF($Z1182&lt;=5800,IF(INDEX(次果筐明细!$B$4:$B$603,$Z1182-5200)=0,"",INDEX(次果筐明细!$B$4:$B$603,$Z1182-5200)),"")))))</f>
        <v/>
      </c>
      <c r="C1182" s="37" t="str">
        <f>IF($Z1182="","",IF($Z1182&lt;=2000,IF(INDEX(包装物料出入库明细!$D$4:$D$2003,$Z1182-0)=0,"",INDEX(包装物料出入库明细!$D$4:$D$2003,$Z1182-0)),IF($Z1182&lt;=4000,IF(INDEX(周转筐出入库明细!$C$4:$C$2004,$Z1182-2000)=0,"",INDEX(周转筐出入库明细!$C$4:$C$2004,$Z1182-2000)),IF($Z1182&lt;=5200,IF(INDEX(客户自备加工筐明细!$E$4:$E$1203,$Z1182-4000)=0,"",INDEX(客户自备加工筐明细!$E$4:$E$1203,$Z1182-4000)),IF($Z1182&lt;=5800,IF(INDEX(次果筐明细!$C$4:$C$603,$Z1182-5200)=0,"",INDEX(次果筐明细!$C$4:$C$603,$Z1182-5200)),"")))))</f>
        <v/>
      </c>
      <c r="D1182" s="37" t="str">
        <f>IF($Z1182="","",IF($Z1182&lt;=2000,"包装物料－"&amp;INDEX(包装物料出入库明细!$H$4:$H$2003,$Z1182-0),IF($Z1182&lt;=4000,"周转筐－"&amp;INDEX(周转筐出入库明细!$F$4:$F$2004,$Z1182-2000),IF($Z1182&lt;=5200,"客户自备筐－"&amp;INDEX(客户自备加工筐明细!$J$4:$J$1203,$Z1182-4000),IF($Z1182&lt;=5800,"次果筐/托盘－"&amp;INDEX(次果筐明细!$F$4:$F$603,$Z1182-5200),"")))))</f>
        <v/>
      </c>
      <c r="E1182" s="24" t="str">
        <f>IF($Z1182="","",IF($Z1182&lt;=2000,IF(INDEX(包装物料出入库明细!$C$4:$C$2003,$Z1182-0)=0,"",INDEX(包装物料出入库明细!$C$4:$C$2003,$Z1182-0)),IF($Z1182&lt;=4000,IF(INDEX(周转筐出入库明细!$E$4:$E$2004,$Z1182-2000)=0,"",INDEX(周转筐出入库明细!$E$4:$E$2004,$Z1182-2000)),IF($Z1182&lt;=5200,IF(INDEX(客户自备加工筐明细!$D$4:$D$1203,$Z1182-4000)=0,"",INDEX(客户自备加工筐明细!$D$4:$D$1203,$Z1182-4000)),IF($Z1182&lt;=5800,IF(INDEX(次果筐明细!$E$4:$E$603,$Z1182-5200)=0,"",INDEX(次果筐明细!$E$4:$E$603,$Z1182-5200)),"")))))</f>
        <v/>
      </c>
      <c r="F1182" s="24" t="str">
        <f>IF($Z1182="","",IF($Z1182&lt;=2000,IF(INDEX(包装物料出入库明细!$E$4:$E$2003,$Z1182-0)=0,"",INDEX(包装物料出入库明细!$E$4:$E$2003,$Z1182-0)),IF($Z1182&lt;=4000,IF(INDEX(周转筐出入库明细!$D$4:$D$2004,$Z1182-2000)=0,"",INDEX(周转筐出入库明细!$D$4:$D$2004,$Z1182-2000)),IF($Z1182&lt;=5200,IF(INDEX(客户自备加工筐明细!$C$4:$C$1203,$Z1182-4000)=0,"",INDEX(客户自备加工筐明细!$C$4:$C$1203,$Z1182-4000)),IF($Z1182&lt;=5800,IF(INDEX(次果筐明细!$D$4:$D$603,$Z1182-5200)=0,"",INDEX(次果筐明细!$D$4:$D$603,$Z1182-5200)),"")))))</f>
        <v/>
      </c>
      <c r="G1182" s="24" t="str">
        <f>IF($Z1182="","",IF($Z1182&lt;=2000,IF(INDEX(包装物料出入库明细!$F$4:$F$2003,$Z1182-0)=0,"",INDEX(包装物料出入库明细!$F$4:$F$2003,$Z1182-0)),IF($Z1182&lt;=4000,"",IF($Z1182&lt;=5200,"",IF($Z1182&lt;=5800,"","")))))</f>
        <v/>
      </c>
      <c r="H1182" s="39" t="str">
        <f>IF($Z1182="","",IF($Z1182&lt;=2000,IF(INDEX(包装物料出入库明细!$L$4:$L$2003,$Z1182-0)=0,"",INDEX(包装物料出入库明细!$L$4:$L$2003,$Z1182-0)),IF($Z1182&lt;=4000,N(INDEX(周转筐出入库明细!$H$4:$H$2004,$Z1182-2000))+N(INDEX(周转筐出入库明细!$I$4:$I$2004,$Z1182-2000))+N(INDEX(周转筐出入库明细!$J$4:$J$2004,$Z1182-2000))+N(INDEX(周转筐出入库明细!$K$4:$K$2004,$Z1182-2000)),IF($Z1182&lt;=5200,N(INDEX(客户自备加工筐明细!$F$4:$F$1203,$Z1182-4000))+N(INDEX(客户自备加工筐明细!$G$4:$G$1203,$Z1182-4000)),IF($Z1182&lt;=5800,IF(INDEX(次果筐明细!$G$4:$G$603,$Z1182-5200)=0,"",INDEX(次果筐明细!$G$4:$G$603,$Z1182-5200)),"")))))</f>
        <v/>
      </c>
      <c r="I1182" s="24" t="str">
        <f>IF($Z1182="","",IF($Z1182&lt;=2000,IF(INDEX(包装物料出入库明细!$G$4:$G$2003,$Z1182-0)=0,"",INDEX(包装物料出入库明细!$G$4:$G$2003,$Z1182-0)),IF($Z1182&lt;=4000,"个",IF($Z1182&lt;=5200,"个",IF($Z1182&lt;=5800,"个","")))))</f>
        <v/>
      </c>
      <c r="J1182" s="30" t="str">
        <f t="shared" si="55"/>
        <v/>
      </c>
      <c r="K1182" s="30" t="str">
        <f>IF($Z1182="","",IF($Z1182&lt;=2000,IF(INDEX(包装物料出入库明细!$N$4:$N$2003,$Z1182-0)=0,"",INDEX(包装物料出入库明细!$N$4:$N$2003,$Z1182-0)),IF($Z1182&lt;=4000,IF(INDEX(周转筐出入库明细!$P$4:$P$2004,$Z1182-2000)=0,"",INDEX(周转筐出入库明细!$P$4:$P$2004,$Z1182-2000)),IF($Z1182&lt;=5200,"",IF($Z1182&lt;=5800,N(INDEX(次果筐明细!$L$4:$L$603,$Z1182-5200))+N(INDEX(次果筐明细!$J$4:$J$603,$Z1182-5200)),"")))))</f>
        <v/>
      </c>
      <c r="L1182" s="24" t="str">
        <f>IF($Z1182="","",IF($Z1182&lt;=2000,IF(INDEX(包装物料出入库明细!$P$4:$P$2003,$Z1182-0)=0,"",INDEX(包装物料出入库明细!$P$4:$P$2003,$Z1182-0)),IF($Z1182&lt;=4000,IF(INDEX(周转筐出入库明细!$Q$4:$Q$2004,$Z1182-2000)=0,"",INDEX(周转筐出入库明细!$Q$4:$Q$2004,$Z1182-2000)),IF($Z1182&lt;=5200,"",IF($Z1182&lt;=5800,IF(INDEX(次果筐明细!$M$4:$M$603,$Z1182-5200)=0,"",INDEX(次果筐明细!$M$4:$M$603,$Z1182-5200)),"")))))</f>
        <v/>
      </c>
      <c r="M1182" s="37" t="str">
        <f>IF($Z1182="","",IF($Z1182&lt;=2000,IF(INDEX(包装物料出入库明细!$R$4:$R$2003,$Z1182-0)=0,"",INDEX(包装物料出入库明细!$R$4:$R$2003,$Z1182-0)),IF($Z1182&lt;=4000,IF(INDEX(周转筐出入库明细!$W$4:$W$2004,$Z1182-2000)=0,"",INDEX(周转筐出入库明细!$W$4:$W$2004,$Z1182-2000)),IF($Z1182&lt;=5200,IF(INDEX(客户自备加工筐明细!$L$4:$L$1203,$Z1182-4000)=0,"",INDEX(客户自备加工筐明细!$L$4:$L$1203,$Z1182-4000)),IF($Z1182&lt;=5800,IF(INDEX(次果筐明细!$P$4:$P$603,$Z1182-5200)=0,"",INDEX(次果筐明细!$P$4:$P$603,$Z1182-5200)),"")))))</f>
        <v/>
      </c>
      <c r="N1182" s="16" t="str">
        <f>IF($Z1182="","",IF($Z1182&lt;=2000,"",IF($Z1182&lt;=4000,IF(INDEX(周转筐出入库明细!$D$4:$D$2004,$Z1182-2000)=0,"",INDEX(周转筐出入库明细!$D$4:$D$2004,$Z1182-2000)),IF($Z1182&lt;=5200,IF(INDEX(客户自备加工筐明细!$C$4:$C$1203,$Z1182-4000)=0,"",INDEX(客户自备加工筐明细!$C$4:$C$1203,$Z1182-4000)),IF($Z1182&lt;=5800,IF(INDEX(次果筐明细!$D$4:$D$603,$Z1182-5200)=0,"",INDEX(次果筐明细!$D$4:$D$603,$Z1182-5200)),"")))))</f>
        <v/>
      </c>
      <c r="O1182" s="40" t="str">
        <f>IF($Z1182="","",IF($Z1182&lt;=2000,"",IF($Z1182&lt;=4000,IF(N(INDEX(周转筐出入库明细!$J$4:$J$2004,$Z1182-2000))+N(INDEX(周转筐出入库明细!$K$4:$K$2004,$Z1182-2000))=0,"",N(INDEX(周转筐出入库明细!$J$4:$J$2004,$Z1182-2000))+N(INDEX(周转筐出入库明细!$K$4:$K$2004,$Z1182-2000))),IF($Z1182&lt;=5200,IF(N(INDEX(客户自备加工筐明细!$G$4:$G$1203,$Z1182-4000))=0,"",N(INDEX(客户自备加工筐明细!$G$4:$G$1203,$Z1182-4000))),IF($Z1182&lt;=5800,IF(ISNUMBER(SEARCH("退",INDEX(次果筐明细!$F$4:$F$603,$Z1182-5200)&amp;"")),"",IF(N(INDEX(次果筐明细!$G$4:$G$603,$Z1182-5200))=0,"",N(INDEX(次果筐明细!$G$4:$G$603,$Z1182-5200)))),"")))))</f>
        <v/>
      </c>
      <c r="P1182" s="40" t="str">
        <f>IF($Z1182="","",IF($Z1182&lt;=2000,"",IF($Z1182&lt;=4000,IF(N(INDEX(周转筐出入库明细!$I$4:$I$2004,$Z1182-2000))=0,"",N(INDEX(周转筐出入库明细!$I$4:$I$2004,$Z1182-2000))),IF($Z1182&lt;=5200,"",IF($Z1182&lt;=5800,IF(ISNUMBER(SEARCH("退",INDEX(次果筐明细!$F$4:$F$603,$Z1182-5200)&amp;"")),IF(N(INDEX(次果筐明细!$G$4:$G$603,$Z1182-5200))=0,"",N(INDEX(次果筐明细!$G$4:$G$603,$Z1182-5200))),""),"")))))</f>
        <v/>
      </c>
      <c r="Q1182" s="40" t="str">
        <f>IF($Z1182="","",IF($Z1182&lt;=2000,"",IF($Z1182&lt;=4000,IF(N(INDEX(周转筐出入库明细!$H$4:$H$2004,$Z1182-2000))=0,"",N(INDEX(周转筐出入库明细!$H$4:$H$2004,$Z1182-2000))),IF($Z1182&lt;=5200,IF(N(INDEX(客户自备加工筐明细!$F$4:$F$1203,$Z1182-4000))=0,"",N(INDEX(客户自备加工筐明细!$F$4:$F$1203,$Z1182-4000))),IF($Z1182&lt;=5800,"","")))))</f>
        <v/>
      </c>
      <c r="R1182" s="16" t="str">
        <f>IF($Z1182="","",IF($Z1182&lt;=2000,IF(INDEX(包装物料出入库明细!$O$4:$O$2003,$Z1182-0)=0,"",INDEX(包装物料出入库明细!$O$4:$O$2003,$Z1182-0)),IF($Z1182&lt;=4000,IF(INDEX(周转筐出入库明细!$M$4:$M$2004,$Z1182-2000)=0,"",INDEX(周转筐出入库明细!$M$4:$M$2004,$Z1182-2000)),IF($Z1182&lt;=5200,IF(INDEX(客户自备加工筐明细!$H$4:$H$1203,$Z1182-4000)=0,"",INDEX(客户自备加工筐明细!$H$4:$H$1203,$Z1182-4000)),IF($Z1182&lt;=5800,IF(INDEX(次果筐明细!$H$4:$H$603,$Z1182-5200)=0,"",INDEX(次果筐明细!$H$4:$H$603,$Z1182-5200)),"")))))</f>
        <v/>
      </c>
      <c r="S1182" s="22" t="str">
        <f t="shared" si="56"/>
        <v/>
      </c>
      <c r="Z1182" s="10" t="str">
        <f>IFERROR(MATCH(ROW()-3,_自动清单!$CQ$4:$CQ$5803,0),"")</f>
        <v/>
      </c>
    </row>
    <row r="1183" spans="1:26">
      <c r="A1183" s="24" t="str">
        <f t="shared" si="54"/>
        <v/>
      </c>
      <c r="B1183" s="38" t="str">
        <f>IF($Z1183="","",IF($Z1183&lt;=2000,IF(INDEX(包装物料出入库明细!$B$4:$B$2003,$Z1183-0)=0,"",INDEX(包装物料出入库明细!$B$4:$B$2003,$Z1183-0)),IF($Z1183&lt;=4000,IF(INDEX(周转筐出入库明细!$B$4:$B$2004,$Z1183-2000)=0,"",INDEX(周转筐出入库明细!$B$4:$B$2004,$Z1183-2000)),IF($Z1183&lt;=5200,IF(INDEX(客户自备加工筐明细!$B$4:$B$1203,$Z1183-4000)=0,"",INDEX(客户自备加工筐明细!$B$4:$B$1203,$Z1183-4000)),IF($Z1183&lt;=5800,IF(INDEX(次果筐明细!$B$4:$B$603,$Z1183-5200)=0,"",INDEX(次果筐明细!$B$4:$B$603,$Z1183-5200)),"")))))</f>
        <v/>
      </c>
      <c r="C1183" s="37" t="str">
        <f>IF($Z1183="","",IF($Z1183&lt;=2000,IF(INDEX(包装物料出入库明细!$D$4:$D$2003,$Z1183-0)=0,"",INDEX(包装物料出入库明细!$D$4:$D$2003,$Z1183-0)),IF($Z1183&lt;=4000,IF(INDEX(周转筐出入库明细!$C$4:$C$2004,$Z1183-2000)=0,"",INDEX(周转筐出入库明细!$C$4:$C$2004,$Z1183-2000)),IF($Z1183&lt;=5200,IF(INDEX(客户自备加工筐明细!$E$4:$E$1203,$Z1183-4000)=0,"",INDEX(客户自备加工筐明细!$E$4:$E$1203,$Z1183-4000)),IF($Z1183&lt;=5800,IF(INDEX(次果筐明细!$C$4:$C$603,$Z1183-5200)=0,"",INDEX(次果筐明细!$C$4:$C$603,$Z1183-5200)),"")))))</f>
        <v/>
      </c>
      <c r="D1183" s="37" t="str">
        <f>IF($Z1183="","",IF($Z1183&lt;=2000,"包装物料－"&amp;INDEX(包装物料出入库明细!$H$4:$H$2003,$Z1183-0),IF($Z1183&lt;=4000,"周转筐－"&amp;INDEX(周转筐出入库明细!$F$4:$F$2004,$Z1183-2000),IF($Z1183&lt;=5200,"客户自备筐－"&amp;INDEX(客户自备加工筐明细!$J$4:$J$1203,$Z1183-4000),IF($Z1183&lt;=5800,"次果筐/托盘－"&amp;INDEX(次果筐明细!$F$4:$F$603,$Z1183-5200),"")))))</f>
        <v/>
      </c>
      <c r="E1183" s="24" t="str">
        <f>IF($Z1183="","",IF($Z1183&lt;=2000,IF(INDEX(包装物料出入库明细!$C$4:$C$2003,$Z1183-0)=0,"",INDEX(包装物料出入库明细!$C$4:$C$2003,$Z1183-0)),IF($Z1183&lt;=4000,IF(INDEX(周转筐出入库明细!$E$4:$E$2004,$Z1183-2000)=0,"",INDEX(周转筐出入库明细!$E$4:$E$2004,$Z1183-2000)),IF($Z1183&lt;=5200,IF(INDEX(客户自备加工筐明细!$D$4:$D$1203,$Z1183-4000)=0,"",INDEX(客户自备加工筐明细!$D$4:$D$1203,$Z1183-4000)),IF($Z1183&lt;=5800,IF(INDEX(次果筐明细!$E$4:$E$603,$Z1183-5200)=0,"",INDEX(次果筐明细!$E$4:$E$603,$Z1183-5200)),"")))))</f>
        <v/>
      </c>
      <c r="F1183" s="24" t="str">
        <f>IF($Z1183="","",IF($Z1183&lt;=2000,IF(INDEX(包装物料出入库明细!$E$4:$E$2003,$Z1183-0)=0,"",INDEX(包装物料出入库明细!$E$4:$E$2003,$Z1183-0)),IF($Z1183&lt;=4000,IF(INDEX(周转筐出入库明细!$D$4:$D$2004,$Z1183-2000)=0,"",INDEX(周转筐出入库明细!$D$4:$D$2004,$Z1183-2000)),IF($Z1183&lt;=5200,IF(INDEX(客户自备加工筐明细!$C$4:$C$1203,$Z1183-4000)=0,"",INDEX(客户自备加工筐明细!$C$4:$C$1203,$Z1183-4000)),IF($Z1183&lt;=5800,IF(INDEX(次果筐明细!$D$4:$D$603,$Z1183-5200)=0,"",INDEX(次果筐明细!$D$4:$D$603,$Z1183-5200)),"")))))</f>
        <v/>
      </c>
      <c r="G1183" s="24" t="str">
        <f>IF($Z1183="","",IF($Z1183&lt;=2000,IF(INDEX(包装物料出入库明细!$F$4:$F$2003,$Z1183-0)=0,"",INDEX(包装物料出入库明细!$F$4:$F$2003,$Z1183-0)),IF($Z1183&lt;=4000,"",IF($Z1183&lt;=5200,"",IF($Z1183&lt;=5800,"","")))))</f>
        <v/>
      </c>
      <c r="H1183" s="39" t="str">
        <f>IF($Z1183="","",IF($Z1183&lt;=2000,IF(INDEX(包装物料出入库明细!$L$4:$L$2003,$Z1183-0)=0,"",INDEX(包装物料出入库明细!$L$4:$L$2003,$Z1183-0)),IF($Z1183&lt;=4000,N(INDEX(周转筐出入库明细!$H$4:$H$2004,$Z1183-2000))+N(INDEX(周转筐出入库明细!$I$4:$I$2004,$Z1183-2000))+N(INDEX(周转筐出入库明细!$J$4:$J$2004,$Z1183-2000))+N(INDEX(周转筐出入库明细!$K$4:$K$2004,$Z1183-2000)),IF($Z1183&lt;=5200,N(INDEX(客户自备加工筐明细!$F$4:$F$1203,$Z1183-4000))+N(INDEX(客户自备加工筐明细!$G$4:$G$1203,$Z1183-4000)),IF($Z1183&lt;=5800,IF(INDEX(次果筐明细!$G$4:$G$603,$Z1183-5200)=0,"",INDEX(次果筐明细!$G$4:$G$603,$Z1183-5200)),"")))))</f>
        <v/>
      </c>
      <c r="I1183" s="24" t="str">
        <f>IF($Z1183="","",IF($Z1183&lt;=2000,IF(INDEX(包装物料出入库明细!$G$4:$G$2003,$Z1183-0)=0,"",INDEX(包装物料出入库明细!$G$4:$G$2003,$Z1183-0)),IF($Z1183&lt;=4000,"个",IF($Z1183&lt;=5200,"个",IF($Z1183&lt;=5800,"个","")))))</f>
        <v/>
      </c>
      <c r="J1183" s="30" t="str">
        <f t="shared" si="55"/>
        <v/>
      </c>
      <c r="K1183" s="30" t="str">
        <f>IF($Z1183="","",IF($Z1183&lt;=2000,IF(INDEX(包装物料出入库明细!$N$4:$N$2003,$Z1183-0)=0,"",INDEX(包装物料出入库明细!$N$4:$N$2003,$Z1183-0)),IF($Z1183&lt;=4000,IF(INDEX(周转筐出入库明细!$P$4:$P$2004,$Z1183-2000)=0,"",INDEX(周转筐出入库明细!$P$4:$P$2004,$Z1183-2000)),IF($Z1183&lt;=5200,"",IF($Z1183&lt;=5800,N(INDEX(次果筐明细!$L$4:$L$603,$Z1183-5200))+N(INDEX(次果筐明细!$J$4:$J$603,$Z1183-5200)),"")))))</f>
        <v/>
      </c>
      <c r="L1183" s="24" t="str">
        <f>IF($Z1183="","",IF($Z1183&lt;=2000,IF(INDEX(包装物料出入库明细!$P$4:$P$2003,$Z1183-0)=0,"",INDEX(包装物料出入库明细!$P$4:$P$2003,$Z1183-0)),IF($Z1183&lt;=4000,IF(INDEX(周转筐出入库明细!$Q$4:$Q$2004,$Z1183-2000)=0,"",INDEX(周转筐出入库明细!$Q$4:$Q$2004,$Z1183-2000)),IF($Z1183&lt;=5200,"",IF($Z1183&lt;=5800,IF(INDEX(次果筐明细!$M$4:$M$603,$Z1183-5200)=0,"",INDEX(次果筐明细!$M$4:$M$603,$Z1183-5200)),"")))))</f>
        <v/>
      </c>
      <c r="M1183" s="37" t="str">
        <f>IF($Z1183="","",IF($Z1183&lt;=2000,IF(INDEX(包装物料出入库明细!$R$4:$R$2003,$Z1183-0)=0,"",INDEX(包装物料出入库明细!$R$4:$R$2003,$Z1183-0)),IF($Z1183&lt;=4000,IF(INDEX(周转筐出入库明细!$W$4:$W$2004,$Z1183-2000)=0,"",INDEX(周转筐出入库明细!$W$4:$W$2004,$Z1183-2000)),IF($Z1183&lt;=5200,IF(INDEX(客户自备加工筐明细!$L$4:$L$1203,$Z1183-4000)=0,"",INDEX(客户自备加工筐明细!$L$4:$L$1203,$Z1183-4000)),IF($Z1183&lt;=5800,IF(INDEX(次果筐明细!$P$4:$P$603,$Z1183-5200)=0,"",INDEX(次果筐明细!$P$4:$P$603,$Z1183-5200)),"")))))</f>
        <v/>
      </c>
      <c r="N1183" s="16" t="str">
        <f>IF($Z1183="","",IF($Z1183&lt;=2000,"",IF($Z1183&lt;=4000,IF(INDEX(周转筐出入库明细!$D$4:$D$2004,$Z1183-2000)=0,"",INDEX(周转筐出入库明细!$D$4:$D$2004,$Z1183-2000)),IF($Z1183&lt;=5200,IF(INDEX(客户自备加工筐明细!$C$4:$C$1203,$Z1183-4000)=0,"",INDEX(客户自备加工筐明细!$C$4:$C$1203,$Z1183-4000)),IF($Z1183&lt;=5800,IF(INDEX(次果筐明细!$D$4:$D$603,$Z1183-5200)=0,"",INDEX(次果筐明细!$D$4:$D$603,$Z1183-5200)),"")))))</f>
        <v/>
      </c>
      <c r="O1183" s="40" t="str">
        <f>IF($Z1183="","",IF($Z1183&lt;=2000,"",IF($Z1183&lt;=4000,IF(N(INDEX(周转筐出入库明细!$J$4:$J$2004,$Z1183-2000))+N(INDEX(周转筐出入库明细!$K$4:$K$2004,$Z1183-2000))=0,"",N(INDEX(周转筐出入库明细!$J$4:$J$2004,$Z1183-2000))+N(INDEX(周转筐出入库明细!$K$4:$K$2004,$Z1183-2000))),IF($Z1183&lt;=5200,IF(N(INDEX(客户自备加工筐明细!$G$4:$G$1203,$Z1183-4000))=0,"",N(INDEX(客户自备加工筐明细!$G$4:$G$1203,$Z1183-4000))),IF($Z1183&lt;=5800,IF(ISNUMBER(SEARCH("退",INDEX(次果筐明细!$F$4:$F$603,$Z1183-5200)&amp;"")),"",IF(N(INDEX(次果筐明细!$G$4:$G$603,$Z1183-5200))=0,"",N(INDEX(次果筐明细!$G$4:$G$603,$Z1183-5200)))),"")))))</f>
        <v/>
      </c>
      <c r="P1183" s="40" t="str">
        <f>IF($Z1183="","",IF($Z1183&lt;=2000,"",IF($Z1183&lt;=4000,IF(N(INDEX(周转筐出入库明细!$I$4:$I$2004,$Z1183-2000))=0,"",N(INDEX(周转筐出入库明细!$I$4:$I$2004,$Z1183-2000))),IF($Z1183&lt;=5200,"",IF($Z1183&lt;=5800,IF(ISNUMBER(SEARCH("退",INDEX(次果筐明细!$F$4:$F$603,$Z1183-5200)&amp;"")),IF(N(INDEX(次果筐明细!$G$4:$G$603,$Z1183-5200))=0,"",N(INDEX(次果筐明细!$G$4:$G$603,$Z1183-5200))),""),"")))))</f>
        <v/>
      </c>
      <c r="Q1183" s="40" t="str">
        <f>IF($Z1183="","",IF($Z1183&lt;=2000,"",IF($Z1183&lt;=4000,IF(N(INDEX(周转筐出入库明细!$H$4:$H$2004,$Z1183-2000))=0,"",N(INDEX(周转筐出入库明细!$H$4:$H$2004,$Z1183-2000))),IF($Z1183&lt;=5200,IF(N(INDEX(客户自备加工筐明细!$F$4:$F$1203,$Z1183-4000))=0,"",N(INDEX(客户自备加工筐明细!$F$4:$F$1203,$Z1183-4000))),IF($Z1183&lt;=5800,"","")))))</f>
        <v/>
      </c>
      <c r="R1183" s="16" t="str">
        <f>IF($Z1183="","",IF($Z1183&lt;=2000,IF(INDEX(包装物料出入库明细!$O$4:$O$2003,$Z1183-0)=0,"",INDEX(包装物料出入库明细!$O$4:$O$2003,$Z1183-0)),IF($Z1183&lt;=4000,IF(INDEX(周转筐出入库明细!$M$4:$M$2004,$Z1183-2000)=0,"",INDEX(周转筐出入库明细!$M$4:$M$2004,$Z1183-2000)),IF($Z1183&lt;=5200,IF(INDEX(客户自备加工筐明细!$H$4:$H$1203,$Z1183-4000)=0,"",INDEX(客户自备加工筐明细!$H$4:$H$1203,$Z1183-4000)),IF($Z1183&lt;=5800,IF(INDEX(次果筐明细!$H$4:$H$603,$Z1183-5200)=0,"",INDEX(次果筐明细!$H$4:$H$603,$Z1183-5200)),"")))))</f>
        <v/>
      </c>
      <c r="S1183" s="22" t="str">
        <f t="shared" si="56"/>
        <v/>
      </c>
      <c r="Z1183" s="10" t="str">
        <f>IFERROR(MATCH(ROW()-3,_自动清单!$CQ$4:$CQ$5803,0),"")</f>
        <v/>
      </c>
    </row>
    <row r="1184" spans="1:26">
      <c r="A1184" s="24" t="str">
        <f t="shared" si="54"/>
        <v/>
      </c>
      <c r="B1184" s="38" t="str">
        <f>IF($Z1184="","",IF($Z1184&lt;=2000,IF(INDEX(包装物料出入库明细!$B$4:$B$2003,$Z1184-0)=0,"",INDEX(包装物料出入库明细!$B$4:$B$2003,$Z1184-0)),IF($Z1184&lt;=4000,IF(INDEX(周转筐出入库明细!$B$4:$B$2004,$Z1184-2000)=0,"",INDEX(周转筐出入库明细!$B$4:$B$2004,$Z1184-2000)),IF($Z1184&lt;=5200,IF(INDEX(客户自备加工筐明细!$B$4:$B$1203,$Z1184-4000)=0,"",INDEX(客户自备加工筐明细!$B$4:$B$1203,$Z1184-4000)),IF($Z1184&lt;=5800,IF(INDEX(次果筐明细!$B$4:$B$603,$Z1184-5200)=0,"",INDEX(次果筐明细!$B$4:$B$603,$Z1184-5200)),"")))))</f>
        <v/>
      </c>
      <c r="C1184" s="37" t="str">
        <f>IF($Z1184="","",IF($Z1184&lt;=2000,IF(INDEX(包装物料出入库明细!$D$4:$D$2003,$Z1184-0)=0,"",INDEX(包装物料出入库明细!$D$4:$D$2003,$Z1184-0)),IF($Z1184&lt;=4000,IF(INDEX(周转筐出入库明细!$C$4:$C$2004,$Z1184-2000)=0,"",INDEX(周转筐出入库明细!$C$4:$C$2004,$Z1184-2000)),IF($Z1184&lt;=5200,IF(INDEX(客户自备加工筐明细!$E$4:$E$1203,$Z1184-4000)=0,"",INDEX(客户自备加工筐明细!$E$4:$E$1203,$Z1184-4000)),IF($Z1184&lt;=5800,IF(INDEX(次果筐明细!$C$4:$C$603,$Z1184-5200)=0,"",INDEX(次果筐明细!$C$4:$C$603,$Z1184-5200)),"")))))</f>
        <v/>
      </c>
      <c r="D1184" s="37" t="str">
        <f>IF($Z1184="","",IF($Z1184&lt;=2000,"包装物料－"&amp;INDEX(包装物料出入库明细!$H$4:$H$2003,$Z1184-0),IF($Z1184&lt;=4000,"周转筐－"&amp;INDEX(周转筐出入库明细!$F$4:$F$2004,$Z1184-2000),IF($Z1184&lt;=5200,"客户自备筐－"&amp;INDEX(客户自备加工筐明细!$J$4:$J$1203,$Z1184-4000),IF($Z1184&lt;=5800,"次果筐/托盘－"&amp;INDEX(次果筐明细!$F$4:$F$603,$Z1184-5200),"")))))</f>
        <v/>
      </c>
      <c r="E1184" s="24" t="str">
        <f>IF($Z1184="","",IF($Z1184&lt;=2000,IF(INDEX(包装物料出入库明细!$C$4:$C$2003,$Z1184-0)=0,"",INDEX(包装物料出入库明细!$C$4:$C$2003,$Z1184-0)),IF($Z1184&lt;=4000,IF(INDEX(周转筐出入库明细!$E$4:$E$2004,$Z1184-2000)=0,"",INDEX(周转筐出入库明细!$E$4:$E$2004,$Z1184-2000)),IF($Z1184&lt;=5200,IF(INDEX(客户自备加工筐明细!$D$4:$D$1203,$Z1184-4000)=0,"",INDEX(客户自备加工筐明细!$D$4:$D$1203,$Z1184-4000)),IF($Z1184&lt;=5800,IF(INDEX(次果筐明细!$E$4:$E$603,$Z1184-5200)=0,"",INDEX(次果筐明细!$E$4:$E$603,$Z1184-5200)),"")))))</f>
        <v/>
      </c>
      <c r="F1184" s="24" t="str">
        <f>IF($Z1184="","",IF($Z1184&lt;=2000,IF(INDEX(包装物料出入库明细!$E$4:$E$2003,$Z1184-0)=0,"",INDEX(包装物料出入库明细!$E$4:$E$2003,$Z1184-0)),IF($Z1184&lt;=4000,IF(INDEX(周转筐出入库明细!$D$4:$D$2004,$Z1184-2000)=0,"",INDEX(周转筐出入库明细!$D$4:$D$2004,$Z1184-2000)),IF($Z1184&lt;=5200,IF(INDEX(客户自备加工筐明细!$C$4:$C$1203,$Z1184-4000)=0,"",INDEX(客户自备加工筐明细!$C$4:$C$1203,$Z1184-4000)),IF($Z1184&lt;=5800,IF(INDEX(次果筐明细!$D$4:$D$603,$Z1184-5200)=0,"",INDEX(次果筐明细!$D$4:$D$603,$Z1184-5200)),"")))))</f>
        <v/>
      </c>
      <c r="G1184" s="24" t="str">
        <f>IF($Z1184="","",IF($Z1184&lt;=2000,IF(INDEX(包装物料出入库明细!$F$4:$F$2003,$Z1184-0)=0,"",INDEX(包装物料出入库明细!$F$4:$F$2003,$Z1184-0)),IF($Z1184&lt;=4000,"",IF($Z1184&lt;=5200,"",IF($Z1184&lt;=5800,"","")))))</f>
        <v/>
      </c>
      <c r="H1184" s="39" t="str">
        <f>IF($Z1184="","",IF($Z1184&lt;=2000,IF(INDEX(包装物料出入库明细!$L$4:$L$2003,$Z1184-0)=0,"",INDEX(包装物料出入库明细!$L$4:$L$2003,$Z1184-0)),IF($Z1184&lt;=4000,N(INDEX(周转筐出入库明细!$H$4:$H$2004,$Z1184-2000))+N(INDEX(周转筐出入库明细!$I$4:$I$2004,$Z1184-2000))+N(INDEX(周转筐出入库明细!$J$4:$J$2004,$Z1184-2000))+N(INDEX(周转筐出入库明细!$K$4:$K$2004,$Z1184-2000)),IF($Z1184&lt;=5200,N(INDEX(客户自备加工筐明细!$F$4:$F$1203,$Z1184-4000))+N(INDEX(客户自备加工筐明细!$G$4:$G$1203,$Z1184-4000)),IF($Z1184&lt;=5800,IF(INDEX(次果筐明细!$G$4:$G$603,$Z1184-5200)=0,"",INDEX(次果筐明细!$G$4:$G$603,$Z1184-5200)),"")))))</f>
        <v/>
      </c>
      <c r="I1184" s="24" t="str">
        <f>IF($Z1184="","",IF($Z1184&lt;=2000,IF(INDEX(包装物料出入库明细!$G$4:$G$2003,$Z1184-0)=0,"",INDEX(包装物料出入库明细!$G$4:$G$2003,$Z1184-0)),IF($Z1184&lt;=4000,"个",IF($Z1184&lt;=5200,"个",IF($Z1184&lt;=5800,"个","")))))</f>
        <v/>
      </c>
      <c r="J1184" s="30" t="str">
        <f t="shared" si="55"/>
        <v/>
      </c>
      <c r="K1184" s="30" t="str">
        <f>IF($Z1184="","",IF($Z1184&lt;=2000,IF(INDEX(包装物料出入库明细!$N$4:$N$2003,$Z1184-0)=0,"",INDEX(包装物料出入库明细!$N$4:$N$2003,$Z1184-0)),IF($Z1184&lt;=4000,IF(INDEX(周转筐出入库明细!$P$4:$P$2004,$Z1184-2000)=0,"",INDEX(周转筐出入库明细!$P$4:$P$2004,$Z1184-2000)),IF($Z1184&lt;=5200,"",IF($Z1184&lt;=5800,N(INDEX(次果筐明细!$L$4:$L$603,$Z1184-5200))+N(INDEX(次果筐明细!$J$4:$J$603,$Z1184-5200)),"")))))</f>
        <v/>
      </c>
      <c r="L1184" s="24" t="str">
        <f>IF($Z1184="","",IF($Z1184&lt;=2000,IF(INDEX(包装物料出入库明细!$P$4:$P$2003,$Z1184-0)=0,"",INDEX(包装物料出入库明细!$P$4:$P$2003,$Z1184-0)),IF($Z1184&lt;=4000,IF(INDEX(周转筐出入库明细!$Q$4:$Q$2004,$Z1184-2000)=0,"",INDEX(周转筐出入库明细!$Q$4:$Q$2004,$Z1184-2000)),IF($Z1184&lt;=5200,"",IF($Z1184&lt;=5800,IF(INDEX(次果筐明细!$M$4:$M$603,$Z1184-5200)=0,"",INDEX(次果筐明细!$M$4:$M$603,$Z1184-5200)),"")))))</f>
        <v/>
      </c>
      <c r="M1184" s="37" t="str">
        <f>IF($Z1184="","",IF($Z1184&lt;=2000,IF(INDEX(包装物料出入库明细!$R$4:$R$2003,$Z1184-0)=0,"",INDEX(包装物料出入库明细!$R$4:$R$2003,$Z1184-0)),IF($Z1184&lt;=4000,IF(INDEX(周转筐出入库明细!$W$4:$W$2004,$Z1184-2000)=0,"",INDEX(周转筐出入库明细!$W$4:$W$2004,$Z1184-2000)),IF($Z1184&lt;=5200,IF(INDEX(客户自备加工筐明细!$L$4:$L$1203,$Z1184-4000)=0,"",INDEX(客户自备加工筐明细!$L$4:$L$1203,$Z1184-4000)),IF($Z1184&lt;=5800,IF(INDEX(次果筐明细!$P$4:$P$603,$Z1184-5200)=0,"",INDEX(次果筐明细!$P$4:$P$603,$Z1184-5200)),"")))))</f>
        <v/>
      </c>
      <c r="N1184" s="16" t="str">
        <f>IF($Z1184="","",IF($Z1184&lt;=2000,"",IF($Z1184&lt;=4000,IF(INDEX(周转筐出入库明细!$D$4:$D$2004,$Z1184-2000)=0,"",INDEX(周转筐出入库明细!$D$4:$D$2004,$Z1184-2000)),IF($Z1184&lt;=5200,IF(INDEX(客户自备加工筐明细!$C$4:$C$1203,$Z1184-4000)=0,"",INDEX(客户自备加工筐明细!$C$4:$C$1203,$Z1184-4000)),IF($Z1184&lt;=5800,IF(INDEX(次果筐明细!$D$4:$D$603,$Z1184-5200)=0,"",INDEX(次果筐明细!$D$4:$D$603,$Z1184-5200)),"")))))</f>
        <v/>
      </c>
      <c r="O1184" s="40" t="str">
        <f>IF($Z1184="","",IF($Z1184&lt;=2000,"",IF($Z1184&lt;=4000,IF(N(INDEX(周转筐出入库明细!$J$4:$J$2004,$Z1184-2000))+N(INDEX(周转筐出入库明细!$K$4:$K$2004,$Z1184-2000))=0,"",N(INDEX(周转筐出入库明细!$J$4:$J$2004,$Z1184-2000))+N(INDEX(周转筐出入库明细!$K$4:$K$2004,$Z1184-2000))),IF($Z1184&lt;=5200,IF(N(INDEX(客户自备加工筐明细!$G$4:$G$1203,$Z1184-4000))=0,"",N(INDEX(客户自备加工筐明细!$G$4:$G$1203,$Z1184-4000))),IF($Z1184&lt;=5800,IF(ISNUMBER(SEARCH("退",INDEX(次果筐明细!$F$4:$F$603,$Z1184-5200)&amp;"")),"",IF(N(INDEX(次果筐明细!$G$4:$G$603,$Z1184-5200))=0,"",N(INDEX(次果筐明细!$G$4:$G$603,$Z1184-5200)))),"")))))</f>
        <v/>
      </c>
      <c r="P1184" s="40" t="str">
        <f>IF($Z1184="","",IF($Z1184&lt;=2000,"",IF($Z1184&lt;=4000,IF(N(INDEX(周转筐出入库明细!$I$4:$I$2004,$Z1184-2000))=0,"",N(INDEX(周转筐出入库明细!$I$4:$I$2004,$Z1184-2000))),IF($Z1184&lt;=5200,"",IF($Z1184&lt;=5800,IF(ISNUMBER(SEARCH("退",INDEX(次果筐明细!$F$4:$F$603,$Z1184-5200)&amp;"")),IF(N(INDEX(次果筐明细!$G$4:$G$603,$Z1184-5200))=0,"",N(INDEX(次果筐明细!$G$4:$G$603,$Z1184-5200))),""),"")))))</f>
        <v/>
      </c>
      <c r="Q1184" s="40" t="str">
        <f>IF($Z1184="","",IF($Z1184&lt;=2000,"",IF($Z1184&lt;=4000,IF(N(INDEX(周转筐出入库明细!$H$4:$H$2004,$Z1184-2000))=0,"",N(INDEX(周转筐出入库明细!$H$4:$H$2004,$Z1184-2000))),IF($Z1184&lt;=5200,IF(N(INDEX(客户自备加工筐明细!$F$4:$F$1203,$Z1184-4000))=0,"",N(INDEX(客户自备加工筐明细!$F$4:$F$1203,$Z1184-4000))),IF($Z1184&lt;=5800,"","")))))</f>
        <v/>
      </c>
      <c r="R1184" s="16" t="str">
        <f>IF($Z1184="","",IF($Z1184&lt;=2000,IF(INDEX(包装物料出入库明细!$O$4:$O$2003,$Z1184-0)=0,"",INDEX(包装物料出入库明细!$O$4:$O$2003,$Z1184-0)),IF($Z1184&lt;=4000,IF(INDEX(周转筐出入库明细!$M$4:$M$2004,$Z1184-2000)=0,"",INDEX(周转筐出入库明细!$M$4:$M$2004,$Z1184-2000)),IF($Z1184&lt;=5200,IF(INDEX(客户自备加工筐明细!$H$4:$H$1203,$Z1184-4000)=0,"",INDEX(客户自备加工筐明细!$H$4:$H$1203,$Z1184-4000)),IF($Z1184&lt;=5800,IF(INDEX(次果筐明细!$H$4:$H$603,$Z1184-5200)=0,"",INDEX(次果筐明细!$H$4:$H$603,$Z1184-5200)),"")))))</f>
        <v/>
      </c>
      <c r="S1184" s="22" t="str">
        <f t="shared" si="56"/>
        <v/>
      </c>
      <c r="Z1184" s="10" t="str">
        <f>IFERROR(MATCH(ROW()-3,_自动清单!$CQ$4:$CQ$5803,0),"")</f>
        <v/>
      </c>
    </row>
    <row r="1185" spans="1:26">
      <c r="A1185" s="24" t="str">
        <f t="shared" si="54"/>
        <v/>
      </c>
      <c r="B1185" s="38" t="str">
        <f>IF($Z1185="","",IF($Z1185&lt;=2000,IF(INDEX(包装物料出入库明细!$B$4:$B$2003,$Z1185-0)=0,"",INDEX(包装物料出入库明细!$B$4:$B$2003,$Z1185-0)),IF($Z1185&lt;=4000,IF(INDEX(周转筐出入库明细!$B$4:$B$2004,$Z1185-2000)=0,"",INDEX(周转筐出入库明细!$B$4:$B$2004,$Z1185-2000)),IF($Z1185&lt;=5200,IF(INDEX(客户自备加工筐明细!$B$4:$B$1203,$Z1185-4000)=0,"",INDEX(客户自备加工筐明细!$B$4:$B$1203,$Z1185-4000)),IF($Z1185&lt;=5800,IF(INDEX(次果筐明细!$B$4:$B$603,$Z1185-5200)=0,"",INDEX(次果筐明细!$B$4:$B$603,$Z1185-5200)),"")))))</f>
        <v/>
      </c>
      <c r="C1185" s="37" t="str">
        <f>IF($Z1185="","",IF($Z1185&lt;=2000,IF(INDEX(包装物料出入库明细!$D$4:$D$2003,$Z1185-0)=0,"",INDEX(包装物料出入库明细!$D$4:$D$2003,$Z1185-0)),IF($Z1185&lt;=4000,IF(INDEX(周转筐出入库明细!$C$4:$C$2004,$Z1185-2000)=0,"",INDEX(周转筐出入库明细!$C$4:$C$2004,$Z1185-2000)),IF($Z1185&lt;=5200,IF(INDEX(客户自备加工筐明细!$E$4:$E$1203,$Z1185-4000)=0,"",INDEX(客户自备加工筐明细!$E$4:$E$1203,$Z1185-4000)),IF($Z1185&lt;=5800,IF(INDEX(次果筐明细!$C$4:$C$603,$Z1185-5200)=0,"",INDEX(次果筐明细!$C$4:$C$603,$Z1185-5200)),"")))))</f>
        <v/>
      </c>
      <c r="D1185" s="37" t="str">
        <f>IF($Z1185="","",IF($Z1185&lt;=2000,"包装物料－"&amp;INDEX(包装物料出入库明细!$H$4:$H$2003,$Z1185-0),IF($Z1185&lt;=4000,"周转筐－"&amp;INDEX(周转筐出入库明细!$F$4:$F$2004,$Z1185-2000),IF($Z1185&lt;=5200,"客户自备筐－"&amp;INDEX(客户自备加工筐明细!$J$4:$J$1203,$Z1185-4000),IF($Z1185&lt;=5800,"次果筐/托盘－"&amp;INDEX(次果筐明细!$F$4:$F$603,$Z1185-5200),"")))))</f>
        <v/>
      </c>
      <c r="E1185" s="24" t="str">
        <f>IF($Z1185="","",IF($Z1185&lt;=2000,IF(INDEX(包装物料出入库明细!$C$4:$C$2003,$Z1185-0)=0,"",INDEX(包装物料出入库明细!$C$4:$C$2003,$Z1185-0)),IF($Z1185&lt;=4000,IF(INDEX(周转筐出入库明细!$E$4:$E$2004,$Z1185-2000)=0,"",INDEX(周转筐出入库明细!$E$4:$E$2004,$Z1185-2000)),IF($Z1185&lt;=5200,IF(INDEX(客户自备加工筐明细!$D$4:$D$1203,$Z1185-4000)=0,"",INDEX(客户自备加工筐明细!$D$4:$D$1203,$Z1185-4000)),IF($Z1185&lt;=5800,IF(INDEX(次果筐明细!$E$4:$E$603,$Z1185-5200)=0,"",INDEX(次果筐明细!$E$4:$E$603,$Z1185-5200)),"")))))</f>
        <v/>
      </c>
      <c r="F1185" s="24" t="str">
        <f>IF($Z1185="","",IF($Z1185&lt;=2000,IF(INDEX(包装物料出入库明细!$E$4:$E$2003,$Z1185-0)=0,"",INDEX(包装物料出入库明细!$E$4:$E$2003,$Z1185-0)),IF($Z1185&lt;=4000,IF(INDEX(周转筐出入库明细!$D$4:$D$2004,$Z1185-2000)=0,"",INDEX(周转筐出入库明细!$D$4:$D$2004,$Z1185-2000)),IF($Z1185&lt;=5200,IF(INDEX(客户自备加工筐明细!$C$4:$C$1203,$Z1185-4000)=0,"",INDEX(客户自备加工筐明细!$C$4:$C$1203,$Z1185-4000)),IF($Z1185&lt;=5800,IF(INDEX(次果筐明细!$D$4:$D$603,$Z1185-5200)=0,"",INDEX(次果筐明细!$D$4:$D$603,$Z1185-5200)),"")))))</f>
        <v/>
      </c>
      <c r="G1185" s="24" t="str">
        <f>IF($Z1185="","",IF($Z1185&lt;=2000,IF(INDEX(包装物料出入库明细!$F$4:$F$2003,$Z1185-0)=0,"",INDEX(包装物料出入库明细!$F$4:$F$2003,$Z1185-0)),IF($Z1185&lt;=4000,"",IF($Z1185&lt;=5200,"",IF($Z1185&lt;=5800,"","")))))</f>
        <v/>
      </c>
      <c r="H1185" s="39" t="str">
        <f>IF($Z1185="","",IF($Z1185&lt;=2000,IF(INDEX(包装物料出入库明细!$L$4:$L$2003,$Z1185-0)=0,"",INDEX(包装物料出入库明细!$L$4:$L$2003,$Z1185-0)),IF($Z1185&lt;=4000,N(INDEX(周转筐出入库明细!$H$4:$H$2004,$Z1185-2000))+N(INDEX(周转筐出入库明细!$I$4:$I$2004,$Z1185-2000))+N(INDEX(周转筐出入库明细!$J$4:$J$2004,$Z1185-2000))+N(INDEX(周转筐出入库明细!$K$4:$K$2004,$Z1185-2000)),IF($Z1185&lt;=5200,N(INDEX(客户自备加工筐明细!$F$4:$F$1203,$Z1185-4000))+N(INDEX(客户自备加工筐明细!$G$4:$G$1203,$Z1185-4000)),IF($Z1185&lt;=5800,IF(INDEX(次果筐明细!$G$4:$G$603,$Z1185-5200)=0,"",INDEX(次果筐明细!$G$4:$G$603,$Z1185-5200)),"")))))</f>
        <v/>
      </c>
      <c r="I1185" s="24" t="str">
        <f>IF($Z1185="","",IF($Z1185&lt;=2000,IF(INDEX(包装物料出入库明细!$G$4:$G$2003,$Z1185-0)=0,"",INDEX(包装物料出入库明细!$G$4:$G$2003,$Z1185-0)),IF($Z1185&lt;=4000,"个",IF($Z1185&lt;=5200,"个",IF($Z1185&lt;=5800,"个","")))))</f>
        <v/>
      </c>
      <c r="J1185" s="30" t="str">
        <f t="shared" si="55"/>
        <v/>
      </c>
      <c r="K1185" s="30" t="str">
        <f>IF($Z1185="","",IF($Z1185&lt;=2000,IF(INDEX(包装物料出入库明细!$N$4:$N$2003,$Z1185-0)=0,"",INDEX(包装物料出入库明细!$N$4:$N$2003,$Z1185-0)),IF($Z1185&lt;=4000,IF(INDEX(周转筐出入库明细!$P$4:$P$2004,$Z1185-2000)=0,"",INDEX(周转筐出入库明细!$P$4:$P$2004,$Z1185-2000)),IF($Z1185&lt;=5200,"",IF($Z1185&lt;=5800,N(INDEX(次果筐明细!$L$4:$L$603,$Z1185-5200))+N(INDEX(次果筐明细!$J$4:$J$603,$Z1185-5200)),"")))))</f>
        <v/>
      </c>
      <c r="L1185" s="24" t="str">
        <f>IF($Z1185="","",IF($Z1185&lt;=2000,IF(INDEX(包装物料出入库明细!$P$4:$P$2003,$Z1185-0)=0,"",INDEX(包装物料出入库明细!$P$4:$P$2003,$Z1185-0)),IF($Z1185&lt;=4000,IF(INDEX(周转筐出入库明细!$Q$4:$Q$2004,$Z1185-2000)=0,"",INDEX(周转筐出入库明细!$Q$4:$Q$2004,$Z1185-2000)),IF($Z1185&lt;=5200,"",IF($Z1185&lt;=5800,IF(INDEX(次果筐明细!$M$4:$M$603,$Z1185-5200)=0,"",INDEX(次果筐明细!$M$4:$M$603,$Z1185-5200)),"")))))</f>
        <v/>
      </c>
      <c r="M1185" s="37" t="str">
        <f>IF($Z1185="","",IF($Z1185&lt;=2000,IF(INDEX(包装物料出入库明细!$R$4:$R$2003,$Z1185-0)=0,"",INDEX(包装物料出入库明细!$R$4:$R$2003,$Z1185-0)),IF($Z1185&lt;=4000,IF(INDEX(周转筐出入库明细!$W$4:$W$2004,$Z1185-2000)=0,"",INDEX(周转筐出入库明细!$W$4:$W$2004,$Z1185-2000)),IF($Z1185&lt;=5200,IF(INDEX(客户自备加工筐明细!$L$4:$L$1203,$Z1185-4000)=0,"",INDEX(客户自备加工筐明细!$L$4:$L$1203,$Z1185-4000)),IF($Z1185&lt;=5800,IF(INDEX(次果筐明细!$P$4:$P$603,$Z1185-5200)=0,"",INDEX(次果筐明细!$P$4:$P$603,$Z1185-5200)),"")))))</f>
        <v/>
      </c>
      <c r="N1185" s="16" t="str">
        <f>IF($Z1185="","",IF($Z1185&lt;=2000,"",IF($Z1185&lt;=4000,IF(INDEX(周转筐出入库明细!$D$4:$D$2004,$Z1185-2000)=0,"",INDEX(周转筐出入库明细!$D$4:$D$2004,$Z1185-2000)),IF($Z1185&lt;=5200,IF(INDEX(客户自备加工筐明细!$C$4:$C$1203,$Z1185-4000)=0,"",INDEX(客户自备加工筐明细!$C$4:$C$1203,$Z1185-4000)),IF($Z1185&lt;=5800,IF(INDEX(次果筐明细!$D$4:$D$603,$Z1185-5200)=0,"",INDEX(次果筐明细!$D$4:$D$603,$Z1185-5200)),"")))))</f>
        <v/>
      </c>
      <c r="O1185" s="40" t="str">
        <f>IF($Z1185="","",IF($Z1185&lt;=2000,"",IF($Z1185&lt;=4000,IF(N(INDEX(周转筐出入库明细!$J$4:$J$2004,$Z1185-2000))+N(INDEX(周转筐出入库明细!$K$4:$K$2004,$Z1185-2000))=0,"",N(INDEX(周转筐出入库明细!$J$4:$J$2004,$Z1185-2000))+N(INDEX(周转筐出入库明细!$K$4:$K$2004,$Z1185-2000))),IF($Z1185&lt;=5200,IF(N(INDEX(客户自备加工筐明细!$G$4:$G$1203,$Z1185-4000))=0,"",N(INDEX(客户自备加工筐明细!$G$4:$G$1203,$Z1185-4000))),IF($Z1185&lt;=5800,IF(ISNUMBER(SEARCH("退",INDEX(次果筐明细!$F$4:$F$603,$Z1185-5200)&amp;"")),"",IF(N(INDEX(次果筐明细!$G$4:$G$603,$Z1185-5200))=0,"",N(INDEX(次果筐明细!$G$4:$G$603,$Z1185-5200)))),"")))))</f>
        <v/>
      </c>
      <c r="P1185" s="40" t="str">
        <f>IF($Z1185="","",IF($Z1185&lt;=2000,"",IF($Z1185&lt;=4000,IF(N(INDEX(周转筐出入库明细!$I$4:$I$2004,$Z1185-2000))=0,"",N(INDEX(周转筐出入库明细!$I$4:$I$2004,$Z1185-2000))),IF($Z1185&lt;=5200,"",IF($Z1185&lt;=5800,IF(ISNUMBER(SEARCH("退",INDEX(次果筐明细!$F$4:$F$603,$Z1185-5200)&amp;"")),IF(N(INDEX(次果筐明细!$G$4:$G$603,$Z1185-5200))=0,"",N(INDEX(次果筐明细!$G$4:$G$603,$Z1185-5200))),""),"")))))</f>
        <v/>
      </c>
      <c r="Q1185" s="40" t="str">
        <f>IF($Z1185="","",IF($Z1185&lt;=2000,"",IF($Z1185&lt;=4000,IF(N(INDEX(周转筐出入库明细!$H$4:$H$2004,$Z1185-2000))=0,"",N(INDEX(周转筐出入库明细!$H$4:$H$2004,$Z1185-2000))),IF($Z1185&lt;=5200,IF(N(INDEX(客户自备加工筐明细!$F$4:$F$1203,$Z1185-4000))=0,"",N(INDEX(客户自备加工筐明细!$F$4:$F$1203,$Z1185-4000))),IF($Z1185&lt;=5800,"","")))))</f>
        <v/>
      </c>
      <c r="R1185" s="16" t="str">
        <f>IF($Z1185="","",IF($Z1185&lt;=2000,IF(INDEX(包装物料出入库明细!$O$4:$O$2003,$Z1185-0)=0,"",INDEX(包装物料出入库明细!$O$4:$O$2003,$Z1185-0)),IF($Z1185&lt;=4000,IF(INDEX(周转筐出入库明细!$M$4:$M$2004,$Z1185-2000)=0,"",INDEX(周转筐出入库明细!$M$4:$M$2004,$Z1185-2000)),IF($Z1185&lt;=5200,IF(INDEX(客户自备加工筐明细!$H$4:$H$1203,$Z1185-4000)=0,"",INDEX(客户自备加工筐明细!$H$4:$H$1203,$Z1185-4000)),IF($Z1185&lt;=5800,IF(INDEX(次果筐明细!$H$4:$H$603,$Z1185-5200)=0,"",INDEX(次果筐明细!$H$4:$H$603,$Z1185-5200)),"")))))</f>
        <v/>
      </c>
      <c r="S1185" s="22" t="str">
        <f t="shared" si="56"/>
        <v/>
      </c>
      <c r="Z1185" s="10" t="str">
        <f>IFERROR(MATCH(ROW()-3,_自动清单!$CQ$4:$CQ$5803,0),"")</f>
        <v/>
      </c>
    </row>
    <row r="1186" spans="1:26">
      <c r="A1186" s="24" t="str">
        <f t="shared" si="54"/>
        <v/>
      </c>
      <c r="B1186" s="38" t="str">
        <f>IF($Z1186="","",IF($Z1186&lt;=2000,IF(INDEX(包装物料出入库明细!$B$4:$B$2003,$Z1186-0)=0,"",INDEX(包装物料出入库明细!$B$4:$B$2003,$Z1186-0)),IF($Z1186&lt;=4000,IF(INDEX(周转筐出入库明细!$B$4:$B$2004,$Z1186-2000)=0,"",INDEX(周转筐出入库明细!$B$4:$B$2004,$Z1186-2000)),IF($Z1186&lt;=5200,IF(INDEX(客户自备加工筐明细!$B$4:$B$1203,$Z1186-4000)=0,"",INDEX(客户自备加工筐明细!$B$4:$B$1203,$Z1186-4000)),IF($Z1186&lt;=5800,IF(INDEX(次果筐明细!$B$4:$B$603,$Z1186-5200)=0,"",INDEX(次果筐明细!$B$4:$B$603,$Z1186-5200)),"")))))</f>
        <v/>
      </c>
      <c r="C1186" s="37" t="str">
        <f>IF($Z1186="","",IF($Z1186&lt;=2000,IF(INDEX(包装物料出入库明细!$D$4:$D$2003,$Z1186-0)=0,"",INDEX(包装物料出入库明细!$D$4:$D$2003,$Z1186-0)),IF($Z1186&lt;=4000,IF(INDEX(周转筐出入库明细!$C$4:$C$2004,$Z1186-2000)=0,"",INDEX(周转筐出入库明细!$C$4:$C$2004,$Z1186-2000)),IF($Z1186&lt;=5200,IF(INDEX(客户自备加工筐明细!$E$4:$E$1203,$Z1186-4000)=0,"",INDEX(客户自备加工筐明细!$E$4:$E$1203,$Z1186-4000)),IF($Z1186&lt;=5800,IF(INDEX(次果筐明细!$C$4:$C$603,$Z1186-5200)=0,"",INDEX(次果筐明细!$C$4:$C$603,$Z1186-5200)),"")))))</f>
        <v/>
      </c>
      <c r="D1186" s="37" t="str">
        <f>IF($Z1186="","",IF($Z1186&lt;=2000,"包装物料－"&amp;INDEX(包装物料出入库明细!$H$4:$H$2003,$Z1186-0),IF($Z1186&lt;=4000,"周转筐－"&amp;INDEX(周转筐出入库明细!$F$4:$F$2004,$Z1186-2000),IF($Z1186&lt;=5200,"客户自备筐－"&amp;INDEX(客户自备加工筐明细!$J$4:$J$1203,$Z1186-4000),IF($Z1186&lt;=5800,"次果筐/托盘－"&amp;INDEX(次果筐明细!$F$4:$F$603,$Z1186-5200),"")))))</f>
        <v/>
      </c>
      <c r="E1186" s="24" t="str">
        <f>IF($Z1186="","",IF($Z1186&lt;=2000,IF(INDEX(包装物料出入库明细!$C$4:$C$2003,$Z1186-0)=0,"",INDEX(包装物料出入库明细!$C$4:$C$2003,$Z1186-0)),IF($Z1186&lt;=4000,IF(INDEX(周转筐出入库明细!$E$4:$E$2004,$Z1186-2000)=0,"",INDEX(周转筐出入库明细!$E$4:$E$2004,$Z1186-2000)),IF($Z1186&lt;=5200,IF(INDEX(客户自备加工筐明细!$D$4:$D$1203,$Z1186-4000)=0,"",INDEX(客户自备加工筐明细!$D$4:$D$1203,$Z1186-4000)),IF($Z1186&lt;=5800,IF(INDEX(次果筐明细!$E$4:$E$603,$Z1186-5200)=0,"",INDEX(次果筐明细!$E$4:$E$603,$Z1186-5200)),"")))))</f>
        <v/>
      </c>
      <c r="F1186" s="24" t="str">
        <f>IF($Z1186="","",IF($Z1186&lt;=2000,IF(INDEX(包装物料出入库明细!$E$4:$E$2003,$Z1186-0)=0,"",INDEX(包装物料出入库明细!$E$4:$E$2003,$Z1186-0)),IF($Z1186&lt;=4000,IF(INDEX(周转筐出入库明细!$D$4:$D$2004,$Z1186-2000)=0,"",INDEX(周转筐出入库明细!$D$4:$D$2004,$Z1186-2000)),IF($Z1186&lt;=5200,IF(INDEX(客户自备加工筐明细!$C$4:$C$1203,$Z1186-4000)=0,"",INDEX(客户自备加工筐明细!$C$4:$C$1203,$Z1186-4000)),IF($Z1186&lt;=5800,IF(INDEX(次果筐明细!$D$4:$D$603,$Z1186-5200)=0,"",INDEX(次果筐明细!$D$4:$D$603,$Z1186-5200)),"")))))</f>
        <v/>
      </c>
      <c r="G1186" s="24" t="str">
        <f>IF($Z1186="","",IF($Z1186&lt;=2000,IF(INDEX(包装物料出入库明细!$F$4:$F$2003,$Z1186-0)=0,"",INDEX(包装物料出入库明细!$F$4:$F$2003,$Z1186-0)),IF($Z1186&lt;=4000,"",IF($Z1186&lt;=5200,"",IF($Z1186&lt;=5800,"","")))))</f>
        <v/>
      </c>
      <c r="H1186" s="39" t="str">
        <f>IF($Z1186="","",IF($Z1186&lt;=2000,IF(INDEX(包装物料出入库明细!$L$4:$L$2003,$Z1186-0)=0,"",INDEX(包装物料出入库明细!$L$4:$L$2003,$Z1186-0)),IF($Z1186&lt;=4000,N(INDEX(周转筐出入库明细!$H$4:$H$2004,$Z1186-2000))+N(INDEX(周转筐出入库明细!$I$4:$I$2004,$Z1186-2000))+N(INDEX(周转筐出入库明细!$J$4:$J$2004,$Z1186-2000))+N(INDEX(周转筐出入库明细!$K$4:$K$2004,$Z1186-2000)),IF($Z1186&lt;=5200,N(INDEX(客户自备加工筐明细!$F$4:$F$1203,$Z1186-4000))+N(INDEX(客户自备加工筐明细!$G$4:$G$1203,$Z1186-4000)),IF($Z1186&lt;=5800,IF(INDEX(次果筐明细!$G$4:$G$603,$Z1186-5200)=0,"",INDEX(次果筐明细!$G$4:$G$603,$Z1186-5200)),"")))))</f>
        <v/>
      </c>
      <c r="I1186" s="24" t="str">
        <f>IF($Z1186="","",IF($Z1186&lt;=2000,IF(INDEX(包装物料出入库明细!$G$4:$G$2003,$Z1186-0)=0,"",INDEX(包装物料出入库明细!$G$4:$G$2003,$Z1186-0)),IF($Z1186&lt;=4000,"个",IF($Z1186&lt;=5200,"个",IF($Z1186&lt;=5800,"个","")))))</f>
        <v/>
      </c>
      <c r="J1186" s="30" t="str">
        <f t="shared" si="55"/>
        <v/>
      </c>
      <c r="K1186" s="30" t="str">
        <f>IF($Z1186="","",IF($Z1186&lt;=2000,IF(INDEX(包装物料出入库明细!$N$4:$N$2003,$Z1186-0)=0,"",INDEX(包装物料出入库明细!$N$4:$N$2003,$Z1186-0)),IF($Z1186&lt;=4000,IF(INDEX(周转筐出入库明细!$P$4:$P$2004,$Z1186-2000)=0,"",INDEX(周转筐出入库明细!$P$4:$P$2004,$Z1186-2000)),IF($Z1186&lt;=5200,"",IF($Z1186&lt;=5800,N(INDEX(次果筐明细!$L$4:$L$603,$Z1186-5200))+N(INDEX(次果筐明细!$J$4:$J$603,$Z1186-5200)),"")))))</f>
        <v/>
      </c>
      <c r="L1186" s="24" t="str">
        <f>IF($Z1186="","",IF($Z1186&lt;=2000,IF(INDEX(包装物料出入库明细!$P$4:$P$2003,$Z1186-0)=0,"",INDEX(包装物料出入库明细!$P$4:$P$2003,$Z1186-0)),IF($Z1186&lt;=4000,IF(INDEX(周转筐出入库明细!$Q$4:$Q$2004,$Z1186-2000)=0,"",INDEX(周转筐出入库明细!$Q$4:$Q$2004,$Z1186-2000)),IF($Z1186&lt;=5200,"",IF($Z1186&lt;=5800,IF(INDEX(次果筐明细!$M$4:$M$603,$Z1186-5200)=0,"",INDEX(次果筐明细!$M$4:$M$603,$Z1186-5200)),"")))))</f>
        <v/>
      </c>
      <c r="M1186" s="37" t="str">
        <f>IF($Z1186="","",IF($Z1186&lt;=2000,IF(INDEX(包装物料出入库明细!$R$4:$R$2003,$Z1186-0)=0,"",INDEX(包装物料出入库明细!$R$4:$R$2003,$Z1186-0)),IF($Z1186&lt;=4000,IF(INDEX(周转筐出入库明细!$W$4:$W$2004,$Z1186-2000)=0,"",INDEX(周转筐出入库明细!$W$4:$W$2004,$Z1186-2000)),IF($Z1186&lt;=5200,IF(INDEX(客户自备加工筐明细!$L$4:$L$1203,$Z1186-4000)=0,"",INDEX(客户自备加工筐明细!$L$4:$L$1203,$Z1186-4000)),IF($Z1186&lt;=5800,IF(INDEX(次果筐明细!$P$4:$P$603,$Z1186-5200)=0,"",INDEX(次果筐明细!$P$4:$P$603,$Z1186-5200)),"")))))</f>
        <v/>
      </c>
      <c r="N1186" s="16" t="str">
        <f>IF($Z1186="","",IF($Z1186&lt;=2000,"",IF($Z1186&lt;=4000,IF(INDEX(周转筐出入库明细!$D$4:$D$2004,$Z1186-2000)=0,"",INDEX(周转筐出入库明细!$D$4:$D$2004,$Z1186-2000)),IF($Z1186&lt;=5200,IF(INDEX(客户自备加工筐明细!$C$4:$C$1203,$Z1186-4000)=0,"",INDEX(客户自备加工筐明细!$C$4:$C$1203,$Z1186-4000)),IF($Z1186&lt;=5800,IF(INDEX(次果筐明细!$D$4:$D$603,$Z1186-5200)=0,"",INDEX(次果筐明细!$D$4:$D$603,$Z1186-5200)),"")))))</f>
        <v/>
      </c>
      <c r="O1186" s="40" t="str">
        <f>IF($Z1186="","",IF($Z1186&lt;=2000,"",IF($Z1186&lt;=4000,IF(N(INDEX(周转筐出入库明细!$J$4:$J$2004,$Z1186-2000))+N(INDEX(周转筐出入库明细!$K$4:$K$2004,$Z1186-2000))=0,"",N(INDEX(周转筐出入库明细!$J$4:$J$2004,$Z1186-2000))+N(INDEX(周转筐出入库明细!$K$4:$K$2004,$Z1186-2000))),IF($Z1186&lt;=5200,IF(N(INDEX(客户自备加工筐明细!$G$4:$G$1203,$Z1186-4000))=0,"",N(INDEX(客户自备加工筐明细!$G$4:$G$1203,$Z1186-4000))),IF($Z1186&lt;=5800,IF(ISNUMBER(SEARCH("退",INDEX(次果筐明细!$F$4:$F$603,$Z1186-5200)&amp;"")),"",IF(N(INDEX(次果筐明细!$G$4:$G$603,$Z1186-5200))=0,"",N(INDEX(次果筐明细!$G$4:$G$603,$Z1186-5200)))),"")))))</f>
        <v/>
      </c>
      <c r="P1186" s="40" t="str">
        <f>IF($Z1186="","",IF($Z1186&lt;=2000,"",IF($Z1186&lt;=4000,IF(N(INDEX(周转筐出入库明细!$I$4:$I$2004,$Z1186-2000))=0,"",N(INDEX(周转筐出入库明细!$I$4:$I$2004,$Z1186-2000))),IF($Z1186&lt;=5200,"",IF($Z1186&lt;=5800,IF(ISNUMBER(SEARCH("退",INDEX(次果筐明细!$F$4:$F$603,$Z1186-5200)&amp;"")),IF(N(INDEX(次果筐明细!$G$4:$G$603,$Z1186-5200))=0,"",N(INDEX(次果筐明细!$G$4:$G$603,$Z1186-5200))),""),"")))))</f>
        <v/>
      </c>
      <c r="Q1186" s="40" t="str">
        <f>IF($Z1186="","",IF($Z1186&lt;=2000,"",IF($Z1186&lt;=4000,IF(N(INDEX(周转筐出入库明细!$H$4:$H$2004,$Z1186-2000))=0,"",N(INDEX(周转筐出入库明细!$H$4:$H$2004,$Z1186-2000))),IF($Z1186&lt;=5200,IF(N(INDEX(客户自备加工筐明细!$F$4:$F$1203,$Z1186-4000))=0,"",N(INDEX(客户自备加工筐明细!$F$4:$F$1203,$Z1186-4000))),IF($Z1186&lt;=5800,"","")))))</f>
        <v/>
      </c>
      <c r="R1186" s="16" t="str">
        <f>IF($Z1186="","",IF($Z1186&lt;=2000,IF(INDEX(包装物料出入库明细!$O$4:$O$2003,$Z1186-0)=0,"",INDEX(包装物料出入库明细!$O$4:$O$2003,$Z1186-0)),IF($Z1186&lt;=4000,IF(INDEX(周转筐出入库明细!$M$4:$M$2004,$Z1186-2000)=0,"",INDEX(周转筐出入库明细!$M$4:$M$2004,$Z1186-2000)),IF($Z1186&lt;=5200,IF(INDEX(客户自备加工筐明细!$H$4:$H$1203,$Z1186-4000)=0,"",INDEX(客户自备加工筐明细!$H$4:$H$1203,$Z1186-4000)),IF($Z1186&lt;=5800,IF(INDEX(次果筐明细!$H$4:$H$603,$Z1186-5200)=0,"",INDEX(次果筐明细!$H$4:$H$603,$Z1186-5200)),"")))))</f>
        <v/>
      </c>
      <c r="S1186" s="22" t="str">
        <f t="shared" si="56"/>
        <v/>
      </c>
      <c r="Z1186" s="10" t="str">
        <f>IFERROR(MATCH(ROW()-3,_自动清单!$CQ$4:$CQ$5803,0),"")</f>
        <v/>
      </c>
    </row>
    <row r="1187" spans="1:26">
      <c r="A1187" s="24" t="str">
        <f t="shared" si="54"/>
        <v/>
      </c>
      <c r="B1187" s="38" t="str">
        <f>IF($Z1187="","",IF($Z1187&lt;=2000,IF(INDEX(包装物料出入库明细!$B$4:$B$2003,$Z1187-0)=0,"",INDEX(包装物料出入库明细!$B$4:$B$2003,$Z1187-0)),IF($Z1187&lt;=4000,IF(INDEX(周转筐出入库明细!$B$4:$B$2004,$Z1187-2000)=0,"",INDEX(周转筐出入库明细!$B$4:$B$2004,$Z1187-2000)),IF($Z1187&lt;=5200,IF(INDEX(客户自备加工筐明细!$B$4:$B$1203,$Z1187-4000)=0,"",INDEX(客户自备加工筐明细!$B$4:$B$1203,$Z1187-4000)),IF($Z1187&lt;=5800,IF(INDEX(次果筐明细!$B$4:$B$603,$Z1187-5200)=0,"",INDEX(次果筐明细!$B$4:$B$603,$Z1187-5200)),"")))))</f>
        <v/>
      </c>
      <c r="C1187" s="37" t="str">
        <f>IF($Z1187="","",IF($Z1187&lt;=2000,IF(INDEX(包装物料出入库明细!$D$4:$D$2003,$Z1187-0)=0,"",INDEX(包装物料出入库明细!$D$4:$D$2003,$Z1187-0)),IF($Z1187&lt;=4000,IF(INDEX(周转筐出入库明细!$C$4:$C$2004,$Z1187-2000)=0,"",INDEX(周转筐出入库明细!$C$4:$C$2004,$Z1187-2000)),IF($Z1187&lt;=5200,IF(INDEX(客户自备加工筐明细!$E$4:$E$1203,$Z1187-4000)=0,"",INDEX(客户自备加工筐明细!$E$4:$E$1203,$Z1187-4000)),IF($Z1187&lt;=5800,IF(INDEX(次果筐明细!$C$4:$C$603,$Z1187-5200)=0,"",INDEX(次果筐明细!$C$4:$C$603,$Z1187-5200)),"")))))</f>
        <v/>
      </c>
      <c r="D1187" s="37" t="str">
        <f>IF($Z1187="","",IF($Z1187&lt;=2000,"包装物料－"&amp;INDEX(包装物料出入库明细!$H$4:$H$2003,$Z1187-0),IF($Z1187&lt;=4000,"周转筐－"&amp;INDEX(周转筐出入库明细!$F$4:$F$2004,$Z1187-2000),IF($Z1187&lt;=5200,"客户自备筐－"&amp;INDEX(客户自备加工筐明细!$J$4:$J$1203,$Z1187-4000),IF($Z1187&lt;=5800,"次果筐/托盘－"&amp;INDEX(次果筐明细!$F$4:$F$603,$Z1187-5200),"")))))</f>
        <v/>
      </c>
      <c r="E1187" s="24" t="str">
        <f>IF($Z1187="","",IF($Z1187&lt;=2000,IF(INDEX(包装物料出入库明细!$C$4:$C$2003,$Z1187-0)=0,"",INDEX(包装物料出入库明细!$C$4:$C$2003,$Z1187-0)),IF($Z1187&lt;=4000,IF(INDEX(周转筐出入库明细!$E$4:$E$2004,$Z1187-2000)=0,"",INDEX(周转筐出入库明细!$E$4:$E$2004,$Z1187-2000)),IF($Z1187&lt;=5200,IF(INDEX(客户自备加工筐明细!$D$4:$D$1203,$Z1187-4000)=0,"",INDEX(客户自备加工筐明细!$D$4:$D$1203,$Z1187-4000)),IF($Z1187&lt;=5800,IF(INDEX(次果筐明细!$E$4:$E$603,$Z1187-5200)=0,"",INDEX(次果筐明细!$E$4:$E$603,$Z1187-5200)),"")))))</f>
        <v/>
      </c>
      <c r="F1187" s="24" t="str">
        <f>IF($Z1187="","",IF($Z1187&lt;=2000,IF(INDEX(包装物料出入库明细!$E$4:$E$2003,$Z1187-0)=0,"",INDEX(包装物料出入库明细!$E$4:$E$2003,$Z1187-0)),IF($Z1187&lt;=4000,IF(INDEX(周转筐出入库明细!$D$4:$D$2004,$Z1187-2000)=0,"",INDEX(周转筐出入库明细!$D$4:$D$2004,$Z1187-2000)),IF($Z1187&lt;=5200,IF(INDEX(客户自备加工筐明细!$C$4:$C$1203,$Z1187-4000)=0,"",INDEX(客户自备加工筐明细!$C$4:$C$1203,$Z1187-4000)),IF($Z1187&lt;=5800,IF(INDEX(次果筐明细!$D$4:$D$603,$Z1187-5200)=0,"",INDEX(次果筐明细!$D$4:$D$603,$Z1187-5200)),"")))))</f>
        <v/>
      </c>
      <c r="G1187" s="24" t="str">
        <f>IF($Z1187="","",IF($Z1187&lt;=2000,IF(INDEX(包装物料出入库明细!$F$4:$F$2003,$Z1187-0)=0,"",INDEX(包装物料出入库明细!$F$4:$F$2003,$Z1187-0)),IF($Z1187&lt;=4000,"",IF($Z1187&lt;=5200,"",IF($Z1187&lt;=5800,"","")))))</f>
        <v/>
      </c>
      <c r="H1187" s="39" t="str">
        <f>IF($Z1187="","",IF($Z1187&lt;=2000,IF(INDEX(包装物料出入库明细!$L$4:$L$2003,$Z1187-0)=0,"",INDEX(包装物料出入库明细!$L$4:$L$2003,$Z1187-0)),IF($Z1187&lt;=4000,N(INDEX(周转筐出入库明细!$H$4:$H$2004,$Z1187-2000))+N(INDEX(周转筐出入库明细!$I$4:$I$2004,$Z1187-2000))+N(INDEX(周转筐出入库明细!$J$4:$J$2004,$Z1187-2000))+N(INDEX(周转筐出入库明细!$K$4:$K$2004,$Z1187-2000)),IF($Z1187&lt;=5200,N(INDEX(客户自备加工筐明细!$F$4:$F$1203,$Z1187-4000))+N(INDEX(客户自备加工筐明细!$G$4:$G$1203,$Z1187-4000)),IF($Z1187&lt;=5800,IF(INDEX(次果筐明细!$G$4:$G$603,$Z1187-5200)=0,"",INDEX(次果筐明细!$G$4:$G$603,$Z1187-5200)),"")))))</f>
        <v/>
      </c>
      <c r="I1187" s="24" t="str">
        <f>IF($Z1187="","",IF($Z1187&lt;=2000,IF(INDEX(包装物料出入库明细!$G$4:$G$2003,$Z1187-0)=0,"",INDEX(包装物料出入库明细!$G$4:$G$2003,$Z1187-0)),IF($Z1187&lt;=4000,"个",IF($Z1187&lt;=5200,"个",IF($Z1187&lt;=5800,"个","")))))</f>
        <v/>
      </c>
      <c r="J1187" s="30" t="str">
        <f t="shared" si="55"/>
        <v/>
      </c>
      <c r="K1187" s="30" t="str">
        <f>IF($Z1187="","",IF($Z1187&lt;=2000,IF(INDEX(包装物料出入库明细!$N$4:$N$2003,$Z1187-0)=0,"",INDEX(包装物料出入库明细!$N$4:$N$2003,$Z1187-0)),IF($Z1187&lt;=4000,IF(INDEX(周转筐出入库明细!$P$4:$P$2004,$Z1187-2000)=0,"",INDEX(周转筐出入库明细!$P$4:$P$2004,$Z1187-2000)),IF($Z1187&lt;=5200,"",IF($Z1187&lt;=5800,N(INDEX(次果筐明细!$L$4:$L$603,$Z1187-5200))+N(INDEX(次果筐明细!$J$4:$J$603,$Z1187-5200)),"")))))</f>
        <v/>
      </c>
      <c r="L1187" s="24" t="str">
        <f>IF($Z1187="","",IF($Z1187&lt;=2000,IF(INDEX(包装物料出入库明细!$P$4:$P$2003,$Z1187-0)=0,"",INDEX(包装物料出入库明细!$P$4:$P$2003,$Z1187-0)),IF($Z1187&lt;=4000,IF(INDEX(周转筐出入库明细!$Q$4:$Q$2004,$Z1187-2000)=0,"",INDEX(周转筐出入库明细!$Q$4:$Q$2004,$Z1187-2000)),IF($Z1187&lt;=5200,"",IF($Z1187&lt;=5800,IF(INDEX(次果筐明细!$M$4:$M$603,$Z1187-5200)=0,"",INDEX(次果筐明细!$M$4:$M$603,$Z1187-5200)),"")))))</f>
        <v/>
      </c>
      <c r="M1187" s="37" t="str">
        <f>IF($Z1187="","",IF($Z1187&lt;=2000,IF(INDEX(包装物料出入库明细!$R$4:$R$2003,$Z1187-0)=0,"",INDEX(包装物料出入库明细!$R$4:$R$2003,$Z1187-0)),IF($Z1187&lt;=4000,IF(INDEX(周转筐出入库明细!$W$4:$W$2004,$Z1187-2000)=0,"",INDEX(周转筐出入库明细!$W$4:$W$2004,$Z1187-2000)),IF($Z1187&lt;=5200,IF(INDEX(客户自备加工筐明细!$L$4:$L$1203,$Z1187-4000)=0,"",INDEX(客户自备加工筐明细!$L$4:$L$1203,$Z1187-4000)),IF($Z1187&lt;=5800,IF(INDEX(次果筐明细!$P$4:$P$603,$Z1187-5200)=0,"",INDEX(次果筐明细!$P$4:$P$603,$Z1187-5200)),"")))))</f>
        <v/>
      </c>
      <c r="N1187" s="16" t="str">
        <f>IF($Z1187="","",IF($Z1187&lt;=2000,"",IF($Z1187&lt;=4000,IF(INDEX(周转筐出入库明细!$D$4:$D$2004,$Z1187-2000)=0,"",INDEX(周转筐出入库明细!$D$4:$D$2004,$Z1187-2000)),IF($Z1187&lt;=5200,IF(INDEX(客户自备加工筐明细!$C$4:$C$1203,$Z1187-4000)=0,"",INDEX(客户自备加工筐明细!$C$4:$C$1203,$Z1187-4000)),IF($Z1187&lt;=5800,IF(INDEX(次果筐明细!$D$4:$D$603,$Z1187-5200)=0,"",INDEX(次果筐明细!$D$4:$D$603,$Z1187-5200)),"")))))</f>
        <v/>
      </c>
      <c r="O1187" s="40" t="str">
        <f>IF($Z1187="","",IF($Z1187&lt;=2000,"",IF($Z1187&lt;=4000,IF(N(INDEX(周转筐出入库明细!$J$4:$J$2004,$Z1187-2000))+N(INDEX(周转筐出入库明细!$K$4:$K$2004,$Z1187-2000))=0,"",N(INDEX(周转筐出入库明细!$J$4:$J$2004,$Z1187-2000))+N(INDEX(周转筐出入库明细!$K$4:$K$2004,$Z1187-2000))),IF($Z1187&lt;=5200,IF(N(INDEX(客户自备加工筐明细!$G$4:$G$1203,$Z1187-4000))=0,"",N(INDEX(客户自备加工筐明细!$G$4:$G$1203,$Z1187-4000))),IF($Z1187&lt;=5800,IF(ISNUMBER(SEARCH("退",INDEX(次果筐明细!$F$4:$F$603,$Z1187-5200)&amp;"")),"",IF(N(INDEX(次果筐明细!$G$4:$G$603,$Z1187-5200))=0,"",N(INDEX(次果筐明细!$G$4:$G$603,$Z1187-5200)))),"")))))</f>
        <v/>
      </c>
      <c r="P1187" s="40" t="str">
        <f>IF($Z1187="","",IF($Z1187&lt;=2000,"",IF($Z1187&lt;=4000,IF(N(INDEX(周转筐出入库明细!$I$4:$I$2004,$Z1187-2000))=0,"",N(INDEX(周转筐出入库明细!$I$4:$I$2004,$Z1187-2000))),IF($Z1187&lt;=5200,"",IF($Z1187&lt;=5800,IF(ISNUMBER(SEARCH("退",INDEX(次果筐明细!$F$4:$F$603,$Z1187-5200)&amp;"")),IF(N(INDEX(次果筐明细!$G$4:$G$603,$Z1187-5200))=0,"",N(INDEX(次果筐明细!$G$4:$G$603,$Z1187-5200))),""),"")))))</f>
        <v/>
      </c>
      <c r="Q1187" s="40" t="str">
        <f>IF($Z1187="","",IF($Z1187&lt;=2000,"",IF($Z1187&lt;=4000,IF(N(INDEX(周转筐出入库明细!$H$4:$H$2004,$Z1187-2000))=0,"",N(INDEX(周转筐出入库明细!$H$4:$H$2004,$Z1187-2000))),IF($Z1187&lt;=5200,IF(N(INDEX(客户自备加工筐明细!$F$4:$F$1203,$Z1187-4000))=0,"",N(INDEX(客户自备加工筐明细!$F$4:$F$1203,$Z1187-4000))),IF($Z1187&lt;=5800,"","")))))</f>
        <v/>
      </c>
      <c r="R1187" s="16" t="str">
        <f>IF($Z1187="","",IF($Z1187&lt;=2000,IF(INDEX(包装物料出入库明细!$O$4:$O$2003,$Z1187-0)=0,"",INDEX(包装物料出入库明细!$O$4:$O$2003,$Z1187-0)),IF($Z1187&lt;=4000,IF(INDEX(周转筐出入库明细!$M$4:$M$2004,$Z1187-2000)=0,"",INDEX(周转筐出入库明细!$M$4:$M$2004,$Z1187-2000)),IF($Z1187&lt;=5200,IF(INDEX(客户自备加工筐明细!$H$4:$H$1203,$Z1187-4000)=0,"",INDEX(客户自备加工筐明细!$H$4:$H$1203,$Z1187-4000)),IF($Z1187&lt;=5800,IF(INDEX(次果筐明细!$H$4:$H$603,$Z1187-5200)=0,"",INDEX(次果筐明细!$H$4:$H$603,$Z1187-5200)),"")))))</f>
        <v/>
      </c>
      <c r="S1187" s="22" t="str">
        <f t="shared" si="56"/>
        <v/>
      </c>
      <c r="Z1187" s="10" t="str">
        <f>IFERROR(MATCH(ROW()-3,_自动清单!$CQ$4:$CQ$5803,0),"")</f>
        <v/>
      </c>
    </row>
    <row r="1188" spans="1:26">
      <c r="A1188" s="24" t="str">
        <f t="shared" si="54"/>
        <v/>
      </c>
      <c r="B1188" s="38" t="str">
        <f>IF($Z1188="","",IF($Z1188&lt;=2000,IF(INDEX(包装物料出入库明细!$B$4:$B$2003,$Z1188-0)=0,"",INDEX(包装物料出入库明细!$B$4:$B$2003,$Z1188-0)),IF($Z1188&lt;=4000,IF(INDEX(周转筐出入库明细!$B$4:$B$2004,$Z1188-2000)=0,"",INDEX(周转筐出入库明细!$B$4:$B$2004,$Z1188-2000)),IF($Z1188&lt;=5200,IF(INDEX(客户自备加工筐明细!$B$4:$B$1203,$Z1188-4000)=0,"",INDEX(客户自备加工筐明细!$B$4:$B$1203,$Z1188-4000)),IF($Z1188&lt;=5800,IF(INDEX(次果筐明细!$B$4:$B$603,$Z1188-5200)=0,"",INDEX(次果筐明细!$B$4:$B$603,$Z1188-5200)),"")))))</f>
        <v/>
      </c>
      <c r="C1188" s="37" t="str">
        <f>IF($Z1188="","",IF($Z1188&lt;=2000,IF(INDEX(包装物料出入库明细!$D$4:$D$2003,$Z1188-0)=0,"",INDEX(包装物料出入库明细!$D$4:$D$2003,$Z1188-0)),IF($Z1188&lt;=4000,IF(INDEX(周转筐出入库明细!$C$4:$C$2004,$Z1188-2000)=0,"",INDEX(周转筐出入库明细!$C$4:$C$2004,$Z1188-2000)),IF($Z1188&lt;=5200,IF(INDEX(客户自备加工筐明细!$E$4:$E$1203,$Z1188-4000)=0,"",INDEX(客户自备加工筐明细!$E$4:$E$1203,$Z1188-4000)),IF($Z1188&lt;=5800,IF(INDEX(次果筐明细!$C$4:$C$603,$Z1188-5200)=0,"",INDEX(次果筐明细!$C$4:$C$603,$Z1188-5200)),"")))))</f>
        <v/>
      </c>
      <c r="D1188" s="37" t="str">
        <f>IF($Z1188="","",IF($Z1188&lt;=2000,"包装物料－"&amp;INDEX(包装物料出入库明细!$H$4:$H$2003,$Z1188-0),IF($Z1188&lt;=4000,"周转筐－"&amp;INDEX(周转筐出入库明细!$F$4:$F$2004,$Z1188-2000),IF($Z1188&lt;=5200,"客户自备筐－"&amp;INDEX(客户自备加工筐明细!$J$4:$J$1203,$Z1188-4000),IF($Z1188&lt;=5800,"次果筐/托盘－"&amp;INDEX(次果筐明细!$F$4:$F$603,$Z1188-5200),"")))))</f>
        <v/>
      </c>
      <c r="E1188" s="24" t="str">
        <f>IF($Z1188="","",IF($Z1188&lt;=2000,IF(INDEX(包装物料出入库明细!$C$4:$C$2003,$Z1188-0)=0,"",INDEX(包装物料出入库明细!$C$4:$C$2003,$Z1188-0)),IF($Z1188&lt;=4000,IF(INDEX(周转筐出入库明细!$E$4:$E$2004,$Z1188-2000)=0,"",INDEX(周转筐出入库明细!$E$4:$E$2004,$Z1188-2000)),IF($Z1188&lt;=5200,IF(INDEX(客户自备加工筐明细!$D$4:$D$1203,$Z1188-4000)=0,"",INDEX(客户自备加工筐明细!$D$4:$D$1203,$Z1188-4000)),IF($Z1188&lt;=5800,IF(INDEX(次果筐明细!$E$4:$E$603,$Z1188-5200)=0,"",INDEX(次果筐明细!$E$4:$E$603,$Z1188-5200)),"")))))</f>
        <v/>
      </c>
      <c r="F1188" s="24" t="str">
        <f>IF($Z1188="","",IF($Z1188&lt;=2000,IF(INDEX(包装物料出入库明细!$E$4:$E$2003,$Z1188-0)=0,"",INDEX(包装物料出入库明细!$E$4:$E$2003,$Z1188-0)),IF($Z1188&lt;=4000,IF(INDEX(周转筐出入库明细!$D$4:$D$2004,$Z1188-2000)=0,"",INDEX(周转筐出入库明细!$D$4:$D$2004,$Z1188-2000)),IF($Z1188&lt;=5200,IF(INDEX(客户自备加工筐明细!$C$4:$C$1203,$Z1188-4000)=0,"",INDEX(客户自备加工筐明细!$C$4:$C$1203,$Z1188-4000)),IF($Z1188&lt;=5800,IF(INDEX(次果筐明细!$D$4:$D$603,$Z1188-5200)=0,"",INDEX(次果筐明细!$D$4:$D$603,$Z1188-5200)),"")))))</f>
        <v/>
      </c>
      <c r="G1188" s="24" t="str">
        <f>IF($Z1188="","",IF($Z1188&lt;=2000,IF(INDEX(包装物料出入库明细!$F$4:$F$2003,$Z1188-0)=0,"",INDEX(包装物料出入库明细!$F$4:$F$2003,$Z1188-0)),IF($Z1188&lt;=4000,"",IF($Z1188&lt;=5200,"",IF($Z1188&lt;=5800,"","")))))</f>
        <v/>
      </c>
      <c r="H1188" s="39" t="str">
        <f>IF($Z1188="","",IF($Z1188&lt;=2000,IF(INDEX(包装物料出入库明细!$L$4:$L$2003,$Z1188-0)=0,"",INDEX(包装物料出入库明细!$L$4:$L$2003,$Z1188-0)),IF($Z1188&lt;=4000,N(INDEX(周转筐出入库明细!$H$4:$H$2004,$Z1188-2000))+N(INDEX(周转筐出入库明细!$I$4:$I$2004,$Z1188-2000))+N(INDEX(周转筐出入库明细!$J$4:$J$2004,$Z1188-2000))+N(INDEX(周转筐出入库明细!$K$4:$K$2004,$Z1188-2000)),IF($Z1188&lt;=5200,N(INDEX(客户自备加工筐明细!$F$4:$F$1203,$Z1188-4000))+N(INDEX(客户自备加工筐明细!$G$4:$G$1203,$Z1188-4000)),IF($Z1188&lt;=5800,IF(INDEX(次果筐明细!$G$4:$G$603,$Z1188-5200)=0,"",INDEX(次果筐明细!$G$4:$G$603,$Z1188-5200)),"")))))</f>
        <v/>
      </c>
      <c r="I1188" s="24" t="str">
        <f>IF($Z1188="","",IF($Z1188&lt;=2000,IF(INDEX(包装物料出入库明细!$G$4:$G$2003,$Z1188-0)=0,"",INDEX(包装物料出入库明细!$G$4:$G$2003,$Z1188-0)),IF($Z1188&lt;=4000,"个",IF($Z1188&lt;=5200,"个",IF($Z1188&lt;=5800,"个","")))))</f>
        <v/>
      </c>
      <c r="J1188" s="30" t="str">
        <f t="shared" si="55"/>
        <v/>
      </c>
      <c r="K1188" s="30" t="str">
        <f>IF($Z1188="","",IF($Z1188&lt;=2000,IF(INDEX(包装物料出入库明细!$N$4:$N$2003,$Z1188-0)=0,"",INDEX(包装物料出入库明细!$N$4:$N$2003,$Z1188-0)),IF($Z1188&lt;=4000,IF(INDEX(周转筐出入库明细!$P$4:$P$2004,$Z1188-2000)=0,"",INDEX(周转筐出入库明细!$P$4:$P$2004,$Z1188-2000)),IF($Z1188&lt;=5200,"",IF($Z1188&lt;=5800,N(INDEX(次果筐明细!$L$4:$L$603,$Z1188-5200))+N(INDEX(次果筐明细!$J$4:$J$603,$Z1188-5200)),"")))))</f>
        <v/>
      </c>
      <c r="L1188" s="24" t="str">
        <f>IF($Z1188="","",IF($Z1188&lt;=2000,IF(INDEX(包装物料出入库明细!$P$4:$P$2003,$Z1188-0)=0,"",INDEX(包装物料出入库明细!$P$4:$P$2003,$Z1188-0)),IF($Z1188&lt;=4000,IF(INDEX(周转筐出入库明细!$Q$4:$Q$2004,$Z1188-2000)=0,"",INDEX(周转筐出入库明细!$Q$4:$Q$2004,$Z1188-2000)),IF($Z1188&lt;=5200,"",IF($Z1188&lt;=5800,IF(INDEX(次果筐明细!$M$4:$M$603,$Z1188-5200)=0,"",INDEX(次果筐明细!$M$4:$M$603,$Z1188-5200)),"")))))</f>
        <v/>
      </c>
      <c r="M1188" s="37" t="str">
        <f>IF($Z1188="","",IF($Z1188&lt;=2000,IF(INDEX(包装物料出入库明细!$R$4:$R$2003,$Z1188-0)=0,"",INDEX(包装物料出入库明细!$R$4:$R$2003,$Z1188-0)),IF($Z1188&lt;=4000,IF(INDEX(周转筐出入库明细!$W$4:$W$2004,$Z1188-2000)=0,"",INDEX(周转筐出入库明细!$W$4:$W$2004,$Z1188-2000)),IF($Z1188&lt;=5200,IF(INDEX(客户自备加工筐明细!$L$4:$L$1203,$Z1188-4000)=0,"",INDEX(客户自备加工筐明细!$L$4:$L$1203,$Z1188-4000)),IF($Z1188&lt;=5800,IF(INDEX(次果筐明细!$P$4:$P$603,$Z1188-5200)=0,"",INDEX(次果筐明细!$P$4:$P$603,$Z1188-5200)),"")))))</f>
        <v/>
      </c>
      <c r="N1188" s="16" t="str">
        <f>IF($Z1188="","",IF($Z1188&lt;=2000,"",IF($Z1188&lt;=4000,IF(INDEX(周转筐出入库明细!$D$4:$D$2004,$Z1188-2000)=0,"",INDEX(周转筐出入库明细!$D$4:$D$2004,$Z1188-2000)),IF($Z1188&lt;=5200,IF(INDEX(客户自备加工筐明细!$C$4:$C$1203,$Z1188-4000)=0,"",INDEX(客户自备加工筐明细!$C$4:$C$1203,$Z1188-4000)),IF($Z1188&lt;=5800,IF(INDEX(次果筐明细!$D$4:$D$603,$Z1188-5200)=0,"",INDEX(次果筐明细!$D$4:$D$603,$Z1188-5200)),"")))))</f>
        <v/>
      </c>
      <c r="O1188" s="40" t="str">
        <f>IF($Z1188="","",IF($Z1188&lt;=2000,"",IF($Z1188&lt;=4000,IF(N(INDEX(周转筐出入库明细!$J$4:$J$2004,$Z1188-2000))+N(INDEX(周转筐出入库明细!$K$4:$K$2004,$Z1188-2000))=0,"",N(INDEX(周转筐出入库明细!$J$4:$J$2004,$Z1188-2000))+N(INDEX(周转筐出入库明细!$K$4:$K$2004,$Z1188-2000))),IF($Z1188&lt;=5200,IF(N(INDEX(客户自备加工筐明细!$G$4:$G$1203,$Z1188-4000))=0,"",N(INDEX(客户自备加工筐明细!$G$4:$G$1203,$Z1188-4000))),IF($Z1188&lt;=5800,IF(ISNUMBER(SEARCH("退",INDEX(次果筐明细!$F$4:$F$603,$Z1188-5200)&amp;"")),"",IF(N(INDEX(次果筐明细!$G$4:$G$603,$Z1188-5200))=0,"",N(INDEX(次果筐明细!$G$4:$G$603,$Z1188-5200)))),"")))))</f>
        <v/>
      </c>
      <c r="P1188" s="40" t="str">
        <f>IF($Z1188="","",IF($Z1188&lt;=2000,"",IF($Z1188&lt;=4000,IF(N(INDEX(周转筐出入库明细!$I$4:$I$2004,$Z1188-2000))=0,"",N(INDEX(周转筐出入库明细!$I$4:$I$2004,$Z1188-2000))),IF($Z1188&lt;=5200,"",IF($Z1188&lt;=5800,IF(ISNUMBER(SEARCH("退",INDEX(次果筐明细!$F$4:$F$603,$Z1188-5200)&amp;"")),IF(N(INDEX(次果筐明细!$G$4:$G$603,$Z1188-5200))=0,"",N(INDEX(次果筐明细!$G$4:$G$603,$Z1188-5200))),""),"")))))</f>
        <v/>
      </c>
      <c r="Q1188" s="40" t="str">
        <f>IF($Z1188="","",IF($Z1188&lt;=2000,"",IF($Z1188&lt;=4000,IF(N(INDEX(周转筐出入库明细!$H$4:$H$2004,$Z1188-2000))=0,"",N(INDEX(周转筐出入库明细!$H$4:$H$2004,$Z1188-2000))),IF($Z1188&lt;=5200,IF(N(INDEX(客户自备加工筐明细!$F$4:$F$1203,$Z1188-4000))=0,"",N(INDEX(客户自备加工筐明细!$F$4:$F$1203,$Z1188-4000))),IF($Z1188&lt;=5800,"","")))))</f>
        <v/>
      </c>
      <c r="R1188" s="16" t="str">
        <f>IF($Z1188="","",IF($Z1188&lt;=2000,IF(INDEX(包装物料出入库明细!$O$4:$O$2003,$Z1188-0)=0,"",INDEX(包装物料出入库明细!$O$4:$O$2003,$Z1188-0)),IF($Z1188&lt;=4000,IF(INDEX(周转筐出入库明细!$M$4:$M$2004,$Z1188-2000)=0,"",INDEX(周转筐出入库明细!$M$4:$M$2004,$Z1188-2000)),IF($Z1188&lt;=5200,IF(INDEX(客户自备加工筐明细!$H$4:$H$1203,$Z1188-4000)=0,"",INDEX(客户自备加工筐明细!$H$4:$H$1203,$Z1188-4000)),IF($Z1188&lt;=5800,IF(INDEX(次果筐明细!$H$4:$H$603,$Z1188-5200)=0,"",INDEX(次果筐明细!$H$4:$H$603,$Z1188-5200)),"")))))</f>
        <v/>
      </c>
      <c r="S1188" s="22" t="str">
        <f t="shared" si="56"/>
        <v/>
      </c>
      <c r="Z1188" s="10" t="str">
        <f>IFERROR(MATCH(ROW()-3,_自动清单!$CQ$4:$CQ$5803,0),"")</f>
        <v/>
      </c>
    </row>
    <row r="1189" spans="1:26">
      <c r="A1189" s="24" t="str">
        <f t="shared" si="54"/>
        <v/>
      </c>
      <c r="B1189" s="38" t="str">
        <f>IF($Z1189="","",IF($Z1189&lt;=2000,IF(INDEX(包装物料出入库明细!$B$4:$B$2003,$Z1189-0)=0,"",INDEX(包装物料出入库明细!$B$4:$B$2003,$Z1189-0)),IF($Z1189&lt;=4000,IF(INDEX(周转筐出入库明细!$B$4:$B$2004,$Z1189-2000)=0,"",INDEX(周转筐出入库明细!$B$4:$B$2004,$Z1189-2000)),IF($Z1189&lt;=5200,IF(INDEX(客户自备加工筐明细!$B$4:$B$1203,$Z1189-4000)=0,"",INDEX(客户自备加工筐明细!$B$4:$B$1203,$Z1189-4000)),IF($Z1189&lt;=5800,IF(INDEX(次果筐明细!$B$4:$B$603,$Z1189-5200)=0,"",INDEX(次果筐明细!$B$4:$B$603,$Z1189-5200)),"")))))</f>
        <v/>
      </c>
      <c r="C1189" s="37" t="str">
        <f>IF($Z1189="","",IF($Z1189&lt;=2000,IF(INDEX(包装物料出入库明细!$D$4:$D$2003,$Z1189-0)=0,"",INDEX(包装物料出入库明细!$D$4:$D$2003,$Z1189-0)),IF($Z1189&lt;=4000,IF(INDEX(周转筐出入库明细!$C$4:$C$2004,$Z1189-2000)=0,"",INDEX(周转筐出入库明细!$C$4:$C$2004,$Z1189-2000)),IF($Z1189&lt;=5200,IF(INDEX(客户自备加工筐明细!$E$4:$E$1203,$Z1189-4000)=0,"",INDEX(客户自备加工筐明细!$E$4:$E$1203,$Z1189-4000)),IF($Z1189&lt;=5800,IF(INDEX(次果筐明细!$C$4:$C$603,$Z1189-5200)=0,"",INDEX(次果筐明细!$C$4:$C$603,$Z1189-5200)),"")))))</f>
        <v/>
      </c>
      <c r="D1189" s="37" t="str">
        <f>IF($Z1189="","",IF($Z1189&lt;=2000,"包装物料－"&amp;INDEX(包装物料出入库明细!$H$4:$H$2003,$Z1189-0),IF($Z1189&lt;=4000,"周转筐－"&amp;INDEX(周转筐出入库明细!$F$4:$F$2004,$Z1189-2000),IF($Z1189&lt;=5200,"客户自备筐－"&amp;INDEX(客户自备加工筐明细!$J$4:$J$1203,$Z1189-4000),IF($Z1189&lt;=5800,"次果筐/托盘－"&amp;INDEX(次果筐明细!$F$4:$F$603,$Z1189-5200),"")))))</f>
        <v/>
      </c>
      <c r="E1189" s="24" t="str">
        <f>IF($Z1189="","",IF($Z1189&lt;=2000,IF(INDEX(包装物料出入库明细!$C$4:$C$2003,$Z1189-0)=0,"",INDEX(包装物料出入库明细!$C$4:$C$2003,$Z1189-0)),IF($Z1189&lt;=4000,IF(INDEX(周转筐出入库明细!$E$4:$E$2004,$Z1189-2000)=0,"",INDEX(周转筐出入库明细!$E$4:$E$2004,$Z1189-2000)),IF($Z1189&lt;=5200,IF(INDEX(客户自备加工筐明细!$D$4:$D$1203,$Z1189-4000)=0,"",INDEX(客户自备加工筐明细!$D$4:$D$1203,$Z1189-4000)),IF($Z1189&lt;=5800,IF(INDEX(次果筐明细!$E$4:$E$603,$Z1189-5200)=0,"",INDEX(次果筐明细!$E$4:$E$603,$Z1189-5200)),"")))))</f>
        <v/>
      </c>
      <c r="F1189" s="24" t="str">
        <f>IF($Z1189="","",IF($Z1189&lt;=2000,IF(INDEX(包装物料出入库明细!$E$4:$E$2003,$Z1189-0)=0,"",INDEX(包装物料出入库明细!$E$4:$E$2003,$Z1189-0)),IF($Z1189&lt;=4000,IF(INDEX(周转筐出入库明细!$D$4:$D$2004,$Z1189-2000)=0,"",INDEX(周转筐出入库明细!$D$4:$D$2004,$Z1189-2000)),IF($Z1189&lt;=5200,IF(INDEX(客户自备加工筐明细!$C$4:$C$1203,$Z1189-4000)=0,"",INDEX(客户自备加工筐明细!$C$4:$C$1203,$Z1189-4000)),IF($Z1189&lt;=5800,IF(INDEX(次果筐明细!$D$4:$D$603,$Z1189-5200)=0,"",INDEX(次果筐明细!$D$4:$D$603,$Z1189-5200)),"")))))</f>
        <v/>
      </c>
      <c r="G1189" s="24" t="str">
        <f>IF($Z1189="","",IF($Z1189&lt;=2000,IF(INDEX(包装物料出入库明细!$F$4:$F$2003,$Z1189-0)=0,"",INDEX(包装物料出入库明细!$F$4:$F$2003,$Z1189-0)),IF($Z1189&lt;=4000,"",IF($Z1189&lt;=5200,"",IF($Z1189&lt;=5800,"","")))))</f>
        <v/>
      </c>
      <c r="H1189" s="39" t="str">
        <f>IF($Z1189="","",IF($Z1189&lt;=2000,IF(INDEX(包装物料出入库明细!$L$4:$L$2003,$Z1189-0)=0,"",INDEX(包装物料出入库明细!$L$4:$L$2003,$Z1189-0)),IF($Z1189&lt;=4000,N(INDEX(周转筐出入库明细!$H$4:$H$2004,$Z1189-2000))+N(INDEX(周转筐出入库明细!$I$4:$I$2004,$Z1189-2000))+N(INDEX(周转筐出入库明细!$J$4:$J$2004,$Z1189-2000))+N(INDEX(周转筐出入库明细!$K$4:$K$2004,$Z1189-2000)),IF($Z1189&lt;=5200,N(INDEX(客户自备加工筐明细!$F$4:$F$1203,$Z1189-4000))+N(INDEX(客户自备加工筐明细!$G$4:$G$1203,$Z1189-4000)),IF($Z1189&lt;=5800,IF(INDEX(次果筐明细!$G$4:$G$603,$Z1189-5200)=0,"",INDEX(次果筐明细!$G$4:$G$603,$Z1189-5200)),"")))))</f>
        <v/>
      </c>
      <c r="I1189" s="24" t="str">
        <f>IF($Z1189="","",IF($Z1189&lt;=2000,IF(INDEX(包装物料出入库明细!$G$4:$G$2003,$Z1189-0)=0,"",INDEX(包装物料出入库明细!$G$4:$G$2003,$Z1189-0)),IF($Z1189&lt;=4000,"个",IF($Z1189&lt;=5200,"个",IF($Z1189&lt;=5800,"个","")))))</f>
        <v/>
      </c>
      <c r="J1189" s="30" t="str">
        <f t="shared" si="55"/>
        <v/>
      </c>
      <c r="K1189" s="30" t="str">
        <f>IF($Z1189="","",IF($Z1189&lt;=2000,IF(INDEX(包装物料出入库明细!$N$4:$N$2003,$Z1189-0)=0,"",INDEX(包装物料出入库明细!$N$4:$N$2003,$Z1189-0)),IF($Z1189&lt;=4000,IF(INDEX(周转筐出入库明细!$P$4:$P$2004,$Z1189-2000)=0,"",INDEX(周转筐出入库明细!$P$4:$P$2004,$Z1189-2000)),IF($Z1189&lt;=5200,"",IF($Z1189&lt;=5800,N(INDEX(次果筐明细!$L$4:$L$603,$Z1189-5200))+N(INDEX(次果筐明细!$J$4:$J$603,$Z1189-5200)),"")))))</f>
        <v/>
      </c>
      <c r="L1189" s="24" t="str">
        <f>IF($Z1189="","",IF($Z1189&lt;=2000,IF(INDEX(包装物料出入库明细!$P$4:$P$2003,$Z1189-0)=0,"",INDEX(包装物料出入库明细!$P$4:$P$2003,$Z1189-0)),IF($Z1189&lt;=4000,IF(INDEX(周转筐出入库明细!$Q$4:$Q$2004,$Z1189-2000)=0,"",INDEX(周转筐出入库明细!$Q$4:$Q$2004,$Z1189-2000)),IF($Z1189&lt;=5200,"",IF($Z1189&lt;=5800,IF(INDEX(次果筐明细!$M$4:$M$603,$Z1189-5200)=0,"",INDEX(次果筐明细!$M$4:$M$603,$Z1189-5200)),"")))))</f>
        <v/>
      </c>
      <c r="M1189" s="37" t="str">
        <f>IF($Z1189="","",IF($Z1189&lt;=2000,IF(INDEX(包装物料出入库明细!$R$4:$R$2003,$Z1189-0)=0,"",INDEX(包装物料出入库明细!$R$4:$R$2003,$Z1189-0)),IF($Z1189&lt;=4000,IF(INDEX(周转筐出入库明细!$W$4:$W$2004,$Z1189-2000)=0,"",INDEX(周转筐出入库明细!$W$4:$W$2004,$Z1189-2000)),IF($Z1189&lt;=5200,IF(INDEX(客户自备加工筐明细!$L$4:$L$1203,$Z1189-4000)=0,"",INDEX(客户自备加工筐明细!$L$4:$L$1203,$Z1189-4000)),IF($Z1189&lt;=5800,IF(INDEX(次果筐明细!$P$4:$P$603,$Z1189-5200)=0,"",INDEX(次果筐明细!$P$4:$P$603,$Z1189-5200)),"")))))</f>
        <v/>
      </c>
      <c r="N1189" s="16" t="str">
        <f>IF($Z1189="","",IF($Z1189&lt;=2000,"",IF($Z1189&lt;=4000,IF(INDEX(周转筐出入库明细!$D$4:$D$2004,$Z1189-2000)=0,"",INDEX(周转筐出入库明细!$D$4:$D$2004,$Z1189-2000)),IF($Z1189&lt;=5200,IF(INDEX(客户自备加工筐明细!$C$4:$C$1203,$Z1189-4000)=0,"",INDEX(客户自备加工筐明细!$C$4:$C$1203,$Z1189-4000)),IF($Z1189&lt;=5800,IF(INDEX(次果筐明细!$D$4:$D$603,$Z1189-5200)=0,"",INDEX(次果筐明细!$D$4:$D$603,$Z1189-5200)),"")))))</f>
        <v/>
      </c>
      <c r="O1189" s="40" t="str">
        <f>IF($Z1189="","",IF($Z1189&lt;=2000,"",IF($Z1189&lt;=4000,IF(N(INDEX(周转筐出入库明细!$J$4:$J$2004,$Z1189-2000))+N(INDEX(周转筐出入库明细!$K$4:$K$2004,$Z1189-2000))=0,"",N(INDEX(周转筐出入库明细!$J$4:$J$2004,$Z1189-2000))+N(INDEX(周转筐出入库明细!$K$4:$K$2004,$Z1189-2000))),IF($Z1189&lt;=5200,IF(N(INDEX(客户自备加工筐明细!$G$4:$G$1203,$Z1189-4000))=0,"",N(INDEX(客户自备加工筐明细!$G$4:$G$1203,$Z1189-4000))),IF($Z1189&lt;=5800,IF(ISNUMBER(SEARCH("退",INDEX(次果筐明细!$F$4:$F$603,$Z1189-5200)&amp;"")),"",IF(N(INDEX(次果筐明细!$G$4:$G$603,$Z1189-5200))=0,"",N(INDEX(次果筐明细!$G$4:$G$603,$Z1189-5200)))),"")))))</f>
        <v/>
      </c>
      <c r="P1189" s="40" t="str">
        <f>IF($Z1189="","",IF($Z1189&lt;=2000,"",IF($Z1189&lt;=4000,IF(N(INDEX(周转筐出入库明细!$I$4:$I$2004,$Z1189-2000))=0,"",N(INDEX(周转筐出入库明细!$I$4:$I$2004,$Z1189-2000))),IF($Z1189&lt;=5200,"",IF($Z1189&lt;=5800,IF(ISNUMBER(SEARCH("退",INDEX(次果筐明细!$F$4:$F$603,$Z1189-5200)&amp;"")),IF(N(INDEX(次果筐明细!$G$4:$G$603,$Z1189-5200))=0,"",N(INDEX(次果筐明细!$G$4:$G$603,$Z1189-5200))),""),"")))))</f>
        <v/>
      </c>
      <c r="Q1189" s="40" t="str">
        <f>IF($Z1189="","",IF($Z1189&lt;=2000,"",IF($Z1189&lt;=4000,IF(N(INDEX(周转筐出入库明细!$H$4:$H$2004,$Z1189-2000))=0,"",N(INDEX(周转筐出入库明细!$H$4:$H$2004,$Z1189-2000))),IF($Z1189&lt;=5200,IF(N(INDEX(客户自备加工筐明细!$F$4:$F$1203,$Z1189-4000))=0,"",N(INDEX(客户自备加工筐明细!$F$4:$F$1203,$Z1189-4000))),IF($Z1189&lt;=5800,"","")))))</f>
        <v/>
      </c>
      <c r="R1189" s="16" t="str">
        <f>IF($Z1189="","",IF($Z1189&lt;=2000,IF(INDEX(包装物料出入库明细!$O$4:$O$2003,$Z1189-0)=0,"",INDEX(包装物料出入库明细!$O$4:$O$2003,$Z1189-0)),IF($Z1189&lt;=4000,IF(INDEX(周转筐出入库明细!$M$4:$M$2004,$Z1189-2000)=0,"",INDEX(周转筐出入库明细!$M$4:$M$2004,$Z1189-2000)),IF($Z1189&lt;=5200,IF(INDEX(客户自备加工筐明细!$H$4:$H$1203,$Z1189-4000)=0,"",INDEX(客户自备加工筐明细!$H$4:$H$1203,$Z1189-4000)),IF($Z1189&lt;=5800,IF(INDEX(次果筐明细!$H$4:$H$603,$Z1189-5200)=0,"",INDEX(次果筐明细!$H$4:$H$603,$Z1189-5200)),"")))))</f>
        <v/>
      </c>
      <c r="S1189" s="22" t="str">
        <f t="shared" si="56"/>
        <v/>
      </c>
      <c r="Z1189" s="10" t="str">
        <f>IFERROR(MATCH(ROW()-3,_自动清单!$CQ$4:$CQ$5803,0),"")</f>
        <v/>
      </c>
    </row>
    <row r="1190" spans="1:26">
      <c r="A1190" s="24" t="str">
        <f t="shared" si="54"/>
        <v/>
      </c>
      <c r="B1190" s="38" t="str">
        <f>IF($Z1190="","",IF($Z1190&lt;=2000,IF(INDEX(包装物料出入库明细!$B$4:$B$2003,$Z1190-0)=0,"",INDEX(包装物料出入库明细!$B$4:$B$2003,$Z1190-0)),IF($Z1190&lt;=4000,IF(INDEX(周转筐出入库明细!$B$4:$B$2004,$Z1190-2000)=0,"",INDEX(周转筐出入库明细!$B$4:$B$2004,$Z1190-2000)),IF($Z1190&lt;=5200,IF(INDEX(客户自备加工筐明细!$B$4:$B$1203,$Z1190-4000)=0,"",INDEX(客户自备加工筐明细!$B$4:$B$1203,$Z1190-4000)),IF($Z1190&lt;=5800,IF(INDEX(次果筐明细!$B$4:$B$603,$Z1190-5200)=0,"",INDEX(次果筐明细!$B$4:$B$603,$Z1190-5200)),"")))))</f>
        <v/>
      </c>
      <c r="C1190" s="37" t="str">
        <f>IF($Z1190="","",IF($Z1190&lt;=2000,IF(INDEX(包装物料出入库明细!$D$4:$D$2003,$Z1190-0)=0,"",INDEX(包装物料出入库明细!$D$4:$D$2003,$Z1190-0)),IF($Z1190&lt;=4000,IF(INDEX(周转筐出入库明细!$C$4:$C$2004,$Z1190-2000)=0,"",INDEX(周转筐出入库明细!$C$4:$C$2004,$Z1190-2000)),IF($Z1190&lt;=5200,IF(INDEX(客户自备加工筐明细!$E$4:$E$1203,$Z1190-4000)=0,"",INDEX(客户自备加工筐明细!$E$4:$E$1203,$Z1190-4000)),IF($Z1190&lt;=5800,IF(INDEX(次果筐明细!$C$4:$C$603,$Z1190-5200)=0,"",INDEX(次果筐明细!$C$4:$C$603,$Z1190-5200)),"")))))</f>
        <v/>
      </c>
      <c r="D1190" s="37" t="str">
        <f>IF($Z1190="","",IF($Z1190&lt;=2000,"包装物料－"&amp;INDEX(包装物料出入库明细!$H$4:$H$2003,$Z1190-0),IF($Z1190&lt;=4000,"周转筐－"&amp;INDEX(周转筐出入库明细!$F$4:$F$2004,$Z1190-2000),IF($Z1190&lt;=5200,"客户自备筐－"&amp;INDEX(客户自备加工筐明细!$J$4:$J$1203,$Z1190-4000),IF($Z1190&lt;=5800,"次果筐/托盘－"&amp;INDEX(次果筐明细!$F$4:$F$603,$Z1190-5200),"")))))</f>
        <v/>
      </c>
      <c r="E1190" s="24" t="str">
        <f>IF($Z1190="","",IF($Z1190&lt;=2000,IF(INDEX(包装物料出入库明细!$C$4:$C$2003,$Z1190-0)=0,"",INDEX(包装物料出入库明细!$C$4:$C$2003,$Z1190-0)),IF($Z1190&lt;=4000,IF(INDEX(周转筐出入库明细!$E$4:$E$2004,$Z1190-2000)=0,"",INDEX(周转筐出入库明细!$E$4:$E$2004,$Z1190-2000)),IF($Z1190&lt;=5200,IF(INDEX(客户自备加工筐明细!$D$4:$D$1203,$Z1190-4000)=0,"",INDEX(客户自备加工筐明细!$D$4:$D$1203,$Z1190-4000)),IF($Z1190&lt;=5800,IF(INDEX(次果筐明细!$E$4:$E$603,$Z1190-5200)=0,"",INDEX(次果筐明细!$E$4:$E$603,$Z1190-5200)),"")))))</f>
        <v/>
      </c>
      <c r="F1190" s="24" t="str">
        <f>IF($Z1190="","",IF($Z1190&lt;=2000,IF(INDEX(包装物料出入库明细!$E$4:$E$2003,$Z1190-0)=0,"",INDEX(包装物料出入库明细!$E$4:$E$2003,$Z1190-0)),IF($Z1190&lt;=4000,IF(INDEX(周转筐出入库明细!$D$4:$D$2004,$Z1190-2000)=0,"",INDEX(周转筐出入库明细!$D$4:$D$2004,$Z1190-2000)),IF($Z1190&lt;=5200,IF(INDEX(客户自备加工筐明细!$C$4:$C$1203,$Z1190-4000)=0,"",INDEX(客户自备加工筐明细!$C$4:$C$1203,$Z1190-4000)),IF($Z1190&lt;=5800,IF(INDEX(次果筐明细!$D$4:$D$603,$Z1190-5200)=0,"",INDEX(次果筐明细!$D$4:$D$603,$Z1190-5200)),"")))))</f>
        <v/>
      </c>
      <c r="G1190" s="24" t="str">
        <f>IF($Z1190="","",IF($Z1190&lt;=2000,IF(INDEX(包装物料出入库明细!$F$4:$F$2003,$Z1190-0)=0,"",INDEX(包装物料出入库明细!$F$4:$F$2003,$Z1190-0)),IF($Z1190&lt;=4000,"",IF($Z1190&lt;=5200,"",IF($Z1190&lt;=5800,"","")))))</f>
        <v/>
      </c>
      <c r="H1190" s="39" t="str">
        <f>IF($Z1190="","",IF($Z1190&lt;=2000,IF(INDEX(包装物料出入库明细!$L$4:$L$2003,$Z1190-0)=0,"",INDEX(包装物料出入库明细!$L$4:$L$2003,$Z1190-0)),IF($Z1190&lt;=4000,N(INDEX(周转筐出入库明细!$H$4:$H$2004,$Z1190-2000))+N(INDEX(周转筐出入库明细!$I$4:$I$2004,$Z1190-2000))+N(INDEX(周转筐出入库明细!$J$4:$J$2004,$Z1190-2000))+N(INDEX(周转筐出入库明细!$K$4:$K$2004,$Z1190-2000)),IF($Z1190&lt;=5200,N(INDEX(客户自备加工筐明细!$F$4:$F$1203,$Z1190-4000))+N(INDEX(客户自备加工筐明细!$G$4:$G$1203,$Z1190-4000)),IF($Z1190&lt;=5800,IF(INDEX(次果筐明细!$G$4:$G$603,$Z1190-5200)=0,"",INDEX(次果筐明细!$G$4:$G$603,$Z1190-5200)),"")))))</f>
        <v/>
      </c>
      <c r="I1190" s="24" t="str">
        <f>IF($Z1190="","",IF($Z1190&lt;=2000,IF(INDEX(包装物料出入库明细!$G$4:$G$2003,$Z1190-0)=0,"",INDEX(包装物料出入库明细!$G$4:$G$2003,$Z1190-0)),IF($Z1190&lt;=4000,"个",IF($Z1190&lt;=5200,"个",IF($Z1190&lt;=5800,"个","")))))</f>
        <v/>
      </c>
      <c r="J1190" s="30" t="str">
        <f t="shared" si="55"/>
        <v/>
      </c>
      <c r="K1190" s="30" t="str">
        <f>IF($Z1190="","",IF($Z1190&lt;=2000,IF(INDEX(包装物料出入库明细!$N$4:$N$2003,$Z1190-0)=0,"",INDEX(包装物料出入库明细!$N$4:$N$2003,$Z1190-0)),IF($Z1190&lt;=4000,IF(INDEX(周转筐出入库明细!$P$4:$P$2004,$Z1190-2000)=0,"",INDEX(周转筐出入库明细!$P$4:$P$2004,$Z1190-2000)),IF($Z1190&lt;=5200,"",IF($Z1190&lt;=5800,N(INDEX(次果筐明细!$L$4:$L$603,$Z1190-5200))+N(INDEX(次果筐明细!$J$4:$J$603,$Z1190-5200)),"")))))</f>
        <v/>
      </c>
      <c r="L1190" s="24" t="str">
        <f>IF($Z1190="","",IF($Z1190&lt;=2000,IF(INDEX(包装物料出入库明细!$P$4:$P$2003,$Z1190-0)=0,"",INDEX(包装物料出入库明细!$P$4:$P$2003,$Z1190-0)),IF($Z1190&lt;=4000,IF(INDEX(周转筐出入库明细!$Q$4:$Q$2004,$Z1190-2000)=0,"",INDEX(周转筐出入库明细!$Q$4:$Q$2004,$Z1190-2000)),IF($Z1190&lt;=5200,"",IF($Z1190&lt;=5800,IF(INDEX(次果筐明细!$M$4:$M$603,$Z1190-5200)=0,"",INDEX(次果筐明细!$M$4:$M$603,$Z1190-5200)),"")))))</f>
        <v/>
      </c>
      <c r="M1190" s="37" t="str">
        <f>IF($Z1190="","",IF($Z1190&lt;=2000,IF(INDEX(包装物料出入库明细!$R$4:$R$2003,$Z1190-0)=0,"",INDEX(包装物料出入库明细!$R$4:$R$2003,$Z1190-0)),IF($Z1190&lt;=4000,IF(INDEX(周转筐出入库明细!$W$4:$W$2004,$Z1190-2000)=0,"",INDEX(周转筐出入库明细!$W$4:$W$2004,$Z1190-2000)),IF($Z1190&lt;=5200,IF(INDEX(客户自备加工筐明细!$L$4:$L$1203,$Z1190-4000)=0,"",INDEX(客户自备加工筐明细!$L$4:$L$1203,$Z1190-4000)),IF($Z1190&lt;=5800,IF(INDEX(次果筐明细!$P$4:$P$603,$Z1190-5200)=0,"",INDEX(次果筐明细!$P$4:$P$603,$Z1190-5200)),"")))))</f>
        <v/>
      </c>
      <c r="N1190" s="16" t="str">
        <f>IF($Z1190="","",IF($Z1190&lt;=2000,"",IF($Z1190&lt;=4000,IF(INDEX(周转筐出入库明细!$D$4:$D$2004,$Z1190-2000)=0,"",INDEX(周转筐出入库明细!$D$4:$D$2004,$Z1190-2000)),IF($Z1190&lt;=5200,IF(INDEX(客户自备加工筐明细!$C$4:$C$1203,$Z1190-4000)=0,"",INDEX(客户自备加工筐明细!$C$4:$C$1203,$Z1190-4000)),IF($Z1190&lt;=5800,IF(INDEX(次果筐明细!$D$4:$D$603,$Z1190-5200)=0,"",INDEX(次果筐明细!$D$4:$D$603,$Z1190-5200)),"")))))</f>
        <v/>
      </c>
      <c r="O1190" s="40" t="str">
        <f>IF($Z1190="","",IF($Z1190&lt;=2000,"",IF($Z1190&lt;=4000,IF(N(INDEX(周转筐出入库明细!$J$4:$J$2004,$Z1190-2000))+N(INDEX(周转筐出入库明细!$K$4:$K$2004,$Z1190-2000))=0,"",N(INDEX(周转筐出入库明细!$J$4:$J$2004,$Z1190-2000))+N(INDEX(周转筐出入库明细!$K$4:$K$2004,$Z1190-2000))),IF($Z1190&lt;=5200,IF(N(INDEX(客户自备加工筐明细!$G$4:$G$1203,$Z1190-4000))=0,"",N(INDEX(客户自备加工筐明细!$G$4:$G$1203,$Z1190-4000))),IF($Z1190&lt;=5800,IF(ISNUMBER(SEARCH("退",INDEX(次果筐明细!$F$4:$F$603,$Z1190-5200)&amp;"")),"",IF(N(INDEX(次果筐明细!$G$4:$G$603,$Z1190-5200))=0,"",N(INDEX(次果筐明细!$G$4:$G$603,$Z1190-5200)))),"")))))</f>
        <v/>
      </c>
      <c r="P1190" s="40" t="str">
        <f>IF($Z1190="","",IF($Z1190&lt;=2000,"",IF($Z1190&lt;=4000,IF(N(INDEX(周转筐出入库明细!$I$4:$I$2004,$Z1190-2000))=0,"",N(INDEX(周转筐出入库明细!$I$4:$I$2004,$Z1190-2000))),IF($Z1190&lt;=5200,"",IF($Z1190&lt;=5800,IF(ISNUMBER(SEARCH("退",INDEX(次果筐明细!$F$4:$F$603,$Z1190-5200)&amp;"")),IF(N(INDEX(次果筐明细!$G$4:$G$603,$Z1190-5200))=0,"",N(INDEX(次果筐明细!$G$4:$G$603,$Z1190-5200))),""),"")))))</f>
        <v/>
      </c>
      <c r="Q1190" s="40" t="str">
        <f>IF($Z1190="","",IF($Z1190&lt;=2000,"",IF($Z1190&lt;=4000,IF(N(INDEX(周转筐出入库明细!$H$4:$H$2004,$Z1190-2000))=0,"",N(INDEX(周转筐出入库明细!$H$4:$H$2004,$Z1190-2000))),IF($Z1190&lt;=5200,IF(N(INDEX(客户自备加工筐明细!$F$4:$F$1203,$Z1190-4000))=0,"",N(INDEX(客户自备加工筐明细!$F$4:$F$1203,$Z1190-4000))),IF($Z1190&lt;=5800,"","")))))</f>
        <v/>
      </c>
      <c r="R1190" s="16" t="str">
        <f>IF($Z1190="","",IF($Z1190&lt;=2000,IF(INDEX(包装物料出入库明细!$O$4:$O$2003,$Z1190-0)=0,"",INDEX(包装物料出入库明细!$O$4:$O$2003,$Z1190-0)),IF($Z1190&lt;=4000,IF(INDEX(周转筐出入库明细!$M$4:$M$2004,$Z1190-2000)=0,"",INDEX(周转筐出入库明细!$M$4:$M$2004,$Z1190-2000)),IF($Z1190&lt;=5200,IF(INDEX(客户自备加工筐明细!$H$4:$H$1203,$Z1190-4000)=0,"",INDEX(客户自备加工筐明细!$H$4:$H$1203,$Z1190-4000)),IF($Z1190&lt;=5800,IF(INDEX(次果筐明细!$H$4:$H$603,$Z1190-5200)=0,"",INDEX(次果筐明细!$H$4:$H$603,$Z1190-5200)),"")))))</f>
        <v/>
      </c>
      <c r="S1190" s="22" t="str">
        <f t="shared" si="56"/>
        <v/>
      </c>
      <c r="Z1190" s="10" t="str">
        <f>IFERROR(MATCH(ROW()-3,_自动清单!$CQ$4:$CQ$5803,0),"")</f>
        <v/>
      </c>
    </row>
    <row r="1191" spans="1:26">
      <c r="A1191" s="24" t="str">
        <f t="shared" si="54"/>
        <v/>
      </c>
      <c r="B1191" s="38" t="str">
        <f>IF($Z1191="","",IF($Z1191&lt;=2000,IF(INDEX(包装物料出入库明细!$B$4:$B$2003,$Z1191-0)=0,"",INDEX(包装物料出入库明细!$B$4:$B$2003,$Z1191-0)),IF($Z1191&lt;=4000,IF(INDEX(周转筐出入库明细!$B$4:$B$2004,$Z1191-2000)=0,"",INDEX(周转筐出入库明细!$B$4:$B$2004,$Z1191-2000)),IF($Z1191&lt;=5200,IF(INDEX(客户自备加工筐明细!$B$4:$B$1203,$Z1191-4000)=0,"",INDEX(客户自备加工筐明细!$B$4:$B$1203,$Z1191-4000)),IF($Z1191&lt;=5800,IF(INDEX(次果筐明细!$B$4:$B$603,$Z1191-5200)=0,"",INDEX(次果筐明细!$B$4:$B$603,$Z1191-5200)),"")))))</f>
        <v/>
      </c>
      <c r="C1191" s="37" t="str">
        <f>IF($Z1191="","",IF($Z1191&lt;=2000,IF(INDEX(包装物料出入库明细!$D$4:$D$2003,$Z1191-0)=0,"",INDEX(包装物料出入库明细!$D$4:$D$2003,$Z1191-0)),IF($Z1191&lt;=4000,IF(INDEX(周转筐出入库明细!$C$4:$C$2004,$Z1191-2000)=0,"",INDEX(周转筐出入库明细!$C$4:$C$2004,$Z1191-2000)),IF($Z1191&lt;=5200,IF(INDEX(客户自备加工筐明细!$E$4:$E$1203,$Z1191-4000)=0,"",INDEX(客户自备加工筐明细!$E$4:$E$1203,$Z1191-4000)),IF($Z1191&lt;=5800,IF(INDEX(次果筐明细!$C$4:$C$603,$Z1191-5200)=0,"",INDEX(次果筐明细!$C$4:$C$603,$Z1191-5200)),"")))))</f>
        <v/>
      </c>
      <c r="D1191" s="37" t="str">
        <f>IF($Z1191="","",IF($Z1191&lt;=2000,"包装物料－"&amp;INDEX(包装物料出入库明细!$H$4:$H$2003,$Z1191-0),IF($Z1191&lt;=4000,"周转筐－"&amp;INDEX(周转筐出入库明细!$F$4:$F$2004,$Z1191-2000),IF($Z1191&lt;=5200,"客户自备筐－"&amp;INDEX(客户自备加工筐明细!$J$4:$J$1203,$Z1191-4000),IF($Z1191&lt;=5800,"次果筐/托盘－"&amp;INDEX(次果筐明细!$F$4:$F$603,$Z1191-5200),"")))))</f>
        <v/>
      </c>
      <c r="E1191" s="24" t="str">
        <f>IF($Z1191="","",IF($Z1191&lt;=2000,IF(INDEX(包装物料出入库明细!$C$4:$C$2003,$Z1191-0)=0,"",INDEX(包装物料出入库明细!$C$4:$C$2003,$Z1191-0)),IF($Z1191&lt;=4000,IF(INDEX(周转筐出入库明细!$E$4:$E$2004,$Z1191-2000)=0,"",INDEX(周转筐出入库明细!$E$4:$E$2004,$Z1191-2000)),IF($Z1191&lt;=5200,IF(INDEX(客户自备加工筐明细!$D$4:$D$1203,$Z1191-4000)=0,"",INDEX(客户自备加工筐明细!$D$4:$D$1203,$Z1191-4000)),IF($Z1191&lt;=5800,IF(INDEX(次果筐明细!$E$4:$E$603,$Z1191-5200)=0,"",INDEX(次果筐明细!$E$4:$E$603,$Z1191-5200)),"")))))</f>
        <v/>
      </c>
      <c r="F1191" s="24" t="str">
        <f>IF($Z1191="","",IF($Z1191&lt;=2000,IF(INDEX(包装物料出入库明细!$E$4:$E$2003,$Z1191-0)=0,"",INDEX(包装物料出入库明细!$E$4:$E$2003,$Z1191-0)),IF($Z1191&lt;=4000,IF(INDEX(周转筐出入库明细!$D$4:$D$2004,$Z1191-2000)=0,"",INDEX(周转筐出入库明细!$D$4:$D$2004,$Z1191-2000)),IF($Z1191&lt;=5200,IF(INDEX(客户自备加工筐明细!$C$4:$C$1203,$Z1191-4000)=0,"",INDEX(客户自备加工筐明细!$C$4:$C$1203,$Z1191-4000)),IF($Z1191&lt;=5800,IF(INDEX(次果筐明细!$D$4:$D$603,$Z1191-5200)=0,"",INDEX(次果筐明细!$D$4:$D$603,$Z1191-5200)),"")))))</f>
        <v/>
      </c>
      <c r="G1191" s="24" t="str">
        <f>IF($Z1191="","",IF($Z1191&lt;=2000,IF(INDEX(包装物料出入库明细!$F$4:$F$2003,$Z1191-0)=0,"",INDEX(包装物料出入库明细!$F$4:$F$2003,$Z1191-0)),IF($Z1191&lt;=4000,"",IF($Z1191&lt;=5200,"",IF($Z1191&lt;=5800,"","")))))</f>
        <v/>
      </c>
      <c r="H1191" s="39" t="str">
        <f>IF($Z1191="","",IF($Z1191&lt;=2000,IF(INDEX(包装物料出入库明细!$L$4:$L$2003,$Z1191-0)=0,"",INDEX(包装物料出入库明细!$L$4:$L$2003,$Z1191-0)),IF($Z1191&lt;=4000,N(INDEX(周转筐出入库明细!$H$4:$H$2004,$Z1191-2000))+N(INDEX(周转筐出入库明细!$I$4:$I$2004,$Z1191-2000))+N(INDEX(周转筐出入库明细!$J$4:$J$2004,$Z1191-2000))+N(INDEX(周转筐出入库明细!$K$4:$K$2004,$Z1191-2000)),IF($Z1191&lt;=5200,N(INDEX(客户自备加工筐明细!$F$4:$F$1203,$Z1191-4000))+N(INDEX(客户自备加工筐明细!$G$4:$G$1203,$Z1191-4000)),IF($Z1191&lt;=5800,IF(INDEX(次果筐明细!$G$4:$G$603,$Z1191-5200)=0,"",INDEX(次果筐明细!$G$4:$G$603,$Z1191-5200)),"")))))</f>
        <v/>
      </c>
      <c r="I1191" s="24" t="str">
        <f>IF($Z1191="","",IF($Z1191&lt;=2000,IF(INDEX(包装物料出入库明细!$G$4:$G$2003,$Z1191-0)=0,"",INDEX(包装物料出入库明细!$G$4:$G$2003,$Z1191-0)),IF($Z1191&lt;=4000,"个",IF($Z1191&lt;=5200,"个",IF($Z1191&lt;=5800,"个","")))))</f>
        <v/>
      </c>
      <c r="J1191" s="30" t="str">
        <f t="shared" si="55"/>
        <v/>
      </c>
      <c r="K1191" s="30" t="str">
        <f>IF($Z1191="","",IF($Z1191&lt;=2000,IF(INDEX(包装物料出入库明细!$N$4:$N$2003,$Z1191-0)=0,"",INDEX(包装物料出入库明细!$N$4:$N$2003,$Z1191-0)),IF($Z1191&lt;=4000,IF(INDEX(周转筐出入库明细!$P$4:$P$2004,$Z1191-2000)=0,"",INDEX(周转筐出入库明细!$P$4:$P$2004,$Z1191-2000)),IF($Z1191&lt;=5200,"",IF($Z1191&lt;=5800,N(INDEX(次果筐明细!$L$4:$L$603,$Z1191-5200))+N(INDEX(次果筐明细!$J$4:$J$603,$Z1191-5200)),"")))))</f>
        <v/>
      </c>
      <c r="L1191" s="24" t="str">
        <f>IF($Z1191="","",IF($Z1191&lt;=2000,IF(INDEX(包装物料出入库明细!$P$4:$P$2003,$Z1191-0)=0,"",INDEX(包装物料出入库明细!$P$4:$P$2003,$Z1191-0)),IF($Z1191&lt;=4000,IF(INDEX(周转筐出入库明细!$Q$4:$Q$2004,$Z1191-2000)=0,"",INDEX(周转筐出入库明细!$Q$4:$Q$2004,$Z1191-2000)),IF($Z1191&lt;=5200,"",IF($Z1191&lt;=5800,IF(INDEX(次果筐明细!$M$4:$M$603,$Z1191-5200)=0,"",INDEX(次果筐明细!$M$4:$M$603,$Z1191-5200)),"")))))</f>
        <v/>
      </c>
      <c r="M1191" s="37" t="str">
        <f>IF($Z1191="","",IF($Z1191&lt;=2000,IF(INDEX(包装物料出入库明细!$R$4:$R$2003,$Z1191-0)=0,"",INDEX(包装物料出入库明细!$R$4:$R$2003,$Z1191-0)),IF($Z1191&lt;=4000,IF(INDEX(周转筐出入库明细!$W$4:$W$2004,$Z1191-2000)=0,"",INDEX(周转筐出入库明细!$W$4:$W$2004,$Z1191-2000)),IF($Z1191&lt;=5200,IF(INDEX(客户自备加工筐明细!$L$4:$L$1203,$Z1191-4000)=0,"",INDEX(客户自备加工筐明细!$L$4:$L$1203,$Z1191-4000)),IF($Z1191&lt;=5800,IF(INDEX(次果筐明细!$P$4:$P$603,$Z1191-5200)=0,"",INDEX(次果筐明细!$P$4:$P$603,$Z1191-5200)),"")))))</f>
        <v/>
      </c>
      <c r="N1191" s="16" t="str">
        <f>IF($Z1191="","",IF($Z1191&lt;=2000,"",IF($Z1191&lt;=4000,IF(INDEX(周转筐出入库明细!$D$4:$D$2004,$Z1191-2000)=0,"",INDEX(周转筐出入库明细!$D$4:$D$2004,$Z1191-2000)),IF($Z1191&lt;=5200,IF(INDEX(客户自备加工筐明细!$C$4:$C$1203,$Z1191-4000)=0,"",INDEX(客户自备加工筐明细!$C$4:$C$1203,$Z1191-4000)),IF($Z1191&lt;=5800,IF(INDEX(次果筐明细!$D$4:$D$603,$Z1191-5200)=0,"",INDEX(次果筐明细!$D$4:$D$603,$Z1191-5200)),"")))))</f>
        <v/>
      </c>
      <c r="O1191" s="40" t="str">
        <f>IF($Z1191="","",IF($Z1191&lt;=2000,"",IF($Z1191&lt;=4000,IF(N(INDEX(周转筐出入库明细!$J$4:$J$2004,$Z1191-2000))+N(INDEX(周转筐出入库明细!$K$4:$K$2004,$Z1191-2000))=0,"",N(INDEX(周转筐出入库明细!$J$4:$J$2004,$Z1191-2000))+N(INDEX(周转筐出入库明细!$K$4:$K$2004,$Z1191-2000))),IF($Z1191&lt;=5200,IF(N(INDEX(客户自备加工筐明细!$G$4:$G$1203,$Z1191-4000))=0,"",N(INDEX(客户自备加工筐明细!$G$4:$G$1203,$Z1191-4000))),IF($Z1191&lt;=5800,IF(ISNUMBER(SEARCH("退",INDEX(次果筐明细!$F$4:$F$603,$Z1191-5200)&amp;"")),"",IF(N(INDEX(次果筐明细!$G$4:$G$603,$Z1191-5200))=0,"",N(INDEX(次果筐明细!$G$4:$G$603,$Z1191-5200)))),"")))))</f>
        <v/>
      </c>
      <c r="P1191" s="40" t="str">
        <f>IF($Z1191="","",IF($Z1191&lt;=2000,"",IF($Z1191&lt;=4000,IF(N(INDEX(周转筐出入库明细!$I$4:$I$2004,$Z1191-2000))=0,"",N(INDEX(周转筐出入库明细!$I$4:$I$2004,$Z1191-2000))),IF($Z1191&lt;=5200,"",IF($Z1191&lt;=5800,IF(ISNUMBER(SEARCH("退",INDEX(次果筐明细!$F$4:$F$603,$Z1191-5200)&amp;"")),IF(N(INDEX(次果筐明细!$G$4:$G$603,$Z1191-5200))=0,"",N(INDEX(次果筐明细!$G$4:$G$603,$Z1191-5200))),""),"")))))</f>
        <v/>
      </c>
      <c r="Q1191" s="40" t="str">
        <f>IF($Z1191="","",IF($Z1191&lt;=2000,"",IF($Z1191&lt;=4000,IF(N(INDEX(周转筐出入库明细!$H$4:$H$2004,$Z1191-2000))=0,"",N(INDEX(周转筐出入库明细!$H$4:$H$2004,$Z1191-2000))),IF($Z1191&lt;=5200,IF(N(INDEX(客户自备加工筐明细!$F$4:$F$1203,$Z1191-4000))=0,"",N(INDEX(客户自备加工筐明细!$F$4:$F$1203,$Z1191-4000))),IF($Z1191&lt;=5800,"","")))))</f>
        <v/>
      </c>
      <c r="R1191" s="16" t="str">
        <f>IF($Z1191="","",IF($Z1191&lt;=2000,IF(INDEX(包装物料出入库明细!$O$4:$O$2003,$Z1191-0)=0,"",INDEX(包装物料出入库明细!$O$4:$O$2003,$Z1191-0)),IF($Z1191&lt;=4000,IF(INDEX(周转筐出入库明细!$M$4:$M$2004,$Z1191-2000)=0,"",INDEX(周转筐出入库明细!$M$4:$M$2004,$Z1191-2000)),IF($Z1191&lt;=5200,IF(INDEX(客户自备加工筐明细!$H$4:$H$1203,$Z1191-4000)=0,"",INDEX(客户自备加工筐明细!$H$4:$H$1203,$Z1191-4000)),IF($Z1191&lt;=5800,IF(INDEX(次果筐明细!$H$4:$H$603,$Z1191-5200)=0,"",INDEX(次果筐明细!$H$4:$H$603,$Z1191-5200)),"")))))</f>
        <v/>
      </c>
      <c r="S1191" s="22" t="str">
        <f t="shared" si="56"/>
        <v/>
      </c>
      <c r="Z1191" s="10" t="str">
        <f>IFERROR(MATCH(ROW()-3,_自动清单!$CQ$4:$CQ$5803,0),"")</f>
        <v/>
      </c>
    </row>
    <row r="1192" spans="1:26">
      <c r="A1192" s="24" t="str">
        <f t="shared" si="54"/>
        <v/>
      </c>
      <c r="B1192" s="38" t="str">
        <f>IF($Z1192="","",IF($Z1192&lt;=2000,IF(INDEX(包装物料出入库明细!$B$4:$B$2003,$Z1192-0)=0,"",INDEX(包装物料出入库明细!$B$4:$B$2003,$Z1192-0)),IF($Z1192&lt;=4000,IF(INDEX(周转筐出入库明细!$B$4:$B$2004,$Z1192-2000)=0,"",INDEX(周转筐出入库明细!$B$4:$B$2004,$Z1192-2000)),IF($Z1192&lt;=5200,IF(INDEX(客户自备加工筐明细!$B$4:$B$1203,$Z1192-4000)=0,"",INDEX(客户自备加工筐明细!$B$4:$B$1203,$Z1192-4000)),IF($Z1192&lt;=5800,IF(INDEX(次果筐明细!$B$4:$B$603,$Z1192-5200)=0,"",INDEX(次果筐明细!$B$4:$B$603,$Z1192-5200)),"")))))</f>
        <v/>
      </c>
      <c r="C1192" s="37" t="str">
        <f>IF($Z1192="","",IF($Z1192&lt;=2000,IF(INDEX(包装物料出入库明细!$D$4:$D$2003,$Z1192-0)=0,"",INDEX(包装物料出入库明细!$D$4:$D$2003,$Z1192-0)),IF($Z1192&lt;=4000,IF(INDEX(周转筐出入库明细!$C$4:$C$2004,$Z1192-2000)=0,"",INDEX(周转筐出入库明细!$C$4:$C$2004,$Z1192-2000)),IF($Z1192&lt;=5200,IF(INDEX(客户自备加工筐明细!$E$4:$E$1203,$Z1192-4000)=0,"",INDEX(客户自备加工筐明细!$E$4:$E$1203,$Z1192-4000)),IF($Z1192&lt;=5800,IF(INDEX(次果筐明细!$C$4:$C$603,$Z1192-5200)=0,"",INDEX(次果筐明细!$C$4:$C$603,$Z1192-5200)),"")))))</f>
        <v/>
      </c>
      <c r="D1192" s="37" t="str">
        <f>IF($Z1192="","",IF($Z1192&lt;=2000,"包装物料－"&amp;INDEX(包装物料出入库明细!$H$4:$H$2003,$Z1192-0),IF($Z1192&lt;=4000,"周转筐－"&amp;INDEX(周转筐出入库明细!$F$4:$F$2004,$Z1192-2000),IF($Z1192&lt;=5200,"客户自备筐－"&amp;INDEX(客户自备加工筐明细!$J$4:$J$1203,$Z1192-4000),IF($Z1192&lt;=5800,"次果筐/托盘－"&amp;INDEX(次果筐明细!$F$4:$F$603,$Z1192-5200),"")))))</f>
        <v/>
      </c>
      <c r="E1192" s="24" t="str">
        <f>IF($Z1192="","",IF($Z1192&lt;=2000,IF(INDEX(包装物料出入库明细!$C$4:$C$2003,$Z1192-0)=0,"",INDEX(包装物料出入库明细!$C$4:$C$2003,$Z1192-0)),IF($Z1192&lt;=4000,IF(INDEX(周转筐出入库明细!$E$4:$E$2004,$Z1192-2000)=0,"",INDEX(周转筐出入库明细!$E$4:$E$2004,$Z1192-2000)),IF($Z1192&lt;=5200,IF(INDEX(客户自备加工筐明细!$D$4:$D$1203,$Z1192-4000)=0,"",INDEX(客户自备加工筐明细!$D$4:$D$1203,$Z1192-4000)),IF($Z1192&lt;=5800,IF(INDEX(次果筐明细!$E$4:$E$603,$Z1192-5200)=0,"",INDEX(次果筐明细!$E$4:$E$603,$Z1192-5200)),"")))))</f>
        <v/>
      </c>
      <c r="F1192" s="24" t="str">
        <f>IF($Z1192="","",IF($Z1192&lt;=2000,IF(INDEX(包装物料出入库明细!$E$4:$E$2003,$Z1192-0)=0,"",INDEX(包装物料出入库明细!$E$4:$E$2003,$Z1192-0)),IF($Z1192&lt;=4000,IF(INDEX(周转筐出入库明细!$D$4:$D$2004,$Z1192-2000)=0,"",INDEX(周转筐出入库明细!$D$4:$D$2004,$Z1192-2000)),IF($Z1192&lt;=5200,IF(INDEX(客户自备加工筐明细!$C$4:$C$1203,$Z1192-4000)=0,"",INDEX(客户自备加工筐明细!$C$4:$C$1203,$Z1192-4000)),IF($Z1192&lt;=5800,IF(INDEX(次果筐明细!$D$4:$D$603,$Z1192-5200)=0,"",INDEX(次果筐明细!$D$4:$D$603,$Z1192-5200)),"")))))</f>
        <v/>
      </c>
      <c r="G1192" s="24" t="str">
        <f>IF($Z1192="","",IF($Z1192&lt;=2000,IF(INDEX(包装物料出入库明细!$F$4:$F$2003,$Z1192-0)=0,"",INDEX(包装物料出入库明细!$F$4:$F$2003,$Z1192-0)),IF($Z1192&lt;=4000,"",IF($Z1192&lt;=5200,"",IF($Z1192&lt;=5800,"","")))))</f>
        <v/>
      </c>
      <c r="H1192" s="39" t="str">
        <f>IF($Z1192="","",IF($Z1192&lt;=2000,IF(INDEX(包装物料出入库明细!$L$4:$L$2003,$Z1192-0)=0,"",INDEX(包装物料出入库明细!$L$4:$L$2003,$Z1192-0)),IF($Z1192&lt;=4000,N(INDEX(周转筐出入库明细!$H$4:$H$2004,$Z1192-2000))+N(INDEX(周转筐出入库明细!$I$4:$I$2004,$Z1192-2000))+N(INDEX(周转筐出入库明细!$J$4:$J$2004,$Z1192-2000))+N(INDEX(周转筐出入库明细!$K$4:$K$2004,$Z1192-2000)),IF($Z1192&lt;=5200,N(INDEX(客户自备加工筐明细!$F$4:$F$1203,$Z1192-4000))+N(INDEX(客户自备加工筐明细!$G$4:$G$1203,$Z1192-4000)),IF($Z1192&lt;=5800,IF(INDEX(次果筐明细!$G$4:$G$603,$Z1192-5200)=0,"",INDEX(次果筐明细!$G$4:$G$603,$Z1192-5200)),"")))))</f>
        <v/>
      </c>
      <c r="I1192" s="24" t="str">
        <f>IF($Z1192="","",IF($Z1192&lt;=2000,IF(INDEX(包装物料出入库明细!$G$4:$G$2003,$Z1192-0)=0,"",INDEX(包装物料出入库明细!$G$4:$G$2003,$Z1192-0)),IF($Z1192&lt;=4000,"个",IF($Z1192&lt;=5200,"个",IF($Z1192&lt;=5800,"个","")))))</f>
        <v/>
      </c>
      <c r="J1192" s="30" t="str">
        <f t="shared" si="55"/>
        <v/>
      </c>
      <c r="K1192" s="30" t="str">
        <f>IF($Z1192="","",IF($Z1192&lt;=2000,IF(INDEX(包装物料出入库明细!$N$4:$N$2003,$Z1192-0)=0,"",INDEX(包装物料出入库明细!$N$4:$N$2003,$Z1192-0)),IF($Z1192&lt;=4000,IF(INDEX(周转筐出入库明细!$P$4:$P$2004,$Z1192-2000)=0,"",INDEX(周转筐出入库明细!$P$4:$P$2004,$Z1192-2000)),IF($Z1192&lt;=5200,"",IF($Z1192&lt;=5800,N(INDEX(次果筐明细!$L$4:$L$603,$Z1192-5200))+N(INDEX(次果筐明细!$J$4:$J$603,$Z1192-5200)),"")))))</f>
        <v/>
      </c>
      <c r="L1192" s="24" t="str">
        <f>IF($Z1192="","",IF($Z1192&lt;=2000,IF(INDEX(包装物料出入库明细!$P$4:$P$2003,$Z1192-0)=0,"",INDEX(包装物料出入库明细!$P$4:$P$2003,$Z1192-0)),IF($Z1192&lt;=4000,IF(INDEX(周转筐出入库明细!$Q$4:$Q$2004,$Z1192-2000)=0,"",INDEX(周转筐出入库明细!$Q$4:$Q$2004,$Z1192-2000)),IF($Z1192&lt;=5200,"",IF($Z1192&lt;=5800,IF(INDEX(次果筐明细!$M$4:$M$603,$Z1192-5200)=0,"",INDEX(次果筐明细!$M$4:$M$603,$Z1192-5200)),"")))))</f>
        <v/>
      </c>
      <c r="M1192" s="37" t="str">
        <f>IF($Z1192="","",IF($Z1192&lt;=2000,IF(INDEX(包装物料出入库明细!$R$4:$R$2003,$Z1192-0)=0,"",INDEX(包装物料出入库明细!$R$4:$R$2003,$Z1192-0)),IF($Z1192&lt;=4000,IF(INDEX(周转筐出入库明细!$W$4:$W$2004,$Z1192-2000)=0,"",INDEX(周转筐出入库明细!$W$4:$W$2004,$Z1192-2000)),IF($Z1192&lt;=5200,IF(INDEX(客户自备加工筐明细!$L$4:$L$1203,$Z1192-4000)=0,"",INDEX(客户自备加工筐明细!$L$4:$L$1203,$Z1192-4000)),IF($Z1192&lt;=5800,IF(INDEX(次果筐明细!$P$4:$P$603,$Z1192-5200)=0,"",INDEX(次果筐明细!$P$4:$P$603,$Z1192-5200)),"")))))</f>
        <v/>
      </c>
      <c r="N1192" s="16" t="str">
        <f>IF($Z1192="","",IF($Z1192&lt;=2000,"",IF($Z1192&lt;=4000,IF(INDEX(周转筐出入库明细!$D$4:$D$2004,$Z1192-2000)=0,"",INDEX(周转筐出入库明细!$D$4:$D$2004,$Z1192-2000)),IF($Z1192&lt;=5200,IF(INDEX(客户自备加工筐明细!$C$4:$C$1203,$Z1192-4000)=0,"",INDEX(客户自备加工筐明细!$C$4:$C$1203,$Z1192-4000)),IF($Z1192&lt;=5800,IF(INDEX(次果筐明细!$D$4:$D$603,$Z1192-5200)=0,"",INDEX(次果筐明细!$D$4:$D$603,$Z1192-5200)),"")))))</f>
        <v/>
      </c>
      <c r="O1192" s="40" t="str">
        <f>IF($Z1192="","",IF($Z1192&lt;=2000,"",IF($Z1192&lt;=4000,IF(N(INDEX(周转筐出入库明细!$J$4:$J$2004,$Z1192-2000))+N(INDEX(周转筐出入库明细!$K$4:$K$2004,$Z1192-2000))=0,"",N(INDEX(周转筐出入库明细!$J$4:$J$2004,$Z1192-2000))+N(INDEX(周转筐出入库明细!$K$4:$K$2004,$Z1192-2000))),IF($Z1192&lt;=5200,IF(N(INDEX(客户自备加工筐明细!$G$4:$G$1203,$Z1192-4000))=0,"",N(INDEX(客户自备加工筐明细!$G$4:$G$1203,$Z1192-4000))),IF($Z1192&lt;=5800,IF(ISNUMBER(SEARCH("退",INDEX(次果筐明细!$F$4:$F$603,$Z1192-5200)&amp;"")),"",IF(N(INDEX(次果筐明细!$G$4:$G$603,$Z1192-5200))=0,"",N(INDEX(次果筐明细!$G$4:$G$603,$Z1192-5200)))),"")))))</f>
        <v/>
      </c>
      <c r="P1192" s="40" t="str">
        <f>IF($Z1192="","",IF($Z1192&lt;=2000,"",IF($Z1192&lt;=4000,IF(N(INDEX(周转筐出入库明细!$I$4:$I$2004,$Z1192-2000))=0,"",N(INDEX(周转筐出入库明细!$I$4:$I$2004,$Z1192-2000))),IF($Z1192&lt;=5200,"",IF($Z1192&lt;=5800,IF(ISNUMBER(SEARCH("退",INDEX(次果筐明细!$F$4:$F$603,$Z1192-5200)&amp;"")),IF(N(INDEX(次果筐明细!$G$4:$G$603,$Z1192-5200))=0,"",N(INDEX(次果筐明细!$G$4:$G$603,$Z1192-5200))),""),"")))))</f>
        <v/>
      </c>
      <c r="Q1192" s="40" t="str">
        <f>IF($Z1192="","",IF($Z1192&lt;=2000,"",IF($Z1192&lt;=4000,IF(N(INDEX(周转筐出入库明细!$H$4:$H$2004,$Z1192-2000))=0,"",N(INDEX(周转筐出入库明细!$H$4:$H$2004,$Z1192-2000))),IF($Z1192&lt;=5200,IF(N(INDEX(客户自备加工筐明细!$F$4:$F$1203,$Z1192-4000))=0,"",N(INDEX(客户自备加工筐明细!$F$4:$F$1203,$Z1192-4000))),IF($Z1192&lt;=5800,"","")))))</f>
        <v/>
      </c>
      <c r="R1192" s="16" t="str">
        <f>IF($Z1192="","",IF($Z1192&lt;=2000,IF(INDEX(包装物料出入库明细!$O$4:$O$2003,$Z1192-0)=0,"",INDEX(包装物料出入库明细!$O$4:$O$2003,$Z1192-0)),IF($Z1192&lt;=4000,IF(INDEX(周转筐出入库明细!$M$4:$M$2004,$Z1192-2000)=0,"",INDEX(周转筐出入库明细!$M$4:$M$2004,$Z1192-2000)),IF($Z1192&lt;=5200,IF(INDEX(客户自备加工筐明细!$H$4:$H$1203,$Z1192-4000)=0,"",INDEX(客户自备加工筐明细!$H$4:$H$1203,$Z1192-4000)),IF($Z1192&lt;=5800,IF(INDEX(次果筐明细!$H$4:$H$603,$Z1192-5200)=0,"",INDEX(次果筐明细!$H$4:$H$603,$Z1192-5200)),"")))))</f>
        <v/>
      </c>
      <c r="S1192" s="22" t="str">
        <f t="shared" si="56"/>
        <v/>
      </c>
      <c r="Z1192" s="10" t="str">
        <f>IFERROR(MATCH(ROW()-3,_自动清单!$CQ$4:$CQ$5803,0),"")</f>
        <v/>
      </c>
    </row>
    <row r="1193" spans="1:26">
      <c r="A1193" s="24" t="str">
        <f t="shared" si="54"/>
        <v/>
      </c>
      <c r="B1193" s="38" t="str">
        <f>IF($Z1193="","",IF($Z1193&lt;=2000,IF(INDEX(包装物料出入库明细!$B$4:$B$2003,$Z1193-0)=0,"",INDEX(包装物料出入库明细!$B$4:$B$2003,$Z1193-0)),IF($Z1193&lt;=4000,IF(INDEX(周转筐出入库明细!$B$4:$B$2004,$Z1193-2000)=0,"",INDEX(周转筐出入库明细!$B$4:$B$2004,$Z1193-2000)),IF($Z1193&lt;=5200,IF(INDEX(客户自备加工筐明细!$B$4:$B$1203,$Z1193-4000)=0,"",INDEX(客户自备加工筐明细!$B$4:$B$1203,$Z1193-4000)),IF($Z1193&lt;=5800,IF(INDEX(次果筐明细!$B$4:$B$603,$Z1193-5200)=0,"",INDEX(次果筐明细!$B$4:$B$603,$Z1193-5200)),"")))))</f>
        <v/>
      </c>
      <c r="C1193" s="37" t="str">
        <f>IF($Z1193="","",IF($Z1193&lt;=2000,IF(INDEX(包装物料出入库明细!$D$4:$D$2003,$Z1193-0)=0,"",INDEX(包装物料出入库明细!$D$4:$D$2003,$Z1193-0)),IF($Z1193&lt;=4000,IF(INDEX(周转筐出入库明细!$C$4:$C$2004,$Z1193-2000)=0,"",INDEX(周转筐出入库明细!$C$4:$C$2004,$Z1193-2000)),IF($Z1193&lt;=5200,IF(INDEX(客户自备加工筐明细!$E$4:$E$1203,$Z1193-4000)=0,"",INDEX(客户自备加工筐明细!$E$4:$E$1203,$Z1193-4000)),IF($Z1193&lt;=5800,IF(INDEX(次果筐明细!$C$4:$C$603,$Z1193-5200)=0,"",INDEX(次果筐明细!$C$4:$C$603,$Z1193-5200)),"")))))</f>
        <v/>
      </c>
      <c r="D1193" s="37" t="str">
        <f>IF($Z1193="","",IF($Z1193&lt;=2000,"包装物料－"&amp;INDEX(包装物料出入库明细!$H$4:$H$2003,$Z1193-0),IF($Z1193&lt;=4000,"周转筐－"&amp;INDEX(周转筐出入库明细!$F$4:$F$2004,$Z1193-2000),IF($Z1193&lt;=5200,"客户自备筐－"&amp;INDEX(客户自备加工筐明细!$J$4:$J$1203,$Z1193-4000),IF($Z1193&lt;=5800,"次果筐/托盘－"&amp;INDEX(次果筐明细!$F$4:$F$603,$Z1193-5200),"")))))</f>
        <v/>
      </c>
      <c r="E1193" s="24" t="str">
        <f>IF($Z1193="","",IF($Z1193&lt;=2000,IF(INDEX(包装物料出入库明细!$C$4:$C$2003,$Z1193-0)=0,"",INDEX(包装物料出入库明细!$C$4:$C$2003,$Z1193-0)),IF($Z1193&lt;=4000,IF(INDEX(周转筐出入库明细!$E$4:$E$2004,$Z1193-2000)=0,"",INDEX(周转筐出入库明细!$E$4:$E$2004,$Z1193-2000)),IF($Z1193&lt;=5200,IF(INDEX(客户自备加工筐明细!$D$4:$D$1203,$Z1193-4000)=0,"",INDEX(客户自备加工筐明细!$D$4:$D$1203,$Z1193-4000)),IF($Z1193&lt;=5800,IF(INDEX(次果筐明细!$E$4:$E$603,$Z1193-5200)=0,"",INDEX(次果筐明细!$E$4:$E$603,$Z1193-5200)),"")))))</f>
        <v/>
      </c>
      <c r="F1193" s="24" t="str">
        <f>IF($Z1193="","",IF($Z1193&lt;=2000,IF(INDEX(包装物料出入库明细!$E$4:$E$2003,$Z1193-0)=0,"",INDEX(包装物料出入库明细!$E$4:$E$2003,$Z1193-0)),IF($Z1193&lt;=4000,IF(INDEX(周转筐出入库明细!$D$4:$D$2004,$Z1193-2000)=0,"",INDEX(周转筐出入库明细!$D$4:$D$2004,$Z1193-2000)),IF($Z1193&lt;=5200,IF(INDEX(客户自备加工筐明细!$C$4:$C$1203,$Z1193-4000)=0,"",INDEX(客户自备加工筐明细!$C$4:$C$1203,$Z1193-4000)),IF($Z1193&lt;=5800,IF(INDEX(次果筐明细!$D$4:$D$603,$Z1193-5200)=0,"",INDEX(次果筐明细!$D$4:$D$603,$Z1193-5200)),"")))))</f>
        <v/>
      </c>
      <c r="G1193" s="24" t="str">
        <f>IF($Z1193="","",IF($Z1193&lt;=2000,IF(INDEX(包装物料出入库明细!$F$4:$F$2003,$Z1193-0)=0,"",INDEX(包装物料出入库明细!$F$4:$F$2003,$Z1193-0)),IF($Z1193&lt;=4000,"",IF($Z1193&lt;=5200,"",IF($Z1193&lt;=5800,"","")))))</f>
        <v/>
      </c>
      <c r="H1193" s="39" t="str">
        <f>IF($Z1193="","",IF($Z1193&lt;=2000,IF(INDEX(包装物料出入库明细!$L$4:$L$2003,$Z1193-0)=0,"",INDEX(包装物料出入库明细!$L$4:$L$2003,$Z1193-0)),IF($Z1193&lt;=4000,N(INDEX(周转筐出入库明细!$H$4:$H$2004,$Z1193-2000))+N(INDEX(周转筐出入库明细!$I$4:$I$2004,$Z1193-2000))+N(INDEX(周转筐出入库明细!$J$4:$J$2004,$Z1193-2000))+N(INDEX(周转筐出入库明细!$K$4:$K$2004,$Z1193-2000)),IF($Z1193&lt;=5200,N(INDEX(客户自备加工筐明细!$F$4:$F$1203,$Z1193-4000))+N(INDEX(客户自备加工筐明细!$G$4:$G$1203,$Z1193-4000)),IF($Z1193&lt;=5800,IF(INDEX(次果筐明细!$G$4:$G$603,$Z1193-5200)=0,"",INDEX(次果筐明细!$G$4:$G$603,$Z1193-5200)),"")))))</f>
        <v/>
      </c>
      <c r="I1193" s="24" t="str">
        <f>IF($Z1193="","",IF($Z1193&lt;=2000,IF(INDEX(包装物料出入库明细!$G$4:$G$2003,$Z1193-0)=0,"",INDEX(包装物料出入库明细!$G$4:$G$2003,$Z1193-0)),IF($Z1193&lt;=4000,"个",IF($Z1193&lt;=5200,"个",IF($Z1193&lt;=5800,"个","")))))</f>
        <v/>
      </c>
      <c r="J1193" s="30" t="str">
        <f t="shared" si="55"/>
        <v/>
      </c>
      <c r="K1193" s="30" t="str">
        <f>IF($Z1193="","",IF($Z1193&lt;=2000,IF(INDEX(包装物料出入库明细!$N$4:$N$2003,$Z1193-0)=0,"",INDEX(包装物料出入库明细!$N$4:$N$2003,$Z1193-0)),IF($Z1193&lt;=4000,IF(INDEX(周转筐出入库明细!$P$4:$P$2004,$Z1193-2000)=0,"",INDEX(周转筐出入库明细!$P$4:$P$2004,$Z1193-2000)),IF($Z1193&lt;=5200,"",IF($Z1193&lt;=5800,N(INDEX(次果筐明细!$L$4:$L$603,$Z1193-5200))+N(INDEX(次果筐明细!$J$4:$J$603,$Z1193-5200)),"")))))</f>
        <v/>
      </c>
      <c r="L1193" s="24" t="str">
        <f>IF($Z1193="","",IF($Z1193&lt;=2000,IF(INDEX(包装物料出入库明细!$P$4:$P$2003,$Z1193-0)=0,"",INDEX(包装物料出入库明细!$P$4:$P$2003,$Z1193-0)),IF($Z1193&lt;=4000,IF(INDEX(周转筐出入库明细!$Q$4:$Q$2004,$Z1193-2000)=0,"",INDEX(周转筐出入库明细!$Q$4:$Q$2004,$Z1193-2000)),IF($Z1193&lt;=5200,"",IF($Z1193&lt;=5800,IF(INDEX(次果筐明细!$M$4:$M$603,$Z1193-5200)=0,"",INDEX(次果筐明细!$M$4:$M$603,$Z1193-5200)),"")))))</f>
        <v/>
      </c>
      <c r="M1193" s="37" t="str">
        <f>IF($Z1193="","",IF($Z1193&lt;=2000,IF(INDEX(包装物料出入库明细!$R$4:$R$2003,$Z1193-0)=0,"",INDEX(包装物料出入库明细!$R$4:$R$2003,$Z1193-0)),IF($Z1193&lt;=4000,IF(INDEX(周转筐出入库明细!$W$4:$W$2004,$Z1193-2000)=0,"",INDEX(周转筐出入库明细!$W$4:$W$2004,$Z1193-2000)),IF($Z1193&lt;=5200,IF(INDEX(客户自备加工筐明细!$L$4:$L$1203,$Z1193-4000)=0,"",INDEX(客户自备加工筐明细!$L$4:$L$1203,$Z1193-4000)),IF($Z1193&lt;=5800,IF(INDEX(次果筐明细!$P$4:$P$603,$Z1193-5200)=0,"",INDEX(次果筐明细!$P$4:$P$603,$Z1193-5200)),"")))))</f>
        <v/>
      </c>
      <c r="N1193" s="16" t="str">
        <f>IF($Z1193="","",IF($Z1193&lt;=2000,"",IF($Z1193&lt;=4000,IF(INDEX(周转筐出入库明细!$D$4:$D$2004,$Z1193-2000)=0,"",INDEX(周转筐出入库明细!$D$4:$D$2004,$Z1193-2000)),IF($Z1193&lt;=5200,IF(INDEX(客户自备加工筐明细!$C$4:$C$1203,$Z1193-4000)=0,"",INDEX(客户自备加工筐明细!$C$4:$C$1203,$Z1193-4000)),IF($Z1193&lt;=5800,IF(INDEX(次果筐明细!$D$4:$D$603,$Z1193-5200)=0,"",INDEX(次果筐明细!$D$4:$D$603,$Z1193-5200)),"")))))</f>
        <v/>
      </c>
      <c r="O1193" s="40" t="str">
        <f>IF($Z1193="","",IF($Z1193&lt;=2000,"",IF($Z1193&lt;=4000,IF(N(INDEX(周转筐出入库明细!$J$4:$J$2004,$Z1193-2000))+N(INDEX(周转筐出入库明细!$K$4:$K$2004,$Z1193-2000))=0,"",N(INDEX(周转筐出入库明细!$J$4:$J$2004,$Z1193-2000))+N(INDEX(周转筐出入库明细!$K$4:$K$2004,$Z1193-2000))),IF($Z1193&lt;=5200,IF(N(INDEX(客户自备加工筐明细!$G$4:$G$1203,$Z1193-4000))=0,"",N(INDEX(客户自备加工筐明细!$G$4:$G$1203,$Z1193-4000))),IF($Z1193&lt;=5800,IF(ISNUMBER(SEARCH("退",INDEX(次果筐明细!$F$4:$F$603,$Z1193-5200)&amp;"")),"",IF(N(INDEX(次果筐明细!$G$4:$G$603,$Z1193-5200))=0,"",N(INDEX(次果筐明细!$G$4:$G$603,$Z1193-5200)))),"")))))</f>
        <v/>
      </c>
      <c r="P1193" s="40" t="str">
        <f>IF($Z1193="","",IF($Z1193&lt;=2000,"",IF($Z1193&lt;=4000,IF(N(INDEX(周转筐出入库明细!$I$4:$I$2004,$Z1193-2000))=0,"",N(INDEX(周转筐出入库明细!$I$4:$I$2004,$Z1193-2000))),IF($Z1193&lt;=5200,"",IF($Z1193&lt;=5800,IF(ISNUMBER(SEARCH("退",INDEX(次果筐明细!$F$4:$F$603,$Z1193-5200)&amp;"")),IF(N(INDEX(次果筐明细!$G$4:$G$603,$Z1193-5200))=0,"",N(INDEX(次果筐明细!$G$4:$G$603,$Z1193-5200))),""),"")))))</f>
        <v/>
      </c>
      <c r="Q1193" s="40" t="str">
        <f>IF($Z1193="","",IF($Z1193&lt;=2000,"",IF($Z1193&lt;=4000,IF(N(INDEX(周转筐出入库明细!$H$4:$H$2004,$Z1193-2000))=0,"",N(INDEX(周转筐出入库明细!$H$4:$H$2004,$Z1193-2000))),IF($Z1193&lt;=5200,IF(N(INDEX(客户自备加工筐明细!$F$4:$F$1203,$Z1193-4000))=0,"",N(INDEX(客户自备加工筐明细!$F$4:$F$1203,$Z1193-4000))),IF($Z1193&lt;=5800,"","")))))</f>
        <v/>
      </c>
      <c r="R1193" s="16" t="str">
        <f>IF($Z1193="","",IF($Z1193&lt;=2000,IF(INDEX(包装物料出入库明细!$O$4:$O$2003,$Z1193-0)=0,"",INDEX(包装物料出入库明细!$O$4:$O$2003,$Z1193-0)),IF($Z1193&lt;=4000,IF(INDEX(周转筐出入库明细!$M$4:$M$2004,$Z1193-2000)=0,"",INDEX(周转筐出入库明细!$M$4:$M$2004,$Z1193-2000)),IF($Z1193&lt;=5200,IF(INDEX(客户自备加工筐明细!$H$4:$H$1203,$Z1193-4000)=0,"",INDEX(客户自备加工筐明细!$H$4:$H$1203,$Z1193-4000)),IF($Z1193&lt;=5800,IF(INDEX(次果筐明细!$H$4:$H$603,$Z1193-5200)=0,"",INDEX(次果筐明细!$H$4:$H$603,$Z1193-5200)),"")))))</f>
        <v/>
      </c>
      <c r="S1193" s="22" t="str">
        <f t="shared" si="56"/>
        <v/>
      </c>
      <c r="Z1193" s="10" t="str">
        <f>IFERROR(MATCH(ROW()-3,_自动清单!$CQ$4:$CQ$5803,0),"")</f>
        <v/>
      </c>
    </row>
    <row r="1194" spans="1:26">
      <c r="A1194" s="24" t="str">
        <f t="shared" si="54"/>
        <v/>
      </c>
      <c r="B1194" s="38" t="str">
        <f>IF($Z1194="","",IF($Z1194&lt;=2000,IF(INDEX(包装物料出入库明细!$B$4:$B$2003,$Z1194-0)=0,"",INDEX(包装物料出入库明细!$B$4:$B$2003,$Z1194-0)),IF($Z1194&lt;=4000,IF(INDEX(周转筐出入库明细!$B$4:$B$2004,$Z1194-2000)=0,"",INDEX(周转筐出入库明细!$B$4:$B$2004,$Z1194-2000)),IF($Z1194&lt;=5200,IF(INDEX(客户自备加工筐明细!$B$4:$B$1203,$Z1194-4000)=0,"",INDEX(客户自备加工筐明细!$B$4:$B$1203,$Z1194-4000)),IF($Z1194&lt;=5800,IF(INDEX(次果筐明细!$B$4:$B$603,$Z1194-5200)=0,"",INDEX(次果筐明细!$B$4:$B$603,$Z1194-5200)),"")))))</f>
        <v/>
      </c>
      <c r="C1194" s="37" t="str">
        <f>IF($Z1194="","",IF($Z1194&lt;=2000,IF(INDEX(包装物料出入库明细!$D$4:$D$2003,$Z1194-0)=0,"",INDEX(包装物料出入库明细!$D$4:$D$2003,$Z1194-0)),IF($Z1194&lt;=4000,IF(INDEX(周转筐出入库明细!$C$4:$C$2004,$Z1194-2000)=0,"",INDEX(周转筐出入库明细!$C$4:$C$2004,$Z1194-2000)),IF($Z1194&lt;=5200,IF(INDEX(客户自备加工筐明细!$E$4:$E$1203,$Z1194-4000)=0,"",INDEX(客户自备加工筐明细!$E$4:$E$1203,$Z1194-4000)),IF($Z1194&lt;=5800,IF(INDEX(次果筐明细!$C$4:$C$603,$Z1194-5200)=0,"",INDEX(次果筐明细!$C$4:$C$603,$Z1194-5200)),"")))))</f>
        <v/>
      </c>
      <c r="D1194" s="37" t="str">
        <f>IF($Z1194="","",IF($Z1194&lt;=2000,"包装物料－"&amp;INDEX(包装物料出入库明细!$H$4:$H$2003,$Z1194-0),IF($Z1194&lt;=4000,"周转筐－"&amp;INDEX(周转筐出入库明细!$F$4:$F$2004,$Z1194-2000),IF($Z1194&lt;=5200,"客户自备筐－"&amp;INDEX(客户自备加工筐明细!$J$4:$J$1203,$Z1194-4000),IF($Z1194&lt;=5800,"次果筐/托盘－"&amp;INDEX(次果筐明细!$F$4:$F$603,$Z1194-5200),"")))))</f>
        <v/>
      </c>
      <c r="E1194" s="24" t="str">
        <f>IF($Z1194="","",IF($Z1194&lt;=2000,IF(INDEX(包装物料出入库明细!$C$4:$C$2003,$Z1194-0)=0,"",INDEX(包装物料出入库明细!$C$4:$C$2003,$Z1194-0)),IF($Z1194&lt;=4000,IF(INDEX(周转筐出入库明细!$E$4:$E$2004,$Z1194-2000)=0,"",INDEX(周转筐出入库明细!$E$4:$E$2004,$Z1194-2000)),IF($Z1194&lt;=5200,IF(INDEX(客户自备加工筐明细!$D$4:$D$1203,$Z1194-4000)=0,"",INDEX(客户自备加工筐明细!$D$4:$D$1203,$Z1194-4000)),IF($Z1194&lt;=5800,IF(INDEX(次果筐明细!$E$4:$E$603,$Z1194-5200)=0,"",INDEX(次果筐明细!$E$4:$E$603,$Z1194-5200)),"")))))</f>
        <v/>
      </c>
      <c r="F1194" s="24" t="str">
        <f>IF($Z1194="","",IF($Z1194&lt;=2000,IF(INDEX(包装物料出入库明细!$E$4:$E$2003,$Z1194-0)=0,"",INDEX(包装物料出入库明细!$E$4:$E$2003,$Z1194-0)),IF($Z1194&lt;=4000,IF(INDEX(周转筐出入库明细!$D$4:$D$2004,$Z1194-2000)=0,"",INDEX(周转筐出入库明细!$D$4:$D$2004,$Z1194-2000)),IF($Z1194&lt;=5200,IF(INDEX(客户自备加工筐明细!$C$4:$C$1203,$Z1194-4000)=0,"",INDEX(客户自备加工筐明细!$C$4:$C$1203,$Z1194-4000)),IF($Z1194&lt;=5800,IF(INDEX(次果筐明细!$D$4:$D$603,$Z1194-5200)=0,"",INDEX(次果筐明细!$D$4:$D$603,$Z1194-5200)),"")))))</f>
        <v/>
      </c>
      <c r="G1194" s="24" t="str">
        <f>IF($Z1194="","",IF($Z1194&lt;=2000,IF(INDEX(包装物料出入库明细!$F$4:$F$2003,$Z1194-0)=0,"",INDEX(包装物料出入库明细!$F$4:$F$2003,$Z1194-0)),IF($Z1194&lt;=4000,"",IF($Z1194&lt;=5200,"",IF($Z1194&lt;=5800,"","")))))</f>
        <v/>
      </c>
      <c r="H1194" s="39" t="str">
        <f>IF($Z1194="","",IF($Z1194&lt;=2000,IF(INDEX(包装物料出入库明细!$L$4:$L$2003,$Z1194-0)=0,"",INDEX(包装物料出入库明细!$L$4:$L$2003,$Z1194-0)),IF($Z1194&lt;=4000,N(INDEX(周转筐出入库明细!$H$4:$H$2004,$Z1194-2000))+N(INDEX(周转筐出入库明细!$I$4:$I$2004,$Z1194-2000))+N(INDEX(周转筐出入库明细!$J$4:$J$2004,$Z1194-2000))+N(INDEX(周转筐出入库明细!$K$4:$K$2004,$Z1194-2000)),IF($Z1194&lt;=5200,N(INDEX(客户自备加工筐明细!$F$4:$F$1203,$Z1194-4000))+N(INDEX(客户自备加工筐明细!$G$4:$G$1203,$Z1194-4000)),IF($Z1194&lt;=5800,IF(INDEX(次果筐明细!$G$4:$G$603,$Z1194-5200)=0,"",INDEX(次果筐明细!$G$4:$G$603,$Z1194-5200)),"")))))</f>
        <v/>
      </c>
      <c r="I1194" s="24" t="str">
        <f>IF($Z1194="","",IF($Z1194&lt;=2000,IF(INDEX(包装物料出入库明细!$G$4:$G$2003,$Z1194-0)=0,"",INDEX(包装物料出入库明细!$G$4:$G$2003,$Z1194-0)),IF($Z1194&lt;=4000,"个",IF($Z1194&lt;=5200,"个",IF($Z1194&lt;=5800,"个","")))))</f>
        <v/>
      </c>
      <c r="J1194" s="30" t="str">
        <f t="shared" si="55"/>
        <v/>
      </c>
      <c r="K1194" s="30" t="str">
        <f>IF($Z1194="","",IF($Z1194&lt;=2000,IF(INDEX(包装物料出入库明细!$N$4:$N$2003,$Z1194-0)=0,"",INDEX(包装物料出入库明细!$N$4:$N$2003,$Z1194-0)),IF($Z1194&lt;=4000,IF(INDEX(周转筐出入库明细!$P$4:$P$2004,$Z1194-2000)=0,"",INDEX(周转筐出入库明细!$P$4:$P$2004,$Z1194-2000)),IF($Z1194&lt;=5200,"",IF($Z1194&lt;=5800,N(INDEX(次果筐明细!$L$4:$L$603,$Z1194-5200))+N(INDEX(次果筐明细!$J$4:$J$603,$Z1194-5200)),"")))))</f>
        <v/>
      </c>
      <c r="L1194" s="24" t="str">
        <f>IF($Z1194="","",IF($Z1194&lt;=2000,IF(INDEX(包装物料出入库明细!$P$4:$P$2003,$Z1194-0)=0,"",INDEX(包装物料出入库明细!$P$4:$P$2003,$Z1194-0)),IF($Z1194&lt;=4000,IF(INDEX(周转筐出入库明细!$Q$4:$Q$2004,$Z1194-2000)=0,"",INDEX(周转筐出入库明细!$Q$4:$Q$2004,$Z1194-2000)),IF($Z1194&lt;=5200,"",IF($Z1194&lt;=5800,IF(INDEX(次果筐明细!$M$4:$M$603,$Z1194-5200)=0,"",INDEX(次果筐明细!$M$4:$M$603,$Z1194-5200)),"")))))</f>
        <v/>
      </c>
      <c r="M1194" s="37" t="str">
        <f>IF($Z1194="","",IF($Z1194&lt;=2000,IF(INDEX(包装物料出入库明细!$R$4:$R$2003,$Z1194-0)=0,"",INDEX(包装物料出入库明细!$R$4:$R$2003,$Z1194-0)),IF($Z1194&lt;=4000,IF(INDEX(周转筐出入库明细!$W$4:$W$2004,$Z1194-2000)=0,"",INDEX(周转筐出入库明细!$W$4:$W$2004,$Z1194-2000)),IF($Z1194&lt;=5200,IF(INDEX(客户自备加工筐明细!$L$4:$L$1203,$Z1194-4000)=0,"",INDEX(客户自备加工筐明细!$L$4:$L$1203,$Z1194-4000)),IF($Z1194&lt;=5800,IF(INDEX(次果筐明细!$P$4:$P$603,$Z1194-5200)=0,"",INDEX(次果筐明细!$P$4:$P$603,$Z1194-5200)),"")))))</f>
        <v/>
      </c>
      <c r="N1194" s="16" t="str">
        <f>IF($Z1194="","",IF($Z1194&lt;=2000,"",IF($Z1194&lt;=4000,IF(INDEX(周转筐出入库明细!$D$4:$D$2004,$Z1194-2000)=0,"",INDEX(周转筐出入库明细!$D$4:$D$2004,$Z1194-2000)),IF($Z1194&lt;=5200,IF(INDEX(客户自备加工筐明细!$C$4:$C$1203,$Z1194-4000)=0,"",INDEX(客户自备加工筐明细!$C$4:$C$1203,$Z1194-4000)),IF($Z1194&lt;=5800,IF(INDEX(次果筐明细!$D$4:$D$603,$Z1194-5200)=0,"",INDEX(次果筐明细!$D$4:$D$603,$Z1194-5200)),"")))))</f>
        <v/>
      </c>
      <c r="O1194" s="40" t="str">
        <f>IF($Z1194="","",IF($Z1194&lt;=2000,"",IF($Z1194&lt;=4000,IF(N(INDEX(周转筐出入库明细!$J$4:$J$2004,$Z1194-2000))+N(INDEX(周转筐出入库明细!$K$4:$K$2004,$Z1194-2000))=0,"",N(INDEX(周转筐出入库明细!$J$4:$J$2004,$Z1194-2000))+N(INDEX(周转筐出入库明细!$K$4:$K$2004,$Z1194-2000))),IF($Z1194&lt;=5200,IF(N(INDEX(客户自备加工筐明细!$G$4:$G$1203,$Z1194-4000))=0,"",N(INDEX(客户自备加工筐明细!$G$4:$G$1203,$Z1194-4000))),IF($Z1194&lt;=5800,IF(ISNUMBER(SEARCH("退",INDEX(次果筐明细!$F$4:$F$603,$Z1194-5200)&amp;"")),"",IF(N(INDEX(次果筐明细!$G$4:$G$603,$Z1194-5200))=0,"",N(INDEX(次果筐明细!$G$4:$G$603,$Z1194-5200)))),"")))))</f>
        <v/>
      </c>
      <c r="P1194" s="40" t="str">
        <f>IF($Z1194="","",IF($Z1194&lt;=2000,"",IF($Z1194&lt;=4000,IF(N(INDEX(周转筐出入库明细!$I$4:$I$2004,$Z1194-2000))=0,"",N(INDEX(周转筐出入库明细!$I$4:$I$2004,$Z1194-2000))),IF($Z1194&lt;=5200,"",IF($Z1194&lt;=5800,IF(ISNUMBER(SEARCH("退",INDEX(次果筐明细!$F$4:$F$603,$Z1194-5200)&amp;"")),IF(N(INDEX(次果筐明细!$G$4:$G$603,$Z1194-5200))=0,"",N(INDEX(次果筐明细!$G$4:$G$603,$Z1194-5200))),""),"")))))</f>
        <v/>
      </c>
      <c r="Q1194" s="40" t="str">
        <f>IF($Z1194="","",IF($Z1194&lt;=2000,"",IF($Z1194&lt;=4000,IF(N(INDEX(周转筐出入库明细!$H$4:$H$2004,$Z1194-2000))=0,"",N(INDEX(周转筐出入库明细!$H$4:$H$2004,$Z1194-2000))),IF($Z1194&lt;=5200,IF(N(INDEX(客户自备加工筐明细!$F$4:$F$1203,$Z1194-4000))=0,"",N(INDEX(客户自备加工筐明细!$F$4:$F$1203,$Z1194-4000))),IF($Z1194&lt;=5800,"","")))))</f>
        <v/>
      </c>
      <c r="R1194" s="16" t="str">
        <f>IF($Z1194="","",IF($Z1194&lt;=2000,IF(INDEX(包装物料出入库明细!$O$4:$O$2003,$Z1194-0)=0,"",INDEX(包装物料出入库明细!$O$4:$O$2003,$Z1194-0)),IF($Z1194&lt;=4000,IF(INDEX(周转筐出入库明细!$M$4:$M$2004,$Z1194-2000)=0,"",INDEX(周转筐出入库明细!$M$4:$M$2004,$Z1194-2000)),IF($Z1194&lt;=5200,IF(INDEX(客户自备加工筐明细!$H$4:$H$1203,$Z1194-4000)=0,"",INDEX(客户自备加工筐明细!$H$4:$H$1203,$Z1194-4000)),IF($Z1194&lt;=5800,IF(INDEX(次果筐明细!$H$4:$H$603,$Z1194-5200)=0,"",INDEX(次果筐明细!$H$4:$H$603,$Z1194-5200)),"")))))</f>
        <v/>
      </c>
      <c r="S1194" s="22" t="str">
        <f t="shared" si="56"/>
        <v/>
      </c>
      <c r="Z1194" s="10" t="str">
        <f>IFERROR(MATCH(ROW()-3,_自动清单!$CQ$4:$CQ$5803,0),"")</f>
        <v/>
      </c>
    </row>
    <row r="1195" spans="1:26">
      <c r="A1195" s="24" t="str">
        <f t="shared" si="54"/>
        <v/>
      </c>
      <c r="B1195" s="38" t="str">
        <f>IF($Z1195="","",IF($Z1195&lt;=2000,IF(INDEX(包装物料出入库明细!$B$4:$B$2003,$Z1195-0)=0,"",INDEX(包装物料出入库明细!$B$4:$B$2003,$Z1195-0)),IF($Z1195&lt;=4000,IF(INDEX(周转筐出入库明细!$B$4:$B$2004,$Z1195-2000)=0,"",INDEX(周转筐出入库明细!$B$4:$B$2004,$Z1195-2000)),IF($Z1195&lt;=5200,IF(INDEX(客户自备加工筐明细!$B$4:$B$1203,$Z1195-4000)=0,"",INDEX(客户自备加工筐明细!$B$4:$B$1203,$Z1195-4000)),IF($Z1195&lt;=5800,IF(INDEX(次果筐明细!$B$4:$B$603,$Z1195-5200)=0,"",INDEX(次果筐明细!$B$4:$B$603,$Z1195-5200)),"")))))</f>
        <v/>
      </c>
      <c r="C1195" s="37" t="str">
        <f>IF($Z1195="","",IF($Z1195&lt;=2000,IF(INDEX(包装物料出入库明细!$D$4:$D$2003,$Z1195-0)=0,"",INDEX(包装物料出入库明细!$D$4:$D$2003,$Z1195-0)),IF($Z1195&lt;=4000,IF(INDEX(周转筐出入库明细!$C$4:$C$2004,$Z1195-2000)=0,"",INDEX(周转筐出入库明细!$C$4:$C$2004,$Z1195-2000)),IF($Z1195&lt;=5200,IF(INDEX(客户自备加工筐明细!$E$4:$E$1203,$Z1195-4000)=0,"",INDEX(客户自备加工筐明细!$E$4:$E$1203,$Z1195-4000)),IF($Z1195&lt;=5800,IF(INDEX(次果筐明细!$C$4:$C$603,$Z1195-5200)=0,"",INDEX(次果筐明细!$C$4:$C$603,$Z1195-5200)),"")))))</f>
        <v/>
      </c>
      <c r="D1195" s="37" t="str">
        <f>IF($Z1195="","",IF($Z1195&lt;=2000,"包装物料－"&amp;INDEX(包装物料出入库明细!$H$4:$H$2003,$Z1195-0),IF($Z1195&lt;=4000,"周转筐－"&amp;INDEX(周转筐出入库明细!$F$4:$F$2004,$Z1195-2000),IF($Z1195&lt;=5200,"客户自备筐－"&amp;INDEX(客户自备加工筐明细!$J$4:$J$1203,$Z1195-4000),IF($Z1195&lt;=5800,"次果筐/托盘－"&amp;INDEX(次果筐明细!$F$4:$F$603,$Z1195-5200),"")))))</f>
        <v/>
      </c>
      <c r="E1195" s="24" t="str">
        <f>IF($Z1195="","",IF($Z1195&lt;=2000,IF(INDEX(包装物料出入库明细!$C$4:$C$2003,$Z1195-0)=0,"",INDEX(包装物料出入库明细!$C$4:$C$2003,$Z1195-0)),IF($Z1195&lt;=4000,IF(INDEX(周转筐出入库明细!$E$4:$E$2004,$Z1195-2000)=0,"",INDEX(周转筐出入库明细!$E$4:$E$2004,$Z1195-2000)),IF($Z1195&lt;=5200,IF(INDEX(客户自备加工筐明细!$D$4:$D$1203,$Z1195-4000)=0,"",INDEX(客户自备加工筐明细!$D$4:$D$1203,$Z1195-4000)),IF($Z1195&lt;=5800,IF(INDEX(次果筐明细!$E$4:$E$603,$Z1195-5200)=0,"",INDEX(次果筐明细!$E$4:$E$603,$Z1195-5200)),"")))))</f>
        <v/>
      </c>
      <c r="F1195" s="24" t="str">
        <f>IF($Z1195="","",IF($Z1195&lt;=2000,IF(INDEX(包装物料出入库明细!$E$4:$E$2003,$Z1195-0)=0,"",INDEX(包装物料出入库明细!$E$4:$E$2003,$Z1195-0)),IF($Z1195&lt;=4000,IF(INDEX(周转筐出入库明细!$D$4:$D$2004,$Z1195-2000)=0,"",INDEX(周转筐出入库明细!$D$4:$D$2004,$Z1195-2000)),IF($Z1195&lt;=5200,IF(INDEX(客户自备加工筐明细!$C$4:$C$1203,$Z1195-4000)=0,"",INDEX(客户自备加工筐明细!$C$4:$C$1203,$Z1195-4000)),IF($Z1195&lt;=5800,IF(INDEX(次果筐明细!$D$4:$D$603,$Z1195-5200)=0,"",INDEX(次果筐明细!$D$4:$D$603,$Z1195-5200)),"")))))</f>
        <v/>
      </c>
      <c r="G1195" s="24" t="str">
        <f>IF($Z1195="","",IF($Z1195&lt;=2000,IF(INDEX(包装物料出入库明细!$F$4:$F$2003,$Z1195-0)=0,"",INDEX(包装物料出入库明细!$F$4:$F$2003,$Z1195-0)),IF($Z1195&lt;=4000,"",IF($Z1195&lt;=5200,"",IF($Z1195&lt;=5800,"","")))))</f>
        <v/>
      </c>
      <c r="H1195" s="39" t="str">
        <f>IF($Z1195="","",IF($Z1195&lt;=2000,IF(INDEX(包装物料出入库明细!$L$4:$L$2003,$Z1195-0)=0,"",INDEX(包装物料出入库明细!$L$4:$L$2003,$Z1195-0)),IF($Z1195&lt;=4000,N(INDEX(周转筐出入库明细!$H$4:$H$2004,$Z1195-2000))+N(INDEX(周转筐出入库明细!$I$4:$I$2004,$Z1195-2000))+N(INDEX(周转筐出入库明细!$J$4:$J$2004,$Z1195-2000))+N(INDEX(周转筐出入库明细!$K$4:$K$2004,$Z1195-2000)),IF($Z1195&lt;=5200,N(INDEX(客户自备加工筐明细!$F$4:$F$1203,$Z1195-4000))+N(INDEX(客户自备加工筐明细!$G$4:$G$1203,$Z1195-4000)),IF($Z1195&lt;=5800,IF(INDEX(次果筐明细!$G$4:$G$603,$Z1195-5200)=0,"",INDEX(次果筐明细!$G$4:$G$603,$Z1195-5200)),"")))))</f>
        <v/>
      </c>
      <c r="I1195" s="24" t="str">
        <f>IF($Z1195="","",IF($Z1195&lt;=2000,IF(INDEX(包装物料出入库明细!$G$4:$G$2003,$Z1195-0)=0,"",INDEX(包装物料出入库明细!$G$4:$G$2003,$Z1195-0)),IF($Z1195&lt;=4000,"个",IF($Z1195&lt;=5200,"个",IF($Z1195&lt;=5800,"个","")))))</f>
        <v/>
      </c>
      <c r="J1195" s="30" t="str">
        <f t="shared" si="55"/>
        <v/>
      </c>
      <c r="K1195" s="30" t="str">
        <f>IF($Z1195="","",IF($Z1195&lt;=2000,IF(INDEX(包装物料出入库明细!$N$4:$N$2003,$Z1195-0)=0,"",INDEX(包装物料出入库明细!$N$4:$N$2003,$Z1195-0)),IF($Z1195&lt;=4000,IF(INDEX(周转筐出入库明细!$P$4:$P$2004,$Z1195-2000)=0,"",INDEX(周转筐出入库明细!$P$4:$P$2004,$Z1195-2000)),IF($Z1195&lt;=5200,"",IF($Z1195&lt;=5800,N(INDEX(次果筐明细!$L$4:$L$603,$Z1195-5200))+N(INDEX(次果筐明细!$J$4:$J$603,$Z1195-5200)),"")))))</f>
        <v/>
      </c>
      <c r="L1195" s="24" t="str">
        <f>IF($Z1195="","",IF($Z1195&lt;=2000,IF(INDEX(包装物料出入库明细!$P$4:$P$2003,$Z1195-0)=0,"",INDEX(包装物料出入库明细!$P$4:$P$2003,$Z1195-0)),IF($Z1195&lt;=4000,IF(INDEX(周转筐出入库明细!$Q$4:$Q$2004,$Z1195-2000)=0,"",INDEX(周转筐出入库明细!$Q$4:$Q$2004,$Z1195-2000)),IF($Z1195&lt;=5200,"",IF($Z1195&lt;=5800,IF(INDEX(次果筐明细!$M$4:$M$603,$Z1195-5200)=0,"",INDEX(次果筐明细!$M$4:$M$603,$Z1195-5200)),"")))))</f>
        <v/>
      </c>
      <c r="M1195" s="37" t="str">
        <f>IF($Z1195="","",IF($Z1195&lt;=2000,IF(INDEX(包装物料出入库明细!$R$4:$R$2003,$Z1195-0)=0,"",INDEX(包装物料出入库明细!$R$4:$R$2003,$Z1195-0)),IF($Z1195&lt;=4000,IF(INDEX(周转筐出入库明细!$W$4:$W$2004,$Z1195-2000)=0,"",INDEX(周转筐出入库明细!$W$4:$W$2004,$Z1195-2000)),IF($Z1195&lt;=5200,IF(INDEX(客户自备加工筐明细!$L$4:$L$1203,$Z1195-4000)=0,"",INDEX(客户自备加工筐明细!$L$4:$L$1203,$Z1195-4000)),IF($Z1195&lt;=5800,IF(INDEX(次果筐明细!$P$4:$P$603,$Z1195-5200)=0,"",INDEX(次果筐明细!$P$4:$P$603,$Z1195-5200)),"")))))</f>
        <v/>
      </c>
      <c r="N1195" s="16" t="str">
        <f>IF($Z1195="","",IF($Z1195&lt;=2000,"",IF($Z1195&lt;=4000,IF(INDEX(周转筐出入库明细!$D$4:$D$2004,$Z1195-2000)=0,"",INDEX(周转筐出入库明细!$D$4:$D$2004,$Z1195-2000)),IF($Z1195&lt;=5200,IF(INDEX(客户自备加工筐明细!$C$4:$C$1203,$Z1195-4000)=0,"",INDEX(客户自备加工筐明细!$C$4:$C$1203,$Z1195-4000)),IF($Z1195&lt;=5800,IF(INDEX(次果筐明细!$D$4:$D$603,$Z1195-5200)=0,"",INDEX(次果筐明细!$D$4:$D$603,$Z1195-5200)),"")))))</f>
        <v/>
      </c>
      <c r="O1195" s="40" t="str">
        <f>IF($Z1195="","",IF($Z1195&lt;=2000,"",IF($Z1195&lt;=4000,IF(N(INDEX(周转筐出入库明细!$J$4:$J$2004,$Z1195-2000))+N(INDEX(周转筐出入库明细!$K$4:$K$2004,$Z1195-2000))=0,"",N(INDEX(周转筐出入库明细!$J$4:$J$2004,$Z1195-2000))+N(INDEX(周转筐出入库明细!$K$4:$K$2004,$Z1195-2000))),IF($Z1195&lt;=5200,IF(N(INDEX(客户自备加工筐明细!$G$4:$G$1203,$Z1195-4000))=0,"",N(INDEX(客户自备加工筐明细!$G$4:$G$1203,$Z1195-4000))),IF($Z1195&lt;=5800,IF(ISNUMBER(SEARCH("退",INDEX(次果筐明细!$F$4:$F$603,$Z1195-5200)&amp;"")),"",IF(N(INDEX(次果筐明细!$G$4:$G$603,$Z1195-5200))=0,"",N(INDEX(次果筐明细!$G$4:$G$603,$Z1195-5200)))),"")))))</f>
        <v/>
      </c>
      <c r="P1195" s="40" t="str">
        <f>IF($Z1195="","",IF($Z1195&lt;=2000,"",IF($Z1195&lt;=4000,IF(N(INDEX(周转筐出入库明细!$I$4:$I$2004,$Z1195-2000))=0,"",N(INDEX(周转筐出入库明细!$I$4:$I$2004,$Z1195-2000))),IF($Z1195&lt;=5200,"",IF($Z1195&lt;=5800,IF(ISNUMBER(SEARCH("退",INDEX(次果筐明细!$F$4:$F$603,$Z1195-5200)&amp;"")),IF(N(INDEX(次果筐明细!$G$4:$G$603,$Z1195-5200))=0,"",N(INDEX(次果筐明细!$G$4:$G$603,$Z1195-5200))),""),"")))))</f>
        <v/>
      </c>
      <c r="Q1195" s="40" t="str">
        <f>IF($Z1195="","",IF($Z1195&lt;=2000,"",IF($Z1195&lt;=4000,IF(N(INDEX(周转筐出入库明细!$H$4:$H$2004,$Z1195-2000))=0,"",N(INDEX(周转筐出入库明细!$H$4:$H$2004,$Z1195-2000))),IF($Z1195&lt;=5200,IF(N(INDEX(客户自备加工筐明细!$F$4:$F$1203,$Z1195-4000))=0,"",N(INDEX(客户自备加工筐明细!$F$4:$F$1203,$Z1195-4000))),IF($Z1195&lt;=5800,"","")))))</f>
        <v/>
      </c>
      <c r="R1195" s="16" t="str">
        <f>IF($Z1195="","",IF($Z1195&lt;=2000,IF(INDEX(包装物料出入库明细!$O$4:$O$2003,$Z1195-0)=0,"",INDEX(包装物料出入库明细!$O$4:$O$2003,$Z1195-0)),IF($Z1195&lt;=4000,IF(INDEX(周转筐出入库明细!$M$4:$M$2004,$Z1195-2000)=0,"",INDEX(周转筐出入库明细!$M$4:$M$2004,$Z1195-2000)),IF($Z1195&lt;=5200,IF(INDEX(客户自备加工筐明细!$H$4:$H$1203,$Z1195-4000)=0,"",INDEX(客户自备加工筐明细!$H$4:$H$1203,$Z1195-4000)),IF($Z1195&lt;=5800,IF(INDEX(次果筐明细!$H$4:$H$603,$Z1195-5200)=0,"",INDEX(次果筐明细!$H$4:$H$603,$Z1195-5200)),"")))))</f>
        <v/>
      </c>
      <c r="S1195" s="22" t="str">
        <f t="shared" si="56"/>
        <v/>
      </c>
      <c r="Z1195" s="10" t="str">
        <f>IFERROR(MATCH(ROW()-3,_自动清单!$CQ$4:$CQ$5803,0),"")</f>
        <v/>
      </c>
    </row>
    <row r="1196" spans="1:26">
      <c r="A1196" s="24" t="str">
        <f t="shared" si="54"/>
        <v/>
      </c>
      <c r="B1196" s="38" t="str">
        <f>IF($Z1196="","",IF($Z1196&lt;=2000,IF(INDEX(包装物料出入库明细!$B$4:$B$2003,$Z1196-0)=0,"",INDEX(包装物料出入库明细!$B$4:$B$2003,$Z1196-0)),IF($Z1196&lt;=4000,IF(INDEX(周转筐出入库明细!$B$4:$B$2004,$Z1196-2000)=0,"",INDEX(周转筐出入库明细!$B$4:$B$2004,$Z1196-2000)),IF($Z1196&lt;=5200,IF(INDEX(客户自备加工筐明细!$B$4:$B$1203,$Z1196-4000)=0,"",INDEX(客户自备加工筐明细!$B$4:$B$1203,$Z1196-4000)),IF($Z1196&lt;=5800,IF(INDEX(次果筐明细!$B$4:$B$603,$Z1196-5200)=0,"",INDEX(次果筐明细!$B$4:$B$603,$Z1196-5200)),"")))))</f>
        <v/>
      </c>
      <c r="C1196" s="37" t="str">
        <f>IF($Z1196="","",IF($Z1196&lt;=2000,IF(INDEX(包装物料出入库明细!$D$4:$D$2003,$Z1196-0)=0,"",INDEX(包装物料出入库明细!$D$4:$D$2003,$Z1196-0)),IF($Z1196&lt;=4000,IF(INDEX(周转筐出入库明细!$C$4:$C$2004,$Z1196-2000)=0,"",INDEX(周转筐出入库明细!$C$4:$C$2004,$Z1196-2000)),IF($Z1196&lt;=5200,IF(INDEX(客户自备加工筐明细!$E$4:$E$1203,$Z1196-4000)=0,"",INDEX(客户自备加工筐明细!$E$4:$E$1203,$Z1196-4000)),IF($Z1196&lt;=5800,IF(INDEX(次果筐明细!$C$4:$C$603,$Z1196-5200)=0,"",INDEX(次果筐明细!$C$4:$C$603,$Z1196-5200)),"")))))</f>
        <v/>
      </c>
      <c r="D1196" s="37" t="str">
        <f>IF($Z1196="","",IF($Z1196&lt;=2000,"包装物料－"&amp;INDEX(包装物料出入库明细!$H$4:$H$2003,$Z1196-0),IF($Z1196&lt;=4000,"周转筐－"&amp;INDEX(周转筐出入库明细!$F$4:$F$2004,$Z1196-2000),IF($Z1196&lt;=5200,"客户自备筐－"&amp;INDEX(客户自备加工筐明细!$J$4:$J$1203,$Z1196-4000),IF($Z1196&lt;=5800,"次果筐/托盘－"&amp;INDEX(次果筐明细!$F$4:$F$603,$Z1196-5200),"")))))</f>
        <v/>
      </c>
      <c r="E1196" s="24" t="str">
        <f>IF($Z1196="","",IF($Z1196&lt;=2000,IF(INDEX(包装物料出入库明细!$C$4:$C$2003,$Z1196-0)=0,"",INDEX(包装物料出入库明细!$C$4:$C$2003,$Z1196-0)),IF($Z1196&lt;=4000,IF(INDEX(周转筐出入库明细!$E$4:$E$2004,$Z1196-2000)=0,"",INDEX(周转筐出入库明细!$E$4:$E$2004,$Z1196-2000)),IF($Z1196&lt;=5200,IF(INDEX(客户自备加工筐明细!$D$4:$D$1203,$Z1196-4000)=0,"",INDEX(客户自备加工筐明细!$D$4:$D$1203,$Z1196-4000)),IF($Z1196&lt;=5800,IF(INDEX(次果筐明细!$E$4:$E$603,$Z1196-5200)=0,"",INDEX(次果筐明细!$E$4:$E$603,$Z1196-5200)),"")))))</f>
        <v/>
      </c>
      <c r="F1196" s="24" t="str">
        <f>IF($Z1196="","",IF($Z1196&lt;=2000,IF(INDEX(包装物料出入库明细!$E$4:$E$2003,$Z1196-0)=0,"",INDEX(包装物料出入库明细!$E$4:$E$2003,$Z1196-0)),IF($Z1196&lt;=4000,IF(INDEX(周转筐出入库明细!$D$4:$D$2004,$Z1196-2000)=0,"",INDEX(周转筐出入库明细!$D$4:$D$2004,$Z1196-2000)),IF($Z1196&lt;=5200,IF(INDEX(客户自备加工筐明细!$C$4:$C$1203,$Z1196-4000)=0,"",INDEX(客户自备加工筐明细!$C$4:$C$1203,$Z1196-4000)),IF($Z1196&lt;=5800,IF(INDEX(次果筐明细!$D$4:$D$603,$Z1196-5200)=0,"",INDEX(次果筐明细!$D$4:$D$603,$Z1196-5200)),"")))))</f>
        <v/>
      </c>
      <c r="G1196" s="24" t="str">
        <f>IF($Z1196="","",IF($Z1196&lt;=2000,IF(INDEX(包装物料出入库明细!$F$4:$F$2003,$Z1196-0)=0,"",INDEX(包装物料出入库明细!$F$4:$F$2003,$Z1196-0)),IF($Z1196&lt;=4000,"",IF($Z1196&lt;=5200,"",IF($Z1196&lt;=5800,"","")))))</f>
        <v/>
      </c>
      <c r="H1196" s="39" t="str">
        <f>IF($Z1196="","",IF($Z1196&lt;=2000,IF(INDEX(包装物料出入库明细!$L$4:$L$2003,$Z1196-0)=0,"",INDEX(包装物料出入库明细!$L$4:$L$2003,$Z1196-0)),IF($Z1196&lt;=4000,N(INDEX(周转筐出入库明细!$H$4:$H$2004,$Z1196-2000))+N(INDEX(周转筐出入库明细!$I$4:$I$2004,$Z1196-2000))+N(INDEX(周转筐出入库明细!$J$4:$J$2004,$Z1196-2000))+N(INDEX(周转筐出入库明细!$K$4:$K$2004,$Z1196-2000)),IF($Z1196&lt;=5200,N(INDEX(客户自备加工筐明细!$F$4:$F$1203,$Z1196-4000))+N(INDEX(客户自备加工筐明细!$G$4:$G$1203,$Z1196-4000)),IF($Z1196&lt;=5800,IF(INDEX(次果筐明细!$G$4:$G$603,$Z1196-5200)=0,"",INDEX(次果筐明细!$G$4:$G$603,$Z1196-5200)),"")))))</f>
        <v/>
      </c>
      <c r="I1196" s="24" t="str">
        <f>IF($Z1196="","",IF($Z1196&lt;=2000,IF(INDEX(包装物料出入库明细!$G$4:$G$2003,$Z1196-0)=0,"",INDEX(包装物料出入库明细!$G$4:$G$2003,$Z1196-0)),IF($Z1196&lt;=4000,"个",IF($Z1196&lt;=5200,"个",IF($Z1196&lt;=5800,"个","")))))</f>
        <v/>
      </c>
      <c r="J1196" s="30" t="str">
        <f t="shared" si="55"/>
        <v/>
      </c>
      <c r="K1196" s="30" t="str">
        <f>IF($Z1196="","",IF($Z1196&lt;=2000,IF(INDEX(包装物料出入库明细!$N$4:$N$2003,$Z1196-0)=0,"",INDEX(包装物料出入库明细!$N$4:$N$2003,$Z1196-0)),IF($Z1196&lt;=4000,IF(INDEX(周转筐出入库明细!$P$4:$P$2004,$Z1196-2000)=0,"",INDEX(周转筐出入库明细!$P$4:$P$2004,$Z1196-2000)),IF($Z1196&lt;=5200,"",IF($Z1196&lt;=5800,N(INDEX(次果筐明细!$L$4:$L$603,$Z1196-5200))+N(INDEX(次果筐明细!$J$4:$J$603,$Z1196-5200)),"")))))</f>
        <v/>
      </c>
      <c r="L1196" s="24" t="str">
        <f>IF($Z1196="","",IF($Z1196&lt;=2000,IF(INDEX(包装物料出入库明细!$P$4:$P$2003,$Z1196-0)=0,"",INDEX(包装物料出入库明细!$P$4:$P$2003,$Z1196-0)),IF($Z1196&lt;=4000,IF(INDEX(周转筐出入库明细!$Q$4:$Q$2004,$Z1196-2000)=0,"",INDEX(周转筐出入库明细!$Q$4:$Q$2004,$Z1196-2000)),IF($Z1196&lt;=5200,"",IF($Z1196&lt;=5800,IF(INDEX(次果筐明细!$M$4:$M$603,$Z1196-5200)=0,"",INDEX(次果筐明细!$M$4:$M$603,$Z1196-5200)),"")))))</f>
        <v/>
      </c>
      <c r="M1196" s="37" t="str">
        <f>IF($Z1196="","",IF($Z1196&lt;=2000,IF(INDEX(包装物料出入库明细!$R$4:$R$2003,$Z1196-0)=0,"",INDEX(包装物料出入库明细!$R$4:$R$2003,$Z1196-0)),IF($Z1196&lt;=4000,IF(INDEX(周转筐出入库明细!$W$4:$W$2004,$Z1196-2000)=0,"",INDEX(周转筐出入库明细!$W$4:$W$2004,$Z1196-2000)),IF($Z1196&lt;=5200,IF(INDEX(客户自备加工筐明细!$L$4:$L$1203,$Z1196-4000)=0,"",INDEX(客户自备加工筐明细!$L$4:$L$1203,$Z1196-4000)),IF($Z1196&lt;=5800,IF(INDEX(次果筐明细!$P$4:$P$603,$Z1196-5200)=0,"",INDEX(次果筐明细!$P$4:$P$603,$Z1196-5200)),"")))))</f>
        <v/>
      </c>
      <c r="N1196" s="16" t="str">
        <f>IF($Z1196="","",IF($Z1196&lt;=2000,"",IF($Z1196&lt;=4000,IF(INDEX(周转筐出入库明细!$D$4:$D$2004,$Z1196-2000)=0,"",INDEX(周转筐出入库明细!$D$4:$D$2004,$Z1196-2000)),IF($Z1196&lt;=5200,IF(INDEX(客户自备加工筐明细!$C$4:$C$1203,$Z1196-4000)=0,"",INDEX(客户自备加工筐明细!$C$4:$C$1203,$Z1196-4000)),IF($Z1196&lt;=5800,IF(INDEX(次果筐明细!$D$4:$D$603,$Z1196-5200)=0,"",INDEX(次果筐明细!$D$4:$D$603,$Z1196-5200)),"")))))</f>
        <v/>
      </c>
      <c r="O1196" s="40" t="str">
        <f>IF($Z1196="","",IF($Z1196&lt;=2000,"",IF($Z1196&lt;=4000,IF(N(INDEX(周转筐出入库明细!$J$4:$J$2004,$Z1196-2000))+N(INDEX(周转筐出入库明细!$K$4:$K$2004,$Z1196-2000))=0,"",N(INDEX(周转筐出入库明细!$J$4:$J$2004,$Z1196-2000))+N(INDEX(周转筐出入库明细!$K$4:$K$2004,$Z1196-2000))),IF($Z1196&lt;=5200,IF(N(INDEX(客户自备加工筐明细!$G$4:$G$1203,$Z1196-4000))=0,"",N(INDEX(客户自备加工筐明细!$G$4:$G$1203,$Z1196-4000))),IF($Z1196&lt;=5800,IF(ISNUMBER(SEARCH("退",INDEX(次果筐明细!$F$4:$F$603,$Z1196-5200)&amp;"")),"",IF(N(INDEX(次果筐明细!$G$4:$G$603,$Z1196-5200))=0,"",N(INDEX(次果筐明细!$G$4:$G$603,$Z1196-5200)))),"")))))</f>
        <v/>
      </c>
      <c r="P1196" s="40" t="str">
        <f>IF($Z1196="","",IF($Z1196&lt;=2000,"",IF($Z1196&lt;=4000,IF(N(INDEX(周转筐出入库明细!$I$4:$I$2004,$Z1196-2000))=0,"",N(INDEX(周转筐出入库明细!$I$4:$I$2004,$Z1196-2000))),IF($Z1196&lt;=5200,"",IF($Z1196&lt;=5800,IF(ISNUMBER(SEARCH("退",INDEX(次果筐明细!$F$4:$F$603,$Z1196-5200)&amp;"")),IF(N(INDEX(次果筐明细!$G$4:$G$603,$Z1196-5200))=0,"",N(INDEX(次果筐明细!$G$4:$G$603,$Z1196-5200))),""),"")))))</f>
        <v/>
      </c>
      <c r="Q1196" s="40" t="str">
        <f>IF($Z1196="","",IF($Z1196&lt;=2000,"",IF($Z1196&lt;=4000,IF(N(INDEX(周转筐出入库明细!$H$4:$H$2004,$Z1196-2000))=0,"",N(INDEX(周转筐出入库明细!$H$4:$H$2004,$Z1196-2000))),IF($Z1196&lt;=5200,IF(N(INDEX(客户自备加工筐明细!$F$4:$F$1203,$Z1196-4000))=0,"",N(INDEX(客户自备加工筐明细!$F$4:$F$1203,$Z1196-4000))),IF($Z1196&lt;=5800,"","")))))</f>
        <v/>
      </c>
      <c r="R1196" s="16" t="str">
        <f>IF($Z1196="","",IF($Z1196&lt;=2000,IF(INDEX(包装物料出入库明细!$O$4:$O$2003,$Z1196-0)=0,"",INDEX(包装物料出入库明细!$O$4:$O$2003,$Z1196-0)),IF($Z1196&lt;=4000,IF(INDEX(周转筐出入库明细!$M$4:$M$2004,$Z1196-2000)=0,"",INDEX(周转筐出入库明细!$M$4:$M$2004,$Z1196-2000)),IF($Z1196&lt;=5200,IF(INDEX(客户自备加工筐明细!$H$4:$H$1203,$Z1196-4000)=0,"",INDEX(客户自备加工筐明细!$H$4:$H$1203,$Z1196-4000)),IF($Z1196&lt;=5800,IF(INDEX(次果筐明细!$H$4:$H$603,$Z1196-5200)=0,"",INDEX(次果筐明细!$H$4:$H$603,$Z1196-5200)),"")))))</f>
        <v/>
      </c>
      <c r="S1196" s="22" t="str">
        <f t="shared" si="56"/>
        <v/>
      </c>
      <c r="Z1196" s="10" t="str">
        <f>IFERROR(MATCH(ROW()-3,_自动清单!$CQ$4:$CQ$5803,0),"")</f>
        <v/>
      </c>
    </row>
    <row r="1197" spans="1:26">
      <c r="A1197" s="24" t="str">
        <f t="shared" si="54"/>
        <v/>
      </c>
      <c r="B1197" s="38" t="str">
        <f>IF($Z1197="","",IF($Z1197&lt;=2000,IF(INDEX(包装物料出入库明细!$B$4:$B$2003,$Z1197-0)=0,"",INDEX(包装物料出入库明细!$B$4:$B$2003,$Z1197-0)),IF($Z1197&lt;=4000,IF(INDEX(周转筐出入库明细!$B$4:$B$2004,$Z1197-2000)=0,"",INDEX(周转筐出入库明细!$B$4:$B$2004,$Z1197-2000)),IF($Z1197&lt;=5200,IF(INDEX(客户自备加工筐明细!$B$4:$B$1203,$Z1197-4000)=0,"",INDEX(客户自备加工筐明细!$B$4:$B$1203,$Z1197-4000)),IF($Z1197&lt;=5800,IF(INDEX(次果筐明细!$B$4:$B$603,$Z1197-5200)=0,"",INDEX(次果筐明细!$B$4:$B$603,$Z1197-5200)),"")))))</f>
        <v/>
      </c>
      <c r="C1197" s="37" t="str">
        <f>IF($Z1197="","",IF($Z1197&lt;=2000,IF(INDEX(包装物料出入库明细!$D$4:$D$2003,$Z1197-0)=0,"",INDEX(包装物料出入库明细!$D$4:$D$2003,$Z1197-0)),IF($Z1197&lt;=4000,IF(INDEX(周转筐出入库明细!$C$4:$C$2004,$Z1197-2000)=0,"",INDEX(周转筐出入库明细!$C$4:$C$2004,$Z1197-2000)),IF($Z1197&lt;=5200,IF(INDEX(客户自备加工筐明细!$E$4:$E$1203,$Z1197-4000)=0,"",INDEX(客户自备加工筐明细!$E$4:$E$1203,$Z1197-4000)),IF($Z1197&lt;=5800,IF(INDEX(次果筐明细!$C$4:$C$603,$Z1197-5200)=0,"",INDEX(次果筐明细!$C$4:$C$603,$Z1197-5200)),"")))))</f>
        <v/>
      </c>
      <c r="D1197" s="37" t="str">
        <f>IF($Z1197="","",IF($Z1197&lt;=2000,"包装物料－"&amp;INDEX(包装物料出入库明细!$H$4:$H$2003,$Z1197-0),IF($Z1197&lt;=4000,"周转筐－"&amp;INDEX(周转筐出入库明细!$F$4:$F$2004,$Z1197-2000),IF($Z1197&lt;=5200,"客户自备筐－"&amp;INDEX(客户自备加工筐明细!$J$4:$J$1203,$Z1197-4000),IF($Z1197&lt;=5800,"次果筐/托盘－"&amp;INDEX(次果筐明细!$F$4:$F$603,$Z1197-5200),"")))))</f>
        <v/>
      </c>
      <c r="E1197" s="24" t="str">
        <f>IF($Z1197="","",IF($Z1197&lt;=2000,IF(INDEX(包装物料出入库明细!$C$4:$C$2003,$Z1197-0)=0,"",INDEX(包装物料出入库明细!$C$4:$C$2003,$Z1197-0)),IF($Z1197&lt;=4000,IF(INDEX(周转筐出入库明细!$E$4:$E$2004,$Z1197-2000)=0,"",INDEX(周转筐出入库明细!$E$4:$E$2004,$Z1197-2000)),IF($Z1197&lt;=5200,IF(INDEX(客户自备加工筐明细!$D$4:$D$1203,$Z1197-4000)=0,"",INDEX(客户自备加工筐明细!$D$4:$D$1203,$Z1197-4000)),IF($Z1197&lt;=5800,IF(INDEX(次果筐明细!$E$4:$E$603,$Z1197-5200)=0,"",INDEX(次果筐明细!$E$4:$E$603,$Z1197-5200)),"")))))</f>
        <v/>
      </c>
      <c r="F1197" s="24" t="str">
        <f>IF($Z1197="","",IF($Z1197&lt;=2000,IF(INDEX(包装物料出入库明细!$E$4:$E$2003,$Z1197-0)=0,"",INDEX(包装物料出入库明细!$E$4:$E$2003,$Z1197-0)),IF($Z1197&lt;=4000,IF(INDEX(周转筐出入库明细!$D$4:$D$2004,$Z1197-2000)=0,"",INDEX(周转筐出入库明细!$D$4:$D$2004,$Z1197-2000)),IF($Z1197&lt;=5200,IF(INDEX(客户自备加工筐明细!$C$4:$C$1203,$Z1197-4000)=0,"",INDEX(客户自备加工筐明细!$C$4:$C$1203,$Z1197-4000)),IF($Z1197&lt;=5800,IF(INDEX(次果筐明细!$D$4:$D$603,$Z1197-5200)=0,"",INDEX(次果筐明细!$D$4:$D$603,$Z1197-5200)),"")))))</f>
        <v/>
      </c>
      <c r="G1197" s="24" t="str">
        <f>IF($Z1197="","",IF($Z1197&lt;=2000,IF(INDEX(包装物料出入库明细!$F$4:$F$2003,$Z1197-0)=0,"",INDEX(包装物料出入库明细!$F$4:$F$2003,$Z1197-0)),IF($Z1197&lt;=4000,"",IF($Z1197&lt;=5200,"",IF($Z1197&lt;=5800,"","")))))</f>
        <v/>
      </c>
      <c r="H1197" s="39" t="str">
        <f>IF($Z1197="","",IF($Z1197&lt;=2000,IF(INDEX(包装物料出入库明细!$L$4:$L$2003,$Z1197-0)=0,"",INDEX(包装物料出入库明细!$L$4:$L$2003,$Z1197-0)),IF($Z1197&lt;=4000,N(INDEX(周转筐出入库明细!$H$4:$H$2004,$Z1197-2000))+N(INDEX(周转筐出入库明细!$I$4:$I$2004,$Z1197-2000))+N(INDEX(周转筐出入库明细!$J$4:$J$2004,$Z1197-2000))+N(INDEX(周转筐出入库明细!$K$4:$K$2004,$Z1197-2000)),IF($Z1197&lt;=5200,N(INDEX(客户自备加工筐明细!$F$4:$F$1203,$Z1197-4000))+N(INDEX(客户自备加工筐明细!$G$4:$G$1203,$Z1197-4000)),IF($Z1197&lt;=5800,IF(INDEX(次果筐明细!$G$4:$G$603,$Z1197-5200)=0,"",INDEX(次果筐明细!$G$4:$G$603,$Z1197-5200)),"")))))</f>
        <v/>
      </c>
      <c r="I1197" s="24" t="str">
        <f>IF($Z1197="","",IF($Z1197&lt;=2000,IF(INDEX(包装物料出入库明细!$G$4:$G$2003,$Z1197-0)=0,"",INDEX(包装物料出入库明细!$G$4:$G$2003,$Z1197-0)),IF($Z1197&lt;=4000,"个",IF($Z1197&lt;=5200,"个",IF($Z1197&lt;=5800,"个","")))))</f>
        <v/>
      </c>
      <c r="J1197" s="30" t="str">
        <f t="shared" si="55"/>
        <v/>
      </c>
      <c r="K1197" s="30" t="str">
        <f>IF($Z1197="","",IF($Z1197&lt;=2000,IF(INDEX(包装物料出入库明细!$N$4:$N$2003,$Z1197-0)=0,"",INDEX(包装物料出入库明细!$N$4:$N$2003,$Z1197-0)),IF($Z1197&lt;=4000,IF(INDEX(周转筐出入库明细!$P$4:$P$2004,$Z1197-2000)=0,"",INDEX(周转筐出入库明细!$P$4:$P$2004,$Z1197-2000)),IF($Z1197&lt;=5200,"",IF($Z1197&lt;=5800,N(INDEX(次果筐明细!$L$4:$L$603,$Z1197-5200))+N(INDEX(次果筐明细!$J$4:$J$603,$Z1197-5200)),"")))))</f>
        <v/>
      </c>
      <c r="L1197" s="24" t="str">
        <f>IF($Z1197="","",IF($Z1197&lt;=2000,IF(INDEX(包装物料出入库明细!$P$4:$P$2003,$Z1197-0)=0,"",INDEX(包装物料出入库明细!$P$4:$P$2003,$Z1197-0)),IF($Z1197&lt;=4000,IF(INDEX(周转筐出入库明细!$Q$4:$Q$2004,$Z1197-2000)=0,"",INDEX(周转筐出入库明细!$Q$4:$Q$2004,$Z1197-2000)),IF($Z1197&lt;=5200,"",IF($Z1197&lt;=5800,IF(INDEX(次果筐明细!$M$4:$M$603,$Z1197-5200)=0,"",INDEX(次果筐明细!$M$4:$M$603,$Z1197-5200)),"")))))</f>
        <v/>
      </c>
      <c r="M1197" s="37" t="str">
        <f>IF($Z1197="","",IF($Z1197&lt;=2000,IF(INDEX(包装物料出入库明细!$R$4:$R$2003,$Z1197-0)=0,"",INDEX(包装物料出入库明细!$R$4:$R$2003,$Z1197-0)),IF($Z1197&lt;=4000,IF(INDEX(周转筐出入库明细!$W$4:$W$2004,$Z1197-2000)=0,"",INDEX(周转筐出入库明细!$W$4:$W$2004,$Z1197-2000)),IF($Z1197&lt;=5200,IF(INDEX(客户自备加工筐明细!$L$4:$L$1203,$Z1197-4000)=0,"",INDEX(客户自备加工筐明细!$L$4:$L$1203,$Z1197-4000)),IF($Z1197&lt;=5800,IF(INDEX(次果筐明细!$P$4:$P$603,$Z1197-5200)=0,"",INDEX(次果筐明细!$P$4:$P$603,$Z1197-5200)),"")))))</f>
        <v/>
      </c>
      <c r="N1197" s="16" t="str">
        <f>IF($Z1197="","",IF($Z1197&lt;=2000,"",IF($Z1197&lt;=4000,IF(INDEX(周转筐出入库明细!$D$4:$D$2004,$Z1197-2000)=0,"",INDEX(周转筐出入库明细!$D$4:$D$2004,$Z1197-2000)),IF($Z1197&lt;=5200,IF(INDEX(客户自备加工筐明细!$C$4:$C$1203,$Z1197-4000)=0,"",INDEX(客户自备加工筐明细!$C$4:$C$1203,$Z1197-4000)),IF($Z1197&lt;=5800,IF(INDEX(次果筐明细!$D$4:$D$603,$Z1197-5200)=0,"",INDEX(次果筐明细!$D$4:$D$603,$Z1197-5200)),"")))))</f>
        <v/>
      </c>
      <c r="O1197" s="40" t="str">
        <f>IF($Z1197="","",IF($Z1197&lt;=2000,"",IF($Z1197&lt;=4000,IF(N(INDEX(周转筐出入库明细!$J$4:$J$2004,$Z1197-2000))+N(INDEX(周转筐出入库明细!$K$4:$K$2004,$Z1197-2000))=0,"",N(INDEX(周转筐出入库明细!$J$4:$J$2004,$Z1197-2000))+N(INDEX(周转筐出入库明细!$K$4:$K$2004,$Z1197-2000))),IF($Z1197&lt;=5200,IF(N(INDEX(客户自备加工筐明细!$G$4:$G$1203,$Z1197-4000))=0,"",N(INDEX(客户自备加工筐明细!$G$4:$G$1203,$Z1197-4000))),IF($Z1197&lt;=5800,IF(ISNUMBER(SEARCH("退",INDEX(次果筐明细!$F$4:$F$603,$Z1197-5200)&amp;"")),"",IF(N(INDEX(次果筐明细!$G$4:$G$603,$Z1197-5200))=0,"",N(INDEX(次果筐明细!$G$4:$G$603,$Z1197-5200)))),"")))))</f>
        <v/>
      </c>
      <c r="P1197" s="40" t="str">
        <f>IF($Z1197="","",IF($Z1197&lt;=2000,"",IF($Z1197&lt;=4000,IF(N(INDEX(周转筐出入库明细!$I$4:$I$2004,$Z1197-2000))=0,"",N(INDEX(周转筐出入库明细!$I$4:$I$2004,$Z1197-2000))),IF($Z1197&lt;=5200,"",IF($Z1197&lt;=5800,IF(ISNUMBER(SEARCH("退",INDEX(次果筐明细!$F$4:$F$603,$Z1197-5200)&amp;"")),IF(N(INDEX(次果筐明细!$G$4:$G$603,$Z1197-5200))=0,"",N(INDEX(次果筐明细!$G$4:$G$603,$Z1197-5200))),""),"")))))</f>
        <v/>
      </c>
      <c r="Q1197" s="40" t="str">
        <f>IF($Z1197="","",IF($Z1197&lt;=2000,"",IF($Z1197&lt;=4000,IF(N(INDEX(周转筐出入库明细!$H$4:$H$2004,$Z1197-2000))=0,"",N(INDEX(周转筐出入库明细!$H$4:$H$2004,$Z1197-2000))),IF($Z1197&lt;=5200,IF(N(INDEX(客户自备加工筐明细!$F$4:$F$1203,$Z1197-4000))=0,"",N(INDEX(客户自备加工筐明细!$F$4:$F$1203,$Z1197-4000))),IF($Z1197&lt;=5800,"","")))))</f>
        <v/>
      </c>
      <c r="R1197" s="16" t="str">
        <f>IF($Z1197="","",IF($Z1197&lt;=2000,IF(INDEX(包装物料出入库明细!$O$4:$O$2003,$Z1197-0)=0,"",INDEX(包装物料出入库明细!$O$4:$O$2003,$Z1197-0)),IF($Z1197&lt;=4000,IF(INDEX(周转筐出入库明细!$M$4:$M$2004,$Z1197-2000)=0,"",INDEX(周转筐出入库明细!$M$4:$M$2004,$Z1197-2000)),IF($Z1197&lt;=5200,IF(INDEX(客户自备加工筐明细!$H$4:$H$1203,$Z1197-4000)=0,"",INDEX(客户自备加工筐明细!$H$4:$H$1203,$Z1197-4000)),IF($Z1197&lt;=5800,IF(INDEX(次果筐明细!$H$4:$H$603,$Z1197-5200)=0,"",INDEX(次果筐明细!$H$4:$H$603,$Z1197-5200)),"")))))</f>
        <v/>
      </c>
      <c r="S1197" s="22" t="str">
        <f t="shared" si="56"/>
        <v/>
      </c>
      <c r="Z1197" s="10" t="str">
        <f>IFERROR(MATCH(ROW()-3,_自动清单!$CQ$4:$CQ$5803,0),"")</f>
        <v/>
      </c>
    </row>
    <row r="1198" spans="1:26">
      <c r="A1198" s="24" t="str">
        <f t="shared" si="54"/>
        <v/>
      </c>
      <c r="B1198" s="38" t="str">
        <f>IF($Z1198="","",IF($Z1198&lt;=2000,IF(INDEX(包装物料出入库明细!$B$4:$B$2003,$Z1198-0)=0,"",INDEX(包装物料出入库明细!$B$4:$B$2003,$Z1198-0)),IF($Z1198&lt;=4000,IF(INDEX(周转筐出入库明细!$B$4:$B$2004,$Z1198-2000)=0,"",INDEX(周转筐出入库明细!$B$4:$B$2004,$Z1198-2000)),IF($Z1198&lt;=5200,IF(INDEX(客户自备加工筐明细!$B$4:$B$1203,$Z1198-4000)=0,"",INDEX(客户自备加工筐明细!$B$4:$B$1203,$Z1198-4000)),IF($Z1198&lt;=5800,IF(INDEX(次果筐明细!$B$4:$B$603,$Z1198-5200)=0,"",INDEX(次果筐明细!$B$4:$B$603,$Z1198-5200)),"")))))</f>
        <v/>
      </c>
      <c r="C1198" s="37" t="str">
        <f>IF($Z1198="","",IF($Z1198&lt;=2000,IF(INDEX(包装物料出入库明细!$D$4:$D$2003,$Z1198-0)=0,"",INDEX(包装物料出入库明细!$D$4:$D$2003,$Z1198-0)),IF($Z1198&lt;=4000,IF(INDEX(周转筐出入库明细!$C$4:$C$2004,$Z1198-2000)=0,"",INDEX(周转筐出入库明细!$C$4:$C$2004,$Z1198-2000)),IF($Z1198&lt;=5200,IF(INDEX(客户自备加工筐明细!$E$4:$E$1203,$Z1198-4000)=0,"",INDEX(客户自备加工筐明细!$E$4:$E$1203,$Z1198-4000)),IF($Z1198&lt;=5800,IF(INDEX(次果筐明细!$C$4:$C$603,$Z1198-5200)=0,"",INDEX(次果筐明细!$C$4:$C$603,$Z1198-5200)),"")))))</f>
        <v/>
      </c>
      <c r="D1198" s="37" t="str">
        <f>IF($Z1198="","",IF($Z1198&lt;=2000,"包装物料－"&amp;INDEX(包装物料出入库明细!$H$4:$H$2003,$Z1198-0),IF($Z1198&lt;=4000,"周转筐－"&amp;INDEX(周转筐出入库明细!$F$4:$F$2004,$Z1198-2000),IF($Z1198&lt;=5200,"客户自备筐－"&amp;INDEX(客户自备加工筐明细!$J$4:$J$1203,$Z1198-4000),IF($Z1198&lt;=5800,"次果筐/托盘－"&amp;INDEX(次果筐明细!$F$4:$F$603,$Z1198-5200),"")))))</f>
        <v/>
      </c>
      <c r="E1198" s="24" t="str">
        <f>IF($Z1198="","",IF($Z1198&lt;=2000,IF(INDEX(包装物料出入库明细!$C$4:$C$2003,$Z1198-0)=0,"",INDEX(包装物料出入库明细!$C$4:$C$2003,$Z1198-0)),IF($Z1198&lt;=4000,IF(INDEX(周转筐出入库明细!$E$4:$E$2004,$Z1198-2000)=0,"",INDEX(周转筐出入库明细!$E$4:$E$2004,$Z1198-2000)),IF($Z1198&lt;=5200,IF(INDEX(客户自备加工筐明细!$D$4:$D$1203,$Z1198-4000)=0,"",INDEX(客户自备加工筐明细!$D$4:$D$1203,$Z1198-4000)),IF($Z1198&lt;=5800,IF(INDEX(次果筐明细!$E$4:$E$603,$Z1198-5200)=0,"",INDEX(次果筐明细!$E$4:$E$603,$Z1198-5200)),"")))))</f>
        <v/>
      </c>
      <c r="F1198" s="24" t="str">
        <f>IF($Z1198="","",IF($Z1198&lt;=2000,IF(INDEX(包装物料出入库明细!$E$4:$E$2003,$Z1198-0)=0,"",INDEX(包装物料出入库明细!$E$4:$E$2003,$Z1198-0)),IF($Z1198&lt;=4000,IF(INDEX(周转筐出入库明细!$D$4:$D$2004,$Z1198-2000)=0,"",INDEX(周转筐出入库明细!$D$4:$D$2004,$Z1198-2000)),IF($Z1198&lt;=5200,IF(INDEX(客户自备加工筐明细!$C$4:$C$1203,$Z1198-4000)=0,"",INDEX(客户自备加工筐明细!$C$4:$C$1203,$Z1198-4000)),IF($Z1198&lt;=5800,IF(INDEX(次果筐明细!$D$4:$D$603,$Z1198-5200)=0,"",INDEX(次果筐明细!$D$4:$D$603,$Z1198-5200)),"")))))</f>
        <v/>
      </c>
      <c r="G1198" s="24" t="str">
        <f>IF($Z1198="","",IF($Z1198&lt;=2000,IF(INDEX(包装物料出入库明细!$F$4:$F$2003,$Z1198-0)=0,"",INDEX(包装物料出入库明细!$F$4:$F$2003,$Z1198-0)),IF($Z1198&lt;=4000,"",IF($Z1198&lt;=5200,"",IF($Z1198&lt;=5800,"","")))))</f>
        <v/>
      </c>
      <c r="H1198" s="39" t="str">
        <f>IF($Z1198="","",IF($Z1198&lt;=2000,IF(INDEX(包装物料出入库明细!$L$4:$L$2003,$Z1198-0)=0,"",INDEX(包装物料出入库明细!$L$4:$L$2003,$Z1198-0)),IF($Z1198&lt;=4000,N(INDEX(周转筐出入库明细!$H$4:$H$2004,$Z1198-2000))+N(INDEX(周转筐出入库明细!$I$4:$I$2004,$Z1198-2000))+N(INDEX(周转筐出入库明细!$J$4:$J$2004,$Z1198-2000))+N(INDEX(周转筐出入库明细!$K$4:$K$2004,$Z1198-2000)),IF($Z1198&lt;=5200,N(INDEX(客户自备加工筐明细!$F$4:$F$1203,$Z1198-4000))+N(INDEX(客户自备加工筐明细!$G$4:$G$1203,$Z1198-4000)),IF($Z1198&lt;=5800,IF(INDEX(次果筐明细!$G$4:$G$603,$Z1198-5200)=0,"",INDEX(次果筐明细!$G$4:$G$603,$Z1198-5200)),"")))))</f>
        <v/>
      </c>
      <c r="I1198" s="24" t="str">
        <f>IF($Z1198="","",IF($Z1198&lt;=2000,IF(INDEX(包装物料出入库明细!$G$4:$G$2003,$Z1198-0)=0,"",INDEX(包装物料出入库明细!$G$4:$G$2003,$Z1198-0)),IF($Z1198&lt;=4000,"个",IF($Z1198&lt;=5200,"个",IF($Z1198&lt;=5800,"个","")))))</f>
        <v/>
      </c>
      <c r="J1198" s="30" t="str">
        <f t="shared" si="55"/>
        <v/>
      </c>
      <c r="K1198" s="30" t="str">
        <f>IF($Z1198="","",IF($Z1198&lt;=2000,IF(INDEX(包装物料出入库明细!$N$4:$N$2003,$Z1198-0)=0,"",INDEX(包装物料出入库明细!$N$4:$N$2003,$Z1198-0)),IF($Z1198&lt;=4000,IF(INDEX(周转筐出入库明细!$P$4:$P$2004,$Z1198-2000)=0,"",INDEX(周转筐出入库明细!$P$4:$P$2004,$Z1198-2000)),IF($Z1198&lt;=5200,"",IF($Z1198&lt;=5800,N(INDEX(次果筐明细!$L$4:$L$603,$Z1198-5200))+N(INDEX(次果筐明细!$J$4:$J$603,$Z1198-5200)),"")))))</f>
        <v/>
      </c>
      <c r="L1198" s="24" t="str">
        <f>IF($Z1198="","",IF($Z1198&lt;=2000,IF(INDEX(包装物料出入库明细!$P$4:$P$2003,$Z1198-0)=0,"",INDEX(包装物料出入库明细!$P$4:$P$2003,$Z1198-0)),IF($Z1198&lt;=4000,IF(INDEX(周转筐出入库明细!$Q$4:$Q$2004,$Z1198-2000)=0,"",INDEX(周转筐出入库明细!$Q$4:$Q$2004,$Z1198-2000)),IF($Z1198&lt;=5200,"",IF($Z1198&lt;=5800,IF(INDEX(次果筐明细!$M$4:$M$603,$Z1198-5200)=0,"",INDEX(次果筐明细!$M$4:$M$603,$Z1198-5200)),"")))))</f>
        <v/>
      </c>
      <c r="M1198" s="37" t="str">
        <f>IF($Z1198="","",IF($Z1198&lt;=2000,IF(INDEX(包装物料出入库明细!$R$4:$R$2003,$Z1198-0)=0,"",INDEX(包装物料出入库明细!$R$4:$R$2003,$Z1198-0)),IF($Z1198&lt;=4000,IF(INDEX(周转筐出入库明细!$W$4:$W$2004,$Z1198-2000)=0,"",INDEX(周转筐出入库明细!$W$4:$W$2004,$Z1198-2000)),IF($Z1198&lt;=5200,IF(INDEX(客户自备加工筐明细!$L$4:$L$1203,$Z1198-4000)=0,"",INDEX(客户自备加工筐明细!$L$4:$L$1203,$Z1198-4000)),IF($Z1198&lt;=5800,IF(INDEX(次果筐明细!$P$4:$P$603,$Z1198-5200)=0,"",INDEX(次果筐明细!$P$4:$P$603,$Z1198-5200)),"")))))</f>
        <v/>
      </c>
      <c r="N1198" s="16" t="str">
        <f>IF($Z1198="","",IF($Z1198&lt;=2000,"",IF($Z1198&lt;=4000,IF(INDEX(周转筐出入库明细!$D$4:$D$2004,$Z1198-2000)=0,"",INDEX(周转筐出入库明细!$D$4:$D$2004,$Z1198-2000)),IF($Z1198&lt;=5200,IF(INDEX(客户自备加工筐明细!$C$4:$C$1203,$Z1198-4000)=0,"",INDEX(客户自备加工筐明细!$C$4:$C$1203,$Z1198-4000)),IF($Z1198&lt;=5800,IF(INDEX(次果筐明细!$D$4:$D$603,$Z1198-5200)=0,"",INDEX(次果筐明细!$D$4:$D$603,$Z1198-5200)),"")))))</f>
        <v/>
      </c>
      <c r="O1198" s="40" t="str">
        <f>IF($Z1198="","",IF($Z1198&lt;=2000,"",IF($Z1198&lt;=4000,IF(N(INDEX(周转筐出入库明细!$J$4:$J$2004,$Z1198-2000))+N(INDEX(周转筐出入库明细!$K$4:$K$2004,$Z1198-2000))=0,"",N(INDEX(周转筐出入库明细!$J$4:$J$2004,$Z1198-2000))+N(INDEX(周转筐出入库明细!$K$4:$K$2004,$Z1198-2000))),IF($Z1198&lt;=5200,IF(N(INDEX(客户自备加工筐明细!$G$4:$G$1203,$Z1198-4000))=0,"",N(INDEX(客户自备加工筐明细!$G$4:$G$1203,$Z1198-4000))),IF($Z1198&lt;=5800,IF(ISNUMBER(SEARCH("退",INDEX(次果筐明细!$F$4:$F$603,$Z1198-5200)&amp;"")),"",IF(N(INDEX(次果筐明细!$G$4:$G$603,$Z1198-5200))=0,"",N(INDEX(次果筐明细!$G$4:$G$603,$Z1198-5200)))),"")))))</f>
        <v/>
      </c>
      <c r="P1198" s="40" t="str">
        <f>IF($Z1198="","",IF($Z1198&lt;=2000,"",IF($Z1198&lt;=4000,IF(N(INDEX(周转筐出入库明细!$I$4:$I$2004,$Z1198-2000))=0,"",N(INDEX(周转筐出入库明细!$I$4:$I$2004,$Z1198-2000))),IF($Z1198&lt;=5200,"",IF($Z1198&lt;=5800,IF(ISNUMBER(SEARCH("退",INDEX(次果筐明细!$F$4:$F$603,$Z1198-5200)&amp;"")),IF(N(INDEX(次果筐明细!$G$4:$G$603,$Z1198-5200))=0,"",N(INDEX(次果筐明细!$G$4:$G$603,$Z1198-5200))),""),"")))))</f>
        <v/>
      </c>
      <c r="Q1198" s="40" t="str">
        <f>IF($Z1198="","",IF($Z1198&lt;=2000,"",IF($Z1198&lt;=4000,IF(N(INDEX(周转筐出入库明细!$H$4:$H$2004,$Z1198-2000))=0,"",N(INDEX(周转筐出入库明细!$H$4:$H$2004,$Z1198-2000))),IF($Z1198&lt;=5200,IF(N(INDEX(客户自备加工筐明细!$F$4:$F$1203,$Z1198-4000))=0,"",N(INDEX(客户自备加工筐明细!$F$4:$F$1203,$Z1198-4000))),IF($Z1198&lt;=5800,"","")))))</f>
        <v/>
      </c>
      <c r="R1198" s="16" t="str">
        <f>IF($Z1198="","",IF($Z1198&lt;=2000,IF(INDEX(包装物料出入库明细!$O$4:$O$2003,$Z1198-0)=0,"",INDEX(包装物料出入库明细!$O$4:$O$2003,$Z1198-0)),IF($Z1198&lt;=4000,IF(INDEX(周转筐出入库明细!$M$4:$M$2004,$Z1198-2000)=0,"",INDEX(周转筐出入库明细!$M$4:$M$2004,$Z1198-2000)),IF($Z1198&lt;=5200,IF(INDEX(客户自备加工筐明细!$H$4:$H$1203,$Z1198-4000)=0,"",INDEX(客户自备加工筐明细!$H$4:$H$1203,$Z1198-4000)),IF($Z1198&lt;=5800,IF(INDEX(次果筐明细!$H$4:$H$603,$Z1198-5200)=0,"",INDEX(次果筐明细!$H$4:$H$603,$Z1198-5200)),"")))))</f>
        <v/>
      </c>
      <c r="S1198" s="22" t="str">
        <f t="shared" si="56"/>
        <v/>
      </c>
      <c r="Z1198" s="10" t="str">
        <f>IFERROR(MATCH(ROW()-3,_自动清单!$CQ$4:$CQ$5803,0),"")</f>
        <v/>
      </c>
    </row>
    <row r="1199" spans="1:26">
      <c r="A1199" s="24" t="str">
        <f t="shared" si="54"/>
        <v/>
      </c>
      <c r="B1199" s="38" t="str">
        <f>IF($Z1199="","",IF($Z1199&lt;=2000,IF(INDEX(包装物料出入库明细!$B$4:$B$2003,$Z1199-0)=0,"",INDEX(包装物料出入库明细!$B$4:$B$2003,$Z1199-0)),IF($Z1199&lt;=4000,IF(INDEX(周转筐出入库明细!$B$4:$B$2004,$Z1199-2000)=0,"",INDEX(周转筐出入库明细!$B$4:$B$2004,$Z1199-2000)),IF($Z1199&lt;=5200,IF(INDEX(客户自备加工筐明细!$B$4:$B$1203,$Z1199-4000)=0,"",INDEX(客户自备加工筐明细!$B$4:$B$1203,$Z1199-4000)),IF($Z1199&lt;=5800,IF(INDEX(次果筐明细!$B$4:$B$603,$Z1199-5200)=0,"",INDEX(次果筐明细!$B$4:$B$603,$Z1199-5200)),"")))))</f>
        <v/>
      </c>
      <c r="C1199" s="37" t="str">
        <f>IF($Z1199="","",IF($Z1199&lt;=2000,IF(INDEX(包装物料出入库明细!$D$4:$D$2003,$Z1199-0)=0,"",INDEX(包装物料出入库明细!$D$4:$D$2003,$Z1199-0)),IF($Z1199&lt;=4000,IF(INDEX(周转筐出入库明细!$C$4:$C$2004,$Z1199-2000)=0,"",INDEX(周转筐出入库明细!$C$4:$C$2004,$Z1199-2000)),IF($Z1199&lt;=5200,IF(INDEX(客户自备加工筐明细!$E$4:$E$1203,$Z1199-4000)=0,"",INDEX(客户自备加工筐明细!$E$4:$E$1203,$Z1199-4000)),IF($Z1199&lt;=5800,IF(INDEX(次果筐明细!$C$4:$C$603,$Z1199-5200)=0,"",INDEX(次果筐明细!$C$4:$C$603,$Z1199-5200)),"")))))</f>
        <v/>
      </c>
      <c r="D1199" s="37" t="str">
        <f>IF($Z1199="","",IF($Z1199&lt;=2000,"包装物料－"&amp;INDEX(包装物料出入库明细!$H$4:$H$2003,$Z1199-0),IF($Z1199&lt;=4000,"周转筐－"&amp;INDEX(周转筐出入库明细!$F$4:$F$2004,$Z1199-2000),IF($Z1199&lt;=5200,"客户自备筐－"&amp;INDEX(客户自备加工筐明细!$J$4:$J$1203,$Z1199-4000),IF($Z1199&lt;=5800,"次果筐/托盘－"&amp;INDEX(次果筐明细!$F$4:$F$603,$Z1199-5200),"")))))</f>
        <v/>
      </c>
      <c r="E1199" s="24" t="str">
        <f>IF($Z1199="","",IF($Z1199&lt;=2000,IF(INDEX(包装物料出入库明细!$C$4:$C$2003,$Z1199-0)=0,"",INDEX(包装物料出入库明细!$C$4:$C$2003,$Z1199-0)),IF($Z1199&lt;=4000,IF(INDEX(周转筐出入库明细!$E$4:$E$2004,$Z1199-2000)=0,"",INDEX(周转筐出入库明细!$E$4:$E$2004,$Z1199-2000)),IF($Z1199&lt;=5200,IF(INDEX(客户自备加工筐明细!$D$4:$D$1203,$Z1199-4000)=0,"",INDEX(客户自备加工筐明细!$D$4:$D$1203,$Z1199-4000)),IF($Z1199&lt;=5800,IF(INDEX(次果筐明细!$E$4:$E$603,$Z1199-5200)=0,"",INDEX(次果筐明细!$E$4:$E$603,$Z1199-5200)),"")))))</f>
        <v/>
      </c>
      <c r="F1199" s="24" t="str">
        <f>IF($Z1199="","",IF($Z1199&lt;=2000,IF(INDEX(包装物料出入库明细!$E$4:$E$2003,$Z1199-0)=0,"",INDEX(包装物料出入库明细!$E$4:$E$2003,$Z1199-0)),IF($Z1199&lt;=4000,IF(INDEX(周转筐出入库明细!$D$4:$D$2004,$Z1199-2000)=0,"",INDEX(周转筐出入库明细!$D$4:$D$2004,$Z1199-2000)),IF($Z1199&lt;=5200,IF(INDEX(客户自备加工筐明细!$C$4:$C$1203,$Z1199-4000)=0,"",INDEX(客户自备加工筐明细!$C$4:$C$1203,$Z1199-4000)),IF($Z1199&lt;=5800,IF(INDEX(次果筐明细!$D$4:$D$603,$Z1199-5200)=0,"",INDEX(次果筐明细!$D$4:$D$603,$Z1199-5200)),"")))))</f>
        <v/>
      </c>
      <c r="G1199" s="24" t="str">
        <f>IF($Z1199="","",IF($Z1199&lt;=2000,IF(INDEX(包装物料出入库明细!$F$4:$F$2003,$Z1199-0)=0,"",INDEX(包装物料出入库明细!$F$4:$F$2003,$Z1199-0)),IF($Z1199&lt;=4000,"",IF($Z1199&lt;=5200,"",IF($Z1199&lt;=5800,"","")))))</f>
        <v/>
      </c>
      <c r="H1199" s="39" t="str">
        <f>IF($Z1199="","",IF($Z1199&lt;=2000,IF(INDEX(包装物料出入库明细!$L$4:$L$2003,$Z1199-0)=0,"",INDEX(包装物料出入库明细!$L$4:$L$2003,$Z1199-0)),IF($Z1199&lt;=4000,N(INDEX(周转筐出入库明细!$H$4:$H$2004,$Z1199-2000))+N(INDEX(周转筐出入库明细!$I$4:$I$2004,$Z1199-2000))+N(INDEX(周转筐出入库明细!$J$4:$J$2004,$Z1199-2000))+N(INDEX(周转筐出入库明细!$K$4:$K$2004,$Z1199-2000)),IF($Z1199&lt;=5200,N(INDEX(客户自备加工筐明细!$F$4:$F$1203,$Z1199-4000))+N(INDEX(客户自备加工筐明细!$G$4:$G$1203,$Z1199-4000)),IF($Z1199&lt;=5800,IF(INDEX(次果筐明细!$G$4:$G$603,$Z1199-5200)=0,"",INDEX(次果筐明细!$G$4:$G$603,$Z1199-5200)),"")))))</f>
        <v/>
      </c>
      <c r="I1199" s="24" t="str">
        <f>IF($Z1199="","",IF($Z1199&lt;=2000,IF(INDEX(包装物料出入库明细!$G$4:$G$2003,$Z1199-0)=0,"",INDEX(包装物料出入库明细!$G$4:$G$2003,$Z1199-0)),IF($Z1199&lt;=4000,"个",IF($Z1199&lt;=5200,"个",IF($Z1199&lt;=5800,"个","")))))</f>
        <v/>
      </c>
      <c r="J1199" s="30" t="str">
        <f t="shared" si="55"/>
        <v/>
      </c>
      <c r="K1199" s="30" t="str">
        <f>IF($Z1199="","",IF($Z1199&lt;=2000,IF(INDEX(包装物料出入库明细!$N$4:$N$2003,$Z1199-0)=0,"",INDEX(包装物料出入库明细!$N$4:$N$2003,$Z1199-0)),IF($Z1199&lt;=4000,IF(INDEX(周转筐出入库明细!$P$4:$P$2004,$Z1199-2000)=0,"",INDEX(周转筐出入库明细!$P$4:$P$2004,$Z1199-2000)),IF($Z1199&lt;=5200,"",IF($Z1199&lt;=5800,N(INDEX(次果筐明细!$L$4:$L$603,$Z1199-5200))+N(INDEX(次果筐明细!$J$4:$J$603,$Z1199-5200)),"")))))</f>
        <v/>
      </c>
      <c r="L1199" s="24" t="str">
        <f>IF($Z1199="","",IF($Z1199&lt;=2000,IF(INDEX(包装物料出入库明细!$P$4:$P$2003,$Z1199-0)=0,"",INDEX(包装物料出入库明细!$P$4:$P$2003,$Z1199-0)),IF($Z1199&lt;=4000,IF(INDEX(周转筐出入库明细!$Q$4:$Q$2004,$Z1199-2000)=0,"",INDEX(周转筐出入库明细!$Q$4:$Q$2004,$Z1199-2000)),IF($Z1199&lt;=5200,"",IF($Z1199&lt;=5800,IF(INDEX(次果筐明细!$M$4:$M$603,$Z1199-5200)=0,"",INDEX(次果筐明细!$M$4:$M$603,$Z1199-5200)),"")))))</f>
        <v/>
      </c>
      <c r="M1199" s="37" t="str">
        <f>IF($Z1199="","",IF($Z1199&lt;=2000,IF(INDEX(包装物料出入库明细!$R$4:$R$2003,$Z1199-0)=0,"",INDEX(包装物料出入库明细!$R$4:$R$2003,$Z1199-0)),IF($Z1199&lt;=4000,IF(INDEX(周转筐出入库明细!$W$4:$W$2004,$Z1199-2000)=0,"",INDEX(周转筐出入库明细!$W$4:$W$2004,$Z1199-2000)),IF($Z1199&lt;=5200,IF(INDEX(客户自备加工筐明细!$L$4:$L$1203,$Z1199-4000)=0,"",INDEX(客户自备加工筐明细!$L$4:$L$1203,$Z1199-4000)),IF($Z1199&lt;=5800,IF(INDEX(次果筐明细!$P$4:$P$603,$Z1199-5200)=0,"",INDEX(次果筐明细!$P$4:$P$603,$Z1199-5200)),"")))))</f>
        <v/>
      </c>
      <c r="N1199" s="16" t="str">
        <f>IF($Z1199="","",IF($Z1199&lt;=2000,"",IF($Z1199&lt;=4000,IF(INDEX(周转筐出入库明细!$D$4:$D$2004,$Z1199-2000)=0,"",INDEX(周转筐出入库明细!$D$4:$D$2004,$Z1199-2000)),IF($Z1199&lt;=5200,IF(INDEX(客户自备加工筐明细!$C$4:$C$1203,$Z1199-4000)=0,"",INDEX(客户自备加工筐明细!$C$4:$C$1203,$Z1199-4000)),IF($Z1199&lt;=5800,IF(INDEX(次果筐明细!$D$4:$D$603,$Z1199-5200)=0,"",INDEX(次果筐明细!$D$4:$D$603,$Z1199-5200)),"")))))</f>
        <v/>
      </c>
      <c r="O1199" s="40" t="str">
        <f>IF($Z1199="","",IF($Z1199&lt;=2000,"",IF($Z1199&lt;=4000,IF(N(INDEX(周转筐出入库明细!$J$4:$J$2004,$Z1199-2000))+N(INDEX(周转筐出入库明细!$K$4:$K$2004,$Z1199-2000))=0,"",N(INDEX(周转筐出入库明细!$J$4:$J$2004,$Z1199-2000))+N(INDEX(周转筐出入库明细!$K$4:$K$2004,$Z1199-2000))),IF($Z1199&lt;=5200,IF(N(INDEX(客户自备加工筐明细!$G$4:$G$1203,$Z1199-4000))=0,"",N(INDEX(客户自备加工筐明细!$G$4:$G$1203,$Z1199-4000))),IF($Z1199&lt;=5800,IF(ISNUMBER(SEARCH("退",INDEX(次果筐明细!$F$4:$F$603,$Z1199-5200)&amp;"")),"",IF(N(INDEX(次果筐明细!$G$4:$G$603,$Z1199-5200))=0,"",N(INDEX(次果筐明细!$G$4:$G$603,$Z1199-5200)))),"")))))</f>
        <v/>
      </c>
      <c r="P1199" s="40" t="str">
        <f>IF($Z1199="","",IF($Z1199&lt;=2000,"",IF($Z1199&lt;=4000,IF(N(INDEX(周转筐出入库明细!$I$4:$I$2004,$Z1199-2000))=0,"",N(INDEX(周转筐出入库明细!$I$4:$I$2004,$Z1199-2000))),IF($Z1199&lt;=5200,"",IF($Z1199&lt;=5800,IF(ISNUMBER(SEARCH("退",INDEX(次果筐明细!$F$4:$F$603,$Z1199-5200)&amp;"")),IF(N(INDEX(次果筐明细!$G$4:$G$603,$Z1199-5200))=0,"",N(INDEX(次果筐明细!$G$4:$G$603,$Z1199-5200))),""),"")))))</f>
        <v/>
      </c>
      <c r="Q1199" s="40" t="str">
        <f>IF($Z1199="","",IF($Z1199&lt;=2000,"",IF($Z1199&lt;=4000,IF(N(INDEX(周转筐出入库明细!$H$4:$H$2004,$Z1199-2000))=0,"",N(INDEX(周转筐出入库明细!$H$4:$H$2004,$Z1199-2000))),IF($Z1199&lt;=5200,IF(N(INDEX(客户自备加工筐明细!$F$4:$F$1203,$Z1199-4000))=0,"",N(INDEX(客户自备加工筐明细!$F$4:$F$1203,$Z1199-4000))),IF($Z1199&lt;=5800,"","")))))</f>
        <v/>
      </c>
      <c r="R1199" s="16" t="str">
        <f>IF($Z1199="","",IF($Z1199&lt;=2000,IF(INDEX(包装物料出入库明细!$O$4:$O$2003,$Z1199-0)=0,"",INDEX(包装物料出入库明细!$O$4:$O$2003,$Z1199-0)),IF($Z1199&lt;=4000,IF(INDEX(周转筐出入库明细!$M$4:$M$2004,$Z1199-2000)=0,"",INDEX(周转筐出入库明细!$M$4:$M$2004,$Z1199-2000)),IF($Z1199&lt;=5200,IF(INDEX(客户自备加工筐明细!$H$4:$H$1203,$Z1199-4000)=0,"",INDEX(客户自备加工筐明细!$H$4:$H$1203,$Z1199-4000)),IF($Z1199&lt;=5800,IF(INDEX(次果筐明细!$H$4:$H$603,$Z1199-5200)=0,"",INDEX(次果筐明细!$H$4:$H$603,$Z1199-5200)),"")))))</f>
        <v/>
      </c>
      <c r="S1199" s="22" t="str">
        <f t="shared" si="56"/>
        <v/>
      </c>
      <c r="Z1199" s="10" t="str">
        <f>IFERROR(MATCH(ROW()-3,_自动清单!$CQ$4:$CQ$5803,0),"")</f>
        <v/>
      </c>
    </row>
    <row r="1200" spans="1:26">
      <c r="A1200" s="24" t="str">
        <f t="shared" si="54"/>
        <v/>
      </c>
      <c r="B1200" s="38" t="str">
        <f>IF($Z1200="","",IF($Z1200&lt;=2000,IF(INDEX(包装物料出入库明细!$B$4:$B$2003,$Z1200-0)=0,"",INDEX(包装物料出入库明细!$B$4:$B$2003,$Z1200-0)),IF($Z1200&lt;=4000,IF(INDEX(周转筐出入库明细!$B$4:$B$2004,$Z1200-2000)=0,"",INDEX(周转筐出入库明细!$B$4:$B$2004,$Z1200-2000)),IF($Z1200&lt;=5200,IF(INDEX(客户自备加工筐明细!$B$4:$B$1203,$Z1200-4000)=0,"",INDEX(客户自备加工筐明细!$B$4:$B$1203,$Z1200-4000)),IF($Z1200&lt;=5800,IF(INDEX(次果筐明细!$B$4:$B$603,$Z1200-5200)=0,"",INDEX(次果筐明细!$B$4:$B$603,$Z1200-5200)),"")))))</f>
        <v/>
      </c>
      <c r="C1200" s="37" t="str">
        <f>IF($Z1200="","",IF($Z1200&lt;=2000,IF(INDEX(包装物料出入库明细!$D$4:$D$2003,$Z1200-0)=0,"",INDEX(包装物料出入库明细!$D$4:$D$2003,$Z1200-0)),IF($Z1200&lt;=4000,IF(INDEX(周转筐出入库明细!$C$4:$C$2004,$Z1200-2000)=0,"",INDEX(周转筐出入库明细!$C$4:$C$2004,$Z1200-2000)),IF($Z1200&lt;=5200,IF(INDEX(客户自备加工筐明细!$E$4:$E$1203,$Z1200-4000)=0,"",INDEX(客户自备加工筐明细!$E$4:$E$1203,$Z1200-4000)),IF($Z1200&lt;=5800,IF(INDEX(次果筐明细!$C$4:$C$603,$Z1200-5200)=0,"",INDEX(次果筐明细!$C$4:$C$603,$Z1200-5200)),"")))))</f>
        <v/>
      </c>
      <c r="D1200" s="37" t="str">
        <f>IF($Z1200="","",IF($Z1200&lt;=2000,"包装物料－"&amp;INDEX(包装物料出入库明细!$H$4:$H$2003,$Z1200-0),IF($Z1200&lt;=4000,"周转筐－"&amp;INDEX(周转筐出入库明细!$F$4:$F$2004,$Z1200-2000),IF($Z1200&lt;=5200,"客户自备筐－"&amp;INDEX(客户自备加工筐明细!$J$4:$J$1203,$Z1200-4000),IF($Z1200&lt;=5800,"次果筐/托盘－"&amp;INDEX(次果筐明细!$F$4:$F$603,$Z1200-5200),"")))))</f>
        <v/>
      </c>
      <c r="E1200" s="24" t="str">
        <f>IF($Z1200="","",IF($Z1200&lt;=2000,IF(INDEX(包装物料出入库明细!$C$4:$C$2003,$Z1200-0)=0,"",INDEX(包装物料出入库明细!$C$4:$C$2003,$Z1200-0)),IF($Z1200&lt;=4000,IF(INDEX(周转筐出入库明细!$E$4:$E$2004,$Z1200-2000)=0,"",INDEX(周转筐出入库明细!$E$4:$E$2004,$Z1200-2000)),IF($Z1200&lt;=5200,IF(INDEX(客户自备加工筐明细!$D$4:$D$1203,$Z1200-4000)=0,"",INDEX(客户自备加工筐明细!$D$4:$D$1203,$Z1200-4000)),IF($Z1200&lt;=5800,IF(INDEX(次果筐明细!$E$4:$E$603,$Z1200-5200)=0,"",INDEX(次果筐明细!$E$4:$E$603,$Z1200-5200)),"")))))</f>
        <v/>
      </c>
      <c r="F1200" s="24" t="str">
        <f>IF($Z1200="","",IF($Z1200&lt;=2000,IF(INDEX(包装物料出入库明细!$E$4:$E$2003,$Z1200-0)=0,"",INDEX(包装物料出入库明细!$E$4:$E$2003,$Z1200-0)),IF($Z1200&lt;=4000,IF(INDEX(周转筐出入库明细!$D$4:$D$2004,$Z1200-2000)=0,"",INDEX(周转筐出入库明细!$D$4:$D$2004,$Z1200-2000)),IF($Z1200&lt;=5200,IF(INDEX(客户自备加工筐明细!$C$4:$C$1203,$Z1200-4000)=0,"",INDEX(客户自备加工筐明细!$C$4:$C$1203,$Z1200-4000)),IF($Z1200&lt;=5800,IF(INDEX(次果筐明细!$D$4:$D$603,$Z1200-5200)=0,"",INDEX(次果筐明细!$D$4:$D$603,$Z1200-5200)),"")))))</f>
        <v/>
      </c>
      <c r="G1200" s="24" t="str">
        <f>IF($Z1200="","",IF($Z1200&lt;=2000,IF(INDEX(包装物料出入库明细!$F$4:$F$2003,$Z1200-0)=0,"",INDEX(包装物料出入库明细!$F$4:$F$2003,$Z1200-0)),IF($Z1200&lt;=4000,"",IF($Z1200&lt;=5200,"",IF($Z1200&lt;=5800,"","")))))</f>
        <v/>
      </c>
      <c r="H1200" s="39" t="str">
        <f>IF($Z1200="","",IF($Z1200&lt;=2000,IF(INDEX(包装物料出入库明细!$L$4:$L$2003,$Z1200-0)=0,"",INDEX(包装物料出入库明细!$L$4:$L$2003,$Z1200-0)),IF($Z1200&lt;=4000,N(INDEX(周转筐出入库明细!$H$4:$H$2004,$Z1200-2000))+N(INDEX(周转筐出入库明细!$I$4:$I$2004,$Z1200-2000))+N(INDEX(周转筐出入库明细!$J$4:$J$2004,$Z1200-2000))+N(INDEX(周转筐出入库明细!$K$4:$K$2004,$Z1200-2000)),IF($Z1200&lt;=5200,N(INDEX(客户自备加工筐明细!$F$4:$F$1203,$Z1200-4000))+N(INDEX(客户自备加工筐明细!$G$4:$G$1203,$Z1200-4000)),IF($Z1200&lt;=5800,IF(INDEX(次果筐明细!$G$4:$G$603,$Z1200-5200)=0,"",INDEX(次果筐明细!$G$4:$G$603,$Z1200-5200)),"")))))</f>
        <v/>
      </c>
      <c r="I1200" s="24" t="str">
        <f>IF($Z1200="","",IF($Z1200&lt;=2000,IF(INDEX(包装物料出入库明细!$G$4:$G$2003,$Z1200-0)=0,"",INDEX(包装物料出入库明细!$G$4:$G$2003,$Z1200-0)),IF($Z1200&lt;=4000,"个",IF($Z1200&lt;=5200,"个",IF($Z1200&lt;=5800,"个","")))))</f>
        <v/>
      </c>
      <c r="J1200" s="30" t="str">
        <f t="shared" si="55"/>
        <v/>
      </c>
      <c r="K1200" s="30" t="str">
        <f>IF($Z1200="","",IF($Z1200&lt;=2000,IF(INDEX(包装物料出入库明细!$N$4:$N$2003,$Z1200-0)=0,"",INDEX(包装物料出入库明细!$N$4:$N$2003,$Z1200-0)),IF($Z1200&lt;=4000,IF(INDEX(周转筐出入库明细!$P$4:$P$2004,$Z1200-2000)=0,"",INDEX(周转筐出入库明细!$P$4:$P$2004,$Z1200-2000)),IF($Z1200&lt;=5200,"",IF($Z1200&lt;=5800,N(INDEX(次果筐明细!$L$4:$L$603,$Z1200-5200))+N(INDEX(次果筐明细!$J$4:$J$603,$Z1200-5200)),"")))))</f>
        <v/>
      </c>
      <c r="L1200" s="24" t="str">
        <f>IF($Z1200="","",IF($Z1200&lt;=2000,IF(INDEX(包装物料出入库明细!$P$4:$P$2003,$Z1200-0)=0,"",INDEX(包装物料出入库明细!$P$4:$P$2003,$Z1200-0)),IF($Z1200&lt;=4000,IF(INDEX(周转筐出入库明细!$Q$4:$Q$2004,$Z1200-2000)=0,"",INDEX(周转筐出入库明细!$Q$4:$Q$2004,$Z1200-2000)),IF($Z1200&lt;=5200,"",IF($Z1200&lt;=5800,IF(INDEX(次果筐明细!$M$4:$M$603,$Z1200-5200)=0,"",INDEX(次果筐明细!$M$4:$M$603,$Z1200-5200)),"")))))</f>
        <v/>
      </c>
      <c r="M1200" s="37" t="str">
        <f>IF($Z1200="","",IF($Z1200&lt;=2000,IF(INDEX(包装物料出入库明细!$R$4:$R$2003,$Z1200-0)=0,"",INDEX(包装物料出入库明细!$R$4:$R$2003,$Z1200-0)),IF($Z1200&lt;=4000,IF(INDEX(周转筐出入库明细!$W$4:$W$2004,$Z1200-2000)=0,"",INDEX(周转筐出入库明细!$W$4:$W$2004,$Z1200-2000)),IF($Z1200&lt;=5200,IF(INDEX(客户自备加工筐明细!$L$4:$L$1203,$Z1200-4000)=0,"",INDEX(客户自备加工筐明细!$L$4:$L$1203,$Z1200-4000)),IF($Z1200&lt;=5800,IF(INDEX(次果筐明细!$P$4:$P$603,$Z1200-5200)=0,"",INDEX(次果筐明细!$P$4:$P$603,$Z1200-5200)),"")))))</f>
        <v/>
      </c>
      <c r="N1200" s="16" t="str">
        <f>IF($Z1200="","",IF($Z1200&lt;=2000,"",IF($Z1200&lt;=4000,IF(INDEX(周转筐出入库明细!$D$4:$D$2004,$Z1200-2000)=0,"",INDEX(周转筐出入库明细!$D$4:$D$2004,$Z1200-2000)),IF($Z1200&lt;=5200,IF(INDEX(客户自备加工筐明细!$C$4:$C$1203,$Z1200-4000)=0,"",INDEX(客户自备加工筐明细!$C$4:$C$1203,$Z1200-4000)),IF($Z1200&lt;=5800,IF(INDEX(次果筐明细!$D$4:$D$603,$Z1200-5200)=0,"",INDEX(次果筐明细!$D$4:$D$603,$Z1200-5200)),"")))))</f>
        <v/>
      </c>
      <c r="O1200" s="40" t="str">
        <f>IF($Z1200="","",IF($Z1200&lt;=2000,"",IF($Z1200&lt;=4000,IF(N(INDEX(周转筐出入库明细!$J$4:$J$2004,$Z1200-2000))+N(INDEX(周转筐出入库明细!$K$4:$K$2004,$Z1200-2000))=0,"",N(INDEX(周转筐出入库明细!$J$4:$J$2004,$Z1200-2000))+N(INDEX(周转筐出入库明细!$K$4:$K$2004,$Z1200-2000))),IF($Z1200&lt;=5200,IF(N(INDEX(客户自备加工筐明细!$G$4:$G$1203,$Z1200-4000))=0,"",N(INDEX(客户自备加工筐明细!$G$4:$G$1203,$Z1200-4000))),IF($Z1200&lt;=5800,IF(ISNUMBER(SEARCH("退",INDEX(次果筐明细!$F$4:$F$603,$Z1200-5200)&amp;"")),"",IF(N(INDEX(次果筐明细!$G$4:$G$603,$Z1200-5200))=0,"",N(INDEX(次果筐明细!$G$4:$G$603,$Z1200-5200)))),"")))))</f>
        <v/>
      </c>
      <c r="P1200" s="40" t="str">
        <f>IF($Z1200="","",IF($Z1200&lt;=2000,"",IF($Z1200&lt;=4000,IF(N(INDEX(周转筐出入库明细!$I$4:$I$2004,$Z1200-2000))=0,"",N(INDEX(周转筐出入库明细!$I$4:$I$2004,$Z1200-2000))),IF($Z1200&lt;=5200,"",IF($Z1200&lt;=5800,IF(ISNUMBER(SEARCH("退",INDEX(次果筐明细!$F$4:$F$603,$Z1200-5200)&amp;"")),IF(N(INDEX(次果筐明细!$G$4:$G$603,$Z1200-5200))=0,"",N(INDEX(次果筐明细!$G$4:$G$603,$Z1200-5200))),""),"")))))</f>
        <v/>
      </c>
      <c r="Q1200" s="40" t="str">
        <f>IF($Z1200="","",IF($Z1200&lt;=2000,"",IF($Z1200&lt;=4000,IF(N(INDEX(周转筐出入库明细!$H$4:$H$2004,$Z1200-2000))=0,"",N(INDEX(周转筐出入库明细!$H$4:$H$2004,$Z1200-2000))),IF($Z1200&lt;=5200,IF(N(INDEX(客户自备加工筐明细!$F$4:$F$1203,$Z1200-4000))=0,"",N(INDEX(客户自备加工筐明细!$F$4:$F$1203,$Z1200-4000))),IF($Z1200&lt;=5800,"","")))))</f>
        <v/>
      </c>
      <c r="R1200" s="16" t="str">
        <f>IF($Z1200="","",IF($Z1200&lt;=2000,IF(INDEX(包装物料出入库明细!$O$4:$O$2003,$Z1200-0)=0,"",INDEX(包装物料出入库明细!$O$4:$O$2003,$Z1200-0)),IF($Z1200&lt;=4000,IF(INDEX(周转筐出入库明细!$M$4:$M$2004,$Z1200-2000)=0,"",INDEX(周转筐出入库明细!$M$4:$M$2004,$Z1200-2000)),IF($Z1200&lt;=5200,IF(INDEX(客户自备加工筐明细!$H$4:$H$1203,$Z1200-4000)=0,"",INDEX(客户自备加工筐明细!$H$4:$H$1203,$Z1200-4000)),IF($Z1200&lt;=5800,IF(INDEX(次果筐明细!$H$4:$H$603,$Z1200-5200)=0,"",INDEX(次果筐明细!$H$4:$H$603,$Z1200-5200)),"")))))</f>
        <v/>
      </c>
      <c r="S1200" s="22" t="str">
        <f t="shared" si="56"/>
        <v/>
      </c>
      <c r="Z1200" s="10" t="str">
        <f>IFERROR(MATCH(ROW()-3,_自动清单!$CQ$4:$CQ$5803,0),"")</f>
        <v/>
      </c>
    </row>
    <row r="1201" spans="1:26">
      <c r="A1201" s="24" t="str">
        <f t="shared" si="54"/>
        <v/>
      </c>
      <c r="B1201" s="38" t="str">
        <f>IF($Z1201="","",IF($Z1201&lt;=2000,IF(INDEX(包装物料出入库明细!$B$4:$B$2003,$Z1201-0)=0,"",INDEX(包装物料出入库明细!$B$4:$B$2003,$Z1201-0)),IF($Z1201&lt;=4000,IF(INDEX(周转筐出入库明细!$B$4:$B$2004,$Z1201-2000)=0,"",INDEX(周转筐出入库明细!$B$4:$B$2004,$Z1201-2000)),IF($Z1201&lt;=5200,IF(INDEX(客户自备加工筐明细!$B$4:$B$1203,$Z1201-4000)=0,"",INDEX(客户自备加工筐明细!$B$4:$B$1203,$Z1201-4000)),IF($Z1201&lt;=5800,IF(INDEX(次果筐明细!$B$4:$B$603,$Z1201-5200)=0,"",INDEX(次果筐明细!$B$4:$B$603,$Z1201-5200)),"")))))</f>
        <v/>
      </c>
      <c r="C1201" s="37" t="str">
        <f>IF($Z1201="","",IF($Z1201&lt;=2000,IF(INDEX(包装物料出入库明细!$D$4:$D$2003,$Z1201-0)=0,"",INDEX(包装物料出入库明细!$D$4:$D$2003,$Z1201-0)),IF($Z1201&lt;=4000,IF(INDEX(周转筐出入库明细!$C$4:$C$2004,$Z1201-2000)=0,"",INDEX(周转筐出入库明细!$C$4:$C$2004,$Z1201-2000)),IF($Z1201&lt;=5200,IF(INDEX(客户自备加工筐明细!$E$4:$E$1203,$Z1201-4000)=0,"",INDEX(客户自备加工筐明细!$E$4:$E$1203,$Z1201-4000)),IF($Z1201&lt;=5800,IF(INDEX(次果筐明细!$C$4:$C$603,$Z1201-5200)=0,"",INDEX(次果筐明细!$C$4:$C$603,$Z1201-5200)),"")))))</f>
        <v/>
      </c>
      <c r="D1201" s="37" t="str">
        <f>IF($Z1201="","",IF($Z1201&lt;=2000,"包装物料－"&amp;INDEX(包装物料出入库明细!$H$4:$H$2003,$Z1201-0),IF($Z1201&lt;=4000,"周转筐－"&amp;INDEX(周转筐出入库明细!$F$4:$F$2004,$Z1201-2000),IF($Z1201&lt;=5200,"客户自备筐－"&amp;INDEX(客户自备加工筐明细!$J$4:$J$1203,$Z1201-4000),IF($Z1201&lt;=5800,"次果筐/托盘－"&amp;INDEX(次果筐明细!$F$4:$F$603,$Z1201-5200),"")))))</f>
        <v/>
      </c>
      <c r="E1201" s="24" t="str">
        <f>IF($Z1201="","",IF($Z1201&lt;=2000,IF(INDEX(包装物料出入库明细!$C$4:$C$2003,$Z1201-0)=0,"",INDEX(包装物料出入库明细!$C$4:$C$2003,$Z1201-0)),IF($Z1201&lt;=4000,IF(INDEX(周转筐出入库明细!$E$4:$E$2004,$Z1201-2000)=0,"",INDEX(周转筐出入库明细!$E$4:$E$2004,$Z1201-2000)),IF($Z1201&lt;=5200,IF(INDEX(客户自备加工筐明细!$D$4:$D$1203,$Z1201-4000)=0,"",INDEX(客户自备加工筐明细!$D$4:$D$1203,$Z1201-4000)),IF($Z1201&lt;=5800,IF(INDEX(次果筐明细!$E$4:$E$603,$Z1201-5200)=0,"",INDEX(次果筐明细!$E$4:$E$603,$Z1201-5200)),"")))))</f>
        <v/>
      </c>
      <c r="F1201" s="24" t="str">
        <f>IF($Z1201="","",IF($Z1201&lt;=2000,IF(INDEX(包装物料出入库明细!$E$4:$E$2003,$Z1201-0)=0,"",INDEX(包装物料出入库明细!$E$4:$E$2003,$Z1201-0)),IF($Z1201&lt;=4000,IF(INDEX(周转筐出入库明细!$D$4:$D$2004,$Z1201-2000)=0,"",INDEX(周转筐出入库明细!$D$4:$D$2004,$Z1201-2000)),IF($Z1201&lt;=5200,IF(INDEX(客户自备加工筐明细!$C$4:$C$1203,$Z1201-4000)=0,"",INDEX(客户自备加工筐明细!$C$4:$C$1203,$Z1201-4000)),IF($Z1201&lt;=5800,IF(INDEX(次果筐明细!$D$4:$D$603,$Z1201-5200)=0,"",INDEX(次果筐明细!$D$4:$D$603,$Z1201-5200)),"")))))</f>
        <v/>
      </c>
      <c r="G1201" s="24" t="str">
        <f>IF($Z1201="","",IF($Z1201&lt;=2000,IF(INDEX(包装物料出入库明细!$F$4:$F$2003,$Z1201-0)=0,"",INDEX(包装物料出入库明细!$F$4:$F$2003,$Z1201-0)),IF($Z1201&lt;=4000,"",IF($Z1201&lt;=5200,"",IF($Z1201&lt;=5800,"","")))))</f>
        <v/>
      </c>
      <c r="H1201" s="39" t="str">
        <f>IF($Z1201="","",IF($Z1201&lt;=2000,IF(INDEX(包装物料出入库明细!$L$4:$L$2003,$Z1201-0)=0,"",INDEX(包装物料出入库明细!$L$4:$L$2003,$Z1201-0)),IF($Z1201&lt;=4000,N(INDEX(周转筐出入库明细!$H$4:$H$2004,$Z1201-2000))+N(INDEX(周转筐出入库明细!$I$4:$I$2004,$Z1201-2000))+N(INDEX(周转筐出入库明细!$J$4:$J$2004,$Z1201-2000))+N(INDEX(周转筐出入库明细!$K$4:$K$2004,$Z1201-2000)),IF($Z1201&lt;=5200,N(INDEX(客户自备加工筐明细!$F$4:$F$1203,$Z1201-4000))+N(INDEX(客户自备加工筐明细!$G$4:$G$1203,$Z1201-4000)),IF($Z1201&lt;=5800,IF(INDEX(次果筐明细!$G$4:$G$603,$Z1201-5200)=0,"",INDEX(次果筐明细!$G$4:$G$603,$Z1201-5200)),"")))))</f>
        <v/>
      </c>
      <c r="I1201" s="24" t="str">
        <f>IF($Z1201="","",IF($Z1201&lt;=2000,IF(INDEX(包装物料出入库明细!$G$4:$G$2003,$Z1201-0)=0,"",INDEX(包装物料出入库明细!$G$4:$G$2003,$Z1201-0)),IF($Z1201&lt;=4000,"个",IF($Z1201&lt;=5200,"个",IF($Z1201&lt;=5800,"个","")))))</f>
        <v/>
      </c>
      <c r="J1201" s="30" t="str">
        <f t="shared" si="55"/>
        <v/>
      </c>
      <c r="K1201" s="30" t="str">
        <f>IF($Z1201="","",IF($Z1201&lt;=2000,IF(INDEX(包装物料出入库明细!$N$4:$N$2003,$Z1201-0)=0,"",INDEX(包装物料出入库明细!$N$4:$N$2003,$Z1201-0)),IF($Z1201&lt;=4000,IF(INDEX(周转筐出入库明细!$P$4:$P$2004,$Z1201-2000)=0,"",INDEX(周转筐出入库明细!$P$4:$P$2004,$Z1201-2000)),IF($Z1201&lt;=5200,"",IF($Z1201&lt;=5800,N(INDEX(次果筐明细!$L$4:$L$603,$Z1201-5200))+N(INDEX(次果筐明细!$J$4:$J$603,$Z1201-5200)),"")))))</f>
        <v/>
      </c>
      <c r="L1201" s="24" t="str">
        <f>IF($Z1201="","",IF($Z1201&lt;=2000,IF(INDEX(包装物料出入库明细!$P$4:$P$2003,$Z1201-0)=0,"",INDEX(包装物料出入库明细!$P$4:$P$2003,$Z1201-0)),IF($Z1201&lt;=4000,IF(INDEX(周转筐出入库明细!$Q$4:$Q$2004,$Z1201-2000)=0,"",INDEX(周转筐出入库明细!$Q$4:$Q$2004,$Z1201-2000)),IF($Z1201&lt;=5200,"",IF($Z1201&lt;=5800,IF(INDEX(次果筐明细!$M$4:$M$603,$Z1201-5200)=0,"",INDEX(次果筐明细!$M$4:$M$603,$Z1201-5200)),"")))))</f>
        <v/>
      </c>
      <c r="M1201" s="37" t="str">
        <f>IF($Z1201="","",IF($Z1201&lt;=2000,IF(INDEX(包装物料出入库明细!$R$4:$R$2003,$Z1201-0)=0,"",INDEX(包装物料出入库明细!$R$4:$R$2003,$Z1201-0)),IF($Z1201&lt;=4000,IF(INDEX(周转筐出入库明细!$W$4:$W$2004,$Z1201-2000)=0,"",INDEX(周转筐出入库明细!$W$4:$W$2004,$Z1201-2000)),IF($Z1201&lt;=5200,IF(INDEX(客户自备加工筐明细!$L$4:$L$1203,$Z1201-4000)=0,"",INDEX(客户自备加工筐明细!$L$4:$L$1203,$Z1201-4000)),IF($Z1201&lt;=5800,IF(INDEX(次果筐明细!$P$4:$P$603,$Z1201-5200)=0,"",INDEX(次果筐明细!$P$4:$P$603,$Z1201-5200)),"")))))</f>
        <v/>
      </c>
      <c r="N1201" s="16" t="str">
        <f>IF($Z1201="","",IF($Z1201&lt;=2000,"",IF($Z1201&lt;=4000,IF(INDEX(周转筐出入库明细!$D$4:$D$2004,$Z1201-2000)=0,"",INDEX(周转筐出入库明细!$D$4:$D$2004,$Z1201-2000)),IF($Z1201&lt;=5200,IF(INDEX(客户自备加工筐明细!$C$4:$C$1203,$Z1201-4000)=0,"",INDEX(客户自备加工筐明细!$C$4:$C$1203,$Z1201-4000)),IF($Z1201&lt;=5800,IF(INDEX(次果筐明细!$D$4:$D$603,$Z1201-5200)=0,"",INDEX(次果筐明细!$D$4:$D$603,$Z1201-5200)),"")))))</f>
        <v/>
      </c>
      <c r="O1201" s="40" t="str">
        <f>IF($Z1201="","",IF($Z1201&lt;=2000,"",IF($Z1201&lt;=4000,IF(N(INDEX(周转筐出入库明细!$J$4:$J$2004,$Z1201-2000))+N(INDEX(周转筐出入库明细!$K$4:$K$2004,$Z1201-2000))=0,"",N(INDEX(周转筐出入库明细!$J$4:$J$2004,$Z1201-2000))+N(INDEX(周转筐出入库明细!$K$4:$K$2004,$Z1201-2000))),IF($Z1201&lt;=5200,IF(N(INDEX(客户自备加工筐明细!$G$4:$G$1203,$Z1201-4000))=0,"",N(INDEX(客户自备加工筐明细!$G$4:$G$1203,$Z1201-4000))),IF($Z1201&lt;=5800,IF(ISNUMBER(SEARCH("退",INDEX(次果筐明细!$F$4:$F$603,$Z1201-5200)&amp;"")),"",IF(N(INDEX(次果筐明细!$G$4:$G$603,$Z1201-5200))=0,"",N(INDEX(次果筐明细!$G$4:$G$603,$Z1201-5200)))),"")))))</f>
        <v/>
      </c>
      <c r="P1201" s="40" t="str">
        <f>IF($Z1201="","",IF($Z1201&lt;=2000,"",IF($Z1201&lt;=4000,IF(N(INDEX(周转筐出入库明细!$I$4:$I$2004,$Z1201-2000))=0,"",N(INDEX(周转筐出入库明细!$I$4:$I$2004,$Z1201-2000))),IF($Z1201&lt;=5200,"",IF($Z1201&lt;=5800,IF(ISNUMBER(SEARCH("退",INDEX(次果筐明细!$F$4:$F$603,$Z1201-5200)&amp;"")),IF(N(INDEX(次果筐明细!$G$4:$G$603,$Z1201-5200))=0,"",N(INDEX(次果筐明细!$G$4:$G$603,$Z1201-5200))),""),"")))))</f>
        <v/>
      </c>
      <c r="Q1201" s="40" t="str">
        <f>IF($Z1201="","",IF($Z1201&lt;=2000,"",IF($Z1201&lt;=4000,IF(N(INDEX(周转筐出入库明细!$H$4:$H$2004,$Z1201-2000))=0,"",N(INDEX(周转筐出入库明细!$H$4:$H$2004,$Z1201-2000))),IF($Z1201&lt;=5200,IF(N(INDEX(客户自备加工筐明细!$F$4:$F$1203,$Z1201-4000))=0,"",N(INDEX(客户自备加工筐明细!$F$4:$F$1203,$Z1201-4000))),IF($Z1201&lt;=5800,"","")))))</f>
        <v/>
      </c>
      <c r="R1201" s="16" t="str">
        <f>IF($Z1201="","",IF($Z1201&lt;=2000,IF(INDEX(包装物料出入库明细!$O$4:$O$2003,$Z1201-0)=0,"",INDEX(包装物料出入库明细!$O$4:$O$2003,$Z1201-0)),IF($Z1201&lt;=4000,IF(INDEX(周转筐出入库明细!$M$4:$M$2004,$Z1201-2000)=0,"",INDEX(周转筐出入库明细!$M$4:$M$2004,$Z1201-2000)),IF($Z1201&lt;=5200,IF(INDEX(客户自备加工筐明细!$H$4:$H$1203,$Z1201-4000)=0,"",INDEX(客户自备加工筐明细!$H$4:$H$1203,$Z1201-4000)),IF($Z1201&lt;=5800,IF(INDEX(次果筐明细!$H$4:$H$603,$Z1201-5200)=0,"",INDEX(次果筐明细!$H$4:$H$603,$Z1201-5200)),"")))))</f>
        <v/>
      </c>
      <c r="S1201" s="22" t="str">
        <f t="shared" si="56"/>
        <v/>
      </c>
      <c r="Z1201" s="10" t="str">
        <f>IFERROR(MATCH(ROW()-3,_自动清单!$CQ$4:$CQ$5803,0),"")</f>
        <v/>
      </c>
    </row>
    <row r="1202" spans="1:26">
      <c r="A1202" s="24" t="str">
        <f t="shared" si="54"/>
        <v/>
      </c>
      <c r="B1202" s="38" t="str">
        <f>IF($Z1202="","",IF($Z1202&lt;=2000,IF(INDEX(包装物料出入库明细!$B$4:$B$2003,$Z1202-0)=0,"",INDEX(包装物料出入库明细!$B$4:$B$2003,$Z1202-0)),IF($Z1202&lt;=4000,IF(INDEX(周转筐出入库明细!$B$4:$B$2004,$Z1202-2000)=0,"",INDEX(周转筐出入库明细!$B$4:$B$2004,$Z1202-2000)),IF($Z1202&lt;=5200,IF(INDEX(客户自备加工筐明细!$B$4:$B$1203,$Z1202-4000)=0,"",INDEX(客户自备加工筐明细!$B$4:$B$1203,$Z1202-4000)),IF($Z1202&lt;=5800,IF(INDEX(次果筐明细!$B$4:$B$603,$Z1202-5200)=0,"",INDEX(次果筐明细!$B$4:$B$603,$Z1202-5200)),"")))))</f>
        <v/>
      </c>
      <c r="C1202" s="37" t="str">
        <f>IF($Z1202="","",IF($Z1202&lt;=2000,IF(INDEX(包装物料出入库明细!$D$4:$D$2003,$Z1202-0)=0,"",INDEX(包装物料出入库明细!$D$4:$D$2003,$Z1202-0)),IF($Z1202&lt;=4000,IF(INDEX(周转筐出入库明细!$C$4:$C$2004,$Z1202-2000)=0,"",INDEX(周转筐出入库明细!$C$4:$C$2004,$Z1202-2000)),IF($Z1202&lt;=5200,IF(INDEX(客户自备加工筐明细!$E$4:$E$1203,$Z1202-4000)=0,"",INDEX(客户自备加工筐明细!$E$4:$E$1203,$Z1202-4000)),IF($Z1202&lt;=5800,IF(INDEX(次果筐明细!$C$4:$C$603,$Z1202-5200)=0,"",INDEX(次果筐明细!$C$4:$C$603,$Z1202-5200)),"")))))</f>
        <v/>
      </c>
      <c r="D1202" s="37" t="str">
        <f>IF($Z1202="","",IF($Z1202&lt;=2000,"包装物料－"&amp;INDEX(包装物料出入库明细!$H$4:$H$2003,$Z1202-0),IF($Z1202&lt;=4000,"周转筐－"&amp;INDEX(周转筐出入库明细!$F$4:$F$2004,$Z1202-2000),IF($Z1202&lt;=5200,"客户自备筐－"&amp;INDEX(客户自备加工筐明细!$J$4:$J$1203,$Z1202-4000),IF($Z1202&lt;=5800,"次果筐/托盘－"&amp;INDEX(次果筐明细!$F$4:$F$603,$Z1202-5200),"")))))</f>
        <v/>
      </c>
      <c r="E1202" s="24" t="str">
        <f>IF($Z1202="","",IF($Z1202&lt;=2000,IF(INDEX(包装物料出入库明细!$C$4:$C$2003,$Z1202-0)=0,"",INDEX(包装物料出入库明细!$C$4:$C$2003,$Z1202-0)),IF($Z1202&lt;=4000,IF(INDEX(周转筐出入库明细!$E$4:$E$2004,$Z1202-2000)=0,"",INDEX(周转筐出入库明细!$E$4:$E$2004,$Z1202-2000)),IF($Z1202&lt;=5200,IF(INDEX(客户自备加工筐明细!$D$4:$D$1203,$Z1202-4000)=0,"",INDEX(客户自备加工筐明细!$D$4:$D$1203,$Z1202-4000)),IF($Z1202&lt;=5800,IF(INDEX(次果筐明细!$E$4:$E$603,$Z1202-5200)=0,"",INDEX(次果筐明细!$E$4:$E$603,$Z1202-5200)),"")))))</f>
        <v/>
      </c>
      <c r="F1202" s="24" t="str">
        <f>IF($Z1202="","",IF($Z1202&lt;=2000,IF(INDEX(包装物料出入库明细!$E$4:$E$2003,$Z1202-0)=0,"",INDEX(包装物料出入库明细!$E$4:$E$2003,$Z1202-0)),IF($Z1202&lt;=4000,IF(INDEX(周转筐出入库明细!$D$4:$D$2004,$Z1202-2000)=0,"",INDEX(周转筐出入库明细!$D$4:$D$2004,$Z1202-2000)),IF($Z1202&lt;=5200,IF(INDEX(客户自备加工筐明细!$C$4:$C$1203,$Z1202-4000)=0,"",INDEX(客户自备加工筐明细!$C$4:$C$1203,$Z1202-4000)),IF($Z1202&lt;=5800,IF(INDEX(次果筐明细!$D$4:$D$603,$Z1202-5200)=0,"",INDEX(次果筐明细!$D$4:$D$603,$Z1202-5200)),"")))))</f>
        <v/>
      </c>
      <c r="G1202" s="24" t="str">
        <f>IF($Z1202="","",IF($Z1202&lt;=2000,IF(INDEX(包装物料出入库明细!$F$4:$F$2003,$Z1202-0)=0,"",INDEX(包装物料出入库明细!$F$4:$F$2003,$Z1202-0)),IF($Z1202&lt;=4000,"",IF($Z1202&lt;=5200,"",IF($Z1202&lt;=5800,"","")))))</f>
        <v/>
      </c>
      <c r="H1202" s="39" t="str">
        <f>IF($Z1202="","",IF($Z1202&lt;=2000,IF(INDEX(包装物料出入库明细!$L$4:$L$2003,$Z1202-0)=0,"",INDEX(包装物料出入库明细!$L$4:$L$2003,$Z1202-0)),IF($Z1202&lt;=4000,N(INDEX(周转筐出入库明细!$H$4:$H$2004,$Z1202-2000))+N(INDEX(周转筐出入库明细!$I$4:$I$2004,$Z1202-2000))+N(INDEX(周转筐出入库明细!$J$4:$J$2004,$Z1202-2000))+N(INDEX(周转筐出入库明细!$K$4:$K$2004,$Z1202-2000)),IF($Z1202&lt;=5200,N(INDEX(客户自备加工筐明细!$F$4:$F$1203,$Z1202-4000))+N(INDEX(客户自备加工筐明细!$G$4:$G$1203,$Z1202-4000)),IF($Z1202&lt;=5800,IF(INDEX(次果筐明细!$G$4:$G$603,$Z1202-5200)=0,"",INDEX(次果筐明细!$G$4:$G$603,$Z1202-5200)),"")))))</f>
        <v/>
      </c>
      <c r="I1202" s="24" t="str">
        <f>IF($Z1202="","",IF($Z1202&lt;=2000,IF(INDEX(包装物料出入库明细!$G$4:$G$2003,$Z1202-0)=0,"",INDEX(包装物料出入库明细!$G$4:$G$2003,$Z1202-0)),IF($Z1202&lt;=4000,"个",IF($Z1202&lt;=5200,"个",IF($Z1202&lt;=5800,"个","")))))</f>
        <v/>
      </c>
      <c r="J1202" s="30" t="str">
        <f t="shared" si="55"/>
        <v/>
      </c>
      <c r="K1202" s="30" t="str">
        <f>IF($Z1202="","",IF($Z1202&lt;=2000,IF(INDEX(包装物料出入库明细!$N$4:$N$2003,$Z1202-0)=0,"",INDEX(包装物料出入库明细!$N$4:$N$2003,$Z1202-0)),IF($Z1202&lt;=4000,IF(INDEX(周转筐出入库明细!$P$4:$P$2004,$Z1202-2000)=0,"",INDEX(周转筐出入库明细!$P$4:$P$2004,$Z1202-2000)),IF($Z1202&lt;=5200,"",IF($Z1202&lt;=5800,N(INDEX(次果筐明细!$L$4:$L$603,$Z1202-5200))+N(INDEX(次果筐明细!$J$4:$J$603,$Z1202-5200)),"")))))</f>
        <v/>
      </c>
      <c r="L1202" s="24" t="str">
        <f>IF($Z1202="","",IF($Z1202&lt;=2000,IF(INDEX(包装物料出入库明细!$P$4:$P$2003,$Z1202-0)=0,"",INDEX(包装物料出入库明细!$P$4:$P$2003,$Z1202-0)),IF($Z1202&lt;=4000,IF(INDEX(周转筐出入库明细!$Q$4:$Q$2004,$Z1202-2000)=0,"",INDEX(周转筐出入库明细!$Q$4:$Q$2004,$Z1202-2000)),IF($Z1202&lt;=5200,"",IF($Z1202&lt;=5800,IF(INDEX(次果筐明细!$M$4:$M$603,$Z1202-5200)=0,"",INDEX(次果筐明细!$M$4:$M$603,$Z1202-5200)),"")))))</f>
        <v/>
      </c>
      <c r="M1202" s="37" t="str">
        <f>IF($Z1202="","",IF($Z1202&lt;=2000,IF(INDEX(包装物料出入库明细!$R$4:$R$2003,$Z1202-0)=0,"",INDEX(包装物料出入库明细!$R$4:$R$2003,$Z1202-0)),IF($Z1202&lt;=4000,IF(INDEX(周转筐出入库明细!$W$4:$W$2004,$Z1202-2000)=0,"",INDEX(周转筐出入库明细!$W$4:$W$2004,$Z1202-2000)),IF($Z1202&lt;=5200,IF(INDEX(客户自备加工筐明细!$L$4:$L$1203,$Z1202-4000)=0,"",INDEX(客户自备加工筐明细!$L$4:$L$1203,$Z1202-4000)),IF($Z1202&lt;=5800,IF(INDEX(次果筐明细!$P$4:$P$603,$Z1202-5200)=0,"",INDEX(次果筐明细!$P$4:$P$603,$Z1202-5200)),"")))))</f>
        <v/>
      </c>
      <c r="N1202" s="16" t="str">
        <f>IF($Z1202="","",IF($Z1202&lt;=2000,"",IF($Z1202&lt;=4000,IF(INDEX(周转筐出入库明细!$D$4:$D$2004,$Z1202-2000)=0,"",INDEX(周转筐出入库明细!$D$4:$D$2004,$Z1202-2000)),IF($Z1202&lt;=5200,IF(INDEX(客户自备加工筐明细!$C$4:$C$1203,$Z1202-4000)=0,"",INDEX(客户自备加工筐明细!$C$4:$C$1203,$Z1202-4000)),IF($Z1202&lt;=5800,IF(INDEX(次果筐明细!$D$4:$D$603,$Z1202-5200)=0,"",INDEX(次果筐明细!$D$4:$D$603,$Z1202-5200)),"")))))</f>
        <v/>
      </c>
      <c r="O1202" s="40" t="str">
        <f>IF($Z1202="","",IF($Z1202&lt;=2000,"",IF($Z1202&lt;=4000,IF(N(INDEX(周转筐出入库明细!$J$4:$J$2004,$Z1202-2000))+N(INDEX(周转筐出入库明细!$K$4:$K$2004,$Z1202-2000))=0,"",N(INDEX(周转筐出入库明细!$J$4:$J$2004,$Z1202-2000))+N(INDEX(周转筐出入库明细!$K$4:$K$2004,$Z1202-2000))),IF($Z1202&lt;=5200,IF(N(INDEX(客户自备加工筐明细!$G$4:$G$1203,$Z1202-4000))=0,"",N(INDEX(客户自备加工筐明细!$G$4:$G$1203,$Z1202-4000))),IF($Z1202&lt;=5800,IF(ISNUMBER(SEARCH("退",INDEX(次果筐明细!$F$4:$F$603,$Z1202-5200)&amp;"")),"",IF(N(INDEX(次果筐明细!$G$4:$G$603,$Z1202-5200))=0,"",N(INDEX(次果筐明细!$G$4:$G$603,$Z1202-5200)))),"")))))</f>
        <v/>
      </c>
      <c r="P1202" s="40" t="str">
        <f>IF($Z1202="","",IF($Z1202&lt;=2000,"",IF($Z1202&lt;=4000,IF(N(INDEX(周转筐出入库明细!$I$4:$I$2004,$Z1202-2000))=0,"",N(INDEX(周转筐出入库明细!$I$4:$I$2004,$Z1202-2000))),IF($Z1202&lt;=5200,"",IF($Z1202&lt;=5800,IF(ISNUMBER(SEARCH("退",INDEX(次果筐明细!$F$4:$F$603,$Z1202-5200)&amp;"")),IF(N(INDEX(次果筐明细!$G$4:$G$603,$Z1202-5200))=0,"",N(INDEX(次果筐明细!$G$4:$G$603,$Z1202-5200))),""),"")))))</f>
        <v/>
      </c>
      <c r="Q1202" s="40" t="str">
        <f>IF($Z1202="","",IF($Z1202&lt;=2000,"",IF($Z1202&lt;=4000,IF(N(INDEX(周转筐出入库明细!$H$4:$H$2004,$Z1202-2000))=0,"",N(INDEX(周转筐出入库明细!$H$4:$H$2004,$Z1202-2000))),IF($Z1202&lt;=5200,IF(N(INDEX(客户自备加工筐明细!$F$4:$F$1203,$Z1202-4000))=0,"",N(INDEX(客户自备加工筐明细!$F$4:$F$1203,$Z1202-4000))),IF($Z1202&lt;=5800,"","")))))</f>
        <v/>
      </c>
      <c r="R1202" s="16" t="str">
        <f>IF($Z1202="","",IF($Z1202&lt;=2000,IF(INDEX(包装物料出入库明细!$O$4:$O$2003,$Z1202-0)=0,"",INDEX(包装物料出入库明细!$O$4:$O$2003,$Z1202-0)),IF($Z1202&lt;=4000,IF(INDEX(周转筐出入库明细!$M$4:$M$2004,$Z1202-2000)=0,"",INDEX(周转筐出入库明细!$M$4:$M$2004,$Z1202-2000)),IF($Z1202&lt;=5200,IF(INDEX(客户自备加工筐明细!$H$4:$H$1203,$Z1202-4000)=0,"",INDEX(客户自备加工筐明细!$H$4:$H$1203,$Z1202-4000)),IF($Z1202&lt;=5800,IF(INDEX(次果筐明细!$H$4:$H$603,$Z1202-5200)=0,"",INDEX(次果筐明细!$H$4:$H$603,$Z1202-5200)),"")))))</f>
        <v/>
      </c>
      <c r="S1202" s="22" t="str">
        <f t="shared" si="56"/>
        <v/>
      </c>
      <c r="Z1202" s="10" t="str">
        <f>IFERROR(MATCH(ROW()-3,_自动清单!$CQ$4:$CQ$5803,0),"")</f>
        <v/>
      </c>
    </row>
    <row r="1203" spans="1:26">
      <c r="A1203" s="24" t="str">
        <f t="shared" si="54"/>
        <v/>
      </c>
      <c r="B1203" s="38" t="str">
        <f>IF($Z1203="","",IF($Z1203&lt;=2000,IF(INDEX(包装物料出入库明细!$B$4:$B$2003,$Z1203-0)=0,"",INDEX(包装物料出入库明细!$B$4:$B$2003,$Z1203-0)),IF($Z1203&lt;=4000,IF(INDEX(周转筐出入库明细!$B$4:$B$2004,$Z1203-2000)=0,"",INDEX(周转筐出入库明细!$B$4:$B$2004,$Z1203-2000)),IF($Z1203&lt;=5200,IF(INDEX(客户自备加工筐明细!$B$4:$B$1203,$Z1203-4000)=0,"",INDEX(客户自备加工筐明细!$B$4:$B$1203,$Z1203-4000)),IF($Z1203&lt;=5800,IF(INDEX(次果筐明细!$B$4:$B$603,$Z1203-5200)=0,"",INDEX(次果筐明细!$B$4:$B$603,$Z1203-5200)),"")))))</f>
        <v/>
      </c>
      <c r="C1203" s="37" t="str">
        <f>IF($Z1203="","",IF($Z1203&lt;=2000,IF(INDEX(包装物料出入库明细!$D$4:$D$2003,$Z1203-0)=0,"",INDEX(包装物料出入库明细!$D$4:$D$2003,$Z1203-0)),IF($Z1203&lt;=4000,IF(INDEX(周转筐出入库明细!$C$4:$C$2004,$Z1203-2000)=0,"",INDEX(周转筐出入库明细!$C$4:$C$2004,$Z1203-2000)),IF($Z1203&lt;=5200,IF(INDEX(客户自备加工筐明细!$E$4:$E$1203,$Z1203-4000)=0,"",INDEX(客户自备加工筐明细!$E$4:$E$1203,$Z1203-4000)),IF($Z1203&lt;=5800,IF(INDEX(次果筐明细!$C$4:$C$603,$Z1203-5200)=0,"",INDEX(次果筐明细!$C$4:$C$603,$Z1203-5200)),"")))))</f>
        <v/>
      </c>
      <c r="D1203" s="37" t="str">
        <f>IF($Z1203="","",IF($Z1203&lt;=2000,"包装物料－"&amp;INDEX(包装物料出入库明细!$H$4:$H$2003,$Z1203-0),IF($Z1203&lt;=4000,"周转筐－"&amp;INDEX(周转筐出入库明细!$F$4:$F$2004,$Z1203-2000),IF($Z1203&lt;=5200,"客户自备筐－"&amp;INDEX(客户自备加工筐明细!$J$4:$J$1203,$Z1203-4000),IF($Z1203&lt;=5800,"次果筐/托盘－"&amp;INDEX(次果筐明细!$F$4:$F$603,$Z1203-5200),"")))))</f>
        <v/>
      </c>
      <c r="E1203" s="24" t="str">
        <f>IF($Z1203="","",IF($Z1203&lt;=2000,IF(INDEX(包装物料出入库明细!$C$4:$C$2003,$Z1203-0)=0,"",INDEX(包装物料出入库明细!$C$4:$C$2003,$Z1203-0)),IF($Z1203&lt;=4000,IF(INDEX(周转筐出入库明细!$E$4:$E$2004,$Z1203-2000)=0,"",INDEX(周转筐出入库明细!$E$4:$E$2004,$Z1203-2000)),IF($Z1203&lt;=5200,IF(INDEX(客户自备加工筐明细!$D$4:$D$1203,$Z1203-4000)=0,"",INDEX(客户自备加工筐明细!$D$4:$D$1203,$Z1203-4000)),IF($Z1203&lt;=5800,IF(INDEX(次果筐明细!$E$4:$E$603,$Z1203-5200)=0,"",INDEX(次果筐明细!$E$4:$E$603,$Z1203-5200)),"")))))</f>
        <v/>
      </c>
      <c r="F1203" s="24" t="str">
        <f>IF($Z1203="","",IF($Z1203&lt;=2000,IF(INDEX(包装物料出入库明细!$E$4:$E$2003,$Z1203-0)=0,"",INDEX(包装物料出入库明细!$E$4:$E$2003,$Z1203-0)),IF($Z1203&lt;=4000,IF(INDEX(周转筐出入库明细!$D$4:$D$2004,$Z1203-2000)=0,"",INDEX(周转筐出入库明细!$D$4:$D$2004,$Z1203-2000)),IF($Z1203&lt;=5200,IF(INDEX(客户自备加工筐明细!$C$4:$C$1203,$Z1203-4000)=0,"",INDEX(客户自备加工筐明细!$C$4:$C$1203,$Z1203-4000)),IF($Z1203&lt;=5800,IF(INDEX(次果筐明细!$D$4:$D$603,$Z1203-5200)=0,"",INDEX(次果筐明细!$D$4:$D$603,$Z1203-5200)),"")))))</f>
        <v/>
      </c>
      <c r="G1203" s="24" t="str">
        <f>IF($Z1203="","",IF($Z1203&lt;=2000,IF(INDEX(包装物料出入库明细!$F$4:$F$2003,$Z1203-0)=0,"",INDEX(包装物料出入库明细!$F$4:$F$2003,$Z1203-0)),IF($Z1203&lt;=4000,"",IF($Z1203&lt;=5200,"",IF($Z1203&lt;=5800,"","")))))</f>
        <v/>
      </c>
      <c r="H1203" s="39" t="str">
        <f>IF($Z1203="","",IF($Z1203&lt;=2000,IF(INDEX(包装物料出入库明细!$L$4:$L$2003,$Z1203-0)=0,"",INDEX(包装物料出入库明细!$L$4:$L$2003,$Z1203-0)),IF($Z1203&lt;=4000,N(INDEX(周转筐出入库明细!$H$4:$H$2004,$Z1203-2000))+N(INDEX(周转筐出入库明细!$I$4:$I$2004,$Z1203-2000))+N(INDEX(周转筐出入库明细!$J$4:$J$2004,$Z1203-2000))+N(INDEX(周转筐出入库明细!$K$4:$K$2004,$Z1203-2000)),IF($Z1203&lt;=5200,N(INDEX(客户自备加工筐明细!$F$4:$F$1203,$Z1203-4000))+N(INDEX(客户自备加工筐明细!$G$4:$G$1203,$Z1203-4000)),IF($Z1203&lt;=5800,IF(INDEX(次果筐明细!$G$4:$G$603,$Z1203-5200)=0,"",INDEX(次果筐明细!$G$4:$G$603,$Z1203-5200)),"")))))</f>
        <v/>
      </c>
      <c r="I1203" s="24" t="str">
        <f>IF($Z1203="","",IF($Z1203&lt;=2000,IF(INDEX(包装物料出入库明细!$G$4:$G$2003,$Z1203-0)=0,"",INDEX(包装物料出入库明细!$G$4:$G$2003,$Z1203-0)),IF($Z1203&lt;=4000,"个",IF($Z1203&lt;=5200,"个",IF($Z1203&lt;=5800,"个","")))))</f>
        <v/>
      </c>
      <c r="J1203" s="30" t="str">
        <f t="shared" si="55"/>
        <v/>
      </c>
      <c r="K1203" s="30" t="str">
        <f>IF($Z1203="","",IF($Z1203&lt;=2000,IF(INDEX(包装物料出入库明细!$N$4:$N$2003,$Z1203-0)=0,"",INDEX(包装物料出入库明细!$N$4:$N$2003,$Z1203-0)),IF($Z1203&lt;=4000,IF(INDEX(周转筐出入库明细!$P$4:$P$2004,$Z1203-2000)=0,"",INDEX(周转筐出入库明细!$P$4:$P$2004,$Z1203-2000)),IF($Z1203&lt;=5200,"",IF($Z1203&lt;=5800,N(INDEX(次果筐明细!$L$4:$L$603,$Z1203-5200))+N(INDEX(次果筐明细!$J$4:$J$603,$Z1203-5200)),"")))))</f>
        <v/>
      </c>
      <c r="L1203" s="24" t="str">
        <f>IF($Z1203="","",IF($Z1203&lt;=2000,IF(INDEX(包装物料出入库明细!$P$4:$P$2003,$Z1203-0)=0,"",INDEX(包装物料出入库明细!$P$4:$P$2003,$Z1203-0)),IF($Z1203&lt;=4000,IF(INDEX(周转筐出入库明细!$Q$4:$Q$2004,$Z1203-2000)=0,"",INDEX(周转筐出入库明细!$Q$4:$Q$2004,$Z1203-2000)),IF($Z1203&lt;=5200,"",IF($Z1203&lt;=5800,IF(INDEX(次果筐明细!$M$4:$M$603,$Z1203-5200)=0,"",INDEX(次果筐明细!$M$4:$M$603,$Z1203-5200)),"")))))</f>
        <v/>
      </c>
      <c r="M1203" s="37" t="str">
        <f>IF($Z1203="","",IF($Z1203&lt;=2000,IF(INDEX(包装物料出入库明细!$R$4:$R$2003,$Z1203-0)=0,"",INDEX(包装物料出入库明细!$R$4:$R$2003,$Z1203-0)),IF($Z1203&lt;=4000,IF(INDEX(周转筐出入库明细!$W$4:$W$2004,$Z1203-2000)=0,"",INDEX(周转筐出入库明细!$W$4:$W$2004,$Z1203-2000)),IF($Z1203&lt;=5200,IF(INDEX(客户自备加工筐明细!$L$4:$L$1203,$Z1203-4000)=0,"",INDEX(客户自备加工筐明细!$L$4:$L$1203,$Z1203-4000)),IF($Z1203&lt;=5800,IF(INDEX(次果筐明细!$P$4:$P$603,$Z1203-5200)=0,"",INDEX(次果筐明细!$P$4:$P$603,$Z1203-5200)),"")))))</f>
        <v/>
      </c>
      <c r="N1203" s="16" t="str">
        <f>IF($Z1203="","",IF($Z1203&lt;=2000,"",IF($Z1203&lt;=4000,IF(INDEX(周转筐出入库明细!$D$4:$D$2004,$Z1203-2000)=0,"",INDEX(周转筐出入库明细!$D$4:$D$2004,$Z1203-2000)),IF($Z1203&lt;=5200,IF(INDEX(客户自备加工筐明细!$C$4:$C$1203,$Z1203-4000)=0,"",INDEX(客户自备加工筐明细!$C$4:$C$1203,$Z1203-4000)),IF($Z1203&lt;=5800,IF(INDEX(次果筐明细!$D$4:$D$603,$Z1203-5200)=0,"",INDEX(次果筐明细!$D$4:$D$603,$Z1203-5200)),"")))))</f>
        <v/>
      </c>
      <c r="O1203" s="40" t="str">
        <f>IF($Z1203="","",IF($Z1203&lt;=2000,"",IF($Z1203&lt;=4000,IF(N(INDEX(周转筐出入库明细!$J$4:$J$2004,$Z1203-2000))+N(INDEX(周转筐出入库明细!$K$4:$K$2004,$Z1203-2000))=0,"",N(INDEX(周转筐出入库明细!$J$4:$J$2004,$Z1203-2000))+N(INDEX(周转筐出入库明细!$K$4:$K$2004,$Z1203-2000))),IF($Z1203&lt;=5200,IF(N(INDEX(客户自备加工筐明细!$G$4:$G$1203,$Z1203-4000))=0,"",N(INDEX(客户自备加工筐明细!$G$4:$G$1203,$Z1203-4000))),IF($Z1203&lt;=5800,IF(ISNUMBER(SEARCH("退",INDEX(次果筐明细!$F$4:$F$603,$Z1203-5200)&amp;"")),"",IF(N(INDEX(次果筐明细!$G$4:$G$603,$Z1203-5200))=0,"",N(INDEX(次果筐明细!$G$4:$G$603,$Z1203-5200)))),"")))))</f>
        <v/>
      </c>
      <c r="P1203" s="40" t="str">
        <f>IF($Z1203="","",IF($Z1203&lt;=2000,"",IF($Z1203&lt;=4000,IF(N(INDEX(周转筐出入库明细!$I$4:$I$2004,$Z1203-2000))=0,"",N(INDEX(周转筐出入库明细!$I$4:$I$2004,$Z1203-2000))),IF($Z1203&lt;=5200,"",IF($Z1203&lt;=5800,IF(ISNUMBER(SEARCH("退",INDEX(次果筐明细!$F$4:$F$603,$Z1203-5200)&amp;"")),IF(N(INDEX(次果筐明细!$G$4:$G$603,$Z1203-5200))=0,"",N(INDEX(次果筐明细!$G$4:$G$603,$Z1203-5200))),""),"")))))</f>
        <v/>
      </c>
      <c r="Q1203" s="40" t="str">
        <f>IF($Z1203="","",IF($Z1203&lt;=2000,"",IF($Z1203&lt;=4000,IF(N(INDEX(周转筐出入库明细!$H$4:$H$2004,$Z1203-2000))=0,"",N(INDEX(周转筐出入库明细!$H$4:$H$2004,$Z1203-2000))),IF($Z1203&lt;=5200,IF(N(INDEX(客户自备加工筐明细!$F$4:$F$1203,$Z1203-4000))=0,"",N(INDEX(客户自备加工筐明细!$F$4:$F$1203,$Z1203-4000))),IF($Z1203&lt;=5800,"","")))))</f>
        <v/>
      </c>
      <c r="R1203" s="16" t="str">
        <f>IF($Z1203="","",IF($Z1203&lt;=2000,IF(INDEX(包装物料出入库明细!$O$4:$O$2003,$Z1203-0)=0,"",INDEX(包装物料出入库明细!$O$4:$O$2003,$Z1203-0)),IF($Z1203&lt;=4000,IF(INDEX(周转筐出入库明细!$M$4:$M$2004,$Z1203-2000)=0,"",INDEX(周转筐出入库明细!$M$4:$M$2004,$Z1203-2000)),IF($Z1203&lt;=5200,IF(INDEX(客户自备加工筐明细!$H$4:$H$1203,$Z1203-4000)=0,"",INDEX(客户自备加工筐明细!$H$4:$H$1203,$Z1203-4000)),IF($Z1203&lt;=5800,IF(INDEX(次果筐明细!$H$4:$H$603,$Z1203-5200)=0,"",INDEX(次果筐明细!$H$4:$H$603,$Z1203-5200)),"")))))</f>
        <v/>
      </c>
      <c r="S1203" s="22" t="str">
        <f t="shared" si="56"/>
        <v/>
      </c>
      <c r="Z1203" s="10" t="str">
        <f>IFERROR(MATCH(ROW()-3,_自动清单!$CQ$4:$CQ$5803,0),"")</f>
        <v/>
      </c>
    </row>
  </sheetData>
  <mergeCells count="2">
    <mergeCell ref="A1:M1"/>
    <mergeCell ref="A2:M2"/>
  </mergeCells>
  <conditionalFormatting sqref="A2">
    <cfRule type="expression" dxfId="0" priority="1">
      <formula>(N(_自动清单!$CP$1)&gt;1200)</formula>
    </cfRule>
  </conditionalFormatting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459"/>
  <sheetViews>
    <sheetView showGridLines="0" workbookViewId="0">
      <pane ySplit="3" topLeftCell="A159" activePane="bottomLeft" state="frozen"/>
      <selection/>
      <selection pane="bottomLeft" activeCell="K1" sqref="K1"/>
    </sheetView>
  </sheetViews>
  <sheetFormatPr defaultColWidth="8.67619047619048" defaultRowHeight="15"/>
  <cols>
    <col min="1" max="1" width="6" customWidth="1"/>
    <col min="2" max="2" width="12" customWidth="1"/>
    <col min="3" max="3" width="22" customWidth="1"/>
    <col min="4" max="6" width="12" customWidth="1"/>
    <col min="7" max="7" width="15" customWidth="1"/>
    <col min="8" max="8" width="13" customWidth="1"/>
    <col min="9" max="9" width="18" customWidth="1"/>
    <col min="10" max="10" width="12" customWidth="1"/>
    <col min="11" max="11" width="10" customWidth="1"/>
    <col min="12" max="12" width="11" hidden="1" customWidth="1"/>
    <col min="13" max="13" width="14" customWidth="1"/>
  </cols>
  <sheetData>
    <row r="1" ht="30" customHeight="1" spans="1:15">
      <c r="A1" s="7" t="s">
        <v>585</v>
      </c>
      <c r="J1" s="8" t="s">
        <v>586</v>
      </c>
      <c r="K1" s="9">
        <f>_自动清单!$BS$1</f>
        <v>18</v>
      </c>
      <c r="M1" s="10" t="s">
        <v>587</v>
      </c>
      <c r="O1" s="11"/>
    </row>
    <row r="2" ht="20" customHeight="1" spans="1:15">
      <c r="A2" s="12" t="s">
        <v>588</v>
      </c>
      <c r="D2" s="13" t="s">
        <v>589</v>
      </c>
      <c r="E2" s="14"/>
      <c r="F2" s="15" t="s">
        <v>590</v>
      </c>
      <c r="G2" s="16" t="str">
        <f>IF($M$2="","（01 册还没填起始年月，也可以直接在 E2 填，例如 2026-8-1）",TEXT($M$2,"yyyy年m月")&amp;"　—　"&amp;TEXT(DATE(YEAR($M$2),MONTH($M$2)+23,1),"yyyy年m月"))</f>
        <v>（01 册还没填起始年月，也可以直接在 E2 填，例如 2026-8-1）</v>
      </c>
      <c r="H2" s="17"/>
      <c r="I2" s="18"/>
      <c r="J2" s="13"/>
      <c r="K2" s="19"/>
      <c r="M2" s="20" t="str">
        <f>IF($E$2&lt;&gt;"",$E$2,IFERROR(IF(财务取数接口!$E$2=0,"",财务取数接口!$E$2),""))</f>
        <v/>
      </c>
      <c r="O2" s="11"/>
    </row>
    <row r="3" ht="30" customHeight="1" spans="1:15">
      <c r="A3" s="21" t="s">
        <v>3</v>
      </c>
      <c r="B3" s="21" t="s">
        <v>591</v>
      </c>
      <c r="C3" s="21" t="s">
        <v>592</v>
      </c>
      <c r="D3" s="21" t="s">
        <v>593</v>
      </c>
      <c r="E3" s="21" t="s">
        <v>136</v>
      </c>
      <c r="F3" s="21" t="s">
        <v>594</v>
      </c>
      <c r="G3" s="21" t="s">
        <v>595</v>
      </c>
      <c r="H3" s="21" t="s">
        <v>500</v>
      </c>
      <c r="I3" s="21" t="s">
        <v>306</v>
      </c>
    </row>
    <row r="4" ht="18" customHeight="1" spans="1:15">
      <c r="A4" s="22" t="str">
        <f t="shared" ref="A4:A67" si="0">IF($B4="","",ROW()-3)</f>
        <v/>
      </c>
      <c r="B4" s="23" t="str">
        <f>IF($M$2="","",DATE(YEAR($M$2),MONTH($M$2)+0,1))</f>
        <v/>
      </c>
      <c r="C4" s="24" t="s">
        <v>596</v>
      </c>
      <c r="D4" s="25" t="str">
        <f>IF($B4="","",SUMIFS(周转筐出入库明细!$K$4:$K$2004,周转筐出入库明细!$F$4:$F$2004,"销售出库",周转筐出入库明细!$B$4:$B$2004,"&gt;="&amp;$B4,周转筐出入库明细!$B$4:$B$2004,"&lt;"&amp;$L4))</f>
        <v/>
      </c>
      <c r="E4" s="24" t="str">
        <f t="shared" ref="E4:E27" si="1">"个"</f>
        <v>个</v>
      </c>
      <c r="F4" s="26"/>
      <c r="G4" s="26" t="str">
        <f>IF($B4="","",ROUND(SUMIFS(周转筐出入库明细!$P$4:$P$2004,周转筐出入库明细!$F$4:$F$2004,"销售出库",周转筐出入库明细!$B$4:$B$2004,"&gt;="&amp;$B4,周转筐出入库明细!$B$4:$B$2004,"&lt;"&amp;$L4),2))</f>
        <v/>
      </c>
      <c r="H4" s="26" t="str">
        <f>IF($B4="","",ROUND(SUMIFS(周转筐出入库明细!$P$4:$P$2004,周转筐出入库明细!$F$4:$F$2004,"销售出库",周转筐出入库明细!$Q$4:$Q$2004,"已收讫",周转筐出入库明细!$B$4:$B$2004,"&gt;="&amp;$B4,周转筐出入库明细!$B$4:$B$2004,"&lt;"&amp;$L4),2))</f>
        <v/>
      </c>
      <c r="I4" s="27"/>
      <c r="L4" s="28" t="str">
        <f>IF($M$2="","",DATE(YEAR($M$2),MONTH($M$2)+1,1))</f>
        <v/>
      </c>
    </row>
    <row r="5" ht="18" customHeight="1" spans="1:15">
      <c r="A5" s="22" t="str">
        <f t="shared" si="0"/>
        <v/>
      </c>
      <c r="B5" s="23" t="str">
        <f>IF($M$2="","",DATE(YEAR($M$2),MONTH($M$2)+1,1))</f>
        <v/>
      </c>
      <c r="C5" s="24" t="s">
        <v>596</v>
      </c>
      <c r="D5" s="25" t="str">
        <f>IF($B5="","",SUMIFS(周转筐出入库明细!$K$4:$K$2004,周转筐出入库明细!$F$4:$F$2004,"销售出库",周转筐出入库明细!$B$4:$B$2004,"&gt;="&amp;$B5,周转筐出入库明细!$B$4:$B$2004,"&lt;"&amp;$L5))</f>
        <v/>
      </c>
      <c r="E5" s="24" t="str">
        <f t="shared" si="1"/>
        <v>个</v>
      </c>
      <c r="F5" s="26"/>
      <c r="G5" s="26" t="str">
        <f>IF($B5="","",ROUND(SUMIFS(周转筐出入库明细!$P$4:$P$2004,周转筐出入库明细!$F$4:$F$2004,"销售出库",周转筐出入库明细!$B$4:$B$2004,"&gt;="&amp;$B5,周转筐出入库明细!$B$4:$B$2004,"&lt;"&amp;$L5),2))</f>
        <v/>
      </c>
      <c r="H5" s="26" t="str">
        <f>IF($B5="","",ROUND(SUMIFS(周转筐出入库明细!$P$4:$P$2004,周转筐出入库明细!$F$4:$F$2004,"销售出库",周转筐出入库明细!$Q$4:$Q$2004,"已收讫",周转筐出入库明细!$B$4:$B$2004,"&gt;="&amp;$B5,周转筐出入库明细!$B$4:$B$2004,"&lt;"&amp;$L5),2))</f>
        <v/>
      </c>
      <c r="I5" s="27"/>
      <c r="L5" s="28" t="str">
        <f>IF($M$2="","",DATE(YEAR($M$2),MONTH($M$2)+2,1))</f>
        <v/>
      </c>
    </row>
    <row r="6" ht="18" customHeight="1" spans="1:15">
      <c r="A6" s="22" t="str">
        <f t="shared" si="0"/>
        <v/>
      </c>
      <c r="B6" s="23" t="str">
        <f>IF($M$2="","",DATE(YEAR($M$2),MONTH($M$2)+2,1))</f>
        <v/>
      </c>
      <c r="C6" s="24" t="s">
        <v>596</v>
      </c>
      <c r="D6" s="25" t="str">
        <f>IF($B6="","",SUMIFS(周转筐出入库明细!$K$4:$K$2004,周转筐出入库明细!$F$4:$F$2004,"销售出库",周转筐出入库明细!$B$4:$B$2004,"&gt;="&amp;$B6,周转筐出入库明细!$B$4:$B$2004,"&lt;"&amp;$L6))</f>
        <v/>
      </c>
      <c r="E6" s="24" t="str">
        <f t="shared" si="1"/>
        <v>个</v>
      </c>
      <c r="F6" s="26"/>
      <c r="G6" s="26" t="str">
        <f>IF($B6="","",ROUND(SUMIFS(周转筐出入库明细!$P$4:$P$2004,周转筐出入库明细!$F$4:$F$2004,"销售出库",周转筐出入库明细!$B$4:$B$2004,"&gt;="&amp;$B6,周转筐出入库明细!$B$4:$B$2004,"&lt;"&amp;$L6),2))</f>
        <v/>
      </c>
      <c r="H6" s="26" t="str">
        <f>IF($B6="","",ROUND(SUMIFS(周转筐出入库明细!$P$4:$P$2004,周转筐出入库明细!$F$4:$F$2004,"销售出库",周转筐出入库明细!$Q$4:$Q$2004,"已收讫",周转筐出入库明细!$B$4:$B$2004,"&gt;="&amp;$B6,周转筐出入库明细!$B$4:$B$2004,"&lt;"&amp;$L6),2))</f>
        <v/>
      </c>
      <c r="I6" s="27"/>
      <c r="L6" s="28" t="str">
        <f>IF($M$2="","",DATE(YEAR($M$2),MONTH($M$2)+3,1))</f>
        <v/>
      </c>
    </row>
    <row r="7" ht="18" customHeight="1" spans="1:15">
      <c r="A7" s="22" t="str">
        <f t="shared" si="0"/>
        <v/>
      </c>
      <c r="B7" s="23" t="str">
        <f>IF($M$2="","",DATE(YEAR($M$2),MONTH($M$2)+3,1))</f>
        <v/>
      </c>
      <c r="C7" s="24" t="s">
        <v>596</v>
      </c>
      <c r="D7" s="25" t="str">
        <f>IF($B7="","",SUMIFS(周转筐出入库明细!$K$4:$K$2004,周转筐出入库明细!$F$4:$F$2004,"销售出库",周转筐出入库明细!$B$4:$B$2004,"&gt;="&amp;$B7,周转筐出入库明细!$B$4:$B$2004,"&lt;"&amp;$L7))</f>
        <v/>
      </c>
      <c r="E7" s="24" t="str">
        <f t="shared" si="1"/>
        <v>个</v>
      </c>
      <c r="F7" s="26"/>
      <c r="G7" s="26" t="str">
        <f>IF($B7="","",ROUND(SUMIFS(周转筐出入库明细!$P$4:$P$2004,周转筐出入库明细!$F$4:$F$2004,"销售出库",周转筐出入库明细!$B$4:$B$2004,"&gt;="&amp;$B7,周转筐出入库明细!$B$4:$B$2004,"&lt;"&amp;$L7),2))</f>
        <v/>
      </c>
      <c r="H7" s="26" t="str">
        <f>IF($B7="","",ROUND(SUMIFS(周转筐出入库明细!$P$4:$P$2004,周转筐出入库明细!$F$4:$F$2004,"销售出库",周转筐出入库明细!$Q$4:$Q$2004,"已收讫",周转筐出入库明细!$B$4:$B$2004,"&gt;="&amp;$B7,周转筐出入库明细!$B$4:$B$2004,"&lt;"&amp;$L7),2))</f>
        <v/>
      </c>
      <c r="I7" s="27"/>
      <c r="L7" s="28" t="str">
        <f>IF($M$2="","",DATE(YEAR($M$2),MONTH($M$2)+4,1))</f>
        <v/>
      </c>
    </row>
    <row r="8" ht="18" customHeight="1" spans="1:15">
      <c r="A8" s="22" t="str">
        <f t="shared" si="0"/>
        <v/>
      </c>
      <c r="B8" s="23" t="str">
        <f>IF($M$2="","",DATE(YEAR($M$2),MONTH($M$2)+4,1))</f>
        <v/>
      </c>
      <c r="C8" s="24" t="s">
        <v>596</v>
      </c>
      <c r="D8" s="25" t="str">
        <f>IF($B8="","",SUMIFS(周转筐出入库明细!$K$4:$K$2004,周转筐出入库明细!$F$4:$F$2004,"销售出库",周转筐出入库明细!$B$4:$B$2004,"&gt;="&amp;$B8,周转筐出入库明细!$B$4:$B$2004,"&lt;"&amp;$L8))</f>
        <v/>
      </c>
      <c r="E8" s="24" t="str">
        <f t="shared" si="1"/>
        <v>个</v>
      </c>
      <c r="F8" s="26"/>
      <c r="G8" s="26" t="str">
        <f>IF($B8="","",ROUND(SUMIFS(周转筐出入库明细!$P$4:$P$2004,周转筐出入库明细!$F$4:$F$2004,"销售出库",周转筐出入库明细!$B$4:$B$2004,"&gt;="&amp;$B8,周转筐出入库明细!$B$4:$B$2004,"&lt;"&amp;$L8),2))</f>
        <v/>
      </c>
      <c r="H8" s="26" t="str">
        <f>IF($B8="","",ROUND(SUMIFS(周转筐出入库明细!$P$4:$P$2004,周转筐出入库明细!$F$4:$F$2004,"销售出库",周转筐出入库明细!$Q$4:$Q$2004,"已收讫",周转筐出入库明细!$B$4:$B$2004,"&gt;="&amp;$B8,周转筐出入库明细!$B$4:$B$2004,"&lt;"&amp;$L8),2))</f>
        <v/>
      </c>
      <c r="I8" s="27"/>
      <c r="L8" s="28" t="str">
        <f>IF($M$2="","",DATE(YEAR($M$2),MONTH($M$2)+5,1))</f>
        <v/>
      </c>
    </row>
    <row r="9" ht="18" customHeight="1" spans="1:15">
      <c r="A9" s="22" t="str">
        <f t="shared" si="0"/>
        <v/>
      </c>
      <c r="B9" s="23" t="str">
        <f>IF($M$2="","",DATE(YEAR($M$2),MONTH($M$2)+5,1))</f>
        <v/>
      </c>
      <c r="C9" s="24" t="s">
        <v>596</v>
      </c>
      <c r="D9" s="25" t="str">
        <f>IF($B9="","",SUMIFS(周转筐出入库明细!$K$4:$K$2004,周转筐出入库明细!$F$4:$F$2004,"销售出库",周转筐出入库明细!$B$4:$B$2004,"&gt;="&amp;$B9,周转筐出入库明细!$B$4:$B$2004,"&lt;"&amp;$L9))</f>
        <v/>
      </c>
      <c r="E9" s="24" t="str">
        <f t="shared" si="1"/>
        <v>个</v>
      </c>
      <c r="F9" s="26"/>
      <c r="G9" s="26" t="str">
        <f>IF($B9="","",ROUND(SUMIFS(周转筐出入库明细!$P$4:$P$2004,周转筐出入库明细!$F$4:$F$2004,"销售出库",周转筐出入库明细!$B$4:$B$2004,"&gt;="&amp;$B9,周转筐出入库明细!$B$4:$B$2004,"&lt;"&amp;$L9),2))</f>
        <v/>
      </c>
      <c r="H9" s="26" t="str">
        <f>IF($B9="","",ROUND(SUMIFS(周转筐出入库明细!$P$4:$P$2004,周转筐出入库明细!$F$4:$F$2004,"销售出库",周转筐出入库明细!$Q$4:$Q$2004,"已收讫",周转筐出入库明细!$B$4:$B$2004,"&gt;="&amp;$B9,周转筐出入库明细!$B$4:$B$2004,"&lt;"&amp;$L9),2))</f>
        <v/>
      </c>
      <c r="I9" s="27"/>
      <c r="L9" s="28" t="str">
        <f>IF($M$2="","",DATE(YEAR($M$2),MONTH($M$2)+6,1))</f>
        <v/>
      </c>
    </row>
    <row r="10" ht="18" customHeight="1" spans="1:15">
      <c r="A10" s="22" t="str">
        <f t="shared" si="0"/>
        <v/>
      </c>
      <c r="B10" s="23" t="str">
        <f>IF($M$2="","",DATE(YEAR($M$2),MONTH($M$2)+6,1))</f>
        <v/>
      </c>
      <c r="C10" s="24" t="s">
        <v>596</v>
      </c>
      <c r="D10" s="25" t="str">
        <f>IF($B10="","",SUMIFS(周转筐出入库明细!$K$4:$K$2004,周转筐出入库明细!$F$4:$F$2004,"销售出库",周转筐出入库明细!$B$4:$B$2004,"&gt;="&amp;$B10,周转筐出入库明细!$B$4:$B$2004,"&lt;"&amp;$L10))</f>
        <v/>
      </c>
      <c r="E10" s="24" t="str">
        <f t="shared" si="1"/>
        <v>个</v>
      </c>
      <c r="F10" s="26"/>
      <c r="G10" s="26" t="str">
        <f>IF($B10="","",ROUND(SUMIFS(周转筐出入库明细!$P$4:$P$2004,周转筐出入库明细!$F$4:$F$2004,"销售出库",周转筐出入库明细!$B$4:$B$2004,"&gt;="&amp;$B10,周转筐出入库明细!$B$4:$B$2004,"&lt;"&amp;$L10),2))</f>
        <v/>
      </c>
      <c r="H10" s="26" t="str">
        <f>IF($B10="","",ROUND(SUMIFS(周转筐出入库明细!$P$4:$P$2004,周转筐出入库明细!$F$4:$F$2004,"销售出库",周转筐出入库明细!$Q$4:$Q$2004,"已收讫",周转筐出入库明细!$B$4:$B$2004,"&gt;="&amp;$B10,周转筐出入库明细!$B$4:$B$2004,"&lt;"&amp;$L10),2))</f>
        <v/>
      </c>
      <c r="I10" s="27"/>
      <c r="L10" s="28" t="str">
        <f>IF($M$2="","",DATE(YEAR($M$2),MONTH($M$2)+7,1))</f>
        <v/>
      </c>
    </row>
    <row r="11" ht="18" customHeight="1" spans="1:15">
      <c r="A11" s="22" t="str">
        <f t="shared" si="0"/>
        <v/>
      </c>
      <c r="B11" s="23" t="str">
        <f>IF($M$2="","",DATE(YEAR($M$2),MONTH($M$2)+7,1))</f>
        <v/>
      </c>
      <c r="C11" s="24" t="s">
        <v>596</v>
      </c>
      <c r="D11" s="25" t="str">
        <f>IF($B11="","",SUMIFS(周转筐出入库明细!$K$4:$K$2004,周转筐出入库明细!$F$4:$F$2004,"销售出库",周转筐出入库明细!$B$4:$B$2004,"&gt;="&amp;$B11,周转筐出入库明细!$B$4:$B$2004,"&lt;"&amp;$L11))</f>
        <v/>
      </c>
      <c r="E11" s="24" t="str">
        <f t="shared" si="1"/>
        <v>个</v>
      </c>
      <c r="F11" s="26"/>
      <c r="G11" s="26" t="str">
        <f>IF($B11="","",ROUND(SUMIFS(周转筐出入库明细!$P$4:$P$2004,周转筐出入库明细!$F$4:$F$2004,"销售出库",周转筐出入库明细!$B$4:$B$2004,"&gt;="&amp;$B11,周转筐出入库明细!$B$4:$B$2004,"&lt;"&amp;$L11),2))</f>
        <v/>
      </c>
      <c r="H11" s="26" t="str">
        <f>IF($B11="","",ROUND(SUMIFS(周转筐出入库明细!$P$4:$P$2004,周转筐出入库明细!$F$4:$F$2004,"销售出库",周转筐出入库明细!$Q$4:$Q$2004,"已收讫",周转筐出入库明细!$B$4:$B$2004,"&gt;="&amp;$B11,周转筐出入库明细!$B$4:$B$2004,"&lt;"&amp;$L11),2))</f>
        <v/>
      </c>
      <c r="I11" s="27"/>
      <c r="L11" s="28" t="str">
        <f>IF($M$2="","",DATE(YEAR($M$2),MONTH($M$2)+8,1))</f>
        <v/>
      </c>
    </row>
    <row r="12" ht="18" customHeight="1" spans="1:15">
      <c r="A12" s="22" t="str">
        <f t="shared" si="0"/>
        <v/>
      </c>
      <c r="B12" s="23" t="str">
        <f>IF($M$2="","",DATE(YEAR($M$2),MONTH($M$2)+8,1))</f>
        <v/>
      </c>
      <c r="C12" s="24" t="s">
        <v>596</v>
      </c>
      <c r="D12" s="25" t="str">
        <f>IF($B12="","",SUMIFS(周转筐出入库明细!$K$4:$K$2004,周转筐出入库明细!$F$4:$F$2004,"销售出库",周转筐出入库明细!$B$4:$B$2004,"&gt;="&amp;$B12,周转筐出入库明细!$B$4:$B$2004,"&lt;"&amp;$L12))</f>
        <v/>
      </c>
      <c r="E12" s="24" t="str">
        <f t="shared" si="1"/>
        <v>个</v>
      </c>
      <c r="F12" s="26"/>
      <c r="G12" s="26" t="str">
        <f>IF($B12="","",ROUND(SUMIFS(周转筐出入库明细!$P$4:$P$2004,周转筐出入库明细!$F$4:$F$2004,"销售出库",周转筐出入库明细!$B$4:$B$2004,"&gt;="&amp;$B12,周转筐出入库明细!$B$4:$B$2004,"&lt;"&amp;$L12),2))</f>
        <v/>
      </c>
      <c r="H12" s="26" t="str">
        <f>IF($B12="","",ROUND(SUMIFS(周转筐出入库明细!$P$4:$P$2004,周转筐出入库明细!$F$4:$F$2004,"销售出库",周转筐出入库明细!$Q$4:$Q$2004,"已收讫",周转筐出入库明细!$B$4:$B$2004,"&gt;="&amp;$B12,周转筐出入库明细!$B$4:$B$2004,"&lt;"&amp;$L12),2))</f>
        <v/>
      </c>
      <c r="I12" s="27"/>
      <c r="L12" s="28" t="str">
        <f>IF($M$2="","",DATE(YEAR($M$2),MONTH($M$2)+9,1))</f>
        <v/>
      </c>
    </row>
    <row r="13" ht="18" customHeight="1" spans="1:15">
      <c r="A13" s="22" t="str">
        <f t="shared" si="0"/>
        <v/>
      </c>
      <c r="B13" s="23" t="str">
        <f>IF($M$2="","",DATE(YEAR($M$2),MONTH($M$2)+9,1))</f>
        <v/>
      </c>
      <c r="C13" s="24" t="s">
        <v>596</v>
      </c>
      <c r="D13" s="25" t="str">
        <f>IF($B13="","",SUMIFS(周转筐出入库明细!$K$4:$K$2004,周转筐出入库明细!$F$4:$F$2004,"销售出库",周转筐出入库明细!$B$4:$B$2004,"&gt;="&amp;$B13,周转筐出入库明细!$B$4:$B$2004,"&lt;"&amp;$L13))</f>
        <v/>
      </c>
      <c r="E13" s="24" t="str">
        <f t="shared" si="1"/>
        <v>个</v>
      </c>
      <c r="F13" s="26"/>
      <c r="G13" s="26" t="str">
        <f>IF($B13="","",ROUND(SUMIFS(周转筐出入库明细!$P$4:$P$2004,周转筐出入库明细!$F$4:$F$2004,"销售出库",周转筐出入库明细!$B$4:$B$2004,"&gt;="&amp;$B13,周转筐出入库明细!$B$4:$B$2004,"&lt;"&amp;$L13),2))</f>
        <v/>
      </c>
      <c r="H13" s="26" t="str">
        <f>IF($B13="","",ROUND(SUMIFS(周转筐出入库明细!$P$4:$P$2004,周转筐出入库明细!$F$4:$F$2004,"销售出库",周转筐出入库明细!$Q$4:$Q$2004,"已收讫",周转筐出入库明细!$B$4:$B$2004,"&gt;="&amp;$B13,周转筐出入库明细!$B$4:$B$2004,"&lt;"&amp;$L13),2))</f>
        <v/>
      </c>
      <c r="I13" s="27"/>
      <c r="L13" s="28" t="str">
        <f>IF($M$2="","",DATE(YEAR($M$2),MONTH($M$2)+10,1))</f>
        <v/>
      </c>
    </row>
    <row r="14" ht="18" customHeight="1" spans="1:15">
      <c r="A14" s="22" t="str">
        <f t="shared" si="0"/>
        <v/>
      </c>
      <c r="B14" s="23" t="str">
        <f>IF($M$2="","",DATE(YEAR($M$2),MONTH($M$2)+10,1))</f>
        <v/>
      </c>
      <c r="C14" s="24" t="s">
        <v>596</v>
      </c>
      <c r="D14" s="25" t="str">
        <f>IF($B14="","",SUMIFS(周转筐出入库明细!$K$4:$K$2004,周转筐出入库明细!$F$4:$F$2004,"销售出库",周转筐出入库明细!$B$4:$B$2004,"&gt;="&amp;$B14,周转筐出入库明细!$B$4:$B$2004,"&lt;"&amp;$L14))</f>
        <v/>
      </c>
      <c r="E14" s="24" t="str">
        <f t="shared" si="1"/>
        <v>个</v>
      </c>
      <c r="F14" s="26"/>
      <c r="G14" s="26" t="str">
        <f>IF($B14="","",ROUND(SUMIFS(周转筐出入库明细!$P$4:$P$2004,周转筐出入库明细!$F$4:$F$2004,"销售出库",周转筐出入库明细!$B$4:$B$2004,"&gt;="&amp;$B14,周转筐出入库明细!$B$4:$B$2004,"&lt;"&amp;$L14),2))</f>
        <v/>
      </c>
      <c r="H14" s="26" t="str">
        <f>IF($B14="","",ROUND(SUMIFS(周转筐出入库明细!$P$4:$P$2004,周转筐出入库明细!$F$4:$F$2004,"销售出库",周转筐出入库明细!$Q$4:$Q$2004,"已收讫",周转筐出入库明细!$B$4:$B$2004,"&gt;="&amp;$B14,周转筐出入库明细!$B$4:$B$2004,"&lt;"&amp;$L14),2))</f>
        <v/>
      </c>
      <c r="I14" s="27"/>
      <c r="L14" s="28" t="str">
        <f>IF($M$2="","",DATE(YEAR($M$2),MONTH($M$2)+11,1))</f>
        <v/>
      </c>
    </row>
    <row r="15" ht="18" customHeight="1" spans="1:15">
      <c r="A15" s="22" t="str">
        <f t="shared" si="0"/>
        <v/>
      </c>
      <c r="B15" s="23" t="str">
        <f>IF($M$2="","",DATE(YEAR($M$2),MONTH($M$2)+11,1))</f>
        <v/>
      </c>
      <c r="C15" s="24" t="s">
        <v>596</v>
      </c>
      <c r="D15" s="25" t="str">
        <f>IF($B15="","",SUMIFS(周转筐出入库明细!$K$4:$K$2004,周转筐出入库明细!$F$4:$F$2004,"销售出库",周转筐出入库明细!$B$4:$B$2004,"&gt;="&amp;$B15,周转筐出入库明细!$B$4:$B$2004,"&lt;"&amp;$L15))</f>
        <v/>
      </c>
      <c r="E15" s="24" t="str">
        <f t="shared" si="1"/>
        <v>个</v>
      </c>
      <c r="F15" s="26"/>
      <c r="G15" s="26" t="str">
        <f>IF($B15="","",ROUND(SUMIFS(周转筐出入库明细!$P$4:$P$2004,周转筐出入库明细!$F$4:$F$2004,"销售出库",周转筐出入库明细!$B$4:$B$2004,"&gt;="&amp;$B15,周转筐出入库明细!$B$4:$B$2004,"&lt;"&amp;$L15),2))</f>
        <v/>
      </c>
      <c r="H15" s="26" t="str">
        <f>IF($B15="","",ROUND(SUMIFS(周转筐出入库明细!$P$4:$P$2004,周转筐出入库明细!$F$4:$F$2004,"销售出库",周转筐出入库明细!$Q$4:$Q$2004,"已收讫",周转筐出入库明细!$B$4:$B$2004,"&gt;="&amp;$B15,周转筐出入库明细!$B$4:$B$2004,"&lt;"&amp;$L15),2))</f>
        <v/>
      </c>
      <c r="I15" s="27"/>
      <c r="L15" s="28" t="str">
        <f>IF($M$2="","",DATE(YEAR($M$2),MONTH($M$2)+12,1))</f>
        <v/>
      </c>
    </row>
    <row r="16" ht="18" customHeight="1" spans="1:15">
      <c r="A16" s="22" t="str">
        <f t="shared" si="0"/>
        <v/>
      </c>
      <c r="B16" s="23" t="str">
        <f>IF($M$2="","",DATE(YEAR($M$2),MONTH($M$2)+12,1))</f>
        <v/>
      </c>
      <c r="C16" s="24" t="s">
        <v>596</v>
      </c>
      <c r="D16" s="25" t="str">
        <f>IF($B16="","",SUMIFS(周转筐出入库明细!$K$4:$K$2004,周转筐出入库明细!$F$4:$F$2004,"销售出库",周转筐出入库明细!$B$4:$B$2004,"&gt;="&amp;$B16,周转筐出入库明细!$B$4:$B$2004,"&lt;"&amp;$L16))</f>
        <v/>
      </c>
      <c r="E16" s="24" t="str">
        <f t="shared" si="1"/>
        <v>个</v>
      </c>
      <c r="F16" s="26"/>
      <c r="G16" s="26" t="str">
        <f>IF($B16="","",ROUND(SUMIFS(周转筐出入库明细!$P$4:$P$2004,周转筐出入库明细!$F$4:$F$2004,"销售出库",周转筐出入库明细!$B$4:$B$2004,"&gt;="&amp;$B16,周转筐出入库明细!$B$4:$B$2004,"&lt;"&amp;$L16),2))</f>
        <v/>
      </c>
      <c r="H16" s="26" t="str">
        <f>IF($B16="","",ROUND(SUMIFS(周转筐出入库明细!$P$4:$P$2004,周转筐出入库明细!$F$4:$F$2004,"销售出库",周转筐出入库明细!$Q$4:$Q$2004,"已收讫",周转筐出入库明细!$B$4:$B$2004,"&gt;="&amp;$B16,周转筐出入库明细!$B$4:$B$2004,"&lt;"&amp;$L16),2))</f>
        <v/>
      </c>
      <c r="I16" s="27"/>
      <c r="L16" s="28" t="str">
        <f>IF($M$2="","",DATE(YEAR($M$2),MONTH($M$2)+13,1))</f>
        <v/>
      </c>
    </row>
    <row r="17" ht="18" customHeight="1" spans="1:12">
      <c r="A17" s="22" t="str">
        <f t="shared" si="0"/>
        <v/>
      </c>
      <c r="B17" s="23" t="str">
        <f>IF($M$2="","",DATE(YEAR($M$2),MONTH($M$2)+13,1))</f>
        <v/>
      </c>
      <c r="C17" s="24" t="s">
        <v>596</v>
      </c>
      <c r="D17" s="25" t="str">
        <f>IF($B17="","",SUMIFS(周转筐出入库明细!$K$4:$K$2004,周转筐出入库明细!$F$4:$F$2004,"销售出库",周转筐出入库明细!$B$4:$B$2004,"&gt;="&amp;$B17,周转筐出入库明细!$B$4:$B$2004,"&lt;"&amp;$L17))</f>
        <v/>
      </c>
      <c r="E17" s="24" t="str">
        <f t="shared" si="1"/>
        <v>个</v>
      </c>
      <c r="F17" s="26"/>
      <c r="G17" s="26" t="str">
        <f>IF($B17="","",ROUND(SUMIFS(周转筐出入库明细!$P$4:$P$2004,周转筐出入库明细!$F$4:$F$2004,"销售出库",周转筐出入库明细!$B$4:$B$2004,"&gt;="&amp;$B17,周转筐出入库明细!$B$4:$B$2004,"&lt;"&amp;$L17),2))</f>
        <v/>
      </c>
      <c r="H17" s="26" t="str">
        <f>IF($B17="","",ROUND(SUMIFS(周转筐出入库明细!$P$4:$P$2004,周转筐出入库明细!$F$4:$F$2004,"销售出库",周转筐出入库明细!$Q$4:$Q$2004,"已收讫",周转筐出入库明细!$B$4:$B$2004,"&gt;="&amp;$B17,周转筐出入库明细!$B$4:$B$2004,"&lt;"&amp;$L17),2))</f>
        <v/>
      </c>
      <c r="I17" s="27"/>
      <c r="L17" s="28" t="str">
        <f>IF($M$2="","",DATE(YEAR($M$2),MONTH($M$2)+14,1))</f>
        <v/>
      </c>
    </row>
    <row r="18" ht="18" customHeight="1" spans="1:12">
      <c r="A18" s="22" t="str">
        <f t="shared" si="0"/>
        <v/>
      </c>
      <c r="B18" s="23" t="str">
        <f>IF($M$2="","",DATE(YEAR($M$2),MONTH($M$2)+14,1))</f>
        <v/>
      </c>
      <c r="C18" s="24" t="s">
        <v>596</v>
      </c>
      <c r="D18" s="25" t="str">
        <f>IF($B18="","",SUMIFS(周转筐出入库明细!$K$4:$K$2004,周转筐出入库明细!$F$4:$F$2004,"销售出库",周转筐出入库明细!$B$4:$B$2004,"&gt;="&amp;$B18,周转筐出入库明细!$B$4:$B$2004,"&lt;"&amp;$L18))</f>
        <v/>
      </c>
      <c r="E18" s="24" t="str">
        <f t="shared" si="1"/>
        <v>个</v>
      </c>
      <c r="F18" s="26"/>
      <c r="G18" s="26" t="str">
        <f>IF($B18="","",ROUND(SUMIFS(周转筐出入库明细!$P$4:$P$2004,周转筐出入库明细!$F$4:$F$2004,"销售出库",周转筐出入库明细!$B$4:$B$2004,"&gt;="&amp;$B18,周转筐出入库明细!$B$4:$B$2004,"&lt;"&amp;$L18),2))</f>
        <v/>
      </c>
      <c r="H18" s="26" t="str">
        <f>IF($B18="","",ROUND(SUMIFS(周转筐出入库明细!$P$4:$P$2004,周转筐出入库明细!$F$4:$F$2004,"销售出库",周转筐出入库明细!$Q$4:$Q$2004,"已收讫",周转筐出入库明细!$B$4:$B$2004,"&gt;="&amp;$B18,周转筐出入库明细!$B$4:$B$2004,"&lt;"&amp;$L18),2))</f>
        <v/>
      </c>
      <c r="I18" s="27"/>
      <c r="L18" s="28" t="str">
        <f>IF($M$2="","",DATE(YEAR($M$2),MONTH($M$2)+15,1))</f>
        <v/>
      </c>
    </row>
    <row r="19" ht="18" customHeight="1" spans="1:12">
      <c r="A19" s="22" t="str">
        <f t="shared" si="0"/>
        <v/>
      </c>
      <c r="B19" s="23" t="str">
        <f>IF($M$2="","",DATE(YEAR($M$2),MONTH($M$2)+15,1))</f>
        <v/>
      </c>
      <c r="C19" s="24" t="s">
        <v>596</v>
      </c>
      <c r="D19" s="25" t="str">
        <f>IF($B19="","",SUMIFS(周转筐出入库明细!$K$4:$K$2004,周转筐出入库明细!$F$4:$F$2004,"销售出库",周转筐出入库明细!$B$4:$B$2004,"&gt;="&amp;$B19,周转筐出入库明细!$B$4:$B$2004,"&lt;"&amp;$L19))</f>
        <v/>
      </c>
      <c r="E19" s="24" t="str">
        <f t="shared" si="1"/>
        <v>个</v>
      </c>
      <c r="F19" s="26"/>
      <c r="G19" s="26" t="str">
        <f>IF($B19="","",ROUND(SUMIFS(周转筐出入库明细!$P$4:$P$2004,周转筐出入库明细!$F$4:$F$2004,"销售出库",周转筐出入库明细!$B$4:$B$2004,"&gt;="&amp;$B19,周转筐出入库明细!$B$4:$B$2004,"&lt;"&amp;$L19),2))</f>
        <v/>
      </c>
      <c r="H19" s="26" t="str">
        <f>IF($B19="","",ROUND(SUMIFS(周转筐出入库明细!$P$4:$P$2004,周转筐出入库明细!$F$4:$F$2004,"销售出库",周转筐出入库明细!$Q$4:$Q$2004,"已收讫",周转筐出入库明细!$B$4:$B$2004,"&gt;="&amp;$B19,周转筐出入库明细!$B$4:$B$2004,"&lt;"&amp;$L19),2))</f>
        <v/>
      </c>
      <c r="I19" s="27"/>
      <c r="L19" s="28" t="str">
        <f>IF($M$2="","",DATE(YEAR($M$2),MONTH($M$2)+16,1))</f>
        <v/>
      </c>
    </row>
    <row r="20" ht="18" customHeight="1" spans="1:12">
      <c r="A20" s="22" t="str">
        <f t="shared" si="0"/>
        <v/>
      </c>
      <c r="B20" s="23" t="str">
        <f>IF($M$2="","",DATE(YEAR($M$2),MONTH($M$2)+16,1))</f>
        <v/>
      </c>
      <c r="C20" s="24" t="s">
        <v>596</v>
      </c>
      <c r="D20" s="25" t="str">
        <f>IF($B20="","",SUMIFS(周转筐出入库明细!$K$4:$K$2004,周转筐出入库明细!$F$4:$F$2004,"销售出库",周转筐出入库明细!$B$4:$B$2004,"&gt;="&amp;$B20,周转筐出入库明细!$B$4:$B$2004,"&lt;"&amp;$L20))</f>
        <v/>
      </c>
      <c r="E20" s="24" t="str">
        <f t="shared" si="1"/>
        <v>个</v>
      </c>
      <c r="F20" s="26"/>
      <c r="G20" s="26" t="str">
        <f>IF($B20="","",ROUND(SUMIFS(周转筐出入库明细!$P$4:$P$2004,周转筐出入库明细!$F$4:$F$2004,"销售出库",周转筐出入库明细!$B$4:$B$2004,"&gt;="&amp;$B20,周转筐出入库明细!$B$4:$B$2004,"&lt;"&amp;$L20),2))</f>
        <v/>
      </c>
      <c r="H20" s="26" t="str">
        <f>IF($B20="","",ROUND(SUMIFS(周转筐出入库明细!$P$4:$P$2004,周转筐出入库明细!$F$4:$F$2004,"销售出库",周转筐出入库明细!$Q$4:$Q$2004,"已收讫",周转筐出入库明细!$B$4:$B$2004,"&gt;="&amp;$B20,周转筐出入库明细!$B$4:$B$2004,"&lt;"&amp;$L20),2))</f>
        <v/>
      </c>
      <c r="I20" s="27"/>
      <c r="L20" s="28" t="str">
        <f>IF($M$2="","",DATE(YEAR($M$2),MONTH($M$2)+17,1))</f>
        <v/>
      </c>
    </row>
    <row r="21" ht="18" customHeight="1" spans="1:12">
      <c r="A21" s="22" t="str">
        <f t="shared" si="0"/>
        <v/>
      </c>
      <c r="B21" s="23" t="str">
        <f>IF($M$2="","",DATE(YEAR($M$2),MONTH($M$2)+17,1))</f>
        <v/>
      </c>
      <c r="C21" s="24" t="s">
        <v>596</v>
      </c>
      <c r="D21" s="25" t="str">
        <f>IF($B21="","",SUMIFS(周转筐出入库明细!$K$4:$K$2004,周转筐出入库明细!$F$4:$F$2004,"销售出库",周转筐出入库明细!$B$4:$B$2004,"&gt;="&amp;$B21,周转筐出入库明细!$B$4:$B$2004,"&lt;"&amp;$L21))</f>
        <v/>
      </c>
      <c r="E21" s="24" t="str">
        <f t="shared" si="1"/>
        <v>个</v>
      </c>
      <c r="F21" s="26"/>
      <c r="G21" s="26" t="str">
        <f>IF($B21="","",ROUND(SUMIFS(周转筐出入库明细!$P$4:$P$2004,周转筐出入库明细!$F$4:$F$2004,"销售出库",周转筐出入库明细!$B$4:$B$2004,"&gt;="&amp;$B21,周转筐出入库明细!$B$4:$B$2004,"&lt;"&amp;$L21),2))</f>
        <v/>
      </c>
      <c r="H21" s="26" t="str">
        <f>IF($B21="","",ROUND(SUMIFS(周转筐出入库明细!$P$4:$P$2004,周转筐出入库明细!$F$4:$F$2004,"销售出库",周转筐出入库明细!$Q$4:$Q$2004,"已收讫",周转筐出入库明细!$B$4:$B$2004,"&gt;="&amp;$B21,周转筐出入库明细!$B$4:$B$2004,"&lt;"&amp;$L21),2))</f>
        <v/>
      </c>
      <c r="I21" s="27"/>
      <c r="L21" s="28" t="str">
        <f>IF($M$2="","",DATE(YEAR($M$2),MONTH($M$2)+18,1))</f>
        <v/>
      </c>
    </row>
    <row r="22" ht="18" customHeight="1" spans="1:12">
      <c r="A22" s="22" t="str">
        <f t="shared" si="0"/>
        <v/>
      </c>
      <c r="B22" s="23" t="str">
        <f>IF($M$2="","",DATE(YEAR($M$2),MONTH($M$2)+18,1))</f>
        <v/>
      </c>
      <c r="C22" s="24" t="s">
        <v>596</v>
      </c>
      <c r="D22" s="25" t="str">
        <f>IF($B22="","",SUMIFS(周转筐出入库明细!$K$4:$K$2004,周转筐出入库明细!$F$4:$F$2004,"销售出库",周转筐出入库明细!$B$4:$B$2004,"&gt;="&amp;$B22,周转筐出入库明细!$B$4:$B$2004,"&lt;"&amp;$L22))</f>
        <v/>
      </c>
      <c r="E22" s="24" t="str">
        <f t="shared" si="1"/>
        <v>个</v>
      </c>
      <c r="F22" s="26"/>
      <c r="G22" s="26" t="str">
        <f>IF($B22="","",ROUND(SUMIFS(周转筐出入库明细!$P$4:$P$2004,周转筐出入库明细!$F$4:$F$2004,"销售出库",周转筐出入库明细!$B$4:$B$2004,"&gt;="&amp;$B22,周转筐出入库明细!$B$4:$B$2004,"&lt;"&amp;$L22),2))</f>
        <v/>
      </c>
      <c r="H22" s="26" t="str">
        <f>IF($B22="","",ROUND(SUMIFS(周转筐出入库明细!$P$4:$P$2004,周转筐出入库明细!$F$4:$F$2004,"销售出库",周转筐出入库明细!$Q$4:$Q$2004,"已收讫",周转筐出入库明细!$B$4:$B$2004,"&gt;="&amp;$B22,周转筐出入库明细!$B$4:$B$2004,"&lt;"&amp;$L22),2))</f>
        <v/>
      </c>
      <c r="I22" s="27"/>
      <c r="L22" s="28" t="str">
        <f>IF($M$2="","",DATE(YEAR($M$2),MONTH($M$2)+19,1))</f>
        <v/>
      </c>
    </row>
    <row r="23" ht="18" customHeight="1" spans="1:12">
      <c r="A23" s="22" t="str">
        <f t="shared" si="0"/>
        <v/>
      </c>
      <c r="B23" s="23" t="str">
        <f>IF($M$2="","",DATE(YEAR($M$2),MONTH($M$2)+19,1))</f>
        <v/>
      </c>
      <c r="C23" s="24" t="s">
        <v>596</v>
      </c>
      <c r="D23" s="25" t="str">
        <f>IF($B23="","",SUMIFS(周转筐出入库明细!$K$4:$K$2004,周转筐出入库明细!$F$4:$F$2004,"销售出库",周转筐出入库明细!$B$4:$B$2004,"&gt;="&amp;$B23,周转筐出入库明细!$B$4:$B$2004,"&lt;"&amp;$L23))</f>
        <v/>
      </c>
      <c r="E23" s="24" t="str">
        <f t="shared" si="1"/>
        <v>个</v>
      </c>
      <c r="F23" s="26"/>
      <c r="G23" s="26" t="str">
        <f>IF($B23="","",ROUND(SUMIFS(周转筐出入库明细!$P$4:$P$2004,周转筐出入库明细!$F$4:$F$2004,"销售出库",周转筐出入库明细!$B$4:$B$2004,"&gt;="&amp;$B23,周转筐出入库明细!$B$4:$B$2004,"&lt;"&amp;$L23),2))</f>
        <v/>
      </c>
      <c r="H23" s="26" t="str">
        <f>IF($B23="","",ROUND(SUMIFS(周转筐出入库明细!$P$4:$P$2004,周转筐出入库明细!$F$4:$F$2004,"销售出库",周转筐出入库明细!$Q$4:$Q$2004,"已收讫",周转筐出入库明细!$B$4:$B$2004,"&gt;="&amp;$B23,周转筐出入库明细!$B$4:$B$2004,"&lt;"&amp;$L23),2))</f>
        <v/>
      </c>
      <c r="I23" s="27"/>
      <c r="L23" s="28" t="str">
        <f>IF($M$2="","",DATE(YEAR($M$2),MONTH($M$2)+20,1))</f>
        <v/>
      </c>
    </row>
    <row r="24" ht="18" customHeight="1" spans="1:12">
      <c r="A24" s="22" t="str">
        <f t="shared" si="0"/>
        <v/>
      </c>
      <c r="B24" s="23" t="str">
        <f>IF($M$2="","",DATE(YEAR($M$2),MONTH($M$2)+20,1))</f>
        <v/>
      </c>
      <c r="C24" s="24" t="s">
        <v>596</v>
      </c>
      <c r="D24" s="25" t="str">
        <f>IF($B24="","",SUMIFS(周转筐出入库明细!$K$4:$K$2004,周转筐出入库明细!$F$4:$F$2004,"销售出库",周转筐出入库明细!$B$4:$B$2004,"&gt;="&amp;$B24,周转筐出入库明细!$B$4:$B$2004,"&lt;"&amp;$L24))</f>
        <v/>
      </c>
      <c r="E24" s="24" t="str">
        <f t="shared" si="1"/>
        <v>个</v>
      </c>
      <c r="F24" s="26"/>
      <c r="G24" s="26" t="str">
        <f>IF($B24="","",ROUND(SUMIFS(周转筐出入库明细!$P$4:$P$2004,周转筐出入库明细!$F$4:$F$2004,"销售出库",周转筐出入库明细!$B$4:$B$2004,"&gt;="&amp;$B24,周转筐出入库明细!$B$4:$B$2004,"&lt;"&amp;$L24),2))</f>
        <v/>
      </c>
      <c r="H24" s="26" t="str">
        <f>IF($B24="","",ROUND(SUMIFS(周转筐出入库明细!$P$4:$P$2004,周转筐出入库明细!$F$4:$F$2004,"销售出库",周转筐出入库明细!$Q$4:$Q$2004,"已收讫",周转筐出入库明细!$B$4:$B$2004,"&gt;="&amp;$B24,周转筐出入库明细!$B$4:$B$2004,"&lt;"&amp;$L24),2))</f>
        <v/>
      </c>
      <c r="I24" s="27"/>
      <c r="L24" s="28" t="str">
        <f>IF($M$2="","",DATE(YEAR($M$2),MONTH($M$2)+21,1))</f>
        <v/>
      </c>
    </row>
    <row r="25" ht="18" customHeight="1" spans="1:12">
      <c r="A25" s="22" t="str">
        <f t="shared" si="0"/>
        <v/>
      </c>
      <c r="B25" s="23" t="str">
        <f>IF($M$2="","",DATE(YEAR($M$2),MONTH($M$2)+21,1))</f>
        <v/>
      </c>
      <c r="C25" s="24" t="s">
        <v>596</v>
      </c>
      <c r="D25" s="25" t="str">
        <f>IF($B25="","",SUMIFS(周转筐出入库明细!$K$4:$K$2004,周转筐出入库明细!$F$4:$F$2004,"销售出库",周转筐出入库明细!$B$4:$B$2004,"&gt;="&amp;$B25,周转筐出入库明细!$B$4:$B$2004,"&lt;"&amp;$L25))</f>
        <v/>
      </c>
      <c r="E25" s="24" t="str">
        <f t="shared" si="1"/>
        <v>个</v>
      </c>
      <c r="F25" s="26"/>
      <c r="G25" s="26" t="str">
        <f>IF($B25="","",ROUND(SUMIFS(周转筐出入库明细!$P$4:$P$2004,周转筐出入库明细!$F$4:$F$2004,"销售出库",周转筐出入库明细!$B$4:$B$2004,"&gt;="&amp;$B25,周转筐出入库明细!$B$4:$B$2004,"&lt;"&amp;$L25),2))</f>
        <v/>
      </c>
      <c r="H25" s="26" t="str">
        <f>IF($B25="","",ROUND(SUMIFS(周转筐出入库明细!$P$4:$P$2004,周转筐出入库明细!$F$4:$F$2004,"销售出库",周转筐出入库明细!$Q$4:$Q$2004,"已收讫",周转筐出入库明细!$B$4:$B$2004,"&gt;="&amp;$B25,周转筐出入库明细!$B$4:$B$2004,"&lt;"&amp;$L25),2))</f>
        <v/>
      </c>
      <c r="I25" s="27"/>
      <c r="L25" s="28" t="str">
        <f>IF($M$2="","",DATE(YEAR($M$2),MONTH($M$2)+22,1))</f>
        <v/>
      </c>
    </row>
    <row r="26" ht="18" customHeight="1" spans="1:12">
      <c r="A26" s="22" t="str">
        <f t="shared" si="0"/>
        <v/>
      </c>
      <c r="B26" s="23" t="str">
        <f>IF($M$2="","",DATE(YEAR($M$2),MONTH($M$2)+22,1))</f>
        <v/>
      </c>
      <c r="C26" s="24" t="s">
        <v>596</v>
      </c>
      <c r="D26" s="25" t="str">
        <f>IF($B26="","",SUMIFS(周转筐出入库明细!$K$4:$K$2004,周转筐出入库明细!$F$4:$F$2004,"销售出库",周转筐出入库明细!$B$4:$B$2004,"&gt;="&amp;$B26,周转筐出入库明细!$B$4:$B$2004,"&lt;"&amp;$L26))</f>
        <v/>
      </c>
      <c r="E26" s="24" t="str">
        <f t="shared" si="1"/>
        <v>个</v>
      </c>
      <c r="F26" s="26"/>
      <c r="G26" s="26" t="str">
        <f>IF($B26="","",ROUND(SUMIFS(周转筐出入库明细!$P$4:$P$2004,周转筐出入库明细!$F$4:$F$2004,"销售出库",周转筐出入库明细!$B$4:$B$2004,"&gt;="&amp;$B26,周转筐出入库明细!$B$4:$B$2004,"&lt;"&amp;$L26),2))</f>
        <v/>
      </c>
      <c r="H26" s="26" t="str">
        <f>IF($B26="","",ROUND(SUMIFS(周转筐出入库明细!$P$4:$P$2004,周转筐出入库明细!$F$4:$F$2004,"销售出库",周转筐出入库明细!$Q$4:$Q$2004,"已收讫",周转筐出入库明细!$B$4:$B$2004,"&gt;="&amp;$B26,周转筐出入库明细!$B$4:$B$2004,"&lt;"&amp;$L26),2))</f>
        <v/>
      </c>
      <c r="I26" s="27"/>
      <c r="L26" s="28" t="str">
        <f>IF($M$2="","",DATE(YEAR($M$2),MONTH($M$2)+23,1))</f>
        <v/>
      </c>
    </row>
    <row r="27" ht="18" customHeight="1" spans="1:12">
      <c r="A27" s="22" t="str">
        <f t="shared" si="0"/>
        <v/>
      </c>
      <c r="B27" s="23" t="str">
        <f>IF($M$2="","",DATE(YEAR($M$2),MONTH($M$2)+23,1))</f>
        <v/>
      </c>
      <c r="C27" s="24" t="s">
        <v>596</v>
      </c>
      <c r="D27" s="25" t="str">
        <f>IF($B27="","",SUMIFS(周转筐出入库明细!$K$4:$K$2004,周转筐出入库明细!$F$4:$F$2004,"销售出库",周转筐出入库明细!$B$4:$B$2004,"&gt;="&amp;$B27,周转筐出入库明细!$B$4:$B$2004,"&lt;"&amp;$L27))</f>
        <v/>
      </c>
      <c r="E27" s="24" t="str">
        <f t="shared" si="1"/>
        <v>个</v>
      </c>
      <c r="F27" s="26"/>
      <c r="G27" s="26" t="str">
        <f>IF($B27="","",ROUND(SUMIFS(周转筐出入库明细!$P$4:$P$2004,周转筐出入库明细!$F$4:$F$2004,"销售出库",周转筐出入库明细!$B$4:$B$2004,"&gt;="&amp;$B27,周转筐出入库明细!$B$4:$B$2004,"&lt;"&amp;$L27),2))</f>
        <v/>
      </c>
      <c r="H27" s="26" t="str">
        <f>IF($B27="","",ROUND(SUMIFS(周转筐出入库明细!$P$4:$P$2004,周转筐出入库明细!$F$4:$F$2004,"销售出库",周转筐出入库明细!$Q$4:$Q$2004,"已收讫",周转筐出入库明细!$B$4:$B$2004,"&gt;="&amp;$B27,周转筐出入库明细!$B$4:$B$2004,"&lt;"&amp;$L27),2))</f>
        <v/>
      </c>
      <c r="I27" s="27"/>
      <c r="L27" s="28" t="str">
        <f>IF($M$2="","",DATE(YEAR($M$2),MONTH($M$2)+24,1))</f>
        <v/>
      </c>
    </row>
    <row r="28" ht="18" customHeight="1" spans="1:12">
      <c r="A28" s="22" t="str">
        <f t="shared" si="0"/>
        <v/>
      </c>
      <c r="B28" s="23" t="str">
        <f>IF($M$2="","",DATE(YEAR($M$2),MONTH($M$2)+0,1))</f>
        <v/>
      </c>
      <c r="C28" s="24" t="s">
        <v>597</v>
      </c>
      <c r="D28" s="25" t="str">
        <f>IF($B28="","",SUMIFS(包装物料出入库明细!$J$4:$J$2003,包装物料出入库明细!$H$4:$H$2003,"销售出库",包装物料出入库明细!$B$4:$B$2003,"&gt;="&amp;$B28,包装物料出入库明细!$B$4:$B$2003,"&lt;"&amp;$L28))</f>
        <v/>
      </c>
      <c r="E28" s="24" t="str">
        <f>_自动清单!$CE$1</f>
        <v>包</v>
      </c>
      <c r="F28" s="26"/>
      <c r="G28" s="26" t="str">
        <f>IF($B28="","",ROUND(SUMIFS(包装物料出入库明细!$N$4:$N$2003,包装物料出入库明细!$H$4:$H$2003,"销售出库",包装物料出入库明细!$B$4:$B$2003,"&gt;="&amp;$B28,包装物料出入库明细!$B$4:$B$2003,"&lt;"&amp;$L28),2))</f>
        <v/>
      </c>
      <c r="H28" s="26" t="str">
        <f>IF($B28="","",ROUND(SUMIFS(包装物料出入库明细!$N$4:$N$2003,包装物料出入库明细!$H$4:$H$2003,"销售出库",包装物料出入库明细!$P$4:$P$2003,"已收讫",包装物料出入库明细!$B$4:$B$2003,"&gt;="&amp;$B28,包装物料出入库明细!$B$4:$B$2003,"&lt;"&amp;$L28),2))</f>
        <v/>
      </c>
      <c r="I28" s="27"/>
      <c r="L28" s="28" t="str">
        <f>IF($M$2="","",DATE(YEAR($M$2),MONTH($M$2)+1,1))</f>
        <v/>
      </c>
    </row>
    <row r="29" ht="18" customHeight="1" spans="1:12">
      <c r="A29" s="22" t="str">
        <f t="shared" si="0"/>
        <v/>
      </c>
      <c r="B29" s="23" t="str">
        <f>IF($M$2="","",DATE(YEAR($M$2),MONTH($M$2)+1,1))</f>
        <v/>
      </c>
      <c r="C29" s="24" t="s">
        <v>597</v>
      </c>
      <c r="D29" s="25" t="str">
        <f>IF($B29="","",SUMIFS(包装物料出入库明细!$J$4:$J$2003,包装物料出入库明细!$H$4:$H$2003,"销售出库",包装物料出入库明细!$B$4:$B$2003,"&gt;="&amp;$B29,包装物料出入库明细!$B$4:$B$2003,"&lt;"&amp;$L29))</f>
        <v/>
      </c>
      <c r="E29" s="24" t="str">
        <f>_自动清单!$CE$1</f>
        <v>包</v>
      </c>
      <c r="F29" s="26"/>
      <c r="G29" s="26" t="str">
        <f>IF($B29="","",ROUND(SUMIFS(包装物料出入库明细!$N$4:$N$2003,包装物料出入库明细!$H$4:$H$2003,"销售出库",包装物料出入库明细!$B$4:$B$2003,"&gt;="&amp;$B29,包装物料出入库明细!$B$4:$B$2003,"&lt;"&amp;$L29),2))</f>
        <v/>
      </c>
      <c r="H29" s="26" t="str">
        <f>IF($B29="","",ROUND(SUMIFS(包装物料出入库明细!$N$4:$N$2003,包装物料出入库明细!$H$4:$H$2003,"销售出库",包装物料出入库明细!$P$4:$P$2003,"已收讫",包装物料出入库明细!$B$4:$B$2003,"&gt;="&amp;$B29,包装物料出入库明细!$B$4:$B$2003,"&lt;"&amp;$L29),2))</f>
        <v/>
      </c>
      <c r="I29" s="27"/>
      <c r="L29" s="28" t="str">
        <f>IF($M$2="","",DATE(YEAR($M$2),MONTH($M$2)+2,1))</f>
        <v/>
      </c>
    </row>
    <row r="30" ht="18" customHeight="1" spans="1:12">
      <c r="A30" s="22" t="str">
        <f t="shared" si="0"/>
        <v/>
      </c>
      <c r="B30" s="23" t="str">
        <f>IF($M$2="","",DATE(YEAR($M$2),MONTH($M$2)+2,1))</f>
        <v/>
      </c>
      <c r="C30" s="24" t="s">
        <v>597</v>
      </c>
      <c r="D30" s="25" t="str">
        <f>IF($B30="","",SUMIFS(包装物料出入库明细!$J$4:$J$2003,包装物料出入库明细!$H$4:$H$2003,"销售出库",包装物料出入库明细!$B$4:$B$2003,"&gt;="&amp;$B30,包装物料出入库明细!$B$4:$B$2003,"&lt;"&amp;$L30))</f>
        <v/>
      </c>
      <c r="E30" s="24" t="str">
        <f>_自动清单!$CE$1</f>
        <v>包</v>
      </c>
      <c r="F30" s="26"/>
      <c r="G30" s="26" t="str">
        <f>IF($B30="","",ROUND(SUMIFS(包装物料出入库明细!$N$4:$N$2003,包装物料出入库明细!$H$4:$H$2003,"销售出库",包装物料出入库明细!$B$4:$B$2003,"&gt;="&amp;$B30,包装物料出入库明细!$B$4:$B$2003,"&lt;"&amp;$L30),2))</f>
        <v/>
      </c>
      <c r="H30" s="26" t="str">
        <f>IF($B30="","",ROUND(SUMIFS(包装物料出入库明细!$N$4:$N$2003,包装物料出入库明细!$H$4:$H$2003,"销售出库",包装物料出入库明细!$P$4:$P$2003,"已收讫",包装物料出入库明细!$B$4:$B$2003,"&gt;="&amp;$B30,包装物料出入库明细!$B$4:$B$2003,"&lt;"&amp;$L30),2))</f>
        <v/>
      </c>
      <c r="I30" s="27"/>
      <c r="L30" s="28" t="str">
        <f>IF($M$2="","",DATE(YEAR($M$2),MONTH($M$2)+3,1))</f>
        <v/>
      </c>
    </row>
    <row r="31" ht="18" customHeight="1" spans="1:12">
      <c r="A31" s="22" t="str">
        <f t="shared" si="0"/>
        <v/>
      </c>
      <c r="B31" s="23" t="str">
        <f>IF($M$2="","",DATE(YEAR($M$2),MONTH($M$2)+3,1))</f>
        <v/>
      </c>
      <c r="C31" s="24" t="s">
        <v>597</v>
      </c>
      <c r="D31" s="25" t="str">
        <f>IF($B31="","",SUMIFS(包装物料出入库明细!$J$4:$J$2003,包装物料出入库明细!$H$4:$H$2003,"销售出库",包装物料出入库明细!$B$4:$B$2003,"&gt;="&amp;$B31,包装物料出入库明细!$B$4:$B$2003,"&lt;"&amp;$L31))</f>
        <v/>
      </c>
      <c r="E31" s="24" t="str">
        <f>_自动清单!$CE$1</f>
        <v>包</v>
      </c>
      <c r="F31" s="26"/>
      <c r="G31" s="26" t="str">
        <f>IF($B31="","",ROUND(SUMIFS(包装物料出入库明细!$N$4:$N$2003,包装物料出入库明细!$H$4:$H$2003,"销售出库",包装物料出入库明细!$B$4:$B$2003,"&gt;="&amp;$B31,包装物料出入库明细!$B$4:$B$2003,"&lt;"&amp;$L31),2))</f>
        <v/>
      </c>
      <c r="H31" s="26" t="str">
        <f>IF($B31="","",ROUND(SUMIFS(包装物料出入库明细!$N$4:$N$2003,包装物料出入库明细!$H$4:$H$2003,"销售出库",包装物料出入库明细!$P$4:$P$2003,"已收讫",包装物料出入库明细!$B$4:$B$2003,"&gt;="&amp;$B31,包装物料出入库明细!$B$4:$B$2003,"&lt;"&amp;$L31),2))</f>
        <v/>
      </c>
      <c r="I31" s="27"/>
      <c r="L31" s="28" t="str">
        <f>IF($M$2="","",DATE(YEAR($M$2),MONTH($M$2)+4,1))</f>
        <v/>
      </c>
    </row>
    <row r="32" ht="18" customHeight="1" spans="1:12">
      <c r="A32" s="22" t="str">
        <f t="shared" si="0"/>
        <v/>
      </c>
      <c r="B32" s="23" t="str">
        <f>IF($M$2="","",DATE(YEAR($M$2),MONTH($M$2)+4,1))</f>
        <v/>
      </c>
      <c r="C32" s="24" t="s">
        <v>597</v>
      </c>
      <c r="D32" s="25" t="str">
        <f>IF($B32="","",SUMIFS(包装物料出入库明细!$J$4:$J$2003,包装物料出入库明细!$H$4:$H$2003,"销售出库",包装物料出入库明细!$B$4:$B$2003,"&gt;="&amp;$B32,包装物料出入库明细!$B$4:$B$2003,"&lt;"&amp;$L32))</f>
        <v/>
      </c>
      <c r="E32" s="24" t="str">
        <f>_自动清单!$CE$1</f>
        <v>包</v>
      </c>
      <c r="F32" s="26"/>
      <c r="G32" s="26" t="str">
        <f>IF($B32="","",ROUND(SUMIFS(包装物料出入库明细!$N$4:$N$2003,包装物料出入库明细!$H$4:$H$2003,"销售出库",包装物料出入库明细!$B$4:$B$2003,"&gt;="&amp;$B32,包装物料出入库明细!$B$4:$B$2003,"&lt;"&amp;$L32),2))</f>
        <v/>
      </c>
      <c r="H32" s="26" t="str">
        <f>IF($B32="","",ROUND(SUMIFS(包装物料出入库明细!$N$4:$N$2003,包装物料出入库明细!$H$4:$H$2003,"销售出库",包装物料出入库明细!$P$4:$P$2003,"已收讫",包装物料出入库明细!$B$4:$B$2003,"&gt;="&amp;$B32,包装物料出入库明细!$B$4:$B$2003,"&lt;"&amp;$L32),2))</f>
        <v/>
      </c>
      <c r="I32" s="27"/>
      <c r="L32" s="28" t="str">
        <f>IF($M$2="","",DATE(YEAR($M$2),MONTH($M$2)+5,1))</f>
        <v/>
      </c>
    </row>
    <row r="33" ht="18" customHeight="1" spans="1:12">
      <c r="A33" s="22" t="str">
        <f t="shared" si="0"/>
        <v/>
      </c>
      <c r="B33" s="23" t="str">
        <f>IF($M$2="","",DATE(YEAR($M$2),MONTH($M$2)+5,1))</f>
        <v/>
      </c>
      <c r="C33" s="24" t="s">
        <v>597</v>
      </c>
      <c r="D33" s="25" t="str">
        <f>IF($B33="","",SUMIFS(包装物料出入库明细!$J$4:$J$2003,包装物料出入库明细!$H$4:$H$2003,"销售出库",包装物料出入库明细!$B$4:$B$2003,"&gt;="&amp;$B33,包装物料出入库明细!$B$4:$B$2003,"&lt;"&amp;$L33))</f>
        <v/>
      </c>
      <c r="E33" s="24" t="str">
        <f>_自动清单!$CE$1</f>
        <v>包</v>
      </c>
      <c r="F33" s="26"/>
      <c r="G33" s="26" t="str">
        <f>IF($B33="","",ROUND(SUMIFS(包装物料出入库明细!$N$4:$N$2003,包装物料出入库明细!$H$4:$H$2003,"销售出库",包装物料出入库明细!$B$4:$B$2003,"&gt;="&amp;$B33,包装物料出入库明细!$B$4:$B$2003,"&lt;"&amp;$L33),2))</f>
        <v/>
      </c>
      <c r="H33" s="26" t="str">
        <f>IF($B33="","",ROUND(SUMIFS(包装物料出入库明细!$N$4:$N$2003,包装物料出入库明细!$H$4:$H$2003,"销售出库",包装物料出入库明细!$P$4:$P$2003,"已收讫",包装物料出入库明细!$B$4:$B$2003,"&gt;="&amp;$B33,包装物料出入库明细!$B$4:$B$2003,"&lt;"&amp;$L33),2))</f>
        <v/>
      </c>
      <c r="I33" s="27"/>
      <c r="L33" s="28" t="str">
        <f>IF($M$2="","",DATE(YEAR($M$2),MONTH($M$2)+6,1))</f>
        <v/>
      </c>
    </row>
    <row r="34" ht="18" customHeight="1" spans="1:12">
      <c r="A34" s="22" t="str">
        <f t="shared" si="0"/>
        <v/>
      </c>
      <c r="B34" s="23" t="str">
        <f>IF($M$2="","",DATE(YEAR($M$2),MONTH($M$2)+6,1))</f>
        <v/>
      </c>
      <c r="C34" s="24" t="s">
        <v>597</v>
      </c>
      <c r="D34" s="25" t="str">
        <f>IF($B34="","",SUMIFS(包装物料出入库明细!$J$4:$J$2003,包装物料出入库明细!$H$4:$H$2003,"销售出库",包装物料出入库明细!$B$4:$B$2003,"&gt;="&amp;$B34,包装物料出入库明细!$B$4:$B$2003,"&lt;"&amp;$L34))</f>
        <v/>
      </c>
      <c r="E34" s="24" t="str">
        <f>_自动清单!$CE$1</f>
        <v>包</v>
      </c>
      <c r="F34" s="26"/>
      <c r="G34" s="26" t="str">
        <f>IF($B34="","",ROUND(SUMIFS(包装物料出入库明细!$N$4:$N$2003,包装物料出入库明细!$H$4:$H$2003,"销售出库",包装物料出入库明细!$B$4:$B$2003,"&gt;="&amp;$B34,包装物料出入库明细!$B$4:$B$2003,"&lt;"&amp;$L34),2))</f>
        <v/>
      </c>
      <c r="H34" s="26" t="str">
        <f>IF($B34="","",ROUND(SUMIFS(包装物料出入库明细!$N$4:$N$2003,包装物料出入库明细!$H$4:$H$2003,"销售出库",包装物料出入库明细!$P$4:$P$2003,"已收讫",包装物料出入库明细!$B$4:$B$2003,"&gt;="&amp;$B34,包装物料出入库明细!$B$4:$B$2003,"&lt;"&amp;$L34),2))</f>
        <v/>
      </c>
      <c r="I34" s="27"/>
      <c r="L34" s="28" t="str">
        <f>IF($M$2="","",DATE(YEAR($M$2),MONTH($M$2)+7,1))</f>
        <v/>
      </c>
    </row>
    <row r="35" ht="18" customHeight="1" spans="1:12">
      <c r="A35" s="22" t="str">
        <f t="shared" si="0"/>
        <v/>
      </c>
      <c r="B35" s="23" t="str">
        <f>IF($M$2="","",DATE(YEAR($M$2),MONTH($M$2)+7,1))</f>
        <v/>
      </c>
      <c r="C35" s="24" t="s">
        <v>597</v>
      </c>
      <c r="D35" s="25" t="str">
        <f>IF($B35="","",SUMIFS(包装物料出入库明细!$J$4:$J$2003,包装物料出入库明细!$H$4:$H$2003,"销售出库",包装物料出入库明细!$B$4:$B$2003,"&gt;="&amp;$B35,包装物料出入库明细!$B$4:$B$2003,"&lt;"&amp;$L35))</f>
        <v/>
      </c>
      <c r="E35" s="24" t="str">
        <f>_自动清单!$CE$1</f>
        <v>包</v>
      </c>
      <c r="F35" s="26"/>
      <c r="G35" s="26" t="str">
        <f>IF($B35="","",ROUND(SUMIFS(包装物料出入库明细!$N$4:$N$2003,包装物料出入库明细!$H$4:$H$2003,"销售出库",包装物料出入库明细!$B$4:$B$2003,"&gt;="&amp;$B35,包装物料出入库明细!$B$4:$B$2003,"&lt;"&amp;$L35),2))</f>
        <v/>
      </c>
      <c r="H35" s="26" t="str">
        <f>IF($B35="","",ROUND(SUMIFS(包装物料出入库明细!$N$4:$N$2003,包装物料出入库明细!$H$4:$H$2003,"销售出库",包装物料出入库明细!$P$4:$P$2003,"已收讫",包装物料出入库明细!$B$4:$B$2003,"&gt;="&amp;$B35,包装物料出入库明细!$B$4:$B$2003,"&lt;"&amp;$L35),2))</f>
        <v/>
      </c>
      <c r="I35" s="27"/>
      <c r="L35" s="28" t="str">
        <f>IF($M$2="","",DATE(YEAR($M$2),MONTH($M$2)+8,1))</f>
        <v/>
      </c>
    </row>
    <row r="36" ht="18" customHeight="1" spans="1:12">
      <c r="A36" s="22" t="str">
        <f t="shared" si="0"/>
        <v/>
      </c>
      <c r="B36" s="23" t="str">
        <f>IF($M$2="","",DATE(YEAR($M$2),MONTH($M$2)+8,1))</f>
        <v/>
      </c>
      <c r="C36" s="24" t="s">
        <v>597</v>
      </c>
      <c r="D36" s="25" t="str">
        <f>IF($B36="","",SUMIFS(包装物料出入库明细!$J$4:$J$2003,包装物料出入库明细!$H$4:$H$2003,"销售出库",包装物料出入库明细!$B$4:$B$2003,"&gt;="&amp;$B36,包装物料出入库明细!$B$4:$B$2003,"&lt;"&amp;$L36))</f>
        <v/>
      </c>
      <c r="E36" s="24" t="str">
        <f>_自动清单!$CE$1</f>
        <v>包</v>
      </c>
      <c r="F36" s="26"/>
      <c r="G36" s="26" t="str">
        <f>IF($B36="","",ROUND(SUMIFS(包装物料出入库明细!$N$4:$N$2003,包装物料出入库明细!$H$4:$H$2003,"销售出库",包装物料出入库明细!$B$4:$B$2003,"&gt;="&amp;$B36,包装物料出入库明细!$B$4:$B$2003,"&lt;"&amp;$L36),2))</f>
        <v/>
      </c>
      <c r="H36" s="26" t="str">
        <f>IF($B36="","",ROUND(SUMIFS(包装物料出入库明细!$N$4:$N$2003,包装物料出入库明细!$H$4:$H$2003,"销售出库",包装物料出入库明细!$P$4:$P$2003,"已收讫",包装物料出入库明细!$B$4:$B$2003,"&gt;="&amp;$B36,包装物料出入库明细!$B$4:$B$2003,"&lt;"&amp;$L36),2))</f>
        <v/>
      </c>
      <c r="I36" s="27"/>
      <c r="L36" s="28" t="str">
        <f>IF($M$2="","",DATE(YEAR($M$2),MONTH($M$2)+9,1))</f>
        <v/>
      </c>
    </row>
    <row r="37" ht="18" customHeight="1" spans="1:12">
      <c r="A37" s="22" t="str">
        <f t="shared" si="0"/>
        <v/>
      </c>
      <c r="B37" s="23" t="str">
        <f>IF($M$2="","",DATE(YEAR($M$2),MONTH($M$2)+9,1))</f>
        <v/>
      </c>
      <c r="C37" s="24" t="s">
        <v>597</v>
      </c>
      <c r="D37" s="25" t="str">
        <f>IF($B37="","",SUMIFS(包装物料出入库明细!$J$4:$J$2003,包装物料出入库明细!$H$4:$H$2003,"销售出库",包装物料出入库明细!$B$4:$B$2003,"&gt;="&amp;$B37,包装物料出入库明细!$B$4:$B$2003,"&lt;"&amp;$L37))</f>
        <v/>
      </c>
      <c r="E37" s="24" t="str">
        <f>_自动清单!$CE$1</f>
        <v>包</v>
      </c>
      <c r="F37" s="26"/>
      <c r="G37" s="26" t="str">
        <f>IF($B37="","",ROUND(SUMIFS(包装物料出入库明细!$N$4:$N$2003,包装物料出入库明细!$H$4:$H$2003,"销售出库",包装物料出入库明细!$B$4:$B$2003,"&gt;="&amp;$B37,包装物料出入库明细!$B$4:$B$2003,"&lt;"&amp;$L37),2))</f>
        <v/>
      </c>
      <c r="H37" s="26" t="str">
        <f>IF($B37="","",ROUND(SUMIFS(包装物料出入库明细!$N$4:$N$2003,包装物料出入库明细!$H$4:$H$2003,"销售出库",包装物料出入库明细!$P$4:$P$2003,"已收讫",包装物料出入库明细!$B$4:$B$2003,"&gt;="&amp;$B37,包装物料出入库明细!$B$4:$B$2003,"&lt;"&amp;$L37),2))</f>
        <v/>
      </c>
      <c r="I37" s="27"/>
      <c r="L37" s="28" t="str">
        <f>IF($M$2="","",DATE(YEAR($M$2),MONTH($M$2)+10,1))</f>
        <v/>
      </c>
    </row>
    <row r="38" ht="18" customHeight="1" spans="1:12">
      <c r="A38" s="22" t="str">
        <f t="shared" si="0"/>
        <v/>
      </c>
      <c r="B38" s="23" t="str">
        <f>IF($M$2="","",DATE(YEAR($M$2),MONTH($M$2)+10,1))</f>
        <v/>
      </c>
      <c r="C38" s="24" t="s">
        <v>597</v>
      </c>
      <c r="D38" s="25" t="str">
        <f>IF($B38="","",SUMIFS(包装物料出入库明细!$J$4:$J$2003,包装物料出入库明细!$H$4:$H$2003,"销售出库",包装物料出入库明细!$B$4:$B$2003,"&gt;="&amp;$B38,包装物料出入库明细!$B$4:$B$2003,"&lt;"&amp;$L38))</f>
        <v/>
      </c>
      <c r="E38" s="24" t="str">
        <f>_自动清单!$CE$1</f>
        <v>包</v>
      </c>
      <c r="F38" s="26"/>
      <c r="G38" s="26" t="str">
        <f>IF($B38="","",ROUND(SUMIFS(包装物料出入库明细!$N$4:$N$2003,包装物料出入库明细!$H$4:$H$2003,"销售出库",包装物料出入库明细!$B$4:$B$2003,"&gt;="&amp;$B38,包装物料出入库明细!$B$4:$B$2003,"&lt;"&amp;$L38),2))</f>
        <v/>
      </c>
      <c r="H38" s="26" t="str">
        <f>IF($B38="","",ROUND(SUMIFS(包装物料出入库明细!$N$4:$N$2003,包装物料出入库明细!$H$4:$H$2003,"销售出库",包装物料出入库明细!$P$4:$P$2003,"已收讫",包装物料出入库明细!$B$4:$B$2003,"&gt;="&amp;$B38,包装物料出入库明细!$B$4:$B$2003,"&lt;"&amp;$L38),2))</f>
        <v/>
      </c>
      <c r="I38" s="27"/>
      <c r="L38" s="28" t="str">
        <f>IF($M$2="","",DATE(YEAR($M$2),MONTH($M$2)+11,1))</f>
        <v/>
      </c>
    </row>
    <row r="39" ht="18" customHeight="1" spans="1:12">
      <c r="A39" s="22" t="str">
        <f t="shared" si="0"/>
        <v/>
      </c>
      <c r="B39" s="23" t="str">
        <f>IF($M$2="","",DATE(YEAR($M$2),MONTH($M$2)+11,1))</f>
        <v/>
      </c>
      <c r="C39" s="24" t="s">
        <v>597</v>
      </c>
      <c r="D39" s="25" t="str">
        <f>IF($B39="","",SUMIFS(包装物料出入库明细!$J$4:$J$2003,包装物料出入库明细!$H$4:$H$2003,"销售出库",包装物料出入库明细!$B$4:$B$2003,"&gt;="&amp;$B39,包装物料出入库明细!$B$4:$B$2003,"&lt;"&amp;$L39))</f>
        <v/>
      </c>
      <c r="E39" s="24" t="str">
        <f>_自动清单!$CE$1</f>
        <v>包</v>
      </c>
      <c r="F39" s="26"/>
      <c r="G39" s="26" t="str">
        <f>IF($B39="","",ROUND(SUMIFS(包装物料出入库明细!$N$4:$N$2003,包装物料出入库明细!$H$4:$H$2003,"销售出库",包装物料出入库明细!$B$4:$B$2003,"&gt;="&amp;$B39,包装物料出入库明细!$B$4:$B$2003,"&lt;"&amp;$L39),2))</f>
        <v/>
      </c>
      <c r="H39" s="26" t="str">
        <f>IF($B39="","",ROUND(SUMIFS(包装物料出入库明细!$N$4:$N$2003,包装物料出入库明细!$H$4:$H$2003,"销售出库",包装物料出入库明细!$P$4:$P$2003,"已收讫",包装物料出入库明细!$B$4:$B$2003,"&gt;="&amp;$B39,包装物料出入库明细!$B$4:$B$2003,"&lt;"&amp;$L39),2))</f>
        <v/>
      </c>
      <c r="I39" s="27"/>
      <c r="L39" s="28" t="str">
        <f>IF($M$2="","",DATE(YEAR($M$2),MONTH($M$2)+12,1))</f>
        <v/>
      </c>
    </row>
    <row r="40" ht="18" customHeight="1" spans="1:12">
      <c r="A40" s="22" t="str">
        <f t="shared" si="0"/>
        <v/>
      </c>
      <c r="B40" s="23" t="str">
        <f>IF($M$2="","",DATE(YEAR($M$2),MONTH($M$2)+12,1))</f>
        <v/>
      </c>
      <c r="C40" s="24" t="s">
        <v>597</v>
      </c>
      <c r="D40" s="25" t="str">
        <f>IF($B40="","",SUMIFS(包装物料出入库明细!$J$4:$J$2003,包装物料出入库明细!$H$4:$H$2003,"销售出库",包装物料出入库明细!$B$4:$B$2003,"&gt;="&amp;$B40,包装物料出入库明细!$B$4:$B$2003,"&lt;"&amp;$L40))</f>
        <v/>
      </c>
      <c r="E40" s="24" t="str">
        <f>_自动清单!$CE$1</f>
        <v>包</v>
      </c>
      <c r="F40" s="26"/>
      <c r="G40" s="26" t="str">
        <f>IF($B40="","",ROUND(SUMIFS(包装物料出入库明细!$N$4:$N$2003,包装物料出入库明细!$H$4:$H$2003,"销售出库",包装物料出入库明细!$B$4:$B$2003,"&gt;="&amp;$B40,包装物料出入库明细!$B$4:$B$2003,"&lt;"&amp;$L40),2))</f>
        <v/>
      </c>
      <c r="H40" s="26" t="str">
        <f>IF($B40="","",ROUND(SUMIFS(包装物料出入库明细!$N$4:$N$2003,包装物料出入库明细!$H$4:$H$2003,"销售出库",包装物料出入库明细!$P$4:$P$2003,"已收讫",包装物料出入库明细!$B$4:$B$2003,"&gt;="&amp;$B40,包装物料出入库明细!$B$4:$B$2003,"&lt;"&amp;$L40),2))</f>
        <v/>
      </c>
      <c r="I40" s="27"/>
      <c r="L40" s="28" t="str">
        <f>IF($M$2="","",DATE(YEAR($M$2),MONTH($M$2)+13,1))</f>
        <v/>
      </c>
    </row>
    <row r="41" ht="18" customHeight="1" spans="1:12">
      <c r="A41" s="22" t="str">
        <f t="shared" si="0"/>
        <v/>
      </c>
      <c r="B41" s="23" t="str">
        <f>IF($M$2="","",DATE(YEAR($M$2),MONTH($M$2)+13,1))</f>
        <v/>
      </c>
      <c r="C41" s="24" t="s">
        <v>597</v>
      </c>
      <c r="D41" s="25" t="str">
        <f>IF($B41="","",SUMIFS(包装物料出入库明细!$J$4:$J$2003,包装物料出入库明细!$H$4:$H$2003,"销售出库",包装物料出入库明细!$B$4:$B$2003,"&gt;="&amp;$B41,包装物料出入库明细!$B$4:$B$2003,"&lt;"&amp;$L41))</f>
        <v/>
      </c>
      <c r="E41" s="24" t="str">
        <f>_自动清单!$CE$1</f>
        <v>包</v>
      </c>
      <c r="F41" s="26"/>
      <c r="G41" s="26" t="str">
        <f>IF($B41="","",ROUND(SUMIFS(包装物料出入库明细!$N$4:$N$2003,包装物料出入库明细!$H$4:$H$2003,"销售出库",包装物料出入库明细!$B$4:$B$2003,"&gt;="&amp;$B41,包装物料出入库明细!$B$4:$B$2003,"&lt;"&amp;$L41),2))</f>
        <v/>
      </c>
      <c r="H41" s="26" t="str">
        <f>IF($B41="","",ROUND(SUMIFS(包装物料出入库明细!$N$4:$N$2003,包装物料出入库明细!$H$4:$H$2003,"销售出库",包装物料出入库明细!$P$4:$P$2003,"已收讫",包装物料出入库明细!$B$4:$B$2003,"&gt;="&amp;$B41,包装物料出入库明细!$B$4:$B$2003,"&lt;"&amp;$L41),2))</f>
        <v/>
      </c>
      <c r="I41" s="27"/>
      <c r="L41" s="28" t="str">
        <f>IF($M$2="","",DATE(YEAR($M$2),MONTH($M$2)+14,1))</f>
        <v/>
      </c>
    </row>
    <row r="42" ht="18" customHeight="1" spans="1:12">
      <c r="A42" s="22" t="str">
        <f t="shared" si="0"/>
        <v/>
      </c>
      <c r="B42" s="23" t="str">
        <f>IF($M$2="","",DATE(YEAR($M$2),MONTH($M$2)+14,1))</f>
        <v/>
      </c>
      <c r="C42" s="24" t="s">
        <v>597</v>
      </c>
      <c r="D42" s="25" t="str">
        <f>IF($B42="","",SUMIFS(包装物料出入库明细!$J$4:$J$2003,包装物料出入库明细!$H$4:$H$2003,"销售出库",包装物料出入库明细!$B$4:$B$2003,"&gt;="&amp;$B42,包装物料出入库明细!$B$4:$B$2003,"&lt;"&amp;$L42))</f>
        <v/>
      </c>
      <c r="E42" s="24" t="str">
        <f>_自动清单!$CE$1</f>
        <v>包</v>
      </c>
      <c r="F42" s="26"/>
      <c r="G42" s="26" t="str">
        <f>IF($B42="","",ROUND(SUMIFS(包装物料出入库明细!$N$4:$N$2003,包装物料出入库明细!$H$4:$H$2003,"销售出库",包装物料出入库明细!$B$4:$B$2003,"&gt;="&amp;$B42,包装物料出入库明细!$B$4:$B$2003,"&lt;"&amp;$L42),2))</f>
        <v/>
      </c>
      <c r="H42" s="26" t="str">
        <f>IF($B42="","",ROUND(SUMIFS(包装物料出入库明细!$N$4:$N$2003,包装物料出入库明细!$H$4:$H$2003,"销售出库",包装物料出入库明细!$P$4:$P$2003,"已收讫",包装物料出入库明细!$B$4:$B$2003,"&gt;="&amp;$B42,包装物料出入库明细!$B$4:$B$2003,"&lt;"&amp;$L42),2))</f>
        <v/>
      </c>
      <c r="I42" s="27"/>
      <c r="L42" s="28" t="str">
        <f>IF($M$2="","",DATE(YEAR($M$2),MONTH($M$2)+15,1))</f>
        <v/>
      </c>
    </row>
    <row r="43" ht="18" customHeight="1" spans="1:12">
      <c r="A43" s="22" t="str">
        <f t="shared" si="0"/>
        <v/>
      </c>
      <c r="B43" s="23" t="str">
        <f>IF($M$2="","",DATE(YEAR($M$2),MONTH($M$2)+15,1))</f>
        <v/>
      </c>
      <c r="C43" s="24" t="s">
        <v>597</v>
      </c>
      <c r="D43" s="25" t="str">
        <f>IF($B43="","",SUMIFS(包装物料出入库明细!$J$4:$J$2003,包装物料出入库明细!$H$4:$H$2003,"销售出库",包装物料出入库明细!$B$4:$B$2003,"&gt;="&amp;$B43,包装物料出入库明细!$B$4:$B$2003,"&lt;"&amp;$L43))</f>
        <v/>
      </c>
      <c r="E43" s="24" t="str">
        <f>_自动清单!$CE$1</f>
        <v>包</v>
      </c>
      <c r="F43" s="26"/>
      <c r="G43" s="26" t="str">
        <f>IF($B43="","",ROUND(SUMIFS(包装物料出入库明细!$N$4:$N$2003,包装物料出入库明细!$H$4:$H$2003,"销售出库",包装物料出入库明细!$B$4:$B$2003,"&gt;="&amp;$B43,包装物料出入库明细!$B$4:$B$2003,"&lt;"&amp;$L43),2))</f>
        <v/>
      </c>
      <c r="H43" s="26" t="str">
        <f>IF($B43="","",ROUND(SUMIFS(包装物料出入库明细!$N$4:$N$2003,包装物料出入库明细!$H$4:$H$2003,"销售出库",包装物料出入库明细!$P$4:$P$2003,"已收讫",包装物料出入库明细!$B$4:$B$2003,"&gt;="&amp;$B43,包装物料出入库明细!$B$4:$B$2003,"&lt;"&amp;$L43),2))</f>
        <v/>
      </c>
      <c r="I43" s="27"/>
      <c r="L43" s="28" t="str">
        <f>IF($M$2="","",DATE(YEAR($M$2),MONTH($M$2)+16,1))</f>
        <v/>
      </c>
    </row>
    <row r="44" ht="18" customHeight="1" spans="1:12">
      <c r="A44" s="22" t="str">
        <f t="shared" si="0"/>
        <v/>
      </c>
      <c r="B44" s="23" t="str">
        <f>IF($M$2="","",DATE(YEAR($M$2),MONTH($M$2)+16,1))</f>
        <v/>
      </c>
      <c r="C44" s="24" t="s">
        <v>597</v>
      </c>
      <c r="D44" s="25" t="str">
        <f>IF($B44="","",SUMIFS(包装物料出入库明细!$J$4:$J$2003,包装物料出入库明细!$H$4:$H$2003,"销售出库",包装物料出入库明细!$B$4:$B$2003,"&gt;="&amp;$B44,包装物料出入库明细!$B$4:$B$2003,"&lt;"&amp;$L44))</f>
        <v/>
      </c>
      <c r="E44" s="24" t="str">
        <f>_自动清单!$CE$1</f>
        <v>包</v>
      </c>
      <c r="F44" s="26"/>
      <c r="G44" s="26" t="str">
        <f>IF($B44="","",ROUND(SUMIFS(包装物料出入库明细!$N$4:$N$2003,包装物料出入库明细!$H$4:$H$2003,"销售出库",包装物料出入库明细!$B$4:$B$2003,"&gt;="&amp;$B44,包装物料出入库明细!$B$4:$B$2003,"&lt;"&amp;$L44),2))</f>
        <v/>
      </c>
      <c r="H44" s="26" t="str">
        <f>IF($B44="","",ROUND(SUMIFS(包装物料出入库明细!$N$4:$N$2003,包装物料出入库明细!$H$4:$H$2003,"销售出库",包装物料出入库明细!$P$4:$P$2003,"已收讫",包装物料出入库明细!$B$4:$B$2003,"&gt;="&amp;$B44,包装物料出入库明细!$B$4:$B$2003,"&lt;"&amp;$L44),2))</f>
        <v/>
      </c>
      <c r="I44" s="27"/>
      <c r="L44" s="28" t="str">
        <f>IF($M$2="","",DATE(YEAR($M$2),MONTH($M$2)+17,1))</f>
        <v/>
      </c>
    </row>
    <row r="45" ht="18" customHeight="1" spans="1:12">
      <c r="A45" s="22" t="str">
        <f t="shared" si="0"/>
        <v/>
      </c>
      <c r="B45" s="23" t="str">
        <f>IF($M$2="","",DATE(YEAR($M$2),MONTH($M$2)+17,1))</f>
        <v/>
      </c>
      <c r="C45" s="24" t="s">
        <v>597</v>
      </c>
      <c r="D45" s="25" t="str">
        <f>IF($B45="","",SUMIFS(包装物料出入库明细!$J$4:$J$2003,包装物料出入库明细!$H$4:$H$2003,"销售出库",包装物料出入库明细!$B$4:$B$2003,"&gt;="&amp;$B45,包装物料出入库明细!$B$4:$B$2003,"&lt;"&amp;$L45))</f>
        <v/>
      </c>
      <c r="E45" s="24" t="str">
        <f>_自动清单!$CE$1</f>
        <v>包</v>
      </c>
      <c r="F45" s="26"/>
      <c r="G45" s="26" t="str">
        <f>IF($B45="","",ROUND(SUMIFS(包装物料出入库明细!$N$4:$N$2003,包装物料出入库明细!$H$4:$H$2003,"销售出库",包装物料出入库明细!$B$4:$B$2003,"&gt;="&amp;$B45,包装物料出入库明细!$B$4:$B$2003,"&lt;"&amp;$L45),2))</f>
        <v/>
      </c>
      <c r="H45" s="26" t="str">
        <f>IF($B45="","",ROUND(SUMIFS(包装物料出入库明细!$N$4:$N$2003,包装物料出入库明细!$H$4:$H$2003,"销售出库",包装物料出入库明细!$P$4:$P$2003,"已收讫",包装物料出入库明细!$B$4:$B$2003,"&gt;="&amp;$B45,包装物料出入库明细!$B$4:$B$2003,"&lt;"&amp;$L45),2))</f>
        <v/>
      </c>
      <c r="I45" s="27"/>
      <c r="L45" s="28" t="str">
        <f>IF($M$2="","",DATE(YEAR($M$2),MONTH($M$2)+18,1))</f>
        <v/>
      </c>
    </row>
    <row r="46" ht="18" customHeight="1" spans="1:12">
      <c r="A46" s="22" t="str">
        <f t="shared" si="0"/>
        <v/>
      </c>
      <c r="B46" s="23" t="str">
        <f>IF($M$2="","",DATE(YEAR($M$2),MONTH($M$2)+18,1))</f>
        <v/>
      </c>
      <c r="C46" s="24" t="s">
        <v>597</v>
      </c>
      <c r="D46" s="25" t="str">
        <f>IF($B46="","",SUMIFS(包装物料出入库明细!$J$4:$J$2003,包装物料出入库明细!$H$4:$H$2003,"销售出库",包装物料出入库明细!$B$4:$B$2003,"&gt;="&amp;$B46,包装物料出入库明细!$B$4:$B$2003,"&lt;"&amp;$L46))</f>
        <v/>
      </c>
      <c r="E46" s="24" t="str">
        <f>_自动清单!$CE$1</f>
        <v>包</v>
      </c>
      <c r="F46" s="26"/>
      <c r="G46" s="26" t="str">
        <f>IF($B46="","",ROUND(SUMIFS(包装物料出入库明细!$N$4:$N$2003,包装物料出入库明细!$H$4:$H$2003,"销售出库",包装物料出入库明细!$B$4:$B$2003,"&gt;="&amp;$B46,包装物料出入库明细!$B$4:$B$2003,"&lt;"&amp;$L46),2))</f>
        <v/>
      </c>
      <c r="H46" s="26" t="str">
        <f>IF($B46="","",ROUND(SUMIFS(包装物料出入库明细!$N$4:$N$2003,包装物料出入库明细!$H$4:$H$2003,"销售出库",包装物料出入库明细!$P$4:$P$2003,"已收讫",包装物料出入库明细!$B$4:$B$2003,"&gt;="&amp;$B46,包装物料出入库明细!$B$4:$B$2003,"&lt;"&amp;$L46),2))</f>
        <v/>
      </c>
      <c r="I46" s="27"/>
      <c r="L46" s="28" t="str">
        <f>IF($M$2="","",DATE(YEAR($M$2),MONTH($M$2)+19,1))</f>
        <v/>
      </c>
    </row>
    <row r="47" ht="18" customHeight="1" spans="1:12">
      <c r="A47" s="22" t="str">
        <f t="shared" si="0"/>
        <v/>
      </c>
      <c r="B47" s="23" t="str">
        <f>IF($M$2="","",DATE(YEAR($M$2),MONTH($M$2)+19,1))</f>
        <v/>
      </c>
      <c r="C47" s="24" t="s">
        <v>597</v>
      </c>
      <c r="D47" s="25" t="str">
        <f>IF($B47="","",SUMIFS(包装物料出入库明细!$J$4:$J$2003,包装物料出入库明细!$H$4:$H$2003,"销售出库",包装物料出入库明细!$B$4:$B$2003,"&gt;="&amp;$B47,包装物料出入库明细!$B$4:$B$2003,"&lt;"&amp;$L47))</f>
        <v/>
      </c>
      <c r="E47" s="24" t="str">
        <f>_自动清单!$CE$1</f>
        <v>包</v>
      </c>
      <c r="F47" s="26"/>
      <c r="G47" s="26" t="str">
        <f>IF($B47="","",ROUND(SUMIFS(包装物料出入库明细!$N$4:$N$2003,包装物料出入库明细!$H$4:$H$2003,"销售出库",包装物料出入库明细!$B$4:$B$2003,"&gt;="&amp;$B47,包装物料出入库明细!$B$4:$B$2003,"&lt;"&amp;$L47),2))</f>
        <v/>
      </c>
      <c r="H47" s="26" t="str">
        <f>IF($B47="","",ROUND(SUMIFS(包装物料出入库明细!$N$4:$N$2003,包装物料出入库明细!$H$4:$H$2003,"销售出库",包装物料出入库明细!$P$4:$P$2003,"已收讫",包装物料出入库明细!$B$4:$B$2003,"&gt;="&amp;$B47,包装物料出入库明细!$B$4:$B$2003,"&lt;"&amp;$L47),2))</f>
        <v/>
      </c>
      <c r="I47" s="27"/>
      <c r="L47" s="28" t="str">
        <f>IF($M$2="","",DATE(YEAR($M$2),MONTH($M$2)+20,1))</f>
        <v/>
      </c>
    </row>
    <row r="48" ht="18" customHeight="1" spans="1:12">
      <c r="A48" s="22" t="str">
        <f t="shared" si="0"/>
        <v/>
      </c>
      <c r="B48" s="23" t="str">
        <f>IF($M$2="","",DATE(YEAR($M$2),MONTH($M$2)+20,1))</f>
        <v/>
      </c>
      <c r="C48" s="24" t="s">
        <v>597</v>
      </c>
      <c r="D48" s="25" t="str">
        <f>IF($B48="","",SUMIFS(包装物料出入库明细!$J$4:$J$2003,包装物料出入库明细!$H$4:$H$2003,"销售出库",包装物料出入库明细!$B$4:$B$2003,"&gt;="&amp;$B48,包装物料出入库明细!$B$4:$B$2003,"&lt;"&amp;$L48))</f>
        <v/>
      </c>
      <c r="E48" s="24" t="str">
        <f>_自动清单!$CE$1</f>
        <v>包</v>
      </c>
      <c r="F48" s="26"/>
      <c r="G48" s="26" t="str">
        <f>IF($B48="","",ROUND(SUMIFS(包装物料出入库明细!$N$4:$N$2003,包装物料出入库明细!$H$4:$H$2003,"销售出库",包装物料出入库明细!$B$4:$B$2003,"&gt;="&amp;$B48,包装物料出入库明细!$B$4:$B$2003,"&lt;"&amp;$L48),2))</f>
        <v/>
      </c>
      <c r="H48" s="26" t="str">
        <f>IF($B48="","",ROUND(SUMIFS(包装物料出入库明细!$N$4:$N$2003,包装物料出入库明细!$H$4:$H$2003,"销售出库",包装物料出入库明细!$P$4:$P$2003,"已收讫",包装物料出入库明细!$B$4:$B$2003,"&gt;="&amp;$B48,包装物料出入库明细!$B$4:$B$2003,"&lt;"&amp;$L48),2))</f>
        <v/>
      </c>
      <c r="I48" s="27"/>
      <c r="L48" s="28" t="str">
        <f>IF($M$2="","",DATE(YEAR($M$2),MONTH($M$2)+21,1))</f>
        <v/>
      </c>
    </row>
    <row r="49" ht="18" customHeight="1" spans="1:12">
      <c r="A49" s="22" t="str">
        <f t="shared" si="0"/>
        <v/>
      </c>
      <c r="B49" s="23" t="str">
        <f>IF($M$2="","",DATE(YEAR($M$2),MONTH($M$2)+21,1))</f>
        <v/>
      </c>
      <c r="C49" s="24" t="s">
        <v>597</v>
      </c>
      <c r="D49" s="25" t="str">
        <f>IF($B49="","",SUMIFS(包装物料出入库明细!$J$4:$J$2003,包装物料出入库明细!$H$4:$H$2003,"销售出库",包装物料出入库明细!$B$4:$B$2003,"&gt;="&amp;$B49,包装物料出入库明细!$B$4:$B$2003,"&lt;"&amp;$L49))</f>
        <v/>
      </c>
      <c r="E49" s="24" t="str">
        <f>_自动清单!$CE$1</f>
        <v>包</v>
      </c>
      <c r="F49" s="26"/>
      <c r="G49" s="26" t="str">
        <f>IF($B49="","",ROUND(SUMIFS(包装物料出入库明细!$N$4:$N$2003,包装物料出入库明细!$H$4:$H$2003,"销售出库",包装物料出入库明细!$B$4:$B$2003,"&gt;="&amp;$B49,包装物料出入库明细!$B$4:$B$2003,"&lt;"&amp;$L49),2))</f>
        <v/>
      </c>
      <c r="H49" s="26" t="str">
        <f>IF($B49="","",ROUND(SUMIFS(包装物料出入库明细!$N$4:$N$2003,包装物料出入库明细!$H$4:$H$2003,"销售出库",包装物料出入库明细!$P$4:$P$2003,"已收讫",包装物料出入库明细!$B$4:$B$2003,"&gt;="&amp;$B49,包装物料出入库明细!$B$4:$B$2003,"&lt;"&amp;$L49),2))</f>
        <v/>
      </c>
      <c r="I49" s="27"/>
      <c r="L49" s="28" t="str">
        <f>IF($M$2="","",DATE(YEAR($M$2),MONTH($M$2)+22,1))</f>
        <v/>
      </c>
    </row>
    <row r="50" ht="18" customHeight="1" spans="1:12">
      <c r="A50" s="22" t="str">
        <f t="shared" si="0"/>
        <v/>
      </c>
      <c r="B50" s="23" t="str">
        <f>IF($M$2="","",DATE(YEAR($M$2),MONTH($M$2)+22,1))</f>
        <v/>
      </c>
      <c r="C50" s="24" t="s">
        <v>597</v>
      </c>
      <c r="D50" s="25" t="str">
        <f>IF($B50="","",SUMIFS(包装物料出入库明细!$J$4:$J$2003,包装物料出入库明细!$H$4:$H$2003,"销售出库",包装物料出入库明细!$B$4:$B$2003,"&gt;="&amp;$B50,包装物料出入库明细!$B$4:$B$2003,"&lt;"&amp;$L50))</f>
        <v/>
      </c>
      <c r="E50" s="24" t="str">
        <f>_自动清单!$CE$1</f>
        <v>包</v>
      </c>
      <c r="F50" s="26"/>
      <c r="G50" s="26" t="str">
        <f>IF($B50="","",ROUND(SUMIFS(包装物料出入库明细!$N$4:$N$2003,包装物料出入库明细!$H$4:$H$2003,"销售出库",包装物料出入库明细!$B$4:$B$2003,"&gt;="&amp;$B50,包装物料出入库明细!$B$4:$B$2003,"&lt;"&amp;$L50),2))</f>
        <v/>
      </c>
      <c r="H50" s="26" t="str">
        <f>IF($B50="","",ROUND(SUMIFS(包装物料出入库明细!$N$4:$N$2003,包装物料出入库明细!$H$4:$H$2003,"销售出库",包装物料出入库明细!$P$4:$P$2003,"已收讫",包装物料出入库明细!$B$4:$B$2003,"&gt;="&amp;$B50,包装物料出入库明细!$B$4:$B$2003,"&lt;"&amp;$L50),2))</f>
        <v/>
      </c>
      <c r="I50" s="27"/>
      <c r="L50" s="28" t="str">
        <f>IF($M$2="","",DATE(YEAR($M$2),MONTH($M$2)+23,1))</f>
        <v/>
      </c>
    </row>
    <row r="51" ht="18" customHeight="1" spans="1:12">
      <c r="A51" s="22" t="str">
        <f t="shared" si="0"/>
        <v/>
      </c>
      <c r="B51" s="23" t="str">
        <f>IF($M$2="","",DATE(YEAR($M$2),MONTH($M$2)+23,1))</f>
        <v/>
      </c>
      <c r="C51" s="24" t="s">
        <v>597</v>
      </c>
      <c r="D51" s="25" t="str">
        <f>IF($B51="","",SUMIFS(包装物料出入库明细!$J$4:$J$2003,包装物料出入库明细!$H$4:$H$2003,"销售出库",包装物料出入库明细!$B$4:$B$2003,"&gt;="&amp;$B51,包装物料出入库明细!$B$4:$B$2003,"&lt;"&amp;$L51))</f>
        <v/>
      </c>
      <c r="E51" s="24" t="str">
        <f>_自动清单!$CE$1</f>
        <v>包</v>
      </c>
      <c r="F51" s="26"/>
      <c r="G51" s="26" t="str">
        <f>IF($B51="","",ROUND(SUMIFS(包装物料出入库明细!$N$4:$N$2003,包装物料出入库明细!$H$4:$H$2003,"销售出库",包装物料出入库明细!$B$4:$B$2003,"&gt;="&amp;$B51,包装物料出入库明细!$B$4:$B$2003,"&lt;"&amp;$L51),2))</f>
        <v/>
      </c>
      <c r="H51" s="26" t="str">
        <f>IF($B51="","",ROUND(SUMIFS(包装物料出入库明细!$N$4:$N$2003,包装物料出入库明细!$H$4:$H$2003,"销售出库",包装物料出入库明细!$P$4:$P$2003,"已收讫",包装物料出入库明细!$B$4:$B$2003,"&gt;="&amp;$B51,包装物料出入库明细!$B$4:$B$2003,"&lt;"&amp;$L51),2))</f>
        <v/>
      </c>
      <c r="I51" s="27"/>
      <c r="L51" s="28" t="str">
        <f>IF($M$2="","",DATE(YEAR($M$2),MONTH($M$2)+24,1))</f>
        <v/>
      </c>
    </row>
    <row r="52" spans="1:12">
      <c r="A52" s="22" t="str">
        <f t="shared" si="0"/>
        <v/>
      </c>
      <c r="B52" s="23" t="str">
        <f>IF($M$2="","",DATE(YEAR($M$2),MONTH($M$2)+0,1))</f>
        <v/>
      </c>
      <c r="C52" s="24" t="s">
        <v>598</v>
      </c>
      <c r="D52" s="25">
        <v>0</v>
      </c>
      <c r="E52" s="24" t="str">
        <f t="shared" ref="E52:E99" si="2">"元"</f>
        <v>元</v>
      </c>
      <c r="F52" s="26"/>
      <c r="G52" s="26" t="str">
        <f>IF($B52="","",ROUND(SUMIFS(周转筐出入库明细!$S$4:$S$2004,周转筐出入库明细!$B$4:$B$2004,"&gt;="&amp;$B52,周转筐出入库明细!$B$4:$B$2004,"&lt;"&amp;$L52)+SUMIFS(次果筐明细!$J$4:$J$603,次果筐明细!$B$4:$B$603,"&gt;="&amp;$B52,次果筐明细!$B$4:$B$603,"&lt;"&amp;$L52),2))</f>
        <v/>
      </c>
      <c r="H52" s="26">
        <v>0</v>
      </c>
      <c r="I52" s="27"/>
      <c r="L52" s="28" t="str">
        <f>IF($M$2="","",DATE(YEAR($M$2),MONTH($M$2)+1,1))</f>
        <v/>
      </c>
    </row>
    <row r="53" spans="1:12">
      <c r="A53" s="22" t="str">
        <f t="shared" si="0"/>
        <v/>
      </c>
      <c r="B53" s="23" t="str">
        <f>IF($M$2="","",DATE(YEAR($M$2),MONTH($M$2)+1,1))</f>
        <v/>
      </c>
      <c r="C53" s="24" t="s">
        <v>598</v>
      </c>
      <c r="D53" s="25">
        <v>0</v>
      </c>
      <c r="E53" s="24" t="str">
        <f t="shared" si="2"/>
        <v>元</v>
      </c>
      <c r="F53" s="26"/>
      <c r="G53" s="26" t="str">
        <f>IF($B53="","",ROUND(SUMIFS(周转筐出入库明细!$S$4:$S$2004,周转筐出入库明细!$B$4:$B$2004,"&gt;="&amp;$B53,周转筐出入库明细!$B$4:$B$2004,"&lt;"&amp;$L53)+SUMIFS(次果筐明细!$J$4:$J$603,次果筐明细!$B$4:$B$603,"&gt;="&amp;$B53,次果筐明细!$B$4:$B$603,"&lt;"&amp;$L53),2))</f>
        <v/>
      </c>
      <c r="H53" s="26">
        <v>0</v>
      </c>
      <c r="I53" s="27"/>
      <c r="L53" s="28" t="str">
        <f>IF($M$2="","",DATE(YEAR($M$2),MONTH($M$2)+2,1))</f>
        <v/>
      </c>
    </row>
    <row r="54" ht="18" customHeight="1" spans="1:12">
      <c r="A54" s="22" t="str">
        <f t="shared" si="0"/>
        <v/>
      </c>
      <c r="B54" s="23" t="str">
        <f>IF($M$2="","",DATE(YEAR($M$2),MONTH($M$2)+2,1))</f>
        <v/>
      </c>
      <c r="C54" s="24" t="s">
        <v>598</v>
      </c>
      <c r="D54" s="25">
        <v>0</v>
      </c>
      <c r="E54" s="24" t="str">
        <f t="shared" si="2"/>
        <v>元</v>
      </c>
      <c r="F54" s="26"/>
      <c r="G54" s="26" t="str">
        <f>IF($B54="","",ROUND(SUMIFS(周转筐出入库明细!$S$4:$S$2004,周转筐出入库明细!$B$4:$B$2004,"&gt;="&amp;$B54,周转筐出入库明细!$B$4:$B$2004,"&lt;"&amp;$L54)+SUMIFS(次果筐明细!$J$4:$J$603,次果筐明细!$B$4:$B$603,"&gt;="&amp;$B54,次果筐明细!$B$4:$B$603,"&lt;"&amp;$L54),2))</f>
        <v/>
      </c>
      <c r="H54" s="26">
        <v>0</v>
      </c>
      <c r="I54" s="27"/>
      <c r="L54" s="28" t="str">
        <f>IF($M$2="","",DATE(YEAR($M$2),MONTH($M$2)+3,1))</f>
        <v/>
      </c>
    </row>
    <row r="55" ht="18" customHeight="1" spans="1:12">
      <c r="A55" s="22" t="str">
        <f t="shared" si="0"/>
        <v/>
      </c>
      <c r="B55" s="23" t="str">
        <f>IF($M$2="","",DATE(YEAR($M$2),MONTH($M$2)+3,1))</f>
        <v/>
      </c>
      <c r="C55" s="24" t="s">
        <v>598</v>
      </c>
      <c r="D55" s="25">
        <v>0</v>
      </c>
      <c r="E55" s="24" t="str">
        <f t="shared" si="2"/>
        <v>元</v>
      </c>
      <c r="F55" s="26"/>
      <c r="G55" s="26" t="str">
        <f>IF($B55="","",ROUND(SUMIFS(周转筐出入库明细!$S$4:$S$2004,周转筐出入库明细!$B$4:$B$2004,"&gt;="&amp;$B55,周转筐出入库明细!$B$4:$B$2004,"&lt;"&amp;$L55)+SUMIFS(次果筐明细!$J$4:$J$603,次果筐明细!$B$4:$B$603,"&gt;="&amp;$B55,次果筐明细!$B$4:$B$603,"&lt;"&amp;$L55),2))</f>
        <v/>
      </c>
      <c r="H55" s="26">
        <v>0</v>
      </c>
      <c r="I55" s="27"/>
      <c r="L55" s="28" t="str">
        <f>IF($M$2="","",DATE(YEAR($M$2),MONTH($M$2)+4,1))</f>
        <v/>
      </c>
    </row>
    <row r="56" ht="18" customHeight="1" spans="1:12">
      <c r="A56" s="22" t="str">
        <f t="shared" si="0"/>
        <v/>
      </c>
      <c r="B56" s="23" t="str">
        <f>IF($M$2="","",DATE(YEAR($M$2),MONTH($M$2)+4,1))</f>
        <v/>
      </c>
      <c r="C56" s="24" t="s">
        <v>598</v>
      </c>
      <c r="D56" s="25">
        <v>0</v>
      </c>
      <c r="E56" s="24" t="str">
        <f t="shared" si="2"/>
        <v>元</v>
      </c>
      <c r="F56" s="26"/>
      <c r="G56" s="26" t="str">
        <f>IF($B56="","",ROUND(SUMIFS(周转筐出入库明细!$S$4:$S$2004,周转筐出入库明细!$B$4:$B$2004,"&gt;="&amp;$B56,周转筐出入库明细!$B$4:$B$2004,"&lt;"&amp;$L56)+SUMIFS(次果筐明细!$J$4:$J$603,次果筐明细!$B$4:$B$603,"&gt;="&amp;$B56,次果筐明细!$B$4:$B$603,"&lt;"&amp;$L56),2))</f>
        <v/>
      </c>
      <c r="H56" s="26">
        <v>0</v>
      </c>
      <c r="I56" s="27"/>
      <c r="L56" s="28" t="str">
        <f>IF($M$2="","",DATE(YEAR($M$2),MONTH($M$2)+5,1))</f>
        <v/>
      </c>
    </row>
    <row r="57" ht="18" customHeight="1" spans="1:12">
      <c r="A57" s="22" t="str">
        <f t="shared" si="0"/>
        <v/>
      </c>
      <c r="B57" s="23" t="str">
        <f>IF($M$2="","",DATE(YEAR($M$2),MONTH($M$2)+5,1))</f>
        <v/>
      </c>
      <c r="C57" s="24" t="s">
        <v>598</v>
      </c>
      <c r="D57" s="25">
        <v>0</v>
      </c>
      <c r="E57" s="24" t="str">
        <f t="shared" si="2"/>
        <v>元</v>
      </c>
      <c r="F57" s="26"/>
      <c r="G57" s="26" t="str">
        <f>IF($B57="","",ROUND(SUMIFS(周转筐出入库明细!$S$4:$S$2004,周转筐出入库明细!$B$4:$B$2004,"&gt;="&amp;$B57,周转筐出入库明细!$B$4:$B$2004,"&lt;"&amp;$L57)+SUMIFS(次果筐明细!$J$4:$J$603,次果筐明细!$B$4:$B$603,"&gt;="&amp;$B57,次果筐明细!$B$4:$B$603,"&lt;"&amp;$L57),2))</f>
        <v/>
      </c>
      <c r="H57" s="26">
        <v>0</v>
      </c>
      <c r="I57" s="27"/>
      <c r="L57" s="28" t="str">
        <f>IF($M$2="","",DATE(YEAR($M$2),MONTH($M$2)+6,1))</f>
        <v/>
      </c>
    </row>
    <row r="58" ht="18" customHeight="1" spans="1:12">
      <c r="A58" s="22" t="str">
        <f t="shared" si="0"/>
        <v/>
      </c>
      <c r="B58" s="23" t="str">
        <f>IF($M$2="","",DATE(YEAR($M$2),MONTH($M$2)+6,1))</f>
        <v/>
      </c>
      <c r="C58" s="24" t="s">
        <v>598</v>
      </c>
      <c r="D58" s="25">
        <v>0</v>
      </c>
      <c r="E58" s="24" t="str">
        <f t="shared" si="2"/>
        <v>元</v>
      </c>
      <c r="F58" s="26"/>
      <c r="G58" s="26" t="str">
        <f>IF($B58="","",ROUND(SUMIFS(周转筐出入库明细!$S$4:$S$2004,周转筐出入库明细!$B$4:$B$2004,"&gt;="&amp;$B58,周转筐出入库明细!$B$4:$B$2004,"&lt;"&amp;$L58)+SUMIFS(次果筐明细!$J$4:$J$603,次果筐明细!$B$4:$B$603,"&gt;="&amp;$B58,次果筐明细!$B$4:$B$603,"&lt;"&amp;$L58),2))</f>
        <v/>
      </c>
      <c r="H58" s="26">
        <v>0</v>
      </c>
      <c r="I58" s="27"/>
      <c r="L58" s="28" t="str">
        <f>IF($M$2="","",DATE(YEAR($M$2),MONTH($M$2)+7,1))</f>
        <v/>
      </c>
    </row>
    <row r="59" ht="18" customHeight="1" spans="1:12">
      <c r="A59" s="22" t="str">
        <f t="shared" si="0"/>
        <v/>
      </c>
      <c r="B59" s="23" t="str">
        <f>IF($M$2="","",DATE(YEAR($M$2),MONTH($M$2)+7,1))</f>
        <v/>
      </c>
      <c r="C59" s="24" t="s">
        <v>598</v>
      </c>
      <c r="D59" s="25">
        <v>0</v>
      </c>
      <c r="E59" s="24" t="str">
        <f t="shared" si="2"/>
        <v>元</v>
      </c>
      <c r="F59" s="26"/>
      <c r="G59" s="26" t="str">
        <f>IF($B59="","",ROUND(SUMIFS(周转筐出入库明细!$S$4:$S$2004,周转筐出入库明细!$B$4:$B$2004,"&gt;="&amp;$B59,周转筐出入库明细!$B$4:$B$2004,"&lt;"&amp;$L59)+SUMIFS(次果筐明细!$J$4:$J$603,次果筐明细!$B$4:$B$603,"&gt;="&amp;$B59,次果筐明细!$B$4:$B$603,"&lt;"&amp;$L59),2))</f>
        <v/>
      </c>
      <c r="H59" s="26">
        <v>0</v>
      </c>
      <c r="I59" s="27"/>
      <c r="L59" s="28" t="str">
        <f>IF($M$2="","",DATE(YEAR($M$2),MONTH($M$2)+8,1))</f>
        <v/>
      </c>
    </row>
    <row r="60" ht="18" customHeight="1" spans="1:12">
      <c r="A60" s="22" t="str">
        <f t="shared" si="0"/>
        <v/>
      </c>
      <c r="B60" s="23" t="str">
        <f>IF($M$2="","",DATE(YEAR($M$2),MONTH($M$2)+8,1))</f>
        <v/>
      </c>
      <c r="C60" s="24" t="s">
        <v>598</v>
      </c>
      <c r="D60" s="25">
        <v>0</v>
      </c>
      <c r="E60" s="24" t="str">
        <f t="shared" si="2"/>
        <v>元</v>
      </c>
      <c r="F60" s="26"/>
      <c r="G60" s="26" t="str">
        <f>IF($B60="","",ROUND(SUMIFS(周转筐出入库明细!$S$4:$S$2004,周转筐出入库明细!$B$4:$B$2004,"&gt;="&amp;$B60,周转筐出入库明细!$B$4:$B$2004,"&lt;"&amp;$L60)+SUMIFS(次果筐明细!$J$4:$J$603,次果筐明细!$B$4:$B$603,"&gt;="&amp;$B60,次果筐明细!$B$4:$B$603,"&lt;"&amp;$L60),2))</f>
        <v/>
      </c>
      <c r="H60" s="26">
        <v>0</v>
      </c>
      <c r="I60" s="27"/>
      <c r="L60" s="28" t="str">
        <f>IF($M$2="","",DATE(YEAR($M$2),MONTH($M$2)+9,1))</f>
        <v/>
      </c>
    </row>
    <row r="61" ht="18" customHeight="1" spans="1:12">
      <c r="A61" s="22" t="str">
        <f t="shared" si="0"/>
        <v/>
      </c>
      <c r="B61" s="23" t="str">
        <f>IF($M$2="","",DATE(YEAR($M$2),MONTH($M$2)+9,1))</f>
        <v/>
      </c>
      <c r="C61" s="24" t="s">
        <v>598</v>
      </c>
      <c r="D61" s="25">
        <v>0</v>
      </c>
      <c r="E61" s="24" t="str">
        <f t="shared" si="2"/>
        <v>元</v>
      </c>
      <c r="F61" s="26"/>
      <c r="G61" s="26" t="str">
        <f>IF($B61="","",ROUND(SUMIFS(周转筐出入库明细!$S$4:$S$2004,周转筐出入库明细!$B$4:$B$2004,"&gt;="&amp;$B61,周转筐出入库明细!$B$4:$B$2004,"&lt;"&amp;$L61)+SUMIFS(次果筐明细!$J$4:$J$603,次果筐明细!$B$4:$B$603,"&gt;="&amp;$B61,次果筐明细!$B$4:$B$603,"&lt;"&amp;$L61),2))</f>
        <v/>
      </c>
      <c r="H61" s="26">
        <v>0</v>
      </c>
      <c r="I61" s="27"/>
      <c r="L61" s="28" t="str">
        <f>IF($M$2="","",DATE(YEAR($M$2),MONTH($M$2)+10,1))</f>
        <v/>
      </c>
    </row>
    <row r="62" ht="18" customHeight="1" spans="1:12">
      <c r="A62" s="22" t="str">
        <f t="shared" si="0"/>
        <v/>
      </c>
      <c r="B62" s="23" t="str">
        <f>IF($M$2="","",DATE(YEAR($M$2),MONTH($M$2)+10,1))</f>
        <v/>
      </c>
      <c r="C62" s="24" t="s">
        <v>598</v>
      </c>
      <c r="D62" s="25">
        <v>0</v>
      </c>
      <c r="E62" s="24" t="str">
        <f t="shared" si="2"/>
        <v>元</v>
      </c>
      <c r="F62" s="26"/>
      <c r="G62" s="26" t="str">
        <f>IF($B62="","",ROUND(SUMIFS(周转筐出入库明细!$S$4:$S$2004,周转筐出入库明细!$B$4:$B$2004,"&gt;="&amp;$B62,周转筐出入库明细!$B$4:$B$2004,"&lt;"&amp;$L62)+SUMIFS(次果筐明细!$J$4:$J$603,次果筐明细!$B$4:$B$603,"&gt;="&amp;$B62,次果筐明细!$B$4:$B$603,"&lt;"&amp;$L62),2))</f>
        <v/>
      </c>
      <c r="H62" s="26">
        <v>0</v>
      </c>
      <c r="I62" s="27"/>
      <c r="L62" s="28" t="str">
        <f>IF($M$2="","",DATE(YEAR($M$2),MONTH($M$2)+11,1))</f>
        <v/>
      </c>
    </row>
    <row r="63" ht="18" customHeight="1" spans="1:12">
      <c r="A63" s="22" t="str">
        <f t="shared" si="0"/>
        <v/>
      </c>
      <c r="B63" s="23" t="str">
        <f>IF($M$2="","",DATE(YEAR($M$2),MONTH($M$2)+11,1))</f>
        <v/>
      </c>
      <c r="C63" s="24" t="s">
        <v>598</v>
      </c>
      <c r="D63" s="25">
        <v>0</v>
      </c>
      <c r="E63" s="24" t="str">
        <f t="shared" si="2"/>
        <v>元</v>
      </c>
      <c r="F63" s="26"/>
      <c r="G63" s="26" t="str">
        <f>IF($B63="","",ROUND(SUMIFS(周转筐出入库明细!$S$4:$S$2004,周转筐出入库明细!$B$4:$B$2004,"&gt;="&amp;$B63,周转筐出入库明细!$B$4:$B$2004,"&lt;"&amp;$L63)+SUMIFS(次果筐明细!$J$4:$J$603,次果筐明细!$B$4:$B$603,"&gt;="&amp;$B63,次果筐明细!$B$4:$B$603,"&lt;"&amp;$L63),2))</f>
        <v/>
      </c>
      <c r="H63" s="26">
        <v>0</v>
      </c>
      <c r="I63" s="27"/>
      <c r="L63" s="28" t="str">
        <f>IF($M$2="","",DATE(YEAR($M$2),MONTH($M$2)+12,1))</f>
        <v/>
      </c>
    </row>
    <row r="64" ht="18" customHeight="1" spans="1:12">
      <c r="A64" s="22" t="str">
        <f t="shared" si="0"/>
        <v/>
      </c>
      <c r="B64" s="23" t="str">
        <f>IF($M$2="","",DATE(YEAR($M$2),MONTH($M$2)+12,1))</f>
        <v/>
      </c>
      <c r="C64" s="24" t="s">
        <v>598</v>
      </c>
      <c r="D64" s="25">
        <v>0</v>
      </c>
      <c r="E64" s="24" t="str">
        <f t="shared" si="2"/>
        <v>元</v>
      </c>
      <c r="F64" s="26"/>
      <c r="G64" s="26" t="str">
        <f>IF($B64="","",ROUND(SUMIFS(周转筐出入库明细!$S$4:$S$2004,周转筐出入库明细!$B$4:$B$2004,"&gt;="&amp;$B64,周转筐出入库明细!$B$4:$B$2004,"&lt;"&amp;$L64)+SUMIFS(次果筐明细!$J$4:$J$603,次果筐明细!$B$4:$B$603,"&gt;="&amp;$B64,次果筐明细!$B$4:$B$603,"&lt;"&amp;$L64),2))</f>
        <v/>
      </c>
      <c r="H64" s="26">
        <v>0</v>
      </c>
      <c r="I64" s="27"/>
      <c r="L64" s="28" t="str">
        <f>IF($M$2="","",DATE(YEAR($M$2),MONTH($M$2)+13,1))</f>
        <v/>
      </c>
    </row>
    <row r="65" ht="18" customHeight="1" spans="1:12">
      <c r="A65" s="22" t="str">
        <f t="shared" si="0"/>
        <v/>
      </c>
      <c r="B65" s="23" t="str">
        <f>IF($M$2="","",DATE(YEAR($M$2),MONTH($M$2)+13,1))</f>
        <v/>
      </c>
      <c r="C65" s="24" t="s">
        <v>598</v>
      </c>
      <c r="D65" s="25">
        <v>0</v>
      </c>
      <c r="E65" s="24" t="str">
        <f t="shared" si="2"/>
        <v>元</v>
      </c>
      <c r="F65" s="26"/>
      <c r="G65" s="26" t="str">
        <f>IF($B65="","",ROUND(SUMIFS(周转筐出入库明细!$S$4:$S$2004,周转筐出入库明细!$B$4:$B$2004,"&gt;="&amp;$B65,周转筐出入库明细!$B$4:$B$2004,"&lt;"&amp;$L65)+SUMIFS(次果筐明细!$J$4:$J$603,次果筐明细!$B$4:$B$603,"&gt;="&amp;$B65,次果筐明细!$B$4:$B$603,"&lt;"&amp;$L65),2))</f>
        <v/>
      </c>
      <c r="H65" s="26">
        <v>0</v>
      </c>
      <c r="I65" s="27"/>
      <c r="L65" s="28" t="str">
        <f>IF($M$2="","",DATE(YEAR($M$2),MONTH($M$2)+14,1))</f>
        <v/>
      </c>
    </row>
    <row r="66" ht="18" customHeight="1" spans="1:12">
      <c r="A66" s="22" t="str">
        <f t="shared" si="0"/>
        <v/>
      </c>
      <c r="B66" s="23" t="str">
        <f>IF($M$2="","",DATE(YEAR($M$2),MONTH($M$2)+14,1))</f>
        <v/>
      </c>
      <c r="C66" s="24" t="s">
        <v>598</v>
      </c>
      <c r="D66" s="25">
        <v>0</v>
      </c>
      <c r="E66" s="24" t="str">
        <f t="shared" si="2"/>
        <v>元</v>
      </c>
      <c r="F66" s="26"/>
      <c r="G66" s="26" t="str">
        <f>IF($B66="","",ROUND(SUMIFS(周转筐出入库明细!$S$4:$S$2004,周转筐出入库明细!$B$4:$B$2004,"&gt;="&amp;$B66,周转筐出入库明细!$B$4:$B$2004,"&lt;"&amp;$L66)+SUMIFS(次果筐明细!$J$4:$J$603,次果筐明细!$B$4:$B$603,"&gt;="&amp;$B66,次果筐明细!$B$4:$B$603,"&lt;"&amp;$L66),2))</f>
        <v/>
      </c>
      <c r="H66" s="26">
        <v>0</v>
      </c>
      <c r="I66" s="27"/>
      <c r="L66" s="28" t="str">
        <f>IF($M$2="","",DATE(YEAR($M$2),MONTH($M$2)+15,1))</f>
        <v/>
      </c>
    </row>
    <row r="67" ht="18" customHeight="1" spans="1:12">
      <c r="A67" s="22" t="str">
        <f t="shared" si="0"/>
        <v/>
      </c>
      <c r="B67" s="23" t="str">
        <f>IF($M$2="","",DATE(YEAR($M$2),MONTH($M$2)+15,1))</f>
        <v/>
      </c>
      <c r="C67" s="24" t="s">
        <v>598</v>
      </c>
      <c r="D67" s="25">
        <v>0</v>
      </c>
      <c r="E67" s="24" t="str">
        <f t="shared" si="2"/>
        <v>元</v>
      </c>
      <c r="F67" s="26"/>
      <c r="G67" s="26" t="str">
        <f>IF($B67="","",ROUND(SUMIFS(周转筐出入库明细!$S$4:$S$2004,周转筐出入库明细!$B$4:$B$2004,"&gt;="&amp;$B67,周转筐出入库明细!$B$4:$B$2004,"&lt;"&amp;$L67)+SUMIFS(次果筐明细!$J$4:$J$603,次果筐明细!$B$4:$B$603,"&gt;="&amp;$B67,次果筐明细!$B$4:$B$603,"&lt;"&amp;$L67),2))</f>
        <v/>
      </c>
      <c r="H67" s="26">
        <v>0</v>
      </c>
      <c r="I67" s="27"/>
      <c r="L67" s="28" t="str">
        <f>IF($M$2="","",DATE(YEAR($M$2),MONTH($M$2)+16,1))</f>
        <v/>
      </c>
    </row>
    <row r="68" ht="18" customHeight="1" spans="1:12">
      <c r="A68" s="22" t="str">
        <f t="shared" ref="A68:A99" si="3">IF($B68="","",ROW()-3)</f>
        <v/>
      </c>
      <c r="B68" s="23" t="str">
        <f>IF($M$2="","",DATE(YEAR($M$2),MONTH($M$2)+16,1))</f>
        <v/>
      </c>
      <c r="C68" s="24" t="s">
        <v>598</v>
      </c>
      <c r="D68" s="25">
        <v>0</v>
      </c>
      <c r="E68" s="24" t="str">
        <f t="shared" si="2"/>
        <v>元</v>
      </c>
      <c r="F68" s="26"/>
      <c r="G68" s="26" t="str">
        <f>IF($B68="","",ROUND(SUMIFS(周转筐出入库明细!$S$4:$S$2004,周转筐出入库明细!$B$4:$B$2004,"&gt;="&amp;$B68,周转筐出入库明细!$B$4:$B$2004,"&lt;"&amp;$L68)+SUMIFS(次果筐明细!$J$4:$J$603,次果筐明细!$B$4:$B$603,"&gt;="&amp;$B68,次果筐明细!$B$4:$B$603,"&lt;"&amp;$L68),2))</f>
        <v/>
      </c>
      <c r="H68" s="26">
        <v>0</v>
      </c>
      <c r="I68" s="27"/>
      <c r="L68" s="28" t="str">
        <f>IF($M$2="","",DATE(YEAR($M$2),MONTH($M$2)+17,1))</f>
        <v/>
      </c>
    </row>
    <row r="69" ht="18" customHeight="1" spans="1:12">
      <c r="A69" s="22" t="str">
        <f t="shared" si="3"/>
        <v/>
      </c>
      <c r="B69" s="23" t="str">
        <f>IF($M$2="","",DATE(YEAR($M$2),MONTH($M$2)+17,1))</f>
        <v/>
      </c>
      <c r="C69" s="24" t="s">
        <v>598</v>
      </c>
      <c r="D69" s="25">
        <v>0</v>
      </c>
      <c r="E69" s="24" t="str">
        <f t="shared" si="2"/>
        <v>元</v>
      </c>
      <c r="F69" s="26"/>
      <c r="G69" s="26" t="str">
        <f>IF($B69="","",ROUND(SUMIFS(周转筐出入库明细!$S$4:$S$2004,周转筐出入库明细!$B$4:$B$2004,"&gt;="&amp;$B69,周转筐出入库明细!$B$4:$B$2004,"&lt;"&amp;$L69)+SUMIFS(次果筐明细!$J$4:$J$603,次果筐明细!$B$4:$B$603,"&gt;="&amp;$B69,次果筐明细!$B$4:$B$603,"&lt;"&amp;$L69),2))</f>
        <v/>
      </c>
      <c r="H69" s="26">
        <v>0</v>
      </c>
      <c r="I69" s="27"/>
      <c r="L69" s="28" t="str">
        <f>IF($M$2="","",DATE(YEAR($M$2),MONTH($M$2)+18,1))</f>
        <v/>
      </c>
    </row>
    <row r="70" ht="18" customHeight="1" spans="1:12">
      <c r="A70" s="22" t="str">
        <f t="shared" si="3"/>
        <v/>
      </c>
      <c r="B70" s="23" t="str">
        <f>IF($M$2="","",DATE(YEAR($M$2),MONTH($M$2)+18,1))</f>
        <v/>
      </c>
      <c r="C70" s="24" t="s">
        <v>598</v>
      </c>
      <c r="D70" s="25">
        <v>0</v>
      </c>
      <c r="E70" s="24" t="str">
        <f t="shared" si="2"/>
        <v>元</v>
      </c>
      <c r="F70" s="26"/>
      <c r="G70" s="26" t="str">
        <f>IF($B70="","",ROUND(SUMIFS(周转筐出入库明细!$S$4:$S$2004,周转筐出入库明细!$B$4:$B$2004,"&gt;="&amp;$B70,周转筐出入库明细!$B$4:$B$2004,"&lt;"&amp;$L70)+SUMIFS(次果筐明细!$J$4:$J$603,次果筐明细!$B$4:$B$603,"&gt;="&amp;$B70,次果筐明细!$B$4:$B$603,"&lt;"&amp;$L70),2))</f>
        <v/>
      </c>
      <c r="H70" s="26">
        <v>0</v>
      </c>
      <c r="I70" s="27"/>
      <c r="L70" s="28" t="str">
        <f>IF($M$2="","",DATE(YEAR($M$2),MONTH($M$2)+19,1))</f>
        <v/>
      </c>
    </row>
    <row r="71" ht="18" customHeight="1" spans="1:12">
      <c r="A71" s="22" t="str">
        <f t="shared" si="3"/>
        <v/>
      </c>
      <c r="B71" s="23" t="str">
        <f>IF($M$2="","",DATE(YEAR($M$2),MONTH($M$2)+19,1))</f>
        <v/>
      </c>
      <c r="C71" s="24" t="s">
        <v>598</v>
      </c>
      <c r="D71" s="25">
        <v>0</v>
      </c>
      <c r="E71" s="24" t="str">
        <f t="shared" si="2"/>
        <v>元</v>
      </c>
      <c r="F71" s="26"/>
      <c r="G71" s="26" t="str">
        <f>IF($B71="","",ROUND(SUMIFS(周转筐出入库明细!$S$4:$S$2004,周转筐出入库明细!$B$4:$B$2004,"&gt;="&amp;$B71,周转筐出入库明细!$B$4:$B$2004,"&lt;"&amp;$L71)+SUMIFS(次果筐明细!$J$4:$J$603,次果筐明细!$B$4:$B$603,"&gt;="&amp;$B71,次果筐明细!$B$4:$B$603,"&lt;"&amp;$L71),2))</f>
        <v/>
      </c>
      <c r="H71" s="26">
        <v>0</v>
      </c>
      <c r="I71" s="27"/>
      <c r="L71" s="28" t="str">
        <f>IF($M$2="","",DATE(YEAR($M$2),MONTH($M$2)+20,1))</f>
        <v/>
      </c>
    </row>
    <row r="72" ht="18" customHeight="1" spans="1:12">
      <c r="A72" s="22" t="str">
        <f t="shared" si="3"/>
        <v/>
      </c>
      <c r="B72" s="23" t="str">
        <f>IF($M$2="","",DATE(YEAR($M$2),MONTH($M$2)+20,1))</f>
        <v/>
      </c>
      <c r="C72" s="24" t="s">
        <v>598</v>
      </c>
      <c r="D72" s="25">
        <v>0</v>
      </c>
      <c r="E72" s="24" t="str">
        <f t="shared" si="2"/>
        <v>元</v>
      </c>
      <c r="F72" s="26"/>
      <c r="G72" s="26" t="str">
        <f>IF($B72="","",ROUND(SUMIFS(周转筐出入库明细!$S$4:$S$2004,周转筐出入库明细!$B$4:$B$2004,"&gt;="&amp;$B72,周转筐出入库明细!$B$4:$B$2004,"&lt;"&amp;$L72)+SUMIFS(次果筐明细!$J$4:$J$603,次果筐明细!$B$4:$B$603,"&gt;="&amp;$B72,次果筐明细!$B$4:$B$603,"&lt;"&amp;$L72),2))</f>
        <v/>
      </c>
      <c r="H72" s="26">
        <v>0</v>
      </c>
      <c r="I72" s="27"/>
      <c r="L72" s="28" t="str">
        <f>IF($M$2="","",DATE(YEAR($M$2),MONTH($M$2)+21,1))</f>
        <v/>
      </c>
    </row>
    <row r="73" ht="18" customHeight="1" spans="1:12">
      <c r="A73" s="22" t="str">
        <f t="shared" si="3"/>
        <v/>
      </c>
      <c r="B73" s="23" t="str">
        <f>IF($M$2="","",DATE(YEAR($M$2),MONTH($M$2)+21,1))</f>
        <v/>
      </c>
      <c r="C73" s="24" t="s">
        <v>598</v>
      </c>
      <c r="D73" s="25">
        <v>0</v>
      </c>
      <c r="E73" s="24" t="str">
        <f t="shared" si="2"/>
        <v>元</v>
      </c>
      <c r="F73" s="26"/>
      <c r="G73" s="26" t="str">
        <f>IF($B73="","",ROUND(SUMIFS(周转筐出入库明细!$S$4:$S$2004,周转筐出入库明细!$B$4:$B$2004,"&gt;="&amp;$B73,周转筐出入库明细!$B$4:$B$2004,"&lt;"&amp;$L73)+SUMIFS(次果筐明细!$J$4:$J$603,次果筐明细!$B$4:$B$603,"&gt;="&amp;$B73,次果筐明细!$B$4:$B$603,"&lt;"&amp;$L73),2))</f>
        <v/>
      </c>
      <c r="H73" s="26">
        <v>0</v>
      </c>
      <c r="I73" s="27"/>
      <c r="L73" s="28" t="str">
        <f>IF($M$2="","",DATE(YEAR($M$2),MONTH($M$2)+22,1))</f>
        <v/>
      </c>
    </row>
    <row r="74" ht="18" customHeight="1" spans="1:12">
      <c r="A74" s="22" t="str">
        <f t="shared" si="3"/>
        <v/>
      </c>
      <c r="B74" s="23" t="str">
        <f>IF($M$2="","",DATE(YEAR($M$2),MONTH($M$2)+22,1))</f>
        <v/>
      </c>
      <c r="C74" s="24" t="s">
        <v>598</v>
      </c>
      <c r="D74" s="25">
        <v>0</v>
      </c>
      <c r="E74" s="24" t="str">
        <f t="shared" si="2"/>
        <v>元</v>
      </c>
      <c r="F74" s="26"/>
      <c r="G74" s="26" t="str">
        <f>IF($B74="","",ROUND(SUMIFS(周转筐出入库明细!$S$4:$S$2004,周转筐出入库明细!$B$4:$B$2004,"&gt;="&amp;$B74,周转筐出入库明细!$B$4:$B$2004,"&lt;"&amp;$L74)+SUMIFS(次果筐明细!$J$4:$J$603,次果筐明细!$B$4:$B$603,"&gt;="&amp;$B74,次果筐明细!$B$4:$B$603,"&lt;"&amp;$L74),2))</f>
        <v/>
      </c>
      <c r="H74" s="26">
        <v>0</v>
      </c>
      <c r="I74" s="27"/>
      <c r="L74" s="28" t="str">
        <f>IF($M$2="","",DATE(YEAR($M$2),MONTH($M$2)+23,1))</f>
        <v/>
      </c>
    </row>
    <row r="75" ht="18" customHeight="1" spans="1:12">
      <c r="A75" s="22" t="str">
        <f t="shared" si="3"/>
        <v/>
      </c>
      <c r="B75" s="23" t="str">
        <f>IF($M$2="","",DATE(YEAR($M$2),MONTH($M$2)+23,1))</f>
        <v/>
      </c>
      <c r="C75" s="24" t="s">
        <v>598</v>
      </c>
      <c r="D75" s="25">
        <v>0</v>
      </c>
      <c r="E75" s="24" t="str">
        <f t="shared" si="2"/>
        <v>元</v>
      </c>
      <c r="F75" s="26"/>
      <c r="G75" s="26" t="str">
        <f>IF($B75="","",ROUND(SUMIFS(周转筐出入库明细!$S$4:$S$2004,周转筐出入库明细!$B$4:$B$2004,"&gt;="&amp;$B75,周转筐出入库明细!$B$4:$B$2004,"&lt;"&amp;$L75)+SUMIFS(次果筐明细!$J$4:$J$603,次果筐明细!$B$4:$B$603,"&gt;="&amp;$B75,次果筐明细!$B$4:$B$603,"&lt;"&amp;$L75),2))</f>
        <v/>
      </c>
      <c r="H75" s="26">
        <v>0</v>
      </c>
      <c r="I75" s="27"/>
      <c r="L75" s="28" t="str">
        <f>IF($M$2="","",DATE(YEAR($M$2),MONTH($M$2)+24,1))</f>
        <v/>
      </c>
    </row>
    <row r="76" ht="18" customHeight="1" spans="1:12">
      <c r="A76" s="22" t="str">
        <f t="shared" si="3"/>
        <v/>
      </c>
      <c r="B76" s="23" t="str">
        <f>IF($M$2="","",DATE(YEAR($M$2),MONTH($M$2)+0,1))</f>
        <v/>
      </c>
      <c r="C76" s="24" t="s">
        <v>599</v>
      </c>
      <c r="D76" s="25">
        <v>0</v>
      </c>
      <c r="E76" s="24" t="str">
        <f t="shared" si="2"/>
        <v>元</v>
      </c>
      <c r="F76" s="26"/>
      <c r="G76" s="26" t="str">
        <f>IF($B76="","",-ROUND(SUMIFS(周转筐出入库明细!$T$4:$T$2004,周转筐出入库明细!$B$4:$B$2004,"&gt;="&amp;$B76,周转筐出入库明细!$B$4:$B$2004,"&lt;"&amp;$L76)+SUMIFS(次果筐明细!$K$4:$K$603,次果筐明细!$B$4:$B$603,"&gt;="&amp;$B76,次果筐明细!$B$4:$B$603,"&lt;"&amp;$L76),2))</f>
        <v/>
      </c>
      <c r="H76" s="26">
        <v>0</v>
      </c>
      <c r="I76" s="27"/>
      <c r="L76" s="28" t="str">
        <f>IF($M$2="","",DATE(YEAR($M$2),MONTH($M$2)+1,1))</f>
        <v/>
      </c>
    </row>
    <row r="77" ht="18" customHeight="1" spans="1:12">
      <c r="A77" s="22" t="str">
        <f t="shared" si="3"/>
        <v/>
      </c>
      <c r="B77" s="23" t="str">
        <f>IF($M$2="","",DATE(YEAR($M$2),MONTH($M$2)+1,1))</f>
        <v/>
      </c>
      <c r="C77" s="24" t="s">
        <v>599</v>
      </c>
      <c r="D77" s="25">
        <v>0</v>
      </c>
      <c r="E77" s="24" t="str">
        <f t="shared" si="2"/>
        <v>元</v>
      </c>
      <c r="F77" s="26"/>
      <c r="G77" s="26" t="str">
        <f>IF($B77="","",-ROUND(SUMIFS(周转筐出入库明细!$T$4:$T$2004,周转筐出入库明细!$B$4:$B$2004,"&gt;="&amp;$B77,周转筐出入库明细!$B$4:$B$2004,"&lt;"&amp;$L77)+SUMIFS(次果筐明细!$K$4:$K$603,次果筐明细!$B$4:$B$603,"&gt;="&amp;$B77,次果筐明细!$B$4:$B$603,"&lt;"&amp;$L77),2))</f>
        <v/>
      </c>
      <c r="H77" s="26">
        <v>0</v>
      </c>
      <c r="I77" s="27"/>
      <c r="L77" s="28" t="str">
        <f>IF($M$2="","",DATE(YEAR($M$2),MONTH($M$2)+2,1))</f>
        <v/>
      </c>
    </row>
    <row r="78" spans="1:12">
      <c r="A78" s="22" t="str">
        <f t="shared" si="3"/>
        <v/>
      </c>
      <c r="B78" s="23" t="str">
        <f>IF($M$2="","",DATE(YEAR($M$2),MONTH($M$2)+2,1))</f>
        <v/>
      </c>
      <c r="C78" s="24" t="s">
        <v>599</v>
      </c>
      <c r="D78" s="25">
        <v>0</v>
      </c>
      <c r="E78" s="24" t="str">
        <f t="shared" si="2"/>
        <v>元</v>
      </c>
      <c r="F78" s="26"/>
      <c r="G78" s="26" t="str">
        <f>IF($B78="","",-ROUND(SUMIFS(周转筐出入库明细!$T$4:$T$2004,周转筐出入库明细!$B$4:$B$2004,"&gt;="&amp;$B78,周转筐出入库明细!$B$4:$B$2004,"&lt;"&amp;$L78)+SUMIFS(次果筐明细!$K$4:$K$603,次果筐明细!$B$4:$B$603,"&gt;="&amp;$B78,次果筐明细!$B$4:$B$603,"&lt;"&amp;$L78),2))</f>
        <v/>
      </c>
      <c r="H78" s="26">
        <v>0</v>
      </c>
      <c r="I78" s="27"/>
      <c r="L78" s="28" t="str">
        <f>IF($M$2="","",DATE(YEAR($M$2),MONTH($M$2)+3,1))</f>
        <v/>
      </c>
    </row>
    <row r="79" spans="1:12">
      <c r="A79" s="22" t="str">
        <f t="shared" si="3"/>
        <v/>
      </c>
      <c r="B79" s="23" t="str">
        <f>IF($M$2="","",DATE(YEAR($M$2),MONTH($M$2)+3,1))</f>
        <v/>
      </c>
      <c r="C79" s="24" t="s">
        <v>599</v>
      </c>
      <c r="D79" s="25">
        <v>0</v>
      </c>
      <c r="E79" s="24" t="str">
        <f t="shared" si="2"/>
        <v>元</v>
      </c>
      <c r="F79" s="26"/>
      <c r="G79" s="26" t="str">
        <f>IF($B79="","",-ROUND(SUMIFS(周转筐出入库明细!$T$4:$T$2004,周转筐出入库明细!$B$4:$B$2004,"&gt;="&amp;$B79,周转筐出入库明细!$B$4:$B$2004,"&lt;"&amp;$L79)+SUMIFS(次果筐明细!$K$4:$K$603,次果筐明细!$B$4:$B$603,"&gt;="&amp;$B79,次果筐明细!$B$4:$B$603,"&lt;"&amp;$L79),2))</f>
        <v/>
      </c>
      <c r="H79" s="26">
        <v>0</v>
      </c>
      <c r="I79" s="27"/>
      <c r="L79" s="28" t="str">
        <f>IF($M$2="","",DATE(YEAR($M$2),MONTH($M$2)+4,1))</f>
        <v/>
      </c>
    </row>
    <row r="80" ht="18" customHeight="1" spans="1:12">
      <c r="A80" s="22" t="str">
        <f t="shared" si="3"/>
        <v/>
      </c>
      <c r="B80" s="23" t="str">
        <f>IF($M$2="","",DATE(YEAR($M$2),MONTH($M$2)+4,1))</f>
        <v/>
      </c>
      <c r="C80" s="24" t="s">
        <v>599</v>
      </c>
      <c r="D80" s="25">
        <v>0</v>
      </c>
      <c r="E80" s="24" t="str">
        <f t="shared" si="2"/>
        <v>元</v>
      </c>
      <c r="F80" s="26"/>
      <c r="G80" s="26" t="str">
        <f>IF($B80="","",-ROUND(SUMIFS(周转筐出入库明细!$T$4:$T$2004,周转筐出入库明细!$B$4:$B$2004,"&gt;="&amp;$B80,周转筐出入库明细!$B$4:$B$2004,"&lt;"&amp;$L80)+SUMIFS(次果筐明细!$K$4:$K$603,次果筐明细!$B$4:$B$603,"&gt;="&amp;$B80,次果筐明细!$B$4:$B$603,"&lt;"&amp;$L80),2))</f>
        <v/>
      </c>
      <c r="H80" s="26">
        <v>0</v>
      </c>
      <c r="I80" s="27"/>
      <c r="L80" s="28" t="str">
        <f>IF($M$2="","",DATE(YEAR($M$2),MONTH($M$2)+5,1))</f>
        <v/>
      </c>
    </row>
    <row r="81" ht="18" customHeight="1" spans="1:12">
      <c r="A81" s="22" t="str">
        <f t="shared" si="3"/>
        <v/>
      </c>
      <c r="B81" s="23" t="str">
        <f>IF($M$2="","",DATE(YEAR($M$2),MONTH($M$2)+5,1))</f>
        <v/>
      </c>
      <c r="C81" s="24" t="s">
        <v>599</v>
      </c>
      <c r="D81" s="25">
        <v>0</v>
      </c>
      <c r="E81" s="24" t="str">
        <f t="shared" si="2"/>
        <v>元</v>
      </c>
      <c r="F81" s="26"/>
      <c r="G81" s="26" t="str">
        <f>IF($B81="","",-ROUND(SUMIFS(周转筐出入库明细!$T$4:$T$2004,周转筐出入库明细!$B$4:$B$2004,"&gt;="&amp;$B81,周转筐出入库明细!$B$4:$B$2004,"&lt;"&amp;$L81)+SUMIFS(次果筐明细!$K$4:$K$603,次果筐明细!$B$4:$B$603,"&gt;="&amp;$B81,次果筐明细!$B$4:$B$603,"&lt;"&amp;$L81),2))</f>
        <v/>
      </c>
      <c r="H81" s="26">
        <v>0</v>
      </c>
      <c r="I81" s="27"/>
      <c r="L81" s="28" t="str">
        <f>IF($M$2="","",DATE(YEAR($M$2),MONTH($M$2)+6,1))</f>
        <v/>
      </c>
    </row>
    <row r="82" ht="18" customHeight="1" spans="1:12">
      <c r="A82" s="22" t="str">
        <f t="shared" si="3"/>
        <v/>
      </c>
      <c r="B82" s="23" t="str">
        <f>IF($M$2="","",DATE(YEAR($M$2),MONTH($M$2)+6,1))</f>
        <v/>
      </c>
      <c r="C82" s="24" t="s">
        <v>599</v>
      </c>
      <c r="D82" s="25">
        <v>0</v>
      </c>
      <c r="E82" s="24" t="str">
        <f t="shared" si="2"/>
        <v>元</v>
      </c>
      <c r="F82" s="26"/>
      <c r="G82" s="26" t="str">
        <f>IF($B82="","",-ROUND(SUMIFS(周转筐出入库明细!$T$4:$T$2004,周转筐出入库明细!$B$4:$B$2004,"&gt;="&amp;$B82,周转筐出入库明细!$B$4:$B$2004,"&lt;"&amp;$L82)+SUMIFS(次果筐明细!$K$4:$K$603,次果筐明细!$B$4:$B$603,"&gt;="&amp;$B82,次果筐明细!$B$4:$B$603,"&lt;"&amp;$L82),2))</f>
        <v/>
      </c>
      <c r="H82" s="26">
        <v>0</v>
      </c>
      <c r="I82" s="27"/>
      <c r="L82" s="28" t="str">
        <f>IF($M$2="","",DATE(YEAR($M$2),MONTH($M$2)+7,1))</f>
        <v/>
      </c>
    </row>
    <row r="83" ht="18" customHeight="1" spans="1:12">
      <c r="A83" s="22" t="str">
        <f t="shared" si="3"/>
        <v/>
      </c>
      <c r="B83" s="23" t="str">
        <f>IF($M$2="","",DATE(YEAR($M$2),MONTH($M$2)+7,1))</f>
        <v/>
      </c>
      <c r="C83" s="24" t="s">
        <v>599</v>
      </c>
      <c r="D83" s="25">
        <v>0</v>
      </c>
      <c r="E83" s="24" t="str">
        <f t="shared" si="2"/>
        <v>元</v>
      </c>
      <c r="F83" s="26"/>
      <c r="G83" s="26" t="str">
        <f>IF($B83="","",-ROUND(SUMIFS(周转筐出入库明细!$T$4:$T$2004,周转筐出入库明细!$B$4:$B$2004,"&gt;="&amp;$B83,周转筐出入库明细!$B$4:$B$2004,"&lt;"&amp;$L83)+SUMIFS(次果筐明细!$K$4:$K$603,次果筐明细!$B$4:$B$603,"&gt;="&amp;$B83,次果筐明细!$B$4:$B$603,"&lt;"&amp;$L83),2))</f>
        <v/>
      </c>
      <c r="H83" s="26">
        <v>0</v>
      </c>
      <c r="I83" s="27"/>
      <c r="L83" s="28" t="str">
        <f>IF($M$2="","",DATE(YEAR($M$2),MONTH($M$2)+8,1))</f>
        <v/>
      </c>
    </row>
    <row r="84" spans="1:12">
      <c r="A84" s="22" t="str">
        <f t="shared" si="3"/>
        <v/>
      </c>
      <c r="B84" s="23" t="str">
        <f>IF($M$2="","",DATE(YEAR($M$2),MONTH($M$2)+8,1))</f>
        <v/>
      </c>
      <c r="C84" s="24" t="s">
        <v>599</v>
      </c>
      <c r="D84" s="25">
        <v>0</v>
      </c>
      <c r="E84" s="24" t="str">
        <f t="shared" si="2"/>
        <v>元</v>
      </c>
      <c r="F84" s="26"/>
      <c r="G84" s="26" t="str">
        <f>IF($B84="","",-ROUND(SUMIFS(周转筐出入库明细!$T$4:$T$2004,周转筐出入库明细!$B$4:$B$2004,"&gt;="&amp;$B84,周转筐出入库明细!$B$4:$B$2004,"&lt;"&amp;$L84)+SUMIFS(次果筐明细!$K$4:$K$603,次果筐明细!$B$4:$B$603,"&gt;="&amp;$B84,次果筐明细!$B$4:$B$603,"&lt;"&amp;$L84),2))</f>
        <v/>
      </c>
      <c r="H84" s="26">
        <v>0</v>
      </c>
      <c r="I84" s="27"/>
      <c r="L84" s="28" t="str">
        <f>IF($M$2="","",DATE(YEAR($M$2),MONTH($M$2)+9,1))</f>
        <v/>
      </c>
    </row>
    <row r="85" spans="1:12">
      <c r="A85" s="22" t="str">
        <f t="shared" si="3"/>
        <v/>
      </c>
      <c r="B85" s="23" t="str">
        <f>IF($M$2="","",DATE(YEAR($M$2),MONTH($M$2)+9,1))</f>
        <v/>
      </c>
      <c r="C85" s="24" t="s">
        <v>599</v>
      </c>
      <c r="D85" s="25">
        <v>0</v>
      </c>
      <c r="E85" s="24" t="str">
        <f t="shared" si="2"/>
        <v>元</v>
      </c>
      <c r="F85" s="26"/>
      <c r="G85" s="26" t="str">
        <f>IF($B85="","",-ROUND(SUMIFS(周转筐出入库明细!$T$4:$T$2004,周转筐出入库明细!$B$4:$B$2004,"&gt;="&amp;$B85,周转筐出入库明细!$B$4:$B$2004,"&lt;"&amp;$L85)+SUMIFS(次果筐明细!$K$4:$K$603,次果筐明细!$B$4:$B$603,"&gt;="&amp;$B85,次果筐明细!$B$4:$B$603,"&lt;"&amp;$L85),2))</f>
        <v/>
      </c>
      <c r="H85" s="26">
        <v>0</v>
      </c>
      <c r="I85" s="27"/>
      <c r="L85" s="28" t="str">
        <f>IF($M$2="","",DATE(YEAR($M$2),MONTH($M$2)+10,1))</f>
        <v/>
      </c>
    </row>
    <row r="86" ht="24" customHeight="1" spans="1:12">
      <c r="A86" s="22" t="str">
        <f t="shared" si="3"/>
        <v/>
      </c>
      <c r="B86" s="23" t="str">
        <f>IF($M$2="","",DATE(YEAR($M$2),MONTH($M$2)+10,1))</f>
        <v/>
      </c>
      <c r="C86" s="24" t="s">
        <v>599</v>
      </c>
      <c r="D86" s="25">
        <v>0</v>
      </c>
      <c r="E86" s="24" t="str">
        <f t="shared" si="2"/>
        <v>元</v>
      </c>
      <c r="F86" s="26"/>
      <c r="G86" s="26" t="str">
        <f>IF($B86="","",-ROUND(SUMIFS(周转筐出入库明细!$T$4:$T$2004,周转筐出入库明细!$B$4:$B$2004,"&gt;="&amp;$B86,周转筐出入库明细!$B$4:$B$2004,"&lt;"&amp;$L86)+SUMIFS(次果筐明细!$K$4:$K$603,次果筐明细!$B$4:$B$603,"&gt;="&amp;$B86,次果筐明细!$B$4:$B$603,"&lt;"&amp;$L86),2))</f>
        <v/>
      </c>
      <c r="H86" s="26">
        <v>0</v>
      </c>
      <c r="I86" s="27"/>
      <c r="L86" s="28" t="str">
        <f>IF($M$2="","",DATE(YEAR($M$2),MONTH($M$2)+11,1))</f>
        <v/>
      </c>
    </row>
    <row r="87" ht="18" customHeight="1" spans="1:12">
      <c r="A87" s="22" t="str">
        <f t="shared" si="3"/>
        <v/>
      </c>
      <c r="B87" s="23" t="str">
        <f>IF($M$2="","",DATE(YEAR($M$2),MONTH($M$2)+11,1))</f>
        <v/>
      </c>
      <c r="C87" s="24" t="s">
        <v>599</v>
      </c>
      <c r="D87" s="25">
        <v>0</v>
      </c>
      <c r="E87" s="26" t="str">
        <f t="shared" si="2"/>
        <v>元</v>
      </c>
      <c r="F87" s="26"/>
      <c r="G87" s="26" t="str">
        <f>IF($B87="","",-ROUND(SUMIFS(周转筐出入库明细!$T$4:$T$2004,周转筐出入库明细!$B$4:$B$2004,"&gt;="&amp;$B87,周转筐出入库明细!$B$4:$B$2004,"&lt;"&amp;$L87)+SUMIFS(次果筐明细!$K$4:$K$603,次果筐明细!$B$4:$B$603,"&gt;="&amp;$B87,次果筐明细!$B$4:$B$603,"&lt;"&amp;$L87),2))</f>
        <v/>
      </c>
      <c r="H87" s="26">
        <v>0</v>
      </c>
      <c r="I87" s="27"/>
      <c r="L87" s="28" t="str">
        <f>IF($M$2="","",DATE(YEAR($M$2),MONTH($M$2)+12,1))</f>
        <v/>
      </c>
    </row>
    <row r="88" ht="18" customHeight="1" spans="1:12">
      <c r="A88" s="22" t="str">
        <f t="shared" si="3"/>
        <v/>
      </c>
      <c r="B88" s="23" t="str">
        <f>IF($M$2="","",DATE(YEAR($M$2),MONTH($M$2)+12,1))</f>
        <v/>
      </c>
      <c r="C88" s="24" t="s">
        <v>599</v>
      </c>
      <c r="D88" s="25">
        <v>0</v>
      </c>
      <c r="E88" s="26" t="str">
        <f t="shared" si="2"/>
        <v>元</v>
      </c>
      <c r="F88" s="26"/>
      <c r="G88" s="26" t="str">
        <f>IF($B88="","",-ROUND(SUMIFS(周转筐出入库明细!$T$4:$T$2004,周转筐出入库明细!$B$4:$B$2004,"&gt;="&amp;$B88,周转筐出入库明细!$B$4:$B$2004,"&lt;"&amp;$L88)+SUMIFS(次果筐明细!$K$4:$K$603,次果筐明细!$B$4:$B$603,"&gt;="&amp;$B88,次果筐明细!$B$4:$B$603,"&lt;"&amp;$L88),2))</f>
        <v/>
      </c>
      <c r="H88" s="26">
        <v>0</v>
      </c>
      <c r="I88" s="27"/>
      <c r="L88" s="28" t="str">
        <f>IF($M$2="","",DATE(YEAR($M$2),MONTH($M$2)+13,1))</f>
        <v/>
      </c>
    </row>
    <row r="89" ht="18" customHeight="1" spans="1:12">
      <c r="A89" s="22" t="str">
        <f t="shared" si="3"/>
        <v/>
      </c>
      <c r="B89" s="23" t="str">
        <f>IF($M$2="","",DATE(YEAR($M$2),MONTH($M$2)+13,1))</f>
        <v/>
      </c>
      <c r="C89" s="24" t="s">
        <v>599</v>
      </c>
      <c r="D89" s="25">
        <v>0</v>
      </c>
      <c r="E89" s="26" t="str">
        <f t="shared" si="2"/>
        <v>元</v>
      </c>
      <c r="F89" s="26"/>
      <c r="G89" s="26" t="str">
        <f>IF($B89="","",-ROUND(SUMIFS(周转筐出入库明细!$T$4:$T$2004,周转筐出入库明细!$B$4:$B$2004,"&gt;="&amp;$B89,周转筐出入库明细!$B$4:$B$2004,"&lt;"&amp;$L89)+SUMIFS(次果筐明细!$K$4:$K$603,次果筐明细!$B$4:$B$603,"&gt;="&amp;$B89,次果筐明细!$B$4:$B$603,"&lt;"&amp;$L89),2))</f>
        <v/>
      </c>
      <c r="H89" s="26">
        <v>0</v>
      </c>
      <c r="I89" s="27"/>
      <c r="L89" s="28" t="str">
        <f>IF($M$2="","",DATE(YEAR($M$2),MONTH($M$2)+14,1))</f>
        <v/>
      </c>
    </row>
    <row r="90" ht="18" customHeight="1" spans="1:12">
      <c r="A90" s="22" t="str">
        <f t="shared" si="3"/>
        <v/>
      </c>
      <c r="B90" s="23" t="str">
        <f>IF($M$2="","",DATE(YEAR($M$2),MONTH($M$2)+14,1))</f>
        <v/>
      </c>
      <c r="C90" s="24" t="s">
        <v>599</v>
      </c>
      <c r="D90" s="25">
        <v>0</v>
      </c>
      <c r="E90" s="26" t="str">
        <f t="shared" si="2"/>
        <v>元</v>
      </c>
      <c r="F90" s="26"/>
      <c r="G90" s="26" t="str">
        <f>IF($B90="","",-ROUND(SUMIFS(周转筐出入库明细!$T$4:$T$2004,周转筐出入库明细!$B$4:$B$2004,"&gt;="&amp;$B90,周转筐出入库明细!$B$4:$B$2004,"&lt;"&amp;$L90)+SUMIFS(次果筐明细!$K$4:$K$603,次果筐明细!$B$4:$B$603,"&gt;="&amp;$B90,次果筐明细!$B$4:$B$603,"&lt;"&amp;$L90),2))</f>
        <v/>
      </c>
      <c r="H90" s="26">
        <v>0</v>
      </c>
      <c r="I90" s="27"/>
      <c r="L90" s="28" t="str">
        <f>IF($M$2="","",DATE(YEAR($M$2),MONTH($M$2)+15,1))</f>
        <v/>
      </c>
    </row>
    <row r="91" ht="18" customHeight="1" spans="1:12">
      <c r="A91" s="22" t="str">
        <f t="shared" si="3"/>
        <v/>
      </c>
      <c r="B91" s="23" t="str">
        <f>IF($M$2="","",DATE(YEAR($M$2),MONTH($M$2)+15,1))</f>
        <v/>
      </c>
      <c r="C91" s="24" t="s">
        <v>599</v>
      </c>
      <c r="D91" s="25">
        <v>0</v>
      </c>
      <c r="E91" s="26" t="str">
        <f t="shared" si="2"/>
        <v>元</v>
      </c>
      <c r="F91" s="26"/>
      <c r="G91" s="26" t="str">
        <f>IF($B91="","",-ROUND(SUMIFS(周转筐出入库明细!$T$4:$T$2004,周转筐出入库明细!$B$4:$B$2004,"&gt;="&amp;$B91,周转筐出入库明细!$B$4:$B$2004,"&lt;"&amp;$L91)+SUMIFS(次果筐明细!$K$4:$K$603,次果筐明细!$B$4:$B$603,"&gt;="&amp;$B91,次果筐明细!$B$4:$B$603,"&lt;"&amp;$L91),2))</f>
        <v/>
      </c>
      <c r="H91" s="26">
        <v>0</v>
      </c>
      <c r="I91" s="27"/>
      <c r="L91" s="28" t="str">
        <f>IF($M$2="","",DATE(YEAR($M$2),MONTH($M$2)+16,1))</f>
        <v/>
      </c>
    </row>
    <row r="92" ht="18" customHeight="1" spans="1:12">
      <c r="A92" s="22" t="str">
        <f t="shared" si="3"/>
        <v/>
      </c>
      <c r="B92" s="23" t="str">
        <f>IF($M$2="","",DATE(YEAR($M$2),MONTH($M$2)+16,1))</f>
        <v/>
      </c>
      <c r="C92" s="24" t="s">
        <v>599</v>
      </c>
      <c r="D92" s="25">
        <v>0</v>
      </c>
      <c r="E92" s="26" t="str">
        <f t="shared" si="2"/>
        <v>元</v>
      </c>
      <c r="F92" s="26"/>
      <c r="G92" s="26" t="str">
        <f>IF($B92="","",-ROUND(SUMIFS(周转筐出入库明细!$T$4:$T$2004,周转筐出入库明细!$B$4:$B$2004,"&gt;="&amp;$B92,周转筐出入库明细!$B$4:$B$2004,"&lt;"&amp;$L92)+SUMIFS(次果筐明细!$K$4:$K$603,次果筐明细!$B$4:$B$603,"&gt;="&amp;$B92,次果筐明细!$B$4:$B$603,"&lt;"&amp;$L92),2))</f>
        <v/>
      </c>
      <c r="H92" s="26">
        <v>0</v>
      </c>
      <c r="I92" s="27"/>
      <c r="L92" s="28" t="str">
        <f>IF($M$2="","",DATE(YEAR($M$2),MONTH($M$2)+17,1))</f>
        <v/>
      </c>
    </row>
    <row r="93" ht="18" customHeight="1" spans="1:12">
      <c r="A93" s="22" t="str">
        <f t="shared" si="3"/>
        <v/>
      </c>
      <c r="B93" s="23" t="str">
        <f>IF($M$2="","",DATE(YEAR($M$2),MONTH($M$2)+17,1))</f>
        <v/>
      </c>
      <c r="C93" s="24" t="s">
        <v>599</v>
      </c>
      <c r="D93" s="25">
        <v>0</v>
      </c>
      <c r="E93" s="26" t="str">
        <f t="shared" si="2"/>
        <v>元</v>
      </c>
      <c r="F93" s="26"/>
      <c r="G93" s="26" t="str">
        <f>IF($B93="","",-ROUND(SUMIFS(周转筐出入库明细!$T$4:$T$2004,周转筐出入库明细!$B$4:$B$2004,"&gt;="&amp;$B93,周转筐出入库明细!$B$4:$B$2004,"&lt;"&amp;$L93)+SUMIFS(次果筐明细!$K$4:$K$603,次果筐明细!$B$4:$B$603,"&gt;="&amp;$B93,次果筐明细!$B$4:$B$603,"&lt;"&amp;$L93),2))</f>
        <v/>
      </c>
      <c r="H93" s="26">
        <v>0</v>
      </c>
      <c r="I93" s="27"/>
      <c r="L93" s="28" t="str">
        <f>IF($M$2="","",DATE(YEAR($M$2),MONTH($M$2)+18,1))</f>
        <v/>
      </c>
    </row>
    <row r="94" ht="18" customHeight="1" spans="1:12">
      <c r="A94" s="22" t="str">
        <f t="shared" si="3"/>
        <v/>
      </c>
      <c r="B94" s="23" t="str">
        <f>IF($M$2="","",DATE(YEAR($M$2),MONTH($M$2)+18,1))</f>
        <v/>
      </c>
      <c r="C94" s="24" t="s">
        <v>599</v>
      </c>
      <c r="D94" s="25">
        <v>0</v>
      </c>
      <c r="E94" s="26" t="str">
        <f t="shared" si="2"/>
        <v>元</v>
      </c>
      <c r="F94" s="26"/>
      <c r="G94" s="26" t="str">
        <f>IF($B94="","",-ROUND(SUMIFS(周转筐出入库明细!$T$4:$T$2004,周转筐出入库明细!$B$4:$B$2004,"&gt;="&amp;$B94,周转筐出入库明细!$B$4:$B$2004,"&lt;"&amp;$L94)+SUMIFS(次果筐明细!$K$4:$K$603,次果筐明细!$B$4:$B$603,"&gt;="&amp;$B94,次果筐明细!$B$4:$B$603,"&lt;"&amp;$L94),2))</f>
        <v/>
      </c>
      <c r="H94" s="26">
        <v>0</v>
      </c>
      <c r="I94" s="27"/>
      <c r="L94" s="28" t="str">
        <f>IF($M$2="","",DATE(YEAR($M$2),MONTH($M$2)+19,1))</f>
        <v/>
      </c>
    </row>
    <row r="95" ht="18" customHeight="1" spans="1:12">
      <c r="A95" s="22" t="str">
        <f t="shared" si="3"/>
        <v/>
      </c>
      <c r="B95" s="23" t="str">
        <f>IF($M$2="","",DATE(YEAR($M$2),MONTH($M$2)+19,1))</f>
        <v/>
      </c>
      <c r="C95" s="24" t="s">
        <v>599</v>
      </c>
      <c r="D95" s="25">
        <v>0</v>
      </c>
      <c r="E95" s="26" t="str">
        <f t="shared" si="2"/>
        <v>元</v>
      </c>
      <c r="F95" s="26"/>
      <c r="G95" s="26" t="str">
        <f>IF($B95="","",-ROUND(SUMIFS(周转筐出入库明细!$T$4:$T$2004,周转筐出入库明细!$B$4:$B$2004,"&gt;="&amp;$B95,周转筐出入库明细!$B$4:$B$2004,"&lt;"&amp;$L95)+SUMIFS(次果筐明细!$K$4:$K$603,次果筐明细!$B$4:$B$603,"&gt;="&amp;$B95,次果筐明细!$B$4:$B$603,"&lt;"&amp;$L95),2))</f>
        <v/>
      </c>
      <c r="H95" s="26">
        <v>0</v>
      </c>
      <c r="I95" s="27"/>
      <c r="L95" s="28" t="str">
        <f>IF($M$2="","",DATE(YEAR($M$2),MONTH($M$2)+20,1))</f>
        <v/>
      </c>
    </row>
    <row r="96" ht="18" customHeight="1" spans="1:12">
      <c r="A96" s="22" t="str">
        <f t="shared" si="3"/>
        <v/>
      </c>
      <c r="B96" s="23" t="str">
        <f>IF($M$2="","",DATE(YEAR($M$2),MONTH($M$2)+20,1))</f>
        <v/>
      </c>
      <c r="C96" s="24" t="s">
        <v>599</v>
      </c>
      <c r="D96" s="25">
        <v>0</v>
      </c>
      <c r="E96" s="26" t="str">
        <f t="shared" si="2"/>
        <v>元</v>
      </c>
      <c r="F96" s="26"/>
      <c r="G96" s="26" t="str">
        <f>IF($B96="","",-ROUND(SUMIFS(周转筐出入库明细!$T$4:$T$2004,周转筐出入库明细!$B$4:$B$2004,"&gt;="&amp;$B96,周转筐出入库明细!$B$4:$B$2004,"&lt;"&amp;$L96)+SUMIFS(次果筐明细!$K$4:$K$603,次果筐明细!$B$4:$B$603,"&gt;="&amp;$B96,次果筐明细!$B$4:$B$603,"&lt;"&amp;$L96),2))</f>
        <v/>
      </c>
      <c r="H96" s="26">
        <v>0</v>
      </c>
      <c r="I96" s="27"/>
      <c r="L96" s="28" t="str">
        <f>IF($M$2="","",DATE(YEAR($M$2),MONTH($M$2)+21,1))</f>
        <v/>
      </c>
    </row>
    <row r="97" ht="18" customHeight="1" spans="1:12">
      <c r="A97" s="22" t="str">
        <f t="shared" si="3"/>
        <v/>
      </c>
      <c r="B97" s="23" t="str">
        <f>IF($M$2="","",DATE(YEAR($M$2),MONTH($M$2)+21,1))</f>
        <v/>
      </c>
      <c r="C97" s="24" t="s">
        <v>599</v>
      </c>
      <c r="D97" s="25">
        <v>0</v>
      </c>
      <c r="E97" s="26" t="str">
        <f t="shared" si="2"/>
        <v>元</v>
      </c>
      <c r="F97" s="26"/>
      <c r="G97" s="26" t="str">
        <f>IF($B97="","",-ROUND(SUMIFS(周转筐出入库明细!$T$4:$T$2004,周转筐出入库明细!$B$4:$B$2004,"&gt;="&amp;$B97,周转筐出入库明细!$B$4:$B$2004,"&lt;"&amp;$L97)+SUMIFS(次果筐明细!$K$4:$K$603,次果筐明细!$B$4:$B$603,"&gt;="&amp;$B97,次果筐明细!$B$4:$B$603,"&lt;"&amp;$L97),2))</f>
        <v/>
      </c>
      <c r="H97" s="26">
        <v>0</v>
      </c>
      <c r="I97" s="27"/>
      <c r="L97" s="28" t="str">
        <f>IF($M$2="","",DATE(YEAR($M$2),MONTH($M$2)+22,1))</f>
        <v/>
      </c>
    </row>
    <row r="98" ht="18" customHeight="1" spans="1:12">
      <c r="A98" s="22" t="str">
        <f t="shared" si="3"/>
        <v/>
      </c>
      <c r="B98" s="23" t="str">
        <f>IF($M$2="","",DATE(YEAR($M$2),MONTH($M$2)+22,1))</f>
        <v/>
      </c>
      <c r="C98" s="24" t="s">
        <v>599</v>
      </c>
      <c r="D98" s="25">
        <v>0</v>
      </c>
      <c r="E98" s="26" t="str">
        <f t="shared" si="2"/>
        <v>元</v>
      </c>
      <c r="F98" s="26"/>
      <c r="G98" s="26" t="str">
        <f>IF($B98="","",-ROUND(SUMIFS(周转筐出入库明细!$T$4:$T$2004,周转筐出入库明细!$B$4:$B$2004,"&gt;="&amp;$B98,周转筐出入库明细!$B$4:$B$2004,"&lt;"&amp;$L98)+SUMIFS(次果筐明细!$K$4:$K$603,次果筐明细!$B$4:$B$603,"&gt;="&amp;$B98,次果筐明细!$B$4:$B$603,"&lt;"&amp;$L98),2))</f>
        <v/>
      </c>
      <c r="H98" s="26">
        <v>0</v>
      </c>
      <c r="I98" s="27"/>
      <c r="L98" s="28" t="str">
        <f>IF($M$2="","",DATE(YEAR($M$2),MONTH($M$2)+23,1))</f>
        <v/>
      </c>
    </row>
    <row r="99" ht="18" customHeight="1" spans="1:12">
      <c r="A99" s="22" t="str">
        <f t="shared" si="3"/>
        <v/>
      </c>
      <c r="B99" s="23" t="str">
        <f>IF($M$2="","",DATE(YEAR($M$2),MONTH($M$2)+23,1))</f>
        <v/>
      </c>
      <c r="C99" s="24" t="s">
        <v>599</v>
      </c>
      <c r="D99" s="25">
        <v>0</v>
      </c>
      <c r="E99" s="26" t="str">
        <f t="shared" si="2"/>
        <v>元</v>
      </c>
      <c r="F99" s="26"/>
      <c r="G99" s="26" t="str">
        <f>IF($B99="","",-ROUND(SUMIFS(周转筐出入库明细!$T$4:$T$2004,周转筐出入库明细!$B$4:$B$2004,"&gt;="&amp;$B99,周转筐出入库明细!$B$4:$B$2004,"&lt;"&amp;$L99)+SUMIFS(次果筐明细!$K$4:$K$603,次果筐明细!$B$4:$B$603,"&gt;="&amp;$B99,次果筐明细!$B$4:$B$603,"&lt;"&amp;$L99),2))</f>
        <v/>
      </c>
      <c r="H99" s="26">
        <v>0</v>
      </c>
      <c r="I99" s="27"/>
      <c r="L99" s="28" t="str">
        <f>IF($M$2="","",DATE(YEAR($M$2),MONTH($M$2)+24,1))</f>
        <v/>
      </c>
    </row>
    <row r="100" ht="18" customHeight="1" spans="1:12">
      <c r="A100" s="29"/>
      <c r="B100" s="29"/>
      <c r="C100" s="29"/>
      <c r="D100" s="30"/>
      <c r="E100" s="30"/>
      <c r="F100" s="5"/>
      <c r="G100" s="30"/>
      <c r="H100" s="30"/>
      <c r="I100" s="5"/>
    </row>
    <row r="101" ht="20" customHeight="1" spans="1:12">
      <c r="A101" s="31" t="s">
        <v>600</v>
      </c>
      <c r="B101" s="17"/>
      <c r="C101" s="17"/>
      <c r="D101" s="17"/>
      <c r="E101" s="17"/>
      <c r="F101" s="17"/>
      <c r="G101" s="17"/>
      <c r="H101" s="17"/>
      <c r="I101" s="18"/>
    </row>
    <row r="102" ht="30" customHeight="1" spans="1:12">
      <c r="A102" s="21" t="s">
        <v>3</v>
      </c>
      <c r="B102" s="21" t="s">
        <v>591</v>
      </c>
      <c r="C102" s="21" t="s">
        <v>592</v>
      </c>
      <c r="D102" s="32" t="s">
        <v>593</v>
      </c>
      <c r="E102" s="32" t="s">
        <v>136</v>
      </c>
      <c r="F102" s="21" t="s">
        <v>594</v>
      </c>
      <c r="G102" s="32" t="s">
        <v>595</v>
      </c>
      <c r="H102" s="32" t="s">
        <v>500</v>
      </c>
      <c r="I102" s="21" t="s">
        <v>306</v>
      </c>
    </row>
    <row r="103" ht="18" customHeight="1" spans="1:12">
      <c r="A103" s="22" t="str">
        <f t="shared" ref="A103:A150" si="4">IF($B103="","",ROW()-3)</f>
        <v/>
      </c>
      <c r="B103" s="23" t="str">
        <f>IF($M$2="","",DATE(YEAR($M$2),MONTH($M$2)+0,1))</f>
        <v/>
      </c>
      <c r="C103" s="24" t="s">
        <v>601</v>
      </c>
      <c r="D103" s="25" t="str">
        <f>IF($B103="","",SUMIFS(包装物料出入库明细!$I$4:$I$2003,包装物料出入库明细!$H$4:$H$2003,"采购入库",包装物料出入库明细!$B$4:$B$2003,"&gt;="&amp;$B103,包装物料出入库明细!$B$4:$B$2003,"&lt;"&amp;$L103))</f>
        <v/>
      </c>
      <c r="E103" s="26" t="str">
        <f>_自动清单!$CE$1</f>
        <v>包</v>
      </c>
      <c r="F103" s="24"/>
      <c r="G103" s="26" t="str">
        <f>IF($B103="","",ROUND(SUMIFS(包装物料出入库明细!$N$4:$N$2003,包装物料出入库明细!$H$4:$H$2003,"采购入库",包装物料出入库明细!$B$4:$B$2003,"&gt;="&amp;$B103,包装物料出入库明细!$B$4:$B$2003,"&lt;"&amp;$L103),2))</f>
        <v/>
      </c>
      <c r="H103" s="26">
        <v>0</v>
      </c>
      <c r="I103" s="27"/>
      <c r="L103" s="28" t="str">
        <f>IF($M$2="","",DATE(YEAR($M$2),MONTH($M$2)+1,1))</f>
        <v/>
      </c>
    </row>
    <row r="104" ht="18" customHeight="1" spans="1:12">
      <c r="A104" s="22" t="str">
        <f t="shared" si="4"/>
        <v/>
      </c>
      <c r="B104" s="23" t="str">
        <f>IF($M$2="","",DATE(YEAR($M$2),MONTH($M$2)+1,1))</f>
        <v/>
      </c>
      <c r="C104" s="24" t="s">
        <v>601</v>
      </c>
      <c r="D104" s="25" t="str">
        <f>IF($B104="","",SUMIFS(包装物料出入库明细!$I$4:$I$2003,包装物料出入库明细!$H$4:$H$2003,"采购入库",包装物料出入库明细!$B$4:$B$2003,"&gt;="&amp;$B104,包装物料出入库明细!$B$4:$B$2003,"&lt;"&amp;$L104))</f>
        <v/>
      </c>
      <c r="E104" s="26" t="str">
        <f>_自动清单!$CE$1</f>
        <v>包</v>
      </c>
      <c r="F104" s="24"/>
      <c r="G104" s="26" t="str">
        <f>IF($B104="","",ROUND(SUMIFS(包装物料出入库明细!$N$4:$N$2003,包装物料出入库明细!$H$4:$H$2003,"采购入库",包装物料出入库明细!$B$4:$B$2003,"&gt;="&amp;$B104,包装物料出入库明细!$B$4:$B$2003,"&lt;"&amp;$L104),2))</f>
        <v/>
      </c>
      <c r="H104" s="26">
        <v>0</v>
      </c>
      <c r="I104" s="27"/>
      <c r="L104" s="28" t="str">
        <f>IF($M$2="","",DATE(YEAR($M$2),MONTH($M$2)+2,1))</f>
        <v/>
      </c>
    </row>
    <row r="105" ht="18" customHeight="1" spans="1:12">
      <c r="A105" s="22" t="str">
        <f t="shared" si="4"/>
        <v/>
      </c>
      <c r="B105" s="23" t="str">
        <f>IF($M$2="","",DATE(YEAR($M$2),MONTH($M$2)+2,1))</f>
        <v/>
      </c>
      <c r="C105" s="24" t="s">
        <v>601</v>
      </c>
      <c r="D105" s="25" t="str">
        <f>IF($B105="","",SUMIFS(包装物料出入库明细!$I$4:$I$2003,包装物料出入库明细!$H$4:$H$2003,"采购入库",包装物料出入库明细!$B$4:$B$2003,"&gt;="&amp;$B105,包装物料出入库明细!$B$4:$B$2003,"&lt;"&amp;$L105))</f>
        <v/>
      </c>
      <c r="E105" s="26" t="str">
        <f>_自动清单!$CE$1</f>
        <v>包</v>
      </c>
      <c r="F105" s="24"/>
      <c r="G105" s="26" t="str">
        <f>IF($B105="","",ROUND(SUMIFS(包装物料出入库明细!$N$4:$N$2003,包装物料出入库明细!$H$4:$H$2003,"采购入库",包装物料出入库明细!$B$4:$B$2003,"&gt;="&amp;$B105,包装物料出入库明细!$B$4:$B$2003,"&lt;"&amp;$L105),2))</f>
        <v/>
      </c>
      <c r="H105" s="26">
        <v>0</v>
      </c>
      <c r="I105" s="27"/>
      <c r="L105" s="28" t="str">
        <f>IF($M$2="","",DATE(YEAR($M$2),MONTH($M$2)+3,1))</f>
        <v/>
      </c>
    </row>
    <row r="106" ht="18" customHeight="1" spans="1:12">
      <c r="A106" s="22" t="str">
        <f t="shared" si="4"/>
        <v/>
      </c>
      <c r="B106" s="23" t="str">
        <f>IF($M$2="","",DATE(YEAR($M$2),MONTH($M$2)+3,1))</f>
        <v/>
      </c>
      <c r="C106" s="24" t="s">
        <v>601</v>
      </c>
      <c r="D106" s="25" t="str">
        <f>IF($B106="","",SUMIFS(包装物料出入库明细!$I$4:$I$2003,包装物料出入库明细!$H$4:$H$2003,"采购入库",包装物料出入库明细!$B$4:$B$2003,"&gt;="&amp;$B106,包装物料出入库明细!$B$4:$B$2003,"&lt;"&amp;$L106))</f>
        <v/>
      </c>
      <c r="E106" s="26" t="str">
        <f>_自动清单!$CE$1</f>
        <v>包</v>
      </c>
      <c r="F106" s="24"/>
      <c r="G106" s="26" t="str">
        <f>IF($B106="","",ROUND(SUMIFS(包装物料出入库明细!$N$4:$N$2003,包装物料出入库明细!$H$4:$H$2003,"采购入库",包装物料出入库明细!$B$4:$B$2003,"&gt;="&amp;$B106,包装物料出入库明细!$B$4:$B$2003,"&lt;"&amp;$L106),2))</f>
        <v/>
      </c>
      <c r="H106" s="26">
        <v>0</v>
      </c>
      <c r="I106" s="27"/>
      <c r="L106" s="28" t="str">
        <f>IF($M$2="","",DATE(YEAR($M$2),MONTH($M$2)+4,1))</f>
        <v/>
      </c>
    </row>
    <row r="107" ht="18" customHeight="1" spans="1:12">
      <c r="A107" s="22" t="str">
        <f t="shared" si="4"/>
        <v/>
      </c>
      <c r="B107" s="23" t="str">
        <f>IF($M$2="","",DATE(YEAR($M$2),MONTH($M$2)+4,1))</f>
        <v/>
      </c>
      <c r="C107" s="24" t="s">
        <v>601</v>
      </c>
      <c r="D107" s="25" t="str">
        <f>IF($B107="","",SUMIFS(包装物料出入库明细!$I$4:$I$2003,包装物料出入库明细!$H$4:$H$2003,"采购入库",包装物料出入库明细!$B$4:$B$2003,"&gt;="&amp;$B107,包装物料出入库明细!$B$4:$B$2003,"&lt;"&amp;$L107))</f>
        <v/>
      </c>
      <c r="E107" s="26" t="str">
        <f>_自动清单!$CE$1</f>
        <v>包</v>
      </c>
      <c r="F107" s="24"/>
      <c r="G107" s="26" t="str">
        <f>IF($B107="","",ROUND(SUMIFS(包装物料出入库明细!$N$4:$N$2003,包装物料出入库明细!$H$4:$H$2003,"采购入库",包装物料出入库明细!$B$4:$B$2003,"&gt;="&amp;$B107,包装物料出入库明细!$B$4:$B$2003,"&lt;"&amp;$L107),2))</f>
        <v/>
      </c>
      <c r="H107" s="26">
        <v>0</v>
      </c>
      <c r="I107" s="27"/>
      <c r="L107" s="28" t="str">
        <f>IF($M$2="","",DATE(YEAR($M$2),MONTH($M$2)+5,1))</f>
        <v/>
      </c>
    </row>
    <row r="108" ht="18" customHeight="1" spans="1:12">
      <c r="A108" s="22" t="str">
        <f t="shared" si="4"/>
        <v/>
      </c>
      <c r="B108" s="23" t="str">
        <f>IF($M$2="","",DATE(YEAR($M$2),MONTH($M$2)+5,1))</f>
        <v/>
      </c>
      <c r="C108" s="24" t="s">
        <v>601</v>
      </c>
      <c r="D108" s="25" t="str">
        <f>IF($B108="","",SUMIFS(包装物料出入库明细!$I$4:$I$2003,包装物料出入库明细!$H$4:$H$2003,"采购入库",包装物料出入库明细!$B$4:$B$2003,"&gt;="&amp;$B108,包装物料出入库明细!$B$4:$B$2003,"&lt;"&amp;$L108))</f>
        <v/>
      </c>
      <c r="E108" s="26" t="str">
        <f>_自动清单!$CE$1</f>
        <v>包</v>
      </c>
      <c r="F108" s="24"/>
      <c r="G108" s="26" t="str">
        <f>IF($B108="","",ROUND(SUMIFS(包装物料出入库明细!$N$4:$N$2003,包装物料出入库明细!$H$4:$H$2003,"采购入库",包装物料出入库明细!$B$4:$B$2003,"&gt;="&amp;$B108,包装物料出入库明细!$B$4:$B$2003,"&lt;"&amp;$L108),2))</f>
        <v/>
      </c>
      <c r="H108" s="26">
        <v>0</v>
      </c>
      <c r="I108" s="27"/>
      <c r="L108" s="28" t="str">
        <f>IF($M$2="","",DATE(YEAR($M$2),MONTH($M$2)+6,1))</f>
        <v/>
      </c>
    </row>
    <row r="109" ht="18" customHeight="1" spans="1:12">
      <c r="A109" s="22" t="str">
        <f t="shared" si="4"/>
        <v/>
      </c>
      <c r="B109" s="23" t="str">
        <f>IF($M$2="","",DATE(YEAR($M$2),MONTH($M$2)+6,1))</f>
        <v/>
      </c>
      <c r="C109" s="24" t="s">
        <v>601</v>
      </c>
      <c r="D109" s="25" t="str">
        <f>IF($B109="","",SUMIFS(包装物料出入库明细!$I$4:$I$2003,包装物料出入库明细!$H$4:$H$2003,"采购入库",包装物料出入库明细!$B$4:$B$2003,"&gt;="&amp;$B109,包装物料出入库明细!$B$4:$B$2003,"&lt;"&amp;$L109))</f>
        <v/>
      </c>
      <c r="E109" s="26" t="str">
        <f>_自动清单!$CE$1</f>
        <v>包</v>
      </c>
      <c r="F109" s="24"/>
      <c r="G109" s="26" t="str">
        <f>IF($B109="","",ROUND(SUMIFS(包装物料出入库明细!$N$4:$N$2003,包装物料出入库明细!$H$4:$H$2003,"采购入库",包装物料出入库明细!$B$4:$B$2003,"&gt;="&amp;$B109,包装物料出入库明细!$B$4:$B$2003,"&lt;"&amp;$L109),2))</f>
        <v/>
      </c>
      <c r="H109" s="26">
        <v>0</v>
      </c>
      <c r="I109" s="27"/>
      <c r="L109" s="28" t="str">
        <f>IF($M$2="","",DATE(YEAR($M$2),MONTH($M$2)+7,1))</f>
        <v/>
      </c>
    </row>
    <row r="110" ht="18" customHeight="1" spans="1:12">
      <c r="A110" s="22" t="str">
        <f t="shared" si="4"/>
        <v/>
      </c>
      <c r="B110" s="23" t="str">
        <f>IF($M$2="","",DATE(YEAR($M$2),MONTH($M$2)+7,1))</f>
        <v/>
      </c>
      <c r="C110" s="24" t="s">
        <v>601</v>
      </c>
      <c r="D110" s="25" t="str">
        <f>IF($B110="","",SUMIFS(包装物料出入库明细!$I$4:$I$2003,包装物料出入库明细!$H$4:$H$2003,"采购入库",包装物料出入库明细!$B$4:$B$2003,"&gt;="&amp;$B110,包装物料出入库明细!$B$4:$B$2003,"&lt;"&amp;$L110))</f>
        <v/>
      </c>
      <c r="E110" s="26" t="str">
        <f>_自动清单!$CE$1</f>
        <v>包</v>
      </c>
      <c r="F110" s="24"/>
      <c r="G110" s="26" t="str">
        <f>IF($B110="","",ROUND(SUMIFS(包装物料出入库明细!$N$4:$N$2003,包装物料出入库明细!$H$4:$H$2003,"采购入库",包装物料出入库明细!$B$4:$B$2003,"&gt;="&amp;$B110,包装物料出入库明细!$B$4:$B$2003,"&lt;"&amp;$L110),2))</f>
        <v/>
      </c>
      <c r="H110" s="26">
        <v>0</v>
      </c>
      <c r="I110" s="27"/>
      <c r="L110" s="28" t="str">
        <f>IF($M$2="","",DATE(YEAR($M$2),MONTH($M$2)+8,1))</f>
        <v/>
      </c>
    </row>
    <row r="111" ht="18" customHeight="1" spans="1:12">
      <c r="A111" s="22" t="str">
        <f t="shared" si="4"/>
        <v/>
      </c>
      <c r="B111" s="23" t="str">
        <f>IF($M$2="","",DATE(YEAR($M$2),MONTH($M$2)+8,1))</f>
        <v/>
      </c>
      <c r="C111" s="24" t="s">
        <v>601</v>
      </c>
      <c r="D111" s="25" t="str">
        <f>IF($B111="","",SUMIFS(包装物料出入库明细!$I$4:$I$2003,包装物料出入库明细!$H$4:$H$2003,"采购入库",包装物料出入库明细!$B$4:$B$2003,"&gt;="&amp;$B111,包装物料出入库明细!$B$4:$B$2003,"&lt;"&amp;$L111))</f>
        <v/>
      </c>
      <c r="E111" s="26" t="str">
        <f>_自动清单!$CE$1</f>
        <v>包</v>
      </c>
      <c r="F111" s="24"/>
      <c r="G111" s="26" t="str">
        <f>IF($B111="","",ROUND(SUMIFS(包装物料出入库明细!$N$4:$N$2003,包装物料出入库明细!$H$4:$H$2003,"采购入库",包装物料出入库明细!$B$4:$B$2003,"&gt;="&amp;$B111,包装物料出入库明细!$B$4:$B$2003,"&lt;"&amp;$L111),2))</f>
        <v/>
      </c>
      <c r="H111" s="26">
        <v>0</v>
      </c>
      <c r="I111" s="27"/>
      <c r="L111" s="28" t="str">
        <f>IF($M$2="","",DATE(YEAR($M$2),MONTH($M$2)+9,1))</f>
        <v/>
      </c>
    </row>
    <row r="112" ht="18" customHeight="1" spans="1:12">
      <c r="A112" s="22" t="str">
        <f t="shared" si="4"/>
        <v/>
      </c>
      <c r="B112" s="23" t="str">
        <f>IF($M$2="","",DATE(YEAR($M$2),MONTH($M$2)+9,1))</f>
        <v/>
      </c>
      <c r="C112" s="24" t="s">
        <v>601</v>
      </c>
      <c r="D112" s="25" t="str">
        <f>IF($B112="","",SUMIFS(包装物料出入库明细!$I$4:$I$2003,包装物料出入库明细!$H$4:$H$2003,"采购入库",包装物料出入库明细!$B$4:$B$2003,"&gt;="&amp;$B112,包装物料出入库明细!$B$4:$B$2003,"&lt;"&amp;$L112))</f>
        <v/>
      </c>
      <c r="E112" s="26" t="str">
        <f>_自动清单!$CE$1</f>
        <v>包</v>
      </c>
      <c r="F112" s="24"/>
      <c r="G112" s="26" t="str">
        <f>IF($B112="","",ROUND(SUMIFS(包装物料出入库明细!$N$4:$N$2003,包装物料出入库明细!$H$4:$H$2003,"采购入库",包装物料出入库明细!$B$4:$B$2003,"&gt;="&amp;$B112,包装物料出入库明细!$B$4:$B$2003,"&lt;"&amp;$L112),2))</f>
        <v/>
      </c>
      <c r="H112" s="26">
        <v>0</v>
      </c>
      <c r="I112" s="27"/>
      <c r="L112" s="28" t="str">
        <f>IF($M$2="","",DATE(YEAR($M$2),MONTH($M$2)+10,1))</f>
        <v/>
      </c>
    </row>
    <row r="113" ht="18" customHeight="1" spans="1:12">
      <c r="A113" s="22" t="str">
        <f t="shared" si="4"/>
        <v/>
      </c>
      <c r="B113" s="23" t="str">
        <f>IF($M$2="","",DATE(YEAR($M$2),MONTH($M$2)+10,1))</f>
        <v/>
      </c>
      <c r="C113" s="24" t="s">
        <v>601</v>
      </c>
      <c r="D113" s="25" t="str">
        <f>IF($B113="","",SUMIFS(包装物料出入库明细!$I$4:$I$2003,包装物料出入库明细!$H$4:$H$2003,"采购入库",包装物料出入库明细!$B$4:$B$2003,"&gt;="&amp;$B113,包装物料出入库明细!$B$4:$B$2003,"&lt;"&amp;$L113))</f>
        <v/>
      </c>
      <c r="E113" s="26" t="str">
        <f>_自动清单!$CE$1</f>
        <v>包</v>
      </c>
      <c r="F113" s="24"/>
      <c r="G113" s="26" t="str">
        <f>IF($B113="","",ROUND(SUMIFS(包装物料出入库明细!$N$4:$N$2003,包装物料出入库明细!$H$4:$H$2003,"采购入库",包装物料出入库明细!$B$4:$B$2003,"&gt;="&amp;$B113,包装物料出入库明细!$B$4:$B$2003,"&lt;"&amp;$L113),2))</f>
        <v/>
      </c>
      <c r="H113" s="26">
        <v>0</v>
      </c>
      <c r="I113" s="27"/>
      <c r="L113" s="28" t="str">
        <f>IF($M$2="","",DATE(YEAR($M$2),MONTH($M$2)+11,1))</f>
        <v/>
      </c>
    </row>
    <row r="114" ht="18" customHeight="1" spans="1:12">
      <c r="A114" s="22" t="str">
        <f t="shared" si="4"/>
        <v/>
      </c>
      <c r="B114" s="23" t="str">
        <f>IF($M$2="","",DATE(YEAR($M$2),MONTH($M$2)+11,1))</f>
        <v/>
      </c>
      <c r="C114" s="24" t="s">
        <v>601</v>
      </c>
      <c r="D114" s="25" t="str">
        <f>IF($B114="","",SUMIFS(包装物料出入库明细!$I$4:$I$2003,包装物料出入库明细!$H$4:$H$2003,"采购入库",包装物料出入库明细!$B$4:$B$2003,"&gt;="&amp;$B114,包装物料出入库明细!$B$4:$B$2003,"&lt;"&amp;$L114))</f>
        <v/>
      </c>
      <c r="E114" s="26" t="str">
        <f>_自动清单!$CE$1</f>
        <v>包</v>
      </c>
      <c r="F114" s="24"/>
      <c r="G114" s="26" t="str">
        <f>IF($B114="","",ROUND(SUMIFS(包装物料出入库明细!$N$4:$N$2003,包装物料出入库明细!$H$4:$H$2003,"采购入库",包装物料出入库明细!$B$4:$B$2003,"&gt;="&amp;$B114,包装物料出入库明细!$B$4:$B$2003,"&lt;"&amp;$L114),2))</f>
        <v/>
      </c>
      <c r="H114" s="26">
        <v>0</v>
      </c>
      <c r="I114" s="27"/>
      <c r="L114" s="28" t="str">
        <f>IF($M$2="","",DATE(YEAR($M$2),MONTH($M$2)+12,1))</f>
        <v/>
      </c>
    </row>
    <row r="115" ht="18" customHeight="1" spans="1:12">
      <c r="A115" s="22" t="str">
        <f t="shared" si="4"/>
        <v/>
      </c>
      <c r="B115" s="23" t="str">
        <f>IF($M$2="","",DATE(YEAR($M$2),MONTH($M$2)+12,1))</f>
        <v/>
      </c>
      <c r="C115" s="24" t="s">
        <v>601</v>
      </c>
      <c r="D115" s="25" t="str">
        <f>IF($B115="","",SUMIFS(包装物料出入库明细!$I$4:$I$2003,包装物料出入库明细!$H$4:$H$2003,"采购入库",包装物料出入库明细!$B$4:$B$2003,"&gt;="&amp;$B115,包装物料出入库明细!$B$4:$B$2003,"&lt;"&amp;$L115))</f>
        <v/>
      </c>
      <c r="E115" s="26" t="str">
        <f>_自动清单!$CE$1</f>
        <v>包</v>
      </c>
      <c r="F115" s="24"/>
      <c r="G115" s="26" t="str">
        <f>IF($B115="","",ROUND(SUMIFS(包装物料出入库明细!$N$4:$N$2003,包装物料出入库明细!$H$4:$H$2003,"采购入库",包装物料出入库明细!$B$4:$B$2003,"&gt;="&amp;$B115,包装物料出入库明细!$B$4:$B$2003,"&lt;"&amp;$L115),2))</f>
        <v/>
      </c>
      <c r="H115" s="26">
        <v>0</v>
      </c>
      <c r="I115" s="27"/>
      <c r="L115" s="28" t="str">
        <f>IF($M$2="","",DATE(YEAR($M$2),MONTH($M$2)+13,1))</f>
        <v/>
      </c>
    </row>
    <row r="116" ht="18" customHeight="1" spans="1:12">
      <c r="A116" s="22" t="str">
        <f t="shared" si="4"/>
        <v/>
      </c>
      <c r="B116" s="23" t="str">
        <f>IF($M$2="","",DATE(YEAR($M$2),MONTH($M$2)+13,1))</f>
        <v/>
      </c>
      <c r="C116" s="24" t="s">
        <v>601</v>
      </c>
      <c r="D116" s="25" t="str">
        <f>IF($B116="","",SUMIFS(包装物料出入库明细!$I$4:$I$2003,包装物料出入库明细!$H$4:$H$2003,"采购入库",包装物料出入库明细!$B$4:$B$2003,"&gt;="&amp;$B116,包装物料出入库明细!$B$4:$B$2003,"&lt;"&amp;$L116))</f>
        <v/>
      </c>
      <c r="E116" s="26" t="str">
        <f>_自动清单!$CE$1</f>
        <v>包</v>
      </c>
      <c r="F116" s="24"/>
      <c r="G116" s="26" t="str">
        <f>IF($B116="","",ROUND(SUMIFS(包装物料出入库明细!$N$4:$N$2003,包装物料出入库明细!$H$4:$H$2003,"采购入库",包装物料出入库明细!$B$4:$B$2003,"&gt;="&amp;$B116,包装物料出入库明细!$B$4:$B$2003,"&lt;"&amp;$L116),2))</f>
        <v/>
      </c>
      <c r="H116" s="26">
        <v>0</v>
      </c>
      <c r="I116" s="27"/>
      <c r="L116" s="28" t="str">
        <f>IF($M$2="","",DATE(YEAR($M$2),MONTH($M$2)+14,1))</f>
        <v/>
      </c>
    </row>
    <row r="117" ht="18" customHeight="1" spans="1:12">
      <c r="A117" s="22" t="str">
        <f t="shared" si="4"/>
        <v/>
      </c>
      <c r="B117" s="23" t="str">
        <f>IF($M$2="","",DATE(YEAR($M$2),MONTH($M$2)+14,1))</f>
        <v/>
      </c>
      <c r="C117" s="24" t="s">
        <v>601</v>
      </c>
      <c r="D117" s="25" t="str">
        <f>IF($B117="","",SUMIFS(包装物料出入库明细!$I$4:$I$2003,包装物料出入库明细!$H$4:$H$2003,"采购入库",包装物料出入库明细!$B$4:$B$2003,"&gt;="&amp;$B117,包装物料出入库明细!$B$4:$B$2003,"&lt;"&amp;$L117))</f>
        <v/>
      </c>
      <c r="E117" s="26" t="str">
        <f>_自动清单!$CE$1</f>
        <v>包</v>
      </c>
      <c r="F117" s="24"/>
      <c r="G117" s="26" t="str">
        <f>IF($B117="","",ROUND(SUMIFS(包装物料出入库明细!$N$4:$N$2003,包装物料出入库明细!$H$4:$H$2003,"采购入库",包装物料出入库明细!$B$4:$B$2003,"&gt;="&amp;$B117,包装物料出入库明细!$B$4:$B$2003,"&lt;"&amp;$L117),2))</f>
        <v/>
      </c>
      <c r="H117" s="26">
        <v>0</v>
      </c>
      <c r="I117" s="27"/>
      <c r="L117" s="28" t="str">
        <f>IF($M$2="","",DATE(YEAR($M$2),MONTH($M$2)+15,1))</f>
        <v/>
      </c>
    </row>
    <row r="118" ht="18" customHeight="1" spans="1:12">
      <c r="A118" s="22" t="str">
        <f t="shared" si="4"/>
        <v/>
      </c>
      <c r="B118" s="23" t="str">
        <f>IF($M$2="","",DATE(YEAR($M$2),MONTH($M$2)+15,1))</f>
        <v/>
      </c>
      <c r="C118" s="24" t="s">
        <v>601</v>
      </c>
      <c r="D118" s="25" t="str">
        <f>IF($B118="","",SUMIFS(包装物料出入库明细!$I$4:$I$2003,包装物料出入库明细!$H$4:$H$2003,"采购入库",包装物料出入库明细!$B$4:$B$2003,"&gt;="&amp;$B118,包装物料出入库明细!$B$4:$B$2003,"&lt;"&amp;$L118))</f>
        <v/>
      </c>
      <c r="E118" s="26" t="str">
        <f>_自动清单!$CE$1</f>
        <v>包</v>
      </c>
      <c r="F118" s="24"/>
      <c r="G118" s="26" t="str">
        <f>IF($B118="","",ROUND(SUMIFS(包装物料出入库明细!$N$4:$N$2003,包装物料出入库明细!$H$4:$H$2003,"采购入库",包装物料出入库明细!$B$4:$B$2003,"&gt;="&amp;$B118,包装物料出入库明细!$B$4:$B$2003,"&lt;"&amp;$L118),2))</f>
        <v/>
      </c>
      <c r="H118" s="26">
        <v>0</v>
      </c>
      <c r="I118" s="27"/>
      <c r="L118" s="28" t="str">
        <f>IF($M$2="","",DATE(YEAR($M$2),MONTH($M$2)+16,1))</f>
        <v/>
      </c>
    </row>
    <row r="119" ht="18" customHeight="1" spans="1:12">
      <c r="A119" s="22" t="str">
        <f t="shared" si="4"/>
        <v/>
      </c>
      <c r="B119" s="23" t="str">
        <f>IF($M$2="","",DATE(YEAR($M$2),MONTH($M$2)+16,1))</f>
        <v/>
      </c>
      <c r="C119" s="24" t="s">
        <v>601</v>
      </c>
      <c r="D119" s="25" t="str">
        <f>IF($B119="","",SUMIFS(包装物料出入库明细!$I$4:$I$2003,包装物料出入库明细!$H$4:$H$2003,"采购入库",包装物料出入库明细!$B$4:$B$2003,"&gt;="&amp;$B119,包装物料出入库明细!$B$4:$B$2003,"&lt;"&amp;$L119))</f>
        <v/>
      </c>
      <c r="E119" s="26" t="str">
        <f>_自动清单!$CE$1</f>
        <v>包</v>
      </c>
      <c r="F119" s="24"/>
      <c r="G119" s="26" t="str">
        <f>IF($B119="","",ROUND(SUMIFS(包装物料出入库明细!$N$4:$N$2003,包装物料出入库明细!$H$4:$H$2003,"采购入库",包装物料出入库明细!$B$4:$B$2003,"&gt;="&amp;$B119,包装物料出入库明细!$B$4:$B$2003,"&lt;"&amp;$L119),2))</f>
        <v/>
      </c>
      <c r="H119" s="26">
        <v>0</v>
      </c>
      <c r="I119" s="27"/>
      <c r="L119" s="28" t="str">
        <f>IF($M$2="","",DATE(YEAR($M$2),MONTH($M$2)+17,1))</f>
        <v/>
      </c>
    </row>
    <row r="120" ht="18" customHeight="1" spans="1:12">
      <c r="A120" s="22" t="str">
        <f t="shared" si="4"/>
        <v/>
      </c>
      <c r="B120" s="23" t="str">
        <f>IF($M$2="","",DATE(YEAR($M$2),MONTH($M$2)+17,1))</f>
        <v/>
      </c>
      <c r="C120" s="24" t="s">
        <v>601</v>
      </c>
      <c r="D120" s="25" t="str">
        <f>IF($B120="","",SUMIFS(包装物料出入库明细!$I$4:$I$2003,包装物料出入库明细!$H$4:$H$2003,"采购入库",包装物料出入库明细!$B$4:$B$2003,"&gt;="&amp;$B120,包装物料出入库明细!$B$4:$B$2003,"&lt;"&amp;$L120))</f>
        <v/>
      </c>
      <c r="E120" s="26" t="str">
        <f>_自动清单!$CE$1</f>
        <v>包</v>
      </c>
      <c r="F120" s="24"/>
      <c r="G120" s="26" t="str">
        <f>IF($B120="","",ROUND(SUMIFS(包装物料出入库明细!$N$4:$N$2003,包装物料出入库明细!$H$4:$H$2003,"采购入库",包装物料出入库明细!$B$4:$B$2003,"&gt;="&amp;$B120,包装物料出入库明细!$B$4:$B$2003,"&lt;"&amp;$L120),2))</f>
        <v/>
      </c>
      <c r="H120" s="26">
        <v>0</v>
      </c>
      <c r="I120" s="27"/>
      <c r="L120" s="28" t="str">
        <f>IF($M$2="","",DATE(YEAR($M$2),MONTH($M$2)+18,1))</f>
        <v/>
      </c>
    </row>
    <row r="121" ht="18" customHeight="1" spans="1:12">
      <c r="A121" s="22" t="str">
        <f t="shared" si="4"/>
        <v/>
      </c>
      <c r="B121" s="23" t="str">
        <f>IF($M$2="","",DATE(YEAR($M$2),MONTH($M$2)+18,1))</f>
        <v/>
      </c>
      <c r="C121" s="24" t="s">
        <v>601</v>
      </c>
      <c r="D121" s="25" t="str">
        <f>IF($B121="","",SUMIFS(包装物料出入库明细!$I$4:$I$2003,包装物料出入库明细!$H$4:$H$2003,"采购入库",包装物料出入库明细!$B$4:$B$2003,"&gt;="&amp;$B121,包装物料出入库明细!$B$4:$B$2003,"&lt;"&amp;$L121))</f>
        <v/>
      </c>
      <c r="E121" s="26" t="str">
        <f>_自动清单!$CE$1</f>
        <v>包</v>
      </c>
      <c r="F121" s="24"/>
      <c r="G121" s="26" t="str">
        <f>IF($B121="","",ROUND(SUMIFS(包装物料出入库明细!$N$4:$N$2003,包装物料出入库明细!$H$4:$H$2003,"采购入库",包装物料出入库明细!$B$4:$B$2003,"&gt;="&amp;$B121,包装物料出入库明细!$B$4:$B$2003,"&lt;"&amp;$L121),2))</f>
        <v/>
      </c>
      <c r="H121" s="26">
        <v>0</v>
      </c>
      <c r="I121" s="27"/>
      <c r="L121" s="28" t="str">
        <f>IF($M$2="","",DATE(YEAR($M$2),MONTH($M$2)+19,1))</f>
        <v/>
      </c>
    </row>
    <row r="122" ht="18" customHeight="1" spans="1:12">
      <c r="A122" s="22" t="str">
        <f t="shared" si="4"/>
        <v/>
      </c>
      <c r="B122" s="23" t="str">
        <f>IF($M$2="","",DATE(YEAR($M$2),MONTH($M$2)+19,1))</f>
        <v/>
      </c>
      <c r="C122" s="24" t="s">
        <v>601</v>
      </c>
      <c r="D122" s="25" t="str">
        <f>IF($B122="","",SUMIFS(包装物料出入库明细!$I$4:$I$2003,包装物料出入库明细!$H$4:$H$2003,"采购入库",包装物料出入库明细!$B$4:$B$2003,"&gt;="&amp;$B122,包装物料出入库明细!$B$4:$B$2003,"&lt;"&amp;$L122))</f>
        <v/>
      </c>
      <c r="E122" s="26" t="str">
        <f>_自动清单!$CE$1</f>
        <v>包</v>
      </c>
      <c r="F122" s="24"/>
      <c r="G122" s="26" t="str">
        <f>IF($B122="","",ROUND(SUMIFS(包装物料出入库明细!$N$4:$N$2003,包装物料出入库明细!$H$4:$H$2003,"采购入库",包装物料出入库明细!$B$4:$B$2003,"&gt;="&amp;$B122,包装物料出入库明细!$B$4:$B$2003,"&lt;"&amp;$L122),2))</f>
        <v/>
      </c>
      <c r="H122" s="26">
        <v>0</v>
      </c>
      <c r="I122" s="27"/>
      <c r="L122" s="28" t="str">
        <f>IF($M$2="","",DATE(YEAR($M$2),MONTH($M$2)+20,1))</f>
        <v/>
      </c>
    </row>
    <row r="123" ht="18" customHeight="1" spans="1:12">
      <c r="A123" s="22" t="str">
        <f t="shared" si="4"/>
        <v/>
      </c>
      <c r="B123" s="23" t="str">
        <f>IF($M$2="","",DATE(YEAR($M$2),MONTH($M$2)+20,1))</f>
        <v/>
      </c>
      <c r="C123" s="24" t="s">
        <v>601</v>
      </c>
      <c r="D123" s="25" t="str">
        <f>IF($B123="","",SUMIFS(包装物料出入库明细!$I$4:$I$2003,包装物料出入库明细!$H$4:$H$2003,"采购入库",包装物料出入库明细!$B$4:$B$2003,"&gt;="&amp;$B123,包装物料出入库明细!$B$4:$B$2003,"&lt;"&amp;$L123))</f>
        <v/>
      </c>
      <c r="E123" s="26" t="str">
        <f>_自动清单!$CE$1</f>
        <v>包</v>
      </c>
      <c r="F123" s="24"/>
      <c r="G123" s="26" t="str">
        <f>IF($B123="","",ROUND(SUMIFS(包装物料出入库明细!$N$4:$N$2003,包装物料出入库明细!$H$4:$H$2003,"采购入库",包装物料出入库明细!$B$4:$B$2003,"&gt;="&amp;$B123,包装物料出入库明细!$B$4:$B$2003,"&lt;"&amp;$L123),2))</f>
        <v/>
      </c>
      <c r="H123" s="26">
        <v>0</v>
      </c>
      <c r="I123" s="27"/>
      <c r="L123" s="28" t="str">
        <f>IF($M$2="","",DATE(YEAR($M$2),MONTH($M$2)+21,1))</f>
        <v/>
      </c>
    </row>
    <row r="124" ht="18" customHeight="1" spans="1:12">
      <c r="A124" s="22" t="str">
        <f t="shared" si="4"/>
        <v/>
      </c>
      <c r="B124" s="23" t="str">
        <f>IF($M$2="","",DATE(YEAR($M$2),MONTH($M$2)+21,1))</f>
        <v/>
      </c>
      <c r="C124" s="24" t="s">
        <v>601</v>
      </c>
      <c r="D124" s="25" t="str">
        <f>IF($B124="","",SUMIFS(包装物料出入库明细!$I$4:$I$2003,包装物料出入库明细!$H$4:$H$2003,"采购入库",包装物料出入库明细!$B$4:$B$2003,"&gt;="&amp;$B124,包装物料出入库明细!$B$4:$B$2003,"&lt;"&amp;$L124))</f>
        <v/>
      </c>
      <c r="E124" s="26" t="str">
        <f>_自动清单!$CE$1</f>
        <v>包</v>
      </c>
      <c r="F124" s="24"/>
      <c r="G124" s="26" t="str">
        <f>IF($B124="","",ROUND(SUMIFS(包装物料出入库明细!$N$4:$N$2003,包装物料出入库明细!$H$4:$H$2003,"采购入库",包装物料出入库明细!$B$4:$B$2003,"&gt;="&amp;$B124,包装物料出入库明细!$B$4:$B$2003,"&lt;"&amp;$L124),2))</f>
        <v/>
      </c>
      <c r="H124" s="26">
        <v>0</v>
      </c>
      <c r="I124" s="27"/>
      <c r="L124" s="28" t="str">
        <f>IF($M$2="","",DATE(YEAR($M$2),MONTH($M$2)+22,1))</f>
        <v/>
      </c>
    </row>
    <row r="125" ht="18" customHeight="1" spans="1:12">
      <c r="A125" s="22" t="str">
        <f t="shared" si="4"/>
        <v/>
      </c>
      <c r="B125" s="23" t="str">
        <f>IF($M$2="","",DATE(YEAR($M$2),MONTH($M$2)+22,1))</f>
        <v/>
      </c>
      <c r="C125" s="24" t="s">
        <v>601</v>
      </c>
      <c r="D125" s="25" t="str">
        <f>IF($B125="","",SUMIFS(包装物料出入库明细!$I$4:$I$2003,包装物料出入库明细!$H$4:$H$2003,"采购入库",包装物料出入库明细!$B$4:$B$2003,"&gt;="&amp;$B125,包装物料出入库明细!$B$4:$B$2003,"&lt;"&amp;$L125))</f>
        <v/>
      </c>
      <c r="E125" s="26" t="str">
        <f>_自动清单!$CE$1</f>
        <v>包</v>
      </c>
      <c r="F125" s="24"/>
      <c r="G125" s="26" t="str">
        <f>IF($B125="","",ROUND(SUMIFS(包装物料出入库明细!$N$4:$N$2003,包装物料出入库明细!$H$4:$H$2003,"采购入库",包装物料出入库明细!$B$4:$B$2003,"&gt;="&amp;$B125,包装物料出入库明细!$B$4:$B$2003,"&lt;"&amp;$L125),2))</f>
        <v/>
      </c>
      <c r="H125" s="26">
        <v>0</v>
      </c>
      <c r="I125" s="27"/>
      <c r="L125" s="28" t="str">
        <f>IF($M$2="","",DATE(YEAR($M$2),MONTH($M$2)+23,1))</f>
        <v/>
      </c>
    </row>
    <row r="126" ht="18" customHeight="1" spans="1:12">
      <c r="A126" s="22" t="str">
        <f t="shared" si="4"/>
        <v/>
      </c>
      <c r="B126" s="23" t="str">
        <f>IF($M$2="","",DATE(YEAR($M$2),MONTH($M$2)+23,1))</f>
        <v/>
      </c>
      <c r="C126" s="24" t="s">
        <v>601</v>
      </c>
      <c r="D126" s="25" t="str">
        <f>IF($B126="","",SUMIFS(包装物料出入库明细!$I$4:$I$2003,包装物料出入库明细!$H$4:$H$2003,"采购入库",包装物料出入库明细!$B$4:$B$2003,"&gt;="&amp;$B126,包装物料出入库明细!$B$4:$B$2003,"&lt;"&amp;$L126))</f>
        <v/>
      </c>
      <c r="E126" s="26" t="str">
        <f>_自动清单!$CE$1</f>
        <v>包</v>
      </c>
      <c r="F126" s="24"/>
      <c r="G126" s="26" t="str">
        <f>IF($B126="","",ROUND(SUMIFS(包装物料出入库明细!$N$4:$N$2003,包装物料出入库明细!$H$4:$H$2003,"采购入库",包装物料出入库明细!$B$4:$B$2003,"&gt;="&amp;$B126,包装物料出入库明细!$B$4:$B$2003,"&lt;"&amp;$L126),2))</f>
        <v/>
      </c>
      <c r="H126" s="26">
        <v>0</v>
      </c>
      <c r="I126" s="27"/>
      <c r="L126" s="28" t="str">
        <f>IF($M$2="","",DATE(YEAR($M$2),MONTH($M$2)+24,1))</f>
        <v/>
      </c>
    </row>
    <row r="127" ht="18" customHeight="1" spans="1:12">
      <c r="A127" s="22" t="str">
        <f t="shared" si="4"/>
        <v/>
      </c>
      <c r="B127" s="23" t="str">
        <f>IF($M$2="","",DATE(YEAR($M$2),MONTH($M$2)+0,1))</f>
        <v/>
      </c>
      <c r="C127" s="24" t="s">
        <v>602</v>
      </c>
      <c r="D127" s="25" t="str">
        <f>IF($B127="","",SUMIFS(周转筐出入库明细!$H$4:$H$2004,周转筐出入库明细!$F$4:$F$2004,"采购入库",周转筐出入库明细!$B$4:$B$2004,"&gt;="&amp;$B127,周转筐出入库明细!$B$4:$B$2004,"&lt;"&amp;$L127))</f>
        <v/>
      </c>
      <c r="E127" s="26" t="str">
        <f t="shared" ref="E127:E150" si="5">"个"</f>
        <v>个</v>
      </c>
      <c r="F127" s="24"/>
      <c r="G127" s="26" t="str">
        <f>IF($B127="","",ROUND(SUMIFS(周转筐出入库明细!$P$4:$P$2004,周转筐出入库明细!$F$4:$F$2004,"采购入库",周转筐出入库明细!$B$4:$B$2004,"&gt;="&amp;$B127,周转筐出入库明细!$B$4:$B$2004,"&lt;"&amp;$L127),2))</f>
        <v/>
      </c>
      <c r="H127" s="26">
        <v>0</v>
      </c>
      <c r="I127" s="27"/>
      <c r="L127" s="28" t="str">
        <f>IF($M$2="","",DATE(YEAR($M$2),MONTH($M$2)+1,1))</f>
        <v/>
      </c>
    </row>
    <row r="128" ht="18" customHeight="1" spans="1:12">
      <c r="A128" s="22" t="str">
        <f t="shared" si="4"/>
        <v/>
      </c>
      <c r="B128" s="23" t="str">
        <f>IF($M$2="","",DATE(YEAR($M$2),MONTH($M$2)+1,1))</f>
        <v/>
      </c>
      <c r="C128" s="24" t="s">
        <v>602</v>
      </c>
      <c r="D128" s="25" t="str">
        <f>IF($B128="","",SUMIFS(周转筐出入库明细!$H$4:$H$2004,周转筐出入库明细!$F$4:$F$2004,"采购入库",周转筐出入库明细!$B$4:$B$2004,"&gt;="&amp;$B128,周转筐出入库明细!$B$4:$B$2004,"&lt;"&amp;$L128))</f>
        <v/>
      </c>
      <c r="E128" s="26" t="str">
        <f t="shared" si="5"/>
        <v>个</v>
      </c>
      <c r="F128" s="24"/>
      <c r="G128" s="26" t="str">
        <f>IF($B128="","",ROUND(SUMIFS(周转筐出入库明细!$P$4:$P$2004,周转筐出入库明细!$F$4:$F$2004,"采购入库",周转筐出入库明细!$B$4:$B$2004,"&gt;="&amp;$B128,周转筐出入库明细!$B$4:$B$2004,"&lt;"&amp;$L128),2))</f>
        <v/>
      </c>
      <c r="H128" s="26">
        <v>0</v>
      </c>
      <c r="I128" s="27"/>
      <c r="L128" s="28" t="str">
        <f>IF($M$2="","",DATE(YEAR($M$2),MONTH($M$2)+2,1))</f>
        <v/>
      </c>
    </row>
    <row r="129" ht="18" customHeight="1" spans="1:12">
      <c r="A129" s="22" t="str">
        <f t="shared" si="4"/>
        <v/>
      </c>
      <c r="B129" s="23" t="str">
        <f>IF($M$2="","",DATE(YEAR($M$2),MONTH($M$2)+2,1))</f>
        <v/>
      </c>
      <c r="C129" s="24" t="s">
        <v>602</v>
      </c>
      <c r="D129" s="25" t="str">
        <f>IF($B129="","",SUMIFS(周转筐出入库明细!$H$4:$H$2004,周转筐出入库明细!$F$4:$F$2004,"采购入库",周转筐出入库明细!$B$4:$B$2004,"&gt;="&amp;$B129,周转筐出入库明细!$B$4:$B$2004,"&lt;"&amp;$L129))</f>
        <v/>
      </c>
      <c r="E129" s="26" t="str">
        <f t="shared" si="5"/>
        <v>个</v>
      </c>
      <c r="F129" s="24"/>
      <c r="G129" s="26" t="str">
        <f>IF($B129="","",ROUND(SUMIFS(周转筐出入库明细!$P$4:$P$2004,周转筐出入库明细!$F$4:$F$2004,"采购入库",周转筐出入库明细!$B$4:$B$2004,"&gt;="&amp;$B129,周转筐出入库明细!$B$4:$B$2004,"&lt;"&amp;$L129),2))</f>
        <v/>
      </c>
      <c r="H129" s="26">
        <v>0</v>
      </c>
      <c r="I129" s="27"/>
      <c r="L129" s="28" t="str">
        <f>IF($M$2="","",DATE(YEAR($M$2),MONTH($M$2)+3,1))</f>
        <v/>
      </c>
    </row>
    <row r="130" ht="18" customHeight="1" spans="1:12">
      <c r="A130" s="22" t="str">
        <f t="shared" si="4"/>
        <v/>
      </c>
      <c r="B130" s="23" t="str">
        <f>IF($M$2="","",DATE(YEAR($M$2),MONTH($M$2)+3,1))</f>
        <v/>
      </c>
      <c r="C130" s="24" t="s">
        <v>602</v>
      </c>
      <c r="D130" s="25" t="str">
        <f>IF($B130="","",SUMIFS(周转筐出入库明细!$H$4:$H$2004,周转筐出入库明细!$F$4:$F$2004,"采购入库",周转筐出入库明细!$B$4:$B$2004,"&gt;="&amp;$B130,周转筐出入库明细!$B$4:$B$2004,"&lt;"&amp;$L130))</f>
        <v/>
      </c>
      <c r="E130" s="26" t="str">
        <f t="shared" si="5"/>
        <v>个</v>
      </c>
      <c r="F130" s="24"/>
      <c r="G130" s="26" t="str">
        <f>IF($B130="","",ROUND(SUMIFS(周转筐出入库明细!$P$4:$P$2004,周转筐出入库明细!$F$4:$F$2004,"采购入库",周转筐出入库明细!$B$4:$B$2004,"&gt;="&amp;$B130,周转筐出入库明细!$B$4:$B$2004,"&lt;"&amp;$L130),2))</f>
        <v/>
      </c>
      <c r="H130" s="26">
        <v>0</v>
      </c>
      <c r="I130" s="27"/>
      <c r="L130" s="28" t="str">
        <f>IF($M$2="","",DATE(YEAR($M$2),MONTH($M$2)+4,1))</f>
        <v/>
      </c>
    </row>
    <row r="131" ht="18" customHeight="1" spans="1:12">
      <c r="A131" s="22" t="str">
        <f t="shared" si="4"/>
        <v/>
      </c>
      <c r="B131" s="23" t="str">
        <f>IF($M$2="","",DATE(YEAR($M$2),MONTH($M$2)+4,1))</f>
        <v/>
      </c>
      <c r="C131" s="24" t="s">
        <v>602</v>
      </c>
      <c r="D131" s="25" t="str">
        <f>IF($B131="","",SUMIFS(周转筐出入库明细!$H$4:$H$2004,周转筐出入库明细!$F$4:$F$2004,"采购入库",周转筐出入库明细!$B$4:$B$2004,"&gt;="&amp;$B131,周转筐出入库明细!$B$4:$B$2004,"&lt;"&amp;$L131))</f>
        <v/>
      </c>
      <c r="E131" s="26" t="str">
        <f t="shared" si="5"/>
        <v>个</v>
      </c>
      <c r="F131" s="24"/>
      <c r="G131" s="26" t="str">
        <f>IF($B131="","",ROUND(SUMIFS(周转筐出入库明细!$P$4:$P$2004,周转筐出入库明细!$F$4:$F$2004,"采购入库",周转筐出入库明细!$B$4:$B$2004,"&gt;="&amp;$B131,周转筐出入库明细!$B$4:$B$2004,"&lt;"&amp;$L131),2))</f>
        <v/>
      </c>
      <c r="H131" s="26">
        <v>0</v>
      </c>
      <c r="I131" s="27"/>
      <c r="L131" s="28" t="str">
        <f>IF($M$2="","",DATE(YEAR($M$2),MONTH($M$2)+5,1))</f>
        <v/>
      </c>
    </row>
    <row r="132" ht="18" customHeight="1" spans="1:12">
      <c r="A132" s="22" t="str">
        <f t="shared" si="4"/>
        <v/>
      </c>
      <c r="B132" s="23" t="str">
        <f>IF($M$2="","",DATE(YEAR($M$2),MONTH($M$2)+5,1))</f>
        <v/>
      </c>
      <c r="C132" s="24" t="s">
        <v>602</v>
      </c>
      <c r="D132" s="25" t="str">
        <f>IF($B132="","",SUMIFS(周转筐出入库明细!$H$4:$H$2004,周转筐出入库明细!$F$4:$F$2004,"采购入库",周转筐出入库明细!$B$4:$B$2004,"&gt;="&amp;$B132,周转筐出入库明细!$B$4:$B$2004,"&lt;"&amp;$L132))</f>
        <v/>
      </c>
      <c r="E132" s="26" t="str">
        <f t="shared" si="5"/>
        <v>个</v>
      </c>
      <c r="F132" s="24"/>
      <c r="G132" s="26" t="str">
        <f>IF($B132="","",ROUND(SUMIFS(周转筐出入库明细!$P$4:$P$2004,周转筐出入库明细!$F$4:$F$2004,"采购入库",周转筐出入库明细!$B$4:$B$2004,"&gt;="&amp;$B132,周转筐出入库明细!$B$4:$B$2004,"&lt;"&amp;$L132),2))</f>
        <v/>
      </c>
      <c r="H132" s="26">
        <v>0</v>
      </c>
      <c r="I132" s="27"/>
      <c r="L132" s="28" t="str">
        <f>IF($M$2="","",DATE(YEAR($M$2),MONTH($M$2)+6,1))</f>
        <v/>
      </c>
    </row>
    <row r="133" ht="18" customHeight="1" spans="1:12">
      <c r="A133" s="22" t="str">
        <f t="shared" si="4"/>
        <v/>
      </c>
      <c r="B133" s="23" t="str">
        <f>IF($M$2="","",DATE(YEAR($M$2),MONTH($M$2)+6,1))</f>
        <v/>
      </c>
      <c r="C133" s="24" t="s">
        <v>602</v>
      </c>
      <c r="D133" s="25" t="str">
        <f>IF($B133="","",SUMIFS(周转筐出入库明细!$H$4:$H$2004,周转筐出入库明细!$F$4:$F$2004,"采购入库",周转筐出入库明细!$B$4:$B$2004,"&gt;="&amp;$B133,周转筐出入库明细!$B$4:$B$2004,"&lt;"&amp;$L133))</f>
        <v/>
      </c>
      <c r="E133" s="26" t="str">
        <f t="shared" si="5"/>
        <v>个</v>
      </c>
      <c r="F133" s="24"/>
      <c r="G133" s="26" t="str">
        <f>IF($B133="","",ROUND(SUMIFS(周转筐出入库明细!$P$4:$P$2004,周转筐出入库明细!$F$4:$F$2004,"采购入库",周转筐出入库明细!$B$4:$B$2004,"&gt;="&amp;$B133,周转筐出入库明细!$B$4:$B$2004,"&lt;"&amp;$L133),2))</f>
        <v/>
      </c>
      <c r="H133" s="26">
        <v>0</v>
      </c>
      <c r="I133" s="27"/>
      <c r="L133" s="28" t="str">
        <f>IF($M$2="","",DATE(YEAR($M$2),MONTH($M$2)+7,1))</f>
        <v/>
      </c>
    </row>
    <row r="134" ht="18" customHeight="1" spans="1:12">
      <c r="A134" s="22" t="str">
        <f t="shared" si="4"/>
        <v/>
      </c>
      <c r="B134" s="23" t="str">
        <f>IF($M$2="","",DATE(YEAR($M$2),MONTH($M$2)+7,1))</f>
        <v/>
      </c>
      <c r="C134" s="24" t="s">
        <v>602</v>
      </c>
      <c r="D134" s="25" t="str">
        <f>IF($B134="","",SUMIFS(周转筐出入库明细!$H$4:$H$2004,周转筐出入库明细!$F$4:$F$2004,"采购入库",周转筐出入库明细!$B$4:$B$2004,"&gt;="&amp;$B134,周转筐出入库明细!$B$4:$B$2004,"&lt;"&amp;$L134))</f>
        <v/>
      </c>
      <c r="E134" s="26" t="str">
        <f t="shared" si="5"/>
        <v>个</v>
      </c>
      <c r="F134" s="24"/>
      <c r="G134" s="26" t="str">
        <f>IF($B134="","",ROUND(SUMIFS(周转筐出入库明细!$P$4:$P$2004,周转筐出入库明细!$F$4:$F$2004,"采购入库",周转筐出入库明细!$B$4:$B$2004,"&gt;="&amp;$B134,周转筐出入库明细!$B$4:$B$2004,"&lt;"&amp;$L134),2))</f>
        <v/>
      </c>
      <c r="H134" s="26">
        <v>0</v>
      </c>
      <c r="I134" s="27"/>
      <c r="L134" s="28" t="str">
        <f>IF($M$2="","",DATE(YEAR($M$2),MONTH($M$2)+8,1))</f>
        <v/>
      </c>
    </row>
    <row r="135" ht="18" customHeight="1" spans="1:12">
      <c r="A135" s="22" t="str">
        <f t="shared" si="4"/>
        <v/>
      </c>
      <c r="B135" s="23" t="str">
        <f>IF($M$2="","",DATE(YEAR($M$2),MONTH($M$2)+8,1))</f>
        <v/>
      </c>
      <c r="C135" s="24" t="s">
        <v>602</v>
      </c>
      <c r="D135" s="25" t="str">
        <f>IF($B135="","",SUMIFS(周转筐出入库明细!$H$4:$H$2004,周转筐出入库明细!$F$4:$F$2004,"采购入库",周转筐出入库明细!$B$4:$B$2004,"&gt;="&amp;$B135,周转筐出入库明细!$B$4:$B$2004,"&lt;"&amp;$L135))</f>
        <v/>
      </c>
      <c r="E135" s="26" t="str">
        <f t="shared" si="5"/>
        <v>个</v>
      </c>
      <c r="F135" s="24"/>
      <c r="G135" s="26" t="str">
        <f>IF($B135="","",ROUND(SUMIFS(周转筐出入库明细!$P$4:$P$2004,周转筐出入库明细!$F$4:$F$2004,"采购入库",周转筐出入库明细!$B$4:$B$2004,"&gt;="&amp;$B135,周转筐出入库明细!$B$4:$B$2004,"&lt;"&amp;$L135),2))</f>
        <v/>
      </c>
      <c r="H135" s="26">
        <v>0</v>
      </c>
      <c r="I135" s="27"/>
      <c r="L135" s="28" t="str">
        <f>IF($M$2="","",DATE(YEAR($M$2),MONTH($M$2)+9,1))</f>
        <v/>
      </c>
    </row>
    <row r="136" ht="18" customHeight="1" spans="1:12">
      <c r="A136" s="22" t="str">
        <f t="shared" si="4"/>
        <v/>
      </c>
      <c r="B136" s="23" t="str">
        <f>IF($M$2="","",DATE(YEAR($M$2),MONTH($M$2)+9,1))</f>
        <v/>
      </c>
      <c r="C136" s="24" t="s">
        <v>602</v>
      </c>
      <c r="D136" s="25" t="str">
        <f>IF($B136="","",SUMIFS(周转筐出入库明细!$H$4:$H$2004,周转筐出入库明细!$F$4:$F$2004,"采购入库",周转筐出入库明细!$B$4:$B$2004,"&gt;="&amp;$B136,周转筐出入库明细!$B$4:$B$2004,"&lt;"&amp;$L136))</f>
        <v/>
      </c>
      <c r="E136" s="26" t="str">
        <f t="shared" si="5"/>
        <v>个</v>
      </c>
      <c r="F136" s="24"/>
      <c r="G136" s="26" t="str">
        <f>IF($B136="","",ROUND(SUMIFS(周转筐出入库明细!$P$4:$P$2004,周转筐出入库明细!$F$4:$F$2004,"采购入库",周转筐出入库明细!$B$4:$B$2004,"&gt;="&amp;$B136,周转筐出入库明细!$B$4:$B$2004,"&lt;"&amp;$L136),2))</f>
        <v/>
      </c>
      <c r="H136" s="26">
        <v>0</v>
      </c>
      <c r="I136" s="27"/>
      <c r="L136" s="28" t="str">
        <f>IF($M$2="","",DATE(YEAR($M$2),MONTH($M$2)+10,1))</f>
        <v/>
      </c>
    </row>
    <row r="137" ht="18" customHeight="1" spans="1:12">
      <c r="A137" s="22" t="str">
        <f t="shared" si="4"/>
        <v/>
      </c>
      <c r="B137" s="23" t="str">
        <f>IF($M$2="","",DATE(YEAR($M$2),MONTH($M$2)+10,1))</f>
        <v/>
      </c>
      <c r="C137" s="24" t="s">
        <v>602</v>
      </c>
      <c r="D137" s="25" t="str">
        <f>IF($B137="","",SUMIFS(周转筐出入库明细!$H$4:$H$2004,周转筐出入库明细!$F$4:$F$2004,"采购入库",周转筐出入库明细!$B$4:$B$2004,"&gt;="&amp;$B137,周转筐出入库明细!$B$4:$B$2004,"&lt;"&amp;$L137))</f>
        <v/>
      </c>
      <c r="E137" s="26" t="str">
        <f t="shared" si="5"/>
        <v>个</v>
      </c>
      <c r="F137" s="24"/>
      <c r="G137" s="26" t="str">
        <f>IF($B137="","",ROUND(SUMIFS(周转筐出入库明细!$P$4:$P$2004,周转筐出入库明细!$F$4:$F$2004,"采购入库",周转筐出入库明细!$B$4:$B$2004,"&gt;="&amp;$B137,周转筐出入库明细!$B$4:$B$2004,"&lt;"&amp;$L137),2))</f>
        <v/>
      </c>
      <c r="H137" s="26">
        <v>0</v>
      </c>
      <c r="I137" s="27"/>
      <c r="L137" s="28" t="str">
        <f>IF($M$2="","",DATE(YEAR($M$2),MONTH($M$2)+11,1))</f>
        <v/>
      </c>
    </row>
    <row r="138" ht="18" customHeight="1" spans="1:12">
      <c r="A138" s="22" t="str">
        <f t="shared" si="4"/>
        <v/>
      </c>
      <c r="B138" s="23" t="str">
        <f>IF($M$2="","",DATE(YEAR($M$2),MONTH($M$2)+11,1))</f>
        <v/>
      </c>
      <c r="C138" s="24" t="s">
        <v>602</v>
      </c>
      <c r="D138" s="25" t="str">
        <f>IF($B138="","",SUMIFS(周转筐出入库明细!$H$4:$H$2004,周转筐出入库明细!$F$4:$F$2004,"采购入库",周转筐出入库明细!$B$4:$B$2004,"&gt;="&amp;$B138,周转筐出入库明细!$B$4:$B$2004,"&lt;"&amp;$L138))</f>
        <v/>
      </c>
      <c r="E138" s="26" t="str">
        <f t="shared" si="5"/>
        <v>个</v>
      </c>
      <c r="F138" s="24"/>
      <c r="G138" s="26" t="str">
        <f>IF($B138="","",ROUND(SUMIFS(周转筐出入库明细!$P$4:$P$2004,周转筐出入库明细!$F$4:$F$2004,"采购入库",周转筐出入库明细!$B$4:$B$2004,"&gt;="&amp;$B138,周转筐出入库明细!$B$4:$B$2004,"&lt;"&amp;$L138),2))</f>
        <v/>
      </c>
      <c r="H138" s="26">
        <v>0</v>
      </c>
      <c r="I138" s="27"/>
      <c r="L138" s="28" t="str">
        <f>IF($M$2="","",DATE(YEAR($M$2),MONTH($M$2)+12,1))</f>
        <v/>
      </c>
    </row>
    <row r="139" ht="18" customHeight="1" spans="1:12">
      <c r="A139" s="22" t="str">
        <f t="shared" si="4"/>
        <v/>
      </c>
      <c r="B139" s="23" t="str">
        <f>IF($M$2="","",DATE(YEAR($M$2),MONTH($M$2)+12,1))</f>
        <v/>
      </c>
      <c r="C139" s="24" t="s">
        <v>602</v>
      </c>
      <c r="D139" s="25" t="str">
        <f>IF($B139="","",SUMIFS(周转筐出入库明细!$H$4:$H$2004,周转筐出入库明细!$F$4:$F$2004,"采购入库",周转筐出入库明细!$B$4:$B$2004,"&gt;="&amp;$B139,周转筐出入库明细!$B$4:$B$2004,"&lt;"&amp;$L139))</f>
        <v/>
      </c>
      <c r="E139" s="26" t="str">
        <f t="shared" si="5"/>
        <v>个</v>
      </c>
      <c r="F139" s="24"/>
      <c r="G139" s="26" t="str">
        <f>IF($B139="","",ROUND(SUMIFS(周转筐出入库明细!$P$4:$P$2004,周转筐出入库明细!$F$4:$F$2004,"采购入库",周转筐出入库明细!$B$4:$B$2004,"&gt;="&amp;$B139,周转筐出入库明细!$B$4:$B$2004,"&lt;"&amp;$L139),2))</f>
        <v/>
      </c>
      <c r="H139" s="26">
        <v>0</v>
      </c>
      <c r="I139" s="27"/>
      <c r="L139" s="28" t="str">
        <f>IF($M$2="","",DATE(YEAR($M$2),MONTH($M$2)+13,1))</f>
        <v/>
      </c>
    </row>
    <row r="140" ht="18" customHeight="1" spans="1:12">
      <c r="A140" s="22" t="str">
        <f t="shared" si="4"/>
        <v/>
      </c>
      <c r="B140" s="23" t="str">
        <f>IF($M$2="","",DATE(YEAR($M$2),MONTH($M$2)+13,1))</f>
        <v/>
      </c>
      <c r="C140" s="24" t="s">
        <v>602</v>
      </c>
      <c r="D140" s="25" t="str">
        <f>IF($B140="","",SUMIFS(周转筐出入库明细!$H$4:$H$2004,周转筐出入库明细!$F$4:$F$2004,"采购入库",周转筐出入库明细!$B$4:$B$2004,"&gt;="&amp;$B140,周转筐出入库明细!$B$4:$B$2004,"&lt;"&amp;$L140))</f>
        <v/>
      </c>
      <c r="E140" s="26" t="str">
        <f t="shared" si="5"/>
        <v>个</v>
      </c>
      <c r="F140" s="24"/>
      <c r="G140" s="26" t="str">
        <f>IF($B140="","",ROUND(SUMIFS(周转筐出入库明细!$P$4:$P$2004,周转筐出入库明细!$F$4:$F$2004,"采购入库",周转筐出入库明细!$B$4:$B$2004,"&gt;="&amp;$B140,周转筐出入库明细!$B$4:$B$2004,"&lt;"&amp;$L140),2))</f>
        <v/>
      </c>
      <c r="H140" s="26">
        <v>0</v>
      </c>
      <c r="I140" s="27"/>
      <c r="L140" s="28" t="str">
        <f>IF($M$2="","",DATE(YEAR($M$2),MONTH($M$2)+14,1))</f>
        <v/>
      </c>
    </row>
    <row r="141" ht="18" customHeight="1" spans="1:12">
      <c r="A141" s="22" t="str">
        <f t="shared" si="4"/>
        <v/>
      </c>
      <c r="B141" s="23" t="str">
        <f>IF($M$2="","",DATE(YEAR($M$2),MONTH($M$2)+14,1))</f>
        <v/>
      </c>
      <c r="C141" s="24" t="s">
        <v>602</v>
      </c>
      <c r="D141" s="25" t="str">
        <f>IF($B141="","",SUMIFS(周转筐出入库明细!$H$4:$H$2004,周转筐出入库明细!$F$4:$F$2004,"采购入库",周转筐出入库明细!$B$4:$B$2004,"&gt;="&amp;$B141,周转筐出入库明细!$B$4:$B$2004,"&lt;"&amp;$L141))</f>
        <v/>
      </c>
      <c r="E141" s="26" t="str">
        <f t="shared" si="5"/>
        <v>个</v>
      </c>
      <c r="F141" s="24"/>
      <c r="G141" s="26" t="str">
        <f>IF($B141="","",ROUND(SUMIFS(周转筐出入库明细!$P$4:$P$2004,周转筐出入库明细!$F$4:$F$2004,"采购入库",周转筐出入库明细!$B$4:$B$2004,"&gt;="&amp;$B141,周转筐出入库明细!$B$4:$B$2004,"&lt;"&amp;$L141),2))</f>
        <v/>
      </c>
      <c r="H141" s="26">
        <v>0</v>
      </c>
      <c r="I141" s="27"/>
      <c r="L141" s="28" t="str">
        <f>IF($M$2="","",DATE(YEAR($M$2),MONTH($M$2)+15,1))</f>
        <v/>
      </c>
    </row>
    <row r="142" ht="18" customHeight="1" spans="1:12">
      <c r="A142" s="22" t="str">
        <f t="shared" si="4"/>
        <v/>
      </c>
      <c r="B142" s="23" t="str">
        <f>IF($M$2="","",DATE(YEAR($M$2),MONTH($M$2)+15,1))</f>
        <v/>
      </c>
      <c r="C142" s="24" t="s">
        <v>602</v>
      </c>
      <c r="D142" s="25" t="str">
        <f>IF($B142="","",SUMIFS(周转筐出入库明细!$H$4:$H$2004,周转筐出入库明细!$F$4:$F$2004,"采购入库",周转筐出入库明细!$B$4:$B$2004,"&gt;="&amp;$B142,周转筐出入库明细!$B$4:$B$2004,"&lt;"&amp;$L142))</f>
        <v/>
      </c>
      <c r="E142" s="26" t="str">
        <f t="shared" si="5"/>
        <v>个</v>
      </c>
      <c r="F142" s="24"/>
      <c r="G142" s="26" t="str">
        <f>IF($B142="","",ROUND(SUMIFS(周转筐出入库明细!$P$4:$P$2004,周转筐出入库明细!$F$4:$F$2004,"采购入库",周转筐出入库明细!$B$4:$B$2004,"&gt;="&amp;$B142,周转筐出入库明细!$B$4:$B$2004,"&lt;"&amp;$L142),2))</f>
        <v/>
      </c>
      <c r="H142" s="26">
        <v>0</v>
      </c>
      <c r="I142" s="27"/>
      <c r="L142" s="28" t="str">
        <f>IF($M$2="","",DATE(YEAR($M$2),MONTH($M$2)+16,1))</f>
        <v/>
      </c>
    </row>
    <row r="143" ht="18" customHeight="1" spans="1:12">
      <c r="A143" s="22" t="str">
        <f t="shared" si="4"/>
        <v/>
      </c>
      <c r="B143" s="23" t="str">
        <f>IF($M$2="","",DATE(YEAR($M$2),MONTH($M$2)+16,1))</f>
        <v/>
      </c>
      <c r="C143" s="24" t="s">
        <v>602</v>
      </c>
      <c r="D143" s="25" t="str">
        <f>IF($B143="","",SUMIFS(周转筐出入库明细!$H$4:$H$2004,周转筐出入库明细!$F$4:$F$2004,"采购入库",周转筐出入库明细!$B$4:$B$2004,"&gt;="&amp;$B143,周转筐出入库明细!$B$4:$B$2004,"&lt;"&amp;$L143))</f>
        <v/>
      </c>
      <c r="E143" s="26" t="str">
        <f t="shared" si="5"/>
        <v>个</v>
      </c>
      <c r="F143" s="24"/>
      <c r="G143" s="26" t="str">
        <f>IF($B143="","",ROUND(SUMIFS(周转筐出入库明细!$P$4:$P$2004,周转筐出入库明细!$F$4:$F$2004,"采购入库",周转筐出入库明细!$B$4:$B$2004,"&gt;="&amp;$B143,周转筐出入库明细!$B$4:$B$2004,"&lt;"&amp;$L143),2))</f>
        <v/>
      </c>
      <c r="H143" s="26">
        <v>0</v>
      </c>
      <c r="I143" s="27"/>
      <c r="L143" s="28" t="str">
        <f>IF($M$2="","",DATE(YEAR($M$2),MONTH($M$2)+17,1))</f>
        <v/>
      </c>
    </row>
    <row r="144" ht="18" customHeight="1" spans="1:12">
      <c r="A144" s="22" t="str">
        <f t="shared" si="4"/>
        <v/>
      </c>
      <c r="B144" s="23" t="str">
        <f>IF($M$2="","",DATE(YEAR($M$2),MONTH($M$2)+17,1))</f>
        <v/>
      </c>
      <c r="C144" s="24" t="s">
        <v>602</v>
      </c>
      <c r="D144" s="25" t="str">
        <f>IF($B144="","",SUMIFS(周转筐出入库明细!$H$4:$H$2004,周转筐出入库明细!$F$4:$F$2004,"采购入库",周转筐出入库明细!$B$4:$B$2004,"&gt;="&amp;$B144,周转筐出入库明细!$B$4:$B$2004,"&lt;"&amp;$L144))</f>
        <v/>
      </c>
      <c r="E144" s="26" t="str">
        <f t="shared" si="5"/>
        <v>个</v>
      </c>
      <c r="F144" s="24"/>
      <c r="G144" s="26" t="str">
        <f>IF($B144="","",ROUND(SUMIFS(周转筐出入库明细!$P$4:$P$2004,周转筐出入库明细!$F$4:$F$2004,"采购入库",周转筐出入库明细!$B$4:$B$2004,"&gt;="&amp;$B144,周转筐出入库明细!$B$4:$B$2004,"&lt;"&amp;$L144),2))</f>
        <v/>
      </c>
      <c r="H144" s="26">
        <v>0</v>
      </c>
      <c r="I144" s="27"/>
      <c r="L144" s="28" t="str">
        <f>IF($M$2="","",DATE(YEAR($M$2),MONTH($M$2)+18,1))</f>
        <v/>
      </c>
    </row>
    <row r="145" ht="18" customHeight="1" spans="1:12">
      <c r="A145" s="22" t="str">
        <f t="shared" si="4"/>
        <v/>
      </c>
      <c r="B145" s="23" t="str">
        <f>IF($M$2="","",DATE(YEAR($M$2),MONTH($M$2)+18,1))</f>
        <v/>
      </c>
      <c r="C145" s="24" t="s">
        <v>602</v>
      </c>
      <c r="D145" s="25" t="str">
        <f>IF($B145="","",SUMIFS(周转筐出入库明细!$H$4:$H$2004,周转筐出入库明细!$F$4:$F$2004,"采购入库",周转筐出入库明细!$B$4:$B$2004,"&gt;="&amp;$B145,周转筐出入库明细!$B$4:$B$2004,"&lt;"&amp;$L145))</f>
        <v/>
      </c>
      <c r="E145" s="26" t="str">
        <f t="shared" si="5"/>
        <v>个</v>
      </c>
      <c r="F145" s="24"/>
      <c r="G145" s="26" t="str">
        <f>IF($B145="","",ROUND(SUMIFS(周转筐出入库明细!$P$4:$P$2004,周转筐出入库明细!$F$4:$F$2004,"采购入库",周转筐出入库明细!$B$4:$B$2004,"&gt;="&amp;$B145,周转筐出入库明细!$B$4:$B$2004,"&lt;"&amp;$L145),2))</f>
        <v/>
      </c>
      <c r="H145" s="26">
        <v>0</v>
      </c>
      <c r="I145" s="27"/>
      <c r="L145" s="28" t="str">
        <f>IF($M$2="","",DATE(YEAR($M$2),MONTH($M$2)+19,1))</f>
        <v/>
      </c>
    </row>
    <row r="146" ht="18" customHeight="1" spans="1:12">
      <c r="A146" s="22" t="str">
        <f t="shared" si="4"/>
        <v/>
      </c>
      <c r="B146" s="23" t="str">
        <f>IF($M$2="","",DATE(YEAR($M$2),MONTH($M$2)+19,1))</f>
        <v/>
      </c>
      <c r="C146" s="24" t="s">
        <v>602</v>
      </c>
      <c r="D146" s="25" t="str">
        <f>IF($B146="","",SUMIFS(周转筐出入库明细!$H$4:$H$2004,周转筐出入库明细!$F$4:$F$2004,"采购入库",周转筐出入库明细!$B$4:$B$2004,"&gt;="&amp;$B146,周转筐出入库明细!$B$4:$B$2004,"&lt;"&amp;$L146))</f>
        <v/>
      </c>
      <c r="E146" s="26" t="str">
        <f t="shared" si="5"/>
        <v>个</v>
      </c>
      <c r="F146" s="24"/>
      <c r="G146" s="26" t="str">
        <f>IF($B146="","",ROUND(SUMIFS(周转筐出入库明细!$P$4:$P$2004,周转筐出入库明细!$F$4:$F$2004,"采购入库",周转筐出入库明细!$B$4:$B$2004,"&gt;="&amp;$B146,周转筐出入库明细!$B$4:$B$2004,"&lt;"&amp;$L146),2))</f>
        <v/>
      </c>
      <c r="H146" s="26">
        <v>0</v>
      </c>
      <c r="I146" s="27"/>
      <c r="L146" s="28" t="str">
        <f>IF($M$2="","",DATE(YEAR($M$2),MONTH($M$2)+20,1))</f>
        <v/>
      </c>
    </row>
    <row r="147" ht="18" customHeight="1" spans="1:12">
      <c r="A147" s="22" t="str">
        <f t="shared" si="4"/>
        <v/>
      </c>
      <c r="B147" s="23" t="str">
        <f>IF($M$2="","",DATE(YEAR($M$2),MONTH($M$2)+20,1))</f>
        <v/>
      </c>
      <c r="C147" s="24" t="s">
        <v>602</v>
      </c>
      <c r="D147" s="25" t="str">
        <f>IF($B147="","",SUMIFS(周转筐出入库明细!$H$4:$H$2004,周转筐出入库明细!$F$4:$F$2004,"采购入库",周转筐出入库明细!$B$4:$B$2004,"&gt;="&amp;$B147,周转筐出入库明细!$B$4:$B$2004,"&lt;"&amp;$L147))</f>
        <v/>
      </c>
      <c r="E147" s="26" t="str">
        <f t="shared" si="5"/>
        <v>个</v>
      </c>
      <c r="F147" s="24"/>
      <c r="G147" s="26" t="str">
        <f>IF($B147="","",ROUND(SUMIFS(周转筐出入库明细!$P$4:$P$2004,周转筐出入库明细!$F$4:$F$2004,"采购入库",周转筐出入库明细!$B$4:$B$2004,"&gt;="&amp;$B147,周转筐出入库明细!$B$4:$B$2004,"&lt;"&amp;$L147),2))</f>
        <v/>
      </c>
      <c r="H147" s="26">
        <v>0</v>
      </c>
      <c r="I147" s="27"/>
      <c r="L147" s="28" t="str">
        <f>IF($M$2="","",DATE(YEAR($M$2),MONTH($M$2)+21,1))</f>
        <v/>
      </c>
    </row>
    <row r="148" ht="18" customHeight="1" spans="1:12">
      <c r="A148" s="22" t="str">
        <f t="shared" si="4"/>
        <v/>
      </c>
      <c r="B148" s="23" t="str">
        <f>IF($M$2="","",DATE(YEAR($M$2),MONTH($M$2)+21,1))</f>
        <v/>
      </c>
      <c r="C148" s="24" t="s">
        <v>602</v>
      </c>
      <c r="D148" s="25" t="str">
        <f>IF($B148="","",SUMIFS(周转筐出入库明细!$H$4:$H$2004,周转筐出入库明细!$F$4:$F$2004,"采购入库",周转筐出入库明细!$B$4:$B$2004,"&gt;="&amp;$B148,周转筐出入库明细!$B$4:$B$2004,"&lt;"&amp;$L148))</f>
        <v/>
      </c>
      <c r="E148" s="26" t="str">
        <f t="shared" si="5"/>
        <v>个</v>
      </c>
      <c r="F148" s="24"/>
      <c r="G148" s="26" t="str">
        <f>IF($B148="","",ROUND(SUMIFS(周转筐出入库明细!$P$4:$P$2004,周转筐出入库明细!$F$4:$F$2004,"采购入库",周转筐出入库明细!$B$4:$B$2004,"&gt;="&amp;$B148,周转筐出入库明细!$B$4:$B$2004,"&lt;"&amp;$L148),2))</f>
        <v/>
      </c>
      <c r="H148" s="26">
        <v>0</v>
      </c>
      <c r="I148" s="27"/>
      <c r="L148" s="28" t="str">
        <f>IF($M$2="","",DATE(YEAR($M$2),MONTH($M$2)+22,1))</f>
        <v/>
      </c>
    </row>
    <row r="149" ht="18" customHeight="1" spans="1:12">
      <c r="A149" s="22" t="str">
        <f t="shared" si="4"/>
        <v/>
      </c>
      <c r="B149" s="23" t="str">
        <f>IF($M$2="","",DATE(YEAR($M$2),MONTH($M$2)+22,1))</f>
        <v/>
      </c>
      <c r="C149" s="24" t="s">
        <v>602</v>
      </c>
      <c r="D149" s="25" t="str">
        <f>IF($B149="","",SUMIFS(周转筐出入库明细!$H$4:$H$2004,周转筐出入库明细!$F$4:$F$2004,"采购入库",周转筐出入库明细!$B$4:$B$2004,"&gt;="&amp;$B149,周转筐出入库明细!$B$4:$B$2004,"&lt;"&amp;$L149))</f>
        <v/>
      </c>
      <c r="E149" s="26" t="str">
        <f t="shared" si="5"/>
        <v>个</v>
      </c>
      <c r="F149" s="24"/>
      <c r="G149" s="26" t="str">
        <f>IF($B149="","",ROUND(SUMIFS(周转筐出入库明细!$P$4:$P$2004,周转筐出入库明细!$F$4:$F$2004,"采购入库",周转筐出入库明细!$B$4:$B$2004,"&gt;="&amp;$B149,周转筐出入库明细!$B$4:$B$2004,"&lt;"&amp;$L149),2))</f>
        <v/>
      </c>
      <c r="H149" s="26">
        <v>0</v>
      </c>
      <c r="I149" s="27"/>
      <c r="L149" s="28" t="str">
        <f>IF($M$2="","",DATE(YEAR($M$2),MONTH($M$2)+23,1))</f>
        <v/>
      </c>
    </row>
    <row r="150" ht="18" customHeight="1" spans="1:12">
      <c r="A150" s="22" t="str">
        <f t="shared" si="4"/>
        <v/>
      </c>
      <c r="B150" s="23" t="str">
        <f>IF($M$2="","",DATE(YEAR($M$2),MONTH($M$2)+23,1))</f>
        <v/>
      </c>
      <c r="C150" s="24" t="s">
        <v>602</v>
      </c>
      <c r="D150" s="25" t="str">
        <f>IF($B150="","",SUMIFS(周转筐出入库明细!$H$4:$H$2004,周转筐出入库明细!$F$4:$F$2004,"采购入库",周转筐出入库明细!$B$4:$B$2004,"&gt;="&amp;$B150,周转筐出入库明细!$B$4:$B$2004,"&lt;"&amp;$L150))</f>
        <v/>
      </c>
      <c r="E150" s="26" t="str">
        <f t="shared" si="5"/>
        <v>个</v>
      </c>
      <c r="F150" s="24"/>
      <c r="G150" s="26" t="str">
        <f>IF($B150="","",ROUND(SUMIFS(周转筐出入库明细!$P$4:$P$2004,周转筐出入库明细!$F$4:$F$2004,"采购入库",周转筐出入库明细!$B$4:$B$2004,"&gt;="&amp;$B150,周转筐出入库明细!$B$4:$B$2004,"&lt;"&amp;$L150),2))</f>
        <v/>
      </c>
      <c r="H150" s="26">
        <v>0</v>
      </c>
      <c r="I150" s="27"/>
      <c r="L150" s="28" t="str">
        <f>IF($M$2="","",DATE(YEAR($M$2),MONTH($M$2)+24,1))</f>
        <v/>
      </c>
    </row>
    <row r="151" ht="18" customHeight="1" spans="1:12">
      <c r="A151" s="29"/>
      <c r="B151" s="29"/>
      <c r="C151" s="29"/>
      <c r="D151" s="30"/>
      <c r="E151" s="30"/>
      <c r="F151" s="5"/>
      <c r="G151" s="30"/>
      <c r="H151" s="30"/>
      <c r="I151" s="5"/>
    </row>
    <row r="152" ht="20" customHeight="1" spans="1:12">
      <c r="A152" s="31" t="s">
        <v>603</v>
      </c>
      <c r="B152" s="17"/>
      <c r="C152" s="17"/>
      <c r="D152" s="17"/>
      <c r="E152" s="17"/>
      <c r="F152" s="17"/>
      <c r="G152" s="17"/>
      <c r="H152" s="17"/>
      <c r="I152" s="18"/>
    </row>
    <row r="153" ht="30" customHeight="1" spans="1:12">
      <c r="A153" s="21" t="s">
        <v>3</v>
      </c>
      <c r="B153" s="21" t="s">
        <v>591</v>
      </c>
      <c r="C153" s="21" t="s">
        <v>592</v>
      </c>
      <c r="D153" s="32" t="s">
        <v>593</v>
      </c>
      <c r="E153" s="32" t="s">
        <v>136</v>
      </c>
      <c r="F153" s="21" t="s">
        <v>594</v>
      </c>
      <c r="G153" s="32" t="s">
        <v>595</v>
      </c>
      <c r="H153" s="32" t="s">
        <v>500</v>
      </c>
      <c r="I153" s="21" t="s">
        <v>306</v>
      </c>
    </row>
    <row r="154" ht="18" customHeight="1" spans="1:12">
      <c r="A154" s="33">
        <f>ROW()-3</f>
        <v>151</v>
      </c>
      <c r="B154" s="33" t="str">
        <f>""</f>
        <v/>
      </c>
      <c r="C154" s="33" t="s">
        <v>604</v>
      </c>
      <c r="D154" s="34">
        <f>物料库存结余!$L$54</f>
        <v>23490</v>
      </c>
      <c r="E154" s="35" t="str">
        <f>_自动清单!$CE$1</f>
        <v>包</v>
      </c>
      <c r="F154" s="33"/>
      <c r="G154" s="35">
        <f>ROUND(物料库存结余!$O$54,2)</f>
        <v>0</v>
      </c>
      <c r="H154" s="35"/>
      <c r="I154" s="33"/>
    </row>
    <row r="155" ht="18" customHeight="1" spans="1:12">
      <c r="A155" s="33">
        <f>ROW()-3</f>
        <v>152</v>
      </c>
      <c r="B155" s="33" t="str">
        <f>""</f>
        <v/>
      </c>
      <c r="C155" s="33" t="s">
        <v>605</v>
      </c>
      <c r="D155" s="34">
        <f>筐子库存汇总!$L$64</f>
        <v>180226</v>
      </c>
      <c r="E155" s="35" t="str">
        <f>"个"</f>
        <v>个</v>
      </c>
      <c r="F155" s="33"/>
      <c r="G155" s="35"/>
      <c r="H155" s="35"/>
      <c r="I155" s="33"/>
    </row>
    <row r="156" spans="1:12">
      <c r="A156" s="33">
        <f>ROW()-3</f>
        <v>153</v>
      </c>
      <c r="B156" s="33" t="str">
        <f>""</f>
        <v/>
      </c>
      <c r="C156" s="33" t="s">
        <v>571</v>
      </c>
      <c r="D156" s="34">
        <f>自备筐汇总!$O$204</f>
        <v>2362</v>
      </c>
      <c r="E156" s="33" t="str">
        <f>"个"</f>
        <v>个</v>
      </c>
      <c r="F156" s="33"/>
      <c r="G156" s="35"/>
      <c r="H156" s="33"/>
      <c r="I156" s="33"/>
    </row>
    <row r="158" ht="20" customHeight="1" spans="1:12">
      <c r="A158" s="36" t="s">
        <v>606</v>
      </c>
    </row>
    <row r="159" ht="30" customHeight="1" spans="1:12">
      <c r="A159" s="21" t="s">
        <v>3</v>
      </c>
      <c r="B159" s="21" t="s">
        <v>575</v>
      </c>
      <c r="C159" s="21" t="s">
        <v>592</v>
      </c>
      <c r="D159" s="21" t="s">
        <v>607</v>
      </c>
      <c r="E159" s="21" t="s">
        <v>608</v>
      </c>
      <c r="F159" s="21" t="s">
        <v>609</v>
      </c>
      <c r="G159" s="21" t="s">
        <v>610</v>
      </c>
      <c r="H159" s="21" t="s">
        <v>500</v>
      </c>
      <c r="I159" s="21" t="s">
        <v>306</v>
      </c>
    </row>
    <row r="160" spans="1:12">
      <c r="A160" s="22">
        <f t="shared" ref="A160:A223" si="6">IF($B160="","",ROW()-159)</f>
        <v>1</v>
      </c>
      <c r="B160" s="37" t="str">
        <f>IFERROR(INDEX(_自动清单!$CL$4:$CL$203,INT((ROW()-160)/2)+1),"")</f>
        <v>聂新平</v>
      </c>
      <c r="C160" s="37" t="str">
        <f t="shared" ref="C160:C223" si="7">IF($B160="","",IF(MOD(ROW()-160,2)=0,"筐子销售款","物料销售款"))</f>
        <v>筐子销售款</v>
      </c>
      <c r="D160" s="26">
        <f>IF($B160="",0,IF($C160="筐子销售款",ROUND(SUMIFS(周转筐出入库明细!$P$4:$P$2004,周转筐出入库明细!$C$4:$C$2004,$B160,周转筐出入库明细!$F$4:$F$2004,"销售出库"),2),ROUND(SUMIFS(包装物料出入库明细!$N$4:$N$2003,包装物料出入库明细!$D$4:$D$2003,$B160,包装物料出入库明细!$H$4:$H$2003,"销售出库"),2)))</f>
        <v>0</v>
      </c>
      <c r="E160" s="26">
        <f>IF($B160="",0,IF($C160="筐子销售款",ROUND(SUMIFS(周转筐出入库明细!$P$4:$P$2004,周转筐出入库明细!$C$4:$C$2004,$B160,周转筐出入库明细!$F$4:$F$2004,"采购入库"),2),ROUND(SUMIFS(包装物料出入库明细!$N$4:$N$2003,包装物料出入库明细!$D$4:$D$2003,$B160,包装物料出入库明细!$H$4:$H$2003,"采购入库"),2)))</f>
        <v>0</v>
      </c>
      <c r="F160" s="24"/>
      <c r="G160" s="26">
        <f t="shared" ref="G160:G223" si="8">IF($B160="","",ROUND(N($D160),2))</f>
        <v>0</v>
      </c>
      <c r="H160" s="26">
        <f>IF($B160="","",IF($C160="筐子销售款",ROUND(SUMIFS(周转筐出入库明细!$P$4:$P$2004,周转筐出入库明细!$C$4:$C$2004,$B160,周转筐出入库明细!$F$4:$F$2004,"销售出库",周转筐出入库明细!$Q$4:$Q$2004,"已收讫"),2),ROUND(SUMIFS(包装物料出入库明细!$N$4:$N$2003,包装物料出入库明细!$D$4:$D$2003,$B160,包装物料出入库明细!$H$4:$H$2003,"销售出库",包装物料出入库明细!$P$4:$P$2003,"已收讫"),2)))</f>
        <v>0</v>
      </c>
      <c r="I160" s="27"/>
    </row>
    <row r="161" spans="1:9">
      <c r="A161" s="22">
        <f t="shared" si="6"/>
        <v>2</v>
      </c>
      <c r="B161" s="37" t="str">
        <f>IFERROR(INDEX(_自动清单!$CL$4:$CL$203,INT((ROW()-160)/2)+1),"")</f>
        <v>聂新平</v>
      </c>
      <c r="C161" s="37" t="str">
        <f t="shared" si="7"/>
        <v>物料销售款</v>
      </c>
      <c r="D161" s="26">
        <f>IF($B161="",0,IF($C161="筐子销售款",ROUND(SUMIFS(周转筐出入库明细!$P$4:$P$2004,周转筐出入库明细!$C$4:$C$2004,$B161,周转筐出入库明细!$F$4:$F$2004,"销售出库"),2),ROUND(SUMIFS(包装物料出入库明细!$N$4:$N$2003,包装物料出入库明细!$D$4:$D$2003,$B161,包装物料出入库明细!$H$4:$H$2003,"销售出库"),2)))</f>
        <v>0</v>
      </c>
      <c r="E161" s="26">
        <f>IF($B161="",0,IF($C161="筐子销售款",ROUND(SUMIFS(周转筐出入库明细!$P$4:$P$2004,周转筐出入库明细!$C$4:$C$2004,$B161,周转筐出入库明细!$F$4:$F$2004,"采购入库"),2),ROUND(SUMIFS(包装物料出入库明细!$N$4:$N$2003,包装物料出入库明细!$D$4:$D$2003,$B161,包装物料出入库明细!$H$4:$H$2003,"采购入库"),2)))</f>
        <v>0</v>
      </c>
      <c r="F161" s="24"/>
      <c r="G161" s="26">
        <f t="shared" si="8"/>
        <v>0</v>
      </c>
      <c r="H161" s="26">
        <f>IF($B161="","",IF($C161="筐子销售款",ROUND(SUMIFS(周转筐出入库明细!$P$4:$P$2004,周转筐出入库明细!$C$4:$C$2004,$B161,周转筐出入库明细!$F$4:$F$2004,"销售出库",周转筐出入库明细!$Q$4:$Q$2004,"已收讫"),2),ROUND(SUMIFS(包装物料出入库明细!$N$4:$N$2003,包装物料出入库明细!$D$4:$D$2003,$B161,包装物料出入库明细!$H$4:$H$2003,"销售出库",包装物料出入库明细!$P$4:$P$2003,"已收讫"),2)))</f>
        <v>0</v>
      </c>
      <c r="I161" s="27"/>
    </row>
    <row r="162" spans="1:9">
      <c r="A162" s="22">
        <f t="shared" si="6"/>
        <v>3</v>
      </c>
      <c r="B162" s="37" t="str">
        <f>IFERROR(INDEX(_自动清单!$CL$4:$CL$203,INT((ROW()-160)/2)+1),"")</f>
        <v>王照雪</v>
      </c>
      <c r="C162" s="37" t="str">
        <f t="shared" si="7"/>
        <v>筐子销售款</v>
      </c>
      <c r="D162" s="26">
        <f>IF($B162="",0,IF($C162="筐子销售款",ROUND(SUMIFS(周转筐出入库明细!$P$4:$P$2004,周转筐出入库明细!$C$4:$C$2004,$B162,周转筐出入库明细!$F$4:$F$2004,"销售出库"),2),ROUND(SUMIFS(包装物料出入库明细!$N$4:$N$2003,包装物料出入库明细!$D$4:$D$2003,$B162,包装物料出入库明细!$H$4:$H$2003,"销售出库"),2)))</f>
        <v>0</v>
      </c>
      <c r="E162" s="26">
        <f>IF($B162="",0,IF($C162="筐子销售款",ROUND(SUMIFS(周转筐出入库明细!$P$4:$P$2004,周转筐出入库明细!$C$4:$C$2004,$B162,周转筐出入库明细!$F$4:$F$2004,"采购入库"),2),ROUND(SUMIFS(包装物料出入库明细!$N$4:$N$2003,包装物料出入库明细!$D$4:$D$2003,$B162,包装物料出入库明细!$H$4:$H$2003,"采购入库"),2)))</f>
        <v>0</v>
      </c>
      <c r="F162" s="24"/>
      <c r="G162" s="26">
        <f t="shared" si="8"/>
        <v>0</v>
      </c>
      <c r="H162" s="26">
        <f>IF($B162="","",IF($C162="筐子销售款",ROUND(SUMIFS(周转筐出入库明细!$P$4:$P$2004,周转筐出入库明细!$C$4:$C$2004,$B162,周转筐出入库明细!$F$4:$F$2004,"销售出库",周转筐出入库明细!$Q$4:$Q$2004,"已收讫"),2),ROUND(SUMIFS(包装物料出入库明细!$N$4:$N$2003,包装物料出入库明细!$D$4:$D$2003,$B162,包装物料出入库明细!$H$4:$H$2003,"销售出库",包装物料出入库明细!$P$4:$P$2003,"已收讫"),2)))</f>
        <v>0</v>
      </c>
      <c r="I162" s="27"/>
    </row>
    <row r="163" spans="1:9">
      <c r="A163" s="22">
        <f t="shared" si="6"/>
        <v>4</v>
      </c>
      <c r="B163" s="37" t="str">
        <f>IFERROR(INDEX(_自动清单!$CL$4:$CL$203,INT((ROW()-160)/2)+1),"")</f>
        <v>王照雪</v>
      </c>
      <c r="C163" s="37" t="str">
        <f t="shared" si="7"/>
        <v>物料销售款</v>
      </c>
      <c r="D163" s="26">
        <f>IF($B163="",0,IF($C163="筐子销售款",ROUND(SUMIFS(周转筐出入库明细!$P$4:$P$2004,周转筐出入库明细!$C$4:$C$2004,$B163,周转筐出入库明细!$F$4:$F$2004,"销售出库"),2),ROUND(SUMIFS(包装物料出入库明细!$N$4:$N$2003,包装物料出入库明细!$D$4:$D$2003,$B163,包装物料出入库明细!$H$4:$H$2003,"销售出库"),2)))</f>
        <v>0</v>
      </c>
      <c r="E163" s="26">
        <f>IF($B163="",0,IF($C163="筐子销售款",ROUND(SUMIFS(周转筐出入库明细!$P$4:$P$2004,周转筐出入库明细!$C$4:$C$2004,$B163,周转筐出入库明细!$F$4:$F$2004,"采购入库"),2),ROUND(SUMIFS(包装物料出入库明细!$N$4:$N$2003,包装物料出入库明细!$D$4:$D$2003,$B163,包装物料出入库明细!$H$4:$H$2003,"采购入库"),2)))</f>
        <v>0</v>
      </c>
      <c r="F163" s="24"/>
      <c r="G163" s="26">
        <f t="shared" si="8"/>
        <v>0</v>
      </c>
      <c r="H163" s="26">
        <f>IF($B163="","",IF($C163="筐子销售款",ROUND(SUMIFS(周转筐出入库明细!$P$4:$P$2004,周转筐出入库明细!$C$4:$C$2004,$B163,周转筐出入库明细!$F$4:$F$2004,"销售出库",周转筐出入库明细!$Q$4:$Q$2004,"已收讫"),2),ROUND(SUMIFS(包装物料出入库明细!$N$4:$N$2003,包装物料出入库明细!$D$4:$D$2003,$B163,包装物料出入库明细!$H$4:$H$2003,"销售出库",包装物料出入库明细!$P$4:$P$2003,"已收讫"),2)))</f>
        <v>0</v>
      </c>
      <c r="I163" s="27"/>
    </row>
    <row r="164" spans="1:9">
      <c r="A164" s="22">
        <f t="shared" si="6"/>
        <v>5</v>
      </c>
      <c r="B164" s="37" t="str">
        <f>IFERROR(INDEX(_自动清单!$CL$4:$CL$203,INT((ROW()-160)/2)+1),"")</f>
        <v>伍元虎</v>
      </c>
      <c r="C164" s="37" t="str">
        <f t="shared" si="7"/>
        <v>筐子销售款</v>
      </c>
      <c r="D164" s="26">
        <f>IF($B164="",0,IF($C164="筐子销售款",ROUND(SUMIFS(周转筐出入库明细!$P$4:$P$2004,周转筐出入库明细!$C$4:$C$2004,$B164,周转筐出入库明细!$F$4:$F$2004,"销售出库"),2),ROUND(SUMIFS(包装物料出入库明细!$N$4:$N$2003,包装物料出入库明细!$D$4:$D$2003,$B164,包装物料出入库明细!$H$4:$H$2003,"销售出库"),2)))</f>
        <v>0</v>
      </c>
      <c r="E164" s="26">
        <f>IF($B164="",0,IF($C164="筐子销售款",ROUND(SUMIFS(周转筐出入库明细!$P$4:$P$2004,周转筐出入库明细!$C$4:$C$2004,$B164,周转筐出入库明细!$F$4:$F$2004,"采购入库"),2),ROUND(SUMIFS(包装物料出入库明细!$N$4:$N$2003,包装物料出入库明细!$D$4:$D$2003,$B164,包装物料出入库明细!$H$4:$H$2003,"采购入库"),2)))</f>
        <v>0</v>
      </c>
      <c r="F164" s="24"/>
      <c r="G164" s="26">
        <f t="shared" si="8"/>
        <v>0</v>
      </c>
      <c r="H164" s="26">
        <f>IF($B164="","",IF($C164="筐子销售款",ROUND(SUMIFS(周转筐出入库明细!$P$4:$P$2004,周转筐出入库明细!$C$4:$C$2004,$B164,周转筐出入库明细!$F$4:$F$2004,"销售出库",周转筐出入库明细!$Q$4:$Q$2004,"已收讫"),2),ROUND(SUMIFS(包装物料出入库明细!$N$4:$N$2003,包装物料出入库明细!$D$4:$D$2003,$B164,包装物料出入库明细!$H$4:$H$2003,"销售出库",包装物料出入库明细!$P$4:$P$2003,"已收讫"),2)))</f>
        <v>0</v>
      </c>
      <c r="I164" s="27"/>
    </row>
    <row r="165" spans="1:9">
      <c r="A165" s="22">
        <f t="shared" si="6"/>
        <v>6</v>
      </c>
      <c r="B165" s="37" t="str">
        <f>IFERROR(INDEX(_自动清单!$CL$4:$CL$203,INT((ROW()-160)/2)+1),"")</f>
        <v>伍元虎</v>
      </c>
      <c r="C165" s="37" t="str">
        <f t="shared" si="7"/>
        <v>物料销售款</v>
      </c>
      <c r="D165" s="26">
        <f>IF($B165="",0,IF($C165="筐子销售款",ROUND(SUMIFS(周转筐出入库明细!$P$4:$P$2004,周转筐出入库明细!$C$4:$C$2004,$B165,周转筐出入库明细!$F$4:$F$2004,"销售出库"),2),ROUND(SUMIFS(包装物料出入库明细!$N$4:$N$2003,包装物料出入库明细!$D$4:$D$2003,$B165,包装物料出入库明细!$H$4:$H$2003,"销售出库"),2)))</f>
        <v>0</v>
      </c>
      <c r="E165" s="26">
        <f>IF($B165="",0,IF($C165="筐子销售款",ROUND(SUMIFS(周转筐出入库明细!$P$4:$P$2004,周转筐出入库明细!$C$4:$C$2004,$B165,周转筐出入库明细!$F$4:$F$2004,"采购入库"),2),ROUND(SUMIFS(包装物料出入库明细!$N$4:$N$2003,包装物料出入库明细!$D$4:$D$2003,$B165,包装物料出入库明细!$H$4:$H$2003,"采购入库"),2)))</f>
        <v>0</v>
      </c>
      <c r="F165" s="24"/>
      <c r="G165" s="26">
        <f t="shared" si="8"/>
        <v>0</v>
      </c>
      <c r="H165" s="26">
        <f>IF($B165="","",IF($C165="筐子销售款",ROUND(SUMIFS(周转筐出入库明细!$P$4:$P$2004,周转筐出入库明细!$C$4:$C$2004,$B165,周转筐出入库明细!$F$4:$F$2004,"销售出库",周转筐出入库明细!$Q$4:$Q$2004,"已收讫"),2),ROUND(SUMIFS(包装物料出入库明细!$N$4:$N$2003,包装物料出入库明细!$D$4:$D$2003,$B165,包装物料出入库明细!$H$4:$H$2003,"销售出库",包装物料出入库明细!$P$4:$P$2003,"已收讫"),2)))</f>
        <v>0</v>
      </c>
      <c r="I165" s="27"/>
    </row>
    <row r="166" spans="1:9">
      <c r="A166" s="22">
        <f t="shared" si="6"/>
        <v>7</v>
      </c>
      <c r="B166" s="37" t="str">
        <f>IFERROR(INDEX(_自动清单!$CL$4:$CL$203,INT((ROW()-160)/2)+1),"")</f>
        <v>麦麦提</v>
      </c>
      <c r="C166" s="37" t="str">
        <f t="shared" si="7"/>
        <v>筐子销售款</v>
      </c>
      <c r="D166" s="26">
        <f>IF($B166="",0,IF($C166="筐子销售款",ROUND(SUMIFS(周转筐出入库明细!$P$4:$P$2004,周转筐出入库明细!$C$4:$C$2004,$B166,周转筐出入库明细!$F$4:$F$2004,"销售出库"),2),ROUND(SUMIFS(包装物料出入库明细!$N$4:$N$2003,包装物料出入库明细!$D$4:$D$2003,$B166,包装物料出入库明细!$H$4:$H$2003,"销售出库"),2)))</f>
        <v>0</v>
      </c>
      <c r="E166" s="26">
        <f>IF($B166="",0,IF($C166="筐子销售款",ROUND(SUMIFS(周转筐出入库明细!$P$4:$P$2004,周转筐出入库明细!$C$4:$C$2004,$B166,周转筐出入库明细!$F$4:$F$2004,"采购入库"),2),ROUND(SUMIFS(包装物料出入库明细!$N$4:$N$2003,包装物料出入库明细!$D$4:$D$2003,$B166,包装物料出入库明细!$H$4:$H$2003,"采购入库"),2)))</f>
        <v>0</v>
      </c>
      <c r="F166" s="24"/>
      <c r="G166" s="26">
        <f t="shared" si="8"/>
        <v>0</v>
      </c>
      <c r="H166" s="26">
        <f>IF($B166="","",IF($C166="筐子销售款",ROUND(SUMIFS(周转筐出入库明细!$P$4:$P$2004,周转筐出入库明细!$C$4:$C$2004,$B166,周转筐出入库明细!$F$4:$F$2004,"销售出库",周转筐出入库明细!$Q$4:$Q$2004,"已收讫"),2),ROUND(SUMIFS(包装物料出入库明细!$N$4:$N$2003,包装物料出入库明细!$D$4:$D$2003,$B166,包装物料出入库明细!$H$4:$H$2003,"销售出库",包装物料出入库明细!$P$4:$P$2003,"已收讫"),2)))</f>
        <v>0</v>
      </c>
      <c r="I166" s="27"/>
    </row>
    <row r="167" spans="1:9">
      <c r="A167" s="22">
        <f t="shared" si="6"/>
        <v>8</v>
      </c>
      <c r="B167" s="37" t="str">
        <f>IFERROR(INDEX(_自动清单!$CL$4:$CL$203,INT((ROW()-160)/2)+1),"")</f>
        <v>麦麦提</v>
      </c>
      <c r="C167" s="37" t="str">
        <f t="shared" si="7"/>
        <v>物料销售款</v>
      </c>
      <c r="D167" s="26">
        <f>IF($B167="",0,IF($C167="筐子销售款",ROUND(SUMIFS(周转筐出入库明细!$P$4:$P$2004,周转筐出入库明细!$C$4:$C$2004,$B167,周转筐出入库明细!$F$4:$F$2004,"销售出库"),2),ROUND(SUMIFS(包装物料出入库明细!$N$4:$N$2003,包装物料出入库明细!$D$4:$D$2003,$B167,包装物料出入库明细!$H$4:$H$2003,"销售出库"),2)))</f>
        <v>0</v>
      </c>
      <c r="E167" s="26">
        <f>IF($B167="",0,IF($C167="筐子销售款",ROUND(SUMIFS(周转筐出入库明细!$P$4:$P$2004,周转筐出入库明细!$C$4:$C$2004,$B167,周转筐出入库明细!$F$4:$F$2004,"采购入库"),2),ROUND(SUMIFS(包装物料出入库明细!$N$4:$N$2003,包装物料出入库明细!$D$4:$D$2003,$B167,包装物料出入库明细!$H$4:$H$2003,"采购入库"),2)))</f>
        <v>0</v>
      </c>
      <c r="F167" s="24"/>
      <c r="G167" s="26">
        <f t="shared" si="8"/>
        <v>0</v>
      </c>
      <c r="H167" s="26">
        <f>IF($B167="","",IF($C167="筐子销售款",ROUND(SUMIFS(周转筐出入库明细!$P$4:$P$2004,周转筐出入库明细!$C$4:$C$2004,$B167,周转筐出入库明细!$F$4:$F$2004,"销售出库",周转筐出入库明细!$Q$4:$Q$2004,"已收讫"),2),ROUND(SUMIFS(包装物料出入库明细!$N$4:$N$2003,包装物料出入库明细!$D$4:$D$2003,$B167,包装物料出入库明细!$H$4:$H$2003,"销售出库",包装物料出入库明细!$P$4:$P$2003,"已收讫"),2)))</f>
        <v>0</v>
      </c>
      <c r="I167" s="27"/>
    </row>
    <row r="168" spans="1:9">
      <c r="A168" s="22">
        <f t="shared" si="6"/>
        <v>9</v>
      </c>
      <c r="B168" s="37" t="str">
        <f>IFERROR(INDEX(_自动清单!$CL$4:$CL$203,INT((ROW()-160)/2)+1),"")</f>
        <v>热合曼</v>
      </c>
      <c r="C168" s="37" t="str">
        <f t="shared" si="7"/>
        <v>筐子销售款</v>
      </c>
      <c r="D168" s="26">
        <f>IF($B168="",0,IF($C168="筐子销售款",ROUND(SUMIFS(周转筐出入库明细!$P$4:$P$2004,周转筐出入库明细!$C$4:$C$2004,$B168,周转筐出入库明细!$F$4:$F$2004,"销售出库"),2),ROUND(SUMIFS(包装物料出入库明细!$N$4:$N$2003,包装物料出入库明细!$D$4:$D$2003,$B168,包装物料出入库明细!$H$4:$H$2003,"销售出库"),2)))</f>
        <v>0</v>
      </c>
      <c r="E168" s="26">
        <f>IF($B168="",0,IF($C168="筐子销售款",ROUND(SUMIFS(周转筐出入库明细!$P$4:$P$2004,周转筐出入库明细!$C$4:$C$2004,$B168,周转筐出入库明细!$F$4:$F$2004,"采购入库"),2),ROUND(SUMIFS(包装物料出入库明细!$N$4:$N$2003,包装物料出入库明细!$D$4:$D$2003,$B168,包装物料出入库明细!$H$4:$H$2003,"采购入库"),2)))</f>
        <v>0</v>
      </c>
      <c r="F168" s="24"/>
      <c r="G168" s="26">
        <f t="shared" si="8"/>
        <v>0</v>
      </c>
      <c r="H168" s="26">
        <f>IF($B168="","",IF($C168="筐子销售款",ROUND(SUMIFS(周转筐出入库明细!$P$4:$P$2004,周转筐出入库明细!$C$4:$C$2004,$B168,周转筐出入库明细!$F$4:$F$2004,"销售出库",周转筐出入库明细!$Q$4:$Q$2004,"已收讫"),2),ROUND(SUMIFS(包装物料出入库明细!$N$4:$N$2003,包装物料出入库明细!$D$4:$D$2003,$B168,包装物料出入库明细!$H$4:$H$2003,"销售出库",包装物料出入库明细!$P$4:$P$2003,"已收讫"),2)))</f>
        <v>0</v>
      </c>
      <c r="I168" s="27"/>
    </row>
    <row r="169" spans="1:9">
      <c r="A169" s="22">
        <f t="shared" si="6"/>
        <v>10</v>
      </c>
      <c r="B169" s="37" t="str">
        <f>IFERROR(INDEX(_自动清单!$CL$4:$CL$203,INT((ROW()-160)/2)+1),"")</f>
        <v>热合曼</v>
      </c>
      <c r="C169" s="37" t="str">
        <f t="shared" si="7"/>
        <v>物料销售款</v>
      </c>
      <c r="D169" s="26">
        <f>IF($B169="",0,IF($C169="筐子销售款",ROUND(SUMIFS(周转筐出入库明细!$P$4:$P$2004,周转筐出入库明细!$C$4:$C$2004,$B169,周转筐出入库明细!$F$4:$F$2004,"销售出库"),2),ROUND(SUMIFS(包装物料出入库明细!$N$4:$N$2003,包装物料出入库明细!$D$4:$D$2003,$B169,包装物料出入库明细!$H$4:$H$2003,"销售出库"),2)))</f>
        <v>0</v>
      </c>
      <c r="E169" s="26">
        <f>IF($B169="",0,IF($C169="筐子销售款",ROUND(SUMIFS(周转筐出入库明细!$P$4:$P$2004,周转筐出入库明细!$C$4:$C$2004,$B169,周转筐出入库明细!$F$4:$F$2004,"采购入库"),2),ROUND(SUMIFS(包装物料出入库明细!$N$4:$N$2003,包装物料出入库明细!$D$4:$D$2003,$B169,包装物料出入库明细!$H$4:$H$2003,"采购入库"),2)))</f>
        <v>0</v>
      </c>
      <c r="F169" s="24"/>
      <c r="G169" s="26">
        <f t="shared" si="8"/>
        <v>0</v>
      </c>
      <c r="H169" s="26">
        <f>IF($B169="","",IF($C169="筐子销售款",ROUND(SUMIFS(周转筐出入库明细!$P$4:$P$2004,周转筐出入库明细!$C$4:$C$2004,$B169,周转筐出入库明细!$F$4:$F$2004,"销售出库",周转筐出入库明细!$Q$4:$Q$2004,"已收讫"),2),ROUND(SUMIFS(包装物料出入库明细!$N$4:$N$2003,包装物料出入库明细!$D$4:$D$2003,$B169,包装物料出入库明细!$H$4:$H$2003,"销售出库",包装物料出入库明细!$P$4:$P$2003,"已收讫"),2)))</f>
        <v>0</v>
      </c>
      <c r="I169" s="27"/>
    </row>
    <row r="170" spans="1:9">
      <c r="A170" s="22">
        <f t="shared" si="6"/>
        <v>11</v>
      </c>
      <c r="B170" s="37" t="str">
        <f>IFERROR(INDEX(_自动清单!$CL$4:$CL$203,INT((ROW()-160)/2)+1),"")</f>
        <v>王灵云</v>
      </c>
      <c r="C170" s="37" t="str">
        <f t="shared" si="7"/>
        <v>筐子销售款</v>
      </c>
      <c r="D170" s="26">
        <f>IF($B170="",0,IF($C170="筐子销售款",ROUND(SUMIFS(周转筐出入库明细!$P$4:$P$2004,周转筐出入库明细!$C$4:$C$2004,$B170,周转筐出入库明细!$F$4:$F$2004,"销售出库"),2),ROUND(SUMIFS(包装物料出入库明细!$N$4:$N$2003,包装物料出入库明细!$D$4:$D$2003,$B170,包装物料出入库明细!$H$4:$H$2003,"销售出库"),2)))</f>
        <v>0</v>
      </c>
      <c r="E170" s="26">
        <f>IF($B170="",0,IF($C170="筐子销售款",ROUND(SUMIFS(周转筐出入库明细!$P$4:$P$2004,周转筐出入库明细!$C$4:$C$2004,$B170,周转筐出入库明细!$F$4:$F$2004,"采购入库"),2),ROUND(SUMIFS(包装物料出入库明细!$N$4:$N$2003,包装物料出入库明细!$D$4:$D$2003,$B170,包装物料出入库明细!$H$4:$H$2003,"采购入库"),2)))</f>
        <v>0</v>
      </c>
      <c r="F170" s="24"/>
      <c r="G170" s="26">
        <f t="shared" si="8"/>
        <v>0</v>
      </c>
      <c r="H170" s="26">
        <f>IF($B170="","",IF($C170="筐子销售款",ROUND(SUMIFS(周转筐出入库明细!$P$4:$P$2004,周转筐出入库明细!$C$4:$C$2004,$B170,周转筐出入库明细!$F$4:$F$2004,"销售出库",周转筐出入库明细!$Q$4:$Q$2004,"已收讫"),2),ROUND(SUMIFS(包装物料出入库明细!$N$4:$N$2003,包装物料出入库明细!$D$4:$D$2003,$B170,包装物料出入库明细!$H$4:$H$2003,"销售出库",包装物料出入库明细!$P$4:$P$2003,"已收讫"),2)))</f>
        <v>0</v>
      </c>
      <c r="I170" s="27"/>
    </row>
    <row r="171" spans="1:9">
      <c r="A171" s="22">
        <f t="shared" si="6"/>
        <v>12</v>
      </c>
      <c r="B171" s="37" t="str">
        <f>IFERROR(INDEX(_自动清单!$CL$4:$CL$203,INT((ROW()-160)/2)+1),"")</f>
        <v>王灵云</v>
      </c>
      <c r="C171" s="37" t="str">
        <f t="shared" si="7"/>
        <v>物料销售款</v>
      </c>
      <c r="D171" s="26">
        <f>IF($B171="",0,IF($C171="筐子销售款",ROUND(SUMIFS(周转筐出入库明细!$P$4:$P$2004,周转筐出入库明细!$C$4:$C$2004,$B171,周转筐出入库明细!$F$4:$F$2004,"销售出库"),2),ROUND(SUMIFS(包装物料出入库明细!$N$4:$N$2003,包装物料出入库明细!$D$4:$D$2003,$B171,包装物料出入库明细!$H$4:$H$2003,"销售出库"),2)))</f>
        <v>0</v>
      </c>
      <c r="E171" s="26">
        <f>IF($B171="",0,IF($C171="筐子销售款",ROUND(SUMIFS(周转筐出入库明细!$P$4:$P$2004,周转筐出入库明细!$C$4:$C$2004,$B171,周转筐出入库明细!$F$4:$F$2004,"采购入库"),2),ROUND(SUMIFS(包装物料出入库明细!$N$4:$N$2003,包装物料出入库明细!$D$4:$D$2003,$B171,包装物料出入库明细!$H$4:$H$2003,"采购入库"),2)))</f>
        <v>0</v>
      </c>
      <c r="F171" s="24"/>
      <c r="G171" s="26">
        <f t="shared" si="8"/>
        <v>0</v>
      </c>
      <c r="H171" s="26">
        <f>IF($B171="","",IF($C171="筐子销售款",ROUND(SUMIFS(周转筐出入库明细!$P$4:$P$2004,周转筐出入库明细!$C$4:$C$2004,$B171,周转筐出入库明细!$F$4:$F$2004,"销售出库",周转筐出入库明细!$Q$4:$Q$2004,"已收讫"),2),ROUND(SUMIFS(包装物料出入库明细!$N$4:$N$2003,包装物料出入库明细!$D$4:$D$2003,$B171,包装物料出入库明细!$H$4:$H$2003,"销售出库",包装物料出入库明细!$P$4:$P$2003,"已收讫"),2)))</f>
        <v>0</v>
      </c>
      <c r="I171" s="27"/>
    </row>
    <row r="172" spans="1:9">
      <c r="A172" s="22">
        <f t="shared" si="6"/>
        <v>13</v>
      </c>
      <c r="B172" s="37" t="str">
        <f>IFERROR(INDEX(_自动清单!$CL$4:$CL$203,INT((ROW()-160)/2)+1),"")</f>
        <v>马锦祥</v>
      </c>
      <c r="C172" s="37" t="str">
        <f t="shared" si="7"/>
        <v>筐子销售款</v>
      </c>
      <c r="D172" s="26">
        <f>IF($B172="",0,IF($C172="筐子销售款",ROUND(SUMIFS(周转筐出入库明细!$P$4:$P$2004,周转筐出入库明细!$C$4:$C$2004,$B172,周转筐出入库明细!$F$4:$F$2004,"销售出库"),2),ROUND(SUMIFS(包装物料出入库明细!$N$4:$N$2003,包装物料出入库明细!$D$4:$D$2003,$B172,包装物料出入库明细!$H$4:$H$2003,"销售出库"),2)))</f>
        <v>0</v>
      </c>
      <c r="E172" s="26">
        <f>IF($B172="",0,IF($C172="筐子销售款",ROUND(SUMIFS(周转筐出入库明细!$P$4:$P$2004,周转筐出入库明细!$C$4:$C$2004,$B172,周转筐出入库明细!$F$4:$F$2004,"采购入库"),2),ROUND(SUMIFS(包装物料出入库明细!$N$4:$N$2003,包装物料出入库明细!$D$4:$D$2003,$B172,包装物料出入库明细!$H$4:$H$2003,"采购入库"),2)))</f>
        <v>0</v>
      </c>
      <c r="F172" s="24"/>
      <c r="G172" s="26">
        <f t="shared" si="8"/>
        <v>0</v>
      </c>
      <c r="H172" s="26">
        <f>IF($B172="","",IF($C172="筐子销售款",ROUND(SUMIFS(周转筐出入库明细!$P$4:$P$2004,周转筐出入库明细!$C$4:$C$2004,$B172,周转筐出入库明细!$F$4:$F$2004,"销售出库",周转筐出入库明细!$Q$4:$Q$2004,"已收讫"),2),ROUND(SUMIFS(包装物料出入库明细!$N$4:$N$2003,包装物料出入库明细!$D$4:$D$2003,$B172,包装物料出入库明细!$H$4:$H$2003,"销售出库",包装物料出入库明细!$P$4:$P$2003,"已收讫"),2)))</f>
        <v>0</v>
      </c>
      <c r="I172" s="27"/>
    </row>
    <row r="173" spans="1:9">
      <c r="A173" s="22">
        <f t="shared" si="6"/>
        <v>14</v>
      </c>
      <c r="B173" s="37" t="str">
        <f>IFERROR(INDEX(_自动清单!$CL$4:$CL$203,INT((ROW()-160)/2)+1),"")</f>
        <v>马锦祥</v>
      </c>
      <c r="C173" s="37" t="str">
        <f t="shared" si="7"/>
        <v>物料销售款</v>
      </c>
      <c r="D173" s="26">
        <f>IF($B173="",0,IF($C173="筐子销售款",ROUND(SUMIFS(周转筐出入库明细!$P$4:$P$2004,周转筐出入库明细!$C$4:$C$2004,$B173,周转筐出入库明细!$F$4:$F$2004,"销售出库"),2),ROUND(SUMIFS(包装物料出入库明细!$N$4:$N$2003,包装物料出入库明细!$D$4:$D$2003,$B173,包装物料出入库明细!$H$4:$H$2003,"销售出库"),2)))</f>
        <v>0</v>
      </c>
      <c r="E173" s="26">
        <f>IF($B173="",0,IF($C173="筐子销售款",ROUND(SUMIFS(周转筐出入库明细!$P$4:$P$2004,周转筐出入库明细!$C$4:$C$2004,$B173,周转筐出入库明细!$F$4:$F$2004,"采购入库"),2),ROUND(SUMIFS(包装物料出入库明细!$N$4:$N$2003,包装物料出入库明细!$D$4:$D$2003,$B173,包装物料出入库明细!$H$4:$H$2003,"采购入库"),2)))</f>
        <v>0</v>
      </c>
      <c r="F173" s="24"/>
      <c r="G173" s="26">
        <f t="shared" si="8"/>
        <v>0</v>
      </c>
      <c r="H173" s="26">
        <f>IF($B173="","",IF($C173="筐子销售款",ROUND(SUMIFS(周转筐出入库明细!$P$4:$P$2004,周转筐出入库明细!$C$4:$C$2004,$B173,周转筐出入库明细!$F$4:$F$2004,"销售出库",周转筐出入库明细!$Q$4:$Q$2004,"已收讫"),2),ROUND(SUMIFS(包装物料出入库明细!$N$4:$N$2003,包装物料出入库明细!$D$4:$D$2003,$B173,包装物料出入库明细!$H$4:$H$2003,"销售出库",包装物料出入库明细!$P$4:$P$2003,"已收讫"),2)))</f>
        <v>0</v>
      </c>
      <c r="I173" s="27"/>
    </row>
    <row r="174" spans="1:9">
      <c r="A174" s="22">
        <f t="shared" si="6"/>
        <v>15</v>
      </c>
      <c r="B174" s="37" t="str">
        <f>IFERROR(INDEX(_自动清单!$CL$4:$CL$203,INT((ROW()-160)/2)+1),"")</f>
        <v>贾建国</v>
      </c>
      <c r="C174" s="37" t="str">
        <f t="shared" si="7"/>
        <v>筐子销售款</v>
      </c>
      <c r="D174" s="26">
        <f>IF($B174="",0,IF($C174="筐子销售款",ROUND(SUMIFS(周转筐出入库明细!$P$4:$P$2004,周转筐出入库明细!$C$4:$C$2004,$B174,周转筐出入库明细!$F$4:$F$2004,"销售出库"),2),ROUND(SUMIFS(包装物料出入库明细!$N$4:$N$2003,包装物料出入库明细!$D$4:$D$2003,$B174,包装物料出入库明细!$H$4:$H$2003,"销售出库"),2)))</f>
        <v>0</v>
      </c>
      <c r="E174" s="26">
        <f>IF($B174="",0,IF($C174="筐子销售款",ROUND(SUMIFS(周转筐出入库明细!$P$4:$P$2004,周转筐出入库明细!$C$4:$C$2004,$B174,周转筐出入库明细!$F$4:$F$2004,"采购入库"),2),ROUND(SUMIFS(包装物料出入库明细!$N$4:$N$2003,包装物料出入库明细!$D$4:$D$2003,$B174,包装物料出入库明细!$H$4:$H$2003,"采购入库"),2)))</f>
        <v>0</v>
      </c>
      <c r="F174" s="24"/>
      <c r="G174" s="26">
        <f t="shared" si="8"/>
        <v>0</v>
      </c>
      <c r="H174" s="26">
        <f>IF($B174="","",IF($C174="筐子销售款",ROUND(SUMIFS(周转筐出入库明细!$P$4:$P$2004,周转筐出入库明细!$C$4:$C$2004,$B174,周转筐出入库明细!$F$4:$F$2004,"销售出库",周转筐出入库明细!$Q$4:$Q$2004,"已收讫"),2),ROUND(SUMIFS(包装物料出入库明细!$N$4:$N$2003,包装物料出入库明细!$D$4:$D$2003,$B174,包装物料出入库明细!$H$4:$H$2003,"销售出库",包装物料出入库明细!$P$4:$P$2003,"已收讫"),2)))</f>
        <v>0</v>
      </c>
      <c r="I174" s="27"/>
    </row>
    <row r="175" spans="1:9">
      <c r="A175" s="22">
        <f t="shared" si="6"/>
        <v>16</v>
      </c>
      <c r="B175" s="37" t="str">
        <f>IFERROR(INDEX(_自动清单!$CL$4:$CL$203,INT((ROW()-160)/2)+1),"")</f>
        <v>贾建国</v>
      </c>
      <c r="C175" s="37" t="str">
        <f t="shared" si="7"/>
        <v>物料销售款</v>
      </c>
      <c r="D175" s="26">
        <f>IF($B175="",0,IF($C175="筐子销售款",ROUND(SUMIFS(周转筐出入库明细!$P$4:$P$2004,周转筐出入库明细!$C$4:$C$2004,$B175,周转筐出入库明细!$F$4:$F$2004,"销售出库"),2),ROUND(SUMIFS(包装物料出入库明细!$N$4:$N$2003,包装物料出入库明细!$D$4:$D$2003,$B175,包装物料出入库明细!$H$4:$H$2003,"销售出库"),2)))</f>
        <v>0</v>
      </c>
      <c r="E175" s="26">
        <f>IF($B175="",0,IF($C175="筐子销售款",ROUND(SUMIFS(周转筐出入库明细!$P$4:$P$2004,周转筐出入库明细!$C$4:$C$2004,$B175,周转筐出入库明细!$F$4:$F$2004,"采购入库"),2),ROUND(SUMIFS(包装物料出入库明细!$N$4:$N$2003,包装物料出入库明细!$D$4:$D$2003,$B175,包装物料出入库明细!$H$4:$H$2003,"采购入库"),2)))</f>
        <v>0</v>
      </c>
      <c r="F175" s="24"/>
      <c r="G175" s="26">
        <f t="shared" si="8"/>
        <v>0</v>
      </c>
      <c r="H175" s="26">
        <f>IF($B175="","",IF($C175="筐子销售款",ROUND(SUMIFS(周转筐出入库明细!$P$4:$P$2004,周转筐出入库明细!$C$4:$C$2004,$B175,周转筐出入库明细!$F$4:$F$2004,"销售出库",周转筐出入库明细!$Q$4:$Q$2004,"已收讫"),2),ROUND(SUMIFS(包装物料出入库明细!$N$4:$N$2003,包装物料出入库明细!$D$4:$D$2003,$B175,包装物料出入库明细!$H$4:$H$2003,"销售出库",包装物料出入库明细!$P$4:$P$2003,"已收讫"),2)))</f>
        <v>0</v>
      </c>
      <c r="I175" s="27"/>
    </row>
    <row r="176" spans="1:9">
      <c r="A176" s="22">
        <f t="shared" si="6"/>
        <v>17</v>
      </c>
      <c r="B176" s="37" t="str">
        <f>IFERROR(INDEX(_自动清单!$CL$4:$CL$203,INT((ROW()-160)/2)+1),"")</f>
        <v>荆建君</v>
      </c>
      <c r="C176" s="37" t="str">
        <f t="shared" si="7"/>
        <v>筐子销售款</v>
      </c>
      <c r="D176" s="26">
        <f>IF($B176="",0,IF($C176="筐子销售款",ROUND(SUMIFS(周转筐出入库明细!$P$4:$P$2004,周转筐出入库明细!$C$4:$C$2004,$B176,周转筐出入库明细!$F$4:$F$2004,"销售出库"),2),ROUND(SUMIFS(包装物料出入库明细!$N$4:$N$2003,包装物料出入库明细!$D$4:$D$2003,$B176,包装物料出入库明细!$H$4:$H$2003,"销售出库"),2)))</f>
        <v>0</v>
      </c>
      <c r="E176" s="26">
        <f>IF($B176="",0,IF($C176="筐子销售款",ROUND(SUMIFS(周转筐出入库明细!$P$4:$P$2004,周转筐出入库明细!$C$4:$C$2004,$B176,周转筐出入库明细!$F$4:$F$2004,"采购入库"),2),ROUND(SUMIFS(包装物料出入库明细!$N$4:$N$2003,包装物料出入库明细!$D$4:$D$2003,$B176,包装物料出入库明细!$H$4:$H$2003,"采购入库"),2)))</f>
        <v>0</v>
      </c>
      <c r="F176" s="24"/>
      <c r="G176" s="26">
        <f t="shared" si="8"/>
        <v>0</v>
      </c>
      <c r="H176" s="26">
        <f>IF($B176="","",IF($C176="筐子销售款",ROUND(SUMIFS(周转筐出入库明细!$P$4:$P$2004,周转筐出入库明细!$C$4:$C$2004,$B176,周转筐出入库明细!$F$4:$F$2004,"销售出库",周转筐出入库明细!$Q$4:$Q$2004,"已收讫"),2),ROUND(SUMIFS(包装物料出入库明细!$N$4:$N$2003,包装物料出入库明细!$D$4:$D$2003,$B176,包装物料出入库明细!$H$4:$H$2003,"销售出库",包装物料出入库明细!$P$4:$P$2003,"已收讫"),2)))</f>
        <v>0</v>
      </c>
      <c r="I176" s="27"/>
    </row>
    <row r="177" spans="1:9">
      <c r="A177" s="22">
        <f t="shared" si="6"/>
        <v>18</v>
      </c>
      <c r="B177" s="37" t="str">
        <f>IFERROR(INDEX(_自动清单!$CL$4:$CL$203,INT((ROW()-160)/2)+1),"")</f>
        <v>荆建君</v>
      </c>
      <c r="C177" s="37" t="str">
        <f t="shared" si="7"/>
        <v>物料销售款</v>
      </c>
      <c r="D177" s="26">
        <f>IF($B177="",0,IF($C177="筐子销售款",ROUND(SUMIFS(周转筐出入库明细!$P$4:$P$2004,周转筐出入库明细!$C$4:$C$2004,$B177,周转筐出入库明细!$F$4:$F$2004,"销售出库"),2),ROUND(SUMIFS(包装物料出入库明细!$N$4:$N$2003,包装物料出入库明细!$D$4:$D$2003,$B177,包装物料出入库明细!$H$4:$H$2003,"销售出库"),2)))</f>
        <v>0</v>
      </c>
      <c r="E177" s="26">
        <f>IF($B177="",0,IF($C177="筐子销售款",ROUND(SUMIFS(周转筐出入库明细!$P$4:$P$2004,周转筐出入库明细!$C$4:$C$2004,$B177,周转筐出入库明细!$F$4:$F$2004,"采购入库"),2),ROUND(SUMIFS(包装物料出入库明细!$N$4:$N$2003,包装物料出入库明细!$D$4:$D$2003,$B177,包装物料出入库明细!$H$4:$H$2003,"采购入库"),2)))</f>
        <v>0</v>
      </c>
      <c r="F177" s="24"/>
      <c r="G177" s="26">
        <f t="shared" si="8"/>
        <v>0</v>
      </c>
      <c r="H177" s="26">
        <f>IF($B177="","",IF($C177="筐子销售款",ROUND(SUMIFS(周转筐出入库明细!$P$4:$P$2004,周转筐出入库明细!$C$4:$C$2004,$B177,周转筐出入库明细!$F$4:$F$2004,"销售出库",周转筐出入库明细!$Q$4:$Q$2004,"已收讫"),2),ROUND(SUMIFS(包装物料出入库明细!$N$4:$N$2003,包装物料出入库明细!$D$4:$D$2003,$B177,包装物料出入库明细!$H$4:$H$2003,"销售出库",包装物料出入库明细!$P$4:$P$2003,"已收讫"),2)))</f>
        <v>0</v>
      </c>
      <c r="I177" s="27"/>
    </row>
    <row r="178" spans="1:9">
      <c r="A178" s="22">
        <f t="shared" si="6"/>
        <v>19</v>
      </c>
      <c r="B178" s="37" t="str">
        <f>IFERROR(INDEX(_自动清单!$CL$4:$CL$203,INT((ROW()-160)/2)+1),"")</f>
        <v>艾合买提</v>
      </c>
      <c r="C178" s="37" t="str">
        <f t="shared" si="7"/>
        <v>筐子销售款</v>
      </c>
      <c r="D178" s="26">
        <f>IF($B178="",0,IF($C178="筐子销售款",ROUND(SUMIFS(周转筐出入库明细!$P$4:$P$2004,周转筐出入库明细!$C$4:$C$2004,$B178,周转筐出入库明细!$F$4:$F$2004,"销售出库"),2),ROUND(SUMIFS(包装物料出入库明细!$N$4:$N$2003,包装物料出入库明细!$D$4:$D$2003,$B178,包装物料出入库明细!$H$4:$H$2003,"销售出库"),2)))</f>
        <v>0</v>
      </c>
      <c r="E178" s="26">
        <f>IF($B178="",0,IF($C178="筐子销售款",ROUND(SUMIFS(周转筐出入库明细!$P$4:$P$2004,周转筐出入库明细!$C$4:$C$2004,$B178,周转筐出入库明细!$F$4:$F$2004,"采购入库"),2),ROUND(SUMIFS(包装物料出入库明细!$N$4:$N$2003,包装物料出入库明细!$D$4:$D$2003,$B178,包装物料出入库明细!$H$4:$H$2003,"采购入库"),2)))</f>
        <v>0</v>
      </c>
      <c r="F178" s="24"/>
      <c r="G178" s="26">
        <f t="shared" si="8"/>
        <v>0</v>
      </c>
      <c r="H178" s="26">
        <f>IF($B178="","",IF($C178="筐子销售款",ROUND(SUMIFS(周转筐出入库明细!$P$4:$P$2004,周转筐出入库明细!$C$4:$C$2004,$B178,周转筐出入库明细!$F$4:$F$2004,"销售出库",周转筐出入库明细!$Q$4:$Q$2004,"已收讫"),2),ROUND(SUMIFS(包装物料出入库明细!$N$4:$N$2003,包装物料出入库明细!$D$4:$D$2003,$B178,包装物料出入库明细!$H$4:$H$2003,"销售出库",包装物料出入库明细!$P$4:$P$2003,"已收讫"),2)))</f>
        <v>0</v>
      </c>
      <c r="I178" s="27"/>
    </row>
    <row r="179" spans="1:9">
      <c r="A179" s="22">
        <f t="shared" si="6"/>
        <v>20</v>
      </c>
      <c r="B179" s="37" t="str">
        <f>IFERROR(INDEX(_自动清单!$CL$4:$CL$203,INT((ROW()-160)/2)+1),"")</f>
        <v>艾合买提</v>
      </c>
      <c r="C179" s="37" t="str">
        <f t="shared" si="7"/>
        <v>物料销售款</v>
      </c>
      <c r="D179" s="26">
        <f>IF($B179="",0,IF($C179="筐子销售款",ROUND(SUMIFS(周转筐出入库明细!$P$4:$P$2004,周转筐出入库明细!$C$4:$C$2004,$B179,周转筐出入库明细!$F$4:$F$2004,"销售出库"),2),ROUND(SUMIFS(包装物料出入库明细!$N$4:$N$2003,包装物料出入库明细!$D$4:$D$2003,$B179,包装物料出入库明细!$H$4:$H$2003,"销售出库"),2)))</f>
        <v>0</v>
      </c>
      <c r="E179" s="26">
        <f>IF($B179="",0,IF($C179="筐子销售款",ROUND(SUMIFS(周转筐出入库明细!$P$4:$P$2004,周转筐出入库明细!$C$4:$C$2004,$B179,周转筐出入库明细!$F$4:$F$2004,"采购入库"),2),ROUND(SUMIFS(包装物料出入库明细!$N$4:$N$2003,包装物料出入库明细!$D$4:$D$2003,$B179,包装物料出入库明细!$H$4:$H$2003,"采购入库"),2)))</f>
        <v>0</v>
      </c>
      <c r="F179" s="24"/>
      <c r="G179" s="26">
        <f t="shared" si="8"/>
        <v>0</v>
      </c>
      <c r="H179" s="26">
        <f>IF($B179="","",IF($C179="筐子销售款",ROUND(SUMIFS(周转筐出入库明细!$P$4:$P$2004,周转筐出入库明细!$C$4:$C$2004,$B179,周转筐出入库明细!$F$4:$F$2004,"销售出库",周转筐出入库明细!$Q$4:$Q$2004,"已收讫"),2),ROUND(SUMIFS(包装物料出入库明细!$N$4:$N$2003,包装物料出入库明细!$D$4:$D$2003,$B179,包装物料出入库明细!$H$4:$H$2003,"销售出库",包装物料出入库明细!$P$4:$P$2003,"已收讫"),2)))</f>
        <v>0</v>
      </c>
      <c r="I179" s="27"/>
    </row>
    <row r="180" spans="1:9">
      <c r="A180" s="22">
        <f t="shared" si="6"/>
        <v>21</v>
      </c>
      <c r="B180" s="37" t="str">
        <f>IFERROR(INDEX(_自动清单!$CL$4:$CL$203,INT((ROW()-160)/2)+1),"")</f>
        <v>王浩</v>
      </c>
      <c r="C180" s="37" t="str">
        <f t="shared" si="7"/>
        <v>筐子销售款</v>
      </c>
      <c r="D180" s="26">
        <f>IF($B180="",0,IF($C180="筐子销售款",ROUND(SUMIFS(周转筐出入库明细!$P$4:$P$2004,周转筐出入库明细!$C$4:$C$2004,$B180,周转筐出入库明细!$F$4:$F$2004,"销售出库"),2),ROUND(SUMIFS(包装物料出入库明细!$N$4:$N$2003,包装物料出入库明细!$D$4:$D$2003,$B180,包装物料出入库明细!$H$4:$H$2003,"销售出库"),2)))</f>
        <v>0</v>
      </c>
      <c r="E180" s="26">
        <f>IF($B180="",0,IF($C180="筐子销售款",ROUND(SUMIFS(周转筐出入库明细!$P$4:$P$2004,周转筐出入库明细!$C$4:$C$2004,$B180,周转筐出入库明细!$F$4:$F$2004,"采购入库"),2),ROUND(SUMIFS(包装物料出入库明细!$N$4:$N$2003,包装物料出入库明细!$D$4:$D$2003,$B180,包装物料出入库明细!$H$4:$H$2003,"采购入库"),2)))</f>
        <v>0</v>
      </c>
      <c r="F180" s="24"/>
      <c r="G180" s="26">
        <f t="shared" si="8"/>
        <v>0</v>
      </c>
      <c r="H180" s="26">
        <f>IF($B180="","",IF($C180="筐子销售款",ROUND(SUMIFS(周转筐出入库明细!$P$4:$P$2004,周转筐出入库明细!$C$4:$C$2004,$B180,周转筐出入库明细!$F$4:$F$2004,"销售出库",周转筐出入库明细!$Q$4:$Q$2004,"已收讫"),2),ROUND(SUMIFS(包装物料出入库明细!$N$4:$N$2003,包装物料出入库明细!$D$4:$D$2003,$B180,包装物料出入库明细!$H$4:$H$2003,"销售出库",包装物料出入库明细!$P$4:$P$2003,"已收讫"),2)))</f>
        <v>0</v>
      </c>
      <c r="I180" s="27"/>
    </row>
    <row r="181" spans="1:9">
      <c r="A181" s="22">
        <f t="shared" si="6"/>
        <v>22</v>
      </c>
      <c r="B181" s="37" t="str">
        <f>IFERROR(INDEX(_自动清单!$CL$4:$CL$203,INT((ROW()-160)/2)+1),"")</f>
        <v>王浩</v>
      </c>
      <c r="C181" s="37" t="str">
        <f t="shared" si="7"/>
        <v>物料销售款</v>
      </c>
      <c r="D181" s="26">
        <f>IF($B181="",0,IF($C181="筐子销售款",ROUND(SUMIFS(周转筐出入库明细!$P$4:$P$2004,周转筐出入库明细!$C$4:$C$2004,$B181,周转筐出入库明细!$F$4:$F$2004,"销售出库"),2),ROUND(SUMIFS(包装物料出入库明细!$N$4:$N$2003,包装物料出入库明细!$D$4:$D$2003,$B181,包装物料出入库明细!$H$4:$H$2003,"销售出库"),2)))</f>
        <v>0</v>
      </c>
      <c r="E181" s="26">
        <f>IF($B181="",0,IF($C181="筐子销售款",ROUND(SUMIFS(周转筐出入库明细!$P$4:$P$2004,周转筐出入库明细!$C$4:$C$2004,$B181,周转筐出入库明细!$F$4:$F$2004,"采购入库"),2),ROUND(SUMIFS(包装物料出入库明细!$N$4:$N$2003,包装物料出入库明细!$D$4:$D$2003,$B181,包装物料出入库明细!$H$4:$H$2003,"采购入库"),2)))</f>
        <v>0</v>
      </c>
      <c r="F181" s="24"/>
      <c r="G181" s="26">
        <f t="shared" si="8"/>
        <v>0</v>
      </c>
      <c r="H181" s="26">
        <f>IF($B181="","",IF($C181="筐子销售款",ROUND(SUMIFS(周转筐出入库明细!$P$4:$P$2004,周转筐出入库明细!$C$4:$C$2004,$B181,周转筐出入库明细!$F$4:$F$2004,"销售出库",周转筐出入库明细!$Q$4:$Q$2004,"已收讫"),2),ROUND(SUMIFS(包装物料出入库明细!$N$4:$N$2003,包装物料出入库明细!$D$4:$D$2003,$B181,包装物料出入库明细!$H$4:$H$2003,"销售出库",包装物料出入库明细!$P$4:$P$2003,"已收讫"),2)))</f>
        <v>0</v>
      </c>
      <c r="I181" s="27"/>
    </row>
    <row r="182" spans="1:9">
      <c r="A182" s="22">
        <f t="shared" si="6"/>
        <v>23</v>
      </c>
      <c r="B182" s="37" t="str">
        <f>IFERROR(INDEX(_自动清单!$CL$4:$CL$203,INT((ROW()-160)/2)+1),"")</f>
        <v>电商/主播</v>
      </c>
      <c r="C182" s="37" t="str">
        <f t="shared" si="7"/>
        <v>筐子销售款</v>
      </c>
      <c r="D182" s="26">
        <f>IF($B182="",0,IF($C182="筐子销售款",ROUND(SUMIFS(周转筐出入库明细!$P$4:$P$2004,周转筐出入库明细!$C$4:$C$2004,$B182,周转筐出入库明细!$F$4:$F$2004,"销售出库"),2),ROUND(SUMIFS(包装物料出入库明细!$N$4:$N$2003,包装物料出入库明细!$D$4:$D$2003,$B182,包装物料出入库明细!$H$4:$H$2003,"销售出库"),2)))</f>
        <v>0</v>
      </c>
      <c r="E182" s="26">
        <f>IF($B182="",0,IF($C182="筐子销售款",ROUND(SUMIFS(周转筐出入库明细!$P$4:$P$2004,周转筐出入库明细!$C$4:$C$2004,$B182,周转筐出入库明细!$F$4:$F$2004,"采购入库"),2),ROUND(SUMIFS(包装物料出入库明细!$N$4:$N$2003,包装物料出入库明细!$D$4:$D$2003,$B182,包装物料出入库明细!$H$4:$H$2003,"采购入库"),2)))</f>
        <v>0</v>
      </c>
      <c r="F182" s="24"/>
      <c r="G182" s="26">
        <f t="shared" si="8"/>
        <v>0</v>
      </c>
      <c r="H182" s="26">
        <f>IF($B182="","",IF($C182="筐子销售款",ROUND(SUMIFS(周转筐出入库明细!$P$4:$P$2004,周转筐出入库明细!$C$4:$C$2004,$B182,周转筐出入库明细!$F$4:$F$2004,"销售出库",周转筐出入库明细!$Q$4:$Q$2004,"已收讫"),2),ROUND(SUMIFS(包装物料出入库明细!$N$4:$N$2003,包装物料出入库明细!$D$4:$D$2003,$B182,包装物料出入库明细!$H$4:$H$2003,"销售出库",包装物料出入库明细!$P$4:$P$2003,"已收讫"),2)))</f>
        <v>0</v>
      </c>
      <c r="I182" s="27"/>
    </row>
    <row r="183" spans="1:9">
      <c r="A183" s="22">
        <f t="shared" si="6"/>
        <v>24</v>
      </c>
      <c r="B183" s="37" t="str">
        <f>IFERROR(INDEX(_自动清单!$CL$4:$CL$203,INT((ROW()-160)/2)+1),"")</f>
        <v>电商/主播</v>
      </c>
      <c r="C183" s="37" t="str">
        <f t="shared" si="7"/>
        <v>物料销售款</v>
      </c>
      <c r="D183" s="26">
        <f>IF($B183="",0,IF($C183="筐子销售款",ROUND(SUMIFS(周转筐出入库明细!$P$4:$P$2004,周转筐出入库明细!$C$4:$C$2004,$B183,周转筐出入库明细!$F$4:$F$2004,"销售出库"),2),ROUND(SUMIFS(包装物料出入库明细!$N$4:$N$2003,包装物料出入库明细!$D$4:$D$2003,$B183,包装物料出入库明细!$H$4:$H$2003,"销售出库"),2)))</f>
        <v>0</v>
      </c>
      <c r="E183" s="26">
        <f>IF($B183="",0,IF($C183="筐子销售款",ROUND(SUMIFS(周转筐出入库明细!$P$4:$P$2004,周转筐出入库明细!$C$4:$C$2004,$B183,周转筐出入库明细!$F$4:$F$2004,"采购入库"),2),ROUND(SUMIFS(包装物料出入库明细!$N$4:$N$2003,包装物料出入库明细!$D$4:$D$2003,$B183,包装物料出入库明细!$H$4:$H$2003,"采购入库"),2)))</f>
        <v>0</v>
      </c>
      <c r="F183" s="24"/>
      <c r="G183" s="26">
        <f t="shared" si="8"/>
        <v>0</v>
      </c>
      <c r="H183" s="26">
        <f>IF($B183="","",IF($C183="筐子销售款",ROUND(SUMIFS(周转筐出入库明细!$P$4:$P$2004,周转筐出入库明细!$C$4:$C$2004,$B183,周转筐出入库明细!$F$4:$F$2004,"销售出库",周转筐出入库明细!$Q$4:$Q$2004,"已收讫"),2),ROUND(SUMIFS(包装物料出入库明细!$N$4:$N$2003,包装物料出入库明细!$D$4:$D$2003,$B183,包装物料出入库明细!$H$4:$H$2003,"销售出库",包装物料出入库明细!$P$4:$P$2003,"已收讫"),2)))</f>
        <v>0</v>
      </c>
      <c r="I183" s="27"/>
    </row>
    <row r="184" spans="1:9">
      <c r="A184" s="22">
        <f t="shared" si="6"/>
        <v>25</v>
      </c>
      <c r="B184" s="37" t="str">
        <f>IFERROR(INDEX(_自动清单!$CL$4:$CL$203,INT((ROW()-160)/2)+1),"")</f>
        <v>吐尔逊</v>
      </c>
      <c r="C184" s="37" t="str">
        <f t="shared" si="7"/>
        <v>筐子销售款</v>
      </c>
      <c r="D184" s="26">
        <f>IF($B184="",0,IF($C184="筐子销售款",ROUND(SUMIFS(周转筐出入库明细!$P$4:$P$2004,周转筐出入库明细!$C$4:$C$2004,$B184,周转筐出入库明细!$F$4:$F$2004,"销售出库"),2),ROUND(SUMIFS(包装物料出入库明细!$N$4:$N$2003,包装物料出入库明细!$D$4:$D$2003,$B184,包装物料出入库明细!$H$4:$H$2003,"销售出库"),2)))</f>
        <v>0</v>
      </c>
      <c r="E184" s="26">
        <f>IF($B184="",0,IF($C184="筐子销售款",ROUND(SUMIFS(周转筐出入库明细!$P$4:$P$2004,周转筐出入库明细!$C$4:$C$2004,$B184,周转筐出入库明细!$F$4:$F$2004,"采购入库"),2),ROUND(SUMIFS(包装物料出入库明细!$N$4:$N$2003,包装物料出入库明细!$D$4:$D$2003,$B184,包装物料出入库明细!$H$4:$H$2003,"采购入库"),2)))</f>
        <v>0</v>
      </c>
      <c r="F184" s="24"/>
      <c r="G184" s="26">
        <f t="shared" si="8"/>
        <v>0</v>
      </c>
      <c r="H184" s="26">
        <f>IF($B184="","",IF($C184="筐子销售款",ROUND(SUMIFS(周转筐出入库明细!$P$4:$P$2004,周转筐出入库明细!$C$4:$C$2004,$B184,周转筐出入库明细!$F$4:$F$2004,"销售出库",周转筐出入库明细!$Q$4:$Q$2004,"已收讫"),2),ROUND(SUMIFS(包装物料出入库明细!$N$4:$N$2003,包装物料出入库明细!$D$4:$D$2003,$B184,包装物料出入库明细!$H$4:$H$2003,"销售出库",包装物料出入库明细!$P$4:$P$2003,"已收讫"),2)))</f>
        <v>0</v>
      </c>
      <c r="I184" s="27"/>
    </row>
    <row r="185" spans="1:9">
      <c r="A185" s="22">
        <f t="shared" si="6"/>
        <v>26</v>
      </c>
      <c r="B185" s="37" t="str">
        <f>IFERROR(INDEX(_自动清单!$CL$4:$CL$203,INT((ROW()-160)/2)+1),"")</f>
        <v>吐尔逊</v>
      </c>
      <c r="C185" s="37" t="str">
        <f t="shared" si="7"/>
        <v>物料销售款</v>
      </c>
      <c r="D185" s="26">
        <f>IF($B185="",0,IF($C185="筐子销售款",ROUND(SUMIFS(周转筐出入库明细!$P$4:$P$2004,周转筐出入库明细!$C$4:$C$2004,$B185,周转筐出入库明细!$F$4:$F$2004,"销售出库"),2),ROUND(SUMIFS(包装物料出入库明细!$N$4:$N$2003,包装物料出入库明细!$D$4:$D$2003,$B185,包装物料出入库明细!$H$4:$H$2003,"销售出库"),2)))</f>
        <v>0</v>
      </c>
      <c r="E185" s="26">
        <f>IF($B185="",0,IF($C185="筐子销售款",ROUND(SUMIFS(周转筐出入库明细!$P$4:$P$2004,周转筐出入库明细!$C$4:$C$2004,$B185,周转筐出入库明细!$F$4:$F$2004,"采购入库"),2),ROUND(SUMIFS(包装物料出入库明细!$N$4:$N$2003,包装物料出入库明细!$D$4:$D$2003,$B185,包装物料出入库明细!$H$4:$H$2003,"采购入库"),2)))</f>
        <v>0</v>
      </c>
      <c r="F185" s="24"/>
      <c r="G185" s="26">
        <f t="shared" si="8"/>
        <v>0</v>
      </c>
      <c r="H185" s="26">
        <f>IF($B185="","",IF($C185="筐子销售款",ROUND(SUMIFS(周转筐出入库明细!$P$4:$P$2004,周转筐出入库明细!$C$4:$C$2004,$B185,周转筐出入库明细!$F$4:$F$2004,"销售出库",周转筐出入库明细!$Q$4:$Q$2004,"已收讫"),2),ROUND(SUMIFS(包装物料出入库明细!$N$4:$N$2003,包装物料出入库明细!$D$4:$D$2003,$B185,包装物料出入库明细!$H$4:$H$2003,"销售出库",包装物料出入库明细!$P$4:$P$2003,"已收讫"),2)))</f>
        <v>0</v>
      </c>
      <c r="I185" s="27"/>
    </row>
    <row r="186" spans="1:9">
      <c r="A186" s="22">
        <f t="shared" si="6"/>
        <v>27</v>
      </c>
      <c r="B186" s="37" t="str">
        <f>IFERROR(INDEX(_自动清单!$CL$4:$CL$203,INT((ROW()-160)/2)+1),"")</f>
        <v>张艺</v>
      </c>
      <c r="C186" s="37" t="str">
        <f t="shared" si="7"/>
        <v>筐子销售款</v>
      </c>
      <c r="D186" s="26">
        <f>IF($B186="",0,IF($C186="筐子销售款",ROUND(SUMIFS(周转筐出入库明细!$P$4:$P$2004,周转筐出入库明细!$C$4:$C$2004,$B186,周转筐出入库明细!$F$4:$F$2004,"销售出库"),2),ROUND(SUMIFS(包装物料出入库明细!$N$4:$N$2003,包装物料出入库明细!$D$4:$D$2003,$B186,包装物料出入库明细!$H$4:$H$2003,"销售出库"),2)))</f>
        <v>0</v>
      </c>
      <c r="E186" s="26">
        <f>IF($B186="",0,IF($C186="筐子销售款",ROUND(SUMIFS(周转筐出入库明细!$P$4:$P$2004,周转筐出入库明细!$C$4:$C$2004,$B186,周转筐出入库明细!$F$4:$F$2004,"采购入库"),2),ROUND(SUMIFS(包装物料出入库明细!$N$4:$N$2003,包装物料出入库明细!$D$4:$D$2003,$B186,包装物料出入库明细!$H$4:$H$2003,"采购入库"),2)))</f>
        <v>0</v>
      </c>
      <c r="F186" s="24"/>
      <c r="G186" s="26">
        <f t="shared" si="8"/>
        <v>0</v>
      </c>
      <c r="H186" s="26">
        <f>IF($B186="","",IF($C186="筐子销售款",ROUND(SUMIFS(周转筐出入库明细!$P$4:$P$2004,周转筐出入库明细!$C$4:$C$2004,$B186,周转筐出入库明细!$F$4:$F$2004,"销售出库",周转筐出入库明细!$Q$4:$Q$2004,"已收讫"),2),ROUND(SUMIFS(包装物料出入库明细!$N$4:$N$2003,包装物料出入库明细!$D$4:$D$2003,$B186,包装物料出入库明细!$H$4:$H$2003,"销售出库",包装物料出入库明细!$P$4:$P$2003,"已收讫"),2)))</f>
        <v>0</v>
      </c>
      <c r="I186" s="27"/>
    </row>
    <row r="187" spans="1:9">
      <c r="A187" s="22">
        <f t="shared" si="6"/>
        <v>28</v>
      </c>
      <c r="B187" s="37" t="str">
        <f>IFERROR(INDEX(_自动清单!$CL$4:$CL$203,INT((ROW()-160)/2)+1),"")</f>
        <v>张艺</v>
      </c>
      <c r="C187" s="37" t="str">
        <f t="shared" si="7"/>
        <v>物料销售款</v>
      </c>
      <c r="D187" s="26">
        <f>IF($B187="",0,IF($C187="筐子销售款",ROUND(SUMIFS(周转筐出入库明细!$P$4:$P$2004,周转筐出入库明细!$C$4:$C$2004,$B187,周转筐出入库明细!$F$4:$F$2004,"销售出库"),2),ROUND(SUMIFS(包装物料出入库明细!$N$4:$N$2003,包装物料出入库明细!$D$4:$D$2003,$B187,包装物料出入库明细!$H$4:$H$2003,"销售出库"),2)))</f>
        <v>0</v>
      </c>
      <c r="E187" s="26">
        <f>IF($B187="",0,IF($C187="筐子销售款",ROUND(SUMIFS(周转筐出入库明细!$P$4:$P$2004,周转筐出入库明细!$C$4:$C$2004,$B187,周转筐出入库明细!$F$4:$F$2004,"采购入库"),2),ROUND(SUMIFS(包装物料出入库明细!$N$4:$N$2003,包装物料出入库明细!$D$4:$D$2003,$B187,包装物料出入库明细!$H$4:$H$2003,"采购入库"),2)))</f>
        <v>0</v>
      </c>
      <c r="F187" s="24"/>
      <c r="G187" s="26">
        <f t="shared" si="8"/>
        <v>0</v>
      </c>
      <c r="H187" s="26">
        <f>IF($B187="","",IF($C187="筐子销售款",ROUND(SUMIFS(周转筐出入库明细!$P$4:$P$2004,周转筐出入库明细!$C$4:$C$2004,$B187,周转筐出入库明细!$F$4:$F$2004,"销售出库",周转筐出入库明细!$Q$4:$Q$2004,"已收讫"),2),ROUND(SUMIFS(包装物料出入库明细!$N$4:$N$2003,包装物料出入库明细!$D$4:$D$2003,$B187,包装物料出入库明细!$H$4:$H$2003,"销售出库",包装物料出入库明细!$P$4:$P$2003,"已收讫"),2)))</f>
        <v>0</v>
      </c>
      <c r="I187" s="27"/>
    </row>
    <row r="188" spans="1:9">
      <c r="A188" s="22">
        <f t="shared" si="6"/>
        <v>29</v>
      </c>
      <c r="B188" s="37" t="str">
        <f>IFERROR(INDEX(_自动清单!$CL$4:$CL$203,INT((ROW()-160)/2)+1),"")</f>
        <v>郭勇义</v>
      </c>
      <c r="C188" s="37" t="str">
        <f t="shared" si="7"/>
        <v>筐子销售款</v>
      </c>
      <c r="D188" s="26">
        <f>IF($B188="",0,IF($C188="筐子销售款",ROUND(SUMIFS(周转筐出入库明细!$P$4:$P$2004,周转筐出入库明细!$C$4:$C$2004,$B188,周转筐出入库明细!$F$4:$F$2004,"销售出库"),2),ROUND(SUMIFS(包装物料出入库明细!$N$4:$N$2003,包装物料出入库明细!$D$4:$D$2003,$B188,包装物料出入库明细!$H$4:$H$2003,"销售出库"),2)))</f>
        <v>0</v>
      </c>
      <c r="E188" s="26">
        <f>IF($B188="",0,IF($C188="筐子销售款",ROUND(SUMIFS(周转筐出入库明细!$P$4:$P$2004,周转筐出入库明细!$C$4:$C$2004,$B188,周转筐出入库明细!$F$4:$F$2004,"采购入库"),2),ROUND(SUMIFS(包装物料出入库明细!$N$4:$N$2003,包装物料出入库明细!$D$4:$D$2003,$B188,包装物料出入库明细!$H$4:$H$2003,"采购入库"),2)))</f>
        <v>0</v>
      </c>
      <c r="F188" s="24"/>
      <c r="G188" s="26">
        <f t="shared" si="8"/>
        <v>0</v>
      </c>
      <c r="H188" s="26">
        <f>IF($B188="","",IF($C188="筐子销售款",ROUND(SUMIFS(周转筐出入库明细!$P$4:$P$2004,周转筐出入库明细!$C$4:$C$2004,$B188,周转筐出入库明细!$F$4:$F$2004,"销售出库",周转筐出入库明细!$Q$4:$Q$2004,"已收讫"),2),ROUND(SUMIFS(包装物料出入库明细!$N$4:$N$2003,包装物料出入库明细!$D$4:$D$2003,$B188,包装物料出入库明细!$H$4:$H$2003,"销售出库",包装物料出入库明细!$P$4:$P$2003,"已收讫"),2)))</f>
        <v>0</v>
      </c>
      <c r="I188" s="27"/>
    </row>
    <row r="189" spans="1:9">
      <c r="A189" s="22">
        <f t="shared" si="6"/>
        <v>30</v>
      </c>
      <c r="B189" s="37" t="str">
        <f>IFERROR(INDEX(_自动清单!$CL$4:$CL$203,INT((ROW()-160)/2)+1),"")</f>
        <v>郭勇义</v>
      </c>
      <c r="C189" s="37" t="str">
        <f t="shared" si="7"/>
        <v>物料销售款</v>
      </c>
      <c r="D189" s="26">
        <f>IF($B189="",0,IF($C189="筐子销售款",ROUND(SUMIFS(周转筐出入库明细!$P$4:$P$2004,周转筐出入库明细!$C$4:$C$2004,$B189,周转筐出入库明细!$F$4:$F$2004,"销售出库"),2),ROUND(SUMIFS(包装物料出入库明细!$N$4:$N$2003,包装物料出入库明细!$D$4:$D$2003,$B189,包装物料出入库明细!$H$4:$H$2003,"销售出库"),2)))</f>
        <v>0</v>
      </c>
      <c r="E189" s="26">
        <f>IF($B189="",0,IF($C189="筐子销售款",ROUND(SUMIFS(周转筐出入库明细!$P$4:$P$2004,周转筐出入库明细!$C$4:$C$2004,$B189,周转筐出入库明细!$F$4:$F$2004,"采购入库"),2),ROUND(SUMIFS(包装物料出入库明细!$N$4:$N$2003,包装物料出入库明细!$D$4:$D$2003,$B189,包装物料出入库明细!$H$4:$H$2003,"采购入库"),2)))</f>
        <v>0</v>
      </c>
      <c r="F189" s="24"/>
      <c r="G189" s="26">
        <f t="shared" si="8"/>
        <v>0</v>
      </c>
      <c r="H189" s="26">
        <f>IF($B189="","",IF($C189="筐子销售款",ROUND(SUMIFS(周转筐出入库明细!$P$4:$P$2004,周转筐出入库明细!$C$4:$C$2004,$B189,周转筐出入库明细!$F$4:$F$2004,"销售出库",周转筐出入库明细!$Q$4:$Q$2004,"已收讫"),2),ROUND(SUMIFS(包装物料出入库明细!$N$4:$N$2003,包装物料出入库明细!$D$4:$D$2003,$B189,包装物料出入库明细!$H$4:$H$2003,"销售出库",包装物料出入库明细!$P$4:$P$2003,"已收讫"),2)))</f>
        <v>0</v>
      </c>
      <c r="I189" s="27"/>
    </row>
    <row r="190" spans="1:9">
      <c r="A190" s="22">
        <f t="shared" si="6"/>
        <v>31</v>
      </c>
      <c r="B190" s="37" t="str">
        <f>IFERROR(INDEX(_自动清单!$CL$4:$CL$203,INT((ROW()-160)/2)+1),"")</f>
        <v>王庆文</v>
      </c>
      <c r="C190" s="37" t="str">
        <f t="shared" si="7"/>
        <v>筐子销售款</v>
      </c>
      <c r="D190" s="26">
        <f>IF($B190="",0,IF($C190="筐子销售款",ROUND(SUMIFS(周转筐出入库明细!$P$4:$P$2004,周转筐出入库明细!$C$4:$C$2004,$B190,周转筐出入库明细!$F$4:$F$2004,"销售出库"),2),ROUND(SUMIFS(包装物料出入库明细!$N$4:$N$2003,包装物料出入库明细!$D$4:$D$2003,$B190,包装物料出入库明细!$H$4:$H$2003,"销售出库"),2)))</f>
        <v>0</v>
      </c>
      <c r="E190" s="26">
        <f>IF($B190="",0,IF($C190="筐子销售款",ROUND(SUMIFS(周转筐出入库明细!$P$4:$P$2004,周转筐出入库明细!$C$4:$C$2004,$B190,周转筐出入库明细!$F$4:$F$2004,"采购入库"),2),ROUND(SUMIFS(包装物料出入库明细!$N$4:$N$2003,包装物料出入库明细!$D$4:$D$2003,$B190,包装物料出入库明细!$H$4:$H$2003,"采购入库"),2)))</f>
        <v>0</v>
      </c>
      <c r="F190" s="24"/>
      <c r="G190" s="26">
        <f t="shared" si="8"/>
        <v>0</v>
      </c>
      <c r="H190" s="26">
        <f>IF($B190="","",IF($C190="筐子销售款",ROUND(SUMIFS(周转筐出入库明细!$P$4:$P$2004,周转筐出入库明细!$C$4:$C$2004,$B190,周转筐出入库明细!$F$4:$F$2004,"销售出库",周转筐出入库明细!$Q$4:$Q$2004,"已收讫"),2),ROUND(SUMIFS(包装物料出入库明细!$N$4:$N$2003,包装物料出入库明细!$D$4:$D$2003,$B190,包装物料出入库明细!$H$4:$H$2003,"销售出库",包装物料出入库明细!$P$4:$P$2003,"已收讫"),2)))</f>
        <v>0</v>
      </c>
      <c r="I190" s="27"/>
    </row>
    <row r="191" spans="1:9">
      <c r="A191" s="22">
        <f t="shared" si="6"/>
        <v>32</v>
      </c>
      <c r="B191" s="37" t="str">
        <f>IFERROR(INDEX(_自动清单!$CL$4:$CL$203,INT((ROW()-160)/2)+1),"")</f>
        <v>王庆文</v>
      </c>
      <c r="C191" s="37" t="str">
        <f t="shared" si="7"/>
        <v>物料销售款</v>
      </c>
      <c r="D191" s="26">
        <f>IF($B191="",0,IF($C191="筐子销售款",ROUND(SUMIFS(周转筐出入库明细!$P$4:$P$2004,周转筐出入库明细!$C$4:$C$2004,$B191,周转筐出入库明细!$F$4:$F$2004,"销售出库"),2),ROUND(SUMIFS(包装物料出入库明细!$N$4:$N$2003,包装物料出入库明细!$D$4:$D$2003,$B191,包装物料出入库明细!$H$4:$H$2003,"销售出库"),2)))</f>
        <v>0</v>
      </c>
      <c r="E191" s="26">
        <f>IF($B191="",0,IF($C191="筐子销售款",ROUND(SUMIFS(周转筐出入库明细!$P$4:$P$2004,周转筐出入库明细!$C$4:$C$2004,$B191,周转筐出入库明细!$F$4:$F$2004,"采购入库"),2),ROUND(SUMIFS(包装物料出入库明细!$N$4:$N$2003,包装物料出入库明细!$D$4:$D$2003,$B191,包装物料出入库明细!$H$4:$H$2003,"采购入库"),2)))</f>
        <v>0</v>
      </c>
      <c r="F191" s="24"/>
      <c r="G191" s="26">
        <f t="shared" si="8"/>
        <v>0</v>
      </c>
      <c r="H191" s="26">
        <f>IF($B191="","",IF($C191="筐子销售款",ROUND(SUMIFS(周转筐出入库明细!$P$4:$P$2004,周转筐出入库明细!$C$4:$C$2004,$B191,周转筐出入库明细!$F$4:$F$2004,"销售出库",周转筐出入库明细!$Q$4:$Q$2004,"已收讫"),2),ROUND(SUMIFS(包装物料出入库明细!$N$4:$N$2003,包装物料出入库明细!$D$4:$D$2003,$B191,包装物料出入库明细!$H$4:$H$2003,"销售出库",包装物料出入库明细!$P$4:$P$2003,"已收讫"),2)))</f>
        <v>0</v>
      </c>
      <c r="I191" s="27"/>
    </row>
    <row r="192" spans="1:9">
      <c r="A192" s="22">
        <f t="shared" si="6"/>
        <v>33</v>
      </c>
      <c r="B192" s="37" t="str">
        <f>IFERROR(INDEX(_自动清单!$CL$4:$CL$203,INT((ROW()-160)/2)+1),"")</f>
        <v>果然鲜</v>
      </c>
      <c r="C192" s="37" t="str">
        <f t="shared" si="7"/>
        <v>筐子销售款</v>
      </c>
      <c r="D192" s="26">
        <f>IF($B192="",0,IF($C192="筐子销售款",ROUND(SUMIFS(周转筐出入库明细!$P$4:$P$2004,周转筐出入库明细!$C$4:$C$2004,$B192,周转筐出入库明细!$F$4:$F$2004,"销售出库"),2),ROUND(SUMIFS(包装物料出入库明细!$N$4:$N$2003,包装物料出入库明细!$D$4:$D$2003,$B192,包装物料出入库明细!$H$4:$H$2003,"销售出库"),2)))</f>
        <v>0</v>
      </c>
      <c r="E192" s="26">
        <f>IF($B192="",0,IF($C192="筐子销售款",ROUND(SUMIFS(周转筐出入库明细!$P$4:$P$2004,周转筐出入库明细!$C$4:$C$2004,$B192,周转筐出入库明细!$F$4:$F$2004,"采购入库"),2),ROUND(SUMIFS(包装物料出入库明细!$N$4:$N$2003,包装物料出入库明细!$D$4:$D$2003,$B192,包装物料出入库明细!$H$4:$H$2003,"采购入库"),2)))</f>
        <v>0</v>
      </c>
      <c r="F192" s="24"/>
      <c r="G192" s="26">
        <f t="shared" si="8"/>
        <v>0</v>
      </c>
      <c r="H192" s="26">
        <f>IF($B192="","",IF($C192="筐子销售款",ROUND(SUMIFS(周转筐出入库明细!$P$4:$P$2004,周转筐出入库明细!$C$4:$C$2004,$B192,周转筐出入库明细!$F$4:$F$2004,"销售出库",周转筐出入库明细!$Q$4:$Q$2004,"已收讫"),2),ROUND(SUMIFS(包装物料出入库明细!$N$4:$N$2003,包装物料出入库明细!$D$4:$D$2003,$B192,包装物料出入库明细!$H$4:$H$2003,"销售出库",包装物料出入库明细!$P$4:$P$2003,"已收讫"),2)))</f>
        <v>0</v>
      </c>
      <c r="I192" s="27"/>
    </row>
    <row r="193" spans="1:9">
      <c r="A193" s="22">
        <f t="shared" si="6"/>
        <v>34</v>
      </c>
      <c r="B193" s="37" t="str">
        <f>IFERROR(INDEX(_自动清单!$CL$4:$CL$203,INT((ROW()-160)/2)+1),"")</f>
        <v>果然鲜</v>
      </c>
      <c r="C193" s="37" t="str">
        <f t="shared" si="7"/>
        <v>物料销售款</v>
      </c>
      <c r="D193" s="26">
        <f>IF($B193="",0,IF($C193="筐子销售款",ROUND(SUMIFS(周转筐出入库明细!$P$4:$P$2004,周转筐出入库明细!$C$4:$C$2004,$B193,周转筐出入库明细!$F$4:$F$2004,"销售出库"),2),ROUND(SUMIFS(包装物料出入库明细!$N$4:$N$2003,包装物料出入库明细!$D$4:$D$2003,$B193,包装物料出入库明细!$H$4:$H$2003,"销售出库"),2)))</f>
        <v>0</v>
      </c>
      <c r="E193" s="26">
        <f>IF($B193="",0,IF($C193="筐子销售款",ROUND(SUMIFS(周转筐出入库明细!$P$4:$P$2004,周转筐出入库明细!$C$4:$C$2004,$B193,周转筐出入库明细!$F$4:$F$2004,"采购入库"),2),ROUND(SUMIFS(包装物料出入库明细!$N$4:$N$2003,包装物料出入库明细!$D$4:$D$2003,$B193,包装物料出入库明细!$H$4:$H$2003,"采购入库"),2)))</f>
        <v>0</v>
      </c>
      <c r="F193" s="24"/>
      <c r="G193" s="26">
        <f t="shared" si="8"/>
        <v>0</v>
      </c>
      <c r="H193" s="26">
        <f>IF($B193="","",IF($C193="筐子销售款",ROUND(SUMIFS(周转筐出入库明细!$P$4:$P$2004,周转筐出入库明细!$C$4:$C$2004,$B193,周转筐出入库明细!$F$4:$F$2004,"销售出库",周转筐出入库明细!$Q$4:$Q$2004,"已收讫"),2),ROUND(SUMIFS(包装物料出入库明细!$N$4:$N$2003,包装物料出入库明细!$D$4:$D$2003,$B193,包装物料出入库明细!$H$4:$H$2003,"销售出库",包装物料出入库明细!$P$4:$P$2003,"已收讫"),2)))</f>
        <v>0</v>
      </c>
      <c r="I193" s="27"/>
    </row>
    <row r="194" spans="1:9">
      <c r="A194" s="22">
        <f t="shared" si="6"/>
        <v>35</v>
      </c>
      <c r="B194" s="37" t="str">
        <f>IFERROR(INDEX(_自动清单!$CL$4:$CL$203,INT((ROW()-160)/2)+1),"")</f>
        <v>努尔敦</v>
      </c>
      <c r="C194" s="37" t="str">
        <f t="shared" si="7"/>
        <v>筐子销售款</v>
      </c>
      <c r="D194" s="26">
        <f>IF($B194="",0,IF($C194="筐子销售款",ROUND(SUMIFS(周转筐出入库明细!$P$4:$P$2004,周转筐出入库明细!$C$4:$C$2004,$B194,周转筐出入库明细!$F$4:$F$2004,"销售出库"),2),ROUND(SUMIFS(包装物料出入库明细!$N$4:$N$2003,包装物料出入库明细!$D$4:$D$2003,$B194,包装物料出入库明细!$H$4:$H$2003,"销售出库"),2)))</f>
        <v>0</v>
      </c>
      <c r="E194" s="26">
        <f>IF($B194="",0,IF($C194="筐子销售款",ROUND(SUMIFS(周转筐出入库明细!$P$4:$P$2004,周转筐出入库明细!$C$4:$C$2004,$B194,周转筐出入库明细!$F$4:$F$2004,"采购入库"),2),ROUND(SUMIFS(包装物料出入库明细!$N$4:$N$2003,包装物料出入库明细!$D$4:$D$2003,$B194,包装物料出入库明细!$H$4:$H$2003,"采购入库"),2)))</f>
        <v>0</v>
      </c>
      <c r="F194" s="24"/>
      <c r="G194" s="26">
        <f t="shared" si="8"/>
        <v>0</v>
      </c>
      <c r="H194" s="26">
        <f>IF($B194="","",IF($C194="筐子销售款",ROUND(SUMIFS(周转筐出入库明细!$P$4:$P$2004,周转筐出入库明细!$C$4:$C$2004,$B194,周转筐出入库明细!$F$4:$F$2004,"销售出库",周转筐出入库明细!$Q$4:$Q$2004,"已收讫"),2),ROUND(SUMIFS(包装物料出入库明细!$N$4:$N$2003,包装物料出入库明细!$D$4:$D$2003,$B194,包装物料出入库明细!$H$4:$H$2003,"销售出库",包装物料出入库明细!$P$4:$P$2003,"已收讫"),2)))</f>
        <v>0</v>
      </c>
      <c r="I194" s="27"/>
    </row>
    <row r="195" spans="1:9">
      <c r="A195" s="22">
        <f t="shared" si="6"/>
        <v>36</v>
      </c>
      <c r="B195" s="37" t="str">
        <f>IFERROR(INDEX(_自动清单!$CL$4:$CL$203,INT((ROW()-160)/2)+1),"")</f>
        <v>努尔敦</v>
      </c>
      <c r="C195" s="37" t="str">
        <f t="shared" si="7"/>
        <v>物料销售款</v>
      </c>
      <c r="D195" s="26">
        <f>IF($B195="",0,IF($C195="筐子销售款",ROUND(SUMIFS(周转筐出入库明细!$P$4:$P$2004,周转筐出入库明细!$C$4:$C$2004,$B195,周转筐出入库明细!$F$4:$F$2004,"销售出库"),2),ROUND(SUMIFS(包装物料出入库明细!$N$4:$N$2003,包装物料出入库明细!$D$4:$D$2003,$B195,包装物料出入库明细!$H$4:$H$2003,"销售出库"),2)))</f>
        <v>0</v>
      </c>
      <c r="E195" s="26">
        <f>IF($B195="",0,IF($C195="筐子销售款",ROUND(SUMIFS(周转筐出入库明细!$P$4:$P$2004,周转筐出入库明细!$C$4:$C$2004,$B195,周转筐出入库明细!$F$4:$F$2004,"采购入库"),2),ROUND(SUMIFS(包装物料出入库明细!$N$4:$N$2003,包装物料出入库明细!$D$4:$D$2003,$B195,包装物料出入库明细!$H$4:$H$2003,"采购入库"),2)))</f>
        <v>0</v>
      </c>
      <c r="F195" s="24"/>
      <c r="G195" s="26">
        <f t="shared" si="8"/>
        <v>0</v>
      </c>
      <c r="H195" s="26">
        <f>IF($B195="","",IF($C195="筐子销售款",ROUND(SUMIFS(周转筐出入库明细!$P$4:$P$2004,周转筐出入库明细!$C$4:$C$2004,$B195,周转筐出入库明细!$F$4:$F$2004,"销售出库",周转筐出入库明细!$Q$4:$Q$2004,"已收讫"),2),ROUND(SUMIFS(包装物料出入库明细!$N$4:$N$2003,包装物料出入库明细!$D$4:$D$2003,$B195,包装物料出入库明细!$H$4:$H$2003,"销售出库",包装物料出入库明细!$P$4:$P$2003,"已收讫"),2)))</f>
        <v>0</v>
      </c>
      <c r="I195" s="27"/>
    </row>
    <row r="196" spans="1:9">
      <c r="A196" s="22">
        <f t="shared" si="6"/>
        <v>37</v>
      </c>
      <c r="B196" s="37" t="str">
        <f>IFERROR(INDEX(_自动清单!$CL$4:$CL$203,INT((ROW()-160)/2)+1),"")</f>
        <v>吐尔洪</v>
      </c>
      <c r="C196" s="37" t="str">
        <f t="shared" si="7"/>
        <v>筐子销售款</v>
      </c>
      <c r="D196" s="26">
        <f>IF($B196="",0,IF($C196="筐子销售款",ROUND(SUMIFS(周转筐出入库明细!$P$4:$P$2004,周转筐出入库明细!$C$4:$C$2004,$B196,周转筐出入库明细!$F$4:$F$2004,"销售出库"),2),ROUND(SUMIFS(包装物料出入库明细!$N$4:$N$2003,包装物料出入库明细!$D$4:$D$2003,$B196,包装物料出入库明细!$H$4:$H$2003,"销售出库"),2)))</f>
        <v>0</v>
      </c>
      <c r="E196" s="26">
        <f>IF($B196="",0,IF($C196="筐子销售款",ROUND(SUMIFS(周转筐出入库明细!$P$4:$P$2004,周转筐出入库明细!$C$4:$C$2004,$B196,周转筐出入库明细!$F$4:$F$2004,"采购入库"),2),ROUND(SUMIFS(包装物料出入库明细!$N$4:$N$2003,包装物料出入库明细!$D$4:$D$2003,$B196,包装物料出入库明细!$H$4:$H$2003,"采购入库"),2)))</f>
        <v>0</v>
      </c>
      <c r="F196" s="24"/>
      <c r="G196" s="26">
        <f t="shared" si="8"/>
        <v>0</v>
      </c>
      <c r="H196" s="26">
        <f>IF($B196="","",IF($C196="筐子销售款",ROUND(SUMIFS(周转筐出入库明细!$P$4:$P$2004,周转筐出入库明细!$C$4:$C$2004,$B196,周转筐出入库明细!$F$4:$F$2004,"销售出库",周转筐出入库明细!$Q$4:$Q$2004,"已收讫"),2),ROUND(SUMIFS(包装物料出入库明细!$N$4:$N$2003,包装物料出入库明细!$D$4:$D$2003,$B196,包装物料出入库明细!$H$4:$H$2003,"销售出库",包装物料出入库明细!$P$4:$P$2003,"已收讫"),2)))</f>
        <v>0</v>
      </c>
      <c r="I196" s="27"/>
    </row>
    <row r="197" spans="1:9">
      <c r="A197" s="22">
        <f t="shared" si="6"/>
        <v>38</v>
      </c>
      <c r="B197" s="37" t="str">
        <f>IFERROR(INDEX(_自动清单!$CL$4:$CL$203,INT((ROW()-160)/2)+1),"")</f>
        <v>吐尔洪</v>
      </c>
      <c r="C197" s="37" t="str">
        <f t="shared" si="7"/>
        <v>物料销售款</v>
      </c>
      <c r="D197" s="26">
        <f>IF($B197="",0,IF($C197="筐子销售款",ROUND(SUMIFS(周转筐出入库明细!$P$4:$P$2004,周转筐出入库明细!$C$4:$C$2004,$B197,周转筐出入库明细!$F$4:$F$2004,"销售出库"),2),ROUND(SUMIFS(包装物料出入库明细!$N$4:$N$2003,包装物料出入库明细!$D$4:$D$2003,$B197,包装物料出入库明细!$H$4:$H$2003,"销售出库"),2)))</f>
        <v>0</v>
      </c>
      <c r="E197" s="26">
        <f>IF($B197="",0,IF($C197="筐子销售款",ROUND(SUMIFS(周转筐出入库明细!$P$4:$P$2004,周转筐出入库明细!$C$4:$C$2004,$B197,周转筐出入库明细!$F$4:$F$2004,"采购入库"),2),ROUND(SUMIFS(包装物料出入库明细!$N$4:$N$2003,包装物料出入库明细!$D$4:$D$2003,$B197,包装物料出入库明细!$H$4:$H$2003,"采购入库"),2)))</f>
        <v>0</v>
      </c>
      <c r="F197" s="24"/>
      <c r="G197" s="26">
        <f t="shared" si="8"/>
        <v>0</v>
      </c>
      <c r="H197" s="26">
        <f>IF($B197="","",IF($C197="筐子销售款",ROUND(SUMIFS(周转筐出入库明细!$P$4:$P$2004,周转筐出入库明细!$C$4:$C$2004,$B197,周转筐出入库明细!$F$4:$F$2004,"销售出库",周转筐出入库明细!$Q$4:$Q$2004,"已收讫"),2),ROUND(SUMIFS(包装物料出入库明细!$N$4:$N$2003,包装物料出入库明细!$D$4:$D$2003,$B197,包装物料出入库明细!$H$4:$H$2003,"销售出库",包装物料出入库明细!$P$4:$P$2003,"已收讫"),2)))</f>
        <v>0</v>
      </c>
      <c r="I197" s="27"/>
    </row>
    <row r="198" spans="1:9">
      <c r="A198" s="22">
        <f t="shared" si="6"/>
        <v>39</v>
      </c>
      <c r="B198" s="37" t="str">
        <f>IFERROR(INDEX(_自动清单!$CL$4:$CL$203,INT((ROW()-160)/2)+1),"")</f>
        <v>鑫旺塑业</v>
      </c>
      <c r="C198" s="37" t="str">
        <f t="shared" si="7"/>
        <v>筐子销售款</v>
      </c>
      <c r="D198" s="26">
        <f>IF($B198="",0,IF($C198="筐子销售款",ROUND(SUMIFS(周转筐出入库明细!$P$4:$P$2004,周转筐出入库明细!$C$4:$C$2004,$B198,周转筐出入库明细!$F$4:$F$2004,"销售出库"),2),ROUND(SUMIFS(包装物料出入库明细!$N$4:$N$2003,包装物料出入库明细!$D$4:$D$2003,$B198,包装物料出入库明细!$H$4:$H$2003,"销售出库"),2)))</f>
        <v>0</v>
      </c>
      <c r="E198" s="26">
        <f>IF($B198="",0,IF($C198="筐子销售款",ROUND(SUMIFS(周转筐出入库明细!$P$4:$P$2004,周转筐出入库明细!$C$4:$C$2004,$B198,周转筐出入库明细!$F$4:$F$2004,"采购入库"),2),ROUND(SUMIFS(包装物料出入库明细!$N$4:$N$2003,包装物料出入库明细!$D$4:$D$2003,$B198,包装物料出入库明细!$H$4:$H$2003,"采购入库"),2)))</f>
        <v>0</v>
      </c>
      <c r="F198" s="24"/>
      <c r="G198" s="26">
        <f t="shared" si="8"/>
        <v>0</v>
      </c>
      <c r="H198" s="26">
        <f>IF($B198="","",IF($C198="筐子销售款",ROUND(SUMIFS(周转筐出入库明细!$P$4:$P$2004,周转筐出入库明细!$C$4:$C$2004,$B198,周转筐出入库明细!$F$4:$F$2004,"销售出库",周转筐出入库明细!$Q$4:$Q$2004,"已收讫"),2),ROUND(SUMIFS(包装物料出入库明细!$N$4:$N$2003,包装物料出入库明细!$D$4:$D$2003,$B198,包装物料出入库明细!$H$4:$H$2003,"销售出库",包装物料出入库明细!$P$4:$P$2003,"已收讫"),2)))</f>
        <v>0</v>
      </c>
      <c r="I198" s="27"/>
    </row>
    <row r="199" spans="1:9">
      <c r="A199" s="22">
        <f t="shared" si="6"/>
        <v>40</v>
      </c>
      <c r="B199" s="37" t="str">
        <f>IFERROR(INDEX(_自动清单!$CL$4:$CL$203,INT((ROW()-160)/2)+1),"")</f>
        <v>鑫旺塑业</v>
      </c>
      <c r="C199" s="37" t="str">
        <f t="shared" si="7"/>
        <v>物料销售款</v>
      </c>
      <c r="D199" s="26">
        <f>IF($B199="",0,IF($C199="筐子销售款",ROUND(SUMIFS(周转筐出入库明细!$P$4:$P$2004,周转筐出入库明细!$C$4:$C$2004,$B199,周转筐出入库明细!$F$4:$F$2004,"销售出库"),2),ROUND(SUMIFS(包装物料出入库明细!$N$4:$N$2003,包装物料出入库明细!$D$4:$D$2003,$B199,包装物料出入库明细!$H$4:$H$2003,"销售出库"),2)))</f>
        <v>0</v>
      </c>
      <c r="E199" s="26">
        <f>IF($B199="",0,IF($C199="筐子销售款",ROUND(SUMIFS(周转筐出入库明细!$P$4:$P$2004,周转筐出入库明细!$C$4:$C$2004,$B199,周转筐出入库明细!$F$4:$F$2004,"采购入库"),2),ROUND(SUMIFS(包装物料出入库明细!$N$4:$N$2003,包装物料出入库明细!$D$4:$D$2003,$B199,包装物料出入库明细!$H$4:$H$2003,"采购入库"),2)))</f>
        <v>0</v>
      </c>
      <c r="F199" s="24"/>
      <c r="G199" s="26">
        <f t="shared" si="8"/>
        <v>0</v>
      </c>
      <c r="H199" s="26">
        <f>IF($B199="","",IF($C199="筐子销售款",ROUND(SUMIFS(周转筐出入库明细!$P$4:$P$2004,周转筐出入库明细!$C$4:$C$2004,$B199,周转筐出入库明细!$F$4:$F$2004,"销售出库",周转筐出入库明细!$Q$4:$Q$2004,"已收讫"),2),ROUND(SUMIFS(包装物料出入库明细!$N$4:$N$2003,包装物料出入库明细!$D$4:$D$2003,$B199,包装物料出入库明细!$H$4:$H$2003,"销售出库",包装物料出入库明细!$P$4:$P$2003,"已收讫"),2)))</f>
        <v>0</v>
      </c>
      <c r="I199" s="27"/>
    </row>
    <row r="200" spans="1:9">
      <c r="A200" s="22">
        <f t="shared" si="6"/>
        <v>41</v>
      </c>
      <c r="B200" s="37" t="str">
        <f>IFERROR(INDEX(_自动清单!$CL$4:$CL$203,INT((ROW()-160)/2)+1),"")</f>
        <v>华鑫塑业</v>
      </c>
      <c r="C200" s="37" t="str">
        <f t="shared" si="7"/>
        <v>筐子销售款</v>
      </c>
      <c r="D200" s="26">
        <f>IF($B200="",0,IF($C200="筐子销售款",ROUND(SUMIFS(周转筐出入库明细!$P$4:$P$2004,周转筐出入库明细!$C$4:$C$2004,$B200,周转筐出入库明细!$F$4:$F$2004,"销售出库"),2),ROUND(SUMIFS(包装物料出入库明细!$N$4:$N$2003,包装物料出入库明细!$D$4:$D$2003,$B200,包装物料出入库明细!$H$4:$H$2003,"销售出库"),2)))</f>
        <v>0</v>
      </c>
      <c r="E200" s="26">
        <f>IF($B200="",0,IF($C200="筐子销售款",ROUND(SUMIFS(周转筐出入库明细!$P$4:$P$2004,周转筐出入库明细!$C$4:$C$2004,$B200,周转筐出入库明细!$F$4:$F$2004,"采购入库"),2),ROUND(SUMIFS(包装物料出入库明细!$N$4:$N$2003,包装物料出入库明细!$D$4:$D$2003,$B200,包装物料出入库明细!$H$4:$H$2003,"采购入库"),2)))</f>
        <v>0</v>
      </c>
      <c r="F200" s="24"/>
      <c r="G200" s="26">
        <f t="shared" si="8"/>
        <v>0</v>
      </c>
      <c r="H200" s="26">
        <f>IF($B200="","",IF($C200="筐子销售款",ROUND(SUMIFS(周转筐出入库明细!$P$4:$P$2004,周转筐出入库明细!$C$4:$C$2004,$B200,周转筐出入库明细!$F$4:$F$2004,"销售出库",周转筐出入库明细!$Q$4:$Q$2004,"已收讫"),2),ROUND(SUMIFS(包装物料出入库明细!$N$4:$N$2003,包装物料出入库明细!$D$4:$D$2003,$B200,包装物料出入库明细!$H$4:$H$2003,"销售出库",包装物料出入库明细!$P$4:$P$2003,"已收讫"),2)))</f>
        <v>0</v>
      </c>
      <c r="I200" s="27"/>
    </row>
    <row r="201" spans="1:9">
      <c r="A201" s="22">
        <f t="shared" si="6"/>
        <v>42</v>
      </c>
      <c r="B201" s="37" t="str">
        <f>IFERROR(INDEX(_自动清单!$CL$4:$CL$203,INT((ROW()-160)/2)+1),"")</f>
        <v>华鑫塑业</v>
      </c>
      <c r="C201" s="37" t="str">
        <f t="shared" si="7"/>
        <v>物料销售款</v>
      </c>
      <c r="D201" s="26">
        <f>IF($B201="",0,IF($C201="筐子销售款",ROUND(SUMIFS(周转筐出入库明细!$P$4:$P$2004,周转筐出入库明细!$C$4:$C$2004,$B201,周转筐出入库明细!$F$4:$F$2004,"销售出库"),2),ROUND(SUMIFS(包装物料出入库明细!$N$4:$N$2003,包装物料出入库明细!$D$4:$D$2003,$B201,包装物料出入库明细!$H$4:$H$2003,"销售出库"),2)))</f>
        <v>0</v>
      </c>
      <c r="E201" s="26">
        <f>IF($B201="",0,IF($C201="筐子销售款",ROUND(SUMIFS(周转筐出入库明细!$P$4:$P$2004,周转筐出入库明细!$C$4:$C$2004,$B201,周转筐出入库明细!$F$4:$F$2004,"采购入库"),2),ROUND(SUMIFS(包装物料出入库明细!$N$4:$N$2003,包装物料出入库明细!$D$4:$D$2003,$B201,包装物料出入库明细!$H$4:$H$2003,"采购入库"),2)))</f>
        <v>0</v>
      </c>
      <c r="F201" s="24"/>
      <c r="G201" s="26">
        <f t="shared" si="8"/>
        <v>0</v>
      </c>
      <c r="H201" s="26">
        <f>IF($B201="","",IF($C201="筐子销售款",ROUND(SUMIFS(周转筐出入库明细!$P$4:$P$2004,周转筐出入库明细!$C$4:$C$2004,$B201,周转筐出入库明细!$F$4:$F$2004,"销售出库",周转筐出入库明细!$Q$4:$Q$2004,"已收讫"),2),ROUND(SUMIFS(包装物料出入库明细!$N$4:$N$2003,包装物料出入库明细!$D$4:$D$2003,$B201,包装物料出入库明细!$H$4:$H$2003,"销售出库",包装物料出入库明细!$P$4:$P$2003,"已收讫"),2)))</f>
        <v>0</v>
      </c>
      <c r="I201" s="27"/>
    </row>
    <row r="202" spans="1:9">
      <c r="A202" s="22">
        <f t="shared" si="6"/>
        <v>43</v>
      </c>
      <c r="B202" s="37" t="str">
        <f>IFERROR(INDEX(_自动清单!$CL$4:$CL$203,INT((ROW()-160)/2)+1),"")</f>
        <v>全修塑业</v>
      </c>
      <c r="C202" s="37" t="str">
        <f t="shared" si="7"/>
        <v>筐子销售款</v>
      </c>
      <c r="D202" s="26">
        <f>IF($B202="",0,IF($C202="筐子销售款",ROUND(SUMIFS(周转筐出入库明细!$P$4:$P$2004,周转筐出入库明细!$C$4:$C$2004,$B202,周转筐出入库明细!$F$4:$F$2004,"销售出库"),2),ROUND(SUMIFS(包装物料出入库明细!$N$4:$N$2003,包装物料出入库明细!$D$4:$D$2003,$B202,包装物料出入库明细!$H$4:$H$2003,"销售出库"),2)))</f>
        <v>0</v>
      </c>
      <c r="E202" s="26">
        <f>IF($B202="",0,IF($C202="筐子销售款",ROUND(SUMIFS(周转筐出入库明细!$P$4:$P$2004,周转筐出入库明细!$C$4:$C$2004,$B202,周转筐出入库明细!$F$4:$F$2004,"采购入库"),2),ROUND(SUMIFS(包装物料出入库明细!$N$4:$N$2003,包装物料出入库明细!$D$4:$D$2003,$B202,包装物料出入库明细!$H$4:$H$2003,"采购入库"),2)))</f>
        <v>174720</v>
      </c>
      <c r="F202" s="24"/>
      <c r="G202" s="26">
        <f t="shared" si="8"/>
        <v>0</v>
      </c>
      <c r="H202" s="26">
        <f>IF($B202="","",IF($C202="筐子销售款",ROUND(SUMIFS(周转筐出入库明细!$P$4:$P$2004,周转筐出入库明细!$C$4:$C$2004,$B202,周转筐出入库明细!$F$4:$F$2004,"销售出库",周转筐出入库明细!$Q$4:$Q$2004,"已收讫"),2),ROUND(SUMIFS(包装物料出入库明细!$N$4:$N$2003,包装物料出入库明细!$D$4:$D$2003,$B202,包装物料出入库明细!$H$4:$H$2003,"销售出库",包装物料出入库明细!$P$4:$P$2003,"已收讫"),2)))</f>
        <v>0</v>
      </c>
      <c r="I202" s="27"/>
    </row>
    <row r="203" spans="1:9">
      <c r="A203" s="22">
        <f t="shared" si="6"/>
        <v>44</v>
      </c>
      <c r="B203" s="37" t="str">
        <f>IFERROR(INDEX(_自动清单!$CL$4:$CL$203,INT((ROW()-160)/2)+1),"")</f>
        <v>全修塑业</v>
      </c>
      <c r="C203" s="37" t="str">
        <f t="shared" si="7"/>
        <v>物料销售款</v>
      </c>
      <c r="D203" s="26">
        <f>IF($B203="",0,IF($C203="筐子销售款",ROUND(SUMIFS(周转筐出入库明细!$P$4:$P$2004,周转筐出入库明细!$C$4:$C$2004,$B203,周转筐出入库明细!$F$4:$F$2004,"销售出库"),2),ROUND(SUMIFS(包装物料出入库明细!$N$4:$N$2003,包装物料出入库明细!$D$4:$D$2003,$B203,包装物料出入库明细!$H$4:$H$2003,"销售出库"),2)))</f>
        <v>0</v>
      </c>
      <c r="E203" s="26">
        <f>IF($B203="",0,IF($C203="筐子销售款",ROUND(SUMIFS(周转筐出入库明细!$P$4:$P$2004,周转筐出入库明细!$C$4:$C$2004,$B203,周转筐出入库明细!$F$4:$F$2004,"采购入库"),2),ROUND(SUMIFS(包装物料出入库明细!$N$4:$N$2003,包装物料出入库明细!$D$4:$D$2003,$B203,包装物料出入库明细!$H$4:$H$2003,"采购入库"),2)))</f>
        <v>0</v>
      </c>
      <c r="F203" s="24"/>
      <c r="G203" s="26">
        <f t="shared" si="8"/>
        <v>0</v>
      </c>
      <c r="H203" s="26">
        <f>IF($B203="","",IF($C203="筐子销售款",ROUND(SUMIFS(周转筐出入库明细!$P$4:$P$2004,周转筐出入库明细!$C$4:$C$2004,$B203,周转筐出入库明细!$F$4:$F$2004,"销售出库",周转筐出入库明细!$Q$4:$Q$2004,"已收讫"),2),ROUND(SUMIFS(包装物料出入库明细!$N$4:$N$2003,包装物料出入库明细!$D$4:$D$2003,$B203,包装物料出入库明细!$H$4:$H$2003,"销售出库",包装物料出入库明细!$P$4:$P$2003,"已收讫"),2)))</f>
        <v>0</v>
      </c>
      <c r="I203" s="27"/>
    </row>
    <row r="204" spans="1:9">
      <c r="A204" s="22">
        <f t="shared" si="6"/>
        <v>45</v>
      </c>
      <c r="B204" s="37" t="str">
        <f>IFERROR(INDEX(_自动清单!$CL$4:$CL$203,INT((ROW()-160)/2)+1),"")</f>
        <v>新顺发泡网</v>
      </c>
      <c r="C204" s="37" t="str">
        <f t="shared" si="7"/>
        <v>筐子销售款</v>
      </c>
      <c r="D204" s="26">
        <f>IF($B204="",0,IF($C204="筐子销售款",ROUND(SUMIFS(周转筐出入库明细!$P$4:$P$2004,周转筐出入库明细!$C$4:$C$2004,$B204,周转筐出入库明细!$F$4:$F$2004,"销售出库"),2),ROUND(SUMIFS(包装物料出入库明细!$N$4:$N$2003,包装物料出入库明细!$D$4:$D$2003,$B204,包装物料出入库明细!$H$4:$H$2003,"销售出库"),2)))</f>
        <v>0</v>
      </c>
      <c r="E204" s="26">
        <f>IF($B204="",0,IF($C204="筐子销售款",ROUND(SUMIFS(周转筐出入库明细!$P$4:$P$2004,周转筐出入库明细!$C$4:$C$2004,$B204,周转筐出入库明细!$F$4:$F$2004,"采购入库"),2),ROUND(SUMIFS(包装物料出入库明细!$N$4:$N$2003,包装物料出入库明细!$D$4:$D$2003,$B204,包装物料出入库明细!$H$4:$H$2003,"采购入库"),2)))</f>
        <v>0</v>
      </c>
      <c r="F204" s="24"/>
      <c r="G204" s="26">
        <f t="shared" si="8"/>
        <v>0</v>
      </c>
      <c r="H204" s="26">
        <f>IF($B204="","",IF($C204="筐子销售款",ROUND(SUMIFS(周转筐出入库明细!$P$4:$P$2004,周转筐出入库明细!$C$4:$C$2004,$B204,周转筐出入库明细!$F$4:$F$2004,"销售出库",周转筐出入库明细!$Q$4:$Q$2004,"已收讫"),2),ROUND(SUMIFS(包装物料出入库明细!$N$4:$N$2003,包装物料出入库明细!$D$4:$D$2003,$B204,包装物料出入库明细!$H$4:$H$2003,"销售出库",包装物料出入库明细!$P$4:$P$2003,"已收讫"),2)))</f>
        <v>0</v>
      </c>
      <c r="I204" s="27"/>
    </row>
    <row r="205" spans="1:9">
      <c r="A205" s="22">
        <f t="shared" si="6"/>
        <v>46</v>
      </c>
      <c r="B205" s="37" t="str">
        <f>IFERROR(INDEX(_自动清单!$CL$4:$CL$203,INT((ROW()-160)/2)+1),"")</f>
        <v>新顺发泡网</v>
      </c>
      <c r="C205" s="37" t="str">
        <f t="shared" si="7"/>
        <v>物料销售款</v>
      </c>
      <c r="D205" s="26">
        <f>IF($B205="",0,IF($C205="筐子销售款",ROUND(SUMIFS(周转筐出入库明细!$P$4:$P$2004,周转筐出入库明细!$C$4:$C$2004,$B205,周转筐出入库明细!$F$4:$F$2004,"销售出库"),2),ROUND(SUMIFS(包装物料出入库明细!$N$4:$N$2003,包装物料出入库明细!$D$4:$D$2003,$B205,包装物料出入库明细!$H$4:$H$2003,"销售出库"),2)))</f>
        <v>0</v>
      </c>
      <c r="E205" s="26">
        <f>IF($B205="",0,IF($C205="筐子销售款",ROUND(SUMIFS(周转筐出入库明细!$P$4:$P$2004,周转筐出入库明细!$C$4:$C$2004,$B205,周转筐出入库明细!$F$4:$F$2004,"采购入库"),2),ROUND(SUMIFS(包装物料出入库明细!$N$4:$N$2003,包装物料出入库明细!$D$4:$D$2003,$B205,包装物料出入库明细!$H$4:$H$2003,"采购入库"),2)))</f>
        <v>40848</v>
      </c>
      <c r="F205" s="24"/>
      <c r="G205" s="26">
        <f t="shared" si="8"/>
        <v>0</v>
      </c>
      <c r="H205" s="26">
        <f>IF($B205="","",IF($C205="筐子销售款",ROUND(SUMIFS(周转筐出入库明细!$P$4:$P$2004,周转筐出入库明细!$C$4:$C$2004,$B205,周转筐出入库明细!$F$4:$F$2004,"销售出库",周转筐出入库明细!$Q$4:$Q$2004,"已收讫"),2),ROUND(SUMIFS(包装物料出入库明细!$N$4:$N$2003,包装物料出入库明细!$D$4:$D$2003,$B205,包装物料出入库明细!$H$4:$H$2003,"销售出库",包装物料出入库明细!$P$4:$P$2003,"已收讫"),2)))</f>
        <v>0</v>
      </c>
      <c r="I205" s="27"/>
    </row>
    <row r="206" spans="1:9">
      <c r="A206" s="22">
        <f t="shared" si="6"/>
        <v>47</v>
      </c>
      <c r="B206" s="37" t="str">
        <f>IFERROR(INDEX(_自动清单!$CL$4:$CL$203,INT((ROW()-160)/2)+1),"")</f>
        <v>武宁气泡垫</v>
      </c>
      <c r="C206" s="37" t="str">
        <f t="shared" si="7"/>
        <v>筐子销售款</v>
      </c>
      <c r="D206" s="26">
        <f>IF($B206="",0,IF($C206="筐子销售款",ROUND(SUMIFS(周转筐出入库明细!$P$4:$P$2004,周转筐出入库明细!$C$4:$C$2004,$B206,周转筐出入库明细!$F$4:$F$2004,"销售出库"),2),ROUND(SUMIFS(包装物料出入库明细!$N$4:$N$2003,包装物料出入库明细!$D$4:$D$2003,$B206,包装物料出入库明细!$H$4:$H$2003,"销售出库"),2)))</f>
        <v>0</v>
      </c>
      <c r="E206" s="26">
        <f>IF($B206="",0,IF($C206="筐子销售款",ROUND(SUMIFS(周转筐出入库明细!$P$4:$P$2004,周转筐出入库明细!$C$4:$C$2004,$B206,周转筐出入库明细!$F$4:$F$2004,"采购入库"),2),ROUND(SUMIFS(包装物料出入库明细!$N$4:$N$2003,包装物料出入库明细!$D$4:$D$2003,$B206,包装物料出入库明细!$H$4:$H$2003,"采购入库"),2)))</f>
        <v>0</v>
      </c>
      <c r="F206" s="24"/>
      <c r="G206" s="26">
        <f t="shared" si="8"/>
        <v>0</v>
      </c>
      <c r="H206" s="26">
        <f>IF($B206="","",IF($C206="筐子销售款",ROUND(SUMIFS(周转筐出入库明细!$P$4:$P$2004,周转筐出入库明细!$C$4:$C$2004,$B206,周转筐出入库明细!$F$4:$F$2004,"销售出库",周转筐出入库明细!$Q$4:$Q$2004,"已收讫"),2),ROUND(SUMIFS(包装物料出入库明细!$N$4:$N$2003,包装物料出入库明细!$D$4:$D$2003,$B206,包装物料出入库明细!$H$4:$H$2003,"销售出库",包装物料出入库明细!$P$4:$P$2003,"已收讫"),2)))</f>
        <v>0</v>
      </c>
      <c r="I206" s="27"/>
    </row>
    <row r="207" spans="1:9">
      <c r="A207" s="22">
        <f t="shared" si="6"/>
        <v>48</v>
      </c>
      <c r="B207" s="37" t="str">
        <f>IFERROR(INDEX(_自动清单!$CL$4:$CL$203,INT((ROW()-160)/2)+1),"")</f>
        <v>武宁气泡垫</v>
      </c>
      <c r="C207" s="37" t="str">
        <f t="shared" si="7"/>
        <v>物料销售款</v>
      </c>
      <c r="D207" s="26">
        <f>IF($B207="",0,IF($C207="筐子销售款",ROUND(SUMIFS(周转筐出入库明细!$P$4:$P$2004,周转筐出入库明细!$C$4:$C$2004,$B207,周转筐出入库明细!$F$4:$F$2004,"销售出库"),2),ROUND(SUMIFS(包装物料出入库明细!$N$4:$N$2003,包装物料出入库明细!$D$4:$D$2003,$B207,包装物料出入库明细!$H$4:$H$2003,"销售出库"),2)))</f>
        <v>0</v>
      </c>
      <c r="E207" s="26">
        <f>IF($B207="",0,IF($C207="筐子销售款",ROUND(SUMIFS(周转筐出入库明细!$P$4:$P$2004,周转筐出入库明细!$C$4:$C$2004,$B207,周转筐出入库明细!$F$4:$F$2004,"采购入库"),2),ROUND(SUMIFS(包装物料出入库明细!$N$4:$N$2003,包装物料出入库明细!$D$4:$D$2003,$B207,包装物料出入库明细!$H$4:$H$2003,"采购入库"),2)))</f>
        <v>0</v>
      </c>
      <c r="F207" s="24"/>
      <c r="G207" s="26">
        <f t="shared" si="8"/>
        <v>0</v>
      </c>
      <c r="H207" s="26">
        <f>IF($B207="","",IF($C207="筐子销售款",ROUND(SUMIFS(周转筐出入库明细!$P$4:$P$2004,周转筐出入库明细!$C$4:$C$2004,$B207,周转筐出入库明细!$F$4:$F$2004,"销售出库",周转筐出入库明细!$Q$4:$Q$2004,"已收讫"),2),ROUND(SUMIFS(包装物料出入库明细!$N$4:$N$2003,包装物料出入库明细!$D$4:$D$2003,$B207,包装物料出入库明细!$H$4:$H$2003,"销售出库",包装物料出入库明细!$P$4:$P$2003,"已收讫"),2)))</f>
        <v>0</v>
      </c>
      <c r="I207" s="27"/>
    </row>
    <row r="208" spans="1:9">
      <c r="A208" s="22" t="str">
        <f t="shared" si="6"/>
        <v/>
      </c>
      <c r="B208" s="37" t="str">
        <f>IFERROR(INDEX(_自动清单!$CL$4:$CL$203,INT((ROW()-160)/2)+1),"")</f>
        <v/>
      </c>
      <c r="C208" s="37" t="str">
        <f t="shared" si="7"/>
        <v/>
      </c>
      <c r="D208" s="26">
        <f>IF($B208="",0,IF($C208="筐子销售款",ROUND(SUMIFS(周转筐出入库明细!$P$4:$P$2004,周转筐出入库明细!$C$4:$C$2004,$B208,周转筐出入库明细!$F$4:$F$2004,"销售出库"),2),ROUND(SUMIFS(包装物料出入库明细!$N$4:$N$2003,包装物料出入库明细!$D$4:$D$2003,$B208,包装物料出入库明细!$H$4:$H$2003,"销售出库"),2)))</f>
        <v>0</v>
      </c>
      <c r="E208" s="26">
        <f>IF($B208="",0,IF($C208="筐子销售款",ROUND(SUMIFS(周转筐出入库明细!$P$4:$P$2004,周转筐出入库明细!$C$4:$C$2004,$B208,周转筐出入库明细!$F$4:$F$2004,"采购入库"),2),ROUND(SUMIFS(包装物料出入库明细!$N$4:$N$2003,包装物料出入库明细!$D$4:$D$2003,$B208,包装物料出入库明细!$H$4:$H$2003,"采购入库"),2)))</f>
        <v>0</v>
      </c>
      <c r="F208" s="24"/>
      <c r="G208" s="26" t="str">
        <f t="shared" si="8"/>
        <v/>
      </c>
      <c r="H208" s="26" t="str">
        <f>IF($B208="","",IF($C208="筐子销售款",ROUND(SUMIFS(周转筐出入库明细!$P$4:$P$2004,周转筐出入库明细!$C$4:$C$2004,$B208,周转筐出入库明细!$F$4:$F$2004,"销售出库",周转筐出入库明细!$Q$4:$Q$2004,"已收讫"),2),ROUND(SUMIFS(包装物料出入库明细!$N$4:$N$2003,包装物料出入库明细!$D$4:$D$2003,$B208,包装物料出入库明细!$H$4:$H$2003,"销售出库",包装物料出入库明细!$P$4:$P$2003,"已收讫"),2)))</f>
        <v/>
      </c>
      <c r="I208" s="27"/>
    </row>
    <row r="209" spans="1:9">
      <c r="A209" s="22" t="str">
        <f t="shared" si="6"/>
        <v/>
      </c>
      <c r="B209" s="37" t="str">
        <f>IFERROR(INDEX(_自动清单!$CL$4:$CL$203,INT((ROW()-160)/2)+1),"")</f>
        <v/>
      </c>
      <c r="C209" s="37" t="str">
        <f t="shared" si="7"/>
        <v/>
      </c>
      <c r="D209" s="26">
        <f>IF($B209="",0,IF($C209="筐子销售款",ROUND(SUMIFS(周转筐出入库明细!$P$4:$P$2004,周转筐出入库明细!$C$4:$C$2004,$B209,周转筐出入库明细!$F$4:$F$2004,"销售出库"),2),ROUND(SUMIFS(包装物料出入库明细!$N$4:$N$2003,包装物料出入库明细!$D$4:$D$2003,$B209,包装物料出入库明细!$H$4:$H$2003,"销售出库"),2)))</f>
        <v>0</v>
      </c>
      <c r="E209" s="26">
        <f>IF($B209="",0,IF($C209="筐子销售款",ROUND(SUMIFS(周转筐出入库明细!$P$4:$P$2004,周转筐出入库明细!$C$4:$C$2004,$B209,周转筐出入库明细!$F$4:$F$2004,"采购入库"),2),ROUND(SUMIFS(包装物料出入库明细!$N$4:$N$2003,包装物料出入库明细!$D$4:$D$2003,$B209,包装物料出入库明细!$H$4:$H$2003,"采购入库"),2)))</f>
        <v>0</v>
      </c>
      <c r="F209" s="24"/>
      <c r="G209" s="26" t="str">
        <f t="shared" si="8"/>
        <v/>
      </c>
      <c r="H209" s="26" t="str">
        <f>IF($B209="","",IF($C209="筐子销售款",ROUND(SUMIFS(周转筐出入库明细!$P$4:$P$2004,周转筐出入库明细!$C$4:$C$2004,$B209,周转筐出入库明细!$F$4:$F$2004,"销售出库",周转筐出入库明细!$Q$4:$Q$2004,"已收讫"),2),ROUND(SUMIFS(包装物料出入库明细!$N$4:$N$2003,包装物料出入库明细!$D$4:$D$2003,$B209,包装物料出入库明细!$H$4:$H$2003,"销售出库",包装物料出入库明细!$P$4:$P$2003,"已收讫"),2)))</f>
        <v/>
      </c>
      <c r="I209" s="27"/>
    </row>
    <row r="210" spans="1:9">
      <c r="A210" s="22" t="str">
        <f t="shared" si="6"/>
        <v/>
      </c>
      <c r="B210" s="37" t="str">
        <f>IFERROR(INDEX(_自动清单!$CL$4:$CL$203,INT((ROW()-160)/2)+1),"")</f>
        <v/>
      </c>
      <c r="C210" s="37" t="str">
        <f t="shared" si="7"/>
        <v/>
      </c>
      <c r="D210" s="26">
        <f>IF($B210="",0,IF($C210="筐子销售款",ROUND(SUMIFS(周转筐出入库明细!$P$4:$P$2004,周转筐出入库明细!$C$4:$C$2004,$B210,周转筐出入库明细!$F$4:$F$2004,"销售出库"),2),ROUND(SUMIFS(包装物料出入库明细!$N$4:$N$2003,包装物料出入库明细!$D$4:$D$2003,$B210,包装物料出入库明细!$H$4:$H$2003,"销售出库"),2)))</f>
        <v>0</v>
      </c>
      <c r="E210" s="26">
        <f>IF($B210="",0,IF($C210="筐子销售款",ROUND(SUMIFS(周转筐出入库明细!$P$4:$P$2004,周转筐出入库明细!$C$4:$C$2004,$B210,周转筐出入库明细!$F$4:$F$2004,"采购入库"),2),ROUND(SUMIFS(包装物料出入库明细!$N$4:$N$2003,包装物料出入库明细!$D$4:$D$2003,$B210,包装物料出入库明细!$H$4:$H$2003,"采购入库"),2)))</f>
        <v>0</v>
      </c>
      <c r="F210" s="24"/>
      <c r="G210" s="26" t="str">
        <f t="shared" si="8"/>
        <v/>
      </c>
      <c r="H210" s="26" t="str">
        <f>IF($B210="","",IF($C210="筐子销售款",ROUND(SUMIFS(周转筐出入库明细!$P$4:$P$2004,周转筐出入库明细!$C$4:$C$2004,$B210,周转筐出入库明细!$F$4:$F$2004,"销售出库",周转筐出入库明细!$Q$4:$Q$2004,"已收讫"),2),ROUND(SUMIFS(包装物料出入库明细!$N$4:$N$2003,包装物料出入库明细!$D$4:$D$2003,$B210,包装物料出入库明细!$H$4:$H$2003,"销售出库",包装物料出入库明细!$P$4:$P$2003,"已收讫"),2)))</f>
        <v/>
      </c>
      <c r="I210" s="27"/>
    </row>
    <row r="211" spans="1:9">
      <c r="A211" s="22" t="str">
        <f t="shared" si="6"/>
        <v/>
      </c>
      <c r="B211" s="37" t="str">
        <f>IFERROR(INDEX(_自动清单!$CL$4:$CL$203,INT((ROW()-160)/2)+1),"")</f>
        <v/>
      </c>
      <c r="C211" s="37" t="str">
        <f t="shared" si="7"/>
        <v/>
      </c>
      <c r="D211" s="26">
        <f>IF($B211="",0,IF($C211="筐子销售款",ROUND(SUMIFS(周转筐出入库明细!$P$4:$P$2004,周转筐出入库明细!$C$4:$C$2004,$B211,周转筐出入库明细!$F$4:$F$2004,"销售出库"),2),ROUND(SUMIFS(包装物料出入库明细!$N$4:$N$2003,包装物料出入库明细!$D$4:$D$2003,$B211,包装物料出入库明细!$H$4:$H$2003,"销售出库"),2)))</f>
        <v>0</v>
      </c>
      <c r="E211" s="26">
        <f>IF($B211="",0,IF($C211="筐子销售款",ROUND(SUMIFS(周转筐出入库明细!$P$4:$P$2004,周转筐出入库明细!$C$4:$C$2004,$B211,周转筐出入库明细!$F$4:$F$2004,"采购入库"),2),ROUND(SUMIFS(包装物料出入库明细!$N$4:$N$2003,包装物料出入库明细!$D$4:$D$2003,$B211,包装物料出入库明细!$H$4:$H$2003,"采购入库"),2)))</f>
        <v>0</v>
      </c>
      <c r="F211" s="24"/>
      <c r="G211" s="26" t="str">
        <f t="shared" si="8"/>
        <v/>
      </c>
      <c r="H211" s="26" t="str">
        <f>IF($B211="","",IF($C211="筐子销售款",ROUND(SUMIFS(周转筐出入库明细!$P$4:$P$2004,周转筐出入库明细!$C$4:$C$2004,$B211,周转筐出入库明细!$F$4:$F$2004,"销售出库",周转筐出入库明细!$Q$4:$Q$2004,"已收讫"),2),ROUND(SUMIFS(包装物料出入库明细!$N$4:$N$2003,包装物料出入库明细!$D$4:$D$2003,$B211,包装物料出入库明细!$H$4:$H$2003,"销售出库",包装物料出入库明细!$P$4:$P$2003,"已收讫"),2)))</f>
        <v/>
      </c>
      <c r="I211" s="27"/>
    </row>
    <row r="212" spans="1:9">
      <c r="A212" s="22" t="str">
        <f t="shared" si="6"/>
        <v/>
      </c>
      <c r="B212" s="37" t="str">
        <f>IFERROR(INDEX(_自动清单!$CL$4:$CL$203,INT((ROW()-160)/2)+1),"")</f>
        <v/>
      </c>
      <c r="C212" s="37" t="str">
        <f t="shared" si="7"/>
        <v/>
      </c>
      <c r="D212" s="26">
        <f>IF($B212="",0,IF($C212="筐子销售款",ROUND(SUMIFS(周转筐出入库明细!$P$4:$P$2004,周转筐出入库明细!$C$4:$C$2004,$B212,周转筐出入库明细!$F$4:$F$2004,"销售出库"),2),ROUND(SUMIFS(包装物料出入库明细!$N$4:$N$2003,包装物料出入库明细!$D$4:$D$2003,$B212,包装物料出入库明细!$H$4:$H$2003,"销售出库"),2)))</f>
        <v>0</v>
      </c>
      <c r="E212" s="26">
        <f>IF($B212="",0,IF($C212="筐子销售款",ROUND(SUMIFS(周转筐出入库明细!$P$4:$P$2004,周转筐出入库明细!$C$4:$C$2004,$B212,周转筐出入库明细!$F$4:$F$2004,"采购入库"),2),ROUND(SUMIFS(包装物料出入库明细!$N$4:$N$2003,包装物料出入库明细!$D$4:$D$2003,$B212,包装物料出入库明细!$H$4:$H$2003,"采购入库"),2)))</f>
        <v>0</v>
      </c>
      <c r="F212" s="24"/>
      <c r="G212" s="26" t="str">
        <f t="shared" si="8"/>
        <v/>
      </c>
      <c r="H212" s="26" t="str">
        <f>IF($B212="","",IF($C212="筐子销售款",ROUND(SUMIFS(周转筐出入库明细!$P$4:$P$2004,周转筐出入库明细!$C$4:$C$2004,$B212,周转筐出入库明细!$F$4:$F$2004,"销售出库",周转筐出入库明细!$Q$4:$Q$2004,"已收讫"),2),ROUND(SUMIFS(包装物料出入库明细!$N$4:$N$2003,包装物料出入库明细!$D$4:$D$2003,$B212,包装物料出入库明细!$H$4:$H$2003,"销售出库",包装物料出入库明细!$P$4:$P$2003,"已收讫"),2)))</f>
        <v/>
      </c>
      <c r="I212" s="27"/>
    </row>
    <row r="213" spans="1:9">
      <c r="A213" s="22" t="str">
        <f t="shared" si="6"/>
        <v/>
      </c>
      <c r="B213" s="37" t="str">
        <f>IFERROR(INDEX(_自动清单!$CL$4:$CL$203,INT((ROW()-160)/2)+1),"")</f>
        <v/>
      </c>
      <c r="C213" s="37" t="str">
        <f t="shared" si="7"/>
        <v/>
      </c>
      <c r="D213" s="26">
        <f>IF($B213="",0,IF($C213="筐子销售款",ROUND(SUMIFS(周转筐出入库明细!$P$4:$P$2004,周转筐出入库明细!$C$4:$C$2004,$B213,周转筐出入库明细!$F$4:$F$2004,"销售出库"),2),ROUND(SUMIFS(包装物料出入库明细!$N$4:$N$2003,包装物料出入库明细!$D$4:$D$2003,$B213,包装物料出入库明细!$H$4:$H$2003,"销售出库"),2)))</f>
        <v>0</v>
      </c>
      <c r="E213" s="26">
        <f>IF($B213="",0,IF($C213="筐子销售款",ROUND(SUMIFS(周转筐出入库明细!$P$4:$P$2004,周转筐出入库明细!$C$4:$C$2004,$B213,周转筐出入库明细!$F$4:$F$2004,"采购入库"),2),ROUND(SUMIFS(包装物料出入库明细!$N$4:$N$2003,包装物料出入库明细!$D$4:$D$2003,$B213,包装物料出入库明细!$H$4:$H$2003,"采购入库"),2)))</f>
        <v>0</v>
      </c>
      <c r="F213" s="24"/>
      <c r="G213" s="26" t="str">
        <f t="shared" si="8"/>
        <v/>
      </c>
      <c r="H213" s="26" t="str">
        <f>IF($B213="","",IF($C213="筐子销售款",ROUND(SUMIFS(周转筐出入库明细!$P$4:$P$2004,周转筐出入库明细!$C$4:$C$2004,$B213,周转筐出入库明细!$F$4:$F$2004,"销售出库",周转筐出入库明细!$Q$4:$Q$2004,"已收讫"),2),ROUND(SUMIFS(包装物料出入库明细!$N$4:$N$2003,包装物料出入库明细!$D$4:$D$2003,$B213,包装物料出入库明细!$H$4:$H$2003,"销售出库",包装物料出入库明细!$P$4:$P$2003,"已收讫"),2)))</f>
        <v/>
      </c>
      <c r="I213" s="27"/>
    </row>
    <row r="214" spans="1:9">
      <c r="A214" s="22" t="str">
        <f t="shared" si="6"/>
        <v/>
      </c>
      <c r="B214" s="37" t="str">
        <f>IFERROR(INDEX(_自动清单!$CL$4:$CL$203,INT((ROW()-160)/2)+1),"")</f>
        <v/>
      </c>
      <c r="C214" s="37" t="str">
        <f t="shared" si="7"/>
        <v/>
      </c>
      <c r="D214" s="26">
        <f>IF($B214="",0,IF($C214="筐子销售款",ROUND(SUMIFS(周转筐出入库明细!$P$4:$P$2004,周转筐出入库明细!$C$4:$C$2004,$B214,周转筐出入库明细!$F$4:$F$2004,"销售出库"),2),ROUND(SUMIFS(包装物料出入库明细!$N$4:$N$2003,包装物料出入库明细!$D$4:$D$2003,$B214,包装物料出入库明细!$H$4:$H$2003,"销售出库"),2)))</f>
        <v>0</v>
      </c>
      <c r="E214" s="26">
        <f>IF($B214="",0,IF($C214="筐子销售款",ROUND(SUMIFS(周转筐出入库明细!$P$4:$P$2004,周转筐出入库明细!$C$4:$C$2004,$B214,周转筐出入库明细!$F$4:$F$2004,"采购入库"),2),ROUND(SUMIFS(包装物料出入库明细!$N$4:$N$2003,包装物料出入库明细!$D$4:$D$2003,$B214,包装物料出入库明细!$H$4:$H$2003,"采购入库"),2)))</f>
        <v>0</v>
      </c>
      <c r="F214" s="24"/>
      <c r="G214" s="26" t="str">
        <f t="shared" si="8"/>
        <v/>
      </c>
      <c r="H214" s="26" t="str">
        <f>IF($B214="","",IF($C214="筐子销售款",ROUND(SUMIFS(周转筐出入库明细!$P$4:$P$2004,周转筐出入库明细!$C$4:$C$2004,$B214,周转筐出入库明细!$F$4:$F$2004,"销售出库",周转筐出入库明细!$Q$4:$Q$2004,"已收讫"),2),ROUND(SUMIFS(包装物料出入库明细!$N$4:$N$2003,包装物料出入库明细!$D$4:$D$2003,$B214,包装物料出入库明细!$H$4:$H$2003,"销售出库",包装物料出入库明细!$P$4:$P$2003,"已收讫"),2)))</f>
        <v/>
      </c>
      <c r="I214" s="27"/>
    </row>
    <row r="215" spans="1:9">
      <c r="A215" s="22" t="str">
        <f t="shared" si="6"/>
        <v/>
      </c>
      <c r="B215" s="37" t="str">
        <f>IFERROR(INDEX(_自动清单!$CL$4:$CL$203,INT((ROW()-160)/2)+1),"")</f>
        <v/>
      </c>
      <c r="C215" s="37" t="str">
        <f t="shared" si="7"/>
        <v/>
      </c>
      <c r="D215" s="26">
        <f>IF($B215="",0,IF($C215="筐子销售款",ROUND(SUMIFS(周转筐出入库明细!$P$4:$P$2004,周转筐出入库明细!$C$4:$C$2004,$B215,周转筐出入库明细!$F$4:$F$2004,"销售出库"),2),ROUND(SUMIFS(包装物料出入库明细!$N$4:$N$2003,包装物料出入库明细!$D$4:$D$2003,$B215,包装物料出入库明细!$H$4:$H$2003,"销售出库"),2)))</f>
        <v>0</v>
      </c>
      <c r="E215" s="26">
        <f>IF($B215="",0,IF($C215="筐子销售款",ROUND(SUMIFS(周转筐出入库明细!$P$4:$P$2004,周转筐出入库明细!$C$4:$C$2004,$B215,周转筐出入库明细!$F$4:$F$2004,"采购入库"),2),ROUND(SUMIFS(包装物料出入库明细!$N$4:$N$2003,包装物料出入库明细!$D$4:$D$2003,$B215,包装物料出入库明细!$H$4:$H$2003,"采购入库"),2)))</f>
        <v>0</v>
      </c>
      <c r="F215" s="24"/>
      <c r="G215" s="26" t="str">
        <f t="shared" si="8"/>
        <v/>
      </c>
      <c r="H215" s="26" t="str">
        <f>IF($B215="","",IF($C215="筐子销售款",ROUND(SUMIFS(周转筐出入库明细!$P$4:$P$2004,周转筐出入库明细!$C$4:$C$2004,$B215,周转筐出入库明细!$F$4:$F$2004,"销售出库",周转筐出入库明细!$Q$4:$Q$2004,"已收讫"),2),ROUND(SUMIFS(包装物料出入库明细!$N$4:$N$2003,包装物料出入库明细!$D$4:$D$2003,$B215,包装物料出入库明细!$H$4:$H$2003,"销售出库",包装物料出入库明细!$P$4:$P$2003,"已收讫"),2)))</f>
        <v/>
      </c>
      <c r="I215" s="27"/>
    </row>
    <row r="216" spans="1:9">
      <c r="A216" s="22" t="str">
        <f t="shared" si="6"/>
        <v/>
      </c>
      <c r="B216" s="37" t="str">
        <f>IFERROR(INDEX(_自动清单!$CL$4:$CL$203,INT((ROW()-160)/2)+1),"")</f>
        <v/>
      </c>
      <c r="C216" s="37" t="str">
        <f t="shared" si="7"/>
        <v/>
      </c>
      <c r="D216" s="26">
        <f>IF($B216="",0,IF($C216="筐子销售款",ROUND(SUMIFS(周转筐出入库明细!$P$4:$P$2004,周转筐出入库明细!$C$4:$C$2004,$B216,周转筐出入库明细!$F$4:$F$2004,"销售出库"),2),ROUND(SUMIFS(包装物料出入库明细!$N$4:$N$2003,包装物料出入库明细!$D$4:$D$2003,$B216,包装物料出入库明细!$H$4:$H$2003,"销售出库"),2)))</f>
        <v>0</v>
      </c>
      <c r="E216" s="26">
        <f>IF($B216="",0,IF($C216="筐子销售款",ROUND(SUMIFS(周转筐出入库明细!$P$4:$P$2004,周转筐出入库明细!$C$4:$C$2004,$B216,周转筐出入库明细!$F$4:$F$2004,"采购入库"),2),ROUND(SUMIFS(包装物料出入库明细!$N$4:$N$2003,包装物料出入库明细!$D$4:$D$2003,$B216,包装物料出入库明细!$H$4:$H$2003,"采购入库"),2)))</f>
        <v>0</v>
      </c>
      <c r="F216" s="24"/>
      <c r="G216" s="26" t="str">
        <f t="shared" si="8"/>
        <v/>
      </c>
      <c r="H216" s="26" t="str">
        <f>IF($B216="","",IF($C216="筐子销售款",ROUND(SUMIFS(周转筐出入库明细!$P$4:$P$2004,周转筐出入库明细!$C$4:$C$2004,$B216,周转筐出入库明细!$F$4:$F$2004,"销售出库",周转筐出入库明细!$Q$4:$Q$2004,"已收讫"),2),ROUND(SUMIFS(包装物料出入库明细!$N$4:$N$2003,包装物料出入库明细!$D$4:$D$2003,$B216,包装物料出入库明细!$H$4:$H$2003,"销售出库",包装物料出入库明细!$P$4:$P$2003,"已收讫"),2)))</f>
        <v/>
      </c>
      <c r="I216" s="27"/>
    </row>
    <row r="217" spans="1:9">
      <c r="A217" s="22" t="str">
        <f t="shared" si="6"/>
        <v/>
      </c>
      <c r="B217" s="37" t="str">
        <f>IFERROR(INDEX(_自动清单!$CL$4:$CL$203,INT((ROW()-160)/2)+1),"")</f>
        <v/>
      </c>
      <c r="C217" s="37" t="str">
        <f t="shared" si="7"/>
        <v/>
      </c>
      <c r="D217" s="26">
        <f>IF($B217="",0,IF($C217="筐子销售款",ROUND(SUMIFS(周转筐出入库明细!$P$4:$P$2004,周转筐出入库明细!$C$4:$C$2004,$B217,周转筐出入库明细!$F$4:$F$2004,"销售出库"),2),ROUND(SUMIFS(包装物料出入库明细!$N$4:$N$2003,包装物料出入库明细!$D$4:$D$2003,$B217,包装物料出入库明细!$H$4:$H$2003,"销售出库"),2)))</f>
        <v>0</v>
      </c>
      <c r="E217" s="26">
        <f>IF($B217="",0,IF($C217="筐子销售款",ROUND(SUMIFS(周转筐出入库明细!$P$4:$P$2004,周转筐出入库明细!$C$4:$C$2004,$B217,周转筐出入库明细!$F$4:$F$2004,"采购入库"),2),ROUND(SUMIFS(包装物料出入库明细!$N$4:$N$2003,包装物料出入库明细!$D$4:$D$2003,$B217,包装物料出入库明细!$H$4:$H$2003,"采购入库"),2)))</f>
        <v>0</v>
      </c>
      <c r="F217" s="24"/>
      <c r="G217" s="26" t="str">
        <f t="shared" si="8"/>
        <v/>
      </c>
      <c r="H217" s="26" t="str">
        <f>IF($B217="","",IF($C217="筐子销售款",ROUND(SUMIFS(周转筐出入库明细!$P$4:$P$2004,周转筐出入库明细!$C$4:$C$2004,$B217,周转筐出入库明细!$F$4:$F$2004,"销售出库",周转筐出入库明细!$Q$4:$Q$2004,"已收讫"),2),ROUND(SUMIFS(包装物料出入库明细!$N$4:$N$2003,包装物料出入库明细!$D$4:$D$2003,$B217,包装物料出入库明细!$H$4:$H$2003,"销售出库",包装物料出入库明细!$P$4:$P$2003,"已收讫"),2)))</f>
        <v/>
      </c>
      <c r="I217" s="27"/>
    </row>
    <row r="218" spans="1:9">
      <c r="A218" s="22" t="str">
        <f t="shared" si="6"/>
        <v/>
      </c>
      <c r="B218" s="37" t="str">
        <f>IFERROR(INDEX(_自动清单!$CL$4:$CL$203,INT((ROW()-160)/2)+1),"")</f>
        <v/>
      </c>
      <c r="C218" s="37" t="str">
        <f t="shared" si="7"/>
        <v/>
      </c>
      <c r="D218" s="26">
        <f>IF($B218="",0,IF($C218="筐子销售款",ROUND(SUMIFS(周转筐出入库明细!$P$4:$P$2004,周转筐出入库明细!$C$4:$C$2004,$B218,周转筐出入库明细!$F$4:$F$2004,"销售出库"),2),ROUND(SUMIFS(包装物料出入库明细!$N$4:$N$2003,包装物料出入库明细!$D$4:$D$2003,$B218,包装物料出入库明细!$H$4:$H$2003,"销售出库"),2)))</f>
        <v>0</v>
      </c>
      <c r="E218" s="26">
        <f>IF($B218="",0,IF($C218="筐子销售款",ROUND(SUMIFS(周转筐出入库明细!$P$4:$P$2004,周转筐出入库明细!$C$4:$C$2004,$B218,周转筐出入库明细!$F$4:$F$2004,"采购入库"),2),ROUND(SUMIFS(包装物料出入库明细!$N$4:$N$2003,包装物料出入库明细!$D$4:$D$2003,$B218,包装物料出入库明细!$H$4:$H$2003,"采购入库"),2)))</f>
        <v>0</v>
      </c>
      <c r="F218" s="24"/>
      <c r="G218" s="26" t="str">
        <f t="shared" si="8"/>
        <v/>
      </c>
      <c r="H218" s="26" t="str">
        <f>IF($B218="","",IF($C218="筐子销售款",ROUND(SUMIFS(周转筐出入库明细!$P$4:$P$2004,周转筐出入库明细!$C$4:$C$2004,$B218,周转筐出入库明细!$F$4:$F$2004,"销售出库",周转筐出入库明细!$Q$4:$Q$2004,"已收讫"),2),ROUND(SUMIFS(包装物料出入库明细!$N$4:$N$2003,包装物料出入库明细!$D$4:$D$2003,$B218,包装物料出入库明细!$H$4:$H$2003,"销售出库",包装物料出入库明细!$P$4:$P$2003,"已收讫"),2)))</f>
        <v/>
      </c>
      <c r="I218" s="27"/>
    </row>
    <row r="219" spans="1:9">
      <c r="A219" s="22" t="str">
        <f t="shared" si="6"/>
        <v/>
      </c>
      <c r="B219" s="37" t="str">
        <f>IFERROR(INDEX(_自动清单!$CL$4:$CL$203,INT((ROW()-160)/2)+1),"")</f>
        <v/>
      </c>
      <c r="C219" s="37" t="str">
        <f t="shared" si="7"/>
        <v/>
      </c>
      <c r="D219" s="26">
        <f>IF($B219="",0,IF($C219="筐子销售款",ROUND(SUMIFS(周转筐出入库明细!$P$4:$P$2004,周转筐出入库明细!$C$4:$C$2004,$B219,周转筐出入库明细!$F$4:$F$2004,"销售出库"),2),ROUND(SUMIFS(包装物料出入库明细!$N$4:$N$2003,包装物料出入库明细!$D$4:$D$2003,$B219,包装物料出入库明细!$H$4:$H$2003,"销售出库"),2)))</f>
        <v>0</v>
      </c>
      <c r="E219" s="26">
        <f>IF($B219="",0,IF($C219="筐子销售款",ROUND(SUMIFS(周转筐出入库明细!$P$4:$P$2004,周转筐出入库明细!$C$4:$C$2004,$B219,周转筐出入库明细!$F$4:$F$2004,"采购入库"),2),ROUND(SUMIFS(包装物料出入库明细!$N$4:$N$2003,包装物料出入库明细!$D$4:$D$2003,$B219,包装物料出入库明细!$H$4:$H$2003,"采购入库"),2)))</f>
        <v>0</v>
      </c>
      <c r="F219" s="24"/>
      <c r="G219" s="26" t="str">
        <f t="shared" si="8"/>
        <v/>
      </c>
      <c r="H219" s="26" t="str">
        <f>IF($B219="","",IF($C219="筐子销售款",ROUND(SUMIFS(周转筐出入库明细!$P$4:$P$2004,周转筐出入库明细!$C$4:$C$2004,$B219,周转筐出入库明细!$F$4:$F$2004,"销售出库",周转筐出入库明细!$Q$4:$Q$2004,"已收讫"),2),ROUND(SUMIFS(包装物料出入库明细!$N$4:$N$2003,包装物料出入库明细!$D$4:$D$2003,$B219,包装物料出入库明细!$H$4:$H$2003,"销售出库",包装物料出入库明细!$P$4:$P$2003,"已收讫"),2)))</f>
        <v/>
      </c>
      <c r="I219" s="27"/>
    </row>
    <row r="220" spans="1:9">
      <c r="A220" s="22" t="str">
        <f t="shared" si="6"/>
        <v/>
      </c>
      <c r="B220" s="37" t="str">
        <f>IFERROR(INDEX(_自动清单!$CL$4:$CL$203,INT((ROW()-160)/2)+1),"")</f>
        <v/>
      </c>
      <c r="C220" s="37" t="str">
        <f t="shared" si="7"/>
        <v/>
      </c>
      <c r="D220" s="26">
        <f>IF($B220="",0,IF($C220="筐子销售款",ROUND(SUMIFS(周转筐出入库明细!$P$4:$P$2004,周转筐出入库明细!$C$4:$C$2004,$B220,周转筐出入库明细!$F$4:$F$2004,"销售出库"),2),ROUND(SUMIFS(包装物料出入库明细!$N$4:$N$2003,包装物料出入库明细!$D$4:$D$2003,$B220,包装物料出入库明细!$H$4:$H$2003,"销售出库"),2)))</f>
        <v>0</v>
      </c>
      <c r="E220" s="26">
        <f>IF($B220="",0,IF($C220="筐子销售款",ROUND(SUMIFS(周转筐出入库明细!$P$4:$P$2004,周转筐出入库明细!$C$4:$C$2004,$B220,周转筐出入库明细!$F$4:$F$2004,"采购入库"),2),ROUND(SUMIFS(包装物料出入库明细!$N$4:$N$2003,包装物料出入库明细!$D$4:$D$2003,$B220,包装物料出入库明细!$H$4:$H$2003,"采购入库"),2)))</f>
        <v>0</v>
      </c>
      <c r="F220" s="24"/>
      <c r="G220" s="26" t="str">
        <f t="shared" si="8"/>
        <v/>
      </c>
      <c r="H220" s="26" t="str">
        <f>IF($B220="","",IF($C220="筐子销售款",ROUND(SUMIFS(周转筐出入库明细!$P$4:$P$2004,周转筐出入库明细!$C$4:$C$2004,$B220,周转筐出入库明细!$F$4:$F$2004,"销售出库",周转筐出入库明细!$Q$4:$Q$2004,"已收讫"),2),ROUND(SUMIFS(包装物料出入库明细!$N$4:$N$2003,包装物料出入库明细!$D$4:$D$2003,$B220,包装物料出入库明细!$H$4:$H$2003,"销售出库",包装物料出入库明细!$P$4:$P$2003,"已收讫"),2)))</f>
        <v/>
      </c>
      <c r="I220" s="27"/>
    </row>
    <row r="221" spans="1:9">
      <c r="A221" s="22" t="str">
        <f t="shared" si="6"/>
        <v/>
      </c>
      <c r="B221" s="37" t="str">
        <f>IFERROR(INDEX(_自动清单!$CL$4:$CL$203,INT((ROW()-160)/2)+1),"")</f>
        <v/>
      </c>
      <c r="C221" s="37" t="str">
        <f t="shared" si="7"/>
        <v/>
      </c>
      <c r="D221" s="26">
        <f>IF($B221="",0,IF($C221="筐子销售款",ROUND(SUMIFS(周转筐出入库明细!$P$4:$P$2004,周转筐出入库明细!$C$4:$C$2004,$B221,周转筐出入库明细!$F$4:$F$2004,"销售出库"),2),ROUND(SUMIFS(包装物料出入库明细!$N$4:$N$2003,包装物料出入库明细!$D$4:$D$2003,$B221,包装物料出入库明细!$H$4:$H$2003,"销售出库"),2)))</f>
        <v>0</v>
      </c>
      <c r="E221" s="26">
        <f>IF($B221="",0,IF($C221="筐子销售款",ROUND(SUMIFS(周转筐出入库明细!$P$4:$P$2004,周转筐出入库明细!$C$4:$C$2004,$B221,周转筐出入库明细!$F$4:$F$2004,"采购入库"),2),ROUND(SUMIFS(包装物料出入库明细!$N$4:$N$2003,包装物料出入库明细!$D$4:$D$2003,$B221,包装物料出入库明细!$H$4:$H$2003,"采购入库"),2)))</f>
        <v>0</v>
      </c>
      <c r="F221" s="24"/>
      <c r="G221" s="26" t="str">
        <f t="shared" si="8"/>
        <v/>
      </c>
      <c r="H221" s="26" t="str">
        <f>IF($B221="","",IF($C221="筐子销售款",ROUND(SUMIFS(周转筐出入库明细!$P$4:$P$2004,周转筐出入库明细!$C$4:$C$2004,$B221,周转筐出入库明细!$F$4:$F$2004,"销售出库",周转筐出入库明细!$Q$4:$Q$2004,"已收讫"),2),ROUND(SUMIFS(包装物料出入库明细!$N$4:$N$2003,包装物料出入库明细!$D$4:$D$2003,$B221,包装物料出入库明细!$H$4:$H$2003,"销售出库",包装物料出入库明细!$P$4:$P$2003,"已收讫"),2)))</f>
        <v/>
      </c>
      <c r="I221" s="27"/>
    </row>
    <row r="222" spans="1:9">
      <c r="A222" s="22" t="str">
        <f t="shared" si="6"/>
        <v/>
      </c>
      <c r="B222" s="37" t="str">
        <f>IFERROR(INDEX(_自动清单!$CL$4:$CL$203,INT((ROW()-160)/2)+1),"")</f>
        <v/>
      </c>
      <c r="C222" s="37" t="str">
        <f t="shared" si="7"/>
        <v/>
      </c>
      <c r="D222" s="26">
        <f>IF($B222="",0,IF($C222="筐子销售款",ROUND(SUMIFS(周转筐出入库明细!$P$4:$P$2004,周转筐出入库明细!$C$4:$C$2004,$B222,周转筐出入库明细!$F$4:$F$2004,"销售出库"),2),ROUND(SUMIFS(包装物料出入库明细!$N$4:$N$2003,包装物料出入库明细!$D$4:$D$2003,$B222,包装物料出入库明细!$H$4:$H$2003,"销售出库"),2)))</f>
        <v>0</v>
      </c>
      <c r="E222" s="26">
        <f>IF($B222="",0,IF($C222="筐子销售款",ROUND(SUMIFS(周转筐出入库明细!$P$4:$P$2004,周转筐出入库明细!$C$4:$C$2004,$B222,周转筐出入库明细!$F$4:$F$2004,"采购入库"),2),ROUND(SUMIFS(包装物料出入库明细!$N$4:$N$2003,包装物料出入库明细!$D$4:$D$2003,$B222,包装物料出入库明细!$H$4:$H$2003,"采购入库"),2)))</f>
        <v>0</v>
      </c>
      <c r="F222" s="24"/>
      <c r="G222" s="26" t="str">
        <f t="shared" si="8"/>
        <v/>
      </c>
      <c r="H222" s="26" t="str">
        <f>IF($B222="","",IF($C222="筐子销售款",ROUND(SUMIFS(周转筐出入库明细!$P$4:$P$2004,周转筐出入库明细!$C$4:$C$2004,$B222,周转筐出入库明细!$F$4:$F$2004,"销售出库",周转筐出入库明细!$Q$4:$Q$2004,"已收讫"),2),ROUND(SUMIFS(包装物料出入库明细!$N$4:$N$2003,包装物料出入库明细!$D$4:$D$2003,$B222,包装物料出入库明细!$H$4:$H$2003,"销售出库",包装物料出入库明细!$P$4:$P$2003,"已收讫"),2)))</f>
        <v/>
      </c>
      <c r="I222" s="27"/>
    </row>
    <row r="223" spans="1:9">
      <c r="A223" s="22" t="str">
        <f t="shared" si="6"/>
        <v/>
      </c>
      <c r="B223" s="37" t="str">
        <f>IFERROR(INDEX(_自动清单!$CL$4:$CL$203,INT((ROW()-160)/2)+1),"")</f>
        <v/>
      </c>
      <c r="C223" s="37" t="str">
        <f t="shared" si="7"/>
        <v/>
      </c>
      <c r="D223" s="26">
        <f>IF($B223="",0,IF($C223="筐子销售款",ROUND(SUMIFS(周转筐出入库明细!$P$4:$P$2004,周转筐出入库明细!$C$4:$C$2004,$B223,周转筐出入库明细!$F$4:$F$2004,"销售出库"),2),ROUND(SUMIFS(包装物料出入库明细!$N$4:$N$2003,包装物料出入库明细!$D$4:$D$2003,$B223,包装物料出入库明细!$H$4:$H$2003,"销售出库"),2)))</f>
        <v>0</v>
      </c>
      <c r="E223" s="26">
        <f>IF($B223="",0,IF($C223="筐子销售款",ROUND(SUMIFS(周转筐出入库明细!$P$4:$P$2004,周转筐出入库明细!$C$4:$C$2004,$B223,周转筐出入库明细!$F$4:$F$2004,"采购入库"),2),ROUND(SUMIFS(包装物料出入库明细!$N$4:$N$2003,包装物料出入库明细!$D$4:$D$2003,$B223,包装物料出入库明细!$H$4:$H$2003,"采购入库"),2)))</f>
        <v>0</v>
      </c>
      <c r="F223" s="24"/>
      <c r="G223" s="26" t="str">
        <f t="shared" si="8"/>
        <v/>
      </c>
      <c r="H223" s="26" t="str">
        <f>IF($B223="","",IF($C223="筐子销售款",ROUND(SUMIFS(周转筐出入库明细!$P$4:$P$2004,周转筐出入库明细!$C$4:$C$2004,$B223,周转筐出入库明细!$F$4:$F$2004,"销售出库",周转筐出入库明细!$Q$4:$Q$2004,"已收讫"),2),ROUND(SUMIFS(包装物料出入库明细!$N$4:$N$2003,包装物料出入库明细!$D$4:$D$2003,$B223,包装物料出入库明细!$H$4:$H$2003,"销售出库",包装物料出入库明细!$P$4:$P$2003,"已收讫"),2)))</f>
        <v/>
      </c>
      <c r="I223" s="27"/>
    </row>
    <row r="224" spans="1:9">
      <c r="A224" s="22" t="str">
        <f t="shared" ref="A224:A287" si="9">IF($B224="","",ROW()-159)</f>
        <v/>
      </c>
      <c r="B224" s="37" t="str">
        <f>IFERROR(INDEX(_自动清单!$CL$4:$CL$203,INT((ROW()-160)/2)+1),"")</f>
        <v/>
      </c>
      <c r="C224" s="37" t="str">
        <f t="shared" ref="C224:C287" si="10">IF($B224="","",IF(MOD(ROW()-160,2)=0,"筐子销售款","物料销售款"))</f>
        <v/>
      </c>
      <c r="D224" s="26">
        <f>IF($B224="",0,IF($C224="筐子销售款",ROUND(SUMIFS(周转筐出入库明细!$P$4:$P$2004,周转筐出入库明细!$C$4:$C$2004,$B224,周转筐出入库明细!$F$4:$F$2004,"销售出库"),2),ROUND(SUMIFS(包装物料出入库明细!$N$4:$N$2003,包装物料出入库明细!$D$4:$D$2003,$B224,包装物料出入库明细!$H$4:$H$2003,"销售出库"),2)))</f>
        <v>0</v>
      </c>
      <c r="E224" s="26">
        <f>IF($B224="",0,IF($C224="筐子销售款",ROUND(SUMIFS(周转筐出入库明细!$P$4:$P$2004,周转筐出入库明细!$C$4:$C$2004,$B224,周转筐出入库明细!$F$4:$F$2004,"采购入库"),2),ROUND(SUMIFS(包装物料出入库明细!$N$4:$N$2003,包装物料出入库明细!$D$4:$D$2003,$B224,包装物料出入库明细!$H$4:$H$2003,"采购入库"),2)))</f>
        <v>0</v>
      </c>
      <c r="F224" s="24"/>
      <c r="G224" s="26" t="str">
        <f t="shared" ref="G224:G287" si="11">IF($B224="","",ROUND(N($D224),2))</f>
        <v/>
      </c>
      <c r="H224" s="26" t="str">
        <f>IF($B224="","",IF($C224="筐子销售款",ROUND(SUMIFS(周转筐出入库明细!$P$4:$P$2004,周转筐出入库明细!$C$4:$C$2004,$B224,周转筐出入库明细!$F$4:$F$2004,"销售出库",周转筐出入库明细!$Q$4:$Q$2004,"已收讫"),2),ROUND(SUMIFS(包装物料出入库明细!$N$4:$N$2003,包装物料出入库明细!$D$4:$D$2003,$B224,包装物料出入库明细!$H$4:$H$2003,"销售出库",包装物料出入库明细!$P$4:$P$2003,"已收讫"),2)))</f>
        <v/>
      </c>
      <c r="I224" s="27"/>
    </row>
    <row r="225" spans="1:9">
      <c r="A225" s="22" t="str">
        <f t="shared" si="9"/>
        <v/>
      </c>
      <c r="B225" s="37" t="str">
        <f>IFERROR(INDEX(_自动清单!$CL$4:$CL$203,INT((ROW()-160)/2)+1),"")</f>
        <v/>
      </c>
      <c r="C225" s="37" t="str">
        <f t="shared" si="10"/>
        <v/>
      </c>
      <c r="D225" s="26">
        <f>IF($B225="",0,IF($C225="筐子销售款",ROUND(SUMIFS(周转筐出入库明细!$P$4:$P$2004,周转筐出入库明细!$C$4:$C$2004,$B225,周转筐出入库明细!$F$4:$F$2004,"销售出库"),2),ROUND(SUMIFS(包装物料出入库明细!$N$4:$N$2003,包装物料出入库明细!$D$4:$D$2003,$B225,包装物料出入库明细!$H$4:$H$2003,"销售出库"),2)))</f>
        <v>0</v>
      </c>
      <c r="E225" s="26">
        <f>IF($B225="",0,IF($C225="筐子销售款",ROUND(SUMIFS(周转筐出入库明细!$P$4:$P$2004,周转筐出入库明细!$C$4:$C$2004,$B225,周转筐出入库明细!$F$4:$F$2004,"采购入库"),2),ROUND(SUMIFS(包装物料出入库明细!$N$4:$N$2003,包装物料出入库明细!$D$4:$D$2003,$B225,包装物料出入库明细!$H$4:$H$2003,"采购入库"),2)))</f>
        <v>0</v>
      </c>
      <c r="F225" s="24"/>
      <c r="G225" s="26" t="str">
        <f t="shared" si="11"/>
        <v/>
      </c>
      <c r="H225" s="26" t="str">
        <f>IF($B225="","",IF($C225="筐子销售款",ROUND(SUMIFS(周转筐出入库明细!$P$4:$P$2004,周转筐出入库明细!$C$4:$C$2004,$B225,周转筐出入库明细!$F$4:$F$2004,"销售出库",周转筐出入库明细!$Q$4:$Q$2004,"已收讫"),2),ROUND(SUMIFS(包装物料出入库明细!$N$4:$N$2003,包装物料出入库明细!$D$4:$D$2003,$B225,包装物料出入库明细!$H$4:$H$2003,"销售出库",包装物料出入库明细!$P$4:$P$2003,"已收讫"),2)))</f>
        <v/>
      </c>
      <c r="I225" s="27"/>
    </row>
    <row r="226" spans="1:9">
      <c r="A226" s="22" t="str">
        <f t="shared" si="9"/>
        <v/>
      </c>
      <c r="B226" s="37" t="str">
        <f>IFERROR(INDEX(_自动清单!$CL$4:$CL$203,INT((ROW()-160)/2)+1),"")</f>
        <v/>
      </c>
      <c r="C226" s="37" t="str">
        <f t="shared" si="10"/>
        <v/>
      </c>
      <c r="D226" s="26">
        <f>IF($B226="",0,IF($C226="筐子销售款",ROUND(SUMIFS(周转筐出入库明细!$P$4:$P$2004,周转筐出入库明细!$C$4:$C$2004,$B226,周转筐出入库明细!$F$4:$F$2004,"销售出库"),2),ROUND(SUMIFS(包装物料出入库明细!$N$4:$N$2003,包装物料出入库明细!$D$4:$D$2003,$B226,包装物料出入库明细!$H$4:$H$2003,"销售出库"),2)))</f>
        <v>0</v>
      </c>
      <c r="E226" s="26">
        <f>IF($B226="",0,IF($C226="筐子销售款",ROUND(SUMIFS(周转筐出入库明细!$P$4:$P$2004,周转筐出入库明细!$C$4:$C$2004,$B226,周转筐出入库明细!$F$4:$F$2004,"采购入库"),2),ROUND(SUMIFS(包装物料出入库明细!$N$4:$N$2003,包装物料出入库明细!$D$4:$D$2003,$B226,包装物料出入库明细!$H$4:$H$2003,"采购入库"),2)))</f>
        <v>0</v>
      </c>
      <c r="F226" s="24"/>
      <c r="G226" s="26" t="str">
        <f t="shared" si="11"/>
        <v/>
      </c>
      <c r="H226" s="26" t="str">
        <f>IF($B226="","",IF($C226="筐子销售款",ROUND(SUMIFS(周转筐出入库明细!$P$4:$P$2004,周转筐出入库明细!$C$4:$C$2004,$B226,周转筐出入库明细!$F$4:$F$2004,"销售出库",周转筐出入库明细!$Q$4:$Q$2004,"已收讫"),2),ROUND(SUMIFS(包装物料出入库明细!$N$4:$N$2003,包装物料出入库明细!$D$4:$D$2003,$B226,包装物料出入库明细!$H$4:$H$2003,"销售出库",包装物料出入库明细!$P$4:$P$2003,"已收讫"),2)))</f>
        <v/>
      </c>
      <c r="I226" s="27"/>
    </row>
    <row r="227" spans="1:9">
      <c r="A227" s="22" t="str">
        <f t="shared" si="9"/>
        <v/>
      </c>
      <c r="B227" s="37" t="str">
        <f>IFERROR(INDEX(_自动清单!$CL$4:$CL$203,INT((ROW()-160)/2)+1),"")</f>
        <v/>
      </c>
      <c r="C227" s="37" t="str">
        <f t="shared" si="10"/>
        <v/>
      </c>
      <c r="D227" s="26">
        <f>IF($B227="",0,IF($C227="筐子销售款",ROUND(SUMIFS(周转筐出入库明细!$P$4:$P$2004,周转筐出入库明细!$C$4:$C$2004,$B227,周转筐出入库明细!$F$4:$F$2004,"销售出库"),2),ROUND(SUMIFS(包装物料出入库明细!$N$4:$N$2003,包装物料出入库明细!$D$4:$D$2003,$B227,包装物料出入库明细!$H$4:$H$2003,"销售出库"),2)))</f>
        <v>0</v>
      </c>
      <c r="E227" s="26">
        <f>IF($B227="",0,IF($C227="筐子销售款",ROUND(SUMIFS(周转筐出入库明细!$P$4:$P$2004,周转筐出入库明细!$C$4:$C$2004,$B227,周转筐出入库明细!$F$4:$F$2004,"采购入库"),2),ROUND(SUMIFS(包装物料出入库明细!$N$4:$N$2003,包装物料出入库明细!$D$4:$D$2003,$B227,包装物料出入库明细!$H$4:$H$2003,"采购入库"),2)))</f>
        <v>0</v>
      </c>
      <c r="F227" s="24"/>
      <c r="G227" s="26" t="str">
        <f t="shared" si="11"/>
        <v/>
      </c>
      <c r="H227" s="26" t="str">
        <f>IF($B227="","",IF($C227="筐子销售款",ROUND(SUMIFS(周转筐出入库明细!$P$4:$P$2004,周转筐出入库明细!$C$4:$C$2004,$B227,周转筐出入库明细!$F$4:$F$2004,"销售出库",周转筐出入库明细!$Q$4:$Q$2004,"已收讫"),2),ROUND(SUMIFS(包装物料出入库明细!$N$4:$N$2003,包装物料出入库明细!$D$4:$D$2003,$B227,包装物料出入库明细!$H$4:$H$2003,"销售出库",包装物料出入库明细!$P$4:$P$2003,"已收讫"),2)))</f>
        <v/>
      </c>
      <c r="I227" s="27"/>
    </row>
    <row r="228" spans="1:9">
      <c r="A228" s="22" t="str">
        <f t="shared" si="9"/>
        <v/>
      </c>
      <c r="B228" s="37" t="str">
        <f>IFERROR(INDEX(_自动清单!$CL$4:$CL$203,INT((ROW()-160)/2)+1),"")</f>
        <v/>
      </c>
      <c r="C228" s="37" t="str">
        <f t="shared" si="10"/>
        <v/>
      </c>
      <c r="D228" s="26">
        <f>IF($B228="",0,IF($C228="筐子销售款",ROUND(SUMIFS(周转筐出入库明细!$P$4:$P$2004,周转筐出入库明细!$C$4:$C$2004,$B228,周转筐出入库明细!$F$4:$F$2004,"销售出库"),2),ROUND(SUMIFS(包装物料出入库明细!$N$4:$N$2003,包装物料出入库明细!$D$4:$D$2003,$B228,包装物料出入库明细!$H$4:$H$2003,"销售出库"),2)))</f>
        <v>0</v>
      </c>
      <c r="E228" s="26">
        <f>IF($B228="",0,IF($C228="筐子销售款",ROUND(SUMIFS(周转筐出入库明细!$P$4:$P$2004,周转筐出入库明细!$C$4:$C$2004,$B228,周转筐出入库明细!$F$4:$F$2004,"采购入库"),2),ROUND(SUMIFS(包装物料出入库明细!$N$4:$N$2003,包装物料出入库明细!$D$4:$D$2003,$B228,包装物料出入库明细!$H$4:$H$2003,"采购入库"),2)))</f>
        <v>0</v>
      </c>
      <c r="F228" s="24"/>
      <c r="G228" s="26" t="str">
        <f t="shared" si="11"/>
        <v/>
      </c>
      <c r="H228" s="26" t="str">
        <f>IF($B228="","",IF($C228="筐子销售款",ROUND(SUMIFS(周转筐出入库明细!$P$4:$P$2004,周转筐出入库明细!$C$4:$C$2004,$B228,周转筐出入库明细!$F$4:$F$2004,"销售出库",周转筐出入库明细!$Q$4:$Q$2004,"已收讫"),2),ROUND(SUMIFS(包装物料出入库明细!$N$4:$N$2003,包装物料出入库明细!$D$4:$D$2003,$B228,包装物料出入库明细!$H$4:$H$2003,"销售出库",包装物料出入库明细!$P$4:$P$2003,"已收讫"),2)))</f>
        <v/>
      </c>
      <c r="I228" s="27"/>
    </row>
    <row r="229" spans="1:9">
      <c r="A229" s="22" t="str">
        <f t="shared" si="9"/>
        <v/>
      </c>
      <c r="B229" s="37" t="str">
        <f>IFERROR(INDEX(_自动清单!$CL$4:$CL$203,INT((ROW()-160)/2)+1),"")</f>
        <v/>
      </c>
      <c r="C229" s="37" t="str">
        <f t="shared" si="10"/>
        <v/>
      </c>
      <c r="D229" s="26">
        <f>IF($B229="",0,IF($C229="筐子销售款",ROUND(SUMIFS(周转筐出入库明细!$P$4:$P$2004,周转筐出入库明细!$C$4:$C$2004,$B229,周转筐出入库明细!$F$4:$F$2004,"销售出库"),2),ROUND(SUMIFS(包装物料出入库明细!$N$4:$N$2003,包装物料出入库明细!$D$4:$D$2003,$B229,包装物料出入库明细!$H$4:$H$2003,"销售出库"),2)))</f>
        <v>0</v>
      </c>
      <c r="E229" s="26">
        <f>IF($B229="",0,IF($C229="筐子销售款",ROUND(SUMIFS(周转筐出入库明细!$P$4:$P$2004,周转筐出入库明细!$C$4:$C$2004,$B229,周转筐出入库明细!$F$4:$F$2004,"采购入库"),2),ROUND(SUMIFS(包装物料出入库明细!$N$4:$N$2003,包装物料出入库明细!$D$4:$D$2003,$B229,包装物料出入库明细!$H$4:$H$2003,"采购入库"),2)))</f>
        <v>0</v>
      </c>
      <c r="F229" s="24"/>
      <c r="G229" s="26" t="str">
        <f t="shared" si="11"/>
        <v/>
      </c>
      <c r="H229" s="26" t="str">
        <f>IF($B229="","",IF($C229="筐子销售款",ROUND(SUMIFS(周转筐出入库明细!$P$4:$P$2004,周转筐出入库明细!$C$4:$C$2004,$B229,周转筐出入库明细!$F$4:$F$2004,"销售出库",周转筐出入库明细!$Q$4:$Q$2004,"已收讫"),2),ROUND(SUMIFS(包装物料出入库明细!$N$4:$N$2003,包装物料出入库明细!$D$4:$D$2003,$B229,包装物料出入库明细!$H$4:$H$2003,"销售出库",包装物料出入库明细!$P$4:$P$2003,"已收讫"),2)))</f>
        <v/>
      </c>
      <c r="I229" s="27"/>
    </row>
    <row r="230" spans="1:9">
      <c r="A230" s="22" t="str">
        <f t="shared" si="9"/>
        <v/>
      </c>
      <c r="B230" s="37" t="str">
        <f>IFERROR(INDEX(_自动清单!$CL$4:$CL$203,INT((ROW()-160)/2)+1),"")</f>
        <v/>
      </c>
      <c r="C230" s="37" t="str">
        <f t="shared" si="10"/>
        <v/>
      </c>
      <c r="D230" s="26">
        <f>IF($B230="",0,IF($C230="筐子销售款",ROUND(SUMIFS(周转筐出入库明细!$P$4:$P$2004,周转筐出入库明细!$C$4:$C$2004,$B230,周转筐出入库明细!$F$4:$F$2004,"销售出库"),2),ROUND(SUMIFS(包装物料出入库明细!$N$4:$N$2003,包装物料出入库明细!$D$4:$D$2003,$B230,包装物料出入库明细!$H$4:$H$2003,"销售出库"),2)))</f>
        <v>0</v>
      </c>
      <c r="E230" s="26">
        <f>IF($B230="",0,IF($C230="筐子销售款",ROUND(SUMIFS(周转筐出入库明细!$P$4:$P$2004,周转筐出入库明细!$C$4:$C$2004,$B230,周转筐出入库明细!$F$4:$F$2004,"采购入库"),2),ROUND(SUMIFS(包装物料出入库明细!$N$4:$N$2003,包装物料出入库明细!$D$4:$D$2003,$B230,包装物料出入库明细!$H$4:$H$2003,"采购入库"),2)))</f>
        <v>0</v>
      </c>
      <c r="F230" s="24"/>
      <c r="G230" s="26" t="str">
        <f t="shared" si="11"/>
        <v/>
      </c>
      <c r="H230" s="26" t="str">
        <f>IF($B230="","",IF($C230="筐子销售款",ROUND(SUMIFS(周转筐出入库明细!$P$4:$P$2004,周转筐出入库明细!$C$4:$C$2004,$B230,周转筐出入库明细!$F$4:$F$2004,"销售出库",周转筐出入库明细!$Q$4:$Q$2004,"已收讫"),2),ROUND(SUMIFS(包装物料出入库明细!$N$4:$N$2003,包装物料出入库明细!$D$4:$D$2003,$B230,包装物料出入库明细!$H$4:$H$2003,"销售出库",包装物料出入库明细!$P$4:$P$2003,"已收讫"),2)))</f>
        <v/>
      </c>
      <c r="I230" s="27"/>
    </row>
    <row r="231" spans="1:9">
      <c r="A231" s="22" t="str">
        <f t="shared" si="9"/>
        <v/>
      </c>
      <c r="B231" s="37" t="str">
        <f>IFERROR(INDEX(_自动清单!$CL$4:$CL$203,INT((ROW()-160)/2)+1),"")</f>
        <v/>
      </c>
      <c r="C231" s="37" t="str">
        <f t="shared" si="10"/>
        <v/>
      </c>
      <c r="D231" s="26">
        <f>IF($B231="",0,IF($C231="筐子销售款",ROUND(SUMIFS(周转筐出入库明细!$P$4:$P$2004,周转筐出入库明细!$C$4:$C$2004,$B231,周转筐出入库明细!$F$4:$F$2004,"销售出库"),2),ROUND(SUMIFS(包装物料出入库明细!$N$4:$N$2003,包装物料出入库明细!$D$4:$D$2003,$B231,包装物料出入库明细!$H$4:$H$2003,"销售出库"),2)))</f>
        <v>0</v>
      </c>
      <c r="E231" s="26">
        <f>IF($B231="",0,IF($C231="筐子销售款",ROUND(SUMIFS(周转筐出入库明细!$P$4:$P$2004,周转筐出入库明细!$C$4:$C$2004,$B231,周转筐出入库明细!$F$4:$F$2004,"采购入库"),2),ROUND(SUMIFS(包装物料出入库明细!$N$4:$N$2003,包装物料出入库明细!$D$4:$D$2003,$B231,包装物料出入库明细!$H$4:$H$2003,"采购入库"),2)))</f>
        <v>0</v>
      </c>
      <c r="F231" s="24"/>
      <c r="G231" s="26" t="str">
        <f t="shared" si="11"/>
        <v/>
      </c>
      <c r="H231" s="26" t="str">
        <f>IF($B231="","",IF($C231="筐子销售款",ROUND(SUMIFS(周转筐出入库明细!$P$4:$P$2004,周转筐出入库明细!$C$4:$C$2004,$B231,周转筐出入库明细!$F$4:$F$2004,"销售出库",周转筐出入库明细!$Q$4:$Q$2004,"已收讫"),2),ROUND(SUMIFS(包装物料出入库明细!$N$4:$N$2003,包装物料出入库明细!$D$4:$D$2003,$B231,包装物料出入库明细!$H$4:$H$2003,"销售出库",包装物料出入库明细!$P$4:$P$2003,"已收讫"),2)))</f>
        <v/>
      </c>
      <c r="I231" s="27"/>
    </row>
    <row r="232" spans="1:9">
      <c r="A232" s="22" t="str">
        <f t="shared" si="9"/>
        <v/>
      </c>
      <c r="B232" s="37" t="str">
        <f>IFERROR(INDEX(_自动清单!$CL$4:$CL$203,INT((ROW()-160)/2)+1),"")</f>
        <v/>
      </c>
      <c r="C232" s="37" t="str">
        <f t="shared" si="10"/>
        <v/>
      </c>
      <c r="D232" s="26">
        <f>IF($B232="",0,IF($C232="筐子销售款",ROUND(SUMIFS(周转筐出入库明细!$P$4:$P$2004,周转筐出入库明细!$C$4:$C$2004,$B232,周转筐出入库明细!$F$4:$F$2004,"销售出库"),2),ROUND(SUMIFS(包装物料出入库明细!$N$4:$N$2003,包装物料出入库明细!$D$4:$D$2003,$B232,包装物料出入库明细!$H$4:$H$2003,"销售出库"),2)))</f>
        <v>0</v>
      </c>
      <c r="E232" s="26">
        <f>IF($B232="",0,IF($C232="筐子销售款",ROUND(SUMIFS(周转筐出入库明细!$P$4:$P$2004,周转筐出入库明细!$C$4:$C$2004,$B232,周转筐出入库明细!$F$4:$F$2004,"采购入库"),2),ROUND(SUMIFS(包装物料出入库明细!$N$4:$N$2003,包装物料出入库明细!$D$4:$D$2003,$B232,包装物料出入库明细!$H$4:$H$2003,"采购入库"),2)))</f>
        <v>0</v>
      </c>
      <c r="F232" s="24"/>
      <c r="G232" s="26" t="str">
        <f t="shared" si="11"/>
        <v/>
      </c>
      <c r="H232" s="26" t="str">
        <f>IF($B232="","",IF($C232="筐子销售款",ROUND(SUMIFS(周转筐出入库明细!$P$4:$P$2004,周转筐出入库明细!$C$4:$C$2004,$B232,周转筐出入库明细!$F$4:$F$2004,"销售出库",周转筐出入库明细!$Q$4:$Q$2004,"已收讫"),2),ROUND(SUMIFS(包装物料出入库明细!$N$4:$N$2003,包装物料出入库明细!$D$4:$D$2003,$B232,包装物料出入库明细!$H$4:$H$2003,"销售出库",包装物料出入库明细!$P$4:$P$2003,"已收讫"),2)))</f>
        <v/>
      </c>
      <c r="I232" s="27"/>
    </row>
    <row r="233" spans="1:9">
      <c r="A233" s="22" t="str">
        <f t="shared" si="9"/>
        <v/>
      </c>
      <c r="B233" s="37" t="str">
        <f>IFERROR(INDEX(_自动清单!$CL$4:$CL$203,INT((ROW()-160)/2)+1),"")</f>
        <v/>
      </c>
      <c r="C233" s="37" t="str">
        <f t="shared" si="10"/>
        <v/>
      </c>
      <c r="D233" s="26">
        <f>IF($B233="",0,IF($C233="筐子销售款",ROUND(SUMIFS(周转筐出入库明细!$P$4:$P$2004,周转筐出入库明细!$C$4:$C$2004,$B233,周转筐出入库明细!$F$4:$F$2004,"销售出库"),2),ROUND(SUMIFS(包装物料出入库明细!$N$4:$N$2003,包装物料出入库明细!$D$4:$D$2003,$B233,包装物料出入库明细!$H$4:$H$2003,"销售出库"),2)))</f>
        <v>0</v>
      </c>
      <c r="E233" s="26">
        <f>IF($B233="",0,IF($C233="筐子销售款",ROUND(SUMIFS(周转筐出入库明细!$P$4:$P$2004,周转筐出入库明细!$C$4:$C$2004,$B233,周转筐出入库明细!$F$4:$F$2004,"采购入库"),2),ROUND(SUMIFS(包装物料出入库明细!$N$4:$N$2003,包装物料出入库明细!$D$4:$D$2003,$B233,包装物料出入库明细!$H$4:$H$2003,"采购入库"),2)))</f>
        <v>0</v>
      </c>
      <c r="F233" s="24"/>
      <c r="G233" s="26" t="str">
        <f t="shared" si="11"/>
        <v/>
      </c>
      <c r="H233" s="26" t="str">
        <f>IF($B233="","",IF($C233="筐子销售款",ROUND(SUMIFS(周转筐出入库明细!$P$4:$P$2004,周转筐出入库明细!$C$4:$C$2004,$B233,周转筐出入库明细!$F$4:$F$2004,"销售出库",周转筐出入库明细!$Q$4:$Q$2004,"已收讫"),2),ROUND(SUMIFS(包装物料出入库明细!$N$4:$N$2003,包装物料出入库明细!$D$4:$D$2003,$B233,包装物料出入库明细!$H$4:$H$2003,"销售出库",包装物料出入库明细!$P$4:$P$2003,"已收讫"),2)))</f>
        <v/>
      </c>
      <c r="I233" s="27"/>
    </row>
    <row r="234" spans="1:9">
      <c r="A234" s="22" t="str">
        <f t="shared" si="9"/>
        <v/>
      </c>
      <c r="B234" s="37" t="str">
        <f>IFERROR(INDEX(_自动清单!$CL$4:$CL$203,INT((ROW()-160)/2)+1),"")</f>
        <v/>
      </c>
      <c r="C234" s="37" t="str">
        <f t="shared" si="10"/>
        <v/>
      </c>
      <c r="D234" s="26">
        <f>IF($B234="",0,IF($C234="筐子销售款",ROUND(SUMIFS(周转筐出入库明细!$P$4:$P$2004,周转筐出入库明细!$C$4:$C$2004,$B234,周转筐出入库明细!$F$4:$F$2004,"销售出库"),2),ROUND(SUMIFS(包装物料出入库明细!$N$4:$N$2003,包装物料出入库明细!$D$4:$D$2003,$B234,包装物料出入库明细!$H$4:$H$2003,"销售出库"),2)))</f>
        <v>0</v>
      </c>
      <c r="E234" s="26">
        <f>IF($B234="",0,IF($C234="筐子销售款",ROUND(SUMIFS(周转筐出入库明细!$P$4:$P$2004,周转筐出入库明细!$C$4:$C$2004,$B234,周转筐出入库明细!$F$4:$F$2004,"采购入库"),2),ROUND(SUMIFS(包装物料出入库明细!$N$4:$N$2003,包装物料出入库明细!$D$4:$D$2003,$B234,包装物料出入库明细!$H$4:$H$2003,"采购入库"),2)))</f>
        <v>0</v>
      </c>
      <c r="F234" s="24"/>
      <c r="G234" s="26" t="str">
        <f t="shared" si="11"/>
        <v/>
      </c>
      <c r="H234" s="26" t="str">
        <f>IF($B234="","",IF($C234="筐子销售款",ROUND(SUMIFS(周转筐出入库明细!$P$4:$P$2004,周转筐出入库明细!$C$4:$C$2004,$B234,周转筐出入库明细!$F$4:$F$2004,"销售出库",周转筐出入库明细!$Q$4:$Q$2004,"已收讫"),2),ROUND(SUMIFS(包装物料出入库明细!$N$4:$N$2003,包装物料出入库明细!$D$4:$D$2003,$B234,包装物料出入库明细!$H$4:$H$2003,"销售出库",包装物料出入库明细!$P$4:$P$2003,"已收讫"),2)))</f>
        <v/>
      </c>
      <c r="I234" s="27"/>
    </row>
    <row r="235" spans="1:9">
      <c r="A235" s="22" t="str">
        <f t="shared" si="9"/>
        <v/>
      </c>
      <c r="B235" s="37" t="str">
        <f>IFERROR(INDEX(_自动清单!$CL$4:$CL$203,INT((ROW()-160)/2)+1),"")</f>
        <v/>
      </c>
      <c r="C235" s="37" t="str">
        <f t="shared" si="10"/>
        <v/>
      </c>
      <c r="D235" s="26">
        <f>IF($B235="",0,IF($C235="筐子销售款",ROUND(SUMIFS(周转筐出入库明细!$P$4:$P$2004,周转筐出入库明细!$C$4:$C$2004,$B235,周转筐出入库明细!$F$4:$F$2004,"销售出库"),2),ROUND(SUMIFS(包装物料出入库明细!$N$4:$N$2003,包装物料出入库明细!$D$4:$D$2003,$B235,包装物料出入库明细!$H$4:$H$2003,"销售出库"),2)))</f>
        <v>0</v>
      </c>
      <c r="E235" s="26">
        <f>IF($B235="",0,IF($C235="筐子销售款",ROUND(SUMIFS(周转筐出入库明细!$P$4:$P$2004,周转筐出入库明细!$C$4:$C$2004,$B235,周转筐出入库明细!$F$4:$F$2004,"采购入库"),2),ROUND(SUMIFS(包装物料出入库明细!$N$4:$N$2003,包装物料出入库明细!$D$4:$D$2003,$B235,包装物料出入库明细!$H$4:$H$2003,"采购入库"),2)))</f>
        <v>0</v>
      </c>
      <c r="F235" s="24"/>
      <c r="G235" s="26" t="str">
        <f t="shared" si="11"/>
        <v/>
      </c>
      <c r="H235" s="26" t="str">
        <f>IF($B235="","",IF($C235="筐子销售款",ROUND(SUMIFS(周转筐出入库明细!$P$4:$P$2004,周转筐出入库明细!$C$4:$C$2004,$B235,周转筐出入库明细!$F$4:$F$2004,"销售出库",周转筐出入库明细!$Q$4:$Q$2004,"已收讫"),2),ROUND(SUMIFS(包装物料出入库明细!$N$4:$N$2003,包装物料出入库明细!$D$4:$D$2003,$B235,包装物料出入库明细!$H$4:$H$2003,"销售出库",包装物料出入库明细!$P$4:$P$2003,"已收讫"),2)))</f>
        <v/>
      </c>
      <c r="I235" s="27"/>
    </row>
    <row r="236" spans="1:9">
      <c r="A236" s="22" t="str">
        <f t="shared" si="9"/>
        <v/>
      </c>
      <c r="B236" s="37" t="str">
        <f>IFERROR(INDEX(_自动清单!$CL$4:$CL$203,INT((ROW()-160)/2)+1),"")</f>
        <v/>
      </c>
      <c r="C236" s="37" t="str">
        <f t="shared" si="10"/>
        <v/>
      </c>
      <c r="D236" s="26">
        <f>IF($B236="",0,IF($C236="筐子销售款",ROUND(SUMIFS(周转筐出入库明细!$P$4:$P$2004,周转筐出入库明细!$C$4:$C$2004,$B236,周转筐出入库明细!$F$4:$F$2004,"销售出库"),2),ROUND(SUMIFS(包装物料出入库明细!$N$4:$N$2003,包装物料出入库明细!$D$4:$D$2003,$B236,包装物料出入库明细!$H$4:$H$2003,"销售出库"),2)))</f>
        <v>0</v>
      </c>
      <c r="E236" s="26">
        <f>IF($B236="",0,IF($C236="筐子销售款",ROUND(SUMIFS(周转筐出入库明细!$P$4:$P$2004,周转筐出入库明细!$C$4:$C$2004,$B236,周转筐出入库明细!$F$4:$F$2004,"采购入库"),2),ROUND(SUMIFS(包装物料出入库明细!$N$4:$N$2003,包装物料出入库明细!$D$4:$D$2003,$B236,包装物料出入库明细!$H$4:$H$2003,"采购入库"),2)))</f>
        <v>0</v>
      </c>
      <c r="F236" s="24"/>
      <c r="G236" s="26" t="str">
        <f t="shared" si="11"/>
        <v/>
      </c>
      <c r="H236" s="26" t="str">
        <f>IF($B236="","",IF($C236="筐子销售款",ROUND(SUMIFS(周转筐出入库明细!$P$4:$P$2004,周转筐出入库明细!$C$4:$C$2004,$B236,周转筐出入库明细!$F$4:$F$2004,"销售出库",周转筐出入库明细!$Q$4:$Q$2004,"已收讫"),2),ROUND(SUMIFS(包装物料出入库明细!$N$4:$N$2003,包装物料出入库明细!$D$4:$D$2003,$B236,包装物料出入库明细!$H$4:$H$2003,"销售出库",包装物料出入库明细!$P$4:$P$2003,"已收讫"),2)))</f>
        <v/>
      </c>
      <c r="I236" s="27"/>
    </row>
    <row r="237" spans="1:9">
      <c r="A237" s="22" t="str">
        <f t="shared" si="9"/>
        <v/>
      </c>
      <c r="B237" s="37" t="str">
        <f>IFERROR(INDEX(_自动清单!$CL$4:$CL$203,INT((ROW()-160)/2)+1),"")</f>
        <v/>
      </c>
      <c r="C237" s="37" t="str">
        <f t="shared" si="10"/>
        <v/>
      </c>
      <c r="D237" s="26">
        <f>IF($B237="",0,IF($C237="筐子销售款",ROUND(SUMIFS(周转筐出入库明细!$P$4:$P$2004,周转筐出入库明细!$C$4:$C$2004,$B237,周转筐出入库明细!$F$4:$F$2004,"销售出库"),2),ROUND(SUMIFS(包装物料出入库明细!$N$4:$N$2003,包装物料出入库明细!$D$4:$D$2003,$B237,包装物料出入库明细!$H$4:$H$2003,"销售出库"),2)))</f>
        <v>0</v>
      </c>
      <c r="E237" s="26">
        <f>IF($B237="",0,IF($C237="筐子销售款",ROUND(SUMIFS(周转筐出入库明细!$P$4:$P$2004,周转筐出入库明细!$C$4:$C$2004,$B237,周转筐出入库明细!$F$4:$F$2004,"采购入库"),2),ROUND(SUMIFS(包装物料出入库明细!$N$4:$N$2003,包装物料出入库明细!$D$4:$D$2003,$B237,包装物料出入库明细!$H$4:$H$2003,"采购入库"),2)))</f>
        <v>0</v>
      </c>
      <c r="F237" s="24"/>
      <c r="G237" s="26" t="str">
        <f t="shared" si="11"/>
        <v/>
      </c>
      <c r="H237" s="26" t="str">
        <f>IF($B237="","",IF($C237="筐子销售款",ROUND(SUMIFS(周转筐出入库明细!$P$4:$P$2004,周转筐出入库明细!$C$4:$C$2004,$B237,周转筐出入库明细!$F$4:$F$2004,"销售出库",周转筐出入库明细!$Q$4:$Q$2004,"已收讫"),2),ROUND(SUMIFS(包装物料出入库明细!$N$4:$N$2003,包装物料出入库明细!$D$4:$D$2003,$B237,包装物料出入库明细!$H$4:$H$2003,"销售出库",包装物料出入库明细!$P$4:$P$2003,"已收讫"),2)))</f>
        <v/>
      </c>
      <c r="I237" s="27"/>
    </row>
    <row r="238" spans="1:9">
      <c r="A238" s="22" t="str">
        <f t="shared" si="9"/>
        <v/>
      </c>
      <c r="B238" s="37" t="str">
        <f>IFERROR(INDEX(_自动清单!$CL$4:$CL$203,INT((ROW()-160)/2)+1),"")</f>
        <v/>
      </c>
      <c r="C238" s="37" t="str">
        <f t="shared" si="10"/>
        <v/>
      </c>
      <c r="D238" s="26">
        <f>IF($B238="",0,IF($C238="筐子销售款",ROUND(SUMIFS(周转筐出入库明细!$P$4:$P$2004,周转筐出入库明细!$C$4:$C$2004,$B238,周转筐出入库明细!$F$4:$F$2004,"销售出库"),2),ROUND(SUMIFS(包装物料出入库明细!$N$4:$N$2003,包装物料出入库明细!$D$4:$D$2003,$B238,包装物料出入库明细!$H$4:$H$2003,"销售出库"),2)))</f>
        <v>0</v>
      </c>
      <c r="E238" s="26">
        <f>IF($B238="",0,IF($C238="筐子销售款",ROUND(SUMIFS(周转筐出入库明细!$P$4:$P$2004,周转筐出入库明细!$C$4:$C$2004,$B238,周转筐出入库明细!$F$4:$F$2004,"采购入库"),2),ROUND(SUMIFS(包装物料出入库明细!$N$4:$N$2003,包装物料出入库明细!$D$4:$D$2003,$B238,包装物料出入库明细!$H$4:$H$2003,"采购入库"),2)))</f>
        <v>0</v>
      </c>
      <c r="F238" s="24"/>
      <c r="G238" s="26" t="str">
        <f t="shared" si="11"/>
        <v/>
      </c>
      <c r="H238" s="26" t="str">
        <f>IF($B238="","",IF($C238="筐子销售款",ROUND(SUMIFS(周转筐出入库明细!$P$4:$P$2004,周转筐出入库明细!$C$4:$C$2004,$B238,周转筐出入库明细!$F$4:$F$2004,"销售出库",周转筐出入库明细!$Q$4:$Q$2004,"已收讫"),2),ROUND(SUMIFS(包装物料出入库明细!$N$4:$N$2003,包装物料出入库明细!$D$4:$D$2003,$B238,包装物料出入库明细!$H$4:$H$2003,"销售出库",包装物料出入库明细!$P$4:$P$2003,"已收讫"),2)))</f>
        <v/>
      </c>
      <c r="I238" s="27"/>
    </row>
    <row r="239" spans="1:9">
      <c r="A239" s="22" t="str">
        <f t="shared" si="9"/>
        <v/>
      </c>
      <c r="B239" s="37" t="str">
        <f>IFERROR(INDEX(_自动清单!$CL$4:$CL$203,INT((ROW()-160)/2)+1),"")</f>
        <v/>
      </c>
      <c r="C239" s="37" t="str">
        <f t="shared" si="10"/>
        <v/>
      </c>
      <c r="D239" s="26">
        <f>IF($B239="",0,IF($C239="筐子销售款",ROUND(SUMIFS(周转筐出入库明细!$P$4:$P$2004,周转筐出入库明细!$C$4:$C$2004,$B239,周转筐出入库明细!$F$4:$F$2004,"销售出库"),2),ROUND(SUMIFS(包装物料出入库明细!$N$4:$N$2003,包装物料出入库明细!$D$4:$D$2003,$B239,包装物料出入库明细!$H$4:$H$2003,"销售出库"),2)))</f>
        <v>0</v>
      </c>
      <c r="E239" s="26">
        <f>IF($B239="",0,IF($C239="筐子销售款",ROUND(SUMIFS(周转筐出入库明细!$P$4:$P$2004,周转筐出入库明细!$C$4:$C$2004,$B239,周转筐出入库明细!$F$4:$F$2004,"采购入库"),2),ROUND(SUMIFS(包装物料出入库明细!$N$4:$N$2003,包装物料出入库明细!$D$4:$D$2003,$B239,包装物料出入库明细!$H$4:$H$2003,"采购入库"),2)))</f>
        <v>0</v>
      </c>
      <c r="F239" s="24"/>
      <c r="G239" s="26" t="str">
        <f t="shared" si="11"/>
        <v/>
      </c>
      <c r="H239" s="26" t="str">
        <f>IF($B239="","",IF($C239="筐子销售款",ROUND(SUMIFS(周转筐出入库明细!$P$4:$P$2004,周转筐出入库明细!$C$4:$C$2004,$B239,周转筐出入库明细!$F$4:$F$2004,"销售出库",周转筐出入库明细!$Q$4:$Q$2004,"已收讫"),2),ROUND(SUMIFS(包装物料出入库明细!$N$4:$N$2003,包装物料出入库明细!$D$4:$D$2003,$B239,包装物料出入库明细!$H$4:$H$2003,"销售出库",包装物料出入库明细!$P$4:$P$2003,"已收讫"),2)))</f>
        <v/>
      </c>
      <c r="I239" s="27"/>
    </row>
    <row r="240" spans="1:9">
      <c r="A240" s="22" t="str">
        <f t="shared" si="9"/>
        <v/>
      </c>
      <c r="B240" s="37" t="str">
        <f>IFERROR(INDEX(_自动清单!$CL$4:$CL$203,INT((ROW()-160)/2)+1),"")</f>
        <v/>
      </c>
      <c r="C240" s="37" t="str">
        <f t="shared" si="10"/>
        <v/>
      </c>
      <c r="D240" s="26">
        <f>IF($B240="",0,IF($C240="筐子销售款",ROUND(SUMIFS(周转筐出入库明细!$P$4:$P$2004,周转筐出入库明细!$C$4:$C$2004,$B240,周转筐出入库明细!$F$4:$F$2004,"销售出库"),2),ROUND(SUMIFS(包装物料出入库明细!$N$4:$N$2003,包装物料出入库明细!$D$4:$D$2003,$B240,包装物料出入库明细!$H$4:$H$2003,"销售出库"),2)))</f>
        <v>0</v>
      </c>
      <c r="E240" s="26">
        <f>IF($B240="",0,IF($C240="筐子销售款",ROUND(SUMIFS(周转筐出入库明细!$P$4:$P$2004,周转筐出入库明细!$C$4:$C$2004,$B240,周转筐出入库明细!$F$4:$F$2004,"采购入库"),2),ROUND(SUMIFS(包装物料出入库明细!$N$4:$N$2003,包装物料出入库明细!$D$4:$D$2003,$B240,包装物料出入库明细!$H$4:$H$2003,"采购入库"),2)))</f>
        <v>0</v>
      </c>
      <c r="F240" s="24"/>
      <c r="G240" s="26" t="str">
        <f t="shared" si="11"/>
        <v/>
      </c>
      <c r="H240" s="26" t="str">
        <f>IF($B240="","",IF($C240="筐子销售款",ROUND(SUMIFS(周转筐出入库明细!$P$4:$P$2004,周转筐出入库明细!$C$4:$C$2004,$B240,周转筐出入库明细!$F$4:$F$2004,"销售出库",周转筐出入库明细!$Q$4:$Q$2004,"已收讫"),2),ROUND(SUMIFS(包装物料出入库明细!$N$4:$N$2003,包装物料出入库明细!$D$4:$D$2003,$B240,包装物料出入库明细!$H$4:$H$2003,"销售出库",包装物料出入库明细!$P$4:$P$2003,"已收讫"),2)))</f>
        <v/>
      </c>
      <c r="I240" s="27"/>
    </row>
    <row r="241" spans="1:9">
      <c r="A241" s="22" t="str">
        <f t="shared" si="9"/>
        <v/>
      </c>
      <c r="B241" s="37" t="str">
        <f>IFERROR(INDEX(_自动清单!$CL$4:$CL$203,INT((ROW()-160)/2)+1),"")</f>
        <v/>
      </c>
      <c r="C241" s="37" t="str">
        <f t="shared" si="10"/>
        <v/>
      </c>
      <c r="D241" s="26">
        <f>IF($B241="",0,IF($C241="筐子销售款",ROUND(SUMIFS(周转筐出入库明细!$P$4:$P$2004,周转筐出入库明细!$C$4:$C$2004,$B241,周转筐出入库明细!$F$4:$F$2004,"销售出库"),2),ROUND(SUMIFS(包装物料出入库明细!$N$4:$N$2003,包装物料出入库明细!$D$4:$D$2003,$B241,包装物料出入库明细!$H$4:$H$2003,"销售出库"),2)))</f>
        <v>0</v>
      </c>
      <c r="E241" s="26">
        <f>IF($B241="",0,IF($C241="筐子销售款",ROUND(SUMIFS(周转筐出入库明细!$P$4:$P$2004,周转筐出入库明细!$C$4:$C$2004,$B241,周转筐出入库明细!$F$4:$F$2004,"采购入库"),2),ROUND(SUMIFS(包装物料出入库明细!$N$4:$N$2003,包装物料出入库明细!$D$4:$D$2003,$B241,包装物料出入库明细!$H$4:$H$2003,"采购入库"),2)))</f>
        <v>0</v>
      </c>
      <c r="F241" s="24"/>
      <c r="G241" s="26" t="str">
        <f t="shared" si="11"/>
        <v/>
      </c>
      <c r="H241" s="26" t="str">
        <f>IF($B241="","",IF($C241="筐子销售款",ROUND(SUMIFS(周转筐出入库明细!$P$4:$P$2004,周转筐出入库明细!$C$4:$C$2004,$B241,周转筐出入库明细!$F$4:$F$2004,"销售出库",周转筐出入库明细!$Q$4:$Q$2004,"已收讫"),2),ROUND(SUMIFS(包装物料出入库明细!$N$4:$N$2003,包装物料出入库明细!$D$4:$D$2003,$B241,包装物料出入库明细!$H$4:$H$2003,"销售出库",包装物料出入库明细!$P$4:$P$2003,"已收讫"),2)))</f>
        <v/>
      </c>
      <c r="I241" s="27"/>
    </row>
    <row r="242" spans="1:9">
      <c r="A242" s="22" t="str">
        <f t="shared" si="9"/>
        <v/>
      </c>
      <c r="B242" s="37" t="str">
        <f>IFERROR(INDEX(_自动清单!$CL$4:$CL$203,INT((ROW()-160)/2)+1),"")</f>
        <v/>
      </c>
      <c r="C242" s="37" t="str">
        <f t="shared" si="10"/>
        <v/>
      </c>
      <c r="D242" s="26">
        <f>IF($B242="",0,IF($C242="筐子销售款",ROUND(SUMIFS(周转筐出入库明细!$P$4:$P$2004,周转筐出入库明细!$C$4:$C$2004,$B242,周转筐出入库明细!$F$4:$F$2004,"销售出库"),2),ROUND(SUMIFS(包装物料出入库明细!$N$4:$N$2003,包装物料出入库明细!$D$4:$D$2003,$B242,包装物料出入库明细!$H$4:$H$2003,"销售出库"),2)))</f>
        <v>0</v>
      </c>
      <c r="E242" s="26">
        <f>IF($B242="",0,IF($C242="筐子销售款",ROUND(SUMIFS(周转筐出入库明细!$P$4:$P$2004,周转筐出入库明细!$C$4:$C$2004,$B242,周转筐出入库明细!$F$4:$F$2004,"采购入库"),2),ROUND(SUMIFS(包装物料出入库明细!$N$4:$N$2003,包装物料出入库明细!$D$4:$D$2003,$B242,包装物料出入库明细!$H$4:$H$2003,"采购入库"),2)))</f>
        <v>0</v>
      </c>
      <c r="F242" s="24"/>
      <c r="G242" s="26" t="str">
        <f t="shared" si="11"/>
        <v/>
      </c>
      <c r="H242" s="26" t="str">
        <f>IF($B242="","",IF($C242="筐子销售款",ROUND(SUMIFS(周转筐出入库明细!$P$4:$P$2004,周转筐出入库明细!$C$4:$C$2004,$B242,周转筐出入库明细!$F$4:$F$2004,"销售出库",周转筐出入库明细!$Q$4:$Q$2004,"已收讫"),2),ROUND(SUMIFS(包装物料出入库明细!$N$4:$N$2003,包装物料出入库明细!$D$4:$D$2003,$B242,包装物料出入库明细!$H$4:$H$2003,"销售出库",包装物料出入库明细!$P$4:$P$2003,"已收讫"),2)))</f>
        <v/>
      </c>
      <c r="I242" s="27"/>
    </row>
    <row r="243" spans="1:9">
      <c r="A243" s="22" t="str">
        <f t="shared" si="9"/>
        <v/>
      </c>
      <c r="B243" s="37" t="str">
        <f>IFERROR(INDEX(_自动清单!$CL$4:$CL$203,INT((ROW()-160)/2)+1),"")</f>
        <v/>
      </c>
      <c r="C243" s="37" t="str">
        <f t="shared" si="10"/>
        <v/>
      </c>
      <c r="D243" s="26">
        <f>IF($B243="",0,IF($C243="筐子销售款",ROUND(SUMIFS(周转筐出入库明细!$P$4:$P$2004,周转筐出入库明细!$C$4:$C$2004,$B243,周转筐出入库明细!$F$4:$F$2004,"销售出库"),2),ROUND(SUMIFS(包装物料出入库明细!$N$4:$N$2003,包装物料出入库明细!$D$4:$D$2003,$B243,包装物料出入库明细!$H$4:$H$2003,"销售出库"),2)))</f>
        <v>0</v>
      </c>
      <c r="E243" s="26">
        <f>IF($B243="",0,IF($C243="筐子销售款",ROUND(SUMIFS(周转筐出入库明细!$P$4:$P$2004,周转筐出入库明细!$C$4:$C$2004,$B243,周转筐出入库明细!$F$4:$F$2004,"采购入库"),2),ROUND(SUMIFS(包装物料出入库明细!$N$4:$N$2003,包装物料出入库明细!$D$4:$D$2003,$B243,包装物料出入库明细!$H$4:$H$2003,"采购入库"),2)))</f>
        <v>0</v>
      </c>
      <c r="F243" s="24"/>
      <c r="G243" s="26" t="str">
        <f t="shared" si="11"/>
        <v/>
      </c>
      <c r="H243" s="26" t="str">
        <f>IF($B243="","",IF($C243="筐子销售款",ROUND(SUMIFS(周转筐出入库明细!$P$4:$P$2004,周转筐出入库明细!$C$4:$C$2004,$B243,周转筐出入库明细!$F$4:$F$2004,"销售出库",周转筐出入库明细!$Q$4:$Q$2004,"已收讫"),2),ROUND(SUMIFS(包装物料出入库明细!$N$4:$N$2003,包装物料出入库明细!$D$4:$D$2003,$B243,包装物料出入库明细!$H$4:$H$2003,"销售出库",包装物料出入库明细!$P$4:$P$2003,"已收讫"),2)))</f>
        <v/>
      </c>
      <c r="I243" s="27"/>
    </row>
    <row r="244" spans="1:9">
      <c r="A244" s="22" t="str">
        <f t="shared" si="9"/>
        <v/>
      </c>
      <c r="B244" s="37" t="str">
        <f>IFERROR(INDEX(_自动清单!$CL$4:$CL$203,INT((ROW()-160)/2)+1),"")</f>
        <v/>
      </c>
      <c r="C244" s="37" t="str">
        <f t="shared" si="10"/>
        <v/>
      </c>
      <c r="D244" s="26">
        <f>IF($B244="",0,IF($C244="筐子销售款",ROUND(SUMIFS(周转筐出入库明细!$P$4:$P$2004,周转筐出入库明细!$C$4:$C$2004,$B244,周转筐出入库明细!$F$4:$F$2004,"销售出库"),2),ROUND(SUMIFS(包装物料出入库明细!$N$4:$N$2003,包装物料出入库明细!$D$4:$D$2003,$B244,包装物料出入库明细!$H$4:$H$2003,"销售出库"),2)))</f>
        <v>0</v>
      </c>
      <c r="E244" s="26">
        <f>IF($B244="",0,IF($C244="筐子销售款",ROUND(SUMIFS(周转筐出入库明细!$P$4:$P$2004,周转筐出入库明细!$C$4:$C$2004,$B244,周转筐出入库明细!$F$4:$F$2004,"采购入库"),2),ROUND(SUMIFS(包装物料出入库明细!$N$4:$N$2003,包装物料出入库明细!$D$4:$D$2003,$B244,包装物料出入库明细!$H$4:$H$2003,"采购入库"),2)))</f>
        <v>0</v>
      </c>
      <c r="F244" s="24"/>
      <c r="G244" s="26" t="str">
        <f t="shared" si="11"/>
        <v/>
      </c>
      <c r="H244" s="26" t="str">
        <f>IF($B244="","",IF($C244="筐子销售款",ROUND(SUMIFS(周转筐出入库明细!$P$4:$P$2004,周转筐出入库明细!$C$4:$C$2004,$B244,周转筐出入库明细!$F$4:$F$2004,"销售出库",周转筐出入库明细!$Q$4:$Q$2004,"已收讫"),2),ROUND(SUMIFS(包装物料出入库明细!$N$4:$N$2003,包装物料出入库明细!$D$4:$D$2003,$B244,包装物料出入库明细!$H$4:$H$2003,"销售出库",包装物料出入库明细!$P$4:$P$2003,"已收讫"),2)))</f>
        <v/>
      </c>
      <c r="I244" s="27"/>
    </row>
    <row r="245" spans="1:9">
      <c r="A245" s="22" t="str">
        <f t="shared" si="9"/>
        <v/>
      </c>
      <c r="B245" s="37" t="str">
        <f>IFERROR(INDEX(_自动清单!$CL$4:$CL$203,INT((ROW()-160)/2)+1),"")</f>
        <v/>
      </c>
      <c r="C245" s="37" t="str">
        <f t="shared" si="10"/>
        <v/>
      </c>
      <c r="D245" s="26">
        <f>IF($B245="",0,IF($C245="筐子销售款",ROUND(SUMIFS(周转筐出入库明细!$P$4:$P$2004,周转筐出入库明细!$C$4:$C$2004,$B245,周转筐出入库明细!$F$4:$F$2004,"销售出库"),2),ROUND(SUMIFS(包装物料出入库明细!$N$4:$N$2003,包装物料出入库明细!$D$4:$D$2003,$B245,包装物料出入库明细!$H$4:$H$2003,"销售出库"),2)))</f>
        <v>0</v>
      </c>
      <c r="E245" s="26">
        <f>IF($B245="",0,IF($C245="筐子销售款",ROUND(SUMIFS(周转筐出入库明细!$P$4:$P$2004,周转筐出入库明细!$C$4:$C$2004,$B245,周转筐出入库明细!$F$4:$F$2004,"采购入库"),2),ROUND(SUMIFS(包装物料出入库明细!$N$4:$N$2003,包装物料出入库明细!$D$4:$D$2003,$B245,包装物料出入库明细!$H$4:$H$2003,"采购入库"),2)))</f>
        <v>0</v>
      </c>
      <c r="F245" s="24"/>
      <c r="G245" s="26" t="str">
        <f t="shared" si="11"/>
        <v/>
      </c>
      <c r="H245" s="26" t="str">
        <f>IF($B245="","",IF($C245="筐子销售款",ROUND(SUMIFS(周转筐出入库明细!$P$4:$P$2004,周转筐出入库明细!$C$4:$C$2004,$B245,周转筐出入库明细!$F$4:$F$2004,"销售出库",周转筐出入库明细!$Q$4:$Q$2004,"已收讫"),2),ROUND(SUMIFS(包装物料出入库明细!$N$4:$N$2003,包装物料出入库明细!$D$4:$D$2003,$B245,包装物料出入库明细!$H$4:$H$2003,"销售出库",包装物料出入库明细!$P$4:$P$2003,"已收讫"),2)))</f>
        <v/>
      </c>
      <c r="I245" s="27"/>
    </row>
    <row r="246" spans="1:9">
      <c r="A246" s="22" t="str">
        <f t="shared" si="9"/>
        <v/>
      </c>
      <c r="B246" s="37" t="str">
        <f>IFERROR(INDEX(_自动清单!$CL$4:$CL$203,INT((ROW()-160)/2)+1),"")</f>
        <v/>
      </c>
      <c r="C246" s="37" t="str">
        <f t="shared" si="10"/>
        <v/>
      </c>
      <c r="D246" s="26">
        <f>IF($B246="",0,IF($C246="筐子销售款",ROUND(SUMIFS(周转筐出入库明细!$P$4:$P$2004,周转筐出入库明细!$C$4:$C$2004,$B246,周转筐出入库明细!$F$4:$F$2004,"销售出库"),2),ROUND(SUMIFS(包装物料出入库明细!$N$4:$N$2003,包装物料出入库明细!$D$4:$D$2003,$B246,包装物料出入库明细!$H$4:$H$2003,"销售出库"),2)))</f>
        <v>0</v>
      </c>
      <c r="E246" s="26">
        <f>IF($B246="",0,IF($C246="筐子销售款",ROUND(SUMIFS(周转筐出入库明细!$P$4:$P$2004,周转筐出入库明细!$C$4:$C$2004,$B246,周转筐出入库明细!$F$4:$F$2004,"采购入库"),2),ROUND(SUMIFS(包装物料出入库明细!$N$4:$N$2003,包装物料出入库明细!$D$4:$D$2003,$B246,包装物料出入库明细!$H$4:$H$2003,"采购入库"),2)))</f>
        <v>0</v>
      </c>
      <c r="F246" s="24"/>
      <c r="G246" s="26" t="str">
        <f t="shared" si="11"/>
        <v/>
      </c>
      <c r="H246" s="26" t="str">
        <f>IF($B246="","",IF($C246="筐子销售款",ROUND(SUMIFS(周转筐出入库明细!$P$4:$P$2004,周转筐出入库明细!$C$4:$C$2004,$B246,周转筐出入库明细!$F$4:$F$2004,"销售出库",周转筐出入库明细!$Q$4:$Q$2004,"已收讫"),2),ROUND(SUMIFS(包装物料出入库明细!$N$4:$N$2003,包装物料出入库明细!$D$4:$D$2003,$B246,包装物料出入库明细!$H$4:$H$2003,"销售出库",包装物料出入库明细!$P$4:$P$2003,"已收讫"),2)))</f>
        <v/>
      </c>
      <c r="I246" s="27"/>
    </row>
    <row r="247" spans="1:9">
      <c r="A247" s="22" t="str">
        <f t="shared" si="9"/>
        <v/>
      </c>
      <c r="B247" s="37" t="str">
        <f>IFERROR(INDEX(_自动清单!$CL$4:$CL$203,INT((ROW()-160)/2)+1),"")</f>
        <v/>
      </c>
      <c r="C247" s="37" t="str">
        <f t="shared" si="10"/>
        <v/>
      </c>
      <c r="D247" s="26">
        <f>IF($B247="",0,IF($C247="筐子销售款",ROUND(SUMIFS(周转筐出入库明细!$P$4:$P$2004,周转筐出入库明细!$C$4:$C$2004,$B247,周转筐出入库明细!$F$4:$F$2004,"销售出库"),2),ROUND(SUMIFS(包装物料出入库明细!$N$4:$N$2003,包装物料出入库明细!$D$4:$D$2003,$B247,包装物料出入库明细!$H$4:$H$2003,"销售出库"),2)))</f>
        <v>0</v>
      </c>
      <c r="E247" s="26">
        <f>IF($B247="",0,IF($C247="筐子销售款",ROUND(SUMIFS(周转筐出入库明细!$P$4:$P$2004,周转筐出入库明细!$C$4:$C$2004,$B247,周转筐出入库明细!$F$4:$F$2004,"采购入库"),2),ROUND(SUMIFS(包装物料出入库明细!$N$4:$N$2003,包装物料出入库明细!$D$4:$D$2003,$B247,包装物料出入库明细!$H$4:$H$2003,"采购入库"),2)))</f>
        <v>0</v>
      </c>
      <c r="F247" s="24"/>
      <c r="G247" s="26" t="str">
        <f t="shared" si="11"/>
        <v/>
      </c>
      <c r="H247" s="26" t="str">
        <f>IF($B247="","",IF($C247="筐子销售款",ROUND(SUMIFS(周转筐出入库明细!$P$4:$P$2004,周转筐出入库明细!$C$4:$C$2004,$B247,周转筐出入库明细!$F$4:$F$2004,"销售出库",周转筐出入库明细!$Q$4:$Q$2004,"已收讫"),2),ROUND(SUMIFS(包装物料出入库明细!$N$4:$N$2003,包装物料出入库明细!$D$4:$D$2003,$B247,包装物料出入库明细!$H$4:$H$2003,"销售出库",包装物料出入库明细!$P$4:$P$2003,"已收讫"),2)))</f>
        <v/>
      </c>
      <c r="I247" s="27"/>
    </row>
    <row r="248" spans="1:9">
      <c r="A248" s="22" t="str">
        <f t="shared" si="9"/>
        <v/>
      </c>
      <c r="B248" s="37" t="str">
        <f>IFERROR(INDEX(_自动清单!$CL$4:$CL$203,INT((ROW()-160)/2)+1),"")</f>
        <v/>
      </c>
      <c r="C248" s="37" t="str">
        <f t="shared" si="10"/>
        <v/>
      </c>
      <c r="D248" s="26">
        <f>IF($B248="",0,IF($C248="筐子销售款",ROUND(SUMIFS(周转筐出入库明细!$P$4:$P$2004,周转筐出入库明细!$C$4:$C$2004,$B248,周转筐出入库明细!$F$4:$F$2004,"销售出库"),2),ROUND(SUMIFS(包装物料出入库明细!$N$4:$N$2003,包装物料出入库明细!$D$4:$D$2003,$B248,包装物料出入库明细!$H$4:$H$2003,"销售出库"),2)))</f>
        <v>0</v>
      </c>
      <c r="E248" s="26">
        <f>IF($B248="",0,IF($C248="筐子销售款",ROUND(SUMIFS(周转筐出入库明细!$P$4:$P$2004,周转筐出入库明细!$C$4:$C$2004,$B248,周转筐出入库明细!$F$4:$F$2004,"采购入库"),2),ROUND(SUMIFS(包装物料出入库明细!$N$4:$N$2003,包装物料出入库明细!$D$4:$D$2003,$B248,包装物料出入库明细!$H$4:$H$2003,"采购入库"),2)))</f>
        <v>0</v>
      </c>
      <c r="F248" s="24"/>
      <c r="G248" s="26" t="str">
        <f t="shared" si="11"/>
        <v/>
      </c>
      <c r="H248" s="26" t="str">
        <f>IF($B248="","",IF($C248="筐子销售款",ROUND(SUMIFS(周转筐出入库明细!$P$4:$P$2004,周转筐出入库明细!$C$4:$C$2004,$B248,周转筐出入库明细!$F$4:$F$2004,"销售出库",周转筐出入库明细!$Q$4:$Q$2004,"已收讫"),2),ROUND(SUMIFS(包装物料出入库明细!$N$4:$N$2003,包装物料出入库明细!$D$4:$D$2003,$B248,包装物料出入库明细!$H$4:$H$2003,"销售出库",包装物料出入库明细!$P$4:$P$2003,"已收讫"),2)))</f>
        <v/>
      </c>
      <c r="I248" s="27"/>
    </row>
    <row r="249" spans="1:9">
      <c r="A249" s="22" t="str">
        <f t="shared" si="9"/>
        <v/>
      </c>
      <c r="B249" s="37" t="str">
        <f>IFERROR(INDEX(_自动清单!$CL$4:$CL$203,INT((ROW()-160)/2)+1),"")</f>
        <v/>
      </c>
      <c r="C249" s="37" t="str">
        <f t="shared" si="10"/>
        <v/>
      </c>
      <c r="D249" s="26">
        <f>IF($B249="",0,IF($C249="筐子销售款",ROUND(SUMIFS(周转筐出入库明细!$P$4:$P$2004,周转筐出入库明细!$C$4:$C$2004,$B249,周转筐出入库明细!$F$4:$F$2004,"销售出库"),2),ROUND(SUMIFS(包装物料出入库明细!$N$4:$N$2003,包装物料出入库明细!$D$4:$D$2003,$B249,包装物料出入库明细!$H$4:$H$2003,"销售出库"),2)))</f>
        <v>0</v>
      </c>
      <c r="E249" s="26">
        <f>IF($B249="",0,IF($C249="筐子销售款",ROUND(SUMIFS(周转筐出入库明细!$P$4:$P$2004,周转筐出入库明细!$C$4:$C$2004,$B249,周转筐出入库明细!$F$4:$F$2004,"采购入库"),2),ROUND(SUMIFS(包装物料出入库明细!$N$4:$N$2003,包装物料出入库明细!$D$4:$D$2003,$B249,包装物料出入库明细!$H$4:$H$2003,"采购入库"),2)))</f>
        <v>0</v>
      </c>
      <c r="F249" s="24"/>
      <c r="G249" s="26" t="str">
        <f t="shared" si="11"/>
        <v/>
      </c>
      <c r="H249" s="26" t="str">
        <f>IF($B249="","",IF($C249="筐子销售款",ROUND(SUMIFS(周转筐出入库明细!$P$4:$P$2004,周转筐出入库明细!$C$4:$C$2004,$B249,周转筐出入库明细!$F$4:$F$2004,"销售出库",周转筐出入库明细!$Q$4:$Q$2004,"已收讫"),2),ROUND(SUMIFS(包装物料出入库明细!$N$4:$N$2003,包装物料出入库明细!$D$4:$D$2003,$B249,包装物料出入库明细!$H$4:$H$2003,"销售出库",包装物料出入库明细!$P$4:$P$2003,"已收讫"),2)))</f>
        <v/>
      </c>
      <c r="I249" s="27"/>
    </row>
    <row r="250" spans="1:9">
      <c r="A250" s="22" t="str">
        <f t="shared" si="9"/>
        <v/>
      </c>
      <c r="B250" s="37" t="str">
        <f>IFERROR(INDEX(_自动清单!$CL$4:$CL$203,INT((ROW()-160)/2)+1),"")</f>
        <v/>
      </c>
      <c r="C250" s="37" t="str">
        <f t="shared" si="10"/>
        <v/>
      </c>
      <c r="D250" s="26">
        <f>IF($B250="",0,IF($C250="筐子销售款",ROUND(SUMIFS(周转筐出入库明细!$P$4:$P$2004,周转筐出入库明细!$C$4:$C$2004,$B250,周转筐出入库明细!$F$4:$F$2004,"销售出库"),2),ROUND(SUMIFS(包装物料出入库明细!$N$4:$N$2003,包装物料出入库明细!$D$4:$D$2003,$B250,包装物料出入库明细!$H$4:$H$2003,"销售出库"),2)))</f>
        <v>0</v>
      </c>
      <c r="E250" s="26">
        <f>IF($B250="",0,IF($C250="筐子销售款",ROUND(SUMIFS(周转筐出入库明细!$P$4:$P$2004,周转筐出入库明细!$C$4:$C$2004,$B250,周转筐出入库明细!$F$4:$F$2004,"采购入库"),2),ROUND(SUMIFS(包装物料出入库明细!$N$4:$N$2003,包装物料出入库明细!$D$4:$D$2003,$B250,包装物料出入库明细!$H$4:$H$2003,"采购入库"),2)))</f>
        <v>0</v>
      </c>
      <c r="F250" s="24"/>
      <c r="G250" s="26" t="str">
        <f t="shared" si="11"/>
        <v/>
      </c>
      <c r="H250" s="26" t="str">
        <f>IF($B250="","",IF($C250="筐子销售款",ROUND(SUMIFS(周转筐出入库明细!$P$4:$P$2004,周转筐出入库明细!$C$4:$C$2004,$B250,周转筐出入库明细!$F$4:$F$2004,"销售出库",周转筐出入库明细!$Q$4:$Q$2004,"已收讫"),2),ROUND(SUMIFS(包装物料出入库明细!$N$4:$N$2003,包装物料出入库明细!$D$4:$D$2003,$B250,包装物料出入库明细!$H$4:$H$2003,"销售出库",包装物料出入库明细!$P$4:$P$2003,"已收讫"),2)))</f>
        <v/>
      </c>
      <c r="I250" s="27"/>
    </row>
    <row r="251" spans="1:9">
      <c r="A251" s="22" t="str">
        <f t="shared" si="9"/>
        <v/>
      </c>
      <c r="B251" s="37" t="str">
        <f>IFERROR(INDEX(_自动清单!$CL$4:$CL$203,INT((ROW()-160)/2)+1),"")</f>
        <v/>
      </c>
      <c r="C251" s="37" t="str">
        <f t="shared" si="10"/>
        <v/>
      </c>
      <c r="D251" s="26">
        <f>IF($B251="",0,IF($C251="筐子销售款",ROUND(SUMIFS(周转筐出入库明细!$P$4:$P$2004,周转筐出入库明细!$C$4:$C$2004,$B251,周转筐出入库明细!$F$4:$F$2004,"销售出库"),2),ROUND(SUMIFS(包装物料出入库明细!$N$4:$N$2003,包装物料出入库明细!$D$4:$D$2003,$B251,包装物料出入库明细!$H$4:$H$2003,"销售出库"),2)))</f>
        <v>0</v>
      </c>
      <c r="E251" s="26">
        <f>IF($B251="",0,IF($C251="筐子销售款",ROUND(SUMIFS(周转筐出入库明细!$P$4:$P$2004,周转筐出入库明细!$C$4:$C$2004,$B251,周转筐出入库明细!$F$4:$F$2004,"采购入库"),2),ROUND(SUMIFS(包装物料出入库明细!$N$4:$N$2003,包装物料出入库明细!$D$4:$D$2003,$B251,包装物料出入库明细!$H$4:$H$2003,"采购入库"),2)))</f>
        <v>0</v>
      </c>
      <c r="F251" s="24"/>
      <c r="G251" s="26" t="str">
        <f t="shared" si="11"/>
        <v/>
      </c>
      <c r="H251" s="26" t="str">
        <f>IF($B251="","",IF($C251="筐子销售款",ROUND(SUMIFS(周转筐出入库明细!$P$4:$P$2004,周转筐出入库明细!$C$4:$C$2004,$B251,周转筐出入库明细!$F$4:$F$2004,"销售出库",周转筐出入库明细!$Q$4:$Q$2004,"已收讫"),2),ROUND(SUMIFS(包装物料出入库明细!$N$4:$N$2003,包装物料出入库明细!$D$4:$D$2003,$B251,包装物料出入库明细!$H$4:$H$2003,"销售出库",包装物料出入库明细!$P$4:$P$2003,"已收讫"),2)))</f>
        <v/>
      </c>
      <c r="I251" s="27"/>
    </row>
    <row r="252" spans="1:9">
      <c r="A252" s="22" t="str">
        <f t="shared" si="9"/>
        <v/>
      </c>
      <c r="B252" s="37" t="str">
        <f>IFERROR(INDEX(_自动清单!$CL$4:$CL$203,INT((ROW()-160)/2)+1),"")</f>
        <v/>
      </c>
      <c r="C252" s="37" t="str">
        <f t="shared" si="10"/>
        <v/>
      </c>
      <c r="D252" s="26">
        <f>IF($B252="",0,IF($C252="筐子销售款",ROUND(SUMIFS(周转筐出入库明细!$P$4:$P$2004,周转筐出入库明细!$C$4:$C$2004,$B252,周转筐出入库明细!$F$4:$F$2004,"销售出库"),2),ROUND(SUMIFS(包装物料出入库明细!$N$4:$N$2003,包装物料出入库明细!$D$4:$D$2003,$B252,包装物料出入库明细!$H$4:$H$2003,"销售出库"),2)))</f>
        <v>0</v>
      </c>
      <c r="E252" s="26">
        <f>IF($B252="",0,IF($C252="筐子销售款",ROUND(SUMIFS(周转筐出入库明细!$P$4:$P$2004,周转筐出入库明细!$C$4:$C$2004,$B252,周转筐出入库明细!$F$4:$F$2004,"采购入库"),2),ROUND(SUMIFS(包装物料出入库明细!$N$4:$N$2003,包装物料出入库明细!$D$4:$D$2003,$B252,包装物料出入库明细!$H$4:$H$2003,"采购入库"),2)))</f>
        <v>0</v>
      </c>
      <c r="F252" s="24"/>
      <c r="G252" s="26" t="str">
        <f t="shared" si="11"/>
        <v/>
      </c>
      <c r="H252" s="26" t="str">
        <f>IF($B252="","",IF($C252="筐子销售款",ROUND(SUMIFS(周转筐出入库明细!$P$4:$P$2004,周转筐出入库明细!$C$4:$C$2004,$B252,周转筐出入库明细!$F$4:$F$2004,"销售出库",周转筐出入库明细!$Q$4:$Q$2004,"已收讫"),2),ROUND(SUMIFS(包装物料出入库明细!$N$4:$N$2003,包装物料出入库明细!$D$4:$D$2003,$B252,包装物料出入库明细!$H$4:$H$2003,"销售出库",包装物料出入库明细!$P$4:$P$2003,"已收讫"),2)))</f>
        <v/>
      </c>
      <c r="I252" s="27"/>
    </row>
    <row r="253" spans="1:9">
      <c r="A253" s="22" t="str">
        <f t="shared" si="9"/>
        <v/>
      </c>
      <c r="B253" s="37" t="str">
        <f>IFERROR(INDEX(_自动清单!$CL$4:$CL$203,INT((ROW()-160)/2)+1),"")</f>
        <v/>
      </c>
      <c r="C253" s="37" t="str">
        <f t="shared" si="10"/>
        <v/>
      </c>
      <c r="D253" s="26">
        <f>IF($B253="",0,IF($C253="筐子销售款",ROUND(SUMIFS(周转筐出入库明细!$P$4:$P$2004,周转筐出入库明细!$C$4:$C$2004,$B253,周转筐出入库明细!$F$4:$F$2004,"销售出库"),2),ROUND(SUMIFS(包装物料出入库明细!$N$4:$N$2003,包装物料出入库明细!$D$4:$D$2003,$B253,包装物料出入库明细!$H$4:$H$2003,"销售出库"),2)))</f>
        <v>0</v>
      </c>
      <c r="E253" s="26">
        <f>IF($B253="",0,IF($C253="筐子销售款",ROUND(SUMIFS(周转筐出入库明细!$P$4:$P$2004,周转筐出入库明细!$C$4:$C$2004,$B253,周转筐出入库明细!$F$4:$F$2004,"采购入库"),2),ROUND(SUMIFS(包装物料出入库明细!$N$4:$N$2003,包装物料出入库明细!$D$4:$D$2003,$B253,包装物料出入库明细!$H$4:$H$2003,"采购入库"),2)))</f>
        <v>0</v>
      </c>
      <c r="F253" s="24"/>
      <c r="G253" s="26" t="str">
        <f t="shared" si="11"/>
        <v/>
      </c>
      <c r="H253" s="26" t="str">
        <f>IF($B253="","",IF($C253="筐子销售款",ROUND(SUMIFS(周转筐出入库明细!$P$4:$P$2004,周转筐出入库明细!$C$4:$C$2004,$B253,周转筐出入库明细!$F$4:$F$2004,"销售出库",周转筐出入库明细!$Q$4:$Q$2004,"已收讫"),2),ROUND(SUMIFS(包装物料出入库明细!$N$4:$N$2003,包装物料出入库明细!$D$4:$D$2003,$B253,包装物料出入库明细!$H$4:$H$2003,"销售出库",包装物料出入库明细!$P$4:$P$2003,"已收讫"),2)))</f>
        <v/>
      </c>
      <c r="I253" s="27"/>
    </row>
    <row r="254" spans="1:9">
      <c r="A254" s="22" t="str">
        <f t="shared" si="9"/>
        <v/>
      </c>
      <c r="B254" s="37" t="str">
        <f>IFERROR(INDEX(_自动清单!$CL$4:$CL$203,INT((ROW()-160)/2)+1),"")</f>
        <v/>
      </c>
      <c r="C254" s="37" t="str">
        <f t="shared" si="10"/>
        <v/>
      </c>
      <c r="D254" s="26">
        <f>IF($B254="",0,IF($C254="筐子销售款",ROUND(SUMIFS(周转筐出入库明细!$P$4:$P$2004,周转筐出入库明细!$C$4:$C$2004,$B254,周转筐出入库明细!$F$4:$F$2004,"销售出库"),2),ROUND(SUMIFS(包装物料出入库明细!$N$4:$N$2003,包装物料出入库明细!$D$4:$D$2003,$B254,包装物料出入库明细!$H$4:$H$2003,"销售出库"),2)))</f>
        <v>0</v>
      </c>
      <c r="E254" s="26">
        <f>IF($B254="",0,IF($C254="筐子销售款",ROUND(SUMIFS(周转筐出入库明细!$P$4:$P$2004,周转筐出入库明细!$C$4:$C$2004,$B254,周转筐出入库明细!$F$4:$F$2004,"采购入库"),2),ROUND(SUMIFS(包装物料出入库明细!$N$4:$N$2003,包装物料出入库明细!$D$4:$D$2003,$B254,包装物料出入库明细!$H$4:$H$2003,"采购入库"),2)))</f>
        <v>0</v>
      </c>
      <c r="F254" s="24"/>
      <c r="G254" s="26" t="str">
        <f t="shared" si="11"/>
        <v/>
      </c>
      <c r="H254" s="26" t="str">
        <f>IF($B254="","",IF($C254="筐子销售款",ROUND(SUMIFS(周转筐出入库明细!$P$4:$P$2004,周转筐出入库明细!$C$4:$C$2004,$B254,周转筐出入库明细!$F$4:$F$2004,"销售出库",周转筐出入库明细!$Q$4:$Q$2004,"已收讫"),2),ROUND(SUMIFS(包装物料出入库明细!$N$4:$N$2003,包装物料出入库明细!$D$4:$D$2003,$B254,包装物料出入库明细!$H$4:$H$2003,"销售出库",包装物料出入库明细!$P$4:$P$2003,"已收讫"),2)))</f>
        <v/>
      </c>
      <c r="I254" s="27"/>
    </row>
    <row r="255" spans="1:9">
      <c r="A255" s="22" t="str">
        <f t="shared" si="9"/>
        <v/>
      </c>
      <c r="B255" s="37" t="str">
        <f>IFERROR(INDEX(_自动清单!$CL$4:$CL$203,INT((ROW()-160)/2)+1),"")</f>
        <v/>
      </c>
      <c r="C255" s="37" t="str">
        <f t="shared" si="10"/>
        <v/>
      </c>
      <c r="D255" s="26">
        <f>IF($B255="",0,IF($C255="筐子销售款",ROUND(SUMIFS(周转筐出入库明细!$P$4:$P$2004,周转筐出入库明细!$C$4:$C$2004,$B255,周转筐出入库明细!$F$4:$F$2004,"销售出库"),2),ROUND(SUMIFS(包装物料出入库明细!$N$4:$N$2003,包装物料出入库明细!$D$4:$D$2003,$B255,包装物料出入库明细!$H$4:$H$2003,"销售出库"),2)))</f>
        <v>0</v>
      </c>
      <c r="E255" s="26">
        <f>IF($B255="",0,IF($C255="筐子销售款",ROUND(SUMIFS(周转筐出入库明细!$P$4:$P$2004,周转筐出入库明细!$C$4:$C$2004,$B255,周转筐出入库明细!$F$4:$F$2004,"采购入库"),2),ROUND(SUMIFS(包装物料出入库明细!$N$4:$N$2003,包装物料出入库明细!$D$4:$D$2003,$B255,包装物料出入库明细!$H$4:$H$2003,"采购入库"),2)))</f>
        <v>0</v>
      </c>
      <c r="F255" s="24"/>
      <c r="G255" s="26" t="str">
        <f t="shared" si="11"/>
        <v/>
      </c>
      <c r="H255" s="26" t="str">
        <f>IF($B255="","",IF($C255="筐子销售款",ROUND(SUMIFS(周转筐出入库明细!$P$4:$P$2004,周转筐出入库明细!$C$4:$C$2004,$B255,周转筐出入库明细!$F$4:$F$2004,"销售出库",周转筐出入库明细!$Q$4:$Q$2004,"已收讫"),2),ROUND(SUMIFS(包装物料出入库明细!$N$4:$N$2003,包装物料出入库明细!$D$4:$D$2003,$B255,包装物料出入库明细!$H$4:$H$2003,"销售出库",包装物料出入库明细!$P$4:$P$2003,"已收讫"),2)))</f>
        <v/>
      </c>
      <c r="I255" s="27"/>
    </row>
    <row r="256" spans="1:9">
      <c r="A256" s="22" t="str">
        <f t="shared" si="9"/>
        <v/>
      </c>
      <c r="B256" s="37" t="str">
        <f>IFERROR(INDEX(_自动清单!$CL$4:$CL$203,INT((ROW()-160)/2)+1),"")</f>
        <v/>
      </c>
      <c r="C256" s="37" t="str">
        <f t="shared" si="10"/>
        <v/>
      </c>
      <c r="D256" s="26">
        <f>IF($B256="",0,IF($C256="筐子销售款",ROUND(SUMIFS(周转筐出入库明细!$P$4:$P$2004,周转筐出入库明细!$C$4:$C$2004,$B256,周转筐出入库明细!$F$4:$F$2004,"销售出库"),2),ROUND(SUMIFS(包装物料出入库明细!$N$4:$N$2003,包装物料出入库明细!$D$4:$D$2003,$B256,包装物料出入库明细!$H$4:$H$2003,"销售出库"),2)))</f>
        <v>0</v>
      </c>
      <c r="E256" s="26">
        <f>IF($B256="",0,IF($C256="筐子销售款",ROUND(SUMIFS(周转筐出入库明细!$P$4:$P$2004,周转筐出入库明细!$C$4:$C$2004,$B256,周转筐出入库明细!$F$4:$F$2004,"采购入库"),2),ROUND(SUMIFS(包装物料出入库明细!$N$4:$N$2003,包装物料出入库明细!$D$4:$D$2003,$B256,包装物料出入库明细!$H$4:$H$2003,"采购入库"),2)))</f>
        <v>0</v>
      </c>
      <c r="F256" s="24"/>
      <c r="G256" s="26" t="str">
        <f t="shared" si="11"/>
        <v/>
      </c>
      <c r="H256" s="26" t="str">
        <f>IF($B256="","",IF($C256="筐子销售款",ROUND(SUMIFS(周转筐出入库明细!$P$4:$P$2004,周转筐出入库明细!$C$4:$C$2004,$B256,周转筐出入库明细!$F$4:$F$2004,"销售出库",周转筐出入库明细!$Q$4:$Q$2004,"已收讫"),2),ROUND(SUMIFS(包装物料出入库明细!$N$4:$N$2003,包装物料出入库明细!$D$4:$D$2003,$B256,包装物料出入库明细!$H$4:$H$2003,"销售出库",包装物料出入库明细!$P$4:$P$2003,"已收讫"),2)))</f>
        <v/>
      </c>
      <c r="I256" s="27"/>
    </row>
    <row r="257" spans="1:9">
      <c r="A257" s="22" t="str">
        <f t="shared" si="9"/>
        <v/>
      </c>
      <c r="B257" s="37" t="str">
        <f>IFERROR(INDEX(_自动清单!$CL$4:$CL$203,INT((ROW()-160)/2)+1),"")</f>
        <v/>
      </c>
      <c r="C257" s="37" t="str">
        <f t="shared" si="10"/>
        <v/>
      </c>
      <c r="D257" s="26">
        <f>IF($B257="",0,IF($C257="筐子销售款",ROUND(SUMIFS(周转筐出入库明细!$P$4:$P$2004,周转筐出入库明细!$C$4:$C$2004,$B257,周转筐出入库明细!$F$4:$F$2004,"销售出库"),2),ROUND(SUMIFS(包装物料出入库明细!$N$4:$N$2003,包装物料出入库明细!$D$4:$D$2003,$B257,包装物料出入库明细!$H$4:$H$2003,"销售出库"),2)))</f>
        <v>0</v>
      </c>
      <c r="E257" s="26">
        <f>IF($B257="",0,IF($C257="筐子销售款",ROUND(SUMIFS(周转筐出入库明细!$P$4:$P$2004,周转筐出入库明细!$C$4:$C$2004,$B257,周转筐出入库明细!$F$4:$F$2004,"采购入库"),2),ROUND(SUMIFS(包装物料出入库明细!$N$4:$N$2003,包装物料出入库明细!$D$4:$D$2003,$B257,包装物料出入库明细!$H$4:$H$2003,"采购入库"),2)))</f>
        <v>0</v>
      </c>
      <c r="F257" s="24"/>
      <c r="G257" s="26" t="str">
        <f t="shared" si="11"/>
        <v/>
      </c>
      <c r="H257" s="26" t="str">
        <f>IF($B257="","",IF($C257="筐子销售款",ROUND(SUMIFS(周转筐出入库明细!$P$4:$P$2004,周转筐出入库明细!$C$4:$C$2004,$B257,周转筐出入库明细!$F$4:$F$2004,"销售出库",周转筐出入库明细!$Q$4:$Q$2004,"已收讫"),2),ROUND(SUMIFS(包装物料出入库明细!$N$4:$N$2003,包装物料出入库明细!$D$4:$D$2003,$B257,包装物料出入库明细!$H$4:$H$2003,"销售出库",包装物料出入库明细!$P$4:$P$2003,"已收讫"),2)))</f>
        <v/>
      </c>
      <c r="I257" s="27"/>
    </row>
    <row r="258" spans="1:9">
      <c r="A258" s="22" t="str">
        <f t="shared" si="9"/>
        <v/>
      </c>
      <c r="B258" s="37" t="str">
        <f>IFERROR(INDEX(_自动清单!$CL$4:$CL$203,INT((ROW()-160)/2)+1),"")</f>
        <v/>
      </c>
      <c r="C258" s="37" t="str">
        <f t="shared" si="10"/>
        <v/>
      </c>
      <c r="D258" s="26">
        <f>IF($B258="",0,IF($C258="筐子销售款",ROUND(SUMIFS(周转筐出入库明细!$P$4:$P$2004,周转筐出入库明细!$C$4:$C$2004,$B258,周转筐出入库明细!$F$4:$F$2004,"销售出库"),2),ROUND(SUMIFS(包装物料出入库明细!$N$4:$N$2003,包装物料出入库明细!$D$4:$D$2003,$B258,包装物料出入库明细!$H$4:$H$2003,"销售出库"),2)))</f>
        <v>0</v>
      </c>
      <c r="E258" s="26">
        <f>IF($B258="",0,IF($C258="筐子销售款",ROUND(SUMIFS(周转筐出入库明细!$P$4:$P$2004,周转筐出入库明细!$C$4:$C$2004,$B258,周转筐出入库明细!$F$4:$F$2004,"采购入库"),2),ROUND(SUMIFS(包装物料出入库明细!$N$4:$N$2003,包装物料出入库明细!$D$4:$D$2003,$B258,包装物料出入库明细!$H$4:$H$2003,"采购入库"),2)))</f>
        <v>0</v>
      </c>
      <c r="F258" s="24"/>
      <c r="G258" s="26" t="str">
        <f t="shared" si="11"/>
        <v/>
      </c>
      <c r="H258" s="26" t="str">
        <f>IF($B258="","",IF($C258="筐子销售款",ROUND(SUMIFS(周转筐出入库明细!$P$4:$P$2004,周转筐出入库明细!$C$4:$C$2004,$B258,周转筐出入库明细!$F$4:$F$2004,"销售出库",周转筐出入库明细!$Q$4:$Q$2004,"已收讫"),2),ROUND(SUMIFS(包装物料出入库明细!$N$4:$N$2003,包装物料出入库明细!$D$4:$D$2003,$B258,包装物料出入库明细!$H$4:$H$2003,"销售出库",包装物料出入库明细!$P$4:$P$2003,"已收讫"),2)))</f>
        <v/>
      </c>
      <c r="I258" s="27"/>
    </row>
    <row r="259" spans="1:9">
      <c r="A259" s="22" t="str">
        <f t="shared" si="9"/>
        <v/>
      </c>
      <c r="B259" s="37" t="str">
        <f>IFERROR(INDEX(_自动清单!$CL$4:$CL$203,INT((ROW()-160)/2)+1),"")</f>
        <v/>
      </c>
      <c r="C259" s="37" t="str">
        <f t="shared" si="10"/>
        <v/>
      </c>
      <c r="D259" s="26">
        <f>IF($B259="",0,IF($C259="筐子销售款",ROUND(SUMIFS(周转筐出入库明细!$P$4:$P$2004,周转筐出入库明细!$C$4:$C$2004,$B259,周转筐出入库明细!$F$4:$F$2004,"销售出库"),2),ROUND(SUMIFS(包装物料出入库明细!$N$4:$N$2003,包装物料出入库明细!$D$4:$D$2003,$B259,包装物料出入库明细!$H$4:$H$2003,"销售出库"),2)))</f>
        <v>0</v>
      </c>
      <c r="E259" s="26">
        <f>IF($B259="",0,IF($C259="筐子销售款",ROUND(SUMIFS(周转筐出入库明细!$P$4:$P$2004,周转筐出入库明细!$C$4:$C$2004,$B259,周转筐出入库明细!$F$4:$F$2004,"采购入库"),2),ROUND(SUMIFS(包装物料出入库明细!$N$4:$N$2003,包装物料出入库明细!$D$4:$D$2003,$B259,包装物料出入库明细!$H$4:$H$2003,"采购入库"),2)))</f>
        <v>0</v>
      </c>
      <c r="F259" s="24"/>
      <c r="G259" s="26" t="str">
        <f t="shared" si="11"/>
        <v/>
      </c>
      <c r="H259" s="26" t="str">
        <f>IF($B259="","",IF($C259="筐子销售款",ROUND(SUMIFS(周转筐出入库明细!$P$4:$P$2004,周转筐出入库明细!$C$4:$C$2004,$B259,周转筐出入库明细!$F$4:$F$2004,"销售出库",周转筐出入库明细!$Q$4:$Q$2004,"已收讫"),2),ROUND(SUMIFS(包装物料出入库明细!$N$4:$N$2003,包装物料出入库明细!$D$4:$D$2003,$B259,包装物料出入库明细!$H$4:$H$2003,"销售出库",包装物料出入库明细!$P$4:$P$2003,"已收讫"),2)))</f>
        <v/>
      </c>
      <c r="I259" s="27"/>
    </row>
    <row r="260" spans="1:9">
      <c r="A260" s="22" t="str">
        <f t="shared" si="9"/>
        <v/>
      </c>
      <c r="B260" s="37" t="str">
        <f>IFERROR(INDEX(_自动清单!$CL$4:$CL$203,INT((ROW()-160)/2)+1),"")</f>
        <v/>
      </c>
      <c r="C260" s="37" t="str">
        <f t="shared" si="10"/>
        <v/>
      </c>
      <c r="D260" s="26">
        <f>IF($B260="",0,IF($C260="筐子销售款",ROUND(SUMIFS(周转筐出入库明细!$P$4:$P$2004,周转筐出入库明细!$C$4:$C$2004,$B260,周转筐出入库明细!$F$4:$F$2004,"销售出库"),2),ROUND(SUMIFS(包装物料出入库明细!$N$4:$N$2003,包装物料出入库明细!$D$4:$D$2003,$B260,包装物料出入库明细!$H$4:$H$2003,"销售出库"),2)))</f>
        <v>0</v>
      </c>
      <c r="E260" s="26">
        <f>IF($B260="",0,IF($C260="筐子销售款",ROUND(SUMIFS(周转筐出入库明细!$P$4:$P$2004,周转筐出入库明细!$C$4:$C$2004,$B260,周转筐出入库明细!$F$4:$F$2004,"采购入库"),2),ROUND(SUMIFS(包装物料出入库明细!$N$4:$N$2003,包装物料出入库明细!$D$4:$D$2003,$B260,包装物料出入库明细!$H$4:$H$2003,"采购入库"),2)))</f>
        <v>0</v>
      </c>
      <c r="F260" s="24"/>
      <c r="G260" s="26" t="str">
        <f t="shared" si="11"/>
        <v/>
      </c>
      <c r="H260" s="26" t="str">
        <f>IF($B260="","",IF($C260="筐子销售款",ROUND(SUMIFS(周转筐出入库明细!$P$4:$P$2004,周转筐出入库明细!$C$4:$C$2004,$B260,周转筐出入库明细!$F$4:$F$2004,"销售出库",周转筐出入库明细!$Q$4:$Q$2004,"已收讫"),2),ROUND(SUMIFS(包装物料出入库明细!$N$4:$N$2003,包装物料出入库明细!$D$4:$D$2003,$B260,包装物料出入库明细!$H$4:$H$2003,"销售出库",包装物料出入库明细!$P$4:$P$2003,"已收讫"),2)))</f>
        <v/>
      </c>
      <c r="I260" s="27"/>
    </row>
    <row r="261" spans="1:9">
      <c r="A261" s="22" t="str">
        <f t="shared" si="9"/>
        <v/>
      </c>
      <c r="B261" s="37" t="str">
        <f>IFERROR(INDEX(_自动清单!$CL$4:$CL$203,INT((ROW()-160)/2)+1),"")</f>
        <v/>
      </c>
      <c r="C261" s="37" t="str">
        <f t="shared" si="10"/>
        <v/>
      </c>
      <c r="D261" s="26">
        <f>IF($B261="",0,IF($C261="筐子销售款",ROUND(SUMIFS(周转筐出入库明细!$P$4:$P$2004,周转筐出入库明细!$C$4:$C$2004,$B261,周转筐出入库明细!$F$4:$F$2004,"销售出库"),2),ROUND(SUMIFS(包装物料出入库明细!$N$4:$N$2003,包装物料出入库明细!$D$4:$D$2003,$B261,包装物料出入库明细!$H$4:$H$2003,"销售出库"),2)))</f>
        <v>0</v>
      </c>
      <c r="E261" s="26">
        <f>IF($B261="",0,IF($C261="筐子销售款",ROUND(SUMIFS(周转筐出入库明细!$P$4:$P$2004,周转筐出入库明细!$C$4:$C$2004,$B261,周转筐出入库明细!$F$4:$F$2004,"采购入库"),2),ROUND(SUMIFS(包装物料出入库明细!$N$4:$N$2003,包装物料出入库明细!$D$4:$D$2003,$B261,包装物料出入库明细!$H$4:$H$2003,"采购入库"),2)))</f>
        <v>0</v>
      </c>
      <c r="F261" s="24"/>
      <c r="G261" s="26" t="str">
        <f t="shared" si="11"/>
        <v/>
      </c>
      <c r="H261" s="26" t="str">
        <f>IF($B261="","",IF($C261="筐子销售款",ROUND(SUMIFS(周转筐出入库明细!$P$4:$P$2004,周转筐出入库明细!$C$4:$C$2004,$B261,周转筐出入库明细!$F$4:$F$2004,"销售出库",周转筐出入库明细!$Q$4:$Q$2004,"已收讫"),2),ROUND(SUMIFS(包装物料出入库明细!$N$4:$N$2003,包装物料出入库明细!$D$4:$D$2003,$B261,包装物料出入库明细!$H$4:$H$2003,"销售出库",包装物料出入库明细!$P$4:$P$2003,"已收讫"),2)))</f>
        <v/>
      </c>
      <c r="I261" s="27"/>
    </row>
    <row r="262" spans="1:9">
      <c r="A262" s="22" t="str">
        <f t="shared" si="9"/>
        <v/>
      </c>
      <c r="B262" s="37" t="str">
        <f>IFERROR(INDEX(_自动清单!$CL$4:$CL$203,INT((ROW()-160)/2)+1),"")</f>
        <v/>
      </c>
      <c r="C262" s="37" t="str">
        <f t="shared" si="10"/>
        <v/>
      </c>
      <c r="D262" s="26">
        <f>IF($B262="",0,IF($C262="筐子销售款",ROUND(SUMIFS(周转筐出入库明细!$P$4:$P$2004,周转筐出入库明细!$C$4:$C$2004,$B262,周转筐出入库明细!$F$4:$F$2004,"销售出库"),2),ROUND(SUMIFS(包装物料出入库明细!$N$4:$N$2003,包装物料出入库明细!$D$4:$D$2003,$B262,包装物料出入库明细!$H$4:$H$2003,"销售出库"),2)))</f>
        <v>0</v>
      </c>
      <c r="E262" s="26">
        <f>IF($B262="",0,IF($C262="筐子销售款",ROUND(SUMIFS(周转筐出入库明细!$P$4:$P$2004,周转筐出入库明细!$C$4:$C$2004,$B262,周转筐出入库明细!$F$4:$F$2004,"采购入库"),2),ROUND(SUMIFS(包装物料出入库明细!$N$4:$N$2003,包装物料出入库明细!$D$4:$D$2003,$B262,包装物料出入库明细!$H$4:$H$2003,"采购入库"),2)))</f>
        <v>0</v>
      </c>
      <c r="F262" s="24"/>
      <c r="G262" s="26" t="str">
        <f t="shared" si="11"/>
        <v/>
      </c>
      <c r="H262" s="26" t="str">
        <f>IF($B262="","",IF($C262="筐子销售款",ROUND(SUMIFS(周转筐出入库明细!$P$4:$P$2004,周转筐出入库明细!$C$4:$C$2004,$B262,周转筐出入库明细!$F$4:$F$2004,"销售出库",周转筐出入库明细!$Q$4:$Q$2004,"已收讫"),2),ROUND(SUMIFS(包装物料出入库明细!$N$4:$N$2003,包装物料出入库明细!$D$4:$D$2003,$B262,包装物料出入库明细!$H$4:$H$2003,"销售出库",包装物料出入库明细!$P$4:$P$2003,"已收讫"),2)))</f>
        <v/>
      </c>
      <c r="I262" s="27"/>
    </row>
    <row r="263" spans="1:9">
      <c r="A263" s="22" t="str">
        <f t="shared" si="9"/>
        <v/>
      </c>
      <c r="B263" s="37" t="str">
        <f>IFERROR(INDEX(_自动清单!$CL$4:$CL$203,INT((ROW()-160)/2)+1),"")</f>
        <v/>
      </c>
      <c r="C263" s="37" t="str">
        <f t="shared" si="10"/>
        <v/>
      </c>
      <c r="D263" s="26">
        <f>IF($B263="",0,IF($C263="筐子销售款",ROUND(SUMIFS(周转筐出入库明细!$P$4:$P$2004,周转筐出入库明细!$C$4:$C$2004,$B263,周转筐出入库明细!$F$4:$F$2004,"销售出库"),2),ROUND(SUMIFS(包装物料出入库明细!$N$4:$N$2003,包装物料出入库明细!$D$4:$D$2003,$B263,包装物料出入库明细!$H$4:$H$2003,"销售出库"),2)))</f>
        <v>0</v>
      </c>
      <c r="E263" s="26">
        <f>IF($B263="",0,IF($C263="筐子销售款",ROUND(SUMIFS(周转筐出入库明细!$P$4:$P$2004,周转筐出入库明细!$C$4:$C$2004,$B263,周转筐出入库明细!$F$4:$F$2004,"采购入库"),2),ROUND(SUMIFS(包装物料出入库明细!$N$4:$N$2003,包装物料出入库明细!$D$4:$D$2003,$B263,包装物料出入库明细!$H$4:$H$2003,"采购入库"),2)))</f>
        <v>0</v>
      </c>
      <c r="F263" s="24"/>
      <c r="G263" s="26" t="str">
        <f t="shared" si="11"/>
        <v/>
      </c>
      <c r="H263" s="26" t="str">
        <f>IF($B263="","",IF($C263="筐子销售款",ROUND(SUMIFS(周转筐出入库明细!$P$4:$P$2004,周转筐出入库明细!$C$4:$C$2004,$B263,周转筐出入库明细!$F$4:$F$2004,"销售出库",周转筐出入库明细!$Q$4:$Q$2004,"已收讫"),2),ROUND(SUMIFS(包装物料出入库明细!$N$4:$N$2003,包装物料出入库明细!$D$4:$D$2003,$B263,包装物料出入库明细!$H$4:$H$2003,"销售出库",包装物料出入库明细!$P$4:$P$2003,"已收讫"),2)))</f>
        <v/>
      </c>
      <c r="I263" s="27"/>
    </row>
    <row r="264" spans="1:9">
      <c r="A264" s="22" t="str">
        <f t="shared" si="9"/>
        <v/>
      </c>
      <c r="B264" s="37" t="str">
        <f>IFERROR(INDEX(_自动清单!$CL$4:$CL$203,INT((ROW()-160)/2)+1),"")</f>
        <v/>
      </c>
      <c r="C264" s="37" t="str">
        <f t="shared" si="10"/>
        <v/>
      </c>
      <c r="D264" s="26">
        <f>IF($B264="",0,IF($C264="筐子销售款",ROUND(SUMIFS(周转筐出入库明细!$P$4:$P$2004,周转筐出入库明细!$C$4:$C$2004,$B264,周转筐出入库明细!$F$4:$F$2004,"销售出库"),2),ROUND(SUMIFS(包装物料出入库明细!$N$4:$N$2003,包装物料出入库明细!$D$4:$D$2003,$B264,包装物料出入库明细!$H$4:$H$2003,"销售出库"),2)))</f>
        <v>0</v>
      </c>
      <c r="E264" s="26">
        <f>IF($B264="",0,IF($C264="筐子销售款",ROUND(SUMIFS(周转筐出入库明细!$P$4:$P$2004,周转筐出入库明细!$C$4:$C$2004,$B264,周转筐出入库明细!$F$4:$F$2004,"采购入库"),2),ROUND(SUMIFS(包装物料出入库明细!$N$4:$N$2003,包装物料出入库明细!$D$4:$D$2003,$B264,包装物料出入库明细!$H$4:$H$2003,"采购入库"),2)))</f>
        <v>0</v>
      </c>
      <c r="F264" s="24"/>
      <c r="G264" s="26" t="str">
        <f t="shared" si="11"/>
        <v/>
      </c>
      <c r="H264" s="26" t="str">
        <f>IF($B264="","",IF($C264="筐子销售款",ROUND(SUMIFS(周转筐出入库明细!$P$4:$P$2004,周转筐出入库明细!$C$4:$C$2004,$B264,周转筐出入库明细!$F$4:$F$2004,"销售出库",周转筐出入库明细!$Q$4:$Q$2004,"已收讫"),2),ROUND(SUMIFS(包装物料出入库明细!$N$4:$N$2003,包装物料出入库明细!$D$4:$D$2003,$B264,包装物料出入库明细!$H$4:$H$2003,"销售出库",包装物料出入库明细!$P$4:$P$2003,"已收讫"),2)))</f>
        <v/>
      </c>
      <c r="I264" s="27"/>
    </row>
    <row r="265" spans="1:9">
      <c r="A265" s="22" t="str">
        <f t="shared" si="9"/>
        <v/>
      </c>
      <c r="B265" s="37" t="str">
        <f>IFERROR(INDEX(_自动清单!$CL$4:$CL$203,INT((ROW()-160)/2)+1),"")</f>
        <v/>
      </c>
      <c r="C265" s="37" t="str">
        <f t="shared" si="10"/>
        <v/>
      </c>
      <c r="D265" s="26">
        <f>IF($B265="",0,IF($C265="筐子销售款",ROUND(SUMIFS(周转筐出入库明细!$P$4:$P$2004,周转筐出入库明细!$C$4:$C$2004,$B265,周转筐出入库明细!$F$4:$F$2004,"销售出库"),2),ROUND(SUMIFS(包装物料出入库明细!$N$4:$N$2003,包装物料出入库明细!$D$4:$D$2003,$B265,包装物料出入库明细!$H$4:$H$2003,"销售出库"),2)))</f>
        <v>0</v>
      </c>
      <c r="E265" s="26">
        <f>IF($B265="",0,IF($C265="筐子销售款",ROUND(SUMIFS(周转筐出入库明细!$P$4:$P$2004,周转筐出入库明细!$C$4:$C$2004,$B265,周转筐出入库明细!$F$4:$F$2004,"采购入库"),2),ROUND(SUMIFS(包装物料出入库明细!$N$4:$N$2003,包装物料出入库明细!$D$4:$D$2003,$B265,包装物料出入库明细!$H$4:$H$2003,"采购入库"),2)))</f>
        <v>0</v>
      </c>
      <c r="F265" s="24"/>
      <c r="G265" s="26" t="str">
        <f t="shared" si="11"/>
        <v/>
      </c>
      <c r="H265" s="26" t="str">
        <f>IF($B265="","",IF($C265="筐子销售款",ROUND(SUMIFS(周转筐出入库明细!$P$4:$P$2004,周转筐出入库明细!$C$4:$C$2004,$B265,周转筐出入库明细!$F$4:$F$2004,"销售出库",周转筐出入库明细!$Q$4:$Q$2004,"已收讫"),2),ROUND(SUMIFS(包装物料出入库明细!$N$4:$N$2003,包装物料出入库明细!$D$4:$D$2003,$B265,包装物料出入库明细!$H$4:$H$2003,"销售出库",包装物料出入库明细!$P$4:$P$2003,"已收讫"),2)))</f>
        <v/>
      </c>
      <c r="I265" s="27"/>
    </row>
    <row r="266" spans="1:9">
      <c r="A266" s="22" t="str">
        <f t="shared" si="9"/>
        <v/>
      </c>
      <c r="B266" s="37" t="str">
        <f>IFERROR(INDEX(_自动清单!$CL$4:$CL$203,INT((ROW()-160)/2)+1),"")</f>
        <v/>
      </c>
      <c r="C266" s="37" t="str">
        <f t="shared" si="10"/>
        <v/>
      </c>
      <c r="D266" s="26">
        <f>IF($B266="",0,IF($C266="筐子销售款",ROUND(SUMIFS(周转筐出入库明细!$P$4:$P$2004,周转筐出入库明细!$C$4:$C$2004,$B266,周转筐出入库明细!$F$4:$F$2004,"销售出库"),2),ROUND(SUMIFS(包装物料出入库明细!$N$4:$N$2003,包装物料出入库明细!$D$4:$D$2003,$B266,包装物料出入库明细!$H$4:$H$2003,"销售出库"),2)))</f>
        <v>0</v>
      </c>
      <c r="E266" s="26">
        <f>IF($B266="",0,IF($C266="筐子销售款",ROUND(SUMIFS(周转筐出入库明细!$P$4:$P$2004,周转筐出入库明细!$C$4:$C$2004,$B266,周转筐出入库明细!$F$4:$F$2004,"采购入库"),2),ROUND(SUMIFS(包装物料出入库明细!$N$4:$N$2003,包装物料出入库明细!$D$4:$D$2003,$B266,包装物料出入库明细!$H$4:$H$2003,"采购入库"),2)))</f>
        <v>0</v>
      </c>
      <c r="F266" s="24"/>
      <c r="G266" s="26" t="str">
        <f t="shared" si="11"/>
        <v/>
      </c>
      <c r="H266" s="26" t="str">
        <f>IF($B266="","",IF($C266="筐子销售款",ROUND(SUMIFS(周转筐出入库明细!$P$4:$P$2004,周转筐出入库明细!$C$4:$C$2004,$B266,周转筐出入库明细!$F$4:$F$2004,"销售出库",周转筐出入库明细!$Q$4:$Q$2004,"已收讫"),2),ROUND(SUMIFS(包装物料出入库明细!$N$4:$N$2003,包装物料出入库明细!$D$4:$D$2003,$B266,包装物料出入库明细!$H$4:$H$2003,"销售出库",包装物料出入库明细!$P$4:$P$2003,"已收讫"),2)))</f>
        <v/>
      </c>
      <c r="I266" s="27"/>
    </row>
    <row r="267" spans="1:9">
      <c r="A267" s="22" t="str">
        <f t="shared" si="9"/>
        <v/>
      </c>
      <c r="B267" s="37" t="str">
        <f>IFERROR(INDEX(_自动清单!$CL$4:$CL$203,INT((ROW()-160)/2)+1),"")</f>
        <v/>
      </c>
      <c r="C267" s="37" t="str">
        <f t="shared" si="10"/>
        <v/>
      </c>
      <c r="D267" s="26">
        <f>IF($B267="",0,IF($C267="筐子销售款",ROUND(SUMIFS(周转筐出入库明细!$P$4:$P$2004,周转筐出入库明细!$C$4:$C$2004,$B267,周转筐出入库明细!$F$4:$F$2004,"销售出库"),2),ROUND(SUMIFS(包装物料出入库明细!$N$4:$N$2003,包装物料出入库明细!$D$4:$D$2003,$B267,包装物料出入库明细!$H$4:$H$2003,"销售出库"),2)))</f>
        <v>0</v>
      </c>
      <c r="E267" s="26">
        <f>IF($B267="",0,IF($C267="筐子销售款",ROUND(SUMIFS(周转筐出入库明细!$P$4:$P$2004,周转筐出入库明细!$C$4:$C$2004,$B267,周转筐出入库明细!$F$4:$F$2004,"采购入库"),2),ROUND(SUMIFS(包装物料出入库明细!$N$4:$N$2003,包装物料出入库明细!$D$4:$D$2003,$B267,包装物料出入库明细!$H$4:$H$2003,"采购入库"),2)))</f>
        <v>0</v>
      </c>
      <c r="F267" s="24"/>
      <c r="G267" s="26" t="str">
        <f t="shared" si="11"/>
        <v/>
      </c>
      <c r="H267" s="26" t="str">
        <f>IF($B267="","",IF($C267="筐子销售款",ROUND(SUMIFS(周转筐出入库明细!$P$4:$P$2004,周转筐出入库明细!$C$4:$C$2004,$B267,周转筐出入库明细!$F$4:$F$2004,"销售出库",周转筐出入库明细!$Q$4:$Q$2004,"已收讫"),2),ROUND(SUMIFS(包装物料出入库明细!$N$4:$N$2003,包装物料出入库明细!$D$4:$D$2003,$B267,包装物料出入库明细!$H$4:$H$2003,"销售出库",包装物料出入库明细!$P$4:$P$2003,"已收讫"),2)))</f>
        <v/>
      </c>
      <c r="I267" s="27"/>
    </row>
    <row r="268" spans="1:9">
      <c r="A268" s="22" t="str">
        <f t="shared" si="9"/>
        <v/>
      </c>
      <c r="B268" s="37" t="str">
        <f>IFERROR(INDEX(_自动清单!$CL$4:$CL$203,INT((ROW()-160)/2)+1),"")</f>
        <v/>
      </c>
      <c r="C268" s="37" t="str">
        <f t="shared" si="10"/>
        <v/>
      </c>
      <c r="D268" s="26">
        <f>IF($B268="",0,IF($C268="筐子销售款",ROUND(SUMIFS(周转筐出入库明细!$P$4:$P$2004,周转筐出入库明细!$C$4:$C$2004,$B268,周转筐出入库明细!$F$4:$F$2004,"销售出库"),2),ROUND(SUMIFS(包装物料出入库明细!$N$4:$N$2003,包装物料出入库明细!$D$4:$D$2003,$B268,包装物料出入库明细!$H$4:$H$2003,"销售出库"),2)))</f>
        <v>0</v>
      </c>
      <c r="E268" s="26">
        <f>IF($B268="",0,IF($C268="筐子销售款",ROUND(SUMIFS(周转筐出入库明细!$P$4:$P$2004,周转筐出入库明细!$C$4:$C$2004,$B268,周转筐出入库明细!$F$4:$F$2004,"采购入库"),2),ROUND(SUMIFS(包装物料出入库明细!$N$4:$N$2003,包装物料出入库明细!$D$4:$D$2003,$B268,包装物料出入库明细!$H$4:$H$2003,"采购入库"),2)))</f>
        <v>0</v>
      </c>
      <c r="F268" s="24"/>
      <c r="G268" s="26" t="str">
        <f t="shared" si="11"/>
        <v/>
      </c>
      <c r="H268" s="26" t="str">
        <f>IF($B268="","",IF($C268="筐子销售款",ROUND(SUMIFS(周转筐出入库明细!$P$4:$P$2004,周转筐出入库明细!$C$4:$C$2004,$B268,周转筐出入库明细!$F$4:$F$2004,"销售出库",周转筐出入库明细!$Q$4:$Q$2004,"已收讫"),2),ROUND(SUMIFS(包装物料出入库明细!$N$4:$N$2003,包装物料出入库明细!$D$4:$D$2003,$B268,包装物料出入库明细!$H$4:$H$2003,"销售出库",包装物料出入库明细!$P$4:$P$2003,"已收讫"),2)))</f>
        <v/>
      </c>
      <c r="I268" s="27"/>
    </row>
    <row r="269" spans="1:9">
      <c r="A269" s="22" t="str">
        <f t="shared" si="9"/>
        <v/>
      </c>
      <c r="B269" s="37" t="str">
        <f>IFERROR(INDEX(_自动清单!$CL$4:$CL$203,INT((ROW()-160)/2)+1),"")</f>
        <v/>
      </c>
      <c r="C269" s="37" t="str">
        <f t="shared" si="10"/>
        <v/>
      </c>
      <c r="D269" s="26">
        <f>IF($B269="",0,IF($C269="筐子销售款",ROUND(SUMIFS(周转筐出入库明细!$P$4:$P$2004,周转筐出入库明细!$C$4:$C$2004,$B269,周转筐出入库明细!$F$4:$F$2004,"销售出库"),2),ROUND(SUMIFS(包装物料出入库明细!$N$4:$N$2003,包装物料出入库明细!$D$4:$D$2003,$B269,包装物料出入库明细!$H$4:$H$2003,"销售出库"),2)))</f>
        <v>0</v>
      </c>
      <c r="E269" s="26">
        <f>IF($B269="",0,IF($C269="筐子销售款",ROUND(SUMIFS(周转筐出入库明细!$P$4:$P$2004,周转筐出入库明细!$C$4:$C$2004,$B269,周转筐出入库明细!$F$4:$F$2004,"采购入库"),2),ROUND(SUMIFS(包装物料出入库明细!$N$4:$N$2003,包装物料出入库明细!$D$4:$D$2003,$B269,包装物料出入库明细!$H$4:$H$2003,"采购入库"),2)))</f>
        <v>0</v>
      </c>
      <c r="F269" s="24"/>
      <c r="G269" s="26" t="str">
        <f t="shared" si="11"/>
        <v/>
      </c>
      <c r="H269" s="26" t="str">
        <f>IF($B269="","",IF($C269="筐子销售款",ROUND(SUMIFS(周转筐出入库明细!$P$4:$P$2004,周转筐出入库明细!$C$4:$C$2004,$B269,周转筐出入库明细!$F$4:$F$2004,"销售出库",周转筐出入库明细!$Q$4:$Q$2004,"已收讫"),2),ROUND(SUMIFS(包装物料出入库明细!$N$4:$N$2003,包装物料出入库明细!$D$4:$D$2003,$B269,包装物料出入库明细!$H$4:$H$2003,"销售出库",包装物料出入库明细!$P$4:$P$2003,"已收讫"),2)))</f>
        <v/>
      </c>
      <c r="I269" s="27"/>
    </row>
    <row r="270" spans="1:9">
      <c r="A270" s="22" t="str">
        <f t="shared" si="9"/>
        <v/>
      </c>
      <c r="B270" s="37" t="str">
        <f>IFERROR(INDEX(_自动清单!$CL$4:$CL$203,INT((ROW()-160)/2)+1),"")</f>
        <v/>
      </c>
      <c r="C270" s="37" t="str">
        <f t="shared" si="10"/>
        <v/>
      </c>
      <c r="D270" s="26">
        <f>IF($B270="",0,IF($C270="筐子销售款",ROUND(SUMIFS(周转筐出入库明细!$P$4:$P$2004,周转筐出入库明细!$C$4:$C$2004,$B270,周转筐出入库明细!$F$4:$F$2004,"销售出库"),2),ROUND(SUMIFS(包装物料出入库明细!$N$4:$N$2003,包装物料出入库明细!$D$4:$D$2003,$B270,包装物料出入库明细!$H$4:$H$2003,"销售出库"),2)))</f>
        <v>0</v>
      </c>
      <c r="E270" s="26">
        <f>IF($B270="",0,IF($C270="筐子销售款",ROUND(SUMIFS(周转筐出入库明细!$P$4:$P$2004,周转筐出入库明细!$C$4:$C$2004,$B270,周转筐出入库明细!$F$4:$F$2004,"采购入库"),2),ROUND(SUMIFS(包装物料出入库明细!$N$4:$N$2003,包装物料出入库明细!$D$4:$D$2003,$B270,包装物料出入库明细!$H$4:$H$2003,"采购入库"),2)))</f>
        <v>0</v>
      </c>
      <c r="F270" s="24"/>
      <c r="G270" s="26" t="str">
        <f t="shared" si="11"/>
        <v/>
      </c>
      <c r="H270" s="26" t="str">
        <f>IF($B270="","",IF($C270="筐子销售款",ROUND(SUMIFS(周转筐出入库明细!$P$4:$P$2004,周转筐出入库明细!$C$4:$C$2004,$B270,周转筐出入库明细!$F$4:$F$2004,"销售出库",周转筐出入库明细!$Q$4:$Q$2004,"已收讫"),2),ROUND(SUMIFS(包装物料出入库明细!$N$4:$N$2003,包装物料出入库明细!$D$4:$D$2003,$B270,包装物料出入库明细!$H$4:$H$2003,"销售出库",包装物料出入库明细!$P$4:$P$2003,"已收讫"),2)))</f>
        <v/>
      </c>
      <c r="I270" s="27"/>
    </row>
    <row r="271" spans="1:9">
      <c r="A271" s="22" t="str">
        <f t="shared" si="9"/>
        <v/>
      </c>
      <c r="B271" s="37" t="str">
        <f>IFERROR(INDEX(_自动清单!$CL$4:$CL$203,INT((ROW()-160)/2)+1),"")</f>
        <v/>
      </c>
      <c r="C271" s="37" t="str">
        <f t="shared" si="10"/>
        <v/>
      </c>
      <c r="D271" s="26">
        <f>IF($B271="",0,IF($C271="筐子销售款",ROUND(SUMIFS(周转筐出入库明细!$P$4:$P$2004,周转筐出入库明细!$C$4:$C$2004,$B271,周转筐出入库明细!$F$4:$F$2004,"销售出库"),2),ROUND(SUMIFS(包装物料出入库明细!$N$4:$N$2003,包装物料出入库明细!$D$4:$D$2003,$B271,包装物料出入库明细!$H$4:$H$2003,"销售出库"),2)))</f>
        <v>0</v>
      </c>
      <c r="E271" s="26">
        <f>IF($B271="",0,IF($C271="筐子销售款",ROUND(SUMIFS(周转筐出入库明细!$P$4:$P$2004,周转筐出入库明细!$C$4:$C$2004,$B271,周转筐出入库明细!$F$4:$F$2004,"采购入库"),2),ROUND(SUMIFS(包装物料出入库明细!$N$4:$N$2003,包装物料出入库明细!$D$4:$D$2003,$B271,包装物料出入库明细!$H$4:$H$2003,"采购入库"),2)))</f>
        <v>0</v>
      </c>
      <c r="F271" s="24"/>
      <c r="G271" s="26" t="str">
        <f t="shared" si="11"/>
        <v/>
      </c>
      <c r="H271" s="26" t="str">
        <f>IF($B271="","",IF($C271="筐子销售款",ROUND(SUMIFS(周转筐出入库明细!$P$4:$P$2004,周转筐出入库明细!$C$4:$C$2004,$B271,周转筐出入库明细!$F$4:$F$2004,"销售出库",周转筐出入库明细!$Q$4:$Q$2004,"已收讫"),2),ROUND(SUMIFS(包装物料出入库明细!$N$4:$N$2003,包装物料出入库明细!$D$4:$D$2003,$B271,包装物料出入库明细!$H$4:$H$2003,"销售出库",包装物料出入库明细!$P$4:$P$2003,"已收讫"),2)))</f>
        <v/>
      </c>
      <c r="I271" s="27"/>
    </row>
    <row r="272" spans="1:9">
      <c r="A272" s="22" t="str">
        <f t="shared" si="9"/>
        <v/>
      </c>
      <c r="B272" s="37" t="str">
        <f>IFERROR(INDEX(_自动清单!$CL$4:$CL$203,INT((ROW()-160)/2)+1),"")</f>
        <v/>
      </c>
      <c r="C272" s="37" t="str">
        <f t="shared" si="10"/>
        <v/>
      </c>
      <c r="D272" s="26">
        <f>IF($B272="",0,IF($C272="筐子销售款",ROUND(SUMIFS(周转筐出入库明细!$P$4:$P$2004,周转筐出入库明细!$C$4:$C$2004,$B272,周转筐出入库明细!$F$4:$F$2004,"销售出库"),2),ROUND(SUMIFS(包装物料出入库明细!$N$4:$N$2003,包装物料出入库明细!$D$4:$D$2003,$B272,包装物料出入库明细!$H$4:$H$2003,"销售出库"),2)))</f>
        <v>0</v>
      </c>
      <c r="E272" s="26">
        <f>IF($B272="",0,IF($C272="筐子销售款",ROUND(SUMIFS(周转筐出入库明细!$P$4:$P$2004,周转筐出入库明细!$C$4:$C$2004,$B272,周转筐出入库明细!$F$4:$F$2004,"采购入库"),2),ROUND(SUMIFS(包装物料出入库明细!$N$4:$N$2003,包装物料出入库明细!$D$4:$D$2003,$B272,包装物料出入库明细!$H$4:$H$2003,"采购入库"),2)))</f>
        <v>0</v>
      </c>
      <c r="F272" s="24"/>
      <c r="G272" s="26" t="str">
        <f t="shared" si="11"/>
        <v/>
      </c>
      <c r="H272" s="26" t="str">
        <f>IF($B272="","",IF($C272="筐子销售款",ROUND(SUMIFS(周转筐出入库明细!$P$4:$P$2004,周转筐出入库明细!$C$4:$C$2004,$B272,周转筐出入库明细!$F$4:$F$2004,"销售出库",周转筐出入库明细!$Q$4:$Q$2004,"已收讫"),2),ROUND(SUMIFS(包装物料出入库明细!$N$4:$N$2003,包装物料出入库明细!$D$4:$D$2003,$B272,包装物料出入库明细!$H$4:$H$2003,"销售出库",包装物料出入库明细!$P$4:$P$2003,"已收讫"),2)))</f>
        <v/>
      </c>
      <c r="I272" s="27"/>
    </row>
    <row r="273" spans="1:9">
      <c r="A273" s="22" t="str">
        <f t="shared" si="9"/>
        <v/>
      </c>
      <c r="B273" s="37" t="str">
        <f>IFERROR(INDEX(_自动清单!$CL$4:$CL$203,INT((ROW()-160)/2)+1),"")</f>
        <v/>
      </c>
      <c r="C273" s="37" t="str">
        <f t="shared" si="10"/>
        <v/>
      </c>
      <c r="D273" s="26">
        <f>IF($B273="",0,IF($C273="筐子销售款",ROUND(SUMIFS(周转筐出入库明细!$P$4:$P$2004,周转筐出入库明细!$C$4:$C$2004,$B273,周转筐出入库明细!$F$4:$F$2004,"销售出库"),2),ROUND(SUMIFS(包装物料出入库明细!$N$4:$N$2003,包装物料出入库明细!$D$4:$D$2003,$B273,包装物料出入库明细!$H$4:$H$2003,"销售出库"),2)))</f>
        <v>0</v>
      </c>
      <c r="E273" s="26">
        <f>IF($B273="",0,IF($C273="筐子销售款",ROUND(SUMIFS(周转筐出入库明细!$P$4:$P$2004,周转筐出入库明细!$C$4:$C$2004,$B273,周转筐出入库明细!$F$4:$F$2004,"采购入库"),2),ROUND(SUMIFS(包装物料出入库明细!$N$4:$N$2003,包装物料出入库明细!$D$4:$D$2003,$B273,包装物料出入库明细!$H$4:$H$2003,"采购入库"),2)))</f>
        <v>0</v>
      </c>
      <c r="F273" s="24"/>
      <c r="G273" s="26" t="str">
        <f t="shared" si="11"/>
        <v/>
      </c>
      <c r="H273" s="26" t="str">
        <f>IF($B273="","",IF($C273="筐子销售款",ROUND(SUMIFS(周转筐出入库明细!$P$4:$P$2004,周转筐出入库明细!$C$4:$C$2004,$B273,周转筐出入库明细!$F$4:$F$2004,"销售出库",周转筐出入库明细!$Q$4:$Q$2004,"已收讫"),2),ROUND(SUMIFS(包装物料出入库明细!$N$4:$N$2003,包装物料出入库明细!$D$4:$D$2003,$B273,包装物料出入库明细!$H$4:$H$2003,"销售出库",包装物料出入库明细!$P$4:$P$2003,"已收讫"),2)))</f>
        <v/>
      </c>
      <c r="I273" s="27"/>
    </row>
    <row r="274" spans="1:9">
      <c r="A274" s="22" t="str">
        <f t="shared" si="9"/>
        <v/>
      </c>
      <c r="B274" s="37" t="str">
        <f>IFERROR(INDEX(_自动清单!$CL$4:$CL$203,INT((ROW()-160)/2)+1),"")</f>
        <v/>
      </c>
      <c r="C274" s="37" t="str">
        <f t="shared" si="10"/>
        <v/>
      </c>
      <c r="D274" s="26">
        <f>IF($B274="",0,IF($C274="筐子销售款",ROUND(SUMIFS(周转筐出入库明细!$P$4:$P$2004,周转筐出入库明细!$C$4:$C$2004,$B274,周转筐出入库明细!$F$4:$F$2004,"销售出库"),2),ROUND(SUMIFS(包装物料出入库明细!$N$4:$N$2003,包装物料出入库明细!$D$4:$D$2003,$B274,包装物料出入库明细!$H$4:$H$2003,"销售出库"),2)))</f>
        <v>0</v>
      </c>
      <c r="E274" s="26">
        <f>IF($B274="",0,IF($C274="筐子销售款",ROUND(SUMIFS(周转筐出入库明细!$P$4:$P$2004,周转筐出入库明细!$C$4:$C$2004,$B274,周转筐出入库明细!$F$4:$F$2004,"采购入库"),2),ROUND(SUMIFS(包装物料出入库明细!$N$4:$N$2003,包装物料出入库明细!$D$4:$D$2003,$B274,包装物料出入库明细!$H$4:$H$2003,"采购入库"),2)))</f>
        <v>0</v>
      </c>
      <c r="F274" s="24"/>
      <c r="G274" s="26" t="str">
        <f t="shared" si="11"/>
        <v/>
      </c>
      <c r="H274" s="26" t="str">
        <f>IF($B274="","",IF($C274="筐子销售款",ROUND(SUMIFS(周转筐出入库明细!$P$4:$P$2004,周转筐出入库明细!$C$4:$C$2004,$B274,周转筐出入库明细!$F$4:$F$2004,"销售出库",周转筐出入库明细!$Q$4:$Q$2004,"已收讫"),2),ROUND(SUMIFS(包装物料出入库明细!$N$4:$N$2003,包装物料出入库明细!$D$4:$D$2003,$B274,包装物料出入库明细!$H$4:$H$2003,"销售出库",包装物料出入库明细!$P$4:$P$2003,"已收讫"),2)))</f>
        <v/>
      </c>
      <c r="I274" s="27"/>
    </row>
    <row r="275" spans="1:9">
      <c r="A275" s="22" t="str">
        <f t="shared" si="9"/>
        <v/>
      </c>
      <c r="B275" s="37" t="str">
        <f>IFERROR(INDEX(_自动清单!$CL$4:$CL$203,INT((ROW()-160)/2)+1),"")</f>
        <v/>
      </c>
      <c r="C275" s="37" t="str">
        <f t="shared" si="10"/>
        <v/>
      </c>
      <c r="D275" s="26">
        <f>IF($B275="",0,IF($C275="筐子销售款",ROUND(SUMIFS(周转筐出入库明细!$P$4:$P$2004,周转筐出入库明细!$C$4:$C$2004,$B275,周转筐出入库明细!$F$4:$F$2004,"销售出库"),2),ROUND(SUMIFS(包装物料出入库明细!$N$4:$N$2003,包装物料出入库明细!$D$4:$D$2003,$B275,包装物料出入库明细!$H$4:$H$2003,"销售出库"),2)))</f>
        <v>0</v>
      </c>
      <c r="E275" s="26">
        <f>IF($B275="",0,IF($C275="筐子销售款",ROUND(SUMIFS(周转筐出入库明细!$P$4:$P$2004,周转筐出入库明细!$C$4:$C$2004,$B275,周转筐出入库明细!$F$4:$F$2004,"采购入库"),2),ROUND(SUMIFS(包装物料出入库明细!$N$4:$N$2003,包装物料出入库明细!$D$4:$D$2003,$B275,包装物料出入库明细!$H$4:$H$2003,"采购入库"),2)))</f>
        <v>0</v>
      </c>
      <c r="F275" s="24"/>
      <c r="G275" s="26" t="str">
        <f t="shared" si="11"/>
        <v/>
      </c>
      <c r="H275" s="26" t="str">
        <f>IF($B275="","",IF($C275="筐子销售款",ROUND(SUMIFS(周转筐出入库明细!$P$4:$P$2004,周转筐出入库明细!$C$4:$C$2004,$B275,周转筐出入库明细!$F$4:$F$2004,"销售出库",周转筐出入库明细!$Q$4:$Q$2004,"已收讫"),2),ROUND(SUMIFS(包装物料出入库明细!$N$4:$N$2003,包装物料出入库明细!$D$4:$D$2003,$B275,包装物料出入库明细!$H$4:$H$2003,"销售出库",包装物料出入库明细!$P$4:$P$2003,"已收讫"),2)))</f>
        <v/>
      </c>
      <c r="I275" s="27"/>
    </row>
    <row r="276" spans="1:9">
      <c r="A276" s="22" t="str">
        <f t="shared" si="9"/>
        <v/>
      </c>
      <c r="B276" s="37" t="str">
        <f>IFERROR(INDEX(_自动清单!$CL$4:$CL$203,INT((ROW()-160)/2)+1),"")</f>
        <v/>
      </c>
      <c r="C276" s="37" t="str">
        <f t="shared" si="10"/>
        <v/>
      </c>
      <c r="D276" s="26">
        <f>IF($B276="",0,IF($C276="筐子销售款",ROUND(SUMIFS(周转筐出入库明细!$P$4:$P$2004,周转筐出入库明细!$C$4:$C$2004,$B276,周转筐出入库明细!$F$4:$F$2004,"销售出库"),2),ROUND(SUMIFS(包装物料出入库明细!$N$4:$N$2003,包装物料出入库明细!$D$4:$D$2003,$B276,包装物料出入库明细!$H$4:$H$2003,"销售出库"),2)))</f>
        <v>0</v>
      </c>
      <c r="E276" s="26">
        <f>IF($B276="",0,IF($C276="筐子销售款",ROUND(SUMIFS(周转筐出入库明细!$P$4:$P$2004,周转筐出入库明细!$C$4:$C$2004,$B276,周转筐出入库明细!$F$4:$F$2004,"采购入库"),2),ROUND(SUMIFS(包装物料出入库明细!$N$4:$N$2003,包装物料出入库明细!$D$4:$D$2003,$B276,包装物料出入库明细!$H$4:$H$2003,"采购入库"),2)))</f>
        <v>0</v>
      </c>
      <c r="F276" s="24"/>
      <c r="G276" s="26" t="str">
        <f t="shared" si="11"/>
        <v/>
      </c>
      <c r="H276" s="26" t="str">
        <f>IF($B276="","",IF($C276="筐子销售款",ROUND(SUMIFS(周转筐出入库明细!$P$4:$P$2004,周转筐出入库明细!$C$4:$C$2004,$B276,周转筐出入库明细!$F$4:$F$2004,"销售出库",周转筐出入库明细!$Q$4:$Q$2004,"已收讫"),2),ROUND(SUMIFS(包装物料出入库明细!$N$4:$N$2003,包装物料出入库明细!$D$4:$D$2003,$B276,包装物料出入库明细!$H$4:$H$2003,"销售出库",包装物料出入库明细!$P$4:$P$2003,"已收讫"),2)))</f>
        <v/>
      </c>
      <c r="I276" s="27"/>
    </row>
    <row r="277" spans="1:9">
      <c r="A277" s="22" t="str">
        <f t="shared" si="9"/>
        <v/>
      </c>
      <c r="B277" s="37" t="str">
        <f>IFERROR(INDEX(_自动清单!$CL$4:$CL$203,INT((ROW()-160)/2)+1),"")</f>
        <v/>
      </c>
      <c r="C277" s="37" t="str">
        <f t="shared" si="10"/>
        <v/>
      </c>
      <c r="D277" s="26">
        <f>IF($B277="",0,IF($C277="筐子销售款",ROUND(SUMIFS(周转筐出入库明细!$P$4:$P$2004,周转筐出入库明细!$C$4:$C$2004,$B277,周转筐出入库明细!$F$4:$F$2004,"销售出库"),2),ROUND(SUMIFS(包装物料出入库明细!$N$4:$N$2003,包装物料出入库明细!$D$4:$D$2003,$B277,包装物料出入库明细!$H$4:$H$2003,"销售出库"),2)))</f>
        <v>0</v>
      </c>
      <c r="E277" s="26">
        <f>IF($B277="",0,IF($C277="筐子销售款",ROUND(SUMIFS(周转筐出入库明细!$P$4:$P$2004,周转筐出入库明细!$C$4:$C$2004,$B277,周转筐出入库明细!$F$4:$F$2004,"采购入库"),2),ROUND(SUMIFS(包装物料出入库明细!$N$4:$N$2003,包装物料出入库明细!$D$4:$D$2003,$B277,包装物料出入库明细!$H$4:$H$2003,"采购入库"),2)))</f>
        <v>0</v>
      </c>
      <c r="F277" s="24"/>
      <c r="G277" s="26" t="str">
        <f t="shared" si="11"/>
        <v/>
      </c>
      <c r="H277" s="26" t="str">
        <f>IF($B277="","",IF($C277="筐子销售款",ROUND(SUMIFS(周转筐出入库明细!$P$4:$P$2004,周转筐出入库明细!$C$4:$C$2004,$B277,周转筐出入库明细!$F$4:$F$2004,"销售出库",周转筐出入库明细!$Q$4:$Q$2004,"已收讫"),2),ROUND(SUMIFS(包装物料出入库明细!$N$4:$N$2003,包装物料出入库明细!$D$4:$D$2003,$B277,包装物料出入库明细!$H$4:$H$2003,"销售出库",包装物料出入库明细!$P$4:$P$2003,"已收讫"),2)))</f>
        <v/>
      </c>
      <c r="I277" s="27"/>
    </row>
    <row r="278" spans="1:9">
      <c r="A278" s="22" t="str">
        <f t="shared" si="9"/>
        <v/>
      </c>
      <c r="B278" s="37" t="str">
        <f>IFERROR(INDEX(_自动清单!$CL$4:$CL$203,INT((ROW()-160)/2)+1),"")</f>
        <v/>
      </c>
      <c r="C278" s="37" t="str">
        <f t="shared" si="10"/>
        <v/>
      </c>
      <c r="D278" s="26">
        <f>IF($B278="",0,IF($C278="筐子销售款",ROUND(SUMIFS(周转筐出入库明细!$P$4:$P$2004,周转筐出入库明细!$C$4:$C$2004,$B278,周转筐出入库明细!$F$4:$F$2004,"销售出库"),2),ROUND(SUMIFS(包装物料出入库明细!$N$4:$N$2003,包装物料出入库明细!$D$4:$D$2003,$B278,包装物料出入库明细!$H$4:$H$2003,"销售出库"),2)))</f>
        <v>0</v>
      </c>
      <c r="E278" s="26">
        <f>IF($B278="",0,IF($C278="筐子销售款",ROUND(SUMIFS(周转筐出入库明细!$P$4:$P$2004,周转筐出入库明细!$C$4:$C$2004,$B278,周转筐出入库明细!$F$4:$F$2004,"采购入库"),2),ROUND(SUMIFS(包装物料出入库明细!$N$4:$N$2003,包装物料出入库明细!$D$4:$D$2003,$B278,包装物料出入库明细!$H$4:$H$2003,"采购入库"),2)))</f>
        <v>0</v>
      </c>
      <c r="F278" s="24"/>
      <c r="G278" s="26" t="str">
        <f t="shared" si="11"/>
        <v/>
      </c>
      <c r="H278" s="26" t="str">
        <f>IF($B278="","",IF($C278="筐子销售款",ROUND(SUMIFS(周转筐出入库明细!$P$4:$P$2004,周转筐出入库明细!$C$4:$C$2004,$B278,周转筐出入库明细!$F$4:$F$2004,"销售出库",周转筐出入库明细!$Q$4:$Q$2004,"已收讫"),2),ROUND(SUMIFS(包装物料出入库明细!$N$4:$N$2003,包装物料出入库明细!$D$4:$D$2003,$B278,包装物料出入库明细!$H$4:$H$2003,"销售出库",包装物料出入库明细!$P$4:$P$2003,"已收讫"),2)))</f>
        <v/>
      </c>
      <c r="I278" s="27"/>
    </row>
    <row r="279" spans="1:9">
      <c r="A279" s="22" t="str">
        <f t="shared" si="9"/>
        <v/>
      </c>
      <c r="B279" s="37" t="str">
        <f>IFERROR(INDEX(_自动清单!$CL$4:$CL$203,INT((ROW()-160)/2)+1),"")</f>
        <v/>
      </c>
      <c r="C279" s="37" t="str">
        <f t="shared" si="10"/>
        <v/>
      </c>
      <c r="D279" s="26">
        <f>IF($B279="",0,IF($C279="筐子销售款",ROUND(SUMIFS(周转筐出入库明细!$P$4:$P$2004,周转筐出入库明细!$C$4:$C$2004,$B279,周转筐出入库明细!$F$4:$F$2004,"销售出库"),2),ROUND(SUMIFS(包装物料出入库明细!$N$4:$N$2003,包装物料出入库明细!$D$4:$D$2003,$B279,包装物料出入库明细!$H$4:$H$2003,"销售出库"),2)))</f>
        <v>0</v>
      </c>
      <c r="E279" s="26">
        <f>IF($B279="",0,IF($C279="筐子销售款",ROUND(SUMIFS(周转筐出入库明细!$P$4:$P$2004,周转筐出入库明细!$C$4:$C$2004,$B279,周转筐出入库明细!$F$4:$F$2004,"采购入库"),2),ROUND(SUMIFS(包装物料出入库明细!$N$4:$N$2003,包装物料出入库明细!$D$4:$D$2003,$B279,包装物料出入库明细!$H$4:$H$2003,"采购入库"),2)))</f>
        <v>0</v>
      </c>
      <c r="F279" s="24"/>
      <c r="G279" s="26" t="str">
        <f t="shared" si="11"/>
        <v/>
      </c>
      <c r="H279" s="26" t="str">
        <f>IF($B279="","",IF($C279="筐子销售款",ROUND(SUMIFS(周转筐出入库明细!$P$4:$P$2004,周转筐出入库明细!$C$4:$C$2004,$B279,周转筐出入库明细!$F$4:$F$2004,"销售出库",周转筐出入库明细!$Q$4:$Q$2004,"已收讫"),2),ROUND(SUMIFS(包装物料出入库明细!$N$4:$N$2003,包装物料出入库明细!$D$4:$D$2003,$B279,包装物料出入库明细!$H$4:$H$2003,"销售出库",包装物料出入库明细!$P$4:$P$2003,"已收讫"),2)))</f>
        <v/>
      </c>
      <c r="I279" s="27"/>
    </row>
    <row r="280" spans="1:9">
      <c r="A280" s="22" t="str">
        <f t="shared" si="9"/>
        <v/>
      </c>
      <c r="B280" s="37" t="str">
        <f>IFERROR(INDEX(_自动清单!$CL$4:$CL$203,INT((ROW()-160)/2)+1),"")</f>
        <v/>
      </c>
      <c r="C280" s="37" t="str">
        <f t="shared" si="10"/>
        <v/>
      </c>
      <c r="D280" s="26">
        <f>IF($B280="",0,IF($C280="筐子销售款",ROUND(SUMIFS(周转筐出入库明细!$P$4:$P$2004,周转筐出入库明细!$C$4:$C$2004,$B280,周转筐出入库明细!$F$4:$F$2004,"销售出库"),2),ROUND(SUMIFS(包装物料出入库明细!$N$4:$N$2003,包装物料出入库明细!$D$4:$D$2003,$B280,包装物料出入库明细!$H$4:$H$2003,"销售出库"),2)))</f>
        <v>0</v>
      </c>
      <c r="E280" s="26">
        <f>IF($B280="",0,IF($C280="筐子销售款",ROUND(SUMIFS(周转筐出入库明细!$P$4:$P$2004,周转筐出入库明细!$C$4:$C$2004,$B280,周转筐出入库明细!$F$4:$F$2004,"采购入库"),2),ROUND(SUMIFS(包装物料出入库明细!$N$4:$N$2003,包装物料出入库明细!$D$4:$D$2003,$B280,包装物料出入库明细!$H$4:$H$2003,"采购入库"),2)))</f>
        <v>0</v>
      </c>
      <c r="F280" s="24"/>
      <c r="G280" s="26" t="str">
        <f t="shared" si="11"/>
        <v/>
      </c>
      <c r="H280" s="26" t="str">
        <f>IF($B280="","",IF($C280="筐子销售款",ROUND(SUMIFS(周转筐出入库明细!$P$4:$P$2004,周转筐出入库明细!$C$4:$C$2004,$B280,周转筐出入库明细!$F$4:$F$2004,"销售出库",周转筐出入库明细!$Q$4:$Q$2004,"已收讫"),2),ROUND(SUMIFS(包装物料出入库明细!$N$4:$N$2003,包装物料出入库明细!$D$4:$D$2003,$B280,包装物料出入库明细!$H$4:$H$2003,"销售出库",包装物料出入库明细!$P$4:$P$2003,"已收讫"),2)))</f>
        <v/>
      </c>
      <c r="I280" s="27"/>
    </row>
    <row r="281" spans="1:9">
      <c r="A281" s="22" t="str">
        <f t="shared" si="9"/>
        <v/>
      </c>
      <c r="B281" s="37" t="str">
        <f>IFERROR(INDEX(_自动清单!$CL$4:$CL$203,INT((ROW()-160)/2)+1),"")</f>
        <v/>
      </c>
      <c r="C281" s="37" t="str">
        <f t="shared" si="10"/>
        <v/>
      </c>
      <c r="D281" s="26">
        <f>IF($B281="",0,IF($C281="筐子销售款",ROUND(SUMIFS(周转筐出入库明细!$P$4:$P$2004,周转筐出入库明细!$C$4:$C$2004,$B281,周转筐出入库明细!$F$4:$F$2004,"销售出库"),2),ROUND(SUMIFS(包装物料出入库明细!$N$4:$N$2003,包装物料出入库明细!$D$4:$D$2003,$B281,包装物料出入库明细!$H$4:$H$2003,"销售出库"),2)))</f>
        <v>0</v>
      </c>
      <c r="E281" s="26">
        <f>IF($B281="",0,IF($C281="筐子销售款",ROUND(SUMIFS(周转筐出入库明细!$P$4:$P$2004,周转筐出入库明细!$C$4:$C$2004,$B281,周转筐出入库明细!$F$4:$F$2004,"采购入库"),2),ROUND(SUMIFS(包装物料出入库明细!$N$4:$N$2003,包装物料出入库明细!$D$4:$D$2003,$B281,包装物料出入库明细!$H$4:$H$2003,"采购入库"),2)))</f>
        <v>0</v>
      </c>
      <c r="F281" s="24"/>
      <c r="G281" s="26" t="str">
        <f t="shared" si="11"/>
        <v/>
      </c>
      <c r="H281" s="26" t="str">
        <f>IF($B281="","",IF($C281="筐子销售款",ROUND(SUMIFS(周转筐出入库明细!$P$4:$P$2004,周转筐出入库明细!$C$4:$C$2004,$B281,周转筐出入库明细!$F$4:$F$2004,"销售出库",周转筐出入库明细!$Q$4:$Q$2004,"已收讫"),2),ROUND(SUMIFS(包装物料出入库明细!$N$4:$N$2003,包装物料出入库明细!$D$4:$D$2003,$B281,包装物料出入库明细!$H$4:$H$2003,"销售出库",包装物料出入库明细!$P$4:$P$2003,"已收讫"),2)))</f>
        <v/>
      </c>
      <c r="I281" s="27"/>
    </row>
    <row r="282" spans="1:9">
      <c r="A282" s="22" t="str">
        <f t="shared" si="9"/>
        <v/>
      </c>
      <c r="B282" s="37" t="str">
        <f>IFERROR(INDEX(_自动清单!$CL$4:$CL$203,INT((ROW()-160)/2)+1),"")</f>
        <v/>
      </c>
      <c r="C282" s="37" t="str">
        <f t="shared" si="10"/>
        <v/>
      </c>
      <c r="D282" s="26">
        <f>IF($B282="",0,IF($C282="筐子销售款",ROUND(SUMIFS(周转筐出入库明细!$P$4:$P$2004,周转筐出入库明细!$C$4:$C$2004,$B282,周转筐出入库明细!$F$4:$F$2004,"销售出库"),2),ROUND(SUMIFS(包装物料出入库明细!$N$4:$N$2003,包装物料出入库明细!$D$4:$D$2003,$B282,包装物料出入库明细!$H$4:$H$2003,"销售出库"),2)))</f>
        <v>0</v>
      </c>
      <c r="E282" s="26">
        <f>IF($B282="",0,IF($C282="筐子销售款",ROUND(SUMIFS(周转筐出入库明细!$P$4:$P$2004,周转筐出入库明细!$C$4:$C$2004,$B282,周转筐出入库明细!$F$4:$F$2004,"采购入库"),2),ROUND(SUMIFS(包装物料出入库明细!$N$4:$N$2003,包装物料出入库明细!$D$4:$D$2003,$B282,包装物料出入库明细!$H$4:$H$2003,"采购入库"),2)))</f>
        <v>0</v>
      </c>
      <c r="F282" s="24"/>
      <c r="G282" s="26" t="str">
        <f t="shared" si="11"/>
        <v/>
      </c>
      <c r="H282" s="26" t="str">
        <f>IF($B282="","",IF($C282="筐子销售款",ROUND(SUMIFS(周转筐出入库明细!$P$4:$P$2004,周转筐出入库明细!$C$4:$C$2004,$B282,周转筐出入库明细!$F$4:$F$2004,"销售出库",周转筐出入库明细!$Q$4:$Q$2004,"已收讫"),2),ROUND(SUMIFS(包装物料出入库明细!$N$4:$N$2003,包装物料出入库明细!$D$4:$D$2003,$B282,包装物料出入库明细!$H$4:$H$2003,"销售出库",包装物料出入库明细!$P$4:$P$2003,"已收讫"),2)))</f>
        <v/>
      </c>
      <c r="I282" s="27"/>
    </row>
    <row r="283" spans="1:9">
      <c r="A283" s="22" t="str">
        <f t="shared" si="9"/>
        <v/>
      </c>
      <c r="B283" s="37" t="str">
        <f>IFERROR(INDEX(_自动清单!$CL$4:$CL$203,INT((ROW()-160)/2)+1),"")</f>
        <v/>
      </c>
      <c r="C283" s="37" t="str">
        <f t="shared" si="10"/>
        <v/>
      </c>
      <c r="D283" s="26">
        <f>IF($B283="",0,IF($C283="筐子销售款",ROUND(SUMIFS(周转筐出入库明细!$P$4:$P$2004,周转筐出入库明细!$C$4:$C$2004,$B283,周转筐出入库明细!$F$4:$F$2004,"销售出库"),2),ROUND(SUMIFS(包装物料出入库明细!$N$4:$N$2003,包装物料出入库明细!$D$4:$D$2003,$B283,包装物料出入库明细!$H$4:$H$2003,"销售出库"),2)))</f>
        <v>0</v>
      </c>
      <c r="E283" s="26">
        <f>IF($B283="",0,IF($C283="筐子销售款",ROUND(SUMIFS(周转筐出入库明细!$P$4:$P$2004,周转筐出入库明细!$C$4:$C$2004,$B283,周转筐出入库明细!$F$4:$F$2004,"采购入库"),2),ROUND(SUMIFS(包装物料出入库明细!$N$4:$N$2003,包装物料出入库明细!$D$4:$D$2003,$B283,包装物料出入库明细!$H$4:$H$2003,"采购入库"),2)))</f>
        <v>0</v>
      </c>
      <c r="F283" s="24"/>
      <c r="G283" s="26" t="str">
        <f t="shared" si="11"/>
        <v/>
      </c>
      <c r="H283" s="26" t="str">
        <f>IF($B283="","",IF($C283="筐子销售款",ROUND(SUMIFS(周转筐出入库明细!$P$4:$P$2004,周转筐出入库明细!$C$4:$C$2004,$B283,周转筐出入库明细!$F$4:$F$2004,"销售出库",周转筐出入库明细!$Q$4:$Q$2004,"已收讫"),2),ROUND(SUMIFS(包装物料出入库明细!$N$4:$N$2003,包装物料出入库明细!$D$4:$D$2003,$B283,包装物料出入库明细!$H$4:$H$2003,"销售出库",包装物料出入库明细!$P$4:$P$2003,"已收讫"),2)))</f>
        <v/>
      </c>
      <c r="I283" s="27"/>
    </row>
    <row r="284" spans="1:9">
      <c r="A284" s="22" t="str">
        <f t="shared" si="9"/>
        <v/>
      </c>
      <c r="B284" s="37" t="str">
        <f>IFERROR(INDEX(_自动清单!$CL$4:$CL$203,INT((ROW()-160)/2)+1),"")</f>
        <v/>
      </c>
      <c r="C284" s="37" t="str">
        <f t="shared" si="10"/>
        <v/>
      </c>
      <c r="D284" s="26">
        <f>IF($B284="",0,IF($C284="筐子销售款",ROUND(SUMIFS(周转筐出入库明细!$P$4:$P$2004,周转筐出入库明细!$C$4:$C$2004,$B284,周转筐出入库明细!$F$4:$F$2004,"销售出库"),2),ROUND(SUMIFS(包装物料出入库明细!$N$4:$N$2003,包装物料出入库明细!$D$4:$D$2003,$B284,包装物料出入库明细!$H$4:$H$2003,"销售出库"),2)))</f>
        <v>0</v>
      </c>
      <c r="E284" s="26">
        <f>IF($B284="",0,IF($C284="筐子销售款",ROUND(SUMIFS(周转筐出入库明细!$P$4:$P$2004,周转筐出入库明细!$C$4:$C$2004,$B284,周转筐出入库明细!$F$4:$F$2004,"采购入库"),2),ROUND(SUMIFS(包装物料出入库明细!$N$4:$N$2003,包装物料出入库明细!$D$4:$D$2003,$B284,包装物料出入库明细!$H$4:$H$2003,"采购入库"),2)))</f>
        <v>0</v>
      </c>
      <c r="F284" s="24"/>
      <c r="G284" s="26" t="str">
        <f t="shared" si="11"/>
        <v/>
      </c>
      <c r="H284" s="26" t="str">
        <f>IF($B284="","",IF($C284="筐子销售款",ROUND(SUMIFS(周转筐出入库明细!$P$4:$P$2004,周转筐出入库明细!$C$4:$C$2004,$B284,周转筐出入库明细!$F$4:$F$2004,"销售出库",周转筐出入库明细!$Q$4:$Q$2004,"已收讫"),2),ROUND(SUMIFS(包装物料出入库明细!$N$4:$N$2003,包装物料出入库明细!$D$4:$D$2003,$B284,包装物料出入库明细!$H$4:$H$2003,"销售出库",包装物料出入库明细!$P$4:$P$2003,"已收讫"),2)))</f>
        <v/>
      </c>
      <c r="I284" s="27"/>
    </row>
    <row r="285" spans="1:9">
      <c r="A285" s="22" t="str">
        <f t="shared" si="9"/>
        <v/>
      </c>
      <c r="B285" s="37" t="str">
        <f>IFERROR(INDEX(_自动清单!$CL$4:$CL$203,INT((ROW()-160)/2)+1),"")</f>
        <v/>
      </c>
      <c r="C285" s="37" t="str">
        <f t="shared" si="10"/>
        <v/>
      </c>
      <c r="D285" s="26">
        <f>IF($B285="",0,IF($C285="筐子销售款",ROUND(SUMIFS(周转筐出入库明细!$P$4:$P$2004,周转筐出入库明细!$C$4:$C$2004,$B285,周转筐出入库明细!$F$4:$F$2004,"销售出库"),2),ROUND(SUMIFS(包装物料出入库明细!$N$4:$N$2003,包装物料出入库明细!$D$4:$D$2003,$B285,包装物料出入库明细!$H$4:$H$2003,"销售出库"),2)))</f>
        <v>0</v>
      </c>
      <c r="E285" s="26">
        <f>IF($B285="",0,IF($C285="筐子销售款",ROUND(SUMIFS(周转筐出入库明细!$P$4:$P$2004,周转筐出入库明细!$C$4:$C$2004,$B285,周转筐出入库明细!$F$4:$F$2004,"采购入库"),2),ROUND(SUMIFS(包装物料出入库明细!$N$4:$N$2003,包装物料出入库明细!$D$4:$D$2003,$B285,包装物料出入库明细!$H$4:$H$2003,"采购入库"),2)))</f>
        <v>0</v>
      </c>
      <c r="F285" s="24"/>
      <c r="G285" s="26" t="str">
        <f t="shared" si="11"/>
        <v/>
      </c>
      <c r="H285" s="26" t="str">
        <f>IF($B285="","",IF($C285="筐子销售款",ROUND(SUMIFS(周转筐出入库明细!$P$4:$P$2004,周转筐出入库明细!$C$4:$C$2004,$B285,周转筐出入库明细!$F$4:$F$2004,"销售出库",周转筐出入库明细!$Q$4:$Q$2004,"已收讫"),2),ROUND(SUMIFS(包装物料出入库明细!$N$4:$N$2003,包装物料出入库明细!$D$4:$D$2003,$B285,包装物料出入库明细!$H$4:$H$2003,"销售出库",包装物料出入库明细!$P$4:$P$2003,"已收讫"),2)))</f>
        <v/>
      </c>
      <c r="I285" s="27"/>
    </row>
    <row r="286" spans="1:9">
      <c r="A286" s="22" t="str">
        <f t="shared" si="9"/>
        <v/>
      </c>
      <c r="B286" s="37" t="str">
        <f>IFERROR(INDEX(_自动清单!$CL$4:$CL$203,INT((ROW()-160)/2)+1),"")</f>
        <v/>
      </c>
      <c r="C286" s="37" t="str">
        <f t="shared" si="10"/>
        <v/>
      </c>
      <c r="D286" s="26">
        <f>IF($B286="",0,IF($C286="筐子销售款",ROUND(SUMIFS(周转筐出入库明细!$P$4:$P$2004,周转筐出入库明细!$C$4:$C$2004,$B286,周转筐出入库明细!$F$4:$F$2004,"销售出库"),2),ROUND(SUMIFS(包装物料出入库明细!$N$4:$N$2003,包装物料出入库明细!$D$4:$D$2003,$B286,包装物料出入库明细!$H$4:$H$2003,"销售出库"),2)))</f>
        <v>0</v>
      </c>
      <c r="E286" s="26">
        <f>IF($B286="",0,IF($C286="筐子销售款",ROUND(SUMIFS(周转筐出入库明细!$P$4:$P$2004,周转筐出入库明细!$C$4:$C$2004,$B286,周转筐出入库明细!$F$4:$F$2004,"采购入库"),2),ROUND(SUMIFS(包装物料出入库明细!$N$4:$N$2003,包装物料出入库明细!$D$4:$D$2003,$B286,包装物料出入库明细!$H$4:$H$2003,"采购入库"),2)))</f>
        <v>0</v>
      </c>
      <c r="F286" s="24"/>
      <c r="G286" s="26" t="str">
        <f t="shared" si="11"/>
        <v/>
      </c>
      <c r="H286" s="26" t="str">
        <f>IF($B286="","",IF($C286="筐子销售款",ROUND(SUMIFS(周转筐出入库明细!$P$4:$P$2004,周转筐出入库明细!$C$4:$C$2004,$B286,周转筐出入库明细!$F$4:$F$2004,"销售出库",周转筐出入库明细!$Q$4:$Q$2004,"已收讫"),2),ROUND(SUMIFS(包装物料出入库明细!$N$4:$N$2003,包装物料出入库明细!$D$4:$D$2003,$B286,包装物料出入库明细!$H$4:$H$2003,"销售出库",包装物料出入库明细!$P$4:$P$2003,"已收讫"),2)))</f>
        <v/>
      </c>
      <c r="I286" s="27"/>
    </row>
    <row r="287" spans="1:9">
      <c r="A287" s="22" t="str">
        <f t="shared" si="9"/>
        <v/>
      </c>
      <c r="B287" s="37" t="str">
        <f>IFERROR(INDEX(_自动清单!$CL$4:$CL$203,INT((ROW()-160)/2)+1),"")</f>
        <v/>
      </c>
      <c r="C287" s="37" t="str">
        <f t="shared" si="10"/>
        <v/>
      </c>
      <c r="D287" s="26">
        <f>IF($B287="",0,IF($C287="筐子销售款",ROUND(SUMIFS(周转筐出入库明细!$P$4:$P$2004,周转筐出入库明细!$C$4:$C$2004,$B287,周转筐出入库明细!$F$4:$F$2004,"销售出库"),2),ROUND(SUMIFS(包装物料出入库明细!$N$4:$N$2003,包装物料出入库明细!$D$4:$D$2003,$B287,包装物料出入库明细!$H$4:$H$2003,"销售出库"),2)))</f>
        <v>0</v>
      </c>
      <c r="E287" s="26">
        <f>IF($B287="",0,IF($C287="筐子销售款",ROUND(SUMIFS(周转筐出入库明细!$P$4:$P$2004,周转筐出入库明细!$C$4:$C$2004,$B287,周转筐出入库明细!$F$4:$F$2004,"采购入库"),2),ROUND(SUMIFS(包装物料出入库明细!$N$4:$N$2003,包装物料出入库明细!$D$4:$D$2003,$B287,包装物料出入库明细!$H$4:$H$2003,"采购入库"),2)))</f>
        <v>0</v>
      </c>
      <c r="F287" s="24"/>
      <c r="G287" s="26" t="str">
        <f t="shared" si="11"/>
        <v/>
      </c>
      <c r="H287" s="26" t="str">
        <f>IF($B287="","",IF($C287="筐子销售款",ROUND(SUMIFS(周转筐出入库明细!$P$4:$P$2004,周转筐出入库明细!$C$4:$C$2004,$B287,周转筐出入库明细!$F$4:$F$2004,"销售出库",周转筐出入库明细!$Q$4:$Q$2004,"已收讫"),2),ROUND(SUMIFS(包装物料出入库明细!$N$4:$N$2003,包装物料出入库明细!$D$4:$D$2003,$B287,包装物料出入库明细!$H$4:$H$2003,"销售出库",包装物料出入库明细!$P$4:$P$2003,"已收讫"),2)))</f>
        <v/>
      </c>
      <c r="I287" s="27"/>
    </row>
    <row r="288" spans="1:9">
      <c r="A288" s="22" t="str">
        <f t="shared" ref="A288:A351" si="12">IF($B288="","",ROW()-159)</f>
        <v/>
      </c>
      <c r="B288" s="37" t="str">
        <f>IFERROR(INDEX(_自动清单!$CL$4:$CL$203,INT((ROW()-160)/2)+1),"")</f>
        <v/>
      </c>
      <c r="C288" s="37" t="str">
        <f t="shared" ref="C288:C351" si="13">IF($B288="","",IF(MOD(ROW()-160,2)=0,"筐子销售款","物料销售款"))</f>
        <v/>
      </c>
      <c r="D288" s="26">
        <f>IF($B288="",0,IF($C288="筐子销售款",ROUND(SUMIFS(周转筐出入库明细!$P$4:$P$2004,周转筐出入库明细!$C$4:$C$2004,$B288,周转筐出入库明细!$F$4:$F$2004,"销售出库"),2),ROUND(SUMIFS(包装物料出入库明细!$N$4:$N$2003,包装物料出入库明细!$D$4:$D$2003,$B288,包装物料出入库明细!$H$4:$H$2003,"销售出库"),2)))</f>
        <v>0</v>
      </c>
      <c r="E288" s="26">
        <f>IF($B288="",0,IF($C288="筐子销售款",ROUND(SUMIFS(周转筐出入库明细!$P$4:$P$2004,周转筐出入库明细!$C$4:$C$2004,$B288,周转筐出入库明细!$F$4:$F$2004,"采购入库"),2),ROUND(SUMIFS(包装物料出入库明细!$N$4:$N$2003,包装物料出入库明细!$D$4:$D$2003,$B288,包装物料出入库明细!$H$4:$H$2003,"采购入库"),2)))</f>
        <v>0</v>
      </c>
      <c r="F288" s="24"/>
      <c r="G288" s="26" t="str">
        <f t="shared" ref="G288:G351" si="14">IF($B288="","",ROUND(N($D288),2))</f>
        <v/>
      </c>
      <c r="H288" s="26" t="str">
        <f>IF($B288="","",IF($C288="筐子销售款",ROUND(SUMIFS(周转筐出入库明细!$P$4:$P$2004,周转筐出入库明细!$C$4:$C$2004,$B288,周转筐出入库明细!$F$4:$F$2004,"销售出库",周转筐出入库明细!$Q$4:$Q$2004,"已收讫"),2),ROUND(SUMIFS(包装物料出入库明细!$N$4:$N$2003,包装物料出入库明细!$D$4:$D$2003,$B288,包装物料出入库明细!$H$4:$H$2003,"销售出库",包装物料出入库明细!$P$4:$P$2003,"已收讫"),2)))</f>
        <v/>
      </c>
      <c r="I288" s="27"/>
    </row>
    <row r="289" spans="1:9">
      <c r="A289" s="22" t="str">
        <f t="shared" si="12"/>
        <v/>
      </c>
      <c r="B289" s="37" t="str">
        <f>IFERROR(INDEX(_自动清单!$CL$4:$CL$203,INT((ROW()-160)/2)+1),"")</f>
        <v/>
      </c>
      <c r="C289" s="37" t="str">
        <f t="shared" si="13"/>
        <v/>
      </c>
      <c r="D289" s="26">
        <f>IF($B289="",0,IF($C289="筐子销售款",ROUND(SUMIFS(周转筐出入库明细!$P$4:$P$2004,周转筐出入库明细!$C$4:$C$2004,$B289,周转筐出入库明细!$F$4:$F$2004,"销售出库"),2),ROUND(SUMIFS(包装物料出入库明细!$N$4:$N$2003,包装物料出入库明细!$D$4:$D$2003,$B289,包装物料出入库明细!$H$4:$H$2003,"销售出库"),2)))</f>
        <v>0</v>
      </c>
      <c r="E289" s="26">
        <f>IF($B289="",0,IF($C289="筐子销售款",ROUND(SUMIFS(周转筐出入库明细!$P$4:$P$2004,周转筐出入库明细!$C$4:$C$2004,$B289,周转筐出入库明细!$F$4:$F$2004,"采购入库"),2),ROUND(SUMIFS(包装物料出入库明细!$N$4:$N$2003,包装物料出入库明细!$D$4:$D$2003,$B289,包装物料出入库明细!$H$4:$H$2003,"采购入库"),2)))</f>
        <v>0</v>
      </c>
      <c r="F289" s="24"/>
      <c r="G289" s="26" t="str">
        <f t="shared" si="14"/>
        <v/>
      </c>
      <c r="H289" s="26" t="str">
        <f>IF($B289="","",IF($C289="筐子销售款",ROUND(SUMIFS(周转筐出入库明细!$P$4:$P$2004,周转筐出入库明细!$C$4:$C$2004,$B289,周转筐出入库明细!$F$4:$F$2004,"销售出库",周转筐出入库明细!$Q$4:$Q$2004,"已收讫"),2),ROUND(SUMIFS(包装物料出入库明细!$N$4:$N$2003,包装物料出入库明细!$D$4:$D$2003,$B289,包装物料出入库明细!$H$4:$H$2003,"销售出库",包装物料出入库明细!$P$4:$P$2003,"已收讫"),2)))</f>
        <v/>
      </c>
      <c r="I289" s="27"/>
    </row>
    <row r="290" spans="1:9">
      <c r="A290" s="22" t="str">
        <f t="shared" si="12"/>
        <v/>
      </c>
      <c r="B290" s="37" t="str">
        <f>IFERROR(INDEX(_自动清单!$CL$4:$CL$203,INT((ROW()-160)/2)+1),"")</f>
        <v/>
      </c>
      <c r="C290" s="37" t="str">
        <f t="shared" si="13"/>
        <v/>
      </c>
      <c r="D290" s="26">
        <f>IF($B290="",0,IF($C290="筐子销售款",ROUND(SUMIFS(周转筐出入库明细!$P$4:$P$2004,周转筐出入库明细!$C$4:$C$2004,$B290,周转筐出入库明细!$F$4:$F$2004,"销售出库"),2),ROUND(SUMIFS(包装物料出入库明细!$N$4:$N$2003,包装物料出入库明细!$D$4:$D$2003,$B290,包装物料出入库明细!$H$4:$H$2003,"销售出库"),2)))</f>
        <v>0</v>
      </c>
      <c r="E290" s="26">
        <f>IF($B290="",0,IF($C290="筐子销售款",ROUND(SUMIFS(周转筐出入库明细!$P$4:$P$2004,周转筐出入库明细!$C$4:$C$2004,$B290,周转筐出入库明细!$F$4:$F$2004,"采购入库"),2),ROUND(SUMIFS(包装物料出入库明细!$N$4:$N$2003,包装物料出入库明细!$D$4:$D$2003,$B290,包装物料出入库明细!$H$4:$H$2003,"采购入库"),2)))</f>
        <v>0</v>
      </c>
      <c r="F290" s="24"/>
      <c r="G290" s="26" t="str">
        <f t="shared" si="14"/>
        <v/>
      </c>
      <c r="H290" s="26" t="str">
        <f>IF($B290="","",IF($C290="筐子销售款",ROUND(SUMIFS(周转筐出入库明细!$P$4:$P$2004,周转筐出入库明细!$C$4:$C$2004,$B290,周转筐出入库明细!$F$4:$F$2004,"销售出库",周转筐出入库明细!$Q$4:$Q$2004,"已收讫"),2),ROUND(SUMIFS(包装物料出入库明细!$N$4:$N$2003,包装物料出入库明细!$D$4:$D$2003,$B290,包装物料出入库明细!$H$4:$H$2003,"销售出库",包装物料出入库明细!$P$4:$P$2003,"已收讫"),2)))</f>
        <v/>
      </c>
      <c r="I290" s="27"/>
    </row>
    <row r="291" spans="1:9">
      <c r="A291" s="22" t="str">
        <f t="shared" si="12"/>
        <v/>
      </c>
      <c r="B291" s="37" t="str">
        <f>IFERROR(INDEX(_自动清单!$CL$4:$CL$203,INT((ROW()-160)/2)+1),"")</f>
        <v/>
      </c>
      <c r="C291" s="37" t="str">
        <f t="shared" si="13"/>
        <v/>
      </c>
      <c r="D291" s="26">
        <f>IF($B291="",0,IF($C291="筐子销售款",ROUND(SUMIFS(周转筐出入库明细!$P$4:$P$2004,周转筐出入库明细!$C$4:$C$2004,$B291,周转筐出入库明细!$F$4:$F$2004,"销售出库"),2),ROUND(SUMIFS(包装物料出入库明细!$N$4:$N$2003,包装物料出入库明细!$D$4:$D$2003,$B291,包装物料出入库明细!$H$4:$H$2003,"销售出库"),2)))</f>
        <v>0</v>
      </c>
      <c r="E291" s="26">
        <f>IF($B291="",0,IF($C291="筐子销售款",ROUND(SUMIFS(周转筐出入库明细!$P$4:$P$2004,周转筐出入库明细!$C$4:$C$2004,$B291,周转筐出入库明细!$F$4:$F$2004,"采购入库"),2),ROUND(SUMIFS(包装物料出入库明细!$N$4:$N$2003,包装物料出入库明细!$D$4:$D$2003,$B291,包装物料出入库明细!$H$4:$H$2003,"采购入库"),2)))</f>
        <v>0</v>
      </c>
      <c r="F291" s="24"/>
      <c r="G291" s="26" t="str">
        <f t="shared" si="14"/>
        <v/>
      </c>
      <c r="H291" s="26" t="str">
        <f>IF($B291="","",IF($C291="筐子销售款",ROUND(SUMIFS(周转筐出入库明细!$P$4:$P$2004,周转筐出入库明细!$C$4:$C$2004,$B291,周转筐出入库明细!$F$4:$F$2004,"销售出库",周转筐出入库明细!$Q$4:$Q$2004,"已收讫"),2),ROUND(SUMIFS(包装物料出入库明细!$N$4:$N$2003,包装物料出入库明细!$D$4:$D$2003,$B291,包装物料出入库明细!$H$4:$H$2003,"销售出库",包装物料出入库明细!$P$4:$P$2003,"已收讫"),2)))</f>
        <v/>
      </c>
      <c r="I291" s="27"/>
    </row>
    <row r="292" spans="1:9">
      <c r="A292" s="22" t="str">
        <f t="shared" si="12"/>
        <v/>
      </c>
      <c r="B292" s="37" t="str">
        <f>IFERROR(INDEX(_自动清单!$CL$4:$CL$203,INT((ROW()-160)/2)+1),"")</f>
        <v/>
      </c>
      <c r="C292" s="37" t="str">
        <f t="shared" si="13"/>
        <v/>
      </c>
      <c r="D292" s="26">
        <f>IF($B292="",0,IF($C292="筐子销售款",ROUND(SUMIFS(周转筐出入库明细!$P$4:$P$2004,周转筐出入库明细!$C$4:$C$2004,$B292,周转筐出入库明细!$F$4:$F$2004,"销售出库"),2),ROUND(SUMIFS(包装物料出入库明细!$N$4:$N$2003,包装物料出入库明细!$D$4:$D$2003,$B292,包装物料出入库明细!$H$4:$H$2003,"销售出库"),2)))</f>
        <v>0</v>
      </c>
      <c r="E292" s="26">
        <f>IF($B292="",0,IF($C292="筐子销售款",ROUND(SUMIFS(周转筐出入库明细!$P$4:$P$2004,周转筐出入库明细!$C$4:$C$2004,$B292,周转筐出入库明细!$F$4:$F$2004,"采购入库"),2),ROUND(SUMIFS(包装物料出入库明细!$N$4:$N$2003,包装物料出入库明细!$D$4:$D$2003,$B292,包装物料出入库明细!$H$4:$H$2003,"采购入库"),2)))</f>
        <v>0</v>
      </c>
      <c r="F292" s="24"/>
      <c r="G292" s="26" t="str">
        <f t="shared" si="14"/>
        <v/>
      </c>
      <c r="H292" s="26" t="str">
        <f>IF($B292="","",IF($C292="筐子销售款",ROUND(SUMIFS(周转筐出入库明细!$P$4:$P$2004,周转筐出入库明细!$C$4:$C$2004,$B292,周转筐出入库明细!$F$4:$F$2004,"销售出库",周转筐出入库明细!$Q$4:$Q$2004,"已收讫"),2),ROUND(SUMIFS(包装物料出入库明细!$N$4:$N$2003,包装物料出入库明细!$D$4:$D$2003,$B292,包装物料出入库明细!$H$4:$H$2003,"销售出库",包装物料出入库明细!$P$4:$P$2003,"已收讫"),2)))</f>
        <v/>
      </c>
      <c r="I292" s="27"/>
    </row>
    <row r="293" spans="1:9">
      <c r="A293" s="22" t="str">
        <f t="shared" si="12"/>
        <v/>
      </c>
      <c r="B293" s="37" t="str">
        <f>IFERROR(INDEX(_自动清单!$CL$4:$CL$203,INT((ROW()-160)/2)+1),"")</f>
        <v/>
      </c>
      <c r="C293" s="37" t="str">
        <f t="shared" si="13"/>
        <v/>
      </c>
      <c r="D293" s="26">
        <f>IF($B293="",0,IF($C293="筐子销售款",ROUND(SUMIFS(周转筐出入库明细!$P$4:$P$2004,周转筐出入库明细!$C$4:$C$2004,$B293,周转筐出入库明细!$F$4:$F$2004,"销售出库"),2),ROUND(SUMIFS(包装物料出入库明细!$N$4:$N$2003,包装物料出入库明细!$D$4:$D$2003,$B293,包装物料出入库明细!$H$4:$H$2003,"销售出库"),2)))</f>
        <v>0</v>
      </c>
      <c r="E293" s="26">
        <f>IF($B293="",0,IF($C293="筐子销售款",ROUND(SUMIFS(周转筐出入库明细!$P$4:$P$2004,周转筐出入库明细!$C$4:$C$2004,$B293,周转筐出入库明细!$F$4:$F$2004,"采购入库"),2),ROUND(SUMIFS(包装物料出入库明细!$N$4:$N$2003,包装物料出入库明细!$D$4:$D$2003,$B293,包装物料出入库明细!$H$4:$H$2003,"采购入库"),2)))</f>
        <v>0</v>
      </c>
      <c r="F293" s="24"/>
      <c r="G293" s="26" t="str">
        <f t="shared" si="14"/>
        <v/>
      </c>
      <c r="H293" s="26" t="str">
        <f>IF($B293="","",IF($C293="筐子销售款",ROUND(SUMIFS(周转筐出入库明细!$P$4:$P$2004,周转筐出入库明细!$C$4:$C$2004,$B293,周转筐出入库明细!$F$4:$F$2004,"销售出库",周转筐出入库明细!$Q$4:$Q$2004,"已收讫"),2),ROUND(SUMIFS(包装物料出入库明细!$N$4:$N$2003,包装物料出入库明细!$D$4:$D$2003,$B293,包装物料出入库明细!$H$4:$H$2003,"销售出库",包装物料出入库明细!$P$4:$P$2003,"已收讫"),2)))</f>
        <v/>
      </c>
      <c r="I293" s="27"/>
    </row>
    <row r="294" spans="1:9">
      <c r="A294" s="22" t="str">
        <f t="shared" si="12"/>
        <v/>
      </c>
      <c r="B294" s="37" t="str">
        <f>IFERROR(INDEX(_自动清单!$CL$4:$CL$203,INT((ROW()-160)/2)+1),"")</f>
        <v/>
      </c>
      <c r="C294" s="37" t="str">
        <f t="shared" si="13"/>
        <v/>
      </c>
      <c r="D294" s="26">
        <f>IF($B294="",0,IF($C294="筐子销售款",ROUND(SUMIFS(周转筐出入库明细!$P$4:$P$2004,周转筐出入库明细!$C$4:$C$2004,$B294,周转筐出入库明细!$F$4:$F$2004,"销售出库"),2),ROUND(SUMIFS(包装物料出入库明细!$N$4:$N$2003,包装物料出入库明细!$D$4:$D$2003,$B294,包装物料出入库明细!$H$4:$H$2003,"销售出库"),2)))</f>
        <v>0</v>
      </c>
      <c r="E294" s="26">
        <f>IF($B294="",0,IF($C294="筐子销售款",ROUND(SUMIFS(周转筐出入库明细!$P$4:$P$2004,周转筐出入库明细!$C$4:$C$2004,$B294,周转筐出入库明细!$F$4:$F$2004,"采购入库"),2),ROUND(SUMIFS(包装物料出入库明细!$N$4:$N$2003,包装物料出入库明细!$D$4:$D$2003,$B294,包装物料出入库明细!$H$4:$H$2003,"采购入库"),2)))</f>
        <v>0</v>
      </c>
      <c r="F294" s="24"/>
      <c r="G294" s="26" t="str">
        <f t="shared" si="14"/>
        <v/>
      </c>
      <c r="H294" s="26" t="str">
        <f>IF($B294="","",IF($C294="筐子销售款",ROUND(SUMIFS(周转筐出入库明细!$P$4:$P$2004,周转筐出入库明细!$C$4:$C$2004,$B294,周转筐出入库明细!$F$4:$F$2004,"销售出库",周转筐出入库明细!$Q$4:$Q$2004,"已收讫"),2),ROUND(SUMIFS(包装物料出入库明细!$N$4:$N$2003,包装物料出入库明细!$D$4:$D$2003,$B294,包装物料出入库明细!$H$4:$H$2003,"销售出库",包装物料出入库明细!$P$4:$P$2003,"已收讫"),2)))</f>
        <v/>
      </c>
      <c r="I294" s="27"/>
    </row>
    <row r="295" spans="1:9">
      <c r="A295" s="22" t="str">
        <f t="shared" si="12"/>
        <v/>
      </c>
      <c r="B295" s="37" t="str">
        <f>IFERROR(INDEX(_自动清单!$CL$4:$CL$203,INT((ROW()-160)/2)+1),"")</f>
        <v/>
      </c>
      <c r="C295" s="37" t="str">
        <f t="shared" si="13"/>
        <v/>
      </c>
      <c r="D295" s="26">
        <f>IF($B295="",0,IF($C295="筐子销售款",ROUND(SUMIFS(周转筐出入库明细!$P$4:$P$2004,周转筐出入库明细!$C$4:$C$2004,$B295,周转筐出入库明细!$F$4:$F$2004,"销售出库"),2),ROUND(SUMIFS(包装物料出入库明细!$N$4:$N$2003,包装物料出入库明细!$D$4:$D$2003,$B295,包装物料出入库明细!$H$4:$H$2003,"销售出库"),2)))</f>
        <v>0</v>
      </c>
      <c r="E295" s="26">
        <f>IF($B295="",0,IF($C295="筐子销售款",ROUND(SUMIFS(周转筐出入库明细!$P$4:$P$2004,周转筐出入库明细!$C$4:$C$2004,$B295,周转筐出入库明细!$F$4:$F$2004,"采购入库"),2),ROUND(SUMIFS(包装物料出入库明细!$N$4:$N$2003,包装物料出入库明细!$D$4:$D$2003,$B295,包装物料出入库明细!$H$4:$H$2003,"采购入库"),2)))</f>
        <v>0</v>
      </c>
      <c r="F295" s="24"/>
      <c r="G295" s="26" t="str">
        <f t="shared" si="14"/>
        <v/>
      </c>
      <c r="H295" s="26" t="str">
        <f>IF($B295="","",IF($C295="筐子销售款",ROUND(SUMIFS(周转筐出入库明细!$P$4:$P$2004,周转筐出入库明细!$C$4:$C$2004,$B295,周转筐出入库明细!$F$4:$F$2004,"销售出库",周转筐出入库明细!$Q$4:$Q$2004,"已收讫"),2),ROUND(SUMIFS(包装物料出入库明细!$N$4:$N$2003,包装物料出入库明细!$D$4:$D$2003,$B295,包装物料出入库明细!$H$4:$H$2003,"销售出库",包装物料出入库明细!$P$4:$P$2003,"已收讫"),2)))</f>
        <v/>
      </c>
      <c r="I295" s="27"/>
    </row>
    <row r="296" spans="1:9">
      <c r="A296" s="22" t="str">
        <f t="shared" si="12"/>
        <v/>
      </c>
      <c r="B296" s="37" t="str">
        <f>IFERROR(INDEX(_自动清单!$CL$4:$CL$203,INT((ROW()-160)/2)+1),"")</f>
        <v/>
      </c>
      <c r="C296" s="37" t="str">
        <f t="shared" si="13"/>
        <v/>
      </c>
      <c r="D296" s="26">
        <f>IF($B296="",0,IF($C296="筐子销售款",ROUND(SUMIFS(周转筐出入库明细!$P$4:$P$2004,周转筐出入库明细!$C$4:$C$2004,$B296,周转筐出入库明细!$F$4:$F$2004,"销售出库"),2),ROUND(SUMIFS(包装物料出入库明细!$N$4:$N$2003,包装物料出入库明细!$D$4:$D$2003,$B296,包装物料出入库明细!$H$4:$H$2003,"销售出库"),2)))</f>
        <v>0</v>
      </c>
      <c r="E296" s="26">
        <f>IF($B296="",0,IF($C296="筐子销售款",ROUND(SUMIFS(周转筐出入库明细!$P$4:$P$2004,周转筐出入库明细!$C$4:$C$2004,$B296,周转筐出入库明细!$F$4:$F$2004,"采购入库"),2),ROUND(SUMIFS(包装物料出入库明细!$N$4:$N$2003,包装物料出入库明细!$D$4:$D$2003,$B296,包装物料出入库明细!$H$4:$H$2003,"采购入库"),2)))</f>
        <v>0</v>
      </c>
      <c r="F296" s="24"/>
      <c r="G296" s="26" t="str">
        <f t="shared" si="14"/>
        <v/>
      </c>
      <c r="H296" s="26" t="str">
        <f>IF($B296="","",IF($C296="筐子销售款",ROUND(SUMIFS(周转筐出入库明细!$P$4:$P$2004,周转筐出入库明细!$C$4:$C$2004,$B296,周转筐出入库明细!$F$4:$F$2004,"销售出库",周转筐出入库明细!$Q$4:$Q$2004,"已收讫"),2),ROUND(SUMIFS(包装物料出入库明细!$N$4:$N$2003,包装物料出入库明细!$D$4:$D$2003,$B296,包装物料出入库明细!$H$4:$H$2003,"销售出库",包装物料出入库明细!$P$4:$P$2003,"已收讫"),2)))</f>
        <v/>
      </c>
      <c r="I296" s="27"/>
    </row>
    <row r="297" spans="1:9">
      <c r="A297" s="22" t="str">
        <f t="shared" si="12"/>
        <v/>
      </c>
      <c r="B297" s="37" t="str">
        <f>IFERROR(INDEX(_自动清单!$CL$4:$CL$203,INT((ROW()-160)/2)+1),"")</f>
        <v/>
      </c>
      <c r="C297" s="37" t="str">
        <f t="shared" si="13"/>
        <v/>
      </c>
      <c r="D297" s="26">
        <f>IF($B297="",0,IF($C297="筐子销售款",ROUND(SUMIFS(周转筐出入库明细!$P$4:$P$2004,周转筐出入库明细!$C$4:$C$2004,$B297,周转筐出入库明细!$F$4:$F$2004,"销售出库"),2),ROUND(SUMIFS(包装物料出入库明细!$N$4:$N$2003,包装物料出入库明细!$D$4:$D$2003,$B297,包装物料出入库明细!$H$4:$H$2003,"销售出库"),2)))</f>
        <v>0</v>
      </c>
      <c r="E297" s="26">
        <f>IF($B297="",0,IF($C297="筐子销售款",ROUND(SUMIFS(周转筐出入库明细!$P$4:$P$2004,周转筐出入库明细!$C$4:$C$2004,$B297,周转筐出入库明细!$F$4:$F$2004,"采购入库"),2),ROUND(SUMIFS(包装物料出入库明细!$N$4:$N$2003,包装物料出入库明细!$D$4:$D$2003,$B297,包装物料出入库明细!$H$4:$H$2003,"采购入库"),2)))</f>
        <v>0</v>
      </c>
      <c r="F297" s="24"/>
      <c r="G297" s="26" t="str">
        <f t="shared" si="14"/>
        <v/>
      </c>
      <c r="H297" s="26" t="str">
        <f>IF($B297="","",IF($C297="筐子销售款",ROUND(SUMIFS(周转筐出入库明细!$P$4:$P$2004,周转筐出入库明细!$C$4:$C$2004,$B297,周转筐出入库明细!$F$4:$F$2004,"销售出库",周转筐出入库明细!$Q$4:$Q$2004,"已收讫"),2),ROUND(SUMIFS(包装物料出入库明细!$N$4:$N$2003,包装物料出入库明细!$D$4:$D$2003,$B297,包装物料出入库明细!$H$4:$H$2003,"销售出库",包装物料出入库明细!$P$4:$P$2003,"已收讫"),2)))</f>
        <v/>
      </c>
      <c r="I297" s="27"/>
    </row>
    <row r="298" spans="1:9">
      <c r="A298" s="22" t="str">
        <f t="shared" si="12"/>
        <v/>
      </c>
      <c r="B298" s="37" t="str">
        <f>IFERROR(INDEX(_自动清单!$CL$4:$CL$203,INT((ROW()-160)/2)+1),"")</f>
        <v/>
      </c>
      <c r="C298" s="37" t="str">
        <f t="shared" si="13"/>
        <v/>
      </c>
      <c r="D298" s="26">
        <f>IF($B298="",0,IF($C298="筐子销售款",ROUND(SUMIFS(周转筐出入库明细!$P$4:$P$2004,周转筐出入库明细!$C$4:$C$2004,$B298,周转筐出入库明细!$F$4:$F$2004,"销售出库"),2),ROUND(SUMIFS(包装物料出入库明细!$N$4:$N$2003,包装物料出入库明细!$D$4:$D$2003,$B298,包装物料出入库明细!$H$4:$H$2003,"销售出库"),2)))</f>
        <v>0</v>
      </c>
      <c r="E298" s="26">
        <f>IF($B298="",0,IF($C298="筐子销售款",ROUND(SUMIFS(周转筐出入库明细!$P$4:$P$2004,周转筐出入库明细!$C$4:$C$2004,$B298,周转筐出入库明细!$F$4:$F$2004,"采购入库"),2),ROUND(SUMIFS(包装物料出入库明细!$N$4:$N$2003,包装物料出入库明细!$D$4:$D$2003,$B298,包装物料出入库明细!$H$4:$H$2003,"采购入库"),2)))</f>
        <v>0</v>
      </c>
      <c r="F298" s="24"/>
      <c r="G298" s="26" t="str">
        <f t="shared" si="14"/>
        <v/>
      </c>
      <c r="H298" s="26" t="str">
        <f>IF($B298="","",IF($C298="筐子销售款",ROUND(SUMIFS(周转筐出入库明细!$P$4:$P$2004,周转筐出入库明细!$C$4:$C$2004,$B298,周转筐出入库明细!$F$4:$F$2004,"销售出库",周转筐出入库明细!$Q$4:$Q$2004,"已收讫"),2),ROUND(SUMIFS(包装物料出入库明细!$N$4:$N$2003,包装物料出入库明细!$D$4:$D$2003,$B298,包装物料出入库明细!$H$4:$H$2003,"销售出库",包装物料出入库明细!$P$4:$P$2003,"已收讫"),2)))</f>
        <v/>
      </c>
      <c r="I298" s="27"/>
    </row>
    <row r="299" spans="1:9">
      <c r="A299" s="22" t="str">
        <f t="shared" si="12"/>
        <v/>
      </c>
      <c r="B299" s="37" t="str">
        <f>IFERROR(INDEX(_自动清单!$CL$4:$CL$203,INT((ROW()-160)/2)+1),"")</f>
        <v/>
      </c>
      <c r="C299" s="37" t="str">
        <f t="shared" si="13"/>
        <v/>
      </c>
      <c r="D299" s="26">
        <f>IF($B299="",0,IF($C299="筐子销售款",ROUND(SUMIFS(周转筐出入库明细!$P$4:$P$2004,周转筐出入库明细!$C$4:$C$2004,$B299,周转筐出入库明细!$F$4:$F$2004,"销售出库"),2),ROUND(SUMIFS(包装物料出入库明细!$N$4:$N$2003,包装物料出入库明细!$D$4:$D$2003,$B299,包装物料出入库明细!$H$4:$H$2003,"销售出库"),2)))</f>
        <v>0</v>
      </c>
      <c r="E299" s="26">
        <f>IF($B299="",0,IF($C299="筐子销售款",ROUND(SUMIFS(周转筐出入库明细!$P$4:$P$2004,周转筐出入库明细!$C$4:$C$2004,$B299,周转筐出入库明细!$F$4:$F$2004,"采购入库"),2),ROUND(SUMIFS(包装物料出入库明细!$N$4:$N$2003,包装物料出入库明细!$D$4:$D$2003,$B299,包装物料出入库明细!$H$4:$H$2003,"采购入库"),2)))</f>
        <v>0</v>
      </c>
      <c r="F299" s="24"/>
      <c r="G299" s="26" t="str">
        <f t="shared" si="14"/>
        <v/>
      </c>
      <c r="H299" s="26" t="str">
        <f>IF($B299="","",IF($C299="筐子销售款",ROUND(SUMIFS(周转筐出入库明细!$P$4:$P$2004,周转筐出入库明细!$C$4:$C$2004,$B299,周转筐出入库明细!$F$4:$F$2004,"销售出库",周转筐出入库明细!$Q$4:$Q$2004,"已收讫"),2),ROUND(SUMIFS(包装物料出入库明细!$N$4:$N$2003,包装物料出入库明细!$D$4:$D$2003,$B299,包装物料出入库明细!$H$4:$H$2003,"销售出库",包装物料出入库明细!$P$4:$P$2003,"已收讫"),2)))</f>
        <v/>
      </c>
      <c r="I299" s="27"/>
    </row>
    <row r="300" spans="1:9">
      <c r="A300" s="22" t="str">
        <f t="shared" si="12"/>
        <v/>
      </c>
      <c r="B300" s="37" t="str">
        <f>IFERROR(INDEX(_自动清单!$CL$4:$CL$203,INT((ROW()-160)/2)+1),"")</f>
        <v/>
      </c>
      <c r="C300" s="37" t="str">
        <f t="shared" si="13"/>
        <v/>
      </c>
      <c r="D300" s="26">
        <f>IF($B300="",0,IF($C300="筐子销售款",ROUND(SUMIFS(周转筐出入库明细!$P$4:$P$2004,周转筐出入库明细!$C$4:$C$2004,$B300,周转筐出入库明细!$F$4:$F$2004,"销售出库"),2),ROUND(SUMIFS(包装物料出入库明细!$N$4:$N$2003,包装物料出入库明细!$D$4:$D$2003,$B300,包装物料出入库明细!$H$4:$H$2003,"销售出库"),2)))</f>
        <v>0</v>
      </c>
      <c r="E300" s="26">
        <f>IF($B300="",0,IF($C300="筐子销售款",ROUND(SUMIFS(周转筐出入库明细!$P$4:$P$2004,周转筐出入库明细!$C$4:$C$2004,$B300,周转筐出入库明细!$F$4:$F$2004,"采购入库"),2),ROUND(SUMIFS(包装物料出入库明细!$N$4:$N$2003,包装物料出入库明细!$D$4:$D$2003,$B300,包装物料出入库明细!$H$4:$H$2003,"采购入库"),2)))</f>
        <v>0</v>
      </c>
      <c r="F300" s="24"/>
      <c r="G300" s="26" t="str">
        <f t="shared" si="14"/>
        <v/>
      </c>
      <c r="H300" s="26" t="str">
        <f>IF($B300="","",IF($C300="筐子销售款",ROUND(SUMIFS(周转筐出入库明细!$P$4:$P$2004,周转筐出入库明细!$C$4:$C$2004,$B300,周转筐出入库明细!$F$4:$F$2004,"销售出库",周转筐出入库明细!$Q$4:$Q$2004,"已收讫"),2),ROUND(SUMIFS(包装物料出入库明细!$N$4:$N$2003,包装物料出入库明细!$D$4:$D$2003,$B300,包装物料出入库明细!$H$4:$H$2003,"销售出库",包装物料出入库明细!$P$4:$P$2003,"已收讫"),2)))</f>
        <v/>
      </c>
      <c r="I300" s="27"/>
    </row>
    <row r="301" spans="1:9">
      <c r="A301" s="22" t="str">
        <f t="shared" si="12"/>
        <v/>
      </c>
      <c r="B301" s="37" t="str">
        <f>IFERROR(INDEX(_自动清单!$CL$4:$CL$203,INT((ROW()-160)/2)+1),"")</f>
        <v/>
      </c>
      <c r="C301" s="37" t="str">
        <f t="shared" si="13"/>
        <v/>
      </c>
      <c r="D301" s="26">
        <f>IF($B301="",0,IF($C301="筐子销售款",ROUND(SUMIFS(周转筐出入库明细!$P$4:$P$2004,周转筐出入库明细!$C$4:$C$2004,$B301,周转筐出入库明细!$F$4:$F$2004,"销售出库"),2),ROUND(SUMIFS(包装物料出入库明细!$N$4:$N$2003,包装物料出入库明细!$D$4:$D$2003,$B301,包装物料出入库明细!$H$4:$H$2003,"销售出库"),2)))</f>
        <v>0</v>
      </c>
      <c r="E301" s="26">
        <f>IF($B301="",0,IF($C301="筐子销售款",ROUND(SUMIFS(周转筐出入库明细!$P$4:$P$2004,周转筐出入库明细!$C$4:$C$2004,$B301,周转筐出入库明细!$F$4:$F$2004,"采购入库"),2),ROUND(SUMIFS(包装物料出入库明细!$N$4:$N$2003,包装物料出入库明细!$D$4:$D$2003,$B301,包装物料出入库明细!$H$4:$H$2003,"采购入库"),2)))</f>
        <v>0</v>
      </c>
      <c r="F301" s="24"/>
      <c r="G301" s="26" t="str">
        <f t="shared" si="14"/>
        <v/>
      </c>
      <c r="H301" s="26" t="str">
        <f>IF($B301="","",IF($C301="筐子销售款",ROUND(SUMIFS(周转筐出入库明细!$P$4:$P$2004,周转筐出入库明细!$C$4:$C$2004,$B301,周转筐出入库明细!$F$4:$F$2004,"销售出库",周转筐出入库明细!$Q$4:$Q$2004,"已收讫"),2),ROUND(SUMIFS(包装物料出入库明细!$N$4:$N$2003,包装物料出入库明细!$D$4:$D$2003,$B301,包装物料出入库明细!$H$4:$H$2003,"销售出库",包装物料出入库明细!$P$4:$P$2003,"已收讫"),2)))</f>
        <v/>
      </c>
      <c r="I301" s="27"/>
    </row>
    <row r="302" spans="1:9">
      <c r="A302" s="22" t="str">
        <f t="shared" si="12"/>
        <v/>
      </c>
      <c r="B302" s="37" t="str">
        <f>IFERROR(INDEX(_自动清单!$CL$4:$CL$203,INT((ROW()-160)/2)+1),"")</f>
        <v/>
      </c>
      <c r="C302" s="37" t="str">
        <f t="shared" si="13"/>
        <v/>
      </c>
      <c r="D302" s="26">
        <f>IF($B302="",0,IF($C302="筐子销售款",ROUND(SUMIFS(周转筐出入库明细!$P$4:$P$2004,周转筐出入库明细!$C$4:$C$2004,$B302,周转筐出入库明细!$F$4:$F$2004,"销售出库"),2),ROUND(SUMIFS(包装物料出入库明细!$N$4:$N$2003,包装物料出入库明细!$D$4:$D$2003,$B302,包装物料出入库明细!$H$4:$H$2003,"销售出库"),2)))</f>
        <v>0</v>
      </c>
      <c r="E302" s="26">
        <f>IF($B302="",0,IF($C302="筐子销售款",ROUND(SUMIFS(周转筐出入库明细!$P$4:$P$2004,周转筐出入库明细!$C$4:$C$2004,$B302,周转筐出入库明细!$F$4:$F$2004,"采购入库"),2),ROUND(SUMIFS(包装物料出入库明细!$N$4:$N$2003,包装物料出入库明细!$D$4:$D$2003,$B302,包装物料出入库明细!$H$4:$H$2003,"采购入库"),2)))</f>
        <v>0</v>
      </c>
      <c r="F302" s="24"/>
      <c r="G302" s="26" t="str">
        <f t="shared" si="14"/>
        <v/>
      </c>
      <c r="H302" s="26" t="str">
        <f>IF($B302="","",IF($C302="筐子销售款",ROUND(SUMIFS(周转筐出入库明细!$P$4:$P$2004,周转筐出入库明细!$C$4:$C$2004,$B302,周转筐出入库明细!$F$4:$F$2004,"销售出库",周转筐出入库明细!$Q$4:$Q$2004,"已收讫"),2),ROUND(SUMIFS(包装物料出入库明细!$N$4:$N$2003,包装物料出入库明细!$D$4:$D$2003,$B302,包装物料出入库明细!$H$4:$H$2003,"销售出库",包装物料出入库明细!$P$4:$P$2003,"已收讫"),2)))</f>
        <v/>
      </c>
      <c r="I302" s="27"/>
    </row>
    <row r="303" spans="1:9">
      <c r="A303" s="22" t="str">
        <f t="shared" si="12"/>
        <v/>
      </c>
      <c r="B303" s="37" t="str">
        <f>IFERROR(INDEX(_自动清单!$CL$4:$CL$203,INT((ROW()-160)/2)+1),"")</f>
        <v/>
      </c>
      <c r="C303" s="37" t="str">
        <f t="shared" si="13"/>
        <v/>
      </c>
      <c r="D303" s="26">
        <f>IF($B303="",0,IF($C303="筐子销售款",ROUND(SUMIFS(周转筐出入库明细!$P$4:$P$2004,周转筐出入库明细!$C$4:$C$2004,$B303,周转筐出入库明细!$F$4:$F$2004,"销售出库"),2),ROUND(SUMIFS(包装物料出入库明细!$N$4:$N$2003,包装物料出入库明细!$D$4:$D$2003,$B303,包装物料出入库明细!$H$4:$H$2003,"销售出库"),2)))</f>
        <v>0</v>
      </c>
      <c r="E303" s="26">
        <f>IF($B303="",0,IF($C303="筐子销售款",ROUND(SUMIFS(周转筐出入库明细!$P$4:$P$2004,周转筐出入库明细!$C$4:$C$2004,$B303,周转筐出入库明细!$F$4:$F$2004,"采购入库"),2),ROUND(SUMIFS(包装物料出入库明细!$N$4:$N$2003,包装物料出入库明细!$D$4:$D$2003,$B303,包装物料出入库明细!$H$4:$H$2003,"采购入库"),2)))</f>
        <v>0</v>
      </c>
      <c r="F303" s="24"/>
      <c r="G303" s="26" t="str">
        <f t="shared" si="14"/>
        <v/>
      </c>
      <c r="H303" s="26" t="str">
        <f>IF($B303="","",IF($C303="筐子销售款",ROUND(SUMIFS(周转筐出入库明细!$P$4:$P$2004,周转筐出入库明细!$C$4:$C$2004,$B303,周转筐出入库明细!$F$4:$F$2004,"销售出库",周转筐出入库明细!$Q$4:$Q$2004,"已收讫"),2),ROUND(SUMIFS(包装物料出入库明细!$N$4:$N$2003,包装物料出入库明细!$D$4:$D$2003,$B303,包装物料出入库明细!$H$4:$H$2003,"销售出库",包装物料出入库明细!$P$4:$P$2003,"已收讫"),2)))</f>
        <v/>
      </c>
      <c r="I303" s="27"/>
    </row>
    <row r="304" spans="1:9">
      <c r="A304" s="22" t="str">
        <f t="shared" si="12"/>
        <v/>
      </c>
      <c r="B304" s="37" t="str">
        <f>IFERROR(INDEX(_自动清单!$CL$4:$CL$203,INT((ROW()-160)/2)+1),"")</f>
        <v/>
      </c>
      <c r="C304" s="37" t="str">
        <f t="shared" si="13"/>
        <v/>
      </c>
      <c r="D304" s="26">
        <f>IF($B304="",0,IF($C304="筐子销售款",ROUND(SUMIFS(周转筐出入库明细!$P$4:$P$2004,周转筐出入库明细!$C$4:$C$2004,$B304,周转筐出入库明细!$F$4:$F$2004,"销售出库"),2),ROUND(SUMIFS(包装物料出入库明细!$N$4:$N$2003,包装物料出入库明细!$D$4:$D$2003,$B304,包装物料出入库明细!$H$4:$H$2003,"销售出库"),2)))</f>
        <v>0</v>
      </c>
      <c r="E304" s="26">
        <f>IF($B304="",0,IF($C304="筐子销售款",ROUND(SUMIFS(周转筐出入库明细!$P$4:$P$2004,周转筐出入库明细!$C$4:$C$2004,$B304,周转筐出入库明细!$F$4:$F$2004,"采购入库"),2),ROUND(SUMIFS(包装物料出入库明细!$N$4:$N$2003,包装物料出入库明细!$D$4:$D$2003,$B304,包装物料出入库明细!$H$4:$H$2003,"采购入库"),2)))</f>
        <v>0</v>
      </c>
      <c r="F304" s="24"/>
      <c r="G304" s="26" t="str">
        <f t="shared" si="14"/>
        <v/>
      </c>
      <c r="H304" s="26" t="str">
        <f>IF($B304="","",IF($C304="筐子销售款",ROUND(SUMIFS(周转筐出入库明细!$P$4:$P$2004,周转筐出入库明细!$C$4:$C$2004,$B304,周转筐出入库明细!$F$4:$F$2004,"销售出库",周转筐出入库明细!$Q$4:$Q$2004,"已收讫"),2),ROUND(SUMIFS(包装物料出入库明细!$N$4:$N$2003,包装物料出入库明细!$D$4:$D$2003,$B304,包装物料出入库明细!$H$4:$H$2003,"销售出库",包装物料出入库明细!$P$4:$P$2003,"已收讫"),2)))</f>
        <v/>
      </c>
      <c r="I304" s="27"/>
    </row>
    <row r="305" spans="1:9">
      <c r="A305" s="22" t="str">
        <f t="shared" si="12"/>
        <v/>
      </c>
      <c r="B305" s="37" t="str">
        <f>IFERROR(INDEX(_自动清单!$CL$4:$CL$203,INT((ROW()-160)/2)+1),"")</f>
        <v/>
      </c>
      <c r="C305" s="37" t="str">
        <f t="shared" si="13"/>
        <v/>
      </c>
      <c r="D305" s="26">
        <f>IF($B305="",0,IF($C305="筐子销售款",ROUND(SUMIFS(周转筐出入库明细!$P$4:$P$2004,周转筐出入库明细!$C$4:$C$2004,$B305,周转筐出入库明细!$F$4:$F$2004,"销售出库"),2),ROUND(SUMIFS(包装物料出入库明细!$N$4:$N$2003,包装物料出入库明细!$D$4:$D$2003,$B305,包装物料出入库明细!$H$4:$H$2003,"销售出库"),2)))</f>
        <v>0</v>
      </c>
      <c r="E305" s="26">
        <f>IF($B305="",0,IF($C305="筐子销售款",ROUND(SUMIFS(周转筐出入库明细!$P$4:$P$2004,周转筐出入库明细!$C$4:$C$2004,$B305,周转筐出入库明细!$F$4:$F$2004,"采购入库"),2),ROUND(SUMIFS(包装物料出入库明细!$N$4:$N$2003,包装物料出入库明细!$D$4:$D$2003,$B305,包装物料出入库明细!$H$4:$H$2003,"采购入库"),2)))</f>
        <v>0</v>
      </c>
      <c r="F305" s="24"/>
      <c r="G305" s="26" t="str">
        <f t="shared" si="14"/>
        <v/>
      </c>
      <c r="H305" s="26" t="str">
        <f>IF($B305="","",IF($C305="筐子销售款",ROUND(SUMIFS(周转筐出入库明细!$P$4:$P$2004,周转筐出入库明细!$C$4:$C$2004,$B305,周转筐出入库明细!$F$4:$F$2004,"销售出库",周转筐出入库明细!$Q$4:$Q$2004,"已收讫"),2),ROUND(SUMIFS(包装物料出入库明细!$N$4:$N$2003,包装物料出入库明细!$D$4:$D$2003,$B305,包装物料出入库明细!$H$4:$H$2003,"销售出库",包装物料出入库明细!$P$4:$P$2003,"已收讫"),2)))</f>
        <v/>
      </c>
      <c r="I305" s="27"/>
    </row>
    <row r="306" spans="1:9">
      <c r="A306" s="22" t="str">
        <f t="shared" si="12"/>
        <v/>
      </c>
      <c r="B306" s="37" t="str">
        <f>IFERROR(INDEX(_自动清单!$CL$4:$CL$203,INT((ROW()-160)/2)+1),"")</f>
        <v/>
      </c>
      <c r="C306" s="37" t="str">
        <f t="shared" si="13"/>
        <v/>
      </c>
      <c r="D306" s="26">
        <f>IF($B306="",0,IF($C306="筐子销售款",ROUND(SUMIFS(周转筐出入库明细!$P$4:$P$2004,周转筐出入库明细!$C$4:$C$2004,$B306,周转筐出入库明细!$F$4:$F$2004,"销售出库"),2),ROUND(SUMIFS(包装物料出入库明细!$N$4:$N$2003,包装物料出入库明细!$D$4:$D$2003,$B306,包装物料出入库明细!$H$4:$H$2003,"销售出库"),2)))</f>
        <v>0</v>
      </c>
      <c r="E306" s="26">
        <f>IF($B306="",0,IF($C306="筐子销售款",ROUND(SUMIFS(周转筐出入库明细!$P$4:$P$2004,周转筐出入库明细!$C$4:$C$2004,$B306,周转筐出入库明细!$F$4:$F$2004,"采购入库"),2),ROUND(SUMIFS(包装物料出入库明细!$N$4:$N$2003,包装物料出入库明细!$D$4:$D$2003,$B306,包装物料出入库明细!$H$4:$H$2003,"采购入库"),2)))</f>
        <v>0</v>
      </c>
      <c r="F306" s="24"/>
      <c r="G306" s="26" t="str">
        <f t="shared" si="14"/>
        <v/>
      </c>
      <c r="H306" s="26" t="str">
        <f>IF($B306="","",IF($C306="筐子销售款",ROUND(SUMIFS(周转筐出入库明细!$P$4:$P$2004,周转筐出入库明细!$C$4:$C$2004,$B306,周转筐出入库明细!$F$4:$F$2004,"销售出库",周转筐出入库明细!$Q$4:$Q$2004,"已收讫"),2),ROUND(SUMIFS(包装物料出入库明细!$N$4:$N$2003,包装物料出入库明细!$D$4:$D$2003,$B306,包装物料出入库明细!$H$4:$H$2003,"销售出库",包装物料出入库明细!$P$4:$P$2003,"已收讫"),2)))</f>
        <v/>
      </c>
      <c r="I306" s="27"/>
    </row>
    <row r="307" spans="1:9">
      <c r="A307" s="22" t="str">
        <f t="shared" si="12"/>
        <v/>
      </c>
      <c r="B307" s="37" t="str">
        <f>IFERROR(INDEX(_自动清单!$CL$4:$CL$203,INT((ROW()-160)/2)+1),"")</f>
        <v/>
      </c>
      <c r="C307" s="37" t="str">
        <f t="shared" si="13"/>
        <v/>
      </c>
      <c r="D307" s="26">
        <f>IF($B307="",0,IF($C307="筐子销售款",ROUND(SUMIFS(周转筐出入库明细!$P$4:$P$2004,周转筐出入库明细!$C$4:$C$2004,$B307,周转筐出入库明细!$F$4:$F$2004,"销售出库"),2),ROUND(SUMIFS(包装物料出入库明细!$N$4:$N$2003,包装物料出入库明细!$D$4:$D$2003,$B307,包装物料出入库明细!$H$4:$H$2003,"销售出库"),2)))</f>
        <v>0</v>
      </c>
      <c r="E307" s="26">
        <f>IF($B307="",0,IF($C307="筐子销售款",ROUND(SUMIFS(周转筐出入库明细!$P$4:$P$2004,周转筐出入库明细!$C$4:$C$2004,$B307,周转筐出入库明细!$F$4:$F$2004,"采购入库"),2),ROUND(SUMIFS(包装物料出入库明细!$N$4:$N$2003,包装物料出入库明细!$D$4:$D$2003,$B307,包装物料出入库明细!$H$4:$H$2003,"采购入库"),2)))</f>
        <v>0</v>
      </c>
      <c r="F307" s="24"/>
      <c r="G307" s="26" t="str">
        <f t="shared" si="14"/>
        <v/>
      </c>
      <c r="H307" s="26" t="str">
        <f>IF($B307="","",IF($C307="筐子销售款",ROUND(SUMIFS(周转筐出入库明细!$P$4:$P$2004,周转筐出入库明细!$C$4:$C$2004,$B307,周转筐出入库明细!$F$4:$F$2004,"销售出库",周转筐出入库明细!$Q$4:$Q$2004,"已收讫"),2),ROUND(SUMIFS(包装物料出入库明细!$N$4:$N$2003,包装物料出入库明细!$D$4:$D$2003,$B307,包装物料出入库明细!$H$4:$H$2003,"销售出库",包装物料出入库明细!$P$4:$P$2003,"已收讫"),2)))</f>
        <v/>
      </c>
      <c r="I307" s="27"/>
    </row>
    <row r="308" spans="1:9">
      <c r="A308" s="22" t="str">
        <f t="shared" si="12"/>
        <v/>
      </c>
      <c r="B308" s="37" t="str">
        <f>IFERROR(INDEX(_自动清单!$CL$4:$CL$203,INT((ROW()-160)/2)+1),"")</f>
        <v/>
      </c>
      <c r="C308" s="37" t="str">
        <f t="shared" si="13"/>
        <v/>
      </c>
      <c r="D308" s="26">
        <f>IF($B308="",0,IF($C308="筐子销售款",ROUND(SUMIFS(周转筐出入库明细!$P$4:$P$2004,周转筐出入库明细!$C$4:$C$2004,$B308,周转筐出入库明细!$F$4:$F$2004,"销售出库"),2),ROUND(SUMIFS(包装物料出入库明细!$N$4:$N$2003,包装物料出入库明细!$D$4:$D$2003,$B308,包装物料出入库明细!$H$4:$H$2003,"销售出库"),2)))</f>
        <v>0</v>
      </c>
      <c r="E308" s="26">
        <f>IF($B308="",0,IF($C308="筐子销售款",ROUND(SUMIFS(周转筐出入库明细!$P$4:$P$2004,周转筐出入库明细!$C$4:$C$2004,$B308,周转筐出入库明细!$F$4:$F$2004,"采购入库"),2),ROUND(SUMIFS(包装物料出入库明细!$N$4:$N$2003,包装物料出入库明细!$D$4:$D$2003,$B308,包装物料出入库明细!$H$4:$H$2003,"采购入库"),2)))</f>
        <v>0</v>
      </c>
      <c r="F308" s="24"/>
      <c r="G308" s="26" t="str">
        <f t="shared" si="14"/>
        <v/>
      </c>
      <c r="H308" s="26" t="str">
        <f>IF($B308="","",IF($C308="筐子销售款",ROUND(SUMIFS(周转筐出入库明细!$P$4:$P$2004,周转筐出入库明细!$C$4:$C$2004,$B308,周转筐出入库明细!$F$4:$F$2004,"销售出库",周转筐出入库明细!$Q$4:$Q$2004,"已收讫"),2),ROUND(SUMIFS(包装物料出入库明细!$N$4:$N$2003,包装物料出入库明细!$D$4:$D$2003,$B308,包装物料出入库明细!$H$4:$H$2003,"销售出库",包装物料出入库明细!$P$4:$P$2003,"已收讫"),2)))</f>
        <v/>
      </c>
      <c r="I308" s="27"/>
    </row>
    <row r="309" spans="1:9">
      <c r="A309" s="22" t="str">
        <f t="shared" si="12"/>
        <v/>
      </c>
      <c r="B309" s="37" t="str">
        <f>IFERROR(INDEX(_自动清单!$CL$4:$CL$203,INT((ROW()-160)/2)+1),"")</f>
        <v/>
      </c>
      <c r="C309" s="37" t="str">
        <f t="shared" si="13"/>
        <v/>
      </c>
      <c r="D309" s="26">
        <f>IF($B309="",0,IF($C309="筐子销售款",ROUND(SUMIFS(周转筐出入库明细!$P$4:$P$2004,周转筐出入库明细!$C$4:$C$2004,$B309,周转筐出入库明细!$F$4:$F$2004,"销售出库"),2),ROUND(SUMIFS(包装物料出入库明细!$N$4:$N$2003,包装物料出入库明细!$D$4:$D$2003,$B309,包装物料出入库明细!$H$4:$H$2003,"销售出库"),2)))</f>
        <v>0</v>
      </c>
      <c r="E309" s="26">
        <f>IF($B309="",0,IF($C309="筐子销售款",ROUND(SUMIFS(周转筐出入库明细!$P$4:$P$2004,周转筐出入库明细!$C$4:$C$2004,$B309,周转筐出入库明细!$F$4:$F$2004,"采购入库"),2),ROUND(SUMIFS(包装物料出入库明细!$N$4:$N$2003,包装物料出入库明细!$D$4:$D$2003,$B309,包装物料出入库明细!$H$4:$H$2003,"采购入库"),2)))</f>
        <v>0</v>
      </c>
      <c r="F309" s="24"/>
      <c r="G309" s="26" t="str">
        <f t="shared" si="14"/>
        <v/>
      </c>
      <c r="H309" s="26" t="str">
        <f>IF($B309="","",IF($C309="筐子销售款",ROUND(SUMIFS(周转筐出入库明细!$P$4:$P$2004,周转筐出入库明细!$C$4:$C$2004,$B309,周转筐出入库明细!$F$4:$F$2004,"销售出库",周转筐出入库明细!$Q$4:$Q$2004,"已收讫"),2),ROUND(SUMIFS(包装物料出入库明细!$N$4:$N$2003,包装物料出入库明细!$D$4:$D$2003,$B309,包装物料出入库明细!$H$4:$H$2003,"销售出库",包装物料出入库明细!$P$4:$P$2003,"已收讫"),2)))</f>
        <v/>
      </c>
      <c r="I309" s="27"/>
    </row>
    <row r="310" spans="1:9">
      <c r="A310" s="22" t="str">
        <f t="shared" si="12"/>
        <v/>
      </c>
      <c r="B310" s="37" t="str">
        <f>IFERROR(INDEX(_自动清单!$CL$4:$CL$203,INT((ROW()-160)/2)+1),"")</f>
        <v/>
      </c>
      <c r="C310" s="37" t="str">
        <f t="shared" si="13"/>
        <v/>
      </c>
      <c r="D310" s="26">
        <f>IF($B310="",0,IF($C310="筐子销售款",ROUND(SUMIFS(周转筐出入库明细!$P$4:$P$2004,周转筐出入库明细!$C$4:$C$2004,$B310,周转筐出入库明细!$F$4:$F$2004,"销售出库"),2),ROUND(SUMIFS(包装物料出入库明细!$N$4:$N$2003,包装物料出入库明细!$D$4:$D$2003,$B310,包装物料出入库明细!$H$4:$H$2003,"销售出库"),2)))</f>
        <v>0</v>
      </c>
      <c r="E310" s="26">
        <f>IF($B310="",0,IF($C310="筐子销售款",ROUND(SUMIFS(周转筐出入库明细!$P$4:$P$2004,周转筐出入库明细!$C$4:$C$2004,$B310,周转筐出入库明细!$F$4:$F$2004,"采购入库"),2),ROUND(SUMIFS(包装物料出入库明细!$N$4:$N$2003,包装物料出入库明细!$D$4:$D$2003,$B310,包装物料出入库明细!$H$4:$H$2003,"采购入库"),2)))</f>
        <v>0</v>
      </c>
      <c r="F310" s="24"/>
      <c r="G310" s="26" t="str">
        <f t="shared" si="14"/>
        <v/>
      </c>
      <c r="H310" s="26" t="str">
        <f>IF($B310="","",IF($C310="筐子销售款",ROUND(SUMIFS(周转筐出入库明细!$P$4:$P$2004,周转筐出入库明细!$C$4:$C$2004,$B310,周转筐出入库明细!$F$4:$F$2004,"销售出库",周转筐出入库明细!$Q$4:$Q$2004,"已收讫"),2),ROUND(SUMIFS(包装物料出入库明细!$N$4:$N$2003,包装物料出入库明细!$D$4:$D$2003,$B310,包装物料出入库明细!$H$4:$H$2003,"销售出库",包装物料出入库明细!$P$4:$P$2003,"已收讫"),2)))</f>
        <v/>
      </c>
      <c r="I310" s="27"/>
    </row>
    <row r="311" spans="1:9">
      <c r="A311" s="22" t="str">
        <f t="shared" si="12"/>
        <v/>
      </c>
      <c r="B311" s="37" t="str">
        <f>IFERROR(INDEX(_自动清单!$CL$4:$CL$203,INT((ROW()-160)/2)+1),"")</f>
        <v/>
      </c>
      <c r="C311" s="37" t="str">
        <f t="shared" si="13"/>
        <v/>
      </c>
      <c r="D311" s="26">
        <f>IF($B311="",0,IF($C311="筐子销售款",ROUND(SUMIFS(周转筐出入库明细!$P$4:$P$2004,周转筐出入库明细!$C$4:$C$2004,$B311,周转筐出入库明细!$F$4:$F$2004,"销售出库"),2),ROUND(SUMIFS(包装物料出入库明细!$N$4:$N$2003,包装物料出入库明细!$D$4:$D$2003,$B311,包装物料出入库明细!$H$4:$H$2003,"销售出库"),2)))</f>
        <v>0</v>
      </c>
      <c r="E311" s="26">
        <f>IF($B311="",0,IF($C311="筐子销售款",ROUND(SUMIFS(周转筐出入库明细!$P$4:$P$2004,周转筐出入库明细!$C$4:$C$2004,$B311,周转筐出入库明细!$F$4:$F$2004,"采购入库"),2),ROUND(SUMIFS(包装物料出入库明细!$N$4:$N$2003,包装物料出入库明细!$D$4:$D$2003,$B311,包装物料出入库明细!$H$4:$H$2003,"采购入库"),2)))</f>
        <v>0</v>
      </c>
      <c r="F311" s="24"/>
      <c r="G311" s="26" t="str">
        <f t="shared" si="14"/>
        <v/>
      </c>
      <c r="H311" s="26" t="str">
        <f>IF($B311="","",IF($C311="筐子销售款",ROUND(SUMIFS(周转筐出入库明细!$P$4:$P$2004,周转筐出入库明细!$C$4:$C$2004,$B311,周转筐出入库明细!$F$4:$F$2004,"销售出库",周转筐出入库明细!$Q$4:$Q$2004,"已收讫"),2),ROUND(SUMIFS(包装物料出入库明细!$N$4:$N$2003,包装物料出入库明细!$D$4:$D$2003,$B311,包装物料出入库明细!$H$4:$H$2003,"销售出库",包装物料出入库明细!$P$4:$P$2003,"已收讫"),2)))</f>
        <v/>
      </c>
      <c r="I311" s="27"/>
    </row>
    <row r="312" spans="1:9">
      <c r="A312" s="22" t="str">
        <f t="shared" si="12"/>
        <v/>
      </c>
      <c r="B312" s="37" t="str">
        <f>IFERROR(INDEX(_自动清单!$CL$4:$CL$203,INT((ROW()-160)/2)+1),"")</f>
        <v/>
      </c>
      <c r="C312" s="37" t="str">
        <f t="shared" si="13"/>
        <v/>
      </c>
      <c r="D312" s="26">
        <f>IF($B312="",0,IF($C312="筐子销售款",ROUND(SUMIFS(周转筐出入库明细!$P$4:$P$2004,周转筐出入库明细!$C$4:$C$2004,$B312,周转筐出入库明细!$F$4:$F$2004,"销售出库"),2),ROUND(SUMIFS(包装物料出入库明细!$N$4:$N$2003,包装物料出入库明细!$D$4:$D$2003,$B312,包装物料出入库明细!$H$4:$H$2003,"销售出库"),2)))</f>
        <v>0</v>
      </c>
      <c r="E312" s="26">
        <f>IF($B312="",0,IF($C312="筐子销售款",ROUND(SUMIFS(周转筐出入库明细!$P$4:$P$2004,周转筐出入库明细!$C$4:$C$2004,$B312,周转筐出入库明细!$F$4:$F$2004,"采购入库"),2),ROUND(SUMIFS(包装物料出入库明细!$N$4:$N$2003,包装物料出入库明细!$D$4:$D$2003,$B312,包装物料出入库明细!$H$4:$H$2003,"采购入库"),2)))</f>
        <v>0</v>
      </c>
      <c r="F312" s="24"/>
      <c r="G312" s="26" t="str">
        <f t="shared" si="14"/>
        <v/>
      </c>
      <c r="H312" s="26" t="str">
        <f>IF($B312="","",IF($C312="筐子销售款",ROUND(SUMIFS(周转筐出入库明细!$P$4:$P$2004,周转筐出入库明细!$C$4:$C$2004,$B312,周转筐出入库明细!$F$4:$F$2004,"销售出库",周转筐出入库明细!$Q$4:$Q$2004,"已收讫"),2),ROUND(SUMIFS(包装物料出入库明细!$N$4:$N$2003,包装物料出入库明细!$D$4:$D$2003,$B312,包装物料出入库明细!$H$4:$H$2003,"销售出库",包装物料出入库明细!$P$4:$P$2003,"已收讫"),2)))</f>
        <v/>
      </c>
      <c r="I312" s="27"/>
    </row>
    <row r="313" spans="1:9">
      <c r="A313" s="22" t="str">
        <f t="shared" si="12"/>
        <v/>
      </c>
      <c r="B313" s="37" t="str">
        <f>IFERROR(INDEX(_自动清单!$CL$4:$CL$203,INT((ROW()-160)/2)+1),"")</f>
        <v/>
      </c>
      <c r="C313" s="37" t="str">
        <f t="shared" si="13"/>
        <v/>
      </c>
      <c r="D313" s="26">
        <f>IF($B313="",0,IF($C313="筐子销售款",ROUND(SUMIFS(周转筐出入库明细!$P$4:$P$2004,周转筐出入库明细!$C$4:$C$2004,$B313,周转筐出入库明细!$F$4:$F$2004,"销售出库"),2),ROUND(SUMIFS(包装物料出入库明细!$N$4:$N$2003,包装物料出入库明细!$D$4:$D$2003,$B313,包装物料出入库明细!$H$4:$H$2003,"销售出库"),2)))</f>
        <v>0</v>
      </c>
      <c r="E313" s="26">
        <f>IF($B313="",0,IF($C313="筐子销售款",ROUND(SUMIFS(周转筐出入库明细!$P$4:$P$2004,周转筐出入库明细!$C$4:$C$2004,$B313,周转筐出入库明细!$F$4:$F$2004,"采购入库"),2),ROUND(SUMIFS(包装物料出入库明细!$N$4:$N$2003,包装物料出入库明细!$D$4:$D$2003,$B313,包装物料出入库明细!$H$4:$H$2003,"采购入库"),2)))</f>
        <v>0</v>
      </c>
      <c r="F313" s="24"/>
      <c r="G313" s="26" t="str">
        <f t="shared" si="14"/>
        <v/>
      </c>
      <c r="H313" s="26" t="str">
        <f>IF($B313="","",IF($C313="筐子销售款",ROUND(SUMIFS(周转筐出入库明细!$P$4:$P$2004,周转筐出入库明细!$C$4:$C$2004,$B313,周转筐出入库明细!$F$4:$F$2004,"销售出库",周转筐出入库明细!$Q$4:$Q$2004,"已收讫"),2),ROUND(SUMIFS(包装物料出入库明细!$N$4:$N$2003,包装物料出入库明细!$D$4:$D$2003,$B313,包装物料出入库明细!$H$4:$H$2003,"销售出库",包装物料出入库明细!$P$4:$P$2003,"已收讫"),2)))</f>
        <v/>
      </c>
      <c r="I313" s="27"/>
    </row>
    <row r="314" spans="1:9">
      <c r="A314" s="22" t="str">
        <f t="shared" si="12"/>
        <v/>
      </c>
      <c r="B314" s="37" t="str">
        <f>IFERROR(INDEX(_自动清单!$CL$4:$CL$203,INT((ROW()-160)/2)+1),"")</f>
        <v/>
      </c>
      <c r="C314" s="37" t="str">
        <f t="shared" si="13"/>
        <v/>
      </c>
      <c r="D314" s="26">
        <f>IF($B314="",0,IF($C314="筐子销售款",ROUND(SUMIFS(周转筐出入库明细!$P$4:$P$2004,周转筐出入库明细!$C$4:$C$2004,$B314,周转筐出入库明细!$F$4:$F$2004,"销售出库"),2),ROUND(SUMIFS(包装物料出入库明细!$N$4:$N$2003,包装物料出入库明细!$D$4:$D$2003,$B314,包装物料出入库明细!$H$4:$H$2003,"销售出库"),2)))</f>
        <v>0</v>
      </c>
      <c r="E314" s="26">
        <f>IF($B314="",0,IF($C314="筐子销售款",ROUND(SUMIFS(周转筐出入库明细!$P$4:$P$2004,周转筐出入库明细!$C$4:$C$2004,$B314,周转筐出入库明细!$F$4:$F$2004,"采购入库"),2),ROUND(SUMIFS(包装物料出入库明细!$N$4:$N$2003,包装物料出入库明细!$D$4:$D$2003,$B314,包装物料出入库明细!$H$4:$H$2003,"采购入库"),2)))</f>
        <v>0</v>
      </c>
      <c r="F314" s="24"/>
      <c r="G314" s="26" t="str">
        <f t="shared" si="14"/>
        <v/>
      </c>
      <c r="H314" s="26" t="str">
        <f>IF($B314="","",IF($C314="筐子销售款",ROUND(SUMIFS(周转筐出入库明细!$P$4:$P$2004,周转筐出入库明细!$C$4:$C$2004,$B314,周转筐出入库明细!$F$4:$F$2004,"销售出库",周转筐出入库明细!$Q$4:$Q$2004,"已收讫"),2),ROUND(SUMIFS(包装物料出入库明细!$N$4:$N$2003,包装物料出入库明细!$D$4:$D$2003,$B314,包装物料出入库明细!$H$4:$H$2003,"销售出库",包装物料出入库明细!$P$4:$P$2003,"已收讫"),2)))</f>
        <v/>
      </c>
      <c r="I314" s="27"/>
    </row>
    <row r="315" spans="1:9">
      <c r="A315" s="22" t="str">
        <f t="shared" si="12"/>
        <v/>
      </c>
      <c r="B315" s="37" t="str">
        <f>IFERROR(INDEX(_自动清单!$CL$4:$CL$203,INT((ROW()-160)/2)+1),"")</f>
        <v/>
      </c>
      <c r="C315" s="37" t="str">
        <f t="shared" si="13"/>
        <v/>
      </c>
      <c r="D315" s="26">
        <f>IF($B315="",0,IF($C315="筐子销售款",ROUND(SUMIFS(周转筐出入库明细!$P$4:$P$2004,周转筐出入库明细!$C$4:$C$2004,$B315,周转筐出入库明细!$F$4:$F$2004,"销售出库"),2),ROUND(SUMIFS(包装物料出入库明细!$N$4:$N$2003,包装物料出入库明细!$D$4:$D$2003,$B315,包装物料出入库明细!$H$4:$H$2003,"销售出库"),2)))</f>
        <v>0</v>
      </c>
      <c r="E315" s="26">
        <f>IF($B315="",0,IF($C315="筐子销售款",ROUND(SUMIFS(周转筐出入库明细!$P$4:$P$2004,周转筐出入库明细!$C$4:$C$2004,$B315,周转筐出入库明细!$F$4:$F$2004,"采购入库"),2),ROUND(SUMIFS(包装物料出入库明细!$N$4:$N$2003,包装物料出入库明细!$D$4:$D$2003,$B315,包装物料出入库明细!$H$4:$H$2003,"采购入库"),2)))</f>
        <v>0</v>
      </c>
      <c r="F315" s="24"/>
      <c r="G315" s="26" t="str">
        <f t="shared" si="14"/>
        <v/>
      </c>
      <c r="H315" s="26" t="str">
        <f>IF($B315="","",IF($C315="筐子销售款",ROUND(SUMIFS(周转筐出入库明细!$P$4:$P$2004,周转筐出入库明细!$C$4:$C$2004,$B315,周转筐出入库明细!$F$4:$F$2004,"销售出库",周转筐出入库明细!$Q$4:$Q$2004,"已收讫"),2),ROUND(SUMIFS(包装物料出入库明细!$N$4:$N$2003,包装物料出入库明细!$D$4:$D$2003,$B315,包装物料出入库明细!$H$4:$H$2003,"销售出库",包装物料出入库明细!$P$4:$P$2003,"已收讫"),2)))</f>
        <v/>
      </c>
      <c r="I315" s="27"/>
    </row>
    <row r="316" spans="1:9">
      <c r="A316" s="22" t="str">
        <f t="shared" si="12"/>
        <v/>
      </c>
      <c r="B316" s="37" t="str">
        <f>IFERROR(INDEX(_自动清单!$CL$4:$CL$203,INT((ROW()-160)/2)+1),"")</f>
        <v/>
      </c>
      <c r="C316" s="37" t="str">
        <f t="shared" si="13"/>
        <v/>
      </c>
      <c r="D316" s="26">
        <f>IF($B316="",0,IF($C316="筐子销售款",ROUND(SUMIFS(周转筐出入库明细!$P$4:$P$2004,周转筐出入库明细!$C$4:$C$2004,$B316,周转筐出入库明细!$F$4:$F$2004,"销售出库"),2),ROUND(SUMIFS(包装物料出入库明细!$N$4:$N$2003,包装物料出入库明细!$D$4:$D$2003,$B316,包装物料出入库明细!$H$4:$H$2003,"销售出库"),2)))</f>
        <v>0</v>
      </c>
      <c r="E316" s="26">
        <f>IF($B316="",0,IF($C316="筐子销售款",ROUND(SUMIFS(周转筐出入库明细!$P$4:$P$2004,周转筐出入库明细!$C$4:$C$2004,$B316,周转筐出入库明细!$F$4:$F$2004,"采购入库"),2),ROUND(SUMIFS(包装物料出入库明细!$N$4:$N$2003,包装物料出入库明细!$D$4:$D$2003,$B316,包装物料出入库明细!$H$4:$H$2003,"采购入库"),2)))</f>
        <v>0</v>
      </c>
      <c r="F316" s="24"/>
      <c r="G316" s="26" t="str">
        <f t="shared" si="14"/>
        <v/>
      </c>
      <c r="H316" s="26" t="str">
        <f>IF($B316="","",IF($C316="筐子销售款",ROUND(SUMIFS(周转筐出入库明细!$P$4:$P$2004,周转筐出入库明细!$C$4:$C$2004,$B316,周转筐出入库明细!$F$4:$F$2004,"销售出库",周转筐出入库明细!$Q$4:$Q$2004,"已收讫"),2),ROUND(SUMIFS(包装物料出入库明细!$N$4:$N$2003,包装物料出入库明细!$D$4:$D$2003,$B316,包装物料出入库明细!$H$4:$H$2003,"销售出库",包装物料出入库明细!$P$4:$P$2003,"已收讫"),2)))</f>
        <v/>
      </c>
      <c r="I316" s="27"/>
    </row>
    <row r="317" spans="1:9">
      <c r="A317" s="22" t="str">
        <f t="shared" si="12"/>
        <v/>
      </c>
      <c r="B317" s="37" t="str">
        <f>IFERROR(INDEX(_自动清单!$CL$4:$CL$203,INT((ROW()-160)/2)+1),"")</f>
        <v/>
      </c>
      <c r="C317" s="37" t="str">
        <f t="shared" si="13"/>
        <v/>
      </c>
      <c r="D317" s="26">
        <f>IF($B317="",0,IF($C317="筐子销售款",ROUND(SUMIFS(周转筐出入库明细!$P$4:$P$2004,周转筐出入库明细!$C$4:$C$2004,$B317,周转筐出入库明细!$F$4:$F$2004,"销售出库"),2),ROUND(SUMIFS(包装物料出入库明细!$N$4:$N$2003,包装物料出入库明细!$D$4:$D$2003,$B317,包装物料出入库明细!$H$4:$H$2003,"销售出库"),2)))</f>
        <v>0</v>
      </c>
      <c r="E317" s="26">
        <f>IF($B317="",0,IF($C317="筐子销售款",ROUND(SUMIFS(周转筐出入库明细!$P$4:$P$2004,周转筐出入库明细!$C$4:$C$2004,$B317,周转筐出入库明细!$F$4:$F$2004,"采购入库"),2),ROUND(SUMIFS(包装物料出入库明细!$N$4:$N$2003,包装物料出入库明细!$D$4:$D$2003,$B317,包装物料出入库明细!$H$4:$H$2003,"采购入库"),2)))</f>
        <v>0</v>
      </c>
      <c r="F317" s="24"/>
      <c r="G317" s="26" t="str">
        <f t="shared" si="14"/>
        <v/>
      </c>
      <c r="H317" s="26" t="str">
        <f>IF($B317="","",IF($C317="筐子销售款",ROUND(SUMIFS(周转筐出入库明细!$P$4:$P$2004,周转筐出入库明细!$C$4:$C$2004,$B317,周转筐出入库明细!$F$4:$F$2004,"销售出库",周转筐出入库明细!$Q$4:$Q$2004,"已收讫"),2),ROUND(SUMIFS(包装物料出入库明细!$N$4:$N$2003,包装物料出入库明细!$D$4:$D$2003,$B317,包装物料出入库明细!$H$4:$H$2003,"销售出库",包装物料出入库明细!$P$4:$P$2003,"已收讫"),2)))</f>
        <v/>
      </c>
      <c r="I317" s="27"/>
    </row>
    <row r="318" spans="1:9">
      <c r="A318" s="22" t="str">
        <f t="shared" si="12"/>
        <v/>
      </c>
      <c r="B318" s="37" t="str">
        <f>IFERROR(INDEX(_自动清单!$CL$4:$CL$203,INT((ROW()-160)/2)+1),"")</f>
        <v/>
      </c>
      <c r="C318" s="37" t="str">
        <f t="shared" si="13"/>
        <v/>
      </c>
      <c r="D318" s="26">
        <f>IF($B318="",0,IF($C318="筐子销售款",ROUND(SUMIFS(周转筐出入库明细!$P$4:$P$2004,周转筐出入库明细!$C$4:$C$2004,$B318,周转筐出入库明细!$F$4:$F$2004,"销售出库"),2),ROUND(SUMIFS(包装物料出入库明细!$N$4:$N$2003,包装物料出入库明细!$D$4:$D$2003,$B318,包装物料出入库明细!$H$4:$H$2003,"销售出库"),2)))</f>
        <v>0</v>
      </c>
      <c r="E318" s="26">
        <f>IF($B318="",0,IF($C318="筐子销售款",ROUND(SUMIFS(周转筐出入库明细!$P$4:$P$2004,周转筐出入库明细!$C$4:$C$2004,$B318,周转筐出入库明细!$F$4:$F$2004,"采购入库"),2),ROUND(SUMIFS(包装物料出入库明细!$N$4:$N$2003,包装物料出入库明细!$D$4:$D$2003,$B318,包装物料出入库明细!$H$4:$H$2003,"采购入库"),2)))</f>
        <v>0</v>
      </c>
      <c r="F318" s="24"/>
      <c r="G318" s="26" t="str">
        <f t="shared" si="14"/>
        <v/>
      </c>
      <c r="H318" s="26" t="str">
        <f>IF($B318="","",IF($C318="筐子销售款",ROUND(SUMIFS(周转筐出入库明细!$P$4:$P$2004,周转筐出入库明细!$C$4:$C$2004,$B318,周转筐出入库明细!$F$4:$F$2004,"销售出库",周转筐出入库明细!$Q$4:$Q$2004,"已收讫"),2),ROUND(SUMIFS(包装物料出入库明细!$N$4:$N$2003,包装物料出入库明细!$D$4:$D$2003,$B318,包装物料出入库明细!$H$4:$H$2003,"销售出库",包装物料出入库明细!$P$4:$P$2003,"已收讫"),2)))</f>
        <v/>
      </c>
      <c r="I318" s="27"/>
    </row>
    <row r="319" spans="1:9">
      <c r="A319" s="22" t="str">
        <f t="shared" si="12"/>
        <v/>
      </c>
      <c r="B319" s="37" t="str">
        <f>IFERROR(INDEX(_自动清单!$CL$4:$CL$203,INT((ROW()-160)/2)+1),"")</f>
        <v/>
      </c>
      <c r="C319" s="37" t="str">
        <f t="shared" si="13"/>
        <v/>
      </c>
      <c r="D319" s="26">
        <f>IF($B319="",0,IF($C319="筐子销售款",ROUND(SUMIFS(周转筐出入库明细!$P$4:$P$2004,周转筐出入库明细!$C$4:$C$2004,$B319,周转筐出入库明细!$F$4:$F$2004,"销售出库"),2),ROUND(SUMIFS(包装物料出入库明细!$N$4:$N$2003,包装物料出入库明细!$D$4:$D$2003,$B319,包装物料出入库明细!$H$4:$H$2003,"销售出库"),2)))</f>
        <v>0</v>
      </c>
      <c r="E319" s="26">
        <f>IF($B319="",0,IF($C319="筐子销售款",ROUND(SUMIFS(周转筐出入库明细!$P$4:$P$2004,周转筐出入库明细!$C$4:$C$2004,$B319,周转筐出入库明细!$F$4:$F$2004,"采购入库"),2),ROUND(SUMIFS(包装物料出入库明细!$N$4:$N$2003,包装物料出入库明细!$D$4:$D$2003,$B319,包装物料出入库明细!$H$4:$H$2003,"采购入库"),2)))</f>
        <v>0</v>
      </c>
      <c r="F319" s="24"/>
      <c r="G319" s="26" t="str">
        <f t="shared" si="14"/>
        <v/>
      </c>
      <c r="H319" s="26" t="str">
        <f>IF($B319="","",IF($C319="筐子销售款",ROUND(SUMIFS(周转筐出入库明细!$P$4:$P$2004,周转筐出入库明细!$C$4:$C$2004,$B319,周转筐出入库明细!$F$4:$F$2004,"销售出库",周转筐出入库明细!$Q$4:$Q$2004,"已收讫"),2),ROUND(SUMIFS(包装物料出入库明细!$N$4:$N$2003,包装物料出入库明细!$D$4:$D$2003,$B319,包装物料出入库明细!$H$4:$H$2003,"销售出库",包装物料出入库明细!$P$4:$P$2003,"已收讫"),2)))</f>
        <v/>
      </c>
      <c r="I319" s="27"/>
    </row>
    <row r="320" spans="1:9">
      <c r="A320" s="22" t="str">
        <f t="shared" si="12"/>
        <v/>
      </c>
      <c r="B320" s="37" t="str">
        <f>IFERROR(INDEX(_自动清单!$CL$4:$CL$203,INT((ROW()-160)/2)+1),"")</f>
        <v/>
      </c>
      <c r="C320" s="37" t="str">
        <f t="shared" si="13"/>
        <v/>
      </c>
      <c r="D320" s="26">
        <f>IF($B320="",0,IF($C320="筐子销售款",ROUND(SUMIFS(周转筐出入库明细!$P$4:$P$2004,周转筐出入库明细!$C$4:$C$2004,$B320,周转筐出入库明细!$F$4:$F$2004,"销售出库"),2),ROUND(SUMIFS(包装物料出入库明细!$N$4:$N$2003,包装物料出入库明细!$D$4:$D$2003,$B320,包装物料出入库明细!$H$4:$H$2003,"销售出库"),2)))</f>
        <v>0</v>
      </c>
      <c r="E320" s="26">
        <f>IF($B320="",0,IF($C320="筐子销售款",ROUND(SUMIFS(周转筐出入库明细!$P$4:$P$2004,周转筐出入库明细!$C$4:$C$2004,$B320,周转筐出入库明细!$F$4:$F$2004,"采购入库"),2),ROUND(SUMIFS(包装物料出入库明细!$N$4:$N$2003,包装物料出入库明细!$D$4:$D$2003,$B320,包装物料出入库明细!$H$4:$H$2003,"采购入库"),2)))</f>
        <v>0</v>
      </c>
      <c r="F320" s="24"/>
      <c r="G320" s="26" t="str">
        <f t="shared" si="14"/>
        <v/>
      </c>
      <c r="H320" s="26" t="str">
        <f>IF($B320="","",IF($C320="筐子销售款",ROUND(SUMIFS(周转筐出入库明细!$P$4:$P$2004,周转筐出入库明细!$C$4:$C$2004,$B320,周转筐出入库明细!$F$4:$F$2004,"销售出库",周转筐出入库明细!$Q$4:$Q$2004,"已收讫"),2),ROUND(SUMIFS(包装物料出入库明细!$N$4:$N$2003,包装物料出入库明细!$D$4:$D$2003,$B320,包装物料出入库明细!$H$4:$H$2003,"销售出库",包装物料出入库明细!$P$4:$P$2003,"已收讫"),2)))</f>
        <v/>
      </c>
      <c r="I320" s="27"/>
    </row>
    <row r="321" spans="1:9">
      <c r="A321" s="22" t="str">
        <f t="shared" si="12"/>
        <v/>
      </c>
      <c r="B321" s="37" t="str">
        <f>IFERROR(INDEX(_自动清单!$CL$4:$CL$203,INT((ROW()-160)/2)+1),"")</f>
        <v/>
      </c>
      <c r="C321" s="37" t="str">
        <f t="shared" si="13"/>
        <v/>
      </c>
      <c r="D321" s="26">
        <f>IF($B321="",0,IF($C321="筐子销售款",ROUND(SUMIFS(周转筐出入库明细!$P$4:$P$2004,周转筐出入库明细!$C$4:$C$2004,$B321,周转筐出入库明细!$F$4:$F$2004,"销售出库"),2),ROUND(SUMIFS(包装物料出入库明细!$N$4:$N$2003,包装物料出入库明细!$D$4:$D$2003,$B321,包装物料出入库明细!$H$4:$H$2003,"销售出库"),2)))</f>
        <v>0</v>
      </c>
      <c r="E321" s="26">
        <f>IF($B321="",0,IF($C321="筐子销售款",ROUND(SUMIFS(周转筐出入库明细!$P$4:$P$2004,周转筐出入库明细!$C$4:$C$2004,$B321,周转筐出入库明细!$F$4:$F$2004,"采购入库"),2),ROUND(SUMIFS(包装物料出入库明细!$N$4:$N$2003,包装物料出入库明细!$D$4:$D$2003,$B321,包装物料出入库明细!$H$4:$H$2003,"采购入库"),2)))</f>
        <v>0</v>
      </c>
      <c r="F321" s="24"/>
      <c r="G321" s="26" t="str">
        <f t="shared" si="14"/>
        <v/>
      </c>
      <c r="H321" s="26" t="str">
        <f>IF($B321="","",IF($C321="筐子销售款",ROUND(SUMIFS(周转筐出入库明细!$P$4:$P$2004,周转筐出入库明细!$C$4:$C$2004,$B321,周转筐出入库明细!$F$4:$F$2004,"销售出库",周转筐出入库明细!$Q$4:$Q$2004,"已收讫"),2),ROUND(SUMIFS(包装物料出入库明细!$N$4:$N$2003,包装物料出入库明细!$D$4:$D$2003,$B321,包装物料出入库明细!$H$4:$H$2003,"销售出库",包装物料出入库明细!$P$4:$P$2003,"已收讫"),2)))</f>
        <v/>
      </c>
      <c r="I321" s="27"/>
    </row>
    <row r="322" spans="1:9">
      <c r="A322" s="22" t="str">
        <f t="shared" si="12"/>
        <v/>
      </c>
      <c r="B322" s="37" t="str">
        <f>IFERROR(INDEX(_自动清单!$CL$4:$CL$203,INT((ROW()-160)/2)+1),"")</f>
        <v/>
      </c>
      <c r="C322" s="37" t="str">
        <f t="shared" si="13"/>
        <v/>
      </c>
      <c r="D322" s="26">
        <f>IF($B322="",0,IF($C322="筐子销售款",ROUND(SUMIFS(周转筐出入库明细!$P$4:$P$2004,周转筐出入库明细!$C$4:$C$2004,$B322,周转筐出入库明细!$F$4:$F$2004,"销售出库"),2),ROUND(SUMIFS(包装物料出入库明细!$N$4:$N$2003,包装物料出入库明细!$D$4:$D$2003,$B322,包装物料出入库明细!$H$4:$H$2003,"销售出库"),2)))</f>
        <v>0</v>
      </c>
      <c r="E322" s="26">
        <f>IF($B322="",0,IF($C322="筐子销售款",ROUND(SUMIFS(周转筐出入库明细!$P$4:$P$2004,周转筐出入库明细!$C$4:$C$2004,$B322,周转筐出入库明细!$F$4:$F$2004,"采购入库"),2),ROUND(SUMIFS(包装物料出入库明细!$N$4:$N$2003,包装物料出入库明细!$D$4:$D$2003,$B322,包装物料出入库明细!$H$4:$H$2003,"采购入库"),2)))</f>
        <v>0</v>
      </c>
      <c r="F322" s="24"/>
      <c r="G322" s="26" t="str">
        <f t="shared" si="14"/>
        <v/>
      </c>
      <c r="H322" s="26" t="str">
        <f>IF($B322="","",IF($C322="筐子销售款",ROUND(SUMIFS(周转筐出入库明细!$P$4:$P$2004,周转筐出入库明细!$C$4:$C$2004,$B322,周转筐出入库明细!$F$4:$F$2004,"销售出库",周转筐出入库明细!$Q$4:$Q$2004,"已收讫"),2),ROUND(SUMIFS(包装物料出入库明细!$N$4:$N$2003,包装物料出入库明细!$D$4:$D$2003,$B322,包装物料出入库明细!$H$4:$H$2003,"销售出库",包装物料出入库明细!$P$4:$P$2003,"已收讫"),2)))</f>
        <v/>
      </c>
      <c r="I322" s="27"/>
    </row>
    <row r="323" spans="1:9">
      <c r="A323" s="22" t="str">
        <f t="shared" si="12"/>
        <v/>
      </c>
      <c r="B323" s="37" t="str">
        <f>IFERROR(INDEX(_自动清单!$CL$4:$CL$203,INT((ROW()-160)/2)+1),"")</f>
        <v/>
      </c>
      <c r="C323" s="37" t="str">
        <f t="shared" si="13"/>
        <v/>
      </c>
      <c r="D323" s="26">
        <f>IF($B323="",0,IF($C323="筐子销售款",ROUND(SUMIFS(周转筐出入库明细!$P$4:$P$2004,周转筐出入库明细!$C$4:$C$2004,$B323,周转筐出入库明细!$F$4:$F$2004,"销售出库"),2),ROUND(SUMIFS(包装物料出入库明细!$N$4:$N$2003,包装物料出入库明细!$D$4:$D$2003,$B323,包装物料出入库明细!$H$4:$H$2003,"销售出库"),2)))</f>
        <v>0</v>
      </c>
      <c r="E323" s="26">
        <f>IF($B323="",0,IF($C323="筐子销售款",ROUND(SUMIFS(周转筐出入库明细!$P$4:$P$2004,周转筐出入库明细!$C$4:$C$2004,$B323,周转筐出入库明细!$F$4:$F$2004,"采购入库"),2),ROUND(SUMIFS(包装物料出入库明细!$N$4:$N$2003,包装物料出入库明细!$D$4:$D$2003,$B323,包装物料出入库明细!$H$4:$H$2003,"采购入库"),2)))</f>
        <v>0</v>
      </c>
      <c r="F323" s="24"/>
      <c r="G323" s="26" t="str">
        <f t="shared" si="14"/>
        <v/>
      </c>
      <c r="H323" s="26" t="str">
        <f>IF($B323="","",IF($C323="筐子销售款",ROUND(SUMIFS(周转筐出入库明细!$P$4:$P$2004,周转筐出入库明细!$C$4:$C$2004,$B323,周转筐出入库明细!$F$4:$F$2004,"销售出库",周转筐出入库明细!$Q$4:$Q$2004,"已收讫"),2),ROUND(SUMIFS(包装物料出入库明细!$N$4:$N$2003,包装物料出入库明细!$D$4:$D$2003,$B323,包装物料出入库明细!$H$4:$H$2003,"销售出库",包装物料出入库明细!$P$4:$P$2003,"已收讫"),2)))</f>
        <v/>
      </c>
      <c r="I323" s="27"/>
    </row>
    <row r="324" spans="1:9">
      <c r="A324" s="22" t="str">
        <f t="shared" si="12"/>
        <v/>
      </c>
      <c r="B324" s="37" t="str">
        <f>IFERROR(INDEX(_自动清单!$CL$4:$CL$203,INT((ROW()-160)/2)+1),"")</f>
        <v/>
      </c>
      <c r="C324" s="37" t="str">
        <f t="shared" si="13"/>
        <v/>
      </c>
      <c r="D324" s="26">
        <f>IF($B324="",0,IF($C324="筐子销售款",ROUND(SUMIFS(周转筐出入库明细!$P$4:$P$2004,周转筐出入库明细!$C$4:$C$2004,$B324,周转筐出入库明细!$F$4:$F$2004,"销售出库"),2),ROUND(SUMIFS(包装物料出入库明细!$N$4:$N$2003,包装物料出入库明细!$D$4:$D$2003,$B324,包装物料出入库明细!$H$4:$H$2003,"销售出库"),2)))</f>
        <v>0</v>
      </c>
      <c r="E324" s="26">
        <f>IF($B324="",0,IF($C324="筐子销售款",ROUND(SUMIFS(周转筐出入库明细!$P$4:$P$2004,周转筐出入库明细!$C$4:$C$2004,$B324,周转筐出入库明细!$F$4:$F$2004,"采购入库"),2),ROUND(SUMIFS(包装物料出入库明细!$N$4:$N$2003,包装物料出入库明细!$D$4:$D$2003,$B324,包装物料出入库明细!$H$4:$H$2003,"采购入库"),2)))</f>
        <v>0</v>
      </c>
      <c r="F324" s="24"/>
      <c r="G324" s="26" t="str">
        <f t="shared" si="14"/>
        <v/>
      </c>
      <c r="H324" s="26" t="str">
        <f>IF($B324="","",IF($C324="筐子销售款",ROUND(SUMIFS(周转筐出入库明细!$P$4:$P$2004,周转筐出入库明细!$C$4:$C$2004,$B324,周转筐出入库明细!$F$4:$F$2004,"销售出库",周转筐出入库明细!$Q$4:$Q$2004,"已收讫"),2),ROUND(SUMIFS(包装物料出入库明细!$N$4:$N$2003,包装物料出入库明细!$D$4:$D$2003,$B324,包装物料出入库明细!$H$4:$H$2003,"销售出库",包装物料出入库明细!$P$4:$P$2003,"已收讫"),2)))</f>
        <v/>
      </c>
      <c r="I324" s="27"/>
    </row>
    <row r="325" spans="1:9">
      <c r="A325" s="22" t="str">
        <f t="shared" si="12"/>
        <v/>
      </c>
      <c r="B325" s="37" t="str">
        <f>IFERROR(INDEX(_自动清单!$CL$4:$CL$203,INT((ROW()-160)/2)+1),"")</f>
        <v/>
      </c>
      <c r="C325" s="37" t="str">
        <f t="shared" si="13"/>
        <v/>
      </c>
      <c r="D325" s="26">
        <f>IF($B325="",0,IF($C325="筐子销售款",ROUND(SUMIFS(周转筐出入库明细!$P$4:$P$2004,周转筐出入库明细!$C$4:$C$2004,$B325,周转筐出入库明细!$F$4:$F$2004,"销售出库"),2),ROUND(SUMIFS(包装物料出入库明细!$N$4:$N$2003,包装物料出入库明细!$D$4:$D$2003,$B325,包装物料出入库明细!$H$4:$H$2003,"销售出库"),2)))</f>
        <v>0</v>
      </c>
      <c r="E325" s="26">
        <f>IF($B325="",0,IF($C325="筐子销售款",ROUND(SUMIFS(周转筐出入库明细!$P$4:$P$2004,周转筐出入库明细!$C$4:$C$2004,$B325,周转筐出入库明细!$F$4:$F$2004,"采购入库"),2),ROUND(SUMIFS(包装物料出入库明细!$N$4:$N$2003,包装物料出入库明细!$D$4:$D$2003,$B325,包装物料出入库明细!$H$4:$H$2003,"采购入库"),2)))</f>
        <v>0</v>
      </c>
      <c r="F325" s="24"/>
      <c r="G325" s="26" t="str">
        <f t="shared" si="14"/>
        <v/>
      </c>
      <c r="H325" s="26" t="str">
        <f>IF($B325="","",IF($C325="筐子销售款",ROUND(SUMIFS(周转筐出入库明细!$P$4:$P$2004,周转筐出入库明细!$C$4:$C$2004,$B325,周转筐出入库明细!$F$4:$F$2004,"销售出库",周转筐出入库明细!$Q$4:$Q$2004,"已收讫"),2),ROUND(SUMIFS(包装物料出入库明细!$N$4:$N$2003,包装物料出入库明细!$D$4:$D$2003,$B325,包装物料出入库明细!$H$4:$H$2003,"销售出库",包装物料出入库明细!$P$4:$P$2003,"已收讫"),2)))</f>
        <v/>
      </c>
      <c r="I325" s="27"/>
    </row>
    <row r="326" spans="1:9">
      <c r="A326" s="22" t="str">
        <f t="shared" si="12"/>
        <v/>
      </c>
      <c r="B326" s="37" t="str">
        <f>IFERROR(INDEX(_自动清单!$CL$4:$CL$203,INT((ROW()-160)/2)+1),"")</f>
        <v/>
      </c>
      <c r="C326" s="37" t="str">
        <f t="shared" si="13"/>
        <v/>
      </c>
      <c r="D326" s="26">
        <f>IF($B326="",0,IF($C326="筐子销售款",ROUND(SUMIFS(周转筐出入库明细!$P$4:$P$2004,周转筐出入库明细!$C$4:$C$2004,$B326,周转筐出入库明细!$F$4:$F$2004,"销售出库"),2),ROUND(SUMIFS(包装物料出入库明细!$N$4:$N$2003,包装物料出入库明细!$D$4:$D$2003,$B326,包装物料出入库明细!$H$4:$H$2003,"销售出库"),2)))</f>
        <v>0</v>
      </c>
      <c r="E326" s="26">
        <f>IF($B326="",0,IF($C326="筐子销售款",ROUND(SUMIFS(周转筐出入库明细!$P$4:$P$2004,周转筐出入库明细!$C$4:$C$2004,$B326,周转筐出入库明细!$F$4:$F$2004,"采购入库"),2),ROUND(SUMIFS(包装物料出入库明细!$N$4:$N$2003,包装物料出入库明细!$D$4:$D$2003,$B326,包装物料出入库明细!$H$4:$H$2003,"采购入库"),2)))</f>
        <v>0</v>
      </c>
      <c r="F326" s="24"/>
      <c r="G326" s="26" t="str">
        <f t="shared" si="14"/>
        <v/>
      </c>
      <c r="H326" s="26" t="str">
        <f>IF($B326="","",IF($C326="筐子销售款",ROUND(SUMIFS(周转筐出入库明细!$P$4:$P$2004,周转筐出入库明细!$C$4:$C$2004,$B326,周转筐出入库明细!$F$4:$F$2004,"销售出库",周转筐出入库明细!$Q$4:$Q$2004,"已收讫"),2),ROUND(SUMIFS(包装物料出入库明细!$N$4:$N$2003,包装物料出入库明细!$D$4:$D$2003,$B326,包装物料出入库明细!$H$4:$H$2003,"销售出库",包装物料出入库明细!$P$4:$P$2003,"已收讫"),2)))</f>
        <v/>
      </c>
      <c r="I326" s="27"/>
    </row>
    <row r="327" spans="1:9">
      <c r="A327" s="22" t="str">
        <f t="shared" si="12"/>
        <v/>
      </c>
      <c r="B327" s="37" t="str">
        <f>IFERROR(INDEX(_自动清单!$CL$4:$CL$203,INT((ROW()-160)/2)+1),"")</f>
        <v/>
      </c>
      <c r="C327" s="37" t="str">
        <f t="shared" si="13"/>
        <v/>
      </c>
      <c r="D327" s="26">
        <f>IF($B327="",0,IF($C327="筐子销售款",ROUND(SUMIFS(周转筐出入库明细!$P$4:$P$2004,周转筐出入库明细!$C$4:$C$2004,$B327,周转筐出入库明细!$F$4:$F$2004,"销售出库"),2),ROUND(SUMIFS(包装物料出入库明细!$N$4:$N$2003,包装物料出入库明细!$D$4:$D$2003,$B327,包装物料出入库明细!$H$4:$H$2003,"销售出库"),2)))</f>
        <v>0</v>
      </c>
      <c r="E327" s="26">
        <f>IF($B327="",0,IF($C327="筐子销售款",ROUND(SUMIFS(周转筐出入库明细!$P$4:$P$2004,周转筐出入库明细!$C$4:$C$2004,$B327,周转筐出入库明细!$F$4:$F$2004,"采购入库"),2),ROUND(SUMIFS(包装物料出入库明细!$N$4:$N$2003,包装物料出入库明细!$D$4:$D$2003,$B327,包装物料出入库明细!$H$4:$H$2003,"采购入库"),2)))</f>
        <v>0</v>
      </c>
      <c r="F327" s="24"/>
      <c r="G327" s="26" t="str">
        <f t="shared" si="14"/>
        <v/>
      </c>
      <c r="H327" s="26" t="str">
        <f>IF($B327="","",IF($C327="筐子销售款",ROUND(SUMIFS(周转筐出入库明细!$P$4:$P$2004,周转筐出入库明细!$C$4:$C$2004,$B327,周转筐出入库明细!$F$4:$F$2004,"销售出库",周转筐出入库明细!$Q$4:$Q$2004,"已收讫"),2),ROUND(SUMIFS(包装物料出入库明细!$N$4:$N$2003,包装物料出入库明细!$D$4:$D$2003,$B327,包装物料出入库明细!$H$4:$H$2003,"销售出库",包装物料出入库明细!$P$4:$P$2003,"已收讫"),2)))</f>
        <v/>
      </c>
      <c r="I327" s="27"/>
    </row>
    <row r="328" spans="1:9">
      <c r="A328" s="22" t="str">
        <f t="shared" si="12"/>
        <v/>
      </c>
      <c r="B328" s="37" t="str">
        <f>IFERROR(INDEX(_自动清单!$CL$4:$CL$203,INT((ROW()-160)/2)+1),"")</f>
        <v/>
      </c>
      <c r="C328" s="37" t="str">
        <f t="shared" si="13"/>
        <v/>
      </c>
      <c r="D328" s="26">
        <f>IF($B328="",0,IF($C328="筐子销售款",ROUND(SUMIFS(周转筐出入库明细!$P$4:$P$2004,周转筐出入库明细!$C$4:$C$2004,$B328,周转筐出入库明细!$F$4:$F$2004,"销售出库"),2),ROUND(SUMIFS(包装物料出入库明细!$N$4:$N$2003,包装物料出入库明细!$D$4:$D$2003,$B328,包装物料出入库明细!$H$4:$H$2003,"销售出库"),2)))</f>
        <v>0</v>
      </c>
      <c r="E328" s="26">
        <f>IF($B328="",0,IF($C328="筐子销售款",ROUND(SUMIFS(周转筐出入库明细!$P$4:$P$2004,周转筐出入库明细!$C$4:$C$2004,$B328,周转筐出入库明细!$F$4:$F$2004,"采购入库"),2),ROUND(SUMIFS(包装物料出入库明细!$N$4:$N$2003,包装物料出入库明细!$D$4:$D$2003,$B328,包装物料出入库明细!$H$4:$H$2003,"采购入库"),2)))</f>
        <v>0</v>
      </c>
      <c r="F328" s="24"/>
      <c r="G328" s="26" t="str">
        <f t="shared" si="14"/>
        <v/>
      </c>
      <c r="H328" s="26" t="str">
        <f>IF($B328="","",IF($C328="筐子销售款",ROUND(SUMIFS(周转筐出入库明细!$P$4:$P$2004,周转筐出入库明细!$C$4:$C$2004,$B328,周转筐出入库明细!$F$4:$F$2004,"销售出库",周转筐出入库明细!$Q$4:$Q$2004,"已收讫"),2),ROUND(SUMIFS(包装物料出入库明细!$N$4:$N$2003,包装物料出入库明细!$D$4:$D$2003,$B328,包装物料出入库明细!$H$4:$H$2003,"销售出库",包装物料出入库明细!$P$4:$P$2003,"已收讫"),2)))</f>
        <v/>
      </c>
      <c r="I328" s="27"/>
    </row>
    <row r="329" spans="1:9">
      <c r="A329" s="22" t="str">
        <f t="shared" si="12"/>
        <v/>
      </c>
      <c r="B329" s="37" t="str">
        <f>IFERROR(INDEX(_自动清单!$CL$4:$CL$203,INT((ROW()-160)/2)+1),"")</f>
        <v/>
      </c>
      <c r="C329" s="37" t="str">
        <f t="shared" si="13"/>
        <v/>
      </c>
      <c r="D329" s="26">
        <f>IF($B329="",0,IF($C329="筐子销售款",ROUND(SUMIFS(周转筐出入库明细!$P$4:$P$2004,周转筐出入库明细!$C$4:$C$2004,$B329,周转筐出入库明细!$F$4:$F$2004,"销售出库"),2),ROUND(SUMIFS(包装物料出入库明细!$N$4:$N$2003,包装物料出入库明细!$D$4:$D$2003,$B329,包装物料出入库明细!$H$4:$H$2003,"销售出库"),2)))</f>
        <v>0</v>
      </c>
      <c r="E329" s="26">
        <f>IF($B329="",0,IF($C329="筐子销售款",ROUND(SUMIFS(周转筐出入库明细!$P$4:$P$2004,周转筐出入库明细!$C$4:$C$2004,$B329,周转筐出入库明细!$F$4:$F$2004,"采购入库"),2),ROUND(SUMIFS(包装物料出入库明细!$N$4:$N$2003,包装物料出入库明细!$D$4:$D$2003,$B329,包装物料出入库明细!$H$4:$H$2003,"采购入库"),2)))</f>
        <v>0</v>
      </c>
      <c r="F329" s="24"/>
      <c r="G329" s="26" t="str">
        <f t="shared" si="14"/>
        <v/>
      </c>
      <c r="H329" s="26" t="str">
        <f>IF($B329="","",IF($C329="筐子销售款",ROUND(SUMIFS(周转筐出入库明细!$P$4:$P$2004,周转筐出入库明细!$C$4:$C$2004,$B329,周转筐出入库明细!$F$4:$F$2004,"销售出库",周转筐出入库明细!$Q$4:$Q$2004,"已收讫"),2),ROUND(SUMIFS(包装物料出入库明细!$N$4:$N$2003,包装物料出入库明细!$D$4:$D$2003,$B329,包装物料出入库明细!$H$4:$H$2003,"销售出库",包装物料出入库明细!$P$4:$P$2003,"已收讫"),2)))</f>
        <v/>
      </c>
      <c r="I329" s="27"/>
    </row>
    <row r="330" spans="1:9">
      <c r="A330" s="22" t="str">
        <f t="shared" si="12"/>
        <v/>
      </c>
      <c r="B330" s="37" t="str">
        <f>IFERROR(INDEX(_自动清单!$CL$4:$CL$203,INT((ROW()-160)/2)+1),"")</f>
        <v/>
      </c>
      <c r="C330" s="37" t="str">
        <f t="shared" si="13"/>
        <v/>
      </c>
      <c r="D330" s="26">
        <f>IF($B330="",0,IF($C330="筐子销售款",ROUND(SUMIFS(周转筐出入库明细!$P$4:$P$2004,周转筐出入库明细!$C$4:$C$2004,$B330,周转筐出入库明细!$F$4:$F$2004,"销售出库"),2),ROUND(SUMIFS(包装物料出入库明细!$N$4:$N$2003,包装物料出入库明细!$D$4:$D$2003,$B330,包装物料出入库明细!$H$4:$H$2003,"销售出库"),2)))</f>
        <v>0</v>
      </c>
      <c r="E330" s="26">
        <f>IF($B330="",0,IF($C330="筐子销售款",ROUND(SUMIFS(周转筐出入库明细!$P$4:$P$2004,周转筐出入库明细!$C$4:$C$2004,$B330,周转筐出入库明细!$F$4:$F$2004,"采购入库"),2),ROUND(SUMIFS(包装物料出入库明细!$N$4:$N$2003,包装物料出入库明细!$D$4:$D$2003,$B330,包装物料出入库明细!$H$4:$H$2003,"采购入库"),2)))</f>
        <v>0</v>
      </c>
      <c r="F330" s="24"/>
      <c r="G330" s="26" t="str">
        <f t="shared" si="14"/>
        <v/>
      </c>
      <c r="H330" s="26" t="str">
        <f>IF($B330="","",IF($C330="筐子销售款",ROUND(SUMIFS(周转筐出入库明细!$P$4:$P$2004,周转筐出入库明细!$C$4:$C$2004,$B330,周转筐出入库明细!$F$4:$F$2004,"销售出库",周转筐出入库明细!$Q$4:$Q$2004,"已收讫"),2),ROUND(SUMIFS(包装物料出入库明细!$N$4:$N$2003,包装物料出入库明细!$D$4:$D$2003,$B330,包装物料出入库明细!$H$4:$H$2003,"销售出库",包装物料出入库明细!$P$4:$P$2003,"已收讫"),2)))</f>
        <v/>
      </c>
      <c r="I330" s="27"/>
    </row>
    <row r="331" spans="1:9">
      <c r="A331" s="22" t="str">
        <f t="shared" si="12"/>
        <v/>
      </c>
      <c r="B331" s="37" t="str">
        <f>IFERROR(INDEX(_自动清单!$CL$4:$CL$203,INT((ROW()-160)/2)+1),"")</f>
        <v/>
      </c>
      <c r="C331" s="37" t="str">
        <f t="shared" si="13"/>
        <v/>
      </c>
      <c r="D331" s="26">
        <f>IF($B331="",0,IF($C331="筐子销售款",ROUND(SUMIFS(周转筐出入库明细!$P$4:$P$2004,周转筐出入库明细!$C$4:$C$2004,$B331,周转筐出入库明细!$F$4:$F$2004,"销售出库"),2),ROUND(SUMIFS(包装物料出入库明细!$N$4:$N$2003,包装物料出入库明细!$D$4:$D$2003,$B331,包装物料出入库明细!$H$4:$H$2003,"销售出库"),2)))</f>
        <v>0</v>
      </c>
      <c r="E331" s="26">
        <f>IF($B331="",0,IF($C331="筐子销售款",ROUND(SUMIFS(周转筐出入库明细!$P$4:$P$2004,周转筐出入库明细!$C$4:$C$2004,$B331,周转筐出入库明细!$F$4:$F$2004,"采购入库"),2),ROUND(SUMIFS(包装物料出入库明细!$N$4:$N$2003,包装物料出入库明细!$D$4:$D$2003,$B331,包装物料出入库明细!$H$4:$H$2003,"采购入库"),2)))</f>
        <v>0</v>
      </c>
      <c r="F331" s="24"/>
      <c r="G331" s="26" t="str">
        <f t="shared" si="14"/>
        <v/>
      </c>
      <c r="H331" s="26" t="str">
        <f>IF($B331="","",IF($C331="筐子销售款",ROUND(SUMIFS(周转筐出入库明细!$P$4:$P$2004,周转筐出入库明细!$C$4:$C$2004,$B331,周转筐出入库明细!$F$4:$F$2004,"销售出库",周转筐出入库明细!$Q$4:$Q$2004,"已收讫"),2),ROUND(SUMIFS(包装物料出入库明细!$N$4:$N$2003,包装物料出入库明细!$D$4:$D$2003,$B331,包装物料出入库明细!$H$4:$H$2003,"销售出库",包装物料出入库明细!$P$4:$P$2003,"已收讫"),2)))</f>
        <v/>
      </c>
      <c r="I331" s="27"/>
    </row>
    <row r="332" spans="1:9">
      <c r="A332" s="22" t="str">
        <f t="shared" si="12"/>
        <v/>
      </c>
      <c r="B332" s="37" t="str">
        <f>IFERROR(INDEX(_自动清单!$CL$4:$CL$203,INT((ROW()-160)/2)+1),"")</f>
        <v/>
      </c>
      <c r="C332" s="37" t="str">
        <f t="shared" si="13"/>
        <v/>
      </c>
      <c r="D332" s="26">
        <f>IF($B332="",0,IF($C332="筐子销售款",ROUND(SUMIFS(周转筐出入库明细!$P$4:$P$2004,周转筐出入库明细!$C$4:$C$2004,$B332,周转筐出入库明细!$F$4:$F$2004,"销售出库"),2),ROUND(SUMIFS(包装物料出入库明细!$N$4:$N$2003,包装物料出入库明细!$D$4:$D$2003,$B332,包装物料出入库明细!$H$4:$H$2003,"销售出库"),2)))</f>
        <v>0</v>
      </c>
      <c r="E332" s="26">
        <f>IF($B332="",0,IF($C332="筐子销售款",ROUND(SUMIFS(周转筐出入库明细!$P$4:$P$2004,周转筐出入库明细!$C$4:$C$2004,$B332,周转筐出入库明细!$F$4:$F$2004,"采购入库"),2),ROUND(SUMIFS(包装物料出入库明细!$N$4:$N$2003,包装物料出入库明细!$D$4:$D$2003,$B332,包装物料出入库明细!$H$4:$H$2003,"采购入库"),2)))</f>
        <v>0</v>
      </c>
      <c r="F332" s="24"/>
      <c r="G332" s="26" t="str">
        <f t="shared" si="14"/>
        <v/>
      </c>
      <c r="H332" s="26" t="str">
        <f>IF($B332="","",IF($C332="筐子销售款",ROUND(SUMIFS(周转筐出入库明细!$P$4:$P$2004,周转筐出入库明细!$C$4:$C$2004,$B332,周转筐出入库明细!$F$4:$F$2004,"销售出库",周转筐出入库明细!$Q$4:$Q$2004,"已收讫"),2),ROUND(SUMIFS(包装物料出入库明细!$N$4:$N$2003,包装物料出入库明细!$D$4:$D$2003,$B332,包装物料出入库明细!$H$4:$H$2003,"销售出库",包装物料出入库明细!$P$4:$P$2003,"已收讫"),2)))</f>
        <v/>
      </c>
      <c r="I332" s="27"/>
    </row>
    <row r="333" spans="1:9">
      <c r="A333" s="22" t="str">
        <f t="shared" si="12"/>
        <v/>
      </c>
      <c r="B333" s="37" t="str">
        <f>IFERROR(INDEX(_自动清单!$CL$4:$CL$203,INT((ROW()-160)/2)+1),"")</f>
        <v/>
      </c>
      <c r="C333" s="37" t="str">
        <f t="shared" si="13"/>
        <v/>
      </c>
      <c r="D333" s="26">
        <f>IF($B333="",0,IF($C333="筐子销售款",ROUND(SUMIFS(周转筐出入库明细!$P$4:$P$2004,周转筐出入库明细!$C$4:$C$2004,$B333,周转筐出入库明细!$F$4:$F$2004,"销售出库"),2),ROUND(SUMIFS(包装物料出入库明细!$N$4:$N$2003,包装物料出入库明细!$D$4:$D$2003,$B333,包装物料出入库明细!$H$4:$H$2003,"销售出库"),2)))</f>
        <v>0</v>
      </c>
      <c r="E333" s="26">
        <f>IF($B333="",0,IF($C333="筐子销售款",ROUND(SUMIFS(周转筐出入库明细!$P$4:$P$2004,周转筐出入库明细!$C$4:$C$2004,$B333,周转筐出入库明细!$F$4:$F$2004,"采购入库"),2),ROUND(SUMIFS(包装物料出入库明细!$N$4:$N$2003,包装物料出入库明细!$D$4:$D$2003,$B333,包装物料出入库明细!$H$4:$H$2003,"采购入库"),2)))</f>
        <v>0</v>
      </c>
      <c r="F333" s="24"/>
      <c r="G333" s="26" t="str">
        <f t="shared" si="14"/>
        <v/>
      </c>
      <c r="H333" s="26" t="str">
        <f>IF($B333="","",IF($C333="筐子销售款",ROUND(SUMIFS(周转筐出入库明细!$P$4:$P$2004,周转筐出入库明细!$C$4:$C$2004,$B333,周转筐出入库明细!$F$4:$F$2004,"销售出库",周转筐出入库明细!$Q$4:$Q$2004,"已收讫"),2),ROUND(SUMIFS(包装物料出入库明细!$N$4:$N$2003,包装物料出入库明细!$D$4:$D$2003,$B333,包装物料出入库明细!$H$4:$H$2003,"销售出库",包装物料出入库明细!$P$4:$P$2003,"已收讫"),2)))</f>
        <v/>
      </c>
      <c r="I333" s="27"/>
    </row>
    <row r="334" spans="1:9">
      <c r="A334" s="22" t="str">
        <f t="shared" si="12"/>
        <v/>
      </c>
      <c r="B334" s="37" t="str">
        <f>IFERROR(INDEX(_自动清单!$CL$4:$CL$203,INT((ROW()-160)/2)+1),"")</f>
        <v/>
      </c>
      <c r="C334" s="37" t="str">
        <f t="shared" si="13"/>
        <v/>
      </c>
      <c r="D334" s="26">
        <f>IF($B334="",0,IF($C334="筐子销售款",ROUND(SUMIFS(周转筐出入库明细!$P$4:$P$2004,周转筐出入库明细!$C$4:$C$2004,$B334,周转筐出入库明细!$F$4:$F$2004,"销售出库"),2),ROUND(SUMIFS(包装物料出入库明细!$N$4:$N$2003,包装物料出入库明细!$D$4:$D$2003,$B334,包装物料出入库明细!$H$4:$H$2003,"销售出库"),2)))</f>
        <v>0</v>
      </c>
      <c r="E334" s="26">
        <f>IF($B334="",0,IF($C334="筐子销售款",ROUND(SUMIFS(周转筐出入库明细!$P$4:$P$2004,周转筐出入库明细!$C$4:$C$2004,$B334,周转筐出入库明细!$F$4:$F$2004,"采购入库"),2),ROUND(SUMIFS(包装物料出入库明细!$N$4:$N$2003,包装物料出入库明细!$D$4:$D$2003,$B334,包装物料出入库明细!$H$4:$H$2003,"采购入库"),2)))</f>
        <v>0</v>
      </c>
      <c r="F334" s="24"/>
      <c r="G334" s="26" t="str">
        <f t="shared" si="14"/>
        <v/>
      </c>
      <c r="H334" s="26" t="str">
        <f>IF($B334="","",IF($C334="筐子销售款",ROUND(SUMIFS(周转筐出入库明细!$P$4:$P$2004,周转筐出入库明细!$C$4:$C$2004,$B334,周转筐出入库明细!$F$4:$F$2004,"销售出库",周转筐出入库明细!$Q$4:$Q$2004,"已收讫"),2),ROUND(SUMIFS(包装物料出入库明细!$N$4:$N$2003,包装物料出入库明细!$D$4:$D$2003,$B334,包装物料出入库明细!$H$4:$H$2003,"销售出库",包装物料出入库明细!$P$4:$P$2003,"已收讫"),2)))</f>
        <v/>
      </c>
      <c r="I334" s="27"/>
    </row>
    <row r="335" spans="1:9">
      <c r="A335" s="22" t="str">
        <f t="shared" si="12"/>
        <v/>
      </c>
      <c r="B335" s="37" t="str">
        <f>IFERROR(INDEX(_自动清单!$CL$4:$CL$203,INT((ROW()-160)/2)+1),"")</f>
        <v/>
      </c>
      <c r="C335" s="37" t="str">
        <f t="shared" si="13"/>
        <v/>
      </c>
      <c r="D335" s="26">
        <f>IF($B335="",0,IF($C335="筐子销售款",ROUND(SUMIFS(周转筐出入库明细!$P$4:$P$2004,周转筐出入库明细!$C$4:$C$2004,$B335,周转筐出入库明细!$F$4:$F$2004,"销售出库"),2),ROUND(SUMIFS(包装物料出入库明细!$N$4:$N$2003,包装物料出入库明细!$D$4:$D$2003,$B335,包装物料出入库明细!$H$4:$H$2003,"销售出库"),2)))</f>
        <v>0</v>
      </c>
      <c r="E335" s="26">
        <f>IF($B335="",0,IF($C335="筐子销售款",ROUND(SUMIFS(周转筐出入库明细!$P$4:$P$2004,周转筐出入库明细!$C$4:$C$2004,$B335,周转筐出入库明细!$F$4:$F$2004,"采购入库"),2),ROUND(SUMIFS(包装物料出入库明细!$N$4:$N$2003,包装物料出入库明细!$D$4:$D$2003,$B335,包装物料出入库明细!$H$4:$H$2003,"采购入库"),2)))</f>
        <v>0</v>
      </c>
      <c r="F335" s="24"/>
      <c r="G335" s="26" t="str">
        <f t="shared" si="14"/>
        <v/>
      </c>
      <c r="H335" s="26" t="str">
        <f>IF($B335="","",IF($C335="筐子销售款",ROUND(SUMIFS(周转筐出入库明细!$P$4:$P$2004,周转筐出入库明细!$C$4:$C$2004,$B335,周转筐出入库明细!$F$4:$F$2004,"销售出库",周转筐出入库明细!$Q$4:$Q$2004,"已收讫"),2),ROUND(SUMIFS(包装物料出入库明细!$N$4:$N$2003,包装物料出入库明细!$D$4:$D$2003,$B335,包装物料出入库明细!$H$4:$H$2003,"销售出库",包装物料出入库明细!$P$4:$P$2003,"已收讫"),2)))</f>
        <v/>
      </c>
      <c r="I335" s="27"/>
    </row>
    <row r="336" spans="1:9">
      <c r="A336" s="22" t="str">
        <f t="shared" si="12"/>
        <v/>
      </c>
      <c r="B336" s="37" t="str">
        <f>IFERROR(INDEX(_自动清单!$CL$4:$CL$203,INT((ROW()-160)/2)+1),"")</f>
        <v/>
      </c>
      <c r="C336" s="37" t="str">
        <f t="shared" si="13"/>
        <v/>
      </c>
      <c r="D336" s="26">
        <f>IF($B336="",0,IF($C336="筐子销售款",ROUND(SUMIFS(周转筐出入库明细!$P$4:$P$2004,周转筐出入库明细!$C$4:$C$2004,$B336,周转筐出入库明细!$F$4:$F$2004,"销售出库"),2),ROUND(SUMIFS(包装物料出入库明细!$N$4:$N$2003,包装物料出入库明细!$D$4:$D$2003,$B336,包装物料出入库明细!$H$4:$H$2003,"销售出库"),2)))</f>
        <v>0</v>
      </c>
      <c r="E336" s="26">
        <f>IF($B336="",0,IF($C336="筐子销售款",ROUND(SUMIFS(周转筐出入库明细!$P$4:$P$2004,周转筐出入库明细!$C$4:$C$2004,$B336,周转筐出入库明细!$F$4:$F$2004,"采购入库"),2),ROUND(SUMIFS(包装物料出入库明细!$N$4:$N$2003,包装物料出入库明细!$D$4:$D$2003,$B336,包装物料出入库明细!$H$4:$H$2003,"采购入库"),2)))</f>
        <v>0</v>
      </c>
      <c r="F336" s="24"/>
      <c r="G336" s="26" t="str">
        <f t="shared" si="14"/>
        <v/>
      </c>
      <c r="H336" s="26" t="str">
        <f>IF($B336="","",IF($C336="筐子销售款",ROUND(SUMIFS(周转筐出入库明细!$P$4:$P$2004,周转筐出入库明细!$C$4:$C$2004,$B336,周转筐出入库明细!$F$4:$F$2004,"销售出库",周转筐出入库明细!$Q$4:$Q$2004,"已收讫"),2),ROUND(SUMIFS(包装物料出入库明细!$N$4:$N$2003,包装物料出入库明细!$D$4:$D$2003,$B336,包装物料出入库明细!$H$4:$H$2003,"销售出库",包装物料出入库明细!$P$4:$P$2003,"已收讫"),2)))</f>
        <v/>
      </c>
      <c r="I336" s="27"/>
    </row>
    <row r="337" spans="1:9">
      <c r="A337" s="22" t="str">
        <f t="shared" si="12"/>
        <v/>
      </c>
      <c r="B337" s="37" t="str">
        <f>IFERROR(INDEX(_自动清单!$CL$4:$CL$203,INT((ROW()-160)/2)+1),"")</f>
        <v/>
      </c>
      <c r="C337" s="37" t="str">
        <f t="shared" si="13"/>
        <v/>
      </c>
      <c r="D337" s="26">
        <f>IF($B337="",0,IF($C337="筐子销售款",ROUND(SUMIFS(周转筐出入库明细!$P$4:$P$2004,周转筐出入库明细!$C$4:$C$2004,$B337,周转筐出入库明细!$F$4:$F$2004,"销售出库"),2),ROUND(SUMIFS(包装物料出入库明细!$N$4:$N$2003,包装物料出入库明细!$D$4:$D$2003,$B337,包装物料出入库明细!$H$4:$H$2003,"销售出库"),2)))</f>
        <v>0</v>
      </c>
      <c r="E337" s="26">
        <f>IF($B337="",0,IF($C337="筐子销售款",ROUND(SUMIFS(周转筐出入库明细!$P$4:$P$2004,周转筐出入库明细!$C$4:$C$2004,$B337,周转筐出入库明细!$F$4:$F$2004,"采购入库"),2),ROUND(SUMIFS(包装物料出入库明细!$N$4:$N$2003,包装物料出入库明细!$D$4:$D$2003,$B337,包装物料出入库明细!$H$4:$H$2003,"采购入库"),2)))</f>
        <v>0</v>
      </c>
      <c r="F337" s="24"/>
      <c r="G337" s="26" t="str">
        <f t="shared" si="14"/>
        <v/>
      </c>
      <c r="H337" s="26" t="str">
        <f>IF($B337="","",IF($C337="筐子销售款",ROUND(SUMIFS(周转筐出入库明细!$P$4:$P$2004,周转筐出入库明细!$C$4:$C$2004,$B337,周转筐出入库明细!$F$4:$F$2004,"销售出库",周转筐出入库明细!$Q$4:$Q$2004,"已收讫"),2),ROUND(SUMIFS(包装物料出入库明细!$N$4:$N$2003,包装物料出入库明细!$D$4:$D$2003,$B337,包装物料出入库明细!$H$4:$H$2003,"销售出库",包装物料出入库明细!$P$4:$P$2003,"已收讫"),2)))</f>
        <v/>
      </c>
      <c r="I337" s="27"/>
    </row>
    <row r="338" spans="1:9">
      <c r="A338" s="22" t="str">
        <f t="shared" si="12"/>
        <v/>
      </c>
      <c r="B338" s="37" t="str">
        <f>IFERROR(INDEX(_自动清单!$CL$4:$CL$203,INT((ROW()-160)/2)+1),"")</f>
        <v/>
      </c>
      <c r="C338" s="37" t="str">
        <f t="shared" si="13"/>
        <v/>
      </c>
      <c r="D338" s="26">
        <f>IF($B338="",0,IF($C338="筐子销售款",ROUND(SUMIFS(周转筐出入库明细!$P$4:$P$2004,周转筐出入库明细!$C$4:$C$2004,$B338,周转筐出入库明细!$F$4:$F$2004,"销售出库"),2),ROUND(SUMIFS(包装物料出入库明细!$N$4:$N$2003,包装物料出入库明细!$D$4:$D$2003,$B338,包装物料出入库明细!$H$4:$H$2003,"销售出库"),2)))</f>
        <v>0</v>
      </c>
      <c r="E338" s="26">
        <f>IF($B338="",0,IF($C338="筐子销售款",ROUND(SUMIFS(周转筐出入库明细!$P$4:$P$2004,周转筐出入库明细!$C$4:$C$2004,$B338,周转筐出入库明细!$F$4:$F$2004,"采购入库"),2),ROUND(SUMIFS(包装物料出入库明细!$N$4:$N$2003,包装物料出入库明细!$D$4:$D$2003,$B338,包装物料出入库明细!$H$4:$H$2003,"采购入库"),2)))</f>
        <v>0</v>
      </c>
      <c r="F338" s="24"/>
      <c r="G338" s="26" t="str">
        <f t="shared" si="14"/>
        <v/>
      </c>
      <c r="H338" s="26" t="str">
        <f>IF($B338="","",IF($C338="筐子销售款",ROUND(SUMIFS(周转筐出入库明细!$P$4:$P$2004,周转筐出入库明细!$C$4:$C$2004,$B338,周转筐出入库明细!$F$4:$F$2004,"销售出库",周转筐出入库明细!$Q$4:$Q$2004,"已收讫"),2),ROUND(SUMIFS(包装物料出入库明细!$N$4:$N$2003,包装物料出入库明细!$D$4:$D$2003,$B338,包装物料出入库明细!$H$4:$H$2003,"销售出库",包装物料出入库明细!$P$4:$P$2003,"已收讫"),2)))</f>
        <v/>
      </c>
      <c r="I338" s="27"/>
    </row>
    <row r="339" spans="1:9">
      <c r="A339" s="22" t="str">
        <f t="shared" si="12"/>
        <v/>
      </c>
      <c r="B339" s="37" t="str">
        <f>IFERROR(INDEX(_自动清单!$CL$4:$CL$203,INT((ROW()-160)/2)+1),"")</f>
        <v/>
      </c>
      <c r="C339" s="37" t="str">
        <f t="shared" si="13"/>
        <v/>
      </c>
      <c r="D339" s="26">
        <f>IF($B339="",0,IF($C339="筐子销售款",ROUND(SUMIFS(周转筐出入库明细!$P$4:$P$2004,周转筐出入库明细!$C$4:$C$2004,$B339,周转筐出入库明细!$F$4:$F$2004,"销售出库"),2),ROUND(SUMIFS(包装物料出入库明细!$N$4:$N$2003,包装物料出入库明细!$D$4:$D$2003,$B339,包装物料出入库明细!$H$4:$H$2003,"销售出库"),2)))</f>
        <v>0</v>
      </c>
      <c r="E339" s="26">
        <f>IF($B339="",0,IF($C339="筐子销售款",ROUND(SUMIFS(周转筐出入库明细!$P$4:$P$2004,周转筐出入库明细!$C$4:$C$2004,$B339,周转筐出入库明细!$F$4:$F$2004,"采购入库"),2),ROUND(SUMIFS(包装物料出入库明细!$N$4:$N$2003,包装物料出入库明细!$D$4:$D$2003,$B339,包装物料出入库明细!$H$4:$H$2003,"采购入库"),2)))</f>
        <v>0</v>
      </c>
      <c r="F339" s="24"/>
      <c r="G339" s="26" t="str">
        <f t="shared" si="14"/>
        <v/>
      </c>
      <c r="H339" s="26" t="str">
        <f>IF($B339="","",IF($C339="筐子销售款",ROUND(SUMIFS(周转筐出入库明细!$P$4:$P$2004,周转筐出入库明细!$C$4:$C$2004,$B339,周转筐出入库明细!$F$4:$F$2004,"销售出库",周转筐出入库明细!$Q$4:$Q$2004,"已收讫"),2),ROUND(SUMIFS(包装物料出入库明细!$N$4:$N$2003,包装物料出入库明细!$D$4:$D$2003,$B339,包装物料出入库明细!$H$4:$H$2003,"销售出库",包装物料出入库明细!$P$4:$P$2003,"已收讫"),2)))</f>
        <v/>
      </c>
      <c r="I339" s="27"/>
    </row>
    <row r="340" spans="1:9">
      <c r="A340" s="22" t="str">
        <f t="shared" si="12"/>
        <v/>
      </c>
      <c r="B340" s="37" t="str">
        <f>IFERROR(INDEX(_自动清单!$CL$4:$CL$203,INT((ROW()-160)/2)+1),"")</f>
        <v/>
      </c>
      <c r="C340" s="37" t="str">
        <f t="shared" si="13"/>
        <v/>
      </c>
      <c r="D340" s="26">
        <f>IF($B340="",0,IF($C340="筐子销售款",ROUND(SUMIFS(周转筐出入库明细!$P$4:$P$2004,周转筐出入库明细!$C$4:$C$2004,$B340,周转筐出入库明细!$F$4:$F$2004,"销售出库"),2),ROUND(SUMIFS(包装物料出入库明细!$N$4:$N$2003,包装物料出入库明细!$D$4:$D$2003,$B340,包装物料出入库明细!$H$4:$H$2003,"销售出库"),2)))</f>
        <v>0</v>
      </c>
      <c r="E340" s="26">
        <f>IF($B340="",0,IF($C340="筐子销售款",ROUND(SUMIFS(周转筐出入库明细!$P$4:$P$2004,周转筐出入库明细!$C$4:$C$2004,$B340,周转筐出入库明细!$F$4:$F$2004,"采购入库"),2),ROUND(SUMIFS(包装物料出入库明细!$N$4:$N$2003,包装物料出入库明细!$D$4:$D$2003,$B340,包装物料出入库明细!$H$4:$H$2003,"采购入库"),2)))</f>
        <v>0</v>
      </c>
      <c r="F340" s="24"/>
      <c r="G340" s="26" t="str">
        <f t="shared" si="14"/>
        <v/>
      </c>
      <c r="H340" s="26" t="str">
        <f>IF($B340="","",IF($C340="筐子销售款",ROUND(SUMIFS(周转筐出入库明细!$P$4:$P$2004,周转筐出入库明细!$C$4:$C$2004,$B340,周转筐出入库明细!$F$4:$F$2004,"销售出库",周转筐出入库明细!$Q$4:$Q$2004,"已收讫"),2),ROUND(SUMIFS(包装物料出入库明细!$N$4:$N$2003,包装物料出入库明细!$D$4:$D$2003,$B340,包装物料出入库明细!$H$4:$H$2003,"销售出库",包装物料出入库明细!$P$4:$P$2003,"已收讫"),2)))</f>
        <v/>
      </c>
      <c r="I340" s="27"/>
    </row>
    <row r="341" spans="1:9">
      <c r="A341" s="22" t="str">
        <f t="shared" si="12"/>
        <v/>
      </c>
      <c r="B341" s="37" t="str">
        <f>IFERROR(INDEX(_自动清单!$CL$4:$CL$203,INT((ROW()-160)/2)+1),"")</f>
        <v/>
      </c>
      <c r="C341" s="37" t="str">
        <f t="shared" si="13"/>
        <v/>
      </c>
      <c r="D341" s="26">
        <f>IF($B341="",0,IF($C341="筐子销售款",ROUND(SUMIFS(周转筐出入库明细!$P$4:$P$2004,周转筐出入库明细!$C$4:$C$2004,$B341,周转筐出入库明细!$F$4:$F$2004,"销售出库"),2),ROUND(SUMIFS(包装物料出入库明细!$N$4:$N$2003,包装物料出入库明细!$D$4:$D$2003,$B341,包装物料出入库明细!$H$4:$H$2003,"销售出库"),2)))</f>
        <v>0</v>
      </c>
      <c r="E341" s="26">
        <f>IF($B341="",0,IF($C341="筐子销售款",ROUND(SUMIFS(周转筐出入库明细!$P$4:$P$2004,周转筐出入库明细!$C$4:$C$2004,$B341,周转筐出入库明细!$F$4:$F$2004,"采购入库"),2),ROUND(SUMIFS(包装物料出入库明细!$N$4:$N$2003,包装物料出入库明细!$D$4:$D$2003,$B341,包装物料出入库明细!$H$4:$H$2003,"采购入库"),2)))</f>
        <v>0</v>
      </c>
      <c r="F341" s="24"/>
      <c r="G341" s="26" t="str">
        <f t="shared" si="14"/>
        <v/>
      </c>
      <c r="H341" s="26" t="str">
        <f>IF($B341="","",IF($C341="筐子销售款",ROUND(SUMIFS(周转筐出入库明细!$P$4:$P$2004,周转筐出入库明细!$C$4:$C$2004,$B341,周转筐出入库明细!$F$4:$F$2004,"销售出库",周转筐出入库明细!$Q$4:$Q$2004,"已收讫"),2),ROUND(SUMIFS(包装物料出入库明细!$N$4:$N$2003,包装物料出入库明细!$D$4:$D$2003,$B341,包装物料出入库明细!$H$4:$H$2003,"销售出库",包装物料出入库明细!$P$4:$P$2003,"已收讫"),2)))</f>
        <v/>
      </c>
      <c r="I341" s="27"/>
    </row>
    <row r="342" spans="1:9">
      <c r="A342" s="22" t="str">
        <f t="shared" si="12"/>
        <v/>
      </c>
      <c r="B342" s="37" t="str">
        <f>IFERROR(INDEX(_自动清单!$CL$4:$CL$203,INT((ROW()-160)/2)+1),"")</f>
        <v/>
      </c>
      <c r="C342" s="37" t="str">
        <f t="shared" si="13"/>
        <v/>
      </c>
      <c r="D342" s="26">
        <f>IF($B342="",0,IF($C342="筐子销售款",ROUND(SUMIFS(周转筐出入库明细!$P$4:$P$2004,周转筐出入库明细!$C$4:$C$2004,$B342,周转筐出入库明细!$F$4:$F$2004,"销售出库"),2),ROUND(SUMIFS(包装物料出入库明细!$N$4:$N$2003,包装物料出入库明细!$D$4:$D$2003,$B342,包装物料出入库明细!$H$4:$H$2003,"销售出库"),2)))</f>
        <v>0</v>
      </c>
      <c r="E342" s="26">
        <f>IF($B342="",0,IF($C342="筐子销售款",ROUND(SUMIFS(周转筐出入库明细!$P$4:$P$2004,周转筐出入库明细!$C$4:$C$2004,$B342,周转筐出入库明细!$F$4:$F$2004,"采购入库"),2),ROUND(SUMIFS(包装物料出入库明细!$N$4:$N$2003,包装物料出入库明细!$D$4:$D$2003,$B342,包装物料出入库明细!$H$4:$H$2003,"采购入库"),2)))</f>
        <v>0</v>
      </c>
      <c r="F342" s="24"/>
      <c r="G342" s="26" t="str">
        <f t="shared" si="14"/>
        <v/>
      </c>
      <c r="H342" s="26" t="str">
        <f>IF($B342="","",IF($C342="筐子销售款",ROUND(SUMIFS(周转筐出入库明细!$P$4:$P$2004,周转筐出入库明细!$C$4:$C$2004,$B342,周转筐出入库明细!$F$4:$F$2004,"销售出库",周转筐出入库明细!$Q$4:$Q$2004,"已收讫"),2),ROUND(SUMIFS(包装物料出入库明细!$N$4:$N$2003,包装物料出入库明细!$D$4:$D$2003,$B342,包装物料出入库明细!$H$4:$H$2003,"销售出库",包装物料出入库明细!$P$4:$P$2003,"已收讫"),2)))</f>
        <v/>
      </c>
      <c r="I342" s="27"/>
    </row>
    <row r="343" spans="1:9">
      <c r="A343" s="22" t="str">
        <f t="shared" si="12"/>
        <v/>
      </c>
      <c r="B343" s="37" t="str">
        <f>IFERROR(INDEX(_自动清单!$CL$4:$CL$203,INT((ROW()-160)/2)+1),"")</f>
        <v/>
      </c>
      <c r="C343" s="37" t="str">
        <f t="shared" si="13"/>
        <v/>
      </c>
      <c r="D343" s="26">
        <f>IF($B343="",0,IF($C343="筐子销售款",ROUND(SUMIFS(周转筐出入库明细!$P$4:$P$2004,周转筐出入库明细!$C$4:$C$2004,$B343,周转筐出入库明细!$F$4:$F$2004,"销售出库"),2),ROUND(SUMIFS(包装物料出入库明细!$N$4:$N$2003,包装物料出入库明细!$D$4:$D$2003,$B343,包装物料出入库明细!$H$4:$H$2003,"销售出库"),2)))</f>
        <v>0</v>
      </c>
      <c r="E343" s="26">
        <f>IF($B343="",0,IF($C343="筐子销售款",ROUND(SUMIFS(周转筐出入库明细!$P$4:$P$2004,周转筐出入库明细!$C$4:$C$2004,$B343,周转筐出入库明细!$F$4:$F$2004,"采购入库"),2),ROUND(SUMIFS(包装物料出入库明细!$N$4:$N$2003,包装物料出入库明细!$D$4:$D$2003,$B343,包装物料出入库明细!$H$4:$H$2003,"采购入库"),2)))</f>
        <v>0</v>
      </c>
      <c r="F343" s="24"/>
      <c r="G343" s="26" t="str">
        <f t="shared" si="14"/>
        <v/>
      </c>
      <c r="H343" s="26" t="str">
        <f>IF($B343="","",IF($C343="筐子销售款",ROUND(SUMIFS(周转筐出入库明细!$P$4:$P$2004,周转筐出入库明细!$C$4:$C$2004,$B343,周转筐出入库明细!$F$4:$F$2004,"销售出库",周转筐出入库明细!$Q$4:$Q$2004,"已收讫"),2),ROUND(SUMIFS(包装物料出入库明细!$N$4:$N$2003,包装物料出入库明细!$D$4:$D$2003,$B343,包装物料出入库明细!$H$4:$H$2003,"销售出库",包装物料出入库明细!$P$4:$P$2003,"已收讫"),2)))</f>
        <v/>
      </c>
      <c r="I343" s="27"/>
    </row>
    <row r="344" spans="1:9">
      <c r="A344" s="22" t="str">
        <f t="shared" si="12"/>
        <v/>
      </c>
      <c r="B344" s="37" t="str">
        <f>IFERROR(INDEX(_自动清单!$CL$4:$CL$203,INT((ROW()-160)/2)+1),"")</f>
        <v/>
      </c>
      <c r="C344" s="37" t="str">
        <f t="shared" si="13"/>
        <v/>
      </c>
      <c r="D344" s="26">
        <f>IF($B344="",0,IF($C344="筐子销售款",ROUND(SUMIFS(周转筐出入库明细!$P$4:$P$2004,周转筐出入库明细!$C$4:$C$2004,$B344,周转筐出入库明细!$F$4:$F$2004,"销售出库"),2),ROUND(SUMIFS(包装物料出入库明细!$N$4:$N$2003,包装物料出入库明细!$D$4:$D$2003,$B344,包装物料出入库明细!$H$4:$H$2003,"销售出库"),2)))</f>
        <v>0</v>
      </c>
      <c r="E344" s="26">
        <f>IF($B344="",0,IF($C344="筐子销售款",ROUND(SUMIFS(周转筐出入库明细!$P$4:$P$2004,周转筐出入库明细!$C$4:$C$2004,$B344,周转筐出入库明细!$F$4:$F$2004,"采购入库"),2),ROUND(SUMIFS(包装物料出入库明细!$N$4:$N$2003,包装物料出入库明细!$D$4:$D$2003,$B344,包装物料出入库明细!$H$4:$H$2003,"采购入库"),2)))</f>
        <v>0</v>
      </c>
      <c r="F344" s="24"/>
      <c r="G344" s="26" t="str">
        <f t="shared" si="14"/>
        <v/>
      </c>
      <c r="H344" s="26" t="str">
        <f>IF($B344="","",IF($C344="筐子销售款",ROUND(SUMIFS(周转筐出入库明细!$P$4:$P$2004,周转筐出入库明细!$C$4:$C$2004,$B344,周转筐出入库明细!$F$4:$F$2004,"销售出库",周转筐出入库明细!$Q$4:$Q$2004,"已收讫"),2),ROUND(SUMIFS(包装物料出入库明细!$N$4:$N$2003,包装物料出入库明细!$D$4:$D$2003,$B344,包装物料出入库明细!$H$4:$H$2003,"销售出库",包装物料出入库明细!$P$4:$P$2003,"已收讫"),2)))</f>
        <v/>
      </c>
      <c r="I344" s="27"/>
    </row>
    <row r="345" spans="1:9">
      <c r="A345" s="22" t="str">
        <f t="shared" si="12"/>
        <v/>
      </c>
      <c r="B345" s="37" t="str">
        <f>IFERROR(INDEX(_自动清单!$CL$4:$CL$203,INT((ROW()-160)/2)+1),"")</f>
        <v/>
      </c>
      <c r="C345" s="37" t="str">
        <f t="shared" si="13"/>
        <v/>
      </c>
      <c r="D345" s="26">
        <f>IF($B345="",0,IF($C345="筐子销售款",ROUND(SUMIFS(周转筐出入库明细!$P$4:$P$2004,周转筐出入库明细!$C$4:$C$2004,$B345,周转筐出入库明细!$F$4:$F$2004,"销售出库"),2),ROUND(SUMIFS(包装物料出入库明细!$N$4:$N$2003,包装物料出入库明细!$D$4:$D$2003,$B345,包装物料出入库明细!$H$4:$H$2003,"销售出库"),2)))</f>
        <v>0</v>
      </c>
      <c r="E345" s="26">
        <f>IF($B345="",0,IF($C345="筐子销售款",ROUND(SUMIFS(周转筐出入库明细!$P$4:$P$2004,周转筐出入库明细!$C$4:$C$2004,$B345,周转筐出入库明细!$F$4:$F$2004,"采购入库"),2),ROUND(SUMIFS(包装物料出入库明细!$N$4:$N$2003,包装物料出入库明细!$D$4:$D$2003,$B345,包装物料出入库明细!$H$4:$H$2003,"采购入库"),2)))</f>
        <v>0</v>
      </c>
      <c r="F345" s="24"/>
      <c r="G345" s="26" t="str">
        <f t="shared" si="14"/>
        <v/>
      </c>
      <c r="H345" s="26" t="str">
        <f>IF($B345="","",IF($C345="筐子销售款",ROUND(SUMIFS(周转筐出入库明细!$P$4:$P$2004,周转筐出入库明细!$C$4:$C$2004,$B345,周转筐出入库明细!$F$4:$F$2004,"销售出库",周转筐出入库明细!$Q$4:$Q$2004,"已收讫"),2),ROUND(SUMIFS(包装物料出入库明细!$N$4:$N$2003,包装物料出入库明细!$D$4:$D$2003,$B345,包装物料出入库明细!$H$4:$H$2003,"销售出库",包装物料出入库明细!$P$4:$P$2003,"已收讫"),2)))</f>
        <v/>
      </c>
      <c r="I345" s="27"/>
    </row>
    <row r="346" spans="1:9">
      <c r="A346" s="22" t="str">
        <f t="shared" si="12"/>
        <v/>
      </c>
      <c r="B346" s="37" t="str">
        <f>IFERROR(INDEX(_自动清单!$CL$4:$CL$203,INT((ROW()-160)/2)+1),"")</f>
        <v/>
      </c>
      <c r="C346" s="37" t="str">
        <f t="shared" si="13"/>
        <v/>
      </c>
      <c r="D346" s="26">
        <f>IF($B346="",0,IF($C346="筐子销售款",ROUND(SUMIFS(周转筐出入库明细!$P$4:$P$2004,周转筐出入库明细!$C$4:$C$2004,$B346,周转筐出入库明细!$F$4:$F$2004,"销售出库"),2),ROUND(SUMIFS(包装物料出入库明细!$N$4:$N$2003,包装物料出入库明细!$D$4:$D$2003,$B346,包装物料出入库明细!$H$4:$H$2003,"销售出库"),2)))</f>
        <v>0</v>
      </c>
      <c r="E346" s="26">
        <f>IF($B346="",0,IF($C346="筐子销售款",ROUND(SUMIFS(周转筐出入库明细!$P$4:$P$2004,周转筐出入库明细!$C$4:$C$2004,$B346,周转筐出入库明细!$F$4:$F$2004,"采购入库"),2),ROUND(SUMIFS(包装物料出入库明细!$N$4:$N$2003,包装物料出入库明细!$D$4:$D$2003,$B346,包装物料出入库明细!$H$4:$H$2003,"采购入库"),2)))</f>
        <v>0</v>
      </c>
      <c r="F346" s="24"/>
      <c r="G346" s="26" t="str">
        <f t="shared" si="14"/>
        <v/>
      </c>
      <c r="H346" s="26" t="str">
        <f>IF($B346="","",IF($C346="筐子销售款",ROUND(SUMIFS(周转筐出入库明细!$P$4:$P$2004,周转筐出入库明细!$C$4:$C$2004,$B346,周转筐出入库明细!$F$4:$F$2004,"销售出库",周转筐出入库明细!$Q$4:$Q$2004,"已收讫"),2),ROUND(SUMIFS(包装物料出入库明细!$N$4:$N$2003,包装物料出入库明细!$D$4:$D$2003,$B346,包装物料出入库明细!$H$4:$H$2003,"销售出库",包装物料出入库明细!$P$4:$P$2003,"已收讫"),2)))</f>
        <v/>
      </c>
      <c r="I346" s="27"/>
    </row>
    <row r="347" spans="1:9">
      <c r="A347" s="22" t="str">
        <f t="shared" si="12"/>
        <v/>
      </c>
      <c r="B347" s="37" t="str">
        <f>IFERROR(INDEX(_自动清单!$CL$4:$CL$203,INT((ROW()-160)/2)+1),"")</f>
        <v/>
      </c>
      <c r="C347" s="37" t="str">
        <f t="shared" si="13"/>
        <v/>
      </c>
      <c r="D347" s="26">
        <f>IF($B347="",0,IF($C347="筐子销售款",ROUND(SUMIFS(周转筐出入库明细!$P$4:$P$2004,周转筐出入库明细!$C$4:$C$2004,$B347,周转筐出入库明细!$F$4:$F$2004,"销售出库"),2),ROUND(SUMIFS(包装物料出入库明细!$N$4:$N$2003,包装物料出入库明细!$D$4:$D$2003,$B347,包装物料出入库明细!$H$4:$H$2003,"销售出库"),2)))</f>
        <v>0</v>
      </c>
      <c r="E347" s="26">
        <f>IF($B347="",0,IF($C347="筐子销售款",ROUND(SUMIFS(周转筐出入库明细!$P$4:$P$2004,周转筐出入库明细!$C$4:$C$2004,$B347,周转筐出入库明细!$F$4:$F$2004,"采购入库"),2),ROUND(SUMIFS(包装物料出入库明细!$N$4:$N$2003,包装物料出入库明细!$D$4:$D$2003,$B347,包装物料出入库明细!$H$4:$H$2003,"采购入库"),2)))</f>
        <v>0</v>
      </c>
      <c r="F347" s="24"/>
      <c r="G347" s="26" t="str">
        <f t="shared" si="14"/>
        <v/>
      </c>
      <c r="H347" s="26" t="str">
        <f>IF($B347="","",IF($C347="筐子销售款",ROUND(SUMIFS(周转筐出入库明细!$P$4:$P$2004,周转筐出入库明细!$C$4:$C$2004,$B347,周转筐出入库明细!$F$4:$F$2004,"销售出库",周转筐出入库明细!$Q$4:$Q$2004,"已收讫"),2),ROUND(SUMIFS(包装物料出入库明细!$N$4:$N$2003,包装物料出入库明细!$D$4:$D$2003,$B347,包装物料出入库明细!$H$4:$H$2003,"销售出库",包装物料出入库明细!$P$4:$P$2003,"已收讫"),2)))</f>
        <v/>
      </c>
      <c r="I347" s="27"/>
    </row>
    <row r="348" spans="1:9">
      <c r="A348" s="22" t="str">
        <f t="shared" si="12"/>
        <v/>
      </c>
      <c r="B348" s="37" t="str">
        <f>IFERROR(INDEX(_自动清单!$CL$4:$CL$203,INT((ROW()-160)/2)+1),"")</f>
        <v/>
      </c>
      <c r="C348" s="37" t="str">
        <f t="shared" si="13"/>
        <v/>
      </c>
      <c r="D348" s="26">
        <f>IF($B348="",0,IF($C348="筐子销售款",ROUND(SUMIFS(周转筐出入库明细!$P$4:$P$2004,周转筐出入库明细!$C$4:$C$2004,$B348,周转筐出入库明细!$F$4:$F$2004,"销售出库"),2),ROUND(SUMIFS(包装物料出入库明细!$N$4:$N$2003,包装物料出入库明细!$D$4:$D$2003,$B348,包装物料出入库明细!$H$4:$H$2003,"销售出库"),2)))</f>
        <v>0</v>
      </c>
      <c r="E348" s="26">
        <f>IF($B348="",0,IF($C348="筐子销售款",ROUND(SUMIFS(周转筐出入库明细!$P$4:$P$2004,周转筐出入库明细!$C$4:$C$2004,$B348,周转筐出入库明细!$F$4:$F$2004,"采购入库"),2),ROUND(SUMIFS(包装物料出入库明细!$N$4:$N$2003,包装物料出入库明细!$D$4:$D$2003,$B348,包装物料出入库明细!$H$4:$H$2003,"采购入库"),2)))</f>
        <v>0</v>
      </c>
      <c r="F348" s="24"/>
      <c r="G348" s="26" t="str">
        <f t="shared" si="14"/>
        <v/>
      </c>
      <c r="H348" s="26" t="str">
        <f>IF($B348="","",IF($C348="筐子销售款",ROUND(SUMIFS(周转筐出入库明细!$P$4:$P$2004,周转筐出入库明细!$C$4:$C$2004,$B348,周转筐出入库明细!$F$4:$F$2004,"销售出库",周转筐出入库明细!$Q$4:$Q$2004,"已收讫"),2),ROUND(SUMIFS(包装物料出入库明细!$N$4:$N$2003,包装物料出入库明细!$D$4:$D$2003,$B348,包装物料出入库明细!$H$4:$H$2003,"销售出库",包装物料出入库明细!$P$4:$P$2003,"已收讫"),2)))</f>
        <v/>
      </c>
      <c r="I348" s="27"/>
    </row>
    <row r="349" spans="1:9">
      <c r="A349" s="22" t="str">
        <f t="shared" si="12"/>
        <v/>
      </c>
      <c r="B349" s="37" t="str">
        <f>IFERROR(INDEX(_自动清单!$CL$4:$CL$203,INT((ROW()-160)/2)+1),"")</f>
        <v/>
      </c>
      <c r="C349" s="37" t="str">
        <f t="shared" si="13"/>
        <v/>
      </c>
      <c r="D349" s="26">
        <f>IF($B349="",0,IF($C349="筐子销售款",ROUND(SUMIFS(周转筐出入库明细!$P$4:$P$2004,周转筐出入库明细!$C$4:$C$2004,$B349,周转筐出入库明细!$F$4:$F$2004,"销售出库"),2),ROUND(SUMIFS(包装物料出入库明细!$N$4:$N$2003,包装物料出入库明细!$D$4:$D$2003,$B349,包装物料出入库明细!$H$4:$H$2003,"销售出库"),2)))</f>
        <v>0</v>
      </c>
      <c r="E349" s="26">
        <f>IF($B349="",0,IF($C349="筐子销售款",ROUND(SUMIFS(周转筐出入库明细!$P$4:$P$2004,周转筐出入库明细!$C$4:$C$2004,$B349,周转筐出入库明细!$F$4:$F$2004,"采购入库"),2),ROUND(SUMIFS(包装物料出入库明细!$N$4:$N$2003,包装物料出入库明细!$D$4:$D$2003,$B349,包装物料出入库明细!$H$4:$H$2003,"采购入库"),2)))</f>
        <v>0</v>
      </c>
      <c r="F349" s="24"/>
      <c r="G349" s="26" t="str">
        <f t="shared" si="14"/>
        <v/>
      </c>
      <c r="H349" s="26" t="str">
        <f>IF($B349="","",IF($C349="筐子销售款",ROUND(SUMIFS(周转筐出入库明细!$P$4:$P$2004,周转筐出入库明细!$C$4:$C$2004,$B349,周转筐出入库明细!$F$4:$F$2004,"销售出库",周转筐出入库明细!$Q$4:$Q$2004,"已收讫"),2),ROUND(SUMIFS(包装物料出入库明细!$N$4:$N$2003,包装物料出入库明细!$D$4:$D$2003,$B349,包装物料出入库明细!$H$4:$H$2003,"销售出库",包装物料出入库明细!$P$4:$P$2003,"已收讫"),2)))</f>
        <v/>
      </c>
      <c r="I349" s="27"/>
    </row>
    <row r="350" spans="1:9">
      <c r="A350" s="22" t="str">
        <f t="shared" si="12"/>
        <v/>
      </c>
      <c r="B350" s="37" t="str">
        <f>IFERROR(INDEX(_自动清单!$CL$4:$CL$203,INT((ROW()-160)/2)+1),"")</f>
        <v/>
      </c>
      <c r="C350" s="37" t="str">
        <f t="shared" si="13"/>
        <v/>
      </c>
      <c r="D350" s="26">
        <f>IF($B350="",0,IF($C350="筐子销售款",ROUND(SUMIFS(周转筐出入库明细!$P$4:$P$2004,周转筐出入库明细!$C$4:$C$2004,$B350,周转筐出入库明细!$F$4:$F$2004,"销售出库"),2),ROUND(SUMIFS(包装物料出入库明细!$N$4:$N$2003,包装物料出入库明细!$D$4:$D$2003,$B350,包装物料出入库明细!$H$4:$H$2003,"销售出库"),2)))</f>
        <v>0</v>
      </c>
      <c r="E350" s="26">
        <f>IF($B350="",0,IF($C350="筐子销售款",ROUND(SUMIFS(周转筐出入库明细!$P$4:$P$2004,周转筐出入库明细!$C$4:$C$2004,$B350,周转筐出入库明细!$F$4:$F$2004,"采购入库"),2),ROUND(SUMIFS(包装物料出入库明细!$N$4:$N$2003,包装物料出入库明细!$D$4:$D$2003,$B350,包装物料出入库明细!$H$4:$H$2003,"采购入库"),2)))</f>
        <v>0</v>
      </c>
      <c r="F350" s="24"/>
      <c r="G350" s="26" t="str">
        <f t="shared" si="14"/>
        <v/>
      </c>
      <c r="H350" s="26" t="str">
        <f>IF($B350="","",IF($C350="筐子销售款",ROUND(SUMIFS(周转筐出入库明细!$P$4:$P$2004,周转筐出入库明细!$C$4:$C$2004,$B350,周转筐出入库明细!$F$4:$F$2004,"销售出库",周转筐出入库明细!$Q$4:$Q$2004,"已收讫"),2),ROUND(SUMIFS(包装物料出入库明细!$N$4:$N$2003,包装物料出入库明细!$D$4:$D$2003,$B350,包装物料出入库明细!$H$4:$H$2003,"销售出库",包装物料出入库明细!$P$4:$P$2003,"已收讫"),2)))</f>
        <v/>
      </c>
      <c r="I350" s="27"/>
    </row>
    <row r="351" spans="1:9">
      <c r="A351" s="22" t="str">
        <f t="shared" si="12"/>
        <v/>
      </c>
      <c r="B351" s="37" t="str">
        <f>IFERROR(INDEX(_自动清单!$CL$4:$CL$203,INT((ROW()-160)/2)+1),"")</f>
        <v/>
      </c>
      <c r="C351" s="37" t="str">
        <f t="shared" si="13"/>
        <v/>
      </c>
      <c r="D351" s="26">
        <f>IF($B351="",0,IF($C351="筐子销售款",ROUND(SUMIFS(周转筐出入库明细!$P$4:$P$2004,周转筐出入库明细!$C$4:$C$2004,$B351,周转筐出入库明细!$F$4:$F$2004,"销售出库"),2),ROUND(SUMIFS(包装物料出入库明细!$N$4:$N$2003,包装物料出入库明细!$D$4:$D$2003,$B351,包装物料出入库明细!$H$4:$H$2003,"销售出库"),2)))</f>
        <v>0</v>
      </c>
      <c r="E351" s="26">
        <f>IF($B351="",0,IF($C351="筐子销售款",ROUND(SUMIFS(周转筐出入库明细!$P$4:$P$2004,周转筐出入库明细!$C$4:$C$2004,$B351,周转筐出入库明细!$F$4:$F$2004,"采购入库"),2),ROUND(SUMIFS(包装物料出入库明细!$N$4:$N$2003,包装物料出入库明细!$D$4:$D$2003,$B351,包装物料出入库明细!$H$4:$H$2003,"采购入库"),2)))</f>
        <v>0</v>
      </c>
      <c r="F351" s="24"/>
      <c r="G351" s="26" t="str">
        <f t="shared" si="14"/>
        <v/>
      </c>
      <c r="H351" s="26" t="str">
        <f>IF($B351="","",IF($C351="筐子销售款",ROUND(SUMIFS(周转筐出入库明细!$P$4:$P$2004,周转筐出入库明细!$C$4:$C$2004,$B351,周转筐出入库明细!$F$4:$F$2004,"销售出库",周转筐出入库明细!$Q$4:$Q$2004,"已收讫"),2),ROUND(SUMIFS(包装物料出入库明细!$N$4:$N$2003,包装物料出入库明细!$D$4:$D$2003,$B351,包装物料出入库明细!$H$4:$H$2003,"销售出库",包装物料出入库明细!$P$4:$P$2003,"已收讫"),2)))</f>
        <v/>
      </c>
      <c r="I351" s="27"/>
    </row>
    <row r="352" spans="1:9">
      <c r="A352" s="22" t="str">
        <f t="shared" ref="A352:A415" si="15">IF($B352="","",ROW()-159)</f>
        <v/>
      </c>
      <c r="B352" s="37" t="str">
        <f>IFERROR(INDEX(_自动清单!$CL$4:$CL$203,INT((ROW()-160)/2)+1),"")</f>
        <v/>
      </c>
      <c r="C352" s="37" t="str">
        <f t="shared" ref="C352:C415" si="16">IF($B352="","",IF(MOD(ROW()-160,2)=0,"筐子销售款","物料销售款"))</f>
        <v/>
      </c>
      <c r="D352" s="26">
        <f>IF($B352="",0,IF($C352="筐子销售款",ROUND(SUMIFS(周转筐出入库明细!$P$4:$P$2004,周转筐出入库明细!$C$4:$C$2004,$B352,周转筐出入库明细!$F$4:$F$2004,"销售出库"),2),ROUND(SUMIFS(包装物料出入库明细!$N$4:$N$2003,包装物料出入库明细!$D$4:$D$2003,$B352,包装物料出入库明细!$H$4:$H$2003,"销售出库"),2)))</f>
        <v>0</v>
      </c>
      <c r="E352" s="26">
        <f>IF($B352="",0,IF($C352="筐子销售款",ROUND(SUMIFS(周转筐出入库明细!$P$4:$P$2004,周转筐出入库明细!$C$4:$C$2004,$B352,周转筐出入库明细!$F$4:$F$2004,"采购入库"),2),ROUND(SUMIFS(包装物料出入库明细!$N$4:$N$2003,包装物料出入库明细!$D$4:$D$2003,$B352,包装物料出入库明细!$H$4:$H$2003,"采购入库"),2)))</f>
        <v>0</v>
      </c>
      <c r="F352" s="24"/>
      <c r="G352" s="26" t="str">
        <f t="shared" ref="G352:G415" si="17">IF($B352="","",ROUND(N($D352),2))</f>
        <v/>
      </c>
      <c r="H352" s="26" t="str">
        <f>IF($B352="","",IF($C352="筐子销售款",ROUND(SUMIFS(周转筐出入库明细!$P$4:$P$2004,周转筐出入库明细!$C$4:$C$2004,$B352,周转筐出入库明细!$F$4:$F$2004,"销售出库",周转筐出入库明细!$Q$4:$Q$2004,"已收讫"),2),ROUND(SUMIFS(包装物料出入库明细!$N$4:$N$2003,包装物料出入库明细!$D$4:$D$2003,$B352,包装物料出入库明细!$H$4:$H$2003,"销售出库",包装物料出入库明细!$P$4:$P$2003,"已收讫"),2)))</f>
        <v/>
      </c>
      <c r="I352" s="27"/>
    </row>
    <row r="353" spans="1:9">
      <c r="A353" s="22" t="str">
        <f t="shared" si="15"/>
        <v/>
      </c>
      <c r="B353" s="37" t="str">
        <f>IFERROR(INDEX(_自动清单!$CL$4:$CL$203,INT((ROW()-160)/2)+1),"")</f>
        <v/>
      </c>
      <c r="C353" s="37" t="str">
        <f t="shared" si="16"/>
        <v/>
      </c>
      <c r="D353" s="26">
        <f>IF($B353="",0,IF($C353="筐子销售款",ROUND(SUMIFS(周转筐出入库明细!$P$4:$P$2004,周转筐出入库明细!$C$4:$C$2004,$B353,周转筐出入库明细!$F$4:$F$2004,"销售出库"),2),ROUND(SUMIFS(包装物料出入库明细!$N$4:$N$2003,包装物料出入库明细!$D$4:$D$2003,$B353,包装物料出入库明细!$H$4:$H$2003,"销售出库"),2)))</f>
        <v>0</v>
      </c>
      <c r="E353" s="26">
        <f>IF($B353="",0,IF($C353="筐子销售款",ROUND(SUMIFS(周转筐出入库明细!$P$4:$P$2004,周转筐出入库明细!$C$4:$C$2004,$B353,周转筐出入库明细!$F$4:$F$2004,"采购入库"),2),ROUND(SUMIFS(包装物料出入库明细!$N$4:$N$2003,包装物料出入库明细!$D$4:$D$2003,$B353,包装物料出入库明细!$H$4:$H$2003,"采购入库"),2)))</f>
        <v>0</v>
      </c>
      <c r="F353" s="24"/>
      <c r="G353" s="26" t="str">
        <f t="shared" si="17"/>
        <v/>
      </c>
      <c r="H353" s="26" t="str">
        <f>IF($B353="","",IF($C353="筐子销售款",ROUND(SUMIFS(周转筐出入库明细!$P$4:$P$2004,周转筐出入库明细!$C$4:$C$2004,$B353,周转筐出入库明细!$F$4:$F$2004,"销售出库",周转筐出入库明细!$Q$4:$Q$2004,"已收讫"),2),ROUND(SUMIFS(包装物料出入库明细!$N$4:$N$2003,包装物料出入库明细!$D$4:$D$2003,$B353,包装物料出入库明细!$H$4:$H$2003,"销售出库",包装物料出入库明细!$P$4:$P$2003,"已收讫"),2)))</f>
        <v/>
      </c>
      <c r="I353" s="27"/>
    </row>
    <row r="354" spans="1:9">
      <c r="A354" s="22" t="str">
        <f t="shared" si="15"/>
        <v/>
      </c>
      <c r="B354" s="37" t="str">
        <f>IFERROR(INDEX(_自动清单!$CL$4:$CL$203,INT((ROW()-160)/2)+1),"")</f>
        <v/>
      </c>
      <c r="C354" s="37" t="str">
        <f t="shared" si="16"/>
        <v/>
      </c>
      <c r="D354" s="26">
        <f>IF($B354="",0,IF($C354="筐子销售款",ROUND(SUMIFS(周转筐出入库明细!$P$4:$P$2004,周转筐出入库明细!$C$4:$C$2004,$B354,周转筐出入库明细!$F$4:$F$2004,"销售出库"),2),ROUND(SUMIFS(包装物料出入库明细!$N$4:$N$2003,包装物料出入库明细!$D$4:$D$2003,$B354,包装物料出入库明细!$H$4:$H$2003,"销售出库"),2)))</f>
        <v>0</v>
      </c>
      <c r="E354" s="26">
        <f>IF($B354="",0,IF($C354="筐子销售款",ROUND(SUMIFS(周转筐出入库明细!$P$4:$P$2004,周转筐出入库明细!$C$4:$C$2004,$B354,周转筐出入库明细!$F$4:$F$2004,"采购入库"),2),ROUND(SUMIFS(包装物料出入库明细!$N$4:$N$2003,包装物料出入库明细!$D$4:$D$2003,$B354,包装物料出入库明细!$H$4:$H$2003,"采购入库"),2)))</f>
        <v>0</v>
      </c>
      <c r="F354" s="24"/>
      <c r="G354" s="26" t="str">
        <f t="shared" si="17"/>
        <v/>
      </c>
      <c r="H354" s="26" t="str">
        <f>IF($B354="","",IF($C354="筐子销售款",ROUND(SUMIFS(周转筐出入库明细!$P$4:$P$2004,周转筐出入库明细!$C$4:$C$2004,$B354,周转筐出入库明细!$F$4:$F$2004,"销售出库",周转筐出入库明细!$Q$4:$Q$2004,"已收讫"),2),ROUND(SUMIFS(包装物料出入库明细!$N$4:$N$2003,包装物料出入库明细!$D$4:$D$2003,$B354,包装物料出入库明细!$H$4:$H$2003,"销售出库",包装物料出入库明细!$P$4:$P$2003,"已收讫"),2)))</f>
        <v/>
      </c>
      <c r="I354" s="27"/>
    </row>
    <row r="355" spans="1:9">
      <c r="A355" s="22" t="str">
        <f t="shared" si="15"/>
        <v/>
      </c>
      <c r="B355" s="37" t="str">
        <f>IFERROR(INDEX(_自动清单!$CL$4:$CL$203,INT((ROW()-160)/2)+1),"")</f>
        <v/>
      </c>
      <c r="C355" s="37" t="str">
        <f t="shared" si="16"/>
        <v/>
      </c>
      <c r="D355" s="26">
        <f>IF($B355="",0,IF($C355="筐子销售款",ROUND(SUMIFS(周转筐出入库明细!$P$4:$P$2004,周转筐出入库明细!$C$4:$C$2004,$B355,周转筐出入库明细!$F$4:$F$2004,"销售出库"),2),ROUND(SUMIFS(包装物料出入库明细!$N$4:$N$2003,包装物料出入库明细!$D$4:$D$2003,$B355,包装物料出入库明细!$H$4:$H$2003,"销售出库"),2)))</f>
        <v>0</v>
      </c>
      <c r="E355" s="26">
        <f>IF($B355="",0,IF($C355="筐子销售款",ROUND(SUMIFS(周转筐出入库明细!$P$4:$P$2004,周转筐出入库明细!$C$4:$C$2004,$B355,周转筐出入库明细!$F$4:$F$2004,"采购入库"),2),ROUND(SUMIFS(包装物料出入库明细!$N$4:$N$2003,包装物料出入库明细!$D$4:$D$2003,$B355,包装物料出入库明细!$H$4:$H$2003,"采购入库"),2)))</f>
        <v>0</v>
      </c>
      <c r="F355" s="24"/>
      <c r="G355" s="26" t="str">
        <f t="shared" si="17"/>
        <v/>
      </c>
      <c r="H355" s="26" t="str">
        <f>IF($B355="","",IF($C355="筐子销售款",ROUND(SUMIFS(周转筐出入库明细!$P$4:$P$2004,周转筐出入库明细!$C$4:$C$2004,$B355,周转筐出入库明细!$F$4:$F$2004,"销售出库",周转筐出入库明细!$Q$4:$Q$2004,"已收讫"),2),ROUND(SUMIFS(包装物料出入库明细!$N$4:$N$2003,包装物料出入库明细!$D$4:$D$2003,$B355,包装物料出入库明细!$H$4:$H$2003,"销售出库",包装物料出入库明细!$P$4:$P$2003,"已收讫"),2)))</f>
        <v/>
      </c>
      <c r="I355" s="27"/>
    </row>
    <row r="356" spans="1:9">
      <c r="A356" s="22" t="str">
        <f t="shared" si="15"/>
        <v/>
      </c>
      <c r="B356" s="37" t="str">
        <f>IFERROR(INDEX(_自动清单!$CL$4:$CL$203,INT((ROW()-160)/2)+1),"")</f>
        <v/>
      </c>
      <c r="C356" s="37" t="str">
        <f t="shared" si="16"/>
        <v/>
      </c>
      <c r="D356" s="26">
        <f>IF($B356="",0,IF($C356="筐子销售款",ROUND(SUMIFS(周转筐出入库明细!$P$4:$P$2004,周转筐出入库明细!$C$4:$C$2004,$B356,周转筐出入库明细!$F$4:$F$2004,"销售出库"),2),ROUND(SUMIFS(包装物料出入库明细!$N$4:$N$2003,包装物料出入库明细!$D$4:$D$2003,$B356,包装物料出入库明细!$H$4:$H$2003,"销售出库"),2)))</f>
        <v>0</v>
      </c>
      <c r="E356" s="26">
        <f>IF($B356="",0,IF($C356="筐子销售款",ROUND(SUMIFS(周转筐出入库明细!$P$4:$P$2004,周转筐出入库明细!$C$4:$C$2004,$B356,周转筐出入库明细!$F$4:$F$2004,"采购入库"),2),ROUND(SUMIFS(包装物料出入库明细!$N$4:$N$2003,包装物料出入库明细!$D$4:$D$2003,$B356,包装物料出入库明细!$H$4:$H$2003,"采购入库"),2)))</f>
        <v>0</v>
      </c>
      <c r="F356" s="24"/>
      <c r="G356" s="26" t="str">
        <f t="shared" si="17"/>
        <v/>
      </c>
      <c r="H356" s="26" t="str">
        <f>IF($B356="","",IF($C356="筐子销售款",ROUND(SUMIFS(周转筐出入库明细!$P$4:$P$2004,周转筐出入库明细!$C$4:$C$2004,$B356,周转筐出入库明细!$F$4:$F$2004,"销售出库",周转筐出入库明细!$Q$4:$Q$2004,"已收讫"),2),ROUND(SUMIFS(包装物料出入库明细!$N$4:$N$2003,包装物料出入库明细!$D$4:$D$2003,$B356,包装物料出入库明细!$H$4:$H$2003,"销售出库",包装物料出入库明细!$P$4:$P$2003,"已收讫"),2)))</f>
        <v/>
      </c>
      <c r="I356" s="27"/>
    </row>
    <row r="357" spans="1:9">
      <c r="A357" s="22" t="str">
        <f t="shared" si="15"/>
        <v/>
      </c>
      <c r="B357" s="37" t="str">
        <f>IFERROR(INDEX(_自动清单!$CL$4:$CL$203,INT((ROW()-160)/2)+1),"")</f>
        <v/>
      </c>
      <c r="C357" s="37" t="str">
        <f t="shared" si="16"/>
        <v/>
      </c>
      <c r="D357" s="26">
        <f>IF($B357="",0,IF($C357="筐子销售款",ROUND(SUMIFS(周转筐出入库明细!$P$4:$P$2004,周转筐出入库明细!$C$4:$C$2004,$B357,周转筐出入库明细!$F$4:$F$2004,"销售出库"),2),ROUND(SUMIFS(包装物料出入库明细!$N$4:$N$2003,包装物料出入库明细!$D$4:$D$2003,$B357,包装物料出入库明细!$H$4:$H$2003,"销售出库"),2)))</f>
        <v>0</v>
      </c>
      <c r="E357" s="26">
        <f>IF($B357="",0,IF($C357="筐子销售款",ROUND(SUMIFS(周转筐出入库明细!$P$4:$P$2004,周转筐出入库明细!$C$4:$C$2004,$B357,周转筐出入库明细!$F$4:$F$2004,"采购入库"),2),ROUND(SUMIFS(包装物料出入库明细!$N$4:$N$2003,包装物料出入库明细!$D$4:$D$2003,$B357,包装物料出入库明细!$H$4:$H$2003,"采购入库"),2)))</f>
        <v>0</v>
      </c>
      <c r="F357" s="24"/>
      <c r="G357" s="26" t="str">
        <f t="shared" si="17"/>
        <v/>
      </c>
      <c r="H357" s="26" t="str">
        <f>IF($B357="","",IF($C357="筐子销售款",ROUND(SUMIFS(周转筐出入库明细!$P$4:$P$2004,周转筐出入库明细!$C$4:$C$2004,$B357,周转筐出入库明细!$F$4:$F$2004,"销售出库",周转筐出入库明细!$Q$4:$Q$2004,"已收讫"),2),ROUND(SUMIFS(包装物料出入库明细!$N$4:$N$2003,包装物料出入库明细!$D$4:$D$2003,$B357,包装物料出入库明细!$H$4:$H$2003,"销售出库",包装物料出入库明细!$P$4:$P$2003,"已收讫"),2)))</f>
        <v/>
      </c>
      <c r="I357" s="27"/>
    </row>
    <row r="358" spans="1:9">
      <c r="A358" s="22" t="str">
        <f t="shared" si="15"/>
        <v/>
      </c>
      <c r="B358" s="37" t="str">
        <f>IFERROR(INDEX(_自动清单!$CL$4:$CL$203,INT((ROW()-160)/2)+1),"")</f>
        <v/>
      </c>
      <c r="C358" s="37" t="str">
        <f t="shared" si="16"/>
        <v/>
      </c>
      <c r="D358" s="26">
        <f>IF($B358="",0,IF($C358="筐子销售款",ROUND(SUMIFS(周转筐出入库明细!$P$4:$P$2004,周转筐出入库明细!$C$4:$C$2004,$B358,周转筐出入库明细!$F$4:$F$2004,"销售出库"),2),ROUND(SUMIFS(包装物料出入库明细!$N$4:$N$2003,包装物料出入库明细!$D$4:$D$2003,$B358,包装物料出入库明细!$H$4:$H$2003,"销售出库"),2)))</f>
        <v>0</v>
      </c>
      <c r="E358" s="26">
        <f>IF($B358="",0,IF($C358="筐子销售款",ROUND(SUMIFS(周转筐出入库明细!$P$4:$P$2004,周转筐出入库明细!$C$4:$C$2004,$B358,周转筐出入库明细!$F$4:$F$2004,"采购入库"),2),ROUND(SUMIFS(包装物料出入库明细!$N$4:$N$2003,包装物料出入库明细!$D$4:$D$2003,$B358,包装物料出入库明细!$H$4:$H$2003,"采购入库"),2)))</f>
        <v>0</v>
      </c>
      <c r="F358" s="24"/>
      <c r="G358" s="26" t="str">
        <f t="shared" si="17"/>
        <v/>
      </c>
      <c r="H358" s="26" t="str">
        <f>IF($B358="","",IF($C358="筐子销售款",ROUND(SUMIFS(周转筐出入库明细!$P$4:$P$2004,周转筐出入库明细!$C$4:$C$2004,$B358,周转筐出入库明细!$F$4:$F$2004,"销售出库",周转筐出入库明细!$Q$4:$Q$2004,"已收讫"),2),ROUND(SUMIFS(包装物料出入库明细!$N$4:$N$2003,包装物料出入库明细!$D$4:$D$2003,$B358,包装物料出入库明细!$H$4:$H$2003,"销售出库",包装物料出入库明细!$P$4:$P$2003,"已收讫"),2)))</f>
        <v/>
      </c>
      <c r="I358" s="27"/>
    </row>
    <row r="359" spans="1:9">
      <c r="A359" s="22" t="str">
        <f t="shared" si="15"/>
        <v/>
      </c>
      <c r="B359" s="37" t="str">
        <f>IFERROR(INDEX(_自动清单!$CL$4:$CL$203,INT((ROW()-160)/2)+1),"")</f>
        <v/>
      </c>
      <c r="C359" s="37" t="str">
        <f t="shared" si="16"/>
        <v/>
      </c>
      <c r="D359" s="26">
        <f>IF($B359="",0,IF($C359="筐子销售款",ROUND(SUMIFS(周转筐出入库明细!$P$4:$P$2004,周转筐出入库明细!$C$4:$C$2004,$B359,周转筐出入库明细!$F$4:$F$2004,"销售出库"),2),ROUND(SUMIFS(包装物料出入库明细!$N$4:$N$2003,包装物料出入库明细!$D$4:$D$2003,$B359,包装物料出入库明细!$H$4:$H$2003,"销售出库"),2)))</f>
        <v>0</v>
      </c>
      <c r="E359" s="26">
        <f>IF($B359="",0,IF($C359="筐子销售款",ROUND(SUMIFS(周转筐出入库明细!$P$4:$P$2004,周转筐出入库明细!$C$4:$C$2004,$B359,周转筐出入库明细!$F$4:$F$2004,"采购入库"),2),ROUND(SUMIFS(包装物料出入库明细!$N$4:$N$2003,包装物料出入库明细!$D$4:$D$2003,$B359,包装物料出入库明细!$H$4:$H$2003,"采购入库"),2)))</f>
        <v>0</v>
      </c>
      <c r="F359" s="24"/>
      <c r="G359" s="26" t="str">
        <f t="shared" si="17"/>
        <v/>
      </c>
      <c r="H359" s="26" t="str">
        <f>IF($B359="","",IF($C359="筐子销售款",ROUND(SUMIFS(周转筐出入库明细!$P$4:$P$2004,周转筐出入库明细!$C$4:$C$2004,$B359,周转筐出入库明细!$F$4:$F$2004,"销售出库",周转筐出入库明细!$Q$4:$Q$2004,"已收讫"),2),ROUND(SUMIFS(包装物料出入库明细!$N$4:$N$2003,包装物料出入库明细!$D$4:$D$2003,$B359,包装物料出入库明细!$H$4:$H$2003,"销售出库",包装物料出入库明细!$P$4:$P$2003,"已收讫"),2)))</f>
        <v/>
      </c>
      <c r="I359" s="27"/>
    </row>
    <row r="360" spans="1:9">
      <c r="A360" s="22" t="str">
        <f t="shared" si="15"/>
        <v/>
      </c>
      <c r="B360" s="37" t="str">
        <f>IFERROR(INDEX(_自动清单!$CL$4:$CL$203,INT((ROW()-160)/2)+1),"")</f>
        <v/>
      </c>
      <c r="C360" s="37" t="str">
        <f t="shared" si="16"/>
        <v/>
      </c>
      <c r="D360" s="26">
        <f>IF($B360="",0,IF($C360="筐子销售款",ROUND(SUMIFS(周转筐出入库明细!$P$4:$P$2004,周转筐出入库明细!$C$4:$C$2004,$B360,周转筐出入库明细!$F$4:$F$2004,"销售出库"),2),ROUND(SUMIFS(包装物料出入库明细!$N$4:$N$2003,包装物料出入库明细!$D$4:$D$2003,$B360,包装物料出入库明细!$H$4:$H$2003,"销售出库"),2)))</f>
        <v>0</v>
      </c>
      <c r="E360" s="26">
        <f>IF($B360="",0,IF($C360="筐子销售款",ROUND(SUMIFS(周转筐出入库明细!$P$4:$P$2004,周转筐出入库明细!$C$4:$C$2004,$B360,周转筐出入库明细!$F$4:$F$2004,"采购入库"),2),ROUND(SUMIFS(包装物料出入库明细!$N$4:$N$2003,包装物料出入库明细!$D$4:$D$2003,$B360,包装物料出入库明细!$H$4:$H$2003,"采购入库"),2)))</f>
        <v>0</v>
      </c>
      <c r="F360" s="24"/>
      <c r="G360" s="26" t="str">
        <f t="shared" si="17"/>
        <v/>
      </c>
      <c r="H360" s="26" t="str">
        <f>IF($B360="","",IF($C360="筐子销售款",ROUND(SUMIFS(周转筐出入库明细!$P$4:$P$2004,周转筐出入库明细!$C$4:$C$2004,$B360,周转筐出入库明细!$F$4:$F$2004,"销售出库",周转筐出入库明细!$Q$4:$Q$2004,"已收讫"),2),ROUND(SUMIFS(包装物料出入库明细!$N$4:$N$2003,包装物料出入库明细!$D$4:$D$2003,$B360,包装物料出入库明细!$H$4:$H$2003,"销售出库",包装物料出入库明细!$P$4:$P$2003,"已收讫"),2)))</f>
        <v/>
      </c>
      <c r="I360" s="27"/>
    </row>
    <row r="361" spans="1:9">
      <c r="A361" s="22" t="str">
        <f t="shared" si="15"/>
        <v/>
      </c>
      <c r="B361" s="37" t="str">
        <f>IFERROR(INDEX(_自动清单!$CL$4:$CL$203,INT((ROW()-160)/2)+1),"")</f>
        <v/>
      </c>
      <c r="C361" s="37" t="str">
        <f t="shared" si="16"/>
        <v/>
      </c>
      <c r="D361" s="26">
        <f>IF($B361="",0,IF($C361="筐子销售款",ROUND(SUMIFS(周转筐出入库明细!$P$4:$P$2004,周转筐出入库明细!$C$4:$C$2004,$B361,周转筐出入库明细!$F$4:$F$2004,"销售出库"),2),ROUND(SUMIFS(包装物料出入库明细!$N$4:$N$2003,包装物料出入库明细!$D$4:$D$2003,$B361,包装物料出入库明细!$H$4:$H$2003,"销售出库"),2)))</f>
        <v>0</v>
      </c>
      <c r="E361" s="26">
        <f>IF($B361="",0,IF($C361="筐子销售款",ROUND(SUMIFS(周转筐出入库明细!$P$4:$P$2004,周转筐出入库明细!$C$4:$C$2004,$B361,周转筐出入库明细!$F$4:$F$2004,"采购入库"),2),ROUND(SUMIFS(包装物料出入库明细!$N$4:$N$2003,包装物料出入库明细!$D$4:$D$2003,$B361,包装物料出入库明细!$H$4:$H$2003,"采购入库"),2)))</f>
        <v>0</v>
      </c>
      <c r="F361" s="24"/>
      <c r="G361" s="26" t="str">
        <f t="shared" si="17"/>
        <v/>
      </c>
      <c r="H361" s="26" t="str">
        <f>IF($B361="","",IF($C361="筐子销售款",ROUND(SUMIFS(周转筐出入库明细!$P$4:$P$2004,周转筐出入库明细!$C$4:$C$2004,$B361,周转筐出入库明细!$F$4:$F$2004,"销售出库",周转筐出入库明细!$Q$4:$Q$2004,"已收讫"),2),ROUND(SUMIFS(包装物料出入库明细!$N$4:$N$2003,包装物料出入库明细!$D$4:$D$2003,$B361,包装物料出入库明细!$H$4:$H$2003,"销售出库",包装物料出入库明细!$P$4:$P$2003,"已收讫"),2)))</f>
        <v/>
      </c>
      <c r="I361" s="27"/>
    </row>
    <row r="362" spans="1:9">
      <c r="A362" s="22" t="str">
        <f t="shared" si="15"/>
        <v/>
      </c>
      <c r="B362" s="37" t="str">
        <f>IFERROR(INDEX(_自动清单!$CL$4:$CL$203,INT((ROW()-160)/2)+1),"")</f>
        <v/>
      </c>
      <c r="C362" s="37" t="str">
        <f t="shared" si="16"/>
        <v/>
      </c>
      <c r="D362" s="26">
        <f>IF($B362="",0,IF($C362="筐子销售款",ROUND(SUMIFS(周转筐出入库明细!$P$4:$P$2004,周转筐出入库明细!$C$4:$C$2004,$B362,周转筐出入库明细!$F$4:$F$2004,"销售出库"),2),ROUND(SUMIFS(包装物料出入库明细!$N$4:$N$2003,包装物料出入库明细!$D$4:$D$2003,$B362,包装物料出入库明细!$H$4:$H$2003,"销售出库"),2)))</f>
        <v>0</v>
      </c>
      <c r="E362" s="26">
        <f>IF($B362="",0,IF($C362="筐子销售款",ROUND(SUMIFS(周转筐出入库明细!$P$4:$P$2004,周转筐出入库明细!$C$4:$C$2004,$B362,周转筐出入库明细!$F$4:$F$2004,"采购入库"),2),ROUND(SUMIFS(包装物料出入库明细!$N$4:$N$2003,包装物料出入库明细!$D$4:$D$2003,$B362,包装物料出入库明细!$H$4:$H$2003,"采购入库"),2)))</f>
        <v>0</v>
      </c>
      <c r="F362" s="24"/>
      <c r="G362" s="26" t="str">
        <f t="shared" si="17"/>
        <v/>
      </c>
      <c r="H362" s="26" t="str">
        <f>IF($B362="","",IF($C362="筐子销售款",ROUND(SUMIFS(周转筐出入库明细!$P$4:$P$2004,周转筐出入库明细!$C$4:$C$2004,$B362,周转筐出入库明细!$F$4:$F$2004,"销售出库",周转筐出入库明细!$Q$4:$Q$2004,"已收讫"),2),ROUND(SUMIFS(包装物料出入库明细!$N$4:$N$2003,包装物料出入库明细!$D$4:$D$2003,$B362,包装物料出入库明细!$H$4:$H$2003,"销售出库",包装物料出入库明细!$P$4:$P$2003,"已收讫"),2)))</f>
        <v/>
      </c>
      <c r="I362" s="27"/>
    </row>
    <row r="363" spans="1:9">
      <c r="A363" s="22" t="str">
        <f t="shared" si="15"/>
        <v/>
      </c>
      <c r="B363" s="37" t="str">
        <f>IFERROR(INDEX(_自动清单!$CL$4:$CL$203,INT((ROW()-160)/2)+1),"")</f>
        <v/>
      </c>
      <c r="C363" s="37" t="str">
        <f t="shared" si="16"/>
        <v/>
      </c>
      <c r="D363" s="26">
        <f>IF($B363="",0,IF($C363="筐子销售款",ROUND(SUMIFS(周转筐出入库明细!$P$4:$P$2004,周转筐出入库明细!$C$4:$C$2004,$B363,周转筐出入库明细!$F$4:$F$2004,"销售出库"),2),ROUND(SUMIFS(包装物料出入库明细!$N$4:$N$2003,包装物料出入库明细!$D$4:$D$2003,$B363,包装物料出入库明细!$H$4:$H$2003,"销售出库"),2)))</f>
        <v>0</v>
      </c>
      <c r="E363" s="26">
        <f>IF($B363="",0,IF($C363="筐子销售款",ROUND(SUMIFS(周转筐出入库明细!$P$4:$P$2004,周转筐出入库明细!$C$4:$C$2004,$B363,周转筐出入库明细!$F$4:$F$2004,"采购入库"),2),ROUND(SUMIFS(包装物料出入库明细!$N$4:$N$2003,包装物料出入库明细!$D$4:$D$2003,$B363,包装物料出入库明细!$H$4:$H$2003,"采购入库"),2)))</f>
        <v>0</v>
      </c>
      <c r="F363" s="24"/>
      <c r="G363" s="26" t="str">
        <f t="shared" si="17"/>
        <v/>
      </c>
      <c r="H363" s="26" t="str">
        <f>IF($B363="","",IF($C363="筐子销售款",ROUND(SUMIFS(周转筐出入库明细!$P$4:$P$2004,周转筐出入库明细!$C$4:$C$2004,$B363,周转筐出入库明细!$F$4:$F$2004,"销售出库",周转筐出入库明细!$Q$4:$Q$2004,"已收讫"),2),ROUND(SUMIFS(包装物料出入库明细!$N$4:$N$2003,包装物料出入库明细!$D$4:$D$2003,$B363,包装物料出入库明细!$H$4:$H$2003,"销售出库",包装物料出入库明细!$P$4:$P$2003,"已收讫"),2)))</f>
        <v/>
      </c>
      <c r="I363" s="27"/>
    </row>
    <row r="364" spans="1:9">
      <c r="A364" s="22" t="str">
        <f t="shared" si="15"/>
        <v/>
      </c>
      <c r="B364" s="37" t="str">
        <f>IFERROR(INDEX(_自动清单!$CL$4:$CL$203,INT((ROW()-160)/2)+1),"")</f>
        <v/>
      </c>
      <c r="C364" s="37" t="str">
        <f t="shared" si="16"/>
        <v/>
      </c>
      <c r="D364" s="26">
        <f>IF($B364="",0,IF($C364="筐子销售款",ROUND(SUMIFS(周转筐出入库明细!$P$4:$P$2004,周转筐出入库明细!$C$4:$C$2004,$B364,周转筐出入库明细!$F$4:$F$2004,"销售出库"),2),ROUND(SUMIFS(包装物料出入库明细!$N$4:$N$2003,包装物料出入库明细!$D$4:$D$2003,$B364,包装物料出入库明细!$H$4:$H$2003,"销售出库"),2)))</f>
        <v>0</v>
      </c>
      <c r="E364" s="26">
        <f>IF($B364="",0,IF($C364="筐子销售款",ROUND(SUMIFS(周转筐出入库明细!$P$4:$P$2004,周转筐出入库明细!$C$4:$C$2004,$B364,周转筐出入库明细!$F$4:$F$2004,"采购入库"),2),ROUND(SUMIFS(包装物料出入库明细!$N$4:$N$2003,包装物料出入库明细!$D$4:$D$2003,$B364,包装物料出入库明细!$H$4:$H$2003,"采购入库"),2)))</f>
        <v>0</v>
      </c>
      <c r="F364" s="24"/>
      <c r="G364" s="26" t="str">
        <f t="shared" si="17"/>
        <v/>
      </c>
      <c r="H364" s="26" t="str">
        <f>IF($B364="","",IF($C364="筐子销售款",ROUND(SUMIFS(周转筐出入库明细!$P$4:$P$2004,周转筐出入库明细!$C$4:$C$2004,$B364,周转筐出入库明细!$F$4:$F$2004,"销售出库",周转筐出入库明细!$Q$4:$Q$2004,"已收讫"),2),ROUND(SUMIFS(包装物料出入库明细!$N$4:$N$2003,包装物料出入库明细!$D$4:$D$2003,$B364,包装物料出入库明细!$H$4:$H$2003,"销售出库",包装物料出入库明细!$P$4:$P$2003,"已收讫"),2)))</f>
        <v/>
      </c>
      <c r="I364" s="27"/>
    </row>
    <row r="365" spans="1:9">
      <c r="A365" s="22" t="str">
        <f t="shared" si="15"/>
        <v/>
      </c>
      <c r="B365" s="37" t="str">
        <f>IFERROR(INDEX(_自动清单!$CL$4:$CL$203,INT((ROW()-160)/2)+1),"")</f>
        <v/>
      </c>
      <c r="C365" s="37" t="str">
        <f t="shared" si="16"/>
        <v/>
      </c>
      <c r="D365" s="26">
        <f>IF($B365="",0,IF($C365="筐子销售款",ROUND(SUMIFS(周转筐出入库明细!$P$4:$P$2004,周转筐出入库明细!$C$4:$C$2004,$B365,周转筐出入库明细!$F$4:$F$2004,"销售出库"),2),ROUND(SUMIFS(包装物料出入库明细!$N$4:$N$2003,包装物料出入库明细!$D$4:$D$2003,$B365,包装物料出入库明细!$H$4:$H$2003,"销售出库"),2)))</f>
        <v>0</v>
      </c>
      <c r="E365" s="26">
        <f>IF($B365="",0,IF($C365="筐子销售款",ROUND(SUMIFS(周转筐出入库明细!$P$4:$P$2004,周转筐出入库明细!$C$4:$C$2004,$B365,周转筐出入库明细!$F$4:$F$2004,"采购入库"),2),ROUND(SUMIFS(包装物料出入库明细!$N$4:$N$2003,包装物料出入库明细!$D$4:$D$2003,$B365,包装物料出入库明细!$H$4:$H$2003,"采购入库"),2)))</f>
        <v>0</v>
      </c>
      <c r="F365" s="24"/>
      <c r="G365" s="26" t="str">
        <f t="shared" si="17"/>
        <v/>
      </c>
      <c r="H365" s="26" t="str">
        <f>IF($B365="","",IF($C365="筐子销售款",ROUND(SUMIFS(周转筐出入库明细!$P$4:$P$2004,周转筐出入库明细!$C$4:$C$2004,$B365,周转筐出入库明细!$F$4:$F$2004,"销售出库",周转筐出入库明细!$Q$4:$Q$2004,"已收讫"),2),ROUND(SUMIFS(包装物料出入库明细!$N$4:$N$2003,包装物料出入库明细!$D$4:$D$2003,$B365,包装物料出入库明细!$H$4:$H$2003,"销售出库",包装物料出入库明细!$P$4:$P$2003,"已收讫"),2)))</f>
        <v/>
      </c>
      <c r="I365" s="27"/>
    </row>
    <row r="366" spans="1:9">
      <c r="A366" s="22" t="str">
        <f t="shared" si="15"/>
        <v/>
      </c>
      <c r="B366" s="37" t="str">
        <f>IFERROR(INDEX(_自动清单!$CL$4:$CL$203,INT((ROW()-160)/2)+1),"")</f>
        <v/>
      </c>
      <c r="C366" s="37" t="str">
        <f t="shared" si="16"/>
        <v/>
      </c>
      <c r="D366" s="26">
        <f>IF($B366="",0,IF($C366="筐子销售款",ROUND(SUMIFS(周转筐出入库明细!$P$4:$P$2004,周转筐出入库明细!$C$4:$C$2004,$B366,周转筐出入库明细!$F$4:$F$2004,"销售出库"),2),ROUND(SUMIFS(包装物料出入库明细!$N$4:$N$2003,包装物料出入库明细!$D$4:$D$2003,$B366,包装物料出入库明细!$H$4:$H$2003,"销售出库"),2)))</f>
        <v>0</v>
      </c>
      <c r="E366" s="26">
        <f>IF($B366="",0,IF($C366="筐子销售款",ROUND(SUMIFS(周转筐出入库明细!$P$4:$P$2004,周转筐出入库明细!$C$4:$C$2004,$B366,周转筐出入库明细!$F$4:$F$2004,"采购入库"),2),ROUND(SUMIFS(包装物料出入库明细!$N$4:$N$2003,包装物料出入库明细!$D$4:$D$2003,$B366,包装物料出入库明细!$H$4:$H$2003,"采购入库"),2)))</f>
        <v>0</v>
      </c>
      <c r="F366" s="24"/>
      <c r="G366" s="26" t="str">
        <f t="shared" si="17"/>
        <v/>
      </c>
      <c r="H366" s="26" t="str">
        <f>IF($B366="","",IF($C366="筐子销售款",ROUND(SUMIFS(周转筐出入库明细!$P$4:$P$2004,周转筐出入库明细!$C$4:$C$2004,$B366,周转筐出入库明细!$F$4:$F$2004,"销售出库",周转筐出入库明细!$Q$4:$Q$2004,"已收讫"),2),ROUND(SUMIFS(包装物料出入库明细!$N$4:$N$2003,包装物料出入库明细!$D$4:$D$2003,$B366,包装物料出入库明细!$H$4:$H$2003,"销售出库",包装物料出入库明细!$P$4:$P$2003,"已收讫"),2)))</f>
        <v/>
      </c>
      <c r="I366" s="27"/>
    </row>
    <row r="367" spans="1:9">
      <c r="A367" s="22" t="str">
        <f t="shared" si="15"/>
        <v/>
      </c>
      <c r="B367" s="37" t="str">
        <f>IFERROR(INDEX(_自动清单!$CL$4:$CL$203,INT((ROW()-160)/2)+1),"")</f>
        <v/>
      </c>
      <c r="C367" s="37" t="str">
        <f t="shared" si="16"/>
        <v/>
      </c>
      <c r="D367" s="26">
        <f>IF($B367="",0,IF($C367="筐子销售款",ROUND(SUMIFS(周转筐出入库明细!$P$4:$P$2004,周转筐出入库明细!$C$4:$C$2004,$B367,周转筐出入库明细!$F$4:$F$2004,"销售出库"),2),ROUND(SUMIFS(包装物料出入库明细!$N$4:$N$2003,包装物料出入库明细!$D$4:$D$2003,$B367,包装物料出入库明细!$H$4:$H$2003,"销售出库"),2)))</f>
        <v>0</v>
      </c>
      <c r="E367" s="26">
        <f>IF($B367="",0,IF($C367="筐子销售款",ROUND(SUMIFS(周转筐出入库明细!$P$4:$P$2004,周转筐出入库明细!$C$4:$C$2004,$B367,周转筐出入库明细!$F$4:$F$2004,"采购入库"),2),ROUND(SUMIFS(包装物料出入库明细!$N$4:$N$2003,包装物料出入库明细!$D$4:$D$2003,$B367,包装物料出入库明细!$H$4:$H$2003,"采购入库"),2)))</f>
        <v>0</v>
      </c>
      <c r="F367" s="24"/>
      <c r="G367" s="26" t="str">
        <f t="shared" si="17"/>
        <v/>
      </c>
      <c r="H367" s="26" t="str">
        <f>IF($B367="","",IF($C367="筐子销售款",ROUND(SUMIFS(周转筐出入库明细!$P$4:$P$2004,周转筐出入库明细!$C$4:$C$2004,$B367,周转筐出入库明细!$F$4:$F$2004,"销售出库",周转筐出入库明细!$Q$4:$Q$2004,"已收讫"),2),ROUND(SUMIFS(包装物料出入库明细!$N$4:$N$2003,包装物料出入库明细!$D$4:$D$2003,$B367,包装物料出入库明细!$H$4:$H$2003,"销售出库",包装物料出入库明细!$P$4:$P$2003,"已收讫"),2)))</f>
        <v/>
      </c>
      <c r="I367" s="27"/>
    </row>
    <row r="368" spans="1:9">
      <c r="A368" s="22" t="str">
        <f t="shared" si="15"/>
        <v/>
      </c>
      <c r="B368" s="37" t="str">
        <f>IFERROR(INDEX(_自动清单!$CL$4:$CL$203,INT((ROW()-160)/2)+1),"")</f>
        <v/>
      </c>
      <c r="C368" s="37" t="str">
        <f t="shared" si="16"/>
        <v/>
      </c>
      <c r="D368" s="26">
        <f>IF($B368="",0,IF($C368="筐子销售款",ROUND(SUMIFS(周转筐出入库明细!$P$4:$P$2004,周转筐出入库明细!$C$4:$C$2004,$B368,周转筐出入库明细!$F$4:$F$2004,"销售出库"),2),ROUND(SUMIFS(包装物料出入库明细!$N$4:$N$2003,包装物料出入库明细!$D$4:$D$2003,$B368,包装物料出入库明细!$H$4:$H$2003,"销售出库"),2)))</f>
        <v>0</v>
      </c>
      <c r="E368" s="26">
        <f>IF($B368="",0,IF($C368="筐子销售款",ROUND(SUMIFS(周转筐出入库明细!$P$4:$P$2004,周转筐出入库明细!$C$4:$C$2004,$B368,周转筐出入库明细!$F$4:$F$2004,"采购入库"),2),ROUND(SUMIFS(包装物料出入库明细!$N$4:$N$2003,包装物料出入库明细!$D$4:$D$2003,$B368,包装物料出入库明细!$H$4:$H$2003,"采购入库"),2)))</f>
        <v>0</v>
      </c>
      <c r="F368" s="24"/>
      <c r="G368" s="26" t="str">
        <f t="shared" si="17"/>
        <v/>
      </c>
      <c r="H368" s="26" t="str">
        <f>IF($B368="","",IF($C368="筐子销售款",ROUND(SUMIFS(周转筐出入库明细!$P$4:$P$2004,周转筐出入库明细!$C$4:$C$2004,$B368,周转筐出入库明细!$F$4:$F$2004,"销售出库",周转筐出入库明细!$Q$4:$Q$2004,"已收讫"),2),ROUND(SUMIFS(包装物料出入库明细!$N$4:$N$2003,包装物料出入库明细!$D$4:$D$2003,$B368,包装物料出入库明细!$H$4:$H$2003,"销售出库",包装物料出入库明细!$P$4:$P$2003,"已收讫"),2)))</f>
        <v/>
      </c>
      <c r="I368" s="27"/>
    </row>
    <row r="369" spans="1:9">
      <c r="A369" s="22" t="str">
        <f t="shared" si="15"/>
        <v/>
      </c>
      <c r="B369" s="37" t="str">
        <f>IFERROR(INDEX(_自动清单!$CL$4:$CL$203,INT((ROW()-160)/2)+1),"")</f>
        <v/>
      </c>
      <c r="C369" s="37" t="str">
        <f t="shared" si="16"/>
        <v/>
      </c>
      <c r="D369" s="26">
        <f>IF($B369="",0,IF($C369="筐子销售款",ROUND(SUMIFS(周转筐出入库明细!$P$4:$P$2004,周转筐出入库明细!$C$4:$C$2004,$B369,周转筐出入库明细!$F$4:$F$2004,"销售出库"),2),ROUND(SUMIFS(包装物料出入库明细!$N$4:$N$2003,包装物料出入库明细!$D$4:$D$2003,$B369,包装物料出入库明细!$H$4:$H$2003,"销售出库"),2)))</f>
        <v>0</v>
      </c>
      <c r="E369" s="26">
        <f>IF($B369="",0,IF($C369="筐子销售款",ROUND(SUMIFS(周转筐出入库明细!$P$4:$P$2004,周转筐出入库明细!$C$4:$C$2004,$B369,周转筐出入库明细!$F$4:$F$2004,"采购入库"),2),ROUND(SUMIFS(包装物料出入库明细!$N$4:$N$2003,包装物料出入库明细!$D$4:$D$2003,$B369,包装物料出入库明细!$H$4:$H$2003,"采购入库"),2)))</f>
        <v>0</v>
      </c>
      <c r="F369" s="24"/>
      <c r="G369" s="26" t="str">
        <f t="shared" si="17"/>
        <v/>
      </c>
      <c r="H369" s="26" t="str">
        <f>IF($B369="","",IF($C369="筐子销售款",ROUND(SUMIFS(周转筐出入库明细!$P$4:$P$2004,周转筐出入库明细!$C$4:$C$2004,$B369,周转筐出入库明细!$F$4:$F$2004,"销售出库",周转筐出入库明细!$Q$4:$Q$2004,"已收讫"),2),ROUND(SUMIFS(包装物料出入库明细!$N$4:$N$2003,包装物料出入库明细!$D$4:$D$2003,$B369,包装物料出入库明细!$H$4:$H$2003,"销售出库",包装物料出入库明细!$P$4:$P$2003,"已收讫"),2)))</f>
        <v/>
      </c>
      <c r="I369" s="27"/>
    </row>
    <row r="370" spans="1:9">
      <c r="A370" s="22" t="str">
        <f t="shared" si="15"/>
        <v/>
      </c>
      <c r="B370" s="37" t="str">
        <f>IFERROR(INDEX(_自动清单!$CL$4:$CL$203,INT((ROW()-160)/2)+1),"")</f>
        <v/>
      </c>
      <c r="C370" s="37" t="str">
        <f t="shared" si="16"/>
        <v/>
      </c>
      <c r="D370" s="26">
        <f>IF($B370="",0,IF($C370="筐子销售款",ROUND(SUMIFS(周转筐出入库明细!$P$4:$P$2004,周转筐出入库明细!$C$4:$C$2004,$B370,周转筐出入库明细!$F$4:$F$2004,"销售出库"),2),ROUND(SUMIFS(包装物料出入库明细!$N$4:$N$2003,包装物料出入库明细!$D$4:$D$2003,$B370,包装物料出入库明细!$H$4:$H$2003,"销售出库"),2)))</f>
        <v>0</v>
      </c>
      <c r="E370" s="26">
        <f>IF($B370="",0,IF($C370="筐子销售款",ROUND(SUMIFS(周转筐出入库明细!$P$4:$P$2004,周转筐出入库明细!$C$4:$C$2004,$B370,周转筐出入库明细!$F$4:$F$2004,"采购入库"),2),ROUND(SUMIFS(包装物料出入库明细!$N$4:$N$2003,包装物料出入库明细!$D$4:$D$2003,$B370,包装物料出入库明细!$H$4:$H$2003,"采购入库"),2)))</f>
        <v>0</v>
      </c>
      <c r="F370" s="24"/>
      <c r="G370" s="26" t="str">
        <f t="shared" si="17"/>
        <v/>
      </c>
      <c r="H370" s="26" t="str">
        <f>IF($B370="","",IF($C370="筐子销售款",ROUND(SUMIFS(周转筐出入库明细!$P$4:$P$2004,周转筐出入库明细!$C$4:$C$2004,$B370,周转筐出入库明细!$F$4:$F$2004,"销售出库",周转筐出入库明细!$Q$4:$Q$2004,"已收讫"),2),ROUND(SUMIFS(包装物料出入库明细!$N$4:$N$2003,包装物料出入库明细!$D$4:$D$2003,$B370,包装物料出入库明细!$H$4:$H$2003,"销售出库",包装物料出入库明细!$P$4:$P$2003,"已收讫"),2)))</f>
        <v/>
      </c>
      <c r="I370" s="27"/>
    </row>
    <row r="371" spans="1:9">
      <c r="A371" s="22" t="str">
        <f t="shared" si="15"/>
        <v/>
      </c>
      <c r="B371" s="37" t="str">
        <f>IFERROR(INDEX(_自动清单!$CL$4:$CL$203,INT((ROW()-160)/2)+1),"")</f>
        <v/>
      </c>
      <c r="C371" s="37" t="str">
        <f t="shared" si="16"/>
        <v/>
      </c>
      <c r="D371" s="26">
        <f>IF($B371="",0,IF($C371="筐子销售款",ROUND(SUMIFS(周转筐出入库明细!$P$4:$P$2004,周转筐出入库明细!$C$4:$C$2004,$B371,周转筐出入库明细!$F$4:$F$2004,"销售出库"),2),ROUND(SUMIFS(包装物料出入库明细!$N$4:$N$2003,包装物料出入库明细!$D$4:$D$2003,$B371,包装物料出入库明细!$H$4:$H$2003,"销售出库"),2)))</f>
        <v>0</v>
      </c>
      <c r="E371" s="26">
        <f>IF($B371="",0,IF($C371="筐子销售款",ROUND(SUMIFS(周转筐出入库明细!$P$4:$P$2004,周转筐出入库明细!$C$4:$C$2004,$B371,周转筐出入库明细!$F$4:$F$2004,"采购入库"),2),ROUND(SUMIFS(包装物料出入库明细!$N$4:$N$2003,包装物料出入库明细!$D$4:$D$2003,$B371,包装物料出入库明细!$H$4:$H$2003,"采购入库"),2)))</f>
        <v>0</v>
      </c>
      <c r="F371" s="24"/>
      <c r="G371" s="26" t="str">
        <f t="shared" si="17"/>
        <v/>
      </c>
      <c r="H371" s="26" t="str">
        <f>IF($B371="","",IF($C371="筐子销售款",ROUND(SUMIFS(周转筐出入库明细!$P$4:$P$2004,周转筐出入库明细!$C$4:$C$2004,$B371,周转筐出入库明细!$F$4:$F$2004,"销售出库",周转筐出入库明细!$Q$4:$Q$2004,"已收讫"),2),ROUND(SUMIFS(包装物料出入库明细!$N$4:$N$2003,包装物料出入库明细!$D$4:$D$2003,$B371,包装物料出入库明细!$H$4:$H$2003,"销售出库",包装物料出入库明细!$P$4:$P$2003,"已收讫"),2)))</f>
        <v/>
      </c>
      <c r="I371" s="27"/>
    </row>
    <row r="372" spans="1:9">
      <c r="A372" s="22" t="str">
        <f t="shared" si="15"/>
        <v/>
      </c>
      <c r="B372" s="37" t="str">
        <f>IFERROR(INDEX(_自动清单!$CL$4:$CL$203,INT((ROW()-160)/2)+1),"")</f>
        <v/>
      </c>
      <c r="C372" s="37" t="str">
        <f t="shared" si="16"/>
        <v/>
      </c>
      <c r="D372" s="26">
        <f>IF($B372="",0,IF($C372="筐子销售款",ROUND(SUMIFS(周转筐出入库明细!$P$4:$P$2004,周转筐出入库明细!$C$4:$C$2004,$B372,周转筐出入库明细!$F$4:$F$2004,"销售出库"),2),ROUND(SUMIFS(包装物料出入库明细!$N$4:$N$2003,包装物料出入库明细!$D$4:$D$2003,$B372,包装物料出入库明细!$H$4:$H$2003,"销售出库"),2)))</f>
        <v>0</v>
      </c>
      <c r="E372" s="26">
        <f>IF($B372="",0,IF($C372="筐子销售款",ROUND(SUMIFS(周转筐出入库明细!$P$4:$P$2004,周转筐出入库明细!$C$4:$C$2004,$B372,周转筐出入库明细!$F$4:$F$2004,"采购入库"),2),ROUND(SUMIFS(包装物料出入库明细!$N$4:$N$2003,包装物料出入库明细!$D$4:$D$2003,$B372,包装物料出入库明细!$H$4:$H$2003,"采购入库"),2)))</f>
        <v>0</v>
      </c>
      <c r="F372" s="24"/>
      <c r="G372" s="26" t="str">
        <f t="shared" si="17"/>
        <v/>
      </c>
      <c r="H372" s="26" t="str">
        <f>IF($B372="","",IF($C372="筐子销售款",ROUND(SUMIFS(周转筐出入库明细!$P$4:$P$2004,周转筐出入库明细!$C$4:$C$2004,$B372,周转筐出入库明细!$F$4:$F$2004,"销售出库",周转筐出入库明细!$Q$4:$Q$2004,"已收讫"),2),ROUND(SUMIFS(包装物料出入库明细!$N$4:$N$2003,包装物料出入库明细!$D$4:$D$2003,$B372,包装物料出入库明细!$H$4:$H$2003,"销售出库",包装物料出入库明细!$P$4:$P$2003,"已收讫"),2)))</f>
        <v/>
      </c>
      <c r="I372" s="27"/>
    </row>
    <row r="373" spans="1:9">
      <c r="A373" s="22" t="str">
        <f t="shared" si="15"/>
        <v/>
      </c>
      <c r="B373" s="37" t="str">
        <f>IFERROR(INDEX(_自动清单!$CL$4:$CL$203,INT((ROW()-160)/2)+1),"")</f>
        <v/>
      </c>
      <c r="C373" s="37" t="str">
        <f t="shared" si="16"/>
        <v/>
      </c>
      <c r="D373" s="26">
        <f>IF($B373="",0,IF($C373="筐子销售款",ROUND(SUMIFS(周转筐出入库明细!$P$4:$P$2004,周转筐出入库明细!$C$4:$C$2004,$B373,周转筐出入库明细!$F$4:$F$2004,"销售出库"),2),ROUND(SUMIFS(包装物料出入库明细!$N$4:$N$2003,包装物料出入库明细!$D$4:$D$2003,$B373,包装物料出入库明细!$H$4:$H$2003,"销售出库"),2)))</f>
        <v>0</v>
      </c>
      <c r="E373" s="26">
        <f>IF($B373="",0,IF($C373="筐子销售款",ROUND(SUMIFS(周转筐出入库明细!$P$4:$P$2004,周转筐出入库明细!$C$4:$C$2004,$B373,周转筐出入库明细!$F$4:$F$2004,"采购入库"),2),ROUND(SUMIFS(包装物料出入库明细!$N$4:$N$2003,包装物料出入库明细!$D$4:$D$2003,$B373,包装物料出入库明细!$H$4:$H$2003,"采购入库"),2)))</f>
        <v>0</v>
      </c>
      <c r="F373" s="24"/>
      <c r="G373" s="26" t="str">
        <f t="shared" si="17"/>
        <v/>
      </c>
      <c r="H373" s="26" t="str">
        <f>IF($B373="","",IF($C373="筐子销售款",ROUND(SUMIFS(周转筐出入库明细!$P$4:$P$2004,周转筐出入库明细!$C$4:$C$2004,$B373,周转筐出入库明细!$F$4:$F$2004,"销售出库",周转筐出入库明细!$Q$4:$Q$2004,"已收讫"),2),ROUND(SUMIFS(包装物料出入库明细!$N$4:$N$2003,包装物料出入库明细!$D$4:$D$2003,$B373,包装物料出入库明细!$H$4:$H$2003,"销售出库",包装物料出入库明细!$P$4:$P$2003,"已收讫"),2)))</f>
        <v/>
      </c>
      <c r="I373" s="27"/>
    </row>
    <row r="374" spans="1:9">
      <c r="A374" s="22" t="str">
        <f t="shared" si="15"/>
        <v/>
      </c>
      <c r="B374" s="37" t="str">
        <f>IFERROR(INDEX(_自动清单!$CL$4:$CL$203,INT((ROW()-160)/2)+1),"")</f>
        <v/>
      </c>
      <c r="C374" s="37" t="str">
        <f t="shared" si="16"/>
        <v/>
      </c>
      <c r="D374" s="26">
        <f>IF($B374="",0,IF($C374="筐子销售款",ROUND(SUMIFS(周转筐出入库明细!$P$4:$P$2004,周转筐出入库明细!$C$4:$C$2004,$B374,周转筐出入库明细!$F$4:$F$2004,"销售出库"),2),ROUND(SUMIFS(包装物料出入库明细!$N$4:$N$2003,包装物料出入库明细!$D$4:$D$2003,$B374,包装物料出入库明细!$H$4:$H$2003,"销售出库"),2)))</f>
        <v>0</v>
      </c>
      <c r="E374" s="26">
        <f>IF($B374="",0,IF($C374="筐子销售款",ROUND(SUMIFS(周转筐出入库明细!$P$4:$P$2004,周转筐出入库明细!$C$4:$C$2004,$B374,周转筐出入库明细!$F$4:$F$2004,"采购入库"),2),ROUND(SUMIFS(包装物料出入库明细!$N$4:$N$2003,包装物料出入库明细!$D$4:$D$2003,$B374,包装物料出入库明细!$H$4:$H$2003,"采购入库"),2)))</f>
        <v>0</v>
      </c>
      <c r="F374" s="24"/>
      <c r="G374" s="26" t="str">
        <f t="shared" si="17"/>
        <v/>
      </c>
      <c r="H374" s="26" t="str">
        <f>IF($B374="","",IF($C374="筐子销售款",ROUND(SUMIFS(周转筐出入库明细!$P$4:$P$2004,周转筐出入库明细!$C$4:$C$2004,$B374,周转筐出入库明细!$F$4:$F$2004,"销售出库",周转筐出入库明细!$Q$4:$Q$2004,"已收讫"),2),ROUND(SUMIFS(包装物料出入库明细!$N$4:$N$2003,包装物料出入库明细!$D$4:$D$2003,$B374,包装物料出入库明细!$H$4:$H$2003,"销售出库",包装物料出入库明细!$P$4:$P$2003,"已收讫"),2)))</f>
        <v/>
      </c>
      <c r="I374" s="27"/>
    </row>
    <row r="375" spans="1:9">
      <c r="A375" s="22" t="str">
        <f t="shared" si="15"/>
        <v/>
      </c>
      <c r="B375" s="37" t="str">
        <f>IFERROR(INDEX(_自动清单!$CL$4:$CL$203,INT((ROW()-160)/2)+1),"")</f>
        <v/>
      </c>
      <c r="C375" s="37" t="str">
        <f t="shared" si="16"/>
        <v/>
      </c>
      <c r="D375" s="26">
        <f>IF($B375="",0,IF($C375="筐子销售款",ROUND(SUMIFS(周转筐出入库明细!$P$4:$P$2004,周转筐出入库明细!$C$4:$C$2004,$B375,周转筐出入库明细!$F$4:$F$2004,"销售出库"),2),ROUND(SUMIFS(包装物料出入库明细!$N$4:$N$2003,包装物料出入库明细!$D$4:$D$2003,$B375,包装物料出入库明细!$H$4:$H$2003,"销售出库"),2)))</f>
        <v>0</v>
      </c>
      <c r="E375" s="26">
        <f>IF($B375="",0,IF($C375="筐子销售款",ROUND(SUMIFS(周转筐出入库明细!$P$4:$P$2004,周转筐出入库明细!$C$4:$C$2004,$B375,周转筐出入库明细!$F$4:$F$2004,"采购入库"),2),ROUND(SUMIFS(包装物料出入库明细!$N$4:$N$2003,包装物料出入库明细!$D$4:$D$2003,$B375,包装物料出入库明细!$H$4:$H$2003,"采购入库"),2)))</f>
        <v>0</v>
      </c>
      <c r="F375" s="24"/>
      <c r="G375" s="26" t="str">
        <f t="shared" si="17"/>
        <v/>
      </c>
      <c r="H375" s="26" t="str">
        <f>IF($B375="","",IF($C375="筐子销售款",ROUND(SUMIFS(周转筐出入库明细!$P$4:$P$2004,周转筐出入库明细!$C$4:$C$2004,$B375,周转筐出入库明细!$F$4:$F$2004,"销售出库",周转筐出入库明细!$Q$4:$Q$2004,"已收讫"),2),ROUND(SUMIFS(包装物料出入库明细!$N$4:$N$2003,包装物料出入库明细!$D$4:$D$2003,$B375,包装物料出入库明细!$H$4:$H$2003,"销售出库",包装物料出入库明细!$P$4:$P$2003,"已收讫"),2)))</f>
        <v/>
      </c>
      <c r="I375" s="27"/>
    </row>
    <row r="376" spans="1:9">
      <c r="A376" s="22" t="str">
        <f t="shared" si="15"/>
        <v/>
      </c>
      <c r="B376" s="37" t="str">
        <f>IFERROR(INDEX(_自动清单!$CL$4:$CL$203,INT((ROW()-160)/2)+1),"")</f>
        <v/>
      </c>
      <c r="C376" s="37" t="str">
        <f t="shared" si="16"/>
        <v/>
      </c>
      <c r="D376" s="26">
        <f>IF($B376="",0,IF($C376="筐子销售款",ROUND(SUMIFS(周转筐出入库明细!$P$4:$P$2004,周转筐出入库明细!$C$4:$C$2004,$B376,周转筐出入库明细!$F$4:$F$2004,"销售出库"),2),ROUND(SUMIFS(包装物料出入库明细!$N$4:$N$2003,包装物料出入库明细!$D$4:$D$2003,$B376,包装物料出入库明细!$H$4:$H$2003,"销售出库"),2)))</f>
        <v>0</v>
      </c>
      <c r="E376" s="26">
        <f>IF($B376="",0,IF($C376="筐子销售款",ROUND(SUMIFS(周转筐出入库明细!$P$4:$P$2004,周转筐出入库明细!$C$4:$C$2004,$B376,周转筐出入库明细!$F$4:$F$2004,"采购入库"),2),ROUND(SUMIFS(包装物料出入库明细!$N$4:$N$2003,包装物料出入库明细!$D$4:$D$2003,$B376,包装物料出入库明细!$H$4:$H$2003,"采购入库"),2)))</f>
        <v>0</v>
      </c>
      <c r="F376" s="24"/>
      <c r="G376" s="26" t="str">
        <f t="shared" si="17"/>
        <v/>
      </c>
      <c r="H376" s="26" t="str">
        <f>IF($B376="","",IF($C376="筐子销售款",ROUND(SUMIFS(周转筐出入库明细!$P$4:$P$2004,周转筐出入库明细!$C$4:$C$2004,$B376,周转筐出入库明细!$F$4:$F$2004,"销售出库",周转筐出入库明细!$Q$4:$Q$2004,"已收讫"),2),ROUND(SUMIFS(包装物料出入库明细!$N$4:$N$2003,包装物料出入库明细!$D$4:$D$2003,$B376,包装物料出入库明细!$H$4:$H$2003,"销售出库",包装物料出入库明细!$P$4:$P$2003,"已收讫"),2)))</f>
        <v/>
      </c>
      <c r="I376" s="27"/>
    </row>
    <row r="377" spans="1:9">
      <c r="A377" s="22" t="str">
        <f t="shared" si="15"/>
        <v/>
      </c>
      <c r="B377" s="37" t="str">
        <f>IFERROR(INDEX(_自动清单!$CL$4:$CL$203,INT((ROW()-160)/2)+1),"")</f>
        <v/>
      </c>
      <c r="C377" s="37" t="str">
        <f t="shared" si="16"/>
        <v/>
      </c>
      <c r="D377" s="26">
        <f>IF($B377="",0,IF($C377="筐子销售款",ROUND(SUMIFS(周转筐出入库明细!$P$4:$P$2004,周转筐出入库明细!$C$4:$C$2004,$B377,周转筐出入库明细!$F$4:$F$2004,"销售出库"),2),ROUND(SUMIFS(包装物料出入库明细!$N$4:$N$2003,包装物料出入库明细!$D$4:$D$2003,$B377,包装物料出入库明细!$H$4:$H$2003,"销售出库"),2)))</f>
        <v>0</v>
      </c>
      <c r="E377" s="26">
        <f>IF($B377="",0,IF($C377="筐子销售款",ROUND(SUMIFS(周转筐出入库明细!$P$4:$P$2004,周转筐出入库明细!$C$4:$C$2004,$B377,周转筐出入库明细!$F$4:$F$2004,"采购入库"),2),ROUND(SUMIFS(包装物料出入库明细!$N$4:$N$2003,包装物料出入库明细!$D$4:$D$2003,$B377,包装物料出入库明细!$H$4:$H$2003,"采购入库"),2)))</f>
        <v>0</v>
      </c>
      <c r="F377" s="24"/>
      <c r="G377" s="26" t="str">
        <f t="shared" si="17"/>
        <v/>
      </c>
      <c r="H377" s="26" t="str">
        <f>IF($B377="","",IF($C377="筐子销售款",ROUND(SUMIFS(周转筐出入库明细!$P$4:$P$2004,周转筐出入库明细!$C$4:$C$2004,$B377,周转筐出入库明细!$F$4:$F$2004,"销售出库",周转筐出入库明细!$Q$4:$Q$2004,"已收讫"),2),ROUND(SUMIFS(包装物料出入库明细!$N$4:$N$2003,包装物料出入库明细!$D$4:$D$2003,$B377,包装物料出入库明细!$H$4:$H$2003,"销售出库",包装物料出入库明细!$P$4:$P$2003,"已收讫"),2)))</f>
        <v/>
      </c>
      <c r="I377" s="27"/>
    </row>
    <row r="378" spans="1:9">
      <c r="A378" s="22" t="str">
        <f t="shared" si="15"/>
        <v/>
      </c>
      <c r="B378" s="37" t="str">
        <f>IFERROR(INDEX(_自动清单!$CL$4:$CL$203,INT((ROW()-160)/2)+1),"")</f>
        <v/>
      </c>
      <c r="C378" s="37" t="str">
        <f t="shared" si="16"/>
        <v/>
      </c>
      <c r="D378" s="26">
        <f>IF($B378="",0,IF($C378="筐子销售款",ROUND(SUMIFS(周转筐出入库明细!$P$4:$P$2004,周转筐出入库明细!$C$4:$C$2004,$B378,周转筐出入库明细!$F$4:$F$2004,"销售出库"),2),ROUND(SUMIFS(包装物料出入库明细!$N$4:$N$2003,包装物料出入库明细!$D$4:$D$2003,$B378,包装物料出入库明细!$H$4:$H$2003,"销售出库"),2)))</f>
        <v>0</v>
      </c>
      <c r="E378" s="26">
        <f>IF($B378="",0,IF($C378="筐子销售款",ROUND(SUMIFS(周转筐出入库明细!$P$4:$P$2004,周转筐出入库明细!$C$4:$C$2004,$B378,周转筐出入库明细!$F$4:$F$2004,"采购入库"),2),ROUND(SUMIFS(包装物料出入库明细!$N$4:$N$2003,包装物料出入库明细!$D$4:$D$2003,$B378,包装物料出入库明细!$H$4:$H$2003,"采购入库"),2)))</f>
        <v>0</v>
      </c>
      <c r="F378" s="24"/>
      <c r="G378" s="26" t="str">
        <f t="shared" si="17"/>
        <v/>
      </c>
      <c r="H378" s="26" t="str">
        <f>IF($B378="","",IF($C378="筐子销售款",ROUND(SUMIFS(周转筐出入库明细!$P$4:$P$2004,周转筐出入库明细!$C$4:$C$2004,$B378,周转筐出入库明细!$F$4:$F$2004,"销售出库",周转筐出入库明细!$Q$4:$Q$2004,"已收讫"),2),ROUND(SUMIFS(包装物料出入库明细!$N$4:$N$2003,包装物料出入库明细!$D$4:$D$2003,$B378,包装物料出入库明细!$H$4:$H$2003,"销售出库",包装物料出入库明细!$P$4:$P$2003,"已收讫"),2)))</f>
        <v/>
      </c>
      <c r="I378" s="27"/>
    </row>
    <row r="379" spans="1:9">
      <c r="A379" s="22" t="str">
        <f t="shared" si="15"/>
        <v/>
      </c>
      <c r="B379" s="37" t="str">
        <f>IFERROR(INDEX(_自动清单!$CL$4:$CL$203,INT((ROW()-160)/2)+1),"")</f>
        <v/>
      </c>
      <c r="C379" s="37" t="str">
        <f t="shared" si="16"/>
        <v/>
      </c>
      <c r="D379" s="26">
        <f>IF($B379="",0,IF($C379="筐子销售款",ROUND(SUMIFS(周转筐出入库明细!$P$4:$P$2004,周转筐出入库明细!$C$4:$C$2004,$B379,周转筐出入库明细!$F$4:$F$2004,"销售出库"),2),ROUND(SUMIFS(包装物料出入库明细!$N$4:$N$2003,包装物料出入库明细!$D$4:$D$2003,$B379,包装物料出入库明细!$H$4:$H$2003,"销售出库"),2)))</f>
        <v>0</v>
      </c>
      <c r="E379" s="26">
        <f>IF($B379="",0,IF($C379="筐子销售款",ROUND(SUMIFS(周转筐出入库明细!$P$4:$P$2004,周转筐出入库明细!$C$4:$C$2004,$B379,周转筐出入库明细!$F$4:$F$2004,"采购入库"),2),ROUND(SUMIFS(包装物料出入库明细!$N$4:$N$2003,包装物料出入库明细!$D$4:$D$2003,$B379,包装物料出入库明细!$H$4:$H$2003,"采购入库"),2)))</f>
        <v>0</v>
      </c>
      <c r="F379" s="24"/>
      <c r="G379" s="26" t="str">
        <f t="shared" si="17"/>
        <v/>
      </c>
      <c r="H379" s="26" t="str">
        <f>IF($B379="","",IF($C379="筐子销售款",ROUND(SUMIFS(周转筐出入库明细!$P$4:$P$2004,周转筐出入库明细!$C$4:$C$2004,$B379,周转筐出入库明细!$F$4:$F$2004,"销售出库",周转筐出入库明细!$Q$4:$Q$2004,"已收讫"),2),ROUND(SUMIFS(包装物料出入库明细!$N$4:$N$2003,包装物料出入库明细!$D$4:$D$2003,$B379,包装物料出入库明细!$H$4:$H$2003,"销售出库",包装物料出入库明细!$P$4:$P$2003,"已收讫"),2)))</f>
        <v/>
      </c>
      <c r="I379" s="27"/>
    </row>
    <row r="380" spans="1:9">
      <c r="A380" s="22" t="str">
        <f t="shared" si="15"/>
        <v/>
      </c>
      <c r="B380" s="37" t="str">
        <f>IFERROR(INDEX(_自动清单!$CL$4:$CL$203,INT((ROW()-160)/2)+1),"")</f>
        <v/>
      </c>
      <c r="C380" s="37" t="str">
        <f t="shared" si="16"/>
        <v/>
      </c>
      <c r="D380" s="26">
        <f>IF($B380="",0,IF($C380="筐子销售款",ROUND(SUMIFS(周转筐出入库明细!$P$4:$P$2004,周转筐出入库明细!$C$4:$C$2004,$B380,周转筐出入库明细!$F$4:$F$2004,"销售出库"),2),ROUND(SUMIFS(包装物料出入库明细!$N$4:$N$2003,包装物料出入库明细!$D$4:$D$2003,$B380,包装物料出入库明细!$H$4:$H$2003,"销售出库"),2)))</f>
        <v>0</v>
      </c>
      <c r="E380" s="26">
        <f>IF($B380="",0,IF($C380="筐子销售款",ROUND(SUMIFS(周转筐出入库明细!$P$4:$P$2004,周转筐出入库明细!$C$4:$C$2004,$B380,周转筐出入库明细!$F$4:$F$2004,"采购入库"),2),ROUND(SUMIFS(包装物料出入库明细!$N$4:$N$2003,包装物料出入库明细!$D$4:$D$2003,$B380,包装物料出入库明细!$H$4:$H$2003,"采购入库"),2)))</f>
        <v>0</v>
      </c>
      <c r="F380" s="24"/>
      <c r="G380" s="26" t="str">
        <f t="shared" si="17"/>
        <v/>
      </c>
      <c r="H380" s="26" t="str">
        <f>IF($B380="","",IF($C380="筐子销售款",ROUND(SUMIFS(周转筐出入库明细!$P$4:$P$2004,周转筐出入库明细!$C$4:$C$2004,$B380,周转筐出入库明细!$F$4:$F$2004,"销售出库",周转筐出入库明细!$Q$4:$Q$2004,"已收讫"),2),ROUND(SUMIFS(包装物料出入库明细!$N$4:$N$2003,包装物料出入库明细!$D$4:$D$2003,$B380,包装物料出入库明细!$H$4:$H$2003,"销售出库",包装物料出入库明细!$P$4:$P$2003,"已收讫"),2)))</f>
        <v/>
      </c>
      <c r="I380" s="27"/>
    </row>
    <row r="381" spans="1:9">
      <c r="A381" s="22" t="str">
        <f t="shared" si="15"/>
        <v/>
      </c>
      <c r="B381" s="37" t="str">
        <f>IFERROR(INDEX(_自动清单!$CL$4:$CL$203,INT((ROW()-160)/2)+1),"")</f>
        <v/>
      </c>
      <c r="C381" s="37" t="str">
        <f t="shared" si="16"/>
        <v/>
      </c>
      <c r="D381" s="26">
        <f>IF($B381="",0,IF($C381="筐子销售款",ROUND(SUMIFS(周转筐出入库明细!$P$4:$P$2004,周转筐出入库明细!$C$4:$C$2004,$B381,周转筐出入库明细!$F$4:$F$2004,"销售出库"),2),ROUND(SUMIFS(包装物料出入库明细!$N$4:$N$2003,包装物料出入库明细!$D$4:$D$2003,$B381,包装物料出入库明细!$H$4:$H$2003,"销售出库"),2)))</f>
        <v>0</v>
      </c>
      <c r="E381" s="26">
        <f>IF($B381="",0,IF($C381="筐子销售款",ROUND(SUMIFS(周转筐出入库明细!$P$4:$P$2004,周转筐出入库明细!$C$4:$C$2004,$B381,周转筐出入库明细!$F$4:$F$2004,"采购入库"),2),ROUND(SUMIFS(包装物料出入库明细!$N$4:$N$2003,包装物料出入库明细!$D$4:$D$2003,$B381,包装物料出入库明细!$H$4:$H$2003,"采购入库"),2)))</f>
        <v>0</v>
      </c>
      <c r="F381" s="24"/>
      <c r="G381" s="26" t="str">
        <f t="shared" si="17"/>
        <v/>
      </c>
      <c r="H381" s="26" t="str">
        <f>IF($B381="","",IF($C381="筐子销售款",ROUND(SUMIFS(周转筐出入库明细!$P$4:$P$2004,周转筐出入库明细!$C$4:$C$2004,$B381,周转筐出入库明细!$F$4:$F$2004,"销售出库",周转筐出入库明细!$Q$4:$Q$2004,"已收讫"),2),ROUND(SUMIFS(包装物料出入库明细!$N$4:$N$2003,包装物料出入库明细!$D$4:$D$2003,$B381,包装物料出入库明细!$H$4:$H$2003,"销售出库",包装物料出入库明细!$P$4:$P$2003,"已收讫"),2)))</f>
        <v/>
      </c>
      <c r="I381" s="27"/>
    </row>
    <row r="382" spans="1:9">
      <c r="A382" s="22" t="str">
        <f t="shared" si="15"/>
        <v/>
      </c>
      <c r="B382" s="37" t="str">
        <f>IFERROR(INDEX(_自动清单!$CL$4:$CL$203,INT((ROW()-160)/2)+1),"")</f>
        <v/>
      </c>
      <c r="C382" s="37" t="str">
        <f t="shared" si="16"/>
        <v/>
      </c>
      <c r="D382" s="26">
        <f>IF($B382="",0,IF($C382="筐子销售款",ROUND(SUMIFS(周转筐出入库明细!$P$4:$P$2004,周转筐出入库明细!$C$4:$C$2004,$B382,周转筐出入库明细!$F$4:$F$2004,"销售出库"),2),ROUND(SUMIFS(包装物料出入库明细!$N$4:$N$2003,包装物料出入库明细!$D$4:$D$2003,$B382,包装物料出入库明细!$H$4:$H$2003,"销售出库"),2)))</f>
        <v>0</v>
      </c>
      <c r="E382" s="26">
        <f>IF($B382="",0,IF($C382="筐子销售款",ROUND(SUMIFS(周转筐出入库明细!$P$4:$P$2004,周转筐出入库明细!$C$4:$C$2004,$B382,周转筐出入库明细!$F$4:$F$2004,"采购入库"),2),ROUND(SUMIFS(包装物料出入库明细!$N$4:$N$2003,包装物料出入库明细!$D$4:$D$2003,$B382,包装物料出入库明细!$H$4:$H$2003,"采购入库"),2)))</f>
        <v>0</v>
      </c>
      <c r="F382" s="24"/>
      <c r="G382" s="26" t="str">
        <f t="shared" si="17"/>
        <v/>
      </c>
      <c r="H382" s="26" t="str">
        <f>IF($B382="","",IF($C382="筐子销售款",ROUND(SUMIFS(周转筐出入库明细!$P$4:$P$2004,周转筐出入库明细!$C$4:$C$2004,$B382,周转筐出入库明细!$F$4:$F$2004,"销售出库",周转筐出入库明细!$Q$4:$Q$2004,"已收讫"),2),ROUND(SUMIFS(包装物料出入库明细!$N$4:$N$2003,包装物料出入库明细!$D$4:$D$2003,$B382,包装物料出入库明细!$H$4:$H$2003,"销售出库",包装物料出入库明细!$P$4:$P$2003,"已收讫"),2)))</f>
        <v/>
      </c>
      <c r="I382" s="27"/>
    </row>
    <row r="383" spans="1:9">
      <c r="A383" s="22" t="str">
        <f t="shared" si="15"/>
        <v/>
      </c>
      <c r="B383" s="37" t="str">
        <f>IFERROR(INDEX(_自动清单!$CL$4:$CL$203,INT((ROW()-160)/2)+1),"")</f>
        <v/>
      </c>
      <c r="C383" s="37" t="str">
        <f t="shared" si="16"/>
        <v/>
      </c>
      <c r="D383" s="26">
        <f>IF($B383="",0,IF($C383="筐子销售款",ROUND(SUMIFS(周转筐出入库明细!$P$4:$P$2004,周转筐出入库明细!$C$4:$C$2004,$B383,周转筐出入库明细!$F$4:$F$2004,"销售出库"),2),ROUND(SUMIFS(包装物料出入库明细!$N$4:$N$2003,包装物料出入库明细!$D$4:$D$2003,$B383,包装物料出入库明细!$H$4:$H$2003,"销售出库"),2)))</f>
        <v>0</v>
      </c>
      <c r="E383" s="26">
        <f>IF($B383="",0,IF($C383="筐子销售款",ROUND(SUMIFS(周转筐出入库明细!$P$4:$P$2004,周转筐出入库明细!$C$4:$C$2004,$B383,周转筐出入库明细!$F$4:$F$2004,"采购入库"),2),ROUND(SUMIFS(包装物料出入库明细!$N$4:$N$2003,包装物料出入库明细!$D$4:$D$2003,$B383,包装物料出入库明细!$H$4:$H$2003,"采购入库"),2)))</f>
        <v>0</v>
      </c>
      <c r="F383" s="24"/>
      <c r="G383" s="26" t="str">
        <f t="shared" si="17"/>
        <v/>
      </c>
      <c r="H383" s="26" t="str">
        <f>IF($B383="","",IF($C383="筐子销售款",ROUND(SUMIFS(周转筐出入库明细!$P$4:$P$2004,周转筐出入库明细!$C$4:$C$2004,$B383,周转筐出入库明细!$F$4:$F$2004,"销售出库",周转筐出入库明细!$Q$4:$Q$2004,"已收讫"),2),ROUND(SUMIFS(包装物料出入库明细!$N$4:$N$2003,包装物料出入库明细!$D$4:$D$2003,$B383,包装物料出入库明细!$H$4:$H$2003,"销售出库",包装物料出入库明细!$P$4:$P$2003,"已收讫"),2)))</f>
        <v/>
      </c>
      <c r="I383" s="27"/>
    </row>
    <row r="384" spans="1:9">
      <c r="A384" s="22" t="str">
        <f t="shared" si="15"/>
        <v/>
      </c>
      <c r="B384" s="37" t="str">
        <f>IFERROR(INDEX(_自动清单!$CL$4:$CL$203,INT((ROW()-160)/2)+1),"")</f>
        <v/>
      </c>
      <c r="C384" s="37" t="str">
        <f t="shared" si="16"/>
        <v/>
      </c>
      <c r="D384" s="26">
        <f>IF($B384="",0,IF($C384="筐子销售款",ROUND(SUMIFS(周转筐出入库明细!$P$4:$P$2004,周转筐出入库明细!$C$4:$C$2004,$B384,周转筐出入库明细!$F$4:$F$2004,"销售出库"),2),ROUND(SUMIFS(包装物料出入库明细!$N$4:$N$2003,包装物料出入库明细!$D$4:$D$2003,$B384,包装物料出入库明细!$H$4:$H$2003,"销售出库"),2)))</f>
        <v>0</v>
      </c>
      <c r="E384" s="26">
        <f>IF($B384="",0,IF($C384="筐子销售款",ROUND(SUMIFS(周转筐出入库明细!$P$4:$P$2004,周转筐出入库明细!$C$4:$C$2004,$B384,周转筐出入库明细!$F$4:$F$2004,"采购入库"),2),ROUND(SUMIFS(包装物料出入库明细!$N$4:$N$2003,包装物料出入库明细!$D$4:$D$2003,$B384,包装物料出入库明细!$H$4:$H$2003,"采购入库"),2)))</f>
        <v>0</v>
      </c>
      <c r="F384" s="24"/>
      <c r="G384" s="26" t="str">
        <f t="shared" si="17"/>
        <v/>
      </c>
      <c r="H384" s="26" t="str">
        <f>IF($B384="","",IF($C384="筐子销售款",ROUND(SUMIFS(周转筐出入库明细!$P$4:$P$2004,周转筐出入库明细!$C$4:$C$2004,$B384,周转筐出入库明细!$F$4:$F$2004,"销售出库",周转筐出入库明细!$Q$4:$Q$2004,"已收讫"),2),ROUND(SUMIFS(包装物料出入库明细!$N$4:$N$2003,包装物料出入库明细!$D$4:$D$2003,$B384,包装物料出入库明细!$H$4:$H$2003,"销售出库",包装物料出入库明细!$P$4:$P$2003,"已收讫"),2)))</f>
        <v/>
      </c>
      <c r="I384" s="27"/>
    </row>
    <row r="385" spans="1:9">
      <c r="A385" s="22" t="str">
        <f t="shared" si="15"/>
        <v/>
      </c>
      <c r="B385" s="37" t="str">
        <f>IFERROR(INDEX(_自动清单!$CL$4:$CL$203,INT((ROW()-160)/2)+1),"")</f>
        <v/>
      </c>
      <c r="C385" s="37" t="str">
        <f t="shared" si="16"/>
        <v/>
      </c>
      <c r="D385" s="26">
        <f>IF($B385="",0,IF($C385="筐子销售款",ROUND(SUMIFS(周转筐出入库明细!$P$4:$P$2004,周转筐出入库明细!$C$4:$C$2004,$B385,周转筐出入库明细!$F$4:$F$2004,"销售出库"),2),ROUND(SUMIFS(包装物料出入库明细!$N$4:$N$2003,包装物料出入库明细!$D$4:$D$2003,$B385,包装物料出入库明细!$H$4:$H$2003,"销售出库"),2)))</f>
        <v>0</v>
      </c>
      <c r="E385" s="26">
        <f>IF($B385="",0,IF($C385="筐子销售款",ROUND(SUMIFS(周转筐出入库明细!$P$4:$P$2004,周转筐出入库明细!$C$4:$C$2004,$B385,周转筐出入库明细!$F$4:$F$2004,"采购入库"),2),ROUND(SUMIFS(包装物料出入库明细!$N$4:$N$2003,包装物料出入库明细!$D$4:$D$2003,$B385,包装物料出入库明细!$H$4:$H$2003,"采购入库"),2)))</f>
        <v>0</v>
      </c>
      <c r="F385" s="24"/>
      <c r="G385" s="26" t="str">
        <f t="shared" si="17"/>
        <v/>
      </c>
      <c r="H385" s="26" t="str">
        <f>IF($B385="","",IF($C385="筐子销售款",ROUND(SUMIFS(周转筐出入库明细!$P$4:$P$2004,周转筐出入库明细!$C$4:$C$2004,$B385,周转筐出入库明细!$F$4:$F$2004,"销售出库",周转筐出入库明细!$Q$4:$Q$2004,"已收讫"),2),ROUND(SUMIFS(包装物料出入库明细!$N$4:$N$2003,包装物料出入库明细!$D$4:$D$2003,$B385,包装物料出入库明细!$H$4:$H$2003,"销售出库",包装物料出入库明细!$P$4:$P$2003,"已收讫"),2)))</f>
        <v/>
      </c>
      <c r="I385" s="27"/>
    </row>
    <row r="386" spans="1:9">
      <c r="A386" s="22" t="str">
        <f t="shared" si="15"/>
        <v/>
      </c>
      <c r="B386" s="37" t="str">
        <f>IFERROR(INDEX(_自动清单!$CL$4:$CL$203,INT((ROW()-160)/2)+1),"")</f>
        <v/>
      </c>
      <c r="C386" s="37" t="str">
        <f t="shared" si="16"/>
        <v/>
      </c>
      <c r="D386" s="26">
        <f>IF($B386="",0,IF($C386="筐子销售款",ROUND(SUMIFS(周转筐出入库明细!$P$4:$P$2004,周转筐出入库明细!$C$4:$C$2004,$B386,周转筐出入库明细!$F$4:$F$2004,"销售出库"),2),ROUND(SUMIFS(包装物料出入库明细!$N$4:$N$2003,包装物料出入库明细!$D$4:$D$2003,$B386,包装物料出入库明细!$H$4:$H$2003,"销售出库"),2)))</f>
        <v>0</v>
      </c>
      <c r="E386" s="26">
        <f>IF($B386="",0,IF($C386="筐子销售款",ROUND(SUMIFS(周转筐出入库明细!$P$4:$P$2004,周转筐出入库明细!$C$4:$C$2004,$B386,周转筐出入库明细!$F$4:$F$2004,"采购入库"),2),ROUND(SUMIFS(包装物料出入库明细!$N$4:$N$2003,包装物料出入库明细!$D$4:$D$2003,$B386,包装物料出入库明细!$H$4:$H$2003,"采购入库"),2)))</f>
        <v>0</v>
      </c>
      <c r="F386" s="24"/>
      <c r="G386" s="26" t="str">
        <f t="shared" si="17"/>
        <v/>
      </c>
      <c r="H386" s="26" t="str">
        <f>IF($B386="","",IF($C386="筐子销售款",ROUND(SUMIFS(周转筐出入库明细!$P$4:$P$2004,周转筐出入库明细!$C$4:$C$2004,$B386,周转筐出入库明细!$F$4:$F$2004,"销售出库",周转筐出入库明细!$Q$4:$Q$2004,"已收讫"),2),ROUND(SUMIFS(包装物料出入库明细!$N$4:$N$2003,包装物料出入库明细!$D$4:$D$2003,$B386,包装物料出入库明细!$H$4:$H$2003,"销售出库",包装物料出入库明细!$P$4:$P$2003,"已收讫"),2)))</f>
        <v/>
      </c>
      <c r="I386" s="27"/>
    </row>
    <row r="387" spans="1:9">
      <c r="A387" s="22" t="str">
        <f t="shared" si="15"/>
        <v/>
      </c>
      <c r="B387" s="37" t="str">
        <f>IFERROR(INDEX(_自动清单!$CL$4:$CL$203,INT((ROW()-160)/2)+1),"")</f>
        <v/>
      </c>
      <c r="C387" s="37" t="str">
        <f t="shared" si="16"/>
        <v/>
      </c>
      <c r="D387" s="26">
        <f>IF($B387="",0,IF($C387="筐子销售款",ROUND(SUMIFS(周转筐出入库明细!$P$4:$P$2004,周转筐出入库明细!$C$4:$C$2004,$B387,周转筐出入库明细!$F$4:$F$2004,"销售出库"),2),ROUND(SUMIFS(包装物料出入库明细!$N$4:$N$2003,包装物料出入库明细!$D$4:$D$2003,$B387,包装物料出入库明细!$H$4:$H$2003,"销售出库"),2)))</f>
        <v>0</v>
      </c>
      <c r="E387" s="26">
        <f>IF($B387="",0,IF($C387="筐子销售款",ROUND(SUMIFS(周转筐出入库明细!$P$4:$P$2004,周转筐出入库明细!$C$4:$C$2004,$B387,周转筐出入库明细!$F$4:$F$2004,"采购入库"),2),ROUND(SUMIFS(包装物料出入库明细!$N$4:$N$2003,包装物料出入库明细!$D$4:$D$2003,$B387,包装物料出入库明细!$H$4:$H$2003,"采购入库"),2)))</f>
        <v>0</v>
      </c>
      <c r="F387" s="24"/>
      <c r="G387" s="26" t="str">
        <f t="shared" si="17"/>
        <v/>
      </c>
      <c r="H387" s="26" t="str">
        <f>IF($B387="","",IF($C387="筐子销售款",ROUND(SUMIFS(周转筐出入库明细!$P$4:$P$2004,周转筐出入库明细!$C$4:$C$2004,$B387,周转筐出入库明细!$F$4:$F$2004,"销售出库",周转筐出入库明细!$Q$4:$Q$2004,"已收讫"),2),ROUND(SUMIFS(包装物料出入库明细!$N$4:$N$2003,包装物料出入库明细!$D$4:$D$2003,$B387,包装物料出入库明细!$H$4:$H$2003,"销售出库",包装物料出入库明细!$P$4:$P$2003,"已收讫"),2)))</f>
        <v/>
      </c>
      <c r="I387" s="27"/>
    </row>
    <row r="388" spans="1:9">
      <c r="A388" s="22" t="str">
        <f t="shared" si="15"/>
        <v/>
      </c>
      <c r="B388" s="37" t="str">
        <f>IFERROR(INDEX(_自动清单!$CL$4:$CL$203,INT((ROW()-160)/2)+1),"")</f>
        <v/>
      </c>
      <c r="C388" s="37" t="str">
        <f t="shared" si="16"/>
        <v/>
      </c>
      <c r="D388" s="26">
        <f>IF($B388="",0,IF($C388="筐子销售款",ROUND(SUMIFS(周转筐出入库明细!$P$4:$P$2004,周转筐出入库明细!$C$4:$C$2004,$B388,周转筐出入库明细!$F$4:$F$2004,"销售出库"),2),ROUND(SUMIFS(包装物料出入库明细!$N$4:$N$2003,包装物料出入库明细!$D$4:$D$2003,$B388,包装物料出入库明细!$H$4:$H$2003,"销售出库"),2)))</f>
        <v>0</v>
      </c>
      <c r="E388" s="26">
        <f>IF($B388="",0,IF($C388="筐子销售款",ROUND(SUMIFS(周转筐出入库明细!$P$4:$P$2004,周转筐出入库明细!$C$4:$C$2004,$B388,周转筐出入库明细!$F$4:$F$2004,"采购入库"),2),ROUND(SUMIFS(包装物料出入库明细!$N$4:$N$2003,包装物料出入库明细!$D$4:$D$2003,$B388,包装物料出入库明细!$H$4:$H$2003,"采购入库"),2)))</f>
        <v>0</v>
      </c>
      <c r="F388" s="24"/>
      <c r="G388" s="26" t="str">
        <f t="shared" si="17"/>
        <v/>
      </c>
      <c r="H388" s="26" t="str">
        <f>IF($B388="","",IF($C388="筐子销售款",ROUND(SUMIFS(周转筐出入库明细!$P$4:$P$2004,周转筐出入库明细!$C$4:$C$2004,$B388,周转筐出入库明细!$F$4:$F$2004,"销售出库",周转筐出入库明细!$Q$4:$Q$2004,"已收讫"),2),ROUND(SUMIFS(包装物料出入库明细!$N$4:$N$2003,包装物料出入库明细!$D$4:$D$2003,$B388,包装物料出入库明细!$H$4:$H$2003,"销售出库",包装物料出入库明细!$P$4:$P$2003,"已收讫"),2)))</f>
        <v/>
      </c>
      <c r="I388" s="27"/>
    </row>
    <row r="389" spans="1:9">
      <c r="A389" s="22" t="str">
        <f t="shared" si="15"/>
        <v/>
      </c>
      <c r="B389" s="37" t="str">
        <f>IFERROR(INDEX(_自动清单!$CL$4:$CL$203,INT((ROW()-160)/2)+1),"")</f>
        <v/>
      </c>
      <c r="C389" s="37" t="str">
        <f t="shared" si="16"/>
        <v/>
      </c>
      <c r="D389" s="26">
        <f>IF($B389="",0,IF($C389="筐子销售款",ROUND(SUMIFS(周转筐出入库明细!$P$4:$P$2004,周转筐出入库明细!$C$4:$C$2004,$B389,周转筐出入库明细!$F$4:$F$2004,"销售出库"),2),ROUND(SUMIFS(包装物料出入库明细!$N$4:$N$2003,包装物料出入库明细!$D$4:$D$2003,$B389,包装物料出入库明细!$H$4:$H$2003,"销售出库"),2)))</f>
        <v>0</v>
      </c>
      <c r="E389" s="26">
        <f>IF($B389="",0,IF($C389="筐子销售款",ROUND(SUMIFS(周转筐出入库明细!$P$4:$P$2004,周转筐出入库明细!$C$4:$C$2004,$B389,周转筐出入库明细!$F$4:$F$2004,"采购入库"),2),ROUND(SUMIFS(包装物料出入库明细!$N$4:$N$2003,包装物料出入库明细!$D$4:$D$2003,$B389,包装物料出入库明细!$H$4:$H$2003,"采购入库"),2)))</f>
        <v>0</v>
      </c>
      <c r="F389" s="24"/>
      <c r="G389" s="26" t="str">
        <f t="shared" si="17"/>
        <v/>
      </c>
      <c r="H389" s="26" t="str">
        <f>IF($B389="","",IF($C389="筐子销售款",ROUND(SUMIFS(周转筐出入库明细!$P$4:$P$2004,周转筐出入库明细!$C$4:$C$2004,$B389,周转筐出入库明细!$F$4:$F$2004,"销售出库",周转筐出入库明细!$Q$4:$Q$2004,"已收讫"),2),ROUND(SUMIFS(包装物料出入库明细!$N$4:$N$2003,包装物料出入库明细!$D$4:$D$2003,$B389,包装物料出入库明细!$H$4:$H$2003,"销售出库",包装物料出入库明细!$P$4:$P$2003,"已收讫"),2)))</f>
        <v/>
      </c>
      <c r="I389" s="27"/>
    </row>
    <row r="390" spans="1:9">
      <c r="A390" s="22" t="str">
        <f t="shared" si="15"/>
        <v/>
      </c>
      <c r="B390" s="37" t="str">
        <f>IFERROR(INDEX(_自动清单!$CL$4:$CL$203,INT((ROW()-160)/2)+1),"")</f>
        <v/>
      </c>
      <c r="C390" s="37" t="str">
        <f t="shared" si="16"/>
        <v/>
      </c>
      <c r="D390" s="26">
        <f>IF($B390="",0,IF($C390="筐子销售款",ROUND(SUMIFS(周转筐出入库明细!$P$4:$P$2004,周转筐出入库明细!$C$4:$C$2004,$B390,周转筐出入库明细!$F$4:$F$2004,"销售出库"),2),ROUND(SUMIFS(包装物料出入库明细!$N$4:$N$2003,包装物料出入库明细!$D$4:$D$2003,$B390,包装物料出入库明细!$H$4:$H$2003,"销售出库"),2)))</f>
        <v>0</v>
      </c>
      <c r="E390" s="26">
        <f>IF($B390="",0,IF($C390="筐子销售款",ROUND(SUMIFS(周转筐出入库明细!$P$4:$P$2004,周转筐出入库明细!$C$4:$C$2004,$B390,周转筐出入库明细!$F$4:$F$2004,"采购入库"),2),ROUND(SUMIFS(包装物料出入库明细!$N$4:$N$2003,包装物料出入库明细!$D$4:$D$2003,$B390,包装物料出入库明细!$H$4:$H$2003,"采购入库"),2)))</f>
        <v>0</v>
      </c>
      <c r="F390" s="24"/>
      <c r="G390" s="26" t="str">
        <f t="shared" si="17"/>
        <v/>
      </c>
      <c r="H390" s="26" t="str">
        <f>IF($B390="","",IF($C390="筐子销售款",ROUND(SUMIFS(周转筐出入库明细!$P$4:$P$2004,周转筐出入库明细!$C$4:$C$2004,$B390,周转筐出入库明细!$F$4:$F$2004,"销售出库",周转筐出入库明细!$Q$4:$Q$2004,"已收讫"),2),ROUND(SUMIFS(包装物料出入库明细!$N$4:$N$2003,包装物料出入库明细!$D$4:$D$2003,$B390,包装物料出入库明细!$H$4:$H$2003,"销售出库",包装物料出入库明细!$P$4:$P$2003,"已收讫"),2)))</f>
        <v/>
      </c>
      <c r="I390" s="27"/>
    </row>
    <row r="391" spans="1:9">
      <c r="A391" s="22" t="str">
        <f t="shared" si="15"/>
        <v/>
      </c>
      <c r="B391" s="37" t="str">
        <f>IFERROR(INDEX(_自动清单!$CL$4:$CL$203,INT((ROW()-160)/2)+1),"")</f>
        <v/>
      </c>
      <c r="C391" s="37" t="str">
        <f t="shared" si="16"/>
        <v/>
      </c>
      <c r="D391" s="26">
        <f>IF($B391="",0,IF($C391="筐子销售款",ROUND(SUMIFS(周转筐出入库明细!$P$4:$P$2004,周转筐出入库明细!$C$4:$C$2004,$B391,周转筐出入库明细!$F$4:$F$2004,"销售出库"),2),ROUND(SUMIFS(包装物料出入库明细!$N$4:$N$2003,包装物料出入库明细!$D$4:$D$2003,$B391,包装物料出入库明细!$H$4:$H$2003,"销售出库"),2)))</f>
        <v>0</v>
      </c>
      <c r="E391" s="26">
        <f>IF($B391="",0,IF($C391="筐子销售款",ROUND(SUMIFS(周转筐出入库明细!$P$4:$P$2004,周转筐出入库明细!$C$4:$C$2004,$B391,周转筐出入库明细!$F$4:$F$2004,"采购入库"),2),ROUND(SUMIFS(包装物料出入库明细!$N$4:$N$2003,包装物料出入库明细!$D$4:$D$2003,$B391,包装物料出入库明细!$H$4:$H$2003,"采购入库"),2)))</f>
        <v>0</v>
      </c>
      <c r="F391" s="24"/>
      <c r="G391" s="26" t="str">
        <f t="shared" si="17"/>
        <v/>
      </c>
      <c r="H391" s="26" t="str">
        <f>IF($B391="","",IF($C391="筐子销售款",ROUND(SUMIFS(周转筐出入库明细!$P$4:$P$2004,周转筐出入库明细!$C$4:$C$2004,$B391,周转筐出入库明细!$F$4:$F$2004,"销售出库",周转筐出入库明细!$Q$4:$Q$2004,"已收讫"),2),ROUND(SUMIFS(包装物料出入库明细!$N$4:$N$2003,包装物料出入库明细!$D$4:$D$2003,$B391,包装物料出入库明细!$H$4:$H$2003,"销售出库",包装物料出入库明细!$P$4:$P$2003,"已收讫"),2)))</f>
        <v/>
      </c>
      <c r="I391" s="27"/>
    </row>
    <row r="392" spans="1:9">
      <c r="A392" s="22" t="str">
        <f t="shared" si="15"/>
        <v/>
      </c>
      <c r="B392" s="37" t="str">
        <f>IFERROR(INDEX(_自动清单!$CL$4:$CL$203,INT((ROW()-160)/2)+1),"")</f>
        <v/>
      </c>
      <c r="C392" s="37" t="str">
        <f t="shared" si="16"/>
        <v/>
      </c>
      <c r="D392" s="26">
        <f>IF($B392="",0,IF($C392="筐子销售款",ROUND(SUMIFS(周转筐出入库明细!$P$4:$P$2004,周转筐出入库明细!$C$4:$C$2004,$B392,周转筐出入库明细!$F$4:$F$2004,"销售出库"),2),ROUND(SUMIFS(包装物料出入库明细!$N$4:$N$2003,包装物料出入库明细!$D$4:$D$2003,$B392,包装物料出入库明细!$H$4:$H$2003,"销售出库"),2)))</f>
        <v>0</v>
      </c>
      <c r="E392" s="26">
        <f>IF($B392="",0,IF($C392="筐子销售款",ROUND(SUMIFS(周转筐出入库明细!$P$4:$P$2004,周转筐出入库明细!$C$4:$C$2004,$B392,周转筐出入库明细!$F$4:$F$2004,"采购入库"),2),ROUND(SUMIFS(包装物料出入库明细!$N$4:$N$2003,包装物料出入库明细!$D$4:$D$2003,$B392,包装物料出入库明细!$H$4:$H$2003,"采购入库"),2)))</f>
        <v>0</v>
      </c>
      <c r="F392" s="24"/>
      <c r="G392" s="26" t="str">
        <f t="shared" si="17"/>
        <v/>
      </c>
      <c r="H392" s="26" t="str">
        <f>IF($B392="","",IF($C392="筐子销售款",ROUND(SUMIFS(周转筐出入库明细!$P$4:$P$2004,周转筐出入库明细!$C$4:$C$2004,$B392,周转筐出入库明细!$F$4:$F$2004,"销售出库",周转筐出入库明细!$Q$4:$Q$2004,"已收讫"),2),ROUND(SUMIFS(包装物料出入库明细!$N$4:$N$2003,包装物料出入库明细!$D$4:$D$2003,$B392,包装物料出入库明细!$H$4:$H$2003,"销售出库",包装物料出入库明细!$P$4:$P$2003,"已收讫"),2)))</f>
        <v/>
      </c>
      <c r="I392" s="27"/>
    </row>
    <row r="393" spans="1:9">
      <c r="A393" s="22" t="str">
        <f t="shared" si="15"/>
        <v/>
      </c>
      <c r="B393" s="37" t="str">
        <f>IFERROR(INDEX(_自动清单!$CL$4:$CL$203,INT((ROW()-160)/2)+1),"")</f>
        <v/>
      </c>
      <c r="C393" s="37" t="str">
        <f t="shared" si="16"/>
        <v/>
      </c>
      <c r="D393" s="26">
        <f>IF($B393="",0,IF($C393="筐子销售款",ROUND(SUMIFS(周转筐出入库明细!$P$4:$P$2004,周转筐出入库明细!$C$4:$C$2004,$B393,周转筐出入库明细!$F$4:$F$2004,"销售出库"),2),ROUND(SUMIFS(包装物料出入库明细!$N$4:$N$2003,包装物料出入库明细!$D$4:$D$2003,$B393,包装物料出入库明细!$H$4:$H$2003,"销售出库"),2)))</f>
        <v>0</v>
      </c>
      <c r="E393" s="26">
        <f>IF($B393="",0,IF($C393="筐子销售款",ROUND(SUMIFS(周转筐出入库明细!$P$4:$P$2004,周转筐出入库明细!$C$4:$C$2004,$B393,周转筐出入库明细!$F$4:$F$2004,"采购入库"),2),ROUND(SUMIFS(包装物料出入库明细!$N$4:$N$2003,包装物料出入库明细!$D$4:$D$2003,$B393,包装物料出入库明细!$H$4:$H$2003,"采购入库"),2)))</f>
        <v>0</v>
      </c>
      <c r="F393" s="24"/>
      <c r="G393" s="26" t="str">
        <f t="shared" si="17"/>
        <v/>
      </c>
      <c r="H393" s="26" t="str">
        <f>IF($B393="","",IF($C393="筐子销售款",ROUND(SUMIFS(周转筐出入库明细!$P$4:$P$2004,周转筐出入库明细!$C$4:$C$2004,$B393,周转筐出入库明细!$F$4:$F$2004,"销售出库",周转筐出入库明细!$Q$4:$Q$2004,"已收讫"),2),ROUND(SUMIFS(包装物料出入库明细!$N$4:$N$2003,包装物料出入库明细!$D$4:$D$2003,$B393,包装物料出入库明细!$H$4:$H$2003,"销售出库",包装物料出入库明细!$P$4:$P$2003,"已收讫"),2)))</f>
        <v/>
      </c>
      <c r="I393" s="27"/>
    </row>
    <row r="394" spans="1:9">
      <c r="A394" s="22" t="str">
        <f t="shared" si="15"/>
        <v/>
      </c>
      <c r="B394" s="37" t="str">
        <f>IFERROR(INDEX(_自动清单!$CL$4:$CL$203,INT((ROW()-160)/2)+1),"")</f>
        <v/>
      </c>
      <c r="C394" s="37" t="str">
        <f t="shared" si="16"/>
        <v/>
      </c>
      <c r="D394" s="26">
        <f>IF($B394="",0,IF($C394="筐子销售款",ROUND(SUMIFS(周转筐出入库明细!$P$4:$P$2004,周转筐出入库明细!$C$4:$C$2004,$B394,周转筐出入库明细!$F$4:$F$2004,"销售出库"),2),ROUND(SUMIFS(包装物料出入库明细!$N$4:$N$2003,包装物料出入库明细!$D$4:$D$2003,$B394,包装物料出入库明细!$H$4:$H$2003,"销售出库"),2)))</f>
        <v>0</v>
      </c>
      <c r="E394" s="26">
        <f>IF($B394="",0,IF($C394="筐子销售款",ROUND(SUMIFS(周转筐出入库明细!$P$4:$P$2004,周转筐出入库明细!$C$4:$C$2004,$B394,周转筐出入库明细!$F$4:$F$2004,"采购入库"),2),ROUND(SUMIFS(包装物料出入库明细!$N$4:$N$2003,包装物料出入库明细!$D$4:$D$2003,$B394,包装物料出入库明细!$H$4:$H$2003,"采购入库"),2)))</f>
        <v>0</v>
      </c>
      <c r="F394" s="24"/>
      <c r="G394" s="26" t="str">
        <f t="shared" si="17"/>
        <v/>
      </c>
      <c r="H394" s="26" t="str">
        <f>IF($B394="","",IF($C394="筐子销售款",ROUND(SUMIFS(周转筐出入库明细!$P$4:$P$2004,周转筐出入库明细!$C$4:$C$2004,$B394,周转筐出入库明细!$F$4:$F$2004,"销售出库",周转筐出入库明细!$Q$4:$Q$2004,"已收讫"),2),ROUND(SUMIFS(包装物料出入库明细!$N$4:$N$2003,包装物料出入库明细!$D$4:$D$2003,$B394,包装物料出入库明细!$H$4:$H$2003,"销售出库",包装物料出入库明细!$P$4:$P$2003,"已收讫"),2)))</f>
        <v/>
      </c>
      <c r="I394" s="27"/>
    </row>
    <row r="395" spans="1:9">
      <c r="A395" s="22" t="str">
        <f t="shared" si="15"/>
        <v/>
      </c>
      <c r="B395" s="37" t="str">
        <f>IFERROR(INDEX(_自动清单!$CL$4:$CL$203,INT((ROW()-160)/2)+1),"")</f>
        <v/>
      </c>
      <c r="C395" s="37" t="str">
        <f t="shared" si="16"/>
        <v/>
      </c>
      <c r="D395" s="26">
        <f>IF($B395="",0,IF($C395="筐子销售款",ROUND(SUMIFS(周转筐出入库明细!$P$4:$P$2004,周转筐出入库明细!$C$4:$C$2004,$B395,周转筐出入库明细!$F$4:$F$2004,"销售出库"),2),ROUND(SUMIFS(包装物料出入库明细!$N$4:$N$2003,包装物料出入库明细!$D$4:$D$2003,$B395,包装物料出入库明细!$H$4:$H$2003,"销售出库"),2)))</f>
        <v>0</v>
      </c>
      <c r="E395" s="26">
        <f>IF($B395="",0,IF($C395="筐子销售款",ROUND(SUMIFS(周转筐出入库明细!$P$4:$P$2004,周转筐出入库明细!$C$4:$C$2004,$B395,周转筐出入库明细!$F$4:$F$2004,"采购入库"),2),ROUND(SUMIFS(包装物料出入库明细!$N$4:$N$2003,包装物料出入库明细!$D$4:$D$2003,$B395,包装物料出入库明细!$H$4:$H$2003,"采购入库"),2)))</f>
        <v>0</v>
      </c>
      <c r="F395" s="24"/>
      <c r="G395" s="26" t="str">
        <f t="shared" si="17"/>
        <v/>
      </c>
      <c r="H395" s="26" t="str">
        <f>IF($B395="","",IF($C395="筐子销售款",ROUND(SUMIFS(周转筐出入库明细!$P$4:$P$2004,周转筐出入库明细!$C$4:$C$2004,$B395,周转筐出入库明细!$F$4:$F$2004,"销售出库",周转筐出入库明细!$Q$4:$Q$2004,"已收讫"),2),ROUND(SUMIFS(包装物料出入库明细!$N$4:$N$2003,包装物料出入库明细!$D$4:$D$2003,$B395,包装物料出入库明细!$H$4:$H$2003,"销售出库",包装物料出入库明细!$P$4:$P$2003,"已收讫"),2)))</f>
        <v/>
      </c>
      <c r="I395" s="27"/>
    </row>
    <row r="396" spans="1:9">
      <c r="A396" s="22" t="str">
        <f t="shared" si="15"/>
        <v/>
      </c>
      <c r="B396" s="37" t="str">
        <f>IFERROR(INDEX(_自动清单!$CL$4:$CL$203,INT((ROW()-160)/2)+1),"")</f>
        <v/>
      </c>
      <c r="C396" s="37" t="str">
        <f t="shared" si="16"/>
        <v/>
      </c>
      <c r="D396" s="26">
        <f>IF($B396="",0,IF($C396="筐子销售款",ROUND(SUMIFS(周转筐出入库明细!$P$4:$P$2004,周转筐出入库明细!$C$4:$C$2004,$B396,周转筐出入库明细!$F$4:$F$2004,"销售出库"),2),ROUND(SUMIFS(包装物料出入库明细!$N$4:$N$2003,包装物料出入库明细!$D$4:$D$2003,$B396,包装物料出入库明细!$H$4:$H$2003,"销售出库"),2)))</f>
        <v>0</v>
      </c>
      <c r="E396" s="26">
        <f>IF($B396="",0,IF($C396="筐子销售款",ROUND(SUMIFS(周转筐出入库明细!$P$4:$P$2004,周转筐出入库明细!$C$4:$C$2004,$B396,周转筐出入库明细!$F$4:$F$2004,"采购入库"),2),ROUND(SUMIFS(包装物料出入库明细!$N$4:$N$2003,包装物料出入库明细!$D$4:$D$2003,$B396,包装物料出入库明细!$H$4:$H$2003,"采购入库"),2)))</f>
        <v>0</v>
      </c>
      <c r="F396" s="24"/>
      <c r="G396" s="26" t="str">
        <f t="shared" si="17"/>
        <v/>
      </c>
      <c r="H396" s="26" t="str">
        <f>IF($B396="","",IF($C396="筐子销售款",ROUND(SUMIFS(周转筐出入库明细!$P$4:$P$2004,周转筐出入库明细!$C$4:$C$2004,$B396,周转筐出入库明细!$F$4:$F$2004,"销售出库",周转筐出入库明细!$Q$4:$Q$2004,"已收讫"),2),ROUND(SUMIFS(包装物料出入库明细!$N$4:$N$2003,包装物料出入库明细!$D$4:$D$2003,$B396,包装物料出入库明细!$H$4:$H$2003,"销售出库",包装物料出入库明细!$P$4:$P$2003,"已收讫"),2)))</f>
        <v/>
      </c>
      <c r="I396" s="27"/>
    </row>
    <row r="397" spans="1:9">
      <c r="A397" s="22" t="str">
        <f t="shared" si="15"/>
        <v/>
      </c>
      <c r="B397" s="37" t="str">
        <f>IFERROR(INDEX(_自动清单!$CL$4:$CL$203,INT((ROW()-160)/2)+1),"")</f>
        <v/>
      </c>
      <c r="C397" s="37" t="str">
        <f t="shared" si="16"/>
        <v/>
      </c>
      <c r="D397" s="26">
        <f>IF($B397="",0,IF($C397="筐子销售款",ROUND(SUMIFS(周转筐出入库明细!$P$4:$P$2004,周转筐出入库明细!$C$4:$C$2004,$B397,周转筐出入库明细!$F$4:$F$2004,"销售出库"),2),ROUND(SUMIFS(包装物料出入库明细!$N$4:$N$2003,包装物料出入库明细!$D$4:$D$2003,$B397,包装物料出入库明细!$H$4:$H$2003,"销售出库"),2)))</f>
        <v>0</v>
      </c>
      <c r="E397" s="26">
        <f>IF($B397="",0,IF($C397="筐子销售款",ROUND(SUMIFS(周转筐出入库明细!$P$4:$P$2004,周转筐出入库明细!$C$4:$C$2004,$B397,周转筐出入库明细!$F$4:$F$2004,"采购入库"),2),ROUND(SUMIFS(包装物料出入库明细!$N$4:$N$2003,包装物料出入库明细!$D$4:$D$2003,$B397,包装物料出入库明细!$H$4:$H$2003,"采购入库"),2)))</f>
        <v>0</v>
      </c>
      <c r="F397" s="24"/>
      <c r="G397" s="26" t="str">
        <f t="shared" si="17"/>
        <v/>
      </c>
      <c r="H397" s="26" t="str">
        <f>IF($B397="","",IF($C397="筐子销售款",ROUND(SUMIFS(周转筐出入库明细!$P$4:$P$2004,周转筐出入库明细!$C$4:$C$2004,$B397,周转筐出入库明细!$F$4:$F$2004,"销售出库",周转筐出入库明细!$Q$4:$Q$2004,"已收讫"),2),ROUND(SUMIFS(包装物料出入库明细!$N$4:$N$2003,包装物料出入库明细!$D$4:$D$2003,$B397,包装物料出入库明细!$H$4:$H$2003,"销售出库",包装物料出入库明细!$P$4:$P$2003,"已收讫"),2)))</f>
        <v/>
      </c>
      <c r="I397" s="27"/>
    </row>
    <row r="398" spans="1:9">
      <c r="A398" s="22" t="str">
        <f t="shared" si="15"/>
        <v/>
      </c>
      <c r="B398" s="37" t="str">
        <f>IFERROR(INDEX(_自动清单!$CL$4:$CL$203,INT((ROW()-160)/2)+1),"")</f>
        <v/>
      </c>
      <c r="C398" s="37" t="str">
        <f t="shared" si="16"/>
        <v/>
      </c>
      <c r="D398" s="26">
        <f>IF($B398="",0,IF($C398="筐子销售款",ROUND(SUMIFS(周转筐出入库明细!$P$4:$P$2004,周转筐出入库明细!$C$4:$C$2004,$B398,周转筐出入库明细!$F$4:$F$2004,"销售出库"),2),ROUND(SUMIFS(包装物料出入库明细!$N$4:$N$2003,包装物料出入库明细!$D$4:$D$2003,$B398,包装物料出入库明细!$H$4:$H$2003,"销售出库"),2)))</f>
        <v>0</v>
      </c>
      <c r="E398" s="26">
        <f>IF($B398="",0,IF($C398="筐子销售款",ROUND(SUMIFS(周转筐出入库明细!$P$4:$P$2004,周转筐出入库明细!$C$4:$C$2004,$B398,周转筐出入库明细!$F$4:$F$2004,"采购入库"),2),ROUND(SUMIFS(包装物料出入库明细!$N$4:$N$2003,包装物料出入库明细!$D$4:$D$2003,$B398,包装物料出入库明细!$H$4:$H$2003,"采购入库"),2)))</f>
        <v>0</v>
      </c>
      <c r="F398" s="24"/>
      <c r="G398" s="26" t="str">
        <f t="shared" si="17"/>
        <v/>
      </c>
      <c r="H398" s="26" t="str">
        <f>IF($B398="","",IF($C398="筐子销售款",ROUND(SUMIFS(周转筐出入库明细!$P$4:$P$2004,周转筐出入库明细!$C$4:$C$2004,$B398,周转筐出入库明细!$F$4:$F$2004,"销售出库",周转筐出入库明细!$Q$4:$Q$2004,"已收讫"),2),ROUND(SUMIFS(包装物料出入库明细!$N$4:$N$2003,包装物料出入库明细!$D$4:$D$2003,$B398,包装物料出入库明细!$H$4:$H$2003,"销售出库",包装物料出入库明细!$P$4:$P$2003,"已收讫"),2)))</f>
        <v/>
      </c>
      <c r="I398" s="27"/>
    </row>
    <row r="399" spans="1:9">
      <c r="A399" s="22" t="str">
        <f t="shared" si="15"/>
        <v/>
      </c>
      <c r="B399" s="37" t="str">
        <f>IFERROR(INDEX(_自动清单!$CL$4:$CL$203,INT((ROW()-160)/2)+1),"")</f>
        <v/>
      </c>
      <c r="C399" s="37" t="str">
        <f t="shared" si="16"/>
        <v/>
      </c>
      <c r="D399" s="26">
        <f>IF($B399="",0,IF($C399="筐子销售款",ROUND(SUMIFS(周转筐出入库明细!$P$4:$P$2004,周转筐出入库明细!$C$4:$C$2004,$B399,周转筐出入库明细!$F$4:$F$2004,"销售出库"),2),ROUND(SUMIFS(包装物料出入库明细!$N$4:$N$2003,包装物料出入库明细!$D$4:$D$2003,$B399,包装物料出入库明细!$H$4:$H$2003,"销售出库"),2)))</f>
        <v>0</v>
      </c>
      <c r="E399" s="26">
        <f>IF($B399="",0,IF($C399="筐子销售款",ROUND(SUMIFS(周转筐出入库明细!$P$4:$P$2004,周转筐出入库明细!$C$4:$C$2004,$B399,周转筐出入库明细!$F$4:$F$2004,"采购入库"),2),ROUND(SUMIFS(包装物料出入库明细!$N$4:$N$2003,包装物料出入库明细!$D$4:$D$2003,$B399,包装物料出入库明细!$H$4:$H$2003,"采购入库"),2)))</f>
        <v>0</v>
      </c>
      <c r="F399" s="24"/>
      <c r="G399" s="26" t="str">
        <f t="shared" si="17"/>
        <v/>
      </c>
      <c r="H399" s="26" t="str">
        <f>IF($B399="","",IF($C399="筐子销售款",ROUND(SUMIFS(周转筐出入库明细!$P$4:$P$2004,周转筐出入库明细!$C$4:$C$2004,$B399,周转筐出入库明细!$F$4:$F$2004,"销售出库",周转筐出入库明细!$Q$4:$Q$2004,"已收讫"),2),ROUND(SUMIFS(包装物料出入库明细!$N$4:$N$2003,包装物料出入库明细!$D$4:$D$2003,$B399,包装物料出入库明细!$H$4:$H$2003,"销售出库",包装物料出入库明细!$P$4:$P$2003,"已收讫"),2)))</f>
        <v/>
      </c>
      <c r="I399" s="27"/>
    </row>
    <row r="400" spans="1:9">
      <c r="A400" s="22" t="str">
        <f t="shared" si="15"/>
        <v/>
      </c>
      <c r="B400" s="37" t="str">
        <f>IFERROR(INDEX(_自动清单!$CL$4:$CL$203,INT((ROW()-160)/2)+1),"")</f>
        <v/>
      </c>
      <c r="C400" s="37" t="str">
        <f t="shared" si="16"/>
        <v/>
      </c>
      <c r="D400" s="26">
        <f>IF($B400="",0,IF($C400="筐子销售款",ROUND(SUMIFS(周转筐出入库明细!$P$4:$P$2004,周转筐出入库明细!$C$4:$C$2004,$B400,周转筐出入库明细!$F$4:$F$2004,"销售出库"),2),ROUND(SUMIFS(包装物料出入库明细!$N$4:$N$2003,包装物料出入库明细!$D$4:$D$2003,$B400,包装物料出入库明细!$H$4:$H$2003,"销售出库"),2)))</f>
        <v>0</v>
      </c>
      <c r="E400" s="26">
        <f>IF($B400="",0,IF($C400="筐子销售款",ROUND(SUMIFS(周转筐出入库明细!$P$4:$P$2004,周转筐出入库明细!$C$4:$C$2004,$B400,周转筐出入库明细!$F$4:$F$2004,"采购入库"),2),ROUND(SUMIFS(包装物料出入库明细!$N$4:$N$2003,包装物料出入库明细!$D$4:$D$2003,$B400,包装物料出入库明细!$H$4:$H$2003,"采购入库"),2)))</f>
        <v>0</v>
      </c>
      <c r="F400" s="24"/>
      <c r="G400" s="26" t="str">
        <f t="shared" si="17"/>
        <v/>
      </c>
      <c r="H400" s="26" t="str">
        <f>IF($B400="","",IF($C400="筐子销售款",ROUND(SUMIFS(周转筐出入库明细!$P$4:$P$2004,周转筐出入库明细!$C$4:$C$2004,$B400,周转筐出入库明细!$F$4:$F$2004,"销售出库",周转筐出入库明细!$Q$4:$Q$2004,"已收讫"),2),ROUND(SUMIFS(包装物料出入库明细!$N$4:$N$2003,包装物料出入库明细!$D$4:$D$2003,$B400,包装物料出入库明细!$H$4:$H$2003,"销售出库",包装物料出入库明细!$P$4:$P$2003,"已收讫"),2)))</f>
        <v/>
      </c>
      <c r="I400" s="27"/>
    </row>
    <row r="401" spans="1:9">
      <c r="A401" s="22" t="str">
        <f t="shared" si="15"/>
        <v/>
      </c>
      <c r="B401" s="37" t="str">
        <f>IFERROR(INDEX(_自动清单!$CL$4:$CL$203,INT((ROW()-160)/2)+1),"")</f>
        <v/>
      </c>
      <c r="C401" s="37" t="str">
        <f t="shared" si="16"/>
        <v/>
      </c>
      <c r="D401" s="26">
        <f>IF($B401="",0,IF($C401="筐子销售款",ROUND(SUMIFS(周转筐出入库明细!$P$4:$P$2004,周转筐出入库明细!$C$4:$C$2004,$B401,周转筐出入库明细!$F$4:$F$2004,"销售出库"),2),ROUND(SUMIFS(包装物料出入库明细!$N$4:$N$2003,包装物料出入库明细!$D$4:$D$2003,$B401,包装物料出入库明细!$H$4:$H$2003,"销售出库"),2)))</f>
        <v>0</v>
      </c>
      <c r="E401" s="26">
        <f>IF($B401="",0,IF($C401="筐子销售款",ROUND(SUMIFS(周转筐出入库明细!$P$4:$P$2004,周转筐出入库明细!$C$4:$C$2004,$B401,周转筐出入库明细!$F$4:$F$2004,"采购入库"),2),ROUND(SUMIFS(包装物料出入库明细!$N$4:$N$2003,包装物料出入库明细!$D$4:$D$2003,$B401,包装物料出入库明细!$H$4:$H$2003,"采购入库"),2)))</f>
        <v>0</v>
      </c>
      <c r="F401" s="24"/>
      <c r="G401" s="26" t="str">
        <f t="shared" si="17"/>
        <v/>
      </c>
      <c r="H401" s="26" t="str">
        <f>IF($B401="","",IF($C401="筐子销售款",ROUND(SUMIFS(周转筐出入库明细!$P$4:$P$2004,周转筐出入库明细!$C$4:$C$2004,$B401,周转筐出入库明细!$F$4:$F$2004,"销售出库",周转筐出入库明细!$Q$4:$Q$2004,"已收讫"),2),ROUND(SUMIFS(包装物料出入库明细!$N$4:$N$2003,包装物料出入库明细!$D$4:$D$2003,$B401,包装物料出入库明细!$H$4:$H$2003,"销售出库",包装物料出入库明细!$P$4:$P$2003,"已收讫"),2)))</f>
        <v/>
      </c>
      <c r="I401" s="27"/>
    </row>
    <row r="402" spans="1:9">
      <c r="A402" s="22" t="str">
        <f t="shared" si="15"/>
        <v/>
      </c>
      <c r="B402" s="37" t="str">
        <f>IFERROR(INDEX(_自动清单!$CL$4:$CL$203,INT((ROW()-160)/2)+1),"")</f>
        <v/>
      </c>
      <c r="C402" s="37" t="str">
        <f t="shared" si="16"/>
        <v/>
      </c>
      <c r="D402" s="26">
        <f>IF($B402="",0,IF($C402="筐子销售款",ROUND(SUMIFS(周转筐出入库明细!$P$4:$P$2004,周转筐出入库明细!$C$4:$C$2004,$B402,周转筐出入库明细!$F$4:$F$2004,"销售出库"),2),ROUND(SUMIFS(包装物料出入库明细!$N$4:$N$2003,包装物料出入库明细!$D$4:$D$2003,$B402,包装物料出入库明细!$H$4:$H$2003,"销售出库"),2)))</f>
        <v>0</v>
      </c>
      <c r="E402" s="26">
        <f>IF($B402="",0,IF($C402="筐子销售款",ROUND(SUMIFS(周转筐出入库明细!$P$4:$P$2004,周转筐出入库明细!$C$4:$C$2004,$B402,周转筐出入库明细!$F$4:$F$2004,"采购入库"),2),ROUND(SUMIFS(包装物料出入库明细!$N$4:$N$2003,包装物料出入库明细!$D$4:$D$2003,$B402,包装物料出入库明细!$H$4:$H$2003,"采购入库"),2)))</f>
        <v>0</v>
      </c>
      <c r="F402" s="24"/>
      <c r="G402" s="26" t="str">
        <f t="shared" si="17"/>
        <v/>
      </c>
      <c r="H402" s="26" t="str">
        <f>IF($B402="","",IF($C402="筐子销售款",ROUND(SUMIFS(周转筐出入库明细!$P$4:$P$2004,周转筐出入库明细!$C$4:$C$2004,$B402,周转筐出入库明细!$F$4:$F$2004,"销售出库",周转筐出入库明细!$Q$4:$Q$2004,"已收讫"),2),ROUND(SUMIFS(包装物料出入库明细!$N$4:$N$2003,包装物料出入库明细!$D$4:$D$2003,$B402,包装物料出入库明细!$H$4:$H$2003,"销售出库",包装物料出入库明细!$P$4:$P$2003,"已收讫"),2)))</f>
        <v/>
      </c>
      <c r="I402" s="27"/>
    </row>
    <row r="403" spans="1:9">
      <c r="A403" s="22" t="str">
        <f t="shared" si="15"/>
        <v/>
      </c>
      <c r="B403" s="37" t="str">
        <f>IFERROR(INDEX(_自动清单!$CL$4:$CL$203,INT((ROW()-160)/2)+1),"")</f>
        <v/>
      </c>
      <c r="C403" s="37" t="str">
        <f t="shared" si="16"/>
        <v/>
      </c>
      <c r="D403" s="26">
        <f>IF($B403="",0,IF($C403="筐子销售款",ROUND(SUMIFS(周转筐出入库明细!$P$4:$P$2004,周转筐出入库明细!$C$4:$C$2004,$B403,周转筐出入库明细!$F$4:$F$2004,"销售出库"),2),ROUND(SUMIFS(包装物料出入库明细!$N$4:$N$2003,包装物料出入库明细!$D$4:$D$2003,$B403,包装物料出入库明细!$H$4:$H$2003,"销售出库"),2)))</f>
        <v>0</v>
      </c>
      <c r="E403" s="26">
        <f>IF($B403="",0,IF($C403="筐子销售款",ROUND(SUMIFS(周转筐出入库明细!$P$4:$P$2004,周转筐出入库明细!$C$4:$C$2004,$B403,周转筐出入库明细!$F$4:$F$2004,"采购入库"),2),ROUND(SUMIFS(包装物料出入库明细!$N$4:$N$2003,包装物料出入库明细!$D$4:$D$2003,$B403,包装物料出入库明细!$H$4:$H$2003,"采购入库"),2)))</f>
        <v>0</v>
      </c>
      <c r="F403" s="24"/>
      <c r="G403" s="26" t="str">
        <f t="shared" si="17"/>
        <v/>
      </c>
      <c r="H403" s="26" t="str">
        <f>IF($B403="","",IF($C403="筐子销售款",ROUND(SUMIFS(周转筐出入库明细!$P$4:$P$2004,周转筐出入库明细!$C$4:$C$2004,$B403,周转筐出入库明细!$F$4:$F$2004,"销售出库",周转筐出入库明细!$Q$4:$Q$2004,"已收讫"),2),ROUND(SUMIFS(包装物料出入库明细!$N$4:$N$2003,包装物料出入库明细!$D$4:$D$2003,$B403,包装物料出入库明细!$H$4:$H$2003,"销售出库",包装物料出入库明细!$P$4:$P$2003,"已收讫"),2)))</f>
        <v/>
      </c>
      <c r="I403" s="27"/>
    </row>
    <row r="404" spans="1:9">
      <c r="A404" s="22" t="str">
        <f t="shared" si="15"/>
        <v/>
      </c>
      <c r="B404" s="37" t="str">
        <f>IFERROR(INDEX(_自动清单!$CL$4:$CL$203,INT((ROW()-160)/2)+1),"")</f>
        <v/>
      </c>
      <c r="C404" s="37" t="str">
        <f t="shared" si="16"/>
        <v/>
      </c>
      <c r="D404" s="26">
        <f>IF($B404="",0,IF($C404="筐子销售款",ROUND(SUMIFS(周转筐出入库明细!$P$4:$P$2004,周转筐出入库明细!$C$4:$C$2004,$B404,周转筐出入库明细!$F$4:$F$2004,"销售出库"),2),ROUND(SUMIFS(包装物料出入库明细!$N$4:$N$2003,包装物料出入库明细!$D$4:$D$2003,$B404,包装物料出入库明细!$H$4:$H$2003,"销售出库"),2)))</f>
        <v>0</v>
      </c>
      <c r="E404" s="26">
        <f>IF($B404="",0,IF($C404="筐子销售款",ROUND(SUMIFS(周转筐出入库明细!$P$4:$P$2004,周转筐出入库明细!$C$4:$C$2004,$B404,周转筐出入库明细!$F$4:$F$2004,"采购入库"),2),ROUND(SUMIFS(包装物料出入库明细!$N$4:$N$2003,包装物料出入库明细!$D$4:$D$2003,$B404,包装物料出入库明细!$H$4:$H$2003,"采购入库"),2)))</f>
        <v>0</v>
      </c>
      <c r="F404" s="24"/>
      <c r="G404" s="26" t="str">
        <f t="shared" si="17"/>
        <v/>
      </c>
      <c r="H404" s="26" t="str">
        <f>IF($B404="","",IF($C404="筐子销售款",ROUND(SUMIFS(周转筐出入库明细!$P$4:$P$2004,周转筐出入库明细!$C$4:$C$2004,$B404,周转筐出入库明细!$F$4:$F$2004,"销售出库",周转筐出入库明细!$Q$4:$Q$2004,"已收讫"),2),ROUND(SUMIFS(包装物料出入库明细!$N$4:$N$2003,包装物料出入库明细!$D$4:$D$2003,$B404,包装物料出入库明细!$H$4:$H$2003,"销售出库",包装物料出入库明细!$P$4:$P$2003,"已收讫"),2)))</f>
        <v/>
      </c>
      <c r="I404" s="27"/>
    </row>
    <row r="405" spans="1:9">
      <c r="A405" s="22" t="str">
        <f t="shared" si="15"/>
        <v/>
      </c>
      <c r="B405" s="37" t="str">
        <f>IFERROR(INDEX(_自动清单!$CL$4:$CL$203,INT((ROW()-160)/2)+1),"")</f>
        <v/>
      </c>
      <c r="C405" s="37" t="str">
        <f t="shared" si="16"/>
        <v/>
      </c>
      <c r="D405" s="26">
        <f>IF($B405="",0,IF($C405="筐子销售款",ROUND(SUMIFS(周转筐出入库明细!$P$4:$P$2004,周转筐出入库明细!$C$4:$C$2004,$B405,周转筐出入库明细!$F$4:$F$2004,"销售出库"),2),ROUND(SUMIFS(包装物料出入库明细!$N$4:$N$2003,包装物料出入库明细!$D$4:$D$2003,$B405,包装物料出入库明细!$H$4:$H$2003,"销售出库"),2)))</f>
        <v>0</v>
      </c>
      <c r="E405" s="26">
        <f>IF($B405="",0,IF($C405="筐子销售款",ROUND(SUMIFS(周转筐出入库明细!$P$4:$P$2004,周转筐出入库明细!$C$4:$C$2004,$B405,周转筐出入库明细!$F$4:$F$2004,"采购入库"),2),ROUND(SUMIFS(包装物料出入库明细!$N$4:$N$2003,包装物料出入库明细!$D$4:$D$2003,$B405,包装物料出入库明细!$H$4:$H$2003,"采购入库"),2)))</f>
        <v>0</v>
      </c>
      <c r="F405" s="24"/>
      <c r="G405" s="26" t="str">
        <f t="shared" si="17"/>
        <v/>
      </c>
      <c r="H405" s="26" t="str">
        <f>IF($B405="","",IF($C405="筐子销售款",ROUND(SUMIFS(周转筐出入库明细!$P$4:$P$2004,周转筐出入库明细!$C$4:$C$2004,$B405,周转筐出入库明细!$F$4:$F$2004,"销售出库",周转筐出入库明细!$Q$4:$Q$2004,"已收讫"),2),ROUND(SUMIFS(包装物料出入库明细!$N$4:$N$2003,包装物料出入库明细!$D$4:$D$2003,$B405,包装物料出入库明细!$H$4:$H$2003,"销售出库",包装物料出入库明细!$P$4:$P$2003,"已收讫"),2)))</f>
        <v/>
      </c>
      <c r="I405" s="27"/>
    </row>
    <row r="406" spans="1:9">
      <c r="A406" s="22" t="str">
        <f t="shared" si="15"/>
        <v/>
      </c>
      <c r="B406" s="37" t="str">
        <f>IFERROR(INDEX(_自动清单!$CL$4:$CL$203,INT((ROW()-160)/2)+1),"")</f>
        <v/>
      </c>
      <c r="C406" s="37" t="str">
        <f t="shared" si="16"/>
        <v/>
      </c>
      <c r="D406" s="26">
        <f>IF($B406="",0,IF($C406="筐子销售款",ROUND(SUMIFS(周转筐出入库明细!$P$4:$P$2004,周转筐出入库明细!$C$4:$C$2004,$B406,周转筐出入库明细!$F$4:$F$2004,"销售出库"),2),ROUND(SUMIFS(包装物料出入库明细!$N$4:$N$2003,包装物料出入库明细!$D$4:$D$2003,$B406,包装物料出入库明细!$H$4:$H$2003,"销售出库"),2)))</f>
        <v>0</v>
      </c>
      <c r="E406" s="26">
        <f>IF($B406="",0,IF($C406="筐子销售款",ROUND(SUMIFS(周转筐出入库明细!$P$4:$P$2004,周转筐出入库明细!$C$4:$C$2004,$B406,周转筐出入库明细!$F$4:$F$2004,"采购入库"),2),ROUND(SUMIFS(包装物料出入库明细!$N$4:$N$2003,包装物料出入库明细!$D$4:$D$2003,$B406,包装物料出入库明细!$H$4:$H$2003,"采购入库"),2)))</f>
        <v>0</v>
      </c>
      <c r="F406" s="24"/>
      <c r="G406" s="26" t="str">
        <f t="shared" si="17"/>
        <v/>
      </c>
      <c r="H406" s="26" t="str">
        <f>IF($B406="","",IF($C406="筐子销售款",ROUND(SUMIFS(周转筐出入库明细!$P$4:$P$2004,周转筐出入库明细!$C$4:$C$2004,$B406,周转筐出入库明细!$F$4:$F$2004,"销售出库",周转筐出入库明细!$Q$4:$Q$2004,"已收讫"),2),ROUND(SUMIFS(包装物料出入库明细!$N$4:$N$2003,包装物料出入库明细!$D$4:$D$2003,$B406,包装物料出入库明细!$H$4:$H$2003,"销售出库",包装物料出入库明细!$P$4:$P$2003,"已收讫"),2)))</f>
        <v/>
      </c>
      <c r="I406" s="27"/>
    </row>
    <row r="407" spans="1:9">
      <c r="A407" s="22" t="str">
        <f t="shared" si="15"/>
        <v/>
      </c>
      <c r="B407" s="37" t="str">
        <f>IFERROR(INDEX(_自动清单!$CL$4:$CL$203,INT((ROW()-160)/2)+1),"")</f>
        <v/>
      </c>
      <c r="C407" s="37" t="str">
        <f t="shared" si="16"/>
        <v/>
      </c>
      <c r="D407" s="26">
        <f>IF($B407="",0,IF($C407="筐子销售款",ROUND(SUMIFS(周转筐出入库明细!$P$4:$P$2004,周转筐出入库明细!$C$4:$C$2004,$B407,周转筐出入库明细!$F$4:$F$2004,"销售出库"),2),ROUND(SUMIFS(包装物料出入库明细!$N$4:$N$2003,包装物料出入库明细!$D$4:$D$2003,$B407,包装物料出入库明细!$H$4:$H$2003,"销售出库"),2)))</f>
        <v>0</v>
      </c>
      <c r="E407" s="26">
        <f>IF($B407="",0,IF($C407="筐子销售款",ROUND(SUMIFS(周转筐出入库明细!$P$4:$P$2004,周转筐出入库明细!$C$4:$C$2004,$B407,周转筐出入库明细!$F$4:$F$2004,"采购入库"),2),ROUND(SUMIFS(包装物料出入库明细!$N$4:$N$2003,包装物料出入库明细!$D$4:$D$2003,$B407,包装物料出入库明细!$H$4:$H$2003,"采购入库"),2)))</f>
        <v>0</v>
      </c>
      <c r="F407" s="24"/>
      <c r="G407" s="26" t="str">
        <f t="shared" si="17"/>
        <v/>
      </c>
      <c r="H407" s="26" t="str">
        <f>IF($B407="","",IF($C407="筐子销售款",ROUND(SUMIFS(周转筐出入库明细!$P$4:$P$2004,周转筐出入库明细!$C$4:$C$2004,$B407,周转筐出入库明细!$F$4:$F$2004,"销售出库",周转筐出入库明细!$Q$4:$Q$2004,"已收讫"),2),ROUND(SUMIFS(包装物料出入库明细!$N$4:$N$2003,包装物料出入库明细!$D$4:$D$2003,$B407,包装物料出入库明细!$H$4:$H$2003,"销售出库",包装物料出入库明细!$P$4:$P$2003,"已收讫"),2)))</f>
        <v/>
      </c>
      <c r="I407" s="27"/>
    </row>
    <row r="408" spans="1:9">
      <c r="A408" s="22" t="str">
        <f t="shared" si="15"/>
        <v/>
      </c>
      <c r="B408" s="37" t="str">
        <f>IFERROR(INDEX(_自动清单!$CL$4:$CL$203,INT((ROW()-160)/2)+1),"")</f>
        <v/>
      </c>
      <c r="C408" s="37" t="str">
        <f t="shared" si="16"/>
        <v/>
      </c>
      <c r="D408" s="26">
        <f>IF($B408="",0,IF($C408="筐子销售款",ROUND(SUMIFS(周转筐出入库明细!$P$4:$P$2004,周转筐出入库明细!$C$4:$C$2004,$B408,周转筐出入库明细!$F$4:$F$2004,"销售出库"),2),ROUND(SUMIFS(包装物料出入库明细!$N$4:$N$2003,包装物料出入库明细!$D$4:$D$2003,$B408,包装物料出入库明细!$H$4:$H$2003,"销售出库"),2)))</f>
        <v>0</v>
      </c>
      <c r="E408" s="26">
        <f>IF($B408="",0,IF($C408="筐子销售款",ROUND(SUMIFS(周转筐出入库明细!$P$4:$P$2004,周转筐出入库明细!$C$4:$C$2004,$B408,周转筐出入库明细!$F$4:$F$2004,"采购入库"),2),ROUND(SUMIFS(包装物料出入库明细!$N$4:$N$2003,包装物料出入库明细!$D$4:$D$2003,$B408,包装物料出入库明细!$H$4:$H$2003,"采购入库"),2)))</f>
        <v>0</v>
      </c>
      <c r="F408" s="24"/>
      <c r="G408" s="26" t="str">
        <f t="shared" si="17"/>
        <v/>
      </c>
      <c r="H408" s="26" t="str">
        <f>IF($B408="","",IF($C408="筐子销售款",ROUND(SUMIFS(周转筐出入库明细!$P$4:$P$2004,周转筐出入库明细!$C$4:$C$2004,$B408,周转筐出入库明细!$F$4:$F$2004,"销售出库",周转筐出入库明细!$Q$4:$Q$2004,"已收讫"),2),ROUND(SUMIFS(包装物料出入库明细!$N$4:$N$2003,包装物料出入库明细!$D$4:$D$2003,$B408,包装物料出入库明细!$H$4:$H$2003,"销售出库",包装物料出入库明细!$P$4:$P$2003,"已收讫"),2)))</f>
        <v/>
      </c>
      <c r="I408" s="27"/>
    </row>
    <row r="409" spans="1:9">
      <c r="A409" s="22" t="str">
        <f t="shared" si="15"/>
        <v/>
      </c>
      <c r="B409" s="37" t="str">
        <f>IFERROR(INDEX(_自动清单!$CL$4:$CL$203,INT((ROW()-160)/2)+1),"")</f>
        <v/>
      </c>
      <c r="C409" s="37" t="str">
        <f t="shared" si="16"/>
        <v/>
      </c>
      <c r="D409" s="26">
        <f>IF($B409="",0,IF($C409="筐子销售款",ROUND(SUMIFS(周转筐出入库明细!$P$4:$P$2004,周转筐出入库明细!$C$4:$C$2004,$B409,周转筐出入库明细!$F$4:$F$2004,"销售出库"),2),ROUND(SUMIFS(包装物料出入库明细!$N$4:$N$2003,包装物料出入库明细!$D$4:$D$2003,$B409,包装物料出入库明细!$H$4:$H$2003,"销售出库"),2)))</f>
        <v>0</v>
      </c>
      <c r="E409" s="26">
        <f>IF($B409="",0,IF($C409="筐子销售款",ROUND(SUMIFS(周转筐出入库明细!$P$4:$P$2004,周转筐出入库明细!$C$4:$C$2004,$B409,周转筐出入库明细!$F$4:$F$2004,"采购入库"),2),ROUND(SUMIFS(包装物料出入库明细!$N$4:$N$2003,包装物料出入库明细!$D$4:$D$2003,$B409,包装物料出入库明细!$H$4:$H$2003,"采购入库"),2)))</f>
        <v>0</v>
      </c>
      <c r="F409" s="24"/>
      <c r="G409" s="26" t="str">
        <f t="shared" si="17"/>
        <v/>
      </c>
      <c r="H409" s="26" t="str">
        <f>IF($B409="","",IF($C409="筐子销售款",ROUND(SUMIFS(周转筐出入库明细!$P$4:$P$2004,周转筐出入库明细!$C$4:$C$2004,$B409,周转筐出入库明细!$F$4:$F$2004,"销售出库",周转筐出入库明细!$Q$4:$Q$2004,"已收讫"),2),ROUND(SUMIFS(包装物料出入库明细!$N$4:$N$2003,包装物料出入库明细!$D$4:$D$2003,$B409,包装物料出入库明细!$H$4:$H$2003,"销售出库",包装物料出入库明细!$P$4:$P$2003,"已收讫"),2)))</f>
        <v/>
      </c>
      <c r="I409" s="27"/>
    </row>
    <row r="410" spans="1:9">
      <c r="A410" s="22" t="str">
        <f t="shared" si="15"/>
        <v/>
      </c>
      <c r="B410" s="37" t="str">
        <f>IFERROR(INDEX(_自动清单!$CL$4:$CL$203,INT((ROW()-160)/2)+1),"")</f>
        <v/>
      </c>
      <c r="C410" s="37" t="str">
        <f t="shared" si="16"/>
        <v/>
      </c>
      <c r="D410" s="26">
        <f>IF($B410="",0,IF($C410="筐子销售款",ROUND(SUMIFS(周转筐出入库明细!$P$4:$P$2004,周转筐出入库明细!$C$4:$C$2004,$B410,周转筐出入库明细!$F$4:$F$2004,"销售出库"),2),ROUND(SUMIFS(包装物料出入库明细!$N$4:$N$2003,包装物料出入库明细!$D$4:$D$2003,$B410,包装物料出入库明细!$H$4:$H$2003,"销售出库"),2)))</f>
        <v>0</v>
      </c>
      <c r="E410" s="26">
        <f>IF($B410="",0,IF($C410="筐子销售款",ROUND(SUMIFS(周转筐出入库明细!$P$4:$P$2004,周转筐出入库明细!$C$4:$C$2004,$B410,周转筐出入库明细!$F$4:$F$2004,"采购入库"),2),ROUND(SUMIFS(包装物料出入库明细!$N$4:$N$2003,包装物料出入库明细!$D$4:$D$2003,$B410,包装物料出入库明细!$H$4:$H$2003,"采购入库"),2)))</f>
        <v>0</v>
      </c>
      <c r="F410" s="24"/>
      <c r="G410" s="26" t="str">
        <f t="shared" si="17"/>
        <v/>
      </c>
      <c r="H410" s="26" t="str">
        <f>IF($B410="","",IF($C410="筐子销售款",ROUND(SUMIFS(周转筐出入库明细!$P$4:$P$2004,周转筐出入库明细!$C$4:$C$2004,$B410,周转筐出入库明细!$F$4:$F$2004,"销售出库",周转筐出入库明细!$Q$4:$Q$2004,"已收讫"),2),ROUND(SUMIFS(包装物料出入库明细!$N$4:$N$2003,包装物料出入库明细!$D$4:$D$2003,$B410,包装物料出入库明细!$H$4:$H$2003,"销售出库",包装物料出入库明细!$P$4:$P$2003,"已收讫"),2)))</f>
        <v/>
      </c>
      <c r="I410" s="27"/>
    </row>
    <row r="411" spans="1:9">
      <c r="A411" s="22" t="str">
        <f t="shared" si="15"/>
        <v/>
      </c>
      <c r="B411" s="37" t="str">
        <f>IFERROR(INDEX(_自动清单!$CL$4:$CL$203,INT((ROW()-160)/2)+1),"")</f>
        <v/>
      </c>
      <c r="C411" s="37" t="str">
        <f t="shared" si="16"/>
        <v/>
      </c>
      <c r="D411" s="26">
        <f>IF($B411="",0,IF($C411="筐子销售款",ROUND(SUMIFS(周转筐出入库明细!$P$4:$P$2004,周转筐出入库明细!$C$4:$C$2004,$B411,周转筐出入库明细!$F$4:$F$2004,"销售出库"),2),ROUND(SUMIFS(包装物料出入库明细!$N$4:$N$2003,包装物料出入库明细!$D$4:$D$2003,$B411,包装物料出入库明细!$H$4:$H$2003,"销售出库"),2)))</f>
        <v>0</v>
      </c>
      <c r="E411" s="26">
        <f>IF($B411="",0,IF($C411="筐子销售款",ROUND(SUMIFS(周转筐出入库明细!$P$4:$P$2004,周转筐出入库明细!$C$4:$C$2004,$B411,周转筐出入库明细!$F$4:$F$2004,"采购入库"),2),ROUND(SUMIFS(包装物料出入库明细!$N$4:$N$2003,包装物料出入库明细!$D$4:$D$2003,$B411,包装物料出入库明细!$H$4:$H$2003,"采购入库"),2)))</f>
        <v>0</v>
      </c>
      <c r="F411" s="24"/>
      <c r="G411" s="26" t="str">
        <f t="shared" si="17"/>
        <v/>
      </c>
      <c r="H411" s="26" t="str">
        <f>IF($B411="","",IF($C411="筐子销售款",ROUND(SUMIFS(周转筐出入库明细!$P$4:$P$2004,周转筐出入库明细!$C$4:$C$2004,$B411,周转筐出入库明细!$F$4:$F$2004,"销售出库",周转筐出入库明细!$Q$4:$Q$2004,"已收讫"),2),ROUND(SUMIFS(包装物料出入库明细!$N$4:$N$2003,包装物料出入库明细!$D$4:$D$2003,$B411,包装物料出入库明细!$H$4:$H$2003,"销售出库",包装物料出入库明细!$P$4:$P$2003,"已收讫"),2)))</f>
        <v/>
      </c>
      <c r="I411" s="27"/>
    </row>
    <row r="412" spans="1:9">
      <c r="A412" s="22" t="str">
        <f t="shared" si="15"/>
        <v/>
      </c>
      <c r="B412" s="37" t="str">
        <f>IFERROR(INDEX(_自动清单!$CL$4:$CL$203,INT((ROW()-160)/2)+1),"")</f>
        <v/>
      </c>
      <c r="C412" s="37" t="str">
        <f t="shared" si="16"/>
        <v/>
      </c>
      <c r="D412" s="26">
        <f>IF($B412="",0,IF($C412="筐子销售款",ROUND(SUMIFS(周转筐出入库明细!$P$4:$P$2004,周转筐出入库明细!$C$4:$C$2004,$B412,周转筐出入库明细!$F$4:$F$2004,"销售出库"),2),ROUND(SUMIFS(包装物料出入库明细!$N$4:$N$2003,包装物料出入库明细!$D$4:$D$2003,$B412,包装物料出入库明细!$H$4:$H$2003,"销售出库"),2)))</f>
        <v>0</v>
      </c>
      <c r="E412" s="26">
        <f>IF($B412="",0,IF($C412="筐子销售款",ROUND(SUMIFS(周转筐出入库明细!$P$4:$P$2004,周转筐出入库明细!$C$4:$C$2004,$B412,周转筐出入库明细!$F$4:$F$2004,"采购入库"),2),ROUND(SUMIFS(包装物料出入库明细!$N$4:$N$2003,包装物料出入库明细!$D$4:$D$2003,$B412,包装物料出入库明细!$H$4:$H$2003,"采购入库"),2)))</f>
        <v>0</v>
      </c>
      <c r="F412" s="24"/>
      <c r="G412" s="26" t="str">
        <f t="shared" si="17"/>
        <v/>
      </c>
      <c r="H412" s="26" t="str">
        <f>IF($B412="","",IF($C412="筐子销售款",ROUND(SUMIFS(周转筐出入库明细!$P$4:$P$2004,周转筐出入库明细!$C$4:$C$2004,$B412,周转筐出入库明细!$F$4:$F$2004,"销售出库",周转筐出入库明细!$Q$4:$Q$2004,"已收讫"),2),ROUND(SUMIFS(包装物料出入库明细!$N$4:$N$2003,包装物料出入库明细!$D$4:$D$2003,$B412,包装物料出入库明细!$H$4:$H$2003,"销售出库",包装物料出入库明细!$P$4:$P$2003,"已收讫"),2)))</f>
        <v/>
      </c>
      <c r="I412" s="27"/>
    </row>
    <row r="413" spans="1:9">
      <c r="A413" s="22" t="str">
        <f t="shared" si="15"/>
        <v/>
      </c>
      <c r="B413" s="37" t="str">
        <f>IFERROR(INDEX(_自动清单!$CL$4:$CL$203,INT((ROW()-160)/2)+1),"")</f>
        <v/>
      </c>
      <c r="C413" s="37" t="str">
        <f t="shared" si="16"/>
        <v/>
      </c>
      <c r="D413" s="26">
        <f>IF($B413="",0,IF($C413="筐子销售款",ROUND(SUMIFS(周转筐出入库明细!$P$4:$P$2004,周转筐出入库明细!$C$4:$C$2004,$B413,周转筐出入库明细!$F$4:$F$2004,"销售出库"),2),ROUND(SUMIFS(包装物料出入库明细!$N$4:$N$2003,包装物料出入库明细!$D$4:$D$2003,$B413,包装物料出入库明细!$H$4:$H$2003,"销售出库"),2)))</f>
        <v>0</v>
      </c>
      <c r="E413" s="26">
        <f>IF($B413="",0,IF($C413="筐子销售款",ROUND(SUMIFS(周转筐出入库明细!$P$4:$P$2004,周转筐出入库明细!$C$4:$C$2004,$B413,周转筐出入库明细!$F$4:$F$2004,"采购入库"),2),ROUND(SUMIFS(包装物料出入库明细!$N$4:$N$2003,包装物料出入库明细!$D$4:$D$2003,$B413,包装物料出入库明细!$H$4:$H$2003,"采购入库"),2)))</f>
        <v>0</v>
      </c>
      <c r="F413" s="24"/>
      <c r="G413" s="26" t="str">
        <f t="shared" si="17"/>
        <v/>
      </c>
      <c r="H413" s="26" t="str">
        <f>IF($B413="","",IF($C413="筐子销售款",ROUND(SUMIFS(周转筐出入库明细!$P$4:$P$2004,周转筐出入库明细!$C$4:$C$2004,$B413,周转筐出入库明细!$F$4:$F$2004,"销售出库",周转筐出入库明细!$Q$4:$Q$2004,"已收讫"),2),ROUND(SUMIFS(包装物料出入库明细!$N$4:$N$2003,包装物料出入库明细!$D$4:$D$2003,$B413,包装物料出入库明细!$H$4:$H$2003,"销售出库",包装物料出入库明细!$P$4:$P$2003,"已收讫"),2)))</f>
        <v/>
      </c>
      <c r="I413" s="27"/>
    </row>
    <row r="414" spans="1:9">
      <c r="A414" s="22" t="str">
        <f t="shared" si="15"/>
        <v/>
      </c>
      <c r="B414" s="37" t="str">
        <f>IFERROR(INDEX(_自动清单!$CL$4:$CL$203,INT((ROW()-160)/2)+1),"")</f>
        <v/>
      </c>
      <c r="C414" s="37" t="str">
        <f t="shared" si="16"/>
        <v/>
      </c>
      <c r="D414" s="26">
        <f>IF($B414="",0,IF($C414="筐子销售款",ROUND(SUMIFS(周转筐出入库明细!$P$4:$P$2004,周转筐出入库明细!$C$4:$C$2004,$B414,周转筐出入库明细!$F$4:$F$2004,"销售出库"),2),ROUND(SUMIFS(包装物料出入库明细!$N$4:$N$2003,包装物料出入库明细!$D$4:$D$2003,$B414,包装物料出入库明细!$H$4:$H$2003,"销售出库"),2)))</f>
        <v>0</v>
      </c>
      <c r="E414" s="26">
        <f>IF($B414="",0,IF($C414="筐子销售款",ROUND(SUMIFS(周转筐出入库明细!$P$4:$P$2004,周转筐出入库明细!$C$4:$C$2004,$B414,周转筐出入库明细!$F$4:$F$2004,"采购入库"),2),ROUND(SUMIFS(包装物料出入库明细!$N$4:$N$2003,包装物料出入库明细!$D$4:$D$2003,$B414,包装物料出入库明细!$H$4:$H$2003,"采购入库"),2)))</f>
        <v>0</v>
      </c>
      <c r="F414" s="24"/>
      <c r="G414" s="26" t="str">
        <f t="shared" si="17"/>
        <v/>
      </c>
      <c r="H414" s="26" t="str">
        <f>IF($B414="","",IF($C414="筐子销售款",ROUND(SUMIFS(周转筐出入库明细!$P$4:$P$2004,周转筐出入库明细!$C$4:$C$2004,$B414,周转筐出入库明细!$F$4:$F$2004,"销售出库",周转筐出入库明细!$Q$4:$Q$2004,"已收讫"),2),ROUND(SUMIFS(包装物料出入库明细!$N$4:$N$2003,包装物料出入库明细!$D$4:$D$2003,$B414,包装物料出入库明细!$H$4:$H$2003,"销售出库",包装物料出入库明细!$P$4:$P$2003,"已收讫"),2)))</f>
        <v/>
      </c>
      <c r="I414" s="27"/>
    </row>
    <row r="415" spans="1:9">
      <c r="A415" s="22" t="str">
        <f t="shared" si="15"/>
        <v/>
      </c>
      <c r="B415" s="37" t="str">
        <f>IFERROR(INDEX(_自动清单!$CL$4:$CL$203,INT((ROW()-160)/2)+1),"")</f>
        <v/>
      </c>
      <c r="C415" s="37" t="str">
        <f t="shared" si="16"/>
        <v/>
      </c>
      <c r="D415" s="26">
        <f>IF($B415="",0,IF($C415="筐子销售款",ROUND(SUMIFS(周转筐出入库明细!$P$4:$P$2004,周转筐出入库明细!$C$4:$C$2004,$B415,周转筐出入库明细!$F$4:$F$2004,"销售出库"),2),ROUND(SUMIFS(包装物料出入库明细!$N$4:$N$2003,包装物料出入库明细!$D$4:$D$2003,$B415,包装物料出入库明细!$H$4:$H$2003,"销售出库"),2)))</f>
        <v>0</v>
      </c>
      <c r="E415" s="26">
        <f>IF($B415="",0,IF($C415="筐子销售款",ROUND(SUMIFS(周转筐出入库明细!$P$4:$P$2004,周转筐出入库明细!$C$4:$C$2004,$B415,周转筐出入库明细!$F$4:$F$2004,"采购入库"),2),ROUND(SUMIFS(包装物料出入库明细!$N$4:$N$2003,包装物料出入库明细!$D$4:$D$2003,$B415,包装物料出入库明细!$H$4:$H$2003,"采购入库"),2)))</f>
        <v>0</v>
      </c>
      <c r="F415" s="24"/>
      <c r="G415" s="26" t="str">
        <f t="shared" si="17"/>
        <v/>
      </c>
      <c r="H415" s="26" t="str">
        <f>IF($B415="","",IF($C415="筐子销售款",ROUND(SUMIFS(周转筐出入库明细!$P$4:$P$2004,周转筐出入库明细!$C$4:$C$2004,$B415,周转筐出入库明细!$F$4:$F$2004,"销售出库",周转筐出入库明细!$Q$4:$Q$2004,"已收讫"),2),ROUND(SUMIFS(包装物料出入库明细!$N$4:$N$2003,包装物料出入库明细!$D$4:$D$2003,$B415,包装物料出入库明细!$H$4:$H$2003,"销售出库",包装物料出入库明细!$P$4:$P$2003,"已收讫"),2)))</f>
        <v/>
      </c>
      <c r="I415" s="27"/>
    </row>
    <row r="416" spans="1:9">
      <c r="A416" s="22" t="str">
        <f t="shared" ref="A416:A459" si="18">IF($B416="","",ROW()-159)</f>
        <v/>
      </c>
      <c r="B416" s="37" t="str">
        <f>IFERROR(INDEX(_自动清单!$CL$4:$CL$203,INT((ROW()-160)/2)+1),"")</f>
        <v/>
      </c>
      <c r="C416" s="37" t="str">
        <f t="shared" ref="C416:C459" si="19">IF($B416="","",IF(MOD(ROW()-160,2)=0,"筐子销售款","物料销售款"))</f>
        <v/>
      </c>
      <c r="D416" s="26">
        <f>IF($B416="",0,IF($C416="筐子销售款",ROUND(SUMIFS(周转筐出入库明细!$P$4:$P$2004,周转筐出入库明细!$C$4:$C$2004,$B416,周转筐出入库明细!$F$4:$F$2004,"销售出库"),2),ROUND(SUMIFS(包装物料出入库明细!$N$4:$N$2003,包装物料出入库明细!$D$4:$D$2003,$B416,包装物料出入库明细!$H$4:$H$2003,"销售出库"),2)))</f>
        <v>0</v>
      </c>
      <c r="E416" s="26">
        <f>IF($B416="",0,IF($C416="筐子销售款",ROUND(SUMIFS(周转筐出入库明细!$P$4:$P$2004,周转筐出入库明细!$C$4:$C$2004,$B416,周转筐出入库明细!$F$4:$F$2004,"采购入库"),2),ROUND(SUMIFS(包装物料出入库明细!$N$4:$N$2003,包装物料出入库明细!$D$4:$D$2003,$B416,包装物料出入库明细!$H$4:$H$2003,"采购入库"),2)))</f>
        <v>0</v>
      </c>
      <c r="F416" s="24"/>
      <c r="G416" s="26" t="str">
        <f t="shared" ref="G416:G459" si="20">IF($B416="","",ROUND(N($D416),2))</f>
        <v/>
      </c>
      <c r="H416" s="26" t="str">
        <f>IF($B416="","",IF($C416="筐子销售款",ROUND(SUMIFS(周转筐出入库明细!$P$4:$P$2004,周转筐出入库明细!$C$4:$C$2004,$B416,周转筐出入库明细!$F$4:$F$2004,"销售出库",周转筐出入库明细!$Q$4:$Q$2004,"已收讫"),2),ROUND(SUMIFS(包装物料出入库明细!$N$4:$N$2003,包装物料出入库明细!$D$4:$D$2003,$B416,包装物料出入库明细!$H$4:$H$2003,"销售出库",包装物料出入库明细!$P$4:$P$2003,"已收讫"),2)))</f>
        <v/>
      </c>
      <c r="I416" s="27"/>
    </row>
    <row r="417" spans="1:9">
      <c r="A417" s="22" t="str">
        <f t="shared" si="18"/>
        <v/>
      </c>
      <c r="B417" s="37" t="str">
        <f>IFERROR(INDEX(_自动清单!$CL$4:$CL$203,INT((ROW()-160)/2)+1),"")</f>
        <v/>
      </c>
      <c r="C417" s="37" t="str">
        <f t="shared" si="19"/>
        <v/>
      </c>
      <c r="D417" s="26">
        <f>IF($B417="",0,IF($C417="筐子销售款",ROUND(SUMIFS(周转筐出入库明细!$P$4:$P$2004,周转筐出入库明细!$C$4:$C$2004,$B417,周转筐出入库明细!$F$4:$F$2004,"销售出库"),2),ROUND(SUMIFS(包装物料出入库明细!$N$4:$N$2003,包装物料出入库明细!$D$4:$D$2003,$B417,包装物料出入库明细!$H$4:$H$2003,"销售出库"),2)))</f>
        <v>0</v>
      </c>
      <c r="E417" s="26">
        <f>IF($B417="",0,IF($C417="筐子销售款",ROUND(SUMIFS(周转筐出入库明细!$P$4:$P$2004,周转筐出入库明细!$C$4:$C$2004,$B417,周转筐出入库明细!$F$4:$F$2004,"采购入库"),2),ROUND(SUMIFS(包装物料出入库明细!$N$4:$N$2003,包装物料出入库明细!$D$4:$D$2003,$B417,包装物料出入库明细!$H$4:$H$2003,"采购入库"),2)))</f>
        <v>0</v>
      </c>
      <c r="F417" s="24"/>
      <c r="G417" s="26" t="str">
        <f t="shared" si="20"/>
        <v/>
      </c>
      <c r="H417" s="26" t="str">
        <f>IF($B417="","",IF($C417="筐子销售款",ROUND(SUMIFS(周转筐出入库明细!$P$4:$P$2004,周转筐出入库明细!$C$4:$C$2004,$B417,周转筐出入库明细!$F$4:$F$2004,"销售出库",周转筐出入库明细!$Q$4:$Q$2004,"已收讫"),2),ROUND(SUMIFS(包装物料出入库明细!$N$4:$N$2003,包装物料出入库明细!$D$4:$D$2003,$B417,包装物料出入库明细!$H$4:$H$2003,"销售出库",包装物料出入库明细!$P$4:$P$2003,"已收讫"),2)))</f>
        <v/>
      </c>
      <c r="I417" s="27"/>
    </row>
    <row r="418" spans="1:9">
      <c r="A418" s="22" t="str">
        <f t="shared" si="18"/>
        <v/>
      </c>
      <c r="B418" s="37" t="str">
        <f>IFERROR(INDEX(_自动清单!$CL$4:$CL$203,INT((ROW()-160)/2)+1),"")</f>
        <v/>
      </c>
      <c r="C418" s="37" t="str">
        <f t="shared" si="19"/>
        <v/>
      </c>
      <c r="D418" s="26">
        <f>IF($B418="",0,IF($C418="筐子销售款",ROUND(SUMIFS(周转筐出入库明细!$P$4:$P$2004,周转筐出入库明细!$C$4:$C$2004,$B418,周转筐出入库明细!$F$4:$F$2004,"销售出库"),2),ROUND(SUMIFS(包装物料出入库明细!$N$4:$N$2003,包装物料出入库明细!$D$4:$D$2003,$B418,包装物料出入库明细!$H$4:$H$2003,"销售出库"),2)))</f>
        <v>0</v>
      </c>
      <c r="E418" s="26">
        <f>IF($B418="",0,IF($C418="筐子销售款",ROUND(SUMIFS(周转筐出入库明细!$P$4:$P$2004,周转筐出入库明细!$C$4:$C$2004,$B418,周转筐出入库明细!$F$4:$F$2004,"采购入库"),2),ROUND(SUMIFS(包装物料出入库明细!$N$4:$N$2003,包装物料出入库明细!$D$4:$D$2003,$B418,包装物料出入库明细!$H$4:$H$2003,"采购入库"),2)))</f>
        <v>0</v>
      </c>
      <c r="F418" s="24"/>
      <c r="G418" s="26" t="str">
        <f t="shared" si="20"/>
        <v/>
      </c>
      <c r="H418" s="26" t="str">
        <f>IF($B418="","",IF($C418="筐子销售款",ROUND(SUMIFS(周转筐出入库明细!$P$4:$P$2004,周转筐出入库明细!$C$4:$C$2004,$B418,周转筐出入库明细!$F$4:$F$2004,"销售出库",周转筐出入库明细!$Q$4:$Q$2004,"已收讫"),2),ROUND(SUMIFS(包装物料出入库明细!$N$4:$N$2003,包装物料出入库明细!$D$4:$D$2003,$B418,包装物料出入库明细!$H$4:$H$2003,"销售出库",包装物料出入库明细!$P$4:$P$2003,"已收讫"),2)))</f>
        <v/>
      </c>
      <c r="I418" s="27"/>
    </row>
    <row r="419" spans="1:9">
      <c r="A419" s="22" t="str">
        <f t="shared" si="18"/>
        <v/>
      </c>
      <c r="B419" s="37" t="str">
        <f>IFERROR(INDEX(_自动清单!$CL$4:$CL$203,INT((ROW()-160)/2)+1),"")</f>
        <v/>
      </c>
      <c r="C419" s="37" t="str">
        <f t="shared" si="19"/>
        <v/>
      </c>
      <c r="D419" s="26">
        <f>IF($B419="",0,IF($C419="筐子销售款",ROUND(SUMIFS(周转筐出入库明细!$P$4:$P$2004,周转筐出入库明细!$C$4:$C$2004,$B419,周转筐出入库明细!$F$4:$F$2004,"销售出库"),2),ROUND(SUMIFS(包装物料出入库明细!$N$4:$N$2003,包装物料出入库明细!$D$4:$D$2003,$B419,包装物料出入库明细!$H$4:$H$2003,"销售出库"),2)))</f>
        <v>0</v>
      </c>
      <c r="E419" s="26">
        <f>IF($B419="",0,IF($C419="筐子销售款",ROUND(SUMIFS(周转筐出入库明细!$P$4:$P$2004,周转筐出入库明细!$C$4:$C$2004,$B419,周转筐出入库明细!$F$4:$F$2004,"采购入库"),2),ROUND(SUMIFS(包装物料出入库明细!$N$4:$N$2003,包装物料出入库明细!$D$4:$D$2003,$B419,包装物料出入库明细!$H$4:$H$2003,"采购入库"),2)))</f>
        <v>0</v>
      </c>
      <c r="F419" s="24"/>
      <c r="G419" s="26" t="str">
        <f t="shared" si="20"/>
        <v/>
      </c>
      <c r="H419" s="26" t="str">
        <f>IF($B419="","",IF($C419="筐子销售款",ROUND(SUMIFS(周转筐出入库明细!$P$4:$P$2004,周转筐出入库明细!$C$4:$C$2004,$B419,周转筐出入库明细!$F$4:$F$2004,"销售出库",周转筐出入库明细!$Q$4:$Q$2004,"已收讫"),2),ROUND(SUMIFS(包装物料出入库明细!$N$4:$N$2003,包装物料出入库明细!$D$4:$D$2003,$B419,包装物料出入库明细!$H$4:$H$2003,"销售出库",包装物料出入库明细!$P$4:$P$2003,"已收讫"),2)))</f>
        <v/>
      </c>
      <c r="I419" s="27"/>
    </row>
    <row r="420" spans="1:9">
      <c r="A420" s="22" t="str">
        <f t="shared" si="18"/>
        <v/>
      </c>
      <c r="B420" s="37" t="str">
        <f>IFERROR(INDEX(_自动清单!$CL$4:$CL$203,INT((ROW()-160)/2)+1),"")</f>
        <v/>
      </c>
      <c r="C420" s="37" t="str">
        <f t="shared" si="19"/>
        <v/>
      </c>
      <c r="D420" s="26">
        <f>IF($B420="",0,IF($C420="筐子销售款",ROUND(SUMIFS(周转筐出入库明细!$P$4:$P$2004,周转筐出入库明细!$C$4:$C$2004,$B420,周转筐出入库明细!$F$4:$F$2004,"销售出库"),2),ROUND(SUMIFS(包装物料出入库明细!$N$4:$N$2003,包装物料出入库明细!$D$4:$D$2003,$B420,包装物料出入库明细!$H$4:$H$2003,"销售出库"),2)))</f>
        <v>0</v>
      </c>
      <c r="E420" s="26">
        <f>IF($B420="",0,IF($C420="筐子销售款",ROUND(SUMIFS(周转筐出入库明细!$P$4:$P$2004,周转筐出入库明细!$C$4:$C$2004,$B420,周转筐出入库明细!$F$4:$F$2004,"采购入库"),2),ROUND(SUMIFS(包装物料出入库明细!$N$4:$N$2003,包装物料出入库明细!$D$4:$D$2003,$B420,包装物料出入库明细!$H$4:$H$2003,"采购入库"),2)))</f>
        <v>0</v>
      </c>
      <c r="F420" s="24"/>
      <c r="G420" s="26" t="str">
        <f t="shared" si="20"/>
        <v/>
      </c>
      <c r="H420" s="26" t="str">
        <f>IF($B420="","",IF($C420="筐子销售款",ROUND(SUMIFS(周转筐出入库明细!$P$4:$P$2004,周转筐出入库明细!$C$4:$C$2004,$B420,周转筐出入库明细!$F$4:$F$2004,"销售出库",周转筐出入库明细!$Q$4:$Q$2004,"已收讫"),2),ROUND(SUMIFS(包装物料出入库明细!$N$4:$N$2003,包装物料出入库明细!$D$4:$D$2003,$B420,包装物料出入库明细!$H$4:$H$2003,"销售出库",包装物料出入库明细!$P$4:$P$2003,"已收讫"),2)))</f>
        <v/>
      </c>
      <c r="I420" s="27"/>
    </row>
    <row r="421" spans="1:9">
      <c r="A421" s="22" t="str">
        <f t="shared" si="18"/>
        <v/>
      </c>
      <c r="B421" s="37" t="str">
        <f>IFERROR(INDEX(_自动清单!$CL$4:$CL$203,INT((ROW()-160)/2)+1),"")</f>
        <v/>
      </c>
      <c r="C421" s="37" t="str">
        <f t="shared" si="19"/>
        <v/>
      </c>
      <c r="D421" s="26">
        <f>IF($B421="",0,IF($C421="筐子销售款",ROUND(SUMIFS(周转筐出入库明细!$P$4:$P$2004,周转筐出入库明细!$C$4:$C$2004,$B421,周转筐出入库明细!$F$4:$F$2004,"销售出库"),2),ROUND(SUMIFS(包装物料出入库明细!$N$4:$N$2003,包装物料出入库明细!$D$4:$D$2003,$B421,包装物料出入库明细!$H$4:$H$2003,"销售出库"),2)))</f>
        <v>0</v>
      </c>
      <c r="E421" s="26">
        <f>IF($B421="",0,IF($C421="筐子销售款",ROUND(SUMIFS(周转筐出入库明细!$P$4:$P$2004,周转筐出入库明细!$C$4:$C$2004,$B421,周转筐出入库明细!$F$4:$F$2004,"采购入库"),2),ROUND(SUMIFS(包装物料出入库明细!$N$4:$N$2003,包装物料出入库明细!$D$4:$D$2003,$B421,包装物料出入库明细!$H$4:$H$2003,"采购入库"),2)))</f>
        <v>0</v>
      </c>
      <c r="F421" s="24"/>
      <c r="G421" s="26" t="str">
        <f t="shared" si="20"/>
        <v/>
      </c>
      <c r="H421" s="26" t="str">
        <f>IF($B421="","",IF($C421="筐子销售款",ROUND(SUMIFS(周转筐出入库明细!$P$4:$P$2004,周转筐出入库明细!$C$4:$C$2004,$B421,周转筐出入库明细!$F$4:$F$2004,"销售出库",周转筐出入库明细!$Q$4:$Q$2004,"已收讫"),2),ROUND(SUMIFS(包装物料出入库明细!$N$4:$N$2003,包装物料出入库明细!$D$4:$D$2003,$B421,包装物料出入库明细!$H$4:$H$2003,"销售出库",包装物料出入库明细!$P$4:$P$2003,"已收讫"),2)))</f>
        <v/>
      </c>
      <c r="I421" s="27"/>
    </row>
    <row r="422" spans="1:9">
      <c r="A422" s="22" t="str">
        <f t="shared" si="18"/>
        <v/>
      </c>
      <c r="B422" s="37" t="str">
        <f>IFERROR(INDEX(_自动清单!$CL$4:$CL$203,INT((ROW()-160)/2)+1),"")</f>
        <v/>
      </c>
      <c r="C422" s="37" t="str">
        <f t="shared" si="19"/>
        <v/>
      </c>
      <c r="D422" s="26">
        <f>IF($B422="",0,IF($C422="筐子销售款",ROUND(SUMIFS(周转筐出入库明细!$P$4:$P$2004,周转筐出入库明细!$C$4:$C$2004,$B422,周转筐出入库明细!$F$4:$F$2004,"销售出库"),2),ROUND(SUMIFS(包装物料出入库明细!$N$4:$N$2003,包装物料出入库明细!$D$4:$D$2003,$B422,包装物料出入库明细!$H$4:$H$2003,"销售出库"),2)))</f>
        <v>0</v>
      </c>
      <c r="E422" s="26">
        <f>IF($B422="",0,IF($C422="筐子销售款",ROUND(SUMIFS(周转筐出入库明细!$P$4:$P$2004,周转筐出入库明细!$C$4:$C$2004,$B422,周转筐出入库明细!$F$4:$F$2004,"采购入库"),2),ROUND(SUMIFS(包装物料出入库明细!$N$4:$N$2003,包装物料出入库明细!$D$4:$D$2003,$B422,包装物料出入库明细!$H$4:$H$2003,"采购入库"),2)))</f>
        <v>0</v>
      </c>
      <c r="F422" s="24"/>
      <c r="G422" s="26" t="str">
        <f t="shared" si="20"/>
        <v/>
      </c>
      <c r="H422" s="26" t="str">
        <f>IF($B422="","",IF($C422="筐子销售款",ROUND(SUMIFS(周转筐出入库明细!$P$4:$P$2004,周转筐出入库明细!$C$4:$C$2004,$B422,周转筐出入库明细!$F$4:$F$2004,"销售出库",周转筐出入库明细!$Q$4:$Q$2004,"已收讫"),2),ROUND(SUMIFS(包装物料出入库明细!$N$4:$N$2003,包装物料出入库明细!$D$4:$D$2003,$B422,包装物料出入库明细!$H$4:$H$2003,"销售出库",包装物料出入库明细!$P$4:$P$2003,"已收讫"),2)))</f>
        <v/>
      </c>
      <c r="I422" s="27"/>
    </row>
    <row r="423" spans="1:9">
      <c r="A423" s="22" t="str">
        <f t="shared" si="18"/>
        <v/>
      </c>
      <c r="B423" s="37" t="str">
        <f>IFERROR(INDEX(_自动清单!$CL$4:$CL$203,INT((ROW()-160)/2)+1),"")</f>
        <v/>
      </c>
      <c r="C423" s="37" t="str">
        <f t="shared" si="19"/>
        <v/>
      </c>
      <c r="D423" s="26">
        <f>IF($B423="",0,IF($C423="筐子销售款",ROUND(SUMIFS(周转筐出入库明细!$P$4:$P$2004,周转筐出入库明细!$C$4:$C$2004,$B423,周转筐出入库明细!$F$4:$F$2004,"销售出库"),2),ROUND(SUMIFS(包装物料出入库明细!$N$4:$N$2003,包装物料出入库明细!$D$4:$D$2003,$B423,包装物料出入库明细!$H$4:$H$2003,"销售出库"),2)))</f>
        <v>0</v>
      </c>
      <c r="E423" s="26">
        <f>IF($B423="",0,IF($C423="筐子销售款",ROUND(SUMIFS(周转筐出入库明细!$P$4:$P$2004,周转筐出入库明细!$C$4:$C$2004,$B423,周转筐出入库明细!$F$4:$F$2004,"采购入库"),2),ROUND(SUMIFS(包装物料出入库明细!$N$4:$N$2003,包装物料出入库明细!$D$4:$D$2003,$B423,包装物料出入库明细!$H$4:$H$2003,"采购入库"),2)))</f>
        <v>0</v>
      </c>
      <c r="F423" s="24"/>
      <c r="G423" s="26" t="str">
        <f t="shared" si="20"/>
        <v/>
      </c>
      <c r="H423" s="26" t="str">
        <f>IF($B423="","",IF($C423="筐子销售款",ROUND(SUMIFS(周转筐出入库明细!$P$4:$P$2004,周转筐出入库明细!$C$4:$C$2004,$B423,周转筐出入库明细!$F$4:$F$2004,"销售出库",周转筐出入库明细!$Q$4:$Q$2004,"已收讫"),2),ROUND(SUMIFS(包装物料出入库明细!$N$4:$N$2003,包装物料出入库明细!$D$4:$D$2003,$B423,包装物料出入库明细!$H$4:$H$2003,"销售出库",包装物料出入库明细!$P$4:$P$2003,"已收讫"),2)))</f>
        <v/>
      </c>
      <c r="I423" s="27"/>
    </row>
    <row r="424" spans="1:9">
      <c r="A424" s="22" t="str">
        <f t="shared" si="18"/>
        <v/>
      </c>
      <c r="B424" s="37" t="str">
        <f>IFERROR(INDEX(_自动清单!$CL$4:$CL$203,INT((ROW()-160)/2)+1),"")</f>
        <v/>
      </c>
      <c r="C424" s="37" t="str">
        <f t="shared" si="19"/>
        <v/>
      </c>
      <c r="D424" s="26">
        <f>IF($B424="",0,IF($C424="筐子销售款",ROUND(SUMIFS(周转筐出入库明细!$P$4:$P$2004,周转筐出入库明细!$C$4:$C$2004,$B424,周转筐出入库明细!$F$4:$F$2004,"销售出库"),2),ROUND(SUMIFS(包装物料出入库明细!$N$4:$N$2003,包装物料出入库明细!$D$4:$D$2003,$B424,包装物料出入库明细!$H$4:$H$2003,"销售出库"),2)))</f>
        <v>0</v>
      </c>
      <c r="E424" s="26">
        <f>IF($B424="",0,IF($C424="筐子销售款",ROUND(SUMIFS(周转筐出入库明细!$P$4:$P$2004,周转筐出入库明细!$C$4:$C$2004,$B424,周转筐出入库明细!$F$4:$F$2004,"采购入库"),2),ROUND(SUMIFS(包装物料出入库明细!$N$4:$N$2003,包装物料出入库明细!$D$4:$D$2003,$B424,包装物料出入库明细!$H$4:$H$2003,"采购入库"),2)))</f>
        <v>0</v>
      </c>
      <c r="F424" s="24"/>
      <c r="G424" s="26" t="str">
        <f t="shared" si="20"/>
        <v/>
      </c>
      <c r="H424" s="26" t="str">
        <f>IF($B424="","",IF($C424="筐子销售款",ROUND(SUMIFS(周转筐出入库明细!$P$4:$P$2004,周转筐出入库明细!$C$4:$C$2004,$B424,周转筐出入库明细!$F$4:$F$2004,"销售出库",周转筐出入库明细!$Q$4:$Q$2004,"已收讫"),2),ROUND(SUMIFS(包装物料出入库明细!$N$4:$N$2003,包装物料出入库明细!$D$4:$D$2003,$B424,包装物料出入库明细!$H$4:$H$2003,"销售出库",包装物料出入库明细!$P$4:$P$2003,"已收讫"),2)))</f>
        <v/>
      </c>
      <c r="I424" s="27"/>
    </row>
    <row r="425" spans="1:9">
      <c r="A425" s="22" t="str">
        <f t="shared" si="18"/>
        <v/>
      </c>
      <c r="B425" s="37" t="str">
        <f>IFERROR(INDEX(_自动清单!$CL$4:$CL$203,INT((ROW()-160)/2)+1),"")</f>
        <v/>
      </c>
      <c r="C425" s="37" t="str">
        <f t="shared" si="19"/>
        <v/>
      </c>
      <c r="D425" s="26">
        <f>IF($B425="",0,IF($C425="筐子销售款",ROUND(SUMIFS(周转筐出入库明细!$P$4:$P$2004,周转筐出入库明细!$C$4:$C$2004,$B425,周转筐出入库明细!$F$4:$F$2004,"销售出库"),2),ROUND(SUMIFS(包装物料出入库明细!$N$4:$N$2003,包装物料出入库明细!$D$4:$D$2003,$B425,包装物料出入库明细!$H$4:$H$2003,"销售出库"),2)))</f>
        <v>0</v>
      </c>
      <c r="E425" s="26">
        <f>IF($B425="",0,IF($C425="筐子销售款",ROUND(SUMIFS(周转筐出入库明细!$P$4:$P$2004,周转筐出入库明细!$C$4:$C$2004,$B425,周转筐出入库明细!$F$4:$F$2004,"采购入库"),2),ROUND(SUMIFS(包装物料出入库明细!$N$4:$N$2003,包装物料出入库明细!$D$4:$D$2003,$B425,包装物料出入库明细!$H$4:$H$2003,"采购入库"),2)))</f>
        <v>0</v>
      </c>
      <c r="F425" s="24"/>
      <c r="G425" s="26" t="str">
        <f t="shared" si="20"/>
        <v/>
      </c>
      <c r="H425" s="26" t="str">
        <f>IF($B425="","",IF($C425="筐子销售款",ROUND(SUMIFS(周转筐出入库明细!$P$4:$P$2004,周转筐出入库明细!$C$4:$C$2004,$B425,周转筐出入库明细!$F$4:$F$2004,"销售出库",周转筐出入库明细!$Q$4:$Q$2004,"已收讫"),2),ROUND(SUMIFS(包装物料出入库明细!$N$4:$N$2003,包装物料出入库明细!$D$4:$D$2003,$B425,包装物料出入库明细!$H$4:$H$2003,"销售出库",包装物料出入库明细!$P$4:$P$2003,"已收讫"),2)))</f>
        <v/>
      </c>
      <c r="I425" s="27"/>
    </row>
    <row r="426" spans="1:9">
      <c r="A426" s="22" t="str">
        <f t="shared" si="18"/>
        <v/>
      </c>
      <c r="B426" s="37" t="str">
        <f>IFERROR(INDEX(_自动清单!$CL$4:$CL$203,INT((ROW()-160)/2)+1),"")</f>
        <v/>
      </c>
      <c r="C426" s="37" t="str">
        <f t="shared" si="19"/>
        <v/>
      </c>
      <c r="D426" s="26">
        <f>IF($B426="",0,IF($C426="筐子销售款",ROUND(SUMIFS(周转筐出入库明细!$P$4:$P$2004,周转筐出入库明细!$C$4:$C$2004,$B426,周转筐出入库明细!$F$4:$F$2004,"销售出库"),2),ROUND(SUMIFS(包装物料出入库明细!$N$4:$N$2003,包装物料出入库明细!$D$4:$D$2003,$B426,包装物料出入库明细!$H$4:$H$2003,"销售出库"),2)))</f>
        <v>0</v>
      </c>
      <c r="E426" s="26">
        <f>IF($B426="",0,IF($C426="筐子销售款",ROUND(SUMIFS(周转筐出入库明细!$P$4:$P$2004,周转筐出入库明细!$C$4:$C$2004,$B426,周转筐出入库明细!$F$4:$F$2004,"采购入库"),2),ROUND(SUMIFS(包装物料出入库明细!$N$4:$N$2003,包装物料出入库明细!$D$4:$D$2003,$B426,包装物料出入库明细!$H$4:$H$2003,"采购入库"),2)))</f>
        <v>0</v>
      </c>
      <c r="F426" s="24"/>
      <c r="G426" s="26" t="str">
        <f t="shared" si="20"/>
        <v/>
      </c>
      <c r="H426" s="26" t="str">
        <f>IF($B426="","",IF($C426="筐子销售款",ROUND(SUMIFS(周转筐出入库明细!$P$4:$P$2004,周转筐出入库明细!$C$4:$C$2004,$B426,周转筐出入库明细!$F$4:$F$2004,"销售出库",周转筐出入库明细!$Q$4:$Q$2004,"已收讫"),2),ROUND(SUMIFS(包装物料出入库明细!$N$4:$N$2003,包装物料出入库明细!$D$4:$D$2003,$B426,包装物料出入库明细!$H$4:$H$2003,"销售出库",包装物料出入库明细!$P$4:$P$2003,"已收讫"),2)))</f>
        <v/>
      </c>
      <c r="I426" s="27"/>
    </row>
    <row r="427" spans="1:9">
      <c r="A427" s="22" t="str">
        <f t="shared" si="18"/>
        <v/>
      </c>
      <c r="B427" s="37" t="str">
        <f>IFERROR(INDEX(_自动清单!$CL$4:$CL$203,INT((ROW()-160)/2)+1),"")</f>
        <v/>
      </c>
      <c r="C427" s="37" t="str">
        <f t="shared" si="19"/>
        <v/>
      </c>
      <c r="D427" s="26">
        <f>IF($B427="",0,IF($C427="筐子销售款",ROUND(SUMIFS(周转筐出入库明细!$P$4:$P$2004,周转筐出入库明细!$C$4:$C$2004,$B427,周转筐出入库明细!$F$4:$F$2004,"销售出库"),2),ROUND(SUMIFS(包装物料出入库明细!$N$4:$N$2003,包装物料出入库明细!$D$4:$D$2003,$B427,包装物料出入库明细!$H$4:$H$2003,"销售出库"),2)))</f>
        <v>0</v>
      </c>
      <c r="E427" s="26">
        <f>IF($B427="",0,IF($C427="筐子销售款",ROUND(SUMIFS(周转筐出入库明细!$P$4:$P$2004,周转筐出入库明细!$C$4:$C$2004,$B427,周转筐出入库明细!$F$4:$F$2004,"采购入库"),2),ROUND(SUMIFS(包装物料出入库明细!$N$4:$N$2003,包装物料出入库明细!$D$4:$D$2003,$B427,包装物料出入库明细!$H$4:$H$2003,"采购入库"),2)))</f>
        <v>0</v>
      </c>
      <c r="F427" s="24"/>
      <c r="G427" s="26" t="str">
        <f t="shared" si="20"/>
        <v/>
      </c>
      <c r="H427" s="26" t="str">
        <f>IF($B427="","",IF($C427="筐子销售款",ROUND(SUMIFS(周转筐出入库明细!$P$4:$P$2004,周转筐出入库明细!$C$4:$C$2004,$B427,周转筐出入库明细!$F$4:$F$2004,"销售出库",周转筐出入库明细!$Q$4:$Q$2004,"已收讫"),2),ROUND(SUMIFS(包装物料出入库明细!$N$4:$N$2003,包装物料出入库明细!$D$4:$D$2003,$B427,包装物料出入库明细!$H$4:$H$2003,"销售出库",包装物料出入库明细!$P$4:$P$2003,"已收讫"),2)))</f>
        <v/>
      </c>
      <c r="I427" s="27"/>
    </row>
    <row r="428" spans="1:9">
      <c r="A428" s="22" t="str">
        <f t="shared" si="18"/>
        <v/>
      </c>
      <c r="B428" s="37" t="str">
        <f>IFERROR(INDEX(_自动清单!$CL$4:$CL$203,INT((ROW()-160)/2)+1),"")</f>
        <v/>
      </c>
      <c r="C428" s="37" t="str">
        <f t="shared" si="19"/>
        <v/>
      </c>
      <c r="D428" s="26">
        <f>IF($B428="",0,IF($C428="筐子销售款",ROUND(SUMIFS(周转筐出入库明细!$P$4:$P$2004,周转筐出入库明细!$C$4:$C$2004,$B428,周转筐出入库明细!$F$4:$F$2004,"销售出库"),2),ROUND(SUMIFS(包装物料出入库明细!$N$4:$N$2003,包装物料出入库明细!$D$4:$D$2003,$B428,包装物料出入库明细!$H$4:$H$2003,"销售出库"),2)))</f>
        <v>0</v>
      </c>
      <c r="E428" s="26">
        <f>IF($B428="",0,IF($C428="筐子销售款",ROUND(SUMIFS(周转筐出入库明细!$P$4:$P$2004,周转筐出入库明细!$C$4:$C$2004,$B428,周转筐出入库明细!$F$4:$F$2004,"采购入库"),2),ROUND(SUMIFS(包装物料出入库明细!$N$4:$N$2003,包装物料出入库明细!$D$4:$D$2003,$B428,包装物料出入库明细!$H$4:$H$2003,"采购入库"),2)))</f>
        <v>0</v>
      </c>
      <c r="F428" s="24"/>
      <c r="G428" s="26" t="str">
        <f t="shared" si="20"/>
        <v/>
      </c>
      <c r="H428" s="26" t="str">
        <f>IF($B428="","",IF($C428="筐子销售款",ROUND(SUMIFS(周转筐出入库明细!$P$4:$P$2004,周转筐出入库明细!$C$4:$C$2004,$B428,周转筐出入库明细!$F$4:$F$2004,"销售出库",周转筐出入库明细!$Q$4:$Q$2004,"已收讫"),2),ROUND(SUMIFS(包装物料出入库明细!$N$4:$N$2003,包装物料出入库明细!$D$4:$D$2003,$B428,包装物料出入库明细!$H$4:$H$2003,"销售出库",包装物料出入库明细!$P$4:$P$2003,"已收讫"),2)))</f>
        <v/>
      </c>
      <c r="I428" s="27"/>
    </row>
    <row r="429" spans="1:9">
      <c r="A429" s="22" t="str">
        <f t="shared" si="18"/>
        <v/>
      </c>
      <c r="B429" s="37" t="str">
        <f>IFERROR(INDEX(_自动清单!$CL$4:$CL$203,INT((ROW()-160)/2)+1),"")</f>
        <v/>
      </c>
      <c r="C429" s="37" t="str">
        <f t="shared" si="19"/>
        <v/>
      </c>
      <c r="D429" s="26">
        <f>IF($B429="",0,IF($C429="筐子销售款",ROUND(SUMIFS(周转筐出入库明细!$P$4:$P$2004,周转筐出入库明细!$C$4:$C$2004,$B429,周转筐出入库明细!$F$4:$F$2004,"销售出库"),2),ROUND(SUMIFS(包装物料出入库明细!$N$4:$N$2003,包装物料出入库明细!$D$4:$D$2003,$B429,包装物料出入库明细!$H$4:$H$2003,"销售出库"),2)))</f>
        <v>0</v>
      </c>
      <c r="E429" s="26">
        <f>IF($B429="",0,IF($C429="筐子销售款",ROUND(SUMIFS(周转筐出入库明细!$P$4:$P$2004,周转筐出入库明细!$C$4:$C$2004,$B429,周转筐出入库明细!$F$4:$F$2004,"采购入库"),2),ROUND(SUMIFS(包装物料出入库明细!$N$4:$N$2003,包装物料出入库明细!$D$4:$D$2003,$B429,包装物料出入库明细!$H$4:$H$2003,"采购入库"),2)))</f>
        <v>0</v>
      </c>
      <c r="F429" s="24"/>
      <c r="G429" s="26" t="str">
        <f t="shared" si="20"/>
        <v/>
      </c>
      <c r="H429" s="26" t="str">
        <f>IF($B429="","",IF($C429="筐子销售款",ROUND(SUMIFS(周转筐出入库明细!$P$4:$P$2004,周转筐出入库明细!$C$4:$C$2004,$B429,周转筐出入库明细!$F$4:$F$2004,"销售出库",周转筐出入库明细!$Q$4:$Q$2004,"已收讫"),2),ROUND(SUMIFS(包装物料出入库明细!$N$4:$N$2003,包装物料出入库明细!$D$4:$D$2003,$B429,包装物料出入库明细!$H$4:$H$2003,"销售出库",包装物料出入库明细!$P$4:$P$2003,"已收讫"),2)))</f>
        <v/>
      </c>
      <c r="I429" s="27"/>
    </row>
    <row r="430" spans="1:9">
      <c r="A430" s="22" t="str">
        <f t="shared" si="18"/>
        <v/>
      </c>
      <c r="B430" s="37" t="str">
        <f>IFERROR(INDEX(_自动清单!$CL$4:$CL$203,INT((ROW()-160)/2)+1),"")</f>
        <v/>
      </c>
      <c r="C430" s="37" t="str">
        <f t="shared" si="19"/>
        <v/>
      </c>
      <c r="D430" s="26">
        <f>IF($B430="",0,IF($C430="筐子销售款",ROUND(SUMIFS(周转筐出入库明细!$P$4:$P$2004,周转筐出入库明细!$C$4:$C$2004,$B430,周转筐出入库明细!$F$4:$F$2004,"销售出库"),2),ROUND(SUMIFS(包装物料出入库明细!$N$4:$N$2003,包装物料出入库明细!$D$4:$D$2003,$B430,包装物料出入库明细!$H$4:$H$2003,"销售出库"),2)))</f>
        <v>0</v>
      </c>
      <c r="E430" s="26">
        <f>IF($B430="",0,IF($C430="筐子销售款",ROUND(SUMIFS(周转筐出入库明细!$P$4:$P$2004,周转筐出入库明细!$C$4:$C$2004,$B430,周转筐出入库明细!$F$4:$F$2004,"采购入库"),2),ROUND(SUMIFS(包装物料出入库明细!$N$4:$N$2003,包装物料出入库明细!$D$4:$D$2003,$B430,包装物料出入库明细!$H$4:$H$2003,"采购入库"),2)))</f>
        <v>0</v>
      </c>
      <c r="F430" s="24"/>
      <c r="G430" s="26" t="str">
        <f t="shared" si="20"/>
        <v/>
      </c>
      <c r="H430" s="26" t="str">
        <f>IF($B430="","",IF($C430="筐子销售款",ROUND(SUMIFS(周转筐出入库明细!$P$4:$P$2004,周转筐出入库明细!$C$4:$C$2004,$B430,周转筐出入库明细!$F$4:$F$2004,"销售出库",周转筐出入库明细!$Q$4:$Q$2004,"已收讫"),2),ROUND(SUMIFS(包装物料出入库明细!$N$4:$N$2003,包装物料出入库明细!$D$4:$D$2003,$B430,包装物料出入库明细!$H$4:$H$2003,"销售出库",包装物料出入库明细!$P$4:$P$2003,"已收讫"),2)))</f>
        <v/>
      </c>
      <c r="I430" s="27"/>
    </row>
    <row r="431" spans="1:9">
      <c r="A431" s="22" t="str">
        <f t="shared" si="18"/>
        <v/>
      </c>
      <c r="B431" s="37" t="str">
        <f>IFERROR(INDEX(_自动清单!$CL$4:$CL$203,INT((ROW()-160)/2)+1),"")</f>
        <v/>
      </c>
      <c r="C431" s="37" t="str">
        <f t="shared" si="19"/>
        <v/>
      </c>
      <c r="D431" s="26">
        <f>IF($B431="",0,IF($C431="筐子销售款",ROUND(SUMIFS(周转筐出入库明细!$P$4:$P$2004,周转筐出入库明细!$C$4:$C$2004,$B431,周转筐出入库明细!$F$4:$F$2004,"销售出库"),2),ROUND(SUMIFS(包装物料出入库明细!$N$4:$N$2003,包装物料出入库明细!$D$4:$D$2003,$B431,包装物料出入库明细!$H$4:$H$2003,"销售出库"),2)))</f>
        <v>0</v>
      </c>
      <c r="E431" s="26">
        <f>IF($B431="",0,IF($C431="筐子销售款",ROUND(SUMIFS(周转筐出入库明细!$P$4:$P$2004,周转筐出入库明细!$C$4:$C$2004,$B431,周转筐出入库明细!$F$4:$F$2004,"采购入库"),2),ROUND(SUMIFS(包装物料出入库明细!$N$4:$N$2003,包装物料出入库明细!$D$4:$D$2003,$B431,包装物料出入库明细!$H$4:$H$2003,"采购入库"),2)))</f>
        <v>0</v>
      </c>
      <c r="F431" s="24"/>
      <c r="G431" s="26" t="str">
        <f t="shared" si="20"/>
        <v/>
      </c>
      <c r="H431" s="26" t="str">
        <f>IF($B431="","",IF($C431="筐子销售款",ROUND(SUMIFS(周转筐出入库明细!$P$4:$P$2004,周转筐出入库明细!$C$4:$C$2004,$B431,周转筐出入库明细!$F$4:$F$2004,"销售出库",周转筐出入库明细!$Q$4:$Q$2004,"已收讫"),2),ROUND(SUMIFS(包装物料出入库明细!$N$4:$N$2003,包装物料出入库明细!$D$4:$D$2003,$B431,包装物料出入库明细!$H$4:$H$2003,"销售出库",包装物料出入库明细!$P$4:$P$2003,"已收讫"),2)))</f>
        <v/>
      </c>
      <c r="I431" s="27"/>
    </row>
    <row r="432" spans="1:9">
      <c r="A432" s="22" t="str">
        <f t="shared" si="18"/>
        <v/>
      </c>
      <c r="B432" s="37" t="str">
        <f>IFERROR(INDEX(_自动清单!$CL$4:$CL$203,INT((ROW()-160)/2)+1),"")</f>
        <v/>
      </c>
      <c r="C432" s="37" t="str">
        <f t="shared" si="19"/>
        <v/>
      </c>
      <c r="D432" s="26">
        <f>IF($B432="",0,IF($C432="筐子销售款",ROUND(SUMIFS(周转筐出入库明细!$P$4:$P$2004,周转筐出入库明细!$C$4:$C$2004,$B432,周转筐出入库明细!$F$4:$F$2004,"销售出库"),2),ROUND(SUMIFS(包装物料出入库明细!$N$4:$N$2003,包装物料出入库明细!$D$4:$D$2003,$B432,包装物料出入库明细!$H$4:$H$2003,"销售出库"),2)))</f>
        <v>0</v>
      </c>
      <c r="E432" s="26">
        <f>IF($B432="",0,IF($C432="筐子销售款",ROUND(SUMIFS(周转筐出入库明细!$P$4:$P$2004,周转筐出入库明细!$C$4:$C$2004,$B432,周转筐出入库明细!$F$4:$F$2004,"采购入库"),2),ROUND(SUMIFS(包装物料出入库明细!$N$4:$N$2003,包装物料出入库明细!$D$4:$D$2003,$B432,包装物料出入库明细!$H$4:$H$2003,"采购入库"),2)))</f>
        <v>0</v>
      </c>
      <c r="F432" s="24"/>
      <c r="G432" s="26" t="str">
        <f t="shared" si="20"/>
        <v/>
      </c>
      <c r="H432" s="26" t="str">
        <f>IF($B432="","",IF($C432="筐子销售款",ROUND(SUMIFS(周转筐出入库明细!$P$4:$P$2004,周转筐出入库明细!$C$4:$C$2004,$B432,周转筐出入库明细!$F$4:$F$2004,"销售出库",周转筐出入库明细!$Q$4:$Q$2004,"已收讫"),2),ROUND(SUMIFS(包装物料出入库明细!$N$4:$N$2003,包装物料出入库明细!$D$4:$D$2003,$B432,包装物料出入库明细!$H$4:$H$2003,"销售出库",包装物料出入库明细!$P$4:$P$2003,"已收讫"),2)))</f>
        <v/>
      </c>
      <c r="I432" s="27"/>
    </row>
    <row r="433" spans="1:9">
      <c r="A433" s="22" t="str">
        <f t="shared" si="18"/>
        <v/>
      </c>
      <c r="B433" s="37" t="str">
        <f>IFERROR(INDEX(_自动清单!$CL$4:$CL$203,INT((ROW()-160)/2)+1),"")</f>
        <v/>
      </c>
      <c r="C433" s="37" t="str">
        <f t="shared" si="19"/>
        <v/>
      </c>
      <c r="D433" s="26">
        <f>IF($B433="",0,IF($C433="筐子销售款",ROUND(SUMIFS(周转筐出入库明细!$P$4:$P$2004,周转筐出入库明细!$C$4:$C$2004,$B433,周转筐出入库明细!$F$4:$F$2004,"销售出库"),2),ROUND(SUMIFS(包装物料出入库明细!$N$4:$N$2003,包装物料出入库明细!$D$4:$D$2003,$B433,包装物料出入库明细!$H$4:$H$2003,"销售出库"),2)))</f>
        <v>0</v>
      </c>
      <c r="E433" s="26">
        <f>IF($B433="",0,IF($C433="筐子销售款",ROUND(SUMIFS(周转筐出入库明细!$P$4:$P$2004,周转筐出入库明细!$C$4:$C$2004,$B433,周转筐出入库明细!$F$4:$F$2004,"采购入库"),2),ROUND(SUMIFS(包装物料出入库明细!$N$4:$N$2003,包装物料出入库明细!$D$4:$D$2003,$B433,包装物料出入库明细!$H$4:$H$2003,"采购入库"),2)))</f>
        <v>0</v>
      </c>
      <c r="F433" s="24"/>
      <c r="G433" s="26" t="str">
        <f t="shared" si="20"/>
        <v/>
      </c>
      <c r="H433" s="26" t="str">
        <f>IF($B433="","",IF($C433="筐子销售款",ROUND(SUMIFS(周转筐出入库明细!$P$4:$P$2004,周转筐出入库明细!$C$4:$C$2004,$B433,周转筐出入库明细!$F$4:$F$2004,"销售出库",周转筐出入库明细!$Q$4:$Q$2004,"已收讫"),2),ROUND(SUMIFS(包装物料出入库明细!$N$4:$N$2003,包装物料出入库明细!$D$4:$D$2003,$B433,包装物料出入库明细!$H$4:$H$2003,"销售出库",包装物料出入库明细!$P$4:$P$2003,"已收讫"),2)))</f>
        <v/>
      </c>
      <c r="I433" s="27"/>
    </row>
    <row r="434" spans="1:9">
      <c r="A434" s="22" t="str">
        <f t="shared" si="18"/>
        <v/>
      </c>
      <c r="B434" s="37" t="str">
        <f>IFERROR(INDEX(_自动清单!$CL$4:$CL$203,INT((ROW()-160)/2)+1),"")</f>
        <v/>
      </c>
      <c r="C434" s="37" t="str">
        <f t="shared" si="19"/>
        <v/>
      </c>
      <c r="D434" s="26">
        <f>IF($B434="",0,IF($C434="筐子销售款",ROUND(SUMIFS(周转筐出入库明细!$P$4:$P$2004,周转筐出入库明细!$C$4:$C$2004,$B434,周转筐出入库明细!$F$4:$F$2004,"销售出库"),2),ROUND(SUMIFS(包装物料出入库明细!$N$4:$N$2003,包装物料出入库明细!$D$4:$D$2003,$B434,包装物料出入库明细!$H$4:$H$2003,"销售出库"),2)))</f>
        <v>0</v>
      </c>
      <c r="E434" s="26">
        <f>IF($B434="",0,IF($C434="筐子销售款",ROUND(SUMIFS(周转筐出入库明细!$P$4:$P$2004,周转筐出入库明细!$C$4:$C$2004,$B434,周转筐出入库明细!$F$4:$F$2004,"采购入库"),2),ROUND(SUMIFS(包装物料出入库明细!$N$4:$N$2003,包装物料出入库明细!$D$4:$D$2003,$B434,包装物料出入库明细!$H$4:$H$2003,"采购入库"),2)))</f>
        <v>0</v>
      </c>
      <c r="F434" s="24"/>
      <c r="G434" s="26" t="str">
        <f t="shared" si="20"/>
        <v/>
      </c>
      <c r="H434" s="26" t="str">
        <f>IF($B434="","",IF($C434="筐子销售款",ROUND(SUMIFS(周转筐出入库明细!$P$4:$P$2004,周转筐出入库明细!$C$4:$C$2004,$B434,周转筐出入库明细!$F$4:$F$2004,"销售出库",周转筐出入库明细!$Q$4:$Q$2004,"已收讫"),2),ROUND(SUMIFS(包装物料出入库明细!$N$4:$N$2003,包装物料出入库明细!$D$4:$D$2003,$B434,包装物料出入库明细!$H$4:$H$2003,"销售出库",包装物料出入库明细!$P$4:$P$2003,"已收讫"),2)))</f>
        <v/>
      </c>
      <c r="I434" s="27"/>
    </row>
    <row r="435" spans="1:9">
      <c r="A435" s="22" t="str">
        <f t="shared" si="18"/>
        <v/>
      </c>
      <c r="B435" s="37" t="str">
        <f>IFERROR(INDEX(_自动清单!$CL$4:$CL$203,INT((ROW()-160)/2)+1),"")</f>
        <v/>
      </c>
      <c r="C435" s="37" t="str">
        <f t="shared" si="19"/>
        <v/>
      </c>
      <c r="D435" s="26">
        <f>IF($B435="",0,IF($C435="筐子销售款",ROUND(SUMIFS(周转筐出入库明细!$P$4:$P$2004,周转筐出入库明细!$C$4:$C$2004,$B435,周转筐出入库明细!$F$4:$F$2004,"销售出库"),2),ROUND(SUMIFS(包装物料出入库明细!$N$4:$N$2003,包装物料出入库明细!$D$4:$D$2003,$B435,包装物料出入库明细!$H$4:$H$2003,"销售出库"),2)))</f>
        <v>0</v>
      </c>
      <c r="E435" s="26">
        <f>IF($B435="",0,IF($C435="筐子销售款",ROUND(SUMIFS(周转筐出入库明细!$P$4:$P$2004,周转筐出入库明细!$C$4:$C$2004,$B435,周转筐出入库明细!$F$4:$F$2004,"采购入库"),2),ROUND(SUMIFS(包装物料出入库明细!$N$4:$N$2003,包装物料出入库明细!$D$4:$D$2003,$B435,包装物料出入库明细!$H$4:$H$2003,"采购入库"),2)))</f>
        <v>0</v>
      </c>
      <c r="F435" s="24"/>
      <c r="G435" s="26" t="str">
        <f t="shared" si="20"/>
        <v/>
      </c>
      <c r="H435" s="26" t="str">
        <f>IF($B435="","",IF($C435="筐子销售款",ROUND(SUMIFS(周转筐出入库明细!$P$4:$P$2004,周转筐出入库明细!$C$4:$C$2004,$B435,周转筐出入库明细!$F$4:$F$2004,"销售出库",周转筐出入库明细!$Q$4:$Q$2004,"已收讫"),2),ROUND(SUMIFS(包装物料出入库明细!$N$4:$N$2003,包装物料出入库明细!$D$4:$D$2003,$B435,包装物料出入库明细!$H$4:$H$2003,"销售出库",包装物料出入库明细!$P$4:$P$2003,"已收讫"),2)))</f>
        <v/>
      </c>
      <c r="I435" s="27"/>
    </row>
    <row r="436" spans="1:9">
      <c r="A436" s="22" t="str">
        <f t="shared" si="18"/>
        <v/>
      </c>
      <c r="B436" s="37" t="str">
        <f>IFERROR(INDEX(_自动清单!$CL$4:$CL$203,INT((ROW()-160)/2)+1),"")</f>
        <v/>
      </c>
      <c r="C436" s="37" t="str">
        <f t="shared" si="19"/>
        <v/>
      </c>
      <c r="D436" s="26">
        <f>IF($B436="",0,IF($C436="筐子销售款",ROUND(SUMIFS(周转筐出入库明细!$P$4:$P$2004,周转筐出入库明细!$C$4:$C$2004,$B436,周转筐出入库明细!$F$4:$F$2004,"销售出库"),2),ROUND(SUMIFS(包装物料出入库明细!$N$4:$N$2003,包装物料出入库明细!$D$4:$D$2003,$B436,包装物料出入库明细!$H$4:$H$2003,"销售出库"),2)))</f>
        <v>0</v>
      </c>
      <c r="E436" s="26">
        <f>IF($B436="",0,IF($C436="筐子销售款",ROUND(SUMIFS(周转筐出入库明细!$P$4:$P$2004,周转筐出入库明细!$C$4:$C$2004,$B436,周转筐出入库明细!$F$4:$F$2004,"采购入库"),2),ROUND(SUMIFS(包装物料出入库明细!$N$4:$N$2003,包装物料出入库明细!$D$4:$D$2003,$B436,包装物料出入库明细!$H$4:$H$2003,"采购入库"),2)))</f>
        <v>0</v>
      </c>
      <c r="F436" s="24"/>
      <c r="G436" s="26" t="str">
        <f t="shared" si="20"/>
        <v/>
      </c>
      <c r="H436" s="26" t="str">
        <f>IF($B436="","",IF($C436="筐子销售款",ROUND(SUMIFS(周转筐出入库明细!$P$4:$P$2004,周转筐出入库明细!$C$4:$C$2004,$B436,周转筐出入库明细!$F$4:$F$2004,"销售出库",周转筐出入库明细!$Q$4:$Q$2004,"已收讫"),2),ROUND(SUMIFS(包装物料出入库明细!$N$4:$N$2003,包装物料出入库明细!$D$4:$D$2003,$B436,包装物料出入库明细!$H$4:$H$2003,"销售出库",包装物料出入库明细!$P$4:$P$2003,"已收讫"),2)))</f>
        <v/>
      </c>
      <c r="I436" s="27"/>
    </row>
    <row r="437" spans="1:9">
      <c r="A437" s="22" t="str">
        <f t="shared" si="18"/>
        <v/>
      </c>
      <c r="B437" s="37" t="str">
        <f>IFERROR(INDEX(_自动清单!$CL$4:$CL$203,INT((ROW()-160)/2)+1),"")</f>
        <v/>
      </c>
      <c r="C437" s="37" t="str">
        <f t="shared" si="19"/>
        <v/>
      </c>
      <c r="D437" s="26">
        <f>IF($B437="",0,IF($C437="筐子销售款",ROUND(SUMIFS(周转筐出入库明细!$P$4:$P$2004,周转筐出入库明细!$C$4:$C$2004,$B437,周转筐出入库明细!$F$4:$F$2004,"销售出库"),2),ROUND(SUMIFS(包装物料出入库明细!$N$4:$N$2003,包装物料出入库明细!$D$4:$D$2003,$B437,包装物料出入库明细!$H$4:$H$2003,"销售出库"),2)))</f>
        <v>0</v>
      </c>
      <c r="E437" s="26">
        <f>IF($B437="",0,IF($C437="筐子销售款",ROUND(SUMIFS(周转筐出入库明细!$P$4:$P$2004,周转筐出入库明细!$C$4:$C$2004,$B437,周转筐出入库明细!$F$4:$F$2004,"采购入库"),2),ROUND(SUMIFS(包装物料出入库明细!$N$4:$N$2003,包装物料出入库明细!$D$4:$D$2003,$B437,包装物料出入库明细!$H$4:$H$2003,"采购入库"),2)))</f>
        <v>0</v>
      </c>
      <c r="F437" s="24"/>
      <c r="G437" s="26" t="str">
        <f t="shared" si="20"/>
        <v/>
      </c>
      <c r="H437" s="26" t="str">
        <f>IF($B437="","",IF($C437="筐子销售款",ROUND(SUMIFS(周转筐出入库明细!$P$4:$P$2004,周转筐出入库明细!$C$4:$C$2004,$B437,周转筐出入库明细!$F$4:$F$2004,"销售出库",周转筐出入库明细!$Q$4:$Q$2004,"已收讫"),2),ROUND(SUMIFS(包装物料出入库明细!$N$4:$N$2003,包装物料出入库明细!$D$4:$D$2003,$B437,包装物料出入库明细!$H$4:$H$2003,"销售出库",包装物料出入库明细!$P$4:$P$2003,"已收讫"),2)))</f>
        <v/>
      </c>
      <c r="I437" s="27"/>
    </row>
    <row r="438" spans="1:9">
      <c r="A438" s="22" t="str">
        <f t="shared" si="18"/>
        <v/>
      </c>
      <c r="B438" s="37" t="str">
        <f>IFERROR(INDEX(_自动清单!$CL$4:$CL$203,INT((ROW()-160)/2)+1),"")</f>
        <v/>
      </c>
      <c r="C438" s="37" t="str">
        <f t="shared" si="19"/>
        <v/>
      </c>
      <c r="D438" s="26">
        <f>IF($B438="",0,IF($C438="筐子销售款",ROUND(SUMIFS(周转筐出入库明细!$P$4:$P$2004,周转筐出入库明细!$C$4:$C$2004,$B438,周转筐出入库明细!$F$4:$F$2004,"销售出库"),2),ROUND(SUMIFS(包装物料出入库明细!$N$4:$N$2003,包装物料出入库明细!$D$4:$D$2003,$B438,包装物料出入库明细!$H$4:$H$2003,"销售出库"),2)))</f>
        <v>0</v>
      </c>
      <c r="E438" s="26">
        <f>IF($B438="",0,IF($C438="筐子销售款",ROUND(SUMIFS(周转筐出入库明细!$P$4:$P$2004,周转筐出入库明细!$C$4:$C$2004,$B438,周转筐出入库明细!$F$4:$F$2004,"采购入库"),2),ROUND(SUMIFS(包装物料出入库明细!$N$4:$N$2003,包装物料出入库明细!$D$4:$D$2003,$B438,包装物料出入库明细!$H$4:$H$2003,"采购入库"),2)))</f>
        <v>0</v>
      </c>
      <c r="F438" s="24"/>
      <c r="G438" s="26" t="str">
        <f t="shared" si="20"/>
        <v/>
      </c>
      <c r="H438" s="26" t="str">
        <f>IF($B438="","",IF($C438="筐子销售款",ROUND(SUMIFS(周转筐出入库明细!$P$4:$P$2004,周转筐出入库明细!$C$4:$C$2004,$B438,周转筐出入库明细!$F$4:$F$2004,"销售出库",周转筐出入库明细!$Q$4:$Q$2004,"已收讫"),2),ROUND(SUMIFS(包装物料出入库明细!$N$4:$N$2003,包装物料出入库明细!$D$4:$D$2003,$B438,包装物料出入库明细!$H$4:$H$2003,"销售出库",包装物料出入库明细!$P$4:$P$2003,"已收讫"),2)))</f>
        <v/>
      </c>
      <c r="I438" s="27"/>
    </row>
    <row r="439" spans="1:9">
      <c r="A439" s="22" t="str">
        <f t="shared" si="18"/>
        <v/>
      </c>
      <c r="B439" s="37" t="str">
        <f>IFERROR(INDEX(_自动清单!$CL$4:$CL$203,INT((ROW()-160)/2)+1),"")</f>
        <v/>
      </c>
      <c r="C439" s="37" t="str">
        <f t="shared" si="19"/>
        <v/>
      </c>
      <c r="D439" s="26">
        <f>IF($B439="",0,IF($C439="筐子销售款",ROUND(SUMIFS(周转筐出入库明细!$P$4:$P$2004,周转筐出入库明细!$C$4:$C$2004,$B439,周转筐出入库明细!$F$4:$F$2004,"销售出库"),2),ROUND(SUMIFS(包装物料出入库明细!$N$4:$N$2003,包装物料出入库明细!$D$4:$D$2003,$B439,包装物料出入库明细!$H$4:$H$2003,"销售出库"),2)))</f>
        <v>0</v>
      </c>
      <c r="E439" s="26">
        <f>IF($B439="",0,IF($C439="筐子销售款",ROUND(SUMIFS(周转筐出入库明细!$P$4:$P$2004,周转筐出入库明细!$C$4:$C$2004,$B439,周转筐出入库明细!$F$4:$F$2004,"采购入库"),2),ROUND(SUMIFS(包装物料出入库明细!$N$4:$N$2003,包装物料出入库明细!$D$4:$D$2003,$B439,包装物料出入库明细!$H$4:$H$2003,"采购入库"),2)))</f>
        <v>0</v>
      </c>
      <c r="F439" s="24"/>
      <c r="G439" s="26" t="str">
        <f t="shared" si="20"/>
        <v/>
      </c>
      <c r="H439" s="26" t="str">
        <f>IF($B439="","",IF($C439="筐子销售款",ROUND(SUMIFS(周转筐出入库明细!$P$4:$P$2004,周转筐出入库明细!$C$4:$C$2004,$B439,周转筐出入库明细!$F$4:$F$2004,"销售出库",周转筐出入库明细!$Q$4:$Q$2004,"已收讫"),2),ROUND(SUMIFS(包装物料出入库明细!$N$4:$N$2003,包装物料出入库明细!$D$4:$D$2003,$B439,包装物料出入库明细!$H$4:$H$2003,"销售出库",包装物料出入库明细!$P$4:$P$2003,"已收讫"),2)))</f>
        <v/>
      </c>
      <c r="I439" s="27"/>
    </row>
    <row r="440" spans="1:9">
      <c r="A440" s="22" t="str">
        <f t="shared" si="18"/>
        <v/>
      </c>
      <c r="B440" s="37" t="str">
        <f>IFERROR(INDEX(_自动清单!$CL$4:$CL$203,INT((ROW()-160)/2)+1),"")</f>
        <v/>
      </c>
      <c r="C440" s="37" t="str">
        <f t="shared" si="19"/>
        <v/>
      </c>
      <c r="D440" s="26">
        <f>IF($B440="",0,IF($C440="筐子销售款",ROUND(SUMIFS(周转筐出入库明细!$P$4:$P$2004,周转筐出入库明细!$C$4:$C$2004,$B440,周转筐出入库明细!$F$4:$F$2004,"销售出库"),2),ROUND(SUMIFS(包装物料出入库明细!$N$4:$N$2003,包装物料出入库明细!$D$4:$D$2003,$B440,包装物料出入库明细!$H$4:$H$2003,"销售出库"),2)))</f>
        <v>0</v>
      </c>
      <c r="E440" s="26">
        <f>IF($B440="",0,IF($C440="筐子销售款",ROUND(SUMIFS(周转筐出入库明细!$P$4:$P$2004,周转筐出入库明细!$C$4:$C$2004,$B440,周转筐出入库明细!$F$4:$F$2004,"采购入库"),2),ROUND(SUMIFS(包装物料出入库明细!$N$4:$N$2003,包装物料出入库明细!$D$4:$D$2003,$B440,包装物料出入库明细!$H$4:$H$2003,"采购入库"),2)))</f>
        <v>0</v>
      </c>
      <c r="F440" s="24"/>
      <c r="G440" s="26" t="str">
        <f t="shared" si="20"/>
        <v/>
      </c>
      <c r="H440" s="26" t="str">
        <f>IF($B440="","",IF($C440="筐子销售款",ROUND(SUMIFS(周转筐出入库明细!$P$4:$P$2004,周转筐出入库明细!$C$4:$C$2004,$B440,周转筐出入库明细!$F$4:$F$2004,"销售出库",周转筐出入库明细!$Q$4:$Q$2004,"已收讫"),2),ROUND(SUMIFS(包装物料出入库明细!$N$4:$N$2003,包装物料出入库明细!$D$4:$D$2003,$B440,包装物料出入库明细!$H$4:$H$2003,"销售出库",包装物料出入库明细!$P$4:$P$2003,"已收讫"),2)))</f>
        <v/>
      </c>
      <c r="I440" s="27"/>
    </row>
    <row r="441" spans="1:9">
      <c r="A441" s="22" t="str">
        <f t="shared" si="18"/>
        <v/>
      </c>
      <c r="B441" s="37" t="str">
        <f>IFERROR(INDEX(_自动清单!$CL$4:$CL$203,INT((ROW()-160)/2)+1),"")</f>
        <v/>
      </c>
      <c r="C441" s="37" t="str">
        <f t="shared" si="19"/>
        <v/>
      </c>
      <c r="D441" s="26">
        <f>IF($B441="",0,IF($C441="筐子销售款",ROUND(SUMIFS(周转筐出入库明细!$P$4:$P$2004,周转筐出入库明细!$C$4:$C$2004,$B441,周转筐出入库明细!$F$4:$F$2004,"销售出库"),2),ROUND(SUMIFS(包装物料出入库明细!$N$4:$N$2003,包装物料出入库明细!$D$4:$D$2003,$B441,包装物料出入库明细!$H$4:$H$2003,"销售出库"),2)))</f>
        <v>0</v>
      </c>
      <c r="E441" s="26">
        <f>IF($B441="",0,IF($C441="筐子销售款",ROUND(SUMIFS(周转筐出入库明细!$P$4:$P$2004,周转筐出入库明细!$C$4:$C$2004,$B441,周转筐出入库明细!$F$4:$F$2004,"采购入库"),2),ROUND(SUMIFS(包装物料出入库明细!$N$4:$N$2003,包装物料出入库明细!$D$4:$D$2003,$B441,包装物料出入库明细!$H$4:$H$2003,"采购入库"),2)))</f>
        <v>0</v>
      </c>
      <c r="F441" s="24"/>
      <c r="G441" s="26" t="str">
        <f t="shared" si="20"/>
        <v/>
      </c>
      <c r="H441" s="26" t="str">
        <f>IF($B441="","",IF($C441="筐子销售款",ROUND(SUMIFS(周转筐出入库明细!$P$4:$P$2004,周转筐出入库明细!$C$4:$C$2004,$B441,周转筐出入库明细!$F$4:$F$2004,"销售出库",周转筐出入库明细!$Q$4:$Q$2004,"已收讫"),2),ROUND(SUMIFS(包装物料出入库明细!$N$4:$N$2003,包装物料出入库明细!$D$4:$D$2003,$B441,包装物料出入库明细!$H$4:$H$2003,"销售出库",包装物料出入库明细!$P$4:$P$2003,"已收讫"),2)))</f>
        <v/>
      </c>
      <c r="I441" s="27"/>
    </row>
    <row r="442" spans="1:9">
      <c r="A442" s="22" t="str">
        <f t="shared" si="18"/>
        <v/>
      </c>
      <c r="B442" s="37" t="str">
        <f>IFERROR(INDEX(_自动清单!$CL$4:$CL$203,INT((ROW()-160)/2)+1),"")</f>
        <v/>
      </c>
      <c r="C442" s="37" t="str">
        <f t="shared" si="19"/>
        <v/>
      </c>
      <c r="D442" s="26">
        <f>IF($B442="",0,IF($C442="筐子销售款",ROUND(SUMIFS(周转筐出入库明细!$P$4:$P$2004,周转筐出入库明细!$C$4:$C$2004,$B442,周转筐出入库明细!$F$4:$F$2004,"销售出库"),2),ROUND(SUMIFS(包装物料出入库明细!$N$4:$N$2003,包装物料出入库明细!$D$4:$D$2003,$B442,包装物料出入库明细!$H$4:$H$2003,"销售出库"),2)))</f>
        <v>0</v>
      </c>
      <c r="E442" s="26">
        <f>IF($B442="",0,IF($C442="筐子销售款",ROUND(SUMIFS(周转筐出入库明细!$P$4:$P$2004,周转筐出入库明细!$C$4:$C$2004,$B442,周转筐出入库明细!$F$4:$F$2004,"采购入库"),2),ROUND(SUMIFS(包装物料出入库明细!$N$4:$N$2003,包装物料出入库明细!$D$4:$D$2003,$B442,包装物料出入库明细!$H$4:$H$2003,"采购入库"),2)))</f>
        <v>0</v>
      </c>
      <c r="F442" s="24"/>
      <c r="G442" s="26" t="str">
        <f t="shared" si="20"/>
        <v/>
      </c>
      <c r="H442" s="26" t="str">
        <f>IF($B442="","",IF($C442="筐子销售款",ROUND(SUMIFS(周转筐出入库明细!$P$4:$P$2004,周转筐出入库明细!$C$4:$C$2004,$B442,周转筐出入库明细!$F$4:$F$2004,"销售出库",周转筐出入库明细!$Q$4:$Q$2004,"已收讫"),2),ROUND(SUMIFS(包装物料出入库明细!$N$4:$N$2003,包装物料出入库明细!$D$4:$D$2003,$B442,包装物料出入库明细!$H$4:$H$2003,"销售出库",包装物料出入库明细!$P$4:$P$2003,"已收讫"),2)))</f>
        <v/>
      </c>
      <c r="I442" s="27"/>
    </row>
    <row r="443" spans="1:9">
      <c r="A443" s="22" t="str">
        <f t="shared" si="18"/>
        <v/>
      </c>
      <c r="B443" s="37" t="str">
        <f>IFERROR(INDEX(_自动清单!$CL$4:$CL$203,INT((ROW()-160)/2)+1),"")</f>
        <v/>
      </c>
      <c r="C443" s="37" t="str">
        <f t="shared" si="19"/>
        <v/>
      </c>
      <c r="D443" s="26">
        <f>IF($B443="",0,IF($C443="筐子销售款",ROUND(SUMIFS(周转筐出入库明细!$P$4:$P$2004,周转筐出入库明细!$C$4:$C$2004,$B443,周转筐出入库明细!$F$4:$F$2004,"销售出库"),2),ROUND(SUMIFS(包装物料出入库明细!$N$4:$N$2003,包装物料出入库明细!$D$4:$D$2003,$B443,包装物料出入库明细!$H$4:$H$2003,"销售出库"),2)))</f>
        <v>0</v>
      </c>
      <c r="E443" s="26">
        <f>IF($B443="",0,IF($C443="筐子销售款",ROUND(SUMIFS(周转筐出入库明细!$P$4:$P$2004,周转筐出入库明细!$C$4:$C$2004,$B443,周转筐出入库明细!$F$4:$F$2004,"采购入库"),2),ROUND(SUMIFS(包装物料出入库明细!$N$4:$N$2003,包装物料出入库明细!$D$4:$D$2003,$B443,包装物料出入库明细!$H$4:$H$2003,"采购入库"),2)))</f>
        <v>0</v>
      </c>
      <c r="F443" s="24"/>
      <c r="G443" s="26" t="str">
        <f t="shared" si="20"/>
        <v/>
      </c>
      <c r="H443" s="26" t="str">
        <f>IF($B443="","",IF($C443="筐子销售款",ROUND(SUMIFS(周转筐出入库明细!$P$4:$P$2004,周转筐出入库明细!$C$4:$C$2004,$B443,周转筐出入库明细!$F$4:$F$2004,"销售出库",周转筐出入库明细!$Q$4:$Q$2004,"已收讫"),2),ROUND(SUMIFS(包装物料出入库明细!$N$4:$N$2003,包装物料出入库明细!$D$4:$D$2003,$B443,包装物料出入库明细!$H$4:$H$2003,"销售出库",包装物料出入库明细!$P$4:$P$2003,"已收讫"),2)))</f>
        <v/>
      </c>
      <c r="I443" s="27"/>
    </row>
    <row r="444" spans="1:9">
      <c r="A444" s="22" t="str">
        <f t="shared" si="18"/>
        <v/>
      </c>
      <c r="B444" s="37" t="str">
        <f>IFERROR(INDEX(_自动清单!$CL$4:$CL$203,INT((ROW()-160)/2)+1),"")</f>
        <v/>
      </c>
      <c r="C444" s="37" t="str">
        <f t="shared" si="19"/>
        <v/>
      </c>
      <c r="D444" s="26">
        <f>IF($B444="",0,IF($C444="筐子销售款",ROUND(SUMIFS(周转筐出入库明细!$P$4:$P$2004,周转筐出入库明细!$C$4:$C$2004,$B444,周转筐出入库明细!$F$4:$F$2004,"销售出库"),2),ROUND(SUMIFS(包装物料出入库明细!$N$4:$N$2003,包装物料出入库明细!$D$4:$D$2003,$B444,包装物料出入库明细!$H$4:$H$2003,"销售出库"),2)))</f>
        <v>0</v>
      </c>
      <c r="E444" s="26">
        <f>IF($B444="",0,IF($C444="筐子销售款",ROUND(SUMIFS(周转筐出入库明细!$P$4:$P$2004,周转筐出入库明细!$C$4:$C$2004,$B444,周转筐出入库明细!$F$4:$F$2004,"采购入库"),2),ROUND(SUMIFS(包装物料出入库明细!$N$4:$N$2003,包装物料出入库明细!$D$4:$D$2003,$B444,包装物料出入库明细!$H$4:$H$2003,"采购入库"),2)))</f>
        <v>0</v>
      </c>
      <c r="F444" s="24"/>
      <c r="G444" s="26" t="str">
        <f t="shared" si="20"/>
        <v/>
      </c>
      <c r="H444" s="26" t="str">
        <f>IF($B444="","",IF($C444="筐子销售款",ROUND(SUMIFS(周转筐出入库明细!$P$4:$P$2004,周转筐出入库明细!$C$4:$C$2004,$B444,周转筐出入库明细!$F$4:$F$2004,"销售出库",周转筐出入库明细!$Q$4:$Q$2004,"已收讫"),2),ROUND(SUMIFS(包装物料出入库明细!$N$4:$N$2003,包装物料出入库明细!$D$4:$D$2003,$B444,包装物料出入库明细!$H$4:$H$2003,"销售出库",包装物料出入库明细!$P$4:$P$2003,"已收讫"),2)))</f>
        <v/>
      </c>
      <c r="I444" s="27"/>
    </row>
    <row r="445" spans="1:9">
      <c r="A445" s="22" t="str">
        <f t="shared" si="18"/>
        <v/>
      </c>
      <c r="B445" s="37" t="str">
        <f>IFERROR(INDEX(_自动清单!$CL$4:$CL$203,INT((ROW()-160)/2)+1),"")</f>
        <v/>
      </c>
      <c r="C445" s="37" t="str">
        <f t="shared" si="19"/>
        <v/>
      </c>
      <c r="D445" s="26">
        <f>IF($B445="",0,IF($C445="筐子销售款",ROUND(SUMIFS(周转筐出入库明细!$P$4:$P$2004,周转筐出入库明细!$C$4:$C$2004,$B445,周转筐出入库明细!$F$4:$F$2004,"销售出库"),2),ROUND(SUMIFS(包装物料出入库明细!$N$4:$N$2003,包装物料出入库明细!$D$4:$D$2003,$B445,包装物料出入库明细!$H$4:$H$2003,"销售出库"),2)))</f>
        <v>0</v>
      </c>
      <c r="E445" s="26">
        <f>IF($B445="",0,IF($C445="筐子销售款",ROUND(SUMIFS(周转筐出入库明细!$P$4:$P$2004,周转筐出入库明细!$C$4:$C$2004,$B445,周转筐出入库明细!$F$4:$F$2004,"采购入库"),2),ROUND(SUMIFS(包装物料出入库明细!$N$4:$N$2003,包装物料出入库明细!$D$4:$D$2003,$B445,包装物料出入库明细!$H$4:$H$2003,"采购入库"),2)))</f>
        <v>0</v>
      </c>
      <c r="F445" s="24"/>
      <c r="G445" s="26" t="str">
        <f t="shared" si="20"/>
        <v/>
      </c>
      <c r="H445" s="26" t="str">
        <f>IF($B445="","",IF($C445="筐子销售款",ROUND(SUMIFS(周转筐出入库明细!$P$4:$P$2004,周转筐出入库明细!$C$4:$C$2004,$B445,周转筐出入库明细!$F$4:$F$2004,"销售出库",周转筐出入库明细!$Q$4:$Q$2004,"已收讫"),2),ROUND(SUMIFS(包装物料出入库明细!$N$4:$N$2003,包装物料出入库明细!$D$4:$D$2003,$B445,包装物料出入库明细!$H$4:$H$2003,"销售出库",包装物料出入库明细!$P$4:$P$2003,"已收讫"),2)))</f>
        <v/>
      </c>
      <c r="I445" s="27"/>
    </row>
    <row r="446" spans="1:9">
      <c r="A446" s="22" t="str">
        <f t="shared" si="18"/>
        <v/>
      </c>
      <c r="B446" s="37" t="str">
        <f>IFERROR(INDEX(_自动清单!$CL$4:$CL$203,INT((ROW()-160)/2)+1),"")</f>
        <v/>
      </c>
      <c r="C446" s="37" t="str">
        <f t="shared" si="19"/>
        <v/>
      </c>
      <c r="D446" s="26">
        <f>IF($B446="",0,IF($C446="筐子销售款",ROUND(SUMIFS(周转筐出入库明细!$P$4:$P$2004,周转筐出入库明细!$C$4:$C$2004,$B446,周转筐出入库明细!$F$4:$F$2004,"销售出库"),2),ROUND(SUMIFS(包装物料出入库明细!$N$4:$N$2003,包装物料出入库明细!$D$4:$D$2003,$B446,包装物料出入库明细!$H$4:$H$2003,"销售出库"),2)))</f>
        <v>0</v>
      </c>
      <c r="E446" s="26">
        <f>IF($B446="",0,IF($C446="筐子销售款",ROUND(SUMIFS(周转筐出入库明细!$P$4:$P$2004,周转筐出入库明细!$C$4:$C$2004,$B446,周转筐出入库明细!$F$4:$F$2004,"采购入库"),2),ROUND(SUMIFS(包装物料出入库明细!$N$4:$N$2003,包装物料出入库明细!$D$4:$D$2003,$B446,包装物料出入库明细!$H$4:$H$2003,"采购入库"),2)))</f>
        <v>0</v>
      </c>
      <c r="F446" s="24"/>
      <c r="G446" s="26" t="str">
        <f t="shared" si="20"/>
        <v/>
      </c>
      <c r="H446" s="26" t="str">
        <f>IF($B446="","",IF($C446="筐子销售款",ROUND(SUMIFS(周转筐出入库明细!$P$4:$P$2004,周转筐出入库明细!$C$4:$C$2004,$B446,周转筐出入库明细!$F$4:$F$2004,"销售出库",周转筐出入库明细!$Q$4:$Q$2004,"已收讫"),2),ROUND(SUMIFS(包装物料出入库明细!$N$4:$N$2003,包装物料出入库明细!$D$4:$D$2003,$B446,包装物料出入库明细!$H$4:$H$2003,"销售出库",包装物料出入库明细!$P$4:$P$2003,"已收讫"),2)))</f>
        <v/>
      </c>
      <c r="I446" s="27"/>
    </row>
    <row r="447" spans="1:9">
      <c r="A447" s="22" t="str">
        <f t="shared" si="18"/>
        <v/>
      </c>
      <c r="B447" s="37" t="str">
        <f>IFERROR(INDEX(_自动清单!$CL$4:$CL$203,INT((ROW()-160)/2)+1),"")</f>
        <v/>
      </c>
      <c r="C447" s="37" t="str">
        <f t="shared" si="19"/>
        <v/>
      </c>
      <c r="D447" s="26">
        <f>IF($B447="",0,IF($C447="筐子销售款",ROUND(SUMIFS(周转筐出入库明细!$P$4:$P$2004,周转筐出入库明细!$C$4:$C$2004,$B447,周转筐出入库明细!$F$4:$F$2004,"销售出库"),2),ROUND(SUMIFS(包装物料出入库明细!$N$4:$N$2003,包装物料出入库明细!$D$4:$D$2003,$B447,包装物料出入库明细!$H$4:$H$2003,"销售出库"),2)))</f>
        <v>0</v>
      </c>
      <c r="E447" s="26">
        <f>IF($B447="",0,IF($C447="筐子销售款",ROUND(SUMIFS(周转筐出入库明细!$P$4:$P$2004,周转筐出入库明细!$C$4:$C$2004,$B447,周转筐出入库明细!$F$4:$F$2004,"采购入库"),2),ROUND(SUMIFS(包装物料出入库明细!$N$4:$N$2003,包装物料出入库明细!$D$4:$D$2003,$B447,包装物料出入库明细!$H$4:$H$2003,"采购入库"),2)))</f>
        <v>0</v>
      </c>
      <c r="F447" s="24"/>
      <c r="G447" s="26" t="str">
        <f t="shared" si="20"/>
        <v/>
      </c>
      <c r="H447" s="26" t="str">
        <f>IF($B447="","",IF($C447="筐子销售款",ROUND(SUMIFS(周转筐出入库明细!$P$4:$P$2004,周转筐出入库明细!$C$4:$C$2004,$B447,周转筐出入库明细!$F$4:$F$2004,"销售出库",周转筐出入库明细!$Q$4:$Q$2004,"已收讫"),2),ROUND(SUMIFS(包装物料出入库明细!$N$4:$N$2003,包装物料出入库明细!$D$4:$D$2003,$B447,包装物料出入库明细!$H$4:$H$2003,"销售出库",包装物料出入库明细!$P$4:$P$2003,"已收讫"),2)))</f>
        <v/>
      </c>
      <c r="I447" s="27"/>
    </row>
    <row r="448" spans="1:9">
      <c r="A448" s="22" t="str">
        <f t="shared" si="18"/>
        <v/>
      </c>
      <c r="B448" s="37" t="str">
        <f>IFERROR(INDEX(_自动清单!$CL$4:$CL$203,INT((ROW()-160)/2)+1),"")</f>
        <v/>
      </c>
      <c r="C448" s="37" t="str">
        <f t="shared" si="19"/>
        <v/>
      </c>
      <c r="D448" s="26">
        <f>IF($B448="",0,IF($C448="筐子销售款",ROUND(SUMIFS(周转筐出入库明细!$P$4:$P$2004,周转筐出入库明细!$C$4:$C$2004,$B448,周转筐出入库明细!$F$4:$F$2004,"销售出库"),2),ROUND(SUMIFS(包装物料出入库明细!$N$4:$N$2003,包装物料出入库明细!$D$4:$D$2003,$B448,包装物料出入库明细!$H$4:$H$2003,"销售出库"),2)))</f>
        <v>0</v>
      </c>
      <c r="E448" s="26">
        <f>IF($B448="",0,IF($C448="筐子销售款",ROUND(SUMIFS(周转筐出入库明细!$P$4:$P$2004,周转筐出入库明细!$C$4:$C$2004,$B448,周转筐出入库明细!$F$4:$F$2004,"采购入库"),2),ROUND(SUMIFS(包装物料出入库明细!$N$4:$N$2003,包装物料出入库明细!$D$4:$D$2003,$B448,包装物料出入库明细!$H$4:$H$2003,"采购入库"),2)))</f>
        <v>0</v>
      </c>
      <c r="F448" s="24"/>
      <c r="G448" s="26" t="str">
        <f t="shared" si="20"/>
        <v/>
      </c>
      <c r="H448" s="26" t="str">
        <f>IF($B448="","",IF($C448="筐子销售款",ROUND(SUMIFS(周转筐出入库明细!$P$4:$P$2004,周转筐出入库明细!$C$4:$C$2004,$B448,周转筐出入库明细!$F$4:$F$2004,"销售出库",周转筐出入库明细!$Q$4:$Q$2004,"已收讫"),2),ROUND(SUMIFS(包装物料出入库明细!$N$4:$N$2003,包装物料出入库明细!$D$4:$D$2003,$B448,包装物料出入库明细!$H$4:$H$2003,"销售出库",包装物料出入库明细!$P$4:$P$2003,"已收讫"),2)))</f>
        <v/>
      </c>
      <c r="I448" s="27"/>
    </row>
    <row r="449" spans="1:9">
      <c r="A449" s="22" t="str">
        <f t="shared" si="18"/>
        <v/>
      </c>
      <c r="B449" s="37" t="str">
        <f>IFERROR(INDEX(_自动清单!$CL$4:$CL$203,INT((ROW()-160)/2)+1),"")</f>
        <v/>
      </c>
      <c r="C449" s="37" t="str">
        <f t="shared" si="19"/>
        <v/>
      </c>
      <c r="D449" s="26">
        <f>IF($B449="",0,IF($C449="筐子销售款",ROUND(SUMIFS(周转筐出入库明细!$P$4:$P$2004,周转筐出入库明细!$C$4:$C$2004,$B449,周转筐出入库明细!$F$4:$F$2004,"销售出库"),2),ROUND(SUMIFS(包装物料出入库明细!$N$4:$N$2003,包装物料出入库明细!$D$4:$D$2003,$B449,包装物料出入库明细!$H$4:$H$2003,"销售出库"),2)))</f>
        <v>0</v>
      </c>
      <c r="E449" s="26">
        <f>IF($B449="",0,IF($C449="筐子销售款",ROUND(SUMIFS(周转筐出入库明细!$P$4:$P$2004,周转筐出入库明细!$C$4:$C$2004,$B449,周转筐出入库明细!$F$4:$F$2004,"采购入库"),2),ROUND(SUMIFS(包装物料出入库明细!$N$4:$N$2003,包装物料出入库明细!$D$4:$D$2003,$B449,包装物料出入库明细!$H$4:$H$2003,"采购入库"),2)))</f>
        <v>0</v>
      </c>
      <c r="F449" s="24"/>
      <c r="G449" s="26" t="str">
        <f t="shared" si="20"/>
        <v/>
      </c>
      <c r="H449" s="26" t="str">
        <f>IF($B449="","",IF($C449="筐子销售款",ROUND(SUMIFS(周转筐出入库明细!$P$4:$P$2004,周转筐出入库明细!$C$4:$C$2004,$B449,周转筐出入库明细!$F$4:$F$2004,"销售出库",周转筐出入库明细!$Q$4:$Q$2004,"已收讫"),2),ROUND(SUMIFS(包装物料出入库明细!$N$4:$N$2003,包装物料出入库明细!$D$4:$D$2003,$B449,包装物料出入库明细!$H$4:$H$2003,"销售出库",包装物料出入库明细!$P$4:$P$2003,"已收讫"),2)))</f>
        <v/>
      </c>
      <c r="I449" s="27"/>
    </row>
    <row r="450" spans="1:9">
      <c r="A450" s="22" t="str">
        <f t="shared" si="18"/>
        <v/>
      </c>
      <c r="B450" s="37" t="str">
        <f>IFERROR(INDEX(_自动清单!$CL$4:$CL$203,INT((ROW()-160)/2)+1),"")</f>
        <v/>
      </c>
      <c r="C450" s="37" t="str">
        <f t="shared" si="19"/>
        <v/>
      </c>
      <c r="D450" s="26">
        <f>IF($B450="",0,IF($C450="筐子销售款",ROUND(SUMIFS(周转筐出入库明细!$P$4:$P$2004,周转筐出入库明细!$C$4:$C$2004,$B450,周转筐出入库明细!$F$4:$F$2004,"销售出库"),2),ROUND(SUMIFS(包装物料出入库明细!$N$4:$N$2003,包装物料出入库明细!$D$4:$D$2003,$B450,包装物料出入库明细!$H$4:$H$2003,"销售出库"),2)))</f>
        <v>0</v>
      </c>
      <c r="E450" s="26">
        <f>IF($B450="",0,IF($C450="筐子销售款",ROUND(SUMIFS(周转筐出入库明细!$P$4:$P$2004,周转筐出入库明细!$C$4:$C$2004,$B450,周转筐出入库明细!$F$4:$F$2004,"采购入库"),2),ROUND(SUMIFS(包装物料出入库明细!$N$4:$N$2003,包装物料出入库明细!$D$4:$D$2003,$B450,包装物料出入库明细!$H$4:$H$2003,"采购入库"),2)))</f>
        <v>0</v>
      </c>
      <c r="F450" s="24"/>
      <c r="G450" s="26" t="str">
        <f t="shared" si="20"/>
        <v/>
      </c>
      <c r="H450" s="26" t="str">
        <f>IF($B450="","",IF($C450="筐子销售款",ROUND(SUMIFS(周转筐出入库明细!$P$4:$P$2004,周转筐出入库明细!$C$4:$C$2004,$B450,周转筐出入库明细!$F$4:$F$2004,"销售出库",周转筐出入库明细!$Q$4:$Q$2004,"已收讫"),2),ROUND(SUMIFS(包装物料出入库明细!$N$4:$N$2003,包装物料出入库明细!$D$4:$D$2003,$B450,包装物料出入库明细!$H$4:$H$2003,"销售出库",包装物料出入库明细!$P$4:$P$2003,"已收讫"),2)))</f>
        <v/>
      </c>
      <c r="I450" s="27"/>
    </row>
    <row r="451" spans="1:9">
      <c r="A451" s="22" t="str">
        <f t="shared" si="18"/>
        <v/>
      </c>
      <c r="B451" s="37" t="str">
        <f>IFERROR(INDEX(_自动清单!$CL$4:$CL$203,INT((ROW()-160)/2)+1),"")</f>
        <v/>
      </c>
      <c r="C451" s="37" t="str">
        <f t="shared" si="19"/>
        <v/>
      </c>
      <c r="D451" s="26">
        <f>IF($B451="",0,IF($C451="筐子销售款",ROUND(SUMIFS(周转筐出入库明细!$P$4:$P$2004,周转筐出入库明细!$C$4:$C$2004,$B451,周转筐出入库明细!$F$4:$F$2004,"销售出库"),2),ROUND(SUMIFS(包装物料出入库明细!$N$4:$N$2003,包装物料出入库明细!$D$4:$D$2003,$B451,包装物料出入库明细!$H$4:$H$2003,"销售出库"),2)))</f>
        <v>0</v>
      </c>
      <c r="E451" s="26">
        <f>IF($B451="",0,IF($C451="筐子销售款",ROUND(SUMIFS(周转筐出入库明细!$P$4:$P$2004,周转筐出入库明细!$C$4:$C$2004,$B451,周转筐出入库明细!$F$4:$F$2004,"采购入库"),2),ROUND(SUMIFS(包装物料出入库明细!$N$4:$N$2003,包装物料出入库明细!$D$4:$D$2003,$B451,包装物料出入库明细!$H$4:$H$2003,"采购入库"),2)))</f>
        <v>0</v>
      </c>
      <c r="F451" s="24"/>
      <c r="G451" s="26" t="str">
        <f t="shared" si="20"/>
        <v/>
      </c>
      <c r="H451" s="26" t="str">
        <f>IF($B451="","",IF($C451="筐子销售款",ROUND(SUMIFS(周转筐出入库明细!$P$4:$P$2004,周转筐出入库明细!$C$4:$C$2004,$B451,周转筐出入库明细!$F$4:$F$2004,"销售出库",周转筐出入库明细!$Q$4:$Q$2004,"已收讫"),2),ROUND(SUMIFS(包装物料出入库明细!$N$4:$N$2003,包装物料出入库明细!$D$4:$D$2003,$B451,包装物料出入库明细!$H$4:$H$2003,"销售出库",包装物料出入库明细!$P$4:$P$2003,"已收讫"),2)))</f>
        <v/>
      </c>
      <c r="I451" s="27"/>
    </row>
    <row r="452" spans="1:9">
      <c r="A452" s="22" t="str">
        <f t="shared" si="18"/>
        <v/>
      </c>
      <c r="B452" s="37" t="str">
        <f>IFERROR(INDEX(_自动清单!$CL$4:$CL$203,INT((ROW()-160)/2)+1),"")</f>
        <v/>
      </c>
      <c r="C452" s="37" t="str">
        <f t="shared" si="19"/>
        <v/>
      </c>
      <c r="D452" s="26">
        <f>IF($B452="",0,IF($C452="筐子销售款",ROUND(SUMIFS(周转筐出入库明细!$P$4:$P$2004,周转筐出入库明细!$C$4:$C$2004,$B452,周转筐出入库明细!$F$4:$F$2004,"销售出库"),2),ROUND(SUMIFS(包装物料出入库明细!$N$4:$N$2003,包装物料出入库明细!$D$4:$D$2003,$B452,包装物料出入库明细!$H$4:$H$2003,"销售出库"),2)))</f>
        <v>0</v>
      </c>
      <c r="E452" s="26">
        <f>IF($B452="",0,IF($C452="筐子销售款",ROUND(SUMIFS(周转筐出入库明细!$P$4:$P$2004,周转筐出入库明细!$C$4:$C$2004,$B452,周转筐出入库明细!$F$4:$F$2004,"采购入库"),2),ROUND(SUMIFS(包装物料出入库明细!$N$4:$N$2003,包装物料出入库明细!$D$4:$D$2003,$B452,包装物料出入库明细!$H$4:$H$2003,"采购入库"),2)))</f>
        <v>0</v>
      </c>
      <c r="F452" s="24"/>
      <c r="G452" s="26" t="str">
        <f t="shared" si="20"/>
        <v/>
      </c>
      <c r="H452" s="26" t="str">
        <f>IF($B452="","",IF($C452="筐子销售款",ROUND(SUMIFS(周转筐出入库明细!$P$4:$P$2004,周转筐出入库明细!$C$4:$C$2004,$B452,周转筐出入库明细!$F$4:$F$2004,"销售出库",周转筐出入库明细!$Q$4:$Q$2004,"已收讫"),2),ROUND(SUMIFS(包装物料出入库明细!$N$4:$N$2003,包装物料出入库明细!$D$4:$D$2003,$B452,包装物料出入库明细!$H$4:$H$2003,"销售出库",包装物料出入库明细!$P$4:$P$2003,"已收讫"),2)))</f>
        <v/>
      </c>
      <c r="I452" s="27"/>
    </row>
    <row r="453" spans="1:9">
      <c r="A453" s="22" t="str">
        <f t="shared" si="18"/>
        <v/>
      </c>
      <c r="B453" s="37" t="str">
        <f>IFERROR(INDEX(_自动清单!$CL$4:$CL$203,INT((ROW()-160)/2)+1),"")</f>
        <v/>
      </c>
      <c r="C453" s="37" t="str">
        <f t="shared" si="19"/>
        <v/>
      </c>
      <c r="D453" s="26">
        <f>IF($B453="",0,IF($C453="筐子销售款",ROUND(SUMIFS(周转筐出入库明细!$P$4:$P$2004,周转筐出入库明细!$C$4:$C$2004,$B453,周转筐出入库明细!$F$4:$F$2004,"销售出库"),2),ROUND(SUMIFS(包装物料出入库明细!$N$4:$N$2003,包装物料出入库明细!$D$4:$D$2003,$B453,包装物料出入库明细!$H$4:$H$2003,"销售出库"),2)))</f>
        <v>0</v>
      </c>
      <c r="E453" s="26">
        <f>IF($B453="",0,IF($C453="筐子销售款",ROUND(SUMIFS(周转筐出入库明细!$P$4:$P$2004,周转筐出入库明细!$C$4:$C$2004,$B453,周转筐出入库明细!$F$4:$F$2004,"采购入库"),2),ROUND(SUMIFS(包装物料出入库明细!$N$4:$N$2003,包装物料出入库明细!$D$4:$D$2003,$B453,包装物料出入库明细!$H$4:$H$2003,"采购入库"),2)))</f>
        <v>0</v>
      </c>
      <c r="F453" s="24"/>
      <c r="G453" s="26" t="str">
        <f t="shared" si="20"/>
        <v/>
      </c>
      <c r="H453" s="26" t="str">
        <f>IF($B453="","",IF($C453="筐子销售款",ROUND(SUMIFS(周转筐出入库明细!$P$4:$P$2004,周转筐出入库明细!$C$4:$C$2004,$B453,周转筐出入库明细!$F$4:$F$2004,"销售出库",周转筐出入库明细!$Q$4:$Q$2004,"已收讫"),2),ROUND(SUMIFS(包装物料出入库明细!$N$4:$N$2003,包装物料出入库明细!$D$4:$D$2003,$B453,包装物料出入库明细!$H$4:$H$2003,"销售出库",包装物料出入库明细!$P$4:$P$2003,"已收讫"),2)))</f>
        <v/>
      </c>
      <c r="I453" s="27"/>
    </row>
    <row r="454" spans="1:9">
      <c r="A454" s="22" t="str">
        <f t="shared" si="18"/>
        <v/>
      </c>
      <c r="B454" s="37" t="str">
        <f>IFERROR(INDEX(_自动清单!$CL$4:$CL$203,INT((ROW()-160)/2)+1),"")</f>
        <v/>
      </c>
      <c r="C454" s="37" t="str">
        <f t="shared" si="19"/>
        <v/>
      </c>
      <c r="D454" s="26">
        <f>IF($B454="",0,IF($C454="筐子销售款",ROUND(SUMIFS(周转筐出入库明细!$P$4:$P$2004,周转筐出入库明细!$C$4:$C$2004,$B454,周转筐出入库明细!$F$4:$F$2004,"销售出库"),2),ROUND(SUMIFS(包装物料出入库明细!$N$4:$N$2003,包装物料出入库明细!$D$4:$D$2003,$B454,包装物料出入库明细!$H$4:$H$2003,"销售出库"),2)))</f>
        <v>0</v>
      </c>
      <c r="E454" s="26">
        <f>IF($B454="",0,IF($C454="筐子销售款",ROUND(SUMIFS(周转筐出入库明细!$P$4:$P$2004,周转筐出入库明细!$C$4:$C$2004,$B454,周转筐出入库明细!$F$4:$F$2004,"采购入库"),2),ROUND(SUMIFS(包装物料出入库明细!$N$4:$N$2003,包装物料出入库明细!$D$4:$D$2003,$B454,包装物料出入库明细!$H$4:$H$2003,"采购入库"),2)))</f>
        <v>0</v>
      </c>
      <c r="F454" s="24"/>
      <c r="G454" s="26" t="str">
        <f t="shared" si="20"/>
        <v/>
      </c>
      <c r="H454" s="26" t="str">
        <f>IF($B454="","",IF($C454="筐子销售款",ROUND(SUMIFS(周转筐出入库明细!$P$4:$P$2004,周转筐出入库明细!$C$4:$C$2004,$B454,周转筐出入库明细!$F$4:$F$2004,"销售出库",周转筐出入库明细!$Q$4:$Q$2004,"已收讫"),2),ROUND(SUMIFS(包装物料出入库明细!$N$4:$N$2003,包装物料出入库明细!$D$4:$D$2003,$B454,包装物料出入库明细!$H$4:$H$2003,"销售出库",包装物料出入库明细!$P$4:$P$2003,"已收讫"),2)))</f>
        <v/>
      </c>
      <c r="I454" s="27"/>
    </row>
    <row r="455" spans="1:9">
      <c r="A455" s="22" t="str">
        <f t="shared" si="18"/>
        <v/>
      </c>
      <c r="B455" s="37" t="str">
        <f>IFERROR(INDEX(_自动清单!$CL$4:$CL$203,INT((ROW()-160)/2)+1),"")</f>
        <v/>
      </c>
      <c r="C455" s="37" t="str">
        <f t="shared" si="19"/>
        <v/>
      </c>
      <c r="D455" s="26">
        <f>IF($B455="",0,IF($C455="筐子销售款",ROUND(SUMIFS(周转筐出入库明细!$P$4:$P$2004,周转筐出入库明细!$C$4:$C$2004,$B455,周转筐出入库明细!$F$4:$F$2004,"销售出库"),2),ROUND(SUMIFS(包装物料出入库明细!$N$4:$N$2003,包装物料出入库明细!$D$4:$D$2003,$B455,包装物料出入库明细!$H$4:$H$2003,"销售出库"),2)))</f>
        <v>0</v>
      </c>
      <c r="E455" s="26">
        <f>IF($B455="",0,IF($C455="筐子销售款",ROUND(SUMIFS(周转筐出入库明细!$P$4:$P$2004,周转筐出入库明细!$C$4:$C$2004,$B455,周转筐出入库明细!$F$4:$F$2004,"采购入库"),2),ROUND(SUMIFS(包装物料出入库明细!$N$4:$N$2003,包装物料出入库明细!$D$4:$D$2003,$B455,包装物料出入库明细!$H$4:$H$2003,"采购入库"),2)))</f>
        <v>0</v>
      </c>
      <c r="F455" s="24"/>
      <c r="G455" s="26" t="str">
        <f t="shared" si="20"/>
        <v/>
      </c>
      <c r="H455" s="26" t="str">
        <f>IF($B455="","",IF($C455="筐子销售款",ROUND(SUMIFS(周转筐出入库明细!$P$4:$P$2004,周转筐出入库明细!$C$4:$C$2004,$B455,周转筐出入库明细!$F$4:$F$2004,"销售出库",周转筐出入库明细!$Q$4:$Q$2004,"已收讫"),2),ROUND(SUMIFS(包装物料出入库明细!$N$4:$N$2003,包装物料出入库明细!$D$4:$D$2003,$B455,包装物料出入库明细!$H$4:$H$2003,"销售出库",包装物料出入库明细!$P$4:$P$2003,"已收讫"),2)))</f>
        <v/>
      </c>
      <c r="I455" s="27"/>
    </row>
    <row r="456" spans="1:9">
      <c r="A456" s="22" t="str">
        <f t="shared" si="18"/>
        <v/>
      </c>
      <c r="B456" s="37" t="str">
        <f>IFERROR(INDEX(_自动清单!$CL$4:$CL$203,INT((ROW()-160)/2)+1),"")</f>
        <v/>
      </c>
      <c r="C456" s="37" t="str">
        <f t="shared" si="19"/>
        <v/>
      </c>
      <c r="D456" s="26">
        <f>IF($B456="",0,IF($C456="筐子销售款",ROUND(SUMIFS(周转筐出入库明细!$P$4:$P$2004,周转筐出入库明细!$C$4:$C$2004,$B456,周转筐出入库明细!$F$4:$F$2004,"销售出库"),2),ROUND(SUMIFS(包装物料出入库明细!$N$4:$N$2003,包装物料出入库明细!$D$4:$D$2003,$B456,包装物料出入库明细!$H$4:$H$2003,"销售出库"),2)))</f>
        <v>0</v>
      </c>
      <c r="E456" s="26">
        <f>IF($B456="",0,IF($C456="筐子销售款",ROUND(SUMIFS(周转筐出入库明细!$P$4:$P$2004,周转筐出入库明细!$C$4:$C$2004,$B456,周转筐出入库明细!$F$4:$F$2004,"采购入库"),2),ROUND(SUMIFS(包装物料出入库明细!$N$4:$N$2003,包装物料出入库明细!$D$4:$D$2003,$B456,包装物料出入库明细!$H$4:$H$2003,"采购入库"),2)))</f>
        <v>0</v>
      </c>
      <c r="F456" s="24"/>
      <c r="G456" s="26" t="str">
        <f t="shared" si="20"/>
        <v/>
      </c>
      <c r="H456" s="26" t="str">
        <f>IF($B456="","",IF($C456="筐子销售款",ROUND(SUMIFS(周转筐出入库明细!$P$4:$P$2004,周转筐出入库明细!$C$4:$C$2004,$B456,周转筐出入库明细!$F$4:$F$2004,"销售出库",周转筐出入库明细!$Q$4:$Q$2004,"已收讫"),2),ROUND(SUMIFS(包装物料出入库明细!$N$4:$N$2003,包装物料出入库明细!$D$4:$D$2003,$B456,包装物料出入库明细!$H$4:$H$2003,"销售出库",包装物料出入库明细!$P$4:$P$2003,"已收讫"),2)))</f>
        <v/>
      </c>
      <c r="I456" s="27"/>
    </row>
    <row r="457" spans="1:9">
      <c r="A457" s="22" t="str">
        <f t="shared" si="18"/>
        <v/>
      </c>
      <c r="B457" s="37" t="str">
        <f>IFERROR(INDEX(_自动清单!$CL$4:$CL$203,INT((ROW()-160)/2)+1),"")</f>
        <v/>
      </c>
      <c r="C457" s="37" t="str">
        <f t="shared" si="19"/>
        <v/>
      </c>
      <c r="D457" s="26">
        <f>IF($B457="",0,IF($C457="筐子销售款",ROUND(SUMIFS(周转筐出入库明细!$P$4:$P$2004,周转筐出入库明细!$C$4:$C$2004,$B457,周转筐出入库明细!$F$4:$F$2004,"销售出库"),2),ROUND(SUMIFS(包装物料出入库明细!$N$4:$N$2003,包装物料出入库明细!$D$4:$D$2003,$B457,包装物料出入库明细!$H$4:$H$2003,"销售出库"),2)))</f>
        <v>0</v>
      </c>
      <c r="E457" s="26">
        <f>IF($B457="",0,IF($C457="筐子销售款",ROUND(SUMIFS(周转筐出入库明细!$P$4:$P$2004,周转筐出入库明细!$C$4:$C$2004,$B457,周转筐出入库明细!$F$4:$F$2004,"采购入库"),2),ROUND(SUMIFS(包装物料出入库明细!$N$4:$N$2003,包装物料出入库明细!$D$4:$D$2003,$B457,包装物料出入库明细!$H$4:$H$2003,"采购入库"),2)))</f>
        <v>0</v>
      </c>
      <c r="F457" s="24"/>
      <c r="G457" s="26" t="str">
        <f t="shared" si="20"/>
        <v/>
      </c>
      <c r="H457" s="26" t="str">
        <f>IF($B457="","",IF($C457="筐子销售款",ROUND(SUMIFS(周转筐出入库明细!$P$4:$P$2004,周转筐出入库明细!$C$4:$C$2004,$B457,周转筐出入库明细!$F$4:$F$2004,"销售出库",周转筐出入库明细!$Q$4:$Q$2004,"已收讫"),2),ROUND(SUMIFS(包装物料出入库明细!$N$4:$N$2003,包装物料出入库明细!$D$4:$D$2003,$B457,包装物料出入库明细!$H$4:$H$2003,"销售出库",包装物料出入库明细!$P$4:$P$2003,"已收讫"),2)))</f>
        <v/>
      </c>
      <c r="I457" s="27"/>
    </row>
    <row r="458" spans="1:9">
      <c r="A458" s="22" t="str">
        <f t="shared" si="18"/>
        <v/>
      </c>
      <c r="B458" s="37" t="str">
        <f>IFERROR(INDEX(_自动清单!$CL$4:$CL$203,INT((ROW()-160)/2)+1),"")</f>
        <v/>
      </c>
      <c r="C458" s="37" t="str">
        <f t="shared" si="19"/>
        <v/>
      </c>
      <c r="D458" s="26">
        <f>IF($B458="",0,IF($C458="筐子销售款",ROUND(SUMIFS(周转筐出入库明细!$P$4:$P$2004,周转筐出入库明细!$C$4:$C$2004,$B458,周转筐出入库明细!$F$4:$F$2004,"销售出库"),2),ROUND(SUMIFS(包装物料出入库明细!$N$4:$N$2003,包装物料出入库明细!$D$4:$D$2003,$B458,包装物料出入库明细!$H$4:$H$2003,"销售出库"),2)))</f>
        <v>0</v>
      </c>
      <c r="E458" s="26">
        <f>IF($B458="",0,IF($C458="筐子销售款",ROUND(SUMIFS(周转筐出入库明细!$P$4:$P$2004,周转筐出入库明细!$C$4:$C$2004,$B458,周转筐出入库明细!$F$4:$F$2004,"采购入库"),2),ROUND(SUMIFS(包装物料出入库明细!$N$4:$N$2003,包装物料出入库明细!$D$4:$D$2003,$B458,包装物料出入库明细!$H$4:$H$2003,"采购入库"),2)))</f>
        <v>0</v>
      </c>
      <c r="F458" s="24"/>
      <c r="G458" s="26" t="str">
        <f t="shared" si="20"/>
        <v/>
      </c>
      <c r="H458" s="26" t="str">
        <f>IF($B458="","",IF($C458="筐子销售款",ROUND(SUMIFS(周转筐出入库明细!$P$4:$P$2004,周转筐出入库明细!$C$4:$C$2004,$B458,周转筐出入库明细!$F$4:$F$2004,"销售出库",周转筐出入库明细!$Q$4:$Q$2004,"已收讫"),2),ROUND(SUMIFS(包装物料出入库明细!$N$4:$N$2003,包装物料出入库明细!$D$4:$D$2003,$B458,包装物料出入库明细!$H$4:$H$2003,"销售出库",包装物料出入库明细!$P$4:$P$2003,"已收讫"),2)))</f>
        <v/>
      </c>
      <c r="I458" s="27"/>
    </row>
    <row r="459" spans="1:9">
      <c r="A459" s="22" t="str">
        <f t="shared" si="18"/>
        <v/>
      </c>
      <c r="B459" s="37" t="str">
        <f>IFERROR(INDEX(_自动清单!$CL$4:$CL$203,INT((ROW()-160)/2)+1),"")</f>
        <v/>
      </c>
      <c r="C459" s="37" t="str">
        <f t="shared" si="19"/>
        <v/>
      </c>
      <c r="D459" s="26">
        <f>IF($B459="",0,IF($C459="筐子销售款",ROUND(SUMIFS(周转筐出入库明细!$P$4:$P$2004,周转筐出入库明细!$C$4:$C$2004,$B459,周转筐出入库明细!$F$4:$F$2004,"销售出库"),2),ROUND(SUMIFS(包装物料出入库明细!$N$4:$N$2003,包装物料出入库明细!$D$4:$D$2003,$B459,包装物料出入库明细!$H$4:$H$2003,"销售出库"),2)))</f>
        <v>0</v>
      </c>
      <c r="E459" s="26">
        <f>IF($B459="",0,IF($C459="筐子销售款",ROUND(SUMIFS(周转筐出入库明细!$P$4:$P$2004,周转筐出入库明细!$C$4:$C$2004,$B459,周转筐出入库明细!$F$4:$F$2004,"采购入库"),2),ROUND(SUMIFS(包装物料出入库明细!$N$4:$N$2003,包装物料出入库明细!$D$4:$D$2003,$B459,包装物料出入库明细!$H$4:$H$2003,"采购入库"),2)))</f>
        <v>0</v>
      </c>
      <c r="F459" s="24"/>
      <c r="G459" s="26" t="str">
        <f t="shared" si="20"/>
        <v/>
      </c>
      <c r="H459" s="26" t="str">
        <f>IF($B459="","",IF($C459="筐子销售款",ROUND(SUMIFS(周转筐出入库明细!$P$4:$P$2004,周转筐出入库明细!$C$4:$C$2004,$B459,周转筐出入库明细!$F$4:$F$2004,"销售出库",周转筐出入库明细!$Q$4:$Q$2004,"已收讫"),2),ROUND(SUMIFS(包装物料出入库明细!$N$4:$N$2003,包装物料出入库明细!$D$4:$D$2003,$B459,包装物料出入库明细!$H$4:$H$2003,"销售出库",包装物料出入库明细!$P$4:$P$2003,"已收讫"),2)))</f>
        <v/>
      </c>
      <c r="I459" s="27"/>
    </row>
  </sheetData>
  <mergeCells count="6">
    <mergeCell ref="A1:I1"/>
    <mergeCell ref="A2:C2"/>
    <mergeCell ref="G2:I2"/>
    <mergeCell ref="A101:I101"/>
    <mergeCell ref="A152:I152"/>
    <mergeCell ref="A158:I158"/>
  </mergeCells>
  <conditionalFormatting sqref="A2">
    <cfRule type="expression" dxfId="0" priority="1">
      <formula>(N(_自动清单!$CE$1)&gt;69)</formula>
    </cfRule>
    <cfRule type="expression" dxfId="0" priority="2">
      <formula>(N(_自动清单!$BS$1)&gt;69)</formula>
    </cfRule>
  </conditionalFormatting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5"/>
  <sheetViews>
    <sheetView showGridLines="0" workbookViewId="0">
      <pane ySplit="3" topLeftCell="A7" activePane="bottomLeft" state="frozen"/>
      <selection/>
      <selection pane="bottomLeft" activeCell="P9" sqref="P9"/>
    </sheetView>
  </sheetViews>
  <sheetFormatPr defaultColWidth="8.67619047619048" defaultRowHeight="15" outlineLevelCol="4"/>
  <cols>
    <col min="1" max="1" width="26" customWidth="1"/>
    <col min="2" max="2" width="24" customWidth="1"/>
    <col min="3" max="3" width="52" customWidth="1"/>
    <col min="4" max="4" width="20" customWidth="1"/>
    <col min="5" max="5" width="36" customWidth="1"/>
  </cols>
  <sheetData>
    <row r="1" ht="30" customHeight="1" spans="1:5">
      <c r="A1" s="2" t="s">
        <v>611</v>
      </c>
    </row>
    <row r="2" ht="18" customHeight="1" spans="1:5">
      <c r="A2" s="3" t="s">
        <v>612</v>
      </c>
    </row>
    <row r="3" ht="33.75" customHeight="1" spans="1:5">
      <c r="A3" s="4" t="s">
        <v>613</v>
      </c>
      <c r="B3" s="4" t="s">
        <v>614</v>
      </c>
      <c r="C3" s="4" t="s">
        <v>615</v>
      </c>
      <c r="D3" s="4" t="s">
        <v>616</v>
      </c>
      <c r="E3" s="4" t="s">
        <v>49</v>
      </c>
    </row>
    <row r="4" ht="45.75" customHeight="1" spans="1:5">
      <c r="A4" s="5" t="s">
        <v>617</v>
      </c>
      <c r="B4" s="6" t="s">
        <v>618</v>
      </c>
      <c r="C4" s="6" t="s">
        <v>619</v>
      </c>
      <c r="D4" s="6" t="s">
        <v>7</v>
      </c>
      <c r="E4" s="6" t="s">
        <v>620</v>
      </c>
    </row>
    <row r="5" ht="45.75" customHeight="1" spans="1:5">
      <c r="A5" s="6" t="s">
        <v>621</v>
      </c>
      <c r="B5" s="6" t="s">
        <v>622</v>
      </c>
      <c r="C5" s="6" t="s">
        <v>623</v>
      </c>
      <c r="D5" s="6" t="s">
        <v>35</v>
      </c>
      <c r="E5" s="6" t="s">
        <v>624</v>
      </c>
    </row>
    <row r="6" ht="45.75" customHeight="1" spans="1:5">
      <c r="A6" s="6" t="s">
        <v>621</v>
      </c>
      <c r="B6" s="6" t="s">
        <v>625</v>
      </c>
      <c r="C6" s="6" t="s">
        <v>626</v>
      </c>
      <c r="D6" s="6" t="s">
        <v>20</v>
      </c>
      <c r="E6" s="6" t="s">
        <v>627</v>
      </c>
    </row>
    <row r="7" ht="45.75" customHeight="1" spans="1:5">
      <c r="A7" s="5" t="s">
        <v>628</v>
      </c>
      <c r="B7" s="6" t="s">
        <v>10</v>
      </c>
      <c r="C7" s="6" t="s">
        <v>629</v>
      </c>
      <c r="D7" s="6" t="s">
        <v>10</v>
      </c>
      <c r="E7" s="6" t="s">
        <v>630</v>
      </c>
    </row>
    <row r="8" ht="45.75" customHeight="1" spans="1:5">
      <c r="A8" s="6" t="s">
        <v>621</v>
      </c>
      <c r="B8" s="6" t="s">
        <v>631</v>
      </c>
      <c r="C8" s="6" t="s">
        <v>632</v>
      </c>
      <c r="D8" s="6" t="s">
        <v>25</v>
      </c>
      <c r="E8" s="6" t="s">
        <v>633</v>
      </c>
    </row>
    <row r="9" ht="45.75" customHeight="1" spans="1:5">
      <c r="A9" s="6" t="s">
        <v>621</v>
      </c>
      <c r="B9" s="6" t="s">
        <v>634</v>
      </c>
      <c r="C9" s="6" t="s">
        <v>635</v>
      </c>
      <c r="D9" s="6" t="s">
        <v>636</v>
      </c>
      <c r="E9" s="6" t="s">
        <v>637</v>
      </c>
    </row>
    <row r="10" ht="45.75" customHeight="1" spans="1:5">
      <c r="A10" s="6" t="s">
        <v>621</v>
      </c>
      <c r="B10" s="6" t="s">
        <v>638</v>
      </c>
      <c r="C10" s="6" t="s">
        <v>639</v>
      </c>
      <c r="D10" s="6" t="s">
        <v>640</v>
      </c>
      <c r="E10" s="6" t="s">
        <v>641</v>
      </c>
    </row>
    <row r="11" ht="45.75" customHeight="1" spans="1:5">
      <c r="A11" s="6" t="s">
        <v>621</v>
      </c>
      <c r="B11" s="6" t="s">
        <v>642</v>
      </c>
      <c r="C11" s="6" t="s">
        <v>643</v>
      </c>
      <c r="D11" s="6" t="s">
        <v>640</v>
      </c>
      <c r="E11" s="6" t="s">
        <v>644</v>
      </c>
    </row>
    <row r="12" ht="45.75" customHeight="1" spans="1:5">
      <c r="A12" s="6" t="s">
        <v>621</v>
      </c>
      <c r="B12" s="6" t="s">
        <v>645</v>
      </c>
      <c r="C12" s="6" t="s">
        <v>646</v>
      </c>
      <c r="D12" s="6" t="s">
        <v>647</v>
      </c>
      <c r="E12" s="6" t="s">
        <v>648</v>
      </c>
    </row>
    <row r="13" ht="45.75" customHeight="1" spans="1:5">
      <c r="A13" s="6" t="s">
        <v>621</v>
      </c>
      <c r="B13" s="6" t="s">
        <v>649</v>
      </c>
      <c r="C13" s="6" t="s">
        <v>650</v>
      </c>
      <c r="D13" s="6" t="s">
        <v>651</v>
      </c>
      <c r="E13" s="6" t="s">
        <v>652</v>
      </c>
    </row>
    <row r="14" ht="45.75" customHeight="1" spans="1:5">
      <c r="A14" s="6" t="s">
        <v>653</v>
      </c>
      <c r="B14" s="6" t="s">
        <v>654</v>
      </c>
      <c r="C14" s="6" t="s">
        <v>655</v>
      </c>
      <c r="D14" s="6" t="s">
        <v>10</v>
      </c>
      <c r="E14" s="6" t="s">
        <v>656</v>
      </c>
    </row>
    <row r="15" ht="45.75" customHeight="1" spans="1:5">
      <c r="A15" s="6" t="s">
        <v>653</v>
      </c>
      <c r="B15" s="6" t="s">
        <v>657</v>
      </c>
      <c r="C15" s="6" t="s">
        <v>658</v>
      </c>
      <c r="D15" s="6" t="s">
        <v>25</v>
      </c>
      <c r="E15" s="6" t="s">
        <v>659</v>
      </c>
    </row>
  </sheetData>
  <mergeCells count="2">
    <mergeCell ref="A1:E1"/>
    <mergeCell ref="A2:E2"/>
  </mergeCell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5803"/>
  <sheetViews>
    <sheetView topLeftCell="BZ1" workbookViewId="0">
      <selection activeCell="CP8" sqref="CP8"/>
    </sheetView>
  </sheetViews>
  <sheetFormatPr defaultColWidth="9" defaultRowHeight="15"/>
  <sheetData>
    <row r="1" spans="1:101">
      <c r="A1">
        <f>MAX($C$4:$C$2003)</f>
        <v>7</v>
      </c>
      <c r="K1">
        <f>MAX($M$4:$M$2003)</f>
        <v>9</v>
      </c>
      <c r="Q1">
        <f>MAX($S$4:$S$2003)</f>
        <v>5</v>
      </c>
      <c r="W1">
        <f>MAX($Y$4:$Y$2003)</f>
        <v>12</v>
      </c>
      <c r="AC1">
        <f>MAX($AE$4:$AE$1203)</f>
        <v>1</v>
      </c>
      <c r="AI1">
        <f>MAX($AK$4:$AK$1503)</f>
        <v>6</v>
      </c>
      <c r="AO1">
        <f>MAX($AQ$4:$AQ$603)</f>
        <v>1</v>
      </c>
      <c r="AU1">
        <f>MAX($AW$4:$AW$603)</f>
        <v>1</v>
      </c>
      <c r="BA1">
        <f>MAX($BC$4:$BC$303)</f>
        <v>14</v>
      </c>
      <c r="BG1">
        <f>MAX($BI$4:$BI$303)</f>
        <v>7</v>
      </c>
      <c r="BM1">
        <f>MAX($BO$4:$BO$183)</f>
        <v>8</v>
      </c>
      <c r="BS1">
        <f>MAX($BU$4:$BU$1103)</f>
        <v>18</v>
      </c>
      <c r="BY1">
        <f>MAX($CA$4:$CA$503)</f>
        <v>16</v>
      </c>
      <c r="CE1" t="str">
        <f>IF(MAX($CF$4:$CF$53)=0,"件",INDEX($CE$4:$CE$53,MATCH(MAX($CF$4:$CF$53),$CF$4:$CF$53,0)))</f>
        <v>包</v>
      </c>
      <c r="CP1">
        <f>MAX($CQ$4:$CQ$5803)</f>
        <v>110</v>
      </c>
      <c r="CS1">
        <f>MAX($CU$4:$CU$2003)</f>
        <v>1</v>
      </c>
    </row>
    <row r="2" spans="1:101">
      <c r="A2" t="s">
        <v>660</v>
      </c>
    </row>
    <row r="3" spans="1:101">
      <c r="A3" s="1" t="s">
        <v>122</v>
      </c>
      <c r="B3" s="1" t="s">
        <v>661</v>
      </c>
      <c r="C3" s="1" t="s">
        <v>283</v>
      </c>
      <c r="D3" s="1" t="s">
        <v>135</v>
      </c>
      <c r="E3" s="1" t="s">
        <v>536</v>
      </c>
      <c r="G3" s="1" t="s">
        <v>662</v>
      </c>
      <c r="H3" s="1" t="s">
        <v>663</v>
      </c>
      <c r="I3" s="1" t="s">
        <v>664</v>
      </c>
      <c r="K3" s="1" t="s">
        <v>665</v>
      </c>
      <c r="L3" s="1" t="s">
        <v>661</v>
      </c>
      <c r="M3" s="1" t="s">
        <v>283</v>
      </c>
      <c r="O3" s="1" t="s">
        <v>666</v>
      </c>
      <c r="Q3" s="1" t="s">
        <v>667</v>
      </c>
      <c r="R3" s="1" t="s">
        <v>661</v>
      </c>
      <c r="S3" s="1" t="s">
        <v>283</v>
      </c>
      <c r="U3" s="1" t="s">
        <v>668</v>
      </c>
      <c r="W3" s="1" t="s">
        <v>669</v>
      </c>
      <c r="X3" s="1" t="s">
        <v>661</v>
      </c>
      <c r="Y3" s="1" t="s">
        <v>283</v>
      </c>
      <c r="AA3" s="1" t="s">
        <v>670</v>
      </c>
      <c r="AC3" s="1" t="s">
        <v>671</v>
      </c>
      <c r="AD3" s="1" t="s">
        <v>661</v>
      </c>
      <c r="AE3" s="1" t="s">
        <v>283</v>
      </c>
      <c r="AG3" s="1" t="s">
        <v>672</v>
      </c>
      <c r="AI3" s="1" t="s">
        <v>673</v>
      </c>
      <c r="AJ3" s="1" t="s">
        <v>661</v>
      </c>
      <c r="AK3" s="1" t="s">
        <v>283</v>
      </c>
      <c r="AM3" s="1" t="s">
        <v>674</v>
      </c>
      <c r="AO3" s="1" t="s">
        <v>675</v>
      </c>
      <c r="AP3" s="1" t="s">
        <v>661</v>
      </c>
      <c r="AQ3" s="1" t="s">
        <v>283</v>
      </c>
      <c r="AS3" s="1" t="s">
        <v>676</v>
      </c>
      <c r="AU3" s="1" t="s">
        <v>677</v>
      </c>
      <c r="AV3" s="1" t="s">
        <v>661</v>
      </c>
      <c r="AW3" s="1" t="s">
        <v>283</v>
      </c>
      <c r="AY3" s="1" t="s">
        <v>678</v>
      </c>
      <c r="BA3" s="1" t="s">
        <v>679</v>
      </c>
      <c r="BB3" s="1" t="s">
        <v>661</v>
      </c>
      <c r="BC3" s="1" t="s">
        <v>283</v>
      </c>
      <c r="BE3" s="1" t="s">
        <v>680</v>
      </c>
      <c r="BG3" s="1" t="s">
        <v>681</v>
      </c>
      <c r="BH3" s="1" t="s">
        <v>661</v>
      </c>
      <c r="BI3" s="1" t="s">
        <v>283</v>
      </c>
      <c r="BK3" s="1" t="s">
        <v>682</v>
      </c>
      <c r="BM3" s="1" t="s">
        <v>683</v>
      </c>
      <c r="BN3" s="1" t="s">
        <v>661</v>
      </c>
      <c r="BO3" s="1" t="s">
        <v>283</v>
      </c>
      <c r="BQ3" s="1" t="s">
        <v>684</v>
      </c>
      <c r="BS3" s="1" t="s">
        <v>575</v>
      </c>
      <c r="BT3" s="1" t="s">
        <v>661</v>
      </c>
      <c r="BU3" s="1" t="s">
        <v>283</v>
      </c>
      <c r="BW3" s="1" t="s">
        <v>685</v>
      </c>
      <c r="BY3" s="1" t="s">
        <v>686</v>
      </c>
      <c r="BZ3" s="1" t="s">
        <v>661</v>
      </c>
      <c r="CA3" s="1" t="s">
        <v>283</v>
      </c>
      <c r="CC3" s="1" t="s">
        <v>687</v>
      </c>
      <c r="CE3" s="1" t="s">
        <v>536</v>
      </c>
      <c r="CF3" s="1" t="s">
        <v>688</v>
      </c>
      <c r="CI3" s="1" t="s">
        <v>689</v>
      </c>
      <c r="CP3" s="1" t="s">
        <v>690</v>
      </c>
      <c r="CQ3" s="1" t="s">
        <v>283</v>
      </c>
      <c r="CS3" s="1" t="s">
        <v>691</v>
      </c>
      <c r="CT3" s="1" t="s">
        <v>661</v>
      </c>
      <c r="CU3" s="1" t="s">
        <v>283</v>
      </c>
      <c r="CW3" s="1" t="s">
        <v>692</v>
      </c>
    </row>
    <row r="4" spans="1:101">
      <c r="A4" t="str">
        <f>IF(包装物料出入库明细!$E4="","",包装物料出入库明细!$E4)</f>
        <v>气泡垫</v>
      </c>
      <c r="B4">
        <f t="shared" ref="B4:B67" si="0">IF(A4="",0,IF(MATCH(A4,$A$4:$A$2003,0)=ROW()-3,1,0))</f>
        <v>1</v>
      </c>
      <c r="C4">
        <f t="shared" ref="C4:C67" si="1">N(C3)+B4</f>
        <v>1</v>
      </c>
      <c r="D4" t="str">
        <f>IF(包装物料出入库明细!$E4="","",包装物料出入库明细!$F4)</f>
        <v>*1000</v>
      </c>
      <c r="E4" t="str">
        <f>IF(包装物料出入库明细!$E4="","",包装物料出入库明细!$G4)</f>
        <v>片</v>
      </c>
      <c r="G4" t="str">
        <f t="shared" ref="G4:G63" si="2">IFERROR(INDEX($A$4:$A$2003,MATCH(ROW()-3,$C$4:$C$2003,0)),"")</f>
        <v>气泡垫</v>
      </c>
      <c r="H4" t="str">
        <f t="shared" ref="H4:H63" si="3">IFERROR(INDEX($D$4:$D$2003,MATCH(ROW()-3,$C$4:$C$2003,0)),"")</f>
        <v>*1000</v>
      </c>
      <c r="I4" t="str">
        <f t="shared" ref="I4:I63" si="4">IFERROR(INDEX($E$4:$E$2003,MATCH(ROW()-3,$C$4:$C$2003,0)),"")</f>
        <v>片</v>
      </c>
      <c r="K4" t="str">
        <f>IF(包装物料出入库明细!$D4="","",包装物料出入库明细!$D4)</f>
        <v>果然鲜</v>
      </c>
      <c r="L4">
        <f t="shared" ref="L4:L67" si="5">IF(K4="",0,IF(MATCH(K4,$K$4:$K$2003,0)=ROW()-3,1,0))</f>
        <v>1</v>
      </c>
      <c r="M4">
        <f t="shared" ref="M4:M67" si="6">N(M3)+L4</f>
        <v>1</v>
      </c>
      <c r="O4" t="str">
        <f t="shared" ref="O4:O67" si="7">IFERROR(INDEX($K$4:$K$2003,MATCH(ROW()-3,$M$4:$M$2003,0)),"")</f>
        <v>果然鲜</v>
      </c>
      <c r="Q4" t="str">
        <f>IF(周转筐出入库明细!$D4="","",周转筐出入库明细!$D4)</f>
        <v>公司一次性筐</v>
      </c>
      <c r="R4">
        <f t="shared" ref="R4:R67" si="8">IF(Q4="",0,IF(MATCH(Q4,$Q$4:$Q$2003,0)=ROW()-3,1,0))</f>
        <v>1</v>
      </c>
      <c r="S4">
        <f t="shared" ref="S4:S67" si="9">N(S3)+R4</f>
        <v>1</v>
      </c>
      <c r="U4" t="str">
        <f t="shared" ref="U4:U43" si="10">IFERROR(INDEX($Q$4:$Q$2003,MATCH(ROW()-3,$S$4:$S$2003,0)),"")</f>
        <v>公司一次性筐</v>
      </c>
      <c r="W4" t="str">
        <f>IF(周转筐出入库明细!$C4="","",周转筐出入库明细!$C4)</f>
        <v/>
      </c>
      <c r="X4">
        <f t="shared" ref="X4:X67" si="11">IF(W4="",0,IF(MATCH(W4,$W$4:$W$2003,0)=ROW()-3,1,0))</f>
        <v>0</v>
      </c>
      <c r="Y4">
        <f t="shared" ref="Y4:Y67" si="12">N(Y3)+X4</f>
        <v>0</v>
      </c>
      <c r="AA4" t="str">
        <f t="shared" ref="AA4:AA67" si="13">IFERROR(INDEX($W$4:$W$2003,MATCH(ROW()-3,$Y$4:$Y$2003,0)),"")</f>
        <v>王照雪</v>
      </c>
      <c r="AC4" t="str">
        <f>IF(客户自备加工筐明细!$C4="","",客户自备加工筐明细!$C4)</f>
        <v>自备一次性筐</v>
      </c>
      <c r="AD4">
        <f t="shared" ref="AD4:AD67" si="14">IF(AC4="",0,IF(MATCH(AC4,$AC$4:$AC$1203,0)=ROW()-3,1,0))</f>
        <v>1</v>
      </c>
      <c r="AE4">
        <f t="shared" ref="AE4:AE67" si="15">N(AE3)+AD4</f>
        <v>1</v>
      </c>
      <c r="AG4" t="str">
        <f t="shared" ref="AG4:AG43" si="16">IFERROR(INDEX($AC$4:$AC$1203,MATCH(ROW()-3,$AE$4:$AE$1203,0)),"")</f>
        <v>自备一次性筐</v>
      </c>
      <c r="AI4" t="str">
        <f>IF(客户自备加工筐明细!$E4="","",客户自备加工筐明细!$E4)</f>
        <v>王照雪</v>
      </c>
      <c r="AJ4">
        <f t="shared" ref="AJ4:AJ67" si="17">IF(AI4="",0,IF(MATCH(AI4,$AI$4:$AI$1503,0)=ROW()-3,1,0))</f>
        <v>1</v>
      </c>
      <c r="AK4">
        <f t="shared" ref="AK4:AK67" si="18">N(AK3)+AJ4</f>
        <v>1</v>
      </c>
      <c r="AM4" t="str">
        <f>IFERROR(INDEX($AI$4:$AI$1503,MATCH(1,$AK$4:$AK$1503,0)),"")</f>
        <v>王照雪</v>
      </c>
      <c r="AO4" t="str">
        <f>IF(次果筐明细!$D4="","",次果筐明细!$D4)</f>
        <v>公司杂周转筐</v>
      </c>
      <c r="AP4">
        <f t="shared" ref="AP4:AP67" si="19">IF(AO4="",0,IF(MATCH(AO4,$AO$4:$AO$603,0)=ROW()-3,1,0))</f>
        <v>1</v>
      </c>
      <c r="AQ4">
        <f t="shared" ref="AQ4:AQ67" si="20">N(AQ3)+AP4</f>
        <v>1</v>
      </c>
      <c r="AS4" t="str">
        <f t="shared" ref="AS4:AS43" si="21">IFERROR(INDEX($AO$4:$AO$603,MATCH(ROW()-3,$AQ$4:$AQ$603,0)),"")</f>
        <v>公司杂周转筐</v>
      </c>
      <c r="AU4" t="str">
        <f>IF(次果筐明细!$C4="","",次果筐明细!$C4)</f>
        <v>王照雪</v>
      </c>
      <c r="AV4">
        <f t="shared" ref="AV4:AV67" si="22">IF(AU4="",0,IF(MATCH(AU4,$AU$4:$AU$603,0)=ROW()-3,1,0))</f>
        <v>1</v>
      </c>
      <c r="AW4">
        <f t="shared" ref="AW4:AW67" si="23">N(AW3)+AV4</f>
        <v>1</v>
      </c>
      <c r="AY4" t="str">
        <f t="shared" ref="AY4:AY67" si="24">IFERROR(INDEX($AU$4:$AU$603,MATCH(ROW()-3,$AW$4:$AW$603,0)),"")</f>
        <v>王照雪</v>
      </c>
      <c r="BA4" t="str">
        <f>IF(对接源_01水果筐数!$B5="","",对接源_01水果筐数!$B5)</f>
        <v>聂新平</v>
      </c>
      <c r="BB4">
        <f t="shared" ref="BB4:BB67" si="25">IF(BA4="",0,IF(MATCH(BA4,$BA$4:$BA$303,0)=ROW()-3,1,0))</f>
        <v>1</v>
      </c>
      <c r="BC4">
        <f t="shared" ref="BC4:BC67" si="26">N(BC3)+BB4</f>
        <v>1</v>
      </c>
      <c r="BE4" t="str">
        <f t="shared" ref="BE4:BE67" si="27">IFERROR(INDEX($BA$4:$BA$303,MATCH(ROW()-3,$BC$4:$BC$303,0)),"")</f>
        <v>聂新平</v>
      </c>
      <c r="BG4" t="str">
        <f>IF(对接源_01水果筐数!$C5="","",对接源_01水果筐数!$C5)</f>
        <v>自备一次性筐</v>
      </c>
      <c r="BH4">
        <f t="shared" ref="BH4:BH67" si="28">IF(BG4="",0,IF(MATCH(BG4,$BG$4:$BG$303,0)=ROW()-3,1,0))</f>
        <v>1</v>
      </c>
      <c r="BI4">
        <f t="shared" ref="BI4:BI67" si="29">N(BI3)+BH4</f>
        <v>1</v>
      </c>
      <c r="BK4" t="str">
        <f t="shared" ref="BK4:BK63" si="30">IFERROR(INDEX($BG$4:$BG$303,MATCH(ROW()-3,$BI$4:$BI$303,0)),"")</f>
        <v>自备一次性筐</v>
      </c>
      <c r="BM4" t="str">
        <f t="shared" ref="BM4:BM43" si="31">IF($U4="","",$U4)</f>
        <v>公司一次性筐</v>
      </c>
      <c r="BN4">
        <f t="shared" ref="BN4:BN67" si="32">IF(BM4="",0,IF(MATCH(BM4,$BM$4:$BM$183,0)=ROW()-3,1,0))</f>
        <v>1</v>
      </c>
      <c r="BO4">
        <f t="shared" ref="BO4:BO67" si="33">N(BO3)+BN4</f>
        <v>1</v>
      </c>
      <c r="BQ4" t="str">
        <f t="shared" ref="BQ4:BQ63" si="34">IFERROR(INDEX($BM$4:$BM$183,MATCH(ROW()-3,$BO$4:$BO$183,0)),"")</f>
        <v>公司一次性筐</v>
      </c>
      <c r="BS4" t="str">
        <f t="shared" ref="BS4:BS67" si="35">IF($O4="","",$O4)</f>
        <v>果然鲜</v>
      </c>
      <c r="BT4">
        <f t="shared" ref="BT4:BT67" si="36">IF(BS4="",0,IF(MATCH(BS4,$BS$4:$BS$1103,0)=ROW()-3,1,0))</f>
        <v>1</v>
      </c>
      <c r="BU4">
        <f t="shared" ref="BU4:BU67" si="37">N(BU3)+BT4</f>
        <v>1</v>
      </c>
      <c r="BW4" t="str">
        <f t="shared" ref="BW4:BW67" si="38">IFERROR(INDEX($BS$4:$BS$1103,MATCH(ROW()-3,$BU$4:$BU$1103,0)),"")</f>
        <v>果然鲜</v>
      </c>
      <c r="BY4" t="str">
        <f t="shared" ref="BY4:BY67" si="39">IF($AA4="","",$AA4)</f>
        <v>王照雪</v>
      </c>
      <c r="BZ4">
        <f t="shared" ref="BZ4:BZ67" si="40">IF(BY4="",0,IF(MATCH(BY4,$BY$4:$BY$503,0)=ROW()-3,1,0))</f>
        <v>1</v>
      </c>
      <c r="CA4">
        <f t="shared" ref="CA4:CA67" si="41">N(CA3)+BZ4</f>
        <v>1</v>
      </c>
      <c r="CC4" t="str">
        <f t="shared" ref="CC4:CC67" si="42">IFERROR(INDEX($BY$4:$BY$503,MATCH(ROW()-3,$CA$4:$CA$503,0)),"")</f>
        <v>王照雪</v>
      </c>
      <c r="CE4" t="str">
        <f>IF(基础资料!$P4="","",基础资料!$P4)</f>
        <v>片</v>
      </c>
      <c r="CF4">
        <f>IF(CE4="",0,COUNTIF(包装物料出入库明细!$G$4:$G$2003,CE4))</f>
        <v>1</v>
      </c>
      <c r="CI4" t="str">
        <f>IF(基础资料!$D4="","",基础资料!$D4)</f>
        <v>聂新平</v>
      </c>
      <c r="CJ4">
        <f t="shared" ref="CJ4:CJ67" si="43">IF(CI4="",0,IF(MATCH(CI4,$CI$4:$CI$203,0)=ROW()-3,1,0))</f>
        <v>1</v>
      </c>
      <c r="CK4">
        <f t="shared" ref="CK4:CK67" si="44">N(CK3)+$CJ4</f>
        <v>1</v>
      </c>
      <c r="CL4" t="str">
        <f t="shared" ref="CL4:CL67" si="45">IFERROR(INDEX($CI$4:$CI$203,MATCH(ROW()-3,$CK$4:$CK$203,0)),"")</f>
        <v>聂新平</v>
      </c>
      <c r="CP4">
        <f>IF(包装物料出入库明细!$D4="",0,1)</f>
        <v>1</v>
      </c>
      <c r="CQ4">
        <f t="shared" ref="CQ4:CQ67" si="46">N(CQ3)+$CP4</f>
        <v>1</v>
      </c>
      <c r="CS4" t="str">
        <f>IF(OR(周转筐出入库明细!$C4="",周转筐出入库明细!$F4&lt;&gt;"采购入库"),"",周转筐出入库明细!$C4)</f>
        <v/>
      </c>
      <c r="CT4">
        <f t="shared" ref="CT4:CT67" si="47">IF(CS4="",0,IF(MATCH(CS4,$CS$4:$CS$2003,0)=ROW()-3,1,0))</f>
        <v>0</v>
      </c>
      <c r="CU4">
        <f t="shared" ref="CU4:CU67" si="48">N(CU3)+CT4</f>
        <v>0</v>
      </c>
      <c r="CW4" t="str">
        <f>IFERROR(INDEX($CS$4:$CS$2003,MATCH(1,$CU$4:$CU$2003,0)),"")</f>
        <v>全修塑业</v>
      </c>
    </row>
    <row r="5" spans="1:101">
      <c r="A5" t="str">
        <f>IF(包装物料出入库明细!$E5="","",包装物料出入库明细!$E5)</f>
        <v>无纺布</v>
      </c>
      <c r="B5">
        <f t="shared" si="0"/>
        <v>1</v>
      </c>
      <c r="C5">
        <f t="shared" si="1"/>
        <v>2</v>
      </c>
      <c r="D5" t="str">
        <f>IF(包装物料出入库明细!$E5="","",包装物料出入库明细!$F5)</f>
        <v>*400</v>
      </c>
      <c r="E5" t="str">
        <f>IF(包装物料出入库明细!$E5="","",包装物料出入库明细!$G5)</f>
        <v>个</v>
      </c>
      <c r="G5" t="str">
        <f t="shared" si="2"/>
        <v>无纺布</v>
      </c>
      <c r="H5" t="str">
        <f t="shared" si="3"/>
        <v>*400</v>
      </c>
      <c r="I5" t="str">
        <f t="shared" si="4"/>
        <v>个</v>
      </c>
      <c r="K5" t="str">
        <f>IF(包装物料出入库明细!$D5="","",包装物料出入库明细!$D5)</f>
        <v>果然鲜</v>
      </c>
      <c r="L5">
        <f t="shared" si="5"/>
        <v>0</v>
      </c>
      <c r="M5">
        <f t="shared" si="6"/>
        <v>1</v>
      </c>
      <c r="O5" t="str">
        <f t="shared" si="7"/>
        <v>新顺发泡网</v>
      </c>
      <c r="Q5" t="str">
        <f>IF(周转筐出入库明细!$D5="","",周转筐出入库明细!$D5)</f>
        <v>公司杂周转筐</v>
      </c>
      <c r="R5">
        <f t="shared" si="8"/>
        <v>1</v>
      </c>
      <c r="S5">
        <f t="shared" si="9"/>
        <v>2</v>
      </c>
      <c r="U5" t="str">
        <f t="shared" si="10"/>
        <v>公司杂周转筐</v>
      </c>
      <c r="W5" t="str">
        <f>IF(周转筐出入库明细!$C5="","",周转筐出入库明细!$C5)</f>
        <v/>
      </c>
      <c r="X5">
        <f t="shared" si="11"/>
        <v>0</v>
      </c>
      <c r="Y5">
        <f t="shared" si="12"/>
        <v>0</v>
      </c>
      <c r="AA5" t="str">
        <f t="shared" si="13"/>
        <v>王浩</v>
      </c>
      <c r="AC5" t="str">
        <f>IF(客户自备加工筐明细!$C5="","",客户自备加工筐明细!$C5)</f>
        <v/>
      </c>
      <c r="AD5">
        <f t="shared" si="14"/>
        <v>0</v>
      </c>
      <c r="AE5">
        <f t="shared" si="15"/>
        <v>1</v>
      </c>
      <c r="AG5" t="str">
        <f t="shared" si="16"/>
        <v/>
      </c>
      <c r="AI5" t="str">
        <f>IF(客户自备加工筐明细!$E5="","",客户自备加工筐明细!$E5)</f>
        <v/>
      </c>
      <c r="AJ5">
        <f t="shared" si="17"/>
        <v>0</v>
      </c>
      <c r="AK5">
        <f t="shared" si="18"/>
        <v>1</v>
      </c>
      <c r="AM5" t="str">
        <f>IFERROR(INDEX($AI$4:$AI$1503,MATCH(2,$AK$4:$AK$1503,0)),"")</f>
        <v>聂新平</v>
      </c>
      <c r="AO5" t="str">
        <f>IF(次果筐明细!$D5="","",次果筐明细!$D5)</f>
        <v/>
      </c>
      <c r="AP5">
        <f t="shared" si="19"/>
        <v>0</v>
      </c>
      <c r="AQ5">
        <f t="shared" si="20"/>
        <v>1</v>
      </c>
      <c r="AS5" t="str">
        <f t="shared" si="21"/>
        <v/>
      </c>
      <c r="AU5" t="str">
        <f>IF(次果筐明细!$C5="","",次果筐明细!$C5)</f>
        <v/>
      </c>
      <c r="AV5">
        <f t="shared" si="22"/>
        <v>0</v>
      </c>
      <c r="AW5">
        <f t="shared" si="23"/>
        <v>1</v>
      </c>
      <c r="AY5" t="str">
        <f t="shared" si="24"/>
        <v/>
      </c>
      <c r="BA5" t="str">
        <f>IF(对接源_01水果筐数!$B6="","",对接源_01水果筐数!$B6)</f>
        <v>王照雪</v>
      </c>
      <c r="BB5">
        <f t="shared" si="25"/>
        <v>1</v>
      </c>
      <c r="BC5">
        <f t="shared" si="26"/>
        <v>2</v>
      </c>
      <c r="BE5" t="str">
        <f t="shared" si="27"/>
        <v>王照雪</v>
      </c>
      <c r="BG5" t="str">
        <f>IF(对接源_01水果筐数!$C6="","",对接源_01水果筐数!$C6)</f>
        <v>公司杂周转筐</v>
      </c>
      <c r="BH5">
        <f t="shared" si="28"/>
        <v>1</v>
      </c>
      <c r="BI5">
        <f t="shared" si="29"/>
        <v>2</v>
      </c>
      <c r="BK5" t="str">
        <f t="shared" si="30"/>
        <v>公司杂周转筐</v>
      </c>
      <c r="BM5" t="str">
        <f t="shared" si="31"/>
        <v>公司杂周转筐</v>
      </c>
      <c r="BN5">
        <f t="shared" si="32"/>
        <v>1</v>
      </c>
      <c r="BO5">
        <f t="shared" si="33"/>
        <v>2</v>
      </c>
      <c r="BQ5" t="str">
        <f t="shared" si="34"/>
        <v>公司杂周转筐</v>
      </c>
      <c r="BS5" t="str">
        <f t="shared" si="35"/>
        <v>新顺发泡网</v>
      </c>
      <c r="BT5">
        <f t="shared" si="36"/>
        <v>1</v>
      </c>
      <c r="BU5">
        <f t="shared" si="37"/>
        <v>2</v>
      </c>
      <c r="BW5" t="str">
        <f t="shared" si="38"/>
        <v>新顺发泡网</v>
      </c>
      <c r="BY5" t="str">
        <f t="shared" si="39"/>
        <v>王浩</v>
      </c>
      <c r="BZ5">
        <f t="shared" si="40"/>
        <v>1</v>
      </c>
      <c r="CA5">
        <f t="shared" si="41"/>
        <v>2</v>
      </c>
      <c r="CC5" t="str">
        <f t="shared" si="42"/>
        <v>王浩</v>
      </c>
      <c r="CE5" t="str">
        <f>IF(基础资料!$P5="","",基础资料!$P5)</f>
        <v>个</v>
      </c>
      <c r="CF5">
        <f>IF(CE5="",0,COUNTIF(包装物料出入库明细!$G$4:$G$2003,CE5))</f>
        <v>3</v>
      </c>
      <c r="CI5" t="str">
        <f>IF(基础资料!$D5="","",基础资料!$D5)</f>
        <v>王照雪</v>
      </c>
      <c r="CJ5">
        <f t="shared" si="43"/>
        <v>1</v>
      </c>
      <c r="CK5">
        <f t="shared" si="44"/>
        <v>2</v>
      </c>
      <c r="CL5" t="str">
        <f t="shared" si="45"/>
        <v>王照雪</v>
      </c>
      <c r="CP5">
        <f>IF(包装物料出入库明细!$D5="",0,1)</f>
        <v>1</v>
      </c>
      <c r="CQ5">
        <f t="shared" si="46"/>
        <v>2</v>
      </c>
      <c r="CS5" t="str">
        <f>IF(OR(周转筐出入库明细!$C5="",周转筐出入库明细!$F5&lt;&gt;"采购入库"),"",周转筐出入库明细!$C5)</f>
        <v/>
      </c>
      <c r="CT5">
        <f t="shared" si="47"/>
        <v>0</v>
      </c>
      <c r="CU5">
        <f t="shared" si="48"/>
        <v>0</v>
      </c>
      <c r="CW5" t="str">
        <f>IFERROR(INDEX($CS$4:$CS$2003,MATCH(2,$CU$4:$CU$2003,0)),"")</f>
        <v/>
      </c>
    </row>
    <row r="6" spans="1:101">
      <c r="A6" t="str">
        <f>IF(包装物料出入库明细!$E6="","",包装物料出入库明细!$E6)</f>
        <v>纸垫板</v>
      </c>
      <c r="B6">
        <f t="shared" si="0"/>
        <v>1</v>
      </c>
      <c r="C6">
        <f t="shared" si="1"/>
        <v>3</v>
      </c>
      <c r="D6" t="str">
        <f>IF(包装物料出入库明细!$E6="","",包装物料出入库明细!$F6)</f>
        <v>*100张</v>
      </c>
      <c r="E6" t="str">
        <f>IF(包装物料出入库明细!$E6="","",包装物料出入库明细!$G6)</f>
        <v>张</v>
      </c>
      <c r="G6" t="str">
        <f t="shared" si="2"/>
        <v>纸垫板</v>
      </c>
      <c r="H6" t="str">
        <f t="shared" si="3"/>
        <v>*100张</v>
      </c>
      <c r="I6" t="str">
        <f t="shared" si="4"/>
        <v>张</v>
      </c>
      <c r="K6" t="str">
        <f>IF(包装物料出入库明细!$D6="","",包装物料出入库明细!$D6)</f>
        <v>果然鲜</v>
      </c>
      <c r="L6">
        <f t="shared" si="5"/>
        <v>0</v>
      </c>
      <c r="M6">
        <f t="shared" si="6"/>
        <v>1</v>
      </c>
      <c r="O6" t="str">
        <f t="shared" si="7"/>
        <v>吐尔洪</v>
      </c>
      <c r="Q6" t="str">
        <f>IF(周转筐出入库明细!$D6="","",周转筐出入库明细!$D6)</f>
        <v>公司新周转筐</v>
      </c>
      <c r="R6">
        <f t="shared" si="8"/>
        <v>1</v>
      </c>
      <c r="S6">
        <f t="shared" si="9"/>
        <v>3</v>
      </c>
      <c r="U6" t="str">
        <f t="shared" si="10"/>
        <v>公司新周转筐</v>
      </c>
      <c r="W6" t="str">
        <f>IF(周转筐出入库明细!$C6="","",周转筐出入库明细!$C6)</f>
        <v/>
      </c>
      <c r="X6">
        <f t="shared" si="11"/>
        <v>0</v>
      </c>
      <c r="Y6">
        <f t="shared" si="12"/>
        <v>0</v>
      </c>
      <c r="AA6" t="str">
        <f t="shared" si="13"/>
        <v>马锦祥</v>
      </c>
      <c r="AC6" t="str">
        <f>IF(客户自备加工筐明细!$C6="","",客户自备加工筐明细!$C6)</f>
        <v/>
      </c>
      <c r="AD6">
        <f t="shared" si="14"/>
        <v>0</v>
      </c>
      <c r="AE6">
        <f t="shared" si="15"/>
        <v>1</v>
      </c>
      <c r="AG6" t="str">
        <f t="shared" si="16"/>
        <v/>
      </c>
      <c r="AI6" t="str">
        <f>IF(客户自备加工筐明细!$E6="","",客户自备加工筐明细!$E6)</f>
        <v/>
      </c>
      <c r="AJ6">
        <f t="shared" si="17"/>
        <v>0</v>
      </c>
      <c r="AK6">
        <f t="shared" si="18"/>
        <v>1</v>
      </c>
      <c r="AM6" t="str">
        <f>IFERROR(INDEX($AI$4:$AI$1503,MATCH(3,$AK$4:$AK$1503,0)),"")</f>
        <v>伍元虎</v>
      </c>
      <c r="AO6" t="str">
        <f>IF(次果筐明细!$D6="","",次果筐明细!$D6)</f>
        <v/>
      </c>
      <c r="AP6">
        <f t="shared" si="19"/>
        <v>0</v>
      </c>
      <c r="AQ6">
        <f t="shared" si="20"/>
        <v>1</v>
      </c>
      <c r="AS6" t="str">
        <f t="shared" si="21"/>
        <v/>
      </c>
      <c r="AU6" t="str">
        <f>IF(次果筐明细!$C6="","",次果筐明细!$C6)</f>
        <v/>
      </c>
      <c r="AV6">
        <f t="shared" si="22"/>
        <v>0</v>
      </c>
      <c r="AW6">
        <f t="shared" si="23"/>
        <v>1</v>
      </c>
      <c r="AY6" t="str">
        <f t="shared" si="24"/>
        <v/>
      </c>
      <c r="BA6" t="str">
        <f>IF(对接源_01水果筐数!$B7="","",对接源_01水果筐数!$B7)</f>
        <v>伍元虎</v>
      </c>
      <c r="BB6">
        <f t="shared" si="25"/>
        <v>1</v>
      </c>
      <c r="BC6">
        <f t="shared" si="26"/>
        <v>3</v>
      </c>
      <c r="BE6" t="str">
        <f t="shared" si="27"/>
        <v>伍元虎</v>
      </c>
      <c r="BG6" t="str">
        <f>IF(对接源_01水果筐数!$C7="","",对接源_01水果筐数!$C7)</f>
        <v>自备一次性筐</v>
      </c>
      <c r="BH6">
        <f t="shared" si="28"/>
        <v>0</v>
      </c>
      <c r="BI6">
        <f t="shared" si="29"/>
        <v>2</v>
      </c>
      <c r="BK6" t="str">
        <f t="shared" si="30"/>
        <v>公司红周转筐</v>
      </c>
      <c r="BM6" t="str">
        <f t="shared" si="31"/>
        <v>公司新周转筐</v>
      </c>
      <c r="BN6">
        <f t="shared" si="32"/>
        <v>1</v>
      </c>
      <c r="BO6">
        <f t="shared" si="33"/>
        <v>3</v>
      </c>
      <c r="BQ6" t="str">
        <f t="shared" si="34"/>
        <v>公司新周转筐</v>
      </c>
      <c r="BS6" t="str">
        <f t="shared" si="35"/>
        <v>吐尔洪</v>
      </c>
      <c r="BT6">
        <f t="shared" si="36"/>
        <v>1</v>
      </c>
      <c r="BU6">
        <f t="shared" si="37"/>
        <v>3</v>
      </c>
      <c r="BW6" t="str">
        <f t="shared" si="38"/>
        <v>吐尔洪</v>
      </c>
      <c r="BY6" t="str">
        <f t="shared" si="39"/>
        <v>马锦祥</v>
      </c>
      <c r="BZ6">
        <f t="shared" si="40"/>
        <v>1</v>
      </c>
      <c r="CA6">
        <f t="shared" si="41"/>
        <v>3</v>
      </c>
      <c r="CC6" t="str">
        <f t="shared" si="42"/>
        <v>马锦祥</v>
      </c>
      <c r="CE6" t="str">
        <f>IF(基础资料!$P6="","",基础资料!$P6)</f>
        <v>包</v>
      </c>
      <c r="CF6">
        <f>IF(CE6="",0,COUNTIF(包装物料出入库明细!$G$4:$G$2003,CE6))</f>
        <v>25</v>
      </c>
      <c r="CI6" t="str">
        <f>IF(基础资料!$D6="","",基础资料!$D6)</f>
        <v>伍元虎</v>
      </c>
      <c r="CJ6">
        <f t="shared" si="43"/>
        <v>1</v>
      </c>
      <c r="CK6">
        <f t="shared" si="44"/>
        <v>3</v>
      </c>
      <c r="CL6" t="str">
        <f t="shared" si="45"/>
        <v>伍元虎</v>
      </c>
      <c r="CP6">
        <f>IF(包装物料出入库明细!$D6="",0,1)</f>
        <v>1</v>
      </c>
      <c r="CQ6">
        <f t="shared" si="46"/>
        <v>3</v>
      </c>
      <c r="CS6" t="str">
        <f>IF(OR(周转筐出入库明细!$C6="",周转筐出入库明细!$F6&lt;&gt;"采购入库"),"",周转筐出入库明细!$C6)</f>
        <v/>
      </c>
      <c r="CT6">
        <f t="shared" si="47"/>
        <v>0</v>
      </c>
      <c r="CU6">
        <f t="shared" si="48"/>
        <v>0</v>
      </c>
      <c r="CW6" t="str">
        <f>IFERROR(INDEX($CS$4:$CS$2003,MATCH(3,$CU$4:$CU$2003,0)),"")</f>
        <v/>
      </c>
    </row>
    <row r="7" spans="1:101">
      <c r="A7" t="str">
        <f>IF(包装物料出入库明细!$E7="","",包装物料出入库明细!$E7)</f>
        <v>香梨纸</v>
      </c>
      <c r="B7">
        <f t="shared" si="0"/>
        <v>1</v>
      </c>
      <c r="C7">
        <f t="shared" si="1"/>
        <v>4</v>
      </c>
      <c r="D7" t="str">
        <f>IF(包装物料出入库明细!$E7="","",包装物料出入库明细!$F7)</f>
        <v>*捆</v>
      </c>
      <c r="E7" t="str">
        <f>IF(包装物料出入库明细!$E7="","",包装物料出入库明细!$G7)</f>
        <v>捆</v>
      </c>
      <c r="G7" t="str">
        <f t="shared" si="2"/>
        <v>香梨纸</v>
      </c>
      <c r="H7" t="str">
        <f t="shared" si="3"/>
        <v>*捆</v>
      </c>
      <c r="I7" t="str">
        <f t="shared" si="4"/>
        <v>捆</v>
      </c>
      <c r="K7" t="str">
        <f>IF(包装物料出入库明细!$D7="","",包装物料出入库明细!$D7)</f>
        <v>果然鲜</v>
      </c>
      <c r="L7">
        <f t="shared" si="5"/>
        <v>0</v>
      </c>
      <c r="M7">
        <f t="shared" si="6"/>
        <v>1</v>
      </c>
      <c r="O7" t="str">
        <f t="shared" si="7"/>
        <v>热合曼</v>
      </c>
      <c r="Q7" t="str">
        <f>IF(周转筐出入库明细!$D7="","",周转筐出入库明细!$D7)</f>
        <v>公司白周转筐</v>
      </c>
      <c r="R7">
        <f t="shared" si="8"/>
        <v>1</v>
      </c>
      <c r="S7">
        <f t="shared" si="9"/>
        <v>4</v>
      </c>
      <c r="U7" t="str">
        <f t="shared" si="10"/>
        <v>公司白周转筐</v>
      </c>
      <c r="W7" t="str">
        <f>IF(周转筐出入库明细!$C7="","",周转筐出入库明细!$C7)</f>
        <v/>
      </c>
      <c r="X7">
        <f t="shared" si="11"/>
        <v>0</v>
      </c>
      <c r="Y7">
        <f t="shared" si="12"/>
        <v>0</v>
      </c>
      <c r="AA7" t="str">
        <f t="shared" si="13"/>
        <v>全修塑业</v>
      </c>
      <c r="AC7" t="str">
        <f>IF(客户自备加工筐明细!$C7="","",客户自备加工筐明细!$C7)</f>
        <v/>
      </c>
      <c r="AD7">
        <f t="shared" si="14"/>
        <v>0</v>
      </c>
      <c r="AE7">
        <f t="shared" si="15"/>
        <v>1</v>
      </c>
      <c r="AG7" t="str">
        <f t="shared" si="16"/>
        <v/>
      </c>
      <c r="AI7" t="str">
        <f>IF(客户自备加工筐明细!$E7="","",客户自备加工筐明细!$E7)</f>
        <v/>
      </c>
      <c r="AJ7">
        <f t="shared" si="17"/>
        <v>0</v>
      </c>
      <c r="AK7">
        <f t="shared" si="18"/>
        <v>1</v>
      </c>
      <c r="AM7" t="str">
        <f>IFERROR(INDEX($AI$4:$AI$1503,MATCH(4,$AK$4:$AK$1503,0)),"")</f>
        <v>马锦祥</v>
      </c>
      <c r="AO7" t="str">
        <f>IF(次果筐明细!$D7="","",次果筐明细!$D7)</f>
        <v/>
      </c>
      <c r="AP7">
        <f t="shared" si="19"/>
        <v>0</v>
      </c>
      <c r="AQ7">
        <f t="shared" si="20"/>
        <v>1</v>
      </c>
      <c r="AS7" t="str">
        <f t="shared" si="21"/>
        <v/>
      </c>
      <c r="AU7" t="str">
        <f>IF(次果筐明细!$C7="","",次果筐明细!$C7)</f>
        <v/>
      </c>
      <c r="AV7">
        <f t="shared" si="22"/>
        <v>0</v>
      </c>
      <c r="AW7">
        <f t="shared" si="23"/>
        <v>1</v>
      </c>
      <c r="AY7" t="str">
        <f t="shared" si="24"/>
        <v/>
      </c>
      <c r="BA7" t="str">
        <f>IF(对接源_01水果筐数!$B8="","",对接源_01水果筐数!$B8)</f>
        <v>王照雪</v>
      </c>
      <c r="BB7">
        <f t="shared" si="25"/>
        <v>0</v>
      </c>
      <c r="BC7">
        <f t="shared" si="26"/>
        <v>3</v>
      </c>
      <c r="BE7" t="str">
        <f t="shared" si="27"/>
        <v>马锦祥</v>
      </c>
      <c r="BG7" t="str">
        <f>IF(对接源_01水果筐数!$C8="","",对接源_01水果筐数!$C8)</f>
        <v>自备一次性筐</v>
      </c>
      <c r="BH7">
        <f t="shared" si="28"/>
        <v>0</v>
      </c>
      <c r="BI7">
        <f t="shared" si="29"/>
        <v>2</v>
      </c>
      <c r="BK7" t="str">
        <f t="shared" si="30"/>
        <v>自备杂周转筐</v>
      </c>
      <c r="BM7" t="str">
        <f t="shared" si="31"/>
        <v>公司白周转筐</v>
      </c>
      <c r="BN7">
        <f t="shared" si="32"/>
        <v>1</v>
      </c>
      <c r="BO7">
        <f t="shared" si="33"/>
        <v>4</v>
      </c>
      <c r="BQ7" t="str">
        <f t="shared" si="34"/>
        <v>公司白周转筐</v>
      </c>
      <c r="BS7" t="str">
        <f t="shared" si="35"/>
        <v>热合曼</v>
      </c>
      <c r="BT7">
        <f t="shared" si="36"/>
        <v>1</v>
      </c>
      <c r="BU7">
        <f t="shared" si="37"/>
        <v>4</v>
      </c>
      <c r="BW7" t="str">
        <f t="shared" si="38"/>
        <v>热合曼</v>
      </c>
      <c r="BY7" t="str">
        <f t="shared" si="39"/>
        <v>全修塑业</v>
      </c>
      <c r="BZ7">
        <f t="shared" si="40"/>
        <v>1</v>
      </c>
      <c r="CA7">
        <f t="shared" si="41"/>
        <v>4</v>
      </c>
      <c r="CC7" t="str">
        <f t="shared" si="42"/>
        <v>全修塑业</v>
      </c>
      <c r="CE7" t="str">
        <f>IF(基础资料!$P7="","",基础资料!$P7)</f>
        <v>包</v>
      </c>
      <c r="CF7">
        <f>IF(CE7="",0,COUNTIF(包装物料出入库明细!$G$4:$G$2003,CE7))</f>
        <v>25</v>
      </c>
      <c r="CI7" t="str">
        <f>IF(基础资料!$D7="","",基础资料!$D7)</f>
        <v>麦麦提</v>
      </c>
      <c r="CJ7">
        <f t="shared" si="43"/>
        <v>1</v>
      </c>
      <c r="CK7">
        <f t="shared" si="44"/>
        <v>4</v>
      </c>
      <c r="CL7" t="str">
        <f t="shared" si="45"/>
        <v>麦麦提</v>
      </c>
      <c r="CP7">
        <f>IF(包装物料出入库明细!$D7="",0,1)</f>
        <v>1</v>
      </c>
      <c r="CQ7">
        <f t="shared" si="46"/>
        <v>4</v>
      </c>
      <c r="CS7" t="str">
        <f>IF(OR(周转筐出入库明细!$C7="",周转筐出入库明细!$F7&lt;&gt;"采购入库"),"",周转筐出入库明细!$C7)</f>
        <v/>
      </c>
      <c r="CT7">
        <f t="shared" si="47"/>
        <v>0</v>
      </c>
      <c r="CU7">
        <f t="shared" si="48"/>
        <v>0</v>
      </c>
      <c r="CW7" t="str">
        <f>IFERROR(INDEX($CS$4:$CS$2003,MATCH(4,$CU$4:$CU$2003,0)),"")</f>
        <v/>
      </c>
    </row>
    <row r="8" spans="1:101">
      <c r="A8" t="str">
        <f>IF(包装物料出入库明细!$E8="","",包装物料出入库明细!$E8)</f>
        <v>冷煤/氟利昂</v>
      </c>
      <c r="B8">
        <f t="shared" si="0"/>
        <v>1</v>
      </c>
      <c r="C8">
        <f t="shared" si="1"/>
        <v>5</v>
      </c>
      <c r="D8" t="str">
        <f>IF(包装物料出入库明细!$E8="","",包装物料出入库明细!$F8)</f>
        <v>*瓶</v>
      </c>
      <c r="E8" t="str">
        <f>IF(包装物料出入库明细!$E8="","",包装物料出入库明细!$G8)</f>
        <v>瓶</v>
      </c>
      <c r="G8" t="str">
        <f t="shared" si="2"/>
        <v>冷煤/氟利昂</v>
      </c>
      <c r="H8" t="str">
        <f t="shared" si="3"/>
        <v>*瓶</v>
      </c>
      <c r="I8" t="str">
        <f t="shared" si="4"/>
        <v>瓶</v>
      </c>
      <c r="K8" t="str">
        <f>IF(包装物料出入库明细!$D8="","",包装物料出入库明细!$D8)</f>
        <v>果然鲜</v>
      </c>
      <c r="L8">
        <f t="shared" si="5"/>
        <v>0</v>
      </c>
      <c r="M8">
        <f t="shared" si="6"/>
        <v>1</v>
      </c>
      <c r="O8" t="str">
        <f t="shared" si="7"/>
        <v>麦麦提</v>
      </c>
      <c r="Q8" t="str">
        <f>IF(周转筐出入库明细!$D8="","",周转筐出入库明细!$D8)</f>
        <v>公司杂周转筐</v>
      </c>
      <c r="R8">
        <f t="shared" si="8"/>
        <v>0</v>
      </c>
      <c r="S8">
        <f t="shared" si="9"/>
        <v>4</v>
      </c>
      <c r="U8" t="str">
        <f t="shared" si="10"/>
        <v>公司红周转筐</v>
      </c>
      <c r="W8" t="str">
        <f>IF(周转筐出入库明细!$C8="","",周转筐出入库明细!$C8)</f>
        <v>王照雪</v>
      </c>
      <c r="X8">
        <f t="shared" si="11"/>
        <v>1</v>
      </c>
      <c r="Y8">
        <f t="shared" si="12"/>
        <v>1</v>
      </c>
      <c r="AA8" t="str">
        <f t="shared" si="13"/>
        <v>吐尔洪</v>
      </c>
      <c r="AC8" t="str">
        <f>IF(客户自备加工筐明细!$C8="","",客户自备加工筐明细!$C8)</f>
        <v/>
      </c>
      <c r="AD8">
        <f t="shared" si="14"/>
        <v>0</v>
      </c>
      <c r="AE8">
        <f t="shared" si="15"/>
        <v>1</v>
      </c>
      <c r="AG8" t="str">
        <f t="shared" si="16"/>
        <v/>
      </c>
      <c r="AI8" t="str">
        <f>IF(客户自备加工筐明细!$E8="","",客户自备加工筐明细!$E8)</f>
        <v/>
      </c>
      <c r="AJ8">
        <f t="shared" si="17"/>
        <v>0</v>
      </c>
      <c r="AK8">
        <f t="shared" si="18"/>
        <v>1</v>
      </c>
      <c r="AM8" t="str">
        <f>IFERROR(INDEX($AI$4:$AI$1503,MATCH(5,$AK$4:$AK$1503,0)),"")</f>
        <v>贾建国</v>
      </c>
      <c r="AO8" t="str">
        <f>IF(次果筐明细!$D8="","",次果筐明细!$D8)</f>
        <v/>
      </c>
      <c r="AP8">
        <f t="shared" si="19"/>
        <v>0</v>
      </c>
      <c r="AQ8">
        <f t="shared" si="20"/>
        <v>1</v>
      </c>
      <c r="AS8" t="str">
        <f t="shared" si="21"/>
        <v/>
      </c>
      <c r="AU8" t="str">
        <f>IF(次果筐明细!$C8="","",次果筐明细!$C8)</f>
        <v/>
      </c>
      <c r="AV8">
        <f t="shared" si="22"/>
        <v>0</v>
      </c>
      <c r="AW8">
        <f t="shared" si="23"/>
        <v>1</v>
      </c>
      <c r="AY8" t="str">
        <f t="shared" si="24"/>
        <v/>
      </c>
      <c r="BA8" t="str">
        <f>IF(对接源_01水果筐数!$B9="","",对接源_01水果筐数!$B9)</f>
        <v>马锦祥</v>
      </c>
      <c r="BB8">
        <f t="shared" si="25"/>
        <v>1</v>
      </c>
      <c r="BC8">
        <f t="shared" si="26"/>
        <v>4</v>
      </c>
      <c r="BE8" t="str">
        <f t="shared" si="27"/>
        <v>麦麦提</v>
      </c>
      <c r="BG8" t="str">
        <f>IF(对接源_01水果筐数!$C9="","",对接源_01水果筐数!$C9)</f>
        <v>自备一次性筐</v>
      </c>
      <c r="BH8">
        <f t="shared" si="28"/>
        <v>0</v>
      </c>
      <c r="BI8">
        <f t="shared" si="29"/>
        <v>2</v>
      </c>
      <c r="BK8" t="str">
        <f t="shared" si="30"/>
        <v>公司新周转筐</v>
      </c>
      <c r="BM8" t="str">
        <f t="shared" si="31"/>
        <v>公司红周转筐</v>
      </c>
      <c r="BN8">
        <f t="shared" si="32"/>
        <v>1</v>
      </c>
      <c r="BO8">
        <f t="shared" si="33"/>
        <v>5</v>
      </c>
      <c r="BQ8" t="str">
        <f t="shared" si="34"/>
        <v>公司红周转筐</v>
      </c>
      <c r="BS8" t="str">
        <f t="shared" si="35"/>
        <v>麦麦提</v>
      </c>
      <c r="BT8">
        <f t="shared" si="36"/>
        <v>1</v>
      </c>
      <c r="BU8">
        <f t="shared" si="37"/>
        <v>5</v>
      </c>
      <c r="BW8" t="str">
        <f t="shared" si="38"/>
        <v>麦麦提</v>
      </c>
      <c r="BY8" t="str">
        <f t="shared" si="39"/>
        <v>吐尔洪</v>
      </c>
      <c r="BZ8">
        <f t="shared" si="40"/>
        <v>1</v>
      </c>
      <c r="CA8">
        <f t="shared" si="41"/>
        <v>5</v>
      </c>
      <c r="CC8" t="str">
        <f t="shared" si="42"/>
        <v>吐尔洪</v>
      </c>
      <c r="CE8" t="str">
        <f>IF(基础资料!$P8="","",基础资料!$P8)</f>
        <v>张</v>
      </c>
      <c r="CF8">
        <f>IF(CE8="",0,COUNTIF(包装物料出入库明细!$G$4:$G$2003,CE8))</f>
        <v>1</v>
      </c>
      <c r="CI8" t="str">
        <f>IF(基础资料!$D8="","",基础资料!$D8)</f>
        <v>热合曼</v>
      </c>
      <c r="CJ8">
        <f t="shared" si="43"/>
        <v>1</v>
      </c>
      <c r="CK8">
        <f t="shared" si="44"/>
        <v>5</v>
      </c>
      <c r="CL8" t="str">
        <f t="shared" si="45"/>
        <v>热合曼</v>
      </c>
      <c r="CP8">
        <f>IF(包装物料出入库明细!$D8="",0,1)</f>
        <v>1</v>
      </c>
      <c r="CQ8">
        <f t="shared" si="46"/>
        <v>5</v>
      </c>
      <c r="CS8" t="str">
        <f>IF(OR(周转筐出入库明细!$C8="",周转筐出入库明细!$F8&lt;&gt;"采购入库"),"",周转筐出入库明细!$C8)</f>
        <v/>
      </c>
      <c r="CT8">
        <f t="shared" si="47"/>
        <v>0</v>
      </c>
      <c r="CU8">
        <f t="shared" si="48"/>
        <v>0</v>
      </c>
      <c r="CW8" t="str">
        <f>IFERROR(INDEX($CS$4:$CS$2003,MATCH(5,$CU$4:$CU$2003,0)),"")</f>
        <v/>
      </c>
    </row>
    <row r="9" spans="1:101">
      <c r="A9" t="str">
        <f>IF(包装物料出入库明细!$E9="","",包装物料出入库明细!$E9)</f>
        <v>胶带</v>
      </c>
      <c r="B9">
        <f t="shared" si="0"/>
        <v>1</v>
      </c>
      <c r="C9">
        <f t="shared" si="1"/>
        <v>6</v>
      </c>
      <c r="D9" t="str">
        <f>IF(包装物料出入库明细!$E9="","",包装物料出入库明细!$F9)</f>
        <v>*30卷</v>
      </c>
      <c r="E9" t="str">
        <f>IF(包装物料出入库明细!$E9="","",包装物料出入库明细!$G9)</f>
        <v>卷</v>
      </c>
      <c r="G9" t="str">
        <f t="shared" si="2"/>
        <v>胶带</v>
      </c>
      <c r="H9" t="str">
        <f t="shared" si="3"/>
        <v>*30卷</v>
      </c>
      <c r="I9" t="str">
        <f t="shared" si="4"/>
        <v>卷</v>
      </c>
      <c r="K9" t="str">
        <f>IF(包装物料出入库明细!$D9="","",包装物料出入库明细!$D9)</f>
        <v>果然鲜</v>
      </c>
      <c r="L9">
        <f t="shared" si="5"/>
        <v>0</v>
      </c>
      <c r="M9">
        <f t="shared" si="6"/>
        <v>1</v>
      </c>
      <c r="O9" t="str">
        <f t="shared" si="7"/>
        <v>荆建君</v>
      </c>
      <c r="Q9" t="str">
        <f>IF(周转筐出入库明细!$D9="","",周转筐出入库明细!$D9)</f>
        <v>公司杂周转筐</v>
      </c>
      <c r="R9">
        <f t="shared" si="8"/>
        <v>0</v>
      </c>
      <c r="S9">
        <f t="shared" si="9"/>
        <v>4</v>
      </c>
      <c r="U9" t="str">
        <f t="shared" si="10"/>
        <v/>
      </c>
      <c r="W9" t="str">
        <f>IF(周转筐出入库明细!$C9="","",周转筐出入库明细!$C9)</f>
        <v>王照雪</v>
      </c>
      <c r="X9">
        <f t="shared" si="11"/>
        <v>0</v>
      </c>
      <c r="Y9">
        <f t="shared" si="12"/>
        <v>1</v>
      </c>
      <c r="AA9" t="str">
        <f t="shared" si="13"/>
        <v>热合曼</v>
      </c>
      <c r="AC9" t="str">
        <f>IF(客户自备加工筐明细!$C9="","",客户自备加工筐明细!$C9)</f>
        <v/>
      </c>
      <c r="AD9">
        <f t="shared" si="14"/>
        <v>0</v>
      </c>
      <c r="AE9">
        <f t="shared" si="15"/>
        <v>1</v>
      </c>
      <c r="AG9" t="str">
        <f t="shared" si="16"/>
        <v/>
      </c>
      <c r="AI9" t="str">
        <f>IF(客户自备加工筐明细!$E9="","",客户自备加工筐明细!$E9)</f>
        <v/>
      </c>
      <c r="AJ9">
        <f t="shared" si="17"/>
        <v>0</v>
      </c>
      <c r="AK9">
        <f t="shared" si="18"/>
        <v>1</v>
      </c>
      <c r="AM9" t="str">
        <f>IFERROR(INDEX($AI$4:$AI$1503,MATCH(6,$AK$4:$AK$1503,0)),"")</f>
        <v>杨艳玲</v>
      </c>
      <c r="AO9" t="str">
        <f>IF(次果筐明细!$D9="","",次果筐明细!$D9)</f>
        <v/>
      </c>
      <c r="AP9">
        <f t="shared" si="19"/>
        <v>0</v>
      </c>
      <c r="AQ9">
        <f t="shared" si="20"/>
        <v>1</v>
      </c>
      <c r="AS9" t="str">
        <f t="shared" si="21"/>
        <v/>
      </c>
      <c r="AU9" t="str">
        <f>IF(次果筐明细!$C9="","",次果筐明细!$C9)</f>
        <v/>
      </c>
      <c r="AV9">
        <f t="shared" si="22"/>
        <v>0</v>
      </c>
      <c r="AW9">
        <f t="shared" si="23"/>
        <v>1</v>
      </c>
      <c r="AY9" t="str">
        <f t="shared" si="24"/>
        <v/>
      </c>
      <c r="BA9" t="str">
        <f>IF(对接源_01水果筐数!$B10="","",对接源_01水果筐数!$B10)</f>
        <v>马锦祥</v>
      </c>
      <c r="BB9">
        <f t="shared" si="25"/>
        <v>0</v>
      </c>
      <c r="BC9">
        <f t="shared" si="26"/>
        <v>4</v>
      </c>
      <c r="BE9" t="str">
        <f t="shared" si="27"/>
        <v>吐尔洪</v>
      </c>
      <c r="BG9" t="str">
        <f>IF(对接源_01水果筐数!$C10="","",对接源_01水果筐数!$C10)</f>
        <v>公司杂周转筐</v>
      </c>
      <c r="BH9">
        <f t="shared" si="28"/>
        <v>0</v>
      </c>
      <c r="BI9">
        <f t="shared" si="29"/>
        <v>2</v>
      </c>
      <c r="BK9" t="str">
        <f t="shared" si="30"/>
        <v>公司一次性筐</v>
      </c>
      <c r="BM9" t="str">
        <f t="shared" si="31"/>
        <v/>
      </c>
      <c r="BN9">
        <f t="shared" si="32"/>
        <v>0</v>
      </c>
      <c r="BO9">
        <f t="shared" si="33"/>
        <v>5</v>
      </c>
      <c r="BQ9" t="str">
        <f t="shared" si="34"/>
        <v>自备一次性筐</v>
      </c>
      <c r="BS9" t="str">
        <f t="shared" si="35"/>
        <v>荆建君</v>
      </c>
      <c r="BT9">
        <f t="shared" si="36"/>
        <v>1</v>
      </c>
      <c r="BU9">
        <f t="shared" si="37"/>
        <v>6</v>
      </c>
      <c r="BW9" t="str">
        <f t="shared" si="38"/>
        <v>荆建君</v>
      </c>
      <c r="BY9" t="str">
        <f t="shared" si="39"/>
        <v>热合曼</v>
      </c>
      <c r="BZ9">
        <f t="shared" si="40"/>
        <v>1</v>
      </c>
      <c r="CA9">
        <f t="shared" si="41"/>
        <v>6</v>
      </c>
      <c r="CC9" t="str">
        <f t="shared" si="42"/>
        <v>热合曼</v>
      </c>
      <c r="CE9" t="str">
        <f>IF(基础资料!$P9="","",基础资料!$P9)</f>
        <v>捆</v>
      </c>
      <c r="CF9">
        <f>IF(CE9="",0,COUNTIF(包装物料出入库明细!$G$4:$G$2003,CE9))</f>
        <v>5</v>
      </c>
      <c r="CI9" t="str">
        <f>IF(基础资料!$D9="","",基础资料!$D9)</f>
        <v>王灵云</v>
      </c>
      <c r="CJ9">
        <f t="shared" si="43"/>
        <v>1</v>
      </c>
      <c r="CK9">
        <f t="shared" si="44"/>
        <v>6</v>
      </c>
      <c r="CL9" t="str">
        <f t="shared" si="45"/>
        <v>王灵云</v>
      </c>
      <c r="CP9">
        <f>IF(包装物料出入库明细!$D9="",0,1)</f>
        <v>1</v>
      </c>
      <c r="CQ9">
        <f t="shared" si="46"/>
        <v>6</v>
      </c>
      <c r="CS9" t="str">
        <f>IF(OR(周转筐出入库明细!$C9="",周转筐出入库明细!$F9&lt;&gt;"采购入库"),"",周转筐出入库明细!$C9)</f>
        <v/>
      </c>
      <c r="CT9">
        <f t="shared" si="47"/>
        <v>0</v>
      </c>
      <c r="CU9">
        <f t="shared" si="48"/>
        <v>0</v>
      </c>
      <c r="CW9" t="str">
        <f>IFERROR(INDEX($CS$4:$CS$2003,MATCH(6,$CU$4:$CU$2003,0)),"")</f>
        <v/>
      </c>
    </row>
    <row r="10" spans="1:101">
      <c r="A10" t="str">
        <f>IF(包装物料出入库明细!$E10="","",包装物料出入库明细!$E10)</f>
        <v>香梨网</v>
      </c>
      <c r="B10">
        <f t="shared" si="0"/>
        <v>1</v>
      </c>
      <c r="C10">
        <f t="shared" si="1"/>
        <v>7</v>
      </c>
      <c r="D10" t="str">
        <f>IF(包装物料出入库明细!$E10="","",包装物料出入库明细!$F10)</f>
        <v>*包</v>
      </c>
      <c r="E10" t="str">
        <f>IF(包装物料出入库明细!$E10="","",包装物料出入库明细!$G10)</f>
        <v>包</v>
      </c>
      <c r="G10" t="str">
        <f t="shared" si="2"/>
        <v>香梨网</v>
      </c>
      <c r="H10" t="str">
        <f t="shared" si="3"/>
        <v>*包</v>
      </c>
      <c r="I10" t="str">
        <f t="shared" si="4"/>
        <v>包</v>
      </c>
      <c r="K10" t="str">
        <f>IF(包装物料出入库明细!$D10="","",包装物料出入库明细!$D10)</f>
        <v>新顺发泡网</v>
      </c>
      <c r="L10">
        <f t="shared" si="5"/>
        <v>1</v>
      </c>
      <c r="M10">
        <f t="shared" si="6"/>
        <v>2</v>
      </c>
      <c r="O10" t="str">
        <f t="shared" si="7"/>
        <v>努尔敦</v>
      </c>
      <c r="Q10" t="str">
        <f>IF(周转筐出入库明细!$D10="","",周转筐出入库明细!$D10)</f>
        <v>公司杂周转筐</v>
      </c>
      <c r="R10">
        <f t="shared" si="8"/>
        <v>0</v>
      </c>
      <c r="S10">
        <f t="shared" si="9"/>
        <v>4</v>
      </c>
      <c r="U10" t="str">
        <f t="shared" si="10"/>
        <v/>
      </c>
      <c r="W10" t="str">
        <f>IF(周转筐出入库明细!$C10="","",周转筐出入库明细!$C10)</f>
        <v>王照雪</v>
      </c>
      <c r="X10">
        <f t="shared" si="11"/>
        <v>0</v>
      </c>
      <c r="Y10">
        <f t="shared" si="12"/>
        <v>1</v>
      </c>
      <c r="AA10" t="str">
        <f t="shared" si="13"/>
        <v>王灵云</v>
      </c>
      <c r="AC10" t="str">
        <f>IF(客户自备加工筐明细!$C10="","",客户自备加工筐明细!$C10)</f>
        <v/>
      </c>
      <c r="AD10">
        <f t="shared" si="14"/>
        <v>0</v>
      </c>
      <c r="AE10">
        <f t="shared" si="15"/>
        <v>1</v>
      </c>
      <c r="AG10" t="str">
        <f t="shared" si="16"/>
        <v/>
      </c>
      <c r="AI10" t="str">
        <f>IF(客户自备加工筐明细!$E10="","",客户自备加工筐明细!$E10)</f>
        <v/>
      </c>
      <c r="AJ10">
        <f t="shared" si="17"/>
        <v>0</v>
      </c>
      <c r="AK10">
        <f t="shared" si="18"/>
        <v>1</v>
      </c>
      <c r="AM10" t="str">
        <f>IFERROR(INDEX($AI$4:$AI$1503,MATCH(7,$AK$4:$AK$1503,0)),"")</f>
        <v/>
      </c>
      <c r="AO10" t="str">
        <f>IF(次果筐明细!$D10="","",次果筐明细!$D10)</f>
        <v/>
      </c>
      <c r="AP10">
        <f t="shared" si="19"/>
        <v>0</v>
      </c>
      <c r="AQ10">
        <f t="shared" si="20"/>
        <v>1</v>
      </c>
      <c r="AS10" t="str">
        <f t="shared" si="21"/>
        <v/>
      </c>
      <c r="AU10" t="str">
        <f>IF(次果筐明细!$C10="","",次果筐明细!$C10)</f>
        <v/>
      </c>
      <c r="AV10">
        <f t="shared" si="22"/>
        <v>0</v>
      </c>
      <c r="AW10">
        <f t="shared" si="23"/>
        <v>1</v>
      </c>
      <c r="AY10" t="str">
        <f t="shared" si="24"/>
        <v/>
      </c>
      <c r="BA10" t="str">
        <f>IF(对接源_01水果筐数!$B11="","",对接源_01水果筐数!$B11)</f>
        <v>麦麦提</v>
      </c>
      <c r="BB10">
        <f t="shared" si="25"/>
        <v>1</v>
      </c>
      <c r="BC10">
        <f t="shared" si="26"/>
        <v>5</v>
      </c>
      <c r="BE10" t="str">
        <f t="shared" si="27"/>
        <v>热合曼</v>
      </c>
      <c r="BG10" t="str">
        <f>IF(对接源_01水果筐数!$C11="","",对接源_01水果筐数!$C11)</f>
        <v>公司红周转筐</v>
      </c>
      <c r="BH10">
        <f t="shared" si="28"/>
        <v>1</v>
      </c>
      <c r="BI10">
        <f t="shared" si="29"/>
        <v>3</v>
      </c>
      <c r="BK10" t="str">
        <f t="shared" si="30"/>
        <v>纸箱</v>
      </c>
      <c r="BM10" t="str">
        <f t="shared" si="31"/>
        <v/>
      </c>
      <c r="BN10">
        <f t="shared" si="32"/>
        <v>0</v>
      </c>
      <c r="BO10">
        <f t="shared" si="33"/>
        <v>5</v>
      </c>
      <c r="BQ10" t="str">
        <f t="shared" si="34"/>
        <v>自备杂周转筐</v>
      </c>
      <c r="BS10" t="str">
        <f t="shared" si="35"/>
        <v>努尔敦</v>
      </c>
      <c r="BT10">
        <f t="shared" si="36"/>
        <v>1</v>
      </c>
      <c r="BU10">
        <f t="shared" si="37"/>
        <v>7</v>
      </c>
      <c r="BW10" t="str">
        <f t="shared" si="38"/>
        <v>努尔敦</v>
      </c>
      <c r="BY10" t="str">
        <f t="shared" si="39"/>
        <v>王灵云</v>
      </c>
      <c r="BZ10">
        <f t="shared" si="40"/>
        <v>1</v>
      </c>
      <c r="CA10">
        <f t="shared" si="41"/>
        <v>7</v>
      </c>
      <c r="CC10" t="str">
        <f t="shared" si="42"/>
        <v>王灵云</v>
      </c>
      <c r="CE10" t="str">
        <f>IF(基础资料!$P10="","",基础资料!$P10)</f>
        <v>套</v>
      </c>
      <c r="CF10">
        <f>IF(CE10="",0,COUNTIF(包装物料出入库明细!$G$4:$G$2003,CE10))</f>
        <v>0</v>
      </c>
      <c r="CI10" t="str">
        <f>IF(基础资料!$D10="","",基础资料!$D10)</f>
        <v>马锦祥</v>
      </c>
      <c r="CJ10">
        <f t="shared" si="43"/>
        <v>1</v>
      </c>
      <c r="CK10">
        <f t="shared" si="44"/>
        <v>7</v>
      </c>
      <c r="CL10" t="str">
        <f t="shared" si="45"/>
        <v>马锦祥</v>
      </c>
      <c r="CP10">
        <f>IF(包装物料出入库明细!$D10="",0,1)</f>
        <v>1</v>
      </c>
      <c r="CQ10">
        <f t="shared" si="46"/>
        <v>7</v>
      </c>
      <c r="CS10" t="str">
        <f>IF(OR(周转筐出入库明细!$C10="",周转筐出入库明细!$F10&lt;&gt;"采购入库"),"",周转筐出入库明细!$C10)</f>
        <v/>
      </c>
      <c r="CT10">
        <f t="shared" si="47"/>
        <v>0</v>
      </c>
      <c r="CU10">
        <f t="shared" si="48"/>
        <v>0</v>
      </c>
      <c r="CW10" t="str">
        <f>IFERROR(INDEX($CS$4:$CS$2003,MATCH(7,$CU$4:$CU$2003,0)),"")</f>
        <v/>
      </c>
    </row>
    <row r="11" spans="1:101">
      <c r="A11" t="str">
        <f>IF(包装物料出入库明细!$E11="","",包装物料出入库明细!$E11)</f>
        <v>香梨网</v>
      </c>
      <c r="B11">
        <f t="shared" si="0"/>
        <v>0</v>
      </c>
      <c r="C11">
        <f t="shared" si="1"/>
        <v>7</v>
      </c>
      <c r="D11" t="str">
        <f>IF(包装物料出入库明细!$E11="","",包装物料出入库明细!$F11)</f>
        <v>*包</v>
      </c>
      <c r="E11" t="str">
        <f>IF(包装物料出入库明细!$E11="","",包装物料出入库明细!$G11)</f>
        <v>包</v>
      </c>
      <c r="G11" t="str">
        <f t="shared" si="2"/>
        <v/>
      </c>
      <c r="H11" t="str">
        <f t="shared" si="3"/>
        <v/>
      </c>
      <c r="I11" t="str">
        <f t="shared" si="4"/>
        <v/>
      </c>
      <c r="K11" t="str">
        <f>IF(包装物料出入库明细!$D11="","",包装物料出入库明细!$D11)</f>
        <v>吐尔洪</v>
      </c>
      <c r="L11">
        <f t="shared" si="5"/>
        <v>1</v>
      </c>
      <c r="M11">
        <f t="shared" si="6"/>
        <v>3</v>
      </c>
      <c r="O11" t="str">
        <f t="shared" si="7"/>
        <v>贾建国</v>
      </c>
      <c r="Q11" t="str">
        <f>IF(周转筐出入库明细!$D11="","",周转筐出入库明细!$D11)</f>
        <v>公司杂周转筐</v>
      </c>
      <c r="R11">
        <f t="shared" si="8"/>
        <v>0</v>
      </c>
      <c r="S11">
        <f t="shared" si="9"/>
        <v>4</v>
      </c>
      <c r="U11" t="str">
        <f t="shared" si="10"/>
        <v/>
      </c>
      <c r="W11" t="str">
        <f>IF(周转筐出入库明细!$C11="","",周转筐出入库明细!$C11)</f>
        <v>王照雪</v>
      </c>
      <c r="X11">
        <f t="shared" si="11"/>
        <v>0</v>
      </c>
      <c r="Y11">
        <f t="shared" si="12"/>
        <v>1</v>
      </c>
      <c r="AA11" t="str">
        <f t="shared" si="13"/>
        <v>麦麦提</v>
      </c>
      <c r="AC11" t="str">
        <f>IF(客户自备加工筐明细!$C11="","",客户自备加工筐明细!$C11)</f>
        <v/>
      </c>
      <c r="AD11">
        <f t="shared" si="14"/>
        <v>0</v>
      </c>
      <c r="AE11">
        <f t="shared" si="15"/>
        <v>1</v>
      </c>
      <c r="AG11" t="str">
        <f t="shared" si="16"/>
        <v/>
      </c>
      <c r="AI11" t="str">
        <f>IF(客户自备加工筐明细!$E11="","",客户自备加工筐明细!$E11)</f>
        <v/>
      </c>
      <c r="AJ11">
        <f t="shared" si="17"/>
        <v>0</v>
      </c>
      <c r="AK11">
        <f t="shared" si="18"/>
        <v>1</v>
      </c>
      <c r="AM11" t="str">
        <f>IFERROR(INDEX($AI$4:$AI$1503,MATCH(8,$AK$4:$AK$1503,0)),"")</f>
        <v/>
      </c>
      <c r="AO11" t="str">
        <f>IF(次果筐明细!$D11="","",次果筐明细!$D11)</f>
        <v/>
      </c>
      <c r="AP11">
        <f t="shared" si="19"/>
        <v>0</v>
      </c>
      <c r="AQ11">
        <f t="shared" si="20"/>
        <v>1</v>
      </c>
      <c r="AS11" t="str">
        <f t="shared" si="21"/>
        <v/>
      </c>
      <c r="AU11" t="str">
        <f>IF(次果筐明细!$C11="","",次果筐明细!$C11)</f>
        <v/>
      </c>
      <c r="AV11">
        <f t="shared" si="22"/>
        <v>0</v>
      </c>
      <c r="AW11">
        <f t="shared" si="23"/>
        <v>1</v>
      </c>
      <c r="AY11" t="str">
        <f t="shared" si="24"/>
        <v/>
      </c>
      <c r="BA11" t="str">
        <f>IF(对接源_01水果筐数!$B12="","",对接源_01水果筐数!$B12)</f>
        <v>吐尔洪</v>
      </c>
      <c r="BB11">
        <f t="shared" si="25"/>
        <v>1</v>
      </c>
      <c r="BC11">
        <f t="shared" si="26"/>
        <v>6</v>
      </c>
      <c r="BE11" t="str">
        <f t="shared" si="27"/>
        <v>贾建国</v>
      </c>
      <c r="BG11" t="str">
        <f>IF(对接源_01水果筐数!$C12="","",对接源_01水果筐数!$C12)</f>
        <v>公司红周转筐</v>
      </c>
      <c r="BH11">
        <f t="shared" si="28"/>
        <v>0</v>
      </c>
      <c r="BI11">
        <f t="shared" si="29"/>
        <v>3</v>
      </c>
      <c r="BK11" t="str">
        <f t="shared" si="30"/>
        <v/>
      </c>
      <c r="BM11" t="str">
        <f t="shared" si="31"/>
        <v/>
      </c>
      <c r="BN11">
        <f t="shared" si="32"/>
        <v>0</v>
      </c>
      <c r="BO11">
        <f t="shared" si="33"/>
        <v>5</v>
      </c>
      <c r="BQ11" t="str">
        <f t="shared" si="34"/>
        <v>纸箱</v>
      </c>
      <c r="BS11" t="str">
        <f t="shared" si="35"/>
        <v>贾建国</v>
      </c>
      <c r="BT11">
        <f t="shared" si="36"/>
        <v>1</v>
      </c>
      <c r="BU11">
        <f t="shared" si="37"/>
        <v>8</v>
      </c>
      <c r="BW11" t="str">
        <f t="shared" si="38"/>
        <v>贾建国</v>
      </c>
      <c r="BY11" t="str">
        <f t="shared" si="39"/>
        <v>麦麦提</v>
      </c>
      <c r="BZ11">
        <f t="shared" si="40"/>
        <v>1</v>
      </c>
      <c r="CA11">
        <f t="shared" si="41"/>
        <v>8</v>
      </c>
      <c r="CC11" t="str">
        <f t="shared" si="42"/>
        <v>麦麦提</v>
      </c>
      <c r="CE11" t="str">
        <f>IF(基础资料!$P11="","",基础资料!$P11)</f>
        <v>张</v>
      </c>
      <c r="CF11">
        <f>IF(CE11="",0,COUNTIF(包装物料出入库明细!$G$4:$G$2003,CE11))</f>
        <v>1</v>
      </c>
      <c r="CI11" t="str">
        <f>IF(基础资料!$D11="","",基础资料!$D11)</f>
        <v>贾建国</v>
      </c>
      <c r="CJ11">
        <f t="shared" si="43"/>
        <v>1</v>
      </c>
      <c r="CK11">
        <f t="shared" si="44"/>
        <v>8</v>
      </c>
      <c r="CL11" t="str">
        <f t="shared" si="45"/>
        <v>贾建国</v>
      </c>
      <c r="CP11">
        <f>IF(包装物料出入库明细!$D11="",0,1)</f>
        <v>1</v>
      </c>
      <c r="CQ11">
        <f t="shared" si="46"/>
        <v>8</v>
      </c>
      <c r="CS11" t="str">
        <f>IF(OR(周转筐出入库明细!$C11="",周转筐出入库明细!$F11&lt;&gt;"采购入库"),"",周转筐出入库明细!$C11)</f>
        <v/>
      </c>
      <c r="CT11">
        <f t="shared" si="47"/>
        <v>0</v>
      </c>
      <c r="CU11">
        <f t="shared" si="48"/>
        <v>0</v>
      </c>
      <c r="CW11" t="str">
        <f>IFERROR(INDEX($CS$4:$CS$2003,MATCH(8,$CU$4:$CU$2003,0)),"")</f>
        <v/>
      </c>
    </row>
    <row r="12" spans="1:101">
      <c r="A12" t="str">
        <f>IF(包装物料出入库明细!$E12="","",包装物料出入库明细!$E12)</f>
        <v>香梨网</v>
      </c>
      <c r="B12">
        <f t="shared" si="0"/>
        <v>0</v>
      </c>
      <c r="C12">
        <f t="shared" si="1"/>
        <v>7</v>
      </c>
      <c r="D12" t="str">
        <f>IF(包装物料出入库明细!$E12="","",包装物料出入库明细!$F12)</f>
        <v>*包</v>
      </c>
      <c r="E12" t="str">
        <f>IF(包装物料出入库明细!$E12="","",包装物料出入库明细!$G12)</f>
        <v>包</v>
      </c>
      <c r="G12" t="str">
        <f t="shared" si="2"/>
        <v/>
      </c>
      <c r="H12" t="str">
        <f t="shared" si="3"/>
        <v/>
      </c>
      <c r="I12" t="str">
        <f t="shared" si="4"/>
        <v/>
      </c>
      <c r="K12" t="str">
        <f>IF(包装物料出入库明细!$D12="","",包装物料出入库明细!$D12)</f>
        <v>热合曼</v>
      </c>
      <c r="L12">
        <f t="shared" si="5"/>
        <v>1</v>
      </c>
      <c r="M12">
        <f t="shared" si="6"/>
        <v>4</v>
      </c>
      <c r="O12" t="str">
        <f t="shared" si="7"/>
        <v>吐尔逊</v>
      </c>
      <c r="Q12" t="str">
        <f>IF(周转筐出入库明细!$D12="","",周转筐出入库明细!$D12)</f>
        <v>公司杂周转筐</v>
      </c>
      <c r="R12">
        <f t="shared" si="8"/>
        <v>0</v>
      </c>
      <c r="S12">
        <f t="shared" si="9"/>
        <v>4</v>
      </c>
      <c r="U12" t="str">
        <f t="shared" si="10"/>
        <v/>
      </c>
      <c r="W12" t="str">
        <f>IF(周转筐出入库明细!$C12="","",周转筐出入库明细!$C12)</f>
        <v>王照雪</v>
      </c>
      <c r="X12">
        <f t="shared" si="11"/>
        <v>0</v>
      </c>
      <c r="Y12">
        <f t="shared" si="12"/>
        <v>1</v>
      </c>
      <c r="AA12" t="str">
        <f t="shared" si="13"/>
        <v>努尔敦</v>
      </c>
      <c r="AC12" t="str">
        <f>IF(客户自备加工筐明细!$C12="","",客户自备加工筐明细!$C12)</f>
        <v/>
      </c>
      <c r="AD12">
        <f t="shared" si="14"/>
        <v>0</v>
      </c>
      <c r="AE12">
        <f t="shared" si="15"/>
        <v>1</v>
      </c>
      <c r="AG12" t="str">
        <f t="shared" si="16"/>
        <v/>
      </c>
      <c r="AI12" t="str">
        <f>IF(客户自备加工筐明细!$E12="","",客户自备加工筐明细!$E12)</f>
        <v/>
      </c>
      <c r="AJ12">
        <f t="shared" si="17"/>
        <v>0</v>
      </c>
      <c r="AK12">
        <f t="shared" si="18"/>
        <v>1</v>
      </c>
      <c r="AM12" t="str">
        <f>IFERROR(INDEX($AI$4:$AI$1503,MATCH(9,$AK$4:$AK$1503,0)),"")</f>
        <v/>
      </c>
      <c r="AO12" t="str">
        <f>IF(次果筐明细!$D12="","",次果筐明细!$D12)</f>
        <v/>
      </c>
      <c r="AP12">
        <f t="shared" si="19"/>
        <v>0</v>
      </c>
      <c r="AQ12">
        <f t="shared" si="20"/>
        <v>1</v>
      </c>
      <c r="AS12" t="str">
        <f t="shared" si="21"/>
        <v/>
      </c>
      <c r="AU12" t="str">
        <f>IF(次果筐明细!$C12="","",次果筐明细!$C12)</f>
        <v/>
      </c>
      <c r="AV12">
        <f t="shared" si="22"/>
        <v>0</v>
      </c>
      <c r="AW12">
        <f t="shared" si="23"/>
        <v>1</v>
      </c>
      <c r="AY12" t="str">
        <f t="shared" si="24"/>
        <v/>
      </c>
      <c r="BA12" t="str">
        <f>IF(对接源_01水果筐数!$B13="","",对接源_01水果筐数!$B13)</f>
        <v>热合曼</v>
      </c>
      <c r="BB12">
        <f t="shared" si="25"/>
        <v>1</v>
      </c>
      <c r="BC12">
        <f t="shared" si="26"/>
        <v>7</v>
      </c>
      <c r="BE12" t="str">
        <f t="shared" si="27"/>
        <v>王灵云</v>
      </c>
      <c r="BG12" t="str">
        <f>IF(对接源_01水果筐数!$C13="","",对接源_01水果筐数!$C13)</f>
        <v>公司红周转筐</v>
      </c>
      <c r="BH12">
        <f t="shared" si="28"/>
        <v>0</v>
      </c>
      <c r="BI12">
        <f t="shared" si="29"/>
        <v>3</v>
      </c>
      <c r="BK12" t="str">
        <f t="shared" si="30"/>
        <v/>
      </c>
      <c r="BM12" t="str">
        <f t="shared" si="31"/>
        <v/>
      </c>
      <c r="BN12">
        <f t="shared" si="32"/>
        <v>0</v>
      </c>
      <c r="BO12">
        <f t="shared" si="33"/>
        <v>5</v>
      </c>
      <c r="BQ12" t="str">
        <f t="shared" si="34"/>
        <v/>
      </c>
      <c r="BS12" t="str">
        <f t="shared" si="35"/>
        <v>吐尔逊</v>
      </c>
      <c r="BT12">
        <f t="shared" si="36"/>
        <v>1</v>
      </c>
      <c r="BU12">
        <f t="shared" si="37"/>
        <v>9</v>
      </c>
      <c r="BW12" t="str">
        <f t="shared" si="38"/>
        <v>吐尔逊</v>
      </c>
      <c r="BY12" t="str">
        <f t="shared" si="39"/>
        <v>努尔敦</v>
      </c>
      <c r="BZ12">
        <f t="shared" si="40"/>
        <v>1</v>
      </c>
      <c r="CA12">
        <f t="shared" si="41"/>
        <v>9</v>
      </c>
      <c r="CC12" t="str">
        <f t="shared" si="42"/>
        <v>努尔敦</v>
      </c>
      <c r="CE12" t="str">
        <f>IF(基础资料!$P12="","",基础资料!$P12)</f>
        <v>块</v>
      </c>
      <c r="CF12">
        <f>IF(CE12="",0,COUNTIF(包装物料出入库明细!$G$4:$G$2003,CE12))</f>
        <v>0</v>
      </c>
      <c r="CI12" t="str">
        <f>IF(基础资料!$D12="","",基础资料!$D12)</f>
        <v>荆建君</v>
      </c>
      <c r="CJ12">
        <f t="shared" si="43"/>
        <v>1</v>
      </c>
      <c r="CK12">
        <f t="shared" si="44"/>
        <v>9</v>
      </c>
      <c r="CL12" t="str">
        <f t="shared" si="45"/>
        <v>荆建君</v>
      </c>
      <c r="CP12">
        <f>IF(包装物料出入库明细!$D12="",0,1)</f>
        <v>1</v>
      </c>
      <c r="CQ12">
        <f t="shared" si="46"/>
        <v>9</v>
      </c>
      <c r="CS12" t="str">
        <f>IF(OR(周转筐出入库明细!$C12="",周转筐出入库明细!$F12&lt;&gt;"采购入库"),"",周转筐出入库明细!$C12)</f>
        <v/>
      </c>
      <c r="CT12">
        <f t="shared" si="47"/>
        <v>0</v>
      </c>
      <c r="CU12">
        <f t="shared" si="48"/>
        <v>0</v>
      </c>
      <c r="CW12" t="str">
        <f>IFERROR(INDEX($CS$4:$CS$2003,MATCH(9,$CU$4:$CU$2003,0)),"")</f>
        <v/>
      </c>
    </row>
    <row r="13" spans="1:101">
      <c r="A13" t="str">
        <f>IF(包装物料出入库明细!$E13="","",包装物料出入库明细!$E13)</f>
        <v>香梨纸</v>
      </c>
      <c r="B13">
        <f t="shared" si="0"/>
        <v>0</v>
      </c>
      <c r="C13">
        <f t="shared" si="1"/>
        <v>7</v>
      </c>
      <c r="D13" t="str">
        <f>IF(包装物料出入库明细!$E13="","",包装物料出入库明细!$F13)</f>
        <v>*捆</v>
      </c>
      <c r="E13" t="str">
        <f>IF(包装物料出入库明细!$E13="","",包装物料出入库明细!$G13)</f>
        <v>捆</v>
      </c>
      <c r="G13" t="str">
        <f t="shared" si="2"/>
        <v/>
      </c>
      <c r="H13" t="str">
        <f t="shared" si="3"/>
        <v/>
      </c>
      <c r="I13" t="str">
        <f t="shared" si="4"/>
        <v/>
      </c>
      <c r="K13" t="str">
        <f>IF(包装物料出入库明细!$D13="","",包装物料出入库明细!$D13)</f>
        <v>麦麦提</v>
      </c>
      <c r="L13">
        <f t="shared" si="5"/>
        <v>1</v>
      </c>
      <c r="M13">
        <f t="shared" si="6"/>
        <v>5</v>
      </c>
      <c r="O13" t="str">
        <f t="shared" si="7"/>
        <v/>
      </c>
      <c r="Q13" t="str">
        <f>IF(周转筐出入库明细!$D13="","",周转筐出入库明细!$D13)</f>
        <v>公司一次性筐</v>
      </c>
      <c r="R13">
        <f t="shared" si="8"/>
        <v>0</v>
      </c>
      <c r="S13">
        <f t="shared" si="9"/>
        <v>4</v>
      </c>
      <c r="U13" t="str">
        <f t="shared" si="10"/>
        <v/>
      </c>
      <c r="W13" t="str">
        <f>IF(周转筐出入库明细!$C13="","",周转筐出入库明细!$C13)</f>
        <v>王浩</v>
      </c>
      <c r="X13">
        <f t="shared" si="11"/>
        <v>1</v>
      </c>
      <c r="Y13">
        <f t="shared" si="12"/>
        <v>2</v>
      </c>
      <c r="AA13" t="str">
        <f t="shared" si="13"/>
        <v>荆建君</v>
      </c>
      <c r="AC13" t="str">
        <f>IF(客户自备加工筐明细!$C13="","",客户自备加工筐明细!$C13)</f>
        <v/>
      </c>
      <c r="AD13">
        <f t="shared" si="14"/>
        <v>0</v>
      </c>
      <c r="AE13">
        <f t="shared" si="15"/>
        <v>1</v>
      </c>
      <c r="AG13" t="str">
        <f t="shared" si="16"/>
        <v/>
      </c>
      <c r="AI13" t="str">
        <f>IF(客户自备加工筐明细!$E13="","",客户自备加工筐明细!$E13)</f>
        <v/>
      </c>
      <c r="AJ13">
        <f t="shared" si="17"/>
        <v>0</v>
      </c>
      <c r="AK13">
        <f t="shared" si="18"/>
        <v>1</v>
      </c>
      <c r="AM13" t="str">
        <f>IFERROR(INDEX($AI$4:$AI$1503,MATCH(10,$AK$4:$AK$1503,0)),"")</f>
        <v/>
      </c>
      <c r="AO13" t="str">
        <f>IF(次果筐明细!$D13="","",次果筐明细!$D13)</f>
        <v/>
      </c>
      <c r="AP13">
        <f t="shared" si="19"/>
        <v>0</v>
      </c>
      <c r="AQ13">
        <f t="shared" si="20"/>
        <v>1</v>
      </c>
      <c r="AS13" t="str">
        <f t="shared" si="21"/>
        <v/>
      </c>
      <c r="AU13" t="str">
        <f>IF(次果筐明细!$C13="","",次果筐明细!$C13)</f>
        <v/>
      </c>
      <c r="AV13">
        <f t="shared" si="22"/>
        <v>0</v>
      </c>
      <c r="AW13">
        <f t="shared" si="23"/>
        <v>1</v>
      </c>
      <c r="AY13" t="str">
        <f t="shared" si="24"/>
        <v/>
      </c>
      <c r="BA13" t="str">
        <f>IF(对接源_01水果筐数!$B14="","",对接源_01水果筐数!$B14)</f>
        <v>贾建国</v>
      </c>
      <c r="BB13">
        <f t="shared" si="25"/>
        <v>1</v>
      </c>
      <c r="BC13">
        <f t="shared" si="26"/>
        <v>8</v>
      </c>
      <c r="BE13" t="str">
        <f t="shared" si="27"/>
        <v>杨艳玲</v>
      </c>
      <c r="BG13" t="str">
        <f>IF(对接源_01水果筐数!$C14="","",对接源_01水果筐数!$C14)</f>
        <v>自备一次性筐</v>
      </c>
      <c r="BH13">
        <f t="shared" si="28"/>
        <v>0</v>
      </c>
      <c r="BI13">
        <f t="shared" si="29"/>
        <v>3</v>
      </c>
      <c r="BK13" t="str">
        <f t="shared" si="30"/>
        <v/>
      </c>
      <c r="BM13" t="str">
        <f t="shared" si="31"/>
        <v/>
      </c>
      <c r="BN13">
        <f t="shared" si="32"/>
        <v>0</v>
      </c>
      <c r="BO13">
        <f t="shared" si="33"/>
        <v>5</v>
      </c>
      <c r="BQ13" t="str">
        <f t="shared" si="34"/>
        <v/>
      </c>
      <c r="BS13" t="str">
        <f t="shared" si="35"/>
        <v/>
      </c>
      <c r="BT13">
        <f t="shared" si="36"/>
        <v>0</v>
      </c>
      <c r="BU13">
        <f t="shared" si="37"/>
        <v>9</v>
      </c>
      <c r="BW13" t="str">
        <f t="shared" si="38"/>
        <v>王照雪</v>
      </c>
      <c r="BY13" t="str">
        <f t="shared" si="39"/>
        <v>荆建君</v>
      </c>
      <c r="BZ13">
        <f t="shared" si="40"/>
        <v>1</v>
      </c>
      <c r="CA13">
        <f t="shared" si="41"/>
        <v>10</v>
      </c>
      <c r="CC13" t="str">
        <f t="shared" si="42"/>
        <v>荆建君</v>
      </c>
      <c r="CE13" t="str">
        <f>IF(基础资料!$P13="","",基础资料!$P13)</f>
        <v>块</v>
      </c>
      <c r="CF13">
        <f>IF(CE13="",0,COUNTIF(包装物料出入库明细!$G$4:$G$2003,CE13))</f>
        <v>0</v>
      </c>
      <c r="CI13" t="str">
        <f>IF(基础资料!$D13="","",基础资料!$D13)</f>
        <v>艾合买提</v>
      </c>
      <c r="CJ13">
        <f t="shared" si="43"/>
        <v>1</v>
      </c>
      <c r="CK13">
        <f t="shared" si="44"/>
        <v>10</v>
      </c>
      <c r="CL13" t="str">
        <f t="shared" si="45"/>
        <v>艾合买提</v>
      </c>
      <c r="CP13">
        <f>IF(包装物料出入库明细!$D13="",0,1)</f>
        <v>1</v>
      </c>
      <c r="CQ13">
        <f t="shared" si="46"/>
        <v>10</v>
      </c>
      <c r="CS13" t="str">
        <f>IF(OR(周转筐出入库明细!$C13="",周转筐出入库明细!$F13&lt;&gt;"采购入库"),"",周转筐出入库明细!$C13)</f>
        <v/>
      </c>
      <c r="CT13">
        <f t="shared" si="47"/>
        <v>0</v>
      </c>
      <c r="CU13">
        <f t="shared" si="48"/>
        <v>0</v>
      </c>
      <c r="CW13" t="str">
        <f>IFERROR(INDEX($CS$4:$CS$2003,MATCH(10,$CU$4:$CU$2003,0)),"")</f>
        <v/>
      </c>
    </row>
    <row r="14" spans="1:101">
      <c r="A14" t="str">
        <f>IF(包装物料出入库明细!$E14="","",包装物料出入库明细!$E14)</f>
        <v>香梨纸</v>
      </c>
      <c r="B14">
        <f t="shared" si="0"/>
        <v>0</v>
      </c>
      <c r="C14">
        <f t="shared" si="1"/>
        <v>7</v>
      </c>
      <c r="D14" t="str">
        <f>IF(包装物料出入库明细!$E14="","",包装物料出入库明细!$F14)</f>
        <v>*捆</v>
      </c>
      <c r="E14" t="str">
        <f>IF(包装物料出入库明细!$E14="","",包装物料出入库明细!$G14)</f>
        <v>捆</v>
      </c>
      <c r="G14" t="str">
        <f t="shared" si="2"/>
        <v/>
      </c>
      <c r="H14" t="str">
        <f t="shared" si="3"/>
        <v/>
      </c>
      <c r="I14" t="str">
        <f t="shared" si="4"/>
        <v/>
      </c>
      <c r="K14" t="str">
        <f>IF(包装物料出入库明细!$D14="","",包装物料出入库明细!$D14)</f>
        <v>热合曼</v>
      </c>
      <c r="L14">
        <f t="shared" si="5"/>
        <v>0</v>
      </c>
      <c r="M14">
        <f t="shared" si="6"/>
        <v>5</v>
      </c>
      <c r="O14" t="str">
        <f t="shared" si="7"/>
        <v/>
      </c>
      <c r="Q14" t="str">
        <f>IF(周转筐出入库明细!$D14="","",周转筐出入库明细!$D14)</f>
        <v>公司杂周转筐</v>
      </c>
      <c r="R14">
        <f t="shared" si="8"/>
        <v>0</v>
      </c>
      <c r="S14">
        <f t="shared" si="9"/>
        <v>4</v>
      </c>
      <c r="U14" t="str">
        <f t="shared" si="10"/>
        <v/>
      </c>
      <c r="W14" t="str">
        <f>IF(周转筐出入库明细!$C14="","",周转筐出入库明细!$C14)</f>
        <v>马锦祥</v>
      </c>
      <c r="X14">
        <f t="shared" si="11"/>
        <v>1</v>
      </c>
      <c r="Y14">
        <f t="shared" si="12"/>
        <v>3</v>
      </c>
      <c r="AA14" t="str">
        <f t="shared" si="13"/>
        <v>贾建国</v>
      </c>
      <c r="AC14" t="str">
        <f>IF(客户自备加工筐明细!$C14="","",客户自备加工筐明细!$C14)</f>
        <v/>
      </c>
      <c r="AD14">
        <f t="shared" si="14"/>
        <v>0</v>
      </c>
      <c r="AE14">
        <f t="shared" si="15"/>
        <v>1</v>
      </c>
      <c r="AG14" t="str">
        <f t="shared" si="16"/>
        <v/>
      </c>
      <c r="AI14" t="str">
        <f>IF(客户自备加工筐明细!$E14="","",客户自备加工筐明细!$E14)</f>
        <v/>
      </c>
      <c r="AJ14">
        <f t="shared" si="17"/>
        <v>0</v>
      </c>
      <c r="AK14">
        <f t="shared" si="18"/>
        <v>1</v>
      </c>
      <c r="AM14" t="str">
        <f>IFERROR(INDEX($AI$4:$AI$1503,MATCH(11,$AK$4:$AK$1503,0)),"")</f>
        <v/>
      </c>
      <c r="AO14" t="str">
        <f>IF(次果筐明细!$D14="","",次果筐明细!$D14)</f>
        <v/>
      </c>
      <c r="AP14">
        <f t="shared" si="19"/>
        <v>0</v>
      </c>
      <c r="AQ14">
        <f t="shared" si="20"/>
        <v>1</v>
      </c>
      <c r="AS14" t="str">
        <f t="shared" si="21"/>
        <v/>
      </c>
      <c r="AU14" t="str">
        <f>IF(次果筐明细!$C14="","",次果筐明细!$C14)</f>
        <v/>
      </c>
      <c r="AV14">
        <f t="shared" si="22"/>
        <v>0</v>
      </c>
      <c r="AW14">
        <f t="shared" si="23"/>
        <v>1</v>
      </c>
      <c r="AY14" t="str">
        <f t="shared" si="24"/>
        <v/>
      </c>
      <c r="BA14" t="str">
        <f>IF(对接源_01水果筐数!$B15="","",对接源_01水果筐数!$B15)</f>
        <v>贾建国</v>
      </c>
      <c r="BB14">
        <f t="shared" si="25"/>
        <v>0</v>
      </c>
      <c r="BC14">
        <f t="shared" si="26"/>
        <v>8</v>
      </c>
      <c r="BE14" t="str">
        <f t="shared" si="27"/>
        <v>荆建君</v>
      </c>
      <c r="BG14" t="str">
        <f>IF(对接源_01水果筐数!$C15="","",对接源_01水果筐数!$C15)</f>
        <v>自备杂周转筐</v>
      </c>
      <c r="BH14">
        <f t="shared" si="28"/>
        <v>1</v>
      </c>
      <c r="BI14">
        <f t="shared" si="29"/>
        <v>4</v>
      </c>
      <c r="BK14" t="str">
        <f t="shared" si="30"/>
        <v/>
      </c>
      <c r="BM14" t="str">
        <f t="shared" si="31"/>
        <v/>
      </c>
      <c r="BN14">
        <f t="shared" si="32"/>
        <v>0</v>
      </c>
      <c r="BO14">
        <f t="shared" si="33"/>
        <v>5</v>
      </c>
      <c r="BQ14" t="str">
        <f t="shared" si="34"/>
        <v/>
      </c>
      <c r="BS14" t="str">
        <f t="shared" si="35"/>
        <v/>
      </c>
      <c r="BT14">
        <f t="shared" si="36"/>
        <v>0</v>
      </c>
      <c r="BU14">
        <f t="shared" si="37"/>
        <v>9</v>
      </c>
      <c r="BW14" t="str">
        <f t="shared" si="38"/>
        <v>王浩</v>
      </c>
      <c r="BY14" t="str">
        <f t="shared" si="39"/>
        <v>贾建国</v>
      </c>
      <c r="BZ14">
        <f t="shared" si="40"/>
        <v>1</v>
      </c>
      <c r="CA14">
        <f t="shared" si="41"/>
        <v>11</v>
      </c>
      <c r="CC14" t="str">
        <f t="shared" si="42"/>
        <v>贾建国</v>
      </c>
      <c r="CE14" t="str">
        <f>IF(基础资料!$P14="","",基础资料!$P14)</f>
        <v>卷</v>
      </c>
      <c r="CF14">
        <f>IF(CE14="",0,COUNTIF(包装物料出入库明细!$G$4:$G$2003,CE14))</f>
        <v>1</v>
      </c>
      <c r="CI14" t="str">
        <f>IF(基础资料!$D14="","",基础资料!$D14)</f>
        <v>王浩</v>
      </c>
      <c r="CJ14">
        <f t="shared" si="43"/>
        <v>1</v>
      </c>
      <c r="CK14">
        <f t="shared" si="44"/>
        <v>11</v>
      </c>
      <c r="CL14" t="str">
        <f t="shared" si="45"/>
        <v>王浩</v>
      </c>
      <c r="CP14">
        <f>IF(包装物料出入库明细!$D14="",0,1)</f>
        <v>1</v>
      </c>
      <c r="CQ14">
        <f t="shared" si="46"/>
        <v>11</v>
      </c>
      <c r="CS14" t="str">
        <f>IF(OR(周转筐出入库明细!$C14="",周转筐出入库明细!$F14&lt;&gt;"采购入库"),"",周转筐出入库明细!$C14)</f>
        <v/>
      </c>
      <c r="CT14">
        <f t="shared" si="47"/>
        <v>0</v>
      </c>
      <c r="CU14">
        <f t="shared" si="48"/>
        <v>0</v>
      </c>
      <c r="CW14" t="str">
        <f>IFERROR(INDEX($CS$4:$CS$2003,MATCH(11,$CU$4:$CU$2003,0)),"")</f>
        <v/>
      </c>
    </row>
    <row r="15" spans="1:101">
      <c r="A15" t="str">
        <f>IF(包装物料出入库明细!$E15="","",包装物料出入库明细!$E15)</f>
        <v>香梨网</v>
      </c>
      <c r="B15">
        <f t="shared" si="0"/>
        <v>0</v>
      </c>
      <c r="C15">
        <f t="shared" si="1"/>
        <v>7</v>
      </c>
      <c r="D15" t="str">
        <f>IF(包装物料出入库明细!$E15="","",包装物料出入库明细!$F15)</f>
        <v>*包</v>
      </c>
      <c r="E15" t="str">
        <f>IF(包装物料出入库明细!$E15="","",包装物料出入库明细!$G15)</f>
        <v>包</v>
      </c>
      <c r="G15" t="str">
        <f t="shared" si="2"/>
        <v/>
      </c>
      <c r="H15" t="str">
        <f t="shared" si="3"/>
        <v/>
      </c>
      <c r="I15" t="str">
        <f t="shared" si="4"/>
        <v/>
      </c>
      <c r="K15" t="str">
        <f>IF(包装物料出入库明细!$D15="","",包装物料出入库明细!$D15)</f>
        <v>麦麦提</v>
      </c>
      <c r="L15">
        <f t="shared" si="5"/>
        <v>0</v>
      </c>
      <c r="M15">
        <f t="shared" si="6"/>
        <v>5</v>
      </c>
      <c r="O15" t="str">
        <f t="shared" si="7"/>
        <v/>
      </c>
      <c r="Q15" t="str">
        <f>IF(周转筐出入库明细!$D15="","",周转筐出入库明细!$D15)</f>
        <v>公司杂周转筐</v>
      </c>
      <c r="R15">
        <f t="shared" si="8"/>
        <v>0</v>
      </c>
      <c r="S15">
        <f t="shared" si="9"/>
        <v>4</v>
      </c>
      <c r="U15" t="str">
        <f t="shared" si="10"/>
        <v/>
      </c>
      <c r="W15" t="str">
        <f>IF(周转筐出入库明细!$C15="","",周转筐出入库明细!$C15)</f>
        <v>王照雪</v>
      </c>
      <c r="X15">
        <f t="shared" si="11"/>
        <v>0</v>
      </c>
      <c r="Y15">
        <f t="shared" si="12"/>
        <v>3</v>
      </c>
      <c r="AA15" t="str">
        <f t="shared" si="13"/>
        <v>吐尔逊</v>
      </c>
      <c r="AC15" t="str">
        <f>IF(客户自备加工筐明细!$C15="","",客户自备加工筐明细!$C15)</f>
        <v/>
      </c>
      <c r="AD15">
        <f t="shared" si="14"/>
        <v>0</v>
      </c>
      <c r="AE15">
        <f t="shared" si="15"/>
        <v>1</v>
      </c>
      <c r="AG15" t="str">
        <f t="shared" si="16"/>
        <v/>
      </c>
      <c r="AI15" t="str">
        <f>IF(客户自备加工筐明细!$E15="","",客户自备加工筐明细!$E15)</f>
        <v/>
      </c>
      <c r="AJ15">
        <f t="shared" si="17"/>
        <v>0</v>
      </c>
      <c r="AK15">
        <f t="shared" si="18"/>
        <v>1</v>
      </c>
      <c r="AM15" t="str">
        <f>IFERROR(INDEX($AI$4:$AI$1503,MATCH(12,$AK$4:$AK$1503,0)),"")</f>
        <v/>
      </c>
      <c r="AO15" t="str">
        <f>IF(次果筐明细!$D15="","",次果筐明细!$D15)</f>
        <v/>
      </c>
      <c r="AP15">
        <f t="shared" si="19"/>
        <v>0</v>
      </c>
      <c r="AQ15">
        <f t="shared" si="20"/>
        <v>1</v>
      </c>
      <c r="AS15" t="str">
        <f t="shared" si="21"/>
        <v/>
      </c>
      <c r="AU15" t="str">
        <f>IF(次果筐明细!$C15="","",次果筐明细!$C15)</f>
        <v/>
      </c>
      <c r="AV15">
        <f t="shared" si="22"/>
        <v>0</v>
      </c>
      <c r="AW15">
        <f t="shared" si="23"/>
        <v>1</v>
      </c>
      <c r="AY15" t="str">
        <f t="shared" si="24"/>
        <v/>
      </c>
      <c r="BA15" t="str">
        <f>IF(对接源_01水果筐数!$B16="","",对接源_01水果筐数!$B16)</f>
        <v>王灵云</v>
      </c>
      <c r="BB15">
        <f t="shared" si="25"/>
        <v>1</v>
      </c>
      <c r="BC15">
        <f t="shared" si="26"/>
        <v>9</v>
      </c>
      <c r="BE15" t="str">
        <f t="shared" si="27"/>
        <v>努尔敦</v>
      </c>
      <c r="BG15" t="str">
        <f>IF(对接源_01水果筐数!$C16="","",对接源_01水果筐数!$C16)</f>
        <v>公司红周转筐</v>
      </c>
      <c r="BH15">
        <f t="shared" si="28"/>
        <v>0</v>
      </c>
      <c r="BI15">
        <f t="shared" si="29"/>
        <v>4</v>
      </c>
      <c r="BK15" t="str">
        <f t="shared" si="30"/>
        <v/>
      </c>
      <c r="BM15" t="str">
        <f t="shared" si="31"/>
        <v/>
      </c>
      <c r="BN15">
        <f t="shared" si="32"/>
        <v>0</v>
      </c>
      <c r="BO15">
        <f t="shared" si="33"/>
        <v>5</v>
      </c>
      <c r="BQ15" t="str">
        <f t="shared" si="34"/>
        <v/>
      </c>
      <c r="BS15" t="str">
        <f t="shared" si="35"/>
        <v/>
      </c>
      <c r="BT15">
        <f t="shared" si="36"/>
        <v>0</v>
      </c>
      <c r="BU15">
        <f t="shared" si="37"/>
        <v>9</v>
      </c>
      <c r="BW15" t="str">
        <f t="shared" si="38"/>
        <v>马锦祥</v>
      </c>
      <c r="BY15" t="str">
        <f t="shared" si="39"/>
        <v>吐尔逊</v>
      </c>
      <c r="BZ15">
        <f t="shared" si="40"/>
        <v>1</v>
      </c>
      <c r="CA15">
        <f t="shared" si="41"/>
        <v>12</v>
      </c>
      <c r="CC15" t="str">
        <f t="shared" si="42"/>
        <v>吐尔逊</v>
      </c>
      <c r="CE15" t="str">
        <f>IF(基础资料!$P15="","",基础资料!$P15)</f>
        <v>个</v>
      </c>
      <c r="CF15">
        <f>IF(CE15="",0,COUNTIF(包装物料出入库明细!$G$4:$G$2003,CE15))</f>
        <v>3</v>
      </c>
      <c r="CI15" t="str">
        <f>IF(基础资料!$D15="","",基础资料!$D15)</f>
        <v>电商/主播</v>
      </c>
      <c r="CJ15">
        <f t="shared" si="43"/>
        <v>1</v>
      </c>
      <c r="CK15">
        <f t="shared" si="44"/>
        <v>12</v>
      </c>
      <c r="CL15" t="str">
        <f t="shared" si="45"/>
        <v>电商/主播</v>
      </c>
      <c r="CP15">
        <f>IF(包装物料出入库明细!$D15="",0,1)</f>
        <v>1</v>
      </c>
      <c r="CQ15">
        <f t="shared" si="46"/>
        <v>12</v>
      </c>
      <c r="CS15" t="str">
        <f>IF(OR(周转筐出入库明细!$C15="",周转筐出入库明细!$F15&lt;&gt;"采购入库"),"",周转筐出入库明细!$C15)</f>
        <v/>
      </c>
      <c r="CT15">
        <f t="shared" si="47"/>
        <v>0</v>
      </c>
      <c r="CU15">
        <f t="shared" si="48"/>
        <v>0</v>
      </c>
      <c r="CW15" t="str">
        <f>IFERROR(INDEX($CS$4:$CS$2003,MATCH(12,$CU$4:$CU$2003,0)),"")</f>
        <v/>
      </c>
    </row>
    <row r="16" spans="1:101">
      <c r="A16" t="str">
        <f>IF(包装物料出入库明细!$E16="","",包装物料出入库明细!$E16)</f>
        <v>香梨网</v>
      </c>
      <c r="B16">
        <f t="shared" si="0"/>
        <v>0</v>
      </c>
      <c r="C16">
        <f t="shared" si="1"/>
        <v>7</v>
      </c>
      <c r="D16" t="str">
        <f>IF(包装物料出入库明细!$E16="","",包装物料出入库明细!$F16)</f>
        <v>*包</v>
      </c>
      <c r="E16" t="str">
        <f>IF(包装物料出入库明细!$E16="","",包装物料出入库明细!$G16)</f>
        <v>包</v>
      </c>
      <c r="G16" t="str">
        <f t="shared" si="2"/>
        <v/>
      </c>
      <c r="H16" t="str">
        <f t="shared" si="3"/>
        <v/>
      </c>
      <c r="I16" t="str">
        <f t="shared" si="4"/>
        <v/>
      </c>
      <c r="K16" t="str">
        <f>IF(包装物料出入库明细!$D16="","",包装物料出入库明细!$D16)</f>
        <v>荆建君</v>
      </c>
      <c r="L16">
        <f t="shared" si="5"/>
        <v>1</v>
      </c>
      <c r="M16">
        <f t="shared" si="6"/>
        <v>6</v>
      </c>
      <c r="O16" t="str">
        <f t="shared" si="7"/>
        <v/>
      </c>
      <c r="Q16" t="str">
        <f>IF(周转筐出入库明细!$D16="","",周转筐出入库明细!$D16)</f>
        <v>公司红周转筐</v>
      </c>
      <c r="R16">
        <f t="shared" si="8"/>
        <v>1</v>
      </c>
      <c r="S16">
        <f t="shared" si="9"/>
        <v>5</v>
      </c>
      <c r="U16" t="str">
        <f t="shared" si="10"/>
        <v/>
      </c>
      <c r="W16" t="str">
        <f>IF(周转筐出入库明细!$C16="","",周转筐出入库明细!$C16)</f>
        <v>全修塑业</v>
      </c>
      <c r="X16">
        <f t="shared" si="11"/>
        <v>1</v>
      </c>
      <c r="Y16">
        <f t="shared" si="12"/>
        <v>4</v>
      </c>
      <c r="AA16" t="str">
        <f t="shared" si="13"/>
        <v/>
      </c>
      <c r="AC16" t="str">
        <f>IF(客户自备加工筐明细!$C16="","",客户自备加工筐明细!$C16)</f>
        <v/>
      </c>
      <c r="AD16">
        <f t="shared" si="14"/>
        <v>0</v>
      </c>
      <c r="AE16">
        <f t="shared" si="15"/>
        <v>1</v>
      </c>
      <c r="AG16" t="str">
        <f t="shared" si="16"/>
        <v/>
      </c>
      <c r="AI16" t="str">
        <f>IF(客户自备加工筐明细!$E16="","",客户自备加工筐明细!$E16)</f>
        <v/>
      </c>
      <c r="AJ16">
        <f t="shared" si="17"/>
        <v>0</v>
      </c>
      <c r="AK16">
        <f t="shared" si="18"/>
        <v>1</v>
      </c>
      <c r="AM16" t="str">
        <f>IFERROR(INDEX($AI$4:$AI$1503,MATCH(13,$AK$4:$AK$1503,0)),"")</f>
        <v/>
      </c>
      <c r="AO16" t="str">
        <f>IF(次果筐明细!$D16="","",次果筐明细!$D16)</f>
        <v/>
      </c>
      <c r="AP16">
        <f t="shared" si="19"/>
        <v>0</v>
      </c>
      <c r="AQ16">
        <f t="shared" si="20"/>
        <v>1</v>
      </c>
      <c r="AS16" t="str">
        <f t="shared" si="21"/>
        <v/>
      </c>
      <c r="AU16" t="str">
        <f>IF(次果筐明细!$C16="","",次果筐明细!$C16)</f>
        <v/>
      </c>
      <c r="AV16">
        <f t="shared" si="22"/>
        <v>0</v>
      </c>
      <c r="AW16">
        <f t="shared" si="23"/>
        <v>1</v>
      </c>
      <c r="AY16" t="str">
        <f t="shared" si="24"/>
        <v/>
      </c>
      <c r="BA16" t="str">
        <f>IF(对接源_01水果筐数!$B17="","",对接源_01水果筐数!$B17)</f>
        <v>杨艳玲</v>
      </c>
      <c r="BB16">
        <f t="shared" si="25"/>
        <v>1</v>
      </c>
      <c r="BC16">
        <f t="shared" si="26"/>
        <v>10</v>
      </c>
      <c r="BE16" t="str">
        <f t="shared" si="27"/>
        <v>王浩</v>
      </c>
      <c r="BG16" t="str">
        <f>IF(对接源_01水果筐数!$C17="","",对接源_01水果筐数!$C17)</f>
        <v>自备一次性筐</v>
      </c>
      <c r="BH16">
        <f t="shared" si="28"/>
        <v>0</v>
      </c>
      <c r="BI16">
        <f t="shared" si="29"/>
        <v>4</v>
      </c>
      <c r="BK16" t="str">
        <f t="shared" si="30"/>
        <v/>
      </c>
      <c r="BM16" t="str">
        <f t="shared" si="31"/>
        <v/>
      </c>
      <c r="BN16">
        <f t="shared" si="32"/>
        <v>0</v>
      </c>
      <c r="BO16">
        <f t="shared" si="33"/>
        <v>5</v>
      </c>
      <c r="BQ16" t="str">
        <f t="shared" si="34"/>
        <v/>
      </c>
      <c r="BS16" t="str">
        <f t="shared" si="35"/>
        <v/>
      </c>
      <c r="BT16">
        <f t="shared" si="36"/>
        <v>0</v>
      </c>
      <c r="BU16">
        <f t="shared" si="37"/>
        <v>9</v>
      </c>
      <c r="BW16" t="str">
        <f t="shared" si="38"/>
        <v>全修塑业</v>
      </c>
      <c r="BY16" t="str">
        <f t="shared" si="39"/>
        <v/>
      </c>
      <c r="BZ16">
        <f t="shared" si="40"/>
        <v>0</v>
      </c>
      <c r="CA16">
        <f t="shared" si="41"/>
        <v>12</v>
      </c>
      <c r="CC16" t="str">
        <f t="shared" si="42"/>
        <v>聂新平</v>
      </c>
      <c r="CE16" t="str">
        <f>IF(基础资料!$P16="","",基础资料!$P16)</f>
        <v>个</v>
      </c>
      <c r="CF16">
        <f>IF(CE16="",0,COUNTIF(包装物料出入库明细!$G$4:$G$2003,CE16))</f>
        <v>3</v>
      </c>
      <c r="CI16" t="str">
        <f>IF(基础资料!$D16="","",基础资料!$D16)</f>
        <v>吐尔逊</v>
      </c>
      <c r="CJ16">
        <f t="shared" si="43"/>
        <v>1</v>
      </c>
      <c r="CK16">
        <f t="shared" si="44"/>
        <v>13</v>
      </c>
      <c r="CL16" t="str">
        <f t="shared" si="45"/>
        <v>吐尔逊</v>
      </c>
      <c r="CP16">
        <f>IF(包装物料出入库明细!$D16="",0,1)</f>
        <v>1</v>
      </c>
      <c r="CQ16">
        <f t="shared" si="46"/>
        <v>13</v>
      </c>
      <c r="CS16" t="str">
        <f>IF(OR(周转筐出入库明细!$C16="",周转筐出入库明细!$F16&lt;&gt;"采购入库"),"",周转筐出入库明细!$C16)</f>
        <v>全修塑业</v>
      </c>
      <c r="CT16">
        <f t="shared" si="47"/>
        <v>1</v>
      </c>
      <c r="CU16">
        <f t="shared" si="48"/>
        <v>1</v>
      </c>
      <c r="CW16" t="str">
        <f>IFERROR(INDEX($CS$4:$CS$2003,MATCH(13,$CU$4:$CU$2003,0)),"")</f>
        <v/>
      </c>
    </row>
    <row r="17" spans="1:101">
      <c r="A17" t="str">
        <f>IF(包装物料出入库明细!$E17="","",包装物料出入库明细!$E17)</f>
        <v>香梨网</v>
      </c>
      <c r="B17">
        <f t="shared" si="0"/>
        <v>0</v>
      </c>
      <c r="C17">
        <f t="shared" si="1"/>
        <v>7</v>
      </c>
      <c r="D17" t="str">
        <f>IF(包装物料出入库明细!$E17="","",包装物料出入库明细!$F17)</f>
        <v>*包</v>
      </c>
      <c r="E17" t="str">
        <f>IF(包装物料出入库明细!$E17="","",包装物料出入库明细!$G17)</f>
        <v>包</v>
      </c>
      <c r="G17" t="str">
        <f t="shared" si="2"/>
        <v/>
      </c>
      <c r="H17" t="str">
        <f t="shared" si="3"/>
        <v/>
      </c>
      <c r="I17" t="str">
        <f t="shared" si="4"/>
        <v/>
      </c>
      <c r="K17" t="str">
        <f>IF(包装物料出入库明细!$D17="","",包装物料出入库明细!$D17)</f>
        <v>努尔敦</v>
      </c>
      <c r="L17">
        <f t="shared" si="5"/>
        <v>1</v>
      </c>
      <c r="M17">
        <f t="shared" si="6"/>
        <v>7</v>
      </c>
      <c r="O17" t="str">
        <f t="shared" si="7"/>
        <v/>
      </c>
      <c r="Q17" t="str">
        <f>IF(周转筐出入库明细!$D17="","",周转筐出入库明细!$D17)</f>
        <v>公司红周转筐</v>
      </c>
      <c r="R17">
        <f t="shared" si="8"/>
        <v>0</v>
      </c>
      <c r="S17">
        <f t="shared" si="9"/>
        <v>5</v>
      </c>
      <c r="U17" t="str">
        <f t="shared" si="10"/>
        <v/>
      </c>
      <c r="W17" t="str">
        <f>IF(周转筐出入库明细!$C17="","",周转筐出入库明细!$C17)</f>
        <v>吐尔洪</v>
      </c>
      <c r="X17">
        <f t="shared" si="11"/>
        <v>1</v>
      </c>
      <c r="Y17">
        <f t="shared" si="12"/>
        <v>5</v>
      </c>
      <c r="AA17" t="str">
        <f t="shared" si="13"/>
        <v/>
      </c>
      <c r="AC17" t="str">
        <f>IF(客户自备加工筐明细!$C17="","",客户自备加工筐明细!$C17)</f>
        <v/>
      </c>
      <c r="AD17">
        <f t="shared" si="14"/>
        <v>0</v>
      </c>
      <c r="AE17">
        <f t="shared" si="15"/>
        <v>1</v>
      </c>
      <c r="AG17" t="str">
        <f t="shared" si="16"/>
        <v/>
      </c>
      <c r="AI17" t="str">
        <f>IF(客户自备加工筐明细!$E17="","",客户自备加工筐明细!$E17)</f>
        <v/>
      </c>
      <c r="AJ17">
        <f t="shared" si="17"/>
        <v>0</v>
      </c>
      <c r="AK17">
        <f t="shared" si="18"/>
        <v>1</v>
      </c>
      <c r="AM17" t="str">
        <f>IFERROR(INDEX($AI$4:$AI$1503,MATCH(14,$AK$4:$AK$1503,0)),"")</f>
        <v/>
      </c>
      <c r="AO17" t="str">
        <f>IF(次果筐明细!$D17="","",次果筐明细!$D17)</f>
        <v/>
      </c>
      <c r="AP17">
        <f t="shared" si="19"/>
        <v>0</v>
      </c>
      <c r="AQ17">
        <f t="shared" si="20"/>
        <v>1</v>
      </c>
      <c r="AS17" t="str">
        <f t="shared" si="21"/>
        <v/>
      </c>
      <c r="AU17" t="str">
        <f>IF(次果筐明细!$C17="","",次果筐明细!$C17)</f>
        <v/>
      </c>
      <c r="AV17">
        <f t="shared" si="22"/>
        <v>0</v>
      </c>
      <c r="AW17">
        <f t="shared" si="23"/>
        <v>1</v>
      </c>
      <c r="AY17" t="str">
        <f t="shared" si="24"/>
        <v/>
      </c>
      <c r="BA17" t="str">
        <f>IF(对接源_01水果筐数!$B18="","",对接源_01水果筐数!$B18)</f>
        <v>荆建君</v>
      </c>
      <c r="BB17">
        <f t="shared" si="25"/>
        <v>1</v>
      </c>
      <c r="BC17">
        <f t="shared" si="26"/>
        <v>11</v>
      </c>
      <c r="BE17" t="str">
        <f t="shared" si="27"/>
        <v>电商/主播</v>
      </c>
      <c r="BG17" t="str">
        <f>IF(对接源_01水果筐数!$C18="","",对接源_01水果筐数!$C18)</f>
        <v>公司红周转筐</v>
      </c>
      <c r="BH17">
        <f t="shared" si="28"/>
        <v>0</v>
      </c>
      <c r="BI17">
        <f t="shared" si="29"/>
        <v>4</v>
      </c>
      <c r="BK17" t="str">
        <f t="shared" si="30"/>
        <v/>
      </c>
      <c r="BM17" t="str">
        <f t="shared" si="31"/>
        <v/>
      </c>
      <c r="BN17">
        <f t="shared" si="32"/>
        <v>0</v>
      </c>
      <c r="BO17">
        <f t="shared" si="33"/>
        <v>5</v>
      </c>
      <c r="BQ17" t="str">
        <f t="shared" si="34"/>
        <v/>
      </c>
      <c r="BS17" t="str">
        <f t="shared" si="35"/>
        <v/>
      </c>
      <c r="BT17">
        <f t="shared" si="36"/>
        <v>0</v>
      </c>
      <c r="BU17">
        <f t="shared" si="37"/>
        <v>9</v>
      </c>
      <c r="BW17" t="str">
        <f t="shared" si="38"/>
        <v>王灵云</v>
      </c>
      <c r="BY17" t="str">
        <f t="shared" si="39"/>
        <v/>
      </c>
      <c r="BZ17">
        <f t="shared" si="40"/>
        <v>0</v>
      </c>
      <c r="CA17">
        <f t="shared" si="41"/>
        <v>12</v>
      </c>
      <c r="CC17" t="str">
        <f t="shared" si="42"/>
        <v>伍元虎</v>
      </c>
      <c r="CE17" t="str">
        <f>IF(基础资料!$P17="","",基础资料!$P17)</f>
        <v>卷</v>
      </c>
      <c r="CF17">
        <f>IF(CE17="",0,COUNTIF(包装物料出入库明细!$G$4:$G$2003,CE17))</f>
        <v>1</v>
      </c>
      <c r="CI17" t="str">
        <f>IF(基础资料!$D17="","",基础资料!$D17)</f>
        <v>张艺</v>
      </c>
      <c r="CJ17">
        <f t="shared" si="43"/>
        <v>1</v>
      </c>
      <c r="CK17">
        <f t="shared" si="44"/>
        <v>14</v>
      </c>
      <c r="CL17" t="str">
        <f t="shared" si="45"/>
        <v>张艺</v>
      </c>
      <c r="CP17">
        <f>IF(包装物料出入库明细!$D17="",0,1)</f>
        <v>1</v>
      </c>
      <c r="CQ17">
        <f t="shared" si="46"/>
        <v>14</v>
      </c>
      <c r="CS17" t="str">
        <f>IF(OR(周转筐出入库明细!$C17="",周转筐出入库明细!$F17&lt;&gt;"采购入库"),"",周转筐出入库明细!$C17)</f>
        <v/>
      </c>
      <c r="CT17">
        <f t="shared" si="47"/>
        <v>0</v>
      </c>
      <c r="CU17">
        <f t="shared" si="48"/>
        <v>1</v>
      </c>
      <c r="CW17" t="str">
        <f>IFERROR(INDEX($CS$4:$CS$2003,MATCH(14,$CU$4:$CU$2003,0)),"")</f>
        <v/>
      </c>
    </row>
    <row r="18" spans="1:101">
      <c r="A18" t="str">
        <f>IF(包装物料出入库明细!$E18="","",包装物料出入库明细!$E18)</f>
        <v>香梨纸</v>
      </c>
      <c r="B18">
        <f t="shared" si="0"/>
        <v>0</v>
      </c>
      <c r="C18">
        <f t="shared" si="1"/>
        <v>7</v>
      </c>
      <c r="D18" t="str">
        <f>IF(包装物料出入库明细!$E18="","",包装物料出入库明细!$F18)</f>
        <v>*捆</v>
      </c>
      <c r="E18" t="str">
        <f>IF(包装物料出入库明细!$E18="","",包装物料出入库明细!$G18)</f>
        <v>捆</v>
      </c>
      <c r="G18" t="str">
        <f t="shared" si="2"/>
        <v/>
      </c>
      <c r="H18" t="str">
        <f t="shared" si="3"/>
        <v/>
      </c>
      <c r="I18" t="str">
        <f t="shared" si="4"/>
        <v/>
      </c>
      <c r="K18" t="str">
        <f>IF(包装物料出入库明细!$D18="","",包装物料出入库明细!$D18)</f>
        <v>热合曼</v>
      </c>
      <c r="L18">
        <f t="shared" si="5"/>
        <v>0</v>
      </c>
      <c r="M18">
        <f t="shared" si="6"/>
        <v>7</v>
      </c>
      <c r="O18" t="str">
        <f t="shared" si="7"/>
        <v/>
      </c>
      <c r="Q18" t="str">
        <f>IF(周转筐出入库明细!$D18="","",周转筐出入库明细!$D18)</f>
        <v>公司红周转筐</v>
      </c>
      <c r="R18">
        <f t="shared" si="8"/>
        <v>0</v>
      </c>
      <c r="S18">
        <f t="shared" si="9"/>
        <v>5</v>
      </c>
      <c r="U18" t="str">
        <f t="shared" si="10"/>
        <v/>
      </c>
      <c r="W18" t="str">
        <f>IF(周转筐出入库明细!$C18="","",周转筐出入库明细!$C18)</f>
        <v>全修塑业</v>
      </c>
      <c r="X18">
        <f t="shared" si="11"/>
        <v>0</v>
      </c>
      <c r="Y18">
        <f t="shared" si="12"/>
        <v>5</v>
      </c>
      <c r="AA18" t="str">
        <f t="shared" si="13"/>
        <v/>
      </c>
      <c r="AC18" t="str">
        <f>IF(客户自备加工筐明细!$C18="","",客户自备加工筐明细!$C18)</f>
        <v/>
      </c>
      <c r="AD18">
        <f t="shared" si="14"/>
        <v>0</v>
      </c>
      <c r="AE18">
        <f t="shared" si="15"/>
        <v>1</v>
      </c>
      <c r="AG18" t="str">
        <f t="shared" si="16"/>
        <v/>
      </c>
      <c r="AI18" t="str">
        <f>IF(客户自备加工筐明细!$E18="","",客户自备加工筐明细!$E18)</f>
        <v/>
      </c>
      <c r="AJ18">
        <f t="shared" si="17"/>
        <v>0</v>
      </c>
      <c r="AK18">
        <f t="shared" si="18"/>
        <v>1</v>
      </c>
      <c r="AM18" t="str">
        <f>IFERROR(INDEX($AI$4:$AI$1503,MATCH(15,$AK$4:$AK$1503,0)),"")</f>
        <v/>
      </c>
      <c r="AO18" t="str">
        <f>IF(次果筐明细!$D18="","",次果筐明细!$D18)</f>
        <v/>
      </c>
      <c r="AP18">
        <f t="shared" si="19"/>
        <v>0</v>
      </c>
      <c r="AQ18">
        <f t="shared" si="20"/>
        <v>1</v>
      </c>
      <c r="AS18" t="str">
        <f t="shared" si="21"/>
        <v/>
      </c>
      <c r="AU18" t="str">
        <f>IF(次果筐明细!$C18="","",次果筐明细!$C18)</f>
        <v/>
      </c>
      <c r="AV18">
        <f t="shared" si="22"/>
        <v>0</v>
      </c>
      <c r="AW18">
        <f t="shared" si="23"/>
        <v>1</v>
      </c>
      <c r="AY18" t="str">
        <f t="shared" si="24"/>
        <v/>
      </c>
      <c r="BA18" t="str">
        <f>IF(对接源_01水果筐数!$B19="","",对接源_01水果筐数!$B19)</f>
        <v>贾建国</v>
      </c>
      <c r="BB18">
        <f t="shared" si="25"/>
        <v>0</v>
      </c>
      <c r="BC18">
        <f t="shared" si="26"/>
        <v>11</v>
      </c>
      <c r="BE18" t="str">
        <f t="shared" si="27"/>
        <v/>
      </c>
      <c r="BG18" t="str">
        <f>IF(对接源_01水果筐数!$C19="","",对接源_01水果筐数!$C19)</f>
        <v>公司新周转筐</v>
      </c>
      <c r="BH18">
        <f t="shared" si="28"/>
        <v>1</v>
      </c>
      <c r="BI18">
        <f t="shared" si="29"/>
        <v>5</v>
      </c>
      <c r="BK18" t="str">
        <f t="shared" si="30"/>
        <v/>
      </c>
      <c r="BM18" t="str">
        <f t="shared" si="31"/>
        <v/>
      </c>
      <c r="BN18">
        <f t="shared" si="32"/>
        <v>0</v>
      </c>
      <c r="BO18">
        <f t="shared" si="33"/>
        <v>5</v>
      </c>
      <c r="BQ18" t="str">
        <f t="shared" si="34"/>
        <v/>
      </c>
      <c r="BS18" t="str">
        <f t="shared" si="35"/>
        <v/>
      </c>
      <c r="BT18">
        <f t="shared" si="36"/>
        <v>0</v>
      </c>
      <c r="BU18">
        <f t="shared" si="37"/>
        <v>9</v>
      </c>
      <c r="BW18" t="str">
        <f t="shared" si="38"/>
        <v>聂新平</v>
      </c>
      <c r="BY18" t="str">
        <f t="shared" si="39"/>
        <v/>
      </c>
      <c r="BZ18">
        <f t="shared" si="40"/>
        <v>0</v>
      </c>
      <c r="CA18">
        <f t="shared" si="41"/>
        <v>12</v>
      </c>
      <c r="CC18" t="str">
        <f t="shared" si="42"/>
        <v>杨艳玲</v>
      </c>
      <c r="CE18" t="str">
        <f>IF(基础资料!$P18="","",基础资料!$P18)</f>
        <v>卷</v>
      </c>
      <c r="CF18">
        <f>IF(CE18="",0,COUNTIF(包装物料出入库明细!$G$4:$G$2003,CE18))</f>
        <v>1</v>
      </c>
      <c r="CI18" t="str">
        <f>IF(基础资料!$D18="","",基础资料!$D18)</f>
        <v>郭勇义</v>
      </c>
      <c r="CJ18">
        <f t="shared" si="43"/>
        <v>1</v>
      </c>
      <c r="CK18">
        <f t="shared" si="44"/>
        <v>15</v>
      </c>
      <c r="CL18" t="str">
        <f t="shared" si="45"/>
        <v>郭勇义</v>
      </c>
      <c r="CP18">
        <f>IF(包装物料出入库明细!$D18="",0,1)</f>
        <v>1</v>
      </c>
      <c r="CQ18">
        <f t="shared" si="46"/>
        <v>15</v>
      </c>
      <c r="CS18" t="str">
        <f>IF(OR(周转筐出入库明细!$C18="",周转筐出入库明细!$F18&lt;&gt;"采购入库"),"",周转筐出入库明细!$C18)</f>
        <v>全修塑业</v>
      </c>
      <c r="CT18">
        <f t="shared" si="47"/>
        <v>0</v>
      </c>
      <c r="CU18">
        <f t="shared" si="48"/>
        <v>1</v>
      </c>
      <c r="CW18" t="str">
        <f>IFERROR(INDEX($CS$4:$CS$2003,MATCH(15,$CU$4:$CU$2003,0)),"")</f>
        <v/>
      </c>
    </row>
    <row r="19" spans="1:101">
      <c r="A19" t="str">
        <f>IF(包装物料出入库明细!$E19="","",包装物料出入库明细!$E19)</f>
        <v>香梨网</v>
      </c>
      <c r="B19">
        <f t="shared" si="0"/>
        <v>0</v>
      </c>
      <c r="C19">
        <f t="shared" si="1"/>
        <v>7</v>
      </c>
      <c r="D19" t="str">
        <f>IF(包装物料出入库明细!$E19="","",包装物料出入库明细!$F19)</f>
        <v>*包</v>
      </c>
      <c r="E19" t="str">
        <f>IF(包装物料出入库明细!$E19="","",包装物料出入库明细!$G19)</f>
        <v>包</v>
      </c>
      <c r="G19" t="str">
        <f t="shared" si="2"/>
        <v/>
      </c>
      <c r="H19" t="str">
        <f t="shared" si="3"/>
        <v/>
      </c>
      <c r="I19" t="str">
        <f t="shared" si="4"/>
        <v/>
      </c>
      <c r="K19" t="str">
        <f>IF(包装物料出入库明细!$D19="","",包装物料出入库明细!$D19)</f>
        <v>麦麦提</v>
      </c>
      <c r="L19">
        <f t="shared" si="5"/>
        <v>0</v>
      </c>
      <c r="M19">
        <f t="shared" si="6"/>
        <v>7</v>
      </c>
      <c r="O19" t="str">
        <f t="shared" si="7"/>
        <v/>
      </c>
      <c r="Q19" t="str">
        <f>IF(周转筐出入库明细!$D19="","",周转筐出入库明细!$D19)</f>
        <v>公司红周转筐</v>
      </c>
      <c r="R19">
        <f t="shared" si="8"/>
        <v>0</v>
      </c>
      <c r="S19">
        <f t="shared" si="9"/>
        <v>5</v>
      </c>
      <c r="U19" t="str">
        <f t="shared" si="10"/>
        <v/>
      </c>
      <c r="W19" t="str">
        <f>IF(周转筐出入库明细!$C19="","",周转筐出入库明细!$C19)</f>
        <v>吐尔洪</v>
      </c>
      <c r="X19">
        <f t="shared" si="11"/>
        <v>0</v>
      </c>
      <c r="Y19">
        <f t="shared" si="12"/>
        <v>5</v>
      </c>
      <c r="AA19" t="str">
        <f t="shared" si="13"/>
        <v/>
      </c>
      <c r="AC19" t="str">
        <f>IF(客户自备加工筐明细!$C19="","",客户自备加工筐明细!$C19)</f>
        <v/>
      </c>
      <c r="AD19">
        <f t="shared" si="14"/>
        <v>0</v>
      </c>
      <c r="AE19">
        <f t="shared" si="15"/>
        <v>1</v>
      </c>
      <c r="AG19" t="str">
        <f t="shared" si="16"/>
        <v/>
      </c>
      <c r="AI19" t="str">
        <f>IF(客户自备加工筐明细!$E19="","",客户自备加工筐明细!$E19)</f>
        <v/>
      </c>
      <c r="AJ19">
        <f t="shared" si="17"/>
        <v>0</v>
      </c>
      <c r="AK19">
        <f t="shared" si="18"/>
        <v>1</v>
      </c>
      <c r="AM19" t="str">
        <f>IFERROR(INDEX($AI$4:$AI$1503,MATCH(16,$AK$4:$AK$1503,0)),"")</f>
        <v/>
      </c>
      <c r="AO19" t="str">
        <f>IF(次果筐明细!$D19="","",次果筐明细!$D19)</f>
        <v/>
      </c>
      <c r="AP19">
        <f t="shared" si="19"/>
        <v>0</v>
      </c>
      <c r="AQ19">
        <f t="shared" si="20"/>
        <v>1</v>
      </c>
      <c r="AS19" t="str">
        <f t="shared" si="21"/>
        <v/>
      </c>
      <c r="AU19" t="str">
        <f>IF(次果筐明细!$C19="","",次果筐明细!$C19)</f>
        <v/>
      </c>
      <c r="AV19">
        <f t="shared" si="22"/>
        <v>0</v>
      </c>
      <c r="AW19">
        <f t="shared" si="23"/>
        <v>1</v>
      </c>
      <c r="AY19" t="str">
        <f t="shared" si="24"/>
        <v/>
      </c>
      <c r="BA19" t="str">
        <f>IF(对接源_01水果筐数!$B20="","",对接源_01水果筐数!$B20)</f>
        <v>王照雪</v>
      </c>
      <c r="BB19">
        <f t="shared" si="25"/>
        <v>0</v>
      </c>
      <c r="BC19">
        <f t="shared" si="26"/>
        <v>11</v>
      </c>
      <c r="BE19" t="str">
        <f t="shared" si="27"/>
        <v/>
      </c>
      <c r="BG19" t="str">
        <f>IF(对接源_01水果筐数!$C20="","",对接源_01水果筐数!$C20)</f>
        <v>公司一次性筐</v>
      </c>
      <c r="BH19">
        <f t="shared" si="28"/>
        <v>1</v>
      </c>
      <c r="BI19">
        <f t="shared" si="29"/>
        <v>6</v>
      </c>
      <c r="BK19" t="str">
        <f t="shared" si="30"/>
        <v/>
      </c>
      <c r="BM19" t="str">
        <f t="shared" si="31"/>
        <v/>
      </c>
      <c r="BN19">
        <f t="shared" si="32"/>
        <v>0</v>
      </c>
      <c r="BO19">
        <f t="shared" si="33"/>
        <v>5</v>
      </c>
      <c r="BQ19" t="str">
        <f t="shared" si="34"/>
        <v/>
      </c>
      <c r="BS19" t="str">
        <f t="shared" si="35"/>
        <v/>
      </c>
      <c r="BT19">
        <f t="shared" si="36"/>
        <v>0</v>
      </c>
      <c r="BU19">
        <f t="shared" si="37"/>
        <v>9</v>
      </c>
      <c r="BW19" t="str">
        <f t="shared" si="38"/>
        <v>伍元虎</v>
      </c>
      <c r="BY19" t="str">
        <f t="shared" si="39"/>
        <v/>
      </c>
      <c r="BZ19">
        <f t="shared" si="40"/>
        <v>0</v>
      </c>
      <c r="CA19">
        <f t="shared" si="41"/>
        <v>12</v>
      </c>
      <c r="CC19" t="str">
        <f t="shared" si="42"/>
        <v>电商/主播</v>
      </c>
      <c r="CE19" t="str">
        <f>IF(基础资料!$P19="","",基础资料!$P19)</f>
        <v>个</v>
      </c>
      <c r="CF19">
        <f>IF(CE19="",0,COUNTIF(包装物料出入库明细!$G$4:$G$2003,CE19))</f>
        <v>3</v>
      </c>
      <c r="CI19" t="str">
        <f>IF(基础资料!$D19="","",基础资料!$D19)</f>
        <v>王庆文</v>
      </c>
      <c r="CJ19">
        <f t="shared" si="43"/>
        <v>1</v>
      </c>
      <c r="CK19">
        <f t="shared" si="44"/>
        <v>16</v>
      </c>
      <c r="CL19" t="str">
        <f t="shared" si="45"/>
        <v>王庆文</v>
      </c>
      <c r="CP19">
        <f>IF(包装物料出入库明细!$D19="",0,1)</f>
        <v>1</v>
      </c>
      <c r="CQ19">
        <f t="shared" si="46"/>
        <v>16</v>
      </c>
      <c r="CS19" t="str">
        <f>IF(OR(周转筐出入库明细!$C19="",周转筐出入库明细!$F19&lt;&gt;"采购入库"),"",周转筐出入库明细!$C19)</f>
        <v/>
      </c>
      <c r="CT19">
        <f t="shared" si="47"/>
        <v>0</v>
      </c>
      <c r="CU19">
        <f t="shared" si="48"/>
        <v>1</v>
      </c>
      <c r="CW19" t="str">
        <f>IFERROR(INDEX($CS$4:$CS$2003,MATCH(16,$CU$4:$CU$2003,0)),"")</f>
        <v/>
      </c>
    </row>
    <row r="20" spans="1:101">
      <c r="A20" t="str">
        <f>IF(包装物料出入库明细!$E20="","",包装物料出入库明细!$E20)</f>
        <v>香梨网</v>
      </c>
      <c r="B20">
        <f t="shared" si="0"/>
        <v>0</v>
      </c>
      <c r="C20">
        <f t="shared" si="1"/>
        <v>7</v>
      </c>
      <c r="D20" t="str">
        <f>IF(包装物料出入库明细!$E20="","",包装物料出入库明细!$F20)</f>
        <v>*包</v>
      </c>
      <c r="E20" t="str">
        <f>IF(包装物料出入库明细!$E20="","",包装物料出入库明细!$G20)</f>
        <v>包</v>
      </c>
      <c r="G20" t="str">
        <f t="shared" si="2"/>
        <v/>
      </c>
      <c r="H20" t="str">
        <f t="shared" si="3"/>
        <v/>
      </c>
      <c r="I20" t="str">
        <f t="shared" si="4"/>
        <v/>
      </c>
      <c r="K20" t="str">
        <f>IF(包装物料出入库明细!$D20="","",包装物料出入库明细!$D20)</f>
        <v>贾建国</v>
      </c>
      <c r="L20">
        <f t="shared" si="5"/>
        <v>1</v>
      </c>
      <c r="M20">
        <f t="shared" si="6"/>
        <v>8</v>
      </c>
      <c r="O20" t="str">
        <f t="shared" si="7"/>
        <v/>
      </c>
      <c r="Q20" t="str">
        <f>IF(周转筐出入库明细!$D20="","",周转筐出入库明细!$D20)</f>
        <v>公司红周转筐</v>
      </c>
      <c r="R20">
        <f t="shared" si="8"/>
        <v>0</v>
      </c>
      <c r="S20">
        <f t="shared" si="9"/>
        <v>5</v>
      </c>
      <c r="U20" t="str">
        <f t="shared" si="10"/>
        <v/>
      </c>
      <c r="W20" t="str">
        <f>IF(周转筐出入库明细!$C20="","",周转筐出入库明细!$C20)</f>
        <v>全修塑业</v>
      </c>
      <c r="X20">
        <f t="shared" si="11"/>
        <v>0</v>
      </c>
      <c r="Y20">
        <f t="shared" si="12"/>
        <v>5</v>
      </c>
      <c r="AA20" t="str">
        <f t="shared" si="13"/>
        <v/>
      </c>
      <c r="AC20" t="str">
        <f>IF(客户自备加工筐明细!$C20="","",客户自备加工筐明细!$C20)</f>
        <v/>
      </c>
      <c r="AD20">
        <f t="shared" si="14"/>
        <v>0</v>
      </c>
      <c r="AE20">
        <f t="shared" si="15"/>
        <v>1</v>
      </c>
      <c r="AG20" t="str">
        <f t="shared" si="16"/>
        <v/>
      </c>
      <c r="AI20" t="str">
        <f>IF(客户自备加工筐明细!$E20="","",客户自备加工筐明细!$E20)</f>
        <v/>
      </c>
      <c r="AJ20">
        <f t="shared" si="17"/>
        <v>0</v>
      </c>
      <c r="AK20">
        <f t="shared" si="18"/>
        <v>1</v>
      </c>
      <c r="AM20" t="str">
        <f>IFERROR(INDEX($AI$4:$AI$1503,MATCH(17,$AK$4:$AK$1503,0)),"")</f>
        <v/>
      </c>
      <c r="AO20" t="str">
        <f>IF(次果筐明细!$D20="","",次果筐明细!$D20)</f>
        <v/>
      </c>
      <c r="AP20">
        <f t="shared" si="19"/>
        <v>0</v>
      </c>
      <c r="AQ20">
        <f t="shared" si="20"/>
        <v>1</v>
      </c>
      <c r="AS20" t="str">
        <f t="shared" si="21"/>
        <v/>
      </c>
      <c r="AU20" t="str">
        <f>IF(次果筐明细!$C20="","",次果筐明细!$C20)</f>
        <v/>
      </c>
      <c r="AV20">
        <f t="shared" si="22"/>
        <v>0</v>
      </c>
      <c r="AW20">
        <f t="shared" si="23"/>
        <v>1</v>
      </c>
      <c r="AY20" t="str">
        <f t="shared" si="24"/>
        <v/>
      </c>
      <c r="BA20" t="str">
        <f>IF(对接源_01水果筐数!$B21="","",对接源_01水果筐数!$B21)</f>
        <v>努尔敦</v>
      </c>
      <c r="BB20">
        <f t="shared" si="25"/>
        <v>1</v>
      </c>
      <c r="BC20">
        <f t="shared" si="26"/>
        <v>12</v>
      </c>
      <c r="BE20" t="str">
        <f t="shared" si="27"/>
        <v/>
      </c>
      <c r="BG20" t="str">
        <f>IF(对接源_01水果筐数!$C21="","",对接源_01水果筐数!$C21)</f>
        <v>公司红周转筐</v>
      </c>
      <c r="BH20">
        <f t="shared" si="28"/>
        <v>0</v>
      </c>
      <c r="BI20">
        <f t="shared" si="29"/>
        <v>6</v>
      </c>
      <c r="BK20" t="str">
        <f t="shared" si="30"/>
        <v/>
      </c>
      <c r="BM20" t="str">
        <f t="shared" si="31"/>
        <v/>
      </c>
      <c r="BN20">
        <f t="shared" si="32"/>
        <v>0</v>
      </c>
      <c r="BO20">
        <f t="shared" si="33"/>
        <v>5</v>
      </c>
      <c r="BQ20" t="str">
        <f t="shared" si="34"/>
        <v/>
      </c>
      <c r="BS20" t="str">
        <f t="shared" si="35"/>
        <v/>
      </c>
      <c r="BT20">
        <f t="shared" si="36"/>
        <v>0</v>
      </c>
      <c r="BU20">
        <f t="shared" si="37"/>
        <v>9</v>
      </c>
      <c r="BW20" t="str">
        <f t="shared" si="38"/>
        <v>杨艳玲</v>
      </c>
      <c r="BY20" t="str">
        <f t="shared" si="39"/>
        <v/>
      </c>
      <c r="BZ20">
        <f t="shared" si="40"/>
        <v>0</v>
      </c>
      <c r="CA20">
        <f t="shared" si="41"/>
        <v>12</v>
      </c>
      <c r="CC20" t="str">
        <f t="shared" si="42"/>
        <v/>
      </c>
      <c r="CE20" t="str">
        <f>IF(基础资料!$P20="","",基础资料!$P20)</f>
        <v>张</v>
      </c>
      <c r="CF20">
        <f>IF(CE20="",0,COUNTIF(包装物料出入库明细!$G$4:$G$2003,CE20))</f>
        <v>1</v>
      </c>
      <c r="CI20" t="str">
        <f>IF(基础资料!$D20="","",基础资料!$D20)</f>
        <v>果然鲜</v>
      </c>
      <c r="CJ20">
        <f t="shared" si="43"/>
        <v>1</v>
      </c>
      <c r="CK20">
        <f t="shared" si="44"/>
        <v>17</v>
      </c>
      <c r="CL20" t="str">
        <f t="shared" si="45"/>
        <v>果然鲜</v>
      </c>
      <c r="CP20">
        <f>IF(包装物料出入库明细!$D20="",0,1)</f>
        <v>1</v>
      </c>
      <c r="CQ20">
        <f t="shared" si="46"/>
        <v>17</v>
      </c>
      <c r="CS20" t="str">
        <f>IF(OR(周转筐出入库明细!$C20="",周转筐出入库明细!$F20&lt;&gt;"采购入库"),"",周转筐出入库明细!$C20)</f>
        <v>全修塑业</v>
      </c>
      <c r="CT20">
        <f t="shared" si="47"/>
        <v>0</v>
      </c>
      <c r="CU20">
        <f t="shared" si="48"/>
        <v>1</v>
      </c>
      <c r="CW20" t="str">
        <f>IFERROR(INDEX($CS$4:$CS$2003,MATCH(17,$CU$4:$CU$2003,0)),"")</f>
        <v/>
      </c>
    </row>
    <row r="21" spans="1:101">
      <c r="A21" t="str">
        <f>IF(包装物料出入库明细!$E21="","",包装物料出入库明细!$E21)</f>
        <v>无纺布</v>
      </c>
      <c r="B21">
        <f t="shared" si="0"/>
        <v>0</v>
      </c>
      <c r="C21">
        <f t="shared" si="1"/>
        <v>7</v>
      </c>
      <c r="D21" t="str">
        <f>IF(包装物料出入库明细!$E21="","",包装物料出入库明细!$F21)</f>
        <v>*400</v>
      </c>
      <c r="E21" t="str">
        <f>IF(包装物料出入库明细!$E21="","",包装物料出入库明细!$G21)</f>
        <v>个</v>
      </c>
      <c r="G21" t="str">
        <f t="shared" si="2"/>
        <v/>
      </c>
      <c r="H21" t="str">
        <f t="shared" si="3"/>
        <v/>
      </c>
      <c r="I21" t="str">
        <f t="shared" si="4"/>
        <v/>
      </c>
      <c r="K21" t="str">
        <f>IF(包装物料出入库明细!$D21="","",包装物料出入库明细!$D21)</f>
        <v>贾建国</v>
      </c>
      <c r="L21">
        <f t="shared" si="5"/>
        <v>0</v>
      </c>
      <c r="M21">
        <f t="shared" si="6"/>
        <v>8</v>
      </c>
      <c r="O21" t="str">
        <f t="shared" si="7"/>
        <v/>
      </c>
      <c r="Q21" t="str">
        <f>IF(周转筐出入库明细!$D21="","",周转筐出入库明细!$D21)</f>
        <v>公司红周转筐</v>
      </c>
      <c r="R21">
        <f t="shared" si="8"/>
        <v>0</v>
      </c>
      <c r="S21">
        <f t="shared" si="9"/>
        <v>5</v>
      </c>
      <c r="U21" t="str">
        <f t="shared" si="10"/>
        <v/>
      </c>
      <c r="W21" t="str">
        <f>IF(周转筐出入库明细!$C21="","",周转筐出入库明细!$C21)</f>
        <v>热合曼</v>
      </c>
      <c r="X21">
        <f t="shared" si="11"/>
        <v>1</v>
      </c>
      <c r="Y21">
        <f t="shared" si="12"/>
        <v>6</v>
      </c>
      <c r="AA21" t="str">
        <f t="shared" si="13"/>
        <v/>
      </c>
      <c r="AC21" t="str">
        <f>IF(客户自备加工筐明细!$C21="","",客户自备加工筐明细!$C21)</f>
        <v/>
      </c>
      <c r="AD21">
        <f t="shared" si="14"/>
        <v>0</v>
      </c>
      <c r="AE21">
        <f t="shared" si="15"/>
        <v>1</v>
      </c>
      <c r="AG21" t="str">
        <f t="shared" si="16"/>
        <v/>
      </c>
      <c r="AI21" t="str">
        <f>IF(客户自备加工筐明细!$E21="","",客户自备加工筐明细!$E21)</f>
        <v/>
      </c>
      <c r="AJ21">
        <f t="shared" si="17"/>
        <v>0</v>
      </c>
      <c r="AK21">
        <f t="shared" si="18"/>
        <v>1</v>
      </c>
      <c r="AM21" t="str">
        <f>IFERROR(INDEX($AI$4:$AI$1503,MATCH(18,$AK$4:$AK$1503,0)),"")</f>
        <v/>
      </c>
      <c r="AO21" t="str">
        <f>IF(次果筐明细!$D21="","",次果筐明细!$D21)</f>
        <v/>
      </c>
      <c r="AP21">
        <f t="shared" si="19"/>
        <v>0</v>
      </c>
      <c r="AQ21">
        <f t="shared" si="20"/>
        <v>1</v>
      </c>
      <c r="AS21" t="str">
        <f t="shared" si="21"/>
        <v/>
      </c>
      <c r="AU21" t="str">
        <f>IF(次果筐明细!$C21="","",次果筐明细!$C21)</f>
        <v/>
      </c>
      <c r="AV21">
        <f t="shared" si="22"/>
        <v>0</v>
      </c>
      <c r="AW21">
        <f t="shared" si="23"/>
        <v>1</v>
      </c>
      <c r="AY21" t="str">
        <f t="shared" si="24"/>
        <v/>
      </c>
      <c r="BA21" t="str">
        <f>IF(对接源_01水果筐数!$B22="","",对接源_01水果筐数!$B22)</f>
        <v>王浩</v>
      </c>
      <c r="BB21">
        <f t="shared" si="25"/>
        <v>1</v>
      </c>
      <c r="BC21">
        <f t="shared" si="26"/>
        <v>13</v>
      </c>
      <c r="BE21" t="str">
        <f t="shared" si="27"/>
        <v/>
      </c>
      <c r="BG21" t="str">
        <f>IF(对接源_01水果筐数!$C22="","",对接源_01水果筐数!$C22)</f>
        <v>公司一次性筐</v>
      </c>
      <c r="BH21">
        <f t="shared" si="28"/>
        <v>0</v>
      </c>
      <c r="BI21">
        <f t="shared" si="29"/>
        <v>6</v>
      </c>
      <c r="BK21" t="str">
        <f t="shared" si="30"/>
        <v/>
      </c>
      <c r="BM21" t="str">
        <f t="shared" si="31"/>
        <v/>
      </c>
      <c r="BN21">
        <f t="shared" si="32"/>
        <v>0</v>
      </c>
      <c r="BO21">
        <f t="shared" si="33"/>
        <v>5</v>
      </c>
      <c r="BQ21" t="str">
        <f t="shared" si="34"/>
        <v/>
      </c>
      <c r="BS21" t="str">
        <f t="shared" si="35"/>
        <v/>
      </c>
      <c r="BT21">
        <f t="shared" si="36"/>
        <v>0</v>
      </c>
      <c r="BU21">
        <f t="shared" si="37"/>
        <v>9</v>
      </c>
      <c r="BW21" t="str">
        <f t="shared" si="38"/>
        <v>电商/主播</v>
      </c>
      <c r="BY21" t="str">
        <f t="shared" si="39"/>
        <v/>
      </c>
      <c r="BZ21">
        <f t="shared" si="40"/>
        <v>0</v>
      </c>
      <c r="CA21">
        <f t="shared" si="41"/>
        <v>12</v>
      </c>
      <c r="CC21" t="str">
        <f t="shared" si="42"/>
        <v/>
      </c>
      <c r="CE21" t="str">
        <f>IF(基础资料!$P21="","",基础资料!$P21)</f>
        <v>张</v>
      </c>
      <c r="CF21">
        <f>IF(CE21="",0,COUNTIF(包装物料出入库明细!$G$4:$G$2003,CE21))</f>
        <v>1</v>
      </c>
      <c r="CI21" t="str">
        <f>IF(基础资料!$D21="","",基础资料!$D21)</f>
        <v>努尔敦</v>
      </c>
      <c r="CJ21">
        <f t="shared" si="43"/>
        <v>1</v>
      </c>
      <c r="CK21">
        <f t="shared" si="44"/>
        <v>18</v>
      </c>
      <c r="CL21" t="str">
        <f t="shared" si="45"/>
        <v>努尔敦</v>
      </c>
      <c r="CP21">
        <f>IF(包装物料出入库明细!$D21="",0,1)</f>
        <v>1</v>
      </c>
      <c r="CQ21">
        <f t="shared" si="46"/>
        <v>18</v>
      </c>
      <c r="CS21" t="str">
        <f>IF(OR(周转筐出入库明细!$C21="",周转筐出入库明细!$F21&lt;&gt;"采购入库"),"",周转筐出入库明细!$C21)</f>
        <v/>
      </c>
      <c r="CT21">
        <f t="shared" si="47"/>
        <v>0</v>
      </c>
      <c r="CU21">
        <f t="shared" si="48"/>
        <v>1</v>
      </c>
      <c r="CW21" t="str">
        <f>IFERROR(INDEX($CS$4:$CS$2003,MATCH(18,$CU$4:$CU$2003,0)),"")</f>
        <v/>
      </c>
    </row>
    <row r="22" spans="1:101">
      <c r="A22" t="str">
        <f>IF(包装物料出入库明细!$E22="","",包装物料出入库明细!$E22)</f>
        <v>香梨网</v>
      </c>
      <c r="B22">
        <f t="shared" si="0"/>
        <v>0</v>
      </c>
      <c r="C22">
        <f t="shared" si="1"/>
        <v>7</v>
      </c>
      <c r="D22" t="str">
        <f>IF(包装物料出入库明细!$E22="","",包装物料出入库明细!$F22)</f>
        <v>*包</v>
      </c>
      <c r="E22" t="str">
        <f>IF(包装物料出入库明细!$E22="","",包装物料出入库明细!$G22)</f>
        <v>包</v>
      </c>
      <c r="G22" t="str">
        <f t="shared" si="2"/>
        <v/>
      </c>
      <c r="H22" t="str">
        <f t="shared" si="3"/>
        <v/>
      </c>
      <c r="I22" t="str">
        <f t="shared" si="4"/>
        <v/>
      </c>
      <c r="K22" t="str">
        <f>IF(包装物料出入库明细!$D22="","",包装物料出入库明细!$D22)</f>
        <v>热合曼</v>
      </c>
      <c r="L22">
        <f t="shared" si="5"/>
        <v>0</v>
      </c>
      <c r="M22">
        <f t="shared" si="6"/>
        <v>8</v>
      </c>
      <c r="O22" t="str">
        <f t="shared" si="7"/>
        <v/>
      </c>
      <c r="Q22" t="str">
        <f>IF(周转筐出入库明细!$D22="","",周转筐出入库明细!$D22)</f>
        <v>公司红周转筐</v>
      </c>
      <c r="R22">
        <f t="shared" si="8"/>
        <v>0</v>
      </c>
      <c r="S22">
        <f t="shared" si="9"/>
        <v>5</v>
      </c>
      <c r="U22" t="str">
        <f t="shared" si="10"/>
        <v/>
      </c>
      <c r="W22" t="str">
        <f>IF(周转筐出入库明细!$C22="","",周转筐出入库明细!$C22)</f>
        <v>全修塑业</v>
      </c>
      <c r="X22">
        <f t="shared" si="11"/>
        <v>0</v>
      </c>
      <c r="Y22">
        <f t="shared" si="12"/>
        <v>6</v>
      </c>
      <c r="AA22" t="str">
        <f t="shared" si="13"/>
        <v/>
      </c>
      <c r="AC22" t="str">
        <f>IF(客户自备加工筐明细!$C22="","",客户自备加工筐明细!$C22)</f>
        <v/>
      </c>
      <c r="AD22">
        <f t="shared" si="14"/>
        <v>0</v>
      </c>
      <c r="AE22">
        <f t="shared" si="15"/>
        <v>1</v>
      </c>
      <c r="AG22" t="str">
        <f t="shared" si="16"/>
        <v/>
      </c>
      <c r="AI22" t="str">
        <f>IF(客户自备加工筐明细!$E22="","",客户自备加工筐明细!$E22)</f>
        <v/>
      </c>
      <c r="AJ22">
        <f t="shared" si="17"/>
        <v>0</v>
      </c>
      <c r="AK22">
        <f t="shared" si="18"/>
        <v>1</v>
      </c>
      <c r="AM22" t="str">
        <f>IFERROR(INDEX($AI$4:$AI$1503,MATCH(19,$AK$4:$AK$1503,0)),"")</f>
        <v/>
      </c>
      <c r="AO22" t="str">
        <f>IF(次果筐明细!$D22="","",次果筐明细!$D22)</f>
        <v/>
      </c>
      <c r="AP22">
        <f t="shared" si="19"/>
        <v>0</v>
      </c>
      <c r="AQ22">
        <f t="shared" si="20"/>
        <v>1</v>
      </c>
      <c r="AS22" t="str">
        <f t="shared" si="21"/>
        <v/>
      </c>
      <c r="AU22" t="str">
        <f>IF(次果筐明细!$C22="","",次果筐明细!$C22)</f>
        <v/>
      </c>
      <c r="AV22">
        <f t="shared" si="22"/>
        <v>0</v>
      </c>
      <c r="AW22">
        <f t="shared" si="23"/>
        <v>1</v>
      </c>
      <c r="AY22" t="str">
        <f t="shared" si="24"/>
        <v/>
      </c>
      <c r="BA22" t="str">
        <f>IF(对接源_01水果筐数!$B23="","",对接源_01水果筐数!$B23)</f>
        <v>贾建国</v>
      </c>
      <c r="BB22">
        <f t="shared" si="25"/>
        <v>0</v>
      </c>
      <c r="BC22">
        <f t="shared" si="26"/>
        <v>13</v>
      </c>
      <c r="BE22" t="str">
        <f t="shared" si="27"/>
        <v/>
      </c>
      <c r="BG22" t="str">
        <f>IF(对接源_01水果筐数!$C23="","",对接源_01水果筐数!$C23)</f>
        <v>公司一次性筐</v>
      </c>
      <c r="BH22">
        <f t="shared" si="28"/>
        <v>0</v>
      </c>
      <c r="BI22">
        <f t="shared" si="29"/>
        <v>6</v>
      </c>
      <c r="BK22" t="str">
        <f t="shared" si="30"/>
        <v/>
      </c>
      <c r="BM22" t="str">
        <f t="shared" si="31"/>
        <v/>
      </c>
      <c r="BN22">
        <f t="shared" si="32"/>
        <v>0</v>
      </c>
      <c r="BO22">
        <f t="shared" si="33"/>
        <v>5</v>
      </c>
      <c r="BQ22" t="str">
        <f t="shared" si="34"/>
        <v/>
      </c>
      <c r="BS22" t="str">
        <f t="shared" si="35"/>
        <v/>
      </c>
      <c r="BT22">
        <f t="shared" si="36"/>
        <v>0</v>
      </c>
      <c r="BU22">
        <f t="shared" si="37"/>
        <v>9</v>
      </c>
      <c r="BW22" t="str">
        <f t="shared" si="38"/>
        <v/>
      </c>
      <c r="BY22" t="str">
        <f t="shared" si="39"/>
        <v/>
      </c>
      <c r="BZ22">
        <f t="shared" si="40"/>
        <v>0</v>
      </c>
      <c r="CA22">
        <f t="shared" si="41"/>
        <v>12</v>
      </c>
      <c r="CC22" t="str">
        <f t="shared" si="42"/>
        <v/>
      </c>
      <c r="CE22" t="str">
        <f>IF(基础资料!$P22="","",基础资料!$P22)</f>
        <v>张</v>
      </c>
      <c r="CF22">
        <f>IF(CE22="",0,COUNTIF(包装物料出入库明细!$G$4:$G$2003,CE22))</f>
        <v>1</v>
      </c>
      <c r="CI22" t="str">
        <f>IF(基础资料!$D22="","",基础资料!$D22)</f>
        <v>吐尔洪</v>
      </c>
      <c r="CJ22">
        <f t="shared" si="43"/>
        <v>1</v>
      </c>
      <c r="CK22">
        <f t="shared" si="44"/>
        <v>19</v>
      </c>
      <c r="CL22" t="str">
        <f t="shared" si="45"/>
        <v>吐尔洪</v>
      </c>
      <c r="CP22">
        <f>IF(包装物料出入库明细!$D22="",0,1)</f>
        <v>1</v>
      </c>
      <c r="CQ22">
        <f t="shared" si="46"/>
        <v>19</v>
      </c>
      <c r="CS22" t="str">
        <f>IF(OR(周转筐出入库明细!$C22="",周转筐出入库明细!$F22&lt;&gt;"采购入库"),"",周转筐出入库明细!$C22)</f>
        <v>全修塑业</v>
      </c>
      <c r="CT22">
        <f t="shared" si="47"/>
        <v>0</v>
      </c>
      <c r="CU22">
        <f t="shared" si="48"/>
        <v>1</v>
      </c>
      <c r="CW22" t="str">
        <f>IFERROR(INDEX($CS$4:$CS$2003,MATCH(19,$CU$4:$CU$2003,0)),"")</f>
        <v/>
      </c>
    </row>
    <row r="23" spans="1:101">
      <c r="A23" t="str">
        <f>IF(包装物料出入库明细!$E23="","",包装物料出入库明细!$E23)</f>
        <v>无纺布</v>
      </c>
      <c r="B23">
        <f t="shared" si="0"/>
        <v>0</v>
      </c>
      <c r="C23">
        <f t="shared" si="1"/>
        <v>7</v>
      </c>
      <c r="D23" t="str">
        <f>IF(包装物料出入库明细!$E23="","",包装物料出入库明细!$F23)</f>
        <v>*400</v>
      </c>
      <c r="E23" t="str">
        <f>IF(包装物料出入库明细!$E23="","",包装物料出入库明细!$G23)</f>
        <v>个</v>
      </c>
      <c r="G23" t="str">
        <f t="shared" si="2"/>
        <v/>
      </c>
      <c r="H23" t="str">
        <f t="shared" si="3"/>
        <v/>
      </c>
      <c r="I23" t="str">
        <f t="shared" si="4"/>
        <v/>
      </c>
      <c r="K23" t="str">
        <f>IF(包装物料出入库明细!$D23="","",包装物料出入库明细!$D23)</f>
        <v>贾建国</v>
      </c>
      <c r="L23">
        <f t="shared" si="5"/>
        <v>0</v>
      </c>
      <c r="M23">
        <f t="shared" si="6"/>
        <v>8</v>
      </c>
      <c r="O23" t="str">
        <f t="shared" si="7"/>
        <v/>
      </c>
      <c r="Q23" t="str">
        <f>IF(周转筐出入库明细!$D23="","",周转筐出入库明细!$D23)</f>
        <v>公司红周转筐</v>
      </c>
      <c r="R23">
        <f t="shared" si="8"/>
        <v>0</v>
      </c>
      <c r="S23">
        <f t="shared" si="9"/>
        <v>5</v>
      </c>
      <c r="U23" t="str">
        <f t="shared" si="10"/>
        <v/>
      </c>
      <c r="W23" t="str">
        <f>IF(周转筐出入库明细!$C23="","",周转筐出入库明细!$C23)</f>
        <v>王灵云</v>
      </c>
      <c r="X23">
        <f t="shared" si="11"/>
        <v>1</v>
      </c>
      <c r="Y23">
        <f t="shared" si="12"/>
        <v>7</v>
      </c>
      <c r="AA23" t="str">
        <f t="shared" si="13"/>
        <v/>
      </c>
      <c r="AC23" t="str">
        <f>IF(客户自备加工筐明细!$C23="","",客户自备加工筐明细!$C23)</f>
        <v/>
      </c>
      <c r="AD23">
        <f t="shared" si="14"/>
        <v>0</v>
      </c>
      <c r="AE23">
        <f t="shared" si="15"/>
        <v>1</v>
      </c>
      <c r="AG23" t="str">
        <f t="shared" si="16"/>
        <v/>
      </c>
      <c r="AI23" t="str">
        <f>IF(客户自备加工筐明细!$E23="","",客户自备加工筐明细!$E23)</f>
        <v/>
      </c>
      <c r="AJ23">
        <f t="shared" si="17"/>
        <v>0</v>
      </c>
      <c r="AK23">
        <f t="shared" si="18"/>
        <v>1</v>
      </c>
      <c r="AM23" t="str">
        <f>IFERROR(INDEX($AI$4:$AI$1503,MATCH(20,$AK$4:$AK$1503,0)),"")</f>
        <v/>
      </c>
      <c r="AO23" t="str">
        <f>IF(次果筐明细!$D23="","",次果筐明细!$D23)</f>
        <v/>
      </c>
      <c r="AP23">
        <f t="shared" si="19"/>
        <v>0</v>
      </c>
      <c r="AQ23">
        <f t="shared" si="20"/>
        <v>1</v>
      </c>
      <c r="AS23" t="str">
        <f t="shared" si="21"/>
        <v/>
      </c>
      <c r="AU23" t="str">
        <f>IF(次果筐明细!$C23="","",次果筐明细!$C23)</f>
        <v/>
      </c>
      <c r="AV23">
        <f t="shared" si="22"/>
        <v>0</v>
      </c>
      <c r="AW23">
        <f t="shared" si="23"/>
        <v>1</v>
      </c>
      <c r="AY23" t="str">
        <f t="shared" si="24"/>
        <v/>
      </c>
      <c r="BA23" t="str">
        <f>IF(对接源_01水果筐数!$B24="","",对接源_01水果筐数!$B24)</f>
        <v>电商/主播</v>
      </c>
      <c r="BB23">
        <f t="shared" si="25"/>
        <v>1</v>
      </c>
      <c r="BC23">
        <f t="shared" si="26"/>
        <v>14</v>
      </c>
      <c r="BE23" t="str">
        <f t="shared" si="27"/>
        <v/>
      </c>
      <c r="BG23" t="str">
        <f>IF(对接源_01水果筐数!$C24="","",对接源_01水果筐数!$C24)</f>
        <v>纸箱</v>
      </c>
      <c r="BH23">
        <f t="shared" si="28"/>
        <v>1</v>
      </c>
      <c r="BI23">
        <f t="shared" si="29"/>
        <v>7</v>
      </c>
      <c r="BK23" t="str">
        <f t="shared" si="30"/>
        <v/>
      </c>
      <c r="BM23" t="str">
        <f t="shared" si="31"/>
        <v/>
      </c>
      <c r="BN23">
        <f t="shared" si="32"/>
        <v>0</v>
      </c>
      <c r="BO23">
        <f t="shared" si="33"/>
        <v>5</v>
      </c>
      <c r="BQ23" t="str">
        <f t="shared" si="34"/>
        <v/>
      </c>
      <c r="BS23" t="str">
        <f t="shared" si="35"/>
        <v/>
      </c>
      <c r="BT23">
        <f t="shared" si="36"/>
        <v>0</v>
      </c>
      <c r="BU23">
        <f t="shared" si="37"/>
        <v>9</v>
      </c>
      <c r="BW23" t="str">
        <f t="shared" si="38"/>
        <v/>
      </c>
      <c r="BY23" t="str">
        <f t="shared" si="39"/>
        <v/>
      </c>
      <c r="BZ23">
        <f t="shared" si="40"/>
        <v>0</v>
      </c>
      <c r="CA23">
        <f t="shared" si="41"/>
        <v>12</v>
      </c>
      <c r="CC23" t="str">
        <f t="shared" si="42"/>
        <v/>
      </c>
      <c r="CE23" t="str">
        <f>IF(基础资料!$P23="","",基础资料!$P23)</f>
        <v>瓶</v>
      </c>
      <c r="CF23">
        <f>IF(CE23="",0,COUNTIF(包装物料出入库明细!$G$4:$G$2003,CE23))</f>
        <v>1</v>
      </c>
      <c r="CI23" t="str">
        <f>IF(基础资料!$D23="","",基础资料!$D23)</f>
        <v/>
      </c>
      <c r="CJ23">
        <f t="shared" si="43"/>
        <v>0</v>
      </c>
      <c r="CK23">
        <f t="shared" si="44"/>
        <v>19</v>
      </c>
      <c r="CL23" t="str">
        <f t="shared" si="45"/>
        <v>鑫旺塑业</v>
      </c>
      <c r="CP23">
        <f>IF(包装物料出入库明细!$D23="",0,1)</f>
        <v>1</v>
      </c>
      <c r="CQ23">
        <f t="shared" si="46"/>
        <v>20</v>
      </c>
      <c r="CS23" t="str">
        <f>IF(OR(周转筐出入库明细!$C23="",周转筐出入库明细!$F23&lt;&gt;"采购入库"),"",周转筐出入库明细!$C23)</f>
        <v/>
      </c>
      <c r="CT23">
        <f t="shared" si="47"/>
        <v>0</v>
      </c>
      <c r="CU23">
        <f t="shared" si="48"/>
        <v>1</v>
      </c>
      <c r="CW23" t="str">
        <f>IFERROR(INDEX($CS$4:$CS$2003,MATCH(20,$CU$4:$CU$2003,0)),"")</f>
        <v/>
      </c>
    </row>
    <row r="24" spans="1:101">
      <c r="A24" t="str">
        <f>IF(包装物料出入库明细!$E24="","",包装物料出入库明细!$E24)</f>
        <v>香梨网</v>
      </c>
      <c r="B24">
        <f t="shared" si="0"/>
        <v>0</v>
      </c>
      <c r="C24">
        <f t="shared" si="1"/>
        <v>7</v>
      </c>
      <c r="D24" t="str">
        <f>IF(包装物料出入库明细!$E24="","",包装物料出入库明细!$F24)</f>
        <v>*包</v>
      </c>
      <c r="E24" t="str">
        <f>IF(包装物料出入库明细!$E24="","",包装物料出入库明细!$G24)</f>
        <v>包</v>
      </c>
      <c r="G24" t="str">
        <f t="shared" si="2"/>
        <v/>
      </c>
      <c r="H24" t="str">
        <f t="shared" si="3"/>
        <v/>
      </c>
      <c r="I24" t="str">
        <f t="shared" si="4"/>
        <v/>
      </c>
      <c r="K24" t="str">
        <f>IF(包装物料出入库明细!$D24="","",包装物料出入库明细!$D24)</f>
        <v>吐尔逊</v>
      </c>
      <c r="L24">
        <f t="shared" si="5"/>
        <v>1</v>
      </c>
      <c r="M24">
        <f t="shared" si="6"/>
        <v>9</v>
      </c>
      <c r="O24" t="str">
        <f t="shared" si="7"/>
        <v/>
      </c>
      <c r="Q24" t="str">
        <f>IF(周转筐出入库明细!$D24="","",周转筐出入库明细!$D24)</f>
        <v>公司红周转筐</v>
      </c>
      <c r="R24">
        <f t="shared" si="8"/>
        <v>0</v>
      </c>
      <c r="S24">
        <f t="shared" si="9"/>
        <v>5</v>
      </c>
      <c r="U24" t="str">
        <f t="shared" si="10"/>
        <v/>
      </c>
      <c r="W24" t="str">
        <f>IF(周转筐出入库明细!$C24="","",周转筐出入库明细!$C24)</f>
        <v>全修塑业</v>
      </c>
      <c r="X24">
        <f t="shared" si="11"/>
        <v>0</v>
      </c>
      <c r="Y24">
        <f t="shared" si="12"/>
        <v>7</v>
      </c>
      <c r="AA24" t="str">
        <f t="shared" si="13"/>
        <v/>
      </c>
      <c r="AC24" t="str">
        <f>IF(客户自备加工筐明细!$C24="","",客户自备加工筐明细!$C24)</f>
        <v/>
      </c>
      <c r="AD24">
        <f t="shared" si="14"/>
        <v>0</v>
      </c>
      <c r="AE24">
        <f t="shared" si="15"/>
        <v>1</v>
      </c>
      <c r="AG24" t="str">
        <f t="shared" si="16"/>
        <v/>
      </c>
      <c r="AI24" t="str">
        <f>IF(客户自备加工筐明细!$E24="","",客户自备加工筐明细!$E24)</f>
        <v/>
      </c>
      <c r="AJ24">
        <f t="shared" si="17"/>
        <v>0</v>
      </c>
      <c r="AK24">
        <f t="shared" si="18"/>
        <v>1</v>
      </c>
      <c r="AM24" t="str">
        <f>IFERROR(INDEX($AI$4:$AI$1503,MATCH(21,$AK$4:$AK$1503,0)),"")</f>
        <v/>
      </c>
      <c r="AO24" t="str">
        <f>IF(次果筐明细!$D24="","",次果筐明细!$D24)</f>
        <v/>
      </c>
      <c r="AP24">
        <f t="shared" si="19"/>
        <v>0</v>
      </c>
      <c r="AQ24">
        <f t="shared" si="20"/>
        <v>1</v>
      </c>
      <c r="AS24" t="str">
        <f t="shared" si="21"/>
        <v/>
      </c>
      <c r="AU24" t="str">
        <f>IF(次果筐明细!$C24="","",次果筐明细!$C24)</f>
        <v/>
      </c>
      <c r="AV24">
        <f t="shared" si="22"/>
        <v>0</v>
      </c>
      <c r="AW24">
        <f t="shared" si="23"/>
        <v>1</v>
      </c>
      <c r="AY24" t="str">
        <f t="shared" si="24"/>
        <v/>
      </c>
      <c r="BA24" t="str">
        <f>IF(对接源_01水果筐数!$B25="","",对接源_01水果筐数!$B25)</f>
        <v>伍元虎</v>
      </c>
      <c r="BB24">
        <f t="shared" si="25"/>
        <v>0</v>
      </c>
      <c r="BC24">
        <f t="shared" si="26"/>
        <v>14</v>
      </c>
      <c r="BE24" t="str">
        <f t="shared" si="27"/>
        <v/>
      </c>
      <c r="BG24" t="str">
        <f>IF(对接源_01水果筐数!$C25="","",对接源_01水果筐数!$C25)</f>
        <v>公司一次性筐</v>
      </c>
      <c r="BH24">
        <f t="shared" si="28"/>
        <v>0</v>
      </c>
      <c r="BI24">
        <f t="shared" si="29"/>
        <v>7</v>
      </c>
      <c r="BK24" t="str">
        <f t="shared" si="30"/>
        <v/>
      </c>
      <c r="BM24" t="str">
        <f t="shared" si="31"/>
        <v/>
      </c>
      <c r="BN24">
        <f t="shared" si="32"/>
        <v>0</v>
      </c>
      <c r="BO24">
        <f t="shared" si="33"/>
        <v>5</v>
      </c>
      <c r="BQ24" t="str">
        <f t="shared" si="34"/>
        <v/>
      </c>
      <c r="BS24" t="str">
        <f t="shared" si="35"/>
        <v/>
      </c>
      <c r="BT24">
        <f t="shared" si="36"/>
        <v>0</v>
      </c>
      <c r="BU24">
        <f t="shared" si="37"/>
        <v>9</v>
      </c>
      <c r="BW24" t="str">
        <f t="shared" si="38"/>
        <v/>
      </c>
      <c r="BY24" t="str">
        <f t="shared" si="39"/>
        <v/>
      </c>
      <c r="BZ24">
        <f t="shared" si="40"/>
        <v>0</v>
      </c>
      <c r="CA24">
        <f t="shared" si="41"/>
        <v>12</v>
      </c>
      <c r="CC24" t="str">
        <f t="shared" si="42"/>
        <v/>
      </c>
      <c r="CE24" t="str">
        <f>IF(基础资料!$P24="","",基础资料!$P24)</f>
        <v>个</v>
      </c>
      <c r="CF24">
        <f>IF(CE24="",0,COUNTIF(包装物料出入库明细!$G$4:$G$2003,CE24))</f>
        <v>3</v>
      </c>
      <c r="CI24" t="str">
        <f>IF(基础资料!$D24="","",基础资料!$D24)</f>
        <v/>
      </c>
      <c r="CJ24">
        <f t="shared" si="43"/>
        <v>0</v>
      </c>
      <c r="CK24">
        <f t="shared" si="44"/>
        <v>19</v>
      </c>
      <c r="CL24" t="str">
        <f t="shared" si="45"/>
        <v>华鑫塑业</v>
      </c>
      <c r="CP24">
        <f>IF(包装物料出入库明细!$D24="",0,1)</f>
        <v>1</v>
      </c>
      <c r="CQ24">
        <f t="shared" si="46"/>
        <v>21</v>
      </c>
      <c r="CS24" t="str">
        <f>IF(OR(周转筐出入库明细!$C24="",周转筐出入库明细!$F24&lt;&gt;"采购入库"),"",周转筐出入库明细!$C24)</f>
        <v>全修塑业</v>
      </c>
      <c r="CT24">
        <f t="shared" si="47"/>
        <v>0</v>
      </c>
      <c r="CU24">
        <f t="shared" si="48"/>
        <v>1</v>
      </c>
      <c r="CW24" t="str">
        <f>IFERROR(INDEX($CS$4:$CS$2003,MATCH(21,$CU$4:$CU$2003,0)),"")</f>
        <v/>
      </c>
    </row>
    <row r="25" spans="1:101">
      <c r="A25" t="str">
        <f>IF(包装物料出入库明细!$E25="","",包装物料出入库明细!$E25)</f>
        <v>香梨纸</v>
      </c>
      <c r="B25">
        <f t="shared" si="0"/>
        <v>0</v>
      </c>
      <c r="C25">
        <f t="shared" si="1"/>
        <v>7</v>
      </c>
      <c r="D25" t="str">
        <f>IF(包装物料出入库明细!$E25="","",包装物料出入库明细!$F25)</f>
        <v>*捆</v>
      </c>
      <c r="E25" t="str">
        <f>IF(包装物料出入库明细!$E25="","",包装物料出入库明细!$G25)</f>
        <v>捆</v>
      </c>
      <c r="G25" t="str">
        <f t="shared" si="2"/>
        <v/>
      </c>
      <c r="H25" t="str">
        <f t="shared" si="3"/>
        <v/>
      </c>
      <c r="I25" t="str">
        <f t="shared" si="4"/>
        <v/>
      </c>
      <c r="K25" t="str">
        <f>IF(包装物料出入库明细!$D25="","",包装物料出入库明细!$D25)</f>
        <v>吐尔逊</v>
      </c>
      <c r="L25">
        <f t="shared" si="5"/>
        <v>0</v>
      </c>
      <c r="M25">
        <f t="shared" si="6"/>
        <v>9</v>
      </c>
      <c r="O25" t="str">
        <f t="shared" si="7"/>
        <v/>
      </c>
      <c r="Q25" t="str">
        <f>IF(周转筐出入库明细!$D25="","",周转筐出入库明细!$D25)</f>
        <v>公司红周转筐</v>
      </c>
      <c r="R25">
        <f t="shared" si="8"/>
        <v>0</v>
      </c>
      <c r="S25">
        <f t="shared" si="9"/>
        <v>5</v>
      </c>
      <c r="U25" t="str">
        <f t="shared" si="10"/>
        <v/>
      </c>
      <c r="W25" t="str">
        <f>IF(周转筐出入库明细!$C25="","",周转筐出入库明细!$C25)</f>
        <v>麦麦提</v>
      </c>
      <c r="X25">
        <f t="shared" si="11"/>
        <v>1</v>
      </c>
      <c r="Y25">
        <f t="shared" si="12"/>
        <v>8</v>
      </c>
      <c r="AA25" t="str">
        <f t="shared" si="13"/>
        <v/>
      </c>
      <c r="AC25" t="str">
        <f>IF(客户自备加工筐明细!$C25="","",客户自备加工筐明细!$C25)</f>
        <v/>
      </c>
      <c r="AD25">
        <f t="shared" si="14"/>
        <v>0</v>
      </c>
      <c r="AE25">
        <f t="shared" si="15"/>
        <v>1</v>
      </c>
      <c r="AG25" t="str">
        <f t="shared" si="16"/>
        <v/>
      </c>
      <c r="AI25" t="str">
        <f>IF(客户自备加工筐明细!$E25="","",客户自备加工筐明细!$E25)</f>
        <v/>
      </c>
      <c r="AJ25">
        <f t="shared" si="17"/>
        <v>0</v>
      </c>
      <c r="AK25">
        <f t="shared" si="18"/>
        <v>1</v>
      </c>
      <c r="AM25" t="str">
        <f>IFERROR(INDEX($AI$4:$AI$1503,MATCH(22,$AK$4:$AK$1503,0)),"")</f>
        <v/>
      </c>
      <c r="AO25" t="str">
        <f>IF(次果筐明细!$D25="","",次果筐明细!$D25)</f>
        <v/>
      </c>
      <c r="AP25">
        <f t="shared" si="19"/>
        <v>0</v>
      </c>
      <c r="AQ25">
        <f t="shared" si="20"/>
        <v>1</v>
      </c>
      <c r="AS25" t="str">
        <f t="shared" si="21"/>
        <v/>
      </c>
      <c r="AU25" t="str">
        <f>IF(次果筐明细!$C25="","",次果筐明细!$C25)</f>
        <v/>
      </c>
      <c r="AV25">
        <f t="shared" si="22"/>
        <v>0</v>
      </c>
      <c r="AW25">
        <f t="shared" si="23"/>
        <v>1</v>
      </c>
      <c r="AY25" t="str">
        <f t="shared" si="24"/>
        <v/>
      </c>
      <c r="BA25" t="str">
        <f>IF(对接源_01水果筐数!$B26="","",对接源_01水果筐数!$B26)</f>
        <v>王照雪</v>
      </c>
      <c r="BB25">
        <f t="shared" si="25"/>
        <v>0</v>
      </c>
      <c r="BC25">
        <f t="shared" si="26"/>
        <v>14</v>
      </c>
      <c r="BE25" t="str">
        <f t="shared" si="27"/>
        <v/>
      </c>
      <c r="BG25" t="str">
        <f>IF(对接源_01水果筐数!$C26="","",对接源_01水果筐数!$C26)</f>
        <v>纸箱</v>
      </c>
      <c r="BH25">
        <f t="shared" si="28"/>
        <v>0</v>
      </c>
      <c r="BI25">
        <f t="shared" si="29"/>
        <v>7</v>
      </c>
      <c r="BK25" t="str">
        <f t="shared" si="30"/>
        <v/>
      </c>
      <c r="BM25" t="str">
        <f t="shared" si="31"/>
        <v/>
      </c>
      <c r="BN25">
        <f t="shared" si="32"/>
        <v>0</v>
      </c>
      <c r="BO25">
        <f t="shared" si="33"/>
        <v>5</v>
      </c>
      <c r="BQ25" t="str">
        <f t="shared" si="34"/>
        <v/>
      </c>
      <c r="BS25" t="str">
        <f t="shared" si="35"/>
        <v/>
      </c>
      <c r="BT25">
        <f t="shared" si="36"/>
        <v>0</v>
      </c>
      <c r="BU25">
        <f t="shared" si="37"/>
        <v>9</v>
      </c>
      <c r="BW25" t="str">
        <f t="shared" si="38"/>
        <v/>
      </c>
      <c r="BY25" t="str">
        <f t="shared" si="39"/>
        <v/>
      </c>
      <c r="BZ25">
        <f t="shared" si="40"/>
        <v>0</v>
      </c>
      <c r="CA25">
        <f t="shared" si="41"/>
        <v>12</v>
      </c>
      <c r="CC25" t="str">
        <f t="shared" si="42"/>
        <v/>
      </c>
      <c r="CE25" t="str">
        <f>IF(基础资料!$P25="","",基础资料!$P25)</f>
        <v>个</v>
      </c>
      <c r="CF25">
        <f>IF(CE25="",0,COUNTIF(包装物料出入库明细!$G$4:$G$2003,CE25))</f>
        <v>3</v>
      </c>
      <c r="CI25" t="str">
        <f>IF(基础资料!$D25="","",基础资料!$D25)</f>
        <v/>
      </c>
      <c r="CJ25">
        <f t="shared" si="43"/>
        <v>0</v>
      </c>
      <c r="CK25">
        <f t="shared" si="44"/>
        <v>19</v>
      </c>
      <c r="CL25" t="str">
        <f t="shared" si="45"/>
        <v>全修塑业</v>
      </c>
      <c r="CP25">
        <f>IF(包装物料出入库明细!$D25="",0,1)</f>
        <v>1</v>
      </c>
      <c r="CQ25">
        <f t="shared" si="46"/>
        <v>22</v>
      </c>
      <c r="CS25" t="str">
        <f>IF(OR(周转筐出入库明细!$C25="",周转筐出入库明细!$F25&lt;&gt;"采购入库"),"",周转筐出入库明细!$C25)</f>
        <v/>
      </c>
      <c r="CT25">
        <f t="shared" si="47"/>
        <v>0</v>
      </c>
      <c r="CU25">
        <f t="shared" si="48"/>
        <v>1</v>
      </c>
      <c r="CW25" t="str">
        <f>IFERROR(INDEX($CS$4:$CS$2003,MATCH(22,$CU$4:$CU$2003,0)),"")</f>
        <v/>
      </c>
    </row>
    <row r="26" spans="1:101">
      <c r="A26" t="str">
        <f>IF(包装物料出入库明细!$E26="","",包装物料出入库明细!$E26)</f>
        <v>香梨网</v>
      </c>
      <c r="B26">
        <f t="shared" si="0"/>
        <v>0</v>
      </c>
      <c r="C26">
        <f t="shared" si="1"/>
        <v>7</v>
      </c>
      <c r="D26" t="str">
        <f>IF(包装物料出入库明细!$E26="","",包装物料出入库明细!$F26)</f>
        <v>*包</v>
      </c>
      <c r="E26" t="str">
        <f>IF(包装物料出入库明细!$E26="","",包装物料出入库明细!$G26)</f>
        <v>包</v>
      </c>
      <c r="G26" t="str">
        <f t="shared" si="2"/>
        <v/>
      </c>
      <c r="H26" t="str">
        <f t="shared" si="3"/>
        <v/>
      </c>
      <c r="I26" t="str">
        <f t="shared" si="4"/>
        <v/>
      </c>
      <c r="K26" t="str">
        <f>IF(包装物料出入库明细!$D26="","",包装物料出入库明细!$D26)</f>
        <v>吐尔洪</v>
      </c>
      <c r="L26">
        <f t="shared" si="5"/>
        <v>0</v>
      </c>
      <c r="M26">
        <f t="shared" si="6"/>
        <v>9</v>
      </c>
      <c r="O26" t="str">
        <f t="shared" si="7"/>
        <v/>
      </c>
      <c r="Q26" t="str">
        <f>IF(周转筐出入库明细!$D26="","",周转筐出入库明细!$D26)</f>
        <v>公司红周转筐</v>
      </c>
      <c r="R26">
        <f t="shared" si="8"/>
        <v>0</v>
      </c>
      <c r="S26">
        <f t="shared" si="9"/>
        <v>5</v>
      </c>
      <c r="U26" t="str">
        <f t="shared" si="10"/>
        <v/>
      </c>
      <c r="W26" t="str">
        <f>IF(周转筐出入库明细!$C26="","",周转筐出入库明细!$C26)</f>
        <v>全修塑业</v>
      </c>
      <c r="X26">
        <f t="shared" si="11"/>
        <v>0</v>
      </c>
      <c r="Y26">
        <f t="shared" si="12"/>
        <v>8</v>
      </c>
      <c r="AA26" t="str">
        <f t="shared" si="13"/>
        <v/>
      </c>
      <c r="AC26" t="str">
        <f>IF(客户自备加工筐明细!$C26="","",客户自备加工筐明细!$C26)</f>
        <v/>
      </c>
      <c r="AD26">
        <f t="shared" si="14"/>
        <v>0</v>
      </c>
      <c r="AE26">
        <f t="shared" si="15"/>
        <v>1</v>
      </c>
      <c r="AG26" t="str">
        <f t="shared" si="16"/>
        <v/>
      </c>
      <c r="AI26" t="str">
        <f>IF(客户自备加工筐明细!$E26="","",客户自备加工筐明细!$E26)</f>
        <v/>
      </c>
      <c r="AJ26">
        <f t="shared" si="17"/>
        <v>0</v>
      </c>
      <c r="AK26">
        <f t="shared" si="18"/>
        <v>1</v>
      </c>
      <c r="AM26" t="str">
        <f>IFERROR(INDEX($AI$4:$AI$1503,MATCH(23,$AK$4:$AK$1503,0)),"")</f>
        <v/>
      </c>
      <c r="AO26" t="str">
        <f>IF(次果筐明细!$D26="","",次果筐明细!$D26)</f>
        <v/>
      </c>
      <c r="AP26">
        <f t="shared" si="19"/>
        <v>0</v>
      </c>
      <c r="AQ26">
        <f t="shared" si="20"/>
        <v>1</v>
      </c>
      <c r="AS26" t="str">
        <f t="shared" si="21"/>
        <v/>
      </c>
      <c r="AU26" t="str">
        <f>IF(次果筐明细!$C26="","",次果筐明细!$C26)</f>
        <v/>
      </c>
      <c r="AV26">
        <f t="shared" si="22"/>
        <v>0</v>
      </c>
      <c r="AW26">
        <f t="shared" si="23"/>
        <v>1</v>
      </c>
      <c r="AY26" t="str">
        <f t="shared" si="24"/>
        <v/>
      </c>
      <c r="BA26" t="str">
        <f>IF(对接源_01水果筐数!$B27="","",对接源_01水果筐数!$B27)</f>
        <v/>
      </c>
      <c r="BB26">
        <f t="shared" si="25"/>
        <v>0</v>
      </c>
      <c r="BC26">
        <f t="shared" si="26"/>
        <v>14</v>
      </c>
      <c r="BE26" t="str">
        <f t="shared" si="27"/>
        <v/>
      </c>
      <c r="BG26" t="str">
        <f>IF(对接源_01水果筐数!$C27="","",对接源_01水果筐数!$C27)</f>
        <v/>
      </c>
      <c r="BH26">
        <f t="shared" si="28"/>
        <v>0</v>
      </c>
      <c r="BI26">
        <f t="shared" si="29"/>
        <v>7</v>
      </c>
      <c r="BK26" t="str">
        <f t="shared" si="30"/>
        <v/>
      </c>
      <c r="BM26" t="str">
        <f t="shared" si="31"/>
        <v/>
      </c>
      <c r="BN26">
        <f t="shared" si="32"/>
        <v>0</v>
      </c>
      <c r="BO26">
        <f t="shared" si="33"/>
        <v>5</v>
      </c>
      <c r="BQ26" t="str">
        <f t="shared" si="34"/>
        <v/>
      </c>
      <c r="BS26" t="str">
        <f t="shared" si="35"/>
        <v/>
      </c>
      <c r="BT26">
        <f t="shared" si="36"/>
        <v>0</v>
      </c>
      <c r="BU26">
        <f t="shared" si="37"/>
        <v>9</v>
      </c>
      <c r="BW26" t="str">
        <f t="shared" si="38"/>
        <v/>
      </c>
      <c r="BY26" t="str">
        <f t="shared" si="39"/>
        <v/>
      </c>
      <c r="BZ26">
        <f t="shared" si="40"/>
        <v>0</v>
      </c>
      <c r="CA26">
        <f t="shared" si="41"/>
        <v>12</v>
      </c>
      <c r="CC26" t="str">
        <f t="shared" si="42"/>
        <v/>
      </c>
      <c r="CE26" t="str">
        <f>IF(基础资料!$P26="","",基础资料!$P26)</f>
        <v/>
      </c>
      <c r="CF26">
        <f>IF(CE26="",0,COUNTIF(包装物料出入库明细!$G$4:$G$2003,CE26))</f>
        <v>0</v>
      </c>
      <c r="CI26" t="str">
        <f>IF(基础资料!$D26="","",基础资料!$D26)</f>
        <v/>
      </c>
      <c r="CJ26">
        <f t="shared" si="43"/>
        <v>0</v>
      </c>
      <c r="CK26">
        <f t="shared" si="44"/>
        <v>19</v>
      </c>
      <c r="CL26" t="str">
        <f t="shared" si="45"/>
        <v>新顺发泡网</v>
      </c>
      <c r="CP26">
        <f>IF(包装物料出入库明细!$D26="",0,1)</f>
        <v>1</v>
      </c>
      <c r="CQ26">
        <f t="shared" si="46"/>
        <v>23</v>
      </c>
      <c r="CS26" t="str">
        <f>IF(OR(周转筐出入库明细!$C26="",周转筐出入库明细!$F26&lt;&gt;"采购入库"),"",周转筐出入库明细!$C26)</f>
        <v>全修塑业</v>
      </c>
      <c r="CT26">
        <f t="shared" si="47"/>
        <v>0</v>
      </c>
      <c r="CU26">
        <f t="shared" si="48"/>
        <v>1</v>
      </c>
      <c r="CW26" t="str">
        <f>IFERROR(INDEX($CS$4:$CS$2003,MATCH(23,$CU$4:$CU$2003,0)),"")</f>
        <v/>
      </c>
    </row>
    <row r="27" spans="1:101">
      <c r="A27" t="str">
        <f>IF(包装物料出入库明细!$E27="","",包装物料出入库明细!$E27)</f>
        <v>香梨网</v>
      </c>
      <c r="B27">
        <f t="shared" si="0"/>
        <v>0</v>
      </c>
      <c r="C27">
        <f t="shared" si="1"/>
        <v>7</v>
      </c>
      <c r="D27" t="str">
        <f>IF(包装物料出入库明细!$E27="","",包装物料出入库明细!$F27)</f>
        <v>*包</v>
      </c>
      <c r="E27" t="str">
        <f>IF(包装物料出入库明细!$E27="","",包装物料出入库明细!$G27)</f>
        <v>包</v>
      </c>
      <c r="G27" t="str">
        <f t="shared" si="2"/>
        <v/>
      </c>
      <c r="H27" t="str">
        <f t="shared" si="3"/>
        <v/>
      </c>
      <c r="I27" t="str">
        <f t="shared" si="4"/>
        <v/>
      </c>
      <c r="K27" t="str">
        <f>IF(包装物料出入库明细!$D27="","",包装物料出入库明细!$D27)</f>
        <v>荆建君</v>
      </c>
      <c r="L27">
        <f t="shared" si="5"/>
        <v>0</v>
      </c>
      <c r="M27">
        <f t="shared" si="6"/>
        <v>9</v>
      </c>
      <c r="O27" t="str">
        <f t="shared" si="7"/>
        <v/>
      </c>
      <c r="Q27" t="str">
        <f>IF(周转筐出入库明细!$D27="","",周转筐出入库明细!$D27)</f>
        <v>公司红周转筐</v>
      </c>
      <c r="R27">
        <f t="shared" si="8"/>
        <v>0</v>
      </c>
      <c r="S27">
        <f t="shared" si="9"/>
        <v>5</v>
      </c>
      <c r="U27" t="str">
        <f t="shared" si="10"/>
        <v/>
      </c>
      <c r="W27" t="str">
        <f>IF(周转筐出入库明细!$C27="","",周转筐出入库明细!$C27)</f>
        <v>努尔敦</v>
      </c>
      <c r="X27">
        <f t="shared" si="11"/>
        <v>1</v>
      </c>
      <c r="Y27">
        <f t="shared" si="12"/>
        <v>9</v>
      </c>
      <c r="AA27" t="str">
        <f t="shared" si="13"/>
        <v/>
      </c>
      <c r="AC27" t="str">
        <f>IF(客户自备加工筐明细!$C27="","",客户自备加工筐明细!$C27)</f>
        <v/>
      </c>
      <c r="AD27">
        <f t="shared" si="14"/>
        <v>0</v>
      </c>
      <c r="AE27">
        <f t="shared" si="15"/>
        <v>1</v>
      </c>
      <c r="AG27" t="str">
        <f t="shared" si="16"/>
        <v/>
      </c>
      <c r="AI27" t="str">
        <f>IF(客户自备加工筐明细!$E27="","",客户自备加工筐明细!$E27)</f>
        <v/>
      </c>
      <c r="AJ27">
        <f t="shared" si="17"/>
        <v>0</v>
      </c>
      <c r="AK27">
        <f t="shared" si="18"/>
        <v>1</v>
      </c>
      <c r="AM27" t="str">
        <f>IFERROR(INDEX($AI$4:$AI$1503,MATCH(24,$AK$4:$AK$1503,0)),"")</f>
        <v/>
      </c>
      <c r="AO27" t="str">
        <f>IF(次果筐明细!$D27="","",次果筐明细!$D27)</f>
        <v/>
      </c>
      <c r="AP27">
        <f t="shared" si="19"/>
        <v>0</v>
      </c>
      <c r="AQ27">
        <f t="shared" si="20"/>
        <v>1</v>
      </c>
      <c r="AS27" t="str">
        <f t="shared" si="21"/>
        <v/>
      </c>
      <c r="AU27" t="str">
        <f>IF(次果筐明细!$C27="","",次果筐明细!$C27)</f>
        <v/>
      </c>
      <c r="AV27">
        <f t="shared" si="22"/>
        <v>0</v>
      </c>
      <c r="AW27">
        <f t="shared" si="23"/>
        <v>1</v>
      </c>
      <c r="AY27" t="str">
        <f t="shared" si="24"/>
        <v/>
      </c>
      <c r="BA27" t="str">
        <f>IF(对接源_01水果筐数!$B28="","",对接源_01水果筐数!$B28)</f>
        <v/>
      </c>
      <c r="BB27">
        <f t="shared" si="25"/>
        <v>0</v>
      </c>
      <c r="BC27">
        <f t="shared" si="26"/>
        <v>14</v>
      </c>
      <c r="BE27" t="str">
        <f t="shared" si="27"/>
        <v/>
      </c>
      <c r="BG27" t="str">
        <f>IF(对接源_01水果筐数!$C28="","",对接源_01水果筐数!$C28)</f>
        <v/>
      </c>
      <c r="BH27">
        <f t="shared" si="28"/>
        <v>0</v>
      </c>
      <c r="BI27">
        <f t="shared" si="29"/>
        <v>7</v>
      </c>
      <c r="BK27" t="str">
        <f t="shared" si="30"/>
        <v/>
      </c>
      <c r="BM27" t="str">
        <f t="shared" si="31"/>
        <v/>
      </c>
      <c r="BN27">
        <f t="shared" si="32"/>
        <v>0</v>
      </c>
      <c r="BO27">
        <f t="shared" si="33"/>
        <v>5</v>
      </c>
      <c r="BQ27" t="str">
        <f t="shared" si="34"/>
        <v/>
      </c>
      <c r="BS27" t="str">
        <f t="shared" si="35"/>
        <v/>
      </c>
      <c r="BT27">
        <f t="shared" si="36"/>
        <v>0</v>
      </c>
      <c r="BU27">
        <f t="shared" si="37"/>
        <v>9</v>
      </c>
      <c r="BW27" t="str">
        <f t="shared" si="38"/>
        <v/>
      </c>
      <c r="BY27" t="str">
        <f t="shared" si="39"/>
        <v/>
      </c>
      <c r="BZ27">
        <f t="shared" si="40"/>
        <v>0</v>
      </c>
      <c r="CA27">
        <f t="shared" si="41"/>
        <v>12</v>
      </c>
      <c r="CC27" t="str">
        <f t="shared" si="42"/>
        <v/>
      </c>
      <c r="CE27" t="str">
        <f>IF(基础资料!$P27="","",基础资料!$P27)</f>
        <v/>
      </c>
      <c r="CF27">
        <f>IF(CE27="",0,COUNTIF(包装物料出入库明细!$G$4:$G$2003,CE27))</f>
        <v>0</v>
      </c>
      <c r="CI27" t="str">
        <f>IF(基础资料!$D27="","",基础资料!$D27)</f>
        <v/>
      </c>
      <c r="CJ27">
        <f t="shared" si="43"/>
        <v>0</v>
      </c>
      <c r="CK27">
        <f t="shared" si="44"/>
        <v>19</v>
      </c>
      <c r="CL27" t="str">
        <f t="shared" si="45"/>
        <v>武宁气泡垫</v>
      </c>
      <c r="CP27">
        <f>IF(包装物料出入库明细!$D27="",0,1)</f>
        <v>1</v>
      </c>
      <c r="CQ27">
        <f t="shared" si="46"/>
        <v>24</v>
      </c>
      <c r="CS27" t="str">
        <f>IF(OR(周转筐出入库明细!$C27="",周转筐出入库明细!$F27&lt;&gt;"采购入库"),"",周转筐出入库明细!$C27)</f>
        <v/>
      </c>
      <c r="CT27">
        <f t="shared" si="47"/>
        <v>0</v>
      </c>
      <c r="CU27">
        <f t="shared" si="48"/>
        <v>1</v>
      </c>
      <c r="CW27" t="str">
        <f>IFERROR(INDEX($CS$4:$CS$2003,MATCH(24,$CU$4:$CU$2003,0)),"")</f>
        <v/>
      </c>
    </row>
    <row r="28" spans="1:101">
      <c r="A28" t="str">
        <f>IF(包装物料出入库明细!$E28="","",包装物料出入库明细!$E28)</f>
        <v>香梨网</v>
      </c>
      <c r="B28">
        <f t="shared" si="0"/>
        <v>0</v>
      </c>
      <c r="C28">
        <f t="shared" si="1"/>
        <v>7</v>
      </c>
      <c r="D28" t="str">
        <f>IF(包装物料出入库明细!$E28="","",包装物料出入库明细!$F28)</f>
        <v>*包</v>
      </c>
      <c r="E28" t="str">
        <f>IF(包装物料出入库明细!$E28="","",包装物料出入库明细!$G28)</f>
        <v>包</v>
      </c>
      <c r="G28" t="str">
        <f t="shared" si="2"/>
        <v/>
      </c>
      <c r="H28" t="str">
        <f t="shared" si="3"/>
        <v/>
      </c>
      <c r="I28" t="str">
        <f t="shared" si="4"/>
        <v/>
      </c>
      <c r="K28" t="str">
        <f>IF(包装物料出入库明细!$D28="","",包装物料出入库明细!$D28)</f>
        <v>麦麦提</v>
      </c>
      <c r="L28">
        <f t="shared" si="5"/>
        <v>0</v>
      </c>
      <c r="M28">
        <f t="shared" si="6"/>
        <v>9</v>
      </c>
      <c r="O28" t="str">
        <f t="shared" si="7"/>
        <v/>
      </c>
      <c r="Q28" t="str">
        <f>IF(周转筐出入库明细!$D28="","",周转筐出入库明细!$D28)</f>
        <v>公司红周转筐</v>
      </c>
      <c r="R28">
        <f t="shared" si="8"/>
        <v>0</v>
      </c>
      <c r="S28">
        <f t="shared" si="9"/>
        <v>5</v>
      </c>
      <c r="U28" t="str">
        <f t="shared" si="10"/>
        <v/>
      </c>
      <c r="W28" t="str">
        <f>IF(周转筐出入库明细!$C28="","",周转筐出入库明细!$C28)</f>
        <v>全修塑业</v>
      </c>
      <c r="X28">
        <f t="shared" si="11"/>
        <v>0</v>
      </c>
      <c r="Y28">
        <f t="shared" si="12"/>
        <v>9</v>
      </c>
      <c r="AA28" t="str">
        <f t="shared" si="13"/>
        <v/>
      </c>
      <c r="AC28" t="str">
        <f>IF(客户自备加工筐明细!$C28="","",客户自备加工筐明细!$C28)</f>
        <v/>
      </c>
      <c r="AD28">
        <f t="shared" si="14"/>
        <v>0</v>
      </c>
      <c r="AE28">
        <f t="shared" si="15"/>
        <v>1</v>
      </c>
      <c r="AG28" t="str">
        <f t="shared" si="16"/>
        <v/>
      </c>
      <c r="AI28" t="str">
        <f>IF(客户自备加工筐明细!$E28="","",客户自备加工筐明细!$E28)</f>
        <v/>
      </c>
      <c r="AJ28">
        <f t="shared" si="17"/>
        <v>0</v>
      </c>
      <c r="AK28">
        <f t="shared" si="18"/>
        <v>1</v>
      </c>
      <c r="AM28" t="str">
        <f>IFERROR(INDEX($AI$4:$AI$1503,MATCH(25,$AK$4:$AK$1503,0)),"")</f>
        <v/>
      </c>
      <c r="AO28" t="str">
        <f>IF(次果筐明细!$D28="","",次果筐明细!$D28)</f>
        <v/>
      </c>
      <c r="AP28">
        <f t="shared" si="19"/>
        <v>0</v>
      </c>
      <c r="AQ28">
        <f t="shared" si="20"/>
        <v>1</v>
      </c>
      <c r="AS28" t="str">
        <f t="shared" si="21"/>
        <v/>
      </c>
      <c r="AU28" t="str">
        <f>IF(次果筐明细!$C28="","",次果筐明细!$C28)</f>
        <v/>
      </c>
      <c r="AV28">
        <f t="shared" si="22"/>
        <v>0</v>
      </c>
      <c r="AW28">
        <f t="shared" si="23"/>
        <v>1</v>
      </c>
      <c r="AY28" t="str">
        <f t="shared" si="24"/>
        <v/>
      </c>
      <c r="BA28" t="str">
        <f>IF(对接源_01水果筐数!$B29="","",对接源_01水果筐数!$B29)</f>
        <v/>
      </c>
      <c r="BB28">
        <f t="shared" si="25"/>
        <v>0</v>
      </c>
      <c r="BC28">
        <f t="shared" si="26"/>
        <v>14</v>
      </c>
      <c r="BE28" t="str">
        <f t="shared" si="27"/>
        <v/>
      </c>
      <c r="BG28" t="str">
        <f>IF(对接源_01水果筐数!$C29="","",对接源_01水果筐数!$C29)</f>
        <v/>
      </c>
      <c r="BH28">
        <f t="shared" si="28"/>
        <v>0</v>
      </c>
      <c r="BI28">
        <f t="shared" si="29"/>
        <v>7</v>
      </c>
      <c r="BK28" t="str">
        <f t="shared" si="30"/>
        <v/>
      </c>
      <c r="BM28" t="str">
        <f t="shared" si="31"/>
        <v/>
      </c>
      <c r="BN28">
        <f t="shared" si="32"/>
        <v>0</v>
      </c>
      <c r="BO28">
        <f t="shared" si="33"/>
        <v>5</v>
      </c>
      <c r="BQ28" t="str">
        <f t="shared" si="34"/>
        <v/>
      </c>
      <c r="BS28" t="str">
        <f t="shared" si="35"/>
        <v/>
      </c>
      <c r="BT28">
        <f t="shared" si="36"/>
        <v>0</v>
      </c>
      <c r="BU28">
        <f t="shared" si="37"/>
        <v>9</v>
      </c>
      <c r="BW28" t="str">
        <f t="shared" si="38"/>
        <v/>
      </c>
      <c r="BY28" t="str">
        <f t="shared" si="39"/>
        <v/>
      </c>
      <c r="BZ28">
        <f t="shared" si="40"/>
        <v>0</v>
      </c>
      <c r="CA28">
        <f t="shared" si="41"/>
        <v>12</v>
      </c>
      <c r="CC28" t="str">
        <f t="shared" si="42"/>
        <v/>
      </c>
      <c r="CE28" t="str">
        <f>IF(基础资料!$P28="","",基础资料!$P28)</f>
        <v/>
      </c>
      <c r="CF28">
        <f>IF(CE28="",0,COUNTIF(包装物料出入库明细!$G$4:$G$2003,CE28))</f>
        <v>0</v>
      </c>
      <c r="CI28" t="str">
        <f>IF(基础资料!$D28="","",基础资料!$D28)</f>
        <v/>
      </c>
      <c r="CJ28">
        <f t="shared" si="43"/>
        <v>0</v>
      </c>
      <c r="CK28">
        <f t="shared" si="44"/>
        <v>19</v>
      </c>
      <c r="CL28" t="str">
        <f t="shared" si="45"/>
        <v/>
      </c>
      <c r="CP28">
        <f>IF(包装物料出入库明细!$D28="",0,1)</f>
        <v>1</v>
      </c>
      <c r="CQ28">
        <f t="shared" si="46"/>
        <v>25</v>
      </c>
      <c r="CS28" t="str">
        <f>IF(OR(周转筐出入库明细!$C28="",周转筐出入库明细!$F28&lt;&gt;"采购入库"),"",周转筐出入库明细!$C28)</f>
        <v>全修塑业</v>
      </c>
      <c r="CT28">
        <f t="shared" si="47"/>
        <v>0</v>
      </c>
      <c r="CU28">
        <f t="shared" si="48"/>
        <v>1</v>
      </c>
      <c r="CW28" t="str">
        <f>IFERROR(INDEX($CS$4:$CS$2003,MATCH(25,$CU$4:$CU$2003,0)),"")</f>
        <v/>
      </c>
    </row>
    <row r="29" spans="1:101">
      <c r="A29" t="str">
        <f>IF(包装物料出入库明细!$E29="","",包装物料出入库明细!$E29)</f>
        <v>香梨网</v>
      </c>
      <c r="B29">
        <f t="shared" si="0"/>
        <v>0</v>
      </c>
      <c r="C29">
        <f t="shared" si="1"/>
        <v>7</v>
      </c>
      <c r="D29" t="str">
        <f>IF(包装物料出入库明细!$E29="","",包装物料出入库明细!$F29)</f>
        <v>*包</v>
      </c>
      <c r="E29" t="str">
        <f>IF(包装物料出入库明细!$E29="","",包装物料出入库明细!$G29)</f>
        <v>包</v>
      </c>
      <c r="G29" t="str">
        <f t="shared" si="2"/>
        <v/>
      </c>
      <c r="H29" t="str">
        <f t="shared" si="3"/>
        <v/>
      </c>
      <c r="I29" t="str">
        <f t="shared" si="4"/>
        <v/>
      </c>
      <c r="K29" t="str">
        <f>IF(包装物料出入库明细!$D29="","",包装物料出入库明细!$D29)</f>
        <v>新顺发泡网</v>
      </c>
      <c r="L29">
        <f t="shared" si="5"/>
        <v>0</v>
      </c>
      <c r="M29">
        <f t="shared" si="6"/>
        <v>9</v>
      </c>
      <c r="O29" t="str">
        <f t="shared" si="7"/>
        <v/>
      </c>
      <c r="Q29" t="str">
        <f>IF(周转筐出入库明细!$D29="","",周转筐出入库明细!$D29)</f>
        <v>公司红周转筐</v>
      </c>
      <c r="R29">
        <f t="shared" si="8"/>
        <v>0</v>
      </c>
      <c r="S29">
        <f t="shared" si="9"/>
        <v>5</v>
      </c>
      <c r="U29" t="str">
        <f t="shared" si="10"/>
        <v/>
      </c>
      <c r="W29" t="str">
        <f>IF(周转筐出入库明细!$C29="","",周转筐出入库明细!$C29)</f>
        <v>荆建君</v>
      </c>
      <c r="X29">
        <f t="shared" si="11"/>
        <v>1</v>
      </c>
      <c r="Y29">
        <f t="shared" si="12"/>
        <v>10</v>
      </c>
      <c r="AA29" t="str">
        <f t="shared" si="13"/>
        <v/>
      </c>
      <c r="AC29" t="str">
        <f>IF(客户自备加工筐明细!$C29="","",客户自备加工筐明细!$C29)</f>
        <v/>
      </c>
      <c r="AD29">
        <f t="shared" si="14"/>
        <v>0</v>
      </c>
      <c r="AE29">
        <f t="shared" si="15"/>
        <v>1</v>
      </c>
      <c r="AG29" t="str">
        <f t="shared" si="16"/>
        <v/>
      </c>
      <c r="AI29" t="str">
        <f>IF(客户自备加工筐明细!$E29="","",客户自备加工筐明细!$E29)</f>
        <v/>
      </c>
      <c r="AJ29">
        <f t="shared" si="17"/>
        <v>0</v>
      </c>
      <c r="AK29">
        <f t="shared" si="18"/>
        <v>1</v>
      </c>
      <c r="AM29" t="str">
        <f>IFERROR(INDEX($AI$4:$AI$1503,MATCH(26,$AK$4:$AK$1503,0)),"")</f>
        <v/>
      </c>
      <c r="AO29" t="str">
        <f>IF(次果筐明细!$D29="","",次果筐明细!$D29)</f>
        <v/>
      </c>
      <c r="AP29">
        <f t="shared" si="19"/>
        <v>0</v>
      </c>
      <c r="AQ29">
        <f t="shared" si="20"/>
        <v>1</v>
      </c>
      <c r="AS29" t="str">
        <f t="shared" si="21"/>
        <v/>
      </c>
      <c r="AU29" t="str">
        <f>IF(次果筐明细!$C29="","",次果筐明细!$C29)</f>
        <v/>
      </c>
      <c r="AV29">
        <f t="shared" si="22"/>
        <v>0</v>
      </c>
      <c r="AW29">
        <f t="shared" si="23"/>
        <v>1</v>
      </c>
      <c r="AY29" t="str">
        <f t="shared" si="24"/>
        <v/>
      </c>
      <c r="BA29" t="str">
        <f>IF(对接源_01水果筐数!$B30="","",对接源_01水果筐数!$B30)</f>
        <v/>
      </c>
      <c r="BB29">
        <f t="shared" si="25"/>
        <v>0</v>
      </c>
      <c r="BC29">
        <f t="shared" si="26"/>
        <v>14</v>
      </c>
      <c r="BE29" t="str">
        <f t="shared" si="27"/>
        <v/>
      </c>
      <c r="BG29" t="str">
        <f>IF(对接源_01水果筐数!$C30="","",对接源_01水果筐数!$C30)</f>
        <v/>
      </c>
      <c r="BH29">
        <f t="shared" si="28"/>
        <v>0</v>
      </c>
      <c r="BI29">
        <f t="shared" si="29"/>
        <v>7</v>
      </c>
      <c r="BK29" t="str">
        <f t="shared" si="30"/>
        <v/>
      </c>
      <c r="BM29" t="str">
        <f t="shared" si="31"/>
        <v/>
      </c>
      <c r="BN29">
        <f t="shared" si="32"/>
        <v>0</v>
      </c>
      <c r="BO29">
        <f t="shared" si="33"/>
        <v>5</v>
      </c>
      <c r="BQ29" t="str">
        <f t="shared" si="34"/>
        <v/>
      </c>
      <c r="BS29" t="str">
        <f t="shared" si="35"/>
        <v/>
      </c>
      <c r="BT29">
        <f t="shared" si="36"/>
        <v>0</v>
      </c>
      <c r="BU29">
        <f t="shared" si="37"/>
        <v>9</v>
      </c>
      <c r="BW29" t="str">
        <f t="shared" si="38"/>
        <v/>
      </c>
      <c r="BY29" t="str">
        <f t="shared" si="39"/>
        <v/>
      </c>
      <c r="BZ29">
        <f t="shared" si="40"/>
        <v>0</v>
      </c>
      <c r="CA29">
        <f t="shared" si="41"/>
        <v>12</v>
      </c>
      <c r="CC29" t="str">
        <f t="shared" si="42"/>
        <v/>
      </c>
      <c r="CE29" t="str">
        <f>IF(基础资料!$P29="","",基础资料!$P29)</f>
        <v/>
      </c>
      <c r="CF29">
        <f>IF(CE29="",0,COUNTIF(包装物料出入库明细!$G$4:$G$2003,CE29))</f>
        <v>0</v>
      </c>
      <c r="CI29" t="str">
        <f>IF(基础资料!$D29="","",基础资料!$D29)</f>
        <v/>
      </c>
      <c r="CJ29">
        <f t="shared" si="43"/>
        <v>0</v>
      </c>
      <c r="CK29">
        <f t="shared" si="44"/>
        <v>19</v>
      </c>
      <c r="CL29" t="str">
        <f t="shared" si="45"/>
        <v/>
      </c>
      <c r="CP29">
        <f>IF(包装物料出入库明细!$D29="",0,1)</f>
        <v>1</v>
      </c>
      <c r="CQ29">
        <f t="shared" si="46"/>
        <v>26</v>
      </c>
      <c r="CS29" t="str">
        <f>IF(OR(周转筐出入库明细!$C29="",周转筐出入库明细!$F29&lt;&gt;"采购入库"),"",周转筐出入库明细!$C29)</f>
        <v/>
      </c>
      <c r="CT29">
        <f t="shared" si="47"/>
        <v>0</v>
      </c>
      <c r="CU29">
        <f t="shared" si="48"/>
        <v>1</v>
      </c>
      <c r="CW29" t="str">
        <f>IFERROR(INDEX($CS$4:$CS$2003,MATCH(26,$CU$4:$CU$2003,0)),"")</f>
        <v/>
      </c>
    </row>
    <row r="30" spans="1:101">
      <c r="A30" t="str">
        <f>IF(包装物料出入库明细!$E30="","",包装物料出入库明细!$E30)</f>
        <v>香梨网</v>
      </c>
      <c r="B30">
        <f t="shared" si="0"/>
        <v>0</v>
      </c>
      <c r="C30">
        <f t="shared" si="1"/>
        <v>7</v>
      </c>
      <c r="D30" t="str">
        <f>IF(包装物料出入库明细!$E30="","",包装物料出入库明细!$F30)</f>
        <v>*包</v>
      </c>
      <c r="E30" t="str">
        <f>IF(包装物料出入库明细!$E30="","",包装物料出入库明细!$G30)</f>
        <v>包</v>
      </c>
      <c r="G30" t="str">
        <f t="shared" si="2"/>
        <v/>
      </c>
      <c r="H30" t="str">
        <f t="shared" si="3"/>
        <v/>
      </c>
      <c r="I30" t="str">
        <f t="shared" si="4"/>
        <v/>
      </c>
      <c r="K30" t="str">
        <f>IF(包装物料出入库明细!$D30="","",包装物料出入库明细!$D30)</f>
        <v>麦麦提</v>
      </c>
      <c r="L30">
        <f t="shared" si="5"/>
        <v>0</v>
      </c>
      <c r="M30">
        <f t="shared" si="6"/>
        <v>9</v>
      </c>
      <c r="O30" t="str">
        <f t="shared" si="7"/>
        <v/>
      </c>
      <c r="Q30" t="str">
        <f>IF(周转筐出入库明细!$D30="","",周转筐出入库明细!$D30)</f>
        <v>公司杂周转筐</v>
      </c>
      <c r="R30">
        <f t="shared" si="8"/>
        <v>0</v>
      </c>
      <c r="S30">
        <f t="shared" si="9"/>
        <v>5</v>
      </c>
      <c r="U30" t="str">
        <f t="shared" si="10"/>
        <v/>
      </c>
      <c r="W30" t="str">
        <f>IF(周转筐出入库明细!$C30="","",周转筐出入库明细!$C30)</f>
        <v>马锦祥</v>
      </c>
      <c r="X30">
        <f t="shared" si="11"/>
        <v>0</v>
      </c>
      <c r="Y30">
        <f t="shared" si="12"/>
        <v>10</v>
      </c>
      <c r="AA30" t="str">
        <f t="shared" si="13"/>
        <v/>
      </c>
      <c r="AC30" t="str">
        <f>IF(客户自备加工筐明细!$C30="","",客户自备加工筐明细!$C30)</f>
        <v/>
      </c>
      <c r="AD30">
        <f t="shared" si="14"/>
        <v>0</v>
      </c>
      <c r="AE30">
        <f t="shared" si="15"/>
        <v>1</v>
      </c>
      <c r="AG30" t="str">
        <f t="shared" si="16"/>
        <v/>
      </c>
      <c r="AI30" t="str">
        <f>IF(客户自备加工筐明细!$E30="","",客户自备加工筐明细!$E30)</f>
        <v/>
      </c>
      <c r="AJ30">
        <f t="shared" si="17"/>
        <v>0</v>
      </c>
      <c r="AK30">
        <f t="shared" si="18"/>
        <v>1</v>
      </c>
      <c r="AM30" t="str">
        <f>IFERROR(INDEX($AI$4:$AI$1503,MATCH(27,$AK$4:$AK$1503,0)),"")</f>
        <v/>
      </c>
      <c r="AO30" t="str">
        <f>IF(次果筐明细!$D30="","",次果筐明细!$D30)</f>
        <v/>
      </c>
      <c r="AP30">
        <f t="shared" si="19"/>
        <v>0</v>
      </c>
      <c r="AQ30">
        <f t="shared" si="20"/>
        <v>1</v>
      </c>
      <c r="AS30" t="str">
        <f t="shared" si="21"/>
        <v/>
      </c>
      <c r="AU30" t="str">
        <f>IF(次果筐明细!$C30="","",次果筐明细!$C30)</f>
        <v/>
      </c>
      <c r="AV30">
        <f t="shared" si="22"/>
        <v>0</v>
      </c>
      <c r="AW30">
        <f t="shared" si="23"/>
        <v>1</v>
      </c>
      <c r="AY30" t="str">
        <f t="shared" si="24"/>
        <v/>
      </c>
      <c r="BA30" t="str">
        <f>IF(对接源_01水果筐数!$B31="","",对接源_01水果筐数!$B31)</f>
        <v/>
      </c>
      <c r="BB30">
        <f t="shared" si="25"/>
        <v>0</v>
      </c>
      <c r="BC30">
        <f t="shared" si="26"/>
        <v>14</v>
      </c>
      <c r="BE30" t="str">
        <f t="shared" si="27"/>
        <v/>
      </c>
      <c r="BG30" t="str">
        <f>IF(对接源_01水果筐数!$C31="","",对接源_01水果筐数!$C31)</f>
        <v/>
      </c>
      <c r="BH30">
        <f t="shared" si="28"/>
        <v>0</v>
      </c>
      <c r="BI30">
        <f t="shared" si="29"/>
        <v>7</v>
      </c>
      <c r="BK30" t="str">
        <f t="shared" si="30"/>
        <v/>
      </c>
      <c r="BM30" t="str">
        <f t="shared" si="31"/>
        <v/>
      </c>
      <c r="BN30">
        <f t="shared" si="32"/>
        <v>0</v>
      </c>
      <c r="BO30">
        <f t="shared" si="33"/>
        <v>5</v>
      </c>
      <c r="BQ30" t="str">
        <f t="shared" si="34"/>
        <v/>
      </c>
      <c r="BS30" t="str">
        <f t="shared" si="35"/>
        <v/>
      </c>
      <c r="BT30">
        <f t="shared" si="36"/>
        <v>0</v>
      </c>
      <c r="BU30">
        <f t="shared" si="37"/>
        <v>9</v>
      </c>
      <c r="BW30" t="str">
        <f t="shared" si="38"/>
        <v/>
      </c>
      <c r="BY30" t="str">
        <f t="shared" si="39"/>
        <v/>
      </c>
      <c r="BZ30">
        <f t="shared" si="40"/>
        <v>0</v>
      </c>
      <c r="CA30">
        <f t="shared" si="41"/>
        <v>12</v>
      </c>
      <c r="CC30" t="str">
        <f t="shared" si="42"/>
        <v/>
      </c>
      <c r="CE30" t="str">
        <f>IF(基础资料!$P30="","",基础资料!$P30)</f>
        <v/>
      </c>
      <c r="CF30">
        <f>IF(CE30="",0,COUNTIF(包装物料出入库明细!$G$4:$G$2003,CE30))</f>
        <v>0</v>
      </c>
      <c r="CI30" t="str">
        <f>IF(基础资料!$D30="","",基础资料!$D30)</f>
        <v/>
      </c>
      <c r="CJ30">
        <f t="shared" si="43"/>
        <v>0</v>
      </c>
      <c r="CK30">
        <f t="shared" si="44"/>
        <v>19</v>
      </c>
      <c r="CL30" t="str">
        <f t="shared" si="45"/>
        <v/>
      </c>
      <c r="CP30">
        <f>IF(包装物料出入库明细!$D30="",0,1)</f>
        <v>1</v>
      </c>
      <c r="CQ30">
        <f t="shared" si="46"/>
        <v>27</v>
      </c>
      <c r="CS30" t="str">
        <f>IF(OR(周转筐出入库明细!$C30="",周转筐出入库明细!$F30&lt;&gt;"采购入库"),"",周转筐出入库明细!$C30)</f>
        <v/>
      </c>
      <c r="CT30">
        <f t="shared" si="47"/>
        <v>0</v>
      </c>
      <c r="CU30">
        <f t="shared" si="48"/>
        <v>1</v>
      </c>
      <c r="CW30" t="str">
        <f>IFERROR(INDEX($CS$4:$CS$2003,MATCH(27,$CU$4:$CU$2003,0)),"")</f>
        <v/>
      </c>
    </row>
    <row r="31" spans="1:101">
      <c r="A31" t="str">
        <f>IF(包装物料出入库明细!$E31="","",包装物料出入库明细!$E31)</f>
        <v>香梨网</v>
      </c>
      <c r="B31">
        <f t="shared" si="0"/>
        <v>0</v>
      </c>
      <c r="C31">
        <f t="shared" si="1"/>
        <v>7</v>
      </c>
      <c r="D31" t="str">
        <f>IF(包装物料出入库明细!$E31="","",包装物料出入库明细!$F31)</f>
        <v>*包</v>
      </c>
      <c r="E31" t="str">
        <f>IF(包装物料出入库明细!$E31="","",包装物料出入库明细!$G31)</f>
        <v>包</v>
      </c>
      <c r="G31" t="str">
        <f t="shared" si="2"/>
        <v/>
      </c>
      <c r="H31" t="str">
        <f t="shared" si="3"/>
        <v/>
      </c>
      <c r="I31" t="str">
        <f t="shared" si="4"/>
        <v/>
      </c>
      <c r="K31" t="str">
        <f>IF(包装物料出入库明细!$D31="","",包装物料出入库明细!$D31)</f>
        <v>新顺发泡网</v>
      </c>
      <c r="L31">
        <f t="shared" si="5"/>
        <v>0</v>
      </c>
      <c r="M31">
        <f t="shared" si="6"/>
        <v>9</v>
      </c>
      <c r="O31" t="str">
        <f t="shared" si="7"/>
        <v/>
      </c>
      <c r="Q31" t="str">
        <f>IF(周转筐出入库明细!$D31="","",周转筐出入库明细!$D31)</f>
        <v>公司红周转筐</v>
      </c>
      <c r="R31">
        <f t="shared" si="8"/>
        <v>0</v>
      </c>
      <c r="S31">
        <f t="shared" si="9"/>
        <v>5</v>
      </c>
      <c r="U31" t="str">
        <f t="shared" si="10"/>
        <v/>
      </c>
      <c r="W31" t="str">
        <f>IF(周转筐出入库明细!$C31="","",周转筐出入库明细!$C31)</f>
        <v>全修塑业</v>
      </c>
      <c r="X31">
        <f t="shared" si="11"/>
        <v>0</v>
      </c>
      <c r="Y31">
        <f t="shared" si="12"/>
        <v>10</v>
      </c>
      <c r="AA31" t="str">
        <f t="shared" si="13"/>
        <v/>
      </c>
      <c r="AC31" t="str">
        <f>IF(客户自备加工筐明细!$C31="","",客户自备加工筐明细!$C31)</f>
        <v/>
      </c>
      <c r="AD31">
        <f t="shared" si="14"/>
        <v>0</v>
      </c>
      <c r="AE31">
        <f t="shared" si="15"/>
        <v>1</v>
      </c>
      <c r="AG31" t="str">
        <f t="shared" si="16"/>
        <v/>
      </c>
      <c r="AI31" t="str">
        <f>IF(客户自备加工筐明细!$E31="","",客户自备加工筐明细!$E31)</f>
        <v/>
      </c>
      <c r="AJ31">
        <f t="shared" si="17"/>
        <v>0</v>
      </c>
      <c r="AK31">
        <f t="shared" si="18"/>
        <v>1</v>
      </c>
      <c r="AM31" t="str">
        <f>IFERROR(INDEX($AI$4:$AI$1503,MATCH(28,$AK$4:$AK$1503,0)),"")</f>
        <v/>
      </c>
      <c r="AO31" t="str">
        <f>IF(次果筐明细!$D31="","",次果筐明细!$D31)</f>
        <v/>
      </c>
      <c r="AP31">
        <f t="shared" si="19"/>
        <v>0</v>
      </c>
      <c r="AQ31">
        <f t="shared" si="20"/>
        <v>1</v>
      </c>
      <c r="AS31" t="str">
        <f t="shared" si="21"/>
        <v/>
      </c>
      <c r="AU31" t="str">
        <f>IF(次果筐明细!$C31="","",次果筐明细!$C31)</f>
        <v/>
      </c>
      <c r="AV31">
        <f t="shared" si="22"/>
        <v>0</v>
      </c>
      <c r="AW31">
        <f t="shared" si="23"/>
        <v>1</v>
      </c>
      <c r="AY31" t="str">
        <f t="shared" si="24"/>
        <v/>
      </c>
      <c r="BA31" t="str">
        <f>IF(对接源_01水果筐数!$B32="","",对接源_01水果筐数!$B32)</f>
        <v/>
      </c>
      <c r="BB31">
        <f t="shared" si="25"/>
        <v>0</v>
      </c>
      <c r="BC31">
        <f t="shared" si="26"/>
        <v>14</v>
      </c>
      <c r="BE31" t="str">
        <f t="shared" si="27"/>
        <v/>
      </c>
      <c r="BG31" t="str">
        <f>IF(对接源_01水果筐数!$C32="","",对接源_01水果筐数!$C32)</f>
        <v/>
      </c>
      <c r="BH31">
        <f t="shared" si="28"/>
        <v>0</v>
      </c>
      <c r="BI31">
        <f t="shared" si="29"/>
        <v>7</v>
      </c>
      <c r="BK31" t="str">
        <f t="shared" si="30"/>
        <v/>
      </c>
      <c r="BM31" t="str">
        <f t="shared" si="31"/>
        <v/>
      </c>
      <c r="BN31">
        <f t="shared" si="32"/>
        <v>0</v>
      </c>
      <c r="BO31">
        <f t="shared" si="33"/>
        <v>5</v>
      </c>
      <c r="BQ31" t="str">
        <f t="shared" si="34"/>
        <v/>
      </c>
      <c r="BS31" t="str">
        <f t="shared" si="35"/>
        <v/>
      </c>
      <c r="BT31">
        <f t="shared" si="36"/>
        <v>0</v>
      </c>
      <c r="BU31">
        <f t="shared" si="37"/>
        <v>9</v>
      </c>
      <c r="BW31" t="str">
        <f t="shared" si="38"/>
        <v/>
      </c>
      <c r="BY31" t="str">
        <f t="shared" si="39"/>
        <v/>
      </c>
      <c r="BZ31">
        <f t="shared" si="40"/>
        <v>0</v>
      </c>
      <c r="CA31">
        <f t="shared" si="41"/>
        <v>12</v>
      </c>
      <c r="CC31" t="str">
        <f t="shared" si="42"/>
        <v/>
      </c>
      <c r="CE31" t="str">
        <f>IF(基础资料!$P31="","",基础资料!$P31)</f>
        <v/>
      </c>
      <c r="CF31">
        <f>IF(CE31="",0,COUNTIF(包装物料出入库明细!$G$4:$G$2003,CE31))</f>
        <v>0</v>
      </c>
      <c r="CI31" t="str">
        <f>IF(基础资料!$D31="","",基础资料!$D31)</f>
        <v/>
      </c>
      <c r="CJ31">
        <f t="shared" si="43"/>
        <v>0</v>
      </c>
      <c r="CK31">
        <f t="shared" si="44"/>
        <v>19</v>
      </c>
      <c r="CL31" t="str">
        <f t="shared" si="45"/>
        <v/>
      </c>
      <c r="CP31">
        <f>IF(包装物料出入库明细!$D31="",0,1)</f>
        <v>1</v>
      </c>
      <c r="CQ31">
        <f t="shared" si="46"/>
        <v>28</v>
      </c>
      <c r="CS31" t="str">
        <f>IF(OR(周转筐出入库明细!$C31="",周转筐出入库明细!$F31&lt;&gt;"采购入库"),"",周转筐出入库明细!$C31)</f>
        <v>全修塑业</v>
      </c>
      <c r="CT31">
        <f t="shared" si="47"/>
        <v>0</v>
      </c>
      <c r="CU31">
        <f t="shared" si="48"/>
        <v>1</v>
      </c>
      <c r="CW31" t="str">
        <f>IFERROR(INDEX($CS$4:$CS$2003,MATCH(28,$CU$4:$CU$2003,0)),"")</f>
        <v/>
      </c>
    </row>
    <row r="32" spans="1:101">
      <c r="A32" t="str">
        <f>IF(包装物料出入库明细!$E32="","",包装物料出入库明细!$E32)</f>
        <v>香梨网</v>
      </c>
      <c r="B32">
        <f t="shared" si="0"/>
        <v>0</v>
      </c>
      <c r="C32">
        <f t="shared" si="1"/>
        <v>7</v>
      </c>
      <c r="D32" t="str">
        <f>IF(包装物料出入库明细!$E32="","",包装物料出入库明细!$F32)</f>
        <v>*包</v>
      </c>
      <c r="E32" t="str">
        <f>IF(包装物料出入库明细!$E32="","",包装物料出入库明细!$G32)</f>
        <v>包</v>
      </c>
      <c r="G32" t="str">
        <f t="shared" si="2"/>
        <v/>
      </c>
      <c r="H32" t="str">
        <f t="shared" si="3"/>
        <v/>
      </c>
      <c r="I32" t="str">
        <f t="shared" si="4"/>
        <v/>
      </c>
      <c r="K32" t="str">
        <f>IF(包装物料出入库明细!$D32="","",包装物料出入库明细!$D32)</f>
        <v>吐尔洪</v>
      </c>
      <c r="L32">
        <f t="shared" si="5"/>
        <v>0</v>
      </c>
      <c r="M32">
        <f t="shared" si="6"/>
        <v>9</v>
      </c>
      <c r="O32" t="str">
        <f t="shared" si="7"/>
        <v/>
      </c>
      <c r="Q32" t="str">
        <f>IF(周转筐出入库明细!$D32="","",周转筐出入库明细!$D32)</f>
        <v>公司红周转筐</v>
      </c>
      <c r="R32">
        <f t="shared" si="8"/>
        <v>0</v>
      </c>
      <c r="S32">
        <f t="shared" si="9"/>
        <v>5</v>
      </c>
      <c r="U32" t="str">
        <f t="shared" si="10"/>
        <v/>
      </c>
      <c r="W32" t="str">
        <f>IF(周转筐出入库明细!$C32="","",周转筐出入库明细!$C32)</f>
        <v>努尔敦</v>
      </c>
      <c r="X32">
        <f t="shared" si="11"/>
        <v>0</v>
      </c>
      <c r="Y32">
        <f t="shared" si="12"/>
        <v>10</v>
      </c>
      <c r="AA32" t="str">
        <f t="shared" si="13"/>
        <v/>
      </c>
      <c r="AC32" t="str">
        <f>IF(客户自备加工筐明细!$C32="","",客户自备加工筐明细!$C32)</f>
        <v/>
      </c>
      <c r="AD32">
        <f t="shared" si="14"/>
        <v>0</v>
      </c>
      <c r="AE32">
        <f t="shared" si="15"/>
        <v>1</v>
      </c>
      <c r="AG32" t="str">
        <f t="shared" si="16"/>
        <v/>
      </c>
      <c r="AI32" t="str">
        <f>IF(客户自备加工筐明细!$E32="","",客户自备加工筐明细!$E32)</f>
        <v/>
      </c>
      <c r="AJ32">
        <f t="shared" si="17"/>
        <v>0</v>
      </c>
      <c r="AK32">
        <f t="shared" si="18"/>
        <v>1</v>
      </c>
      <c r="AM32" t="str">
        <f>IFERROR(INDEX($AI$4:$AI$1503,MATCH(29,$AK$4:$AK$1503,0)),"")</f>
        <v/>
      </c>
      <c r="AO32" t="str">
        <f>IF(次果筐明细!$D32="","",次果筐明细!$D32)</f>
        <v/>
      </c>
      <c r="AP32">
        <f t="shared" si="19"/>
        <v>0</v>
      </c>
      <c r="AQ32">
        <f t="shared" si="20"/>
        <v>1</v>
      </c>
      <c r="AS32" t="str">
        <f t="shared" si="21"/>
        <v/>
      </c>
      <c r="AU32" t="str">
        <f>IF(次果筐明细!$C32="","",次果筐明细!$C32)</f>
        <v/>
      </c>
      <c r="AV32">
        <f t="shared" si="22"/>
        <v>0</v>
      </c>
      <c r="AW32">
        <f t="shared" si="23"/>
        <v>1</v>
      </c>
      <c r="AY32" t="str">
        <f t="shared" si="24"/>
        <v/>
      </c>
      <c r="BA32" t="str">
        <f>IF(对接源_01水果筐数!$B33="","",对接源_01水果筐数!$B33)</f>
        <v/>
      </c>
      <c r="BB32">
        <f t="shared" si="25"/>
        <v>0</v>
      </c>
      <c r="BC32">
        <f t="shared" si="26"/>
        <v>14</v>
      </c>
      <c r="BE32" t="str">
        <f t="shared" si="27"/>
        <v/>
      </c>
      <c r="BG32" t="str">
        <f>IF(对接源_01水果筐数!$C33="","",对接源_01水果筐数!$C33)</f>
        <v/>
      </c>
      <c r="BH32">
        <f t="shared" si="28"/>
        <v>0</v>
      </c>
      <c r="BI32">
        <f t="shared" si="29"/>
        <v>7</v>
      </c>
      <c r="BK32" t="str">
        <f t="shared" si="30"/>
        <v/>
      </c>
      <c r="BM32" t="str">
        <f t="shared" si="31"/>
        <v/>
      </c>
      <c r="BN32">
        <f t="shared" si="32"/>
        <v>0</v>
      </c>
      <c r="BO32">
        <f t="shared" si="33"/>
        <v>5</v>
      </c>
      <c r="BQ32" t="str">
        <f t="shared" si="34"/>
        <v/>
      </c>
      <c r="BS32" t="str">
        <f t="shared" si="35"/>
        <v/>
      </c>
      <c r="BT32">
        <f t="shared" si="36"/>
        <v>0</v>
      </c>
      <c r="BU32">
        <f t="shared" si="37"/>
        <v>9</v>
      </c>
      <c r="BW32" t="str">
        <f t="shared" si="38"/>
        <v/>
      </c>
      <c r="BY32" t="str">
        <f t="shared" si="39"/>
        <v/>
      </c>
      <c r="BZ32">
        <f t="shared" si="40"/>
        <v>0</v>
      </c>
      <c r="CA32">
        <f t="shared" si="41"/>
        <v>12</v>
      </c>
      <c r="CC32" t="str">
        <f t="shared" si="42"/>
        <v/>
      </c>
      <c r="CE32" t="str">
        <f>IF(基础资料!$P32="","",基础资料!$P32)</f>
        <v/>
      </c>
      <c r="CF32">
        <f>IF(CE32="",0,COUNTIF(包装物料出入库明细!$G$4:$G$2003,CE32))</f>
        <v>0</v>
      </c>
      <c r="CI32" t="str">
        <f>IF(基础资料!$D32="","",基础资料!$D32)</f>
        <v/>
      </c>
      <c r="CJ32">
        <f t="shared" si="43"/>
        <v>0</v>
      </c>
      <c r="CK32">
        <f t="shared" si="44"/>
        <v>19</v>
      </c>
      <c r="CL32" t="str">
        <f t="shared" si="45"/>
        <v/>
      </c>
      <c r="CP32">
        <f>IF(包装物料出入库明细!$D32="",0,1)</f>
        <v>1</v>
      </c>
      <c r="CQ32">
        <f t="shared" si="46"/>
        <v>29</v>
      </c>
      <c r="CS32" t="str">
        <f>IF(OR(周转筐出入库明细!$C32="",周转筐出入库明细!$F32&lt;&gt;"采购入库"),"",周转筐出入库明细!$C32)</f>
        <v/>
      </c>
      <c r="CT32">
        <f t="shared" si="47"/>
        <v>0</v>
      </c>
      <c r="CU32">
        <f t="shared" si="48"/>
        <v>1</v>
      </c>
      <c r="CW32" t="str">
        <f>IFERROR(INDEX($CS$4:$CS$2003,MATCH(29,$CU$4:$CU$2003,0)),"")</f>
        <v/>
      </c>
    </row>
    <row r="33" spans="1:101">
      <c r="A33" t="str">
        <f>IF(包装物料出入库明细!$E33="","",包装物料出入库明细!$E33)</f>
        <v>香梨网</v>
      </c>
      <c r="B33">
        <f t="shared" si="0"/>
        <v>0</v>
      </c>
      <c r="C33">
        <f t="shared" si="1"/>
        <v>7</v>
      </c>
      <c r="D33" t="str">
        <f>IF(包装物料出入库明细!$E33="","",包装物料出入库明细!$F33)</f>
        <v>*包</v>
      </c>
      <c r="E33" t="str">
        <f>IF(包装物料出入库明细!$E33="","",包装物料出入库明细!$G33)</f>
        <v>包</v>
      </c>
      <c r="G33" t="str">
        <f t="shared" si="2"/>
        <v/>
      </c>
      <c r="H33" t="str">
        <f t="shared" si="3"/>
        <v/>
      </c>
      <c r="I33" t="str">
        <f t="shared" si="4"/>
        <v/>
      </c>
      <c r="K33" t="str">
        <f>IF(包装物料出入库明细!$D33="","",包装物料出入库明细!$D33)</f>
        <v>热合曼</v>
      </c>
      <c r="L33">
        <f t="shared" si="5"/>
        <v>0</v>
      </c>
      <c r="M33">
        <f t="shared" si="6"/>
        <v>9</v>
      </c>
      <c r="O33" t="str">
        <f t="shared" si="7"/>
        <v/>
      </c>
      <c r="Q33" t="str">
        <f>IF(周转筐出入库明细!$D33="","",周转筐出入库明细!$D33)</f>
        <v>公司红周转筐</v>
      </c>
      <c r="R33">
        <f t="shared" si="8"/>
        <v>0</v>
      </c>
      <c r="S33">
        <f t="shared" si="9"/>
        <v>5</v>
      </c>
      <c r="U33" t="str">
        <f t="shared" si="10"/>
        <v/>
      </c>
      <c r="W33" t="str">
        <f>IF(周转筐出入库明细!$C33="","",周转筐出入库明细!$C33)</f>
        <v>全修塑业</v>
      </c>
      <c r="X33">
        <f t="shared" si="11"/>
        <v>0</v>
      </c>
      <c r="Y33">
        <f t="shared" si="12"/>
        <v>10</v>
      </c>
      <c r="AA33" t="str">
        <f t="shared" si="13"/>
        <v/>
      </c>
      <c r="AC33" t="str">
        <f>IF(客户自备加工筐明细!$C33="","",客户自备加工筐明细!$C33)</f>
        <v/>
      </c>
      <c r="AD33">
        <f t="shared" si="14"/>
        <v>0</v>
      </c>
      <c r="AE33">
        <f t="shared" si="15"/>
        <v>1</v>
      </c>
      <c r="AG33" t="str">
        <f t="shared" si="16"/>
        <v/>
      </c>
      <c r="AI33" t="str">
        <f>IF(客户自备加工筐明细!$E33="","",客户自备加工筐明细!$E33)</f>
        <v/>
      </c>
      <c r="AJ33">
        <f t="shared" si="17"/>
        <v>0</v>
      </c>
      <c r="AK33">
        <f t="shared" si="18"/>
        <v>1</v>
      </c>
      <c r="AM33" t="str">
        <f>IFERROR(INDEX($AI$4:$AI$1503,MATCH(30,$AK$4:$AK$1503,0)),"")</f>
        <v/>
      </c>
      <c r="AO33" t="str">
        <f>IF(次果筐明细!$D33="","",次果筐明细!$D33)</f>
        <v/>
      </c>
      <c r="AP33">
        <f t="shared" si="19"/>
        <v>0</v>
      </c>
      <c r="AQ33">
        <f t="shared" si="20"/>
        <v>1</v>
      </c>
      <c r="AS33" t="str">
        <f t="shared" si="21"/>
        <v/>
      </c>
      <c r="AU33" t="str">
        <f>IF(次果筐明细!$C33="","",次果筐明细!$C33)</f>
        <v/>
      </c>
      <c r="AV33">
        <f t="shared" si="22"/>
        <v>0</v>
      </c>
      <c r="AW33">
        <f t="shared" si="23"/>
        <v>1</v>
      </c>
      <c r="AY33" t="str">
        <f t="shared" si="24"/>
        <v/>
      </c>
      <c r="BA33" t="str">
        <f>IF(对接源_01水果筐数!$B34="","",对接源_01水果筐数!$B34)</f>
        <v/>
      </c>
      <c r="BB33">
        <f t="shared" si="25"/>
        <v>0</v>
      </c>
      <c r="BC33">
        <f t="shared" si="26"/>
        <v>14</v>
      </c>
      <c r="BE33" t="str">
        <f t="shared" si="27"/>
        <v/>
      </c>
      <c r="BG33" t="str">
        <f>IF(对接源_01水果筐数!$C34="","",对接源_01水果筐数!$C34)</f>
        <v/>
      </c>
      <c r="BH33">
        <f t="shared" si="28"/>
        <v>0</v>
      </c>
      <c r="BI33">
        <f t="shared" si="29"/>
        <v>7</v>
      </c>
      <c r="BK33" t="str">
        <f t="shared" si="30"/>
        <v/>
      </c>
      <c r="BM33" t="str">
        <f t="shared" si="31"/>
        <v/>
      </c>
      <c r="BN33">
        <f t="shared" si="32"/>
        <v>0</v>
      </c>
      <c r="BO33">
        <f t="shared" si="33"/>
        <v>5</v>
      </c>
      <c r="BQ33" t="str">
        <f t="shared" si="34"/>
        <v/>
      </c>
      <c r="BS33" t="str">
        <f t="shared" si="35"/>
        <v/>
      </c>
      <c r="BT33">
        <f t="shared" si="36"/>
        <v>0</v>
      </c>
      <c r="BU33">
        <f t="shared" si="37"/>
        <v>9</v>
      </c>
      <c r="BW33" t="str">
        <f t="shared" si="38"/>
        <v/>
      </c>
      <c r="BY33" t="str">
        <f t="shared" si="39"/>
        <v/>
      </c>
      <c r="BZ33">
        <f t="shared" si="40"/>
        <v>0</v>
      </c>
      <c r="CA33">
        <f t="shared" si="41"/>
        <v>12</v>
      </c>
      <c r="CC33" t="str">
        <f t="shared" si="42"/>
        <v/>
      </c>
      <c r="CE33" t="str">
        <f>IF(基础资料!$P33="","",基础资料!$P33)</f>
        <v/>
      </c>
      <c r="CF33">
        <f>IF(CE33="",0,COUNTIF(包装物料出入库明细!$G$4:$G$2003,CE33))</f>
        <v>0</v>
      </c>
      <c r="CI33" t="str">
        <f>IF(基础资料!$D33="","",基础资料!$D33)</f>
        <v/>
      </c>
      <c r="CJ33">
        <f t="shared" si="43"/>
        <v>0</v>
      </c>
      <c r="CK33">
        <f t="shared" si="44"/>
        <v>19</v>
      </c>
      <c r="CL33" t="str">
        <f t="shared" si="45"/>
        <v/>
      </c>
      <c r="CP33">
        <f>IF(包装物料出入库明细!$D33="",0,1)</f>
        <v>1</v>
      </c>
      <c r="CQ33">
        <f t="shared" si="46"/>
        <v>30</v>
      </c>
      <c r="CS33" t="str">
        <f>IF(OR(周转筐出入库明细!$C33="",周转筐出入库明细!$F33&lt;&gt;"采购入库"),"",周转筐出入库明细!$C33)</f>
        <v>全修塑业</v>
      </c>
      <c r="CT33">
        <f t="shared" si="47"/>
        <v>0</v>
      </c>
      <c r="CU33">
        <f t="shared" si="48"/>
        <v>1</v>
      </c>
      <c r="CW33" t="str">
        <f>IFERROR(INDEX($CS$4:$CS$2003,MATCH(30,$CU$4:$CU$2003,0)),"")</f>
        <v/>
      </c>
    </row>
    <row r="34" spans="1:101">
      <c r="A34" t="str">
        <f>IF(包装物料出入库明细!$E34="","",包装物料出入库明细!$E34)</f>
        <v>香梨网</v>
      </c>
      <c r="B34">
        <f t="shared" si="0"/>
        <v>0</v>
      </c>
      <c r="C34">
        <f t="shared" si="1"/>
        <v>7</v>
      </c>
      <c r="D34" t="str">
        <f>IF(包装物料出入库明细!$E34="","",包装物料出入库明细!$F34)</f>
        <v>*包</v>
      </c>
      <c r="E34" t="str">
        <f>IF(包装物料出入库明细!$E34="","",包装物料出入库明细!$G34)</f>
        <v>包</v>
      </c>
      <c r="G34" t="str">
        <f t="shared" si="2"/>
        <v/>
      </c>
      <c r="H34" t="str">
        <f t="shared" si="3"/>
        <v/>
      </c>
      <c r="I34" t="str">
        <f t="shared" si="4"/>
        <v/>
      </c>
      <c r="K34" t="str">
        <f>IF(包装物料出入库明细!$D34="","",包装物料出入库明细!$D34)</f>
        <v>吐尔洪</v>
      </c>
      <c r="L34">
        <f t="shared" si="5"/>
        <v>0</v>
      </c>
      <c r="M34">
        <f t="shared" si="6"/>
        <v>9</v>
      </c>
      <c r="O34" t="str">
        <f t="shared" si="7"/>
        <v/>
      </c>
      <c r="Q34" t="str">
        <f>IF(周转筐出入库明细!$D34="","",周转筐出入库明细!$D34)</f>
        <v>公司红周转筐</v>
      </c>
      <c r="R34">
        <f t="shared" si="8"/>
        <v>0</v>
      </c>
      <c r="S34">
        <f t="shared" si="9"/>
        <v>5</v>
      </c>
      <c r="U34" t="str">
        <f t="shared" si="10"/>
        <v/>
      </c>
      <c r="W34" t="str">
        <f>IF(周转筐出入库明细!$C34="","",周转筐出入库明细!$C34)</f>
        <v>荆建君</v>
      </c>
      <c r="X34">
        <f t="shared" si="11"/>
        <v>0</v>
      </c>
      <c r="Y34">
        <f t="shared" si="12"/>
        <v>10</v>
      </c>
      <c r="AA34" t="str">
        <f t="shared" si="13"/>
        <v/>
      </c>
      <c r="AC34" t="str">
        <f>IF(客户自备加工筐明细!$C34="","",客户自备加工筐明细!$C34)</f>
        <v/>
      </c>
      <c r="AD34">
        <f t="shared" si="14"/>
        <v>0</v>
      </c>
      <c r="AE34">
        <f t="shared" si="15"/>
        <v>1</v>
      </c>
      <c r="AG34" t="str">
        <f t="shared" si="16"/>
        <v/>
      </c>
      <c r="AI34" t="str">
        <f>IF(客户自备加工筐明细!$E34="","",客户自备加工筐明细!$E34)</f>
        <v/>
      </c>
      <c r="AJ34">
        <f t="shared" si="17"/>
        <v>0</v>
      </c>
      <c r="AK34">
        <f t="shared" si="18"/>
        <v>1</v>
      </c>
      <c r="AM34" t="str">
        <f>IFERROR(INDEX($AI$4:$AI$1503,MATCH(31,$AK$4:$AK$1503,0)),"")</f>
        <v/>
      </c>
      <c r="AO34" t="str">
        <f>IF(次果筐明细!$D34="","",次果筐明细!$D34)</f>
        <v/>
      </c>
      <c r="AP34">
        <f t="shared" si="19"/>
        <v>0</v>
      </c>
      <c r="AQ34">
        <f t="shared" si="20"/>
        <v>1</v>
      </c>
      <c r="AS34" t="str">
        <f t="shared" si="21"/>
        <v/>
      </c>
      <c r="AU34" t="str">
        <f>IF(次果筐明细!$C34="","",次果筐明细!$C34)</f>
        <v/>
      </c>
      <c r="AV34">
        <f t="shared" si="22"/>
        <v>0</v>
      </c>
      <c r="AW34">
        <f t="shared" si="23"/>
        <v>1</v>
      </c>
      <c r="AY34" t="str">
        <f t="shared" si="24"/>
        <v/>
      </c>
      <c r="BA34" t="str">
        <f>IF(对接源_01水果筐数!$B35="","",对接源_01水果筐数!$B35)</f>
        <v/>
      </c>
      <c r="BB34">
        <f t="shared" si="25"/>
        <v>0</v>
      </c>
      <c r="BC34">
        <f t="shared" si="26"/>
        <v>14</v>
      </c>
      <c r="BE34" t="str">
        <f t="shared" si="27"/>
        <v/>
      </c>
      <c r="BG34" t="str">
        <f>IF(对接源_01水果筐数!$C35="","",对接源_01水果筐数!$C35)</f>
        <v/>
      </c>
      <c r="BH34">
        <f t="shared" si="28"/>
        <v>0</v>
      </c>
      <c r="BI34">
        <f t="shared" si="29"/>
        <v>7</v>
      </c>
      <c r="BK34" t="str">
        <f t="shared" si="30"/>
        <v/>
      </c>
      <c r="BM34" t="str">
        <f t="shared" si="31"/>
        <v/>
      </c>
      <c r="BN34">
        <f t="shared" si="32"/>
        <v>0</v>
      </c>
      <c r="BO34">
        <f t="shared" si="33"/>
        <v>5</v>
      </c>
      <c r="BQ34" t="str">
        <f t="shared" si="34"/>
        <v/>
      </c>
      <c r="BS34" t="str">
        <f t="shared" si="35"/>
        <v/>
      </c>
      <c r="BT34">
        <f t="shared" si="36"/>
        <v>0</v>
      </c>
      <c r="BU34">
        <f t="shared" si="37"/>
        <v>9</v>
      </c>
      <c r="BW34" t="str">
        <f t="shared" si="38"/>
        <v/>
      </c>
      <c r="BY34" t="str">
        <f t="shared" si="39"/>
        <v/>
      </c>
      <c r="BZ34">
        <f t="shared" si="40"/>
        <v>0</v>
      </c>
      <c r="CA34">
        <f t="shared" si="41"/>
        <v>12</v>
      </c>
      <c r="CC34" t="str">
        <f t="shared" si="42"/>
        <v/>
      </c>
      <c r="CE34" t="str">
        <f>IF(基础资料!$P34="","",基础资料!$P34)</f>
        <v/>
      </c>
      <c r="CF34">
        <f>IF(CE34="",0,COUNTIF(包装物料出入库明细!$G$4:$G$2003,CE34))</f>
        <v>0</v>
      </c>
      <c r="CI34" t="str">
        <f>IF(基础资料!$D34="","",基础资料!$D34)</f>
        <v/>
      </c>
      <c r="CJ34">
        <f t="shared" si="43"/>
        <v>0</v>
      </c>
      <c r="CK34">
        <f t="shared" si="44"/>
        <v>19</v>
      </c>
      <c r="CL34" t="str">
        <f t="shared" si="45"/>
        <v/>
      </c>
      <c r="CP34">
        <f>IF(包装物料出入库明细!$D34="",0,1)</f>
        <v>1</v>
      </c>
      <c r="CQ34">
        <f t="shared" si="46"/>
        <v>31</v>
      </c>
      <c r="CS34" t="str">
        <f>IF(OR(周转筐出入库明细!$C34="",周转筐出入库明细!$F34&lt;&gt;"采购入库"),"",周转筐出入库明细!$C34)</f>
        <v/>
      </c>
      <c r="CT34">
        <f t="shared" si="47"/>
        <v>0</v>
      </c>
      <c r="CU34">
        <f t="shared" si="48"/>
        <v>1</v>
      </c>
      <c r="CW34" t="str">
        <f>IFERROR(INDEX($CS$4:$CS$2003,MATCH(31,$CU$4:$CU$2003,0)),"")</f>
        <v/>
      </c>
    </row>
    <row r="35" spans="1:101">
      <c r="A35" t="str">
        <f>IF(包装物料出入库明细!$E35="","",包装物料出入库明细!$E35)</f>
        <v>香梨网</v>
      </c>
      <c r="B35">
        <f t="shared" si="0"/>
        <v>0</v>
      </c>
      <c r="C35">
        <f t="shared" si="1"/>
        <v>7</v>
      </c>
      <c r="D35" t="str">
        <f>IF(包装物料出入库明细!$E35="","",包装物料出入库明细!$F35)</f>
        <v>*包</v>
      </c>
      <c r="E35" t="str">
        <f>IF(包装物料出入库明细!$E35="","",包装物料出入库明细!$G35)</f>
        <v>包</v>
      </c>
      <c r="G35" t="str">
        <f t="shared" si="2"/>
        <v/>
      </c>
      <c r="H35" t="str">
        <f t="shared" si="3"/>
        <v/>
      </c>
      <c r="I35" t="str">
        <f t="shared" si="4"/>
        <v/>
      </c>
      <c r="K35" t="str">
        <f>IF(包装物料出入库明细!$D35="","",包装物料出入库明细!$D35)</f>
        <v>新顺发泡网</v>
      </c>
      <c r="L35">
        <f t="shared" si="5"/>
        <v>0</v>
      </c>
      <c r="M35">
        <f t="shared" si="6"/>
        <v>9</v>
      </c>
      <c r="O35" t="str">
        <f t="shared" si="7"/>
        <v/>
      </c>
      <c r="Q35" t="str">
        <f>IF(周转筐出入库明细!$D35="","",周转筐出入库明细!$D35)</f>
        <v>公司一次性筐</v>
      </c>
      <c r="R35">
        <f t="shared" si="8"/>
        <v>0</v>
      </c>
      <c r="S35">
        <f t="shared" si="9"/>
        <v>5</v>
      </c>
      <c r="U35" t="str">
        <f t="shared" si="10"/>
        <v/>
      </c>
      <c r="W35" t="str">
        <f>IF(周转筐出入库明细!$C35="","",周转筐出入库明细!$C35)</f>
        <v>王浩</v>
      </c>
      <c r="X35">
        <f t="shared" si="11"/>
        <v>0</v>
      </c>
      <c r="Y35">
        <f t="shared" si="12"/>
        <v>10</v>
      </c>
      <c r="AA35" t="str">
        <f t="shared" si="13"/>
        <v/>
      </c>
      <c r="AC35" t="str">
        <f>IF(客户自备加工筐明细!$C35="","",客户自备加工筐明细!$C35)</f>
        <v/>
      </c>
      <c r="AD35">
        <f t="shared" si="14"/>
        <v>0</v>
      </c>
      <c r="AE35">
        <f t="shared" si="15"/>
        <v>1</v>
      </c>
      <c r="AG35" t="str">
        <f t="shared" si="16"/>
        <v/>
      </c>
      <c r="AI35" t="str">
        <f>IF(客户自备加工筐明细!$E35="","",客户自备加工筐明细!$E35)</f>
        <v/>
      </c>
      <c r="AJ35">
        <f t="shared" si="17"/>
        <v>0</v>
      </c>
      <c r="AK35">
        <f t="shared" si="18"/>
        <v>1</v>
      </c>
      <c r="AM35" t="str">
        <f>IFERROR(INDEX($AI$4:$AI$1503,MATCH(32,$AK$4:$AK$1503,0)),"")</f>
        <v/>
      </c>
      <c r="AO35" t="str">
        <f>IF(次果筐明细!$D35="","",次果筐明细!$D35)</f>
        <v/>
      </c>
      <c r="AP35">
        <f t="shared" si="19"/>
        <v>0</v>
      </c>
      <c r="AQ35">
        <f t="shared" si="20"/>
        <v>1</v>
      </c>
      <c r="AS35" t="str">
        <f t="shared" si="21"/>
        <v/>
      </c>
      <c r="AU35" t="str">
        <f>IF(次果筐明细!$C35="","",次果筐明细!$C35)</f>
        <v/>
      </c>
      <c r="AV35">
        <f t="shared" si="22"/>
        <v>0</v>
      </c>
      <c r="AW35">
        <f t="shared" si="23"/>
        <v>1</v>
      </c>
      <c r="AY35" t="str">
        <f t="shared" si="24"/>
        <v/>
      </c>
      <c r="BA35" t="str">
        <f>IF(对接源_01水果筐数!$B36="","",对接源_01水果筐数!$B36)</f>
        <v/>
      </c>
      <c r="BB35">
        <f t="shared" si="25"/>
        <v>0</v>
      </c>
      <c r="BC35">
        <f t="shared" si="26"/>
        <v>14</v>
      </c>
      <c r="BE35" t="str">
        <f t="shared" si="27"/>
        <v/>
      </c>
      <c r="BG35" t="str">
        <f>IF(对接源_01水果筐数!$C36="","",对接源_01水果筐数!$C36)</f>
        <v/>
      </c>
      <c r="BH35">
        <f t="shared" si="28"/>
        <v>0</v>
      </c>
      <c r="BI35">
        <f t="shared" si="29"/>
        <v>7</v>
      </c>
      <c r="BK35" t="str">
        <f t="shared" si="30"/>
        <v/>
      </c>
      <c r="BM35" t="str">
        <f t="shared" si="31"/>
        <v/>
      </c>
      <c r="BN35">
        <f t="shared" si="32"/>
        <v>0</v>
      </c>
      <c r="BO35">
        <f t="shared" si="33"/>
        <v>5</v>
      </c>
      <c r="BQ35" t="str">
        <f t="shared" si="34"/>
        <v/>
      </c>
      <c r="BS35" t="str">
        <f t="shared" si="35"/>
        <v/>
      </c>
      <c r="BT35">
        <f t="shared" si="36"/>
        <v>0</v>
      </c>
      <c r="BU35">
        <f t="shared" si="37"/>
        <v>9</v>
      </c>
      <c r="BW35" t="str">
        <f t="shared" si="38"/>
        <v/>
      </c>
      <c r="BY35" t="str">
        <f t="shared" si="39"/>
        <v/>
      </c>
      <c r="BZ35">
        <f t="shared" si="40"/>
        <v>0</v>
      </c>
      <c r="CA35">
        <f t="shared" si="41"/>
        <v>12</v>
      </c>
      <c r="CC35" t="str">
        <f t="shared" si="42"/>
        <v/>
      </c>
      <c r="CE35" t="str">
        <f>IF(基础资料!$P35="","",基础资料!$P35)</f>
        <v/>
      </c>
      <c r="CF35">
        <f>IF(CE35="",0,COUNTIF(包装物料出入库明细!$G$4:$G$2003,CE35))</f>
        <v>0</v>
      </c>
      <c r="CI35" t="str">
        <f>IF(基础资料!$D35="","",基础资料!$D35)</f>
        <v/>
      </c>
      <c r="CJ35">
        <f t="shared" si="43"/>
        <v>0</v>
      </c>
      <c r="CK35">
        <f t="shared" si="44"/>
        <v>19</v>
      </c>
      <c r="CL35" t="str">
        <f t="shared" si="45"/>
        <v/>
      </c>
      <c r="CP35">
        <f>IF(包装物料出入库明细!$D35="",0,1)</f>
        <v>1</v>
      </c>
      <c r="CQ35">
        <f t="shared" si="46"/>
        <v>32</v>
      </c>
      <c r="CS35" t="str">
        <f>IF(OR(周转筐出入库明细!$C35="",周转筐出入库明细!$F35&lt;&gt;"采购入库"),"",周转筐出入库明细!$C35)</f>
        <v/>
      </c>
      <c r="CT35">
        <f t="shared" si="47"/>
        <v>0</v>
      </c>
      <c r="CU35">
        <f t="shared" si="48"/>
        <v>1</v>
      </c>
      <c r="CW35" t="str">
        <f>IFERROR(INDEX($CS$4:$CS$2003,MATCH(32,$CU$4:$CU$2003,0)),"")</f>
        <v/>
      </c>
    </row>
    <row r="36" spans="1:101">
      <c r="A36" t="str">
        <f>IF(包装物料出入库明细!$E36="","",包装物料出入库明细!$E36)</f>
        <v>香梨网</v>
      </c>
      <c r="B36">
        <f t="shared" si="0"/>
        <v>0</v>
      </c>
      <c r="C36">
        <f t="shared" si="1"/>
        <v>7</v>
      </c>
      <c r="D36" t="str">
        <f>IF(包装物料出入库明细!$E36="","",包装物料出入库明细!$F36)</f>
        <v>*包</v>
      </c>
      <c r="E36" t="str">
        <f>IF(包装物料出入库明细!$E36="","",包装物料出入库明细!$G36)</f>
        <v>包</v>
      </c>
      <c r="G36" t="str">
        <f t="shared" si="2"/>
        <v/>
      </c>
      <c r="H36" t="str">
        <f t="shared" si="3"/>
        <v/>
      </c>
      <c r="I36" t="str">
        <f t="shared" si="4"/>
        <v/>
      </c>
      <c r="K36" t="str">
        <f>IF(包装物料出入库明细!$D36="","",包装物料出入库明细!$D36)</f>
        <v>麦麦提</v>
      </c>
      <c r="L36">
        <f t="shared" si="5"/>
        <v>0</v>
      </c>
      <c r="M36">
        <f t="shared" si="6"/>
        <v>9</v>
      </c>
      <c r="O36" t="str">
        <f t="shared" si="7"/>
        <v/>
      </c>
      <c r="Q36" t="str">
        <f>IF(周转筐出入库明细!$D36="","",周转筐出入库明细!$D36)</f>
        <v>公司新周转筐</v>
      </c>
      <c r="R36">
        <f t="shared" si="8"/>
        <v>0</v>
      </c>
      <c r="S36">
        <f t="shared" si="9"/>
        <v>5</v>
      </c>
      <c r="U36" t="str">
        <f t="shared" si="10"/>
        <v/>
      </c>
      <c r="W36" t="str">
        <f>IF(周转筐出入库明细!$C36="","",周转筐出入库明细!$C36)</f>
        <v>贾建国</v>
      </c>
      <c r="X36">
        <f t="shared" si="11"/>
        <v>1</v>
      </c>
      <c r="Y36">
        <f t="shared" si="12"/>
        <v>11</v>
      </c>
      <c r="AA36" t="str">
        <f t="shared" si="13"/>
        <v/>
      </c>
      <c r="AC36" t="str">
        <f>IF(客户自备加工筐明细!$C36="","",客户自备加工筐明细!$C36)</f>
        <v/>
      </c>
      <c r="AD36">
        <f t="shared" si="14"/>
        <v>0</v>
      </c>
      <c r="AE36">
        <f t="shared" si="15"/>
        <v>1</v>
      </c>
      <c r="AG36" t="str">
        <f t="shared" si="16"/>
        <v/>
      </c>
      <c r="AI36" t="str">
        <f>IF(客户自备加工筐明细!$E36="","",客户自备加工筐明细!$E36)</f>
        <v/>
      </c>
      <c r="AJ36">
        <f t="shared" si="17"/>
        <v>0</v>
      </c>
      <c r="AK36">
        <f t="shared" si="18"/>
        <v>1</v>
      </c>
      <c r="AM36" t="str">
        <f>IFERROR(INDEX($AI$4:$AI$1503,MATCH(33,$AK$4:$AK$1503,0)),"")</f>
        <v/>
      </c>
      <c r="AO36" t="str">
        <f>IF(次果筐明细!$D36="","",次果筐明细!$D36)</f>
        <v/>
      </c>
      <c r="AP36">
        <f t="shared" si="19"/>
        <v>0</v>
      </c>
      <c r="AQ36">
        <f t="shared" si="20"/>
        <v>1</v>
      </c>
      <c r="AS36" t="str">
        <f t="shared" si="21"/>
        <v/>
      </c>
      <c r="AU36" t="str">
        <f>IF(次果筐明细!$C36="","",次果筐明细!$C36)</f>
        <v/>
      </c>
      <c r="AV36">
        <f t="shared" si="22"/>
        <v>0</v>
      </c>
      <c r="AW36">
        <f t="shared" si="23"/>
        <v>1</v>
      </c>
      <c r="AY36" t="str">
        <f t="shared" si="24"/>
        <v/>
      </c>
      <c r="BA36" t="str">
        <f>IF(对接源_01水果筐数!$B37="","",对接源_01水果筐数!$B37)</f>
        <v/>
      </c>
      <c r="BB36">
        <f t="shared" si="25"/>
        <v>0</v>
      </c>
      <c r="BC36">
        <f t="shared" si="26"/>
        <v>14</v>
      </c>
      <c r="BE36" t="str">
        <f t="shared" si="27"/>
        <v/>
      </c>
      <c r="BG36" t="str">
        <f>IF(对接源_01水果筐数!$C37="","",对接源_01水果筐数!$C37)</f>
        <v/>
      </c>
      <c r="BH36">
        <f t="shared" si="28"/>
        <v>0</v>
      </c>
      <c r="BI36">
        <f t="shared" si="29"/>
        <v>7</v>
      </c>
      <c r="BK36" t="str">
        <f t="shared" si="30"/>
        <v/>
      </c>
      <c r="BM36" t="str">
        <f t="shared" si="31"/>
        <v/>
      </c>
      <c r="BN36">
        <f t="shared" si="32"/>
        <v>0</v>
      </c>
      <c r="BO36">
        <f t="shared" si="33"/>
        <v>5</v>
      </c>
      <c r="BQ36" t="str">
        <f t="shared" si="34"/>
        <v/>
      </c>
      <c r="BS36" t="str">
        <f t="shared" si="35"/>
        <v/>
      </c>
      <c r="BT36">
        <f t="shared" si="36"/>
        <v>0</v>
      </c>
      <c r="BU36">
        <f t="shared" si="37"/>
        <v>9</v>
      </c>
      <c r="BW36" t="str">
        <f t="shared" si="38"/>
        <v/>
      </c>
      <c r="BY36" t="str">
        <f t="shared" si="39"/>
        <v/>
      </c>
      <c r="BZ36">
        <f t="shared" si="40"/>
        <v>0</v>
      </c>
      <c r="CA36">
        <f t="shared" si="41"/>
        <v>12</v>
      </c>
      <c r="CC36" t="str">
        <f t="shared" si="42"/>
        <v/>
      </c>
      <c r="CE36" t="str">
        <f>IF(基础资料!$P36="","",基础资料!$P36)</f>
        <v/>
      </c>
      <c r="CF36">
        <f>IF(CE36="",0,COUNTIF(包装物料出入库明细!$G$4:$G$2003,CE36))</f>
        <v>0</v>
      </c>
      <c r="CI36" t="str">
        <f>IF(基础资料!$D36="","",基础资料!$D36)</f>
        <v/>
      </c>
      <c r="CJ36">
        <f t="shared" si="43"/>
        <v>0</v>
      </c>
      <c r="CK36">
        <f t="shared" si="44"/>
        <v>19</v>
      </c>
      <c r="CL36" t="str">
        <f t="shared" si="45"/>
        <v/>
      </c>
      <c r="CP36">
        <f>IF(包装物料出入库明细!$D36="",0,1)</f>
        <v>1</v>
      </c>
      <c r="CQ36">
        <f t="shared" si="46"/>
        <v>33</v>
      </c>
      <c r="CS36" t="str">
        <f>IF(OR(周转筐出入库明细!$C36="",周转筐出入库明细!$F36&lt;&gt;"采购入库"),"",周转筐出入库明细!$C36)</f>
        <v/>
      </c>
      <c r="CT36">
        <f t="shared" si="47"/>
        <v>0</v>
      </c>
      <c r="CU36">
        <f t="shared" si="48"/>
        <v>1</v>
      </c>
      <c r="CW36" t="str">
        <f>IFERROR(INDEX($CS$4:$CS$2003,MATCH(33,$CU$4:$CU$2003,0)),"")</f>
        <v/>
      </c>
    </row>
    <row r="37" spans="1:101">
      <c r="A37" t="str">
        <f>IF(包装物料出入库明细!$E37="","",包装物料出入库明细!$E37)</f>
        <v>香梨网</v>
      </c>
      <c r="B37">
        <f t="shared" si="0"/>
        <v>0</v>
      </c>
      <c r="C37">
        <f t="shared" si="1"/>
        <v>7</v>
      </c>
      <c r="D37" t="str">
        <f>IF(包装物料出入库明细!$E37="","",包装物料出入库明细!$F37)</f>
        <v>*包</v>
      </c>
      <c r="E37" t="str">
        <f>IF(包装物料出入库明细!$E37="","",包装物料出入库明细!$G37)</f>
        <v>包</v>
      </c>
      <c r="G37" t="str">
        <f t="shared" si="2"/>
        <v/>
      </c>
      <c r="H37" t="str">
        <f t="shared" si="3"/>
        <v/>
      </c>
      <c r="I37" t="str">
        <f t="shared" si="4"/>
        <v/>
      </c>
      <c r="K37" t="str">
        <f>IF(包装物料出入库明细!$D37="","",包装物料出入库明细!$D37)</f>
        <v>荆建君</v>
      </c>
      <c r="L37">
        <f t="shared" si="5"/>
        <v>0</v>
      </c>
      <c r="M37">
        <f t="shared" si="6"/>
        <v>9</v>
      </c>
      <c r="O37" t="str">
        <f t="shared" si="7"/>
        <v/>
      </c>
      <c r="Q37" t="str">
        <f>IF(周转筐出入库明细!$D37="","",周转筐出入库明细!$D37)</f>
        <v>公司红周转筐</v>
      </c>
      <c r="R37">
        <f t="shared" si="8"/>
        <v>0</v>
      </c>
      <c r="S37">
        <f t="shared" si="9"/>
        <v>5</v>
      </c>
      <c r="U37" t="str">
        <f t="shared" si="10"/>
        <v/>
      </c>
      <c r="W37" t="str">
        <f>IF(周转筐出入库明细!$C37="","",周转筐出入库明细!$C37)</f>
        <v>全修塑业</v>
      </c>
      <c r="X37">
        <f t="shared" si="11"/>
        <v>0</v>
      </c>
      <c r="Y37">
        <f t="shared" si="12"/>
        <v>11</v>
      </c>
      <c r="AA37" t="str">
        <f t="shared" si="13"/>
        <v/>
      </c>
      <c r="AC37" t="str">
        <f>IF(客户自备加工筐明细!$C37="","",客户自备加工筐明细!$C37)</f>
        <v/>
      </c>
      <c r="AD37">
        <f t="shared" si="14"/>
        <v>0</v>
      </c>
      <c r="AE37">
        <f t="shared" si="15"/>
        <v>1</v>
      </c>
      <c r="AG37" t="str">
        <f t="shared" si="16"/>
        <v/>
      </c>
      <c r="AI37" t="str">
        <f>IF(客户自备加工筐明细!$E37="","",客户自备加工筐明细!$E37)</f>
        <v/>
      </c>
      <c r="AJ37">
        <f t="shared" si="17"/>
        <v>0</v>
      </c>
      <c r="AK37">
        <f t="shared" si="18"/>
        <v>1</v>
      </c>
      <c r="AM37" t="str">
        <f>IFERROR(INDEX($AI$4:$AI$1503,MATCH(34,$AK$4:$AK$1503,0)),"")</f>
        <v/>
      </c>
      <c r="AO37" t="str">
        <f>IF(次果筐明细!$D37="","",次果筐明细!$D37)</f>
        <v/>
      </c>
      <c r="AP37">
        <f t="shared" si="19"/>
        <v>0</v>
      </c>
      <c r="AQ37">
        <f t="shared" si="20"/>
        <v>1</v>
      </c>
      <c r="AS37" t="str">
        <f t="shared" si="21"/>
        <v/>
      </c>
      <c r="AU37" t="str">
        <f>IF(次果筐明细!$C37="","",次果筐明细!$C37)</f>
        <v/>
      </c>
      <c r="AV37">
        <f t="shared" si="22"/>
        <v>0</v>
      </c>
      <c r="AW37">
        <f t="shared" si="23"/>
        <v>1</v>
      </c>
      <c r="AY37" t="str">
        <f t="shared" si="24"/>
        <v/>
      </c>
      <c r="BA37" t="str">
        <f>IF(对接源_01水果筐数!$B38="","",对接源_01水果筐数!$B38)</f>
        <v/>
      </c>
      <c r="BB37">
        <f t="shared" si="25"/>
        <v>0</v>
      </c>
      <c r="BC37">
        <f t="shared" si="26"/>
        <v>14</v>
      </c>
      <c r="BE37" t="str">
        <f t="shared" si="27"/>
        <v/>
      </c>
      <c r="BG37" t="str">
        <f>IF(对接源_01水果筐数!$C38="","",对接源_01水果筐数!$C38)</f>
        <v/>
      </c>
      <c r="BH37">
        <f t="shared" si="28"/>
        <v>0</v>
      </c>
      <c r="BI37">
        <f t="shared" si="29"/>
        <v>7</v>
      </c>
      <c r="BK37" t="str">
        <f t="shared" si="30"/>
        <v/>
      </c>
      <c r="BM37" t="str">
        <f t="shared" si="31"/>
        <v/>
      </c>
      <c r="BN37">
        <f t="shared" si="32"/>
        <v>0</v>
      </c>
      <c r="BO37">
        <f t="shared" si="33"/>
        <v>5</v>
      </c>
      <c r="BQ37" t="str">
        <f t="shared" si="34"/>
        <v/>
      </c>
      <c r="BS37" t="str">
        <f t="shared" si="35"/>
        <v/>
      </c>
      <c r="BT37">
        <f t="shared" si="36"/>
        <v>0</v>
      </c>
      <c r="BU37">
        <f t="shared" si="37"/>
        <v>9</v>
      </c>
      <c r="BW37" t="str">
        <f t="shared" si="38"/>
        <v/>
      </c>
      <c r="BY37" t="str">
        <f t="shared" si="39"/>
        <v/>
      </c>
      <c r="BZ37">
        <f t="shared" si="40"/>
        <v>0</v>
      </c>
      <c r="CA37">
        <f t="shared" si="41"/>
        <v>12</v>
      </c>
      <c r="CC37" t="str">
        <f t="shared" si="42"/>
        <v/>
      </c>
      <c r="CE37" t="str">
        <f>IF(基础资料!$P37="","",基础资料!$P37)</f>
        <v/>
      </c>
      <c r="CF37">
        <f>IF(CE37="",0,COUNTIF(包装物料出入库明细!$G$4:$G$2003,CE37))</f>
        <v>0</v>
      </c>
      <c r="CI37" t="str">
        <f>IF(基础资料!$D37="","",基础资料!$D37)</f>
        <v/>
      </c>
      <c r="CJ37">
        <f t="shared" si="43"/>
        <v>0</v>
      </c>
      <c r="CK37">
        <f t="shared" si="44"/>
        <v>19</v>
      </c>
      <c r="CL37" t="str">
        <f t="shared" si="45"/>
        <v/>
      </c>
      <c r="CP37">
        <f>IF(包装物料出入库明细!$D37="",0,1)</f>
        <v>1</v>
      </c>
      <c r="CQ37">
        <f t="shared" si="46"/>
        <v>34</v>
      </c>
      <c r="CS37" t="str">
        <f>IF(OR(周转筐出入库明细!$C37="",周转筐出入库明细!$F37&lt;&gt;"采购入库"),"",周转筐出入库明细!$C37)</f>
        <v>全修塑业</v>
      </c>
      <c r="CT37">
        <f t="shared" si="47"/>
        <v>0</v>
      </c>
      <c r="CU37">
        <f t="shared" si="48"/>
        <v>1</v>
      </c>
      <c r="CW37" t="str">
        <f>IFERROR(INDEX($CS$4:$CS$2003,MATCH(34,$CU$4:$CU$2003,0)),"")</f>
        <v/>
      </c>
    </row>
    <row r="38" spans="1:101">
      <c r="A38" t="str">
        <f>IF(包装物料出入库明细!$E38="","",包装物料出入库明细!$E38)</f>
        <v>香梨网</v>
      </c>
      <c r="B38">
        <f t="shared" si="0"/>
        <v>0</v>
      </c>
      <c r="C38">
        <f t="shared" si="1"/>
        <v>7</v>
      </c>
      <c r="D38" t="str">
        <f>IF(包装物料出入库明细!$E38="","",包装物料出入库明细!$F38)</f>
        <v>*包</v>
      </c>
      <c r="E38" t="str">
        <f>IF(包装物料出入库明细!$E38="","",包装物料出入库明细!$G38)</f>
        <v>包</v>
      </c>
      <c r="G38" t="str">
        <f t="shared" si="2"/>
        <v/>
      </c>
      <c r="H38" t="str">
        <f t="shared" si="3"/>
        <v/>
      </c>
      <c r="I38" t="str">
        <f t="shared" si="4"/>
        <v/>
      </c>
      <c r="K38" t="str">
        <f>IF(包装物料出入库明细!$D38="","",包装物料出入库明细!$D38)</f>
        <v>吐尔洪</v>
      </c>
      <c r="L38">
        <f t="shared" si="5"/>
        <v>0</v>
      </c>
      <c r="M38">
        <f t="shared" si="6"/>
        <v>9</v>
      </c>
      <c r="O38" t="str">
        <f t="shared" si="7"/>
        <v/>
      </c>
      <c r="Q38" t="str">
        <f>IF(周转筐出入库明细!$D38="","",周转筐出入库明细!$D38)</f>
        <v>公司红周转筐</v>
      </c>
      <c r="R38">
        <f t="shared" si="8"/>
        <v>0</v>
      </c>
      <c r="S38">
        <f t="shared" si="9"/>
        <v>5</v>
      </c>
      <c r="U38" t="str">
        <f t="shared" si="10"/>
        <v/>
      </c>
      <c r="W38" t="str">
        <f>IF(周转筐出入库明细!$C38="","",周转筐出入库明细!$C38)</f>
        <v>麦麦提</v>
      </c>
      <c r="X38">
        <f t="shared" si="11"/>
        <v>0</v>
      </c>
      <c r="Y38">
        <f t="shared" si="12"/>
        <v>11</v>
      </c>
      <c r="AA38" t="str">
        <f t="shared" si="13"/>
        <v/>
      </c>
      <c r="AC38" t="str">
        <f>IF(客户自备加工筐明细!$C38="","",客户自备加工筐明细!$C38)</f>
        <v/>
      </c>
      <c r="AD38">
        <f t="shared" si="14"/>
        <v>0</v>
      </c>
      <c r="AE38">
        <f t="shared" si="15"/>
        <v>1</v>
      </c>
      <c r="AG38" t="str">
        <f t="shared" si="16"/>
        <v/>
      </c>
      <c r="AI38" t="str">
        <f>IF(客户自备加工筐明细!$E38="","",客户自备加工筐明细!$E38)</f>
        <v/>
      </c>
      <c r="AJ38">
        <f t="shared" si="17"/>
        <v>0</v>
      </c>
      <c r="AK38">
        <f t="shared" si="18"/>
        <v>1</v>
      </c>
      <c r="AM38" t="str">
        <f>IFERROR(INDEX($AI$4:$AI$1503,MATCH(35,$AK$4:$AK$1503,0)),"")</f>
        <v/>
      </c>
      <c r="AO38" t="str">
        <f>IF(次果筐明细!$D38="","",次果筐明细!$D38)</f>
        <v/>
      </c>
      <c r="AP38">
        <f t="shared" si="19"/>
        <v>0</v>
      </c>
      <c r="AQ38">
        <f t="shared" si="20"/>
        <v>1</v>
      </c>
      <c r="AS38" t="str">
        <f t="shared" si="21"/>
        <v/>
      </c>
      <c r="AU38" t="str">
        <f>IF(次果筐明细!$C38="","",次果筐明细!$C38)</f>
        <v/>
      </c>
      <c r="AV38">
        <f t="shared" si="22"/>
        <v>0</v>
      </c>
      <c r="AW38">
        <f t="shared" si="23"/>
        <v>1</v>
      </c>
      <c r="AY38" t="str">
        <f t="shared" si="24"/>
        <v/>
      </c>
      <c r="BA38" t="str">
        <f>IF(对接源_01水果筐数!$B39="","",对接源_01水果筐数!$B39)</f>
        <v/>
      </c>
      <c r="BB38">
        <f t="shared" si="25"/>
        <v>0</v>
      </c>
      <c r="BC38">
        <f t="shared" si="26"/>
        <v>14</v>
      </c>
      <c r="BE38" t="str">
        <f t="shared" si="27"/>
        <v/>
      </c>
      <c r="BG38" t="str">
        <f>IF(对接源_01水果筐数!$C39="","",对接源_01水果筐数!$C39)</f>
        <v/>
      </c>
      <c r="BH38">
        <f t="shared" si="28"/>
        <v>0</v>
      </c>
      <c r="BI38">
        <f t="shared" si="29"/>
        <v>7</v>
      </c>
      <c r="BK38" t="str">
        <f t="shared" si="30"/>
        <v/>
      </c>
      <c r="BM38" t="str">
        <f t="shared" si="31"/>
        <v/>
      </c>
      <c r="BN38">
        <f t="shared" si="32"/>
        <v>0</v>
      </c>
      <c r="BO38">
        <f t="shared" si="33"/>
        <v>5</v>
      </c>
      <c r="BQ38" t="str">
        <f t="shared" si="34"/>
        <v/>
      </c>
      <c r="BS38" t="str">
        <f t="shared" si="35"/>
        <v/>
      </c>
      <c r="BT38">
        <f t="shared" si="36"/>
        <v>0</v>
      </c>
      <c r="BU38">
        <f t="shared" si="37"/>
        <v>9</v>
      </c>
      <c r="BW38" t="str">
        <f t="shared" si="38"/>
        <v/>
      </c>
      <c r="BY38" t="str">
        <f t="shared" si="39"/>
        <v/>
      </c>
      <c r="BZ38">
        <f t="shared" si="40"/>
        <v>0</v>
      </c>
      <c r="CA38">
        <f t="shared" si="41"/>
        <v>12</v>
      </c>
      <c r="CC38" t="str">
        <f t="shared" si="42"/>
        <v/>
      </c>
      <c r="CE38" t="str">
        <f>IF(基础资料!$P38="","",基础资料!$P38)</f>
        <v/>
      </c>
      <c r="CF38">
        <f>IF(CE38="",0,COUNTIF(包装物料出入库明细!$G$4:$G$2003,CE38))</f>
        <v>0</v>
      </c>
      <c r="CI38" t="str">
        <f>IF(基础资料!$D38="","",基础资料!$D38)</f>
        <v/>
      </c>
      <c r="CJ38">
        <f t="shared" si="43"/>
        <v>0</v>
      </c>
      <c r="CK38">
        <f t="shared" si="44"/>
        <v>19</v>
      </c>
      <c r="CL38" t="str">
        <f t="shared" si="45"/>
        <v/>
      </c>
      <c r="CP38">
        <f>IF(包装物料出入库明细!$D38="",0,1)</f>
        <v>1</v>
      </c>
      <c r="CQ38">
        <f t="shared" si="46"/>
        <v>35</v>
      </c>
      <c r="CS38" t="str">
        <f>IF(OR(周转筐出入库明细!$C38="",周转筐出入库明细!$F38&lt;&gt;"采购入库"),"",周转筐出入库明细!$C38)</f>
        <v/>
      </c>
      <c r="CT38">
        <f t="shared" si="47"/>
        <v>0</v>
      </c>
      <c r="CU38">
        <f t="shared" si="48"/>
        <v>1</v>
      </c>
      <c r="CW38" t="str">
        <f>IFERROR(INDEX($CS$4:$CS$2003,MATCH(35,$CU$4:$CU$2003,0)),"")</f>
        <v/>
      </c>
    </row>
    <row r="39" spans="1:101">
      <c r="A39" t="str">
        <f>IF(包装物料出入库明细!$E39="","",包装物料出入库明细!$E39)</f>
        <v>香梨网</v>
      </c>
      <c r="B39">
        <f t="shared" si="0"/>
        <v>0</v>
      </c>
      <c r="C39">
        <f t="shared" si="1"/>
        <v>7</v>
      </c>
      <c r="D39" t="str">
        <f>IF(包装物料出入库明细!$E39="","",包装物料出入库明细!$F39)</f>
        <v>*包</v>
      </c>
      <c r="E39" t="str">
        <f>IF(包装物料出入库明细!$E39="","",包装物料出入库明细!$G39)</f>
        <v>包</v>
      </c>
      <c r="G39" t="str">
        <f t="shared" si="2"/>
        <v/>
      </c>
      <c r="H39" t="str">
        <f t="shared" si="3"/>
        <v/>
      </c>
      <c r="I39" t="str">
        <f t="shared" si="4"/>
        <v/>
      </c>
      <c r="K39" t="str">
        <f>IF(包装物料出入库明细!$D39="","",包装物料出入库明细!$D39)</f>
        <v>努尔敦</v>
      </c>
      <c r="L39">
        <f t="shared" si="5"/>
        <v>0</v>
      </c>
      <c r="M39">
        <f t="shared" si="6"/>
        <v>9</v>
      </c>
      <c r="O39" t="str">
        <f t="shared" si="7"/>
        <v/>
      </c>
      <c r="Q39" t="str">
        <f>IF(周转筐出入库明细!$D39="","",周转筐出入库明细!$D39)</f>
        <v>公司红周转筐</v>
      </c>
      <c r="R39">
        <f t="shared" si="8"/>
        <v>0</v>
      </c>
      <c r="S39">
        <f t="shared" si="9"/>
        <v>5</v>
      </c>
      <c r="U39" t="str">
        <f t="shared" si="10"/>
        <v/>
      </c>
      <c r="W39" t="str">
        <f>IF(周转筐出入库明细!$C39="","",周转筐出入库明细!$C39)</f>
        <v>全修塑业</v>
      </c>
      <c r="X39">
        <f t="shared" si="11"/>
        <v>0</v>
      </c>
      <c r="Y39">
        <f t="shared" si="12"/>
        <v>11</v>
      </c>
      <c r="AA39" t="str">
        <f t="shared" si="13"/>
        <v/>
      </c>
      <c r="AC39" t="str">
        <f>IF(客户自备加工筐明细!$C39="","",客户自备加工筐明细!$C39)</f>
        <v/>
      </c>
      <c r="AD39">
        <f t="shared" si="14"/>
        <v>0</v>
      </c>
      <c r="AE39">
        <f t="shared" si="15"/>
        <v>1</v>
      </c>
      <c r="AG39" t="str">
        <f t="shared" si="16"/>
        <v/>
      </c>
      <c r="AI39" t="str">
        <f>IF(客户自备加工筐明细!$E39="","",客户自备加工筐明细!$E39)</f>
        <v/>
      </c>
      <c r="AJ39">
        <f t="shared" si="17"/>
        <v>0</v>
      </c>
      <c r="AK39">
        <f t="shared" si="18"/>
        <v>1</v>
      </c>
      <c r="AM39" t="str">
        <f>IFERROR(INDEX($AI$4:$AI$1503,MATCH(36,$AK$4:$AK$1503,0)),"")</f>
        <v/>
      </c>
      <c r="AO39" t="str">
        <f>IF(次果筐明细!$D39="","",次果筐明细!$D39)</f>
        <v/>
      </c>
      <c r="AP39">
        <f t="shared" si="19"/>
        <v>0</v>
      </c>
      <c r="AQ39">
        <f t="shared" si="20"/>
        <v>1</v>
      </c>
      <c r="AS39" t="str">
        <f t="shared" si="21"/>
        <v/>
      </c>
      <c r="AU39" t="str">
        <f>IF(次果筐明细!$C39="","",次果筐明细!$C39)</f>
        <v/>
      </c>
      <c r="AV39">
        <f t="shared" si="22"/>
        <v>0</v>
      </c>
      <c r="AW39">
        <f t="shared" si="23"/>
        <v>1</v>
      </c>
      <c r="AY39" t="str">
        <f t="shared" si="24"/>
        <v/>
      </c>
      <c r="BA39" t="str">
        <f>IF(对接源_01水果筐数!$B40="","",对接源_01水果筐数!$B40)</f>
        <v/>
      </c>
      <c r="BB39">
        <f t="shared" si="25"/>
        <v>0</v>
      </c>
      <c r="BC39">
        <f t="shared" si="26"/>
        <v>14</v>
      </c>
      <c r="BE39" t="str">
        <f t="shared" si="27"/>
        <v/>
      </c>
      <c r="BG39" t="str">
        <f>IF(对接源_01水果筐数!$C40="","",对接源_01水果筐数!$C40)</f>
        <v/>
      </c>
      <c r="BH39">
        <f t="shared" si="28"/>
        <v>0</v>
      </c>
      <c r="BI39">
        <f t="shared" si="29"/>
        <v>7</v>
      </c>
      <c r="BK39" t="str">
        <f t="shared" si="30"/>
        <v/>
      </c>
      <c r="BM39" t="str">
        <f t="shared" si="31"/>
        <v/>
      </c>
      <c r="BN39">
        <f t="shared" si="32"/>
        <v>0</v>
      </c>
      <c r="BO39">
        <f t="shared" si="33"/>
        <v>5</v>
      </c>
      <c r="BQ39" t="str">
        <f t="shared" si="34"/>
        <v/>
      </c>
      <c r="BS39" t="str">
        <f t="shared" si="35"/>
        <v/>
      </c>
      <c r="BT39">
        <f t="shared" si="36"/>
        <v>0</v>
      </c>
      <c r="BU39">
        <f t="shared" si="37"/>
        <v>9</v>
      </c>
      <c r="BW39" t="str">
        <f t="shared" si="38"/>
        <v/>
      </c>
      <c r="BY39" t="str">
        <f t="shared" si="39"/>
        <v/>
      </c>
      <c r="BZ39">
        <f t="shared" si="40"/>
        <v>0</v>
      </c>
      <c r="CA39">
        <f t="shared" si="41"/>
        <v>12</v>
      </c>
      <c r="CC39" t="str">
        <f t="shared" si="42"/>
        <v/>
      </c>
      <c r="CE39" t="str">
        <f>IF(基础资料!$P39="","",基础资料!$P39)</f>
        <v/>
      </c>
      <c r="CF39">
        <f>IF(CE39="",0,COUNTIF(包装物料出入库明细!$G$4:$G$2003,CE39))</f>
        <v>0</v>
      </c>
      <c r="CI39" t="str">
        <f>IF(基础资料!$D39="","",基础资料!$D39)</f>
        <v/>
      </c>
      <c r="CJ39">
        <f t="shared" si="43"/>
        <v>0</v>
      </c>
      <c r="CK39">
        <f t="shared" si="44"/>
        <v>19</v>
      </c>
      <c r="CL39" t="str">
        <f t="shared" si="45"/>
        <v/>
      </c>
      <c r="CP39">
        <f>IF(包装物料出入库明细!$D39="",0,1)</f>
        <v>1</v>
      </c>
      <c r="CQ39">
        <f t="shared" si="46"/>
        <v>36</v>
      </c>
      <c r="CS39" t="str">
        <f>IF(OR(周转筐出入库明细!$C39="",周转筐出入库明细!$F39&lt;&gt;"采购入库"),"",周转筐出入库明细!$C39)</f>
        <v>全修塑业</v>
      </c>
      <c r="CT39">
        <f t="shared" si="47"/>
        <v>0</v>
      </c>
      <c r="CU39">
        <f t="shared" si="48"/>
        <v>1</v>
      </c>
      <c r="CW39" t="str">
        <f>IFERROR(INDEX($CS$4:$CS$2003,MATCH(36,$CU$4:$CU$2003,0)),"")</f>
        <v/>
      </c>
    </row>
    <row r="40" spans="1:101">
      <c r="A40" t="str">
        <f>IF(包装物料出入库明细!$E40="","",包装物料出入库明细!$E40)</f>
        <v>香梨网</v>
      </c>
      <c r="B40">
        <f t="shared" si="0"/>
        <v>0</v>
      </c>
      <c r="C40">
        <f t="shared" si="1"/>
        <v>7</v>
      </c>
      <c r="D40" t="str">
        <f>IF(包装物料出入库明细!$E40="","",包装物料出入库明细!$F40)</f>
        <v>*包</v>
      </c>
      <c r="E40" t="str">
        <f>IF(包装物料出入库明细!$E40="","",包装物料出入库明细!$G40)</f>
        <v>包</v>
      </c>
      <c r="G40" t="str">
        <f t="shared" si="2"/>
        <v/>
      </c>
      <c r="H40" t="str">
        <f t="shared" si="3"/>
        <v/>
      </c>
      <c r="I40" t="str">
        <f t="shared" si="4"/>
        <v/>
      </c>
      <c r="K40" t="str">
        <f>IF(包装物料出入库明细!$D40="","",包装物料出入库明细!$D40)</f>
        <v>新顺发泡网</v>
      </c>
      <c r="L40">
        <f t="shared" si="5"/>
        <v>0</v>
      </c>
      <c r="M40">
        <f t="shared" si="6"/>
        <v>9</v>
      </c>
      <c r="O40" t="str">
        <f t="shared" si="7"/>
        <v/>
      </c>
      <c r="Q40" t="str">
        <f>IF(周转筐出入库明细!$D40="","",周转筐出入库明细!$D40)</f>
        <v>公司杂周转筐</v>
      </c>
      <c r="R40">
        <f t="shared" si="8"/>
        <v>0</v>
      </c>
      <c r="S40">
        <f t="shared" si="9"/>
        <v>5</v>
      </c>
      <c r="U40" t="str">
        <f t="shared" si="10"/>
        <v/>
      </c>
      <c r="W40" t="str">
        <f>IF(周转筐出入库明细!$C40="","",周转筐出入库明细!$C40)</f>
        <v>马锦祥</v>
      </c>
      <c r="X40">
        <f t="shared" si="11"/>
        <v>0</v>
      </c>
      <c r="Y40">
        <f t="shared" si="12"/>
        <v>11</v>
      </c>
      <c r="AA40" t="str">
        <f t="shared" si="13"/>
        <v/>
      </c>
      <c r="AC40" t="str">
        <f>IF(客户自备加工筐明细!$C40="","",客户自备加工筐明细!$C40)</f>
        <v/>
      </c>
      <c r="AD40">
        <f t="shared" si="14"/>
        <v>0</v>
      </c>
      <c r="AE40">
        <f t="shared" si="15"/>
        <v>1</v>
      </c>
      <c r="AG40" t="str">
        <f t="shared" si="16"/>
        <v/>
      </c>
      <c r="AI40" t="str">
        <f>IF(客户自备加工筐明细!$E40="","",客户自备加工筐明细!$E40)</f>
        <v/>
      </c>
      <c r="AJ40">
        <f t="shared" si="17"/>
        <v>0</v>
      </c>
      <c r="AK40">
        <f t="shared" si="18"/>
        <v>1</v>
      </c>
      <c r="AM40" t="str">
        <f>IFERROR(INDEX($AI$4:$AI$1503,MATCH(37,$AK$4:$AK$1503,0)),"")</f>
        <v/>
      </c>
      <c r="AO40" t="str">
        <f>IF(次果筐明细!$D40="","",次果筐明细!$D40)</f>
        <v/>
      </c>
      <c r="AP40">
        <f t="shared" si="19"/>
        <v>0</v>
      </c>
      <c r="AQ40">
        <f t="shared" si="20"/>
        <v>1</v>
      </c>
      <c r="AS40" t="str">
        <f t="shared" si="21"/>
        <v/>
      </c>
      <c r="AU40" t="str">
        <f>IF(次果筐明细!$C40="","",次果筐明细!$C40)</f>
        <v/>
      </c>
      <c r="AV40">
        <f t="shared" si="22"/>
        <v>0</v>
      </c>
      <c r="AW40">
        <f t="shared" si="23"/>
        <v>1</v>
      </c>
      <c r="AY40" t="str">
        <f t="shared" si="24"/>
        <v/>
      </c>
      <c r="BA40" t="str">
        <f>IF(对接源_01水果筐数!$B41="","",对接源_01水果筐数!$B41)</f>
        <v/>
      </c>
      <c r="BB40">
        <f t="shared" si="25"/>
        <v>0</v>
      </c>
      <c r="BC40">
        <f t="shared" si="26"/>
        <v>14</v>
      </c>
      <c r="BE40" t="str">
        <f t="shared" si="27"/>
        <v/>
      </c>
      <c r="BG40" t="str">
        <f>IF(对接源_01水果筐数!$C41="","",对接源_01水果筐数!$C41)</f>
        <v/>
      </c>
      <c r="BH40">
        <f t="shared" si="28"/>
        <v>0</v>
      </c>
      <c r="BI40">
        <f t="shared" si="29"/>
        <v>7</v>
      </c>
      <c r="BK40" t="str">
        <f t="shared" si="30"/>
        <v/>
      </c>
      <c r="BM40" t="str">
        <f t="shared" si="31"/>
        <v/>
      </c>
      <c r="BN40">
        <f t="shared" si="32"/>
        <v>0</v>
      </c>
      <c r="BO40">
        <f t="shared" si="33"/>
        <v>5</v>
      </c>
      <c r="BQ40" t="str">
        <f t="shared" si="34"/>
        <v/>
      </c>
      <c r="BS40" t="str">
        <f t="shared" si="35"/>
        <v/>
      </c>
      <c r="BT40">
        <f t="shared" si="36"/>
        <v>0</v>
      </c>
      <c r="BU40">
        <f t="shared" si="37"/>
        <v>9</v>
      </c>
      <c r="BW40" t="str">
        <f t="shared" si="38"/>
        <v/>
      </c>
      <c r="BY40" t="str">
        <f t="shared" si="39"/>
        <v/>
      </c>
      <c r="BZ40">
        <f t="shared" si="40"/>
        <v>0</v>
      </c>
      <c r="CA40">
        <f t="shared" si="41"/>
        <v>12</v>
      </c>
      <c r="CC40" t="str">
        <f t="shared" si="42"/>
        <v/>
      </c>
      <c r="CE40" t="str">
        <f>IF(基础资料!$P40="","",基础资料!$P40)</f>
        <v/>
      </c>
      <c r="CF40">
        <f>IF(CE40="",0,COUNTIF(包装物料出入库明细!$G$4:$G$2003,CE40))</f>
        <v>0</v>
      </c>
      <c r="CI40" t="str">
        <f>IF(基础资料!$D40="","",基础资料!$D40)</f>
        <v/>
      </c>
      <c r="CJ40">
        <f t="shared" si="43"/>
        <v>0</v>
      </c>
      <c r="CK40">
        <f t="shared" si="44"/>
        <v>19</v>
      </c>
      <c r="CL40" t="str">
        <f t="shared" si="45"/>
        <v/>
      </c>
      <c r="CP40">
        <f>IF(包装物料出入库明细!$D40="",0,1)</f>
        <v>1</v>
      </c>
      <c r="CQ40">
        <f t="shared" si="46"/>
        <v>37</v>
      </c>
      <c r="CS40" t="str">
        <f>IF(OR(周转筐出入库明细!$C40="",周转筐出入库明细!$F40&lt;&gt;"采购入库"),"",周转筐出入库明细!$C40)</f>
        <v/>
      </c>
      <c r="CT40">
        <f t="shared" si="47"/>
        <v>0</v>
      </c>
      <c r="CU40">
        <f t="shared" si="48"/>
        <v>1</v>
      </c>
      <c r="CW40" t="str">
        <f>IFERROR(INDEX($CS$4:$CS$2003,MATCH(37,$CU$4:$CU$2003,0)),"")</f>
        <v/>
      </c>
    </row>
    <row r="41" spans="1:101">
      <c r="A41" t="str">
        <f>IF(包装物料出入库明细!$E41="","",包装物料出入库明细!$E41)</f>
        <v/>
      </c>
      <c r="B41">
        <f t="shared" si="0"/>
        <v>0</v>
      </c>
      <c r="C41">
        <f t="shared" si="1"/>
        <v>7</v>
      </c>
      <c r="D41" t="str">
        <f>IF(包装物料出入库明细!$E41="","",包装物料出入库明细!$F41)</f>
        <v/>
      </c>
      <c r="E41" t="str">
        <f>IF(包装物料出入库明细!$E41="","",包装物料出入库明细!$G41)</f>
        <v/>
      </c>
      <c r="G41" t="str">
        <f t="shared" si="2"/>
        <v/>
      </c>
      <c r="H41" t="str">
        <f t="shared" si="3"/>
        <v/>
      </c>
      <c r="I41" t="str">
        <f t="shared" si="4"/>
        <v/>
      </c>
      <c r="K41" t="str">
        <f>IF(包装物料出入库明细!$D41="","",包装物料出入库明细!$D41)</f>
        <v/>
      </c>
      <c r="L41">
        <f t="shared" si="5"/>
        <v>0</v>
      </c>
      <c r="M41">
        <f t="shared" si="6"/>
        <v>9</v>
      </c>
      <c r="O41" t="str">
        <f t="shared" si="7"/>
        <v/>
      </c>
      <c r="Q41" t="str">
        <f>IF(周转筐出入库明细!$D41="","",周转筐出入库明细!$D41)</f>
        <v>公司新周转筐</v>
      </c>
      <c r="R41">
        <f t="shared" si="8"/>
        <v>0</v>
      </c>
      <c r="S41">
        <f t="shared" si="9"/>
        <v>5</v>
      </c>
      <c r="U41" t="str">
        <f t="shared" si="10"/>
        <v/>
      </c>
      <c r="W41" t="str">
        <f>IF(周转筐出入库明细!$C41="","",周转筐出入库明细!$C41)</f>
        <v>贾建国</v>
      </c>
      <c r="X41">
        <f t="shared" si="11"/>
        <v>0</v>
      </c>
      <c r="Y41">
        <f t="shared" si="12"/>
        <v>11</v>
      </c>
      <c r="AA41" t="str">
        <f t="shared" si="13"/>
        <v/>
      </c>
      <c r="AC41" t="str">
        <f>IF(客户自备加工筐明细!$C41="","",客户自备加工筐明细!$C41)</f>
        <v/>
      </c>
      <c r="AD41">
        <f t="shared" si="14"/>
        <v>0</v>
      </c>
      <c r="AE41">
        <f t="shared" si="15"/>
        <v>1</v>
      </c>
      <c r="AG41" t="str">
        <f t="shared" si="16"/>
        <v/>
      </c>
      <c r="AI41" t="str">
        <f>IF(客户自备加工筐明细!$E41="","",客户自备加工筐明细!$E41)</f>
        <v/>
      </c>
      <c r="AJ41">
        <f t="shared" si="17"/>
        <v>0</v>
      </c>
      <c r="AK41">
        <f t="shared" si="18"/>
        <v>1</v>
      </c>
      <c r="AM41" t="str">
        <f>IFERROR(INDEX($AI$4:$AI$1503,MATCH(38,$AK$4:$AK$1503,0)),"")</f>
        <v/>
      </c>
      <c r="AO41" t="str">
        <f>IF(次果筐明细!$D41="","",次果筐明细!$D41)</f>
        <v/>
      </c>
      <c r="AP41">
        <f t="shared" si="19"/>
        <v>0</v>
      </c>
      <c r="AQ41">
        <f t="shared" si="20"/>
        <v>1</v>
      </c>
      <c r="AS41" t="str">
        <f t="shared" si="21"/>
        <v/>
      </c>
      <c r="AU41" t="str">
        <f>IF(次果筐明细!$C41="","",次果筐明细!$C41)</f>
        <v/>
      </c>
      <c r="AV41">
        <f t="shared" si="22"/>
        <v>0</v>
      </c>
      <c r="AW41">
        <f t="shared" si="23"/>
        <v>1</v>
      </c>
      <c r="AY41" t="str">
        <f t="shared" si="24"/>
        <v/>
      </c>
      <c r="BA41" t="str">
        <f>IF(对接源_01水果筐数!$B42="","",对接源_01水果筐数!$B42)</f>
        <v/>
      </c>
      <c r="BB41">
        <f t="shared" si="25"/>
        <v>0</v>
      </c>
      <c r="BC41">
        <f t="shared" si="26"/>
        <v>14</v>
      </c>
      <c r="BE41" t="str">
        <f t="shared" si="27"/>
        <v/>
      </c>
      <c r="BG41" t="str">
        <f>IF(对接源_01水果筐数!$C42="","",对接源_01水果筐数!$C42)</f>
        <v/>
      </c>
      <c r="BH41">
        <f t="shared" si="28"/>
        <v>0</v>
      </c>
      <c r="BI41">
        <f t="shared" si="29"/>
        <v>7</v>
      </c>
      <c r="BK41" t="str">
        <f t="shared" si="30"/>
        <v/>
      </c>
      <c r="BM41" t="str">
        <f t="shared" si="31"/>
        <v/>
      </c>
      <c r="BN41">
        <f t="shared" si="32"/>
        <v>0</v>
      </c>
      <c r="BO41">
        <f t="shared" si="33"/>
        <v>5</v>
      </c>
      <c r="BQ41" t="str">
        <f t="shared" si="34"/>
        <v/>
      </c>
      <c r="BS41" t="str">
        <f t="shared" si="35"/>
        <v/>
      </c>
      <c r="BT41">
        <f t="shared" si="36"/>
        <v>0</v>
      </c>
      <c r="BU41">
        <f t="shared" si="37"/>
        <v>9</v>
      </c>
      <c r="BW41" t="str">
        <f t="shared" si="38"/>
        <v/>
      </c>
      <c r="BY41" t="str">
        <f t="shared" si="39"/>
        <v/>
      </c>
      <c r="BZ41">
        <f t="shared" si="40"/>
        <v>0</v>
      </c>
      <c r="CA41">
        <f t="shared" si="41"/>
        <v>12</v>
      </c>
      <c r="CC41" t="str">
        <f t="shared" si="42"/>
        <v/>
      </c>
      <c r="CE41" t="str">
        <f>IF(基础资料!$P41="","",基础资料!$P41)</f>
        <v/>
      </c>
      <c r="CF41">
        <f>IF(CE41="",0,COUNTIF(包装物料出入库明细!$G$4:$G$2003,CE41))</f>
        <v>0</v>
      </c>
      <c r="CI41" t="str">
        <f>IF(基础资料!$D41="","",基础资料!$D41)</f>
        <v/>
      </c>
      <c r="CJ41">
        <f t="shared" si="43"/>
        <v>0</v>
      </c>
      <c r="CK41">
        <f t="shared" si="44"/>
        <v>19</v>
      </c>
      <c r="CL41" t="str">
        <f t="shared" si="45"/>
        <v/>
      </c>
      <c r="CP41">
        <f>IF(包装物料出入库明细!$D41="",0,1)</f>
        <v>0</v>
      </c>
      <c r="CQ41">
        <f t="shared" si="46"/>
        <v>37</v>
      </c>
      <c r="CS41" t="str">
        <f>IF(OR(周转筐出入库明细!$C41="",周转筐出入库明细!$F41&lt;&gt;"采购入库"),"",周转筐出入库明细!$C41)</f>
        <v/>
      </c>
      <c r="CT41">
        <f t="shared" si="47"/>
        <v>0</v>
      </c>
      <c r="CU41">
        <f t="shared" si="48"/>
        <v>1</v>
      </c>
      <c r="CW41" t="str">
        <f>IFERROR(INDEX($CS$4:$CS$2003,MATCH(38,$CU$4:$CU$2003,0)),"")</f>
        <v/>
      </c>
    </row>
    <row r="42" spans="1:101">
      <c r="A42" t="str">
        <f>IF(包装物料出入库明细!$E42="","",包装物料出入库明细!$E42)</f>
        <v/>
      </c>
      <c r="B42">
        <f t="shared" si="0"/>
        <v>0</v>
      </c>
      <c r="C42">
        <f t="shared" si="1"/>
        <v>7</v>
      </c>
      <c r="D42" t="str">
        <f>IF(包装物料出入库明细!$E42="","",包装物料出入库明细!$F42)</f>
        <v/>
      </c>
      <c r="E42" t="str">
        <f>IF(包装物料出入库明细!$E42="","",包装物料出入库明细!$G42)</f>
        <v/>
      </c>
      <c r="G42" t="str">
        <f t="shared" si="2"/>
        <v/>
      </c>
      <c r="H42" t="str">
        <f t="shared" si="3"/>
        <v/>
      </c>
      <c r="I42" t="str">
        <f t="shared" si="4"/>
        <v/>
      </c>
      <c r="K42" t="str">
        <f>IF(包装物料出入库明细!$D42="","",包装物料出入库明细!$D42)</f>
        <v/>
      </c>
      <c r="L42">
        <f t="shared" si="5"/>
        <v>0</v>
      </c>
      <c r="M42">
        <f t="shared" si="6"/>
        <v>9</v>
      </c>
      <c r="O42" t="str">
        <f t="shared" si="7"/>
        <v/>
      </c>
      <c r="Q42" t="str">
        <f>IF(周转筐出入库明细!$D42="","",周转筐出入库明细!$D42)</f>
        <v>公司红周转筐</v>
      </c>
      <c r="R42">
        <f t="shared" si="8"/>
        <v>0</v>
      </c>
      <c r="S42">
        <f t="shared" si="9"/>
        <v>5</v>
      </c>
      <c r="U42" t="str">
        <f t="shared" si="10"/>
        <v/>
      </c>
      <c r="W42" t="str">
        <f>IF(周转筐出入库明细!$C42="","",周转筐出入库明细!$C42)</f>
        <v>热合曼</v>
      </c>
      <c r="X42">
        <f t="shared" si="11"/>
        <v>0</v>
      </c>
      <c r="Y42">
        <f t="shared" si="12"/>
        <v>11</v>
      </c>
      <c r="AA42" t="str">
        <f t="shared" si="13"/>
        <v/>
      </c>
      <c r="AC42" t="str">
        <f>IF(客户自备加工筐明细!$C42="","",客户自备加工筐明细!$C42)</f>
        <v/>
      </c>
      <c r="AD42">
        <f t="shared" si="14"/>
        <v>0</v>
      </c>
      <c r="AE42">
        <f t="shared" si="15"/>
        <v>1</v>
      </c>
      <c r="AG42" t="str">
        <f t="shared" si="16"/>
        <v/>
      </c>
      <c r="AI42" t="str">
        <f>IF(客户自备加工筐明细!$E42="","",客户自备加工筐明细!$E42)</f>
        <v/>
      </c>
      <c r="AJ42">
        <f t="shared" si="17"/>
        <v>0</v>
      </c>
      <c r="AK42">
        <f t="shared" si="18"/>
        <v>1</v>
      </c>
      <c r="AM42" t="str">
        <f>IFERROR(INDEX($AI$4:$AI$1503,MATCH(39,$AK$4:$AK$1503,0)),"")</f>
        <v/>
      </c>
      <c r="AO42" t="str">
        <f>IF(次果筐明细!$D42="","",次果筐明细!$D42)</f>
        <v/>
      </c>
      <c r="AP42">
        <f t="shared" si="19"/>
        <v>0</v>
      </c>
      <c r="AQ42">
        <f t="shared" si="20"/>
        <v>1</v>
      </c>
      <c r="AS42" t="str">
        <f t="shared" si="21"/>
        <v/>
      </c>
      <c r="AU42" t="str">
        <f>IF(次果筐明细!$C42="","",次果筐明细!$C42)</f>
        <v/>
      </c>
      <c r="AV42">
        <f t="shared" si="22"/>
        <v>0</v>
      </c>
      <c r="AW42">
        <f t="shared" si="23"/>
        <v>1</v>
      </c>
      <c r="AY42" t="str">
        <f t="shared" si="24"/>
        <v/>
      </c>
      <c r="BA42" t="str">
        <f>IF(对接源_01水果筐数!$B43="","",对接源_01水果筐数!$B43)</f>
        <v/>
      </c>
      <c r="BB42">
        <f t="shared" si="25"/>
        <v>0</v>
      </c>
      <c r="BC42">
        <f t="shared" si="26"/>
        <v>14</v>
      </c>
      <c r="BE42" t="str">
        <f t="shared" si="27"/>
        <v/>
      </c>
      <c r="BG42" t="str">
        <f>IF(对接源_01水果筐数!$C43="","",对接源_01水果筐数!$C43)</f>
        <v/>
      </c>
      <c r="BH42">
        <f t="shared" si="28"/>
        <v>0</v>
      </c>
      <c r="BI42">
        <f t="shared" si="29"/>
        <v>7</v>
      </c>
      <c r="BK42" t="str">
        <f t="shared" si="30"/>
        <v/>
      </c>
      <c r="BM42" t="str">
        <f t="shared" si="31"/>
        <v/>
      </c>
      <c r="BN42">
        <f t="shared" si="32"/>
        <v>0</v>
      </c>
      <c r="BO42">
        <f t="shared" si="33"/>
        <v>5</v>
      </c>
      <c r="BQ42" t="str">
        <f t="shared" si="34"/>
        <v/>
      </c>
      <c r="BS42" t="str">
        <f t="shared" si="35"/>
        <v/>
      </c>
      <c r="BT42">
        <f t="shared" si="36"/>
        <v>0</v>
      </c>
      <c r="BU42">
        <f t="shared" si="37"/>
        <v>9</v>
      </c>
      <c r="BW42" t="str">
        <f t="shared" si="38"/>
        <v/>
      </c>
      <c r="BY42" t="str">
        <f t="shared" si="39"/>
        <v/>
      </c>
      <c r="BZ42">
        <f t="shared" si="40"/>
        <v>0</v>
      </c>
      <c r="CA42">
        <f t="shared" si="41"/>
        <v>12</v>
      </c>
      <c r="CC42" t="str">
        <f t="shared" si="42"/>
        <v/>
      </c>
      <c r="CE42" t="str">
        <f>IF(基础资料!$P42="","",基础资料!$P42)</f>
        <v/>
      </c>
      <c r="CF42">
        <f>IF(CE42="",0,COUNTIF(包装物料出入库明细!$G$4:$G$2003,CE42))</f>
        <v>0</v>
      </c>
      <c r="CI42" t="str">
        <f>IF(基础资料!$D42="","",基础资料!$D42)</f>
        <v/>
      </c>
      <c r="CJ42">
        <f t="shared" si="43"/>
        <v>0</v>
      </c>
      <c r="CK42">
        <f t="shared" si="44"/>
        <v>19</v>
      </c>
      <c r="CL42" t="str">
        <f t="shared" si="45"/>
        <v/>
      </c>
      <c r="CP42">
        <f>IF(包装物料出入库明细!$D42="",0,1)</f>
        <v>0</v>
      </c>
      <c r="CQ42">
        <f t="shared" si="46"/>
        <v>37</v>
      </c>
      <c r="CS42" t="str">
        <f>IF(OR(周转筐出入库明细!$C42="",周转筐出入库明细!$F42&lt;&gt;"采购入库"),"",周转筐出入库明细!$C42)</f>
        <v/>
      </c>
      <c r="CT42">
        <f t="shared" si="47"/>
        <v>0</v>
      </c>
      <c r="CU42">
        <f t="shared" si="48"/>
        <v>1</v>
      </c>
      <c r="CW42" t="str">
        <f>IFERROR(INDEX($CS$4:$CS$2003,MATCH(39,$CU$4:$CU$2003,0)),"")</f>
        <v/>
      </c>
    </row>
    <row r="43" spans="1:101">
      <c r="A43" t="str">
        <f>IF(包装物料出入库明细!$E43="","",包装物料出入库明细!$E43)</f>
        <v/>
      </c>
      <c r="B43">
        <f t="shared" si="0"/>
        <v>0</v>
      </c>
      <c r="C43">
        <f t="shared" si="1"/>
        <v>7</v>
      </c>
      <c r="D43" t="str">
        <f>IF(包装物料出入库明细!$E43="","",包装物料出入库明细!$F43)</f>
        <v/>
      </c>
      <c r="E43" t="str">
        <f>IF(包装物料出入库明细!$E43="","",包装物料出入库明细!$G43)</f>
        <v/>
      </c>
      <c r="G43" t="str">
        <f t="shared" si="2"/>
        <v/>
      </c>
      <c r="H43" t="str">
        <f t="shared" si="3"/>
        <v/>
      </c>
      <c r="I43" t="str">
        <f t="shared" si="4"/>
        <v/>
      </c>
      <c r="K43" t="str">
        <f>IF(包装物料出入库明细!$D43="","",包装物料出入库明细!$D43)</f>
        <v/>
      </c>
      <c r="L43">
        <f t="shared" si="5"/>
        <v>0</v>
      </c>
      <c r="M43">
        <f t="shared" si="6"/>
        <v>9</v>
      </c>
      <c r="O43" t="str">
        <f t="shared" si="7"/>
        <v/>
      </c>
      <c r="Q43" t="str">
        <f>IF(周转筐出入库明细!$D44="","",周转筐出入库明细!$D44)</f>
        <v>公司一次性筐</v>
      </c>
      <c r="R43">
        <f t="shared" si="8"/>
        <v>0</v>
      </c>
      <c r="S43">
        <f t="shared" si="9"/>
        <v>5</v>
      </c>
      <c r="U43" t="str">
        <f t="shared" si="10"/>
        <v/>
      </c>
      <c r="W43" t="str">
        <f>IF(周转筐出入库明细!$C44="","",周转筐出入库明细!$C44)</f>
        <v>王照雪</v>
      </c>
      <c r="X43">
        <f t="shared" si="11"/>
        <v>0</v>
      </c>
      <c r="Y43">
        <f t="shared" si="12"/>
        <v>11</v>
      </c>
      <c r="AA43" t="str">
        <f t="shared" si="13"/>
        <v/>
      </c>
      <c r="AC43" t="str">
        <f>IF(客户自备加工筐明细!$C43="","",客户自备加工筐明细!$C43)</f>
        <v/>
      </c>
      <c r="AD43">
        <f t="shared" si="14"/>
        <v>0</v>
      </c>
      <c r="AE43">
        <f t="shared" si="15"/>
        <v>1</v>
      </c>
      <c r="AG43" t="str">
        <f t="shared" si="16"/>
        <v/>
      </c>
      <c r="AI43" t="str">
        <f>IF(客户自备加工筐明细!$E43="","",客户自备加工筐明细!$E43)</f>
        <v/>
      </c>
      <c r="AJ43">
        <f t="shared" si="17"/>
        <v>0</v>
      </c>
      <c r="AK43">
        <f t="shared" si="18"/>
        <v>1</v>
      </c>
      <c r="AM43" t="str">
        <f>IFERROR(INDEX($AI$4:$AI$1503,MATCH(40,$AK$4:$AK$1503,0)),"")</f>
        <v/>
      </c>
      <c r="AO43" t="str">
        <f>IF(次果筐明细!$D43="","",次果筐明细!$D43)</f>
        <v/>
      </c>
      <c r="AP43">
        <f t="shared" si="19"/>
        <v>0</v>
      </c>
      <c r="AQ43">
        <f t="shared" si="20"/>
        <v>1</v>
      </c>
      <c r="AS43" t="str">
        <f t="shared" si="21"/>
        <v/>
      </c>
      <c r="AU43" t="str">
        <f>IF(次果筐明细!$C43="","",次果筐明细!$C43)</f>
        <v/>
      </c>
      <c r="AV43">
        <f t="shared" si="22"/>
        <v>0</v>
      </c>
      <c r="AW43">
        <f t="shared" si="23"/>
        <v>1</v>
      </c>
      <c r="AY43" t="str">
        <f t="shared" si="24"/>
        <v/>
      </c>
      <c r="BA43" t="str">
        <f>IF(对接源_01水果筐数!$B44="","",对接源_01水果筐数!$B44)</f>
        <v/>
      </c>
      <c r="BB43">
        <f t="shared" si="25"/>
        <v>0</v>
      </c>
      <c r="BC43">
        <f t="shared" si="26"/>
        <v>14</v>
      </c>
      <c r="BE43" t="str">
        <f t="shared" si="27"/>
        <v/>
      </c>
      <c r="BG43" t="str">
        <f>IF(对接源_01水果筐数!$C44="","",对接源_01水果筐数!$C44)</f>
        <v/>
      </c>
      <c r="BH43">
        <f t="shared" si="28"/>
        <v>0</v>
      </c>
      <c r="BI43">
        <f t="shared" si="29"/>
        <v>7</v>
      </c>
      <c r="BK43" t="str">
        <f t="shared" si="30"/>
        <v/>
      </c>
      <c r="BM43" t="str">
        <f t="shared" si="31"/>
        <v/>
      </c>
      <c r="BN43">
        <f t="shared" si="32"/>
        <v>0</v>
      </c>
      <c r="BO43">
        <f t="shared" si="33"/>
        <v>5</v>
      </c>
      <c r="BQ43" t="str">
        <f t="shared" si="34"/>
        <v/>
      </c>
      <c r="BS43" t="str">
        <f t="shared" si="35"/>
        <v/>
      </c>
      <c r="BT43">
        <f t="shared" si="36"/>
        <v>0</v>
      </c>
      <c r="BU43">
        <f t="shared" si="37"/>
        <v>9</v>
      </c>
      <c r="BW43" t="str">
        <f t="shared" si="38"/>
        <v/>
      </c>
      <c r="BY43" t="str">
        <f t="shared" si="39"/>
        <v/>
      </c>
      <c r="BZ43">
        <f t="shared" si="40"/>
        <v>0</v>
      </c>
      <c r="CA43">
        <f t="shared" si="41"/>
        <v>12</v>
      </c>
      <c r="CC43" t="str">
        <f t="shared" si="42"/>
        <v/>
      </c>
      <c r="CE43" t="str">
        <f>IF(基础资料!$P43="","",基础资料!$P43)</f>
        <v/>
      </c>
      <c r="CF43">
        <f>IF(CE43="",0,COUNTIF(包装物料出入库明细!$G$4:$G$2003,CE43))</f>
        <v>0</v>
      </c>
      <c r="CI43" t="str">
        <f>IF(基础资料!$D43="","",基础资料!$D43)</f>
        <v/>
      </c>
      <c r="CJ43">
        <f t="shared" si="43"/>
        <v>0</v>
      </c>
      <c r="CK43">
        <f t="shared" si="44"/>
        <v>19</v>
      </c>
      <c r="CL43" t="str">
        <f t="shared" si="45"/>
        <v/>
      </c>
      <c r="CP43">
        <f>IF(包装物料出入库明细!$D43="",0,1)</f>
        <v>0</v>
      </c>
      <c r="CQ43">
        <f t="shared" si="46"/>
        <v>37</v>
      </c>
      <c r="CS43" t="str">
        <f>IF(OR(周转筐出入库明细!$C44="",周转筐出入库明细!$F44&lt;&gt;"采购入库"),"",周转筐出入库明细!$C44)</f>
        <v/>
      </c>
      <c r="CT43">
        <f t="shared" si="47"/>
        <v>0</v>
      </c>
      <c r="CU43">
        <f t="shared" si="48"/>
        <v>1</v>
      </c>
      <c r="CW43" t="str">
        <f>IFERROR(INDEX($CS$4:$CS$2003,MATCH(40,$CU$4:$CU$2003,0)),"")</f>
        <v/>
      </c>
    </row>
    <row r="44" spans="1:101">
      <c r="A44" t="str">
        <f>IF(包装物料出入库明细!$E44="","",包装物料出入库明细!$E44)</f>
        <v/>
      </c>
      <c r="B44">
        <f t="shared" si="0"/>
        <v>0</v>
      </c>
      <c r="C44">
        <f t="shared" si="1"/>
        <v>7</v>
      </c>
      <c r="D44" t="str">
        <f>IF(包装物料出入库明细!$E44="","",包装物料出入库明细!$F44)</f>
        <v/>
      </c>
      <c r="E44" t="str">
        <f>IF(包装物料出入库明细!$E44="","",包装物料出入库明细!$G44)</f>
        <v/>
      </c>
      <c r="G44" t="str">
        <f t="shared" si="2"/>
        <v/>
      </c>
      <c r="H44" t="str">
        <f t="shared" si="3"/>
        <v/>
      </c>
      <c r="I44" t="str">
        <f t="shared" si="4"/>
        <v/>
      </c>
      <c r="K44" t="str">
        <f>IF(包装物料出入库明细!$D44="","",包装物料出入库明细!$D44)</f>
        <v/>
      </c>
      <c r="L44">
        <f t="shared" si="5"/>
        <v>0</v>
      </c>
      <c r="M44">
        <f t="shared" si="6"/>
        <v>9</v>
      </c>
      <c r="O44" t="str">
        <f t="shared" si="7"/>
        <v/>
      </c>
      <c r="Q44" t="str">
        <f>IF(周转筐出入库明细!$D45="","",周转筐出入库明细!$D45)</f>
        <v>公司一次性筐</v>
      </c>
      <c r="R44">
        <f t="shared" si="8"/>
        <v>0</v>
      </c>
      <c r="S44">
        <f t="shared" si="9"/>
        <v>5</v>
      </c>
      <c r="W44" t="str">
        <f>IF(周转筐出入库明细!$C45="","",周转筐出入库明细!$C45)</f>
        <v>吐尔逊</v>
      </c>
      <c r="X44">
        <f t="shared" si="11"/>
        <v>1</v>
      </c>
      <c r="Y44">
        <f t="shared" si="12"/>
        <v>12</v>
      </c>
      <c r="AA44" t="str">
        <f t="shared" si="13"/>
        <v/>
      </c>
      <c r="AC44" t="str">
        <f>IF(客户自备加工筐明细!$C44="","",客户自备加工筐明细!$C44)</f>
        <v/>
      </c>
      <c r="AD44">
        <f t="shared" si="14"/>
        <v>0</v>
      </c>
      <c r="AE44">
        <f t="shared" si="15"/>
        <v>1</v>
      </c>
      <c r="AI44" t="str">
        <f>IF(客户自备加工筐明细!$E44="","",客户自备加工筐明细!$E44)</f>
        <v/>
      </c>
      <c r="AJ44">
        <f t="shared" si="17"/>
        <v>0</v>
      </c>
      <c r="AK44">
        <f t="shared" si="18"/>
        <v>1</v>
      </c>
      <c r="AM44" t="str">
        <f>IFERROR(INDEX($AI$4:$AI$1503,MATCH(41,$AK$4:$AK$1503,0)),"")</f>
        <v/>
      </c>
      <c r="AO44" t="str">
        <f>IF(次果筐明细!$D44="","",次果筐明细!$D44)</f>
        <v/>
      </c>
      <c r="AP44">
        <f t="shared" si="19"/>
        <v>0</v>
      </c>
      <c r="AQ44">
        <f t="shared" si="20"/>
        <v>1</v>
      </c>
      <c r="AU44" t="str">
        <f>IF(次果筐明细!$C44="","",次果筐明细!$C44)</f>
        <v/>
      </c>
      <c r="AV44">
        <f t="shared" si="22"/>
        <v>0</v>
      </c>
      <c r="AW44">
        <f t="shared" si="23"/>
        <v>1</v>
      </c>
      <c r="AY44" t="str">
        <f t="shared" si="24"/>
        <v/>
      </c>
      <c r="BA44" t="str">
        <f>IF(对接源_01水果筐数!$B45="","",对接源_01水果筐数!$B45)</f>
        <v/>
      </c>
      <c r="BB44">
        <f t="shared" si="25"/>
        <v>0</v>
      </c>
      <c r="BC44">
        <f t="shared" si="26"/>
        <v>14</v>
      </c>
      <c r="BE44" t="str">
        <f t="shared" si="27"/>
        <v/>
      </c>
      <c r="BG44" t="str">
        <f>IF(对接源_01水果筐数!$C45="","",对接源_01水果筐数!$C45)</f>
        <v/>
      </c>
      <c r="BH44">
        <f t="shared" si="28"/>
        <v>0</v>
      </c>
      <c r="BI44">
        <f t="shared" si="29"/>
        <v>7</v>
      </c>
      <c r="BK44" t="str">
        <f t="shared" si="30"/>
        <v/>
      </c>
      <c r="BM44" t="str">
        <f t="shared" ref="BM44:BM83" si="49">IF($AG4="","",$AG4)</f>
        <v>自备一次性筐</v>
      </c>
      <c r="BN44">
        <f t="shared" si="32"/>
        <v>1</v>
      </c>
      <c r="BO44">
        <f t="shared" si="33"/>
        <v>6</v>
      </c>
      <c r="BQ44" t="str">
        <f t="shared" si="34"/>
        <v/>
      </c>
      <c r="BS44" t="str">
        <f t="shared" si="35"/>
        <v/>
      </c>
      <c r="BT44">
        <f t="shared" si="36"/>
        <v>0</v>
      </c>
      <c r="BU44">
        <f t="shared" si="37"/>
        <v>9</v>
      </c>
      <c r="BW44" t="str">
        <f t="shared" si="38"/>
        <v/>
      </c>
      <c r="BY44" t="str">
        <f t="shared" si="39"/>
        <v/>
      </c>
      <c r="BZ44">
        <f t="shared" si="40"/>
        <v>0</v>
      </c>
      <c r="CA44">
        <f t="shared" si="41"/>
        <v>12</v>
      </c>
      <c r="CC44" t="str">
        <f t="shared" si="42"/>
        <v/>
      </c>
      <c r="CE44" t="str">
        <f>IF(基础资料!$P44="","",基础资料!$P44)</f>
        <v/>
      </c>
      <c r="CF44">
        <f>IF(CE44="",0,COUNTIF(包装物料出入库明细!$G$4:$G$2003,CE44))</f>
        <v>0</v>
      </c>
      <c r="CI44" t="str">
        <f>IF(基础资料!$D44="","",基础资料!$D44)</f>
        <v/>
      </c>
      <c r="CJ44">
        <f t="shared" si="43"/>
        <v>0</v>
      </c>
      <c r="CK44">
        <f t="shared" si="44"/>
        <v>19</v>
      </c>
      <c r="CL44" t="str">
        <f t="shared" si="45"/>
        <v/>
      </c>
      <c r="CP44">
        <f>IF(包装物料出入库明细!$D44="",0,1)</f>
        <v>0</v>
      </c>
      <c r="CQ44">
        <f t="shared" si="46"/>
        <v>37</v>
      </c>
      <c r="CS44" t="str">
        <f>IF(OR(周转筐出入库明细!$C45="",周转筐出入库明细!$F45&lt;&gt;"采购入库"),"",周转筐出入库明细!$C45)</f>
        <v/>
      </c>
      <c r="CT44">
        <f t="shared" si="47"/>
        <v>0</v>
      </c>
      <c r="CU44">
        <f t="shared" si="48"/>
        <v>1</v>
      </c>
      <c r="CW44" t="str">
        <f>IFERROR(INDEX($CS$4:$CS$2003,MATCH(41,$CU$4:$CU$2003,0)),"")</f>
        <v/>
      </c>
    </row>
    <row r="45" spans="1:101">
      <c r="A45" t="str">
        <f>IF(包装物料出入库明细!$E45="","",包装物料出入库明细!$E45)</f>
        <v/>
      </c>
      <c r="B45">
        <f t="shared" si="0"/>
        <v>0</v>
      </c>
      <c r="C45">
        <f t="shared" si="1"/>
        <v>7</v>
      </c>
      <c r="D45" t="str">
        <f>IF(包装物料出入库明细!$E45="","",包装物料出入库明细!$F45)</f>
        <v/>
      </c>
      <c r="E45" t="str">
        <f>IF(包装物料出入库明细!$E45="","",包装物料出入库明细!$G45)</f>
        <v/>
      </c>
      <c r="G45" t="str">
        <f t="shared" si="2"/>
        <v/>
      </c>
      <c r="H45" t="str">
        <f t="shared" si="3"/>
        <v/>
      </c>
      <c r="I45" t="str">
        <f t="shared" si="4"/>
        <v/>
      </c>
      <c r="K45" t="str">
        <f>IF(包装物料出入库明细!$D45="","",包装物料出入库明细!$D45)</f>
        <v/>
      </c>
      <c r="L45">
        <f t="shared" si="5"/>
        <v>0</v>
      </c>
      <c r="M45">
        <f t="shared" si="6"/>
        <v>9</v>
      </c>
      <c r="O45" t="str">
        <f t="shared" si="7"/>
        <v/>
      </c>
      <c r="Q45" t="str">
        <f>IF(周转筐出入库明细!$D46="","",周转筐出入库明细!$D46)</f>
        <v>公司红周转筐</v>
      </c>
      <c r="R45">
        <f t="shared" si="8"/>
        <v>0</v>
      </c>
      <c r="S45">
        <f t="shared" si="9"/>
        <v>5</v>
      </c>
      <c r="W45" t="str">
        <f>IF(周转筐出入库明细!$C46="","",周转筐出入库明细!$C46)</f>
        <v>全修塑业</v>
      </c>
      <c r="X45">
        <f t="shared" si="11"/>
        <v>0</v>
      </c>
      <c r="Y45">
        <f t="shared" si="12"/>
        <v>12</v>
      </c>
      <c r="AA45" t="str">
        <f t="shared" si="13"/>
        <v/>
      </c>
      <c r="AC45" t="str">
        <f>IF(客户自备加工筐明细!$C45="","",客户自备加工筐明细!$C45)</f>
        <v/>
      </c>
      <c r="AD45">
        <f t="shared" si="14"/>
        <v>0</v>
      </c>
      <c r="AE45">
        <f t="shared" si="15"/>
        <v>1</v>
      </c>
      <c r="AI45" t="str">
        <f>IF(客户自备加工筐明细!$E45="","",客户自备加工筐明细!$E45)</f>
        <v/>
      </c>
      <c r="AJ45">
        <f t="shared" si="17"/>
        <v>0</v>
      </c>
      <c r="AK45">
        <f t="shared" si="18"/>
        <v>1</v>
      </c>
      <c r="AM45" t="str">
        <f>IFERROR(INDEX($AI$4:$AI$1503,MATCH(42,$AK$4:$AK$1503,0)),"")</f>
        <v/>
      </c>
      <c r="AO45" t="str">
        <f>IF(次果筐明细!$D45="","",次果筐明细!$D45)</f>
        <v/>
      </c>
      <c r="AP45">
        <f t="shared" si="19"/>
        <v>0</v>
      </c>
      <c r="AQ45">
        <f t="shared" si="20"/>
        <v>1</v>
      </c>
      <c r="AU45" t="str">
        <f>IF(次果筐明细!$C45="","",次果筐明细!$C45)</f>
        <v/>
      </c>
      <c r="AV45">
        <f t="shared" si="22"/>
        <v>0</v>
      </c>
      <c r="AW45">
        <f t="shared" si="23"/>
        <v>1</v>
      </c>
      <c r="AY45" t="str">
        <f t="shared" si="24"/>
        <v/>
      </c>
      <c r="BA45" t="str">
        <f>IF(对接源_01水果筐数!$B46="","",对接源_01水果筐数!$B46)</f>
        <v/>
      </c>
      <c r="BB45">
        <f t="shared" si="25"/>
        <v>0</v>
      </c>
      <c r="BC45">
        <f t="shared" si="26"/>
        <v>14</v>
      </c>
      <c r="BE45" t="str">
        <f t="shared" si="27"/>
        <v/>
      </c>
      <c r="BG45" t="str">
        <f>IF(对接源_01水果筐数!$C46="","",对接源_01水果筐数!$C46)</f>
        <v/>
      </c>
      <c r="BH45">
        <f t="shared" si="28"/>
        <v>0</v>
      </c>
      <c r="BI45">
        <f t="shared" si="29"/>
        <v>7</v>
      </c>
      <c r="BK45" t="str">
        <f t="shared" si="30"/>
        <v/>
      </c>
      <c r="BM45" t="str">
        <f t="shared" si="49"/>
        <v/>
      </c>
      <c r="BN45">
        <f t="shared" si="32"/>
        <v>0</v>
      </c>
      <c r="BO45">
        <f t="shared" si="33"/>
        <v>6</v>
      </c>
      <c r="BQ45" t="str">
        <f t="shared" si="34"/>
        <v/>
      </c>
      <c r="BS45" t="str">
        <f t="shared" si="35"/>
        <v/>
      </c>
      <c r="BT45">
        <f t="shared" si="36"/>
        <v>0</v>
      </c>
      <c r="BU45">
        <f t="shared" si="37"/>
        <v>9</v>
      </c>
      <c r="BW45" t="str">
        <f t="shared" si="38"/>
        <v/>
      </c>
      <c r="BY45" t="str">
        <f t="shared" si="39"/>
        <v/>
      </c>
      <c r="BZ45">
        <f t="shared" si="40"/>
        <v>0</v>
      </c>
      <c r="CA45">
        <f t="shared" si="41"/>
        <v>12</v>
      </c>
      <c r="CC45" t="str">
        <f t="shared" si="42"/>
        <v/>
      </c>
      <c r="CE45" t="str">
        <f>IF(基础资料!$P45="","",基础资料!$P45)</f>
        <v/>
      </c>
      <c r="CF45">
        <f>IF(CE45="",0,COUNTIF(包装物料出入库明细!$G$4:$G$2003,CE45))</f>
        <v>0</v>
      </c>
      <c r="CI45" t="str">
        <f>IF(基础资料!$D45="","",基础资料!$D45)</f>
        <v/>
      </c>
      <c r="CJ45">
        <f t="shared" si="43"/>
        <v>0</v>
      </c>
      <c r="CK45">
        <f t="shared" si="44"/>
        <v>19</v>
      </c>
      <c r="CL45" t="str">
        <f t="shared" si="45"/>
        <v/>
      </c>
      <c r="CP45">
        <f>IF(包装物料出入库明细!$D45="",0,1)</f>
        <v>0</v>
      </c>
      <c r="CQ45">
        <f t="shared" si="46"/>
        <v>37</v>
      </c>
      <c r="CS45" t="str">
        <f>IF(OR(周转筐出入库明细!$C46="",周转筐出入库明细!$F46&lt;&gt;"采购入库"),"",周转筐出入库明细!$C46)</f>
        <v>全修塑业</v>
      </c>
      <c r="CT45">
        <f t="shared" si="47"/>
        <v>0</v>
      </c>
      <c r="CU45">
        <f t="shared" si="48"/>
        <v>1</v>
      </c>
      <c r="CW45" t="str">
        <f>IFERROR(INDEX($CS$4:$CS$2003,MATCH(42,$CU$4:$CU$2003,0)),"")</f>
        <v/>
      </c>
    </row>
    <row r="46" spans="1:101">
      <c r="A46" t="str">
        <f>IF(包装物料出入库明细!$E46="","",包装物料出入库明细!$E46)</f>
        <v/>
      </c>
      <c r="B46">
        <f t="shared" si="0"/>
        <v>0</v>
      </c>
      <c r="C46">
        <f t="shared" si="1"/>
        <v>7</v>
      </c>
      <c r="D46" t="str">
        <f>IF(包装物料出入库明细!$E46="","",包装物料出入库明细!$F46)</f>
        <v/>
      </c>
      <c r="E46" t="str">
        <f>IF(包装物料出入库明细!$E46="","",包装物料出入库明细!$G46)</f>
        <v/>
      </c>
      <c r="G46" t="str">
        <f t="shared" si="2"/>
        <v/>
      </c>
      <c r="H46" t="str">
        <f t="shared" si="3"/>
        <v/>
      </c>
      <c r="I46" t="str">
        <f t="shared" si="4"/>
        <v/>
      </c>
      <c r="K46" t="str">
        <f>IF(包装物料出入库明细!$D46="","",包装物料出入库明细!$D46)</f>
        <v/>
      </c>
      <c r="L46">
        <f t="shared" si="5"/>
        <v>0</v>
      </c>
      <c r="M46">
        <f t="shared" si="6"/>
        <v>9</v>
      </c>
      <c r="O46" t="str">
        <f t="shared" si="7"/>
        <v/>
      </c>
      <c r="Q46" t="str">
        <f>IF(周转筐出入库明细!$D47="","",周转筐出入库明细!$D47)</f>
        <v>公司红周转筐</v>
      </c>
      <c r="R46">
        <f t="shared" si="8"/>
        <v>0</v>
      </c>
      <c r="S46">
        <f t="shared" si="9"/>
        <v>5</v>
      </c>
      <c r="W46" t="str">
        <f>IF(周转筐出入库明细!$C47="","",周转筐出入库明细!$C47)</f>
        <v>全修塑业</v>
      </c>
      <c r="X46">
        <f t="shared" si="11"/>
        <v>0</v>
      </c>
      <c r="Y46">
        <f t="shared" si="12"/>
        <v>12</v>
      </c>
      <c r="AA46" t="str">
        <f t="shared" si="13"/>
        <v/>
      </c>
      <c r="AC46" t="str">
        <f>IF(客户自备加工筐明细!$C46="","",客户自备加工筐明细!$C46)</f>
        <v/>
      </c>
      <c r="AD46">
        <f t="shared" si="14"/>
        <v>0</v>
      </c>
      <c r="AE46">
        <f t="shared" si="15"/>
        <v>1</v>
      </c>
      <c r="AI46" t="str">
        <f>IF(客户自备加工筐明细!$E46="","",客户自备加工筐明细!$E46)</f>
        <v/>
      </c>
      <c r="AJ46">
        <f t="shared" si="17"/>
        <v>0</v>
      </c>
      <c r="AK46">
        <f t="shared" si="18"/>
        <v>1</v>
      </c>
      <c r="AM46" t="str">
        <f>IFERROR(INDEX($AI$4:$AI$1503,MATCH(43,$AK$4:$AK$1503,0)),"")</f>
        <v/>
      </c>
      <c r="AO46" t="str">
        <f>IF(次果筐明细!$D46="","",次果筐明细!$D46)</f>
        <v/>
      </c>
      <c r="AP46">
        <f t="shared" si="19"/>
        <v>0</v>
      </c>
      <c r="AQ46">
        <f t="shared" si="20"/>
        <v>1</v>
      </c>
      <c r="AU46" t="str">
        <f>IF(次果筐明细!$C46="","",次果筐明细!$C46)</f>
        <v/>
      </c>
      <c r="AV46">
        <f t="shared" si="22"/>
        <v>0</v>
      </c>
      <c r="AW46">
        <f t="shared" si="23"/>
        <v>1</v>
      </c>
      <c r="AY46" t="str">
        <f t="shared" si="24"/>
        <v/>
      </c>
      <c r="BA46" t="str">
        <f>IF(对接源_01水果筐数!$B47="","",对接源_01水果筐数!$B47)</f>
        <v/>
      </c>
      <c r="BB46">
        <f t="shared" si="25"/>
        <v>0</v>
      </c>
      <c r="BC46">
        <f t="shared" si="26"/>
        <v>14</v>
      </c>
      <c r="BE46" t="str">
        <f t="shared" si="27"/>
        <v/>
      </c>
      <c r="BG46" t="str">
        <f>IF(对接源_01水果筐数!$C47="","",对接源_01水果筐数!$C47)</f>
        <v/>
      </c>
      <c r="BH46">
        <f t="shared" si="28"/>
        <v>0</v>
      </c>
      <c r="BI46">
        <f t="shared" si="29"/>
        <v>7</v>
      </c>
      <c r="BK46" t="str">
        <f t="shared" si="30"/>
        <v/>
      </c>
      <c r="BM46" t="str">
        <f t="shared" si="49"/>
        <v/>
      </c>
      <c r="BN46">
        <f t="shared" si="32"/>
        <v>0</v>
      </c>
      <c r="BO46">
        <f t="shared" si="33"/>
        <v>6</v>
      </c>
      <c r="BQ46" t="str">
        <f t="shared" si="34"/>
        <v/>
      </c>
      <c r="BS46" t="str">
        <f t="shared" si="35"/>
        <v/>
      </c>
      <c r="BT46">
        <f t="shared" si="36"/>
        <v>0</v>
      </c>
      <c r="BU46">
        <f t="shared" si="37"/>
        <v>9</v>
      </c>
      <c r="BW46" t="str">
        <f t="shared" si="38"/>
        <v/>
      </c>
      <c r="BY46" t="str">
        <f t="shared" si="39"/>
        <v/>
      </c>
      <c r="BZ46">
        <f t="shared" si="40"/>
        <v>0</v>
      </c>
      <c r="CA46">
        <f t="shared" si="41"/>
        <v>12</v>
      </c>
      <c r="CC46" t="str">
        <f t="shared" si="42"/>
        <v/>
      </c>
      <c r="CE46" t="str">
        <f>IF(基础资料!$P46="","",基础资料!$P46)</f>
        <v/>
      </c>
      <c r="CF46">
        <f>IF(CE46="",0,COUNTIF(包装物料出入库明细!$G$4:$G$2003,CE46))</f>
        <v>0</v>
      </c>
      <c r="CI46" t="str">
        <f>IF(基础资料!$D46="","",基础资料!$D46)</f>
        <v/>
      </c>
      <c r="CJ46">
        <f t="shared" si="43"/>
        <v>0</v>
      </c>
      <c r="CK46">
        <f t="shared" si="44"/>
        <v>19</v>
      </c>
      <c r="CL46" t="str">
        <f t="shared" si="45"/>
        <v/>
      </c>
      <c r="CP46">
        <f>IF(包装物料出入库明细!$D46="",0,1)</f>
        <v>0</v>
      </c>
      <c r="CQ46">
        <f t="shared" si="46"/>
        <v>37</v>
      </c>
      <c r="CS46" t="str">
        <f>IF(OR(周转筐出入库明细!$C47="",周转筐出入库明细!$F47&lt;&gt;"采购入库"),"",周转筐出入库明细!$C47)</f>
        <v>全修塑业</v>
      </c>
      <c r="CT46">
        <f t="shared" si="47"/>
        <v>0</v>
      </c>
      <c r="CU46">
        <f t="shared" si="48"/>
        <v>1</v>
      </c>
      <c r="CW46" t="str">
        <f>IFERROR(INDEX($CS$4:$CS$2003,MATCH(43,$CU$4:$CU$2003,0)),"")</f>
        <v/>
      </c>
    </row>
    <row r="47" spans="1:101">
      <c r="A47" t="str">
        <f>IF(包装物料出入库明细!$E47="","",包装物料出入库明细!$E47)</f>
        <v/>
      </c>
      <c r="B47">
        <f t="shared" si="0"/>
        <v>0</v>
      </c>
      <c r="C47">
        <f t="shared" si="1"/>
        <v>7</v>
      </c>
      <c r="D47" t="str">
        <f>IF(包装物料出入库明细!$E47="","",包装物料出入库明细!$F47)</f>
        <v/>
      </c>
      <c r="E47" t="str">
        <f>IF(包装物料出入库明细!$E47="","",包装物料出入库明细!$G47)</f>
        <v/>
      </c>
      <c r="G47" t="str">
        <f t="shared" si="2"/>
        <v/>
      </c>
      <c r="H47" t="str">
        <f t="shared" si="3"/>
        <v/>
      </c>
      <c r="I47" t="str">
        <f t="shared" si="4"/>
        <v/>
      </c>
      <c r="K47" t="str">
        <f>IF(包装物料出入库明细!$D47="","",包装物料出入库明细!$D47)</f>
        <v/>
      </c>
      <c r="L47">
        <f t="shared" si="5"/>
        <v>0</v>
      </c>
      <c r="M47">
        <f t="shared" si="6"/>
        <v>9</v>
      </c>
      <c r="O47" t="str">
        <f t="shared" si="7"/>
        <v/>
      </c>
      <c r="Q47" t="str">
        <f>IF(周转筐出入库明细!$D48="","",周转筐出入库明细!$D48)</f>
        <v>公司红周转筐</v>
      </c>
      <c r="R47">
        <f t="shared" si="8"/>
        <v>0</v>
      </c>
      <c r="S47">
        <f t="shared" si="9"/>
        <v>5</v>
      </c>
      <c r="W47" t="str">
        <f>IF(周转筐出入库明细!$C48="","",周转筐出入库明细!$C48)</f>
        <v>全修塑业</v>
      </c>
      <c r="X47">
        <f t="shared" si="11"/>
        <v>0</v>
      </c>
      <c r="Y47">
        <f t="shared" si="12"/>
        <v>12</v>
      </c>
      <c r="AA47" t="str">
        <f t="shared" si="13"/>
        <v/>
      </c>
      <c r="AC47" t="str">
        <f>IF(客户自备加工筐明细!$C47="","",客户自备加工筐明细!$C47)</f>
        <v/>
      </c>
      <c r="AD47">
        <f t="shared" si="14"/>
        <v>0</v>
      </c>
      <c r="AE47">
        <f t="shared" si="15"/>
        <v>1</v>
      </c>
      <c r="AI47" t="str">
        <f>IF(客户自备加工筐明细!$E47="","",客户自备加工筐明细!$E47)</f>
        <v/>
      </c>
      <c r="AJ47">
        <f t="shared" si="17"/>
        <v>0</v>
      </c>
      <c r="AK47">
        <f t="shared" si="18"/>
        <v>1</v>
      </c>
      <c r="AM47" t="str">
        <f>IFERROR(INDEX($AI$4:$AI$1503,MATCH(44,$AK$4:$AK$1503,0)),"")</f>
        <v/>
      </c>
      <c r="AO47" t="str">
        <f>IF(次果筐明细!$D47="","",次果筐明细!$D47)</f>
        <v/>
      </c>
      <c r="AP47">
        <f t="shared" si="19"/>
        <v>0</v>
      </c>
      <c r="AQ47">
        <f t="shared" si="20"/>
        <v>1</v>
      </c>
      <c r="AU47" t="str">
        <f>IF(次果筐明细!$C47="","",次果筐明细!$C47)</f>
        <v/>
      </c>
      <c r="AV47">
        <f t="shared" si="22"/>
        <v>0</v>
      </c>
      <c r="AW47">
        <f t="shared" si="23"/>
        <v>1</v>
      </c>
      <c r="AY47" t="str">
        <f t="shared" si="24"/>
        <v/>
      </c>
      <c r="BA47" t="str">
        <f>IF(对接源_01水果筐数!$B48="","",对接源_01水果筐数!$B48)</f>
        <v/>
      </c>
      <c r="BB47">
        <f t="shared" si="25"/>
        <v>0</v>
      </c>
      <c r="BC47">
        <f t="shared" si="26"/>
        <v>14</v>
      </c>
      <c r="BE47" t="str">
        <f t="shared" si="27"/>
        <v/>
      </c>
      <c r="BG47" t="str">
        <f>IF(对接源_01水果筐数!$C48="","",对接源_01水果筐数!$C48)</f>
        <v/>
      </c>
      <c r="BH47">
        <f t="shared" si="28"/>
        <v>0</v>
      </c>
      <c r="BI47">
        <f t="shared" si="29"/>
        <v>7</v>
      </c>
      <c r="BK47" t="str">
        <f t="shared" si="30"/>
        <v/>
      </c>
      <c r="BM47" t="str">
        <f t="shared" si="49"/>
        <v/>
      </c>
      <c r="BN47">
        <f t="shared" si="32"/>
        <v>0</v>
      </c>
      <c r="BO47">
        <f t="shared" si="33"/>
        <v>6</v>
      </c>
      <c r="BQ47" t="str">
        <f t="shared" si="34"/>
        <v/>
      </c>
      <c r="BS47" t="str">
        <f t="shared" si="35"/>
        <v/>
      </c>
      <c r="BT47">
        <f t="shared" si="36"/>
        <v>0</v>
      </c>
      <c r="BU47">
        <f t="shared" si="37"/>
        <v>9</v>
      </c>
      <c r="BW47" t="str">
        <f t="shared" si="38"/>
        <v/>
      </c>
      <c r="BY47" t="str">
        <f t="shared" si="39"/>
        <v/>
      </c>
      <c r="BZ47">
        <f t="shared" si="40"/>
        <v>0</v>
      </c>
      <c r="CA47">
        <f t="shared" si="41"/>
        <v>12</v>
      </c>
      <c r="CC47" t="str">
        <f t="shared" si="42"/>
        <v/>
      </c>
      <c r="CE47" t="str">
        <f>IF(基础资料!$P47="","",基础资料!$P47)</f>
        <v/>
      </c>
      <c r="CF47">
        <f>IF(CE47="",0,COUNTIF(包装物料出入库明细!$G$4:$G$2003,CE47))</f>
        <v>0</v>
      </c>
      <c r="CI47" t="str">
        <f>IF(基础资料!$D47="","",基础资料!$D47)</f>
        <v/>
      </c>
      <c r="CJ47">
        <f t="shared" si="43"/>
        <v>0</v>
      </c>
      <c r="CK47">
        <f t="shared" si="44"/>
        <v>19</v>
      </c>
      <c r="CL47" t="str">
        <f t="shared" si="45"/>
        <v/>
      </c>
      <c r="CP47">
        <f>IF(包装物料出入库明细!$D47="",0,1)</f>
        <v>0</v>
      </c>
      <c r="CQ47">
        <f t="shared" si="46"/>
        <v>37</v>
      </c>
      <c r="CS47" t="str">
        <f>IF(OR(周转筐出入库明细!$C48="",周转筐出入库明细!$F48&lt;&gt;"采购入库"),"",周转筐出入库明细!$C48)</f>
        <v>全修塑业</v>
      </c>
      <c r="CT47">
        <f t="shared" si="47"/>
        <v>0</v>
      </c>
      <c r="CU47">
        <f t="shared" si="48"/>
        <v>1</v>
      </c>
      <c r="CW47" t="str">
        <f>IFERROR(INDEX($CS$4:$CS$2003,MATCH(44,$CU$4:$CU$2003,0)),"")</f>
        <v/>
      </c>
    </row>
    <row r="48" spans="1:101">
      <c r="A48" t="str">
        <f>IF(包装物料出入库明细!$E48="","",包装物料出入库明细!$E48)</f>
        <v/>
      </c>
      <c r="B48">
        <f t="shared" si="0"/>
        <v>0</v>
      </c>
      <c r="C48">
        <f t="shared" si="1"/>
        <v>7</v>
      </c>
      <c r="D48" t="str">
        <f>IF(包装物料出入库明细!$E48="","",包装物料出入库明细!$F48)</f>
        <v/>
      </c>
      <c r="E48" t="str">
        <f>IF(包装物料出入库明细!$E48="","",包装物料出入库明细!$G48)</f>
        <v/>
      </c>
      <c r="G48" t="str">
        <f t="shared" si="2"/>
        <v/>
      </c>
      <c r="H48" t="str">
        <f t="shared" si="3"/>
        <v/>
      </c>
      <c r="I48" t="str">
        <f t="shared" si="4"/>
        <v/>
      </c>
      <c r="K48" t="str">
        <f>IF(包装物料出入库明细!$D48="","",包装物料出入库明细!$D48)</f>
        <v/>
      </c>
      <c r="L48">
        <f t="shared" si="5"/>
        <v>0</v>
      </c>
      <c r="M48">
        <f t="shared" si="6"/>
        <v>9</v>
      </c>
      <c r="O48" t="str">
        <f t="shared" si="7"/>
        <v/>
      </c>
      <c r="Q48" t="str">
        <f>IF(周转筐出入库明细!$D49="","",周转筐出入库明细!$D49)</f>
        <v>公司红周转筐</v>
      </c>
      <c r="R48">
        <f t="shared" si="8"/>
        <v>0</v>
      </c>
      <c r="S48">
        <f t="shared" si="9"/>
        <v>5</v>
      </c>
      <c r="W48" t="str">
        <f>IF(周转筐出入库明细!$C49="","",周转筐出入库明细!$C49)</f>
        <v>吐尔洪</v>
      </c>
      <c r="X48">
        <f t="shared" si="11"/>
        <v>0</v>
      </c>
      <c r="Y48">
        <f t="shared" si="12"/>
        <v>12</v>
      </c>
      <c r="AA48" t="str">
        <f t="shared" si="13"/>
        <v/>
      </c>
      <c r="AC48" t="str">
        <f>IF(客户自备加工筐明细!$C48="","",客户自备加工筐明细!$C48)</f>
        <v/>
      </c>
      <c r="AD48">
        <f t="shared" si="14"/>
        <v>0</v>
      </c>
      <c r="AE48">
        <f t="shared" si="15"/>
        <v>1</v>
      </c>
      <c r="AI48" t="str">
        <f>IF(客户自备加工筐明细!$E48="","",客户自备加工筐明细!$E48)</f>
        <v/>
      </c>
      <c r="AJ48">
        <f t="shared" si="17"/>
        <v>0</v>
      </c>
      <c r="AK48">
        <f t="shared" si="18"/>
        <v>1</v>
      </c>
      <c r="AM48" t="str">
        <f>IFERROR(INDEX($AI$4:$AI$1503,MATCH(45,$AK$4:$AK$1503,0)),"")</f>
        <v/>
      </c>
      <c r="AO48" t="str">
        <f>IF(次果筐明细!$D48="","",次果筐明细!$D48)</f>
        <v/>
      </c>
      <c r="AP48">
        <f t="shared" si="19"/>
        <v>0</v>
      </c>
      <c r="AQ48">
        <f t="shared" si="20"/>
        <v>1</v>
      </c>
      <c r="AU48" t="str">
        <f>IF(次果筐明细!$C48="","",次果筐明细!$C48)</f>
        <v/>
      </c>
      <c r="AV48">
        <f t="shared" si="22"/>
        <v>0</v>
      </c>
      <c r="AW48">
        <f t="shared" si="23"/>
        <v>1</v>
      </c>
      <c r="AY48" t="str">
        <f t="shared" si="24"/>
        <v/>
      </c>
      <c r="BA48" t="str">
        <f>IF(对接源_01水果筐数!$B49="","",对接源_01水果筐数!$B49)</f>
        <v/>
      </c>
      <c r="BB48">
        <f t="shared" si="25"/>
        <v>0</v>
      </c>
      <c r="BC48">
        <f t="shared" si="26"/>
        <v>14</v>
      </c>
      <c r="BE48" t="str">
        <f t="shared" si="27"/>
        <v/>
      </c>
      <c r="BG48" t="str">
        <f>IF(对接源_01水果筐数!$C49="","",对接源_01水果筐数!$C49)</f>
        <v/>
      </c>
      <c r="BH48">
        <f t="shared" si="28"/>
        <v>0</v>
      </c>
      <c r="BI48">
        <f t="shared" si="29"/>
        <v>7</v>
      </c>
      <c r="BK48" t="str">
        <f t="shared" si="30"/>
        <v/>
      </c>
      <c r="BM48" t="str">
        <f t="shared" si="49"/>
        <v/>
      </c>
      <c r="BN48">
        <f t="shared" si="32"/>
        <v>0</v>
      </c>
      <c r="BO48">
        <f t="shared" si="33"/>
        <v>6</v>
      </c>
      <c r="BQ48" t="str">
        <f t="shared" si="34"/>
        <v/>
      </c>
      <c r="BS48" t="str">
        <f t="shared" si="35"/>
        <v/>
      </c>
      <c r="BT48">
        <f t="shared" si="36"/>
        <v>0</v>
      </c>
      <c r="BU48">
        <f t="shared" si="37"/>
        <v>9</v>
      </c>
      <c r="BW48" t="str">
        <f t="shared" si="38"/>
        <v/>
      </c>
      <c r="BY48" t="str">
        <f t="shared" si="39"/>
        <v/>
      </c>
      <c r="BZ48">
        <f t="shared" si="40"/>
        <v>0</v>
      </c>
      <c r="CA48">
        <f t="shared" si="41"/>
        <v>12</v>
      </c>
      <c r="CC48" t="str">
        <f t="shared" si="42"/>
        <v/>
      </c>
      <c r="CE48" t="str">
        <f>IF(基础资料!$P48="","",基础资料!$P48)</f>
        <v/>
      </c>
      <c r="CF48">
        <f>IF(CE48="",0,COUNTIF(包装物料出入库明细!$G$4:$G$2003,CE48))</f>
        <v>0</v>
      </c>
      <c r="CI48" t="str">
        <f>IF(基础资料!$D48="","",基础资料!$D48)</f>
        <v/>
      </c>
      <c r="CJ48">
        <f t="shared" si="43"/>
        <v>0</v>
      </c>
      <c r="CK48">
        <f t="shared" si="44"/>
        <v>19</v>
      </c>
      <c r="CL48" t="str">
        <f t="shared" si="45"/>
        <v/>
      </c>
      <c r="CP48">
        <f>IF(包装物料出入库明细!$D48="",0,1)</f>
        <v>0</v>
      </c>
      <c r="CQ48">
        <f t="shared" si="46"/>
        <v>37</v>
      </c>
      <c r="CS48" t="str">
        <f>IF(OR(周转筐出入库明细!$C49="",周转筐出入库明细!$F49&lt;&gt;"采购入库"),"",周转筐出入库明细!$C49)</f>
        <v/>
      </c>
      <c r="CT48">
        <f t="shared" si="47"/>
        <v>0</v>
      </c>
      <c r="CU48">
        <f t="shared" si="48"/>
        <v>1</v>
      </c>
      <c r="CW48" t="str">
        <f>IFERROR(INDEX($CS$4:$CS$2003,MATCH(45,$CU$4:$CU$2003,0)),"")</f>
        <v/>
      </c>
    </row>
    <row r="49" spans="1:101">
      <c r="A49" t="str">
        <f>IF(包装物料出入库明细!$E49="","",包装物料出入库明细!$E49)</f>
        <v/>
      </c>
      <c r="B49">
        <f t="shared" si="0"/>
        <v>0</v>
      </c>
      <c r="C49">
        <f t="shared" si="1"/>
        <v>7</v>
      </c>
      <c r="D49" t="str">
        <f>IF(包装物料出入库明细!$E49="","",包装物料出入库明细!$F49)</f>
        <v/>
      </c>
      <c r="E49" t="str">
        <f>IF(包装物料出入库明细!$E49="","",包装物料出入库明细!$G49)</f>
        <v/>
      </c>
      <c r="G49" t="str">
        <f t="shared" si="2"/>
        <v/>
      </c>
      <c r="H49" t="str">
        <f t="shared" si="3"/>
        <v/>
      </c>
      <c r="I49" t="str">
        <f t="shared" si="4"/>
        <v/>
      </c>
      <c r="K49" t="str">
        <f>IF(包装物料出入库明细!$D49="","",包装物料出入库明细!$D49)</f>
        <v/>
      </c>
      <c r="L49">
        <f t="shared" si="5"/>
        <v>0</v>
      </c>
      <c r="M49">
        <f t="shared" si="6"/>
        <v>9</v>
      </c>
      <c r="O49" t="str">
        <f t="shared" si="7"/>
        <v/>
      </c>
      <c r="Q49" t="str">
        <f>IF(周转筐出入库明细!$D50="","",周转筐出入库明细!$D50)</f>
        <v>公司红周转筐</v>
      </c>
      <c r="R49">
        <f t="shared" si="8"/>
        <v>0</v>
      </c>
      <c r="S49">
        <f t="shared" si="9"/>
        <v>5</v>
      </c>
      <c r="W49" t="str">
        <f>IF(周转筐出入库明细!$C50="","",周转筐出入库明细!$C50)</f>
        <v>荆建君</v>
      </c>
      <c r="X49">
        <f t="shared" si="11"/>
        <v>0</v>
      </c>
      <c r="Y49">
        <f t="shared" si="12"/>
        <v>12</v>
      </c>
      <c r="AA49" t="str">
        <f t="shared" si="13"/>
        <v/>
      </c>
      <c r="AC49" t="str">
        <f>IF(客户自备加工筐明细!$C49="","",客户自备加工筐明细!$C49)</f>
        <v/>
      </c>
      <c r="AD49">
        <f t="shared" si="14"/>
        <v>0</v>
      </c>
      <c r="AE49">
        <f t="shared" si="15"/>
        <v>1</v>
      </c>
      <c r="AI49" t="str">
        <f>IF(客户自备加工筐明细!$E49="","",客户自备加工筐明细!$E49)</f>
        <v/>
      </c>
      <c r="AJ49">
        <f t="shared" si="17"/>
        <v>0</v>
      </c>
      <c r="AK49">
        <f t="shared" si="18"/>
        <v>1</v>
      </c>
      <c r="AM49" t="str">
        <f>IFERROR(INDEX($AI$4:$AI$1503,MATCH(46,$AK$4:$AK$1503,0)),"")</f>
        <v/>
      </c>
      <c r="AO49" t="str">
        <f>IF(次果筐明细!$D49="","",次果筐明细!$D49)</f>
        <v/>
      </c>
      <c r="AP49">
        <f t="shared" si="19"/>
        <v>0</v>
      </c>
      <c r="AQ49">
        <f t="shared" si="20"/>
        <v>1</v>
      </c>
      <c r="AU49" t="str">
        <f>IF(次果筐明细!$C49="","",次果筐明细!$C49)</f>
        <v/>
      </c>
      <c r="AV49">
        <f t="shared" si="22"/>
        <v>0</v>
      </c>
      <c r="AW49">
        <f t="shared" si="23"/>
        <v>1</v>
      </c>
      <c r="AY49" t="str">
        <f t="shared" si="24"/>
        <v/>
      </c>
      <c r="BA49" t="str">
        <f>IF(对接源_01水果筐数!$B50="","",对接源_01水果筐数!$B50)</f>
        <v/>
      </c>
      <c r="BB49">
        <f t="shared" si="25"/>
        <v>0</v>
      </c>
      <c r="BC49">
        <f t="shared" si="26"/>
        <v>14</v>
      </c>
      <c r="BE49" t="str">
        <f t="shared" si="27"/>
        <v/>
      </c>
      <c r="BG49" t="str">
        <f>IF(对接源_01水果筐数!$C50="","",对接源_01水果筐数!$C50)</f>
        <v/>
      </c>
      <c r="BH49">
        <f t="shared" si="28"/>
        <v>0</v>
      </c>
      <c r="BI49">
        <f t="shared" si="29"/>
        <v>7</v>
      </c>
      <c r="BK49" t="str">
        <f t="shared" si="30"/>
        <v/>
      </c>
      <c r="BM49" t="str">
        <f t="shared" si="49"/>
        <v/>
      </c>
      <c r="BN49">
        <f t="shared" si="32"/>
        <v>0</v>
      </c>
      <c r="BO49">
        <f t="shared" si="33"/>
        <v>6</v>
      </c>
      <c r="BQ49" t="str">
        <f t="shared" si="34"/>
        <v/>
      </c>
      <c r="BS49" t="str">
        <f t="shared" si="35"/>
        <v/>
      </c>
      <c r="BT49">
        <f t="shared" si="36"/>
        <v>0</v>
      </c>
      <c r="BU49">
        <f t="shared" si="37"/>
        <v>9</v>
      </c>
      <c r="BW49" t="str">
        <f t="shared" si="38"/>
        <v/>
      </c>
      <c r="BY49" t="str">
        <f t="shared" si="39"/>
        <v/>
      </c>
      <c r="BZ49">
        <f t="shared" si="40"/>
        <v>0</v>
      </c>
      <c r="CA49">
        <f t="shared" si="41"/>
        <v>12</v>
      </c>
      <c r="CC49" t="str">
        <f t="shared" si="42"/>
        <v/>
      </c>
      <c r="CE49" t="str">
        <f>IF(基础资料!$P49="","",基础资料!$P49)</f>
        <v/>
      </c>
      <c r="CF49">
        <f>IF(CE49="",0,COUNTIF(包装物料出入库明细!$G$4:$G$2003,CE49))</f>
        <v>0</v>
      </c>
      <c r="CI49" t="str">
        <f>IF(基础资料!$D49="","",基础资料!$D49)</f>
        <v/>
      </c>
      <c r="CJ49">
        <f t="shared" si="43"/>
        <v>0</v>
      </c>
      <c r="CK49">
        <f t="shared" si="44"/>
        <v>19</v>
      </c>
      <c r="CL49" t="str">
        <f t="shared" si="45"/>
        <v/>
      </c>
      <c r="CP49">
        <f>IF(包装物料出入库明细!$D49="",0,1)</f>
        <v>0</v>
      </c>
      <c r="CQ49">
        <f t="shared" si="46"/>
        <v>37</v>
      </c>
      <c r="CS49" t="str">
        <f>IF(OR(周转筐出入库明细!$C50="",周转筐出入库明细!$F50&lt;&gt;"采购入库"),"",周转筐出入库明细!$C50)</f>
        <v/>
      </c>
      <c r="CT49">
        <f t="shared" si="47"/>
        <v>0</v>
      </c>
      <c r="CU49">
        <f t="shared" si="48"/>
        <v>1</v>
      </c>
      <c r="CW49" t="str">
        <f>IFERROR(INDEX($CS$4:$CS$2003,MATCH(46,$CU$4:$CU$2003,0)),"")</f>
        <v/>
      </c>
    </row>
    <row r="50" spans="1:101">
      <c r="A50" t="str">
        <f>IF(包装物料出入库明细!$E50="","",包装物料出入库明细!$E50)</f>
        <v/>
      </c>
      <c r="B50">
        <f t="shared" si="0"/>
        <v>0</v>
      </c>
      <c r="C50">
        <f t="shared" si="1"/>
        <v>7</v>
      </c>
      <c r="D50" t="str">
        <f>IF(包装物料出入库明细!$E50="","",包装物料出入库明细!$F50)</f>
        <v/>
      </c>
      <c r="E50" t="str">
        <f>IF(包装物料出入库明细!$E50="","",包装物料出入库明细!$G50)</f>
        <v/>
      </c>
      <c r="G50" t="str">
        <f t="shared" si="2"/>
        <v/>
      </c>
      <c r="H50" t="str">
        <f t="shared" si="3"/>
        <v/>
      </c>
      <c r="I50" t="str">
        <f t="shared" si="4"/>
        <v/>
      </c>
      <c r="K50" t="str">
        <f>IF(包装物料出入库明细!$D50="","",包装物料出入库明细!$D50)</f>
        <v/>
      </c>
      <c r="L50">
        <f t="shared" si="5"/>
        <v>0</v>
      </c>
      <c r="M50">
        <f t="shared" si="6"/>
        <v>9</v>
      </c>
      <c r="O50" t="str">
        <f t="shared" si="7"/>
        <v/>
      </c>
      <c r="Q50" t="str">
        <f>IF(周转筐出入库明细!$D51="","",周转筐出入库明细!$D51)</f>
        <v>公司红周转筐</v>
      </c>
      <c r="R50">
        <f t="shared" si="8"/>
        <v>0</v>
      </c>
      <c r="S50">
        <f t="shared" si="9"/>
        <v>5</v>
      </c>
      <c r="W50" t="str">
        <f>IF(周转筐出入库明细!$C51="","",周转筐出入库明细!$C51)</f>
        <v>麦麦提</v>
      </c>
      <c r="X50">
        <f t="shared" si="11"/>
        <v>0</v>
      </c>
      <c r="Y50">
        <f t="shared" si="12"/>
        <v>12</v>
      </c>
      <c r="AA50" t="str">
        <f t="shared" si="13"/>
        <v/>
      </c>
      <c r="AC50" t="str">
        <f>IF(客户自备加工筐明细!$C50="","",客户自备加工筐明细!$C50)</f>
        <v/>
      </c>
      <c r="AD50">
        <f t="shared" si="14"/>
        <v>0</v>
      </c>
      <c r="AE50">
        <f t="shared" si="15"/>
        <v>1</v>
      </c>
      <c r="AI50" t="str">
        <f>IF(客户自备加工筐明细!$E50="","",客户自备加工筐明细!$E50)</f>
        <v/>
      </c>
      <c r="AJ50">
        <f t="shared" si="17"/>
        <v>0</v>
      </c>
      <c r="AK50">
        <f t="shared" si="18"/>
        <v>1</v>
      </c>
      <c r="AM50" t="str">
        <f>IFERROR(INDEX($AI$4:$AI$1503,MATCH(47,$AK$4:$AK$1503,0)),"")</f>
        <v/>
      </c>
      <c r="AO50" t="str">
        <f>IF(次果筐明细!$D50="","",次果筐明细!$D50)</f>
        <v/>
      </c>
      <c r="AP50">
        <f t="shared" si="19"/>
        <v>0</v>
      </c>
      <c r="AQ50">
        <f t="shared" si="20"/>
        <v>1</v>
      </c>
      <c r="AU50" t="str">
        <f>IF(次果筐明细!$C50="","",次果筐明细!$C50)</f>
        <v/>
      </c>
      <c r="AV50">
        <f t="shared" si="22"/>
        <v>0</v>
      </c>
      <c r="AW50">
        <f t="shared" si="23"/>
        <v>1</v>
      </c>
      <c r="AY50" t="str">
        <f t="shared" si="24"/>
        <v/>
      </c>
      <c r="BA50" t="str">
        <f>IF(对接源_01水果筐数!$B51="","",对接源_01水果筐数!$B51)</f>
        <v/>
      </c>
      <c r="BB50">
        <f t="shared" si="25"/>
        <v>0</v>
      </c>
      <c r="BC50">
        <f t="shared" si="26"/>
        <v>14</v>
      </c>
      <c r="BE50" t="str">
        <f t="shared" si="27"/>
        <v/>
      </c>
      <c r="BG50" t="str">
        <f>IF(对接源_01水果筐数!$C51="","",对接源_01水果筐数!$C51)</f>
        <v/>
      </c>
      <c r="BH50">
        <f t="shared" si="28"/>
        <v>0</v>
      </c>
      <c r="BI50">
        <f t="shared" si="29"/>
        <v>7</v>
      </c>
      <c r="BK50" t="str">
        <f t="shared" si="30"/>
        <v/>
      </c>
      <c r="BM50" t="str">
        <f t="shared" si="49"/>
        <v/>
      </c>
      <c r="BN50">
        <f t="shared" si="32"/>
        <v>0</v>
      </c>
      <c r="BO50">
        <f t="shared" si="33"/>
        <v>6</v>
      </c>
      <c r="BQ50" t="str">
        <f t="shared" si="34"/>
        <v/>
      </c>
      <c r="BS50" t="str">
        <f t="shared" si="35"/>
        <v/>
      </c>
      <c r="BT50">
        <f t="shared" si="36"/>
        <v>0</v>
      </c>
      <c r="BU50">
        <f t="shared" si="37"/>
        <v>9</v>
      </c>
      <c r="BW50" t="str">
        <f t="shared" si="38"/>
        <v/>
      </c>
      <c r="BY50" t="str">
        <f t="shared" si="39"/>
        <v/>
      </c>
      <c r="BZ50">
        <f t="shared" si="40"/>
        <v>0</v>
      </c>
      <c r="CA50">
        <f t="shared" si="41"/>
        <v>12</v>
      </c>
      <c r="CC50" t="str">
        <f t="shared" si="42"/>
        <v/>
      </c>
      <c r="CE50" t="str">
        <f>IF(基础资料!$P50="","",基础资料!$P50)</f>
        <v/>
      </c>
      <c r="CF50">
        <f>IF(CE50="",0,COUNTIF(包装物料出入库明细!$G$4:$G$2003,CE50))</f>
        <v>0</v>
      </c>
      <c r="CI50" t="str">
        <f>IF(基础资料!$D50="","",基础资料!$D50)</f>
        <v/>
      </c>
      <c r="CJ50">
        <f t="shared" si="43"/>
        <v>0</v>
      </c>
      <c r="CK50">
        <f t="shared" si="44"/>
        <v>19</v>
      </c>
      <c r="CL50" t="str">
        <f t="shared" si="45"/>
        <v/>
      </c>
      <c r="CP50">
        <f>IF(包装物料出入库明细!$D50="",0,1)</f>
        <v>0</v>
      </c>
      <c r="CQ50">
        <f t="shared" si="46"/>
        <v>37</v>
      </c>
      <c r="CS50" t="str">
        <f>IF(OR(周转筐出入库明细!$C51="",周转筐出入库明细!$F51&lt;&gt;"采购入库"),"",周转筐出入库明细!$C51)</f>
        <v/>
      </c>
      <c r="CT50">
        <f t="shared" si="47"/>
        <v>0</v>
      </c>
      <c r="CU50">
        <f t="shared" si="48"/>
        <v>1</v>
      </c>
      <c r="CW50" t="str">
        <f>IFERROR(INDEX($CS$4:$CS$2003,MATCH(47,$CU$4:$CU$2003,0)),"")</f>
        <v/>
      </c>
    </row>
    <row r="51" spans="1:101">
      <c r="A51" t="str">
        <f>IF(包装物料出入库明细!$E51="","",包装物料出入库明细!$E51)</f>
        <v/>
      </c>
      <c r="B51">
        <f t="shared" si="0"/>
        <v>0</v>
      </c>
      <c r="C51">
        <f t="shared" si="1"/>
        <v>7</v>
      </c>
      <c r="D51" t="str">
        <f>IF(包装物料出入库明细!$E51="","",包装物料出入库明细!$F51)</f>
        <v/>
      </c>
      <c r="E51" t="str">
        <f>IF(包装物料出入库明细!$E51="","",包装物料出入库明细!$G51)</f>
        <v/>
      </c>
      <c r="G51" t="str">
        <f t="shared" si="2"/>
        <v/>
      </c>
      <c r="H51" t="str">
        <f t="shared" si="3"/>
        <v/>
      </c>
      <c r="I51" t="str">
        <f t="shared" si="4"/>
        <v/>
      </c>
      <c r="K51" t="str">
        <f>IF(包装物料出入库明细!$D51="","",包装物料出入库明细!$D51)</f>
        <v/>
      </c>
      <c r="L51">
        <f t="shared" si="5"/>
        <v>0</v>
      </c>
      <c r="M51">
        <f t="shared" si="6"/>
        <v>9</v>
      </c>
      <c r="O51" t="str">
        <f t="shared" si="7"/>
        <v/>
      </c>
      <c r="Q51" t="str">
        <f>IF(周转筐出入库明细!$D52="","",周转筐出入库明细!$D52)</f>
        <v>公司一次性筐</v>
      </c>
      <c r="R51">
        <f t="shared" si="8"/>
        <v>0</v>
      </c>
      <c r="S51">
        <f t="shared" si="9"/>
        <v>5</v>
      </c>
      <c r="W51" t="str">
        <f>IF(周转筐出入库明细!$C52="","",周转筐出入库明细!$C52)</f>
        <v>王照雪</v>
      </c>
      <c r="X51">
        <f t="shared" si="11"/>
        <v>0</v>
      </c>
      <c r="Y51">
        <f t="shared" si="12"/>
        <v>12</v>
      </c>
      <c r="AA51" t="str">
        <f t="shared" si="13"/>
        <v/>
      </c>
      <c r="AC51" t="str">
        <f>IF(客户自备加工筐明细!$C51="","",客户自备加工筐明细!$C51)</f>
        <v/>
      </c>
      <c r="AD51">
        <f t="shared" si="14"/>
        <v>0</v>
      </c>
      <c r="AE51">
        <f t="shared" si="15"/>
        <v>1</v>
      </c>
      <c r="AI51" t="str">
        <f>IF(客户自备加工筐明细!$E51="","",客户自备加工筐明细!$E51)</f>
        <v/>
      </c>
      <c r="AJ51">
        <f t="shared" si="17"/>
        <v>0</v>
      </c>
      <c r="AK51">
        <f t="shared" si="18"/>
        <v>1</v>
      </c>
      <c r="AM51" t="str">
        <f>IFERROR(INDEX($AI$4:$AI$1503,MATCH(48,$AK$4:$AK$1503,0)),"")</f>
        <v/>
      </c>
      <c r="AO51" t="str">
        <f>IF(次果筐明细!$D51="","",次果筐明细!$D51)</f>
        <v/>
      </c>
      <c r="AP51">
        <f t="shared" si="19"/>
        <v>0</v>
      </c>
      <c r="AQ51">
        <f t="shared" si="20"/>
        <v>1</v>
      </c>
      <c r="AU51" t="str">
        <f>IF(次果筐明细!$C51="","",次果筐明细!$C51)</f>
        <v/>
      </c>
      <c r="AV51">
        <f t="shared" si="22"/>
        <v>0</v>
      </c>
      <c r="AW51">
        <f t="shared" si="23"/>
        <v>1</v>
      </c>
      <c r="AY51" t="str">
        <f t="shared" si="24"/>
        <v/>
      </c>
      <c r="BA51" t="str">
        <f>IF(对接源_01水果筐数!$B52="","",对接源_01水果筐数!$B52)</f>
        <v/>
      </c>
      <c r="BB51">
        <f t="shared" si="25"/>
        <v>0</v>
      </c>
      <c r="BC51">
        <f t="shared" si="26"/>
        <v>14</v>
      </c>
      <c r="BE51" t="str">
        <f t="shared" si="27"/>
        <v/>
      </c>
      <c r="BG51" t="str">
        <f>IF(对接源_01水果筐数!$C52="","",对接源_01水果筐数!$C52)</f>
        <v/>
      </c>
      <c r="BH51">
        <f t="shared" si="28"/>
        <v>0</v>
      </c>
      <c r="BI51">
        <f t="shared" si="29"/>
        <v>7</v>
      </c>
      <c r="BK51" t="str">
        <f t="shared" si="30"/>
        <v/>
      </c>
      <c r="BM51" t="str">
        <f t="shared" si="49"/>
        <v/>
      </c>
      <c r="BN51">
        <f t="shared" si="32"/>
        <v>0</v>
      </c>
      <c r="BO51">
        <f t="shared" si="33"/>
        <v>6</v>
      </c>
      <c r="BQ51" t="str">
        <f t="shared" si="34"/>
        <v/>
      </c>
      <c r="BS51" t="str">
        <f t="shared" si="35"/>
        <v/>
      </c>
      <c r="BT51">
        <f t="shared" si="36"/>
        <v>0</v>
      </c>
      <c r="BU51">
        <f t="shared" si="37"/>
        <v>9</v>
      </c>
      <c r="BW51" t="str">
        <f t="shared" si="38"/>
        <v/>
      </c>
      <c r="BY51" t="str">
        <f t="shared" si="39"/>
        <v/>
      </c>
      <c r="BZ51">
        <f t="shared" si="40"/>
        <v>0</v>
      </c>
      <c r="CA51">
        <f t="shared" si="41"/>
        <v>12</v>
      </c>
      <c r="CC51" t="str">
        <f t="shared" si="42"/>
        <v/>
      </c>
      <c r="CE51" t="str">
        <f>IF(基础资料!$P51="","",基础资料!$P51)</f>
        <v/>
      </c>
      <c r="CF51">
        <f>IF(CE51="",0,COUNTIF(包装物料出入库明细!$G$4:$G$2003,CE51))</f>
        <v>0</v>
      </c>
      <c r="CI51" t="str">
        <f>IF(基础资料!$D51="","",基础资料!$D51)</f>
        <v/>
      </c>
      <c r="CJ51">
        <f t="shared" si="43"/>
        <v>0</v>
      </c>
      <c r="CK51">
        <f t="shared" si="44"/>
        <v>19</v>
      </c>
      <c r="CL51" t="str">
        <f t="shared" si="45"/>
        <v/>
      </c>
      <c r="CP51">
        <f>IF(包装物料出入库明细!$D51="",0,1)</f>
        <v>0</v>
      </c>
      <c r="CQ51">
        <f t="shared" si="46"/>
        <v>37</v>
      </c>
      <c r="CS51" t="str">
        <f>IF(OR(周转筐出入库明细!$C52="",周转筐出入库明细!$F52&lt;&gt;"采购入库"),"",周转筐出入库明细!$C52)</f>
        <v/>
      </c>
      <c r="CT51">
        <f t="shared" si="47"/>
        <v>0</v>
      </c>
      <c r="CU51">
        <f t="shared" si="48"/>
        <v>1</v>
      </c>
      <c r="CW51" t="str">
        <f>IFERROR(INDEX($CS$4:$CS$2003,MATCH(48,$CU$4:$CU$2003,0)),"")</f>
        <v/>
      </c>
    </row>
    <row r="52" spans="1:101">
      <c r="A52" t="str">
        <f>IF(包装物料出入库明细!$E52="","",包装物料出入库明细!$E52)</f>
        <v/>
      </c>
      <c r="B52">
        <f t="shared" si="0"/>
        <v>0</v>
      </c>
      <c r="C52">
        <f t="shared" si="1"/>
        <v>7</v>
      </c>
      <c r="D52" t="str">
        <f>IF(包装物料出入库明细!$E52="","",包装物料出入库明细!$F52)</f>
        <v/>
      </c>
      <c r="E52" t="str">
        <f>IF(包装物料出入库明细!$E52="","",包装物料出入库明细!$G52)</f>
        <v/>
      </c>
      <c r="G52" t="str">
        <f t="shared" si="2"/>
        <v/>
      </c>
      <c r="H52" t="str">
        <f t="shared" si="3"/>
        <v/>
      </c>
      <c r="I52" t="str">
        <f t="shared" si="4"/>
        <v/>
      </c>
      <c r="K52" t="str">
        <f>IF(包装物料出入库明细!$D52="","",包装物料出入库明细!$D52)</f>
        <v/>
      </c>
      <c r="L52">
        <f t="shared" si="5"/>
        <v>0</v>
      </c>
      <c r="M52">
        <f t="shared" si="6"/>
        <v>9</v>
      </c>
      <c r="O52" t="str">
        <f t="shared" si="7"/>
        <v/>
      </c>
      <c r="Q52" t="str">
        <f>IF(周转筐出入库明细!$D53="","",周转筐出入库明细!$D53)</f>
        <v>公司红周转筐</v>
      </c>
      <c r="R52">
        <f t="shared" si="8"/>
        <v>0</v>
      </c>
      <c r="S52">
        <f t="shared" si="9"/>
        <v>5</v>
      </c>
      <c r="W52" t="str">
        <f>IF(周转筐出入库明细!$C53="","",周转筐出入库明细!$C53)</f>
        <v>全修塑业</v>
      </c>
      <c r="X52">
        <f t="shared" si="11"/>
        <v>0</v>
      </c>
      <c r="Y52">
        <f t="shared" si="12"/>
        <v>12</v>
      </c>
      <c r="AA52" t="str">
        <f t="shared" si="13"/>
        <v/>
      </c>
      <c r="AC52" t="str">
        <f>IF(客户自备加工筐明细!$C52="","",客户自备加工筐明细!$C52)</f>
        <v/>
      </c>
      <c r="AD52">
        <f t="shared" si="14"/>
        <v>0</v>
      </c>
      <c r="AE52">
        <f t="shared" si="15"/>
        <v>1</v>
      </c>
      <c r="AI52" t="str">
        <f>IF(客户自备加工筐明细!$E52="","",客户自备加工筐明细!$E52)</f>
        <v/>
      </c>
      <c r="AJ52">
        <f t="shared" si="17"/>
        <v>0</v>
      </c>
      <c r="AK52">
        <f t="shared" si="18"/>
        <v>1</v>
      </c>
      <c r="AM52" t="str">
        <f>IFERROR(INDEX($AI$4:$AI$1503,MATCH(49,$AK$4:$AK$1503,0)),"")</f>
        <v/>
      </c>
      <c r="AO52" t="str">
        <f>IF(次果筐明细!$D52="","",次果筐明细!$D52)</f>
        <v/>
      </c>
      <c r="AP52">
        <f t="shared" si="19"/>
        <v>0</v>
      </c>
      <c r="AQ52">
        <f t="shared" si="20"/>
        <v>1</v>
      </c>
      <c r="AU52" t="str">
        <f>IF(次果筐明细!$C52="","",次果筐明细!$C52)</f>
        <v/>
      </c>
      <c r="AV52">
        <f t="shared" si="22"/>
        <v>0</v>
      </c>
      <c r="AW52">
        <f t="shared" si="23"/>
        <v>1</v>
      </c>
      <c r="AY52" t="str">
        <f t="shared" si="24"/>
        <v/>
      </c>
      <c r="BA52" t="str">
        <f>IF(对接源_01水果筐数!$B53="","",对接源_01水果筐数!$B53)</f>
        <v/>
      </c>
      <c r="BB52">
        <f t="shared" si="25"/>
        <v>0</v>
      </c>
      <c r="BC52">
        <f t="shared" si="26"/>
        <v>14</v>
      </c>
      <c r="BE52" t="str">
        <f t="shared" si="27"/>
        <v/>
      </c>
      <c r="BG52" t="str">
        <f>IF(对接源_01水果筐数!$C53="","",对接源_01水果筐数!$C53)</f>
        <v/>
      </c>
      <c r="BH52">
        <f t="shared" si="28"/>
        <v>0</v>
      </c>
      <c r="BI52">
        <f t="shared" si="29"/>
        <v>7</v>
      </c>
      <c r="BK52" t="str">
        <f t="shared" si="30"/>
        <v/>
      </c>
      <c r="BM52" t="str">
        <f t="shared" si="49"/>
        <v/>
      </c>
      <c r="BN52">
        <f t="shared" si="32"/>
        <v>0</v>
      </c>
      <c r="BO52">
        <f t="shared" si="33"/>
        <v>6</v>
      </c>
      <c r="BQ52" t="str">
        <f t="shared" si="34"/>
        <v/>
      </c>
      <c r="BS52" t="str">
        <f t="shared" si="35"/>
        <v/>
      </c>
      <c r="BT52">
        <f t="shared" si="36"/>
        <v>0</v>
      </c>
      <c r="BU52">
        <f t="shared" si="37"/>
        <v>9</v>
      </c>
      <c r="BW52" t="str">
        <f t="shared" si="38"/>
        <v/>
      </c>
      <c r="BY52" t="str">
        <f t="shared" si="39"/>
        <v/>
      </c>
      <c r="BZ52">
        <f t="shared" si="40"/>
        <v>0</v>
      </c>
      <c r="CA52">
        <f t="shared" si="41"/>
        <v>12</v>
      </c>
      <c r="CC52" t="str">
        <f t="shared" si="42"/>
        <v/>
      </c>
      <c r="CE52" t="str">
        <f>IF(基础资料!$P52="","",基础资料!$P52)</f>
        <v/>
      </c>
      <c r="CF52">
        <f>IF(CE52="",0,COUNTIF(包装物料出入库明细!$G$4:$G$2003,CE52))</f>
        <v>0</v>
      </c>
      <c r="CI52" t="str">
        <f>IF(基础资料!$D52="","",基础资料!$D52)</f>
        <v/>
      </c>
      <c r="CJ52">
        <f t="shared" si="43"/>
        <v>0</v>
      </c>
      <c r="CK52">
        <f t="shared" si="44"/>
        <v>19</v>
      </c>
      <c r="CL52" t="str">
        <f t="shared" si="45"/>
        <v/>
      </c>
      <c r="CP52">
        <f>IF(包装物料出入库明细!$D52="",0,1)</f>
        <v>0</v>
      </c>
      <c r="CQ52">
        <f t="shared" si="46"/>
        <v>37</v>
      </c>
      <c r="CS52" t="str">
        <f>IF(OR(周转筐出入库明细!$C53="",周转筐出入库明细!$F53&lt;&gt;"采购入库"),"",周转筐出入库明细!$C53)</f>
        <v>全修塑业</v>
      </c>
      <c r="CT52">
        <f t="shared" si="47"/>
        <v>0</v>
      </c>
      <c r="CU52">
        <f t="shared" si="48"/>
        <v>1</v>
      </c>
      <c r="CW52" t="str">
        <f>IFERROR(INDEX($CS$4:$CS$2003,MATCH(49,$CU$4:$CU$2003,0)),"")</f>
        <v/>
      </c>
    </row>
    <row r="53" spans="1:101">
      <c r="A53" t="str">
        <f>IF(包装物料出入库明细!$E53="","",包装物料出入库明细!$E53)</f>
        <v/>
      </c>
      <c r="B53">
        <f t="shared" si="0"/>
        <v>0</v>
      </c>
      <c r="C53">
        <f t="shared" si="1"/>
        <v>7</v>
      </c>
      <c r="D53" t="str">
        <f>IF(包装物料出入库明细!$E53="","",包装物料出入库明细!$F53)</f>
        <v/>
      </c>
      <c r="E53" t="str">
        <f>IF(包装物料出入库明细!$E53="","",包装物料出入库明细!$G53)</f>
        <v/>
      </c>
      <c r="G53" t="str">
        <f t="shared" si="2"/>
        <v/>
      </c>
      <c r="H53" t="str">
        <f t="shared" si="3"/>
        <v/>
      </c>
      <c r="I53" t="str">
        <f t="shared" si="4"/>
        <v/>
      </c>
      <c r="K53" t="str">
        <f>IF(包装物料出入库明细!$D53="","",包装物料出入库明细!$D53)</f>
        <v/>
      </c>
      <c r="L53">
        <f t="shared" si="5"/>
        <v>0</v>
      </c>
      <c r="M53">
        <f t="shared" si="6"/>
        <v>9</v>
      </c>
      <c r="O53" t="str">
        <f t="shared" si="7"/>
        <v/>
      </c>
      <c r="Q53" t="str">
        <f>IF(周转筐出入库明细!$D54="","",周转筐出入库明细!$D54)</f>
        <v>公司红周转筐</v>
      </c>
      <c r="R53">
        <f t="shared" si="8"/>
        <v>0</v>
      </c>
      <c r="S53">
        <f t="shared" si="9"/>
        <v>5</v>
      </c>
      <c r="W53" t="str">
        <f>IF(周转筐出入库明细!$C54="","",周转筐出入库明细!$C54)</f>
        <v>王灵云</v>
      </c>
      <c r="X53">
        <f t="shared" si="11"/>
        <v>0</v>
      </c>
      <c r="Y53">
        <f t="shared" si="12"/>
        <v>12</v>
      </c>
      <c r="AA53" t="str">
        <f t="shared" si="13"/>
        <v/>
      </c>
      <c r="AC53" t="str">
        <f>IF(客户自备加工筐明细!$C53="","",客户自备加工筐明细!$C53)</f>
        <v/>
      </c>
      <c r="AD53">
        <f t="shared" si="14"/>
        <v>0</v>
      </c>
      <c r="AE53">
        <f t="shared" si="15"/>
        <v>1</v>
      </c>
      <c r="AI53" t="str">
        <f>IF(客户自备加工筐明细!$E53="","",客户自备加工筐明细!$E53)</f>
        <v/>
      </c>
      <c r="AJ53">
        <f t="shared" si="17"/>
        <v>0</v>
      </c>
      <c r="AK53">
        <f t="shared" si="18"/>
        <v>1</v>
      </c>
      <c r="AM53" t="str">
        <f>IFERROR(INDEX($AI$4:$AI$1503,MATCH(50,$AK$4:$AK$1503,0)),"")</f>
        <v/>
      </c>
      <c r="AO53" t="str">
        <f>IF(次果筐明细!$D53="","",次果筐明细!$D53)</f>
        <v/>
      </c>
      <c r="AP53">
        <f t="shared" si="19"/>
        <v>0</v>
      </c>
      <c r="AQ53">
        <f t="shared" si="20"/>
        <v>1</v>
      </c>
      <c r="AU53" t="str">
        <f>IF(次果筐明细!$C53="","",次果筐明细!$C53)</f>
        <v/>
      </c>
      <c r="AV53">
        <f t="shared" si="22"/>
        <v>0</v>
      </c>
      <c r="AW53">
        <f t="shared" si="23"/>
        <v>1</v>
      </c>
      <c r="AY53" t="str">
        <f t="shared" si="24"/>
        <v/>
      </c>
      <c r="BA53" t="str">
        <f>IF(对接源_01水果筐数!$B54="","",对接源_01水果筐数!$B54)</f>
        <v/>
      </c>
      <c r="BB53">
        <f t="shared" si="25"/>
        <v>0</v>
      </c>
      <c r="BC53">
        <f t="shared" si="26"/>
        <v>14</v>
      </c>
      <c r="BE53" t="str">
        <f t="shared" si="27"/>
        <v/>
      </c>
      <c r="BG53" t="str">
        <f>IF(对接源_01水果筐数!$C54="","",对接源_01水果筐数!$C54)</f>
        <v/>
      </c>
      <c r="BH53">
        <f t="shared" si="28"/>
        <v>0</v>
      </c>
      <c r="BI53">
        <f t="shared" si="29"/>
        <v>7</v>
      </c>
      <c r="BK53" t="str">
        <f t="shared" si="30"/>
        <v/>
      </c>
      <c r="BM53" t="str">
        <f t="shared" si="49"/>
        <v/>
      </c>
      <c r="BN53">
        <f t="shared" si="32"/>
        <v>0</v>
      </c>
      <c r="BO53">
        <f t="shared" si="33"/>
        <v>6</v>
      </c>
      <c r="BQ53" t="str">
        <f t="shared" si="34"/>
        <v/>
      </c>
      <c r="BS53" t="str">
        <f t="shared" si="35"/>
        <v/>
      </c>
      <c r="BT53">
        <f t="shared" si="36"/>
        <v>0</v>
      </c>
      <c r="BU53">
        <f t="shared" si="37"/>
        <v>9</v>
      </c>
      <c r="BW53" t="str">
        <f t="shared" si="38"/>
        <v/>
      </c>
      <c r="BY53" t="str">
        <f t="shared" si="39"/>
        <v/>
      </c>
      <c r="BZ53">
        <f t="shared" si="40"/>
        <v>0</v>
      </c>
      <c r="CA53">
        <f t="shared" si="41"/>
        <v>12</v>
      </c>
      <c r="CC53" t="str">
        <f t="shared" si="42"/>
        <v/>
      </c>
      <c r="CE53" t="str">
        <f>IF(基础资料!$P53="","",基础资料!$P53)</f>
        <v/>
      </c>
      <c r="CF53">
        <f>IF(CE53="",0,COUNTIF(包装物料出入库明细!$G$4:$G$2003,CE53))</f>
        <v>0</v>
      </c>
      <c r="CI53" t="str">
        <f>IF(基础资料!$D53="","",基础资料!$D53)</f>
        <v/>
      </c>
      <c r="CJ53">
        <f t="shared" si="43"/>
        <v>0</v>
      </c>
      <c r="CK53">
        <f t="shared" si="44"/>
        <v>19</v>
      </c>
      <c r="CL53" t="str">
        <f t="shared" si="45"/>
        <v/>
      </c>
      <c r="CP53">
        <f>IF(包装物料出入库明细!$D53="",0,1)</f>
        <v>0</v>
      </c>
      <c r="CQ53">
        <f t="shared" si="46"/>
        <v>37</v>
      </c>
      <c r="CS53" t="str">
        <f>IF(OR(周转筐出入库明细!$C54="",周转筐出入库明细!$F54&lt;&gt;"采购入库"),"",周转筐出入库明细!$C54)</f>
        <v/>
      </c>
      <c r="CT53">
        <f t="shared" si="47"/>
        <v>0</v>
      </c>
      <c r="CU53">
        <f t="shared" si="48"/>
        <v>1</v>
      </c>
      <c r="CW53" t="str">
        <f>IFERROR(INDEX($CS$4:$CS$2003,MATCH(50,$CU$4:$CU$2003,0)),"")</f>
        <v/>
      </c>
    </row>
    <row r="54" spans="1:101">
      <c r="A54" t="str">
        <f>IF(包装物料出入库明细!$E54="","",包装物料出入库明细!$E54)</f>
        <v/>
      </c>
      <c r="B54">
        <f t="shared" si="0"/>
        <v>0</v>
      </c>
      <c r="C54">
        <f t="shared" si="1"/>
        <v>7</v>
      </c>
      <c r="D54" t="str">
        <f>IF(包装物料出入库明细!$E54="","",包装物料出入库明细!$F54)</f>
        <v/>
      </c>
      <c r="E54" t="str">
        <f>IF(包装物料出入库明细!$E54="","",包装物料出入库明细!$G54)</f>
        <v/>
      </c>
      <c r="G54" t="str">
        <f t="shared" si="2"/>
        <v/>
      </c>
      <c r="H54" t="str">
        <f t="shared" si="3"/>
        <v/>
      </c>
      <c r="I54" t="str">
        <f t="shared" si="4"/>
        <v/>
      </c>
      <c r="K54" t="str">
        <f>IF(包装物料出入库明细!$D54="","",包装物料出入库明细!$D54)</f>
        <v/>
      </c>
      <c r="L54">
        <f t="shared" si="5"/>
        <v>0</v>
      </c>
      <c r="M54">
        <f t="shared" si="6"/>
        <v>9</v>
      </c>
      <c r="O54" t="str">
        <f t="shared" si="7"/>
        <v/>
      </c>
      <c r="Q54" t="str">
        <f>IF(周转筐出入库明细!$D55="","",周转筐出入库明细!$D55)</f>
        <v>公司红周转筐</v>
      </c>
      <c r="R54">
        <f t="shared" si="8"/>
        <v>0</v>
      </c>
      <c r="S54">
        <f t="shared" si="9"/>
        <v>5</v>
      </c>
      <c r="W54" t="str">
        <f>IF(周转筐出入库明细!$C55="","",周转筐出入库明细!$C55)</f>
        <v>全修塑业</v>
      </c>
      <c r="X54">
        <f t="shared" si="11"/>
        <v>0</v>
      </c>
      <c r="Y54">
        <f t="shared" si="12"/>
        <v>12</v>
      </c>
      <c r="AA54" t="str">
        <f t="shared" si="13"/>
        <v/>
      </c>
      <c r="AC54" t="str">
        <f>IF(客户自备加工筐明细!$C54="","",客户自备加工筐明细!$C54)</f>
        <v/>
      </c>
      <c r="AD54">
        <f t="shared" si="14"/>
        <v>0</v>
      </c>
      <c r="AE54">
        <f t="shared" si="15"/>
        <v>1</v>
      </c>
      <c r="AI54" t="str">
        <f>IF(客户自备加工筐明细!$E54="","",客户自备加工筐明细!$E54)</f>
        <v/>
      </c>
      <c r="AJ54">
        <f t="shared" si="17"/>
        <v>0</v>
      </c>
      <c r="AK54">
        <f t="shared" si="18"/>
        <v>1</v>
      </c>
      <c r="AM54" t="str">
        <f>IFERROR(INDEX($AI$4:$AI$1503,MATCH(51,$AK$4:$AK$1503,0)),"")</f>
        <v/>
      </c>
      <c r="AO54" t="str">
        <f>IF(次果筐明细!$D54="","",次果筐明细!$D54)</f>
        <v/>
      </c>
      <c r="AP54">
        <f t="shared" si="19"/>
        <v>0</v>
      </c>
      <c r="AQ54">
        <f t="shared" si="20"/>
        <v>1</v>
      </c>
      <c r="AU54" t="str">
        <f>IF(次果筐明细!$C54="","",次果筐明细!$C54)</f>
        <v/>
      </c>
      <c r="AV54">
        <f t="shared" si="22"/>
        <v>0</v>
      </c>
      <c r="AW54">
        <f t="shared" si="23"/>
        <v>1</v>
      </c>
      <c r="AY54" t="str">
        <f t="shared" si="24"/>
        <v/>
      </c>
      <c r="BA54" t="str">
        <f>IF(对接源_01水果筐数!$B55="","",对接源_01水果筐数!$B55)</f>
        <v/>
      </c>
      <c r="BB54">
        <f t="shared" si="25"/>
        <v>0</v>
      </c>
      <c r="BC54">
        <f t="shared" si="26"/>
        <v>14</v>
      </c>
      <c r="BE54" t="str">
        <f t="shared" si="27"/>
        <v/>
      </c>
      <c r="BG54" t="str">
        <f>IF(对接源_01水果筐数!$C55="","",对接源_01水果筐数!$C55)</f>
        <v/>
      </c>
      <c r="BH54">
        <f t="shared" si="28"/>
        <v>0</v>
      </c>
      <c r="BI54">
        <f t="shared" si="29"/>
        <v>7</v>
      </c>
      <c r="BK54" t="str">
        <f t="shared" si="30"/>
        <v/>
      </c>
      <c r="BM54" t="str">
        <f t="shared" si="49"/>
        <v/>
      </c>
      <c r="BN54">
        <f t="shared" si="32"/>
        <v>0</v>
      </c>
      <c r="BO54">
        <f t="shared" si="33"/>
        <v>6</v>
      </c>
      <c r="BQ54" t="str">
        <f t="shared" si="34"/>
        <v/>
      </c>
      <c r="BS54" t="str">
        <f t="shared" si="35"/>
        <v/>
      </c>
      <c r="BT54">
        <f t="shared" si="36"/>
        <v>0</v>
      </c>
      <c r="BU54">
        <f t="shared" si="37"/>
        <v>9</v>
      </c>
      <c r="BW54" t="str">
        <f t="shared" si="38"/>
        <v/>
      </c>
      <c r="BY54" t="str">
        <f t="shared" si="39"/>
        <v/>
      </c>
      <c r="BZ54">
        <f t="shared" si="40"/>
        <v>0</v>
      </c>
      <c r="CA54">
        <f t="shared" si="41"/>
        <v>12</v>
      </c>
      <c r="CC54" t="str">
        <f t="shared" si="42"/>
        <v/>
      </c>
      <c r="CI54" t="str">
        <f>IF(基础资料!$D54="","",基础资料!$D54)</f>
        <v/>
      </c>
      <c r="CJ54">
        <f t="shared" si="43"/>
        <v>0</v>
      </c>
      <c r="CK54">
        <f t="shared" si="44"/>
        <v>19</v>
      </c>
      <c r="CL54" t="str">
        <f t="shared" si="45"/>
        <v/>
      </c>
      <c r="CP54">
        <f>IF(包装物料出入库明细!$D54="",0,1)</f>
        <v>0</v>
      </c>
      <c r="CQ54">
        <f t="shared" si="46"/>
        <v>37</v>
      </c>
      <c r="CS54" t="str">
        <f>IF(OR(周转筐出入库明细!$C55="",周转筐出入库明细!$F55&lt;&gt;"采购入库"),"",周转筐出入库明细!$C55)</f>
        <v>全修塑业</v>
      </c>
      <c r="CT54">
        <f t="shared" si="47"/>
        <v>0</v>
      </c>
      <c r="CU54">
        <f t="shared" si="48"/>
        <v>1</v>
      </c>
      <c r="CW54" t="str">
        <f>IFERROR(INDEX($CS$4:$CS$2003,MATCH(51,$CU$4:$CU$2003,0)),"")</f>
        <v/>
      </c>
    </row>
    <row r="55" spans="1:101">
      <c r="A55" t="str">
        <f>IF(包装物料出入库明细!$E55="","",包装物料出入库明细!$E55)</f>
        <v/>
      </c>
      <c r="B55">
        <f t="shared" si="0"/>
        <v>0</v>
      </c>
      <c r="C55">
        <f t="shared" si="1"/>
        <v>7</v>
      </c>
      <c r="D55" t="str">
        <f>IF(包装物料出入库明细!$E55="","",包装物料出入库明细!$F55)</f>
        <v/>
      </c>
      <c r="E55" t="str">
        <f>IF(包装物料出入库明细!$E55="","",包装物料出入库明细!$G55)</f>
        <v/>
      </c>
      <c r="G55" t="str">
        <f t="shared" si="2"/>
        <v/>
      </c>
      <c r="H55" t="str">
        <f t="shared" si="3"/>
        <v/>
      </c>
      <c r="I55" t="str">
        <f t="shared" si="4"/>
        <v/>
      </c>
      <c r="K55" t="str">
        <f>IF(包装物料出入库明细!$D55="","",包装物料出入库明细!$D55)</f>
        <v/>
      </c>
      <c r="L55">
        <f t="shared" si="5"/>
        <v>0</v>
      </c>
      <c r="M55">
        <f t="shared" si="6"/>
        <v>9</v>
      </c>
      <c r="O55" t="str">
        <f t="shared" si="7"/>
        <v/>
      </c>
      <c r="Q55" t="str">
        <f>IF(周转筐出入库明细!$D56="","",周转筐出入库明细!$D56)</f>
        <v>公司红周转筐</v>
      </c>
      <c r="R55">
        <f t="shared" si="8"/>
        <v>0</v>
      </c>
      <c r="S55">
        <f t="shared" si="9"/>
        <v>5</v>
      </c>
      <c r="W55" t="str">
        <f>IF(周转筐出入库明细!$C56="","",周转筐出入库明细!$C56)</f>
        <v>吐尔洪</v>
      </c>
      <c r="X55">
        <f t="shared" si="11"/>
        <v>0</v>
      </c>
      <c r="Y55">
        <f t="shared" si="12"/>
        <v>12</v>
      </c>
      <c r="AA55" t="str">
        <f t="shared" si="13"/>
        <v/>
      </c>
      <c r="AC55" t="str">
        <f>IF(客户自备加工筐明细!$C55="","",客户自备加工筐明细!$C55)</f>
        <v/>
      </c>
      <c r="AD55">
        <f t="shared" si="14"/>
        <v>0</v>
      </c>
      <c r="AE55">
        <f t="shared" si="15"/>
        <v>1</v>
      </c>
      <c r="AI55" t="str">
        <f>IF(客户自备加工筐明细!$E55="","",客户自备加工筐明细!$E55)</f>
        <v/>
      </c>
      <c r="AJ55">
        <f t="shared" si="17"/>
        <v>0</v>
      </c>
      <c r="AK55">
        <f t="shared" si="18"/>
        <v>1</v>
      </c>
      <c r="AM55" t="str">
        <f>IFERROR(INDEX($AI$4:$AI$1503,MATCH(52,$AK$4:$AK$1503,0)),"")</f>
        <v/>
      </c>
      <c r="AO55" t="str">
        <f>IF(次果筐明细!$D55="","",次果筐明细!$D55)</f>
        <v/>
      </c>
      <c r="AP55">
        <f t="shared" si="19"/>
        <v>0</v>
      </c>
      <c r="AQ55">
        <f t="shared" si="20"/>
        <v>1</v>
      </c>
      <c r="AU55" t="str">
        <f>IF(次果筐明细!$C55="","",次果筐明细!$C55)</f>
        <v/>
      </c>
      <c r="AV55">
        <f t="shared" si="22"/>
        <v>0</v>
      </c>
      <c r="AW55">
        <f t="shared" si="23"/>
        <v>1</v>
      </c>
      <c r="AY55" t="str">
        <f t="shared" si="24"/>
        <v/>
      </c>
      <c r="BA55" t="str">
        <f>IF(对接源_01水果筐数!$B56="","",对接源_01水果筐数!$B56)</f>
        <v/>
      </c>
      <c r="BB55">
        <f t="shared" si="25"/>
        <v>0</v>
      </c>
      <c r="BC55">
        <f t="shared" si="26"/>
        <v>14</v>
      </c>
      <c r="BE55" t="str">
        <f t="shared" si="27"/>
        <v/>
      </c>
      <c r="BG55" t="str">
        <f>IF(对接源_01水果筐数!$C56="","",对接源_01水果筐数!$C56)</f>
        <v/>
      </c>
      <c r="BH55">
        <f t="shared" si="28"/>
        <v>0</v>
      </c>
      <c r="BI55">
        <f t="shared" si="29"/>
        <v>7</v>
      </c>
      <c r="BK55" t="str">
        <f t="shared" si="30"/>
        <v/>
      </c>
      <c r="BM55" t="str">
        <f t="shared" si="49"/>
        <v/>
      </c>
      <c r="BN55">
        <f t="shared" si="32"/>
        <v>0</v>
      </c>
      <c r="BO55">
        <f t="shared" si="33"/>
        <v>6</v>
      </c>
      <c r="BQ55" t="str">
        <f t="shared" si="34"/>
        <v/>
      </c>
      <c r="BS55" t="str">
        <f t="shared" si="35"/>
        <v/>
      </c>
      <c r="BT55">
        <f t="shared" si="36"/>
        <v>0</v>
      </c>
      <c r="BU55">
        <f t="shared" si="37"/>
        <v>9</v>
      </c>
      <c r="BW55" t="str">
        <f t="shared" si="38"/>
        <v/>
      </c>
      <c r="BY55" t="str">
        <f t="shared" si="39"/>
        <v/>
      </c>
      <c r="BZ55">
        <f t="shared" si="40"/>
        <v>0</v>
      </c>
      <c r="CA55">
        <f t="shared" si="41"/>
        <v>12</v>
      </c>
      <c r="CC55" t="str">
        <f t="shared" si="42"/>
        <v/>
      </c>
      <c r="CI55" t="str">
        <f>IF(基础资料!$D55="","",基础资料!$D55)</f>
        <v/>
      </c>
      <c r="CJ55">
        <f t="shared" si="43"/>
        <v>0</v>
      </c>
      <c r="CK55">
        <f t="shared" si="44"/>
        <v>19</v>
      </c>
      <c r="CL55" t="str">
        <f t="shared" si="45"/>
        <v/>
      </c>
      <c r="CP55">
        <f>IF(包装物料出入库明细!$D55="",0,1)</f>
        <v>0</v>
      </c>
      <c r="CQ55">
        <f t="shared" si="46"/>
        <v>37</v>
      </c>
      <c r="CS55" t="str">
        <f>IF(OR(周转筐出入库明细!$C56="",周转筐出入库明细!$F56&lt;&gt;"采购入库"),"",周转筐出入库明细!$C56)</f>
        <v/>
      </c>
      <c r="CT55">
        <f t="shared" si="47"/>
        <v>0</v>
      </c>
      <c r="CU55">
        <f t="shared" si="48"/>
        <v>1</v>
      </c>
      <c r="CW55" t="str">
        <f>IFERROR(INDEX($CS$4:$CS$2003,MATCH(52,$CU$4:$CU$2003,0)),"")</f>
        <v/>
      </c>
    </row>
    <row r="56" spans="1:101">
      <c r="A56" t="str">
        <f>IF(包装物料出入库明细!$E56="","",包装物料出入库明细!$E56)</f>
        <v/>
      </c>
      <c r="B56">
        <f t="shared" si="0"/>
        <v>0</v>
      </c>
      <c r="C56">
        <f t="shared" si="1"/>
        <v>7</v>
      </c>
      <c r="D56" t="str">
        <f>IF(包装物料出入库明细!$E56="","",包装物料出入库明细!$F56)</f>
        <v/>
      </c>
      <c r="E56" t="str">
        <f>IF(包装物料出入库明细!$E56="","",包装物料出入库明细!$G56)</f>
        <v/>
      </c>
      <c r="G56" t="str">
        <f t="shared" si="2"/>
        <v/>
      </c>
      <c r="H56" t="str">
        <f t="shared" si="3"/>
        <v/>
      </c>
      <c r="I56" t="str">
        <f t="shared" si="4"/>
        <v/>
      </c>
      <c r="K56" t="str">
        <f>IF(包装物料出入库明细!$D56="","",包装物料出入库明细!$D56)</f>
        <v/>
      </c>
      <c r="L56">
        <f t="shared" si="5"/>
        <v>0</v>
      </c>
      <c r="M56">
        <f t="shared" si="6"/>
        <v>9</v>
      </c>
      <c r="O56" t="str">
        <f t="shared" si="7"/>
        <v/>
      </c>
      <c r="Q56" t="str">
        <f>IF(周转筐出入库明细!$D57="","",周转筐出入库明细!$D57)</f>
        <v>公司红周转筐</v>
      </c>
      <c r="R56">
        <f t="shared" si="8"/>
        <v>0</v>
      </c>
      <c r="S56">
        <f t="shared" si="9"/>
        <v>5</v>
      </c>
      <c r="W56" t="str">
        <f>IF(周转筐出入库明细!$C57="","",周转筐出入库明细!$C57)</f>
        <v>全修塑业</v>
      </c>
      <c r="X56">
        <f t="shared" si="11"/>
        <v>0</v>
      </c>
      <c r="Y56">
        <f t="shared" si="12"/>
        <v>12</v>
      </c>
      <c r="AA56" t="str">
        <f t="shared" si="13"/>
        <v/>
      </c>
      <c r="AC56" t="str">
        <f>IF(客户自备加工筐明细!$C56="","",客户自备加工筐明细!$C56)</f>
        <v/>
      </c>
      <c r="AD56">
        <f t="shared" si="14"/>
        <v>0</v>
      </c>
      <c r="AE56">
        <f t="shared" si="15"/>
        <v>1</v>
      </c>
      <c r="AI56" t="str">
        <f>IF(客户自备加工筐明细!$E56="","",客户自备加工筐明细!$E56)</f>
        <v/>
      </c>
      <c r="AJ56">
        <f t="shared" si="17"/>
        <v>0</v>
      </c>
      <c r="AK56">
        <f t="shared" si="18"/>
        <v>1</v>
      </c>
      <c r="AM56" t="str">
        <f>IFERROR(INDEX($AI$4:$AI$1503,MATCH(53,$AK$4:$AK$1503,0)),"")</f>
        <v/>
      </c>
      <c r="AO56" t="str">
        <f>IF(次果筐明细!$D56="","",次果筐明细!$D56)</f>
        <v/>
      </c>
      <c r="AP56">
        <f t="shared" si="19"/>
        <v>0</v>
      </c>
      <c r="AQ56">
        <f t="shared" si="20"/>
        <v>1</v>
      </c>
      <c r="AU56" t="str">
        <f>IF(次果筐明细!$C56="","",次果筐明细!$C56)</f>
        <v/>
      </c>
      <c r="AV56">
        <f t="shared" si="22"/>
        <v>0</v>
      </c>
      <c r="AW56">
        <f t="shared" si="23"/>
        <v>1</v>
      </c>
      <c r="AY56" t="str">
        <f t="shared" si="24"/>
        <v/>
      </c>
      <c r="BA56" t="str">
        <f>IF(对接源_01水果筐数!$B57="","",对接源_01水果筐数!$B57)</f>
        <v/>
      </c>
      <c r="BB56">
        <f t="shared" si="25"/>
        <v>0</v>
      </c>
      <c r="BC56">
        <f t="shared" si="26"/>
        <v>14</v>
      </c>
      <c r="BE56" t="str">
        <f t="shared" si="27"/>
        <v/>
      </c>
      <c r="BG56" t="str">
        <f>IF(对接源_01水果筐数!$C57="","",对接源_01水果筐数!$C57)</f>
        <v/>
      </c>
      <c r="BH56">
        <f t="shared" si="28"/>
        <v>0</v>
      </c>
      <c r="BI56">
        <f t="shared" si="29"/>
        <v>7</v>
      </c>
      <c r="BK56" t="str">
        <f t="shared" si="30"/>
        <v/>
      </c>
      <c r="BM56" t="str">
        <f t="shared" si="49"/>
        <v/>
      </c>
      <c r="BN56">
        <f t="shared" si="32"/>
        <v>0</v>
      </c>
      <c r="BO56">
        <f t="shared" si="33"/>
        <v>6</v>
      </c>
      <c r="BQ56" t="str">
        <f t="shared" si="34"/>
        <v/>
      </c>
      <c r="BS56" t="str">
        <f t="shared" si="35"/>
        <v/>
      </c>
      <c r="BT56">
        <f t="shared" si="36"/>
        <v>0</v>
      </c>
      <c r="BU56">
        <f t="shared" si="37"/>
        <v>9</v>
      </c>
      <c r="BW56" t="str">
        <f t="shared" si="38"/>
        <v/>
      </c>
      <c r="BY56" t="str">
        <f t="shared" si="39"/>
        <v/>
      </c>
      <c r="BZ56">
        <f t="shared" si="40"/>
        <v>0</v>
      </c>
      <c r="CA56">
        <f t="shared" si="41"/>
        <v>12</v>
      </c>
      <c r="CC56" t="str">
        <f t="shared" si="42"/>
        <v/>
      </c>
      <c r="CI56" t="str">
        <f>IF(基础资料!$D56="","",基础资料!$D56)</f>
        <v/>
      </c>
      <c r="CJ56">
        <f t="shared" si="43"/>
        <v>0</v>
      </c>
      <c r="CK56">
        <f t="shared" si="44"/>
        <v>19</v>
      </c>
      <c r="CL56" t="str">
        <f t="shared" si="45"/>
        <v/>
      </c>
      <c r="CP56">
        <f>IF(包装物料出入库明细!$D56="",0,1)</f>
        <v>0</v>
      </c>
      <c r="CQ56">
        <f t="shared" si="46"/>
        <v>37</v>
      </c>
      <c r="CS56" t="str">
        <f>IF(OR(周转筐出入库明细!$C57="",周转筐出入库明细!$F57&lt;&gt;"采购入库"),"",周转筐出入库明细!$C57)</f>
        <v>全修塑业</v>
      </c>
      <c r="CT56">
        <f t="shared" si="47"/>
        <v>0</v>
      </c>
      <c r="CU56">
        <f t="shared" si="48"/>
        <v>1</v>
      </c>
      <c r="CW56" t="str">
        <f>IFERROR(INDEX($CS$4:$CS$2003,MATCH(53,$CU$4:$CU$2003,0)),"")</f>
        <v/>
      </c>
    </row>
    <row r="57" spans="1:101">
      <c r="A57" t="str">
        <f>IF(包装物料出入库明细!$E57="","",包装物料出入库明细!$E57)</f>
        <v/>
      </c>
      <c r="B57">
        <f t="shared" si="0"/>
        <v>0</v>
      </c>
      <c r="C57">
        <f t="shared" si="1"/>
        <v>7</v>
      </c>
      <c r="D57" t="str">
        <f>IF(包装物料出入库明细!$E57="","",包装物料出入库明细!$F57)</f>
        <v/>
      </c>
      <c r="E57" t="str">
        <f>IF(包装物料出入库明细!$E57="","",包装物料出入库明细!$G57)</f>
        <v/>
      </c>
      <c r="G57" t="str">
        <f t="shared" si="2"/>
        <v/>
      </c>
      <c r="H57" t="str">
        <f t="shared" si="3"/>
        <v/>
      </c>
      <c r="I57" t="str">
        <f t="shared" si="4"/>
        <v/>
      </c>
      <c r="K57" t="str">
        <f>IF(包装物料出入库明细!$D57="","",包装物料出入库明细!$D57)</f>
        <v/>
      </c>
      <c r="L57">
        <f t="shared" si="5"/>
        <v>0</v>
      </c>
      <c r="M57">
        <f t="shared" si="6"/>
        <v>9</v>
      </c>
      <c r="O57" t="str">
        <f t="shared" si="7"/>
        <v/>
      </c>
      <c r="Q57" t="str">
        <f>IF(周转筐出入库明细!$D58="","",周转筐出入库明细!$D58)</f>
        <v>公司红周转筐</v>
      </c>
      <c r="R57">
        <f t="shared" si="8"/>
        <v>0</v>
      </c>
      <c r="S57">
        <f t="shared" si="9"/>
        <v>5</v>
      </c>
      <c r="W57" t="str">
        <f>IF(周转筐出入库明细!$C58="","",周转筐出入库明细!$C58)</f>
        <v>麦麦提</v>
      </c>
      <c r="X57">
        <f t="shared" si="11"/>
        <v>0</v>
      </c>
      <c r="Y57">
        <f t="shared" si="12"/>
        <v>12</v>
      </c>
      <c r="AA57" t="str">
        <f t="shared" si="13"/>
        <v/>
      </c>
      <c r="AC57" t="str">
        <f>IF(客户自备加工筐明细!$C57="","",客户自备加工筐明细!$C57)</f>
        <v/>
      </c>
      <c r="AD57">
        <f t="shared" si="14"/>
        <v>0</v>
      </c>
      <c r="AE57">
        <f t="shared" si="15"/>
        <v>1</v>
      </c>
      <c r="AI57" t="str">
        <f>IF(客户自备加工筐明细!$E57="","",客户自备加工筐明细!$E57)</f>
        <v/>
      </c>
      <c r="AJ57">
        <f t="shared" si="17"/>
        <v>0</v>
      </c>
      <c r="AK57">
        <f t="shared" si="18"/>
        <v>1</v>
      </c>
      <c r="AM57" t="str">
        <f>IFERROR(INDEX($AI$4:$AI$1503,MATCH(54,$AK$4:$AK$1503,0)),"")</f>
        <v/>
      </c>
      <c r="AO57" t="str">
        <f>IF(次果筐明细!$D57="","",次果筐明细!$D57)</f>
        <v/>
      </c>
      <c r="AP57">
        <f t="shared" si="19"/>
        <v>0</v>
      </c>
      <c r="AQ57">
        <f t="shared" si="20"/>
        <v>1</v>
      </c>
      <c r="AU57" t="str">
        <f>IF(次果筐明细!$C57="","",次果筐明细!$C57)</f>
        <v/>
      </c>
      <c r="AV57">
        <f t="shared" si="22"/>
        <v>0</v>
      </c>
      <c r="AW57">
        <f t="shared" si="23"/>
        <v>1</v>
      </c>
      <c r="AY57" t="str">
        <f t="shared" si="24"/>
        <v/>
      </c>
      <c r="BA57" t="str">
        <f>IF(对接源_01水果筐数!$B58="","",对接源_01水果筐数!$B58)</f>
        <v/>
      </c>
      <c r="BB57">
        <f t="shared" si="25"/>
        <v>0</v>
      </c>
      <c r="BC57">
        <f t="shared" si="26"/>
        <v>14</v>
      </c>
      <c r="BE57" t="str">
        <f t="shared" si="27"/>
        <v/>
      </c>
      <c r="BG57" t="str">
        <f>IF(对接源_01水果筐数!$C58="","",对接源_01水果筐数!$C58)</f>
        <v/>
      </c>
      <c r="BH57">
        <f t="shared" si="28"/>
        <v>0</v>
      </c>
      <c r="BI57">
        <f t="shared" si="29"/>
        <v>7</v>
      </c>
      <c r="BK57" t="str">
        <f t="shared" si="30"/>
        <v/>
      </c>
      <c r="BM57" t="str">
        <f t="shared" si="49"/>
        <v/>
      </c>
      <c r="BN57">
        <f t="shared" si="32"/>
        <v>0</v>
      </c>
      <c r="BO57">
        <f t="shared" si="33"/>
        <v>6</v>
      </c>
      <c r="BQ57" t="str">
        <f t="shared" si="34"/>
        <v/>
      </c>
      <c r="BS57" t="str">
        <f t="shared" si="35"/>
        <v/>
      </c>
      <c r="BT57">
        <f t="shared" si="36"/>
        <v>0</v>
      </c>
      <c r="BU57">
        <f t="shared" si="37"/>
        <v>9</v>
      </c>
      <c r="BW57" t="str">
        <f t="shared" si="38"/>
        <v/>
      </c>
      <c r="BY57" t="str">
        <f t="shared" si="39"/>
        <v/>
      </c>
      <c r="BZ57">
        <f t="shared" si="40"/>
        <v>0</v>
      </c>
      <c r="CA57">
        <f t="shared" si="41"/>
        <v>12</v>
      </c>
      <c r="CC57" t="str">
        <f t="shared" si="42"/>
        <v/>
      </c>
      <c r="CI57" t="str">
        <f>IF(基础资料!$D57="","",基础资料!$D57)</f>
        <v/>
      </c>
      <c r="CJ57">
        <f t="shared" si="43"/>
        <v>0</v>
      </c>
      <c r="CK57">
        <f t="shared" si="44"/>
        <v>19</v>
      </c>
      <c r="CL57" t="str">
        <f t="shared" si="45"/>
        <v/>
      </c>
      <c r="CP57">
        <f>IF(包装物料出入库明细!$D57="",0,1)</f>
        <v>0</v>
      </c>
      <c r="CQ57">
        <f t="shared" si="46"/>
        <v>37</v>
      </c>
      <c r="CS57" t="str">
        <f>IF(OR(周转筐出入库明细!$C58="",周转筐出入库明细!$F58&lt;&gt;"采购入库"),"",周转筐出入库明细!$C58)</f>
        <v/>
      </c>
      <c r="CT57">
        <f t="shared" si="47"/>
        <v>0</v>
      </c>
      <c r="CU57">
        <f t="shared" si="48"/>
        <v>1</v>
      </c>
      <c r="CW57" t="str">
        <f>IFERROR(INDEX($CS$4:$CS$2003,MATCH(54,$CU$4:$CU$2003,0)),"")</f>
        <v/>
      </c>
    </row>
    <row r="58" spans="1:101">
      <c r="A58" t="str">
        <f>IF(包装物料出入库明细!$E58="","",包装物料出入库明细!$E58)</f>
        <v/>
      </c>
      <c r="B58">
        <f t="shared" si="0"/>
        <v>0</v>
      </c>
      <c r="C58">
        <f t="shared" si="1"/>
        <v>7</v>
      </c>
      <c r="D58" t="str">
        <f>IF(包装物料出入库明细!$E58="","",包装物料出入库明细!$F58)</f>
        <v/>
      </c>
      <c r="E58" t="str">
        <f>IF(包装物料出入库明细!$E58="","",包装物料出入库明细!$G58)</f>
        <v/>
      </c>
      <c r="G58" t="str">
        <f t="shared" si="2"/>
        <v/>
      </c>
      <c r="H58" t="str">
        <f t="shared" si="3"/>
        <v/>
      </c>
      <c r="I58" t="str">
        <f t="shared" si="4"/>
        <v/>
      </c>
      <c r="K58" t="str">
        <f>IF(包装物料出入库明细!$D58="","",包装物料出入库明细!$D58)</f>
        <v/>
      </c>
      <c r="L58">
        <f t="shared" si="5"/>
        <v>0</v>
      </c>
      <c r="M58">
        <f t="shared" si="6"/>
        <v>9</v>
      </c>
      <c r="O58" t="str">
        <f t="shared" si="7"/>
        <v/>
      </c>
      <c r="Q58" t="str">
        <f>IF(周转筐出入库明细!$D59="","",周转筐出入库明细!$D59)</f>
        <v>公司红周转筐</v>
      </c>
      <c r="R58">
        <f t="shared" si="8"/>
        <v>0</v>
      </c>
      <c r="S58">
        <f t="shared" si="9"/>
        <v>5</v>
      </c>
      <c r="W58" t="str">
        <f>IF(周转筐出入库明细!$C59="","",周转筐出入库明细!$C59)</f>
        <v>全修塑业</v>
      </c>
      <c r="X58">
        <f t="shared" si="11"/>
        <v>0</v>
      </c>
      <c r="Y58">
        <f t="shared" si="12"/>
        <v>12</v>
      </c>
      <c r="AA58" t="str">
        <f t="shared" si="13"/>
        <v/>
      </c>
      <c r="AC58" t="str">
        <f>IF(客户自备加工筐明细!$C58="","",客户自备加工筐明细!$C58)</f>
        <v/>
      </c>
      <c r="AD58">
        <f t="shared" si="14"/>
        <v>0</v>
      </c>
      <c r="AE58">
        <f t="shared" si="15"/>
        <v>1</v>
      </c>
      <c r="AI58" t="str">
        <f>IF(客户自备加工筐明细!$E58="","",客户自备加工筐明细!$E58)</f>
        <v/>
      </c>
      <c r="AJ58">
        <f t="shared" si="17"/>
        <v>0</v>
      </c>
      <c r="AK58">
        <f t="shared" si="18"/>
        <v>1</v>
      </c>
      <c r="AM58" t="str">
        <f>IFERROR(INDEX($AI$4:$AI$1503,MATCH(55,$AK$4:$AK$1503,0)),"")</f>
        <v/>
      </c>
      <c r="AO58" t="str">
        <f>IF(次果筐明细!$D58="","",次果筐明细!$D58)</f>
        <v/>
      </c>
      <c r="AP58">
        <f t="shared" si="19"/>
        <v>0</v>
      </c>
      <c r="AQ58">
        <f t="shared" si="20"/>
        <v>1</v>
      </c>
      <c r="AU58" t="str">
        <f>IF(次果筐明细!$C58="","",次果筐明细!$C58)</f>
        <v/>
      </c>
      <c r="AV58">
        <f t="shared" si="22"/>
        <v>0</v>
      </c>
      <c r="AW58">
        <f t="shared" si="23"/>
        <v>1</v>
      </c>
      <c r="AY58" t="str">
        <f t="shared" si="24"/>
        <v/>
      </c>
      <c r="BA58" t="str">
        <f>IF(对接源_01水果筐数!$B59="","",对接源_01水果筐数!$B59)</f>
        <v/>
      </c>
      <c r="BB58">
        <f t="shared" si="25"/>
        <v>0</v>
      </c>
      <c r="BC58">
        <f t="shared" si="26"/>
        <v>14</v>
      </c>
      <c r="BE58" t="str">
        <f t="shared" si="27"/>
        <v/>
      </c>
      <c r="BG58" t="str">
        <f>IF(对接源_01水果筐数!$C59="","",对接源_01水果筐数!$C59)</f>
        <v/>
      </c>
      <c r="BH58">
        <f t="shared" si="28"/>
        <v>0</v>
      </c>
      <c r="BI58">
        <f t="shared" si="29"/>
        <v>7</v>
      </c>
      <c r="BK58" t="str">
        <f t="shared" si="30"/>
        <v/>
      </c>
      <c r="BM58" t="str">
        <f t="shared" si="49"/>
        <v/>
      </c>
      <c r="BN58">
        <f t="shared" si="32"/>
        <v>0</v>
      </c>
      <c r="BO58">
        <f t="shared" si="33"/>
        <v>6</v>
      </c>
      <c r="BQ58" t="str">
        <f t="shared" si="34"/>
        <v/>
      </c>
      <c r="BS58" t="str">
        <f t="shared" si="35"/>
        <v/>
      </c>
      <c r="BT58">
        <f t="shared" si="36"/>
        <v>0</v>
      </c>
      <c r="BU58">
        <f t="shared" si="37"/>
        <v>9</v>
      </c>
      <c r="BW58" t="str">
        <f t="shared" si="38"/>
        <v/>
      </c>
      <c r="BY58" t="str">
        <f t="shared" si="39"/>
        <v/>
      </c>
      <c r="BZ58">
        <f t="shared" si="40"/>
        <v>0</v>
      </c>
      <c r="CA58">
        <f t="shared" si="41"/>
        <v>12</v>
      </c>
      <c r="CC58" t="str">
        <f t="shared" si="42"/>
        <v/>
      </c>
      <c r="CI58" t="str">
        <f>IF(基础资料!$D58="","",基础资料!$D58)</f>
        <v/>
      </c>
      <c r="CJ58">
        <f t="shared" si="43"/>
        <v>0</v>
      </c>
      <c r="CK58">
        <f t="shared" si="44"/>
        <v>19</v>
      </c>
      <c r="CL58" t="str">
        <f t="shared" si="45"/>
        <v/>
      </c>
      <c r="CP58">
        <f>IF(包装物料出入库明细!$D58="",0,1)</f>
        <v>0</v>
      </c>
      <c r="CQ58">
        <f t="shared" si="46"/>
        <v>37</v>
      </c>
      <c r="CS58" t="str">
        <f>IF(OR(周转筐出入库明细!$C59="",周转筐出入库明细!$F59&lt;&gt;"采购入库"),"",周转筐出入库明细!$C59)</f>
        <v>全修塑业</v>
      </c>
      <c r="CT58">
        <f t="shared" si="47"/>
        <v>0</v>
      </c>
      <c r="CU58">
        <f t="shared" si="48"/>
        <v>1</v>
      </c>
      <c r="CW58" t="str">
        <f>IFERROR(INDEX($CS$4:$CS$2003,MATCH(55,$CU$4:$CU$2003,0)),"")</f>
        <v/>
      </c>
    </row>
    <row r="59" spans="1:101">
      <c r="A59" t="str">
        <f>IF(包装物料出入库明细!$E59="","",包装物料出入库明细!$E59)</f>
        <v/>
      </c>
      <c r="B59">
        <f t="shared" si="0"/>
        <v>0</v>
      </c>
      <c r="C59">
        <f t="shared" si="1"/>
        <v>7</v>
      </c>
      <c r="D59" t="str">
        <f>IF(包装物料出入库明细!$E59="","",包装物料出入库明细!$F59)</f>
        <v/>
      </c>
      <c r="E59" t="str">
        <f>IF(包装物料出入库明细!$E59="","",包装物料出入库明细!$G59)</f>
        <v/>
      </c>
      <c r="G59" t="str">
        <f t="shared" si="2"/>
        <v/>
      </c>
      <c r="H59" t="str">
        <f t="shared" si="3"/>
        <v/>
      </c>
      <c r="I59" t="str">
        <f t="shared" si="4"/>
        <v/>
      </c>
      <c r="K59" t="str">
        <f>IF(包装物料出入库明细!$D59="","",包装物料出入库明细!$D59)</f>
        <v/>
      </c>
      <c r="L59">
        <f t="shared" si="5"/>
        <v>0</v>
      </c>
      <c r="M59">
        <f t="shared" si="6"/>
        <v>9</v>
      </c>
      <c r="O59" t="str">
        <f t="shared" si="7"/>
        <v/>
      </c>
      <c r="Q59" t="str">
        <f>IF(周转筐出入库明细!$D60="","",周转筐出入库明细!$D60)</f>
        <v>公司杂周转筐</v>
      </c>
      <c r="R59">
        <f t="shared" si="8"/>
        <v>0</v>
      </c>
      <c r="S59">
        <f t="shared" si="9"/>
        <v>5</v>
      </c>
      <c r="W59" t="str">
        <f>IF(周转筐出入库明细!$C60="","",周转筐出入库明细!$C60)</f>
        <v>马锦祥</v>
      </c>
      <c r="X59">
        <f t="shared" si="11"/>
        <v>0</v>
      </c>
      <c r="Y59">
        <f t="shared" si="12"/>
        <v>12</v>
      </c>
      <c r="AA59" t="str">
        <f t="shared" si="13"/>
        <v/>
      </c>
      <c r="AC59" t="str">
        <f>IF(客户自备加工筐明细!$C59="","",客户自备加工筐明细!$C59)</f>
        <v/>
      </c>
      <c r="AD59">
        <f t="shared" si="14"/>
        <v>0</v>
      </c>
      <c r="AE59">
        <f t="shared" si="15"/>
        <v>1</v>
      </c>
      <c r="AI59" t="str">
        <f>IF(客户自备加工筐明细!$E59="","",客户自备加工筐明细!$E59)</f>
        <v/>
      </c>
      <c r="AJ59">
        <f t="shared" si="17"/>
        <v>0</v>
      </c>
      <c r="AK59">
        <f t="shared" si="18"/>
        <v>1</v>
      </c>
      <c r="AM59" t="str">
        <f>IFERROR(INDEX($AI$4:$AI$1503,MATCH(56,$AK$4:$AK$1503,0)),"")</f>
        <v/>
      </c>
      <c r="AO59" t="str">
        <f>IF(次果筐明细!$D59="","",次果筐明细!$D59)</f>
        <v/>
      </c>
      <c r="AP59">
        <f t="shared" si="19"/>
        <v>0</v>
      </c>
      <c r="AQ59">
        <f t="shared" si="20"/>
        <v>1</v>
      </c>
      <c r="AU59" t="str">
        <f>IF(次果筐明细!$C59="","",次果筐明细!$C59)</f>
        <v/>
      </c>
      <c r="AV59">
        <f t="shared" si="22"/>
        <v>0</v>
      </c>
      <c r="AW59">
        <f t="shared" si="23"/>
        <v>1</v>
      </c>
      <c r="AY59" t="str">
        <f t="shared" si="24"/>
        <v/>
      </c>
      <c r="BA59" t="str">
        <f>IF(对接源_01水果筐数!$B60="","",对接源_01水果筐数!$B60)</f>
        <v/>
      </c>
      <c r="BB59">
        <f t="shared" si="25"/>
        <v>0</v>
      </c>
      <c r="BC59">
        <f t="shared" si="26"/>
        <v>14</v>
      </c>
      <c r="BE59" t="str">
        <f t="shared" si="27"/>
        <v/>
      </c>
      <c r="BG59" t="str">
        <f>IF(对接源_01水果筐数!$C60="","",对接源_01水果筐数!$C60)</f>
        <v/>
      </c>
      <c r="BH59">
        <f t="shared" si="28"/>
        <v>0</v>
      </c>
      <c r="BI59">
        <f t="shared" si="29"/>
        <v>7</v>
      </c>
      <c r="BK59" t="str">
        <f t="shared" si="30"/>
        <v/>
      </c>
      <c r="BM59" t="str">
        <f t="shared" si="49"/>
        <v/>
      </c>
      <c r="BN59">
        <f t="shared" si="32"/>
        <v>0</v>
      </c>
      <c r="BO59">
        <f t="shared" si="33"/>
        <v>6</v>
      </c>
      <c r="BQ59" t="str">
        <f t="shared" si="34"/>
        <v/>
      </c>
      <c r="BS59" t="str">
        <f t="shared" si="35"/>
        <v/>
      </c>
      <c r="BT59">
        <f t="shared" si="36"/>
        <v>0</v>
      </c>
      <c r="BU59">
        <f t="shared" si="37"/>
        <v>9</v>
      </c>
      <c r="BW59" t="str">
        <f t="shared" si="38"/>
        <v/>
      </c>
      <c r="BY59" t="str">
        <f t="shared" si="39"/>
        <v/>
      </c>
      <c r="BZ59">
        <f t="shared" si="40"/>
        <v>0</v>
      </c>
      <c r="CA59">
        <f t="shared" si="41"/>
        <v>12</v>
      </c>
      <c r="CC59" t="str">
        <f t="shared" si="42"/>
        <v/>
      </c>
      <c r="CI59" t="str">
        <f>IF(基础资料!$D59="","",基础资料!$D59)</f>
        <v/>
      </c>
      <c r="CJ59">
        <f t="shared" si="43"/>
        <v>0</v>
      </c>
      <c r="CK59">
        <f t="shared" si="44"/>
        <v>19</v>
      </c>
      <c r="CL59" t="str">
        <f t="shared" si="45"/>
        <v/>
      </c>
      <c r="CP59">
        <f>IF(包装物料出入库明细!$D59="",0,1)</f>
        <v>0</v>
      </c>
      <c r="CQ59">
        <f t="shared" si="46"/>
        <v>37</v>
      </c>
      <c r="CS59" t="str">
        <f>IF(OR(周转筐出入库明细!$C60="",周转筐出入库明细!$F60&lt;&gt;"采购入库"),"",周转筐出入库明细!$C60)</f>
        <v/>
      </c>
      <c r="CT59">
        <f t="shared" si="47"/>
        <v>0</v>
      </c>
      <c r="CU59">
        <f t="shared" si="48"/>
        <v>1</v>
      </c>
      <c r="CW59" t="str">
        <f>IFERROR(INDEX($CS$4:$CS$2003,MATCH(56,$CU$4:$CU$2003,0)),"")</f>
        <v/>
      </c>
    </row>
    <row r="60" spans="1:101">
      <c r="A60" t="str">
        <f>IF(包装物料出入库明细!$E60="","",包装物料出入库明细!$E60)</f>
        <v/>
      </c>
      <c r="B60">
        <f t="shared" si="0"/>
        <v>0</v>
      </c>
      <c r="C60">
        <f t="shared" si="1"/>
        <v>7</v>
      </c>
      <c r="D60" t="str">
        <f>IF(包装物料出入库明细!$E60="","",包装物料出入库明细!$F60)</f>
        <v/>
      </c>
      <c r="E60" t="str">
        <f>IF(包装物料出入库明细!$E60="","",包装物料出入库明细!$G60)</f>
        <v/>
      </c>
      <c r="G60" t="str">
        <f t="shared" si="2"/>
        <v/>
      </c>
      <c r="H60" t="str">
        <f t="shared" si="3"/>
        <v/>
      </c>
      <c r="I60" t="str">
        <f t="shared" si="4"/>
        <v/>
      </c>
      <c r="K60" t="str">
        <f>IF(包装物料出入库明细!$D60="","",包装物料出入库明细!$D60)</f>
        <v/>
      </c>
      <c r="L60">
        <f t="shared" si="5"/>
        <v>0</v>
      </c>
      <c r="M60">
        <f t="shared" si="6"/>
        <v>9</v>
      </c>
      <c r="O60" t="str">
        <f t="shared" si="7"/>
        <v/>
      </c>
      <c r="Q60" t="str">
        <f>IF(周转筐出入库明细!$D61="","",周转筐出入库明细!$D61)</f>
        <v>公司杂周转筐</v>
      </c>
      <c r="R60">
        <f t="shared" si="8"/>
        <v>0</v>
      </c>
      <c r="S60">
        <f t="shared" si="9"/>
        <v>5</v>
      </c>
      <c r="W60" t="str">
        <f>IF(周转筐出入库明细!$C61="","",周转筐出入库明细!$C61)</f>
        <v>王照雪</v>
      </c>
      <c r="X60">
        <f t="shared" si="11"/>
        <v>0</v>
      </c>
      <c r="Y60">
        <f t="shared" si="12"/>
        <v>12</v>
      </c>
      <c r="AA60" t="str">
        <f t="shared" si="13"/>
        <v/>
      </c>
      <c r="AC60" t="str">
        <f>IF(客户自备加工筐明细!$C60="","",客户自备加工筐明细!$C60)</f>
        <v/>
      </c>
      <c r="AD60">
        <f t="shared" si="14"/>
        <v>0</v>
      </c>
      <c r="AE60">
        <f t="shared" si="15"/>
        <v>1</v>
      </c>
      <c r="AI60" t="str">
        <f>IF(客户自备加工筐明细!$E60="","",客户自备加工筐明细!$E60)</f>
        <v/>
      </c>
      <c r="AJ60">
        <f t="shared" si="17"/>
        <v>0</v>
      </c>
      <c r="AK60">
        <f t="shared" si="18"/>
        <v>1</v>
      </c>
      <c r="AM60" t="str">
        <f>IFERROR(INDEX($AI$4:$AI$1503,MATCH(57,$AK$4:$AK$1503,0)),"")</f>
        <v/>
      </c>
      <c r="AO60" t="str">
        <f>IF(次果筐明细!$D60="","",次果筐明细!$D60)</f>
        <v/>
      </c>
      <c r="AP60">
        <f t="shared" si="19"/>
        <v>0</v>
      </c>
      <c r="AQ60">
        <f t="shared" si="20"/>
        <v>1</v>
      </c>
      <c r="AU60" t="str">
        <f>IF(次果筐明细!$C60="","",次果筐明细!$C60)</f>
        <v/>
      </c>
      <c r="AV60">
        <f t="shared" si="22"/>
        <v>0</v>
      </c>
      <c r="AW60">
        <f t="shared" si="23"/>
        <v>1</v>
      </c>
      <c r="AY60" t="str">
        <f t="shared" si="24"/>
        <v/>
      </c>
      <c r="BA60" t="str">
        <f>IF(对接源_01水果筐数!$B61="","",对接源_01水果筐数!$B61)</f>
        <v/>
      </c>
      <c r="BB60">
        <f t="shared" si="25"/>
        <v>0</v>
      </c>
      <c r="BC60">
        <f t="shared" si="26"/>
        <v>14</v>
      </c>
      <c r="BE60" t="str">
        <f t="shared" si="27"/>
        <v/>
      </c>
      <c r="BG60" t="str">
        <f>IF(对接源_01水果筐数!$C61="","",对接源_01水果筐数!$C61)</f>
        <v/>
      </c>
      <c r="BH60">
        <f t="shared" si="28"/>
        <v>0</v>
      </c>
      <c r="BI60">
        <f t="shared" si="29"/>
        <v>7</v>
      </c>
      <c r="BK60" t="str">
        <f t="shared" si="30"/>
        <v/>
      </c>
      <c r="BM60" t="str">
        <f t="shared" si="49"/>
        <v/>
      </c>
      <c r="BN60">
        <f t="shared" si="32"/>
        <v>0</v>
      </c>
      <c r="BO60">
        <f t="shared" si="33"/>
        <v>6</v>
      </c>
      <c r="BQ60" t="str">
        <f t="shared" si="34"/>
        <v/>
      </c>
      <c r="BS60" t="str">
        <f t="shared" si="35"/>
        <v/>
      </c>
      <c r="BT60">
        <f t="shared" si="36"/>
        <v>0</v>
      </c>
      <c r="BU60">
        <f t="shared" si="37"/>
        <v>9</v>
      </c>
      <c r="BW60" t="str">
        <f t="shared" si="38"/>
        <v/>
      </c>
      <c r="BY60" t="str">
        <f t="shared" si="39"/>
        <v/>
      </c>
      <c r="BZ60">
        <f t="shared" si="40"/>
        <v>0</v>
      </c>
      <c r="CA60">
        <f t="shared" si="41"/>
        <v>12</v>
      </c>
      <c r="CC60" t="str">
        <f t="shared" si="42"/>
        <v/>
      </c>
      <c r="CI60" t="str">
        <f>IF(基础资料!$D60="","",基础资料!$D60)</f>
        <v/>
      </c>
      <c r="CJ60">
        <f t="shared" si="43"/>
        <v>0</v>
      </c>
      <c r="CK60">
        <f t="shared" si="44"/>
        <v>19</v>
      </c>
      <c r="CL60" t="str">
        <f t="shared" si="45"/>
        <v/>
      </c>
      <c r="CP60">
        <f>IF(包装物料出入库明细!$D60="",0,1)</f>
        <v>0</v>
      </c>
      <c r="CQ60">
        <f t="shared" si="46"/>
        <v>37</v>
      </c>
      <c r="CS60" t="str">
        <f>IF(OR(周转筐出入库明细!$C61="",周转筐出入库明细!$F61&lt;&gt;"采购入库"),"",周转筐出入库明细!$C61)</f>
        <v/>
      </c>
      <c r="CT60">
        <f t="shared" si="47"/>
        <v>0</v>
      </c>
      <c r="CU60">
        <f t="shared" si="48"/>
        <v>1</v>
      </c>
      <c r="CW60" t="str">
        <f>IFERROR(INDEX($CS$4:$CS$2003,MATCH(57,$CU$4:$CU$2003,0)),"")</f>
        <v/>
      </c>
    </row>
    <row r="61" spans="1:101">
      <c r="A61" t="str">
        <f>IF(包装物料出入库明细!$E61="","",包装物料出入库明细!$E61)</f>
        <v/>
      </c>
      <c r="B61">
        <f t="shared" si="0"/>
        <v>0</v>
      </c>
      <c r="C61">
        <f t="shared" si="1"/>
        <v>7</v>
      </c>
      <c r="D61" t="str">
        <f>IF(包装物料出入库明细!$E61="","",包装物料出入库明细!$F61)</f>
        <v/>
      </c>
      <c r="E61" t="str">
        <f>IF(包装物料出入库明细!$E61="","",包装物料出入库明细!$G61)</f>
        <v/>
      </c>
      <c r="G61" t="str">
        <f t="shared" si="2"/>
        <v/>
      </c>
      <c r="H61" t="str">
        <f t="shared" si="3"/>
        <v/>
      </c>
      <c r="I61" t="str">
        <f t="shared" si="4"/>
        <v/>
      </c>
      <c r="K61" t="str">
        <f>IF(包装物料出入库明细!$D61="","",包装物料出入库明细!$D61)</f>
        <v/>
      </c>
      <c r="L61">
        <f t="shared" si="5"/>
        <v>0</v>
      </c>
      <c r="M61">
        <f t="shared" si="6"/>
        <v>9</v>
      </c>
      <c r="O61" t="str">
        <f t="shared" si="7"/>
        <v/>
      </c>
      <c r="Q61" t="str">
        <f>IF(周转筐出入库明细!$D62="","",周转筐出入库明细!$D62)</f>
        <v>公司杂周转筐</v>
      </c>
      <c r="R61">
        <f t="shared" si="8"/>
        <v>0</v>
      </c>
      <c r="S61">
        <f t="shared" si="9"/>
        <v>5</v>
      </c>
      <c r="W61" t="str">
        <f>IF(周转筐出入库明细!$C62="","",周转筐出入库明细!$C62)</f>
        <v>王照雪</v>
      </c>
      <c r="X61">
        <f t="shared" si="11"/>
        <v>0</v>
      </c>
      <c r="Y61">
        <f t="shared" si="12"/>
        <v>12</v>
      </c>
      <c r="AA61" t="str">
        <f t="shared" si="13"/>
        <v/>
      </c>
      <c r="AC61" t="str">
        <f>IF(客户自备加工筐明细!$C61="","",客户自备加工筐明细!$C61)</f>
        <v/>
      </c>
      <c r="AD61">
        <f t="shared" si="14"/>
        <v>0</v>
      </c>
      <c r="AE61">
        <f t="shared" si="15"/>
        <v>1</v>
      </c>
      <c r="AI61" t="str">
        <f>IF(客户自备加工筐明细!$E61="","",客户自备加工筐明细!$E61)</f>
        <v/>
      </c>
      <c r="AJ61">
        <f t="shared" si="17"/>
        <v>0</v>
      </c>
      <c r="AK61">
        <f t="shared" si="18"/>
        <v>1</v>
      </c>
      <c r="AM61" t="str">
        <f>IFERROR(INDEX($AI$4:$AI$1503,MATCH(58,$AK$4:$AK$1503,0)),"")</f>
        <v/>
      </c>
      <c r="AO61" t="str">
        <f>IF(次果筐明细!$D61="","",次果筐明细!$D61)</f>
        <v/>
      </c>
      <c r="AP61">
        <f t="shared" si="19"/>
        <v>0</v>
      </c>
      <c r="AQ61">
        <f t="shared" si="20"/>
        <v>1</v>
      </c>
      <c r="AU61" t="str">
        <f>IF(次果筐明细!$C61="","",次果筐明细!$C61)</f>
        <v/>
      </c>
      <c r="AV61">
        <f t="shared" si="22"/>
        <v>0</v>
      </c>
      <c r="AW61">
        <f t="shared" si="23"/>
        <v>1</v>
      </c>
      <c r="AY61" t="str">
        <f t="shared" si="24"/>
        <v/>
      </c>
      <c r="BA61" t="str">
        <f>IF(对接源_01水果筐数!$B62="","",对接源_01水果筐数!$B62)</f>
        <v/>
      </c>
      <c r="BB61">
        <f t="shared" si="25"/>
        <v>0</v>
      </c>
      <c r="BC61">
        <f t="shared" si="26"/>
        <v>14</v>
      </c>
      <c r="BE61" t="str">
        <f t="shared" si="27"/>
        <v/>
      </c>
      <c r="BG61" t="str">
        <f>IF(对接源_01水果筐数!$C62="","",对接源_01水果筐数!$C62)</f>
        <v/>
      </c>
      <c r="BH61">
        <f t="shared" si="28"/>
        <v>0</v>
      </c>
      <c r="BI61">
        <f t="shared" si="29"/>
        <v>7</v>
      </c>
      <c r="BK61" t="str">
        <f t="shared" si="30"/>
        <v/>
      </c>
      <c r="BM61" t="str">
        <f t="shared" si="49"/>
        <v/>
      </c>
      <c r="BN61">
        <f t="shared" si="32"/>
        <v>0</v>
      </c>
      <c r="BO61">
        <f t="shared" si="33"/>
        <v>6</v>
      </c>
      <c r="BQ61" t="str">
        <f t="shared" si="34"/>
        <v/>
      </c>
      <c r="BS61" t="str">
        <f t="shared" si="35"/>
        <v/>
      </c>
      <c r="BT61">
        <f t="shared" si="36"/>
        <v>0</v>
      </c>
      <c r="BU61">
        <f t="shared" si="37"/>
        <v>9</v>
      </c>
      <c r="BW61" t="str">
        <f t="shared" si="38"/>
        <v/>
      </c>
      <c r="BY61" t="str">
        <f t="shared" si="39"/>
        <v/>
      </c>
      <c r="BZ61">
        <f t="shared" si="40"/>
        <v>0</v>
      </c>
      <c r="CA61">
        <f t="shared" si="41"/>
        <v>12</v>
      </c>
      <c r="CC61" t="str">
        <f t="shared" si="42"/>
        <v/>
      </c>
      <c r="CI61" t="str">
        <f>IF(基础资料!$D61="","",基础资料!$D61)</f>
        <v/>
      </c>
      <c r="CJ61">
        <f t="shared" si="43"/>
        <v>0</v>
      </c>
      <c r="CK61">
        <f t="shared" si="44"/>
        <v>19</v>
      </c>
      <c r="CL61" t="str">
        <f t="shared" si="45"/>
        <v/>
      </c>
      <c r="CP61">
        <f>IF(包装物料出入库明细!$D61="",0,1)</f>
        <v>0</v>
      </c>
      <c r="CQ61">
        <f t="shared" si="46"/>
        <v>37</v>
      </c>
      <c r="CS61" t="str">
        <f>IF(OR(周转筐出入库明细!$C62="",周转筐出入库明细!$F62&lt;&gt;"采购入库"),"",周转筐出入库明细!$C62)</f>
        <v/>
      </c>
      <c r="CT61">
        <f t="shared" si="47"/>
        <v>0</v>
      </c>
      <c r="CU61">
        <f t="shared" si="48"/>
        <v>1</v>
      </c>
      <c r="CW61" t="str">
        <f>IFERROR(INDEX($CS$4:$CS$2003,MATCH(58,$CU$4:$CU$2003,0)),"")</f>
        <v/>
      </c>
    </row>
    <row r="62" spans="1:101">
      <c r="A62" t="str">
        <f>IF(包装物料出入库明细!$E62="","",包装物料出入库明细!$E62)</f>
        <v/>
      </c>
      <c r="B62">
        <f t="shared" si="0"/>
        <v>0</v>
      </c>
      <c r="C62">
        <f t="shared" si="1"/>
        <v>7</v>
      </c>
      <c r="D62" t="str">
        <f>IF(包装物料出入库明细!$E62="","",包装物料出入库明细!$F62)</f>
        <v/>
      </c>
      <c r="E62" t="str">
        <f>IF(包装物料出入库明细!$E62="","",包装物料出入库明细!$G62)</f>
        <v/>
      </c>
      <c r="G62" t="str">
        <f t="shared" si="2"/>
        <v/>
      </c>
      <c r="H62" t="str">
        <f t="shared" si="3"/>
        <v/>
      </c>
      <c r="I62" t="str">
        <f t="shared" si="4"/>
        <v/>
      </c>
      <c r="K62" t="str">
        <f>IF(包装物料出入库明细!$D62="","",包装物料出入库明细!$D62)</f>
        <v/>
      </c>
      <c r="L62">
        <f t="shared" si="5"/>
        <v>0</v>
      </c>
      <c r="M62">
        <f t="shared" si="6"/>
        <v>9</v>
      </c>
      <c r="O62" t="str">
        <f t="shared" si="7"/>
        <v/>
      </c>
      <c r="Q62" t="str">
        <f>IF(周转筐出入库明细!$D63="","",周转筐出入库明细!$D63)</f>
        <v>公司红周转筐</v>
      </c>
      <c r="R62">
        <f t="shared" si="8"/>
        <v>0</v>
      </c>
      <c r="S62">
        <f t="shared" si="9"/>
        <v>5</v>
      </c>
      <c r="W62" t="str">
        <f>IF(周转筐出入库明细!$C63="","",周转筐出入库明细!$C63)</f>
        <v>努尔敦</v>
      </c>
      <c r="X62">
        <f t="shared" si="11"/>
        <v>0</v>
      </c>
      <c r="Y62">
        <f t="shared" si="12"/>
        <v>12</v>
      </c>
      <c r="AA62" t="str">
        <f t="shared" si="13"/>
        <v/>
      </c>
      <c r="AC62" t="str">
        <f>IF(客户自备加工筐明细!$C62="","",客户自备加工筐明细!$C62)</f>
        <v/>
      </c>
      <c r="AD62">
        <f t="shared" si="14"/>
        <v>0</v>
      </c>
      <c r="AE62">
        <f t="shared" si="15"/>
        <v>1</v>
      </c>
      <c r="AI62" t="str">
        <f>IF(客户自备加工筐明细!$E62="","",客户自备加工筐明细!$E62)</f>
        <v/>
      </c>
      <c r="AJ62">
        <f t="shared" si="17"/>
        <v>0</v>
      </c>
      <c r="AK62">
        <f t="shared" si="18"/>
        <v>1</v>
      </c>
      <c r="AM62" t="str">
        <f>IFERROR(INDEX($AI$4:$AI$1503,MATCH(59,$AK$4:$AK$1503,0)),"")</f>
        <v/>
      </c>
      <c r="AO62" t="str">
        <f>IF(次果筐明细!$D62="","",次果筐明细!$D62)</f>
        <v/>
      </c>
      <c r="AP62">
        <f t="shared" si="19"/>
        <v>0</v>
      </c>
      <c r="AQ62">
        <f t="shared" si="20"/>
        <v>1</v>
      </c>
      <c r="AU62" t="str">
        <f>IF(次果筐明细!$C62="","",次果筐明细!$C62)</f>
        <v/>
      </c>
      <c r="AV62">
        <f t="shared" si="22"/>
        <v>0</v>
      </c>
      <c r="AW62">
        <f t="shared" si="23"/>
        <v>1</v>
      </c>
      <c r="AY62" t="str">
        <f t="shared" si="24"/>
        <v/>
      </c>
      <c r="BA62" t="str">
        <f>IF(对接源_01水果筐数!$B63="","",对接源_01水果筐数!$B63)</f>
        <v/>
      </c>
      <c r="BB62">
        <f t="shared" si="25"/>
        <v>0</v>
      </c>
      <c r="BC62">
        <f t="shared" si="26"/>
        <v>14</v>
      </c>
      <c r="BE62" t="str">
        <f t="shared" si="27"/>
        <v/>
      </c>
      <c r="BG62" t="str">
        <f>IF(对接源_01水果筐数!$C63="","",对接源_01水果筐数!$C63)</f>
        <v/>
      </c>
      <c r="BH62">
        <f t="shared" si="28"/>
        <v>0</v>
      </c>
      <c r="BI62">
        <f t="shared" si="29"/>
        <v>7</v>
      </c>
      <c r="BK62" t="str">
        <f t="shared" si="30"/>
        <v/>
      </c>
      <c r="BM62" t="str">
        <f t="shared" si="49"/>
        <v/>
      </c>
      <c r="BN62">
        <f t="shared" si="32"/>
        <v>0</v>
      </c>
      <c r="BO62">
        <f t="shared" si="33"/>
        <v>6</v>
      </c>
      <c r="BQ62" t="str">
        <f t="shared" si="34"/>
        <v/>
      </c>
      <c r="BS62" t="str">
        <f t="shared" si="35"/>
        <v/>
      </c>
      <c r="BT62">
        <f t="shared" si="36"/>
        <v>0</v>
      </c>
      <c r="BU62">
        <f t="shared" si="37"/>
        <v>9</v>
      </c>
      <c r="BW62" t="str">
        <f t="shared" si="38"/>
        <v/>
      </c>
      <c r="BY62" t="str">
        <f t="shared" si="39"/>
        <v/>
      </c>
      <c r="BZ62">
        <f t="shared" si="40"/>
        <v>0</v>
      </c>
      <c r="CA62">
        <f t="shared" si="41"/>
        <v>12</v>
      </c>
      <c r="CC62" t="str">
        <f t="shared" si="42"/>
        <v/>
      </c>
      <c r="CI62" t="str">
        <f>IF(基础资料!$D62="","",基础资料!$D62)</f>
        <v/>
      </c>
      <c r="CJ62">
        <f t="shared" si="43"/>
        <v>0</v>
      </c>
      <c r="CK62">
        <f t="shared" si="44"/>
        <v>19</v>
      </c>
      <c r="CL62" t="str">
        <f t="shared" si="45"/>
        <v/>
      </c>
      <c r="CP62">
        <f>IF(包装物料出入库明细!$D62="",0,1)</f>
        <v>0</v>
      </c>
      <c r="CQ62">
        <f t="shared" si="46"/>
        <v>37</v>
      </c>
      <c r="CS62" t="str">
        <f>IF(OR(周转筐出入库明细!$C63="",周转筐出入库明细!$F63&lt;&gt;"采购入库"),"",周转筐出入库明细!$C63)</f>
        <v/>
      </c>
      <c r="CT62">
        <f t="shared" si="47"/>
        <v>0</v>
      </c>
      <c r="CU62">
        <f t="shared" si="48"/>
        <v>1</v>
      </c>
      <c r="CW62" t="str">
        <f>IFERROR(INDEX($CS$4:$CS$2003,MATCH(59,$CU$4:$CU$2003,0)),"")</f>
        <v/>
      </c>
    </row>
    <row r="63" spans="1:101">
      <c r="A63" t="str">
        <f>IF(包装物料出入库明细!$E63="","",包装物料出入库明细!$E63)</f>
        <v/>
      </c>
      <c r="B63">
        <f t="shared" si="0"/>
        <v>0</v>
      </c>
      <c r="C63">
        <f t="shared" si="1"/>
        <v>7</v>
      </c>
      <c r="D63" t="str">
        <f>IF(包装物料出入库明细!$E63="","",包装物料出入库明细!$F63)</f>
        <v/>
      </c>
      <c r="E63" t="str">
        <f>IF(包装物料出入库明细!$E63="","",包装物料出入库明细!$G63)</f>
        <v/>
      </c>
      <c r="G63" t="str">
        <f t="shared" si="2"/>
        <v/>
      </c>
      <c r="H63" t="str">
        <f t="shared" si="3"/>
        <v/>
      </c>
      <c r="I63" t="str">
        <f t="shared" si="4"/>
        <v/>
      </c>
      <c r="K63" t="str">
        <f>IF(包装物料出入库明细!$D63="","",包装物料出入库明细!$D63)</f>
        <v/>
      </c>
      <c r="L63">
        <f t="shared" si="5"/>
        <v>0</v>
      </c>
      <c r="M63">
        <f t="shared" si="6"/>
        <v>9</v>
      </c>
      <c r="O63" t="str">
        <f t="shared" si="7"/>
        <v/>
      </c>
      <c r="Q63" t="str">
        <f>IF(周转筐出入库明细!$D64="","",周转筐出入库明细!$D64)</f>
        <v>公司红周转筐</v>
      </c>
      <c r="R63">
        <f t="shared" si="8"/>
        <v>0</v>
      </c>
      <c r="S63">
        <f t="shared" si="9"/>
        <v>5</v>
      </c>
      <c r="W63" t="str">
        <f>IF(周转筐出入库明细!$C64="","",周转筐出入库明细!$C64)</f>
        <v>全修塑业</v>
      </c>
      <c r="X63">
        <f t="shared" si="11"/>
        <v>0</v>
      </c>
      <c r="Y63">
        <f t="shared" si="12"/>
        <v>12</v>
      </c>
      <c r="AA63" t="str">
        <f t="shared" si="13"/>
        <v/>
      </c>
      <c r="AC63" t="str">
        <f>IF(客户自备加工筐明细!$C63="","",客户自备加工筐明细!$C63)</f>
        <v/>
      </c>
      <c r="AD63">
        <f t="shared" si="14"/>
        <v>0</v>
      </c>
      <c r="AE63">
        <f t="shared" si="15"/>
        <v>1</v>
      </c>
      <c r="AI63" t="str">
        <f>IF(客户自备加工筐明细!$E63="","",客户自备加工筐明细!$E63)</f>
        <v/>
      </c>
      <c r="AJ63">
        <f t="shared" si="17"/>
        <v>0</v>
      </c>
      <c r="AK63">
        <f t="shared" si="18"/>
        <v>1</v>
      </c>
      <c r="AM63" t="str">
        <f>IFERROR(INDEX($AI$4:$AI$1503,MATCH(60,$AK$4:$AK$1503,0)),"")</f>
        <v/>
      </c>
      <c r="AO63" t="str">
        <f>IF(次果筐明细!$D63="","",次果筐明细!$D63)</f>
        <v/>
      </c>
      <c r="AP63">
        <f t="shared" si="19"/>
        <v>0</v>
      </c>
      <c r="AQ63">
        <f t="shared" si="20"/>
        <v>1</v>
      </c>
      <c r="AU63" t="str">
        <f>IF(次果筐明细!$C63="","",次果筐明细!$C63)</f>
        <v/>
      </c>
      <c r="AV63">
        <f t="shared" si="22"/>
        <v>0</v>
      </c>
      <c r="AW63">
        <f t="shared" si="23"/>
        <v>1</v>
      </c>
      <c r="AY63" t="str">
        <f t="shared" si="24"/>
        <v/>
      </c>
      <c r="BA63" t="str">
        <f>IF(对接源_01水果筐数!$B64="","",对接源_01水果筐数!$B64)</f>
        <v/>
      </c>
      <c r="BB63">
        <f t="shared" si="25"/>
        <v>0</v>
      </c>
      <c r="BC63">
        <f t="shared" si="26"/>
        <v>14</v>
      </c>
      <c r="BE63" t="str">
        <f t="shared" si="27"/>
        <v/>
      </c>
      <c r="BG63" t="str">
        <f>IF(对接源_01水果筐数!$C64="","",对接源_01水果筐数!$C64)</f>
        <v/>
      </c>
      <c r="BH63">
        <f t="shared" si="28"/>
        <v>0</v>
      </c>
      <c r="BI63">
        <f t="shared" si="29"/>
        <v>7</v>
      </c>
      <c r="BK63" t="str">
        <f t="shared" si="30"/>
        <v/>
      </c>
      <c r="BM63" t="str">
        <f t="shared" si="49"/>
        <v/>
      </c>
      <c r="BN63">
        <f t="shared" si="32"/>
        <v>0</v>
      </c>
      <c r="BO63">
        <f t="shared" si="33"/>
        <v>6</v>
      </c>
      <c r="BQ63" t="str">
        <f t="shared" si="34"/>
        <v/>
      </c>
      <c r="BS63" t="str">
        <f t="shared" si="35"/>
        <v/>
      </c>
      <c r="BT63">
        <f t="shared" si="36"/>
        <v>0</v>
      </c>
      <c r="BU63">
        <f t="shared" si="37"/>
        <v>9</v>
      </c>
      <c r="BW63" t="str">
        <f t="shared" si="38"/>
        <v/>
      </c>
      <c r="BY63" t="str">
        <f t="shared" si="39"/>
        <v/>
      </c>
      <c r="BZ63">
        <f t="shared" si="40"/>
        <v>0</v>
      </c>
      <c r="CA63">
        <f t="shared" si="41"/>
        <v>12</v>
      </c>
      <c r="CC63" t="str">
        <f t="shared" si="42"/>
        <v/>
      </c>
      <c r="CI63" t="str">
        <f>IF(基础资料!$D63="","",基础资料!$D63)</f>
        <v/>
      </c>
      <c r="CJ63">
        <f t="shared" si="43"/>
        <v>0</v>
      </c>
      <c r="CK63">
        <f t="shared" si="44"/>
        <v>19</v>
      </c>
      <c r="CL63" t="str">
        <f t="shared" si="45"/>
        <v/>
      </c>
      <c r="CP63">
        <f>IF(包装物料出入库明细!$D63="",0,1)</f>
        <v>0</v>
      </c>
      <c r="CQ63">
        <f t="shared" si="46"/>
        <v>37</v>
      </c>
      <c r="CS63" t="str">
        <f>IF(OR(周转筐出入库明细!$C64="",周转筐出入库明细!$F64&lt;&gt;"采购入库"),"",周转筐出入库明细!$C64)</f>
        <v>全修塑业</v>
      </c>
      <c r="CT63">
        <f t="shared" si="47"/>
        <v>0</v>
      </c>
      <c r="CU63">
        <f t="shared" si="48"/>
        <v>1</v>
      </c>
      <c r="CW63" t="str">
        <f>IFERROR(INDEX($CS$4:$CS$2003,MATCH(60,$CU$4:$CU$2003,0)),"")</f>
        <v/>
      </c>
    </row>
    <row r="64" spans="1:101">
      <c r="A64" t="str">
        <f>IF(包装物料出入库明细!$E64="","",包装物料出入库明细!$E64)</f>
        <v/>
      </c>
      <c r="B64">
        <f t="shared" si="0"/>
        <v>0</v>
      </c>
      <c r="C64">
        <f t="shared" si="1"/>
        <v>7</v>
      </c>
      <c r="D64" t="str">
        <f>IF(包装物料出入库明细!$E64="","",包装物料出入库明细!$F64)</f>
        <v/>
      </c>
      <c r="E64" t="str">
        <f>IF(包装物料出入库明细!$E64="","",包装物料出入库明细!$G64)</f>
        <v/>
      </c>
      <c r="K64" t="str">
        <f>IF(包装物料出入库明细!$D64="","",包装物料出入库明细!$D64)</f>
        <v/>
      </c>
      <c r="L64">
        <f t="shared" si="5"/>
        <v>0</v>
      </c>
      <c r="M64">
        <f t="shared" si="6"/>
        <v>9</v>
      </c>
      <c r="O64" t="str">
        <f t="shared" si="7"/>
        <v/>
      </c>
      <c r="Q64" t="str">
        <f>IF(周转筐出入库明细!$D65="","",周转筐出入库明细!$D65)</f>
        <v>公司红周转筐</v>
      </c>
      <c r="R64">
        <f t="shared" si="8"/>
        <v>0</v>
      </c>
      <c r="S64">
        <f t="shared" si="9"/>
        <v>5</v>
      </c>
      <c r="W64" t="str">
        <f>IF(周转筐出入库明细!$C65="","",周转筐出入库明细!$C65)</f>
        <v>热合曼</v>
      </c>
      <c r="X64">
        <f t="shared" si="11"/>
        <v>0</v>
      </c>
      <c r="Y64">
        <f t="shared" si="12"/>
        <v>12</v>
      </c>
      <c r="AA64" t="str">
        <f t="shared" si="13"/>
        <v/>
      </c>
      <c r="AC64" t="str">
        <f>IF(客户自备加工筐明细!$C64="","",客户自备加工筐明细!$C64)</f>
        <v/>
      </c>
      <c r="AD64">
        <f t="shared" si="14"/>
        <v>0</v>
      </c>
      <c r="AE64">
        <f t="shared" si="15"/>
        <v>1</v>
      </c>
      <c r="AI64" t="str">
        <f>IF(客户自备加工筐明细!$E64="","",客户自备加工筐明细!$E64)</f>
        <v/>
      </c>
      <c r="AJ64">
        <f t="shared" si="17"/>
        <v>0</v>
      </c>
      <c r="AK64">
        <f t="shared" si="18"/>
        <v>1</v>
      </c>
      <c r="AM64" t="str">
        <f>IFERROR(INDEX($AI$4:$AI$1503,MATCH(61,$AK$4:$AK$1503,0)),"")</f>
        <v/>
      </c>
      <c r="AO64" t="str">
        <f>IF(次果筐明细!$D64="","",次果筐明细!$D64)</f>
        <v/>
      </c>
      <c r="AP64">
        <f t="shared" si="19"/>
        <v>0</v>
      </c>
      <c r="AQ64">
        <f t="shared" si="20"/>
        <v>1</v>
      </c>
      <c r="AU64" t="str">
        <f>IF(次果筐明细!$C64="","",次果筐明细!$C64)</f>
        <v/>
      </c>
      <c r="AV64">
        <f t="shared" si="22"/>
        <v>0</v>
      </c>
      <c r="AW64">
        <f t="shared" si="23"/>
        <v>1</v>
      </c>
      <c r="AY64" t="str">
        <f t="shared" si="24"/>
        <v/>
      </c>
      <c r="BA64" t="str">
        <f>IF(对接源_01水果筐数!$B65="","",对接源_01水果筐数!$B65)</f>
        <v/>
      </c>
      <c r="BB64">
        <f t="shared" si="25"/>
        <v>0</v>
      </c>
      <c r="BC64">
        <f t="shared" si="26"/>
        <v>14</v>
      </c>
      <c r="BE64" t="str">
        <f t="shared" si="27"/>
        <v/>
      </c>
      <c r="BG64" t="str">
        <f>IF(对接源_01水果筐数!$C65="","",对接源_01水果筐数!$C65)</f>
        <v/>
      </c>
      <c r="BH64">
        <f t="shared" si="28"/>
        <v>0</v>
      </c>
      <c r="BI64">
        <f t="shared" si="29"/>
        <v>7</v>
      </c>
      <c r="BM64" t="str">
        <f t="shared" si="49"/>
        <v/>
      </c>
      <c r="BN64">
        <f t="shared" si="32"/>
        <v>0</v>
      </c>
      <c r="BO64">
        <f t="shared" si="33"/>
        <v>6</v>
      </c>
      <c r="BS64" t="str">
        <f t="shared" si="35"/>
        <v/>
      </c>
      <c r="BT64">
        <f t="shared" si="36"/>
        <v>0</v>
      </c>
      <c r="BU64">
        <f t="shared" si="37"/>
        <v>9</v>
      </c>
      <c r="BW64" t="str">
        <f t="shared" si="38"/>
        <v/>
      </c>
      <c r="BY64" t="str">
        <f t="shared" si="39"/>
        <v/>
      </c>
      <c r="BZ64">
        <f t="shared" si="40"/>
        <v>0</v>
      </c>
      <c r="CA64">
        <f t="shared" si="41"/>
        <v>12</v>
      </c>
      <c r="CC64" t="str">
        <f t="shared" si="42"/>
        <v/>
      </c>
      <c r="CI64" t="str">
        <f>IF(基础资料!$D64="","",基础资料!$D64)</f>
        <v/>
      </c>
      <c r="CJ64">
        <f t="shared" si="43"/>
        <v>0</v>
      </c>
      <c r="CK64">
        <f t="shared" si="44"/>
        <v>19</v>
      </c>
      <c r="CL64" t="str">
        <f t="shared" si="45"/>
        <v/>
      </c>
      <c r="CP64">
        <f>IF(包装物料出入库明细!$D64="",0,1)</f>
        <v>0</v>
      </c>
      <c r="CQ64">
        <f t="shared" si="46"/>
        <v>37</v>
      </c>
      <c r="CS64" t="str">
        <f>IF(OR(周转筐出入库明细!$C65="",周转筐出入库明细!$F65&lt;&gt;"采购入库"),"",周转筐出入库明细!$C65)</f>
        <v/>
      </c>
      <c r="CT64">
        <f t="shared" si="47"/>
        <v>0</v>
      </c>
      <c r="CU64">
        <f t="shared" si="48"/>
        <v>1</v>
      </c>
      <c r="CW64" t="str">
        <f>IFERROR(INDEX($CS$4:$CS$2003,MATCH(61,$CU$4:$CU$2003,0)),"")</f>
        <v/>
      </c>
    </row>
    <row r="65" spans="1:101">
      <c r="A65" t="str">
        <f>IF(包装物料出入库明细!$E65="","",包装物料出入库明细!$E65)</f>
        <v/>
      </c>
      <c r="B65">
        <f t="shared" si="0"/>
        <v>0</v>
      </c>
      <c r="C65">
        <f t="shared" si="1"/>
        <v>7</v>
      </c>
      <c r="D65" t="str">
        <f>IF(包装物料出入库明细!$E65="","",包装物料出入库明细!$F65)</f>
        <v/>
      </c>
      <c r="E65" t="str">
        <f>IF(包装物料出入库明细!$E65="","",包装物料出入库明细!$G65)</f>
        <v/>
      </c>
      <c r="K65" t="str">
        <f>IF(包装物料出入库明细!$D65="","",包装物料出入库明细!$D65)</f>
        <v/>
      </c>
      <c r="L65">
        <f t="shared" si="5"/>
        <v>0</v>
      </c>
      <c r="M65">
        <f t="shared" si="6"/>
        <v>9</v>
      </c>
      <c r="O65" t="str">
        <f t="shared" si="7"/>
        <v/>
      </c>
      <c r="Q65" t="str">
        <f>IF(周转筐出入库明细!$D66="","",周转筐出入库明细!$D66)</f>
        <v>公司红周转筐</v>
      </c>
      <c r="R65">
        <f t="shared" si="8"/>
        <v>0</v>
      </c>
      <c r="S65">
        <f t="shared" si="9"/>
        <v>5</v>
      </c>
      <c r="W65" t="str">
        <f>IF(周转筐出入库明细!$C66="","",周转筐出入库明细!$C66)</f>
        <v>全修塑业</v>
      </c>
      <c r="X65">
        <f t="shared" si="11"/>
        <v>0</v>
      </c>
      <c r="Y65">
        <f t="shared" si="12"/>
        <v>12</v>
      </c>
      <c r="AA65" t="str">
        <f t="shared" si="13"/>
        <v/>
      </c>
      <c r="AC65" t="str">
        <f>IF(客户自备加工筐明细!$C65="","",客户自备加工筐明细!$C65)</f>
        <v/>
      </c>
      <c r="AD65">
        <f t="shared" si="14"/>
        <v>0</v>
      </c>
      <c r="AE65">
        <f t="shared" si="15"/>
        <v>1</v>
      </c>
      <c r="AI65" t="str">
        <f>IF(客户自备加工筐明细!$E65="","",客户自备加工筐明细!$E65)</f>
        <v/>
      </c>
      <c r="AJ65">
        <f t="shared" si="17"/>
        <v>0</v>
      </c>
      <c r="AK65">
        <f t="shared" si="18"/>
        <v>1</v>
      </c>
      <c r="AM65" t="str">
        <f>IFERROR(INDEX($AI$4:$AI$1503,MATCH(62,$AK$4:$AK$1503,0)),"")</f>
        <v/>
      </c>
      <c r="AO65" t="str">
        <f>IF(次果筐明细!$D65="","",次果筐明细!$D65)</f>
        <v/>
      </c>
      <c r="AP65">
        <f t="shared" si="19"/>
        <v>0</v>
      </c>
      <c r="AQ65">
        <f t="shared" si="20"/>
        <v>1</v>
      </c>
      <c r="AU65" t="str">
        <f>IF(次果筐明细!$C65="","",次果筐明细!$C65)</f>
        <v/>
      </c>
      <c r="AV65">
        <f t="shared" si="22"/>
        <v>0</v>
      </c>
      <c r="AW65">
        <f t="shared" si="23"/>
        <v>1</v>
      </c>
      <c r="AY65" t="str">
        <f t="shared" si="24"/>
        <v/>
      </c>
      <c r="BA65" t="str">
        <f>IF(对接源_01水果筐数!$B66="","",对接源_01水果筐数!$B66)</f>
        <v/>
      </c>
      <c r="BB65">
        <f t="shared" si="25"/>
        <v>0</v>
      </c>
      <c r="BC65">
        <f t="shared" si="26"/>
        <v>14</v>
      </c>
      <c r="BE65" t="str">
        <f t="shared" si="27"/>
        <v/>
      </c>
      <c r="BG65" t="str">
        <f>IF(对接源_01水果筐数!$C66="","",对接源_01水果筐数!$C66)</f>
        <v/>
      </c>
      <c r="BH65">
        <f t="shared" si="28"/>
        <v>0</v>
      </c>
      <c r="BI65">
        <f t="shared" si="29"/>
        <v>7</v>
      </c>
      <c r="BM65" t="str">
        <f t="shared" si="49"/>
        <v/>
      </c>
      <c r="BN65">
        <f t="shared" si="32"/>
        <v>0</v>
      </c>
      <c r="BO65">
        <f t="shared" si="33"/>
        <v>6</v>
      </c>
      <c r="BS65" t="str">
        <f t="shared" si="35"/>
        <v/>
      </c>
      <c r="BT65">
        <f t="shared" si="36"/>
        <v>0</v>
      </c>
      <c r="BU65">
        <f t="shared" si="37"/>
        <v>9</v>
      </c>
      <c r="BW65" t="str">
        <f t="shared" si="38"/>
        <v/>
      </c>
      <c r="BY65" t="str">
        <f t="shared" si="39"/>
        <v/>
      </c>
      <c r="BZ65">
        <f t="shared" si="40"/>
        <v>0</v>
      </c>
      <c r="CA65">
        <f t="shared" si="41"/>
        <v>12</v>
      </c>
      <c r="CC65" t="str">
        <f t="shared" si="42"/>
        <v/>
      </c>
      <c r="CI65" t="str">
        <f>IF(基础资料!$D65="","",基础资料!$D65)</f>
        <v/>
      </c>
      <c r="CJ65">
        <f t="shared" si="43"/>
        <v>0</v>
      </c>
      <c r="CK65">
        <f t="shared" si="44"/>
        <v>19</v>
      </c>
      <c r="CL65" t="str">
        <f t="shared" si="45"/>
        <v/>
      </c>
      <c r="CP65">
        <f>IF(包装物料出入库明细!$D65="",0,1)</f>
        <v>0</v>
      </c>
      <c r="CQ65">
        <f t="shared" si="46"/>
        <v>37</v>
      </c>
      <c r="CS65" t="str">
        <f>IF(OR(周转筐出入库明细!$C66="",周转筐出入库明细!$F66&lt;&gt;"采购入库"),"",周转筐出入库明细!$C66)</f>
        <v>全修塑业</v>
      </c>
      <c r="CT65">
        <f t="shared" si="47"/>
        <v>0</v>
      </c>
      <c r="CU65">
        <f t="shared" si="48"/>
        <v>1</v>
      </c>
      <c r="CW65" t="str">
        <f>IFERROR(INDEX($CS$4:$CS$2003,MATCH(62,$CU$4:$CU$2003,0)),"")</f>
        <v/>
      </c>
    </row>
    <row r="66" spans="1:101">
      <c r="A66" t="str">
        <f>IF(包装物料出入库明细!$E66="","",包装物料出入库明细!$E66)</f>
        <v/>
      </c>
      <c r="B66">
        <f t="shared" si="0"/>
        <v>0</v>
      </c>
      <c r="C66">
        <f t="shared" si="1"/>
        <v>7</v>
      </c>
      <c r="D66" t="str">
        <f>IF(包装物料出入库明细!$E66="","",包装物料出入库明细!$F66)</f>
        <v/>
      </c>
      <c r="E66" t="str">
        <f>IF(包装物料出入库明细!$E66="","",包装物料出入库明细!$G66)</f>
        <v/>
      </c>
      <c r="K66" t="str">
        <f>IF(包装物料出入库明细!$D66="","",包装物料出入库明细!$D66)</f>
        <v/>
      </c>
      <c r="L66">
        <f t="shared" si="5"/>
        <v>0</v>
      </c>
      <c r="M66">
        <f t="shared" si="6"/>
        <v>9</v>
      </c>
      <c r="O66" t="str">
        <f t="shared" si="7"/>
        <v/>
      </c>
      <c r="Q66" t="str">
        <f>IF(周转筐出入库明细!$D67="","",周转筐出入库明细!$D67)</f>
        <v>公司红周转筐</v>
      </c>
      <c r="R66">
        <f t="shared" si="8"/>
        <v>0</v>
      </c>
      <c r="S66">
        <f t="shared" si="9"/>
        <v>5</v>
      </c>
      <c r="W66" t="str">
        <f>IF(周转筐出入库明细!$C67="","",周转筐出入库明细!$C67)</f>
        <v>吐尔洪</v>
      </c>
      <c r="X66">
        <f t="shared" si="11"/>
        <v>0</v>
      </c>
      <c r="Y66">
        <f t="shared" si="12"/>
        <v>12</v>
      </c>
      <c r="AA66" t="str">
        <f t="shared" si="13"/>
        <v/>
      </c>
      <c r="AC66" t="str">
        <f>IF(客户自备加工筐明细!$C66="","",客户自备加工筐明细!$C66)</f>
        <v/>
      </c>
      <c r="AD66">
        <f t="shared" si="14"/>
        <v>0</v>
      </c>
      <c r="AE66">
        <f t="shared" si="15"/>
        <v>1</v>
      </c>
      <c r="AI66" t="str">
        <f>IF(客户自备加工筐明细!$E66="","",客户自备加工筐明细!$E66)</f>
        <v/>
      </c>
      <c r="AJ66">
        <f t="shared" si="17"/>
        <v>0</v>
      </c>
      <c r="AK66">
        <f t="shared" si="18"/>
        <v>1</v>
      </c>
      <c r="AM66" t="str">
        <f>IFERROR(INDEX($AI$4:$AI$1503,MATCH(63,$AK$4:$AK$1503,0)),"")</f>
        <v/>
      </c>
      <c r="AO66" t="str">
        <f>IF(次果筐明细!$D66="","",次果筐明细!$D66)</f>
        <v/>
      </c>
      <c r="AP66">
        <f t="shared" si="19"/>
        <v>0</v>
      </c>
      <c r="AQ66">
        <f t="shared" si="20"/>
        <v>1</v>
      </c>
      <c r="AU66" t="str">
        <f>IF(次果筐明细!$C66="","",次果筐明细!$C66)</f>
        <v/>
      </c>
      <c r="AV66">
        <f t="shared" si="22"/>
        <v>0</v>
      </c>
      <c r="AW66">
        <f t="shared" si="23"/>
        <v>1</v>
      </c>
      <c r="AY66" t="str">
        <f t="shared" si="24"/>
        <v/>
      </c>
      <c r="BA66" t="str">
        <f>IF(对接源_01水果筐数!$B67="","",对接源_01水果筐数!$B67)</f>
        <v/>
      </c>
      <c r="BB66">
        <f t="shared" si="25"/>
        <v>0</v>
      </c>
      <c r="BC66">
        <f t="shared" si="26"/>
        <v>14</v>
      </c>
      <c r="BE66" t="str">
        <f t="shared" si="27"/>
        <v/>
      </c>
      <c r="BG66" t="str">
        <f>IF(对接源_01水果筐数!$C67="","",对接源_01水果筐数!$C67)</f>
        <v/>
      </c>
      <c r="BH66">
        <f t="shared" si="28"/>
        <v>0</v>
      </c>
      <c r="BI66">
        <f t="shared" si="29"/>
        <v>7</v>
      </c>
      <c r="BM66" t="str">
        <f t="shared" si="49"/>
        <v/>
      </c>
      <c r="BN66">
        <f t="shared" si="32"/>
        <v>0</v>
      </c>
      <c r="BO66">
        <f t="shared" si="33"/>
        <v>6</v>
      </c>
      <c r="BS66" t="str">
        <f t="shared" si="35"/>
        <v/>
      </c>
      <c r="BT66">
        <f t="shared" si="36"/>
        <v>0</v>
      </c>
      <c r="BU66">
        <f t="shared" si="37"/>
        <v>9</v>
      </c>
      <c r="BW66" t="str">
        <f t="shared" si="38"/>
        <v/>
      </c>
      <c r="BY66" t="str">
        <f t="shared" si="39"/>
        <v/>
      </c>
      <c r="BZ66">
        <f t="shared" si="40"/>
        <v>0</v>
      </c>
      <c r="CA66">
        <f t="shared" si="41"/>
        <v>12</v>
      </c>
      <c r="CC66" t="str">
        <f t="shared" si="42"/>
        <v/>
      </c>
      <c r="CI66" t="str">
        <f>IF(基础资料!$D66="","",基础资料!$D66)</f>
        <v/>
      </c>
      <c r="CJ66">
        <f t="shared" si="43"/>
        <v>0</v>
      </c>
      <c r="CK66">
        <f t="shared" si="44"/>
        <v>19</v>
      </c>
      <c r="CL66" t="str">
        <f t="shared" si="45"/>
        <v/>
      </c>
      <c r="CP66">
        <f>IF(包装物料出入库明细!$D66="",0,1)</f>
        <v>0</v>
      </c>
      <c r="CQ66">
        <f t="shared" si="46"/>
        <v>37</v>
      </c>
      <c r="CS66" t="str">
        <f>IF(OR(周转筐出入库明细!$C67="",周转筐出入库明细!$F67&lt;&gt;"采购入库"),"",周转筐出入库明细!$C67)</f>
        <v/>
      </c>
      <c r="CT66">
        <f t="shared" si="47"/>
        <v>0</v>
      </c>
      <c r="CU66">
        <f t="shared" si="48"/>
        <v>1</v>
      </c>
      <c r="CW66" t="str">
        <f>IFERROR(INDEX($CS$4:$CS$2003,MATCH(63,$CU$4:$CU$2003,0)),"")</f>
        <v/>
      </c>
    </row>
    <row r="67" spans="1:101">
      <c r="A67" t="str">
        <f>IF(包装物料出入库明细!$E67="","",包装物料出入库明细!$E67)</f>
        <v/>
      </c>
      <c r="B67">
        <f t="shared" si="0"/>
        <v>0</v>
      </c>
      <c r="C67">
        <f t="shared" si="1"/>
        <v>7</v>
      </c>
      <c r="D67" t="str">
        <f>IF(包装物料出入库明细!$E67="","",包装物料出入库明细!$F67)</f>
        <v/>
      </c>
      <c r="E67" t="str">
        <f>IF(包装物料出入库明细!$E67="","",包装物料出入库明细!$G67)</f>
        <v/>
      </c>
      <c r="K67" t="str">
        <f>IF(包装物料出入库明细!$D67="","",包装物料出入库明细!$D67)</f>
        <v/>
      </c>
      <c r="L67">
        <f t="shared" si="5"/>
        <v>0</v>
      </c>
      <c r="M67">
        <f t="shared" si="6"/>
        <v>9</v>
      </c>
      <c r="O67" t="str">
        <f t="shared" si="7"/>
        <v/>
      </c>
      <c r="Q67" t="str">
        <f>IF(周转筐出入库明细!$D68="","",周转筐出入库明细!$D68)</f>
        <v>公司一次性筐</v>
      </c>
      <c r="R67">
        <f t="shared" si="8"/>
        <v>0</v>
      </c>
      <c r="S67">
        <f t="shared" si="9"/>
        <v>5</v>
      </c>
      <c r="W67" t="str">
        <f>IF(周转筐出入库明细!$C68="","",周转筐出入库明细!$C68)</f>
        <v>王照雪</v>
      </c>
      <c r="X67">
        <f t="shared" si="11"/>
        <v>0</v>
      </c>
      <c r="Y67">
        <f t="shared" si="12"/>
        <v>12</v>
      </c>
      <c r="AA67" t="str">
        <f t="shared" si="13"/>
        <v/>
      </c>
      <c r="AC67" t="str">
        <f>IF(客户自备加工筐明细!$C67="","",客户自备加工筐明细!$C67)</f>
        <v/>
      </c>
      <c r="AD67">
        <f t="shared" si="14"/>
        <v>0</v>
      </c>
      <c r="AE67">
        <f t="shared" si="15"/>
        <v>1</v>
      </c>
      <c r="AI67" t="str">
        <f>IF(客户自备加工筐明细!$E67="","",客户自备加工筐明细!$E67)</f>
        <v/>
      </c>
      <c r="AJ67">
        <f t="shared" si="17"/>
        <v>0</v>
      </c>
      <c r="AK67">
        <f t="shared" si="18"/>
        <v>1</v>
      </c>
      <c r="AM67" t="str">
        <f>IFERROR(INDEX($AI$4:$AI$1503,MATCH(64,$AK$4:$AK$1503,0)),"")</f>
        <v/>
      </c>
      <c r="AO67" t="str">
        <f>IF(次果筐明细!$D67="","",次果筐明细!$D67)</f>
        <v/>
      </c>
      <c r="AP67">
        <f t="shared" si="19"/>
        <v>0</v>
      </c>
      <c r="AQ67">
        <f t="shared" si="20"/>
        <v>1</v>
      </c>
      <c r="AU67" t="str">
        <f>IF(次果筐明细!$C67="","",次果筐明细!$C67)</f>
        <v/>
      </c>
      <c r="AV67">
        <f t="shared" si="22"/>
        <v>0</v>
      </c>
      <c r="AW67">
        <f t="shared" si="23"/>
        <v>1</v>
      </c>
      <c r="AY67" t="str">
        <f t="shared" si="24"/>
        <v/>
      </c>
      <c r="BA67" t="str">
        <f>IF(对接源_01水果筐数!$B68="","",对接源_01水果筐数!$B68)</f>
        <v/>
      </c>
      <c r="BB67">
        <f t="shared" si="25"/>
        <v>0</v>
      </c>
      <c r="BC67">
        <f t="shared" si="26"/>
        <v>14</v>
      </c>
      <c r="BE67" t="str">
        <f t="shared" si="27"/>
        <v/>
      </c>
      <c r="BG67" t="str">
        <f>IF(对接源_01水果筐数!$C68="","",对接源_01水果筐数!$C68)</f>
        <v/>
      </c>
      <c r="BH67">
        <f t="shared" si="28"/>
        <v>0</v>
      </c>
      <c r="BI67">
        <f t="shared" si="29"/>
        <v>7</v>
      </c>
      <c r="BM67" t="str">
        <f t="shared" si="49"/>
        <v/>
      </c>
      <c r="BN67">
        <f t="shared" si="32"/>
        <v>0</v>
      </c>
      <c r="BO67">
        <f t="shared" si="33"/>
        <v>6</v>
      </c>
      <c r="BS67" t="str">
        <f t="shared" si="35"/>
        <v/>
      </c>
      <c r="BT67">
        <f t="shared" si="36"/>
        <v>0</v>
      </c>
      <c r="BU67">
        <f t="shared" si="37"/>
        <v>9</v>
      </c>
      <c r="BW67" t="str">
        <f t="shared" si="38"/>
        <v/>
      </c>
      <c r="BY67" t="str">
        <f t="shared" si="39"/>
        <v/>
      </c>
      <c r="BZ67">
        <f t="shared" si="40"/>
        <v>0</v>
      </c>
      <c r="CA67">
        <f t="shared" si="41"/>
        <v>12</v>
      </c>
      <c r="CC67" t="str">
        <f t="shared" si="42"/>
        <v/>
      </c>
      <c r="CI67" t="str">
        <f>IF(基础资料!$D67="","",基础资料!$D67)</f>
        <v/>
      </c>
      <c r="CJ67">
        <f t="shared" si="43"/>
        <v>0</v>
      </c>
      <c r="CK67">
        <f t="shared" si="44"/>
        <v>19</v>
      </c>
      <c r="CL67" t="str">
        <f t="shared" si="45"/>
        <v/>
      </c>
      <c r="CP67">
        <f>IF(包装物料出入库明细!$D67="",0,1)</f>
        <v>0</v>
      </c>
      <c r="CQ67">
        <f t="shared" si="46"/>
        <v>37</v>
      </c>
      <c r="CS67" t="str">
        <f>IF(OR(周转筐出入库明细!$C68="",周转筐出入库明细!$F68&lt;&gt;"采购入库"),"",周转筐出入库明细!$C68)</f>
        <v/>
      </c>
      <c r="CT67">
        <f t="shared" si="47"/>
        <v>0</v>
      </c>
      <c r="CU67">
        <f t="shared" si="48"/>
        <v>1</v>
      </c>
      <c r="CW67" t="str">
        <f>IFERROR(INDEX($CS$4:$CS$2003,MATCH(64,$CU$4:$CU$2003,0)),"")</f>
        <v/>
      </c>
    </row>
    <row r="68" spans="1:101">
      <c r="A68" t="str">
        <f>IF(包装物料出入库明细!$E68="","",包装物料出入库明细!$E68)</f>
        <v/>
      </c>
      <c r="B68">
        <f t="shared" ref="B68:B131" si="50">IF(A68="",0,IF(MATCH(A68,$A$4:$A$2003,0)=ROW()-3,1,0))</f>
        <v>0</v>
      </c>
      <c r="C68">
        <f t="shared" ref="C68:C131" si="51">N(C67)+B68</f>
        <v>7</v>
      </c>
      <c r="D68" t="str">
        <f>IF(包装物料出入库明细!$E68="","",包装物料出入库明细!$F68)</f>
        <v/>
      </c>
      <c r="E68" t="str">
        <f>IF(包装物料出入库明细!$E68="","",包装物料出入库明细!$G68)</f>
        <v/>
      </c>
      <c r="K68" t="str">
        <f>IF(包装物料出入库明细!$D68="","",包装物料出入库明细!$D68)</f>
        <v/>
      </c>
      <c r="L68">
        <f t="shared" ref="L68:L131" si="52">IF(K68="",0,IF(MATCH(K68,$K$4:$K$2003,0)=ROW()-3,1,0))</f>
        <v>0</v>
      </c>
      <c r="M68">
        <f t="shared" ref="M68:M131" si="53">N(M67)+L68</f>
        <v>9</v>
      </c>
      <c r="O68" t="str">
        <f t="shared" ref="O68:O131" si="54">IFERROR(INDEX($K$4:$K$2003,MATCH(ROW()-3,$M$4:$M$2003,0)),"")</f>
        <v/>
      </c>
      <c r="Q68" t="str">
        <f>IF(周转筐出入库明细!$D69="","",周转筐出入库明细!$D69)</f>
        <v>公司杂周转筐</v>
      </c>
      <c r="R68">
        <f t="shared" ref="R68:R131" si="55">IF(Q68="",0,IF(MATCH(Q68,$Q$4:$Q$2003,0)=ROW()-3,1,0))</f>
        <v>0</v>
      </c>
      <c r="S68">
        <f t="shared" ref="S68:S131" si="56">N(S67)+R68</f>
        <v>5</v>
      </c>
      <c r="W68" t="str">
        <f>IF(周转筐出入库明细!$C69="","",周转筐出入库明细!$C69)</f>
        <v>王照雪</v>
      </c>
      <c r="X68">
        <f t="shared" ref="X68:X131" si="57">IF(W68="",0,IF(MATCH(W68,$W$4:$W$2003,0)=ROW()-3,1,0))</f>
        <v>0</v>
      </c>
      <c r="Y68">
        <f t="shared" ref="Y68:Y131" si="58">N(Y67)+X68</f>
        <v>12</v>
      </c>
      <c r="AA68" t="str">
        <f t="shared" ref="AA68:AA131" si="59">IFERROR(INDEX($W$4:$W$2003,MATCH(ROW()-3,$Y$4:$Y$2003,0)),"")</f>
        <v/>
      </c>
      <c r="AC68" t="str">
        <f>IF(客户自备加工筐明细!$C68="","",客户自备加工筐明细!$C68)</f>
        <v/>
      </c>
      <c r="AD68">
        <f t="shared" ref="AD68:AD131" si="60">IF(AC68="",0,IF(MATCH(AC68,$AC$4:$AC$1203,0)=ROW()-3,1,0))</f>
        <v>0</v>
      </c>
      <c r="AE68">
        <f t="shared" ref="AE68:AE131" si="61">N(AE67)+AD68</f>
        <v>1</v>
      </c>
      <c r="AI68" t="str">
        <f>IF(客户自备加工筐明细!$E68="","",客户自备加工筐明细!$E68)</f>
        <v/>
      </c>
      <c r="AJ68">
        <f t="shared" ref="AJ68:AJ131" si="62">IF(AI68="",0,IF(MATCH(AI68,$AI$4:$AI$1503,0)=ROW()-3,1,0))</f>
        <v>0</v>
      </c>
      <c r="AK68">
        <f t="shared" ref="AK68:AK131" si="63">N(AK67)+AJ68</f>
        <v>1</v>
      </c>
      <c r="AM68" t="str">
        <f>IFERROR(INDEX($AI$4:$AI$1503,MATCH(65,$AK$4:$AK$1503,0)),"")</f>
        <v/>
      </c>
      <c r="AO68" t="str">
        <f>IF(次果筐明细!$D68="","",次果筐明细!$D68)</f>
        <v/>
      </c>
      <c r="AP68">
        <f t="shared" ref="AP68:AP131" si="64">IF(AO68="",0,IF(MATCH(AO68,$AO$4:$AO$603,0)=ROW()-3,1,0))</f>
        <v>0</v>
      </c>
      <c r="AQ68">
        <f t="shared" ref="AQ68:AQ131" si="65">N(AQ67)+AP68</f>
        <v>1</v>
      </c>
      <c r="AU68" t="str">
        <f>IF(次果筐明细!$C68="","",次果筐明细!$C68)</f>
        <v/>
      </c>
      <c r="AV68">
        <f t="shared" ref="AV68:AV131" si="66">IF(AU68="",0,IF(MATCH(AU68,$AU$4:$AU$603,0)=ROW()-3,1,0))</f>
        <v>0</v>
      </c>
      <c r="AW68">
        <f t="shared" ref="AW68:AW131" si="67">N(AW67)+AV68</f>
        <v>1</v>
      </c>
      <c r="AY68" t="str">
        <f t="shared" ref="AY68:AY131" si="68">IFERROR(INDEX($AU$4:$AU$603,MATCH(ROW()-3,$AW$4:$AW$603,0)),"")</f>
        <v/>
      </c>
      <c r="BA68" t="str">
        <f>IF(对接源_01水果筐数!$B69="","",对接源_01水果筐数!$B69)</f>
        <v/>
      </c>
      <c r="BB68">
        <f t="shared" ref="BB68:BB131" si="69">IF(BA68="",0,IF(MATCH(BA68,$BA$4:$BA$303,0)=ROW()-3,1,0))</f>
        <v>0</v>
      </c>
      <c r="BC68">
        <f t="shared" ref="BC68:BC131" si="70">N(BC67)+BB68</f>
        <v>14</v>
      </c>
      <c r="BE68" t="str">
        <f t="shared" ref="BE68:BE131" si="71">IFERROR(INDEX($BA$4:$BA$303,MATCH(ROW()-3,$BC$4:$BC$303,0)),"")</f>
        <v/>
      </c>
      <c r="BG68" t="str">
        <f>IF(对接源_01水果筐数!$C69="","",对接源_01水果筐数!$C69)</f>
        <v/>
      </c>
      <c r="BH68">
        <f t="shared" ref="BH68:BH131" si="72">IF(BG68="",0,IF(MATCH(BG68,$BG$4:$BG$303,0)=ROW()-3,1,0))</f>
        <v>0</v>
      </c>
      <c r="BI68">
        <f t="shared" ref="BI68:BI131" si="73">N(BI67)+BH68</f>
        <v>7</v>
      </c>
      <c r="BM68" t="str">
        <f t="shared" si="49"/>
        <v/>
      </c>
      <c r="BN68">
        <f t="shared" ref="BN68:BN131" si="74">IF(BM68="",0,IF(MATCH(BM68,$BM$4:$BM$183,0)=ROW()-3,1,0))</f>
        <v>0</v>
      </c>
      <c r="BO68">
        <f t="shared" ref="BO68:BO131" si="75">N(BO67)+BN68</f>
        <v>6</v>
      </c>
      <c r="BS68" t="str">
        <f t="shared" ref="BS68:BS131" si="76">IF($O68="","",$O68)</f>
        <v/>
      </c>
      <c r="BT68">
        <f t="shared" ref="BT68:BT131" si="77">IF(BS68="",0,IF(MATCH(BS68,$BS$4:$BS$1103,0)=ROW()-3,1,0))</f>
        <v>0</v>
      </c>
      <c r="BU68">
        <f t="shared" ref="BU68:BU131" si="78">N(BU67)+BT68</f>
        <v>9</v>
      </c>
      <c r="BW68" t="str">
        <f t="shared" ref="BW68:BW131" si="79">IFERROR(INDEX($BS$4:$BS$1103,MATCH(ROW()-3,$BU$4:$BU$1103,0)),"")</f>
        <v/>
      </c>
      <c r="BY68" t="str">
        <f t="shared" ref="BY68:BY131" si="80">IF($AA68="","",$AA68)</f>
        <v/>
      </c>
      <c r="BZ68">
        <f t="shared" ref="BZ68:BZ131" si="81">IF(BY68="",0,IF(MATCH(BY68,$BY$4:$BY$503,0)=ROW()-3,1,0))</f>
        <v>0</v>
      </c>
      <c r="CA68">
        <f t="shared" ref="CA68:CA131" si="82">N(CA67)+BZ68</f>
        <v>12</v>
      </c>
      <c r="CC68" t="str">
        <f t="shared" ref="CC68:CC131" si="83">IFERROR(INDEX($BY$4:$BY$503,MATCH(ROW()-3,$CA$4:$CA$503,0)),"")</f>
        <v/>
      </c>
      <c r="CI68" t="str">
        <f>IF(基础资料!$D68="","",基础资料!$D68)</f>
        <v/>
      </c>
      <c r="CJ68">
        <f t="shared" ref="CJ68:CJ131" si="84">IF(CI68="",0,IF(MATCH(CI68,$CI$4:$CI$203,0)=ROW()-3,1,0))</f>
        <v>0</v>
      </c>
      <c r="CK68">
        <f t="shared" ref="CK68:CK131" si="85">N(CK67)+$CJ68</f>
        <v>19</v>
      </c>
      <c r="CL68" t="str">
        <f t="shared" ref="CL68:CL131" si="86">IFERROR(INDEX($CI$4:$CI$203,MATCH(ROW()-3,$CK$4:$CK$203,0)),"")</f>
        <v/>
      </c>
      <c r="CP68">
        <f>IF(包装物料出入库明细!$D68="",0,1)</f>
        <v>0</v>
      </c>
      <c r="CQ68">
        <f t="shared" ref="CQ68:CQ131" si="87">N(CQ67)+$CP68</f>
        <v>37</v>
      </c>
      <c r="CS68" t="str">
        <f>IF(OR(周转筐出入库明细!$C69="",周转筐出入库明细!$F69&lt;&gt;"采购入库"),"",周转筐出入库明细!$C69)</f>
        <v/>
      </c>
      <c r="CT68">
        <f t="shared" ref="CT68:CT131" si="88">IF(CS68="",0,IF(MATCH(CS68,$CS$4:$CS$2003,0)=ROW()-3,1,0))</f>
        <v>0</v>
      </c>
      <c r="CU68">
        <f t="shared" ref="CU68:CU131" si="89">N(CU67)+CT68</f>
        <v>1</v>
      </c>
      <c r="CW68" t="str">
        <f>IFERROR(INDEX($CS$4:$CS$2003,MATCH(65,$CU$4:$CU$2003,0)),"")</f>
        <v/>
      </c>
    </row>
    <row r="69" spans="1:101">
      <c r="A69" t="str">
        <f>IF(包装物料出入库明细!$E69="","",包装物料出入库明细!$E69)</f>
        <v/>
      </c>
      <c r="B69">
        <f t="shared" si="50"/>
        <v>0</v>
      </c>
      <c r="C69">
        <f t="shared" si="51"/>
        <v>7</v>
      </c>
      <c r="D69" t="str">
        <f>IF(包装物料出入库明细!$E69="","",包装物料出入库明细!$F69)</f>
        <v/>
      </c>
      <c r="E69" t="str">
        <f>IF(包装物料出入库明细!$E69="","",包装物料出入库明细!$G69)</f>
        <v/>
      </c>
      <c r="K69" t="str">
        <f>IF(包装物料出入库明细!$D69="","",包装物料出入库明细!$D69)</f>
        <v/>
      </c>
      <c r="L69">
        <f t="shared" si="52"/>
        <v>0</v>
      </c>
      <c r="M69">
        <f t="shared" si="53"/>
        <v>9</v>
      </c>
      <c r="O69" t="str">
        <f t="shared" si="54"/>
        <v/>
      </c>
      <c r="Q69" t="str">
        <f>IF(周转筐出入库明细!$D70="","",周转筐出入库明细!$D70)</f>
        <v>公司红周转筐</v>
      </c>
      <c r="R69">
        <f t="shared" si="55"/>
        <v>0</v>
      </c>
      <c r="S69">
        <f t="shared" si="56"/>
        <v>5</v>
      </c>
      <c r="W69" t="str">
        <f>IF(周转筐出入库明细!$C70="","",周转筐出入库明细!$C70)</f>
        <v>全修塑业</v>
      </c>
      <c r="X69">
        <f t="shared" si="57"/>
        <v>0</v>
      </c>
      <c r="Y69">
        <f t="shared" si="58"/>
        <v>12</v>
      </c>
      <c r="AA69" t="str">
        <f t="shared" si="59"/>
        <v/>
      </c>
      <c r="AC69" t="str">
        <f>IF(客户自备加工筐明细!$C69="","",客户自备加工筐明细!$C69)</f>
        <v/>
      </c>
      <c r="AD69">
        <f t="shared" si="60"/>
        <v>0</v>
      </c>
      <c r="AE69">
        <f t="shared" si="61"/>
        <v>1</v>
      </c>
      <c r="AI69" t="str">
        <f>IF(客户自备加工筐明细!$E69="","",客户自备加工筐明细!$E69)</f>
        <v/>
      </c>
      <c r="AJ69">
        <f t="shared" si="62"/>
        <v>0</v>
      </c>
      <c r="AK69">
        <f t="shared" si="63"/>
        <v>1</v>
      </c>
      <c r="AM69" t="str">
        <f>IFERROR(INDEX($AI$4:$AI$1503,MATCH(66,$AK$4:$AK$1503,0)),"")</f>
        <v/>
      </c>
      <c r="AO69" t="str">
        <f>IF(次果筐明细!$D69="","",次果筐明细!$D69)</f>
        <v/>
      </c>
      <c r="AP69">
        <f t="shared" si="64"/>
        <v>0</v>
      </c>
      <c r="AQ69">
        <f t="shared" si="65"/>
        <v>1</v>
      </c>
      <c r="AU69" t="str">
        <f>IF(次果筐明细!$C69="","",次果筐明细!$C69)</f>
        <v/>
      </c>
      <c r="AV69">
        <f t="shared" si="66"/>
        <v>0</v>
      </c>
      <c r="AW69">
        <f t="shared" si="67"/>
        <v>1</v>
      </c>
      <c r="AY69" t="str">
        <f t="shared" si="68"/>
        <v/>
      </c>
      <c r="BA69" t="str">
        <f>IF(对接源_01水果筐数!$B70="","",对接源_01水果筐数!$B70)</f>
        <v/>
      </c>
      <c r="BB69">
        <f t="shared" si="69"/>
        <v>0</v>
      </c>
      <c r="BC69">
        <f t="shared" si="70"/>
        <v>14</v>
      </c>
      <c r="BE69" t="str">
        <f t="shared" si="71"/>
        <v/>
      </c>
      <c r="BG69" t="str">
        <f>IF(对接源_01水果筐数!$C70="","",对接源_01水果筐数!$C70)</f>
        <v/>
      </c>
      <c r="BH69">
        <f t="shared" si="72"/>
        <v>0</v>
      </c>
      <c r="BI69">
        <f t="shared" si="73"/>
        <v>7</v>
      </c>
      <c r="BM69" t="str">
        <f t="shared" si="49"/>
        <v/>
      </c>
      <c r="BN69">
        <f t="shared" si="74"/>
        <v>0</v>
      </c>
      <c r="BO69">
        <f t="shared" si="75"/>
        <v>6</v>
      </c>
      <c r="BS69" t="str">
        <f t="shared" si="76"/>
        <v/>
      </c>
      <c r="BT69">
        <f t="shared" si="77"/>
        <v>0</v>
      </c>
      <c r="BU69">
        <f t="shared" si="78"/>
        <v>9</v>
      </c>
      <c r="BW69" t="str">
        <f t="shared" si="79"/>
        <v/>
      </c>
      <c r="BY69" t="str">
        <f t="shared" si="80"/>
        <v/>
      </c>
      <c r="BZ69">
        <f t="shared" si="81"/>
        <v>0</v>
      </c>
      <c r="CA69">
        <f t="shared" si="82"/>
        <v>12</v>
      </c>
      <c r="CC69" t="str">
        <f t="shared" si="83"/>
        <v/>
      </c>
      <c r="CI69" t="str">
        <f>IF(基础资料!$D69="","",基础资料!$D69)</f>
        <v/>
      </c>
      <c r="CJ69">
        <f t="shared" si="84"/>
        <v>0</v>
      </c>
      <c r="CK69">
        <f t="shared" si="85"/>
        <v>19</v>
      </c>
      <c r="CL69" t="str">
        <f t="shared" si="86"/>
        <v/>
      </c>
      <c r="CP69">
        <f>IF(包装物料出入库明细!$D69="",0,1)</f>
        <v>0</v>
      </c>
      <c r="CQ69">
        <f t="shared" si="87"/>
        <v>37</v>
      </c>
      <c r="CS69" t="str">
        <f>IF(OR(周转筐出入库明细!$C70="",周转筐出入库明细!$F70&lt;&gt;"采购入库"),"",周转筐出入库明细!$C70)</f>
        <v>全修塑业</v>
      </c>
      <c r="CT69">
        <f t="shared" si="88"/>
        <v>0</v>
      </c>
      <c r="CU69">
        <f t="shared" si="89"/>
        <v>1</v>
      </c>
      <c r="CW69" t="str">
        <f>IFERROR(INDEX($CS$4:$CS$2003,MATCH(66,$CU$4:$CU$2003,0)),"")</f>
        <v/>
      </c>
    </row>
    <row r="70" spans="1:101">
      <c r="A70" t="str">
        <f>IF(包装物料出入库明细!$E70="","",包装物料出入库明细!$E70)</f>
        <v/>
      </c>
      <c r="B70">
        <f t="shared" si="50"/>
        <v>0</v>
      </c>
      <c r="C70">
        <f t="shared" si="51"/>
        <v>7</v>
      </c>
      <c r="D70" t="str">
        <f>IF(包装物料出入库明细!$E70="","",包装物料出入库明细!$F70)</f>
        <v/>
      </c>
      <c r="E70" t="str">
        <f>IF(包装物料出入库明细!$E70="","",包装物料出入库明细!$G70)</f>
        <v/>
      </c>
      <c r="K70" t="str">
        <f>IF(包装物料出入库明细!$D70="","",包装物料出入库明细!$D70)</f>
        <v/>
      </c>
      <c r="L70">
        <f t="shared" si="52"/>
        <v>0</v>
      </c>
      <c r="M70">
        <f t="shared" si="53"/>
        <v>9</v>
      </c>
      <c r="O70" t="str">
        <f t="shared" si="54"/>
        <v/>
      </c>
      <c r="Q70" t="str">
        <f>IF(周转筐出入库明细!$D71="","",周转筐出入库明细!$D71)</f>
        <v>公司红周转筐</v>
      </c>
      <c r="R70">
        <f t="shared" si="55"/>
        <v>0</v>
      </c>
      <c r="S70">
        <f t="shared" si="56"/>
        <v>5</v>
      </c>
      <c r="W70" t="str">
        <f>IF(周转筐出入库明细!$C71="","",周转筐出入库明细!$C71)</f>
        <v>麦麦提</v>
      </c>
      <c r="X70">
        <f t="shared" si="57"/>
        <v>0</v>
      </c>
      <c r="Y70">
        <f t="shared" si="58"/>
        <v>12</v>
      </c>
      <c r="AA70" t="str">
        <f t="shared" si="59"/>
        <v/>
      </c>
      <c r="AC70" t="str">
        <f>IF(客户自备加工筐明细!$C70="","",客户自备加工筐明细!$C70)</f>
        <v/>
      </c>
      <c r="AD70">
        <f t="shared" si="60"/>
        <v>0</v>
      </c>
      <c r="AE70">
        <f t="shared" si="61"/>
        <v>1</v>
      </c>
      <c r="AI70" t="str">
        <f>IF(客户自备加工筐明细!$E70="","",客户自备加工筐明细!$E70)</f>
        <v/>
      </c>
      <c r="AJ70">
        <f t="shared" si="62"/>
        <v>0</v>
      </c>
      <c r="AK70">
        <f t="shared" si="63"/>
        <v>1</v>
      </c>
      <c r="AM70" t="str">
        <f>IFERROR(INDEX($AI$4:$AI$1503,MATCH(67,$AK$4:$AK$1503,0)),"")</f>
        <v/>
      </c>
      <c r="AO70" t="str">
        <f>IF(次果筐明细!$D70="","",次果筐明细!$D70)</f>
        <v/>
      </c>
      <c r="AP70">
        <f t="shared" si="64"/>
        <v>0</v>
      </c>
      <c r="AQ70">
        <f t="shared" si="65"/>
        <v>1</v>
      </c>
      <c r="AU70" t="str">
        <f>IF(次果筐明细!$C70="","",次果筐明细!$C70)</f>
        <v/>
      </c>
      <c r="AV70">
        <f t="shared" si="66"/>
        <v>0</v>
      </c>
      <c r="AW70">
        <f t="shared" si="67"/>
        <v>1</v>
      </c>
      <c r="AY70" t="str">
        <f t="shared" si="68"/>
        <v/>
      </c>
      <c r="BA70" t="str">
        <f>IF(对接源_01水果筐数!$B71="","",对接源_01水果筐数!$B71)</f>
        <v/>
      </c>
      <c r="BB70">
        <f t="shared" si="69"/>
        <v>0</v>
      </c>
      <c r="BC70">
        <f t="shared" si="70"/>
        <v>14</v>
      </c>
      <c r="BE70" t="str">
        <f t="shared" si="71"/>
        <v/>
      </c>
      <c r="BG70" t="str">
        <f>IF(对接源_01水果筐数!$C71="","",对接源_01水果筐数!$C71)</f>
        <v/>
      </c>
      <c r="BH70">
        <f t="shared" si="72"/>
        <v>0</v>
      </c>
      <c r="BI70">
        <f t="shared" si="73"/>
        <v>7</v>
      </c>
      <c r="BM70" t="str">
        <f t="shared" si="49"/>
        <v/>
      </c>
      <c r="BN70">
        <f t="shared" si="74"/>
        <v>0</v>
      </c>
      <c r="BO70">
        <f t="shared" si="75"/>
        <v>6</v>
      </c>
      <c r="BS70" t="str">
        <f t="shared" si="76"/>
        <v/>
      </c>
      <c r="BT70">
        <f t="shared" si="77"/>
        <v>0</v>
      </c>
      <c r="BU70">
        <f t="shared" si="78"/>
        <v>9</v>
      </c>
      <c r="BW70" t="str">
        <f t="shared" si="79"/>
        <v/>
      </c>
      <c r="BY70" t="str">
        <f t="shared" si="80"/>
        <v/>
      </c>
      <c r="BZ70">
        <f t="shared" si="81"/>
        <v>0</v>
      </c>
      <c r="CA70">
        <f t="shared" si="82"/>
        <v>12</v>
      </c>
      <c r="CC70" t="str">
        <f t="shared" si="83"/>
        <v/>
      </c>
      <c r="CI70" t="str">
        <f>IF(基础资料!$D70="","",基础资料!$D70)</f>
        <v/>
      </c>
      <c r="CJ70">
        <f t="shared" si="84"/>
        <v>0</v>
      </c>
      <c r="CK70">
        <f t="shared" si="85"/>
        <v>19</v>
      </c>
      <c r="CL70" t="str">
        <f t="shared" si="86"/>
        <v/>
      </c>
      <c r="CP70">
        <f>IF(包装物料出入库明细!$D70="",0,1)</f>
        <v>0</v>
      </c>
      <c r="CQ70">
        <f t="shared" si="87"/>
        <v>37</v>
      </c>
      <c r="CS70" t="str">
        <f>IF(OR(周转筐出入库明细!$C71="",周转筐出入库明细!$F71&lt;&gt;"采购入库"),"",周转筐出入库明细!$C71)</f>
        <v/>
      </c>
      <c r="CT70">
        <f t="shared" si="88"/>
        <v>0</v>
      </c>
      <c r="CU70">
        <f t="shared" si="89"/>
        <v>1</v>
      </c>
      <c r="CW70" t="str">
        <f>IFERROR(INDEX($CS$4:$CS$2003,MATCH(67,$CU$4:$CU$2003,0)),"")</f>
        <v/>
      </c>
    </row>
    <row r="71" spans="1:101">
      <c r="A71" t="str">
        <f>IF(包装物料出入库明细!$E71="","",包装物料出入库明细!$E71)</f>
        <v/>
      </c>
      <c r="B71">
        <f t="shared" si="50"/>
        <v>0</v>
      </c>
      <c r="C71">
        <f t="shared" si="51"/>
        <v>7</v>
      </c>
      <c r="D71" t="str">
        <f>IF(包装物料出入库明细!$E71="","",包装物料出入库明细!$F71)</f>
        <v/>
      </c>
      <c r="E71" t="str">
        <f>IF(包装物料出入库明细!$E71="","",包装物料出入库明细!$G71)</f>
        <v/>
      </c>
      <c r="K71" t="str">
        <f>IF(包装物料出入库明细!$D71="","",包装物料出入库明细!$D71)</f>
        <v/>
      </c>
      <c r="L71">
        <f t="shared" si="52"/>
        <v>0</v>
      </c>
      <c r="M71">
        <f t="shared" si="53"/>
        <v>9</v>
      </c>
      <c r="O71" t="str">
        <f t="shared" si="54"/>
        <v/>
      </c>
      <c r="Q71" t="str">
        <f>IF(周转筐出入库明细!$D72="","",周转筐出入库明细!$D72)</f>
        <v>公司红周转筐</v>
      </c>
      <c r="R71">
        <f t="shared" si="55"/>
        <v>0</v>
      </c>
      <c r="S71">
        <f t="shared" si="56"/>
        <v>5</v>
      </c>
      <c r="W71" t="str">
        <f>IF(周转筐出入库明细!$C72="","",周转筐出入库明细!$C72)</f>
        <v>全修塑业</v>
      </c>
      <c r="X71">
        <f t="shared" si="57"/>
        <v>0</v>
      </c>
      <c r="Y71">
        <f t="shared" si="58"/>
        <v>12</v>
      </c>
      <c r="AA71" t="str">
        <f t="shared" si="59"/>
        <v/>
      </c>
      <c r="AC71" t="str">
        <f>IF(客户自备加工筐明细!$C71="","",客户自备加工筐明细!$C71)</f>
        <v/>
      </c>
      <c r="AD71">
        <f t="shared" si="60"/>
        <v>0</v>
      </c>
      <c r="AE71">
        <f t="shared" si="61"/>
        <v>1</v>
      </c>
      <c r="AI71" t="str">
        <f>IF(客户自备加工筐明细!$E71="","",客户自备加工筐明细!$E71)</f>
        <v/>
      </c>
      <c r="AJ71">
        <f t="shared" si="62"/>
        <v>0</v>
      </c>
      <c r="AK71">
        <f t="shared" si="63"/>
        <v>1</v>
      </c>
      <c r="AM71" t="str">
        <f>IFERROR(INDEX($AI$4:$AI$1503,MATCH(68,$AK$4:$AK$1503,0)),"")</f>
        <v/>
      </c>
      <c r="AO71" t="str">
        <f>IF(次果筐明细!$D71="","",次果筐明细!$D71)</f>
        <v/>
      </c>
      <c r="AP71">
        <f t="shared" si="64"/>
        <v>0</v>
      </c>
      <c r="AQ71">
        <f t="shared" si="65"/>
        <v>1</v>
      </c>
      <c r="AU71" t="str">
        <f>IF(次果筐明细!$C71="","",次果筐明细!$C71)</f>
        <v/>
      </c>
      <c r="AV71">
        <f t="shared" si="66"/>
        <v>0</v>
      </c>
      <c r="AW71">
        <f t="shared" si="67"/>
        <v>1</v>
      </c>
      <c r="AY71" t="str">
        <f t="shared" si="68"/>
        <v/>
      </c>
      <c r="BA71" t="str">
        <f>IF(对接源_01水果筐数!$B72="","",对接源_01水果筐数!$B72)</f>
        <v/>
      </c>
      <c r="BB71">
        <f t="shared" si="69"/>
        <v>0</v>
      </c>
      <c r="BC71">
        <f t="shared" si="70"/>
        <v>14</v>
      </c>
      <c r="BE71" t="str">
        <f t="shared" si="71"/>
        <v/>
      </c>
      <c r="BG71" t="str">
        <f>IF(对接源_01水果筐数!$C72="","",对接源_01水果筐数!$C72)</f>
        <v/>
      </c>
      <c r="BH71">
        <f t="shared" si="72"/>
        <v>0</v>
      </c>
      <c r="BI71">
        <f t="shared" si="73"/>
        <v>7</v>
      </c>
      <c r="BM71" t="str">
        <f t="shared" si="49"/>
        <v/>
      </c>
      <c r="BN71">
        <f t="shared" si="74"/>
        <v>0</v>
      </c>
      <c r="BO71">
        <f t="shared" si="75"/>
        <v>6</v>
      </c>
      <c r="BS71" t="str">
        <f t="shared" si="76"/>
        <v/>
      </c>
      <c r="BT71">
        <f t="shared" si="77"/>
        <v>0</v>
      </c>
      <c r="BU71">
        <f t="shared" si="78"/>
        <v>9</v>
      </c>
      <c r="BW71" t="str">
        <f t="shared" si="79"/>
        <v/>
      </c>
      <c r="BY71" t="str">
        <f t="shared" si="80"/>
        <v/>
      </c>
      <c r="BZ71">
        <f t="shared" si="81"/>
        <v>0</v>
      </c>
      <c r="CA71">
        <f t="shared" si="82"/>
        <v>12</v>
      </c>
      <c r="CC71" t="str">
        <f t="shared" si="83"/>
        <v/>
      </c>
      <c r="CI71" t="str">
        <f>IF(基础资料!$D71="","",基础资料!$D71)</f>
        <v/>
      </c>
      <c r="CJ71">
        <f t="shared" si="84"/>
        <v>0</v>
      </c>
      <c r="CK71">
        <f t="shared" si="85"/>
        <v>19</v>
      </c>
      <c r="CL71" t="str">
        <f t="shared" si="86"/>
        <v/>
      </c>
      <c r="CP71">
        <f>IF(包装物料出入库明细!$D71="",0,1)</f>
        <v>0</v>
      </c>
      <c r="CQ71">
        <f t="shared" si="87"/>
        <v>37</v>
      </c>
      <c r="CS71" t="str">
        <f>IF(OR(周转筐出入库明细!$C72="",周转筐出入库明细!$F72&lt;&gt;"采购入库"),"",周转筐出入库明细!$C72)</f>
        <v>全修塑业</v>
      </c>
      <c r="CT71">
        <f t="shared" si="88"/>
        <v>0</v>
      </c>
      <c r="CU71">
        <f t="shared" si="89"/>
        <v>1</v>
      </c>
      <c r="CW71" t="str">
        <f>IFERROR(INDEX($CS$4:$CS$2003,MATCH(68,$CU$4:$CU$2003,0)),"")</f>
        <v/>
      </c>
    </row>
    <row r="72" spans="1:101">
      <c r="A72" t="str">
        <f>IF(包装物料出入库明细!$E72="","",包装物料出入库明细!$E72)</f>
        <v/>
      </c>
      <c r="B72">
        <f t="shared" si="50"/>
        <v>0</v>
      </c>
      <c r="C72">
        <f t="shared" si="51"/>
        <v>7</v>
      </c>
      <c r="D72" t="str">
        <f>IF(包装物料出入库明细!$E72="","",包装物料出入库明细!$F72)</f>
        <v/>
      </c>
      <c r="E72" t="str">
        <f>IF(包装物料出入库明细!$E72="","",包装物料出入库明细!$G72)</f>
        <v/>
      </c>
      <c r="K72" t="str">
        <f>IF(包装物料出入库明细!$D72="","",包装物料出入库明细!$D72)</f>
        <v/>
      </c>
      <c r="L72">
        <f t="shared" si="52"/>
        <v>0</v>
      </c>
      <c r="M72">
        <f t="shared" si="53"/>
        <v>9</v>
      </c>
      <c r="O72" t="str">
        <f t="shared" si="54"/>
        <v/>
      </c>
      <c r="Q72" t="str">
        <f>IF(周转筐出入库明细!$D73="","",周转筐出入库明细!$D73)</f>
        <v>公司杂周转筐</v>
      </c>
      <c r="R72">
        <f t="shared" si="55"/>
        <v>0</v>
      </c>
      <c r="S72">
        <f t="shared" si="56"/>
        <v>5</v>
      </c>
      <c r="W72" t="str">
        <f>IF(周转筐出入库明细!$C73="","",周转筐出入库明细!$C73)</f>
        <v>王照雪</v>
      </c>
      <c r="X72">
        <f t="shared" si="57"/>
        <v>0</v>
      </c>
      <c r="Y72">
        <f t="shared" si="58"/>
        <v>12</v>
      </c>
      <c r="AA72" t="str">
        <f t="shared" si="59"/>
        <v/>
      </c>
      <c r="AC72" t="str">
        <f>IF(客户自备加工筐明细!$C72="","",客户自备加工筐明细!$C72)</f>
        <v/>
      </c>
      <c r="AD72">
        <f t="shared" si="60"/>
        <v>0</v>
      </c>
      <c r="AE72">
        <f t="shared" si="61"/>
        <v>1</v>
      </c>
      <c r="AI72" t="str">
        <f>IF(客户自备加工筐明细!$E72="","",客户自备加工筐明细!$E72)</f>
        <v/>
      </c>
      <c r="AJ72">
        <f t="shared" si="62"/>
        <v>0</v>
      </c>
      <c r="AK72">
        <f t="shared" si="63"/>
        <v>1</v>
      </c>
      <c r="AM72" t="str">
        <f>IFERROR(INDEX($AI$4:$AI$1503,MATCH(69,$AK$4:$AK$1503,0)),"")</f>
        <v/>
      </c>
      <c r="AO72" t="str">
        <f>IF(次果筐明细!$D72="","",次果筐明细!$D72)</f>
        <v/>
      </c>
      <c r="AP72">
        <f t="shared" si="64"/>
        <v>0</v>
      </c>
      <c r="AQ72">
        <f t="shared" si="65"/>
        <v>1</v>
      </c>
      <c r="AU72" t="str">
        <f>IF(次果筐明细!$C72="","",次果筐明细!$C72)</f>
        <v/>
      </c>
      <c r="AV72">
        <f t="shared" si="66"/>
        <v>0</v>
      </c>
      <c r="AW72">
        <f t="shared" si="67"/>
        <v>1</v>
      </c>
      <c r="AY72" t="str">
        <f t="shared" si="68"/>
        <v/>
      </c>
      <c r="BA72" t="str">
        <f>IF(对接源_01水果筐数!$B73="","",对接源_01水果筐数!$B73)</f>
        <v/>
      </c>
      <c r="BB72">
        <f t="shared" si="69"/>
        <v>0</v>
      </c>
      <c r="BC72">
        <f t="shared" si="70"/>
        <v>14</v>
      </c>
      <c r="BE72" t="str">
        <f t="shared" si="71"/>
        <v/>
      </c>
      <c r="BG72" t="str">
        <f>IF(对接源_01水果筐数!$C73="","",对接源_01水果筐数!$C73)</f>
        <v/>
      </c>
      <c r="BH72">
        <f t="shared" si="72"/>
        <v>0</v>
      </c>
      <c r="BI72">
        <f t="shared" si="73"/>
        <v>7</v>
      </c>
      <c r="BM72" t="str">
        <f t="shared" si="49"/>
        <v/>
      </c>
      <c r="BN72">
        <f t="shared" si="74"/>
        <v>0</v>
      </c>
      <c r="BO72">
        <f t="shared" si="75"/>
        <v>6</v>
      </c>
      <c r="BS72" t="str">
        <f t="shared" si="76"/>
        <v/>
      </c>
      <c r="BT72">
        <f t="shared" si="77"/>
        <v>0</v>
      </c>
      <c r="BU72">
        <f t="shared" si="78"/>
        <v>9</v>
      </c>
      <c r="BW72" t="str">
        <f t="shared" si="79"/>
        <v/>
      </c>
      <c r="BY72" t="str">
        <f t="shared" si="80"/>
        <v/>
      </c>
      <c r="BZ72">
        <f t="shared" si="81"/>
        <v>0</v>
      </c>
      <c r="CA72">
        <f t="shared" si="82"/>
        <v>12</v>
      </c>
      <c r="CC72" t="str">
        <f t="shared" si="83"/>
        <v/>
      </c>
      <c r="CI72" t="str">
        <f>IF(基础资料!$D72="","",基础资料!$D72)</f>
        <v/>
      </c>
      <c r="CJ72">
        <f t="shared" si="84"/>
        <v>0</v>
      </c>
      <c r="CK72">
        <f t="shared" si="85"/>
        <v>19</v>
      </c>
      <c r="CL72" t="str">
        <f t="shared" si="86"/>
        <v/>
      </c>
      <c r="CP72">
        <f>IF(包装物料出入库明细!$D72="",0,1)</f>
        <v>0</v>
      </c>
      <c r="CQ72">
        <f t="shared" si="87"/>
        <v>37</v>
      </c>
      <c r="CS72" t="str">
        <f>IF(OR(周转筐出入库明细!$C73="",周转筐出入库明细!$F73&lt;&gt;"采购入库"),"",周转筐出入库明细!$C73)</f>
        <v/>
      </c>
      <c r="CT72">
        <f t="shared" si="88"/>
        <v>0</v>
      </c>
      <c r="CU72">
        <f t="shared" si="89"/>
        <v>1</v>
      </c>
      <c r="CW72" t="str">
        <f>IFERROR(INDEX($CS$4:$CS$2003,MATCH(69,$CU$4:$CU$2003,0)),"")</f>
        <v/>
      </c>
    </row>
    <row r="73" spans="1:101">
      <c r="A73" t="str">
        <f>IF(包装物料出入库明细!$E73="","",包装物料出入库明细!$E73)</f>
        <v/>
      </c>
      <c r="B73">
        <f t="shared" si="50"/>
        <v>0</v>
      </c>
      <c r="C73">
        <f t="shared" si="51"/>
        <v>7</v>
      </c>
      <c r="D73" t="str">
        <f>IF(包装物料出入库明细!$E73="","",包装物料出入库明细!$F73)</f>
        <v/>
      </c>
      <c r="E73" t="str">
        <f>IF(包装物料出入库明细!$E73="","",包装物料出入库明细!$G73)</f>
        <v/>
      </c>
      <c r="K73" t="str">
        <f>IF(包装物料出入库明细!$D73="","",包装物料出入库明细!$D73)</f>
        <v/>
      </c>
      <c r="L73">
        <f t="shared" si="52"/>
        <v>0</v>
      </c>
      <c r="M73">
        <f t="shared" si="53"/>
        <v>9</v>
      </c>
      <c r="O73" t="str">
        <f t="shared" si="54"/>
        <v/>
      </c>
      <c r="Q73" t="str">
        <f>IF(周转筐出入库明细!$D74="","",周转筐出入库明细!$D74)</f>
        <v>公司红周转筐</v>
      </c>
      <c r="R73">
        <f t="shared" si="55"/>
        <v>0</v>
      </c>
      <c r="S73">
        <f t="shared" si="56"/>
        <v>5</v>
      </c>
      <c r="W73" t="str">
        <f>IF(周转筐出入库明细!$C74="","",周转筐出入库明细!$C74)</f>
        <v>王灵云</v>
      </c>
      <c r="X73">
        <f t="shared" si="57"/>
        <v>0</v>
      </c>
      <c r="Y73">
        <f t="shared" si="58"/>
        <v>12</v>
      </c>
      <c r="AA73" t="str">
        <f t="shared" si="59"/>
        <v/>
      </c>
      <c r="AC73" t="str">
        <f>IF(客户自备加工筐明细!$C73="","",客户自备加工筐明细!$C73)</f>
        <v/>
      </c>
      <c r="AD73">
        <f t="shared" si="60"/>
        <v>0</v>
      </c>
      <c r="AE73">
        <f t="shared" si="61"/>
        <v>1</v>
      </c>
      <c r="AI73" t="str">
        <f>IF(客户自备加工筐明细!$E73="","",客户自备加工筐明细!$E73)</f>
        <v/>
      </c>
      <c r="AJ73">
        <f t="shared" si="62"/>
        <v>0</v>
      </c>
      <c r="AK73">
        <f t="shared" si="63"/>
        <v>1</v>
      </c>
      <c r="AM73" t="str">
        <f>IFERROR(INDEX($AI$4:$AI$1503,MATCH(70,$AK$4:$AK$1503,0)),"")</f>
        <v/>
      </c>
      <c r="AO73" t="str">
        <f>IF(次果筐明细!$D73="","",次果筐明细!$D73)</f>
        <v/>
      </c>
      <c r="AP73">
        <f t="shared" si="64"/>
        <v>0</v>
      </c>
      <c r="AQ73">
        <f t="shared" si="65"/>
        <v>1</v>
      </c>
      <c r="AU73" t="str">
        <f>IF(次果筐明细!$C73="","",次果筐明细!$C73)</f>
        <v/>
      </c>
      <c r="AV73">
        <f t="shared" si="66"/>
        <v>0</v>
      </c>
      <c r="AW73">
        <f t="shared" si="67"/>
        <v>1</v>
      </c>
      <c r="AY73" t="str">
        <f t="shared" si="68"/>
        <v/>
      </c>
      <c r="BA73" t="str">
        <f>IF(对接源_01水果筐数!$B74="","",对接源_01水果筐数!$B74)</f>
        <v/>
      </c>
      <c r="BB73">
        <f t="shared" si="69"/>
        <v>0</v>
      </c>
      <c r="BC73">
        <f t="shared" si="70"/>
        <v>14</v>
      </c>
      <c r="BE73" t="str">
        <f t="shared" si="71"/>
        <v/>
      </c>
      <c r="BG73" t="str">
        <f>IF(对接源_01水果筐数!$C74="","",对接源_01水果筐数!$C74)</f>
        <v/>
      </c>
      <c r="BH73">
        <f t="shared" si="72"/>
        <v>0</v>
      </c>
      <c r="BI73">
        <f t="shared" si="73"/>
        <v>7</v>
      </c>
      <c r="BM73" t="str">
        <f t="shared" si="49"/>
        <v/>
      </c>
      <c r="BN73">
        <f t="shared" si="74"/>
        <v>0</v>
      </c>
      <c r="BO73">
        <f t="shared" si="75"/>
        <v>6</v>
      </c>
      <c r="BS73" t="str">
        <f t="shared" si="76"/>
        <v/>
      </c>
      <c r="BT73">
        <f t="shared" si="77"/>
        <v>0</v>
      </c>
      <c r="BU73">
        <f t="shared" si="78"/>
        <v>9</v>
      </c>
      <c r="BW73" t="str">
        <f t="shared" si="79"/>
        <v/>
      </c>
      <c r="BY73" t="str">
        <f t="shared" si="80"/>
        <v/>
      </c>
      <c r="BZ73">
        <f t="shared" si="81"/>
        <v>0</v>
      </c>
      <c r="CA73">
        <f t="shared" si="82"/>
        <v>12</v>
      </c>
      <c r="CC73" t="str">
        <f t="shared" si="83"/>
        <v/>
      </c>
      <c r="CI73" t="str">
        <f>IF(基础资料!$D73="","",基础资料!$D73)</f>
        <v/>
      </c>
      <c r="CJ73">
        <f t="shared" si="84"/>
        <v>0</v>
      </c>
      <c r="CK73">
        <f t="shared" si="85"/>
        <v>19</v>
      </c>
      <c r="CL73" t="str">
        <f t="shared" si="86"/>
        <v/>
      </c>
      <c r="CP73">
        <f>IF(包装物料出入库明细!$D73="",0,1)</f>
        <v>0</v>
      </c>
      <c r="CQ73">
        <f t="shared" si="87"/>
        <v>37</v>
      </c>
      <c r="CS73" t="str">
        <f>IF(OR(周转筐出入库明细!$C74="",周转筐出入库明细!$F74&lt;&gt;"采购入库"),"",周转筐出入库明细!$C74)</f>
        <v/>
      </c>
      <c r="CT73">
        <f t="shared" si="88"/>
        <v>0</v>
      </c>
      <c r="CU73">
        <f t="shared" si="89"/>
        <v>1</v>
      </c>
      <c r="CW73" t="str">
        <f>IFERROR(INDEX($CS$4:$CS$2003,MATCH(70,$CU$4:$CU$2003,0)),"")</f>
        <v/>
      </c>
    </row>
    <row r="74" spans="1:101">
      <c r="A74" t="str">
        <f>IF(包装物料出入库明细!$E74="","",包装物料出入库明细!$E74)</f>
        <v/>
      </c>
      <c r="B74">
        <f t="shared" si="50"/>
        <v>0</v>
      </c>
      <c r="C74">
        <f t="shared" si="51"/>
        <v>7</v>
      </c>
      <c r="D74" t="str">
        <f>IF(包装物料出入库明细!$E74="","",包装物料出入库明细!$F74)</f>
        <v/>
      </c>
      <c r="E74" t="str">
        <f>IF(包装物料出入库明细!$E74="","",包装物料出入库明细!$G74)</f>
        <v/>
      </c>
      <c r="K74" t="str">
        <f>IF(包装物料出入库明细!$D74="","",包装物料出入库明细!$D74)</f>
        <v/>
      </c>
      <c r="L74">
        <f t="shared" si="52"/>
        <v>0</v>
      </c>
      <c r="M74">
        <f t="shared" si="53"/>
        <v>9</v>
      </c>
      <c r="O74" t="str">
        <f t="shared" si="54"/>
        <v/>
      </c>
      <c r="Q74" t="str">
        <f>IF(周转筐出入库明细!$D75="","",周转筐出入库明细!$D75)</f>
        <v>公司杂周转筐</v>
      </c>
      <c r="R74">
        <f t="shared" si="55"/>
        <v>0</v>
      </c>
      <c r="S74">
        <f t="shared" si="56"/>
        <v>5</v>
      </c>
      <c r="W74" t="str">
        <f>IF(周转筐出入库明细!$C75="","",周转筐出入库明细!$C75)</f>
        <v>马锦祥</v>
      </c>
      <c r="X74">
        <f t="shared" si="57"/>
        <v>0</v>
      </c>
      <c r="Y74">
        <f t="shared" si="58"/>
        <v>12</v>
      </c>
      <c r="AA74" t="str">
        <f t="shared" si="59"/>
        <v/>
      </c>
      <c r="AC74" t="str">
        <f>IF(客户自备加工筐明细!$C74="","",客户自备加工筐明细!$C74)</f>
        <v/>
      </c>
      <c r="AD74">
        <f t="shared" si="60"/>
        <v>0</v>
      </c>
      <c r="AE74">
        <f t="shared" si="61"/>
        <v>1</v>
      </c>
      <c r="AI74" t="str">
        <f>IF(客户自备加工筐明细!$E74="","",客户自备加工筐明细!$E74)</f>
        <v/>
      </c>
      <c r="AJ74">
        <f t="shared" si="62"/>
        <v>0</v>
      </c>
      <c r="AK74">
        <f t="shared" si="63"/>
        <v>1</v>
      </c>
      <c r="AM74" t="str">
        <f>IFERROR(INDEX($AI$4:$AI$1503,MATCH(71,$AK$4:$AK$1503,0)),"")</f>
        <v/>
      </c>
      <c r="AO74" t="str">
        <f>IF(次果筐明细!$D74="","",次果筐明细!$D74)</f>
        <v/>
      </c>
      <c r="AP74">
        <f t="shared" si="64"/>
        <v>0</v>
      </c>
      <c r="AQ74">
        <f t="shared" si="65"/>
        <v>1</v>
      </c>
      <c r="AU74" t="str">
        <f>IF(次果筐明细!$C74="","",次果筐明细!$C74)</f>
        <v/>
      </c>
      <c r="AV74">
        <f t="shared" si="66"/>
        <v>0</v>
      </c>
      <c r="AW74">
        <f t="shared" si="67"/>
        <v>1</v>
      </c>
      <c r="AY74" t="str">
        <f t="shared" si="68"/>
        <v/>
      </c>
      <c r="BA74" t="str">
        <f>IF(对接源_01水果筐数!$B75="","",对接源_01水果筐数!$B75)</f>
        <v/>
      </c>
      <c r="BB74">
        <f t="shared" si="69"/>
        <v>0</v>
      </c>
      <c r="BC74">
        <f t="shared" si="70"/>
        <v>14</v>
      </c>
      <c r="BE74" t="str">
        <f t="shared" si="71"/>
        <v/>
      </c>
      <c r="BG74" t="str">
        <f>IF(对接源_01水果筐数!$C75="","",对接源_01水果筐数!$C75)</f>
        <v/>
      </c>
      <c r="BH74">
        <f t="shared" si="72"/>
        <v>0</v>
      </c>
      <c r="BI74">
        <f t="shared" si="73"/>
        <v>7</v>
      </c>
      <c r="BM74" t="str">
        <f t="shared" si="49"/>
        <v/>
      </c>
      <c r="BN74">
        <f t="shared" si="74"/>
        <v>0</v>
      </c>
      <c r="BO74">
        <f t="shared" si="75"/>
        <v>6</v>
      </c>
      <c r="BS74" t="str">
        <f t="shared" si="76"/>
        <v/>
      </c>
      <c r="BT74">
        <f t="shared" si="77"/>
        <v>0</v>
      </c>
      <c r="BU74">
        <f t="shared" si="78"/>
        <v>9</v>
      </c>
      <c r="BW74" t="str">
        <f t="shared" si="79"/>
        <v/>
      </c>
      <c r="BY74" t="str">
        <f t="shared" si="80"/>
        <v/>
      </c>
      <c r="BZ74">
        <f t="shared" si="81"/>
        <v>0</v>
      </c>
      <c r="CA74">
        <f t="shared" si="82"/>
        <v>12</v>
      </c>
      <c r="CC74" t="str">
        <f t="shared" si="83"/>
        <v/>
      </c>
      <c r="CI74" t="str">
        <f>IF(基础资料!$D74="","",基础资料!$D74)</f>
        <v/>
      </c>
      <c r="CJ74">
        <f t="shared" si="84"/>
        <v>0</v>
      </c>
      <c r="CK74">
        <f t="shared" si="85"/>
        <v>19</v>
      </c>
      <c r="CL74" t="str">
        <f t="shared" si="86"/>
        <v/>
      </c>
      <c r="CP74">
        <f>IF(包装物料出入库明细!$D74="",0,1)</f>
        <v>0</v>
      </c>
      <c r="CQ74">
        <f t="shared" si="87"/>
        <v>37</v>
      </c>
      <c r="CS74" t="str">
        <f>IF(OR(周转筐出入库明细!$C75="",周转筐出入库明细!$F75&lt;&gt;"采购入库"),"",周转筐出入库明细!$C75)</f>
        <v/>
      </c>
      <c r="CT74">
        <f t="shared" si="88"/>
        <v>0</v>
      </c>
      <c r="CU74">
        <f t="shared" si="89"/>
        <v>1</v>
      </c>
      <c r="CW74" t="str">
        <f>IFERROR(INDEX($CS$4:$CS$2003,MATCH(71,$CU$4:$CU$2003,0)),"")</f>
        <v/>
      </c>
    </row>
    <row r="75" spans="1:101">
      <c r="A75" t="str">
        <f>IF(包装物料出入库明细!$E75="","",包装物料出入库明细!$E75)</f>
        <v/>
      </c>
      <c r="B75">
        <f t="shared" si="50"/>
        <v>0</v>
      </c>
      <c r="C75">
        <f t="shared" si="51"/>
        <v>7</v>
      </c>
      <c r="D75" t="str">
        <f>IF(包装物料出入库明细!$E75="","",包装物料出入库明细!$F75)</f>
        <v/>
      </c>
      <c r="E75" t="str">
        <f>IF(包装物料出入库明细!$E75="","",包装物料出入库明细!$G75)</f>
        <v/>
      </c>
      <c r="K75" t="str">
        <f>IF(包装物料出入库明细!$D75="","",包装物料出入库明细!$D75)</f>
        <v/>
      </c>
      <c r="L75">
        <f t="shared" si="52"/>
        <v>0</v>
      </c>
      <c r="M75">
        <f t="shared" si="53"/>
        <v>9</v>
      </c>
      <c r="O75" t="str">
        <f t="shared" si="54"/>
        <v/>
      </c>
      <c r="Q75" t="str">
        <f>IF(周转筐出入库明细!$D76="","",周转筐出入库明细!$D76)</f>
        <v>公司红周转筐</v>
      </c>
      <c r="R75">
        <f t="shared" si="55"/>
        <v>0</v>
      </c>
      <c r="S75">
        <f t="shared" si="56"/>
        <v>5</v>
      </c>
      <c r="W75" t="str">
        <f>IF(周转筐出入库明细!$C76="","",周转筐出入库明细!$C76)</f>
        <v>全修塑业</v>
      </c>
      <c r="X75">
        <f t="shared" si="57"/>
        <v>0</v>
      </c>
      <c r="Y75">
        <f t="shared" si="58"/>
        <v>12</v>
      </c>
      <c r="AA75" t="str">
        <f t="shared" si="59"/>
        <v/>
      </c>
      <c r="AC75" t="str">
        <f>IF(客户自备加工筐明细!$C75="","",客户自备加工筐明细!$C75)</f>
        <v/>
      </c>
      <c r="AD75">
        <f t="shared" si="60"/>
        <v>0</v>
      </c>
      <c r="AE75">
        <f t="shared" si="61"/>
        <v>1</v>
      </c>
      <c r="AI75" t="str">
        <f>IF(客户自备加工筐明细!$E75="","",客户自备加工筐明细!$E75)</f>
        <v/>
      </c>
      <c r="AJ75">
        <f t="shared" si="62"/>
        <v>0</v>
      </c>
      <c r="AK75">
        <f t="shared" si="63"/>
        <v>1</v>
      </c>
      <c r="AM75" t="str">
        <f>IFERROR(INDEX($AI$4:$AI$1503,MATCH(72,$AK$4:$AK$1503,0)),"")</f>
        <v/>
      </c>
      <c r="AO75" t="str">
        <f>IF(次果筐明细!$D75="","",次果筐明细!$D75)</f>
        <v/>
      </c>
      <c r="AP75">
        <f t="shared" si="64"/>
        <v>0</v>
      </c>
      <c r="AQ75">
        <f t="shared" si="65"/>
        <v>1</v>
      </c>
      <c r="AU75" t="str">
        <f>IF(次果筐明细!$C75="","",次果筐明细!$C75)</f>
        <v/>
      </c>
      <c r="AV75">
        <f t="shared" si="66"/>
        <v>0</v>
      </c>
      <c r="AW75">
        <f t="shared" si="67"/>
        <v>1</v>
      </c>
      <c r="AY75" t="str">
        <f t="shared" si="68"/>
        <v/>
      </c>
      <c r="BA75" t="str">
        <f>IF(对接源_01水果筐数!$B76="","",对接源_01水果筐数!$B76)</f>
        <v/>
      </c>
      <c r="BB75">
        <f t="shared" si="69"/>
        <v>0</v>
      </c>
      <c r="BC75">
        <f t="shared" si="70"/>
        <v>14</v>
      </c>
      <c r="BE75" t="str">
        <f t="shared" si="71"/>
        <v/>
      </c>
      <c r="BG75" t="str">
        <f>IF(对接源_01水果筐数!$C76="","",对接源_01水果筐数!$C76)</f>
        <v/>
      </c>
      <c r="BH75">
        <f t="shared" si="72"/>
        <v>0</v>
      </c>
      <c r="BI75">
        <f t="shared" si="73"/>
        <v>7</v>
      </c>
      <c r="BM75" t="str">
        <f t="shared" si="49"/>
        <v/>
      </c>
      <c r="BN75">
        <f t="shared" si="74"/>
        <v>0</v>
      </c>
      <c r="BO75">
        <f t="shared" si="75"/>
        <v>6</v>
      </c>
      <c r="BS75" t="str">
        <f t="shared" si="76"/>
        <v/>
      </c>
      <c r="BT75">
        <f t="shared" si="77"/>
        <v>0</v>
      </c>
      <c r="BU75">
        <f t="shared" si="78"/>
        <v>9</v>
      </c>
      <c r="BW75" t="str">
        <f t="shared" si="79"/>
        <v/>
      </c>
      <c r="BY75" t="str">
        <f t="shared" si="80"/>
        <v/>
      </c>
      <c r="BZ75">
        <f t="shared" si="81"/>
        <v>0</v>
      </c>
      <c r="CA75">
        <f t="shared" si="82"/>
        <v>12</v>
      </c>
      <c r="CC75" t="str">
        <f t="shared" si="83"/>
        <v/>
      </c>
      <c r="CI75" t="str">
        <f>IF(基础资料!$D75="","",基础资料!$D75)</f>
        <v/>
      </c>
      <c r="CJ75">
        <f t="shared" si="84"/>
        <v>0</v>
      </c>
      <c r="CK75">
        <f t="shared" si="85"/>
        <v>19</v>
      </c>
      <c r="CL75" t="str">
        <f t="shared" si="86"/>
        <v/>
      </c>
      <c r="CP75">
        <f>IF(包装物料出入库明细!$D75="",0,1)</f>
        <v>0</v>
      </c>
      <c r="CQ75">
        <f t="shared" si="87"/>
        <v>37</v>
      </c>
      <c r="CS75" t="str">
        <f>IF(OR(周转筐出入库明细!$C76="",周转筐出入库明细!$F76&lt;&gt;"采购入库"),"",周转筐出入库明细!$C76)</f>
        <v>全修塑业</v>
      </c>
      <c r="CT75">
        <f t="shared" si="88"/>
        <v>0</v>
      </c>
      <c r="CU75">
        <f t="shared" si="89"/>
        <v>1</v>
      </c>
      <c r="CW75" t="str">
        <f>IFERROR(INDEX($CS$4:$CS$2003,MATCH(72,$CU$4:$CU$2003,0)),"")</f>
        <v/>
      </c>
    </row>
    <row r="76" spans="1:101">
      <c r="A76" t="str">
        <f>IF(包装物料出入库明细!$E76="","",包装物料出入库明细!$E76)</f>
        <v/>
      </c>
      <c r="B76">
        <f t="shared" si="50"/>
        <v>0</v>
      </c>
      <c r="C76">
        <f t="shared" si="51"/>
        <v>7</v>
      </c>
      <c r="D76" t="str">
        <f>IF(包装物料出入库明细!$E76="","",包装物料出入库明细!$F76)</f>
        <v/>
      </c>
      <c r="E76" t="str">
        <f>IF(包装物料出入库明细!$E76="","",包装物料出入库明细!$G76)</f>
        <v/>
      </c>
      <c r="K76" t="str">
        <f>IF(包装物料出入库明细!$D76="","",包装物料出入库明细!$D76)</f>
        <v/>
      </c>
      <c r="L76">
        <f t="shared" si="52"/>
        <v>0</v>
      </c>
      <c r="M76">
        <f t="shared" si="53"/>
        <v>9</v>
      </c>
      <c r="O76" t="str">
        <f t="shared" si="54"/>
        <v/>
      </c>
      <c r="Q76" t="str">
        <f>IF(周转筐出入库明细!$D77="","",周转筐出入库明细!$D77)</f>
        <v>公司红周转筐</v>
      </c>
      <c r="R76">
        <f t="shared" si="55"/>
        <v>0</v>
      </c>
      <c r="S76">
        <f t="shared" si="56"/>
        <v>5</v>
      </c>
      <c r="W76" t="str">
        <f>IF(周转筐出入库明细!$C77="","",周转筐出入库明细!$C77)</f>
        <v>王灵云</v>
      </c>
      <c r="X76">
        <f t="shared" si="57"/>
        <v>0</v>
      </c>
      <c r="Y76">
        <f t="shared" si="58"/>
        <v>12</v>
      </c>
      <c r="AA76" t="str">
        <f t="shared" si="59"/>
        <v/>
      </c>
      <c r="AC76" t="str">
        <f>IF(客户自备加工筐明细!$C76="","",客户自备加工筐明细!$C76)</f>
        <v/>
      </c>
      <c r="AD76">
        <f t="shared" si="60"/>
        <v>0</v>
      </c>
      <c r="AE76">
        <f t="shared" si="61"/>
        <v>1</v>
      </c>
      <c r="AI76" t="str">
        <f>IF(客户自备加工筐明细!$E76="","",客户自备加工筐明细!$E76)</f>
        <v/>
      </c>
      <c r="AJ76">
        <f t="shared" si="62"/>
        <v>0</v>
      </c>
      <c r="AK76">
        <f t="shared" si="63"/>
        <v>1</v>
      </c>
      <c r="AM76" t="str">
        <f>IFERROR(INDEX($AI$4:$AI$1503,MATCH(73,$AK$4:$AK$1503,0)),"")</f>
        <v/>
      </c>
      <c r="AO76" t="str">
        <f>IF(次果筐明细!$D76="","",次果筐明细!$D76)</f>
        <v/>
      </c>
      <c r="AP76">
        <f t="shared" si="64"/>
        <v>0</v>
      </c>
      <c r="AQ76">
        <f t="shared" si="65"/>
        <v>1</v>
      </c>
      <c r="AU76" t="str">
        <f>IF(次果筐明细!$C76="","",次果筐明细!$C76)</f>
        <v/>
      </c>
      <c r="AV76">
        <f t="shared" si="66"/>
        <v>0</v>
      </c>
      <c r="AW76">
        <f t="shared" si="67"/>
        <v>1</v>
      </c>
      <c r="AY76" t="str">
        <f t="shared" si="68"/>
        <v/>
      </c>
      <c r="BA76" t="str">
        <f>IF(对接源_01水果筐数!$B77="","",对接源_01水果筐数!$B77)</f>
        <v/>
      </c>
      <c r="BB76">
        <f t="shared" si="69"/>
        <v>0</v>
      </c>
      <c r="BC76">
        <f t="shared" si="70"/>
        <v>14</v>
      </c>
      <c r="BE76" t="str">
        <f t="shared" si="71"/>
        <v/>
      </c>
      <c r="BG76" t="str">
        <f>IF(对接源_01水果筐数!$C77="","",对接源_01水果筐数!$C77)</f>
        <v/>
      </c>
      <c r="BH76">
        <f t="shared" si="72"/>
        <v>0</v>
      </c>
      <c r="BI76">
        <f t="shared" si="73"/>
        <v>7</v>
      </c>
      <c r="BM76" t="str">
        <f t="shared" si="49"/>
        <v/>
      </c>
      <c r="BN76">
        <f t="shared" si="74"/>
        <v>0</v>
      </c>
      <c r="BO76">
        <f t="shared" si="75"/>
        <v>6</v>
      </c>
      <c r="BS76" t="str">
        <f t="shared" si="76"/>
        <v/>
      </c>
      <c r="BT76">
        <f t="shared" si="77"/>
        <v>0</v>
      </c>
      <c r="BU76">
        <f t="shared" si="78"/>
        <v>9</v>
      </c>
      <c r="BW76" t="str">
        <f t="shared" si="79"/>
        <v/>
      </c>
      <c r="BY76" t="str">
        <f t="shared" si="80"/>
        <v/>
      </c>
      <c r="BZ76">
        <f t="shared" si="81"/>
        <v>0</v>
      </c>
      <c r="CA76">
        <f t="shared" si="82"/>
        <v>12</v>
      </c>
      <c r="CC76" t="str">
        <f t="shared" si="83"/>
        <v/>
      </c>
      <c r="CI76" t="str">
        <f>IF(基础资料!$D76="","",基础资料!$D76)</f>
        <v/>
      </c>
      <c r="CJ76">
        <f t="shared" si="84"/>
        <v>0</v>
      </c>
      <c r="CK76">
        <f t="shared" si="85"/>
        <v>19</v>
      </c>
      <c r="CL76" t="str">
        <f t="shared" si="86"/>
        <v/>
      </c>
      <c r="CP76">
        <f>IF(包装物料出入库明细!$D76="",0,1)</f>
        <v>0</v>
      </c>
      <c r="CQ76">
        <f t="shared" si="87"/>
        <v>37</v>
      </c>
      <c r="CS76" t="str">
        <f>IF(OR(周转筐出入库明细!$C77="",周转筐出入库明细!$F77&lt;&gt;"采购入库"),"",周转筐出入库明细!$C77)</f>
        <v/>
      </c>
      <c r="CT76">
        <f t="shared" si="88"/>
        <v>0</v>
      </c>
      <c r="CU76">
        <f t="shared" si="89"/>
        <v>1</v>
      </c>
      <c r="CW76" t="str">
        <f>IFERROR(INDEX($CS$4:$CS$2003,MATCH(73,$CU$4:$CU$2003,0)),"")</f>
        <v/>
      </c>
    </row>
    <row r="77" spans="1:101">
      <c r="A77" t="str">
        <f>IF(包装物料出入库明细!$E77="","",包装物料出入库明细!$E77)</f>
        <v/>
      </c>
      <c r="B77">
        <f t="shared" si="50"/>
        <v>0</v>
      </c>
      <c r="C77">
        <f t="shared" si="51"/>
        <v>7</v>
      </c>
      <c r="D77" t="str">
        <f>IF(包装物料出入库明细!$E77="","",包装物料出入库明细!$F77)</f>
        <v/>
      </c>
      <c r="E77" t="str">
        <f>IF(包装物料出入库明细!$E77="","",包装物料出入库明细!$G77)</f>
        <v/>
      </c>
      <c r="K77" t="str">
        <f>IF(包装物料出入库明细!$D77="","",包装物料出入库明细!$D77)</f>
        <v/>
      </c>
      <c r="L77">
        <f t="shared" si="52"/>
        <v>0</v>
      </c>
      <c r="M77">
        <f t="shared" si="53"/>
        <v>9</v>
      </c>
      <c r="O77" t="str">
        <f t="shared" si="54"/>
        <v/>
      </c>
      <c r="Q77" t="str">
        <f>IF(周转筐出入库明细!$D78="","",周转筐出入库明细!$D78)</f>
        <v>公司杂周转筐</v>
      </c>
      <c r="R77">
        <f t="shared" si="55"/>
        <v>0</v>
      </c>
      <c r="S77">
        <f t="shared" si="56"/>
        <v>5</v>
      </c>
      <c r="W77" t="str">
        <f>IF(周转筐出入库明细!$C78="","",周转筐出入库明细!$C78)</f>
        <v>王照雪</v>
      </c>
      <c r="X77">
        <f t="shared" si="57"/>
        <v>0</v>
      </c>
      <c r="Y77">
        <f t="shared" si="58"/>
        <v>12</v>
      </c>
      <c r="AA77" t="str">
        <f t="shared" si="59"/>
        <v/>
      </c>
      <c r="AC77" t="str">
        <f>IF(客户自备加工筐明细!$C77="","",客户自备加工筐明细!$C77)</f>
        <v/>
      </c>
      <c r="AD77">
        <f t="shared" si="60"/>
        <v>0</v>
      </c>
      <c r="AE77">
        <f t="shared" si="61"/>
        <v>1</v>
      </c>
      <c r="AI77" t="str">
        <f>IF(客户自备加工筐明细!$E77="","",客户自备加工筐明细!$E77)</f>
        <v/>
      </c>
      <c r="AJ77">
        <f t="shared" si="62"/>
        <v>0</v>
      </c>
      <c r="AK77">
        <f t="shared" si="63"/>
        <v>1</v>
      </c>
      <c r="AM77" t="str">
        <f>IFERROR(INDEX($AI$4:$AI$1503,MATCH(74,$AK$4:$AK$1503,0)),"")</f>
        <v/>
      </c>
      <c r="AO77" t="str">
        <f>IF(次果筐明细!$D77="","",次果筐明细!$D77)</f>
        <v/>
      </c>
      <c r="AP77">
        <f t="shared" si="64"/>
        <v>0</v>
      </c>
      <c r="AQ77">
        <f t="shared" si="65"/>
        <v>1</v>
      </c>
      <c r="AU77" t="str">
        <f>IF(次果筐明细!$C77="","",次果筐明细!$C77)</f>
        <v/>
      </c>
      <c r="AV77">
        <f t="shared" si="66"/>
        <v>0</v>
      </c>
      <c r="AW77">
        <f t="shared" si="67"/>
        <v>1</v>
      </c>
      <c r="AY77" t="str">
        <f t="shared" si="68"/>
        <v/>
      </c>
      <c r="BA77" t="str">
        <f>IF(对接源_01水果筐数!$B78="","",对接源_01水果筐数!$B78)</f>
        <v/>
      </c>
      <c r="BB77">
        <f t="shared" si="69"/>
        <v>0</v>
      </c>
      <c r="BC77">
        <f t="shared" si="70"/>
        <v>14</v>
      </c>
      <c r="BE77" t="str">
        <f t="shared" si="71"/>
        <v/>
      </c>
      <c r="BG77" t="str">
        <f>IF(对接源_01水果筐数!$C78="","",对接源_01水果筐数!$C78)</f>
        <v/>
      </c>
      <c r="BH77">
        <f t="shared" si="72"/>
        <v>0</v>
      </c>
      <c r="BI77">
        <f t="shared" si="73"/>
        <v>7</v>
      </c>
      <c r="BM77" t="str">
        <f t="shared" si="49"/>
        <v/>
      </c>
      <c r="BN77">
        <f t="shared" si="74"/>
        <v>0</v>
      </c>
      <c r="BO77">
        <f t="shared" si="75"/>
        <v>6</v>
      </c>
      <c r="BS77" t="str">
        <f t="shared" si="76"/>
        <v/>
      </c>
      <c r="BT77">
        <f t="shared" si="77"/>
        <v>0</v>
      </c>
      <c r="BU77">
        <f t="shared" si="78"/>
        <v>9</v>
      </c>
      <c r="BW77" t="str">
        <f t="shared" si="79"/>
        <v/>
      </c>
      <c r="BY77" t="str">
        <f t="shared" si="80"/>
        <v/>
      </c>
      <c r="BZ77">
        <f t="shared" si="81"/>
        <v>0</v>
      </c>
      <c r="CA77">
        <f t="shared" si="82"/>
        <v>12</v>
      </c>
      <c r="CC77" t="str">
        <f t="shared" si="83"/>
        <v/>
      </c>
      <c r="CI77" t="str">
        <f>IF(基础资料!$D77="","",基础资料!$D77)</f>
        <v/>
      </c>
      <c r="CJ77">
        <f t="shared" si="84"/>
        <v>0</v>
      </c>
      <c r="CK77">
        <f t="shared" si="85"/>
        <v>19</v>
      </c>
      <c r="CL77" t="str">
        <f t="shared" si="86"/>
        <v/>
      </c>
      <c r="CP77">
        <f>IF(包装物料出入库明细!$D77="",0,1)</f>
        <v>0</v>
      </c>
      <c r="CQ77">
        <f t="shared" si="87"/>
        <v>37</v>
      </c>
      <c r="CS77" t="str">
        <f>IF(OR(周转筐出入库明细!$C78="",周转筐出入库明细!$F78&lt;&gt;"采购入库"),"",周转筐出入库明细!$C78)</f>
        <v/>
      </c>
      <c r="CT77">
        <f t="shared" si="88"/>
        <v>0</v>
      </c>
      <c r="CU77">
        <f t="shared" si="89"/>
        <v>1</v>
      </c>
      <c r="CW77" t="str">
        <f>IFERROR(INDEX($CS$4:$CS$2003,MATCH(74,$CU$4:$CU$2003,0)),"")</f>
        <v/>
      </c>
    </row>
    <row r="78" spans="1:101">
      <c r="A78" t="str">
        <f>IF(包装物料出入库明细!$E78="","",包装物料出入库明细!$E78)</f>
        <v/>
      </c>
      <c r="B78">
        <f t="shared" si="50"/>
        <v>0</v>
      </c>
      <c r="C78">
        <f t="shared" si="51"/>
        <v>7</v>
      </c>
      <c r="D78" t="str">
        <f>IF(包装物料出入库明细!$E78="","",包装物料出入库明细!$F78)</f>
        <v/>
      </c>
      <c r="E78" t="str">
        <f>IF(包装物料出入库明细!$E78="","",包装物料出入库明细!$G78)</f>
        <v/>
      </c>
      <c r="K78" t="str">
        <f>IF(包装物料出入库明细!$D78="","",包装物料出入库明细!$D78)</f>
        <v/>
      </c>
      <c r="L78">
        <f t="shared" si="52"/>
        <v>0</v>
      </c>
      <c r="M78">
        <f t="shared" si="53"/>
        <v>9</v>
      </c>
      <c r="O78" t="str">
        <f t="shared" si="54"/>
        <v/>
      </c>
      <c r="Q78" t="str">
        <f>IF(周转筐出入库明细!$D79="","",周转筐出入库明细!$D79)</f>
        <v>公司杂周转筐</v>
      </c>
      <c r="R78">
        <f t="shared" si="55"/>
        <v>0</v>
      </c>
      <c r="S78">
        <f t="shared" si="56"/>
        <v>5</v>
      </c>
      <c r="W78" t="str">
        <f>IF(周转筐出入库明细!$C79="","",周转筐出入库明细!$C79)</f>
        <v>王照雪</v>
      </c>
      <c r="X78">
        <f t="shared" si="57"/>
        <v>0</v>
      </c>
      <c r="Y78">
        <f t="shared" si="58"/>
        <v>12</v>
      </c>
      <c r="AA78" t="str">
        <f t="shared" si="59"/>
        <v/>
      </c>
      <c r="AC78" t="str">
        <f>IF(客户自备加工筐明细!$C78="","",客户自备加工筐明细!$C78)</f>
        <v/>
      </c>
      <c r="AD78">
        <f t="shared" si="60"/>
        <v>0</v>
      </c>
      <c r="AE78">
        <f t="shared" si="61"/>
        <v>1</v>
      </c>
      <c r="AI78" t="str">
        <f>IF(客户自备加工筐明细!$E78="","",客户自备加工筐明细!$E78)</f>
        <v/>
      </c>
      <c r="AJ78">
        <f t="shared" si="62"/>
        <v>0</v>
      </c>
      <c r="AK78">
        <f t="shared" si="63"/>
        <v>1</v>
      </c>
      <c r="AM78" t="str">
        <f>IFERROR(INDEX($AI$4:$AI$1503,MATCH(75,$AK$4:$AK$1503,0)),"")</f>
        <v/>
      </c>
      <c r="AO78" t="str">
        <f>IF(次果筐明细!$D78="","",次果筐明细!$D78)</f>
        <v/>
      </c>
      <c r="AP78">
        <f t="shared" si="64"/>
        <v>0</v>
      </c>
      <c r="AQ78">
        <f t="shared" si="65"/>
        <v>1</v>
      </c>
      <c r="AU78" t="str">
        <f>IF(次果筐明细!$C78="","",次果筐明细!$C78)</f>
        <v/>
      </c>
      <c r="AV78">
        <f t="shared" si="66"/>
        <v>0</v>
      </c>
      <c r="AW78">
        <f t="shared" si="67"/>
        <v>1</v>
      </c>
      <c r="AY78" t="str">
        <f t="shared" si="68"/>
        <v/>
      </c>
      <c r="BA78" t="str">
        <f>IF(对接源_01水果筐数!$B79="","",对接源_01水果筐数!$B79)</f>
        <v/>
      </c>
      <c r="BB78">
        <f t="shared" si="69"/>
        <v>0</v>
      </c>
      <c r="BC78">
        <f t="shared" si="70"/>
        <v>14</v>
      </c>
      <c r="BE78" t="str">
        <f t="shared" si="71"/>
        <v/>
      </c>
      <c r="BG78" t="str">
        <f>IF(对接源_01水果筐数!$C79="","",对接源_01水果筐数!$C79)</f>
        <v/>
      </c>
      <c r="BH78">
        <f t="shared" si="72"/>
        <v>0</v>
      </c>
      <c r="BI78">
        <f t="shared" si="73"/>
        <v>7</v>
      </c>
      <c r="BM78" t="str">
        <f t="shared" si="49"/>
        <v/>
      </c>
      <c r="BN78">
        <f t="shared" si="74"/>
        <v>0</v>
      </c>
      <c r="BO78">
        <f t="shared" si="75"/>
        <v>6</v>
      </c>
      <c r="BS78" t="str">
        <f t="shared" si="76"/>
        <v/>
      </c>
      <c r="BT78">
        <f t="shared" si="77"/>
        <v>0</v>
      </c>
      <c r="BU78">
        <f t="shared" si="78"/>
        <v>9</v>
      </c>
      <c r="BW78" t="str">
        <f t="shared" si="79"/>
        <v/>
      </c>
      <c r="BY78" t="str">
        <f t="shared" si="80"/>
        <v/>
      </c>
      <c r="BZ78">
        <f t="shared" si="81"/>
        <v>0</v>
      </c>
      <c r="CA78">
        <f t="shared" si="82"/>
        <v>12</v>
      </c>
      <c r="CC78" t="str">
        <f t="shared" si="83"/>
        <v/>
      </c>
      <c r="CI78" t="str">
        <f>IF(基础资料!$D78="","",基础资料!$D78)</f>
        <v/>
      </c>
      <c r="CJ78">
        <f t="shared" si="84"/>
        <v>0</v>
      </c>
      <c r="CK78">
        <f t="shared" si="85"/>
        <v>19</v>
      </c>
      <c r="CL78" t="str">
        <f t="shared" si="86"/>
        <v/>
      </c>
      <c r="CP78">
        <f>IF(包装物料出入库明细!$D78="",0,1)</f>
        <v>0</v>
      </c>
      <c r="CQ78">
        <f t="shared" si="87"/>
        <v>37</v>
      </c>
      <c r="CS78" t="str">
        <f>IF(OR(周转筐出入库明细!$C79="",周转筐出入库明细!$F79&lt;&gt;"采购入库"),"",周转筐出入库明细!$C79)</f>
        <v/>
      </c>
      <c r="CT78">
        <f t="shared" si="88"/>
        <v>0</v>
      </c>
      <c r="CU78">
        <f t="shared" si="89"/>
        <v>1</v>
      </c>
      <c r="CW78" t="str">
        <f>IFERROR(INDEX($CS$4:$CS$2003,MATCH(75,$CU$4:$CU$2003,0)),"")</f>
        <v/>
      </c>
    </row>
    <row r="79" spans="1:101">
      <c r="A79" t="str">
        <f>IF(包装物料出入库明细!$E79="","",包装物料出入库明细!$E79)</f>
        <v/>
      </c>
      <c r="B79">
        <f t="shared" si="50"/>
        <v>0</v>
      </c>
      <c r="C79">
        <f t="shared" si="51"/>
        <v>7</v>
      </c>
      <c r="D79" t="str">
        <f>IF(包装物料出入库明细!$E79="","",包装物料出入库明细!$F79)</f>
        <v/>
      </c>
      <c r="E79" t="str">
        <f>IF(包装物料出入库明细!$E79="","",包装物料出入库明细!$G79)</f>
        <v/>
      </c>
      <c r="K79" t="str">
        <f>IF(包装物料出入库明细!$D79="","",包装物料出入库明细!$D79)</f>
        <v/>
      </c>
      <c r="L79">
        <f t="shared" si="52"/>
        <v>0</v>
      </c>
      <c r="M79">
        <f t="shared" si="53"/>
        <v>9</v>
      </c>
      <c r="O79" t="str">
        <f t="shared" si="54"/>
        <v/>
      </c>
      <c r="Q79" t="str">
        <f>IF(周转筐出入库明细!$D80="","",周转筐出入库明细!$D80)</f>
        <v/>
      </c>
      <c r="R79">
        <f t="shared" si="55"/>
        <v>0</v>
      </c>
      <c r="S79">
        <f t="shared" si="56"/>
        <v>5</v>
      </c>
      <c r="W79" t="str">
        <f>IF(周转筐出入库明细!$C80="","",周转筐出入库明细!$C80)</f>
        <v/>
      </c>
      <c r="X79">
        <f t="shared" si="57"/>
        <v>0</v>
      </c>
      <c r="Y79">
        <f t="shared" si="58"/>
        <v>12</v>
      </c>
      <c r="AA79" t="str">
        <f t="shared" si="59"/>
        <v/>
      </c>
      <c r="AC79" t="str">
        <f>IF(客户自备加工筐明细!$C79="","",客户自备加工筐明细!$C79)</f>
        <v/>
      </c>
      <c r="AD79">
        <f t="shared" si="60"/>
        <v>0</v>
      </c>
      <c r="AE79">
        <f t="shared" si="61"/>
        <v>1</v>
      </c>
      <c r="AI79" t="str">
        <f>IF(客户自备加工筐明细!$E79="","",客户自备加工筐明细!$E79)</f>
        <v/>
      </c>
      <c r="AJ79">
        <f t="shared" si="62"/>
        <v>0</v>
      </c>
      <c r="AK79">
        <f t="shared" si="63"/>
        <v>1</v>
      </c>
      <c r="AM79" t="str">
        <f>IFERROR(INDEX($AI$4:$AI$1503,MATCH(76,$AK$4:$AK$1503,0)),"")</f>
        <v/>
      </c>
      <c r="AO79" t="str">
        <f>IF(次果筐明细!$D79="","",次果筐明细!$D79)</f>
        <v/>
      </c>
      <c r="AP79">
        <f t="shared" si="64"/>
        <v>0</v>
      </c>
      <c r="AQ79">
        <f t="shared" si="65"/>
        <v>1</v>
      </c>
      <c r="AU79" t="str">
        <f>IF(次果筐明细!$C79="","",次果筐明细!$C79)</f>
        <v/>
      </c>
      <c r="AV79">
        <f t="shared" si="66"/>
        <v>0</v>
      </c>
      <c r="AW79">
        <f t="shared" si="67"/>
        <v>1</v>
      </c>
      <c r="AY79" t="str">
        <f t="shared" si="68"/>
        <v/>
      </c>
      <c r="BA79" t="str">
        <f>IF(对接源_01水果筐数!$B80="","",对接源_01水果筐数!$B80)</f>
        <v/>
      </c>
      <c r="BB79">
        <f t="shared" si="69"/>
        <v>0</v>
      </c>
      <c r="BC79">
        <f t="shared" si="70"/>
        <v>14</v>
      </c>
      <c r="BE79" t="str">
        <f t="shared" si="71"/>
        <v/>
      </c>
      <c r="BG79" t="str">
        <f>IF(对接源_01水果筐数!$C80="","",对接源_01水果筐数!$C80)</f>
        <v/>
      </c>
      <c r="BH79">
        <f t="shared" si="72"/>
        <v>0</v>
      </c>
      <c r="BI79">
        <f t="shared" si="73"/>
        <v>7</v>
      </c>
      <c r="BM79" t="str">
        <f t="shared" si="49"/>
        <v/>
      </c>
      <c r="BN79">
        <f t="shared" si="74"/>
        <v>0</v>
      </c>
      <c r="BO79">
        <f t="shared" si="75"/>
        <v>6</v>
      </c>
      <c r="BS79" t="str">
        <f t="shared" si="76"/>
        <v/>
      </c>
      <c r="BT79">
        <f t="shared" si="77"/>
        <v>0</v>
      </c>
      <c r="BU79">
        <f t="shared" si="78"/>
        <v>9</v>
      </c>
      <c r="BW79" t="str">
        <f t="shared" si="79"/>
        <v/>
      </c>
      <c r="BY79" t="str">
        <f t="shared" si="80"/>
        <v/>
      </c>
      <c r="BZ79">
        <f t="shared" si="81"/>
        <v>0</v>
      </c>
      <c r="CA79">
        <f t="shared" si="82"/>
        <v>12</v>
      </c>
      <c r="CC79" t="str">
        <f t="shared" si="83"/>
        <v/>
      </c>
      <c r="CI79" t="str">
        <f>IF(基础资料!$D79="","",基础资料!$D79)</f>
        <v/>
      </c>
      <c r="CJ79">
        <f t="shared" si="84"/>
        <v>0</v>
      </c>
      <c r="CK79">
        <f t="shared" si="85"/>
        <v>19</v>
      </c>
      <c r="CL79" t="str">
        <f t="shared" si="86"/>
        <v/>
      </c>
      <c r="CP79">
        <f>IF(包装物料出入库明细!$D79="",0,1)</f>
        <v>0</v>
      </c>
      <c r="CQ79">
        <f t="shared" si="87"/>
        <v>37</v>
      </c>
      <c r="CS79" t="str">
        <f>IF(OR(周转筐出入库明细!$C80="",周转筐出入库明细!$F80&lt;&gt;"采购入库"),"",周转筐出入库明细!$C80)</f>
        <v/>
      </c>
      <c r="CT79">
        <f t="shared" si="88"/>
        <v>0</v>
      </c>
      <c r="CU79">
        <f t="shared" si="89"/>
        <v>1</v>
      </c>
      <c r="CW79" t="str">
        <f>IFERROR(INDEX($CS$4:$CS$2003,MATCH(76,$CU$4:$CU$2003,0)),"")</f>
        <v/>
      </c>
    </row>
    <row r="80" spans="1:101">
      <c r="A80" t="str">
        <f>IF(包装物料出入库明细!$E80="","",包装物料出入库明细!$E80)</f>
        <v/>
      </c>
      <c r="B80">
        <f t="shared" si="50"/>
        <v>0</v>
      </c>
      <c r="C80">
        <f t="shared" si="51"/>
        <v>7</v>
      </c>
      <c r="D80" t="str">
        <f>IF(包装物料出入库明细!$E80="","",包装物料出入库明细!$F80)</f>
        <v/>
      </c>
      <c r="E80" t="str">
        <f>IF(包装物料出入库明细!$E80="","",包装物料出入库明细!$G80)</f>
        <v/>
      </c>
      <c r="K80" t="str">
        <f>IF(包装物料出入库明细!$D80="","",包装物料出入库明细!$D80)</f>
        <v/>
      </c>
      <c r="L80">
        <f t="shared" si="52"/>
        <v>0</v>
      </c>
      <c r="M80">
        <f t="shared" si="53"/>
        <v>9</v>
      </c>
      <c r="O80" t="str">
        <f t="shared" si="54"/>
        <v/>
      </c>
      <c r="Q80" t="str">
        <f>IF(周转筐出入库明细!$D81="","",周转筐出入库明细!$D81)</f>
        <v/>
      </c>
      <c r="R80">
        <f t="shared" si="55"/>
        <v>0</v>
      </c>
      <c r="S80">
        <f t="shared" si="56"/>
        <v>5</v>
      </c>
      <c r="W80" t="str">
        <f>IF(周转筐出入库明细!$C81="","",周转筐出入库明细!$C81)</f>
        <v/>
      </c>
      <c r="X80">
        <f t="shared" si="57"/>
        <v>0</v>
      </c>
      <c r="Y80">
        <f t="shared" si="58"/>
        <v>12</v>
      </c>
      <c r="AA80" t="str">
        <f t="shared" si="59"/>
        <v/>
      </c>
      <c r="AC80" t="str">
        <f>IF(客户自备加工筐明细!$C80="","",客户自备加工筐明细!$C80)</f>
        <v/>
      </c>
      <c r="AD80">
        <f t="shared" si="60"/>
        <v>0</v>
      </c>
      <c r="AE80">
        <f t="shared" si="61"/>
        <v>1</v>
      </c>
      <c r="AI80" t="str">
        <f>IF(客户自备加工筐明细!$E80="","",客户自备加工筐明细!$E80)</f>
        <v/>
      </c>
      <c r="AJ80">
        <f t="shared" si="62"/>
        <v>0</v>
      </c>
      <c r="AK80">
        <f t="shared" si="63"/>
        <v>1</v>
      </c>
      <c r="AM80" t="str">
        <f>IFERROR(INDEX($AI$4:$AI$1503,MATCH(77,$AK$4:$AK$1503,0)),"")</f>
        <v/>
      </c>
      <c r="AO80" t="str">
        <f>IF(次果筐明细!$D80="","",次果筐明细!$D80)</f>
        <v/>
      </c>
      <c r="AP80">
        <f t="shared" si="64"/>
        <v>0</v>
      </c>
      <c r="AQ80">
        <f t="shared" si="65"/>
        <v>1</v>
      </c>
      <c r="AU80" t="str">
        <f>IF(次果筐明细!$C80="","",次果筐明细!$C80)</f>
        <v/>
      </c>
      <c r="AV80">
        <f t="shared" si="66"/>
        <v>0</v>
      </c>
      <c r="AW80">
        <f t="shared" si="67"/>
        <v>1</v>
      </c>
      <c r="AY80" t="str">
        <f t="shared" si="68"/>
        <v/>
      </c>
      <c r="BA80" t="str">
        <f>IF(对接源_01水果筐数!$B81="","",对接源_01水果筐数!$B81)</f>
        <v/>
      </c>
      <c r="BB80">
        <f t="shared" si="69"/>
        <v>0</v>
      </c>
      <c r="BC80">
        <f t="shared" si="70"/>
        <v>14</v>
      </c>
      <c r="BE80" t="str">
        <f t="shared" si="71"/>
        <v/>
      </c>
      <c r="BG80" t="str">
        <f>IF(对接源_01水果筐数!$C81="","",对接源_01水果筐数!$C81)</f>
        <v/>
      </c>
      <c r="BH80">
        <f t="shared" si="72"/>
        <v>0</v>
      </c>
      <c r="BI80">
        <f t="shared" si="73"/>
        <v>7</v>
      </c>
      <c r="BM80" t="str">
        <f t="shared" si="49"/>
        <v/>
      </c>
      <c r="BN80">
        <f t="shared" si="74"/>
        <v>0</v>
      </c>
      <c r="BO80">
        <f t="shared" si="75"/>
        <v>6</v>
      </c>
      <c r="BS80" t="str">
        <f t="shared" si="76"/>
        <v/>
      </c>
      <c r="BT80">
        <f t="shared" si="77"/>
        <v>0</v>
      </c>
      <c r="BU80">
        <f t="shared" si="78"/>
        <v>9</v>
      </c>
      <c r="BW80" t="str">
        <f t="shared" si="79"/>
        <v/>
      </c>
      <c r="BY80" t="str">
        <f t="shared" si="80"/>
        <v/>
      </c>
      <c r="BZ80">
        <f t="shared" si="81"/>
        <v>0</v>
      </c>
      <c r="CA80">
        <f t="shared" si="82"/>
        <v>12</v>
      </c>
      <c r="CC80" t="str">
        <f t="shared" si="83"/>
        <v/>
      </c>
      <c r="CI80" t="str">
        <f>IF(基础资料!$D80="","",基础资料!$D80)</f>
        <v/>
      </c>
      <c r="CJ80">
        <f t="shared" si="84"/>
        <v>0</v>
      </c>
      <c r="CK80">
        <f t="shared" si="85"/>
        <v>19</v>
      </c>
      <c r="CL80" t="str">
        <f t="shared" si="86"/>
        <v/>
      </c>
      <c r="CP80">
        <f>IF(包装物料出入库明细!$D80="",0,1)</f>
        <v>0</v>
      </c>
      <c r="CQ80">
        <f t="shared" si="87"/>
        <v>37</v>
      </c>
      <c r="CS80" t="str">
        <f>IF(OR(周转筐出入库明细!$C81="",周转筐出入库明细!$F81&lt;&gt;"采购入库"),"",周转筐出入库明细!$C81)</f>
        <v/>
      </c>
      <c r="CT80">
        <f t="shared" si="88"/>
        <v>0</v>
      </c>
      <c r="CU80">
        <f t="shared" si="89"/>
        <v>1</v>
      </c>
      <c r="CW80" t="str">
        <f>IFERROR(INDEX($CS$4:$CS$2003,MATCH(77,$CU$4:$CU$2003,0)),"")</f>
        <v/>
      </c>
    </row>
    <row r="81" spans="1:101">
      <c r="A81" t="str">
        <f>IF(包装物料出入库明细!$E81="","",包装物料出入库明细!$E81)</f>
        <v/>
      </c>
      <c r="B81">
        <f t="shared" si="50"/>
        <v>0</v>
      </c>
      <c r="C81">
        <f t="shared" si="51"/>
        <v>7</v>
      </c>
      <c r="D81" t="str">
        <f>IF(包装物料出入库明细!$E81="","",包装物料出入库明细!$F81)</f>
        <v/>
      </c>
      <c r="E81" t="str">
        <f>IF(包装物料出入库明细!$E81="","",包装物料出入库明细!$G81)</f>
        <v/>
      </c>
      <c r="K81" t="str">
        <f>IF(包装物料出入库明细!$D81="","",包装物料出入库明细!$D81)</f>
        <v/>
      </c>
      <c r="L81">
        <f t="shared" si="52"/>
        <v>0</v>
      </c>
      <c r="M81">
        <f t="shared" si="53"/>
        <v>9</v>
      </c>
      <c r="O81" t="str">
        <f t="shared" si="54"/>
        <v/>
      </c>
      <c r="Q81" t="str">
        <f>IF(周转筐出入库明细!$D82="","",周转筐出入库明细!$D82)</f>
        <v/>
      </c>
      <c r="R81">
        <f t="shared" si="55"/>
        <v>0</v>
      </c>
      <c r="S81">
        <f t="shared" si="56"/>
        <v>5</v>
      </c>
      <c r="W81" t="str">
        <f>IF(周转筐出入库明细!$C82="","",周转筐出入库明细!$C82)</f>
        <v/>
      </c>
      <c r="X81">
        <f t="shared" si="57"/>
        <v>0</v>
      </c>
      <c r="Y81">
        <f t="shared" si="58"/>
        <v>12</v>
      </c>
      <c r="AA81" t="str">
        <f t="shared" si="59"/>
        <v/>
      </c>
      <c r="AC81" t="str">
        <f>IF(客户自备加工筐明细!$C81="","",客户自备加工筐明细!$C81)</f>
        <v/>
      </c>
      <c r="AD81">
        <f t="shared" si="60"/>
        <v>0</v>
      </c>
      <c r="AE81">
        <f t="shared" si="61"/>
        <v>1</v>
      </c>
      <c r="AI81" t="str">
        <f>IF(客户自备加工筐明细!$E81="","",客户自备加工筐明细!$E81)</f>
        <v/>
      </c>
      <c r="AJ81">
        <f t="shared" si="62"/>
        <v>0</v>
      </c>
      <c r="AK81">
        <f t="shared" si="63"/>
        <v>1</v>
      </c>
      <c r="AM81" t="str">
        <f>IFERROR(INDEX($AI$4:$AI$1503,MATCH(78,$AK$4:$AK$1503,0)),"")</f>
        <v/>
      </c>
      <c r="AO81" t="str">
        <f>IF(次果筐明细!$D81="","",次果筐明细!$D81)</f>
        <v/>
      </c>
      <c r="AP81">
        <f t="shared" si="64"/>
        <v>0</v>
      </c>
      <c r="AQ81">
        <f t="shared" si="65"/>
        <v>1</v>
      </c>
      <c r="AU81" t="str">
        <f>IF(次果筐明细!$C81="","",次果筐明细!$C81)</f>
        <v/>
      </c>
      <c r="AV81">
        <f t="shared" si="66"/>
        <v>0</v>
      </c>
      <c r="AW81">
        <f t="shared" si="67"/>
        <v>1</v>
      </c>
      <c r="AY81" t="str">
        <f t="shared" si="68"/>
        <v/>
      </c>
      <c r="BA81" t="str">
        <f>IF(对接源_01水果筐数!$B82="","",对接源_01水果筐数!$B82)</f>
        <v/>
      </c>
      <c r="BB81">
        <f t="shared" si="69"/>
        <v>0</v>
      </c>
      <c r="BC81">
        <f t="shared" si="70"/>
        <v>14</v>
      </c>
      <c r="BE81" t="str">
        <f t="shared" si="71"/>
        <v/>
      </c>
      <c r="BG81" t="str">
        <f>IF(对接源_01水果筐数!$C82="","",对接源_01水果筐数!$C82)</f>
        <v/>
      </c>
      <c r="BH81">
        <f t="shared" si="72"/>
        <v>0</v>
      </c>
      <c r="BI81">
        <f t="shared" si="73"/>
        <v>7</v>
      </c>
      <c r="BM81" t="str">
        <f t="shared" si="49"/>
        <v/>
      </c>
      <c r="BN81">
        <f t="shared" si="74"/>
        <v>0</v>
      </c>
      <c r="BO81">
        <f t="shared" si="75"/>
        <v>6</v>
      </c>
      <c r="BS81" t="str">
        <f t="shared" si="76"/>
        <v/>
      </c>
      <c r="BT81">
        <f t="shared" si="77"/>
        <v>0</v>
      </c>
      <c r="BU81">
        <f t="shared" si="78"/>
        <v>9</v>
      </c>
      <c r="BW81" t="str">
        <f t="shared" si="79"/>
        <v/>
      </c>
      <c r="BY81" t="str">
        <f t="shared" si="80"/>
        <v/>
      </c>
      <c r="BZ81">
        <f t="shared" si="81"/>
        <v>0</v>
      </c>
      <c r="CA81">
        <f t="shared" si="82"/>
        <v>12</v>
      </c>
      <c r="CC81" t="str">
        <f t="shared" si="83"/>
        <v/>
      </c>
      <c r="CI81" t="str">
        <f>IF(基础资料!$D81="","",基础资料!$D81)</f>
        <v/>
      </c>
      <c r="CJ81">
        <f t="shared" si="84"/>
        <v>0</v>
      </c>
      <c r="CK81">
        <f t="shared" si="85"/>
        <v>19</v>
      </c>
      <c r="CL81" t="str">
        <f t="shared" si="86"/>
        <v/>
      </c>
      <c r="CP81">
        <f>IF(包装物料出入库明细!$D81="",0,1)</f>
        <v>0</v>
      </c>
      <c r="CQ81">
        <f t="shared" si="87"/>
        <v>37</v>
      </c>
      <c r="CS81" t="str">
        <f>IF(OR(周转筐出入库明细!$C82="",周转筐出入库明细!$F82&lt;&gt;"采购入库"),"",周转筐出入库明细!$C82)</f>
        <v/>
      </c>
      <c r="CT81">
        <f t="shared" si="88"/>
        <v>0</v>
      </c>
      <c r="CU81">
        <f t="shared" si="89"/>
        <v>1</v>
      </c>
      <c r="CW81" t="str">
        <f>IFERROR(INDEX($CS$4:$CS$2003,MATCH(78,$CU$4:$CU$2003,0)),"")</f>
        <v/>
      </c>
    </row>
    <row r="82" spans="1:101">
      <c r="A82" t="str">
        <f>IF(包装物料出入库明细!$E82="","",包装物料出入库明细!$E82)</f>
        <v/>
      </c>
      <c r="B82">
        <f t="shared" si="50"/>
        <v>0</v>
      </c>
      <c r="C82">
        <f t="shared" si="51"/>
        <v>7</v>
      </c>
      <c r="D82" t="str">
        <f>IF(包装物料出入库明细!$E82="","",包装物料出入库明细!$F82)</f>
        <v/>
      </c>
      <c r="E82" t="str">
        <f>IF(包装物料出入库明细!$E82="","",包装物料出入库明细!$G82)</f>
        <v/>
      </c>
      <c r="K82" t="str">
        <f>IF(包装物料出入库明细!$D82="","",包装物料出入库明细!$D82)</f>
        <v/>
      </c>
      <c r="L82">
        <f t="shared" si="52"/>
        <v>0</v>
      </c>
      <c r="M82">
        <f t="shared" si="53"/>
        <v>9</v>
      </c>
      <c r="O82" t="str">
        <f t="shared" si="54"/>
        <v/>
      </c>
      <c r="Q82" t="str">
        <f>IF(周转筐出入库明细!$D83="","",周转筐出入库明细!$D83)</f>
        <v/>
      </c>
      <c r="R82">
        <f t="shared" si="55"/>
        <v>0</v>
      </c>
      <c r="S82">
        <f t="shared" si="56"/>
        <v>5</v>
      </c>
      <c r="W82" t="str">
        <f>IF(周转筐出入库明细!$C83="","",周转筐出入库明细!$C83)</f>
        <v/>
      </c>
      <c r="X82">
        <f t="shared" si="57"/>
        <v>0</v>
      </c>
      <c r="Y82">
        <f t="shared" si="58"/>
        <v>12</v>
      </c>
      <c r="AA82" t="str">
        <f t="shared" si="59"/>
        <v/>
      </c>
      <c r="AC82" t="str">
        <f>IF(客户自备加工筐明细!$C82="","",客户自备加工筐明细!$C82)</f>
        <v/>
      </c>
      <c r="AD82">
        <f t="shared" si="60"/>
        <v>0</v>
      </c>
      <c r="AE82">
        <f t="shared" si="61"/>
        <v>1</v>
      </c>
      <c r="AI82" t="str">
        <f>IF(客户自备加工筐明细!$E82="","",客户自备加工筐明细!$E82)</f>
        <v/>
      </c>
      <c r="AJ82">
        <f t="shared" si="62"/>
        <v>0</v>
      </c>
      <c r="AK82">
        <f t="shared" si="63"/>
        <v>1</v>
      </c>
      <c r="AM82" t="str">
        <f>IFERROR(INDEX($AI$4:$AI$1503,MATCH(79,$AK$4:$AK$1503,0)),"")</f>
        <v/>
      </c>
      <c r="AO82" t="str">
        <f>IF(次果筐明细!$D82="","",次果筐明细!$D82)</f>
        <v/>
      </c>
      <c r="AP82">
        <f t="shared" si="64"/>
        <v>0</v>
      </c>
      <c r="AQ82">
        <f t="shared" si="65"/>
        <v>1</v>
      </c>
      <c r="AU82" t="str">
        <f>IF(次果筐明细!$C82="","",次果筐明细!$C82)</f>
        <v/>
      </c>
      <c r="AV82">
        <f t="shared" si="66"/>
        <v>0</v>
      </c>
      <c r="AW82">
        <f t="shared" si="67"/>
        <v>1</v>
      </c>
      <c r="AY82" t="str">
        <f t="shared" si="68"/>
        <v/>
      </c>
      <c r="BA82" t="str">
        <f>IF(对接源_01水果筐数!$B83="","",对接源_01水果筐数!$B83)</f>
        <v/>
      </c>
      <c r="BB82">
        <f t="shared" si="69"/>
        <v>0</v>
      </c>
      <c r="BC82">
        <f t="shared" si="70"/>
        <v>14</v>
      </c>
      <c r="BE82" t="str">
        <f t="shared" si="71"/>
        <v/>
      </c>
      <c r="BG82" t="str">
        <f>IF(对接源_01水果筐数!$C83="","",对接源_01水果筐数!$C83)</f>
        <v/>
      </c>
      <c r="BH82">
        <f t="shared" si="72"/>
        <v>0</v>
      </c>
      <c r="BI82">
        <f t="shared" si="73"/>
        <v>7</v>
      </c>
      <c r="BM82" t="str">
        <f t="shared" si="49"/>
        <v/>
      </c>
      <c r="BN82">
        <f t="shared" si="74"/>
        <v>0</v>
      </c>
      <c r="BO82">
        <f t="shared" si="75"/>
        <v>6</v>
      </c>
      <c r="BS82" t="str">
        <f t="shared" si="76"/>
        <v/>
      </c>
      <c r="BT82">
        <f t="shared" si="77"/>
        <v>0</v>
      </c>
      <c r="BU82">
        <f t="shared" si="78"/>
        <v>9</v>
      </c>
      <c r="BW82" t="str">
        <f t="shared" si="79"/>
        <v/>
      </c>
      <c r="BY82" t="str">
        <f t="shared" si="80"/>
        <v/>
      </c>
      <c r="BZ82">
        <f t="shared" si="81"/>
        <v>0</v>
      </c>
      <c r="CA82">
        <f t="shared" si="82"/>
        <v>12</v>
      </c>
      <c r="CC82" t="str">
        <f t="shared" si="83"/>
        <v/>
      </c>
      <c r="CI82" t="str">
        <f>IF(基础资料!$D82="","",基础资料!$D82)</f>
        <v/>
      </c>
      <c r="CJ82">
        <f t="shared" si="84"/>
        <v>0</v>
      </c>
      <c r="CK82">
        <f t="shared" si="85"/>
        <v>19</v>
      </c>
      <c r="CL82" t="str">
        <f t="shared" si="86"/>
        <v/>
      </c>
      <c r="CP82">
        <f>IF(包装物料出入库明细!$D82="",0,1)</f>
        <v>0</v>
      </c>
      <c r="CQ82">
        <f t="shared" si="87"/>
        <v>37</v>
      </c>
      <c r="CS82" t="str">
        <f>IF(OR(周转筐出入库明细!$C83="",周转筐出入库明细!$F83&lt;&gt;"采购入库"),"",周转筐出入库明细!$C83)</f>
        <v/>
      </c>
      <c r="CT82">
        <f t="shared" si="88"/>
        <v>0</v>
      </c>
      <c r="CU82">
        <f t="shared" si="89"/>
        <v>1</v>
      </c>
      <c r="CW82" t="str">
        <f>IFERROR(INDEX($CS$4:$CS$2003,MATCH(79,$CU$4:$CU$2003,0)),"")</f>
        <v/>
      </c>
    </row>
    <row r="83" spans="1:101">
      <c r="A83" t="str">
        <f>IF(包装物料出入库明细!$E83="","",包装物料出入库明细!$E83)</f>
        <v/>
      </c>
      <c r="B83">
        <f t="shared" si="50"/>
        <v>0</v>
      </c>
      <c r="C83">
        <f t="shared" si="51"/>
        <v>7</v>
      </c>
      <c r="D83" t="str">
        <f>IF(包装物料出入库明细!$E83="","",包装物料出入库明细!$F83)</f>
        <v/>
      </c>
      <c r="E83" t="str">
        <f>IF(包装物料出入库明细!$E83="","",包装物料出入库明细!$G83)</f>
        <v/>
      </c>
      <c r="K83" t="str">
        <f>IF(包装物料出入库明细!$D83="","",包装物料出入库明细!$D83)</f>
        <v/>
      </c>
      <c r="L83">
        <f t="shared" si="52"/>
        <v>0</v>
      </c>
      <c r="M83">
        <f t="shared" si="53"/>
        <v>9</v>
      </c>
      <c r="O83" t="str">
        <f t="shared" si="54"/>
        <v/>
      </c>
      <c r="Q83" t="str">
        <f>IF(周转筐出入库明细!$D84="","",周转筐出入库明细!$D84)</f>
        <v/>
      </c>
      <c r="R83">
        <f t="shared" si="55"/>
        <v>0</v>
      </c>
      <c r="S83">
        <f t="shared" si="56"/>
        <v>5</v>
      </c>
      <c r="W83" t="str">
        <f>IF(周转筐出入库明细!$C84="","",周转筐出入库明细!$C84)</f>
        <v/>
      </c>
      <c r="X83">
        <f t="shared" si="57"/>
        <v>0</v>
      </c>
      <c r="Y83">
        <f t="shared" si="58"/>
        <v>12</v>
      </c>
      <c r="AA83" t="str">
        <f t="shared" si="59"/>
        <v/>
      </c>
      <c r="AC83" t="str">
        <f>IF(客户自备加工筐明细!$C83="","",客户自备加工筐明细!$C83)</f>
        <v/>
      </c>
      <c r="AD83">
        <f t="shared" si="60"/>
        <v>0</v>
      </c>
      <c r="AE83">
        <f t="shared" si="61"/>
        <v>1</v>
      </c>
      <c r="AI83" t="str">
        <f>IF(客户自备加工筐明细!$E83="","",客户自备加工筐明细!$E83)</f>
        <v/>
      </c>
      <c r="AJ83">
        <f t="shared" si="62"/>
        <v>0</v>
      </c>
      <c r="AK83">
        <f t="shared" si="63"/>
        <v>1</v>
      </c>
      <c r="AM83" t="str">
        <f>IFERROR(INDEX($AI$4:$AI$1503,MATCH(80,$AK$4:$AK$1503,0)),"")</f>
        <v/>
      </c>
      <c r="AO83" t="str">
        <f>IF(次果筐明细!$D83="","",次果筐明细!$D83)</f>
        <v/>
      </c>
      <c r="AP83">
        <f t="shared" si="64"/>
        <v>0</v>
      </c>
      <c r="AQ83">
        <f t="shared" si="65"/>
        <v>1</v>
      </c>
      <c r="AU83" t="str">
        <f>IF(次果筐明细!$C83="","",次果筐明细!$C83)</f>
        <v/>
      </c>
      <c r="AV83">
        <f t="shared" si="66"/>
        <v>0</v>
      </c>
      <c r="AW83">
        <f t="shared" si="67"/>
        <v>1</v>
      </c>
      <c r="AY83" t="str">
        <f t="shared" si="68"/>
        <v/>
      </c>
      <c r="BA83" t="str">
        <f>IF(对接源_01水果筐数!$B84="","",对接源_01水果筐数!$B84)</f>
        <v/>
      </c>
      <c r="BB83">
        <f t="shared" si="69"/>
        <v>0</v>
      </c>
      <c r="BC83">
        <f t="shared" si="70"/>
        <v>14</v>
      </c>
      <c r="BE83" t="str">
        <f t="shared" si="71"/>
        <v/>
      </c>
      <c r="BG83" t="str">
        <f>IF(对接源_01水果筐数!$C84="","",对接源_01水果筐数!$C84)</f>
        <v/>
      </c>
      <c r="BH83">
        <f t="shared" si="72"/>
        <v>0</v>
      </c>
      <c r="BI83">
        <f t="shared" si="73"/>
        <v>7</v>
      </c>
      <c r="BM83" t="str">
        <f t="shared" si="49"/>
        <v/>
      </c>
      <c r="BN83">
        <f t="shared" si="74"/>
        <v>0</v>
      </c>
      <c r="BO83">
        <f t="shared" si="75"/>
        <v>6</v>
      </c>
      <c r="BS83" t="str">
        <f t="shared" si="76"/>
        <v/>
      </c>
      <c r="BT83">
        <f t="shared" si="77"/>
        <v>0</v>
      </c>
      <c r="BU83">
        <f t="shared" si="78"/>
        <v>9</v>
      </c>
      <c r="BW83" t="str">
        <f t="shared" si="79"/>
        <v/>
      </c>
      <c r="BY83" t="str">
        <f t="shared" si="80"/>
        <v/>
      </c>
      <c r="BZ83">
        <f t="shared" si="81"/>
        <v>0</v>
      </c>
      <c r="CA83">
        <f t="shared" si="82"/>
        <v>12</v>
      </c>
      <c r="CC83" t="str">
        <f t="shared" si="83"/>
        <v/>
      </c>
      <c r="CI83" t="str">
        <f>IF(基础资料!$D83="","",基础资料!$D83)</f>
        <v/>
      </c>
      <c r="CJ83">
        <f t="shared" si="84"/>
        <v>0</v>
      </c>
      <c r="CK83">
        <f t="shared" si="85"/>
        <v>19</v>
      </c>
      <c r="CL83" t="str">
        <f t="shared" si="86"/>
        <v/>
      </c>
      <c r="CP83">
        <f>IF(包装物料出入库明细!$D83="",0,1)</f>
        <v>0</v>
      </c>
      <c r="CQ83">
        <f t="shared" si="87"/>
        <v>37</v>
      </c>
      <c r="CS83" t="str">
        <f>IF(OR(周转筐出入库明细!$C84="",周转筐出入库明细!$F84&lt;&gt;"采购入库"),"",周转筐出入库明细!$C84)</f>
        <v/>
      </c>
      <c r="CT83">
        <f t="shared" si="88"/>
        <v>0</v>
      </c>
      <c r="CU83">
        <f t="shared" si="89"/>
        <v>1</v>
      </c>
      <c r="CW83" t="str">
        <f>IFERROR(INDEX($CS$4:$CS$2003,MATCH(80,$CU$4:$CU$2003,0)),"")</f>
        <v/>
      </c>
    </row>
    <row r="84" spans="1:101">
      <c r="A84" t="str">
        <f>IF(包装物料出入库明细!$E84="","",包装物料出入库明细!$E84)</f>
        <v/>
      </c>
      <c r="B84">
        <f t="shared" si="50"/>
        <v>0</v>
      </c>
      <c r="C84">
        <f t="shared" si="51"/>
        <v>7</v>
      </c>
      <c r="D84" t="str">
        <f>IF(包装物料出入库明细!$E84="","",包装物料出入库明细!$F84)</f>
        <v/>
      </c>
      <c r="E84" t="str">
        <f>IF(包装物料出入库明细!$E84="","",包装物料出入库明细!$G84)</f>
        <v/>
      </c>
      <c r="K84" t="str">
        <f>IF(包装物料出入库明细!$D84="","",包装物料出入库明细!$D84)</f>
        <v/>
      </c>
      <c r="L84">
        <f t="shared" si="52"/>
        <v>0</v>
      </c>
      <c r="M84">
        <f t="shared" si="53"/>
        <v>9</v>
      </c>
      <c r="O84" t="str">
        <f t="shared" si="54"/>
        <v/>
      </c>
      <c r="Q84" t="str">
        <f>IF(周转筐出入库明细!$D85="","",周转筐出入库明细!$D85)</f>
        <v/>
      </c>
      <c r="R84">
        <f t="shared" si="55"/>
        <v>0</v>
      </c>
      <c r="S84">
        <f t="shared" si="56"/>
        <v>5</v>
      </c>
      <c r="W84" t="str">
        <f>IF(周转筐出入库明细!$C85="","",周转筐出入库明细!$C85)</f>
        <v/>
      </c>
      <c r="X84">
        <f t="shared" si="57"/>
        <v>0</v>
      </c>
      <c r="Y84">
        <f t="shared" si="58"/>
        <v>12</v>
      </c>
      <c r="AA84" t="str">
        <f t="shared" si="59"/>
        <v/>
      </c>
      <c r="AC84" t="str">
        <f>IF(客户自备加工筐明细!$C84="","",客户自备加工筐明细!$C84)</f>
        <v/>
      </c>
      <c r="AD84">
        <f t="shared" si="60"/>
        <v>0</v>
      </c>
      <c r="AE84">
        <f t="shared" si="61"/>
        <v>1</v>
      </c>
      <c r="AI84" t="str">
        <f>IF(客户自备加工筐明细!$E84="","",客户自备加工筐明细!$E84)</f>
        <v/>
      </c>
      <c r="AJ84">
        <f t="shared" si="62"/>
        <v>0</v>
      </c>
      <c r="AK84">
        <f t="shared" si="63"/>
        <v>1</v>
      </c>
      <c r="AM84" t="str">
        <f>IFERROR(INDEX($AI$4:$AI$1503,MATCH(81,$AK$4:$AK$1503,0)),"")</f>
        <v/>
      </c>
      <c r="AO84" t="str">
        <f>IF(次果筐明细!$D84="","",次果筐明细!$D84)</f>
        <v/>
      </c>
      <c r="AP84">
        <f t="shared" si="64"/>
        <v>0</v>
      </c>
      <c r="AQ84">
        <f t="shared" si="65"/>
        <v>1</v>
      </c>
      <c r="AU84" t="str">
        <f>IF(次果筐明细!$C84="","",次果筐明细!$C84)</f>
        <v/>
      </c>
      <c r="AV84">
        <f t="shared" si="66"/>
        <v>0</v>
      </c>
      <c r="AW84">
        <f t="shared" si="67"/>
        <v>1</v>
      </c>
      <c r="AY84" t="str">
        <f t="shared" si="68"/>
        <v/>
      </c>
      <c r="BA84" t="str">
        <f>IF(对接源_01水果筐数!$B85="","",对接源_01水果筐数!$B85)</f>
        <v/>
      </c>
      <c r="BB84">
        <f t="shared" si="69"/>
        <v>0</v>
      </c>
      <c r="BC84">
        <f t="shared" si="70"/>
        <v>14</v>
      </c>
      <c r="BE84" t="str">
        <f t="shared" si="71"/>
        <v/>
      </c>
      <c r="BG84" t="str">
        <f>IF(对接源_01水果筐数!$C85="","",对接源_01水果筐数!$C85)</f>
        <v/>
      </c>
      <c r="BH84">
        <f t="shared" si="72"/>
        <v>0</v>
      </c>
      <c r="BI84">
        <f t="shared" si="73"/>
        <v>7</v>
      </c>
      <c r="BM84" t="str">
        <f t="shared" ref="BM84:BM123" si="90">IF($AS4="","",$AS4)</f>
        <v>公司杂周转筐</v>
      </c>
      <c r="BN84">
        <f t="shared" si="74"/>
        <v>0</v>
      </c>
      <c r="BO84">
        <f t="shared" si="75"/>
        <v>6</v>
      </c>
      <c r="BS84" t="str">
        <f t="shared" si="76"/>
        <v/>
      </c>
      <c r="BT84">
        <f t="shared" si="77"/>
        <v>0</v>
      </c>
      <c r="BU84">
        <f t="shared" si="78"/>
        <v>9</v>
      </c>
      <c r="BW84" t="str">
        <f t="shared" si="79"/>
        <v/>
      </c>
      <c r="BY84" t="str">
        <f t="shared" si="80"/>
        <v/>
      </c>
      <c r="BZ84">
        <f t="shared" si="81"/>
        <v>0</v>
      </c>
      <c r="CA84">
        <f t="shared" si="82"/>
        <v>12</v>
      </c>
      <c r="CC84" t="str">
        <f t="shared" si="83"/>
        <v/>
      </c>
      <c r="CI84" t="str">
        <f>IF(基础资料!$D84="","",基础资料!$D84)</f>
        <v/>
      </c>
      <c r="CJ84">
        <f t="shared" si="84"/>
        <v>0</v>
      </c>
      <c r="CK84">
        <f t="shared" si="85"/>
        <v>19</v>
      </c>
      <c r="CL84" t="str">
        <f t="shared" si="86"/>
        <v/>
      </c>
      <c r="CP84">
        <f>IF(包装物料出入库明细!$D84="",0,1)</f>
        <v>0</v>
      </c>
      <c r="CQ84">
        <f t="shared" si="87"/>
        <v>37</v>
      </c>
      <c r="CS84" t="str">
        <f>IF(OR(周转筐出入库明细!$C85="",周转筐出入库明细!$F85&lt;&gt;"采购入库"),"",周转筐出入库明细!$C85)</f>
        <v/>
      </c>
      <c r="CT84">
        <f t="shared" si="88"/>
        <v>0</v>
      </c>
      <c r="CU84">
        <f t="shared" si="89"/>
        <v>1</v>
      </c>
      <c r="CW84" t="str">
        <f>IFERROR(INDEX($CS$4:$CS$2003,MATCH(81,$CU$4:$CU$2003,0)),"")</f>
        <v/>
      </c>
    </row>
    <row r="85" spans="1:101">
      <c r="A85" t="str">
        <f>IF(包装物料出入库明细!$E85="","",包装物料出入库明细!$E85)</f>
        <v/>
      </c>
      <c r="B85">
        <f t="shared" si="50"/>
        <v>0</v>
      </c>
      <c r="C85">
        <f t="shared" si="51"/>
        <v>7</v>
      </c>
      <c r="D85" t="str">
        <f>IF(包装物料出入库明细!$E85="","",包装物料出入库明细!$F85)</f>
        <v/>
      </c>
      <c r="E85" t="str">
        <f>IF(包装物料出入库明细!$E85="","",包装物料出入库明细!$G85)</f>
        <v/>
      </c>
      <c r="K85" t="str">
        <f>IF(包装物料出入库明细!$D85="","",包装物料出入库明细!$D85)</f>
        <v/>
      </c>
      <c r="L85">
        <f t="shared" si="52"/>
        <v>0</v>
      </c>
      <c r="M85">
        <f t="shared" si="53"/>
        <v>9</v>
      </c>
      <c r="O85" t="str">
        <f t="shared" si="54"/>
        <v/>
      </c>
      <c r="Q85" t="str">
        <f>IF(周转筐出入库明细!$D86="","",周转筐出入库明细!$D86)</f>
        <v/>
      </c>
      <c r="R85">
        <f t="shared" si="55"/>
        <v>0</v>
      </c>
      <c r="S85">
        <f t="shared" si="56"/>
        <v>5</v>
      </c>
      <c r="W85" t="str">
        <f>IF(周转筐出入库明细!$C86="","",周转筐出入库明细!$C86)</f>
        <v/>
      </c>
      <c r="X85">
        <f t="shared" si="57"/>
        <v>0</v>
      </c>
      <c r="Y85">
        <f t="shared" si="58"/>
        <v>12</v>
      </c>
      <c r="AA85" t="str">
        <f t="shared" si="59"/>
        <v/>
      </c>
      <c r="AC85" t="str">
        <f>IF(客户自备加工筐明细!$C85="","",客户自备加工筐明细!$C85)</f>
        <v/>
      </c>
      <c r="AD85">
        <f t="shared" si="60"/>
        <v>0</v>
      </c>
      <c r="AE85">
        <f t="shared" si="61"/>
        <v>1</v>
      </c>
      <c r="AI85" t="str">
        <f>IF(客户自备加工筐明细!$E85="","",客户自备加工筐明细!$E85)</f>
        <v/>
      </c>
      <c r="AJ85">
        <f t="shared" si="62"/>
        <v>0</v>
      </c>
      <c r="AK85">
        <f t="shared" si="63"/>
        <v>1</v>
      </c>
      <c r="AM85" t="str">
        <f>IFERROR(INDEX($AI$4:$AI$1503,MATCH(82,$AK$4:$AK$1503,0)),"")</f>
        <v/>
      </c>
      <c r="AO85" t="str">
        <f>IF(次果筐明细!$D85="","",次果筐明细!$D85)</f>
        <v/>
      </c>
      <c r="AP85">
        <f t="shared" si="64"/>
        <v>0</v>
      </c>
      <c r="AQ85">
        <f t="shared" si="65"/>
        <v>1</v>
      </c>
      <c r="AU85" t="str">
        <f>IF(次果筐明细!$C85="","",次果筐明细!$C85)</f>
        <v/>
      </c>
      <c r="AV85">
        <f t="shared" si="66"/>
        <v>0</v>
      </c>
      <c r="AW85">
        <f t="shared" si="67"/>
        <v>1</v>
      </c>
      <c r="AY85" t="str">
        <f t="shared" si="68"/>
        <v/>
      </c>
      <c r="BA85" t="str">
        <f>IF(对接源_01水果筐数!$B86="","",对接源_01水果筐数!$B86)</f>
        <v/>
      </c>
      <c r="BB85">
        <f t="shared" si="69"/>
        <v>0</v>
      </c>
      <c r="BC85">
        <f t="shared" si="70"/>
        <v>14</v>
      </c>
      <c r="BE85" t="str">
        <f t="shared" si="71"/>
        <v/>
      </c>
      <c r="BG85" t="str">
        <f>IF(对接源_01水果筐数!$C86="","",对接源_01水果筐数!$C86)</f>
        <v/>
      </c>
      <c r="BH85">
        <f t="shared" si="72"/>
        <v>0</v>
      </c>
      <c r="BI85">
        <f t="shared" si="73"/>
        <v>7</v>
      </c>
      <c r="BM85" t="str">
        <f t="shared" si="90"/>
        <v/>
      </c>
      <c r="BN85">
        <f t="shared" si="74"/>
        <v>0</v>
      </c>
      <c r="BO85">
        <f t="shared" si="75"/>
        <v>6</v>
      </c>
      <c r="BS85" t="str">
        <f t="shared" si="76"/>
        <v/>
      </c>
      <c r="BT85">
        <f t="shared" si="77"/>
        <v>0</v>
      </c>
      <c r="BU85">
        <f t="shared" si="78"/>
        <v>9</v>
      </c>
      <c r="BW85" t="str">
        <f t="shared" si="79"/>
        <v/>
      </c>
      <c r="BY85" t="str">
        <f t="shared" si="80"/>
        <v/>
      </c>
      <c r="BZ85">
        <f t="shared" si="81"/>
        <v>0</v>
      </c>
      <c r="CA85">
        <f t="shared" si="82"/>
        <v>12</v>
      </c>
      <c r="CC85" t="str">
        <f t="shared" si="83"/>
        <v/>
      </c>
      <c r="CI85" t="str">
        <f>IF(基础资料!$D85="","",基础资料!$D85)</f>
        <v/>
      </c>
      <c r="CJ85">
        <f t="shared" si="84"/>
        <v>0</v>
      </c>
      <c r="CK85">
        <f t="shared" si="85"/>
        <v>19</v>
      </c>
      <c r="CL85" t="str">
        <f t="shared" si="86"/>
        <v/>
      </c>
      <c r="CP85">
        <f>IF(包装物料出入库明细!$D85="",0,1)</f>
        <v>0</v>
      </c>
      <c r="CQ85">
        <f t="shared" si="87"/>
        <v>37</v>
      </c>
      <c r="CS85" t="str">
        <f>IF(OR(周转筐出入库明细!$C86="",周转筐出入库明细!$F86&lt;&gt;"采购入库"),"",周转筐出入库明细!$C86)</f>
        <v/>
      </c>
      <c r="CT85">
        <f t="shared" si="88"/>
        <v>0</v>
      </c>
      <c r="CU85">
        <f t="shared" si="89"/>
        <v>1</v>
      </c>
      <c r="CW85" t="str">
        <f>IFERROR(INDEX($CS$4:$CS$2003,MATCH(82,$CU$4:$CU$2003,0)),"")</f>
        <v/>
      </c>
    </row>
    <row r="86" spans="1:101">
      <c r="A86" t="str">
        <f>IF(包装物料出入库明细!$E86="","",包装物料出入库明细!$E86)</f>
        <v/>
      </c>
      <c r="B86">
        <f t="shared" si="50"/>
        <v>0</v>
      </c>
      <c r="C86">
        <f t="shared" si="51"/>
        <v>7</v>
      </c>
      <c r="D86" t="str">
        <f>IF(包装物料出入库明细!$E86="","",包装物料出入库明细!$F86)</f>
        <v/>
      </c>
      <c r="E86" t="str">
        <f>IF(包装物料出入库明细!$E86="","",包装物料出入库明细!$G86)</f>
        <v/>
      </c>
      <c r="K86" t="str">
        <f>IF(包装物料出入库明细!$D86="","",包装物料出入库明细!$D86)</f>
        <v/>
      </c>
      <c r="L86">
        <f t="shared" si="52"/>
        <v>0</v>
      </c>
      <c r="M86">
        <f t="shared" si="53"/>
        <v>9</v>
      </c>
      <c r="O86" t="str">
        <f t="shared" si="54"/>
        <v/>
      </c>
      <c r="Q86" t="str">
        <f>IF(周转筐出入库明细!$D87="","",周转筐出入库明细!$D87)</f>
        <v/>
      </c>
      <c r="R86">
        <f t="shared" si="55"/>
        <v>0</v>
      </c>
      <c r="S86">
        <f t="shared" si="56"/>
        <v>5</v>
      </c>
      <c r="W86" t="str">
        <f>IF(周转筐出入库明细!$C87="","",周转筐出入库明细!$C87)</f>
        <v/>
      </c>
      <c r="X86">
        <f t="shared" si="57"/>
        <v>0</v>
      </c>
      <c r="Y86">
        <f t="shared" si="58"/>
        <v>12</v>
      </c>
      <c r="AA86" t="str">
        <f t="shared" si="59"/>
        <v/>
      </c>
      <c r="AC86" t="str">
        <f>IF(客户自备加工筐明细!$C86="","",客户自备加工筐明细!$C86)</f>
        <v/>
      </c>
      <c r="AD86">
        <f t="shared" si="60"/>
        <v>0</v>
      </c>
      <c r="AE86">
        <f t="shared" si="61"/>
        <v>1</v>
      </c>
      <c r="AI86" t="str">
        <f>IF(客户自备加工筐明细!$E86="","",客户自备加工筐明细!$E86)</f>
        <v/>
      </c>
      <c r="AJ86">
        <f t="shared" si="62"/>
        <v>0</v>
      </c>
      <c r="AK86">
        <f t="shared" si="63"/>
        <v>1</v>
      </c>
      <c r="AM86" t="str">
        <f>IFERROR(INDEX($AI$4:$AI$1503,MATCH(83,$AK$4:$AK$1503,0)),"")</f>
        <v/>
      </c>
      <c r="AO86" t="str">
        <f>IF(次果筐明细!$D86="","",次果筐明细!$D86)</f>
        <v/>
      </c>
      <c r="AP86">
        <f t="shared" si="64"/>
        <v>0</v>
      </c>
      <c r="AQ86">
        <f t="shared" si="65"/>
        <v>1</v>
      </c>
      <c r="AU86" t="str">
        <f>IF(次果筐明细!$C86="","",次果筐明细!$C86)</f>
        <v/>
      </c>
      <c r="AV86">
        <f t="shared" si="66"/>
        <v>0</v>
      </c>
      <c r="AW86">
        <f t="shared" si="67"/>
        <v>1</v>
      </c>
      <c r="AY86" t="str">
        <f t="shared" si="68"/>
        <v/>
      </c>
      <c r="BA86" t="str">
        <f>IF(对接源_01水果筐数!$B87="","",对接源_01水果筐数!$B87)</f>
        <v/>
      </c>
      <c r="BB86">
        <f t="shared" si="69"/>
        <v>0</v>
      </c>
      <c r="BC86">
        <f t="shared" si="70"/>
        <v>14</v>
      </c>
      <c r="BE86" t="str">
        <f t="shared" si="71"/>
        <v/>
      </c>
      <c r="BG86" t="str">
        <f>IF(对接源_01水果筐数!$C87="","",对接源_01水果筐数!$C87)</f>
        <v/>
      </c>
      <c r="BH86">
        <f t="shared" si="72"/>
        <v>0</v>
      </c>
      <c r="BI86">
        <f t="shared" si="73"/>
        <v>7</v>
      </c>
      <c r="BM86" t="str">
        <f t="shared" si="90"/>
        <v/>
      </c>
      <c r="BN86">
        <f t="shared" si="74"/>
        <v>0</v>
      </c>
      <c r="BO86">
        <f t="shared" si="75"/>
        <v>6</v>
      </c>
      <c r="BS86" t="str">
        <f t="shared" si="76"/>
        <v/>
      </c>
      <c r="BT86">
        <f t="shared" si="77"/>
        <v>0</v>
      </c>
      <c r="BU86">
        <f t="shared" si="78"/>
        <v>9</v>
      </c>
      <c r="BW86" t="str">
        <f t="shared" si="79"/>
        <v/>
      </c>
      <c r="BY86" t="str">
        <f t="shared" si="80"/>
        <v/>
      </c>
      <c r="BZ86">
        <f t="shared" si="81"/>
        <v>0</v>
      </c>
      <c r="CA86">
        <f t="shared" si="82"/>
        <v>12</v>
      </c>
      <c r="CC86" t="str">
        <f t="shared" si="83"/>
        <v/>
      </c>
      <c r="CI86" t="str">
        <f>IF(基础资料!$D86="","",基础资料!$D86)</f>
        <v/>
      </c>
      <c r="CJ86">
        <f t="shared" si="84"/>
        <v>0</v>
      </c>
      <c r="CK86">
        <f t="shared" si="85"/>
        <v>19</v>
      </c>
      <c r="CL86" t="str">
        <f t="shared" si="86"/>
        <v/>
      </c>
      <c r="CP86">
        <f>IF(包装物料出入库明细!$D86="",0,1)</f>
        <v>0</v>
      </c>
      <c r="CQ86">
        <f t="shared" si="87"/>
        <v>37</v>
      </c>
      <c r="CS86" t="str">
        <f>IF(OR(周转筐出入库明细!$C87="",周转筐出入库明细!$F87&lt;&gt;"采购入库"),"",周转筐出入库明细!$C87)</f>
        <v/>
      </c>
      <c r="CT86">
        <f t="shared" si="88"/>
        <v>0</v>
      </c>
      <c r="CU86">
        <f t="shared" si="89"/>
        <v>1</v>
      </c>
      <c r="CW86" t="str">
        <f>IFERROR(INDEX($CS$4:$CS$2003,MATCH(83,$CU$4:$CU$2003,0)),"")</f>
        <v/>
      </c>
    </row>
    <row r="87" spans="1:101">
      <c r="A87" t="str">
        <f>IF(包装物料出入库明细!$E87="","",包装物料出入库明细!$E87)</f>
        <v/>
      </c>
      <c r="B87">
        <f t="shared" si="50"/>
        <v>0</v>
      </c>
      <c r="C87">
        <f t="shared" si="51"/>
        <v>7</v>
      </c>
      <c r="D87" t="str">
        <f>IF(包装物料出入库明细!$E87="","",包装物料出入库明细!$F87)</f>
        <v/>
      </c>
      <c r="E87" t="str">
        <f>IF(包装物料出入库明细!$E87="","",包装物料出入库明细!$G87)</f>
        <v/>
      </c>
      <c r="K87" t="str">
        <f>IF(包装物料出入库明细!$D87="","",包装物料出入库明细!$D87)</f>
        <v/>
      </c>
      <c r="L87">
        <f t="shared" si="52"/>
        <v>0</v>
      </c>
      <c r="M87">
        <f t="shared" si="53"/>
        <v>9</v>
      </c>
      <c r="O87" t="str">
        <f t="shared" si="54"/>
        <v/>
      </c>
      <c r="Q87" t="str">
        <f>IF(周转筐出入库明细!$D88="","",周转筐出入库明细!$D88)</f>
        <v/>
      </c>
      <c r="R87">
        <f t="shared" si="55"/>
        <v>0</v>
      </c>
      <c r="S87">
        <f t="shared" si="56"/>
        <v>5</v>
      </c>
      <c r="W87" t="str">
        <f>IF(周转筐出入库明细!$C88="","",周转筐出入库明细!$C88)</f>
        <v/>
      </c>
      <c r="X87">
        <f t="shared" si="57"/>
        <v>0</v>
      </c>
      <c r="Y87">
        <f t="shared" si="58"/>
        <v>12</v>
      </c>
      <c r="AA87" t="str">
        <f t="shared" si="59"/>
        <v/>
      </c>
      <c r="AC87" t="str">
        <f>IF(客户自备加工筐明细!$C87="","",客户自备加工筐明细!$C87)</f>
        <v/>
      </c>
      <c r="AD87">
        <f t="shared" si="60"/>
        <v>0</v>
      </c>
      <c r="AE87">
        <f t="shared" si="61"/>
        <v>1</v>
      </c>
      <c r="AI87" t="str">
        <f>IF(客户自备加工筐明细!$E87="","",客户自备加工筐明细!$E87)</f>
        <v/>
      </c>
      <c r="AJ87">
        <f t="shared" si="62"/>
        <v>0</v>
      </c>
      <c r="AK87">
        <f t="shared" si="63"/>
        <v>1</v>
      </c>
      <c r="AM87" t="str">
        <f>IFERROR(INDEX($AI$4:$AI$1503,MATCH(84,$AK$4:$AK$1503,0)),"")</f>
        <v/>
      </c>
      <c r="AO87" t="str">
        <f>IF(次果筐明细!$D87="","",次果筐明细!$D87)</f>
        <v/>
      </c>
      <c r="AP87">
        <f t="shared" si="64"/>
        <v>0</v>
      </c>
      <c r="AQ87">
        <f t="shared" si="65"/>
        <v>1</v>
      </c>
      <c r="AU87" t="str">
        <f>IF(次果筐明细!$C87="","",次果筐明细!$C87)</f>
        <v/>
      </c>
      <c r="AV87">
        <f t="shared" si="66"/>
        <v>0</v>
      </c>
      <c r="AW87">
        <f t="shared" si="67"/>
        <v>1</v>
      </c>
      <c r="AY87" t="str">
        <f t="shared" si="68"/>
        <v/>
      </c>
      <c r="BA87" t="str">
        <f>IF(对接源_01水果筐数!$B88="","",对接源_01水果筐数!$B88)</f>
        <v/>
      </c>
      <c r="BB87">
        <f t="shared" si="69"/>
        <v>0</v>
      </c>
      <c r="BC87">
        <f t="shared" si="70"/>
        <v>14</v>
      </c>
      <c r="BE87" t="str">
        <f t="shared" si="71"/>
        <v/>
      </c>
      <c r="BG87" t="str">
        <f>IF(对接源_01水果筐数!$C88="","",对接源_01水果筐数!$C88)</f>
        <v/>
      </c>
      <c r="BH87">
        <f t="shared" si="72"/>
        <v>0</v>
      </c>
      <c r="BI87">
        <f t="shared" si="73"/>
        <v>7</v>
      </c>
      <c r="BM87" t="str">
        <f t="shared" si="90"/>
        <v/>
      </c>
      <c r="BN87">
        <f t="shared" si="74"/>
        <v>0</v>
      </c>
      <c r="BO87">
        <f t="shared" si="75"/>
        <v>6</v>
      </c>
      <c r="BS87" t="str">
        <f t="shared" si="76"/>
        <v/>
      </c>
      <c r="BT87">
        <f t="shared" si="77"/>
        <v>0</v>
      </c>
      <c r="BU87">
        <f t="shared" si="78"/>
        <v>9</v>
      </c>
      <c r="BW87" t="str">
        <f t="shared" si="79"/>
        <v/>
      </c>
      <c r="BY87" t="str">
        <f t="shared" si="80"/>
        <v/>
      </c>
      <c r="BZ87">
        <f t="shared" si="81"/>
        <v>0</v>
      </c>
      <c r="CA87">
        <f t="shared" si="82"/>
        <v>12</v>
      </c>
      <c r="CC87" t="str">
        <f t="shared" si="83"/>
        <v/>
      </c>
      <c r="CI87" t="str">
        <f>IF(基础资料!$D87="","",基础资料!$D87)</f>
        <v/>
      </c>
      <c r="CJ87">
        <f t="shared" si="84"/>
        <v>0</v>
      </c>
      <c r="CK87">
        <f t="shared" si="85"/>
        <v>19</v>
      </c>
      <c r="CL87" t="str">
        <f t="shared" si="86"/>
        <v/>
      </c>
      <c r="CP87">
        <f>IF(包装物料出入库明细!$D87="",0,1)</f>
        <v>0</v>
      </c>
      <c r="CQ87">
        <f t="shared" si="87"/>
        <v>37</v>
      </c>
      <c r="CS87" t="str">
        <f>IF(OR(周转筐出入库明细!$C88="",周转筐出入库明细!$F88&lt;&gt;"采购入库"),"",周转筐出入库明细!$C88)</f>
        <v/>
      </c>
      <c r="CT87">
        <f t="shared" si="88"/>
        <v>0</v>
      </c>
      <c r="CU87">
        <f t="shared" si="89"/>
        <v>1</v>
      </c>
      <c r="CW87" t="str">
        <f>IFERROR(INDEX($CS$4:$CS$2003,MATCH(84,$CU$4:$CU$2003,0)),"")</f>
        <v/>
      </c>
    </row>
    <row r="88" spans="1:101">
      <c r="A88" t="str">
        <f>IF(包装物料出入库明细!$E88="","",包装物料出入库明细!$E88)</f>
        <v/>
      </c>
      <c r="B88">
        <f t="shared" si="50"/>
        <v>0</v>
      </c>
      <c r="C88">
        <f t="shared" si="51"/>
        <v>7</v>
      </c>
      <c r="D88" t="str">
        <f>IF(包装物料出入库明细!$E88="","",包装物料出入库明细!$F88)</f>
        <v/>
      </c>
      <c r="E88" t="str">
        <f>IF(包装物料出入库明细!$E88="","",包装物料出入库明细!$G88)</f>
        <v/>
      </c>
      <c r="K88" t="str">
        <f>IF(包装物料出入库明细!$D88="","",包装物料出入库明细!$D88)</f>
        <v/>
      </c>
      <c r="L88">
        <f t="shared" si="52"/>
        <v>0</v>
      </c>
      <c r="M88">
        <f t="shared" si="53"/>
        <v>9</v>
      </c>
      <c r="O88" t="str">
        <f t="shared" si="54"/>
        <v/>
      </c>
      <c r="Q88" t="str">
        <f>IF(周转筐出入库明细!$D89="","",周转筐出入库明细!$D89)</f>
        <v/>
      </c>
      <c r="R88">
        <f t="shared" si="55"/>
        <v>0</v>
      </c>
      <c r="S88">
        <f t="shared" si="56"/>
        <v>5</v>
      </c>
      <c r="W88" t="str">
        <f>IF(周转筐出入库明细!$C89="","",周转筐出入库明细!$C89)</f>
        <v/>
      </c>
      <c r="X88">
        <f t="shared" si="57"/>
        <v>0</v>
      </c>
      <c r="Y88">
        <f t="shared" si="58"/>
        <v>12</v>
      </c>
      <c r="AA88" t="str">
        <f t="shared" si="59"/>
        <v/>
      </c>
      <c r="AC88" t="str">
        <f>IF(客户自备加工筐明细!$C88="","",客户自备加工筐明细!$C88)</f>
        <v/>
      </c>
      <c r="AD88">
        <f t="shared" si="60"/>
        <v>0</v>
      </c>
      <c r="AE88">
        <f t="shared" si="61"/>
        <v>1</v>
      </c>
      <c r="AI88" t="str">
        <f>IF(客户自备加工筐明细!$E88="","",客户自备加工筐明细!$E88)</f>
        <v/>
      </c>
      <c r="AJ88">
        <f t="shared" si="62"/>
        <v>0</v>
      </c>
      <c r="AK88">
        <f t="shared" si="63"/>
        <v>1</v>
      </c>
      <c r="AM88" t="str">
        <f>IFERROR(INDEX($AI$4:$AI$1503,MATCH(85,$AK$4:$AK$1503,0)),"")</f>
        <v/>
      </c>
      <c r="AO88" t="str">
        <f>IF(次果筐明细!$D88="","",次果筐明细!$D88)</f>
        <v/>
      </c>
      <c r="AP88">
        <f t="shared" si="64"/>
        <v>0</v>
      </c>
      <c r="AQ88">
        <f t="shared" si="65"/>
        <v>1</v>
      </c>
      <c r="AU88" t="str">
        <f>IF(次果筐明细!$C88="","",次果筐明细!$C88)</f>
        <v/>
      </c>
      <c r="AV88">
        <f t="shared" si="66"/>
        <v>0</v>
      </c>
      <c r="AW88">
        <f t="shared" si="67"/>
        <v>1</v>
      </c>
      <c r="AY88" t="str">
        <f t="shared" si="68"/>
        <v/>
      </c>
      <c r="BA88" t="str">
        <f>IF(对接源_01水果筐数!$B89="","",对接源_01水果筐数!$B89)</f>
        <v/>
      </c>
      <c r="BB88">
        <f t="shared" si="69"/>
        <v>0</v>
      </c>
      <c r="BC88">
        <f t="shared" si="70"/>
        <v>14</v>
      </c>
      <c r="BE88" t="str">
        <f t="shared" si="71"/>
        <v/>
      </c>
      <c r="BG88" t="str">
        <f>IF(对接源_01水果筐数!$C89="","",对接源_01水果筐数!$C89)</f>
        <v/>
      </c>
      <c r="BH88">
        <f t="shared" si="72"/>
        <v>0</v>
      </c>
      <c r="BI88">
        <f t="shared" si="73"/>
        <v>7</v>
      </c>
      <c r="BM88" t="str">
        <f t="shared" si="90"/>
        <v/>
      </c>
      <c r="BN88">
        <f t="shared" si="74"/>
        <v>0</v>
      </c>
      <c r="BO88">
        <f t="shared" si="75"/>
        <v>6</v>
      </c>
      <c r="BS88" t="str">
        <f t="shared" si="76"/>
        <v/>
      </c>
      <c r="BT88">
        <f t="shared" si="77"/>
        <v>0</v>
      </c>
      <c r="BU88">
        <f t="shared" si="78"/>
        <v>9</v>
      </c>
      <c r="BW88" t="str">
        <f t="shared" si="79"/>
        <v/>
      </c>
      <c r="BY88" t="str">
        <f t="shared" si="80"/>
        <v/>
      </c>
      <c r="BZ88">
        <f t="shared" si="81"/>
        <v>0</v>
      </c>
      <c r="CA88">
        <f t="shared" si="82"/>
        <v>12</v>
      </c>
      <c r="CC88" t="str">
        <f t="shared" si="83"/>
        <v/>
      </c>
      <c r="CI88" t="str">
        <f>IF(基础资料!$D88="","",基础资料!$D88)</f>
        <v/>
      </c>
      <c r="CJ88">
        <f t="shared" si="84"/>
        <v>0</v>
      </c>
      <c r="CK88">
        <f t="shared" si="85"/>
        <v>19</v>
      </c>
      <c r="CL88" t="str">
        <f t="shared" si="86"/>
        <v/>
      </c>
      <c r="CP88">
        <f>IF(包装物料出入库明细!$D88="",0,1)</f>
        <v>0</v>
      </c>
      <c r="CQ88">
        <f t="shared" si="87"/>
        <v>37</v>
      </c>
      <c r="CS88" t="str">
        <f>IF(OR(周转筐出入库明细!$C89="",周转筐出入库明细!$F89&lt;&gt;"采购入库"),"",周转筐出入库明细!$C89)</f>
        <v/>
      </c>
      <c r="CT88">
        <f t="shared" si="88"/>
        <v>0</v>
      </c>
      <c r="CU88">
        <f t="shared" si="89"/>
        <v>1</v>
      </c>
      <c r="CW88" t="str">
        <f>IFERROR(INDEX($CS$4:$CS$2003,MATCH(85,$CU$4:$CU$2003,0)),"")</f>
        <v/>
      </c>
    </row>
    <row r="89" spans="1:101">
      <c r="A89" t="str">
        <f>IF(包装物料出入库明细!$E89="","",包装物料出入库明细!$E89)</f>
        <v/>
      </c>
      <c r="B89">
        <f t="shared" si="50"/>
        <v>0</v>
      </c>
      <c r="C89">
        <f t="shared" si="51"/>
        <v>7</v>
      </c>
      <c r="D89" t="str">
        <f>IF(包装物料出入库明细!$E89="","",包装物料出入库明细!$F89)</f>
        <v/>
      </c>
      <c r="E89" t="str">
        <f>IF(包装物料出入库明细!$E89="","",包装物料出入库明细!$G89)</f>
        <v/>
      </c>
      <c r="K89" t="str">
        <f>IF(包装物料出入库明细!$D89="","",包装物料出入库明细!$D89)</f>
        <v/>
      </c>
      <c r="L89">
        <f t="shared" si="52"/>
        <v>0</v>
      </c>
      <c r="M89">
        <f t="shared" si="53"/>
        <v>9</v>
      </c>
      <c r="O89" t="str">
        <f t="shared" si="54"/>
        <v/>
      </c>
      <c r="Q89" t="str">
        <f>IF(周转筐出入库明细!$D90="","",周转筐出入库明细!$D90)</f>
        <v/>
      </c>
      <c r="R89">
        <f t="shared" si="55"/>
        <v>0</v>
      </c>
      <c r="S89">
        <f t="shared" si="56"/>
        <v>5</v>
      </c>
      <c r="W89" t="str">
        <f>IF(周转筐出入库明细!$C90="","",周转筐出入库明细!$C90)</f>
        <v/>
      </c>
      <c r="X89">
        <f t="shared" si="57"/>
        <v>0</v>
      </c>
      <c r="Y89">
        <f t="shared" si="58"/>
        <v>12</v>
      </c>
      <c r="AA89" t="str">
        <f t="shared" si="59"/>
        <v/>
      </c>
      <c r="AC89" t="str">
        <f>IF(客户自备加工筐明细!$C89="","",客户自备加工筐明细!$C89)</f>
        <v/>
      </c>
      <c r="AD89">
        <f t="shared" si="60"/>
        <v>0</v>
      </c>
      <c r="AE89">
        <f t="shared" si="61"/>
        <v>1</v>
      </c>
      <c r="AI89" t="str">
        <f>IF(客户自备加工筐明细!$E89="","",客户自备加工筐明细!$E89)</f>
        <v/>
      </c>
      <c r="AJ89">
        <f t="shared" si="62"/>
        <v>0</v>
      </c>
      <c r="AK89">
        <f t="shared" si="63"/>
        <v>1</v>
      </c>
      <c r="AM89" t="str">
        <f>IFERROR(INDEX($AI$4:$AI$1503,MATCH(86,$AK$4:$AK$1503,0)),"")</f>
        <v/>
      </c>
      <c r="AO89" t="str">
        <f>IF(次果筐明细!$D89="","",次果筐明细!$D89)</f>
        <v/>
      </c>
      <c r="AP89">
        <f t="shared" si="64"/>
        <v>0</v>
      </c>
      <c r="AQ89">
        <f t="shared" si="65"/>
        <v>1</v>
      </c>
      <c r="AU89" t="str">
        <f>IF(次果筐明细!$C89="","",次果筐明细!$C89)</f>
        <v/>
      </c>
      <c r="AV89">
        <f t="shared" si="66"/>
        <v>0</v>
      </c>
      <c r="AW89">
        <f t="shared" si="67"/>
        <v>1</v>
      </c>
      <c r="AY89" t="str">
        <f t="shared" si="68"/>
        <v/>
      </c>
      <c r="BA89" t="str">
        <f>IF(对接源_01水果筐数!$B90="","",对接源_01水果筐数!$B90)</f>
        <v/>
      </c>
      <c r="BB89">
        <f t="shared" si="69"/>
        <v>0</v>
      </c>
      <c r="BC89">
        <f t="shared" si="70"/>
        <v>14</v>
      </c>
      <c r="BE89" t="str">
        <f t="shared" si="71"/>
        <v/>
      </c>
      <c r="BG89" t="str">
        <f>IF(对接源_01水果筐数!$C90="","",对接源_01水果筐数!$C90)</f>
        <v/>
      </c>
      <c r="BH89">
        <f t="shared" si="72"/>
        <v>0</v>
      </c>
      <c r="BI89">
        <f t="shared" si="73"/>
        <v>7</v>
      </c>
      <c r="BM89" t="str">
        <f t="shared" si="90"/>
        <v/>
      </c>
      <c r="BN89">
        <f t="shared" si="74"/>
        <v>0</v>
      </c>
      <c r="BO89">
        <f t="shared" si="75"/>
        <v>6</v>
      </c>
      <c r="BS89" t="str">
        <f t="shared" si="76"/>
        <v/>
      </c>
      <c r="BT89">
        <f t="shared" si="77"/>
        <v>0</v>
      </c>
      <c r="BU89">
        <f t="shared" si="78"/>
        <v>9</v>
      </c>
      <c r="BW89" t="str">
        <f t="shared" si="79"/>
        <v/>
      </c>
      <c r="BY89" t="str">
        <f t="shared" si="80"/>
        <v/>
      </c>
      <c r="BZ89">
        <f t="shared" si="81"/>
        <v>0</v>
      </c>
      <c r="CA89">
        <f t="shared" si="82"/>
        <v>12</v>
      </c>
      <c r="CC89" t="str">
        <f t="shared" si="83"/>
        <v/>
      </c>
      <c r="CI89" t="str">
        <f>IF(基础资料!$D89="","",基础资料!$D89)</f>
        <v/>
      </c>
      <c r="CJ89">
        <f t="shared" si="84"/>
        <v>0</v>
      </c>
      <c r="CK89">
        <f t="shared" si="85"/>
        <v>19</v>
      </c>
      <c r="CL89" t="str">
        <f t="shared" si="86"/>
        <v/>
      </c>
      <c r="CP89">
        <f>IF(包装物料出入库明细!$D89="",0,1)</f>
        <v>0</v>
      </c>
      <c r="CQ89">
        <f t="shared" si="87"/>
        <v>37</v>
      </c>
      <c r="CS89" t="str">
        <f>IF(OR(周转筐出入库明细!$C90="",周转筐出入库明细!$F90&lt;&gt;"采购入库"),"",周转筐出入库明细!$C90)</f>
        <v/>
      </c>
      <c r="CT89">
        <f t="shared" si="88"/>
        <v>0</v>
      </c>
      <c r="CU89">
        <f t="shared" si="89"/>
        <v>1</v>
      </c>
      <c r="CW89" t="str">
        <f>IFERROR(INDEX($CS$4:$CS$2003,MATCH(86,$CU$4:$CU$2003,0)),"")</f>
        <v/>
      </c>
    </row>
    <row r="90" spans="1:101">
      <c r="A90" t="str">
        <f>IF(包装物料出入库明细!$E90="","",包装物料出入库明细!$E90)</f>
        <v/>
      </c>
      <c r="B90">
        <f t="shared" si="50"/>
        <v>0</v>
      </c>
      <c r="C90">
        <f t="shared" si="51"/>
        <v>7</v>
      </c>
      <c r="D90" t="str">
        <f>IF(包装物料出入库明细!$E90="","",包装物料出入库明细!$F90)</f>
        <v/>
      </c>
      <c r="E90" t="str">
        <f>IF(包装物料出入库明细!$E90="","",包装物料出入库明细!$G90)</f>
        <v/>
      </c>
      <c r="K90" t="str">
        <f>IF(包装物料出入库明细!$D90="","",包装物料出入库明细!$D90)</f>
        <v/>
      </c>
      <c r="L90">
        <f t="shared" si="52"/>
        <v>0</v>
      </c>
      <c r="M90">
        <f t="shared" si="53"/>
        <v>9</v>
      </c>
      <c r="O90" t="str">
        <f t="shared" si="54"/>
        <v/>
      </c>
      <c r="Q90" t="str">
        <f>IF(周转筐出入库明细!$D91="","",周转筐出入库明细!$D91)</f>
        <v/>
      </c>
      <c r="R90">
        <f t="shared" si="55"/>
        <v>0</v>
      </c>
      <c r="S90">
        <f t="shared" si="56"/>
        <v>5</v>
      </c>
      <c r="W90" t="str">
        <f>IF(周转筐出入库明细!$C91="","",周转筐出入库明细!$C91)</f>
        <v/>
      </c>
      <c r="X90">
        <f t="shared" si="57"/>
        <v>0</v>
      </c>
      <c r="Y90">
        <f t="shared" si="58"/>
        <v>12</v>
      </c>
      <c r="AA90" t="str">
        <f t="shared" si="59"/>
        <v/>
      </c>
      <c r="AC90" t="str">
        <f>IF(客户自备加工筐明细!$C90="","",客户自备加工筐明细!$C90)</f>
        <v/>
      </c>
      <c r="AD90">
        <f t="shared" si="60"/>
        <v>0</v>
      </c>
      <c r="AE90">
        <f t="shared" si="61"/>
        <v>1</v>
      </c>
      <c r="AI90" t="str">
        <f>IF(客户自备加工筐明细!$E90="","",客户自备加工筐明细!$E90)</f>
        <v/>
      </c>
      <c r="AJ90">
        <f t="shared" si="62"/>
        <v>0</v>
      </c>
      <c r="AK90">
        <f t="shared" si="63"/>
        <v>1</v>
      </c>
      <c r="AM90" t="str">
        <f>IFERROR(INDEX($AI$4:$AI$1503,MATCH(87,$AK$4:$AK$1503,0)),"")</f>
        <v/>
      </c>
      <c r="AO90" t="str">
        <f>IF(次果筐明细!$D90="","",次果筐明细!$D90)</f>
        <v/>
      </c>
      <c r="AP90">
        <f t="shared" si="64"/>
        <v>0</v>
      </c>
      <c r="AQ90">
        <f t="shared" si="65"/>
        <v>1</v>
      </c>
      <c r="AU90" t="str">
        <f>IF(次果筐明细!$C90="","",次果筐明细!$C90)</f>
        <v/>
      </c>
      <c r="AV90">
        <f t="shared" si="66"/>
        <v>0</v>
      </c>
      <c r="AW90">
        <f t="shared" si="67"/>
        <v>1</v>
      </c>
      <c r="AY90" t="str">
        <f t="shared" si="68"/>
        <v/>
      </c>
      <c r="BA90" t="str">
        <f>IF(对接源_01水果筐数!$B91="","",对接源_01水果筐数!$B91)</f>
        <v/>
      </c>
      <c r="BB90">
        <f t="shared" si="69"/>
        <v>0</v>
      </c>
      <c r="BC90">
        <f t="shared" si="70"/>
        <v>14</v>
      </c>
      <c r="BE90" t="str">
        <f t="shared" si="71"/>
        <v/>
      </c>
      <c r="BG90" t="str">
        <f>IF(对接源_01水果筐数!$C91="","",对接源_01水果筐数!$C91)</f>
        <v/>
      </c>
      <c r="BH90">
        <f t="shared" si="72"/>
        <v>0</v>
      </c>
      <c r="BI90">
        <f t="shared" si="73"/>
        <v>7</v>
      </c>
      <c r="BM90" t="str">
        <f t="shared" si="90"/>
        <v/>
      </c>
      <c r="BN90">
        <f t="shared" si="74"/>
        <v>0</v>
      </c>
      <c r="BO90">
        <f t="shared" si="75"/>
        <v>6</v>
      </c>
      <c r="BS90" t="str">
        <f t="shared" si="76"/>
        <v/>
      </c>
      <c r="BT90">
        <f t="shared" si="77"/>
        <v>0</v>
      </c>
      <c r="BU90">
        <f t="shared" si="78"/>
        <v>9</v>
      </c>
      <c r="BW90" t="str">
        <f t="shared" si="79"/>
        <v/>
      </c>
      <c r="BY90" t="str">
        <f t="shared" si="80"/>
        <v/>
      </c>
      <c r="BZ90">
        <f t="shared" si="81"/>
        <v>0</v>
      </c>
      <c r="CA90">
        <f t="shared" si="82"/>
        <v>12</v>
      </c>
      <c r="CC90" t="str">
        <f t="shared" si="83"/>
        <v/>
      </c>
      <c r="CI90" t="str">
        <f>IF(基础资料!$D90="","",基础资料!$D90)</f>
        <v/>
      </c>
      <c r="CJ90">
        <f t="shared" si="84"/>
        <v>0</v>
      </c>
      <c r="CK90">
        <f t="shared" si="85"/>
        <v>19</v>
      </c>
      <c r="CL90" t="str">
        <f t="shared" si="86"/>
        <v/>
      </c>
      <c r="CP90">
        <f>IF(包装物料出入库明细!$D90="",0,1)</f>
        <v>0</v>
      </c>
      <c r="CQ90">
        <f t="shared" si="87"/>
        <v>37</v>
      </c>
      <c r="CS90" t="str">
        <f>IF(OR(周转筐出入库明细!$C91="",周转筐出入库明细!$F91&lt;&gt;"采购入库"),"",周转筐出入库明细!$C91)</f>
        <v/>
      </c>
      <c r="CT90">
        <f t="shared" si="88"/>
        <v>0</v>
      </c>
      <c r="CU90">
        <f t="shared" si="89"/>
        <v>1</v>
      </c>
      <c r="CW90" t="str">
        <f>IFERROR(INDEX($CS$4:$CS$2003,MATCH(87,$CU$4:$CU$2003,0)),"")</f>
        <v/>
      </c>
    </row>
    <row r="91" spans="1:101">
      <c r="A91" t="str">
        <f>IF(包装物料出入库明细!$E91="","",包装物料出入库明细!$E91)</f>
        <v/>
      </c>
      <c r="B91">
        <f t="shared" si="50"/>
        <v>0</v>
      </c>
      <c r="C91">
        <f t="shared" si="51"/>
        <v>7</v>
      </c>
      <c r="D91" t="str">
        <f>IF(包装物料出入库明细!$E91="","",包装物料出入库明细!$F91)</f>
        <v/>
      </c>
      <c r="E91" t="str">
        <f>IF(包装物料出入库明细!$E91="","",包装物料出入库明细!$G91)</f>
        <v/>
      </c>
      <c r="K91" t="str">
        <f>IF(包装物料出入库明细!$D91="","",包装物料出入库明细!$D91)</f>
        <v/>
      </c>
      <c r="L91">
        <f t="shared" si="52"/>
        <v>0</v>
      </c>
      <c r="M91">
        <f t="shared" si="53"/>
        <v>9</v>
      </c>
      <c r="O91" t="str">
        <f t="shared" si="54"/>
        <v/>
      </c>
      <c r="Q91" t="str">
        <f>IF(周转筐出入库明细!$D92="","",周转筐出入库明细!$D92)</f>
        <v/>
      </c>
      <c r="R91">
        <f t="shared" si="55"/>
        <v>0</v>
      </c>
      <c r="S91">
        <f t="shared" si="56"/>
        <v>5</v>
      </c>
      <c r="W91" t="str">
        <f>IF(周转筐出入库明细!$C92="","",周转筐出入库明细!$C92)</f>
        <v/>
      </c>
      <c r="X91">
        <f t="shared" si="57"/>
        <v>0</v>
      </c>
      <c r="Y91">
        <f t="shared" si="58"/>
        <v>12</v>
      </c>
      <c r="AA91" t="str">
        <f t="shared" si="59"/>
        <v/>
      </c>
      <c r="AC91" t="str">
        <f>IF(客户自备加工筐明细!$C91="","",客户自备加工筐明细!$C91)</f>
        <v/>
      </c>
      <c r="AD91">
        <f t="shared" si="60"/>
        <v>0</v>
      </c>
      <c r="AE91">
        <f t="shared" si="61"/>
        <v>1</v>
      </c>
      <c r="AI91" t="str">
        <f>IF(客户自备加工筐明细!$E91="","",客户自备加工筐明细!$E91)</f>
        <v/>
      </c>
      <c r="AJ91">
        <f t="shared" si="62"/>
        <v>0</v>
      </c>
      <c r="AK91">
        <f t="shared" si="63"/>
        <v>1</v>
      </c>
      <c r="AM91" t="str">
        <f>IFERROR(INDEX($AI$4:$AI$1503,MATCH(88,$AK$4:$AK$1503,0)),"")</f>
        <v/>
      </c>
      <c r="AO91" t="str">
        <f>IF(次果筐明细!$D91="","",次果筐明细!$D91)</f>
        <v/>
      </c>
      <c r="AP91">
        <f t="shared" si="64"/>
        <v>0</v>
      </c>
      <c r="AQ91">
        <f t="shared" si="65"/>
        <v>1</v>
      </c>
      <c r="AU91" t="str">
        <f>IF(次果筐明细!$C91="","",次果筐明细!$C91)</f>
        <v/>
      </c>
      <c r="AV91">
        <f t="shared" si="66"/>
        <v>0</v>
      </c>
      <c r="AW91">
        <f t="shared" si="67"/>
        <v>1</v>
      </c>
      <c r="AY91" t="str">
        <f t="shared" si="68"/>
        <v/>
      </c>
      <c r="BA91" t="str">
        <f>IF(对接源_01水果筐数!$B92="","",对接源_01水果筐数!$B92)</f>
        <v/>
      </c>
      <c r="BB91">
        <f t="shared" si="69"/>
        <v>0</v>
      </c>
      <c r="BC91">
        <f t="shared" si="70"/>
        <v>14</v>
      </c>
      <c r="BE91" t="str">
        <f t="shared" si="71"/>
        <v/>
      </c>
      <c r="BG91" t="str">
        <f>IF(对接源_01水果筐数!$C92="","",对接源_01水果筐数!$C92)</f>
        <v/>
      </c>
      <c r="BH91">
        <f t="shared" si="72"/>
        <v>0</v>
      </c>
      <c r="BI91">
        <f t="shared" si="73"/>
        <v>7</v>
      </c>
      <c r="BM91" t="str">
        <f t="shared" si="90"/>
        <v/>
      </c>
      <c r="BN91">
        <f t="shared" si="74"/>
        <v>0</v>
      </c>
      <c r="BO91">
        <f t="shared" si="75"/>
        <v>6</v>
      </c>
      <c r="BS91" t="str">
        <f t="shared" si="76"/>
        <v/>
      </c>
      <c r="BT91">
        <f t="shared" si="77"/>
        <v>0</v>
      </c>
      <c r="BU91">
        <f t="shared" si="78"/>
        <v>9</v>
      </c>
      <c r="BW91" t="str">
        <f t="shared" si="79"/>
        <v/>
      </c>
      <c r="BY91" t="str">
        <f t="shared" si="80"/>
        <v/>
      </c>
      <c r="BZ91">
        <f t="shared" si="81"/>
        <v>0</v>
      </c>
      <c r="CA91">
        <f t="shared" si="82"/>
        <v>12</v>
      </c>
      <c r="CC91" t="str">
        <f t="shared" si="83"/>
        <v/>
      </c>
      <c r="CI91" t="str">
        <f>IF(基础资料!$D91="","",基础资料!$D91)</f>
        <v/>
      </c>
      <c r="CJ91">
        <f t="shared" si="84"/>
        <v>0</v>
      </c>
      <c r="CK91">
        <f t="shared" si="85"/>
        <v>19</v>
      </c>
      <c r="CL91" t="str">
        <f t="shared" si="86"/>
        <v/>
      </c>
      <c r="CP91">
        <f>IF(包装物料出入库明细!$D91="",0,1)</f>
        <v>0</v>
      </c>
      <c r="CQ91">
        <f t="shared" si="87"/>
        <v>37</v>
      </c>
      <c r="CS91" t="str">
        <f>IF(OR(周转筐出入库明细!$C92="",周转筐出入库明细!$F92&lt;&gt;"采购入库"),"",周转筐出入库明细!$C92)</f>
        <v/>
      </c>
      <c r="CT91">
        <f t="shared" si="88"/>
        <v>0</v>
      </c>
      <c r="CU91">
        <f t="shared" si="89"/>
        <v>1</v>
      </c>
      <c r="CW91" t="str">
        <f>IFERROR(INDEX($CS$4:$CS$2003,MATCH(88,$CU$4:$CU$2003,0)),"")</f>
        <v/>
      </c>
    </row>
    <row r="92" spans="1:101">
      <c r="A92" t="str">
        <f>IF(包装物料出入库明细!$E92="","",包装物料出入库明细!$E92)</f>
        <v/>
      </c>
      <c r="B92">
        <f t="shared" si="50"/>
        <v>0</v>
      </c>
      <c r="C92">
        <f t="shared" si="51"/>
        <v>7</v>
      </c>
      <c r="D92" t="str">
        <f>IF(包装物料出入库明细!$E92="","",包装物料出入库明细!$F92)</f>
        <v/>
      </c>
      <c r="E92" t="str">
        <f>IF(包装物料出入库明细!$E92="","",包装物料出入库明细!$G92)</f>
        <v/>
      </c>
      <c r="K92" t="str">
        <f>IF(包装物料出入库明细!$D92="","",包装物料出入库明细!$D92)</f>
        <v/>
      </c>
      <c r="L92">
        <f t="shared" si="52"/>
        <v>0</v>
      </c>
      <c r="M92">
        <f t="shared" si="53"/>
        <v>9</v>
      </c>
      <c r="O92" t="str">
        <f t="shared" si="54"/>
        <v/>
      </c>
      <c r="Q92" t="str">
        <f>IF(周转筐出入库明细!$D93="","",周转筐出入库明细!$D93)</f>
        <v/>
      </c>
      <c r="R92">
        <f t="shared" si="55"/>
        <v>0</v>
      </c>
      <c r="S92">
        <f t="shared" si="56"/>
        <v>5</v>
      </c>
      <c r="W92" t="str">
        <f>IF(周转筐出入库明细!$C93="","",周转筐出入库明细!$C93)</f>
        <v/>
      </c>
      <c r="X92">
        <f t="shared" si="57"/>
        <v>0</v>
      </c>
      <c r="Y92">
        <f t="shared" si="58"/>
        <v>12</v>
      </c>
      <c r="AA92" t="str">
        <f t="shared" si="59"/>
        <v/>
      </c>
      <c r="AC92" t="str">
        <f>IF(客户自备加工筐明细!$C92="","",客户自备加工筐明细!$C92)</f>
        <v/>
      </c>
      <c r="AD92">
        <f t="shared" si="60"/>
        <v>0</v>
      </c>
      <c r="AE92">
        <f t="shared" si="61"/>
        <v>1</v>
      </c>
      <c r="AI92" t="str">
        <f>IF(客户自备加工筐明细!$E92="","",客户自备加工筐明细!$E92)</f>
        <v/>
      </c>
      <c r="AJ92">
        <f t="shared" si="62"/>
        <v>0</v>
      </c>
      <c r="AK92">
        <f t="shared" si="63"/>
        <v>1</v>
      </c>
      <c r="AM92" t="str">
        <f>IFERROR(INDEX($AI$4:$AI$1503,MATCH(89,$AK$4:$AK$1503,0)),"")</f>
        <v/>
      </c>
      <c r="AO92" t="str">
        <f>IF(次果筐明细!$D92="","",次果筐明细!$D92)</f>
        <v/>
      </c>
      <c r="AP92">
        <f t="shared" si="64"/>
        <v>0</v>
      </c>
      <c r="AQ92">
        <f t="shared" si="65"/>
        <v>1</v>
      </c>
      <c r="AU92" t="str">
        <f>IF(次果筐明细!$C92="","",次果筐明细!$C92)</f>
        <v/>
      </c>
      <c r="AV92">
        <f t="shared" si="66"/>
        <v>0</v>
      </c>
      <c r="AW92">
        <f t="shared" si="67"/>
        <v>1</v>
      </c>
      <c r="AY92" t="str">
        <f t="shared" si="68"/>
        <v/>
      </c>
      <c r="BA92" t="str">
        <f>IF(对接源_01水果筐数!$B93="","",对接源_01水果筐数!$B93)</f>
        <v/>
      </c>
      <c r="BB92">
        <f t="shared" si="69"/>
        <v>0</v>
      </c>
      <c r="BC92">
        <f t="shared" si="70"/>
        <v>14</v>
      </c>
      <c r="BE92" t="str">
        <f t="shared" si="71"/>
        <v/>
      </c>
      <c r="BG92" t="str">
        <f>IF(对接源_01水果筐数!$C93="","",对接源_01水果筐数!$C93)</f>
        <v/>
      </c>
      <c r="BH92">
        <f t="shared" si="72"/>
        <v>0</v>
      </c>
      <c r="BI92">
        <f t="shared" si="73"/>
        <v>7</v>
      </c>
      <c r="BM92" t="str">
        <f t="shared" si="90"/>
        <v/>
      </c>
      <c r="BN92">
        <f t="shared" si="74"/>
        <v>0</v>
      </c>
      <c r="BO92">
        <f t="shared" si="75"/>
        <v>6</v>
      </c>
      <c r="BS92" t="str">
        <f t="shared" si="76"/>
        <v/>
      </c>
      <c r="BT92">
        <f t="shared" si="77"/>
        <v>0</v>
      </c>
      <c r="BU92">
        <f t="shared" si="78"/>
        <v>9</v>
      </c>
      <c r="BW92" t="str">
        <f t="shared" si="79"/>
        <v/>
      </c>
      <c r="BY92" t="str">
        <f t="shared" si="80"/>
        <v/>
      </c>
      <c r="BZ92">
        <f t="shared" si="81"/>
        <v>0</v>
      </c>
      <c r="CA92">
        <f t="shared" si="82"/>
        <v>12</v>
      </c>
      <c r="CC92" t="str">
        <f t="shared" si="83"/>
        <v/>
      </c>
      <c r="CI92" t="str">
        <f>IF(基础资料!$D92="","",基础资料!$D92)</f>
        <v/>
      </c>
      <c r="CJ92">
        <f t="shared" si="84"/>
        <v>0</v>
      </c>
      <c r="CK92">
        <f t="shared" si="85"/>
        <v>19</v>
      </c>
      <c r="CL92" t="str">
        <f t="shared" si="86"/>
        <v/>
      </c>
      <c r="CP92">
        <f>IF(包装物料出入库明细!$D92="",0,1)</f>
        <v>0</v>
      </c>
      <c r="CQ92">
        <f t="shared" si="87"/>
        <v>37</v>
      </c>
      <c r="CS92" t="str">
        <f>IF(OR(周转筐出入库明细!$C93="",周转筐出入库明细!$F93&lt;&gt;"采购入库"),"",周转筐出入库明细!$C93)</f>
        <v/>
      </c>
      <c r="CT92">
        <f t="shared" si="88"/>
        <v>0</v>
      </c>
      <c r="CU92">
        <f t="shared" si="89"/>
        <v>1</v>
      </c>
      <c r="CW92" t="str">
        <f>IFERROR(INDEX($CS$4:$CS$2003,MATCH(89,$CU$4:$CU$2003,0)),"")</f>
        <v/>
      </c>
    </row>
    <row r="93" spans="1:101">
      <c r="A93" t="str">
        <f>IF(包装物料出入库明细!$E93="","",包装物料出入库明细!$E93)</f>
        <v/>
      </c>
      <c r="B93">
        <f t="shared" si="50"/>
        <v>0</v>
      </c>
      <c r="C93">
        <f t="shared" si="51"/>
        <v>7</v>
      </c>
      <c r="D93" t="str">
        <f>IF(包装物料出入库明细!$E93="","",包装物料出入库明细!$F93)</f>
        <v/>
      </c>
      <c r="E93" t="str">
        <f>IF(包装物料出入库明细!$E93="","",包装物料出入库明细!$G93)</f>
        <v/>
      </c>
      <c r="K93" t="str">
        <f>IF(包装物料出入库明细!$D93="","",包装物料出入库明细!$D93)</f>
        <v/>
      </c>
      <c r="L93">
        <f t="shared" si="52"/>
        <v>0</v>
      </c>
      <c r="M93">
        <f t="shared" si="53"/>
        <v>9</v>
      </c>
      <c r="O93" t="str">
        <f t="shared" si="54"/>
        <v/>
      </c>
      <c r="Q93" t="str">
        <f>IF(周转筐出入库明细!$D94="","",周转筐出入库明细!$D94)</f>
        <v/>
      </c>
      <c r="R93">
        <f t="shared" si="55"/>
        <v>0</v>
      </c>
      <c r="S93">
        <f t="shared" si="56"/>
        <v>5</v>
      </c>
      <c r="W93" t="str">
        <f>IF(周转筐出入库明细!$C94="","",周转筐出入库明细!$C94)</f>
        <v/>
      </c>
      <c r="X93">
        <f t="shared" si="57"/>
        <v>0</v>
      </c>
      <c r="Y93">
        <f t="shared" si="58"/>
        <v>12</v>
      </c>
      <c r="AA93" t="str">
        <f t="shared" si="59"/>
        <v/>
      </c>
      <c r="AC93" t="str">
        <f>IF(客户自备加工筐明细!$C93="","",客户自备加工筐明细!$C93)</f>
        <v/>
      </c>
      <c r="AD93">
        <f t="shared" si="60"/>
        <v>0</v>
      </c>
      <c r="AE93">
        <f t="shared" si="61"/>
        <v>1</v>
      </c>
      <c r="AI93" t="str">
        <f>IF(客户自备加工筐明细!$E93="","",客户自备加工筐明细!$E93)</f>
        <v/>
      </c>
      <c r="AJ93">
        <f t="shared" si="62"/>
        <v>0</v>
      </c>
      <c r="AK93">
        <f t="shared" si="63"/>
        <v>1</v>
      </c>
      <c r="AM93" t="str">
        <f>IFERROR(INDEX($AI$4:$AI$1503,MATCH(90,$AK$4:$AK$1503,0)),"")</f>
        <v/>
      </c>
      <c r="AO93" t="str">
        <f>IF(次果筐明细!$D93="","",次果筐明细!$D93)</f>
        <v/>
      </c>
      <c r="AP93">
        <f t="shared" si="64"/>
        <v>0</v>
      </c>
      <c r="AQ93">
        <f t="shared" si="65"/>
        <v>1</v>
      </c>
      <c r="AU93" t="str">
        <f>IF(次果筐明细!$C93="","",次果筐明细!$C93)</f>
        <v/>
      </c>
      <c r="AV93">
        <f t="shared" si="66"/>
        <v>0</v>
      </c>
      <c r="AW93">
        <f t="shared" si="67"/>
        <v>1</v>
      </c>
      <c r="AY93" t="str">
        <f t="shared" si="68"/>
        <v/>
      </c>
      <c r="BA93" t="str">
        <f>IF(对接源_01水果筐数!$B94="","",对接源_01水果筐数!$B94)</f>
        <v/>
      </c>
      <c r="BB93">
        <f t="shared" si="69"/>
        <v>0</v>
      </c>
      <c r="BC93">
        <f t="shared" si="70"/>
        <v>14</v>
      </c>
      <c r="BE93" t="str">
        <f t="shared" si="71"/>
        <v/>
      </c>
      <c r="BG93" t="str">
        <f>IF(对接源_01水果筐数!$C94="","",对接源_01水果筐数!$C94)</f>
        <v/>
      </c>
      <c r="BH93">
        <f t="shared" si="72"/>
        <v>0</v>
      </c>
      <c r="BI93">
        <f t="shared" si="73"/>
        <v>7</v>
      </c>
      <c r="BM93" t="str">
        <f t="shared" si="90"/>
        <v/>
      </c>
      <c r="BN93">
        <f t="shared" si="74"/>
        <v>0</v>
      </c>
      <c r="BO93">
        <f t="shared" si="75"/>
        <v>6</v>
      </c>
      <c r="BS93" t="str">
        <f t="shared" si="76"/>
        <v/>
      </c>
      <c r="BT93">
        <f t="shared" si="77"/>
        <v>0</v>
      </c>
      <c r="BU93">
        <f t="shared" si="78"/>
        <v>9</v>
      </c>
      <c r="BW93" t="str">
        <f t="shared" si="79"/>
        <v/>
      </c>
      <c r="BY93" t="str">
        <f t="shared" si="80"/>
        <v/>
      </c>
      <c r="BZ93">
        <f t="shared" si="81"/>
        <v>0</v>
      </c>
      <c r="CA93">
        <f t="shared" si="82"/>
        <v>12</v>
      </c>
      <c r="CC93" t="str">
        <f t="shared" si="83"/>
        <v/>
      </c>
      <c r="CI93" t="str">
        <f>IF(基础资料!$D93="","",基础资料!$D93)</f>
        <v/>
      </c>
      <c r="CJ93">
        <f t="shared" si="84"/>
        <v>0</v>
      </c>
      <c r="CK93">
        <f t="shared" si="85"/>
        <v>19</v>
      </c>
      <c r="CL93" t="str">
        <f t="shared" si="86"/>
        <v/>
      </c>
      <c r="CP93">
        <f>IF(包装物料出入库明细!$D93="",0,1)</f>
        <v>0</v>
      </c>
      <c r="CQ93">
        <f t="shared" si="87"/>
        <v>37</v>
      </c>
      <c r="CS93" t="str">
        <f>IF(OR(周转筐出入库明细!$C94="",周转筐出入库明细!$F94&lt;&gt;"采购入库"),"",周转筐出入库明细!$C94)</f>
        <v/>
      </c>
      <c r="CT93">
        <f t="shared" si="88"/>
        <v>0</v>
      </c>
      <c r="CU93">
        <f t="shared" si="89"/>
        <v>1</v>
      </c>
      <c r="CW93" t="str">
        <f>IFERROR(INDEX($CS$4:$CS$2003,MATCH(90,$CU$4:$CU$2003,0)),"")</f>
        <v/>
      </c>
    </row>
    <row r="94" spans="1:101">
      <c r="A94" t="str">
        <f>IF(包装物料出入库明细!$E94="","",包装物料出入库明细!$E94)</f>
        <v/>
      </c>
      <c r="B94">
        <f t="shared" si="50"/>
        <v>0</v>
      </c>
      <c r="C94">
        <f t="shared" si="51"/>
        <v>7</v>
      </c>
      <c r="D94" t="str">
        <f>IF(包装物料出入库明细!$E94="","",包装物料出入库明细!$F94)</f>
        <v/>
      </c>
      <c r="E94" t="str">
        <f>IF(包装物料出入库明细!$E94="","",包装物料出入库明细!$G94)</f>
        <v/>
      </c>
      <c r="K94" t="str">
        <f>IF(包装物料出入库明细!$D94="","",包装物料出入库明细!$D94)</f>
        <v/>
      </c>
      <c r="L94">
        <f t="shared" si="52"/>
        <v>0</v>
      </c>
      <c r="M94">
        <f t="shared" si="53"/>
        <v>9</v>
      </c>
      <c r="O94" t="str">
        <f t="shared" si="54"/>
        <v/>
      </c>
      <c r="Q94" t="str">
        <f>IF(周转筐出入库明细!$D95="","",周转筐出入库明细!$D95)</f>
        <v/>
      </c>
      <c r="R94">
        <f t="shared" si="55"/>
        <v>0</v>
      </c>
      <c r="S94">
        <f t="shared" si="56"/>
        <v>5</v>
      </c>
      <c r="W94" t="str">
        <f>IF(周转筐出入库明细!$C95="","",周转筐出入库明细!$C95)</f>
        <v/>
      </c>
      <c r="X94">
        <f t="shared" si="57"/>
        <v>0</v>
      </c>
      <c r="Y94">
        <f t="shared" si="58"/>
        <v>12</v>
      </c>
      <c r="AA94" t="str">
        <f t="shared" si="59"/>
        <v/>
      </c>
      <c r="AC94" t="str">
        <f>IF(客户自备加工筐明细!$C94="","",客户自备加工筐明细!$C94)</f>
        <v/>
      </c>
      <c r="AD94">
        <f t="shared" si="60"/>
        <v>0</v>
      </c>
      <c r="AE94">
        <f t="shared" si="61"/>
        <v>1</v>
      </c>
      <c r="AI94" t="str">
        <f>IF(客户自备加工筐明细!$E94="","",客户自备加工筐明细!$E94)</f>
        <v/>
      </c>
      <c r="AJ94">
        <f t="shared" si="62"/>
        <v>0</v>
      </c>
      <c r="AK94">
        <f t="shared" si="63"/>
        <v>1</v>
      </c>
      <c r="AM94" t="str">
        <f>IFERROR(INDEX($AI$4:$AI$1503,MATCH(91,$AK$4:$AK$1503,0)),"")</f>
        <v/>
      </c>
      <c r="AO94" t="str">
        <f>IF(次果筐明细!$D94="","",次果筐明细!$D94)</f>
        <v/>
      </c>
      <c r="AP94">
        <f t="shared" si="64"/>
        <v>0</v>
      </c>
      <c r="AQ94">
        <f t="shared" si="65"/>
        <v>1</v>
      </c>
      <c r="AU94" t="str">
        <f>IF(次果筐明细!$C94="","",次果筐明细!$C94)</f>
        <v/>
      </c>
      <c r="AV94">
        <f t="shared" si="66"/>
        <v>0</v>
      </c>
      <c r="AW94">
        <f t="shared" si="67"/>
        <v>1</v>
      </c>
      <c r="AY94" t="str">
        <f t="shared" si="68"/>
        <v/>
      </c>
      <c r="BA94" t="str">
        <f>IF(对接源_01水果筐数!$B95="","",对接源_01水果筐数!$B95)</f>
        <v/>
      </c>
      <c r="BB94">
        <f t="shared" si="69"/>
        <v>0</v>
      </c>
      <c r="BC94">
        <f t="shared" si="70"/>
        <v>14</v>
      </c>
      <c r="BE94" t="str">
        <f t="shared" si="71"/>
        <v/>
      </c>
      <c r="BG94" t="str">
        <f>IF(对接源_01水果筐数!$C95="","",对接源_01水果筐数!$C95)</f>
        <v/>
      </c>
      <c r="BH94">
        <f t="shared" si="72"/>
        <v>0</v>
      </c>
      <c r="BI94">
        <f t="shared" si="73"/>
        <v>7</v>
      </c>
      <c r="BM94" t="str">
        <f t="shared" si="90"/>
        <v/>
      </c>
      <c r="BN94">
        <f t="shared" si="74"/>
        <v>0</v>
      </c>
      <c r="BO94">
        <f t="shared" si="75"/>
        <v>6</v>
      </c>
      <c r="BS94" t="str">
        <f t="shared" si="76"/>
        <v/>
      </c>
      <c r="BT94">
        <f t="shared" si="77"/>
        <v>0</v>
      </c>
      <c r="BU94">
        <f t="shared" si="78"/>
        <v>9</v>
      </c>
      <c r="BW94" t="str">
        <f t="shared" si="79"/>
        <v/>
      </c>
      <c r="BY94" t="str">
        <f t="shared" si="80"/>
        <v/>
      </c>
      <c r="BZ94">
        <f t="shared" si="81"/>
        <v>0</v>
      </c>
      <c r="CA94">
        <f t="shared" si="82"/>
        <v>12</v>
      </c>
      <c r="CC94" t="str">
        <f t="shared" si="83"/>
        <v/>
      </c>
      <c r="CI94" t="str">
        <f>IF(基础资料!$D94="","",基础资料!$D94)</f>
        <v/>
      </c>
      <c r="CJ94">
        <f t="shared" si="84"/>
        <v>0</v>
      </c>
      <c r="CK94">
        <f t="shared" si="85"/>
        <v>19</v>
      </c>
      <c r="CL94" t="str">
        <f t="shared" si="86"/>
        <v/>
      </c>
      <c r="CP94">
        <f>IF(包装物料出入库明细!$D94="",0,1)</f>
        <v>0</v>
      </c>
      <c r="CQ94">
        <f t="shared" si="87"/>
        <v>37</v>
      </c>
      <c r="CS94" t="str">
        <f>IF(OR(周转筐出入库明细!$C95="",周转筐出入库明细!$F95&lt;&gt;"采购入库"),"",周转筐出入库明细!$C95)</f>
        <v/>
      </c>
      <c r="CT94">
        <f t="shared" si="88"/>
        <v>0</v>
      </c>
      <c r="CU94">
        <f t="shared" si="89"/>
        <v>1</v>
      </c>
      <c r="CW94" t="str">
        <f>IFERROR(INDEX($CS$4:$CS$2003,MATCH(91,$CU$4:$CU$2003,0)),"")</f>
        <v/>
      </c>
    </row>
    <row r="95" spans="1:101">
      <c r="A95" t="str">
        <f>IF(包装物料出入库明细!$E95="","",包装物料出入库明细!$E95)</f>
        <v/>
      </c>
      <c r="B95">
        <f t="shared" si="50"/>
        <v>0</v>
      </c>
      <c r="C95">
        <f t="shared" si="51"/>
        <v>7</v>
      </c>
      <c r="D95" t="str">
        <f>IF(包装物料出入库明细!$E95="","",包装物料出入库明细!$F95)</f>
        <v/>
      </c>
      <c r="E95" t="str">
        <f>IF(包装物料出入库明细!$E95="","",包装物料出入库明细!$G95)</f>
        <v/>
      </c>
      <c r="K95" t="str">
        <f>IF(包装物料出入库明细!$D95="","",包装物料出入库明细!$D95)</f>
        <v/>
      </c>
      <c r="L95">
        <f t="shared" si="52"/>
        <v>0</v>
      </c>
      <c r="M95">
        <f t="shared" si="53"/>
        <v>9</v>
      </c>
      <c r="O95" t="str">
        <f t="shared" si="54"/>
        <v/>
      </c>
      <c r="Q95" t="str">
        <f>IF(周转筐出入库明细!$D96="","",周转筐出入库明细!$D96)</f>
        <v/>
      </c>
      <c r="R95">
        <f t="shared" si="55"/>
        <v>0</v>
      </c>
      <c r="S95">
        <f t="shared" si="56"/>
        <v>5</v>
      </c>
      <c r="W95" t="str">
        <f>IF(周转筐出入库明细!$C96="","",周转筐出入库明细!$C96)</f>
        <v/>
      </c>
      <c r="X95">
        <f t="shared" si="57"/>
        <v>0</v>
      </c>
      <c r="Y95">
        <f t="shared" si="58"/>
        <v>12</v>
      </c>
      <c r="AA95" t="str">
        <f t="shared" si="59"/>
        <v/>
      </c>
      <c r="AC95" t="str">
        <f>IF(客户自备加工筐明细!$C95="","",客户自备加工筐明细!$C95)</f>
        <v/>
      </c>
      <c r="AD95">
        <f t="shared" si="60"/>
        <v>0</v>
      </c>
      <c r="AE95">
        <f t="shared" si="61"/>
        <v>1</v>
      </c>
      <c r="AI95" t="str">
        <f>IF(客户自备加工筐明细!$E95="","",客户自备加工筐明细!$E95)</f>
        <v/>
      </c>
      <c r="AJ95">
        <f t="shared" si="62"/>
        <v>0</v>
      </c>
      <c r="AK95">
        <f t="shared" si="63"/>
        <v>1</v>
      </c>
      <c r="AM95" t="str">
        <f>IFERROR(INDEX($AI$4:$AI$1503,MATCH(92,$AK$4:$AK$1503,0)),"")</f>
        <v/>
      </c>
      <c r="AO95" t="str">
        <f>IF(次果筐明细!$D95="","",次果筐明细!$D95)</f>
        <v/>
      </c>
      <c r="AP95">
        <f t="shared" si="64"/>
        <v>0</v>
      </c>
      <c r="AQ95">
        <f t="shared" si="65"/>
        <v>1</v>
      </c>
      <c r="AU95" t="str">
        <f>IF(次果筐明细!$C95="","",次果筐明细!$C95)</f>
        <v/>
      </c>
      <c r="AV95">
        <f t="shared" si="66"/>
        <v>0</v>
      </c>
      <c r="AW95">
        <f t="shared" si="67"/>
        <v>1</v>
      </c>
      <c r="AY95" t="str">
        <f t="shared" si="68"/>
        <v/>
      </c>
      <c r="BA95" t="str">
        <f>IF(对接源_01水果筐数!$B96="","",对接源_01水果筐数!$B96)</f>
        <v/>
      </c>
      <c r="BB95">
        <f t="shared" si="69"/>
        <v>0</v>
      </c>
      <c r="BC95">
        <f t="shared" si="70"/>
        <v>14</v>
      </c>
      <c r="BE95" t="str">
        <f t="shared" si="71"/>
        <v/>
      </c>
      <c r="BG95" t="str">
        <f>IF(对接源_01水果筐数!$C96="","",对接源_01水果筐数!$C96)</f>
        <v/>
      </c>
      <c r="BH95">
        <f t="shared" si="72"/>
        <v>0</v>
      </c>
      <c r="BI95">
        <f t="shared" si="73"/>
        <v>7</v>
      </c>
      <c r="BM95" t="str">
        <f t="shared" si="90"/>
        <v/>
      </c>
      <c r="BN95">
        <f t="shared" si="74"/>
        <v>0</v>
      </c>
      <c r="BO95">
        <f t="shared" si="75"/>
        <v>6</v>
      </c>
      <c r="BS95" t="str">
        <f t="shared" si="76"/>
        <v/>
      </c>
      <c r="BT95">
        <f t="shared" si="77"/>
        <v>0</v>
      </c>
      <c r="BU95">
        <f t="shared" si="78"/>
        <v>9</v>
      </c>
      <c r="BW95" t="str">
        <f t="shared" si="79"/>
        <v/>
      </c>
      <c r="BY95" t="str">
        <f t="shared" si="80"/>
        <v/>
      </c>
      <c r="BZ95">
        <f t="shared" si="81"/>
        <v>0</v>
      </c>
      <c r="CA95">
        <f t="shared" si="82"/>
        <v>12</v>
      </c>
      <c r="CC95" t="str">
        <f t="shared" si="83"/>
        <v/>
      </c>
      <c r="CI95" t="str">
        <f>IF(基础资料!$D95="","",基础资料!$D95)</f>
        <v/>
      </c>
      <c r="CJ95">
        <f t="shared" si="84"/>
        <v>0</v>
      </c>
      <c r="CK95">
        <f t="shared" si="85"/>
        <v>19</v>
      </c>
      <c r="CL95" t="str">
        <f t="shared" si="86"/>
        <v/>
      </c>
      <c r="CP95">
        <f>IF(包装物料出入库明细!$D95="",0,1)</f>
        <v>0</v>
      </c>
      <c r="CQ95">
        <f t="shared" si="87"/>
        <v>37</v>
      </c>
      <c r="CS95" t="str">
        <f>IF(OR(周转筐出入库明细!$C96="",周转筐出入库明细!$F96&lt;&gt;"采购入库"),"",周转筐出入库明细!$C96)</f>
        <v/>
      </c>
      <c r="CT95">
        <f t="shared" si="88"/>
        <v>0</v>
      </c>
      <c r="CU95">
        <f t="shared" si="89"/>
        <v>1</v>
      </c>
      <c r="CW95" t="str">
        <f>IFERROR(INDEX($CS$4:$CS$2003,MATCH(92,$CU$4:$CU$2003,0)),"")</f>
        <v/>
      </c>
    </row>
    <row r="96" spans="1:101">
      <c r="A96" t="str">
        <f>IF(包装物料出入库明细!$E96="","",包装物料出入库明细!$E96)</f>
        <v/>
      </c>
      <c r="B96">
        <f t="shared" si="50"/>
        <v>0</v>
      </c>
      <c r="C96">
        <f t="shared" si="51"/>
        <v>7</v>
      </c>
      <c r="D96" t="str">
        <f>IF(包装物料出入库明细!$E96="","",包装物料出入库明细!$F96)</f>
        <v/>
      </c>
      <c r="E96" t="str">
        <f>IF(包装物料出入库明细!$E96="","",包装物料出入库明细!$G96)</f>
        <v/>
      </c>
      <c r="K96" t="str">
        <f>IF(包装物料出入库明细!$D96="","",包装物料出入库明细!$D96)</f>
        <v/>
      </c>
      <c r="L96">
        <f t="shared" si="52"/>
        <v>0</v>
      </c>
      <c r="M96">
        <f t="shared" si="53"/>
        <v>9</v>
      </c>
      <c r="O96" t="str">
        <f t="shared" si="54"/>
        <v/>
      </c>
      <c r="Q96" t="str">
        <f>IF(周转筐出入库明细!$D97="","",周转筐出入库明细!$D97)</f>
        <v/>
      </c>
      <c r="R96">
        <f t="shared" si="55"/>
        <v>0</v>
      </c>
      <c r="S96">
        <f t="shared" si="56"/>
        <v>5</v>
      </c>
      <c r="W96" t="str">
        <f>IF(周转筐出入库明细!$C97="","",周转筐出入库明细!$C97)</f>
        <v/>
      </c>
      <c r="X96">
        <f t="shared" si="57"/>
        <v>0</v>
      </c>
      <c r="Y96">
        <f t="shared" si="58"/>
        <v>12</v>
      </c>
      <c r="AA96" t="str">
        <f t="shared" si="59"/>
        <v/>
      </c>
      <c r="AC96" t="str">
        <f>IF(客户自备加工筐明细!$C96="","",客户自备加工筐明细!$C96)</f>
        <v/>
      </c>
      <c r="AD96">
        <f t="shared" si="60"/>
        <v>0</v>
      </c>
      <c r="AE96">
        <f t="shared" si="61"/>
        <v>1</v>
      </c>
      <c r="AI96" t="str">
        <f>IF(客户自备加工筐明细!$E96="","",客户自备加工筐明细!$E96)</f>
        <v/>
      </c>
      <c r="AJ96">
        <f t="shared" si="62"/>
        <v>0</v>
      </c>
      <c r="AK96">
        <f t="shared" si="63"/>
        <v>1</v>
      </c>
      <c r="AM96" t="str">
        <f>IFERROR(INDEX($AI$4:$AI$1503,MATCH(93,$AK$4:$AK$1503,0)),"")</f>
        <v/>
      </c>
      <c r="AO96" t="str">
        <f>IF(次果筐明细!$D96="","",次果筐明细!$D96)</f>
        <v/>
      </c>
      <c r="AP96">
        <f t="shared" si="64"/>
        <v>0</v>
      </c>
      <c r="AQ96">
        <f t="shared" si="65"/>
        <v>1</v>
      </c>
      <c r="AU96" t="str">
        <f>IF(次果筐明细!$C96="","",次果筐明细!$C96)</f>
        <v/>
      </c>
      <c r="AV96">
        <f t="shared" si="66"/>
        <v>0</v>
      </c>
      <c r="AW96">
        <f t="shared" si="67"/>
        <v>1</v>
      </c>
      <c r="AY96" t="str">
        <f t="shared" si="68"/>
        <v/>
      </c>
      <c r="BA96" t="str">
        <f>IF(对接源_01水果筐数!$B97="","",对接源_01水果筐数!$B97)</f>
        <v/>
      </c>
      <c r="BB96">
        <f t="shared" si="69"/>
        <v>0</v>
      </c>
      <c r="BC96">
        <f t="shared" si="70"/>
        <v>14</v>
      </c>
      <c r="BE96" t="str">
        <f t="shared" si="71"/>
        <v/>
      </c>
      <c r="BG96" t="str">
        <f>IF(对接源_01水果筐数!$C97="","",对接源_01水果筐数!$C97)</f>
        <v/>
      </c>
      <c r="BH96">
        <f t="shared" si="72"/>
        <v>0</v>
      </c>
      <c r="BI96">
        <f t="shared" si="73"/>
        <v>7</v>
      </c>
      <c r="BM96" t="str">
        <f t="shared" si="90"/>
        <v/>
      </c>
      <c r="BN96">
        <f t="shared" si="74"/>
        <v>0</v>
      </c>
      <c r="BO96">
        <f t="shared" si="75"/>
        <v>6</v>
      </c>
      <c r="BS96" t="str">
        <f t="shared" si="76"/>
        <v/>
      </c>
      <c r="BT96">
        <f t="shared" si="77"/>
        <v>0</v>
      </c>
      <c r="BU96">
        <f t="shared" si="78"/>
        <v>9</v>
      </c>
      <c r="BW96" t="str">
        <f t="shared" si="79"/>
        <v/>
      </c>
      <c r="BY96" t="str">
        <f t="shared" si="80"/>
        <v/>
      </c>
      <c r="BZ96">
        <f t="shared" si="81"/>
        <v>0</v>
      </c>
      <c r="CA96">
        <f t="shared" si="82"/>
        <v>12</v>
      </c>
      <c r="CC96" t="str">
        <f t="shared" si="83"/>
        <v/>
      </c>
      <c r="CI96" t="str">
        <f>IF(基础资料!$D96="","",基础资料!$D96)</f>
        <v/>
      </c>
      <c r="CJ96">
        <f t="shared" si="84"/>
        <v>0</v>
      </c>
      <c r="CK96">
        <f t="shared" si="85"/>
        <v>19</v>
      </c>
      <c r="CL96" t="str">
        <f t="shared" si="86"/>
        <v/>
      </c>
      <c r="CP96">
        <f>IF(包装物料出入库明细!$D96="",0,1)</f>
        <v>0</v>
      </c>
      <c r="CQ96">
        <f t="shared" si="87"/>
        <v>37</v>
      </c>
      <c r="CS96" t="str">
        <f>IF(OR(周转筐出入库明细!$C97="",周转筐出入库明细!$F97&lt;&gt;"采购入库"),"",周转筐出入库明细!$C97)</f>
        <v/>
      </c>
      <c r="CT96">
        <f t="shared" si="88"/>
        <v>0</v>
      </c>
      <c r="CU96">
        <f t="shared" si="89"/>
        <v>1</v>
      </c>
      <c r="CW96" t="str">
        <f>IFERROR(INDEX($CS$4:$CS$2003,MATCH(93,$CU$4:$CU$2003,0)),"")</f>
        <v/>
      </c>
    </row>
    <row r="97" spans="1:101">
      <c r="A97" t="str">
        <f>IF(包装物料出入库明细!$E97="","",包装物料出入库明细!$E97)</f>
        <v/>
      </c>
      <c r="B97">
        <f t="shared" si="50"/>
        <v>0</v>
      </c>
      <c r="C97">
        <f t="shared" si="51"/>
        <v>7</v>
      </c>
      <c r="D97" t="str">
        <f>IF(包装物料出入库明细!$E97="","",包装物料出入库明细!$F97)</f>
        <v/>
      </c>
      <c r="E97" t="str">
        <f>IF(包装物料出入库明细!$E97="","",包装物料出入库明细!$G97)</f>
        <v/>
      </c>
      <c r="K97" t="str">
        <f>IF(包装物料出入库明细!$D97="","",包装物料出入库明细!$D97)</f>
        <v/>
      </c>
      <c r="L97">
        <f t="shared" si="52"/>
        <v>0</v>
      </c>
      <c r="M97">
        <f t="shared" si="53"/>
        <v>9</v>
      </c>
      <c r="O97" t="str">
        <f t="shared" si="54"/>
        <v/>
      </c>
      <c r="Q97" t="str">
        <f>IF(周转筐出入库明细!$D98="","",周转筐出入库明细!$D98)</f>
        <v/>
      </c>
      <c r="R97">
        <f t="shared" si="55"/>
        <v>0</v>
      </c>
      <c r="S97">
        <f t="shared" si="56"/>
        <v>5</v>
      </c>
      <c r="W97" t="str">
        <f>IF(周转筐出入库明细!$C98="","",周转筐出入库明细!$C98)</f>
        <v/>
      </c>
      <c r="X97">
        <f t="shared" si="57"/>
        <v>0</v>
      </c>
      <c r="Y97">
        <f t="shared" si="58"/>
        <v>12</v>
      </c>
      <c r="AA97" t="str">
        <f t="shared" si="59"/>
        <v/>
      </c>
      <c r="AC97" t="str">
        <f>IF(客户自备加工筐明细!$C97="","",客户自备加工筐明细!$C97)</f>
        <v/>
      </c>
      <c r="AD97">
        <f t="shared" si="60"/>
        <v>0</v>
      </c>
      <c r="AE97">
        <f t="shared" si="61"/>
        <v>1</v>
      </c>
      <c r="AI97" t="str">
        <f>IF(客户自备加工筐明细!$E97="","",客户自备加工筐明细!$E97)</f>
        <v/>
      </c>
      <c r="AJ97">
        <f t="shared" si="62"/>
        <v>0</v>
      </c>
      <c r="AK97">
        <f t="shared" si="63"/>
        <v>1</v>
      </c>
      <c r="AM97" t="str">
        <f>IFERROR(INDEX($AI$4:$AI$1503,MATCH(94,$AK$4:$AK$1503,0)),"")</f>
        <v/>
      </c>
      <c r="AO97" t="str">
        <f>IF(次果筐明细!$D97="","",次果筐明细!$D97)</f>
        <v/>
      </c>
      <c r="AP97">
        <f t="shared" si="64"/>
        <v>0</v>
      </c>
      <c r="AQ97">
        <f t="shared" si="65"/>
        <v>1</v>
      </c>
      <c r="AU97" t="str">
        <f>IF(次果筐明细!$C97="","",次果筐明细!$C97)</f>
        <v/>
      </c>
      <c r="AV97">
        <f t="shared" si="66"/>
        <v>0</v>
      </c>
      <c r="AW97">
        <f t="shared" si="67"/>
        <v>1</v>
      </c>
      <c r="AY97" t="str">
        <f t="shared" si="68"/>
        <v/>
      </c>
      <c r="BA97" t="str">
        <f>IF(对接源_01水果筐数!$B98="","",对接源_01水果筐数!$B98)</f>
        <v/>
      </c>
      <c r="BB97">
        <f t="shared" si="69"/>
        <v>0</v>
      </c>
      <c r="BC97">
        <f t="shared" si="70"/>
        <v>14</v>
      </c>
      <c r="BE97" t="str">
        <f t="shared" si="71"/>
        <v/>
      </c>
      <c r="BG97" t="str">
        <f>IF(对接源_01水果筐数!$C98="","",对接源_01水果筐数!$C98)</f>
        <v/>
      </c>
      <c r="BH97">
        <f t="shared" si="72"/>
        <v>0</v>
      </c>
      <c r="BI97">
        <f t="shared" si="73"/>
        <v>7</v>
      </c>
      <c r="BM97" t="str">
        <f t="shared" si="90"/>
        <v/>
      </c>
      <c r="BN97">
        <f t="shared" si="74"/>
        <v>0</v>
      </c>
      <c r="BO97">
        <f t="shared" si="75"/>
        <v>6</v>
      </c>
      <c r="BS97" t="str">
        <f t="shared" si="76"/>
        <v/>
      </c>
      <c r="BT97">
        <f t="shared" si="77"/>
        <v>0</v>
      </c>
      <c r="BU97">
        <f t="shared" si="78"/>
        <v>9</v>
      </c>
      <c r="BW97" t="str">
        <f t="shared" si="79"/>
        <v/>
      </c>
      <c r="BY97" t="str">
        <f t="shared" si="80"/>
        <v/>
      </c>
      <c r="BZ97">
        <f t="shared" si="81"/>
        <v>0</v>
      </c>
      <c r="CA97">
        <f t="shared" si="82"/>
        <v>12</v>
      </c>
      <c r="CC97" t="str">
        <f t="shared" si="83"/>
        <v/>
      </c>
      <c r="CI97" t="str">
        <f>IF(基础资料!$D97="","",基础资料!$D97)</f>
        <v/>
      </c>
      <c r="CJ97">
        <f t="shared" si="84"/>
        <v>0</v>
      </c>
      <c r="CK97">
        <f t="shared" si="85"/>
        <v>19</v>
      </c>
      <c r="CL97" t="str">
        <f t="shared" si="86"/>
        <v/>
      </c>
      <c r="CP97">
        <f>IF(包装物料出入库明细!$D97="",0,1)</f>
        <v>0</v>
      </c>
      <c r="CQ97">
        <f t="shared" si="87"/>
        <v>37</v>
      </c>
      <c r="CS97" t="str">
        <f>IF(OR(周转筐出入库明细!$C98="",周转筐出入库明细!$F98&lt;&gt;"采购入库"),"",周转筐出入库明细!$C98)</f>
        <v/>
      </c>
      <c r="CT97">
        <f t="shared" si="88"/>
        <v>0</v>
      </c>
      <c r="CU97">
        <f t="shared" si="89"/>
        <v>1</v>
      </c>
      <c r="CW97" t="str">
        <f>IFERROR(INDEX($CS$4:$CS$2003,MATCH(94,$CU$4:$CU$2003,0)),"")</f>
        <v/>
      </c>
    </row>
    <row r="98" spans="1:101">
      <c r="A98" t="str">
        <f>IF(包装物料出入库明细!$E98="","",包装物料出入库明细!$E98)</f>
        <v/>
      </c>
      <c r="B98">
        <f t="shared" si="50"/>
        <v>0</v>
      </c>
      <c r="C98">
        <f t="shared" si="51"/>
        <v>7</v>
      </c>
      <c r="D98" t="str">
        <f>IF(包装物料出入库明细!$E98="","",包装物料出入库明细!$F98)</f>
        <v/>
      </c>
      <c r="E98" t="str">
        <f>IF(包装物料出入库明细!$E98="","",包装物料出入库明细!$G98)</f>
        <v/>
      </c>
      <c r="K98" t="str">
        <f>IF(包装物料出入库明细!$D98="","",包装物料出入库明细!$D98)</f>
        <v/>
      </c>
      <c r="L98">
        <f t="shared" si="52"/>
        <v>0</v>
      </c>
      <c r="M98">
        <f t="shared" si="53"/>
        <v>9</v>
      </c>
      <c r="O98" t="str">
        <f t="shared" si="54"/>
        <v/>
      </c>
      <c r="Q98" t="str">
        <f>IF(周转筐出入库明细!$D99="","",周转筐出入库明细!$D99)</f>
        <v/>
      </c>
      <c r="R98">
        <f t="shared" si="55"/>
        <v>0</v>
      </c>
      <c r="S98">
        <f t="shared" si="56"/>
        <v>5</v>
      </c>
      <c r="W98" t="str">
        <f>IF(周转筐出入库明细!$C99="","",周转筐出入库明细!$C99)</f>
        <v/>
      </c>
      <c r="X98">
        <f t="shared" si="57"/>
        <v>0</v>
      </c>
      <c r="Y98">
        <f t="shared" si="58"/>
        <v>12</v>
      </c>
      <c r="AA98" t="str">
        <f t="shared" si="59"/>
        <v/>
      </c>
      <c r="AC98" t="str">
        <f>IF(客户自备加工筐明细!$C98="","",客户自备加工筐明细!$C98)</f>
        <v/>
      </c>
      <c r="AD98">
        <f t="shared" si="60"/>
        <v>0</v>
      </c>
      <c r="AE98">
        <f t="shared" si="61"/>
        <v>1</v>
      </c>
      <c r="AI98" t="str">
        <f>IF(客户自备加工筐明细!$E98="","",客户自备加工筐明细!$E98)</f>
        <v/>
      </c>
      <c r="AJ98">
        <f t="shared" si="62"/>
        <v>0</v>
      </c>
      <c r="AK98">
        <f t="shared" si="63"/>
        <v>1</v>
      </c>
      <c r="AM98" t="str">
        <f>IFERROR(INDEX($AI$4:$AI$1503,MATCH(95,$AK$4:$AK$1503,0)),"")</f>
        <v/>
      </c>
      <c r="AO98" t="str">
        <f>IF(次果筐明细!$D98="","",次果筐明细!$D98)</f>
        <v/>
      </c>
      <c r="AP98">
        <f t="shared" si="64"/>
        <v>0</v>
      </c>
      <c r="AQ98">
        <f t="shared" si="65"/>
        <v>1</v>
      </c>
      <c r="AU98" t="str">
        <f>IF(次果筐明细!$C98="","",次果筐明细!$C98)</f>
        <v/>
      </c>
      <c r="AV98">
        <f t="shared" si="66"/>
        <v>0</v>
      </c>
      <c r="AW98">
        <f t="shared" si="67"/>
        <v>1</v>
      </c>
      <c r="AY98" t="str">
        <f t="shared" si="68"/>
        <v/>
      </c>
      <c r="BA98" t="str">
        <f>IF(对接源_01水果筐数!$B99="","",对接源_01水果筐数!$B99)</f>
        <v/>
      </c>
      <c r="BB98">
        <f t="shared" si="69"/>
        <v>0</v>
      </c>
      <c r="BC98">
        <f t="shared" si="70"/>
        <v>14</v>
      </c>
      <c r="BE98" t="str">
        <f t="shared" si="71"/>
        <v/>
      </c>
      <c r="BG98" t="str">
        <f>IF(对接源_01水果筐数!$C99="","",对接源_01水果筐数!$C99)</f>
        <v/>
      </c>
      <c r="BH98">
        <f t="shared" si="72"/>
        <v>0</v>
      </c>
      <c r="BI98">
        <f t="shared" si="73"/>
        <v>7</v>
      </c>
      <c r="BM98" t="str">
        <f t="shared" si="90"/>
        <v/>
      </c>
      <c r="BN98">
        <f t="shared" si="74"/>
        <v>0</v>
      </c>
      <c r="BO98">
        <f t="shared" si="75"/>
        <v>6</v>
      </c>
      <c r="BS98" t="str">
        <f t="shared" si="76"/>
        <v/>
      </c>
      <c r="BT98">
        <f t="shared" si="77"/>
        <v>0</v>
      </c>
      <c r="BU98">
        <f t="shared" si="78"/>
        <v>9</v>
      </c>
      <c r="BW98" t="str">
        <f t="shared" si="79"/>
        <v/>
      </c>
      <c r="BY98" t="str">
        <f t="shared" si="80"/>
        <v/>
      </c>
      <c r="BZ98">
        <f t="shared" si="81"/>
        <v>0</v>
      </c>
      <c r="CA98">
        <f t="shared" si="82"/>
        <v>12</v>
      </c>
      <c r="CC98" t="str">
        <f t="shared" si="83"/>
        <v/>
      </c>
      <c r="CI98" t="str">
        <f>IF(基础资料!$D98="","",基础资料!$D98)</f>
        <v/>
      </c>
      <c r="CJ98">
        <f t="shared" si="84"/>
        <v>0</v>
      </c>
      <c r="CK98">
        <f t="shared" si="85"/>
        <v>19</v>
      </c>
      <c r="CL98" t="str">
        <f t="shared" si="86"/>
        <v/>
      </c>
      <c r="CP98">
        <f>IF(包装物料出入库明细!$D98="",0,1)</f>
        <v>0</v>
      </c>
      <c r="CQ98">
        <f t="shared" si="87"/>
        <v>37</v>
      </c>
      <c r="CS98" t="str">
        <f>IF(OR(周转筐出入库明细!$C99="",周转筐出入库明细!$F99&lt;&gt;"采购入库"),"",周转筐出入库明细!$C99)</f>
        <v/>
      </c>
      <c r="CT98">
        <f t="shared" si="88"/>
        <v>0</v>
      </c>
      <c r="CU98">
        <f t="shared" si="89"/>
        <v>1</v>
      </c>
      <c r="CW98" t="str">
        <f>IFERROR(INDEX($CS$4:$CS$2003,MATCH(95,$CU$4:$CU$2003,0)),"")</f>
        <v/>
      </c>
    </row>
    <row r="99" spans="1:101">
      <c r="A99" t="str">
        <f>IF(包装物料出入库明细!$E99="","",包装物料出入库明细!$E99)</f>
        <v/>
      </c>
      <c r="B99">
        <f t="shared" si="50"/>
        <v>0</v>
      </c>
      <c r="C99">
        <f t="shared" si="51"/>
        <v>7</v>
      </c>
      <c r="D99" t="str">
        <f>IF(包装物料出入库明细!$E99="","",包装物料出入库明细!$F99)</f>
        <v/>
      </c>
      <c r="E99" t="str">
        <f>IF(包装物料出入库明细!$E99="","",包装物料出入库明细!$G99)</f>
        <v/>
      </c>
      <c r="K99" t="str">
        <f>IF(包装物料出入库明细!$D99="","",包装物料出入库明细!$D99)</f>
        <v/>
      </c>
      <c r="L99">
        <f t="shared" si="52"/>
        <v>0</v>
      </c>
      <c r="M99">
        <f t="shared" si="53"/>
        <v>9</v>
      </c>
      <c r="O99" t="str">
        <f t="shared" si="54"/>
        <v/>
      </c>
      <c r="Q99" t="str">
        <f>IF(周转筐出入库明细!$D100="","",周转筐出入库明细!$D100)</f>
        <v/>
      </c>
      <c r="R99">
        <f t="shared" si="55"/>
        <v>0</v>
      </c>
      <c r="S99">
        <f t="shared" si="56"/>
        <v>5</v>
      </c>
      <c r="W99" t="str">
        <f>IF(周转筐出入库明细!$C100="","",周转筐出入库明细!$C100)</f>
        <v/>
      </c>
      <c r="X99">
        <f t="shared" si="57"/>
        <v>0</v>
      </c>
      <c r="Y99">
        <f t="shared" si="58"/>
        <v>12</v>
      </c>
      <c r="AA99" t="str">
        <f t="shared" si="59"/>
        <v/>
      </c>
      <c r="AC99" t="str">
        <f>IF(客户自备加工筐明细!$C99="","",客户自备加工筐明细!$C99)</f>
        <v/>
      </c>
      <c r="AD99">
        <f t="shared" si="60"/>
        <v>0</v>
      </c>
      <c r="AE99">
        <f t="shared" si="61"/>
        <v>1</v>
      </c>
      <c r="AI99" t="str">
        <f>IF(客户自备加工筐明细!$E99="","",客户自备加工筐明细!$E99)</f>
        <v/>
      </c>
      <c r="AJ99">
        <f t="shared" si="62"/>
        <v>0</v>
      </c>
      <c r="AK99">
        <f t="shared" si="63"/>
        <v>1</v>
      </c>
      <c r="AM99" t="str">
        <f>IFERROR(INDEX($AI$4:$AI$1503,MATCH(96,$AK$4:$AK$1503,0)),"")</f>
        <v/>
      </c>
      <c r="AO99" t="str">
        <f>IF(次果筐明细!$D99="","",次果筐明细!$D99)</f>
        <v/>
      </c>
      <c r="AP99">
        <f t="shared" si="64"/>
        <v>0</v>
      </c>
      <c r="AQ99">
        <f t="shared" si="65"/>
        <v>1</v>
      </c>
      <c r="AU99" t="str">
        <f>IF(次果筐明细!$C99="","",次果筐明细!$C99)</f>
        <v/>
      </c>
      <c r="AV99">
        <f t="shared" si="66"/>
        <v>0</v>
      </c>
      <c r="AW99">
        <f t="shared" si="67"/>
        <v>1</v>
      </c>
      <c r="AY99" t="str">
        <f t="shared" si="68"/>
        <v/>
      </c>
      <c r="BA99" t="str">
        <f>IF(对接源_01水果筐数!$B100="","",对接源_01水果筐数!$B100)</f>
        <v/>
      </c>
      <c r="BB99">
        <f t="shared" si="69"/>
        <v>0</v>
      </c>
      <c r="BC99">
        <f t="shared" si="70"/>
        <v>14</v>
      </c>
      <c r="BE99" t="str">
        <f t="shared" si="71"/>
        <v/>
      </c>
      <c r="BG99" t="str">
        <f>IF(对接源_01水果筐数!$C100="","",对接源_01水果筐数!$C100)</f>
        <v/>
      </c>
      <c r="BH99">
        <f t="shared" si="72"/>
        <v>0</v>
      </c>
      <c r="BI99">
        <f t="shared" si="73"/>
        <v>7</v>
      </c>
      <c r="BM99" t="str">
        <f t="shared" si="90"/>
        <v/>
      </c>
      <c r="BN99">
        <f t="shared" si="74"/>
        <v>0</v>
      </c>
      <c r="BO99">
        <f t="shared" si="75"/>
        <v>6</v>
      </c>
      <c r="BS99" t="str">
        <f t="shared" si="76"/>
        <v/>
      </c>
      <c r="BT99">
        <f t="shared" si="77"/>
        <v>0</v>
      </c>
      <c r="BU99">
        <f t="shared" si="78"/>
        <v>9</v>
      </c>
      <c r="BW99" t="str">
        <f t="shared" si="79"/>
        <v/>
      </c>
      <c r="BY99" t="str">
        <f t="shared" si="80"/>
        <v/>
      </c>
      <c r="BZ99">
        <f t="shared" si="81"/>
        <v>0</v>
      </c>
      <c r="CA99">
        <f t="shared" si="82"/>
        <v>12</v>
      </c>
      <c r="CC99" t="str">
        <f t="shared" si="83"/>
        <v/>
      </c>
      <c r="CI99" t="str">
        <f>IF(基础资料!$D99="","",基础资料!$D99)</f>
        <v/>
      </c>
      <c r="CJ99">
        <f t="shared" si="84"/>
        <v>0</v>
      </c>
      <c r="CK99">
        <f t="shared" si="85"/>
        <v>19</v>
      </c>
      <c r="CL99" t="str">
        <f t="shared" si="86"/>
        <v/>
      </c>
      <c r="CP99">
        <f>IF(包装物料出入库明细!$D99="",0,1)</f>
        <v>0</v>
      </c>
      <c r="CQ99">
        <f t="shared" si="87"/>
        <v>37</v>
      </c>
      <c r="CS99" t="str">
        <f>IF(OR(周转筐出入库明细!$C100="",周转筐出入库明细!$F100&lt;&gt;"采购入库"),"",周转筐出入库明细!$C100)</f>
        <v/>
      </c>
      <c r="CT99">
        <f t="shared" si="88"/>
        <v>0</v>
      </c>
      <c r="CU99">
        <f t="shared" si="89"/>
        <v>1</v>
      </c>
      <c r="CW99" t="str">
        <f>IFERROR(INDEX($CS$4:$CS$2003,MATCH(96,$CU$4:$CU$2003,0)),"")</f>
        <v/>
      </c>
    </row>
    <row r="100" spans="1:101">
      <c r="A100" t="str">
        <f>IF(包装物料出入库明细!$E100="","",包装物料出入库明细!$E100)</f>
        <v/>
      </c>
      <c r="B100">
        <f t="shared" si="50"/>
        <v>0</v>
      </c>
      <c r="C100">
        <f t="shared" si="51"/>
        <v>7</v>
      </c>
      <c r="D100" t="str">
        <f>IF(包装物料出入库明细!$E100="","",包装物料出入库明细!$F100)</f>
        <v/>
      </c>
      <c r="E100" t="str">
        <f>IF(包装物料出入库明细!$E100="","",包装物料出入库明细!$G100)</f>
        <v/>
      </c>
      <c r="K100" t="str">
        <f>IF(包装物料出入库明细!$D100="","",包装物料出入库明细!$D100)</f>
        <v/>
      </c>
      <c r="L100">
        <f t="shared" si="52"/>
        <v>0</v>
      </c>
      <c r="M100">
        <f t="shared" si="53"/>
        <v>9</v>
      </c>
      <c r="O100" t="str">
        <f t="shared" si="54"/>
        <v/>
      </c>
      <c r="Q100" t="str">
        <f>IF(周转筐出入库明细!$D101="","",周转筐出入库明细!$D101)</f>
        <v/>
      </c>
      <c r="R100">
        <f t="shared" si="55"/>
        <v>0</v>
      </c>
      <c r="S100">
        <f t="shared" si="56"/>
        <v>5</v>
      </c>
      <c r="W100" t="str">
        <f>IF(周转筐出入库明细!$C101="","",周转筐出入库明细!$C101)</f>
        <v/>
      </c>
      <c r="X100">
        <f t="shared" si="57"/>
        <v>0</v>
      </c>
      <c r="Y100">
        <f t="shared" si="58"/>
        <v>12</v>
      </c>
      <c r="AA100" t="str">
        <f t="shared" si="59"/>
        <v/>
      </c>
      <c r="AC100" t="str">
        <f>IF(客户自备加工筐明细!$C100="","",客户自备加工筐明细!$C100)</f>
        <v/>
      </c>
      <c r="AD100">
        <f t="shared" si="60"/>
        <v>0</v>
      </c>
      <c r="AE100">
        <f t="shared" si="61"/>
        <v>1</v>
      </c>
      <c r="AI100" t="str">
        <f>IF(客户自备加工筐明细!$E100="","",客户自备加工筐明细!$E100)</f>
        <v/>
      </c>
      <c r="AJ100">
        <f t="shared" si="62"/>
        <v>0</v>
      </c>
      <c r="AK100">
        <f t="shared" si="63"/>
        <v>1</v>
      </c>
      <c r="AM100" t="str">
        <f>IFERROR(INDEX($AI$4:$AI$1503,MATCH(97,$AK$4:$AK$1503,0)),"")</f>
        <v/>
      </c>
      <c r="AO100" t="str">
        <f>IF(次果筐明细!$D100="","",次果筐明细!$D100)</f>
        <v/>
      </c>
      <c r="AP100">
        <f t="shared" si="64"/>
        <v>0</v>
      </c>
      <c r="AQ100">
        <f t="shared" si="65"/>
        <v>1</v>
      </c>
      <c r="AU100" t="str">
        <f>IF(次果筐明细!$C100="","",次果筐明细!$C100)</f>
        <v/>
      </c>
      <c r="AV100">
        <f t="shared" si="66"/>
        <v>0</v>
      </c>
      <c r="AW100">
        <f t="shared" si="67"/>
        <v>1</v>
      </c>
      <c r="AY100" t="str">
        <f t="shared" si="68"/>
        <v/>
      </c>
      <c r="BA100" t="str">
        <f>IF(对接源_01水果筐数!$B101="","",对接源_01水果筐数!$B101)</f>
        <v/>
      </c>
      <c r="BB100">
        <f t="shared" si="69"/>
        <v>0</v>
      </c>
      <c r="BC100">
        <f t="shared" si="70"/>
        <v>14</v>
      </c>
      <c r="BE100" t="str">
        <f t="shared" si="71"/>
        <v/>
      </c>
      <c r="BG100" t="str">
        <f>IF(对接源_01水果筐数!$C101="","",对接源_01水果筐数!$C101)</f>
        <v/>
      </c>
      <c r="BH100">
        <f t="shared" si="72"/>
        <v>0</v>
      </c>
      <c r="BI100">
        <f t="shared" si="73"/>
        <v>7</v>
      </c>
      <c r="BM100" t="str">
        <f t="shared" si="90"/>
        <v/>
      </c>
      <c r="BN100">
        <f t="shared" si="74"/>
        <v>0</v>
      </c>
      <c r="BO100">
        <f t="shared" si="75"/>
        <v>6</v>
      </c>
      <c r="BS100" t="str">
        <f t="shared" si="76"/>
        <v/>
      </c>
      <c r="BT100">
        <f t="shared" si="77"/>
        <v>0</v>
      </c>
      <c r="BU100">
        <f t="shared" si="78"/>
        <v>9</v>
      </c>
      <c r="BW100" t="str">
        <f t="shared" si="79"/>
        <v/>
      </c>
      <c r="BY100" t="str">
        <f t="shared" si="80"/>
        <v/>
      </c>
      <c r="BZ100">
        <f t="shared" si="81"/>
        <v>0</v>
      </c>
      <c r="CA100">
        <f t="shared" si="82"/>
        <v>12</v>
      </c>
      <c r="CC100" t="str">
        <f t="shared" si="83"/>
        <v/>
      </c>
      <c r="CI100" t="str">
        <f>IF(基础资料!$D100="","",基础资料!$D100)</f>
        <v/>
      </c>
      <c r="CJ100">
        <f t="shared" si="84"/>
        <v>0</v>
      </c>
      <c r="CK100">
        <f t="shared" si="85"/>
        <v>19</v>
      </c>
      <c r="CL100" t="str">
        <f t="shared" si="86"/>
        <v/>
      </c>
      <c r="CP100">
        <f>IF(包装物料出入库明细!$D100="",0,1)</f>
        <v>0</v>
      </c>
      <c r="CQ100">
        <f t="shared" si="87"/>
        <v>37</v>
      </c>
      <c r="CS100" t="str">
        <f>IF(OR(周转筐出入库明细!$C101="",周转筐出入库明细!$F101&lt;&gt;"采购入库"),"",周转筐出入库明细!$C101)</f>
        <v/>
      </c>
      <c r="CT100">
        <f t="shared" si="88"/>
        <v>0</v>
      </c>
      <c r="CU100">
        <f t="shared" si="89"/>
        <v>1</v>
      </c>
      <c r="CW100" t="str">
        <f>IFERROR(INDEX($CS$4:$CS$2003,MATCH(97,$CU$4:$CU$2003,0)),"")</f>
        <v/>
      </c>
    </row>
    <row r="101" spans="1:101">
      <c r="A101" t="str">
        <f>IF(包装物料出入库明细!$E101="","",包装物料出入库明细!$E101)</f>
        <v/>
      </c>
      <c r="B101">
        <f t="shared" si="50"/>
        <v>0</v>
      </c>
      <c r="C101">
        <f t="shared" si="51"/>
        <v>7</v>
      </c>
      <c r="D101" t="str">
        <f>IF(包装物料出入库明细!$E101="","",包装物料出入库明细!$F101)</f>
        <v/>
      </c>
      <c r="E101" t="str">
        <f>IF(包装物料出入库明细!$E101="","",包装物料出入库明细!$G101)</f>
        <v/>
      </c>
      <c r="K101" t="str">
        <f>IF(包装物料出入库明细!$D101="","",包装物料出入库明细!$D101)</f>
        <v/>
      </c>
      <c r="L101">
        <f t="shared" si="52"/>
        <v>0</v>
      </c>
      <c r="M101">
        <f t="shared" si="53"/>
        <v>9</v>
      </c>
      <c r="O101" t="str">
        <f t="shared" si="54"/>
        <v/>
      </c>
      <c r="Q101" t="str">
        <f>IF(周转筐出入库明细!$D102="","",周转筐出入库明细!$D102)</f>
        <v/>
      </c>
      <c r="R101">
        <f t="shared" si="55"/>
        <v>0</v>
      </c>
      <c r="S101">
        <f t="shared" si="56"/>
        <v>5</v>
      </c>
      <c r="W101" t="str">
        <f>IF(周转筐出入库明细!$C102="","",周转筐出入库明细!$C102)</f>
        <v/>
      </c>
      <c r="X101">
        <f t="shared" si="57"/>
        <v>0</v>
      </c>
      <c r="Y101">
        <f t="shared" si="58"/>
        <v>12</v>
      </c>
      <c r="AA101" t="str">
        <f t="shared" si="59"/>
        <v/>
      </c>
      <c r="AC101" t="str">
        <f>IF(客户自备加工筐明细!$C101="","",客户自备加工筐明细!$C101)</f>
        <v/>
      </c>
      <c r="AD101">
        <f t="shared" si="60"/>
        <v>0</v>
      </c>
      <c r="AE101">
        <f t="shared" si="61"/>
        <v>1</v>
      </c>
      <c r="AI101" t="str">
        <f>IF(客户自备加工筐明细!$E101="","",客户自备加工筐明细!$E101)</f>
        <v/>
      </c>
      <c r="AJ101">
        <f t="shared" si="62"/>
        <v>0</v>
      </c>
      <c r="AK101">
        <f t="shared" si="63"/>
        <v>1</v>
      </c>
      <c r="AM101" t="str">
        <f>IFERROR(INDEX($AI$4:$AI$1503,MATCH(98,$AK$4:$AK$1503,0)),"")</f>
        <v/>
      </c>
      <c r="AO101" t="str">
        <f>IF(次果筐明细!$D101="","",次果筐明细!$D101)</f>
        <v/>
      </c>
      <c r="AP101">
        <f t="shared" si="64"/>
        <v>0</v>
      </c>
      <c r="AQ101">
        <f t="shared" si="65"/>
        <v>1</v>
      </c>
      <c r="AU101" t="str">
        <f>IF(次果筐明细!$C101="","",次果筐明细!$C101)</f>
        <v/>
      </c>
      <c r="AV101">
        <f t="shared" si="66"/>
        <v>0</v>
      </c>
      <c r="AW101">
        <f t="shared" si="67"/>
        <v>1</v>
      </c>
      <c r="AY101" t="str">
        <f t="shared" si="68"/>
        <v/>
      </c>
      <c r="BA101" t="str">
        <f>IF(对接源_01水果筐数!$B102="","",对接源_01水果筐数!$B102)</f>
        <v/>
      </c>
      <c r="BB101">
        <f t="shared" si="69"/>
        <v>0</v>
      </c>
      <c r="BC101">
        <f t="shared" si="70"/>
        <v>14</v>
      </c>
      <c r="BE101" t="str">
        <f t="shared" si="71"/>
        <v/>
      </c>
      <c r="BG101" t="str">
        <f>IF(对接源_01水果筐数!$C102="","",对接源_01水果筐数!$C102)</f>
        <v/>
      </c>
      <c r="BH101">
        <f t="shared" si="72"/>
        <v>0</v>
      </c>
      <c r="BI101">
        <f t="shared" si="73"/>
        <v>7</v>
      </c>
      <c r="BM101" t="str">
        <f t="shared" si="90"/>
        <v/>
      </c>
      <c r="BN101">
        <f t="shared" si="74"/>
        <v>0</v>
      </c>
      <c r="BO101">
        <f t="shared" si="75"/>
        <v>6</v>
      </c>
      <c r="BS101" t="str">
        <f t="shared" si="76"/>
        <v/>
      </c>
      <c r="BT101">
        <f t="shared" si="77"/>
        <v>0</v>
      </c>
      <c r="BU101">
        <f t="shared" si="78"/>
        <v>9</v>
      </c>
      <c r="BW101" t="str">
        <f t="shared" si="79"/>
        <v/>
      </c>
      <c r="BY101" t="str">
        <f t="shared" si="80"/>
        <v/>
      </c>
      <c r="BZ101">
        <f t="shared" si="81"/>
        <v>0</v>
      </c>
      <c r="CA101">
        <f t="shared" si="82"/>
        <v>12</v>
      </c>
      <c r="CC101" t="str">
        <f t="shared" si="83"/>
        <v/>
      </c>
      <c r="CI101" t="str">
        <f>IF(基础资料!$D101="","",基础资料!$D101)</f>
        <v/>
      </c>
      <c r="CJ101">
        <f t="shared" si="84"/>
        <v>0</v>
      </c>
      <c r="CK101">
        <f t="shared" si="85"/>
        <v>19</v>
      </c>
      <c r="CL101" t="str">
        <f t="shared" si="86"/>
        <v/>
      </c>
      <c r="CP101">
        <f>IF(包装物料出入库明细!$D101="",0,1)</f>
        <v>0</v>
      </c>
      <c r="CQ101">
        <f t="shared" si="87"/>
        <v>37</v>
      </c>
      <c r="CS101" t="str">
        <f>IF(OR(周转筐出入库明细!$C102="",周转筐出入库明细!$F102&lt;&gt;"采购入库"),"",周转筐出入库明细!$C102)</f>
        <v/>
      </c>
      <c r="CT101">
        <f t="shared" si="88"/>
        <v>0</v>
      </c>
      <c r="CU101">
        <f t="shared" si="89"/>
        <v>1</v>
      </c>
      <c r="CW101" t="str">
        <f>IFERROR(INDEX($CS$4:$CS$2003,MATCH(98,$CU$4:$CU$2003,0)),"")</f>
        <v/>
      </c>
    </row>
    <row r="102" spans="1:101">
      <c r="A102" t="str">
        <f>IF(包装物料出入库明细!$E102="","",包装物料出入库明细!$E102)</f>
        <v/>
      </c>
      <c r="B102">
        <f t="shared" si="50"/>
        <v>0</v>
      </c>
      <c r="C102">
        <f t="shared" si="51"/>
        <v>7</v>
      </c>
      <c r="D102" t="str">
        <f>IF(包装物料出入库明细!$E102="","",包装物料出入库明细!$F102)</f>
        <v/>
      </c>
      <c r="E102" t="str">
        <f>IF(包装物料出入库明细!$E102="","",包装物料出入库明细!$G102)</f>
        <v/>
      </c>
      <c r="K102" t="str">
        <f>IF(包装物料出入库明细!$D102="","",包装物料出入库明细!$D102)</f>
        <v/>
      </c>
      <c r="L102">
        <f t="shared" si="52"/>
        <v>0</v>
      </c>
      <c r="M102">
        <f t="shared" si="53"/>
        <v>9</v>
      </c>
      <c r="O102" t="str">
        <f t="shared" si="54"/>
        <v/>
      </c>
      <c r="Q102" t="str">
        <f>IF(周转筐出入库明细!$D103="","",周转筐出入库明细!$D103)</f>
        <v/>
      </c>
      <c r="R102">
        <f t="shared" si="55"/>
        <v>0</v>
      </c>
      <c r="S102">
        <f t="shared" si="56"/>
        <v>5</v>
      </c>
      <c r="W102" t="str">
        <f>IF(周转筐出入库明细!$C103="","",周转筐出入库明细!$C103)</f>
        <v/>
      </c>
      <c r="X102">
        <f t="shared" si="57"/>
        <v>0</v>
      </c>
      <c r="Y102">
        <f t="shared" si="58"/>
        <v>12</v>
      </c>
      <c r="AA102" t="str">
        <f t="shared" si="59"/>
        <v/>
      </c>
      <c r="AC102" t="str">
        <f>IF(客户自备加工筐明细!$C102="","",客户自备加工筐明细!$C102)</f>
        <v/>
      </c>
      <c r="AD102">
        <f t="shared" si="60"/>
        <v>0</v>
      </c>
      <c r="AE102">
        <f t="shared" si="61"/>
        <v>1</v>
      </c>
      <c r="AI102" t="str">
        <f>IF(客户自备加工筐明细!$E102="","",客户自备加工筐明细!$E102)</f>
        <v/>
      </c>
      <c r="AJ102">
        <f t="shared" si="62"/>
        <v>0</v>
      </c>
      <c r="AK102">
        <f t="shared" si="63"/>
        <v>1</v>
      </c>
      <c r="AM102" t="str">
        <f>IFERROR(INDEX($AI$4:$AI$1503,MATCH(99,$AK$4:$AK$1503,0)),"")</f>
        <v/>
      </c>
      <c r="AO102" t="str">
        <f>IF(次果筐明细!$D102="","",次果筐明细!$D102)</f>
        <v/>
      </c>
      <c r="AP102">
        <f t="shared" si="64"/>
        <v>0</v>
      </c>
      <c r="AQ102">
        <f t="shared" si="65"/>
        <v>1</v>
      </c>
      <c r="AU102" t="str">
        <f>IF(次果筐明细!$C102="","",次果筐明细!$C102)</f>
        <v/>
      </c>
      <c r="AV102">
        <f t="shared" si="66"/>
        <v>0</v>
      </c>
      <c r="AW102">
        <f t="shared" si="67"/>
        <v>1</v>
      </c>
      <c r="AY102" t="str">
        <f t="shared" si="68"/>
        <v/>
      </c>
      <c r="BA102" t="str">
        <f>IF(对接源_01水果筐数!$B103="","",对接源_01水果筐数!$B103)</f>
        <v/>
      </c>
      <c r="BB102">
        <f t="shared" si="69"/>
        <v>0</v>
      </c>
      <c r="BC102">
        <f t="shared" si="70"/>
        <v>14</v>
      </c>
      <c r="BE102" t="str">
        <f t="shared" si="71"/>
        <v/>
      </c>
      <c r="BG102" t="str">
        <f>IF(对接源_01水果筐数!$C103="","",对接源_01水果筐数!$C103)</f>
        <v/>
      </c>
      <c r="BH102">
        <f t="shared" si="72"/>
        <v>0</v>
      </c>
      <c r="BI102">
        <f t="shared" si="73"/>
        <v>7</v>
      </c>
      <c r="BM102" t="str">
        <f t="shared" si="90"/>
        <v/>
      </c>
      <c r="BN102">
        <f t="shared" si="74"/>
        <v>0</v>
      </c>
      <c r="BO102">
        <f t="shared" si="75"/>
        <v>6</v>
      </c>
      <c r="BS102" t="str">
        <f t="shared" si="76"/>
        <v/>
      </c>
      <c r="BT102">
        <f t="shared" si="77"/>
        <v>0</v>
      </c>
      <c r="BU102">
        <f t="shared" si="78"/>
        <v>9</v>
      </c>
      <c r="BW102" t="str">
        <f t="shared" si="79"/>
        <v/>
      </c>
      <c r="BY102" t="str">
        <f t="shared" si="80"/>
        <v/>
      </c>
      <c r="BZ102">
        <f t="shared" si="81"/>
        <v>0</v>
      </c>
      <c r="CA102">
        <f t="shared" si="82"/>
        <v>12</v>
      </c>
      <c r="CC102" t="str">
        <f t="shared" si="83"/>
        <v/>
      </c>
      <c r="CI102" t="str">
        <f>IF(基础资料!$D102="","",基础资料!$D102)</f>
        <v/>
      </c>
      <c r="CJ102">
        <f t="shared" si="84"/>
        <v>0</v>
      </c>
      <c r="CK102">
        <f t="shared" si="85"/>
        <v>19</v>
      </c>
      <c r="CL102" t="str">
        <f t="shared" si="86"/>
        <v/>
      </c>
      <c r="CP102">
        <f>IF(包装物料出入库明细!$D102="",0,1)</f>
        <v>0</v>
      </c>
      <c r="CQ102">
        <f t="shared" si="87"/>
        <v>37</v>
      </c>
      <c r="CS102" t="str">
        <f>IF(OR(周转筐出入库明细!$C103="",周转筐出入库明细!$F103&lt;&gt;"采购入库"),"",周转筐出入库明细!$C103)</f>
        <v/>
      </c>
      <c r="CT102">
        <f t="shared" si="88"/>
        <v>0</v>
      </c>
      <c r="CU102">
        <f t="shared" si="89"/>
        <v>1</v>
      </c>
      <c r="CW102" t="str">
        <f>IFERROR(INDEX($CS$4:$CS$2003,MATCH(99,$CU$4:$CU$2003,0)),"")</f>
        <v/>
      </c>
    </row>
    <row r="103" spans="1:101">
      <c r="A103" t="str">
        <f>IF(包装物料出入库明细!$E103="","",包装物料出入库明细!$E103)</f>
        <v/>
      </c>
      <c r="B103">
        <f t="shared" si="50"/>
        <v>0</v>
      </c>
      <c r="C103">
        <f t="shared" si="51"/>
        <v>7</v>
      </c>
      <c r="D103" t="str">
        <f>IF(包装物料出入库明细!$E103="","",包装物料出入库明细!$F103)</f>
        <v/>
      </c>
      <c r="E103" t="str">
        <f>IF(包装物料出入库明细!$E103="","",包装物料出入库明细!$G103)</f>
        <v/>
      </c>
      <c r="K103" t="str">
        <f>IF(包装物料出入库明细!$D103="","",包装物料出入库明细!$D103)</f>
        <v/>
      </c>
      <c r="L103">
        <f t="shared" si="52"/>
        <v>0</v>
      </c>
      <c r="M103">
        <f t="shared" si="53"/>
        <v>9</v>
      </c>
      <c r="O103" t="str">
        <f t="shared" si="54"/>
        <v/>
      </c>
      <c r="Q103" t="str">
        <f>IF(周转筐出入库明细!$D104="","",周转筐出入库明细!$D104)</f>
        <v/>
      </c>
      <c r="R103">
        <f t="shared" si="55"/>
        <v>0</v>
      </c>
      <c r="S103">
        <f t="shared" si="56"/>
        <v>5</v>
      </c>
      <c r="W103" t="str">
        <f>IF(周转筐出入库明细!$C104="","",周转筐出入库明细!$C104)</f>
        <v/>
      </c>
      <c r="X103">
        <f t="shared" si="57"/>
        <v>0</v>
      </c>
      <c r="Y103">
        <f t="shared" si="58"/>
        <v>12</v>
      </c>
      <c r="AA103" t="str">
        <f t="shared" si="59"/>
        <v/>
      </c>
      <c r="AC103" t="str">
        <f>IF(客户自备加工筐明细!$C103="","",客户自备加工筐明细!$C103)</f>
        <v/>
      </c>
      <c r="AD103">
        <f t="shared" si="60"/>
        <v>0</v>
      </c>
      <c r="AE103">
        <f t="shared" si="61"/>
        <v>1</v>
      </c>
      <c r="AI103" t="str">
        <f>IF(客户自备加工筐明细!$E103="","",客户自备加工筐明细!$E103)</f>
        <v/>
      </c>
      <c r="AJ103">
        <f t="shared" si="62"/>
        <v>0</v>
      </c>
      <c r="AK103">
        <f t="shared" si="63"/>
        <v>1</v>
      </c>
      <c r="AM103" t="str">
        <f>IFERROR(INDEX($AI$4:$AI$1503,MATCH(100,$AK$4:$AK$1503,0)),"")</f>
        <v/>
      </c>
      <c r="AO103" t="str">
        <f>IF(次果筐明细!$D103="","",次果筐明细!$D103)</f>
        <v/>
      </c>
      <c r="AP103">
        <f t="shared" si="64"/>
        <v>0</v>
      </c>
      <c r="AQ103">
        <f t="shared" si="65"/>
        <v>1</v>
      </c>
      <c r="AU103" t="str">
        <f>IF(次果筐明细!$C103="","",次果筐明细!$C103)</f>
        <v/>
      </c>
      <c r="AV103">
        <f t="shared" si="66"/>
        <v>0</v>
      </c>
      <c r="AW103">
        <f t="shared" si="67"/>
        <v>1</v>
      </c>
      <c r="AY103" t="str">
        <f t="shared" si="68"/>
        <v/>
      </c>
      <c r="BA103" t="str">
        <f>IF(对接源_01水果筐数!$B104="","",对接源_01水果筐数!$B104)</f>
        <v/>
      </c>
      <c r="BB103">
        <f t="shared" si="69"/>
        <v>0</v>
      </c>
      <c r="BC103">
        <f t="shared" si="70"/>
        <v>14</v>
      </c>
      <c r="BE103" t="str">
        <f t="shared" si="71"/>
        <v/>
      </c>
      <c r="BG103" t="str">
        <f>IF(对接源_01水果筐数!$C104="","",对接源_01水果筐数!$C104)</f>
        <v/>
      </c>
      <c r="BH103">
        <f t="shared" si="72"/>
        <v>0</v>
      </c>
      <c r="BI103">
        <f t="shared" si="73"/>
        <v>7</v>
      </c>
      <c r="BM103" t="str">
        <f t="shared" si="90"/>
        <v/>
      </c>
      <c r="BN103">
        <f t="shared" si="74"/>
        <v>0</v>
      </c>
      <c r="BO103">
        <f t="shared" si="75"/>
        <v>6</v>
      </c>
      <c r="BS103" t="str">
        <f t="shared" si="76"/>
        <v/>
      </c>
      <c r="BT103">
        <f t="shared" si="77"/>
        <v>0</v>
      </c>
      <c r="BU103">
        <f t="shared" si="78"/>
        <v>9</v>
      </c>
      <c r="BW103" t="str">
        <f t="shared" si="79"/>
        <v/>
      </c>
      <c r="BY103" t="str">
        <f t="shared" si="80"/>
        <v/>
      </c>
      <c r="BZ103">
        <f t="shared" si="81"/>
        <v>0</v>
      </c>
      <c r="CA103">
        <f t="shared" si="82"/>
        <v>12</v>
      </c>
      <c r="CC103" t="str">
        <f t="shared" si="83"/>
        <v/>
      </c>
      <c r="CI103" t="str">
        <f>IF(基础资料!$D103="","",基础资料!$D103)</f>
        <v/>
      </c>
      <c r="CJ103">
        <f t="shared" si="84"/>
        <v>0</v>
      </c>
      <c r="CK103">
        <f t="shared" si="85"/>
        <v>19</v>
      </c>
      <c r="CL103" t="str">
        <f t="shared" si="86"/>
        <v/>
      </c>
      <c r="CP103">
        <f>IF(包装物料出入库明细!$D103="",0,1)</f>
        <v>0</v>
      </c>
      <c r="CQ103">
        <f t="shared" si="87"/>
        <v>37</v>
      </c>
      <c r="CS103" t="str">
        <f>IF(OR(周转筐出入库明细!$C104="",周转筐出入库明细!$F104&lt;&gt;"采购入库"),"",周转筐出入库明细!$C104)</f>
        <v/>
      </c>
      <c r="CT103">
        <f t="shared" si="88"/>
        <v>0</v>
      </c>
      <c r="CU103">
        <f t="shared" si="89"/>
        <v>1</v>
      </c>
      <c r="CW103" t="str">
        <f>IFERROR(INDEX($CS$4:$CS$2003,MATCH(100,$CU$4:$CU$2003,0)),"")</f>
        <v/>
      </c>
    </row>
    <row r="104" spans="1:101">
      <c r="A104" t="str">
        <f>IF(包装物料出入库明细!$E104="","",包装物料出入库明细!$E104)</f>
        <v/>
      </c>
      <c r="B104">
        <f t="shared" si="50"/>
        <v>0</v>
      </c>
      <c r="C104">
        <f t="shared" si="51"/>
        <v>7</v>
      </c>
      <c r="D104" t="str">
        <f>IF(包装物料出入库明细!$E104="","",包装物料出入库明细!$F104)</f>
        <v/>
      </c>
      <c r="E104" t="str">
        <f>IF(包装物料出入库明细!$E104="","",包装物料出入库明细!$G104)</f>
        <v/>
      </c>
      <c r="K104" t="str">
        <f>IF(包装物料出入库明细!$D104="","",包装物料出入库明细!$D104)</f>
        <v/>
      </c>
      <c r="L104">
        <f t="shared" si="52"/>
        <v>0</v>
      </c>
      <c r="M104">
        <f t="shared" si="53"/>
        <v>9</v>
      </c>
      <c r="O104" t="str">
        <f t="shared" si="54"/>
        <v/>
      </c>
      <c r="Q104" t="str">
        <f>IF(周转筐出入库明细!$D105="","",周转筐出入库明细!$D105)</f>
        <v/>
      </c>
      <c r="R104">
        <f t="shared" si="55"/>
        <v>0</v>
      </c>
      <c r="S104">
        <f t="shared" si="56"/>
        <v>5</v>
      </c>
      <c r="W104" t="str">
        <f>IF(周转筐出入库明细!$C105="","",周转筐出入库明细!$C105)</f>
        <v/>
      </c>
      <c r="X104">
        <f t="shared" si="57"/>
        <v>0</v>
      </c>
      <c r="Y104">
        <f t="shared" si="58"/>
        <v>12</v>
      </c>
      <c r="AA104" t="str">
        <f t="shared" si="59"/>
        <v/>
      </c>
      <c r="AC104" t="str">
        <f>IF(客户自备加工筐明细!$C104="","",客户自备加工筐明细!$C104)</f>
        <v/>
      </c>
      <c r="AD104">
        <f t="shared" si="60"/>
        <v>0</v>
      </c>
      <c r="AE104">
        <f t="shared" si="61"/>
        <v>1</v>
      </c>
      <c r="AI104" t="str">
        <f>IF(客户自备加工筐明细!$E104="","",客户自备加工筐明细!$E104)</f>
        <v/>
      </c>
      <c r="AJ104">
        <f t="shared" si="62"/>
        <v>0</v>
      </c>
      <c r="AK104">
        <f t="shared" si="63"/>
        <v>1</v>
      </c>
      <c r="AM104" t="str">
        <f>IFERROR(INDEX($AI$4:$AI$1503,MATCH(101,$AK$4:$AK$1503,0)),"")</f>
        <v/>
      </c>
      <c r="AO104" t="str">
        <f>IF(次果筐明细!$D104="","",次果筐明细!$D104)</f>
        <v/>
      </c>
      <c r="AP104">
        <f t="shared" si="64"/>
        <v>0</v>
      </c>
      <c r="AQ104">
        <f t="shared" si="65"/>
        <v>1</v>
      </c>
      <c r="AU104" t="str">
        <f>IF(次果筐明细!$C104="","",次果筐明细!$C104)</f>
        <v/>
      </c>
      <c r="AV104">
        <f t="shared" si="66"/>
        <v>0</v>
      </c>
      <c r="AW104">
        <f t="shared" si="67"/>
        <v>1</v>
      </c>
      <c r="AY104" t="str">
        <f t="shared" si="68"/>
        <v/>
      </c>
      <c r="BA104" t="str">
        <f>IF(对接源_01水果筐数!$B105="","",对接源_01水果筐数!$B105)</f>
        <v/>
      </c>
      <c r="BB104">
        <f t="shared" si="69"/>
        <v>0</v>
      </c>
      <c r="BC104">
        <f t="shared" si="70"/>
        <v>14</v>
      </c>
      <c r="BE104" t="str">
        <f t="shared" si="71"/>
        <v/>
      </c>
      <c r="BG104" t="str">
        <f>IF(对接源_01水果筐数!$C105="","",对接源_01水果筐数!$C105)</f>
        <v/>
      </c>
      <c r="BH104">
        <f t="shared" si="72"/>
        <v>0</v>
      </c>
      <c r="BI104">
        <f t="shared" si="73"/>
        <v>7</v>
      </c>
      <c r="BM104" t="str">
        <f t="shared" si="90"/>
        <v/>
      </c>
      <c r="BN104">
        <f t="shared" si="74"/>
        <v>0</v>
      </c>
      <c r="BO104">
        <f t="shared" si="75"/>
        <v>6</v>
      </c>
      <c r="BS104" t="str">
        <f t="shared" si="76"/>
        <v/>
      </c>
      <c r="BT104">
        <f t="shared" si="77"/>
        <v>0</v>
      </c>
      <c r="BU104">
        <f t="shared" si="78"/>
        <v>9</v>
      </c>
      <c r="BW104" t="str">
        <f t="shared" si="79"/>
        <v/>
      </c>
      <c r="BY104" t="str">
        <f t="shared" si="80"/>
        <v/>
      </c>
      <c r="BZ104">
        <f t="shared" si="81"/>
        <v>0</v>
      </c>
      <c r="CA104">
        <f t="shared" si="82"/>
        <v>12</v>
      </c>
      <c r="CC104" t="str">
        <f t="shared" si="83"/>
        <v/>
      </c>
      <c r="CI104" t="str">
        <f>IF(基础资料!$E4="","",基础资料!$E4)</f>
        <v>鑫旺塑业</v>
      </c>
      <c r="CJ104">
        <f t="shared" si="84"/>
        <v>1</v>
      </c>
      <c r="CK104">
        <f t="shared" si="85"/>
        <v>20</v>
      </c>
      <c r="CL104" t="str">
        <f t="shared" si="86"/>
        <v/>
      </c>
      <c r="CP104">
        <f>IF(包装物料出入库明细!$D104="",0,1)</f>
        <v>0</v>
      </c>
      <c r="CQ104">
        <f t="shared" si="87"/>
        <v>37</v>
      </c>
      <c r="CS104" t="str">
        <f>IF(OR(周转筐出入库明细!$C105="",周转筐出入库明细!$F105&lt;&gt;"采购入库"),"",周转筐出入库明细!$C105)</f>
        <v/>
      </c>
      <c r="CT104">
        <f t="shared" si="88"/>
        <v>0</v>
      </c>
      <c r="CU104">
        <f t="shared" si="89"/>
        <v>1</v>
      </c>
      <c r="CW104" t="str">
        <f>IFERROR(INDEX($CS$4:$CS$2003,MATCH(101,$CU$4:$CU$2003,0)),"")</f>
        <v/>
      </c>
    </row>
    <row r="105" spans="1:101">
      <c r="A105" t="str">
        <f>IF(包装物料出入库明细!$E105="","",包装物料出入库明细!$E105)</f>
        <v/>
      </c>
      <c r="B105">
        <f t="shared" si="50"/>
        <v>0</v>
      </c>
      <c r="C105">
        <f t="shared" si="51"/>
        <v>7</v>
      </c>
      <c r="D105" t="str">
        <f>IF(包装物料出入库明细!$E105="","",包装物料出入库明细!$F105)</f>
        <v/>
      </c>
      <c r="E105" t="str">
        <f>IF(包装物料出入库明细!$E105="","",包装物料出入库明细!$G105)</f>
        <v/>
      </c>
      <c r="K105" t="str">
        <f>IF(包装物料出入库明细!$D105="","",包装物料出入库明细!$D105)</f>
        <v/>
      </c>
      <c r="L105">
        <f t="shared" si="52"/>
        <v>0</v>
      </c>
      <c r="M105">
        <f t="shared" si="53"/>
        <v>9</v>
      </c>
      <c r="O105" t="str">
        <f t="shared" si="54"/>
        <v/>
      </c>
      <c r="Q105" t="str">
        <f>IF(周转筐出入库明细!$D106="","",周转筐出入库明细!$D106)</f>
        <v/>
      </c>
      <c r="R105">
        <f t="shared" si="55"/>
        <v>0</v>
      </c>
      <c r="S105">
        <f t="shared" si="56"/>
        <v>5</v>
      </c>
      <c r="W105" t="str">
        <f>IF(周转筐出入库明细!$C106="","",周转筐出入库明细!$C106)</f>
        <v/>
      </c>
      <c r="X105">
        <f t="shared" si="57"/>
        <v>0</v>
      </c>
      <c r="Y105">
        <f t="shared" si="58"/>
        <v>12</v>
      </c>
      <c r="AA105" t="str">
        <f t="shared" si="59"/>
        <v/>
      </c>
      <c r="AC105" t="str">
        <f>IF(客户自备加工筐明细!$C105="","",客户自备加工筐明细!$C105)</f>
        <v/>
      </c>
      <c r="AD105">
        <f t="shared" si="60"/>
        <v>0</v>
      </c>
      <c r="AE105">
        <f t="shared" si="61"/>
        <v>1</v>
      </c>
      <c r="AI105" t="str">
        <f>IF(客户自备加工筐明细!$E105="","",客户自备加工筐明细!$E105)</f>
        <v/>
      </c>
      <c r="AJ105">
        <f t="shared" si="62"/>
        <v>0</v>
      </c>
      <c r="AK105">
        <f t="shared" si="63"/>
        <v>1</v>
      </c>
      <c r="AM105" t="str">
        <f>IFERROR(INDEX($AI$4:$AI$1503,MATCH(102,$AK$4:$AK$1503,0)),"")</f>
        <v/>
      </c>
      <c r="AO105" t="str">
        <f>IF(次果筐明细!$D105="","",次果筐明细!$D105)</f>
        <v/>
      </c>
      <c r="AP105">
        <f t="shared" si="64"/>
        <v>0</v>
      </c>
      <c r="AQ105">
        <f t="shared" si="65"/>
        <v>1</v>
      </c>
      <c r="AU105" t="str">
        <f>IF(次果筐明细!$C105="","",次果筐明细!$C105)</f>
        <v/>
      </c>
      <c r="AV105">
        <f t="shared" si="66"/>
        <v>0</v>
      </c>
      <c r="AW105">
        <f t="shared" si="67"/>
        <v>1</v>
      </c>
      <c r="AY105" t="str">
        <f t="shared" si="68"/>
        <v/>
      </c>
      <c r="BA105" t="str">
        <f>IF(对接源_01水果筐数!$B106="","",对接源_01水果筐数!$B106)</f>
        <v/>
      </c>
      <c r="BB105">
        <f t="shared" si="69"/>
        <v>0</v>
      </c>
      <c r="BC105">
        <f t="shared" si="70"/>
        <v>14</v>
      </c>
      <c r="BE105" t="str">
        <f t="shared" si="71"/>
        <v/>
      </c>
      <c r="BG105" t="str">
        <f>IF(对接源_01水果筐数!$C106="","",对接源_01水果筐数!$C106)</f>
        <v/>
      </c>
      <c r="BH105">
        <f t="shared" si="72"/>
        <v>0</v>
      </c>
      <c r="BI105">
        <f t="shared" si="73"/>
        <v>7</v>
      </c>
      <c r="BM105" t="str">
        <f t="shared" si="90"/>
        <v/>
      </c>
      <c r="BN105">
        <f t="shared" si="74"/>
        <v>0</v>
      </c>
      <c r="BO105">
        <f t="shared" si="75"/>
        <v>6</v>
      </c>
      <c r="BS105" t="str">
        <f t="shared" si="76"/>
        <v/>
      </c>
      <c r="BT105">
        <f t="shared" si="77"/>
        <v>0</v>
      </c>
      <c r="BU105">
        <f t="shared" si="78"/>
        <v>9</v>
      </c>
      <c r="BW105" t="str">
        <f t="shared" si="79"/>
        <v/>
      </c>
      <c r="BY105" t="str">
        <f t="shared" si="80"/>
        <v/>
      </c>
      <c r="BZ105">
        <f t="shared" si="81"/>
        <v>0</v>
      </c>
      <c r="CA105">
        <f t="shared" si="82"/>
        <v>12</v>
      </c>
      <c r="CC105" t="str">
        <f t="shared" si="83"/>
        <v/>
      </c>
      <c r="CI105" t="str">
        <f>IF(基础资料!$E5="","",基础资料!$E5)</f>
        <v>华鑫塑业</v>
      </c>
      <c r="CJ105">
        <f t="shared" si="84"/>
        <v>1</v>
      </c>
      <c r="CK105">
        <f t="shared" si="85"/>
        <v>21</v>
      </c>
      <c r="CL105" t="str">
        <f t="shared" si="86"/>
        <v/>
      </c>
      <c r="CP105">
        <f>IF(包装物料出入库明细!$D105="",0,1)</f>
        <v>0</v>
      </c>
      <c r="CQ105">
        <f t="shared" si="87"/>
        <v>37</v>
      </c>
      <c r="CS105" t="str">
        <f>IF(OR(周转筐出入库明细!$C106="",周转筐出入库明细!$F106&lt;&gt;"采购入库"),"",周转筐出入库明细!$C106)</f>
        <v/>
      </c>
      <c r="CT105">
        <f t="shared" si="88"/>
        <v>0</v>
      </c>
      <c r="CU105">
        <f t="shared" si="89"/>
        <v>1</v>
      </c>
      <c r="CW105" t="str">
        <f>IFERROR(INDEX($CS$4:$CS$2003,MATCH(102,$CU$4:$CU$2003,0)),"")</f>
        <v/>
      </c>
    </row>
    <row r="106" spans="1:101">
      <c r="A106" t="str">
        <f>IF(包装物料出入库明细!$E106="","",包装物料出入库明细!$E106)</f>
        <v/>
      </c>
      <c r="B106">
        <f t="shared" si="50"/>
        <v>0</v>
      </c>
      <c r="C106">
        <f t="shared" si="51"/>
        <v>7</v>
      </c>
      <c r="D106" t="str">
        <f>IF(包装物料出入库明细!$E106="","",包装物料出入库明细!$F106)</f>
        <v/>
      </c>
      <c r="E106" t="str">
        <f>IF(包装物料出入库明细!$E106="","",包装物料出入库明细!$G106)</f>
        <v/>
      </c>
      <c r="K106" t="str">
        <f>IF(包装物料出入库明细!$D106="","",包装物料出入库明细!$D106)</f>
        <v/>
      </c>
      <c r="L106">
        <f t="shared" si="52"/>
        <v>0</v>
      </c>
      <c r="M106">
        <f t="shared" si="53"/>
        <v>9</v>
      </c>
      <c r="O106" t="str">
        <f t="shared" si="54"/>
        <v/>
      </c>
      <c r="Q106" t="str">
        <f>IF(周转筐出入库明细!$D107="","",周转筐出入库明细!$D107)</f>
        <v/>
      </c>
      <c r="R106">
        <f t="shared" si="55"/>
        <v>0</v>
      </c>
      <c r="S106">
        <f t="shared" si="56"/>
        <v>5</v>
      </c>
      <c r="W106" t="str">
        <f>IF(周转筐出入库明细!$C107="","",周转筐出入库明细!$C107)</f>
        <v/>
      </c>
      <c r="X106">
        <f t="shared" si="57"/>
        <v>0</v>
      </c>
      <c r="Y106">
        <f t="shared" si="58"/>
        <v>12</v>
      </c>
      <c r="AA106" t="str">
        <f t="shared" si="59"/>
        <v/>
      </c>
      <c r="AC106" t="str">
        <f>IF(客户自备加工筐明细!$C106="","",客户自备加工筐明细!$C106)</f>
        <v/>
      </c>
      <c r="AD106">
        <f t="shared" si="60"/>
        <v>0</v>
      </c>
      <c r="AE106">
        <f t="shared" si="61"/>
        <v>1</v>
      </c>
      <c r="AI106" t="str">
        <f>IF(客户自备加工筐明细!$E106="","",客户自备加工筐明细!$E106)</f>
        <v/>
      </c>
      <c r="AJ106">
        <f t="shared" si="62"/>
        <v>0</v>
      </c>
      <c r="AK106">
        <f t="shared" si="63"/>
        <v>1</v>
      </c>
      <c r="AM106" t="str">
        <f>IFERROR(INDEX($AI$4:$AI$1503,MATCH(103,$AK$4:$AK$1503,0)),"")</f>
        <v/>
      </c>
      <c r="AO106" t="str">
        <f>IF(次果筐明细!$D106="","",次果筐明细!$D106)</f>
        <v/>
      </c>
      <c r="AP106">
        <f t="shared" si="64"/>
        <v>0</v>
      </c>
      <c r="AQ106">
        <f t="shared" si="65"/>
        <v>1</v>
      </c>
      <c r="AU106" t="str">
        <f>IF(次果筐明细!$C106="","",次果筐明细!$C106)</f>
        <v/>
      </c>
      <c r="AV106">
        <f t="shared" si="66"/>
        <v>0</v>
      </c>
      <c r="AW106">
        <f t="shared" si="67"/>
        <v>1</v>
      </c>
      <c r="AY106" t="str">
        <f t="shared" si="68"/>
        <v/>
      </c>
      <c r="BA106" t="str">
        <f>IF(对接源_01水果筐数!$B107="","",对接源_01水果筐数!$B107)</f>
        <v/>
      </c>
      <c r="BB106">
        <f t="shared" si="69"/>
        <v>0</v>
      </c>
      <c r="BC106">
        <f t="shared" si="70"/>
        <v>14</v>
      </c>
      <c r="BE106" t="str">
        <f t="shared" si="71"/>
        <v/>
      </c>
      <c r="BG106" t="str">
        <f>IF(对接源_01水果筐数!$C107="","",对接源_01水果筐数!$C107)</f>
        <v/>
      </c>
      <c r="BH106">
        <f t="shared" si="72"/>
        <v>0</v>
      </c>
      <c r="BI106">
        <f t="shared" si="73"/>
        <v>7</v>
      </c>
      <c r="BM106" t="str">
        <f t="shared" si="90"/>
        <v/>
      </c>
      <c r="BN106">
        <f t="shared" si="74"/>
        <v>0</v>
      </c>
      <c r="BO106">
        <f t="shared" si="75"/>
        <v>6</v>
      </c>
      <c r="BS106" t="str">
        <f t="shared" si="76"/>
        <v/>
      </c>
      <c r="BT106">
        <f t="shared" si="77"/>
        <v>0</v>
      </c>
      <c r="BU106">
        <f t="shared" si="78"/>
        <v>9</v>
      </c>
      <c r="BW106" t="str">
        <f t="shared" si="79"/>
        <v/>
      </c>
      <c r="BY106" t="str">
        <f t="shared" si="80"/>
        <v/>
      </c>
      <c r="BZ106">
        <f t="shared" si="81"/>
        <v>0</v>
      </c>
      <c r="CA106">
        <f t="shared" si="82"/>
        <v>12</v>
      </c>
      <c r="CC106" t="str">
        <f t="shared" si="83"/>
        <v/>
      </c>
      <c r="CI106" t="str">
        <f>IF(基础资料!$E6="","",基础资料!$E6)</f>
        <v>全修塑业</v>
      </c>
      <c r="CJ106">
        <f t="shared" si="84"/>
        <v>1</v>
      </c>
      <c r="CK106">
        <f t="shared" si="85"/>
        <v>22</v>
      </c>
      <c r="CL106" t="str">
        <f t="shared" si="86"/>
        <v/>
      </c>
      <c r="CP106">
        <f>IF(包装物料出入库明细!$D106="",0,1)</f>
        <v>0</v>
      </c>
      <c r="CQ106">
        <f t="shared" si="87"/>
        <v>37</v>
      </c>
      <c r="CS106" t="str">
        <f>IF(OR(周转筐出入库明细!$C107="",周转筐出入库明细!$F107&lt;&gt;"采购入库"),"",周转筐出入库明细!$C107)</f>
        <v/>
      </c>
      <c r="CT106">
        <f t="shared" si="88"/>
        <v>0</v>
      </c>
      <c r="CU106">
        <f t="shared" si="89"/>
        <v>1</v>
      </c>
      <c r="CW106" t="str">
        <f>IFERROR(INDEX($CS$4:$CS$2003,MATCH(103,$CU$4:$CU$2003,0)),"")</f>
        <v/>
      </c>
    </row>
    <row r="107" spans="1:101">
      <c r="A107" t="str">
        <f>IF(包装物料出入库明细!$E107="","",包装物料出入库明细!$E107)</f>
        <v/>
      </c>
      <c r="B107">
        <f t="shared" si="50"/>
        <v>0</v>
      </c>
      <c r="C107">
        <f t="shared" si="51"/>
        <v>7</v>
      </c>
      <c r="D107" t="str">
        <f>IF(包装物料出入库明细!$E107="","",包装物料出入库明细!$F107)</f>
        <v/>
      </c>
      <c r="E107" t="str">
        <f>IF(包装物料出入库明细!$E107="","",包装物料出入库明细!$G107)</f>
        <v/>
      </c>
      <c r="K107" t="str">
        <f>IF(包装物料出入库明细!$D107="","",包装物料出入库明细!$D107)</f>
        <v/>
      </c>
      <c r="L107">
        <f t="shared" si="52"/>
        <v>0</v>
      </c>
      <c r="M107">
        <f t="shared" si="53"/>
        <v>9</v>
      </c>
      <c r="O107" t="str">
        <f t="shared" si="54"/>
        <v/>
      </c>
      <c r="Q107" t="str">
        <f>IF(周转筐出入库明细!$D108="","",周转筐出入库明细!$D108)</f>
        <v/>
      </c>
      <c r="R107">
        <f t="shared" si="55"/>
        <v>0</v>
      </c>
      <c r="S107">
        <f t="shared" si="56"/>
        <v>5</v>
      </c>
      <c r="W107" t="str">
        <f>IF(周转筐出入库明细!$C108="","",周转筐出入库明细!$C108)</f>
        <v/>
      </c>
      <c r="X107">
        <f t="shared" si="57"/>
        <v>0</v>
      </c>
      <c r="Y107">
        <f t="shared" si="58"/>
        <v>12</v>
      </c>
      <c r="AA107" t="str">
        <f t="shared" si="59"/>
        <v/>
      </c>
      <c r="AC107" t="str">
        <f>IF(客户自备加工筐明细!$C107="","",客户自备加工筐明细!$C107)</f>
        <v/>
      </c>
      <c r="AD107">
        <f t="shared" si="60"/>
        <v>0</v>
      </c>
      <c r="AE107">
        <f t="shared" si="61"/>
        <v>1</v>
      </c>
      <c r="AI107" t="str">
        <f>IF(客户自备加工筐明细!$E107="","",客户自备加工筐明细!$E107)</f>
        <v/>
      </c>
      <c r="AJ107">
        <f t="shared" si="62"/>
        <v>0</v>
      </c>
      <c r="AK107">
        <f t="shared" si="63"/>
        <v>1</v>
      </c>
      <c r="AM107" t="str">
        <f>IFERROR(INDEX($AI$4:$AI$1503,MATCH(104,$AK$4:$AK$1503,0)),"")</f>
        <v/>
      </c>
      <c r="AO107" t="str">
        <f>IF(次果筐明细!$D107="","",次果筐明细!$D107)</f>
        <v/>
      </c>
      <c r="AP107">
        <f t="shared" si="64"/>
        <v>0</v>
      </c>
      <c r="AQ107">
        <f t="shared" si="65"/>
        <v>1</v>
      </c>
      <c r="AU107" t="str">
        <f>IF(次果筐明细!$C107="","",次果筐明细!$C107)</f>
        <v/>
      </c>
      <c r="AV107">
        <f t="shared" si="66"/>
        <v>0</v>
      </c>
      <c r="AW107">
        <f t="shared" si="67"/>
        <v>1</v>
      </c>
      <c r="AY107" t="str">
        <f t="shared" si="68"/>
        <v/>
      </c>
      <c r="BA107" t="str">
        <f>IF(对接源_01水果筐数!$B108="","",对接源_01水果筐数!$B108)</f>
        <v/>
      </c>
      <c r="BB107">
        <f t="shared" si="69"/>
        <v>0</v>
      </c>
      <c r="BC107">
        <f t="shared" si="70"/>
        <v>14</v>
      </c>
      <c r="BE107" t="str">
        <f t="shared" si="71"/>
        <v/>
      </c>
      <c r="BG107" t="str">
        <f>IF(对接源_01水果筐数!$C108="","",对接源_01水果筐数!$C108)</f>
        <v/>
      </c>
      <c r="BH107">
        <f t="shared" si="72"/>
        <v>0</v>
      </c>
      <c r="BI107">
        <f t="shared" si="73"/>
        <v>7</v>
      </c>
      <c r="BM107" t="str">
        <f t="shared" si="90"/>
        <v/>
      </c>
      <c r="BN107">
        <f t="shared" si="74"/>
        <v>0</v>
      </c>
      <c r="BO107">
        <f t="shared" si="75"/>
        <v>6</v>
      </c>
      <c r="BS107" t="str">
        <f t="shared" si="76"/>
        <v/>
      </c>
      <c r="BT107">
        <f t="shared" si="77"/>
        <v>0</v>
      </c>
      <c r="BU107">
        <f t="shared" si="78"/>
        <v>9</v>
      </c>
      <c r="BW107" t="str">
        <f t="shared" si="79"/>
        <v/>
      </c>
      <c r="BY107" t="str">
        <f t="shared" si="80"/>
        <v/>
      </c>
      <c r="BZ107">
        <f t="shared" si="81"/>
        <v>0</v>
      </c>
      <c r="CA107">
        <f t="shared" si="82"/>
        <v>12</v>
      </c>
      <c r="CC107" t="str">
        <f t="shared" si="83"/>
        <v/>
      </c>
      <c r="CI107" t="str">
        <f>IF(基础资料!$E7="","",基础资料!$E7)</f>
        <v>新顺发泡网</v>
      </c>
      <c r="CJ107">
        <f t="shared" si="84"/>
        <v>1</v>
      </c>
      <c r="CK107">
        <f t="shared" si="85"/>
        <v>23</v>
      </c>
      <c r="CL107" t="str">
        <f t="shared" si="86"/>
        <v/>
      </c>
      <c r="CP107">
        <f>IF(包装物料出入库明细!$D107="",0,1)</f>
        <v>0</v>
      </c>
      <c r="CQ107">
        <f t="shared" si="87"/>
        <v>37</v>
      </c>
      <c r="CS107" t="str">
        <f>IF(OR(周转筐出入库明细!$C108="",周转筐出入库明细!$F108&lt;&gt;"采购入库"),"",周转筐出入库明细!$C108)</f>
        <v/>
      </c>
      <c r="CT107">
        <f t="shared" si="88"/>
        <v>0</v>
      </c>
      <c r="CU107">
        <f t="shared" si="89"/>
        <v>1</v>
      </c>
      <c r="CW107" t="str">
        <f>IFERROR(INDEX($CS$4:$CS$2003,MATCH(104,$CU$4:$CU$2003,0)),"")</f>
        <v/>
      </c>
    </row>
    <row r="108" spans="1:101">
      <c r="A108" t="str">
        <f>IF(包装物料出入库明细!$E108="","",包装物料出入库明细!$E108)</f>
        <v/>
      </c>
      <c r="B108">
        <f t="shared" si="50"/>
        <v>0</v>
      </c>
      <c r="C108">
        <f t="shared" si="51"/>
        <v>7</v>
      </c>
      <c r="D108" t="str">
        <f>IF(包装物料出入库明细!$E108="","",包装物料出入库明细!$F108)</f>
        <v/>
      </c>
      <c r="E108" t="str">
        <f>IF(包装物料出入库明细!$E108="","",包装物料出入库明细!$G108)</f>
        <v/>
      </c>
      <c r="K108" t="str">
        <f>IF(包装物料出入库明细!$D108="","",包装物料出入库明细!$D108)</f>
        <v/>
      </c>
      <c r="L108">
        <f t="shared" si="52"/>
        <v>0</v>
      </c>
      <c r="M108">
        <f t="shared" si="53"/>
        <v>9</v>
      </c>
      <c r="O108" t="str">
        <f t="shared" si="54"/>
        <v/>
      </c>
      <c r="Q108" t="str">
        <f>IF(周转筐出入库明细!$D109="","",周转筐出入库明细!$D109)</f>
        <v/>
      </c>
      <c r="R108">
        <f t="shared" si="55"/>
        <v>0</v>
      </c>
      <c r="S108">
        <f t="shared" si="56"/>
        <v>5</v>
      </c>
      <c r="W108" t="str">
        <f>IF(周转筐出入库明细!$C109="","",周转筐出入库明细!$C109)</f>
        <v/>
      </c>
      <c r="X108">
        <f t="shared" si="57"/>
        <v>0</v>
      </c>
      <c r="Y108">
        <f t="shared" si="58"/>
        <v>12</v>
      </c>
      <c r="AA108" t="str">
        <f t="shared" si="59"/>
        <v/>
      </c>
      <c r="AC108" t="str">
        <f>IF(客户自备加工筐明细!$C108="","",客户自备加工筐明细!$C108)</f>
        <v/>
      </c>
      <c r="AD108">
        <f t="shared" si="60"/>
        <v>0</v>
      </c>
      <c r="AE108">
        <f t="shared" si="61"/>
        <v>1</v>
      </c>
      <c r="AI108" t="str">
        <f>IF(客户自备加工筐明细!$E108="","",客户自备加工筐明细!$E108)</f>
        <v/>
      </c>
      <c r="AJ108">
        <f t="shared" si="62"/>
        <v>0</v>
      </c>
      <c r="AK108">
        <f t="shared" si="63"/>
        <v>1</v>
      </c>
      <c r="AM108" t="str">
        <f>IFERROR(INDEX($AI$4:$AI$1503,MATCH(105,$AK$4:$AK$1503,0)),"")</f>
        <v/>
      </c>
      <c r="AO108" t="str">
        <f>IF(次果筐明细!$D108="","",次果筐明细!$D108)</f>
        <v/>
      </c>
      <c r="AP108">
        <f t="shared" si="64"/>
        <v>0</v>
      </c>
      <c r="AQ108">
        <f t="shared" si="65"/>
        <v>1</v>
      </c>
      <c r="AU108" t="str">
        <f>IF(次果筐明细!$C108="","",次果筐明细!$C108)</f>
        <v/>
      </c>
      <c r="AV108">
        <f t="shared" si="66"/>
        <v>0</v>
      </c>
      <c r="AW108">
        <f t="shared" si="67"/>
        <v>1</v>
      </c>
      <c r="AY108" t="str">
        <f t="shared" si="68"/>
        <v/>
      </c>
      <c r="BA108" t="str">
        <f>IF(对接源_01水果筐数!$B109="","",对接源_01水果筐数!$B109)</f>
        <v/>
      </c>
      <c r="BB108">
        <f t="shared" si="69"/>
        <v>0</v>
      </c>
      <c r="BC108">
        <f t="shared" si="70"/>
        <v>14</v>
      </c>
      <c r="BE108" t="str">
        <f t="shared" si="71"/>
        <v/>
      </c>
      <c r="BG108" t="str">
        <f>IF(对接源_01水果筐数!$C109="","",对接源_01水果筐数!$C109)</f>
        <v/>
      </c>
      <c r="BH108">
        <f t="shared" si="72"/>
        <v>0</v>
      </c>
      <c r="BI108">
        <f t="shared" si="73"/>
        <v>7</v>
      </c>
      <c r="BM108" t="str">
        <f t="shared" si="90"/>
        <v/>
      </c>
      <c r="BN108">
        <f t="shared" si="74"/>
        <v>0</v>
      </c>
      <c r="BO108">
        <f t="shared" si="75"/>
        <v>6</v>
      </c>
      <c r="BS108" t="str">
        <f t="shared" si="76"/>
        <v/>
      </c>
      <c r="BT108">
        <f t="shared" si="77"/>
        <v>0</v>
      </c>
      <c r="BU108">
        <f t="shared" si="78"/>
        <v>9</v>
      </c>
      <c r="BW108" t="str">
        <f t="shared" si="79"/>
        <v/>
      </c>
      <c r="BY108" t="str">
        <f t="shared" si="80"/>
        <v/>
      </c>
      <c r="BZ108">
        <f t="shared" si="81"/>
        <v>0</v>
      </c>
      <c r="CA108">
        <f t="shared" si="82"/>
        <v>12</v>
      </c>
      <c r="CC108" t="str">
        <f t="shared" si="83"/>
        <v/>
      </c>
      <c r="CI108" t="str">
        <f>IF(基础资料!$E8="","",基础资料!$E8)</f>
        <v>武宁气泡垫</v>
      </c>
      <c r="CJ108">
        <f t="shared" si="84"/>
        <v>1</v>
      </c>
      <c r="CK108">
        <f t="shared" si="85"/>
        <v>24</v>
      </c>
      <c r="CL108" t="str">
        <f t="shared" si="86"/>
        <v/>
      </c>
      <c r="CP108">
        <f>IF(包装物料出入库明细!$D108="",0,1)</f>
        <v>0</v>
      </c>
      <c r="CQ108">
        <f t="shared" si="87"/>
        <v>37</v>
      </c>
      <c r="CS108" t="str">
        <f>IF(OR(周转筐出入库明细!$C109="",周转筐出入库明细!$F109&lt;&gt;"采购入库"),"",周转筐出入库明细!$C109)</f>
        <v/>
      </c>
      <c r="CT108">
        <f t="shared" si="88"/>
        <v>0</v>
      </c>
      <c r="CU108">
        <f t="shared" si="89"/>
        <v>1</v>
      </c>
      <c r="CW108" t="str">
        <f>IFERROR(INDEX($CS$4:$CS$2003,MATCH(105,$CU$4:$CU$2003,0)),"")</f>
        <v/>
      </c>
    </row>
    <row r="109" spans="1:101">
      <c r="A109" t="str">
        <f>IF(包装物料出入库明细!$E109="","",包装物料出入库明细!$E109)</f>
        <v/>
      </c>
      <c r="B109">
        <f t="shared" si="50"/>
        <v>0</v>
      </c>
      <c r="C109">
        <f t="shared" si="51"/>
        <v>7</v>
      </c>
      <c r="D109" t="str">
        <f>IF(包装物料出入库明细!$E109="","",包装物料出入库明细!$F109)</f>
        <v/>
      </c>
      <c r="E109" t="str">
        <f>IF(包装物料出入库明细!$E109="","",包装物料出入库明细!$G109)</f>
        <v/>
      </c>
      <c r="K109" t="str">
        <f>IF(包装物料出入库明细!$D109="","",包装物料出入库明细!$D109)</f>
        <v/>
      </c>
      <c r="L109">
        <f t="shared" si="52"/>
        <v>0</v>
      </c>
      <c r="M109">
        <f t="shared" si="53"/>
        <v>9</v>
      </c>
      <c r="O109" t="str">
        <f t="shared" si="54"/>
        <v/>
      </c>
      <c r="Q109" t="str">
        <f>IF(周转筐出入库明细!$D110="","",周转筐出入库明细!$D110)</f>
        <v/>
      </c>
      <c r="R109">
        <f t="shared" si="55"/>
        <v>0</v>
      </c>
      <c r="S109">
        <f t="shared" si="56"/>
        <v>5</v>
      </c>
      <c r="W109" t="str">
        <f>IF(周转筐出入库明细!$C110="","",周转筐出入库明细!$C110)</f>
        <v/>
      </c>
      <c r="X109">
        <f t="shared" si="57"/>
        <v>0</v>
      </c>
      <c r="Y109">
        <f t="shared" si="58"/>
        <v>12</v>
      </c>
      <c r="AA109" t="str">
        <f t="shared" si="59"/>
        <v/>
      </c>
      <c r="AC109" t="str">
        <f>IF(客户自备加工筐明细!$C109="","",客户自备加工筐明细!$C109)</f>
        <v/>
      </c>
      <c r="AD109">
        <f t="shared" si="60"/>
        <v>0</v>
      </c>
      <c r="AE109">
        <f t="shared" si="61"/>
        <v>1</v>
      </c>
      <c r="AI109" t="str">
        <f>IF(客户自备加工筐明细!$E109="","",客户自备加工筐明细!$E109)</f>
        <v/>
      </c>
      <c r="AJ109">
        <f t="shared" si="62"/>
        <v>0</v>
      </c>
      <c r="AK109">
        <f t="shared" si="63"/>
        <v>1</v>
      </c>
      <c r="AM109" t="str">
        <f>IFERROR(INDEX($AI$4:$AI$1503,MATCH(106,$AK$4:$AK$1503,0)),"")</f>
        <v/>
      </c>
      <c r="AO109" t="str">
        <f>IF(次果筐明细!$D109="","",次果筐明细!$D109)</f>
        <v/>
      </c>
      <c r="AP109">
        <f t="shared" si="64"/>
        <v>0</v>
      </c>
      <c r="AQ109">
        <f t="shared" si="65"/>
        <v>1</v>
      </c>
      <c r="AU109" t="str">
        <f>IF(次果筐明细!$C109="","",次果筐明细!$C109)</f>
        <v/>
      </c>
      <c r="AV109">
        <f t="shared" si="66"/>
        <v>0</v>
      </c>
      <c r="AW109">
        <f t="shared" si="67"/>
        <v>1</v>
      </c>
      <c r="AY109" t="str">
        <f t="shared" si="68"/>
        <v/>
      </c>
      <c r="BA109" t="str">
        <f>IF(对接源_01水果筐数!$B110="","",对接源_01水果筐数!$B110)</f>
        <v/>
      </c>
      <c r="BB109">
        <f t="shared" si="69"/>
        <v>0</v>
      </c>
      <c r="BC109">
        <f t="shared" si="70"/>
        <v>14</v>
      </c>
      <c r="BE109" t="str">
        <f t="shared" si="71"/>
        <v/>
      </c>
      <c r="BG109" t="str">
        <f>IF(对接源_01水果筐数!$C110="","",对接源_01水果筐数!$C110)</f>
        <v/>
      </c>
      <c r="BH109">
        <f t="shared" si="72"/>
        <v>0</v>
      </c>
      <c r="BI109">
        <f t="shared" si="73"/>
        <v>7</v>
      </c>
      <c r="BM109" t="str">
        <f t="shared" si="90"/>
        <v/>
      </c>
      <c r="BN109">
        <f t="shared" si="74"/>
        <v>0</v>
      </c>
      <c r="BO109">
        <f t="shared" si="75"/>
        <v>6</v>
      </c>
      <c r="BS109" t="str">
        <f t="shared" si="76"/>
        <v/>
      </c>
      <c r="BT109">
        <f t="shared" si="77"/>
        <v>0</v>
      </c>
      <c r="BU109">
        <f t="shared" si="78"/>
        <v>9</v>
      </c>
      <c r="BW109" t="str">
        <f t="shared" si="79"/>
        <v/>
      </c>
      <c r="BY109" t="str">
        <f t="shared" si="80"/>
        <v/>
      </c>
      <c r="BZ109">
        <f t="shared" si="81"/>
        <v>0</v>
      </c>
      <c r="CA109">
        <f t="shared" si="82"/>
        <v>12</v>
      </c>
      <c r="CC109" t="str">
        <f t="shared" si="83"/>
        <v/>
      </c>
      <c r="CI109" t="str">
        <f>IF(基础资料!$E9="","",基础资料!$E9)</f>
        <v/>
      </c>
      <c r="CJ109">
        <f t="shared" si="84"/>
        <v>0</v>
      </c>
      <c r="CK109">
        <f t="shared" si="85"/>
        <v>24</v>
      </c>
      <c r="CL109" t="str">
        <f t="shared" si="86"/>
        <v/>
      </c>
      <c r="CP109">
        <f>IF(包装物料出入库明细!$D109="",0,1)</f>
        <v>0</v>
      </c>
      <c r="CQ109">
        <f t="shared" si="87"/>
        <v>37</v>
      </c>
      <c r="CS109" t="str">
        <f>IF(OR(周转筐出入库明细!$C110="",周转筐出入库明细!$F110&lt;&gt;"采购入库"),"",周转筐出入库明细!$C110)</f>
        <v/>
      </c>
      <c r="CT109">
        <f t="shared" si="88"/>
        <v>0</v>
      </c>
      <c r="CU109">
        <f t="shared" si="89"/>
        <v>1</v>
      </c>
      <c r="CW109" t="str">
        <f>IFERROR(INDEX($CS$4:$CS$2003,MATCH(106,$CU$4:$CU$2003,0)),"")</f>
        <v/>
      </c>
    </row>
    <row r="110" spans="1:101">
      <c r="A110" t="str">
        <f>IF(包装物料出入库明细!$E110="","",包装物料出入库明细!$E110)</f>
        <v/>
      </c>
      <c r="B110">
        <f t="shared" si="50"/>
        <v>0</v>
      </c>
      <c r="C110">
        <f t="shared" si="51"/>
        <v>7</v>
      </c>
      <c r="D110" t="str">
        <f>IF(包装物料出入库明细!$E110="","",包装物料出入库明细!$F110)</f>
        <v/>
      </c>
      <c r="E110" t="str">
        <f>IF(包装物料出入库明细!$E110="","",包装物料出入库明细!$G110)</f>
        <v/>
      </c>
      <c r="K110" t="str">
        <f>IF(包装物料出入库明细!$D110="","",包装物料出入库明细!$D110)</f>
        <v/>
      </c>
      <c r="L110">
        <f t="shared" si="52"/>
        <v>0</v>
      </c>
      <c r="M110">
        <f t="shared" si="53"/>
        <v>9</v>
      </c>
      <c r="O110" t="str">
        <f t="shared" si="54"/>
        <v/>
      </c>
      <c r="Q110" t="str">
        <f>IF(周转筐出入库明细!$D111="","",周转筐出入库明细!$D111)</f>
        <v/>
      </c>
      <c r="R110">
        <f t="shared" si="55"/>
        <v>0</v>
      </c>
      <c r="S110">
        <f t="shared" si="56"/>
        <v>5</v>
      </c>
      <c r="W110" t="str">
        <f>IF(周转筐出入库明细!$C111="","",周转筐出入库明细!$C111)</f>
        <v/>
      </c>
      <c r="X110">
        <f t="shared" si="57"/>
        <v>0</v>
      </c>
      <c r="Y110">
        <f t="shared" si="58"/>
        <v>12</v>
      </c>
      <c r="AA110" t="str">
        <f t="shared" si="59"/>
        <v/>
      </c>
      <c r="AC110" t="str">
        <f>IF(客户自备加工筐明细!$C110="","",客户自备加工筐明细!$C110)</f>
        <v/>
      </c>
      <c r="AD110">
        <f t="shared" si="60"/>
        <v>0</v>
      </c>
      <c r="AE110">
        <f t="shared" si="61"/>
        <v>1</v>
      </c>
      <c r="AI110" t="str">
        <f>IF(客户自备加工筐明细!$E110="","",客户自备加工筐明细!$E110)</f>
        <v/>
      </c>
      <c r="AJ110">
        <f t="shared" si="62"/>
        <v>0</v>
      </c>
      <c r="AK110">
        <f t="shared" si="63"/>
        <v>1</v>
      </c>
      <c r="AM110" t="str">
        <f>IFERROR(INDEX($AI$4:$AI$1503,MATCH(107,$AK$4:$AK$1503,0)),"")</f>
        <v/>
      </c>
      <c r="AO110" t="str">
        <f>IF(次果筐明细!$D110="","",次果筐明细!$D110)</f>
        <v/>
      </c>
      <c r="AP110">
        <f t="shared" si="64"/>
        <v>0</v>
      </c>
      <c r="AQ110">
        <f t="shared" si="65"/>
        <v>1</v>
      </c>
      <c r="AU110" t="str">
        <f>IF(次果筐明细!$C110="","",次果筐明细!$C110)</f>
        <v/>
      </c>
      <c r="AV110">
        <f t="shared" si="66"/>
        <v>0</v>
      </c>
      <c r="AW110">
        <f t="shared" si="67"/>
        <v>1</v>
      </c>
      <c r="AY110" t="str">
        <f t="shared" si="68"/>
        <v/>
      </c>
      <c r="BA110" t="str">
        <f>IF(对接源_01水果筐数!$B111="","",对接源_01水果筐数!$B111)</f>
        <v/>
      </c>
      <c r="BB110">
        <f t="shared" si="69"/>
        <v>0</v>
      </c>
      <c r="BC110">
        <f t="shared" si="70"/>
        <v>14</v>
      </c>
      <c r="BE110" t="str">
        <f t="shared" si="71"/>
        <v/>
      </c>
      <c r="BG110" t="str">
        <f>IF(对接源_01水果筐数!$C111="","",对接源_01水果筐数!$C111)</f>
        <v/>
      </c>
      <c r="BH110">
        <f t="shared" si="72"/>
        <v>0</v>
      </c>
      <c r="BI110">
        <f t="shared" si="73"/>
        <v>7</v>
      </c>
      <c r="BM110" t="str">
        <f t="shared" si="90"/>
        <v/>
      </c>
      <c r="BN110">
        <f t="shared" si="74"/>
        <v>0</v>
      </c>
      <c r="BO110">
        <f t="shared" si="75"/>
        <v>6</v>
      </c>
      <c r="BS110" t="str">
        <f t="shared" si="76"/>
        <v/>
      </c>
      <c r="BT110">
        <f t="shared" si="77"/>
        <v>0</v>
      </c>
      <c r="BU110">
        <f t="shared" si="78"/>
        <v>9</v>
      </c>
      <c r="BW110" t="str">
        <f t="shared" si="79"/>
        <v/>
      </c>
      <c r="BY110" t="str">
        <f t="shared" si="80"/>
        <v/>
      </c>
      <c r="BZ110">
        <f t="shared" si="81"/>
        <v>0</v>
      </c>
      <c r="CA110">
        <f t="shared" si="82"/>
        <v>12</v>
      </c>
      <c r="CC110" t="str">
        <f t="shared" si="83"/>
        <v/>
      </c>
      <c r="CI110" t="str">
        <f>IF(基础资料!$E10="","",基础资料!$E10)</f>
        <v/>
      </c>
      <c r="CJ110">
        <f t="shared" si="84"/>
        <v>0</v>
      </c>
      <c r="CK110">
        <f t="shared" si="85"/>
        <v>24</v>
      </c>
      <c r="CL110" t="str">
        <f t="shared" si="86"/>
        <v/>
      </c>
      <c r="CP110">
        <f>IF(包装物料出入库明细!$D110="",0,1)</f>
        <v>0</v>
      </c>
      <c r="CQ110">
        <f t="shared" si="87"/>
        <v>37</v>
      </c>
      <c r="CS110" t="str">
        <f>IF(OR(周转筐出入库明细!$C111="",周转筐出入库明细!$F111&lt;&gt;"采购入库"),"",周转筐出入库明细!$C111)</f>
        <v/>
      </c>
      <c r="CT110">
        <f t="shared" si="88"/>
        <v>0</v>
      </c>
      <c r="CU110">
        <f t="shared" si="89"/>
        <v>1</v>
      </c>
      <c r="CW110" t="str">
        <f>IFERROR(INDEX($CS$4:$CS$2003,MATCH(107,$CU$4:$CU$2003,0)),"")</f>
        <v/>
      </c>
    </row>
    <row r="111" spans="1:101">
      <c r="A111" t="str">
        <f>IF(包装物料出入库明细!$E111="","",包装物料出入库明细!$E111)</f>
        <v/>
      </c>
      <c r="B111">
        <f t="shared" si="50"/>
        <v>0</v>
      </c>
      <c r="C111">
        <f t="shared" si="51"/>
        <v>7</v>
      </c>
      <c r="D111" t="str">
        <f>IF(包装物料出入库明细!$E111="","",包装物料出入库明细!$F111)</f>
        <v/>
      </c>
      <c r="E111" t="str">
        <f>IF(包装物料出入库明细!$E111="","",包装物料出入库明细!$G111)</f>
        <v/>
      </c>
      <c r="K111" t="str">
        <f>IF(包装物料出入库明细!$D111="","",包装物料出入库明细!$D111)</f>
        <v/>
      </c>
      <c r="L111">
        <f t="shared" si="52"/>
        <v>0</v>
      </c>
      <c r="M111">
        <f t="shared" si="53"/>
        <v>9</v>
      </c>
      <c r="O111" t="str">
        <f t="shared" si="54"/>
        <v/>
      </c>
      <c r="Q111" t="str">
        <f>IF(周转筐出入库明细!$D112="","",周转筐出入库明细!$D112)</f>
        <v/>
      </c>
      <c r="R111">
        <f t="shared" si="55"/>
        <v>0</v>
      </c>
      <c r="S111">
        <f t="shared" si="56"/>
        <v>5</v>
      </c>
      <c r="W111" t="str">
        <f>IF(周转筐出入库明细!$C112="","",周转筐出入库明细!$C112)</f>
        <v/>
      </c>
      <c r="X111">
        <f t="shared" si="57"/>
        <v>0</v>
      </c>
      <c r="Y111">
        <f t="shared" si="58"/>
        <v>12</v>
      </c>
      <c r="AA111" t="str">
        <f t="shared" si="59"/>
        <v/>
      </c>
      <c r="AC111" t="str">
        <f>IF(客户自备加工筐明细!$C111="","",客户自备加工筐明细!$C111)</f>
        <v/>
      </c>
      <c r="AD111">
        <f t="shared" si="60"/>
        <v>0</v>
      </c>
      <c r="AE111">
        <f t="shared" si="61"/>
        <v>1</v>
      </c>
      <c r="AI111" t="str">
        <f>IF(客户自备加工筐明细!$E111="","",客户自备加工筐明细!$E111)</f>
        <v/>
      </c>
      <c r="AJ111">
        <f t="shared" si="62"/>
        <v>0</v>
      </c>
      <c r="AK111">
        <f t="shared" si="63"/>
        <v>1</v>
      </c>
      <c r="AM111" t="str">
        <f>IFERROR(INDEX($AI$4:$AI$1503,MATCH(108,$AK$4:$AK$1503,0)),"")</f>
        <v/>
      </c>
      <c r="AO111" t="str">
        <f>IF(次果筐明细!$D111="","",次果筐明细!$D111)</f>
        <v/>
      </c>
      <c r="AP111">
        <f t="shared" si="64"/>
        <v>0</v>
      </c>
      <c r="AQ111">
        <f t="shared" si="65"/>
        <v>1</v>
      </c>
      <c r="AU111" t="str">
        <f>IF(次果筐明细!$C111="","",次果筐明细!$C111)</f>
        <v/>
      </c>
      <c r="AV111">
        <f t="shared" si="66"/>
        <v>0</v>
      </c>
      <c r="AW111">
        <f t="shared" si="67"/>
        <v>1</v>
      </c>
      <c r="AY111" t="str">
        <f t="shared" si="68"/>
        <v/>
      </c>
      <c r="BA111" t="str">
        <f>IF(对接源_01水果筐数!$B112="","",对接源_01水果筐数!$B112)</f>
        <v/>
      </c>
      <c r="BB111">
        <f t="shared" si="69"/>
        <v>0</v>
      </c>
      <c r="BC111">
        <f t="shared" si="70"/>
        <v>14</v>
      </c>
      <c r="BE111" t="str">
        <f t="shared" si="71"/>
        <v/>
      </c>
      <c r="BG111" t="str">
        <f>IF(对接源_01水果筐数!$C112="","",对接源_01水果筐数!$C112)</f>
        <v/>
      </c>
      <c r="BH111">
        <f t="shared" si="72"/>
        <v>0</v>
      </c>
      <c r="BI111">
        <f t="shared" si="73"/>
        <v>7</v>
      </c>
      <c r="BM111" t="str">
        <f t="shared" si="90"/>
        <v/>
      </c>
      <c r="BN111">
        <f t="shared" si="74"/>
        <v>0</v>
      </c>
      <c r="BO111">
        <f t="shared" si="75"/>
        <v>6</v>
      </c>
      <c r="BS111" t="str">
        <f t="shared" si="76"/>
        <v/>
      </c>
      <c r="BT111">
        <f t="shared" si="77"/>
        <v>0</v>
      </c>
      <c r="BU111">
        <f t="shared" si="78"/>
        <v>9</v>
      </c>
      <c r="BW111" t="str">
        <f t="shared" si="79"/>
        <v/>
      </c>
      <c r="BY111" t="str">
        <f t="shared" si="80"/>
        <v/>
      </c>
      <c r="BZ111">
        <f t="shared" si="81"/>
        <v>0</v>
      </c>
      <c r="CA111">
        <f t="shared" si="82"/>
        <v>12</v>
      </c>
      <c r="CC111" t="str">
        <f t="shared" si="83"/>
        <v/>
      </c>
      <c r="CI111" t="str">
        <f>IF(基础资料!$E11="","",基础资料!$E11)</f>
        <v/>
      </c>
      <c r="CJ111">
        <f t="shared" si="84"/>
        <v>0</v>
      </c>
      <c r="CK111">
        <f t="shared" si="85"/>
        <v>24</v>
      </c>
      <c r="CL111" t="str">
        <f t="shared" si="86"/>
        <v/>
      </c>
      <c r="CP111">
        <f>IF(包装物料出入库明细!$D111="",0,1)</f>
        <v>0</v>
      </c>
      <c r="CQ111">
        <f t="shared" si="87"/>
        <v>37</v>
      </c>
      <c r="CS111" t="str">
        <f>IF(OR(周转筐出入库明细!$C112="",周转筐出入库明细!$F112&lt;&gt;"采购入库"),"",周转筐出入库明细!$C112)</f>
        <v/>
      </c>
      <c r="CT111">
        <f t="shared" si="88"/>
        <v>0</v>
      </c>
      <c r="CU111">
        <f t="shared" si="89"/>
        <v>1</v>
      </c>
      <c r="CW111" t="str">
        <f>IFERROR(INDEX($CS$4:$CS$2003,MATCH(108,$CU$4:$CU$2003,0)),"")</f>
        <v/>
      </c>
    </row>
    <row r="112" spans="1:101">
      <c r="A112" t="str">
        <f>IF(包装物料出入库明细!$E112="","",包装物料出入库明细!$E112)</f>
        <v/>
      </c>
      <c r="B112">
        <f t="shared" si="50"/>
        <v>0</v>
      </c>
      <c r="C112">
        <f t="shared" si="51"/>
        <v>7</v>
      </c>
      <c r="D112" t="str">
        <f>IF(包装物料出入库明细!$E112="","",包装物料出入库明细!$F112)</f>
        <v/>
      </c>
      <c r="E112" t="str">
        <f>IF(包装物料出入库明细!$E112="","",包装物料出入库明细!$G112)</f>
        <v/>
      </c>
      <c r="K112" t="str">
        <f>IF(包装物料出入库明细!$D112="","",包装物料出入库明细!$D112)</f>
        <v/>
      </c>
      <c r="L112">
        <f t="shared" si="52"/>
        <v>0</v>
      </c>
      <c r="M112">
        <f t="shared" si="53"/>
        <v>9</v>
      </c>
      <c r="O112" t="str">
        <f t="shared" si="54"/>
        <v/>
      </c>
      <c r="Q112" t="str">
        <f>IF(周转筐出入库明细!$D113="","",周转筐出入库明细!$D113)</f>
        <v/>
      </c>
      <c r="R112">
        <f t="shared" si="55"/>
        <v>0</v>
      </c>
      <c r="S112">
        <f t="shared" si="56"/>
        <v>5</v>
      </c>
      <c r="W112" t="str">
        <f>IF(周转筐出入库明细!$C113="","",周转筐出入库明细!$C113)</f>
        <v/>
      </c>
      <c r="X112">
        <f t="shared" si="57"/>
        <v>0</v>
      </c>
      <c r="Y112">
        <f t="shared" si="58"/>
        <v>12</v>
      </c>
      <c r="AA112" t="str">
        <f t="shared" si="59"/>
        <v/>
      </c>
      <c r="AC112" t="str">
        <f>IF(客户自备加工筐明细!$C112="","",客户自备加工筐明细!$C112)</f>
        <v/>
      </c>
      <c r="AD112">
        <f t="shared" si="60"/>
        <v>0</v>
      </c>
      <c r="AE112">
        <f t="shared" si="61"/>
        <v>1</v>
      </c>
      <c r="AI112" t="str">
        <f>IF(客户自备加工筐明细!$E112="","",客户自备加工筐明细!$E112)</f>
        <v/>
      </c>
      <c r="AJ112">
        <f t="shared" si="62"/>
        <v>0</v>
      </c>
      <c r="AK112">
        <f t="shared" si="63"/>
        <v>1</v>
      </c>
      <c r="AM112" t="str">
        <f>IFERROR(INDEX($AI$4:$AI$1503,MATCH(109,$AK$4:$AK$1503,0)),"")</f>
        <v/>
      </c>
      <c r="AO112" t="str">
        <f>IF(次果筐明细!$D112="","",次果筐明细!$D112)</f>
        <v/>
      </c>
      <c r="AP112">
        <f t="shared" si="64"/>
        <v>0</v>
      </c>
      <c r="AQ112">
        <f t="shared" si="65"/>
        <v>1</v>
      </c>
      <c r="AU112" t="str">
        <f>IF(次果筐明细!$C112="","",次果筐明细!$C112)</f>
        <v/>
      </c>
      <c r="AV112">
        <f t="shared" si="66"/>
        <v>0</v>
      </c>
      <c r="AW112">
        <f t="shared" si="67"/>
        <v>1</v>
      </c>
      <c r="AY112" t="str">
        <f t="shared" si="68"/>
        <v/>
      </c>
      <c r="BA112" t="str">
        <f>IF(对接源_01水果筐数!$B113="","",对接源_01水果筐数!$B113)</f>
        <v/>
      </c>
      <c r="BB112">
        <f t="shared" si="69"/>
        <v>0</v>
      </c>
      <c r="BC112">
        <f t="shared" si="70"/>
        <v>14</v>
      </c>
      <c r="BE112" t="str">
        <f t="shared" si="71"/>
        <v/>
      </c>
      <c r="BG112" t="str">
        <f>IF(对接源_01水果筐数!$C113="","",对接源_01水果筐数!$C113)</f>
        <v/>
      </c>
      <c r="BH112">
        <f t="shared" si="72"/>
        <v>0</v>
      </c>
      <c r="BI112">
        <f t="shared" si="73"/>
        <v>7</v>
      </c>
      <c r="BM112" t="str">
        <f t="shared" si="90"/>
        <v/>
      </c>
      <c r="BN112">
        <f t="shared" si="74"/>
        <v>0</v>
      </c>
      <c r="BO112">
        <f t="shared" si="75"/>
        <v>6</v>
      </c>
      <c r="BS112" t="str">
        <f t="shared" si="76"/>
        <v/>
      </c>
      <c r="BT112">
        <f t="shared" si="77"/>
        <v>0</v>
      </c>
      <c r="BU112">
        <f t="shared" si="78"/>
        <v>9</v>
      </c>
      <c r="BW112" t="str">
        <f t="shared" si="79"/>
        <v/>
      </c>
      <c r="BY112" t="str">
        <f t="shared" si="80"/>
        <v/>
      </c>
      <c r="BZ112">
        <f t="shared" si="81"/>
        <v>0</v>
      </c>
      <c r="CA112">
        <f t="shared" si="82"/>
        <v>12</v>
      </c>
      <c r="CC112" t="str">
        <f t="shared" si="83"/>
        <v/>
      </c>
      <c r="CI112" t="str">
        <f>IF(基础资料!$E12="","",基础资料!$E12)</f>
        <v/>
      </c>
      <c r="CJ112">
        <f t="shared" si="84"/>
        <v>0</v>
      </c>
      <c r="CK112">
        <f t="shared" si="85"/>
        <v>24</v>
      </c>
      <c r="CL112" t="str">
        <f t="shared" si="86"/>
        <v/>
      </c>
      <c r="CP112">
        <f>IF(包装物料出入库明细!$D112="",0,1)</f>
        <v>0</v>
      </c>
      <c r="CQ112">
        <f t="shared" si="87"/>
        <v>37</v>
      </c>
      <c r="CS112" t="str">
        <f>IF(OR(周转筐出入库明细!$C113="",周转筐出入库明细!$F113&lt;&gt;"采购入库"),"",周转筐出入库明细!$C113)</f>
        <v/>
      </c>
      <c r="CT112">
        <f t="shared" si="88"/>
        <v>0</v>
      </c>
      <c r="CU112">
        <f t="shared" si="89"/>
        <v>1</v>
      </c>
      <c r="CW112" t="str">
        <f>IFERROR(INDEX($CS$4:$CS$2003,MATCH(109,$CU$4:$CU$2003,0)),"")</f>
        <v/>
      </c>
    </row>
    <row r="113" spans="1:101">
      <c r="A113" t="str">
        <f>IF(包装物料出入库明细!$E113="","",包装物料出入库明细!$E113)</f>
        <v/>
      </c>
      <c r="B113">
        <f t="shared" si="50"/>
        <v>0</v>
      </c>
      <c r="C113">
        <f t="shared" si="51"/>
        <v>7</v>
      </c>
      <c r="D113" t="str">
        <f>IF(包装物料出入库明细!$E113="","",包装物料出入库明细!$F113)</f>
        <v/>
      </c>
      <c r="E113" t="str">
        <f>IF(包装物料出入库明细!$E113="","",包装物料出入库明细!$G113)</f>
        <v/>
      </c>
      <c r="K113" t="str">
        <f>IF(包装物料出入库明细!$D113="","",包装物料出入库明细!$D113)</f>
        <v/>
      </c>
      <c r="L113">
        <f t="shared" si="52"/>
        <v>0</v>
      </c>
      <c r="M113">
        <f t="shared" si="53"/>
        <v>9</v>
      </c>
      <c r="O113" t="str">
        <f t="shared" si="54"/>
        <v/>
      </c>
      <c r="Q113" t="str">
        <f>IF(周转筐出入库明细!$D114="","",周转筐出入库明细!$D114)</f>
        <v/>
      </c>
      <c r="R113">
        <f t="shared" si="55"/>
        <v>0</v>
      </c>
      <c r="S113">
        <f t="shared" si="56"/>
        <v>5</v>
      </c>
      <c r="W113" t="str">
        <f>IF(周转筐出入库明细!$C114="","",周转筐出入库明细!$C114)</f>
        <v/>
      </c>
      <c r="X113">
        <f t="shared" si="57"/>
        <v>0</v>
      </c>
      <c r="Y113">
        <f t="shared" si="58"/>
        <v>12</v>
      </c>
      <c r="AA113" t="str">
        <f t="shared" si="59"/>
        <v/>
      </c>
      <c r="AC113" t="str">
        <f>IF(客户自备加工筐明细!$C113="","",客户自备加工筐明细!$C113)</f>
        <v/>
      </c>
      <c r="AD113">
        <f t="shared" si="60"/>
        <v>0</v>
      </c>
      <c r="AE113">
        <f t="shared" si="61"/>
        <v>1</v>
      </c>
      <c r="AI113" t="str">
        <f>IF(客户自备加工筐明细!$E113="","",客户自备加工筐明细!$E113)</f>
        <v/>
      </c>
      <c r="AJ113">
        <f t="shared" si="62"/>
        <v>0</v>
      </c>
      <c r="AK113">
        <f t="shared" si="63"/>
        <v>1</v>
      </c>
      <c r="AM113" t="str">
        <f>IFERROR(INDEX($AI$4:$AI$1503,MATCH(110,$AK$4:$AK$1503,0)),"")</f>
        <v/>
      </c>
      <c r="AO113" t="str">
        <f>IF(次果筐明细!$D113="","",次果筐明细!$D113)</f>
        <v/>
      </c>
      <c r="AP113">
        <f t="shared" si="64"/>
        <v>0</v>
      </c>
      <c r="AQ113">
        <f t="shared" si="65"/>
        <v>1</v>
      </c>
      <c r="AU113" t="str">
        <f>IF(次果筐明细!$C113="","",次果筐明细!$C113)</f>
        <v/>
      </c>
      <c r="AV113">
        <f t="shared" si="66"/>
        <v>0</v>
      </c>
      <c r="AW113">
        <f t="shared" si="67"/>
        <v>1</v>
      </c>
      <c r="AY113" t="str">
        <f t="shared" si="68"/>
        <v/>
      </c>
      <c r="BA113" t="str">
        <f>IF(对接源_01水果筐数!$B114="","",对接源_01水果筐数!$B114)</f>
        <v/>
      </c>
      <c r="BB113">
        <f t="shared" si="69"/>
        <v>0</v>
      </c>
      <c r="BC113">
        <f t="shared" si="70"/>
        <v>14</v>
      </c>
      <c r="BE113" t="str">
        <f t="shared" si="71"/>
        <v/>
      </c>
      <c r="BG113" t="str">
        <f>IF(对接源_01水果筐数!$C114="","",对接源_01水果筐数!$C114)</f>
        <v/>
      </c>
      <c r="BH113">
        <f t="shared" si="72"/>
        <v>0</v>
      </c>
      <c r="BI113">
        <f t="shared" si="73"/>
        <v>7</v>
      </c>
      <c r="BM113" t="str">
        <f t="shared" si="90"/>
        <v/>
      </c>
      <c r="BN113">
        <f t="shared" si="74"/>
        <v>0</v>
      </c>
      <c r="BO113">
        <f t="shared" si="75"/>
        <v>6</v>
      </c>
      <c r="BS113" t="str">
        <f t="shared" si="76"/>
        <v/>
      </c>
      <c r="BT113">
        <f t="shared" si="77"/>
        <v>0</v>
      </c>
      <c r="BU113">
        <f t="shared" si="78"/>
        <v>9</v>
      </c>
      <c r="BW113" t="str">
        <f t="shared" si="79"/>
        <v/>
      </c>
      <c r="BY113" t="str">
        <f t="shared" si="80"/>
        <v/>
      </c>
      <c r="BZ113">
        <f t="shared" si="81"/>
        <v>0</v>
      </c>
      <c r="CA113">
        <f t="shared" si="82"/>
        <v>12</v>
      </c>
      <c r="CC113" t="str">
        <f t="shared" si="83"/>
        <v/>
      </c>
      <c r="CI113" t="str">
        <f>IF(基础资料!$E13="","",基础资料!$E13)</f>
        <v/>
      </c>
      <c r="CJ113">
        <f t="shared" si="84"/>
        <v>0</v>
      </c>
      <c r="CK113">
        <f t="shared" si="85"/>
        <v>24</v>
      </c>
      <c r="CL113" t="str">
        <f t="shared" si="86"/>
        <v/>
      </c>
      <c r="CP113">
        <f>IF(包装物料出入库明细!$D113="",0,1)</f>
        <v>0</v>
      </c>
      <c r="CQ113">
        <f t="shared" si="87"/>
        <v>37</v>
      </c>
      <c r="CS113" t="str">
        <f>IF(OR(周转筐出入库明细!$C114="",周转筐出入库明细!$F114&lt;&gt;"采购入库"),"",周转筐出入库明细!$C114)</f>
        <v/>
      </c>
      <c r="CT113">
        <f t="shared" si="88"/>
        <v>0</v>
      </c>
      <c r="CU113">
        <f t="shared" si="89"/>
        <v>1</v>
      </c>
      <c r="CW113" t="str">
        <f>IFERROR(INDEX($CS$4:$CS$2003,MATCH(110,$CU$4:$CU$2003,0)),"")</f>
        <v/>
      </c>
    </row>
    <row r="114" spans="1:101">
      <c r="A114" t="str">
        <f>IF(包装物料出入库明细!$E114="","",包装物料出入库明细!$E114)</f>
        <v/>
      </c>
      <c r="B114">
        <f t="shared" si="50"/>
        <v>0</v>
      </c>
      <c r="C114">
        <f t="shared" si="51"/>
        <v>7</v>
      </c>
      <c r="D114" t="str">
        <f>IF(包装物料出入库明细!$E114="","",包装物料出入库明细!$F114)</f>
        <v/>
      </c>
      <c r="E114" t="str">
        <f>IF(包装物料出入库明细!$E114="","",包装物料出入库明细!$G114)</f>
        <v/>
      </c>
      <c r="K114" t="str">
        <f>IF(包装物料出入库明细!$D114="","",包装物料出入库明细!$D114)</f>
        <v/>
      </c>
      <c r="L114">
        <f t="shared" si="52"/>
        <v>0</v>
      </c>
      <c r="M114">
        <f t="shared" si="53"/>
        <v>9</v>
      </c>
      <c r="O114" t="str">
        <f t="shared" si="54"/>
        <v/>
      </c>
      <c r="Q114" t="str">
        <f>IF(周转筐出入库明细!$D115="","",周转筐出入库明细!$D115)</f>
        <v/>
      </c>
      <c r="R114">
        <f t="shared" si="55"/>
        <v>0</v>
      </c>
      <c r="S114">
        <f t="shared" si="56"/>
        <v>5</v>
      </c>
      <c r="W114" t="str">
        <f>IF(周转筐出入库明细!$C115="","",周转筐出入库明细!$C115)</f>
        <v/>
      </c>
      <c r="X114">
        <f t="shared" si="57"/>
        <v>0</v>
      </c>
      <c r="Y114">
        <f t="shared" si="58"/>
        <v>12</v>
      </c>
      <c r="AA114" t="str">
        <f t="shared" si="59"/>
        <v/>
      </c>
      <c r="AC114" t="str">
        <f>IF(客户自备加工筐明细!$C114="","",客户自备加工筐明细!$C114)</f>
        <v/>
      </c>
      <c r="AD114">
        <f t="shared" si="60"/>
        <v>0</v>
      </c>
      <c r="AE114">
        <f t="shared" si="61"/>
        <v>1</v>
      </c>
      <c r="AI114" t="str">
        <f>IF(客户自备加工筐明细!$E114="","",客户自备加工筐明细!$E114)</f>
        <v/>
      </c>
      <c r="AJ114">
        <f t="shared" si="62"/>
        <v>0</v>
      </c>
      <c r="AK114">
        <f t="shared" si="63"/>
        <v>1</v>
      </c>
      <c r="AM114" t="str">
        <f>IFERROR(INDEX($AI$4:$AI$1503,MATCH(111,$AK$4:$AK$1503,0)),"")</f>
        <v/>
      </c>
      <c r="AO114" t="str">
        <f>IF(次果筐明细!$D114="","",次果筐明细!$D114)</f>
        <v/>
      </c>
      <c r="AP114">
        <f t="shared" si="64"/>
        <v>0</v>
      </c>
      <c r="AQ114">
        <f t="shared" si="65"/>
        <v>1</v>
      </c>
      <c r="AU114" t="str">
        <f>IF(次果筐明细!$C114="","",次果筐明细!$C114)</f>
        <v/>
      </c>
      <c r="AV114">
        <f t="shared" si="66"/>
        <v>0</v>
      </c>
      <c r="AW114">
        <f t="shared" si="67"/>
        <v>1</v>
      </c>
      <c r="AY114" t="str">
        <f t="shared" si="68"/>
        <v/>
      </c>
      <c r="BA114" t="str">
        <f>IF(对接源_01水果筐数!$B115="","",对接源_01水果筐数!$B115)</f>
        <v/>
      </c>
      <c r="BB114">
        <f t="shared" si="69"/>
        <v>0</v>
      </c>
      <c r="BC114">
        <f t="shared" si="70"/>
        <v>14</v>
      </c>
      <c r="BE114" t="str">
        <f t="shared" si="71"/>
        <v/>
      </c>
      <c r="BG114" t="str">
        <f>IF(对接源_01水果筐数!$C115="","",对接源_01水果筐数!$C115)</f>
        <v/>
      </c>
      <c r="BH114">
        <f t="shared" si="72"/>
        <v>0</v>
      </c>
      <c r="BI114">
        <f t="shared" si="73"/>
        <v>7</v>
      </c>
      <c r="BM114" t="str">
        <f t="shared" si="90"/>
        <v/>
      </c>
      <c r="BN114">
        <f t="shared" si="74"/>
        <v>0</v>
      </c>
      <c r="BO114">
        <f t="shared" si="75"/>
        <v>6</v>
      </c>
      <c r="BS114" t="str">
        <f t="shared" si="76"/>
        <v/>
      </c>
      <c r="BT114">
        <f t="shared" si="77"/>
        <v>0</v>
      </c>
      <c r="BU114">
        <f t="shared" si="78"/>
        <v>9</v>
      </c>
      <c r="BW114" t="str">
        <f t="shared" si="79"/>
        <v/>
      </c>
      <c r="BY114" t="str">
        <f t="shared" si="80"/>
        <v/>
      </c>
      <c r="BZ114">
        <f t="shared" si="81"/>
        <v>0</v>
      </c>
      <c r="CA114">
        <f t="shared" si="82"/>
        <v>12</v>
      </c>
      <c r="CC114" t="str">
        <f t="shared" si="83"/>
        <v/>
      </c>
      <c r="CI114" t="str">
        <f>IF(基础资料!$E14="","",基础资料!$E14)</f>
        <v/>
      </c>
      <c r="CJ114">
        <f t="shared" si="84"/>
        <v>0</v>
      </c>
      <c r="CK114">
        <f t="shared" si="85"/>
        <v>24</v>
      </c>
      <c r="CL114" t="str">
        <f t="shared" si="86"/>
        <v/>
      </c>
      <c r="CP114">
        <f>IF(包装物料出入库明细!$D114="",0,1)</f>
        <v>0</v>
      </c>
      <c r="CQ114">
        <f t="shared" si="87"/>
        <v>37</v>
      </c>
      <c r="CS114" t="str">
        <f>IF(OR(周转筐出入库明细!$C115="",周转筐出入库明细!$F115&lt;&gt;"采购入库"),"",周转筐出入库明细!$C115)</f>
        <v/>
      </c>
      <c r="CT114">
        <f t="shared" si="88"/>
        <v>0</v>
      </c>
      <c r="CU114">
        <f t="shared" si="89"/>
        <v>1</v>
      </c>
      <c r="CW114" t="str">
        <f>IFERROR(INDEX($CS$4:$CS$2003,MATCH(111,$CU$4:$CU$2003,0)),"")</f>
        <v/>
      </c>
    </row>
    <row r="115" spans="1:101">
      <c r="A115" t="str">
        <f>IF(包装物料出入库明细!$E115="","",包装物料出入库明细!$E115)</f>
        <v/>
      </c>
      <c r="B115">
        <f t="shared" si="50"/>
        <v>0</v>
      </c>
      <c r="C115">
        <f t="shared" si="51"/>
        <v>7</v>
      </c>
      <c r="D115" t="str">
        <f>IF(包装物料出入库明细!$E115="","",包装物料出入库明细!$F115)</f>
        <v/>
      </c>
      <c r="E115" t="str">
        <f>IF(包装物料出入库明细!$E115="","",包装物料出入库明细!$G115)</f>
        <v/>
      </c>
      <c r="K115" t="str">
        <f>IF(包装物料出入库明细!$D115="","",包装物料出入库明细!$D115)</f>
        <v/>
      </c>
      <c r="L115">
        <f t="shared" si="52"/>
        <v>0</v>
      </c>
      <c r="M115">
        <f t="shared" si="53"/>
        <v>9</v>
      </c>
      <c r="O115" t="str">
        <f t="shared" si="54"/>
        <v/>
      </c>
      <c r="Q115" t="str">
        <f>IF(周转筐出入库明细!$D116="","",周转筐出入库明细!$D116)</f>
        <v/>
      </c>
      <c r="R115">
        <f t="shared" si="55"/>
        <v>0</v>
      </c>
      <c r="S115">
        <f t="shared" si="56"/>
        <v>5</v>
      </c>
      <c r="W115" t="str">
        <f>IF(周转筐出入库明细!$C116="","",周转筐出入库明细!$C116)</f>
        <v/>
      </c>
      <c r="X115">
        <f t="shared" si="57"/>
        <v>0</v>
      </c>
      <c r="Y115">
        <f t="shared" si="58"/>
        <v>12</v>
      </c>
      <c r="AA115" t="str">
        <f t="shared" si="59"/>
        <v/>
      </c>
      <c r="AC115" t="str">
        <f>IF(客户自备加工筐明细!$C115="","",客户自备加工筐明细!$C115)</f>
        <v/>
      </c>
      <c r="AD115">
        <f t="shared" si="60"/>
        <v>0</v>
      </c>
      <c r="AE115">
        <f t="shared" si="61"/>
        <v>1</v>
      </c>
      <c r="AI115" t="str">
        <f>IF(客户自备加工筐明细!$E115="","",客户自备加工筐明细!$E115)</f>
        <v/>
      </c>
      <c r="AJ115">
        <f t="shared" si="62"/>
        <v>0</v>
      </c>
      <c r="AK115">
        <f t="shared" si="63"/>
        <v>1</v>
      </c>
      <c r="AM115" t="str">
        <f>IFERROR(INDEX($AI$4:$AI$1503,MATCH(112,$AK$4:$AK$1503,0)),"")</f>
        <v/>
      </c>
      <c r="AO115" t="str">
        <f>IF(次果筐明细!$D115="","",次果筐明细!$D115)</f>
        <v/>
      </c>
      <c r="AP115">
        <f t="shared" si="64"/>
        <v>0</v>
      </c>
      <c r="AQ115">
        <f t="shared" si="65"/>
        <v>1</v>
      </c>
      <c r="AU115" t="str">
        <f>IF(次果筐明细!$C115="","",次果筐明细!$C115)</f>
        <v/>
      </c>
      <c r="AV115">
        <f t="shared" si="66"/>
        <v>0</v>
      </c>
      <c r="AW115">
        <f t="shared" si="67"/>
        <v>1</v>
      </c>
      <c r="AY115" t="str">
        <f t="shared" si="68"/>
        <v/>
      </c>
      <c r="BA115" t="str">
        <f>IF(对接源_01水果筐数!$B116="","",对接源_01水果筐数!$B116)</f>
        <v/>
      </c>
      <c r="BB115">
        <f t="shared" si="69"/>
        <v>0</v>
      </c>
      <c r="BC115">
        <f t="shared" si="70"/>
        <v>14</v>
      </c>
      <c r="BE115" t="str">
        <f t="shared" si="71"/>
        <v/>
      </c>
      <c r="BG115" t="str">
        <f>IF(对接源_01水果筐数!$C116="","",对接源_01水果筐数!$C116)</f>
        <v/>
      </c>
      <c r="BH115">
        <f t="shared" si="72"/>
        <v>0</v>
      </c>
      <c r="BI115">
        <f t="shared" si="73"/>
        <v>7</v>
      </c>
      <c r="BM115" t="str">
        <f t="shared" si="90"/>
        <v/>
      </c>
      <c r="BN115">
        <f t="shared" si="74"/>
        <v>0</v>
      </c>
      <c r="BO115">
        <f t="shared" si="75"/>
        <v>6</v>
      </c>
      <c r="BS115" t="str">
        <f t="shared" si="76"/>
        <v/>
      </c>
      <c r="BT115">
        <f t="shared" si="77"/>
        <v>0</v>
      </c>
      <c r="BU115">
        <f t="shared" si="78"/>
        <v>9</v>
      </c>
      <c r="BW115" t="str">
        <f t="shared" si="79"/>
        <v/>
      </c>
      <c r="BY115" t="str">
        <f t="shared" si="80"/>
        <v/>
      </c>
      <c r="BZ115">
        <f t="shared" si="81"/>
        <v>0</v>
      </c>
      <c r="CA115">
        <f t="shared" si="82"/>
        <v>12</v>
      </c>
      <c r="CC115" t="str">
        <f t="shared" si="83"/>
        <v/>
      </c>
      <c r="CI115" t="str">
        <f>IF(基础资料!$E15="","",基础资料!$E15)</f>
        <v/>
      </c>
      <c r="CJ115">
        <f t="shared" si="84"/>
        <v>0</v>
      </c>
      <c r="CK115">
        <f t="shared" si="85"/>
        <v>24</v>
      </c>
      <c r="CL115" t="str">
        <f t="shared" si="86"/>
        <v/>
      </c>
      <c r="CP115">
        <f>IF(包装物料出入库明细!$D115="",0,1)</f>
        <v>0</v>
      </c>
      <c r="CQ115">
        <f t="shared" si="87"/>
        <v>37</v>
      </c>
      <c r="CS115" t="str">
        <f>IF(OR(周转筐出入库明细!$C116="",周转筐出入库明细!$F116&lt;&gt;"采购入库"),"",周转筐出入库明细!$C116)</f>
        <v/>
      </c>
      <c r="CT115">
        <f t="shared" si="88"/>
        <v>0</v>
      </c>
      <c r="CU115">
        <f t="shared" si="89"/>
        <v>1</v>
      </c>
      <c r="CW115" t="str">
        <f>IFERROR(INDEX($CS$4:$CS$2003,MATCH(112,$CU$4:$CU$2003,0)),"")</f>
        <v/>
      </c>
    </row>
    <row r="116" spans="1:101">
      <c r="A116" t="str">
        <f>IF(包装物料出入库明细!$E116="","",包装物料出入库明细!$E116)</f>
        <v/>
      </c>
      <c r="B116">
        <f t="shared" si="50"/>
        <v>0</v>
      </c>
      <c r="C116">
        <f t="shared" si="51"/>
        <v>7</v>
      </c>
      <c r="D116" t="str">
        <f>IF(包装物料出入库明细!$E116="","",包装物料出入库明细!$F116)</f>
        <v/>
      </c>
      <c r="E116" t="str">
        <f>IF(包装物料出入库明细!$E116="","",包装物料出入库明细!$G116)</f>
        <v/>
      </c>
      <c r="K116" t="str">
        <f>IF(包装物料出入库明细!$D116="","",包装物料出入库明细!$D116)</f>
        <v/>
      </c>
      <c r="L116">
        <f t="shared" si="52"/>
        <v>0</v>
      </c>
      <c r="M116">
        <f t="shared" si="53"/>
        <v>9</v>
      </c>
      <c r="O116" t="str">
        <f t="shared" si="54"/>
        <v/>
      </c>
      <c r="Q116" t="str">
        <f>IF(周转筐出入库明细!$D117="","",周转筐出入库明细!$D117)</f>
        <v/>
      </c>
      <c r="R116">
        <f t="shared" si="55"/>
        <v>0</v>
      </c>
      <c r="S116">
        <f t="shared" si="56"/>
        <v>5</v>
      </c>
      <c r="W116" t="str">
        <f>IF(周转筐出入库明细!$C117="","",周转筐出入库明细!$C117)</f>
        <v/>
      </c>
      <c r="X116">
        <f t="shared" si="57"/>
        <v>0</v>
      </c>
      <c r="Y116">
        <f t="shared" si="58"/>
        <v>12</v>
      </c>
      <c r="AA116" t="str">
        <f t="shared" si="59"/>
        <v/>
      </c>
      <c r="AC116" t="str">
        <f>IF(客户自备加工筐明细!$C116="","",客户自备加工筐明细!$C116)</f>
        <v/>
      </c>
      <c r="AD116">
        <f t="shared" si="60"/>
        <v>0</v>
      </c>
      <c r="AE116">
        <f t="shared" si="61"/>
        <v>1</v>
      </c>
      <c r="AI116" t="str">
        <f>IF(客户自备加工筐明细!$E116="","",客户自备加工筐明细!$E116)</f>
        <v/>
      </c>
      <c r="AJ116">
        <f t="shared" si="62"/>
        <v>0</v>
      </c>
      <c r="AK116">
        <f t="shared" si="63"/>
        <v>1</v>
      </c>
      <c r="AM116" t="str">
        <f>IFERROR(INDEX($AI$4:$AI$1503,MATCH(113,$AK$4:$AK$1503,0)),"")</f>
        <v/>
      </c>
      <c r="AO116" t="str">
        <f>IF(次果筐明细!$D116="","",次果筐明细!$D116)</f>
        <v/>
      </c>
      <c r="AP116">
        <f t="shared" si="64"/>
        <v>0</v>
      </c>
      <c r="AQ116">
        <f t="shared" si="65"/>
        <v>1</v>
      </c>
      <c r="AU116" t="str">
        <f>IF(次果筐明细!$C116="","",次果筐明细!$C116)</f>
        <v/>
      </c>
      <c r="AV116">
        <f t="shared" si="66"/>
        <v>0</v>
      </c>
      <c r="AW116">
        <f t="shared" si="67"/>
        <v>1</v>
      </c>
      <c r="AY116" t="str">
        <f t="shared" si="68"/>
        <v/>
      </c>
      <c r="BA116" t="str">
        <f>IF(对接源_01水果筐数!$B117="","",对接源_01水果筐数!$B117)</f>
        <v/>
      </c>
      <c r="BB116">
        <f t="shared" si="69"/>
        <v>0</v>
      </c>
      <c r="BC116">
        <f t="shared" si="70"/>
        <v>14</v>
      </c>
      <c r="BE116" t="str">
        <f t="shared" si="71"/>
        <v/>
      </c>
      <c r="BG116" t="str">
        <f>IF(对接源_01水果筐数!$C117="","",对接源_01水果筐数!$C117)</f>
        <v/>
      </c>
      <c r="BH116">
        <f t="shared" si="72"/>
        <v>0</v>
      </c>
      <c r="BI116">
        <f t="shared" si="73"/>
        <v>7</v>
      </c>
      <c r="BM116" t="str">
        <f t="shared" si="90"/>
        <v/>
      </c>
      <c r="BN116">
        <f t="shared" si="74"/>
        <v>0</v>
      </c>
      <c r="BO116">
        <f t="shared" si="75"/>
        <v>6</v>
      </c>
      <c r="BS116" t="str">
        <f t="shared" si="76"/>
        <v/>
      </c>
      <c r="BT116">
        <f t="shared" si="77"/>
        <v>0</v>
      </c>
      <c r="BU116">
        <f t="shared" si="78"/>
        <v>9</v>
      </c>
      <c r="BW116" t="str">
        <f t="shared" si="79"/>
        <v/>
      </c>
      <c r="BY116" t="str">
        <f t="shared" si="80"/>
        <v/>
      </c>
      <c r="BZ116">
        <f t="shared" si="81"/>
        <v>0</v>
      </c>
      <c r="CA116">
        <f t="shared" si="82"/>
        <v>12</v>
      </c>
      <c r="CC116" t="str">
        <f t="shared" si="83"/>
        <v/>
      </c>
      <c r="CI116" t="str">
        <f>IF(基础资料!$E16="","",基础资料!$E16)</f>
        <v/>
      </c>
      <c r="CJ116">
        <f t="shared" si="84"/>
        <v>0</v>
      </c>
      <c r="CK116">
        <f t="shared" si="85"/>
        <v>24</v>
      </c>
      <c r="CL116" t="str">
        <f t="shared" si="86"/>
        <v/>
      </c>
      <c r="CP116">
        <f>IF(包装物料出入库明细!$D116="",0,1)</f>
        <v>0</v>
      </c>
      <c r="CQ116">
        <f t="shared" si="87"/>
        <v>37</v>
      </c>
      <c r="CS116" t="str">
        <f>IF(OR(周转筐出入库明细!$C117="",周转筐出入库明细!$F117&lt;&gt;"采购入库"),"",周转筐出入库明细!$C117)</f>
        <v/>
      </c>
      <c r="CT116">
        <f t="shared" si="88"/>
        <v>0</v>
      </c>
      <c r="CU116">
        <f t="shared" si="89"/>
        <v>1</v>
      </c>
      <c r="CW116" t="str">
        <f>IFERROR(INDEX($CS$4:$CS$2003,MATCH(113,$CU$4:$CU$2003,0)),"")</f>
        <v/>
      </c>
    </row>
    <row r="117" spans="1:101">
      <c r="A117" t="str">
        <f>IF(包装物料出入库明细!$E117="","",包装物料出入库明细!$E117)</f>
        <v/>
      </c>
      <c r="B117">
        <f t="shared" si="50"/>
        <v>0</v>
      </c>
      <c r="C117">
        <f t="shared" si="51"/>
        <v>7</v>
      </c>
      <c r="D117" t="str">
        <f>IF(包装物料出入库明细!$E117="","",包装物料出入库明细!$F117)</f>
        <v/>
      </c>
      <c r="E117" t="str">
        <f>IF(包装物料出入库明细!$E117="","",包装物料出入库明细!$G117)</f>
        <v/>
      </c>
      <c r="K117" t="str">
        <f>IF(包装物料出入库明细!$D117="","",包装物料出入库明细!$D117)</f>
        <v/>
      </c>
      <c r="L117">
        <f t="shared" si="52"/>
        <v>0</v>
      </c>
      <c r="M117">
        <f t="shared" si="53"/>
        <v>9</v>
      </c>
      <c r="O117" t="str">
        <f t="shared" si="54"/>
        <v/>
      </c>
      <c r="Q117" t="str">
        <f>IF(周转筐出入库明细!$D118="","",周转筐出入库明细!$D118)</f>
        <v/>
      </c>
      <c r="R117">
        <f t="shared" si="55"/>
        <v>0</v>
      </c>
      <c r="S117">
        <f t="shared" si="56"/>
        <v>5</v>
      </c>
      <c r="W117" t="str">
        <f>IF(周转筐出入库明细!$C118="","",周转筐出入库明细!$C118)</f>
        <v/>
      </c>
      <c r="X117">
        <f t="shared" si="57"/>
        <v>0</v>
      </c>
      <c r="Y117">
        <f t="shared" si="58"/>
        <v>12</v>
      </c>
      <c r="AA117" t="str">
        <f t="shared" si="59"/>
        <v/>
      </c>
      <c r="AC117" t="str">
        <f>IF(客户自备加工筐明细!$C117="","",客户自备加工筐明细!$C117)</f>
        <v/>
      </c>
      <c r="AD117">
        <f t="shared" si="60"/>
        <v>0</v>
      </c>
      <c r="AE117">
        <f t="shared" si="61"/>
        <v>1</v>
      </c>
      <c r="AI117" t="str">
        <f>IF(客户自备加工筐明细!$E117="","",客户自备加工筐明细!$E117)</f>
        <v/>
      </c>
      <c r="AJ117">
        <f t="shared" si="62"/>
        <v>0</v>
      </c>
      <c r="AK117">
        <f t="shared" si="63"/>
        <v>1</v>
      </c>
      <c r="AM117" t="str">
        <f>IFERROR(INDEX($AI$4:$AI$1503,MATCH(114,$AK$4:$AK$1503,0)),"")</f>
        <v/>
      </c>
      <c r="AO117" t="str">
        <f>IF(次果筐明细!$D117="","",次果筐明细!$D117)</f>
        <v/>
      </c>
      <c r="AP117">
        <f t="shared" si="64"/>
        <v>0</v>
      </c>
      <c r="AQ117">
        <f t="shared" si="65"/>
        <v>1</v>
      </c>
      <c r="AU117" t="str">
        <f>IF(次果筐明细!$C117="","",次果筐明细!$C117)</f>
        <v/>
      </c>
      <c r="AV117">
        <f t="shared" si="66"/>
        <v>0</v>
      </c>
      <c r="AW117">
        <f t="shared" si="67"/>
        <v>1</v>
      </c>
      <c r="AY117" t="str">
        <f t="shared" si="68"/>
        <v/>
      </c>
      <c r="BA117" t="str">
        <f>IF(对接源_01水果筐数!$B118="","",对接源_01水果筐数!$B118)</f>
        <v/>
      </c>
      <c r="BB117">
        <f t="shared" si="69"/>
        <v>0</v>
      </c>
      <c r="BC117">
        <f t="shared" si="70"/>
        <v>14</v>
      </c>
      <c r="BE117" t="str">
        <f t="shared" si="71"/>
        <v/>
      </c>
      <c r="BG117" t="str">
        <f>IF(对接源_01水果筐数!$C118="","",对接源_01水果筐数!$C118)</f>
        <v/>
      </c>
      <c r="BH117">
        <f t="shared" si="72"/>
        <v>0</v>
      </c>
      <c r="BI117">
        <f t="shared" si="73"/>
        <v>7</v>
      </c>
      <c r="BM117" t="str">
        <f t="shared" si="90"/>
        <v/>
      </c>
      <c r="BN117">
        <f t="shared" si="74"/>
        <v>0</v>
      </c>
      <c r="BO117">
        <f t="shared" si="75"/>
        <v>6</v>
      </c>
      <c r="BS117" t="str">
        <f t="shared" si="76"/>
        <v/>
      </c>
      <c r="BT117">
        <f t="shared" si="77"/>
        <v>0</v>
      </c>
      <c r="BU117">
        <f t="shared" si="78"/>
        <v>9</v>
      </c>
      <c r="BW117" t="str">
        <f t="shared" si="79"/>
        <v/>
      </c>
      <c r="BY117" t="str">
        <f t="shared" si="80"/>
        <v/>
      </c>
      <c r="BZ117">
        <f t="shared" si="81"/>
        <v>0</v>
      </c>
      <c r="CA117">
        <f t="shared" si="82"/>
        <v>12</v>
      </c>
      <c r="CC117" t="str">
        <f t="shared" si="83"/>
        <v/>
      </c>
      <c r="CI117" t="str">
        <f>IF(基础资料!$E17="","",基础资料!$E17)</f>
        <v/>
      </c>
      <c r="CJ117">
        <f t="shared" si="84"/>
        <v>0</v>
      </c>
      <c r="CK117">
        <f t="shared" si="85"/>
        <v>24</v>
      </c>
      <c r="CL117" t="str">
        <f t="shared" si="86"/>
        <v/>
      </c>
      <c r="CP117">
        <f>IF(包装物料出入库明细!$D117="",0,1)</f>
        <v>0</v>
      </c>
      <c r="CQ117">
        <f t="shared" si="87"/>
        <v>37</v>
      </c>
      <c r="CS117" t="str">
        <f>IF(OR(周转筐出入库明细!$C118="",周转筐出入库明细!$F118&lt;&gt;"采购入库"),"",周转筐出入库明细!$C118)</f>
        <v/>
      </c>
      <c r="CT117">
        <f t="shared" si="88"/>
        <v>0</v>
      </c>
      <c r="CU117">
        <f t="shared" si="89"/>
        <v>1</v>
      </c>
      <c r="CW117" t="str">
        <f>IFERROR(INDEX($CS$4:$CS$2003,MATCH(114,$CU$4:$CU$2003,0)),"")</f>
        <v/>
      </c>
    </row>
    <row r="118" spans="1:101">
      <c r="A118" t="str">
        <f>IF(包装物料出入库明细!$E118="","",包装物料出入库明细!$E118)</f>
        <v/>
      </c>
      <c r="B118">
        <f t="shared" si="50"/>
        <v>0</v>
      </c>
      <c r="C118">
        <f t="shared" si="51"/>
        <v>7</v>
      </c>
      <c r="D118" t="str">
        <f>IF(包装物料出入库明细!$E118="","",包装物料出入库明细!$F118)</f>
        <v/>
      </c>
      <c r="E118" t="str">
        <f>IF(包装物料出入库明细!$E118="","",包装物料出入库明细!$G118)</f>
        <v/>
      </c>
      <c r="K118" t="str">
        <f>IF(包装物料出入库明细!$D118="","",包装物料出入库明细!$D118)</f>
        <v/>
      </c>
      <c r="L118">
        <f t="shared" si="52"/>
        <v>0</v>
      </c>
      <c r="M118">
        <f t="shared" si="53"/>
        <v>9</v>
      </c>
      <c r="O118" t="str">
        <f t="shared" si="54"/>
        <v/>
      </c>
      <c r="Q118" t="str">
        <f>IF(周转筐出入库明细!$D119="","",周转筐出入库明细!$D119)</f>
        <v/>
      </c>
      <c r="R118">
        <f t="shared" si="55"/>
        <v>0</v>
      </c>
      <c r="S118">
        <f t="shared" si="56"/>
        <v>5</v>
      </c>
      <c r="W118" t="str">
        <f>IF(周转筐出入库明细!$C119="","",周转筐出入库明细!$C119)</f>
        <v/>
      </c>
      <c r="X118">
        <f t="shared" si="57"/>
        <v>0</v>
      </c>
      <c r="Y118">
        <f t="shared" si="58"/>
        <v>12</v>
      </c>
      <c r="AA118" t="str">
        <f t="shared" si="59"/>
        <v/>
      </c>
      <c r="AC118" t="str">
        <f>IF(客户自备加工筐明细!$C118="","",客户自备加工筐明细!$C118)</f>
        <v/>
      </c>
      <c r="AD118">
        <f t="shared" si="60"/>
        <v>0</v>
      </c>
      <c r="AE118">
        <f t="shared" si="61"/>
        <v>1</v>
      </c>
      <c r="AI118" t="str">
        <f>IF(客户自备加工筐明细!$E118="","",客户自备加工筐明细!$E118)</f>
        <v/>
      </c>
      <c r="AJ118">
        <f t="shared" si="62"/>
        <v>0</v>
      </c>
      <c r="AK118">
        <f t="shared" si="63"/>
        <v>1</v>
      </c>
      <c r="AM118" t="str">
        <f>IFERROR(INDEX($AI$4:$AI$1503,MATCH(115,$AK$4:$AK$1503,0)),"")</f>
        <v/>
      </c>
      <c r="AO118" t="str">
        <f>IF(次果筐明细!$D118="","",次果筐明细!$D118)</f>
        <v/>
      </c>
      <c r="AP118">
        <f t="shared" si="64"/>
        <v>0</v>
      </c>
      <c r="AQ118">
        <f t="shared" si="65"/>
        <v>1</v>
      </c>
      <c r="AU118" t="str">
        <f>IF(次果筐明细!$C118="","",次果筐明细!$C118)</f>
        <v/>
      </c>
      <c r="AV118">
        <f t="shared" si="66"/>
        <v>0</v>
      </c>
      <c r="AW118">
        <f t="shared" si="67"/>
        <v>1</v>
      </c>
      <c r="AY118" t="str">
        <f t="shared" si="68"/>
        <v/>
      </c>
      <c r="BA118" t="str">
        <f>IF(对接源_01水果筐数!$B119="","",对接源_01水果筐数!$B119)</f>
        <v/>
      </c>
      <c r="BB118">
        <f t="shared" si="69"/>
        <v>0</v>
      </c>
      <c r="BC118">
        <f t="shared" si="70"/>
        <v>14</v>
      </c>
      <c r="BE118" t="str">
        <f t="shared" si="71"/>
        <v/>
      </c>
      <c r="BG118" t="str">
        <f>IF(对接源_01水果筐数!$C119="","",对接源_01水果筐数!$C119)</f>
        <v/>
      </c>
      <c r="BH118">
        <f t="shared" si="72"/>
        <v>0</v>
      </c>
      <c r="BI118">
        <f t="shared" si="73"/>
        <v>7</v>
      </c>
      <c r="BM118" t="str">
        <f t="shared" si="90"/>
        <v/>
      </c>
      <c r="BN118">
        <f t="shared" si="74"/>
        <v>0</v>
      </c>
      <c r="BO118">
        <f t="shared" si="75"/>
        <v>6</v>
      </c>
      <c r="BS118" t="str">
        <f t="shared" si="76"/>
        <v/>
      </c>
      <c r="BT118">
        <f t="shared" si="77"/>
        <v>0</v>
      </c>
      <c r="BU118">
        <f t="shared" si="78"/>
        <v>9</v>
      </c>
      <c r="BW118" t="str">
        <f t="shared" si="79"/>
        <v/>
      </c>
      <c r="BY118" t="str">
        <f t="shared" si="80"/>
        <v/>
      </c>
      <c r="BZ118">
        <f t="shared" si="81"/>
        <v>0</v>
      </c>
      <c r="CA118">
        <f t="shared" si="82"/>
        <v>12</v>
      </c>
      <c r="CC118" t="str">
        <f t="shared" si="83"/>
        <v/>
      </c>
      <c r="CI118" t="str">
        <f>IF(基础资料!$E18="","",基础资料!$E18)</f>
        <v/>
      </c>
      <c r="CJ118">
        <f t="shared" si="84"/>
        <v>0</v>
      </c>
      <c r="CK118">
        <f t="shared" si="85"/>
        <v>24</v>
      </c>
      <c r="CL118" t="str">
        <f t="shared" si="86"/>
        <v/>
      </c>
      <c r="CP118">
        <f>IF(包装物料出入库明细!$D118="",0,1)</f>
        <v>0</v>
      </c>
      <c r="CQ118">
        <f t="shared" si="87"/>
        <v>37</v>
      </c>
      <c r="CS118" t="str">
        <f>IF(OR(周转筐出入库明细!$C119="",周转筐出入库明细!$F119&lt;&gt;"采购入库"),"",周转筐出入库明细!$C119)</f>
        <v/>
      </c>
      <c r="CT118">
        <f t="shared" si="88"/>
        <v>0</v>
      </c>
      <c r="CU118">
        <f t="shared" si="89"/>
        <v>1</v>
      </c>
      <c r="CW118" t="str">
        <f>IFERROR(INDEX($CS$4:$CS$2003,MATCH(115,$CU$4:$CU$2003,0)),"")</f>
        <v/>
      </c>
    </row>
    <row r="119" spans="1:101">
      <c r="A119" t="str">
        <f>IF(包装物料出入库明细!$E119="","",包装物料出入库明细!$E119)</f>
        <v/>
      </c>
      <c r="B119">
        <f t="shared" si="50"/>
        <v>0</v>
      </c>
      <c r="C119">
        <f t="shared" si="51"/>
        <v>7</v>
      </c>
      <c r="D119" t="str">
        <f>IF(包装物料出入库明细!$E119="","",包装物料出入库明细!$F119)</f>
        <v/>
      </c>
      <c r="E119" t="str">
        <f>IF(包装物料出入库明细!$E119="","",包装物料出入库明细!$G119)</f>
        <v/>
      </c>
      <c r="K119" t="str">
        <f>IF(包装物料出入库明细!$D119="","",包装物料出入库明细!$D119)</f>
        <v/>
      </c>
      <c r="L119">
        <f t="shared" si="52"/>
        <v>0</v>
      </c>
      <c r="M119">
        <f t="shared" si="53"/>
        <v>9</v>
      </c>
      <c r="O119" t="str">
        <f t="shared" si="54"/>
        <v/>
      </c>
      <c r="Q119" t="str">
        <f>IF(周转筐出入库明细!$D120="","",周转筐出入库明细!$D120)</f>
        <v/>
      </c>
      <c r="R119">
        <f t="shared" si="55"/>
        <v>0</v>
      </c>
      <c r="S119">
        <f t="shared" si="56"/>
        <v>5</v>
      </c>
      <c r="W119" t="str">
        <f>IF(周转筐出入库明细!$C120="","",周转筐出入库明细!$C120)</f>
        <v/>
      </c>
      <c r="X119">
        <f t="shared" si="57"/>
        <v>0</v>
      </c>
      <c r="Y119">
        <f t="shared" si="58"/>
        <v>12</v>
      </c>
      <c r="AA119" t="str">
        <f t="shared" si="59"/>
        <v/>
      </c>
      <c r="AC119" t="str">
        <f>IF(客户自备加工筐明细!$C119="","",客户自备加工筐明细!$C119)</f>
        <v/>
      </c>
      <c r="AD119">
        <f t="shared" si="60"/>
        <v>0</v>
      </c>
      <c r="AE119">
        <f t="shared" si="61"/>
        <v>1</v>
      </c>
      <c r="AI119" t="str">
        <f>IF(客户自备加工筐明细!$E119="","",客户自备加工筐明细!$E119)</f>
        <v/>
      </c>
      <c r="AJ119">
        <f t="shared" si="62"/>
        <v>0</v>
      </c>
      <c r="AK119">
        <f t="shared" si="63"/>
        <v>1</v>
      </c>
      <c r="AM119" t="str">
        <f>IFERROR(INDEX($AI$4:$AI$1503,MATCH(116,$AK$4:$AK$1503,0)),"")</f>
        <v/>
      </c>
      <c r="AO119" t="str">
        <f>IF(次果筐明细!$D119="","",次果筐明细!$D119)</f>
        <v/>
      </c>
      <c r="AP119">
        <f t="shared" si="64"/>
        <v>0</v>
      </c>
      <c r="AQ119">
        <f t="shared" si="65"/>
        <v>1</v>
      </c>
      <c r="AU119" t="str">
        <f>IF(次果筐明细!$C119="","",次果筐明细!$C119)</f>
        <v/>
      </c>
      <c r="AV119">
        <f t="shared" si="66"/>
        <v>0</v>
      </c>
      <c r="AW119">
        <f t="shared" si="67"/>
        <v>1</v>
      </c>
      <c r="AY119" t="str">
        <f t="shared" si="68"/>
        <v/>
      </c>
      <c r="BA119" t="str">
        <f>IF(对接源_01水果筐数!$B120="","",对接源_01水果筐数!$B120)</f>
        <v/>
      </c>
      <c r="BB119">
        <f t="shared" si="69"/>
        <v>0</v>
      </c>
      <c r="BC119">
        <f t="shared" si="70"/>
        <v>14</v>
      </c>
      <c r="BE119" t="str">
        <f t="shared" si="71"/>
        <v/>
      </c>
      <c r="BG119" t="str">
        <f>IF(对接源_01水果筐数!$C120="","",对接源_01水果筐数!$C120)</f>
        <v/>
      </c>
      <c r="BH119">
        <f t="shared" si="72"/>
        <v>0</v>
      </c>
      <c r="BI119">
        <f t="shared" si="73"/>
        <v>7</v>
      </c>
      <c r="BM119" t="str">
        <f t="shared" si="90"/>
        <v/>
      </c>
      <c r="BN119">
        <f t="shared" si="74"/>
        <v>0</v>
      </c>
      <c r="BO119">
        <f t="shared" si="75"/>
        <v>6</v>
      </c>
      <c r="BS119" t="str">
        <f t="shared" si="76"/>
        <v/>
      </c>
      <c r="BT119">
        <f t="shared" si="77"/>
        <v>0</v>
      </c>
      <c r="BU119">
        <f t="shared" si="78"/>
        <v>9</v>
      </c>
      <c r="BW119" t="str">
        <f t="shared" si="79"/>
        <v/>
      </c>
      <c r="BY119" t="str">
        <f t="shared" si="80"/>
        <v/>
      </c>
      <c r="BZ119">
        <f t="shared" si="81"/>
        <v>0</v>
      </c>
      <c r="CA119">
        <f t="shared" si="82"/>
        <v>12</v>
      </c>
      <c r="CC119" t="str">
        <f t="shared" si="83"/>
        <v/>
      </c>
      <c r="CI119" t="str">
        <f>IF(基础资料!$E19="","",基础资料!$E19)</f>
        <v/>
      </c>
      <c r="CJ119">
        <f t="shared" si="84"/>
        <v>0</v>
      </c>
      <c r="CK119">
        <f t="shared" si="85"/>
        <v>24</v>
      </c>
      <c r="CL119" t="str">
        <f t="shared" si="86"/>
        <v/>
      </c>
      <c r="CP119">
        <f>IF(包装物料出入库明细!$D119="",0,1)</f>
        <v>0</v>
      </c>
      <c r="CQ119">
        <f t="shared" si="87"/>
        <v>37</v>
      </c>
      <c r="CS119" t="str">
        <f>IF(OR(周转筐出入库明细!$C120="",周转筐出入库明细!$F120&lt;&gt;"采购入库"),"",周转筐出入库明细!$C120)</f>
        <v/>
      </c>
      <c r="CT119">
        <f t="shared" si="88"/>
        <v>0</v>
      </c>
      <c r="CU119">
        <f t="shared" si="89"/>
        <v>1</v>
      </c>
      <c r="CW119" t="str">
        <f>IFERROR(INDEX($CS$4:$CS$2003,MATCH(116,$CU$4:$CU$2003,0)),"")</f>
        <v/>
      </c>
    </row>
    <row r="120" spans="1:101">
      <c r="A120" t="str">
        <f>IF(包装物料出入库明细!$E120="","",包装物料出入库明细!$E120)</f>
        <v/>
      </c>
      <c r="B120">
        <f t="shared" si="50"/>
        <v>0</v>
      </c>
      <c r="C120">
        <f t="shared" si="51"/>
        <v>7</v>
      </c>
      <c r="D120" t="str">
        <f>IF(包装物料出入库明细!$E120="","",包装物料出入库明细!$F120)</f>
        <v/>
      </c>
      <c r="E120" t="str">
        <f>IF(包装物料出入库明细!$E120="","",包装物料出入库明细!$G120)</f>
        <v/>
      </c>
      <c r="K120" t="str">
        <f>IF(包装物料出入库明细!$D120="","",包装物料出入库明细!$D120)</f>
        <v/>
      </c>
      <c r="L120">
        <f t="shared" si="52"/>
        <v>0</v>
      </c>
      <c r="M120">
        <f t="shared" si="53"/>
        <v>9</v>
      </c>
      <c r="O120" t="str">
        <f t="shared" si="54"/>
        <v/>
      </c>
      <c r="Q120" t="str">
        <f>IF(周转筐出入库明细!$D121="","",周转筐出入库明细!$D121)</f>
        <v/>
      </c>
      <c r="R120">
        <f t="shared" si="55"/>
        <v>0</v>
      </c>
      <c r="S120">
        <f t="shared" si="56"/>
        <v>5</v>
      </c>
      <c r="W120" t="str">
        <f>IF(周转筐出入库明细!$C121="","",周转筐出入库明细!$C121)</f>
        <v/>
      </c>
      <c r="X120">
        <f t="shared" si="57"/>
        <v>0</v>
      </c>
      <c r="Y120">
        <f t="shared" si="58"/>
        <v>12</v>
      </c>
      <c r="AA120" t="str">
        <f t="shared" si="59"/>
        <v/>
      </c>
      <c r="AC120" t="str">
        <f>IF(客户自备加工筐明细!$C120="","",客户自备加工筐明细!$C120)</f>
        <v/>
      </c>
      <c r="AD120">
        <f t="shared" si="60"/>
        <v>0</v>
      </c>
      <c r="AE120">
        <f t="shared" si="61"/>
        <v>1</v>
      </c>
      <c r="AI120" t="str">
        <f>IF(客户自备加工筐明细!$E120="","",客户自备加工筐明细!$E120)</f>
        <v/>
      </c>
      <c r="AJ120">
        <f t="shared" si="62"/>
        <v>0</v>
      </c>
      <c r="AK120">
        <f t="shared" si="63"/>
        <v>1</v>
      </c>
      <c r="AM120" t="str">
        <f>IFERROR(INDEX($AI$4:$AI$1503,MATCH(117,$AK$4:$AK$1503,0)),"")</f>
        <v/>
      </c>
      <c r="AO120" t="str">
        <f>IF(次果筐明细!$D120="","",次果筐明细!$D120)</f>
        <v/>
      </c>
      <c r="AP120">
        <f t="shared" si="64"/>
        <v>0</v>
      </c>
      <c r="AQ120">
        <f t="shared" si="65"/>
        <v>1</v>
      </c>
      <c r="AU120" t="str">
        <f>IF(次果筐明细!$C120="","",次果筐明细!$C120)</f>
        <v/>
      </c>
      <c r="AV120">
        <f t="shared" si="66"/>
        <v>0</v>
      </c>
      <c r="AW120">
        <f t="shared" si="67"/>
        <v>1</v>
      </c>
      <c r="AY120" t="str">
        <f t="shared" si="68"/>
        <v/>
      </c>
      <c r="BA120" t="str">
        <f>IF(对接源_01水果筐数!$B121="","",对接源_01水果筐数!$B121)</f>
        <v/>
      </c>
      <c r="BB120">
        <f t="shared" si="69"/>
        <v>0</v>
      </c>
      <c r="BC120">
        <f t="shared" si="70"/>
        <v>14</v>
      </c>
      <c r="BE120" t="str">
        <f t="shared" si="71"/>
        <v/>
      </c>
      <c r="BG120" t="str">
        <f>IF(对接源_01水果筐数!$C121="","",对接源_01水果筐数!$C121)</f>
        <v/>
      </c>
      <c r="BH120">
        <f t="shared" si="72"/>
        <v>0</v>
      </c>
      <c r="BI120">
        <f t="shared" si="73"/>
        <v>7</v>
      </c>
      <c r="BM120" t="str">
        <f t="shared" si="90"/>
        <v/>
      </c>
      <c r="BN120">
        <f t="shared" si="74"/>
        <v>0</v>
      </c>
      <c r="BO120">
        <f t="shared" si="75"/>
        <v>6</v>
      </c>
      <c r="BS120" t="str">
        <f t="shared" si="76"/>
        <v/>
      </c>
      <c r="BT120">
        <f t="shared" si="77"/>
        <v>0</v>
      </c>
      <c r="BU120">
        <f t="shared" si="78"/>
        <v>9</v>
      </c>
      <c r="BW120" t="str">
        <f t="shared" si="79"/>
        <v/>
      </c>
      <c r="BY120" t="str">
        <f t="shared" si="80"/>
        <v/>
      </c>
      <c r="BZ120">
        <f t="shared" si="81"/>
        <v>0</v>
      </c>
      <c r="CA120">
        <f t="shared" si="82"/>
        <v>12</v>
      </c>
      <c r="CC120" t="str">
        <f t="shared" si="83"/>
        <v/>
      </c>
      <c r="CI120" t="str">
        <f>IF(基础资料!$E20="","",基础资料!$E20)</f>
        <v/>
      </c>
      <c r="CJ120">
        <f t="shared" si="84"/>
        <v>0</v>
      </c>
      <c r="CK120">
        <f t="shared" si="85"/>
        <v>24</v>
      </c>
      <c r="CL120" t="str">
        <f t="shared" si="86"/>
        <v/>
      </c>
      <c r="CP120">
        <f>IF(包装物料出入库明细!$D120="",0,1)</f>
        <v>0</v>
      </c>
      <c r="CQ120">
        <f t="shared" si="87"/>
        <v>37</v>
      </c>
      <c r="CS120" t="str">
        <f>IF(OR(周转筐出入库明细!$C121="",周转筐出入库明细!$F121&lt;&gt;"采购入库"),"",周转筐出入库明细!$C121)</f>
        <v/>
      </c>
      <c r="CT120">
        <f t="shared" si="88"/>
        <v>0</v>
      </c>
      <c r="CU120">
        <f t="shared" si="89"/>
        <v>1</v>
      </c>
      <c r="CW120" t="str">
        <f>IFERROR(INDEX($CS$4:$CS$2003,MATCH(117,$CU$4:$CU$2003,0)),"")</f>
        <v/>
      </c>
    </row>
    <row r="121" spans="1:101">
      <c r="A121" t="str">
        <f>IF(包装物料出入库明细!$E121="","",包装物料出入库明细!$E121)</f>
        <v/>
      </c>
      <c r="B121">
        <f t="shared" si="50"/>
        <v>0</v>
      </c>
      <c r="C121">
        <f t="shared" si="51"/>
        <v>7</v>
      </c>
      <c r="D121" t="str">
        <f>IF(包装物料出入库明细!$E121="","",包装物料出入库明细!$F121)</f>
        <v/>
      </c>
      <c r="E121" t="str">
        <f>IF(包装物料出入库明细!$E121="","",包装物料出入库明细!$G121)</f>
        <v/>
      </c>
      <c r="K121" t="str">
        <f>IF(包装物料出入库明细!$D121="","",包装物料出入库明细!$D121)</f>
        <v/>
      </c>
      <c r="L121">
        <f t="shared" si="52"/>
        <v>0</v>
      </c>
      <c r="M121">
        <f t="shared" si="53"/>
        <v>9</v>
      </c>
      <c r="O121" t="str">
        <f t="shared" si="54"/>
        <v/>
      </c>
      <c r="Q121" t="str">
        <f>IF(周转筐出入库明细!$D122="","",周转筐出入库明细!$D122)</f>
        <v/>
      </c>
      <c r="R121">
        <f t="shared" si="55"/>
        <v>0</v>
      </c>
      <c r="S121">
        <f t="shared" si="56"/>
        <v>5</v>
      </c>
      <c r="W121" t="str">
        <f>IF(周转筐出入库明细!$C122="","",周转筐出入库明细!$C122)</f>
        <v/>
      </c>
      <c r="X121">
        <f t="shared" si="57"/>
        <v>0</v>
      </c>
      <c r="Y121">
        <f t="shared" si="58"/>
        <v>12</v>
      </c>
      <c r="AA121" t="str">
        <f t="shared" si="59"/>
        <v/>
      </c>
      <c r="AC121" t="str">
        <f>IF(客户自备加工筐明细!$C121="","",客户自备加工筐明细!$C121)</f>
        <v/>
      </c>
      <c r="AD121">
        <f t="shared" si="60"/>
        <v>0</v>
      </c>
      <c r="AE121">
        <f t="shared" si="61"/>
        <v>1</v>
      </c>
      <c r="AI121" t="str">
        <f>IF(客户自备加工筐明细!$E121="","",客户自备加工筐明细!$E121)</f>
        <v/>
      </c>
      <c r="AJ121">
        <f t="shared" si="62"/>
        <v>0</v>
      </c>
      <c r="AK121">
        <f t="shared" si="63"/>
        <v>1</v>
      </c>
      <c r="AM121" t="str">
        <f>IFERROR(INDEX($AI$4:$AI$1503,MATCH(118,$AK$4:$AK$1503,0)),"")</f>
        <v/>
      </c>
      <c r="AO121" t="str">
        <f>IF(次果筐明细!$D121="","",次果筐明细!$D121)</f>
        <v/>
      </c>
      <c r="AP121">
        <f t="shared" si="64"/>
        <v>0</v>
      </c>
      <c r="AQ121">
        <f t="shared" si="65"/>
        <v>1</v>
      </c>
      <c r="AU121" t="str">
        <f>IF(次果筐明细!$C121="","",次果筐明细!$C121)</f>
        <v/>
      </c>
      <c r="AV121">
        <f t="shared" si="66"/>
        <v>0</v>
      </c>
      <c r="AW121">
        <f t="shared" si="67"/>
        <v>1</v>
      </c>
      <c r="AY121" t="str">
        <f t="shared" si="68"/>
        <v/>
      </c>
      <c r="BA121" t="str">
        <f>IF(对接源_01水果筐数!$B122="","",对接源_01水果筐数!$B122)</f>
        <v/>
      </c>
      <c r="BB121">
        <f t="shared" si="69"/>
        <v>0</v>
      </c>
      <c r="BC121">
        <f t="shared" si="70"/>
        <v>14</v>
      </c>
      <c r="BE121" t="str">
        <f t="shared" si="71"/>
        <v/>
      </c>
      <c r="BG121" t="str">
        <f>IF(对接源_01水果筐数!$C122="","",对接源_01水果筐数!$C122)</f>
        <v/>
      </c>
      <c r="BH121">
        <f t="shared" si="72"/>
        <v>0</v>
      </c>
      <c r="BI121">
        <f t="shared" si="73"/>
        <v>7</v>
      </c>
      <c r="BM121" t="str">
        <f t="shared" si="90"/>
        <v/>
      </c>
      <c r="BN121">
        <f t="shared" si="74"/>
        <v>0</v>
      </c>
      <c r="BO121">
        <f t="shared" si="75"/>
        <v>6</v>
      </c>
      <c r="BS121" t="str">
        <f t="shared" si="76"/>
        <v/>
      </c>
      <c r="BT121">
        <f t="shared" si="77"/>
        <v>0</v>
      </c>
      <c r="BU121">
        <f t="shared" si="78"/>
        <v>9</v>
      </c>
      <c r="BW121" t="str">
        <f t="shared" si="79"/>
        <v/>
      </c>
      <c r="BY121" t="str">
        <f t="shared" si="80"/>
        <v/>
      </c>
      <c r="BZ121">
        <f t="shared" si="81"/>
        <v>0</v>
      </c>
      <c r="CA121">
        <f t="shared" si="82"/>
        <v>12</v>
      </c>
      <c r="CC121" t="str">
        <f t="shared" si="83"/>
        <v/>
      </c>
      <c r="CI121" t="str">
        <f>IF(基础资料!$E21="","",基础资料!$E21)</f>
        <v/>
      </c>
      <c r="CJ121">
        <f t="shared" si="84"/>
        <v>0</v>
      </c>
      <c r="CK121">
        <f t="shared" si="85"/>
        <v>24</v>
      </c>
      <c r="CL121" t="str">
        <f t="shared" si="86"/>
        <v/>
      </c>
      <c r="CP121">
        <f>IF(包装物料出入库明细!$D121="",0,1)</f>
        <v>0</v>
      </c>
      <c r="CQ121">
        <f t="shared" si="87"/>
        <v>37</v>
      </c>
      <c r="CS121" t="str">
        <f>IF(OR(周转筐出入库明细!$C122="",周转筐出入库明细!$F122&lt;&gt;"采购入库"),"",周转筐出入库明细!$C122)</f>
        <v/>
      </c>
      <c r="CT121">
        <f t="shared" si="88"/>
        <v>0</v>
      </c>
      <c r="CU121">
        <f t="shared" si="89"/>
        <v>1</v>
      </c>
      <c r="CW121" t="str">
        <f>IFERROR(INDEX($CS$4:$CS$2003,MATCH(118,$CU$4:$CU$2003,0)),"")</f>
        <v/>
      </c>
    </row>
    <row r="122" spans="1:101">
      <c r="A122" t="str">
        <f>IF(包装物料出入库明细!$E122="","",包装物料出入库明细!$E122)</f>
        <v/>
      </c>
      <c r="B122">
        <f t="shared" si="50"/>
        <v>0</v>
      </c>
      <c r="C122">
        <f t="shared" si="51"/>
        <v>7</v>
      </c>
      <c r="D122" t="str">
        <f>IF(包装物料出入库明细!$E122="","",包装物料出入库明细!$F122)</f>
        <v/>
      </c>
      <c r="E122" t="str">
        <f>IF(包装物料出入库明细!$E122="","",包装物料出入库明细!$G122)</f>
        <v/>
      </c>
      <c r="K122" t="str">
        <f>IF(包装物料出入库明细!$D122="","",包装物料出入库明细!$D122)</f>
        <v/>
      </c>
      <c r="L122">
        <f t="shared" si="52"/>
        <v>0</v>
      </c>
      <c r="M122">
        <f t="shared" si="53"/>
        <v>9</v>
      </c>
      <c r="O122" t="str">
        <f t="shared" si="54"/>
        <v/>
      </c>
      <c r="Q122" t="str">
        <f>IF(周转筐出入库明细!$D123="","",周转筐出入库明细!$D123)</f>
        <v/>
      </c>
      <c r="R122">
        <f t="shared" si="55"/>
        <v>0</v>
      </c>
      <c r="S122">
        <f t="shared" si="56"/>
        <v>5</v>
      </c>
      <c r="W122" t="str">
        <f>IF(周转筐出入库明细!$C123="","",周转筐出入库明细!$C123)</f>
        <v/>
      </c>
      <c r="X122">
        <f t="shared" si="57"/>
        <v>0</v>
      </c>
      <c r="Y122">
        <f t="shared" si="58"/>
        <v>12</v>
      </c>
      <c r="AA122" t="str">
        <f t="shared" si="59"/>
        <v/>
      </c>
      <c r="AC122" t="str">
        <f>IF(客户自备加工筐明细!$C122="","",客户自备加工筐明细!$C122)</f>
        <v/>
      </c>
      <c r="AD122">
        <f t="shared" si="60"/>
        <v>0</v>
      </c>
      <c r="AE122">
        <f t="shared" si="61"/>
        <v>1</v>
      </c>
      <c r="AI122" t="str">
        <f>IF(客户自备加工筐明细!$E122="","",客户自备加工筐明细!$E122)</f>
        <v/>
      </c>
      <c r="AJ122">
        <f t="shared" si="62"/>
        <v>0</v>
      </c>
      <c r="AK122">
        <f t="shared" si="63"/>
        <v>1</v>
      </c>
      <c r="AM122" t="str">
        <f>IFERROR(INDEX($AI$4:$AI$1503,MATCH(119,$AK$4:$AK$1503,0)),"")</f>
        <v/>
      </c>
      <c r="AO122" t="str">
        <f>IF(次果筐明细!$D122="","",次果筐明细!$D122)</f>
        <v/>
      </c>
      <c r="AP122">
        <f t="shared" si="64"/>
        <v>0</v>
      </c>
      <c r="AQ122">
        <f t="shared" si="65"/>
        <v>1</v>
      </c>
      <c r="AU122" t="str">
        <f>IF(次果筐明细!$C122="","",次果筐明细!$C122)</f>
        <v/>
      </c>
      <c r="AV122">
        <f t="shared" si="66"/>
        <v>0</v>
      </c>
      <c r="AW122">
        <f t="shared" si="67"/>
        <v>1</v>
      </c>
      <c r="AY122" t="str">
        <f t="shared" si="68"/>
        <v/>
      </c>
      <c r="BA122" t="str">
        <f>IF(对接源_01水果筐数!$B123="","",对接源_01水果筐数!$B123)</f>
        <v/>
      </c>
      <c r="BB122">
        <f t="shared" si="69"/>
        <v>0</v>
      </c>
      <c r="BC122">
        <f t="shared" si="70"/>
        <v>14</v>
      </c>
      <c r="BE122" t="str">
        <f t="shared" si="71"/>
        <v/>
      </c>
      <c r="BG122" t="str">
        <f>IF(对接源_01水果筐数!$C123="","",对接源_01水果筐数!$C123)</f>
        <v/>
      </c>
      <c r="BH122">
        <f t="shared" si="72"/>
        <v>0</v>
      </c>
      <c r="BI122">
        <f t="shared" si="73"/>
        <v>7</v>
      </c>
      <c r="BM122" t="str">
        <f t="shared" si="90"/>
        <v/>
      </c>
      <c r="BN122">
        <f t="shared" si="74"/>
        <v>0</v>
      </c>
      <c r="BO122">
        <f t="shared" si="75"/>
        <v>6</v>
      </c>
      <c r="BS122" t="str">
        <f t="shared" si="76"/>
        <v/>
      </c>
      <c r="BT122">
        <f t="shared" si="77"/>
        <v>0</v>
      </c>
      <c r="BU122">
        <f t="shared" si="78"/>
        <v>9</v>
      </c>
      <c r="BW122" t="str">
        <f t="shared" si="79"/>
        <v/>
      </c>
      <c r="BY122" t="str">
        <f t="shared" si="80"/>
        <v/>
      </c>
      <c r="BZ122">
        <f t="shared" si="81"/>
        <v>0</v>
      </c>
      <c r="CA122">
        <f t="shared" si="82"/>
        <v>12</v>
      </c>
      <c r="CC122" t="str">
        <f t="shared" si="83"/>
        <v/>
      </c>
      <c r="CI122" t="str">
        <f>IF(基础资料!$E22="","",基础资料!$E22)</f>
        <v/>
      </c>
      <c r="CJ122">
        <f t="shared" si="84"/>
        <v>0</v>
      </c>
      <c r="CK122">
        <f t="shared" si="85"/>
        <v>24</v>
      </c>
      <c r="CL122" t="str">
        <f t="shared" si="86"/>
        <v/>
      </c>
      <c r="CP122">
        <f>IF(包装物料出入库明细!$D122="",0,1)</f>
        <v>0</v>
      </c>
      <c r="CQ122">
        <f t="shared" si="87"/>
        <v>37</v>
      </c>
      <c r="CS122" t="str">
        <f>IF(OR(周转筐出入库明细!$C123="",周转筐出入库明细!$F123&lt;&gt;"采购入库"),"",周转筐出入库明细!$C123)</f>
        <v/>
      </c>
      <c r="CT122">
        <f t="shared" si="88"/>
        <v>0</v>
      </c>
      <c r="CU122">
        <f t="shared" si="89"/>
        <v>1</v>
      </c>
      <c r="CW122" t="str">
        <f>IFERROR(INDEX($CS$4:$CS$2003,MATCH(119,$CU$4:$CU$2003,0)),"")</f>
        <v/>
      </c>
    </row>
    <row r="123" spans="1:101">
      <c r="A123" t="str">
        <f>IF(包装物料出入库明细!$E123="","",包装物料出入库明细!$E123)</f>
        <v/>
      </c>
      <c r="B123">
        <f t="shared" si="50"/>
        <v>0</v>
      </c>
      <c r="C123">
        <f t="shared" si="51"/>
        <v>7</v>
      </c>
      <c r="D123" t="str">
        <f>IF(包装物料出入库明细!$E123="","",包装物料出入库明细!$F123)</f>
        <v/>
      </c>
      <c r="E123" t="str">
        <f>IF(包装物料出入库明细!$E123="","",包装物料出入库明细!$G123)</f>
        <v/>
      </c>
      <c r="K123" t="str">
        <f>IF(包装物料出入库明细!$D123="","",包装物料出入库明细!$D123)</f>
        <v/>
      </c>
      <c r="L123">
        <f t="shared" si="52"/>
        <v>0</v>
      </c>
      <c r="M123">
        <f t="shared" si="53"/>
        <v>9</v>
      </c>
      <c r="O123" t="str">
        <f t="shared" si="54"/>
        <v/>
      </c>
      <c r="Q123" t="str">
        <f>IF(周转筐出入库明细!$D124="","",周转筐出入库明细!$D124)</f>
        <v/>
      </c>
      <c r="R123">
        <f t="shared" si="55"/>
        <v>0</v>
      </c>
      <c r="S123">
        <f t="shared" si="56"/>
        <v>5</v>
      </c>
      <c r="W123" t="str">
        <f>IF(周转筐出入库明细!$C124="","",周转筐出入库明细!$C124)</f>
        <v/>
      </c>
      <c r="X123">
        <f t="shared" si="57"/>
        <v>0</v>
      </c>
      <c r="Y123">
        <f t="shared" si="58"/>
        <v>12</v>
      </c>
      <c r="AA123" t="str">
        <f t="shared" si="59"/>
        <v/>
      </c>
      <c r="AC123" t="str">
        <f>IF(客户自备加工筐明细!$C123="","",客户自备加工筐明细!$C123)</f>
        <v/>
      </c>
      <c r="AD123">
        <f t="shared" si="60"/>
        <v>0</v>
      </c>
      <c r="AE123">
        <f t="shared" si="61"/>
        <v>1</v>
      </c>
      <c r="AI123" t="str">
        <f>IF(客户自备加工筐明细!$E123="","",客户自备加工筐明细!$E123)</f>
        <v/>
      </c>
      <c r="AJ123">
        <f t="shared" si="62"/>
        <v>0</v>
      </c>
      <c r="AK123">
        <f t="shared" si="63"/>
        <v>1</v>
      </c>
      <c r="AM123" t="str">
        <f>IFERROR(INDEX($AI$4:$AI$1503,MATCH(120,$AK$4:$AK$1503,0)),"")</f>
        <v/>
      </c>
      <c r="AO123" t="str">
        <f>IF(次果筐明细!$D123="","",次果筐明细!$D123)</f>
        <v/>
      </c>
      <c r="AP123">
        <f t="shared" si="64"/>
        <v>0</v>
      </c>
      <c r="AQ123">
        <f t="shared" si="65"/>
        <v>1</v>
      </c>
      <c r="AU123" t="str">
        <f>IF(次果筐明细!$C123="","",次果筐明细!$C123)</f>
        <v/>
      </c>
      <c r="AV123">
        <f t="shared" si="66"/>
        <v>0</v>
      </c>
      <c r="AW123">
        <f t="shared" si="67"/>
        <v>1</v>
      </c>
      <c r="AY123" t="str">
        <f t="shared" si="68"/>
        <v/>
      </c>
      <c r="BA123" t="str">
        <f>IF(对接源_01水果筐数!$B124="","",对接源_01水果筐数!$B124)</f>
        <v/>
      </c>
      <c r="BB123">
        <f t="shared" si="69"/>
        <v>0</v>
      </c>
      <c r="BC123">
        <f t="shared" si="70"/>
        <v>14</v>
      </c>
      <c r="BE123" t="str">
        <f t="shared" si="71"/>
        <v/>
      </c>
      <c r="BG123" t="str">
        <f>IF(对接源_01水果筐数!$C124="","",对接源_01水果筐数!$C124)</f>
        <v/>
      </c>
      <c r="BH123">
        <f t="shared" si="72"/>
        <v>0</v>
      </c>
      <c r="BI123">
        <f t="shared" si="73"/>
        <v>7</v>
      </c>
      <c r="BM123" t="str">
        <f t="shared" si="90"/>
        <v/>
      </c>
      <c r="BN123">
        <f t="shared" si="74"/>
        <v>0</v>
      </c>
      <c r="BO123">
        <f t="shared" si="75"/>
        <v>6</v>
      </c>
      <c r="BS123" t="str">
        <f t="shared" si="76"/>
        <v/>
      </c>
      <c r="BT123">
        <f t="shared" si="77"/>
        <v>0</v>
      </c>
      <c r="BU123">
        <f t="shared" si="78"/>
        <v>9</v>
      </c>
      <c r="BW123" t="str">
        <f t="shared" si="79"/>
        <v/>
      </c>
      <c r="BY123" t="str">
        <f t="shared" si="80"/>
        <v/>
      </c>
      <c r="BZ123">
        <f t="shared" si="81"/>
        <v>0</v>
      </c>
      <c r="CA123">
        <f t="shared" si="82"/>
        <v>12</v>
      </c>
      <c r="CC123" t="str">
        <f t="shared" si="83"/>
        <v/>
      </c>
      <c r="CI123" t="str">
        <f>IF(基础资料!$E23="","",基础资料!$E23)</f>
        <v/>
      </c>
      <c r="CJ123">
        <f t="shared" si="84"/>
        <v>0</v>
      </c>
      <c r="CK123">
        <f t="shared" si="85"/>
        <v>24</v>
      </c>
      <c r="CL123" t="str">
        <f t="shared" si="86"/>
        <v/>
      </c>
      <c r="CP123">
        <f>IF(包装物料出入库明细!$D123="",0,1)</f>
        <v>0</v>
      </c>
      <c r="CQ123">
        <f t="shared" si="87"/>
        <v>37</v>
      </c>
      <c r="CS123" t="str">
        <f>IF(OR(周转筐出入库明细!$C124="",周转筐出入库明细!$F124&lt;&gt;"采购入库"),"",周转筐出入库明细!$C124)</f>
        <v/>
      </c>
      <c r="CT123">
        <f t="shared" si="88"/>
        <v>0</v>
      </c>
      <c r="CU123">
        <f t="shared" si="89"/>
        <v>1</v>
      </c>
      <c r="CW123" t="str">
        <f>IFERROR(INDEX($CS$4:$CS$2003,MATCH(120,$CU$4:$CU$2003,0)),"")</f>
        <v/>
      </c>
    </row>
    <row r="124" spans="1:101">
      <c r="A124" t="str">
        <f>IF(包装物料出入库明细!$E124="","",包装物料出入库明细!$E124)</f>
        <v/>
      </c>
      <c r="B124">
        <f t="shared" si="50"/>
        <v>0</v>
      </c>
      <c r="C124">
        <f t="shared" si="51"/>
        <v>7</v>
      </c>
      <c r="D124" t="str">
        <f>IF(包装物料出入库明细!$E124="","",包装物料出入库明细!$F124)</f>
        <v/>
      </c>
      <c r="E124" t="str">
        <f>IF(包装物料出入库明细!$E124="","",包装物料出入库明细!$G124)</f>
        <v/>
      </c>
      <c r="K124" t="str">
        <f>IF(包装物料出入库明细!$D124="","",包装物料出入库明细!$D124)</f>
        <v/>
      </c>
      <c r="L124">
        <f t="shared" si="52"/>
        <v>0</v>
      </c>
      <c r="M124">
        <f t="shared" si="53"/>
        <v>9</v>
      </c>
      <c r="O124" t="str">
        <f t="shared" si="54"/>
        <v/>
      </c>
      <c r="Q124" t="str">
        <f>IF(周转筐出入库明细!$D125="","",周转筐出入库明细!$D125)</f>
        <v/>
      </c>
      <c r="R124">
        <f t="shared" si="55"/>
        <v>0</v>
      </c>
      <c r="S124">
        <f t="shared" si="56"/>
        <v>5</v>
      </c>
      <c r="W124" t="str">
        <f>IF(周转筐出入库明细!$C125="","",周转筐出入库明细!$C125)</f>
        <v/>
      </c>
      <c r="X124">
        <f t="shared" si="57"/>
        <v>0</v>
      </c>
      <c r="Y124">
        <f t="shared" si="58"/>
        <v>12</v>
      </c>
      <c r="AA124" t="str">
        <f t="shared" si="59"/>
        <v/>
      </c>
      <c r="AC124" t="str">
        <f>IF(客户自备加工筐明细!$C124="","",客户自备加工筐明细!$C124)</f>
        <v/>
      </c>
      <c r="AD124">
        <f t="shared" si="60"/>
        <v>0</v>
      </c>
      <c r="AE124">
        <f t="shared" si="61"/>
        <v>1</v>
      </c>
      <c r="AI124" t="str">
        <f>IF(客户自备加工筐明细!$E124="","",客户自备加工筐明细!$E124)</f>
        <v/>
      </c>
      <c r="AJ124">
        <f t="shared" si="62"/>
        <v>0</v>
      </c>
      <c r="AK124">
        <f t="shared" si="63"/>
        <v>1</v>
      </c>
      <c r="AM124" t="str">
        <f>IFERROR(INDEX($AI$4:$AI$1503,MATCH(121,$AK$4:$AK$1503,0)),"")</f>
        <v/>
      </c>
      <c r="AO124" t="str">
        <f>IF(次果筐明细!$D124="","",次果筐明细!$D124)</f>
        <v/>
      </c>
      <c r="AP124">
        <f t="shared" si="64"/>
        <v>0</v>
      </c>
      <c r="AQ124">
        <f t="shared" si="65"/>
        <v>1</v>
      </c>
      <c r="AU124" t="str">
        <f>IF(次果筐明细!$C124="","",次果筐明细!$C124)</f>
        <v/>
      </c>
      <c r="AV124">
        <f t="shared" si="66"/>
        <v>0</v>
      </c>
      <c r="AW124">
        <f t="shared" si="67"/>
        <v>1</v>
      </c>
      <c r="AY124" t="str">
        <f t="shared" si="68"/>
        <v/>
      </c>
      <c r="BA124" t="str">
        <f>IF(对接源_01水果筐数!$B125="","",对接源_01水果筐数!$B125)</f>
        <v/>
      </c>
      <c r="BB124">
        <f t="shared" si="69"/>
        <v>0</v>
      </c>
      <c r="BC124">
        <f t="shared" si="70"/>
        <v>14</v>
      </c>
      <c r="BE124" t="str">
        <f t="shared" si="71"/>
        <v/>
      </c>
      <c r="BG124" t="str">
        <f>IF(对接源_01水果筐数!$C125="","",对接源_01水果筐数!$C125)</f>
        <v/>
      </c>
      <c r="BH124">
        <f t="shared" si="72"/>
        <v>0</v>
      </c>
      <c r="BI124">
        <f t="shared" si="73"/>
        <v>7</v>
      </c>
      <c r="BM124" t="str">
        <f t="shared" ref="BM124:BM183" si="91">IF($BK4="","",$BK4)</f>
        <v>自备一次性筐</v>
      </c>
      <c r="BN124">
        <f t="shared" si="74"/>
        <v>0</v>
      </c>
      <c r="BO124">
        <f t="shared" si="75"/>
        <v>6</v>
      </c>
      <c r="BS124" t="str">
        <f t="shared" si="76"/>
        <v/>
      </c>
      <c r="BT124">
        <f t="shared" si="77"/>
        <v>0</v>
      </c>
      <c r="BU124">
        <f t="shared" si="78"/>
        <v>9</v>
      </c>
      <c r="BW124" t="str">
        <f t="shared" si="79"/>
        <v/>
      </c>
      <c r="BY124" t="str">
        <f t="shared" si="80"/>
        <v/>
      </c>
      <c r="BZ124">
        <f t="shared" si="81"/>
        <v>0</v>
      </c>
      <c r="CA124">
        <f t="shared" si="82"/>
        <v>12</v>
      </c>
      <c r="CC124" t="str">
        <f t="shared" si="83"/>
        <v/>
      </c>
      <c r="CI124" t="str">
        <f>IF(基础资料!$E24="","",基础资料!$E24)</f>
        <v/>
      </c>
      <c r="CJ124">
        <f t="shared" si="84"/>
        <v>0</v>
      </c>
      <c r="CK124">
        <f t="shared" si="85"/>
        <v>24</v>
      </c>
      <c r="CL124" t="str">
        <f t="shared" si="86"/>
        <v/>
      </c>
      <c r="CP124">
        <f>IF(包装物料出入库明细!$D124="",0,1)</f>
        <v>0</v>
      </c>
      <c r="CQ124">
        <f t="shared" si="87"/>
        <v>37</v>
      </c>
      <c r="CS124" t="str">
        <f>IF(OR(周转筐出入库明细!$C125="",周转筐出入库明细!$F125&lt;&gt;"采购入库"),"",周转筐出入库明细!$C125)</f>
        <v/>
      </c>
      <c r="CT124">
        <f t="shared" si="88"/>
        <v>0</v>
      </c>
      <c r="CU124">
        <f t="shared" si="89"/>
        <v>1</v>
      </c>
      <c r="CW124" t="str">
        <f>IFERROR(INDEX($CS$4:$CS$2003,MATCH(121,$CU$4:$CU$2003,0)),"")</f>
        <v/>
      </c>
    </row>
    <row r="125" spans="1:101">
      <c r="A125" t="str">
        <f>IF(包装物料出入库明细!$E125="","",包装物料出入库明细!$E125)</f>
        <v/>
      </c>
      <c r="B125">
        <f t="shared" si="50"/>
        <v>0</v>
      </c>
      <c r="C125">
        <f t="shared" si="51"/>
        <v>7</v>
      </c>
      <c r="D125" t="str">
        <f>IF(包装物料出入库明细!$E125="","",包装物料出入库明细!$F125)</f>
        <v/>
      </c>
      <c r="E125" t="str">
        <f>IF(包装物料出入库明细!$E125="","",包装物料出入库明细!$G125)</f>
        <v/>
      </c>
      <c r="K125" t="str">
        <f>IF(包装物料出入库明细!$D125="","",包装物料出入库明细!$D125)</f>
        <v/>
      </c>
      <c r="L125">
        <f t="shared" si="52"/>
        <v>0</v>
      </c>
      <c r="M125">
        <f t="shared" si="53"/>
        <v>9</v>
      </c>
      <c r="O125" t="str">
        <f t="shared" si="54"/>
        <v/>
      </c>
      <c r="Q125" t="str">
        <f>IF(周转筐出入库明细!$D126="","",周转筐出入库明细!$D126)</f>
        <v/>
      </c>
      <c r="R125">
        <f t="shared" si="55"/>
        <v>0</v>
      </c>
      <c r="S125">
        <f t="shared" si="56"/>
        <v>5</v>
      </c>
      <c r="W125" t="str">
        <f>IF(周转筐出入库明细!$C126="","",周转筐出入库明细!$C126)</f>
        <v/>
      </c>
      <c r="X125">
        <f t="shared" si="57"/>
        <v>0</v>
      </c>
      <c r="Y125">
        <f t="shared" si="58"/>
        <v>12</v>
      </c>
      <c r="AA125" t="str">
        <f t="shared" si="59"/>
        <v/>
      </c>
      <c r="AC125" t="str">
        <f>IF(客户自备加工筐明细!$C125="","",客户自备加工筐明细!$C125)</f>
        <v/>
      </c>
      <c r="AD125">
        <f t="shared" si="60"/>
        <v>0</v>
      </c>
      <c r="AE125">
        <f t="shared" si="61"/>
        <v>1</v>
      </c>
      <c r="AI125" t="str">
        <f>IF(客户自备加工筐明细!$E125="","",客户自备加工筐明细!$E125)</f>
        <v/>
      </c>
      <c r="AJ125">
        <f t="shared" si="62"/>
        <v>0</v>
      </c>
      <c r="AK125">
        <f t="shared" si="63"/>
        <v>1</v>
      </c>
      <c r="AM125" t="str">
        <f>IFERROR(INDEX($AI$4:$AI$1503,MATCH(122,$AK$4:$AK$1503,0)),"")</f>
        <v/>
      </c>
      <c r="AO125" t="str">
        <f>IF(次果筐明细!$D125="","",次果筐明细!$D125)</f>
        <v/>
      </c>
      <c r="AP125">
        <f t="shared" si="64"/>
        <v>0</v>
      </c>
      <c r="AQ125">
        <f t="shared" si="65"/>
        <v>1</v>
      </c>
      <c r="AU125" t="str">
        <f>IF(次果筐明细!$C125="","",次果筐明细!$C125)</f>
        <v/>
      </c>
      <c r="AV125">
        <f t="shared" si="66"/>
        <v>0</v>
      </c>
      <c r="AW125">
        <f t="shared" si="67"/>
        <v>1</v>
      </c>
      <c r="AY125" t="str">
        <f t="shared" si="68"/>
        <v/>
      </c>
      <c r="BA125" t="str">
        <f>IF(对接源_01水果筐数!$B126="","",对接源_01水果筐数!$B126)</f>
        <v/>
      </c>
      <c r="BB125">
        <f t="shared" si="69"/>
        <v>0</v>
      </c>
      <c r="BC125">
        <f t="shared" si="70"/>
        <v>14</v>
      </c>
      <c r="BE125" t="str">
        <f t="shared" si="71"/>
        <v/>
      </c>
      <c r="BG125" t="str">
        <f>IF(对接源_01水果筐数!$C126="","",对接源_01水果筐数!$C126)</f>
        <v/>
      </c>
      <c r="BH125">
        <f t="shared" si="72"/>
        <v>0</v>
      </c>
      <c r="BI125">
        <f t="shared" si="73"/>
        <v>7</v>
      </c>
      <c r="BM125" t="str">
        <f t="shared" si="91"/>
        <v>公司杂周转筐</v>
      </c>
      <c r="BN125">
        <f t="shared" si="74"/>
        <v>0</v>
      </c>
      <c r="BO125">
        <f t="shared" si="75"/>
        <v>6</v>
      </c>
      <c r="BS125" t="str">
        <f t="shared" si="76"/>
        <v/>
      </c>
      <c r="BT125">
        <f t="shared" si="77"/>
        <v>0</v>
      </c>
      <c r="BU125">
        <f t="shared" si="78"/>
        <v>9</v>
      </c>
      <c r="BW125" t="str">
        <f t="shared" si="79"/>
        <v/>
      </c>
      <c r="BY125" t="str">
        <f t="shared" si="80"/>
        <v/>
      </c>
      <c r="BZ125">
        <f t="shared" si="81"/>
        <v>0</v>
      </c>
      <c r="CA125">
        <f t="shared" si="82"/>
        <v>12</v>
      </c>
      <c r="CC125" t="str">
        <f t="shared" si="83"/>
        <v/>
      </c>
      <c r="CI125" t="str">
        <f>IF(基础资料!$E25="","",基础资料!$E25)</f>
        <v/>
      </c>
      <c r="CJ125">
        <f t="shared" si="84"/>
        <v>0</v>
      </c>
      <c r="CK125">
        <f t="shared" si="85"/>
        <v>24</v>
      </c>
      <c r="CL125" t="str">
        <f t="shared" si="86"/>
        <v/>
      </c>
      <c r="CP125">
        <f>IF(包装物料出入库明细!$D125="",0,1)</f>
        <v>0</v>
      </c>
      <c r="CQ125">
        <f t="shared" si="87"/>
        <v>37</v>
      </c>
      <c r="CS125" t="str">
        <f>IF(OR(周转筐出入库明细!$C126="",周转筐出入库明细!$F126&lt;&gt;"采购入库"),"",周转筐出入库明细!$C126)</f>
        <v/>
      </c>
      <c r="CT125">
        <f t="shared" si="88"/>
        <v>0</v>
      </c>
      <c r="CU125">
        <f t="shared" si="89"/>
        <v>1</v>
      </c>
      <c r="CW125" t="str">
        <f>IFERROR(INDEX($CS$4:$CS$2003,MATCH(122,$CU$4:$CU$2003,0)),"")</f>
        <v/>
      </c>
    </row>
    <row r="126" spans="1:101">
      <c r="A126" t="str">
        <f>IF(包装物料出入库明细!$E126="","",包装物料出入库明细!$E126)</f>
        <v/>
      </c>
      <c r="B126">
        <f t="shared" si="50"/>
        <v>0</v>
      </c>
      <c r="C126">
        <f t="shared" si="51"/>
        <v>7</v>
      </c>
      <c r="D126" t="str">
        <f>IF(包装物料出入库明细!$E126="","",包装物料出入库明细!$F126)</f>
        <v/>
      </c>
      <c r="E126" t="str">
        <f>IF(包装物料出入库明细!$E126="","",包装物料出入库明细!$G126)</f>
        <v/>
      </c>
      <c r="K126" t="str">
        <f>IF(包装物料出入库明细!$D126="","",包装物料出入库明细!$D126)</f>
        <v/>
      </c>
      <c r="L126">
        <f t="shared" si="52"/>
        <v>0</v>
      </c>
      <c r="M126">
        <f t="shared" si="53"/>
        <v>9</v>
      </c>
      <c r="O126" t="str">
        <f t="shared" si="54"/>
        <v/>
      </c>
      <c r="Q126" t="str">
        <f>IF(周转筐出入库明细!$D127="","",周转筐出入库明细!$D127)</f>
        <v/>
      </c>
      <c r="R126">
        <f t="shared" si="55"/>
        <v>0</v>
      </c>
      <c r="S126">
        <f t="shared" si="56"/>
        <v>5</v>
      </c>
      <c r="W126" t="str">
        <f>IF(周转筐出入库明细!$C127="","",周转筐出入库明细!$C127)</f>
        <v/>
      </c>
      <c r="X126">
        <f t="shared" si="57"/>
        <v>0</v>
      </c>
      <c r="Y126">
        <f t="shared" si="58"/>
        <v>12</v>
      </c>
      <c r="AA126" t="str">
        <f t="shared" si="59"/>
        <v/>
      </c>
      <c r="AC126" t="str">
        <f>IF(客户自备加工筐明细!$C126="","",客户自备加工筐明细!$C126)</f>
        <v/>
      </c>
      <c r="AD126">
        <f t="shared" si="60"/>
        <v>0</v>
      </c>
      <c r="AE126">
        <f t="shared" si="61"/>
        <v>1</v>
      </c>
      <c r="AI126" t="str">
        <f>IF(客户自备加工筐明细!$E126="","",客户自备加工筐明细!$E126)</f>
        <v/>
      </c>
      <c r="AJ126">
        <f t="shared" si="62"/>
        <v>0</v>
      </c>
      <c r="AK126">
        <f t="shared" si="63"/>
        <v>1</v>
      </c>
      <c r="AM126" t="str">
        <f>IFERROR(INDEX($AI$4:$AI$1503,MATCH(123,$AK$4:$AK$1503,0)),"")</f>
        <v/>
      </c>
      <c r="AO126" t="str">
        <f>IF(次果筐明细!$D126="","",次果筐明细!$D126)</f>
        <v/>
      </c>
      <c r="AP126">
        <f t="shared" si="64"/>
        <v>0</v>
      </c>
      <c r="AQ126">
        <f t="shared" si="65"/>
        <v>1</v>
      </c>
      <c r="AU126" t="str">
        <f>IF(次果筐明细!$C126="","",次果筐明细!$C126)</f>
        <v/>
      </c>
      <c r="AV126">
        <f t="shared" si="66"/>
        <v>0</v>
      </c>
      <c r="AW126">
        <f t="shared" si="67"/>
        <v>1</v>
      </c>
      <c r="AY126" t="str">
        <f t="shared" si="68"/>
        <v/>
      </c>
      <c r="BA126" t="str">
        <f>IF(对接源_01水果筐数!$B127="","",对接源_01水果筐数!$B127)</f>
        <v/>
      </c>
      <c r="BB126">
        <f t="shared" si="69"/>
        <v>0</v>
      </c>
      <c r="BC126">
        <f t="shared" si="70"/>
        <v>14</v>
      </c>
      <c r="BE126" t="str">
        <f t="shared" si="71"/>
        <v/>
      </c>
      <c r="BG126" t="str">
        <f>IF(对接源_01水果筐数!$C127="","",对接源_01水果筐数!$C127)</f>
        <v/>
      </c>
      <c r="BH126">
        <f t="shared" si="72"/>
        <v>0</v>
      </c>
      <c r="BI126">
        <f t="shared" si="73"/>
        <v>7</v>
      </c>
      <c r="BM126" t="str">
        <f t="shared" si="91"/>
        <v>公司红周转筐</v>
      </c>
      <c r="BN126">
        <f t="shared" si="74"/>
        <v>0</v>
      </c>
      <c r="BO126">
        <f t="shared" si="75"/>
        <v>6</v>
      </c>
      <c r="BS126" t="str">
        <f t="shared" si="76"/>
        <v/>
      </c>
      <c r="BT126">
        <f t="shared" si="77"/>
        <v>0</v>
      </c>
      <c r="BU126">
        <f t="shared" si="78"/>
        <v>9</v>
      </c>
      <c r="BW126" t="str">
        <f t="shared" si="79"/>
        <v/>
      </c>
      <c r="BY126" t="str">
        <f t="shared" si="80"/>
        <v/>
      </c>
      <c r="BZ126">
        <f t="shared" si="81"/>
        <v>0</v>
      </c>
      <c r="CA126">
        <f t="shared" si="82"/>
        <v>12</v>
      </c>
      <c r="CC126" t="str">
        <f t="shared" si="83"/>
        <v/>
      </c>
      <c r="CI126" t="str">
        <f>IF(基础资料!$E26="","",基础资料!$E26)</f>
        <v/>
      </c>
      <c r="CJ126">
        <f t="shared" si="84"/>
        <v>0</v>
      </c>
      <c r="CK126">
        <f t="shared" si="85"/>
        <v>24</v>
      </c>
      <c r="CL126" t="str">
        <f t="shared" si="86"/>
        <v/>
      </c>
      <c r="CP126">
        <f>IF(包装物料出入库明细!$D126="",0,1)</f>
        <v>0</v>
      </c>
      <c r="CQ126">
        <f t="shared" si="87"/>
        <v>37</v>
      </c>
      <c r="CS126" t="str">
        <f>IF(OR(周转筐出入库明细!$C127="",周转筐出入库明细!$F127&lt;&gt;"采购入库"),"",周转筐出入库明细!$C127)</f>
        <v/>
      </c>
      <c r="CT126">
        <f t="shared" si="88"/>
        <v>0</v>
      </c>
      <c r="CU126">
        <f t="shared" si="89"/>
        <v>1</v>
      </c>
      <c r="CW126" t="str">
        <f>IFERROR(INDEX($CS$4:$CS$2003,MATCH(123,$CU$4:$CU$2003,0)),"")</f>
        <v/>
      </c>
    </row>
    <row r="127" spans="1:101">
      <c r="A127" t="str">
        <f>IF(包装物料出入库明细!$E127="","",包装物料出入库明细!$E127)</f>
        <v/>
      </c>
      <c r="B127">
        <f t="shared" si="50"/>
        <v>0</v>
      </c>
      <c r="C127">
        <f t="shared" si="51"/>
        <v>7</v>
      </c>
      <c r="D127" t="str">
        <f>IF(包装物料出入库明细!$E127="","",包装物料出入库明细!$F127)</f>
        <v/>
      </c>
      <c r="E127" t="str">
        <f>IF(包装物料出入库明细!$E127="","",包装物料出入库明细!$G127)</f>
        <v/>
      </c>
      <c r="K127" t="str">
        <f>IF(包装物料出入库明细!$D127="","",包装物料出入库明细!$D127)</f>
        <v/>
      </c>
      <c r="L127">
        <f t="shared" si="52"/>
        <v>0</v>
      </c>
      <c r="M127">
        <f t="shared" si="53"/>
        <v>9</v>
      </c>
      <c r="O127" t="str">
        <f t="shared" si="54"/>
        <v/>
      </c>
      <c r="Q127" t="str">
        <f>IF(周转筐出入库明细!$D128="","",周转筐出入库明细!$D128)</f>
        <v/>
      </c>
      <c r="R127">
        <f t="shared" si="55"/>
        <v>0</v>
      </c>
      <c r="S127">
        <f t="shared" si="56"/>
        <v>5</v>
      </c>
      <c r="W127" t="str">
        <f>IF(周转筐出入库明细!$C128="","",周转筐出入库明细!$C128)</f>
        <v/>
      </c>
      <c r="X127">
        <f t="shared" si="57"/>
        <v>0</v>
      </c>
      <c r="Y127">
        <f t="shared" si="58"/>
        <v>12</v>
      </c>
      <c r="AA127" t="str">
        <f t="shared" si="59"/>
        <v/>
      </c>
      <c r="AC127" t="str">
        <f>IF(客户自备加工筐明细!$C127="","",客户自备加工筐明细!$C127)</f>
        <v/>
      </c>
      <c r="AD127">
        <f t="shared" si="60"/>
        <v>0</v>
      </c>
      <c r="AE127">
        <f t="shared" si="61"/>
        <v>1</v>
      </c>
      <c r="AI127" t="str">
        <f>IF(客户自备加工筐明细!$E127="","",客户自备加工筐明细!$E127)</f>
        <v/>
      </c>
      <c r="AJ127">
        <f t="shared" si="62"/>
        <v>0</v>
      </c>
      <c r="AK127">
        <f t="shared" si="63"/>
        <v>1</v>
      </c>
      <c r="AM127" t="str">
        <f>IFERROR(INDEX($AI$4:$AI$1503,MATCH(124,$AK$4:$AK$1503,0)),"")</f>
        <v/>
      </c>
      <c r="AO127" t="str">
        <f>IF(次果筐明细!$D127="","",次果筐明细!$D127)</f>
        <v/>
      </c>
      <c r="AP127">
        <f t="shared" si="64"/>
        <v>0</v>
      </c>
      <c r="AQ127">
        <f t="shared" si="65"/>
        <v>1</v>
      </c>
      <c r="AU127" t="str">
        <f>IF(次果筐明细!$C127="","",次果筐明细!$C127)</f>
        <v/>
      </c>
      <c r="AV127">
        <f t="shared" si="66"/>
        <v>0</v>
      </c>
      <c r="AW127">
        <f t="shared" si="67"/>
        <v>1</v>
      </c>
      <c r="AY127" t="str">
        <f t="shared" si="68"/>
        <v/>
      </c>
      <c r="BA127" t="str">
        <f>IF(对接源_01水果筐数!$B128="","",对接源_01水果筐数!$B128)</f>
        <v/>
      </c>
      <c r="BB127">
        <f t="shared" si="69"/>
        <v>0</v>
      </c>
      <c r="BC127">
        <f t="shared" si="70"/>
        <v>14</v>
      </c>
      <c r="BE127" t="str">
        <f t="shared" si="71"/>
        <v/>
      </c>
      <c r="BG127" t="str">
        <f>IF(对接源_01水果筐数!$C128="","",对接源_01水果筐数!$C128)</f>
        <v/>
      </c>
      <c r="BH127">
        <f t="shared" si="72"/>
        <v>0</v>
      </c>
      <c r="BI127">
        <f t="shared" si="73"/>
        <v>7</v>
      </c>
      <c r="BM127" t="str">
        <f t="shared" si="91"/>
        <v>自备杂周转筐</v>
      </c>
      <c r="BN127">
        <f t="shared" si="74"/>
        <v>1</v>
      </c>
      <c r="BO127">
        <f t="shared" si="75"/>
        <v>7</v>
      </c>
      <c r="BS127" t="str">
        <f t="shared" si="76"/>
        <v/>
      </c>
      <c r="BT127">
        <f t="shared" si="77"/>
        <v>0</v>
      </c>
      <c r="BU127">
        <f t="shared" si="78"/>
        <v>9</v>
      </c>
      <c r="BW127" t="str">
        <f t="shared" si="79"/>
        <v/>
      </c>
      <c r="BY127" t="str">
        <f t="shared" si="80"/>
        <v/>
      </c>
      <c r="BZ127">
        <f t="shared" si="81"/>
        <v>0</v>
      </c>
      <c r="CA127">
        <f t="shared" si="82"/>
        <v>12</v>
      </c>
      <c r="CC127" t="str">
        <f t="shared" si="83"/>
        <v/>
      </c>
      <c r="CI127" t="str">
        <f>IF(基础资料!$E27="","",基础资料!$E27)</f>
        <v/>
      </c>
      <c r="CJ127">
        <f t="shared" si="84"/>
        <v>0</v>
      </c>
      <c r="CK127">
        <f t="shared" si="85"/>
        <v>24</v>
      </c>
      <c r="CL127" t="str">
        <f t="shared" si="86"/>
        <v/>
      </c>
      <c r="CP127">
        <f>IF(包装物料出入库明细!$D127="",0,1)</f>
        <v>0</v>
      </c>
      <c r="CQ127">
        <f t="shared" si="87"/>
        <v>37</v>
      </c>
      <c r="CS127" t="str">
        <f>IF(OR(周转筐出入库明细!$C128="",周转筐出入库明细!$F128&lt;&gt;"采购入库"),"",周转筐出入库明细!$C128)</f>
        <v/>
      </c>
      <c r="CT127">
        <f t="shared" si="88"/>
        <v>0</v>
      </c>
      <c r="CU127">
        <f t="shared" si="89"/>
        <v>1</v>
      </c>
      <c r="CW127" t="str">
        <f>IFERROR(INDEX($CS$4:$CS$2003,MATCH(124,$CU$4:$CU$2003,0)),"")</f>
        <v/>
      </c>
    </row>
    <row r="128" spans="1:101">
      <c r="A128" t="str">
        <f>IF(包装物料出入库明细!$E128="","",包装物料出入库明细!$E128)</f>
        <v/>
      </c>
      <c r="B128">
        <f t="shared" si="50"/>
        <v>0</v>
      </c>
      <c r="C128">
        <f t="shared" si="51"/>
        <v>7</v>
      </c>
      <c r="D128" t="str">
        <f>IF(包装物料出入库明细!$E128="","",包装物料出入库明细!$F128)</f>
        <v/>
      </c>
      <c r="E128" t="str">
        <f>IF(包装物料出入库明细!$E128="","",包装物料出入库明细!$G128)</f>
        <v/>
      </c>
      <c r="K128" t="str">
        <f>IF(包装物料出入库明细!$D128="","",包装物料出入库明细!$D128)</f>
        <v/>
      </c>
      <c r="L128">
        <f t="shared" si="52"/>
        <v>0</v>
      </c>
      <c r="M128">
        <f t="shared" si="53"/>
        <v>9</v>
      </c>
      <c r="O128" t="str">
        <f t="shared" si="54"/>
        <v/>
      </c>
      <c r="Q128" t="str">
        <f>IF(周转筐出入库明细!$D129="","",周转筐出入库明细!$D129)</f>
        <v/>
      </c>
      <c r="R128">
        <f t="shared" si="55"/>
        <v>0</v>
      </c>
      <c r="S128">
        <f t="shared" si="56"/>
        <v>5</v>
      </c>
      <c r="W128" t="str">
        <f>IF(周转筐出入库明细!$C129="","",周转筐出入库明细!$C129)</f>
        <v/>
      </c>
      <c r="X128">
        <f t="shared" si="57"/>
        <v>0</v>
      </c>
      <c r="Y128">
        <f t="shared" si="58"/>
        <v>12</v>
      </c>
      <c r="AA128" t="str">
        <f t="shared" si="59"/>
        <v/>
      </c>
      <c r="AC128" t="str">
        <f>IF(客户自备加工筐明细!$C128="","",客户自备加工筐明细!$C128)</f>
        <v/>
      </c>
      <c r="AD128">
        <f t="shared" si="60"/>
        <v>0</v>
      </c>
      <c r="AE128">
        <f t="shared" si="61"/>
        <v>1</v>
      </c>
      <c r="AI128" t="str">
        <f>IF(客户自备加工筐明细!$E128="","",客户自备加工筐明细!$E128)</f>
        <v/>
      </c>
      <c r="AJ128">
        <f t="shared" si="62"/>
        <v>0</v>
      </c>
      <c r="AK128">
        <f t="shared" si="63"/>
        <v>1</v>
      </c>
      <c r="AM128" t="str">
        <f>IFERROR(INDEX($AI$4:$AI$1503,MATCH(125,$AK$4:$AK$1503,0)),"")</f>
        <v/>
      </c>
      <c r="AO128" t="str">
        <f>IF(次果筐明细!$D128="","",次果筐明细!$D128)</f>
        <v/>
      </c>
      <c r="AP128">
        <f t="shared" si="64"/>
        <v>0</v>
      </c>
      <c r="AQ128">
        <f t="shared" si="65"/>
        <v>1</v>
      </c>
      <c r="AU128" t="str">
        <f>IF(次果筐明细!$C128="","",次果筐明细!$C128)</f>
        <v/>
      </c>
      <c r="AV128">
        <f t="shared" si="66"/>
        <v>0</v>
      </c>
      <c r="AW128">
        <f t="shared" si="67"/>
        <v>1</v>
      </c>
      <c r="AY128" t="str">
        <f t="shared" si="68"/>
        <v/>
      </c>
      <c r="BA128" t="str">
        <f>IF(对接源_01水果筐数!$B129="","",对接源_01水果筐数!$B129)</f>
        <v/>
      </c>
      <c r="BB128">
        <f t="shared" si="69"/>
        <v>0</v>
      </c>
      <c r="BC128">
        <f t="shared" si="70"/>
        <v>14</v>
      </c>
      <c r="BE128" t="str">
        <f t="shared" si="71"/>
        <v/>
      </c>
      <c r="BG128" t="str">
        <f>IF(对接源_01水果筐数!$C129="","",对接源_01水果筐数!$C129)</f>
        <v/>
      </c>
      <c r="BH128">
        <f t="shared" si="72"/>
        <v>0</v>
      </c>
      <c r="BI128">
        <f t="shared" si="73"/>
        <v>7</v>
      </c>
      <c r="BM128" t="str">
        <f t="shared" si="91"/>
        <v>公司新周转筐</v>
      </c>
      <c r="BN128">
        <f t="shared" si="74"/>
        <v>0</v>
      </c>
      <c r="BO128">
        <f t="shared" si="75"/>
        <v>7</v>
      </c>
      <c r="BS128" t="str">
        <f t="shared" si="76"/>
        <v/>
      </c>
      <c r="BT128">
        <f t="shared" si="77"/>
        <v>0</v>
      </c>
      <c r="BU128">
        <f t="shared" si="78"/>
        <v>9</v>
      </c>
      <c r="BW128" t="str">
        <f t="shared" si="79"/>
        <v/>
      </c>
      <c r="BY128" t="str">
        <f t="shared" si="80"/>
        <v/>
      </c>
      <c r="BZ128">
        <f t="shared" si="81"/>
        <v>0</v>
      </c>
      <c r="CA128">
        <f t="shared" si="82"/>
        <v>12</v>
      </c>
      <c r="CC128" t="str">
        <f t="shared" si="83"/>
        <v/>
      </c>
      <c r="CI128" t="str">
        <f>IF(基础资料!$E28="","",基础资料!$E28)</f>
        <v/>
      </c>
      <c r="CJ128">
        <f t="shared" si="84"/>
        <v>0</v>
      </c>
      <c r="CK128">
        <f t="shared" si="85"/>
        <v>24</v>
      </c>
      <c r="CL128" t="str">
        <f t="shared" si="86"/>
        <v/>
      </c>
      <c r="CP128">
        <f>IF(包装物料出入库明细!$D128="",0,1)</f>
        <v>0</v>
      </c>
      <c r="CQ128">
        <f t="shared" si="87"/>
        <v>37</v>
      </c>
      <c r="CS128" t="str">
        <f>IF(OR(周转筐出入库明细!$C129="",周转筐出入库明细!$F129&lt;&gt;"采购入库"),"",周转筐出入库明细!$C129)</f>
        <v/>
      </c>
      <c r="CT128">
        <f t="shared" si="88"/>
        <v>0</v>
      </c>
      <c r="CU128">
        <f t="shared" si="89"/>
        <v>1</v>
      </c>
      <c r="CW128" t="str">
        <f>IFERROR(INDEX($CS$4:$CS$2003,MATCH(125,$CU$4:$CU$2003,0)),"")</f>
        <v/>
      </c>
    </row>
    <row r="129" spans="1:101">
      <c r="A129" t="str">
        <f>IF(包装物料出入库明细!$E129="","",包装物料出入库明细!$E129)</f>
        <v/>
      </c>
      <c r="B129">
        <f t="shared" si="50"/>
        <v>0</v>
      </c>
      <c r="C129">
        <f t="shared" si="51"/>
        <v>7</v>
      </c>
      <c r="D129" t="str">
        <f>IF(包装物料出入库明细!$E129="","",包装物料出入库明细!$F129)</f>
        <v/>
      </c>
      <c r="E129" t="str">
        <f>IF(包装物料出入库明细!$E129="","",包装物料出入库明细!$G129)</f>
        <v/>
      </c>
      <c r="K129" t="str">
        <f>IF(包装物料出入库明细!$D129="","",包装物料出入库明细!$D129)</f>
        <v/>
      </c>
      <c r="L129">
        <f t="shared" si="52"/>
        <v>0</v>
      </c>
      <c r="M129">
        <f t="shared" si="53"/>
        <v>9</v>
      </c>
      <c r="O129" t="str">
        <f t="shared" si="54"/>
        <v/>
      </c>
      <c r="Q129" t="str">
        <f>IF(周转筐出入库明细!$D130="","",周转筐出入库明细!$D130)</f>
        <v/>
      </c>
      <c r="R129">
        <f t="shared" si="55"/>
        <v>0</v>
      </c>
      <c r="S129">
        <f t="shared" si="56"/>
        <v>5</v>
      </c>
      <c r="W129" t="str">
        <f>IF(周转筐出入库明细!$C130="","",周转筐出入库明细!$C130)</f>
        <v/>
      </c>
      <c r="X129">
        <f t="shared" si="57"/>
        <v>0</v>
      </c>
      <c r="Y129">
        <f t="shared" si="58"/>
        <v>12</v>
      </c>
      <c r="AA129" t="str">
        <f t="shared" si="59"/>
        <v/>
      </c>
      <c r="AC129" t="str">
        <f>IF(客户自备加工筐明细!$C129="","",客户自备加工筐明细!$C129)</f>
        <v/>
      </c>
      <c r="AD129">
        <f t="shared" si="60"/>
        <v>0</v>
      </c>
      <c r="AE129">
        <f t="shared" si="61"/>
        <v>1</v>
      </c>
      <c r="AI129" t="str">
        <f>IF(客户自备加工筐明细!$E129="","",客户自备加工筐明细!$E129)</f>
        <v/>
      </c>
      <c r="AJ129">
        <f t="shared" si="62"/>
        <v>0</v>
      </c>
      <c r="AK129">
        <f t="shared" si="63"/>
        <v>1</v>
      </c>
      <c r="AM129" t="str">
        <f>IFERROR(INDEX($AI$4:$AI$1503,MATCH(126,$AK$4:$AK$1503,0)),"")</f>
        <v/>
      </c>
      <c r="AO129" t="str">
        <f>IF(次果筐明细!$D129="","",次果筐明细!$D129)</f>
        <v/>
      </c>
      <c r="AP129">
        <f t="shared" si="64"/>
        <v>0</v>
      </c>
      <c r="AQ129">
        <f t="shared" si="65"/>
        <v>1</v>
      </c>
      <c r="AU129" t="str">
        <f>IF(次果筐明细!$C129="","",次果筐明细!$C129)</f>
        <v/>
      </c>
      <c r="AV129">
        <f t="shared" si="66"/>
        <v>0</v>
      </c>
      <c r="AW129">
        <f t="shared" si="67"/>
        <v>1</v>
      </c>
      <c r="AY129" t="str">
        <f t="shared" si="68"/>
        <v/>
      </c>
      <c r="BA129" t="str">
        <f>IF(对接源_01水果筐数!$B130="","",对接源_01水果筐数!$B130)</f>
        <v/>
      </c>
      <c r="BB129">
        <f t="shared" si="69"/>
        <v>0</v>
      </c>
      <c r="BC129">
        <f t="shared" si="70"/>
        <v>14</v>
      </c>
      <c r="BE129" t="str">
        <f t="shared" si="71"/>
        <v/>
      </c>
      <c r="BG129" t="str">
        <f>IF(对接源_01水果筐数!$C130="","",对接源_01水果筐数!$C130)</f>
        <v/>
      </c>
      <c r="BH129">
        <f t="shared" si="72"/>
        <v>0</v>
      </c>
      <c r="BI129">
        <f t="shared" si="73"/>
        <v>7</v>
      </c>
      <c r="BM129" t="str">
        <f t="shared" si="91"/>
        <v>公司一次性筐</v>
      </c>
      <c r="BN129">
        <f t="shared" si="74"/>
        <v>0</v>
      </c>
      <c r="BO129">
        <f t="shared" si="75"/>
        <v>7</v>
      </c>
      <c r="BS129" t="str">
        <f t="shared" si="76"/>
        <v/>
      </c>
      <c r="BT129">
        <f t="shared" si="77"/>
        <v>0</v>
      </c>
      <c r="BU129">
        <f t="shared" si="78"/>
        <v>9</v>
      </c>
      <c r="BW129" t="str">
        <f t="shared" si="79"/>
        <v/>
      </c>
      <c r="BY129" t="str">
        <f t="shared" si="80"/>
        <v/>
      </c>
      <c r="BZ129">
        <f t="shared" si="81"/>
        <v>0</v>
      </c>
      <c r="CA129">
        <f t="shared" si="82"/>
        <v>12</v>
      </c>
      <c r="CC129" t="str">
        <f t="shared" si="83"/>
        <v/>
      </c>
      <c r="CI129" t="str">
        <f>IF(基础资料!$E29="","",基础资料!$E29)</f>
        <v/>
      </c>
      <c r="CJ129">
        <f t="shared" si="84"/>
        <v>0</v>
      </c>
      <c r="CK129">
        <f t="shared" si="85"/>
        <v>24</v>
      </c>
      <c r="CL129" t="str">
        <f t="shared" si="86"/>
        <v/>
      </c>
      <c r="CP129">
        <f>IF(包装物料出入库明细!$D129="",0,1)</f>
        <v>0</v>
      </c>
      <c r="CQ129">
        <f t="shared" si="87"/>
        <v>37</v>
      </c>
      <c r="CS129" t="str">
        <f>IF(OR(周转筐出入库明细!$C130="",周转筐出入库明细!$F130&lt;&gt;"采购入库"),"",周转筐出入库明细!$C130)</f>
        <v/>
      </c>
      <c r="CT129">
        <f t="shared" si="88"/>
        <v>0</v>
      </c>
      <c r="CU129">
        <f t="shared" si="89"/>
        <v>1</v>
      </c>
      <c r="CW129" t="str">
        <f>IFERROR(INDEX($CS$4:$CS$2003,MATCH(126,$CU$4:$CU$2003,0)),"")</f>
        <v/>
      </c>
    </row>
    <row r="130" spans="1:101">
      <c r="A130" t="str">
        <f>IF(包装物料出入库明细!$E130="","",包装物料出入库明细!$E130)</f>
        <v/>
      </c>
      <c r="B130">
        <f t="shared" si="50"/>
        <v>0</v>
      </c>
      <c r="C130">
        <f t="shared" si="51"/>
        <v>7</v>
      </c>
      <c r="D130" t="str">
        <f>IF(包装物料出入库明细!$E130="","",包装物料出入库明细!$F130)</f>
        <v/>
      </c>
      <c r="E130" t="str">
        <f>IF(包装物料出入库明细!$E130="","",包装物料出入库明细!$G130)</f>
        <v/>
      </c>
      <c r="K130" t="str">
        <f>IF(包装物料出入库明细!$D130="","",包装物料出入库明细!$D130)</f>
        <v/>
      </c>
      <c r="L130">
        <f t="shared" si="52"/>
        <v>0</v>
      </c>
      <c r="M130">
        <f t="shared" si="53"/>
        <v>9</v>
      </c>
      <c r="O130" t="str">
        <f t="shared" si="54"/>
        <v/>
      </c>
      <c r="Q130" t="str">
        <f>IF(周转筐出入库明细!$D131="","",周转筐出入库明细!$D131)</f>
        <v/>
      </c>
      <c r="R130">
        <f t="shared" si="55"/>
        <v>0</v>
      </c>
      <c r="S130">
        <f t="shared" si="56"/>
        <v>5</v>
      </c>
      <c r="W130" t="str">
        <f>IF(周转筐出入库明细!$C131="","",周转筐出入库明细!$C131)</f>
        <v/>
      </c>
      <c r="X130">
        <f t="shared" si="57"/>
        <v>0</v>
      </c>
      <c r="Y130">
        <f t="shared" si="58"/>
        <v>12</v>
      </c>
      <c r="AA130" t="str">
        <f t="shared" si="59"/>
        <v/>
      </c>
      <c r="AC130" t="str">
        <f>IF(客户自备加工筐明细!$C130="","",客户自备加工筐明细!$C130)</f>
        <v/>
      </c>
      <c r="AD130">
        <f t="shared" si="60"/>
        <v>0</v>
      </c>
      <c r="AE130">
        <f t="shared" si="61"/>
        <v>1</v>
      </c>
      <c r="AI130" t="str">
        <f>IF(客户自备加工筐明细!$E130="","",客户自备加工筐明细!$E130)</f>
        <v/>
      </c>
      <c r="AJ130">
        <f t="shared" si="62"/>
        <v>0</v>
      </c>
      <c r="AK130">
        <f t="shared" si="63"/>
        <v>1</v>
      </c>
      <c r="AM130" t="str">
        <f>IFERROR(INDEX($AI$4:$AI$1503,MATCH(127,$AK$4:$AK$1503,0)),"")</f>
        <v/>
      </c>
      <c r="AO130" t="str">
        <f>IF(次果筐明细!$D130="","",次果筐明细!$D130)</f>
        <v/>
      </c>
      <c r="AP130">
        <f t="shared" si="64"/>
        <v>0</v>
      </c>
      <c r="AQ130">
        <f t="shared" si="65"/>
        <v>1</v>
      </c>
      <c r="AU130" t="str">
        <f>IF(次果筐明细!$C130="","",次果筐明细!$C130)</f>
        <v/>
      </c>
      <c r="AV130">
        <f t="shared" si="66"/>
        <v>0</v>
      </c>
      <c r="AW130">
        <f t="shared" si="67"/>
        <v>1</v>
      </c>
      <c r="AY130" t="str">
        <f t="shared" si="68"/>
        <v/>
      </c>
      <c r="BA130" t="str">
        <f>IF(对接源_01水果筐数!$B131="","",对接源_01水果筐数!$B131)</f>
        <v/>
      </c>
      <c r="BB130">
        <f t="shared" si="69"/>
        <v>0</v>
      </c>
      <c r="BC130">
        <f t="shared" si="70"/>
        <v>14</v>
      </c>
      <c r="BE130" t="str">
        <f t="shared" si="71"/>
        <v/>
      </c>
      <c r="BG130" t="str">
        <f>IF(对接源_01水果筐数!$C131="","",对接源_01水果筐数!$C131)</f>
        <v/>
      </c>
      <c r="BH130">
        <f t="shared" si="72"/>
        <v>0</v>
      </c>
      <c r="BI130">
        <f t="shared" si="73"/>
        <v>7</v>
      </c>
      <c r="BM130" t="str">
        <f t="shared" si="91"/>
        <v>纸箱</v>
      </c>
      <c r="BN130">
        <f t="shared" si="74"/>
        <v>1</v>
      </c>
      <c r="BO130">
        <f t="shared" si="75"/>
        <v>8</v>
      </c>
      <c r="BS130" t="str">
        <f t="shared" si="76"/>
        <v/>
      </c>
      <c r="BT130">
        <f t="shared" si="77"/>
        <v>0</v>
      </c>
      <c r="BU130">
        <f t="shared" si="78"/>
        <v>9</v>
      </c>
      <c r="BW130" t="str">
        <f t="shared" si="79"/>
        <v/>
      </c>
      <c r="BY130" t="str">
        <f t="shared" si="80"/>
        <v/>
      </c>
      <c r="BZ130">
        <f t="shared" si="81"/>
        <v>0</v>
      </c>
      <c r="CA130">
        <f t="shared" si="82"/>
        <v>12</v>
      </c>
      <c r="CC130" t="str">
        <f t="shared" si="83"/>
        <v/>
      </c>
      <c r="CI130" t="str">
        <f>IF(基础资料!$E30="","",基础资料!$E30)</f>
        <v/>
      </c>
      <c r="CJ130">
        <f t="shared" si="84"/>
        <v>0</v>
      </c>
      <c r="CK130">
        <f t="shared" si="85"/>
        <v>24</v>
      </c>
      <c r="CL130" t="str">
        <f t="shared" si="86"/>
        <v/>
      </c>
      <c r="CP130">
        <f>IF(包装物料出入库明细!$D130="",0,1)</f>
        <v>0</v>
      </c>
      <c r="CQ130">
        <f t="shared" si="87"/>
        <v>37</v>
      </c>
      <c r="CS130" t="str">
        <f>IF(OR(周转筐出入库明细!$C131="",周转筐出入库明细!$F131&lt;&gt;"采购入库"),"",周转筐出入库明细!$C131)</f>
        <v/>
      </c>
      <c r="CT130">
        <f t="shared" si="88"/>
        <v>0</v>
      </c>
      <c r="CU130">
        <f t="shared" si="89"/>
        <v>1</v>
      </c>
      <c r="CW130" t="str">
        <f>IFERROR(INDEX($CS$4:$CS$2003,MATCH(127,$CU$4:$CU$2003,0)),"")</f>
        <v/>
      </c>
    </row>
    <row r="131" spans="1:101">
      <c r="A131" t="str">
        <f>IF(包装物料出入库明细!$E131="","",包装物料出入库明细!$E131)</f>
        <v/>
      </c>
      <c r="B131">
        <f t="shared" si="50"/>
        <v>0</v>
      </c>
      <c r="C131">
        <f t="shared" si="51"/>
        <v>7</v>
      </c>
      <c r="D131" t="str">
        <f>IF(包装物料出入库明细!$E131="","",包装物料出入库明细!$F131)</f>
        <v/>
      </c>
      <c r="E131" t="str">
        <f>IF(包装物料出入库明细!$E131="","",包装物料出入库明细!$G131)</f>
        <v/>
      </c>
      <c r="K131" t="str">
        <f>IF(包装物料出入库明细!$D131="","",包装物料出入库明细!$D131)</f>
        <v/>
      </c>
      <c r="L131">
        <f t="shared" si="52"/>
        <v>0</v>
      </c>
      <c r="M131">
        <f t="shared" si="53"/>
        <v>9</v>
      </c>
      <c r="O131" t="str">
        <f t="shared" si="54"/>
        <v/>
      </c>
      <c r="Q131" t="str">
        <f>IF(周转筐出入库明细!$D132="","",周转筐出入库明细!$D132)</f>
        <v/>
      </c>
      <c r="R131">
        <f t="shared" si="55"/>
        <v>0</v>
      </c>
      <c r="S131">
        <f t="shared" si="56"/>
        <v>5</v>
      </c>
      <c r="W131" t="str">
        <f>IF(周转筐出入库明细!$C132="","",周转筐出入库明细!$C132)</f>
        <v/>
      </c>
      <c r="X131">
        <f t="shared" si="57"/>
        <v>0</v>
      </c>
      <c r="Y131">
        <f t="shared" si="58"/>
        <v>12</v>
      </c>
      <c r="AA131" t="str">
        <f t="shared" si="59"/>
        <v/>
      </c>
      <c r="AC131" t="str">
        <f>IF(客户自备加工筐明细!$C131="","",客户自备加工筐明细!$C131)</f>
        <v/>
      </c>
      <c r="AD131">
        <f t="shared" si="60"/>
        <v>0</v>
      </c>
      <c r="AE131">
        <f t="shared" si="61"/>
        <v>1</v>
      </c>
      <c r="AI131" t="str">
        <f>IF(客户自备加工筐明细!$E131="","",客户自备加工筐明细!$E131)</f>
        <v/>
      </c>
      <c r="AJ131">
        <f t="shared" si="62"/>
        <v>0</v>
      </c>
      <c r="AK131">
        <f t="shared" si="63"/>
        <v>1</v>
      </c>
      <c r="AM131" t="str">
        <f>IFERROR(INDEX($AI$4:$AI$1503,MATCH(128,$AK$4:$AK$1503,0)),"")</f>
        <v/>
      </c>
      <c r="AO131" t="str">
        <f>IF(次果筐明细!$D131="","",次果筐明细!$D131)</f>
        <v/>
      </c>
      <c r="AP131">
        <f t="shared" si="64"/>
        <v>0</v>
      </c>
      <c r="AQ131">
        <f t="shared" si="65"/>
        <v>1</v>
      </c>
      <c r="AU131" t="str">
        <f>IF(次果筐明细!$C131="","",次果筐明细!$C131)</f>
        <v/>
      </c>
      <c r="AV131">
        <f t="shared" si="66"/>
        <v>0</v>
      </c>
      <c r="AW131">
        <f t="shared" si="67"/>
        <v>1</v>
      </c>
      <c r="AY131" t="str">
        <f t="shared" si="68"/>
        <v/>
      </c>
      <c r="BA131" t="str">
        <f>IF(对接源_01水果筐数!$B132="","",对接源_01水果筐数!$B132)</f>
        <v/>
      </c>
      <c r="BB131">
        <f t="shared" si="69"/>
        <v>0</v>
      </c>
      <c r="BC131">
        <f t="shared" si="70"/>
        <v>14</v>
      </c>
      <c r="BE131" t="str">
        <f t="shared" si="71"/>
        <v/>
      </c>
      <c r="BG131" t="str">
        <f>IF(对接源_01水果筐数!$C132="","",对接源_01水果筐数!$C132)</f>
        <v/>
      </c>
      <c r="BH131">
        <f t="shared" si="72"/>
        <v>0</v>
      </c>
      <c r="BI131">
        <f t="shared" si="73"/>
        <v>7</v>
      </c>
      <c r="BM131" t="str">
        <f t="shared" si="91"/>
        <v/>
      </c>
      <c r="BN131">
        <f t="shared" si="74"/>
        <v>0</v>
      </c>
      <c r="BO131">
        <f t="shared" si="75"/>
        <v>8</v>
      </c>
      <c r="BS131" t="str">
        <f t="shared" si="76"/>
        <v/>
      </c>
      <c r="BT131">
        <f t="shared" si="77"/>
        <v>0</v>
      </c>
      <c r="BU131">
        <f t="shared" si="78"/>
        <v>9</v>
      </c>
      <c r="BW131" t="str">
        <f t="shared" si="79"/>
        <v/>
      </c>
      <c r="BY131" t="str">
        <f t="shared" si="80"/>
        <v/>
      </c>
      <c r="BZ131">
        <f t="shared" si="81"/>
        <v>0</v>
      </c>
      <c r="CA131">
        <f t="shared" si="82"/>
        <v>12</v>
      </c>
      <c r="CC131" t="str">
        <f t="shared" si="83"/>
        <v/>
      </c>
      <c r="CI131" t="str">
        <f>IF(基础资料!$E31="","",基础资料!$E31)</f>
        <v/>
      </c>
      <c r="CJ131">
        <f t="shared" si="84"/>
        <v>0</v>
      </c>
      <c r="CK131">
        <f t="shared" si="85"/>
        <v>24</v>
      </c>
      <c r="CL131" t="str">
        <f t="shared" si="86"/>
        <v/>
      </c>
      <c r="CP131">
        <f>IF(包装物料出入库明细!$D131="",0,1)</f>
        <v>0</v>
      </c>
      <c r="CQ131">
        <f t="shared" si="87"/>
        <v>37</v>
      </c>
      <c r="CS131" t="str">
        <f>IF(OR(周转筐出入库明细!$C132="",周转筐出入库明细!$F132&lt;&gt;"采购入库"),"",周转筐出入库明细!$C132)</f>
        <v/>
      </c>
      <c r="CT131">
        <f t="shared" si="88"/>
        <v>0</v>
      </c>
      <c r="CU131">
        <f t="shared" si="89"/>
        <v>1</v>
      </c>
      <c r="CW131" t="str">
        <f>IFERROR(INDEX($CS$4:$CS$2003,MATCH(128,$CU$4:$CU$2003,0)),"")</f>
        <v/>
      </c>
    </row>
    <row r="132" spans="1:101">
      <c r="A132" t="str">
        <f>IF(包装物料出入库明细!$E132="","",包装物料出入库明细!$E132)</f>
        <v/>
      </c>
      <c r="B132">
        <f t="shared" ref="B132:B195" si="92">IF(A132="",0,IF(MATCH(A132,$A$4:$A$2003,0)=ROW()-3,1,0))</f>
        <v>0</v>
      </c>
      <c r="C132">
        <f t="shared" ref="C132:C195" si="93">N(C131)+B132</f>
        <v>7</v>
      </c>
      <c r="D132" t="str">
        <f>IF(包装物料出入库明细!$E132="","",包装物料出入库明细!$F132)</f>
        <v/>
      </c>
      <c r="E132" t="str">
        <f>IF(包装物料出入库明细!$E132="","",包装物料出入库明细!$G132)</f>
        <v/>
      </c>
      <c r="K132" t="str">
        <f>IF(包装物料出入库明细!$D132="","",包装物料出入库明细!$D132)</f>
        <v/>
      </c>
      <c r="L132">
        <f t="shared" ref="L132:L195" si="94">IF(K132="",0,IF(MATCH(K132,$K$4:$K$2003,0)=ROW()-3,1,0))</f>
        <v>0</v>
      </c>
      <c r="M132">
        <f t="shared" ref="M132:M195" si="95">N(M131)+L132</f>
        <v>9</v>
      </c>
      <c r="O132" t="str">
        <f t="shared" ref="O132:O195" si="96">IFERROR(INDEX($K$4:$K$2003,MATCH(ROW()-3,$M$4:$M$2003,0)),"")</f>
        <v/>
      </c>
      <c r="Q132" t="str">
        <f>IF(周转筐出入库明细!$D133="","",周转筐出入库明细!$D133)</f>
        <v/>
      </c>
      <c r="R132">
        <f t="shared" ref="R132:R195" si="97">IF(Q132="",0,IF(MATCH(Q132,$Q$4:$Q$2003,0)=ROW()-3,1,0))</f>
        <v>0</v>
      </c>
      <c r="S132">
        <f t="shared" ref="S132:S195" si="98">N(S131)+R132</f>
        <v>5</v>
      </c>
      <c r="W132" t="str">
        <f>IF(周转筐出入库明细!$C133="","",周转筐出入库明细!$C133)</f>
        <v/>
      </c>
      <c r="X132">
        <f t="shared" ref="X132:X195" si="99">IF(W132="",0,IF(MATCH(W132,$W$4:$W$2003,0)=ROW()-3,1,0))</f>
        <v>0</v>
      </c>
      <c r="Y132">
        <f t="shared" ref="Y132:Y195" si="100">N(Y131)+X132</f>
        <v>12</v>
      </c>
      <c r="AA132" t="str">
        <f t="shared" ref="AA132:AA195" si="101">IFERROR(INDEX($W$4:$W$2003,MATCH(ROW()-3,$Y$4:$Y$2003,0)),"")</f>
        <v/>
      </c>
      <c r="AC132" t="str">
        <f>IF(客户自备加工筐明细!$C132="","",客户自备加工筐明细!$C132)</f>
        <v/>
      </c>
      <c r="AD132">
        <f t="shared" ref="AD132:AD195" si="102">IF(AC132="",0,IF(MATCH(AC132,$AC$4:$AC$1203,0)=ROW()-3,1,0))</f>
        <v>0</v>
      </c>
      <c r="AE132">
        <f t="shared" ref="AE132:AE195" si="103">N(AE131)+AD132</f>
        <v>1</v>
      </c>
      <c r="AI132" t="str">
        <f>IF(客户自备加工筐明细!$E132="","",客户自备加工筐明细!$E132)</f>
        <v/>
      </c>
      <c r="AJ132">
        <f t="shared" ref="AJ132:AJ195" si="104">IF(AI132="",0,IF(MATCH(AI132,$AI$4:$AI$1503,0)=ROW()-3,1,0))</f>
        <v>0</v>
      </c>
      <c r="AK132">
        <f t="shared" ref="AK132:AK195" si="105">N(AK131)+AJ132</f>
        <v>1</v>
      </c>
      <c r="AM132" t="str">
        <f>IFERROR(INDEX($AI$4:$AI$1503,MATCH(129,$AK$4:$AK$1503,0)),"")</f>
        <v/>
      </c>
      <c r="AO132" t="str">
        <f>IF(次果筐明细!$D132="","",次果筐明细!$D132)</f>
        <v/>
      </c>
      <c r="AP132">
        <f t="shared" ref="AP132:AP195" si="106">IF(AO132="",0,IF(MATCH(AO132,$AO$4:$AO$603,0)=ROW()-3,1,0))</f>
        <v>0</v>
      </c>
      <c r="AQ132">
        <f t="shared" ref="AQ132:AQ195" si="107">N(AQ131)+AP132</f>
        <v>1</v>
      </c>
      <c r="AU132" t="str">
        <f>IF(次果筐明细!$C132="","",次果筐明细!$C132)</f>
        <v/>
      </c>
      <c r="AV132">
        <f t="shared" ref="AV132:AV195" si="108">IF(AU132="",0,IF(MATCH(AU132,$AU$4:$AU$603,0)=ROW()-3,1,0))</f>
        <v>0</v>
      </c>
      <c r="AW132">
        <f t="shared" ref="AW132:AW195" si="109">N(AW131)+AV132</f>
        <v>1</v>
      </c>
      <c r="AY132" t="str">
        <f t="shared" ref="AY132:AY195" si="110">IFERROR(INDEX($AU$4:$AU$603,MATCH(ROW()-3,$AW$4:$AW$603,0)),"")</f>
        <v/>
      </c>
      <c r="BA132" t="str">
        <f>IF(对接源_01水果筐数!$B133="","",对接源_01水果筐数!$B133)</f>
        <v/>
      </c>
      <c r="BB132">
        <f t="shared" ref="BB132:BB195" si="111">IF(BA132="",0,IF(MATCH(BA132,$BA$4:$BA$303,0)=ROW()-3,1,0))</f>
        <v>0</v>
      </c>
      <c r="BC132">
        <f t="shared" ref="BC132:BC195" si="112">N(BC131)+BB132</f>
        <v>14</v>
      </c>
      <c r="BE132" t="str">
        <f t="shared" ref="BE132:BE195" si="113">IFERROR(INDEX($BA$4:$BA$303,MATCH(ROW()-3,$BC$4:$BC$303,0)),"")</f>
        <v/>
      </c>
      <c r="BG132" t="str">
        <f>IF(对接源_01水果筐数!$C133="","",对接源_01水果筐数!$C133)</f>
        <v/>
      </c>
      <c r="BH132">
        <f t="shared" ref="BH132:BH195" si="114">IF(BG132="",0,IF(MATCH(BG132,$BG$4:$BG$303,0)=ROW()-3,1,0))</f>
        <v>0</v>
      </c>
      <c r="BI132">
        <f t="shared" ref="BI132:BI195" si="115">N(BI131)+BH132</f>
        <v>7</v>
      </c>
      <c r="BM132" t="str">
        <f t="shared" si="91"/>
        <v/>
      </c>
      <c r="BN132">
        <f t="shared" ref="BN132:BN183" si="116">IF(BM132="",0,IF(MATCH(BM132,$BM$4:$BM$183,0)=ROW()-3,1,0))</f>
        <v>0</v>
      </c>
      <c r="BO132">
        <f t="shared" ref="BO132:BO183" si="117">N(BO131)+BN132</f>
        <v>8</v>
      </c>
      <c r="BS132" t="str">
        <f t="shared" ref="BS132:BS195" si="118">IF($O132="","",$O132)</f>
        <v/>
      </c>
      <c r="BT132">
        <f t="shared" ref="BT132:BT195" si="119">IF(BS132="",0,IF(MATCH(BS132,$BS$4:$BS$1103,0)=ROW()-3,1,0))</f>
        <v>0</v>
      </c>
      <c r="BU132">
        <f t="shared" ref="BU132:BU195" si="120">N(BU131)+BT132</f>
        <v>9</v>
      </c>
      <c r="BW132" t="str">
        <f t="shared" ref="BW132:BW195" si="121">IFERROR(INDEX($BS$4:$BS$1103,MATCH(ROW()-3,$BU$4:$BU$1103,0)),"")</f>
        <v/>
      </c>
      <c r="BY132" t="str">
        <f t="shared" ref="BY132:BY195" si="122">IF($AA132="","",$AA132)</f>
        <v/>
      </c>
      <c r="BZ132">
        <f t="shared" ref="BZ132:BZ195" si="123">IF(BY132="",0,IF(MATCH(BY132,$BY$4:$BY$503,0)=ROW()-3,1,0))</f>
        <v>0</v>
      </c>
      <c r="CA132">
        <f t="shared" ref="CA132:CA195" si="124">N(CA131)+BZ132</f>
        <v>12</v>
      </c>
      <c r="CC132" t="str">
        <f t="shared" ref="CC132:CC195" si="125">IFERROR(INDEX($BY$4:$BY$503,MATCH(ROW()-3,$CA$4:$CA$503,0)),"")</f>
        <v/>
      </c>
      <c r="CI132" t="str">
        <f>IF(基础资料!$E32="","",基础资料!$E32)</f>
        <v/>
      </c>
      <c r="CJ132">
        <f t="shared" ref="CJ132:CJ195" si="126">IF(CI132="",0,IF(MATCH(CI132,$CI$4:$CI$203,0)=ROW()-3,1,0))</f>
        <v>0</v>
      </c>
      <c r="CK132">
        <f t="shared" ref="CK132:CK195" si="127">N(CK131)+$CJ132</f>
        <v>24</v>
      </c>
      <c r="CL132" t="str">
        <f t="shared" ref="CL132:CL195" si="128">IFERROR(INDEX($CI$4:$CI$203,MATCH(ROW()-3,$CK$4:$CK$203,0)),"")</f>
        <v/>
      </c>
      <c r="CP132">
        <f>IF(包装物料出入库明细!$D132="",0,1)</f>
        <v>0</v>
      </c>
      <c r="CQ132">
        <f t="shared" ref="CQ132:CQ195" si="129">N(CQ131)+$CP132</f>
        <v>37</v>
      </c>
      <c r="CS132" t="str">
        <f>IF(OR(周转筐出入库明细!$C133="",周转筐出入库明细!$F133&lt;&gt;"采购入库"),"",周转筐出入库明细!$C133)</f>
        <v/>
      </c>
      <c r="CT132">
        <f t="shared" ref="CT132:CT195" si="130">IF(CS132="",0,IF(MATCH(CS132,$CS$4:$CS$2003,0)=ROW()-3,1,0))</f>
        <v>0</v>
      </c>
      <c r="CU132">
        <f t="shared" ref="CU132:CU195" si="131">N(CU131)+CT132</f>
        <v>1</v>
      </c>
      <c r="CW132" t="str">
        <f>IFERROR(INDEX($CS$4:$CS$2003,MATCH(129,$CU$4:$CU$2003,0)),"")</f>
        <v/>
      </c>
    </row>
    <row r="133" spans="1:101">
      <c r="A133" t="str">
        <f>IF(包装物料出入库明细!$E133="","",包装物料出入库明细!$E133)</f>
        <v/>
      </c>
      <c r="B133">
        <f t="shared" si="92"/>
        <v>0</v>
      </c>
      <c r="C133">
        <f t="shared" si="93"/>
        <v>7</v>
      </c>
      <c r="D133" t="str">
        <f>IF(包装物料出入库明细!$E133="","",包装物料出入库明细!$F133)</f>
        <v/>
      </c>
      <c r="E133" t="str">
        <f>IF(包装物料出入库明细!$E133="","",包装物料出入库明细!$G133)</f>
        <v/>
      </c>
      <c r="K133" t="str">
        <f>IF(包装物料出入库明细!$D133="","",包装物料出入库明细!$D133)</f>
        <v/>
      </c>
      <c r="L133">
        <f t="shared" si="94"/>
        <v>0</v>
      </c>
      <c r="M133">
        <f t="shared" si="95"/>
        <v>9</v>
      </c>
      <c r="O133" t="str">
        <f t="shared" si="96"/>
        <v/>
      </c>
      <c r="Q133" t="str">
        <f>IF(周转筐出入库明细!$D134="","",周转筐出入库明细!$D134)</f>
        <v/>
      </c>
      <c r="R133">
        <f t="shared" si="97"/>
        <v>0</v>
      </c>
      <c r="S133">
        <f t="shared" si="98"/>
        <v>5</v>
      </c>
      <c r="W133" t="str">
        <f>IF(周转筐出入库明细!$C134="","",周转筐出入库明细!$C134)</f>
        <v/>
      </c>
      <c r="X133">
        <f t="shared" si="99"/>
        <v>0</v>
      </c>
      <c r="Y133">
        <f t="shared" si="100"/>
        <v>12</v>
      </c>
      <c r="AA133" t="str">
        <f t="shared" si="101"/>
        <v/>
      </c>
      <c r="AC133" t="str">
        <f>IF(客户自备加工筐明细!$C133="","",客户自备加工筐明细!$C133)</f>
        <v/>
      </c>
      <c r="AD133">
        <f t="shared" si="102"/>
        <v>0</v>
      </c>
      <c r="AE133">
        <f t="shared" si="103"/>
        <v>1</v>
      </c>
      <c r="AI133" t="str">
        <f>IF(客户自备加工筐明细!$E133="","",客户自备加工筐明细!$E133)</f>
        <v/>
      </c>
      <c r="AJ133">
        <f t="shared" si="104"/>
        <v>0</v>
      </c>
      <c r="AK133">
        <f t="shared" si="105"/>
        <v>1</v>
      </c>
      <c r="AM133" t="str">
        <f>IFERROR(INDEX($AI$4:$AI$1503,MATCH(130,$AK$4:$AK$1503,0)),"")</f>
        <v/>
      </c>
      <c r="AO133" t="str">
        <f>IF(次果筐明细!$D133="","",次果筐明细!$D133)</f>
        <v/>
      </c>
      <c r="AP133">
        <f t="shared" si="106"/>
        <v>0</v>
      </c>
      <c r="AQ133">
        <f t="shared" si="107"/>
        <v>1</v>
      </c>
      <c r="AU133" t="str">
        <f>IF(次果筐明细!$C133="","",次果筐明细!$C133)</f>
        <v/>
      </c>
      <c r="AV133">
        <f t="shared" si="108"/>
        <v>0</v>
      </c>
      <c r="AW133">
        <f t="shared" si="109"/>
        <v>1</v>
      </c>
      <c r="AY133" t="str">
        <f t="shared" si="110"/>
        <v/>
      </c>
      <c r="BA133" t="str">
        <f>IF(对接源_01水果筐数!$B134="","",对接源_01水果筐数!$B134)</f>
        <v/>
      </c>
      <c r="BB133">
        <f t="shared" si="111"/>
        <v>0</v>
      </c>
      <c r="BC133">
        <f t="shared" si="112"/>
        <v>14</v>
      </c>
      <c r="BE133" t="str">
        <f t="shared" si="113"/>
        <v/>
      </c>
      <c r="BG133" t="str">
        <f>IF(对接源_01水果筐数!$C134="","",对接源_01水果筐数!$C134)</f>
        <v/>
      </c>
      <c r="BH133">
        <f t="shared" si="114"/>
        <v>0</v>
      </c>
      <c r="BI133">
        <f t="shared" si="115"/>
        <v>7</v>
      </c>
      <c r="BM133" t="str">
        <f t="shared" si="91"/>
        <v/>
      </c>
      <c r="BN133">
        <f t="shared" si="116"/>
        <v>0</v>
      </c>
      <c r="BO133">
        <f t="shared" si="117"/>
        <v>8</v>
      </c>
      <c r="BS133" t="str">
        <f t="shared" si="118"/>
        <v/>
      </c>
      <c r="BT133">
        <f t="shared" si="119"/>
        <v>0</v>
      </c>
      <c r="BU133">
        <f t="shared" si="120"/>
        <v>9</v>
      </c>
      <c r="BW133" t="str">
        <f t="shared" si="121"/>
        <v/>
      </c>
      <c r="BY133" t="str">
        <f t="shared" si="122"/>
        <v/>
      </c>
      <c r="BZ133">
        <f t="shared" si="123"/>
        <v>0</v>
      </c>
      <c r="CA133">
        <f t="shared" si="124"/>
        <v>12</v>
      </c>
      <c r="CC133" t="str">
        <f t="shared" si="125"/>
        <v/>
      </c>
      <c r="CI133" t="str">
        <f>IF(基础资料!$E33="","",基础资料!$E33)</f>
        <v/>
      </c>
      <c r="CJ133">
        <f t="shared" si="126"/>
        <v>0</v>
      </c>
      <c r="CK133">
        <f t="shared" si="127"/>
        <v>24</v>
      </c>
      <c r="CL133" t="str">
        <f t="shared" si="128"/>
        <v/>
      </c>
      <c r="CP133">
        <f>IF(包装物料出入库明细!$D133="",0,1)</f>
        <v>0</v>
      </c>
      <c r="CQ133">
        <f t="shared" si="129"/>
        <v>37</v>
      </c>
      <c r="CS133" t="str">
        <f>IF(OR(周转筐出入库明细!$C134="",周转筐出入库明细!$F134&lt;&gt;"采购入库"),"",周转筐出入库明细!$C134)</f>
        <v/>
      </c>
      <c r="CT133">
        <f t="shared" si="130"/>
        <v>0</v>
      </c>
      <c r="CU133">
        <f t="shared" si="131"/>
        <v>1</v>
      </c>
      <c r="CW133" t="str">
        <f>IFERROR(INDEX($CS$4:$CS$2003,MATCH(130,$CU$4:$CU$2003,0)),"")</f>
        <v/>
      </c>
    </row>
    <row r="134" spans="1:101">
      <c r="A134" t="str">
        <f>IF(包装物料出入库明细!$E134="","",包装物料出入库明细!$E134)</f>
        <v/>
      </c>
      <c r="B134">
        <f t="shared" si="92"/>
        <v>0</v>
      </c>
      <c r="C134">
        <f t="shared" si="93"/>
        <v>7</v>
      </c>
      <c r="D134" t="str">
        <f>IF(包装物料出入库明细!$E134="","",包装物料出入库明细!$F134)</f>
        <v/>
      </c>
      <c r="E134" t="str">
        <f>IF(包装物料出入库明细!$E134="","",包装物料出入库明细!$G134)</f>
        <v/>
      </c>
      <c r="K134" t="str">
        <f>IF(包装物料出入库明细!$D134="","",包装物料出入库明细!$D134)</f>
        <v/>
      </c>
      <c r="L134">
        <f t="shared" si="94"/>
        <v>0</v>
      </c>
      <c r="M134">
        <f t="shared" si="95"/>
        <v>9</v>
      </c>
      <c r="O134" t="str">
        <f t="shared" si="96"/>
        <v/>
      </c>
      <c r="Q134" t="str">
        <f>IF(周转筐出入库明细!$D135="","",周转筐出入库明细!$D135)</f>
        <v/>
      </c>
      <c r="R134">
        <f t="shared" si="97"/>
        <v>0</v>
      </c>
      <c r="S134">
        <f t="shared" si="98"/>
        <v>5</v>
      </c>
      <c r="W134" t="str">
        <f>IF(周转筐出入库明细!$C135="","",周转筐出入库明细!$C135)</f>
        <v/>
      </c>
      <c r="X134">
        <f t="shared" si="99"/>
        <v>0</v>
      </c>
      <c r="Y134">
        <f t="shared" si="100"/>
        <v>12</v>
      </c>
      <c r="AA134" t="str">
        <f t="shared" si="101"/>
        <v/>
      </c>
      <c r="AC134" t="str">
        <f>IF(客户自备加工筐明细!$C134="","",客户自备加工筐明细!$C134)</f>
        <v/>
      </c>
      <c r="AD134">
        <f t="shared" si="102"/>
        <v>0</v>
      </c>
      <c r="AE134">
        <f t="shared" si="103"/>
        <v>1</v>
      </c>
      <c r="AI134" t="str">
        <f>IF(客户自备加工筐明细!$E134="","",客户自备加工筐明细!$E134)</f>
        <v/>
      </c>
      <c r="AJ134">
        <f t="shared" si="104"/>
        <v>0</v>
      </c>
      <c r="AK134">
        <f t="shared" si="105"/>
        <v>1</v>
      </c>
      <c r="AM134" t="str">
        <f>IFERROR(INDEX($AI$4:$AI$1503,MATCH(131,$AK$4:$AK$1503,0)),"")</f>
        <v/>
      </c>
      <c r="AO134" t="str">
        <f>IF(次果筐明细!$D134="","",次果筐明细!$D134)</f>
        <v/>
      </c>
      <c r="AP134">
        <f t="shared" si="106"/>
        <v>0</v>
      </c>
      <c r="AQ134">
        <f t="shared" si="107"/>
        <v>1</v>
      </c>
      <c r="AU134" t="str">
        <f>IF(次果筐明细!$C134="","",次果筐明细!$C134)</f>
        <v/>
      </c>
      <c r="AV134">
        <f t="shared" si="108"/>
        <v>0</v>
      </c>
      <c r="AW134">
        <f t="shared" si="109"/>
        <v>1</v>
      </c>
      <c r="AY134" t="str">
        <f t="shared" si="110"/>
        <v/>
      </c>
      <c r="BA134" t="str">
        <f>IF(对接源_01水果筐数!$B135="","",对接源_01水果筐数!$B135)</f>
        <v/>
      </c>
      <c r="BB134">
        <f t="shared" si="111"/>
        <v>0</v>
      </c>
      <c r="BC134">
        <f t="shared" si="112"/>
        <v>14</v>
      </c>
      <c r="BE134" t="str">
        <f t="shared" si="113"/>
        <v/>
      </c>
      <c r="BG134" t="str">
        <f>IF(对接源_01水果筐数!$C135="","",对接源_01水果筐数!$C135)</f>
        <v/>
      </c>
      <c r="BH134">
        <f t="shared" si="114"/>
        <v>0</v>
      </c>
      <c r="BI134">
        <f t="shared" si="115"/>
        <v>7</v>
      </c>
      <c r="BM134" t="str">
        <f t="shared" si="91"/>
        <v/>
      </c>
      <c r="BN134">
        <f t="shared" si="116"/>
        <v>0</v>
      </c>
      <c r="BO134">
        <f t="shared" si="117"/>
        <v>8</v>
      </c>
      <c r="BS134" t="str">
        <f t="shared" si="118"/>
        <v/>
      </c>
      <c r="BT134">
        <f t="shared" si="119"/>
        <v>0</v>
      </c>
      <c r="BU134">
        <f t="shared" si="120"/>
        <v>9</v>
      </c>
      <c r="BW134" t="str">
        <f t="shared" si="121"/>
        <v/>
      </c>
      <c r="BY134" t="str">
        <f t="shared" si="122"/>
        <v/>
      </c>
      <c r="BZ134">
        <f t="shared" si="123"/>
        <v>0</v>
      </c>
      <c r="CA134">
        <f t="shared" si="124"/>
        <v>12</v>
      </c>
      <c r="CC134" t="str">
        <f t="shared" si="125"/>
        <v/>
      </c>
      <c r="CI134" t="str">
        <f>IF(基础资料!$E34="","",基础资料!$E34)</f>
        <v/>
      </c>
      <c r="CJ134">
        <f t="shared" si="126"/>
        <v>0</v>
      </c>
      <c r="CK134">
        <f t="shared" si="127"/>
        <v>24</v>
      </c>
      <c r="CL134" t="str">
        <f t="shared" si="128"/>
        <v/>
      </c>
      <c r="CP134">
        <f>IF(包装物料出入库明细!$D134="",0,1)</f>
        <v>0</v>
      </c>
      <c r="CQ134">
        <f t="shared" si="129"/>
        <v>37</v>
      </c>
      <c r="CS134" t="str">
        <f>IF(OR(周转筐出入库明细!$C135="",周转筐出入库明细!$F135&lt;&gt;"采购入库"),"",周转筐出入库明细!$C135)</f>
        <v/>
      </c>
      <c r="CT134">
        <f t="shared" si="130"/>
        <v>0</v>
      </c>
      <c r="CU134">
        <f t="shared" si="131"/>
        <v>1</v>
      </c>
      <c r="CW134" t="str">
        <f>IFERROR(INDEX($CS$4:$CS$2003,MATCH(131,$CU$4:$CU$2003,0)),"")</f>
        <v/>
      </c>
    </row>
    <row r="135" spans="1:101">
      <c r="A135" t="str">
        <f>IF(包装物料出入库明细!$E135="","",包装物料出入库明细!$E135)</f>
        <v/>
      </c>
      <c r="B135">
        <f t="shared" si="92"/>
        <v>0</v>
      </c>
      <c r="C135">
        <f t="shared" si="93"/>
        <v>7</v>
      </c>
      <c r="D135" t="str">
        <f>IF(包装物料出入库明细!$E135="","",包装物料出入库明细!$F135)</f>
        <v/>
      </c>
      <c r="E135" t="str">
        <f>IF(包装物料出入库明细!$E135="","",包装物料出入库明细!$G135)</f>
        <v/>
      </c>
      <c r="K135" t="str">
        <f>IF(包装物料出入库明细!$D135="","",包装物料出入库明细!$D135)</f>
        <v/>
      </c>
      <c r="L135">
        <f t="shared" si="94"/>
        <v>0</v>
      </c>
      <c r="M135">
        <f t="shared" si="95"/>
        <v>9</v>
      </c>
      <c r="O135" t="str">
        <f t="shared" si="96"/>
        <v/>
      </c>
      <c r="Q135" t="str">
        <f>IF(周转筐出入库明细!$D136="","",周转筐出入库明细!$D136)</f>
        <v/>
      </c>
      <c r="R135">
        <f t="shared" si="97"/>
        <v>0</v>
      </c>
      <c r="S135">
        <f t="shared" si="98"/>
        <v>5</v>
      </c>
      <c r="W135" t="str">
        <f>IF(周转筐出入库明细!$C136="","",周转筐出入库明细!$C136)</f>
        <v/>
      </c>
      <c r="X135">
        <f t="shared" si="99"/>
        <v>0</v>
      </c>
      <c r="Y135">
        <f t="shared" si="100"/>
        <v>12</v>
      </c>
      <c r="AA135" t="str">
        <f t="shared" si="101"/>
        <v/>
      </c>
      <c r="AC135" t="str">
        <f>IF(客户自备加工筐明细!$C135="","",客户自备加工筐明细!$C135)</f>
        <v/>
      </c>
      <c r="AD135">
        <f t="shared" si="102"/>
        <v>0</v>
      </c>
      <c r="AE135">
        <f t="shared" si="103"/>
        <v>1</v>
      </c>
      <c r="AI135" t="str">
        <f>IF(客户自备加工筐明细!$E135="","",客户自备加工筐明细!$E135)</f>
        <v/>
      </c>
      <c r="AJ135">
        <f t="shared" si="104"/>
        <v>0</v>
      </c>
      <c r="AK135">
        <f t="shared" si="105"/>
        <v>1</v>
      </c>
      <c r="AM135" t="str">
        <f>IFERROR(INDEX($AI$4:$AI$1503,MATCH(132,$AK$4:$AK$1503,0)),"")</f>
        <v/>
      </c>
      <c r="AO135" t="str">
        <f>IF(次果筐明细!$D135="","",次果筐明细!$D135)</f>
        <v/>
      </c>
      <c r="AP135">
        <f t="shared" si="106"/>
        <v>0</v>
      </c>
      <c r="AQ135">
        <f t="shared" si="107"/>
        <v>1</v>
      </c>
      <c r="AU135" t="str">
        <f>IF(次果筐明细!$C135="","",次果筐明细!$C135)</f>
        <v/>
      </c>
      <c r="AV135">
        <f t="shared" si="108"/>
        <v>0</v>
      </c>
      <c r="AW135">
        <f t="shared" si="109"/>
        <v>1</v>
      </c>
      <c r="AY135" t="str">
        <f t="shared" si="110"/>
        <v/>
      </c>
      <c r="BA135" t="str">
        <f>IF(对接源_01水果筐数!$B136="","",对接源_01水果筐数!$B136)</f>
        <v/>
      </c>
      <c r="BB135">
        <f t="shared" si="111"/>
        <v>0</v>
      </c>
      <c r="BC135">
        <f t="shared" si="112"/>
        <v>14</v>
      </c>
      <c r="BE135" t="str">
        <f t="shared" si="113"/>
        <v/>
      </c>
      <c r="BG135" t="str">
        <f>IF(对接源_01水果筐数!$C136="","",对接源_01水果筐数!$C136)</f>
        <v/>
      </c>
      <c r="BH135">
        <f t="shared" si="114"/>
        <v>0</v>
      </c>
      <c r="BI135">
        <f t="shared" si="115"/>
        <v>7</v>
      </c>
      <c r="BM135" t="str">
        <f t="shared" si="91"/>
        <v/>
      </c>
      <c r="BN135">
        <f t="shared" si="116"/>
        <v>0</v>
      </c>
      <c r="BO135">
        <f t="shared" si="117"/>
        <v>8</v>
      </c>
      <c r="BS135" t="str">
        <f t="shared" si="118"/>
        <v/>
      </c>
      <c r="BT135">
        <f t="shared" si="119"/>
        <v>0</v>
      </c>
      <c r="BU135">
        <f t="shared" si="120"/>
        <v>9</v>
      </c>
      <c r="BW135" t="str">
        <f t="shared" si="121"/>
        <v/>
      </c>
      <c r="BY135" t="str">
        <f t="shared" si="122"/>
        <v/>
      </c>
      <c r="BZ135">
        <f t="shared" si="123"/>
        <v>0</v>
      </c>
      <c r="CA135">
        <f t="shared" si="124"/>
        <v>12</v>
      </c>
      <c r="CC135" t="str">
        <f t="shared" si="125"/>
        <v/>
      </c>
      <c r="CI135" t="str">
        <f>IF(基础资料!$E35="","",基础资料!$E35)</f>
        <v/>
      </c>
      <c r="CJ135">
        <f t="shared" si="126"/>
        <v>0</v>
      </c>
      <c r="CK135">
        <f t="shared" si="127"/>
        <v>24</v>
      </c>
      <c r="CL135" t="str">
        <f t="shared" si="128"/>
        <v/>
      </c>
      <c r="CP135">
        <f>IF(包装物料出入库明细!$D135="",0,1)</f>
        <v>0</v>
      </c>
      <c r="CQ135">
        <f t="shared" si="129"/>
        <v>37</v>
      </c>
      <c r="CS135" t="str">
        <f>IF(OR(周转筐出入库明细!$C136="",周转筐出入库明细!$F136&lt;&gt;"采购入库"),"",周转筐出入库明细!$C136)</f>
        <v/>
      </c>
      <c r="CT135">
        <f t="shared" si="130"/>
        <v>0</v>
      </c>
      <c r="CU135">
        <f t="shared" si="131"/>
        <v>1</v>
      </c>
      <c r="CW135" t="str">
        <f>IFERROR(INDEX($CS$4:$CS$2003,MATCH(132,$CU$4:$CU$2003,0)),"")</f>
        <v/>
      </c>
    </row>
    <row r="136" spans="1:101">
      <c r="A136" t="str">
        <f>IF(包装物料出入库明细!$E136="","",包装物料出入库明细!$E136)</f>
        <v/>
      </c>
      <c r="B136">
        <f t="shared" si="92"/>
        <v>0</v>
      </c>
      <c r="C136">
        <f t="shared" si="93"/>
        <v>7</v>
      </c>
      <c r="D136" t="str">
        <f>IF(包装物料出入库明细!$E136="","",包装物料出入库明细!$F136)</f>
        <v/>
      </c>
      <c r="E136" t="str">
        <f>IF(包装物料出入库明细!$E136="","",包装物料出入库明细!$G136)</f>
        <v/>
      </c>
      <c r="K136" t="str">
        <f>IF(包装物料出入库明细!$D136="","",包装物料出入库明细!$D136)</f>
        <v/>
      </c>
      <c r="L136">
        <f t="shared" si="94"/>
        <v>0</v>
      </c>
      <c r="M136">
        <f t="shared" si="95"/>
        <v>9</v>
      </c>
      <c r="O136" t="str">
        <f t="shared" si="96"/>
        <v/>
      </c>
      <c r="Q136" t="str">
        <f>IF(周转筐出入库明细!$D137="","",周转筐出入库明细!$D137)</f>
        <v/>
      </c>
      <c r="R136">
        <f t="shared" si="97"/>
        <v>0</v>
      </c>
      <c r="S136">
        <f t="shared" si="98"/>
        <v>5</v>
      </c>
      <c r="W136" t="str">
        <f>IF(周转筐出入库明细!$C137="","",周转筐出入库明细!$C137)</f>
        <v/>
      </c>
      <c r="X136">
        <f t="shared" si="99"/>
        <v>0</v>
      </c>
      <c r="Y136">
        <f t="shared" si="100"/>
        <v>12</v>
      </c>
      <c r="AA136" t="str">
        <f t="shared" si="101"/>
        <v/>
      </c>
      <c r="AC136" t="str">
        <f>IF(客户自备加工筐明细!$C136="","",客户自备加工筐明细!$C136)</f>
        <v/>
      </c>
      <c r="AD136">
        <f t="shared" si="102"/>
        <v>0</v>
      </c>
      <c r="AE136">
        <f t="shared" si="103"/>
        <v>1</v>
      </c>
      <c r="AI136" t="str">
        <f>IF(客户自备加工筐明细!$E136="","",客户自备加工筐明细!$E136)</f>
        <v/>
      </c>
      <c r="AJ136">
        <f t="shared" si="104"/>
        <v>0</v>
      </c>
      <c r="AK136">
        <f t="shared" si="105"/>
        <v>1</v>
      </c>
      <c r="AM136" t="str">
        <f>IFERROR(INDEX($AI$4:$AI$1503,MATCH(133,$AK$4:$AK$1503,0)),"")</f>
        <v/>
      </c>
      <c r="AO136" t="str">
        <f>IF(次果筐明细!$D136="","",次果筐明细!$D136)</f>
        <v/>
      </c>
      <c r="AP136">
        <f t="shared" si="106"/>
        <v>0</v>
      </c>
      <c r="AQ136">
        <f t="shared" si="107"/>
        <v>1</v>
      </c>
      <c r="AU136" t="str">
        <f>IF(次果筐明细!$C136="","",次果筐明细!$C136)</f>
        <v/>
      </c>
      <c r="AV136">
        <f t="shared" si="108"/>
        <v>0</v>
      </c>
      <c r="AW136">
        <f t="shared" si="109"/>
        <v>1</v>
      </c>
      <c r="AY136" t="str">
        <f t="shared" si="110"/>
        <v/>
      </c>
      <c r="BA136" t="str">
        <f>IF(对接源_01水果筐数!$B137="","",对接源_01水果筐数!$B137)</f>
        <v/>
      </c>
      <c r="BB136">
        <f t="shared" si="111"/>
        <v>0</v>
      </c>
      <c r="BC136">
        <f t="shared" si="112"/>
        <v>14</v>
      </c>
      <c r="BE136" t="str">
        <f t="shared" si="113"/>
        <v/>
      </c>
      <c r="BG136" t="str">
        <f>IF(对接源_01水果筐数!$C137="","",对接源_01水果筐数!$C137)</f>
        <v/>
      </c>
      <c r="BH136">
        <f t="shared" si="114"/>
        <v>0</v>
      </c>
      <c r="BI136">
        <f t="shared" si="115"/>
        <v>7</v>
      </c>
      <c r="BM136" t="str">
        <f t="shared" si="91"/>
        <v/>
      </c>
      <c r="BN136">
        <f t="shared" si="116"/>
        <v>0</v>
      </c>
      <c r="BO136">
        <f t="shared" si="117"/>
        <v>8</v>
      </c>
      <c r="BS136" t="str">
        <f t="shared" si="118"/>
        <v/>
      </c>
      <c r="BT136">
        <f t="shared" si="119"/>
        <v>0</v>
      </c>
      <c r="BU136">
        <f t="shared" si="120"/>
        <v>9</v>
      </c>
      <c r="BW136" t="str">
        <f t="shared" si="121"/>
        <v/>
      </c>
      <c r="BY136" t="str">
        <f t="shared" si="122"/>
        <v/>
      </c>
      <c r="BZ136">
        <f t="shared" si="123"/>
        <v>0</v>
      </c>
      <c r="CA136">
        <f t="shared" si="124"/>
        <v>12</v>
      </c>
      <c r="CC136" t="str">
        <f t="shared" si="125"/>
        <v/>
      </c>
      <c r="CI136" t="str">
        <f>IF(基础资料!$E36="","",基础资料!$E36)</f>
        <v/>
      </c>
      <c r="CJ136">
        <f t="shared" si="126"/>
        <v>0</v>
      </c>
      <c r="CK136">
        <f t="shared" si="127"/>
        <v>24</v>
      </c>
      <c r="CL136" t="str">
        <f t="shared" si="128"/>
        <v/>
      </c>
      <c r="CP136">
        <f>IF(包装物料出入库明细!$D136="",0,1)</f>
        <v>0</v>
      </c>
      <c r="CQ136">
        <f t="shared" si="129"/>
        <v>37</v>
      </c>
      <c r="CS136" t="str">
        <f>IF(OR(周转筐出入库明细!$C137="",周转筐出入库明细!$F137&lt;&gt;"采购入库"),"",周转筐出入库明细!$C137)</f>
        <v/>
      </c>
      <c r="CT136">
        <f t="shared" si="130"/>
        <v>0</v>
      </c>
      <c r="CU136">
        <f t="shared" si="131"/>
        <v>1</v>
      </c>
      <c r="CW136" t="str">
        <f>IFERROR(INDEX($CS$4:$CS$2003,MATCH(133,$CU$4:$CU$2003,0)),"")</f>
        <v/>
      </c>
    </row>
    <row r="137" spans="1:101">
      <c r="A137" t="str">
        <f>IF(包装物料出入库明细!$E137="","",包装物料出入库明细!$E137)</f>
        <v/>
      </c>
      <c r="B137">
        <f t="shared" si="92"/>
        <v>0</v>
      </c>
      <c r="C137">
        <f t="shared" si="93"/>
        <v>7</v>
      </c>
      <c r="D137" t="str">
        <f>IF(包装物料出入库明细!$E137="","",包装物料出入库明细!$F137)</f>
        <v/>
      </c>
      <c r="E137" t="str">
        <f>IF(包装物料出入库明细!$E137="","",包装物料出入库明细!$G137)</f>
        <v/>
      </c>
      <c r="K137" t="str">
        <f>IF(包装物料出入库明细!$D137="","",包装物料出入库明细!$D137)</f>
        <v/>
      </c>
      <c r="L137">
        <f t="shared" si="94"/>
        <v>0</v>
      </c>
      <c r="M137">
        <f t="shared" si="95"/>
        <v>9</v>
      </c>
      <c r="O137" t="str">
        <f t="shared" si="96"/>
        <v/>
      </c>
      <c r="Q137" t="str">
        <f>IF(周转筐出入库明细!$D138="","",周转筐出入库明细!$D138)</f>
        <v/>
      </c>
      <c r="R137">
        <f t="shared" si="97"/>
        <v>0</v>
      </c>
      <c r="S137">
        <f t="shared" si="98"/>
        <v>5</v>
      </c>
      <c r="W137" t="str">
        <f>IF(周转筐出入库明细!$C138="","",周转筐出入库明细!$C138)</f>
        <v/>
      </c>
      <c r="X137">
        <f t="shared" si="99"/>
        <v>0</v>
      </c>
      <c r="Y137">
        <f t="shared" si="100"/>
        <v>12</v>
      </c>
      <c r="AA137" t="str">
        <f t="shared" si="101"/>
        <v/>
      </c>
      <c r="AC137" t="str">
        <f>IF(客户自备加工筐明细!$C137="","",客户自备加工筐明细!$C137)</f>
        <v/>
      </c>
      <c r="AD137">
        <f t="shared" si="102"/>
        <v>0</v>
      </c>
      <c r="AE137">
        <f t="shared" si="103"/>
        <v>1</v>
      </c>
      <c r="AI137" t="str">
        <f>IF(客户自备加工筐明细!$E137="","",客户自备加工筐明细!$E137)</f>
        <v/>
      </c>
      <c r="AJ137">
        <f t="shared" si="104"/>
        <v>0</v>
      </c>
      <c r="AK137">
        <f t="shared" si="105"/>
        <v>1</v>
      </c>
      <c r="AM137" t="str">
        <f>IFERROR(INDEX($AI$4:$AI$1503,MATCH(134,$AK$4:$AK$1503,0)),"")</f>
        <v/>
      </c>
      <c r="AO137" t="str">
        <f>IF(次果筐明细!$D137="","",次果筐明细!$D137)</f>
        <v/>
      </c>
      <c r="AP137">
        <f t="shared" si="106"/>
        <v>0</v>
      </c>
      <c r="AQ137">
        <f t="shared" si="107"/>
        <v>1</v>
      </c>
      <c r="AU137" t="str">
        <f>IF(次果筐明细!$C137="","",次果筐明细!$C137)</f>
        <v/>
      </c>
      <c r="AV137">
        <f t="shared" si="108"/>
        <v>0</v>
      </c>
      <c r="AW137">
        <f t="shared" si="109"/>
        <v>1</v>
      </c>
      <c r="AY137" t="str">
        <f t="shared" si="110"/>
        <v/>
      </c>
      <c r="BA137" t="str">
        <f>IF(对接源_01水果筐数!$B138="","",对接源_01水果筐数!$B138)</f>
        <v/>
      </c>
      <c r="BB137">
        <f t="shared" si="111"/>
        <v>0</v>
      </c>
      <c r="BC137">
        <f t="shared" si="112"/>
        <v>14</v>
      </c>
      <c r="BE137" t="str">
        <f t="shared" si="113"/>
        <v/>
      </c>
      <c r="BG137" t="str">
        <f>IF(对接源_01水果筐数!$C138="","",对接源_01水果筐数!$C138)</f>
        <v/>
      </c>
      <c r="BH137">
        <f t="shared" si="114"/>
        <v>0</v>
      </c>
      <c r="BI137">
        <f t="shared" si="115"/>
        <v>7</v>
      </c>
      <c r="BM137" t="str">
        <f t="shared" si="91"/>
        <v/>
      </c>
      <c r="BN137">
        <f t="shared" si="116"/>
        <v>0</v>
      </c>
      <c r="BO137">
        <f t="shared" si="117"/>
        <v>8</v>
      </c>
      <c r="BS137" t="str">
        <f t="shared" si="118"/>
        <v/>
      </c>
      <c r="BT137">
        <f t="shared" si="119"/>
        <v>0</v>
      </c>
      <c r="BU137">
        <f t="shared" si="120"/>
        <v>9</v>
      </c>
      <c r="BW137" t="str">
        <f t="shared" si="121"/>
        <v/>
      </c>
      <c r="BY137" t="str">
        <f t="shared" si="122"/>
        <v/>
      </c>
      <c r="BZ137">
        <f t="shared" si="123"/>
        <v>0</v>
      </c>
      <c r="CA137">
        <f t="shared" si="124"/>
        <v>12</v>
      </c>
      <c r="CC137" t="str">
        <f t="shared" si="125"/>
        <v/>
      </c>
      <c r="CI137" t="str">
        <f>IF(基础资料!$E37="","",基础资料!$E37)</f>
        <v/>
      </c>
      <c r="CJ137">
        <f t="shared" si="126"/>
        <v>0</v>
      </c>
      <c r="CK137">
        <f t="shared" si="127"/>
        <v>24</v>
      </c>
      <c r="CL137" t="str">
        <f t="shared" si="128"/>
        <v/>
      </c>
      <c r="CP137">
        <f>IF(包装物料出入库明细!$D137="",0,1)</f>
        <v>0</v>
      </c>
      <c r="CQ137">
        <f t="shared" si="129"/>
        <v>37</v>
      </c>
      <c r="CS137" t="str">
        <f>IF(OR(周转筐出入库明细!$C138="",周转筐出入库明细!$F138&lt;&gt;"采购入库"),"",周转筐出入库明细!$C138)</f>
        <v/>
      </c>
      <c r="CT137">
        <f t="shared" si="130"/>
        <v>0</v>
      </c>
      <c r="CU137">
        <f t="shared" si="131"/>
        <v>1</v>
      </c>
      <c r="CW137" t="str">
        <f>IFERROR(INDEX($CS$4:$CS$2003,MATCH(134,$CU$4:$CU$2003,0)),"")</f>
        <v/>
      </c>
    </row>
    <row r="138" spans="1:101">
      <c r="A138" t="str">
        <f>IF(包装物料出入库明细!$E138="","",包装物料出入库明细!$E138)</f>
        <v/>
      </c>
      <c r="B138">
        <f t="shared" si="92"/>
        <v>0</v>
      </c>
      <c r="C138">
        <f t="shared" si="93"/>
        <v>7</v>
      </c>
      <c r="D138" t="str">
        <f>IF(包装物料出入库明细!$E138="","",包装物料出入库明细!$F138)</f>
        <v/>
      </c>
      <c r="E138" t="str">
        <f>IF(包装物料出入库明细!$E138="","",包装物料出入库明细!$G138)</f>
        <v/>
      </c>
      <c r="K138" t="str">
        <f>IF(包装物料出入库明细!$D138="","",包装物料出入库明细!$D138)</f>
        <v/>
      </c>
      <c r="L138">
        <f t="shared" si="94"/>
        <v>0</v>
      </c>
      <c r="M138">
        <f t="shared" si="95"/>
        <v>9</v>
      </c>
      <c r="O138" t="str">
        <f t="shared" si="96"/>
        <v/>
      </c>
      <c r="Q138" t="str">
        <f>IF(周转筐出入库明细!$D139="","",周转筐出入库明细!$D139)</f>
        <v/>
      </c>
      <c r="R138">
        <f t="shared" si="97"/>
        <v>0</v>
      </c>
      <c r="S138">
        <f t="shared" si="98"/>
        <v>5</v>
      </c>
      <c r="W138" t="str">
        <f>IF(周转筐出入库明细!$C139="","",周转筐出入库明细!$C139)</f>
        <v/>
      </c>
      <c r="X138">
        <f t="shared" si="99"/>
        <v>0</v>
      </c>
      <c r="Y138">
        <f t="shared" si="100"/>
        <v>12</v>
      </c>
      <c r="AA138" t="str">
        <f t="shared" si="101"/>
        <v/>
      </c>
      <c r="AC138" t="str">
        <f>IF(客户自备加工筐明细!$C138="","",客户自备加工筐明细!$C138)</f>
        <v/>
      </c>
      <c r="AD138">
        <f t="shared" si="102"/>
        <v>0</v>
      </c>
      <c r="AE138">
        <f t="shared" si="103"/>
        <v>1</v>
      </c>
      <c r="AI138" t="str">
        <f>IF(客户自备加工筐明细!$E138="","",客户自备加工筐明细!$E138)</f>
        <v/>
      </c>
      <c r="AJ138">
        <f t="shared" si="104"/>
        <v>0</v>
      </c>
      <c r="AK138">
        <f t="shared" si="105"/>
        <v>1</v>
      </c>
      <c r="AM138" t="str">
        <f>IFERROR(INDEX($AI$4:$AI$1503,MATCH(135,$AK$4:$AK$1503,0)),"")</f>
        <v/>
      </c>
      <c r="AO138" t="str">
        <f>IF(次果筐明细!$D138="","",次果筐明细!$D138)</f>
        <v/>
      </c>
      <c r="AP138">
        <f t="shared" si="106"/>
        <v>0</v>
      </c>
      <c r="AQ138">
        <f t="shared" si="107"/>
        <v>1</v>
      </c>
      <c r="AU138" t="str">
        <f>IF(次果筐明细!$C138="","",次果筐明细!$C138)</f>
        <v/>
      </c>
      <c r="AV138">
        <f t="shared" si="108"/>
        <v>0</v>
      </c>
      <c r="AW138">
        <f t="shared" si="109"/>
        <v>1</v>
      </c>
      <c r="AY138" t="str">
        <f t="shared" si="110"/>
        <v/>
      </c>
      <c r="BA138" t="str">
        <f>IF(对接源_01水果筐数!$B139="","",对接源_01水果筐数!$B139)</f>
        <v/>
      </c>
      <c r="BB138">
        <f t="shared" si="111"/>
        <v>0</v>
      </c>
      <c r="BC138">
        <f t="shared" si="112"/>
        <v>14</v>
      </c>
      <c r="BE138" t="str">
        <f t="shared" si="113"/>
        <v/>
      </c>
      <c r="BG138" t="str">
        <f>IF(对接源_01水果筐数!$C139="","",对接源_01水果筐数!$C139)</f>
        <v/>
      </c>
      <c r="BH138">
        <f t="shared" si="114"/>
        <v>0</v>
      </c>
      <c r="BI138">
        <f t="shared" si="115"/>
        <v>7</v>
      </c>
      <c r="BM138" t="str">
        <f t="shared" si="91"/>
        <v/>
      </c>
      <c r="BN138">
        <f t="shared" si="116"/>
        <v>0</v>
      </c>
      <c r="BO138">
        <f t="shared" si="117"/>
        <v>8</v>
      </c>
      <c r="BS138" t="str">
        <f t="shared" si="118"/>
        <v/>
      </c>
      <c r="BT138">
        <f t="shared" si="119"/>
        <v>0</v>
      </c>
      <c r="BU138">
        <f t="shared" si="120"/>
        <v>9</v>
      </c>
      <c r="BW138" t="str">
        <f t="shared" si="121"/>
        <v/>
      </c>
      <c r="BY138" t="str">
        <f t="shared" si="122"/>
        <v/>
      </c>
      <c r="BZ138">
        <f t="shared" si="123"/>
        <v>0</v>
      </c>
      <c r="CA138">
        <f t="shared" si="124"/>
        <v>12</v>
      </c>
      <c r="CC138" t="str">
        <f t="shared" si="125"/>
        <v/>
      </c>
      <c r="CI138" t="str">
        <f>IF(基础资料!$E38="","",基础资料!$E38)</f>
        <v/>
      </c>
      <c r="CJ138">
        <f t="shared" si="126"/>
        <v>0</v>
      </c>
      <c r="CK138">
        <f t="shared" si="127"/>
        <v>24</v>
      </c>
      <c r="CL138" t="str">
        <f t="shared" si="128"/>
        <v/>
      </c>
      <c r="CP138">
        <f>IF(包装物料出入库明细!$D138="",0,1)</f>
        <v>0</v>
      </c>
      <c r="CQ138">
        <f t="shared" si="129"/>
        <v>37</v>
      </c>
      <c r="CS138" t="str">
        <f>IF(OR(周转筐出入库明细!$C139="",周转筐出入库明细!$F139&lt;&gt;"采购入库"),"",周转筐出入库明细!$C139)</f>
        <v/>
      </c>
      <c r="CT138">
        <f t="shared" si="130"/>
        <v>0</v>
      </c>
      <c r="CU138">
        <f t="shared" si="131"/>
        <v>1</v>
      </c>
      <c r="CW138" t="str">
        <f>IFERROR(INDEX($CS$4:$CS$2003,MATCH(135,$CU$4:$CU$2003,0)),"")</f>
        <v/>
      </c>
    </row>
    <row r="139" spans="1:101">
      <c r="A139" t="str">
        <f>IF(包装物料出入库明细!$E139="","",包装物料出入库明细!$E139)</f>
        <v/>
      </c>
      <c r="B139">
        <f t="shared" si="92"/>
        <v>0</v>
      </c>
      <c r="C139">
        <f t="shared" si="93"/>
        <v>7</v>
      </c>
      <c r="D139" t="str">
        <f>IF(包装物料出入库明细!$E139="","",包装物料出入库明细!$F139)</f>
        <v/>
      </c>
      <c r="E139" t="str">
        <f>IF(包装物料出入库明细!$E139="","",包装物料出入库明细!$G139)</f>
        <v/>
      </c>
      <c r="K139" t="str">
        <f>IF(包装物料出入库明细!$D139="","",包装物料出入库明细!$D139)</f>
        <v/>
      </c>
      <c r="L139">
        <f t="shared" si="94"/>
        <v>0</v>
      </c>
      <c r="M139">
        <f t="shared" si="95"/>
        <v>9</v>
      </c>
      <c r="O139" t="str">
        <f t="shared" si="96"/>
        <v/>
      </c>
      <c r="Q139" t="str">
        <f>IF(周转筐出入库明细!$D140="","",周转筐出入库明细!$D140)</f>
        <v/>
      </c>
      <c r="R139">
        <f t="shared" si="97"/>
        <v>0</v>
      </c>
      <c r="S139">
        <f t="shared" si="98"/>
        <v>5</v>
      </c>
      <c r="W139" t="str">
        <f>IF(周转筐出入库明细!$C140="","",周转筐出入库明细!$C140)</f>
        <v/>
      </c>
      <c r="X139">
        <f t="shared" si="99"/>
        <v>0</v>
      </c>
      <c r="Y139">
        <f t="shared" si="100"/>
        <v>12</v>
      </c>
      <c r="AA139" t="str">
        <f t="shared" si="101"/>
        <v/>
      </c>
      <c r="AC139" t="str">
        <f>IF(客户自备加工筐明细!$C139="","",客户自备加工筐明细!$C139)</f>
        <v/>
      </c>
      <c r="AD139">
        <f t="shared" si="102"/>
        <v>0</v>
      </c>
      <c r="AE139">
        <f t="shared" si="103"/>
        <v>1</v>
      </c>
      <c r="AI139" t="str">
        <f>IF(客户自备加工筐明细!$E139="","",客户自备加工筐明细!$E139)</f>
        <v/>
      </c>
      <c r="AJ139">
        <f t="shared" si="104"/>
        <v>0</v>
      </c>
      <c r="AK139">
        <f t="shared" si="105"/>
        <v>1</v>
      </c>
      <c r="AM139" t="str">
        <f>IFERROR(INDEX($AI$4:$AI$1503,MATCH(136,$AK$4:$AK$1503,0)),"")</f>
        <v/>
      </c>
      <c r="AO139" t="str">
        <f>IF(次果筐明细!$D139="","",次果筐明细!$D139)</f>
        <v/>
      </c>
      <c r="AP139">
        <f t="shared" si="106"/>
        <v>0</v>
      </c>
      <c r="AQ139">
        <f t="shared" si="107"/>
        <v>1</v>
      </c>
      <c r="AU139" t="str">
        <f>IF(次果筐明细!$C139="","",次果筐明细!$C139)</f>
        <v/>
      </c>
      <c r="AV139">
        <f t="shared" si="108"/>
        <v>0</v>
      </c>
      <c r="AW139">
        <f t="shared" si="109"/>
        <v>1</v>
      </c>
      <c r="AY139" t="str">
        <f t="shared" si="110"/>
        <v/>
      </c>
      <c r="BA139" t="str">
        <f>IF(对接源_01水果筐数!$B140="","",对接源_01水果筐数!$B140)</f>
        <v/>
      </c>
      <c r="BB139">
        <f t="shared" si="111"/>
        <v>0</v>
      </c>
      <c r="BC139">
        <f t="shared" si="112"/>
        <v>14</v>
      </c>
      <c r="BE139" t="str">
        <f t="shared" si="113"/>
        <v/>
      </c>
      <c r="BG139" t="str">
        <f>IF(对接源_01水果筐数!$C140="","",对接源_01水果筐数!$C140)</f>
        <v/>
      </c>
      <c r="BH139">
        <f t="shared" si="114"/>
        <v>0</v>
      </c>
      <c r="BI139">
        <f t="shared" si="115"/>
        <v>7</v>
      </c>
      <c r="BM139" t="str">
        <f t="shared" si="91"/>
        <v/>
      </c>
      <c r="BN139">
        <f t="shared" si="116"/>
        <v>0</v>
      </c>
      <c r="BO139">
        <f t="shared" si="117"/>
        <v>8</v>
      </c>
      <c r="BS139" t="str">
        <f t="shared" si="118"/>
        <v/>
      </c>
      <c r="BT139">
        <f t="shared" si="119"/>
        <v>0</v>
      </c>
      <c r="BU139">
        <f t="shared" si="120"/>
        <v>9</v>
      </c>
      <c r="BW139" t="str">
        <f t="shared" si="121"/>
        <v/>
      </c>
      <c r="BY139" t="str">
        <f t="shared" si="122"/>
        <v/>
      </c>
      <c r="BZ139">
        <f t="shared" si="123"/>
        <v>0</v>
      </c>
      <c r="CA139">
        <f t="shared" si="124"/>
        <v>12</v>
      </c>
      <c r="CC139" t="str">
        <f t="shared" si="125"/>
        <v/>
      </c>
      <c r="CI139" t="str">
        <f>IF(基础资料!$E39="","",基础资料!$E39)</f>
        <v/>
      </c>
      <c r="CJ139">
        <f t="shared" si="126"/>
        <v>0</v>
      </c>
      <c r="CK139">
        <f t="shared" si="127"/>
        <v>24</v>
      </c>
      <c r="CL139" t="str">
        <f t="shared" si="128"/>
        <v/>
      </c>
      <c r="CP139">
        <f>IF(包装物料出入库明细!$D139="",0,1)</f>
        <v>0</v>
      </c>
      <c r="CQ139">
        <f t="shared" si="129"/>
        <v>37</v>
      </c>
      <c r="CS139" t="str">
        <f>IF(OR(周转筐出入库明细!$C140="",周转筐出入库明细!$F140&lt;&gt;"采购入库"),"",周转筐出入库明细!$C140)</f>
        <v/>
      </c>
      <c r="CT139">
        <f t="shared" si="130"/>
        <v>0</v>
      </c>
      <c r="CU139">
        <f t="shared" si="131"/>
        <v>1</v>
      </c>
      <c r="CW139" t="str">
        <f>IFERROR(INDEX($CS$4:$CS$2003,MATCH(136,$CU$4:$CU$2003,0)),"")</f>
        <v/>
      </c>
    </row>
    <row r="140" spans="1:101">
      <c r="A140" t="str">
        <f>IF(包装物料出入库明细!$E140="","",包装物料出入库明细!$E140)</f>
        <v/>
      </c>
      <c r="B140">
        <f t="shared" si="92"/>
        <v>0</v>
      </c>
      <c r="C140">
        <f t="shared" si="93"/>
        <v>7</v>
      </c>
      <c r="D140" t="str">
        <f>IF(包装物料出入库明细!$E140="","",包装物料出入库明细!$F140)</f>
        <v/>
      </c>
      <c r="E140" t="str">
        <f>IF(包装物料出入库明细!$E140="","",包装物料出入库明细!$G140)</f>
        <v/>
      </c>
      <c r="K140" t="str">
        <f>IF(包装物料出入库明细!$D140="","",包装物料出入库明细!$D140)</f>
        <v/>
      </c>
      <c r="L140">
        <f t="shared" si="94"/>
        <v>0</v>
      </c>
      <c r="M140">
        <f t="shared" si="95"/>
        <v>9</v>
      </c>
      <c r="O140" t="str">
        <f t="shared" si="96"/>
        <v/>
      </c>
      <c r="Q140" t="str">
        <f>IF(周转筐出入库明细!$D141="","",周转筐出入库明细!$D141)</f>
        <v/>
      </c>
      <c r="R140">
        <f t="shared" si="97"/>
        <v>0</v>
      </c>
      <c r="S140">
        <f t="shared" si="98"/>
        <v>5</v>
      </c>
      <c r="W140" t="str">
        <f>IF(周转筐出入库明细!$C141="","",周转筐出入库明细!$C141)</f>
        <v/>
      </c>
      <c r="X140">
        <f t="shared" si="99"/>
        <v>0</v>
      </c>
      <c r="Y140">
        <f t="shared" si="100"/>
        <v>12</v>
      </c>
      <c r="AA140" t="str">
        <f t="shared" si="101"/>
        <v/>
      </c>
      <c r="AC140" t="str">
        <f>IF(客户自备加工筐明细!$C140="","",客户自备加工筐明细!$C140)</f>
        <v/>
      </c>
      <c r="AD140">
        <f t="shared" si="102"/>
        <v>0</v>
      </c>
      <c r="AE140">
        <f t="shared" si="103"/>
        <v>1</v>
      </c>
      <c r="AI140" t="str">
        <f>IF(客户自备加工筐明细!$E140="","",客户自备加工筐明细!$E140)</f>
        <v/>
      </c>
      <c r="AJ140">
        <f t="shared" si="104"/>
        <v>0</v>
      </c>
      <c r="AK140">
        <f t="shared" si="105"/>
        <v>1</v>
      </c>
      <c r="AM140" t="str">
        <f>IFERROR(INDEX($AI$4:$AI$1503,MATCH(137,$AK$4:$AK$1503,0)),"")</f>
        <v/>
      </c>
      <c r="AO140" t="str">
        <f>IF(次果筐明细!$D140="","",次果筐明细!$D140)</f>
        <v/>
      </c>
      <c r="AP140">
        <f t="shared" si="106"/>
        <v>0</v>
      </c>
      <c r="AQ140">
        <f t="shared" si="107"/>
        <v>1</v>
      </c>
      <c r="AU140" t="str">
        <f>IF(次果筐明细!$C140="","",次果筐明细!$C140)</f>
        <v/>
      </c>
      <c r="AV140">
        <f t="shared" si="108"/>
        <v>0</v>
      </c>
      <c r="AW140">
        <f t="shared" si="109"/>
        <v>1</v>
      </c>
      <c r="AY140" t="str">
        <f t="shared" si="110"/>
        <v/>
      </c>
      <c r="BA140" t="str">
        <f>IF(对接源_01水果筐数!$B141="","",对接源_01水果筐数!$B141)</f>
        <v/>
      </c>
      <c r="BB140">
        <f t="shared" si="111"/>
        <v>0</v>
      </c>
      <c r="BC140">
        <f t="shared" si="112"/>
        <v>14</v>
      </c>
      <c r="BE140" t="str">
        <f t="shared" si="113"/>
        <v/>
      </c>
      <c r="BG140" t="str">
        <f>IF(对接源_01水果筐数!$C141="","",对接源_01水果筐数!$C141)</f>
        <v/>
      </c>
      <c r="BH140">
        <f t="shared" si="114"/>
        <v>0</v>
      </c>
      <c r="BI140">
        <f t="shared" si="115"/>
        <v>7</v>
      </c>
      <c r="BM140" t="str">
        <f t="shared" si="91"/>
        <v/>
      </c>
      <c r="BN140">
        <f t="shared" si="116"/>
        <v>0</v>
      </c>
      <c r="BO140">
        <f t="shared" si="117"/>
        <v>8</v>
      </c>
      <c r="BS140" t="str">
        <f t="shared" si="118"/>
        <v/>
      </c>
      <c r="BT140">
        <f t="shared" si="119"/>
        <v>0</v>
      </c>
      <c r="BU140">
        <f t="shared" si="120"/>
        <v>9</v>
      </c>
      <c r="BW140" t="str">
        <f t="shared" si="121"/>
        <v/>
      </c>
      <c r="BY140" t="str">
        <f t="shared" si="122"/>
        <v/>
      </c>
      <c r="BZ140">
        <f t="shared" si="123"/>
        <v>0</v>
      </c>
      <c r="CA140">
        <f t="shared" si="124"/>
        <v>12</v>
      </c>
      <c r="CC140" t="str">
        <f t="shared" si="125"/>
        <v/>
      </c>
      <c r="CI140" t="str">
        <f>IF(基础资料!$E40="","",基础资料!$E40)</f>
        <v/>
      </c>
      <c r="CJ140">
        <f t="shared" si="126"/>
        <v>0</v>
      </c>
      <c r="CK140">
        <f t="shared" si="127"/>
        <v>24</v>
      </c>
      <c r="CL140" t="str">
        <f t="shared" si="128"/>
        <v/>
      </c>
      <c r="CP140">
        <f>IF(包装物料出入库明细!$D140="",0,1)</f>
        <v>0</v>
      </c>
      <c r="CQ140">
        <f t="shared" si="129"/>
        <v>37</v>
      </c>
      <c r="CS140" t="str">
        <f>IF(OR(周转筐出入库明细!$C141="",周转筐出入库明细!$F141&lt;&gt;"采购入库"),"",周转筐出入库明细!$C141)</f>
        <v/>
      </c>
      <c r="CT140">
        <f t="shared" si="130"/>
        <v>0</v>
      </c>
      <c r="CU140">
        <f t="shared" si="131"/>
        <v>1</v>
      </c>
      <c r="CW140" t="str">
        <f>IFERROR(INDEX($CS$4:$CS$2003,MATCH(137,$CU$4:$CU$2003,0)),"")</f>
        <v/>
      </c>
    </row>
    <row r="141" spans="1:101">
      <c r="A141" t="str">
        <f>IF(包装物料出入库明细!$E141="","",包装物料出入库明细!$E141)</f>
        <v/>
      </c>
      <c r="B141">
        <f t="shared" si="92"/>
        <v>0</v>
      </c>
      <c r="C141">
        <f t="shared" si="93"/>
        <v>7</v>
      </c>
      <c r="D141" t="str">
        <f>IF(包装物料出入库明细!$E141="","",包装物料出入库明细!$F141)</f>
        <v/>
      </c>
      <c r="E141" t="str">
        <f>IF(包装物料出入库明细!$E141="","",包装物料出入库明细!$G141)</f>
        <v/>
      </c>
      <c r="K141" t="str">
        <f>IF(包装物料出入库明细!$D141="","",包装物料出入库明细!$D141)</f>
        <v/>
      </c>
      <c r="L141">
        <f t="shared" si="94"/>
        <v>0</v>
      </c>
      <c r="M141">
        <f t="shared" si="95"/>
        <v>9</v>
      </c>
      <c r="O141" t="str">
        <f t="shared" si="96"/>
        <v/>
      </c>
      <c r="Q141" t="str">
        <f>IF(周转筐出入库明细!$D142="","",周转筐出入库明细!$D142)</f>
        <v/>
      </c>
      <c r="R141">
        <f t="shared" si="97"/>
        <v>0</v>
      </c>
      <c r="S141">
        <f t="shared" si="98"/>
        <v>5</v>
      </c>
      <c r="W141" t="str">
        <f>IF(周转筐出入库明细!$C142="","",周转筐出入库明细!$C142)</f>
        <v/>
      </c>
      <c r="X141">
        <f t="shared" si="99"/>
        <v>0</v>
      </c>
      <c r="Y141">
        <f t="shared" si="100"/>
        <v>12</v>
      </c>
      <c r="AA141" t="str">
        <f t="shared" si="101"/>
        <v/>
      </c>
      <c r="AC141" t="str">
        <f>IF(客户自备加工筐明细!$C141="","",客户自备加工筐明细!$C141)</f>
        <v/>
      </c>
      <c r="AD141">
        <f t="shared" si="102"/>
        <v>0</v>
      </c>
      <c r="AE141">
        <f t="shared" si="103"/>
        <v>1</v>
      </c>
      <c r="AI141" t="str">
        <f>IF(客户自备加工筐明细!$E141="","",客户自备加工筐明细!$E141)</f>
        <v/>
      </c>
      <c r="AJ141">
        <f t="shared" si="104"/>
        <v>0</v>
      </c>
      <c r="AK141">
        <f t="shared" si="105"/>
        <v>1</v>
      </c>
      <c r="AM141" t="str">
        <f>IFERROR(INDEX($AI$4:$AI$1503,MATCH(138,$AK$4:$AK$1503,0)),"")</f>
        <v/>
      </c>
      <c r="AO141" t="str">
        <f>IF(次果筐明细!$D141="","",次果筐明细!$D141)</f>
        <v/>
      </c>
      <c r="AP141">
        <f t="shared" si="106"/>
        <v>0</v>
      </c>
      <c r="AQ141">
        <f t="shared" si="107"/>
        <v>1</v>
      </c>
      <c r="AU141" t="str">
        <f>IF(次果筐明细!$C141="","",次果筐明细!$C141)</f>
        <v/>
      </c>
      <c r="AV141">
        <f t="shared" si="108"/>
        <v>0</v>
      </c>
      <c r="AW141">
        <f t="shared" si="109"/>
        <v>1</v>
      </c>
      <c r="AY141" t="str">
        <f t="shared" si="110"/>
        <v/>
      </c>
      <c r="BA141" t="str">
        <f>IF(对接源_01水果筐数!$B142="","",对接源_01水果筐数!$B142)</f>
        <v/>
      </c>
      <c r="BB141">
        <f t="shared" si="111"/>
        <v>0</v>
      </c>
      <c r="BC141">
        <f t="shared" si="112"/>
        <v>14</v>
      </c>
      <c r="BE141" t="str">
        <f t="shared" si="113"/>
        <v/>
      </c>
      <c r="BG141" t="str">
        <f>IF(对接源_01水果筐数!$C142="","",对接源_01水果筐数!$C142)</f>
        <v/>
      </c>
      <c r="BH141">
        <f t="shared" si="114"/>
        <v>0</v>
      </c>
      <c r="BI141">
        <f t="shared" si="115"/>
        <v>7</v>
      </c>
      <c r="BM141" t="str">
        <f t="shared" si="91"/>
        <v/>
      </c>
      <c r="BN141">
        <f t="shared" si="116"/>
        <v>0</v>
      </c>
      <c r="BO141">
        <f t="shared" si="117"/>
        <v>8</v>
      </c>
      <c r="BS141" t="str">
        <f t="shared" si="118"/>
        <v/>
      </c>
      <c r="BT141">
        <f t="shared" si="119"/>
        <v>0</v>
      </c>
      <c r="BU141">
        <f t="shared" si="120"/>
        <v>9</v>
      </c>
      <c r="BW141" t="str">
        <f t="shared" si="121"/>
        <v/>
      </c>
      <c r="BY141" t="str">
        <f t="shared" si="122"/>
        <v/>
      </c>
      <c r="BZ141">
        <f t="shared" si="123"/>
        <v>0</v>
      </c>
      <c r="CA141">
        <f t="shared" si="124"/>
        <v>12</v>
      </c>
      <c r="CC141" t="str">
        <f t="shared" si="125"/>
        <v/>
      </c>
      <c r="CI141" t="str">
        <f>IF(基础资料!$E41="","",基础资料!$E41)</f>
        <v/>
      </c>
      <c r="CJ141">
        <f t="shared" si="126"/>
        <v>0</v>
      </c>
      <c r="CK141">
        <f t="shared" si="127"/>
        <v>24</v>
      </c>
      <c r="CL141" t="str">
        <f t="shared" si="128"/>
        <v/>
      </c>
      <c r="CP141">
        <f>IF(包装物料出入库明细!$D141="",0,1)</f>
        <v>0</v>
      </c>
      <c r="CQ141">
        <f t="shared" si="129"/>
        <v>37</v>
      </c>
      <c r="CS141" t="str">
        <f>IF(OR(周转筐出入库明细!$C142="",周转筐出入库明细!$F142&lt;&gt;"采购入库"),"",周转筐出入库明细!$C142)</f>
        <v/>
      </c>
      <c r="CT141">
        <f t="shared" si="130"/>
        <v>0</v>
      </c>
      <c r="CU141">
        <f t="shared" si="131"/>
        <v>1</v>
      </c>
      <c r="CW141" t="str">
        <f>IFERROR(INDEX($CS$4:$CS$2003,MATCH(138,$CU$4:$CU$2003,0)),"")</f>
        <v/>
      </c>
    </row>
    <row r="142" spans="1:101">
      <c r="A142" t="str">
        <f>IF(包装物料出入库明细!$E142="","",包装物料出入库明细!$E142)</f>
        <v/>
      </c>
      <c r="B142">
        <f t="shared" si="92"/>
        <v>0</v>
      </c>
      <c r="C142">
        <f t="shared" si="93"/>
        <v>7</v>
      </c>
      <c r="D142" t="str">
        <f>IF(包装物料出入库明细!$E142="","",包装物料出入库明细!$F142)</f>
        <v/>
      </c>
      <c r="E142" t="str">
        <f>IF(包装物料出入库明细!$E142="","",包装物料出入库明细!$G142)</f>
        <v/>
      </c>
      <c r="K142" t="str">
        <f>IF(包装物料出入库明细!$D142="","",包装物料出入库明细!$D142)</f>
        <v/>
      </c>
      <c r="L142">
        <f t="shared" si="94"/>
        <v>0</v>
      </c>
      <c r="M142">
        <f t="shared" si="95"/>
        <v>9</v>
      </c>
      <c r="O142" t="str">
        <f t="shared" si="96"/>
        <v/>
      </c>
      <c r="Q142" t="str">
        <f>IF(周转筐出入库明细!$D143="","",周转筐出入库明细!$D143)</f>
        <v/>
      </c>
      <c r="R142">
        <f t="shared" si="97"/>
        <v>0</v>
      </c>
      <c r="S142">
        <f t="shared" si="98"/>
        <v>5</v>
      </c>
      <c r="W142" t="str">
        <f>IF(周转筐出入库明细!$C143="","",周转筐出入库明细!$C143)</f>
        <v/>
      </c>
      <c r="X142">
        <f t="shared" si="99"/>
        <v>0</v>
      </c>
      <c r="Y142">
        <f t="shared" si="100"/>
        <v>12</v>
      </c>
      <c r="AA142" t="str">
        <f t="shared" si="101"/>
        <v/>
      </c>
      <c r="AC142" t="str">
        <f>IF(客户自备加工筐明细!$C142="","",客户自备加工筐明细!$C142)</f>
        <v/>
      </c>
      <c r="AD142">
        <f t="shared" si="102"/>
        <v>0</v>
      </c>
      <c r="AE142">
        <f t="shared" si="103"/>
        <v>1</v>
      </c>
      <c r="AI142" t="str">
        <f>IF(客户自备加工筐明细!$E142="","",客户自备加工筐明细!$E142)</f>
        <v/>
      </c>
      <c r="AJ142">
        <f t="shared" si="104"/>
        <v>0</v>
      </c>
      <c r="AK142">
        <f t="shared" si="105"/>
        <v>1</v>
      </c>
      <c r="AM142" t="str">
        <f>IFERROR(INDEX($AI$4:$AI$1503,MATCH(139,$AK$4:$AK$1503,0)),"")</f>
        <v/>
      </c>
      <c r="AO142" t="str">
        <f>IF(次果筐明细!$D142="","",次果筐明细!$D142)</f>
        <v/>
      </c>
      <c r="AP142">
        <f t="shared" si="106"/>
        <v>0</v>
      </c>
      <c r="AQ142">
        <f t="shared" si="107"/>
        <v>1</v>
      </c>
      <c r="AU142" t="str">
        <f>IF(次果筐明细!$C142="","",次果筐明细!$C142)</f>
        <v/>
      </c>
      <c r="AV142">
        <f t="shared" si="108"/>
        <v>0</v>
      </c>
      <c r="AW142">
        <f t="shared" si="109"/>
        <v>1</v>
      </c>
      <c r="AY142" t="str">
        <f t="shared" si="110"/>
        <v/>
      </c>
      <c r="BA142" t="str">
        <f>IF(对接源_01水果筐数!$B143="","",对接源_01水果筐数!$B143)</f>
        <v/>
      </c>
      <c r="BB142">
        <f t="shared" si="111"/>
        <v>0</v>
      </c>
      <c r="BC142">
        <f t="shared" si="112"/>
        <v>14</v>
      </c>
      <c r="BE142" t="str">
        <f t="shared" si="113"/>
        <v/>
      </c>
      <c r="BG142" t="str">
        <f>IF(对接源_01水果筐数!$C143="","",对接源_01水果筐数!$C143)</f>
        <v/>
      </c>
      <c r="BH142">
        <f t="shared" si="114"/>
        <v>0</v>
      </c>
      <c r="BI142">
        <f t="shared" si="115"/>
        <v>7</v>
      </c>
      <c r="BM142" t="str">
        <f t="shared" si="91"/>
        <v/>
      </c>
      <c r="BN142">
        <f t="shared" si="116"/>
        <v>0</v>
      </c>
      <c r="BO142">
        <f t="shared" si="117"/>
        <v>8</v>
      </c>
      <c r="BS142" t="str">
        <f t="shared" si="118"/>
        <v/>
      </c>
      <c r="BT142">
        <f t="shared" si="119"/>
        <v>0</v>
      </c>
      <c r="BU142">
        <f t="shared" si="120"/>
        <v>9</v>
      </c>
      <c r="BW142" t="str">
        <f t="shared" si="121"/>
        <v/>
      </c>
      <c r="BY142" t="str">
        <f t="shared" si="122"/>
        <v/>
      </c>
      <c r="BZ142">
        <f t="shared" si="123"/>
        <v>0</v>
      </c>
      <c r="CA142">
        <f t="shared" si="124"/>
        <v>12</v>
      </c>
      <c r="CC142" t="str">
        <f t="shared" si="125"/>
        <v/>
      </c>
      <c r="CI142" t="str">
        <f>IF(基础资料!$E42="","",基础资料!$E42)</f>
        <v/>
      </c>
      <c r="CJ142">
        <f t="shared" si="126"/>
        <v>0</v>
      </c>
      <c r="CK142">
        <f t="shared" si="127"/>
        <v>24</v>
      </c>
      <c r="CL142" t="str">
        <f t="shared" si="128"/>
        <v/>
      </c>
      <c r="CP142">
        <f>IF(包装物料出入库明细!$D142="",0,1)</f>
        <v>0</v>
      </c>
      <c r="CQ142">
        <f t="shared" si="129"/>
        <v>37</v>
      </c>
      <c r="CS142" t="str">
        <f>IF(OR(周转筐出入库明细!$C143="",周转筐出入库明细!$F143&lt;&gt;"采购入库"),"",周转筐出入库明细!$C143)</f>
        <v/>
      </c>
      <c r="CT142">
        <f t="shared" si="130"/>
        <v>0</v>
      </c>
      <c r="CU142">
        <f t="shared" si="131"/>
        <v>1</v>
      </c>
      <c r="CW142" t="str">
        <f>IFERROR(INDEX($CS$4:$CS$2003,MATCH(139,$CU$4:$CU$2003,0)),"")</f>
        <v/>
      </c>
    </row>
    <row r="143" spans="1:101">
      <c r="A143" t="str">
        <f>IF(包装物料出入库明细!$E143="","",包装物料出入库明细!$E143)</f>
        <v/>
      </c>
      <c r="B143">
        <f t="shared" si="92"/>
        <v>0</v>
      </c>
      <c r="C143">
        <f t="shared" si="93"/>
        <v>7</v>
      </c>
      <c r="D143" t="str">
        <f>IF(包装物料出入库明细!$E143="","",包装物料出入库明细!$F143)</f>
        <v/>
      </c>
      <c r="E143" t="str">
        <f>IF(包装物料出入库明细!$E143="","",包装物料出入库明细!$G143)</f>
        <v/>
      </c>
      <c r="K143" t="str">
        <f>IF(包装物料出入库明细!$D143="","",包装物料出入库明细!$D143)</f>
        <v/>
      </c>
      <c r="L143">
        <f t="shared" si="94"/>
        <v>0</v>
      </c>
      <c r="M143">
        <f t="shared" si="95"/>
        <v>9</v>
      </c>
      <c r="O143" t="str">
        <f t="shared" si="96"/>
        <v/>
      </c>
      <c r="Q143" t="str">
        <f>IF(周转筐出入库明细!$D144="","",周转筐出入库明细!$D144)</f>
        <v/>
      </c>
      <c r="R143">
        <f t="shared" si="97"/>
        <v>0</v>
      </c>
      <c r="S143">
        <f t="shared" si="98"/>
        <v>5</v>
      </c>
      <c r="W143" t="str">
        <f>IF(周转筐出入库明细!$C144="","",周转筐出入库明细!$C144)</f>
        <v/>
      </c>
      <c r="X143">
        <f t="shared" si="99"/>
        <v>0</v>
      </c>
      <c r="Y143">
        <f t="shared" si="100"/>
        <v>12</v>
      </c>
      <c r="AA143" t="str">
        <f t="shared" si="101"/>
        <v/>
      </c>
      <c r="AC143" t="str">
        <f>IF(客户自备加工筐明细!$C143="","",客户自备加工筐明细!$C143)</f>
        <v/>
      </c>
      <c r="AD143">
        <f t="shared" si="102"/>
        <v>0</v>
      </c>
      <c r="AE143">
        <f t="shared" si="103"/>
        <v>1</v>
      </c>
      <c r="AI143" t="str">
        <f>IF(客户自备加工筐明细!$E143="","",客户自备加工筐明细!$E143)</f>
        <v/>
      </c>
      <c r="AJ143">
        <f t="shared" si="104"/>
        <v>0</v>
      </c>
      <c r="AK143">
        <f t="shared" si="105"/>
        <v>1</v>
      </c>
      <c r="AM143" t="str">
        <f>IFERROR(INDEX($AI$4:$AI$1503,MATCH(140,$AK$4:$AK$1503,0)),"")</f>
        <v/>
      </c>
      <c r="AO143" t="str">
        <f>IF(次果筐明细!$D143="","",次果筐明细!$D143)</f>
        <v/>
      </c>
      <c r="AP143">
        <f t="shared" si="106"/>
        <v>0</v>
      </c>
      <c r="AQ143">
        <f t="shared" si="107"/>
        <v>1</v>
      </c>
      <c r="AU143" t="str">
        <f>IF(次果筐明细!$C143="","",次果筐明细!$C143)</f>
        <v/>
      </c>
      <c r="AV143">
        <f t="shared" si="108"/>
        <v>0</v>
      </c>
      <c r="AW143">
        <f t="shared" si="109"/>
        <v>1</v>
      </c>
      <c r="AY143" t="str">
        <f t="shared" si="110"/>
        <v/>
      </c>
      <c r="BA143" t="str">
        <f>IF(对接源_01水果筐数!$B144="","",对接源_01水果筐数!$B144)</f>
        <v/>
      </c>
      <c r="BB143">
        <f t="shared" si="111"/>
        <v>0</v>
      </c>
      <c r="BC143">
        <f t="shared" si="112"/>
        <v>14</v>
      </c>
      <c r="BE143" t="str">
        <f t="shared" si="113"/>
        <v/>
      </c>
      <c r="BG143" t="str">
        <f>IF(对接源_01水果筐数!$C144="","",对接源_01水果筐数!$C144)</f>
        <v/>
      </c>
      <c r="BH143">
        <f t="shared" si="114"/>
        <v>0</v>
      </c>
      <c r="BI143">
        <f t="shared" si="115"/>
        <v>7</v>
      </c>
      <c r="BM143" t="str">
        <f t="shared" si="91"/>
        <v/>
      </c>
      <c r="BN143">
        <f t="shared" si="116"/>
        <v>0</v>
      </c>
      <c r="BO143">
        <f t="shared" si="117"/>
        <v>8</v>
      </c>
      <c r="BS143" t="str">
        <f t="shared" si="118"/>
        <v/>
      </c>
      <c r="BT143">
        <f t="shared" si="119"/>
        <v>0</v>
      </c>
      <c r="BU143">
        <f t="shared" si="120"/>
        <v>9</v>
      </c>
      <c r="BW143" t="str">
        <f t="shared" si="121"/>
        <v/>
      </c>
      <c r="BY143" t="str">
        <f t="shared" si="122"/>
        <v/>
      </c>
      <c r="BZ143">
        <f t="shared" si="123"/>
        <v>0</v>
      </c>
      <c r="CA143">
        <f t="shared" si="124"/>
        <v>12</v>
      </c>
      <c r="CC143" t="str">
        <f t="shared" si="125"/>
        <v/>
      </c>
      <c r="CI143" t="str">
        <f>IF(基础资料!$E43="","",基础资料!$E43)</f>
        <v/>
      </c>
      <c r="CJ143">
        <f t="shared" si="126"/>
        <v>0</v>
      </c>
      <c r="CK143">
        <f t="shared" si="127"/>
        <v>24</v>
      </c>
      <c r="CL143" t="str">
        <f t="shared" si="128"/>
        <v/>
      </c>
      <c r="CP143">
        <f>IF(包装物料出入库明细!$D143="",0,1)</f>
        <v>0</v>
      </c>
      <c r="CQ143">
        <f t="shared" si="129"/>
        <v>37</v>
      </c>
      <c r="CS143" t="str">
        <f>IF(OR(周转筐出入库明细!$C144="",周转筐出入库明细!$F144&lt;&gt;"采购入库"),"",周转筐出入库明细!$C144)</f>
        <v/>
      </c>
      <c r="CT143">
        <f t="shared" si="130"/>
        <v>0</v>
      </c>
      <c r="CU143">
        <f t="shared" si="131"/>
        <v>1</v>
      </c>
      <c r="CW143" t="str">
        <f>IFERROR(INDEX($CS$4:$CS$2003,MATCH(140,$CU$4:$CU$2003,0)),"")</f>
        <v/>
      </c>
    </row>
    <row r="144" spans="1:101">
      <c r="A144" t="str">
        <f>IF(包装物料出入库明细!$E144="","",包装物料出入库明细!$E144)</f>
        <v/>
      </c>
      <c r="B144">
        <f t="shared" si="92"/>
        <v>0</v>
      </c>
      <c r="C144">
        <f t="shared" si="93"/>
        <v>7</v>
      </c>
      <c r="D144" t="str">
        <f>IF(包装物料出入库明细!$E144="","",包装物料出入库明细!$F144)</f>
        <v/>
      </c>
      <c r="E144" t="str">
        <f>IF(包装物料出入库明细!$E144="","",包装物料出入库明细!$G144)</f>
        <v/>
      </c>
      <c r="K144" t="str">
        <f>IF(包装物料出入库明细!$D144="","",包装物料出入库明细!$D144)</f>
        <v/>
      </c>
      <c r="L144">
        <f t="shared" si="94"/>
        <v>0</v>
      </c>
      <c r="M144">
        <f t="shared" si="95"/>
        <v>9</v>
      </c>
      <c r="O144" t="str">
        <f t="shared" si="96"/>
        <v/>
      </c>
      <c r="Q144" t="str">
        <f>IF(周转筐出入库明细!$D145="","",周转筐出入库明细!$D145)</f>
        <v/>
      </c>
      <c r="R144">
        <f t="shared" si="97"/>
        <v>0</v>
      </c>
      <c r="S144">
        <f t="shared" si="98"/>
        <v>5</v>
      </c>
      <c r="W144" t="str">
        <f>IF(周转筐出入库明细!$C145="","",周转筐出入库明细!$C145)</f>
        <v/>
      </c>
      <c r="X144">
        <f t="shared" si="99"/>
        <v>0</v>
      </c>
      <c r="Y144">
        <f t="shared" si="100"/>
        <v>12</v>
      </c>
      <c r="AA144" t="str">
        <f t="shared" si="101"/>
        <v/>
      </c>
      <c r="AC144" t="str">
        <f>IF(客户自备加工筐明细!$C144="","",客户自备加工筐明细!$C144)</f>
        <v/>
      </c>
      <c r="AD144">
        <f t="shared" si="102"/>
        <v>0</v>
      </c>
      <c r="AE144">
        <f t="shared" si="103"/>
        <v>1</v>
      </c>
      <c r="AI144" t="str">
        <f>IF(客户自备加工筐明细!$E144="","",客户自备加工筐明细!$E144)</f>
        <v/>
      </c>
      <c r="AJ144">
        <f t="shared" si="104"/>
        <v>0</v>
      </c>
      <c r="AK144">
        <f t="shared" si="105"/>
        <v>1</v>
      </c>
      <c r="AM144" t="str">
        <f>IFERROR(INDEX($AI$4:$AI$1503,MATCH(141,$AK$4:$AK$1503,0)),"")</f>
        <v/>
      </c>
      <c r="AO144" t="str">
        <f>IF(次果筐明细!$D144="","",次果筐明细!$D144)</f>
        <v/>
      </c>
      <c r="AP144">
        <f t="shared" si="106"/>
        <v>0</v>
      </c>
      <c r="AQ144">
        <f t="shared" si="107"/>
        <v>1</v>
      </c>
      <c r="AU144" t="str">
        <f>IF(次果筐明细!$C144="","",次果筐明细!$C144)</f>
        <v/>
      </c>
      <c r="AV144">
        <f t="shared" si="108"/>
        <v>0</v>
      </c>
      <c r="AW144">
        <f t="shared" si="109"/>
        <v>1</v>
      </c>
      <c r="AY144" t="str">
        <f t="shared" si="110"/>
        <v/>
      </c>
      <c r="BA144" t="str">
        <f>IF(对接源_01水果筐数!$B145="","",对接源_01水果筐数!$B145)</f>
        <v/>
      </c>
      <c r="BB144">
        <f t="shared" si="111"/>
        <v>0</v>
      </c>
      <c r="BC144">
        <f t="shared" si="112"/>
        <v>14</v>
      </c>
      <c r="BE144" t="str">
        <f t="shared" si="113"/>
        <v/>
      </c>
      <c r="BG144" t="str">
        <f>IF(对接源_01水果筐数!$C145="","",对接源_01水果筐数!$C145)</f>
        <v/>
      </c>
      <c r="BH144">
        <f t="shared" si="114"/>
        <v>0</v>
      </c>
      <c r="BI144">
        <f t="shared" si="115"/>
        <v>7</v>
      </c>
      <c r="BM144" t="str">
        <f t="shared" si="91"/>
        <v/>
      </c>
      <c r="BN144">
        <f t="shared" si="116"/>
        <v>0</v>
      </c>
      <c r="BO144">
        <f t="shared" si="117"/>
        <v>8</v>
      </c>
      <c r="BS144" t="str">
        <f t="shared" si="118"/>
        <v/>
      </c>
      <c r="BT144">
        <f t="shared" si="119"/>
        <v>0</v>
      </c>
      <c r="BU144">
        <f t="shared" si="120"/>
        <v>9</v>
      </c>
      <c r="BW144" t="str">
        <f t="shared" si="121"/>
        <v/>
      </c>
      <c r="BY144" t="str">
        <f t="shared" si="122"/>
        <v/>
      </c>
      <c r="BZ144">
        <f t="shared" si="123"/>
        <v>0</v>
      </c>
      <c r="CA144">
        <f t="shared" si="124"/>
        <v>12</v>
      </c>
      <c r="CC144" t="str">
        <f t="shared" si="125"/>
        <v/>
      </c>
      <c r="CI144" t="str">
        <f>IF(基础资料!$E44="","",基础资料!$E44)</f>
        <v/>
      </c>
      <c r="CJ144">
        <f t="shared" si="126"/>
        <v>0</v>
      </c>
      <c r="CK144">
        <f t="shared" si="127"/>
        <v>24</v>
      </c>
      <c r="CL144" t="str">
        <f t="shared" si="128"/>
        <v/>
      </c>
      <c r="CP144">
        <f>IF(包装物料出入库明细!$D144="",0,1)</f>
        <v>0</v>
      </c>
      <c r="CQ144">
        <f t="shared" si="129"/>
        <v>37</v>
      </c>
      <c r="CS144" t="str">
        <f>IF(OR(周转筐出入库明细!$C145="",周转筐出入库明细!$F145&lt;&gt;"采购入库"),"",周转筐出入库明细!$C145)</f>
        <v/>
      </c>
      <c r="CT144">
        <f t="shared" si="130"/>
        <v>0</v>
      </c>
      <c r="CU144">
        <f t="shared" si="131"/>
        <v>1</v>
      </c>
      <c r="CW144" t="str">
        <f>IFERROR(INDEX($CS$4:$CS$2003,MATCH(141,$CU$4:$CU$2003,0)),"")</f>
        <v/>
      </c>
    </row>
    <row r="145" spans="1:101">
      <c r="A145" t="str">
        <f>IF(包装物料出入库明细!$E145="","",包装物料出入库明细!$E145)</f>
        <v/>
      </c>
      <c r="B145">
        <f t="shared" si="92"/>
        <v>0</v>
      </c>
      <c r="C145">
        <f t="shared" si="93"/>
        <v>7</v>
      </c>
      <c r="D145" t="str">
        <f>IF(包装物料出入库明细!$E145="","",包装物料出入库明细!$F145)</f>
        <v/>
      </c>
      <c r="E145" t="str">
        <f>IF(包装物料出入库明细!$E145="","",包装物料出入库明细!$G145)</f>
        <v/>
      </c>
      <c r="K145" t="str">
        <f>IF(包装物料出入库明细!$D145="","",包装物料出入库明细!$D145)</f>
        <v/>
      </c>
      <c r="L145">
        <f t="shared" si="94"/>
        <v>0</v>
      </c>
      <c r="M145">
        <f t="shared" si="95"/>
        <v>9</v>
      </c>
      <c r="O145" t="str">
        <f t="shared" si="96"/>
        <v/>
      </c>
      <c r="Q145" t="str">
        <f>IF(周转筐出入库明细!$D146="","",周转筐出入库明细!$D146)</f>
        <v/>
      </c>
      <c r="R145">
        <f t="shared" si="97"/>
        <v>0</v>
      </c>
      <c r="S145">
        <f t="shared" si="98"/>
        <v>5</v>
      </c>
      <c r="W145" t="str">
        <f>IF(周转筐出入库明细!$C146="","",周转筐出入库明细!$C146)</f>
        <v/>
      </c>
      <c r="X145">
        <f t="shared" si="99"/>
        <v>0</v>
      </c>
      <c r="Y145">
        <f t="shared" si="100"/>
        <v>12</v>
      </c>
      <c r="AA145" t="str">
        <f t="shared" si="101"/>
        <v/>
      </c>
      <c r="AC145" t="str">
        <f>IF(客户自备加工筐明细!$C145="","",客户自备加工筐明细!$C145)</f>
        <v/>
      </c>
      <c r="AD145">
        <f t="shared" si="102"/>
        <v>0</v>
      </c>
      <c r="AE145">
        <f t="shared" si="103"/>
        <v>1</v>
      </c>
      <c r="AI145" t="str">
        <f>IF(客户自备加工筐明细!$E145="","",客户自备加工筐明细!$E145)</f>
        <v/>
      </c>
      <c r="AJ145">
        <f t="shared" si="104"/>
        <v>0</v>
      </c>
      <c r="AK145">
        <f t="shared" si="105"/>
        <v>1</v>
      </c>
      <c r="AM145" t="str">
        <f>IFERROR(INDEX($AI$4:$AI$1503,MATCH(142,$AK$4:$AK$1503,0)),"")</f>
        <v/>
      </c>
      <c r="AO145" t="str">
        <f>IF(次果筐明细!$D145="","",次果筐明细!$D145)</f>
        <v/>
      </c>
      <c r="AP145">
        <f t="shared" si="106"/>
        <v>0</v>
      </c>
      <c r="AQ145">
        <f t="shared" si="107"/>
        <v>1</v>
      </c>
      <c r="AU145" t="str">
        <f>IF(次果筐明细!$C145="","",次果筐明细!$C145)</f>
        <v/>
      </c>
      <c r="AV145">
        <f t="shared" si="108"/>
        <v>0</v>
      </c>
      <c r="AW145">
        <f t="shared" si="109"/>
        <v>1</v>
      </c>
      <c r="AY145" t="str">
        <f t="shared" si="110"/>
        <v/>
      </c>
      <c r="BA145" t="str">
        <f>IF(对接源_01水果筐数!$B146="","",对接源_01水果筐数!$B146)</f>
        <v/>
      </c>
      <c r="BB145">
        <f t="shared" si="111"/>
        <v>0</v>
      </c>
      <c r="BC145">
        <f t="shared" si="112"/>
        <v>14</v>
      </c>
      <c r="BE145" t="str">
        <f t="shared" si="113"/>
        <v/>
      </c>
      <c r="BG145" t="str">
        <f>IF(对接源_01水果筐数!$C146="","",对接源_01水果筐数!$C146)</f>
        <v/>
      </c>
      <c r="BH145">
        <f t="shared" si="114"/>
        <v>0</v>
      </c>
      <c r="BI145">
        <f t="shared" si="115"/>
        <v>7</v>
      </c>
      <c r="BM145" t="str">
        <f t="shared" si="91"/>
        <v/>
      </c>
      <c r="BN145">
        <f t="shared" si="116"/>
        <v>0</v>
      </c>
      <c r="BO145">
        <f t="shared" si="117"/>
        <v>8</v>
      </c>
      <c r="BS145" t="str">
        <f t="shared" si="118"/>
        <v/>
      </c>
      <c r="BT145">
        <f t="shared" si="119"/>
        <v>0</v>
      </c>
      <c r="BU145">
        <f t="shared" si="120"/>
        <v>9</v>
      </c>
      <c r="BW145" t="str">
        <f t="shared" si="121"/>
        <v/>
      </c>
      <c r="BY145" t="str">
        <f t="shared" si="122"/>
        <v/>
      </c>
      <c r="BZ145">
        <f t="shared" si="123"/>
        <v>0</v>
      </c>
      <c r="CA145">
        <f t="shared" si="124"/>
        <v>12</v>
      </c>
      <c r="CC145" t="str">
        <f t="shared" si="125"/>
        <v/>
      </c>
      <c r="CI145" t="str">
        <f>IF(基础资料!$E45="","",基础资料!$E45)</f>
        <v/>
      </c>
      <c r="CJ145">
        <f t="shared" si="126"/>
        <v>0</v>
      </c>
      <c r="CK145">
        <f t="shared" si="127"/>
        <v>24</v>
      </c>
      <c r="CL145" t="str">
        <f t="shared" si="128"/>
        <v/>
      </c>
      <c r="CP145">
        <f>IF(包装物料出入库明细!$D145="",0,1)</f>
        <v>0</v>
      </c>
      <c r="CQ145">
        <f t="shared" si="129"/>
        <v>37</v>
      </c>
      <c r="CS145" t="str">
        <f>IF(OR(周转筐出入库明细!$C146="",周转筐出入库明细!$F146&lt;&gt;"采购入库"),"",周转筐出入库明细!$C146)</f>
        <v/>
      </c>
      <c r="CT145">
        <f t="shared" si="130"/>
        <v>0</v>
      </c>
      <c r="CU145">
        <f t="shared" si="131"/>
        <v>1</v>
      </c>
      <c r="CW145" t="str">
        <f>IFERROR(INDEX($CS$4:$CS$2003,MATCH(142,$CU$4:$CU$2003,0)),"")</f>
        <v/>
      </c>
    </row>
    <row r="146" spans="1:101">
      <c r="A146" t="str">
        <f>IF(包装物料出入库明细!$E146="","",包装物料出入库明细!$E146)</f>
        <v/>
      </c>
      <c r="B146">
        <f t="shared" si="92"/>
        <v>0</v>
      </c>
      <c r="C146">
        <f t="shared" si="93"/>
        <v>7</v>
      </c>
      <c r="D146" t="str">
        <f>IF(包装物料出入库明细!$E146="","",包装物料出入库明细!$F146)</f>
        <v/>
      </c>
      <c r="E146" t="str">
        <f>IF(包装物料出入库明细!$E146="","",包装物料出入库明细!$G146)</f>
        <v/>
      </c>
      <c r="K146" t="str">
        <f>IF(包装物料出入库明细!$D146="","",包装物料出入库明细!$D146)</f>
        <v/>
      </c>
      <c r="L146">
        <f t="shared" si="94"/>
        <v>0</v>
      </c>
      <c r="M146">
        <f t="shared" si="95"/>
        <v>9</v>
      </c>
      <c r="O146" t="str">
        <f t="shared" si="96"/>
        <v/>
      </c>
      <c r="Q146" t="str">
        <f>IF(周转筐出入库明细!$D147="","",周转筐出入库明细!$D147)</f>
        <v/>
      </c>
      <c r="R146">
        <f t="shared" si="97"/>
        <v>0</v>
      </c>
      <c r="S146">
        <f t="shared" si="98"/>
        <v>5</v>
      </c>
      <c r="W146" t="str">
        <f>IF(周转筐出入库明细!$C147="","",周转筐出入库明细!$C147)</f>
        <v/>
      </c>
      <c r="X146">
        <f t="shared" si="99"/>
        <v>0</v>
      </c>
      <c r="Y146">
        <f t="shared" si="100"/>
        <v>12</v>
      </c>
      <c r="AA146" t="str">
        <f t="shared" si="101"/>
        <v/>
      </c>
      <c r="AC146" t="str">
        <f>IF(客户自备加工筐明细!$C146="","",客户自备加工筐明细!$C146)</f>
        <v/>
      </c>
      <c r="AD146">
        <f t="shared" si="102"/>
        <v>0</v>
      </c>
      <c r="AE146">
        <f t="shared" si="103"/>
        <v>1</v>
      </c>
      <c r="AI146" t="str">
        <f>IF(客户自备加工筐明细!$E146="","",客户自备加工筐明细!$E146)</f>
        <v/>
      </c>
      <c r="AJ146">
        <f t="shared" si="104"/>
        <v>0</v>
      </c>
      <c r="AK146">
        <f t="shared" si="105"/>
        <v>1</v>
      </c>
      <c r="AM146" t="str">
        <f>IFERROR(INDEX($AI$4:$AI$1503,MATCH(143,$AK$4:$AK$1503,0)),"")</f>
        <v/>
      </c>
      <c r="AO146" t="str">
        <f>IF(次果筐明细!$D146="","",次果筐明细!$D146)</f>
        <v/>
      </c>
      <c r="AP146">
        <f t="shared" si="106"/>
        <v>0</v>
      </c>
      <c r="AQ146">
        <f t="shared" si="107"/>
        <v>1</v>
      </c>
      <c r="AU146" t="str">
        <f>IF(次果筐明细!$C146="","",次果筐明细!$C146)</f>
        <v/>
      </c>
      <c r="AV146">
        <f t="shared" si="108"/>
        <v>0</v>
      </c>
      <c r="AW146">
        <f t="shared" si="109"/>
        <v>1</v>
      </c>
      <c r="AY146" t="str">
        <f t="shared" si="110"/>
        <v/>
      </c>
      <c r="BA146" t="str">
        <f>IF(对接源_01水果筐数!$B147="","",对接源_01水果筐数!$B147)</f>
        <v/>
      </c>
      <c r="BB146">
        <f t="shared" si="111"/>
        <v>0</v>
      </c>
      <c r="BC146">
        <f t="shared" si="112"/>
        <v>14</v>
      </c>
      <c r="BE146" t="str">
        <f t="shared" si="113"/>
        <v/>
      </c>
      <c r="BG146" t="str">
        <f>IF(对接源_01水果筐数!$C147="","",对接源_01水果筐数!$C147)</f>
        <v/>
      </c>
      <c r="BH146">
        <f t="shared" si="114"/>
        <v>0</v>
      </c>
      <c r="BI146">
        <f t="shared" si="115"/>
        <v>7</v>
      </c>
      <c r="BM146" t="str">
        <f t="shared" si="91"/>
        <v/>
      </c>
      <c r="BN146">
        <f t="shared" si="116"/>
        <v>0</v>
      </c>
      <c r="BO146">
        <f t="shared" si="117"/>
        <v>8</v>
      </c>
      <c r="BS146" t="str">
        <f t="shared" si="118"/>
        <v/>
      </c>
      <c r="BT146">
        <f t="shared" si="119"/>
        <v>0</v>
      </c>
      <c r="BU146">
        <f t="shared" si="120"/>
        <v>9</v>
      </c>
      <c r="BW146" t="str">
        <f t="shared" si="121"/>
        <v/>
      </c>
      <c r="BY146" t="str">
        <f t="shared" si="122"/>
        <v/>
      </c>
      <c r="BZ146">
        <f t="shared" si="123"/>
        <v>0</v>
      </c>
      <c r="CA146">
        <f t="shared" si="124"/>
        <v>12</v>
      </c>
      <c r="CC146" t="str">
        <f t="shared" si="125"/>
        <v/>
      </c>
      <c r="CI146" t="str">
        <f>IF(基础资料!$E46="","",基础资料!$E46)</f>
        <v/>
      </c>
      <c r="CJ146">
        <f t="shared" si="126"/>
        <v>0</v>
      </c>
      <c r="CK146">
        <f t="shared" si="127"/>
        <v>24</v>
      </c>
      <c r="CL146" t="str">
        <f t="shared" si="128"/>
        <v/>
      </c>
      <c r="CP146">
        <f>IF(包装物料出入库明细!$D146="",0,1)</f>
        <v>0</v>
      </c>
      <c r="CQ146">
        <f t="shared" si="129"/>
        <v>37</v>
      </c>
      <c r="CS146" t="str">
        <f>IF(OR(周转筐出入库明细!$C147="",周转筐出入库明细!$F147&lt;&gt;"采购入库"),"",周转筐出入库明细!$C147)</f>
        <v/>
      </c>
      <c r="CT146">
        <f t="shared" si="130"/>
        <v>0</v>
      </c>
      <c r="CU146">
        <f t="shared" si="131"/>
        <v>1</v>
      </c>
      <c r="CW146" t="str">
        <f>IFERROR(INDEX($CS$4:$CS$2003,MATCH(143,$CU$4:$CU$2003,0)),"")</f>
        <v/>
      </c>
    </row>
    <row r="147" spans="1:101">
      <c r="A147" t="str">
        <f>IF(包装物料出入库明细!$E147="","",包装物料出入库明细!$E147)</f>
        <v/>
      </c>
      <c r="B147">
        <f t="shared" si="92"/>
        <v>0</v>
      </c>
      <c r="C147">
        <f t="shared" si="93"/>
        <v>7</v>
      </c>
      <c r="D147" t="str">
        <f>IF(包装物料出入库明细!$E147="","",包装物料出入库明细!$F147)</f>
        <v/>
      </c>
      <c r="E147" t="str">
        <f>IF(包装物料出入库明细!$E147="","",包装物料出入库明细!$G147)</f>
        <v/>
      </c>
      <c r="K147" t="str">
        <f>IF(包装物料出入库明细!$D147="","",包装物料出入库明细!$D147)</f>
        <v/>
      </c>
      <c r="L147">
        <f t="shared" si="94"/>
        <v>0</v>
      </c>
      <c r="M147">
        <f t="shared" si="95"/>
        <v>9</v>
      </c>
      <c r="O147" t="str">
        <f t="shared" si="96"/>
        <v/>
      </c>
      <c r="Q147" t="str">
        <f>IF(周转筐出入库明细!$D148="","",周转筐出入库明细!$D148)</f>
        <v/>
      </c>
      <c r="R147">
        <f t="shared" si="97"/>
        <v>0</v>
      </c>
      <c r="S147">
        <f t="shared" si="98"/>
        <v>5</v>
      </c>
      <c r="W147" t="str">
        <f>IF(周转筐出入库明细!$C148="","",周转筐出入库明细!$C148)</f>
        <v/>
      </c>
      <c r="X147">
        <f t="shared" si="99"/>
        <v>0</v>
      </c>
      <c r="Y147">
        <f t="shared" si="100"/>
        <v>12</v>
      </c>
      <c r="AA147" t="str">
        <f t="shared" si="101"/>
        <v/>
      </c>
      <c r="AC147" t="str">
        <f>IF(客户自备加工筐明细!$C147="","",客户自备加工筐明细!$C147)</f>
        <v/>
      </c>
      <c r="AD147">
        <f t="shared" si="102"/>
        <v>0</v>
      </c>
      <c r="AE147">
        <f t="shared" si="103"/>
        <v>1</v>
      </c>
      <c r="AI147" t="str">
        <f>IF(客户自备加工筐明细!$E147="","",客户自备加工筐明细!$E147)</f>
        <v/>
      </c>
      <c r="AJ147">
        <f t="shared" si="104"/>
        <v>0</v>
      </c>
      <c r="AK147">
        <f t="shared" si="105"/>
        <v>1</v>
      </c>
      <c r="AM147" t="str">
        <f>IFERROR(INDEX($AI$4:$AI$1503,MATCH(144,$AK$4:$AK$1503,0)),"")</f>
        <v/>
      </c>
      <c r="AO147" t="str">
        <f>IF(次果筐明细!$D147="","",次果筐明细!$D147)</f>
        <v/>
      </c>
      <c r="AP147">
        <f t="shared" si="106"/>
        <v>0</v>
      </c>
      <c r="AQ147">
        <f t="shared" si="107"/>
        <v>1</v>
      </c>
      <c r="AU147" t="str">
        <f>IF(次果筐明细!$C147="","",次果筐明细!$C147)</f>
        <v/>
      </c>
      <c r="AV147">
        <f t="shared" si="108"/>
        <v>0</v>
      </c>
      <c r="AW147">
        <f t="shared" si="109"/>
        <v>1</v>
      </c>
      <c r="AY147" t="str">
        <f t="shared" si="110"/>
        <v/>
      </c>
      <c r="BA147" t="str">
        <f>IF(对接源_01水果筐数!$B148="","",对接源_01水果筐数!$B148)</f>
        <v/>
      </c>
      <c r="BB147">
        <f t="shared" si="111"/>
        <v>0</v>
      </c>
      <c r="BC147">
        <f t="shared" si="112"/>
        <v>14</v>
      </c>
      <c r="BE147" t="str">
        <f t="shared" si="113"/>
        <v/>
      </c>
      <c r="BG147" t="str">
        <f>IF(对接源_01水果筐数!$C148="","",对接源_01水果筐数!$C148)</f>
        <v/>
      </c>
      <c r="BH147">
        <f t="shared" si="114"/>
        <v>0</v>
      </c>
      <c r="BI147">
        <f t="shared" si="115"/>
        <v>7</v>
      </c>
      <c r="BM147" t="str">
        <f t="shared" si="91"/>
        <v/>
      </c>
      <c r="BN147">
        <f t="shared" si="116"/>
        <v>0</v>
      </c>
      <c r="BO147">
        <f t="shared" si="117"/>
        <v>8</v>
      </c>
      <c r="BS147" t="str">
        <f t="shared" si="118"/>
        <v/>
      </c>
      <c r="BT147">
        <f t="shared" si="119"/>
        <v>0</v>
      </c>
      <c r="BU147">
        <f t="shared" si="120"/>
        <v>9</v>
      </c>
      <c r="BW147" t="str">
        <f t="shared" si="121"/>
        <v/>
      </c>
      <c r="BY147" t="str">
        <f t="shared" si="122"/>
        <v/>
      </c>
      <c r="BZ147">
        <f t="shared" si="123"/>
        <v>0</v>
      </c>
      <c r="CA147">
        <f t="shared" si="124"/>
        <v>12</v>
      </c>
      <c r="CC147" t="str">
        <f t="shared" si="125"/>
        <v/>
      </c>
      <c r="CI147" t="str">
        <f>IF(基础资料!$E47="","",基础资料!$E47)</f>
        <v/>
      </c>
      <c r="CJ147">
        <f t="shared" si="126"/>
        <v>0</v>
      </c>
      <c r="CK147">
        <f t="shared" si="127"/>
        <v>24</v>
      </c>
      <c r="CL147" t="str">
        <f t="shared" si="128"/>
        <v/>
      </c>
      <c r="CP147">
        <f>IF(包装物料出入库明细!$D147="",0,1)</f>
        <v>0</v>
      </c>
      <c r="CQ147">
        <f t="shared" si="129"/>
        <v>37</v>
      </c>
      <c r="CS147" t="str">
        <f>IF(OR(周转筐出入库明细!$C148="",周转筐出入库明细!$F148&lt;&gt;"采购入库"),"",周转筐出入库明细!$C148)</f>
        <v/>
      </c>
      <c r="CT147">
        <f t="shared" si="130"/>
        <v>0</v>
      </c>
      <c r="CU147">
        <f t="shared" si="131"/>
        <v>1</v>
      </c>
      <c r="CW147" t="str">
        <f>IFERROR(INDEX($CS$4:$CS$2003,MATCH(144,$CU$4:$CU$2003,0)),"")</f>
        <v/>
      </c>
    </row>
    <row r="148" spans="1:101">
      <c r="A148" t="str">
        <f>IF(包装物料出入库明细!$E148="","",包装物料出入库明细!$E148)</f>
        <v/>
      </c>
      <c r="B148">
        <f t="shared" si="92"/>
        <v>0</v>
      </c>
      <c r="C148">
        <f t="shared" si="93"/>
        <v>7</v>
      </c>
      <c r="D148" t="str">
        <f>IF(包装物料出入库明细!$E148="","",包装物料出入库明细!$F148)</f>
        <v/>
      </c>
      <c r="E148" t="str">
        <f>IF(包装物料出入库明细!$E148="","",包装物料出入库明细!$G148)</f>
        <v/>
      </c>
      <c r="K148" t="str">
        <f>IF(包装物料出入库明细!$D148="","",包装物料出入库明细!$D148)</f>
        <v/>
      </c>
      <c r="L148">
        <f t="shared" si="94"/>
        <v>0</v>
      </c>
      <c r="M148">
        <f t="shared" si="95"/>
        <v>9</v>
      </c>
      <c r="O148" t="str">
        <f t="shared" si="96"/>
        <v/>
      </c>
      <c r="Q148" t="str">
        <f>IF(周转筐出入库明细!$D149="","",周转筐出入库明细!$D149)</f>
        <v/>
      </c>
      <c r="R148">
        <f t="shared" si="97"/>
        <v>0</v>
      </c>
      <c r="S148">
        <f t="shared" si="98"/>
        <v>5</v>
      </c>
      <c r="W148" t="str">
        <f>IF(周转筐出入库明细!$C149="","",周转筐出入库明细!$C149)</f>
        <v/>
      </c>
      <c r="X148">
        <f t="shared" si="99"/>
        <v>0</v>
      </c>
      <c r="Y148">
        <f t="shared" si="100"/>
        <v>12</v>
      </c>
      <c r="AA148" t="str">
        <f t="shared" si="101"/>
        <v/>
      </c>
      <c r="AC148" t="str">
        <f>IF(客户自备加工筐明细!$C148="","",客户自备加工筐明细!$C148)</f>
        <v/>
      </c>
      <c r="AD148">
        <f t="shared" si="102"/>
        <v>0</v>
      </c>
      <c r="AE148">
        <f t="shared" si="103"/>
        <v>1</v>
      </c>
      <c r="AI148" t="str">
        <f>IF(客户自备加工筐明细!$E148="","",客户自备加工筐明细!$E148)</f>
        <v/>
      </c>
      <c r="AJ148">
        <f t="shared" si="104"/>
        <v>0</v>
      </c>
      <c r="AK148">
        <f t="shared" si="105"/>
        <v>1</v>
      </c>
      <c r="AM148" t="str">
        <f>IFERROR(INDEX($AI$4:$AI$1503,MATCH(145,$AK$4:$AK$1503,0)),"")</f>
        <v/>
      </c>
      <c r="AO148" t="str">
        <f>IF(次果筐明细!$D148="","",次果筐明细!$D148)</f>
        <v/>
      </c>
      <c r="AP148">
        <f t="shared" si="106"/>
        <v>0</v>
      </c>
      <c r="AQ148">
        <f t="shared" si="107"/>
        <v>1</v>
      </c>
      <c r="AU148" t="str">
        <f>IF(次果筐明细!$C148="","",次果筐明细!$C148)</f>
        <v/>
      </c>
      <c r="AV148">
        <f t="shared" si="108"/>
        <v>0</v>
      </c>
      <c r="AW148">
        <f t="shared" si="109"/>
        <v>1</v>
      </c>
      <c r="AY148" t="str">
        <f t="shared" si="110"/>
        <v/>
      </c>
      <c r="BA148" t="str">
        <f>IF(对接源_01水果筐数!$B149="","",对接源_01水果筐数!$B149)</f>
        <v/>
      </c>
      <c r="BB148">
        <f t="shared" si="111"/>
        <v>0</v>
      </c>
      <c r="BC148">
        <f t="shared" si="112"/>
        <v>14</v>
      </c>
      <c r="BE148" t="str">
        <f t="shared" si="113"/>
        <v/>
      </c>
      <c r="BG148" t="str">
        <f>IF(对接源_01水果筐数!$C149="","",对接源_01水果筐数!$C149)</f>
        <v/>
      </c>
      <c r="BH148">
        <f t="shared" si="114"/>
        <v>0</v>
      </c>
      <c r="BI148">
        <f t="shared" si="115"/>
        <v>7</v>
      </c>
      <c r="BM148" t="str">
        <f t="shared" si="91"/>
        <v/>
      </c>
      <c r="BN148">
        <f t="shared" si="116"/>
        <v>0</v>
      </c>
      <c r="BO148">
        <f t="shared" si="117"/>
        <v>8</v>
      </c>
      <c r="BS148" t="str">
        <f t="shared" si="118"/>
        <v/>
      </c>
      <c r="BT148">
        <f t="shared" si="119"/>
        <v>0</v>
      </c>
      <c r="BU148">
        <f t="shared" si="120"/>
        <v>9</v>
      </c>
      <c r="BW148" t="str">
        <f t="shared" si="121"/>
        <v/>
      </c>
      <c r="BY148" t="str">
        <f t="shared" si="122"/>
        <v/>
      </c>
      <c r="BZ148">
        <f t="shared" si="123"/>
        <v>0</v>
      </c>
      <c r="CA148">
        <f t="shared" si="124"/>
        <v>12</v>
      </c>
      <c r="CC148" t="str">
        <f t="shared" si="125"/>
        <v/>
      </c>
      <c r="CI148" t="str">
        <f>IF(基础资料!$E48="","",基础资料!$E48)</f>
        <v/>
      </c>
      <c r="CJ148">
        <f t="shared" si="126"/>
        <v>0</v>
      </c>
      <c r="CK148">
        <f t="shared" si="127"/>
        <v>24</v>
      </c>
      <c r="CL148" t="str">
        <f t="shared" si="128"/>
        <v/>
      </c>
      <c r="CP148">
        <f>IF(包装物料出入库明细!$D148="",0,1)</f>
        <v>0</v>
      </c>
      <c r="CQ148">
        <f t="shared" si="129"/>
        <v>37</v>
      </c>
      <c r="CS148" t="str">
        <f>IF(OR(周转筐出入库明细!$C149="",周转筐出入库明细!$F149&lt;&gt;"采购入库"),"",周转筐出入库明细!$C149)</f>
        <v/>
      </c>
      <c r="CT148">
        <f t="shared" si="130"/>
        <v>0</v>
      </c>
      <c r="CU148">
        <f t="shared" si="131"/>
        <v>1</v>
      </c>
      <c r="CW148" t="str">
        <f>IFERROR(INDEX($CS$4:$CS$2003,MATCH(145,$CU$4:$CU$2003,0)),"")</f>
        <v/>
      </c>
    </row>
    <row r="149" spans="1:101">
      <c r="A149" t="str">
        <f>IF(包装物料出入库明细!$E149="","",包装物料出入库明细!$E149)</f>
        <v/>
      </c>
      <c r="B149">
        <f t="shared" si="92"/>
        <v>0</v>
      </c>
      <c r="C149">
        <f t="shared" si="93"/>
        <v>7</v>
      </c>
      <c r="D149" t="str">
        <f>IF(包装物料出入库明细!$E149="","",包装物料出入库明细!$F149)</f>
        <v/>
      </c>
      <c r="E149" t="str">
        <f>IF(包装物料出入库明细!$E149="","",包装物料出入库明细!$G149)</f>
        <v/>
      </c>
      <c r="K149" t="str">
        <f>IF(包装物料出入库明细!$D149="","",包装物料出入库明细!$D149)</f>
        <v/>
      </c>
      <c r="L149">
        <f t="shared" si="94"/>
        <v>0</v>
      </c>
      <c r="M149">
        <f t="shared" si="95"/>
        <v>9</v>
      </c>
      <c r="O149" t="str">
        <f t="shared" si="96"/>
        <v/>
      </c>
      <c r="Q149" t="str">
        <f>IF(周转筐出入库明细!$D150="","",周转筐出入库明细!$D150)</f>
        <v/>
      </c>
      <c r="R149">
        <f t="shared" si="97"/>
        <v>0</v>
      </c>
      <c r="S149">
        <f t="shared" si="98"/>
        <v>5</v>
      </c>
      <c r="W149" t="str">
        <f>IF(周转筐出入库明细!$C150="","",周转筐出入库明细!$C150)</f>
        <v/>
      </c>
      <c r="X149">
        <f t="shared" si="99"/>
        <v>0</v>
      </c>
      <c r="Y149">
        <f t="shared" si="100"/>
        <v>12</v>
      </c>
      <c r="AA149" t="str">
        <f t="shared" si="101"/>
        <v/>
      </c>
      <c r="AC149" t="str">
        <f>IF(客户自备加工筐明细!$C149="","",客户自备加工筐明细!$C149)</f>
        <v/>
      </c>
      <c r="AD149">
        <f t="shared" si="102"/>
        <v>0</v>
      </c>
      <c r="AE149">
        <f t="shared" si="103"/>
        <v>1</v>
      </c>
      <c r="AI149" t="str">
        <f>IF(客户自备加工筐明细!$E149="","",客户自备加工筐明细!$E149)</f>
        <v/>
      </c>
      <c r="AJ149">
        <f t="shared" si="104"/>
        <v>0</v>
      </c>
      <c r="AK149">
        <f t="shared" si="105"/>
        <v>1</v>
      </c>
      <c r="AM149" t="str">
        <f>IFERROR(INDEX($AI$4:$AI$1503,MATCH(146,$AK$4:$AK$1503,0)),"")</f>
        <v/>
      </c>
      <c r="AO149" t="str">
        <f>IF(次果筐明细!$D149="","",次果筐明细!$D149)</f>
        <v/>
      </c>
      <c r="AP149">
        <f t="shared" si="106"/>
        <v>0</v>
      </c>
      <c r="AQ149">
        <f t="shared" si="107"/>
        <v>1</v>
      </c>
      <c r="AU149" t="str">
        <f>IF(次果筐明细!$C149="","",次果筐明细!$C149)</f>
        <v/>
      </c>
      <c r="AV149">
        <f t="shared" si="108"/>
        <v>0</v>
      </c>
      <c r="AW149">
        <f t="shared" si="109"/>
        <v>1</v>
      </c>
      <c r="AY149" t="str">
        <f t="shared" si="110"/>
        <v/>
      </c>
      <c r="BA149" t="str">
        <f>IF(对接源_01水果筐数!$B150="","",对接源_01水果筐数!$B150)</f>
        <v/>
      </c>
      <c r="BB149">
        <f t="shared" si="111"/>
        <v>0</v>
      </c>
      <c r="BC149">
        <f t="shared" si="112"/>
        <v>14</v>
      </c>
      <c r="BE149" t="str">
        <f t="shared" si="113"/>
        <v/>
      </c>
      <c r="BG149" t="str">
        <f>IF(对接源_01水果筐数!$C150="","",对接源_01水果筐数!$C150)</f>
        <v/>
      </c>
      <c r="BH149">
        <f t="shared" si="114"/>
        <v>0</v>
      </c>
      <c r="BI149">
        <f t="shared" si="115"/>
        <v>7</v>
      </c>
      <c r="BM149" t="str">
        <f t="shared" si="91"/>
        <v/>
      </c>
      <c r="BN149">
        <f t="shared" si="116"/>
        <v>0</v>
      </c>
      <c r="BO149">
        <f t="shared" si="117"/>
        <v>8</v>
      </c>
      <c r="BS149" t="str">
        <f t="shared" si="118"/>
        <v/>
      </c>
      <c r="BT149">
        <f t="shared" si="119"/>
        <v>0</v>
      </c>
      <c r="BU149">
        <f t="shared" si="120"/>
        <v>9</v>
      </c>
      <c r="BW149" t="str">
        <f t="shared" si="121"/>
        <v/>
      </c>
      <c r="BY149" t="str">
        <f t="shared" si="122"/>
        <v/>
      </c>
      <c r="BZ149">
        <f t="shared" si="123"/>
        <v>0</v>
      </c>
      <c r="CA149">
        <f t="shared" si="124"/>
        <v>12</v>
      </c>
      <c r="CC149" t="str">
        <f t="shared" si="125"/>
        <v/>
      </c>
      <c r="CI149" t="str">
        <f>IF(基础资料!$E49="","",基础资料!$E49)</f>
        <v/>
      </c>
      <c r="CJ149">
        <f t="shared" si="126"/>
        <v>0</v>
      </c>
      <c r="CK149">
        <f t="shared" si="127"/>
        <v>24</v>
      </c>
      <c r="CL149" t="str">
        <f t="shared" si="128"/>
        <v/>
      </c>
      <c r="CP149">
        <f>IF(包装物料出入库明细!$D149="",0,1)</f>
        <v>0</v>
      </c>
      <c r="CQ149">
        <f t="shared" si="129"/>
        <v>37</v>
      </c>
      <c r="CS149" t="str">
        <f>IF(OR(周转筐出入库明细!$C150="",周转筐出入库明细!$F150&lt;&gt;"采购入库"),"",周转筐出入库明细!$C150)</f>
        <v/>
      </c>
      <c r="CT149">
        <f t="shared" si="130"/>
        <v>0</v>
      </c>
      <c r="CU149">
        <f t="shared" si="131"/>
        <v>1</v>
      </c>
      <c r="CW149" t="str">
        <f>IFERROR(INDEX($CS$4:$CS$2003,MATCH(146,$CU$4:$CU$2003,0)),"")</f>
        <v/>
      </c>
    </row>
    <row r="150" spans="1:101">
      <c r="A150" t="str">
        <f>IF(包装物料出入库明细!$E150="","",包装物料出入库明细!$E150)</f>
        <v/>
      </c>
      <c r="B150">
        <f t="shared" si="92"/>
        <v>0</v>
      </c>
      <c r="C150">
        <f t="shared" si="93"/>
        <v>7</v>
      </c>
      <c r="D150" t="str">
        <f>IF(包装物料出入库明细!$E150="","",包装物料出入库明细!$F150)</f>
        <v/>
      </c>
      <c r="E150" t="str">
        <f>IF(包装物料出入库明细!$E150="","",包装物料出入库明细!$G150)</f>
        <v/>
      </c>
      <c r="K150" t="str">
        <f>IF(包装物料出入库明细!$D150="","",包装物料出入库明细!$D150)</f>
        <v/>
      </c>
      <c r="L150">
        <f t="shared" si="94"/>
        <v>0</v>
      </c>
      <c r="M150">
        <f t="shared" si="95"/>
        <v>9</v>
      </c>
      <c r="O150" t="str">
        <f t="shared" si="96"/>
        <v/>
      </c>
      <c r="Q150" t="str">
        <f>IF(周转筐出入库明细!$D151="","",周转筐出入库明细!$D151)</f>
        <v/>
      </c>
      <c r="R150">
        <f t="shared" si="97"/>
        <v>0</v>
      </c>
      <c r="S150">
        <f t="shared" si="98"/>
        <v>5</v>
      </c>
      <c r="W150" t="str">
        <f>IF(周转筐出入库明细!$C151="","",周转筐出入库明细!$C151)</f>
        <v/>
      </c>
      <c r="X150">
        <f t="shared" si="99"/>
        <v>0</v>
      </c>
      <c r="Y150">
        <f t="shared" si="100"/>
        <v>12</v>
      </c>
      <c r="AA150" t="str">
        <f t="shared" si="101"/>
        <v/>
      </c>
      <c r="AC150" t="str">
        <f>IF(客户自备加工筐明细!$C150="","",客户自备加工筐明细!$C150)</f>
        <v/>
      </c>
      <c r="AD150">
        <f t="shared" si="102"/>
        <v>0</v>
      </c>
      <c r="AE150">
        <f t="shared" si="103"/>
        <v>1</v>
      </c>
      <c r="AI150" t="str">
        <f>IF(客户自备加工筐明细!$E150="","",客户自备加工筐明细!$E150)</f>
        <v/>
      </c>
      <c r="AJ150">
        <f t="shared" si="104"/>
        <v>0</v>
      </c>
      <c r="AK150">
        <f t="shared" si="105"/>
        <v>1</v>
      </c>
      <c r="AM150" t="str">
        <f>IFERROR(INDEX($AI$4:$AI$1503,MATCH(147,$AK$4:$AK$1503,0)),"")</f>
        <v/>
      </c>
      <c r="AO150" t="str">
        <f>IF(次果筐明细!$D150="","",次果筐明细!$D150)</f>
        <v/>
      </c>
      <c r="AP150">
        <f t="shared" si="106"/>
        <v>0</v>
      </c>
      <c r="AQ150">
        <f t="shared" si="107"/>
        <v>1</v>
      </c>
      <c r="AU150" t="str">
        <f>IF(次果筐明细!$C150="","",次果筐明细!$C150)</f>
        <v/>
      </c>
      <c r="AV150">
        <f t="shared" si="108"/>
        <v>0</v>
      </c>
      <c r="AW150">
        <f t="shared" si="109"/>
        <v>1</v>
      </c>
      <c r="AY150" t="str">
        <f t="shared" si="110"/>
        <v/>
      </c>
      <c r="BA150" t="str">
        <f>IF(对接源_01水果筐数!$B151="","",对接源_01水果筐数!$B151)</f>
        <v/>
      </c>
      <c r="BB150">
        <f t="shared" si="111"/>
        <v>0</v>
      </c>
      <c r="BC150">
        <f t="shared" si="112"/>
        <v>14</v>
      </c>
      <c r="BE150" t="str">
        <f t="shared" si="113"/>
        <v/>
      </c>
      <c r="BG150" t="str">
        <f>IF(对接源_01水果筐数!$C151="","",对接源_01水果筐数!$C151)</f>
        <v/>
      </c>
      <c r="BH150">
        <f t="shared" si="114"/>
        <v>0</v>
      </c>
      <c r="BI150">
        <f t="shared" si="115"/>
        <v>7</v>
      </c>
      <c r="BM150" t="str">
        <f t="shared" si="91"/>
        <v/>
      </c>
      <c r="BN150">
        <f t="shared" si="116"/>
        <v>0</v>
      </c>
      <c r="BO150">
        <f t="shared" si="117"/>
        <v>8</v>
      </c>
      <c r="BS150" t="str">
        <f t="shared" si="118"/>
        <v/>
      </c>
      <c r="BT150">
        <f t="shared" si="119"/>
        <v>0</v>
      </c>
      <c r="BU150">
        <f t="shared" si="120"/>
        <v>9</v>
      </c>
      <c r="BW150" t="str">
        <f t="shared" si="121"/>
        <v/>
      </c>
      <c r="BY150" t="str">
        <f t="shared" si="122"/>
        <v/>
      </c>
      <c r="BZ150">
        <f t="shared" si="123"/>
        <v>0</v>
      </c>
      <c r="CA150">
        <f t="shared" si="124"/>
        <v>12</v>
      </c>
      <c r="CC150" t="str">
        <f t="shared" si="125"/>
        <v/>
      </c>
      <c r="CI150" t="str">
        <f>IF(基础资料!$E50="","",基础资料!$E50)</f>
        <v/>
      </c>
      <c r="CJ150">
        <f t="shared" si="126"/>
        <v>0</v>
      </c>
      <c r="CK150">
        <f t="shared" si="127"/>
        <v>24</v>
      </c>
      <c r="CL150" t="str">
        <f t="shared" si="128"/>
        <v/>
      </c>
      <c r="CP150">
        <f>IF(包装物料出入库明细!$D150="",0,1)</f>
        <v>0</v>
      </c>
      <c r="CQ150">
        <f t="shared" si="129"/>
        <v>37</v>
      </c>
      <c r="CS150" t="str">
        <f>IF(OR(周转筐出入库明细!$C151="",周转筐出入库明细!$F151&lt;&gt;"采购入库"),"",周转筐出入库明细!$C151)</f>
        <v/>
      </c>
      <c r="CT150">
        <f t="shared" si="130"/>
        <v>0</v>
      </c>
      <c r="CU150">
        <f t="shared" si="131"/>
        <v>1</v>
      </c>
      <c r="CW150" t="str">
        <f>IFERROR(INDEX($CS$4:$CS$2003,MATCH(147,$CU$4:$CU$2003,0)),"")</f>
        <v/>
      </c>
    </row>
    <row r="151" spans="1:101">
      <c r="A151" t="str">
        <f>IF(包装物料出入库明细!$E151="","",包装物料出入库明细!$E151)</f>
        <v/>
      </c>
      <c r="B151">
        <f t="shared" si="92"/>
        <v>0</v>
      </c>
      <c r="C151">
        <f t="shared" si="93"/>
        <v>7</v>
      </c>
      <c r="D151" t="str">
        <f>IF(包装物料出入库明细!$E151="","",包装物料出入库明细!$F151)</f>
        <v/>
      </c>
      <c r="E151" t="str">
        <f>IF(包装物料出入库明细!$E151="","",包装物料出入库明细!$G151)</f>
        <v/>
      </c>
      <c r="K151" t="str">
        <f>IF(包装物料出入库明细!$D151="","",包装物料出入库明细!$D151)</f>
        <v/>
      </c>
      <c r="L151">
        <f t="shared" si="94"/>
        <v>0</v>
      </c>
      <c r="M151">
        <f t="shared" si="95"/>
        <v>9</v>
      </c>
      <c r="O151" t="str">
        <f t="shared" si="96"/>
        <v/>
      </c>
      <c r="Q151" t="str">
        <f>IF(周转筐出入库明细!$D152="","",周转筐出入库明细!$D152)</f>
        <v/>
      </c>
      <c r="R151">
        <f t="shared" si="97"/>
        <v>0</v>
      </c>
      <c r="S151">
        <f t="shared" si="98"/>
        <v>5</v>
      </c>
      <c r="W151" t="str">
        <f>IF(周转筐出入库明细!$C152="","",周转筐出入库明细!$C152)</f>
        <v/>
      </c>
      <c r="X151">
        <f t="shared" si="99"/>
        <v>0</v>
      </c>
      <c r="Y151">
        <f t="shared" si="100"/>
        <v>12</v>
      </c>
      <c r="AA151" t="str">
        <f t="shared" si="101"/>
        <v/>
      </c>
      <c r="AC151" t="str">
        <f>IF(客户自备加工筐明细!$C151="","",客户自备加工筐明细!$C151)</f>
        <v/>
      </c>
      <c r="AD151">
        <f t="shared" si="102"/>
        <v>0</v>
      </c>
      <c r="AE151">
        <f t="shared" si="103"/>
        <v>1</v>
      </c>
      <c r="AI151" t="str">
        <f>IF(客户自备加工筐明细!$E151="","",客户自备加工筐明细!$E151)</f>
        <v/>
      </c>
      <c r="AJ151">
        <f t="shared" si="104"/>
        <v>0</v>
      </c>
      <c r="AK151">
        <f t="shared" si="105"/>
        <v>1</v>
      </c>
      <c r="AM151" t="str">
        <f>IFERROR(INDEX($AI$4:$AI$1503,MATCH(148,$AK$4:$AK$1503,0)),"")</f>
        <v/>
      </c>
      <c r="AO151" t="str">
        <f>IF(次果筐明细!$D151="","",次果筐明细!$D151)</f>
        <v/>
      </c>
      <c r="AP151">
        <f t="shared" si="106"/>
        <v>0</v>
      </c>
      <c r="AQ151">
        <f t="shared" si="107"/>
        <v>1</v>
      </c>
      <c r="AU151" t="str">
        <f>IF(次果筐明细!$C151="","",次果筐明细!$C151)</f>
        <v/>
      </c>
      <c r="AV151">
        <f t="shared" si="108"/>
        <v>0</v>
      </c>
      <c r="AW151">
        <f t="shared" si="109"/>
        <v>1</v>
      </c>
      <c r="AY151" t="str">
        <f t="shared" si="110"/>
        <v/>
      </c>
      <c r="BA151" t="str">
        <f>IF(对接源_01水果筐数!$B152="","",对接源_01水果筐数!$B152)</f>
        <v/>
      </c>
      <c r="BB151">
        <f t="shared" si="111"/>
        <v>0</v>
      </c>
      <c r="BC151">
        <f t="shared" si="112"/>
        <v>14</v>
      </c>
      <c r="BE151" t="str">
        <f t="shared" si="113"/>
        <v/>
      </c>
      <c r="BG151" t="str">
        <f>IF(对接源_01水果筐数!$C152="","",对接源_01水果筐数!$C152)</f>
        <v/>
      </c>
      <c r="BH151">
        <f t="shared" si="114"/>
        <v>0</v>
      </c>
      <c r="BI151">
        <f t="shared" si="115"/>
        <v>7</v>
      </c>
      <c r="BM151" t="str">
        <f t="shared" si="91"/>
        <v/>
      </c>
      <c r="BN151">
        <f t="shared" si="116"/>
        <v>0</v>
      </c>
      <c r="BO151">
        <f t="shared" si="117"/>
        <v>8</v>
      </c>
      <c r="BS151" t="str">
        <f t="shared" si="118"/>
        <v/>
      </c>
      <c r="BT151">
        <f t="shared" si="119"/>
        <v>0</v>
      </c>
      <c r="BU151">
        <f t="shared" si="120"/>
        <v>9</v>
      </c>
      <c r="BW151" t="str">
        <f t="shared" si="121"/>
        <v/>
      </c>
      <c r="BY151" t="str">
        <f t="shared" si="122"/>
        <v/>
      </c>
      <c r="BZ151">
        <f t="shared" si="123"/>
        <v>0</v>
      </c>
      <c r="CA151">
        <f t="shared" si="124"/>
        <v>12</v>
      </c>
      <c r="CC151" t="str">
        <f t="shared" si="125"/>
        <v/>
      </c>
      <c r="CI151" t="str">
        <f>IF(基础资料!$E51="","",基础资料!$E51)</f>
        <v/>
      </c>
      <c r="CJ151">
        <f t="shared" si="126"/>
        <v>0</v>
      </c>
      <c r="CK151">
        <f t="shared" si="127"/>
        <v>24</v>
      </c>
      <c r="CL151" t="str">
        <f t="shared" si="128"/>
        <v/>
      </c>
      <c r="CP151">
        <f>IF(包装物料出入库明细!$D151="",0,1)</f>
        <v>0</v>
      </c>
      <c r="CQ151">
        <f t="shared" si="129"/>
        <v>37</v>
      </c>
      <c r="CS151" t="str">
        <f>IF(OR(周转筐出入库明细!$C152="",周转筐出入库明细!$F152&lt;&gt;"采购入库"),"",周转筐出入库明细!$C152)</f>
        <v/>
      </c>
      <c r="CT151">
        <f t="shared" si="130"/>
        <v>0</v>
      </c>
      <c r="CU151">
        <f t="shared" si="131"/>
        <v>1</v>
      </c>
      <c r="CW151" t="str">
        <f>IFERROR(INDEX($CS$4:$CS$2003,MATCH(148,$CU$4:$CU$2003,0)),"")</f>
        <v/>
      </c>
    </row>
    <row r="152" spans="1:101">
      <c r="A152" t="str">
        <f>IF(包装物料出入库明细!$E152="","",包装物料出入库明细!$E152)</f>
        <v/>
      </c>
      <c r="B152">
        <f t="shared" si="92"/>
        <v>0</v>
      </c>
      <c r="C152">
        <f t="shared" si="93"/>
        <v>7</v>
      </c>
      <c r="D152" t="str">
        <f>IF(包装物料出入库明细!$E152="","",包装物料出入库明细!$F152)</f>
        <v/>
      </c>
      <c r="E152" t="str">
        <f>IF(包装物料出入库明细!$E152="","",包装物料出入库明细!$G152)</f>
        <v/>
      </c>
      <c r="K152" t="str">
        <f>IF(包装物料出入库明细!$D152="","",包装物料出入库明细!$D152)</f>
        <v/>
      </c>
      <c r="L152">
        <f t="shared" si="94"/>
        <v>0</v>
      </c>
      <c r="M152">
        <f t="shared" si="95"/>
        <v>9</v>
      </c>
      <c r="O152" t="str">
        <f t="shared" si="96"/>
        <v/>
      </c>
      <c r="Q152" t="str">
        <f>IF(周转筐出入库明细!$D153="","",周转筐出入库明细!$D153)</f>
        <v/>
      </c>
      <c r="R152">
        <f t="shared" si="97"/>
        <v>0</v>
      </c>
      <c r="S152">
        <f t="shared" si="98"/>
        <v>5</v>
      </c>
      <c r="W152" t="str">
        <f>IF(周转筐出入库明细!$C153="","",周转筐出入库明细!$C153)</f>
        <v/>
      </c>
      <c r="X152">
        <f t="shared" si="99"/>
        <v>0</v>
      </c>
      <c r="Y152">
        <f t="shared" si="100"/>
        <v>12</v>
      </c>
      <c r="AA152" t="str">
        <f t="shared" si="101"/>
        <v/>
      </c>
      <c r="AC152" t="str">
        <f>IF(客户自备加工筐明细!$C152="","",客户自备加工筐明细!$C152)</f>
        <v/>
      </c>
      <c r="AD152">
        <f t="shared" si="102"/>
        <v>0</v>
      </c>
      <c r="AE152">
        <f t="shared" si="103"/>
        <v>1</v>
      </c>
      <c r="AI152" t="str">
        <f>IF(客户自备加工筐明细!$E152="","",客户自备加工筐明细!$E152)</f>
        <v/>
      </c>
      <c r="AJ152">
        <f t="shared" si="104"/>
        <v>0</v>
      </c>
      <c r="AK152">
        <f t="shared" si="105"/>
        <v>1</v>
      </c>
      <c r="AM152" t="str">
        <f>IFERROR(INDEX($AI$4:$AI$1503,MATCH(149,$AK$4:$AK$1503,0)),"")</f>
        <v/>
      </c>
      <c r="AO152" t="str">
        <f>IF(次果筐明细!$D152="","",次果筐明细!$D152)</f>
        <v/>
      </c>
      <c r="AP152">
        <f t="shared" si="106"/>
        <v>0</v>
      </c>
      <c r="AQ152">
        <f t="shared" si="107"/>
        <v>1</v>
      </c>
      <c r="AU152" t="str">
        <f>IF(次果筐明细!$C152="","",次果筐明细!$C152)</f>
        <v/>
      </c>
      <c r="AV152">
        <f t="shared" si="108"/>
        <v>0</v>
      </c>
      <c r="AW152">
        <f t="shared" si="109"/>
        <v>1</v>
      </c>
      <c r="AY152" t="str">
        <f t="shared" si="110"/>
        <v/>
      </c>
      <c r="BA152" t="str">
        <f>IF(对接源_01水果筐数!$B153="","",对接源_01水果筐数!$B153)</f>
        <v/>
      </c>
      <c r="BB152">
        <f t="shared" si="111"/>
        <v>0</v>
      </c>
      <c r="BC152">
        <f t="shared" si="112"/>
        <v>14</v>
      </c>
      <c r="BE152" t="str">
        <f t="shared" si="113"/>
        <v/>
      </c>
      <c r="BG152" t="str">
        <f>IF(对接源_01水果筐数!$C153="","",对接源_01水果筐数!$C153)</f>
        <v/>
      </c>
      <c r="BH152">
        <f t="shared" si="114"/>
        <v>0</v>
      </c>
      <c r="BI152">
        <f t="shared" si="115"/>
        <v>7</v>
      </c>
      <c r="BM152" t="str">
        <f t="shared" si="91"/>
        <v/>
      </c>
      <c r="BN152">
        <f t="shared" si="116"/>
        <v>0</v>
      </c>
      <c r="BO152">
        <f t="shared" si="117"/>
        <v>8</v>
      </c>
      <c r="BS152" t="str">
        <f t="shared" si="118"/>
        <v/>
      </c>
      <c r="BT152">
        <f t="shared" si="119"/>
        <v>0</v>
      </c>
      <c r="BU152">
        <f t="shared" si="120"/>
        <v>9</v>
      </c>
      <c r="BW152" t="str">
        <f t="shared" si="121"/>
        <v/>
      </c>
      <c r="BY152" t="str">
        <f t="shared" si="122"/>
        <v/>
      </c>
      <c r="BZ152">
        <f t="shared" si="123"/>
        <v>0</v>
      </c>
      <c r="CA152">
        <f t="shared" si="124"/>
        <v>12</v>
      </c>
      <c r="CC152" t="str">
        <f t="shared" si="125"/>
        <v/>
      </c>
      <c r="CI152" t="str">
        <f>IF(基础资料!$E52="","",基础资料!$E52)</f>
        <v/>
      </c>
      <c r="CJ152">
        <f t="shared" si="126"/>
        <v>0</v>
      </c>
      <c r="CK152">
        <f t="shared" si="127"/>
        <v>24</v>
      </c>
      <c r="CL152" t="str">
        <f t="shared" si="128"/>
        <v/>
      </c>
      <c r="CP152">
        <f>IF(包装物料出入库明细!$D152="",0,1)</f>
        <v>0</v>
      </c>
      <c r="CQ152">
        <f t="shared" si="129"/>
        <v>37</v>
      </c>
      <c r="CS152" t="str">
        <f>IF(OR(周转筐出入库明细!$C153="",周转筐出入库明细!$F153&lt;&gt;"采购入库"),"",周转筐出入库明细!$C153)</f>
        <v/>
      </c>
      <c r="CT152">
        <f t="shared" si="130"/>
        <v>0</v>
      </c>
      <c r="CU152">
        <f t="shared" si="131"/>
        <v>1</v>
      </c>
      <c r="CW152" t="str">
        <f>IFERROR(INDEX($CS$4:$CS$2003,MATCH(149,$CU$4:$CU$2003,0)),"")</f>
        <v/>
      </c>
    </row>
    <row r="153" spans="1:101">
      <c r="A153" t="str">
        <f>IF(包装物料出入库明细!$E153="","",包装物料出入库明细!$E153)</f>
        <v/>
      </c>
      <c r="B153">
        <f t="shared" si="92"/>
        <v>0</v>
      </c>
      <c r="C153">
        <f t="shared" si="93"/>
        <v>7</v>
      </c>
      <c r="D153" t="str">
        <f>IF(包装物料出入库明细!$E153="","",包装物料出入库明细!$F153)</f>
        <v/>
      </c>
      <c r="E153" t="str">
        <f>IF(包装物料出入库明细!$E153="","",包装物料出入库明细!$G153)</f>
        <v/>
      </c>
      <c r="K153" t="str">
        <f>IF(包装物料出入库明细!$D153="","",包装物料出入库明细!$D153)</f>
        <v/>
      </c>
      <c r="L153">
        <f t="shared" si="94"/>
        <v>0</v>
      </c>
      <c r="M153">
        <f t="shared" si="95"/>
        <v>9</v>
      </c>
      <c r="O153" t="str">
        <f t="shared" si="96"/>
        <v/>
      </c>
      <c r="Q153" t="str">
        <f>IF(周转筐出入库明细!$D154="","",周转筐出入库明细!$D154)</f>
        <v/>
      </c>
      <c r="R153">
        <f t="shared" si="97"/>
        <v>0</v>
      </c>
      <c r="S153">
        <f t="shared" si="98"/>
        <v>5</v>
      </c>
      <c r="W153" t="str">
        <f>IF(周转筐出入库明细!$C154="","",周转筐出入库明细!$C154)</f>
        <v/>
      </c>
      <c r="X153">
        <f t="shared" si="99"/>
        <v>0</v>
      </c>
      <c r="Y153">
        <f t="shared" si="100"/>
        <v>12</v>
      </c>
      <c r="AA153" t="str">
        <f t="shared" si="101"/>
        <v/>
      </c>
      <c r="AC153" t="str">
        <f>IF(客户自备加工筐明细!$C153="","",客户自备加工筐明细!$C153)</f>
        <v/>
      </c>
      <c r="AD153">
        <f t="shared" si="102"/>
        <v>0</v>
      </c>
      <c r="AE153">
        <f t="shared" si="103"/>
        <v>1</v>
      </c>
      <c r="AI153" t="str">
        <f>IF(客户自备加工筐明细!$E153="","",客户自备加工筐明细!$E153)</f>
        <v/>
      </c>
      <c r="AJ153">
        <f t="shared" si="104"/>
        <v>0</v>
      </c>
      <c r="AK153">
        <f t="shared" si="105"/>
        <v>1</v>
      </c>
      <c r="AM153" t="str">
        <f>IFERROR(INDEX($AI$4:$AI$1503,MATCH(150,$AK$4:$AK$1503,0)),"")</f>
        <v/>
      </c>
      <c r="AO153" t="str">
        <f>IF(次果筐明细!$D153="","",次果筐明细!$D153)</f>
        <v/>
      </c>
      <c r="AP153">
        <f t="shared" si="106"/>
        <v>0</v>
      </c>
      <c r="AQ153">
        <f t="shared" si="107"/>
        <v>1</v>
      </c>
      <c r="AU153" t="str">
        <f>IF(次果筐明细!$C153="","",次果筐明细!$C153)</f>
        <v/>
      </c>
      <c r="AV153">
        <f t="shared" si="108"/>
        <v>0</v>
      </c>
      <c r="AW153">
        <f t="shared" si="109"/>
        <v>1</v>
      </c>
      <c r="AY153" t="str">
        <f t="shared" si="110"/>
        <v/>
      </c>
      <c r="BA153" t="str">
        <f>IF(对接源_01水果筐数!$B154="","",对接源_01水果筐数!$B154)</f>
        <v/>
      </c>
      <c r="BB153">
        <f t="shared" si="111"/>
        <v>0</v>
      </c>
      <c r="BC153">
        <f t="shared" si="112"/>
        <v>14</v>
      </c>
      <c r="BE153" t="str">
        <f t="shared" si="113"/>
        <v/>
      </c>
      <c r="BG153" t="str">
        <f>IF(对接源_01水果筐数!$C154="","",对接源_01水果筐数!$C154)</f>
        <v/>
      </c>
      <c r="BH153">
        <f t="shared" si="114"/>
        <v>0</v>
      </c>
      <c r="BI153">
        <f t="shared" si="115"/>
        <v>7</v>
      </c>
      <c r="BM153" t="str">
        <f t="shared" si="91"/>
        <v/>
      </c>
      <c r="BN153">
        <f t="shared" si="116"/>
        <v>0</v>
      </c>
      <c r="BO153">
        <f t="shared" si="117"/>
        <v>8</v>
      </c>
      <c r="BS153" t="str">
        <f t="shared" si="118"/>
        <v/>
      </c>
      <c r="BT153">
        <f t="shared" si="119"/>
        <v>0</v>
      </c>
      <c r="BU153">
        <f t="shared" si="120"/>
        <v>9</v>
      </c>
      <c r="BW153" t="str">
        <f t="shared" si="121"/>
        <v/>
      </c>
      <c r="BY153" t="str">
        <f t="shared" si="122"/>
        <v/>
      </c>
      <c r="BZ153">
        <f t="shared" si="123"/>
        <v>0</v>
      </c>
      <c r="CA153">
        <f t="shared" si="124"/>
        <v>12</v>
      </c>
      <c r="CC153" t="str">
        <f t="shared" si="125"/>
        <v/>
      </c>
      <c r="CI153" t="str">
        <f>IF(基础资料!$E53="","",基础资料!$E53)</f>
        <v/>
      </c>
      <c r="CJ153">
        <f t="shared" si="126"/>
        <v>0</v>
      </c>
      <c r="CK153">
        <f t="shared" si="127"/>
        <v>24</v>
      </c>
      <c r="CL153" t="str">
        <f t="shared" si="128"/>
        <v/>
      </c>
      <c r="CP153">
        <f>IF(包装物料出入库明细!$D153="",0,1)</f>
        <v>0</v>
      </c>
      <c r="CQ153">
        <f t="shared" si="129"/>
        <v>37</v>
      </c>
      <c r="CS153" t="str">
        <f>IF(OR(周转筐出入库明细!$C154="",周转筐出入库明细!$F154&lt;&gt;"采购入库"),"",周转筐出入库明细!$C154)</f>
        <v/>
      </c>
      <c r="CT153">
        <f t="shared" si="130"/>
        <v>0</v>
      </c>
      <c r="CU153">
        <f t="shared" si="131"/>
        <v>1</v>
      </c>
      <c r="CW153" t="str">
        <f>IFERROR(INDEX($CS$4:$CS$2003,MATCH(150,$CU$4:$CU$2003,0)),"")</f>
        <v/>
      </c>
    </row>
    <row r="154" spans="1:101">
      <c r="A154" t="str">
        <f>IF(包装物料出入库明细!$E154="","",包装物料出入库明细!$E154)</f>
        <v/>
      </c>
      <c r="B154">
        <f t="shared" si="92"/>
        <v>0</v>
      </c>
      <c r="C154">
        <f t="shared" si="93"/>
        <v>7</v>
      </c>
      <c r="D154" t="str">
        <f>IF(包装物料出入库明细!$E154="","",包装物料出入库明细!$F154)</f>
        <v/>
      </c>
      <c r="E154" t="str">
        <f>IF(包装物料出入库明细!$E154="","",包装物料出入库明细!$G154)</f>
        <v/>
      </c>
      <c r="K154" t="str">
        <f>IF(包装物料出入库明细!$D154="","",包装物料出入库明细!$D154)</f>
        <v/>
      </c>
      <c r="L154">
        <f t="shared" si="94"/>
        <v>0</v>
      </c>
      <c r="M154">
        <f t="shared" si="95"/>
        <v>9</v>
      </c>
      <c r="O154" t="str">
        <f t="shared" si="96"/>
        <v/>
      </c>
      <c r="Q154" t="str">
        <f>IF(周转筐出入库明细!$D155="","",周转筐出入库明细!$D155)</f>
        <v/>
      </c>
      <c r="R154">
        <f t="shared" si="97"/>
        <v>0</v>
      </c>
      <c r="S154">
        <f t="shared" si="98"/>
        <v>5</v>
      </c>
      <c r="W154" t="str">
        <f>IF(周转筐出入库明细!$C155="","",周转筐出入库明细!$C155)</f>
        <v/>
      </c>
      <c r="X154">
        <f t="shared" si="99"/>
        <v>0</v>
      </c>
      <c r="Y154">
        <f t="shared" si="100"/>
        <v>12</v>
      </c>
      <c r="AA154" t="str">
        <f t="shared" si="101"/>
        <v/>
      </c>
      <c r="AC154" t="str">
        <f>IF(客户自备加工筐明细!$C154="","",客户自备加工筐明细!$C154)</f>
        <v/>
      </c>
      <c r="AD154">
        <f t="shared" si="102"/>
        <v>0</v>
      </c>
      <c r="AE154">
        <f t="shared" si="103"/>
        <v>1</v>
      </c>
      <c r="AI154" t="str">
        <f>IF(客户自备加工筐明细!$E154="","",客户自备加工筐明细!$E154)</f>
        <v/>
      </c>
      <c r="AJ154">
        <f t="shared" si="104"/>
        <v>0</v>
      </c>
      <c r="AK154">
        <f t="shared" si="105"/>
        <v>1</v>
      </c>
      <c r="AM154" t="str">
        <f>IFERROR(INDEX($AI$4:$AI$1503,MATCH(151,$AK$4:$AK$1503,0)),"")</f>
        <v/>
      </c>
      <c r="AO154" t="str">
        <f>IF(次果筐明细!$D154="","",次果筐明细!$D154)</f>
        <v/>
      </c>
      <c r="AP154">
        <f t="shared" si="106"/>
        <v>0</v>
      </c>
      <c r="AQ154">
        <f t="shared" si="107"/>
        <v>1</v>
      </c>
      <c r="AU154" t="str">
        <f>IF(次果筐明细!$C154="","",次果筐明细!$C154)</f>
        <v/>
      </c>
      <c r="AV154">
        <f t="shared" si="108"/>
        <v>0</v>
      </c>
      <c r="AW154">
        <f t="shared" si="109"/>
        <v>1</v>
      </c>
      <c r="AY154" t="str">
        <f t="shared" si="110"/>
        <v/>
      </c>
      <c r="BA154" t="str">
        <f>IF(对接源_01水果筐数!$B155="","",对接源_01水果筐数!$B155)</f>
        <v/>
      </c>
      <c r="BB154">
        <f t="shared" si="111"/>
        <v>0</v>
      </c>
      <c r="BC154">
        <f t="shared" si="112"/>
        <v>14</v>
      </c>
      <c r="BE154" t="str">
        <f t="shared" si="113"/>
        <v/>
      </c>
      <c r="BG154" t="str">
        <f>IF(对接源_01水果筐数!$C155="","",对接源_01水果筐数!$C155)</f>
        <v/>
      </c>
      <c r="BH154">
        <f t="shared" si="114"/>
        <v>0</v>
      </c>
      <c r="BI154">
        <f t="shared" si="115"/>
        <v>7</v>
      </c>
      <c r="BM154" t="str">
        <f t="shared" si="91"/>
        <v/>
      </c>
      <c r="BN154">
        <f t="shared" si="116"/>
        <v>0</v>
      </c>
      <c r="BO154">
        <f t="shared" si="117"/>
        <v>8</v>
      </c>
      <c r="BS154" t="str">
        <f t="shared" si="118"/>
        <v/>
      </c>
      <c r="BT154">
        <f t="shared" si="119"/>
        <v>0</v>
      </c>
      <c r="BU154">
        <f t="shared" si="120"/>
        <v>9</v>
      </c>
      <c r="BW154" t="str">
        <f t="shared" si="121"/>
        <v/>
      </c>
      <c r="BY154" t="str">
        <f t="shared" si="122"/>
        <v/>
      </c>
      <c r="BZ154">
        <f t="shared" si="123"/>
        <v>0</v>
      </c>
      <c r="CA154">
        <f t="shared" si="124"/>
        <v>12</v>
      </c>
      <c r="CC154" t="str">
        <f t="shared" si="125"/>
        <v/>
      </c>
      <c r="CI154" t="str">
        <f>IF(基础资料!$E54="","",基础资料!$E54)</f>
        <v/>
      </c>
      <c r="CJ154">
        <f t="shared" si="126"/>
        <v>0</v>
      </c>
      <c r="CK154">
        <f t="shared" si="127"/>
        <v>24</v>
      </c>
      <c r="CL154" t="str">
        <f t="shared" si="128"/>
        <v/>
      </c>
      <c r="CP154">
        <f>IF(包装物料出入库明细!$D154="",0,1)</f>
        <v>0</v>
      </c>
      <c r="CQ154">
        <f t="shared" si="129"/>
        <v>37</v>
      </c>
      <c r="CS154" t="str">
        <f>IF(OR(周转筐出入库明细!$C155="",周转筐出入库明细!$F155&lt;&gt;"采购入库"),"",周转筐出入库明细!$C155)</f>
        <v/>
      </c>
      <c r="CT154">
        <f t="shared" si="130"/>
        <v>0</v>
      </c>
      <c r="CU154">
        <f t="shared" si="131"/>
        <v>1</v>
      </c>
      <c r="CW154" t="str">
        <f>IFERROR(INDEX($CS$4:$CS$2003,MATCH(151,$CU$4:$CU$2003,0)),"")</f>
        <v/>
      </c>
    </row>
    <row r="155" spans="1:101">
      <c r="A155" t="str">
        <f>IF(包装物料出入库明细!$E155="","",包装物料出入库明细!$E155)</f>
        <v/>
      </c>
      <c r="B155">
        <f t="shared" si="92"/>
        <v>0</v>
      </c>
      <c r="C155">
        <f t="shared" si="93"/>
        <v>7</v>
      </c>
      <c r="D155" t="str">
        <f>IF(包装物料出入库明细!$E155="","",包装物料出入库明细!$F155)</f>
        <v/>
      </c>
      <c r="E155" t="str">
        <f>IF(包装物料出入库明细!$E155="","",包装物料出入库明细!$G155)</f>
        <v/>
      </c>
      <c r="K155" t="str">
        <f>IF(包装物料出入库明细!$D155="","",包装物料出入库明细!$D155)</f>
        <v/>
      </c>
      <c r="L155">
        <f t="shared" si="94"/>
        <v>0</v>
      </c>
      <c r="M155">
        <f t="shared" si="95"/>
        <v>9</v>
      </c>
      <c r="O155" t="str">
        <f t="shared" si="96"/>
        <v/>
      </c>
      <c r="Q155" t="str">
        <f>IF(周转筐出入库明细!$D156="","",周转筐出入库明细!$D156)</f>
        <v/>
      </c>
      <c r="R155">
        <f t="shared" si="97"/>
        <v>0</v>
      </c>
      <c r="S155">
        <f t="shared" si="98"/>
        <v>5</v>
      </c>
      <c r="W155" t="str">
        <f>IF(周转筐出入库明细!$C156="","",周转筐出入库明细!$C156)</f>
        <v/>
      </c>
      <c r="X155">
        <f t="shared" si="99"/>
        <v>0</v>
      </c>
      <c r="Y155">
        <f t="shared" si="100"/>
        <v>12</v>
      </c>
      <c r="AA155" t="str">
        <f t="shared" si="101"/>
        <v/>
      </c>
      <c r="AC155" t="str">
        <f>IF(客户自备加工筐明细!$C155="","",客户自备加工筐明细!$C155)</f>
        <v/>
      </c>
      <c r="AD155">
        <f t="shared" si="102"/>
        <v>0</v>
      </c>
      <c r="AE155">
        <f t="shared" si="103"/>
        <v>1</v>
      </c>
      <c r="AI155" t="str">
        <f>IF(客户自备加工筐明细!$E155="","",客户自备加工筐明细!$E155)</f>
        <v/>
      </c>
      <c r="AJ155">
        <f t="shared" si="104"/>
        <v>0</v>
      </c>
      <c r="AK155">
        <f t="shared" si="105"/>
        <v>1</v>
      </c>
      <c r="AM155" t="str">
        <f>IFERROR(INDEX($AI$4:$AI$1503,MATCH(152,$AK$4:$AK$1503,0)),"")</f>
        <v/>
      </c>
      <c r="AO155" t="str">
        <f>IF(次果筐明细!$D155="","",次果筐明细!$D155)</f>
        <v/>
      </c>
      <c r="AP155">
        <f t="shared" si="106"/>
        <v>0</v>
      </c>
      <c r="AQ155">
        <f t="shared" si="107"/>
        <v>1</v>
      </c>
      <c r="AU155" t="str">
        <f>IF(次果筐明细!$C155="","",次果筐明细!$C155)</f>
        <v/>
      </c>
      <c r="AV155">
        <f t="shared" si="108"/>
        <v>0</v>
      </c>
      <c r="AW155">
        <f t="shared" si="109"/>
        <v>1</v>
      </c>
      <c r="AY155" t="str">
        <f t="shared" si="110"/>
        <v/>
      </c>
      <c r="BA155" t="str">
        <f>IF(对接源_01水果筐数!$B156="","",对接源_01水果筐数!$B156)</f>
        <v/>
      </c>
      <c r="BB155">
        <f t="shared" si="111"/>
        <v>0</v>
      </c>
      <c r="BC155">
        <f t="shared" si="112"/>
        <v>14</v>
      </c>
      <c r="BE155" t="str">
        <f t="shared" si="113"/>
        <v/>
      </c>
      <c r="BG155" t="str">
        <f>IF(对接源_01水果筐数!$C156="","",对接源_01水果筐数!$C156)</f>
        <v/>
      </c>
      <c r="BH155">
        <f t="shared" si="114"/>
        <v>0</v>
      </c>
      <c r="BI155">
        <f t="shared" si="115"/>
        <v>7</v>
      </c>
      <c r="BM155" t="str">
        <f t="shared" si="91"/>
        <v/>
      </c>
      <c r="BN155">
        <f t="shared" si="116"/>
        <v>0</v>
      </c>
      <c r="BO155">
        <f t="shared" si="117"/>
        <v>8</v>
      </c>
      <c r="BS155" t="str">
        <f t="shared" si="118"/>
        <v/>
      </c>
      <c r="BT155">
        <f t="shared" si="119"/>
        <v>0</v>
      </c>
      <c r="BU155">
        <f t="shared" si="120"/>
        <v>9</v>
      </c>
      <c r="BW155" t="str">
        <f t="shared" si="121"/>
        <v/>
      </c>
      <c r="BY155" t="str">
        <f t="shared" si="122"/>
        <v/>
      </c>
      <c r="BZ155">
        <f t="shared" si="123"/>
        <v>0</v>
      </c>
      <c r="CA155">
        <f t="shared" si="124"/>
        <v>12</v>
      </c>
      <c r="CC155" t="str">
        <f t="shared" si="125"/>
        <v/>
      </c>
      <c r="CI155" t="str">
        <f>IF(基础资料!$E55="","",基础资料!$E55)</f>
        <v/>
      </c>
      <c r="CJ155">
        <f t="shared" si="126"/>
        <v>0</v>
      </c>
      <c r="CK155">
        <f t="shared" si="127"/>
        <v>24</v>
      </c>
      <c r="CL155" t="str">
        <f t="shared" si="128"/>
        <v/>
      </c>
      <c r="CP155">
        <f>IF(包装物料出入库明细!$D155="",0,1)</f>
        <v>0</v>
      </c>
      <c r="CQ155">
        <f t="shared" si="129"/>
        <v>37</v>
      </c>
      <c r="CS155" t="str">
        <f>IF(OR(周转筐出入库明细!$C156="",周转筐出入库明细!$F156&lt;&gt;"采购入库"),"",周转筐出入库明细!$C156)</f>
        <v/>
      </c>
      <c r="CT155">
        <f t="shared" si="130"/>
        <v>0</v>
      </c>
      <c r="CU155">
        <f t="shared" si="131"/>
        <v>1</v>
      </c>
      <c r="CW155" t="str">
        <f>IFERROR(INDEX($CS$4:$CS$2003,MATCH(152,$CU$4:$CU$2003,0)),"")</f>
        <v/>
      </c>
    </row>
    <row r="156" spans="1:101">
      <c r="A156" t="str">
        <f>IF(包装物料出入库明细!$E156="","",包装物料出入库明细!$E156)</f>
        <v/>
      </c>
      <c r="B156">
        <f t="shared" si="92"/>
        <v>0</v>
      </c>
      <c r="C156">
        <f t="shared" si="93"/>
        <v>7</v>
      </c>
      <c r="D156" t="str">
        <f>IF(包装物料出入库明细!$E156="","",包装物料出入库明细!$F156)</f>
        <v/>
      </c>
      <c r="E156" t="str">
        <f>IF(包装物料出入库明细!$E156="","",包装物料出入库明细!$G156)</f>
        <v/>
      </c>
      <c r="K156" t="str">
        <f>IF(包装物料出入库明细!$D156="","",包装物料出入库明细!$D156)</f>
        <v/>
      </c>
      <c r="L156">
        <f t="shared" si="94"/>
        <v>0</v>
      </c>
      <c r="M156">
        <f t="shared" si="95"/>
        <v>9</v>
      </c>
      <c r="O156" t="str">
        <f t="shared" si="96"/>
        <v/>
      </c>
      <c r="Q156" t="str">
        <f>IF(周转筐出入库明细!$D157="","",周转筐出入库明细!$D157)</f>
        <v/>
      </c>
      <c r="R156">
        <f t="shared" si="97"/>
        <v>0</v>
      </c>
      <c r="S156">
        <f t="shared" si="98"/>
        <v>5</v>
      </c>
      <c r="W156" t="str">
        <f>IF(周转筐出入库明细!$C157="","",周转筐出入库明细!$C157)</f>
        <v/>
      </c>
      <c r="X156">
        <f t="shared" si="99"/>
        <v>0</v>
      </c>
      <c r="Y156">
        <f t="shared" si="100"/>
        <v>12</v>
      </c>
      <c r="AA156" t="str">
        <f t="shared" si="101"/>
        <v/>
      </c>
      <c r="AC156" t="str">
        <f>IF(客户自备加工筐明细!$C156="","",客户自备加工筐明细!$C156)</f>
        <v/>
      </c>
      <c r="AD156">
        <f t="shared" si="102"/>
        <v>0</v>
      </c>
      <c r="AE156">
        <f t="shared" si="103"/>
        <v>1</v>
      </c>
      <c r="AI156" t="str">
        <f>IF(客户自备加工筐明细!$E156="","",客户自备加工筐明细!$E156)</f>
        <v/>
      </c>
      <c r="AJ156">
        <f t="shared" si="104"/>
        <v>0</v>
      </c>
      <c r="AK156">
        <f t="shared" si="105"/>
        <v>1</v>
      </c>
      <c r="AM156" t="str">
        <f>IFERROR(INDEX($AI$4:$AI$1503,MATCH(153,$AK$4:$AK$1503,0)),"")</f>
        <v/>
      </c>
      <c r="AO156" t="str">
        <f>IF(次果筐明细!$D156="","",次果筐明细!$D156)</f>
        <v/>
      </c>
      <c r="AP156">
        <f t="shared" si="106"/>
        <v>0</v>
      </c>
      <c r="AQ156">
        <f t="shared" si="107"/>
        <v>1</v>
      </c>
      <c r="AU156" t="str">
        <f>IF(次果筐明细!$C156="","",次果筐明细!$C156)</f>
        <v/>
      </c>
      <c r="AV156">
        <f t="shared" si="108"/>
        <v>0</v>
      </c>
      <c r="AW156">
        <f t="shared" si="109"/>
        <v>1</v>
      </c>
      <c r="AY156" t="str">
        <f t="shared" si="110"/>
        <v/>
      </c>
      <c r="BA156" t="str">
        <f>IF(对接源_01水果筐数!$B157="","",对接源_01水果筐数!$B157)</f>
        <v/>
      </c>
      <c r="BB156">
        <f t="shared" si="111"/>
        <v>0</v>
      </c>
      <c r="BC156">
        <f t="shared" si="112"/>
        <v>14</v>
      </c>
      <c r="BE156" t="str">
        <f t="shared" si="113"/>
        <v/>
      </c>
      <c r="BG156" t="str">
        <f>IF(对接源_01水果筐数!$C157="","",对接源_01水果筐数!$C157)</f>
        <v/>
      </c>
      <c r="BH156">
        <f t="shared" si="114"/>
        <v>0</v>
      </c>
      <c r="BI156">
        <f t="shared" si="115"/>
        <v>7</v>
      </c>
      <c r="BM156" t="str">
        <f t="shared" si="91"/>
        <v/>
      </c>
      <c r="BN156">
        <f t="shared" si="116"/>
        <v>0</v>
      </c>
      <c r="BO156">
        <f t="shared" si="117"/>
        <v>8</v>
      </c>
      <c r="BS156" t="str">
        <f t="shared" si="118"/>
        <v/>
      </c>
      <c r="BT156">
        <f t="shared" si="119"/>
        <v>0</v>
      </c>
      <c r="BU156">
        <f t="shared" si="120"/>
        <v>9</v>
      </c>
      <c r="BW156" t="str">
        <f t="shared" si="121"/>
        <v/>
      </c>
      <c r="BY156" t="str">
        <f t="shared" si="122"/>
        <v/>
      </c>
      <c r="BZ156">
        <f t="shared" si="123"/>
        <v>0</v>
      </c>
      <c r="CA156">
        <f t="shared" si="124"/>
        <v>12</v>
      </c>
      <c r="CC156" t="str">
        <f t="shared" si="125"/>
        <v/>
      </c>
      <c r="CI156" t="str">
        <f>IF(基础资料!$E56="","",基础资料!$E56)</f>
        <v/>
      </c>
      <c r="CJ156">
        <f t="shared" si="126"/>
        <v>0</v>
      </c>
      <c r="CK156">
        <f t="shared" si="127"/>
        <v>24</v>
      </c>
      <c r="CL156" t="str">
        <f t="shared" si="128"/>
        <v/>
      </c>
      <c r="CP156">
        <f>IF(包装物料出入库明细!$D156="",0,1)</f>
        <v>0</v>
      </c>
      <c r="CQ156">
        <f t="shared" si="129"/>
        <v>37</v>
      </c>
      <c r="CS156" t="str">
        <f>IF(OR(周转筐出入库明细!$C157="",周转筐出入库明细!$F157&lt;&gt;"采购入库"),"",周转筐出入库明细!$C157)</f>
        <v/>
      </c>
      <c r="CT156">
        <f t="shared" si="130"/>
        <v>0</v>
      </c>
      <c r="CU156">
        <f t="shared" si="131"/>
        <v>1</v>
      </c>
      <c r="CW156" t="str">
        <f>IFERROR(INDEX($CS$4:$CS$2003,MATCH(153,$CU$4:$CU$2003,0)),"")</f>
        <v/>
      </c>
    </row>
    <row r="157" spans="1:101">
      <c r="A157" t="str">
        <f>IF(包装物料出入库明细!$E157="","",包装物料出入库明细!$E157)</f>
        <v/>
      </c>
      <c r="B157">
        <f t="shared" si="92"/>
        <v>0</v>
      </c>
      <c r="C157">
        <f t="shared" si="93"/>
        <v>7</v>
      </c>
      <c r="D157" t="str">
        <f>IF(包装物料出入库明细!$E157="","",包装物料出入库明细!$F157)</f>
        <v/>
      </c>
      <c r="E157" t="str">
        <f>IF(包装物料出入库明细!$E157="","",包装物料出入库明细!$G157)</f>
        <v/>
      </c>
      <c r="K157" t="str">
        <f>IF(包装物料出入库明细!$D157="","",包装物料出入库明细!$D157)</f>
        <v/>
      </c>
      <c r="L157">
        <f t="shared" si="94"/>
        <v>0</v>
      </c>
      <c r="M157">
        <f t="shared" si="95"/>
        <v>9</v>
      </c>
      <c r="O157" t="str">
        <f t="shared" si="96"/>
        <v/>
      </c>
      <c r="Q157" t="str">
        <f>IF(周转筐出入库明细!$D158="","",周转筐出入库明细!$D158)</f>
        <v/>
      </c>
      <c r="R157">
        <f t="shared" si="97"/>
        <v>0</v>
      </c>
      <c r="S157">
        <f t="shared" si="98"/>
        <v>5</v>
      </c>
      <c r="W157" t="str">
        <f>IF(周转筐出入库明细!$C158="","",周转筐出入库明细!$C158)</f>
        <v/>
      </c>
      <c r="X157">
        <f t="shared" si="99"/>
        <v>0</v>
      </c>
      <c r="Y157">
        <f t="shared" si="100"/>
        <v>12</v>
      </c>
      <c r="AA157" t="str">
        <f t="shared" si="101"/>
        <v/>
      </c>
      <c r="AC157" t="str">
        <f>IF(客户自备加工筐明细!$C157="","",客户自备加工筐明细!$C157)</f>
        <v/>
      </c>
      <c r="AD157">
        <f t="shared" si="102"/>
        <v>0</v>
      </c>
      <c r="AE157">
        <f t="shared" si="103"/>
        <v>1</v>
      </c>
      <c r="AI157" t="str">
        <f>IF(客户自备加工筐明细!$E157="","",客户自备加工筐明细!$E157)</f>
        <v/>
      </c>
      <c r="AJ157">
        <f t="shared" si="104"/>
        <v>0</v>
      </c>
      <c r="AK157">
        <f t="shared" si="105"/>
        <v>1</v>
      </c>
      <c r="AM157" t="str">
        <f>IFERROR(INDEX($AI$4:$AI$1503,MATCH(154,$AK$4:$AK$1503,0)),"")</f>
        <v/>
      </c>
      <c r="AO157" t="str">
        <f>IF(次果筐明细!$D157="","",次果筐明细!$D157)</f>
        <v/>
      </c>
      <c r="AP157">
        <f t="shared" si="106"/>
        <v>0</v>
      </c>
      <c r="AQ157">
        <f t="shared" si="107"/>
        <v>1</v>
      </c>
      <c r="AU157" t="str">
        <f>IF(次果筐明细!$C157="","",次果筐明细!$C157)</f>
        <v/>
      </c>
      <c r="AV157">
        <f t="shared" si="108"/>
        <v>0</v>
      </c>
      <c r="AW157">
        <f t="shared" si="109"/>
        <v>1</v>
      </c>
      <c r="AY157" t="str">
        <f t="shared" si="110"/>
        <v/>
      </c>
      <c r="BA157" t="str">
        <f>IF(对接源_01水果筐数!$B158="","",对接源_01水果筐数!$B158)</f>
        <v/>
      </c>
      <c r="BB157">
        <f t="shared" si="111"/>
        <v>0</v>
      </c>
      <c r="BC157">
        <f t="shared" si="112"/>
        <v>14</v>
      </c>
      <c r="BE157" t="str">
        <f t="shared" si="113"/>
        <v/>
      </c>
      <c r="BG157" t="str">
        <f>IF(对接源_01水果筐数!$C158="","",对接源_01水果筐数!$C158)</f>
        <v/>
      </c>
      <c r="BH157">
        <f t="shared" si="114"/>
        <v>0</v>
      </c>
      <c r="BI157">
        <f t="shared" si="115"/>
        <v>7</v>
      </c>
      <c r="BM157" t="str">
        <f t="shared" si="91"/>
        <v/>
      </c>
      <c r="BN157">
        <f t="shared" si="116"/>
        <v>0</v>
      </c>
      <c r="BO157">
        <f t="shared" si="117"/>
        <v>8</v>
      </c>
      <c r="BS157" t="str">
        <f t="shared" si="118"/>
        <v/>
      </c>
      <c r="BT157">
        <f t="shared" si="119"/>
        <v>0</v>
      </c>
      <c r="BU157">
        <f t="shared" si="120"/>
        <v>9</v>
      </c>
      <c r="BW157" t="str">
        <f t="shared" si="121"/>
        <v/>
      </c>
      <c r="BY157" t="str">
        <f t="shared" si="122"/>
        <v/>
      </c>
      <c r="BZ157">
        <f t="shared" si="123"/>
        <v>0</v>
      </c>
      <c r="CA157">
        <f t="shared" si="124"/>
        <v>12</v>
      </c>
      <c r="CC157" t="str">
        <f t="shared" si="125"/>
        <v/>
      </c>
      <c r="CI157" t="str">
        <f>IF(基础资料!$E57="","",基础资料!$E57)</f>
        <v/>
      </c>
      <c r="CJ157">
        <f t="shared" si="126"/>
        <v>0</v>
      </c>
      <c r="CK157">
        <f t="shared" si="127"/>
        <v>24</v>
      </c>
      <c r="CL157" t="str">
        <f t="shared" si="128"/>
        <v/>
      </c>
      <c r="CP157">
        <f>IF(包装物料出入库明细!$D157="",0,1)</f>
        <v>0</v>
      </c>
      <c r="CQ157">
        <f t="shared" si="129"/>
        <v>37</v>
      </c>
      <c r="CS157" t="str">
        <f>IF(OR(周转筐出入库明细!$C158="",周转筐出入库明细!$F158&lt;&gt;"采购入库"),"",周转筐出入库明细!$C158)</f>
        <v/>
      </c>
      <c r="CT157">
        <f t="shared" si="130"/>
        <v>0</v>
      </c>
      <c r="CU157">
        <f t="shared" si="131"/>
        <v>1</v>
      </c>
      <c r="CW157" t="str">
        <f>IFERROR(INDEX($CS$4:$CS$2003,MATCH(154,$CU$4:$CU$2003,0)),"")</f>
        <v/>
      </c>
    </row>
    <row r="158" spans="1:101">
      <c r="A158" t="str">
        <f>IF(包装物料出入库明细!$E158="","",包装物料出入库明细!$E158)</f>
        <v/>
      </c>
      <c r="B158">
        <f t="shared" si="92"/>
        <v>0</v>
      </c>
      <c r="C158">
        <f t="shared" si="93"/>
        <v>7</v>
      </c>
      <c r="D158" t="str">
        <f>IF(包装物料出入库明细!$E158="","",包装物料出入库明细!$F158)</f>
        <v/>
      </c>
      <c r="E158" t="str">
        <f>IF(包装物料出入库明细!$E158="","",包装物料出入库明细!$G158)</f>
        <v/>
      </c>
      <c r="K158" t="str">
        <f>IF(包装物料出入库明细!$D158="","",包装物料出入库明细!$D158)</f>
        <v/>
      </c>
      <c r="L158">
        <f t="shared" si="94"/>
        <v>0</v>
      </c>
      <c r="M158">
        <f t="shared" si="95"/>
        <v>9</v>
      </c>
      <c r="O158" t="str">
        <f t="shared" si="96"/>
        <v/>
      </c>
      <c r="Q158" t="str">
        <f>IF(周转筐出入库明细!$D159="","",周转筐出入库明细!$D159)</f>
        <v/>
      </c>
      <c r="R158">
        <f t="shared" si="97"/>
        <v>0</v>
      </c>
      <c r="S158">
        <f t="shared" si="98"/>
        <v>5</v>
      </c>
      <c r="W158" t="str">
        <f>IF(周转筐出入库明细!$C159="","",周转筐出入库明细!$C159)</f>
        <v/>
      </c>
      <c r="X158">
        <f t="shared" si="99"/>
        <v>0</v>
      </c>
      <c r="Y158">
        <f t="shared" si="100"/>
        <v>12</v>
      </c>
      <c r="AA158" t="str">
        <f t="shared" si="101"/>
        <v/>
      </c>
      <c r="AC158" t="str">
        <f>IF(客户自备加工筐明细!$C158="","",客户自备加工筐明细!$C158)</f>
        <v/>
      </c>
      <c r="AD158">
        <f t="shared" si="102"/>
        <v>0</v>
      </c>
      <c r="AE158">
        <f t="shared" si="103"/>
        <v>1</v>
      </c>
      <c r="AI158" t="str">
        <f>IF(客户自备加工筐明细!$E158="","",客户自备加工筐明细!$E158)</f>
        <v/>
      </c>
      <c r="AJ158">
        <f t="shared" si="104"/>
        <v>0</v>
      </c>
      <c r="AK158">
        <f t="shared" si="105"/>
        <v>1</v>
      </c>
      <c r="AM158" t="str">
        <f>IFERROR(INDEX($AI$4:$AI$1503,MATCH(155,$AK$4:$AK$1503,0)),"")</f>
        <v/>
      </c>
      <c r="AO158" t="str">
        <f>IF(次果筐明细!$D158="","",次果筐明细!$D158)</f>
        <v/>
      </c>
      <c r="AP158">
        <f t="shared" si="106"/>
        <v>0</v>
      </c>
      <c r="AQ158">
        <f t="shared" si="107"/>
        <v>1</v>
      </c>
      <c r="AU158" t="str">
        <f>IF(次果筐明细!$C158="","",次果筐明细!$C158)</f>
        <v/>
      </c>
      <c r="AV158">
        <f t="shared" si="108"/>
        <v>0</v>
      </c>
      <c r="AW158">
        <f t="shared" si="109"/>
        <v>1</v>
      </c>
      <c r="AY158" t="str">
        <f t="shared" si="110"/>
        <v/>
      </c>
      <c r="BA158" t="str">
        <f>IF(对接源_01水果筐数!$B159="","",对接源_01水果筐数!$B159)</f>
        <v/>
      </c>
      <c r="BB158">
        <f t="shared" si="111"/>
        <v>0</v>
      </c>
      <c r="BC158">
        <f t="shared" si="112"/>
        <v>14</v>
      </c>
      <c r="BE158" t="str">
        <f t="shared" si="113"/>
        <v/>
      </c>
      <c r="BG158" t="str">
        <f>IF(对接源_01水果筐数!$C159="","",对接源_01水果筐数!$C159)</f>
        <v/>
      </c>
      <c r="BH158">
        <f t="shared" si="114"/>
        <v>0</v>
      </c>
      <c r="BI158">
        <f t="shared" si="115"/>
        <v>7</v>
      </c>
      <c r="BM158" t="str">
        <f t="shared" si="91"/>
        <v/>
      </c>
      <c r="BN158">
        <f t="shared" si="116"/>
        <v>0</v>
      </c>
      <c r="BO158">
        <f t="shared" si="117"/>
        <v>8</v>
      </c>
      <c r="BS158" t="str">
        <f t="shared" si="118"/>
        <v/>
      </c>
      <c r="BT158">
        <f t="shared" si="119"/>
        <v>0</v>
      </c>
      <c r="BU158">
        <f t="shared" si="120"/>
        <v>9</v>
      </c>
      <c r="BW158" t="str">
        <f t="shared" si="121"/>
        <v/>
      </c>
      <c r="BY158" t="str">
        <f t="shared" si="122"/>
        <v/>
      </c>
      <c r="BZ158">
        <f t="shared" si="123"/>
        <v>0</v>
      </c>
      <c r="CA158">
        <f t="shared" si="124"/>
        <v>12</v>
      </c>
      <c r="CC158" t="str">
        <f t="shared" si="125"/>
        <v/>
      </c>
      <c r="CI158" t="str">
        <f>IF(基础资料!$E58="","",基础资料!$E58)</f>
        <v/>
      </c>
      <c r="CJ158">
        <f t="shared" si="126"/>
        <v>0</v>
      </c>
      <c r="CK158">
        <f t="shared" si="127"/>
        <v>24</v>
      </c>
      <c r="CL158" t="str">
        <f t="shared" si="128"/>
        <v/>
      </c>
      <c r="CP158">
        <f>IF(包装物料出入库明细!$D158="",0,1)</f>
        <v>0</v>
      </c>
      <c r="CQ158">
        <f t="shared" si="129"/>
        <v>37</v>
      </c>
      <c r="CS158" t="str">
        <f>IF(OR(周转筐出入库明细!$C159="",周转筐出入库明细!$F159&lt;&gt;"采购入库"),"",周转筐出入库明细!$C159)</f>
        <v/>
      </c>
      <c r="CT158">
        <f t="shared" si="130"/>
        <v>0</v>
      </c>
      <c r="CU158">
        <f t="shared" si="131"/>
        <v>1</v>
      </c>
      <c r="CW158" t="str">
        <f>IFERROR(INDEX($CS$4:$CS$2003,MATCH(155,$CU$4:$CU$2003,0)),"")</f>
        <v/>
      </c>
    </row>
    <row r="159" spans="1:101">
      <c r="A159" t="str">
        <f>IF(包装物料出入库明细!$E159="","",包装物料出入库明细!$E159)</f>
        <v/>
      </c>
      <c r="B159">
        <f t="shared" si="92"/>
        <v>0</v>
      </c>
      <c r="C159">
        <f t="shared" si="93"/>
        <v>7</v>
      </c>
      <c r="D159" t="str">
        <f>IF(包装物料出入库明细!$E159="","",包装物料出入库明细!$F159)</f>
        <v/>
      </c>
      <c r="E159" t="str">
        <f>IF(包装物料出入库明细!$E159="","",包装物料出入库明细!$G159)</f>
        <v/>
      </c>
      <c r="K159" t="str">
        <f>IF(包装物料出入库明细!$D159="","",包装物料出入库明细!$D159)</f>
        <v/>
      </c>
      <c r="L159">
        <f t="shared" si="94"/>
        <v>0</v>
      </c>
      <c r="M159">
        <f t="shared" si="95"/>
        <v>9</v>
      </c>
      <c r="O159" t="str">
        <f t="shared" si="96"/>
        <v/>
      </c>
      <c r="Q159" t="str">
        <f>IF(周转筐出入库明细!$D160="","",周转筐出入库明细!$D160)</f>
        <v/>
      </c>
      <c r="R159">
        <f t="shared" si="97"/>
        <v>0</v>
      </c>
      <c r="S159">
        <f t="shared" si="98"/>
        <v>5</v>
      </c>
      <c r="W159" t="str">
        <f>IF(周转筐出入库明细!$C160="","",周转筐出入库明细!$C160)</f>
        <v/>
      </c>
      <c r="X159">
        <f t="shared" si="99"/>
        <v>0</v>
      </c>
      <c r="Y159">
        <f t="shared" si="100"/>
        <v>12</v>
      </c>
      <c r="AA159" t="str">
        <f t="shared" si="101"/>
        <v/>
      </c>
      <c r="AC159" t="str">
        <f>IF(客户自备加工筐明细!$C159="","",客户自备加工筐明细!$C159)</f>
        <v/>
      </c>
      <c r="AD159">
        <f t="shared" si="102"/>
        <v>0</v>
      </c>
      <c r="AE159">
        <f t="shared" si="103"/>
        <v>1</v>
      </c>
      <c r="AI159" t="str">
        <f>IF(客户自备加工筐明细!$E159="","",客户自备加工筐明细!$E159)</f>
        <v/>
      </c>
      <c r="AJ159">
        <f t="shared" si="104"/>
        <v>0</v>
      </c>
      <c r="AK159">
        <f t="shared" si="105"/>
        <v>1</v>
      </c>
      <c r="AM159" t="str">
        <f>IFERROR(INDEX($AI$4:$AI$1503,MATCH(156,$AK$4:$AK$1503,0)),"")</f>
        <v/>
      </c>
      <c r="AO159" t="str">
        <f>IF(次果筐明细!$D159="","",次果筐明细!$D159)</f>
        <v/>
      </c>
      <c r="AP159">
        <f t="shared" si="106"/>
        <v>0</v>
      </c>
      <c r="AQ159">
        <f t="shared" si="107"/>
        <v>1</v>
      </c>
      <c r="AU159" t="str">
        <f>IF(次果筐明细!$C159="","",次果筐明细!$C159)</f>
        <v/>
      </c>
      <c r="AV159">
        <f t="shared" si="108"/>
        <v>0</v>
      </c>
      <c r="AW159">
        <f t="shared" si="109"/>
        <v>1</v>
      </c>
      <c r="AY159" t="str">
        <f t="shared" si="110"/>
        <v/>
      </c>
      <c r="BA159" t="str">
        <f>IF(对接源_01水果筐数!$B160="","",对接源_01水果筐数!$B160)</f>
        <v/>
      </c>
      <c r="BB159">
        <f t="shared" si="111"/>
        <v>0</v>
      </c>
      <c r="BC159">
        <f t="shared" si="112"/>
        <v>14</v>
      </c>
      <c r="BE159" t="str">
        <f t="shared" si="113"/>
        <v/>
      </c>
      <c r="BG159" t="str">
        <f>IF(对接源_01水果筐数!$C160="","",对接源_01水果筐数!$C160)</f>
        <v/>
      </c>
      <c r="BH159">
        <f t="shared" si="114"/>
        <v>0</v>
      </c>
      <c r="BI159">
        <f t="shared" si="115"/>
        <v>7</v>
      </c>
      <c r="BM159" t="str">
        <f t="shared" si="91"/>
        <v/>
      </c>
      <c r="BN159">
        <f t="shared" si="116"/>
        <v>0</v>
      </c>
      <c r="BO159">
        <f t="shared" si="117"/>
        <v>8</v>
      </c>
      <c r="BS159" t="str">
        <f t="shared" si="118"/>
        <v/>
      </c>
      <c r="BT159">
        <f t="shared" si="119"/>
        <v>0</v>
      </c>
      <c r="BU159">
        <f t="shared" si="120"/>
        <v>9</v>
      </c>
      <c r="BW159" t="str">
        <f t="shared" si="121"/>
        <v/>
      </c>
      <c r="BY159" t="str">
        <f t="shared" si="122"/>
        <v/>
      </c>
      <c r="BZ159">
        <f t="shared" si="123"/>
        <v>0</v>
      </c>
      <c r="CA159">
        <f t="shared" si="124"/>
        <v>12</v>
      </c>
      <c r="CC159" t="str">
        <f t="shared" si="125"/>
        <v/>
      </c>
      <c r="CI159" t="str">
        <f>IF(基础资料!$E59="","",基础资料!$E59)</f>
        <v/>
      </c>
      <c r="CJ159">
        <f t="shared" si="126"/>
        <v>0</v>
      </c>
      <c r="CK159">
        <f t="shared" si="127"/>
        <v>24</v>
      </c>
      <c r="CL159" t="str">
        <f t="shared" si="128"/>
        <v/>
      </c>
      <c r="CP159">
        <f>IF(包装物料出入库明细!$D159="",0,1)</f>
        <v>0</v>
      </c>
      <c r="CQ159">
        <f t="shared" si="129"/>
        <v>37</v>
      </c>
      <c r="CS159" t="str">
        <f>IF(OR(周转筐出入库明细!$C160="",周转筐出入库明细!$F160&lt;&gt;"采购入库"),"",周转筐出入库明细!$C160)</f>
        <v/>
      </c>
      <c r="CT159">
        <f t="shared" si="130"/>
        <v>0</v>
      </c>
      <c r="CU159">
        <f t="shared" si="131"/>
        <v>1</v>
      </c>
      <c r="CW159" t="str">
        <f>IFERROR(INDEX($CS$4:$CS$2003,MATCH(156,$CU$4:$CU$2003,0)),"")</f>
        <v/>
      </c>
    </row>
    <row r="160" spans="1:101">
      <c r="A160" t="str">
        <f>IF(包装物料出入库明细!$E160="","",包装物料出入库明细!$E160)</f>
        <v/>
      </c>
      <c r="B160">
        <f t="shared" si="92"/>
        <v>0</v>
      </c>
      <c r="C160">
        <f t="shared" si="93"/>
        <v>7</v>
      </c>
      <c r="D160" t="str">
        <f>IF(包装物料出入库明细!$E160="","",包装物料出入库明细!$F160)</f>
        <v/>
      </c>
      <c r="E160" t="str">
        <f>IF(包装物料出入库明细!$E160="","",包装物料出入库明细!$G160)</f>
        <v/>
      </c>
      <c r="K160" t="str">
        <f>IF(包装物料出入库明细!$D160="","",包装物料出入库明细!$D160)</f>
        <v/>
      </c>
      <c r="L160">
        <f t="shared" si="94"/>
        <v>0</v>
      </c>
      <c r="M160">
        <f t="shared" si="95"/>
        <v>9</v>
      </c>
      <c r="O160" t="str">
        <f t="shared" si="96"/>
        <v/>
      </c>
      <c r="Q160" t="str">
        <f>IF(周转筐出入库明细!$D161="","",周转筐出入库明细!$D161)</f>
        <v/>
      </c>
      <c r="R160">
        <f t="shared" si="97"/>
        <v>0</v>
      </c>
      <c r="S160">
        <f t="shared" si="98"/>
        <v>5</v>
      </c>
      <c r="W160" t="str">
        <f>IF(周转筐出入库明细!$C161="","",周转筐出入库明细!$C161)</f>
        <v/>
      </c>
      <c r="X160">
        <f t="shared" si="99"/>
        <v>0</v>
      </c>
      <c r="Y160">
        <f t="shared" si="100"/>
        <v>12</v>
      </c>
      <c r="AA160" t="str">
        <f t="shared" si="101"/>
        <v/>
      </c>
      <c r="AC160" t="str">
        <f>IF(客户自备加工筐明细!$C160="","",客户自备加工筐明细!$C160)</f>
        <v/>
      </c>
      <c r="AD160">
        <f t="shared" si="102"/>
        <v>0</v>
      </c>
      <c r="AE160">
        <f t="shared" si="103"/>
        <v>1</v>
      </c>
      <c r="AI160" t="str">
        <f>IF(客户自备加工筐明细!$E160="","",客户自备加工筐明细!$E160)</f>
        <v/>
      </c>
      <c r="AJ160">
        <f t="shared" si="104"/>
        <v>0</v>
      </c>
      <c r="AK160">
        <f t="shared" si="105"/>
        <v>1</v>
      </c>
      <c r="AM160" t="str">
        <f>IFERROR(INDEX($AI$4:$AI$1503,MATCH(157,$AK$4:$AK$1503,0)),"")</f>
        <v/>
      </c>
      <c r="AO160" t="str">
        <f>IF(次果筐明细!$D160="","",次果筐明细!$D160)</f>
        <v/>
      </c>
      <c r="AP160">
        <f t="shared" si="106"/>
        <v>0</v>
      </c>
      <c r="AQ160">
        <f t="shared" si="107"/>
        <v>1</v>
      </c>
      <c r="AU160" t="str">
        <f>IF(次果筐明细!$C160="","",次果筐明细!$C160)</f>
        <v/>
      </c>
      <c r="AV160">
        <f t="shared" si="108"/>
        <v>0</v>
      </c>
      <c r="AW160">
        <f t="shared" si="109"/>
        <v>1</v>
      </c>
      <c r="AY160" t="str">
        <f t="shared" si="110"/>
        <v/>
      </c>
      <c r="BA160" t="str">
        <f>IF(对接源_01水果筐数!$B161="","",对接源_01水果筐数!$B161)</f>
        <v/>
      </c>
      <c r="BB160">
        <f t="shared" si="111"/>
        <v>0</v>
      </c>
      <c r="BC160">
        <f t="shared" si="112"/>
        <v>14</v>
      </c>
      <c r="BE160" t="str">
        <f t="shared" si="113"/>
        <v/>
      </c>
      <c r="BG160" t="str">
        <f>IF(对接源_01水果筐数!$C161="","",对接源_01水果筐数!$C161)</f>
        <v/>
      </c>
      <c r="BH160">
        <f t="shared" si="114"/>
        <v>0</v>
      </c>
      <c r="BI160">
        <f t="shared" si="115"/>
        <v>7</v>
      </c>
      <c r="BM160" t="str">
        <f t="shared" si="91"/>
        <v/>
      </c>
      <c r="BN160">
        <f t="shared" si="116"/>
        <v>0</v>
      </c>
      <c r="BO160">
        <f t="shared" si="117"/>
        <v>8</v>
      </c>
      <c r="BS160" t="str">
        <f t="shared" si="118"/>
        <v/>
      </c>
      <c r="BT160">
        <f t="shared" si="119"/>
        <v>0</v>
      </c>
      <c r="BU160">
        <f t="shared" si="120"/>
        <v>9</v>
      </c>
      <c r="BW160" t="str">
        <f t="shared" si="121"/>
        <v/>
      </c>
      <c r="BY160" t="str">
        <f t="shared" si="122"/>
        <v/>
      </c>
      <c r="BZ160">
        <f t="shared" si="123"/>
        <v>0</v>
      </c>
      <c r="CA160">
        <f t="shared" si="124"/>
        <v>12</v>
      </c>
      <c r="CC160" t="str">
        <f t="shared" si="125"/>
        <v/>
      </c>
      <c r="CI160" t="str">
        <f>IF(基础资料!$E60="","",基础资料!$E60)</f>
        <v/>
      </c>
      <c r="CJ160">
        <f t="shared" si="126"/>
        <v>0</v>
      </c>
      <c r="CK160">
        <f t="shared" si="127"/>
        <v>24</v>
      </c>
      <c r="CL160" t="str">
        <f t="shared" si="128"/>
        <v/>
      </c>
      <c r="CP160">
        <f>IF(包装物料出入库明细!$D160="",0,1)</f>
        <v>0</v>
      </c>
      <c r="CQ160">
        <f t="shared" si="129"/>
        <v>37</v>
      </c>
      <c r="CS160" t="str">
        <f>IF(OR(周转筐出入库明细!$C161="",周转筐出入库明细!$F161&lt;&gt;"采购入库"),"",周转筐出入库明细!$C161)</f>
        <v/>
      </c>
      <c r="CT160">
        <f t="shared" si="130"/>
        <v>0</v>
      </c>
      <c r="CU160">
        <f t="shared" si="131"/>
        <v>1</v>
      </c>
      <c r="CW160" t="str">
        <f>IFERROR(INDEX($CS$4:$CS$2003,MATCH(157,$CU$4:$CU$2003,0)),"")</f>
        <v/>
      </c>
    </row>
    <row r="161" spans="1:101">
      <c r="A161" t="str">
        <f>IF(包装物料出入库明细!$E161="","",包装物料出入库明细!$E161)</f>
        <v/>
      </c>
      <c r="B161">
        <f t="shared" si="92"/>
        <v>0</v>
      </c>
      <c r="C161">
        <f t="shared" si="93"/>
        <v>7</v>
      </c>
      <c r="D161" t="str">
        <f>IF(包装物料出入库明细!$E161="","",包装物料出入库明细!$F161)</f>
        <v/>
      </c>
      <c r="E161" t="str">
        <f>IF(包装物料出入库明细!$E161="","",包装物料出入库明细!$G161)</f>
        <v/>
      </c>
      <c r="K161" t="str">
        <f>IF(包装物料出入库明细!$D161="","",包装物料出入库明细!$D161)</f>
        <v/>
      </c>
      <c r="L161">
        <f t="shared" si="94"/>
        <v>0</v>
      </c>
      <c r="M161">
        <f t="shared" si="95"/>
        <v>9</v>
      </c>
      <c r="O161" t="str">
        <f t="shared" si="96"/>
        <v/>
      </c>
      <c r="Q161" t="str">
        <f>IF(周转筐出入库明细!$D162="","",周转筐出入库明细!$D162)</f>
        <v/>
      </c>
      <c r="R161">
        <f t="shared" si="97"/>
        <v>0</v>
      </c>
      <c r="S161">
        <f t="shared" si="98"/>
        <v>5</v>
      </c>
      <c r="W161" t="str">
        <f>IF(周转筐出入库明细!$C162="","",周转筐出入库明细!$C162)</f>
        <v/>
      </c>
      <c r="X161">
        <f t="shared" si="99"/>
        <v>0</v>
      </c>
      <c r="Y161">
        <f t="shared" si="100"/>
        <v>12</v>
      </c>
      <c r="AA161" t="str">
        <f t="shared" si="101"/>
        <v/>
      </c>
      <c r="AC161" t="str">
        <f>IF(客户自备加工筐明细!$C161="","",客户自备加工筐明细!$C161)</f>
        <v/>
      </c>
      <c r="AD161">
        <f t="shared" si="102"/>
        <v>0</v>
      </c>
      <c r="AE161">
        <f t="shared" si="103"/>
        <v>1</v>
      </c>
      <c r="AI161" t="str">
        <f>IF(客户自备加工筐明细!$E161="","",客户自备加工筐明细!$E161)</f>
        <v/>
      </c>
      <c r="AJ161">
        <f t="shared" si="104"/>
        <v>0</v>
      </c>
      <c r="AK161">
        <f t="shared" si="105"/>
        <v>1</v>
      </c>
      <c r="AM161" t="str">
        <f>IFERROR(INDEX($AI$4:$AI$1503,MATCH(158,$AK$4:$AK$1503,0)),"")</f>
        <v/>
      </c>
      <c r="AO161" t="str">
        <f>IF(次果筐明细!$D161="","",次果筐明细!$D161)</f>
        <v/>
      </c>
      <c r="AP161">
        <f t="shared" si="106"/>
        <v>0</v>
      </c>
      <c r="AQ161">
        <f t="shared" si="107"/>
        <v>1</v>
      </c>
      <c r="AU161" t="str">
        <f>IF(次果筐明细!$C161="","",次果筐明细!$C161)</f>
        <v/>
      </c>
      <c r="AV161">
        <f t="shared" si="108"/>
        <v>0</v>
      </c>
      <c r="AW161">
        <f t="shared" si="109"/>
        <v>1</v>
      </c>
      <c r="AY161" t="str">
        <f t="shared" si="110"/>
        <v/>
      </c>
      <c r="BA161" t="str">
        <f>IF(对接源_01水果筐数!$B162="","",对接源_01水果筐数!$B162)</f>
        <v/>
      </c>
      <c r="BB161">
        <f t="shared" si="111"/>
        <v>0</v>
      </c>
      <c r="BC161">
        <f t="shared" si="112"/>
        <v>14</v>
      </c>
      <c r="BE161" t="str">
        <f t="shared" si="113"/>
        <v/>
      </c>
      <c r="BG161" t="str">
        <f>IF(对接源_01水果筐数!$C162="","",对接源_01水果筐数!$C162)</f>
        <v/>
      </c>
      <c r="BH161">
        <f t="shared" si="114"/>
        <v>0</v>
      </c>
      <c r="BI161">
        <f t="shared" si="115"/>
        <v>7</v>
      </c>
      <c r="BM161" t="str">
        <f t="shared" si="91"/>
        <v/>
      </c>
      <c r="BN161">
        <f t="shared" si="116"/>
        <v>0</v>
      </c>
      <c r="BO161">
        <f t="shared" si="117"/>
        <v>8</v>
      </c>
      <c r="BS161" t="str">
        <f t="shared" si="118"/>
        <v/>
      </c>
      <c r="BT161">
        <f t="shared" si="119"/>
        <v>0</v>
      </c>
      <c r="BU161">
        <f t="shared" si="120"/>
        <v>9</v>
      </c>
      <c r="BW161" t="str">
        <f t="shared" si="121"/>
        <v/>
      </c>
      <c r="BY161" t="str">
        <f t="shared" si="122"/>
        <v/>
      </c>
      <c r="BZ161">
        <f t="shared" si="123"/>
        <v>0</v>
      </c>
      <c r="CA161">
        <f t="shared" si="124"/>
        <v>12</v>
      </c>
      <c r="CC161" t="str">
        <f t="shared" si="125"/>
        <v/>
      </c>
      <c r="CI161" t="str">
        <f>IF(基础资料!$E61="","",基础资料!$E61)</f>
        <v/>
      </c>
      <c r="CJ161">
        <f t="shared" si="126"/>
        <v>0</v>
      </c>
      <c r="CK161">
        <f t="shared" si="127"/>
        <v>24</v>
      </c>
      <c r="CL161" t="str">
        <f t="shared" si="128"/>
        <v/>
      </c>
      <c r="CP161">
        <f>IF(包装物料出入库明细!$D161="",0,1)</f>
        <v>0</v>
      </c>
      <c r="CQ161">
        <f t="shared" si="129"/>
        <v>37</v>
      </c>
      <c r="CS161" t="str">
        <f>IF(OR(周转筐出入库明细!$C162="",周转筐出入库明细!$F162&lt;&gt;"采购入库"),"",周转筐出入库明细!$C162)</f>
        <v/>
      </c>
      <c r="CT161">
        <f t="shared" si="130"/>
        <v>0</v>
      </c>
      <c r="CU161">
        <f t="shared" si="131"/>
        <v>1</v>
      </c>
      <c r="CW161" t="str">
        <f>IFERROR(INDEX($CS$4:$CS$2003,MATCH(158,$CU$4:$CU$2003,0)),"")</f>
        <v/>
      </c>
    </row>
    <row r="162" spans="1:101">
      <c r="A162" t="str">
        <f>IF(包装物料出入库明细!$E162="","",包装物料出入库明细!$E162)</f>
        <v/>
      </c>
      <c r="B162">
        <f t="shared" si="92"/>
        <v>0</v>
      </c>
      <c r="C162">
        <f t="shared" si="93"/>
        <v>7</v>
      </c>
      <c r="D162" t="str">
        <f>IF(包装物料出入库明细!$E162="","",包装物料出入库明细!$F162)</f>
        <v/>
      </c>
      <c r="E162" t="str">
        <f>IF(包装物料出入库明细!$E162="","",包装物料出入库明细!$G162)</f>
        <v/>
      </c>
      <c r="K162" t="str">
        <f>IF(包装物料出入库明细!$D162="","",包装物料出入库明细!$D162)</f>
        <v/>
      </c>
      <c r="L162">
        <f t="shared" si="94"/>
        <v>0</v>
      </c>
      <c r="M162">
        <f t="shared" si="95"/>
        <v>9</v>
      </c>
      <c r="O162" t="str">
        <f t="shared" si="96"/>
        <v/>
      </c>
      <c r="Q162" t="str">
        <f>IF(周转筐出入库明细!$D163="","",周转筐出入库明细!$D163)</f>
        <v/>
      </c>
      <c r="R162">
        <f t="shared" si="97"/>
        <v>0</v>
      </c>
      <c r="S162">
        <f t="shared" si="98"/>
        <v>5</v>
      </c>
      <c r="W162" t="str">
        <f>IF(周转筐出入库明细!$C163="","",周转筐出入库明细!$C163)</f>
        <v/>
      </c>
      <c r="X162">
        <f t="shared" si="99"/>
        <v>0</v>
      </c>
      <c r="Y162">
        <f t="shared" si="100"/>
        <v>12</v>
      </c>
      <c r="AA162" t="str">
        <f t="shared" si="101"/>
        <v/>
      </c>
      <c r="AC162" t="str">
        <f>IF(客户自备加工筐明细!$C162="","",客户自备加工筐明细!$C162)</f>
        <v/>
      </c>
      <c r="AD162">
        <f t="shared" si="102"/>
        <v>0</v>
      </c>
      <c r="AE162">
        <f t="shared" si="103"/>
        <v>1</v>
      </c>
      <c r="AI162" t="str">
        <f>IF(客户自备加工筐明细!$E162="","",客户自备加工筐明细!$E162)</f>
        <v/>
      </c>
      <c r="AJ162">
        <f t="shared" si="104"/>
        <v>0</v>
      </c>
      <c r="AK162">
        <f t="shared" si="105"/>
        <v>1</v>
      </c>
      <c r="AM162" t="str">
        <f>IFERROR(INDEX($AI$4:$AI$1503,MATCH(159,$AK$4:$AK$1503,0)),"")</f>
        <v/>
      </c>
      <c r="AO162" t="str">
        <f>IF(次果筐明细!$D162="","",次果筐明细!$D162)</f>
        <v/>
      </c>
      <c r="AP162">
        <f t="shared" si="106"/>
        <v>0</v>
      </c>
      <c r="AQ162">
        <f t="shared" si="107"/>
        <v>1</v>
      </c>
      <c r="AU162" t="str">
        <f>IF(次果筐明细!$C162="","",次果筐明细!$C162)</f>
        <v/>
      </c>
      <c r="AV162">
        <f t="shared" si="108"/>
        <v>0</v>
      </c>
      <c r="AW162">
        <f t="shared" si="109"/>
        <v>1</v>
      </c>
      <c r="AY162" t="str">
        <f t="shared" si="110"/>
        <v/>
      </c>
      <c r="BA162" t="str">
        <f>IF(对接源_01水果筐数!$B163="","",对接源_01水果筐数!$B163)</f>
        <v/>
      </c>
      <c r="BB162">
        <f t="shared" si="111"/>
        <v>0</v>
      </c>
      <c r="BC162">
        <f t="shared" si="112"/>
        <v>14</v>
      </c>
      <c r="BE162" t="str">
        <f t="shared" si="113"/>
        <v/>
      </c>
      <c r="BG162" t="str">
        <f>IF(对接源_01水果筐数!$C163="","",对接源_01水果筐数!$C163)</f>
        <v/>
      </c>
      <c r="BH162">
        <f t="shared" si="114"/>
        <v>0</v>
      </c>
      <c r="BI162">
        <f t="shared" si="115"/>
        <v>7</v>
      </c>
      <c r="BM162" t="str">
        <f t="shared" si="91"/>
        <v/>
      </c>
      <c r="BN162">
        <f t="shared" si="116"/>
        <v>0</v>
      </c>
      <c r="BO162">
        <f t="shared" si="117"/>
        <v>8</v>
      </c>
      <c r="BS162" t="str">
        <f t="shared" si="118"/>
        <v/>
      </c>
      <c r="BT162">
        <f t="shared" si="119"/>
        <v>0</v>
      </c>
      <c r="BU162">
        <f t="shared" si="120"/>
        <v>9</v>
      </c>
      <c r="BW162" t="str">
        <f t="shared" si="121"/>
        <v/>
      </c>
      <c r="BY162" t="str">
        <f t="shared" si="122"/>
        <v/>
      </c>
      <c r="BZ162">
        <f t="shared" si="123"/>
        <v>0</v>
      </c>
      <c r="CA162">
        <f t="shared" si="124"/>
        <v>12</v>
      </c>
      <c r="CC162" t="str">
        <f t="shared" si="125"/>
        <v/>
      </c>
      <c r="CI162" t="str">
        <f>IF(基础资料!$E62="","",基础资料!$E62)</f>
        <v/>
      </c>
      <c r="CJ162">
        <f t="shared" si="126"/>
        <v>0</v>
      </c>
      <c r="CK162">
        <f t="shared" si="127"/>
        <v>24</v>
      </c>
      <c r="CL162" t="str">
        <f t="shared" si="128"/>
        <v/>
      </c>
      <c r="CP162">
        <f>IF(包装物料出入库明细!$D162="",0,1)</f>
        <v>0</v>
      </c>
      <c r="CQ162">
        <f t="shared" si="129"/>
        <v>37</v>
      </c>
      <c r="CS162" t="str">
        <f>IF(OR(周转筐出入库明细!$C163="",周转筐出入库明细!$F163&lt;&gt;"采购入库"),"",周转筐出入库明细!$C163)</f>
        <v/>
      </c>
      <c r="CT162">
        <f t="shared" si="130"/>
        <v>0</v>
      </c>
      <c r="CU162">
        <f t="shared" si="131"/>
        <v>1</v>
      </c>
      <c r="CW162" t="str">
        <f>IFERROR(INDEX($CS$4:$CS$2003,MATCH(159,$CU$4:$CU$2003,0)),"")</f>
        <v/>
      </c>
    </row>
    <row r="163" spans="1:101">
      <c r="A163" t="str">
        <f>IF(包装物料出入库明细!$E163="","",包装物料出入库明细!$E163)</f>
        <v/>
      </c>
      <c r="B163">
        <f t="shared" si="92"/>
        <v>0</v>
      </c>
      <c r="C163">
        <f t="shared" si="93"/>
        <v>7</v>
      </c>
      <c r="D163" t="str">
        <f>IF(包装物料出入库明细!$E163="","",包装物料出入库明细!$F163)</f>
        <v/>
      </c>
      <c r="E163" t="str">
        <f>IF(包装物料出入库明细!$E163="","",包装物料出入库明细!$G163)</f>
        <v/>
      </c>
      <c r="K163" t="str">
        <f>IF(包装物料出入库明细!$D163="","",包装物料出入库明细!$D163)</f>
        <v/>
      </c>
      <c r="L163">
        <f t="shared" si="94"/>
        <v>0</v>
      </c>
      <c r="M163">
        <f t="shared" si="95"/>
        <v>9</v>
      </c>
      <c r="O163" t="str">
        <f t="shared" si="96"/>
        <v/>
      </c>
      <c r="Q163" t="str">
        <f>IF(周转筐出入库明细!$D164="","",周转筐出入库明细!$D164)</f>
        <v/>
      </c>
      <c r="R163">
        <f t="shared" si="97"/>
        <v>0</v>
      </c>
      <c r="S163">
        <f t="shared" si="98"/>
        <v>5</v>
      </c>
      <c r="W163" t="str">
        <f>IF(周转筐出入库明细!$C164="","",周转筐出入库明细!$C164)</f>
        <v/>
      </c>
      <c r="X163">
        <f t="shared" si="99"/>
        <v>0</v>
      </c>
      <c r="Y163">
        <f t="shared" si="100"/>
        <v>12</v>
      </c>
      <c r="AA163" t="str">
        <f t="shared" si="101"/>
        <v/>
      </c>
      <c r="AC163" t="str">
        <f>IF(客户自备加工筐明细!$C163="","",客户自备加工筐明细!$C163)</f>
        <v/>
      </c>
      <c r="AD163">
        <f t="shared" si="102"/>
        <v>0</v>
      </c>
      <c r="AE163">
        <f t="shared" si="103"/>
        <v>1</v>
      </c>
      <c r="AI163" t="str">
        <f>IF(客户自备加工筐明细!$E163="","",客户自备加工筐明细!$E163)</f>
        <v/>
      </c>
      <c r="AJ163">
        <f t="shared" si="104"/>
        <v>0</v>
      </c>
      <c r="AK163">
        <f t="shared" si="105"/>
        <v>1</v>
      </c>
      <c r="AM163" t="str">
        <f>IFERROR(INDEX($AI$4:$AI$1503,MATCH(160,$AK$4:$AK$1503,0)),"")</f>
        <v/>
      </c>
      <c r="AO163" t="str">
        <f>IF(次果筐明细!$D163="","",次果筐明细!$D163)</f>
        <v/>
      </c>
      <c r="AP163">
        <f t="shared" si="106"/>
        <v>0</v>
      </c>
      <c r="AQ163">
        <f t="shared" si="107"/>
        <v>1</v>
      </c>
      <c r="AU163" t="str">
        <f>IF(次果筐明细!$C163="","",次果筐明细!$C163)</f>
        <v/>
      </c>
      <c r="AV163">
        <f t="shared" si="108"/>
        <v>0</v>
      </c>
      <c r="AW163">
        <f t="shared" si="109"/>
        <v>1</v>
      </c>
      <c r="AY163" t="str">
        <f t="shared" si="110"/>
        <v/>
      </c>
      <c r="BA163" t="str">
        <f>IF(对接源_01水果筐数!$B164="","",对接源_01水果筐数!$B164)</f>
        <v/>
      </c>
      <c r="BB163">
        <f t="shared" si="111"/>
        <v>0</v>
      </c>
      <c r="BC163">
        <f t="shared" si="112"/>
        <v>14</v>
      </c>
      <c r="BE163" t="str">
        <f t="shared" si="113"/>
        <v/>
      </c>
      <c r="BG163" t="str">
        <f>IF(对接源_01水果筐数!$C164="","",对接源_01水果筐数!$C164)</f>
        <v/>
      </c>
      <c r="BH163">
        <f t="shared" si="114"/>
        <v>0</v>
      </c>
      <c r="BI163">
        <f t="shared" si="115"/>
        <v>7</v>
      </c>
      <c r="BM163" t="str">
        <f t="shared" si="91"/>
        <v/>
      </c>
      <c r="BN163">
        <f t="shared" si="116"/>
        <v>0</v>
      </c>
      <c r="BO163">
        <f t="shared" si="117"/>
        <v>8</v>
      </c>
      <c r="BS163" t="str">
        <f t="shared" si="118"/>
        <v/>
      </c>
      <c r="BT163">
        <f t="shared" si="119"/>
        <v>0</v>
      </c>
      <c r="BU163">
        <f t="shared" si="120"/>
        <v>9</v>
      </c>
      <c r="BW163" t="str">
        <f t="shared" si="121"/>
        <v/>
      </c>
      <c r="BY163" t="str">
        <f t="shared" si="122"/>
        <v/>
      </c>
      <c r="BZ163">
        <f t="shared" si="123"/>
        <v>0</v>
      </c>
      <c r="CA163">
        <f t="shared" si="124"/>
        <v>12</v>
      </c>
      <c r="CC163" t="str">
        <f t="shared" si="125"/>
        <v/>
      </c>
      <c r="CI163" t="str">
        <f>IF(基础资料!$E63="","",基础资料!$E63)</f>
        <v/>
      </c>
      <c r="CJ163">
        <f t="shared" si="126"/>
        <v>0</v>
      </c>
      <c r="CK163">
        <f t="shared" si="127"/>
        <v>24</v>
      </c>
      <c r="CL163" t="str">
        <f t="shared" si="128"/>
        <v/>
      </c>
      <c r="CP163">
        <f>IF(包装物料出入库明细!$D163="",0,1)</f>
        <v>0</v>
      </c>
      <c r="CQ163">
        <f t="shared" si="129"/>
        <v>37</v>
      </c>
      <c r="CS163" t="str">
        <f>IF(OR(周转筐出入库明细!$C164="",周转筐出入库明细!$F164&lt;&gt;"采购入库"),"",周转筐出入库明细!$C164)</f>
        <v/>
      </c>
      <c r="CT163">
        <f t="shared" si="130"/>
        <v>0</v>
      </c>
      <c r="CU163">
        <f t="shared" si="131"/>
        <v>1</v>
      </c>
      <c r="CW163" t="str">
        <f>IFERROR(INDEX($CS$4:$CS$2003,MATCH(160,$CU$4:$CU$2003,0)),"")</f>
        <v/>
      </c>
    </row>
    <row r="164" spans="1:101">
      <c r="A164" t="str">
        <f>IF(包装物料出入库明细!$E164="","",包装物料出入库明细!$E164)</f>
        <v/>
      </c>
      <c r="B164">
        <f t="shared" si="92"/>
        <v>0</v>
      </c>
      <c r="C164">
        <f t="shared" si="93"/>
        <v>7</v>
      </c>
      <c r="D164" t="str">
        <f>IF(包装物料出入库明细!$E164="","",包装物料出入库明细!$F164)</f>
        <v/>
      </c>
      <c r="E164" t="str">
        <f>IF(包装物料出入库明细!$E164="","",包装物料出入库明细!$G164)</f>
        <v/>
      </c>
      <c r="K164" t="str">
        <f>IF(包装物料出入库明细!$D164="","",包装物料出入库明细!$D164)</f>
        <v/>
      </c>
      <c r="L164">
        <f t="shared" si="94"/>
        <v>0</v>
      </c>
      <c r="M164">
        <f t="shared" si="95"/>
        <v>9</v>
      </c>
      <c r="O164" t="str">
        <f t="shared" si="96"/>
        <v/>
      </c>
      <c r="Q164" t="str">
        <f>IF(周转筐出入库明细!$D165="","",周转筐出入库明细!$D165)</f>
        <v/>
      </c>
      <c r="R164">
        <f t="shared" si="97"/>
        <v>0</v>
      </c>
      <c r="S164">
        <f t="shared" si="98"/>
        <v>5</v>
      </c>
      <c r="W164" t="str">
        <f>IF(周转筐出入库明细!$C165="","",周转筐出入库明细!$C165)</f>
        <v/>
      </c>
      <c r="X164">
        <f t="shared" si="99"/>
        <v>0</v>
      </c>
      <c r="Y164">
        <f t="shared" si="100"/>
        <v>12</v>
      </c>
      <c r="AA164" t="str">
        <f t="shared" si="101"/>
        <v/>
      </c>
      <c r="AC164" t="str">
        <f>IF(客户自备加工筐明细!$C164="","",客户自备加工筐明细!$C164)</f>
        <v/>
      </c>
      <c r="AD164">
        <f t="shared" si="102"/>
        <v>0</v>
      </c>
      <c r="AE164">
        <f t="shared" si="103"/>
        <v>1</v>
      </c>
      <c r="AI164" t="str">
        <f>IF(客户自备加工筐明细!$E164="","",客户自备加工筐明细!$E164)</f>
        <v/>
      </c>
      <c r="AJ164">
        <f t="shared" si="104"/>
        <v>0</v>
      </c>
      <c r="AK164">
        <f t="shared" si="105"/>
        <v>1</v>
      </c>
      <c r="AM164" t="str">
        <f>IFERROR(INDEX($AI$4:$AI$1503,MATCH(161,$AK$4:$AK$1503,0)),"")</f>
        <v/>
      </c>
      <c r="AO164" t="str">
        <f>IF(次果筐明细!$D164="","",次果筐明细!$D164)</f>
        <v/>
      </c>
      <c r="AP164">
        <f t="shared" si="106"/>
        <v>0</v>
      </c>
      <c r="AQ164">
        <f t="shared" si="107"/>
        <v>1</v>
      </c>
      <c r="AU164" t="str">
        <f>IF(次果筐明细!$C164="","",次果筐明细!$C164)</f>
        <v/>
      </c>
      <c r="AV164">
        <f t="shared" si="108"/>
        <v>0</v>
      </c>
      <c r="AW164">
        <f t="shared" si="109"/>
        <v>1</v>
      </c>
      <c r="AY164" t="str">
        <f t="shared" si="110"/>
        <v/>
      </c>
      <c r="BA164" t="str">
        <f>IF(对接源_01水果筐数!$B165="","",对接源_01水果筐数!$B165)</f>
        <v/>
      </c>
      <c r="BB164">
        <f t="shared" si="111"/>
        <v>0</v>
      </c>
      <c r="BC164">
        <f t="shared" si="112"/>
        <v>14</v>
      </c>
      <c r="BE164" t="str">
        <f t="shared" si="113"/>
        <v/>
      </c>
      <c r="BG164" t="str">
        <f>IF(对接源_01水果筐数!$C165="","",对接源_01水果筐数!$C165)</f>
        <v/>
      </c>
      <c r="BH164">
        <f t="shared" si="114"/>
        <v>0</v>
      </c>
      <c r="BI164">
        <f t="shared" si="115"/>
        <v>7</v>
      </c>
      <c r="BM164" t="str">
        <f t="shared" si="91"/>
        <v/>
      </c>
      <c r="BN164">
        <f t="shared" si="116"/>
        <v>0</v>
      </c>
      <c r="BO164">
        <f t="shared" si="117"/>
        <v>8</v>
      </c>
      <c r="BS164" t="str">
        <f t="shared" si="118"/>
        <v/>
      </c>
      <c r="BT164">
        <f t="shared" si="119"/>
        <v>0</v>
      </c>
      <c r="BU164">
        <f t="shared" si="120"/>
        <v>9</v>
      </c>
      <c r="BW164" t="str">
        <f t="shared" si="121"/>
        <v/>
      </c>
      <c r="BY164" t="str">
        <f t="shared" si="122"/>
        <v/>
      </c>
      <c r="BZ164">
        <f t="shared" si="123"/>
        <v>0</v>
      </c>
      <c r="CA164">
        <f t="shared" si="124"/>
        <v>12</v>
      </c>
      <c r="CC164" t="str">
        <f t="shared" si="125"/>
        <v/>
      </c>
      <c r="CI164" t="str">
        <f>IF(基础资料!$E64="","",基础资料!$E64)</f>
        <v/>
      </c>
      <c r="CJ164">
        <f t="shared" si="126"/>
        <v>0</v>
      </c>
      <c r="CK164">
        <f t="shared" si="127"/>
        <v>24</v>
      </c>
      <c r="CL164" t="str">
        <f t="shared" si="128"/>
        <v/>
      </c>
      <c r="CP164">
        <f>IF(包装物料出入库明细!$D164="",0,1)</f>
        <v>0</v>
      </c>
      <c r="CQ164">
        <f t="shared" si="129"/>
        <v>37</v>
      </c>
      <c r="CS164" t="str">
        <f>IF(OR(周转筐出入库明细!$C165="",周转筐出入库明细!$F165&lt;&gt;"采购入库"),"",周转筐出入库明细!$C165)</f>
        <v/>
      </c>
      <c r="CT164">
        <f t="shared" si="130"/>
        <v>0</v>
      </c>
      <c r="CU164">
        <f t="shared" si="131"/>
        <v>1</v>
      </c>
      <c r="CW164" t="str">
        <f>IFERROR(INDEX($CS$4:$CS$2003,MATCH(161,$CU$4:$CU$2003,0)),"")</f>
        <v/>
      </c>
    </row>
    <row r="165" spans="1:101">
      <c r="A165" t="str">
        <f>IF(包装物料出入库明细!$E165="","",包装物料出入库明细!$E165)</f>
        <v/>
      </c>
      <c r="B165">
        <f t="shared" si="92"/>
        <v>0</v>
      </c>
      <c r="C165">
        <f t="shared" si="93"/>
        <v>7</v>
      </c>
      <c r="D165" t="str">
        <f>IF(包装物料出入库明细!$E165="","",包装物料出入库明细!$F165)</f>
        <v/>
      </c>
      <c r="E165" t="str">
        <f>IF(包装物料出入库明细!$E165="","",包装物料出入库明细!$G165)</f>
        <v/>
      </c>
      <c r="K165" t="str">
        <f>IF(包装物料出入库明细!$D165="","",包装物料出入库明细!$D165)</f>
        <v/>
      </c>
      <c r="L165">
        <f t="shared" si="94"/>
        <v>0</v>
      </c>
      <c r="M165">
        <f t="shared" si="95"/>
        <v>9</v>
      </c>
      <c r="O165" t="str">
        <f t="shared" si="96"/>
        <v/>
      </c>
      <c r="Q165" t="str">
        <f>IF(周转筐出入库明细!$D166="","",周转筐出入库明细!$D166)</f>
        <v/>
      </c>
      <c r="R165">
        <f t="shared" si="97"/>
        <v>0</v>
      </c>
      <c r="S165">
        <f t="shared" si="98"/>
        <v>5</v>
      </c>
      <c r="W165" t="str">
        <f>IF(周转筐出入库明细!$C166="","",周转筐出入库明细!$C166)</f>
        <v/>
      </c>
      <c r="X165">
        <f t="shared" si="99"/>
        <v>0</v>
      </c>
      <c r="Y165">
        <f t="shared" si="100"/>
        <v>12</v>
      </c>
      <c r="AA165" t="str">
        <f t="shared" si="101"/>
        <v/>
      </c>
      <c r="AC165" t="str">
        <f>IF(客户自备加工筐明细!$C165="","",客户自备加工筐明细!$C165)</f>
        <v/>
      </c>
      <c r="AD165">
        <f t="shared" si="102"/>
        <v>0</v>
      </c>
      <c r="AE165">
        <f t="shared" si="103"/>
        <v>1</v>
      </c>
      <c r="AI165" t="str">
        <f>IF(客户自备加工筐明细!$E165="","",客户自备加工筐明细!$E165)</f>
        <v/>
      </c>
      <c r="AJ165">
        <f t="shared" si="104"/>
        <v>0</v>
      </c>
      <c r="AK165">
        <f t="shared" si="105"/>
        <v>1</v>
      </c>
      <c r="AM165" t="str">
        <f>IFERROR(INDEX($AI$4:$AI$1503,MATCH(162,$AK$4:$AK$1503,0)),"")</f>
        <v/>
      </c>
      <c r="AO165" t="str">
        <f>IF(次果筐明细!$D165="","",次果筐明细!$D165)</f>
        <v/>
      </c>
      <c r="AP165">
        <f t="shared" si="106"/>
        <v>0</v>
      </c>
      <c r="AQ165">
        <f t="shared" si="107"/>
        <v>1</v>
      </c>
      <c r="AU165" t="str">
        <f>IF(次果筐明细!$C165="","",次果筐明细!$C165)</f>
        <v/>
      </c>
      <c r="AV165">
        <f t="shared" si="108"/>
        <v>0</v>
      </c>
      <c r="AW165">
        <f t="shared" si="109"/>
        <v>1</v>
      </c>
      <c r="AY165" t="str">
        <f t="shared" si="110"/>
        <v/>
      </c>
      <c r="BA165" t="str">
        <f>IF(对接源_01水果筐数!$B166="","",对接源_01水果筐数!$B166)</f>
        <v/>
      </c>
      <c r="BB165">
        <f t="shared" si="111"/>
        <v>0</v>
      </c>
      <c r="BC165">
        <f t="shared" si="112"/>
        <v>14</v>
      </c>
      <c r="BE165" t="str">
        <f t="shared" si="113"/>
        <v/>
      </c>
      <c r="BG165" t="str">
        <f>IF(对接源_01水果筐数!$C166="","",对接源_01水果筐数!$C166)</f>
        <v/>
      </c>
      <c r="BH165">
        <f t="shared" si="114"/>
        <v>0</v>
      </c>
      <c r="BI165">
        <f t="shared" si="115"/>
        <v>7</v>
      </c>
      <c r="BM165" t="str">
        <f t="shared" si="91"/>
        <v/>
      </c>
      <c r="BN165">
        <f t="shared" si="116"/>
        <v>0</v>
      </c>
      <c r="BO165">
        <f t="shared" si="117"/>
        <v>8</v>
      </c>
      <c r="BS165" t="str">
        <f t="shared" si="118"/>
        <v/>
      </c>
      <c r="BT165">
        <f t="shared" si="119"/>
        <v>0</v>
      </c>
      <c r="BU165">
        <f t="shared" si="120"/>
        <v>9</v>
      </c>
      <c r="BW165" t="str">
        <f t="shared" si="121"/>
        <v/>
      </c>
      <c r="BY165" t="str">
        <f t="shared" si="122"/>
        <v/>
      </c>
      <c r="BZ165">
        <f t="shared" si="123"/>
        <v>0</v>
      </c>
      <c r="CA165">
        <f t="shared" si="124"/>
        <v>12</v>
      </c>
      <c r="CC165" t="str">
        <f t="shared" si="125"/>
        <v/>
      </c>
      <c r="CI165" t="str">
        <f>IF(基础资料!$E65="","",基础资料!$E65)</f>
        <v/>
      </c>
      <c r="CJ165">
        <f t="shared" si="126"/>
        <v>0</v>
      </c>
      <c r="CK165">
        <f t="shared" si="127"/>
        <v>24</v>
      </c>
      <c r="CL165" t="str">
        <f t="shared" si="128"/>
        <v/>
      </c>
      <c r="CP165">
        <f>IF(包装物料出入库明细!$D165="",0,1)</f>
        <v>0</v>
      </c>
      <c r="CQ165">
        <f t="shared" si="129"/>
        <v>37</v>
      </c>
      <c r="CS165" t="str">
        <f>IF(OR(周转筐出入库明细!$C166="",周转筐出入库明细!$F166&lt;&gt;"采购入库"),"",周转筐出入库明细!$C166)</f>
        <v/>
      </c>
      <c r="CT165">
        <f t="shared" si="130"/>
        <v>0</v>
      </c>
      <c r="CU165">
        <f t="shared" si="131"/>
        <v>1</v>
      </c>
      <c r="CW165" t="str">
        <f>IFERROR(INDEX($CS$4:$CS$2003,MATCH(162,$CU$4:$CU$2003,0)),"")</f>
        <v/>
      </c>
    </row>
    <row r="166" spans="1:101">
      <c r="A166" t="str">
        <f>IF(包装物料出入库明细!$E166="","",包装物料出入库明细!$E166)</f>
        <v/>
      </c>
      <c r="B166">
        <f t="shared" si="92"/>
        <v>0</v>
      </c>
      <c r="C166">
        <f t="shared" si="93"/>
        <v>7</v>
      </c>
      <c r="D166" t="str">
        <f>IF(包装物料出入库明细!$E166="","",包装物料出入库明细!$F166)</f>
        <v/>
      </c>
      <c r="E166" t="str">
        <f>IF(包装物料出入库明细!$E166="","",包装物料出入库明细!$G166)</f>
        <v/>
      </c>
      <c r="K166" t="str">
        <f>IF(包装物料出入库明细!$D166="","",包装物料出入库明细!$D166)</f>
        <v/>
      </c>
      <c r="L166">
        <f t="shared" si="94"/>
        <v>0</v>
      </c>
      <c r="M166">
        <f t="shared" si="95"/>
        <v>9</v>
      </c>
      <c r="O166" t="str">
        <f t="shared" si="96"/>
        <v/>
      </c>
      <c r="Q166" t="str">
        <f>IF(周转筐出入库明细!$D167="","",周转筐出入库明细!$D167)</f>
        <v/>
      </c>
      <c r="R166">
        <f t="shared" si="97"/>
        <v>0</v>
      </c>
      <c r="S166">
        <f t="shared" si="98"/>
        <v>5</v>
      </c>
      <c r="W166" t="str">
        <f>IF(周转筐出入库明细!$C167="","",周转筐出入库明细!$C167)</f>
        <v/>
      </c>
      <c r="X166">
        <f t="shared" si="99"/>
        <v>0</v>
      </c>
      <c r="Y166">
        <f t="shared" si="100"/>
        <v>12</v>
      </c>
      <c r="AA166" t="str">
        <f t="shared" si="101"/>
        <v/>
      </c>
      <c r="AC166" t="str">
        <f>IF(客户自备加工筐明细!$C166="","",客户自备加工筐明细!$C166)</f>
        <v/>
      </c>
      <c r="AD166">
        <f t="shared" si="102"/>
        <v>0</v>
      </c>
      <c r="AE166">
        <f t="shared" si="103"/>
        <v>1</v>
      </c>
      <c r="AI166" t="str">
        <f>IF(客户自备加工筐明细!$E166="","",客户自备加工筐明细!$E166)</f>
        <v/>
      </c>
      <c r="AJ166">
        <f t="shared" si="104"/>
        <v>0</v>
      </c>
      <c r="AK166">
        <f t="shared" si="105"/>
        <v>1</v>
      </c>
      <c r="AM166" t="str">
        <f>IFERROR(INDEX($AI$4:$AI$1503,MATCH(163,$AK$4:$AK$1503,0)),"")</f>
        <v/>
      </c>
      <c r="AO166" t="str">
        <f>IF(次果筐明细!$D166="","",次果筐明细!$D166)</f>
        <v/>
      </c>
      <c r="AP166">
        <f t="shared" si="106"/>
        <v>0</v>
      </c>
      <c r="AQ166">
        <f t="shared" si="107"/>
        <v>1</v>
      </c>
      <c r="AU166" t="str">
        <f>IF(次果筐明细!$C166="","",次果筐明细!$C166)</f>
        <v/>
      </c>
      <c r="AV166">
        <f t="shared" si="108"/>
        <v>0</v>
      </c>
      <c r="AW166">
        <f t="shared" si="109"/>
        <v>1</v>
      </c>
      <c r="AY166" t="str">
        <f t="shared" si="110"/>
        <v/>
      </c>
      <c r="BA166" t="str">
        <f>IF(对接源_01水果筐数!$B167="","",对接源_01水果筐数!$B167)</f>
        <v/>
      </c>
      <c r="BB166">
        <f t="shared" si="111"/>
        <v>0</v>
      </c>
      <c r="BC166">
        <f t="shared" si="112"/>
        <v>14</v>
      </c>
      <c r="BE166" t="str">
        <f t="shared" si="113"/>
        <v/>
      </c>
      <c r="BG166" t="str">
        <f>IF(对接源_01水果筐数!$C167="","",对接源_01水果筐数!$C167)</f>
        <v/>
      </c>
      <c r="BH166">
        <f t="shared" si="114"/>
        <v>0</v>
      </c>
      <c r="BI166">
        <f t="shared" si="115"/>
        <v>7</v>
      </c>
      <c r="BM166" t="str">
        <f t="shared" si="91"/>
        <v/>
      </c>
      <c r="BN166">
        <f t="shared" si="116"/>
        <v>0</v>
      </c>
      <c r="BO166">
        <f t="shared" si="117"/>
        <v>8</v>
      </c>
      <c r="BS166" t="str">
        <f t="shared" si="118"/>
        <v/>
      </c>
      <c r="BT166">
        <f t="shared" si="119"/>
        <v>0</v>
      </c>
      <c r="BU166">
        <f t="shared" si="120"/>
        <v>9</v>
      </c>
      <c r="BW166" t="str">
        <f t="shared" si="121"/>
        <v/>
      </c>
      <c r="BY166" t="str">
        <f t="shared" si="122"/>
        <v/>
      </c>
      <c r="BZ166">
        <f t="shared" si="123"/>
        <v>0</v>
      </c>
      <c r="CA166">
        <f t="shared" si="124"/>
        <v>12</v>
      </c>
      <c r="CC166" t="str">
        <f t="shared" si="125"/>
        <v/>
      </c>
      <c r="CI166" t="str">
        <f>IF(基础资料!$E66="","",基础资料!$E66)</f>
        <v/>
      </c>
      <c r="CJ166">
        <f t="shared" si="126"/>
        <v>0</v>
      </c>
      <c r="CK166">
        <f t="shared" si="127"/>
        <v>24</v>
      </c>
      <c r="CL166" t="str">
        <f t="shared" si="128"/>
        <v/>
      </c>
      <c r="CP166">
        <f>IF(包装物料出入库明细!$D166="",0,1)</f>
        <v>0</v>
      </c>
      <c r="CQ166">
        <f t="shared" si="129"/>
        <v>37</v>
      </c>
      <c r="CS166" t="str">
        <f>IF(OR(周转筐出入库明细!$C167="",周转筐出入库明细!$F167&lt;&gt;"采购入库"),"",周转筐出入库明细!$C167)</f>
        <v/>
      </c>
      <c r="CT166">
        <f t="shared" si="130"/>
        <v>0</v>
      </c>
      <c r="CU166">
        <f t="shared" si="131"/>
        <v>1</v>
      </c>
      <c r="CW166" t="str">
        <f>IFERROR(INDEX($CS$4:$CS$2003,MATCH(163,$CU$4:$CU$2003,0)),"")</f>
        <v/>
      </c>
    </row>
    <row r="167" spans="1:101">
      <c r="A167" t="str">
        <f>IF(包装物料出入库明细!$E167="","",包装物料出入库明细!$E167)</f>
        <v/>
      </c>
      <c r="B167">
        <f t="shared" si="92"/>
        <v>0</v>
      </c>
      <c r="C167">
        <f t="shared" si="93"/>
        <v>7</v>
      </c>
      <c r="D167" t="str">
        <f>IF(包装物料出入库明细!$E167="","",包装物料出入库明细!$F167)</f>
        <v/>
      </c>
      <c r="E167" t="str">
        <f>IF(包装物料出入库明细!$E167="","",包装物料出入库明细!$G167)</f>
        <v/>
      </c>
      <c r="K167" t="str">
        <f>IF(包装物料出入库明细!$D167="","",包装物料出入库明细!$D167)</f>
        <v/>
      </c>
      <c r="L167">
        <f t="shared" si="94"/>
        <v>0</v>
      </c>
      <c r="M167">
        <f t="shared" si="95"/>
        <v>9</v>
      </c>
      <c r="O167" t="str">
        <f t="shared" si="96"/>
        <v/>
      </c>
      <c r="Q167" t="str">
        <f>IF(周转筐出入库明细!$D168="","",周转筐出入库明细!$D168)</f>
        <v/>
      </c>
      <c r="R167">
        <f t="shared" si="97"/>
        <v>0</v>
      </c>
      <c r="S167">
        <f t="shared" si="98"/>
        <v>5</v>
      </c>
      <c r="W167" t="str">
        <f>IF(周转筐出入库明细!$C168="","",周转筐出入库明细!$C168)</f>
        <v/>
      </c>
      <c r="X167">
        <f t="shared" si="99"/>
        <v>0</v>
      </c>
      <c r="Y167">
        <f t="shared" si="100"/>
        <v>12</v>
      </c>
      <c r="AA167" t="str">
        <f t="shared" si="101"/>
        <v/>
      </c>
      <c r="AC167" t="str">
        <f>IF(客户自备加工筐明细!$C167="","",客户自备加工筐明细!$C167)</f>
        <v/>
      </c>
      <c r="AD167">
        <f t="shared" si="102"/>
        <v>0</v>
      </c>
      <c r="AE167">
        <f t="shared" si="103"/>
        <v>1</v>
      </c>
      <c r="AI167" t="str">
        <f>IF(客户自备加工筐明细!$E167="","",客户自备加工筐明细!$E167)</f>
        <v/>
      </c>
      <c r="AJ167">
        <f t="shared" si="104"/>
        <v>0</v>
      </c>
      <c r="AK167">
        <f t="shared" si="105"/>
        <v>1</v>
      </c>
      <c r="AM167" t="str">
        <f>IFERROR(INDEX($AI$4:$AI$1503,MATCH(164,$AK$4:$AK$1503,0)),"")</f>
        <v/>
      </c>
      <c r="AO167" t="str">
        <f>IF(次果筐明细!$D167="","",次果筐明细!$D167)</f>
        <v/>
      </c>
      <c r="AP167">
        <f t="shared" si="106"/>
        <v>0</v>
      </c>
      <c r="AQ167">
        <f t="shared" si="107"/>
        <v>1</v>
      </c>
      <c r="AU167" t="str">
        <f>IF(次果筐明细!$C167="","",次果筐明细!$C167)</f>
        <v/>
      </c>
      <c r="AV167">
        <f t="shared" si="108"/>
        <v>0</v>
      </c>
      <c r="AW167">
        <f t="shared" si="109"/>
        <v>1</v>
      </c>
      <c r="AY167" t="str">
        <f t="shared" si="110"/>
        <v/>
      </c>
      <c r="BA167" t="str">
        <f>IF(对接源_01水果筐数!$B168="","",对接源_01水果筐数!$B168)</f>
        <v/>
      </c>
      <c r="BB167">
        <f t="shared" si="111"/>
        <v>0</v>
      </c>
      <c r="BC167">
        <f t="shared" si="112"/>
        <v>14</v>
      </c>
      <c r="BE167" t="str">
        <f t="shared" si="113"/>
        <v/>
      </c>
      <c r="BG167" t="str">
        <f>IF(对接源_01水果筐数!$C168="","",对接源_01水果筐数!$C168)</f>
        <v/>
      </c>
      <c r="BH167">
        <f t="shared" si="114"/>
        <v>0</v>
      </c>
      <c r="BI167">
        <f t="shared" si="115"/>
        <v>7</v>
      </c>
      <c r="BM167" t="str">
        <f t="shared" si="91"/>
        <v/>
      </c>
      <c r="BN167">
        <f t="shared" si="116"/>
        <v>0</v>
      </c>
      <c r="BO167">
        <f t="shared" si="117"/>
        <v>8</v>
      </c>
      <c r="BS167" t="str">
        <f t="shared" si="118"/>
        <v/>
      </c>
      <c r="BT167">
        <f t="shared" si="119"/>
        <v>0</v>
      </c>
      <c r="BU167">
        <f t="shared" si="120"/>
        <v>9</v>
      </c>
      <c r="BW167" t="str">
        <f t="shared" si="121"/>
        <v/>
      </c>
      <c r="BY167" t="str">
        <f t="shared" si="122"/>
        <v/>
      </c>
      <c r="BZ167">
        <f t="shared" si="123"/>
        <v>0</v>
      </c>
      <c r="CA167">
        <f t="shared" si="124"/>
        <v>12</v>
      </c>
      <c r="CC167" t="str">
        <f t="shared" si="125"/>
        <v/>
      </c>
      <c r="CI167" t="str">
        <f>IF(基础资料!$E67="","",基础资料!$E67)</f>
        <v/>
      </c>
      <c r="CJ167">
        <f t="shared" si="126"/>
        <v>0</v>
      </c>
      <c r="CK167">
        <f t="shared" si="127"/>
        <v>24</v>
      </c>
      <c r="CL167" t="str">
        <f t="shared" si="128"/>
        <v/>
      </c>
      <c r="CP167">
        <f>IF(包装物料出入库明细!$D167="",0,1)</f>
        <v>0</v>
      </c>
      <c r="CQ167">
        <f t="shared" si="129"/>
        <v>37</v>
      </c>
      <c r="CS167" t="str">
        <f>IF(OR(周转筐出入库明细!$C168="",周转筐出入库明细!$F168&lt;&gt;"采购入库"),"",周转筐出入库明细!$C168)</f>
        <v/>
      </c>
      <c r="CT167">
        <f t="shared" si="130"/>
        <v>0</v>
      </c>
      <c r="CU167">
        <f t="shared" si="131"/>
        <v>1</v>
      </c>
      <c r="CW167" t="str">
        <f>IFERROR(INDEX($CS$4:$CS$2003,MATCH(164,$CU$4:$CU$2003,0)),"")</f>
        <v/>
      </c>
    </row>
    <row r="168" spans="1:101">
      <c r="A168" t="str">
        <f>IF(包装物料出入库明细!$E168="","",包装物料出入库明细!$E168)</f>
        <v/>
      </c>
      <c r="B168">
        <f t="shared" si="92"/>
        <v>0</v>
      </c>
      <c r="C168">
        <f t="shared" si="93"/>
        <v>7</v>
      </c>
      <c r="D168" t="str">
        <f>IF(包装物料出入库明细!$E168="","",包装物料出入库明细!$F168)</f>
        <v/>
      </c>
      <c r="E168" t="str">
        <f>IF(包装物料出入库明细!$E168="","",包装物料出入库明细!$G168)</f>
        <v/>
      </c>
      <c r="K168" t="str">
        <f>IF(包装物料出入库明细!$D168="","",包装物料出入库明细!$D168)</f>
        <v/>
      </c>
      <c r="L168">
        <f t="shared" si="94"/>
        <v>0</v>
      </c>
      <c r="M168">
        <f t="shared" si="95"/>
        <v>9</v>
      </c>
      <c r="O168" t="str">
        <f t="shared" si="96"/>
        <v/>
      </c>
      <c r="Q168" t="str">
        <f>IF(周转筐出入库明细!$D169="","",周转筐出入库明细!$D169)</f>
        <v/>
      </c>
      <c r="R168">
        <f t="shared" si="97"/>
        <v>0</v>
      </c>
      <c r="S168">
        <f t="shared" si="98"/>
        <v>5</v>
      </c>
      <c r="W168" t="str">
        <f>IF(周转筐出入库明细!$C169="","",周转筐出入库明细!$C169)</f>
        <v/>
      </c>
      <c r="X168">
        <f t="shared" si="99"/>
        <v>0</v>
      </c>
      <c r="Y168">
        <f t="shared" si="100"/>
        <v>12</v>
      </c>
      <c r="AA168" t="str">
        <f t="shared" si="101"/>
        <v/>
      </c>
      <c r="AC168" t="str">
        <f>IF(客户自备加工筐明细!$C168="","",客户自备加工筐明细!$C168)</f>
        <v/>
      </c>
      <c r="AD168">
        <f t="shared" si="102"/>
        <v>0</v>
      </c>
      <c r="AE168">
        <f t="shared" si="103"/>
        <v>1</v>
      </c>
      <c r="AI168" t="str">
        <f>IF(客户自备加工筐明细!$E168="","",客户自备加工筐明细!$E168)</f>
        <v/>
      </c>
      <c r="AJ168">
        <f t="shared" si="104"/>
        <v>0</v>
      </c>
      <c r="AK168">
        <f t="shared" si="105"/>
        <v>1</v>
      </c>
      <c r="AM168" t="str">
        <f>IFERROR(INDEX($AI$4:$AI$1503,MATCH(165,$AK$4:$AK$1503,0)),"")</f>
        <v/>
      </c>
      <c r="AO168" t="str">
        <f>IF(次果筐明细!$D168="","",次果筐明细!$D168)</f>
        <v/>
      </c>
      <c r="AP168">
        <f t="shared" si="106"/>
        <v>0</v>
      </c>
      <c r="AQ168">
        <f t="shared" si="107"/>
        <v>1</v>
      </c>
      <c r="AU168" t="str">
        <f>IF(次果筐明细!$C168="","",次果筐明细!$C168)</f>
        <v/>
      </c>
      <c r="AV168">
        <f t="shared" si="108"/>
        <v>0</v>
      </c>
      <c r="AW168">
        <f t="shared" si="109"/>
        <v>1</v>
      </c>
      <c r="AY168" t="str">
        <f t="shared" si="110"/>
        <v/>
      </c>
      <c r="BA168" t="str">
        <f>IF(对接源_01水果筐数!$B169="","",对接源_01水果筐数!$B169)</f>
        <v/>
      </c>
      <c r="BB168">
        <f t="shared" si="111"/>
        <v>0</v>
      </c>
      <c r="BC168">
        <f t="shared" si="112"/>
        <v>14</v>
      </c>
      <c r="BE168" t="str">
        <f t="shared" si="113"/>
        <v/>
      </c>
      <c r="BG168" t="str">
        <f>IF(对接源_01水果筐数!$C169="","",对接源_01水果筐数!$C169)</f>
        <v/>
      </c>
      <c r="BH168">
        <f t="shared" si="114"/>
        <v>0</v>
      </c>
      <c r="BI168">
        <f t="shared" si="115"/>
        <v>7</v>
      </c>
      <c r="BM168" t="str">
        <f t="shared" si="91"/>
        <v/>
      </c>
      <c r="BN168">
        <f t="shared" si="116"/>
        <v>0</v>
      </c>
      <c r="BO168">
        <f t="shared" si="117"/>
        <v>8</v>
      </c>
      <c r="BS168" t="str">
        <f t="shared" si="118"/>
        <v/>
      </c>
      <c r="BT168">
        <f t="shared" si="119"/>
        <v>0</v>
      </c>
      <c r="BU168">
        <f t="shared" si="120"/>
        <v>9</v>
      </c>
      <c r="BW168" t="str">
        <f t="shared" si="121"/>
        <v/>
      </c>
      <c r="BY168" t="str">
        <f t="shared" si="122"/>
        <v/>
      </c>
      <c r="BZ168">
        <f t="shared" si="123"/>
        <v>0</v>
      </c>
      <c r="CA168">
        <f t="shared" si="124"/>
        <v>12</v>
      </c>
      <c r="CC168" t="str">
        <f t="shared" si="125"/>
        <v/>
      </c>
      <c r="CI168" t="str">
        <f>IF(基础资料!$E68="","",基础资料!$E68)</f>
        <v/>
      </c>
      <c r="CJ168">
        <f t="shared" si="126"/>
        <v>0</v>
      </c>
      <c r="CK168">
        <f t="shared" si="127"/>
        <v>24</v>
      </c>
      <c r="CL168" t="str">
        <f t="shared" si="128"/>
        <v/>
      </c>
      <c r="CP168">
        <f>IF(包装物料出入库明细!$D168="",0,1)</f>
        <v>0</v>
      </c>
      <c r="CQ168">
        <f t="shared" si="129"/>
        <v>37</v>
      </c>
      <c r="CS168" t="str">
        <f>IF(OR(周转筐出入库明细!$C169="",周转筐出入库明细!$F169&lt;&gt;"采购入库"),"",周转筐出入库明细!$C169)</f>
        <v/>
      </c>
      <c r="CT168">
        <f t="shared" si="130"/>
        <v>0</v>
      </c>
      <c r="CU168">
        <f t="shared" si="131"/>
        <v>1</v>
      </c>
      <c r="CW168" t="str">
        <f>IFERROR(INDEX($CS$4:$CS$2003,MATCH(165,$CU$4:$CU$2003,0)),"")</f>
        <v/>
      </c>
    </row>
    <row r="169" spans="1:101">
      <c r="A169" t="str">
        <f>IF(包装物料出入库明细!$E169="","",包装物料出入库明细!$E169)</f>
        <v/>
      </c>
      <c r="B169">
        <f t="shared" si="92"/>
        <v>0</v>
      </c>
      <c r="C169">
        <f t="shared" si="93"/>
        <v>7</v>
      </c>
      <c r="D169" t="str">
        <f>IF(包装物料出入库明细!$E169="","",包装物料出入库明细!$F169)</f>
        <v/>
      </c>
      <c r="E169" t="str">
        <f>IF(包装物料出入库明细!$E169="","",包装物料出入库明细!$G169)</f>
        <v/>
      </c>
      <c r="K169" t="str">
        <f>IF(包装物料出入库明细!$D169="","",包装物料出入库明细!$D169)</f>
        <v/>
      </c>
      <c r="L169">
        <f t="shared" si="94"/>
        <v>0</v>
      </c>
      <c r="M169">
        <f t="shared" si="95"/>
        <v>9</v>
      </c>
      <c r="O169" t="str">
        <f t="shared" si="96"/>
        <v/>
      </c>
      <c r="Q169" t="str">
        <f>IF(周转筐出入库明细!$D170="","",周转筐出入库明细!$D170)</f>
        <v/>
      </c>
      <c r="R169">
        <f t="shared" si="97"/>
        <v>0</v>
      </c>
      <c r="S169">
        <f t="shared" si="98"/>
        <v>5</v>
      </c>
      <c r="W169" t="str">
        <f>IF(周转筐出入库明细!$C170="","",周转筐出入库明细!$C170)</f>
        <v/>
      </c>
      <c r="X169">
        <f t="shared" si="99"/>
        <v>0</v>
      </c>
      <c r="Y169">
        <f t="shared" si="100"/>
        <v>12</v>
      </c>
      <c r="AA169" t="str">
        <f t="shared" si="101"/>
        <v/>
      </c>
      <c r="AC169" t="str">
        <f>IF(客户自备加工筐明细!$C169="","",客户自备加工筐明细!$C169)</f>
        <v/>
      </c>
      <c r="AD169">
        <f t="shared" si="102"/>
        <v>0</v>
      </c>
      <c r="AE169">
        <f t="shared" si="103"/>
        <v>1</v>
      </c>
      <c r="AI169" t="str">
        <f>IF(客户自备加工筐明细!$E169="","",客户自备加工筐明细!$E169)</f>
        <v/>
      </c>
      <c r="AJ169">
        <f t="shared" si="104"/>
        <v>0</v>
      </c>
      <c r="AK169">
        <f t="shared" si="105"/>
        <v>1</v>
      </c>
      <c r="AM169" t="str">
        <f>IFERROR(INDEX($AI$4:$AI$1503,MATCH(166,$AK$4:$AK$1503,0)),"")</f>
        <v/>
      </c>
      <c r="AO169" t="str">
        <f>IF(次果筐明细!$D169="","",次果筐明细!$D169)</f>
        <v/>
      </c>
      <c r="AP169">
        <f t="shared" si="106"/>
        <v>0</v>
      </c>
      <c r="AQ169">
        <f t="shared" si="107"/>
        <v>1</v>
      </c>
      <c r="AU169" t="str">
        <f>IF(次果筐明细!$C169="","",次果筐明细!$C169)</f>
        <v/>
      </c>
      <c r="AV169">
        <f t="shared" si="108"/>
        <v>0</v>
      </c>
      <c r="AW169">
        <f t="shared" si="109"/>
        <v>1</v>
      </c>
      <c r="AY169" t="str">
        <f t="shared" si="110"/>
        <v/>
      </c>
      <c r="BA169" t="str">
        <f>IF(对接源_01水果筐数!$B170="","",对接源_01水果筐数!$B170)</f>
        <v/>
      </c>
      <c r="BB169">
        <f t="shared" si="111"/>
        <v>0</v>
      </c>
      <c r="BC169">
        <f t="shared" si="112"/>
        <v>14</v>
      </c>
      <c r="BE169" t="str">
        <f t="shared" si="113"/>
        <v/>
      </c>
      <c r="BG169" t="str">
        <f>IF(对接源_01水果筐数!$C170="","",对接源_01水果筐数!$C170)</f>
        <v/>
      </c>
      <c r="BH169">
        <f t="shared" si="114"/>
        <v>0</v>
      </c>
      <c r="BI169">
        <f t="shared" si="115"/>
        <v>7</v>
      </c>
      <c r="BM169" t="str">
        <f t="shared" si="91"/>
        <v/>
      </c>
      <c r="BN169">
        <f t="shared" si="116"/>
        <v>0</v>
      </c>
      <c r="BO169">
        <f t="shared" si="117"/>
        <v>8</v>
      </c>
      <c r="BS169" t="str">
        <f t="shared" si="118"/>
        <v/>
      </c>
      <c r="BT169">
        <f t="shared" si="119"/>
        <v>0</v>
      </c>
      <c r="BU169">
        <f t="shared" si="120"/>
        <v>9</v>
      </c>
      <c r="BW169" t="str">
        <f t="shared" si="121"/>
        <v/>
      </c>
      <c r="BY169" t="str">
        <f t="shared" si="122"/>
        <v/>
      </c>
      <c r="BZ169">
        <f t="shared" si="123"/>
        <v>0</v>
      </c>
      <c r="CA169">
        <f t="shared" si="124"/>
        <v>12</v>
      </c>
      <c r="CC169" t="str">
        <f t="shared" si="125"/>
        <v/>
      </c>
      <c r="CI169" t="str">
        <f>IF(基础资料!$E69="","",基础资料!$E69)</f>
        <v/>
      </c>
      <c r="CJ169">
        <f t="shared" si="126"/>
        <v>0</v>
      </c>
      <c r="CK169">
        <f t="shared" si="127"/>
        <v>24</v>
      </c>
      <c r="CL169" t="str">
        <f t="shared" si="128"/>
        <v/>
      </c>
      <c r="CP169">
        <f>IF(包装物料出入库明细!$D169="",0,1)</f>
        <v>0</v>
      </c>
      <c r="CQ169">
        <f t="shared" si="129"/>
        <v>37</v>
      </c>
      <c r="CS169" t="str">
        <f>IF(OR(周转筐出入库明细!$C170="",周转筐出入库明细!$F170&lt;&gt;"采购入库"),"",周转筐出入库明细!$C170)</f>
        <v/>
      </c>
      <c r="CT169">
        <f t="shared" si="130"/>
        <v>0</v>
      </c>
      <c r="CU169">
        <f t="shared" si="131"/>
        <v>1</v>
      </c>
      <c r="CW169" t="str">
        <f>IFERROR(INDEX($CS$4:$CS$2003,MATCH(166,$CU$4:$CU$2003,0)),"")</f>
        <v/>
      </c>
    </row>
    <row r="170" spans="1:101">
      <c r="A170" t="str">
        <f>IF(包装物料出入库明细!$E170="","",包装物料出入库明细!$E170)</f>
        <v/>
      </c>
      <c r="B170">
        <f t="shared" si="92"/>
        <v>0</v>
      </c>
      <c r="C170">
        <f t="shared" si="93"/>
        <v>7</v>
      </c>
      <c r="D170" t="str">
        <f>IF(包装物料出入库明细!$E170="","",包装物料出入库明细!$F170)</f>
        <v/>
      </c>
      <c r="E170" t="str">
        <f>IF(包装物料出入库明细!$E170="","",包装物料出入库明细!$G170)</f>
        <v/>
      </c>
      <c r="K170" t="str">
        <f>IF(包装物料出入库明细!$D170="","",包装物料出入库明细!$D170)</f>
        <v/>
      </c>
      <c r="L170">
        <f t="shared" si="94"/>
        <v>0</v>
      </c>
      <c r="M170">
        <f t="shared" si="95"/>
        <v>9</v>
      </c>
      <c r="O170" t="str">
        <f t="shared" si="96"/>
        <v/>
      </c>
      <c r="Q170" t="str">
        <f>IF(周转筐出入库明细!$D171="","",周转筐出入库明细!$D171)</f>
        <v/>
      </c>
      <c r="R170">
        <f t="shared" si="97"/>
        <v>0</v>
      </c>
      <c r="S170">
        <f t="shared" si="98"/>
        <v>5</v>
      </c>
      <c r="W170" t="str">
        <f>IF(周转筐出入库明细!$C171="","",周转筐出入库明细!$C171)</f>
        <v/>
      </c>
      <c r="X170">
        <f t="shared" si="99"/>
        <v>0</v>
      </c>
      <c r="Y170">
        <f t="shared" si="100"/>
        <v>12</v>
      </c>
      <c r="AA170" t="str">
        <f t="shared" si="101"/>
        <v/>
      </c>
      <c r="AC170" t="str">
        <f>IF(客户自备加工筐明细!$C170="","",客户自备加工筐明细!$C170)</f>
        <v/>
      </c>
      <c r="AD170">
        <f t="shared" si="102"/>
        <v>0</v>
      </c>
      <c r="AE170">
        <f t="shared" si="103"/>
        <v>1</v>
      </c>
      <c r="AI170" t="str">
        <f>IF(客户自备加工筐明细!$E170="","",客户自备加工筐明细!$E170)</f>
        <v/>
      </c>
      <c r="AJ170">
        <f t="shared" si="104"/>
        <v>0</v>
      </c>
      <c r="AK170">
        <f t="shared" si="105"/>
        <v>1</v>
      </c>
      <c r="AM170" t="str">
        <f>IFERROR(INDEX($AI$4:$AI$1503,MATCH(167,$AK$4:$AK$1503,0)),"")</f>
        <v/>
      </c>
      <c r="AO170" t="str">
        <f>IF(次果筐明细!$D170="","",次果筐明细!$D170)</f>
        <v/>
      </c>
      <c r="AP170">
        <f t="shared" si="106"/>
        <v>0</v>
      </c>
      <c r="AQ170">
        <f t="shared" si="107"/>
        <v>1</v>
      </c>
      <c r="AU170" t="str">
        <f>IF(次果筐明细!$C170="","",次果筐明细!$C170)</f>
        <v/>
      </c>
      <c r="AV170">
        <f t="shared" si="108"/>
        <v>0</v>
      </c>
      <c r="AW170">
        <f t="shared" si="109"/>
        <v>1</v>
      </c>
      <c r="AY170" t="str">
        <f t="shared" si="110"/>
        <v/>
      </c>
      <c r="BA170" t="str">
        <f>IF(对接源_01水果筐数!$B171="","",对接源_01水果筐数!$B171)</f>
        <v/>
      </c>
      <c r="BB170">
        <f t="shared" si="111"/>
        <v>0</v>
      </c>
      <c r="BC170">
        <f t="shared" si="112"/>
        <v>14</v>
      </c>
      <c r="BE170" t="str">
        <f t="shared" si="113"/>
        <v/>
      </c>
      <c r="BG170" t="str">
        <f>IF(对接源_01水果筐数!$C171="","",对接源_01水果筐数!$C171)</f>
        <v/>
      </c>
      <c r="BH170">
        <f t="shared" si="114"/>
        <v>0</v>
      </c>
      <c r="BI170">
        <f t="shared" si="115"/>
        <v>7</v>
      </c>
      <c r="BM170" t="str">
        <f t="shared" si="91"/>
        <v/>
      </c>
      <c r="BN170">
        <f t="shared" si="116"/>
        <v>0</v>
      </c>
      <c r="BO170">
        <f t="shared" si="117"/>
        <v>8</v>
      </c>
      <c r="BS170" t="str">
        <f t="shared" si="118"/>
        <v/>
      </c>
      <c r="BT170">
        <f t="shared" si="119"/>
        <v>0</v>
      </c>
      <c r="BU170">
        <f t="shared" si="120"/>
        <v>9</v>
      </c>
      <c r="BW170" t="str">
        <f t="shared" si="121"/>
        <v/>
      </c>
      <c r="BY170" t="str">
        <f t="shared" si="122"/>
        <v/>
      </c>
      <c r="BZ170">
        <f t="shared" si="123"/>
        <v>0</v>
      </c>
      <c r="CA170">
        <f t="shared" si="124"/>
        <v>12</v>
      </c>
      <c r="CC170" t="str">
        <f t="shared" si="125"/>
        <v/>
      </c>
      <c r="CI170" t="str">
        <f>IF(基础资料!$E70="","",基础资料!$E70)</f>
        <v/>
      </c>
      <c r="CJ170">
        <f t="shared" si="126"/>
        <v>0</v>
      </c>
      <c r="CK170">
        <f t="shared" si="127"/>
        <v>24</v>
      </c>
      <c r="CL170" t="str">
        <f t="shared" si="128"/>
        <v/>
      </c>
      <c r="CP170">
        <f>IF(包装物料出入库明细!$D170="",0,1)</f>
        <v>0</v>
      </c>
      <c r="CQ170">
        <f t="shared" si="129"/>
        <v>37</v>
      </c>
      <c r="CS170" t="str">
        <f>IF(OR(周转筐出入库明细!$C171="",周转筐出入库明细!$F171&lt;&gt;"采购入库"),"",周转筐出入库明细!$C171)</f>
        <v/>
      </c>
      <c r="CT170">
        <f t="shared" si="130"/>
        <v>0</v>
      </c>
      <c r="CU170">
        <f t="shared" si="131"/>
        <v>1</v>
      </c>
      <c r="CW170" t="str">
        <f>IFERROR(INDEX($CS$4:$CS$2003,MATCH(167,$CU$4:$CU$2003,0)),"")</f>
        <v/>
      </c>
    </row>
    <row r="171" spans="1:101">
      <c r="A171" t="str">
        <f>IF(包装物料出入库明细!$E171="","",包装物料出入库明细!$E171)</f>
        <v/>
      </c>
      <c r="B171">
        <f t="shared" si="92"/>
        <v>0</v>
      </c>
      <c r="C171">
        <f t="shared" si="93"/>
        <v>7</v>
      </c>
      <c r="D171" t="str">
        <f>IF(包装物料出入库明细!$E171="","",包装物料出入库明细!$F171)</f>
        <v/>
      </c>
      <c r="E171" t="str">
        <f>IF(包装物料出入库明细!$E171="","",包装物料出入库明细!$G171)</f>
        <v/>
      </c>
      <c r="K171" t="str">
        <f>IF(包装物料出入库明细!$D171="","",包装物料出入库明细!$D171)</f>
        <v/>
      </c>
      <c r="L171">
        <f t="shared" si="94"/>
        <v>0</v>
      </c>
      <c r="M171">
        <f t="shared" si="95"/>
        <v>9</v>
      </c>
      <c r="O171" t="str">
        <f t="shared" si="96"/>
        <v/>
      </c>
      <c r="Q171" t="str">
        <f>IF(周转筐出入库明细!$D172="","",周转筐出入库明细!$D172)</f>
        <v/>
      </c>
      <c r="R171">
        <f t="shared" si="97"/>
        <v>0</v>
      </c>
      <c r="S171">
        <f t="shared" si="98"/>
        <v>5</v>
      </c>
      <c r="W171" t="str">
        <f>IF(周转筐出入库明细!$C172="","",周转筐出入库明细!$C172)</f>
        <v/>
      </c>
      <c r="X171">
        <f t="shared" si="99"/>
        <v>0</v>
      </c>
      <c r="Y171">
        <f t="shared" si="100"/>
        <v>12</v>
      </c>
      <c r="AA171" t="str">
        <f t="shared" si="101"/>
        <v/>
      </c>
      <c r="AC171" t="str">
        <f>IF(客户自备加工筐明细!$C171="","",客户自备加工筐明细!$C171)</f>
        <v/>
      </c>
      <c r="AD171">
        <f t="shared" si="102"/>
        <v>0</v>
      </c>
      <c r="AE171">
        <f t="shared" si="103"/>
        <v>1</v>
      </c>
      <c r="AI171" t="str">
        <f>IF(客户自备加工筐明细!$E171="","",客户自备加工筐明细!$E171)</f>
        <v/>
      </c>
      <c r="AJ171">
        <f t="shared" si="104"/>
        <v>0</v>
      </c>
      <c r="AK171">
        <f t="shared" si="105"/>
        <v>1</v>
      </c>
      <c r="AM171" t="str">
        <f>IFERROR(INDEX($AI$4:$AI$1503,MATCH(168,$AK$4:$AK$1503,0)),"")</f>
        <v/>
      </c>
      <c r="AO171" t="str">
        <f>IF(次果筐明细!$D171="","",次果筐明细!$D171)</f>
        <v/>
      </c>
      <c r="AP171">
        <f t="shared" si="106"/>
        <v>0</v>
      </c>
      <c r="AQ171">
        <f t="shared" si="107"/>
        <v>1</v>
      </c>
      <c r="AU171" t="str">
        <f>IF(次果筐明细!$C171="","",次果筐明细!$C171)</f>
        <v/>
      </c>
      <c r="AV171">
        <f t="shared" si="108"/>
        <v>0</v>
      </c>
      <c r="AW171">
        <f t="shared" si="109"/>
        <v>1</v>
      </c>
      <c r="AY171" t="str">
        <f t="shared" si="110"/>
        <v/>
      </c>
      <c r="BA171" t="str">
        <f>IF(对接源_01水果筐数!$B172="","",对接源_01水果筐数!$B172)</f>
        <v/>
      </c>
      <c r="BB171">
        <f t="shared" si="111"/>
        <v>0</v>
      </c>
      <c r="BC171">
        <f t="shared" si="112"/>
        <v>14</v>
      </c>
      <c r="BE171" t="str">
        <f t="shared" si="113"/>
        <v/>
      </c>
      <c r="BG171" t="str">
        <f>IF(对接源_01水果筐数!$C172="","",对接源_01水果筐数!$C172)</f>
        <v/>
      </c>
      <c r="BH171">
        <f t="shared" si="114"/>
        <v>0</v>
      </c>
      <c r="BI171">
        <f t="shared" si="115"/>
        <v>7</v>
      </c>
      <c r="BM171" t="str">
        <f t="shared" si="91"/>
        <v/>
      </c>
      <c r="BN171">
        <f t="shared" si="116"/>
        <v>0</v>
      </c>
      <c r="BO171">
        <f t="shared" si="117"/>
        <v>8</v>
      </c>
      <c r="BS171" t="str">
        <f t="shared" si="118"/>
        <v/>
      </c>
      <c r="BT171">
        <f t="shared" si="119"/>
        <v>0</v>
      </c>
      <c r="BU171">
        <f t="shared" si="120"/>
        <v>9</v>
      </c>
      <c r="BW171" t="str">
        <f t="shared" si="121"/>
        <v/>
      </c>
      <c r="BY171" t="str">
        <f t="shared" si="122"/>
        <v/>
      </c>
      <c r="BZ171">
        <f t="shared" si="123"/>
        <v>0</v>
      </c>
      <c r="CA171">
        <f t="shared" si="124"/>
        <v>12</v>
      </c>
      <c r="CC171" t="str">
        <f t="shared" si="125"/>
        <v/>
      </c>
      <c r="CI171" t="str">
        <f>IF(基础资料!$E71="","",基础资料!$E71)</f>
        <v/>
      </c>
      <c r="CJ171">
        <f t="shared" si="126"/>
        <v>0</v>
      </c>
      <c r="CK171">
        <f t="shared" si="127"/>
        <v>24</v>
      </c>
      <c r="CL171" t="str">
        <f t="shared" si="128"/>
        <v/>
      </c>
      <c r="CP171">
        <f>IF(包装物料出入库明细!$D171="",0,1)</f>
        <v>0</v>
      </c>
      <c r="CQ171">
        <f t="shared" si="129"/>
        <v>37</v>
      </c>
      <c r="CS171" t="str">
        <f>IF(OR(周转筐出入库明细!$C172="",周转筐出入库明细!$F172&lt;&gt;"采购入库"),"",周转筐出入库明细!$C172)</f>
        <v/>
      </c>
      <c r="CT171">
        <f t="shared" si="130"/>
        <v>0</v>
      </c>
      <c r="CU171">
        <f t="shared" si="131"/>
        <v>1</v>
      </c>
      <c r="CW171" t="str">
        <f>IFERROR(INDEX($CS$4:$CS$2003,MATCH(168,$CU$4:$CU$2003,0)),"")</f>
        <v/>
      </c>
    </row>
    <row r="172" spans="1:101">
      <c r="A172" t="str">
        <f>IF(包装物料出入库明细!$E172="","",包装物料出入库明细!$E172)</f>
        <v/>
      </c>
      <c r="B172">
        <f t="shared" si="92"/>
        <v>0</v>
      </c>
      <c r="C172">
        <f t="shared" si="93"/>
        <v>7</v>
      </c>
      <c r="D172" t="str">
        <f>IF(包装物料出入库明细!$E172="","",包装物料出入库明细!$F172)</f>
        <v/>
      </c>
      <c r="E172" t="str">
        <f>IF(包装物料出入库明细!$E172="","",包装物料出入库明细!$G172)</f>
        <v/>
      </c>
      <c r="K172" t="str">
        <f>IF(包装物料出入库明细!$D172="","",包装物料出入库明细!$D172)</f>
        <v/>
      </c>
      <c r="L172">
        <f t="shared" si="94"/>
        <v>0</v>
      </c>
      <c r="M172">
        <f t="shared" si="95"/>
        <v>9</v>
      </c>
      <c r="O172" t="str">
        <f t="shared" si="96"/>
        <v/>
      </c>
      <c r="Q172" t="str">
        <f>IF(周转筐出入库明细!$D173="","",周转筐出入库明细!$D173)</f>
        <v/>
      </c>
      <c r="R172">
        <f t="shared" si="97"/>
        <v>0</v>
      </c>
      <c r="S172">
        <f t="shared" si="98"/>
        <v>5</v>
      </c>
      <c r="W172" t="str">
        <f>IF(周转筐出入库明细!$C173="","",周转筐出入库明细!$C173)</f>
        <v/>
      </c>
      <c r="X172">
        <f t="shared" si="99"/>
        <v>0</v>
      </c>
      <c r="Y172">
        <f t="shared" si="100"/>
        <v>12</v>
      </c>
      <c r="AA172" t="str">
        <f t="shared" si="101"/>
        <v/>
      </c>
      <c r="AC172" t="str">
        <f>IF(客户自备加工筐明细!$C172="","",客户自备加工筐明细!$C172)</f>
        <v/>
      </c>
      <c r="AD172">
        <f t="shared" si="102"/>
        <v>0</v>
      </c>
      <c r="AE172">
        <f t="shared" si="103"/>
        <v>1</v>
      </c>
      <c r="AI172" t="str">
        <f>IF(客户自备加工筐明细!$E172="","",客户自备加工筐明细!$E172)</f>
        <v/>
      </c>
      <c r="AJ172">
        <f t="shared" si="104"/>
        <v>0</v>
      </c>
      <c r="AK172">
        <f t="shared" si="105"/>
        <v>1</v>
      </c>
      <c r="AM172" t="str">
        <f>IFERROR(INDEX($AI$4:$AI$1503,MATCH(169,$AK$4:$AK$1503,0)),"")</f>
        <v/>
      </c>
      <c r="AO172" t="str">
        <f>IF(次果筐明细!$D172="","",次果筐明细!$D172)</f>
        <v/>
      </c>
      <c r="AP172">
        <f t="shared" si="106"/>
        <v>0</v>
      </c>
      <c r="AQ172">
        <f t="shared" si="107"/>
        <v>1</v>
      </c>
      <c r="AU172" t="str">
        <f>IF(次果筐明细!$C172="","",次果筐明细!$C172)</f>
        <v/>
      </c>
      <c r="AV172">
        <f t="shared" si="108"/>
        <v>0</v>
      </c>
      <c r="AW172">
        <f t="shared" si="109"/>
        <v>1</v>
      </c>
      <c r="AY172" t="str">
        <f t="shared" si="110"/>
        <v/>
      </c>
      <c r="BA172" t="str">
        <f>IF(对接源_01水果筐数!$B173="","",对接源_01水果筐数!$B173)</f>
        <v/>
      </c>
      <c r="BB172">
        <f t="shared" si="111"/>
        <v>0</v>
      </c>
      <c r="BC172">
        <f t="shared" si="112"/>
        <v>14</v>
      </c>
      <c r="BE172" t="str">
        <f t="shared" si="113"/>
        <v/>
      </c>
      <c r="BG172" t="str">
        <f>IF(对接源_01水果筐数!$C173="","",对接源_01水果筐数!$C173)</f>
        <v/>
      </c>
      <c r="BH172">
        <f t="shared" si="114"/>
        <v>0</v>
      </c>
      <c r="BI172">
        <f t="shared" si="115"/>
        <v>7</v>
      </c>
      <c r="BM172" t="str">
        <f t="shared" si="91"/>
        <v/>
      </c>
      <c r="BN172">
        <f t="shared" si="116"/>
        <v>0</v>
      </c>
      <c r="BO172">
        <f t="shared" si="117"/>
        <v>8</v>
      </c>
      <c r="BS172" t="str">
        <f t="shared" si="118"/>
        <v/>
      </c>
      <c r="BT172">
        <f t="shared" si="119"/>
        <v>0</v>
      </c>
      <c r="BU172">
        <f t="shared" si="120"/>
        <v>9</v>
      </c>
      <c r="BW172" t="str">
        <f t="shared" si="121"/>
        <v/>
      </c>
      <c r="BY172" t="str">
        <f t="shared" si="122"/>
        <v/>
      </c>
      <c r="BZ172">
        <f t="shared" si="123"/>
        <v>0</v>
      </c>
      <c r="CA172">
        <f t="shared" si="124"/>
        <v>12</v>
      </c>
      <c r="CC172" t="str">
        <f t="shared" si="125"/>
        <v/>
      </c>
      <c r="CI172" t="str">
        <f>IF(基础资料!$E72="","",基础资料!$E72)</f>
        <v/>
      </c>
      <c r="CJ172">
        <f t="shared" si="126"/>
        <v>0</v>
      </c>
      <c r="CK172">
        <f t="shared" si="127"/>
        <v>24</v>
      </c>
      <c r="CL172" t="str">
        <f t="shared" si="128"/>
        <v/>
      </c>
      <c r="CP172">
        <f>IF(包装物料出入库明细!$D172="",0,1)</f>
        <v>0</v>
      </c>
      <c r="CQ172">
        <f t="shared" si="129"/>
        <v>37</v>
      </c>
      <c r="CS172" t="str">
        <f>IF(OR(周转筐出入库明细!$C173="",周转筐出入库明细!$F173&lt;&gt;"采购入库"),"",周转筐出入库明细!$C173)</f>
        <v/>
      </c>
      <c r="CT172">
        <f t="shared" si="130"/>
        <v>0</v>
      </c>
      <c r="CU172">
        <f t="shared" si="131"/>
        <v>1</v>
      </c>
      <c r="CW172" t="str">
        <f>IFERROR(INDEX($CS$4:$CS$2003,MATCH(169,$CU$4:$CU$2003,0)),"")</f>
        <v/>
      </c>
    </row>
    <row r="173" spans="1:101">
      <c r="A173" t="str">
        <f>IF(包装物料出入库明细!$E173="","",包装物料出入库明细!$E173)</f>
        <v/>
      </c>
      <c r="B173">
        <f t="shared" si="92"/>
        <v>0</v>
      </c>
      <c r="C173">
        <f t="shared" si="93"/>
        <v>7</v>
      </c>
      <c r="D173" t="str">
        <f>IF(包装物料出入库明细!$E173="","",包装物料出入库明细!$F173)</f>
        <v/>
      </c>
      <c r="E173" t="str">
        <f>IF(包装物料出入库明细!$E173="","",包装物料出入库明细!$G173)</f>
        <v/>
      </c>
      <c r="K173" t="str">
        <f>IF(包装物料出入库明细!$D173="","",包装物料出入库明细!$D173)</f>
        <v/>
      </c>
      <c r="L173">
        <f t="shared" si="94"/>
        <v>0</v>
      </c>
      <c r="M173">
        <f t="shared" si="95"/>
        <v>9</v>
      </c>
      <c r="O173" t="str">
        <f t="shared" si="96"/>
        <v/>
      </c>
      <c r="Q173" t="str">
        <f>IF(周转筐出入库明细!$D174="","",周转筐出入库明细!$D174)</f>
        <v/>
      </c>
      <c r="R173">
        <f t="shared" si="97"/>
        <v>0</v>
      </c>
      <c r="S173">
        <f t="shared" si="98"/>
        <v>5</v>
      </c>
      <c r="W173" t="str">
        <f>IF(周转筐出入库明细!$C174="","",周转筐出入库明细!$C174)</f>
        <v/>
      </c>
      <c r="X173">
        <f t="shared" si="99"/>
        <v>0</v>
      </c>
      <c r="Y173">
        <f t="shared" si="100"/>
        <v>12</v>
      </c>
      <c r="AA173" t="str">
        <f t="shared" si="101"/>
        <v/>
      </c>
      <c r="AC173" t="str">
        <f>IF(客户自备加工筐明细!$C173="","",客户自备加工筐明细!$C173)</f>
        <v/>
      </c>
      <c r="AD173">
        <f t="shared" si="102"/>
        <v>0</v>
      </c>
      <c r="AE173">
        <f t="shared" si="103"/>
        <v>1</v>
      </c>
      <c r="AI173" t="str">
        <f>IF(客户自备加工筐明细!$E173="","",客户自备加工筐明细!$E173)</f>
        <v/>
      </c>
      <c r="AJ173">
        <f t="shared" si="104"/>
        <v>0</v>
      </c>
      <c r="AK173">
        <f t="shared" si="105"/>
        <v>1</v>
      </c>
      <c r="AM173" t="str">
        <f>IFERROR(INDEX($AI$4:$AI$1503,MATCH(170,$AK$4:$AK$1503,0)),"")</f>
        <v/>
      </c>
      <c r="AO173" t="str">
        <f>IF(次果筐明细!$D173="","",次果筐明细!$D173)</f>
        <v/>
      </c>
      <c r="AP173">
        <f t="shared" si="106"/>
        <v>0</v>
      </c>
      <c r="AQ173">
        <f t="shared" si="107"/>
        <v>1</v>
      </c>
      <c r="AU173" t="str">
        <f>IF(次果筐明细!$C173="","",次果筐明细!$C173)</f>
        <v/>
      </c>
      <c r="AV173">
        <f t="shared" si="108"/>
        <v>0</v>
      </c>
      <c r="AW173">
        <f t="shared" si="109"/>
        <v>1</v>
      </c>
      <c r="AY173" t="str">
        <f t="shared" si="110"/>
        <v/>
      </c>
      <c r="BA173" t="str">
        <f>IF(对接源_01水果筐数!$B174="","",对接源_01水果筐数!$B174)</f>
        <v/>
      </c>
      <c r="BB173">
        <f t="shared" si="111"/>
        <v>0</v>
      </c>
      <c r="BC173">
        <f t="shared" si="112"/>
        <v>14</v>
      </c>
      <c r="BE173" t="str">
        <f t="shared" si="113"/>
        <v/>
      </c>
      <c r="BG173" t="str">
        <f>IF(对接源_01水果筐数!$C174="","",对接源_01水果筐数!$C174)</f>
        <v/>
      </c>
      <c r="BH173">
        <f t="shared" si="114"/>
        <v>0</v>
      </c>
      <c r="BI173">
        <f t="shared" si="115"/>
        <v>7</v>
      </c>
      <c r="BM173" t="str">
        <f t="shared" si="91"/>
        <v/>
      </c>
      <c r="BN173">
        <f t="shared" si="116"/>
        <v>0</v>
      </c>
      <c r="BO173">
        <f t="shared" si="117"/>
        <v>8</v>
      </c>
      <c r="BS173" t="str">
        <f t="shared" si="118"/>
        <v/>
      </c>
      <c r="BT173">
        <f t="shared" si="119"/>
        <v>0</v>
      </c>
      <c r="BU173">
        <f t="shared" si="120"/>
        <v>9</v>
      </c>
      <c r="BW173" t="str">
        <f t="shared" si="121"/>
        <v/>
      </c>
      <c r="BY173" t="str">
        <f t="shared" si="122"/>
        <v/>
      </c>
      <c r="BZ173">
        <f t="shared" si="123"/>
        <v>0</v>
      </c>
      <c r="CA173">
        <f t="shared" si="124"/>
        <v>12</v>
      </c>
      <c r="CC173" t="str">
        <f t="shared" si="125"/>
        <v/>
      </c>
      <c r="CI173" t="str">
        <f>IF(基础资料!$E73="","",基础资料!$E73)</f>
        <v/>
      </c>
      <c r="CJ173">
        <f t="shared" si="126"/>
        <v>0</v>
      </c>
      <c r="CK173">
        <f t="shared" si="127"/>
        <v>24</v>
      </c>
      <c r="CL173" t="str">
        <f t="shared" si="128"/>
        <v/>
      </c>
      <c r="CP173">
        <f>IF(包装物料出入库明细!$D173="",0,1)</f>
        <v>0</v>
      </c>
      <c r="CQ173">
        <f t="shared" si="129"/>
        <v>37</v>
      </c>
      <c r="CS173" t="str">
        <f>IF(OR(周转筐出入库明细!$C174="",周转筐出入库明细!$F174&lt;&gt;"采购入库"),"",周转筐出入库明细!$C174)</f>
        <v/>
      </c>
      <c r="CT173">
        <f t="shared" si="130"/>
        <v>0</v>
      </c>
      <c r="CU173">
        <f t="shared" si="131"/>
        <v>1</v>
      </c>
      <c r="CW173" t="str">
        <f>IFERROR(INDEX($CS$4:$CS$2003,MATCH(170,$CU$4:$CU$2003,0)),"")</f>
        <v/>
      </c>
    </row>
    <row r="174" spans="1:101">
      <c r="A174" t="str">
        <f>IF(包装物料出入库明细!$E174="","",包装物料出入库明细!$E174)</f>
        <v/>
      </c>
      <c r="B174">
        <f t="shared" si="92"/>
        <v>0</v>
      </c>
      <c r="C174">
        <f t="shared" si="93"/>
        <v>7</v>
      </c>
      <c r="D174" t="str">
        <f>IF(包装物料出入库明细!$E174="","",包装物料出入库明细!$F174)</f>
        <v/>
      </c>
      <c r="E174" t="str">
        <f>IF(包装物料出入库明细!$E174="","",包装物料出入库明细!$G174)</f>
        <v/>
      </c>
      <c r="K174" t="str">
        <f>IF(包装物料出入库明细!$D174="","",包装物料出入库明细!$D174)</f>
        <v/>
      </c>
      <c r="L174">
        <f t="shared" si="94"/>
        <v>0</v>
      </c>
      <c r="M174">
        <f t="shared" si="95"/>
        <v>9</v>
      </c>
      <c r="O174" t="str">
        <f t="shared" si="96"/>
        <v/>
      </c>
      <c r="Q174" t="str">
        <f>IF(周转筐出入库明细!$D175="","",周转筐出入库明细!$D175)</f>
        <v/>
      </c>
      <c r="R174">
        <f t="shared" si="97"/>
        <v>0</v>
      </c>
      <c r="S174">
        <f t="shared" si="98"/>
        <v>5</v>
      </c>
      <c r="W174" t="str">
        <f>IF(周转筐出入库明细!$C175="","",周转筐出入库明细!$C175)</f>
        <v/>
      </c>
      <c r="X174">
        <f t="shared" si="99"/>
        <v>0</v>
      </c>
      <c r="Y174">
        <f t="shared" si="100"/>
        <v>12</v>
      </c>
      <c r="AA174" t="str">
        <f t="shared" si="101"/>
        <v/>
      </c>
      <c r="AC174" t="str">
        <f>IF(客户自备加工筐明细!$C174="","",客户自备加工筐明细!$C174)</f>
        <v/>
      </c>
      <c r="AD174">
        <f t="shared" si="102"/>
        <v>0</v>
      </c>
      <c r="AE174">
        <f t="shared" si="103"/>
        <v>1</v>
      </c>
      <c r="AI174" t="str">
        <f>IF(客户自备加工筐明细!$E174="","",客户自备加工筐明细!$E174)</f>
        <v/>
      </c>
      <c r="AJ174">
        <f t="shared" si="104"/>
        <v>0</v>
      </c>
      <c r="AK174">
        <f t="shared" si="105"/>
        <v>1</v>
      </c>
      <c r="AM174" t="str">
        <f>IFERROR(INDEX($AI$4:$AI$1503,MATCH(171,$AK$4:$AK$1503,0)),"")</f>
        <v/>
      </c>
      <c r="AO174" t="str">
        <f>IF(次果筐明细!$D174="","",次果筐明细!$D174)</f>
        <v/>
      </c>
      <c r="AP174">
        <f t="shared" si="106"/>
        <v>0</v>
      </c>
      <c r="AQ174">
        <f t="shared" si="107"/>
        <v>1</v>
      </c>
      <c r="AU174" t="str">
        <f>IF(次果筐明细!$C174="","",次果筐明细!$C174)</f>
        <v/>
      </c>
      <c r="AV174">
        <f t="shared" si="108"/>
        <v>0</v>
      </c>
      <c r="AW174">
        <f t="shared" si="109"/>
        <v>1</v>
      </c>
      <c r="AY174" t="str">
        <f t="shared" si="110"/>
        <v/>
      </c>
      <c r="BA174" t="str">
        <f>IF(对接源_01水果筐数!$B175="","",对接源_01水果筐数!$B175)</f>
        <v/>
      </c>
      <c r="BB174">
        <f t="shared" si="111"/>
        <v>0</v>
      </c>
      <c r="BC174">
        <f t="shared" si="112"/>
        <v>14</v>
      </c>
      <c r="BE174" t="str">
        <f t="shared" si="113"/>
        <v/>
      </c>
      <c r="BG174" t="str">
        <f>IF(对接源_01水果筐数!$C175="","",对接源_01水果筐数!$C175)</f>
        <v/>
      </c>
      <c r="BH174">
        <f t="shared" si="114"/>
        <v>0</v>
      </c>
      <c r="BI174">
        <f t="shared" si="115"/>
        <v>7</v>
      </c>
      <c r="BM174" t="str">
        <f t="shared" si="91"/>
        <v/>
      </c>
      <c r="BN174">
        <f t="shared" si="116"/>
        <v>0</v>
      </c>
      <c r="BO174">
        <f t="shared" si="117"/>
        <v>8</v>
      </c>
      <c r="BS174" t="str">
        <f t="shared" si="118"/>
        <v/>
      </c>
      <c r="BT174">
        <f t="shared" si="119"/>
        <v>0</v>
      </c>
      <c r="BU174">
        <f t="shared" si="120"/>
        <v>9</v>
      </c>
      <c r="BW174" t="str">
        <f t="shared" si="121"/>
        <v/>
      </c>
      <c r="BY174" t="str">
        <f t="shared" si="122"/>
        <v/>
      </c>
      <c r="BZ174">
        <f t="shared" si="123"/>
        <v>0</v>
      </c>
      <c r="CA174">
        <f t="shared" si="124"/>
        <v>12</v>
      </c>
      <c r="CC174" t="str">
        <f t="shared" si="125"/>
        <v/>
      </c>
      <c r="CI174" t="str">
        <f>IF(基础资料!$E74="","",基础资料!$E74)</f>
        <v/>
      </c>
      <c r="CJ174">
        <f t="shared" si="126"/>
        <v>0</v>
      </c>
      <c r="CK174">
        <f t="shared" si="127"/>
        <v>24</v>
      </c>
      <c r="CL174" t="str">
        <f t="shared" si="128"/>
        <v/>
      </c>
      <c r="CP174">
        <f>IF(包装物料出入库明细!$D174="",0,1)</f>
        <v>0</v>
      </c>
      <c r="CQ174">
        <f t="shared" si="129"/>
        <v>37</v>
      </c>
      <c r="CS174" t="str">
        <f>IF(OR(周转筐出入库明细!$C175="",周转筐出入库明细!$F175&lt;&gt;"采购入库"),"",周转筐出入库明细!$C175)</f>
        <v/>
      </c>
      <c r="CT174">
        <f t="shared" si="130"/>
        <v>0</v>
      </c>
      <c r="CU174">
        <f t="shared" si="131"/>
        <v>1</v>
      </c>
      <c r="CW174" t="str">
        <f>IFERROR(INDEX($CS$4:$CS$2003,MATCH(171,$CU$4:$CU$2003,0)),"")</f>
        <v/>
      </c>
    </row>
    <row r="175" spans="1:101">
      <c r="A175" t="str">
        <f>IF(包装物料出入库明细!$E175="","",包装物料出入库明细!$E175)</f>
        <v/>
      </c>
      <c r="B175">
        <f t="shared" si="92"/>
        <v>0</v>
      </c>
      <c r="C175">
        <f t="shared" si="93"/>
        <v>7</v>
      </c>
      <c r="D175" t="str">
        <f>IF(包装物料出入库明细!$E175="","",包装物料出入库明细!$F175)</f>
        <v/>
      </c>
      <c r="E175" t="str">
        <f>IF(包装物料出入库明细!$E175="","",包装物料出入库明细!$G175)</f>
        <v/>
      </c>
      <c r="K175" t="str">
        <f>IF(包装物料出入库明细!$D175="","",包装物料出入库明细!$D175)</f>
        <v/>
      </c>
      <c r="L175">
        <f t="shared" si="94"/>
        <v>0</v>
      </c>
      <c r="M175">
        <f t="shared" si="95"/>
        <v>9</v>
      </c>
      <c r="O175" t="str">
        <f t="shared" si="96"/>
        <v/>
      </c>
      <c r="Q175" t="str">
        <f>IF(周转筐出入库明细!$D176="","",周转筐出入库明细!$D176)</f>
        <v/>
      </c>
      <c r="R175">
        <f t="shared" si="97"/>
        <v>0</v>
      </c>
      <c r="S175">
        <f t="shared" si="98"/>
        <v>5</v>
      </c>
      <c r="W175" t="str">
        <f>IF(周转筐出入库明细!$C176="","",周转筐出入库明细!$C176)</f>
        <v/>
      </c>
      <c r="X175">
        <f t="shared" si="99"/>
        <v>0</v>
      </c>
      <c r="Y175">
        <f t="shared" si="100"/>
        <v>12</v>
      </c>
      <c r="AA175" t="str">
        <f t="shared" si="101"/>
        <v/>
      </c>
      <c r="AC175" t="str">
        <f>IF(客户自备加工筐明细!$C175="","",客户自备加工筐明细!$C175)</f>
        <v/>
      </c>
      <c r="AD175">
        <f t="shared" si="102"/>
        <v>0</v>
      </c>
      <c r="AE175">
        <f t="shared" si="103"/>
        <v>1</v>
      </c>
      <c r="AI175" t="str">
        <f>IF(客户自备加工筐明细!$E175="","",客户自备加工筐明细!$E175)</f>
        <v/>
      </c>
      <c r="AJ175">
        <f t="shared" si="104"/>
        <v>0</v>
      </c>
      <c r="AK175">
        <f t="shared" si="105"/>
        <v>1</v>
      </c>
      <c r="AM175" t="str">
        <f>IFERROR(INDEX($AI$4:$AI$1503,MATCH(172,$AK$4:$AK$1503,0)),"")</f>
        <v/>
      </c>
      <c r="AO175" t="str">
        <f>IF(次果筐明细!$D175="","",次果筐明细!$D175)</f>
        <v/>
      </c>
      <c r="AP175">
        <f t="shared" si="106"/>
        <v>0</v>
      </c>
      <c r="AQ175">
        <f t="shared" si="107"/>
        <v>1</v>
      </c>
      <c r="AU175" t="str">
        <f>IF(次果筐明细!$C175="","",次果筐明细!$C175)</f>
        <v/>
      </c>
      <c r="AV175">
        <f t="shared" si="108"/>
        <v>0</v>
      </c>
      <c r="AW175">
        <f t="shared" si="109"/>
        <v>1</v>
      </c>
      <c r="AY175" t="str">
        <f t="shared" si="110"/>
        <v/>
      </c>
      <c r="BA175" t="str">
        <f>IF(对接源_01水果筐数!$B176="","",对接源_01水果筐数!$B176)</f>
        <v/>
      </c>
      <c r="BB175">
        <f t="shared" si="111"/>
        <v>0</v>
      </c>
      <c r="BC175">
        <f t="shared" si="112"/>
        <v>14</v>
      </c>
      <c r="BE175" t="str">
        <f t="shared" si="113"/>
        <v/>
      </c>
      <c r="BG175" t="str">
        <f>IF(对接源_01水果筐数!$C176="","",对接源_01水果筐数!$C176)</f>
        <v/>
      </c>
      <c r="BH175">
        <f t="shared" si="114"/>
        <v>0</v>
      </c>
      <c r="BI175">
        <f t="shared" si="115"/>
        <v>7</v>
      </c>
      <c r="BM175" t="str">
        <f t="shared" si="91"/>
        <v/>
      </c>
      <c r="BN175">
        <f t="shared" si="116"/>
        <v>0</v>
      </c>
      <c r="BO175">
        <f t="shared" si="117"/>
        <v>8</v>
      </c>
      <c r="BS175" t="str">
        <f t="shared" si="118"/>
        <v/>
      </c>
      <c r="BT175">
        <f t="shared" si="119"/>
        <v>0</v>
      </c>
      <c r="BU175">
        <f t="shared" si="120"/>
        <v>9</v>
      </c>
      <c r="BW175" t="str">
        <f t="shared" si="121"/>
        <v/>
      </c>
      <c r="BY175" t="str">
        <f t="shared" si="122"/>
        <v/>
      </c>
      <c r="BZ175">
        <f t="shared" si="123"/>
        <v>0</v>
      </c>
      <c r="CA175">
        <f t="shared" si="124"/>
        <v>12</v>
      </c>
      <c r="CC175" t="str">
        <f t="shared" si="125"/>
        <v/>
      </c>
      <c r="CI175" t="str">
        <f>IF(基础资料!$E75="","",基础资料!$E75)</f>
        <v/>
      </c>
      <c r="CJ175">
        <f t="shared" si="126"/>
        <v>0</v>
      </c>
      <c r="CK175">
        <f t="shared" si="127"/>
        <v>24</v>
      </c>
      <c r="CL175" t="str">
        <f t="shared" si="128"/>
        <v/>
      </c>
      <c r="CP175">
        <f>IF(包装物料出入库明细!$D175="",0,1)</f>
        <v>0</v>
      </c>
      <c r="CQ175">
        <f t="shared" si="129"/>
        <v>37</v>
      </c>
      <c r="CS175" t="str">
        <f>IF(OR(周转筐出入库明细!$C176="",周转筐出入库明细!$F176&lt;&gt;"采购入库"),"",周转筐出入库明细!$C176)</f>
        <v/>
      </c>
      <c r="CT175">
        <f t="shared" si="130"/>
        <v>0</v>
      </c>
      <c r="CU175">
        <f t="shared" si="131"/>
        <v>1</v>
      </c>
      <c r="CW175" t="str">
        <f>IFERROR(INDEX($CS$4:$CS$2003,MATCH(172,$CU$4:$CU$2003,0)),"")</f>
        <v/>
      </c>
    </row>
    <row r="176" spans="1:101">
      <c r="A176" t="str">
        <f>IF(包装物料出入库明细!$E176="","",包装物料出入库明细!$E176)</f>
        <v/>
      </c>
      <c r="B176">
        <f t="shared" si="92"/>
        <v>0</v>
      </c>
      <c r="C176">
        <f t="shared" si="93"/>
        <v>7</v>
      </c>
      <c r="D176" t="str">
        <f>IF(包装物料出入库明细!$E176="","",包装物料出入库明细!$F176)</f>
        <v/>
      </c>
      <c r="E176" t="str">
        <f>IF(包装物料出入库明细!$E176="","",包装物料出入库明细!$G176)</f>
        <v/>
      </c>
      <c r="K176" t="str">
        <f>IF(包装物料出入库明细!$D176="","",包装物料出入库明细!$D176)</f>
        <v/>
      </c>
      <c r="L176">
        <f t="shared" si="94"/>
        <v>0</v>
      </c>
      <c r="M176">
        <f t="shared" si="95"/>
        <v>9</v>
      </c>
      <c r="O176" t="str">
        <f t="shared" si="96"/>
        <v/>
      </c>
      <c r="Q176" t="str">
        <f>IF(周转筐出入库明细!$D177="","",周转筐出入库明细!$D177)</f>
        <v/>
      </c>
      <c r="R176">
        <f t="shared" si="97"/>
        <v>0</v>
      </c>
      <c r="S176">
        <f t="shared" si="98"/>
        <v>5</v>
      </c>
      <c r="W176" t="str">
        <f>IF(周转筐出入库明细!$C177="","",周转筐出入库明细!$C177)</f>
        <v/>
      </c>
      <c r="X176">
        <f t="shared" si="99"/>
        <v>0</v>
      </c>
      <c r="Y176">
        <f t="shared" si="100"/>
        <v>12</v>
      </c>
      <c r="AA176" t="str">
        <f t="shared" si="101"/>
        <v/>
      </c>
      <c r="AC176" t="str">
        <f>IF(客户自备加工筐明细!$C176="","",客户自备加工筐明细!$C176)</f>
        <v/>
      </c>
      <c r="AD176">
        <f t="shared" si="102"/>
        <v>0</v>
      </c>
      <c r="AE176">
        <f t="shared" si="103"/>
        <v>1</v>
      </c>
      <c r="AI176" t="str">
        <f>IF(客户自备加工筐明细!$E176="","",客户自备加工筐明细!$E176)</f>
        <v/>
      </c>
      <c r="AJ176">
        <f t="shared" si="104"/>
        <v>0</v>
      </c>
      <c r="AK176">
        <f t="shared" si="105"/>
        <v>1</v>
      </c>
      <c r="AM176" t="str">
        <f>IFERROR(INDEX($AI$4:$AI$1503,MATCH(173,$AK$4:$AK$1503,0)),"")</f>
        <v/>
      </c>
      <c r="AO176" t="str">
        <f>IF(次果筐明细!$D176="","",次果筐明细!$D176)</f>
        <v/>
      </c>
      <c r="AP176">
        <f t="shared" si="106"/>
        <v>0</v>
      </c>
      <c r="AQ176">
        <f t="shared" si="107"/>
        <v>1</v>
      </c>
      <c r="AU176" t="str">
        <f>IF(次果筐明细!$C176="","",次果筐明细!$C176)</f>
        <v/>
      </c>
      <c r="AV176">
        <f t="shared" si="108"/>
        <v>0</v>
      </c>
      <c r="AW176">
        <f t="shared" si="109"/>
        <v>1</v>
      </c>
      <c r="AY176" t="str">
        <f t="shared" si="110"/>
        <v/>
      </c>
      <c r="BA176" t="str">
        <f>IF(对接源_01水果筐数!$B177="","",对接源_01水果筐数!$B177)</f>
        <v/>
      </c>
      <c r="BB176">
        <f t="shared" si="111"/>
        <v>0</v>
      </c>
      <c r="BC176">
        <f t="shared" si="112"/>
        <v>14</v>
      </c>
      <c r="BE176" t="str">
        <f t="shared" si="113"/>
        <v/>
      </c>
      <c r="BG176" t="str">
        <f>IF(对接源_01水果筐数!$C177="","",对接源_01水果筐数!$C177)</f>
        <v/>
      </c>
      <c r="BH176">
        <f t="shared" si="114"/>
        <v>0</v>
      </c>
      <c r="BI176">
        <f t="shared" si="115"/>
        <v>7</v>
      </c>
      <c r="BM176" t="str">
        <f t="shared" si="91"/>
        <v/>
      </c>
      <c r="BN176">
        <f t="shared" si="116"/>
        <v>0</v>
      </c>
      <c r="BO176">
        <f t="shared" si="117"/>
        <v>8</v>
      </c>
      <c r="BS176" t="str">
        <f t="shared" si="118"/>
        <v/>
      </c>
      <c r="BT176">
        <f t="shared" si="119"/>
        <v>0</v>
      </c>
      <c r="BU176">
        <f t="shared" si="120"/>
        <v>9</v>
      </c>
      <c r="BW176" t="str">
        <f t="shared" si="121"/>
        <v/>
      </c>
      <c r="BY176" t="str">
        <f t="shared" si="122"/>
        <v/>
      </c>
      <c r="BZ176">
        <f t="shared" si="123"/>
        <v>0</v>
      </c>
      <c r="CA176">
        <f t="shared" si="124"/>
        <v>12</v>
      </c>
      <c r="CC176" t="str">
        <f t="shared" si="125"/>
        <v/>
      </c>
      <c r="CI176" t="str">
        <f>IF(基础资料!$E76="","",基础资料!$E76)</f>
        <v/>
      </c>
      <c r="CJ176">
        <f t="shared" si="126"/>
        <v>0</v>
      </c>
      <c r="CK176">
        <f t="shared" si="127"/>
        <v>24</v>
      </c>
      <c r="CL176" t="str">
        <f t="shared" si="128"/>
        <v/>
      </c>
      <c r="CP176">
        <f>IF(包装物料出入库明细!$D176="",0,1)</f>
        <v>0</v>
      </c>
      <c r="CQ176">
        <f t="shared" si="129"/>
        <v>37</v>
      </c>
      <c r="CS176" t="str">
        <f>IF(OR(周转筐出入库明细!$C177="",周转筐出入库明细!$F177&lt;&gt;"采购入库"),"",周转筐出入库明细!$C177)</f>
        <v/>
      </c>
      <c r="CT176">
        <f t="shared" si="130"/>
        <v>0</v>
      </c>
      <c r="CU176">
        <f t="shared" si="131"/>
        <v>1</v>
      </c>
      <c r="CW176" t="str">
        <f>IFERROR(INDEX($CS$4:$CS$2003,MATCH(173,$CU$4:$CU$2003,0)),"")</f>
        <v/>
      </c>
    </row>
    <row r="177" spans="1:101">
      <c r="A177" t="str">
        <f>IF(包装物料出入库明细!$E177="","",包装物料出入库明细!$E177)</f>
        <v/>
      </c>
      <c r="B177">
        <f t="shared" si="92"/>
        <v>0</v>
      </c>
      <c r="C177">
        <f t="shared" si="93"/>
        <v>7</v>
      </c>
      <c r="D177" t="str">
        <f>IF(包装物料出入库明细!$E177="","",包装物料出入库明细!$F177)</f>
        <v/>
      </c>
      <c r="E177" t="str">
        <f>IF(包装物料出入库明细!$E177="","",包装物料出入库明细!$G177)</f>
        <v/>
      </c>
      <c r="K177" t="str">
        <f>IF(包装物料出入库明细!$D177="","",包装物料出入库明细!$D177)</f>
        <v/>
      </c>
      <c r="L177">
        <f t="shared" si="94"/>
        <v>0</v>
      </c>
      <c r="M177">
        <f t="shared" si="95"/>
        <v>9</v>
      </c>
      <c r="O177" t="str">
        <f t="shared" si="96"/>
        <v/>
      </c>
      <c r="Q177" t="str">
        <f>IF(周转筐出入库明细!$D178="","",周转筐出入库明细!$D178)</f>
        <v/>
      </c>
      <c r="R177">
        <f t="shared" si="97"/>
        <v>0</v>
      </c>
      <c r="S177">
        <f t="shared" si="98"/>
        <v>5</v>
      </c>
      <c r="W177" t="str">
        <f>IF(周转筐出入库明细!$C178="","",周转筐出入库明细!$C178)</f>
        <v/>
      </c>
      <c r="X177">
        <f t="shared" si="99"/>
        <v>0</v>
      </c>
      <c r="Y177">
        <f t="shared" si="100"/>
        <v>12</v>
      </c>
      <c r="AA177" t="str">
        <f t="shared" si="101"/>
        <v/>
      </c>
      <c r="AC177" t="str">
        <f>IF(客户自备加工筐明细!$C177="","",客户自备加工筐明细!$C177)</f>
        <v/>
      </c>
      <c r="AD177">
        <f t="shared" si="102"/>
        <v>0</v>
      </c>
      <c r="AE177">
        <f t="shared" si="103"/>
        <v>1</v>
      </c>
      <c r="AI177" t="str">
        <f>IF(客户自备加工筐明细!$E177="","",客户自备加工筐明细!$E177)</f>
        <v/>
      </c>
      <c r="AJ177">
        <f t="shared" si="104"/>
        <v>0</v>
      </c>
      <c r="AK177">
        <f t="shared" si="105"/>
        <v>1</v>
      </c>
      <c r="AM177" t="str">
        <f>IFERROR(INDEX($AI$4:$AI$1503,MATCH(174,$AK$4:$AK$1503,0)),"")</f>
        <v/>
      </c>
      <c r="AO177" t="str">
        <f>IF(次果筐明细!$D177="","",次果筐明细!$D177)</f>
        <v/>
      </c>
      <c r="AP177">
        <f t="shared" si="106"/>
        <v>0</v>
      </c>
      <c r="AQ177">
        <f t="shared" si="107"/>
        <v>1</v>
      </c>
      <c r="AU177" t="str">
        <f>IF(次果筐明细!$C177="","",次果筐明细!$C177)</f>
        <v/>
      </c>
      <c r="AV177">
        <f t="shared" si="108"/>
        <v>0</v>
      </c>
      <c r="AW177">
        <f t="shared" si="109"/>
        <v>1</v>
      </c>
      <c r="AY177" t="str">
        <f t="shared" si="110"/>
        <v/>
      </c>
      <c r="BA177" t="str">
        <f>IF(对接源_01水果筐数!$B178="","",对接源_01水果筐数!$B178)</f>
        <v/>
      </c>
      <c r="BB177">
        <f t="shared" si="111"/>
        <v>0</v>
      </c>
      <c r="BC177">
        <f t="shared" si="112"/>
        <v>14</v>
      </c>
      <c r="BE177" t="str">
        <f t="shared" si="113"/>
        <v/>
      </c>
      <c r="BG177" t="str">
        <f>IF(对接源_01水果筐数!$C178="","",对接源_01水果筐数!$C178)</f>
        <v/>
      </c>
      <c r="BH177">
        <f t="shared" si="114"/>
        <v>0</v>
      </c>
      <c r="BI177">
        <f t="shared" si="115"/>
        <v>7</v>
      </c>
      <c r="BM177" t="str">
        <f t="shared" si="91"/>
        <v/>
      </c>
      <c r="BN177">
        <f t="shared" si="116"/>
        <v>0</v>
      </c>
      <c r="BO177">
        <f t="shared" si="117"/>
        <v>8</v>
      </c>
      <c r="BS177" t="str">
        <f t="shared" si="118"/>
        <v/>
      </c>
      <c r="BT177">
        <f t="shared" si="119"/>
        <v>0</v>
      </c>
      <c r="BU177">
        <f t="shared" si="120"/>
        <v>9</v>
      </c>
      <c r="BW177" t="str">
        <f t="shared" si="121"/>
        <v/>
      </c>
      <c r="BY177" t="str">
        <f t="shared" si="122"/>
        <v/>
      </c>
      <c r="BZ177">
        <f t="shared" si="123"/>
        <v>0</v>
      </c>
      <c r="CA177">
        <f t="shared" si="124"/>
        <v>12</v>
      </c>
      <c r="CC177" t="str">
        <f t="shared" si="125"/>
        <v/>
      </c>
      <c r="CI177" t="str">
        <f>IF(基础资料!$E77="","",基础资料!$E77)</f>
        <v/>
      </c>
      <c r="CJ177">
        <f t="shared" si="126"/>
        <v>0</v>
      </c>
      <c r="CK177">
        <f t="shared" si="127"/>
        <v>24</v>
      </c>
      <c r="CL177" t="str">
        <f t="shared" si="128"/>
        <v/>
      </c>
      <c r="CP177">
        <f>IF(包装物料出入库明细!$D177="",0,1)</f>
        <v>0</v>
      </c>
      <c r="CQ177">
        <f t="shared" si="129"/>
        <v>37</v>
      </c>
      <c r="CS177" t="str">
        <f>IF(OR(周转筐出入库明细!$C178="",周转筐出入库明细!$F178&lt;&gt;"采购入库"),"",周转筐出入库明细!$C178)</f>
        <v/>
      </c>
      <c r="CT177">
        <f t="shared" si="130"/>
        <v>0</v>
      </c>
      <c r="CU177">
        <f t="shared" si="131"/>
        <v>1</v>
      </c>
      <c r="CW177" t="str">
        <f>IFERROR(INDEX($CS$4:$CS$2003,MATCH(174,$CU$4:$CU$2003,0)),"")</f>
        <v/>
      </c>
    </row>
    <row r="178" spans="1:101">
      <c r="A178" t="str">
        <f>IF(包装物料出入库明细!$E178="","",包装物料出入库明细!$E178)</f>
        <v/>
      </c>
      <c r="B178">
        <f t="shared" si="92"/>
        <v>0</v>
      </c>
      <c r="C178">
        <f t="shared" si="93"/>
        <v>7</v>
      </c>
      <c r="D178" t="str">
        <f>IF(包装物料出入库明细!$E178="","",包装物料出入库明细!$F178)</f>
        <v/>
      </c>
      <c r="E178" t="str">
        <f>IF(包装物料出入库明细!$E178="","",包装物料出入库明细!$G178)</f>
        <v/>
      </c>
      <c r="K178" t="str">
        <f>IF(包装物料出入库明细!$D178="","",包装物料出入库明细!$D178)</f>
        <v/>
      </c>
      <c r="L178">
        <f t="shared" si="94"/>
        <v>0</v>
      </c>
      <c r="M178">
        <f t="shared" si="95"/>
        <v>9</v>
      </c>
      <c r="O178" t="str">
        <f t="shared" si="96"/>
        <v/>
      </c>
      <c r="Q178" t="str">
        <f>IF(周转筐出入库明细!$D179="","",周转筐出入库明细!$D179)</f>
        <v/>
      </c>
      <c r="R178">
        <f t="shared" si="97"/>
        <v>0</v>
      </c>
      <c r="S178">
        <f t="shared" si="98"/>
        <v>5</v>
      </c>
      <c r="W178" t="str">
        <f>IF(周转筐出入库明细!$C179="","",周转筐出入库明细!$C179)</f>
        <v/>
      </c>
      <c r="X178">
        <f t="shared" si="99"/>
        <v>0</v>
      </c>
      <c r="Y178">
        <f t="shared" si="100"/>
        <v>12</v>
      </c>
      <c r="AA178" t="str">
        <f t="shared" si="101"/>
        <v/>
      </c>
      <c r="AC178" t="str">
        <f>IF(客户自备加工筐明细!$C178="","",客户自备加工筐明细!$C178)</f>
        <v/>
      </c>
      <c r="AD178">
        <f t="shared" si="102"/>
        <v>0</v>
      </c>
      <c r="AE178">
        <f t="shared" si="103"/>
        <v>1</v>
      </c>
      <c r="AI178" t="str">
        <f>IF(客户自备加工筐明细!$E178="","",客户自备加工筐明细!$E178)</f>
        <v/>
      </c>
      <c r="AJ178">
        <f t="shared" si="104"/>
        <v>0</v>
      </c>
      <c r="AK178">
        <f t="shared" si="105"/>
        <v>1</v>
      </c>
      <c r="AM178" t="str">
        <f>IFERROR(INDEX($AI$4:$AI$1503,MATCH(175,$AK$4:$AK$1503,0)),"")</f>
        <v/>
      </c>
      <c r="AO178" t="str">
        <f>IF(次果筐明细!$D178="","",次果筐明细!$D178)</f>
        <v/>
      </c>
      <c r="AP178">
        <f t="shared" si="106"/>
        <v>0</v>
      </c>
      <c r="AQ178">
        <f t="shared" si="107"/>
        <v>1</v>
      </c>
      <c r="AU178" t="str">
        <f>IF(次果筐明细!$C178="","",次果筐明细!$C178)</f>
        <v/>
      </c>
      <c r="AV178">
        <f t="shared" si="108"/>
        <v>0</v>
      </c>
      <c r="AW178">
        <f t="shared" si="109"/>
        <v>1</v>
      </c>
      <c r="AY178" t="str">
        <f t="shared" si="110"/>
        <v/>
      </c>
      <c r="BA178" t="str">
        <f>IF(对接源_01水果筐数!$B179="","",对接源_01水果筐数!$B179)</f>
        <v/>
      </c>
      <c r="BB178">
        <f t="shared" si="111"/>
        <v>0</v>
      </c>
      <c r="BC178">
        <f t="shared" si="112"/>
        <v>14</v>
      </c>
      <c r="BE178" t="str">
        <f t="shared" si="113"/>
        <v/>
      </c>
      <c r="BG178" t="str">
        <f>IF(对接源_01水果筐数!$C179="","",对接源_01水果筐数!$C179)</f>
        <v/>
      </c>
      <c r="BH178">
        <f t="shared" si="114"/>
        <v>0</v>
      </c>
      <c r="BI178">
        <f t="shared" si="115"/>
        <v>7</v>
      </c>
      <c r="BM178" t="str">
        <f t="shared" si="91"/>
        <v/>
      </c>
      <c r="BN178">
        <f t="shared" si="116"/>
        <v>0</v>
      </c>
      <c r="BO178">
        <f t="shared" si="117"/>
        <v>8</v>
      </c>
      <c r="BS178" t="str">
        <f t="shared" si="118"/>
        <v/>
      </c>
      <c r="BT178">
        <f t="shared" si="119"/>
        <v>0</v>
      </c>
      <c r="BU178">
        <f t="shared" si="120"/>
        <v>9</v>
      </c>
      <c r="BW178" t="str">
        <f t="shared" si="121"/>
        <v/>
      </c>
      <c r="BY178" t="str">
        <f t="shared" si="122"/>
        <v/>
      </c>
      <c r="BZ178">
        <f t="shared" si="123"/>
        <v>0</v>
      </c>
      <c r="CA178">
        <f t="shared" si="124"/>
        <v>12</v>
      </c>
      <c r="CC178" t="str">
        <f t="shared" si="125"/>
        <v/>
      </c>
      <c r="CI178" t="str">
        <f>IF(基础资料!$E78="","",基础资料!$E78)</f>
        <v/>
      </c>
      <c r="CJ178">
        <f t="shared" si="126"/>
        <v>0</v>
      </c>
      <c r="CK178">
        <f t="shared" si="127"/>
        <v>24</v>
      </c>
      <c r="CL178" t="str">
        <f t="shared" si="128"/>
        <v/>
      </c>
      <c r="CP178">
        <f>IF(包装物料出入库明细!$D178="",0,1)</f>
        <v>0</v>
      </c>
      <c r="CQ178">
        <f t="shared" si="129"/>
        <v>37</v>
      </c>
      <c r="CS178" t="str">
        <f>IF(OR(周转筐出入库明细!$C179="",周转筐出入库明细!$F179&lt;&gt;"采购入库"),"",周转筐出入库明细!$C179)</f>
        <v/>
      </c>
      <c r="CT178">
        <f t="shared" si="130"/>
        <v>0</v>
      </c>
      <c r="CU178">
        <f t="shared" si="131"/>
        <v>1</v>
      </c>
      <c r="CW178" t="str">
        <f>IFERROR(INDEX($CS$4:$CS$2003,MATCH(175,$CU$4:$CU$2003,0)),"")</f>
        <v/>
      </c>
    </row>
    <row r="179" spans="1:101">
      <c r="A179" t="str">
        <f>IF(包装物料出入库明细!$E179="","",包装物料出入库明细!$E179)</f>
        <v/>
      </c>
      <c r="B179">
        <f t="shared" si="92"/>
        <v>0</v>
      </c>
      <c r="C179">
        <f t="shared" si="93"/>
        <v>7</v>
      </c>
      <c r="D179" t="str">
        <f>IF(包装物料出入库明细!$E179="","",包装物料出入库明细!$F179)</f>
        <v/>
      </c>
      <c r="E179" t="str">
        <f>IF(包装物料出入库明细!$E179="","",包装物料出入库明细!$G179)</f>
        <v/>
      </c>
      <c r="K179" t="str">
        <f>IF(包装物料出入库明细!$D179="","",包装物料出入库明细!$D179)</f>
        <v/>
      </c>
      <c r="L179">
        <f t="shared" si="94"/>
        <v>0</v>
      </c>
      <c r="M179">
        <f t="shared" si="95"/>
        <v>9</v>
      </c>
      <c r="O179" t="str">
        <f t="shared" si="96"/>
        <v/>
      </c>
      <c r="Q179" t="str">
        <f>IF(周转筐出入库明细!$D180="","",周转筐出入库明细!$D180)</f>
        <v/>
      </c>
      <c r="R179">
        <f t="shared" si="97"/>
        <v>0</v>
      </c>
      <c r="S179">
        <f t="shared" si="98"/>
        <v>5</v>
      </c>
      <c r="W179" t="str">
        <f>IF(周转筐出入库明细!$C180="","",周转筐出入库明细!$C180)</f>
        <v/>
      </c>
      <c r="X179">
        <f t="shared" si="99"/>
        <v>0</v>
      </c>
      <c r="Y179">
        <f t="shared" si="100"/>
        <v>12</v>
      </c>
      <c r="AA179" t="str">
        <f t="shared" si="101"/>
        <v/>
      </c>
      <c r="AC179" t="str">
        <f>IF(客户自备加工筐明细!$C179="","",客户自备加工筐明细!$C179)</f>
        <v/>
      </c>
      <c r="AD179">
        <f t="shared" si="102"/>
        <v>0</v>
      </c>
      <c r="AE179">
        <f t="shared" si="103"/>
        <v>1</v>
      </c>
      <c r="AI179" t="str">
        <f>IF(客户自备加工筐明细!$E179="","",客户自备加工筐明细!$E179)</f>
        <v/>
      </c>
      <c r="AJ179">
        <f t="shared" si="104"/>
        <v>0</v>
      </c>
      <c r="AK179">
        <f t="shared" si="105"/>
        <v>1</v>
      </c>
      <c r="AM179" t="str">
        <f>IFERROR(INDEX($AI$4:$AI$1503,MATCH(176,$AK$4:$AK$1503,0)),"")</f>
        <v/>
      </c>
      <c r="AO179" t="str">
        <f>IF(次果筐明细!$D179="","",次果筐明细!$D179)</f>
        <v/>
      </c>
      <c r="AP179">
        <f t="shared" si="106"/>
        <v>0</v>
      </c>
      <c r="AQ179">
        <f t="shared" si="107"/>
        <v>1</v>
      </c>
      <c r="AU179" t="str">
        <f>IF(次果筐明细!$C179="","",次果筐明细!$C179)</f>
        <v/>
      </c>
      <c r="AV179">
        <f t="shared" si="108"/>
        <v>0</v>
      </c>
      <c r="AW179">
        <f t="shared" si="109"/>
        <v>1</v>
      </c>
      <c r="AY179" t="str">
        <f t="shared" si="110"/>
        <v/>
      </c>
      <c r="BA179" t="str">
        <f>IF(对接源_01水果筐数!$B180="","",对接源_01水果筐数!$B180)</f>
        <v/>
      </c>
      <c r="BB179">
        <f t="shared" si="111"/>
        <v>0</v>
      </c>
      <c r="BC179">
        <f t="shared" si="112"/>
        <v>14</v>
      </c>
      <c r="BE179" t="str">
        <f t="shared" si="113"/>
        <v/>
      </c>
      <c r="BG179" t="str">
        <f>IF(对接源_01水果筐数!$C180="","",对接源_01水果筐数!$C180)</f>
        <v/>
      </c>
      <c r="BH179">
        <f t="shared" si="114"/>
        <v>0</v>
      </c>
      <c r="BI179">
        <f t="shared" si="115"/>
        <v>7</v>
      </c>
      <c r="BM179" t="str">
        <f t="shared" si="91"/>
        <v/>
      </c>
      <c r="BN179">
        <f t="shared" si="116"/>
        <v>0</v>
      </c>
      <c r="BO179">
        <f t="shared" si="117"/>
        <v>8</v>
      </c>
      <c r="BS179" t="str">
        <f t="shared" si="118"/>
        <v/>
      </c>
      <c r="BT179">
        <f t="shared" si="119"/>
        <v>0</v>
      </c>
      <c r="BU179">
        <f t="shared" si="120"/>
        <v>9</v>
      </c>
      <c r="BW179" t="str">
        <f t="shared" si="121"/>
        <v/>
      </c>
      <c r="BY179" t="str">
        <f t="shared" si="122"/>
        <v/>
      </c>
      <c r="BZ179">
        <f t="shared" si="123"/>
        <v>0</v>
      </c>
      <c r="CA179">
        <f t="shared" si="124"/>
        <v>12</v>
      </c>
      <c r="CC179" t="str">
        <f t="shared" si="125"/>
        <v/>
      </c>
      <c r="CI179" t="str">
        <f>IF(基础资料!$E79="","",基础资料!$E79)</f>
        <v/>
      </c>
      <c r="CJ179">
        <f t="shared" si="126"/>
        <v>0</v>
      </c>
      <c r="CK179">
        <f t="shared" si="127"/>
        <v>24</v>
      </c>
      <c r="CL179" t="str">
        <f t="shared" si="128"/>
        <v/>
      </c>
      <c r="CP179">
        <f>IF(包装物料出入库明细!$D179="",0,1)</f>
        <v>0</v>
      </c>
      <c r="CQ179">
        <f t="shared" si="129"/>
        <v>37</v>
      </c>
      <c r="CS179" t="str">
        <f>IF(OR(周转筐出入库明细!$C180="",周转筐出入库明细!$F180&lt;&gt;"采购入库"),"",周转筐出入库明细!$C180)</f>
        <v/>
      </c>
      <c r="CT179">
        <f t="shared" si="130"/>
        <v>0</v>
      </c>
      <c r="CU179">
        <f t="shared" si="131"/>
        <v>1</v>
      </c>
      <c r="CW179" t="str">
        <f>IFERROR(INDEX($CS$4:$CS$2003,MATCH(176,$CU$4:$CU$2003,0)),"")</f>
        <v/>
      </c>
    </row>
    <row r="180" spans="1:101">
      <c r="A180" t="str">
        <f>IF(包装物料出入库明细!$E180="","",包装物料出入库明细!$E180)</f>
        <v/>
      </c>
      <c r="B180">
        <f t="shared" si="92"/>
        <v>0</v>
      </c>
      <c r="C180">
        <f t="shared" si="93"/>
        <v>7</v>
      </c>
      <c r="D180" t="str">
        <f>IF(包装物料出入库明细!$E180="","",包装物料出入库明细!$F180)</f>
        <v/>
      </c>
      <c r="E180" t="str">
        <f>IF(包装物料出入库明细!$E180="","",包装物料出入库明细!$G180)</f>
        <v/>
      </c>
      <c r="K180" t="str">
        <f>IF(包装物料出入库明细!$D180="","",包装物料出入库明细!$D180)</f>
        <v/>
      </c>
      <c r="L180">
        <f t="shared" si="94"/>
        <v>0</v>
      </c>
      <c r="M180">
        <f t="shared" si="95"/>
        <v>9</v>
      </c>
      <c r="O180" t="str">
        <f t="shared" si="96"/>
        <v/>
      </c>
      <c r="Q180" t="str">
        <f>IF(周转筐出入库明细!$D181="","",周转筐出入库明细!$D181)</f>
        <v/>
      </c>
      <c r="R180">
        <f t="shared" si="97"/>
        <v>0</v>
      </c>
      <c r="S180">
        <f t="shared" si="98"/>
        <v>5</v>
      </c>
      <c r="W180" t="str">
        <f>IF(周转筐出入库明细!$C181="","",周转筐出入库明细!$C181)</f>
        <v/>
      </c>
      <c r="X180">
        <f t="shared" si="99"/>
        <v>0</v>
      </c>
      <c r="Y180">
        <f t="shared" si="100"/>
        <v>12</v>
      </c>
      <c r="AA180" t="str">
        <f t="shared" si="101"/>
        <v/>
      </c>
      <c r="AC180" t="str">
        <f>IF(客户自备加工筐明细!$C180="","",客户自备加工筐明细!$C180)</f>
        <v/>
      </c>
      <c r="AD180">
        <f t="shared" si="102"/>
        <v>0</v>
      </c>
      <c r="AE180">
        <f t="shared" si="103"/>
        <v>1</v>
      </c>
      <c r="AI180" t="str">
        <f>IF(客户自备加工筐明细!$E180="","",客户自备加工筐明细!$E180)</f>
        <v/>
      </c>
      <c r="AJ180">
        <f t="shared" si="104"/>
        <v>0</v>
      </c>
      <c r="AK180">
        <f t="shared" si="105"/>
        <v>1</v>
      </c>
      <c r="AM180" t="str">
        <f>IFERROR(INDEX($AI$4:$AI$1503,MATCH(177,$AK$4:$AK$1503,0)),"")</f>
        <v/>
      </c>
      <c r="AO180" t="str">
        <f>IF(次果筐明细!$D180="","",次果筐明细!$D180)</f>
        <v/>
      </c>
      <c r="AP180">
        <f t="shared" si="106"/>
        <v>0</v>
      </c>
      <c r="AQ180">
        <f t="shared" si="107"/>
        <v>1</v>
      </c>
      <c r="AU180" t="str">
        <f>IF(次果筐明细!$C180="","",次果筐明细!$C180)</f>
        <v/>
      </c>
      <c r="AV180">
        <f t="shared" si="108"/>
        <v>0</v>
      </c>
      <c r="AW180">
        <f t="shared" si="109"/>
        <v>1</v>
      </c>
      <c r="AY180" t="str">
        <f t="shared" si="110"/>
        <v/>
      </c>
      <c r="BA180" t="str">
        <f>IF(对接源_01水果筐数!$B181="","",对接源_01水果筐数!$B181)</f>
        <v/>
      </c>
      <c r="BB180">
        <f t="shared" si="111"/>
        <v>0</v>
      </c>
      <c r="BC180">
        <f t="shared" si="112"/>
        <v>14</v>
      </c>
      <c r="BE180" t="str">
        <f t="shared" si="113"/>
        <v/>
      </c>
      <c r="BG180" t="str">
        <f>IF(对接源_01水果筐数!$C181="","",对接源_01水果筐数!$C181)</f>
        <v/>
      </c>
      <c r="BH180">
        <f t="shared" si="114"/>
        <v>0</v>
      </c>
      <c r="BI180">
        <f t="shared" si="115"/>
        <v>7</v>
      </c>
      <c r="BM180" t="str">
        <f t="shared" si="91"/>
        <v/>
      </c>
      <c r="BN180">
        <f t="shared" si="116"/>
        <v>0</v>
      </c>
      <c r="BO180">
        <f t="shared" si="117"/>
        <v>8</v>
      </c>
      <c r="BS180" t="str">
        <f t="shared" si="118"/>
        <v/>
      </c>
      <c r="BT180">
        <f t="shared" si="119"/>
        <v>0</v>
      </c>
      <c r="BU180">
        <f t="shared" si="120"/>
        <v>9</v>
      </c>
      <c r="BW180" t="str">
        <f t="shared" si="121"/>
        <v/>
      </c>
      <c r="BY180" t="str">
        <f t="shared" si="122"/>
        <v/>
      </c>
      <c r="BZ180">
        <f t="shared" si="123"/>
        <v>0</v>
      </c>
      <c r="CA180">
        <f t="shared" si="124"/>
        <v>12</v>
      </c>
      <c r="CC180" t="str">
        <f t="shared" si="125"/>
        <v/>
      </c>
      <c r="CI180" t="str">
        <f>IF(基础资料!$E80="","",基础资料!$E80)</f>
        <v/>
      </c>
      <c r="CJ180">
        <f t="shared" si="126"/>
        <v>0</v>
      </c>
      <c r="CK180">
        <f t="shared" si="127"/>
        <v>24</v>
      </c>
      <c r="CL180" t="str">
        <f t="shared" si="128"/>
        <v/>
      </c>
      <c r="CP180">
        <f>IF(包装物料出入库明细!$D180="",0,1)</f>
        <v>0</v>
      </c>
      <c r="CQ180">
        <f t="shared" si="129"/>
        <v>37</v>
      </c>
      <c r="CS180" t="str">
        <f>IF(OR(周转筐出入库明细!$C181="",周转筐出入库明细!$F181&lt;&gt;"采购入库"),"",周转筐出入库明细!$C181)</f>
        <v/>
      </c>
      <c r="CT180">
        <f t="shared" si="130"/>
        <v>0</v>
      </c>
      <c r="CU180">
        <f t="shared" si="131"/>
        <v>1</v>
      </c>
      <c r="CW180" t="str">
        <f>IFERROR(INDEX($CS$4:$CS$2003,MATCH(177,$CU$4:$CU$2003,0)),"")</f>
        <v/>
      </c>
    </row>
    <row r="181" spans="1:101">
      <c r="A181" t="str">
        <f>IF(包装物料出入库明细!$E181="","",包装物料出入库明细!$E181)</f>
        <v/>
      </c>
      <c r="B181">
        <f t="shared" si="92"/>
        <v>0</v>
      </c>
      <c r="C181">
        <f t="shared" si="93"/>
        <v>7</v>
      </c>
      <c r="D181" t="str">
        <f>IF(包装物料出入库明细!$E181="","",包装物料出入库明细!$F181)</f>
        <v/>
      </c>
      <c r="E181" t="str">
        <f>IF(包装物料出入库明细!$E181="","",包装物料出入库明细!$G181)</f>
        <v/>
      </c>
      <c r="K181" t="str">
        <f>IF(包装物料出入库明细!$D181="","",包装物料出入库明细!$D181)</f>
        <v/>
      </c>
      <c r="L181">
        <f t="shared" si="94"/>
        <v>0</v>
      </c>
      <c r="M181">
        <f t="shared" si="95"/>
        <v>9</v>
      </c>
      <c r="O181" t="str">
        <f t="shared" si="96"/>
        <v/>
      </c>
      <c r="Q181" t="str">
        <f>IF(周转筐出入库明细!$D182="","",周转筐出入库明细!$D182)</f>
        <v/>
      </c>
      <c r="R181">
        <f t="shared" si="97"/>
        <v>0</v>
      </c>
      <c r="S181">
        <f t="shared" si="98"/>
        <v>5</v>
      </c>
      <c r="W181" t="str">
        <f>IF(周转筐出入库明细!$C182="","",周转筐出入库明细!$C182)</f>
        <v/>
      </c>
      <c r="X181">
        <f t="shared" si="99"/>
        <v>0</v>
      </c>
      <c r="Y181">
        <f t="shared" si="100"/>
        <v>12</v>
      </c>
      <c r="AA181" t="str">
        <f t="shared" si="101"/>
        <v/>
      </c>
      <c r="AC181" t="str">
        <f>IF(客户自备加工筐明细!$C181="","",客户自备加工筐明细!$C181)</f>
        <v/>
      </c>
      <c r="AD181">
        <f t="shared" si="102"/>
        <v>0</v>
      </c>
      <c r="AE181">
        <f t="shared" si="103"/>
        <v>1</v>
      </c>
      <c r="AI181" t="str">
        <f>IF(客户自备加工筐明细!$E181="","",客户自备加工筐明细!$E181)</f>
        <v/>
      </c>
      <c r="AJ181">
        <f t="shared" si="104"/>
        <v>0</v>
      </c>
      <c r="AK181">
        <f t="shared" si="105"/>
        <v>1</v>
      </c>
      <c r="AM181" t="str">
        <f>IFERROR(INDEX($AI$4:$AI$1503,MATCH(178,$AK$4:$AK$1503,0)),"")</f>
        <v/>
      </c>
      <c r="AO181" t="str">
        <f>IF(次果筐明细!$D181="","",次果筐明细!$D181)</f>
        <v/>
      </c>
      <c r="AP181">
        <f t="shared" si="106"/>
        <v>0</v>
      </c>
      <c r="AQ181">
        <f t="shared" si="107"/>
        <v>1</v>
      </c>
      <c r="AU181" t="str">
        <f>IF(次果筐明细!$C181="","",次果筐明细!$C181)</f>
        <v/>
      </c>
      <c r="AV181">
        <f t="shared" si="108"/>
        <v>0</v>
      </c>
      <c r="AW181">
        <f t="shared" si="109"/>
        <v>1</v>
      </c>
      <c r="AY181" t="str">
        <f t="shared" si="110"/>
        <v/>
      </c>
      <c r="BA181" t="str">
        <f>IF(对接源_01水果筐数!$B182="","",对接源_01水果筐数!$B182)</f>
        <v/>
      </c>
      <c r="BB181">
        <f t="shared" si="111"/>
        <v>0</v>
      </c>
      <c r="BC181">
        <f t="shared" si="112"/>
        <v>14</v>
      </c>
      <c r="BE181" t="str">
        <f t="shared" si="113"/>
        <v/>
      </c>
      <c r="BG181" t="str">
        <f>IF(对接源_01水果筐数!$C182="","",对接源_01水果筐数!$C182)</f>
        <v/>
      </c>
      <c r="BH181">
        <f t="shared" si="114"/>
        <v>0</v>
      </c>
      <c r="BI181">
        <f t="shared" si="115"/>
        <v>7</v>
      </c>
      <c r="BM181" t="str">
        <f t="shared" si="91"/>
        <v/>
      </c>
      <c r="BN181">
        <f t="shared" si="116"/>
        <v>0</v>
      </c>
      <c r="BO181">
        <f t="shared" si="117"/>
        <v>8</v>
      </c>
      <c r="BS181" t="str">
        <f t="shared" si="118"/>
        <v/>
      </c>
      <c r="BT181">
        <f t="shared" si="119"/>
        <v>0</v>
      </c>
      <c r="BU181">
        <f t="shared" si="120"/>
        <v>9</v>
      </c>
      <c r="BW181" t="str">
        <f t="shared" si="121"/>
        <v/>
      </c>
      <c r="BY181" t="str">
        <f t="shared" si="122"/>
        <v/>
      </c>
      <c r="BZ181">
        <f t="shared" si="123"/>
        <v>0</v>
      </c>
      <c r="CA181">
        <f t="shared" si="124"/>
        <v>12</v>
      </c>
      <c r="CC181" t="str">
        <f t="shared" si="125"/>
        <v/>
      </c>
      <c r="CI181" t="str">
        <f>IF(基础资料!$E81="","",基础资料!$E81)</f>
        <v/>
      </c>
      <c r="CJ181">
        <f t="shared" si="126"/>
        <v>0</v>
      </c>
      <c r="CK181">
        <f t="shared" si="127"/>
        <v>24</v>
      </c>
      <c r="CL181" t="str">
        <f t="shared" si="128"/>
        <v/>
      </c>
      <c r="CP181">
        <f>IF(包装物料出入库明细!$D181="",0,1)</f>
        <v>0</v>
      </c>
      <c r="CQ181">
        <f t="shared" si="129"/>
        <v>37</v>
      </c>
      <c r="CS181" t="str">
        <f>IF(OR(周转筐出入库明细!$C182="",周转筐出入库明细!$F182&lt;&gt;"采购入库"),"",周转筐出入库明细!$C182)</f>
        <v/>
      </c>
      <c r="CT181">
        <f t="shared" si="130"/>
        <v>0</v>
      </c>
      <c r="CU181">
        <f t="shared" si="131"/>
        <v>1</v>
      </c>
      <c r="CW181" t="str">
        <f>IFERROR(INDEX($CS$4:$CS$2003,MATCH(178,$CU$4:$CU$2003,0)),"")</f>
        <v/>
      </c>
    </row>
    <row r="182" spans="1:101">
      <c r="A182" t="str">
        <f>IF(包装物料出入库明细!$E182="","",包装物料出入库明细!$E182)</f>
        <v/>
      </c>
      <c r="B182">
        <f t="shared" si="92"/>
        <v>0</v>
      </c>
      <c r="C182">
        <f t="shared" si="93"/>
        <v>7</v>
      </c>
      <c r="D182" t="str">
        <f>IF(包装物料出入库明细!$E182="","",包装物料出入库明细!$F182)</f>
        <v/>
      </c>
      <c r="E182" t="str">
        <f>IF(包装物料出入库明细!$E182="","",包装物料出入库明细!$G182)</f>
        <v/>
      </c>
      <c r="K182" t="str">
        <f>IF(包装物料出入库明细!$D182="","",包装物料出入库明细!$D182)</f>
        <v/>
      </c>
      <c r="L182">
        <f t="shared" si="94"/>
        <v>0</v>
      </c>
      <c r="M182">
        <f t="shared" si="95"/>
        <v>9</v>
      </c>
      <c r="O182" t="str">
        <f t="shared" si="96"/>
        <v/>
      </c>
      <c r="Q182" t="str">
        <f>IF(周转筐出入库明细!$D183="","",周转筐出入库明细!$D183)</f>
        <v/>
      </c>
      <c r="R182">
        <f t="shared" si="97"/>
        <v>0</v>
      </c>
      <c r="S182">
        <f t="shared" si="98"/>
        <v>5</v>
      </c>
      <c r="W182" t="str">
        <f>IF(周转筐出入库明细!$C183="","",周转筐出入库明细!$C183)</f>
        <v/>
      </c>
      <c r="X182">
        <f t="shared" si="99"/>
        <v>0</v>
      </c>
      <c r="Y182">
        <f t="shared" si="100"/>
        <v>12</v>
      </c>
      <c r="AA182" t="str">
        <f t="shared" si="101"/>
        <v/>
      </c>
      <c r="AC182" t="str">
        <f>IF(客户自备加工筐明细!$C182="","",客户自备加工筐明细!$C182)</f>
        <v/>
      </c>
      <c r="AD182">
        <f t="shared" si="102"/>
        <v>0</v>
      </c>
      <c r="AE182">
        <f t="shared" si="103"/>
        <v>1</v>
      </c>
      <c r="AI182" t="str">
        <f>IF(客户自备加工筐明细!$E182="","",客户自备加工筐明细!$E182)</f>
        <v/>
      </c>
      <c r="AJ182">
        <f t="shared" si="104"/>
        <v>0</v>
      </c>
      <c r="AK182">
        <f t="shared" si="105"/>
        <v>1</v>
      </c>
      <c r="AM182" t="str">
        <f>IFERROR(INDEX($AI$4:$AI$1503,MATCH(179,$AK$4:$AK$1503,0)),"")</f>
        <v/>
      </c>
      <c r="AO182" t="str">
        <f>IF(次果筐明细!$D182="","",次果筐明细!$D182)</f>
        <v/>
      </c>
      <c r="AP182">
        <f t="shared" si="106"/>
        <v>0</v>
      </c>
      <c r="AQ182">
        <f t="shared" si="107"/>
        <v>1</v>
      </c>
      <c r="AU182" t="str">
        <f>IF(次果筐明细!$C182="","",次果筐明细!$C182)</f>
        <v/>
      </c>
      <c r="AV182">
        <f t="shared" si="108"/>
        <v>0</v>
      </c>
      <c r="AW182">
        <f t="shared" si="109"/>
        <v>1</v>
      </c>
      <c r="AY182" t="str">
        <f t="shared" si="110"/>
        <v/>
      </c>
      <c r="BA182" t="str">
        <f>IF(对接源_01水果筐数!$B183="","",对接源_01水果筐数!$B183)</f>
        <v/>
      </c>
      <c r="BB182">
        <f t="shared" si="111"/>
        <v>0</v>
      </c>
      <c r="BC182">
        <f t="shared" si="112"/>
        <v>14</v>
      </c>
      <c r="BE182" t="str">
        <f t="shared" si="113"/>
        <v/>
      </c>
      <c r="BG182" t="str">
        <f>IF(对接源_01水果筐数!$C183="","",对接源_01水果筐数!$C183)</f>
        <v/>
      </c>
      <c r="BH182">
        <f t="shared" si="114"/>
        <v>0</v>
      </c>
      <c r="BI182">
        <f t="shared" si="115"/>
        <v>7</v>
      </c>
      <c r="BM182" t="str">
        <f t="shared" si="91"/>
        <v/>
      </c>
      <c r="BN182">
        <f t="shared" si="116"/>
        <v>0</v>
      </c>
      <c r="BO182">
        <f t="shared" si="117"/>
        <v>8</v>
      </c>
      <c r="BS182" t="str">
        <f t="shared" si="118"/>
        <v/>
      </c>
      <c r="BT182">
        <f t="shared" si="119"/>
        <v>0</v>
      </c>
      <c r="BU182">
        <f t="shared" si="120"/>
        <v>9</v>
      </c>
      <c r="BW182" t="str">
        <f t="shared" si="121"/>
        <v/>
      </c>
      <c r="BY182" t="str">
        <f t="shared" si="122"/>
        <v/>
      </c>
      <c r="BZ182">
        <f t="shared" si="123"/>
        <v>0</v>
      </c>
      <c r="CA182">
        <f t="shared" si="124"/>
        <v>12</v>
      </c>
      <c r="CC182" t="str">
        <f t="shared" si="125"/>
        <v/>
      </c>
      <c r="CI182" t="str">
        <f>IF(基础资料!$E82="","",基础资料!$E82)</f>
        <v/>
      </c>
      <c r="CJ182">
        <f t="shared" si="126"/>
        <v>0</v>
      </c>
      <c r="CK182">
        <f t="shared" si="127"/>
        <v>24</v>
      </c>
      <c r="CL182" t="str">
        <f t="shared" si="128"/>
        <v/>
      </c>
      <c r="CP182">
        <f>IF(包装物料出入库明细!$D182="",0,1)</f>
        <v>0</v>
      </c>
      <c r="CQ182">
        <f t="shared" si="129"/>
        <v>37</v>
      </c>
      <c r="CS182" t="str">
        <f>IF(OR(周转筐出入库明细!$C183="",周转筐出入库明细!$F183&lt;&gt;"采购入库"),"",周转筐出入库明细!$C183)</f>
        <v/>
      </c>
      <c r="CT182">
        <f t="shared" si="130"/>
        <v>0</v>
      </c>
      <c r="CU182">
        <f t="shared" si="131"/>
        <v>1</v>
      </c>
      <c r="CW182" t="str">
        <f>IFERROR(INDEX($CS$4:$CS$2003,MATCH(179,$CU$4:$CU$2003,0)),"")</f>
        <v/>
      </c>
    </row>
    <row r="183" spans="1:101">
      <c r="A183" t="str">
        <f>IF(包装物料出入库明细!$E183="","",包装物料出入库明细!$E183)</f>
        <v/>
      </c>
      <c r="B183">
        <f t="shared" si="92"/>
        <v>0</v>
      </c>
      <c r="C183">
        <f t="shared" si="93"/>
        <v>7</v>
      </c>
      <c r="D183" t="str">
        <f>IF(包装物料出入库明细!$E183="","",包装物料出入库明细!$F183)</f>
        <v/>
      </c>
      <c r="E183" t="str">
        <f>IF(包装物料出入库明细!$E183="","",包装物料出入库明细!$G183)</f>
        <v/>
      </c>
      <c r="K183" t="str">
        <f>IF(包装物料出入库明细!$D183="","",包装物料出入库明细!$D183)</f>
        <v/>
      </c>
      <c r="L183">
        <f t="shared" si="94"/>
        <v>0</v>
      </c>
      <c r="M183">
        <f t="shared" si="95"/>
        <v>9</v>
      </c>
      <c r="O183" t="str">
        <f t="shared" si="96"/>
        <v/>
      </c>
      <c r="Q183" t="str">
        <f>IF(周转筐出入库明细!$D184="","",周转筐出入库明细!$D184)</f>
        <v/>
      </c>
      <c r="R183">
        <f t="shared" si="97"/>
        <v>0</v>
      </c>
      <c r="S183">
        <f t="shared" si="98"/>
        <v>5</v>
      </c>
      <c r="W183" t="str">
        <f>IF(周转筐出入库明细!$C184="","",周转筐出入库明细!$C184)</f>
        <v/>
      </c>
      <c r="X183">
        <f t="shared" si="99"/>
        <v>0</v>
      </c>
      <c r="Y183">
        <f t="shared" si="100"/>
        <v>12</v>
      </c>
      <c r="AA183" t="str">
        <f t="shared" si="101"/>
        <v/>
      </c>
      <c r="AC183" t="str">
        <f>IF(客户自备加工筐明细!$C183="","",客户自备加工筐明细!$C183)</f>
        <v/>
      </c>
      <c r="AD183">
        <f t="shared" si="102"/>
        <v>0</v>
      </c>
      <c r="AE183">
        <f t="shared" si="103"/>
        <v>1</v>
      </c>
      <c r="AI183" t="str">
        <f>IF(客户自备加工筐明细!$E183="","",客户自备加工筐明细!$E183)</f>
        <v/>
      </c>
      <c r="AJ183">
        <f t="shared" si="104"/>
        <v>0</v>
      </c>
      <c r="AK183">
        <f t="shared" si="105"/>
        <v>1</v>
      </c>
      <c r="AM183" t="str">
        <f>IFERROR(INDEX($AI$4:$AI$1503,MATCH(180,$AK$4:$AK$1503,0)),"")</f>
        <v/>
      </c>
      <c r="AO183" t="str">
        <f>IF(次果筐明细!$D183="","",次果筐明细!$D183)</f>
        <v/>
      </c>
      <c r="AP183">
        <f t="shared" si="106"/>
        <v>0</v>
      </c>
      <c r="AQ183">
        <f t="shared" si="107"/>
        <v>1</v>
      </c>
      <c r="AU183" t="str">
        <f>IF(次果筐明细!$C183="","",次果筐明细!$C183)</f>
        <v/>
      </c>
      <c r="AV183">
        <f t="shared" si="108"/>
        <v>0</v>
      </c>
      <c r="AW183">
        <f t="shared" si="109"/>
        <v>1</v>
      </c>
      <c r="AY183" t="str">
        <f t="shared" si="110"/>
        <v/>
      </c>
      <c r="BA183" t="str">
        <f>IF(对接源_01水果筐数!$B184="","",对接源_01水果筐数!$B184)</f>
        <v/>
      </c>
      <c r="BB183">
        <f t="shared" si="111"/>
        <v>0</v>
      </c>
      <c r="BC183">
        <f t="shared" si="112"/>
        <v>14</v>
      </c>
      <c r="BE183" t="str">
        <f t="shared" si="113"/>
        <v/>
      </c>
      <c r="BG183" t="str">
        <f>IF(对接源_01水果筐数!$C184="","",对接源_01水果筐数!$C184)</f>
        <v/>
      </c>
      <c r="BH183">
        <f t="shared" si="114"/>
        <v>0</v>
      </c>
      <c r="BI183">
        <f t="shared" si="115"/>
        <v>7</v>
      </c>
      <c r="BM183" t="str">
        <f t="shared" si="91"/>
        <v/>
      </c>
      <c r="BN183">
        <f t="shared" si="116"/>
        <v>0</v>
      </c>
      <c r="BO183">
        <f t="shared" si="117"/>
        <v>8</v>
      </c>
      <c r="BS183" t="str">
        <f t="shared" si="118"/>
        <v/>
      </c>
      <c r="BT183">
        <f t="shared" si="119"/>
        <v>0</v>
      </c>
      <c r="BU183">
        <f t="shared" si="120"/>
        <v>9</v>
      </c>
      <c r="BW183" t="str">
        <f t="shared" si="121"/>
        <v/>
      </c>
      <c r="BY183" t="str">
        <f t="shared" si="122"/>
        <v/>
      </c>
      <c r="BZ183">
        <f t="shared" si="123"/>
        <v>0</v>
      </c>
      <c r="CA183">
        <f t="shared" si="124"/>
        <v>12</v>
      </c>
      <c r="CC183" t="str">
        <f t="shared" si="125"/>
        <v/>
      </c>
      <c r="CI183" t="str">
        <f>IF(基础资料!$E83="","",基础资料!$E83)</f>
        <v/>
      </c>
      <c r="CJ183">
        <f t="shared" si="126"/>
        <v>0</v>
      </c>
      <c r="CK183">
        <f t="shared" si="127"/>
        <v>24</v>
      </c>
      <c r="CL183" t="str">
        <f t="shared" si="128"/>
        <v/>
      </c>
      <c r="CP183">
        <f>IF(包装物料出入库明细!$D183="",0,1)</f>
        <v>0</v>
      </c>
      <c r="CQ183">
        <f t="shared" si="129"/>
        <v>37</v>
      </c>
      <c r="CS183" t="str">
        <f>IF(OR(周转筐出入库明细!$C184="",周转筐出入库明细!$F184&lt;&gt;"采购入库"),"",周转筐出入库明细!$C184)</f>
        <v/>
      </c>
      <c r="CT183">
        <f t="shared" si="130"/>
        <v>0</v>
      </c>
      <c r="CU183">
        <f t="shared" si="131"/>
        <v>1</v>
      </c>
      <c r="CW183" t="str">
        <f>IFERROR(INDEX($CS$4:$CS$2003,MATCH(180,$CU$4:$CU$2003,0)),"")</f>
        <v/>
      </c>
    </row>
    <row r="184" spans="1:101">
      <c r="A184" t="str">
        <f>IF(包装物料出入库明细!$E184="","",包装物料出入库明细!$E184)</f>
        <v/>
      </c>
      <c r="B184">
        <f t="shared" si="92"/>
        <v>0</v>
      </c>
      <c r="C184">
        <f t="shared" si="93"/>
        <v>7</v>
      </c>
      <c r="D184" t="str">
        <f>IF(包装物料出入库明细!$E184="","",包装物料出入库明细!$F184)</f>
        <v/>
      </c>
      <c r="E184" t="str">
        <f>IF(包装物料出入库明细!$E184="","",包装物料出入库明细!$G184)</f>
        <v/>
      </c>
      <c r="K184" t="str">
        <f>IF(包装物料出入库明细!$D184="","",包装物料出入库明细!$D184)</f>
        <v/>
      </c>
      <c r="L184">
        <f t="shared" si="94"/>
        <v>0</v>
      </c>
      <c r="M184">
        <f t="shared" si="95"/>
        <v>9</v>
      </c>
      <c r="O184" t="str">
        <f t="shared" si="96"/>
        <v/>
      </c>
      <c r="Q184" t="str">
        <f>IF(周转筐出入库明细!$D185="","",周转筐出入库明细!$D185)</f>
        <v/>
      </c>
      <c r="R184">
        <f t="shared" si="97"/>
        <v>0</v>
      </c>
      <c r="S184">
        <f t="shared" si="98"/>
        <v>5</v>
      </c>
      <c r="W184" t="str">
        <f>IF(周转筐出入库明细!$C185="","",周转筐出入库明细!$C185)</f>
        <v/>
      </c>
      <c r="X184">
        <f t="shared" si="99"/>
        <v>0</v>
      </c>
      <c r="Y184">
        <f t="shared" si="100"/>
        <v>12</v>
      </c>
      <c r="AA184" t="str">
        <f t="shared" si="101"/>
        <v/>
      </c>
      <c r="AC184" t="str">
        <f>IF(客户自备加工筐明细!$C184="","",客户自备加工筐明细!$C184)</f>
        <v/>
      </c>
      <c r="AD184">
        <f t="shared" si="102"/>
        <v>0</v>
      </c>
      <c r="AE184">
        <f t="shared" si="103"/>
        <v>1</v>
      </c>
      <c r="AI184" t="str">
        <f>IF(客户自备加工筐明细!$E184="","",客户自备加工筐明细!$E184)</f>
        <v/>
      </c>
      <c r="AJ184">
        <f t="shared" si="104"/>
        <v>0</v>
      </c>
      <c r="AK184">
        <f t="shared" si="105"/>
        <v>1</v>
      </c>
      <c r="AM184" t="str">
        <f>IFERROR(INDEX($AI$4:$AI$1503,MATCH(181,$AK$4:$AK$1503,0)),"")</f>
        <v/>
      </c>
      <c r="AO184" t="str">
        <f>IF(次果筐明细!$D184="","",次果筐明细!$D184)</f>
        <v/>
      </c>
      <c r="AP184">
        <f t="shared" si="106"/>
        <v>0</v>
      </c>
      <c r="AQ184">
        <f t="shared" si="107"/>
        <v>1</v>
      </c>
      <c r="AU184" t="str">
        <f>IF(次果筐明细!$C184="","",次果筐明细!$C184)</f>
        <v/>
      </c>
      <c r="AV184">
        <f t="shared" si="108"/>
        <v>0</v>
      </c>
      <c r="AW184">
        <f t="shared" si="109"/>
        <v>1</v>
      </c>
      <c r="AY184" t="str">
        <f t="shared" si="110"/>
        <v/>
      </c>
      <c r="BA184" t="str">
        <f>IF(对接源_01水果筐数!$B185="","",对接源_01水果筐数!$B185)</f>
        <v/>
      </c>
      <c r="BB184">
        <f t="shared" si="111"/>
        <v>0</v>
      </c>
      <c r="BC184">
        <f t="shared" si="112"/>
        <v>14</v>
      </c>
      <c r="BE184" t="str">
        <f t="shared" si="113"/>
        <v/>
      </c>
      <c r="BG184" t="str">
        <f>IF(对接源_01水果筐数!$C185="","",对接源_01水果筐数!$C185)</f>
        <v/>
      </c>
      <c r="BH184">
        <f t="shared" si="114"/>
        <v>0</v>
      </c>
      <c r="BI184">
        <f t="shared" si="115"/>
        <v>7</v>
      </c>
      <c r="BS184" t="str">
        <f t="shared" si="118"/>
        <v/>
      </c>
      <c r="BT184">
        <f t="shared" si="119"/>
        <v>0</v>
      </c>
      <c r="BU184">
        <f t="shared" si="120"/>
        <v>9</v>
      </c>
      <c r="BW184" t="str">
        <f t="shared" si="121"/>
        <v/>
      </c>
      <c r="BY184" t="str">
        <f t="shared" si="122"/>
        <v/>
      </c>
      <c r="BZ184">
        <f t="shared" si="123"/>
        <v>0</v>
      </c>
      <c r="CA184">
        <f t="shared" si="124"/>
        <v>12</v>
      </c>
      <c r="CC184" t="str">
        <f t="shared" si="125"/>
        <v/>
      </c>
      <c r="CI184" t="str">
        <f>IF(基础资料!$E84="","",基础资料!$E84)</f>
        <v/>
      </c>
      <c r="CJ184">
        <f t="shared" si="126"/>
        <v>0</v>
      </c>
      <c r="CK184">
        <f t="shared" si="127"/>
        <v>24</v>
      </c>
      <c r="CL184" t="str">
        <f t="shared" si="128"/>
        <v/>
      </c>
      <c r="CP184">
        <f>IF(包装物料出入库明细!$D184="",0,1)</f>
        <v>0</v>
      </c>
      <c r="CQ184">
        <f t="shared" si="129"/>
        <v>37</v>
      </c>
      <c r="CS184" t="str">
        <f>IF(OR(周转筐出入库明细!$C185="",周转筐出入库明细!$F185&lt;&gt;"采购入库"),"",周转筐出入库明细!$C185)</f>
        <v/>
      </c>
      <c r="CT184">
        <f t="shared" si="130"/>
        <v>0</v>
      </c>
      <c r="CU184">
        <f t="shared" si="131"/>
        <v>1</v>
      </c>
      <c r="CW184" t="str">
        <f>IFERROR(INDEX($CS$4:$CS$2003,MATCH(181,$CU$4:$CU$2003,0)),"")</f>
        <v/>
      </c>
    </row>
    <row r="185" spans="1:101">
      <c r="A185" t="str">
        <f>IF(包装物料出入库明细!$E185="","",包装物料出入库明细!$E185)</f>
        <v/>
      </c>
      <c r="B185">
        <f t="shared" si="92"/>
        <v>0</v>
      </c>
      <c r="C185">
        <f t="shared" si="93"/>
        <v>7</v>
      </c>
      <c r="D185" t="str">
        <f>IF(包装物料出入库明细!$E185="","",包装物料出入库明细!$F185)</f>
        <v/>
      </c>
      <c r="E185" t="str">
        <f>IF(包装物料出入库明细!$E185="","",包装物料出入库明细!$G185)</f>
        <v/>
      </c>
      <c r="K185" t="str">
        <f>IF(包装物料出入库明细!$D185="","",包装物料出入库明细!$D185)</f>
        <v/>
      </c>
      <c r="L185">
        <f t="shared" si="94"/>
        <v>0</v>
      </c>
      <c r="M185">
        <f t="shared" si="95"/>
        <v>9</v>
      </c>
      <c r="O185" t="str">
        <f t="shared" si="96"/>
        <v/>
      </c>
      <c r="Q185" t="str">
        <f>IF(周转筐出入库明细!$D186="","",周转筐出入库明细!$D186)</f>
        <v/>
      </c>
      <c r="R185">
        <f t="shared" si="97"/>
        <v>0</v>
      </c>
      <c r="S185">
        <f t="shared" si="98"/>
        <v>5</v>
      </c>
      <c r="W185" t="str">
        <f>IF(周转筐出入库明细!$C186="","",周转筐出入库明细!$C186)</f>
        <v/>
      </c>
      <c r="X185">
        <f t="shared" si="99"/>
        <v>0</v>
      </c>
      <c r="Y185">
        <f t="shared" si="100"/>
        <v>12</v>
      </c>
      <c r="AA185" t="str">
        <f t="shared" si="101"/>
        <v/>
      </c>
      <c r="AC185" t="str">
        <f>IF(客户自备加工筐明细!$C185="","",客户自备加工筐明细!$C185)</f>
        <v/>
      </c>
      <c r="AD185">
        <f t="shared" si="102"/>
        <v>0</v>
      </c>
      <c r="AE185">
        <f t="shared" si="103"/>
        <v>1</v>
      </c>
      <c r="AI185" t="str">
        <f>IF(客户自备加工筐明细!$E185="","",客户自备加工筐明细!$E185)</f>
        <v/>
      </c>
      <c r="AJ185">
        <f t="shared" si="104"/>
        <v>0</v>
      </c>
      <c r="AK185">
        <f t="shared" si="105"/>
        <v>1</v>
      </c>
      <c r="AM185" t="str">
        <f>IFERROR(INDEX($AI$4:$AI$1503,MATCH(182,$AK$4:$AK$1503,0)),"")</f>
        <v/>
      </c>
      <c r="AO185" t="str">
        <f>IF(次果筐明细!$D185="","",次果筐明细!$D185)</f>
        <v/>
      </c>
      <c r="AP185">
        <f t="shared" si="106"/>
        <v>0</v>
      </c>
      <c r="AQ185">
        <f t="shared" si="107"/>
        <v>1</v>
      </c>
      <c r="AU185" t="str">
        <f>IF(次果筐明细!$C185="","",次果筐明细!$C185)</f>
        <v/>
      </c>
      <c r="AV185">
        <f t="shared" si="108"/>
        <v>0</v>
      </c>
      <c r="AW185">
        <f t="shared" si="109"/>
        <v>1</v>
      </c>
      <c r="AY185" t="str">
        <f t="shared" si="110"/>
        <v/>
      </c>
      <c r="BA185" t="str">
        <f>IF(对接源_01水果筐数!$B186="","",对接源_01水果筐数!$B186)</f>
        <v/>
      </c>
      <c r="BB185">
        <f t="shared" si="111"/>
        <v>0</v>
      </c>
      <c r="BC185">
        <f t="shared" si="112"/>
        <v>14</v>
      </c>
      <c r="BE185" t="str">
        <f t="shared" si="113"/>
        <v/>
      </c>
      <c r="BG185" t="str">
        <f>IF(对接源_01水果筐数!$C186="","",对接源_01水果筐数!$C186)</f>
        <v/>
      </c>
      <c r="BH185">
        <f t="shared" si="114"/>
        <v>0</v>
      </c>
      <c r="BI185">
        <f t="shared" si="115"/>
        <v>7</v>
      </c>
      <c r="BS185" t="str">
        <f t="shared" si="118"/>
        <v/>
      </c>
      <c r="BT185">
        <f t="shared" si="119"/>
        <v>0</v>
      </c>
      <c r="BU185">
        <f t="shared" si="120"/>
        <v>9</v>
      </c>
      <c r="BW185" t="str">
        <f t="shared" si="121"/>
        <v/>
      </c>
      <c r="BY185" t="str">
        <f t="shared" si="122"/>
        <v/>
      </c>
      <c r="BZ185">
        <f t="shared" si="123"/>
        <v>0</v>
      </c>
      <c r="CA185">
        <f t="shared" si="124"/>
        <v>12</v>
      </c>
      <c r="CC185" t="str">
        <f t="shared" si="125"/>
        <v/>
      </c>
      <c r="CI185" t="str">
        <f>IF(基础资料!$E85="","",基础资料!$E85)</f>
        <v/>
      </c>
      <c r="CJ185">
        <f t="shared" si="126"/>
        <v>0</v>
      </c>
      <c r="CK185">
        <f t="shared" si="127"/>
        <v>24</v>
      </c>
      <c r="CL185" t="str">
        <f t="shared" si="128"/>
        <v/>
      </c>
      <c r="CP185">
        <f>IF(包装物料出入库明细!$D185="",0,1)</f>
        <v>0</v>
      </c>
      <c r="CQ185">
        <f t="shared" si="129"/>
        <v>37</v>
      </c>
      <c r="CS185" t="str">
        <f>IF(OR(周转筐出入库明细!$C186="",周转筐出入库明细!$F186&lt;&gt;"采购入库"),"",周转筐出入库明细!$C186)</f>
        <v/>
      </c>
      <c r="CT185">
        <f t="shared" si="130"/>
        <v>0</v>
      </c>
      <c r="CU185">
        <f t="shared" si="131"/>
        <v>1</v>
      </c>
      <c r="CW185" t="str">
        <f>IFERROR(INDEX($CS$4:$CS$2003,MATCH(182,$CU$4:$CU$2003,0)),"")</f>
        <v/>
      </c>
    </row>
    <row r="186" spans="1:101">
      <c r="A186" t="str">
        <f>IF(包装物料出入库明细!$E186="","",包装物料出入库明细!$E186)</f>
        <v/>
      </c>
      <c r="B186">
        <f t="shared" si="92"/>
        <v>0</v>
      </c>
      <c r="C186">
        <f t="shared" si="93"/>
        <v>7</v>
      </c>
      <c r="D186" t="str">
        <f>IF(包装物料出入库明细!$E186="","",包装物料出入库明细!$F186)</f>
        <v/>
      </c>
      <c r="E186" t="str">
        <f>IF(包装物料出入库明细!$E186="","",包装物料出入库明细!$G186)</f>
        <v/>
      </c>
      <c r="K186" t="str">
        <f>IF(包装物料出入库明细!$D186="","",包装物料出入库明细!$D186)</f>
        <v/>
      </c>
      <c r="L186">
        <f t="shared" si="94"/>
        <v>0</v>
      </c>
      <c r="M186">
        <f t="shared" si="95"/>
        <v>9</v>
      </c>
      <c r="O186" t="str">
        <f t="shared" si="96"/>
        <v/>
      </c>
      <c r="Q186" t="str">
        <f>IF(周转筐出入库明细!$D187="","",周转筐出入库明细!$D187)</f>
        <v/>
      </c>
      <c r="R186">
        <f t="shared" si="97"/>
        <v>0</v>
      </c>
      <c r="S186">
        <f t="shared" si="98"/>
        <v>5</v>
      </c>
      <c r="W186" t="str">
        <f>IF(周转筐出入库明细!$C187="","",周转筐出入库明细!$C187)</f>
        <v/>
      </c>
      <c r="X186">
        <f t="shared" si="99"/>
        <v>0</v>
      </c>
      <c r="Y186">
        <f t="shared" si="100"/>
        <v>12</v>
      </c>
      <c r="AA186" t="str">
        <f t="shared" si="101"/>
        <v/>
      </c>
      <c r="AC186" t="str">
        <f>IF(客户自备加工筐明细!$C186="","",客户自备加工筐明细!$C186)</f>
        <v/>
      </c>
      <c r="AD186">
        <f t="shared" si="102"/>
        <v>0</v>
      </c>
      <c r="AE186">
        <f t="shared" si="103"/>
        <v>1</v>
      </c>
      <c r="AI186" t="str">
        <f>IF(客户自备加工筐明细!$E186="","",客户自备加工筐明细!$E186)</f>
        <v/>
      </c>
      <c r="AJ186">
        <f t="shared" si="104"/>
        <v>0</v>
      </c>
      <c r="AK186">
        <f t="shared" si="105"/>
        <v>1</v>
      </c>
      <c r="AM186" t="str">
        <f>IFERROR(INDEX($AI$4:$AI$1503,MATCH(183,$AK$4:$AK$1503,0)),"")</f>
        <v/>
      </c>
      <c r="AO186" t="str">
        <f>IF(次果筐明细!$D186="","",次果筐明细!$D186)</f>
        <v/>
      </c>
      <c r="AP186">
        <f t="shared" si="106"/>
        <v>0</v>
      </c>
      <c r="AQ186">
        <f t="shared" si="107"/>
        <v>1</v>
      </c>
      <c r="AU186" t="str">
        <f>IF(次果筐明细!$C186="","",次果筐明细!$C186)</f>
        <v/>
      </c>
      <c r="AV186">
        <f t="shared" si="108"/>
        <v>0</v>
      </c>
      <c r="AW186">
        <f t="shared" si="109"/>
        <v>1</v>
      </c>
      <c r="AY186" t="str">
        <f t="shared" si="110"/>
        <v/>
      </c>
      <c r="BA186" t="str">
        <f>IF(对接源_01水果筐数!$B187="","",对接源_01水果筐数!$B187)</f>
        <v/>
      </c>
      <c r="BB186">
        <f t="shared" si="111"/>
        <v>0</v>
      </c>
      <c r="BC186">
        <f t="shared" si="112"/>
        <v>14</v>
      </c>
      <c r="BE186" t="str">
        <f t="shared" si="113"/>
        <v/>
      </c>
      <c r="BG186" t="str">
        <f>IF(对接源_01水果筐数!$C187="","",对接源_01水果筐数!$C187)</f>
        <v/>
      </c>
      <c r="BH186">
        <f t="shared" si="114"/>
        <v>0</v>
      </c>
      <c r="BI186">
        <f t="shared" si="115"/>
        <v>7</v>
      </c>
      <c r="BS186" t="str">
        <f t="shared" si="118"/>
        <v/>
      </c>
      <c r="BT186">
        <f t="shared" si="119"/>
        <v>0</v>
      </c>
      <c r="BU186">
        <f t="shared" si="120"/>
        <v>9</v>
      </c>
      <c r="BW186" t="str">
        <f t="shared" si="121"/>
        <v/>
      </c>
      <c r="BY186" t="str">
        <f t="shared" si="122"/>
        <v/>
      </c>
      <c r="BZ186">
        <f t="shared" si="123"/>
        <v>0</v>
      </c>
      <c r="CA186">
        <f t="shared" si="124"/>
        <v>12</v>
      </c>
      <c r="CC186" t="str">
        <f t="shared" si="125"/>
        <v/>
      </c>
      <c r="CI186" t="str">
        <f>IF(基础资料!$E86="","",基础资料!$E86)</f>
        <v/>
      </c>
      <c r="CJ186">
        <f t="shared" si="126"/>
        <v>0</v>
      </c>
      <c r="CK186">
        <f t="shared" si="127"/>
        <v>24</v>
      </c>
      <c r="CL186" t="str">
        <f t="shared" si="128"/>
        <v/>
      </c>
      <c r="CP186">
        <f>IF(包装物料出入库明细!$D186="",0,1)</f>
        <v>0</v>
      </c>
      <c r="CQ186">
        <f t="shared" si="129"/>
        <v>37</v>
      </c>
      <c r="CS186" t="str">
        <f>IF(OR(周转筐出入库明细!$C187="",周转筐出入库明细!$F187&lt;&gt;"采购入库"),"",周转筐出入库明细!$C187)</f>
        <v/>
      </c>
      <c r="CT186">
        <f t="shared" si="130"/>
        <v>0</v>
      </c>
      <c r="CU186">
        <f t="shared" si="131"/>
        <v>1</v>
      </c>
      <c r="CW186" t="str">
        <f>IFERROR(INDEX($CS$4:$CS$2003,MATCH(183,$CU$4:$CU$2003,0)),"")</f>
        <v/>
      </c>
    </row>
    <row r="187" spans="1:101">
      <c r="A187" t="str">
        <f>IF(包装物料出入库明细!$E187="","",包装物料出入库明细!$E187)</f>
        <v/>
      </c>
      <c r="B187">
        <f t="shared" si="92"/>
        <v>0</v>
      </c>
      <c r="C187">
        <f t="shared" si="93"/>
        <v>7</v>
      </c>
      <c r="D187" t="str">
        <f>IF(包装物料出入库明细!$E187="","",包装物料出入库明细!$F187)</f>
        <v/>
      </c>
      <c r="E187" t="str">
        <f>IF(包装物料出入库明细!$E187="","",包装物料出入库明细!$G187)</f>
        <v/>
      </c>
      <c r="K187" t="str">
        <f>IF(包装物料出入库明细!$D187="","",包装物料出入库明细!$D187)</f>
        <v/>
      </c>
      <c r="L187">
        <f t="shared" si="94"/>
        <v>0</v>
      </c>
      <c r="M187">
        <f t="shared" si="95"/>
        <v>9</v>
      </c>
      <c r="O187" t="str">
        <f t="shared" si="96"/>
        <v/>
      </c>
      <c r="Q187" t="str">
        <f>IF(周转筐出入库明细!$D188="","",周转筐出入库明细!$D188)</f>
        <v/>
      </c>
      <c r="R187">
        <f t="shared" si="97"/>
        <v>0</v>
      </c>
      <c r="S187">
        <f t="shared" si="98"/>
        <v>5</v>
      </c>
      <c r="W187" t="str">
        <f>IF(周转筐出入库明细!$C188="","",周转筐出入库明细!$C188)</f>
        <v/>
      </c>
      <c r="X187">
        <f t="shared" si="99"/>
        <v>0</v>
      </c>
      <c r="Y187">
        <f t="shared" si="100"/>
        <v>12</v>
      </c>
      <c r="AA187" t="str">
        <f t="shared" si="101"/>
        <v/>
      </c>
      <c r="AC187" t="str">
        <f>IF(客户自备加工筐明细!$C187="","",客户自备加工筐明细!$C187)</f>
        <v/>
      </c>
      <c r="AD187">
        <f t="shared" si="102"/>
        <v>0</v>
      </c>
      <c r="AE187">
        <f t="shared" si="103"/>
        <v>1</v>
      </c>
      <c r="AI187" t="str">
        <f>IF(客户自备加工筐明细!$E187="","",客户自备加工筐明细!$E187)</f>
        <v/>
      </c>
      <c r="AJ187">
        <f t="shared" si="104"/>
        <v>0</v>
      </c>
      <c r="AK187">
        <f t="shared" si="105"/>
        <v>1</v>
      </c>
      <c r="AM187" t="str">
        <f>IFERROR(INDEX($AI$4:$AI$1503,MATCH(184,$AK$4:$AK$1503,0)),"")</f>
        <v/>
      </c>
      <c r="AO187" t="str">
        <f>IF(次果筐明细!$D187="","",次果筐明细!$D187)</f>
        <v/>
      </c>
      <c r="AP187">
        <f t="shared" si="106"/>
        <v>0</v>
      </c>
      <c r="AQ187">
        <f t="shared" si="107"/>
        <v>1</v>
      </c>
      <c r="AU187" t="str">
        <f>IF(次果筐明细!$C187="","",次果筐明细!$C187)</f>
        <v/>
      </c>
      <c r="AV187">
        <f t="shared" si="108"/>
        <v>0</v>
      </c>
      <c r="AW187">
        <f t="shared" si="109"/>
        <v>1</v>
      </c>
      <c r="AY187" t="str">
        <f t="shared" si="110"/>
        <v/>
      </c>
      <c r="BA187" t="str">
        <f>IF(对接源_01水果筐数!$B188="","",对接源_01水果筐数!$B188)</f>
        <v/>
      </c>
      <c r="BB187">
        <f t="shared" si="111"/>
        <v>0</v>
      </c>
      <c r="BC187">
        <f t="shared" si="112"/>
        <v>14</v>
      </c>
      <c r="BE187" t="str">
        <f t="shared" si="113"/>
        <v/>
      </c>
      <c r="BG187" t="str">
        <f>IF(对接源_01水果筐数!$C188="","",对接源_01水果筐数!$C188)</f>
        <v/>
      </c>
      <c r="BH187">
        <f t="shared" si="114"/>
        <v>0</v>
      </c>
      <c r="BI187">
        <f t="shared" si="115"/>
        <v>7</v>
      </c>
      <c r="BS187" t="str">
        <f t="shared" si="118"/>
        <v/>
      </c>
      <c r="BT187">
        <f t="shared" si="119"/>
        <v>0</v>
      </c>
      <c r="BU187">
        <f t="shared" si="120"/>
        <v>9</v>
      </c>
      <c r="BW187" t="str">
        <f t="shared" si="121"/>
        <v/>
      </c>
      <c r="BY187" t="str">
        <f t="shared" si="122"/>
        <v/>
      </c>
      <c r="BZ187">
        <f t="shared" si="123"/>
        <v>0</v>
      </c>
      <c r="CA187">
        <f t="shared" si="124"/>
        <v>12</v>
      </c>
      <c r="CC187" t="str">
        <f t="shared" si="125"/>
        <v/>
      </c>
      <c r="CI187" t="str">
        <f>IF(基础资料!$E87="","",基础资料!$E87)</f>
        <v/>
      </c>
      <c r="CJ187">
        <f t="shared" si="126"/>
        <v>0</v>
      </c>
      <c r="CK187">
        <f t="shared" si="127"/>
        <v>24</v>
      </c>
      <c r="CL187" t="str">
        <f t="shared" si="128"/>
        <v/>
      </c>
      <c r="CP187">
        <f>IF(包装物料出入库明细!$D187="",0,1)</f>
        <v>0</v>
      </c>
      <c r="CQ187">
        <f t="shared" si="129"/>
        <v>37</v>
      </c>
      <c r="CS187" t="str">
        <f>IF(OR(周转筐出入库明细!$C188="",周转筐出入库明细!$F188&lt;&gt;"采购入库"),"",周转筐出入库明细!$C188)</f>
        <v/>
      </c>
      <c r="CT187">
        <f t="shared" si="130"/>
        <v>0</v>
      </c>
      <c r="CU187">
        <f t="shared" si="131"/>
        <v>1</v>
      </c>
      <c r="CW187" t="str">
        <f>IFERROR(INDEX($CS$4:$CS$2003,MATCH(184,$CU$4:$CU$2003,0)),"")</f>
        <v/>
      </c>
    </row>
    <row r="188" spans="1:101">
      <c r="A188" t="str">
        <f>IF(包装物料出入库明细!$E188="","",包装物料出入库明细!$E188)</f>
        <v/>
      </c>
      <c r="B188">
        <f t="shared" si="92"/>
        <v>0</v>
      </c>
      <c r="C188">
        <f t="shared" si="93"/>
        <v>7</v>
      </c>
      <c r="D188" t="str">
        <f>IF(包装物料出入库明细!$E188="","",包装物料出入库明细!$F188)</f>
        <v/>
      </c>
      <c r="E188" t="str">
        <f>IF(包装物料出入库明细!$E188="","",包装物料出入库明细!$G188)</f>
        <v/>
      </c>
      <c r="K188" t="str">
        <f>IF(包装物料出入库明细!$D188="","",包装物料出入库明细!$D188)</f>
        <v/>
      </c>
      <c r="L188">
        <f t="shared" si="94"/>
        <v>0</v>
      </c>
      <c r="M188">
        <f t="shared" si="95"/>
        <v>9</v>
      </c>
      <c r="O188" t="str">
        <f t="shared" si="96"/>
        <v/>
      </c>
      <c r="Q188" t="str">
        <f>IF(周转筐出入库明细!$D189="","",周转筐出入库明细!$D189)</f>
        <v/>
      </c>
      <c r="R188">
        <f t="shared" si="97"/>
        <v>0</v>
      </c>
      <c r="S188">
        <f t="shared" si="98"/>
        <v>5</v>
      </c>
      <c r="W188" t="str">
        <f>IF(周转筐出入库明细!$C189="","",周转筐出入库明细!$C189)</f>
        <v/>
      </c>
      <c r="X188">
        <f t="shared" si="99"/>
        <v>0</v>
      </c>
      <c r="Y188">
        <f t="shared" si="100"/>
        <v>12</v>
      </c>
      <c r="AA188" t="str">
        <f t="shared" si="101"/>
        <v/>
      </c>
      <c r="AC188" t="str">
        <f>IF(客户自备加工筐明细!$C188="","",客户自备加工筐明细!$C188)</f>
        <v/>
      </c>
      <c r="AD188">
        <f t="shared" si="102"/>
        <v>0</v>
      </c>
      <c r="AE188">
        <f t="shared" si="103"/>
        <v>1</v>
      </c>
      <c r="AI188" t="str">
        <f>IF(客户自备加工筐明细!$E188="","",客户自备加工筐明细!$E188)</f>
        <v/>
      </c>
      <c r="AJ188">
        <f t="shared" si="104"/>
        <v>0</v>
      </c>
      <c r="AK188">
        <f t="shared" si="105"/>
        <v>1</v>
      </c>
      <c r="AM188" t="str">
        <f>IFERROR(INDEX($AI$4:$AI$1503,MATCH(185,$AK$4:$AK$1503,0)),"")</f>
        <v/>
      </c>
      <c r="AO188" t="str">
        <f>IF(次果筐明细!$D188="","",次果筐明细!$D188)</f>
        <v/>
      </c>
      <c r="AP188">
        <f t="shared" si="106"/>
        <v>0</v>
      </c>
      <c r="AQ188">
        <f t="shared" si="107"/>
        <v>1</v>
      </c>
      <c r="AU188" t="str">
        <f>IF(次果筐明细!$C188="","",次果筐明细!$C188)</f>
        <v/>
      </c>
      <c r="AV188">
        <f t="shared" si="108"/>
        <v>0</v>
      </c>
      <c r="AW188">
        <f t="shared" si="109"/>
        <v>1</v>
      </c>
      <c r="AY188" t="str">
        <f t="shared" si="110"/>
        <v/>
      </c>
      <c r="BA188" t="str">
        <f>IF(对接源_01水果筐数!$B189="","",对接源_01水果筐数!$B189)</f>
        <v/>
      </c>
      <c r="BB188">
        <f t="shared" si="111"/>
        <v>0</v>
      </c>
      <c r="BC188">
        <f t="shared" si="112"/>
        <v>14</v>
      </c>
      <c r="BE188" t="str">
        <f t="shared" si="113"/>
        <v/>
      </c>
      <c r="BG188" t="str">
        <f>IF(对接源_01水果筐数!$C189="","",对接源_01水果筐数!$C189)</f>
        <v/>
      </c>
      <c r="BH188">
        <f t="shared" si="114"/>
        <v>0</v>
      </c>
      <c r="BI188">
        <f t="shared" si="115"/>
        <v>7</v>
      </c>
      <c r="BS188" t="str">
        <f t="shared" si="118"/>
        <v/>
      </c>
      <c r="BT188">
        <f t="shared" si="119"/>
        <v>0</v>
      </c>
      <c r="BU188">
        <f t="shared" si="120"/>
        <v>9</v>
      </c>
      <c r="BW188" t="str">
        <f t="shared" si="121"/>
        <v/>
      </c>
      <c r="BY188" t="str">
        <f t="shared" si="122"/>
        <v/>
      </c>
      <c r="BZ188">
        <f t="shared" si="123"/>
        <v>0</v>
      </c>
      <c r="CA188">
        <f t="shared" si="124"/>
        <v>12</v>
      </c>
      <c r="CC188" t="str">
        <f t="shared" si="125"/>
        <v/>
      </c>
      <c r="CI188" t="str">
        <f>IF(基础资料!$E88="","",基础资料!$E88)</f>
        <v/>
      </c>
      <c r="CJ188">
        <f t="shared" si="126"/>
        <v>0</v>
      </c>
      <c r="CK188">
        <f t="shared" si="127"/>
        <v>24</v>
      </c>
      <c r="CL188" t="str">
        <f t="shared" si="128"/>
        <v/>
      </c>
      <c r="CP188">
        <f>IF(包装物料出入库明细!$D188="",0,1)</f>
        <v>0</v>
      </c>
      <c r="CQ188">
        <f t="shared" si="129"/>
        <v>37</v>
      </c>
      <c r="CS188" t="str">
        <f>IF(OR(周转筐出入库明细!$C189="",周转筐出入库明细!$F189&lt;&gt;"采购入库"),"",周转筐出入库明细!$C189)</f>
        <v/>
      </c>
      <c r="CT188">
        <f t="shared" si="130"/>
        <v>0</v>
      </c>
      <c r="CU188">
        <f t="shared" si="131"/>
        <v>1</v>
      </c>
      <c r="CW188" t="str">
        <f>IFERROR(INDEX($CS$4:$CS$2003,MATCH(185,$CU$4:$CU$2003,0)),"")</f>
        <v/>
      </c>
    </row>
    <row r="189" spans="1:101">
      <c r="A189" t="str">
        <f>IF(包装物料出入库明细!$E189="","",包装物料出入库明细!$E189)</f>
        <v/>
      </c>
      <c r="B189">
        <f t="shared" si="92"/>
        <v>0</v>
      </c>
      <c r="C189">
        <f t="shared" si="93"/>
        <v>7</v>
      </c>
      <c r="D189" t="str">
        <f>IF(包装物料出入库明细!$E189="","",包装物料出入库明细!$F189)</f>
        <v/>
      </c>
      <c r="E189" t="str">
        <f>IF(包装物料出入库明细!$E189="","",包装物料出入库明细!$G189)</f>
        <v/>
      </c>
      <c r="K189" t="str">
        <f>IF(包装物料出入库明细!$D189="","",包装物料出入库明细!$D189)</f>
        <v/>
      </c>
      <c r="L189">
        <f t="shared" si="94"/>
        <v>0</v>
      </c>
      <c r="M189">
        <f t="shared" si="95"/>
        <v>9</v>
      </c>
      <c r="O189" t="str">
        <f t="shared" si="96"/>
        <v/>
      </c>
      <c r="Q189" t="str">
        <f>IF(周转筐出入库明细!$D190="","",周转筐出入库明细!$D190)</f>
        <v/>
      </c>
      <c r="R189">
        <f t="shared" si="97"/>
        <v>0</v>
      </c>
      <c r="S189">
        <f t="shared" si="98"/>
        <v>5</v>
      </c>
      <c r="W189" t="str">
        <f>IF(周转筐出入库明细!$C190="","",周转筐出入库明细!$C190)</f>
        <v/>
      </c>
      <c r="X189">
        <f t="shared" si="99"/>
        <v>0</v>
      </c>
      <c r="Y189">
        <f t="shared" si="100"/>
        <v>12</v>
      </c>
      <c r="AA189" t="str">
        <f t="shared" si="101"/>
        <v/>
      </c>
      <c r="AC189" t="str">
        <f>IF(客户自备加工筐明细!$C189="","",客户自备加工筐明细!$C189)</f>
        <v/>
      </c>
      <c r="AD189">
        <f t="shared" si="102"/>
        <v>0</v>
      </c>
      <c r="AE189">
        <f t="shared" si="103"/>
        <v>1</v>
      </c>
      <c r="AI189" t="str">
        <f>IF(客户自备加工筐明细!$E189="","",客户自备加工筐明细!$E189)</f>
        <v/>
      </c>
      <c r="AJ189">
        <f t="shared" si="104"/>
        <v>0</v>
      </c>
      <c r="AK189">
        <f t="shared" si="105"/>
        <v>1</v>
      </c>
      <c r="AM189" t="str">
        <f>IFERROR(INDEX($AI$4:$AI$1503,MATCH(186,$AK$4:$AK$1503,0)),"")</f>
        <v/>
      </c>
      <c r="AO189" t="str">
        <f>IF(次果筐明细!$D189="","",次果筐明细!$D189)</f>
        <v/>
      </c>
      <c r="AP189">
        <f t="shared" si="106"/>
        <v>0</v>
      </c>
      <c r="AQ189">
        <f t="shared" si="107"/>
        <v>1</v>
      </c>
      <c r="AU189" t="str">
        <f>IF(次果筐明细!$C189="","",次果筐明细!$C189)</f>
        <v/>
      </c>
      <c r="AV189">
        <f t="shared" si="108"/>
        <v>0</v>
      </c>
      <c r="AW189">
        <f t="shared" si="109"/>
        <v>1</v>
      </c>
      <c r="AY189" t="str">
        <f t="shared" si="110"/>
        <v/>
      </c>
      <c r="BA189" t="str">
        <f>IF(对接源_01水果筐数!$B190="","",对接源_01水果筐数!$B190)</f>
        <v/>
      </c>
      <c r="BB189">
        <f t="shared" si="111"/>
        <v>0</v>
      </c>
      <c r="BC189">
        <f t="shared" si="112"/>
        <v>14</v>
      </c>
      <c r="BE189" t="str">
        <f t="shared" si="113"/>
        <v/>
      </c>
      <c r="BG189" t="str">
        <f>IF(对接源_01水果筐数!$C190="","",对接源_01水果筐数!$C190)</f>
        <v/>
      </c>
      <c r="BH189">
        <f t="shared" si="114"/>
        <v>0</v>
      </c>
      <c r="BI189">
        <f t="shared" si="115"/>
        <v>7</v>
      </c>
      <c r="BS189" t="str">
        <f t="shared" si="118"/>
        <v/>
      </c>
      <c r="BT189">
        <f t="shared" si="119"/>
        <v>0</v>
      </c>
      <c r="BU189">
        <f t="shared" si="120"/>
        <v>9</v>
      </c>
      <c r="BW189" t="str">
        <f t="shared" si="121"/>
        <v/>
      </c>
      <c r="BY189" t="str">
        <f t="shared" si="122"/>
        <v/>
      </c>
      <c r="BZ189">
        <f t="shared" si="123"/>
        <v>0</v>
      </c>
      <c r="CA189">
        <f t="shared" si="124"/>
        <v>12</v>
      </c>
      <c r="CC189" t="str">
        <f t="shared" si="125"/>
        <v/>
      </c>
      <c r="CI189" t="str">
        <f>IF(基础资料!$E89="","",基础资料!$E89)</f>
        <v/>
      </c>
      <c r="CJ189">
        <f t="shared" si="126"/>
        <v>0</v>
      </c>
      <c r="CK189">
        <f t="shared" si="127"/>
        <v>24</v>
      </c>
      <c r="CL189" t="str">
        <f t="shared" si="128"/>
        <v/>
      </c>
      <c r="CP189">
        <f>IF(包装物料出入库明细!$D189="",0,1)</f>
        <v>0</v>
      </c>
      <c r="CQ189">
        <f t="shared" si="129"/>
        <v>37</v>
      </c>
      <c r="CS189" t="str">
        <f>IF(OR(周转筐出入库明细!$C190="",周转筐出入库明细!$F190&lt;&gt;"采购入库"),"",周转筐出入库明细!$C190)</f>
        <v/>
      </c>
      <c r="CT189">
        <f t="shared" si="130"/>
        <v>0</v>
      </c>
      <c r="CU189">
        <f t="shared" si="131"/>
        <v>1</v>
      </c>
      <c r="CW189" t="str">
        <f>IFERROR(INDEX($CS$4:$CS$2003,MATCH(186,$CU$4:$CU$2003,0)),"")</f>
        <v/>
      </c>
    </row>
    <row r="190" spans="1:101">
      <c r="A190" t="str">
        <f>IF(包装物料出入库明细!$E190="","",包装物料出入库明细!$E190)</f>
        <v/>
      </c>
      <c r="B190">
        <f t="shared" si="92"/>
        <v>0</v>
      </c>
      <c r="C190">
        <f t="shared" si="93"/>
        <v>7</v>
      </c>
      <c r="D190" t="str">
        <f>IF(包装物料出入库明细!$E190="","",包装物料出入库明细!$F190)</f>
        <v/>
      </c>
      <c r="E190" t="str">
        <f>IF(包装物料出入库明细!$E190="","",包装物料出入库明细!$G190)</f>
        <v/>
      </c>
      <c r="K190" t="str">
        <f>IF(包装物料出入库明细!$D190="","",包装物料出入库明细!$D190)</f>
        <v/>
      </c>
      <c r="L190">
        <f t="shared" si="94"/>
        <v>0</v>
      </c>
      <c r="M190">
        <f t="shared" si="95"/>
        <v>9</v>
      </c>
      <c r="O190" t="str">
        <f t="shared" si="96"/>
        <v/>
      </c>
      <c r="Q190" t="str">
        <f>IF(周转筐出入库明细!$D191="","",周转筐出入库明细!$D191)</f>
        <v/>
      </c>
      <c r="R190">
        <f t="shared" si="97"/>
        <v>0</v>
      </c>
      <c r="S190">
        <f t="shared" si="98"/>
        <v>5</v>
      </c>
      <c r="W190" t="str">
        <f>IF(周转筐出入库明细!$C191="","",周转筐出入库明细!$C191)</f>
        <v/>
      </c>
      <c r="X190">
        <f t="shared" si="99"/>
        <v>0</v>
      </c>
      <c r="Y190">
        <f t="shared" si="100"/>
        <v>12</v>
      </c>
      <c r="AA190" t="str">
        <f t="shared" si="101"/>
        <v/>
      </c>
      <c r="AC190" t="str">
        <f>IF(客户自备加工筐明细!$C190="","",客户自备加工筐明细!$C190)</f>
        <v/>
      </c>
      <c r="AD190">
        <f t="shared" si="102"/>
        <v>0</v>
      </c>
      <c r="AE190">
        <f t="shared" si="103"/>
        <v>1</v>
      </c>
      <c r="AI190" t="str">
        <f>IF(客户自备加工筐明细!$E190="","",客户自备加工筐明细!$E190)</f>
        <v/>
      </c>
      <c r="AJ190">
        <f t="shared" si="104"/>
        <v>0</v>
      </c>
      <c r="AK190">
        <f t="shared" si="105"/>
        <v>1</v>
      </c>
      <c r="AM190" t="str">
        <f>IFERROR(INDEX($AI$4:$AI$1503,MATCH(187,$AK$4:$AK$1503,0)),"")</f>
        <v/>
      </c>
      <c r="AO190" t="str">
        <f>IF(次果筐明细!$D190="","",次果筐明细!$D190)</f>
        <v/>
      </c>
      <c r="AP190">
        <f t="shared" si="106"/>
        <v>0</v>
      </c>
      <c r="AQ190">
        <f t="shared" si="107"/>
        <v>1</v>
      </c>
      <c r="AU190" t="str">
        <f>IF(次果筐明细!$C190="","",次果筐明细!$C190)</f>
        <v/>
      </c>
      <c r="AV190">
        <f t="shared" si="108"/>
        <v>0</v>
      </c>
      <c r="AW190">
        <f t="shared" si="109"/>
        <v>1</v>
      </c>
      <c r="AY190" t="str">
        <f t="shared" si="110"/>
        <v/>
      </c>
      <c r="BA190" t="str">
        <f>IF(对接源_01水果筐数!$B191="","",对接源_01水果筐数!$B191)</f>
        <v/>
      </c>
      <c r="BB190">
        <f t="shared" si="111"/>
        <v>0</v>
      </c>
      <c r="BC190">
        <f t="shared" si="112"/>
        <v>14</v>
      </c>
      <c r="BE190" t="str">
        <f t="shared" si="113"/>
        <v/>
      </c>
      <c r="BG190" t="str">
        <f>IF(对接源_01水果筐数!$C191="","",对接源_01水果筐数!$C191)</f>
        <v/>
      </c>
      <c r="BH190">
        <f t="shared" si="114"/>
        <v>0</v>
      </c>
      <c r="BI190">
        <f t="shared" si="115"/>
        <v>7</v>
      </c>
      <c r="BS190" t="str">
        <f t="shared" si="118"/>
        <v/>
      </c>
      <c r="BT190">
        <f t="shared" si="119"/>
        <v>0</v>
      </c>
      <c r="BU190">
        <f t="shared" si="120"/>
        <v>9</v>
      </c>
      <c r="BW190" t="str">
        <f t="shared" si="121"/>
        <v/>
      </c>
      <c r="BY190" t="str">
        <f t="shared" si="122"/>
        <v/>
      </c>
      <c r="BZ190">
        <f t="shared" si="123"/>
        <v>0</v>
      </c>
      <c r="CA190">
        <f t="shared" si="124"/>
        <v>12</v>
      </c>
      <c r="CC190" t="str">
        <f t="shared" si="125"/>
        <v/>
      </c>
      <c r="CI190" t="str">
        <f>IF(基础资料!$E90="","",基础资料!$E90)</f>
        <v/>
      </c>
      <c r="CJ190">
        <f t="shared" si="126"/>
        <v>0</v>
      </c>
      <c r="CK190">
        <f t="shared" si="127"/>
        <v>24</v>
      </c>
      <c r="CL190" t="str">
        <f t="shared" si="128"/>
        <v/>
      </c>
      <c r="CP190">
        <f>IF(包装物料出入库明细!$D190="",0,1)</f>
        <v>0</v>
      </c>
      <c r="CQ190">
        <f t="shared" si="129"/>
        <v>37</v>
      </c>
      <c r="CS190" t="str">
        <f>IF(OR(周转筐出入库明细!$C191="",周转筐出入库明细!$F191&lt;&gt;"采购入库"),"",周转筐出入库明细!$C191)</f>
        <v/>
      </c>
      <c r="CT190">
        <f t="shared" si="130"/>
        <v>0</v>
      </c>
      <c r="CU190">
        <f t="shared" si="131"/>
        <v>1</v>
      </c>
      <c r="CW190" t="str">
        <f>IFERROR(INDEX($CS$4:$CS$2003,MATCH(187,$CU$4:$CU$2003,0)),"")</f>
        <v/>
      </c>
    </row>
    <row r="191" spans="1:101">
      <c r="A191" t="str">
        <f>IF(包装物料出入库明细!$E191="","",包装物料出入库明细!$E191)</f>
        <v/>
      </c>
      <c r="B191">
        <f t="shared" si="92"/>
        <v>0</v>
      </c>
      <c r="C191">
        <f t="shared" si="93"/>
        <v>7</v>
      </c>
      <c r="D191" t="str">
        <f>IF(包装物料出入库明细!$E191="","",包装物料出入库明细!$F191)</f>
        <v/>
      </c>
      <c r="E191" t="str">
        <f>IF(包装物料出入库明细!$E191="","",包装物料出入库明细!$G191)</f>
        <v/>
      </c>
      <c r="K191" t="str">
        <f>IF(包装物料出入库明细!$D191="","",包装物料出入库明细!$D191)</f>
        <v/>
      </c>
      <c r="L191">
        <f t="shared" si="94"/>
        <v>0</v>
      </c>
      <c r="M191">
        <f t="shared" si="95"/>
        <v>9</v>
      </c>
      <c r="O191" t="str">
        <f t="shared" si="96"/>
        <v/>
      </c>
      <c r="Q191" t="str">
        <f>IF(周转筐出入库明细!$D192="","",周转筐出入库明细!$D192)</f>
        <v/>
      </c>
      <c r="R191">
        <f t="shared" si="97"/>
        <v>0</v>
      </c>
      <c r="S191">
        <f t="shared" si="98"/>
        <v>5</v>
      </c>
      <c r="W191" t="str">
        <f>IF(周转筐出入库明细!$C192="","",周转筐出入库明细!$C192)</f>
        <v/>
      </c>
      <c r="X191">
        <f t="shared" si="99"/>
        <v>0</v>
      </c>
      <c r="Y191">
        <f t="shared" si="100"/>
        <v>12</v>
      </c>
      <c r="AA191" t="str">
        <f t="shared" si="101"/>
        <v/>
      </c>
      <c r="AC191" t="str">
        <f>IF(客户自备加工筐明细!$C191="","",客户自备加工筐明细!$C191)</f>
        <v/>
      </c>
      <c r="AD191">
        <f t="shared" si="102"/>
        <v>0</v>
      </c>
      <c r="AE191">
        <f t="shared" si="103"/>
        <v>1</v>
      </c>
      <c r="AI191" t="str">
        <f>IF(客户自备加工筐明细!$E191="","",客户自备加工筐明细!$E191)</f>
        <v/>
      </c>
      <c r="AJ191">
        <f t="shared" si="104"/>
        <v>0</v>
      </c>
      <c r="AK191">
        <f t="shared" si="105"/>
        <v>1</v>
      </c>
      <c r="AM191" t="str">
        <f>IFERROR(INDEX($AI$4:$AI$1503,MATCH(188,$AK$4:$AK$1503,0)),"")</f>
        <v/>
      </c>
      <c r="AO191" t="str">
        <f>IF(次果筐明细!$D191="","",次果筐明细!$D191)</f>
        <v/>
      </c>
      <c r="AP191">
        <f t="shared" si="106"/>
        <v>0</v>
      </c>
      <c r="AQ191">
        <f t="shared" si="107"/>
        <v>1</v>
      </c>
      <c r="AU191" t="str">
        <f>IF(次果筐明细!$C191="","",次果筐明细!$C191)</f>
        <v/>
      </c>
      <c r="AV191">
        <f t="shared" si="108"/>
        <v>0</v>
      </c>
      <c r="AW191">
        <f t="shared" si="109"/>
        <v>1</v>
      </c>
      <c r="AY191" t="str">
        <f t="shared" si="110"/>
        <v/>
      </c>
      <c r="BA191" t="str">
        <f>IF(对接源_01水果筐数!$B192="","",对接源_01水果筐数!$B192)</f>
        <v/>
      </c>
      <c r="BB191">
        <f t="shared" si="111"/>
        <v>0</v>
      </c>
      <c r="BC191">
        <f t="shared" si="112"/>
        <v>14</v>
      </c>
      <c r="BE191" t="str">
        <f t="shared" si="113"/>
        <v/>
      </c>
      <c r="BG191" t="str">
        <f>IF(对接源_01水果筐数!$C192="","",对接源_01水果筐数!$C192)</f>
        <v/>
      </c>
      <c r="BH191">
        <f t="shared" si="114"/>
        <v>0</v>
      </c>
      <c r="BI191">
        <f t="shared" si="115"/>
        <v>7</v>
      </c>
      <c r="BS191" t="str">
        <f t="shared" si="118"/>
        <v/>
      </c>
      <c r="BT191">
        <f t="shared" si="119"/>
        <v>0</v>
      </c>
      <c r="BU191">
        <f t="shared" si="120"/>
        <v>9</v>
      </c>
      <c r="BW191" t="str">
        <f t="shared" si="121"/>
        <v/>
      </c>
      <c r="BY191" t="str">
        <f t="shared" si="122"/>
        <v/>
      </c>
      <c r="BZ191">
        <f t="shared" si="123"/>
        <v>0</v>
      </c>
      <c r="CA191">
        <f t="shared" si="124"/>
        <v>12</v>
      </c>
      <c r="CC191" t="str">
        <f t="shared" si="125"/>
        <v/>
      </c>
      <c r="CI191" t="str">
        <f>IF(基础资料!$E91="","",基础资料!$E91)</f>
        <v/>
      </c>
      <c r="CJ191">
        <f t="shared" si="126"/>
        <v>0</v>
      </c>
      <c r="CK191">
        <f t="shared" si="127"/>
        <v>24</v>
      </c>
      <c r="CL191" t="str">
        <f t="shared" si="128"/>
        <v/>
      </c>
      <c r="CP191">
        <f>IF(包装物料出入库明细!$D191="",0,1)</f>
        <v>0</v>
      </c>
      <c r="CQ191">
        <f t="shared" si="129"/>
        <v>37</v>
      </c>
      <c r="CS191" t="str">
        <f>IF(OR(周转筐出入库明细!$C192="",周转筐出入库明细!$F192&lt;&gt;"采购入库"),"",周转筐出入库明细!$C192)</f>
        <v/>
      </c>
      <c r="CT191">
        <f t="shared" si="130"/>
        <v>0</v>
      </c>
      <c r="CU191">
        <f t="shared" si="131"/>
        <v>1</v>
      </c>
      <c r="CW191" t="str">
        <f>IFERROR(INDEX($CS$4:$CS$2003,MATCH(188,$CU$4:$CU$2003,0)),"")</f>
        <v/>
      </c>
    </row>
    <row r="192" spans="1:101">
      <c r="A192" t="str">
        <f>IF(包装物料出入库明细!$E192="","",包装物料出入库明细!$E192)</f>
        <v/>
      </c>
      <c r="B192">
        <f t="shared" si="92"/>
        <v>0</v>
      </c>
      <c r="C192">
        <f t="shared" si="93"/>
        <v>7</v>
      </c>
      <c r="D192" t="str">
        <f>IF(包装物料出入库明细!$E192="","",包装物料出入库明细!$F192)</f>
        <v/>
      </c>
      <c r="E192" t="str">
        <f>IF(包装物料出入库明细!$E192="","",包装物料出入库明细!$G192)</f>
        <v/>
      </c>
      <c r="K192" t="str">
        <f>IF(包装物料出入库明细!$D192="","",包装物料出入库明细!$D192)</f>
        <v/>
      </c>
      <c r="L192">
        <f t="shared" si="94"/>
        <v>0</v>
      </c>
      <c r="M192">
        <f t="shared" si="95"/>
        <v>9</v>
      </c>
      <c r="O192" t="str">
        <f t="shared" si="96"/>
        <v/>
      </c>
      <c r="Q192" t="str">
        <f>IF(周转筐出入库明细!$D193="","",周转筐出入库明细!$D193)</f>
        <v/>
      </c>
      <c r="R192">
        <f t="shared" si="97"/>
        <v>0</v>
      </c>
      <c r="S192">
        <f t="shared" si="98"/>
        <v>5</v>
      </c>
      <c r="W192" t="str">
        <f>IF(周转筐出入库明细!$C193="","",周转筐出入库明细!$C193)</f>
        <v/>
      </c>
      <c r="X192">
        <f t="shared" si="99"/>
        <v>0</v>
      </c>
      <c r="Y192">
        <f t="shared" si="100"/>
        <v>12</v>
      </c>
      <c r="AA192" t="str">
        <f t="shared" si="101"/>
        <v/>
      </c>
      <c r="AC192" t="str">
        <f>IF(客户自备加工筐明细!$C192="","",客户自备加工筐明细!$C192)</f>
        <v/>
      </c>
      <c r="AD192">
        <f t="shared" si="102"/>
        <v>0</v>
      </c>
      <c r="AE192">
        <f t="shared" si="103"/>
        <v>1</v>
      </c>
      <c r="AI192" t="str">
        <f>IF(客户自备加工筐明细!$E192="","",客户自备加工筐明细!$E192)</f>
        <v/>
      </c>
      <c r="AJ192">
        <f t="shared" si="104"/>
        <v>0</v>
      </c>
      <c r="AK192">
        <f t="shared" si="105"/>
        <v>1</v>
      </c>
      <c r="AM192" t="str">
        <f>IFERROR(INDEX($AI$4:$AI$1503,MATCH(189,$AK$4:$AK$1503,0)),"")</f>
        <v/>
      </c>
      <c r="AO192" t="str">
        <f>IF(次果筐明细!$D192="","",次果筐明细!$D192)</f>
        <v/>
      </c>
      <c r="AP192">
        <f t="shared" si="106"/>
        <v>0</v>
      </c>
      <c r="AQ192">
        <f t="shared" si="107"/>
        <v>1</v>
      </c>
      <c r="AU192" t="str">
        <f>IF(次果筐明细!$C192="","",次果筐明细!$C192)</f>
        <v/>
      </c>
      <c r="AV192">
        <f t="shared" si="108"/>
        <v>0</v>
      </c>
      <c r="AW192">
        <f t="shared" si="109"/>
        <v>1</v>
      </c>
      <c r="AY192" t="str">
        <f t="shared" si="110"/>
        <v/>
      </c>
      <c r="BA192" t="str">
        <f>IF(对接源_01水果筐数!$B193="","",对接源_01水果筐数!$B193)</f>
        <v/>
      </c>
      <c r="BB192">
        <f t="shared" si="111"/>
        <v>0</v>
      </c>
      <c r="BC192">
        <f t="shared" si="112"/>
        <v>14</v>
      </c>
      <c r="BE192" t="str">
        <f t="shared" si="113"/>
        <v/>
      </c>
      <c r="BG192" t="str">
        <f>IF(对接源_01水果筐数!$C193="","",对接源_01水果筐数!$C193)</f>
        <v/>
      </c>
      <c r="BH192">
        <f t="shared" si="114"/>
        <v>0</v>
      </c>
      <c r="BI192">
        <f t="shared" si="115"/>
        <v>7</v>
      </c>
      <c r="BS192" t="str">
        <f t="shared" si="118"/>
        <v/>
      </c>
      <c r="BT192">
        <f t="shared" si="119"/>
        <v>0</v>
      </c>
      <c r="BU192">
        <f t="shared" si="120"/>
        <v>9</v>
      </c>
      <c r="BW192" t="str">
        <f t="shared" si="121"/>
        <v/>
      </c>
      <c r="BY192" t="str">
        <f t="shared" si="122"/>
        <v/>
      </c>
      <c r="BZ192">
        <f t="shared" si="123"/>
        <v>0</v>
      </c>
      <c r="CA192">
        <f t="shared" si="124"/>
        <v>12</v>
      </c>
      <c r="CC192" t="str">
        <f t="shared" si="125"/>
        <v/>
      </c>
      <c r="CI192" t="str">
        <f>IF(基础资料!$E92="","",基础资料!$E92)</f>
        <v/>
      </c>
      <c r="CJ192">
        <f t="shared" si="126"/>
        <v>0</v>
      </c>
      <c r="CK192">
        <f t="shared" si="127"/>
        <v>24</v>
      </c>
      <c r="CL192" t="str">
        <f t="shared" si="128"/>
        <v/>
      </c>
      <c r="CP192">
        <f>IF(包装物料出入库明细!$D192="",0,1)</f>
        <v>0</v>
      </c>
      <c r="CQ192">
        <f t="shared" si="129"/>
        <v>37</v>
      </c>
      <c r="CS192" t="str">
        <f>IF(OR(周转筐出入库明细!$C193="",周转筐出入库明细!$F193&lt;&gt;"采购入库"),"",周转筐出入库明细!$C193)</f>
        <v/>
      </c>
      <c r="CT192">
        <f t="shared" si="130"/>
        <v>0</v>
      </c>
      <c r="CU192">
        <f t="shared" si="131"/>
        <v>1</v>
      </c>
      <c r="CW192" t="str">
        <f>IFERROR(INDEX($CS$4:$CS$2003,MATCH(189,$CU$4:$CU$2003,0)),"")</f>
        <v/>
      </c>
    </row>
    <row r="193" spans="1:101">
      <c r="A193" t="str">
        <f>IF(包装物料出入库明细!$E193="","",包装物料出入库明细!$E193)</f>
        <v/>
      </c>
      <c r="B193">
        <f t="shared" si="92"/>
        <v>0</v>
      </c>
      <c r="C193">
        <f t="shared" si="93"/>
        <v>7</v>
      </c>
      <c r="D193" t="str">
        <f>IF(包装物料出入库明细!$E193="","",包装物料出入库明细!$F193)</f>
        <v/>
      </c>
      <c r="E193" t="str">
        <f>IF(包装物料出入库明细!$E193="","",包装物料出入库明细!$G193)</f>
        <v/>
      </c>
      <c r="K193" t="str">
        <f>IF(包装物料出入库明细!$D193="","",包装物料出入库明细!$D193)</f>
        <v/>
      </c>
      <c r="L193">
        <f t="shared" si="94"/>
        <v>0</v>
      </c>
      <c r="M193">
        <f t="shared" si="95"/>
        <v>9</v>
      </c>
      <c r="O193" t="str">
        <f t="shared" si="96"/>
        <v/>
      </c>
      <c r="Q193" t="str">
        <f>IF(周转筐出入库明细!$D194="","",周转筐出入库明细!$D194)</f>
        <v/>
      </c>
      <c r="R193">
        <f t="shared" si="97"/>
        <v>0</v>
      </c>
      <c r="S193">
        <f t="shared" si="98"/>
        <v>5</v>
      </c>
      <c r="W193" t="str">
        <f>IF(周转筐出入库明细!$C194="","",周转筐出入库明细!$C194)</f>
        <v/>
      </c>
      <c r="X193">
        <f t="shared" si="99"/>
        <v>0</v>
      </c>
      <c r="Y193">
        <f t="shared" si="100"/>
        <v>12</v>
      </c>
      <c r="AA193" t="str">
        <f t="shared" si="101"/>
        <v/>
      </c>
      <c r="AC193" t="str">
        <f>IF(客户自备加工筐明细!$C193="","",客户自备加工筐明细!$C193)</f>
        <v/>
      </c>
      <c r="AD193">
        <f t="shared" si="102"/>
        <v>0</v>
      </c>
      <c r="AE193">
        <f t="shared" si="103"/>
        <v>1</v>
      </c>
      <c r="AI193" t="str">
        <f>IF(客户自备加工筐明细!$E193="","",客户自备加工筐明细!$E193)</f>
        <v/>
      </c>
      <c r="AJ193">
        <f t="shared" si="104"/>
        <v>0</v>
      </c>
      <c r="AK193">
        <f t="shared" si="105"/>
        <v>1</v>
      </c>
      <c r="AM193" t="str">
        <f>IFERROR(INDEX($AI$4:$AI$1503,MATCH(190,$AK$4:$AK$1503,0)),"")</f>
        <v/>
      </c>
      <c r="AO193" t="str">
        <f>IF(次果筐明细!$D193="","",次果筐明细!$D193)</f>
        <v/>
      </c>
      <c r="AP193">
        <f t="shared" si="106"/>
        <v>0</v>
      </c>
      <c r="AQ193">
        <f t="shared" si="107"/>
        <v>1</v>
      </c>
      <c r="AU193" t="str">
        <f>IF(次果筐明细!$C193="","",次果筐明细!$C193)</f>
        <v/>
      </c>
      <c r="AV193">
        <f t="shared" si="108"/>
        <v>0</v>
      </c>
      <c r="AW193">
        <f t="shared" si="109"/>
        <v>1</v>
      </c>
      <c r="AY193" t="str">
        <f t="shared" si="110"/>
        <v/>
      </c>
      <c r="BA193" t="str">
        <f>IF(对接源_01水果筐数!$B194="","",对接源_01水果筐数!$B194)</f>
        <v/>
      </c>
      <c r="BB193">
        <f t="shared" si="111"/>
        <v>0</v>
      </c>
      <c r="BC193">
        <f t="shared" si="112"/>
        <v>14</v>
      </c>
      <c r="BE193" t="str">
        <f t="shared" si="113"/>
        <v/>
      </c>
      <c r="BG193" t="str">
        <f>IF(对接源_01水果筐数!$C194="","",对接源_01水果筐数!$C194)</f>
        <v/>
      </c>
      <c r="BH193">
        <f t="shared" si="114"/>
        <v>0</v>
      </c>
      <c r="BI193">
        <f t="shared" si="115"/>
        <v>7</v>
      </c>
      <c r="BS193" t="str">
        <f t="shared" si="118"/>
        <v/>
      </c>
      <c r="BT193">
        <f t="shared" si="119"/>
        <v>0</v>
      </c>
      <c r="BU193">
        <f t="shared" si="120"/>
        <v>9</v>
      </c>
      <c r="BW193" t="str">
        <f t="shared" si="121"/>
        <v/>
      </c>
      <c r="BY193" t="str">
        <f t="shared" si="122"/>
        <v/>
      </c>
      <c r="BZ193">
        <f t="shared" si="123"/>
        <v>0</v>
      </c>
      <c r="CA193">
        <f t="shared" si="124"/>
        <v>12</v>
      </c>
      <c r="CC193" t="str">
        <f t="shared" si="125"/>
        <v/>
      </c>
      <c r="CI193" t="str">
        <f>IF(基础资料!$E93="","",基础资料!$E93)</f>
        <v/>
      </c>
      <c r="CJ193">
        <f t="shared" si="126"/>
        <v>0</v>
      </c>
      <c r="CK193">
        <f t="shared" si="127"/>
        <v>24</v>
      </c>
      <c r="CL193" t="str">
        <f t="shared" si="128"/>
        <v/>
      </c>
      <c r="CP193">
        <f>IF(包装物料出入库明细!$D193="",0,1)</f>
        <v>0</v>
      </c>
      <c r="CQ193">
        <f t="shared" si="129"/>
        <v>37</v>
      </c>
      <c r="CS193" t="str">
        <f>IF(OR(周转筐出入库明细!$C194="",周转筐出入库明细!$F194&lt;&gt;"采购入库"),"",周转筐出入库明细!$C194)</f>
        <v/>
      </c>
      <c r="CT193">
        <f t="shared" si="130"/>
        <v>0</v>
      </c>
      <c r="CU193">
        <f t="shared" si="131"/>
        <v>1</v>
      </c>
      <c r="CW193" t="str">
        <f>IFERROR(INDEX($CS$4:$CS$2003,MATCH(190,$CU$4:$CU$2003,0)),"")</f>
        <v/>
      </c>
    </row>
    <row r="194" spans="1:101">
      <c r="A194" t="str">
        <f>IF(包装物料出入库明细!$E194="","",包装物料出入库明细!$E194)</f>
        <v/>
      </c>
      <c r="B194">
        <f t="shared" si="92"/>
        <v>0</v>
      </c>
      <c r="C194">
        <f t="shared" si="93"/>
        <v>7</v>
      </c>
      <c r="D194" t="str">
        <f>IF(包装物料出入库明细!$E194="","",包装物料出入库明细!$F194)</f>
        <v/>
      </c>
      <c r="E194" t="str">
        <f>IF(包装物料出入库明细!$E194="","",包装物料出入库明细!$G194)</f>
        <v/>
      </c>
      <c r="K194" t="str">
        <f>IF(包装物料出入库明细!$D194="","",包装物料出入库明细!$D194)</f>
        <v/>
      </c>
      <c r="L194">
        <f t="shared" si="94"/>
        <v>0</v>
      </c>
      <c r="M194">
        <f t="shared" si="95"/>
        <v>9</v>
      </c>
      <c r="O194" t="str">
        <f t="shared" si="96"/>
        <v/>
      </c>
      <c r="Q194" t="str">
        <f>IF(周转筐出入库明细!$D195="","",周转筐出入库明细!$D195)</f>
        <v/>
      </c>
      <c r="R194">
        <f t="shared" si="97"/>
        <v>0</v>
      </c>
      <c r="S194">
        <f t="shared" si="98"/>
        <v>5</v>
      </c>
      <c r="W194" t="str">
        <f>IF(周转筐出入库明细!$C195="","",周转筐出入库明细!$C195)</f>
        <v/>
      </c>
      <c r="X194">
        <f t="shared" si="99"/>
        <v>0</v>
      </c>
      <c r="Y194">
        <f t="shared" si="100"/>
        <v>12</v>
      </c>
      <c r="AA194" t="str">
        <f t="shared" si="101"/>
        <v/>
      </c>
      <c r="AC194" t="str">
        <f>IF(客户自备加工筐明细!$C194="","",客户自备加工筐明细!$C194)</f>
        <v/>
      </c>
      <c r="AD194">
        <f t="shared" si="102"/>
        <v>0</v>
      </c>
      <c r="AE194">
        <f t="shared" si="103"/>
        <v>1</v>
      </c>
      <c r="AI194" t="str">
        <f>IF(客户自备加工筐明细!$E194="","",客户自备加工筐明细!$E194)</f>
        <v/>
      </c>
      <c r="AJ194">
        <f t="shared" si="104"/>
        <v>0</v>
      </c>
      <c r="AK194">
        <f t="shared" si="105"/>
        <v>1</v>
      </c>
      <c r="AM194" t="str">
        <f>IFERROR(INDEX($AI$4:$AI$1503,MATCH(191,$AK$4:$AK$1503,0)),"")</f>
        <v/>
      </c>
      <c r="AO194" t="str">
        <f>IF(次果筐明细!$D194="","",次果筐明细!$D194)</f>
        <v/>
      </c>
      <c r="AP194">
        <f t="shared" si="106"/>
        <v>0</v>
      </c>
      <c r="AQ194">
        <f t="shared" si="107"/>
        <v>1</v>
      </c>
      <c r="AU194" t="str">
        <f>IF(次果筐明细!$C194="","",次果筐明细!$C194)</f>
        <v/>
      </c>
      <c r="AV194">
        <f t="shared" si="108"/>
        <v>0</v>
      </c>
      <c r="AW194">
        <f t="shared" si="109"/>
        <v>1</v>
      </c>
      <c r="AY194" t="str">
        <f t="shared" si="110"/>
        <v/>
      </c>
      <c r="BA194" t="str">
        <f>IF(对接源_01水果筐数!$B195="","",对接源_01水果筐数!$B195)</f>
        <v/>
      </c>
      <c r="BB194">
        <f t="shared" si="111"/>
        <v>0</v>
      </c>
      <c r="BC194">
        <f t="shared" si="112"/>
        <v>14</v>
      </c>
      <c r="BE194" t="str">
        <f t="shared" si="113"/>
        <v/>
      </c>
      <c r="BG194" t="str">
        <f>IF(对接源_01水果筐数!$C195="","",对接源_01水果筐数!$C195)</f>
        <v/>
      </c>
      <c r="BH194">
        <f t="shared" si="114"/>
        <v>0</v>
      </c>
      <c r="BI194">
        <f t="shared" si="115"/>
        <v>7</v>
      </c>
      <c r="BS194" t="str">
        <f t="shared" si="118"/>
        <v/>
      </c>
      <c r="BT194">
        <f t="shared" si="119"/>
        <v>0</v>
      </c>
      <c r="BU194">
        <f t="shared" si="120"/>
        <v>9</v>
      </c>
      <c r="BW194" t="str">
        <f t="shared" si="121"/>
        <v/>
      </c>
      <c r="BY194" t="str">
        <f t="shared" si="122"/>
        <v/>
      </c>
      <c r="BZ194">
        <f t="shared" si="123"/>
        <v>0</v>
      </c>
      <c r="CA194">
        <f t="shared" si="124"/>
        <v>12</v>
      </c>
      <c r="CC194" t="str">
        <f t="shared" si="125"/>
        <v/>
      </c>
      <c r="CI194" t="str">
        <f>IF(基础资料!$E94="","",基础资料!$E94)</f>
        <v/>
      </c>
      <c r="CJ194">
        <f t="shared" si="126"/>
        <v>0</v>
      </c>
      <c r="CK194">
        <f t="shared" si="127"/>
        <v>24</v>
      </c>
      <c r="CL194" t="str">
        <f t="shared" si="128"/>
        <v/>
      </c>
      <c r="CP194">
        <f>IF(包装物料出入库明细!$D194="",0,1)</f>
        <v>0</v>
      </c>
      <c r="CQ194">
        <f t="shared" si="129"/>
        <v>37</v>
      </c>
      <c r="CS194" t="str">
        <f>IF(OR(周转筐出入库明细!$C195="",周转筐出入库明细!$F195&lt;&gt;"采购入库"),"",周转筐出入库明细!$C195)</f>
        <v/>
      </c>
      <c r="CT194">
        <f t="shared" si="130"/>
        <v>0</v>
      </c>
      <c r="CU194">
        <f t="shared" si="131"/>
        <v>1</v>
      </c>
      <c r="CW194" t="str">
        <f>IFERROR(INDEX($CS$4:$CS$2003,MATCH(191,$CU$4:$CU$2003,0)),"")</f>
        <v/>
      </c>
    </row>
    <row r="195" spans="1:101">
      <c r="A195" t="str">
        <f>IF(包装物料出入库明细!$E195="","",包装物料出入库明细!$E195)</f>
        <v/>
      </c>
      <c r="B195">
        <f t="shared" si="92"/>
        <v>0</v>
      </c>
      <c r="C195">
        <f t="shared" si="93"/>
        <v>7</v>
      </c>
      <c r="D195" t="str">
        <f>IF(包装物料出入库明细!$E195="","",包装物料出入库明细!$F195)</f>
        <v/>
      </c>
      <c r="E195" t="str">
        <f>IF(包装物料出入库明细!$E195="","",包装物料出入库明细!$G195)</f>
        <v/>
      </c>
      <c r="K195" t="str">
        <f>IF(包装物料出入库明细!$D195="","",包装物料出入库明细!$D195)</f>
        <v/>
      </c>
      <c r="L195">
        <f t="shared" si="94"/>
        <v>0</v>
      </c>
      <c r="M195">
        <f t="shared" si="95"/>
        <v>9</v>
      </c>
      <c r="O195" t="str">
        <f t="shared" si="96"/>
        <v/>
      </c>
      <c r="Q195" t="str">
        <f>IF(周转筐出入库明细!$D196="","",周转筐出入库明细!$D196)</f>
        <v/>
      </c>
      <c r="R195">
        <f t="shared" si="97"/>
        <v>0</v>
      </c>
      <c r="S195">
        <f t="shared" si="98"/>
        <v>5</v>
      </c>
      <c r="W195" t="str">
        <f>IF(周转筐出入库明细!$C196="","",周转筐出入库明细!$C196)</f>
        <v/>
      </c>
      <c r="X195">
        <f t="shared" si="99"/>
        <v>0</v>
      </c>
      <c r="Y195">
        <f t="shared" si="100"/>
        <v>12</v>
      </c>
      <c r="AA195" t="str">
        <f t="shared" si="101"/>
        <v/>
      </c>
      <c r="AC195" t="str">
        <f>IF(客户自备加工筐明细!$C195="","",客户自备加工筐明细!$C195)</f>
        <v/>
      </c>
      <c r="AD195">
        <f t="shared" si="102"/>
        <v>0</v>
      </c>
      <c r="AE195">
        <f t="shared" si="103"/>
        <v>1</v>
      </c>
      <c r="AI195" t="str">
        <f>IF(客户自备加工筐明细!$E195="","",客户自备加工筐明细!$E195)</f>
        <v/>
      </c>
      <c r="AJ195">
        <f t="shared" si="104"/>
        <v>0</v>
      </c>
      <c r="AK195">
        <f t="shared" si="105"/>
        <v>1</v>
      </c>
      <c r="AM195" t="str">
        <f>IFERROR(INDEX($AI$4:$AI$1503,MATCH(192,$AK$4:$AK$1503,0)),"")</f>
        <v/>
      </c>
      <c r="AO195" t="str">
        <f>IF(次果筐明细!$D195="","",次果筐明细!$D195)</f>
        <v/>
      </c>
      <c r="AP195">
        <f t="shared" si="106"/>
        <v>0</v>
      </c>
      <c r="AQ195">
        <f t="shared" si="107"/>
        <v>1</v>
      </c>
      <c r="AU195" t="str">
        <f>IF(次果筐明细!$C195="","",次果筐明细!$C195)</f>
        <v/>
      </c>
      <c r="AV195">
        <f t="shared" si="108"/>
        <v>0</v>
      </c>
      <c r="AW195">
        <f t="shared" si="109"/>
        <v>1</v>
      </c>
      <c r="AY195" t="str">
        <f t="shared" si="110"/>
        <v/>
      </c>
      <c r="BA195" t="str">
        <f>IF(对接源_01水果筐数!$B196="","",对接源_01水果筐数!$B196)</f>
        <v/>
      </c>
      <c r="BB195">
        <f t="shared" si="111"/>
        <v>0</v>
      </c>
      <c r="BC195">
        <f t="shared" si="112"/>
        <v>14</v>
      </c>
      <c r="BE195" t="str">
        <f t="shared" si="113"/>
        <v/>
      </c>
      <c r="BG195" t="str">
        <f>IF(对接源_01水果筐数!$C196="","",对接源_01水果筐数!$C196)</f>
        <v/>
      </c>
      <c r="BH195">
        <f t="shared" si="114"/>
        <v>0</v>
      </c>
      <c r="BI195">
        <f t="shared" si="115"/>
        <v>7</v>
      </c>
      <c r="BS195" t="str">
        <f t="shared" si="118"/>
        <v/>
      </c>
      <c r="BT195">
        <f t="shared" si="119"/>
        <v>0</v>
      </c>
      <c r="BU195">
        <f t="shared" si="120"/>
        <v>9</v>
      </c>
      <c r="BW195" t="str">
        <f t="shared" si="121"/>
        <v/>
      </c>
      <c r="BY195" t="str">
        <f t="shared" si="122"/>
        <v/>
      </c>
      <c r="BZ195">
        <f t="shared" si="123"/>
        <v>0</v>
      </c>
      <c r="CA195">
        <f t="shared" si="124"/>
        <v>12</v>
      </c>
      <c r="CC195" t="str">
        <f t="shared" si="125"/>
        <v/>
      </c>
      <c r="CI195" t="str">
        <f>IF(基础资料!$E95="","",基础资料!$E95)</f>
        <v/>
      </c>
      <c r="CJ195">
        <f t="shared" si="126"/>
        <v>0</v>
      </c>
      <c r="CK195">
        <f t="shared" si="127"/>
        <v>24</v>
      </c>
      <c r="CL195" t="str">
        <f t="shared" si="128"/>
        <v/>
      </c>
      <c r="CP195">
        <f>IF(包装物料出入库明细!$D195="",0,1)</f>
        <v>0</v>
      </c>
      <c r="CQ195">
        <f t="shared" si="129"/>
        <v>37</v>
      </c>
      <c r="CS195" t="str">
        <f>IF(OR(周转筐出入库明细!$C196="",周转筐出入库明细!$F196&lt;&gt;"采购入库"),"",周转筐出入库明细!$C196)</f>
        <v/>
      </c>
      <c r="CT195">
        <f t="shared" si="130"/>
        <v>0</v>
      </c>
      <c r="CU195">
        <f t="shared" si="131"/>
        <v>1</v>
      </c>
      <c r="CW195" t="str">
        <f>IFERROR(INDEX($CS$4:$CS$2003,MATCH(192,$CU$4:$CU$2003,0)),"")</f>
        <v/>
      </c>
    </row>
    <row r="196" spans="1:101">
      <c r="A196" t="str">
        <f>IF(包装物料出入库明细!$E196="","",包装物料出入库明细!$E196)</f>
        <v/>
      </c>
      <c r="B196">
        <f t="shared" ref="B196:B259" si="132">IF(A196="",0,IF(MATCH(A196,$A$4:$A$2003,0)=ROW()-3,1,0))</f>
        <v>0</v>
      </c>
      <c r="C196">
        <f t="shared" ref="C196:C259" si="133">N(C195)+B196</f>
        <v>7</v>
      </c>
      <c r="D196" t="str">
        <f>IF(包装物料出入库明细!$E196="","",包装物料出入库明细!$F196)</f>
        <v/>
      </c>
      <c r="E196" t="str">
        <f>IF(包装物料出入库明细!$E196="","",包装物料出入库明细!$G196)</f>
        <v/>
      </c>
      <c r="K196" t="str">
        <f>IF(包装物料出入库明细!$D196="","",包装物料出入库明细!$D196)</f>
        <v/>
      </c>
      <c r="L196">
        <f t="shared" ref="L196:L259" si="134">IF(K196="",0,IF(MATCH(K196,$K$4:$K$2003,0)=ROW()-3,1,0))</f>
        <v>0</v>
      </c>
      <c r="M196">
        <f t="shared" ref="M196:M259" si="135">N(M195)+L196</f>
        <v>9</v>
      </c>
      <c r="O196" t="str">
        <f t="shared" ref="O196:O203" si="136">IFERROR(INDEX($K$4:$K$2003,MATCH(ROW()-3,$M$4:$M$2003,0)),"")</f>
        <v/>
      </c>
      <c r="Q196" t="str">
        <f>IF(周转筐出入库明细!$D197="","",周转筐出入库明细!$D197)</f>
        <v/>
      </c>
      <c r="R196">
        <f t="shared" ref="R196:R259" si="137">IF(Q196="",0,IF(MATCH(Q196,$Q$4:$Q$2003,0)=ROW()-3,1,0))</f>
        <v>0</v>
      </c>
      <c r="S196">
        <f t="shared" ref="S196:S259" si="138">N(S195)+R196</f>
        <v>5</v>
      </c>
      <c r="W196" t="str">
        <f>IF(周转筐出入库明细!$C197="","",周转筐出入库明细!$C197)</f>
        <v/>
      </c>
      <c r="X196">
        <f t="shared" ref="X196:X259" si="139">IF(W196="",0,IF(MATCH(W196,$W$4:$W$2003,0)=ROW()-3,1,0))</f>
        <v>0</v>
      </c>
      <c r="Y196">
        <f t="shared" ref="Y196:Y259" si="140">N(Y195)+X196</f>
        <v>12</v>
      </c>
      <c r="AA196" t="str">
        <f t="shared" ref="AA196:AA203" si="141">IFERROR(INDEX($W$4:$W$2003,MATCH(ROW()-3,$Y$4:$Y$2003,0)),"")</f>
        <v/>
      </c>
      <c r="AC196" t="str">
        <f>IF(客户自备加工筐明细!$C196="","",客户自备加工筐明细!$C196)</f>
        <v/>
      </c>
      <c r="AD196">
        <f t="shared" ref="AD196:AD259" si="142">IF(AC196="",0,IF(MATCH(AC196,$AC$4:$AC$1203,0)=ROW()-3,1,0))</f>
        <v>0</v>
      </c>
      <c r="AE196">
        <f t="shared" ref="AE196:AE259" si="143">N(AE195)+AD196</f>
        <v>1</v>
      </c>
      <c r="AI196" t="str">
        <f>IF(客户自备加工筐明细!$E196="","",客户自备加工筐明细!$E196)</f>
        <v/>
      </c>
      <c r="AJ196">
        <f t="shared" ref="AJ196:AJ259" si="144">IF(AI196="",0,IF(MATCH(AI196,$AI$4:$AI$1503,0)=ROW()-3,1,0))</f>
        <v>0</v>
      </c>
      <c r="AK196">
        <f t="shared" ref="AK196:AK259" si="145">N(AK195)+AJ196</f>
        <v>1</v>
      </c>
      <c r="AM196" t="str">
        <f>IFERROR(INDEX($AI$4:$AI$1503,MATCH(193,$AK$4:$AK$1503,0)),"")</f>
        <v/>
      </c>
      <c r="AO196" t="str">
        <f>IF(次果筐明细!$D196="","",次果筐明细!$D196)</f>
        <v/>
      </c>
      <c r="AP196">
        <f t="shared" ref="AP196:AP259" si="146">IF(AO196="",0,IF(MATCH(AO196,$AO$4:$AO$603,0)=ROW()-3,1,0))</f>
        <v>0</v>
      </c>
      <c r="AQ196">
        <f t="shared" ref="AQ196:AQ259" si="147">N(AQ195)+AP196</f>
        <v>1</v>
      </c>
      <c r="AU196" t="str">
        <f>IF(次果筐明细!$C196="","",次果筐明细!$C196)</f>
        <v/>
      </c>
      <c r="AV196">
        <f t="shared" ref="AV196:AV259" si="148">IF(AU196="",0,IF(MATCH(AU196,$AU$4:$AU$603,0)=ROW()-3,1,0))</f>
        <v>0</v>
      </c>
      <c r="AW196">
        <f t="shared" ref="AW196:AW259" si="149">N(AW195)+AV196</f>
        <v>1</v>
      </c>
      <c r="AY196" t="str">
        <f t="shared" ref="AY196:AY203" si="150">IFERROR(INDEX($AU$4:$AU$603,MATCH(ROW()-3,$AW$4:$AW$603,0)),"")</f>
        <v/>
      </c>
      <c r="BA196" t="str">
        <f>IF(对接源_01水果筐数!$B197="","",对接源_01水果筐数!$B197)</f>
        <v/>
      </c>
      <c r="BB196">
        <f t="shared" ref="BB196:BB259" si="151">IF(BA196="",0,IF(MATCH(BA196,$BA$4:$BA$303,0)=ROW()-3,1,0))</f>
        <v>0</v>
      </c>
      <c r="BC196">
        <f t="shared" ref="BC196:BC259" si="152">N(BC195)+BB196</f>
        <v>14</v>
      </c>
      <c r="BE196" t="str">
        <f t="shared" ref="BE196:BE259" si="153">IFERROR(INDEX($BA$4:$BA$303,MATCH(ROW()-3,$BC$4:$BC$303,0)),"")</f>
        <v/>
      </c>
      <c r="BG196" t="str">
        <f>IF(对接源_01水果筐数!$C197="","",对接源_01水果筐数!$C197)</f>
        <v/>
      </c>
      <c r="BH196">
        <f t="shared" ref="BH196:BH259" si="154">IF(BG196="",0,IF(MATCH(BG196,$BG$4:$BG$303,0)=ROW()-3,1,0))</f>
        <v>0</v>
      </c>
      <c r="BI196">
        <f t="shared" ref="BI196:BI259" si="155">N(BI195)+BH196</f>
        <v>7</v>
      </c>
      <c r="BS196" t="str">
        <f t="shared" ref="BS196:BS203" si="156">IF($O196="","",$O196)</f>
        <v/>
      </c>
      <c r="BT196">
        <f t="shared" ref="BT196:BT259" si="157">IF(BS196="",0,IF(MATCH(BS196,$BS$4:$BS$1103,0)=ROW()-3,1,0))</f>
        <v>0</v>
      </c>
      <c r="BU196">
        <f t="shared" ref="BU196:BU259" si="158">N(BU195)+BT196</f>
        <v>9</v>
      </c>
      <c r="BW196" t="str">
        <f t="shared" ref="BW196:BW253" si="159">IFERROR(INDEX($BS$4:$BS$1103,MATCH(ROW()-3,$BU$4:$BU$1103,0)),"")</f>
        <v/>
      </c>
      <c r="BY196" t="str">
        <f t="shared" ref="BY196:BY203" si="160">IF($AA196="","",$AA196)</f>
        <v/>
      </c>
      <c r="BZ196">
        <f t="shared" ref="BZ196:BZ259" si="161">IF(BY196="",0,IF(MATCH(BY196,$BY$4:$BY$503,0)=ROW()-3,1,0))</f>
        <v>0</v>
      </c>
      <c r="CA196">
        <f t="shared" ref="CA196:CA259" si="162">N(CA195)+BZ196</f>
        <v>12</v>
      </c>
      <c r="CC196" t="str">
        <f t="shared" ref="CC196:CC253" si="163">IFERROR(INDEX($BY$4:$BY$503,MATCH(ROW()-3,$CA$4:$CA$503,0)),"")</f>
        <v/>
      </c>
      <c r="CI196" t="str">
        <f>IF(基础资料!$E96="","",基础资料!$E96)</f>
        <v/>
      </c>
      <c r="CJ196">
        <f t="shared" ref="CJ196:CJ203" si="164">IF(CI196="",0,IF(MATCH(CI196,$CI$4:$CI$203,0)=ROW()-3,1,0))</f>
        <v>0</v>
      </c>
      <c r="CK196">
        <f t="shared" ref="CK196:CK203" si="165">N(CK195)+$CJ196</f>
        <v>24</v>
      </c>
      <c r="CL196" t="str">
        <f t="shared" ref="CL196:CL203" si="166">IFERROR(INDEX($CI$4:$CI$203,MATCH(ROW()-3,$CK$4:$CK$203,0)),"")</f>
        <v/>
      </c>
      <c r="CP196">
        <f>IF(包装物料出入库明细!$D196="",0,1)</f>
        <v>0</v>
      </c>
      <c r="CQ196">
        <f t="shared" ref="CQ196:CQ259" si="167">N(CQ195)+$CP196</f>
        <v>37</v>
      </c>
      <c r="CS196" t="str">
        <f>IF(OR(周转筐出入库明细!$C197="",周转筐出入库明细!$F197&lt;&gt;"采购入库"),"",周转筐出入库明细!$C197)</f>
        <v/>
      </c>
      <c r="CT196">
        <f t="shared" ref="CT196:CT259" si="168">IF(CS196="",0,IF(MATCH(CS196,$CS$4:$CS$2003,0)=ROW()-3,1,0))</f>
        <v>0</v>
      </c>
      <c r="CU196">
        <f t="shared" ref="CU196:CU259" si="169">N(CU195)+CT196</f>
        <v>1</v>
      </c>
      <c r="CW196" t="str">
        <f>IFERROR(INDEX($CS$4:$CS$2003,MATCH(193,$CU$4:$CU$2003,0)),"")</f>
        <v/>
      </c>
    </row>
    <row r="197" spans="1:101">
      <c r="A197" t="str">
        <f>IF(包装物料出入库明细!$E197="","",包装物料出入库明细!$E197)</f>
        <v/>
      </c>
      <c r="B197">
        <f t="shared" si="132"/>
        <v>0</v>
      </c>
      <c r="C197">
        <f t="shared" si="133"/>
        <v>7</v>
      </c>
      <c r="D197" t="str">
        <f>IF(包装物料出入库明细!$E197="","",包装物料出入库明细!$F197)</f>
        <v/>
      </c>
      <c r="E197" t="str">
        <f>IF(包装物料出入库明细!$E197="","",包装物料出入库明细!$G197)</f>
        <v/>
      </c>
      <c r="K197" t="str">
        <f>IF(包装物料出入库明细!$D197="","",包装物料出入库明细!$D197)</f>
        <v/>
      </c>
      <c r="L197">
        <f t="shared" si="134"/>
        <v>0</v>
      </c>
      <c r="M197">
        <f t="shared" si="135"/>
        <v>9</v>
      </c>
      <c r="O197" t="str">
        <f t="shared" si="136"/>
        <v/>
      </c>
      <c r="Q197" t="str">
        <f>IF(周转筐出入库明细!$D198="","",周转筐出入库明细!$D198)</f>
        <v/>
      </c>
      <c r="R197">
        <f t="shared" si="137"/>
        <v>0</v>
      </c>
      <c r="S197">
        <f t="shared" si="138"/>
        <v>5</v>
      </c>
      <c r="W197" t="str">
        <f>IF(周转筐出入库明细!$C198="","",周转筐出入库明细!$C198)</f>
        <v/>
      </c>
      <c r="X197">
        <f t="shared" si="139"/>
        <v>0</v>
      </c>
      <c r="Y197">
        <f t="shared" si="140"/>
        <v>12</v>
      </c>
      <c r="AA197" t="str">
        <f t="shared" si="141"/>
        <v/>
      </c>
      <c r="AC197" t="str">
        <f>IF(客户自备加工筐明细!$C197="","",客户自备加工筐明细!$C197)</f>
        <v/>
      </c>
      <c r="AD197">
        <f t="shared" si="142"/>
        <v>0</v>
      </c>
      <c r="AE197">
        <f t="shared" si="143"/>
        <v>1</v>
      </c>
      <c r="AI197" t="str">
        <f>IF(客户自备加工筐明细!$E197="","",客户自备加工筐明细!$E197)</f>
        <v/>
      </c>
      <c r="AJ197">
        <f t="shared" si="144"/>
        <v>0</v>
      </c>
      <c r="AK197">
        <f t="shared" si="145"/>
        <v>1</v>
      </c>
      <c r="AM197" t="str">
        <f>IFERROR(INDEX($AI$4:$AI$1503,MATCH(194,$AK$4:$AK$1503,0)),"")</f>
        <v/>
      </c>
      <c r="AO197" t="str">
        <f>IF(次果筐明细!$D197="","",次果筐明细!$D197)</f>
        <v/>
      </c>
      <c r="AP197">
        <f t="shared" si="146"/>
        <v>0</v>
      </c>
      <c r="AQ197">
        <f t="shared" si="147"/>
        <v>1</v>
      </c>
      <c r="AU197" t="str">
        <f>IF(次果筐明细!$C197="","",次果筐明细!$C197)</f>
        <v/>
      </c>
      <c r="AV197">
        <f t="shared" si="148"/>
        <v>0</v>
      </c>
      <c r="AW197">
        <f t="shared" si="149"/>
        <v>1</v>
      </c>
      <c r="AY197" t="str">
        <f t="shared" si="150"/>
        <v/>
      </c>
      <c r="BA197" t="str">
        <f>IF(对接源_01水果筐数!$B198="","",对接源_01水果筐数!$B198)</f>
        <v/>
      </c>
      <c r="BB197">
        <f t="shared" si="151"/>
        <v>0</v>
      </c>
      <c r="BC197">
        <f t="shared" si="152"/>
        <v>14</v>
      </c>
      <c r="BE197" t="str">
        <f t="shared" si="153"/>
        <v/>
      </c>
      <c r="BG197" t="str">
        <f>IF(对接源_01水果筐数!$C198="","",对接源_01水果筐数!$C198)</f>
        <v/>
      </c>
      <c r="BH197">
        <f t="shared" si="154"/>
        <v>0</v>
      </c>
      <c r="BI197">
        <f t="shared" si="155"/>
        <v>7</v>
      </c>
      <c r="BS197" t="str">
        <f t="shared" si="156"/>
        <v/>
      </c>
      <c r="BT197">
        <f t="shared" si="157"/>
        <v>0</v>
      </c>
      <c r="BU197">
        <f t="shared" si="158"/>
        <v>9</v>
      </c>
      <c r="BW197" t="str">
        <f t="shared" si="159"/>
        <v/>
      </c>
      <c r="BY197" t="str">
        <f t="shared" si="160"/>
        <v/>
      </c>
      <c r="BZ197">
        <f t="shared" si="161"/>
        <v>0</v>
      </c>
      <c r="CA197">
        <f t="shared" si="162"/>
        <v>12</v>
      </c>
      <c r="CC197" t="str">
        <f t="shared" si="163"/>
        <v/>
      </c>
      <c r="CI197" t="str">
        <f>IF(基础资料!$E97="","",基础资料!$E97)</f>
        <v/>
      </c>
      <c r="CJ197">
        <f t="shared" si="164"/>
        <v>0</v>
      </c>
      <c r="CK197">
        <f t="shared" si="165"/>
        <v>24</v>
      </c>
      <c r="CL197" t="str">
        <f t="shared" si="166"/>
        <v/>
      </c>
      <c r="CP197">
        <f>IF(包装物料出入库明细!$D197="",0,1)</f>
        <v>0</v>
      </c>
      <c r="CQ197">
        <f t="shared" si="167"/>
        <v>37</v>
      </c>
      <c r="CS197" t="str">
        <f>IF(OR(周转筐出入库明细!$C198="",周转筐出入库明细!$F198&lt;&gt;"采购入库"),"",周转筐出入库明细!$C198)</f>
        <v/>
      </c>
      <c r="CT197">
        <f t="shared" si="168"/>
        <v>0</v>
      </c>
      <c r="CU197">
        <f t="shared" si="169"/>
        <v>1</v>
      </c>
      <c r="CW197" t="str">
        <f>IFERROR(INDEX($CS$4:$CS$2003,MATCH(194,$CU$4:$CU$2003,0)),"")</f>
        <v/>
      </c>
    </row>
    <row r="198" spans="1:101">
      <c r="A198" t="str">
        <f>IF(包装物料出入库明细!$E198="","",包装物料出入库明细!$E198)</f>
        <v/>
      </c>
      <c r="B198">
        <f t="shared" si="132"/>
        <v>0</v>
      </c>
      <c r="C198">
        <f t="shared" si="133"/>
        <v>7</v>
      </c>
      <c r="D198" t="str">
        <f>IF(包装物料出入库明细!$E198="","",包装物料出入库明细!$F198)</f>
        <v/>
      </c>
      <c r="E198" t="str">
        <f>IF(包装物料出入库明细!$E198="","",包装物料出入库明细!$G198)</f>
        <v/>
      </c>
      <c r="K198" t="str">
        <f>IF(包装物料出入库明细!$D198="","",包装物料出入库明细!$D198)</f>
        <v/>
      </c>
      <c r="L198">
        <f t="shared" si="134"/>
        <v>0</v>
      </c>
      <c r="M198">
        <f t="shared" si="135"/>
        <v>9</v>
      </c>
      <c r="O198" t="str">
        <f t="shared" si="136"/>
        <v/>
      </c>
      <c r="Q198" t="str">
        <f>IF(周转筐出入库明细!$D199="","",周转筐出入库明细!$D199)</f>
        <v/>
      </c>
      <c r="R198">
        <f t="shared" si="137"/>
        <v>0</v>
      </c>
      <c r="S198">
        <f t="shared" si="138"/>
        <v>5</v>
      </c>
      <c r="W198" t="str">
        <f>IF(周转筐出入库明细!$C199="","",周转筐出入库明细!$C199)</f>
        <v/>
      </c>
      <c r="X198">
        <f t="shared" si="139"/>
        <v>0</v>
      </c>
      <c r="Y198">
        <f t="shared" si="140"/>
        <v>12</v>
      </c>
      <c r="AA198" t="str">
        <f t="shared" si="141"/>
        <v/>
      </c>
      <c r="AC198" t="str">
        <f>IF(客户自备加工筐明细!$C198="","",客户自备加工筐明细!$C198)</f>
        <v/>
      </c>
      <c r="AD198">
        <f t="shared" si="142"/>
        <v>0</v>
      </c>
      <c r="AE198">
        <f t="shared" si="143"/>
        <v>1</v>
      </c>
      <c r="AI198" t="str">
        <f>IF(客户自备加工筐明细!$E198="","",客户自备加工筐明细!$E198)</f>
        <v/>
      </c>
      <c r="AJ198">
        <f t="shared" si="144"/>
        <v>0</v>
      </c>
      <c r="AK198">
        <f t="shared" si="145"/>
        <v>1</v>
      </c>
      <c r="AM198" t="str">
        <f>IFERROR(INDEX($AI$4:$AI$1503,MATCH(195,$AK$4:$AK$1503,0)),"")</f>
        <v/>
      </c>
      <c r="AO198" t="str">
        <f>IF(次果筐明细!$D198="","",次果筐明细!$D198)</f>
        <v/>
      </c>
      <c r="AP198">
        <f t="shared" si="146"/>
        <v>0</v>
      </c>
      <c r="AQ198">
        <f t="shared" si="147"/>
        <v>1</v>
      </c>
      <c r="AU198" t="str">
        <f>IF(次果筐明细!$C198="","",次果筐明细!$C198)</f>
        <v/>
      </c>
      <c r="AV198">
        <f t="shared" si="148"/>
        <v>0</v>
      </c>
      <c r="AW198">
        <f t="shared" si="149"/>
        <v>1</v>
      </c>
      <c r="AY198" t="str">
        <f t="shared" si="150"/>
        <v/>
      </c>
      <c r="BA198" t="str">
        <f>IF(对接源_01水果筐数!$B199="","",对接源_01水果筐数!$B199)</f>
        <v/>
      </c>
      <c r="BB198">
        <f t="shared" si="151"/>
        <v>0</v>
      </c>
      <c r="BC198">
        <f t="shared" si="152"/>
        <v>14</v>
      </c>
      <c r="BE198" t="str">
        <f t="shared" si="153"/>
        <v/>
      </c>
      <c r="BG198" t="str">
        <f>IF(对接源_01水果筐数!$C199="","",对接源_01水果筐数!$C199)</f>
        <v/>
      </c>
      <c r="BH198">
        <f t="shared" si="154"/>
        <v>0</v>
      </c>
      <c r="BI198">
        <f t="shared" si="155"/>
        <v>7</v>
      </c>
      <c r="BS198" t="str">
        <f t="shared" si="156"/>
        <v/>
      </c>
      <c r="BT198">
        <f t="shared" si="157"/>
        <v>0</v>
      </c>
      <c r="BU198">
        <f t="shared" si="158"/>
        <v>9</v>
      </c>
      <c r="BW198" t="str">
        <f t="shared" si="159"/>
        <v/>
      </c>
      <c r="BY198" t="str">
        <f t="shared" si="160"/>
        <v/>
      </c>
      <c r="BZ198">
        <f t="shared" si="161"/>
        <v>0</v>
      </c>
      <c r="CA198">
        <f t="shared" si="162"/>
        <v>12</v>
      </c>
      <c r="CC198" t="str">
        <f t="shared" si="163"/>
        <v/>
      </c>
      <c r="CI198" t="str">
        <f>IF(基础资料!$E98="","",基础资料!$E98)</f>
        <v/>
      </c>
      <c r="CJ198">
        <f t="shared" si="164"/>
        <v>0</v>
      </c>
      <c r="CK198">
        <f t="shared" si="165"/>
        <v>24</v>
      </c>
      <c r="CL198" t="str">
        <f t="shared" si="166"/>
        <v/>
      </c>
      <c r="CP198">
        <f>IF(包装物料出入库明细!$D198="",0,1)</f>
        <v>0</v>
      </c>
      <c r="CQ198">
        <f t="shared" si="167"/>
        <v>37</v>
      </c>
      <c r="CS198" t="str">
        <f>IF(OR(周转筐出入库明细!$C199="",周转筐出入库明细!$F199&lt;&gt;"采购入库"),"",周转筐出入库明细!$C199)</f>
        <v/>
      </c>
      <c r="CT198">
        <f t="shared" si="168"/>
        <v>0</v>
      </c>
      <c r="CU198">
        <f t="shared" si="169"/>
        <v>1</v>
      </c>
      <c r="CW198" t="str">
        <f>IFERROR(INDEX($CS$4:$CS$2003,MATCH(195,$CU$4:$CU$2003,0)),"")</f>
        <v/>
      </c>
    </row>
    <row r="199" spans="1:101">
      <c r="A199" t="str">
        <f>IF(包装物料出入库明细!$E199="","",包装物料出入库明细!$E199)</f>
        <v/>
      </c>
      <c r="B199">
        <f t="shared" si="132"/>
        <v>0</v>
      </c>
      <c r="C199">
        <f t="shared" si="133"/>
        <v>7</v>
      </c>
      <c r="D199" t="str">
        <f>IF(包装物料出入库明细!$E199="","",包装物料出入库明细!$F199)</f>
        <v/>
      </c>
      <c r="E199" t="str">
        <f>IF(包装物料出入库明细!$E199="","",包装物料出入库明细!$G199)</f>
        <v/>
      </c>
      <c r="K199" t="str">
        <f>IF(包装物料出入库明细!$D199="","",包装物料出入库明细!$D199)</f>
        <v/>
      </c>
      <c r="L199">
        <f t="shared" si="134"/>
        <v>0</v>
      </c>
      <c r="M199">
        <f t="shared" si="135"/>
        <v>9</v>
      </c>
      <c r="O199" t="str">
        <f t="shared" si="136"/>
        <v/>
      </c>
      <c r="Q199" t="str">
        <f>IF(周转筐出入库明细!$D200="","",周转筐出入库明细!$D200)</f>
        <v/>
      </c>
      <c r="R199">
        <f t="shared" si="137"/>
        <v>0</v>
      </c>
      <c r="S199">
        <f t="shared" si="138"/>
        <v>5</v>
      </c>
      <c r="W199" t="str">
        <f>IF(周转筐出入库明细!$C200="","",周转筐出入库明细!$C200)</f>
        <v/>
      </c>
      <c r="X199">
        <f t="shared" si="139"/>
        <v>0</v>
      </c>
      <c r="Y199">
        <f t="shared" si="140"/>
        <v>12</v>
      </c>
      <c r="AA199" t="str">
        <f t="shared" si="141"/>
        <v/>
      </c>
      <c r="AC199" t="str">
        <f>IF(客户自备加工筐明细!$C199="","",客户自备加工筐明细!$C199)</f>
        <v/>
      </c>
      <c r="AD199">
        <f t="shared" si="142"/>
        <v>0</v>
      </c>
      <c r="AE199">
        <f t="shared" si="143"/>
        <v>1</v>
      </c>
      <c r="AI199" t="str">
        <f>IF(客户自备加工筐明细!$E199="","",客户自备加工筐明细!$E199)</f>
        <v/>
      </c>
      <c r="AJ199">
        <f t="shared" si="144"/>
        <v>0</v>
      </c>
      <c r="AK199">
        <f t="shared" si="145"/>
        <v>1</v>
      </c>
      <c r="AM199" t="str">
        <f>IFERROR(INDEX($AI$4:$AI$1503,MATCH(196,$AK$4:$AK$1503,0)),"")</f>
        <v/>
      </c>
      <c r="AO199" t="str">
        <f>IF(次果筐明细!$D199="","",次果筐明细!$D199)</f>
        <v/>
      </c>
      <c r="AP199">
        <f t="shared" si="146"/>
        <v>0</v>
      </c>
      <c r="AQ199">
        <f t="shared" si="147"/>
        <v>1</v>
      </c>
      <c r="AU199" t="str">
        <f>IF(次果筐明细!$C199="","",次果筐明细!$C199)</f>
        <v/>
      </c>
      <c r="AV199">
        <f t="shared" si="148"/>
        <v>0</v>
      </c>
      <c r="AW199">
        <f t="shared" si="149"/>
        <v>1</v>
      </c>
      <c r="AY199" t="str">
        <f t="shared" si="150"/>
        <v/>
      </c>
      <c r="BA199" t="str">
        <f>IF(对接源_01水果筐数!$B200="","",对接源_01水果筐数!$B200)</f>
        <v/>
      </c>
      <c r="BB199">
        <f t="shared" si="151"/>
        <v>0</v>
      </c>
      <c r="BC199">
        <f t="shared" si="152"/>
        <v>14</v>
      </c>
      <c r="BE199" t="str">
        <f t="shared" si="153"/>
        <v/>
      </c>
      <c r="BG199" t="str">
        <f>IF(对接源_01水果筐数!$C200="","",对接源_01水果筐数!$C200)</f>
        <v/>
      </c>
      <c r="BH199">
        <f t="shared" si="154"/>
        <v>0</v>
      </c>
      <c r="BI199">
        <f t="shared" si="155"/>
        <v>7</v>
      </c>
      <c r="BS199" t="str">
        <f t="shared" si="156"/>
        <v/>
      </c>
      <c r="BT199">
        <f t="shared" si="157"/>
        <v>0</v>
      </c>
      <c r="BU199">
        <f t="shared" si="158"/>
        <v>9</v>
      </c>
      <c r="BW199" t="str">
        <f t="shared" si="159"/>
        <v/>
      </c>
      <c r="BY199" t="str">
        <f t="shared" si="160"/>
        <v/>
      </c>
      <c r="BZ199">
        <f t="shared" si="161"/>
        <v>0</v>
      </c>
      <c r="CA199">
        <f t="shared" si="162"/>
        <v>12</v>
      </c>
      <c r="CC199" t="str">
        <f t="shared" si="163"/>
        <v/>
      </c>
      <c r="CI199" t="str">
        <f>IF(基础资料!$E99="","",基础资料!$E99)</f>
        <v/>
      </c>
      <c r="CJ199">
        <f t="shared" si="164"/>
        <v>0</v>
      </c>
      <c r="CK199">
        <f t="shared" si="165"/>
        <v>24</v>
      </c>
      <c r="CL199" t="str">
        <f t="shared" si="166"/>
        <v/>
      </c>
      <c r="CP199">
        <f>IF(包装物料出入库明细!$D199="",0,1)</f>
        <v>0</v>
      </c>
      <c r="CQ199">
        <f t="shared" si="167"/>
        <v>37</v>
      </c>
      <c r="CS199" t="str">
        <f>IF(OR(周转筐出入库明细!$C200="",周转筐出入库明细!$F200&lt;&gt;"采购入库"),"",周转筐出入库明细!$C200)</f>
        <v/>
      </c>
      <c r="CT199">
        <f t="shared" si="168"/>
        <v>0</v>
      </c>
      <c r="CU199">
        <f t="shared" si="169"/>
        <v>1</v>
      </c>
      <c r="CW199" t="str">
        <f>IFERROR(INDEX($CS$4:$CS$2003,MATCH(196,$CU$4:$CU$2003,0)),"")</f>
        <v/>
      </c>
    </row>
    <row r="200" spans="1:101">
      <c r="A200" t="str">
        <f>IF(包装物料出入库明细!$E200="","",包装物料出入库明细!$E200)</f>
        <v/>
      </c>
      <c r="B200">
        <f t="shared" si="132"/>
        <v>0</v>
      </c>
      <c r="C200">
        <f t="shared" si="133"/>
        <v>7</v>
      </c>
      <c r="D200" t="str">
        <f>IF(包装物料出入库明细!$E200="","",包装物料出入库明细!$F200)</f>
        <v/>
      </c>
      <c r="E200" t="str">
        <f>IF(包装物料出入库明细!$E200="","",包装物料出入库明细!$G200)</f>
        <v/>
      </c>
      <c r="K200" t="str">
        <f>IF(包装物料出入库明细!$D200="","",包装物料出入库明细!$D200)</f>
        <v/>
      </c>
      <c r="L200">
        <f t="shared" si="134"/>
        <v>0</v>
      </c>
      <c r="M200">
        <f t="shared" si="135"/>
        <v>9</v>
      </c>
      <c r="O200" t="str">
        <f t="shared" si="136"/>
        <v/>
      </c>
      <c r="Q200" t="str">
        <f>IF(周转筐出入库明细!$D201="","",周转筐出入库明细!$D201)</f>
        <v/>
      </c>
      <c r="R200">
        <f t="shared" si="137"/>
        <v>0</v>
      </c>
      <c r="S200">
        <f t="shared" si="138"/>
        <v>5</v>
      </c>
      <c r="W200" t="str">
        <f>IF(周转筐出入库明细!$C201="","",周转筐出入库明细!$C201)</f>
        <v/>
      </c>
      <c r="X200">
        <f t="shared" si="139"/>
        <v>0</v>
      </c>
      <c r="Y200">
        <f t="shared" si="140"/>
        <v>12</v>
      </c>
      <c r="AA200" t="str">
        <f t="shared" si="141"/>
        <v/>
      </c>
      <c r="AC200" t="str">
        <f>IF(客户自备加工筐明细!$C200="","",客户自备加工筐明细!$C200)</f>
        <v/>
      </c>
      <c r="AD200">
        <f t="shared" si="142"/>
        <v>0</v>
      </c>
      <c r="AE200">
        <f t="shared" si="143"/>
        <v>1</v>
      </c>
      <c r="AI200" t="str">
        <f>IF(客户自备加工筐明细!$E200="","",客户自备加工筐明细!$E200)</f>
        <v/>
      </c>
      <c r="AJ200">
        <f t="shared" si="144"/>
        <v>0</v>
      </c>
      <c r="AK200">
        <f t="shared" si="145"/>
        <v>1</v>
      </c>
      <c r="AM200" t="str">
        <f>IFERROR(INDEX($AI$4:$AI$1503,MATCH(197,$AK$4:$AK$1503,0)),"")</f>
        <v/>
      </c>
      <c r="AO200" t="str">
        <f>IF(次果筐明细!$D200="","",次果筐明细!$D200)</f>
        <v/>
      </c>
      <c r="AP200">
        <f t="shared" si="146"/>
        <v>0</v>
      </c>
      <c r="AQ200">
        <f t="shared" si="147"/>
        <v>1</v>
      </c>
      <c r="AU200" t="str">
        <f>IF(次果筐明细!$C200="","",次果筐明细!$C200)</f>
        <v/>
      </c>
      <c r="AV200">
        <f t="shared" si="148"/>
        <v>0</v>
      </c>
      <c r="AW200">
        <f t="shared" si="149"/>
        <v>1</v>
      </c>
      <c r="AY200" t="str">
        <f t="shared" si="150"/>
        <v/>
      </c>
      <c r="BA200" t="str">
        <f>IF(对接源_01水果筐数!$B201="","",对接源_01水果筐数!$B201)</f>
        <v/>
      </c>
      <c r="BB200">
        <f t="shared" si="151"/>
        <v>0</v>
      </c>
      <c r="BC200">
        <f t="shared" si="152"/>
        <v>14</v>
      </c>
      <c r="BE200" t="str">
        <f t="shared" si="153"/>
        <v/>
      </c>
      <c r="BG200" t="str">
        <f>IF(对接源_01水果筐数!$C201="","",对接源_01水果筐数!$C201)</f>
        <v/>
      </c>
      <c r="BH200">
        <f t="shared" si="154"/>
        <v>0</v>
      </c>
      <c r="BI200">
        <f t="shared" si="155"/>
        <v>7</v>
      </c>
      <c r="BS200" t="str">
        <f t="shared" si="156"/>
        <v/>
      </c>
      <c r="BT200">
        <f t="shared" si="157"/>
        <v>0</v>
      </c>
      <c r="BU200">
        <f t="shared" si="158"/>
        <v>9</v>
      </c>
      <c r="BW200" t="str">
        <f t="shared" si="159"/>
        <v/>
      </c>
      <c r="BY200" t="str">
        <f t="shared" si="160"/>
        <v/>
      </c>
      <c r="BZ200">
        <f t="shared" si="161"/>
        <v>0</v>
      </c>
      <c r="CA200">
        <f t="shared" si="162"/>
        <v>12</v>
      </c>
      <c r="CC200" t="str">
        <f t="shared" si="163"/>
        <v/>
      </c>
      <c r="CI200" t="str">
        <f>IF(基础资料!$E100="","",基础资料!$E100)</f>
        <v/>
      </c>
      <c r="CJ200">
        <f t="shared" si="164"/>
        <v>0</v>
      </c>
      <c r="CK200">
        <f t="shared" si="165"/>
        <v>24</v>
      </c>
      <c r="CL200" t="str">
        <f t="shared" si="166"/>
        <v/>
      </c>
      <c r="CP200">
        <f>IF(包装物料出入库明细!$D200="",0,1)</f>
        <v>0</v>
      </c>
      <c r="CQ200">
        <f t="shared" si="167"/>
        <v>37</v>
      </c>
      <c r="CS200" t="str">
        <f>IF(OR(周转筐出入库明细!$C201="",周转筐出入库明细!$F201&lt;&gt;"采购入库"),"",周转筐出入库明细!$C201)</f>
        <v/>
      </c>
      <c r="CT200">
        <f t="shared" si="168"/>
        <v>0</v>
      </c>
      <c r="CU200">
        <f t="shared" si="169"/>
        <v>1</v>
      </c>
      <c r="CW200" t="str">
        <f>IFERROR(INDEX($CS$4:$CS$2003,MATCH(197,$CU$4:$CU$2003,0)),"")</f>
        <v/>
      </c>
    </row>
    <row r="201" spans="1:101">
      <c r="A201" t="str">
        <f>IF(包装物料出入库明细!$E201="","",包装物料出入库明细!$E201)</f>
        <v/>
      </c>
      <c r="B201">
        <f t="shared" si="132"/>
        <v>0</v>
      </c>
      <c r="C201">
        <f t="shared" si="133"/>
        <v>7</v>
      </c>
      <c r="D201" t="str">
        <f>IF(包装物料出入库明细!$E201="","",包装物料出入库明细!$F201)</f>
        <v/>
      </c>
      <c r="E201" t="str">
        <f>IF(包装物料出入库明细!$E201="","",包装物料出入库明细!$G201)</f>
        <v/>
      </c>
      <c r="K201" t="str">
        <f>IF(包装物料出入库明细!$D201="","",包装物料出入库明细!$D201)</f>
        <v/>
      </c>
      <c r="L201">
        <f t="shared" si="134"/>
        <v>0</v>
      </c>
      <c r="M201">
        <f t="shared" si="135"/>
        <v>9</v>
      </c>
      <c r="O201" t="str">
        <f t="shared" si="136"/>
        <v/>
      </c>
      <c r="Q201" t="str">
        <f>IF(周转筐出入库明细!$D202="","",周转筐出入库明细!$D202)</f>
        <v/>
      </c>
      <c r="R201">
        <f t="shared" si="137"/>
        <v>0</v>
      </c>
      <c r="S201">
        <f t="shared" si="138"/>
        <v>5</v>
      </c>
      <c r="W201" t="str">
        <f>IF(周转筐出入库明细!$C202="","",周转筐出入库明细!$C202)</f>
        <v/>
      </c>
      <c r="X201">
        <f t="shared" si="139"/>
        <v>0</v>
      </c>
      <c r="Y201">
        <f t="shared" si="140"/>
        <v>12</v>
      </c>
      <c r="AA201" t="str">
        <f t="shared" si="141"/>
        <v/>
      </c>
      <c r="AC201" t="str">
        <f>IF(客户自备加工筐明细!$C201="","",客户自备加工筐明细!$C201)</f>
        <v/>
      </c>
      <c r="AD201">
        <f t="shared" si="142"/>
        <v>0</v>
      </c>
      <c r="AE201">
        <f t="shared" si="143"/>
        <v>1</v>
      </c>
      <c r="AI201" t="str">
        <f>IF(客户自备加工筐明细!$E201="","",客户自备加工筐明细!$E201)</f>
        <v/>
      </c>
      <c r="AJ201">
        <f t="shared" si="144"/>
        <v>0</v>
      </c>
      <c r="AK201">
        <f t="shared" si="145"/>
        <v>1</v>
      </c>
      <c r="AM201" t="str">
        <f>IFERROR(INDEX($AI$4:$AI$1503,MATCH(198,$AK$4:$AK$1503,0)),"")</f>
        <v/>
      </c>
      <c r="AO201" t="str">
        <f>IF(次果筐明细!$D201="","",次果筐明细!$D201)</f>
        <v/>
      </c>
      <c r="AP201">
        <f t="shared" si="146"/>
        <v>0</v>
      </c>
      <c r="AQ201">
        <f t="shared" si="147"/>
        <v>1</v>
      </c>
      <c r="AU201" t="str">
        <f>IF(次果筐明细!$C201="","",次果筐明细!$C201)</f>
        <v/>
      </c>
      <c r="AV201">
        <f t="shared" si="148"/>
        <v>0</v>
      </c>
      <c r="AW201">
        <f t="shared" si="149"/>
        <v>1</v>
      </c>
      <c r="AY201" t="str">
        <f t="shared" si="150"/>
        <v/>
      </c>
      <c r="BA201" t="str">
        <f>IF(对接源_01水果筐数!$B202="","",对接源_01水果筐数!$B202)</f>
        <v/>
      </c>
      <c r="BB201">
        <f t="shared" si="151"/>
        <v>0</v>
      </c>
      <c r="BC201">
        <f t="shared" si="152"/>
        <v>14</v>
      </c>
      <c r="BE201" t="str">
        <f t="shared" si="153"/>
        <v/>
      </c>
      <c r="BG201" t="str">
        <f>IF(对接源_01水果筐数!$C202="","",对接源_01水果筐数!$C202)</f>
        <v/>
      </c>
      <c r="BH201">
        <f t="shared" si="154"/>
        <v>0</v>
      </c>
      <c r="BI201">
        <f t="shared" si="155"/>
        <v>7</v>
      </c>
      <c r="BS201" t="str">
        <f t="shared" si="156"/>
        <v/>
      </c>
      <c r="BT201">
        <f t="shared" si="157"/>
        <v>0</v>
      </c>
      <c r="BU201">
        <f t="shared" si="158"/>
        <v>9</v>
      </c>
      <c r="BW201" t="str">
        <f t="shared" si="159"/>
        <v/>
      </c>
      <c r="BY201" t="str">
        <f t="shared" si="160"/>
        <v/>
      </c>
      <c r="BZ201">
        <f t="shared" si="161"/>
        <v>0</v>
      </c>
      <c r="CA201">
        <f t="shared" si="162"/>
        <v>12</v>
      </c>
      <c r="CC201" t="str">
        <f t="shared" si="163"/>
        <v/>
      </c>
      <c r="CI201" t="str">
        <f>IF(基础资料!$E101="","",基础资料!$E101)</f>
        <v/>
      </c>
      <c r="CJ201">
        <f t="shared" si="164"/>
        <v>0</v>
      </c>
      <c r="CK201">
        <f t="shared" si="165"/>
        <v>24</v>
      </c>
      <c r="CL201" t="str">
        <f t="shared" si="166"/>
        <v/>
      </c>
      <c r="CP201">
        <f>IF(包装物料出入库明细!$D201="",0,1)</f>
        <v>0</v>
      </c>
      <c r="CQ201">
        <f t="shared" si="167"/>
        <v>37</v>
      </c>
      <c r="CS201" t="str">
        <f>IF(OR(周转筐出入库明细!$C202="",周转筐出入库明细!$F202&lt;&gt;"采购入库"),"",周转筐出入库明细!$C202)</f>
        <v/>
      </c>
      <c r="CT201">
        <f t="shared" si="168"/>
        <v>0</v>
      </c>
      <c r="CU201">
        <f t="shared" si="169"/>
        <v>1</v>
      </c>
      <c r="CW201" t="str">
        <f>IFERROR(INDEX($CS$4:$CS$2003,MATCH(198,$CU$4:$CU$2003,0)),"")</f>
        <v/>
      </c>
    </row>
    <row r="202" spans="1:101">
      <c r="A202" t="str">
        <f>IF(包装物料出入库明细!$E202="","",包装物料出入库明细!$E202)</f>
        <v/>
      </c>
      <c r="B202">
        <f t="shared" si="132"/>
        <v>0</v>
      </c>
      <c r="C202">
        <f t="shared" si="133"/>
        <v>7</v>
      </c>
      <c r="D202" t="str">
        <f>IF(包装物料出入库明细!$E202="","",包装物料出入库明细!$F202)</f>
        <v/>
      </c>
      <c r="E202" t="str">
        <f>IF(包装物料出入库明细!$E202="","",包装物料出入库明细!$G202)</f>
        <v/>
      </c>
      <c r="K202" t="str">
        <f>IF(包装物料出入库明细!$D202="","",包装物料出入库明细!$D202)</f>
        <v/>
      </c>
      <c r="L202">
        <f t="shared" si="134"/>
        <v>0</v>
      </c>
      <c r="M202">
        <f t="shared" si="135"/>
        <v>9</v>
      </c>
      <c r="O202" t="str">
        <f t="shared" si="136"/>
        <v/>
      </c>
      <c r="Q202" t="str">
        <f>IF(周转筐出入库明细!$D203="","",周转筐出入库明细!$D203)</f>
        <v/>
      </c>
      <c r="R202">
        <f t="shared" si="137"/>
        <v>0</v>
      </c>
      <c r="S202">
        <f t="shared" si="138"/>
        <v>5</v>
      </c>
      <c r="W202" t="str">
        <f>IF(周转筐出入库明细!$C203="","",周转筐出入库明细!$C203)</f>
        <v/>
      </c>
      <c r="X202">
        <f t="shared" si="139"/>
        <v>0</v>
      </c>
      <c r="Y202">
        <f t="shared" si="140"/>
        <v>12</v>
      </c>
      <c r="AA202" t="str">
        <f t="shared" si="141"/>
        <v/>
      </c>
      <c r="AC202" t="str">
        <f>IF(客户自备加工筐明细!$C202="","",客户自备加工筐明细!$C202)</f>
        <v/>
      </c>
      <c r="AD202">
        <f t="shared" si="142"/>
        <v>0</v>
      </c>
      <c r="AE202">
        <f t="shared" si="143"/>
        <v>1</v>
      </c>
      <c r="AI202" t="str">
        <f>IF(客户自备加工筐明细!$E202="","",客户自备加工筐明细!$E202)</f>
        <v/>
      </c>
      <c r="AJ202">
        <f t="shared" si="144"/>
        <v>0</v>
      </c>
      <c r="AK202">
        <f t="shared" si="145"/>
        <v>1</v>
      </c>
      <c r="AM202" t="str">
        <f>IFERROR(INDEX($AI$4:$AI$1503,MATCH(199,$AK$4:$AK$1503,0)),"")</f>
        <v/>
      </c>
      <c r="AO202" t="str">
        <f>IF(次果筐明细!$D202="","",次果筐明细!$D202)</f>
        <v/>
      </c>
      <c r="AP202">
        <f t="shared" si="146"/>
        <v>0</v>
      </c>
      <c r="AQ202">
        <f t="shared" si="147"/>
        <v>1</v>
      </c>
      <c r="AU202" t="str">
        <f>IF(次果筐明细!$C202="","",次果筐明细!$C202)</f>
        <v/>
      </c>
      <c r="AV202">
        <f t="shared" si="148"/>
        <v>0</v>
      </c>
      <c r="AW202">
        <f t="shared" si="149"/>
        <v>1</v>
      </c>
      <c r="AY202" t="str">
        <f t="shared" si="150"/>
        <v/>
      </c>
      <c r="BA202" t="str">
        <f>IF(对接源_01水果筐数!$B203="","",对接源_01水果筐数!$B203)</f>
        <v/>
      </c>
      <c r="BB202">
        <f t="shared" si="151"/>
        <v>0</v>
      </c>
      <c r="BC202">
        <f t="shared" si="152"/>
        <v>14</v>
      </c>
      <c r="BE202" t="str">
        <f t="shared" si="153"/>
        <v/>
      </c>
      <c r="BG202" t="str">
        <f>IF(对接源_01水果筐数!$C203="","",对接源_01水果筐数!$C203)</f>
        <v/>
      </c>
      <c r="BH202">
        <f t="shared" si="154"/>
        <v>0</v>
      </c>
      <c r="BI202">
        <f t="shared" si="155"/>
        <v>7</v>
      </c>
      <c r="BS202" t="str">
        <f t="shared" si="156"/>
        <v/>
      </c>
      <c r="BT202">
        <f t="shared" si="157"/>
        <v>0</v>
      </c>
      <c r="BU202">
        <f t="shared" si="158"/>
        <v>9</v>
      </c>
      <c r="BW202" t="str">
        <f t="shared" si="159"/>
        <v/>
      </c>
      <c r="BY202" t="str">
        <f t="shared" si="160"/>
        <v/>
      </c>
      <c r="BZ202">
        <f t="shared" si="161"/>
        <v>0</v>
      </c>
      <c r="CA202">
        <f t="shared" si="162"/>
        <v>12</v>
      </c>
      <c r="CC202" t="str">
        <f t="shared" si="163"/>
        <v/>
      </c>
      <c r="CI202" t="str">
        <f>IF(基础资料!$E102="","",基础资料!$E102)</f>
        <v/>
      </c>
      <c r="CJ202">
        <f t="shared" si="164"/>
        <v>0</v>
      </c>
      <c r="CK202">
        <f t="shared" si="165"/>
        <v>24</v>
      </c>
      <c r="CL202" t="str">
        <f t="shared" si="166"/>
        <v/>
      </c>
      <c r="CP202">
        <f>IF(包装物料出入库明细!$D202="",0,1)</f>
        <v>0</v>
      </c>
      <c r="CQ202">
        <f t="shared" si="167"/>
        <v>37</v>
      </c>
      <c r="CS202" t="str">
        <f>IF(OR(周转筐出入库明细!$C203="",周转筐出入库明细!$F203&lt;&gt;"采购入库"),"",周转筐出入库明细!$C203)</f>
        <v/>
      </c>
      <c r="CT202">
        <f t="shared" si="168"/>
        <v>0</v>
      </c>
      <c r="CU202">
        <f t="shared" si="169"/>
        <v>1</v>
      </c>
      <c r="CW202" t="str">
        <f>IFERROR(INDEX($CS$4:$CS$2003,MATCH(199,$CU$4:$CU$2003,0)),"")</f>
        <v/>
      </c>
    </row>
    <row r="203" spans="1:101">
      <c r="A203" t="str">
        <f>IF(包装物料出入库明细!$E203="","",包装物料出入库明细!$E203)</f>
        <v/>
      </c>
      <c r="B203">
        <f t="shared" si="132"/>
        <v>0</v>
      </c>
      <c r="C203">
        <f t="shared" si="133"/>
        <v>7</v>
      </c>
      <c r="D203" t="str">
        <f>IF(包装物料出入库明细!$E203="","",包装物料出入库明细!$F203)</f>
        <v/>
      </c>
      <c r="E203" t="str">
        <f>IF(包装物料出入库明细!$E203="","",包装物料出入库明细!$G203)</f>
        <v/>
      </c>
      <c r="K203" t="str">
        <f>IF(包装物料出入库明细!$D203="","",包装物料出入库明细!$D203)</f>
        <v/>
      </c>
      <c r="L203">
        <f t="shared" si="134"/>
        <v>0</v>
      </c>
      <c r="M203">
        <f t="shared" si="135"/>
        <v>9</v>
      </c>
      <c r="O203" t="str">
        <f t="shared" si="136"/>
        <v/>
      </c>
      <c r="Q203" t="str">
        <f>IF(周转筐出入库明细!$D204="","",周转筐出入库明细!$D204)</f>
        <v/>
      </c>
      <c r="R203">
        <f t="shared" si="137"/>
        <v>0</v>
      </c>
      <c r="S203">
        <f t="shared" si="138"/>
        <v>5</v>
      </c>
      <c r="W203" t="str">
        <f>IF(周转筐出入库明细!$C204="","",周转筐出入库明细!$C204)</f>
        <v/>
      </c>
      <c r="X203">
        <f t="shared" si="139"/>
        <v>0</v>
      </c>
      <c r="Y203">
        <f t="shared" si="140"/>
        <v>12</v>
      </c>
      <c r="AA203" t="str">
        <f t="shared" si="141"/>
        <v/>
      </c>
      <c r="AC203" t="str">
        <f>IF(客户自备加工筐明细!$C203="","",客户自备加工筐明细!$C203)</f>
        <v/>
      </c>
      <c r="AD203">
        <f t="shared" si="142"/>
        <v>0</v>
      </c>
      <c r="AE203">
        <f t="shared" si="143"/>
        <v>1</v>
      </c>
      <c r="AI203" t="str">
        <f>IF(客户自备加工筐明细!$E203="","",客户自备加工筐明细!$E203)</f>
        <v/>
      </c>
      <c r="AJ203">
        <f t="shared" si="144"/>
        <v>0</v>
      </c>
      <c r="AK203">
        <f t="shared" si="145"/>
        <v>1</v>
      </c>
      <c r="AM203" t="str">
        <f>IFERROR(INDEX($AI$4:$AI$1503,MATCH(200,$AK$4:$AK$1503,0)),"")</f>
        <v/>
      </c>
      <c r="AO203" t="str">
        <f>IF(次果筐明细!$D203="","",次果筐明细!$D203)</f>
        <v/>
      </c>
      <c r="AP203">
        <f t="shared" si="146"/>
        <v>0</v>
      </c>
      <c r="AQ203">
        <f t="shared" si="147"/>
        <v>1</v>
      </c>
      <c r="AU203" t="str">
        <f>IF(次果筐明细!$C203="","",次果筐明细!$C203)</f>
        <v/>
      </c>
      <c r="AV203">
        <f t="shared" si="148"/>
        <v>0</v>
      </c>
      <c r="AW203">
        <f t="shared" si="149"/>
        <v>1</v>
      </c>
      <c r="AY203" t="str">
        <f t="shared" si="150"/>
        <v/>
      </c>
      <c r="BA203" t="str">
        <f>IF(对接源_01水果筐数!$B204="","",对接源_01水果筐数!$B204)</f>
        <v/>
      </c>
      <c r="BB203">
        <f t="shared" si="151"/>
        <v>0</v>
      </c>
      <c r="BC203">
        <f t="shared" si="152"/>
        <v>14</v>
      </c>
      <c r="BE203" t="str">
        <f t="shared" si="153"/>
        <v/>
      </c>
      <c r="BG203" t="str">
        <f>IF(对接源_01水果筐数!$C204="","",对接源_01水果筐数!$C204)</f>
        <v/>
      </c>
      <c r="BH203">
        <f t="shared" si="154"/>
        <v>0</v>
      </c>
      <c r="BI203">
        <f t="shared" si="155"/>
        <v>7</v>
      </c>
      <c r="BS203" t="str">
        <f t="shared" si="156"/>
        <v/>
      </c>
      <c r="BT203">
        <f t="shared" si="157"/>
        <v>0</v>
      </c>
      <c r="BU203">
        <f t="shared" si="158"/>
        <v>9</v>
      </c>
      <c r="BW203" t="str">
        <f t="shared" si="159"/>
        <v/>
      </c>
      <c r="BY203" t="str">
        <f t="shared" si="160"/>
        <v/>
      </c>
      <c r="BZ203">
        <f t="shared" si="161"/>
        <v>0</v>
      </c>
      <c r="CA203">
        <f t="shared" si="162"/>
        <v>12</v>
      </c>
      <c r="CC203" t="str">
        <f t="shared" si="163"/>
        <v/>
      </c>
      <c r="CI203" t="str">
        <f>IF(基础资料!$E103="","",基础资料!$E103)</f>
        <v/>
      </c>
      <c r="CJ203">
        <f t="shared" si="164"/>
        <v>0</v>
      </c>
      <c r="CK203">
        <f t="shared" si="165"/>
        <v>24</v>
      </c>
      <c r="CL203" t="str">
        <f t="shared" si="166"/>
        <v/>
      </c>
      <c r="CP203">
        <f>IF(包装物料出入库明细!$D203="",0,1)</f>
        <v>0</v>
      </c>
      <c r="CQ203">
        <f t="shared" si="167"/>
        <v>37</v>
      </c>
      <c r="CS203" t="str">
        <f>IF(OR(周转筐出入库明细!$C204="",周转筐出入库明细!$F204&lt;&gt;"采购入库"),"",周转筐出入库明细!$C204)</f>
        <v/>
      </c>
      <c r="CT203">
        <f t="shared" si="168"/>
        <v>0</v>
      </c>
      <c r="CU203">
        <f t="shared" si="169"/>
        <v>1</v>
      </c>
      <c r="CW203" t="str">
        <f>IFERROR(INDEX($CS$4:$CS$2003,MATCH(200,$CU$4:$CU$2003,0)),"")</f>
        <v/>
      </c>
    </row>
    <row r="204" spans="1:101">
      <c r="A204" t="str">
        <f>IF(包装物料出入库明细!$E204="","",包装物料出入库明细!$E204)</f>
        <v/>
      </c>
      <c r="B204">
        <f t="shared" si="132"/>
        <v>0</v>
      </c>
      <c r="C204">
        <f t="shared" si="133"/>
        <v>7</v>
      </c>
      <c r="D204" t="str">
        <f>IF(包装物料出入库明细!$E204="","",包装物料出入库明细!$F204)</f>
        <v/>
      </c>
      <c r="E204" t="str">
        <f>IF(包装物料出入库明细!$E204="","",包装物料出入库明细!$G204)</f>
        <v/>
      </c>
      <c r="K204" t="str">
        <f>IF(包装物料出入库明细!$D204="","",包装物料出入库明细!$D204)</f>
        <v/>
      </c>
      <c r="L204">
        <f t="shared" si="134"/>
        <v>0</v>
      </c>
      <c r="M204">
        <f t="shared" si="135"/>
        <v>9</v>
      </c>
      <c r="Q204" t="str">
        <f>IF(周转筐出入库明细!$D205="","",周转筐出入库明细!$D205)</f>
        <v/>
      </c>
      <c r="R204">
        <f t="shared" si="137"/>
        <v>0</v>
      </c>
      <c r="S204">
        <f t="shared" si="138"/>
        <v>5</v>
      </c>
      <c r="W204" t="str">
        <f>IF(周转筐出入库明细!$C205="","",周转筐出入库明细!$C205)</f>
        <v/>
      </c>
      <c r="X204">
        <f t="shared" si="139"/>
        <v>0</v>
      </c>
      <c r="Y204">
        <f t="shared" si="140"/>
        <v>12</v>
      </c>
      <c r="AC204" t="str">
        <f>IF(客户自备加工筐明细!$C204="","",客户自备加工筐明细!$C204)</f>
        <v/>
      </c>
      <c r="AD204">
        <f t="shared" si="142"/>
        <v>0</v>
      </c>
      <c r="AE204">
        <f t="shared" si="143"/>
        <v>1</v>
      </c>
      <c r="AI204" t="str">
        <f>IF(客户自备加工筐明细!$E204="","",客户自备加工筐明细!$E204)</f>
        <v/>
      </c>
      <c r="AJ204">
        <f t="shared" si="144"/>
        <v>0</v>
      </c>
      <c r="AK204">
        <f t="shared" si="145"/>
        <v>1</v>
      </c>
      <c r="AO204" t="str">
        <f>IF(次果筐明细!$D204="","",次果筐明细!$D204)</f>
        <v/>
      </c>
      <c r="AP204">
        <f t="shared" si="146"/>
        <v>0</v>
      </c>
      <c r="AQ204">
        <f t="shared" si="147"/>
        <v>1</v>
      </c>
      <c r="AU204" t="str">
        <f>IF(次果筐明细!$C204="","",次果筐明细!$C204)</f>
        <v/>
      </c>
      <c r="AV204">
        <f t="shared" si="148"/>
        <v>0</v>
      </c>
      <c r="AW204">
        <f t="shared" si="149"/>
        <v>1</v>
      </c>
      <c r="BA204" t="str">
        <f>IF(对接源_01水果筐数!$B205="","",对接源_01水果筐数!$B205)</f>
        <v/>
      </c>
      <c r="BB204">
        <f t="shared" si="151"/>
        <v>0</v>
      </c>
      <c r="BC204">
        <f t="shared" si="152"/>
        <v>14</v>
      </c>
      <c r="BE204" t="str">
        <f t="shared" si="153"/>
        <v/>
      </c>
      <c r="BG204" t="str">
        <f>IF(对接源_01水果筐数!$C205="","",对接源_01水果筐数!$C205)</f>
        <v/>
      </c>
      <c r="BH204">
        <f t="shared" si="154"/>
        <v>0</v>
      </c>
      <c r="BI204">
        <f t="shared" si="155"/>
        <v>7</v>
      </c>
      <c r="BS204" t="str">
        <f t="shared" ref="BS204:BS267" si="170">IF($AA4="","",$AA4)</f>
        <v>王照雪</v>
      </c>
      <c r="BT204">
        <f t="shared" si="157"/>
        <v>1</v>
      </c>
      <c r="BU204">
        <f t="shared" si="158"/>
        <v>10</v>
      </c>
      <c r="BW204" t="str">
        <f t="shared" si="159"/>
        <v/>
      </c>
      <c r="BY204" t="str">
        <f t="shared" ref="BY204:BY267" si="171">IF($BE4="","",$BE4)</f>
        <v>聂新平</v>
      </c>
      <c r="BZ204">
        <f t="shared" si="161"/>
        <v>1</v>
      </c>
      <c r="CA204">
        <f t="shared" si="162"/>
        <v>13</v>
      </c>
      <c r="CC204" t="str">
        <f t="shared" si="163"/>
        <v/>
      </c>
      <c r="CP204">
        <f>IF(包装物料出入库明细!$D204="",0,1)</f>
        <v>0</v>
      </c>
      <c r="CQ204">
        <f t="shared" si="167"/>
        <v>37</v>
      </c>
      <c r="CS204" t="str">
        <f>IF(OR(周转筐出入库明细!$C205="",周转筐出入库明细!$F205&lt;&gt;"采购入库"),"",周转筐出入库明细!$C205)</f>
        <v/>
      </c>
      <c r="CT204">
        <f t="shared" si="168"/>
        <v>0</v>
      </c>
      <c r="CU204">
        <f t="shared" si="169"/>
        <v>1</v>
      </c>
    </row>
    <row r="205" spans="1:101">
      <c r="A205" t="str">
        <f>IF(包装物料出入库明细!$E205="","",包装物料出入库明细!$E205)</f>
        <v/>
      </c>
      <c r="B205">
        <f t="shared" si="132"/>
        <v>0</v>
      </c>
      <c r="C205">
        <f t="shared" si="133"/>
        <v>7</v>
      </c>
      <c r="D205" t="str">
        <f>IF(包装物料出入库明细!$E205="","",包装物料出入库明细!$F205)</f>
        <v/>
      </c>
      <c r="E205" t="str">
        <f>IF(包装物料出入库明细!$E205="","",包装物料出入库明细!$G205)</f>
        <v/>
      </c>
      <c r="K205" t="str">
        <f>IF(包装物料出入库明细!$D205="","",包装物料出入库明细!$D205)</f>
        <v/>
      </c>
      <c r="L205">
        <f t="shared" si="134"/>
        <v>0</v>
      </c>
      <c r="M205">
        <f t="shared" si="135"/>
        <v>9</v>
      </c>
      <c r="Q205" t="str">
        <f>IF(周转筐出入库明细!$D206="","",周转筐出入库明细!$D206)</f>
        <v/>
      </c>
      <c r="R205">
        <f t="shared" si="137"/>
        <v>0</v>
      </c>
      <c r="S205">
        <f t="shared" si="138"/>
        <v>5</v>
      </c>
      <c r="W205" t="str">
        <f>IF(周转筐出入库明细!$C206="","",周转筐出入库明细!$C206)</f>
        <v/>
      </c>
      <c r="X205">
        <f t="shared" si="139"/>
        <v>0</v>
      </c>
      <c r="Y205">
        <f t="shared" si="140"/>
        <v>12</v>
      </c>
      <c r="AC205" t="str">
        <f>IF(客户自备加工筐明细!$C205="","",客户自备加工筐明细!$C205)</f>
        <v/>
      </c>
      <c r="AD205">
        <f t="shared" si="142"/>
        <v>0</v>
      </c>
      <c r="AE205">
        <f t="shared" si="143"/>
        <v>1</v>
      </c>
      <c r="AI205" t="str">
        <f>IF(客户自备加工筐明细!$E205="","",客户自备加工筐明细!$E205)</f>
        <v/>
      </c>
      <c r="AJ205">
        <f t="shared" si="144"/>
        <v>0</v>
      </c>
      <c r="AK205">
        <f t="shared" si="145"/>
        <v>1</v>
      </c>
      <c r="AO205" t="str">
        <f>IF(次果筐明细!$D205="","",次果筐明细!$D205)</f>
        <v/>
      </c>
      <c r="AP205">
        <f t="shared" si="146"/>
        <v>0</v>
      </c>
      <c r="AQ205">
        <f t="shared" si="147"/>
        <v>1</v>
      </c>
      <c r="AU205" t="str">
        <f>IF(次果筐明细!$C205="","",次果筐明细!$C205)</f>
        <v/>
      </c>
      <c r="AV205">
        <f t="shared" si="148"/>
        <v>0</v>
      </c>
      <c r="AW205">
        <f t="shared" si="149"/>
        <v>1</v>
      </c>
      <c r="BA205" t="str">
        <f>IF(对接源_01水果筐数!$B206="","",对接源_01水果筐数!$B206)</f>
        <v/>
      </c>
      <c r="BB205">
        <f t="shared" si="151"/>
        <v>0</v>
      </c>
      <c r="BC205">
        <f t="shared" si="152"/>
        <v>14</v>
      </c>
      <c r="BE205" t="str">
        <f t="shared" si="153"/>
        <v/>
      </c>
      <c r="BG205" t="str">
        <f>IF(对接源_01水果筐数!$C206="","",对接源_01水果筐数!$C206)</f>
        <v/>
      </c>
      <c r="BH205">
        <f t="shared" si="154"/>
        <v>0</v>
      </c>
      <c r="BI205">
        <f t="shared" si="155"/>
        <v>7</v>
      </c>
      <c r="BS205" t="str">
        <f t="shared" si="170"/>
        <v>王浩</v>
      </c>
      <c r="BT205">
        <f t="shared" si="157"/>
        <v>1</v>
      </c>
      <c r="BU205">
        <f t="shared" si="158"/>
        <v>11</v>
      </c>
      <c r="BW205" t="str">
        <f t="shared" si="159"/>
        <v/>
      </c>
      <c r="BY205" t="str">
        <f t="shared" si="171"/>
        <v>王照雪</v>
      </c>
      <c r="BZ205">
        <f t="shared" si="161"/>
        <v>0</v>
      </c>
      <c r="CA205">
        <f t="shared" si="162"/>
        <v>13</v>
      </c>
      <c r="CC205" t="str">
        <f t="shared" si="163"/>
        <v/>
      </c>
      <c r="CP205">
        <f>IF(包装物料出入库明细!$D205="",0,1)</f>
        <v>0</v>
      </c>
      <c r="CQ205">
        <f t="shared" si="167"/>
        <v>37</v>
      </c>
      <c r="CS205" t="str">
        <f>IF(OR(周转筐出入库明细!$C206="",周转筐出入库明细!$F206&lt;&gt;"采购入库"),"",周转筐出入库明细!$C206)</f>
        <v/>
      </c>
      <c r="CT205">
        <f t="shared" si="168"/>
        <v>0</v>
      </c>
      <c r="CU205">
        <f t="shared" si="169"/>
        <v>1</v>
      </c>
    </row>
    <row r="206" spans="1:101">
      <c r="A206" t="str">
        <f>IF(包装物料出入库明细!$E206="","",包装物料出入库明细!$E206)</f>
        <v/>
      </c>
      <c r="B206">
        <f t="shared" si="132"/>
        <v>0</v>
      </c>
      <c r="C206">
        <f t="shared" si="133"/>
        <v>7</v>
      </c>
      <c r="D206" t="str">
        <f>IF(包装物料出入库明细!$E206="","",包装物料出入库明细!$F206)</f>
        <v/>
      </c>
      <c r="E206" t="str">
        <f>IF(包装物料出入库明细!$E206="","",包装物料出入库明细!$G206)</f>
        <v/>
      </c>
      <c r="K206" t="str">
        <f>IF(包装物料出入库明细!$D206="","",包装物料出入库明细!$D206)</f>
        <v/>
      </c>
      <c r="L206">
        <f t="shared" si="134"/>
        <v>0</v>
      </c>
      <c r="M206">
        <f t="shared" si="135"/>
        <v>9</v>
      </c>
      <c r="Q206" t="str">
        <f>IF(周转筐出入库明细!$D207="","",周转筐出入库明细!$D207)</f>
        <v/>
      </c>
      <c r="R206">
        <f t="shared" si="137"/>
        <v>0</v>
      </c>
      <c r="S206">
        <f t="shared" si="138"/>
        <v>5</v>
      </c>
      <c r="W206" t="str">
        <f>IF(周转筐出入库明细!$C207="","",周转筐出入库明细!$C207)</f>
        <v/>
      </c>
      <c r="X206">
        <f t="shared" si="139"/>
        <v>0</v>
      </c>
      <c r="Y206">
        <f t="shared" si="140"/>
        <v>12</v>
      </c>
      <c r="AC206" t="str">
        <f>IF(客户自备加工筐明细!$C206="","",客户自备加工筐明细!$C206)</f>
        <v/>
      </c>
      <c r="AD206">
        <f t="shared" si="142"/>
        <v>0</v>
      </c>
      <c r="AE206">
        <f t="shared" si="143"/>
        <v>1</v>
      </c>
      <c r="AI206" t="str">
        <f>IF(客户自备加工筐明细!$E206="","",客户自备加工筐明细!$E206)</f>
        <v/>
      </c>
      <c r="AJ206">
        <f t="shared" si="144"/>
        <v>0</v>
      </c>
      <c r="AK206">
        <f t="shared" si="145"/>
        <v>1</v>
      </c>
      <c r="AO206" t="str">
        <f>IF(次果筐明细!$D206="","",次果筐明细!$D206)</f>
        <v/>
      </c>
      <c r="AP206">
        <f t="shared" si="146"/>
        <v>0</v>
      </c>
      <c r="AQ206">
        <f t="shared" si="147"/>
        <v>1</v>
      </c>
      <c r="AU206" t="str">
        <f>IF(次果筐明细!$C206="","",次果筐明细!$C206)</f>
        <v/>
      </c>
      <c r="AV206">
        <f t="shared" si="148"/>
        <v>0</v>
      </c>
      <c r="AW206">
        <f t="shared" si="149"/>
        <v>1</v>
      </c>
      <c r="BA206" t="str">
        <f>IF(对接源_01水果筐数!$B207="","",对接源_01水果筐数!$B207)</f>
        <v/>
      </c>
      <c r="BB206">
        <f t="shared" si="151"/>
        <v>0</v>
      </c>
      <c r="BC206">
        <f t="shared" si="152"/>
        <v>14</v>
      </c>
      <c r="BE206" t="str">
        <f t="shared" si="153"/>
        <v/>
      </c>
      <c r="BG206" t="str">
        <f>IF(对接源_01水果筐数!$C207="","",对接源_01水果筐数!$C207)</f>
        <v/>
      </c>
      <c r="BH206">
        <f t="shared" si="154"/>
        <v>0</v>
      </c>
      <c r="BI206">
        <f t="shared" si="155"/>
        <v>7</v>
      </c>
      <c r="BS206" t="str">
        <f t="shared" si="170"/>
        <v>马锦祥</v>
      </c>
      <c r="BT206">
        <f t="shared" si="157"/>
        <v>1</v>
      </c>
      <c r="BU206">
        <f t="shared" si="158"/>
        <v>12</v>
      </c>
      <c r="BW206" t="str">
        <f t="shared" si="159"/>
        <v/>
      </c>
      <c r="BY206" t="str">
        <f t="shared" si="171"/>
        <v>伍元虎</v>
      </c>
      <c r="BZ206">
        <f t="shared" si="161"/>
        <v>1</v>
      </c>
      <c r="CA206">
        <f t="shared" si="162"/>
        <v>14</v>
      </c>
      <c r="CC206" t="str">
        <f t="shared" si="163"/>
        <v/>
      </c>
      <c r="CP206">
        <f>IF(包装物料出入库明细!$D206="",0,1)</f>
        <v>0</v>
      </c>
      <c r="CQ206">
        <f t="shared" si="167"/>
        <v>37</v>
      </c>
      <c r="CS206" t="str">
        <f>IF(OR(周转筐出入库明细!$C207="",周转筐出入库明细!$F207&lt;&gt;"采购入库"),"",周转筐出入库明细!$C207)</f>
        <v/>
      </c>
      <c r="CT206">
        <f t="shared" si="168"/>
        <v>0</v>
      </c>
      <c r="CU206">
        <f t="shared" si="169"/>
        <v>1</v>
      </c>
    </row>
    <row r="207" spans="1:101">
      <c r="A207" t="str">
        <f>IF(包装物料出入库明细!$E207="","",包装物料出入库明细!$E207)</f>
        <v/>
      </c>
      <c r="B207">
        <f t="shared" si="132"/>
        <v>0</v>
      </c>
      <c r="C207">
        <f t="shared" si="133"/>
        <v>7</v>
      </c>
      <c r="D207" t="str">
        <f>IF(包装物料出入库明细!$E207="","",包装物料出入库明细!$F207)</f>
        <v/>
      </c>
      <c r="E207" t="str">
        <f>IF(包装物料出入库明细!$E207="","",包装物料出入库明细!$G207)</f>
        <v/>
      </c>
      <c r="K207" t="str">
        <f>IF(包装物料出入库明细!$D207="","",包装物料出入库明细!$D207)</f>
        <v/>
      </c>
      <c r="L207">
        <f t="shared" si="134"/>
        <v>0</v>
      </c>
      <c r="M207">
        <f t="shared" si="135"/>
        <v>9</v>
      </c>
      <c r="Q207" t="str">
        <f>IF(周转筐出入库明细!$D208="","",周转筐出入库明细!$D208)</f>
        <v/>
      </c>
      <c r="R207">
        <f t="shared" si="137"/>
        <v>0</v>
      </c>
      <c r="S207">
        <f t="shared" si="138"/>
        <v>5</v>
      </c>
      <c r="W207" t="str">
        <f>IF(周转筐出入库明细!$C208="","",周转筐出入库明细!$C208)</f>
        <v/>
      </c>
      <c r="X207">
        <f t="shared" si="139"/>
        <v>0</v>
      </c>
      <c r="Y207">
        <f t="shared" si="140"/>
        <v>12</v>
      </c>
      <c r="AC207" t="str">
        <f>IF(客户自备加工筐明细!$C207="","",客户自备加工筐明细!$C207)</f>
        <v/>
      </c>
      <c r="AD207">
        <f t="shared" si="142"/>
        <v>0</v>
      </c>
      <c r="AE207">
        <f t="shared" si="143"/>
        <v>1</v>
      </c>
      <c r="AI207" t="str">
        <f>IF(客户自备加工筐明细!$E207="","",客户自备加工筐明细!$E207)</f>
        <v/>
      </c>
      <c r="AJ207">
        <f t="shared" si="144"/>
        <v>0</v>
      </c>
      <c r="AK207">
        <f t="shared" si="145"/>
        <v>1</v>
      </c>
      <c r="AO207" t="str">
        <f>IF(次果筐明细!$D207="","",次果筐明细!$D207)</f>
        <v/>
      </c>
      <c r="AP207">
        <f t="shared" si="146"/>
        <v>0</v>
      </c>
      <c r="AQ207">
        <f t="shared" si="147"/>
        <v>1</v>
      </c>
      <c r="AU207" t="str">
        <f>IF(次果筐明细!$C207="","",次果筐明细!$C207)</f>
        <v/>
      </c>
      <c r="AV207">
        <f t="shared" si="148"/>
        <v>0</v>
      </c>
      <c r="AW207">
        <f t="shared" si="149"/>
        <v>1</v>
      </c>
      <c r="BA207" t="str">
        <f>IF(对接源_01水果筐数!$B208="","",对接源_01水果筐数!$B208)</f>
        <v/>
      </c>
      <c r="BB207">
        <f t="shared" si="151"/>
        <v>0</v>
      </c>
      <c r="BC207">
        <f t="shared" si="152"/>
        <v>14</v>
      </c>
      <c r="BE207" t="str">
        <f t="shared" si="153"/>
        <v/>
      </c>
      <c r="BG207" t="str">
        <f>IF(对接源_01水果筐数!$C208="","",对接源_01水果筐数!$C208)</f>
        <v/>
      </c>
      <c r="BH207">
        <f t="shared" si="154"/>
        <v>0</v>
      </c>
      <c r="BI207">
        <f t="shared" si="155"/>
        <v>7</v>
      </c>
      <c r="BS207" t="str">
        <f t="shared" si="170"/>
        <v>全修塑业</v>
      </c>
      <c r="BT207">
        <f t="shared" si="157"/>
        <v>1</v>
      </c>
      <c r="BU207">
        <f t="shared" si="158"/>
        <v>13</v>
      </c>
      <c r="BW207" t="str">
        <f t="shared" si="159"/>
        <v/>
      </c>
      <c r="BY207" t="str">
        <f t="shared" si="171"/>
        <v>马锦祥</v>
      </c>
      <c r="BZ207">
        <f t="shared" si="161"/>
        <v>0</v>
      </c>
      <c r="CA207">
        <f t="shared" si="162"/>
        <v>14</v>
      </c>
      <c r="CC207" t="str">
        <f t="shared" si="163"/>
        <v/>
      </c>
      <c r="CP207">
        <f>IF(包装物料出入库明细!$D207="",0,1)</f>
        <v>0</v>
      </c>
      <c r="CQ207">
        <f t="shared" si="167"/>
        <v>37</v>
      </c>
      <c r="CS207" t="str">
        <f>IF(OR(周转筐出入库明细!$C208="",周转筐出入库明细!$F208&lt;&gt;"采购入库"),"",周转筐出入库明细!$C208)</f>
        <v/>
      </c>
      <c r="CT207">
        <f t="shared" si="168"/>
        <v>0</v>
      </c>
      <c r="CU207">
        <f t="shared" si="169"/>
        <v>1</v>
      </c>
    </row>
    <row r="208" spans="1:101">
      <c r="A208" t="str">
        <f>IF(包装物料出入库明细!$E208="","",包装物料出入库明细!$E208)</f>
        <v/>
      </c>
      <c r="B208">
        <f t="shared" si="132"/>
        <v>0</v>
      </c>
      <c r="C208">
        <f t="shared" si="133"/>
        <v>7</v>
      </c>
      <c r="D208" t="str">
        <f>IF(包装物料出入库明细!$E208="","",包装物料出入库明细!$F208)</f>
        <v/>
      </c>
      <c r="E208" t="str">
        <f>IF(包装物料出入库明细!$E208="","",包装物料出入库明细!$G208)</f>
        <v/>
      </c>
      <c r="K208" t="str">
        <f>IF(包装物料出入库明细!$D208="","",包装物料出入库明细!$D208)</f>
        <v/>
      </c>
      <c r="L208">
        <f t="shared" si="134"/>
        <v>0</v>
      </c>
      <c r="M208">
        <f t="shared" si="135"/>
        <v>9</v>
      </c>
      <c r="Q208" t="str">
        <f>IF(周转筐出入库明细!$D209="","",周转筐出入库明细!$D209)</f>
        <v/>
      </c>
      <c r="R208">
        <f t="shared" si="137"/>
        <v>0</v>
      </c>
      <c r="S208">
        <f t="shared" si="138"/>
        <v>5</v>
      </c>
      <c r="W208" t="str">
        <f>IF(周转筐出入库明细!$C209="","",周转筐出入库明细!$C209)</f>
        <v/>
      </c>
      <c r="X208">
        <f t="shared" si="139"/>
        <v>0</v>
      </c>
      <c r="Y208">
        <f t="shared" si="140"/>
        <v>12</v>
      </c>
      <c r="AC208" t="str">
        <f>IF(客户自备加工筐明细!$C208="","",客户自备加工筐明细!$C208)</f>
        <v/>
      </c>
      <c r="AD208">
        <f t="shared" si="142"/>
        <v>0</v>
      </c>
      <c r="AE208">
        <f t="shared" si="143"/>
        <v>1</v>
      </c>
      <c r="AI208" t="str">
        <f>IF(客户自备加工筐明细!$E208="","",客户自备加工筐明细!$E208)</f>
        <v/>
      </c>
      <c r="AJ208">
        <f t="shared" si="144"/>
        <v>0</v>
      </c>
      <c r="AK208">
        <f t="shared" si="145"/>
        <v>1</v>
      </c>
      <c r="AO208" t="str">
        <f>IF(次果筐明细!$D208="","",次果筐明细!$D208)</f>
        <v/>
      </c>
      <c r="AP208">
        <f t="shared" si="146"/>
        <v>0</v>
      </c>
      <c r="AQ208">
        <f t="shared" si="147"/>
        <v>1</v>
      </c>
      <c r="AU208" t="str">
        <f>IF(次果筐明细!$C208="","",次果筐明细!$C208)</f>
        <v/>
      </c>
      <c r="AV208">
        <f t="shared" si="148"/>
        <v>0</v>
      </c>
      <c r="AW208">
        <f t="shared" si="149"/>
        <v>1</v>
      </c>
      <c r="BA208" t="str">
        <f>IF(对接源_01水果筐数!$B209="","",对接源_01水果筐数!$B209)</f>
        <v/>
      </c>
      <c r="BB208">
        <f t="shared" si="151"/>
        <v>0</v>
      </c>
      <c r="BC208">
        <f t="shared" si="152"/>
        <v>14</v>
      </c>
      <c r="BE208" t="str">
        <f t="shared" si="153"/>
        <v/>
      </c>
      <c r="BG208" t="str">
        <f>IF(对接源_01水果筐数!$C209="","",对接源_01水果筐数!$C209)</f>
        <v/>
      </c>
      <c r="BH208">
        <f t="shared" si="154"/>
        <v>0</v>
      </c>
      <c r="BI208">
        <f t="shared" si="155"/>
        <v>7</v>
      </c>
      <c r="BS208" t="str">
        <f t="shared" si="170"/>
        <v>吐尔洪</v>
      </c>
      <c r="BT208">
        <f t="shared" si="157"/>
        <v>0</v>
      </c>
      <c r="BU208">
        <f t="shared" si="158"/>
        <v>13</v>
      </c>
      <c r="BW208" t="str">
        <f t="shared" si="159"/>
        <v/>
      </c>
      <c r="BY208" t="str">
        <f t="shared" si="171"/>
        <v>麦麦提</v>
      </c>
      <c r="BZ208">
        <f t="shared" si="161"/>
        <v>0</v>
      </c>
      <c r="CA208">
        <f t="shared" si="162"/>
        <v>14</v>
      </c>
      <c r="CC208" t="str">
        <f t="shared" si="163"/>
        <v/>
      </c>
      <c r="CP208">
        <f>IF(包装物料出入库明细!$D208="",0,1)</f>
        <v>0</v>
      </c>
      <c r="CQ208">
        <f t="shared" si="167"/>
        <v>37</v>
      </c>
      <c r="CS208" t="str">
        <f>IF(OR(周转筐出入库明细!$C209="",周转筐出入库明细!$F209&lt;&gt;"采购入库"),"",周转筐出入库明细!$C209)</f>
        <v/>
      </c>
      <c r="CT208">
        <f t="shared" si="168"/>
        <v>0</v>
      </c>
      <c r="CU208">
        <f t="shared" si="169"/>
        <v>1</v>
      </c>
    </row>
    <row r="209" spans="1:99">
      <c r="A209" t="str">
        <f>IF(包装物料出入库明细!$E209="","",包装物料出入库明细!$E209)</f>
        <v/>
      </c>
      <c r="B209">
        <f t="shared" si="132"/>
        <v>0</v>
      </c>
      <c r="C209">
        <f t="shared" si="133"/>
        <v>7</v>
      </c>
      <c r="D209" t="str">
        <f>IF(包装物料出入库明细!$E209="","",包装物料出入库明细!$F209)</f>
        <v/>
      </c>
      <c r="E209" t="str">
        <f>IF(包装物料出入库明细!$E209="","",包装物料出入库明细!$G209)</f>
        <v/>
      </c>
      <c r="K209" t="str">
        <f>IF(包装物料出入库明细!$D209="","",包装物料出入库明细!$D209)</f>
        <v/>
      </c>
      <c r="L209">
        <f t="shared" si="134"/>
        <v>0</v>
      </c>
      <c r="M209">
        <f t="shared" si="135"/>
        <v>9</v>
      </c>
      <c r="Q209" t="str">
        <f>IF(周转筐出入库明细!$D210="","",周转筐出入库明细!$D210)</f>
        <v/>
      </c>
      <c r="R209">
        <f t="shared" si="137"/>
        <v>0</v>
      </c>
      <c r="S209">
        <f t="shared" si="138"/>
        <v>5</v>
      </c>
      <c r="W209" t="str">
        <f>IF(周转筐出入库明细!$C210="","",周转筐出入库明细!$C210)</f>
        <v/>
      </c>
      <c r="X209">
        <f t="shared" si="139"/>
        <v>0</v>
      </c>
      <c r="Y209">
        <f t="shared" si="140"/>
        <v>12</v>
      </c>
      <c r="AC209" t="str">
        <f>IF(客户自备加工筐明细!$C209="","",客户自备加工筐明细!$C209)</f>
        <v/>
      </c>
      <c r="AD209">
        <f t="shared" si="142"/>
        <v>0</v>
      </c>
      <c r="AE209">
        <f t="shared" si="143"/>
        <v>1</v>
      </c>
      <c r="AI209" t="str">
        <f>IF(客户自备加工筐明细!$E209="","",客户自备加工筐明细!$E209)</f>
        <v/>
      </c>
      <c r="AJ209">
        <f t="shared" si="144"/>
        <v>0</v>
      </c>
      <c r="AK209">
        <f t="shared" si="145"/>
        <v>1</v>
      </c>
      <c r="AO209" t="str">
        <f>IF(次果筐明细!$D209="","",次果筐明细!$D209)</f>
        <v/>
      </c>
      <c r="AP209">
        <f t="shared" si="146"/>
        <v>0</v>
      </c>
      <c r="AQ209">
        <f t="shared" si="147"/>
        <v>1</v>
      </c>
      <c r="AU209" t="str">
        <f>IF(次果筐明细!$C209="","",次果筐明细!$C209)</f>
        <v/>
      </c>
      <c r="AV209">
        <f t="shared" si="148"/>
        <v>0</v>
      </c>
      <c r="AW209">
        <f t="shared" si="149"/>
        <v>1</v>
      </c>
      <c r="BA209" t="str">
        <f>IF(对接源_01水果筐数!$B210="","",对接源_01水果筐数!$B210)</f>
        <v/>
      </c>
      <c r="BB209">
        <f t="shared" si="151"/>
        <v>0</v>
      </c>
      <c r="BC209">
        <f t="shared" si="152"/>
        <v>14</v>
      </c>
      <c r="BE209" t="str">
        <f t="shared" si="153"/>
        <v/>
      </c>
      <c r="BG209" t="str">
        <f>IF(对接源_01水果筐数!$C210="","",对接源_01水果筐数!$C210)</f>
        <v/>
      </c>
      <c r="BH209">
        <f t="shared" si="154"/>
        <v>0</v>
      </c>
      <c r="BI209">
        <f t="shared" si="155"/>
        <v>7</v>
      </c>
      <c r="BS209" t="str">
        <f t="shared" si="170"/>
        <v>热合曼</v>
      </c>
      <c r="BT209">
        <f t="shared" si="157"/>
        <v>0</v>
      </c>
      <c r="BU209">
        <f t="shared" si="158"/>
        <v>13</v>
      </c>
      <c r="BW209" t="str">
        <f t="shared" si="159"/>
        <v/>
      </c>
      <c r="BY209" t="str">
        <f t="shared" si="171"/>
        <v>吐尔洪</v>
      </c>
      <c r="BZ209">
        <f t="shared" si="161"/>
        <v>0</v>
      </c>
      <c r="CA209">
        <f t="shared" si="162"/>
        <v>14</v>
      </c>
      <c r="CC209" t="str">
        <f t="shared" si="163"/>
        <v/>
      </c>
      <c r="CP209">
        <f>IF(包装物料出入库明细!$D209="",0,1)</f>
        <v>0</v>
      </c>
      <c r="CQ209">
        <f t="shared" si="167"/>
        <v>37</v>
      </c>
      <c r="CS209" t="str">
        <f>IF(OR(周转筐出入库明细!$C210="",周转筐出入库明细!$F210&lt;&gt;"采购入库"),"",周转筐出入库明细!$C210)</f>
        <v/>
      </c>
      <c r="CT209">
        <f t="shared" si="168"/>
        <v>0</v>
      </c>
      <c r="CU209">
        <f t="shared" si="169"/>
        <v>1</v>
      </c>
    </row>
    <row r="210" spans="1:99">
      <c r="A210" t="str">
        <f>IF(包装物料出入库明细!$E210="","",包装物料出入库明细!$E210)</f>
        <v/>
      </c>
      <c r="B210">
        <f t="shared" si="132"/>
        <v>0</v>
      </c>
      <c r="C210">
        <f t="shared" si="133"/>
        <v>7</v>
      </c>
      <c r="D210" t="str">
        <f>IF(包装物料出入库明细!$E210="","",包装物料出入库明细!$F210)</f>
        <v/>
      </c>
      <c r="E210" t="str">
        <f>IF(包装物料出入库明细!$E210="","",包装物料出入库明细!$G210)</f>
        <v/>
      </c>
      <c r="K210" t="str">
        <f>IF(包装物料出入库明细!$D210="","",包装物料出入库明细!$D210)</f>
        <v/>
      </c>
      <c r="L210">
        <f t="shared" si="134"/>
        <v>0</v>
      </c>
      <c r="M210">
        <f t="shared" si="135"/>
        <v>9</v>
      </c>
      <c r="Q210" t="str">
        <f>IF(周转筐出入库明细!$D211="","",周转筐出入库明细!$D211)</f>
        <v/>
      </c>
      <c r="R210">
        <f t="shared" si="137"/>
        <v>0</v>
      </c>
      <c r="S210">
        <f t="shared" si="138"/>
        <v>5</v>
      </c>
      <c r="W210" t="str">
        <f>IF(周转筐出入库明细!$C211="","",周转筐出入库明细!$C211)</f>
        <v/>
      </c>
      <c r="X210">
        <f t="shared" si="139"/>
        <v>0</v>
      </c>
      <c r="Y210">
        <f t="shared" si="140"/>
        <v>12</v>
      </c>
      <c r="AC210" t="str">
        <f>IF(客户自备加工筐明细!$C210="","",客户自备加工筐明细!$C210)</f>
        <v/>
      </c>
      <c r="AD210">
        <f t="shared" si="142"/>
        <v>0</v>
      </c>
      <c r="AE210">
        <f t="shared" si="143"/>
        <v>1</v>
      </c>
      <c r="AI210" t="str">
        <f>IF(客户自备加工筐明细!$E210="","",客户自备加工筐明细!$E210)</f>
        <v/>
      </c>
      <c r="AJ210">
        <f t="shared" si="144"/>
        <v>0</v>
      </c>
      <c r="AK210">
        <f t="shared" si="145"/>
        <v>1</v>
      </c>
      <c r="AO210" t="str">
        <f>IF(次果筐明细!$D210="","",次果筐明细!$D210)</f>
        <v/>
      </c>
      <c r="AP210">
        <f t="shared" si="146"/>
        <v>0</v>
      </c>
      <c r="AQ210">
        <f t="shared" si="147"/>
        <v>1</v>
      </c>
      <c r="AU210" t="str">
        <f>IF(次果筐明细!$C210="","",次果筐明细!$C210)</f>
        <v/>
      </c>
      <c r="AV210">
        <f t="shared" si="148"/>
        <v>0</v>
      </c>
      <c r="AW210">
        <f t="shared" si="149"/>
        <v>1</v>
      </c>
      <c r="BA210" t="str">
        <f>IF(对接源_01水果筐数!$B211="","",对接源_01水果筐数!$B211)</f>
        <v/>
      </c>
      <c r="BB210">
        <f t="shared" si="151"/>
        <v>0</v>
      </c>
      <c r="BC210">
        <f t="shared" si="152"/>
        <v>14</v>
      </c>
      <c r="BE210" t="str">
        <f t="shared" si="153"/>
        <v/>
      </c>
      <c r="BG210" t="str">
        <f>IF(对接源_01水果筐数!$C211="","",对接源_01水果筐数!$C211)</f>
        <v/>
      </c>
      <c r="BH210">
        <f t="shared" si="154"/>
        <v>0</v>
      </c>
      <c r="BI210">
        <f t="shared" si="155"/>
        <v>7</v>
      </c>
      <c r="BS210" t="str">
        <f t="shared" si="170"/>
        <v>王灵云</v>
      </c>
      <c r="BT210">
        <f t="shared" si="157"/>
        <v>1</v>
      </c>
      <c r="BU210">
        <f t="shared" si="158"/>
        <v>14</v>
      </c>
      <c r="BW210" t="str">
        <f t="shared" si="159"/>
        <v/>
      </c>
      <c r="BY210" t="str">
        <f t="shared" si="171"/>
        <v>热合曼</v>
      </c>
      <c r="BZ210">
        <f t="shared" si="161"/>
        <v>0</v>
      </c>
      <c r="CA210">
        <f t="shared" si="162"/>
        <v>14</v>
      </c>
      <c r="CC210" t="str">
        <f t="shared" si="163"/>
        <v/>
      </c>
      <c r="CP210">
        <f>IF(包装物料出入库明细!$D210="",0,1)</f>
        <v>0</v>
      </c>
      <c r="CQ210">
        <f t="shared" si="167"/>
        <v>37</v>
      </c>
      <c r="CS210" t="str">
        <f>IF(OR(周转筐出入库明细!$C211="",周转筐出入库明细!$F211&lt;&gt;"采购入库"),"",周转筐出入库明细!$C211)</f>
        <v/>
      </c>
      <c r="CT210">
        <f t="shared" si="168"/>
        <v>0</v>
      </c>
      <c r="CU210">
        <f t="shared" si="169"/>
        <v>1</v>
      </c>
    </row>
    <row r="211" spans="1:99">
      <c r="A211" t="str">
        <f>IF(包装物料出入库明细!$E211="","",包装物料出入库明细!$E211)</f>
        <v/>
      </c>
      <c r="B211">
        <f t="shared" si="132"/>
        <v>0</v>
      </c>
      <c r="C211">
        <f t="shared" si="133"/>
        <v>7</v>
      </c>
      <c r="D211" t="str">
        <f>IF(包装物料出入库明细!$E211="","",包装物料出入库明细!$F211)</f>
        <v/>
      </c>
      <c r="E211" t="str">
        <f>IF(包装物料出入库明细!$E211="","",包装物料出入库明细!$G211)</f>
        <v/>
      </c>
      <c r="K211" t="str">
        <f>IF(包装物料出入库明细!$D211="","",包装物料出入库明细!$D211)</f>
        <v/>
      </c>
      <c r="L211">
        <f t="shared" si="134"/>
        <v>0</v>
      </c>
      <c r="M211">
        <f t="shared" si="135"/>
        <v>9</v>
      </c>
      <c r="Q211" t="str">
        <f>IF(周转筐出入库明细!$D212="","",周转筐出入库明细!$D212)</f>
        <v/>
      </c>
      <c r="R211">
        <f t="shared" si="137"/>
        <v>0</v>
      </c>
      <c r="S211">
        <f t="shared" si="138"/>
        <v>5</v>
      </c>
      <c r="W211" t="str">
        <f>IF(周转筐出入库明细!$C212="","",周转筐出入库明细!$C212)</f>
        <v/>
      </c>
      <c r="X211">
        <f t="shared" si="139"/>
        <v>0</v>
      </c>
      <c r="Y211">
        <f t="shared" si="140"/>
        <v>12</v>
      </c>
      <c r="AC211" t="str">
        <f>IF(客户自备加工筐明细!$C211="","",客户自备加工筐明细!$C211)</f>
        <v/>
      </c>
      <c r="AD211">
        <f t="shared" si="142"/>
        <v>0</v>
      </c>
      <c r="AE211">
        <f t="shared" si="143"/>
        <v>1</v>
      </c>
      <c r="AI211" t="str">
        <f>IF(客户自备加工筐明细!$E211="","",客户自备加工筐明细!$E211)</f>
        <v/>
      </c>
      <c r="AJ211">
        <f t="shared" si="144"/>
        <v>0</v>
      </c>
      <c r="AK211">
        <f t="shared" si="145"/>
        <v>1</v>
      </c>
      <c r="AO211" t="str">
        <f>IF(次果筐明细!$D211="","",次果筐明细!$D211)</f>
        <v/>
      </c>
      <c r="AP211">
        <f t="shared" si="146"/>
        <v>0</v>
      </c>
      <c r="AQ211">
        <f t="shared" si="147"/>
        <v>1</v>
      </c>
      <c r="AU211" t="str">
        <f>IF(次果筐明细!$C211="","",次果筐明细!$C211)</f>
        <v/>
      </c>
      <c r="AV211">
        <f t="shared" si="148"/>
        <v>0</v>
      </c>
      <c r="AW211">
        <f t="shared" si="149"/>
        <v>1</v>
      </c>
      <c r="BA211" t="str">
        <f>IF(对接源_01水果筐数!$B212="","",对接源_01水果筐数!$B212)</f>
        <v/>
      </c>
      <c r="BB211">
        <f t="shared" si="151"/>
        <v>0</v>
      </c>
      <c r="BC211">
        <f t="shared" si="152"/>
        <v>14</v>
      </c>
      <c r="BE211" t="str">
        <f t="shared" si="153"/>
        <v/>
      </c>
      <c r="BG211" t="str">
        <f>IF(对接源_01水果筐数!$C212="","",对接源_01水果筐数!$C212)</f>
        <v/>
      </c>
      <c r="BH211">
        <f t="shared" si="154"/>
        <v>0</v>
      </c>
      <c r="BI211">
        <f t="shared" si="155"/>
        <v>7</v>
      </c>
      <c r="BS211" t="str">
        <f t="shared" si="170"/>
        <v>麦麦提</v>
      </c>
      <c r="BT211">
        <f t="shared" si="157"/>
        <v>0</v>
      </c>
      <c r="BU211">
        <f t="shared" si="158"/>
        <v>14</v>
      </c>
      <c r="BW211" t="str">
        <f t="shared" si="159"/>
        <v/>
      </c>
      <c r="BY211" t="str">
        <f t="shared" si="171"/>
        <v>贾建国</v>
      </c>
      <c r="BZ211">
        <f t="shared" si="161"/>
        <v>0</v>
      </c>
      <c r="CA211">
        <f t="shared" si="162"/>
        <v>14</v>
      </c>
      <c r="CC211" t="str">
        <f t="shared" si="163"/>
        <v/>
      </c>
      <c r="CP211">
        <f>IF(包装物料出入库明细!$D211="",0,1)</f>
        <v>0</v>
      </c>
      <c r="CQ211">
        <f t="shared" si="167"/>
        <v>37</v>
      </c>
      <c r="CS211" t="str">
        <f>IF(OR(周转筐出入库明细!$C212="",周转筐出入库明细!$F212&lt;&gt;"采购入库"),"",周转筐出入库明细!$C212)</f>
        <v/>
      </c>
      <c r="CT211">
        <f t="shared" si="168"/>
        <v>0</v>
      </c>
      <c r="CU211">
        <f t="shared" si="169"/>
        <v>1</v>
      </c>
    </row>
    <row r="212" spans="1:99">
      <c r="A212" t="str">
        <f>IF(包装物料出入库明细!$E212="","",包装物料出入库明细!$E212)</f>
        <v/>
      </c>
      <c r="B212">
        <f t="shared" si="132"/>
        <v>0</v>
      </c>
      <c r="C212">
        <f t="shared" si="133"/>
        <v>7</v>
      </c>
      <c r="D212" t="str">
        <f>IF(包装物料出入库明细!$E212="","",包装物料出入库明细!$F212)</f>
        <v/>
      </c>
      <c r="E212" t="str">
        <f>IF(包装物料出入库明细!$E212="","",包装物料出入库明细!$G212)</f>
        <v/>
      </c>
      <c r="K212" t="str">
        <f>IF(包装物料出入库明细!$D212="","",包装物料出入库明细!$D212)</f>
        <v/>
      </c>
      <c r="L212">
        <f t="shared" si="134"/>
        <v>0</v>
      </c>
      <c r="M212">
        <f t="shared" si="135"/>
        <v>9</v>
      </c>
      <c r="Q212" t="str">
        <f>IF(周转筐出入库明细!$D213="","",周转筐出入库明细!$D213)</f>
        <v/>
      </c>
      <c r="R212">
        <f t="shared" si="137"/>
        <v>0</v>
      </c>
      <c r="S212">
        <f t="shared" si="138"/>
        <v>5</v>
      </c>
      <c r="W212" t="str">
        <f>IF(周转筐出入库明细!$C213="","",周转筐出入库明细!$C213)</f>
        <v/>
      </c>
      <c r="X212">
        <f t="shared" si="139"/>
        <v>0</v>
      </c>
      <c r="Y212">
        <f t="shared" si="140"/>
        <v>12</v>
      </c>
      <c r="AC212" t="str">
        <f>IF(客户自备加工筐明细!$C212="","",客户自备加工筐明细!$C212)</f>
        <v/>
      </c>
      <c r="AD212">
        <f t="shared" si="142"/>
        <v>0</v>
      </c>
      <c r="AE212">
        <f t="shared" si="143"/>
        <v>1</v>
      </c>
      <c r="AI212" t="str">
        <f>IF(客户自备加工筐明细!$E212="","",客户自备加工筐明细!$E212)</f>
        <v/>
      </c>
      <c r="AJ212">
        <f t="shared" si="144"/>
        <v>0</v>
      </c>
      <c r="AK212">
        <f t="shared" si="145"/>
        <v>1</v>
      </c>
      <c r="AO212" t="str">
        <f>IF(次果筐明细!$D212="","",次果筐明细!$D212)</f>
        <v/>
      </c>
      <c r="AP212">
        <f t="shared" si="146"/>
        <v>0</v>
      </c>
      <c r="AQ212">
        <f t="shared" si="147"/>
        <v>1</v>
      </c>
      <c r="AU212" t="str">
        <f>IF(次果筐明细!$C212="","",次果筐明细!$C212)</f>
        <v/>
      </c>
      <c r="AV212">
        <f t="shared" si="148"/>
        <v>0</v>
      </c>
      <c r="AW212">
        <f t="shared" si="149"/>
        <v>1</v>
      </c>
      <c r="BA212" t="str">
        <f>IF(对接源_01水果筐数!$B213="","",对接源_01水果筐数!$B213)</f>
        <v/>
      </c>
      <c r="BB212">
        <f t="shared" si="151"/>
        <v>0</v>
      </c>
      <c r="BC212">
        <f t="shared" si="152"/>
        <v>14</v>
      </c>
      <c r="BE212" t="str">
        <f t="shared" si="153"/>
        <v/>
      </c>
      <c r="BG212" t="str">
        <f>IF(对接源_01水果筐数!$C213="","",对接源_01水果筐数!$C213)</f>
        <v/>
      </c>
      <c r="BH212">
        <f t="shared" si="154"/>
        <v>0</v>
      </c>
      <c r="BI212">
        <f t="shared" si="155"/>
        <v>7</v>
      </c>
      <c r="BS212" t="str">
        <f t="shared" si="170"/>
        <v>努尔敦</v>
      </c>
      <c r="BT212">
        <f t="shared" si="157"/>
        <v>0</v>
      </c>
      <c r="BU212">
        <f t="shared" si="158"/>
        <v>14</v>
      </c>
      <c r="BW212" t="str">
        <f t="shared" si="159"/>
        <v/>
      </c>
      <c r="BY212" t="str">
        <f t="shared" si="171"/>
        <v>王灵云</v>
      </c>
      <c r="BZ212">
        <f t="shared" si="161"/>
        <v>0</v>
      </c>
      <c r="CA212">
        <f t="shared" si="162"/>
        <v>14</v>
      </c>
      <c r="CC212" t="str">
        <f t="shared" si="163"/>
        <v/>
      </c>
      <c r="CP212">
        <f>IF(包装物料出入库明细!$D212="",0,1)</f>
        <v>0</v>
      </c>
      <c r="CQ212">
        <f t="shared" si="167"/>
        <v>37</v>
      </c>
      <c r="CS212" t="str">
        <f>IF(OR(周转筐出入库明细!$C213="",周转筐出入库明细!$F213&lt;&gt;"采购入库"),"",周转筐出入库明细!$C213)</f>
        <v/>
      </c>
      <c r="CT212">
        <f t="shared" si="168"/>
        <v>0</v>
      </c>
      <c r="CU212">
        <f t="shared" si="169"/>
        <v>1</v>
      </c>
    </row>
    <row r="213" spans="1:99">
      <c r="A213" t="str">
        <f>IF(包装物料出入库明细!$E213="","",包装物料出入库明细!$E213)</f>
        <v/>
      </c>
      <c r="B213">
        <f t="shared" si="132"/>
        <v>0</v>
      </c>
      <c r="C213">
        <f t="shared" si="133"/>
        <v>7</v>
      </c>
      <c r="D213" t="str">
        <f>IF(包装物料出入库明细!$E213="","",包装物料出入库明细!$F213)</f>
        <v/>
      </c>
      <c r="E213" t="str">
        <f>IF(包装物料出入库明细!$E213="","",包装物料出入库明细!$G213)</f>
        <v/>
      </c>
      <c r="K213" t="str">
        <f>IF(包装物料出入库明细!$D213="","",包装物料出入库明细!$D213)</f>
        <v/>
      </c>
      <c r="L213">
        <f t="shared" si="134"/>
        <v>0</v>
      </c>
      <c r="M213">
        <f t="shared" si="135"/>
        <v>9</v>
      </c>
      <c r="Q213" t="str">
        <f>IF(周转筐出入库明细!$D214="","",周转筐出入库明细!$D214)</f>
        <v/>
      </c>
      <c r="R213">
        <f t="shared" si="137"/>
        <v>0</v>
      </c>
      <c r="S213">
        <f t="shared" si="138"/>
        <v>5</v>
      </c>
      <c r="W213" t="str">
        <f>IF(周转筐出入库明细!$C214="","",周转筐出入库明细!$C214)</f>
        <v/>
      </c>
      <c r="X213">
        <f t="shared" si="139"/>
        <v>0</v>
      </c>
      <c r="Y213">
        <f t="shared" si="140"/>
        <v>12</v>
      </c>
      <c r="AC213" t="str">
        <f>IF(客户自备加工筐明细!$C213="","",客户自备加工筐明细!$C213)</f>
        <v/>
      </c>
      <c r="AD213">
        <f t="shared" si="142"/>
        <v>0</v>
      </c>
      <c r="AE213">
        <f t="shared" si="143"/>
        <v>1</v>
      </c>
      <c r="AI213" t="str">
        <f>IF(客户自备加工筐明细!$E213="","",客户自备加工筐明细!$E213)</f>
        <v/>
      </c>
      <c r="AJ213">
        <f t="shared" si="144"/>
        <v>0</v>
      </c>
      <c r="AK213">
        <f t="shared" si="145"/>
        <v>1</v>
      </c>
      <c r="AO213" t="str">
        <f>IF(次果筐明细!$D213="","",次果筐明细!$D213)</f>
        <v/>
      </c>
      <c r="AP213">
        <f t="shared" si="146"/>
        <v>0</v>
      </c>
      <c r="AQ213">
        <f t="shared" si="147"/>
        <v>1</v>
      </c>
      <c r="AU213" t="str">
        <f>IF(次果筐明细!$C213="","",次果筐明细!$C213)</f>
        <v/>
      </c>
      <c r="AV213">
        <f t="shared" si="148"/>
        <v>0</v>
      </c>
      <c r="AW213">
        <f t="shared" si="149"/>
        <v>1</v>
      </c>
      <c r="BA213" t="str">
        <f>IF(对接源_01水果筐数!$B214="","",对接源_01水果筐数!$B214)</f>
        <v/>
      </c>
      <c r="BB213">
        <f t="shared" si="151"/>
        <v>0</v>
      </c>
      <c r="BC213">
        <f t="shared" si="152"/>
        <v>14</v>
      </c>
      <c r="BE213" t="str">
        <f t="shared" si="153"/>
        <v/>
      </c>
      <c r="BG213" t="str">
        <f>IF(对接源_01水果筐数!$C214="","",对接源_01水果筐数!$C214)</f>
        <v/>
      </c>
      <c r="BH213">
        <f t="shared" si="154"/>
        <v>0</v>
      </c>
      <c r="BI213">
        <f t="shared" si="155"/>
        <v>7</v>
      </c>
      <c r="BS213" t="str">
        <f t="shared" si="170"/>
        <v>荆建君</v>
      </c>
      <c r="BT213">
        <f t="shared" si="157"/>
        <v>0</v>
      </c>
      <c r="BU213">
        <f t="shared" si="158"/>
        <v>14</v>
      </c>
      <c r="BW213" t="str">
        <f t="shared" si="159"/>
        <v/>
      </c>
      <c r="BY213" t="str">
        <f t="shared" si="171"/>
        <v>杨艳玲</v>
      </c>
      <c r="BZ213">
        <f t="shared" si="161"/>
        <v>1</v>
      </c>
      <c r="CA213">
        <f t="shared" si="162"/>
        <v>15</v>
      </c>
      <c r="CC213" t="str">
        <f t="shared" si="163"/>
        <v/>
      </c>
      <c r="CP213">
        <f>IF(包装物料出入库明细!$D213="",0,1)</f>
        <v>0</v>
      </c>
      <c r="CQ213">
        <f t="shared" si="167"/>
        <v>37</v>
      </c>
      <c r="CS213" t="str">
        <f>IF(OR(周转筐出入库明细!$C214="",周转筐出入库明细!$F214&lt;&gt;"采购入库"),"",周转筐出入库明细!$C214)</f>
        <v/>
      </c>
      <c r="CT213">
        <f t="shared" si="168"/>
        <v>0</v>
      </c>
      <c r="CU213">
        <f t="shared" si="169"/>
        <v>1</v>
      </c>
    </row>
    <row r="214" spans="1:99">
      <c r="A214" t="str">
        <f>IF(包装物料出入库明细!$E214="","",包装物料出入库明细!$E214)</f>
        <v/>
      </c>
      <c r="B214">
        <f t="shared" si="132"/>
        <v>0</v>
      </c>
      <c r="C214">
        <f t="shared" si="133"/>
        <v>7</v>
      </c>
      <c r="D214" t="str">
        <f>IF(包装物料出入库明细!$E214="","",包装物料出入库明细!$F214)</f>
        <v/>
      </c>
      <c r="E214" t="str">
        <f>IF(包装物料出入库明细!$E214="","",包装物料出入库明细!$G214)</f>
        <v/>
      </c>
      <c r="K214" t="str">
        <f>IF(包装物料出入库明细!$D214="","",包装物料出入库明细!$D214)</f>
        <v/>
      </c>
      <c r="L214">
        <f t="shared" si="134"/>
        <v>0</v>
      </c>
      <c r="M214">
        <f t="shared" si="135"/>
        <v>9</v>
      </c>
      <c r="Q214" t="str">
        <f>IF(周转筐出入库明细!$D215="","",周转筐出入库明细!$D215)</f>
        <v/>
      </c>
      <c r="R214">
        <f t="shared" si="137"/>
        <v>0</v>
      </c>
      <c r="S214">
        <f t="shared" si="138"/>
        <v>5</v>
      </c>
      <c r="W214" t="str">
        <f>IF(周转筐出入库明细!$C215="","",周转筐出入库明细!$C215)</f>
        <v/>
      </c>
      <c r="X214">
        <f t="shared" si="139"/>
        <v>0</v>
      </c>
      <c r="Y214">
        <f t="shared" si="140"/>
        <v>12</v>
      </c>
      <c r="AC214" t="str">
        <f>IF(客户自备加工筐明细!$C214="","",客户自备加工筐明细!$C214)</f>
        <v/>
      </c>
      <c r="AD214">
        <f t="shared" si="142"/>
        <v>0</v>
      </c>
      <c r="AE214">
        <f t="shared" si="143"/>
        <v>1</v>
      </c>
      <c r="AI214" t="str">
        <f>IF(客户自备加工筐明细!$E214="","",客户自备加工筐明细!$E214)</f>
        <v/>
      </c>
      <c r="AJ214">
        <f t="shared" si="144"/>
        <v>0</v>
      </c>
      <c r="AK214">
        <f t="shared" si="145"/>
        <v>1</v>
      </c>
      <c r="AO214" t="str">
        <f>IF(次果筐明细!$D214="","",次果筐明细!$D214)</f>
        <v/>
      </c>
      <c r="AP214">
        <f t="shared" si="146"/>
        <v>0</v>
      </c>
      <c r="AQ214">
        <f t="shared" si="147"/>
        <v>1</v>
      </c>
      <c r="AU214" t="str">
        <f>IF(次果筐明细!$C214="","",次果筐明细!$C214)</f>
        <v/>
      </c>
      <c r="AV214">
        <f t="shared" si="148"/>
        <v>0</v>
      </c>
      <c r="AW214">
        <f t="shared" si="149"/>
        <v>1</v>
      </c>
      <c r="BA214" t="str">
        <f>IF(对接源_01水果筐数!$B215="","",对接源_01水果筐数!$B215)</f>
        <v/>
      </c>
      <c r="BB214">
        <f t="shared" si="151"/>
        <v>0</v>
      </c>
      <c r="BC214">
        <f t="shared" si="152"/>
        <v>14</v>
      </c>
      <c r="BE214" t="str">
        <f t="shared" si="153"/>
        <v/>
      </c>
      <c r="BG214" t="str">
        <f>IF(对接源_01水果筐数!$C215="","",对接源_01水果筐数!$C215)</f>
        <v/>
      </c>
      <c r="BH214">
        <f t="shared" si="154"/>
        <v>0</v>
      </c>
      <c r="BI214">
        <f t="shared" si="155"/>
        <v>7</v>
      </c>
      <c r="BS214" t="str">
        <f t="shared" si="170"/>
        <v>贾建国</v>
      </c>
      <c r="BT214">
        <f t="shared" si="157"/>
        <v>0</v>
      </c>
      <c r="BU214">
        <f t="shared" si="158"/>
        <v>14</v>
      </c>
      <c r="BW214" t="str">
        <f t="shared" si="159"/>
        <v/>
      </c>
      <c r="BY214" t="str">
        <f t="shared" si="171"/>
        <v>荆建君</v>
      </c>
      <c r="BZ214">
        <f t="shared" si="161"/>
        <v>0</v>
      </c>
      <c r="CA214">
        <f t="shared" si="162"/>
        <v>15</v>
      </c>
      <c r="CC214" t="str">
        <f t="shared" si="163"/>
        <v/>
      </c>
      <c r="CP214">
        <f>IF(包装物料出入库明细!$D214="",0,1)</f>
        <v>0</v>
      </c>
      <c r="CQ214">
        <f t="shared" si="167"/>
        <v>37</v>
      </c>
      <c r="CS214" t="str">
        <f>IF(OR(周转筐出入库明细!$C215="",周转筐出入库明细!$F215&lt;&gt;"采购入库"),"",周转筐出入库明细!$C215)</f>
        <v/>
      </c>
      <c r="CT214">
        <f t="shared" si="168"/>
        <v>0</v>
      </c>
      <c r="CU214">
        <f t="shared" si="169"/>
        <v>1</v>
      </c>
    </row>
    <row r="215" spans="1:99">
      <c r="A215" t="str">
        <f>IF(包装物料出入库明细!$E215="","",包装物料出入库明细!$E215)</f>
        <v/>
      </c>
      <c r="B215">
        <f t="shared" si="132"/>
        <v>0</v>
      </c>
      <c r="C215">
        <f t="shared" si="133"/>
        <v>7</v>
      </c>
      <c r="D215" t="str">
        <f>IF(包装物料出入库明细!$E215="","",包装物料出入库明细!$F215)</f>
        <v/>
      </c>
      <c r="E215" t="str">
        <f>IF(包装物料出入库明细!$E215="","",包装物料出入库明细!$G215)</f>
        <v/>
      </c>
      <c r="K215" t="str">
        <f>IF(包装物料出入库明细!$D215="","",包装物料出入库明细!$D215)</f>
        <v/>
      </c>
      <c r="L215">
        <f t="shared" si="134"/>
        <v>0</v>
      </c>
      <c r="M215">
        <f t="shared" si="135"/>
        <v>9</v>
      </c>
      <c r="Q215" t="str">
        <f>IF(周转筐出入库明细!$D216="","",周转筐出入库明细!$D216)</f>
        <v/>
      </c>
      <c r="R215">
        <f t="shared" si="137"/>
        <v>0</v>
      </c>
      <c r="S215">
        <f t="shared" si="138"/>
        <v>5</v>
      </c>
      <c r="W215" t="str">
        <f>IF(周转筐出入库明细!$C216="","",周转筐出入库明细!$C216)</f>
        <v/>
      </c>
      <c r="X215">
        <f t="shared" si="139"/>
        <v>0</v>
      </c>
      <c r="Y215">
        <f t="shared" si="140"/>
        <v>12</v>
      </c>
      <c r="AC215" t="str">
        <f>IF(客户自备加工筐明细!$C215="","",客户自备加工筐明细!$C215)</f>
        <v/>
      </c>
      <c r="AD215">
        <f t="shared" si="142"/>
        <v>0</v>
      </c>
      <c r="AE215">
        <f t="shared" si="143"/>
        <v>1</v>
      </c>
      <c r="AI215" t="str">
        <f>IF(客户自备加工筐明细!$E215="","",客户自备加工筐明细!$E215)</f>
        <v/>
      </c>
      <c r="AJ215">
        <f t="shared" si="144"/>
        <v>0</v>
      </c>
      <c r="AK215">
        <f t="shared" si="145"/>
        <v>1</v>
      </c>
      <c r="AO215" t="str">
        <f>IF(次果筐明细!$D215="","",次果筐明细!$D215)</f>
        <v/>
      </c>
      <c r="AP215">
        <f t="shared" si="146"/>
        <v>0</v>
      </c>
      <c r="AQ215">
        <f t="shared" si="147"/>
        <v>1</v>
      </c>
      <c r="AU215" t="str">
        <f>IF(次果筐明细!$C215="","",次果筐明细!$C215)</f>
        <v/>
      </c>
      <c r="AV215">
        <f t="shared" si="148"/>
        <v>0</v>
      </c>
      <c r="AW215">
        <f t="shared" si="149"/>
        <v>1</v>
      </c>
      <c r="BA215" t="str">
        <f>IF(对接源_01水果筐数!$B216="","",对接源_01水果筐数!$B216)</f>
        <v/>
      </c>
      <c r="BB215">
        <f t="shared" si="151"/>
        <v>0</v>
      </c>
      <c r="BC215">
        <f t="shared" si="152"/>
        <v>14</v>
      </c>
      <c r="BE215" t="str">
        <f t="shared" si="153"/>
        <v/>
      </c>
      <c r="BG215" t="str">
        <f>IF(对接源_01水果筐数!$C216="","",对接源_01水果筐数!$C216)</f>
        <v/>
      </c>
      <c r="BH215">
        <f t="shared" si="154"/>
        <v>0</v>
      </c>
      <c r="BI215">
        <f t="shared" si="155"/>
        <v>7</v>
      </c>
      <c r="BS215" t="str">
        <f t="shared" si="170"/>
        <v>吐尔逊</v>
      </c>
      <c r="BT215">
        <f t="shared" si="157"/>
        <v>0</v>
      </c>
      <c r="BU215">
        <f t="shared" si="158"/>
        <v>14</v>
      </c>
      <c r="BW215" t="str">
        <f t="shared" si="159"/>
        <v/>
      </c>
      <c r="BY215" t="str">
        <f t="shared" si="171"/>
        <v>努尔敦</v>
      </c>
      <c r="BZ215">
        <f t="shared" si="161"/>
        <v>0</v>
      </c>
      <c r="CA215">
        <f t="shared" si="162"/>
        <v>15</v>
      </c>
      <c r="CC215" t="str">
        <f t="shared" si="163"/>
        <v/>
      </c>
      <c r="CP215">
        <f>IF(包装物料出入库明细!$D215="",0,1)</f>
        <v>0</v>
      </c>
      <c r="CQ215">
        <f t="shared" si="167"/>
        <v>37</v>
      </c>
      <c r="CS215" t="str">
        <f>IF(OR(周转筐出入库明细!$C216="",周转筐出入库明细!$F216&lt;&gt;"采购入库"),"",周转筐出入库明细!$C216)</f>
        <v/>
      </c>
      <c r="CT215">
        <f t="shared" si="168"/>
        <v>0</v>
      </c>
      <c r="CU215">
        <f t="shared" si="169"/>
        <v>1</v>
      </c>
    </row>
    <row r="216" spans="1:99">
      <c r="A216" t="str">
        <f>IF(包装物料出入库明细!$E216="","",包装物料出入库明细!$E216)</f>
        <v/>
      </c>
      <c r="B216">
        <f t="shared" si="132"/>
        <v>0</v>
      </c>
      <c r="C216">
        <f t="shared" si="133"/>
        <v>7</v>
      </c>
      <c r="D216" t="str">
        <f>IF(包装物料出入库明细!$E216="","",包装物料出入库明细!$F216)</f>
        <v/>
      </c>
      <c r="E216" t="str">
        <f>IF(包装物料出入库明细!$E216="","",包装物料出入库明细!$G216)</f>
        <v/>
      </c>
      <c r="K216" t="str">
        <f>IF(包装物料出入库明细!$D216="","",包装物料出入库明细!$D216)</f>
        <v/>
      </c>
      <c r="L216">
        <f t="shared" si="134"/>
        <v>0</v>
      </c>
      <c r="M216">
        <f t="shared" si="135"/>
        <v>9</v>
      </c>
      <c r="Q216" t="str">
        <f>IF(周转筐出入库明细!$D217="","",周转筐出入库明细!$D217)</f>
        <v/>
      </c>
      <c r="R216">
        <f t="shared" si="137"/>
        <v>0</v>
      </c>
      <c r="S216">
        <f t="shared" si="138"/>
        <v>5</v>
      </c>
      <c r="W216" t="str">
        <f>IF(周转筐出入库明细!$C217="","",周转筐出入库明细!$C217)</f>
        <v/>
      </c>
      <c r="X216">
        <f t="shared" si="139"/>
        <v>0</v>
      </c>
      <c r="Y216">
        <f t="shared" si="140"/>
        <v>12</v>
      </c>
      <c r="AC216" t="str">
        <f>IF(客户自备加工筐明细!$C216="","",客户自备加工筐明细!$C216)</f>
        <v/>
      </c>
      <c r="AD216">
        <f t="shared" si="142"/>
        <v>0</v>
      </c>
      <c r="AE216">
        <f t="shared" si="143"/>
        <v>1</v>
      </c>
      <c r="AI216" t="str">
        <f>IF(客户自备加工筐明细!$E216="","",客户自备加工筐明细!$E216)</f>
        <v/>
      </c>
      <c r="AJ216">
        <f t="shared" si="144"/>
        <v>0</v>
      </c>
      <c r="AK216">
        <f t="shared" si="145"/>
        <v>1</v>
      </c>
      <c r="AO216" t="str">
        <f>IF(次果筐明细!$D216="","",次果筐明细!$D216)</f>
        <v/>
      </c>
      <c r="AP216">
        <f t="shared" si="146"/>
        <v>0</v>
      </c>
      <c r="AQ216">
        <f t="shared" si="147"/>
        <v>1</v>
      </c>
      <c r="AU216" t="str">
        <f>IF(次果筐明细!$C216="","",次果筐明细!$C216)</f>
        <v/>
      </c>
      <c r="AV216">
        <f t="shared" si="148"/>
        <v>0</v>
      </c>
      <c r="AW216">
        <f t="shared" si="149"/>
        <v>1</v>
      </c>
      <c r="BA216" t="str">
        <f>IF(对接源_01水果筐数!$B217="","",对接源_01水果筐数!$B217)</f>
        <v/>
      </c>
      <c r="BB216">
        <f t="shared" si="151"/>
        <v>0</v>
      </c>
      <c r="BC216">
        <f t="shared" si="152"/>
        <v>14</v>
      </c>
      <c r="BE216" t="str">
        <f t="shared" si="153"/>
        <v/>
      </c>
      <c r="BG216" t="str">
        <f>IF(对接源_01水果筐数!$C217="","",对接源_01水果筐数!$C217)</f>
        <v/>
      </c>
      <c r="BH216">
        <f t="shared" si="154"/>
        <v>0</v>
      </c>
      <c r="BI216">
        <f t="shared" si="155"/>
        <v>7</v>
      </c>
      <c r="BS216" t="str">
        <f t="shared" si="170"/>
        <v/>
      </c>
      <c r="BT216">
        <f t="shared" si="157"/>
        <v>0</v>
      </c>
      <c r="BU216">
        <f t="shared" si="158"/>
        <v>14</v>
      </c>
      <c r="BW216" t="str">
        <f t="shared" si="159"/>
        <v/>
      </c>
      <c r="BY216" t="str">
        <f t="shared" si="171"/>
        <v>王浩</v>
      </c>
      <c r="BZ216">
        <f t="shared" si="161"/>
        <v>0</v>
      </c>
      <c r="CA216">
        <f t="shared" si="162"/>
        <v>15</v>
      </c>
      <c r="CC216" t="str">
        <f t="shared" si="163"/>
        <v/>
      </c>
      <c r="CP216">
        <f>IF(包装物料出入库明细!$D216="",0,1)</f>
        <v>0</v>
      </c>
      <c r="CQ216">
        <f t="shared" si="167"/>
        <v>37</v>
      </c>
      <c r="CS216" t="str">
        <f>IF(OR(周转筐出入库明细!$C217="",周转筐出入库明细!$F217&lt;&gt;"采购入库"),"",周转筐出入库明细!$C217)</f>
        <v/>
      </c>
      <c r="CT216">
        <f t="shared" si="168"/>
        <v>0</v>
      </c>
      <c r="CU216">
        <f t="shared" si="169"/>
        <v>1</v>
      </c>
    </row>
    <row r="217" spans="1:99">
      <c r="A217" t="str">
        <f>IF(包装物料出入库明细!$E217="","",包装物料出入库明细!$E217)</f>
        <v/>
      </c>
      <c r="B217">
        <f t="shared" si="132"/>
        <v>0</v>
      </c>
      <c r="C217">
        <f t="shared" si="133"/>
        <v>7</v>
      </c>
      <c r="D217" t="str">
        <f>IF(包装物料出入库明细!$E217="","",包装物料出入库明细!$F217)</f>
        <v/>
      </c>
      <c r="E217" t="str">
        <f>IF(包装物料出入库明细!$E217="","",包装物料出入库明细!$G217)</f>
        <v/>
      </c>
      <c r="K217" t="str">
        <f>IF(包装物料出入库明细!$D217="","",包装物料出入库明细!$D217)</f>
        <v/>
      </c>
      <c r="L217">
        <f t="shared" si="134"/>
        <v>0</v>
      </c>
      <c r="M217">
        <f t="shared" si="135"/>
        <v>9</v>
      </c>
      <c r="Q217" t="str">
        <f>IF(周转筐出入库明细!$D218="","",周转筐出入库明细!$D218)</f>
        <v/>
      </c>
      <c r="R217">
        <f t="shared" si="137"/>
        <v>0</v>
      </c>
      <c r="S217">
        <f t="shared" si="138"/>
        <v>5</v>
      </c>
      <c r="W217" t="str">
        <f>IF(周转筐出入库明细!$C218="","",周转筐出入库明细!$C218)</f>
        <v/>
      </c>
      <c r="X217">
        <f t="shared" si="139"/>
        <v>0</v>
      </c>
      <c r="Y217">
        <f t="shared" si="140"/>
        <v>12</v>
      </c>
      <c r="AC217" t="str">
        <f>IF(客户自备加工筐明细!$C217="","",客户自备加工筐明细!$C217)</f>
        <v/>
      </c>
      <c r="AD217">
        <f t="shared" si="142"/>
        <v>0</v>
      </c>
      <c r="AE217">
        <f t="shared" si="143"/>
        <v>1</v>
      </c>
      <c r="AI217" t="str">
        <f>IF(客户自备加工筐明细!$E217="","",客户自备加工筐明细!$E217)</f>
        <v/>
      </c>
      <c r="AJ217">
        <f t="shared" si="144"/>
        <v>0</v>
      </c>
      <c r="AK217">
        <f t="shared" si="145"/>
        <v>1</v>
      </c>
      <c r="AO217" t="str">
        <f>IF(次果筐明细!$D217="","",次果筐明细!$D217)</f>
        <v/>
      </c>
      <c r="AP217">
        <f t="shared" si="146"/>
        <v>0</v>
      </c>
      <c r="AQ217">
        <f t="shared" si="147"/>
        <v>1</v>
      </c>
      <c r="AU217" t="str">
        <f>IF(次果筐明细!$C217="","",次果筐明细!$C217)</f>
        <v/>
      </c>
      <c r="AV217">
        <f t="shared" si="148"/>
        <v>0</v>
      </c>
      <c r="AW217">
        <f t="shared" si="149"/>
        <v>1</v>
      </c>
      <c r="BA217" t="str">
        <f>IF(对接源_01水果筐数!$B218="","",对接源_01水果筐数!$B218)</f>
        <v/>
      </c>
      <c r="BB217">
        <f t="shared" si="151"/>
        <v>0</v>
      </c>
      <c r="BC217">
        <f t="shared" si="152"/>
        <v>14</v>
      </c>
      <c r="BE217" t="str">
        <f t="shared" si="153"/>
        <v/>
      </c>
      <c r="BG217" t="str">
        <f>IF(对接源_01水果筐数!$C218="","",对接源_01水果筐数!$C218)</f>
        <v/>
      </c>
      <c r="BH217">
        <f t="shared" si="154"/>
        <v>0</v>
      </c>
      <c r="BI217">
        <f t="shared" si="155"/>
        <v>7</v>
      </c>
      <c r="BS217" t="str">
        <f t="shared" si="170"/>
        <v/>
      </c>
      <c r="BT217">
        <f t="shared" si="157"/>
        <v>0</v>
      </c>
      <c r="BU217">
        <f t="shared" si="158"/>
        <v>14</v>
      </c>
      <c r="BW217" t="str">
        <f t="shared" si="159"/>
        <v/>
      </c>
      <c r="BY217" t="str">
        <f t="shared" si="171"/>
        <v>电商/主播</v>
      </c>
      <c r="BZ217">
        <f t="shared" si="161"/>
        <v>1</v>
      </c>
      <c r="CA217">
        <f t="shared" si="162"/>
        <v>16</v>
      </c>
      <c r="CC217" t="str">
        <f t="shared" si="163"/>
        <v/>
      </c>
      <c r="CP217">
        <f>IF(包装物料出入库明细!$D217="",0,1)</f>
        <v>0</v>
      </c>
      <c r="CQ217">
        <f t="shared" si="167"/>
        <v>37</v>
      </c>
      <c r="CS217" t="str">
        <f>IF(OR(周转筐出入库明细!$C218="",周转筐出入库明细!$F218&lt;&gt;"采购入库"),"",周转筐出入库明细!$C218)</f>
        <v/>
      </c>
      <c r="CT217">
        <f t="shared" si="168"/>
        <v>0</v>
      </c>
      <c r="CU217">
        <f t="shared" si="169"/>
        <v>1</v>
      </c>
    </row>
    <row r="218" spans="1:99">
      <c r="A218" t="str">
        <f>IF(包装物料出入库明细!$E218="","",包装物料出入库明细!$E218)</f>
        <v/>
      </c>
      <c r="B218">
        <f t="shared" si="132"/>
        <v>0</v>
      </c>
      <c r="C218">
        <f t="shared" si="133"/>
        <v>7</v>
      </c>
      <c r="D218" t="str">
        <f>IF(包装物料出入库明细!$E218="","",包装物料出入库明细!$F218)</f>
        <v/>
      </c>
      <c r="E218" t="str">
        <f>IF(包装物料出入库明细!$E218="","",包装物料出入库明细!$G218)</f>
        <v/>
      </c>
      <c r="K218" t="str">
        <f>IF(包装物料出入库明细!$D218="","",包装物料出入库明细!$D218)</f>
        <v/>
      </c>
      <c r="L218">
        <f t="shared" si="134"/>
        <v>0</v>
      </c>
      <c r="M218">
        <f t="shared" si="135"/>
        <v>9</v>
      </c>
      <c r="Q218" t="str">
        <f>IF(周转筐出入库明细!$D219="","",周转筐出入库明细!$D219)</f>
        <v/>
      </c>
      <c r="R218">
        <f t="shared" si="137"/>
        <v>0</v>
      </c>
      <c r="S218">
        <f t="shared" si="138"/>
        <v>5</v>
      </c>
      <c r="W218" t="str">
        <f>IF(周转筐出入库明细!$C219="","",周转筐出入库明细!$C219)</f>
        <v/>
      </c>
      <c r="X218">
        <f t="shared" si="139"/>
        <v>0</v>
      </c>
      <c r="Y218">
        <f t="shared" si="140"/>
        <v>12</v>
      </c>
      <c r="AC218" t="str">
        <f>IF(客户自备加工筐明细!$C218="","",客户自备加工筐明细!$C218)</f>
        <v/>
      </c>
      <c r="AD218">
        <f t="shared" si="142"/>
        <v>0</v>
      </c>
      <c r="AE218">
        <f t="shared" si="143"/>
        <v>1</v>
      </c>
      <c r="AI218" t="str">
        <f>IF(客户自备加工筐明细!$E218="","",客户自备加工筐明细!$E218)</f>
        <v/>
      </c>
      <c r="AJ218">
        <f t="shared" si="144"/>
        <v>0</v>
      </c>
      <c r="AK218">
        <f t="shared" si="145"/>
        <v>1</v>
      </c>
      <c r="AO218" t="str">
        <f>IF(次果筐明细!$D218="","",次果筐明细!$D218)</f>
        <v/>
      </c>
      <c r="AP218">
        <f t="shared" si="146"/>
        <v>0</v>
      </c>
      <c r="AQ218">
        <f t="shared" si="147"/>
        <v>1</v>
      </c>
      <c r="AU218" t="str">
        <f>IF(次果筐明细!$C218="","",次果筐明细!$C218)</f>
        <v/>
      </c>
      <c r="AV218">
        <f t="shared" si="148"/>
        <v>0</v>
      </c>
      <c r="AW218">
        <f t="shared" si="149"/>
        <v>1</v>
      </c>
      <c r="BA218" t="str">
        <f>IF(对接源_01水果筐数!$B219="","",对接源_01水果筐数!$B219)</f>
        <v/>
      </c>
      <c r="BB218">
        <f t="shared" si="151"/>
        <v>0</v>
      </c>
      <c r="BC218">
        <f t="shared" si="152"/>
        <v>14</v>
      </c>
      <c r="BE218" t="str">
        <f t="shared" si="153"/>
        <v/>
      </c>
      <c r="BG218" t="str">
        <f>IF(对接源_01水果筐数!$C219="","",对接源_01水果筐数!$C219)</f>
        <v/>
      </c>
      <c r="BH218">
        <f t="shared" si="154"/>
        <v>0</v>
      </c>
      <c r="BI218">
        <f t="shared" si="155"/>
        <v>7</v>
      </c>
      <c r="BS218" t="str">
        <f t="shared" si="170"/>
        <v/>
      </c>
      <c r="BT218">
        <f t="shared" si="157"/>
        <v>0</v>
      </c>
      <c r="BU218">
        <f t="shared" si="158"/>
        <v>14</v>
      </c>
      <c r="BW218" t="str">
        <f t="shared" si="159"/>
        <v/>
      </c>
      <c r="BY218" t="str">
        <f t="shared" si="171"/>
        <v/>
      </c>
      <c r="BZ218">
        <f t="shared" si="161"/>
        <v>0</v>
      </c>
      <c r="CA218">
        <f t="shared" si="162"/>
        <v>16</v>
      </c>
      <c r="CC218" t="str">
        <f t="shared" si="163"/>
        <v/>
      </c>
      <c r="CP218">
        <f>IF(包装物料出入库明细!$D218="",0,1)</f>
        <v>0</v>
      </c>
      <c r="CQ218">
        <f t="shared" si="167"/>
        <v>37</v>
      </c>
      <c r="CS218" t="str">
        <f>IF(OR(周转筐出入库明细!$C219="",周转筐出入库明细!$F219&lt;&gt;"采购入库"),"",周转筐出入库明细!$C219)</f>
        <v/>
      </c>
      <c r="CT218">
        <f t="shared" si="168"/>
        <v>0</v>
      </c>
      <c r="CU218">
        <f t="shared" si="169"/>
        <v>1</v>
      </c>
    </row>
    <row r="219" spans="1:99">
      <c r="A219" t="str">
        <f>IF(包装物料出入库明细!$E219="","",包装物料出入库明细!$E219)</f>
        <v/>
      </c>
      <c r="B219">
        <f t="shared" si="132"/>
        <v>0</v>
      </c>
      <c r="C219">
        <f t="shared" si="133"/>
        <v>7</v>
      </c>
      <c r="D219" t="str">
        <f>IF(包装物料出入库明细!$E219="","",包装物料出入库明细!$F219)</f>
        <v/>
      </c>
      <c r="E219" t="str">
        <f>IF(包装物料出入库明细!$E219="","",包装物料出入库明细!$G219)</f>
        <v/>
      </c>
      <c r="K219" t="str">
        <f>IF(包装物料出入库明细!$D219="","",包装物料出入库明细!$D219)</f>
        <v/>
      </c>
      <c r="L219">
        <f t="shared" si="134"/>
        <v>0</v>
      </c>
      <c r="M219">
        <f t="shared" si="135"/>
        <v>9</v>
      </c>
      <c r="Q219" t="str">
        <f>IF(周转筐出入库明细!$D220="","",周转筐出入库明细!$D220)</f>
        <v/>
      </c>
      <c r="R219">
        <f t="shared" si="137"/>
        <v>0</v>
      </c>
      <c r="S219">
        <f t="shared" si="138"/>
        <v>5</v>
      </c>
      <c r="W219" t="str">
        <f>IF(周转筐出入库明细!$C220="","",周转筐出入库明细!$C220)</f>
        <v/>
      </c>
      <c r="X219">
        <f t="shared" si="139"/>
        <v>0</v>
      </c>
      <c r="Y219">
        <f t="shared" si="140"/>
        <v>12</v>
      </c>
      <c r="AC219" t="str">
        <f>IF(客户自备加工筐明细!$C219="","",客户自备加工筐明细!$C219)</f>
        <v/>
      </c>
      <c r="AD219">
        <f t="shared" si="142"/>
        <v>0</v>
      </c>
      <c r="AE219">
        <f t="shared" si="143"/>
        <v>1</v>
      </c>
      <c r="AI219" t="str">
        <f>IF(客户自备加工筐明细!$E219="","",客户自备加工筐明细!$E219)</f>
        <v/>
      </c>
      <c r="AJ219">
        <f t="shared" si="144"/>
        <v>0</v>
      </c>
      <c r="AK219">
        <f t="shared" si="145"/>
        <v>1</v>
      </c>
      <c r="AO219" t="str">
        <f>IF(次果筐明细!$D219="","",次果筐明细!$D219)</f>
        <v/>
      </c>
      <c r="AP219">
        <f t="shared" si="146"/>
        <v>0</v>
      </c>
      <c r="AQ219">
        <f t="shared" si="147"/>
        <v>1</v>
      </c>
      <c r="AU219" t="str">
        <f>IF(次果筐明细!$C219="","",次果筐明细!$C219)</f>
        <v/>
      </c>
      <c r="AV219">
        <f t="shared" si="148"/>
        <v>0</v>
      </c>
      <c r="AW219">
        <f t="shared" si="149"/>
        <v>1</v>
      </c>
      <c r="BA219" t="str">
        <f>IF(对接源_01水果筐数!$B220="","",对接源_01水果筐数!$B220)</f>
        <v/>
      </c>
      <c r="BB219">
        <f t="shared" si="151"/>
        <v>0</v>
      </c>
      <c r="BC219">
        <f t="shared" si="152"/>
        <v>14</v>
      </c>
      <c r="BE219" t="str">
        <f t="shared" si="153"/>
        <v/>
      </c>
      <c r="BG219" t="str">
        <f>IF(对接源_01水果筐数!$C220="","",对接源_01水果筐数!$C220)</f>
        <v/>
      </c>
      <c r="BH219">
        <f t="shared" si="154"/>
        <v>0</v>
      </c>
      <c r="BI219">
        <f t="shared" si="155"/>
        <v>7</v>
      </c>
      <c r="BS219" t="str">
        <f t="shared" si="170"/>
        <v/>
      </c>
      <c r="BT219">
        <f t="shared" si="157"/>
        <v>0</v>
      </c>
      <c r="BU219">
        <f t="shared" si="158"/>
        <v>14</v>
      </c>
      <c r="BW219" t="str">
        <f t="shared" si="159"/>
        <v/>
      </c>
      <c r="BY219" t="str">
        <f t="shared" si="171"/>
        <v/>
      </c>
      <c r="BZ219">
        <f t="shared" si="161"/>
        <v>0</v>
      </c>
      <c r="CA219">
        <f t="shared" si="162"/>
        <v>16</v>
      </c>
      <c r="CC219" t="str">
        <f t="shared" si="163"/>
        <v/>
      </c>
      <c r="CP219">
        <f>IF(包装物料出入库明细!$D219="",0,1)</f>
        <v>0</v>
      </c>
      <c r="CQ219">
        <f t="shared" si="167"/>
        <v>37</v>
      </c>
      <c r="CS219" t="str">
        <f>IF(OR(周转筐出入库明细!$C220="",周转筐出入库明细!$F220&lt;&gt;"采购入库"),"",周转筐出入库明细!$C220)</f>
        <v/>
      </c>
      <c r="CT219">
        <f t="shared" si="168"/>
        <v>0</v>
      </c>
      <c r="CU219">
        <f t="shared" si="169"/>
        <v>1</v>
      </c>
    </row>
    <row r="220" spans="1:99">
      <c r="A220" t="str">
        <f>IF(包装物料出入库明细!$E220="","",包装物料出入库明细!$E220)</f>
        <v/>
      </c>
      <c r="B220">
        <f t="shared" si="132"/>
        <v>0</v>
      </c>
      <c r="C220">
        <f t="shared" si="133"/>
        <v>7</v>
      </c>
      <c r="D220" t="str">
        <f>IF(包装物料出入库明细!$E220="","",包装物料出入库明细!$F220)</f>
        <v/>
      </c>
      <c r="E220" t="str">
        <f>IF(包装物料出入库明细!$E220="","",包装物料出入库明细!$G220)</f>
        <v/>
      </c>
      <c r="K220" t="str">
        <f>IF(包装物料出入库明细!$D220="","",包装物料出入库明细!$D220)</f>
        <v/>
      </c>
      <c r="L220">
        <f t="shared" si="134"/>
        <v>0</v>
      </c>
      <c r="M220">
        <f t="shared" si="135"/>
        <v>9</v>
      </c>
      <c r="Q220" t="str">
        <f>IF(周转筐出入库明细!$D221="","",周转筐出入库明细!$D221)</f>
        <v/>
      </c>
      <c r="R220">
        <f t="shared" si="137"/>
        <v>0</v>
      </c>
      <c r="S220">
        <f t="shared" si="138"/>
        <v>5</v>
      </c>
      <c r="W220" t="str">
        <f>IF(周转筐出入库明细!$C221="","",周转筐出入库明细!$C221)</f>
        <v/>
      </c>
      <c r="X220">
        <f t="shared" si="139"/>
        <v>0</v>
      </c>
      <c r="Y220">
        <f t="shared" si="140"/>
        <v>12</v>
      </c>
      <c r="AC220" t="str">
        <f>IF(客户自备加工筐明细!$C220="","",客户自备加工筐明细!$C220)</f>
        <v/>
      </c>
      <c r="AD220">
        <f t="shared" si="142"/>
        <v>0</v>
      </c>
      <c r="AE220">
        <f t="shared" si="143"/>
        <v>1</v>
      </c>
      <c r="AI220" t="str">
        <f>IF(客户自备加工筐明细!$E220="","",客户自备加工筐明细!$E220)</f>
        <v/>
      </c>
      <c r="AJ220">
        <f t="shared" si="144"/>
        <v>0</v>
      </c>
      <c r="AK220">
        <f t="shared" si="145"/>
        <v>1</v>
      </c>
      <c r="AO220" t="str">
        <f>IF(次果筐明细!$D220="","",次果筐明细!$D220)</f>
        <v/>
      </c>
      <c r="AP220">
        <f t="shared" si="146"/>
        <v>0</v>
      </c>
      <c r="AQ220">
        <f t="shared" si="147"/>
        <v>1</v>
      </c>
      <c r="AU220" t="str">
        <f>IF(次果筐明细!$C220="","",次果筐明细!$C220)</f>
        <v/>
      </c>
      <c r="AV220">
        <f t="shared" si="148"/>
        <v>0</v>
      </c>
      <c r="AW220">
        <f t="shared" si="149"/>
        <v>1</v>
      </c>
      <c r="BA220" t="str">
        <f>IF(对接源_01水果筐数!$B221="","",对接源_01水果筐数!$B221)</f>
        <v/>
      </c>
      <c r="BB220">
        <f t="shared" si="151"/>
        <v>0</v>
      </c>
      <c r="BC220">
        <f t="shared" si="152"/>
        <v>14</v>
      </c>
      <c r="BE220" t="str">
        <f t="shared" si="153"/>
        <v/>
      </c>
      <c r="BG220" t="str">
        <f>IF(对接源_01水果筐数!$C221="","",对接源_01水果筐数!$C221)</f>
        <v/>
      </c>
      <c r="BH220">
        <f t="shared" si="154"/>
        <v>0</v>
      </c>
      <c r="BI220">
        <f t="shared" si="155"/>
        <v>7</v>
      </c>
      <c r="BS220" t="str">
        <f t="shared" si="170"/>
        <v/>
      </c>
      <c r="BT220">
        <f t="shared" si="157"/>
        <v>0</v>
      </c>
      <c r="BU220">
        <f t="shared" si="158"/>
        <v>14</v>
      </c>
      <c r="BW220" t="str">
        <f t="shared" si="159"/>
        <v/>
      </c>
      <c r="BY220" t="str">
        <f t="shared" si="171"/>
        <v/>
      </c>
      <c r="BZ220">
        <f t="shared" si="161"/>
        <v>0</v>
      </c>
      <c r="CA220">
        <f t="shared" si="162"/>
        <v>16</v>
      </c>
      <c r="CC220" t="str">
        <f t="shared" si="163"/>
        <v/>
      </c>
      <c r="CP220">
        <f>IF(包装物料出入库明细!$D220="",0,1)</f>
        <v>0</v>
      </c>
      <c r="CQ220">
        <f t="shared" si="167"/>
        <v>37</v>
      </c>
      <c r="CS220" t="str">
        <f>IF(OR(周转筐出入库明细!$C221="",周转筐出入库明细!$F221&lt;&gt;"采购入库"),"",周转筐出入库明细!$C221)</f>
        <v/>
      </c>
      <c r="CT220">
        <f t="shared" si="168"/>
        <v>0</v>
      </c>
      <c r="CU220">
        <f t="shared" si="169"/>
        <v>1</v>
      </c>
    </row>
    <row r="221" spans="1:99">
      <c r="A221" t="str">
        <f>IF(包装物料出入库明细!$E221="","",包装物料出入库明细!$E221)</f>
        <v/>
      </c>
      <c r="B221">
        <f t="shared" si="132"/>
        <v>0</v>
      </c>
      <c r="C221">
        <f t="shared" si="133"/>
        <v>7</v>
      </c>
      <c r="D221" t="str">
        <f>IF(包装物料出入库明细!$E221="","",包装物料出入库明细!$F221)</f>
        <v/>
      </c>
      <c r="E221" t="str">
        <f>IF(包装物料出入库明细!$E221="","",包装物料出入库明细!$G221)</f>
        <v/>
      </c>
      <c r="K221" t="str">
        <f>IF(包装物料出入库明细!$D221="","",包装物料出入库明细!$D221)</f>
        <v/>
      </c>
      <c r="L221">
        <f t="shared" si="134"/>
        <v>0</v>
      </c>
      <c r="M221">
        <f t="shared" si="135"/>
        <v>9</v>
      </c>
      <c r="Q221" t="str">
        <f>IF(周转筐出入库明细!$D222="","",周转筐出入库明细!$D222)</f>
        <v/>
      </c>
      <c r="R221">
        <f t="shared" si="137"/>
        <v>0</v>
      </c>
      <c r="S221">
        <f t="shared" si="138"/>
        <v>5</v>
      </c>
      <c r="W221" t="str">
        <f>IF(周转筐出入库明细!$C222="","",周转筐出入库明细!$C222)</f>
        <v/>
      </c>
      <c r="X221">
        <f t="shared" si="139"/>
        <v>0</v>
      </c>
      <c r="Y221">
        <f t="shared" si="140"/>
        <v>12</v>
      </c>
      <c r="AC221" t="str">
        <f>IF(客户自备加工筐明细!$C221="","",客户自备加工筐明细!$C221)</f>
        <v/>
      </c>
      <c r="AD221">
        <f t="shared" si="142"/>
        <v>0</v>
      </c>
      <c r="AE221">
        <f t="shared" si="143"/>
        <v>1</v>
      </c>
      <c r="AI221" t="str">
        <f>IF(客户自备加工筐明细!$E221="","",客户自备加工筐明细!$E221)</f>
        <v/>
      </c>
      <c r="AJ221">
        <f t="shared" si="144"/>
        <v>0</v>
      </c>
      <c r="AK221">
        <f t="shared" si="145"/>
        <v>1</v>
      </c>
      <c r="AO221" t="str">
        <f>IF(次果筐明细!$D221="","",次果筐明细!$D221)</f>
        <v/>
      </c>
      <c r="AP221">
        <f t="shared" si="146"/>
        <v>0</v>
      </c>
      <c r="AQ221">
        <f t="shared" si="147"/>
        <v>1</v>
      </c>
      <c r="AU221" t="str">
        <f>IF(次果筐明细!$C221="","",次果筐明细!$C221)</f>
        <v/>
      </c>
      <c r="AV221">
        <f t="shared" si="148"/>
        <v>0</v>
      </c>
      <c r="AW221">
        <f t="shared" si="149"/>
        <v>1</v>
      </c>
      <c r="BA221" t="str">
        <f>IF(对接源_01水果筐数!$B222="","",对接源_01水果筐数!$B222)</f>
        <v/>
      </c>
      <c r="BB221">
        <f t="shared" si="151"/>
        <v>0</v>
      </c>
      <c r="BC221">
        <f t="shared" si="152"/>
        <v>14</v>
      </c>
      <c r="BE221" t="str">
        <f t="shared" si="153"/>
        <v/>
      </c>
      <c r="BG221" t="str">
        <f>IF(对接源_01水果筐数!$C222="","",对接源_01水果筐数!$C222)</f>
        <v/>
      </c>
      <c r="BH221">
        <f t="shared" si="154"/>
        <v>0</v>
      </c>
      <c r="BI221">
        <f t="shared" si="155"/>
        <v>7</v>
      </c>
      <c r="BS221" t="str">
        <f t="shared" si="170"/>
        <v/>
      </c>
      <c r="BT221">
        <f t="shared" si="157"/>
        <v>0</v>
      </c>
      <c r="BU221">
        <f t="shared" si="158"/>
        <v>14</v>
      </c>
      <c r="BW221" t="str">
        <f t="shared" si="159"/>
        <v/>
      </c>
      <c r="BY221" t="str">
        <f t="shared" si="171"/>
        <v/>
      </c>
      <c r="BZ221">
        <f t="shared" si="161"/>
        <v>0</v>
      </c>
      <c r="CA221">
        <f t="shared" si="162"/>
        <v>16</v>
      </c>
      <c r="CC221" t="str">
        <f t="shared" si="163"/>
        <v/>
      </c>
      <c r="CP221">
        <f>IF(包装物料出入库明细!$D221="",0,1)</f>
        <v>0</v>
      </c>
      <c r="CQ221">
        <f t="shared" si="167"/>
        <v>37</v>
      </c>
      <c r="CS221" t="str">
        <f>IF(OR(周转筐出入库明细!$C222="",周转筐出入库明细!$F222&lt;&gt;"采购入库"),"",周转筐出入库明细!$C222)</f>
        <v/>
      </c>
      <c r="CT221">
        <f t="shared" si="168"/>
        <v>0</v>
      </c>
      <c r="CU221">
        <f t="shared" si="169"/>
        <v>1</v>
      </c>
    </row>
    <row r="222" spans="1:99">
      <c r="A222" t="str">
        <f>IF(包装物料出入库明细!$E222="","",包装物料出入库明细!$E222)</f>
        <v/>
      </c>
      <c r="B222">
        <f t="shared" si="132"/>
        <v>0</v>
      </c>
      <c r="C222">
        <f t="shared" si="133"/>
        <v>7</v>
      </c>
      <c r="D222" t="str">
        <f>IF(包装物料出入库明细!$E222="","",包装物料出入库明细!$F222)</f>
        <v/>
      </c>
      <c r="E222" t="str">
        <f>IF(包装物料出入库明细!$E222="","",包装物料出入库明细!$G222)</f>
        <v/>
      </c>
      <c r="K222" t="str">
        <f>IF(包装物料出入库明细!$D222="","",包装物料出入库明细!$D222)</f>
        <v/>
      </c>
      <c r="L222">
        <f t="shared" si="134"/>
        <v>0</v>
      </c>
      <c r="M222">
        <f t="shared" si="135"/>
        <v>9</v>
      </c>
      <c r="Q222" t="str">
        <f>IF(周转筐出入库明细!$D223="","",周转筐出入库明细!$D223)</f>
        <v/>
      </c>
      <c r="R222">
        <f t="shared" si="137"/>
        <v>0</v>
      </c>
      <c r="S222">
        <f t="shared" si="138"/>
        <v>5</v>
      </c>
      <c r="W222" t="str">
        <f>IF(周转筐出入库明细!$C223="","",周转筐出入库明细!$C223)</f>
        <v/>
      </c>
      <c r="X222">
        <f t="shared" si="139"/>
        <v>0</v>
      </c>
      <c r="Y222">
        <f t="shared" si="140"/>
        <v>12</v>
      </c>
      <c r="AC222" t="str">
        <f>IF(客户自备加工筐明细!$C222="","",客户自备加工筐明细!$C222)</f>
        <v/>
      </c>
      <c r="AD222">
        <f t="shared" si="142"/>
        <v>0</v>
      </c>
      <c r="AE222">
        <f t="shared" si="143"/>
        <v>1</v>
      </c>
      <c r="AI222" t="str">
        <f>IF(客户自备加工筐明细!$E222="","",客户自备加工筐明细!$E222)</f>
        <v/>
      </c>
      <c r="AJ222">
        <f t="shared" si="144"/>
        <v>0</v>
      </c>
      <c r="AK222">
        <f t="shared" si="145"/>
        <v>1</v>
      </c>
      <c r="AO222" t="str">
        <f>IF(次果筐明细!$D222="","",次果筐明细!$D222)</f>
        <v/>
      </c>
      <c r="AP222">
        <f t="shared" si="146"/>
        <v>0</v>
      </c>
      <c r="AQ222">
        <f t="shared" si="147"/>
        <v>1</v>
      </c>
      <c r="AU222" t="str">
        <f>IF(次果筐明细!$C222="","",次果筐明细!$C222)</f>
        <v/>
      </c>
      <c r="AV222">
        <f t="shared" si="148"/>
        <v>0</v>
      </c>
      <c r="AW222">
        <f t="shared" si="149"/>
        <v>1</v>
      </c>
      <c r="BA222" t="str">
        <f>IF(对接源_01水果筐数!$B223="","",对接源_01水果筐数!$B223)</f>
        <v/>
      </c>
      <c r="BB222">
        <f t="shared" si="151"/>
        <v>0</v>
      </c>
      <c r="BC222">
        <f t="shared" si="152"/>
        <v>14</v>
      </c>
      <c r="BE222" t="str">
        <f t="shared" si="153"/>
        <v/>
      </c>
      <c r="BG222" t="str">
        <f>IF(对接源_01水果筐数!$C223="","",对接源_01水果筐数!$C223)</f>
        <v/>
      </c>
      <c r="BH222">
        <f t="shared" si="154"/>
        <v>0</v>
      </c>
      <c r="BI222">
        <f t="shared" si="155"/>
        <v>7</v>
      </c>
      <c r="BS222" t="str">
        <f t="shared" si="170"/>
        <v/>
      </c>
      <c r="BT222">
        <f t="shared" si="157"/>
        <v>0</v>
      </c>
      <c r="BU222">
        <f t="shared" si="158"/>
        <v>14</v>
      </c>
      <c r="BW222" t="str">
        <f t="shared" si="159"/>
        <v/>
      </c>
      <c r="BY222" t="str">
        <f t="shared" si="171"/>
        <v/>
      </c>
      <c r="BZ222">
        <f t="shared" si="161"/>
        <v>0</v>
      </c>
      <c r="CA222">
        <f t="shared" si="162"/>
        <v>16</v>
      </c>
      <c r="CC222" t="str">
        <f t="shared" si="163"/>
        <v/>
      </c>
      <c r="CP222">
        <f>IF(包装物料出入库明细!$D222="",0,1)</f>
        <v>0</v>
      </c>
      <c r="CQ222">
        <f t="shared" si="167"/>
        <v>37</v>
      </c>
      <c r="CS222" t="str">
        <f>IF(OR(周转筐出入库明细!$C223="",周转筐出入库明细!$F223&lt;&gt;"采购入库"),"",周转筐出入库明细!$C223)</f>
        <v/>
      </c>
      <c r="CT222">
        <f t="shared" si="168"/>
        <v>0</v>
      </c>
      <c r="CU222">
        <f t="shared" si="169"/>
        <v>1</v>
      </c>
    </row>
    <row r="223" spans="1:99">
      <c r="A223" t="str">
        <f>IF(包装物料出入库明细!$E223="","",包装物料出入库明细!$E223)</f>
        <v/>
      </c>
      <c r="B223">
        <f t="shared" si="132"/>
        <v>0</v>
      </c>
      <c r="C223">
        <f t="shared" si="133"/>
        <v>7</v>
      </c>
      <c r="D223" t="str">
        <f>IF(包装物料出入库明细!$E223="","",包装物料出入库明细!$F223)</f>
        <v/>
      </c>
      <c r="E223" t="str">
        <f>IF(包装物料出入库明细!$E223="","",包装物料出入库明细!$G223)</f>
        <v/>
      </c>
      <c r="K223" t="str">
        <f>IF(包装物料出入库明细!$D223="","",包装物料出入库明细!$D223)</f>
        <v/>
      </c>
      <c r="L223">
        <f t="shared" si="134"/>
        <v>0</v>
      </c>
      <c r="M223">
        <f t="shared" si="135"/>
        <v>9</v>
      </c>
      <c r="Q223" t="str">
        <f>IF(周转筐出入库明细!$D224="","",周转筐出入库明细!$D224)</f>
        <v/>
      </c>
      <c r="R223">
        <f t="shared" si="137"/>
        <v>0</v>
      </c>
      <c r="S223">
        <f t="shared" si="138"/>
        <v>5</v>
      </c>
      <c r="W223" t="str">
        <f>IF(周转筐出入库明细!$C224="","",周转筐出入库明细!$C224)</f>
        <v/>
      </c>
      <c r="X223">
        <f t="shared" si="139"/>
        <v>0</v>
      </c>
      <c r="Y223">
        <f t="shared" si="140"/>
        <v>12</v>
      </c>
      <c r="AC223" t="str">
        <f>IF(客户自备加工筐明细!$C223="","",客户自备加工筐明细!$C223)</f>
        <v/>
      </c>
      <c r="AD223">
        <f t="shared" si="142"/>
        <v>0</v>
      </c>
      <c r="AE223">
        <f t="shared" si="143"/>
        <v>1</v>
      </c>
      <c r="AI223" t="str">
        <f>IF(客户自备加工筐明细!$E223="","",客户自备加工筐明细!$E223)</f>
        <v/>
      </c>
      <c r="AJ223">
        <f t="shared" si="144"/>
        <v>0</v>
      </c>
      <c r="AK223">
        <f t="shared" si="145"/>
        <v>1</v>
      </c>
      <c r="AO223" t="str">
        <f>IF(次果筐明细!$D223="","",次果筐明细!$D223)</f>
        <v/>
      </c>
      <c r="AP223">
        <f t="shared" si="146"/>
        <v>0</v>
      </c>
      <c r="AQ223">
        <f t="shared" si="147"/>
        <v>1</v>
      </c>
      <c r="AU223" t="str">
        <f>IF(次果筐明细!$C223="","",次果筐明细!$C223)</f>
        <v/>
      </c>
      <c r="AV223">
        <f t="shared" si="148"/>
        <v>0</v>
      </c>
      <c r="AW223">
        <f t="shared" si="149"/>
        <v>1</v>
      </c>
      <c r="BA223" t="str">
        <f>IF(对接源_01水果筐数!$B224="","",对接源_01水果筐数!$B224)</f>
        <v/>
      </c>
      <c r="BB223">
        <f t="shared" si="151"/>
        <v>0</v>
      </c>
      <c r="BC223">
        <f t="shared" si="152"/>
        <v>14</v>
      </c>
      <c r="BE223" t="str">
        <f t="shared" si="153"/>
        <v/>
      </c>
      <c r="BG223" t="str">
        <f>IF(对接源_01水果筐数!$C224="","",对接源_01水果筐数!$C224)</f>
        <v/>
      </c>
      <c r="BH223">
        <f t="shared" si="154"/>
        <v>0</v>
      </c>
      <c r="BI223">
        <f t="shared" si="155"/>
        <v>7</v>
      </c>
      <c r="BS223" t="str">
        <f t="shared" si="170"/>
        <v/>
      </c>
      <c r="BT223">
        <f t="shared" si="157"/>
        <v>0</v>
      </c>
      <c r="BU223">
        <f t="shared" si="158"/>
        <v>14</v>
      </c>
      <c r="BW223" t="str">
        <f t="shared" si="159"/>
        <v/>
      </c>
      <c r="BY223" t="str">
        <f t="shared" si="171"/>
        <v/>
      </c>
      <c r="BZ223">
        <f t="shared" si="161"/>
        <v>0</v>
      </c>
      <c r="CA223">
        <f t="shared" si="162"/>
        <v>16</v>
      </c>
      <c r="CC223" t="str">
        <f t="shared" si="163"/>
        <v/>
      </c>
      <c r="CP223">
        <f>IF(包装物料出入库明细!$D223="",0,1)</f>
        <v>0</v>
      </c>
      <c r="CQ223">
        <f t="shared" si="167"/>
        <v>37</v>
      </c>
      <c r="CS223" t="str">
        <f>IF(OR(周转筐出入库明细!$C224="",周转筐出入库明细!$F224&lt;&gt;"采购入库"),"",周转筐出入库明细!$C224)</f>
        <v/>
      </c>
      <c r="CT223">
        <f t="shared" si="168"/>
        <v>0</v>
      </c>
      <c r="CU223">
        <f t="shared" si="169"/>
        <v>1</v>
      </c>
    </row>
    <row r="224" spans="1:99">
      <c r="A224" t="str">
        <f>IF(包装物料出入库明细!$E224="","",包装物料出入库明细!$E224)</f>
        <v/>
      </c>
      <c r="B224">
        <f t="shared" si="132"/>
        <v>0</v>
      </c>
      <c r="C224">
        <f t="shared" si="133"/>
        <v>7</v>
      </c>
      <c r="D224" t="str">
        <f>IF(包装物料出入库明细!$E224="","",包装物料出入库明细!$F224)</f>
        <v/>
      </c>
      <c r="E224" t="str">
        <f>IF(包装物料出入库明细!$E224="","",包装物料出入库明细!$G224)</f>
        <v/>
      </c>
      <c r="K224" t="str">
        <f>IF(包装物料出入库明细!$D224="","",包装物料出入库明细!$D224)</f>
        <v/>
      </c>
      <c r="L224">
        <f t="shared" si="134"/>
        <v>0</v>
      </c>
      <c r="M224">
        <f t="shared" si="135"/>
        <v>9</v>
      </c>
      <c r="Q224" t="str">
        <f>IF(周转筐出入库明细!$D225="","",周转筐出入库明细!$D225)</f>
        <v/>
      </c>
      <c r="R224">
        <f t="shared" si="137"/>
        <v>0</v>
      </c>
      <c r="S224">
        <f t="shared" si="138"/>
        <v>5</v>
      </c>
      <c r="W224" t="str">
        <f>IF(周转筐出入库明细!$C225="","",周转筐出入库明细!$C225)</f>
        <v/>
      </c>
      <c r="X224">
        <f t="shared" si="139"/>
        <v>0</v>
      </c>
      <c r="Y224">
        <f t="shared" si="140"/>
        <v>12</v>
      </c>
      <c r="AC224" t="str">
        <f>IF(客户自备加工筐明细!$C224="","",客户自备加工筐明细!$C224)</f>
        <v/>
      </c>
      <c r="AD224">
        <f t="shared" si="142"/>
        <v>0</v>
      </c>
      <c r="AE224">
        <f t="shared" si="143"/>
        <v>1</v>
      </c>
      <c r="AI224" t="str">
        <f>IF(客户自备加工筐明细!$E224="","",客户自备加工筐明细!$E224)</f>
        <v/>
      </c>
      <c r="AJ224">
        <f t="shared" si="144"/>
        <v>0</v>
      </c>
      <c r="AK224">
        <f t="shared" si="145"/>
        <v>1</v>
      </c>
      <c r="AO224" t="str">
        <f>IF(次果筐明细!$D224="","",次果筐明细!$D224)</f>
        <v/>
      </c>
      <c r="AP224">
        <f t="shared" si="146"/>
        <v>0</v>
      </c>
      <c r="AQ224">
        <f t="shared" si="147"/>
        <v>1</v>
      </c>
      <c r="AU224" t="str">
        <f>IF(次果筐明细!$C224="","",次果筐明细!$C224)</f>
        <v/>
      </c>
      <c r="AV224">
        <f t="shared" si="148"/>
        <v>0</v>
      </c>
      <c r="AW224">
        <f t="shared" si="149"/>
        <v>1</v>
      </c>
      <c r="BA224" t="str">
        <f>IF(对接源_01水果筐数!$B225="","",对接源_01水果筐数!$B225)</f>
        <v/>
      </c>
      <c r="BB224">
        <f t="shared" si="151"/>
        <v>0</v>
      </c>
      <c r="BC224">
        <f t="shared" si="152"/>
        <v>14</v>
      </c>
      <c r="BE224" t="str">
        <f t="shared" si="153"/>
        <v/>
      </c>
      <c r="BG224" t="str">
        <f>IF(对接源_01水果筐数!$C225="","",对接源_01水果筐数!$C225)</f>
        <v/>
      </c>
      <c r="BH224">
        <f t="shared" si="154"/>
        <v>0</v>
      </c>
      <c r="BI224">
        <f t="shared" si="155"/>
        <v>7</v>
      </c>
      <c r="BS224" t="str">
        <f t="shared" si="170"/>
        <v/>
      </c>
      <c r="BT224">
        <f t="shared" si="157"/>
        <v>0</v>
      </c>
      <c r="BU224">
        <f t="shared" si="158"/>
        <v>14</v>
      </c>
      <c r="BW224" t="str">
        <f t="shared" si="159"/>
        <v/>
      </c>
      <c r="BY224" t="str">
        <f t="shared" si="171"/>
        <v/>
      </c>
      <c r="BZ224">
        <f t="shared" si="161"/>
        <v>0</v>
      </c>
      <c r="CA224">
        <f t="shared" si="162"/>
        <v>16</v>
      </c>
      <c r="CC224" t="str">
        <f t="shared" si="163"/>
        <v/>
      </c>
      <c r="CP224">
        <f>IF(包装物料出入库明细!$D224="",0,1)</f>
        <v>0</v>
      </c>
      <c r="CQ224">
        <f t="shared" si="167"/>
        <v>37</v>
      </c>
      <c r="CS224" t="str">
        <f>IF(OR(周转筐出入库明细!$C225="",周转筐出入库明细!$F225&lt;&gt;"采购入库"),"",周转筐出入库明细!$C225)</f>
        <v/>
      </c>
      <c r="CT224">
        <f t="shared" si="168"/>
        <v>0</v>
      </c>
      <c r="CU224">
        <f t="shared" si="169"/>
        <v>1</v>
      </c>
    </row>
    <row r="225" spans="1:99">
      <c r="A225" t="str">
        <f>IF(包装物料出入库明细!$E225="","",包装物料出入库明细!$E225)</f>
        <v/>
      </c>
      <c r="B225">
        <f t="shared" si="132"/>
        <v>0</v>
      </c>
      <c r="C225">
        <f t="shared" si="133"/>
        <v>7</v>
      </c>
      <c r="D225" t="str">
        <f>IF(包装物料出入库明细!$E225="","",包装物料出入库明细!$F225)</f>
        <v/>
      </c>
      <c r="E225" t="str">
        <f>IF(包装物料出入库明细!$E225="","",包装物料出入库明细!$G225)</f>
        <v/>
      </c>
      <c r="K225" t="str">
        <f>IF(包装物料出入库明细!$D225="","",包装物料出入库明细!$D225)</f>
        <v/>
      </c>
      <c r="L225">
        <f t="shared" si="134"/>
        <v>0</v>
      </c>
      <c r="M225">
        <f t="shared" si="135"/>
        <v>9</v>
      </c>
      <c r="Q225" t="str">
        <f>IF(周转筐出入库明细!$D226="","",周转筐出入库明细!$D226)</f>
        <v/>
      </c>
      <c r="R225">
        <f t="shared" si="137"/>
        <v>0</v>
      </c>
      <c r="S225">
        <f t="shared" si="138"/>
        <v>5</v>
      </c>
      <c r="W225" t="str">
        <f>IF(周转筐出入库明细!$C226="","",周转筐出入库明细!$C226)</f>
        <v/>
      </c>
      <c r="X225">
        <f t="shared" si="139"/>
        <v>0</v>
      </c>
      <c r="Y225">
        <f t="shared" si="140"/>
        <v>12</v>
      </c>
      <c r="AC225" t="str">
        <f>IF(客户自备加工筐明细!$C225="","",客户自备加工筐明细!$C225)</f>
        <v/>
      </c>
      <c r="AD225">
        <f t="shared" si="142"/>
        <v>0</v>
      </c>
      <c r="AE225">
        <f t="shared" si="143"/>
        <v>1</v>
      </c>
      <c r="AI225" t="str">
        <f>IF(客户自备加工筐明细!$E225="","",客户自备加工筐明细!$E225)</f>
        <v/>
      </c>
      <c r="AJ225">
        <f t="shared" si="144"/>
        <v>0</v>
      </c>
      <c r="AK225">
        <f t="shared" si="145"/>
        <v>1</v>
      </c>
      <c r="AO225" t="str">
        <f>IF(次果筐明细!$D225="","",次果筐明细!$D225)</f>
        <v/>
      </c>
      <c r="AP225">
        <f t="shared" si="146"/>
        <v>0</v>
      </c>
      <c r="AQ225">
        <f t="shared" si="147"/>
        <v>1</v>
      </c>
      <c r="AU225" t="str">
        <f>IF(次果筐明细!$C225="","",次果筐明细!$C225)</f>
        <v/>
      </c>
      <c r="AV225">
        <f t="shared" si="148"/>
        <v>0</v>
      </c>
      <c r="AW225">
        <f t="shared" si="149"/>
        <v>1</v>
      </c>
      <c r="BA225" t="str">
        <f>IF(对接源_01水果筐数!$B226="","",对接源_01水果筐数!$B226)</f>
        <v/>
      </c>
      <c r="BB225">
        <f t="shared" si="151"/>
        <v>0</v>
      </c>
      <c r="BC225">
        <f t="shared" si="152"/>
        <v>14</v>
      </c>
      <c r="BE225" t="str">
        <f t="shared" si="153"/>
        <v/>
      </c>
      <c r="BG225" t="str">
        <f>IF(对接源_01水果筐数!$C226="","",对接源_01水果筐数!$C226)</f>
        <v/>
      </c>
      <c r="BH225">
        <f t="shared" si="154"/>
        <v>0</v>
      </c>
      <c r="BI225">
        <f t="shared" si="155"/>
        <v>7</v>
      </c>
      <c r="BS225" t="str">
        <f t="shared" si="170"/>
        <v/>
      </c>
      <c r="BT225">
        <f t="shared" si="157"/>
        <v>0</v>
      </c>
      <c r="BU225">
        <f t="shared" si="158"/>
        <v>14</v>
      </c>
      <c r="BW225" t="str">
        <f t="shared" si="159"/>
        <v/>
      </c>
      <c r="BY225" t="str">
        <f t="shared" si="171"/>
        <v/>
      </c>
      <c r="BZ225">
        <f t="shared" si="161"/>
        <v>0</v>
      </c>
      <c r="CA225">
        <f t="shared" si="162"/>
        <v>16</v>
      </c>
      <c r="CC225" t="str">
        <f t="shared" si="163"/>
        <v/>
      </c>
      <c r="CP225">
        <f>IF(包装物料出入库明细!$D225="",0,1)</f>
        <v>0</v>
      </c>
      <c r="CQ225">
        <f t="shared" si="167"/>
        <v>37</v>
      </c>
      <c r="CS225" t="str">
        <f>IF(OR(周转筐出入库明细!$C226="",周转筐出入库明细!$F226&lt;&gt;"采购入库"),"",周转筐出入库明细!$C226)</f>
        <v/>
      </c>
      <c r="CT225">
        <f t="shared" si="168"/>
        <v>0</v>
      </c>
      <c r="CU225">
        <f t="shared" si="169"/>
        <v>1</v>
      </c>
    </row>
    <row r="226" spans="1:99">
      <c r="A226" t="str">
        <f>IF(包装物料出入库明细!$E226="","",包装物料出入库明细!$E226)</f>
        <v/>
      </c>
      <c r="B226">
        <f t="shared" si="132"/>
        <v>0</v>
      </c>
      <c r="C226">
        <f t="shared" si="133"/>
        <v>7</v>
      </c>
      <c r="D226" t="str">
        <f>IF(包装物料出入库明细!$E226="","",包装物料出入库明细!$F226)</f>
        <v/>
      </c>
      <c r="E226" t="str">
        <f>IF(包装物料出入库明细!$E226="","",包装物料出入库明细!$G226)</f>
        <v/>
      </c>
      <c r="K226" t="str">
        <f>IF(包装物料出入库明细!$D226="","",包装物料出入库明细!$D226)</f>
        <v/>
      </c>
      <c r="L226">
        <f t="shared" si="134"/>
        <v>0</v>
      </c>
      <c r="M226">
        <f t="shared" si="135"/>
        <v>9</v>
      </c>
      <c r="Q226" t="str">
        <f>IF(周转筐出入库明细!$D227="","",周转筐出入库明细!$D227)</f>
        <v/>
      </c>
      <c r="R226">
        <f t="shared" si="137"/>
        <v>0</v>
      </c>
      <c r="S226">
        <f t="shared" si="138"/>
        <v>5</v>
      </c>
      <c r="W226" t="str">
        <f>IF(周转筐出入库明细!$C227="","",周转筐出入库明细!$C227)</f>
        <v/>
      </c>
      <c r="X226">
        <f t="shared" si="139"/>
        <v>0</v>
      </c>
      <c r="Y226">
        <f t="shared" si="140"/>
        <v>12</v>
      </c>
      <c r="AC226" t="str">
        <f>IF(客户自备加工筐明细!$C226="","",客户自备加工筐明细!$C226)</f>
        <v/>
      </c>
      <c r="AD226">
        <f t="shared" si="142"/>
        <v>0</v>
      </c>
      <c r="AE226">
        <f t="shared" si="143"/>
        <v>1</v>
      </c>
      <c r="AI226" t="str">
        <f>IF(客户自备加工筐明细!$E226="","",客户自备加工筐明细!$E226)</f>
        <v/>
      </c>
      <c r="AJ226">
        <f t="shared" si="144"/>
        <v>0</v>
      </c>
      <c r="AK226">
        <f t="shared" si="145"/>
        <v>1</v>
      </c>
      <c r="AO226" t="str">
        <f>IF(次果筐明细!$D226="","",次果筐明细!$D226)</f>
        <v/>
      </c>
      <c r="AP226">
        <f t="shared" si="146"/>
        <v>0</v>
      </c>
      <c r="AQ226">
        <f t="shared" si="147"/>
        <v>1</v>
      </c>
      <c r="AU226" t="str">
        <f>IF(次果筐明细!$C226="","",次果筐明细!$C226)</f>
        <v/>
      </c>
      <c r="AV226">
        <f t="shared" si="148"/>
        <v>0</v>
      </c>
      <c r="AW226">
        <f t="shared" si="149"/>
        <v>1</v>
      </c>
      <c r="BA226" t="str">
        <f>IF(对接源_01水果筐数!$B227="","",对接源_01水果筐数!$B227)</f>
        <v/>
      </c>
      <c r="BB226">
        <f t="shared" si="151"/>
        <v>0</v>
      </c>
      <c r="BC226">
        <f t="shared" si="152"/>
        <v>14</v>
      </c>
      <c r="BE226" t="str">
        <f t="shared" si="153"/>
        <v/>
      </c>
      <c r="BG226" t="str">
        <f>IF(对接源_01水果筐数!$C227="","",对接源_01水果筐数!$C227)</f>
        <v/>
      </c>
      <c r="BH226">
        <f t="shared" si="154"/>
        <v>0</v>
      </c>
      <c r="BI226">
        <f t="shared" si="155"/>
        <v>7</v>
      </c>
      <c r="BS226" t="str">
        <f t="shared" si="170"/>
        <v/>
      </c>
      <c r="BT226">
        <f t="shared" si="157"/>
        <v>0</v>
      </c>
      <c r="BU226">
        <f t="shared" si="158"/>
        <v>14</v>
      </c>
      <c r="BW226" t="str">
        <f t="shared" si="159"/>
        <v/>
      </c>
      <c r="BY226" t="str">
        <f t="shared" si="171"/>
        <v/>
      </c>
      <c r="BZ226">
        <f t="shared" si="161"/>
        <v>0</v>
      </c>
      <c r="CA226">
        <f t="shared" si="162"/>
        <v>16</v>
      </c>
      <c r="CC226" t="str">
        <f t="shared" si="163"/>
        <v/>
      </c>
      <c r="CP226">
        <f>IF(包装物料出入库明细!$D226="",0,1)</f>
        <v>0</v>
      </c>
      <c r="CQ226">
        <f t="shared" si="167"/>
        <v>37</v>
      </c>
      <c r="CS226" t="str">
        <f>IF(OR(周转筐出入库明细!$C227="",周转筐出入库明细!$F227&lt;&gt;"采购入库"),"",周转筐出入库明细!$C227)</f>
        <v/>
      </c>
      <c r="CT226">
        <f t="shared" si="168"/>
        <v>0</v>
      </c>
      <c r="CU226">
        <f t="shared" si="169"/>
        <v>1</v>
      </c>
    </row>
    <row r="227" spans="1:99">
      <c r="A227" t="str">
        <f>IF(包装物料出入库明细!$E227="","",包装物料出入库明细!$E227)</f>
        <v/>
      </c>
      <c r="B227">
        <f t="shared" si="132"/>
        <v>0</v>
      </c>
      <c r="C227">
        <f t="shared" si="133"/>
        <v>7</v>
      </c>
      <c r="D227" t="str">
        <f>IF(包装物料出入库明细!$E227="","",包装物料出入库明细!$F227)</f>
        <v/>
      </c>
      <c r="E227" t="str">
        <f>IF(包装物料出入库明细!$E227="","",包装物料出入库明细!$G227)</f>
        <v/>
      </c>
      <c r="K227" t="str">
        <f>IF(包装物料出入库明细!$D227="","",包装物料出入库明细!$D227)</f>
        <v/>
      </c>
      <c r="L227">
        <f t="shared" si="134"/>
        <v>0</v>
      </c>
      <c r="M227">
        <f t="shared" si="135"/>
        <v>9</v>
      </c>
      <c r="Q227" t="str">
        <f>IF(周转筐出入库明细!$D228="","",周转筐出入库明细!$D228)</f>
        <v/>
      </c>
      <c r="R227">
        <f t="shared" si="137"/>
        <v>0</v>
      </c>
      <c r="S227">
        <f t="shared" si="138"/>
        <v>5</v>
      </c>
      <c r="W227" t="str">
        <f>IF(周转筐出入库明细!$C228="","",周转筐出入库明细!$C228)</f>
        <v/>
      </c>
      <c r="X227">
        <f t="shared" si="139"/>
        <v>0</v>
      </c>
      <c r="Y227">
        <f t="shared" si="140"/>
        <v>12</v>
      </c>
      <c r="AC227" t="str">
        <f>IF(客户自备加工筐明细!$C227="","",客户自备加工筐明细!$C227)</f>
        <v/>
      </c>
      <c r="AD227">
        <f t="shared" si="142"/>
        <v>0</v>
      </c>
      <c r="AE227">
        <f t="shared" si="143"/>
        <v>1</v>
      </c>
      <c r="AI227" t="str">
        <f>IF(客户自备加工筐明细!$E227="","",客户自备加工筐明细!$E227)</f>
        <v/>
      </c>
      <c r="AJ227">
        <f t="shared" si="144"/>
        <v>0</v>
      </c>
      <c r="AK227">
        <f t="shared" si="145"/>
        <v>1</v>
      </c>
      <c r="AO227" t="str">
        <f>IF(次果筐明细!$D227="","",次果筐明细!$D227)</f>
        <v/>
      </c>
      <c r="AP227">
        <f t="shared" si="146"/>
        <v>0</v>
      </c>
      <c r="AQ227">
        <f t="shared" si="147"/>
        <v>1</v>
      </c>
      <c r="AU227" t="str">
        <f>IF(次果筐明细!$C227="","",次果筐明细!$C227)</f>
        <v/>
      </c>
      <c r="AV227">
        <f t="shared" si="148"/>
        <v>0</v>
      </c>
      <c r="AW227">
        <f t="shared" si="149"/>
        <v>1</v>
      </c>
      <c r="BA227" t="str">
        <f>IF(对接源_01水果筐数!$B228="","",对接源_01水果筐数!$B228)</f>
        <v/>
      </c>
      <c r="BB227">
        <f t="shared" si="151"/>
        <v>0</v>
      </c>
      <c r="BC227">
        <f t="shared" si="152"/>
        <v>14</v>
      </c>
      <c r="BE227" t="str">
        <f t="shared" si="153"/>
        <v/>
      </c>
      <c r="BG227" t="str">
        <f>IF(对接源_01水果筐数!$C228="","",对接源_01水果筐数!$C228)</f>
        <v/>
      </c>
      <c r="BH227">
        <f t="shared" si="154"/>
        <v>0</v>
      </c>
      <c r="BI227">
        <f t="shared" si="155"/>
        <v>7</v>
      </c>
      <c r="BS227" t="str">
        <f t="shared" si="170"/>
        <v/>
      </c>
      <c r="BT227">
        <f t="shared" si="157"/>
        <v>0</v>
      </c>
      <c r="BU227">
        <f t="shared" si="158"/>
        <v>14</v>
      </c>
      <c r="BW227" t="str">
        <f t="shared" si="159"/>
        <v/>
      </c>
      <c r="BY227" t="str">
        <f t="shared" si="171"/>
        <v/>
      </c>
      <c r="BZ227">
        <f t="shared" si="161"/>
        <v>0</v>
      </c>
      <c r="CA227">
        <f t="shared" si="162"/>
        <v>16</v>
      </c>
      <c r="CC227" t="str">
        <f t="shared" si="163"/>
        <v/>
      </c>
      <c r="CP227">
        <f>IF(包装物料出入库明细!$D227="",0,1)</f>
        <v>0</v>
      </c>
      <c r="CQ227">
        <f t="shared" si="167"/>
        <v>37</v>
      </c>
      <c r="CS227" t="str">
        <f>IF(OR(周转筐出入库明细!$C228="",周转筐出入库明细!$F228&lt;&gt;"采购入库"),"",周转筐出入库明细!$C228)</f>
        <v/>
      </c>
      <c r="CT227">
        <f t="shared" si="168"/>
        <v>0</v>
      </c>
      <c r="CU227">
        <f t="shared" si="169"/>
        <v>1</v>
      </c>
    </row>
    <row r="228" spans="1:99">
      <c r="A228" t="str">
        <f>IF(包装物料出入库明细!$E228="","",包装物料出入库明细!$E228)</f>
        <v/>
      </c>
      <c r="B228">
        <f t="shared" si="132"/>
        <v>0</v>
      </c>
      <c r="C228">
        <f t="shared" si="133"/>
        <v>7</v>
      </c>
      <c r="D228" t="str">
        <f>IF(包装物料出入库明细!$E228="","",包装物料出入库明细!$F228)</f>
        <v/>
      </c>
      <c r="E228" t="str">
        <f>IF(包装物料出入库明细!$E228="","",包装物料出入库明细!$G228)</f>
        <v/>
      </c>
      <c r="K228" t="str">
        <f>IF(包装物料出入库明细!$D228="","",包装物料出入库明细!$D228)</f>
        <v/>
      </c>
      <c r="L228">
        <f t="shared" si="134"/>
        <v>0</v>
      </c>
      <c r="M228">
        <f t="shared" si="135"/>
        <v>9</v>
      </c>
      <c r="Q228" t="str">
        <f>IF(周转筐出入库明细!$D229="","",周转筐出入库明细!$D229)</f>
        <v/>
      </c>
      <c r="R228">
        <f t="shared" si="137"/>
        <v>0</v>
      </c>
      <c r="S228">
        <f t="shared" si="138"/>
        <v>5</v>
      </c>
      <c r="W228" t="str">
        <f>IF(周转筐出入库明细!$C229="","",周转筐出入库明细!$C229)</f>
        <v/>
      </c>
      <c r="X228">
        <f t="shared" si="139"/>
        <v>0</v>
      </c>
      <c r="Y228">
        <f t="shared" si="140"/>
        <v>12</v>
      </c>
      <c r="AC228" t="str">
        <f>IF(客户自备加工筐明细!$C228="","",客户自备加工筐明细!$C228)</f>
        <v/>
      </c>
      <c r="AD228">
        <f t="shared" si="142"/>
        <v>0</v>
      </c>
      <c r="AE228">
        <f t="shared" si="143"/>
        <v>1</v>
      </c>
      <c r="AI228" t="str">
        <f>IF(客户自备加工筐明细!$E228="","",客户自备加工筐明细!$E228)</f>
        <v/>
      </c>
      <c r="AJ228">
        <f t="shared" si="144"/>
        <v>0</v>
      </c>
      <c r="AK228">
        <f t="shared" si="145"/>
        <v>1</v>
      </c>
      <c r="AO228" t="str">
        <f>IF(次果筐明细!$D228="","",次果筐明细!$D228)</f>
        <v/>
      </c>
      <c r="AP228">
        <f t="shared" si="146"/>
        <v>0</v>
      </c>
      <c r="AQ228">
        <f t="shared" si="147"/>
        <v>1</v>
      </c>
      <c r="AU228" t="str">
        <f>IF(次果筐明细!$C228="","",次果筐明细!$C228)</f>
        <v/>
      </c>
      <c r="AV228">
        <f t="shared" si="148"/>
        <v>0</v>
      </c>
      <c r="AW228">
        <f t="shared" si="149"/>
        <v>1</v>
      </c>
      <c r="BA228" t="str">
        <f>IF(对接源_01水果筐数!$B229="","",对接源_01水果筐数!$B229)</f>
        <v/>
      </c>
      <c r="BB228">
        <f t="shared" si="151"/>
        <v>0</v>
      </c>
      <c r="BC228">
        <f t="shared" si="152"/>
        <v>14</v>
      </c>
      <c r="BE228" t="str">
        <f t="shared" si="153"/>
        <v/>
      </c>
      <c r="BG228" t="str">
        <f>IF(对接源_01水果筐数!$C229="","",对接源_01水果筐数!$C229)</f>
        <v/>
      </c>
      <c r="BH228">
        <f t="shared" si="154"/>
        <v>0</v>
      </c>
      <c r="BI228">
        <f t="shared" si="155"/>
        <v>7</v>
      </c>
      <c r="BS228" t="str">
        <f t="shared" si="170"/>
        <v/>
      </c>
      <c r="BT228">
        <f t="shared" si="157"/>
        <v>0</v>
      </c>
      <c r="BU228">
        <f t="shared" si="158"/>
        <v>14</v>
      </c>
      <c r="BW228" t="str">
        <f t="shared" si="159"/>
        <v/>
      </c>
      <c r="BY228" t="str">
        <f t="shared" si="171"/>
        <v/>
      </c>
      <c r="BZ228">
        <f t="shared" si="161"/>
        <v>0</v>
      </c>
      <c r="CA228">
        <f t="shared" si="162"/>
        <v>16</v>
      </c>
      <c r="CC228" t="str">
        <f t="shared" si="163"/>
        <v/>
      </c>
      <c r="CP228">
        <f>IF(包装物料出入库明细!$D228="",0,1)</f>
        <v>0</v>
      </c>
      <c r="CQ228">
        <f t="shared" si="167"/>
        <v>37</v>
      </c>
      <c r="CS228" t="str">
        <f>IF(OR(周转筐出入库明细!$C229="",周转筐出入库明细!$F229&lt;&gt;"采购入库"),"",周转筐出入库明细!$C229)</f>
        <v/>
      </c>
      <c r="CT228">
        <f t="shared" si="168"/>
        <v>0</v>
      </c>
      <c r="CU228">
        <f t="shared" si="169"/>
        <v>1</v>
      </c>
    </row>
    <row r="229" spans="1:99">
      <c r="A229" t="str">
        <f>IF(包装物料出入库明细!$E229="","",包装物料出入库明细!$E229)</f>
        <v/>
      </c>
      <c r="B229">
        <f t="shared" si="132"/>
        <v>0</v>
      </c>
      <c r="C229">
        <f t="shared" si="133"/>
        <v>7</v>
      </c>
      <c r="D229" t="str">
        <f>IF(包装物料出入库明细!$E229="","",包装物料出入库明细!$F229)</f>
        <v/>
      </c>
      <c r="E229" t="str">
        <f>IF(包装物料出入库明细!$E229="","",包装物料出入库明细!$G229)</f>
        <v/>
      </c>
      <c r="K229" t="str">
        <f>IF(包装物料出入库明细!$D229="","",包装物料出入库明细!$D229)</f>
        <v/>
      </c>
      <c r="L229">
        <f t="shared" si="134"/>
        <v>0</v>
      </c>
      <c r="M229">
        <f t="shared" si="135"/>
        <v>9</v>
      </c>
      <c r="Q229" t="str">
        <f>IF(周转筐出入库明细!$D230="","",周转筐出入库明细!$D230)</f>
        <v/>
      </c>
      <c r="R229">
        <f t="shared" si="137"/>
        <v>0</v>
      </c>
      <c r="S229">
        <f t="shared" si="138"/>
        <v>5</v>
      </c>
      <c r="W229" t="str">
        <f>IF(周转筐出入库明细!$C230="","",周转筐出入库明细!$C230)</f>
        <v/>
      </c>
      <c r="X229">
        <f t="shared" si="139"/>
        <v>0</v>
      </c>
      <c r="Y229">
        <f t="shared" si="140"/>
        <v>12</v>
      </c>
      <c r="AC229" t="str">
        <f>IF(客户自备加工筐明细!$C229="","",客户自备加工筐明细!$C229)</f>
        <v/>
      </c>
      <c r="AD229">
        <f t="shared" si="142"/>
        <v>0</v>
      </c>
      <c r="AE229">
        <f t="shared" si="143"/>
        <v>1</v>
      </c>
      <c r="AI229" t="str">
        <f>IF(客户自备加工筐明细!$E229="","",客户自备加工筐明细!$E229)</f>
        <v/>
      </c>
      <c r="AJ229">
        <f t="shared" si="144"/>
        <v>0</v>
      </c>
      <c r="AK229">
        <f t="shared" si="145"/>
        <v>1</v>
      </c>
      <c r="AO229" t="str">
        <f>IF(次果筐明细!$D229="","",次果筐明细!$D229)</f>
        <v/>
      </c>
      <c r="AP229">
        <f t="shared" si="146"/>
        <v>0</v>
      </c>
      <c r="AQ229">
        <f t="shared" si="147"/>
        <v>1</v>
      </c>
      <c r="AU229" t="str">
        <f>IF(次果筐明细!$C229="","",次果筐明细!$C229)</f>
        <v/>
      </c>
      <c r="AV229">
        <f t="shared" si="148"/>
        <v>0</v>
      </c>
      <c r="AW229">
        <f t="shared" si="149"/>
        <v>1</v>
      </c>
      <c r="BA229" t="str">
        <f>IF(对接源_01水果筐数!$B230="","",对接源_01水果筐数!$B230)</f>
        <v/>
      </c>
      <c r="BB229">
        <f t="shared" si="151"/>
        <v>0</v>
      </c>
      <c r="BC229">
        <f t="shared" si="152"/>
        <v>14</v>
      </c>
      <c r="BE229" t="str">
        <f t="shared" si="153"/>
        <v/>
      </c>
      <c r="BG229" t="str">
        <f>IF(对接源_01水果筐数!$C230="","",对接源_01水果筐数!$C230)</f>
        <v/>
      </c>
      <c r="BH229">
        <f t="shared" si="154"/>
        <v>0</v>
      </c>
      <c r="BI229">
        <f t="shared" si="155"/>
        <v>7</v>
      </c>
      <c r="BS229" t="str">
        <f t="shared" si="170"/>
        <v/>
      </c>
      <c r="BT229">
        <f t="shared" si="157"/>
        <v>0</v>
      </c>
      <c r="BU229">
        <f t="shared" si="158"/>
        <v>14</v>
      </c>
      <c r="BW229" t="str">
        <f t="shared" si="159"/>
        <v/>
      </c>
      <c r="BY229" t="str">
        <f t="shared" si="171"/>
        <v/>
      </c>
      <c r="BZ229">
        <f t="shared" si="161"/>
        <v>0</v>
      </c>
      <c r="CA229">
        <f t="shared" si="162"/>
        <v>16</v>
      </c>
      <c r="CC229" t="str">
        <f t="shared" si="163"/>
        <v/>
      </c>
      <c r="CP229">
        <f>IF(包装物料出入库明细!$D229="",0,1)</f>
        <v>0</v>
      </c>
      <c r="CQ229">
        <f t="shared" si="167"/>
        <v>37</v>
      </c>
      <c r="CS229" t="str">
        <f>IF(OR(周转筐出入库明细!$C230="",周转筐出入库明细!$F230&lt;&gt;"采购入库"),"",周转筐出入库明细!$C230)</f>
        <v/>
      </c>
      <c r="CT229">
        <f t="shared" si="168"/>
        <v>0</v>
      </c>
      <c r="CU229">
        <f t="shared" si="169"/>
        <v>1</v>
      </c>
    </row>
    <row r="230" spans="1:99">
      <c r="A230" t="str">
        <f>IF(包装物料出入库明细!$E230="","",包装物料出入库明细!$E230)</f>
        <v/>
      </c>
      <c r="B230">
        <f t="shared" si="132"/>
        <v>0</v>
      </c>
      <c r="C230">
        <f t="shared" si="133"/>
        <v>7</v>
      </c>
      <c r="D230" t="str">
        <f>IF(包装物料出入库明细!$E230="","",包装物料出入库明细!$F230)</f>
        <v/>
      </c>
      <c r="E230" t="str">
        <f>IF(包装物料出入库明细!$E230="","",包装物料出入库明细!$G230)</f>
        <v/>
      </c>
      <c r="K230" t="str">
        <f>IF(包装物料出入库明细!$D230="","",包装物料出入库明细!$D230)</f>
        <v/>
      </c>
      <c r="L230">
        <f t="shared" si="134"/>
        <v>0</v>
      </c>
      <c r="M230">
        <f t="shared" si="135"/>
        <v>9</v>
      </c>
      <c r="Q230" t="str">
        <f>IF(周转筐出入库明细!$D231="","",周转筐出入库明细!$D231)</f>
        <v/>
      </c>
      <c r="R230">
        <f t="shared" si="137"/>
        <v>0</v>
      </c>
      <c r="S230">
        <f t="shared" si="138"/>
        <v>5</v>
      </c>
      <c r="W230" t="str">
        <f>IF(周转筐出入库明细!$C231="","",周转筐出入库明细!$C231)</f>
        <v/>
      </c>
      <c r="X230">
        <f t="shared" si="139"/>
        <v>0</v>
      </c>
      <c r="Y230">
        <f t="shared" si="140"/>
        <v>12</v>
      </c>
      <c r="AC230" t="str">
        <f>IF(客户自备加工筐明细!$C230="","",客户自备加工筐明细!$C230)</f>
        <v/>
      </c>
      <c r="AD230">
        <f t="shared" si="142"/>
        <v>0</v>
      </c>
      <c r="AE230">
        <f t="shared" si="143"/>
        <v>1</v>
      </c>
      <c r="AI230" t="str">
        <f>IF(客户自备加工筐明细!$E230="","",客户自备加工筐明细!$E230)</f>
        <v/>
      </c>
      <c r="AJ230">
        <f t="shared" si="144"/>
        <v>0</v>
      </c>
      <c r="AK230">
        <f t="shared" si="145"/>
        <v>1</v>
      </c>
      <c r="AO230" t="str">
        <f>IF(次果筐明细!$D230="","",次果筐明细!$D230)</f>
        <v/>
      </c>
      <c r="AP230">
        <f t="shared" si="146"/>
        <v>0</v>
      </c>
      <c r="AQ230">
        <f t="shared" si="147"/>
        <v>1</v>
      </c>
      <c r="AU230" t="str">
        <f>IF(次果筐明细!$C230="","",次果筐明细!$C230)</f>
        <v/>
      </c>
      <c r="AV230">
        <f t="shared" si="148"/>
        <v>0</v>
      </c>
      <c r="AW230">
        <f t="shared" si="149"/>
        <v>1</v>
      </c>
      <c r="BA230" t="str">
        <f>IF(对接源_01水果筐数!$B231="","",对接源_01水果筐数!$B231)</f>
        <v/>
      </c>
      <c r="BB230">
        <f t="shared" si="151"/>
        <v>0</v>
      </c>
      <c r="BC230">
        <f t="shared" si="152"/>
        <v>14</v>
      </c>
      <c r="BE230" t="str">
        <f t="shared" si="153"/>
        <v/>
      </c>
      <c r="BG230" t="str">
        <f>IF(对接源_01水果筐数!$C231="","",对接源_01水果筐数!$C231)</f>
        <v/>
      </c>
      <c r="BH230">
        <f t="shared" si="154"/>
        <v>0</v>
      </c>
      <c r="BI230">
        <f t="shared" si="155"/>
        <v>7</v>
      </c>
      <c r="BS230" t="str">
        <f t="shared" si="170"/>
        <v/>
      </c>
      <c r="BT230">
        <f t="shared" si="157"/>
        <v>0</v>
      </c>
      <c r="BU230">
        <f t="shared" si="158"/>
        <v>14</v>
      </c>
      <c r="BW230" t="str">
        <f t="shared" si="159"/>
        <v/>
      </c>
      <c r="BY230" t="str">
        <f t="shared" si="171"/>
        <v/>
      </c>
      <c r="BZ230">
        <f t="shared" si="161"/>
        <v>0</v>
      </c>
      <c r="CA230">
        <f t="shared" si="162"/>
        <v>16</v>
      </c>
      <c r="CC230" t="str">
        <f t="shared" si="163"/>
        <v/>
      </c>
      <c r="CP230">
        <f>IF(包装物料出入库明细!$D230="",0,1)</f>
        <v>0</v>
      </c>
      <c r="CQ230">
        <f t="shared" si="167"/>
        <v>37</v>
      </c>
      <c r="CS230" t="str">
        <f>IF(OR(周转筐出入库明细!$C231="",周转筐出入库明细!$F231&lt;&gt;"采购入库"),"",周转筐出入库明细!$C231)</f>
        <v/>
      </c>
      <c r="CT230">
        <f t="shared" si="168"/>
        <v>0</v>
      </c>
      <c r="CU230">
        <f t="shared" si="169"/>
        <v>1</v>
      </c>
    </row>
    <row r="231" spans="1:99">
      <c r="A231" t="str">
        <f>IF(包装物料出入库明细!$E231="","",包装物料出入库明细!$E231)</f>
        <v/>
      </c>
      <c r="B231">
        <f t="shared" si="132"/>
        <v>0</v>
      </c>
      <c r="C231">
        <f t="shared" si="133"/>
        <v>7</v>
      </c>
      <c r="D231" t="str">
        <f>IF(包装物料出入库明细!$E231="","",包装物料出入库明细!$F231)</f>
        <v/>
      </c>
      <c r="E231" t="str">
        <f>IF(包装物料出入库明细!$E231="","",包装物料出入库明细!$G231)</f>
        <v/>
      </c>
      <c r="K231" t="str">
        <f>IF(包装物料出入库明细!$D231="","",包装物料出入库明细!$D231)</f>
        <v/>
      </c>
      <c r="L231">
        <f t="shared" si="134"/>
        <v>0</v>
      </c>
      <c r="M231">
        <f t="shared" si="135"/>
        <v>9</v>
      </c>
      <c r="Q231" t="str">
        <f>IF(周转筐出入库明细!$D232="","",周转筐出入库明细!$D232)</f>
        <v/>
      </c>
      <c r="R231">
        <f t="shared" si="137"/>
        <v>0</v>
      </c>
      <c r="S231">
        <f t="shared" si="138"/>
        <v>5</v>
      </c>
      <c r="W231" t="str">
        <f>IF(周转筐出入库明细!$C232="","",周转筐出入库明细!$C232)</f>
        <v/>
      </c>
      <c r="X231">
        <f t="shared" si="139"/>
        <v>0</v>
      </c>
      <c r="Y231">
        <f t="shared" si="140"/>
        <v>12</v>
      </c>
      <c r="AC231" t="str">
        <f>IF(客户自备加工筐明细!$C231="","",客户自备加工筐明细!$C231)</f>
        <v/>
      </c>
      <c r="AD231">
        <f t="shared" si="142"/>
        <v>0</v>
      </c>
      <c r="AE231">
        <f t="shared" si="143"/>
        <v>1</v>
      </c>
      <c r="AI231" t="str">
        <f>IF(客户自备加工筐明细!$E231="","",客户自备加工筐明细!$E231)</f>
        <v/>
      </c>
      <c r="AJ231">
        <f t="shared" si="144"/>
        <v>0</v>
      </c>
      <c r="AK231">
        <f t="shared" si="145"/>
        <v>1</v>
      </c>
      <c r="AO231" t="str">
        <f>IF(次果筐明细!$D231="","",次果筐明细!$D231)</f>
        <v/>
      </c>
      <c r="AP231">
        <f t="shared" si="146"/>
        <v>0</v>
      </c>
      <c r="AQ231">
        <f t="shared" si="147"/>
        <v>1</v>
      </c>
      <c r="AU231" t="str">
        <f>IF(次果筐明细!$C231="","",次果筐明细!$C231)</f>
        <v/>
      </c>
      <c r="AV231">
        <f t="shared" si="148"/>
        <v>0</v>
      </c>
      <c r="AW231">
        <f t="shared" si="149"/>
        <v>1</v>
      </c>
      <c r="BA231" t="str">
        <f>IF(对接源_01水果筐数!$B232="","",对接源_01水果筐数!$B232)</f>
        <v/>
      </c>
      <c r="BB231">
        <f t="shared" si="151"/>
        <v>0</v>
      </c>
      <c r="BC231">
        <f t="shared" si="152"/>
        <v>14</v>
      </c>
      <c r="BE231" t="str">
        <f t="shared" si="153"/>
        <v/>
      </c>
      <c r="BG231" t="str">
        <f>IF(对接源_01水果筐数!$C232="","",对接源_01水果筐数!$C232)</f>
        <v/>
      </c>
      <c r="BH231">
        <f t="shared" si="154"/>
        <v>0</v>
      </c>
      <c r="BI231">
        <f t="shared" si="155"/>
        <v>7</v>
      </c>
      <c r="BS231" t="str">
        <f t="shared" si="170"/>
        <v/>
      </c>
      <c r="BT231">
        <f t="shared" si="157"/>
        <v>0</v>
      </c>
      <c r="BU231">
        <f t="shared" si="158"/>
        <v>14</v>
      </c>
      <c r="BW231" t="str">
        <f t="shared" si="159"/>
        <v/>
      </c>
      <c r="BY231" t="str">
        <f t="shared" si="171"/>
        <v/>
      </c>
      <c r="BZ231">
        <f t="shared" si="161"/>
        <v>0</v>
      </c>
      <c r="CA231">
        <f t="shared" si="162"/>
        <v>16</v>
      </c>
      <c r="CC231" t="str">
        <f t="shared" si="163"/>
        <v/>
      </c>
      <c r="CP231">
        <f>IF(包装物料出入库明细!$D231="",0,1)</f>
        <v>0</v>
      </c>
      <c r="CQ231">
        <f t="shared" si="167"/>
        <v>37</v>
      </c>
      <c r="CS231" t="str">
        <f>IF(OR(周转筐出入库明细!$C232="",周转筐出入库明细!$F232&lt;&gt;"采购入库"),"",周转筐出入库明细!$C232)</f>
        <v/>
      </c>
      <c r="CT231">
        <f t="shared" si="168"/>
        <v>0</v>
      </c>
      <c r="CU231">
        <f t="shared" si="169"/>
        <v>1</v>
      </c>
    </row>
    <row r="232" spans="1:99">
      <c r="A232" t="str">
        <f>IF(包装物料出入库明细!$E232="","",包装物料出入库明细!$E232)</f>
        <v/>
      </c>
      <c r="B232">
        <f t="shared" si="132"/>
        <v>0</v>
      </c>
      <c r="C232">
        <f t="shared" si="133"/>
        <v>7</v>
      </c>
      <c r="D232" t="str">
        <f>IF(包装物料出入库明细!$E232="","",包装物料出入库明细!$F232)</f>
        <v/>
      </c>
      <c r="E232" t="str">
        <f>IF(包装物料出入库明细!$E232="","",包装物料出入库明细!$G232)</f>
        <v/>
      </c>
      <c r="K232" t="str">
        <f>IF(包装物料出入库明细!$D232="","",包装物料出入库明细!$D232)</f>
        <v/>
      </c>
      <c r="L232">
        <f t="shared" si="134"/>
        <v>0</v>
      </c>
      <c r="M232">
        <f t="shared" si="135"/>
        <v>9</v>
      </c>
      <c r="Q232" t="str">
        <f>IF(周转筐出入库明细!$D233="","",周转筐出入库明细!$D233)</f>
        <v/>
      </c>
      <c r="R232">
        <f t="shared" si="137"/>
        <v>0</v>
      </c>
      <c r="S232">
        <f t="shared" si="138"/>
        <v>5</v>
      </c>
      <c r="W232" t="str">
        <f>IF(周转筐出入库明细!$C233="","",周转筐出入库明细!$C233)</f>
        <v/>
      </c>
      <c r="X232">
        <f t="shared" si="139"/>
        <v>0</v>
      </c>
      <c r="Y232">
        <f t="shared" si="140"/>
        <v>12</v>
      </c>
      <c r="AC232" t="str">
        <f>IF(客户自备加工筐明细!$C232="","",客户自备加工筐明细!$C232)</f>
        <v/>
      </c>
      <c r="AD232">
        <f t="shared" si="142"/>
        <v>0</v>
      </c>
      <c r="AE232">
        <f t="shared" si="143"/>
        <v>1</v>
      </c>
      <c r="AI232" t="str">
        <f>IF(客户自备加工筐明细!$E232="","",客户自备加工筐明细!$E232)</f>
        <v/>
      </c>
      <c r="AJ232">
        <f t="shared" si="144"/>
        <v>0</v>
      </c>
      <c r="AK232">
        <f t="shared" si="145"/>
        <v>1</v>
      </c>
      <c r="AO232" t="str">
        <f>IF(次果筐明细!$D232="","",次果筐明细!$D232)</f>
        <v/>
      </c>
      <c r="AP232">
        <f t="shared" si="146"/>
        <v>0</v>
      </c>
      <c r="AQ232">
        <f t="shared" si="147"/>
        <v>1</v>
      </c>
      <c r="AU232" t="str">
        <f>IF(次果筐明细!$C232="","",次果筐明细!$C232)</f>
        <v/>
      </c>
      <c r="AV232">
        <f t="shared" si="148"/>
        <v>0</v>
      </c>
      <c r="AW232">
        <f t="shared" si="149"/>
        <v>1</v>
      </c>
      <c r="BA232" t="str">
        <f>IF(对接源_01水果筐数!$B233="","",对接源_01水果筐数!$B233)</f>
        <v/>
      </c>
      <c r="BB232">
        <f t="shared" si="151"/>
        <v>0</v>
      </c>
      <c r="BC232">
        <f t="shared" si="152"/>
        <v>14</v>
      </c>
      <c r="BE232" t="str">
        <f t="shared" si="153"/>
        <v/>
      </c>
      <c r="BG232" t="str">
        <f>IF(对接源_01水果筐数!$C233="","",对接源_01水果筐数!$C233)</f>
        <v/>
      </c>
      <c r="BH232">
        <f t="shared" si="154"/>
        <v>0</v>
      </c>
      <c r="BI232">
        <f t="shared" si="155"/>
        <v>7</v>
      </c>
      <c r="BS232" t="str">
        <f t="shared" si="170"/>
        <v/>
      </c>
      <c r="BT232">
        <f t="shared" si="157"/>
        <v>0</v>
      </c>
      <c r="BU232">
        <f t="shared" si="158"/>
        <v>14</v>
      </c>
      <c r="BW232" t="str">
        <f t="shared" si="159"/>
        <v/>
      </c>
      <c r="BY232" t="str">
        <f t="shared" si="171"/>
        <v/>
      </c>
      <c r="BZ232">
        <f t="shared" si="161"/>
        <v>0</v>
      </c>
      <c r="CA232">
        <f t="shared" si="162"/>
        <v>16</v>
      </c>
      <c r="CC232" t="str">
        <f t="shared" si="163"/>
        <v/>
      </c>
      <c r="CP232">
        <f>IF(包装物料出入库明细!$D232="",0,1)</f>
        <v>0</v>
      </c>
      <c r="CQ232">
        <f t="shared" si="167"/>
        <v>37</v>
      </c>
      <c r="CS232" t="str">
        <f>IF(OR(周转筐出入库明细!$C233="",周转筐出入库明细!$F233&lt;&gt;"采购入库"),"",周转筐出入库明细!$C233)</f>
        <v/>
      </c>
      <c r="CT232">
        <f t="shared" si="168"/>
        <v>0</v>
      </c>
      <c r="CU232">
        <f t="shared" si="169"/>
        <v>1</v>
      </c>
    </row>
    <row r="233" spans="1:99">
      <c r="A233" t="str">
        <f>IF(包装物料出入库明细!$E233="","",包装物料出入库明细!$E233)</f>
        <v/>
      </c>
      <c r="B233">
        <f t="shared" si="132"/>
        <v>0</v>
      </c>
      <c r="C233">
        <f t="shared" si="133"/>
        <v>7</v>
      </c>
      <c r="D233" t="str">
        <f>IF(包装物料出入库明细!$E233="","",包装物料出入库明细!$F233)</f>
        <v/>
      </c>
      <c r="E233" t="str">
        <f>IF(包装物料出入库明细!$E233="","",包装物料出入库明细!$G233)</f>
        <v/>
      </c>
      <c r="K233" t="str">
        <f>IF(包装物料出入库明细!$D233="","",包装物料出入库明细!$D233)</f>
        <v/>
      </c>
      <c r="L233">
        <f t="shared" si="134"/>
        <v>0</v>
      </c>
      <c r="M233">
        <f t="shared" si="135"/>
        <v>9</v>
      </c>
      <c r="Q233" t="str">
        <f>IF(周转筐出入库明细!$D234="","",周转筐出入库明细!$D234)</f>
        <v/>
      </c>
      <c r="R233">
        <f t="shared" si="137"/>
        <v>0</v>
      </c>
      <c r="S233">
        <f t="shared" si="138"/>
        <v>5</v>
      </c>
      <c r="W233" t="str">
        <f>IF(周转筐出入库明细!$C234="","",周转筐出入库明细!$C234)</f>
        <v/>
      </c>
      <c r="X233">
        <f t="shared" si="139"/>
        <v>0</v>
      </c>
      <c r="Y233">
        <f t="shared" si="140"/>
        <v>12</v>
      </c>
      <c r="AC233" t="str">
        <f>IF(客户自备加工筐明细!$C233="","",客户自备加工筐明细!$C233)</f>
        <v/>
      </c>
      <c r="AD233">
        <f t="shared" si="142"/>
        <v>0</v>
      </c>
      <c r="AE233">
        <f t="shared" si="143"/>
        <v>1</v>
      </c>
      <c r="AI233" t="str">
        <f>IF(客户自备加工筐明细!$E233="","",客户自备加工筐明细!$E233)</f>
        <v/>
      </c>
      <c r="AJ233">
        <f t="shared" si="144"/>
        <v>0</v>
      </c>
      <c r="AK233">
        <f t="shared" si="145"/>
        <v>1</v>
      </c>
      <c r="AO233" t="str">
        <f>IF(次果筐明细!$D233="","",次果筐明细!$D233)</f>
        <v/>
      </c>
      <c r="AP233">
        <f t="shared" si="146"/>
        <v>0</v>
      </c>
      <c r="AQ233">
        <f t="shared" si="147"/>
        <v>1</v>
      </c>
      <c r="AU233" t="str">
        <f>IF(次果筐明细!$C233="","",次果筐明细!$C233)</f>
        <v/>
      </c>
      <c r="AV233">
        <f t="shared" si="148"/>
        <v>0</v>
      </c>
      <c r="AW233">
        <f t="shared" si="149"/>
        <v>1</v>
      </c>
      <c r="BA233" t="str">
        <f>IF(对接源_01水果筐数!$B234="","",对接源_01水果筐数!$B234)</f>
        <v/>
      </c>
      <c r="BB233">
        <f t="shared" si="151"/>
        <v>0</v>
      </c>
      <c r="BC233">
        <f t="shared" si="152"/>
        <v>14</v>
      </c>
      <c r="BE233" t="str">
        <f t="shared" si="153"/>
        <v/>
      </c>
      <c r="BG233" t="str">
        <f>IF(对接源_01水果筐数!$C234="","",对接源_01水果筐数!$C234)</f>
        <v/>
      </c>
      <c r="BH233">
        <f t="shared" si="154"/>
        <v>0</v>
      </c>
      <c r="BI233">
        <f t="shared" si="155"/>
        <v>7</v>
      </c>
      <c r="BS233" t="str">
        <f t="shared" si="170"/>
        <v/>
      </c>
      <c r="BT233">
        <f t="shared" si="157"/>
        <v>0</v>
      </c>
      <c r="BU233">
        <f t="shared" si="158"/>
        <v>14</v>
      </c>
      <c r="BW233" t="str">
        <f t="shared" si="159"/>
        <v/>
      </c>
      <c r="BY233" t="str">
        <f t="shared" si="171"/>
        <v/>
      </c>
      <c r="BZ233">
        <f t="shared" si="161"/>
        <v>0</v>
      </c>
      <c r="CA233">
        <f t="shared" si="162"/>
        <v>16</v>
      </c>
      <c r="CC233" t="str">
        <f t="shared" si="163"/>
        <v/>
      </c>
      <c r="CP233">
        <f>IF(包装物料出入库明细!$D233="",0,1)</f>
        <v>0</v>
      </c>
      <c r="CQ233">
        <f t="shared" si="167"/>
        <v>37</v>
      </c>
      <c r="CS233" t="str">
        <f>IF(OR(周转筐出入库明细!$C234="",周转筐出入库明细!$F234&lt;&gt;"采购入库"),"",周转筐出入库明细!$C234)</f>
        <v/>
      </c>
      <c r="CT233">
        <f t="shared" si="168"/>
        <v>0</v>
      </c>
      <c r="CU233">
        <f t="shared" si="169"/>
        <v>1</v>
      </c>
    </row>
    <row r="234" spans="1:99">
      <c r="A234" t="str">
        <f>IF(包装物料出入库明细!$E234="","",包装物料出入库明细!$E234)</f>
        <v/>
      </c>
      <c r="B234">
        <f t="shared" si="132"/>
        <v>0</v>
      </c>
      <c r="C234">
        <f t="shared" si="133"/>
        <v>7</v>
      </c>
      <c r="D234" t="str">
        <f>IF(包装物料出入库明细!$E234="","",包装物料出入库明细!$F234)</f>
        <v/>
      </c>
      <c r="E234" t="str">
        <f>IF(包装物料出入库明细!$E234="","",包装物料出入库明细!$G234)</f>
        <v/>
      </c>
      <c r="K234" t="str">
        <f>IF(包装物料出入库明细!$D234="","",包装物料出入库明细!$D234)</f>
        <v/>
      </c>
      <c r="L234">
        <f t="shared" si="134"/>
        <v>0</v>
      </c>
      <c r="M234">
        <f t="shared" si="135"/>
        <v>9</v>
      </c>
      <c r="Q234" t="str">
        <f>IF(周转筐出入库明细!$D235="","",周转筐出入库明细!$D235)</f>
        <v/>
      </c>
      <c r="R234">
        <f t="shared" si="137"/>
        <v>0</v>
      </c>
      <c r="S234">
        <f t="shared" si="138"/>
        <v>5</v>
      </c>
      <c r="W234" t="str">
        <f>IF(周转筐出入库明细!$C235="","",周转筐出入库明细!$C235)</f>
        <v/>
      </c>
      <c r="X234">
        <f t="shared" si="139"/>
        <v>0</v>
      </c>
      <c r="Y234">
        <f t="shared" si="140"/>
        <v>12</v>
      </c>
      <c r="AC234" t="str">
        <f>IF(客户自备加工筐明细!$C234="","",客户自备加工筐明细!$C234)</f>
        <v/>
      </c>
      <c r="AD234">
        <f t="shared" si="142"/>
        <v>0</v>
      </c>
      <c r="AE234">
        <f t="shared" si="143"/>
        <v>1</v>
      </c>
      <c r="AI234" t="str">
        <f>IF(客户自备加工筐明细!$E234="","",客户自备加工筐明细!$E234)</f>
        <v/>
      </c>
      <c r="AJ234">
        <f t="shared" si="144"/>
        <v>0</v>
      </c>
      <c r="AK234">
        <f t="shared" si="145"/>
        <v>1</v>
      </c>
      <c r="AO234" t="str">
        <f>IF(次果筐明细!$D234="","",次果筐明细!$D234)</f>
        <v/>
      </c>
      <c r="AP234">
        <f t="shared" si="146"/>
        <v>0</v>
      </c>
      <c r="AQ234">
        <f t="shared" si="147"/>
        <v>1</v>
      </c>
      <c r="AU234" t="str">
        <f>IF(次果筐明细!$C234="","",次果筐明细!$C234)</f>
        <v/>
      </c>
      <c r="AV234">
        <f t="shared" si="148"/>
        <v>0</v>
      </c>
      <c r="AW234">
        <f t="shared" si="149"/>
        <v>1</v>
      </c>
      <c r="BA234" t="str">
        <f>IF(对接源_01水果筐数!$B235="","",对接源_01水果筐数!$B235)</f>
        <v/>
      </c>
      <c r="BB234">
        <f t="shared" si="151"/>
        <v>0</v>
      </c>
      <c r="BC234">
        <f t="shared" si="152"/>
        <v>14</v>
      </c>
      <c r="BE234" t="str">
        <f t="shared" si="153"/>
        <v/>
      </c>
      <c r="BG234" t="str">
        <f>IF(对接源_01水果筐数!$C235="","",对接源_01水果筐数!$C235)</f>
        <v/>
      </c>
      <c r="BH234">
        <f t="shared" si="154"/>
        <v>0</v>
      </c>
      <c r="BI234">
        <f t="shared" si="155"/>
        <v>7</v>
      </c>
      <c r="BS234" t="str">
        <f t="shared" si="170"/>
        <v/>
      </c>
      <c r="BT234">
        <f t="shared" si="157"/>
        <v>0</v>
      </c>
      <c r="BU234">
        <f t="shared" si="158"/>
        <v>14</v>
      </c>
      <c r="BW234" t="str">
        <f t="shared" si="159"/>
        <v/>
      </c>
      <c r="BY234" t="str">
        <f t="shared" si="171"/>
        <v/>
      </c>
      <c r="BZ234">
        <f t="shared" si="161"/>
        <v>0</v>
      </c>
      <c r="CA234">
        <f t="shared" si="162"/>
        <v>16</v>
      </c>
      <c r="CC234" t="str">
        <f t="shared" si="163"/>
        <v/>
      </c>
      <c r="CP234">
        <f>IF(包装物料出入库明细!$D234="",0,1)</f>
        <v>0</v>
      </c>
      <c r="CQ234">
        <f t="shared" si="167"/>
        <v>37</v>
      </c>
      <c r="CS234" t="str">
        <f>IF(OR(周转筐出入库明细!$C235="",周转筐出入库明细!$F235&lt;&gt;"采购入库"),"",周转筐出入库明细!$C235)</f>
        <v/>
      </c>
      <c r="CT234">
        <f t="shared" si="168"/>
        <v>0</v>
      </c>
      <c r="CU234">
        <f t="shared" si="169"/>
        <v>1</v>
      </c>
    </row>
    <row r="235" spans="1:99">
      <c r="A235" t="str">
        <f>IF(包装物料出入库明细!$E235="","",包装物料出入库明细!$E235)</f>
        <v/>
      </c>
      <c r="B235">
        <f t="shared" si="132"/>
        <v>0</v>
      </c>
      <c r="C235">
        <f t="shared" si="133"/>
        <v>7</v>
      </c>
      <c r="D235" t="str">
        <f>IF(包装物料出入库明细!$E235="","",包装物料出入库明细!$F235)</f>
        <v/>
      </c>
      <c r="E235" t="str">
        <f>IF(包装物料出入库明细!$E235="","",包装物料出入库明细!$G235)</f>
        <v/>
      </c>
      <c r="K235" t="str">
        <f>IF(包装物料出入库明细!$D235="","",包装物料出入库明细!$D235)</f>
        <v/>
      </c>
      <c r="L235">
        <f t="shared" si="134"/>
        <v>0</v>
      </c>
      <c r="M235">
        <f t="shared" si="135"/>
        <v>9</v>
      </c>
      <c r="Q235" t="str">
        <f>IF(周转筐出入库明细!$D236="","",周转筐出入库明细!$D236)</f>
        <v/>
      </c>
      <c r="R235">
        <f t="shared" si="137"/>
        <v>0</v>
      </c>
      <c r="S235">
        <f t="shared" si="138"/>
        <v>5</v>
      </c>
      <c r="W235" t="str">
        <f>IF(周转筐出入库明细!$C236="","",周转筐出入库明细!$C236)</f>
        <v/>
      </c>
      <c r="X235">
        <f t="shared" si="139"/>
        <v>0</v>
      </c>
      <c r="Y235">
        <f t="shared" si="140"/>
        <v>12</v>
      </c>
      <c r="AC235" t="str">
        <f>IF(客户自备加工筐明细!$C235="","",客户自备加工筐明细!$C235)</f>
        <v/>
      </c>
      <c r="AD235">
        <f t="shared" si="142"/>
        <v>0</v>
      </c>
      <c r="AE235">
        <f t="shared" si="143"/>
        <v>1</v>
      </c>
      <c r="AI235" t="str">
        <f>IF(客户自备加工筐明细!$E235="","",客户自备加工筐明细!$E235)</f>
        <v/>
      </c>
      <c r="AJ235">
        <f t="shared" si="144"/>
        <v>0</v>
      </c>
      <c r="AK235">
        <f t="shared" si="145"/>
        <v>1</v>
      </c>
      <c r="AO235" t="str">
        <f>IF(次果筐明细!$D235="","",次果筐明细!$D235)</f>
        <v/>
      </c>
      <c r="AP235">
        <f t="shared" si="146"/>
        <v>0</v>
      </c>
      <c r="AQ235">
        <f t="shared" si="147"/>
        <v>1</v>
      </c>
      <c r="AU235" t="str">
        <f>IF(次果筐明细!$C235="","",次果筐明细!$C235)</f>
        <v/>
      </c>
      <c r="AV235">
        <f t="shared" si="148"/>
        <v>0</v>
      </c>
      <c r="AW235">
        <f t="shared" si="149"/>
        <v>1</v>
      </c>
      <c r="BA235" t="str">
        <f>IF(对接源_01水果筐数!$B236="","",对接源_01水果筐数!$B236)</f>
        <v/>
      </c>
      <c r="BB235">
        <f t="shared" si="151"/>
        <v>0</v>
      </c>
      <c r="BC235">
        <f t="shared" si="152"/>
        <v>14</v>
      </c>
      <c r="BE235" t="str">
        <f t="shared" si="153"/>
        <v/>
      </c>
      <c r="BG235" t="str">
        <f>IF(对接源_01水果筐数!$C236="","",对接源_01水果筐数!$C236)</f>
        <v/>
      </c>
      <c r="BH235">
        <f t="shared" si="154"/>
        <v>0</v>
      </c>
      <c r="BI235">
        <f t="shared" si="155"/>
        <v>7</v>
      </c>
      <c r="BS235" t="str">
        <f t="shared" si="170"/>
        <v/>
      </c>
      <c r="BT235">
        <f t="shared" si="157"/>
        <v>0</v>
      </c>
      <c r="BU235">
        <f t="shared" si="158"/>
        <v>14</v>
      </c>
      <c r="BW235" t="str">
        <f t="shared" si="159"/>
        <v/>
      </c>
      <c r="BY235" t="str">
        <f t="shared" si="171"/>
        <v/>
      </c>
      <c r="BZ235">
        <f t="shared" si="161"/>
        <v>0</v>
      </c>
      <c r="CA235">
        <f t="shared" si="162"/>
        <v>16</v>
      </c>
      <c r="CC235" t="str">
        <f t="shared" si="163"/>
        <v/>
      </c>
      <c r="CP235">
        <f>IF(包装物料出入库明细!$D235="",0,1)</f>
        <v>0</v>
      </c>
      <c r="CQ235">
        <f t="shared" si="167"/>
        <v>37</v>
      </c>
      <c r="CS235" t="str">
        <f>IF(OR(周转筐出入库明细!$C236="",周转筐出入库明细!$F236&lt;&gt;"采购入库"),"",周转筐出入库明细!$C236)</f>
        <v/>
      </c>
      <c r="CT235">
        <f t="shared" si="168"/>
        <v>0</v>
      </c>
      <c r="CU235">
        <f t="shared" si="169"/>
        <v>1</v>
      </c>
    </row>
    <row r="236" spans="1:99">
      <c r="A236" t="str">
        <f>IF(包装物料出入库明细!$E236="","",包装物料出入库明细!$E236)</f>
        <v/>
      </c>
      <c r="B236">
        <f t="shared" si="132"/>
        <v>0</v>
      </c>
      <c r="C236">
        <f t="shared" si="133"/>
        <v>7</v>
      </c>
      <c r="D236" t="str">
        <f>IF(包装物料出入库明细!$E236="","",包装物料出入库明细!$F236)</f>
        <v/>
      </c>
      <c r="E236" t="str">
        <f>IF(包装物料出入库明细!$E236="","",包装物料出入库明细!$G236)</f>
        <v/>
      </c>
      <c r="K236" t="str">
        <f>IF(包装物料出入库明细!$D236="","",包装物料出入库明细!$D236)</f>
        <v/>
      </c>
      <c r="L236">
        <f t="shared" si="134"/>
        <v>0</v>
      </c>
      <c r="M236">
        <f t="shared" si="135"/>
        <v>9</v>
      </c>
      <c r="Q236" t="str">
        <f>IF(周转筐出入库明细!$D237="","",周转筐出入库明细!$D237)</f>
        <v/>
      </c>
      <c r="R236">
        <f t="shared" si="137"/>
        <v>0</v>
      </c>
      <c r="S236">
        <f t="shared" si="138"/>
        <v>5</v>
      </c>
      <c r="W236" t="str">
        <f>IF(周转筐出入库明细!$C237="","",周转筐出入库明细!$C237)</f>
        <v/>
      </c>
      <c r="X236">
        <f t="shared" si="139"/>
        <v>0</v>
      </c>
      <c r="Y236">
        <f t="shared" si="140"/>
        <v>12</v>
      </c>
      <c r="AC236" t="str">
        <f>IF(客户自备加工筐明细!$C236="","",客户自备加工筐明细!$C236)</f>
        <v/>
      </c>
      <c r="AD236">
        <f t="shared" si="142"/>
        <v>0</v>
      </c>
      <c r="AE236">
        <f t="shared" si="143"/>
        <v>1</v>
      </c>
      <c r="AI236" t="str">
        <f>IF(客户自备加工筐明细!$E236="","",客户自备加工筐明细!$E236)</f>
        <v/>
      </c>
      <c r="AJ236">
        <f t="shared" si="144"/>
        <v>0</v>
      </c>
      <c r="AK236">
        <f t="shared" si="145"/>
        <v>1</v>
      </c>
      <c r="AO236" t="str">
        <f>IF(次果筐明细!$D236="","",次果筐明细!$D236)</f>
        <v/>
      </c>
      <c r="AP236">
        <f t="shared" si="146"/>
        <v>0</v>
      </c>
      <c r="AQ236">
        <f t="shared" si="147"/>
        <v>1</v>
      </c>
      <c r="AU236" t="str">
        <f>IF(次果筐明细!$C236="","",次果筐明细!$C236)</f>
        <v/>
      </c>
      <c r="AV236">
        <f t="shared" si="148"/>
        <v>0</v>
      </c>
      <c r="AW236">
        <f t="shared" si="149"/>
        <v>1</v>
      </c>
      <c r="BA236" t="str">
        <f>IF(对接源_01水果筐数!$B237="","",对接源_01水果筐数!$B237)</f>
        <v/>
      </c>
      <c r="BB236">
        <f t="shared" si="151"/>
        <v>0</v>
      </c>
      <c r="BC236">
        <f t="shared" si="152"/>
        <v>14</v>
      </c>
      <c r="BE236" t="str">
        <f t="shared" si="153"/>
        <v/>
      </c>
      <c r="BG236" t="str">
        <f>IF(对接源_01水果筐数!$C237="","",对接源_01水果筐数!$C237)</f>
        <v/>
      </c>
      <c r="BH236">
        <f t="shared" si="154"/>
        <v>0</v>
      </c>
      <c r="BI236">
        <f t="shared" si="155"/>
        <v>7</v>
      </c>
      <c r="BS236" t="str">
        <f t="shared" si="170"/>
        <v/>
      </c>
      <c r="BT236">
        <f t="shared" si="157"/>
        <v>0</v>
      </c>
      <c r="BU236">
        <f t="shared" si="158"/>
        <v>14</v>
      </c>
      <c r="BW236" t="str">
        <f t="shared" si="159"/>
        <v/>
      </c>
      <c r="BY236" t="str">
        <f t="shared" si="171"/>
        <v/>
      </c>
      <c r="BZ236">
        <f t="shared" si="161"/>
        <v>0</v>
      </c>
      <c r="CA236">
        <f t="shared" si="162"/>
        <v>16</v>
      </c>
      <c r="CC236" t="str">
        <f t="shared" si="163"/>
        <v/>
      </c>
      <c r="CP236">
        <f>IF(包装物料出入库明细!$D236="",0,1)</f>
        <v>0</v>
      </c>
      <c r="CQ236">
        <f t="shared" si="167"/>
        <v>37</v>
      </c>
      <c r="CS236" t="str">
        <f>IF(OR(周转筐出入库明细!$C237="",周转筐出入库明细!$F237&lt;&gt;"采购入库"),"",周转筐出入库明细!$C237)</f>
        <v/>
      </c>
      <c r="CT236">
        <f t="shared" si="168"/>
        <v>0</v>
      </c>
      <c r="CU236">
        <f t="shared" si="169"/>
        <v>1</v>
      </c>
    </row>
    <row r="237" spans="1:99">
      <c r="A237" t="str">
        <f>IF(包装物料出入库明细!$E237="","",包装物料出入库明细!$E237)</f>
        <v/>
      </c>
      <c r="B237">
        <f t="shared" si="132"/>
        <v>0</v>
      </c>
      <c r="C237">
        <f t="shared" si="133"/>
        <v>7</v>
      </c>
      <c r="D237" t="str">
        <f>IF(包装物料出入库明细!$E237="","",包装物料出入库明细!$F237)</f>
        <v/>
      </c>
      <c r="E237" t="str">
        <f>IF(包装物料出入库明细!$E237="","",包装物料出入库明细!$G237)</f>
        <v/>
      </c>
      <c r="K237" t="str">
        <f>IF(包装物料出入库明细!$D237="","",包装物料出入库明细!$D237)</f>
        <v/>
      </c>
      <c r="L237">
        <f t="shared" si="134"/>
        <v>0</v>
      </c>
      <c r="M237">
        <f t="shared" si="135"/>
        <v>9</v>
      </c>
      <c r="Q237" t="str">
        <f>IF(周转筐出入库明细!$D238="","",周转筐出入库明细!$D238)</f>
        <v/>
      </c>
      <c r="R237">
        <f t="shared" si="137"/>
        <v>0</v>
      </c>
      <c r="S237">
        <f t="shared" si="138"/>
        <v>5</v>
      </c>
      <c r="W237" t="str">
        <f>IF(周转筐出入库明细!$C238="","",周转筐出入库明细!$C238)</f>
        <v/>
      </c>
      <c r="X237">
        <f t="shared" si="139"/>
        <v>0</v>
      </c>
      <c r="Y237">
        <f t="shared" si="140"/>
        <v>12</v>
      </c>
      <c r="AC237" t="str">
        <f>IF(客户自备加工筐明细!$C237="","",客户自备加工筐明细!$C237)</f>
        <v/>
      </c>
      <c r="AD237">
        <f t="shared" si="142"/>
        <v>0</v>
      </c>
      <c r="AE237">
        <f t="shared" si="143"/>
        <v>1</v>
      </c>
      <c r="AI237" t="str">
        <f>IF(客户自备加工筐明细!$E237="","",客户自备加工筐明细!$E237)</f>
        <v/>
      </c>
      <c r="AJ237">
        <f t="shared" si="144"/>
        <v>0</v>
      </c>
      <c r="AK237">
        <f t="shared" si="145"/>
        <v>1</v>
      </c>
      <c r="AO237" t="str">
        <f>IF(次果筐明细!$D237="","",次果筐明细!$D237)</f>
        <v/>
      </c>
      <c r="AP237">
        <f t="shared" si="146"/>
        <v>0</v>
      </c>
      <c r="AQ237">
        <f t="shared" si="147"/>
        <v>1</v>
      </c>
      <c r="AU237" t="str">
        <f>IF(次果筐明细!$C237="","",次果筐明细!$C237)</f>
        <v/>
      </c>
      <c r="AV237">
        <f t="shared" si="148"/>
        <v>0</v>
      </c>
      <c r="AW237">
        <f t="shared" si="149"/>
        <v>1</v>
      </c>
      <c r="BA237" t="str">
        <f>IF(对接源_01水果筐数!$B238="","",对接源_01水果筐数!$B238)</f>
        <v/>
      </c>
      <c r="BB237">
        <f t="shared" si="151"/>
        <v>0</v>
      </c>
      <c r="BC237">
        <f t="shared" si="152"/>
        <v>14</v>
      </c>
      <c r="BE237" t="str">
        <f t="shared" si="153"/>
        <v/>
      </c>
      <c r="BG237" t="str">
        <f>IF(对接源_01水果筐数!$C238="","",对接源_01水果筐数!$C238)</f>
        <v/>
      </c>
      <c r="BH237">
        <f t="shared" si="154"/>
        <v>0</v>
      </c>
      <c r="BI237">
        <f t="shared" si="155"/>
        <v>7</v>
      </c>
      <c r="BS237" t="str">
        <f t="shared" si="170"/>
        <v/>
      </c>
      <c r="BT237">
        <f t="shared" si="157"/>
        <v>0</v>
      </c>
      <c r="BU237">
        <f t="shared" si="158"/>
        <v>14</v>
      </c>
      <c r="BW237" t="str">
        <f t="shared" si="159"/>
        <v/>
      </c>
      <c r="BY237" t="str">
        <f t="shared" si="171"/>
        <v/>
      </c>
      <c r="BZ237">
        <f t="shared" si="161"/>
        <v>0</v>
      </c>
      <c r="CA237">
        <f t="shared" si="162"/>
        <v>16</v>
      </c>
      <c r="CC237" t="str">
        <f t="shared" si="163"/>
        <v/>
      </c>
      <c r="CP237">
        <f>IF(包装物料出入库明细!$D237="",0,1)</f>
        <v>0</v>
      </c>
      <c r="CQ237">
        <f t="shared" si="167"/>
        <v>37</v>
      </c>
      <c r="CS237" t="str">
        <f>IF(OR(周转筐出入库明细!$C238="",周转筐出入库明细!$F238&lt;&gt;"采购入库"),"",周转筐出入库明细!$C238)</f>
        <v/>
      </c>
      <c r="CT237">
        <f t="shared" si="168"/>
        <v>0</v>
      </c>
      <c r="CU237">
        <f t="shared" si="169"/>
        <v>1</v>
      </c>
    </row>
    <row r="238" spans="1:99">
      <c r="A238" t="str">
        <f>IF(包装物料出入库明细!$E238="","",包装物料出入库明细!$E238)</f>
        <v/>
      </c>
      <c r="B238">
        <f t="shared" si="132"/>
        <v>0</v>
      </c>
      <c r="C238">
        <f t="shared" si="133"/>
        <v>7</v>
      </c>
      <c r="D238" t="str">
        <f>IF(包装物料出入库明细!$E238="","",包装物料出入库明细!$F238)</f>
        <v/>
      </c>
      <c r="E238" t="str">
        <f>IF(包装物料出入库明细!$E238="","",包装物料出入库明细!$G238)</f>
        <v/>
      </c>
      <c r="K238" t="str">
        <f>IF(包装物料出入库明细!$D238="","",包装物料出入库明细!$D238)</f>
        <v/>
      </c>
      <c r="L238">
        <f t="shared" si="134"/>
        <v>0</v>
      </c>
      <c r="M238">
        <f t="shared" si="135"/>
        <v>9</v>
      </c>
      <c r="Q238" t="str">
        <f>IF(周转筐出入库明细!$D239="","",周转筐出入库明细!$D239)</f>
        <v/>
      </c>
      <c r="R238">
        <f t="shared" si="137"/>
        <v>0</v>
      </c>
      <c r="S238">
        <f t="shared" si="138"/>
        <v>5</v>
      </c>
      <c r="W238" t="str">
        <f>IF(周转筐出入库明细!$C239="","",周转筐出入库明细!$C239)</f>
        <v/>
      </c>
      <c r="X238">
        <f t="shared" si="139"/>
        <v>0</v>
      </c>
      <c r="Y238">
        <f t="shared" si="140"/>
        <v>12</v>
      </c>
      <c r="AC238" t="str">
        <f>IF(客户自备加工筐明细!$C238="","",客户自备加工筐明细!$C238)</f>
        <v/>
      </c>
      <c r="AD238">
        <f t="shared" si="142"/>
        <v>0</v>
      </c>
      <c r="AE238">
        <f t="shared" si="143"/>
        <v>1</v>
      </c>
      <c r="AI238" t="str">
        <f>IF(客户自备加工筐明细!$E238="","",客户自备加工筐明细!$E238)</f>
        <v/>
      </c>
      <c r="AJ238">
        <f t="shared" si="144"/>
        <v>0</v>
      </c>
      <c r="AK238">
        <f t="shared" si="145"/>
        <v>1</v>
      </c>
      <c r="AO238" t="str">
        <f>IF(次果筐明细!$D238="","",次果筐明细!$D238)</f>
        <v/>
      </c>
      <c r="AP238">
        <f t="shared" si="146"/>
        <v>0</v>
      </c>
      <c r="AQ238">
        <f t="shared" si="147"/>
        <v>1</v>
      </c>
      <c r="AU238" t="str">
        <f>IF(次果筐明细!$C238="","",次果筐明细!$C238)</f>
        <v/>
      </c>
      <c r="AV238">
        <f t="shared" si="148"/>
        <v>0</v>
      </c>
      <c r="AW238">
        <f t="shared" si="149"/>
        <v>1</v>
      </c>
      <c r="BA238" t="str">
        <f>IF(对接源_01水果筐数!$B239="","",对接源_01水果筐数!$B239)</f>
        <v/>
      </c>
      <c r="BB238">
        <f t="shared" si="151"/>
        <v>0</v>
      </c>
      <c r="BC238">
        <f t="shared" si="152"/>
        <v>14</v>
      </c>
      <c r="BE238" t="str">
        <f t="shared" si="153"/>
        <v/>
      </c>
      <c r="BG238" t="str">
        <f>IF(对接源_01水果筐数!$C239="","",对接源_01水果筐数!$C239)</f>
        <v/>
      </c>
      <c r="BH238">
        <f t="shared" si="154"/>
        <v>0</v>
      </c>
      <c r="BI238">
        <f t="shared" si="155"/>
        <v>7</v>
      </c>
      <c r="BS238" t="str">
        <f t="shared" si="170"/>
        <v/>
      </c>
      <c r="BT238">
        <f t="shared" si="157"/>
        <v>0</v>
      </c>
      <c r="BU238">
        <f t="shared" si="158"/>
        <v>14</v>
      </c>
      <c r="BW238" t="str">
        <f t="shared" si="159"/>
        <v/>
      </c>
      <c r="BY238" t="str">
        <f t="shared" si="171"/>
        <v/>
      </c>
      <c r="BZ238">
        <f t="shared" si="161"/>
        <v>0</v>
      </c>
      <c r="CA238">
        <f t="shared" si="162"/>
        <v>16</v>
      </c>
      <c r="CC238" t="str">
        <f t="shared" si="163"/>
        <v/>
      </c>
      <c r="CP238">
        <f>IF(包装物料出入库明细!$D238="",0,1)</f>
        <v>0</v>
      </c>
      <c r="CQ238">
        <f t="shared" si="167"/>
        <v>37</v>
      </c>
      <c r="CS238" t="str">
        <f>IF(OR(周转筐出入库明细!$C239="",周转筐出入库明细!$F239&lt;&gt;"采购入库"),"",周转筐出入库明细!$C239)</f>
        <v/>
      </c>
      <c r="CT238">
        <f t="shared" si="168"/>
        <v>0</v>
      </c>
      <c r="CU238">
        <f t="shared" si="169"/>
        <v>1</v>
      </c>
    </row>
    <row r="239" spans="1:99">
      <c r="A239" t="str">
        <f>IF(包装物料出入库明细!$E239="","",包装物料出入库明细!$E239)</f>
        <v/>
      </c>
      <c r="B239">
        <f t="shared" si="132"/>
        <v>0</v>
      </c>
      <c r="C239">
        <f t="shared" si="133"/>
        <v>7</v>
      </c>
      <c r="D239" t="str">
        <f>IF(包装物料出入库明细!$E239="","",包装物料出入库明细!$F239)</f>
        <v/>
      </c>
      <c r="E239" t="str">
        <f>IF(包装物料出入库明细!$E239="","",包装物料出入库明细!$G239)</f>
        <v/>
      </c>
      <c r="K239" t="str">
        <f>IF(包装物料出入库明细!$D239="","",包装物料出入库明细!$D239)</f>
        <v/>
      </c>
      <c r="L239">
        <f t="shared" si="134"/>
        <v>0</v>
      </c>
      <c r="M239">
        <f t="shared" si="135"/>
        <v>9</v>
      </c>
      <c r="Q239" t="str">
        <f>IF(周转筐出入库明细!$D240="","",周转筐出入库明细!$D240)</f>
        <v/>
      </c>
      <c r="R239">
        <f t="shared" si="137"/>
        <v>0</v>
      </c>
      <c r="S239">
        <f t="shared" si="138"/>
        <v>5</v>
      </c>
      <c r="W239" t="str">
        <f>IF(周转筐出入库明细!$C240="","",周转筐出入库明细!$C240)</f>
        <v/>
      </c>
      <c r="X239">
        <f t="shared" si="139"/>
        <v>0</v>
      </c>
      <c r="Y239">
        <f t="shared" si="140"/>
        <v>12</v>
      </c>
      <c r="AC239" t="str">
        <f>IF(客户自备加工筐明细!$C239="","",客户自备加工筐明细!$C239)</f>
        <v/>
      </c>
      <c r="AD239">
        <f t="shared" si="142"/>
        <v>0</v>
      </c>
      <c r="AE239">
        <f t="shared" si="143"/>
        <v>1</v>
      </c>
      <c r="AI239" t="str">
        <f>IF(客户自备加工筐明细!$E239="","",客户自备加工筐明细!$E239)</f>
        <v/>
      </c>
      <c r="AJ239">
        <f t="shared" si="144"/>
        <v>0</v>
      </c>
      <c r="AK239">
        <f t="shared" si="145"/>
        <v>1</v>
      </c>
      <c r="AO239" t="str">
        <f>IF(次果筐明细!$D239="","",次果筐明细!$D239)</f>
        <v/>
      </c>
      <c r="AP239">
        <f t="shared" si="146"/>
        <v>0</v>
      </c>
      <c r="AQ239">
        <f t="shared" si="147"/>
        <v>1</v>
      </c>
      <c r="AU239" t="str">
        <f>IF(次果筐明细!$C239="","",次果筐明细!$C239)</f>
        <v/>
      </c>
      <c r="AV239">
        <f t="shared" si="148"/>
        <v>0</v>
      </c>
      <c r="AW239">
        <f t="shared" si="149"/>
        <v>1</v>
      </c>
      <c r="BA239" t="str">
        <f>IF(对接源_01水果筐数!$B240="","",对接源_01水果筐数!$B240)</f>
        <v/>
      </c>
      <c r="BB239">
        <f t="shared" si="151"/>
        <v>0</v>
      </c>
      <c r="BC239">
        <f t="shared" si="152"/>
        <v>14</v>
      </c>
      <c r="BE239" t="str">
        <f t="shared" si="153"/>
        <v/>
      </c>
      <c r="BG239" t="str">
        <f>IF(对接源_01水果筐数!$C240="","",对接源_01水果筐数!$C240)</f>
        <v/>
      </c>
      <c r="BH239">
        <f t="shared" si="154"/>
        <v>0</v>
      </c>
      <c r="BI239">
        <f t="shared" si="155"/>
        <v>7</v>
      </c>
      <c r="BS239" t="str">
        <f t="shared" si="170"/>
        <v/>
      </c>
      <c r="BT239">
        <f t="shared" si="157"/>
        <v>0</v>
      </c>
      <c r="BU239">
        <f t="shared" si="158"/>
        <v>14</v>
      </c>
      <c r="BW239" t="str">
        <f t="shared" si="159"/>
        <v/>
      </c>
      <c r="BY239" t="str">
        <f t="shared" si="171"/>
        <v/>
      </c>
      <c r="BZ239">
        <f t="shared" si="161"/>
        <v>0</v>
      </c>
      <c r="CA239">
        <f t="shared" si="162"/>
        <v>16</v>
      </c>
      <c r="CC239" t="str">
        <f t="shared" si="163"/>
        <v/>
      </c>
      <c r="CP239">
        <f>IF(包装物料出入库明细!$D239="",0,1)</f>
        <v>0</v>
      </c>
      <c r="CQ239">
        <f t="shared" si="167"/>
        <v>37</v>
      </c>
      <c r="CS239" t="str">
        <f>IF(OR(周转筐出入库明细!$C240="",周转筐出入库明细!$F240&lt;&gt;"采购入库"),"",周转筐出入库明细!$C240)</f>
        <v/>
      </c>
      <c r="CT239">
        <f t="shared" si="168"/>
        <v>0</v>
      </c>
      <c r="CU239">
        <f t="shared" si="169"/>
        <v>1</v>
      </c>
    </row>
    <row r="240" spans="1:99">
      <c r="A240" t="str">
        <f>IF(包装物料出入库明细!$E240="","",包装物料出入库明细!$E240)</f>
        <v/>
      </c>
      <c r="B240">
        <f t="shared" si="132"/>
        <v>0</v>
      </c>
      <c r="C240">
        <f t="shared" si="133"/>
        <v>7</v>
      </c>
      <c r="D240" t="str">
        <f>IF(包装物料出入库明细!$E240="","",包装物料出入库明细!$F240)</f>
        <v/>
      </c>
      <c r="E240" t="str">
        <f>IF(包装物料出入库明细!$E240="","",包装物料出入库明细!$G240)</f>
        <v/>
      </c>
      <c r="K240" t="str">
        <f>IF(包装物料出入库明细!$D240="","",包装物料出入库明细!$D240)</f>
        <v/>
      </c>
      <c r="L240">
        <f t="shared" si="134"/>
        <v>0</v>
      </c>
      <c r="M240">
        <f t="shared" si="135"/>
        <v>9</v>
      </c>
      <c r="Q240" t="str">
        <f>IF(周转筐出入库明细!$D241="","",周转筐出入库明细!$D241)</f>
        <v/>
      </c>
      <c r="R240">
        <f t="shared" si="137"/>
        <v>0</v>
      </c>
      <c r="S240">
        <f t="shared" si="138"/>
        <v>5</v>
      </c>
      <c r="W240" t="str">
        <f>IF(周转筐出入库明细!$C241="","",周转筐出入库明细!$C241)</f>
        <v/>
      </c>
      <c r="X240">
        <f t="shared" si="139"/>
        <v>0</v>
      </c>
      <c r="Y240">
        <f t="shared" si="140"/>
        <v>12</v>
      </c>
      <c r="AC240" t="str">
        <f>IF(客户自备加工筐明细!$C240="","",客户自备加工筐明细!$C240)</f>
        <v/>
      </c>
      <c r="AD240">
        <f t="shared" si="142"/>
        <v>0</v>
      </c>
      <c r="AE240">
        <f t="shared" si="143"/>
        <v>1</v>
      </c>
      <c r="AI240" t="str">
        <f>IF(客户自备加工筐明细!$E240="","",客户自备加工筐明细!$E240)</f>
        <v/>
      </c>
      <c r="AJ240">
        <f t="shared" si="144"/>
        <v>0</v>
      </c>
      <c r="AK240">
        <f t="shared" si="145"/>
        <v>1</v>
      </c>
      <c r="AO240" t="str">
        <f>IF(次果筐明细!$D240="","",次果筐明细!$D240)</f>
        <v/>
      </c>
      <c r="AP240">
        <f t="shared" si="146"/>
        <v>0</v>
      </c>
      <c r="AQ240">
        <f t="shared" si="147"/>
        <v>1</v>
      </c>
      <c r="AU240" t="str">
        <f>IF(次果筐明细!$C240="","",次果筐明细!$C240)</f>
        <v/>
      </c>
      <c r="AV240">
        <f t="shared" si="148"/>
        <v>0</v>
      </c>
      <c r="AW240">
        <f t="shared" si="149"/>
        <v>1</v>
      </c>
      <c r="BA240" t="str">
        <f>IF(对接源_01水果筐数!$B241="","",对接源_01水果筐数!$B241)</f>
        <v/>
      </c>
      <c r="BB240">
        <f t="shared" si="151"/>
        <v>0</v>
      </c>
      <c r="BC240">
        <f t="shared" si="152"/>
        <v>14</v>
      </c>
      <c r="BE240" t="str">
        <f t="shared" si="153"/>
        <v/>
      </c>
      <c r="BG240" t="str">
        <f>IF(对接源_01水果筐数!$C241="","",对接源_01水果筐数!$C241)</f>
        <v/>
      </c>
      <c r="BH240">
        <f t="shared" si="154"/>
        <v>0</v>
      </c>
      <c r="BI240">
        <f t="shared" si="155"/>
        <v>7</v>
      </c>
      <c r="BS240" t="str">
        <f t="shared" si="170"/>
        <v/>
      </c>
      <c r="BT240">
        <f t="shared" si="157"/>
        <v>0</v>
      </c>
      <c r="BU240">
        <f t="shared" si="158"/>
        <v>14</v>
      </c>
      <c r="BW240" t="str">
        <f t="shared" si="159"/>
        <v/>
      </c>
      <c r="BY240" t="str">
        <f t="shared" si="171"/>
        <v/>
      </c>
      <c r="BZ240">
        <f t="shared" si="161"/>
        <v>0</v>
      </c>
      <c r="CA240">
        <f t="shared" si="162"/>
        <v>16</v>
      </c>
      <c r="CC240" t="str">
        <f t="shared" si="163"/>
        <v/>
      </c>
      <c r="CP240">
        <f>IF(包装物料出入库明细!$D240="",0,1)</f>
        <v>0</v>
      </c>
      <c r="CQ240">
        <f t="shared" si="167"/>
        <v>37</v>
      </c>
      <c r="CS240" t="str">
        <f>IF(OR(周转筐出入库明细!$C241="",周转筐出入库明细!$F241&lt;&gt;"采购入库"),"",周转筐出入库明细!$C241)</f>
        <v/>
      </c>
      <c r="CT240">
        <f t="shared" si="168"/>
        <v>0</v>
      </c>
      <c r="CU240">
        <f t="shared" si="169"/>
        <v>1</v>
      </c>
    </row>
    <row r="241" spans="1:99">
      <c r="A241" t="str">
        <f>IF(包装物料出入库明细!$E241="","",包装物料出入库明细!$E241)</f>
        <v/>
      </c>
      <c r="B241">
        <f t="shared" si="132"/>
        <v>0</v>
      </c>
      <c r="C241">
        <f t="shared" si="133"/>
        <v>7</v>
      </c>
      <c r="D241" t="str">
        <f>IF(包装物料出入库明细!$E241="","",包装物料出入库明细!$F241)</f>
        <v/>
      </c>
      <c r="E241" t="str">
        <f>IF(包装物料出入库明细!$E241="","",包装物料出入库明细!$G241)</f>
        <v/>
      </c>
      <c r="K241" t="str">
        <f>IF(包装物料出入库明细!$D241="","",包装物料出入库明细!$D241)</f>
        <v/>
      </c>
      <c r="L241">
        <f t="shared" si="134"/>
        <v>0</v>
      </c>
      <c r="M241">
        <f t="shared" si="135"/>
        <v>9</v>
      </c>
      <c r="Q241" t="str">
        <f>IF(周转筐出入库明细!$D242="","",周转筐出入库明细!$D242)</f>
        <v/>
      </c>
      <c r="R241">
        <f t="shared" si="137"/>
        <v>0</v>
      </c>
      <c r="S241">
        <f t="shared" si="138"/>
        <v>5</v>
      </c>
      <c r="W241" t="str">
        <f>IF(周转筐出入库明细!$C242="","",周转筐出入库明细!$C242)</f>
        <v/>
      </c>
      <c r="X241">
        <f t="shared" si="139"/>
        <v>0</v>
      </c>
      <c r="Y241">
        <f t="shared" si="140"/>
        <v>12</v>
      </c>
      <c r="AC241" t="str">
        <f>IF(客户自备加工筐明细!$C241="","",客户自备加工筐明细!$C241)</f>
        <v/>
      </c>
      <c r="AD241">
        <f t="shared" si="142"/>
        <v>0</v>
      </c>
      <c r="AE241">
        <f t="shared" si="143"/>
        <v>1</v>
      </c>
      <c r="AI241" t="str">
        <f>IF(客户自备加工筐明细!$E241="","",客户自备加工筐明细!$E241)</f>
        <v/>
      </c>
      <c r="AJ241">
        <f t="shared" si="144"/>
        <v>0</v>
      </c>
      <c r="AK241">
        <f t="shared" si="145"/>
        <v>1</v>
      </c>
      <c r="AO241" t="str">
        <f>IF(次果筐明细!$D241="","",次果筐明细!$D241)</f>
        <v/>
      </c>
      <c r="AP241">
        <f t="shared" si="146"/>
        <v>0</v>
      </c>
      <c r="AQ241">
        <f t="shared" si="147"/>
        <v>1</v>
      </c>
      <c r="AU241" t="str">
        <f>IF(次果筐明细!$C241="","",次果筐明细!$C241)</f>
        <v/>
      </c>
      <c r="AV241">
        <f t="shared" si="148"/>
        <v>0</v>
      </c>
      <c r="AW241">
        <f t="shared" si="149"/>
        <v>1</v>
      </c>
      <c r="BA241" t="str">
        <f>IF(对接源_01水果筐数!$B242="","",对接源_01水果筐数!$B242)</f>
        <v/>
      </c>
      <c r="BB241">
        <f t="shared" si="151"/>
        <v>0</v>
      </c>
      <c r="BC241">
        <f t="shared" si="152"/>
        <v>14</v>
      </c>
      <c r="BE241" t="str">
        <f t="shared" si="153"/>
        <v/>
      </c>
      <c r="BG241" t="str">
        <f>IF(对接源_01水果筐数!$C242="","",对接源_01水果筐数!$C242)</f>
        <v/>
      </c>
      <c r="BH241">
        <f t="shared" si="154"/>
        <v>0</v>
      </c>
      <c r="BI241">
        <f t="shared" si="155"/>
        <v>7</v>
      </c>
      <c r="BS241" t="str">
        <f t="shared" si="170"/>
        <v/>
      </c>
      <c r="BT241">
        <f t="shared" si="157"/>
        <v>0</v>
      </c>
      <c r="BU241">
        <f t="shared" si="158"/>
        <v>14</v>
      </c>
      <c r="BW241" t="str">
        <f t="shared" si="159"/>
        <v/>
      </c>
      <c r="BY241" t="str">
        <f t="shared" si="171"/>
        <v/>
      </c>
      <c r="BZ241">
        <f t="shared" si="161"/>
        <v>0</v>
      </c>
      <c r="CA241">
        <f t="shared" si="162"/>
        <v>16</v>
      </c>
      <c r="CC241" t="str">
        <f t="shared" si="163"/>
        <v/>
      </c>
      <c r="CP241">
        <f>IF(包装物料出入库明细!$D241="",0,1)</f>
        <v>0</v>
      </c>
      <c r="CQ241">
        <f t="shared" si="167"/>
        <v>37</v>
      </c>
      <c r="CS241" t="str">
        <f>IF(OR(周转筐出入库明细!$C242="",周转筐出入库明细!$F242&lt;&gt;"采购入库"),"",周转筐出入库明细!$C242)</f>
        <v/>
      </c>
      <c r="CT241">
        <f t="shared" si="168"/>
        <v>0</v>
      </c>
      <c r="CU241">
        <f t="shared" si="169"/>
        <v>1</v>
      </c>
    </row>
    <row r="242" spans="1:99">
      <c r="A242" t="str">
        <f>IF(包装物料出入库明细!$E242="","",包装物料出入库明细!$E242)</f>
        <v/>
      </c>
      <c r="B242">
        <f t="shared" si="132"/>
        <v>0</v>
      </c>
      <c r="C242">
        <f t="shared" si="133"/>
        <v>7</v>
      </c>
      <c r="D242" t="str">
        <f>IF(包装物料出入库明细!$E242="","",包装物料出入库明细!$F242)</f>
        <v/>
      </c>
      <c r="E242" t="str">
        <f>IF(包装物料出入库明细!$E242="","",包装物料出入库明细!$G242)</f>
        <v/>
      </c>
      <c r="K242" t="str">
        <f>IF(包装物料出入库明细!$D242="","",包装物料出入库明细!$D242)</f>
        <v/>
      </c>
      <c r="L242">
        <f t="shared" si="134"/>
        <v>0</v>
      </c>
      <c r="M242">
        <f t="shared" si="135"/>
        <v>9</v>
      </c>
      <c r="Q242" t="str">
        <f>IF(周转筐出入库明细!$D243="","",周转筐出入库明细!$D243)</f>
        <v/>
      </c>
      <c r="R242">
        <f t="shared" si="137"/>
        <v>0</v>
      </c>
      <c r="S242">
        <f t="shared" si="138"/>
        <v>5</v>
      </c>
      <c r="W242" t="str">
        <f>IF(周转筐出入库明细!$C243="","",周转筐出入库明细!$C243)</f>
        <v/>
      </c>
      <c r="X242">
        <f t="shared" si="139"/>
        <v>0</v>
      </c>
      <c r="Y242">
        <f t="shared" si="140"/>
        <v>12</v>
      </c>
      <c r="AC242" t="str">
        <f>IF(客户自备加工筐明细!$C242="","",客户自备加工筐明细!$C242)</f>
        <v/>
      </c>
      <c r="AD242">
        <f t="shared" si="142"/>
        <v>0</v>
      </c>
      <c r="AE242">
        <f t="shared" si="143"/>
        <v>1</v>
      </c>
      <c r="AI242" t="str">
        <f>IF(客户自备加工筐明细!$E242="","",客户自备加工筐明细!$E242)</f>
        <v/>
      </c>
      <c r="AJ242">
        <f t="shared" si="144"/>
        <v>0</v>
      </c>
      <c r="AK242">
        <f t="shared" si="145"/>
        <v>1</v>
      </c>
      <c r="AO242" t="str">
        <f>IF(次果筐明细!$D242="","",次果筐明细!$D242)</f>
        <v/>
      </c>
      <c r="AP242">
        <f t="shared" si="146"/>
        <v>0</v>
      </c>
      <c r="AQ242">
        <f t="shared" si="147"/>
        <v>1</v>
      </c>
      <c r="AU242" t="str">
        <f>IF(次果筐明细!$C242="","",次果筐明细!$C242)</f>
        <v/>
      </c>
      <c r="AV242">
        <f t="shared" si="148"/>
        <v>0</v>
      </c>
      <c r="AW242">
        <f t="shared" si="149"/>
        <v>1</v>
      </c>
      <c r="BA242" t="str">
        <f>IF(对接源_01水果筐数!$B243="","",对接源_01水果筐数!$B243)</f>
        <v/>
      </c>
      <c r="BB242">
        <f t="shared" si="151"/>
        <v>0</v>
      </c>
      <c r="BC242">
        <f t="shared" si="152"/>
        <v>14</v>
      </c>
      <c r="BE242" t="str">
        <f t="shared" si="153"/>
        <v/>
      </c>
      <c r="BG242" t="str">
        <f>IF(对接源_01水果筐数!$C243="","",对接源_01水果筐数!$C243)</f>
        <v/>
      </c>
      <c r="BH242">
        <f t="shared" si="154"/>
        <v>0</v>
      </c>
      <c r="BI242">
        <f t="shared" si="155"/>
        <v>7</v>
      </c>
      <c r="BS242" t="str">
        <f t="shared" si="170"/>
        <v/>
      </c>
      <c r="BT242">
        <f t="shared" si="157"/>
        <v>0</v>
      </c>
      <c r="BU242">
        <f t="shared" si="158"/>
        <v>14</v>
      </c>
      <c r="BW242" t="str">
        <f t="shared" si="159"/>
        <v/>
      </c>
      <c r="BY242" t="str">
        <f t="shared" si="171"/>
        <v/>
      </c>
      <c r="BZ242">
        <f t="shared" si="161"/>
        <v>0</v>
      </c>
      <c r="CA242">
        <f t="shared" si="162"/>
        <v>16</v>
      </c>
      <c r="CC242" t="str">
        <f t="shared" si="163"/>
        <v/>
      </c>
      <c r="CP242">
        <f>IF(包装物料出入库明细!$D242="",0,1)</f>
        <v>0</v>
      </c>
      <c r="CQ242">
        <f t="shared" si="167"/>
        <v>37</v>
      </c>
      <c r="CS242" t="str">
        <f>IF(OR(周转筐出入库明细!$C243="",周转筐出入库明细!$F243&lt;&gt;"采购入库"),"",周转筐出入库明细!$C243)</f>
        <v/>
      </c>
      <c r="CT242">
        <f t="shared" si="168"/>
        <v>0</v>
      </c>
      <c r="CU242">
        <f t="shared" si="169"/>
        <v>1</v>
      </c>
    </row>
    <row r="243" spans="1:99">
      <c r="A243" t="str">
        <f>IF(包装物料出入库明细!$E243="","",包装物料出入库明细!$E243)</f>
        <v/>
      </c>
      <c r="B243">
        <f t="shared" si="132"/>
        <v>0</v>
      </c>
      <c r="C243">
        <f t="shared" si="133"/>
        <v>7</v>
      </c>
      <c r="D243" t="str">
        <f>IF(包装物料出入库明细!$E243="","",包装物料出入库明细!$F243)</f>
        <v/>
      </c>
      <c r="E243" t="str">
        <f>IF(包装物料出入库明细!$E243="","",包装物料出入库明细!$G243)</f>
        <v/>
      </c>
      <c r="K243" t="str">
        <f>IF(包装物料出入库明细!$D243="","",包装物料出入库明细!$D243)</f>
        <v/>
      </c>
      <c r="L243">
        <f t="shared" si="134"/>
        <v>0</v>
      </c>
      <c r="M243">
        <f t="shared" si="135"/>
        <v>9</v>
      </c>
      <c r="Q243" t="str">
        <f>IF(周转筐出入库明细!$D244="","",周转筐出入库明细!$D244)</f>
        <v/>
      </c>
      <c r="R243">
        <f t="shared" si="137"/>
        <v>0</v>
      </c>
      <c r="S243">
        <f t="shared" si="138"/>
        <v>5</v>
      </c>
      <c r="W243" t="str">
        <f>IF(周转筐出入库明细!$C244="","",周转筐出入库明细!$C244)</f>
        <v/>
      </c>
      <c r="X243">
        <f t="shared" si="139"/>
        <v>0</v>
      </c>
      <c r="Y243">
        <f t="shared" si="140"/>
        <v>12</v>
      </c>
      <c r="AC243" t="str">
        <f>IF(客户自备加工筐明细!$C243="","",客户自备加工筐明细!$C243)</f>
        <v/>
      </c>
      <c r="AD243">
        <f t="shared" si="142"/>
        <v>0</v>
      </c>
      <c r="AE243">
        <f t="shared" si="143"/>
        <v>1</v>
      </c>
      <c r="AI243" t="str">
        <f>IF(客户自备加工筐明细!$E243="","",客户自备加工筐明细!$E243)</f>
        <v/>
      </c>
      <c r="AJ243">
        <f t="shared" si="144"/>
        <v>0</v>
      </c>
      <c r="AK243">
        <f t="shared" si="145"/>
        <v>1</v>
      </c>
      <c r="AO243" t="str">
        <f>IF(次果筐明细!$D243="","",次果筐明细!$D243)</f>
        <v/>
      </c>
      <c r="AP243">
        <f t="shared" si="146"/>
        <v>0</v>
      </c>
      <c r="AQ243">
        <f t="shared" si="147"/>
        <v>1</v>
      </c>
      <c r="AU243" t="str">
        <f>IF(次果筐明细!$C243="","",次果筐明细!$C243)</f>
        <v/>
      </c>
      <c r="AV243">
        <f t="shared" si="148"/>
        <v>0</v>
      </c>
      <c r="AW243">
        <f t="shared" si="149"/>
        <v>1</v>
      </c>
      <c r="BA243" t="str">
        <f>IF(对接源_01水果筐数!$B244="","",对接源_01水果筐数!$B244)</f>
        <v/>
      </c>
      <c r="BB243">
        <f t="shared" si="151"/>
        <v>0</v>
      </c>
      <c r="BC243">
        <f t="shared" si="152"/>
        <v>14</v>
      </c>
      <c r="BE243" t="str">
        <f t="shared" si="153"/>
        <v/>
      </c>
      <c r="BG243" t="str">
        <f>IF(对接源_01水果筐数!$C244="","",对接源_01水果筐数!$C244)</f>
        <v/>
      </c>
      <c r="BH243">
        <f t="shared" si="154"/>
        <v>0</v>
      </c>
      <c r="BI243">
        <f t="shared" si="155"/>
        <v>7</v>
      </c>
      <c r="BS243" t="str">
        <f t="shared" si="170"/>
        <v/>
      </c>
      <c r="BT243">
        <f t="shared" si="157"/>
        <v>0</v>
      </c>
      <c r="BU243">
        <f t="shared" si="158"/>
        <v>14</v>
      </c>
      <c r="BW243" t="str">
        <f t="shared" si="159"/>
        <v/>
      </c>
      <c r="BY243" t="str">
        <f t="shared" si="171"/>
        <v/>
      </c>
      <c r="BZ243">
        <f t="shared" si="161"/>
        <v>0</v>
      </c>
      <c r="CA243">
        <f t="shared" si="162"/>
        <v>16</v>
      </c>
      <c r="CC243" t="str">
        <f t="shared" si="163"/>
        <v/>
      </c>
      <c r="CP243">
        <f>IF(包装物料出入库明细!$D243="",0,1)</f>
        <v>0</v>
      </c>
      <c r="CQ243">
        <f t="shared" si="167"/>
        <v>37</v>
      </c>
      <c r="CS243" t="str">
        <f>IF(OR(周转筐出入库明细!$C244="",周转筐出入库明细!$F244&lt;&gt;"采购入库"),"",周转筐出入库明细!$C244)</f>
        <v/>
      </c>
      <c r="CT243">
        <f t="shared" si="168"/>
        <v>0</v>
      </c>
      <c r="CU243">
        <f t="shared" si="169"/>
        <v>1</v>
      </c>
    </row>
    <row r="244" spans="1:99">
      <c r="A244" t="str">
        <f>IF(包装物料出入库明细!$E244="","",包装物料出入库明细!$E244)</f>
        <v/>
      </c>
      <c r="B244">
        <f t="shared" si="132"/>
        <v>0</v>
      </c>
      <c r="C244">
        <f t="shared" si="133"/>
        <v>7</v>
      </c>
      <c r="D244" t="str">
        <f>IF(包装物料出入库明细!$E244="","",包装物料出入库明细!$F244)</f>
        <v/>
      </c>
      <c r="E244" t="str">
        <f>IF(包装物料出入库明细!$E244="","",包装物料出入库明细!$G244)</f>
        <v/>
      </c>
      <c r="K244" t="str">
        <f>IF(包装物料出入库明细!$D244="","",包装物料出入库明细!$D244)</f>
        <v/>
      </c>
      <c r="L244">
        <f t="shared" si="134"/>
        <v>0</v>
      </c>
      <c r="M244">
        <f t="shared" si="135"/>
        <v>9</v>
      </c>
      <c r="Q244" t="str">
        <f>IF(周转筐出入库明细!$D245="","",周转筐出入库明细!$D245)</f>
        <v/>
      </c>
      <c r="R244">
        <f t="shared" si="137"/>
        <v>0</v>
      </c>
      <c r="S244">
        <f t="shared" si="138"/>
        <v>5</v>
      </c>
      <c r="W244" t="str">
        <f>IF(周转筐出入库明细!$C245="","",周转筐出入库明细!$C245)</f>
        <v/>
      </c>
      <c r="X244">
        <f t="shared" si="139"/>
        <v>0</v>
      </c>
      <c r="Y244">
        <f t="shared" si="140"/>
        <v>12</v>
      </c>
      <c r="AC244" t="str">
        <f>IF(客户自备加工筐明细!$C244="","",客户自备加工筐明细!$C244)</f>
        <v/>
      </c>
      <c r="AD244">
        <f t="shared" si="142"/>
        <v>0</v>
      </c>
      <c r="AE244">
        <f t="shared" si="143"/>
        <v>1</v>
      </c>
      <c r="AI244" t="str">
        <f>IF(客户自备加工筐明细!$E244="","",客户自备加工筐明细!$E244)</f>
        <v/>
      </c>
      <c r="AJ244">
        <f t="shared" si="144"/>
        <v>0</v>
      </c>
      <c r="AK244">
        <f t="shared" si="145"/>
        <v>1</v>
      </c>
      <c r="AO244" t="str">
        <f>IF(次果筐明细!$D244="","",次果筐明细!$D244)</f>
        <v/>
      </c>
      <c r="AP244">
        <f t="shared" si="146"/>
        <v>0</v>
      </c>
      <c r="AQ244">
        <f t="shared" si="147"/>
        <v>1</v>
      </c>
      <c r="AU244" t="str">
        <f>IF(次果筐明细!$C244="","",次果筐明细!$C244)</f>
        <v/>
      </c>
      <c r="AV244">
        <f t="shared" si="148"/>
        <v>0</v>
      </c>
      <c r="AW244">
        <f t="shared" si="149"/>
        <v>1</v>
      </c>
      <c r="BA244" t="str">
        <f>IF(对接源_01水果筐数!$B245="","",对接源_01水果筐数!$B245)</f>
        <v/>
      </c>
      <c r="BB244">
        <f t="shared" si="151"/>
        <v>0</v>
      </c>
      <c r="BC244">
        <f t="shared" si="152"/>
        <v>14</v>
      </c>
      <c r="BE244" t="str">
        <f t="shared" si="153"/>
        <v/>
      </c>
      <c r="BG244" t="str">
        <f>IF(对接源_01水果筐数!$C245="","",对接源_01水果筐数!$C245)</f>
        <v/>
      </c>
      <c r="BH244">
        <f t="shared" si="154"/>
        <v>0</v>
      </c>
      <c r="BI244">
        <f t="shared" si="155"/>
        <v>7</v>
      </c>
      <c r="BS244" t="str">
        <f t="shared" si="170"/>
        <v/>
      </c>
      <c r="BT244">
        <f t="shared" si="157"/>
        <v>0</v>
      </c>
      <c r="BU244">
        <f t="shared" si="158"/>
        <v>14</v>
      </c>
      <c r="BW244" t="str">
        <f t="shared" si="159"/>
        <v/>
      </c>
      <c r="BY244" t="str">
        <f t="shared" si="171"/>
        <v/>
      </c>
      <c r="BZ244">
        <f t="shared" si="161"/>
        <v>0</v>
      </c>
      <c r="CA244">
        <f t="shared" si="162"/>
        <v>16</v>
      </c>
      <c r="CC244" t="str">
        <f t="shared" si="163"/>
        <v/>
      </c>
      <c r="CP244">
        <f>IF(包装物料出入库明细!$D244="",0,1)</f>
        <v>0</v>
      </c>
      <c r="CQ244">
        <f t="shared" si="167"/>
        <v>37</v>
      </c>
      <c r="CS244" t="str">
        <f>IF(OR(周转筐出入库明细!$C245="",周转筐出入库明细!$F245&lt;&gt;"采购入库"),"",周转筐出入库明细!$C245)</f>
        <v/>
      </c>
      <c r="CT244">
        <f t="shared" si="168"/>
        <v>0</v>
      </c>
      <c r="CU244">
        <f t="shared" si="169"/>
        <v>1</v>
      </c>
    </row>
    <row r="245" spans="1:99">
      <c r="A245" t="str">
        <f>IF(包装物料出入库明细!$E245="","",包装物料出入库明细!$E245)</f>
        <v/>
      </c>
      <c r="B245">
        <f t="shared" si="132"/>
        <v>0</v>
      </c>
      <c r="C245">
        <f t="shared" si="133"/>
        <v>7</v>
      </c>
      <c r="D245" t="str">
        <f>IF(包装物料出入库明细!$E245="","",包装物料出入库明细!$F245)</f>
        <v/>
      </c>
      <c r="E245" t="str">
        <f>IF(包装物料出入库明细!$E245="","",包装物料出入库明细!$G245)</f>
        <v/>
      </c>
      <c r="K245" t="str">
        <f>IF(包装物料出入库明细!$D245="","",包装物料出入库明细!$D245)</f>
        <v/>
      </c>
      <c r="L245">
        <f t="shared" si="134"/>
        <v>0</v>
      </c>
      <c r="M245">
        <f t="shared" si="135"/>
        <v>9</v>
      </c>
      <c r="Q245" t="str">
        <f>IF(周转筐出入库明细!$D246="","",周转筐出入库明细!$D246)</f>
        <v/>
      </c>
      <c r="R245">
        <f t="shared" si="137"/>
        <v>0</v>
      </c>
      <c r="S245">
        <f t="shared" si="138"/>
        <v>5</v>
      </c>
      <c r="W245" t="str">
        <f>IF(周转筐出入库明细!$C246="","",周转筐出入库明细!$C246)</f>
        <v/>
      </c>
      <c r="X245">
        <f t="shared" si="139"/>
        <v>0</v>
      </c>
      <c r="Y245">
        <f t="shared" si="140"/>
        <v>12</v>
      </c>
      <c r="AC245" t="str">
        <f>IF(客户自备加工筐明细!$C245="","",客户自备加工筐明细!$C245)</f>
        <v/>
      </c>
      <c r="AD245">
        <f t="shared" si="142"/>
        <v>0</v>
      </c>
      <c r="AE245">
        <f t="shared" si="143"/>
        <v>1</v>
      </c>
      <c r="AI245" t="str">
        <f>IF(客户自备加工筐明细!$E245="","",客户自备加工筐明细!$E245)</f>
        <v/>
      </c>
      <c r="AJ245">
        <f t="shared" si="144"/>
        <v>0</v>
      </c>
      <c r="AK245">
        <f t="shared" si="145"/>
        <v>1</v>
      </c>
      <c r="AO245" t="str">
        <f>IF(次果筐明细!$D245="","",次果筐明细!$D245)</f>
        <v/>
      </c>
      <c r="AP245">
        <f t="shared" si="146"/>
        <v>0</v>
      </c>
      <c r="AQ245">
        <f t="shared" si="147"/>
        <v>1</v>
      </c>
      <c r="AU245" t="str">
        <f>IF(次果筐明细!$C245="","",次果筐明细!$C245)</f>
        <v/>
      </c>
      <c r="AV245">
        <f t="shared" si="148"/>
        <v>0</v>
      </c>
      <c r="AW245">
        <f t="shared" si="149"/>
        <v>1</v>
      </c>
      <c r="BA245" t="str">
        <f>IF(对接源_01水果筐数!$B246="","",对接源_01水果筐数!$B246)</f>
        <v/>
      </c>
      <c r="BB245">
        <f t="shared" si="151"/>
        <v>0</v>
      </c>
      <c r="BC245">
        <f t="shared" si="152"/>
        <v>14</v>
      </c>
      <c r="BE245" t="str">
        <f t="shared" si="153"/>
        <v/>
      </c>
      <c r="BG245" t="str">
        <f>IF(对接源_01水果筐数!$C246="","",对接源_01水果筐数!$C246)</f>
        <v/>
      </c>
      <c r="BH245">
        <f t="shared" si="154"/>
        <v>0</v>
      </c>
      <c r="BI245">
        <f t="shared" si="155"/>
        <v>7</v>
      </c>
      <c r="BS245" t="str">
        <f t="shared" si="170"/>
        <v/>
      </c>
      <c r="BT245">
        <f t="shared" si="157"/>
        <v>0</v>
      </c>
      <c r="BU245">
        <f t="shared" si="158"/>
        <v>14</v>
      </c>
      <c r="BW245" t="str">
        <f t="shared" si="159"/>
        <v/>
      </c>
      <c r="BY245" t="str">
        <f t="shared" si="171"/>
        <v/>
      </c>
      <c r="BZ245">
        <f t="shared" si="161"/>
        <v>0</v>
      </c>
      <c r="CA245">
        <f t="shared" si="162"/>
        <v>16</v>
      </c>
      <c r="CC245" t="str">
        <f t="shared" si="163"/>
        <v/>
      </c>
      <c r="CP245">
        <f>IF(包装物料出入库明细!$D245="",0,1)</f>
        <v>0</v>
      </c>
      <c r="CQ245">
        <f t="shared" si="167"/>
        <v>37</v>
      </c>
      <c r="CS245" t="str">
        <f>IF(OR(周转筐出入库明细!$C246="",周转筐出入库明细!$F246&lt;&gt;"采购入库"),"",周转筐出入库明细!$C246)</f>
        <v/>
      </c>
      <c r="CT245">
        <f t="shared" si="168"/>
        <v>0</v>
      </c>
      <c r="CU245">
        <f t="shared" si="169"/>
        <v>1</v>
      </c>
    </row>
    <row r="246" spans="1:99">
      <c r="A246" t="str">
        <f>IF(包装物料出入库明细!$E246="","",包装物料出入库明细!$E246)</f>
        <v/>
      </c>
      <c r="B246">
        <f t="shared" si="132"/>
        <v>0</v>
      </c>
      <c r="C246">
        <f t="shared" si="133"/>
        <v>7</v>
      </c>
      <c r="D246" t="str">
        <f>IF(包装物料出入库明细!$E246="","",包装物料出入库明细!$F246)</f>
        <v/>
      </c>
      <c r="E246" t="str">
        <f>IF(包装物料出入库明细!$E246="","",包装物料出入库明细!$G246)</f>
        <v/>
      </c>
      <c r="K246" t="str">
        <f>IF(包装物料出入库明细!$D246="","",包装物料出入库明细!$D246)</f>
        <v/>
      </c>
      <c r="L246">
        <f t="shared" si="134"/>
        <v>0</v>
      </c>
      <c r="M246">
        <f t="shared" si="135"/>
        <v>9</v>
      </c>
      <c r="Q246" t="str">
        <f>IF(周转筐出入库明细!$D247="","",周转筐出入库明细!$D247)</f>
        <v/>
      </c>
      <c r="R246">
        <f t="shared" si="137"/>
        <v>0</v>
      </c>
      <c r="S246">
        <f t="shared" si="138"/>
        <v>5</v>
      </c>
      <c r="W246" t="str">
        <f>IF(周转筐出入库明细!$C247="","",周转筐出入库明细!$C247)</f>
        <v/>
      </c>
      <c r="X246">
        <f t="shared" si="139"/>
        <v>0</v>
      </c>
      <c r="Y246">
        <f t="shared" si="140"/>
        <v>12</v>
      </c>
      <c r="AC246" t="str">
        <f>IF(客户自备加工筐明细!$C246="","",客户自备加工筐明细!$C246)</f>
        <v/>
      </c>
      <c r="AD246">
        <f t="shared" si="142"/>
        <v>0</v>
      </c>
      <c r="AE246">
        <f t="shared" si="143"/>
        <v>1</v>
      </c>
      <c r="AI246" t="str">
        <f>IF(客户自备加工筐明细!$E246="","",客户自备加工筐明细!$E246)</f>
        <v/>
      </c>
      <c r="AJ246">
        <f t="shared" si="144"/>
        <v>0</v>
      </c>
      <c r="AK246">
        <f t="shared" si="145"/>
        <v>1</v>
      </c>
      <c r="AO246" t="str">
        <f>IF(次果筐明细!$D246="","",次果筐明细!$D246)</f>
        <v/>
      </c>
      <c r="AP246">
        <f t="shared" si="146"/>
        <v>0</v>
      </c>
      <c r="AQ246">
        <f t="shared" si="147"/>
        <v>1</v>
      </c>
      <c r="AU246" t="str">
        <f>IF(次果筐明细!$C246="","",次果筐明细!$C246)</f>
        <v/>
      </c>
      <c r="AV246">
        <f t="shared" si="148"/>
        <v>0</v>
      </c>
      <c r="AW246">
        <f t="shared" si="149"/>
        <v>1</v>
      </c>
      <c r="BA246" t="str">
        <f>IF(对接源_01水果筐数!$B247="","",对接源_01水果筐数!$B247)</f>
        <v/>
      </c>
      <c r="BB246">
        <f t="shared" si="151"/>
        <v>0</v>
      </c>
      <c r="BC246">
        <f t="shared" si="152"/>
        <v>14</v>
      </c>
      <c r="BE246" t="str">
        <f t="shared" si="153"/>
        <v/>
      </c>
      <c r="BG246" t="str">
        <f>IF(对接源_01水果筐数!$C247="","",对接源_01水果筐数!$C247)</f>
        <v/>
      </c>
      <c r="BH246">
        <f t="shared" si="154"/>
        <v>0</v>
      </c>
      <c r="BI246">
        <f t="shared" si="155"/>
        <v>7</v>
      </c>
      <c r="BS246" t="str">
        <f t="shared" si="170"/>
        <v/>
      </c>
      <c r="BT246">
        <f t="shared" si="157"/>
        <v>0</v>
      </c>
      <c r="BU246">
        <f t="shared" si="158"/>
        <v>14</v>
      </c>
      <c r="BW246" t="str">
        <f t="shared" si="159"/>
        <v/>
      </c>
      <c r="BY246" t="str">
        <f t="shared" si="171"/>
        <v/>
      </c>
      <c r="BZ246">
        <f t="shared" si="161"/>
        <v>0</v>
      </c>
      <c r="CA246">
        <f t="shared" si="162"/>
        <v>16</v>
      </c>
      <c r="CC246" t="str">
        <f t="shared" si="163"/>
        <v/>
      </c>
      <c r="CP246">
        <f>IF(包装物料出入库明细!$D246="",0,1)</f>
        <v>0</v>
      </c>
      <c r="CQ246">
        <f t="shared" si="167"/>
        <v>37</v>
      </c>
      <c r="CS246" t="str">
        <f>IF(OR(周转筐出入库明细!$C247="",周转筐出入库明细!$F247&lt;&gt;"采购入库"),"",周转筐出入库明细!$C247)</f>
        <v/>
      </c>
      <c r="CT246">
        <f t="shared" si="168"/>
        <v>0</v>
      </c>
      <c r="CU246">
        <f t="shared" si="169"/>
        <v>1</v>
      </c>
    </row>
    <row r="247" spans="1:99">
      <c r="A247" t="str">
        <f>IF(包装物料出入库明细!$E247="","",包装物料出入库明细!$E247)</f>
        <v/>
      </c>
      <c r="B247">
        <f t="shared" si="132"/>
        <v>0</v>
      </c>
      <c r="C247">
        <f t="shared" si="133"/>
        <v>7</v>
      </c>
      <c r="D247" t="str">
        <f>IF(包装物料出入库明细!$E247="","",包装物料出入库明细!$F247)</f>
        <v/>
      </c>
      <c r="E247" t="str">
        <f>IF(包装物料出入库明细!$E247="","",包装物料出入库明细!$G247)</f>
        <v/>
      </c>
      <c r="K247" t="str">
        <f>IF(包装物料出入库明细!$D247="","",包装物料出入库明细!$D247)</f>
        <v/>
      </c>
      <c r="L247">
        <f t="shared" si="134"/>
        <v>0</v>
      </c>
      <c r="M247">
        <f t="shared" si="135"/>
        <v>9</v>
      </c>
      <c r="Q247" t="str">
        <f>IF(周转筐出入库明细!$D248="","",周转筐出入库明细!$D248)</f>
        <v/>
      </c>
      <c r="R247">
        <f t="shared" si="137"/>
        <v>0</v>
      </c>
      <c r="S247">
        <f t="shared" si="138"/>
        <v>5</v>
      </c>
      <c r="W247" t="str">
        <f>IF(周转筐出入库明细!$C248="","",周转筐出入库明细!$C248)</f>
        <v/>
      </c>
      <c r="X247">
        <f t="shared" si="139"/>
        <v>0</v>
      </c>
      <c r="Y247">
        <f t="shared" si="140"/>
        <v>12</v>
      </c>
      <c r="AC247" t="str">
        <f>IF(客户自备加工筐明细!$C247="","",客户自备加工筐明细!$C247)</f>
        <v/>
      </c>
      <c r="AD247">
        <f t="shared" si="142"/>
        <v>0</v>
      </c>
      <c r="AE247">
        <f t="shared" si="143"/>
        <v>1</v>
      </c>
      <c r="AI247" t="str">
        <f>IF(客户自备加工筐明细!$E247="","",客户自备加工筐明细!$E247)</f>
        <v/>
      </c>
      <c r="AJ247">
        <f t="shared" si="144"/>
        <v>0</v>
      </c>
      <c r="AK247">
        <f t="shared" si="145"/>
        <v>1</v>
      </c>
      <c r="AO247" t="str">
        <f>IF(次果筐明细!$D247="","",次果筐明细!$D247)</f>
        <v/>
      </c>
      <c r="AP247">
        <f t="shared" si="146"/>
        <v>0</v>
      </c>
      <c r="AQ247">
        <f t="shared" si="147"/>
        <v>1</v>
      </c>
      <c r="AU247" t="str">
        <f>IF(次果筐明细!$C247="","",次果筐明细!$C247)</f>
        <v/>
      </c>
      <c r="AV247">
        <f t="shared" si="148"/>
        <v>0</v>
      </c>
      <c r="AW247">
        <f t="shared" si="149"/>
        <v>1</v>
      </c>
      <c r="BA247" t="str">
        <f>IF(对接源_01水果筐数!$B248="","",对接源_01水果筐数!$B248)</f>
        <v/>
      </c>
      <c r="BB247">
        <f t="shared" si="151"/>
        <v>0</v>
      </c>
      <c r="BC247">
        <f t="shared" si="152"/>
        <v>14</v>
      </c>
      <c r="BE247" t="str">
        <f t="shared" si="153"/>
        <v/>
      </c>
      <c r="BG247" t="str">
        <f>IF(对接源_01水果筐数!$C248="","",对接源_01水果筐数!$C248)</f>
        <v/>
      </c>
      <c r="BH247">
        <f t="shared" si="154"/>
        <v>0</v>
      </c>
      <c r="BI247">
        <f t="shared" si="155"/>
        <v>7</v>
      </c>
      <c r="BS247" t="str">
        <f t="shared" si="170"/>
        <v/>
      </c>
      <c r="BT247">
        <f t="shared" si="157"/>
        <v>0</v>
      </c>
      <c r="BU247">
        <f t="shared" si="158"/>
        <v>14</v>
      </c>
      <c r="BW247" t="str">
        <f t="shared" si="159"/>
        <v/>
      </c>
      <c r="BY247" t="str">
        <f t="shared" si="171"/>
        <v/>
      </c>
      <c r="BZ247">
        <f t="shared" si="161"/>
        <v>0</v>
      </c>
      <c r="CA247">
        <f t="shared" si="162"/>
        <v>16</v>
      </c>
      <c r="CC247" t="str">
        <f t="shared" si="163"/>
        <v/>
      </c>
      <c r="CP247">
        <f>IF(包装物料出入库明细!$D247="",0,1)</f>
        <v>0</v>
      </c>
      <c r="CQ247">
        <f t="shared" si="167"/>
        <v>37</v>
      </c>
      <c r="CS247" t="str">
        <f>IF(OR(周转筐出入库明细!$C248="",周转筐出入库明细!$F248&lt;&gt;"采购入库"),"",周转筐出入库明细!$C248)</f>
        <v/>
      </c>
      <c r="CT247">
        <f t="shared" si="168"/>
        <v>0</v>
      </c>
      <c r="CU247">
        <f t="shared" si="169"/>
        <v>1</v>
      </c>
    </row>
    <row r="248" spans="1:99">
      <c r="A248" t="str">
        <f>IF(包装物料出入库明细!$E248="","",包装物料出入库明细!$E248)</f>
        <v/>
      </c>
      <c r="B248">
        <f t="shared" si="132"/>
        <v>0</v>
      </c>
      <c r="C248">
        <f t="shared" si="133"/>
        <v>7</v>
      </c>
      <c r="D248" t="str">
        <f>IF(包装物料出入库明细!$E248="","",包装物料出入库明细!$F248)</f>
        <v/>
      </c>
      <c r="E248" t="str">
        <f>IF(包装物料出入库明细!$E248="","",包装物料出入库明细!$G248)</f>
        <v/>
      </c>
      <c r="K248" t="str">
        <f>IF(包装物料出入库明细!$D248="","",包装物料出入库明细!$D248)</f>
        <v/>
      </c>
      <c r="L248">
        <f t="shared" si="134"/>
        <v>0</v>
      </c>
      <c r="M248">
        <f t="shared" si="135"/>
        <v>9</v>
      </c>
      <c r="Q248" t="str">
        <f>IF(周转筐出入库明细!$D249="","",周转筐出入库明细!$D249)</f>
        <v/>
      </c>
      <c r="R248">
        <f t="shared" si="137"/>
        <v>0</v>
      </c>
      <c r="S248">
        <f t="shared" si="138"/>
        <v>5</v>
      </c>
      <c r="W248" t="str">
        <f>IF(周转筐出入库明细!$C249="","",周转筐出入库明细!$C249)</f>
        <v/>
      </c>
      <c r="X248">
        <f t="shared" si="139"/>
        <v>0</v>
      </c>
      <c r="Y248">
        <f t="shared" si="140"/>
        <v>12</v>
      </c>
      <c r="AC248" t="str">
        <f>IF(客户自备加工筐明细!$C248="","",客户自备加工筐明细!$C248)</f>
        <v/>
      </c>
      <c r="AD248">
        <f t="shared" si="142"/>
        <v>0</v>
      </c>
      <c r="AE248">
        <f t="shared" si="143"/>
        <v>1</v>
      </c>
      <c r="AI248" t="str">
        <f>IF(客户自备加工筐明细!$E248="","",客户自备加工筐明细!$E248)</f>
        <v/>
      </c>
      <c r="AJ248">
        <f t="shared" si="144"/>
        <v>0</v>
      </c>
      <c r="AK248">
        <f t="shared" si="145"/>
        <v>1</v>
      </c>
      <c r="AO248" t="str">
        <f>IF(次果筐明细!$D248="","",次果筐明细!$D248)</f>
        <v/>
      </c>
      <c r="AP248">
        <f t="shared" si="146"/>
        <v>0</v>
      </c>
      <c r="AQ248">
        <f t="shared" si="147"/>
        <v>1</v>
      </c>
      <c r="AU248" t="str">
        <f>IF(次果筐明细!$C248="","",次果筐明细!$C248)</f>
        <v/>
      </c>
      <c r="AV248">
        <f t="shared" si="148"/>
        <v>0</v>
      </c>
      <c r="AW248">
        <f t="shared" si="149"/>
        <v>1</v>
      </c>
      <c r="BA248" t="str">
        <f>IF(对接源_01水果筐数!$B249="","",对接源_01水果筐数!$B249)</f>
        <v/>
      </c>
      <c r="BB248">
        <f t="shared" si="151"/>
        <v>0</v>
      </c>
      <c r="BC248">
        <f t="shared" si="152"/>
        <v>14</v>
      </c>
      <c r="BE248" t="str">
        <f t="shared" si="153"/>
        <v/>
      </c>
      <c r="BG248" t="str">
        <f>IF(对接源_01水果筐数!$C249="","",对接源_01水果筐数!$C249)</f>
        <v/>
      </c>
      <c r="BH248">
        <f t="shared" si="154"/>
        <v>0</v>
      </c>
      <c r="BI248">
        <f t="shared" si="155"/>
        <v>7</v>
      </c>
      <c r="BS248" t="str">
        <f t="shared" si="170"/>
        <v/>
      </c>
      <c r="BT248">
        <f t="shared" si="157"/>
        <v>0</v>
      </c>
      <c r="BU248">
        <f t="shared" si="158"/>
        <v>14</v>
      </c>
      <c r="BW248" t="str">
        <f t="shared" si="159"/>
        <v/>
      </c>
      <c r="BY248" t="str">
        <f t="shared" si="171"/>
        <v/>
      </c>
      <c r="BZ248">
        <f t="shared" si="161"/>
        <v>0</v>
      </c>
      <c r="CA248">
        <f t="shared" si="162"/>
        <v>16</v>
      </c>
      <c r="CC248" t="str">
        <f t="shared" si="163"/>
        <v/>
      </c>
      <c r="CP248">
        <f>IF(包装物料出入库明细!$D248="",0,1)</f>
        <v>0</v>
      </c>
      <c r="CQ248">
        <f t="shared" si="167"/>
        <v>37</v>
      </c>
      <c r="CS248" t="str">
        <f>IF(OR(周转筐出入库明细!$C249="",周转筐出入库明细!$F249&lt;&gt;"采购入库"),"",周转筐出入库明细!$C249)</f>
        <v/>
      </c>
      <c r="CT248">
        <f t="shared" si="168"/>
        <v>0</v>
      </c>
      <c r="CU248">
        <f t="shared" si="169"/>
        <v>1</v>
      </c>
    </row>
    <row r="249" spans="1:99">
      <c r="A249" t="str">
        <f>IF(包装物料出入库明细!$E249="","",包装物料出入库明细!$E249)</f>
        <v/>
      </c>
      <c r="B249">
        <f t="shared" si="132"/>
        <v>0</v>
      </c>
      <c r="C249">
        <f t="shared" si="133"/>
        <v>7</v>
      </c>
      <c r="D249" t="str">
        <f>IF(包装物料出入库明细!$E249="","",包装物料出入库明细!$F249)</f>
        <v/>
      </c>
      <c r="E249" t="str">
        <f>IF(包装物料出入库明细!$E249="","",包装物料出入库明细!$G249)</f>
        <v/>
      </c>
      <c r="K249" t="str">
        <f>IF(包装物料出入库明细!$D249="","",包装物料出入库明细!$D249)</f>
        <v/>
      </c>
      <c r="L249">
        <f t="shared" si="134"/>
        <v>0</v>
      </c>
      <c r="M249">
        <f t="shared" si="135"/>
        <v>9</v>
      </c>
      <c r="Q249" t="str">
        <f>IF(周转筐出入库明细!$D250="","",周转筐出入库明细!$D250)</f>
        <v/>
      </c>
      <c r="R249">
        <f t="shared" si="137"/>
        <v>0</v>
      </c>
      <c r="S249">
        <f t="shared" si="138"/>
        <v>5</v>
      </c>
      <c r="W249" t="str">
        <f>IF(周转筐出入库明细!$C250="","",周转筐出入库明细!$C250)</f>
        <v/>
      </c>
      <c r="X249">
        <f t="shared" si="139"/>
        <v>0</v>
      </c>
      <c r="Y249">
        <f t="shared" si="140"/>
        <v>12</v>
      </c>
      <c r="AC249" t="str">
        <f>IF(客户自备加工筐明细!$C249="","",客户自备加工筐明细!$C249)</f>
        <v/>
      </c>
      <c r="AD249">
        <f t="shared" si="142"/>
        <v>0</v>
      </c>
      <c r="AE249">
        <f t="shared" si="143"/>
        <v>1</v>
      </c>
      <c r="AI249" t="str">
        <f>IF(客户自备加工筐明细!$E249="","",客户自备加工筐明细!$E249)</f>
        <v/>
      </c>
      <c r="AJ249">
        <f t="shared" si="144"/>
        <v>0</v>
      </c>
      <c r="AK249">
        <f t="shared" si="145"/>
        <v>1</v>
      </c>
      <c r="AO249" t="str">
        <f>IF(次果筐明细!$D249="","",次果筐明细!$D249)</f>
        <v/>
      </c>
      <c r="AP249">
        <f t="shared" si="146"/>
        <v>0</v>
      </c>
      <c r="AQ249">
        <f t="shared" si="147"/>
        <v>1</v>
      </c>
      <c r="AU249" t="str">
        <f>IF(次果筐明细!$C249="","",次果筐明细!$C249)</f>
        <v/>
      </c>
      <c r="AV249">
        <f t="shared" si="148"/>
        <v>0</v>
      </c>
      <c r="AW249">
        <f t="shared" si="149"/>
        <v>1</v>
      </c>
      <c r="BA249" t="str">
        <f>IF(对接源_01水果筐数!$B250="","",对接源_01水果筐数!$B250)</f>
        <v/>
      </c>
      <c r="BB249">
        <f t="shared" si="151"/>
        <v>0</v>
      </c>
      <c r="BC249">
        <f t="shared" si="152"/>
        <v>14</v>
      </c>
      <c r="BE249" t="str">
        <f t="shared" si="153"/>
        <v/>
      </c>
      <c r="BG249" t="str">
        <f>IF(对接源_01水果筐数!$C250="","",对接源_01水果筐数!$C250)</f>
        <v/>
      </c>
      <c r="BH249">
        <f t="shared" si="154"/>
        <v>0</v>
      </c>
      <c r="BI249">
        <f t="shared" si="155"/>
        <v>7</v>
      </c>
      <c r="BS249" t="str">
        <f t="shared" si="170"/>
        <v/>
      </c>
      <c r="BT249">
        <f t="shared" si="157"/>
        <v>0</v>
      </c>
      <c r="BU249">
        <f t="shared" si="158"/>
        <v>14</v>
      </c>
      <c r="BW249" t="str">
        <f t="shared" si="159"/>
        <v/>
      </c>
      <c r="BY249" t="str">
        <f t="shared" si="171"/>
        <v/>
      </c>
      <c r="BZ249">
        <f t="shared" si="161"/>
        <v>0</v>
      </c>
      <c r="CA249">
        <f t="shared" si="162"/>
        <v>16</v>
      </c>
      <c r="CC249" t="str">
        <f t="shared" si="163"/>
        <v/>
      </c>
      <c r="CP249">
        <f>IF(包装物料出入库明细!$D249="",0,1)</f>
        <v>0</v>
      </c>
      <c r="CQ249">
        <f t="shared" si="167"/>
        <v>37</v>
      </c>
      <c r="CS249" t="str">
        <f>IF(OR(周转筐出入库明细!$C250="",周转筐出入库明细!$F250&lt;&gt;"采购入库"),"",周转筐出入库明细!$C250)</f>
        <v/>
      </c>
      <c r="CT249">
        <f t="shared" si="168"/>
        <v>0</v>
      </c>
      <c r="CU249">
        <f t="shared" si="169"/>
        <v>1</v>
      </c>
    </row>
    <row r="250" spans="1:99">
      <c r="A250" t="str">
        <f>IF(包装物料出入库明细!$E250="","",包装物料出入库明细!$E250)</f>
        <v/>
      </c>
      <c r="B250">
        <f t="shared" si="132"/>
        <v>0</v>
      </c>
      <c r="C250">
        <f t="shared" si="133"/>
        <v>7</v>
      </c>
      <c r="D250" t="str">
        <f>IF(包装物料出入库明细!$E250="","",包装物料出入库明细!$F250)</f>
        <v/>
      </c>
      <c r="E250" t="str">
        <f>IF(包装物料出入库明细!$E250="","",包装物料出入库明细!$G250)</f>
        <v/>
      </c>
      <c r="K250" t="str">
        <f>IF(包装物料出入库明细!$D250="","",包装物料出入库明细!$D250)</f>
        <v/>
      </c>
      <c r="L250">
        <f t="shared" si="134"/>
        <v>0</v>
      </c>
      <c r="M250">
        <f t="shared" si="135"/>
        <v>9</v>
      </c>
      <c r="Q250" t="str">
        <f>IF(周转筐出入库明细!$D251="","",周转筐出入库明细!$D251)</f>
        <v/>
      </c>
      <c r="R250">
        <f t="shared" si="137"/>
        <v>0</v>
      </c>
      <c r="S250">
        <f t="shared" si="138"/>
        <v>5</v>
      </c>
      <c r="W250" t="str">
        <f>IF(周转筐出入库明细!$C251="","",周转筐出入库明细!$C251)</f>
        <v/>
      </c>
      <c r="X250">
        <f t="shared" si="139"/>
        <v>0</v>
      </c>
      <c r="Y250">
        <f t="shared" si="140"/>
        <v>12</v>
      </c>
      <c r="AC250" t="str">
        <f>IF(客户自备加工筐明细!$C250="","",客户自备加工筐明细!$C250)</f>
        <v/>
      </c>
      <c r="AD250">
        <f t="shared" si="142"/>
        <v>0</v>
      </c>
      <c r="AE250">
        <f t="shared" si="143"/>
        <v>1</v>
      </c>
      <c r="AI250" t="str">
        <f>IF(客户自备加工筐明细!$E250="","",客户自备加工筐明细!$E250)</f>
        <v/>
      </c>
      <c r="AJ250">
        <f t="shared" si="144"/>
        <v>0</v>
      </c>
      <c r="AK250">
        <f t="shared" si="145"/>
        <v>1</v>
      </c>
      <c r="AO250" t="str">
        <f>IF(次果筐明细!$D250="","",次果筐明细!$D250)</f>
        <v/>
      </c>
      <c r="AP250">
        <f t="shared" si="146"/>
        <v>0</v>
      </c>
      <c r="AQ250">
        <f t="shared" si="147"/>
        <v>1</v>
      </c>
      <c r="AU250" t="str">
        <f>IF(次果筐明细!$C250="","",次果筐明细!$C250)</f>
        <v/>
      </c>
      <c r="AV250">
        <f t="shared" si="148"/>
        <v>0</v>
      </c>
      <c r="AW250">
        <f t="shared" si="149"/>
        <v>1</v>
      </c>
      <c r="BA250" t="str">
        <f>IF(对接源_01水果筐数!$B251="","",对接源_01水果筐数!$B251)</f>
        <v/>
      </c>
      <c r="BB250">
        <f t="shared" si="151"/>
        <v>0</v>
      </c>
      <c r="BC250">
        <f t="shared" si="152"/>
        <v>14</v>
      </c>
      <c r="BE250" t="str">
        <f t="shared" si="153"/>
        <v/>
      </c>
      <c r="BG250" t="str">
        <f>IF(对接源_01水果筐数!$C251="","",对接源_01水果筐数!$C251)</f>
        <v/>
      </c>
      <c r="BH250">
        <f t="shared" si="154"/>
        <v>0</v>
      </c>
      <c r="BI250">
        <f t="shared" si="155"/>
        <v>7</v>
      </c>
      <c r="BS250" t="str">
        <f t="shared" si="170"/>
        <v/>
      </c>
      <c r="BT250">
        <f t="shared" si="157"/>
        <v>0</v>
      </c>
      <c r="BU250">
        <f t="shared" si="158"/>
        <v>14</v>
      </c>
      <c r="BW250" t="str">
        <f t="shared" si="159"/>
        <v/>
      </c>
      <c r="BY250" t="str">
        <f t="shared" si="171"/>
        <v/>
      </c>
      <c r="BZ250">
        <f t="shared" si="161"/>
        <v>0</v>
      </c>
      <c r="CA250">
        <f t="shared" si="162"/>
        <v>16</v>
      </c>
      <c r="CC250" t="str">
        <f t="shared" si="163"/>
        <v/>
      </c>
      <c r="CP250">
        <f>IF(包装物料出入库明细!$D250="",0,1)</f>
        <v>0</v>
      </c>
      <c r="CQ250">
        <f t="shared" si="167"/>
        <v>37</v>
      </c>
      <c r="CS250" t="str">
        <f>IF(OR(周转筐出入库明细!$C251="",周转筐出入库明细!$F251&lt;&gt;"采购入库"),"",周转筐出入库明细!$C251)</f>
        <v/>
      </c>
      <c r="CT250">
        <f t="shared" si="168"/>
        <v>0</v>
      </c>
      <c r="CU250">
        <f t="shared" si="169"/>
        <v>1</v>
      </c>
    </row>
    <row r="251" spans="1:99">
      <c r="A251" t="str">
        <f>IF(包装物料出入库明细!$E251="","",包装物料出入库明细!$E251)</f>
        <v/>
      </c>
      <c r="B251">
        <f t="shared" si="132"/>
        <v>0</v>
      </c>
      <c r="C251">
        <f t="shared" si="133"/>
        <v>7</v>
      </c>
      <c r="D251" t="str">
        <f>IF(包装物料出入库明细!$E251="","",包装物料出入库明细!$F251)</f>
        <v/>
      </c>
      <c r="E251" t="str">
        <f>IF(包装物料出入库明细!$E251="","",包装物料出入库明细!$G251)</f>
        <v/>
      </c>
      <c r="K251" t="str">
        <f>IF(包装物料出入库明细!$D251="","",包装物料出入库明细!$D251)</f>
        <v/>
      </c>
      <c r="L251">
        <f t="shared" si="134"/>
        <v>0</v>
      </c>
      <c r="M251">
        <f t="shared" si="135"/>
        <v>9</v>
      </c>
      <c r="Q251" t="str">
        <f>IF(周转筐出入库明细!$D252="","",周转筐出入库明细!$D252)</f>
        <v/>
      </c>
      <c r="R251">
        <f t="shared" si="137"/>
        <v>0</v>
      </c>
      <c r="S251">
        <f t="shared" si="138"/>
        <v>5</v>
      </c>
      <c r="W251" t="str">
        <f>IF(周转筐出入库明细!$C252="","",周转筐出入库明细!$C252)</f>
        <v/>
      </c>
      <c r="X251">
        <f t="shared" si="139"/>
        <v>0</v>
      </c>
      <c r="Y251">
        <f t="shared" si="140"/>
        <v>12</v>
      </c>
      <c r="AC251" t="str">
        <f>IF(客户自备加工筐明细!$C251="","",客户自备加工筐明细!$C251)</f>
        <v/>
      </c>
      <c r="AD251">
        <f t="shared" si="142"/>
        <v>0</v>
      </c>
      <c r="AE251">
        <f t="shared" si="143"/>
        <v>1</v>
      </c>
      <c r="AI251" t="str">
        <f>IF(客户自备加工筐明细!$E251="","",客户自备加工筐明细!$E251)</f>
        <v/>
      </c>
      <c r="AJ251">
        <f t="shared" si="144"/>
        <v>0</v>
      </c>
      <c r="AK251">
        <f t="shared" si="145"/>
        <v>1</v>
      </c>
      <c r="AO251" t="str">
        <f>IF(次果筐明细!$D251="","",次果筐明细!$D251)</f>
        <v/>
      </c>
      <c r="AP251">
        <f t="shared" si="146"/>
        <v>0</v>
      </c>
      <c r="AQ251">
        <f t="shared" si="147"/>
        <v>1</v>
      </c>
      <c r="AU251" t="str">
        <f>IF(次果筐明细!$C251="","",次果筐明细!$C251)</f>
        <v/>
      </c>
      <c r="AV251">
        <f t="shared" si="148"/>
        <v>0</v>
      </c>
      <c r="AW251">
        <f t="shared" si="149"/>
        <v>1</v>
      </c>
      <c r="BA251" t="str">
        <f>IF(对接源_01水果筐数!$B252="","",对接源_01水果筐数!$B252)</f>
        <v/>
      </c>
      <c r="BB251">
        <f t="shared" si="151"/>
        <v>0</v>
      </c>
      <c r="BC251">
        <f t="shared" si="152"/>
        <v>14</v>
      </c>
      <c r="BE251" t="str">
        <f t="shared" si="153"/>
        <v/>
      </c>
      <c r="BG251" t="str">
        <f>IF(对接源_01水果筐数!$C252="","",对接源_01水果筐数!$C252)</f>
        <v/>
      </c>
      <c r="BH251">
        <f t="shared" si="154"/>
        <v>0</v>
      </c>
      <c r="BI251">
        <f t="shared" si="155"/>
        <v>7</v>
      </c>
      <c r="BS251" t="str">
        <f t="shared" si="170"/>
        <v/>
      </c>
      <c r="BT251">
        <f t="shared" si="157"/>
        <v>0</v>
      </c>
      <c r="BU251">
        <f t="shared" si="158"/>
        <v>14</v>
      </c>
      <c r="BW251" t="str">
        <f t="shared" si="159"/>
        <v/>
      </c>
      <c r="BY251" t="str">
        <f t="shared" si="171"/>
        <v/>
      </c>
      <c r="BZ251">
        <f t="shared" si="161"/>
        <v>0</v>
      </c>
      <c r="CA251">
        <f t="shared" si="162"/>
        <v>16</v>
      </c>
      <c r="CC251" t="str">
        <f t="shared" si="163"/>
        <v/>
      </c>
      <c r="CP251">
        <f>IF(包装物料出入库明细!$D251="",0,1)</f>
        <v>0</v>
      </c>
      <c r="CQ251">
        <f t="shared" si="167"/>
        <v>37</v>
      </c>
      <c r="CS251" t="str">
        <f>IF(OR(周转筐出入库明细!$C252="",周转筐出入库明细!$F252&lt;&gt;"采购入库"),"",周转筐出入库明细!$C252)</f>
        <v/>
      </c>
      <c r="CT251">
        <f t="shared" si="168"/>
        <v>0</v>
      </c>
      <c r="CU251">
        <f t="shared" si="169"/>
        <v>1</v>
      </c>
    </row>
    <row r="252" spans="1:99">
      <c r="A252" t="str">
        <f>IF(包装物料出入库明细!$E252="","",包装物料出入库明细!$E252)</f>
        <v/>
      </c>
      <c r="B252">
        <f t="shared" si="132"/>
        <v>0</v>
      </c>
      <c r="C252">
        <f t="shared" si="133"/>
        <v>7</v>
      </c>
      <c r="D252" t="str">
        <f>IF(包装物料出入库明细!$E252="","",包装物料出入库明细!$F252)</f>
        <v/>
      </c>
      <c r="E252" t="str">
        <f>IF(包装物料出入库明细!$E252="","",包装物料出入库明细!$G252)</f>
        <v/>
      </c>
      <c r="K252" t="str">
        <f>IF(包装物料出入库明细!$D252="","",包装物料出入库明细!$D252)</f>
        <v/>
      </c>
      <c r="L252">
        <f t="shared" si="134"/>
        <v>0</v>
      </c>
      <c r="M252">
        <f t="shared" si="135"/>
        <v>9</v>
      </c>
      <c r="Q252" t="str">
        <f>IF(周转筐出入库明细!$D253="","",周转筐出入库明细!$D253)</f>
        <v/>
      </c>
      <c r="R252">
        <f t="shared" si="137"/>
        <v>0</v>
      </c>
      <c r="S252">
        <f t="shared" si="138"/>
        <v>5</v>
      </c>
      <c r="W252" t="str">
        <f>IF(周转筐出入库明细!$C253="","",周转筐出入库明细!$C253)</f>
        <v/>
      </c>
      <c r="X252">
        <f t="shared" si="139"/>
        <v>0</v>
      </c>
      <c r="Y252">
        <f t="shared" si="140"/>
        <v>12</v>
      </c>
      <c r="AC252" t="str">
        <f>IF(客户自备加工筐明细!$C252="","",客户自备加工筐明细!$C252)</f>
        <v/>
      </c>
      <c r="AD252">
        <f t="shared" si="142"/>
        <v>0</v>
      </c>
      <c r="AE252">
        <f t="shared" si="143"/>
        <v>1</v>
      </c>
      <c r="AI252" t="str">
        <f>IF(客户自备加工筐明细!$E252="","",客户自备加工筐明细!$E252)</f>
        <v/>
      </c>
      <c r="AJ252">
        <f t="shared" si="144"/>
        <v>0</v>
      </c>
      <c r="AK252">
        <f t="shared" si="145"/>
        <v>1</v>
      </c>
      <c r="AO252" t="str">
        <f>IF(次果筐明细!$D252="","",次果筐明细!$D252)</f>
        <v/>
      </c>
      <c r="AP252">
        <f t="shared" si="146"/>
        <v>0</v>
      </c>
      <c r="AQ252">
        <f t="shared" si="147"/>
        <v>1</v>
      </c>
      <c r="AU252" t="str">
        <f>IF(次果筐明细!$C252="","",次果筐明细!$C252)</f>
        <v/>
      </c>
      <c r="AV252">
        <f t="shared" si="148"/>
        <v>0</v>
      </c>
      <c r="AW252">
        <f t="shared" si="149"/>
        <v>1</v>
      </c>
      <c r="BA252" t="str">
        <f>IF(对接源_01水果筐数!$B253="","",对接源_01水果筐数!$B253)</f>
        <v/>
      </c>
      <c r="BB252">
        <f t="shared" si="151"/>
        <v>0</v>
      </c>
      <c r="BC252">
        <f t="shared" si="152"/>
        <v>14</v>
      </c>
      <c r="BE252" t="str">
        <f t="shared" si="153"/>
        <v/>
      </c>
      <c r="BG252" t="str">
        <f>IF(对接源_01水果筐数!$C253="","",对接源_01水果筐数!$C253)</f>
        <v/>
      </c>
      <c r="BH252">
        <f t="shared" si="154"/>
        <v>0</v>
      </c>
      <c r="BI252">
        <f t="shared" si="155"/>
        <v>7</v>
      </c>
      <c r="BS252" t="str">
        <f t="shared" si="170"/>
        <v/>
      </c>
      <c r="BT252">
        <f t="shared" si="157"/>
        <v>0</v>
      </c>
      <c r="BU252">
        <f t="shared" si="158"/>
        <v>14</v>
      </c>
      <c r="BW252" t="str">
        <f t="shared" si="159"/>
        <v/>
      </c>
      <c r="BY252" t="str">
        <f t="shared" si="171"/>
        <v/>
      </c>
      <c r="BZ252">
        <f t="shared" si="161"/>
        <v>0</v>
      </c>
      <c r="CA252">
        <f t="shared" si="162"/>
        <v>16</v>
      </c>
      <c r="CC252" t="str">
        <f t="shared" si="163"/>
        <v/>
      </c>
      <c r="CP252">
        <f>IF(包装物料出入库明细!$D252="",0,1)</f>
        <v>0</v>
      </c>
      <c r="CQ252">
        <f t="shared" si="167"/>
        <v>37</v>
      </c>
      <c r="CS252" t="str">
        <f>IF(OR(周转筐出入库明细!$C253="",周转筐出入库明细!$F253&lt;&gt;"采购入库"),"",周转筐出入库明细!$C253)</f>
        <v/>
      </c>
      <c r="CT252">
        <f t="shared" si="168"/>
        <v>0</v>
      </c>
      <c r="CU252">
        <f t="shared" si="169"/>
        <v>1</v>
      </c>
    </row>
    <row r="253" spans="1:99">
      <c r="A253" t="str">
        <f>IF(包装物料出入库明细!$E253="","",包装物料出入库明细!$E253)</f>
        <v/>
      </c>
      <c r="B253">
        <f t="shared" si="132"/>
        <v>0</v>
      </c>
      <c r="C253">
        <f t="shared" si="133"/>
        <v>7</v>
      </c>
      <c r="D253" t="str">
        <f>IF(包装物料出入库明细!$E253="","",包装物料出入库明细!$F253)</f>
        <v/>
      </c>
      <c r="E253" t="str">
        <f>IF(包装物料出入库明细!$E253="","",包装物料出入库明细!$G253)</f>
        <v/>
      </c>
      <c r="K253" t="str">
        <f>IF(包装物料出入库明细!$D253="","",包装物料出入库明细!$D253)</f>
        <v/>
      </c>
      <c r="L253">
        <f t="shared" si="134"/>
        <v>0</v>
      </c>
      <c r="M253">
        <f t="shared" si="135"/>
        <v>9</v>
      </c>
      <c r="Q253" t="str">
        <f>IF(周转筐出入库明细!$D254="","",周转筐出入库明细!$D254)</f>
        <v/>
      </c>
      <c r="R253">
        <f t="shared" si="137"/>
        <v>0</v>
      </c>
      <c r="S253">
        <f t="shared" si="138"/>
        <v>5</v>
      </c>
      <c r="W253" t="str">
        <f>IF(周转筐出入库明细!$C254="","",周转筐出入库明细!$C254)</f>
        <v/>
      </c>
      <c r="X253">
        <f t="shared" si="139"/>
        <v>0</v>
      </c>
      <c r="Y253">
        <f t="shared" si="140"/>
        <v>12</v>
      </c>
      <c r="AC253" t="str">
        <f>IF(客户自备加工筐明细!$C253="","",客户自备加工筐明细!$C253)</f>
        <v/>
      </c>
      <c r="AD253">
        <f t="shared" si="142"/>
        <v>0</v>
      </c>
      <c r="AE253">
        <f t="shared" si="143"/>
        <v>1</v>
      </c>
      <c r="AI253" t="str">
        <f>IF(客户自备加工筐明细!$E253="","",客户自备加工筐明细!$E253)</f>
        <v/>
      </c>
      <c r="AJ253">
        <f t="shared" si="144"/>
        <v>0</v>
      </c>
      <c r="AK253">
        <f t="shared" si="145"/>
        <v>1</v>
      </c>
      <c r="AO253" t="str">
        <f>IF(次果筐明细!$D253="","",次果筐明细!$D253)</f>
        <v/>
      </c>
      <c r="AP253">
        <f t="shared" si="146"/>
        <v>0</v>
      </c>
      <c r="AQ253">
        <f t="shared" si="147"/>
        <v>1</v>
      </c>
      <c r="AU253" t="str">
        <f>IF(次果筐明细!$C253="","",次果筐明细!$C253)</f>
        <v/>
      </c>
      <c r="AV253">
        <f t="shared" si="148"/>
        <v>0</v>
      </c>
      <c r="AW253">
        <f t="shared" si="149"/>
        <v>1</v>
      </c>
      <c r="BA253" t="str">
        <f>IF(对接源_01水果筐数!$B254="","",对接源_01水果筐数!$B254)</f>
        <v/>
      </c>
      <c r="BB253">
        <f t="shared" si="151"/>
        <v>0</v>
      </c>
      <c r="BC253">
        <f t="shared" si="152"/>
        <v>14</v>
      </c>
      <c r="BE253" t="str">
        <f t="shared" si="153"/>
        <v/>
      </c>
      <c r="BG253" t="str">
        <f>IF(对接源_01水果筐数!$C254="","",对接源_01水果筐数!$C254)</f>
        <v/>
      </c>
      <c r="BH253">
        <f t="shared" si="154"/>
        <v>0</v>
      </c>
      <c r="BI253">
        <f t="shared" si="155"/>
        <v>7</v>
      </c>
      <c r="BS253" t="str">
        <f t="shared" si="170"/>
        <v/>
      </c>
      <c r="BT253">
        <f t="shared" si="157"/>
        <v>0</v>
      </c>
      <c r="BU253">
        <f t="shared" si="158"/>
        <v>14</v>
      </c>
      <c r="BW253" t="str">
        <f t="shared" si="159"/>
        <v/>
      </c>
      <c r="BY253" t="str">
        <f t="shared" si="171"/>
        <v/>
      </c>
      <c r="BZ253">
        <f t="shared" si="161"/>
        <v>0</v>
      </c>
      <c r="CA253">
        <f t="shared" si="162"/>
        <v>16</v>
      </c>
      <c r="CC253" t="str">
        <f t="shared" si="163"/>
        <v/>
      </c>
      <c r="CP253">
        <f>IF(包装物料出入库明细!$D253="",0,1)</f>
        <v>0</v>
      </c>
      <c r="CQ253">
        <f t="shared" si="167"/>
        <v>37</v>
      </c>
      <c r="CS253" t="str">
        <f>IF(OR(周转筐出入库明细!$C254="",周转筐出入库明细!$F254&lt;&gt;"采购入库"),"",周转筐出入库明细!$C254)</f>
        <v/>
      </c>
      <c r="CT253">
        <f t="shared" si="168"/>
        <v>0</v>
      </c>
      <c r="CU253">
        <f t="shared" si="169"/>
        <v>1</v>
      </c>
    </row>
    <row r="254" spans="1:99">
      <c r="A254" t="str">
        <f>IF(包装物料出入库明细!$E254="","",包装物料出入库明细!$E254)</f>
        <v/>
      </c>
      <c r="B254">
        <f t="shared" si="132"/>
        <v>0</v>
      </c>
      <c r="C254">
        <f t="shared" si="133"/>
        <v>7</v>
      </c>
      <c r="D254" t="str">
        <f>IF(包装物料出入库明细!$E254="","",包装物料出入库明细!$F254)</f>
        <v/>
      </c>
      <c r="E254" t="str">
        <f>IF(包装物料出入库明细!$E254="","",包装物料出入库明细!$G254)</f>
        <v/>
      </c>
      <c r="K254" t="str">
        <f>IF(包装物料出入库明细!$D254="","",包装物料出入库明细!$D254)</f>
        <v/>
      </c>
      <c r="L254">
        <f t="shared" si="134"/>
        <v>0</v>
      </c>
      <c r="M254">
        <f t="shared" si="135"/>
        <v>9</v>
      </c>
      <c r="Q254" t="str">
        <f>IF(周转筐出入库明细!$D255="","",周转筐出入库明细!$D255)</f>
        <v/>
      </c>
      <c r="R254">
        <f t="shared" si="137"/>
        <v>0</v>
      </c>
      <c r="S254">
        <f t="shared" si="138"/>
        <v>5</v>
      </c>
      <c r="W254" t="str">
        <f>IF(周转筐出入库明细!$C255="","",周转筐出入库明细!$C255)</f>
        <v/>
      </c>
      <c r="X254">
        <f t="shared" si="139"/>
        <v>0</v>
      </c>
      <c r="Y254">
        <f t="shared" si="140"/>
        <v>12</v>
      </c>
      <c r="AC254" t="str">
        <f>IF(客户自备加工筐明细!$C254="","",客户自备加工筐明细!$C254)</f>
        <v/>
      </c>
      <c r="AD254">
        <f t="shared" si="142"/>
        <v>0</v>
      </c>
      <c r="AE254">
        <f t="shared" si="143"/>
        <v>1</v>
      </c>
      <c r="AI254" t="str">
        <f>IF(客户自备加工筐明细!$E254="","",客户自备加工筐明细!$E254)</f>
        <v/>
      </c>
      <c r="AJ254">
        <f t="shared" si="144"/>
        <v>0</v>
      </c>
      <c r="AK254">
        <f t="shared" si="145"/>
        <v>1</v>
      </c>
      <c r="AO254" t="str">
        <f>IF(次果筐明细!$D254="","",次果筐明细!$D254)</f>
        <v/>
      </c>
      <c r="AP254">
        <f t="shared" si="146"/>
        <v>0</v>
      </c>
      <c r="AQ254">
        <f t="shared" si="147"/>
        <v>1</v>
      </c>
      <c r="AU254" t="str">
        <f>IF(次果筐明细!$C254="","",次果筐明细!$C254)</f>
        <v/>
      </c>
      <c r="AV254">
        <f t="shared" si="148"/>
        <v>0</v>
      </c>
      <c r="AW254">
        <f t="shared" si="149"/>
        <v>1</v>
      </c>
      <c r="BA254" t="str">
        <f>IF(对接源_01水果筐数!$B255="","",对接源_01水果筐数!$B255)</f>
        <v/>
      </c>
      <c r="BB254">
        <f t="shared" si="151"/>
        <v>0</v>
      </c>
      <c r="BC254">
        <f t="shared" si="152"/>
        <v>14</v>
      </c>
      <c r="BE254" t="str">
        <f t="shared" si="153"/>
        <v/>
      </c>
      <c r="BG254" t="str">
        <f>IF(对接源_01水果筐数!$C255="","",对接源_01水果筐数!$C255)</f>
        <v/>
      </c>
      <c r="BH254">
        <f t="shared" si="154"/>
        <v>0</v>
      </c>
      <c r="BI254">
        <f t="shared" si="155"/>
        <v>7</v>
      </c>
      <c r="BS254" t="str">
        <f t="shared" si="170"/>
        <v/>
      </c>
      <c r="BT254">
        <f t="shared" si="157"/>
        <v>0</v>
      </c>
      <c r="BU254">
        <f t="shared" si="158"/>
        <v>14</v>
      </c>
      <c r="BY254" t="str">
        <f t="shared" si="171"/>
        <v/>
      </c>
      <c r="BZ254">
        <f t="shared" si="161"/>
        <v>0</v>
      </c>
      <c r="CA254">
        <f t="shared" si="162"/>
        <v>16</v>
      </c>
      <c r="CP254">
        <f>IF(包装物料出入库明细!$D254="",0,1)</f>
        <v>0</v>
      </c>
      <c r="CQ254">
        <f t="shared" si="167"/>
        <v>37</v>
      </c>
      <c r="CS254" t="str">
        <f>IF(OR(周转筐出入库明细!$C255="",周转筐出入库明细!$F255&lt;&gt;"采购入库"),"",周转筐出入库明细!$C255)</f>
        <v/>
      </c>
      <c r="CT254">
        <f t="shared" si="168"/>
        <v>0</v>
      </c>
      <c r="CU254">
        <f t="shared" si="169"/>
        <v>1</v>
      </c>
    </row>
    <row r="255" spans="1:99">
      <c r="A255" t="str">
        <f>IF(包装物料出入库明细!$E255="","",包装物料出入库明细!$E255)</f>
        <v/>
      </c>
      <c r="B255">
        <f t="shared" si="132"/>
        <v>0</v>
      </c>
      <c r="C255">
        <f t="shared" si="133"/>
        <v>7</v>
      </c>
      <c r="D255" t="str">
        <f>IF(包装物料出入库明细!$E255="","",包装物料出入库明细!$F255)</f>
        <v/>
      </c>
      <c r="E255" t="str">
        <f>IF(包装物料出入库明细!$E255="","",包装物料出入库明细!$G255)</f>
        <v/>
      </c>
      <c r="K255" t="str">
        <f>IF(包装物料出入库明细!$D255="","",包装物料出入库明细!$D255)</f>
        <v/>
      </c>
      <c r="L255">
        <f t="shared" si="134"/>
        <v>0</v>
      </c>
      <c r="M255">
        <f t="shared" si="135"/>
        <v>9</v>
      </c>
      <c r="Q255" t="str">
        <f>IF(周转筐出入库明细!$D256="","",周转筐出入库明细!$D256)</f>
        <v/>
      </c>
      <c r="R255">
        <f t="shared" si="137"/>
        <v>0</v>
      </c>
      <c r="S255">
        <f t="shared" si="138"/>
        <v>5</v>
      </c>
      <c r="W255" t="str">
        <f>IF(周转筐出入库明细!$C256="","",周转筐出入库明细!$C256)</f>
        <v/>
      </c>
      <c r="X255">
        <f t="shared" si="139"/>
        <v>0</v>
      </c>
      <c r="Y255">
        <f t="shared" si="140"/>
        <v>12</v>
      </c>
      <c r="AC255" t="str">
        <f>IF(客户自备加工筐明细!$C255="","",客户自备加工筐明细!$C255)</f>
        <v/>
      </c>
      <c r="AD255">
        <f t="shared" si="142"/>
        <v>0</v>
      </c>
      <c r="AE255">
        <f t="shared" si="143"/>
        <v>1</v>
      </c>
      <c r="AI255" t="str">
        <f>IF(客户自备加工筐明细!$E255="","",客户自备加工筐明细!$E255)</f>
        <v/>
      </c>
      <c r="AJ255">
        <f t="shared" si="144"/>
        <v>0</v>
      </c>
      <c r="AK255">
        <f t="shared" si="145"/>
        <v>1</v>
      </c>
      <c r="AO255" t="str">
        <f>IF(次果筐明细!$D255="","",次果筐明细!$D255)</f>
        <v/>
      </c>
      <c r="AP255">
        <f t="shared" si="146"/>
        <v>0</v>
      </c>
      <c r="AQ255">
        <f t="shared" si="147"/>
        <v>1</v>
      </c>
      <c r="AU255" t="str">
        <f>IF(次果筐明细!$C255="","",次果筐明细!$C255)</f>
        <v/>
      </c>
      <c r="AV255">
        <f t="shared" si="148"/>
        <v>0</v>
      </c>
      <c r="AW255">
        <f t="shared" si="149"/>
        <v>1</v>
      </c>
      <c r="BA255" t="str">
        <f>IF(对接源_01水果筐数!$B256="","",对接源_01水果筐数!$B256)</f>
        <v/>
      </c>
      <c r="BB255">
        <f t="shared" si="151"/>
        <v>0</v>
      </c>
      <c r="BC255">
        <f t="shared" si="152"/>
        <v>14</v>
      </c>
      <c r="BE255" t="str">
        <f t="shared" si="153"/>
        <v/>
      </c>
      <c r="BG255" t="str">
        <f>IF(对接源_01水果筐数!$C256="","",对接源_01水果筐数!$C256)</f>
        <v/>
      </c>
      <c r="BH255">
        <f t="shared" si="154"/>
        <v>0</v>
      </c>
      <c r="BI255">
        <f t="shared" si="155"/>
        <v>7</v>
      </c>
      <c r="BS255" t="str">
        <f t="shared" si="170"/>
        <v/>
      </c>
      <c r="BT255">
        <f t="shared" si="157"/>
        <v>0</v>
      </c>
      <c r="BU255">
        <f t="shared" si="158"/>
        <v>14</v>
      </c>
      <c r="BY255" t="str">
        <f t="shared" si="171"/>
        <v/>
      </c>
      <c r="BZ255">
        <f t="shared" si="161"/>
        <v>0</v>
      </c>
      <c r="CA255">
        <f t="shared" si="162"/>
        <v>16</v>
      </c>
      <c r="CP255">
        <f>IF(包装物料出入库明细!$D255="",0,1)</f>
        <v>0</v>
      </c>
      <c r="CQ255">
        <f t="shared" si="167"/>
        <v>37</v>
      </c>
      <c r="CS255" t="str">
        <f>IF(OR(周转筐出入库明细!$C256="",周转筐出入库明细!$F256&lt;&gt;"采购入库"),"",周转筐出入库明细!$C256)</f>
        <v/>
      </c>
      <c r="CT255">
        <f t="shared" si="168"/>
        <v>0</v>
      </c>
      <c r="CU255">
        <f t="shared" si="169"/>
        <v>1</v>
      </c>
    </row>
    <row r="256" spans="1:99">
      <c r="A256" t="str">
        <f>IF(包装物料出入库明细!$E256="","",包装物料出入库明细!$E256)</f>
        <v/>
      </c>
      <c r="B256">
        <f t="shared" si="132"/>
        <v>0</v>
      </c>
      <c r="C256">
        <f t="shared" si="133"/>
        <v>7</v>
      </c>
      <c r="D256" t="str">
        <f>IF(包装物料出入库明细!$E256="","",包装物料出入库明细!$F256)</f>
        <v/>
      </c>
      <c r="E256" t="str">
        <f>IF(包装物料出入库明细!$E256="","",包装物料出入库明细!$G256)</f>
        <v/>
      </c>
      <c r="K256" t="str">
        <f>IF(包装物料出入库明细!$D256="","",包装物料出入库明细!$D256)</f>
        <v/>
      </c>
      <c r="L256">
        <f t="shared" si="134"/>
        <v>0</v>
      </c>
      <c r="M256">
        <f t="shared" si="135"/>
        <v>9</v>
      </c>
      <c r="Q256" t="str">
        <f>IF(周转筐出入库明细!$D257="","",周转筐出入库明细!$D257)</f>
        <v/>
      </c>
      <c r="R256">
        <f t="shared" si="137"/>
        <v>0</v>
      </c>
      <c r="S256">
        <f t="shared" si="138"/>
        <v>5</v>
      </c>
      <c r="W256" t="str">
        <f>IF(周转筐出入库明细!$C257="","",周转筐出入库明细!$C257)</f>
        <v/>
      </c>
      <c r="X256">
        <f t="shared" si="139"/>
        <v>0</v>
      </c>
      <c r="Y256">
        <f t="shared" si="140"/>
        <v>12</v>
      </c>
      <c r="AC256" t="str">
        <f>IF(客户自备加工筐明细!$C256="","",客户自备加工筐明细!$C256)</f>
        <v/>
      </c>
      <c r="AD256">
        <f t="shared" si="142"/>
        <v>0</v>
      </c>
      <c r="AE256">
        <f t="shared" si="143"/>
        <v>1</v>
      </c>
      <c r="AI256" t="str">
        <f>IF(客户自备加工筐明细!$E256="","",客户自备加工筐明细!$E256)</f>
        <v/>
      </c>
      <c r="AJ256">
        <f t="shared" si="144"/>
        <v>0</v>
      </c>
      <c r="AK256">
        <f t="shared" si="145"/>
        <v>1</v>
      </c>
      <c r="AO256" t="str">
        <f>IF(次果筐明细!$D256="","",次果筐明细!$D256)</f>
        <v/>
      </c>
      <c r="AP256">
        <f t="shared" si="146"/>
        <v>0</v>
      </c>
      <c r="AQ256">
        <f t="shared" si="147"/>
        <v>1</v>
      </c>
      <c r="AU256" t="str">
        <f>IF(次果筐明细!$C256="","",次果筐明细!$C256)</f>
        <v/>
      </c>
      <c r="AV256">
        <f t="shared" si="148"/>
        <v>0</v>
      </c>
      <c r="AW256">
        <f t="shared" si="149"/>
        <v>1</v>
      </c>
      <c r="BA256" t="str">
        <f>IF(对接源_01水果筐数!$B257="","",对接源_01水果筐数!$B257)</f>
        <v/>
      </c>
      <c r="BB256">
        <f t="shared" si="151"/>
        <v>0</v>
      </c>
      <c r="BC256">
        <f t="shared" si="152"/>
        <v>14</v>
      </c>
      <c r="BE256" t="str">
        <f t="shared" si="153"/>
        <v/>
      </c>
      <c r="BG256" t="str">
        <f>IF(对接源_01水果筐数!$C257="","",对接源_01水果筐数!$C257)</f>
        <v/>
      </c>
      <c r="BH256">
        <f t="shared" si="154"/>
        <v>0</v>
      </c>
      <c r="BI256">
        <f t="shared" si="155"/>
        <v>7</v>
      </c>
      <c r="BS256" t="str">
        <f t="shared" si="170"/>
        <v/>
      </c>
      <c r="BT256">
        <f t="shared" si="157"/>
        <v>0</v>
      </c>
      <c r="BU256">
        <f t="shared" si="158"/>
        <v>14</v>
      </c>
      <c r="BY256" t="str">
        <f t="shared" si="171"/>
        <v/>
      </c>
      <c r="BZ256">
        <f t="shared" si="161"/>
        <v>0</v>
      </c>
      <c r="CA256">
        <f t="shared" si="162"/>
        <v>16</v>
      </c>
      <c r="CP256">
        <f>IF(包装物料出入库明细!$D256="",0,1)</f>
        <v>0</v>
      </c>
      <c r="CQ256">
        <f t="shared" si="167"/>
        <v>37</v>
      </c>
      <c r="CS256" t="str">
        <f>IF(OR(周转筐出入库明细!$C257="",周转筐出入库明细!$F257&lt;&gt;"采购入库"),"",周转筐出入库明细!$C257)</f>
        <v/>
      </c>
      <c r="CT256">
        <f t="shared" si="168"/>
        <v>0</v>
      </c>
      <c r="CU256">
        <f t="shared" si="169"/>
        <v>1</v>
      </c>
    </row>
    <row r="257" spans="1:99">
      <c r="A257" t="str">
        <f>IF(包装物料出入库明细!$E257="","",包装物料出入库明细!$E257)</f>
        <v/>
      </c>
      <c r="B257">
        <f t="shared" si="132"/>
        <v>0</v>
      </c>
      <c r="C257">
        <f t="shared" si="133"/>
        <v>7</v>
      </c>
      <c r="D257" t="str">
        <f>IF(包装物料出入库明细!$E257="","",包装物料出入库明细!$F257)</f>
        <v/>
      </c>
      <c r="E257" t="str">
        <f>IF(包装物料出入库明细!$E257="","",包装物料出入库明细!$G257)</f>
        <v/>
      </c>
      <c r="K257" t="str">
        <f>IF(包装物料出入库明细!$D257="","",包装物料出入库明细!$D257)</f>
        <v/>
      </c>
      <c r="L257">
        <f t="shared" si="134"/>
        <v>0</v>
      </c>
      <c r="M257">
        <f t="shared" si="135"/>
        <v>9</v>
      </c>
      <c r="Q257" t="str">
        <f>IF(周转筐出入库明细!$D258="","",周转筐出入库明细!$D258)</f>
        <v/>
      </c>
      <c r="R257">
        <f t="shared" si="137"/>
        <v>0</v>
      </c>
      <c r="S257">
        <f t="shared" si="138"/>
        <v>5</v>
      </c>
      <c r="W257" t="str">
        <f>IF(周转筐出入库明细!$C258="","",周转筐出入库明细!$C258)</f>
        <v/>
      </c>
      <c r="X257">
        <f t="shared" si="139"/>
        <v>0</v>
      </c>
      <c r="Y257">
        <f t="shared" si="140"/>
        <v>12</v>
      </c>
      <c r="AC257" t="str">
        <f>IF(客户自备加工筐明细!$C257="","",客户自备加工筐明细!$C257)</f>
        <v/>
      </c>
      <c r="AD257">
        <f t="shared" si="142"/>
        <v>0</v>
      </c>
      <c r="AE257">
        <f t="shared" si="143"/>
        <v>1</v>
      </c>
      <c r="AI257" t="str">
        <f>IF(客户自备加工筐明细!$E257="","",客户自备加工筐明细!$E257)</f>
        <v/>
      </c>
      <c r="AJ257">
        <f t="shared" si="144"/>
        <v>0</v>
      </c>
      <c r="AK257">
        <f t="shared" si="145"/>
        <v>1</v>
      </c>
      <c r="AO257" t="str">
        <f>IF(次果筐明细!$D257="","",次果筐明细!$D257)</f>
        <v/>
      </c>
      <c r="AP257">
        <f t="shared" si="146"/>
        <v>0</v>
      </c>
      <c r="AQ257">
        <f t="shared" si="147"/>
        <v>1</v>
      </c>
      <c r="AU257" t="str">
        <f>IF(次果筐明细!$C257="","",次果筐明细!$C257)</f>
        <v/>
      </c>
      <c r="AV257">
        <f t="shared" si="148"/>
        <v>0</v>
      </c>
      <c r="AW257">
        <f t="shared" si="149"/>
        <v>1</v>
      </c>
      <c r="BA257" t="str">
        <f>IF(对接源_01水果筐数!$B258="","",对接源_01水果筐数!$B258)</f>
        <v/>
      </c>
      <c r="BB257">
        <f t="shared" si="151"/>
        <v>0</v>
      </c>
      <c r="BC257">
        <f t="shared" si="152"/>
        <v>14</v>
      </c>
      <c r="BE257" t="str">
        <f t="shared" si="153"/>
        <v/>
      </c>
      <c r="BG257" t="str">
        <f>IF(对接源_01水果筐数!$C258="","",对接源_01水果筐数!$C258)</f>
        <v/>
      </c>
      <c r="BH257">
        <f t="shared" si="154"/>
        <v>0</v>
      </c>
      <c r="BI257">
        <f t="shared" si="155"/>
        <v>7</v>
      </c>
      <c r="BS257" t="str">
        <f t="shared" si="170"/>
        <v/>
      </c>
      <c r="BT257">
        <f t="shared" si="157"/>
        <v>0</v>
      </c>
      <c r="BU257">
        <f t="shared" si="158"/>
        <v>14</v>
      </c>
      <c r="BY257" t="str">
        <f t="shared" si="171"/>
        <v/>
      </c>
      <c r="BZ257">
        <f t="shared" si="161"/>
        <v>0</v>
      </c>
      <c r="CA257">
        <f t="shared" si="162"/>
        <v>16</v>
      </c>
      <c r="CP257">
        <f>IF(包装物料出入库明细!$D257="",0,1)</f>
        <v>0</v>
      </c>
      <c r="CQ257">
        <f t="shared" si="167"/>
        <v>37</v>
      </c>
      <c r="CS257" t="str">
        <f>IF(OR(周转筐出入库明细!$C258="",周转筐出入库明细!$F258&lt;&gt;"采购入库"),"",周转筐出入库明细!$C258)</f>
        <v/>
      </c>
      <c r="CT257">
        <f t="shared" si="168"/>
        <v>0</v>
      </c>
      <c r="CU257">
        <f t="shared" si="169"/>
        <v>1</v>
      </c>
    </row>
    <row r="258" spans="1:99">
      <c r="A258" t="str">
        <f>IF(包装物料出入库明细!$E258="","",包装物料出入库明细!$E258)</f>
        <v/>
      </c>
      <c r="B258">
        <f t="shared" si="132"/>
        <v>0</v>
      </c>
      <c r="C258">
        <f t="shared" si="133"/>
        <v>7</v>
      </c>
      <c r="D258" t="str">
        <f>IF(包装物料出入库明细!$E258="","",包装物料出入库明细!$F258)</f>
        <v/>
      </c>
      <c r="E258" t="str">
        <f>IF(包装物料出入库明细!$E258="","",包装物料出入库明细!$G258)</f>
        <v/>
      </c>
      <c r="K258" t="str">
        <f>IF(包装物料出入库明细!$D258="","",包装物料出入库明细!$D258)</f>
        <v/>
      </c>
      <c r="L258">
        <f t="shared" si="134"/>
        <v>0</v>
      </c>
      <c r="M258">
        <f t="shared" si="135"/>
        <v>9</v>
      </c>
      <c r="Q258" t="str">
        <f>IF(周转筐出入库明细!$D259="","",周转筐出入库明细!$D259)</f>
        <v/>
      </c>
      <c r="R258">
        <f t="shared" si="137"/>
        <v>0</v>
      </c>
      <c r="S258">
        <f t="shared" si="138"/>
        <v>5</v>
      </c>
      <c r="W258" t="str">
        <f>IF(周转筐出入库明细!$C259="","",周转筐出入库明细!$C259)</f>
        <v/>
      </c>
      <c r="X258">
        <f t="shared" si="139"/>
        <v>0</v>
      </c>
      <c r="Y258">
        <f t="shared" si="140"/>
        <v>12</v>
      </c>
      <c r="AC258" t="str">
        <f>IF(客户自备加工筐明细!$C258="","",客户自备加工筐明细!$C258)</f>
        <v/>
      </c>
      <c r="AD258">
        <f t="shared" si="142"/>
        <v>0</v>
      </c>
      <c r="AE258">
        <f t="shared" si="143"/>
        <v>1</v>
      </c>
      <c r="AI258" t="str">
        <f>IF(客户自备加工筐明细!$E258="","",客户自备加工筐明细!$E258)</f>
        <v/>
      </c>
      <c r="AJ258">
        <f t="shared" si="144"/>
        <v>0</v>
      </c>
      <c r="AK258">
        <f t="shared" si="145"/>
        <v>1</v>
      </c>
      <c r="AO258" t="str">
        <f>IF(次果筐明细!$D258="","",次果筐明细!$D258)</f>
        <v/>
      </c>
      <c r="AP258">
        <f t="shared" si="146"/>
        <v>0</v>
      </c>
      <c r="AQ258">
        <f t="shared" si="147"/>
        <v>1</v>
      </c>
      <c r="AU258" t="str">
        <f>IF(次果筐明细!$C258="","",次果筐明细!$C258)</f>
        <v/>
      </c>
      <c r="AV258">
        <f t="shared" si="148"/>
        <v>0</v>
      </c>
      <c r="AW258">
        <f t="shared" si="149"/>
        <v>1</v>
      </c>
      <c r="BA258" t="str">
        <f>IF(对接源_01水果筐数!$B259="","",对接源_01水果筐数!$B259)</f>
        <v/>
      </c>
      <c r="BB258">
        <f t="shared" si="151"/>
        <v>0</v>
      </c>
      <c r="BC258">
        <f t="shared" si="152"/>
        <v>14</v>
      </c>
      <c r="BE258" t="str">
        <f t="shared" si="153"/>
        <v/>
      </c>
      <c r="BG258" t="str">
        <f>IF(对接源_01水果筐数!$C259="","",对接源_01水果筐数!$C259)</f>
        <v/>
      </c>
      <c r="BH258">
        <f t="shared" si="154"/>
        <v>0</v>
      </c>
      <c r="BI258">
        <f t="shared" si="155"/>
        <v>7</v>
      </c>
      <c r="BS258" t="str">
        <f t="shared" si="170"/>
        <v/>
      </c>
      <c r="BT258">
        <f t="shared" si="157"/>
        <v>0</v>
      </c>
      <c r="BU258">
        <f t="shared" si="158"/>
        <v>14</v>
      </c>
      <c r="BY258" t="str">
        <f t="shared" si="171"/>
        <v/>
      </c>
      <c r="BZ258">
        <f t="shared" si="161"/>
        <v>0</v>
      </c>
      <c r="CA258">
        <f t="shared" si="162"/>
        <v>16</v>
      </c>
      <c r="CP258">
        <f>IF(包装物料出入库明细!$D258="",0,1)</f>
        <v>0</v>
      </c>
      <c r="CQ258">
        <f t="shared" si="167"/>
        <v>37</v>
      </c>
      <c r="CS258" t="str">
        <f>IF(OR(周转筐出入库明细!$C259="",周转筐出入库明细!$F259&lt;&gt;"采购入库"),"",周转筐出入库明细!$C259)</f>
        <v/>
      </c>
      <c r="CT258">
        <f t="shared" si="168"/>
        <v>0</v>
      </c>
      <c r="CU258">
        <f t="shared" si="169"/>
        <v>1</v>
      </c>
    </row>
    <row r="259" spans="1:99">
      <c r="A259" t="str">
        <f>IF(包装物料出入库明细!$E259="","",包装物料出入库明细!$E259)</f>
        <v/>
      </c>
      <c r="B259">
        <f t="shared" si="132"/>
        <v>0</v>
      </c>
      <c r="C259">
        <f t="shared" si="133"/>
        <v>7</v>
      </c>
      <c r="D259" t="str">
        <f>IF(包装物料出入库明细!$E259="","",包装物料出入库明细!$F259)</f>
        <v/>
      </c>
      <c r="E259" t="str">
        <f>IF(包装物料出入库明细!$E259="","",包装物料出入库明细!$G259)</f>
        <v/>
      </c>
      <c r="K259" t="str">
        <f>IF(包装物料出入库明细!$D259="","",包装物料出入库明细!$D259)</f>
        <v/>
      </c>
      <c r="L259">
        <f t="shared" si="134"/>
        <v>0</v>
      </c>
      <c r="M259">
        <f t="shared" si="135"/>
        <v>9</v>
      </c>
      <c r="Q259" t="str">
        <f>IF(周转筐出入库明细!$D260="","",周转筐出入库明细!$D260)</f>
        <v/>
      </c>
      <c r="R259">
        <f t="shared" si="137"/>
        <v>0</v>
      </c>
      <c r="S259">
        <f t="shared" si="138"/>
        <v>5</v>
      </c>
      <c r="W259" t="str">
        <f>IF(周转筐出入库明细!$C260="","",周转筐出入库明细!$C260)</f>
        <v/>
      </c>
      <c r="X259">
        <f t="shared" si="139"/>
        <v>0</v>
      </c>
      <c r="Y259">
        <f t="shared" si="140"/>
        <v>12</v>
      </c>
      <c r="AC259" t="str">
        <f>IF(客户自备加工筐明细!$C259="","",客户自备加工筐明细!$C259)</f>
        <v/>
      </c>
      <c r="AD259">
        <f t="shared" si="142"/>
        <v>0</v>
      </c>
      <c r="AE259">
        <f t="shared" si="143"/>
        <v>1</v>
      </c>
      <c r="AI259" t="str">
        <f>IF(客户自备加工筐明细!$E259="","",客户自备加工筐明细!$E259)</f>
        <v/>
      </c>
      <c r="AJ259">
        <f t="shared" si="144"/>
        <v>0</v>
      </c>
      <c r="AK259">
        <f t="shared" si="145"/>
        <v>1</v>
      </c>
      <c r="AO259" t="str">
        <f>IF(次果筐明细!$D259="","",次果筐明细!$D259)</f>
        <v/>
      </c>
      <c r="AP259">
        <f t="shared" si="146"/>
        <v>0</v>
      </c>
      <c r="AQ259">
        <f t="shared" si="147"/>
        <v>1</v>
      </c>
      <c r="AU259" t="str">
        <f>IF(次果筐明细!$C259="","",次果筐明细!$C259)</f>
        <v/>
      </c>
      <c r="AV259">
        <f t="shared" si="148"/>
        <v>0</v>
      </c>
      <c r="AW259">
        <f t="shared" si="149"/>
        <v>1</v>
      </c>
      <c r="BA259" t="str">
        <f>IF(对接源_01水果筐数!$B260="","",对接源_01水果筐数!$B260)</f>
        <v/>
      </c>
      <c r="BB259">
        <f t="shared" si="151"/>
        <v>0</v>
      </c>
      <c r="BC259">
        <f t="shared" si="152"/>
        <v>14</v>
      </c>
      <c r="BE259" t="str">
        <f t="shared" si="153"/>
        <v/>
      </c>
      <c r="BG259" t="str">
        <f>IF(对接源_01水果筐数!$C260="","",对接源_01水果筐数!$C260)</f>
        <v/>
      </c>
      <c r="BH259">
        <f t="shared" si="154"/>
        <v>0</v>
      </c>
      <c r="BI259">
        <f t="shared" si="155"/>
        <v>7</v>
      </c>
      <c r="BS259" t="str">
        <f t="shared" si="170"/>
        <v/>
      </c>
      <c r="BT259">
        <f t="shared" si="157"/>
        <v>0</v>
      </c>
      <c r="BU259">
        <f t="shared" si="158"/>
        <v>14</v>
      </c>
      <c r="BY259" t="str">
        <f t="shared" si="171"/>
        <v/>
      </c>
      <c r="BZ259">
        <f t="shared" si="161"/>
        <v>0</v>
      </c>
      <c r="CA259">
        <f t="shared" si="162"/>
        <v>16</v>
      </c>
      <c r="CP259">
        <f>IF(包装物料出入库明细!$D259="",0,1)</f>
        <v>0</v>
      </c>
      <c r="CQ259">
        <f t="shared" si="167"/>
        <v>37</v>
      </c>
      <c r="CS259" t="str">
        <f>IF(OR(周转筐出入库明细!$C260="",周转筐出入库明细!$F260&lt;&gt;"采购入库"),"",周转筐出入库明细!$C260)</f>
        <v/>
      </c>
      <c r="CT259">
        <f t="shared" si="168"/>
        <v>0</v>
      </c>
      <c r="CU259">
        <f t="shared" si="169"/>
        <v>1</v>
      </c>
    </row>
    <row r="260" spans="1:99">
      <c r="A260" t="str">
        <f>IF(包装物料出入库明细!$E260="","",包装物料出入库明细!$E260)</f>
        <v/>
      </c>
      <c r="B260">
        <f t="shared" ref="B260:B323" si="172">IF(A260="",0,IF(MATCH(A260,$A$4:$A$2003,0)=ROW()-3,1,0))</f>
        <v>0</v>
      </c>
      <c r="C260">
        <f t="shared" ref="C260:C323" si="173">N(C259)+B260</f>
        <v>7</v>
      </c>
      <c r="D260" t="str">
        <f>IF(包装物料出入库明细!$E260="","",包装物料出入库明细!$F260)</f>
        <v/>
      </c>
      <c r="E260" t="str">
        <f>IF(包装物料出入库明细!$E260="","",包装物料出入库明细!$G260)</f>
        <v/>
      </c>
      <c r="K260" t="str">
        <f>IF(包装物料出入库明细!$D260="","",包装物料出入库明细!$D260)</f>
        <v/>
      </c>
      <c r="L260">
        <f t="shared" ref="L260:L323" si="174">IF(K260="",0,IF(MATCH(K260,$K$4:$K$2003,0)=ROW()-3,1,0))</f>
        <v>0</v>
      </c>
      <c r="M260">
        <f t="shared" ref="M260:M323" si="175">N(M259)+L260</f>
        <v>9</v>
      </c>
      <c r="Q260" t="str">
        <f>IF(周转筐出入库明细!$D261="","",周转筐出入库明细!$D261)</f>
        <v/>
      </c>
      <c r="R260">
        <f t="shared" ref="R260:R323" si="176">IF(Q260="",0,IF(MATCH(Q260,$Q$4:$Q$2003,0)=ROW()-3,1,0))</f>
        <v>0</v>
      </c>
      <c r="S260">
        <f t="shared" ref="S260:S323" si="177">N(S259)+R260</f>
        <v>5</v>
      </c>
      <c r="W260" t="str">
        <f>IF(周转筐出入库明细!$C261="","",周转筐出入库明细!$C261)</f>
        <v/>
      </c>
      <c r="X260">
        <f t="shared" ref="X260:X323" si="178">IF(W260="",0,IF(MATCH(W260,$W$4:$W$2003,0)=ROW()-3,1,0))</f>
        <v>0</v>
      </c>
      <c r="Y260">
        <f t="shared" ref="Y260:Y323" si="179">N(Y259)+X260</f>
        <v>12</v>
      </c>
      <c r="AC260" t="str">
        <f>IF(客户自备加工筐明细!$C260="","",客户自备加工筐明细!$C260)</f>
        <v/>
      </c>
      <c r="AD260">
        <f t="shared" ref="AD260:AD323" si="180">IF(AC260="",0,IF(MATCH(AC260,$AC$4:$AC$1203,0)=ROW()-3,1,0))</f>
        <v>0</v>
      </c>
      <c r="AE260">
        <f t="shared" ref="AE260:AE323" si="181">N(AE259)+AD260</f>
        <v>1</v>
      </c>
      <c r="AI260" t="str">
        <f>IF(客户自备加工筐明细!$E260="","",客户自备加工筐明细!$E260)</f>
        <v/>
      </c>
      <c r="AJ260">
        <f t="shared" ref="AJ260:AJ323" si="182">IF(AI260="",0,IF(MATCH(AI260,$AI$4:$AI$1503,0)=ROW()-3,1,0))</f>
        <v>0</v>
      </c>
      <c r="AK260">
        <f t="shared" ref="AK260:AK323" si="183">N(AK259)+AJ260</f>
        <v>1</v>
      </c>
      <c r="AO260" t="str">
        <f>IF(次果筐明细!$D260="","",次果筐明细!$D260)</f>
        <v/>
      </c>
      <c r="AP260">
        <f t="shared" ref="AP260:AP323" si="184">IF(AO260="",0,IF(MATCH(AO260,$AO$4:$AO$603,0)=ROW()-3,1,0))</f>
        <v>0</v>
      </c>
      <c r="AQ260">
        <f t="shared" ref="AQ260:AQ323" si="185">N(AQ259)+AP260</f>
        <v>1</v>
      </c>
      <c r="AU260" t="str">
        <f>IF(次果筐明细!$C260="","",次果筐明细!$C260)</f>
        <v/>
      </c>
      <c r="AV260">
        <f t="shared" ref="AV260:AV323" si="186">IF(AU260="",0,IF(MATCH(AU260,$AU$4:$AU$603,0)=ROW()-3,1,0))</f>
        <v>0</v>
      </c>
      <c r="AW260">
        <f t="shared" ref="AW260:AW323" si="187">N(AW259)+AV260</f>
        <v>1</v>
      </c>
      <c r="BA260" t="str">
        <f>IF(对接源_01水果筐数!$B261="","",对接源_01水果筐数!$B261)</f>
        <v/>
      </c>
      <c r="BB260">
        <f t="shared" ref="BB260:BB303" si="188">IF(BA260="",0,IF(MATCH(BA260,$BA$4:$BA$303,0)=ROW()-3,1,0))</f>
        <v>0</v>
      </c>
      <c r="BC260">
        <f t="shared" ref="BC260:BC303" si="189">N(BC259)+BB260</f>
        <v>14</v>
      </c>
      <c r="BE260" t="str">
        <f t="shared" ref="BE260:BE303" si="190">IFERROR(INDEX($BA$4:$BA$303,MATCH(ROW()-3,$BC$4:$BC$303,0)),"")</f>
        <v/>
      </c>
      <c r="BG260" t="str">
        <f>IF(对接源_01水果筐数!$C261="","",对接源_01水果筐数!$C261)</f>
        <v/>
      </c>
      <c r="BH260">
        <f t="shared" ref="BH260:BH303" si="191">IF(BG260="",0,IF(MATCH(BG260,$BG$4:$BG$303,0)=ROW()-3,1,0))</f>
        <v>0</v>
      </c>
      <c r="BI260">
        <f t="shared" ref="BI260:BI303" si="192">N(BI259)+BH260</f>
        <v>7</v>
      </c>
      <c r="BS260" t="str">
        <f t="shared" si="170"/>
        <v/>
      </c>
      <c r="BT260">
        <f t="shared" ref="BT260:BT323" si="193">IF(BS260="",0,IF(MATCH(BS260,$BS$4:$BS$1103,0)=ROW()-3,1,0))</f>
        <v>0</v>
      </c>
      <c r="BU260">
        <f t="shared" ref="BU260:BU323" si="194">N(BU259)+BT260</f>
        <v>14</v>
      </c>
      <c r="BY260" t="str">
        <f t="shared" si="171"/>
        <v/>
      </c>
      <c r="BZ260">
        <f t="shared" ref="BZ260:BZ323" si="195">IF(BY260="",0,IF(MATCH(BY260,$BY$4:$BY$503,0)=ROW()-3,1,0))</f>
        <v>0</v>
      </c>
      <c r="CA260">
        <f t="shared" ref="CA260:CA323" si="196">N(CA259)+BZ260</f>
        <v>16</v>
      </c>
      <c r="CP260">
        <f>IF(包装物料出入库明细!$D260="",0,1)</f>
        <v>0</v>
      </c>
      <c r="CQ260">
        <f t="shared" ref="CQ260:CQ323" si="197">N(CQ259)+$CP260</f>
        <v>37</v>
      </c>
      <c r="CS260" t="str">
        <f>IF(OR(周转筐出入库明细!$C261="",周转筐出入库明细!$F261&lt;&gt;"采购入库"),"",周转筐出入库明细!$C261)</f>
        <v/>
      </c>
      <c r="CT260">
        <f t="shared" ref="CT260:CT323" si="198">IF(CS260="",0,IF(MATCH(CS260,$CS$4:$CS$2003,0)=ROW()-3,1,0))</f>
        <v>0</v>
      </c>
      <c r="CU260">
        <f t="shared" ref="CU260:CU323" si="199">N(CU259)+CT260</f>
        <v>1</v>
      </c>
    </row>
    <row r="261" spans="1:99">
      <c r="A261" t="str">
        <f>IF(包装物料出入库明细!$E261="","",包装物料出入库明细!$E261)</f>
        <v/>
      </c>
      <c r="B261">
        <f t="shared" si="172"/>
        <v>0</v>
      </c>
      <c r="C261">
        <f t="shared" si="173"/>
        <v>7</v>
      </c>
      <c r="D261" t="str">
        <f>IF(包装物料出入库明细!$E261="","",包装物料出入库明细!$F261)</f>
        <v/>
      </c>
      <c r="E261" t="str">
        <f>IF(包装物料出入库明细!$E261="","",包装物料出入库明细!$G261)</f>
        <v/>
      </c>
      <c r="K261" t="str">
        <f>IF(包装物料出入库明细!$D261="","",包装物料出入库明细!$D261)</f>
        <v/>
      </c>
      <c r="L261">
        <f t="shared" si="174"/>
        <v>0</v>
      </c>
      <c r="M261">
        <f t="shared" si="175"/>
        <v>9</v>
      </c>
      <c r="Q261" t="str">
        <f>IF(周转筐出入库明细!$D262="","",周转筐出入库明细!$D262)</f>
        <v/>
      </c>
      <c r="R261">
        <f t="shared" si="176"/>
        <v>0</v>
      </c>
      <c r="S261">
        <f t="shared" si="177"/>
        <v>5</v>
      </c>
      <c r="W261" t="str">
        <f>IF(周转筐出入库明细!$C262="","",周转筐出入库明细!$C262)</f>
        <v/>
      </c>
      <c r="X261">
        <f t="shared" si="178"/>
        <v>0</v>
      </c>
      <c r="Y261">
        <f t="shared" si="179"/>
        <v>12</v>
      </c>
      <c r="AC261" t="str">
        <f>IF(客户自备加工筐明细!$C261="","",客户自备加工筐明细!$C261)</f>
        <v/>
      </c>
      <c r="AD261">
        <f t="shared" si="180"/>
        <v>0</v>
      </c>
      <c r="AE261">
        <f t="shared" si="181"/>
        <v>1</v>
      </c>
      <c r="AI261" t="str">
        <f>IF(客户自备加工筐明细!$E261="","",客户自备加工筐明细!$E261)</f>
        <v/>
      </c>
      <c r="AJ261">
        <f t="shared" si="182"/>
        <v>0</v>
      </c>
      <c r="AK261">
        <f t="shared" si="183"/>
        <v>1</v>
      </c>
      <c r="AO261" t="str">
        <f>IF(次果筐明细!$D261="","",次果筐明细!$D261)</f>
        <v/>
      </c>
      <c r="AP261">
        <f t="shared" si="184"/>
        <v>0</v>
      </c>
      <c r="AQ261">
        <f t="shared" si="185"/>
        <v>1</v>
      </c>
      <c r="AU261" t="str">
        <f>IF(次果筐明细!$C261="","",次果筐明细!$C261)</f>
        <v/>
      </c>
      <c r="AV261">
        <f t="shared" si="186"/>
        <v>0</v>
      </c>
      <c r="AW261">
        <f t="shared" si="187"/>
        <v>1</v>
      </c>
      <c r="BA261" t="str">
        <f>IF(对接源_01水果筐数!$B262="","",对接源_01水果筐数!$B262)</f>
        <v/>
      </c>
      <c r="BB261">
        <f t="shared" si="188"/>
        <v>0</v>
      </c>
      <c r="BC261">
        <f t="shared" si="189"/>
        <v>14</v>
      </c>
      <c r="BE261" t="str">
        <f t="shared" si="190"/>
        <v/>
      </c>
      <c r="BG261" t="str">
        <f>IF(对接源_01水果筐数!$C262="","",对接源_01水果筐数!$C262)</f>
        <v/>
      </c>
      <c r="BH261">
        <f t="shared" si="191"/>
        <v>0</v>
      </c>
      <c r="BI261">
        <f t="shared" si="192"/>
        <v>7</v>
      </c>
      <c r="BS261" t="str">
        <f t="shared" si="170"/>
        <v/>
      </c>
      <c r="BT261">
        <f t="shared" si="193"/>
        <v>0</v>
      </c>
      <c r="BU261">
        <f t="shared" si="194"/>
        <v>14</v>
      </c>
      <c r="BY261" t="str">
        <f t="shared" si="171"/>
        <v/>
      </c>
      <c r="BZ261">
        <f t="shared" si="195"/>
        <v>0</v>
      </c>
      <c r="CA261">
        <f t="shared" si="196"/>
        <v>16</v>
      </c>
      <c r="CP261">
        <f>IF(包装物料出入库明细!$D261="",0,1)</f>
        <v>0</v>
      </c>
      <c r="CQ261">
        <f t="shared" si="197"/>
        <v>37</v>
      </c>
      <c r="CS261" t="str">
        <f>IF(OR(周转筐出入库明细!$C262="",周转筐出入库明细!$F262&lt;&gt;"采购入库"),"",周转筐出入库明细!$C262)</f>
        <v/>
      </c>
      <c r="CT261">
        <f t="shared" si="198"/>
        <v>0</v>
      </c>
      <c r="CU261">
        <f t="shared" si="199"/>
        <v>1</v>
      </c>
    </row>
    <row r="262" spans="1:99">
      <c r="A262" t="str">
        <f>IF(包装物料出入库明细!$E262="","",包装物料出入库明细!$E262)</f>
        <v/>
      </c>
      <c r="B262">
        <f t="shared" si="172"/>
        <v>0</v>
      </c>
      <c r="C262">
        <f t="shared" si="173"/>
        <v>7</v>
      </c>
      <c r="D262" t="str">
        <f>IF(包装物料出入库明细!$E262="","",包装物料出入库明细!$F262)</f>
        <v/>
      </c>
      <c r="E262" t="str">
        <f>IF(包装物料出入库明细!$E262="","",包装物料出入库明细!$G262)</f>
        <v/>
      </c>
      <c r="K262" t="str">
        <f>IF(包装物料出入库明细!$D262="","",包装物料出入库明细!$D262)</f>
        <v/>
      </c>
      <c r="L262">
        <f t="shared" si="174"/>
        <v>0</v>
      </c>
      <c r="M262">
        <f t="shared" si="175"/>
        <v>9</v>
      </c>
      <c r="Q262" t="str">
        <f>IF(周转筐出入库明细!$D263="","",周转筐出入库明细!$D263)</f>
        <v/>
      </c>
      <c r="R262">
        <f t="shared" si="176"/>
        <v>0</v>
      </c>
      <c r="S262">
        <f t="shared" si="177"/>
        <v>5</v>
      </c>
      <c r="W262" t="str">
        <f>IF(周转筐出入库明细!$C263="","",周转筐出入库明细!$C263)</f>
        <v/>
      </c>
      <c r="X262">
        <f t="shared" si="178"/>
        <v>0</v>
      </c>
      <c r="Y262">
        <f t="shared" si="179"/>
        <v>12</v>
      </c>
      <c r="AC262" t="str">
        <f>IF(客户自备加工筐明细!$C262="","",客户自备加工筐明细!$C262)</f>
        <v/>
      </c>
      <c r="AD262">
        <f t="shared" si="180"/>
        <v>0</v>
      </c>
      <c r="AE262">
        <f t="shared" si="181"/>
        <v>1</v>
      </c>
      <c r="AI262" t="str">
        <f>IF(客户自备加工筐明细!$E262="","",客户自备加工筐明细!$E262)</f>
        <v/>
      </c>
      <c r="AJ262">
        <f t="shared" si="182"/>
        <v>0</v>
      </c>
      <c r="AK262">
        <f t="shared" si="183"/>
        <v>1</v>
      </c>
      <c r="AO262" t="str">
        <f>IF(次果筐明细!$D262="","",次果筐明细!$D262)</f>
        <v/>
      </c>
      <c r="AP262">
        <f t="shared" si="184"/>
        <v>0</v>
      </c>
      <c r="AQ262">
        <f t="shared" si="185"/>
        <v>1</v>
      </c>
      <c r="AU262" t="str">
        <f>IF(次果筐明细!$C262="","",次果筐明细!$C262)</f>
        <v/>
      </c>
      <c r="AV262">
        <f t="shared" si="186"/>
        <v>0</v>
      </c>
      <c r="AW262">
        <f t="shared" si="187"/>
        <v>1</v>
      </c>
      <c r="BA262" t="str">
        <f>IF(对接源_01水果筐数!$B263="","",对接源_01水果筐数!$B263)</f>
        <v/>
      </c>
      <c r="BB262">
        <f t="shared" si="188"/>
        <v>0</v>
      </c>
      <c r="BC262">
        <f t="shared" si="189"/>
        <v>14</v>
      </c>
      <c r="BE262" t="str">
        <f t="shared" si="190"/>
        <v/>
      </c>
      <c r="BG262" t="str">
        <f>IF(对接源_01水果筐数!$C263="","",对接源_01水果筐数!$C263)</f>
        <v/>
      </c>
      <c r="BH262">
        <f t="shared" si="191"/>
        <v>0</v>
      </c>
      <c r="BI262">
        <f t="shared" si="192"/>
        <v>7</v>
      </c>
      <c r="BS262" t="str">
        <f t="shared" si="170"/>
        <v/>
      </c>
      <c r="BT262">
        <f t="shared" si="193"/>
        <v>0</v>
      </c>
      <c r="BU262">
        <f t="shared" si="194"/>
        <v>14</v>
      </c>
      <c r="BY262" t="str">
        <f t="shared" si="171"/>
        <v/>
      </c>
      <c r="BZ262">
        <f t="shared" si="195"/>
        <v>0</v>
      </c>
      <c r="CA262">
        <f t="shared" si="196"/>
        <v>16</v>
      </c>
      <c r="CP262">
        <f>IF(包装物料出入库明细!$D262="",0,1)</f>
        <v>0</v>
      </c>
      <c r="CQ262">
        <f t="shared" si="197"/>
        <v>37</v>
      </c>
      <c r="CS262" t="str">
        <f>IF(OR(周转筐出入库明细!$C263="",周转筐出入库明细!$F263&lt;&gt;"采购入库"),"",周转筐出入库明细!$C263)</f>
        <v/>
      </c>
      <c r="CT262">
        <f t="shared" si="198"/>
        <v>0</v>
      </c>
      <c r="CU262">
        <f t="shared" si="199"/>
        <v>1</v>
      </c>
    </row>
    <row r="263" spans="1:99">
      <c r="A263" t="str">
        <f>IF(包装物料出入库明细!$E263="","",包装物料出入库明细!$E263)</f>
        <v/>
      </c>
      <c r="B263">
        <f t="shared" si="172"/>
        <v>0</v>
      </c>
      <c r="C263">
        <f t="shared" si="173"/>
        <v>7</v>
      </c>
      <c r="D263" t="str">
        <f>IF(包装物料出入库明细!$E263="","",包装物料出入库明细!$F263)</f>
        <v/>
      </c>
      <c r="E263" t="str">
        <f>IF(包装物料出入库明细!$E263="","",包装物料出入库明细!$G263)</f>
        <v/>
      </c>
      <c r="K263" t="str">
        <f>IF(包装物料出入库明细!$D263="","",包装物料出入库明细!$D263)</f>
        <v/>
      </c>
      <c r="L263">
        <f t="shared" si="174"/>
        <v>0</v>
      </c>
      <c r="M263">
        <f t="shared" si="175"/>
        <v>9</v>
      </c>
      <c r="Q263" t="str">
        <f>IF(周转筐出入库明细!$D264="","",周转筐出入库明细!$D264)</f>
        <v/>
      </c>
      <c r="R263">
        <f t="shared" si="176"/>
        <v>0</v>
      </c>
      <c r="S263">
        <f t="shared" si="177"/>
        <v>5</v>
      </c>
      <c r="W263" t="str">
        <f>IF(周转筐出入库明细!$C264="","",周转筐出入库明细!$C264)</f>
        <v/>
      </c>
      <c r="X263">
        <f t="shared" si="178"/>
        <v>0</v>
      </c>
      <c r="Y263">
        <f t="shared" si="179"/>
        <v>12</v>
      </c>
      <c r="AC263" t="str">
        <f>IF(客户自备加工筐明细!$C263="","",客户自备加工筐明细!$C263)</f>
        <v/>
      </c>
      <c r="AD263">
        <f t="shared" si="180"/>
        <v>0</v>
      </c>
      <c r="AE263">
        <f t="shared" si="181"/>
        <v>1</v>
      </c>
      <c r="AI263" t="str">
        <f>IF(客户自备加工筐明细!$E263="","",客户自备加工筐明细!$E263)</f>
        <v/>
      </c>
      <c r="AJ263">
        <f t="shared" si="182"/>
        <v>0</v>
      </c>
      <c r="AK263">
        <f t="shared" si="183"/>
        <v>1</v>
      </c>
      <c r="AO263" t="str">
        <f>IF(次果筐明细!$D263="","",次果筐明细!$D263)</f>
        <v/>
      </c>
      <c r="AP263">
        <f t="shared" si="184"/>
        <v>0</v>
      </c>
      <c r="AQ263">
        <f t="shared" si="185"/>
        <v>1</v>
      </c>
      <c r="AU263" t="str">
        <f>IF(次果筐明细!$C263="","",次果筐明细!$C263)</f>
        <v/>
      </c>
      <c r="AV263">
        <f t="shared" si="186"/>
        <v>0</v>
      </c>
      <c r="AW263">
        <f t="shared" si="187"/>
        <v>1</v>
      </c>
      <c r="BA263" t="str">
        <f>IF(对接源_01水果筐数!$B264="","",对接源_01水果筐数!$B264)</f>
        <v/>
      </c>
      <c r="BB263">
        <f t="shared" si="188"/>
        <v>0</v>
      </c>
      <c r="BC263">
        <f t="shared" si="189"/>
        <v>14</v>
      </c>
      <c r="BE263" t="str">
        <f t="shared" si="190"/>
        <v/>
      </c>
      <c r="BG263" t="str">
        <f>IF(对接源_01水果筐数!$C264="","",对接源_01水果筐数!$C264)</f>
        <v/>
      </c>
      <c r="BH263">
        <f t="shared" si="191"/>
        <v>0</v>
      </c>
      <c r="BI263">
        <f t="shared" si="192"/>
        <v>7</v>
      </c>
      <c r="BS263" t="str">
        <f t="shared" si="170"/>
        <v/>
      </c>
      <c r="BT263">
        <f t="shared" si="193"/>
        <v>0</v>
      </c>
      <c r="BU263">
        <f t="shared" si="194"/>
        <v>14</v>
      </c>
      <c r="BY263" t="str">
        <f t="shared" si="171"/>
        <v/>
      </c>
      <c r="BZ263">
        <f t="shared" si="195"/>
        <v>0</v>
      </c>
      <c r="CA263">
        <f t="shared" si="196"/>
        <v>16</v>
      </c>
      <c r="CP263">
        <f>IF(包装物料出入库明细!$D263="",0,1)</f>
        <v>0</v>
      </c>
      <c r="CQ263">
        <f t="shared" si="197"/>
        <v>37</v>
      </c>
      <c r="CS263" t="str">
        <f>IF(OR(周转筐出入库明细!$C264="",周转筐出入库明细!$F264&lt;&gt;"采购入库"),"",周转筐出入库明细!$C264)</f>
        <v/>
      </c>
      <c r="CT263">
        <f t="shared" si="198"/>
        <v>0</v>
      </c>
      <c r="CU263">
        <f t="shared" si="199"/>
        <v>1</v>
      </c>
    </row>
    <row r="264" spans="1:99">
      <c r="A264" t="str">
        <f>IF(包装物料出入库明细!$E264="","",包装物料出入库明细!$E264)</f>
        <v/>
      </c>
      <c r="B264">
        <f t="shared" si="172"/>
        <v>0</v>
      </c>
      <c r="C264">
        <f t="shared" si="173"/>
        <v>7</v>
      </c>
      <c r="D264" t="str">
        <f>IF(包装物料出入库明细!$E264="","",包装物料出入库明细!$F264)</f>
        <v/>
      </c>
      <c r="E264" t="str">
        <f>IF(包装物料出入库明细!$E264="","",包装物料出入库明细!$G264)</f>
        <v/>
      </c>
      <c r="K264" t="str">
        <f>IF(包装物料出入库明细!$D264="","",包装物料出入库明细!$D264)</f>
        <v/>
      </c>
      <c r="L264">
        <f t="shared" si="174"/>
        <v>0</v>
      </c>
      <c r="M264">
        <f t="shared" si="175"/>
        <v>9</v>
      </c>
      <c r="Q264" t="str">
        <f>IF(周转筐出入库明细!$D265="","",周转筐出入库明细!$D265)</f>
        <v/>
      </c>
      <c r="R264">
        <f t="shared" si="176"/>
        <v>0</v>
      </c>
      <c r="S264">
        <f t="shared" si="177"/>
        <v>5</v>
      </c>
      <c r="W264" t="str">
        <f>IF(周转筐出入库明细!$C265="","",周转筐出入库明细!$C265)</f>
        <v/>
      </c>
      <c r="X264">
        <f t="shared" si="178"/>
        <v>0</v>
      </c>
      <c r="Y264">
        <f t="shared" si="179"/>
        <v>12</v>
      </c>
      <c r="AC264" t="str">
        <f>IF(客户自备加工筐明细!$C264="","",客户自备加工筐明细!$C264)</f>
        <v/>
      </c>
      <c r="AD264">
        <f t="shared" si="180"/>
        <v>0</v>
      </c>
      <c r="AE264">
        <f t="shared" si="181"/>
        <v>1</v>
      </c>
      <c r="AI264" t="str">
        <f>IF(客户自备加工筐明细!$E264="","",客户自备加工筐明细!$E264)</f>
        <v/>
      </c>
      <c r="AJ264">
        <f t="shared" si="182"/>
        <v>0</v>
      </c>
      <c r="AK264">
        <f t="shared" si="183"/>
        <v>1</v>
      </c>
      <c r="AO264" t="str">
        <f>IF(次果筐明细!$D264="","",次果筐明细!$D264)</f>
        <v/>
      </c>
      <c r="AP264">
        <f t="shared" si="184"/>
        <v>0</v>
      </c>
      <c r="AQ264">
        <f t="shared" si="185"/>
        <v>1</v>
      </c>
      <c r="AU264" t="str">
        <f>IF(次果筐明细!$C264="","",次果筐明细!$C264)</f>
        <v/>
      </c>
      <c r="AV264">
        <f t="shared" si="186"/>
        <v>0</v>
      </c>
      <c r="AW264">
        <f t="shared" si="187"/>
        <v>1</v>
      </c>
      <c r="BA264" t="str">
        <f>IF(对接源_01水果筐数!$B265="","",对接源_01水果筐数!$B265)</f>
        <v/>
      </c>
      <c r="BB264">
        <f t="shared" si="188"/>
        <v>0</v>
      </c>
      <c r="BC264">
        <f t="shared" si="189"/>
        <v>14</v>
      </c>
      <c r="BE264" t="str">
        <f t="shared" si="190"/>
        <v/>
      </c>
      <c r="BG264" t="str">
        <f>IF(对接源_01水果筐数!$C265="","",对接源_01水果筐数!$C265)</f>
        <v/>
      </c>
      <c r="BH264">
        <f t="shared" si="191"/>
        <v>0</v>
      </c>
      <c r="BI264">
        <f t="shared" si="192"/>
        <v>7</v>
      </c>
      <c r="BS264" t="str">
        <f t="shared" si="170"/>
        <v/>
      </c>
      <c r="BT264">
        <f t="shared" si="193"/>
        <v>0</v>
      </c>
      <c r="BU264">
        <f t="shared" si="194"/>
        <v>14</v>
      </c>
      <c r="BY264" t="str">
        <f t="shared" si="171"/>
        <v/>
      </c>
      <c r="BZ264">
        <f t="shared" si="195"/>
        <v>0</v>
      </c>
      <c r="CA264">
        <f t="shared" si="196"/>
        <v>16</v>
      </c>
      <c r="CP264">
        <f>IF(包装物料出入库明细!$D264="",0,1)</f>
        <v>0</v>
      </c>
      <c r="CQ264">
        <f t="shared" si="197"/>
        <v>37</v>
      </c>
      <c r="CS264" t="str">
        <f>IF(OR(周转筐出入库明细!$C265="",周转筐出入库明细!$F265&lt;&gt;"采购入库"),"",周转筐出入库明细!$C265)</f>
        <v/>
      </c>
      <c r="CT264">
        <f t="shared" si="198"/>
        <v>0</v>
      </c>
      <c r="CU264">
        <f t="shared" si="199"/>
        <v>1</v>
      </c>
    </row>
    <row r="265" spans="1:99">
      <c r="A265" t="str">
        <f>IF(包装物料出入库明细!$E265="","",包装物料出入库明细!$E265)</f>
        <v/>
      </c>
      <c r="B265">
        <f t="shared" si="172"/>
        <v>0</v>
      </c>
      <c r="C265">
        <f t="shared" si="173"/>
        <v>7</v>
      </c>
      <c r="D265" t="str">
        <f>IF(包装物料出入库明细!$E265="","",包装物料出入库明细!$F265)</f>
        <v/>
      </c>
      <c r="E265" t="str">
        <f>IF(包装物料出入库明细!$E265="","",包装物料出入库明细!$G265)</f>
        <v/>
      </c>
      <c r="K265" t="str">
        <f>IF(包装物料出入库明细!$D265="","",包装物料出入库明细!$D265)</f>
        <v/>
      </c>
      <c r="L265">
        <f t="shared" si="174"/>
        <v>0</v>
      </c>
      <c r="M265">
        <f t="shared" si="175"/>
        <v>9</v>
      </c>
      <c r="Q265" t="str">
        <f>IF(周转筐出入库明细!$D266="","",周转筐出入库明细!$D266)</f>
        <v/>
      </c>
      <c r="R265">
        <f t="shared" si="176"/>
        <v>0</v>
      </c>
      <c r="S265">
        <f t="shared" si="177"/>
        <v>5</v>
      </c>
      <c r="W265" t="str">
        <f>IF(周转筐出入库明细!$C266="","",周转筐出入库明细!$C266)</f>
        <v/>
      </c>
      <c r="X265">
        <f t="shared" si="178"/>
        <v>0</v>
      </c>
      <c r="Y265">
        <f t="shared" si="179"/>
        <v>12</v>
      </c>
      <c r="AC265" t="str">
        <f>IF(客户自备加工筐明细!$C265="","",客户自备加工筐明细!$C265)</f>
        <v/>
      </c>
      <c r="AD265">
        <f t="shared" si="180"/>
        <v>0</v>
      </c>
      <c r="AE265">
        <f t="shared" si="181"/>
        <v>1</v>
      </c>
      <c r="AI265" t="str">
        <f>IF(客户自备加工筐明细!$E265="","",客户自备加工筐明细!$E265)</f>
        <v/>
      </c>
      <c r="AJ265">
        <f t="shared" si="182"/>
        <v>0</v>
      </c>
      <c r="AK265">
        <f t="shared" si="183"/>
        <v>1</v>
      </c>
      <c r="AO265" t="str">
        <f>IF(次果筐明细!$D265="","",次果筐明细!$D265)</f>
        <v/>
      </c>
      <c r="AP265">
        <f t="shared" si="184"/>
        <v>0</v>
      </c>
      <c r="AQ265">
        <f t="shared" si="185"/>
        <v>1</v>
      </c>
      <c r="AU265" t="str">
        <f>IF(次果筐明细!$C265="","",次果筐明细!$C265)</f>
        <v/>
      </c>
      <c r="AV265">
        <f t="shared" si="186"/>
        <v>0</v>
      </c>
      <c r="AW265">
        <f t="shared" si="187"/>
        <v>1</v>
      </c>
      <c r="BA265" t="str">
        <f>IF(对接源_01水果筐数!$B266="","",对接源_01水果筐数!$B266)</f>
        <v/>
      </c>
      <c r="BB265">
        <f t="shared" si="188"/>
        <v>0</v>
      </c>
      <c r="BC265">
        <f t="shared" si="189"/>
        <v>14</v>
      </c>
      <c r="BE265" t="str">
        <f t="shared" si="190"/>
        <v/>
      </c>
      <c r="BG265" t="str">
        <f>IF(对接源_01水果筐数!$C266="","",对接源_01水果筐数!$C266)</f>
        <v/>
      </c>
      <c r="BH265">
        <f t="shared" si="191"/>
        <v>0</v>
      </c>
      <c r="BI265">
        <f t="shared" si="192"/>
        <v>7</v>
      </c>
      <c r="BS265" t="str">
        <f t="shared" si="170"/>
        <v/>
      </c>
      <c r="BT265">
        <f t="shared" si="193"/>
        <v>0</v>
      </c>
      <c r="BU265">
        <f t="shared" si="194"/>
        <v>14</v>
      </c>
      <c r="BY265" t="str">
        <f t="shared" si="171"/>
        <v/>
      </c>
      <c r="BZ265">
        <f t="shared" si="195"/>
        <v>0</v>
      </c>
      <c r="CA265">
        <f t="shared" si="196"/>
        <v>16</v>
      </c>
      <c r="CP265">
        <f>IF(包装物料出入库明细!$D265="",0,1)</f>
        <v>0</v>
      </c>
      <c r="CQ265">
        <f t="shared" si="197"/>
        <v>37</v>
      </c>
      <c r="CS265" t="str">
        <f>IF(OR(周转筐出入库明细!$C266="",周转筐出入库明细!$F266&lt;&gt;"采购入库"),"",周转筐出入库明细!$C266)</f>
        <v/>
      </c>
      <c r="CT265">
        <f t="shared" si="198"/>
        <v>0</v>
      </c>
      <c r="CU265">
        <f t="shared" si="199"/>
        <v>1</v>
      </c>
    </row>
    <row r="266" spans="1:99">
      <c r="A266" t="str">
        <f>IF(包装物料出入库明细!$E266="","",包装物料出入库明细!$E266)</f>
        <v/>
      </c>
      <c r="B266">
        <f t="shared" si="172"/>
        <v>0</v>
      </c>
      <c r="C266">
        <f t="shared" si="173"/>
        <v>7</v>
      </c>
      <c r="D266" t="str">
        <f>IF(包装物料出入库明细!$E266="","",包装物料出入库明细!$F266)</f>
        <v/>
      </c>
      <c r="E266" t="str">
        <f>IF(包装物料出入库明细!$E266="","",包装物料出入库明细!$G266)</f>
        <v/>
      </c>
      <c r="K266" t="str">
        <f>IF(包装物料出入库明细!$D266="","",包装物料出入库明细!$D266)</f>
        <v/>
      </c>
      <c r="L266">
        <f t="shared" si="174"/>
        <v>0</v>
      </c>
      <c r="M266">
        <f t="shared" si="175"/>
        <v>9</v>
      </c>
      <c r="Q266" t="str">
        <f>IF(周转筐出入库明细!$D267="","",周转筐出入库明细!$D267)</f>
        <v/>
      </c>
      <c r="R266">
        <f t="shared" si="176"/>
        <v>0</v>
      </c>
      <c r="S266">
        <f t="shared" si="177"/>
        <v>5</v>
      </c>
      <c r="W266" t="str">
        <f>IF(周转筐出入库明细!$C267="","",周转筐出入库明细!$C267)</f>
        <v/>
      </c>
      <c r="X266">
        <f t="shared" si="178"/>
        <v>0</v>
      </c>
      <c r="Y266">
        <f t="shared" si="179"/>
        <v>12</v>
      </c>
      <c r="AC266" t="str">
        <f>IF(客户自备加工筐明细!$C266="","",客户自备加工筐明细!$C266)</f>
        <v/>
      </c>
      <c r="AD266">
        <f t="shared" si="180"/>
        <v>0</v>
      </c>
      <c r="AE266">
        <f t="shared" si="181"/>
        <v>1</v>
      </c>
      <c r="AI266" t="str">
        <f>IF(客户自备加工筐明细!$E266="","",客户自备加工筐明细!$E266)</f>
        <v/>
      </c>
      <c r="AJ266">
        <f t="shared" si="182"/>
        <v>0</v>
      </c>
      <c r="AK266">
        <f t="shared" si="183"/>
        <v>1</v>
      </c>
      <c r="AO266" t="str">
        <f>IF(次果筐明细!$D266="","",次果筐明细!$D266)</f>
        <v/>
      </c>
      <c r="AP266">
        <f t="shared" si="184"/>
        <v>0</v>
      </c>
      <c r="AQ266">
        <f t="shared" si="185"/>
        <v>1</v>
      </c>
      <c r="AU266" t="str">
        <f>IF(次果筐明细!$C266="","",次果筐明细!$C266)</f>
        <v/>
      </c>
      <c r="AV266">
        <f t="shared" si="186"/>
        <v>0</v>
      </c>
      <c r="AW266">
        <f t="shared" si="187"/>
        <v>1</v>
      </c>
      <c r="BA266" t="str">
        <f>IF(对接源_01水果筐数!$B267="","",对接源_01水果筐数!$B267)</f>
        <v/>
      </c>
      <c r="BB266">
        <f t="shared" si="188"/>
        <v>0</v>
      </c>
      <c r="BC266">
        <f t="shared" si="189"/>
        <v>14</v>
      </c>
      <c r="BE266" t="str">
        <f t="shared" si="190"/>
        <v/>
      </c>
      <c r="BG266" t="str">
        <f>IF(对接源_01水果筐数!$C267="","",对接源_01水果筐数!$C267)</f>
        <v/>
      </c>
      <c r="BH266">
        <f t="shared" si="191"/>
        <v>0</v>
      </c>
      <c r="BI266">
        <f t="shared" si="192"/>
        <v>7</v>
      </c>
      <c r="BS266" t="str">
        <f t="shared" si="170"/>
        <v/>
      </c>
      <c r="BT266">
        <f t="shared" si="193"/>
        <v>0</v>
      </c>
      <c r="BU266">
        <f t="shared" si="194"/>
        <v>14</v>
      </c>
      <c r="BY266" t="str">
        <f t="shared" si="171"/>
        <v/>
      </c>
      <c r="BZ266">
        <f t="shared" si="195"/>
        <v>0</v>
      </c>
      <c r="CA266">
        <f t="shared" si="196"/>
        <v>16</v>
      </c>
      <c r="CP266">
        <f>IF(包装物料出入库明细!$D266="",0,1)</f>
        <v>0</v>
      </c>
      <c r="CQ266">
        <f t="shared" si="197"/>
        <v>37</v>
      </c>
      <c r="CS266" t="str">
        <f>IF(OR(周转筐出入库明细!$C267="",周转筐出入库明细!$F267&lt;&gt;"采购入库"),"",周转筐出入库明细!$C267)</f>
        <v/>
      </c>
      <c r="CT266">
        <f t="shared" si="198"/>
        <v>0</v>
      </c>
      <c r="CU266">
        <f t="shared" si="199"/>
        <v>1</v>
      </c>
    </row>
    <row r="267" spans="1:99">
      <c r="A267" t="str">
        <f>IF(包装物料出入库明细!$E267="","",包装物料出入库明细!$E267)</f>
        <v/>
      </c>
      <c r="B267">
        <f t="shared" si="172"/>
        <v>0</v>
      </c>
      <c r="C267">
        <f t="shared" si="173"/>
        <v>7</v>
      </c>
      <c r="D267" t="str">
        <f>IF(包装物料出入库明细!$E267="","",包装物料出入库明细!$F267)</f>
        <v/>
      </c>
      <c r="E267" t="str">
        <f>IF(包装物料出入库明细!$E267="","",包装物料出入库明细!$G267)</f>
        <v/>
      </c>
      <c r="K267" t="str">
        <f>IF(包装物料出入库明细!$D267="","",包装物料出入库明细!$D267)</f>
        <v/>
      </c>
      <c r="L267">
        <f t="shared" si="174"/>
        <v>0</v>
      </c>
      <c r="M267">
        <f t="shared" si="175"/>
        <v>9</v>
      </c>
      <c r="Q267" t="str">
        <f>IF(周转筐出入库明细!$D268="","",周转筐出入库明细!$D268)</f>
        <v/>
      </c>
      <c r="R267">
        <f t="shared" si="176"/>
        <v>0</v>
      </c>
      <c r="S267">
        <f t="shared" si="177"/>
        <v>5</v>
      </c>
      <c r="W267" t="str">
        <f>IF(周转筐出入库明细!$C268="","",周转筐出入库明细!$C268)</f>
        <v/>
      </c>
      <c r="X267">
        <f t="shared" si="178"/>
        <v>0</v>
      </c>
      <c r="Y267">
        <f t="shared" si="179"/>
        <v>12</v>
      </c>
      <c r="AC267" t="str">
        <f>IF(客户自备加工筐明细!$C267="","",客户自备加工筐明细!$C267)</f>
        <v/>
      </c>
      <c r="AD267">
        <f t="shared" si="180"/>
        <v>0</v>
      </c>
      <c r="AE267">
        <f t="shared" si="181"/>
        <v>1</v>
      </c>
      <c r="AI267" t="str">
        <f>IF(客户自备加工筐明细!$E267="","",客户自备加工筐明细!$E267)</f>
        <v/>
      </c>
      <c r="AJ267">
        <f t="shared" si="182"/>
        <v>0</v>
      </c>
      <c r="AK267">
        <f t="shared" si="183"/>
        <v>1</v>
      </c>
      <c r="AO267" t="str">
        <f>IF(次果筐明细!$D267="","",次果筐明细!$D267)</f>
        <v/>
      </c>
      <c r="AP267">
        <f t="shared" si="184"/>
        <v>0</v>
      </c>
      <c r="AQ267">
        <f t="shared" si="185"/>
        <v>1</v>
      </c>
      <c r="AU267" t="str">
        <f>IF(次果筐明细!$C267="","",次果筐明细!$C267)</f>
        <v/>
      </c>
      <c r="AV267">
        <f t="shared" si="186"/>
        <v>0</v>
      </c>
      <c r="AW267">
        <f t="shared" si="187"/>
        <v>1</v>
      </c>
      <c r="BA267" t="str">
        <f>IF(对接源_01水果筐数!$B268="","",对接源_01水果筐数!$B268)</f>
        <v/>
      </c>
      <c r="BB267">
        <f t="shared" si="188"/>
        <v>0</v>
      </c>
      <c r="BC267">
        <f t="shared" si="189"/>
        <v>14</v>
      </c>
      <c r="BE267" t="str">
        <f t="shared" si="190"/>
        <v/>
      </c>
      <c r="BG267" t="str">
        <f>IF(对接源_01水果筐数!$C268="","",对接源_01水果筐数!$C268)</f>
        <v/>
      </c>
      <c r="BH267">
        <f t="shared" si="191"/>
        <v>0</v>
      </c>
      <c r="BI267">
        <f t="shared" si="192"/>
        <v>7</v>
      </c>
      <c r="BS267" t="str">
        <f t="shared" si="170"/>
        <v/>
      </c>
      <c r="BT267">
        <f t="shared" si="193"/>
        <v>0</v>
      </c>
      <c r="BU267">
        <f t="shared" si="194"/>
        <v>14</v>
      </c>
      <c r="BY267" t="str">
        <f t="shared" si="171"/>
        <v/>
      </c>
      <c r="BZ267">
        <f t="shared" si="195"/>
        <v>0</v>
      </c>
      <c r="CA267">
        <f t="shared" si="196"/>
        <v>16</v>
      </c>
      <c r="CP267">
        <f>IF(包装物料出入库明细!$D267="",0,1)</f>
        <v>0</v>
      </c>
      <c r="CQ267">
        <f t="shared" si="197"/>
        <v>37</v>
      </c>
      <c r="CS267" t="str">
        <f>IF(OR(周转筐出入库明细!$C268="",周转筐出入库明细!$F268&lt;&gt;"采购入库"),"",周转筐出入库明细!$C268)</f>
        <v/>
      </c>
      <c r="CT267">
        <f t="shared" si="198"/>
        <v>0</v>
      </c>
      <c r="CU267">
        <f t="shared" si="199"/>
        <v>1</v>
      </c>
    </row>
    <row r="268" spans="1:99">
      <c r="A268" t="str">
        <f>IF(包装物料出入库明细!$E268="","",包装物料出入库明细!$E268)</f>
        <v/>
      </c>
      <c r="B268">
        <f t="shared" si="172"/>
        <v>0</v>
      </c>
      <c r="C268">
        <f t="shared" si="173"/>
        <v>7</v>
      </c>
      <c r="D268" t="str">
        <f>IF(包装物料出入库明细!$E268="","",包装物料出入库明细!$F268)</f>
        <v/>
      </c>
      <c r="E268" t="str">
        <f>IF(包装物料出入库明细!$E268="","",包装物料出入库明细!$G268)</f>
        <v/>
      </c>
      <c r="K268" t="str">
        <f>IF(包装物料出入库明细!$D268="","",包装物料出入库明细!$D268)</f>
        <v/>
      </c>
      <c r="L268">
        <f t="shared" si="174"/>
        <v>0</v>
      </c>
      <c r="M268">
        <f t="shared" si="175"/>
        <v>9</v>
      </c>
      <c r="Q268" t="str">
        <f>IF(周转筐出入库明细!$D269="","",周转筐出入库明细!$D269)</f>
        <v/>
      </c>
      <c r="R268">
        <f t="shared" si="176"/>
        <v>0</v>
      </c>
      <c r="S268">
        <f t="shared" si="177"/>
        <v>5</v>
      </c>
      <c r="W268" t="str">
        <f>IF(周转筐出入库明细!$C269="","",周转筐出入库明细!$C269)</f>
        <v/>
      </c>
      <c r="X268">
        <f t="shared" si="178"/>
        <v>0</v>
      </c>
      <c r="Y268">
        <f t="shared" si="179"/>
        <v>12</v>
      </c>
      <c r="AC268" t="str">
        <f>IF(客户自备加工筐明细!$C268="","",客户自备加工筐明细!$C268)</f>
        <v/>
      </c>
      <c r="AD268">
        <f t="shared" si="180"/>
        <v>0</v>
      </c>
      <c r="AE268">
        <f t="shared" si="181"/>
        <v>1</v>
      </c>
      <c r="AI268" t="str">
        <f>IF(客户自备加工筐明细!$E268="","",客户自备加工筐明细!$E268)</f>
        <v/>
      </c>
      <c r="AJ268">
        <f t="shared" si="182"/>
        <v>0</v>
      </c>
      <c r="AK268">
        <f t="shared" si="183"/>
        <v>1</v>
      </c>
      <c r="AO268" t="str">
        <f>IF(次果筐明细!$D268="","",次果筐明细!$D268)</f>
        <v/>
      </c>
      <c r="AP268">
        <f t="shared" si="184"/>
        <v>0</v>
      </c>
      <c r="AQ268">
        <f t="shared" si="185"/>
        <v>1</v>
      </c>
      <c r="AU268" t="str">
        <f>IF(次果筐明细!$C268="","",次果筐明细!$C268)</f>
        <v/>
      </c>
      <c r="AV268">
        <f t="shared" si="186"/>
        <v>0</v>
      </c>
      <c r="AW268">
        <f t="shared" si="187"/>
        <v>1</v>
      </c>
      <c r="BA268" t="str">
        <f>IF(对接源_01水果筐数!$B269="","",对接源_01水果筐数!$B269)</f>
        <v/>
      </c>
      <c r="BB268">
        <f t="shared" si="188"/>
        <v>0</v>
      </c>
      <c r="BC268">
        <f t="shared" si="189"/>
        <v>14</v>
      </c>
      <c r="BE268" t="str">
        <f t="shared" si="190"/>
        <v/>
      </c>
      <c r="BG268" t="str">
        <f>IF(对接源_01水果筐数!$C269="","",对接源_01水果筐数!$C269)</f>
        <v/>
      </c>
      <c r="BH268">
        <f t="shared" si="191"/>
        <v>0</v>
      </c>
      <c r="BI268">
        <f t="shared" si="192"/>
        <v>7</v>
      </c>
      <c r="BS268" t="str">
        <f t="shared" ref="BS268:BS331" si="200">IF($AA68="","",$AA68)</f>
        <v/>
      </c>
      <c r="BT268">
        <f t="shared" si="193"/>
        <v>0</v>
      </c>
      <c r="BU268">
        <f t="shared" si="194"/>
        <v>14</v>
      </c>
      <c r="BY268" t="str">
        <f t="shared" ref="BY268:BY331" si="201">IF($BE68="","",$BE68)</f>
        <v/>
      </c>
      <c r="BZ268">
        <f t="shared" si="195"/>
        <v>0</v>
      </c>
      <c r="CA268">
        <f t="shared" si="196"/>
        <v>16</v>
      </c>
      <c r="CP268">
        <f>IF(包装物料出入库明细!$D268="",0,1)</f>
        <v>0</v>
      </c>
      <c r="CQ268">
        <f t="shared" si="197"/>
        <v>37</v>
      </c>
      <c r="CS268" t="str">
        <f>IF(OR(周转筐出入库明细!$C269="",周转筐出入库明细!$F269&lt;&gt;"采购入库"),"",周转筐出入库明细!$C269)</f>
        <v/>
      </c>
      <c r="CT268">
        <f t="shared" si="198"/>
        <v>0</v>
      </c>
      <c r="CU268">
        <f t="shared" si="199"/>
        <v>1</v>
      </c>
    </row>
    <row r="269" spans="1:99">
      <c r="A269" t="str">
        <f>IF(包装物料出入库明细!$E269="","",包装物料出入库明细!$E269)</f>
        <v/>
      </c>
      <c r="B269">
        <f t="shared" si="172"/>
        <v>0</v>
      </c>
      <c r="C269">
        <f t="shared" si="173"/>
        <v>7</v>
      </c>
      <c r="D269" t="str">
        <f>IF(包装物料出入库明细!$E269="","",包装物料出入库明细!$F269)</f>
        <v/>
      </c>
      <c r="E269" t="str">
        <f>IF(包装物料出入库明细!$E269="","",包装物料出入库明细!$G269)</f>
        <v/>
      </c>
      <c r="K269" t="str">
        <f>IF(包装物料出入库明细!$D269="","",包装物料出入库明细!$D269)</f>
        <v/>
      </c>
      <c r="L269">
        <f t="shared" si="174"/>
        <v>0</v>
      </c>
      <c r="M269">
        <f t="shared" si="175"/>
        <v>9</v>
      </c>
      <c r="Q269" t="str">
        <f>IF(周转筐出入库明细!$D270="","",周转筐出入库明细!$D270)</f>
        <v/>
      </c>
      <c r="R269">
        <f t="shared" si="176"/>
        <v>0</v>
      </c>
      <c r="S269">
        <f t="shared" si="177"/>
        <v>5</v>
      </c>
      <c r="W269" t="str">
        <f>IF(周转筐出入库明细!$C270="","",周转筐出入库明细!$C270)</f>
        <v/>
      </c>
      <c r="X269">
        <f t="shared" si="178"/>
        <v>0</v>
      </c>
      <c r="Y269">
        <f t="shared" si="179"/>
        <v>12</v>
      </c>
      <c r="AC269" t="str">
        <f>IF(客户自备加工筐明细!$C269="","",客户自备加工筐明细!$C269)</f>
        <v/>
      </c>
      <c r="AD269">
        <f t="shared" si="180"/>
        <v>0</v>
      </c>
      <c r="AE269">
        <f t="shared" si="181"/>
        <v>1</v>
      </c>
      <c r="AI269" t="str">
        <f>IF(客户自备加工筐明细!$E269="","",客户自备加工筐明细!$E269)</f>
        <v/>
      </c>
      <c r="AJ269">
        <f t="shared" si="182"/>
        <v>0</v>
      </c>
      <c r="AK269">
        <f t="shared" si="183"/>
        <v>1</v>
      </c>
      <c r="AO269" t="str">
        <f>IF(次果筐明细!$D269="","",次果筐明细!$D269)</f>
        <v/>
      </c>
      <c r="AP269">
        <f t="shared" si="184"/>
        <v>0</v>
      </c>
      <c r="AQ269">
        <f t="shared" si="185"/>
        <v>1</v>
      </c>
      <c r="AU269" t="str">
        <f>IF(次果筐明细!$C269="","",次果筐明细!$C269)</f>
        <v/>
      </c>
      <c r="AV269">
        <f t="shared" si="186"/>
        <v>0</v>
      </c>
      <c r="AW269">
        <f t="shared" si="187"/>
        <v>1</v>
      </c>
      <c r="BA269" t="str">
        <f>IF(对接源_01水果筐数!$B270="","",对接源_01水果筐数!$B270)</f>
        <v/>
      </c>
      <c r="BB269">
        <f t="shared" si="188"/>
        <v>0</v>
      </c>
      <c r="BC269">
        <f t="shared" si="189"/>
        <v>14</v>
      </c>
      <c r="BE269" t="str">
        <f t="shared" si="190"/>
        <v/>
      </c>
      <c r="BG269" t="str">
        <f>IF(对接源_01水果筐数!$C270="","",对接源_01水果筐数!$C270)</f>
        <v/>
      </c>
      <c r="BH269">
        <f t="shared" si="191"/>
        <v>0</v>
      </c>
      <c r="BI269">
        <f t="shared" si="192"/>
        <v>7</v>
      </c>
      <c r="BS269" t="str">
        <f t="shared" si="200"/>
        <v/>
      </c>
      <c r="BT269">
        <f t="shared" si="193"/>
        <v>0</v>
      </c>
      <c r="BU269">
        <f t="shared" si="194"/>
        <v>14</v>
      </c>
      <c r="BY269" t="str">
        <f t="shared" si="201"/>
        <v/>
      </c>
      <c r="BZ269">
        <f t="shared" si="195"/>
        <v>0</v>
      </c>
      <c r="CA269">
        <f t="shared" si="196"/>
        <v>16</v>
      </c>
      <c r="CP269">
        <f>IF(包装物料出入库明细!$D269="",0,1)</f>
        <v>0</v>
      </c>
      <c r="CQ269">
        <f t="shared" si="197"/>
        <v>37</v>
      </c>
      <c r="CS269" t="str">
        <f>IF(OR(周转筐出入库明细!$C270="",周转筐出入库明细!$F270&lt;&gt;"采购入库"),"",周转筐出入库明细!$C270)</f>
        <v/>
      </c>
      <c r="CT269">
        <f t="shared" si="198"/>
        <v>0</v>
      </c>
      <c r="CU269">
        <f t="shared" si="199"/>
        <v>1</v>
      </c>
    </row>
    <row r="270" spans="1:99">
      <c r="A270" t="str">
        <f>IF(包装物料出入库明细!$E270="","",包装物料出入库明细!$E270)</f>
        <v/>
      </c>
      <c r="B270">
        <f t="shared" si="172"/>
        <v>0</v>
      </c>
      <c r="C270">
        <f t="shared" si="173"/>
        <v>7</v>
      </c>
      <c r="D270" t="str">
        <f>IF(包装物料出入库明细!$E270="","",包装物料出入库明细!$F270)</f>
        <v/>
      </c>
      <c r="E270" t="str">
        <f>IF(包装物料出入库明细!$E270="","",包装物料出入库明细!$G270)</f>
        <v/>
      </c>
      <c r="K270" t="str">
        <f>IF(包装物料出入库明细!$D270="","",包装物料出入库明细!$D270)</f>
        <v/>
      </c>
      <c r="L270">
        <f t="shared" si="174"/>
        <v>0</v>
      </c>
      <c r="M270">
        <f t="shared" si="175"/>
        <v>9</v>
      </c>
      <c r="Q270" t="str">
        <f>IF(周转筐出入库明细!$D271="","",周转筐出入库明细!$D271)</f>
        <v/>
      </c>
      <c r="R270">
        <f t="shared" si="176"/>
        <v>0</v>
      </c>
      <c r="S270">
        <f t="shared" si="177"/>
        <v>5</v>
      </c>
      <c r="W270" t="str">
        <f>IF(周转筐出入库明细!$C271="","",周转筐出入库明细!$C271)</f>
        <v/>
      </c>
      <c r="X270">
        <f t="shared" si="178"/>
        <v>0</v>
      </c>
      <c r="Y270">
        <f t="shared" si="179"/>
        <v>12</v>
      </c>
      <c r="AC270" t="str">
        <f>IF(客户自备加工筐明细!$C270="","",客户自备加工筐明细!$C270)</f>
        <v/>
      </c>
      <c r="AD270">
        <f t="shared" si="180"/>
        <v>0</v>
      </c>
      <c r="AE270">
        <f t="shared" si="181"/>
        <v>1</v>
      </c>
      <c r="AI270" t="str">
        <f>IF(客户自备加工筐明细!$E270="","",客户自备加工筐明细!$E270)</f>
        <v/>
      </c>
      <c r="AJ270">
        <f t="shared" si="182"/>
        <v>0</v>
      </c>
      <c r="AK270">
        <f t="shared" si="183"/>
        <v>1</v>
      </c>
      <c r="AO270" t="str">
        <f>IF(次果筐明细!$D270="","",次果筐明细!$D270)</f>
        <v/>
      </c>
      <c r="AP270">
        <f t="shared" si="184"/>
        <v>0</v>
      </c>
      <c r="AQ270">
        <f t="shared" si="185"/>
        <v>1</v>
      </c>
      <c r="AU270" t="str">
        <f>IF(次果筐明细!$C270="","",次果筐明细!$C270)</f>
        <v/>
      </c>
      <c r="AV270">
        <f t="shared" si="186"/>
        <v>0</v>
      </c>
      <c r="AW270">
        <f t="shared" si="187"/>
        <v>1</v>
      </c>
      <c r="BA270" t="str">
        <f>IF(对接源_01水果筐数!$B271="","",对接源_01水果筐数!$B271)</f>
        <v/>
      </c>
      <c r="BB270">
        <f t="shared" si="188"/>
        <v>0</v>
      </c>
      <c r="BC270">
        <f t="shared" si="189"/>
        <v>14</v>
      </c>
      <c r="BE270" t="str">
        <f t="shared" si="190"/>
        <v/>
      </c>
      <c r="BG270" t="str">
        <f>IF(对接源_01水果筐数!$C271="","",对接源_01水果筐数!$C271)</f>
        <v/>
      </c>
      <c r="BH270">
        <f t="shared" si="191"/>
        <v>0</v>
      </c>
      <c r="BI270">
        <f t="shared" si="192"/>
        <v>7</v>
      </c>
      <c r="BS270" t="str">
        <f t="shared" si="200"/>
        <v/>
      </c>
      <c r="BT270">
        <f t="shared" si="193"/>
        <v>0</v>
      </c>
      <c r="BU270">
        <f t="shared" si="194"/>
        <v>14</v>
      </c>
      <c r="BY270" t="str">
        <f t="shared" si="201"/>
        <v/>
      </c>
      <c r="BZ270">
        <f t="shared" si="195"/>
        <v>0</v>
      </c>
      <c r="CA270">
        <f t="shared" si="196"/>
        <v>16</v>
      </c>
      <c r="CP270">
        <f>IF(包装物料出入库明细!$D270="",0,1)</f>
        <v>0</v>
      </c>
      <c r="CQ270">
        <f t="shared" si="197"/>
        <v>37</v>
      </c>
      <c r="CS270" t="str">
        <f>IF(OR(周转筐出入库明细!$C271="",周转筐出入库明细!$F271&lt;&gt;"采购入库"),"",周转筐出入库明细!$C271)</f>
        <v/>
      </c>
      <c r="CT270">
        <f t="shared" si="198"/>
        <v>0</v>
      </c>
      <c r="CU270">
        <f t="shared" si="199"/>
        <v>1</v>
      </c>
    </row>
    <row r="271" spans="1:99">
      <c r="A271" t="str">
        <f>IF(包装物料出入库明细!$E271="","",包装物料出入库明细!$E271)</f>
        <v/>
      </c>
      <c r="B271">
        <f t="shared" si="172"/>
        <v>0</v>
      </c>
      <c r="C271">
        <f t="shared" si="173"/>
        <v>7</v>
      </c>
      <c r="D271" t="str">
        <f>IF(包装物料出入库明细!$E271="","",包装物料出入库明细!$F271)</f>
        <v/>
      </c>
      <c r="E271" t="str">
        <f>IF(包装物料出入库明细!$E271="","",包装物料出入库明细!$G271)</f>
        <v/>
      </c>
      <c r="K271" t="str">
        <f>IF(包装物料出入库明细!$D271="","",包装物料出入库明细!$D271)</f>
        <v/>
      </c>
      <c r="L271">
        <f t="shared" si="174"/>
        <v>0</v>
      </c>
      <c r="M271">
        <f t="shared" si="175"/>
        <v>9</v>
      </c>
      <c r="Q271" t="str">
        <f>IF(周转筐出入库明细!$D272="","",周转筐出入库明细!$D272)</f>
        <v/>
      </c>
      <c r="R271">
        <f t="shared" si="176"/>
        <v>0</v>
      </c>
      <c r="S271">
        <f t="shared" si="177"/>
        <v>5</v>
      </c>
      <c r="W271" t="str">
        <f>IF(周转筐出入库明细!$C272="","",周转筐出入库明细!$C272)</f>
        <v/>
      </c>
      <c r="X271">
        <f t="shared" si="178"/>
        <v>0</v>
      </c>
      <c r="Y271">
        <f t="shared" si="179"/>
        <v>12</v>
      </c>
      <c r="AC271" t="str">
        <f>IF(客户自备加工筐明细!$C271="","",客户自备加工筐明细!$C271)</f>
        <v/>
      </c>
      <c r="AD271">
        <f t="shared" si="180"/>
        <v>0</v>
      </c>
      <c r="AE271">
        <f t="shared" si="181"/>
        <v>1</v>
      </c>
      <c r="AI271" t="str">
        <f>IF(客户自备加工筐明细!$E271="","",客户自备加工筐明细!$E271)</f>
        <v/>
      </c>
      <c r="AJ271">
        <f t="shared" si="182"/>
        <v>0</v>
      </c>
      <c r="AK271">
        <f t="shared" si="183"/>
        <v>1</v>
      </c>
      <c r="AO271" t="str">
        <f>IF(次果筐明细!$D271="","",次果筐明细!$D271)</f>
        <v/>
      </c>
      <c r="AP271">
        <f t="shared" si="184"/>
        <v>0</v>
      </c>
      <c r="AQ271">
        <f t="shared" si="185"/>
        <v>1</v>
      </c>
      <c r="AU271" t="str">
        <f>IF(次果筐明细!$C271="","",次果筐明细!$C271)</f>
        <v/>
      </c>
      <c r="AV271">
        <f t="shared" si="186"/>
        <v>0</v>
      </c>
      <c r="AW271">
        <f t="shared" si="187"/>
        <v>1</v>
      </c>
      <c r="BA271" t="str">
        <f>IF(对接源_01水果筐数!$B272="","",对接源_01水果筐数!$B272)</f>
        <v/>
      </c>
      <c r="BB271">
        <f t="shared" si="188"/>
        <v>0</v>
      </c>
      <c r="BC271">
        <f t="shared" si="189"/>
        <v>14</v>
      </c>
      <c r="BE271" t="str">
        <f t="shared" si="190"/>
        <v/>
      </c>
      <c r="BG271" t="str">
        <f>IF(对接源_01水果筐数!$C272="","",对接源_01水果筐数!$C272)</f>
        <v/>
      </c>
      <c r="BH271">
        <f t="shared" si="191"/>
        <v>0</v>
      </c>
      <c r="BI271">
        <f t="shared" si="192"/>
        <v>7</v>
      </c>
      <c r="BS271" t="str">
        <f t="shared" si="200"/>
        <v/>
      </c>
      <c r="BT271">
        <f t="shared" si="193"/>
        <v>0</v>
      </c>
      <c r="BU271">
        <f t="shared" si="194"/>
        <v>14</v>
      </c>
      <c r="BY271" t="str">
        <f t="shared" si="201"/>
        <v/>
      </c>
      <c r="BZ271">
        <f t="shared" si="195"/>
        <v>0</v>
      </c>
      <c r="CA271">
        <f t="shared" si="196"/>
        <v>16</v>
      </c>
      <c r="CP271">
        <f>IF(包装物料出入库明细!$D271="",0,1)</f>
        <v>0</v>
      </c>
      <c r="CQ271">
        <f t="shared" si="197"/>
        <v>37</v>
      </c>
      <c r="CS271" t="str">
        <f>IF(OR(周转筐出入库明细!$C272="",周转筐出入库明细!$F272&lt;&gt;"采购入库"),"",周转筐出入库明细!$C272)</f>
        <v/>
      </c>
      <c r="CT271">
        <f t="shared" si="198"/>
        <v>0</v>
      </c>
      <c r="CU271">
        <f t="shared" si="199"/>
        <v>1</v>
      </c>
    </row>
    <row r="272" spans="1:99">
      <c r="A272" t="str">
        <f>IF(包装物料出入库明细!$E272="","",包装物料出入库明细!$E272)</f>
        <v/>
      </c>
      <c r="B272">
        <f t="shared" si="172"/>
        <v>0</v>
      </c>
      <c r="C272">
        <f t="shared" si="173"/>
        <v>7</v>
      </c>
      <c r="D272" t="str">
        <f>IF(包装物料出入库明细!$E272="","",包装物料出入库明细!$F272)</f>
        <v/>
      </c>
      <c r="E272" t="str">
        <f>IF(包装物料出入库明细!$E272="","",包装物料出入库明细!$G272)</f>
        <v/>
      </c>
      <c r="K272" t="str">
        <f>IF(包装物料出入库明细!$D272="","",包装物料出入库明细!$D272)</f>
        <v/>
      </c>
      <c r="L272">
        <f t="shared" si="174"/>
        <v>0</v>
      </c>
      <c r="M272">
        <f t="shared" si="175"/>
        <v>9</v>
      </c>
      <c r="Q272" t="str">
        <f>IF(周转筐出入库明细!$D273="","",周转筐出入库明细!$D273)</f>
        <v/>
      </c>
      <c r="R272">
        <f t="shared" si="176"/>
        <v>0</v>
      </c>
      <c r="S272">
        <f t="shared" si="177"/>
        <v>5</v>
      </c>
      <c r="W272" t="str">
        <f>IF(周转筐出入库明细!$C273="","",周转筐出入库明细!$C273)</f>
        <v/>
      </c>
      <c r="X272">
        <f t="shared" si="178"/>
        <v>0</v>
      </c>
      <c r="Y272">
        <f t="shared" si="179"/>
        <v>12</v>
      </c>
      <c r="AC272" t="str">
        <f>IF(客户自备加工筐明细!$C272="","",客户自备加工筐明细!$C272)</f>
        <v/>
      </c>
      <c r="AD272">
        <f t="shared" si="180"/>
        <v>0</v>
      </c>
      <c r="AE272">
        <f t="shared" si="181"/>
        <v>1</v>
      </c>
      <c r="AI272" t="str">
        <f>IF(客户自备加工筐明细!$E272="","",客户自备加工筐明细!$E272)</f>
        <v/>
      </c>
      <c r="AJ272">
        <f t="shared" si="182"/>
        <v>0</v>
      </c>
      <c r="AK272">
        <f t="shared" si="183"/>
        <v>1</v>
      </c>
      <c r="AO272" t="str">
        <f>IF(次果筐明细!$D272="","",次果筐明细!$D272)</f>
        <v/>
      </c>
      <c r="AP272">
        <f t="shared" si="184"/>
        <v>0</v>
      </c>
      <c r="AQ272">
        <f t="shared" si="185"/>
        <v>1</v>
      </c>
      <c r="AU272" t="str">
        <f>IF(次果筐明细!$C272="","",次果筐明细!$C272)</f>
        <v/>
      </c>
      <c r="AV272">
        <f t="shared" si="186"/>
        <v>0</v>
      </c>
      <c r="AW272">
        <f t="shared" si="187"/>
        <v>1</v>
      </c>
      <c r="BA272" t="str">
        <f>IF(对接源_01水果筐数!$B273="","",对接源_01水果筐数!$B273)</f>
        <v/>
      </c>
      <c r="BB272">
        <f t="shared" si="188"/>
        <v>0</v>
      </c>
      <c r="BC272">
        <f t="shared" si="189"/>
        <v>14</v>
      </c>
      <c r="BE272" t="str">
        <f t="shared" si="190"/>
        <v/>
      </c>
      <c r="BG272" t="str">
        <f>IF(对接源_01水果筐数!$C273="","",对接源_01水果筐数!$C273)</f>
        <v/>
      </c>
      <c r="BH272">
        <f t="shared" si="191"/>
        <v>0</v>
      </c>
      <c r="BI272">
        <f t="shared" si="192"/>
        <v>7</v>
      </c>
      <c r="BS272" t="str">
        <f t="shared" si="200"/>
        <v/>
      </c>
      <c r="BT272">
        <f t="shared" si="193"/>
        <v>0</v>
      </c>
      <c r="BU272">
        <f t="shared" si="194"/>
        <v>14</v>
      </c>
      <c r="BY272" t="str">
        <f t="shared" si="201"/>
        <v/>
      </c>
      <c r="BZ272">
        <f t="shared" si="195"/>
        <v>0</v>
      </c>
      <c r="CA272">
        <f t="shared" si="196"/>
        <v>16</v>
      </c>
      <c r="CP272">
        <f>IF(包装物料出入库明细!$D272="",0,1)</f>
        <v>0</v>
      </c>
      <c r="CQ272">
        <f t="shared" si="197"/>
        <v>37</v>
      </c>
      <c r="CS272" t="str">
        <f>IF(OR(周转筐出入库明细!$C273="",周转筐出入库明细!$F273&lt;&gt;"采购入库"),"",周转筐出入库明细!$C273)</f>
        <v/>
      </c>
      <c r="CT272">
        <f t="shared" si="198"/>
        <v>0</v>
      </c>
      <c r="CU272">
        <f t="shared" si="199"/>
        <v>1</v>
      </c>
    </row>
    <row r="273" spans="1:99">
      <c r="A273" t="str">
        <f>IF(包装物料出入库明细!$E273="","",包装物料出入库明细!$E273)</f>
        <v/>
      </c>
      <c r="B273">
        <f t="shared" si="172"/>
        <v>0</v>
      </c>
      <c r="C273">
        <f t="shared" si="173"/>
        <v>7</v>
      </c>
      <c r="D273" t="str">
        <f>IF(包装物料出入库明细!$E273="","",包装物料出入库明细!$F273)</f>
        <v/>
      </c>
      <c r="E273" t="str">
        <f>IF(包装物料出入库明细!$E273="","",包装物料出入库明细!$G273)</f>
        <v/>
      </c>
      <c r="K273" t="str">
        <f>IF(包装物料出入库明细!$D273="","",包装物料出入库明细!$D273)</f>
        <v/>
      </c>
      <c r="L273">
        <f t="shared" si="174"/>
        <v>0</v>
      </c>
      <c r="M273">
        <f t="shared" si="175"/>
        <v>9</v>
      </c>
      <c r="Q273" t="str">
        <f>IF(周转筐出入库明细!$D274="","",周转筐出入库明细!$D274)</f>
        <v/>
      </c>
      <c r="R273">
        <f t="shared" si="176"/>
        <v>0</v>
      </c>
      <c r="S273">
        <f t="shared" si="177"/>
        <v>5</v>
      </c>
      <c r="W273" t="str">
        <f>IF(周转筐出入库明细!$C274="","",周转筐出入库明细!$C274)</f>
        <v/>
      </c>
      <c r="X273">
        <f t="shared" si="178"/>
        <v>0</v>
      </c>
      <c r="Y273">
        <f t="shared" si="179"/>
        <v>12</v>
      </c>
      <c r="AC273" t="str">
        <f>IF(客户自备加工筐明细!$C273="","",客户自备加工筐明细!$C273)</f>
        <v/>
      </c>
      <c r="AD273">
        <f t="shared" si="180"/>
        <v>0</v>
      </c>
      <c r="AE273">
        <f t="shared" si="181"/>
        <v>1</v>
      </c>
      <c r="AI273" t="str">
        <f>IF(客户自备加工筐明细!$E273="","",客户自备加工筐明细!$E273)</f>
        <v/>
      </c>
      <c r="AJ273">
        <f t="shared" si="182"/>
        <v>0</v>
      </c>
      <c r="AK273">
        <f t="shared" si="183"/>
        <v>1</v>
      </c>
      <c r="AO273" t="str">
        <f>IF(次果筐明细!$D273="","",次果筐明细!$D273)</f>
        <v/>
      </c>
      <c r="AP273">
        <f t="shared" si="184"/>
        <v>0</v>
      </c>
      <c r="AQ273">
        <f t="shared" si="185"/>
        <v>1</v>
      </c>
      <c r="AU273" t="str">
        <f>IF(次果筐明细!$C273="","",次果筐明细!$C273)</f>
        <v/>
      </c>
      <c r="AV273">
        <f t="shared" si="186"/>
        <v>0</v>
      </c>
      <c r="AW273">
        <f t="shared" si="187"/>
        <v>1</v>
      </c>
      <c r="BA273" t="str">
        <f>IF(对接源_01水果筐数!$B274="","",对接源_01水果筐数!$B274)</f>
        <v/>
      </c>
      <c r="BB273">
        <f t="shared" si="188"/>
        <v>0</v>
      </c>
      <c r="BC273">
        <f t="shared" si="189"/>
        <v>14</v>
      </c>
      <c r="BE273" t="str">
        <f t="shared" si="190"/>
        <v/>
      </c>
      <c r="BG273" t="str">
        <f>IF(对接源_01水果筐数!$C274="","",对接源_01水果筐数!$C274)</f>
        <v/>
      </c>
      <c r="BH273">
        <f t="shared" si="191"/>
        <v>0</v>
      </c>
      <c r="BI273">
        <f t="shared" si="192"/>
        <v>7</v>
      </c>
      <c r="BS273" t="str">
        <f t="shared" si="200"/>
        <v/>
      </c>
      <c r="BT273">
        <f t="shared" si="193"/>
        <v>0</v>
      </c>
      <c r="BU273">
        <f t="shared" si="194"/>
        <v>14</v>
      </c>
      <c r="BY273" t="str">
        <f t="shared" si="201"/>
        <v/>
      </c>
      <c r="BZ273">
        <f t="shared" si="195"/>
        <v>0</v>
      </c>
      <c r="CA273">
        <f t="shared" si="196"/>
        <v>16</v>
      </c>
      <c r="CP273">
        <f>IF(包装物料出入库明细!$D273="",0,1)</f>
        <v>0</v>
      </c>
      <c r="CQ273">
        <f t="shared" si="197"/>
        <v>37</v>
      </c>
      <c r="CS273" t="str">
        <f>IF(OR(周转筐出入库明细!$C274="",周转筐出入库明细!$F274&lt;&gt;"采购入库"),"",周转筐出入库明细!$C274)</f>
        <v/>
      </c>
      <c r="CT273">
        <f t="shared" si="198"/>
        <v>0</v>
      </c>
      <c r="CU273">
        <f t="shared" si="199"/>
        <v>1</v>
      </c>
    </row>
    <row r="274" spans="1:99">
      <c r="A274" t="str">
        <f>IF(包装物料出入库明细!$E274="","",包装物料出入库明细!$E274)</f>
        <v/>
      </c>
      <c r="B274">
        <f t="shared" si="172"/>
        <v>0</v>
      </c>
      <c r="C274">
        <f t="shared" si="173"/>
        <v>7</v>
      </c>
      <c r="D274" t="str">
        <f>IF(包装物料出入库明细!$E274="","",包装物料出入库明细!$F274)</f>
        <v/>
      </c>
      <c r="E274" t="str">
        <f>IF(包装物料出入库明细!$E274="","",包装物料出入库明细!$G274)</f>
        <v/>
      </c>
      <c r="K274" t="str">
        <f>IF(包装物料出入库明细!$D274="","",包装物料出入库明细!$D274)</f>
        <v/>
      </c>
      <c r="L274">
        <f t="shared" si="174"/>
        <v>0</v>
      </c>
      <c r="M274">
        <f t="shared" si="175"/>
        <v>9</v>
      </c>
      <c r="Q274" t="str">
        <f>IF(周转筐出入库明细!$D275="","",周转筐出入库明细!$D275)</f>
        <v/>
      </c>
      <c r="R274">
        <f t="shared" si="176"/>
        <v>0</v>
      </c>
      <c r="S274">
        <f t="shared" si="177"/>
        <v>5</v>
      </c>
      <c r="W274" t="str">
        <f>IF(周转筐出入库明细!$C275="","",周转筐出入库明细!$C275)</f>
        <v/>
      </c>
      <c r="X274">
        <f t="shared" si="178"/>
        <v>0</v>
      </c>
      <c r="Y274">
        <f t="shared" si="179"/>
        <v>12</v>
      </c>
      <c r="AC274" t="str">
        <f>IF(客户自备加工筐明细!$C274="","",客户自备加工筐明细!$C274)</f>
        <v/>
      </c>
      <c r="AD274">
        <f t="shared" si="180"/>
        <v>0</v>
      </c>
      <c r="AE274">
        <f t="shared" si="181"/>
        <v>1</v>
      </c>
      <c r="AI274" t="str">
        <f>IF(客户自备加工筐明细!$E274="","",客户自备加工筐明细!$E274)</f>
        <v/>
      </c>
      <c r="AJ274">
        <f t="shared" si="182"/>
        <v>0</v>
      </c>
      <c r="AK274">
        <f t="shared" si="183"/>
        <v>1</v>
      </c>
      <c r="AO274" t="str">
        <f>IF(次果筐明细!$D274="","",次果筐明细!$D274)</f>
        <v/>
      </c>
      <c r="AP274">
        <f t="shared" si="184"/>
        <v>0</v>
      </c>
      <c r="AQ274">
        <f t="shared" si="185"/>
        <v>1</v>
      </c>
      <c r="AU274" t="str">
        <f>IF(次果筐明细!$C274="","",次果筐明细!$C274)</f>
        <v/>
      </c>
      <c r="AV274">
        <f t="shared" si="186"/>
        <v>0</v>
      </c>
      <c r="AW274">
        <f t="shared" si="187"/>
        <v>1</v>
      </c>
      <c r="BA274" t="str">
        <f>IF(对接源_01水果筐数!$B275="","",对接源_01水果筐数!$B275)</f>
        <v/>
      </c>
      <c r="BB274">
        <f t="shared" si="188"/>
        <v>0</v>
      </c>
      <c r="BC274">
        <f t="shared" si="189"/>
        <v>14</v>
      </c>
      <c r="BE274" t="str">
        <f t="shared" si="190"/>
        <v/>
      </c>
      <c r="BG274" t="str">
        <f>IF(对接源_01水果筐数!$C275="","",对接源_01水果筐数!$C275)</f>
        <v/>
      </c>
      <c r="BH274">
        <f t="shared" si="191"/>
        <v>0</v>
      </c>
      <c r="BI274">
        <f t="shared" si="192"/>
        <v>7</v>
      </c>
      <c r="BS274" t="str">
        <f t="shared" si="200"/>
        <v/>
      </c>
      <c r="BT274">
        <f t="shared" si="193"/>
        <v>0</v>
      </c>
      <c r="BU274">
        <f t="shared" si="194"/>
        <v>14</v>
      </c>
      <c r="BY274" t="str">
        <f t="shared" si="201"/>
        <v/>
      </c>
      <c r="BZ274">
        <f t="shared" si="195"/>
        <v>0</v>
      </c>
      <c r="CA274">
        <f t="shared" si="196"/>
        <v>16</v>
      </c>
      <c r="CP274">
        <f>IF(包装物料出入库明细!$D274="",0,1)</f>
        <v>0</v>
      </c>
      <c r="CQ274">
        <f t="shared" si="197"/>
        <v>37</v>
      </c>
      <c r="CS274" t="str">
        <f>IF(OR(周转筐出入库明细!$C275="",周转筐出入库明细!$F275&lt;&gt;"采购入库"),"",周转筐出入库明细!$C275)</f>
        <v/>
      </c>
      <c r="CT274">
        <f t="shared" si="198"/>
        <v>0</v>
      </c>
      <c r="CU274">
        <f t="shared" si="199"/>
        <v>1</v>
      </c>
    </row>
    <row r="275" spans="1:99">
      <c r="A275" t="str">
        <f>IF(包装物料出入库明细!$E275="","",包装物料出入库明细!$E275)</f>
        <v/>
      </c>
      <c r="B275">
        <f t="shared" si="172"/>
        <v>0</v>
      </c>
      <c r="C275">
        <f t="shared" si="173"/>
        <v>7</v>
      </c>
      <c r="D275" t="str">
        <f>IF(包装物料出入库明细!$E275="","",包装物料出入库明细!$F275)</f>
        <v/>
      </c>
      <c r="E275" t="str">
        <f>IF(包装物料出入库明细!$E275="","",包装物料出入库明细!$G275)</f>
        <v/>
      </c>
      <c r="K275" t="str">
        <f>IF(包装物料出入库明细!$D275="","",包装物料出入库明细!$D275)</f>
        <v/>
      </c>
      <c r="L275">
        <f t="shared" si="174"/>
        <v>0</v>
      </c>
      <c r="M275">
        <f t="shared" si="175"/>
        <v>9</v>
      </c>
      <c r="Q275" t="str">
        <f>IF(周转筐出入库明细!$D276="","",周转筐出入库明细!$D276)</f>
        <v/>
      </c>
      <c r="R275">
        <f t="shared" si="176"/>
        <v>0</v>
      </c>
      <c r="S275">
        <f t="shared" si="177"/>
        <v>5</v>
      </c>
      <c r="W275" t="str">
        <f>IF(周转筐出入库明细!$C276="","",周转筐出入库明细!$C276)</f>
        <v/>
      </c>
      <c r="X275">
        <f t="shared" si="178"/>
        <v>0</v>
      </c>
      <c r="Y275">
        <f t="shared" si="179"/>
        <v>12</v>
      </c>
      <c r="AC275" t="str">
        <f>IF(客户自备加工筐明细!$C275="","",客户自备加工筐明细!$C275)</f>
        <v/>
      </c>
      <c r="AD275">
        <f t="shared" si="180"/>
        <v>0</v>
      </c>
      <c r="AE275">
        <f t="shared" si="181"/>
        <v>1</v>
      </c>
      <c r="AI275" t="str">
        <f>IF(客户自备加工筐明细!$E275="","",客户自备加工筐明细!$E275)</f>
        <v/>
      </c>
      <c r="AJ275">
        <f t="shared" si="182"/>
        <v>0</v>
      </c>
      <c r="AK275">
        <f t="shared" si="183"/>
        <v>1</v>
      </c>
      <c r="AO275" t="str">
        <f>IF(次果筐明细!$D275="","",次果筐明细!$D275)</f>
        <v/>
      </c>
      <c r="AP275">
        <f t="shared" si="184"/>
        <v>0</v>
      </c>
      <c r="AQ275">
        <f t="shared" si="185"/>
        <v>1</v>
      </c>
      <c r="AU275" t="str">
        <f>IF(次果筐明细!$C275="","",次果筐明细!$C275)</f>
        <v/>
      </c>
      <c r="AV275">
        <f t="shared" si="186"/>
        <v>0</v>
      </c>
      <c r="AW275">
        <f t="shared" si="187"/>
        <v>1</v>
      </c>
      <c r="BA275" t="str">
        <f>IF(对接源_01水果筐数!$B276="","",对接源_01水果筐数!$B276)</f>
        <v/>
      </c>
      <c r="BB275">
        <f t="shared" si="188"/>
        <v>0</v>
      </c>
      <c r="BC275">
        <f t="shared" si="189"/>
        <v>14</v>
      </c>
      <c r="BE275" t="str">
        <f t="shared" si="190"/>
        <v/>
      </c>
      <c r="BG275" t="str">
        <f>IF(对接源_01水果筐数!$C276="","",对接源_01水果筐数!$C276)</f>
        <v/>
      </c>
      <c r="BH275">
        <f t="shared" si="191"/>
        <v>0</v>
      </c>
      <c r="BI275">
        <f t="shared" si="192"/>
        <v>7</v>
      </c>
      <c r="BS275" t="str">
        <f t="shared" si="200"/>
        <v/>
      </c>
      <c r="BT275">
        <f t="shared" si="193"/>
        <v>0</v>
      </c>
      <c r="BU275">
        <f t="shared" si="194"/>
        <v>14</v>
      </c>
      <c r="BY275" t="str">
        <f t="shared" si="201"/>
        <v/>
      </c>
      <c r="BZ275">
        <f t="shared" si="195"/>
        <v>0</v>
      </c>
      <c r="CA275">
        <f t="shared" si="196"/>
        <v>16</v>
      </c>
      <c r="CP275">
        <f>IF(包装物料出入库明细!$D275="",0,1)</f>
        <v>0</v>
      </c>
      <c r="CQ275">
        <f t="shared" si="197"/>
        <v>37</v>
      </c>
      <c r="CS275" t="str">
        <f>IF(OR(周转筐出入库明细!$C276="",周转筐出入库明细!$F276&lt;&gt;"采购入库"),"",周转筐出入库明细!$C276)</f>
        <v/>
      </c>
      <c r="CT275">
        <f t="shared" si="198"/>
        <v>0</v>
      </c>
      <c r="CU275">
        <f t="shared" si="199"/>
        <v>1</v>
      </c>
    </row>
    <row r="276" spans="1:99">
      <c r="A276" t="str">
        <f>IF(包装物料出入库明细!$E276="","",包装物料出入库明细!$E276)</f>
        <v/>
      </c>
      <c r="B276">
        <f t="shared" si="172"/>
        <v>0</v>
      </c>
      <c r="C276">
        <f t="shared" si="173"/>
        <v>7</v>
      </c>
      <c r="D276" t="str">
        <f>IF(包装物料出入库明细!$E276="","",包装物料出入库明细!$F276)</f>
        <v/>
      </c>
      <c r="E276" t="str">
        <f>IF(包装物料出入库明细!$E276="","",包装物料出入库明细!$G276)</f>
        <v/>
      </c>
      <c r="K276" t="str">
        <f>IF(包装物料出入库明细!$D276="","",包装物料出入库明细!$D276)</f>
        <v/>
      </c>
      <c r="L276">
        <f t="shared" si="174"/>
        <v>0</v>
      </c>
      <c r="M276">
        <f t="shared" si="175"/>
        <v>9</v>
      </c>
      <c r="Q276" t="str">
        <f>IF(周转筐出入库明细!$D277="","",周转筐出入库明细!$D277)</f>
        <v/>
      </c>
      <c r="R276">
        <f t="shared" si="176"/>
        <v>0</v>
      </c>
      <c r="S276">
        <f t="shared" si="177"/>
        <v>5</v>
      </c>
      <c r="W276" t="str">
        <f>IF(周转筐出入库明细!$C277="","",周转筐出入库明细!$C277)</f>
        <v/>
      </c>
      <c r="X276">
        <f t="shared" si="178"/>
        <v>0</v>
      </c>
      <c r="Y276">
        <f t="shared" si="179"/>
        <v>12</v>
      </c>
      <c r="AC276" t="str">
        <f>IF(客户自备加工筐明细!$C276="","",客户自备加工筐明细!$C276)</f>
        <v/>
      </c>
      <c r="AD276">
        <f t="shared" si="180"/>
        <v>0</v>
      </c>
      <c r="AE276">
        <f t="shared" si="181"/>
        <v>1</v>
      </c>
      <c r="AI276" t="str">
        <f>IF(客户自备加工筐明细!$E276="","",客户自备加工筐明细!$E276)</f>
        <v/>
      </c>
      <c r="AJ276">
        <f t="shared" si="182"/>
        <v>0</v>
      </c>
      <c r="AK276">
        <f t="shared" si="183"/>
        <v>1</v>
      </c>
      <c r="AO276" t="str">
        <f>IF(次果筐明细!$D276="","",次果筐明细!$D276)</f>
        <v/>
      </c>
      <c r="AP276">
        <f t="shared" si="184"/>
        <v>0</v>
      </c>
      <c r="AQ276">
        <f t="shared" si="185"/>
        <v>1</v>
      </c>
      <c r="AU276" t="str">
        <f>IF(次果筐明细!$C276="","",次果筐明细!$C276)</f>
        <v/>
      </c>
      <c r="AV276">
        <f t="shared" si="186"/>
        <v>0</v>
      </c>
      <c r="AW276">
        <f t="shared" si="187"/>
        <v>1</v>
      </c>
      <c r="BA276" t="str">
        <f>IF(对接源_01水果筐数!$B277="","",对接源_01水果筐数!$B277)</f>
        <v/>
      </c>
      <c r="BB276">
        <f t="shared" si="188"/>
        <v>0</v>
      </c>
      <c r="BC276">
        <f t="shared" si="189"/>
        <v>14</v>
      </c>
      <c r="BE276" t="str">
        <f t="shared" si="190"/>
        <v/>
      </c>
      <c r="BG276" t="str">
        <f>IF(对接源_01水果筐数!$C277="","",对接源_01水果筐数!$C277)</f>
        <v/>
      </c>
      <c r="BH276">
        <f t="shared" si="191"/>
        <v>0</v>
      </c>
      <c r="BI276">
        <f t="shared" si="192"/>
        <v>7</v>
      </c>
      <c r="BS276" t="str">
        <f t="shared" si="200"/>
        <v/>
      </c>
      <c r="BT276">
        <f t="shared" si="193"/>
        <v>0</v>
      </c>
      <c r="BU276">
        <f t="shared" si="194"/>
        <v>14</v>
      </c>
      <c r="BY276" t="str">
        <f t="shared" si="201"/>
        <v/>
      </c>
      <c r="BZ276">
        <f t="shared" si="195"/>
        <v>0</v>
      </c>
      <c r="CA276">
        <f t="shared" si="196"/>
        <v>16</v>
      </c>
      <c r="CP276">
        <f>IF(包装物料出入库明细!$D276="",0,1)</f>
        <v>0</v>
      </c>
      <c r="CQ276">
        <f t="shared" si="197"/>
        <v>37</v>
      </c>
      <c r="CS276" t="str">
        <f>IF(OR(周转筐出入库明细!$C277="",周转筐出入库明细!$F277&lt;&gt;"采购入库"),"",周转筐出入库明细!$C277)</f>
        <v/>
      </c>
      <c r="CT276">
        <f t="shared" si="198"/>
        <v>0</v>
      </c>
      <c r="CU276">
        <f t="shared" si="199"/>
        <v>1</v>
      </c>
    </row>
    <row r="277" spans="1:99">
      <c r="A277" t="str">
        <f>IF(包装物料出入库明细!$E277="","",包装物料出入库明细!$E277)</f>
        <v/>
      </c>
      <c r="B277">
        <f t="shared" si="172"/>
        <v>0</v>
      </c>
      <c r="C277">
        <f t="shared" si="173"/>
        <v>7</v>
      </c>
      <c r="D277" t="str">
        <f>IF(包装物料出入库明细!$E277="","",包装物料出入库明细!$F277)</f>
        <v/>
      </c>
      <c r="E277" t="str">
        <f>IF(包装物料出入库明细!$E277="","",包装物料出入库明细!$G277)</f>
        <v/>
      </c>
      <c r="K277" t="str">
        <f>IF(包装物料出入库明细!$D277="","",包装物料出入库明细!$D277)</f>
        <v/>
      </c>
      <c r="L277">
        <f t="shared" si="174"/>
        <v>0</v>
      </c>
      <c r="M277">
        <f t="shared" si="175"/>
        <v>9</v>
      </c>
      <c r="Q277" t="str">
        <f>IF(周转筐出入库明细!$D278="","",周转筐出入库明细!$D278)</f>
        <v/>
      </c>
      <c r="R277">
        <f t="shared" si="176"/>
        <v>0</v>
      </c>
      <c r="S277">
        <f t="shared" si="177"/>
        <v>5</v>
      </c>
      <c r="W277" t="str">
        <f>IF(周转筐出入库明细!$C278="","",周转筐出入库明细!$C278)</f>
        <v/>
      </c>
      <c r="X277">
        <f t="shared" si="178"/>
        <v>0</v>
      </c>
      <c r="Y277">
        <f t="shared" si="179"/>
        <v>12</v>
      </c>
      <c r="AC277" t="str">
        <f>IF(客户自备加工筐明细!$C277="","",客户自备加工筐明细!$C277)</f>
        <v/>
      </c>
      <c r="AD277">
        <f t="shared" si="180"/>
        <v>0</v>
      </c>
      <c r="AE277">
        <f t="shared" si="181"/>
        <v>1</v>
      </c>
      <c r="AI277" t="str">
        <f>IF(客户自备加工筐明细!$E277="","",客户自备加工筐明细!$E277)</f>
        <v/>
      </c>
      <c r="AJ277">
        <f t="shared" si="182"/>
        <v>0</v>
      </c>
      <c r="AK277">
        <f t="shared" si="183"/>
        <v>1</v>
      </c>
      <c r="AO277" t="str">
        <f>IF(次果筐明细!$D277="","",次果筐明细!$D277)</f>
        <v/>
      </c>
      <c r="AP277">
        <f t="shared" si="184"/>
        <v>0</v>
      </c>
      <c r="AQ277">
        <f t="shared" si="185"/>
        <v>1</v>
      </c>
      <c r="AU277" t="str">
        <f>IF(次果筐明细!$C277="","",次果筐明细!$C277)</f>
        <v/>
      </c>
      <c r="AV277">
        <f t="shared" si="186"/>
        <v>0</v>
      </c>
      <c r="AW277">
        <f t="shared" si="187"/>
        <v>1</v>
      </c>
      <c r="BA277" t="str">
        <f>IF(对接源_01水果筐数!$B278="","",对接源_01水果筐数!$B278)</f>
        <v/>
      </c>
      <c r="BB277">
        <f t="shared" si="188"/>
        <v>0</v>
      </c>
      <c r="BC277">
        <f t="shared" si="189"/>
        <v>14</v>
      </c>
      <c r="BE277" t="str">
        <f t="shared" si="190"/>
        <v/>
      </c>
      <c r="BG277" t="str">
        <f>IF(对接源_01水果筐数!$C278="","",对接源_01水果筐数!$C278)</f>
        <v/>
      </c>
      <c r="BH277">
        <f t="shared" si="191"/>
        <v>0</v>
      </c>
      <c r="BI277">
        <f t="shared" si="192"/>
        <v>7</v>
      </c>
      <c r="BS277" t="str">
        <f t="shared" si="200"/>
        <v/>
      </c>
      <c r="BT277">
        <f t="shared" si="193"/>
        <v>0</v>
      </c>
      <c r="BU277">
        <f t="shared" si="194"/>
        <v>14</v>
      </c>
      <c r="BY277" t="str">
        <f t="shared" si="201"/>
        <v/>
      </c>
      <c r="BZ277">
        <f t="shared" si="195"/>
        <v>0</v>
      </c>
      <c r="CA277">
        <f t="shared" si="196"/>
        <v>16</v>
      </c>
      <c r="CP277">
        <f>IF(包装物料出入库明细!$D277="",0,1)</f>
        <v>0</v>
      </c>
      <c r="CQ277">
        <f t="shared" si="197"/>
        <v>37</v>
      </c>
      <c r="CS277" t="str">
        <f>IF(OR(周转筐出入库明细!$C278="",周转筐出入库明细!$F278&lt;&gt;"采购入库"),"",周转筐出入库明细!$C278)</f>
        <v/>
      </c>
      <c r="CT277">
        <f t="shared" si="198"/>
        <v>0</v>
      </c>
      <c r="CU277">
        <f t="shared" si="199"/>
        <v>1</v>
      </c>
    </row>
    <row r="278" spans="1:99">
      <c r="A278" t="str">
        <f>IF(包装物料出入库明细!$E278="","",包装物料出入库明细!$E278)</f>
        <v/>
      </c>
      <c r="B278">
        <f t="shared" si="172"/>
        <v>0</v>
      </c>
      <c r="C278">
        <f t="shared" si="173"/>
        <v>7</v>
      </c>
      <c r="D278" t="str">
        <f>IF(包装物料出入库明细!$E278="","",包装物料出入库明细!$F278)</f>
        <v/>
      </c>
      <c r="E278" t="str">
        <f>IF(包装物料出入库明细!$E278="","",包装物料出入库明细!$G278)</f>
        <v/>
      </c>
      <c r="K278" t="str">
        <f>IF(包装物料出入库明细!$D278="","",包装物料出入库明细!$D278)</f>
        <v/>
      </c>
      <c r="L278">
        <f t="shared" si="174"/>
        <v>0</v>
      </c>
      <c r="M278">
        <f t="shared" si="175"/>
        <v>9</v>
      </c>
      <c r="Q278" t="str">
        <f>IF(周转筐出入库明细!$D279="","",周转筐出入库明细!$D279)</f>
        <v/>
      </c>
      <c r="R278">
        <f t="shared" si="176"/>
        <v>0</v>
      </c>
      <c r="S278">
        <f t="shared" si="177"/>
        <v>5</v>
      </c>
      <c r="W278" t="str">
        <f>IF(周转筐出入库明细!$C279="","",周转筐出入库明细!$C279)</f>
        <v/>
      </c>
      <c r="X278">
        <f t="shared" si="178"/>
        <v>0</v>
      </c>
      <c r="Y278">
        <f t="shared" si="179"/>
        <v>12</v>
      </c>
      <c r="AC278" t="str">
        <f>IF(客户自备加工筐明细!$C278="","",客户自备加工筐明细!$C278)</f>
        <v/>
      </c>
      <c r="AD278">
        <f t="shared" si="180"/>
        <v>0</v>
      </c>
      <c r="AE278">
        <f t="shared" si="181"/>
        <v>1</v>
      </c>
      <c r="AI278" t="str">
        <f>IF(客户自备加工筐明细!$E278="","",客户自备加工筐明细!$E278)</f>
        <v/>
      </c>
      <c r="AJ278">
        <f t="shared" si="182"/>
        <v>0</v>
      </c>
      <c r="AK278">
        <f t="shared" si="183"/>
        <v>1</v>
      </c>
      <c r="AO278" t="str">
        <f>IF(次果筐明细!$D278="","",次果筐明细!$D278)</f>
        <v/>
      </c>
      <c r="AP278">
        <f t="shared" si="184"/>
        <v>0</v>
      </c>
      <c r="AQ278">
        <f t="shared" si="185"/>
        <v>1</v>
      </c>
      <c r="AU278" t="str">
        <f>IF(次果筐明细!$C278="","",次果筐明细!$C278)</f>
        <v/>
      </c>
      <c r="AV278">
        <f t="shared" si="186"/>
        <v>0</v>
      </c>
      <c r="AW278">
        <f t="shared" si="187"/>
        <v>1</v>
      </c>
      <c r="BA278" t="str">
        <f>IF(对接源_01水果筐数!$B279="","",对接源_01水果筐数!$B279)</f>
        <v/>
      </c>
      <c r="BB278">
        <f t="shared" si="188"/>
        <v>0</v>
      </c>
      <c r="BC278">
        <f t="shared" si="189"/>
        <v>14</v>
      </c>
      <c r="BE278" t="str">
        <f t="shared" si="190"/>
        <v/>
      </c>
      <c r="BG278" t="str">
        <f>IF(对接源_01水果筐数!$C279="","",对接源_01水果筐数!$C279)</f>
        <v/>
      </c>
      <c r="BH278">
        <f t="shared" si="191"/>
        <v>0</v>
      </c>
      <c r="BI278">
        <f t="shared" si="192"/>
        <v>7</v>
      </c>
      <c r="BS278" t="str">
        <f t="shared" si="200"/>
        <v/>
      </c>
      <c r="BT278">
        <f t="shared" si="193"/>
        <v>0</v>
      </c>
      <c r="BU278">
        <f t="shared" si="194"/>
        <v>14</v>
      </c>
      <c r="BY278" t="str">
        <f t="shared" si="201"/>
        <v/>
      </c>
      <c r="BZ278">
        <f t="shared" si="195"/>
        <v>0</v>
      </c>
      <c r="CA278">
        <f t="shared" si="196"/>
        <v>16</v>
      </c>
      <c r="CP278">
        <f>IF(包装物料出入库明细!$D278="",0,1)</f>
        <v>0</v>
      </c>
      <c r="CQ278">
        <f t="shared" si="197"/>
        <v>37</v>
      </c>
      <c r="CS278" t="str">
        <f>IF(OR(周转筐出入库明细!$C279="",周转筐出入库明细!$F279&lt;&gt;"采购入库"),"",周转筐出入库明细!$C279)</f>
        <v/>
      </c>
      <c r="CT278">
        <f t="shared" si="198"/>
        <v>0</v>
      </c>
      <c r="CU278">
        <f t="shared" si="199"/>
        <v>1</v>
      </c>
    </row>
    <row r="279" spans="1:99">
      <c r="A279" t="str">
        <f>IF(包装物料出入库明细!$E279="","",包装物料出入库明细!$E279)</f>
        <v/>
      </c>
      <c r="B279">
        <f t="shared" si="172"/>
        <v>0</v>
      </c>
      <c r="C279">
        <f t="shared" si="173"/>
        <v>7</v>
      </c>
      <c r="D279" t="str">
        <f>IF(包装物料出入库明细!$E279="","",包装物料出入库明细!$F279)</f>
        <v/>
      </c>
      <c r="E279" t="str">
        <f>IF(包装物料出入库明细!$E279="","",包装物料出入库明细!$G279)</f>
        <v/>
      </c>
      <c r="K279" t="str">
        <f>IF(包装物料出入库明细!$D279="","",包装物料出入库明细!$D279)</f>
        <v/>
      </c>
      <c r="L279">
        <f t="shared" si="174"/>
        <v>0</v>
      </c>
      <c r="M279">
        <f t="shared" si="175"/>
        <v>9</v>
      </c>
      <c r="Q279" t="str">
        <f>IF(周转筐出入库明细!$D280="","",周转筐出入库明细!$D280)</f>
        <v/>
      </c>
      <c r="R279">
        <f t="shared" si="176"/>
        <v>0</v>
      </c>
      <c r="S279">
        <f t="shared" si="177"/>
        <v>5</v>
      </c>
      <c r="W279" t="str">
        <f>IF(周转筐出入库明细!$C280="","",周转筐出入库明细!$C280)</f>
        <v/>
      </c>
      <c r="X279">
        <f t="shared" si="178"/>
        <v>0</v>
      </c>
      <c r="Y279">
        <f t="shared" si="179"/>
        <v>12</v>
      </c>
      <c r="AC279" t="str">
        <f>IF(客户自备加工筐明细!$C279="","",客户自备加工筐明细!$C279)</f>
        <v/>
      </c>
      <c r="AD279">
        <f t="shared" si="180"/>
        <v>0</v>
      </c>
      <c r="AE279">
        <f t="shared" si="181"/>
        <v>1</v>
      </c>
      <c r="AI279" t="str">
        <f>IF(客户自备加工筐明细!$E279="","",客户自备加工筐明细!$E279)</f>
        <v/>
      </c>
      <c r="AJ279">
        <f t="shared" si="182"/>
        <v>0</v>
      </c>
      <c r="AK279">
        <f t="shared" si="183"/>
        <v>1</v>
      </c>
      <c r="AO279" t="str">
        <f>IF(次果筐明细!$D279="","",次果筐明细!$D279)</f>
        <v/>
      </c>
      <c r="AP279">
        <f t="shared" si="184"/>
        <v>0</v>
      </c>
      <c r="AQ279">
        <f t="shared" si="185"/>
        <v>1</v>
      </c>
      <c r="AU279" t="str">
        <f>IF(次果筐明细!$C279="","",次果筐明细!$C279)</f>
        <v/>
      </c>
      <c r="AV279">
        <f t="shared" si="186"/>
        <v>0</v>
      </c>
      <c r="AW279">
        <f t="shared" si="187"/>
        <v>1</v>
      </c>
      <c r="BA279" t="str">
        <f>IF(对接源_01水果筐数!$B280="","",对接源_01水果筐数!$B280)</f>
        <v/>
      </c>
      <c r="BB279">
        <f t="shared" si="188"/>
        <v>0</v>
      </c>
      <c r="BC279">
        <f t="shared" si="189"/>
        <v>14</v>
      </c>
      <c r="BE279" t="str">
        <f t="shared" si="190"/>
        <v/>
      </c>
      <c r="BG279" t="str">
        <f>IF(对接源_01水果筐数!$C280="","",对接源_01水果筐数!$C280)</f>
        <v/>
      </c>
      <c r="BH279">
        <f t="shared" si="191"/>
        <v>0</v>
      </c>
      <c r="BI279">
        <f t="shared" si="192"/>
        <v>7</v>
      </c>
      <c r="BS279" t="str">
        <f t="shared" si="200"/>
        <v/>
      </c>
      <c r="BT279">
        <f t="shared" si="193"/>
        <v>0</v>
      </c>
      <c r="BU279">
        <f t="shared" si="194"/>
        <v>14</v>
      </c>
      <c r="BY279" t="str">
        <f t="shared" si="201"/>
        <v/>
      </c>
      <c r="BZ279">
        <f t="shared" si="195"/>
        <v>0</v>
      </c>
      <c r="CA279">
        <f t="shared" si="196"/>
        <v>16</v>
      </c>
      <c r="CP279">
        <f>IF(包装物料出入库明细!$D279="",0,1)</f>
        <v>0</v>
      </c>
      <c r="CQ279">
        <f t="shared" si="197"/>
        <v>37</v>
      </c>
      <c r="CS279" t="str">
        <f>IF(OR(周转筐出入库明细!$C280="",周转筐出入库明细!$F280&lt;&gt;"采购入库"),"",周转筐出入库明细!$C280)</f>
        <v/>
      </c>
      <c r="CT279">
        <f t="shared" si="198"/>
        <v>0</v>
      </c>
      <c r="CU279">
        <f t="shared" si="199"/>
        <v>1</v>
      </c>
    </row>
    <row r="280" spans="1:99">
      <c r="A280" t="str">
        <f>IF(包装物料出入库明细!$E280="","",包装物料出入库明细!$E280)</f>
        <v/>
      </c>
      <c r="B280">
        <f t="shared" si="172"/>
        <v>0</v>
      </c>
      <c r="C280">
        <f t="shared" si="173"/>
        <v>7</v>
      </c>
      <c r="D280" t="str">
        <f>IF(包装物料出入库明细!$E280="","",包装物料出入库明细!$F280)</f>
        <v/>
      </c>
      <c r="E280" t="str">
        <f>IF(包装物料出入库明细!$E280="","",包装物料出入库明细!$G280)</f>
        <v/>
      </c>
      <c r="K280" t="str">
        <f>IF(包装物料出入库明细!$D280="","",包装物料出入库明细!$D280)</f>
        <v/>
      </c>
      <c r="L280">
        <f t="shared" si="174"/>
        <v>0</v>
      </c>
      <c r="M280">
        <f t="shared" si="175"/>
        <v>9</v>
      </c>
      <c r="Q280" t="str">
        <f>IF(周转筐出入库明细!$D281="","",周转筐出入库明细!$D281)</f>
        <v/>
      </c>
      <c r="R280">
        <f t="shared" si="176"/>
        <v>0</v>
      </c>
      <c r="S280">
        <f t="shared" si="177"/>
        <v>5</v>
      </c>
      <c r="W280" t="str">
        <f>IF(周转筐出入库明细!$C281="","",周转筐出入库明细!$C281)</f>
        <v/>
      </c>
      <c r="X280">
        <f t="shared" si="178"/>
        <v>0</v>
      </c>
      <c r="Y280">
        <f t="shared" si="179"/>
        <v>12</v>
      </c>
      <c r="AC280" t="str">
        <f>IF(客户自备加工筐明细!$C280="","",客户自备加工筐明细!$C280)</f>
        <v/>
      </c>
      <c r="AD280">
        <f t="shared" si="180"/>
        <v>0</v>
      </c>
      <c r="AE280">
        <f t="shared" si="181"/>
        <v>1</v>
      </c>
      <c r="AI280" t="str">
        <f>IF(客户自备加工筐明细!$E280="","",客户自备加工筐明细!$E280)</f>
        <v/>
      </c>
      <c r="AJ280">
        <f t="shared" si="182"/>
        <v>0</v>
      </c>
      <c r="AK280">
        <f t="shared" si="183"/>
        <v>1</v>
      </c>
      <c r="AO280" t="str">
        <f>IF(次果筐明细!$D280="","",次果筐明细!$D280)</f>
        <v/>
      </c>
      <c r="AP280">
        <f t="shared" si="184"/>
        <v>0</v>
      </c>
      <c r="AQ280">
        <f t="shared" si="185"/>
        <v>1</v>
      </c>
      <c r="AU280" t="str">
        <f>IF(次果筐明细!$C280="","",次果筐明细!$C280)</f>
        <v/>
      </c>
      <c r="AV280">
        <f t="shared" si="186"/>
        <v>0</v>
      </c>
      <c r="AW280">
        <f t="shared" si="187"/>
        <v>1</v>
      </c>
      <c r="BA280" t="str">
        <f>IF(对接源_01水果筐数!$B281="","",对接源_01水果筐数!$B281)</f>
        <v/>
      </c>
      <c r="BB280">
        <f t="shared" si="188"/>
        <v>0</v>
      </c>
      <c r="BC280">
        <f t="shared" si="189"/>
        <v>14</v>
      </c>
      <c r="BE280" t="str">
        <f t="shared" si="190"/>
        <v/>
      </c>
      <c r="BG280" t="str">
        <f>IF(对接源_01水果筐数!$C281="","",对接源_01水果筐数!$C281)</f>
        <v/>
      </c>
      <c r="BH280">
        <f t="shared" si="191"/>
        <v>0</v>
      </c>
      <c r="BI280">
        <f t="shared" si="192"/>
        <v>7</v>
      </c>
      <c r="BS280" t="str">
        <f t="shared" si="200"/>
        <v/>
      </c>
      <c r="BT280">
        <f t="shared" si="193"/>
        <v>0</v>
      </c>
      <c r="BU280">
        <f t="shared" si="194"/>
        <v>14</v>
      </c>
      <c r="BY280" t="str">
        <f t="shared" si="201"/>
        <v/>
      </c>
      <c r="BZ280">
        <f t="shared" si="195"/>
        <v>0</v>
      </c>
      <c r="CA280">
        <f t="shared" si="196"/>
        <v>16</v>
      </c>
      <c r="CP280">
        <f>IF(包装物料出入库明细!$D280="",0,1)</f>
        <v>0</v>
      </c>
      <c r="CQ280">
        <f t="shared" si="197"/>
        <v>37</v>
      </c>
      <c r="CS280" t="str">
        <f>IF(OR(周转筐出入库明细!$C281="",周转筐出入库明细!$F281&lt;&gt;"采购入库"),"",周转筐出入库明细!$C281)</f>
        <v/>
      </c>
      <c r="CT280">
        <f t="shared" si="198"/>
        <v>0</v>
      </c>
      <c r="CU280">
        <f t="shared" si="199"/>
        <v>1</v>
      </c>
    </row>
    <row r="281" spans="1:99">
      <c r="A281" t="str">
        <f>IF(包装物料出入库明细!$E281="","",包装物料出入库明细!$E281)</f>
        <v/>
      </c>
      <c r="B281">
        <f t="shared" si="172"/>
        <v>0</v>
      </c>
      <c r="C281">
        <f t="shared" si="173"/>
        <v>7</v>
      </c>
      <c r="D281" t="str">
        <f>IF(包装物料出入库明细!$E281="","",包装物料出入库明细!$F281)</f>
        <v/>
      </c>
      <c r="E281" t="str">
        <f>IF(包装物料出入库明细!$E281="","",包装物料出入库明细!$G281)</f>
        <v/>
      </c>
      <c r="K281" t="str">
        <f>IF(包装物料出入库明细!$D281="","",包装物料出入库明细!$D281)</f>
        <v/>
      </c>
      <c r="L281">
        <f t="shared" si="174"/>
        <v>0</v>
      </c>
      <c r="M281">
        <f t="shared" si="175"/>
        <v>9</v>
      </c>
      <c r="Q281" t="str">
        <f>IF(周转筐出入库明细!$D282="","",周转筐出入库明细!$D282)</f>
        <v/>
      </c>
      <c r="R281">
        <f t="shared" si="176"/>
        <v>0</v>
      </c>
      <c r="S281">
        <f t="shared" si="177"/>
        <v>5</v>
      </c>
      <c r="W281" t="str">
        <f>IF(周转筐出入库明细!$C282="","",周转筐出入库明细!$C282)</f>
        <v/>
      </c>
      <c r="X281">
        <f t="shared" si="178"/>
        <v>0</v>
      </c>
      <c r="Y281">
        <f t="shared" si="179"/>
        <v>12</v>
      </c>
      <c r="AC281" t="str">
        <f>IF(客户自备加工筐明细!$C281="","",客户自备加工筐明细!$C281)</f>
        <v/>
      </c>
      <c r="AD281">
        <f t="shared" si="180"/>
        <v>0</v>
      </c>
      <c r="AE281">
        <f t="shared" si="181"/>
        <v>1</v>
      </c>
      <c r="AI281" t="str">
        <f>IF(客户自备加工筐明细!$E281="","",客户自备加工筐明细!$E281)</f>
        <v/>
      </c>
      <c r="AJ281">
        <f t="shared" si="182"/>
        <v>0</v>
      </c>
      <c r="AK281">
        <f t="shared" si="183"/>
        <v>1</v>
      </c>
      <c r="AO281" t="str">
        <f>IF(次果筐明细!$D281="","",次果筐明细!$D281)</f>
        <v/>
      </c>
      <c r="AP281">
        <f t="shared" si="184"/>
        <v>0</v>
      </c>
      <c r="AQ281">
        <f t="shared" si="185"/>
        <v>1</v>
      </c>
      <c r="AU281" t="str">
        <f>IF(次果筐明细!$C281="","",次果筐明细!$C281)</f>
        <v/>
      </c>
      <c r="AV281">
        <f t="shared" si="186"/>
        <v>0</v>
      </c>
      <c r="AW281">
        <f t="shared" si="187"/>
        <v>1</v>
      </c>
      <c r="BA281" t="str">
        <f>IF(对接源_01水果筐数!$B282="","",对接源_01水果筐数!$B282)</f>
        <v/>
      </c>
      <c r="BB281">
        <f t="shared" si="188"/>
        <v>0</v>
      </c>
      <c r="BC281">
        <f t="shared" si="189"/>
        <v>14</v>
      </c>
      <c r="BE281" t="str">
        <f t="shared" si="190"/>
        <v/>
      </c>
      <c r="BG281" t="str">
        <f>IF(对接源_01水果筐数!$C282="","",对接源_01水果筐数!$C282)</f>
        <v/>
      </c>
      <c r="BH281">
        <f t="shared" si="191"/>
        <v>0</v>
      </c>
      <c r="BI281">
        <f t="shared" si="192"/>
        <v>7</v>
      </c>
      <c r="BS281" t="str">
        <f t="shared" si="200"/>
        <v/>
      </c>
      <c r="BT281">
        <f t="shared" si="193"/>
        <v>0</v>
      </c>
      <c r="BU281">
        <f t="shared" si="194"/>
        <v>14</v>
      </c>
      <c r="BY281" t="str">
        <f t="shared" si="201"/>
        <v/>
      </c>
      <c r="BZ281">
        <f t="shared" si="195"/>
        <v>0</v>
      </c>
      <c r="CA281">
        <f t="shared" si="196"/>
        <v>16</v>
      </c>
      <c r="CP281">
        <f>IF(包装物料出入库明细!$D281="",0,1)</f>
        <v>0</v>
      </c>
      <c r="CQ281">
        <f t="shared" si="197"/>
        <v>37</v>
      </c>
      <c r="CS281" t="str">
        <f>IF(OR(周转筐出入库明细!$C282="",周转筐出入库明细!$F282&lt;&gt;"采购入库"),"",周转筐出入库明细!$C282)</f>
        <v/>
      </c>
      <c r="CT281">
        <f t="shared" si="198"/>
        <v>0</v>
      </c>
      <c r="CU281">
        <f t="shared" si="199"/>
        <v>1</v>
      </c>
    </row>
    <row r="282" spans="1:99">
      <c r="A282" t="str">
        <f>IF(包装物料出入库明细!$E282="","",包装物料出入库明细!$E282)</f>
        <v/>
      </c>
      <c r="B282">
        <f t="shared" si="172"/>
        <v>0</v>
      </c>
      <c r="C282">
        <f t="shared" si="173"/>
        <v>7</v>
      </c>
      <c r="D282" t="str">
        <f>IF(包装物料出入库明细!$E282="","",包装物料出入库明细!$F282)</f>
        <v/>
      </c>
      <c r="E282" t="str">
        <f>IF(包装物料出入库明细!$E282="","",包装物料出入库明细!$G282)</f>
        <v/>
      </c>
      <c r="K282" t="str">
        <f>IF(包装物料出入库明细!$D282="","",包装物料出入库明细!$D282)</f>
        <v/>
      </c>
      <c r="L282">
        <f t="shared" si="174"/>
        <v>0</v>
      </c>
      <c r="M282">
        <f t="shared" si="175"/>
        <v>9</v>
      </c>
      <c r="Q282" t="str">
        <f>IF(周转筐出入库明细!$D283="","",周转筐出入库明细!$D283)</f>
        <v/>
      </c>
      <c r="R282">
        <f t="shared" si="176"/>
        <v>0</v>
      </c>
      <c r="S282">
        <f t="shared" si="177"/>
        <v>5</v>
      </c>
      <c r="W282" t="str">
        <f>IF(周转筐出入库明细!$C283="","",周转筐出入库明细!$C283)</f>
        <v/>
      </c>
      <c r="X282">
        <f t="shared" si="178"/>
        <v>0</v>
      </c>
      <c r="Y282">
        <f t="shared" si="179"/>
        <v>12</v>
      </c>
      <c r="AC282" t="str">
        <f>IF(客户自备加工筐明细!$C282="","",客户自备加工筐明细!$C282)</f>
        <v/>
      </c>
      <c r="AD282">
        <f t="shared" si="180"/>
        <v>0</v>
      </c>
      <c r="AE282">
        <f t="shared" si="181"/>
        <v>1</v>
      </c>
      <c r="AI282" t="str">
        <f>IF(客户自备加工筐明细!$E282="","",客户自备加工筐明细!$E282)</f>
        <v/>
      </c>
      <c r="AJ282">
        <f t="shared" si="182"/>
        <v>0</v>
      </c>
      <c r="AK282">
        <f t="shared" si="183"/>
        <v>1</v>
      </c>
      <c r="AO282" t="str">
        <f>IF(次果筐明细!$D282="","",次果筐明细!$D282)</f>
        <v/>
      </c>
      <c r="AP282">
        <f t="shared" si="184"/>
        <v>0</v>
      </c>
      <c r="AQ282">
        <f t="shared" si="185"/>
        <v>1</v>
      </c>
      <c r="AU282" t="str">
        <f>IF(次果筐明细!$C282="","",次果筐明细!$C282)</f>
        <v/>
      </c>
      <c r="AV282">
        <f t="shared" si="186"/>
        <v>0</v>
      </c>
      <c r="AW282">
        <f t="shared" si="187"/>
        <v>1</v>
      </c>
      <c r="BA282" t="str">
        <f>IF(对接源_01水果筐数!$B283="","",对接源_01水果筐数!$B283)</f>
        <v/>
      </c>
      <c r="BB282">
        <f t="shared" si="188"/>
        <v>0</v>
      </c>
      <c r="BC282">
        <f t="shared" si="189"/>
        <v>14</v>
      </c>
      <c r="BE282" t="str">
        <f t="shared" si="190"/>
        <v/>
      </c>
      <c r="BG282" t="str">
        <f>IF(对接源_01水果筐数!$C283="","",对接源_01水果筐数!$C283)</f>
        <v/>
      </c>
      <c r="BH282">
        <f t="shared" si="191"/>
        <v>0</v>
      </c>
      <c r="BI282">
        <f t="shared" si="192"/>
        <v>7</v>
      </c>
      <c r="BS282" t="str">
        <f t="shared" si="200"/>
        <v/>
      </c>
      <c r="BT282">
        <f t="shared" si="193"/>
        <v>0</v>
      </c>
      <c r="BU282">
        <f t="shared" si="194"/>
        <v>14</v>
      </c>
      <c r="BY282" t="str">
        <f t="shared" si="201"/>
        <v/>
      </c>
      <c r="BZ282">
        <f t="shared" si="195"/>
        <v>0</v>
      </c>
      <c r="CA282">
        <f t="shared" si="196"/>
        <v>16</v>
      </c>
      <c r="CP282">
        <f>IF(包装物料出入库明细!$D282="",0,1)</f>
        <v>0</v>
      </c>
      <c r="CQ282">
        <f t="shared" si="197"/>
        <v>37</v>
      </c>
      <c r="CS282" t="str">
        <f>IF(OR(周转筐出入库明细!$C283="",周转筐出入库明细!$F283&lt;&gt;"采购入库"),"",周转筐出入库明细!$C283)</f>
        <v/>
      </c>
      <c r="CT282">
        <f t="shared" si="198"/>
        <v>0</v>
      </c>
      <c r="CU282">
        <f t="shared" si="199"/>
        <v>1</v>
      </c>
    </row>
    <row r="283" spans="1:99">
      <c r="A283" t="str">
        <f>IF(包装物料出入库明细!$E283="","",包装物料出入库明细!$E283)</f>
        <v/>
      </c>
      <c r="B283">
        <f t="shared" si="172"/>
        <v>0</v>
      </c>
      <c r="C283">
        <f t="shared" si="173"/>
        <v>7</v>
      </c>
      <c r="D283" t="str">
        <f>IF(包装物料出入库明细!$E283="","",包装物料出入库明细!$F283)</f>
        <v/>
      </c>
      <c r="E283" t="str">
        <f>IF(包装物料出入库明细!$E283="","",包装物料出入库明细!$G283)</f>
        <v/>
      </c>
      <c r="K283" t="str">
        <f>IF(包装物料出入库明细!$D283="","",包装物料出入库明细!$D283)</f>
        <v/>
      </c>
      <c r="L283">
        <f t="shared" si="174"/>
        <v>0</v>
      </c>
      <c r="M283">
        <f t="shared" si="175"/>
        <v>9</v>
      </c>
      <c r="Q283" t="str">
        <f>IF(周转筐出入库明细!$D284="","",周转筐出入库明细!$D284)</f>
        <v/>
      </c>
      <c r="R283">
        <f t="shared" si="176"/>
        <v>0</v>
      </c>
      <c r="S283">
        <f t="shared" si="177"/>
        <v>5</v>
      </c>
      <c r="W283" t="str">
        <f>IF(周转筐出入库明细!$C284="","",周转筐出入库明细!$C284)</f>
        <v/>
      </c>
      <c r="X283">
        <f t="shared" si="178"/>
        <v>0</v>
      </c>
      <c r="Y283">
        <f t="shared" si="179"/>
        <v>12</v>
      </c>
      <c r="AC283" t="str">
        <f>IF(客户自备加工筐明细!$C283="","",客户自备加工筐明细!$C283)</f>
        <v/>
      </c>
      <c r="AD283">
        <f t="shared" si="180"/>
        <v>0</v>
      </c>
      <c r="AE283">
        <f t="shared" si="181"/>
        <v>1</v>
      </c>
      <c r="AI283" t="str">
        <f>IF(客户自备加工筐明细!$E283="","",客户自备加工筐明细!$E283)</f>
        <v/>
      </c>
      <c r="AJ283">
        <f t="shared" si="182"/>
        <v>0</v>
      </c>
      <c r="AK283">
        <f t="shared" si="183"/>
        <v>1</v>
      </c>
      <c r="AO283" t="str">
        <f>IF(次果筐明细!$D283="","",次果筐明细!$D283)</f>
        <v/>
      </c>
      <c r="AP283">
        <f t="shared" si="184"/>
        <v>0</v>
      </c>
      <c r="AQ283">
        <f t="shared" si="185"/>
        <v>1</v>
      </c>
      <c r="AU283" t="str">
        <f>IF(次果筐明细!$C283="","",次果筐明细!$C283)</f>
        <v/>
      </c>
      <c r="AV283">
        <f t="shared" si="186"/>
        <v>0</v>
      </c>
      <c r="AW283">
        <f t="shared" si="187"/>
        <v>1</v>
      </c>
      <c r="BA283" t="str">
        <f>IF(对接源_01水果筐数!$B284="","",对接源_01水果筐数!$B284)</f>
        <v/>
      </c>
      <c r="BB283">
        <f t="shared" si="188"/>
        <v>0</v>
      </c>
      <c r="BC283">
        <f t="shared" si="189"/>
        <v>14</v>
      </c>
      <c r="BE283" t="str">
        <f t="shared" si="190"/>
        <v/>
      </c>
      <c r="BG283" t="str">
        <f>IF(对接源_01水果筐数!$C284="","",对接源_01水果筐数!$C284)</f>
        <v/>
      </c>
      <c r="BH283">
        <f t="shared" si="191"/>
        <v>0</v>
      </c>
      <c r="BI283">
        <f t="shared" si="192"/>
        <v>7</v>
      </c>
      <c r="BS283" t="str">
        <f t="shared" si="200"/>
        <v/>
      </c>
      <c r="BT283">
        <f t="shared" si="193"/>
        <v>0</v>
      </c>
      <c r="BU283">
        <f t="shared" si="194"/>
        <v>14</v>
      </c>
      <c r="BY283" t="str">
        <f t="shared" si="201"/>
        <v/>
      </c>
      <c r="BZ283">
        <f t="shared" si="195"/>
        <v>0</v>
      </c>
      <c r="CA283">
        <f t="shared" si="196"/>
        <v>16</v>
      </c>
      <c r="CP283">
        <f>IF(包装物料出入库明细!$D283="",0,1)</f>
        <v>0</v>
      </c>
      <c r="CQ283">
        <f t="shared" si="197"/>
        <v>37</v>
      </c>
      <c r="CS283" t="str">
        <f>IF(OR(周转筐出入库明细!$C284="",周转筐出入库明细!$F284&lt;&gt;"采购入库"),"",周转筐出入库明细!$C284)</f>
        <v/>
      </c>
      <c r="CT283">
        <f t="shared" si="198"/>
        <v>0</v>
      </c>
      <c r="CU283">
        <f t="shared" si="199"/>
        <v>1</v>
      </c>
    </row>
    <row r="284" spans="1:99">
      <c r="A284" t="str">
        <f>IF(包装物料出入库明细!$E284="","",包装物料出入库明细!$E284)</f>
        <v/>
      </c>
      <c r="B284">
        <f t="shared" si="172"/>
        <v>0</v>
      </c>
      <c r="C284">
        <f t="shared" si="173"/>
        <v>7</v>
      </c>
      <c r="D284" t="str">
        <f>IF(包装物料出入库明细!$E284="","",包装物料出入库明细!$F284)</f>
        <v/>
      </c>
      <c r="E284" t="str">
        <f>IF(包装物料出入库明细!$E284="","",包装物料出入库明细!$G284)</f>
        <v/>
      </c>
      <c r="K284" t="str">
        <f>IF(包装物料出入库明细!$D284="","",包装物料出入库明细!$D284)</f>
        <v/>
      </c>
      <c r="L284">
        <f t="shared" si="174"/>
        <v>0</v>
      </c>
      <c r="M284">
        <f t="shared" si="175"/>
        <v>9</v>
      </c>
      <c r="Q284" t="str">
        <f>IF(周转筐出入库明细!$D285="","",周转筐出入库明细!$D285)</f>
        <v/>
      </c>
      <c r="R284">
        <f t="shared" si="176"/>
        <v>0</v>
      </c>
      <c r="S284">
        <f t="shared" si="177"/>
        <v>5</v>
      </c>
      <c r="W284" t="str">
        <f>IF(周转筐出入库明细!$C285="","",周转筐出入库明细!$C285)</f>
        <v/>
      </c>
      <c r="X284">
        <f t="shared" si="178"/>
        <v>0</v>
      </c>
      <c r="Y284">
        <f t="shared" si="179"/>
        <v>12</v>
      </c>
      <c r="AC284" t="str">
        <f>IF(客户自备加工筐明细!$C284="","",客户自备加工筐明细!$C284)</f>
        <v/>
      </c>
      <c r="AD284">
        <f t="shared" si="180"/>
        <v>0</v>
      </c>
      <c r="AE284">
        <f t="shared" si="181"/>
        <v>1</v>
      </c>
      <c r="AI284" t="str">
        <f>IF(客户自备加工筐明细!$E284="","",客户自备加工筐明细!$E284)</f>
        <v/>
      </c>
      <c r="AJ284">
        <f t="shared" si="182"/>
        <v>0</v>
      </c>
      <c r="AK284">
        <f t="shared" si="183"/>
        <v>1</v>
      </c>
      <c r="AO284" t="str">
        <f>IF(次果筐明细!$D284="","",次果筐明细!$D284)</f>
        <v/>
      </c>
      <c r="AP284">
        <f t="shared" si="184"/>
        <v>0</v>
      </c>
      <c r="AQ284">
        <f t="shared" si="185"/>
        <v>1</v>
      </c>
      <c r="AU284" t="str">
        <f>IF(次果筐明细!$C284="","",次果筐明细!$C284)</f>
        <v/>
      </c>
      <c r="AV284">
        <f t="shared" si="186"/>
        <v>0</v>
      </c>
      <c r="AW284">
        <f t="shared" si="187"/>
        <v>1</v>
      </c>
      <c r="BA284" t="str">
        <f>IF(对接源_01水果筐数!$B285="","",对接源_01水果筐数!$B285)</f>
        <v/>
      </c>
      <c r="BB284">
        <f t="shared" si="188"/>
        <v>0</v>
      </c>
      <c r="BC284">
        <f t="shared" si="189"/>
        <v>14</v>
      </c>
      <c r="BE284" t="str">
        <f t="shared" si="190"/>
        <v/>
      </c>
      <c r="BG284" t="str">
        <f>IF(对接源_01水果筐数!$C285="","",对接源_01水果筐数!$C285)</f>
        <v/>
      </c>
      <c r="BH284">
        <f t="shared" si="191"/>
        <v>0</v>
      </c>
      <c r="BI284">
        <f t="shared" si="192"/>
        <v>7</v>
      </c>
      <c r="BS284" t="str">
        <f t="shared" si="200"/>
        <v/>
      </c>
      <c r="BT284">
        <f t="shared" si="193"/>
        <v>0</v>
      </c>
      <c r="BU284">
        <f t="shared" si="194"/>
        <v>14</v>
      </c>
      <c r="BY284" t="str">
        <f t="shared" si="201"/>
        <v/>
      </c>
      <c r="BZ284">
        <f t="shared" si="195"/>
        <v>0</v>
      </c>
      <c r="CA284">
        <f t="shared" si="196"/>
        <v>16</v>
      </c>
      <c r="CP284">
        <f>IF(包装物料出入库明细!$D284="",0,1)</f>
        <v>0</v>
      </c>
      <c r="CQ284">
        <f t="shared" si="197"/>
        <v>37</v>
      </c>
      <c r="CS284" t="str">
        <f>IF(OR(周转筐出入库明细!$C285="",周转筐出入库明细!$F285&lt;&gt;"采购入库"),"",周转筐出入库明细!$C285)</f>
        <v/>
      </c>
      <c r="CT284">
        <f t="shared" si="198"/>
        <v>0</v>
      </c>
      <c r="CU284">
        <f t="shared" si="199"/>
        <v>1</v>
      </c>
    </row>
    <row r="285" spans="1:99">
      <c r="A285" t="str">
        <f>IF(包装物料出入库明细!$E285="","",包装物料出入库明细!$E285)</f>
        <v/>
      </c>
      <c r="B285">
        <f t="shared" si="172"/>
        <v>0</v>
      </c>
      <c r="C285">
        <f t="shared" si="173"/>
        <v>7</v>
      </c>
      <c r="D285" t="str">
        <f>IF(包装物料出入库明细!$E285="","",包装物料出入库明细!$F285)</f>
        <v/>
      </c>
      <c r="E285" t="str">
        <f>IF(包装物料出入库明细!$E285="","",包装物料出入库明细!$G285)</f>
        <v/>
      </c>
      <c r="K285" t="str">
        <f>IF(包装物料出入库明细!$D285="","",包装物料出入库明细!$D285)</f>
        <v/>
      </c>
      <c r="L285">
        <f t="shared" si="174"/>
        <v>0</v>
      </c>
      <c r="M285">
        <f t="shared" si="175"/>
        <v>9</v>
      </c>
      <c r="Q285" t="str">
        <f>IF(周转筐出入库明细!$D286="","",周转筐出入库明细!$D286)</f>
        <v/>
      </c>
      <c r="R285">
        <f t="shared" si="176"/>
        <v>0</v>
      </c>
      <c r="S285">
        <f t="shared" si="177"/>
        <v>5</v>
      </c>
      <c r="W285" t="str">
        <f>IF(周转筐出入库明细!$C286="","",周转筐出入库明细!$C286)</f>
        <v/>
      </c>
      <c r="X285">
        <f t="shared" si="178"/>
        <v>0</v>
      </c>
      <c r="Y285">
        <f t="shared" si="179"/>
        <v>12</v>
      </c>
      <c r="AC285" t="str">
        <f>IF(客户自备加工筐明细!$C285="","",客户自备加工筐明细!$C285)</f>
        <v/>
      </c>
      <c r="AD285">
        <f t="shared" si="180"/>
        <v>0</v>
      </c>
      <c r="AE285">
        <f t="shared" si="181"/>
        <v>1</v>
      </c>
      <c r="AI285" t="str">
        <f>IF(客户自备加工筐明细!$E285="","",客户自备加工筐明细!$E285)</f>
        <v/>
      </c>
      <c r="AJ285">
        <f t="shared" si="182"/>
        <v>0</v>
      </c>
      <c r="AK285">
        <f t="shared" si="183"/>
        <v>1</v>
      </c>
      <c r="AO285" t="str">
        <f>IF(次果筐明细!$D285="","",次果筐明细!$D285)</f>
        <v/>
      </c>
      <c r="AP285">
        <f t="shared" si="184"/>
        <v>0</v>
      </c>
      <c r="AQ285">
        <f t="shared" si="185"/>
        <v>1</v>
      </c>
      <c r="AU285" t="str">
        <f>IF(次果筐明细!$C285="","",次果筐明细!$C285)</f>
        <v/>
      </c>
      <c r="AV285">
        <f t="shared" si="186"/>
        <v>0</v>
      </c>
      <c r="AW285">
        <f t="shared" si="187"/>
        <v>1</v>
      </c>
      <c r="BA285" t="str">
        <f>IF(对接源_01水果筐数!$B286="","",对接源_01水果筐数!$B286)</f>
        <v/>
      </c>
      <c r="BB285">
        <f t="shared" si="188"/>
        <v>0</v>
      </c>
      <c r="BC285">
        <f t="shared" si="189"/>
        <v>14</v>
      </c>
      <c r="BE285" t="str">
        <f t="shared" si="190"/>
        <v/>
      </c>
      <c r="BG285" t="str">
        <f>IF(对接源_01水果筐数!$C286="","",对接源_01水果筐数!$C286)</f>
        <v/>
      </c>
      <c r="BH285">
        <f t="shared" si="191"/>
        <v>0</v>
      </c>
      <c r="BI285">
        <f t="shared" si="192"/>
        <v>7</v>
      </c>
      <c r="BS285" t="str">
        <f t="shared" si="200"/>
        <v/>
      </c>
      <c r="BT285">
        <f t="shared" si="193"/>
        <v>0</v>
      </c>
      <c r="BU285">
        <f t="shared" si="194"/>
        <v>14</v>
      </c>
      <c r="BY285" t="str">
        <f t="shared" si="201"/>
        <v/>
      </c>
      <c r="BZ285">
        <f t="shared" si="195"/>
        <v>0</v>
      </c>
      <c r="CA285">
        <f t="shared" si="196"/>
        <v>16</v>
      </c>
      <c r="CP285">
        <f>IF(包装物料出入库明细!$D285="",0,1)</f>
        <v>0</v>
      </c>
      <c r="CQ285">
        <f t="shared" si="197"/>
        <v>37</v>
      </c>
      <c r="CS285" t="str">
        <f>IF(OR(周转筐出入库明细!$C286="",周转筐出入库明细!$F286&lt;&gt;"采购入库"),"",周转筐出入库明细!$C286)</f>
        <v/>
      </c>
      <c r="CT285">
        <f t="shared" si="198"/>
        <v>0</v>
      </c>
      <c r="CU285">
        <f t="shared" si="199"/>
        <v>1</v>
      </c>
    </row>
    <row r="286" spans="1:99">
      <c r="A286" t="str">
        <f>IF(包装物料出入库明细!$E286="","",包装物料出入库明细!$E286)</f>
        <v/>
      </c>
      <c r="B286">
        <f t="shared" si="172"/>
        <v>0</v>
      </c>
      <c r="C286">
        <f t="shared" si="173"/>
        <v>7</v>
      </c>
      <c r="D286" t="str">
        <f>IF(包装物料出入库明细!$E286="","",包装物料出入库明细!$F286)</f>
        <v/>
      </c>
      <c r="E286" t="str">
        <f>IF(包装物料出入库明细!$E286="","",包装物料出入库明细!$G286)</f>
        <v/>
      </c>
      <c r="K286" t="str">
        <f>IF(包装物料出入库明细!$D286="","",包装物料出入库明细!$D286)</f>
        <v/>
      </c>
      <c r="L286">
        <f t="shared" si="174"/>
        <v>0</v>
      </c>
      <c r="M286">
        <f t="shared" si="175"/>
        <v>9</v>
      </c>
      <c r="Q286" t="str">
        <f>IF(周转筐出入库明细!$D287="","",周转筐出入库明细!$D287)</f>
        <v/>
      </c>
      <c r="R286">
        <f t="shared" si="176"/>
        <v>0</v>
      </c>
      <c r="S286">
        <f t="shared" si="177"/>
        <v>5</v>
      </c>
      <c r="W286" t="str">
        <f>IF(周转筐出入库明细!$C287="","",周转筐出入库明细!$C287)</f>
        <v/>
      </c>
      <c r="X286">
        <f t="shared" si="178"/>
        <v>0</v>
      </c>
      <c r="Y286">
        <f t="shared" si="179"/>
        <v>12</v>
      </c>
      <c r="AC286" t="str">
        <f>IF(客户自备加工筐明细!$C286="","",客户自备加工筐明细!$C286)</f>
        <v/>
      </c>
      <c r="AD286">
        <f t="shared" si="180"/>
        <v>0</v>
      </c>
      <c r="AE286">
        <f t="shared" si="181"/>
        <v>1</v>
      </c>
      <c r="AI286" t="str">
        <f>IF(客户自备加工筐明细!$E286="","",客户自备加工筐明细!$E286)</f>
        <v/>
      </c>
      <c r="AJ286">
        <f t="shared" si="182"/>
        <v>0</v>
      </c>
      <c r="AK286">
        <f t="shared" si="183"/>
        <v>1</v>
      </c>
      <c r="AO286" t="str">
        <f>IF(次果筐明细!$D286="","",次果筐明细!$D286)</f>
        <v/>
      </c>
      <c r="AP286">
        <f t="shared" si="184"/>
        <v>0</v>
      </c>
      <c r="AQ286">
        <f t="shared" si="185"/>
        <v>1</v>
      </c>
      <c r="AU286" t="str">
        <f>IF(次果筐明细!$C286="","",次果筐明细!$C286)</f>
        <v/>
      </c>
      <c r="AV286">
        <f t="shared" si="186"/>
        <v>0</v>
      </c>
      <c r="AW286">
        <f t="shared" si="187"/>
        <v>1</v>
      </c>
      <c r="BA286" t="str">
        <f>IF(对接源_01水果筐数!$B287="","",对接源_01水果筐数!$B287)</f>
        <v/>
      </c>
      <c r="BB286">
        <f t="shared" si="188"/>
        <v>0</v>
      </c>
      <c r="BC286">
        <f t="shared" si="189"/>
        <v>14</v>
      </c>
      <c r="BE286" t="str">
        <f t="shared" si="190"/>
        <v/>
      </c>
      <c r="BG286" t="str">
        <f>IF(对接源_01水果筐数!$C287="","",对接源_01水果筐数!$C287)</f>
        <v/>
      </c>
      <c r="BH286">
        <f t="shared" si="191"/>
        <v>0</v>
      </c>
      <c r="BI286">
        <f t="shared" si="192"/>
        <v>7</v>
      </c>
      <c r="BS286" t="str">
        <f t="shared" si="200"/>
        <v/>
      </c>
      <c r="BT286">
        <f t="shared" si="193"/>
        <v>0</v>
      </c>
      <c r="BU286">
        <f t="shared" si="194"/>
        <v>14</v>
      </c>
      <c r="BY286" t="str">
        <f t="shared" si="201"/>
        <v/>
      </c>
      <c r="BZ286">
        <f t="shared" si="195"/>
        <v>0</v>
      </c>
      <c r="CA286">
        <f t="shared" si="196"/>
        <v>16</v>
      </c>
      <c r="CP286">
        <f>IF(包装物料出入库明细!$D286="",0,1)</f>
        <v>0</v>
      </c>
      <c r="CQ286">
        <f t="shared" si="197"/>
        <v>37</v>
      </c>
      <c r="CS286" t="str">
        <f>IF(OR(周转筐出入库明细!$C287="",周转筐出入库明细!$F287&lt;&gt;"采购入库"),"",周转筐出入库明细!$C287)</f>
        <v/>
      </c>
      <c r="CT286">
        <f t="shared" si="198"/>
        <v>0</v>
      </c>
      <c r="CU286">
        <f t="shared" si="199"/>
        <v>1</v>
      </c>
    </row>
    <row r="287" spans="1:99">
      <c r="A287" t="str">
        <f>IF(包装物料出入库明细!$E287="","",包装物料出入库明细!$E287)</f>
        <v/>
      </c>
      <c r="B287">
        <f t="shared" si="172"/>
        <v>0</v>
      </c>
      <c r="C287">
        <f t="shared" si="173"/>
        <v>7</v>
      </c>
      <c r="D287" t="str">
        <f>IF(包装物料出入库明细!$E287="","",包装物料出入库明细!$F287)</f>
        <v/>
      </c>
      <c r="E287" t="str">
        <f>IF(包装物料出入库明细!$E287="","",包装物料出入库明细!$G287)</f>
        <v/>
      </c>
      <c r="K287" t="str">
        <f>IF(包装物料出入库明细!$D287="","",包装物料出入库明细!$D287)</f>
        <v/>
      </c>
      <c r="L287">
        <f t="shared" si="174"/>
        <v>0</v>
      </c>
      <c r="M287">
        <f t="shared" si="175"/>
        <v>9</v>
      </c>
      <c r="Q287" t="str">
        <f>IF(周转筐出入库明细!$D288="","",周转筐出入库明细!$D288)</f>
        <v/>
      </c>
      <c r="R287">
        <f t="shared" si="176"/>
        <v>0</v>
      </c>
      <c r="S287">
        <f t="shared" si="177"/>
        <v>5</v>
      </c>
      <c r="W287" t="str">
        <f>IF(周转筐出入库明细!$C288="","",周转筐出入库明细!$C288)</f>
        <v/>
      </c>
      <c r="X287">
        <f t="shared" si="178"/>
        <v>0</v>
      </c>
      <c r="Y287">
        <f t="shared" si="179"/>
        <v>12</v>
      </c>
      <c r="AC287" t="str">
        <f>IF(客户自备加工筐明细!$C287="","",客户自备加工筐明细!$C287)</f>
        <v/>
      </c>
      <c r="AD287">
        <f t="shared" si="180"/>
        <v>0</v>
      </c>
      <c r="AE287">
        <f t="shared" si="181"/>
        <v>1</v>
      </c>
      <c r="AI287" t="str">
        <f>IF(客户自备加工筐明细!$E287="","",客户自备加工筐明细!$E287)</f>
        <v/>
      </c>
      <c r="AJ287">
        <f t="shared" si="182"/>
        <v>0</v>
      </c>
      <c r="AK287">
        <f t="shared" si="183"/>
        <v>1</v>
      </c>
      <c r="AO287" t="str">
        <f>IF(次果筐明细!$D287="","",次果筐明细!$D287)</f>
        <v/>
      </c>
      <c r="AP287">
        <f t="shared" si="184"/>
        <v>0</v>
      </c>
      <c r="AQ287">
        <f t="shared" si="185"/>
        <v>1</v>
      </c>
      <c r="AU287" t="str">
        <f>IF(次果筐明细!$C287="","",次果筐明细!$C287)</f>
        <v/>
      </c>
      <c r="AV287">
        <f t="shared" si="186"/>
        <v>0</v>
      </c>
      <c r="AW287">
        <f t="shared" si="187"/>
        <v>1</v>
      </c>
      <c r="BA287" t="str">
        <f>IF(对接源_01水果筐数!$B288="","",对接源_01水果筐数!$B288)</f>
        <v/>
      </c>
      <c r="BB287">
        <f t="shared" si="188"/>
        <v>0</v>
      </c>
      <c r="BC287">
        <f t="shared" si="189"/>
        <v>14</v>
      </c>
      <c r="BE287" t="str">
        <f t="shared" si="190"/>
        <v/>
      </c>
      <c r="BG287" t="str">
        <f>IF(对接源_01水果筐数!$C288="","",对接源_01水果筐数!$C288)</f>
        <v/>
      </c>
      <c r="BH287">
        <f t="shared" si="191"/>
        <v>0</v>
      </c>
      <c r="BI287">
        <f t="shared" si="192"/>
        <v>7</v>
      </c>
      <c r="BS287" t="str">
        <f t="shared" si="200"/>
        <v/>
      </c>
      <c r="BT287">
        <f t="shared" si="193"/>
        <v>0</v>
      </c>
      <c r="BU287">
        <f t="shared" si="194"/>
        <v>14</v>
      </c>
      <c r="BY287" t="str">
        <f t="shared" si="201"/>
        <v/>
      </c>
      <c r="BZ287">
        <f t="shared" si="195"/>
        <v>0</v>
      </c>
      <c r="CA287">
        <f t="shared" si="196"/>
        <v>16</v>
      </c>
      <c r="CP287">
        <f>IF(包装物料出入库明细!$D287="",0,1)</f>
        <v>0</v>
      </c>
      <c r="CQ287">
        <f t="shared" si="197"/>
        <v>37</v>
      </c>
      <c r="CS287" t="str">
        <f>IF(OR(周转筐出入库明细!$C288="",周转筐出入库明细!$F288&lt;&gt;"采购入库"),"",周转筐出入库明细!$C288)</f>
        <v/>
      </c>
      <c r="CT287">
        <f t="shared" si="198"/>
        <v>0</v>
      </c>
      <c r="CU287">
        <f t="shared" si="199"/>
        <v>1</v>
      </c>
    </row>
    <row r="288" spans="1:99">
      <c r="A288" t="str">
        <f>IF(包装物料出入库明细!$E288="","",包装物料出入库明细!$E288)</f>
        <v/>
      </c>
      <c r="B288">
        <f t="shared" si="172"/>
        <v>0</v>
      </c>
      <c r="C288">
        <f t="shared" si="173"/>
        <v>7</v>
      </c>
      <c r="D288" t="str">
        <f>IF(包装物料出入库明细!$E288="","",包装物料出入库明细!$F288)</f>
        <v/>
      </c>
      <c r="E288" t="str">
        <f>IF(包装物料出入库明细!$E288="","",包装物料出入库明细!$G288)</f>
        <v/>
      </c>
      <c r="K288" t="str">
        <f>IF(包装物料出入库明细!$D288="","",包装物料出入库明细!$D288)</f>
        <v/>
      </c>
      <c r="L288">
        <f t="shared" si="174"/>
        <v>0</v>
      </c>
      <c r="M288">
        <f t="shared" si="175"/>
        <v>9</v>
      </c>
      <c r="Q288" t="str">
        <f>IF(周转筐出入库明细!$D289="","",周转筐出入库明细!$D289)</f>
        <v/>
      </c>
      <c r="R288">
        <f t="shared" si="176"/>
        <v>0</v>
      </c>
      <c r="S288">
        <f t="shared" si="177"/>
        <v>5</v>
      </c>
      <c r="W288" t="str">
        <f>IF(周转筐出入库明细!$C289="","",周转筐出入库明细!$C289)</f>
        <v/>
      </c>
      <c r="X288">
        <f t="shared" si="178"/>
        <v>0</v>
      </c>
      <c r="Y288">
        <f t="shared" si="179"/>
        <v>12</v>
      </c>
      <c r="AC288" t="str">
        <f>IF(客户自备加工筐明细!$C288="","",客户自备加工筐明细!$C288)</f>
        <v/>
      </c>
      <c r="AD288">
        <f t="shared" si="180"/>
        <v>0</v>
      </c>
      <c r="AE288">
        <f t="shared" si="181"/>
        <v>1</v>
      </c>
      <c r="AI288" t="str">
        <f>IF(客户自备加工筐明细!$E288="","",客户自备加工筐明细!$E288)</f>
        <v/>
      </c>
      <c r="AJ288">
        <f t="shared" si="182"/>
        <v>0</v>
      </c>
      <c r="AK288">
        <f t="shared" si="183"/>
        <v>1</v>
      </c>
      <c r="AO288" t="str">
        <f>IF(次果筐明细!$D288="","",次果筐明细!$D288)</f>
        <v/>
      </c>
      <c r="AP288">
        <f t="shared" si="184"/>
        <v>0</v>
      </c>
      <c r="AQ288">
        <f t="shared" si="185"/>
        <v>1</v>
      </c>
      <c r="AU288" t="str">
        <f>IF(次果筐明细!$C288="","",次果筐明细!$C288)</f>
        <v/>
      </c>
      <c r="AV288">
        <f t="shared" si="186"/>
        <v>0</v>
      </c>
      <c r="AW288">
        <f t="shared" si="187"/>
        <v>1</v>
      </c>
      <c r="BA288" t="str">
        <f>IF(对接源_01水果筐数!$B289="","",对接源_01水果筐数!$B289)</f>
        <v/>
      </c>
      <c r="BB288">
        <f t="shared" si="188"/>
        <v>0</v>
      </c>
      <c r="BC288">
        <f t="shared" si="189"/>
        <v>14</v>
      </c>
      <c r="BE288" t="str">
        <f t="shared" si="190"/>
        <v/>
      </c>
      <c r="BG288" t="str">
        <f>IF(对接源_01水果筐数!$C289="","",对接源_01水果筐数!$C289)</f>
        <v/>
      </c>
      <c r="BH288">
        <f t="shared" si="191"/>
        <v>0</v>
      </c>
      <c r="BI288">
        <f t="shared" si="192"/>
        <v>7</v>
      </c>
      <c r="BS288" t="str">
        <f t="shared" si="200"/>
        <v/>
      </c>
      <c r="BT288">
        <f t="shared" si="193"/>
        <v>0</v>
      </c>
      <c r="BU288">
        <f t="shared" si="194"/>
        <v>14</v>
      </c>
      <c r="BY288" t="str">
        <f t="shared" si="201"/>
        <v/>
      </c>
      <c r="BZ288">
        <f t="shared" si="195"/>
        <v>0</v>
      </c>
      <c r="CA288">
        <f t="shared" si="196"/>
        <v>16</v>
      </c>
      <c r="CP288">
        <f>IF(包装物料出入库明细!$D288="",0,1)</f>
        <v>0</v>
      </c>
      <c r="CQ288">
        <f t="shared" si="197"/>
        <v>37</v>
      </c>
      <c r="CS288" t="str">
        <f>IF(OR(周转筐出入库明细!$C289="",周转筐出入库明细!$F289&lt;&gt;"采购入库"),"",周转筐出入库明细!$C289)</f>
        <v/>
      </c>
      <c r="CT288">
        <f t="shared" si="198"/>
        <v>0</v>
      </c>
      <c r="CU288">
        <f t="shared" si="199"/>
        <v>1</v>
      </c>
    </row>
    <row r="289" spans="1:99">
      <c r="A289" t="str">
        <f>IF(包装物料出入库明细!$E289="","",包装物料出入库明细!$E289)</f>
        <v/>
      </c>
      <c r="B289">
        <f t="shared" si="172"/>
        <v>0</v>
      </c>
      <c r="C289">
        <f t="shared" si="173"/>
        <v>7</v>
      </c>
      <c r="D289" t="str">
        <f>IF(包装物料出入库明细!$E289="","",包装物料出入库明细!$F289)</f>
        <v/>
      </c>
      <c r="E289" t="str">
        <f>IF(包装物料出入库明细!$E289="","",包装物料出入库明细!$G289)</f>
        <v/>
      </c>
      <c r="K289" t="str">
        <f>IF(包装物料出入库明细!$D289="","",包装物料出入库明细!$D289)</f>
        <v/>
      </c>
      <c r="L289">
        <f t="shared" si="174"/>
        <v>0</v>
      </c>
      <c r="M289">
        <f t="shared" si="175"/>
        <v>9</v>
      </c>
      <c r="Q289" t="str">
        <f>IF(周转筐出入库明细!$D290="","",周转筐出入库明细!$D290)</f>
        <v/>
      </c>
      <c r="R289">
        <f t="shared" si="176"/>
        <v>0</v>
      </c>
      <c r="S289">
        <f t="shared" si="177"/>
        <v>5</v>
      </c>
      <c r="W289" t="str">
        <f>IF(周转筐出入库明细!$C290="","",周转筐出入库明细!$C290)</f>
        <v/>
      </c>
      <c r="X289">
        <f t="shared" si="178"/>
        <v>0</v>
      </c>
      <c r="Y289">
        <f t="shared" si="179"/>
        <v>12</v>
      </c>
      <c r="AC289" t="str">
        <f>IF(客户自备加工筐明细!$C289="","",客户自备加工筐明细!$C289)</f>
        <v/>
      </c>
      <c r="AD289">
        <f t="shared" si="180"/>
        <v>0</v>
      </c>
      <c r="AE289">
        <f t="shared" si="181"/>
        <v>1</v>
      </c>
      <c r="AI289" t="str">
        <f>IF(客户自备加工筐明细!$E289="","",客户自备加工筐明细!$E289)</f>
        <v/>
      </c>
      <c r="AJ289">
        <f t="shared" si="182"/>
        <v>0</v>
      </c>
      <c r="AK289">
        <f t="shared" si="183"/>
        <v>1</v>
      </c>
      <c r="AO289" t="str">
        <f>IF(次果筐明细!$D289="","",次果筐明细!$D289)</f>
        <v/>
      </c>
      <c r="AP289">
        <f t="shared" si="184"/>
        <v>0</v>
      </c>
      <c r="AQ289">
        <f t="shared" si="185"/>
        <v>1</v>
      </c>
      <c r="AU289" t="str">
        <f>IF(次果筐明细!$C289="","",次果筐明细!$C289)</f>
        <v/>
      </c>
      <c r="AV289">
        <f t="shared" si="186"/>
        <v>0</v>
      </c>
      <c r="AW289">
        <f t="shared" si="187"/>
        <v>1</v>
      </c>
      <c r="BA289" t="str">
        <f>IF(对接源_01水果筐数!$B290="","",对接源_01水果筐数!$B290)</f>
        <v/>
      </c>
      <c r="BB289">
        <f t="shared" si="188"/>
        <v>0</v>
      </c>
      <c r="BC289">
        <f t="shared" si="189"/>
        <v>14</v>
      </c>
      <c r="BE289" t="str">
        <f t="shared" si="190"/>
        <v/>
      </c>
      <c r="BG289" t="str">
        <f>IF(对接源_01水果筐数!$C290="","",对接源_01水果筐数!$C290)</f>
        <v/>
      </c>
      <c r="BH289">
        <f t="shared" si="191"/>
        <v>0</v>
      </c>
      <c r="BI289">
        <f t="shared" si="192"/>
        <v>7</v>
      </c>
      <c r="BS289" t="str">
        <f t="shared" si="200"/>
        <v/>
      </c>
      <c r="BT289">
        <f t="shared" si="193"/>
        <v>0</v>
      </c>
      <c r="BU289">
        <f t="shared" si="194"/>
        <v>14</v>
      </c>
      <c r="BY289" t="str">
        <f t="shared" si="201"/>
        <v/>
      </c>
      <c r="BZ289">
        <f t="shared" si="195"/>
        <v>0</v>
      </c>
      <c r="CA289">
        <f t="shared" si="196"/>
        <v>16</v>
      </c>
      <c r="CP289">
        <f>IF(包装物料出入库明细!$D289="",0,1)</f>
        <v>0</v>
      </c>
      <c r="CQ289">
        <f t="shared" si="197"/>
        <v>37</v>
      </c>
      <c r="CS289" t="str">
        <f>IF(OR(周转筐出入库明细!$C290="",周转筐出入库明细!$F290&lt;&gt;"采购入库"),"",周转筐出入库明细!$C290)</f>
        <v/>
      </c>
      <c r="CT289">
        <f t="shared" si="198"/>
        <v>0</v>
      </c>
      <c r="CU289">
        <f t="shared" si="199"/>
        <v>1</v>
      </c>
    </row>
    <row r="290" spans="1:99">
      <c r="A290" t="str">
        <f>IF(包装物料出入库明细!$E290="","",包装物料出入库明细!$E290)</f>
        <v/>
      </c>
      <c r="B290">
        <f t="shared" si="172"/>
        <v>0</v>
      </c>
      <c r="C290">
        <f t="shared" si="173"/>
        <v>7</v>
      </c>
      <c r="D290" t="str">
        <f>IF(包装物料出入库明细!$E290="","",包装物料出入库明细!$F290)</f>
        <v/>
      </c>
      <c r="E290" t="str">
        <f>IF(包装物料出入库明细!$E290="","",包装物料出入库明细!$G290)</f>
        <v/>
      </c>
      <c r="K290" t="str">
        <f>IF(包装物料出入库明细!$D290="","",包装物料出入库明细!$D290)</f>
        <v/>
      </c>
      <c r="L290">
        <f t="shared" si="174"/>
        <v>0</v>
      </c>
      <c r="M290">
        <f t="shared" si="175"/>
        <v>9</v>
      </c>
      <c r="Q290" t="str">
        <f>IF(周转筐出入库明细!$D291="","",周转筐出入库明细!$D291)</f>
        <v/>
      </c>
      <c r="R290">
        <f t="shared" si="176"/>
        <v>0</v>
      </c>
      <c r="S290">
        <f t="shared" si="177"/>
        <v>5</v>
      </c>
      <c r="W290" t="str">
        <f>IF(周转筐出入库明细!$C291="","",周转筐出入库明细!$C291)</f>
        <v/>
      </c>
      <c r="X290">
        <f t="shared" si="178"/>
        <v>0</v>
      </c>
      <c r="Y290">
        <f t="shared" si="179"/>
        <v>12</v>
      </c>
      <c r="AC290" t="str">
        <f>IF(客户自备加工筐明细!$C290="","",客户自备加工筐明细!$C290)</f>
        <v/>
      </c>
      <c r="AD290">
        <f t="shared" si="180"/>
        <v>0</v>
      </c>
      <c r="AE290">
        <f t="shared" si="181"/>
        <v>1</v>
      </c>
      <c r="AI290" t="str">
        <f>IF(客户自备加工筐明细!$E290="","",客户自备加工筐明细!$E290)</f>
        <v/>
      </c>
      <c r="AJ290">
        <f t="shared" si="182"/>
        <v>0</v>
      </c>
      <c r="AK290">
        <f t="shared" si="183"/>
        <v>1</v>
      </c>
      <c r="AO290" t="str">
        <f>IF(次果筐明细!$D290="","",次果筐明细!$D290)</f>
        <v/>
      </c>
      <c r="AP290">
        <f t="shared" si="184"/>
        <v>0</v>
      </c>
      <c r="AQ290">
        <f t="shared" si="185"/>
        <v>1</v>
      </c>
      <c r="AU290" t="str">
        <f>IF(次果筐明细!$C290="","",次果筐明细!$C290)</f>
        <v/>
      </c>
      <c r="AV290">
        <f t="shared" si="186"/>
        <v>0</v>
      </c>
      <c r="AW290">
        <f t="shared" si="187"/>
        <v>1</v>
      </c>
      <c r="BA290" t="str">
        <f>IF(对接源_01水果筐数!$B291="","",对接源_01水果筐数!$B291)</f>
        <v/>
      </c>
      <c r="BB290">
        <f t="shared" si="188"/>
        <v>0</v>
      </c>
      <c r="BC290">
        <f t="shared" si="189"/>
        <v>14</v>
      </c>
      <c r="BE290" t="str">
        <f t="shared" si="190"/>
        <v/>
      </c>
      <c r="BG290" t="str">
        <f>IF(对接源_01水果筐数!$C291="","",对接源_01水果筐数!$C291)</f>
        <v/>
      </c>
      <c r="BH290">
        <f t="shared" si="191"/>
        <v>0</v>
      </c>
      <c r="BI290">
        <f t="shared" si="192"/>
        <v>7</v>
      </c>
      <c r="BS290" t="str">
        <f t="shared" si="200"/>
        <v/>
      </c>
      <c r="BT290">
        <f t="shared" si="193"/>
        <v>0</v>
      </c>
      <c r="BU290">
        <f t="shared" si="194"/>
        <v>14</v>
      </c>
      <c r="BY290" t="str">
        <f t="shared" si="201"/>
        <v/>
      </c>
      <c r="BZ290">
        <f t="shared" si="195"/>
        <v>0</v>
      </c>
      <c r="CA290">
        <f t="shared" si="196"/>
        <v>16</v>
      </c>
      <c r="CP290">
        <f>IF(包装物料出入库明细!$D290="",0,1)</f>
        <v>0</v>
      </c>
      <c r="CQ290">
        <f t="shared" si="197"/>
        <v>37</v>
      </c>
      <c r="CS290" t="str">
        <f>IF(OR(周转筐出入库明细!$C291="",周转筐出入库明细!$F291&lt;&gt;"采购入库"),"",周转筐出入库明细!$C291)</f>
        <v/>
      </c>
      <c r="CT290">
        <f t="shared" si="198"/>
        <v>0</v>
      </c>
      <c r="CU290">
        <f t="shared" si="199"/>
        <v>1</v>
      </c>
    </row>
    <row r="291" spans="1:99">
      <c r="A291" t="str">
        <f>IF(包装物料出入库明细!$E291="","",包装物料出入库明细!$E291)</f>
        <v/>
      </c>
      <c r="B291">
        <f t="shared" si="172"/>
        <v>0</v>
      </c>
      <c r="C291">
        <f t="shared" si="173"/>
        <v>7</v>
      </c>
      <c r="D291" t="str">
        <f>IF(包装物料出入库明细!$E291="","",包装物料出入库明细!$F291)</f>
        <v/>
      </c>
      <c r="E291" t="str">
        <f>IF(包装物料出入库明细!$E291="","",包装物料出入库明细!$G291)</f>
        <v/>
      </c>
      <c r="K291" t="str">
        <f>IF(包装物料出入库明细!$D291="","",包装物料出入库明细!$D291)</f>
        <v/>
      </c>
      <c r="L291">
        <f t="shared" si="174"/>
        <v>0</v>
      </c>
      <c r="M291">
        <f t="shared" si="175"/>
        <v>9</v>
      </c>
      <c r="Q291" t="str">
        <f>IF(周转筐出入库明细!$D292="","",周转筐出入库明细!$D292)</f>
        <v/>
      </c>
      <c r="R291">
        <f t="shared" si="176"/>
        <v>0</v>
      </c>
      <c r="S291">
        <f t="shared" si="177"/>
        <v>5</v>
      </c>
      <c r="W291" t="str">
        <f>IF(周转筐出入库明细!$C292="","",周转筐出入库明细!$C292)</f>
        <v/>
      </c>
      <c r="X291">
        <f t="shared" si="178"/>
        <v>0</v>
      </c>
      <c r="Y291">
        <f t="shared" si="179"/>
        <v>12</v>
      </c>
      <c r="AC291" t="str">
        <f>IF(客户自备加工筐明细!$C291="","",客户自备加工筐明细!$C291)</f>
        <v/>
      </c>
      <c r="AD291">
        <f t="shared" si="180"/>
        <v>0</v>
      </c>
      <c r="AE291">
        <f t="shared" si="181"/>
        <v>1</v>
      </c>
      <c r="AI291" t="str">
        <f>IF(客户自备加工筐明细!$E291="","",客户自备加工筐明细!$E291)</f>
        <v/>
      </c>
      <c r="AJ291">
        <f t="shared" si="182"/>
        <v>0</v>
      </c>
      <c r="AK291">
        <f t="shared" si="183"/>
        <v>1</v>
      </c>
      <c r="AO291" t="str">
        <f>IF(次果筐明细!$D291="","",次果筐明细!$D291)</f>
        <v/>
      </c>
      <c r="AP291">
        <f t="shared" si="184"/>
        <v>0</v>
      </c>
      <c r="AQ291">
        <f t="shared" si="185"/>
        <v>1</v>
      </c>
      <c r="AU291" t="str">
        <f>IF(次果筐明细!$C291="","",次果筐明细!$C291)</f>
        <v/>
      </c>
      <c r="AV291">
        <f t="shared" si="186"/>
        <v>0</v>
      </c>
      <c r="AW291">
        <f t="shared" si="187"/>
        <v>1</v>
      </c>
      <c r="BA291" t="str">
        <f>IF(对接源_01水果筐数!$B292="","",对接源_01水果筐数!$B292)</f>
        <v/>
      </c>
      <c r="BB291">
        <f t="shared" si="188"/>
        <v>0</v>
      </c>
      <c r="BC291">
        <f t="shared" si="189"/>
        <v>14</v>
      </c>
      <c r="BE291" t="str">
        <f t="shared" si="190"/>
        <v/>
      </c>
      <c r="BG291" t="str">
        <f>IF(对接源_01水果筐数!$C292="","",对接源_01水果筐数!$C292)</f>
        <v/>
      </c>
      <c r="BH291">
        <f t="shared" si="191"/>
        <v>0</v>
      </c>
      <c r="BI291">
        <f t="shared" si="192"/>
        <v>7</v>
      </c>
      <c r="BS291" t="str">
        <f t="shared" si="200"/>
        <v/>
      </c>
      <c r="BT291">
        <f t="shared" si="193"/>
        <v>0</v>
      </c>
      <c r="BU291">
        <f t="shared" si="194"/>
        <v>14</v>
      </c>
      <c r="BY291" t="str">
        <f t="shared" si="201"/>
        <v/>
      </c>
      <c r="BZ291">
        <f t="shared" si="195"/>
        <v>0</v>
      </c>
      <c r="CA291">
        <f t="shared" si="196"/>
        <v>16</v>
      </c>
      <c r="CP291">
        <f>IF(包装物料出入库明细!$D291="",0,1)</f>
        <v>0</v>
      </c>
      <c r="CQ291">
        <f t="shared" si="197"/>
        <v>37</v>
      </c>
      <c r="CS291" t="str">
        <f>IF(OR(周转筐出入库明细!$C292="",周转筐出入库明细!$F292&lt;&gt;"采购入库"),"",周转筐出入库明细!$C292)</f>
        <v/>
      </c>
      <c r="CT291">
        <f t="shared" si="198"/>
        <v>0</v>
      </c>
      <c r="CU291">
        <f t="shared" si="199"/>
        <v>1</v>
      </c>
    </row>
    <row r="292" spans="1:99">
      <c r="A292" t="str">
        <f>IF(包装物料出入库明细!$E292="","",包装物料出入库明细!$E292)</f>
        <v/>
      </c>
      <c r="B292">
        <f t="shared" si="172"/>
        <v>0</v>
      </c>
      <c r="C292">
        <f t="shared" si="173"/>
        <v>7</v>
      </c>
      <c r="D292" t="str">
        <f>IF(包装物料出入库明细!$E292="","",包装物料出入库明细!$F292)</f>
        <v/>
      </c>
      <c r="E292" t="str">
        <f>IF(包装物料出入库明细!$E292="","",包装物料出入库明细!$G292)</f>
        <v/>
      </c>
      <c r="K292" t="str">
        <f>IF(包装物料出入库明细!$D292="","",包装物料出入库明细!$D292)</f>
        <v/>
      </c>
      <c r="L292">
        <f t="shared" si="174"/>
        <v>0</v>
      </c>
      <c r="M292">
        <f t="shared" si="175"/>
        <v>9</v>
      </c>
      <c r="Q292" t="str">
        <f>IF(周转筐出入库明细!$D293="","",周转筐出入库明细!$D293)</f>
        <v/>
      </c>
      <c r="R292">
        <f t="shared" si="176"/>
        <v>0</v>
      </c>
      <c r="S292">
        <f t="shared" si="177"/>
        <v>5</v>
      </c>
      <c r="W292" t="str">
        <f>IF(周转筐出入库明细!$C293="","",周转筐出入库明细!$C293)</f>
        <v/>
      </c>
      <c r="X292">
        <f t="shared" si="178"/>
        <v>0</v>
      </c>
      <c r="Y292">
        <f t="shared" si="179"/>
        <v>12</v>
      </c>
      <c r="AC292" t="str">
        <f>IF(客户自备加工筐明细!$C292="","",客户自备加工筐明细!$C292)</f>
        <v/>
      </c>
      <c r="AD292">
        <f t="shared" si="180"/>
        <v>0</v>
      </c>
      <c r="AE292">
        <f t="shared" si="181"/>
        <v>1</v>
      </c>
      <c r="AI292" t="str">
        <f>IF(客户自备加工筐明细!$E292="","",客户自备加工筐明细!$E292)</f>
        <v/>
      </c>
      <c r="AJ292">
        <f t="shared" si="182"/>
        <v>0</v>
      </c>
      <c r="AK292">
        <f t="shared" si="183"/>
        <v>1</v>
      </c>
      <c r="AO292" t="str">
        <f>IF(次果筐明细!$D292="","",次果筐明细!$D292)</f>
        <v/>
      </c>
      <c r="AP292">
        <f t="shared" si="184"/>
        <v>0</v>
      </c>
      <c r="AQ292">
        <f t="shared" si="185"/>
        <v>1</v>
      </c>
      <c r="AU292" t="str">
        <f>IF(次果筐明细!$C292="","",次果筐明细!$C292)</f>
        <v/>
      </c>
      <c r="AV292">
        <f t="shared" si="186"/>
        <v>0</v>
      </c>
      <c r="AW292">
        <f t="shared" si="187"/>
        <v>1</v>
      </c>
      <c r="BA292" t="str">
        <f>IF(对接源_01水果筐数!$B293="","",对接源_01水果筐数!$B293)</f>
        <v/>
      </c>
      <c r="BB292">
        <f t="shared" si="188"/>
        <v>0</v>
      </c>
      <c r="BC292">
        <f t="shared" si="189"/>
        <v>14</v>
      </c>
      <c r="BE292" t="str">
        <f t="shared" si="190"/>
        <v/>
      </c>
      <c r="BG292" t="str">
        <f>IF(对接源_01水果筐数!$C293="","",对接源_01水果筐数!$C293)</f>
        <v/>
      </c>
      <c r="BH292">
        <f t="shared" si="191"/>
        <v>0</v>
      </c>
      <c r="BI292">
        <f t="shared" si="192"/>
        <v>7</v>
      </c>
      <c r="BS292" t="str">
        <f t="shared" si="200"/>
        <v/>
      </c>
      <c r="BT292">
        <f t="shared" si="193"/>
        <v>0</v>
      </c>
      <c r="BU292">
        <f t="shared" si="194"/>
        <v>14</v>
      </c>
      <c r="BY292" t="str">
        <f t="shared" si="201"/>
        <v/>
      </c>
      <c r="BZ292">
        <f t="shared" si="195"/>
        <v>0</v>
      </c>
      <c r="CA292">
        <f t="shared" si="196"/>
        <v>16</v>
      </c>
      <c r="CP292">
        <f>IF(包装物料出入库明细!$D292="",0,1)</f>
        <v>0</v>
      </c>
      <c r="CQ292">
        <f t="shared" si="197"/>
        <v>37</v>
      </c>
      <c r="CS292" t="str">
        <f>IF(OR(周转筐出入库明细!$C293="",周转筐出入库明细!$F293&lt;&gt;"采购入库"),"",周转筐出入库明细!$C293)</f>
        <v/>
      </c>
      <c r="CT292">
        <f t="shared" si="198"/>
        <v>0</v>
      </c>
      <c r="CU292">
        <f t="shared" si="199"/>
        <v>1</v>
      </c>
    </row>
    <row r="293" spans="1:99">
      <c r="A293" t="str">
        <f>IF(包装物料出入库明细!$E293="","",包装物料出入库明细!$E293)</f>
        <v/>
      </c>
      <c r="B293">
        <f t="shared" si="172"/>
        <v>0</v>
      </c>
      <c r="C293">
        <f t="shared" si="173"/>
        <v>7</v>
      </c>
      <c r="D293" t="str">
        <f>IF(包装物料出入库明细!$E293="","",包装物料出入库明细!$F293)</f>
        <v/>
      </c>
      <c r="E293" t="str">
        <f>IF(包装物料出入库明细!$E293="","",包装物料出入库明细!$G293)</f>
        <v/>
      </c>
      <c r="K293" t="str">
        <f>IF(包装物料出入库明细!$D293="","",包装物料出入库明细!$D293)</f>
        <v/>
      </c>
      <c r="L293">
        <f t="shared" si="174"/>
        <v>0</v>
      </c>
      <c r="M293">
        <f t="shared" si="175"/>
        <v>9</v>
      </c>
      <c r="Q293" t="str">
        <f>IF(周转筐出入库明细!$D294="","",周转筐出入库明细!$D294)</f>
        <v/>
      </c>
      <c r="R293">
        <f t="shared" si="176"/>
        <v>0</v>
      </c>
      <c r="S293">
        <f t="shared" si="177"/>
        <v>5</v>
      </c>
      <c r="W293" t="str">
        <f>IF(周转筐出入库明细!$C294="","",周转筐出入库明细!$C294)</f>
        <v/>
      </c>
      <c r="X293">
        <f t="shared" si="178"/>
        <v>0</v>
      </c>
      <c r="Y293">
        <f t="shared" si="179"/>
        <v>12</v>
      </c>
      <c r="AC293" t="str">
        <f>IF(客户自备加工筐明细!$C293="","",客户自备加工筐明细!$C293)</f>
        <v/>
      </c>
      <c r="AD293">
        <f t="shared" si="180"/>
        <v>0</v>
      </c>
      <c r="AE293">
        <f t="shared" si="181"/>
        <v>1</v>
      </c>
      <c r="AI293" t="str">
        <f>IF(客户自备加工筐明细!$E293="","",客户自备加工筐明细!$E293)</f>
        <v/>
      </c>
      <c r="AJ293">
        <f t="shared" si="182"/>
        <v>0</v>
      </c>
      <c r="AK293">
        <f t="shared" si="183"/>
        <v>1</v>
      </c>
      <c r="AO293" t="str">
        <f>IF(次果筐明细!$D293="","",次果筐明细!$D293)</f>
        <v/>
      </c>
      <c r="AP293">
        <f t="shared" si="184"/>
        <v>0</v>
      </c>
      <c r="AQ293">
        <f t="shared" si="185"/>
        <v>1</v>
      </c>
      <c r="AU293" t="str">
        <f>IF(次果筐明细!$C293="","",次果筐明细!$C293)</f>
        <v/>
      </c>
      <c r="AV293">
        <f t="shared" si="186"/>
        <v>0</v>
      </c>
      <c r="AW293">
        <f t="shared" si="187"/>
        <v>1</v>
      </c>
      <c r="BA293" t="str">
        <f>IF(对接源_01水果筐数!$B294="","",对接源_01水果筐数!$B294)</f>
        <v/>
      </c>
      <c r="BB293">
        <f t="shared" si="188"/>
        <v>0</v>
      </c>
      <c r="BC293">
        <f t="shared" si="189"/>
        <v>14</v>
      </c>
      <c r="BE293" t="str">
        <f t="shared" si="190"/>
        <v/>
      </c>
      <c r="BG293" t="str">
        <f>IF(对接源_01水果筐数!$C294="","",对接源_01水果筐数!$C294)</f>
        <v/>
      </c>
      <c r="BH293">
        <f t="shared" si="191"/>
        <v>0</v>
      </c>
      <c r="BI293">
        <f t="shared" si="192"/>
        <v>7</v>
      </c>
      <c r="BS293" t="str">
        <f t="shared" si="200"/>
        <v/>
      </c>
      <c r="BT293">
        <f t="shared" si="193"/>
        <v>0</v>
      </c>
      <c r="BU293">
        <f t="shared" si="194"/>
        <v>14</v>
      </c>
      <c r="BY293" t="str">
        <f t="shared" si="201"/>
        <v/>
      </c>
      <c r="BZ293">
        <f t="shared" si="195"/>
        <v>0</v>
      </c>
      <c r="CA293">
        <f t="shared" si="196"/>
        <v>16</v>
      </c>
      <c r="CP293">
        <f>IF(包装物料出入库明细!$D293="",0,1)</f>
        <v>0</v>
      </c>
      <c r="CQ293">
        <f t="shared" si="197"/>
        <v>37</v>
      </c>
      <c r="CS293" t="str">
        <f>IF(OR(周转筐出入库明细!$C294="",周转筐出入库明细!$F294&lt;&gt;"采购入库"),"",周转筐出入库明细!$C294)</f>
        <v/>
      </c>
      <c r="CT293">
        <f t="shared" si="198"/>
        <v>0</v>
      </c>
      <c r="CU293">
        <f t="shared" si="199"/>
        <v>1</v>
      </c>
    </row>
    <row r="294" spans="1:99">
      <c r="A294" t="str">
        <f>IF(包装物料出入库明细!$E294="","",包装物料出入库明细!$E294)</f>
        <v/>
      </c>
      <c r="B294">
        <f t="shared" si="172"/>
        <v>0</v>
      </c>
      <c r="C294">
        <f t="shared" si="173"/>
        <v>7</v>
      </c>
      <c r="D294" t="str">
        <f>IF(包装物料出入库明细!$E294="","",包装物料出入库明细!$F294)</f>
        <v/>
      </c>
      <c r="E294" t="str">
        <f>IF(包装物料出入库明细!$E294="","",包装物料出入库明细!$G294)</f>
        <v/>
      </c>
      <c r="K294" t="str">
        <f>IF(包装物料出入库明细!$D294="","",包装物料出入库明细!$D294)</f>
        <v/>
      </c>
      <c r="L294">
        <f t="shared" si="174"/>
        <v>0</v>
      </c>
      <c r="M294">
        <f t="shared" si="175"/>
        <v>9</v>
      </c>
      <c r="Q294" t="str">
        <f>IF(周转筐出入库明细!$D295="","",周转筐出入库明细!$D295)</f>
        <v/>
      </c>
      <c r="R294">
        <f t="shared" si="176"/>
        <v>0</v>
      </c>
      <c r="S294">
        <f t="shared" si="177"/>
        <v>5</v>
      </c>
      <c r="W294" t="str">
        <f>IF(周转筐出入库明细!$C295="","",周转筐出入库明细!$C295)</f>
        <v/>
      </c>
      <c r="X294">
        <f t="shared" si="178"/>
        <v>0</v>
      </c>
      <c r="Y294">
        <f t="shared" si="179"/>
        <v>12</v>
      </c>
      <c r="AC294" t="str">
        <f>IF(客户自备加工筐明细!$C294="","",客户自备加工筐明细!$C294)</f>
        <v/>
      </c>
      <c r="AD294">
        <f t="shared" si="180"/>
        <v>0</v>
      </c>
      <c r="AE294">
        <f t="shared" si="181"/>
        <v>1</v>
      </c>
      <c r="AI294" t="str">
        <f>IF(客户自备加工筐明细!$E294="","",客户自备加工筐明细!$E294)</f>
        <v/>
      </c>
      <c r="AJ294">
        <f t="shared" si="182"/>
        <v>0</v>
      </c>
      <c r="AK294">
        <f t="shared" si="183"/>
        <v>1</v>
      </c>
      <c r="AO294" t="str">
        <f>IF(次果筐明细!$D294="","",次果筐明细!$D294)</f>
        <v/>
      </c>
      <c r="AP294">
        <f t="shared" si="184"/>
        <v>0</v>
      </c>
      <c r="AQ294">
        <f t="shared" si="185"/>
        <v>1</v>
      </c>
      <c r="AU294" t="str">
        <f>IF(次果筐明细!$C294="","",次果筐明细!$C294)</f>
        <v/>
      </c>
      <c r="AV294">
        <f t="shared" si="186"/>
        <v>0</v>
      </c>
      <c r="AW294">
        <f t="shared" si="187"/>
        <v>1</v>
      </c>
      <c r="BA294" t="str">
        <f>IF(对接源_01水果筐数!$B295="","",对接源_01水果筐数!$B295)</f>
        <v/>
      </c>
      <c r="BB294">
        <f t="shared" si="188"/>
        <v>0</v>
      </c>
      <c r="BC294">
        <f t="shared" si="189"/>
        <v>14</v>
      </c>
      <c r="BE294" t="str">
        <f t="shared" si="190"/>
        <v/>
      </c>
      <c r="BG294" t="str">
        <f>IF(对接源_01水果筐数!$C295="","",对接源_01水果筐数!$C295)</f>
        <v/>
      </c>
      <c r="BH294">
        <f t="shared" si="191"/>
        <v>0</v>
      </c>
      <c r="BI294">
        <f t="shared" si="192"/>
        <v>7</v>
      </c>
      <c r="BS294" t="str">
        <f t="shared" si="200"/>
        <v/>
      </c>
      <c r="BT294">
        <f t="shared" si="193"/>
        <v>0</v>
      </c>
      <c r="BU294">
        <f t="shared" si="194"/>
        <v>14</v>
      </c>
      <c r="BY294" t="str">
        <f t="shared" si="201"/>
        <v/>
      </c>
      <c r="BZ294">
        <f t="shared" si="195"/>
        <v>0</v>
      </c>
      <c r="CA294">
        <f t="shared" si="196"/>
        <v>16</v>
      </c>
      <c r="CP294">
        <f>IF(包装物料出入库明细!$D294="",0,1)</f>
        <v>0</v>
      </c>
      <c r="CQ294">
        <f t="shared" si="197"/>
        <v>37</v>
      </c>
      <c r="CS294" t="str">
        <f>IF(OR(周转筐出入库明细!$C295="",周转筐出入库明细!$F295&lt;&gt;"采购入库"),"",周转筐出入库明细!$C295)</f>
        <v/>
      </c>
      <c r="CT294">
        <f t="shared" si="198"/>
        <v>0</v>
      </c>
      <c r="CU294">
        <f t="shared" si="199"/>
        <v>1</v>
      </c>
    </row>
    <row r="295" spans="1:99">
      <c r="A295" t="str">
        <f>IF(包装物料出入库明细!$E295="","",包装物料出入库明细!$E295)</f>
        <v/>
      </c>
      <c r="B295">
        <f t="shared" si="172"/>
        <v>0</v>
      </c>
      <c r="C295">
        <f t="shared" si="173"/>
        <v>7</v>
      </c>
      <c r="D295" t="str">
        <f>IF(包装物料出入库明细!$E295="","",包装物料出入库明细!$F295)</f>
        <v/>
      </c>
      <c r="E295" t="str">
        <f>IF(包装物料出入库明细!$E295="","",包装物料出入库明细!$G295)</f>
        <v/>
      </c>
      <c r="K295" t="str">
        <f>IF(包装物料出入库明细!$D295="","",包装物料出入库明细!$D295)</f>
        <v/>
      </c>
      <c r="L295">
        <f t="shared" si="174"/>
        <v>0</v>
      </c>
      <c r="M295">
        <f t="shared" si="175"/>
        <v>9</v>
      </c>
      <c r="Q295" t="str">
        <f>IF(周转筐出入库明细!$D296="","",周转筐出入库明细!$D296)</f>
        <v/>
      </c>
      <c r="R295">
        <f t="shared" si="176"/>
        <v>0</v>
      </c>
      <c r="S295">
        <f t="shared" si="177"/>
        <v>5</v>
      </c>
      <c r="W295" t="str">
        <f>IF(周转筐出入库明细!$C296="","",周转筐出入库明细!$C296)</f>
        <v/>
      </c>
      <c r="X295">
        <f t="shared" si="178"/>
        <v>0</v>
      </c>
      <c r="Y295">
        <f t="shared" si="179"/>
        <v>12</v>
      </c>
      <c r="AC295" t="str">
        <f>IF(客户自备加工筐明细!$C295="","",客户自备加工筐明细!$C295)</f>
        <v/>
      </c>
      <c r="AD295">
        <f t="shared" si="180"/>
        <v>0</v>
      </c>
      <c r="AE295">
        <f t="shared" si="181"/>
        <v>1</v>
      </c>
      <c r="AI295" t="str">
        <f>IF(客户自备加工筐明细!$E295="","",客户自备加工筐明细!$E295)</f>
        <v/>
      </c>
      <c r="AJ295">
        <f t="shared" si="182"/>
        <v>0</v>
      </c>
      <c r="AK295">
        <f t="shared" si="183"/>
        <v>1</v>
      </c>
      <c r="AO295" t="str">
        <f>IF(次果筐明细!$D295="","",次果筐明细!$D295)</f>
        <v/>
      </c>
      <c r="AP295">
        <f t="shared" si="184"/>
        <v>0</v>
      </c>
      <c r="AQ295">
        <f t="shared" si="185"/>
        <v>1</v>
      </c>
      <c r="AU295" t="str">
        <f>IF(次果筐明细!$C295="","",次果筐明细!$C295)</f>
        <v/>
      </c>
      <c r="AV295">
        <f t="shared" si="186"/>
        <v>0</v>
      </c>
      <c r="AW295">
        <f t="shared" si="187"/>
        <v>1</v>
      </c>
      <c r="BA295" t="str">
        <f>IF(对接源_01水果筐数!$B296="","",对接源_01水果筐数!$B296)</f>
        <v/>
      </c>
      <c r="BB295">
        <f t="shared" si="188"/>
        <v>0</v>
      </c>
      <c r="BC295">
        <f t="shared" si="189"/>
        <v>14</v>
      </c>
      <c r="BE295" t="str">
        <f t="shared" si="190"/>
        <v/>
      </c>
      <c r="BG295" t="str">
        <f>IF(对接源_01水果筐数!$C296="","",对接源_01水果筐数!$C296)</f>
        <v/>
      </c>
      <c r="BH295">
        <f t="shared" si="191"/>
        <v>0</v>
      </c>
      <c r="BI295">
        <f t="shared" si="192"/>
        <v>7</v>
      </c>
      <c r="BS295" t="str">
        <f t="shared" si="200"/>
        <v/>
      </c>
      <c r="BT295">
        <f t="shared" si="193"/>
        <v>0</v>
      </c>
      <c r="BU295">
        <f t="shared" si="194"/>
        <v>14</v>
      </c>
      <c r="BY295" t="str">
        <f t="shared" si="201"/>
        <v/>
      </c>
      <c r="BZ295">
        <f t="shared" si="195"/>
        <v>0</v>
      </c>
      <c r="CA295">
        <f t="shared" si="196"/>
        <v>16</v>
      </c>
      <c r="CP295">
        <f>IF(包装物料出入库明细!$D295="",0,1)</f>
        <v>0</v>
      </c>
      <c r="CQ295">
        <f t="shared" si="197"/>
        <v>37</v>
      </c>
      <c r="CS295" t="str">
        <f>IF(OR(周转筐出入库明细!$C296="",周转筐出入库明细!$F296&lt;&gt;"采购入库"),"",周转筐出入库明细!$C296)</f>
        <v/>
      </c>
      <c r="CT295">
        <f t="shared" si="198"/>
        <v>0</v>
      </c>
      <c r="CU295">
        <f t="shared" si="199"/>
        <v>1</v>
      </c>
    </row>
    <row r="296" spans="1:99">
      <c r="A296" t="str">
        <f>IF(包装物料出入库明细!$E296="","",包装物料出入库明细!$E296)</f>
        <v/>
      </c>
      <c r="B296">
        <f t="shared" si="172"/>
        <v>0</v>
      </c>
      <c r="C296">
        <f t="shared" si="173"/>
        <v>7</v>
      </c>
      <c r="D296" t="str">
        <f>IF(包装物料出入库明细!$E296="","",包装物料出入库明细!$F296)</f>
        <v/>
      </c>
      <c r="E296" t="str">
        <f>IF(包装物料出入库明细!$E296="","",包装物料出入库明细!$G296)</f>
        <v/>
      </c>
      <c r="K296" t="str">
        <f>IF(包装物料出入库明细!$D296="","",包装物料出入库明细!$D296)</f>
        <v/>
      </c>
      <c r="L296">
        <f t="shared" si="174"/>
        <v>0</v>
      </c>
      <c r="M296">
        <f t="shared" si="175"/>
        <v>9</v>
      </c>
      <c r="Q296" t="str">
        <f>IF(周转筐出入库明细!$D297="","",周转筐出入库明细!$D297)</f>
        <v/>
      </c>
      <c r="R296">
        <f t="shared" si="176"/>
        <v>0</v>
      </c>
      <c r="S296">
        <f t="shared" si="177"/>
        <v>5</v>
      </c>
      <c r="W296" t="str">
        <f>IF(周转筐出入库明细!$C297="","",周转筐出入库明细!$C297)</f>
        <v/>
      </c>
      <c r="X296">
        <f t="shared" si="178"/>
        <v>0</v>
      </c>
      <c r="Y296">
        <f t="shared" si="179"/>
        <v>12</v>
      </c>
      <c r="AC296" t="str">
        <f>IF(客户自备加工筐明细!$C296="","",客户自备加工筐明细!$C296)</f>
        <v/>
      </c>
      <c r="AD296">
        <f t="shared" si="180"/>
        <v>0</v>
      </c>
      <c r="AE296">
        <f t="shared" si="181"/>
        <v>1</v>
      </c>
      <c r="AI296" t="str">
        <f>IF(客户自备加工筐明细!$E296="","",客户自备加工筐明细!$E296)</f>
        <v/>
      </c>
      <c r="AJ296">
        <f t="shared" si="182"/>
        <v>0</v>
      </c>
      <c r="AK296">
        <f t="shared" si="183"/>
        <v>1</v>
      </c>
      <c r="AO296" t="str">
        <f>IF(次果筐明细!$D296="","",次果筐明细!$D296)</f>
        <v/>
      </c>
      <c r="AP296">
        <f t="shared" si="184"/>
        <v>0</v>
      </c>
      <c r="AQ296">
        <f t="shared" si="185"/>
        <v>1</v>
      </c>
      <c r="AU296" t="str">
        <f>IF(次果筐明细!$C296="","",次果筐明细!$C296)</f>
        <v/>
      </c>
      <c r="AV296">
        <f t="shared" si="186"/>
        <v>0</v>
      </c>
      <c r="AW296">
        <f t="shared" si="187"/>
        <v>1</v>
      </c>
      <c r="BA296" t="str">
        <f>IF(对接源_01水果筐数!$B297="","",对接源_01水果筐数!$B297)</f>
        <v/>
      </c>
      <c r="BB296">
        <f t="shared" si="188"/>
        <v>0</v>
      </c>
      <c r="BC296">
        <f t="shared" si="189"/>
        <v>14</v>
      </c>
      <c r="BE296" t="str">
        <f t="shared" si="190"/>
        <v/>
      </c>
      <c r="BG296" t="str">
        <f>IF(对接源_01水果筐数!$C297="","",对接源_01水果筐数!$C297)</f>
        <v/>
      </c>
      <c r="BH296">
        <f t="shared" si="191"/>
        <v>0</v>
      </c>
      <c r="BI296">
        <f t="shared" si="192"/>
        <v>7</v>
      </c>
      <c r="BS296" t="str">
        <f t="shared" si="200"/>
        <v/>
      </c>
      <c r="BT296">
        <f t="shared" si="193"/>
        <v>0</v>
      </c>
      <c r="BU296">
        <f t="shared" si="194"/>
        <v>14</v>
      </c>
      <c r="BY296" t="str">
        <f t="shared" si="201"/>
        <v/>
      </c>
      <c r="BZ296">
        <f t="shared" si="195"/>
        <v>0</v>
      </c>
      <c r="CA296">
        <f t="shared" si="196"/>
        <v>16</v>
      </c>
      <c r="CP296">
        <f>IF(包装物料出入库明细!$D296="",0,1)</f>
        <v>0</v>
      </c>
      <c r="CQ296">
        <f t="shared" si="197"/>
        <v>37</v>
      </c>
      <c r="CS296" t="str">
        <f>IF(OR(周转筐出入库明细!$C297="",周转筐出入库明细!$F297&lt;&gt;"采购入库"),"",周转筐出入库明细!$C297)</f>
        <v/>
      </c>
      <c r="CT296">
        <f t="shared" si="198"/>
        <v>0</v>
      </c>
      <c r="CU296">
        <f t="shared" si="199"/>
        <v>1</v>
      </c>
    </row>
    <row r="297" spans="1:99">
      <c r="A297" t="str">
        <f>IF(包装物料出入库明细!$E297="","",包装物料出入库明细!$E297)</f>
        <v/>
      </c>
      <c r="B297">
        <f t="shared" si="172"/>
        <v>0</v>
      </c>
      <c r="C297">
        <f t="shared" si="173"/>
        <v>7</v>
      </c>
      <c r="D297" t="str">
        <f>IF(包装物料出入库明细!$E297="","",包装物料出入库明细!$F297)</f>
        <v/>
      </c>
      <c r="E297" t="str">
        <f>IF(包装物料出入库明细!$E297="","",包装物料出入库明细!$G297)</f>
        <v/>
      </c>
      <c r="K297" t="str">
        <f>IF(包装物料出入库明细!$D297="","",包装物料出入库明细!$D297)</f>
        <v/>
      </c>
      <c r="L297">
        <f t="shared" si="174"/>
        <v>0</v>
      </c>
      <c r="M297">
        <f t="shared" si="175"/>
        <v>9</v>
      </c>
      <c r="Q297" t="str">
        <f>IF(周转筐出入库明细!$D298="","",周转筐出入库明细!$D298)</f>
        <v/>
      </c>
      <c r="R297">
        <f t="shared" si="176"/>
        <v>0</v>
      </c>
      <c r="S297">
        <f t="shared" si="177"/>
        <v>5</v>
      </c>
      <c r="W297" t="str">
        <f>IF(周转筐出入库明细!$C298="","",周转筐出入库明细!$C298)</f>
        <v/>
      </c>
      <c r="X297">
        <f t="shared" si="178"/>
        <v>0</v>
      </c>
      <c r="Y297">
        <f t="shared" si="179"/>
        <v>12</v>
      </c>
      <c r="AC297" t="str">
        <f>IF(客户自备加工筐明细!$C297="","",客户自备加工筐明细!$C297)</f>
        <v/>
      </c>
      <c r="AD297">
        <f t="shared" si="180"/>
        <v>0</v>
      </c>
      <c r="AE297">
        <f t="shared" si="181"/>
        <v>1</v>
      </c>
      <c r="AI297" t="str">
        <f>IF(客户自备加工筐明细!$E297="","",客户自备加工筐明细!$E297)</f>
        <v/>
      </c>
      <c r="AJ297">
        <f t="shared" si="182"/>
        <v>0</v>
      </c>
      <c r="AK297">
        <f t="shared" si="183"/>
        <v>1</v>
      </c>
      <c r="AO297" t="str">
        <f>IF(次果筐明细!$D297="","",次果筐明细!$D297)</f>
        <v/>
      </c>
      <c r="AP297">
        <f t="shared" si="184"/>
        <v>0</v>
      </c>
      <c r="AQ297">
        <f t="shared" si="185"/>
        <v>1</v>
      </c>
      <c r="AU297" t="str">
        <f>IF(次果筐明细!$C297="","",次果筐明细!$C297)</f>
        <v/>
      </c>
      <c r="AV297">
        <f t="shared" si="186"/>
        <v>0</v>
      </c>
      <c r="AW297">
        <f t="shared" si="187"/>
        <v>1</v>
      </c>
      <c r="BA297" t="str">
        <f>IF(对接源_01水果筐数!$B298="","",对接源_01水果筐数!$B298)</f>
        <v/>
      </c>
      <c r="BB297">
        <f t="shared" si="188"/>
        <v>0</v>
      </c>
      <c r="BC297">
        <f t="shared" si="189"/>
        <v>14</v>
      </c>
      <c r="BE297" t="str">
        <f t="shared" si="190"/>
        <v/>
      </c>
      <c r="BG297" t="str">
        <f>IF(对接源_01水果筐数!$C298="","",对接源_01水果筐数!$C298)</f>
        <v/>
      </c>
      <c r="BH297">
        <f t="shared" si="191"/>
        <v>0</v>
      </c>
      <c r="BI297">
        <f t="shared" si="192"/>
        <v>7</v>
      </c>
      <c r="BS297" t="str">
        <f t="shared" si="200"/>
        <v/>
      </c>
      <c r="BT297">
        <f t="shared" si="193"/>
        <v>0</v>
      </c>
      <c r="BU297">
        <f t="shared" si="194"/>
        <v>14</v>
      </c>
      <c r="BY297" t="str">
        <f t="shared" si="201"/>
        <v/>
      </c>
      <c r="BZ297">
        <f t="shared" si="195"/>
        <v>0</v>
      </c>
      <c r="CA297">
        <f t="shared" si="196"/>
        <v>16</v>
      </c>
      <c r="CP297">
        <f>IF(包装物料出入库明细!$D297="",0,1)</f>
        <v>0</v>
      </c>
      <c r="CQ297">
        <f t="shared" si="197"/>
        <v>37</v>
      </c>
      <c r="CS297" t="str">
        <f>IF(OR(周转筐出入库明细!$C298="",周转筐出入库明细!$F298&lt;&gt;"采购入库"),"",周转筐出入库明细!$C298)</f>
        <v/>
      </c>
      <c r="CT297">
        <f t="shared" si="198"/>
        <v>0</v>
      </c>
      <c r="CU297">
        <f t="shared" si="199"/>
        <v>1</v>
      </c>
    </row>
    <row r="298" spans="1:99">
      <c r="A298" t="str">
        <f>IF(包装物料出入库明细!$E298="","",包装物料出入库明细!$E298)</f>
        <v/>
      </c>
      <c r="B298">
        <f t="shared" si="172"/>
        <v>0</v>
      </c>
      <c r="C298">
        <f t="shared" si="173"/>
        <v>7</v>
      </c>
      <c r="D298" t="str">
        <f>IF(包装物料出入库明细!$E298="","",包装物料出入库明细!$F298)</f>
        <v/>
      </c>
      <c r="E298" t="str">
        <f>IF(包装物料出入库明细!$E298="","",包装物料出入库明细!$G298)</f>
        <v/>
      </c>
      <c r="K298" t="str">
        <f>IF(包装物料出入库明细!$D298="","",包装物料出入库明细!$D298)</f>
        <v/>
      </c>
      <c r="L298">
        <f t="shared" si="174"/>
        <v>0</v>
      </c>
      <c r="M298">
        <f t="shared" si="175"/>
        <v>9</v>
      </c>
      <c r="Q298" t="str">
        <f>IF(周转筐出入库明细!$D299="","",周转筐出入库明细!$D299)</f>
        <v/>
      </c>
      <c r="R298">
        <f t="shared" si="176"/>
        <v>0</v>
      </c>
      <c r="S298">
        <f t="shared" si="177"/>
        <v>5</v>
      </c>
      <c r="W298" t="str">
        <f>IF(周转筐出入库明细!$C299="","",周转筐出入库明细!$C299)</f>
        <v/>
      </c>
      <c r="X298">
        <f t="shared" si="178"/>
        <v>0</v>
      </c>
      <c r="Y298">
        <f t="shared" si="179"/>
        <v>12</v>
      </c>
      <c r="AC298" t="str">
        <f>IF(客户自备加工筐明细!$C298="","",客户自备加工筐明细!$C298)</f>
        <v/>
      </c>
      <c r="AD298">
        <f t="shared" si="180"/>
        <v>0</v>
      </c>
      <c r="AE298">
        <f t="shared" si="181"/>
        <v>1</v>
      </c>
      <c r="AI298" t="str">
        <f>IF(客户自备加工筐明细!$E298="","",客户自备加工筐明细!$E298)</f>
        <v/>
      </c>
      <c r="AJ298">
        <f t="shared" si="182"/>
        <v>0</v>
      </c>
      <c r="AK298">
        <f t="shared" si="183"/>
        <v>1</v>
      </c>
      <c r="AO298" t="str">
        <f>IF(次果筐明细!$D298="","",次果筐明细!$D298)</f>
        <v/>
      </c>
      <c r="AP298">
        <f t="shared" si="184"/>
        <v>0</v>
      </c>
      <c r="AQ298">
        <f t="shared" si="185"/>
        <v>1</v>
      </c>
      <c r="AU298" t="str">
        <f>IF(次果筐明细!$C298="","",次果筐明细!$C298)</f>
        <v/>
      </c>
      <c r="AV298">
        <f t="shared" si="186"/>
        <v>0</v>
      </c>
      <c r="AW298">
        <f t="shared" si="187"/>
        <v>1</v>
      </c>
      <c r="BA298" t="str">
        <f>IF(对接源_01水果筐数!$B299="","",对接源_01水果筐数!$B299)</f>
        <v/>
      </c>
      <c r="BB298">
        <f t="shared" si="188"/>
        <v>0</v>
      </c>
      <c r="BC298">
        <f t="shared" si="189"/>
        <v>14</v>
      </c>
      <c r="BE298" t="str">
        <f t="shared" si="190"/>
        <v/>
      </c>
      <c r="BG298" t="str">
        <f>IF(对接源_01水果筐数!$C299="","",对接源_01水果筐数!$C299)</f>
        <v/>
      </c>
      <c r="BH298">
        <f t="shared" si="191"/>
        <v>0</v>
      </c>
      <c r="BI298">
        <f t="shared" si="192"/>
        <v>7</v>
      </c>
      <c r="BS298" t="str">
        <f t="shared" si="200"/>
        <v/>
      </c>
      <c r="BT298">
        <f t="shared" si="193"/>
        <v>0</v>
      </c>
      <c r="BU298">
        <f t="shared" si="194"/>
        <v>14</v>
      </c>
      <c r="BY298" t="str">
        <f t="shared" si="201"/>
        <v/>
      </c>
      <c r="BZ298">
        <f t="shared" si="195"/>
        <v>0</v>
      </c>
      <c r="CA298">
        <f t="shared" si="196"/>
        <v>16</v>
      </c>
      <c r="CP298">
        <f>IF(包装物料出入库明细!$D298="",0,1)</f>
        <v>0</v>
      </c>
      <c r="CQ298">
        <f t="shared" si="197"/>
        <v>37</v>
      </c>
      <c r="CS298" t="str">
        <f>IF(OR(周转筐出入库明细!$C299="",周转筐出入库明细!$F299&lt;&gt;"采购入库"),"",周转筐出入库明细!$C299)</f>
        <v/>
      </c>
      <c r="CT298">
        <f t="shared" si="198"/>
        <v>0</v>
      </c>
      <c r="CU298">
        <f t="shared" si="199"/>
        <v>1</v>
      </c>
    </row>
    <row r="299" spans="1:99">
      <c r="A299" t="str">
        <f>IF(包装物料出入库明细!$E299="","",包装物料出入库明细!$E299)</f>
        <v/>
      </c>
      <c r="B299">
        <f t="shared" si="172"/>
        <v>0</v>
      </c>
      <c r="C299">
        <f t="shared" si="173"/>
        <v>7</v>
      </c>
      <c r="D299" t="str">
        <f>IF(包装物料出入库明细!$E299="","",包装物料出入库明细!$F299)</f>
        <v/>
      </c>
      <c r="E299" t="str">
        <f>IF(包装物料出入库明细!$E299="","",包装物料出入库明细!$G299)</f>
        <v/>
      </c>
      <c r="K299" t="str">
        <f>IF(包装物料出入库明细!$D299="","",包装物料出入库明细!$D299)</f>
        <v/>
      </c>
      <c r="L299">
        <f t="shared" si="174"/>
        <v>0</v>
      </c>
      <c r="M299">
        <f t="shared" si="175"/>
        <v>9</v>
      </c>
      <c r="Q299" t="str">
        <f>IF(周转筐出入库明细!$D300="","",周转筐出入库明细!$D300)</f>
        <v/>
      </c>
      <c r="R299">
        <f t="shared" si="176"/>
        <v>0</v>
      </c>
      <c r="S299">
        <f t="shared" si="177"/>
        <v>5</v>
      </c>
      <c r="W299" t="str">
        <f>IF(周转筐出入库明细!$C300="","",周转筐出入库明细!$C300)</f>
        <v/>
      </c>
      <c r="X299">
        <f t="shared" si="178"/>
        <v>0</v>
      </c>
      <c r="Y299">
        <f t="shared" si="179"/>
        <v>12</v>
      </c>
      <c r="AC299" t="str">
        <f>IF(客户自备加工筐明细!$C299="","",客户自备加工筐明细!$C299)</f>
        <v/>
      </c>
      <c r="AD299">
        <f t="shared" si="180"/>
        <v>0</v>
      </c>
      <c r="AE299">
        <f t="shared" si="181"/>
        <v>1</v>
      </c>
      <c r="AI299" t="str">
        <f>IF(客户自备加工筐明细!$E299="","",客户自备加工筐明细!$E299)</f>
        <v/>
      </c>
      <c r="AJ299">
        <f t="shared" si="182"/>
        <v>0</v>
      </c>
      <c r="AK299">
        <f t="shared" si="183"/>
        <v>1</v>
      </c>
      <c r="AO299" t="str">
        <f>IF(次果筐明细!$D299="","",次果筐明细!$D299)</f>
        <v/>
      </c>
      <c r="AP299">
        <f t="shared" si="184"/>
        <v>0</v>
      </c>
      <c r="AQ299">
        <f t="shared" si="185"/>
        <v>1</v>
      </c>
      <c r="AU299" t="str">
        <f>IF(次果筐明细!$C299="","",次果筐明细!$C299)</f>
        <v/>
      </c>
      <c r="AV299">
        <f t="shared" si="186"/>
        <v>0</v>
      </c>
      <c r="AW299">
        <f t="shared" si="187"/>
        <v>1</v>
      </c>
      <c r="BA299" t="str">
        <f>IF(对接源_01水果筐数!$B300="","",对接源_01水果筐数!$B300)</f>
        <v/>
      </c>
      <c r="BB299">
        <f t="shared" si="188"/>
        <v>0</v>
      </c>
      <c r="BC299">
        <f t="shared" si="189"/>
        <v>14</v>
      </c>
      <c r="BE299" t="str">
        <f t="shared" si="190"/>
        <v/>
      </c>
      <c r="BG299" t="str">
        <f>IF(对接源_01水果筐数!$C300="","",对接源_01水果筐数!$C300)</f>
        <v/>
      </c>
      <c r="BH299">
        <f t="shared" si="191"/>
        <v>0</v>
      </c>
      <c r="BI299">
        <f t="shared" si="192"/>
        <v>7</v>
      </c>
      <c r="BS299" t="str">
        <f t="shared" si="200"/>
        <v/>
      </c>
      <c r="BT299">
        <f t="shared" si="193"/>
        <v>0</v>
      </c>
      <c r="BU299">
        <f t="shared" si="194"/>
        <v>14</v>
      </c>
      <c r="BY299" t="str">
        <f t="shared" si="201"/>
        <v/>
      </c>
      <c r="BZ299">
        <f t="shared" si="195"/>
        <v>0</v>
      </c>
      <c r="CA299">
        <f t="shared" si="196"/>
        <v>16</v>
      </c>
      <c r="CP299">
        <f>IF(包装物料出入库明细!$D299="",0,1)</f>
        <v>0</v>
      </c>
      <c r="CQ299">
        <f t="shared" si="197"/>
        <v>37</v>
      </c>
      <c r="CS299" t="str">
        <f>IF(OR(周转筐出入库明细!$C300="",周转筐出入库明细!$F300&lt;&gt;"采购入库"),"",周转筐出入库明细!$C300)</f>
        <v/>
      </c>
      <c r="CT299">
        <f t="shared" si="198"/>
        <v>0</v>
      </c>
      <c r="CU299">
        <f t="shared" si="199"/>
        <v>1</v>
      </c>
    </row>
    <row r="300" spans="1:99">
      <c r="A300" t="str">
        <f>IF(包装物料出入库明细!$E300="","",包装物料出入库明细!$E300)</f>
        <v/>
      </c>
      <c r="B300">
        <f t="shared" si="172"/>
        <v>0</v>
      </c>
      <c r="C300">
        <f t="shared" si="173"/>
        <v>7</v>
      </c>
      <c r="D300" t="str">
        <f>IF(包装物料出入库明细!$E300="","",包装物料出入库明细!$F300)</f>
        <v/>
      </c>
      <c r="E300" t="str">
        <f>IF(包装物料出入库明细!$E300="","",包装物料出入库明细!$G300)</f>
        <v/>
      </c>
      <c r="K300" t="str">
        <f>IF(包装物料出入库明细!$D300="","",包装物料出入库明细!$D300)</f>
        <v/>
      </c>
      <c r="L300">
        <f t="shared" si="174"/>
        <v>0</v>
      </c>
      <c r="M300">
        <f t="shared" si="175"/>
        <v>9</v>
      </c>
      <c r="Q300" t="str">
        <f>IF(周转筐出入库明细!$D301="","",周转筐出入库明细!$D301)</f>
        <v/>
      </c>
      <c r="R300">
        <f t="shared" si="176"/>
        <v>0</v>
      </c>
      <c r="S300">
        <f t="shared" si="177"/>
        <v>5</v>
      </c>
      <c r="W300" t="str">
        <f>IF(周转筐出入库明细!$C301="","",周转筐出入库明细!$C301)</f>
        <v/>
      </c>
      <c r="X300">
        <f t="shared" si="178"/>
        <v>0</v>
      </c>
      <c r="Y300">
        <f t="shared" si="179"/>
        <v>12</v>
      </c>
      <c r="AC300" t="str">
        <f>IF(客户自备加工筐明细!$C300="","",客户自备加工筐明细!$C300)</f>
        <v/>
      </c>
      <c r="AD300">
        <f t="shared" si="180"/>
        <v>0</v>
      </c>
      <c r="AE300">
        <f t="shared" si="181"/>
        <v>1</v>
      </c>
      <c r="AI300" t="str">
        <f>IF(客户自备加工筐明细!$E300="","",客户自备加工筐明细!$E300)</f>
        <v/>
      </c>
      <c r="AJ300">
        <f t="shared" si="182"/>
        <v>0</v>
      </c>
      <c r="AK300">
        <f t="shared" si="183"/>
        <v>1</v>
      </c>
      <c r="AO300" t="str">
        <f>IF(次果筐明细!$D300="","",次果筐明细!$D300)</f>
        <v/>
      </c>
      <c r="AP300">
        <f t="shared" si="184"/>
        <v>0</v>
      </c>
      <c r="AQ300">
        <f t="shared" si="185"/>
        <v>1</v>
      </c>
      <c r="AU300" t="str">
        <f>IF(次果筐明细!$C300="","",次果筐明细!$C300)</f>
        <v/>
      </c>
      <c r="AV300">
        <f t="shared" si="186"/>
        <v>0</v>
      </c>
      <c r="AW300">
        <f t="shared" si="187"/>
        <v>1</v>
      </c>
      <c r="BA300" t="str">
        <f>IF(对接源_01水果筐数!$B301="","",对接源_01水果筐数!$B301)</f>
        <v/>
      </c>
      <c r="BB300">
        <f t="shared" si="188"/>
        <v>0</v>
      </c>
      <c r="BC300">
        <f t="shared" si="189"/>
        <v>14</v>
      </c>
      <c r="BE300" t="str">
        <f t="shared" si="190"/>
        <v/>
      </c>
      <c r="BG300" t="str">
        <f>IF(对接源_01水果筐数!$C301="","",对接源_01水果筐数!$C301)</f>
        <v/>
      </c>
      <c r="BH300">
        <f t="shared" si="191"/>
        <v>0</v>
      </c>
      <c r="BI300">
        <f t="shared" si="192"/>
        <v>7</v>
      </c>
      <c r="BS300" t="str">
        <f t="shared" si="200"/>
        <v/>
      </c>
      <c r="BT300">
        <f t="shared" si="193"/>
        <v>0</v>
      </c>
      <c r="BU300">
        <f t="shared" si="194"/>
        <v>14</v>
      </c>
      <c r="BY300" t="str">
        <f t="shared" si="201"/>
        <v/>
      </c>
      <c r="BZ300">
        <f t="shared" si="195"/>
        <v>0</v>
      </c>
      <c r="CA300">
        <f t="shared" si="196"/>
        <v>16</v>
      </c>
      <c r="CP300">
        <f>IF(包装物料出入库明细!$D300="",0,1)</f>
        <v>0</v>
      </c>
      <c r="CQ300">
        <f t="shared" si="197"/>
        <v>37</v>
      </c>
      <c r="CS300" t="str">
        <f>IF(OR(周转筐出入库明细!$C301="",周转筐出入库明细!$F301&lt;&gt;"采购入库"),"",周转筐出入库明细!$C301)</f>
        <v/>
      </c>
      <c r="CT300">
        <f t="shared" si="198"/>
        <v>0</v>
      </c>
      <c r="CU300">
        <f t="shared" si="199"/>
        <v>1</v>
      </c>
    </row>
    <row r="301" spans="1:99">
      <c r="A301" t="str">
        <f>IF(包装物料出入库明细!$E301="","",包装物料出入库明细!$E301)</f>
        <v/>
      </c>
      <c r="B301">
        <f t="shared" si="172"/>
        <v>0</v>
      </c>
      <c r="C301">
        <f t="shared" si="173"/>
        <v>7</v>
      </c>
      <c r="D301" t="str">
        <f>IF(包装物料出入库明细!$E301="","",包装物料出入库明细!$F301)</f>
        <v/>
      </c>
      <c r="E301" t="str">
        <f>IF(包装物料出入库明细!$E301="","",包装物料出入库明细!$G301)</f>
        <v/>
      </c>
      <c r="K301" t="str">
        <f>IF(包装物料出入库明细!$D301="","",包装物料出入库明细!$D301)</f>
        <v/>
      </c>
      <c r="L301">
        <f t="shared" si="174"/>
        <v>0</v>
      </c>
      <c r="M301">
        <f t="shared" si="175"/>
        <v>9</v>
      </c>
      <c r="Q301" t="str">
        <f>IF(周转筐出入库明细!$D302="","",周转筐出入库明细!$D302)</f>
        <v/>
      </c>
      <c r="R301">
        <f t="shared" si="176"/>
        <v>0</v>
      </c>
      <c r="S301">
        <f t="shared" si="177"/>
        <v>5</v>
      </c>
      <c r="W301" t="str">
        <f>IF(周转筐出入库明细!$C302="","",周转筐出入库明细!$C302)</f>
        <v/>
      </c>
      <c r="X301">
        <f t="shared" si="178"/>
        <v>0</v>
      </c>
      <c r="Y301">
        <f t="shared" si="179"/>
        <v>12</v>
      </c>
      <c r="AC301" t="str">
        <f>IF(客户自备加工筐明细!$C301="","",客户自备加工筐明细!$C301)</f>
        <v/>
      </c>
      <c r="AD301">
        <f t="shared" si="180"/>
        <v>0</v>
      </c>
      <c r="AE301">
        <f t="shared" si="181"/>
        <v>1</v>
      </c>
      <c r="AI301" t="str">
        <f>IF(客户自备加工筐明细!$E301="","",客户自备加工筐明细!$E301)</f>
        <v/>
      </c>
      <c r="AJ301">
        <f t="shared" si="182"/>
        <v>0</v>
      </c>
      <c r="AK301">
        <f t="shared" si="183"/>
        <v>1</v>
      </c>
      <c r="AO301" t="str">
        <f>IF(次果筐明细!$D301="","",次果筐明细!$D301)</f>
        <v/>
      </c>
      <c r="AP301">
        <f t="shared" si="184"/>
        <v>0</v>
      </c>
      <c r="AQ301">
        <f t="shared" si="185"/>
        <v>1</v>
      </c>
      <c r="AU301" t="str">
        <f>IF(次果筐明细!$C301="","",次果筐明细!$C301)</f>
        <v/>
      </c>
      <c r="AV301">
        <f t="shared" si="186"/>
        <v>0</v>
      </c>
      <c r="AW301">
        <f t="shared" si="187"/>
        <v>1</v>
      </c>
      <c r="BA301" t="str">
        <f>IF(对接源_01水果筐数!$B302="","",对接源_01水果筐数!$B302)</f>
        <v/>
      </c>
      <c r="BB301">
        <f t="shared" si="188"/>
        <v>0</v>
      </c>
      <c r="BC301">
        <f t="shared" si="189"/>
        <v>14</v>
      </c>
      <c r="BE301" t="str">
        <f t="shared" si="190"/>
        <v/>
      </c>
      <c r="BG301" t="str">
        <f>IF(对接源_01水果筐数!$C302="","",对接源_01水果筐数!$C302)</f>
        <v/>
      </c>
      <c r="BH301">
        <f t="shared" si="191"/>
        <v>0</v>
      </c>
      <c r="BI301">
        <f t="shared" si="192"/>
        <v>7</v>
      </c>
      <c r="BS301" t="str">
        <f t="shared" si="200"/>
        <v/>
      </c>
      <c r="BT301">
        <f t="shared" si="193"/>
        <v>0</v>
      </c>
      <c r="BU301">
        <f t="shared" si="194"/>
        <v>14</v>
      </c>
      <c r="BY301" t="str">
        <f t="shared" si="201"/>
        <v/>
      </c>
      <c r="BZ301">
        <f t="shared" si="195"/>
        <v>0</v>
      </c>
      <c r="CA301">
        <f t="shared" si="196"/>
        <v>16</v>
      </c>
      <c r="CP301">
        <f>IF(包装物料出入库明细!$D301="",0,1)</f>
        <v>0</v>
      </c>
      <c r="CQ301">
        <f t="shared" si="197"/>
        <v>37</v>
      </c>
      <c r="CS301" t="str">
        <f>IF(OR(周转筐出入库明细!$C302="",周转筐出入库明细!$F302&lt;&gt;"采购入库"),"",周转筐出入库明细!$C302)</f>
        <v/>
      </c>
      <c r="CT301">
        <f t="shared" si="198"/>
        <v>0</v>
      </c>
      <c r="CU301">
        <f t="shared" si="199"/>
        <v>1</v>
      </c>
    </row>
    <row r="302" spans="1:99">
      <c r="A302" t="str">
        <f>IF(包装物料出入库明细!$E302="","",包装物料出入库明细!$E302)</f>
        <v/>
      </c>
      <c r="B302">
        <f t="shared" si="172"/>
        <v>0</v>
      </c>
      <c r="C302">
        <f t="shared" si="173"/>
        <v>7</v>
      </c>
      <c r="D302" t="str">
        <f>IF(包装物料出入库明细!$E302="","",包装物料出入库明细!$F302)</f>
        <v/>
      </c>
      <c r="E302" t="str">
        <f>IF(包装物料出入库明细!$E302="","",包装物料出入库明细!$G302)</f>
        <v/>
      </c>
      <c r="K302" t="str">
        <f>IF(包装物料出入库明细!$D302="","",包装物料出入库明细!$D302)</f>
        <v/>
      </c>
      <c r="L302">
        <f t="shared" si="174"/>
        <v>0</v>
      </c>
      <c r="M302">
        <f t="shared" si="175"/>
        <v>9</v>
      </c>
      <c r="Q302" t="str">
        <f>IF(周转筐出入库明细!$D303="","",周转筐出入库明细!$D303)</f>
        <v/>
      </c>
      <c r="R302">
        <f t="shared" si="176"/>
        <v>0</v>
      </c>
      <c r="S302">
        <f t="shared" si="177"/>
        <v>5</v>
      </c>
      <c r="W302" t="str">
        <f>IF(周转筐出入库明细!$C303="","",周转筐出入库明细!$C303)</f>
        <v/>
      </c>
      <c r="X302">
        <f t="shared" si="178"/>
        <v>0</v>
      </c>
      <c r="Y302">
        <f t="shared" si="179"/>
        <v>12</v>
      </c>
      <c r="AC302" t="str">
        <f>IF(客户自备加工筐明细!$C302="","",客户自备加工筐明细!$C302)</f>
        <v/>
      </c>
      <c r="AD302">
        <f t="shared" si="180"/>
        <v>0</v>
      </c>
      <c r="AE302">
        <f t="shared" si="181"/>
        <v>1</v>
      </c>
      <c r="AI302" t="str">
        <f>IF(客户自备加工筐明细!$E302="","",客户自备加工筐明细!$E302)</f>
        <v/>
      </c>
      <c r="AJ302">
        <f t="shared" si="182"/>
        <v>0</v>
      </c>
      <c r="AK302">
        <f t="shared" si="183"/>
        <v>1</v>
      </c>
      <c r="AO302" t="str">
        <f>IF(次果筐明细!$D302="","",次果筐明细!$D302)</f>
        <v/>
      </c>
      <c r="AP302">
        <f t="shared" si="184"/>
        <v>0</v>
      </c>
      <c r="AQ302">
        <f t="shared" si="185"/>
        <v>1</v>
      </c>
      <c r="AU302" t="str">
        <f>IF(次果筐明细!$C302="","",次果筐明细!$C302)</f>
        <v/>
      </c>
      <c r="AV302">
        <f t="shared" si="186"/>
        <v>0</v>
      </c>
      <c r="AW302">
        <f t="shared" si="187"/>
        <v>1</v>
      </c>
      <c r="BA302" t="str">
        <f>IF(对接源_01水果筐数!$B303="","",对接源_01水果筐数!$B303)</f>
        <v/>
      </c>
      <c r="BB302">
        <f t="shared" si="188"/>
        <v>0</v>
      </c>
      <c r="BC302">
        <f t="shared" si="189"/>
        <v>14</v>
      </c>
      <c r="BE302" t="str">
        <f t="shared" si="190"/>
        <v/>
      </c>
      <c r="BG302" t="str">
        <f>IF(对接源_01水果筐数!$C303="","",对接源_01水果筐数!$C303)</f>
        <v/>
      </c>
      <c r="BH302">
        <f t="shared" si="191"/>
        <v>0</v>
      </c>
      <c r="BI302">
        <f t="shared" si="192"/>
        <v>7</v>
      </c>
      <c r="BS302" t="str">
        <f t="shared" si="200"/>
        <v/>
      </c>
      <c r="BT302">
        <f t="shared" si="193"/>
        <v>0</v>
      </c>
      <c r="BU302">
        <f t="shared" si="194"/>
        <v>14</v>
      </c>
      <c r="BY302" t="str">
        <f t="shared" si="201"/>
        <v/>
      </c>
      <c r="BZ302">
        <f t="shared" si="195"/>
        <v>0</v>
      </c>
      <c r="CA302">
        <f t="shared" si="196"/>
        <v>16</v>
      </c>
      <c r="CP302">
        <f>IF(包装物料出入库明细!$D302="",0,1)</f>
        <v>0</v>
      </c>
      <c r="CQ302">
        <f t="shared" si="197"/>
        <v>37</v>
      </c>
      <c r="CS302" t="str">
        <f>IF(OR(周转筐出入库明细!$C303="",周转筐出入库明细!$F303&lt;&gt;"采购入库"),"",周转筐出入库明细!$C303)</f>
        <v/>
      </c>
      <c r="CT302">
        <f t="shared" si="198"/>
        <v>0</v>
      </c>
      <c r="CU302">
        <f t="shared" si="199"/>
        <v>1</v>
      </c>
    </row>
    <row r="303" spans="1:99">
      <c r="A303" t="str">
        <f>IF(包装物料出入库明细!$E303="","",包装物料出入库明细!$E303)</f>
        <v/>
      </c>
      <c r="B303">
        <f t="shared" si="172"/>
        <v>0</v>
      </c>
      <c r="C303">
        <f t="shared" si="173"/>
        <v>7</v>
      </c>
      <c r="D303" t="str">
        <f>IF(包装物料出入库明细!$E303="","",包装物料出入库明细!$F303)</f>
        <v/>
      </c>
      <c r="E303" t="str">
        <f>IF(包装物料出入库明细!$E303="","",包装物料出入库明细!$G303)</f>
        <v/>
      </c>
      <c r="K303" t="str">
        <f>IF(包装物料出入库明细!$D303="","",包装物料出入库明细!$D303)</f>
        <v/>
      </c>
      <c r="L303">
        <f t="shared" si="174"/>
        <v>0</v>
      </c>
      <c r="M303">
        <f t="shared" si="175"/>
        <v>9</v>
      </c>
      <c r="Q303" t="str">
        <f>IF(周转筐出入库明细!$D304="","",周转筐出入库明细!$D304)</f>
        <v/>
      </c>
      <c r="R303">
        <f t="shared" si="176"/>
        <v>0</v>
      </c>
      <c r="S303">
        <f t="shared" si="177"/>
        <v>5</v>
      </c>
      <c r="W303" t="str">
        <f>IF(周转筐出入库明细!$C304="","",周转筐出入库明细!$C304)</f>
        <v/>
      </c>
      <c r="X303">
        <f t="shared" si="178"/>
        <v>0</v>
      </c>
      <c r="Y303">
        <f t="shared" si="179"/>
        <v>12</v>
      </c>
      <c r="AC303" t="str">
        <f>IF(客户自备加工筐明细!$C303="","",客户自备加工筐明细!$C303)</f>
        <v/>
      </c>
      <c r="AD303">
        <f t="shared" si="180"/>
        <v>0</v>
      </c>
      <c r="AE303">
        <f t="shared" si="181"/>
        <v>1</v>
      </c>
      <c r="AI303" t="str">
        <f>IF(客户自备加工筐明细!$E303="","",客户自备加工筐明细!$E303)</f>
        <v/>
      </c>
      <c r="AJ303">
        <f t="shared" si="182"/>
        <v>0</v>
      </c>
      <c r="AK303">
        <f t="shared" si="183"/>
        <v>1</v>
      </c>
      <c r="AO303" t="str">
        <f>IF(次果筐明细!$D303="","",次果筐明细!$D303)</f>
        <v/>
      </c>
      <c r="AP303">
        <f t="shared" si="184"/>
        <v>0</v>
      </c>
      <c r="AQ303">
        <f t="shared" si="185"/>
        <v>1</v>
      </c>
      <c r="AU303" t="str">
        <f>IF(次果筐明细!$C303="","",次果筐明细!$C303)</f>
        <v/>
      </c>
      <c r="AV303">
        <f t="shared" si="186"/>
        <v>0</v>
      </c>
      <c r="AW303">
        <f t="shared" si="187"/>
        <v>1</v>
      </c>
      <c r="BA303" t="str">
        <f>IF(对接源_01水果筐数!$B304="","",对接源_01水果筐数!$B304)</f>
        <v/>
      </c>
      <c r="BB303">
        <f t="shared" si="188"/>
        <v>0</v>
      </c>
      <c r="BC303">
        <f t="shared" si="189"/>
        <v>14</v>
      </c>
      <c r="BE303" t="str">
        <f t="shared" si="190"/>
        <v/>
      </c>
      <c r="BG303" t="str">
        <f>IF(对接源_01水果筐数!$C304="","",对接源_01水果筐数!$C304)</f>
        <v/>
      </c>
      <c r="BH303">
        <f t="shared" si="191"/>
        <v>0</v>
      </c>
      <c r="BI303">
        <f t="shared" si="192"/>
        <v>7</v>
      </c>
      <c r="BS303" t="str">
        <f t="shared" si="200"/>
        <v/>
      </c>
      <c r="BT303">
        <f t="shared" si="193"/>
        <v>0</v>
      </c>
      <c r="BU303">
        <f t="shared" si="194"/>
        <v>14</v>
      </c>
      <c r="BY303" t="str">
        <f t="shared" si="201"/>
        <v/>
      </c>
      <c r="BZ303">
        <f t="shared" si="195"/>
        <v>0</v>
      </c>
      <c r="CA303">
        <f t="shared" si="196"/>
        <v>16</v>
      </c>
      <c r="CP303">
        <f>IF(包装物料出入库明细!$D303="",0,1)</f>
        <v>0</v>
      </c>
      <c r="CQ303">
        <f t="shared" si="197"/>
        <v>37</v>
      </c>
      <c r="CS303" t="str">
        <f>IF(OR(周转筐出入库明细!$C304="",周转筐出入库明细!$F304&lt;&gt;"采购入库"),"",周转筐出入库明细!$C304)</f>
        <v/>
      </c>
      <c r="CT303">
        <f t="shared" si="198"/>
        <v>0</v>
      </c>
      <c r="CU303">
        <f t="shared" si="199"/>
        <v>1</v>
      </c>
    </row>
    <row r="304" spans="1:99">
      <c r="A304" t="str">
        <f>IF(包装物料出入库明细!$E304="","",包装物料出入库明细!$E304)</f>
        <v/>
      </c>
      <c r="B304">
        <f t="shared" si="172"/>
        <v>0</v>
      </c>
      <c r="C304">
        <f t="shared" si="173"/>
        <v>7</v>
      </c>
      <c r="D304" t="str">
        <f>IF(包装物料出入库明细!$E304="","",包装物料出入库明细!$F304)</f>
        <v/>
      </c>
      <c r="E304" t="str">
        <f>IF(包装物料出入库明细!$E304="","",包装物料出入库明细!$G304)</f>
        <v/>
      </c>
      <c r="K304" t="str">
        <f>IF(包装物料出入库明细!$D304="","",包装物料出入库明细!$D304)</f>
        <v/>
      </c>
      <c r="L304">
        <f t="shared" si="174"/>
        <v>0</v>
      </c>
      <c r="M304">
        <f t="shared" si="175"/>
        <v>9</v>
      </c>
      <c r="Q304" t="str">
        <f>IF(周转筐出入库明细!$D305="","",周转筐出入库明细!$D305)</f>
        <v/>
      </c>
      <c r="R304">
        <f t="shared" si="176"/>
        <v>0</v>
      </c>
      <c r="S304">
        <f t="shared" si="177"/>
        <v>5</v>
      </c>
      <c r="W304" t="str">
        <f>IF(周转筐出入库明细!$C305="","",周转筐出入库明细!$C305)</f>
        <v/>
      </c>
      <c r="X304">
        <f t="shared" si="178"/>
        <v>0</v>
      </c>
      <c r="Y304">
        <f t="shared" si="179"/>
        <v>12</v>
      </c>
      <c r="AC304" t="str">
        <f>IF(客户自备加工筐明细!$C304="","",客户自备加工筐明细!$C304)</f>
        <v/>
      </c>
      <c r="AD304">
        <f t="shared" si="180"/>
        <v>0</v>
      </c>
      <c r="AE304">
        <f t="shared" si="181"/>
        <v>1</v>
      </c>
      <c r="AI304" t="str">
        <f>IF(客户自备加工筐明细!$E304="","",客户自备加工筐明细!$E304)</f>
        <v/>
      </c>
      <c r="AJ304">
        <f t="shared" si="182"/>
        <v>0</v>
      </c>
      <c r="AK304">
        <f t="shared" si="183"/>
        <v>1</v>
      </c>
      <c r="AO304" t="str">
        <f>IF(次果筐明细!$D304="","",次果筐明细!$D304)</f>
        <v/>
      </c>
      <c r="AP304">
        <f t="shared" si="184"/>
        <v>0</v>
      </c>
      <c r="AQ304">
        <f t="shared" si="185"/>
        <v>1</v>
      </c>
      <c r="AU304" t="str">
        <f>IF(次果筐明细!$C304="","",次果筐明细!$C304)</f>
        <v/>
      </c>
      <c r="AV304">
        <f t="shared" si="186"/>
        <v>0</v>
      </c>
      <c r="AW304">
        <f t="shared" si="187"/>
        <v>1</v>
      </c>
      <c r="BS304" t="str">
        <f t="shared" si="200"/>
        <v/>
      </c>
      <c r="BT304">
        <f t="shared" si="193"/>
        <v>0</v>
      </c>
      <c r="BU304">
        <f t="shared" si="194"/>
        <v>14</v>
      </c>
      <c r="BY304" t="str">
        <f t="shared" si="201"/>
        <v/>
      </c>
      <c r="BZ304">
        <f t="shared" si="195"/>
        <v>0</v>
      </c>
      <c r="CA304">
        <f t="shared" si="196"/>
        <v>16</v>
      </c>
      <c r="CP304">
        <f>IF(包装物料出入库明细!$D304="",0,1)</f>
        <v>0</v>
      </c>
      <c r="CQ304">
        <f t="shared" si="197"/>
        <v>37</v>
      </c>
      <c r="CS304" t="str">
        <f>IF(OR(周转筐出入库明细!$C305="",周转筐出入库明细!$F305&lt;&gt;"采购入库"),"",周转筐出入库明细!$C305)</f>
        <v/>
      </c>
      <c r="CT304">
        <f t="shared" si="198"/>
        <v>0</v>
      </c>
      <c r="CU304">
        <f t="shared" si="199"/>
        <v>1</v>
      </c>
    </row>
    <row r="305" spans="1:99">
      <c r="A305" t="str">
        <f>IF(包装物料出入库明细!$E305="","",包装物料出入库明细!$E305)</f>
        <v/>
      </c>
      <c r="B305">
        <f t="shared" si="172"/>
        <v>0</v>
      </c>
      <c r="C305">
        <f t="shared" si="173"/>
        <v>7</v>
      </c>
      <c r="D305" t="str">
        <f>IF(包装物料出入库明细!$E305="","",包装物料出入库明细!$F305)</f>
        <v/>
      </c>
      <c r="E305" t="str">
        <f>IF(包装物料出入库明细!$E305="","",包装物料出入库明细!$G305)</f>
        <v/>
      </c>
      <c r="K305" t="str">
        <f>IF(包装物料出入库明细!$D305="","",包装物料出入库明细!$D305)</f>
        <v/>
      </c>
      <c r="L305">
        <f t="shared" si="174"/>
        <v>0</v>
      </c>
      <c r="M305">
        <f t="shared" si="175"/>
        <v>9</v>
      </c>
      <c r="Q305" t="str">
        <f>IF(周转筐出入库明细!$D306="","",周转筐出入库明细!$D306)</f>
        <v/>
      </c>
      <c r="R305">
        <f t="shared" si="176"/>
        <v>0</v>
      </c>
      <c r="S305">
        <f t="shared" si="177"/>
        <v>5</v>
      </c>
      <c r="W305" t="str">
        <f>IF(周转筐出入库明细!$C306="","",周转筐出入库明细!$C306)</f>
        <v/>
      </c>
      <c r="X305">
        <f t="shared" si="178"/>
        <v>0</v>
      </c>
      <c r="Y305">
        <f t="shared" si="179"/>
        <v>12</v>
      </c>
      <c r="AC305" t="str">
        <f>IF(客户自备加工筐明细!$C305="","",客户自备加工筐明细!$C305)</f>
        <v/>
      </c>
      <c r="AD305">
        <f t="shared" si="180"/>
        <v>0</v>
      </c>
      <c r="AE305">
        <f t="shared" si="181"/>
        <v>1</v>
      </c>
      <c r="AI305" t="str">
        <f>IF(客户自备加工筐明细!$E305="","",客户自备加工筐明细!$E305)</f>
        <v/>
      </c>
      <c r="AJ305">
        <f t="shared" si="182"/>
        <v>0</v>
      </c>
      <c r="AK305">
        <f t="shared" si="183"/>
        <v>1</v>
      </c>
      <c r="AO305" t="str">
        <f>IF(次果筐明细!$D305="","",次果筐明细!$D305)</f>
        <v/>
      </c>
      <c r="AP305">
        <f t="shared" si="184"/>
        <v>0</v>
      </c>
      <c r="AQ305">
        <f t="shared" si="185"/>
        <v>1</v>
      </c>
      <c r="AU305" t="str">
        <f>IF(次果筐明细!$C305="","",次果筐明细!$C305)</f>
        <v/>
      </c>
      <c r="AV305">
        <f t="shared" si="186"/>
        <v>0</v>
      </c>
      <c r="AW305">
        <f t="shared" si="187"/>
        <v>1</v>
      </c>
      <c r="BS305" t="str">
        <f t="shared" si="200"/>
        <v/>
      </c>
      <c r="BT305">
        <f t="shared" si="193"/>
        <v>0</v>
      </c>
      <c r="BU305">
        <f t="shared" si="194"/>
        <v>14</v>
      </c>
      <c r="BY305" t="str">
        <f t="shared" si="201"/>
        <v/>
      </c>
      <c r="BZ305">
        <f t="shared" si="195"/>
        <v>0</v>
      </c>
      <c r="CA305">
        <f t="shared" si="196"/>
        <v>16</v>
      </c>
      <c r="CP305">
        <f>IF(包装物料出入库明细!$D305="",0,1)</f>
        <v>0</v>
      </c>
      <c r="CQ305">
        <f t="shared" si="197"/>
        <v>37</v>
      </c>
      <c r="CS305" t="str">
        <f>IF(OR(周转筐出入库明细!$C306="",周转筐出入库明细!$F306&lt;&gt;"采购入库"),"",周转筐出入库明细!$C306)</f>
        <v/>
      </c>
      <c r="CT305">
        <f t="shared" si="198"/>
        <v>0</v>
      </c>
      <c r="CU305">
        <f t="shared" si="199"/>
        <v>1</v>
      </c>
    </row>
    <row r="306" spans="1:99">
      <c r="A306" t="str">
        <f>IF(包装物料出入库明细!$E306="","",包装物料出入库明细!$E306)</f>
        <v/>
      </c>
      <c r="B306">
        <f t="shared" si="172"/>
        <v>0</v>
      </c>
      <c r="C306">
        <f t="shared" si="173"/>
        <v>7</v>
      </c>
      <c r="D306" t="str">
        <f>IF(包装物料出入库明细!$E306="","",包装物料出入库明细!$F306)</f>
        <v/>
      </c>
      <c r="E306" t="str">
        <f>IF(包装物料出入库明细!$E306="","",包装物料出入库明细!$G306)</f>
        <v/>
      </c>
      <c r="K306" t="str">
        <f>IF(包装物料出入库明细!$D306="","",包装物料出入库明细!$D306)</f>
        <v/>
      </c>
      <c r="L306">
        <f t="shared" si="174"/>
        <v>0</v>
      </c>
      <c r="M306">
        <f t="shared" si="175"/>
        <v>9</v>
      </c>
      <c r="Q306" t="str">
        <f>IF(周转筐出入库明细!$D307="","",周转筐出入库明细!$D307)</f>
        <v/>
      </c>
      <c r="R306">
        <f t="shared" si="176"/>
        <v>0</v>
      </c>
      <c r="S306">
        <f t="shared" si="177"/>
        <v>5</v>
      </c>
      <c r="W306" t="str">
        <f>IF(周转筐出入库明细!$C307="","",周转筐出入库明细!$C307)</f>
        <v/>
      </c>
      <c r="X306">
        <f t="shared" si="178"/>
        <v>0</v>
      </c>
      <c r="Y306">
        <f t="shared" si="179"/>
        <v>12</v>
      </c>
      <c r="AC306" t="str">
        <f>IF(客户自备加工筐明细!$C306="","",客户自备加工筐明细!$C306)</f>
        <v/>
      </c>
      <c r="AD306">
        <f t="shared" si="180"/>
        <v>0</v>
      </c>
      <c r="AE306">
        <f t="shared" si="181"/>
        <v>1</v>
      </c>
      <c r="AI306" t="str">
        <f>IF(客户自备加工筐明细!$E306="","",客户自备加工筐明细!$E306)</f>
        <v/>
      </c>
      <c r="AJ306">
        <f t="shared" si="182"/>
        <v>0</v>
      </c>
      <c r="AK306">
        <f t="shared" si="183"/>
        <v>1</v>
      </c>
      <c r="AO306" t="str">
        <f>IF(次果筐明细!$D306="","",次果筐明细!$D306)</f>
        <v/>
      </c>
      <c r="AP306">
        <f t="shared" si="184"/>
        <v>0</v>
      </c>
      <c r="AQ306">
        <f t="shared" si="185"/>
        <v>1</v>
      </c>
      <c r="AU306" t="str">
        <f>IF(次果筐明细!$C306="","",次果筐明细!$C306)</f>
        <v/>
      </c>
      <c r="AV306">
        <f t="shared" si="186"/>
        <v>0</v>
      </c>
      <c r="AW306">
        <f t="shared" si="187"/>
        <v>1</v>
      </c>
      <c r="BS306" t="str">
        <f t="shared" si="200"/>
        <v/>
      </c>
      <c r="BT306">
        <f t="shared" si="193"/>
        <v>0</v>
      </c>
      <c r="BU306">
        <f t="shared" si="194"/>
        <v>14</v>
      </c>
      <c r="BY306" t="str">
        <f t="shared" si="201"/>
        <v/>
      </c>
      <c r="BZ306">
        <f t="shared" si="195"/>
        <v>0</v>
      </c>
      <c r="CA306">
        <f t="shared" si="196"/>
        <v>16</v>
      </c>
      <c r="CP306">
        <f>IF(包装物料出入库明细!$D306="",0,1)</f>
        <v>0</v>
      </c>
      <c r="CQ306">
        <f t="shared" si="197"/>
        <v>37</v>
      </c>
      <c r="CS306" t="str">
        <f>IF(OR(周转筐出入库明细!$C307="",周转筐出入库明细!$F307&lt;&gt;"采购入库"),"",周转筐出入库明细!$C307)</f>
        <v/>
      </c>
      <c r="CT306">
        <f t="shared" si="198"/>
        <v>0</v>
      </c>
      <c r="CU306">
        <f t="shared" si="199"/>
        <v>1</v>
      </c>
    </row>
    <row r="307" spans="1:99">
      <c r="A307" t="str">
        <f>IF(包装物料出入库明细!$E307="","",包装物料出入库明细!$E307)</f>
        <v/>
      </c>
      <c r="B307">
        <f t="shared" si="172"/>
        <v>0</v>
      </c>
      <c r="C307">
        <f t="shared" si="173"/>
        <v>7</v>
      </c>
      <c r="D307" t="str">
        <f>IF(包装物料出入库明细!$E307="","",包装物料出入库明细!$F307)</f>
        <v/>
      </c>
      <c r="E307" t="str">
        <f>IF(包装物料出入库明细!$E307="","",包装物料出入库明细!$G307)</f>
        <v/>
      </c>
      <c r="K307" t="str">
        <f>IF(包装物料出入库明细!$D307="","",包装物料出入库明细!$D307)</f>
        <v/>
      </c>
      <c r="L307">
        <f t="shared" si="174"/>
        <v>0</v>
      </c>
      <c r="M307">
        <f t="shared" si="175"/>
        <v>9</v>
      </c>
      <c r="Q307" t="str">
        <f>IF(周转筐出入库明细!$D308="","",周转筐出入库明细!$D308)</f>
        <v/>
      </c>
      <c r="R307">
        <f t="shared" si="176"/>
        <v>0</v>
      </c>
      <c r="S307">
        <f t="shared" si="177"/>
        <v>5</v>
      </c>
      <c r="W307" t="str">
        <f>IF(周转筐出入库明细!$C308="","",周转筐出入库明细!$C308)</f>
        <v/>
      </c>
      <c r="X307">
        <f t="shared" si="178"/>
        <v>0</v>
      </c>
      <c r="Y307">
        <f t="shared" si="179"/>
        <v>12</v>
      </c>
      <c r="AC307" t="str">
        <f>IF(客户自备加工筐明细!$C307="","",客户自备加工筐明细!$C307)</f>
        <v/>
      </c>
      <c r="AD307">
        <f t="shared" si="180"/>
        <v>0</v>
      </c>
      <c r="AE307">
        <f t="shared" si="181"/>
        <v>1</v>
      </c>
      <c r="AI307" t="str">
        <f>IF(客户自备加工筐明细!$E307="","",客户自备加工筐明细!$E307)</f>
        <v/>
      </c>
      <c r="AJ307">
        <f t="shared" si="182"/>
        <v>0</v>
      </c>
      <c r="AK307">
        <f t="shared" si="183"/>
        <v>1</v>
      </c>
      <c r="AO307" t="str">
        <f>IF(次果筐明细!$D307="","",次果筐明细!$D307)</f>
        <v/>
      </c>
      <c r="AP307">
        <f t="shared" si="184"/>
        <v>0</v>
      </c>
      <c r="AQ307">
        <f t="shared" si="185"/>
        <v>1</v>
      </c>
      <c r="AU307" t="str">
        <f>IF(次果筐明细!$C307="","",次果筐明细!$C307)</f>
        <v/>
      </c>
      <c r="AV307">
        <f t="shared" si="186"/>
        <v>0</v>
      </c>
      <c r="AW307">
        <f t="shared" si="187"/>
        <v>1</v>
      </c>
      <c r="BS307" t="str">
        <f t="shared" si="200"/>
        <v/>
      </c>
      <c r="BT307">
        <f t="shared" si="193"/>
        <v>0</v>
      </c>
      <c r="BU307">
        <f t="shared" si="194"/>
        <v>14</v>
      </c>
      <c r="BY307" t="str">
        <f t="shared" si="201"/>
        <v/>
      </c>
      <c r="BZ307">
        <f t="shared" si="195"/>
        <v>0</v>
      </c>
      <c r="CA307">
        <f t="shared" si="196"/>
        <v>16</v>
      </c>
      <c r="CP307">
        <f>IF(包装物料出入库明细!$D307="",0,1)</f>
        <v>0</v>
      </c>
      <c r="CQ307">
        <f t="shared" si="197"/>
        <v>37</v>
      </c>
      <c r="CS307" t="str">
        <f>IF(OR(周转筐出入库明细!$C308="",周转筐出入库明细!$F308&lt;&gt;"采购入库"),"",周转筐出入库明细!$C308)</f>
        <v/>
      </c>
      <c r="CT307">
        <f t="shared" si="198"/>
        <v>0</v>
      </c>
      <c r="CU307">
        <f t="shared" si="199"/>
        <v>1</v>
      </c>
    </row>
    <row r="308" spans="1:99">
      <c r="A308" t="str">
        <f>IF(包装物料出入库明细!$E308="","",包装物料出入库明细!$E308)</f>
        <v/>
      </c>
      <c r="B308">
        <f t="shared" si="172"/>
        <v>0</v>
      </c>
      <c r="C308">
        <f t="shared" si="173"/>
        <v>7</v>
      </c>
      <c r="D308" t="str">
        <f>IF(包装物料出入库明细!$E308="","",包装物料出入库明细!$F308)</f>
        <v/>
      </c>
      <c r="E308" t="str">
        <f>IF(包装物料出入库明细!$E308="","",包装物料出入库明细!$G308)</f>
        <v/>
      </c>
      <c r="K308" t="str">
        <f>IF(包装物料出入库明细!$D308="","",包装物料出入库明细!$D308)</f>
        <v/>
      </c>
      <c r="L308">
        <f t="shared" si="174"/>
        <v>0</v>
      </c>
      <c r="M308">
        <f t="shared" si="175"/>
        <v>9</v>
      </c>
      <c r="Q308" t="str">
        <f>IF(周转筐出入库明细!$D309="","",周转筐出入库明细!$D309)</f>
        <v/>
      </c>
      <c r="R308">
        <f t="shared" si="176"/>
        <v>0</v>
      </c>
      <c r="S308">
        <f t="shared" si="177"/>
        <v>5</v>
      </c>
      <c r="W308" t="str">
        <f>IF(周转筐出入库明细!$C309="","",周转筐出入库明细!$C309)</f>
        <v/>
      </c>
      <c r="X308">
        <f t="shared" si="178"/>
        <v>0</v>
      </c>
      <c r="Y308">
        <f t="shared" si="179"/>
        <v>12</v>
      </c>
      <c r="AC308" t="str">
        <f>IF(客户自备加工筐明细!$C308="","",客户自备加工筐明细!$C308)</f>
        <v/>
      </c>
      <c r="AD308">
        <f t="shared" si="180"/>
        <v>0</v>
      </c>
      <c r="AE308">
        <f t="shared" si="181"/>
        <v>1</v>
      </c>
      <c r="AI308" t="str">
        <f>IF(客户自备加工筐明细!$E308="","",客户自备加工筐明细!$E308)</f>
        <v/>
      </c>
      <c r="AJ308">
        <f t="shared" si="182"/>
        <v>0</v>
      </c>
      <c r="AK308">
        <f t="shared" si="183"/>
        <v>1</v>
      </c>
      <c r="AO308" t="str">
        <f>IF(次果筐明细!$D308="","",次果筐明细!$D308)</f>
        <v/>
      </c>
      <c r="AP308">
        <f t="shared" si="184"/>
        <v>0</v>
      </c>
      <c r="AQ308">
        <f t="shared" si="185"/>
        <v>1</v>
      </c>
      <c r="AU308" t="str">
        <f>IF(次果筐明细!$C308="","",次果筐明细!$C308)</f>
        <v/>
      </c>
      <c r="AV308">
        <f t="shared" si="186"/>
        <v>0</v>
      </c>
      <c r="AW308">
        <f t="shared" si="187"/>
        <v>1</v>
      </c>
      <c r="BS308" t="str">
        <f t="shared" si="200"/>
        <v/>
      </c>
      <c r="BT308">
        <f t="shared" si="193"/>
        <v>0</v>
      </c>
      <c r="BU308">
        <f t="shared" si="194"/>
        <v>14</v>
      </c>
      <c r="BY308" t="str">
        <f t="shared" si="201"/>
        <v/>
      </c>
      <c r="BZ308">
        <f t="shared" si="195"/>
        <v>0</v>
      </c>
      <c r="CA308">
        <f t="shared" si="196"/>
        <v>16</v>
      </c>
      <c r="CP308">
        <f>IF(包装物料出入库明细!$D308="",0,1)</f>
        <v>0</v>
      </c>
      <c r="CQ308">
        <f t="shared" si="197"/>
        <v>37</v>
      </c>
      <c r="CS308" t="str">
        <f>IF(OR(周转筐出入库明细!$C309="",周转筐出入库明细!$F309&lt;&gt;"采购入库"),"",周转筐出入库明细!$C309)</f>
        <v/>
      </c>
      <c r="CT308">
        <f t="shared" si="198"/>
        <v>0</v>
      </c>
      <c r="CU308">
        <f t="shared" si="199"/>
        <v>1</v>
      </c>
    </row>
    <row r="309" spans="1:99">
      <c r="A309" t="str">
        <f>IF(包装物料出入库明细!$E309="","",包装物料出入库明细!$E309)</f>
        <v/>
      </c>
      <c r="B309">
        <f t="shared" si="172"/>
        <v>0</v>
      </c>
      <c r="C309">
        <f t="shared" si="173"/>
        <v>7</v>
      </c>
      <c r="D309" t="str">
        <f>IF(包装物料出入库明细!$E309="","",包装物料出入库明细!$F309)</f>
        <v/>
      </c>
      <c r="E309" t="str">
        <f>IF(包装物料出入库明细!$E309="","",包装物料出入库明细!$G309)</f>
        <v/>
      </c>
      <c r="K309" t="str">
        <f>IF(包装物料出入库明细!$D309="","",包装物料出入库明细!$D309)</f>
        <v/>
      </c>
      <c r="L309">
        <f t="shared" si="174"/>
        <v>0</v>
      </c>
      <c r="M309">
        <f t="shared" si="175"/>
        <v>9</v>
      </c>
      <c r="Q309" t="str">
        <f>IF(周转筐出入库明细!$D310="","",周转筐出入库明细!$D310)</f>
        <v/>
      </c>
      <c r="R309">
        <f t="shared" si="176"/>
        <v>0</v>
      </c>
      <c r="S309">
        <f t="shared" si="177"/>
        <v>5</v>
      </c>
      <c r="W309" t="str">
        <f>IF(周转筐出入库明细!$C310="","",周转筐出入库明细!$C310)</f>
        <v/>
      </c>
      <c r="X309">
        <f t="shared" si="178"/>
        <v>0</v>
      </c>
      <c r="Y309">
        <f t="shared" si="179"/>
        <v>12</v>
      </c>
      <c r="AC309" t="str">
        <f>IF(客户自备加工筐明细!$C309="","",客户自备加工筐明细!$C309)</f>
        <v/>
      </c>
      <c r="AD309">
        <f t="shared" si="180"/>
        <v>0</v>
      </c>
      <c r="AE309">
        <f t="shared" si="181"/>
        <v>1</v>
      </c>
      <c r="AI309" t="str">
        <f>IF(客户自备加工筐明细!$E309="","",客户自备加工筐明细!$E309)</f>
        <v/>
      </c>
      <c r="AJ309">
        <f t="shared" si="182"/>
        <v>0</v>
      </c>
      <c r="AK309">
        <f t="shared" si="183"/>
        <v>1</v>
      </c>
      <c r="AO309" t="str">
        <f>IF(次果筐明细!$D309="","",次果筐明细!$D309)</f>
        <v/>
      </c>
      <c r="AP309">
        <f t="shared" si="184"/>
        <v>0</v>
      </c>
      <c r="AQ309">
        <f t="shared" si="185"/>
        <v>1</v>
      </c>
      <c r="AU309" t="str">
        <f>IF(次果筐明细!$C309="","",次果筐明细!$C309)</f>
        <v/>
      </c>
      <c r="AV309">
        <f t="shared" si="186"/>
        <v>0</v>
      </c>
      <c r="AW309">
        <f t="shared" si="187"/>
        <v>1</v>
      </c>
      <c r="BS309" t="str">
        <f t="shared" si="200"/>
        <v/>
      </c>
      <c r="BT309">
        <f t="shared" si="193"/>
        <v>0</v>
      </c>
      <c r="BU309">
        <f t="shared" si="194"/>
        <v>14</v>
      </c>
      <c r="BY309" t="str">
        <f t="shared" si="201"/>
        <v/>
      </c>
      <c r="BZ309">
        <f t="shared" si="195"/>
        <v>0</v>
      </c>
      <c r="CA309">
        <f t="shared" si="196"/>
        <v>16</v>
      </c>
      <c r="CP309">
        <f>IF(包装物料出入库明细!$D309="",0,1)</f>
        <v>0</v>
      </c>
      <c r="CQ309">
        <f t="shared" si="197"/>
        <v>37</v>
      </c>
      <c r="CS309" t="str">
        <f>IF(OR(周转筐出入库明细!$C310="",周转筐出入库明细!$F310&lt;&gt;"采购入库"),"",周转筐出入库明细!$C310)</f>
        <v/>
      </c>
      <c r="CT309">
        <f t="shared" si="198"/>
        <v>0</v>
      </c>
      <c r="CU309">
        <f t="shared" si="199"/>
        <v>1</v>
      </c>
    </row>
    <row r="310" spans="1:99">
      <c r="A310" t="str">
        <f>IF(包装物料出入库明细!$E310="","",包装物料出入库明细!$E310)</f>
        <v/>
      </c>
      <c r="B310">
        <f t="shared" si="172"/>
        <v>0</v>
      </c>
      <c r="C310">
        <f t="shared" si="173"/>
        <v>7</v>
      </c>
      <c r="D310" t="str">
        <f>IF(包装物料出入库明细!$E310="","",包装物料出入库明细!$F310)</f>
        <v/>
      </c>
      <c r="E310" t="str">
        <f>IF(包装物料出入库明细!$E310="","",包装物料出入库明细!$G310)</f>
        <v/>
      </c>
      <c r="K310" t="str">
        <f>IF(包装物料出入库明细!$D310="","",包装物料出入库明细!$D310)</f>
        <v/>
      </c>
      <c r="L310">
        <f t="shared" si="174"/>
        <v>0</v>
      </c>
      <c r="M310">
        <f t="shared" si="175"/>
        <v>9</v>
      </c>
      <c r="Q310" t="str">
        <f>IF(周转筐出入库明细!$D311="","",周转筐出入库明细!$D311)</f>
        <v/>
      </c>
      <c r="R310">
        <f t="shared" si="176"/>
        <v>0</v>
      </c>
      <c r="S310">
        <f t="shared" si="177"/>
        <v>5</v>
      </c>
      <c r="W310" t="str">
        <f>IF(周转筐出入库明细!$C311="","",周转筐出入库明细!$C311)</f>
        <v/>
      </c>
      <c r="X310">
        <f t="shared" si="178"/>
        <v>0</v>
      </c>
      <c r="Y310">
        <f t="shared" si="179"/>
        <v>12</v>
      </c>
      <c r="AC310" t="str">
        <f>IF(客户自备加工筐明细!$C310="","",客户自备加工筐明细!$C310)</f>
        <v/>
      </c>
      <c r="AD310">
        <f t="shared" si="180"/>
        <v>0</v>
      </c>
      <c r="AE310">
        <f t="shared" si="181"/>
        <v>1</v>
      </c>
      <c r="AI310" t="str">
        <f>IF(客户自备加工筐明细!$E310="","",客户自备加工筐明细!$E310)</f>
        <v/>
      </c>
      <c r="AJ310">
        <f t="shared" si="182"/>
        <v>0</v>
      </c>
      <c r="AK310">
        <f t="shared" si="183"/>
        <v>1</v>
      </c>
      <c r="AO310" t="str">
        <f>IF(次果筐明细!$D310="","",次果筐明细!$D310)</f>
        <v/>
      </c>
      <c r="AP310">
        <f t="shared" si="184"/>
        <v>0</v>
      </c>
      <c r="AQ310">
        <f t="shared" si="185"/>
        <v>1</v>
      </c>
      <c r="AU310" t="str">
        <f>IF(次果筐明细!$C310="","",次果筐明细!$C310)</f>
        <v/>
      </c>
      <c r="AV310">
        <f t="shared" si="186"/>
        <v>0</v>
      </c>
      <c r="AW310">
        <f t="shared" si="187"/>
        <v>1</v>
      </c>
      <c r="BS310" t="str">
        <f t="shared" si="200"/>
        <v/>
      </c>
      <c r="BT310">
        <f t="shared" si="193"/>
        <v>0</v>
      </c>
      <c r="BU310">
        <f t="shared" si="194"/>
        <v>14</v>
      </c>
      <c r="BY310" t="str">
        <f t="shared" si="201"/>
        <v/>
      </c>
      <c r="BZ310">
        <f t="shared" si="195"/>
        <v>0</v>
      </c>
      <c r="CA310">
        <f t="shared" si="196"/>
        <v>16</v>
      </c>
      <c r="CP310">
        <f>IF(包装物料出入库明细!$D310="",0,1)</f>
        <v>0</v>
      </c>
      <c r="CQ310">
        <f t="shared" si="197"/>
        <v>37</v>
      </c>
      <c r="CS310" t="str">
        <f>IF(OR(周转筐出入库明细!$C311="",周转筐出入库明细!$F311&lt;&gt;"采购入库"),"",周转筐出入库明细!$C311)</f>
        <v/>
      </c>
      <c r="CT310">
        <f t="shared" si="198"/>
        <v>0</v>
      </c>
      <c r="CU310">
        <f t="shared" si="199"/>
        <v>1</v>
      </c>
    </row>
    <row r="311" spans="1:99">
      <c r="A311" t="str">
        <f>IF(包装物料出入库明细!$E311="","",包装物料出入库明细!$E311)</f>
        <v/>
      </c>
      <c r="B311">
        <f t="shared" si="172"/>
        <v>0</v>
      </c>
      <c r="C311">
        <f t="shared" si="173"/>
        <v>7</v>
      </c>
      <c r="D311" t="str">
        <f>IF(包装物料出入库明细!$E311="","",包装物料出入库明细!$F311)</f>
        <v/>
      </c>
      <c r="E311" t="str">
        <f>IF(包装物料出入库明细!$E311="","",包装物料出入库明细!$G311)</f>
        <v/>
      </c>
      <c r="K311" t="str">
        <f>IF(包装物料出入库明细!$D311="","",包装物料出入库明细!$D311)</f>
        <v/>
      </c>
      <c r="L311">
        <f t="shared" si="174"/>
        <v>0</v>
      </c>
      <c r="M311">
        <f t="shared" si="175"/>
        <v>9</v>
      </c>
      <c r="Q311" t="str">
        <f>IF(周转筐出入库明细!$D312="","",周转筐出入库明细!$D312)</f>
        <v/>
      </c>
      <c r="R311">
        <f t="shared" si="176"/>
        <v>0</v>
      </c>
      <c r="S311">
        <f t="shared" si="177"/>
        <v>5</v>
      </c>
      <c r="W311" t="str">
        <f>IF(周转筐出入库明细!$C312="","",周转筐出入库明细!$C312)</f>
        <v/>
      </c>
      <c r="X311">
        <f t="shared" si="178"/>
        <v>0</v>
      </c>
      <c r="Y311">
        <f t="shared" si="179"/>
        <v>12</v>
      </c>
      <c r="AC311" t="str">
        <f>IF(客户自备加工筐明细!$C311="","",客户自备加工筐明细!$C311)</f>
        <v/>
      </c>
      <c r="AD311">
        <f t="shared" si="180"/>
        <v>0</v>
      </c>
      <c r="AE311">
        <f t="shared" si="181"/>
        <v>1</v>
      </c>
      <c r="AI311" t="str">
        <f>IF(客户自备加工筐明细!$E311="","",客户自备加工筐明细!$E311)</f>
        <v/>
      </c>
      <c r="AJ311">
        <f t="shared" si="182"/>
        <v>0</v>
      </c>
      <c r="AK311">
        <f t="shared" si="183"/>
        <v>1</v>
      </c>
      <c r="AO311" t="str">
        <f>IF(次果筐明细!$D311="","",次果筐明细!$D311)</f>
        <v/>
      </c>
      <c r="AP311">
        <f t="shared" si="184"/>
        <v>0</v>
      </c>
      <c r="AQ311">
        <f t="shared" si="185"/>
        <v>1</v>
      </c>
      <c r="AU311" t="str">
        <f>IF(次果筐明细!$C311="","",次果筐明细!$C311)</f>
        <v/>
      </c>
      <c r="AV311">
        <f t="shared" si="186"/>
        <v>0</v>
      </c>
      <c r="AW311">
        <f t="shared" si="187"/>
        <v>1</v>
      </c>
      <c r="BS311" t="str">
        <f t="shared" si="200"/>
        <v/>
      </c>
      <c r="BT311">
        <f t="shared" si="193"/>
        <v>0</v>
      </c>
      <c r="BU311">
        <f t="shared" si="194"/>
        <v>14</v>
      </c>
      <c r="BY311" t="str">
        <f t="shared" si="201"/>
        <v/>
      </c>
      <c r="BZ311">
        <f t="shared" si="195"/>
        <v>0</v>
      </c>
      <c r="CA311">
        <f t="shared" si="196"/>
        <v>16</v>
      </c>
      <c r="CP311">
        <f>IF(包装物料出入库明细!$D311="",0,1)</f>
        <v>0</v>
      </c>
      <c r="CQ311">
        <f t="shared" si="197"/>
        <v>37</v>
      </c>
      <c r="CS311" t="str">
        <f>IF(OR(周转筐出入库明细!$C312="",周转筐出入库明细!$F312&lt;&gt;"采购入库"),"",周转筐出入库明细!$C312)</f>
        <v/>
      </c>
      <c r="CT311">
        <f t="shared" si="198"/>
        <v>0</v>
      </c>
      <c r="CU311">
        <f t="shared" si="199"/>
        <v>1</v>
      </c>
    </row>
    <row r="312" spans="1:99">
      <c r="A312" t="str">
        <f>IF(包装物料出入库明细!$E312="","",包装物料出入库明细!$E312)</f>
        <v/>
      </c>
      <c r="B312">
        <f t="shared" si="172"/>
        <v>0</v>
      </c>
      <c r="C312">
        <f t="shared" si="173"/>
        <v>7</v>
      </c>
      <c r="D312" t="str">
        <f>IF(包装物料出入库明细!$E312="","",包装物料出入库明细!$F312)</f>
        <v/>
      </c>
      <c r="E312" t="str">
        <f>IF(包装物料出入库明细!$E312="","",包装物料出入库明细!$G312)</f>
        <v/>
      </c>
      <c r="K312" t="str">
        <f>IF(包装物料出入库明细!$D312="","",包装物料出入库明细!$D312)</f>
        <v/>
      </c>
      <c r="L312">
        <f t="shared" si="174"/>
        <v>0</v>
      </c>
      <c r="M312">
        <f t="shared" si="175"/>
        <v>9</v>
      </c>
      <c r="Q312" t="str">
        <f>IF(周转筐出入库明细!$D313="","",周转筐出入库明细!$D313)</f>
        <v/>
      </c>
      <c r="R312">
        <f t="shared" si="176"/>
        <v>0</v>
      </c>
      <c r="S312">
        <f t="shared" si="177"/>
        <v>5</v>
      </c>
      <c r="W312" t="str">
        <f>IF(周转筐出入库明细!$C313="","",周转筐出入库明细!$C313)</f>
        <v/>
      </c>
      <c r="X312">
        <f t="shared" si="178"/>
        <v>0</v>
      </c>
      <c r="Y312">
        <f t="shared" si="179"/>
        <v>12</v>
      </c>
      <c r="AC312" t="str">
        <f>IF(客户自备加工筐明细!$C312="","",客户自备加工筐明细!$C312)</f>
        <v/>
      </c>
      <c r="AD312">
        <f t="shared" si="180"/>
        <v>0</v>
      </c>
      <c r="AE312">
        <f t="shared" si="181"/>
        <v>1</v>
      </c>
      <c r="AI312" t="str">
        <f>IF(客户自备加工筐明细!$E312="","",客户自备加工筐明细!$E312)</f>
        <v/>
      </c>
      <c r="AJ312">
        <f t="shared" si="182"/>
        <v>0</v>
      </c>
      <c r="AK312">
        <f t="shared" si="183"/>
        <v>1</v>
      </c>
      <c r="AO312" t="str">
        <f>IF(次果筐明细!$D312="","",次果筐明细!$D312)</f>
        <v/>
      </c>
      <c r="AP312">
        <f t="shared" si="184"/>
        <v>0</v>
      </c>
      <c r="AQ312">
        <f t="shared" si="185"/>
        <v>1</v>
      </c>
      <c r="AU312" t="str">
        <f>IF(次果筐明细!$C312="","",次果筐明细!$C312)</f>
        <v/>
      </c>
      <c r="AV312">
        <f t="shared" si="186"/>
        <v>0</v>
      </c>
      <c r="AW312">
        <f t="shared" si="187"/>
        <v>1</v>
      </c>
      <c r="BS312" t="str">
        <f t="shared" si="200"/>
        <v/>
      </c>
      <c r="BT312">
        <f t="shared" si="193"/>
        <v>0</v>
      </c>
      <c r="BU312">
        <f t="shared" si="194"/>
        <v>14</v>
      </c>
      <c r="BY312" t="str">
        <f t="shared" si="201"/>
        <v/>
      </c>
      <c r="BZ312">
        <f t="shared" si="195"/>
        <v>0</v>
      </c>
      <c r="CA312">
        <f t="shared" si="196"/>
        <v>16</v>
      </c>
      <c r="CP312">
        <f>IF(包装物料出入库明细!$D312="",0,1)</f>
        <v>0</v>
      </c>
      <c r="CQ312">
        <f t="shared" si="197"/>
        <v>37</v>
      </c>
      <c r="CS312" t="str">
        <f>IF(OR(周转筐出入库明细!$C313="",周转筐出入库明细!$F313&lt;&gt;"采购入库"),"",周转筐出入库明细!$C313)</f>
        <v/>
      </c>
      <c r="CT312">
        <f t="shared" si="198"/>
        <v>0</v>
      </c>
      <c r="CU312">
        <f t="shared" si="199"/>
        <v>1</v>
      </c>
    </row>
    <row r="313" spans="1:99">
      <c r="A313" t="str">
        <f>IF(包装物料出入库明细!$E313="","",包装物料出入库明细!$E313)</f>
        <v/>
      </c>
      <c r="B313">
        <f t="shared" si="172"/>
        <v>0</v>
      </c>
      <c r="C313">
        <f t="shared" si="173"/>
        <v>7</v>
      </c>
      <c r="D313" t="str">
        <f>IF(包装物料出入库明细!$E313="","",包装物料出入库明细!$F313)</f>
        <v/>
      </c>
      <c r="E313" t="str">
        <f>IF(包装物料出入库明细!$E313="","",包装物料出入库明细!$G313)</f>
        <v/>
      </c>
      <c r="K313" t="str">
        <f>IF(包装物料出入库明细!$D313="","",包装物料出入库明细!$D313)</f>
        <v/>
      </c>
      <c r="L313">
        <f t="shared" si="174"/>
        <v>0</v>
      </c>
      <c r="M313">
        <f t="shared" si="175"/>
        <v>9</v>
      </c>
      <c r="Q313" t="str">
        <f>IF(周转筐出入库明细!$D314="","",周转筐出入库明细!$D314)</f>
        <v/>
      </c>
      <c r="R313">
        <f t="shared" si="176"/>
        <v>0</v>
      </c>
      <c r="S313">
        <f t="shared" si="177"/>
        <v>5</v>
      </c>
      <c r="W313" t="str">
        <f>IF(周转筐出入库明细!$C314="","",周转筐出入库明细!$C314)</f>
        <v/>
      </c>
      <c r="X313">
        <f t="shared" si="178"/>
        <v>0</v>
      </c>
      <c r="Y313">
        <f t="shared" si="179"/>
        <v>12</v>
      </c>
      <c r="AC313" t="str">
        <f>IF(客户自备加工筐明细!$C313="","",客户自备加工筐明细!$C313)</f>
        <v/>
      </c>
      <c r="AD313">
        <f t="shared" si="180"/>
        <v>0</v>
      </c>
      <c r="AE313">
        <f t="shared" si="181"/>
        <v>1</v>
      </c>
      <c r="AI313" t="str">
        <f>IF(客户自备加工筐明细!$E313="","",客户自备加工筐明细!$E313)</f>
        <v/>
      </c>
      <c r="AJ313">
        <f t="shared" si="182"/>
        <v>0</v>
      </c>
      <c r="AK313">
        <f t="shared" si="183"/>
        <v>1</v>
      </c>
      <c r="AO313" t="str">
        <f>IF(次果筐明细!$D313="","",次果筐明细!$D313)</f>
        <v/>
      </c>
      <c r="AP313">
        <f t="shared" si="184"/>
        <v>0</v>
      </c>
      <c r="AQ313">
        <f t="shared" si="185"/>
        <v>1</v>
      </c>
      <c r="AU313" t="str">
        <f>IF(次果筐明细!$C313="","",次果筐明细!$C313)</f>
        <v/>
      </c>
      <c r="AV313">
        <f t="shared" si="186"/>
        <v>0</v>
      </c>
      <c r="AW313">
        <f t="shared" si="187"/>
        <v>1</v>
      </c>
      <c r="BS313" t="str">
        <f t="shared" si="200"/>
        <v/>
      </c>
      <c r="BT313">
        <f t="shared" si="193"/>
        <v>0</v>
      </c>
      <c r="BU313">
        <f t="shared" si="194"/>
        <v>14</v>
      </c>
      <c r="BY313" t="str">
        <f t="shared" si="201"/>
        <v/>
      </c>
      <c r="BZ313">
        <f t="shared" si="195"/>
        <v>0</v>
      </c>
      <c r="CA313">
        <f t="shared" si="196"/>
        <v>16</v>
      </c>
      <c r="CP313">
        <f>IF(包装物料出入库明细!$D313="",0,1)</f>
        <v>0</v>
      </c>
      <c r="CQ313">
        <f t="shared" si="197"/>
        <v>37</v>
      </c>
      <c r="CS313" t="str">
        <f>IF(OR(周转筐出入库明细!$C314="",周转筐出入库明细!$F314&lt;&gt;"采购入库"),"",周转筐出入库明细!$C314)</f>
        <v/>
      </c>
      <c r="CT313">
        <f t="shared" si="198"/>
        <v>0</v>
      </c>
      <c r="CU313">
        <f t="shared" si="199"/>
        <v>1</v>
      </c>
    </row>
    <row r="314" spans="1:99">
      <c r="A314" t="str">
        <f>IF(包装物料出入库明细!$E314="","",包装物料出入库明细!$E314)</f>
        <v/>
      </c>
      <c r="B314">
        <f t="shared" si="172"/>
        <v>0</v>
      </c>
      <c r="C314">
        <f t="shared" si="173"/>
        <v>7</v>
      </c>
      <c r="D314" t="str">
        <f>IF(包装物料出入库明细!$E314="","",包装物料出入库明细!$F314)</f>
        <v/>
      </c>
      <c r="E314" t="str">
        <f>IF(包装物料出入库明细!$E314="","",包装物料出入库明细!$G314)</f>
        <v/>
      </c>
      <c r="K314" t="str">
        <f>IF(包装物料出入库明细!$D314="","",包装物料出入库明细!$D314)</f>
        <v/>
      </c>
      <c r="L314">
        <f t="shared" si="174"/>
        <v>0</v>
      </c>
      <c r="M314">
        <f t="shared" si="175"/>
        <v>9</v>
      </c>
      <c r="Q314" t="str">
        <f>IF(周转筐出入库明细!$D315="","",周转筐出入库明细!$D315)</f>
        <v/>
      </c>
      <c r="R314">
        <f t="shared" si="176"/>
        <v>0</v>
      </c>
      <c r="S314">
        <f t="shared" si="177"/>
        <v>5</v>
      </c>
      <c r="W314" t="str">
        <f>IF(周转筐出入库明细!$C315="","",周转筐出入库明细!$C315)</f>
        <v/>
      </c>
      <c r="X314">
        <f t="shared" si="178"/>
        <v>0</v>
      </c>
      <c r="Y314">
        <f t="shared" si="179"/>
        <v>12</v>
      </c>
      <c r="AC314" t="str">
        <f>IF(客户自备加工筐明细!$C314="","",客户自备加工筐明细!$C314)</f>
        <v/>
      </c>
      <c r="AD314">
        <f t="shared" si="180"/>
        <v>0</v>
      </c>
      <c r="AE314">
        <f t="shared" si="181"/>
        <v>1</v>
      </c>
      <c r="AI314" t="str">
        <f>IF(客户自备加工筐明细!$E314="","",客户自备加工筐明细!$E314)</f>
        <v/>
      </c>
      <c r="AJ314">
        <f t="shared" si="182"/>
        <v>0</v>
      </c>
      <c r="AK314">
        <f t="shared" si="183"/>
        <v>1</v>
      </c>
      <c r="AO314" t="str">
        <f>IF(次果筐明细!$D314="","",次果筐明细!$D314)</f>
        <v/>
      </c>
      <c r="AP314">
        <f t="shared" si="184"/>
        <v>0</v>
      </c>
      <c r="AQ314">
        <f t="shared" si="185"/>
        <v>1</v>
      </c>
      <c r="AU314" t="str">
        <f>IF(次果筐明细!$C314="","",次果筐明细!$C314)</f>
        <v/>
      </c>
      <c r="AV314">
        <f t="shared" si="186"/>
        <v>0</v>
      </c>
      <c r="AW314">
        <f t="shared" si="187"/>
        <v>1</v>
      </c>
      <c r="BS314" t="str">
        <f t="shared" si="200"/>
        <v/>
      </c>
      <c r="BT314">
        <f t="shared" si="193"/>
        <v>0</v>
      </c>
      <c r="BU314">
        <f t="shared" si="194"/>
        <v>14</v>
      </c>
      <c r="BY314" t="str">
        <f t="shared" si="201"/>
        <v/>
      </c>
      <c r="BZ314">
        <f t="shared" si="195"/>
        <v>0</v>
      </c>
      <c r="CA314">
        <f t="shared" si="196"/>
        <v>16</v>
      </c>
      <c r="CP314">
        <f>IF(包装物料出入库明细!$D314="",0,1)</f>
        <v>0</v>
      </c>
      <c r="CQ314">
        <f t="shared" si="197"/>
        <v>37</v>
      </c>
      <c r="CS314" t="str">
        <f>IF(OR(周转筐出入库明细!$C315="",周转筐出入库明细!$F315&lt;&gt;"采购入库"),"",周转筐出入库明细!$C315)</f>
        <v/>
      </c>
      <c r="CT314">
        <f t="shared" si="198"/>
        <v>0</v>
      </c>
      <c r="CU314">
        <f t="shared" si="199"/>
        <v>1</v>
      </c>
    </row>
    <row r="315" spans="1:99">
      <c r="A315" t="str">
        <f>IF(包装物料出入库明细!$E315="","",包装物料出入库明细!$E315)</f>
        <v/>
      </c>
      <c r="B315">
        <f t="shared" si="172"/>
        <v>0</v>
      </c>
      <c r="C315">
        <f t="shared" si="173"/>
        <v>7</v>
      </c>
      <c r="D315" t="str">
        <f>IF(包装物料出入库明细!$E315="","",包装物料出入库明细!$F315)</f>
        <v/>
      </c>
      <c r="E315" t="str">
        <f>IF(包装物料出入库明细!$E315="","",包装物料出入库明细!$G315)</f>
        <v/>
      </c>
      <c r="K315" t="str">
        <f>IF(包装物料出入库明细!$D315="","",包装物料出入库明细!$D315)</f>
        <v/>
      </c>
      <c r="L315">
        <f t="shared" si="174"/>
        <v>0</v>
      </c>
      <c r="M315">
        <f t="shared" si="175"/>
        <v>9</v>
      </c>
      <c r="Q315" t="str">
        <f>IF(周转筐出入库明细!$D316="","",周转筐出入库明细!$D316)</f>
        <v/>
      </c>
      <c r="R315">
        <f t="shared" si="176"/>
        <v>0</v>
      </c>
      <c r="S315">
        <f t="shared" si="177"/>
        <v>5</v>
      </c>
      <c r="W315" t="str">
        <f>IF(周转筐出入库明细!$C316="","",周转筐出入库明细!$C316)</f>
        <v/>
      </c>
      <c r="X315">
        <f t="shared" si="178"/>
        <v>0</v>
      </c>
      <c r="Y315">
        <f t="shared" si="179"/>
        <v>12</v>
      </c>
      <c r="AC315" t="str">
        <f>IF(客户自备加工筐明细!$C315="","",客户自备加工筐明细!$C315)</f>
        <v/>
      </c>
      <c r="AD315">
        <f t="shared" si="180"/>
        <v>0</v>
      </c>
      <c r="AE315">
        <f t="shared" si="181"/>
        <v>1</v>
      </c>
      <c r="AI315" t="str">
        <f>IF(客户自备加工筐明细!$E315="","",客户自备加工筐明细!$E315)</f>
        <v/>
      </c>
      <c r="AJ315">
        <f t="shared" si="182"/>
        <v>0</v>
      </c>
      <c r="AK315">
        <f t="shared" si="183"/>
        <v>1</v>
      </c>
      <c r="AO315" t="str">
        <f>IF(次果筐明细!$D315="","",次果筐明细!$D315)</f>
        <v/>
      </c>
      <c r="AP315">
        <f t="shared" si="184"/>
        <v>0</v>
      </c>
      <c r="AQ315">
        <f t="shared" si="185"/>
        <v>1</v>
      </c>
      <c r="AU315" t="str">
        <f>IF(次果筐明细!$C315="","",次果筐明细!$C315)</f>
        <v/>
      </c>
      <c r="AV315">
        <f t="shared" si="186"/>
        <v>0</v>
      </c>
      <c r="AW315">
        <f t="shared" si="187"/>
        <v>1</v>
      </c>
      <c r="BS315" t="str">
        <f t="shared" si="200"/>
        <v/>
      </c>
      <c r="BT315">
        <f t="shared" si="193"/>
        <v>0</v>
      </c>
      <c r="BU315">
        <f t="shared" si="194"/>
        <v>14</v>
      </c>
      <c r="BY315" t="str">
        <f t="shared" si="201"/>
        <v/>
      </c>
      <c r="BZ315">
        <f t="shared" si="195"/>
        <v>0</v>
      </c>
      <c r="CA315">
        <f t="shared" si="196"/>
        <v>16</v>
      </c>
      <c r="CP315">
        <f>IF(包装物料出入库明细!$D315="",0,1)</f>
        <v>0</v>
      </c>
      <c r="CQ315">
        <f t="shared" si="197"/>
        <v>37</v>
      </c>
      <c r="CS315" t="str">
        <f>IF(OR(周转筐出入库明细!$C316="",周转筐出入库明细!$F316&lt;&gt;"采购入库"),"",周转筐出入库明细!$C316)</f>
        <v/>
      </c>
      <c r="CT315">
        <f t="shared" si="198"/>
        <v>0</v>
      </c>
      <c r="CU315">
        <f t="shared" si="199"/>
        <v>1</v>
      </c>
    </row>
    <row r="316" spans="1:99">
      <c r="A316" t="str">
        <f>IF(包装物料出入库明细!$E316="","",包装物料出入库明细!$E316)</f>
        <v/>
      </c>
      <c r="B316">
        <f t="shared" si="172"/>
        <v>0</v>
      </c>
      <c r="C316">
        <f t="shared" si="173"/>
        <v>7</v>
      </c>
      <c r="D316" t="str">
        <f>IF(包装物料出入库明细!$E316="","",包装物料出入库明细!$F316)</f>
        <v/>
      </c>
      <c r="E316" t="str">
        <f>IF(包装物料出入库明细!$E316="","",包装物料出入库明细!$G316)</f>
        <v/>
      </c>
      <c r="K316" t="str">
        <f>IF(包装物料出入库明细!$D316="","",包装物料出入库明细!$D316)</f>
        <v/>
      </c>
      <c r="L316">
        <f t="shared" si="174"/>
        <v>0</v>
      </c>
      <c r="M316">
        <f t="shared" si="175"/>
        <v>9</v>
      </c>
      <c r="Q316" t="str">
        <f>IF(周转筐出入库明细!$D317="","",周转筐出入库明细!$D317)</f>
        <v/>
      </c>
      <c r="R316">
        <f t="shared" si="176"/>
        <v>0</v>
      </c>
      <c r="S316">
        <f t="shared" si="177"/>
        <v>5</v>
      </c>
      <c r="W316" t="str">
        <f>IF(周转筐出入库明细!$C317="","",周转筐出入库明细!$C317)</f>
        <v/>
      </c>
      <c r="X316">
        <f t="shared" si="178"/>
        <v>0</v>
      </c>
      <c r="Y316">
        <f t="shared" si="179"/>
        <v>12</v>
      </c>
      <c r="AC316" t="str">
        <f>IF(客户自备加工筐明细!$C316="","",客户自备加工筐明细!$C316)</f>
        <v/>
      </c>
      <c r="AD316">
        <f t="shared" si="180"/>
        <v>0</v>
      </c>
      <c r="AE316">
        <f t="shared" si="181"/>
        <v>1</v>
      </c>
      <c r="AI316" t="str">
        <f>IF(客户自备加工筐明细!$E316="","",客户自备加工筐明细!$E316)</f>
        <v/>
      </c>
      <c r="AJ316">
        <f t="shared" si="182"/>
        <v>0</v>
      </c>
      <c r="AK316">
        <f t="shared" si="183"/>
        <v>1</v>
      </c>
      <c r="AO316" t="str">
        <f>IF(次果筐明细!$D316="","",次果筐明细!$D316)</f>
        <v/>
      </c>
      <c r="AP316">
        <f t="shared" si="184"/>
        <v>0</v>
      </c>
      <c r="AQ316">
        <f t="shared" si="185"/>
        <v>1</v>
      </c>
      <c r="AU316" t="str">
        <f>IF(次果筐明细!$C316="","",次果筐明细!$C316)</f>
        <v/>
      </c>
      <c r="AV316">
        <f t="shared" si="186"/>
        <v>0</v>
      </c>
      <c r="AW316">
        <f t="shared" si="187"/>
        <v>1</v>
      </c>
      <c r="BS316" t="str">
        <f t="shared" si="200"/>
        <v/>
      </c>
      <c r="BT316">
        <f t="shared" si="193"/>
        <v>0</v>
      </c>
      <c r="BU316">
        <f t="shared" si="194"/>
        <v>14</v>
      </c>
      <c r="BY316" t="str">
        <f t="shared" si="201"/>
        <v/>
      </c>
      <c r="BZ316">
        <f t="shared" si="195"/>
        <v>0</v>
      </c>
      <c r="CA316">
        <f t="shared" si="196"/>
        <v>16</v>
      </c>
      <c r="CP316">
        <f>IF(包装物料出入库明细!$D316="",0,1)</f>
        <v>0</v>
      </c>
      <c r="CQ316">
        <f t="shared" si="197"/>
        <v>37</v>
      </c>
      <c r="CS316" t="str">
        <f>IF(OR(周转筐出入库明细!$C317="",周转筐出入库明细!$F317&lt;&gt;"采购入库"),"",周转筐出入库明细!$C317)</f>
        <v/>
      </c>
      <c r="CT316">
        <f t="shared" si="198"/>
        <v>0</v>
      </c>
      <c r="CU316">
        <f t="shared" si="199"/>
        <v>1</v>
      </c>
    </row>
    <row r="317" spans="1:99">
      <c r="A317" t="str">
        <f>IF(包装物料出入库明细!$E317="","",包装物料出入库明细!$E317)</f>
        <v/>
      </c>
      <c r="B317">
        <f t="shared" si="172"/>
        <v>0</v>
      </c>
      <c r="C317">
        <f t="shared" si="173"/>
        <v>7</v>
      </c>
      <c r="D317" t="str">
        <f>IF(包装物料出入库明细!$E317="","",包装物料出入库明细!$F317)</f>
        <v/>
      </c>
      <c r="E317" t="str">
        <f>IF(包装物料出入库明细!$E317="","",包装物料出入库明细!$G317)</f>
        <v/>
      </c>
      <c r="K317" t="str">
        <f>IF(包装物料出入库明细!$D317="","",包装物料出入库明细!$D317)</f>
        <v/>
      </c>
      <c r="L317">
        <f t="shared" si="174"/>
        <v>0</v>
      </c>
      <c r="M317">
        <f t="shared" si="175"/>
        <v>9</v>
      </c>
      <c r="Q317" t="str">
        <f>IF(周转筐出入库明细!$D318="","",周转筐出入库明细!$D318)</f>
        <v/>
      </c>
      <c r="R317">
        <f t="shared" si="176"/>
        <v>0</v>
      </c>
      <c r="S317">
        <f t="shared" si="177"/>
        <v>5</v>
      </c>
      <c r="W317" t="str">
        <f>IF(周转筐出入库明细!$C318="","",周转筐出入库明细!$C318)</f>
        <v/>
      </c>
      <c r="X317">
        <f t="shared" si="178"/>
        <v>0</v>
      </c>
      <c r="Y317">
        <f t="shared" si="179"/>
        <v>12</v>
      </c>
      <c r="AC317" t="str">
        <f>IF(客户自备加工筐明细!$C317="","",客户自备加工筐明细!$C317)</f>
        <v/>
      </c>
      <c r="AD317">
        <f t="shared" si="180"/>
        <v>0</v>
      </c>
      <c r="AE317">
        <f t="shared" si="181"/>
        <v>1</v>
      </c>
      <c r="AI317" t="str">
        <f>IF(客户自备加工筐明细!$E317="","",客户自备加工筐明细!$E317)</f>
        <v/>
      </c>
      <c r="AJ317">
        <f t="shared" si="182"/>
        <v>0</v>
      </c>
      <c r="AK317">
        <f t="shared" si="183"/>
        <v>1</v>
      </c>
      <c r="AO317" t="str">
        <f>IF(次果筐明细!$D317="","",次果筐明细!$D317)</f>
        <v/>
      </c>
      <c r="AP317">
        <f t="shared" si="184"/>
        <v>0</v>
      </c>
      <c r="AQ317">
        <f t="shared" si="185"/>
        <v>1</v>
      </c>
      <c r="AU317" t="str">
        <f>IF(次果筐明细!$C317="","",次果筐明细!$C317)</f>
        <v/>
      </c>
      <c r="AV317">
        <f t="shared" si="186"/>
        <v>0</v>
      </c>
      <c r="AW317">
        <f t="shared" si="187"/>
        <v>1</v>
      </c>
      <c r="BS317" t="str">
        <f t="shared" si="200"/>
        <v/>
      </c>
      <c r="BT317">
        <f t="shared" si="193"/>
        <v>0</v>
      </c>
      <c r="BU317">
        <f t="shared" si="194"/>
        <v>14</v>
      </c>
      <c r="BY317" t="str">
        <f t="shared" si="201"/>
        <v/>
      </c>
      <c r="BZ317">
        <f t="shared" si="195"/>
        <v>0</v>
      </c>
      <c r="CA317">
        <f t="shared" si="196"/>
        <v>16</v>
      </c>
      <c r="CP317">
        <f>IF(包装物料出入库明细!$D317="",0,1)</f>
        <v>0</v>
      </c>
      <c r="CQ317">
        <f t="shared" si="197"/>
        <v>37</v>
      </c>
      <c r="CS317" t="str">
        <f>IF(OR(周转筐出入库明细!$C318="",周转筐出入库明细!$F318&lt;&gt;"采购入库"),"",周转筐出入库明细!$C318)</f>
        <v/>
      </c>
      <c r="CT317">
        <f t="shared" si="198"/>
        <v>0</v>
      </c>
      <c r="CU317">
        <f t="shared" si="199"/>
        <v>1</v>
      </c>
    </row>
    <row r="318" spans="1:99">
      <c r="A318" t="str">
        <f>IF(包装物料出入库明细!$E318="","",包装物料出入库明细!$E318)</f>
        <v/>
      </c>
      <c r="B318">
        <f t="shared" si="172"/>
        <v>0</v>
      </c>
      <c r="C318">
        <f t="shared" si="173"/>
        <v>7</v>
      </c>
      <c r="D318" t="str">
        <f>IF(包装物料出入库明细!$E318="","",包装物料出入库明细!$F318)</f>
        <v/>
      </c>
      <c r="E318" t="str">
        <f>IF(包装物料出入库明细!$E318="","",包装物料出入库明细!$G318)</f>
        <v/>
      </c>
      <c r="K318" t="str">
        <f>IF(包装物料出入库明细!$D318="","",包装物料出入库明细!$D318)</f>
        <v/>
      </c>
      <c r="L318">
        <f t="shared" si="174"/>
        <v>0</v>
      </c>
      <c r="M318">
        <f t="shared" si="175"/>
        <v>9</v>
      </c>
      <c r="Q318" t="str">
        <f>IF(周转筐出入库明细!$D319="","",周转筐出入库明细!$D319)</f>
        <v/>
      </c>
      <c r="R318">
        <f t="shared" si="176"/>
        <v>0</v>
      </c>
      <c r="S318">
        <f t="shared" si="177"/>
        <v>5</v>
      </c>
      <c r="W318" t="str">
        <f>IF(周转筐出入库明细!$C319="","",周转筐出入库明细!$C319)</f>
        <v/>
      </c>
      <c r="X318">
        <f t="shared" si="178"/>
        <v>0</v>
      </c>
      <c r="Y318">
        <f t="shared" si="179"/>
        <v>12</v>
      </c>
      <c r="AC318" t="str">
        <f>IF(客户自备加工筐明细!$C318="","",客户自备加工筐明细!$C318)</f>
        <v/>
      </c>
      <c r="AD318">
        <f t="shared" si="180"/>
        <v>0</v>
      </c>
      <c r="AE318">
        <f t="shared" si="181"/>
        <v>1</v>
      </c>
      <c r="AI318" t="str">
        <f>IF(客户自备加工筐明细!$E318="","",客户自备加工筐明细!$E318)</f>
        <v/>
      </c>
      <c r="AJ318">
        <f t="shared" si="182"/>
        <v>0</v>
      </c>
      <c r="AK318">
        <f t="shared" si="183"/>
        <v>1</v>
      </c>
      <c r="AO318" t="str">
        <f>IF(次果筐明细!$D318="","",次果筐明细!$D318)</f>
        <v/>
      </c>
      <c r="AP318">
        <f t="shared" si="184"/>
        <v>0</v>
      </c>
      <c r="AQ318">
        <f t="shared" si="185"/>
        <v>1</v>
      </c>
      <c r="AU318" t="str">
        <f>IF(次果筐明细!$C318="","",次果筐明细!$C318)</f>
        <v/>
      </c>
      <c r="AV318">
        <f t="shared" si="186"/>
        <v>0</v>
      </c>
      <c r="AW318">
        <f t="shared" si="187"/>
        <v>1</v>
      </c>
      <c r="BS318" t="str">
        <f t="shared" si="200"/>
        <v/>
      </c>
      <c r="BT318">
        <f t="shared" si="193"/>
        <v>0</v>
      </c>
      <c r="BU318">
        <f t="shared" si="194"/>
        <v>14</v>
      </c>
      <c r="BY318" t="str">
        <f t="shared" si="201"/>
        <v/>
      </c>
      <c r="BZ318">
        <f t="shared" si="195"/>
        <v>0</v>
      </c>
      <c r="CA318">
        <f t="shared" si="196"/>
        <v>16</v>
      </c>
      <c r="CP318">
        <f>IF(包装物料出入库明细!$D318="",0,1)</f>
        <v>0</v>
      </c>
      <c r="CQ318">
        <f t="shared" si="197"/>
        <v>37</v>
      </c>
      <c r="CS318" t="str">
        <f>IF(OR(周转筐出入库明细!$C319="",周转筐出入库明细!$F319&lt;&gt;"采购入库"),"",周转筐出入库明细!$C319)</f>
        <v/>
      </c>
      <c r="CT318">
        <f t="shared" si="198"/>
        <v>0</v>
      </c>
      <c r="CU318">
        <f t="shared" si="199"/>
        <v>1</v>
      </c>
    </row>
    <row r="319" spans="1:99">
      <c r="A319" t="str">
        <f>IF(包装物料出入库明细!$E319="","",包装物料出入库明细!$E319)</f>
        <v/>
      </c>
      <c r="B319">
        <f t="shared" si="172"/>
        <v>0</v>
      </c>
      <c r="C319">
        <f t="shared" si="173"/>
        <v>7</v>
      </c>
      <c r="D319" t="str">
        <f>IF(包装物料出入库明细!$E319="","",包装物料出入库明细!$F319)</f>
        <v/>
      </c>
      <c r="E319" t="str">
        <f>IF(包装物料出入库明细!$E319="","",包装物料出入库明细!$G319)</f>
        <v/>
      </c>
      <c r="K319" t="str">
        <f>IF(包装物料出入库明细!$D319="","",包装物料出入库明细!$D319)</f>
        <v/>
      </c>
      <c r="L319">
        <f t="shared" si="174"/>
        <v>0</v>
      </c>
      <c r="M319">
        <f t="shared" si="175"/>
        <v>9</v>
      </c>
      <c r="Q319" t="str">
        <f>IF(周转筐出入库明细!$D320="","",周转筐出入库明细!$D320)</f>
        <v/>
      </c>
      <c r="R319">
        <f t="shared" si="176"/>
        <v>0</v>
      </c>
      <c r="S319">
        <f t="shared" si="177"/>
        <v>5</v>
      </c>
      <c r="W319" t="str">
        <f>IF(周转筐出入库明细!$C320="","",周转筐出入库明细!$C320)</f>
        <v/>
      </c>
      <c r="X319">
        <f t="shared" si="178"/>
        <v>0</v>
      </c>
      <c r="Y319">
        <f t="shared" si="179"/>
        <v>12</v>
      </c>
      <c r="AC319" t="str">
        <f>IF(客户自备加工筐明细!$C319="","",客户自备加工筐明细!$C319)</f>
        <v/>
      </c>
      <c r="AD319">
        <f t="shared" si="180"/>
        <v>0</v>
      </c>
      <c r="AE319">
        <f t="shared" si="181"/>
        <v>1</v>
      </c>
      <c r="AI319" t="str">
        <f>IF(客户自备加工筐明细!$E319="","",客户自备加工筐明细!$E319)</f>
        <v/>
      </c>
      <c r="AJ319">
        <f t="shared" si="182"/>
        <v>0</v>
      </c>
      <c r="AK319">
        <f t="shared" si="183"/>
        <v>1</v>
      </c>
      <c r="AO319" t="str">
        <f>IF(次果筐明细!$D319="","",次果筐明细!$D319)</f>
        <v/>
      </c>
      <c r="AP319">
        <f t="shared" si="184"/>
        <v>0</v>
      </c>
      <c r="AQ319">
        <f t="shared" si="185"/>
        <v>1</v>
      </c>
      <c r="AU319" t="str">
        <f>IF(次果筐明细!$C319="","",次果筐明细!$C319)</f>
        <v/>
      </c>
      <c r="AV319">
        <f t="shared" si="186"/>
        <v>0</v>
      </c>
      <c r="AW319">
        <f t="shared" si="187"/>
        <v>1</v>
      </c>
      <c r="BS319" t="str">
        <f t="shared" si="200"/>
        <v/>
      </c>
      <c r="BT319">
        <f t="shared" si="193"/>
        <v>0</v>
      </c>
      <c r="BU319">
        <f t="shared" si="194"/>
        <v>14</v>
      </c>
      <c r="BY319" t="str">
        <f t="shared" si="201"/>
        <v/>
      </c>
      <c r="BZ319">
        <f t="shared" si="195"/>
        <v>0</v>
      </c>
      <c r="CA319">
        <f t="shared" si="196"/>
        <v>16</v>
      </c>
      <c r="CP319">
        <f>IF(包装物料出入库明细!$D319="",0,1)</f>
        <v>0</v>
      </c>
      <c r="CQ319">
        <f t="shared" si="197"/>
        <v>37</v>
      </c>
      <c r="CS319" t="str">
        <f>IF(OR(周转筐出入库明细!$C320="",周转筐出入库明细!$F320&lt;&gt;"采购入库"),"",周转筐出入库明细!$C320)</f>
        <v/>
      </c>
      <c r="CT319">
        <f t="shared" si="198"/>
        <v>0</v>
      </c>
      <c r="CU319">
        <f t="shared" si="199"/>
        <v>1</v>
      </c>
    </row>
    <row r="320" spans="1:99">
      <c r="A320" t="str">
        <f>IF(包装物料出入库明细!$E320="","",包装物料出入库明细!$E320)</f>
        <v/>
      </c>
      <c r="B320">
        <f t="shared" si="172"/>
        <v>0</v>
      </c>
      <c r="C320">
        <f t="shared" si="173"/>
        <v>7</v>
      </c>
      <c r="D320" t="str">
        <f>IF(包装物料出入库明细!$E320="","",包装物料出入库明细!$F320)</f>
        <v/>
      </c>
      <c r="E320" t="str">
        <f>IF(包装物料出入库明细!$E320="","",包装物料出入库明细!$G320)</f>
        <v/>
      </c>
      <c r="K320" t="str">
        <f>IF(包装物料出入库明细!$D320="","",包装物料出入库明细!$D320)</f>
        <v/>
      </c>
      <c r="L320">
        <f t="shared" si="174"/>
        <v>0</v>
      </c>
      <c r="M320">
        <f t="shared" si="175"/>
        <v>9</v>
      </c>
      <c r="Q320" t="str">
        <f>IF(周转筐出入库明细!$D321="","",周转筐出入库明细!$D321)</f>
        <v/>
      </c>
      <c r="R320">
        <f t="shared" si="176"/>
        <v>0</v>
      </c>
      <c r="S320">
        <f t="shared" si="177"/>
        <v>5</v>
      </c>
      <c r="W320" t="str">
        <f>IF(周转筐出入库明细!$C321="","",周转筐出入库明细!$C321)</f>
        <v/>
      </c>
      <c r="X320">
        <f t="shared" si="178"/>
        <v>0</v>
      </c>
      <c r="Y320">
        <f t="shared" si="179"/>
        <v>12</v>
      </c>
      <c r="AC320" t="str">
        <f>IF(客户自备加工筐明细!$C320="","",客户自备加工筐明细!$C320)</f>
        <v/>
      </c>
      <c r="AD320">
        <f t="shared" si="180"/>
        <v>0</v>
      </c>
      <c r="AE320">
        <f t="shared" si="181"/>
        <v>1</v>
      </c>
      <c r="AI320" t="str">
        <f>IF(客户自备加工筐明细!$E320="","",客户自备加工筐明细!$E320)</f>
        <v/>
      </c>
      <c r="AJ320">
        <f t="shared" si="182"/>
        <v>0</v>
      </c>
      <c r="AK320">
        <f t="shared" si="183"/>
        <v>1</v>
      </c>
      <c r="AO320" t="str">
        <f>IF(次果筐明细!$D320="","",次果筐明细!$D320)</f>
        <v/>
      </c>
      <c r="AP320">
        <f t="shared" si="184"/>
        <v>0</v>
      </c>
      <c r="AQ320">
        <f t="shared" si="185"/>
        <v>1</v>
      </c>
      <c r="AU320" t="str">
        <f>IF(次果筐明细!$C320="","",次果筐明细!$C320)</f>
        <v/>
      </c>
      <c r="AV320">
        <f t="shared" si="186"/>
        <v>0</v>
      </c>
      <c r="AW320">
        <f t="shared" si="187"/>
        <v>1</v>
      </c>
      <c r="BS320" t="str">
        <f t="shared" si="200"/>
        <v/>
      </c>
      <c r="BT320">
        <f t="shared" si="193"/>
        <v>0</v>
      </c>
      <c r="BU320">
        <f t="shared" si="194"/>
        <v>14</v>
      </c>
      <c r="BY320" t="str">
        <f t="shared" si="201"/>
        <v/>
      </c>
      <c r="BZ320">
        <f t="shared" si="195"/>
        <v>0</v>
      </c>
      <c r="CA320">
        <f t="shared" si="196"/>
        <v>16</v>
      </c>
      <c r="CP320">
        <f>IF(包装物料出入库明细!$D320="",0,1)</f>
        <v>0</v>
      </c>
      <c r="CQ320">
        <f t="shared" si="197"/>
        <v>37</v>
      </c>
      <c r="CS320" t="str">
        <f>IF(OR(周转筐出入库明细!$C321="",周转筐出入库明细!$F321&lt;&gt;"采购入库"),"",周转筐出入库明细!$C321)</f>
        <v/>
      </c>
      <c r="CT320">
        <f t="shared" si="198"/>
        <v>0</v>
      </c>
      <c r="CU320">
        <f t="shared" si="199"/>
        <v>1</v>
      </c>
    </row>
    <row r="321" spans="1:99">
      <c r="A321" t="str">
        <f>IF(包装物料出入库明细!$E321="","",包装物料出入库明细!$E321)</f>
        <v/>
      </c>
      <c r="B321">
        <f t="shared" si="172"/>
        <v>0</v>
      </c>
      <c r="C321">
        <f t="shared" si="173"/>
        <v>7</v>
      </c>
      <c r="D321" t="str">
        <f>IF(包装物料出入库明细!$E321="","",包装物料出入库明细!$F321)</f>
        <v/>
      </c>
      <c r="E321" t="str">
        <f>IF(包装物料出入库明细!$E321="","",包装物料出入库明细!$G321)</f>
        <v/>
      </c>
      <c r="K321" t="str">
        <f>IF(包装物料出入库明细!$D321="","",包装物料出入库明细!$D321)</f>
        <v/>
      </c>
      <c r="L321">
        <f t="shared" si="174"/>
        <v>0</v>
      </c>
      <c r="M321">
        <f t="shared" si="175"/>
        <v>9</v>
      </c>
      <c r="Q321" t="str">
        <f>IF(周转筐出入库明细!$D322="","",周转筐出入库明细!$D322)</f>
        <v/>
      </c>
      <c r="R321">
        <f t="shared" si="176"/>
        <v>0</v>
      </c>
      <c r="S321">
        <f t="shared" si="177"/>
        <v>5</v>
      </c>
      <c r="W321" t="str">
        <f>IF(周转筐出入库明细!$C322="","",周转筐出入库明细!$C322)</f>
        <v/>
      </c>
      <c r="X321">
        <f t="shared" si="178"/>
        <v>0</v>
      </c>
      <c r="Y321">
        <f t="shared" si="179"/>
        <v>12</v>
      </c>
      <c r="AC321" t="str">
        <f>IF(客户自备加工筐明细!$C321="","",客户自备加工筐明细!$C321)</f>
        <v/>
      </c>
      <c r="AD321">
        <f t="shared" si="180"/>
        <v>0</v>
      </c>
      <c r="AE321">
        <f t="shared" si="181"/>
        <v>1</v>
      </c>
      <c r="AI321" t="str">
        <f>IF(客户自备加工筐明细!$E321="","",客户自备加工筐明细!$E321)</f>
        <v/>
      </c>
      <c r="AJ321">
        <f t="shared" si="182"/>
        <v>0</v>
      </c>
      <c r="AK321">
        <f t="shared" si="183"/>
        <v>1</v>
      </c>
      <c r="AO321" t="str">
        <f>IF(次果筐明细!$D321="","",次果筐明细!$D321)</f>
        <v/>
      </c>
      <c r="AP321">
        <f t="shared" si="184"/>
        <v>0</v>
      </c>
      <c r="AQ321">
        <f t="shared" si="185"/>
        <v>1</v>
      </c>
      <c r="AU321" t="str">
        <f>IF(次果筐明细!$C321="","",次果筐明细!$C321)</f>
        <v/>
      </c>
      <c r="AV321">
        <f t="shared" si="186"/>
        <v>0</v>
      </c>
      <c r="AW321">
        <f t="shared" si="187"/>
        <v>1</v>
      </c>
      <c r="BS321" t="str">
        <f t="shared" si="200"/>
        <v/>
      </c>
      <c r="BT321">
        <f t="shared" si="193"/>
        <v>0</v>
      </c>
      <c r="BU321">
        <f t="shared" si="194"/>
        <v>14</v>
      </c>
      <c r="BY321" t="str">
        <f t="shared" si="201"/>
        <v/>
      </c>
      <c r="BZ321">
        <f t="shared" si="195"/>
        <v>0</v>
      </c>
      <c r="CA321">
        <f t="shared" si="196"/>
        <v>16</v>
      </c>
      <c r="CP321">
        <f>IF(包装物料出入库明细!$D321="",0,1)</f>
        <v>0</v>
      </c>
      <c r="CQ321">
        <f t="shared" si="197"/>
        <v>37</v>
      </c>
      <c r="CS321" t="str">
        <f>IF(OR(周转筐出入库明细!$C322="",周转筐出入库明细!$F322&lt;&gt;"采购入库"),"",周转筐出入库明细!$C322)</f>
        <v/>
      </c>
      <c r="CT321">
        <f t="shared" si="198"/>
        <v>0</v>
      </c>
      <c r="CU321">
        <f t="shared" si="199"/>
        <v>1</v>
      </c>
    </row>
    <row r="322" spans="1:99">
      <c r="A322" t="str">
        <f>IF(包装物料出入库明细!$E322="","",包装物料出入库明细!$E322)</f>
        <v/>
      </c>
      <c r="B322">
        <f t="shared" si="172"/>
        <v>0</v>
      </c>
      <c r="C322">
        <f t="shared" si="173"/>
        <v>7</v>
      </c>
      <c r="D322" t="str">
        <f>IF(包装物料出入库明细!$E322="","",包装物料出入库明细!$F322)</f>
        <v/>
      </c>
      <c r="E322" t="str">
        <f>IF(包装物料出入库明细!$E322="","",包装物料出入库明细!$G322)</f>
        <v/>
      </c>
      <c r="K322" t="str">
        <f>IF(包装物料出入库明细!$D322="","",包装物料出入库明细!$D322)</f>
        <v/>
      </c>
      <c r="L322">
        <f t="shared" si="174"/>
        <v>0</v>
      </c>
      <c r="M322">
        <f t="shared" si="175"/>
        <v>9</v>
      </c>
      <c r="Q322" t="str">
        <f>IF(周转筐出入库明细!$D323="","",周转筐出入库明细!$D323)</f>
        <v/>
      </c>
      <c r="R322">
        <f t="shared" si="176"/>
        <v>0</v>
      </c>
      <c r="S322">
        <f t="shared" si="177"/>
        <v>5</v>
      </c>
      <c r="W322" t="str">
        <f>IF(周转筐出入库明细!$C323="","",周转筐出入库明细!$C323)</f>
        <v/>
      </c>
      <c r="X322">
        <f t="shared" si="178"/>
        <v>0</v>
      </c>
      <c r="Y322">
        <f t="shared" si="179"/>
        <v>12</v>
      </c>
      <c r="AC322" t="str">
        <f>IF(客户自备加工筐明细!$C322="","",客户自备加工筐明细!$C322)</f>
        <v/>
      </c>
      <c r="AD322">
        <f t="shared" si="180"/>
        <v>0</v>
      </c>
      <c r="AE322">
        <f t="shared" si="181"/>
        <v>1</v>
      </c>
      <c r="AI322" t="str">
        <f>IF(客户自备加工筐明细!$E322="","",客户自备加工筐明细!$E322)</f>
        <v/>
      </c>
      <c r="AJ322">
        <f t="shared" si="182"/>
        <v>0</v>
      </c>
      <c r="AK322">
        <f t="shared" si="183"/>
        <v>1</v>
      </c>
      <c r="AO322" t="str">
        <f>IF(次果筐明细!$D322="","",次果筐明细!$D322)</f>
        <v/>
      </c>
      <c r="AP322">
        <f t="shared" si="184"/>
        <v>0</v>
      </c>
      <c r="AQ322">
        <f t="shared" si="185"/>
        <v>1</v>
      </c>
      <c r="AU322" t="str">
        <f>IF(次果筐明细!$C322="","",次果筐明细!$C322)</f>
        <v/>
      </c>
      <c r="AV322">
        <f t="shared" si="186"/>
        <v>0</v>
      </c>
      <c r="AW322">
        <f t="shared" si="187"/>
        <v>1</v>
      </c>
      <c r="BS322" t="str">
        <f t="shared" si="200"/>
        <v/>
      </c>
      <c r="BT322">
        <f t="shared" si="193"/>
        <v>0</v>
      </c>
      <c r="BU322">
        <f t="shared" si="194"/>
        <v>14</v>
      </c>
      <c r="BY322" t="str">
        <f t="shared" si="201"/>
        <v/>
      </c>
      <c r="BZ322">
        <f t="shared" si="195"/>
        <v>0</v>
      </c>
      <c r="CA322">
        <f t="shared" si="196"/>
        <v>16</v>
      </c>
      <c r="CP322">
        <f>IF(包装物料出入库明细!$D322="",0,1)</f>
        <v>0</v>
      </c>
      <c r="CQ322">
        <f t="shared" si="197"/>
        <v>37</v>
      </c>
      <c r="CS322" t="str">
        <f>IF(OR(周转筐出入库明细!$C323="",周转筐出入库明细!$F323&lt;&gt;"采购入库"),"",周转筐出入库明细!$C323)</f>
        <v/>
      </c>
      <c r="CT322">
        <f t="shared" si="198"/>
        <v>0</v>
      </c>
      <c r="CU322">
        <f t="shared" si="199"/>
        <v>1</v>
      </c>
    </row>
    <row r="323" spans="1:99">
      <c r="A323" t="str">
        <f>IF(包装物料出入库明细!$E323="","",包装物料出入库明细!$E323)</f>
        <v/>
      </c>
      <c r="B323">
        <f t="shared" si="172"/>
        <v>0</v>
      </c>
      <c r="C323">
        <f t="shared" si="173"/>
        <v>7</v>
      </c>
      <c r="D323" t="str">
        <f>IF(包装物料出入库明细!$E323="","",包装物料出入库明细!$F323)</f>
        <v/>
      </c>
      <c r="E323" t="str">
        <f>IF(包装物料出入库明细!$E323="","",包装物料出入库明细!$G323)</f>
        <v/>
      </c>
      <c r="K323" t="str">
        <f>IF(包装物料出入库明细!$D323="","",包装物料出入库明细!$D323)</f>
        <v/>
      </c>
      <c r="L323">
        <f t="shared" si="174"/>
        <v>0</v>
      </c>
      <c r="M323">
        <f t="shared" si="175"/>
        <v>9</v>
      </c>
      <c r="Q323" t="str">
        <f>IF(周转筐出入库明细!$D324="","",周转筐出入库明细!$D324)</f>
        <v/>
      </c>
      <c r="R323">
        <f t="shared" si="176"/>
        <v>0</v>
      </c>
      <c r="S323">
        <f t="shared" si="177"/>
        <v>5</v>
      </c>
      <c r="W323" t="str">
        <f>IF(周转筐出入库明细!$C324="","",周转筐出入库明细!$C324)</f>
        <v/>
      </c>
      <c r="X323">
        <f t="shared" si="178"/>
        <v>0</v>
      </c>
      <c r="Y323">
        <f t="shared" si="179"/>
        <v>12</v>
      </c>
      <c r="AC323" t="str">
        <f>IF(客户自备加工筐明细!$C323="","",客户自备加工筐明细!$C323)</f>
        <v/>
      </c>
      <c r="AD323">
        <f t="shared" si="180"/>
        <v>0</v>
      </c>
      <c r="AE323">
        <f t="shared" si="181"/>
        <v>1</v>
      </c>
      <c r="AI323" t="str">
        <f>IF(客户自备加工筐明细!$E323="","",客户自备加工筐明细!$E323)</f>
        <v/>
      </c>
      <c r="AJ323">
        <f t="shared" si="182"/>
        <v>0</v>
      </c>
      <c r="AK323">
        <f t="shared" si="183"/>
        <v>1</v>
      </c>
      <c r="AO323" t="str">
        <f>IF(次果筐明细!$D323="","",次果筐明细!$D323)</f>
        <v/>
      </c>
      <c r="AP323">
        <f t="shared" si="184"/>
        <v>0</v>
      </c>
      <c r="AQ323">
        <f t="shared" si="185"/>
        <v>1</v>
      </c>
      <c r="AU323" t="str">
        <f>IF(次果筐明细!$C323="","",次果筐明细!$C323)</f>
        <v/>
      </c>
      <c r="AV323">
        <f t="shared" si="186"/>
        <v>0</v>
      </c>
      <c r="AW323">
        <f t="shared" si="187"/>
        <v>1</v>
      </c>
      <c r="BS323" t="str">
        <f t="shared" si="200"/>
        <v/>
      </c>
      <c r="BT323">
        <f t="shared" si="193"/>
        <v>0</v>
      </c>
      <c r="BU323">
        <f t="shared" si="194"/>
        <v>14</v>
      </c>
      <c r="BY323" t="str">
        <f t="shared" si="201"/>
        <v/>
      </c>
      <c r="BZ323">
        <f t="shared" si="195"/>
        <v>0</v>
      </c>
      <c r="CA323">
        <f t="shared" si="196"/>
        <v>16</v>
      </c>
      <c r="CP323">
        <f>IF(包装物料出入库明细!$D323="",0,1)</f>
        <v>0</v>
      </c>
      <c r="CQ323">
        <f t="shared" si="197"/>
        <v>37</v>
      </c>
      <c r="CS323" t="str">
        <f>IF(OR(周转筐出入库明细!$C324="",周转筐出入库明细!$F324&lt;&gt;"采购入库"),"",周转筐出入库明细!$C324)</f>
        <v/>
      </c>
      <c r="CT323">
        <f t="shared" si="198"/>
        <v>0</v>
      </c>
      <c r="CU323">
        <f t="shared" si="199"/>
        <v>1</v>
      </c>
    </row>
    <row r="324" spans="1:99">
      <c r="A324" t="str">
        <f>IF(包装物料出入库明细!$E324="","",包装物料出入库明细!$E324)</f>
        <v/>
      </c>
      <c r="B324">
        <f t="shared" ref="B324:B387" si="202">IF(A324="",0,IF(MATCH(A324,$A$4:$A$2003,0)=ROW()-3,1,0))</f>
        <v>0</v>
      </c>
      <c r="C324">
        <f t="shared" ref="C324:C387" si="203">N(C323)+B324</f>
        <v>7</v>
      </c>
      <c r="D324" t="str">
        <f>IF(包装物料出入库明细!$E324="","",包装物料出入库明细!$F324)</f>
        <v/>
      </c>
      <c r="E324" t="str">
        <f>IF(包装物料出入库明细!$E324="","",包装物料出入库明细!$G324)</f>
        <v/>
      </c>
      <c r="K324" t="str">
        <f>IF(包装物料出入库明细!$D324="","",包装物料出入库明细!$D324)</f>
        <v/>
      </c>
      <c r="L324">
        <f t="shared" ref="L324:L387" si="204">IF(K324="",0,IF(MATCH(K324,$K$4:$K$2003,0)=ROW()-3,1,0))</f>
        <v>0</v>
      </c>
      <c r="M324">
        <f t="shared" ref="M324:M387" si="205">N(M323)+L324</f>
        <v>9</v>
      </c>
      <c r="Q324" t="str">
        <f>IF(周转筐出入库明细!$D325="","",周转筐出入库明细!$D325)</f>
        <v/>
      </c>
      <c r="R324">
        <f t="shared" ref="R324:R387" si="206">IF(Q324="",0,IF(MATCH(Q324,$Q$4:$Q$2003,0)=ROW()-3,1,0))</f>
        <v>0</v>
      </c>
      <c r="S324">
        <f t="shared" ref="S324:S387" si="207">N(S323)+R324</f>
        <v>5</v>
      </c>
      <c r="W324" t="str">
        <f>IF(周转筐出入库明细!$C325="","",周转筐出入库明细!$C325)</f>
        <v/>
      </c>
      <c r="X324">
        <f t="shared" ref="X324:X387" si="208">IF(W324="",0,IF(MATCH(W324,$W$4:$W$2003,0)=ROW()-3,1,0))</f>
        <v>0</v>
      </c>
      <c r="Y324">
        <f t="shared" ref="Y324:Y387" si="209">N(Y323)+X324</f>
        <v>12</v>
      </c>
      <c r="AC324" t="str">
        <f>IF(客户自备加工筐明细!$C324="","",客户自备加工筐明细!$C324)</f>
        <v/>
      </c>
      <c r="AD324">
        <f t="shared" ref="AD324:AD387" si="210">IF(AC324="",0,IF(MATCH(AC324,$AC$4:$AC$1203,0)=ROW()-3,1,0))</f>
        <v>0</v>
      </c>
      <c r="AE324">
        <f t="shared" ref="AE324:AE387" si="211">N(AE323)+AD324</f>
        <v>1</v>
      </c>
      <c r="AI324" t="str">
        <f>IF(客户自备加工筐明细!$E324="","",客户自备加工筐明细!$E324)</f>
        <v/>
      </c>
      <c r="AJ324">
        <f t="shared" ref="AJ324:AJ387" si="212">IF(AI324="",0,IF(MATCH(AI324,$AI$4:$AI$1503,0)=ROW()-3,1,0))</f>
        <v>0</v>
      </c>
      <c r="AK324">
        <f t="shared" ref="AK324:AK387" si="213">N(AK323)+AJ324</f>
        <v>1</v>
      </c>
      <c r="AO324" t="str">
        <f>IF(次果筐明细!$D324="","",次果筐明细!$D324)</f>
        <v/>
      </c>
      <c r="AP324">
        <f t="shared" ref="AP324:AP387" si="214">IF(AO324="",0,IF(MATCH(AO324,$AO$4:$AO$603,0)=ROW()-3,1,0))</f>
        <v>0</v>
      </c>
      <c r="AQ324">
        <f t="shared" ref="AQ324:AQ387" si="215">N(AQ323)+AP324</f>
        <v>1</v>
      </c>
      <c r="AU324" t="str">
        <f>IF(次果筐明细!$C324="","",次果筐明细!$C324)</f>
        <v/>
      </c>
      <c r="AV324">
        <f t="shared" ref="AV324:AV387" si="216">IF(AU324="",0,IF(MATCH(AU324,$AU$4:$AU$603,0)=ROW()-3,1,0))</f>
        <v>0</v>
      </c>
      <c r="AW324">
        <f t="shared" ref="AW324:AW387" si="217">N(AW323)+AV324</f>
        <v>1</v>
      </c>
      <c r="BS324" t="str">
        <f t="shared" si="200"/>
        <v/>
      </c>
      <c r="BT324">
        <f t="shared" ref="BT324:BT387" si="218">IF(BS324="",0,IF(MATCH(BS324,$BS$4:$BS$1103,0)=ROW()-3,1,0))</f>
        <v>0</v>
      </c>
      <c r="BU324">
        <f t="shared" ref="BU324:BU387" si="219">N(BU323)+BT324</f>
        <v>14</v>
      </c>
      <c r="BY324" t="str">
        <f t="shared" si="201"/>
        <v/>
      </c>
      <c r="BZ324">
        <f t="shared" ref="BZ324:BZ387" si="220">IF(BY324="",0,IF(MATCH(BY324,$BY$4:$BY$503,0)=ROW()-3,1,0))</f>
        <v>0</v>
      </c>
      <c r="CA324">
        <f t="shared" ref="CA324:CA387" si="221">N(CA323)+BZ324</f>
        <v>16</v>
      </c>
      <c r="CP324">
        <f>IF(包装物料出入库明细!$D324="",0,1)</f>
        <v>0</v>
      </c>
      <c r="CQ324">
        <f t="shared" ref="CQ324:CQ387" si="222">N(CQ323)+$CP324</f>
        <v>37</v>
      </c>
      <c r="CS324" t="str">
        <f>IF(OR(周转筐出入库明细!$C325="",周转筐出入库明细!$F325&lt;&gt;"采购入库"),"",周转筐出入库明细!$C325)</f>
        <v/>
      </c>
      <c r="CT324">
        <f t="shared" ref="CT324:CT387" si="223">IF(CS324="",0,IF(MATCH(CS324,$CS$4:$CS$2003,0)=ROW()-3,1,0))</f>
        <v>0</v>
      </c>
      <c r="CU324">
        <f t="shared" ref="CU324:CU387" si="224">N(CU323)+CT324</f>
        <v>1</v>
      </c>
    </row>
    <row r="325" spans="1:99">
      <c r="A325" t="str">
        <f>IF(包装物料出入库明细!$E325="","",包装物料出入库明细!$E325)</f>
        <v/>
      </c>
      <c r="B325">
        <f t="shared" si="202"/>
        <v>0</v>
      </c>
      <c r="C325">
        <f t="shared" si="203"/>
        <v>7</v>
      </c>
      <c r="D325" t="str">
        <f>IF(包装物料出入库明细!$E325="","",包装物料出入库明细!$F325)</f>
        <v/>
      </c>
      <c r="E325" t="str">
        <f>IF(包装物料出入库明细!$E325="","",包装物料出入库明细!$G325)</f>
        <v/>
      </c>
      <c r="K325" t="str">
        <f>IF(包装物料出入库明细!$D325="","",包装物料出入库明细!$D325)</f>
        <v/>
      </c>
      <c r="L325">
        <f t="shared" si="204"/>
        <v>0</v>
      </c>
      <c r="M325">
        <f t="shared" si="205"/>
        <v>9</v>
      </c>
      <c r="Q325" t="str">
        <f>IF(周转筐出入库明细!$D326="","",周转筐出入库明细!$D326)</f>
        <v/>
      </c>
      <c r="R325">
        <f t="shared" si="206"/>
        <v>0</v>
      </c>
      <c r="S325">
        <f t="shared" si="207"/>
        <v>5</v>
      </c>
      <c r="W325" t="str">
        <f>IF(周转筐出入库明细!$C326="","",周转筐出入库明细!$C326)</f>
        <v/>
      </c>
      <c r="X325">
        <f t="shared" si="208"/>
        <v>0</v>
      </c>
      <c r="Y325">
        <f t="shared" si="209"/>
        <v>12</v>
      </c>
      <c r="AC325" t="str">
        <f>IF(客户自备加工筐明细!$C325="","",客户自备加工筐明细!$C325)</f>
        <v/>
      </c>
      <c r="AD325">
        <f t="shared" si="210"/>
        <v>0</v>
      </c>
      <c r="AE325">
        <f t="shared" si="211"/>
        <v>1</v>
      </c>
      <c r="AI325" t="str">
        <f>IF(客户自备加工筐明细!$E325="","",客户自备加工筐明细!$E325)</f>
        <v/>
      </c>
      <c r="AJ325">
        <f t="shared" si="212"/>
        <v>0</v>
      </c>
      <c r="AK325">
        <f t="shared" si="213"/>
        <v>1</v>
      </c>
      <c r="AO325" t="str">
        <f>IF(次果筐明细!$D325="","",次果筐明细!$D325)</f>
        <v/>
      </c>
      <c r="AP325">
        <f t="shared" si="214"/>
        <v>0</v>
      </c>
      <c r="AQ325">
        <f t="shared" si="215"/>
        <v>1</v>
      </c>
      <c r="AU325" t="str">
        <f>IF(次果筐明细!$C325="","",次果筐明细!$C325)</f>
        <v/>
      </c>
      <c r="AV325">
        <f t="shared" si="216"/>
        <v>0</v>
      </c>
      <c r="AW325">
        <f t="shared" si="217"/>
        <v>1</v>
      </c>
      <c r="BS325" t="str">
        <f t="shared" si="200"/>
        <v/>
      </c>
      <c r="BT325">
        <f t="shared" si="218"/>
        <v>0</v>
      </c>
      <c r="BU325">
        <f t="shared" si="219"/>
        <v>14</v>
      </c>
      <c r="BY325" t="str">
        <f t="shared" si="201"/>
        <v/>
      </c>
      <c r="BZ325">
        <f t="shared" si="220"/>
        <v>0</v>
      </c>
      <c r="CA325">
        <f t="shared" si="221"/>
        <v>16</v>
      </c>
      <c r="CP325">
        <f>IF(包装物料出入库明细!$D325="",0,1)</f>
        <v>0</v>
      </c>
      <c r="CQ325">
        <f t="shared" si="222"/>
        <v>37</v>
      </c>
      <c r="CS325" t="str">
        <f>IF(OR(周转筐出入库明细!$C326="",周转筐出入库明细!$F326&lt;&gt;"采购入库"),"",周转筐出入库明细!$C326)</f>
        <v/>
      </c>
      <c r="CT325">
        <f t="shared" si="223"/>
        <v>0</v>
      </c>
      <c r="CU325">
        <f t="shared" si="224"/>
        <v>1</v>
      </c>
    </row>
    <row r="326" spans="1:99">
      <c r="A326" t="str">
        <f>IF(包装物料出入库明细!$E326="","",包装物料出入库明细!$E326)</f>
        <v/>
      </c>
      <c r="B326">
        <f t="shared" si="202"/>
        <v>0</v>
      </c>
      <c r="C326">
        <f t="shared" si="203"/>
        <v>7</v>
      </c>
      <c r="D326" t="str">
        <f>IF(包装物料出入库明细!$E326="","",包装物料出入库明细!$F326)</f>
        <v/>
      </c>
      <c r="E326" t="str">
        <f>IF(包装物料出入库明细!$E326="","",包装物料出入库明细!$G326)</f>
        <v/>
      </c>
      <c r="K326" t="str">
        <f>IF(包装物料出入库明细!$D326="","",包装物料出入库明细!$D326)</f>
        <v/>
      </c>
      <c r="L326">
        <f t="shared" si="204"/>
        <v>0</v>
      </c>
      <c r="M326">
        <f t="shared" si="205"/>
        <v>9</v>
      </c>
      <c r="Q326" t="str">
        <f>IF(周转筐出入库明细!$D327="","",周转筐出入库明细!$D327)</f>
        <v/>
      </c>
      <c r="R326">
        <f t="shared" si="206"/>
        <v>0</v>
      </c>
      <c r="S326">
        <f t="shared" si="207"/>
        <v>5</v>
      </c>
      <c r="W326" t="str">
        <f>IF(周转筐出入库明细!$C327="","",周转筐出入库明细!$C327)</f>
        <v/>
      </c>
      <c r="X326">
        <f t="shared" si="208"/>
        <v>0</v>
      </c>
      <c r="Y326">
        <f t="shared" si="209"/>
        <v>12</v>
      </c>
      <c r="AC326" t="str">
        <f>IF(客户自备加工筐明细!$C326="","",客户自备加工筐明细!$C326)</f>
        <v/>
      </c>
      <c r="AD326">
        <f t="shared" si="210"/>
        <v>0</v>
      </c>
      <c r="AE326">
        <f t="shared" si="211"/>
        <v>1</v>
      </c>
      <c r="AI326" t="str">
        <f>IF(客户自备加工筐明细!$E326="","",客户自备加工筐明细!$E326)</f>
        <v/>
      </c>
      <c r="AJ326">
        <f t="shared" si="212"/>
        <v>0</v>
      </c>
      <c r="AK326">
        <f t="shared" si="213"/>
        <v>1</v>
      </c>
      <c r="AO326" t="str">
        <f>IF(次果筐明细!$D326="","",次果筐明细!$D326)</f>
        <v/>
      </c>
      <c r="AP326">
        <f t="shared" si="214"/>
        <v>0</v>
      </c>
      <c r="AQ326">
        <f t="shared" si="215"/>
        <v>1</v>
      </c>
      <c r="AU326" t="str">
        <f>IF(次果筐明细!$C326="","",次果筐明细!$C326)</f>
        <v/>
      </c>
      <c r="AV326">
        <f t="shared" si="216"/>
        <v>0</v>
      </c>
      <c r="AW326">
        <f t="shared" si="217"/>
        <v>1</v>
      </c>
      <c r="BS326" t="str">
        <f t="shared" si="200"/>
        <v/>
      </c>
      <c r="BT326">
        <f t="shared" si="218"/>
        <v>0</v>
      </c>
      <c r="BU326">
        <f t="shared" si="219"/>
        <v>14</v>
      </c>
      <c r="BY326" t="str">
        <f t="shared" si="201"/>
        <v/>
      </c>
      <c r="BZ326">
        <f t="shared" si="220"/>
        <v>0</v>
      </c>
      <c r="CA326">
        <f t="shared" si="221"/>
        <v>16</v>
      </c>
      <c r="CP326">
        <f>IF(包装物料出入库明细!$D326="",0,1)</f>
        <v>0</v>
      </c>
      <c r="CQ326">
        <f t="shared" si="222"/>
        <v>37</v>
      </c>
      <c r="CS326" t="str">
        <f>IF(OR(周转筐出入库明细!$C327="",周转筐出入库明细!$F327&lt;&gt;"采购入库"),"",周转筐出入库明细!$C327)</f>
        <v/>
      </c>
      <c r="CT326">
        <f t="shared" si="223"/>
        <v>0</v>
      </c>
      <c r="CU326">
        <f t="shared" si="224"/>
        <v>1</v>
      </c>
    </row>
    <row r="327" spans="1:99">
      <c r="A327" t="str">
        <f>IF(包装物料出入库明细!$E327="","",包装物料出入库明细!$E327)</f>
        <v/>
      </c>
      <c r="B327">
        <f t="shared" si="202"/>
        <v>0</v>
      </c>
      <c r="C327">
        <f t="shared" si="203"/>
        <v>7</v>
      </c>
      <c r="D327" t="str">
        <f>IF(包装物料出入库明细!$E327="","",包装物料出入库明细!$F327)</f>
        <v/>
      </c>
      <c r="E327" t="str">
        <f>IF(包装物料出入库明细!$E327="","",包装物料出入库明细!$G327)</f>
        <v/>
      </c>
      <c r="K327" t="str">
        <f>IF(包装物料出入库明细!$D327="","",包装物料出入库明细!$D327)</f>
        <v/>
      </c>
      <c r="L327">
        <f t="shared" si="204"/>
        <v>0</v>
      </c>
      <c r="M327">
        <f t="shared" si="205"/>
        <v>9</v>
      </c>
      <c r="Q327" t="str">
        <f>IF(周转筐出入库明细!$D328="","",周转筐出入库明细!$D328)</f>
        <v/>
      </c>
      <c r="R327">
        <f t="shared" si="206"/>
        <v>0</v>
      </c>
      <c r="S327">
        <f t="shared" si="207"/>
        <v>5</v>
      </c>
      <c r="W327" t="str">
        <f>IF(周转筐出入库明细!$C328="","",周转筐出入库明细!$C328)</f>
        <v/>
      </c>
      <c r="X327">
        <f t="shared" si="208"/>
        <v>0</v>
      </c>
      <c r="Y327">
        <f t="shared" si="209"/>
        <v>12</v>
      </c>
      <c r="AC327" t="str">
        <f>IF(客户自备加工筐明细!$C327="","",客户自备加工筐明细!$C327)</f>
        <v/>
      </c>
      <c r="AD327">
        <f t="shared" si="210"/>
        <v>0</v>
      </c>
      <c r="AE327">
        <f t="shared" si="211"/>
        <v>1</v>
      </c>
      <c r="AI327" t="str">
        <f>IF(客户自备加工筐明细!$E327="","",客户自备加工筐明细!$E327)</f>
        <v/>
      </c>
      <c r="AJ327">
        <f t="shared" si="212"/>
        <v>0</v>
      </c>
      <c r="AK327">
        <f t="shared" si="213"/>
        <v>1</v>
      </c>
      <c r="AO327" t="str">
        <f>IF(次果筐明细!$D327="","",次果筐明细!$D327)</f>
        <v/>
      </c>
      <c r="AP327">
        <f t="shared" si="214"/>
        <v>0</v>
      </c>
      <c r="AQ327">
        <f t="shared" si="215"/>
        <v>1</v>
      </c>
      <c r="AU327" t="str">
        <f>IF(次果筐明细!$C327="","",次果筐明细!$C327)</f>
        <v/>
      </c>
      <c r="AV327">
        <f t="shared" si="216"/>
        <v>0</v>
      </c>
      <c r="AW327">
        <f t="shared" si="217"/>
        <v>1</v>
      </c>
      <c r="BS327" t="str">
        <f t="shared" si="200"/>
        <v/>
      </c>
      <c r="BT327">
        <f t="shared" si="218"/>
        <v>0</v>
      </c>
      <c r="BU327">
        <f t="shared" si="219"/>
        <v>14</v>
      </c>
      <c r="BY327" t="str">
        <f t="shared" si="201"/>
        <v/>
      </c>
      <c r="BZ327">
        <f t="shared" si="220"/>
        <v>0</v>
      </c>
      <c r="CA327">
        <f t="shared" si="221"/>
        <v>16</v>
      </c>
      <c r="CP327">
        <f>IF(包装物料出入库明细!$D327="",0,1)</f>
        <v>0</v>
      </c>
      <c r="CQ327">
        <f t="shared" si="222"/>
        <v>37</v>
      </c>
      <c r="CS327" t="str">
        <f>IF(OR(周转筐出入库明细!$C328="",周转筐出入库明细!$F328&lt;&gt;"采购入库"),"",周转筐出入库明细!$C328)</f>
        <v/>
      </c>
      <c r="CT327">
        <f t="shared" si="223"/>
        <v>0</v>
      </c>
      <c r="CU327">
        <f t="shared" si="224"/>
        <v>1</v>
      </c>
    </row>
    <row r="328" spans="1:99">
      <c r="A328" t="str">
        <f>IF(包装物料出入库明细!$E328="","",包装物料出入库明细!$E328)</f>
        <v/>
      </c>
      <c r="B328">
        <f t="shared" si="202"/>
        <v>0</v>
      </c>
      <c r="C328">
        <f t="shared" si="203"/>
        <v>7</v>
      </c>
      <c r="D328" t="str">
        <f>IF(包装物料出入库明细!$E328="","",包装物料出入库明细!$F328)</f>
        <v/>
      </c>
      <c r="E328" t="str">
        <f>IF(包装物料出入库明细!$E328="","",包装物料出入库明细!$G328)</f>
        <v/>
      </c>
      <c r="K328" t="str">
        <f>IF(包装物料出入库明细!$D328="","",包装物料出入库明细!$D328)</f>
        <v/>
      </c>
      <c r="L328">
        <f t="shared" si="204"/>
        <v>0</v>
      </c>
      <c r="M328">
        <f t="shared" si="205"/>
        <v>9</v>
      </c>
      <c r="Q328" t="str">
        <f>IF(周转筐出入库明细!$D329="","",周转筐出入库明细!$D329)</f>
        <v/>
      </c>
      <c r="R328">
        <f t="shared" si="206"/>
        <v>0</v>
      </c>
      <c r="S328">
        <f t="shared" si="207"/>
        <v>5</v>
      </c>
      <c r="W328" t="str">
        <f>IF(周转筐出入库明细!$C329="","",周转筐出入库明细!$C329)</f>
        <v/>
      </c>
      <c r="X328">
        <f t="shared" si="208"/>
        <v>0</v>
      </c>
      <c r="Y328">
        <f t="shared" si="209"/>
        <v>12</v>
      </c>
      <c r="AC328" t="str">
        <f>IF(客户自备加工筐明细!$C328="","",客户自备加工筐明细!$C328)</f>
        <v/>
      </c>
      <c r="AD328">
        <f t="shared" si="210"/>
        <v>0</v>
      </c>
      <c r="AE328">
        <f t="shared" si="211"/>
        <v>1</v>
      </c>
      <c r="AI328" t="str">
        <f>IF(客户自备加工筐明细!$E328="","",客户自备加工筐明细!$E328)</f>
        <v/>
      </c>
      <c r="AJ328">
        <f t="shared" si="212"/>
        <v>0</v>
      </c>
      <c r="AK328">
        <f t="shared" si="213"/>
        <v>1</v>
      </c>
      <c r="AO328" t="str">
        <f>IF(次果筐明细!$D328="","",次果筐明细!$D328)</f>
        <v/>
      </c>
      <c r="AP328">
        <f t="shared" si="214"/>
        <v>0</v>
      </c>
      <c r="AQ328">
        <f t="shared" si="215"/>
        <v>1</v>
      </c>
      <c r="AU328" t="str">
        <f>IF(次果筐明细!$C328="","",次果筐明细!$C328)</f>
        <v/>
      </c>
      <c r="AV328">
        <f t="shared" si="216"/>
        <v>0</v>
      </c>
      <c r="AW328">
        <f t="shared" si="217"/>
        <v>1</v>
      </c>
      <c r="BS328" t="str">
        <f t="shared" si="200"/>
        <v/>
      </c>
      <c r="BT328">
        <f t="shared" si="218"/>
        <v>0</v>
      </c>
      <c r="BU328">
        <f t="shared" si="219"/>
        <v>14</v>
      </c>
      <c r="BY328" t="str">
        <f t="shared" si="201"/>
        <v/>
      </c>
      <c r="BZ328">
        <f t="shared" si="220"/>
        <v>0</v>
      </c>
      <c r="CA328">
        <f t="shared" si="221"/>
        <v>16</v>
      </c>
      <c r="CP328">
        <f>IF(包装物料出入库明细!$D328="",0,1)</f>
        <v>0</v>
      </c>
      <c r="CQ328">
        <f t="shared" si="222"/>
        <v>37</v>
      </c>
      <c r="CS328" t="str">
        <f>IF(OR(周转筐出入库明细!$C329="",周转筐出入库明细!$F329&lt;&gt;"采购入库"),"",周转筐出入库明细!$C329)</f>
        <v/>
      </c>
      <c r="CT328">
        <f t="shared" si="223"/>
        <v>0</v>
      </c>
      <c r="CU328">
        <f t="shared" si="224"/>
        <v>1</v>
      </c>
    </row>
    <row r="329" spans="1:99">
      <c r="A329" t="str">
        <f>IF(包装物料出入库明细!$E329="","",包装物料出入库明细!$E329)</f>
        <v/>
      </c>
      <c r="B329">
        <f t="shared" si="202"/>
        <v>0</v>
      </c>
      <c r="C329">
        <f t="shared" si="203"/>
        <v>7</v>
      </c>
      <c r="D329" t="str">
        <f>IF(包装物料出入库明细!$E329="","",包装物料出入库明细!$F329)</f>
        <v/>
      </c>
      <c r="E329" t="str">
        <f>IF(包装物料出入库明细!$E329="","",包装物料出入库明细!$G329)</f>
        <v/>
      </c>
      <c r="K329" t="str">
        <f>IF(包装物料出入库明细!$D329="","",包装物料出入库明细!$D329)</f>
        <v/>
      </c>
      <c r="L329">
        <f t="shared" si="204"/>
        <v>0</v>
      </c>
      <c r="M329">
        <f t="shared" si="205"/>
        <v>9</v>
      </c>
      <c r="Q329" t="str">
        <f>IF(周转筐出入库明细!$D330="","",周转筐出入库明细!$D330)</f>
        <v/>
      </c>
      <c r="R329">
        <f t="shared" si="206"/>
        <v>0</v>
      </c>
      <c r="S329">
        <f t="shared" si="207"/>
        <v>5</v>
      </c>
      <c r="W329" t="str">
        <f>IF(周转筐出入库明细!$C330="","",周转筐出入库明细!$C330)</f>
        <v/>
      </c>
      <c r="X329">
        <f t="shared" si="208"/>
        <v>0</v>
      </c>
      <c r="Y329">
        <f t="shared" si="209"/>
        <v>12</v>
      </c>
      <c r="AC329" t="str">
        <f>IF(客户自备加工筐明细!$C329="","",客户自备加工筐明细!$C329)</f>
        <v/>
      </c>
      <c r="AD329">
        <f t="shared" si="210"/>
        <v>0</v>
      </c>
      <c r="AE329">
        <f t="shared" si="211"/>
        <v>1</v>
      </c>
      <c r="AI329" t="str">
        <f>IF(客户自备加工筐明细!$E329="","",客户自备加工筐明细!$E329)</f>
        <v/>
      </c>
      <c r="AJ329">
        <f t="shared" si="212"/>
        <v>0</v>
      </c>
      <c r="AK329">
        <f t="shared" si="213"/>
        <v>1</v>
      </c>
      <c r="AO329" t="str">
        <f>IF(次果筐明细!$D329="","",次果筐明细!$D329)</f>
        <v/>
      </c>
      <c r="AP329">
        <f t="shared" si="214"/>
        <v>0</v>
      </c>
      <c r="AQ329">
        <f t="shared" si="215"/>
        <v>1</v>
      </c>
      <c r="AU329" t="str">
        <f>IF(次果筐明细!$C329="","",次果筐明细!$C329)</f>
        <v/>
      </c>
      <c r="AV329">
        <f t="shared" si="216"/>
        <v>0</v>
      </c>
      <c r="AW329">
        <f t="shared" si="217"/>
        <v>1</v>
      </c>
      <c r="BS329" t="str">
        <f t="shared" si="200"/>
        <v/>
      </c>
      <c r="BT329">
        <f t="shared" si="218"/>
        <v>0</v>
      </c>
      <c r="BU329">
        <f t="shared" si="219"/>
        <v>14</v>
      </c>
      <c r="BY329" t="str">
        <f t="shared" si="201"/>
        <v/>
      </c>
      <c r="BZ329">
        <f t="shared" si="220"/>
        <v>0</v>
      </c>
      <c r="CA329">
        <f t="shared" si="221"/>
        <v>16</v>
      </c>
      <c r="CP329">
        <f>IF(包装物料出入库明细!$D329="",0,1)</f>
        <v>0</v>
      </c>
      <c r="CQ329">
        <f t="shared" si="222"/>
        <v>37</v>
      </c>
      <c r="CS329" t="str">
        <f>IF(OR(周转筐出入库明细!$C330="",周转筐出入库明细!$F330&lt;&gt;"采购入库"),"",周转筐出入库明细!$C330)</f>
        <v/>
      </c>
      <c r="CT329">
        <f t="shared" si="223"/>
        <v>0</v>
      </c>
      <c r="CU329">
        <f t="shared" si="224"/>
        <v>1</v>
      </c>
    </row>
    <row r="330" spans="1:99">
      <c r="A330" t="str">
        <f>IF(包装物料出入库明细!$E330="","",包装物料出入库明细!$E330)</f>
        <v/>
      </c>
      <c r="B330">
        <f t="shared" si="202"/>
        <v>0</v>
      </c>
      <c r="C330">
        <f t="shared" si="203"/>
        <v>7</v>
      </c>
      <c r="D330" t="str">
        <f>IF(包装物料出入库明细!$E330="","",包装物料出入库明细!$F330)</f>
        <v/>
      </c>
      <c r="E330" t="str">
        <f>IF(包装物料出入库明细!$E330="","",包装物料出入库明细!$G330)</f>
        <v/>
      </c>
      <c r="K330" t="str">
        <f>IF(包装物料出入库明细!$D330="","",包装物料出入库明细!$D330)</f>
        <v/>
      </c>
      <c r="L330">
        <f t="shared" si="204"/>
        <v>0</v>
      </c>
      <c r="M330">
        <f t="shared" si="205"/>
        <v>9</v>
      </c>
      <c r="Q330" t="str">
        <f>IF(周转筐出入库明细!$D331="","",周转筐出入库明细!$D331)</f>
        <v/>
      </c>
      <c r="R330">
        <f t="shared" si="206"/>
        <v>0</v>
      </c>
      <c r="S330">
        <f t="shared" si="207"/>
        <v>5</v>
      </c>
      <c r="W330" t="str">
        <f>IF(周转筐出入库明细!$C331="","",周转筐出入库明细!$C331)</f>
        <v/>
      </c>
      <c r="X330">
        <f t="shared" si="208"/>
        <v>0</v>
      </c>
      <c r="Y330">
        <f t="shared" si="209"/>
        <v>12</v>
      </c>
      <c r="AC330" t="str">
        <f>IF(客户自备加工筐明细!$C330="","",客户自备加工筐明细!$C330)</f>
        <v/>
      </c>
      <c r="AD330">
        <f t="shared" si="210"/>
        <v>0</v>
      </c>
      <c r="AE330">
        <f t="shared" si="211"/>
        <v>1</v>
      </c>
      <c r="AI330" t="str">
        <f>IF(客户自备加工筐明细!$E330="","",客户自备加工筐明细!$E330)</f>
        <v/>
      </c>
      <c r="AJ330">
        <f t="shared" si="212"/>
        <v>0</v>
      </c>
      <c r="AK330">
        <f t="shared" si="213"/>
        <v>1</v>
      </c>
      <c r="AO330" t="str">
        <f>IF(次果筐明细!$D330="","",次果筐明细!$D330)</f>
        <v/>
      </c>
      <c r="AP330">
        <f t="shared" si="214"/>
        <v>0</v>
      </c>
      <c r="AQ330">
        <f t="shared" si="215"/>
        <v>1</v>
      </c>
      <c r="AU330" t="str">
        <f>IF(次果筐明细!$C330="","",次果筐明细!$C330)</f>
        <v/>
      </c>
      <c r="AV330">
        <f t="shared" si="216"/>
        <v>0</v>
      </c>
      <c r="AW330">
        <f t="shared" si="217"/>
        <v>1</v>
      </c>
      <c r="BS330" t="str">
        <f t="shared" si="200"/>
        <v/>
      </c>
      <c r="BT330">
        <f t="shared" si="218"/>
        <v>0</v>
      </c>
      <c r="BU330">
        <f t="shared" si="219"/>
        <v>14</v>
      </c>
      <c r="BY330" t="str">
        <f t="shared" si="201"/>
        <v/>
      </c>
      <c r="BZ330">
        <f t="shared" si="220"/>
        <v>0</v>
      </c>
      <c r="CA330">
        <f t="shared" si="221"/>
        <v>16</v>
      </c>
      <c r="CP330">
        <f>IF(包装物料出入库明细!$D330="",0,1)</f>
        <v>0</v>
      </c>
      <c r="CQ330">
        <f t="shared" si="222"/>
        <v>37</v>
      </c>
      <c r="CS330" t="str">
        <f>IF(OR(周转筐出入库明细!$C331="",周转筐出入库明细!$F331&lt;&gt;"采购入库"),"",周转筐出入库明细!$C331)</f>
        <v/>
      </c>
      <c r="CT330">
        <f t="shared" si="223"/>
        <v>0</v>
      </c>
      <c r="CU330">
        <f t="shared" si="224"/>
        <v>1</v>
      </c>
    </row>
    <row r="331" spans="1:99">
      <c r="A331" t="str">
        <f>IF(包装物料出入库明细!$E331="","",包装物料出入库明细!$E331)</f>
        <v/>
      </c>
      <c r="B331">
        <f t="shared" si="202"/>
        <v>0</v>
      </c>
      <c r="C331">
        <f t="shared" si="203"/>
        <v>7</v>
      </c>
      <c r="D331" t="str">
        <f>IF(包装物料出入库明细!$E331="","",包装物料出入库明细!$F331)</f>
        <v/>
      </c>
      <c r="E331" t="str">
        <f>IF(包装物料出入库明细!$E331="","",包装物料出入库明细!$G331)</f>
        <v/>
      </c>
      <c r="K331" t="str">
        <f>IF(包装物料出入库明细!$D331="","",包装物料出入库明细!$D331)</f>
        <v/>
      </c>
      <c r="L331">
        <f t="shared" si="204"/>
        <v>0</v>
      </c>
      <c r="M331">
        <f t="shared" si="205"/>
        <v>9</v>
      </c>
      <c r="Q331" t="str">
        <f>IF(周转筐出入库明细!$D332="","",周转筐出入库明细!$D332)</f>
        <v/>
      </c>
      <c r="R331">
        <f t="shared" si="206"/>
        <v>0</v>
      </c>
      <c r="S331">
        <f t="shared" si="207"/>
        <v>5</v>
      </c>
      <c r="W331" t="str">
        <f>IF(周转筐出入库明细!$C332="","",周转筐出入库明细!$C332)</f>
        <v/>
      </c>
      <c r="X331">
        <f t="shared" si="208"/>
        <v>0</v>
      </c>
      <c r="Y331">
        <f t="shared" si="209"/>
        <v>12</v>
      </c>
      <c r="AC331" t="str">
        <f>IF(客户自备加工筐明细!$C331="","",客户自备加工筐明细!$C331)</f>
        <v/>
      </c>
      <c r="AD331">
        <f t="shared" si="210"/>
        <v>0</v>
      </c>
      <c r="AE331">
        <f t="shared" si="211"/>
        <v>1</v>
      </c>
      <c r="AI331" t="str">
        <f>IF(客户自备加工筐明细!$E331="","",客户自备加工筐明细!$E331)</f>
        <v/>
      </c>
      <c r="AJ331">
        <f t="shared" si="212"/>
        <v>0</v>
      </c>
      <c r="AK331">
        <f t="shared" si="213"/>
        <v>1</v>
      </c>
      <c r="AO331" t="str">
        <f>IF(次果筐明细!$D331="","",次果筐明细!$D331)</f>
        <v/>
      </c>
      <c r="AP331">
        <f t="shared" si="214"/>
        <v>0</v>
      </c>
      <c r="AQ331">
        <f t="shared" si="215"/>
        <v>1</v>
      </c>
      <c r="AU331" t="str">
        <f>IF(次果筐明细!$C331="","",次果筐明细!$C331)</f>
        <v/>
      </c>
      <c r="AV331">
        <f t="shared" si="216"/>
        <v>0</v>
      </c>
      <c r="AW331">
        <f t="shared" si="217"/>
        <v>1</v>
      </c>
      <c r="BS331" t="str">
        <f t="shared" si="200"/>
        <v/>
      </c>
      <c r="BT331">
        <f t="shared" si="218"/>
        <v>0</v>
      </c>
      <c r="BU331">
        <f t="shared" si="219"/>
        <v>14</v>
      </c>
      <c r="BY331" t="str">
        <f t="shared" si="201"/>
        <v/>
      </c>
      <c r="BZ331">
        <f t="shared" si="220"/>
        <v>0</v>
      </c>
      <c r="CA331">
        <f t="shared" si="221"/>
        <v>16</v>
      </c>
      <c r="CP331">
        <f>IF(包装物料出入库明细!$D331="",0,1)</f>
        <v>0</v>
      </c>
      <c r="CQ331">
        <f t="shared" si="222"/>
        <v>37</v>
      </c>
      <c r="CS331" t="str">
        <f>IF(OR(周转筐出入库明细!$C332="",周转筐出入库明细!$F332&lt;&gt;"采购入库"),"",周转筐出入库明细!$C332)</f>
        <v/>
      </c>
      <c r="CT331">
        <f t="shared" si="223"/>
        <v>0</v>
      </c>
      <c r="CU331">
        <f t="shared" si="224"/>
        <v>1</v>
      </c>
    </row>
    <row r="332" spans="1:99">
      <c r="A332" t="str">
        <f>IF(包装物料出入库明细!$E332="","",包装物料出入库明细!$E332)</f>
        <v/>
      </c>
      <c r="B332">
        <f t="shared" si="202"/>
        <v>0</v>
      </c>
      <c r="C332">
        <f t="shared" si="203"/>
        <v>7</v>
      </c>
      <c r="D332" t="str">
        <f>IF(包装物料出入库明细!$E332="","",包装物料出入库明细!$F332)</f>
        <v/>
      </c>
      <c r="E332" t="str">
        <f>IF(包装物料出入库明细!$E332="","",包装物料出入库明细!$G332)</f>
        <v/>
      </c>
      <c r="K332" t="str">
        <f>IF(包装物料出入库明细!$D332="","",包装物料出入库明细!$D332)</f>
        <v/>
      </c>
      <c r="L332">
        <f t="shared" si="204"/>
        <v>0</v>
      </c>
      <c r="M332">
        <f t="shared" si="205"/>
        <v>9</v>
      </c>
      <c r="Q332" t="str">
        <f>IF(周转筐出入库明细!$D333="","",周转筐出入库明细!$D333)</f>
        <v/>
      </c>
      <c r="R332">
        <f t="shared" si="206"/>
        <v>0</v>
      </c>
      <c r="S332">
        <f t="shared" si="207"/>
        <v>5</v>
      </c>
      <c r="W332" t="str">
        <f>IF(周转筐出入库明细!$C333="","",周转筐出入库明细!$C333)</f>
        <v/>
      </c>
      <c r="X332">
        <f t="shared" si="208"/>
        <v>0</v>
      </c>
      <c r="Y332">
        <f t="shared" si="209"/>
        <v>12</v>
      </c>
      <c r="AC332" t="str">
        <f>IF(客户自备加工筐明细!$C332="","",客户自备加工筐明细!$C332)</f>
        <v/>
      </c>
      <c r="AD332">
        <f t="shared" si="210"/>
        <v>0</v>
      </c>
      <c r="AE332">
        <f t="shared" si="211"/>
        <v>1</v>
      </c>
      <c r="AI332" t="str">
        <f>IF(客户自备加工筐明细!$E332="","",客户自备加工筐明细!$E332)</f>
        <v/>
      </c>
      <c r="AJ332">
        <f t="shared" si="212"/>
        <v>0</v>
      </c>
      <c r="AK332">
        <f t="shared" si="213"/>
        <v>1</v>
      </c>
      <c r="AO332" t="str">
        <f>IF(次果筐明细!$D332="","",次果筐明细!$D332)</f>
        <v/>
      </c>
      <c r="AP332">
        <f t="shared" si="214"/>
        <v>0</v>
      </c>
      <c r="AQ332">
        <f t="shared" si="215"/>
        <v>1</v>
      </c>
      <c r="AU332" t="str">
        <f>IF(次果筐明细!$C332="","",次果筐明细!$C332)</f>
        <v/>
      </c>
      <c r="AV332">
        <f t="shared" si="216"/>
        <v>0</v>
      </c>
      <c r="AW332">
        <f t="shared" si="217"/>
        <v>1</v>
      </c>
      <c r="BS332" t="str">
        <f t="shared" ref="BS332:BS395" si="225">IF($AA132="","",$AA132)</f>
        <v/>
      </c>
      <c r="BT332">
        <f t="shared" si="218"/>
        <v>0</v>
      </c>
      <c r="BU332">
        <f t="shared" si="219"/>
        <v>14</v>
      </c>
      <c r="BY332" t="str">
        <f t="shared" ref="BY332:BY395" si="226">IF($BE132="","",$BE132)</f>
        <v/>
      </c>
      <c r="BZ332">
        <f t="shared" si="220"/>
        <v>0</v>
      </c>
      <c r="CA332">
        <f t="shared" si="221"/>
        <v>16</v>
      </c>
      <c r="CP332">
        <f>IF(包装物料出入库明细!$D332="",0,1)</f>
        <v>0</v>
      </c>
      <c r="CQ332">
        <f t="shared" si="222"/>
        <v>37</v>
      </c>
      <c r="CS332" t="str">
        <f>IF(OR(周转筐出入库明细!$C333="",周转筐出入库明细!$F333&lt;&gt;"采购入库"),"",周转筐出入库明细!$C333)</f>
        <v/>
      </c>
      <c r="CT332">
        <f t="shared" si="223"/>
        <v>0</v>
      </c>
      <c r="CU332">
        <f t="shared" si="224"/>
        <v>1</v>
      </c>
    </row>
    <row r="333" spans="1:99">
      <c r="A333" t="str">
        <f>IF(包装物料出入库明细!$E333="","",包装物料出入库明细!$E333)</f>
        <v/>
      </c>
      <c r="B333">
        <f t="shared" si="202"/>
        <v>0</v>
      </c>
      <c r="C333">
        <f t="shared" si="203"/>
        <v>7</v>
      </c>
      <c r="D333" t="str">
        <f>IF(包装物料出入库明细!$E333="","",包装物料出入库明细!$F333)</f>
        <v/>
      </c>
      <c r="E333" t="str">
        <f>IF(包装物料出入库明细!$E333="","",包装物料出入库明细!$G333)</f>
        <v/>
      </c>
      <c r="K333" t="str">
        <f>IF(包装物料出入库明细!$D333="","",包装物料出入库明细!$D333)</f>
        <v/>
      </c>
      <c r="L333">
        <f t="shared" si="204"/>
        <v>0</v>
      </c>
      <c r="M333">
        <f t="shared" si="205"/>
        <v>9</v>
      </c>
      <c r="Q333" t="str">
        <f>IF(周转筐出入库明细!$D334="","",周转筐出入库明细!$D334)</f>
        <v/>
      </c>
      <c r="R333">
        <f t="shared" si="206"/>
        <v>0</v>
      </c>
      <c r="S333">
        <f t="shared" si="207"/>
        <v>5</v>
      </c>
      <c r="W333" t="str">
        <f>IF(周转筐出入库明细!$C334="","",周转筐出入库明细!$C334)</f>
        <v/>
      </c>
      <c r="X333">
        <f t="shared" si="208"/>
        <v>0</v>
      </c>
      <c r="Y333">
        <f t="shared" si="209"/>
        <v>12</v>
      </c>
      <c r="AC333" t="str">
        <f>IF(客户自备加工筐明细!$C333="","",客户自备加工筐明细!$C333)</f>
        <v/>
      </c>
      <c r="AD333">
        <f t="shared" si="210"/>
        <v>0</v>
      </c>
      <c r="AE333">
        <f t="shared" si="211"/>
        <v>1</v>
      </c>
      <c r="AI333" t="str">
        <f>IF(客户自备加工筐明细!$E333="","",客户自备加工筐明细!$E333)</f>
        <v/>
      </c>
      <c r="AJ333">
        <f t="shared" si="212"/>
        <v>0</v>
      </c>
      <c r="AK333">
        <f t="shared" si="213"/>
        <v>1</v>
      </c>
      <c r="AO333" t="str">
        <f>IF(次果筐明细!$D333="","",次果筐明细!$D333)</f>
        <v/>
      </c>
      <c r="AP333">
        <f t="shared" si="214"/>
        <v>0</v>
      </c>
      <c r="AQ333">
        <f t="shared" si="215"/>
        <v>1</v>
      </c>
      <c r="AU333" t="str">
        <f>IF(次果筐明细!$C333="","",次果筐明细!$C333)</f>
        <v/>
      </c>
      <c r="AV333">
        <f t="shared" si="216"/>
        <v>0</v>
      </c>
      <c r="AW333">
        <f t="shared" si="217"/>
        <v>1</v>
      </c>
      <c r="BS333" t="str">
        <f t="shared" si="225"/>
        <v/>
      </c>
      <c r="BT333">
        <f t="shared" si="218"/>
        <v>0</v>
      </c>
      <c r="BU333">
        <f t="shared" si="219"/>
        <v>14</v>
      </c>
      <c r="BY333" t="str">
        <f t="shared" si="226"/>
        <v/>
      </c>
      <c r="BZ333">
        <f t="shared" si="220"/>
        <v>0</v>
      </c>
      <c r="CA333">
        <f t="shared" si="221"/>
        <v>16</v>
      </c>
      <c r="CP333">
        <f>IF(包装物料出入库明细!$D333="",0,1)</f>
        <v>0</v>
      </c>
      <c r="CQ333">
        <f t="shared" si="222"/>
        <v>37</v>
      </c>
      <c r="CS333" t="str">
        <f>IF(OR(周转筐出入库明细!$C334="",周转筐出入库明细!$F334&lt;&gt;"采购入库"),"",周转筐出入库明细!$C334)</f>
        <v/>
      </c>
      <c r="CT333">
        <f t="shared" si="223"/>
        <v>0</v>
      </c>
      <c r="CU333">
        <f t="shared" si="224"/>
        <v>1</v>
      </c>
    </row>
    <row r="334" spans="1:99">
      <c r="A334" t="str">
        <f>IF(包装物料出入库明细!$E334="","",包装物料出入库明细!$E334)</f>
        <v/>
      </c>
      <c r="B334">
        <f t="shared" si="202"/>
        <v>0</v>
      </c>
      <c r="C334">
        <f t="shared" si="203"/>
        <v>7</v>
      </c>
      <c r="D334" t="str">
        <f>IF(包装物料出入库明细!$E334="","",包装物料出入库明细!$F334)</f>
        <v/>
      </c>
      <c r="E334" t="str">
        <f>IF(包装物料出入库明细!$E334="","",包装物料出入库明细!$G334)</f>
        <v/>
      </c>
      <c r="K334" t="str">
        <f>IF(包装物料出入库明细!$D334="","",包装物料出入库明细!$D334)</f>
        <v/>
      </c>
      <c r="L334">
        <f t="shared" si="204"/>
        <v>0</v>
      </c>
      <c r="M334">
        <f t="shared" si="205"/>
        <v>9</v>
      </c>
      <c r="Q334" t="str">
        <f>IF(周转筐出入库明细!$D335="","",周转筐出入库明细!$D335)</f>
        <v/>
      </c>
      <c r="R334">
        <f t="shared" si="206"/>
        <v>0</v>
      </c>
      <c r="S334">
        <f t="shared" si="207"/>
        <v>5</v>
      </c>
      <c r="W334" t="str">
        <f>IF(周转筐出入库明细!$C335="","",周转筐出入库明细!$C335)</f>
        <v/>
      </c>
      <c r="X334">
        <f t="shared" si="208"/>
        <v>0</v>
      </c>
      <c r="Y334">
        <f t="shared" si="209"/>
        <v>12</v>
      </c>
      <c r="AC334" t="str">
        <f>IF(客户自备加工筐明细!$C334="","",客户自备加工筐明细!$C334)</f>
        <v/>
      </c>
      <c r="AD334">
        <f t="shared" si="210"/>
        <v>0</v>
      </c>
      <c r="AE334">
        <f t="shared" si="211"/>
        <v>1</v>
      </c>
      <c r="AI334" t="str">
        <f>IF(客户自备加工筐明细!$E334="","",客户自备加工筐明细!$E334)</f>
        <v/>
      </c>
      <c r="AJ334">
        <f t="shared" si="212"/>
        <v>0</v>
      </c>
      <c r="AK334">
        <f t="shared" si="213"/>
        <v>1</v>
      </c>
      <c r="AO334" t="str">
        <f>IF(次果筐明细!$D334="","",次果筐明细!$D334)</f>
        <v/>
      </c>
      <c r="AP334">
        <f t="shared" si="214"/>
        <v>0</v>
      </c>
      <c r="AQ334">
        <f t="shared" si="215"/>
        <v>1</v>
      </c>
      <c r="AU334" t="str">
        <f>IF(次果筐明细!$C334="","",次果筐明细!$C334)</f>
        <v/>
      </c>
      <c r="AV334">
        <f t="shared" si="216"/>
        <v>0</v>
      </c>
      <c r="AW334">
        <f t="shared" si="217"/>
        <v>1</v>
      </c>
      <c r="BS334" t="str">
        <f t="shared" si="225"/>
        <v/>
      </c>
      <c r="BT334">
        <f t="shared" si="218"/>
        <v>0</v>
      </c>
      <c r="BU334">
        <f t="shared" si="219"/>
        <v>14</v>
      </c>
      <c r="BY334" t="str">
        <f t="shared" si="226"/>
        <v/>
      </c>
      <c r="BZ334">
        <f t="shared" si="220"/>
        <v>0</v>
      </c>
      <c r="CA334">
        <f t="shared" si="221"/>
        <v>16</v>
      </c>
      <c r="CP334">
        <f>IF(包装物料出入库明细!$D334="",0,1)</f>
        <v>0</v>
      </c>
      <c r="CQ334">
        <f t="shared" si="222"/>
        <v>37</v>
      </c>
      <c r="CS334" t="str">
        <f>IF(OR(周转筐出入库明细!$C335="",周转筐出入库明细!$F335&lt;&gt;"采购入库"),"",周转筐出入库明细!$C335)</f>
        <v/>
      </c>
      <c r="CT334">
        <f t="shared" si="223"/>
        <v>0</v>
      </c>
      <c r="CU334">
        <f t="shared" si="224"/>
        <v>1</v>
      </c>
    </row>
    <row r="335" spans="1:99">
      <c r="A335" t="str">
        <f>IF(包装物料出入库明细!$E335="","",包装物料出入库明细!$E335)</f>
        <v/>
      </c>
      <c r="B335">
        <f t="shared" si="202"/>
        <v>0</v>
      </c>
      <c r="C335">
        <f t="shared" si="203"/>
        <v>7</v>
      </c>
      <c r="D335" t="str">
        <f>IF(包装物料出入库明细!$E335="","",包装物料出入库明细!$F335)</f>
        <v/>
      </c>
      <c r="E335" t="str">
        <f>IF(包装物料出入库明细!$E335="","",包装物料出入库明细!$G335)</f>
        <v/>
      </c>
      <c r="K335" t="str">
        <f>IF(包装物料出入库明细!$D335="","",包装物料出入库明细!$D335)</f>
        <v/>
      </c>
      <c r="L335">
        <f t="shared" si="204"/>
        <v>0</v>
      </c>
      <c r="M335">
        <f t="shared" si="205"/>
        <v>9</v>
      </c>
      <c r="Q335" t="str">
        <f>IF(周转筐出入库明细!$D336="","",周转筐出入库明细!$D336)</f>
        <v/>
      </c>
      <c r="R335">
        <f t="shared" si="206"/>
        <v>0</v>
      </c>
      <c r="S335">
        <f t="shared" si="207"/>
        <v>5</v>
      </c>
      <c r="W335" t="str">
        <f>IF(周转筐出入库明细!$C336="","",周转筐出入库明细!$C336)</f>
        <v/>
      </c>
      <c r="X335">
        <f t="shared" si="208"/>
        <v>0</v>
      </c>
      <c r="Y335">
        <f t="shared" si="209"/>
        <v>12</v>
      </c>
      <c r="AC335" t="str">
        <f>IF(客户自备加工筐明细!$C335="","",客户自备加工筐明细!$C335)</f>
        <v/>
      </c>
      <c r="AD335">
        <f t="shared" si="210"/>
        <v>0</v>
      </c>
      <c r="AE335">
        <f t="shared" si="211"/>
        <v>1</v>
      </c>
      <c r="AI335" t="str">
        <f>IF(客户自备加工筐明细!$E335="","",客户自备加工筐明细!$E335)</f>
        <v/>
      </c>
      <c r="AJ335">
        <f t="shared" si="212"/>
        <v>0</v>
      </c>
      <c r="AK335">
        <f t="shared" si="213"/>
        <v>1</v>
      </c>
      <c r="AO335" t="str">
        <f>IF(次果筐明细!$D335="","",次果筐明细!$D335)</f>
        <v/>
      </c>
      <c r="AP335">
        <f t="shared" si="214"/>
        <v>0</v>
      </c>
      <c r="AQ335">
        <f t="shared" si="215"/>
        <v>1</v>
      </c>
      <c r="AU335" t="str">
        <f>IF(次果筐明细!$C335="","",次果筐明细!$C335)</f>
        <v/>
      </c>
      <c r="AV335">
        <f t="shared" si="216"/>
        <v>0</v>
      </c>
      <c r="AW335">
        <f t="shared" si="217"/>
        <v>1</v>
      </c>
      <c r="BS335" t="str">
        <f t="shared" si="225"/>
        <v/>
      </c>
      <c r="BT335">
        <f t="shared" si="218"/>
        <v>0</v>
      </c>
      <c r="BU335">
        <f t="shared" si="219"/>
        <v>14</v>
      </c>
      <c r="BY335" t="str">
        <f t="shared" si="226"/>
        <v/>
      </c>
      <c r="BZ335">
        <f t="shared" si="220"/>
        <v>0</v>
      </c>
      <c r="CA335">
        <f t="shared" si="221"/>
        <v>16</v>
      </c>
      <c r="CP335">
        <f>IF(包装物料出入库明细!$D335="",0,1)</f>
        <v>0</v>
      </c>
      <c r="CQ335">
        <f t="shared" si="222"/>
        <v>37</v>
      </c>
      <c r="CS335" t="str">
        <f>IF(OR(周转筐出入库明细!$C336="",周转筐出入库明细!$F336&lt;&gt;"采购入库"),"",周转筐出入库明细!$C336)</f>
        <v/>
      </c>
      <c r="CT335">
        <f t="shared" si="223"/>
        <v>0</v>
      </c>
      <c r="CU335">
        <f t="shared" si="224"/>
        <v>1</v>
      </c>
    </row>
    <row r="336" spans="1:99">
      <c r="A336" t="str">
        <f>IF(包装物料出入库明细!$E336="","",包装物料出入库明细!$E336)</f>
        <v/>
      </c>
      <c r="B336">
        <f t="shared" si="202"/>
        <v>0</v>
      </c>
      <c r="C336">
        <f t="shared" si="203"/>
        <v>7</v>
      </c>
      <c r="D336" t="str">
        <f>IF(包装物料出入库明细!$E336="","",包装物料出入库明细!$F336)</f>
        <v/>
      </c>
      <c r="E336" t="str">
        <f>IF(包装物料出入库明细!$E336="","",包装物料出入库明细!$G336)</f>
        <v/>
      </c>
      <c r="K336" t="str">
        <f>IF(包装物料出入库明细!$D336="","",包装物料出入库明细!$D336)</f>
        <v/>
      </c>
      <c r="L336">
        <f t="shared" si="204"/>
        <v>0</v>
      </c>
      <c r="M336">
        <f t="shared" si="205"/>
        <v>9</v>
      </c>
      <c r="Q336" t="str">
        <f>IF(周转筐出入库明细!$D337="","",周转筐出入库明细!$D337)</f>
        <v/>
      </c>
      <c r="R336">
        <f t="shared" si="206"/>
        <v>0</v>
      </c>
      <c r="S336">
        <f t="shared" si="207"/>
        <v>5</v>
      </c>
      <c r="W336" t="str">
        <f>IF(周转筐出入库明细!$C337="","",周转筐出入库明细!$C337)</f>
        <v/>
      </c>
      <c r="X336">
        <f t="shared" si="208"/>
        <v>0</v>
      </c>
      <c r="Y336">
        <f t="shared" si="209"/>
        <v>12</v>
      </c>
      <c r="AC336" t="str">
        <f>IF(客户自备加工筐明细!$C336="","",客户自备加工筐明细!$C336)</f>
        <v/>
      </c>
      <c r="AD336">
        <f t="shared" si="210"/>
        <v>0</v>
      </c>
      <c r="AE336">
        <f t="shared" si="211"/>
        <v>1</v>
      </c>
      <c r="AI336" t="str">
        <f>IF(客户自备加工筐明细!$E336="","",客户自备加工筐明细!$E336)</f>
        <v/>
      </c>
      <c r="AJ336">
        <f t="shared" si="212"/>
        <v>0</v>
      </c>
      <c r="AK336">
        <f t="shared" si="213"/>
        <v>1</v>
      </c>
      <c r="AO336" t="str">
        <f>IF(次果筐明细!$D336="","",次果筐明细!$D336)</f>
        <v/>
      </c>
      <c r="AP336">
        <f t="shared" si="214"/>
        <v>0</v>
      </c>
      <c r="AQ336">
        <f t="shared" si="215"/>
        <v>1</v>
      </c>
      <c r="AU336" t="str">
        <f>IF(次果筐明细!$C336="","",次果筐明细!$C336)</f>
        <v/>
      </c>
      <c r="AV336">
        <f t="shared" si="216"/>
        <v>0</v>
      </c>
      <c r="AW336">
        <f t="shared" si="217"/>
        <v>1</v>
      </c>
      <c r="BS336" t="str">
        <f t="shared" si="225"/>
        <v/>
      </c>
      <c r="BT336">
        <f t="shared" si="218"/>
        <v>0</v>
      </c>
      <c r="BU336">
        <f t="shared" si="219"/>
        <v>14</v>
      </c>
      <c r="BY336" t="str">
        <f t="shared" si="226"/>
        <v/>
      </c>
      <c r="BZ336">
        <f t="shared" si="220"/>
        <v>0</v>
      </c>
      <c r="CA336">
        <f t="shared" si="221"/>
        <v>16</v>
      </c>
      <c r="CP336">
        <f>IF(包装物料出入库明细!$D336="",0,1)</f>
        <v>0</v>
      </c>
      <c r="CQ336">
        <f t="shared" si="222"/>
        <v>37</v>
      </c>
      <c r="CS336" t="str">
        <f>IF(OR(周转筐出入库明细!$C337="",周转筐出入库明细!$F337&lt;&gt;"采购入库"),"",周转筐出入库明细!$C337)</f>
        <v/>
      </c>
      <c r="CT336">
        <f t="shared" si="223"/>
        <v>0</v>
      </c>
      <c r="CU336">
        <f t="shared" si="224"/>
        <v>1</v>
      </c>
    </row>
    <row r="337" spans="1:99">
      <c r="A337" t="str">
        <f>IF(包装物料出入库明细!$E337="","",包装物料出入库明细!$E337)</f>
        <v/>
      </c>
      <c r="B337">
        <f t="shared" si="202"/>
        <v>0</v>
      </c>
      <c r="C337">
        <f t="shared" si="203"/>
        <v>7</v>
      </c>
      <c r="D337" t="str">
        <f>IF(包装物料出入库明细!$E337="","",包装物料出入库明细!$F337)</f>
        <v/>
      </c>
      <c r="E337" t="str">
        <f>IF(包装物料出入库明细!$E337="","",包装物料出入库明细!$G337)</f>
        <v/>
      </c>
      <c r="K337" t="str">
        <f>IF(包装物料出入库明细!$D337="","",包装物料出入库明细!$D337)</f>
        <v/>
      </c>
      <c r="L337">
        <f t="shared" si="204"/>
        <v>0</v>
      </c>
      <c r="M337">
        <f t="shared" si="205"/>
        <v>9</v>
      </c>
      <c r="Q337" t="str">
        <f>IF(周转筐出入库明细!$D338="","",周转筐出入库明细!$D338)</f>
        <v/>
      </c>
      <c r="R337">
        <f t="shared" si="206"/>
        <v>0</v>
      </c>
      <c r="S337">
        <f t="shared" si="207"/>
        <v>5</v>
      </c>
      <c r="W337" t="str">
        <f>IF(周转筐出入库明细!$C338="","",周转筐出入库明细!$C338)</f>
        <v/>
      </c>
      <c r="X337">
        <f t="shared" si="208"/>
        <v>0</v>
      </c>
      <c r="Y337">
        <f t="shared" si="209"/>
        <v>12</v>
      </c>
      <c r="AC337" t="str">
        <f>IF(客户自备加工筐明细!$C337="","",客户自备加工筐明细!$C337)</f>
        <v/>
      </c>
      <c r="AD337">
        <f t="shared" si="210"/>
        <v>0</v>
      </c>
      <c r="AE337">
        <f t="shared" si="211"/>
        <v>1</v>
      </c>
      <c r="AI337" t="str">
        <f>IF(客户自备加工筐明细!$E337="","",客户自备加工筐明细!$E337)</f>
        <v/>
      </c>
      <c r="AJ337">
        <f t="shared" si="212"/>
        <v>0</v>
      </c>
      <c r="AK337">
        <f t="shared" si="213"/>
        <v>1</v>
      </c>
      <c r="AO337" t="str">
        <f>IF(次果筐明细!$D337="","",次果筐明细!$D337)</f>
        <v/>
      </c>
      <c r="AP337">
        <f t="shared" si="214"/>
        <v>0</v>
      </c>
      <c r="AQ337">
        <f t="shared" si="215"/>
        <v>1</v>
      </c>
      <c r="AU337" t="str">
        <f>IF(次果筐明细!$C337="","",次果筐明细!$C337)</f>
        <v/>
      </c>
      <c r="AV337">
        <f t="shared" si="216"/>
        <v>0</v>
      </c>
      <c r="AW337">
        <f t="shared" si="217"/>
        <v>1</v>
      </c>
      <c r="BS337" t="str">
        <f t="shared" si="225"/>
        <v/>
      </c>
      <c r="BT337">
        <f t="shared" si="218"/>
        <v>0</v>
      </c>
      <c r="BU337">
        <f t="shared" si="219"/>
        <v>14</v>
      </c>
      <c r="BY337" t="str">
        <f t="shared" si="226"/>
        <v/>
      </c>
      <c r="BZ337">
        <f t="shared" si="220"/>
        <v>0</v>
      </c>
      <c r="CA337">
        <f t="shared" si="221"/>
        <v>16</v>
      </c>
      <c r="CP337">
        <f>IF(包装物料出入库明细!$D337="",0,1)</f>
        <v>0</v>
      </c>
      <c r="CQ337">
        <f t="shared" si="222"/>
        <v>37</v>
      </c>
      <c r="CS337" t="str">
        <f>IF(OR(周转筐出入库明细!$C338="",周转筐出入库明细!$F338&lt;&gt;"采购入库"),"",周转筐出入库明细!$C338)</f>
        <v/>
      </c>
      <c r="CT337">
        <f t="shared" si="223"/>
        <v>0</v>
      </c>
      <c r="CU337">
        <f t="shared" si="224"/>
        <v>1</v>
      </c>
    </row>
    <row r="338" spans="1:99">
      <c r="A338" t="str">
        <f>IF(包装物料出入库明细!$E338="","",包装物料出入库明细!$E338)</f>
        <v/>
      </c>
      <c r="B338">
        <f t="shared" si="202"/>
        <v>0</v>
      </c>
      <c r="C338">
        <f t="shared" si="203"/>
        <v>7</v>
      </c>
      <c r="D338" t="str">
        <f>IF(包装物料出入库明细!$E338="","",包装物料出入库明细!$F338)</f>
        <v/>
      </c>
      <c r="E338" t="str">
        <f>IF(包装物料出入库明细!$E338="","",包装物料出入库明细!$G338)</f>
        <v/>
      </c>
      <c r="K338" t="str">
        <f>IF(包装物料出入库明细!$D338="","",包装物料出入库明细!$D338)</f>
        <v/>
      </c>
      <c r="L338">
        <f t="shared" si="204"/>
        <v>0</v>
      </c>
      <c r="M338">
        <f t="shared" si="205"/>
        <v>9</v>
      </c>
      <c r="Q338" t="str">
        <f>IF(周转筐出入库明细!$D339="","",周转筐出入库明细!$D339)</f>
        <v/>
      </c>
      <c r="R338">
        <f t="shared" si="206"/>
        <v>0</v>
      </c>
      <c r="S338">
        <f t="shared" si="207"/>
        <v>5</v>
      </c>
      <c r="W338" t="str">
        <f>IF(周转筐出入库明细!$C339="","",周转筐出入库明细!$C339)</f>
        <v/>
      </c>
      <c r="X338">
        <f t="shared" si="208"/>
        <v>0</v>
      </c>
      <c r="Y338">
        <f t="shared" si="209"/>
        <v>12</v>
      </c>
      <c r="AC338" t="str">
        <f>IF(客户自备加工筐明细!$C338="","",客户自备加工筐明细!$C338)</f>
        <v/>
      </c>
      <c r="AD338">
        <f t="shared" si="210"/>
        <v>0</v>
      </c>
      <c r="AE338">
        <f t="shared" si="211"/>
        <v>1</v>
      </c>
      <c r="AI338" t="str">
        <f>IF(客户自备加工筐明细!$E338="","",客户自备加工筐明细!$E338)</f>
        <v/>
      </c>
      <c r="AJ338">
        <f t="shared" si="212"/>
        <v>0</v>
      </c>
      <c r="AK338">
        <f t="shared" si="213"/>
        <v>1</v>
      </c>
      <c r="AO338" t="str">
        <f>IF(次果筐明细!$D338="","",次果筐明细!$D338)</f>
        <v/>
      </c>
      <c r="AP338">
        <f t="shared" si="214"/>
        <v>0</v>
      </c>
      <c r="AQ338">
        <f t="shared" si="215"/>
        <v>1</v>
      </c>
      <c r="AU338" t="str">
        <f>IF(次果筐明细!$C338="","",次果筐明细!$C338)</f>
        <v/>
      </c>
      <c r="AV338">
        <f t="shared" si="216"/>
        <v>0</v>
      </c>
      <c r="AW338">
        <f t="shared" si="217"/>
        <v>1</v>
      </c>
      <c r="BS338" t="str">
        <f t="shared" si="225"/>
        <v/>
      </c>
      <c r="BT338">
        <f t="shared" si="218"/>
        <v>0</v>
      </c>
      <c r="BU338">
        <f t="shared" si="219"/>
        <v>14</v>
      </c>
      <c r="BY338" t="str">
        <f t="shared" si="226"/>
        <v/>
      </c>
      <c r="BZ338">
        <f t="shared" si="220"/>
        <v>0</v>
      </c>
      <c r="CA338">
        <f t="shared" si="221"/>
        <v>16</v>
      </c>
      <c r="CP338">
        <f>IF(包装物料出入库明细!$D338="",0,1)</f>
        <v>0</v>
      </c>
      <c r="CQ338">
        <f t="shared" si="222"/>
        <v>37</v>
      </c>
      <c r="CS338" t="str">
        <f>IF(OR(周转筐出入库明细!$C339="",周转筐出入库明细!$F339&lt;&gt;"采购入库"),"",周转筐出入库明细!$C339)</f>
        <v/>
      </c>
      <c r="CT338">
        <f t="shared" si="223"/>
        <v>0</v>
      </c>
      <c r="CU338">
        <f t="shared" si="224"/>
        <v>1</v>
      </c>
    </row>
    <row r="339" spans="1:99">
      <c r="A339" t="str">
        <f>IF(包装物料出入库明细!$E339="","",包装物料出入库明细!$E339)</f>
        <v/>
      </c>
      <c r="B339">
        <f t="shared" si="202"/>
        <v>0</v>
      </c>
      <c r="C339">
        <f t="shared" si="203"/>
        <v>7</v>
      </c>
      <c r="D339" t="str">
        <f>IF(包装物料出入库明细!$E339="","",包装物料出入库明细!$F339)</f>
        <v/>
      </c>
      <c r="E339" t="str">
        <f>IF(包装物料出入库明细!$E339="","",包装物料出入库明细!$G339)</f>
        <v/>
      </c>
      <c r="K339" t="str">
        <f>IF(包装物料出入库明细!$D339="","",包装物料出入库明细!$D339)</f>
        <v/>
      </c>
      <c r="L339">
        <f t="shared" si="204"/>
        <v>0</v>
      </c>
      <c r="M339">
        <f t="shared" si="205"/>
        <v>9</v>
      </c>
      <c r="Q339" t="str">
        <f>IF(周转筐出入库明细!$D340="","",周转筐出入库明细!$D340)</f>
        <v/>
      </c>
      <c r="R339">
        <f t="shared" si="206"/>
        <v>0</v>
      </c>
      <c r="S339">
        <f t="shared" si="207"/>
        <v>5</v>
      </c>
      <c r="W339" t="str">
        <f>IF(周转筐出入库明细!$C340="","",周转筐出入库明细!$C340)</f>
        <v/>
      </c>
      <c r="X339">
        <f t="shared" si="208"/>
        <v>0</v>
      </c>
      <c r="Y339">
        <f t="shared" si="209"/>
        <v>12</v>
      </c>
      <c r="AC339" t="str">
        <f>IF(客户自备加工筐明细!$C339="","",客户自备加工筐明细!$C339)</f>
        <v/>
      </c>
      <c r="AD339">
        <f t="shared" si="210"/>
        <v>0</v>
      </c>
      <c r="AE339">
        <f t="shared" si="211"/>
        <v>1</v>
      </c>
      <c r="AI339" t="str">
        <f>IF(客户自备加工筐明细!$E339="","",客户自备加工筐明细!$E339)</f>
        <v/>
      </c>
      <c r="AJ339">
        <f t="shared" si="212"/>
        <v>0</v>
      </c>
      <c r="AK339">
        <f t="shared" si="213"/>
        <v>1</v>
      </c>
      <c r="AO339" t="str">
        <f>IF(次果筐明细!$D339="","",次果筐明细!$D339)</f>
        <v/>
      </c>
      <c r="AP339">
        <f t="shared" si="214"/>
        <v>0</v>
      </c>
      <c r="AQ339">
        <f t="shared" si="215"/>
        <v>1</v>
      </c>
      <c r="AU339" t="str">
        <f>IF(次果筐明细!$C339="","",次果筐明细!$C339)</f>
        <v/>
      </c>
      <c r="AV339">
        <f t="shared" si="216"/>
        <v>0</v>
      </c>
      <c r="AW339">
        <f t="shared" si="217"/>
        <v>1</v>
      </c>
      <c r="BS339" t="str">
        <f t="shared" si="225"/>
        <v/>
      </c>
      <c r="BT339">
        <f t="shared" si="218"/>
        <v>0</v>
      </c>
      <c r="BU339">
        <f t="shared" si="219"/>
        <v>14</v>
      </c>
      <c r="BY339" t="str">
        <f t="shared" si="226"/>
        <v/>
      </c>
      <c r="BZ339">
        <f t="shared" si="220"/>
        <v>0</v>
      </c>
      <c r="CA339">
        <f t="shared" si="221"/>
        <v>16</v>
      </c>
      <c r="CP339">
        <f>IF(包装物料出入库明细!$D339="",0,1)</f>
        <v>0</v>
      </c>
      <c r="CQ339">
        <f t="shared" si="222"/>
        <v>37</v>
      </c>
      <c r="CS339" t="str">
        <f>IF(OR(周转筐出入库明细!$C340="",周转筐出入库明细!$F340&lt;&gt;"采购入库"),"",周转筐出入库明细!$C340)</f>
        <v/>
      </c>
      <c r="CT339">
        <f t="shared" si="223"/>
        <v>0</v>
      </c>
      <c r="CU339">
        <f t="shared" si="224"/>
        <v>1</v>
      </c>
    </row>
    <row r="340" spans="1:99">
      <c r="A340" t="str">
        <f>IF(包装物料出入库明细!$E340="","",包装物料出入库明细!$E340)</f>
        <v/>
      </c>
      <c r="B340">
        <f t="shared" si="202"/>
        <v>0</v>
      </c>
      <c r="C340">
        <f t="shared" si="203"/>
        <v>7</v>
      </c>
      <c r="D340" t="str">
        <f>IF(包装物料出入库明细!$E340="","",包装物料出入库明细!$F340)</f>
        <v/>
      </c>
      <c r="E340" t="str">
        <f>IF(包装物料出入库明细!$E340="","",包装物料出入库明细!$G340)</f>
        <v/>
      </c>
      <c r="K340" t="str">
        <f>IF(包装物料出入库明细!$D340="","",包装物料出入库明细!$D340)</f>
        <v/>
      </c>
      <c r="L340">
        <f t="shared" si="204"/>
        <v>0</v>
      </c>
      <c r="M340">
        <f t="shared" si="205"/>
        <v>9</v>
      </c>
      <c r="Q340" t="str">
        <f>IF(周转筐出入库明细!$D341="","",周转筐出入库明细!$D341)</f>
        <v/>
      </c>
      <c r="R340">
        <f t="shared" si="206"/>
        <v>0</v>
      </c>
      <c r="S340">
        <f t="shared" si="207"/>
        <v>5</v>
      </c>
      <c r="W340" t="str">
        <f>IF(周转筐出入库明细!$C341="","",周转筐出入库明细!$C341)</f>
        <v/>
      </c>
      <c r="X340">
        <f t="shared" si="208"/>
        <v>0</v>
      </c>
      <c r="Y340">
        <f t="shared" si="209"/>
        <v>12</v>
      </c>
      <c r="AC340" t="str">
        <f>IF(客户自备加工筐明细!$C340="","",客户自备加工筐明细!$C340)</f>
        <v/>
      </c>
      <c r="AD340">
        <f t="shared" si="210"/>
        <v>0</v>
      </c>
      <c r="AE340">
        <f t="shared" si="211"/>
        <v>1</v>
      </c>
      <c r="AI340" t="str">
        <f>IF(客户自备加工筐明细!$E340="","",客户自备加工筐明细!$E340)</f>
        <v/>
      </c>
      <c r="AJ340">
        <f t="shared" si="212"/>
        <v>0</v>
      </c>
      <c r="AK340">
        <f t="shared" si="213"/>
        <v>1</v>
      </c>
      <c r="AO340" t="str">
        <f>IF(次果筐明细!$D340="","",次果筐明细!$D340)</f>
        <v/>
      </c>
      <c r="AP340">
        <f t="shared" si="214"/>
        <v>0</v>
      </c>
      <c r="AQ340">
        <f t="shared" si="215"/>
        <v>1</v>
      </c>
      <c r="AU340" t="str">
        <f>IF(次果筐明细!$C340="","",次果筐明细!$C340)</f>
        <v/>
      </c>
      <c r="AV340">
        <f t="shared" si="216"/>
        <v>0</v>
      </c>
      <c r="AW340">
        <f t="shared" si="217"/>
        <v>1</v>
      </c>
      <c r="BS340" t="str">
        <f t="shared" si="225"/>
        <v/>
      </c>
      <c r="BT340">
        <f t="shared" si="218"/>
        <v>0</v>
      </c>
      <c r="BU340">
        <f t="shared" si="219"/>
        <v>14</v>
      </c>
      <c r="BY340" t="str">
        <f t="shared" si="226"/>
        <v/>
      </c>
      <c r="BZ340">
        <f t="shared" si="220"/>
        <v>0</v>
      </c>
      <c r="CA340">
        <f t="shared" si="221"/>
        <v>16</v>
      </c>
      <c r="CP340">
        <f>IF(包装物料出入库明细!$D340="",0,1)</f>
        <v>0</v>
      </c>
      <c r="CQ340">
        <f t="shared" si="222"/>
        <v>37</v>
      </c>
      <c r="CS340" t="str">
        <f>IF(OR(周转筐出入库明细!$C341="",周转筐出入库明细!$F341&lt;&gt;"采购入库"),"",周转筐出入库明细!$C341)</f>
        <v/>
      </c>
      <c r="CT340">
        <f t="shared" si="223"/>
        <v>0</v>
      </c>
      <c r="CU340">
        <f t="shared" si="224"/>
        <v>1</v>
      </c>
    </row>
    <row r="341" spans="1:99">
      <c r="A341" t="str">
        <f>IF(包装物料出入库明细!$E341="","",包装物料出入库明细!$E341)</f>
        <v/>
      </c>
      <c r="B341">
        <f t="shared" si="202"/>
        <v>0</v>
      </c>
      <c r="C341">
        <f t="shared" si="203"/>
        <v>7</v>
      </c>
      <c r="D341" t="str">
        <f>IF(包装物料出入库明细!$E341="","",包装物料出入库明细!$F341)</f>
        <v/>
      </c>
      <c r="E341" t="str">
        <f>IF(包装物料出入库明细!$E341="","",包装物料出入库明细!$G341)</f>
        <v/>
      </c>
      <c r="K341" t="str">
        <f>IF(包装物料出入库明细!$D341="","",包装物料出入库明细!$D341)</f>
        <v/>
      </c>
      <c r="L341">
        <f t="shared" si="204"/>
        <v>0</v>
      </c>
      <c r="M341">
        <f t="shared" si="205"/>
        <v>9</v>
      </c>
      <c r="Q341" t="str">
        <f>IF(周转筐出入库明细!$D342="","",周转筐出入库明细!$D342)</f>
        <v/>
      </c>
      <c r="R341">
        <f t="shared" si="206"/>
        <v>0</v>
      </c>
      <c r="S341">
        <f t="shared" si="207"/>
        <v>5</v>
      </c>
      <c r="W341" t="str">
        <f>IF(周转筐出入库明细!$C342="","",周转筐出入库明细!$C342)</f>
        <v/>
      </c>
      <c r="X341">
        <f t="shared" si="208"/>
        <v>0</v>
      </c>
      <c r="Y341">
        <f t="shared" si="209"/>
        <v>12</v>
      </c>
      <c r="AC341" t="str">
        <f>IF(客户自备加工筐明细!$C341="","",客户自备加工筐明细!$C341)</f>
        <v/>
      </c>
      <c r="AD341">
        <f t="shared" si="210"/>
        <v>0</v>
      </c>
      <c r="AE341">
        <f t="shared" si="211"/>
        <v>1</v>
      </c>
      <c r="AI341" t="str">
        <f>IF(客户自备加工筐明细!$E341="","",客户自备加工筐明细!$E341)</f>
        <v/>
      </c>
      <c r="AJ341">
        <f t="shared" si="212"/>
        <v>0</v>
      </c>
      <c r="AK341">
        <f t="shared" si="213"/>
        <v>1</v>
      </c>
      <c r="AO341" t="str">
        <f>IF(次果筐明细!$D341="","",次果筐明细!$D341)</f>
        <v/>
      </c>
      <c r="AP341">
        <f t="shared" si="214"/>
        <v>0</v>
      </c>
      <c r="AQ341">
        <f t="shared" si="215"/>
        <v>1</v>
      </c>
      <c r="AU341" t="str">
        <f>IF(次果筐明细!$C341="","",次果筐明细!$C341)</f>
        <v/>
      </c>
      <c r="AV341">
        <f t="shared" si="216"/>
        <v>0</v>
      </c>
      <c r="AW341">
        <f t="shared" si="217"/>
        <v>1</v>
      </c>
      <c r="BS341" t="str">
        <f t="shared" si="225"/>
        <v/>
      </c>
      <c r="BT341">
        <f t="shared" si="218"/>
        <v>0</v>
      </c>
      <c r="BU341">
        <f t="shared" si="219"/>
        <v>14</v>
      </c>
      <c r="BY341" t="str">
        <f t="shared" si="226"/>
        <v/>
      </c>
      <c r="BZ341">
        <f t="shared" si="220"/>
        <v>0</v>
      </c>
      <c r="CA341">
        <f t="shared" si="221"/>
        <v>16</v>
      </c>
      <c r="CP341">
        <f>IF(包装物料出入库明细!$D341="",0,1)</f>
        <v>0</v>
      </c>
      <c r="CQ341">
        <f t="shared" si="222"/>
        <v>37</v>
      </c>
      <c r="CS341" t="str">
        <f>IF(OR(周转筐出入库明细!$C342="",周转筐出入库明细!$F342&lt;&gt;"采购入库"),"",周转筐出入库明细!$C342)</f>
        <v/>
      </c>
      <c r="CT341">
        <f t="shared" si="223"/>
        <v>0</v>
      </c>
      <c r="CU341">
        <f t="shared" si="224"/>
        <v>1</v>
      </c>
    </row>
    <row r="342" spans="1:99">
      <c r="A342" t="str">
        <f>IF(包装物料出入库明细!$E342="","",包装物料出入库明细!$E342)</f>
        <v/>
      </c>
      <c r="B342">
        <f t="shared" si="202"/>
        <v>0</v>
      </c>
      <c r="C342">
        <f t="shared" si="203"/>
        <v>7</v>
      </c>
      <c r="D342" t="str">
        <f>IF(包装物料出入库明细!$E342="","",包装物料出入库明细!$F342)</f>
        <v/>
      </c>
      <c r="E342" t="str">
        <f>IF(包装物料出入库明细!$E342="","",包装物料出入库明细!$G342)</f>
        <v/>
      </c>
      <c r="K342" t="str">
        <f>IF(包装物料出入库明细!$D342="","",包装物料出入库明细!$D342)</f>
        <v/>
      </c>
      <c r="L342">
        <f t="shared" si="204"/>
        <v>0</v>
      </c>
      <c r="M342">
        <f t="shared" si="205"/>
        <v>9</v>
      </c>
      <c r="Q342" t="str">
        <f>IF(周转筐出入库明细!$D343="","",周转筐出入库明细!$D343)</f>
        <v/>
      </c>
      <c r="R342">
        <f t="shared" si="206"/>
        <v>0</v>
      </c>
      <c r="S342">
        <f t="shared" si="207"/>
        <v>5</v>
      </c>
      <c r="W342" t="str">
        <f>IF(周转筐出入库明细!$C343="","",周转筐出入库明细!$C343)</f>
        <v/>
      </c>
      <c r="X342">
        <f t="shared" si="208"/>
        <v>0</v>
      </c>
      <c r="Y342">
        <f t="shared" si="209"/>
        <v>12</v>
      </c>
      <c r="AC342" t="str">
        <f>IF(客户自备加工筐明细!$C342="","",客户自备加工筐明细!$C342)</f>
        <v/>
      </c>
      <c r="AD342">
        <f t="shared" si="210"/>
        <v>0</v>
      </c>
      <c r="AE342">
        <f t="shared" si="211"/>
        <v>1</v>
      </c>
      <c r="AI342" t="str">
        <f>IF(客户自备加工筐明细!$E342="","",客户自备加工筐明细!$E342)</f>
        <v/>
      </c>
      <c r="AJ342">
        <f t="shared" si="212"/>
        <v>0</v>
      </c>
      <c r="AK342">
        <f t="shared" si="213"/>
        <v>1</v>
      </c>
      <c r="AO342" t="str">
        <f>IF(次果筐明细!$D342="","",次果筐明细!$D342)</f>
        <v/>
      </c>
      <c r="AP342">
        <f t="shared" si="214"/>
        <v>0</v>
      </c>
      <c r="AQ342">
        <f t="shared" si="215"/>
        <v>1</v>
      </c>
      <c r="AU342" t="str">
        <f>IF(次果筐明细!$C342="","",次果筐明细!$C342)</f>
        <v/>
      </c>
      <c r="AV342">
        <f t="shared" si="216"/>
        <v>0</v>
      </c>
      <c r="AW342">
        <f t="shared" si="217"/>
        <v>1</v>
      </c>
      <c r="BS342" t="str">
        <f t="shared" si="225"/>
        <v/>
      </c>
      <c r="BT342">
        <f t="shared" si="218"/>
        <v>0</v>
      </c>
      <c r="BU342">
        <f t="shared" si="219"/>
        <v>14</v>
      </c>
      <c r="BY342" t="str">
        <f t="shared" si="226"/>
        <v/>
      </c>
      <c r="BZ342">
        <f t="shared" si="220"/>
        <v>0</v>
      </c>
      <c r="CA342">
        <f t="shared" si="221"/>
        <v>16</v>
      </c>
      <c r="CP342">
        <f>IF(包装物料出入库明细!$D342="",0,1)</f>
        <v>0</v>
      </c>
      <c r="CQ342">
        <f t="shared" si="222"/>
        <v>37</v>
      </c>
      <c r="CS342" t="str">
        <f>IF(OR(周转筐出入库明细!$C343="",周转筐出入库明细!$F343&lt;&gt;"采购入库"),"",周转筐出入库明细!$C343)</f>
        <v/>
      </c>
      <c r="CT342">
        <f t="shared" si="223"/>
        <v>0</v>
      </c>
      <c r="CU342">
        <f t="shared" si="224"/>
        <v>1</v>
      </c>
    </row>
    <row r="343" spans="1:99">
      <c r="A343" t="str">
        <f>IF(包装物料出入库明细!$E343="","",包装物料出入库明细!$E343)</f>
        <v/>
      </c>
      <c r="B343">
        <f t="shared" si="202"/>
        <v>0</v>
      </c>
      <c r="C343">
        <f t="shared" si="203"/>
        <v>7</v>
      </c>
      <c r="D343" t="str">
        <f>IF(包装物料出入库明细!$E343="","",包装物料出入库明细!$F343)</f>
        <v/>
      </c>
      <c r="E343" t="str">
        <f>IF(包装物料出入库明细!$E343="","",包装物料出入库明细!$G343)</f>
        <v/>
      </c>
      <c r="K343" t="str">
        <f>IF(包装物料出入库明细!$D343="","",包装物料出入库明细!$D343)</f>
        <v/>
      </c>
      <c r="L343">
        <f t="shared" si="204"/>
        <v>0</v>
      </c>
      <c r="M343">
        <f t="shared" si="205"/>
        <v>9</v>
      </c>
      <c r="Q343" t="str">
        <f>IF(周转筐出入库明细!$D344="","",周转筐出入库明细!$D344)</f>
        <v/>
      </c>
      <c r="R343">
        <f t="shared" si="206"/>
        <v>0</v>
      </c>
      <c r="S343">
        <f t="shared" si="207"/>
        <v>5</v>
      </c>
      <c r="W343" t="str">
        <f>IF(周转筐出入库明细!$C344="","",周转筐出入库明细!$C344)</f>
        <v/>
      </c>
      <c r="X343">
        <f t="shared" si="208"/>
        <v>0</v>
      </c>
      <c r="Y343">
        <f t="shared" si="209"/>
        <v>12</v>
      </c>
      <c r="AC343" t="str">
        <f>IF(客户自备加工筐明细!$C343="","",客户自备加工筐明细!$C343)</f>
        <v/>
      </c>
      <c r="AD343">
        <f t="shared" si="210"/>
        <v>0</v>
      </c>
      <c r="AE343">
        <f t="shared" si="211"/>
        <v>1</v>
      </c>
      <c r="AI343" t="str">
        <f>IF(客户自备加工筐明细!$E343="","",客户自备加工筐明细!$E343)</f>
        <v/>
      </c>
      <c r="AJ343">
        <f t="shared" si="212"/>
        <v>0</v>
      </c>
      <c r="AK343">
        <f t="shared" si="213"/>
        <v>1</v>
      </c>
      <c r="AO343" t="str">
        <f>IF(次果筐明细!$D343="","",次果筐明细!$D343)</f>
        <v/>
      </c>
      <c r="AP343">
        <f t="shared" si="214"/>
        <v>0</v>
      </c>
      <c r="AQ343">
        <f t="shared" si="215"/>
        <v>1</v>
      </c>
      <c r="AU343" t="str">
        <f>IF(次果筐明细!$C343="","",次果筐明细!$C343)</f>
        <v/>
      </c>
      <c r="AV343">
        <f t="shared" si="216"/>
        <v>0</v>
      </c>
      <c r="AW343">
        <f t="shared" si="217"/>
        <v>1</v>
      </c>
      <c r="BS343" t="str">
        <f t="shared" si="225"/>
        <v/>
      </c>
      <c r="BT343">
        <f t="shared" si="218"/>
        <v>0</v>
      </c>
      <c r="BU343">
        <f t="shared" si="219"/>
        <v>14</v>
      </c>
      <c r="BY343" t="str">
        <f t="shared" si="226"/>
        <v/>
      </c>
      <c r="BZ343">
        <f t="shared" si="220"/>
        <v>0</v>
      </c>
      <c r="CA343">
        <f t="shared" si="221"/>
        <v>16</v>
      </c>
      <c r="CP343">
        <f>IF(包装物料出入库明细!$D343="",0,1)</f>
        <v>0</v>
      </c>
      <c r="CQ343">
        <f t="shared" si="222"/>
        <v>37</v>
      </c>
      <c r="CS343" t="str">
        <f>IF(OR(周转筐出入库明细!$C344="",周转筐出入库明细!$F344&lt;&gt;"采购入库"),"",周转筐出入库明细!$C344)</f>
        <v/>
      </c>
      <c r="CT343">
        <f t="shared" si="223"/>
        <v>0</v>
      </c>
      <c r="CU343">
        <f t="shared" si="224"/>
        <v>1</v>
      </c>
    </row>
    <row r="344" spans="1:99">
      <c r="A344" t="str">
        <f>IF(包装物料出入库明细!$E344="","",包装物料出入库明细!$E344)</f>
        <v/>
      </c>
      <c r="B344">
        <f t="shared" si="202"/>
        <v>0</v>
      </c>
      <c r="C344">
        <f t="shared" si="203"/>
        <v>7</v>
      </c>
      <c r="D344" t="str">
        <f>IF(包装物料出入库明细!$E344="","",包装物料出入库明细!$F344)</f>
        <v/>
      </c>
      <c r="E344" t="str">
        <f>IF(包装物料出入库明细!$E344="","",包装物料出入库明细!$G344)</f>
        <v/>
      </c>
      <c r="K344" t="str">
        <f>IF(包装物料出入库明细!$D344="","",包装物料出入库明细!$D344)</f>
        <v/>
      </c>
      <c r="L344">
        <f t="shared" si="204"/>
        <v>0</v>
      </c>
      <c r="M344">
        <f t="shared" si="205"/>
        <v>9</v>
      </c>
      <c r="Q344" t="str">
        <f>IF(周转筐出入库明细!$D345="","",周转筐出入库明细!$D345)</f>
        <v/>
      </c>
      <c r="R344">
        <f t="shared" si="206"/>
        <v>0</v>
      </c>
      <c r="S344">
        <f t="shared" si="207"/>
        <v>5</v>
      </c>
      <c r="W344" t="str">
        <f>IF(周转筐出入库明细!$C345="","",周转筐出入库明细!$C345)</f>
        <v/>
      </c>
      <c r="X344">
        <f t="shared" si="208"/>
        <v>0</v>
      </c>
      <c r="Y344">
        <f t="shared" si="209"/>
        <v>12</v>
      </c>
      <c r="AC344" t="str">
        <f>IF(客户自备加工筐明细!$C344="","",客户自备加工筐明细!$C344)</f>
        <v/>
      </c>
      <c r="AD344">
        <f t="shared" si="210"/>
        <v>0</v>
      </c>
      <c r="AE344">
        <f t="shared" si="211"/>
        <v>1</v>
      </c>
      <c r="AI344" t="str">
        <f>IF(客户自备加工筐明细!$E344="","",客户自备加工筐明细!$E344)</f>
        <v/>
      </c>
      <c r="AJ344">
        <f t="shared" si="212"/>
        <v>0</v>
      </c>
      <c r="AK344">
        <f t="shared" si="213"/>
        <v>1</v>
      </c>
      <c r="AO344" t="str">
        <f>IF(次果筐明细!$D344="","",次果筐明细!$D344)</f>
        <v/>
      </c>
      <c r="AP344">
        <f t="shared" si="214"/>
        <v>0</v>
      </c>
      <c r="AQ344">
        <f t="shared" si="215"/>
        <v>1</v>
      </c>
      <c r="AU344" t="str">
        <f>IF(次果筐明细!$C344="","",次果筐明细!$C344)</f>
        <v/>
      </c>
      <c r="AV344">
        <f t="shared" si="216"/>
        <v>0</v>
      </c>
      <c r="AW344">
        <f t="shared" si="217"/>
        <v>1</v>
      </c>
      <c r="BS344" t="str">
        <f t="shared" si="225"/>
        <v/>
      </c>
      <c r="BT344">
        <f t="shared" si="218"/>
        <v>0</v>
      </c>
      <c r="BU344">
        <f t="shared" si="219"/>
        <v>14</v>
      </c>
      <c r="BY344" t="str">
        <f t="shared" si="226"/>
        <v/>
      </c>
      <c r="BZ344">
        <f t="shared" si="220"/>
        <v>0</v>
      </c>
      <c r="CA344">
        <f t="shared" si="221"/>
        <v>16</v>
      </c>
      <c r="CP344">
        <f>IF(包装物料出入库明细!$D344="",0,1)</f>
        <v>0</v>
      </c>
      <c r="CQ344">
        <f t="shared" si="222"/>
        <v>37</v>
      </c>
      <c r="CS344" t="str">
        <f>IF(OR(周转筐出入库明细!$C345="",周转筐出入库明细!$F345&lt;&gt;"采购入库"),"",周转筐出入库明细!$C345)</f>
        <v/>
      </c>
      <c r="CT344">
        <f t="shared" si="223"/>
        <v>0</v>
      </c>
      <c r="CU344">
        <f t="shared" si="224"/>
        <v>1</v>
      </c>
    </row>
    <row r="345" spans="1:99">
      <c r="A345" t="str">
        <f>IF(包装物料出入库明细!$E345="","",包装物料出入库明细!$E345)</f>
        <v/>
      </c>
      <c r="B345">
        <f t="shared" si="202"/>
        <v>0</v>
      </c>
      <c r="C345">
        <f t="shared" si="203"/>
        <v>7</v>
      </c>
      <c r="D345" t="str">
        <f>IF(包装物料出入库明细!$E345="","",包装物料出入库明细!$F345)</f>
        <v/>
      </c>
      <c r="E345" t="str">
        <f>IF(包装物料出入库明细!$E345="","",包装物料出入库明细!$G345)</f>
        <v/>
      </c>
      <c r="K345" t="str">
        <f>IF(包装物料出入库明细!$D345="","",包装物料出入库明细!$D345)</f>
        <v/>
      </c>
      <c r="L345">
        <f t="shared" si="204"/>
        <v>0</v>
      </c>
      <c r="M345">
        <f t="shared" si="205"/>
        <v>9</v>
      </c>
      <c r="Q345" t="str">
        <f>IF(周转筐出入库明细!$D346="","",周转筐出入库明细!$D346)</f>
        <v/>
      </c>
      <c r="R345">
        <f t="shared" si="206"/>
        <v>0</v>
      </c>
      <c r="S345">
        <f t="shared" si="207"/>
        <v>5</v>
      </c>
      <c r="W345" t="str">
        <f>IF(周转筐出入库明细!$C346="","",周转筐出入库明细!$C346)</f>
        <v/>
      </c>
      <c r="X345">
        <f t="shared" si="208"/>
        <v>0</v>
      </c>
      <c r="Y345">
        <f t="shared" si="209"/>
        <v>12</v>
      </c>
      <c r="AC345" t="str">
        <f>IF(客户自备加工筐明细!$C345="","",客户自备加工筐明细!$C345)</f>
        <v/>
      </c>
      <c r="AD345">
        <f t="shared" si="210"/>
        <v>0</v>
      </c>
      <c r="AE345">
        <f t="shared" si="211"/>
        <v>1</v>
      </c>
      <c r="AI345" t="str">
        <f>IF(客户自备加工筐明细!$E345="","",客户自备加工筐明细!$E345)</f>
        <v/>
      </c>
      <c r="AJ345">
        <f t="shared" si="212"/>
        <v>0</v>
      </c>
      <c r="AK345">
        <f t="shared" si="213"/>
        <v>1</v>
      </c>
      <c r="AO345" t="str">
        <f>IF(次果筐明细!$D345="","",次果筐明细!$D345)</f>
        <v/>
      </c>
      <c r="AP345">
        <f t="shared" si="214"/>
        <v>0</v>
      </c>
      <c r="AQ345">
        <f t="shared" si="215"/>
        <v>1</v>
      </c>
      <c r="AU345" t="str">
        <f>IF(次果筐明细!$C345="","",次果筐明细!$C345)</f>
        <v/>
      </c>
      <c r="AV345">
        <f t="shared" si="216"/>
        <v>0</v>
      </c>
      <c r="AW345">
        <f t="shared" si="217"/>
        <v>1</v>
      </c>
      <c r="BS345" t="str">
        <f t="shared" si="225"/>
        <v/>
      </c>
      <c r="BT345">
        <f t="shared" si="218"/>
        <v>0</v>
      </c>
      <c r="BU345">
        <f t="shared" si="219"/>
        <v>14</v>
      </c>
      <c r="BY345" t="str">
        <f t="shared" si="226"/>
        <v/>
      </c>
      <c r="BZ345">
        <f t="shared" si="220"/>
        <v>0</v>
      </c>
      <c r="CA345">
        <f t="shared" si="221"/>
        <v>16</v>
      </c>
      <c r="CP345">
        <f>IF(包装物料出入库明细!$D345="",0,1)</f>
        <v>0</v>
      </c>
      <c r="CQ345">
        <f t="shared" si="222"/>
        <v>37</v>
      </c>
      <c r="CS345" t="str">
        <f>IF(OR(周转筐出入库明细!$C346="",周转筐出入库明细!$F346&lt;&gt;"采购入库"),"",周转筐出入库明细!$C346)</f>
        <v/>
      </c>
      <c r="CT345">
        <f t="shared" si="223"/>
        <v>0</v>
      </c>
      <c r="CU345">
        <f t="shared" si="224"/>
        <v>1</v>
      </c>
    </row>
    <row r="346" spans="1:99">
      <c r="A346" t="str">
        <f>IF(包装物料出入库明细!$E346="","",包装物料出入库明细!$E346)</f>
        <v/>
      </c>
      <c r="B346">
        <f t="shared" si="202"/>
        <v>0</v>
      </c>
      <c r="C346">
        <f t="shared" si="203"/>
        <v>7</v>
      </c>
      <c r="D346" t="str">
        <f>IF(包装物料出入库明细!$E346="","",包装物料出入库明细!$F346)</f>
        <v/>
      </c>
      <c r="E346" t="str">
        <f>IF(包装物料出入库明细!$E346="","",包装物料出入库明细!$G346)</f>
        <v/>
      </c>
      <c r="K346" t="str">
        <f>IF(包装物料出入库明细!$D346="","",包装物料出入库明细!$D346)</f>
        <v/>
      </c>
      <c r="L346">
        <f t="shared" si="204"/>
        <v>0</v>
      </c>
      <c r="M346">
        <f t="shared" si="205"/>
        <v>9</v>
      </c>
      <c r="Q346" t="str">
        <f>IF(周转筐出入库明细!$D347="","",周转筐出入库明细!$D347)</f>
        <v/>
      </c>
      <c r="R346">
        <f t="shared" si="206"/>
        <v>0</v>
      </c>
      <c r="S346">
        <f t="shared" si="207"/>
        <v>5</v>
      </c>
      <c r="W346" t="str">
        <f>IF(周转筐出入库明细!$C347="","",周转筐出入库明细!$C347)</f>
        <v/>
      </c>
      <c r="X346">
        <f t="shared" si="208"/>
        <v>0</v>
      </c>
      <c r="Y346">
        <f t="shared" si="209"/>
        <v>12</v>
      </c>
      <c r="AC346" t="str">
        <f>IF(客户自备加工筐明细!$C346="","",客户自备加工筐明细!$C346)</f>
        <v/>
      </c>
      <c r="AD346">
        <f t="shared" si="210"/>
        <v>0</v>
      </c>
      <c r="AE346">
        <f t="shared" si="211"/>
        <v>1</v>
      </c>
      <c r="AI346" t="str">
        <f>IF(客户自备加工筐明细!$E346="","",客户自备加工筐明细!$E346)</f>
        <v/>
      </c>
      <c r="AJ346">
        <f t="shared" si="212"/>
        <v>0</v>
      </c>
      <c r="AK346">
        <f t="shared" si="213"/>
        <v>1</v>
      </c>
      <c r="AO346" t="str">
        <f>IF(次果筐明细!$D346="","",次果筐明细!$D346)</f>
        <v/>
      </c>
      <c r="AP346">
        <f t="shared" si="214"/>
        <v>0</v>
      </c>
      <c r="AQ346">
        <f t="shared" si="215"/>
        <v>1</v>
      </c>
      <c r="AU346" t="str">
        <f>IF(次果筐明细!$C346="","",次果筐明细!$C346)</f>
        <v/>
      </c>
      <c r="AV346">
        <f t="shared" si="216"/>
        <v>0</v>
      </c>
      <c r="AW346">
        <f t="shared" si="217"/>
        <v>1</v>
      </c>
      <c r="BS346" t="str">
        <f t="shared" si="225"/>
        <v/>
      </c>
      <c r="BT346">
        <f t="shared" si="218"/>
        <v>0</v>
      </c>
      <c r="BU346">
        <f t="shared" si="219"/>
        <v>14</v>
      </c>
      <c r="BY346" t="str">
        <f t="shared" si="226"/>
        <v/>
      </c>
      <c r="BZ346">
        <f t="shared" si="220"/>
        <v>0</v>
      </c>
      <c r="CA346">
        <f t="shared" si="221"/>
        <v>16</v>
      </c>
      <c r="CP346">
        <f>IF(包装物料出入库明细!$D346="",0,1)</f>
        <v>0</v>
      </c>
      <c r="CQ346">
        <f t="shared" si="222"/>
        <v>37</v>
      </c>
      <c r="CS346" t="str">
        <f>IF(OR(周转筐出入库明细!$C347="",周转筐出入库明细!$F347&lt;&gt;"采购入库"),"",周转筐出入库明细!$C347)</f>
        <v/>
      </c>
      <c r="CT346">
        <f t="shared" si="223"/>
        <v>0</v>
      </c>
      <c r="CU346">
        <f t="shared" si="224"/>
        <v>1</v>
      </c>
    </row>
    <row r="347" spans="1:99">
      <c r="A347" t="str">
        <f>IF(包装物料出入库明细!$E347="","",包装物料出入库明细!$E347)</f>
        <v/>
      </c>
      <c r="B347">
        <f t="shared" si="202"/>
        <v>0</v>
      </c>
      <c r="C347">
        <f t="shared" si="203"/>
        <v>7</v>
      </c>
      <c r="D347" t="str">
        <f>IF(包装物料出入库明细!$E347="","",包装物料出入库明细!$F347)</f>
        <v/>
      </c>
      <c r="E347" t="str">
        <f>IF(包装物料出入库明细!$E347="","",包装物料出入库明细!$G347)</f>
        <v/>
      </c>
      <c r="K347" t="str">
        <f>IF(包装物料出入库明细!$D347="","",包装物料出入库明细!$D347)</f>
        <v/>
      </c>
      <c r="L347">
        <f t="shared" si="204"/>
        <v>0</v>
      </c>
      <c r="M347">
        <f t="shared" si="205"/>
        <v>9</v>
      </c>
      <c r="Q347" t="str">
        <f>IF(周转筐出入库明细!$D348="","",周转筐出入库明细!$D348)</f>
        <v/>
      </c>
      <c r="R347">
        <f t="shared" si="206"/>
        <v>0</v>
      </c>
      <c r="S347">
        <f t="shared" si="207"/>
        <v>5</v>
      </c>
      <c r="W347" t="str">
        <f>IF(周转筐出入库明细!$C348="","",周转筐出入库明细!$C348)</f>
        <v/>
      </c>
      <c r="X347">
        <f t="shared" si="208"/>
        <v>0</v>
      </c>
      <c r="Y347">
        <f t="shared" si="209"/>
        <v>12</v>
      </c>
      <c r="AC347" t="str">
        <f>IF(客户自备加工筐明细!$C347="","",客户自备加工筐明细!$C347)</f>
        <v/>
      </c>
      <c r="AD347">
        <f t="shared" si="210"/>
        <v>0</v>
      </c>
      <c r="AE347">
        <f t="shared" si="211"/>
        <v>1</v>
      </c>
      <c r="AI347" t="str">
        <f>IF(客户自备加工筐明细!$E347="","",客户自备加工筐明细!$E347)</f>
        <v/>
      </c>
      <c r="AJ347">
        <f t="shared" si="212"/>
        <v>0</v>
      </c>
      <c r="AK347">
        <f t="shared" si="213"/>
        <v>1</v>
      </c>
      <c r="AO347" t="str">
        <f>IF(次果筐明细!$D347="","",次果筐明细!$D347)</f>
        <v/>
      </c>
      <c r="AP347">
        <f t="shared" si="214"/>
        <v>0</v>
      </c>
      <c r="AQ347">
        <f t="shared" si="215"/>
        <v>1</v>
      </c>
      <c r="AU347" t="str">
        <f>IF(次果筐明细!$C347="","",次果筐明细!$C347)</f>
        <v/>
      </c>
      <c r="AV347">
        <f t="shared" si="216"/>
        <v>0</v>
      </c>
      <c r="AW347">
        <f t="shared" si="217"/>
        <v>1</v>
      </c>
      <c r="BS347" t="str">
        <f t="shared" si="225"/>
        <v/>
      </c>
      <c r="BT347">
        <f t="shared" si="218"/>
        <v>0</v>
      </c>
      <c r="BU347">
        <f t="shared" si="219"/>
        <v>14</v>
      </c>
      <c r="BY347" t="str">
        <f t="shared" si="226"/>
        <v/>
      </c>
      <c r="BZ347">
        <f t="shared" si="220"/>
        <v>0</v>
      </c>
      <c r="CA347">
        <f t="shared" si="221"/>
        <v>16</v>
      </c>
      <c r="CP347">
        <f>IF(包装物料出入库明细!$D347="",0,1)</f>
        <v>0</v>
      </c>
      <c r="CQ347">
        <f t="shared" si="222"/>
        <v>37</v>
      </c>
      <c r="CS347" t="str">
        <f>IF(OR(周转筐出入库明细!$C348="",周转筐出入库明细!$F348&lt;&gt;"采购入库"),"",周转筐出入库明细!$C348)</f>
        <v/>
      </c>
      <c r="CT347">
        <f t="shared" si="223"/>
        <v>0</v>
      </c>
      <c r="CU347">
        <f t="shared" si="224"/>
        <v>1</v>
      </c>
    </row>
    <row r="348" spans="1:99">
      <c r="A348" t="str">
        <f>IF(包装物料出入库明细!$E348="","",包装物料出入库明细!$E348)</f>
        <v/>
      </c>
      <c r="B348">
        <f t="shared" si="202"/>
        <v>0</v>
      </c>
      <c r="C348">
        <f t="shared" si="203"/>
        <v>7</v>
      </c>
      <c r="D348" t="str">
        <f>IF(包装物料出入库明细!$E348="","",包装物料出入库明细!$F348)</f>
        <v/>
      </c>
      <c r="E348" t="str">
        <f>IF(包装物料出入库明细!$E348="","",包装物料出入库明细!$G348)</f>
        <v/>
      </c>
      <c r="K348" t="str">
        <f>IF(包装物料出入库明细!$D348="","",包装物料出入库明细!$D348)</f>
        <v/>
      </c>
      <c r="L348">
        <f t="shared" si="204"/>
        <v>0</v>
      </c>
      <c r="M348">
        <f t="shared" si="205"/>
        <v>9</v>
      </c>
      <c r="Q348" t="str">
        <f>IF(周转筐出入库明细!$D349="","",周转筐出入库明细!$D349)</f>
        <v/>
      </c>
      <c r="R348">
        <f t="shared" si="206"/>
        <v>0</v>
      </c>
      <c r="S348">
        <f t="shared" si="207"/>
        <v>5</v>
      </c>
      <c r="W348" t="str">
        <f>IF(周转筐出入库明细!$C349="","",周转筐出入库明细!$C349)</f>
        <v/>
      </c>
      <c r="X348">
        <f t="shared" si="208"/>
        <v>0</v>
      </c>
      <c r="Y348">
        <f t="shared" si="209"/>
        <v>12</v>
      </c>
      <c r="AC348" t="str">
        <f>IF(客户自备加工筐明细!$C348="","",客户自备加工筐明细!$C348)</f>
        <v/>
      </c>
      <c r="AD348">
        <f t="shared" si="210"/>
        <v>0</v>
      </c>
      <c r="AE348">
        <f t="shared" si="211"/>
        <v>1</v>
      </c>
      <c r="AI348" t="str">
        <f>IF(客户自备加工筐明细!$E348="","",客户自备加工筐明细!$E348)</f>
        <v/>
      </c>
      <c r="AJ348">
        <f t="shared" si="212"/>
        <v>0</v>
      </c>
      <c r="AK348">
        <f t="shared" si="213"/>
        <v>1</v>
      </c>
      <c r="AO348" t="str">
        <f>IF(次果筐明细!$D348="","",次果筐明细!$D348)</f>
        <v/>
      </c>
      <c r="AP348">
        <f t="shared" si="214"/>
        <v>0</v>
      </c>
      <c r="AQ348">
        <f t="shared" si="215"/>
        <v>1</v>
      </c>
      <c r="AU348" t="str">
        <f>IF(次果筐明细!$C348="","",次果筐明细!$C348)</f>
        <v/>
      </c>
      <c r="AV348">
        <f t="shared" si="216"/>
        <v>0</v>
      </c>
      <c r="AW348">
        <f t="shared" si="217"/>
        <v>1</v>
      </c>
      <c r="BS348" t="str">
        <f t="shared" si="225"/>
        <v/>
      </c>
      <c r="BT348">
        <f t="shared" si="218"/>
        <v>0</v>
      </c>
      <c r="BU348">
        <f t="shared" si="219"/>
        <v>14</v>
      </c>
      <c r="BY348" t="str">
        <f t="shared" si="226"/>
        <v/>
      </c>
      <c r="BZ348">
        <f t="shared" si="220"/>
        <v>0</v>
      </c>
      <c r="CA348">
        <f t="shared" si="221"/>
        <v>16</v>
      </c>
      <c r="CP348">
        <f>IF(包装物料出入库明细!$D348="",0,1)</f>
        <v>0</v>
      </c>
      <c r="CQ348">
        <f t="shared" si="222"/>
        <v>37</v>
      </c>
      <c r="CS348" t="str">
        <f>IF(OR(周转筐出入库明细!$C349="",周转筐出入库明细!$F349&lt;&gt;"采购入库"),"",周转筐出入库明细!$C349)</f>
        <v/>
      </c>
      <c r="CT348">
        <f t="shared" si="223"/>
        <v>0</v>
      </c>
      <c r="CU348">
        <f t="shared" si="224"/>
        <v>1</v>
      </c>
    </row>
    <row r="349" spans="1:99">
      <c r="A349" t="str">
        <f>IF(包装物料出入库明细!$E349="","",包装物料出入库明细!$E349)</f>
        <v/>
      </c>
      <c r="B349">
        <f t="shared" si="202"/>
        <v>0</v>
      </c>
      <c r="C349">
        <f t="shared" si="203"/>
        <v>7</v>
      </c>
      <c r="D349" t="str">
        <f>IF(包装物料出入库明细!$E349="","",包装物料出入库明细!$F349)</f>
        <v/>
      </c>
      <c r="E349" t="str">
        <f>IF(包装物料出入库明细!$E349="","",包装物料出入库明细!$G349)</f>
        <v/>
      </c>
      <c r="K349" t="str">
        <f>IF(包装物料出入库明细!$D349="","",包装物料出入库明细!$D349)</f>
        <v/>
      </c>
      <c r="L349">
        <f t="shared" si="204"/>
        <v>0</v>
      </c>
      <c r="M349">
        <f t="shared" si="205"/>
        <v>9</v>
      </c>
      <c r="Q349" t="str">
        <f>IF(周转筐出入库明细!$D350="","",周转筐出入库明细!$D350)</f>
        <v/>
      </c>
      <c r="R349">
        <f t="shared" si="206"/>
        <v>0</v>
      </c>
      <c r="S349">
        <f t="shared" si="207"/>
        <v>5</v>
      </c>
      <c r="W349" t="str">
        <f>IF(周转筐出入库明细!$C350="","",周转筐出入库明细!$C350)</f>
        <v/>
      </c>
      <c r="X349">
        <f t="shared" si="208"/>
        <v>0</v>
      </c>
      <c r="Y349">
        <f t="shared" si="209"/>
        <v>12</v>
      </c>
      <c r="AC349" t="str">
        <f>IF(客户自备加工筐明细!$C349="","",客户自备加工筐明细!$C349)</f>
        <v/>
      </c>
      <c r="AD349">
        <f t="shared" si="210"/>
        <v>0</v>
      </c>
      <c r="AE349">
        <f t="shared" si="211"/>
        <v>1</v>
      </c>
      <c r="AI349" t="str">
        <f>IF(客户自备加工筐明细!$E349="","",客户自备加工筐明细!$E349)</f>
        <v/>
      </c>
      <c r="AJ349">
        <f t="shared" si="212"/>
        <v>0</v>
      </c>
      <c r="AK349">
        <f t="shared" si="213"/>
        <v>1</v>
      </c>
      <c r="AO349" t="str">
        <f>IF(次果筐明细!$D349="","",次果筐明细!$D349)</f>
        <v/>
      </c>
      <c r="AP349">
        <f t="shared" si="214"/>
        <v>0</v>
      </c>
      <c r="AQ349">
        <f t="shared" si="215"/>
        <v>1</v>
      </c>
      <c r="AU349" t="str">
        <f>IF(次果筐明细!$C349="","",次果筐明细!$C349)</f>
        <v/>
      </c>
      <c r="AV349">
        <f t="shared" si="216"/>
        <v>0</v>
      </c>
      <c r="AW349">
        <f t="shared" si="217"/>
        <v>1</v>
      </c>
      <c r="BS349" t="str">
        <f t="shared" si="225"/>
        <v/>
      </c>
      <c r="BT349">
        <f t="shared" si="218"/>
        <v>0</v>
      </c>
      <c r="BU349">
        <f t="shared" si="219"/>
        <v>14</v>
      </c>
      <c r="BY349" t="str">
        <f t="shared" si="226"/>
        <v/>
      </c>
      <c r="BZ349">
        <f t="shared" si="220"/>
        <v>0</v>
      </c>
      <c r="CA349">
        <f t="shared" si="221"/>
        <v>16</v>
      </c>
      <c r="CP349">
        <f>IF(包装物料出入库明细!$D349="",0,1)</f>
        <v>0</v>
      </c>
      <c r="CQ349">
        <f t="shared" si="222"/>
        <v>37</v>
      </c>
      <c r="CS349" t="str">
        <f>IF(OR(周转筐出入库明细!$C350="",周转筐出入库明细!$F350&lt;&gt;"采购入库"),"",周转筐出入库明细!$C350)</f>
        <v/>
      </c>
      <c r="CT349">
        <f t="shared" si="223"/>
        <v>0</v>
      </c>
      <c r="CU349">
        <f t="shared" si="224"/>
        <v>1</v>
      </c>
    </row>
    <row r="350" spans="1:99">
      <c r="A350" t="str">
        <f>IF(包装物料出入库明细!$E350="","",包装物料出入库明细!$E350)</f>
        <v/>
      </c>
      <c r="B350">
        <f t="shared" si="202"/>
        <v>0</v>
      </c>
      <c r="C350">
        <f t="shared" si="203"/>
        <v>7</v>
      </c>
      <c r="D350" t="str">
        <f>IF(包装物料出入库明细!$E350="","",包装物料出入库明细!$F350)</f>
        <v/>
      </c>
      <c r="E350" t="str">
        <f>IF(包装物料出入库明细!$E350="","",包装物料出入库明细!$G350)</f>
        <v/>
      </c>
      <c r="K350" t="str">
        <f>IF(包装物料出入库明细!$D350="","",包装物料出入库明细!$D350)</f>
        <v/>
      </c>
      <c r="L350">
        <f t="shared" si="204"/>
        <v>0</v>
      </c>
      <c r="M350">
        <f t="shared" si="205"/>
        <v>9</v>
      </c>
      <c r="Q350" t="str">
        <f>IF(周转筐出入库明细!$D351="","",周转筐出入库明细!$D351)</f>
        <v/>
      </c>
      <c r="R350">
        <f t="shared" si="206"/>
        <v>0</v>
      </c>
      <c r="S350">
        <f t="shared" si="207"/>
        <v>5</v>
      </c>
      <c r="W350" t="str">
        <f>IF(周转筐出入库明细!$C351="","",周转筐出入库明细!$C351)</f>
        <v/>
      </c>
      <c r="X350">
        <f t="shared" si="208"/>
        <v>0</v>
      </c>
      <c r="Y350">
        <f t="shared" si="209"/>
        <v>12</v>
      </c>
      <c r="AC350" t="str">
        <f>IF(客户自备加工筐明细!$C350="","",客户自备加工筐明细!$C350)</f>
        <v/>
      </c>
      <c r="AD350">
        <f t="shared" si="210"/>
        <v>0</v>
      </c>
      <c r="AE350">
        <f t="shared" si="211"/>
        <v>1</v>
      </c>
      <c r="AI350" t="str">
        <f>IF(客户自备加工筐明细!$E350="","",客户自备加工筐明细!$E350)</f>
        <v/>
      </c>
      <c r="AJ350">
        <f t="shared" si="212"/>
        <v>0</v>
      </c>
      <c r="AK350">
        <f t="shared" si="213"/>
        <v>1</v>
      </c>
      <c r="AO350" t="str">
        <f>IF(次果筐明细!$D350="","",次果筐明细!$D350)</f>
        <v/>
      </c>
      <c r="AP350">
        <f t="shared" si="214"/>
        <v>0</v>
      </c>
      <c r="AQ350">
        <f t="shared" si="215"/>
        <v>1</v>
      </c>
      <c r="AU350" t="str">
        <f>IF(次果筐明细!$C350="","",次果筐明细!$C350)</f>
        <v/>
      </c>
      <c r="AV350">
        <f t="shared" si="216"/>
        <v>0</v>
      </c>
      <c r="AW350">
        <f t="shared" si="217"/>
        <v>1</v>
      </c>
      <c r="BS350" t="str">
        <f t="shared" si="225"/>
        <v/>
      </c>
      <c r="BT350">
        <f t="shared" si="218"/>
        <v>0</v>
      </c>
      <c r="BU350">
        <f t="shared" si="219"/>
        <v>14</v>
      </c>
      <c r="BY350" t="str">
        <f t="shared" si="226"/>
        <v/>
      </c>
      <c r="BZ350">
        <f t="shared" si="220"/>
        <v>0</v>
      </c>
      <c r="CA350">
        <f t="shared" si="221"/>
        <v>16</v>
      </c>
      <c r="CP350">
        <f>IF(包装物料出入库明细!$D350="",0,1)</f>
        <v>0</v>
      </c>
      <c r="CQ350">
        <f t="shared" si="222"/>
        <v>37</v>
      </c>
      <c r="CS350" t="str">
        <f>IF(OR(周转筐出入库明细!$C351="",周转筐出入库明细!$F351&lt;&gt;"采购入库"),"",周转筐出入库明细!$C351)</f>
        <v/>
      </c>
      <c r="CT350">
        <f t="shared" si="223"/>
        <v>0</v>
      </c>
      <c r="CU350">
        <f t="shared" si="224"/>
        <v>1</v>
      </c>
    </row>
    <row r="351" spans="1:99">
      <c r="A351" t="str">
        <f>IF(包装物料出入库明细!$E351="","",包装物料出入库明细!$E351)</f>
        <v/>
      </c>
      <c r="B351">
        <f t="shared" si="202"/>
        <v>0</v>
      </c>
      <c r="C351">
        <f t="shared" si="203"/>
        <v>7</v>
      </c>
      <c r="D351" t="str">
        <f>IF(包装物料出入库明细!$E351="","",包装物料出入库明细!$F351)</f>
        <v/>
      </c>
      <c r="E351" t="str">
        <f>IF(包装物料出入库明细!$E351="","",包装物料出入库明细!$G351)</f>
        <v/>
      </c>
      <c r="K351" t="str">
        <f>IF(包装物料出入库明细!$D351="","",包装物料出入库明细!$D351)</f>
        <v/>
      </c>
      <c r="L351">
        <f t="shared" si="204"/>
        <v>0</v>
      </c>
      <c r="M351">
        <f t="shared" si="205"/>
        <v>9</v>
      </c>
      <c r="Q351" t="str">
        <f>IF(周转筐出入库明细!$D352="","",周转筐出入库明细!$D352)</f>
        <v/>
      </c>
      <c r="R351">
        <f t="shared" si="206"/>
        <v>0</v>
      </c>
      <c r="S351">
        <f t="shared" si="207"/>
        <v>5</v>
      </c>
      <c r="W351" t="str">
        <f>IF(周转筐出入库明细!$C352="","",周转筐出入库明细!$C352)</f>
        <v/>
      </c>
      <c r="X351">
        <f t="shared" si="208"/>
        <v>0</v>
      </c>
      <c r="Y351">
        <f t="shared" si="209"/>
        <v>12</v>
      </c>
      <c r="AC351" t="str">
        <f>IF(客户自备加工筐明细!$C351="","",客户自备加工筐明细!$C351)</f>
        <v/>
      </c>
      <c r="AD351">
        <f t="shared" si="210"/>
        <v>0</v>
      </c>
      <c r="AE351">
        <f t="shared" si="211"/>
        <v>1</v>
      </c>
      <c r="AI351" t="str">
        <f>IF(客户自备加工筐明细!$E351="","",客户自备加工筐明细!$E351)</f>
        <v/>
      </c>
      <c r="AJ351">
        <f t="shared" si="212"/>
        <v>0</v>
      </c>
      <c r="AK351">
        <f t="shared" si="213"/>
        <v>1</v>
      </c>
      <c r="AO351" t="str">
        <f>IF(次果筐明细!$D351="","",次果筐明细!$D351)</f>
        <v/>
      </c>
      <c r="AP351">
        <f t="shared" si="214"/>
        <v>0</v>
      </c>
      <c r="AQ351">
        <f t="shared" si="215"/>
        <v>1</v>
      </c>
      <c r="AU351" t="str">
        <f>IF(次果筐明细!$C351="","",次果筐明细!$C351)</f>
        <v/>
      </c>
      <c r="AV351">
        <f t="shared" si="216"/>
        <v>0</v>
      </c>
      <c r="AW351">
        <f t="shared" si="217"/>
        <v>1</v>
      </c>
      <c r="BS351" t="str">
        <f t="shared" si="225"/>
        <v/>
      </c>
      <c r="BT351">
        <f t="shared" si="218"/>
        <v>0</v>
      </c>
      <c r="BU351">
        <f t="shared" si="219"/>
        <v>14</v>
      </c>
      <c r="BY351" t="str">
        <f t="shared" si="226"/>
        <v/>
      </c>
      <c r="BZ351">
        <f t="shared" si="220"/>
        <v>0</v>
      </c>
      <c r="CA351">
        <f t="shared" si="221"/>
        <v>16</v>
      </c>
      <c r="CP351">
        <f>IF(包装物料出入库明细!$D351="",0,1)</f>
        <v>0</v>
      </c>
      <c r="CQ351">
        <f t="shared" si="222"/>
        <v>37</v>
      </c>
      <c r="CS351" t="str">
        <f>IF(OR(周转筐出入库明细!$C352="",周转筐出入库明细!$F352&lt;&gt;"采购入库"),"",周转筐出入库明细!$C352)</f>
        <v/>
      </c>
      <c r="CT351">
        <f t="shared" si="223"/>
        <v>0</v>
      </c>
      <c r="CU351">
        <f t="shared" si="224"/>
        <v>1</v>
      </c>
    </row>
    <row r="352" spans="1:99">
      <c r="A352" t="str">
        <f>IF(包装物料出入库明细!$E352="","",包装物料出入库明细!$E352)</f>
        <v/>
      </c>
      <c r="B352">
        <f t="shared" si="202"/>
        <v>0</v>
      </c>
      <c r="C352">
        <f t="shared" si="203"/>
        <v>7</v>
      </c>
      <c r="D352" t="str">
        <f>IF(包装物料出入库明细!$E352="","",包装物料出入库明细!$F352)</f>
        <v/>
      </c>
      <c r="E352" t="str">
        <f>IF(包装物料出入库明细!$E352="","",包装物料出入库明细!$G352)</f>
        <v/>
      </c>
      <c r="K352" t="str">
        <f>IF(包装物料出入库明细!$D352="","",包装物料出入库明细!$D352)</f>
        <v/>
      </c>
      <c r="L352">
        <f t="shared" si="204"/>
        <v>0</v>
      </c>
      <c r="M352">
        <f t="shared" si="205"/>
        <v>9</v>
      </c>
      <c r="Q352" t="str">
        <f>IF(周转筐出入库明细!$D353="","",周转筐出入库明细!$D353)</f>
        <v/>
      </c>
      <c r="R352">
        <f t="shared" si="206"/>
        <v>0</v>
      </c>
      <c r="S352">
        <f t="shared" si="207"/>
        <v>5</v>
      </c>
      <c r="W352" t="str">
        <f>IF(周转筐出入库明细!$C353="","",周转筐出入库明细!$C353)</f>
        <v/>
      </c>
      <c r="X352">
        <f t="shared" si="208"/>
        <v>0</v>
      </c>
      <c r="Y352">
        <f t="shared" si="209"/>
        <v>12</v>
      </c>
      <c r="AC352" t="str">
        <f>IF(客户自备加工筐明细!$C352="","",客户自备加工筐明细!$C352)</f>
        <v/>
      </c>
      <c r="AD352">
        <f t="shared" si="210"/>
        <v>0</v>
      </c>
      <c r="AE352">
        <f t="shared" si="211"/>
        <v>1</v>
      </c>
      <c r="AI352" t="str">
        <f>IF(客户自备加工筐明细!$E352="","",客户自备加工筐明细!$E352)</f>
        <v/>
      </c>
      <c r="AJ352">
        <f t="shared" si="212"/>
        <v>0</v>
      </c>
      <c r="AK352">
        <f t="shared" si="213"/>
        <v>1</v>
      </c>
      <c r="AO352" t="str">
        <f>IF(次果筐明细!$D352="","",次果筐明细!$D352)</f>
        <v/>
      </c>
      <c r="AP352">
        <f t="shared" si="214"/>
        <v>0</v>
      </c>
      <c r="AQ352">
        <f t="shared" si="215"/>
        <v>1</v>
      </c>
      <c r="AU352" t="str">
        <f>IF(次果筐明细!$C352="","",次果筐明细!$C352)</f>
        <v/>
      </c>
      <c r="AV352">
        <f t="shared" si="216"/>
        <v>0</v>
      </c>
      <c r="AW352">
        <f t="shared" si="217"/>
        <v>1</v>
      </c>
      <c r="BS352" t="str">
        <f t="shared" si="225"/>
        <v/>
      </c>
      <c r="BT352">
        <f t="shared" si="218"/>
        <v>0</v>
      </c>
      <c r="BU352">
        <f t="shared" si="219"/>
        <v>14</v>
      </c>
      <c r="BY352" t="str">
        <f t="shared" si="226"/>
        <v/>
      </c>
      <c r="BZ352">
        <f t="shared" si="220"/>
        <v>0</v>
      </c>
      <c r="CA352">
        <f t="shared" si="221"/>
        <v>16</v>
      </c>
      <c r="CP352">
        <f>IF(包装物料出入库明细!$D352="",0,1)</f>
        <v>0</v>
      </c>
      <c r="CQ352">
        <f t="shared" si="222"/>
        <v>37</v>
      </c>
      <c r="CS352" t="str">
        <f>IF(OR(周转筐出入库明细!$C353="",周转筐出入库明细!$F353&lt;&gt;"采购入库"),"",周转筐出入库明细!$C353)</f>
        <v/>
      </c>
      <c r="CT352">
        <f t="shared" si="223"/>
        <v>0</v>
      </c>
      <c r="CU352">
        <f t="shared" si="224"/>
        <v>1</v>
      </c>
    </row>
    <row r="353" spans="1:99">
      <c r="A353" t="str">
        <f>IF(包装物料出入库明细!$E353="","",包装物料出入库明细!$E353)</f>
        <v/>
      </c>
      <c r="B353">
        <f t="shared" si="202"/>
        <v>0</v>
      </c>
      <c r="C353">
        <f t="shared" si="203"/>
        <v>7</v>
      </c>
      <c r="D353" t="str">
        <f>IF(包装物料出入库明细!$E353="","",包装物料出入库明细!$F353)</f>
        <v/>
      </c>
      <c r="E353" t="str">
        <f>IF(包装物料出入库明细!$E353="","",包装物料出入库明细!$G353)</f>
        <v/>
      </c>
      <c r="K353" t="str">
        <f>IF(包装物料出入库明细!$D353="","",包装物料出入库明细!$D353)</f>
        <v/>
      </c>
      <c r="L353">
        <f t="shared" si="204"/>
        <v>0</v>
      </c>
      <c r="M353">
        <f t="shared" si="205"/>
        <v>9</v>
      </c>
      <c r="Q353" t="str">
        <f>IF(周转筐出入库明细!$D354="","",周转筐出入库明细!$D354)</f>
        <v/>
      </c>
      <c r="R353">
        <f t="shared" si="206"/>
        <v>0</v>
      </c>
      <c r="S353">
        <f t="shared" si="207"/>
        <v>5</v>
      </c>
      <c r="W353" t="str">
        <f>IF(周转筐出入库明细!$C354="","",周转筐出入库明细!$C354)</f>
        <v/>
      </c>
      <c r="X353">
        <f t="shared" si="208"/>
        <v>0</v>
      </c>
      <c r="Y353">
        <f t="shared" si="209"/>
        <v>12</v>
      </c>
      <c r="AC353" t="str">
        <f>IF(客户自备加工筐明细!$C353="","",客户自备加工筐明细!$C353)</f>
        <v/>
      </c>
      <c r="AD353">
        <f t="shared" si="210"/>
        <v>0</v>
      </c>
      <c r="AE353">
        <f t="shared" si="211"/>
        <v>1</v>
      </c>
      <c r="AI353" t="str">
        <f>IF(客户自备加工筐明细!$E353="","",客户自备加工筐明细!$E353)</f>
        <v/>
      </c>
      <c r="AJ353">
        <f t="shared" si="212"/>
        <v>0</v>
      </c>
      <c r="AK353">
        <f t="shared" si="213"/>
        <v>1</v>
      </c>
      <c r="AO353" t="str">
        <f>IF(次果筐明细!$D353="","",次果筐明细!$D353)</f>
        <v/>
      </c>
      <c r="AP353">
        <f t="shared" si="214"/>
        <v>0</v>
      </c>
      <c r="AQ353">
        <f t="shared" si="215"/>
        <v>1</v>
      </c>
      <c r="AU353" t="str">
        <f>IF(次果筐明细!$C353="","",次果筐明细!$C353)</f>
        <v/>
      </c>
      <c r="AV353">
        <f t="shared" si="216"/>
        <v>0</v>
      </c>
      <c r="AW353">
        <f t="shared" si="217"/>
        <v>1</v>
      </c>
      <c r="BS353" t="str">
        <f t="shared" si="225"/>
        <v/>
      </c>
      <c r="BT353">
        <f t="shared" si="218"/>
        <v>0</v>
      </c>
      <c r="BU353">
        <f t="shared" si="219"/>
        <v>14</v>
      </c>
      <c r="BY353" t="str">
        <f t="shared" si="226"/>
        <v/>
      </c>
      <c r="BZ353">
        <f t="shared" si="220"/>
        <v>0</v>
      </c>
      <c r="CA353">
        <f t="shared" si="221"/>
        <v>16</v>
      </c>
      <c r="CP353">
        <f>IF(包装物料出入库明细!$D353="",0,1)</f>
        <v>0</v>
      </c>
      <c r="CQ353">
        <f t="shared" si="222"/>
        <v>37</v>
      </c>
      <c r="CS353" t="str">
        <f>IF(OR(周转筐出入库明细!$C354="",周转筐出入库明细!$F354&lt;&gt;"采购入库"),"",周转筐出入库明细!$C354)</f>
        <v/>
      </c>
      <c r="CT353">
        <f t="shared" si="223"/>
        <v>0</v>
      </c>
      <c r="CU353">
        <f t="shared" si="224"/>
        <v>1</v>
      </c>
    </row>
    <row r="354" spans="1:99">
      <c r="A354" t="str">
        <f>IF(包装物料出入库明细!$E354="","",包装物料出入库明细!$E354)</f>
        <v/>
      </c>
      <c r="B354">
        <f t="shared" si="202"/>
        <v>0</v>
      </c>
      <c r="C354">
        <f t="shared" si="203"/>
        <v>7</v>
      </c>
      <c r="D354" t="str">
        <f>IF(包装物料出入库明细!$E354="","",包装物料出入库明细!$F354)</f>
        <v/>
      </c>
      <c r="E354" t="str">
        <f>IF(包装物料出入库明细!$E354="","",包装物料出入库明细!$G354)</f>
        <v/>
      </c>
      <c r="K354" t="str">
        <f>IF(包装物料出入库明细!$D354="","",包装物料出入库明细!$D354)</f>
        <v/>
      </c>
      <c r="L354">
        <f t="shared" si="204"/>
        <v>0</v>
      </c>
      <c r="M354">
        <f t="shared" si="205"/>
        <v>9</v>
      </c>
      <c r="Q354" t="str">
        <f>IF(周转筐出入库明细!$D355="","",周转筐出入库明细!$D355)</f>
        <v/>
      </c>
      <c r="R354">
        <f t="shared" si="206"/>
        <v>0</v>
      </c>
      <c r="S354">
        <f t="shared" si="207"/>
        <v>5</v>
      </c>
      <c r="W354" t="str">
        <f>IF(周转筐出入库明细!$C355="","",周转筐出入库明细!$C355)</f>
        <v/>
      </c>
      <c r="X354">
        <f t="shared" si="208"/>
        <v>0</v>
      </c>
      <c r="Y354">
        <f t="shared" si="209"/>
        <v>12</v>
      </c>
      <c r="AC354" t="str">
        <f>IF(客户自备加工筐明细!$C354="","",客户自备加工筐明细!$C354)</f>
        <v/>
      </c>
      <c r="AD354">
        <f t="shared" si="210"/>
        <v>0</v>
      </c>
      <c r="AE354">
        <f t="shared" si="211"/>
        <v>1</v>
      </c>
      <c r="AI354" t="str">
        <f>IF(客户自备加工筐明细!$E354="","",客户自备加工筐明细!$E354)</f>
        <v/>
      </c>
      <c r="AJ354">
        <f t="shared" si="212"/>
        <v>0</v>
      </c>
      <c r="AK354">
        <f t="shared" si="213"/>
        <v>1</v>
      </c>
      <c r="AO354" t="str">
        <f>IF(次果筐明细!$D354="","",次果筐明细!$D354)</f>
        <v/>
      </c>
      <c r="AP354">
        <f t="shared" si="214"/>
        <v>0</v>
      </c>
      <c r="AQ354">
        <f t="shared" si="215"/>
        <v>1</v>
      </c>
      <c r="AU354" t="str">
        <f>IF(次果筐明细!$C354="","",次果筐明细!$C354)</f>
        <v/>
      </c>
      <c r="AV354">
        <f t="shared" si="216"/>
        <v>0</v>
      </c>
      <c r="AW354">
        <f t="shared" si="217"/>
        <v>1</v>
      </c>
      <c r="BS354" t="str">
        <f t="shared" si="225"/>
        <v/>
      </c>
      <c r="BT354">
        <f t="shared" si="218"/>
        <v>0</v>
      </c>
      <c r="BU354">
        <f t="shared" si="219"/>
        <v>14</v>
      </c>
      <c r="BY354" t="str">
        <f t="shared" si="226"/>
        <v/>
      </c>
      <c r="BZ354">
        <f t="shared" si="220"/>
        <v>0</v>
      </c>
      <c r="CA354">
        <f t="shared" si="221"/>
        <v>16</v>
      </c>
      <c r="CP354">
        <f>IF(包装物料出入库明细!$D354="",0,1)</f>
        <v>0</v>
      </c>
      <c r="CQ354">
        <f t="shared" si="222"/>
        <v>37</v>
      </c>
      <c r="CS354" t="str">
        <f>IF(OR(周转筐出入库明细!$C355="",周转筐出入库明细!$F355&lt;&gt;"采购入库"),"",周转筐出入库明细!$C355)</f>
        <v/>
      </c>
      <c r="CT354">
        <f t="shared" si="223"/>
        <v>0</v>
      </c>
      <c r="CU354">
        <f t="shared" si="224"/>
        <v>1</v>
      </c>
    </row>
    <row r="355" spans="1:99">
      <c r="A355" t="str">
        <f>IF(包装物料出入库明细!$E355="","",包装物料出入库明细!$E355)</f>
        <v/>
      </c>
      <c r="B355">
        <f t="shared" si="202"/>
        <v>0</v>
      </c>
      <c r="C355">
        <f t="shared" si="203"/>
        <v>7</v>
      </c>
      <c r="D355" t="str">
        <f>IF(包装物料出入库明细!$E355="","",包装物料出入库明细!$F355)</f>
        <v/>
      </c>
      <c r="E355" t="str">
        <f>IF(包装物料出入库明细!$E355="","",包装物料出入库明细!$G355)</f>
        <v/>
      </c>
      <c r="K355" t="str">
        <f>IF(包装物料出入库明细!$D355="","",包装物料出入库明细!$D355)</f>
        <v/>
      </c>
      <c r="L355">
        <f t="shared" si="204"/>
        <v>0</v>
      </c>
      <c r="M355">
        <f t="shared" si="205"/>
        <v>9</v>
      </c>
      <c r="Q355" t="str">
        <f>IF(周转筐出入库明细!$D356="","",周转筐出入库明细!$D356)</f>
        <v/>
      </c>
      <c r="R355">
        <f t="shared" si="206"/>
        <v>0</v>
      </c>
      <c r="S355">
        <f t="shared" si="207"/>
        <v>5</v>
      </c>
      <c r="W355" t="str">
        <f>IF(周转筐出入库明细!$C356="","",周转筐出入库明细!$C356)</f>
        <v/>
      </c>
      <c r="X355">
        <f t="shared" si="208"/>
        <v>0</v>
      </c>
      <c r="Y355">
        <f t="shared" si="209"/>
        <v>12</v>
      </c>
      <c r="AC355" t="str">
        <f>IF(客户自备加工筐明细!$C355="","",客户自备加工筐明细!$C355)</f>
        <v/>
      </c>
      <c r="AD355">
        <f t="shared" si="210"/>
        <v>0</v>
      </c>
      <c r="AE355">
        <f t="shared" si="211"/>
        <v>1</v>
      </c>
      <c r="AI355" t="str">
        <f>IF(客户自备加工筐明细!$E355="","",客户自备加工筐明细!$E355)</f>
        <v/>
      </c>
      <c r="AJ355">
        <f t="shared" si="212"/>
        <v>0</v>
      </c>
      <c r="AK355">
        <f t="shared" si="213"/>
        <v>1</v>
      </c>
      <c r="AO355" t="str">
        <f>IF(次果筐明细!$D355="","",次果筐明细!$D355)</f>
        <v/>
      </c>
      <c r="AP355">
        <f t="shared" si="214"/>
        <v>0</v>
      </c>
      <c r="AQ355">
        <f t="shared" si="215"/>
        <v>1</v>
      </c>
      <c r="AU355" t="str">
        <f>IF(次果筐明细!$C355="","",次果筐明细!$C355)</f>
        <v/>
      </c>
      <c r="AV355">
        <f t="shared" si="216"/>
        <v>0</v>
      </c>
      <c r="AW355">
        <f t="shared" si="217"/>
        <v>1</v>
      </c>
      <c r="BS355" t="str">
        <f t="shared" si="225"/>
        <v/>
      </c>
      <c r="BT355">
        <f t="shared" si="218"/>
        <v>0</v>
      </c>
      <c r="BU355">
        <f t="shared" si="219"/>
        <v>14</v>
      </c>
      <c r="BY355" t="str">
        <f t="shared" si="226"/>
        <v/>
      </c>
      <c r="BZ355">
        <f t="shared" si="220"/>
        <v>0</v>
      </c>
      <c r="CA355">
        <f t="shared" si="221"/>
        <v>16</v>
      </c>
      <c r="CP355">
        <f>IF(包装物料出入库明细!$D355="",0,1)</f>
        <v>0</v>
      </c>
      <c r="CQ355">
        <f t="shared" si="222"/>
        <v>37</v>
      </c>
      <c r="CS355" t="str">
        <f>IF(OR(周转筐出入库明细!$C356="",周转筐出入库明细!$F356&lt;&gt;"采购入库"),"",周转筐出入库明细!$C356)</f>
        <v/>
      </c>
      <c r="CT355">
        <f t="shared" si="223"/>
        <v>0</v>
      </c>
      <c r="CU355">
        <f t="shared" si="224"/>
        <v>1</v>
      </c>
    </row>
    <row r="356" spans="1:99">
      <c r="A356" t="str">
        <f>IF(包装物料出入库明细!$E356="","",包装物料出入库明细!$E356)</f>
        <v/>
      </c>
      <c r="B356">
        <f t="shared" si="202"/>
        <v>0</v>
      </c>
      <c r="C356">
        <f t="shared" si="203"/>
        <v>7</v>
      </c>
      <c r="D356" t="str">
        <f>IF(包装物料出入库明细!$E356="","",包装物料出入库明细!$F356)</f>
        <v/>
      </c>
      <c r="E356" t="str">
        <f>IF(包装物料出入库明细!$E356="","",包装物料出入库明细!$G356)</f>
        <v/>
      </c>
      <c r="K356" t="str">
        <f>IF(包装物料出入库明细!$D356="","",包装物料出入库明细!$D356)</f>
        <v/>
      </c>
      <c r="L356">
        <f t="shared" si="204"/>
        <v>0</v>
      </c>
      <c r="M356">
        <f t="shared" si="205"/>
        <v>9</v>
      </c>
      <c r="Q356" t="str">
        <f>IF(周转筐出入库明细!$D357="","",周转筐出入库明细!$D357)</f>
        <v/>
      </c>
      <c r="R356">
        <f t="shared" si="206"/>
        <v>0</v>
      </c>
      <c r="S356">
        <f t="shared" si="207"/>
        <v>5</v>
      </c>
      <c r="W356" t="str">
        <f>IF(周转筐出入库明细!$C357="","",周转筐出入库明细!$C357)</f>
        <v/>
      </c>
      <c r="X356">
        <f t="shared" si="208"/>
        <v>0</v>
      </c>
      <c r="Y356">
        <f t="shared" si="209"/>
        <v>12</v>
      </c>
      <c r="AC356" t="str">
        <f>IF(客户自备加工筐明细!$C356="","",客户自备加工筐明细!$C356)</f>
        <v/>
      </c>
      <c r="AD356">
        <f t="shared" si="210"/>
        <v>0</v>
      </c>
      <c r="AE356">
        <f t="shared" si="211"/>
        <v>1</v>
      </c>
      <c r="AI356" t="str">
        <f>IF(客户自备加工筐明细!$E356="","",客户自备加工筐明细!$E356)</f>
        <v/>
      </c>
      <c r="AJ356">
        <f t="shared" si="212"/>
        <v>0</v>
      </c>
      <c r="AK356">
        <f t="shared" si="213"/>
        <v>1</v>
      </c>
      <c r="AO356" t="str">
        <f>IF(次果筐明细!$D356="","",次果筐明细!$D356)</f>
        <v/>
      </c>
      <c r="AP356">
        <f t="shared" si="214"/>
        <v>0</v>
      </c>
      <c r="AQ356">
        <f t="shared" si="215"/>
        <v>1</v>
      </c>
      <c r="AU356" t="str">
        <f>IF(次果筐明细!$C356="","",次果筐明细!$C356)</f>
        <v/>
      </c>
      <c r="AV356">
        <f t="shared" si="216"/>
        <v>0</v>
      </c>
      <c r="AW356">
        <f t="shared" si="217"/>
        <v>1</v>
      </c>
      <c r="BS356" t="str">
        <f t="shared" si="225"/>
        <v/>
      </c>
      <c r="BT356">
        <f t="shared" si="218"/>
        <v>0</v>
      </c>
      <c r="BU356">
        <f t="shared" si="219"/>
        <v>14</v>
      </c>
      <c r="BY356" t="str">
        <f t="shared" si="226"/>
        <v/>
      </c>
      <c r="BZ356">
        <f t="shared" si="220"/>
        <v>0</v>
      </c>
      <c r="CA356">
        <f t="shared" si="221"/>
        <v>16</v>
      </c>
      <c r="CP356">
        <f>IF(包装物料出入库明细!$D356="",0,1)</f>
        <v>0</v>
      </c>
      <c r="CQ356">
        <f t="shared" si="222"/>
        <v>37</v>
      </c>
      <c r="CS356" t="str">
        <f>IF(OR(周转筐出入库明细!$C357="",周转筐出入库明细!$F357&lt;&gt;"采购入库"),"",周转筐出入库明细!$C357)</f>
        <v/>
      </c>
      <c r="CT356">
        <f t="shared" si="223"/>
        <v>0</v>
      </c>
      <c r="CU356">
        <f t="shared" si="224"/>
        <v>1</v>
      </c>
    </row>
    <row r="357" spans="1:99">
      <c r="A357" t="str">
        <f>IF(包装物料出入库明细!$E357="","",包装物料出入库明细!$E357)</f>
        <v/>
      </c>
      <c r="B357">
        <f t="shared" si="202"/>
        <v>0</v>
      </c>
      <c r="C357">
        <f t="shared" si="203"/>
        <v>7</v>
      </c>
      <c r="D357" t="str">
        <f>IF(包装物料出入库明细!$E357="","",包装物料出入库明细!$F357)</f>
        <v/>
      </c>
      <c r="E357" t="str">
        <f>IF(包装物料出入库明细!$E357="","",包装物料出入库明细!$G357)</f>
        <v/>
      </c>
      <c r="K357" t="str">
        <f>IF(包装物料出入库明细!$D357="","",包装物料出入库明细!$D357)</f>
        <v/>
      </c>
      <c r="L357">
        <f t="shared" si="204"/>
        <v>0</v>
      </c>
      <c r="M357">
        <f t="shared" si="205"/>
        <v>9</v>
      </c>
      <c r="Q357" t="str">
        <f>IF(周转筐出入库明细!$D358="","",周转筐出入库明细!$D358)</f>
        <v/>
      </c>
      <c r="R357">
        <f t="shared" si="206"/>
        <v>0</v>
      </c>
      <c r="S357">
        <f t="shared" si="207"/>
        <v>5</v>
      </c>
      <c r="W357" t="str">
        <f>IF(周转筐出入库明细!$C358="","",周转筐出入库明细!$C358)</f>
        <v/>
      </c>
      <c r="X357">
        <f t="shared" si="208"/>
        <v>0</v>
      </c>
      <c r="Y357">
        <f t="shared" si="209"/>
        <v>12</v>
      </c>
      <c r="AC357" t="str">
        <f>IF(客户自备加工筐明细!$C357="","",客户自备加工筐明细!$C357)</f>
        <v/>
      </c>
      <c r="AD357">
        <f t="shared" si="210"/>
        <v>0</v>
      </c>
      <c r="AE357">
        <f t="shared" si="211"/>
        <v>1</v>
      </c>
      <c r="AI357" t="str">
        <f>IF(客户自备加工筐明细!$E357="","",客户自备加工筐明细!$E357)</f>
        <v/>
      </c>
      <c r="AJ357">
        <f t="shared" si="212"/>
        <v>0</v>
      </c>
      <c r="AK357">
        <f t="shared" si="213"/>
        <v>1</v>
      </c>
      <c r="AO357" t="str">
        <f>IF(次果筐明细!$D357="","",次果筐明细!$D357)</f>
        <v/>
      </c>
      <c r="AP357">
        <f t="shared" si="214"/>
        <v>0</v>
      </c>
      <c r="AQ357">
        <f t="shared" si="215"/>
        <v>1</v>
      </c>
      <c r="AU357" t="str">
        <f>IF(次果筐明细!$C357="","",次果筐明细!$C357)</f>
        <v/>
      </c>
      <c r="AV357">
        <f t="shared" si="216"/>
        <v>0</v>
      </c>
      <c r="AW357">
        <f t="shared" si="217"/>
        <v>1</v>
      </c>
      <c r="BS357" t="str">
        <f t="shared" si="225"/>
        <v/>
      </c>
      <c r="BT357">
        <f t="shared" si="218"/>
        <v>0</v>
      </c>
      <c r="BU357">
        <f t="shared" si="219"/>
        <v>14</v>
      </c>
      <c r="BY357" t="str">
        <f t="shared" si="226"/>
        <v/>
      </c>
      <c r="BZ357">
        <f t="shared" si="220"/>
        <v>0</v>
      </c>
      <c r="CA357">
        <f t="shared" si="221"/>
        <v>16</v>
      </c>
      <c r="CP357">
        <f>IF(包装物料出入库明细!$D357="",0,1)</f>
        <v>0</v>
      </c>
      <c r="CQ357">
        <f t="shared" si="222"/>
        <v>37</v>
      </c>
      <c r="CS357" t="str">
        <f>IF(OR(周转筐出入库明细!$C358="",周转筐出入库明细!$F358&lt;&gt;"采购入库"),"",周转筐出入库明细!$C358)</f>
        <v/>
      </c>
      <c r="CT357">
        <f t="shared" si="223"/>
        <v>0</v>
      </c>
      <c r="CU357">
        <f t="shared" si="224"/>
        <v>1</v>
      </c>
    </row>
    <row r="358" spans="1:99">
      <c r="A358" t="str">
        <f>IF(包装物料出入库明细!$E358="","",包装物料出入库明细!$E358)</f>
        <v/>
      </c>
      <c r="B358">
        <f t="shared" si="202"/>
        <v>0</v>
      </c>
      <c r="C358">
        <f t="shared" si="203"/>
        <v>7</v>
      </c>
      <c r="D358" t="str">
        <f>IF(包装物料出入库明细!$E358="","",包装物料出入库明细!$F358)</f>
        <v/>
      </c>
      <c r="E358" t="str">
        <f>IF(包装物料出入库明细!$E358="","",包装物料出入库明细!$G358)</f>
        <v/>
      </c>
      <c r="K358" t="str">
        <f>IF(包装物料出入库明细!$D358="","",包装物料出入库明细!$D358)</f>
        <v/>
      </c>
      <c r="L358">
        <f t="shared" si="204"/>
        <v>0</v>
      </c>
      <c r="M358">
        <f t="shared" si="205"/>
        <v>9</v>
      </c>
      <c r="Q358" t="str">
        <f>IF(周转筐出入库明细!$D359="","",周转筐出入库明细!$D359)</f>
        <v/>
      </c>
      <c r="R358">
        <f t="shared" si="206"/>
        <v>0</v>
      </c>
      <c r="S358">
        <f t="shared" si="207"/>
        <v>5</v>
      </c>
      <c r="W358" t="str">
        <f>IF(周转筐出入库明细!$C359="","",周转筐出入库明细!$C359)</f>
        <v/>
      </c>
      <c r="X358">
        <f t="shared" si="208"/>
        <v>0</v>
      </c>
      <c r="Y358">
        <f t="shared" si="209"/>
        <v>12</v>
      </c>
      <c r="AC358" t="str">
        <f>IF(客户自备加工筐明细!$C358="","",客户自备加工筐明细!$C358)</f>
        <v/>
      </c>
      <c r="AD358">
        <f t="shared" si="210"/>
        <v>0</v>
      </c>
      <c r="AE358">
        <f t="shared" si="211"/>
        <v>1</v>
      </c>
      <c r="AI358" t="str">
        <f>IF(客户自备加工筐明细!$E358="","",客户自备加工筐明细!$E358)</f>
        <v/>
      </c>
      <c r="AJ358">
        <f t="shared" si="212"/>
        <v>0</v>
      </c>
      <c r="AK358">
        <f t="shared" si="213"/>
        <v>1</v>
      </c>
      <c r="AO358" t="str">
        <f>IF(次果筐明细!$D358="","",次果筐明细!$D358)</f>
        <v/>
      </c>
      <c r="AP358">
        <f t="shared" si="214"/>
        <v>0</v>
      </c>
      <c r="AQ358">
        <f t="shared" si="215"/>
        <v>1</v>
      </c>
      <c r="AU358" t="str">
        <f>IF(次果筐明细!$C358="","",次果筐明细!$C358)</f>
        <v/>
      </c>
      <c r="AV358">
        <f t="shared" si="216"/>
        <v>0</v>
      </c>
      <c r="AW358">
        <f t="shared" si="217"/>
        <v>1</v>
      </c>
      <c r="BS358" t="str">
        <f t="shared" si="225"/>
        <v/>
      </c>
      <c r="BT358">
        <f t="shared" si="218"/>
        <v>0</v>
      </c>
      <c r="BU358">
        <f t="shared" si="219"/>
        <v>14</v>
      </c>
      <c r="BY358" t="str">
        <f t="shared" si="226"/>
        <v/>
      </c>
      <c r="BZ358">
        <f t="shared" si="220"/>
        <v>0</v>
      </c>
      <c r="CA358">
        <f t="shared" si="221"/>
        <v>16</v>
      </c>
      <c r="CP358">
        <f>IF(包装物料出入库明细!$D358="",0,1)</f>
        <v>0</v>
      </c>
      <c r="CQ358">
        <f t="shared" si="222"/>
        <v>37</v>
      </c>
      <c r="CS358" t="str">
        <f>IF(OR(周转筐出入库明细!$C359="",周转筐出入库明细!$F359&lt;&gt;"采购入库"),"",周转筐出入库明细!$C359)</f>
        <v/>
      </c>
      <c r="CT358">
        <f t="shared" si="223"/>
        <v>0</v>
      </c>
      <c r="CU358">
        <f t="shared" si="224"/>
        <v>1</v>
      </c>
    </row>
    <row r="359" spans="1:99">
      <c r="A359" t="str">
        <f>IF(包装物料出入库明细!$E359="","",包装物料出入库明细!$E359)</f>
        <v/>
      </c>
      <c r="B359">
        <f t="shared" si="202"/>
        <v>0</v>
      </c>
      <c r="C359">
        <f t="shared" si="203"/>
        <v>7</v>
      </c>
      <c r="D359" t="str">
        <f>IF(包装物料出入库明细!$E359="","",包装物料出入库明细!$F359)</f>
        <v/>
      </c>
      <c r="E359" t="str">
        <f>IF(包装物料出入库明细!$E359="","",包装物料出入库明细!$G359)</f>
        <v/>
      </c>
      <c r="K359" t="str">
        <f>IF(包装物料出入库明细!$D359="","",包装物料出入库明细!$D359)</f>
        <v/>
      </c>
      <c r="L359">
        <f t="shared" si="204"/>
        <v>0</v>
      </c>
      <c r="M359">
        <f t="shared" si="205"/>
        <v>9</v>
      </c>
      <c r="Q359" t="str">
        <f>IF(周转筐出入库明细!$D360="","",周转筐出入库明细!$D360)</f>
        <v/>
      </c>
      <c r="R359">
        <f t="shared" si="206"/>
        <v>0</v>
      </c>
      <c r="S359">
        <f t="shared" si="207"/>
        <v>5</v>
      </c>
      <c r="W359" t="str">
        <f>IF(周转筐出入库明细!$C360="","",周转筐出入库明细!$C360)</f>
        <v/>
      </c>
      <c r="X359">
        <f t="shared" si="208"/>
        <v>0</v>
      </c>
      <c r="Y359">
        <f t="shared" si="209"/>
        <v>12</v>
      </c>
      <c r="AC359" t="str">
        <f>IF(客户自备加工筐明细!$C359="","",客户自备加工筐明细!$C359)</f>
        <v/>
      </c>
      <c r="AD359">
        <f t="shared" si="210"/>
        <v>0</v>
      </c>
      <c r="AE359">
        <f t="shared" si="211"/>
        <v>1</v>
      </c>
      <c r="AI359" t="str">
        <f>IF(客户自备加工筐明细!$E359="","",客户自备加工筐明细!$E359)</f>
        <v/>
      </c>
      <c r="AJ359">
        <f t="shared" si="212"/>
        <v>0</v>
      </c>
      <c r="AK359">
        <f t="shared" si="213"/>
        <v>1</v>
      </c>
      <c r="AO359" t="str">
        <f>IF(次果筐明细!$D359="","",次果筐明细!$D359)</f>
        <v/>
      </c>
      <c r="AP359">
        <f t="shared" si="214"/>
        <v>0</v>
      </c>
      <c r="AQ359">
        <f t="shared" si="215"/>
        <v>1</v>
      </c>
      <c r="AU359" t="str">
        <f>IF(次果筐明细!$C359="","",次果筐明细!$C359)</f>
        <v/>
      </c>
      <c r="AV359">
        <f t="shared" si="216"/>
        <v>0</v>
      </c>
      <c r="AW359">
        <f t="shared" si="217"/>
        <v>1</v>
      </c>
      <c r="BS359" t="str">
        <f t="shared" si="225"/>
        <v/>
      </c>
      <c r="BT359">
        <f t="shared" si="218"/>
        <v>0</v>
      </c>
      <c r="BU359">
        <f t="shared" si="219"/>
        <v>14</v>
      </c>
      <c r="BY359" t="str">
        <f t="shared" si="226"/>
        <v/>
      </c>
      <c r="BZ359">
        <f t="shared" si="220"/>
        <v>0</v>
      </c>
      <c r="CA359">
        <f t="shared" si="221"/>
        <v>16</v>
      </c>
      <c r="CP359">
        <f>IF(包装物料出入库明细!$D359="",0,1)</f>
        <v>0</v>
      </c>
      <c r="CQ359">
        <f t="shared" si="222"/>
        <v>37</v>
      </c>
      <c r="CS359" t="str">
        <f>IF(OR(周转筐出入库明细!$C360="",周转筐出入库明细!$F360&lt;&gt;"采购入库"),"",周转筐出入库明细!$C360)</f>
        <v/>
      </c>
      <c r="CT359">
        <f t="shared" si="223"/>
        <v>0</v>
      </c>
      <c r="CU359">
        <f t="shared" si="224"/>
        <v>1</v>
      </c>
    </row>
    <row r="360" spans="1:99">
      <c r="A360" t="str">
        <f>IF(包装物料出入库明细!$E360="","",包装物料出入库明细!$E360)</f>
        <v/>
      </c>
      <c r="B360">
        <f t="shared" si="202"/>
        <v>0</v>
      </c>
      <c r="C360">
        <f t="shared" si="203"/>
        <v>7</v>
      </c>
      <c r="D360" t="str">
        <f>IF(包装物料出入库明细!$E360="","",包装物料出入库明细!$F360)</f>
        <v/>
      </c>
      <c r="E360" t="str">
        <f>IF(包装物料出入库明细!$E360="","",包装物料出入库明细!$G360)</f>
        <v/>
      </c>
      <c r="K360" t="str">
        <f>IF(包装物料出入库明细!$D360="","",包装物料出入库明细!$D360)</f>
        <v/>
      </c>
      <c r="L360">
        <f t="shared" si="204"/>
        <v>0</v>
      </c>
      <c r="M360">
        <f t="shared" si="205"/>
        <v>9</v>
      </c>
      <c r="Q360" t="str">
        <f>IF(周转筐出入库明细!$D361="","",周转筐出入库明细!$D361)</f>
        <v/>
      </c>
      <c r="R360">
        <f t="shared" si="206"/>
        <v>0</v>
      </c>
      <c r="S360">
        <f t="shared" si="207"/>
        <v>5</v>
      </c>
      <c r="W360" t="str">
        <f>IF(周转筐出入库明细!$C361="","",周转筐出入库明细!$C361)</f>
        <v/>
      </c>
      <c r="X360">
        <f t="shared" si="208"/>
        <v>0</v>
      </c>
      <c r="Y360">
        <f t="shared" si="209"/>
        <v>12</v>
      </c>
      <c r="AC360" t="str">
        <f>IF(客户自备加工筐明细!$C360="","",客户自备加工筐明细!$C360)</f>
        <v/>
      </c>
      <c r="AD360">
        <f t="shared" si="210"/>
        <v>0</v>
      </c>
      <c r="AE360">
        <f t="shared" si="211"/>
        <v>1</v>
      </c>
      <c r="AI360" t="str">
        <f>IF(客户自备加工筐明细!$E360="","",客户自备加工筐明细!$E360)</f>
        <v/>
      </c>
      <c r="AJ360">
        <f t="shared" si="212"/>
        <v>0</v>
      </c>
      <c r="AK360">
        <f t="shared" si="213"/>
        <v>1</v>
      </c>
      <c r="AO360" t="str">
        <f>IF(次果筐明细!$D360="","",次果筐明细!$D360)</f>
        <v/>
      </c>
      <c r="AP360">
        <f t="shared" si="214"/>
        <v>0</v>
      </c>
      <c r="AQ360">
        <f t="shared" si="215"/>
        <v>1</v>
      </c>
      <c r="AU360" t="str">
        <f>IF(次果筐明细!$C360="","",次果筐明细!$C360)</f>
        <v/>
      </c>
      <c r="AV360">
        <f t="shared" si="216"/>
        <v>0</v>
      </c>
      <c r="AW360">
        <f t="shared" si="217"/>
        <v>1</v>
      </c>
      <c r="BS360" t="str">
        <f t="shared" si="225"/>
        <v/>
      </c>
      <c r="BT360">
        <f t="shared" si="218"/>
        <v>0</v>
      </c>
      <c r="BU360">
        <f t="shared" si="219"/>
        <v>14</v>
      </c>
      <c r="BY360" t="str">
        <f t="shared" si="226"/>
        <v/>
      </c>
      <c r="BZ360">
        <f t="shared" si="220"/>
        <v>0</v>
      </c>
      <c r="CA360">
        <f t="shared" si="221"/>
        <v>16</v>
      </c>
      <c r="CP360">
        <f>IF(包装物料出入库明细!$D360="",0,1)</f>
        <v>0</v>
      </c>
      <c r="CQ360">
        <f t="shared" si="222"/>
        <v>37</v>
      </c>
      <c r="CS360" t="str">
        <f>IF(OR(周转筐出入库明细!$C361="",周转筐出入库明细!$F361&lt;&gt;"采购入库"),"",周转筐出入库明细!$C361)</f>
        <v/>
      </c>
      <c r="CT360">
        <f t="shared" si="223"/>
        <v>0</v>
      </c>
      <c r="CU360">
        <f t="shared" si="224"/>
        <v>1</v>
      </c>
    </row>
    <row r="361" spans="1:99">
      <c r="A361" t="str">
        <f>IF(包装物料出入库明细!$E361="","",包装物料出入库明细!$E361)</f>
        <v/>
      </c>
      <c r="B361">
        <f t="shared" si="202"/>
        <v>0</v>
      </c>
      <c r="C361">
        <f t="shared" si="203"/>
        <v>7</v>
      </c>
      <c r="D361" t="str">
        <f>IF(包装物料出入库明细!$E361="","",包装物料出入库明细!$F361)</f>
        <v/>
      </c>
      <c r="E361" t="str">
        <f>IF(包装物料出入库明细!$E361="","",包装物料出入库明细!$G361)</f>
        <v/>
      </c>
      <c r="K361" t="str">
        <f>IF(包装物料出入库明细!$D361="","",包装物料出入库明细!$D361)</f>
        <v/>
      </c>
      <c r="L361">
        <f t="shared" si="204"/>
        <v>0</v>
      </c>
      <c r="M361">
        <f t="shared" si="205"/>
        <v>9</v>
      </c>
      <c r="Q361" t="str">
        <f>IF(周转筐出入库明细!$D362="","",周转筐出入库明细!$D362)</f>
        <v/>
      </c>
      <c r="R361">
        <f t="shared" si="206"/>
        <v>0</v>
      </c>
      <c r="S361">
        <f t="shared" si="207"/>
        <v>5</v>
      </c>
      <c r="W361" t="str">
        <f>IF(周转筐出入库明细!$C362="","",周转筐出入库明细!$C362)</f>
        <v/>
      </c>
      <c r="X361">
        <f t="shared" si="208"/>
        <v>0</v>
      </c>
      <c r="Y361">
        <f t="shared" si="209"/>
        <v>12</v>
      </c>
      <c r="AC361" t="str">
        <f>IF(客户自备加工筐明细!$C361="","",客户自备加工筐明细!$C361)</f>
        <v/>
      </c>
      <c r="AD361">
        <f t="shared" si="210"/>
        <v>0</v>
      </c>
      <c r="AE361">
        <f t="shared" si="211"/>
        <v>1</v>
      </c>
      <c r="AI361" t="str">
        <f>IF(客户自备加工筐明细!$E361="","",客户自备加工筐明细!$E361)</f>
        <v/>
      </c>
      <c r="AJ361">
        <f t="shared" si="212"/>
        <v>0</v>
      </c>
      <c r="AK361">
        <f t="shared" si="213"/>
        <v>1</v>
      </c>
      <c r="AO361" t="str">
        <f>IF(次果筐明细!$D361="","",次果筐明细!$D361)</f>
        <v/>
      </c>
      <c r="AP361">
        <f t="shared" si="214"/>
        <v>0</v>
      </c>
      <c r="AQ361">
        <f t="shared" si="215"/>
        <v>1</v>
      </c>
      <c r="AU361" t="str">
        <f>IF(次果筐明细!$C361="","",次果筐明细!$C361)</f>
        <v/>
      </c>
      <c r="AV361">
        <f t="shared" si="216"/>
        <v>0</v>
      </c>
      <c r="AW361">
        <f t="shared" si="217"/>
        <v>1</v>
      </c>
      <c r="BS361" t="str">
        <f t="shared" si="225"/>
        <v/>
      </c>
      <c r="BT361">
        <f t="shared" si="218"/>
        <v>0</v>
      </c>
      <c r="BU361">
        <f t="shared" si="219"/>
        <v>14</v>
      </c>
      <c r="BY361" t="str">
        <f t="shared" si="226"/>
        <v/>
      </c>
      <c r="BZ361">
        <f t="shared" si="220"/>
        <v>0</v>
      </c>
      <c r="CA361">
        <f t="shared" si="221"/>
        <v>16</v>
      </c>
      <c r="CP361">
        <f>IF(包装物料出入库明细!$D361="",0,1)</f>
        <v>0</v>
      </c>
      <c r="CQ361">
        <f t="shared" si="222"/>
        <v>37</v>
      </c>
      <c r="CS361" t="str">
        <f>IF(OR(周转筐出入库明细!$C362="",周转筐出入库明细!$F362&lt;&gt;"采购入库"),"",周转筐出入库明细!$C362)</f>
        <v/>
      </c>
      <c r="CT361">
        <f t="shared" si="223"/>
        <v>0</v>
      </c>
      <c r="CU361">
        <f t="shared" si="224"/>
        <v>1</v>
      </c>
    </row>
    <row r="362" spans="1:99">
      <c r="A362" t="str">
        <f>IF(包装物料出入库明细!$E362="","",包装物料出入库明细!$E362)</f>
        <v/>
      </c>
      <c r="B362">
        <f t="shared" si="202"/>
        <v>0</v>
      </c>
      <c r="C362">
        <f t="shared" si="203"/>
        <v>7</v>
      </c>
      <c r="D362" t="str">
        <f>IF(包装物料出入库明细!$E362="","",包装物料出入库明细!$F362)</f>
        <v/>
      </c>
      <c r="E362" t="str">
        <f>IF(包装物料出入库明细!$E362="","",包装物料出入库明细!$G362)</f>
        <v/>
      </c>
      <c r="K362" t="str">
        <f>IF(包装物料出入库明细!$D362="","",包装物料出入库明细!$D362)</f>
        <v/>
      </c>
      <c r="L362">
        <f t="shared" si="204"/>
        <v>0</v>
      </c>
      <c r="M362">
        <f t="shared" si="205"/>
        <v>9</v>
      </c>
      <c r="Q362" t="str">
        <f>IF(周转筐出入库明细!$D363="","",周转筐出入库明细!$D363)</f>
        <v/>
      </c>
      <c r="R362">
        <f t="shared" si="206"/>
        <v>0</v>
      </c>
      <c r="S362">
        <f t="shared" si="207"/>
        <v>5</v>
      </c>
      <c r="W362" t="str">
        <f>IF(周转筐出入库明细!$C363="","",周转筐出入库明细!$C363)</f>
        <v/>
      </c>
      <c r="X362">
        <f t="shared" si="208"/>
        <v>0</v>
      </c>
      <c r="Y362">
        <f t="shared" si="209"/>
        <v>12</v>
      </c>
      <c r="AC362" t="str">
        <f>IF(客户自备加工筐明细!$C362="","",客户自备加工筐明细!$C362)</f>
        <v/>
      </c>
      <c r="AD362">
        <f t="shared" si="210"/>
        <v>0</v>
      </c>
      <c r="AE362">
        <f t="shared" si="211"/>
        <v>1</v>
      </c>
      <c r="AI362" t="str">
        <f>IF(客户自备加工筐明细!$E362="","",客户自备加工筐明细!$E362)</f>
        <v/>
      </c>
      <c r="AJ362">
        <f t="shared" si="212"/>
        <v>0</v>
      </c>
      <c r="AK362">
        <f t="shared" si="213"/>
        <v>1</v>
      </c>
      <c r="AO362" t="str">
        <f>IF(次果筐明细!$D362="","",次果筐明细!$D362)</f>
        <v/>
      </c>
      <c r="AP362">
        <f t="shared" si="214"/>
        <v>0</v>
      </c>
      <c r="AQ362">
        <f t="shared" si="215"/>
        <v>1</v>
      </c>
      <c r="AU362" t="str">
        <f>IF(次果筐明细!$C362="","",次果筐明细!$C362)</f>
        <v/>
      </c>
      <c r="AV362">
        <f t="shared" si="216"/>
        <v>0</v>
      </c>
      <c r="AW362">
        <f t="shared" si="217"/>
        <v>1</v>
      </c>
      <c r="BS362" t="str">
        <f t="shared" si="225"/>
        <v/>
      </c>
      <c r="BT362">
        <f t="shared" si="218"/>
        <v>0</v>
      </c>
      <c r="BU362">
        <f t="shared" si="219"/>
        <v>14</v>
      </c>
      <c r="BY362" t="str">
        <f t="shared" si="226"/>
        <v/>
      </c>
      <c r="BZ362">
        <f t="shared" si="220"/>
        <v>0</v>
      </c>
      <c r="CA362">
        <f t="shared" si="221"/>
        <v>16</v>
      </c>
      <c r="CP362">
        <f>IF(包装物料出入库明细!$D362="",0,1)</f>
        <v>0</v>
      </c>
      <c r="CQ362">
        <f t="shared" si="222"/>
        <v>37</v>
      </c>
      <c r="CS362" t="str">
        <f>IF(OR(周转筐出入库明细!$C363="",周转筐出入库明细!$F363&lt;&gt;"采购入库"),"",周转筐出入库明细!$C363)</f>
        <v/>
      </c>
      <c r="CT362">
        <f t="shared" si="223"/>
        <v>0</v>
      </c>
      <c r="CU362">
        <f t="shared" si="224"/>
        <v>1</v>
      </c>
    </row>
    <row r="363" spans="1:99">
      <c r="A363" t="str">
        <f>IF(包装物料出入库明细!$E363="","",包装物料出入库明细!$E363)</f>
        <v/>
      </c>
      <c r="B363">
        <f t="shared" si="202"/>
        <v>0</v>
      </c>
      <c r="C363">
        <f t="shared" si="203"/>
        <v>7</v>
      </c>
      <c r="D363" t="str">
        <f>IF(包装物料出入库明细!$E363="","",包装物料出入库明细!$F363)</f>
        <v/>
      </c>
      <c r="E363" t="str">
        <f>IF(包装物料出入库明细!$E363="","",包装物料出入库明细!$G363)</f>
        <v/>
      </c>
      <c r="K363" t="str">
        <f>IF(包装物料出入库明细!$D363="","",包装物料出入库明细!$D363)</f>
        <v/>
      </c>
      <c r="L363">
        <f t="shared" si="204"/>
        <v>0</v>
      </c>
      <c r="M363">
        <f t="shared" si="205"/>
        <v>9</v>
      </c>
      <c r="Q363" t="str">
        <f>IF(周转筐出入库明细!$D364="","",周转筐出入库明细!$D364)</f>
        <v/>
      </c>
      <c r="R363">
        <f t="shared" si="206"/>
        <v>0</v>
      </c>
      <c r="S363">
        <f t="shared" si="207"/>
        <v>5</v>
      </c>
      <c r="W363" t="str">
        <f>IF(周转筐出入库明细!$C364="","",周转筐出入库明细!$C364)</f>
        <v/>
      </c>
      <c r="X363">
        <f t="shared" si="208"/>
        <v>0</v>
      </c>
      <c r="Y363">
        <f t="shared" si="209"/>
        <v>12</v>
      </c>
      <c r="AC363" t="str">
        <f>IF(客户自备加工筐明细!$C363="","",客户自备加工筐明细!$C363)</f>
        <v/>
      </c>
      <c r="AD363">
        <f t="shared" si="210"/>
        <v>0</v>
      </c>
      <c r="AE363">
        <f t="shared" si="211"/>
        <v>1</v>
      </c>
      <c r="AI363" t="str">
        <f>IF(客户自备加工筐明细!$E363="","",客户自备加工筐明细!$E363)</f>
        <v/>
      </c>
      <c r="AJ363">
        <f t="shared" si="212"/>
        <v>0</v>
      </c>
      <c r="AK363">
        <f t="shared" si="213"/>
        <v>1</v>
      </c>
      <c r="AO363" t="str">
        <f>IF(次果筐明细!$D363="","",次果筐明细!$D363)</f>
        <v/>
      </c>
      <c r="AP363">
        <f t="shared" si="214"/>
        <v>0</v>
      </c>
      <c r="AQ363">
        <f t="shared" si="215"/>
        <v>1</v>
      </c>
      <c r="AU363" t="str">
        <f>IF(次果筐明细!$C363="","",次果筐明细!$C363)</f>
        <v/>
      </c>
      <c r="AV363">
        <f t="shared" si="216"/>
        <v>0</v>
      </c>
      <c r="AW363">
        <f t="shared" si="217"/>
        <v>1</v>
      </c>
      <c r="BS363" t="str">
        <f t="shared" si="225"/>
        <v/>
      </c>
      <c r="BT363">
        <f t="shared" si="218"/>
        <v>0</v>
      </c>
      <c r="BU363">
        <f t="shared" si="219"/>
        <v>14</v>
      </c>
      <c r="BY363" t="str">
        <f t="shared" si="226"/>
        <v/>
      </c>
      <c r="BZ363">
        <f t="shared" si="220"/>
        <v>0</v>
      </c>
      <c r="CA363">
        <f t="shared" si="221"/>
        <v>16</v>
      </c>
      <c r="CP363">
        <f>IF(包装物料出入库明细!$D363="",0,1)</f>
        <v>0</v>
      </c>
      <c r="CQ363">
        <f t="shared" si="222"/>
        <v>37</v>
      </c>
      <c r="CS363" t="str">
        <f>IF(OR(周转筐出入库明细!$C364="",周转筐出入库明细!$F364&lt;&gt;"采购入库"),"",周转筐出入库明细!$C364)</f>
        <v/>
      </c>
      <c r="CT363">
        <f t="shared" si="223"/>
        <v>0</v>
      </c>
      <c r="CU363">
        <f t="shared" si="224"/>
        <v>1</v>
      </c>
    </row>
    <row r="364" spans="1:99">
      <c r="A364" t="str">
        <f>IF(包装物料出入库明细!$E364="","",包装物料出入库明细!$E364)</f>
        <v/>
      </c>
      <c r="B364">
        <f t="shared" si="202"/>
        <v>0</v>
      </c>
      <c r="C364">
        <f t="shared" si="203"/>
        <v>7</v>
      </c>
      <c r="D364" t="str">
        <f>IF(包装物料出入库明细!$E364="","",包装物料出入库明细!$F364)</f>
        <v/>
      </c>
      <c r="E364" t="str">
        <f>IF(包装物料出入库明细!$E364="","",包装物料出入库明细!$G364)</f>
        <v/>
      </c>
      <c r="K364" t="str">
        <f>IF(包装物料出入库明细!$D364="","",包装物料出入库明细!$D364)</f>
        <v/>
      </c>
      <c r="L364">
        <f t="shared" si="204"/>
        <v>0</v>
      </c>
      <c r="M364">
        <f t="shared" si="205"/>
        <v>9</v>
      </c>
      <c r="Q364" t="str">
        <f>IF(周转筐出入库明细!$D365="","",周转筐出入库明细!$D365)</f>
        <v/>
      </c>
      <c r="R364">
        <f t="shared" si="206"/>
        <v>0</v>
      </c>
      <c r="S364">
        <f t="shared" si="207"/>
        <v>5</v>
      </c>
      <c r="W364" t="str">
        <f>IF(周转筐出入库明细!$C365="","",周转筐出入库明细!$C365)</f>
        <v/>
      </c>
      <c r="X364">
        <f t="shared" si="208"/>
        <v>0</v>
      </c>
      <c r="Y364">
        <f t="shared" si="209"/>
        <v>12</v>
      </c>
      <c r="AC364" t="str">
        <f>IF(客户自备加工筐明细!$C364="","",客户自备加工筐明细!$C364)</f>
        <v/>
      </c>
      <c r="AD364">
        <f t="shared" si="210"/>
        <v>0</v>
      </c>
      <c r="AE364">
        <f t="shared" si="211"/>
        <v>1</v>
      </c>
      <c r="AI364" t="str">
        <f>IF(客户自备加工筐明细!$E364="","",客户自备加工筐明细!$E364)</f>
        <v/>
      </c>
      <c r="AJ364">
        <f t="shared" si="212"/>
        <v>0</v>
      </c>
      <c r="AK364">
        <f t="shared" si="213"/>
        <v>1</v>
      </c>
      <c r="AO364" t="str">
        <f>IF(次果筐明细!$D364="","",次果筐明细!$D364)</f>
        <v/>
      </c>
      <c r="AP364">
        <f t="shared" si="214"/>
        <v>0</v>
      </c>
      <c r="AQ364">
        <f t="shared" si="215"/>
        <v>1</v>
      </c>
      <c r="AU364" t="str">
        <f>IF(次果筐明细!$C364="","",次果筐明细!$C364)</f>
        <v/>
      </c>
      <c r="AV364">
        <f t="shared" si="216"/>
        <v>0</v>
      </c>
      <c r="AW364">
        <f t="shared" si="217"/>
        <v>1</v>
      </c>
      <c r="BS364" t="str">
        <f t="shared" si="225"/>
        <v/>
      </c>
      <c r="BT364">
        <f t="shared" si="218"/>
        <v>0</v>
      </c>
      <c r="BU364">
        <f t="shared" si="219"/>
        <v>14</v>
      </c>
      <c r="BY364" t="str">
        <f t="shared" si="226"/>
        <v/>
      </c>
      <c r="BZ364">
        <f t="shared" si="220"/>
        <v>0</v>
      </c>
      <c r="CA364">
        <f t="shared" si="221"/>
        <v>16</v>
      </c>
      <c r="CP364">
        <f>IF(包装物料出入库明细!$D364="",0,1)</f>
        <v>0</v>
      </c>
      <c r="CQ364">
        <f t="shared" si="222"/>
        <v>37</v>
      </c>
      <c r="CS364" t="str">
        <f>IF(OR(周转筐出入库明细!$C365="",周转筐出入库明细!$F365&lt;&gt;"采购入库"),"",周转筐出入库明细!$C365)</f>
        <v/>
      </c>
      <c r="CT364">
        <f t="shared" si="223"/>
        <v>0</v>
      </c>
      <c r="CU364">
        <f t="shared" si="224"/>
        <v>1</v>
      </c>
    </row>
    <row r="365" spans="1:99">
      <c r="A365" t="str">
        <f>IF(包装物料出入库明细!$E365="","",包装物料出入库明细!$E365)</f>
        <v/>
      </c>
      <c r="B365">
        <f t="shared" si="202"/>
        <v>0</v>
      </c>
      <c r="C365">
        <f t="shared" si="203"/>
        <v>7</v>
      </c>
      <c r="D365" t="str">
        <f>IF(包装物料出入库明细!$E365="","",包装物料出入库明细!$F365)</f>
        <v/>
      </c>
      <c r="E365" t="str">
        <f>IF(包装物料出入库明细!$E365="","",包装物料出入库明细!$G365)</f>
        <v/>
      </c>
      <c r="K365" t="str">
        <f>IF(包装物料出入库明细!$D365="","",包装物料出入库明细!$D365)</f>
        <v/>
      </c>
      <c r="L365">
        <f t="shared" si="204"/>
        <v>0</v>
      </c>
      <c r="M365">
        <f t="shared" si="205"/>
        <v>9</v>
      </c>
      <c r="Q365" t="str">
        <f>IF(周转筐出入库明细!$D366="","",周转筐出入库明细!$D366)</f>
        <v/>
      </c>
      <c r="R365">
        <f t="shared" si="206"/>
        <v>0</v>
      </c>
      <c r="S365">
        <f t="shared" si="207"/>
        <v>5</v>
      </c>
      <c r="W365" t="str">
        <f>IF(周转筐出入库明细!$C366="","",周转筐出入库明细!$C366)</f>
        <v/>
      </c>
      <c r="X365">
        <f t="shared" si="208"/>
        <v>0</v>
      </c>
      <c r="Y365">
        <f t="shared" si="209"/>
        <v>12</v>
      </c>
      <c r="AC365" t="str">
        <f>IF(客户自备加工筐明细!$C365="","",客户自备加工筐明细!$C365)</f>
        <v/>
      </c>
      <c r="AD365">
        <f t="shared" si="210"/>
        <v>0</v>
      </c>
      <c r="AE365">
        <f t="shared" si="211"/>
        <v>1</v>
      </c>
      <c r="AI365" t="str">
        <f>IF(客户自备加工筐明细!$E365="","",客户自备加工筐明细!$E365)</f>
        <v/>
      </c>
      <c r="AJ365">
        <f t="shared" si="212"/>
        <v>0</v>
      </c>
      <c r="AK365">
        <f t="shared" si="213"/>
        <v>1</v>
      </c>
      <c r="AO365" t="str">
        <f>IF(次果筐明细!$D365="","",次果筐明细!$D365)</f>
        <v/>
      </c>
      <c r="AP365">
        <f t="shared" si="214"/>
        <v>0</v>
      </c>
      <c r="AQ365">
        <f t="shared" si="215"/>
        <v>1</v>
      </c>
      <c r="AU365" t="str">
        <f>IF(次果筐明细!$C365="","",次果筐明细!$C365)</f>
        <v/>
      </c>
      <c r="AV365">
        <f t="shared" si="216"/>
        <v>0</v>
      </c>
      <c r="AW365">
        <f t="shared" si="217"/>
        <v>1</v>
      </c>
      <c r="BS365" t="str">
        <f t="shared" si="225"/>
        <v/>
      </c>
      <c r="BT365">
        <f t="shared" si="218"/>
        <v>0</v>
      </c>
      <c r="BU365">
        <f t="shared" si="219"/>
        <v>14</v>
      </c>
      <c r="BY365" t="str">
        <f t="shared" si="226"/>
        <v/>
      </c>
      <c r="BZ365">
        <f t="shared" si="220"/>
        <v>0</v>
      </c>
      <c r="CA365">
        <f t="shared" si="221"/>
        <v>16</v>
      </c>
      <c r="CP365">
        <f>IF(包装物料出入库明细!$D365="",0,1)</f>
        <v>0</v>
      </c>
      <c r="CQ365">
        <f t="shared" si="222"/>
        <v>37</v>
      </c>
      <c r="CS365" t="str">
        <f>IF(OR(周转筐出入库明细!$C366="",周转筐出入库明细!$F366&lt;&gt;"采购入库"),"",周转筐出入库明细!$C366)</f>
        <v/>
      </c>
      <c r="CT365">
        <f t="shared" si="223"/>
        <v>0</v>
      </c>
      <c r="CU365">
        <f t="shared" si="224"/>
        <v>1</v>
      </c>
    </row>
    <row r="366" spans="1:99">
      <c r="A366" t="str">
        <f>IF(包装物料出入库明细!$E366="","",包装物料出入库明细!$E366)</f>
        <v/>
      </c>
      <c r="B366">
        <f t="shared" si="202"/>
        <v>0</v>
      </c>
      <c r="C366">
        <f t="shared" si="203"/>
        <v>7</v>
      </c>
      <c r="D366" t="str">
        <f>IF(包装物料出入库明细!$E366="","",包装物料出入库明细!$F366)</f>
        <v/>
      </c>
      <c r="E366" t="str">
        <f>IF(包装物料出入库明细!$E366="","",包装物料出入库明细!$G366)</f>
        <v/>
      </c>
      <c r="K366" t="str">
        <f>IF(包装物料出入库明细!$D366="","",包装物料出入库明细!$D366)</f>
        <v/>
      </c>
      <c r="L366">
        <f t="shared" si="204"/>
        <v>0</v>
      </c>
      <c r="M366">
        <f t="shared" si="205"/>
        <v>9</v>
      </c>
      <c r="Q366" t="str">
        <f>IF(周转筐出入库明细!$D367="","",周转筐出入库明细!$D367)</f>
        <v/>
      </c>
      <c r="R366">
        <f t="shared" si="206"/>
        <v>0</v>
      </c>
      <c r="S366">
        <f t="shared" si="207"/>
        <v>5</v>
      </c>
      <c r="W366" t="str">
        <f>IF(周转筐出入库明细!$C367="","",周转筐出入库明细!$C367)</f>
        <v/>
      </c>
      <c r="X366">
        <f t="shared" si="208"/>
        <v>0</v>
      </c>
      <c r="Y366">
        <f t="shared" si="209"/>
        <v>12</v>
      </c>
      <c r="AC366" t="str">
        <f>IF(客户自备加工筐明细!$C366="","",客户自备加工筐明细!$C366)</f>
        <v/>
      </c>
      <c r="AD366">
        <f t="shared" si="210"/>
        <v>0</v>
      </c>
      <c r="AE366">
        <f t="shared" si="211"/>
        <v>1</v>
      </c>
      <c r="AI366" t="str">
        <f>IF(客户自备加工筐明细!$E366="","",客户自备加工筐明细!$E366)</f>
        <v/>
      </c>
      <c r="AJ366">
        <f t="shared" si="212"/>
        <v>0</v>
      </c>
      <c r="AK366">
        <f t="shared" si="213"/>
        <v>1</v>
      </c>
      <c r="AO366" t="str">
        <f>IF(次果筐明细!$D366="","",次果筐明细!$D366)</f>
        <v/>
      </c>
      <c r="AP366">
        <f t="shared" si="214"/>
        <v>0</v>
      </c>
      <c r="AQ366">
        <f t="shared" si="215"/>
        <v>1</v>
      </c>
      <c r="AU366" t="str">
        <f>IF(次果筐明细!$C366="","",次果筐明细!$C366)</f>
        <v/>
      </c>
      <c r="AV366">
        <f t="shared" si="216"/>
        <v>0</v>
      </c>
      <c r="AW366">
        <f t="shared" si="217"/>
        <v>1</v>
      </c>
      <c r="BS366" t="str">
        <f t="shared" si="225"/>
        <v/>
      </c>
      <c r="BT366">
        <f t="shared" si="218"/>
        <v>0</v>
      </c>
      <c r="BU366">
        <f t="shared" si="219"/>
        <v>14</v>
      </c>
      <c r="BY366" t="str">
        <f t="shared" si="226"/>
        <v/>
      </c>
      <c r="BZ366">
        <f t="shared" si="220"/>
        <v>0</v>
      </c>
      <c r="CA366">
        <f t="shared" si="221"/>
        <v>16</v>
      </c>
      <c r="CP366">
        <f>IF(包装物料出入库明细!$D366="",0,1)</f>
        <v>0</v>
      </c>
      <c r="CQ366">
        <f t="shared" si="222"/>
        <v>37</v>
      </c>
      <c r="CS366" t="str">
        <f>IF(OR(周转筐出入库明细!$C367="",周转筐出入库明细!$F367&lt;&gt;"采购入库"),"",周转筐出入库明细!$C367)</f>
        <v/>
      </c>
      <c r="CT366">
        <f t="shared" si="223"/>
        <v>0</v>
      </c>
      <c r="CU366">
        <f t="shared" si="224"/>
        <v>1</v>
      </c>
    </row>
    <row r="367" spans="1:99">
      <c r="A367" t="str">
        <f>IF(包装物料出入库明细!$E367="","",包装物料出入库明细!$E367)</f>
        <v/>
      </c>
      <c r="B367">
        <f t="shared" si="202"/>
        <v>0</v>
      </c>
      <c r="C367">
        <f t="shared" si="203"/>
        <v>7</v>
      </c>
      <c r="D367" t="str">
        <f>IF(包装物料出入库明细!$E367="","",包装物料出入库明细!$F367)</f>
        <v/>
      </c>
      <c r="E367" t="str">
        <f>IF(包装物料出入库明细!$E367="","",包装物料出入库明细!$G367)</f>
        <v/>
      </c>
      <c r="K367" t="str">
        <f>IF(包装物料出入库明细!$D367="","",包装物料出入库明细!$D367)</f>
        <v/>
      </c>
      <c r="L367">
        <f t="shared" si="204"/>
        <v>0</v>
      </c>
      <c r="M367">
        <f t="shared" si="205"/>
        <v>9</v>
      </c>
      <c r="Q367" t="str">
        <f>IF(周转筐出入库明细!$D368="","",周转筐出入库明细!$D368)</f>
        <v/>
      </c>
      <c r="R367">
        <f t="shared" si="206"/>
        <v>0</v>
      </c>
      <c r="S367">
        <f t="shared" si="207"/>
        <v>5</v>
      </c>
      <c r="W367" t="str">
        <f>IF(周转筐出入库明细!$C368="","",周转筐出入库明细!$C368)</f>
        <v/>
      </c>
      <c r="X367">
        <f t="shared" si="208"/>
        <v>0</v>
      </c>
      <c r="Y367">
        <f t="shared" si="209"/>
        <v>12</v>
      </c>
      <c r="AC367" t="str">
        <f>IF(客户自备加工筐明细!$C367="","",客户自备加工筐明细!$C367)</f>
        <v/>
      </c>
      <c r="AD367">
        <f t="shared" si="210"/>
        <v>0</v>
      </c>
      <c r="AE367">
        <f t="shared" si="211"/>
        <v>1</v>
      </c>
      <c r="AI367" t="str">
        <f>IF(客户自备加工筐明细!$E367="","",客户自备加工筐明细!$E367)</f>
        <v/>
      </c>
      <c r="AJ367">
        <f t="shared" si="212"/>
        <v>0</v>
      </c>
      <c r="AK367">
        <f t="shared" si="213"/>
        <v>1</v>
      </c>
      <c r="AO367" t="str">
        <f>IF(次果筐明细!$D367="","",次果筐明细!$D367)</f>
        <v/>
      </c>
      <c r="AP367">
        <f t="shared" si="214"/>
        <v>0</v>
      </c>
      <c r="AQ367">
        <f t="shared" si="215"/>
        <v>1</v>
      </c>
      <c r="AU367" t="str">
        <f>IF(次果筐明细!$C367="","",次果筐明细!$C367)</f>
        <v/>
      </c>
      <c r="AV367">
        <f t="shared" si="216"/>
        <v>0</v>
      </c>
      <c r="AW367">
        <f t="shared" si="217"/>
        <v>1</v>
      </c>
      <c r="BS367" t="str">
        <f t="shared" si="225"/>
        <v/>
      </c>
      <c r="BT367">
        <f t="shared" si="218"/>
        <v>0</v>
      </c>
      <c r="BU367">
        <f t="shared" si="219"/>
        <v>14</v>
      </c>
      <c r="BY367" t="str">
        <f t="shared" si="226"/>
        <v/>
      </c>
      <c r="BZ367">
        <f t="shared" si="220"/>
        <v>0</v>
      </c>
      <c r="CA367">
        <f t="shared" si="221"/>
        <v>16</v>
      </c>
      <c r="CP367">
        <f>IF(包装物料出入库明细!$D367="",0,1)</f>
        <v>0</v>
      </c>
      <c r="CQ367">
        <f t="shared" si="222"/>
        <v>37</v>
      </c>
      <c r="CS367" t="str">
        <f>IF(OR(周转筐出入库明细!$C368="",周转筐出入库明细!$F368&lt;&gt;"采购入库"),"",周转筐出入库明细!$C368)</f>
        <v/>
      </c>
      <c r="CT367">
        <f t="shared" si="223"/>
        <v>0</v>
      </c>
      <c r="CU367">
        <f t="shared" si="224"/>
        <v>1</v>
      </c>
    </row>
    <row r="368" spans="1:99">
      <c r="A368" t="str">
        <f>IF(包装物料出入库明细!$E368="","",包装物料出入库明细!$E368)</f>
        <v/>
      </c>
      <c r="B368">
        <f t="shared" si="202"/>
        <v>0</v>
      </c>
      <c r="C368">
        <f t="shared" si="203"/>
        <v>7</v>
      </c>
      <c r="D368" t="str">
        <f>IF(包装物料出入库明细!$E368="","",包装物料出入库明细!$F368)</f>
        <v/>
      </c>
      <c r="E368" t="str">
        <f>IF(包装物料出入库明细!$E368="","",包装物料出入库明细!$G368)</f>
        <v/>
      </c>
      <c r="K368" t="str">
        <f>IF(包装物料出入库明细!$D368="","",包装物料出入库明细!$D368)</f>
        <v/>
      </c>
      <c r="L368">
        <f t="shared" si="204"/>
        <v>0</v>
      </c>
      <c r="M368">
        <f t="shared" si="205"/>
        <v>9</v>
      </c>
      <c r="Q368" t="str">
        <f>IF(周转筐出入库明细!$D369="","",周转筐出入库明细!$D369)</f>
        <v/>
      </c>
      <c r="R368">
        <f t="shared" si="206"/>
        <v>0</v>
      </c>
      <c r="S368">
        <f t="shared" si="207"/>
        <v>5</v>
      </c>
      <c r="W368" t="str">
        <f>IF(周转筐出入库明细!$C369="","",周转筐出入库明细!$C369)</f>
        <v/>
      </c>
      <c r="X368">
        <f t="shared" si="208"/>
        <v>0</v>
      </c>
      <c r="Y368">
        <f t="shared" si="209"/>
        <v>12</v>
      </c>
      <c r="AC368" t="str">
        <f>IF(客户自备加工筐明细!$C368="","",客户自备加工筐明细!$C368)</f>
        <v/>
      </c>
      <c r="AD368">
        <f t="shared" si="210"/>
        <v>0</v>
      </c>
      <c r="AE368">
        <f t="shared" si="211"/>
        <v>1</v>
      </c>
      <c r="AI368" t="str">
        <f>IF(客户自备加工筐明细!$E368="","",客户自备加工筐明细!$E368)</f>
        <v/>
      </c>
      <c r="AJ368">
        <f t="shared" si="212"/>
        <v>0</v>
      </c>
      <c r="AK368">
        <f t="shared" si="213"/>
        <v>1</v>
      </c>
      <c r="AO368" t="str">
        <f>IF(次果筐明细!$D368="","",次果筐明细!$D368)</f>
        <v/>
      </c>
      <c r="AP368">
        <f t="shared" si="214"/>
        <v>0</v>
      </c>
      <c r="AQ368">
        <f t="shared" si="215"/>
        <v>1</v>
      </c>
      <c r="AU368" t="str">
        <f>IF(次果筐明细!$C368="","",次果筐明细!$C368)</f>
        <v/>
      </c>
      <c r="AV368">
        <f t="shared" si="216"/>
        <v>0</v>
      </c>
      <c r="AW368">
        <f t="shared" si="217"/>
        <v>1</v>
      </c>
      <c r="BS368" t="str">
        <f t="shared" si="225"/>
        <v/>
      </c>
      <c r="BT368">
        <f t="shared" si="218"/>
        <v>0</v>
      </c>
      <c r="BU368">
        <f t="shared" si="219"/>
        <v>14</v>
      </c>
      <c r="BY368" t="str">
        <f t="shared" si="226"/>
        <v/>
      </c>
      <c r="BZ368">
        <f t="shared" si="220"/>
        <v>0</v>
      </c>
      <c r="CA368">
        <f t="shared" si="221"/>
        <v>16</v>
      </c>
      <c r="CP368">
        <f>IF(包装物料出入库明细!$D368="",0,1)</f>
        <v>0</v>
      </c>
      <c r="CQ368">
        <f t="shared" si="222"/>
        <v>37</v>
      </c>
      <c r="CS368" t="str">
        <f>IF(OR(周转筐出入库明细!$C369="",周转筐出入库明细!$F369&lt;&gt;"采购入库"),"",周转筐出入库明细!$C369)</f>
        <v/>
      </c>
      <c r="CT368">
        <f t="shared" si="223"/>
        <v>0</v>
      </c>
      <c r="CU368">
        <f t="shared" si="224"/>
        <v>1</v>
      </c>
    </row>
    <row r="369" spans="1:99">
      <c r="A369" t="str">
        <f>IF(包装物料出入库明细!$E369="","",包装物料出入库明细!$E369)</f>
        <v/>
      </c>
      <c r="B369">
        <f t="shared" si="202"/>
        <v>0</v>
      </c>
      <c r="C369">
        <f t="shared" si="203"/>
        <v>7</v>
      </c>
      <c r="D369" t="str">
        <f>IF(包装物料出入库明细!$E369="","",包装物料出入库明细!$F369)</f>
        <v/>
      </c>
      <c r="E369" t="str">
        <f>IF(包装物料出入库明细!$E369="","",包装物料出入库明细!$G369)</f>
        <v/>
      </c>
      <c r="K369" t="str">
        <f>IF(包装物料出入库明细!$D369="","",包装物料出入库明细!$D369)</f>
        <v/>
      </c>
      <c r="L369">
        <f t="shared" si="204"/>
        <v>0</v>
      </c>
      <c r="M369">
        <f t="shared" si="205"/>
        <v>9</v>
      </c>
      <c r="Q369" t="str">
        <f>IF(周转筐出入库明细!$D370="","",周转筐出入库明细!$D370)</f>
        <v/>
      </c>
      <c r="R369">
        <f t="shared" si="206"/>
        <v>0</v>
      </c>
      <c r="S369">
        <f t="shared" si="207"/>
        <v>5</v>
      </c>
      <c r="W369" t="str">
        <f>IF(周转筐出入库明细!$C370="","",周转筐出入库明细!$C370)</f>
        <v/>
      </c>
      <c r="X369">
        <f t="shared" si="208"/>
        <v>0</v>
      </c>
      <c r="Y369">
        <f t="shared" si="209"/>
        <v>12</v>
      </c>
      <c r="AC369" t="str">
        <f>IF(客户自备加工筐明细!$C369="","",客户自备加工筐明细!$C369)</f>
        <v/>
      </c>
      <c r="AD369">
        <f t="shared" si="210"/>
        <v>0</v>
      </c>
      <c r="AE369">
        <f t="shared" si="211"/>
        <v>1</v>
      </c>
      <c r="AI369" t="str">
        <f>IF(客户自备加工筐明细!$E369="","",客户自备加工筐明细!$E369)</f>
        <v/>
      </c>
      <c r="AJ369">
        <f t="shared" si="212"/>
        <v>0</v>
      </c>
      <c r="AK369">
        <f t="shared" si="213"/>
        <v>1</v>
      </c>
      <c r="AO369" t="str">
        <f>IF(次果筐明细!$D369="","",次果筐明细!$D369)</f>
        <v/>
      </c>
      <c r="AP369">
        <f t="shared" si="214"/>
        <v>0</v>
      </c>
      <c r="AQ369">
        <f t="shared" si="215"/>
        <v>1</v>
      </c>
      <c r="AU369" t="str">
        <f>IF(次果筐明细!$C369="","",次果筐明细!$C369)</f>
        <v/>
      </c>
      <c r="AV369">
        <f t="shared" si="216"/>
        <v>0</v>
      </c>
      <c r="AW369">
        <f t="shared" si="217"/>
        <v>1</v>
      </c>
      <c r="BS369" t="str">
        <f t="shared" si="225"/>
        <v/>
      </c>
      <c r="BT369">
        <f t="shared" si="218"/>
        <v>0</v>
      </c>
      <c r="BU369">
        <f t="shared" si="219"/>
        <v>14</v>
      </c>
      <c r="BY369" t="str">
        <f t="shared" si="226"/>
        <v/>
      </c>
      <c r="BZ369">
        <f t="shared" si="220"/>
        <v>0</v>
      </c>
      <c r="CA369">
        <f t="shared" si="221"/>
        <v>16</v>
      </c>
      <c r="CP369">
        <f>IF(包装物料出入库明细!$D369="",0,1)</f>
        <v>0</v>
      </c>
      <c r="CQ369">
        <f t="shared" si="222"/>
        <v>37</v>
      </c>
      <c r="CS369" t="str">
        <f>IF(OR(周转筐出入库明细!$C370="",周转筐出入库明细!$F370&lt;&gt;"采购入库"),"",周转筐出入库明细!$C370)</f>
        <v/>
      </c>
      <c r="CT369">
        <f t="shared" si="223"/>
        <v>0</v>
      </c>
      <c r="CU369">
        <f t="shared" si="224"/>
        <v>1</v>
      </c>
    </row>
    <row r="370" spans="1:99">
      <c r="A370" t="str">
        <f>IF(包装物料出入库明细!$E370="","",包装物料出入库明细!$E370)</f>
        <v/>
      </c>
      <c r="B370">
        <f t="shared" si="202"/>
        <v>0</v>
      </c>
      <c r="C370">
        <f t="shared" si="203"/>
        <v>7</v>
      </c>
      <c r="D370" t="str">
        <f>IF(包装物料出入库明细!$E370="","",包装物料出入库明细!$F370)</f>
        <v/>
      </c>
      <c r="E370" t="str">
        <f>IF(包装物料出入库明细!$E370="","",包装物料出入库明细!$G370)</f>
        <v/>
      </c>
      <c r="K370" t="str">
        <f>IF(包装物料出入库明细!$D370="","",包装物料出入库明细!$D370)</f>
        <v/>
      </c>
      <c r="L370">
        <f t="shared" si="204"/>
        <v>0</v>
      </c>
      <c r="M370">
        <f t="shared" si="205"/>
        <v>9</v>
      </c>
      <c r="Q370" t="str">
        <f>IF(周转筐出入库明细!$D371="","",周转筐出入库明细!$D371)</f>
        <v/>
      </c>
      <c r="R370">
        <f t="shared" si="206"/>
        <v>0</v>
      </c>
      <c r="S370">
        <f t="shared" si="207"/>
        <v>5</v>
      </c>
      <c r="W370" t="str">
        <f>IF(周转筐出入库明细!$C371="","",周转筐出入库明细!$C371)</f>
        <v/>
      </c>
      <c r="X370">
        <f t="shared" si="208"/>
        <v>0</v>
      </c>
      <c r="Y370">
        <f t="shared" si="209"/>
        <v>12</v>
      </c>
      <c r="AC370" t="str">
        <f>IF(客户自备加工筐明细!$C370="","",客户自备加工筐明细!$C370)</f>
        <v/>
      </c>
      <c r="AD370">
        <f t="shared" si="210"/>
        <v>0</v>
      </c>
      <c r="AE370">
        <f t="shared" si="211"/>
        <v>1</v>
      </c>
      <c r="AI370" t="str">
        <f>IF(客户自备加工筐明细!$E370="","",客户自备加工筐明细!$E370)</f>
        <v/>
      </c>
      <c r="AJ370">
        <f t="shared" si="212"/>
        <v>0</v>
      </c>
      <c r="AK370">
        <f t="shared" si="213"/>
        <v>1</v>
      </c>
      <c r="AO370" t="str">
        <f>IF(次果筐明细!$D370="","",次果筐明细!$D370)</f>
        <v/>
      </c>
      <c r="AP370">
        <f t="shared" si="214"/>
        <v>0</v>
      </c>
      <c r="AQ370">
        <f t="shared" si="215"/>
        <v>1</v>
      </c>
      <c r="AU370" t="str">
        <f>IF(次果筐明细!$C370="","",次果筐明细!$C370)</f>
        <v/>
      </c>
      <c r="AV370">
        <f t="shared" si="216"/>
        <v>0</v>
      </c>
      <c r="AW370">
        <f t="shared" si="217"/>
        <v>1</v>
      </c>
      <c r="BS370" t="str">
        <f t="shared" si="225"/>
        <v/>
      </c>
      <c r="BT370">
        <f t="shared" si="218"/>
        <v>0</v>
      </c>
      <c r="BU370">
        <f t="shared" si="219"/>
        <v>14</v>
      </c>
      <c r="BY370" t="str">
        <f t="shared" si="226"/>
        <v/>
      </c>
      <c r="BZ370">
        <f t="shared" si="220"/>
        <v>0</v>
      </c>
      <c r="CA370">
        <f t="shared" si="221"/>
        <v>16</v>
      </c>
      <c r="CP370">
        <f>IF(包装物料出入库明细!$D370="",0,1)</f>
        <v>0</v>
      </c>
      <c r="CQ370">
        <f t="shared" si="222"/>
        <v>37</v>
      </c>
      <c r="CS370" t="str">
        <f>IF(OR(周转筐出入库明细!$C371="",周转筐出入库明细!$F371&lt;&gt;"采购入库"),"",周转筐出入库明细!$C371)</f>
        <v/>
      </c>
      <c r="CT370">
        <f t="shared" si="223"/>
        <v>0</v>
      </c>
      <c r="CU370">
        <f t="shared" si="224"/>
        <v>1</v>
      </c>
    </row>
    <row r="371" spans="1:99">
      <c r="A371" t="str">
        <f>IF(包装物料出入库明细!$E371="","",包装物料出入库明细!$E371)</f>
        <v/>
      </c>
      <c r="B371">
        <f t="shared" si="202"/>
        <v>0</v>
      </c>
      <c r="C371">
        <f t="shared" si="203"/>
        <v>7</v>
      </c>
      <c r="D371" t="str">
        <f>IF(包装物料出入库明细!$E371="","",包装物料出入库明细!$F371)</f>
        <v/>
      </c>
      <c r="E371" t="str">
        <f>IF(包装物料出入库明细!$E371="","",包装物料出入库明细!$G371)</f>
        <v/>
      </c>
      <c r="K371" t="str">
        <f>IF(包装物料出入库明细!$D371="","",包装物料出入库明细!$D371)</f>
        <v/>
      </c>
      <c r="L371">
        <f t="shared" si="204"/>
        <v>0</v>
      </c>
      <c r="M371">
        <f t="shared" si="205"/>
        <v>9</v>
      </c>
      <c r="Q371" t="str">
        <f>IF(周转筐出入库明细!$D372="","",周转筐出入库明细!$D372)</f>
        <v/>
      </c>
      <c r="R371">
        <f t="shared" si="206"/>
        <v>0</v>
      </c>
      <c r="S371">
        <f t="shared" si="207"/>
        <v>5</v>
      </c>
      <c r="W371" t="str">
        <f>IF(周转筐出入库明细!$C372="","",周转筐出入库明细!$C372)</f>
        <v/>
      </c>
      <c r="X371">
        <f t="shared" si="208"/>
        <v>0</v>
      </c>
      <c r="Y371">
        <f t="shared" si="209"/>
        <v>12</v>
      </c>
      <c r="AC371" t="str">
        <f>IF(客户自备加工筐明细!$C371="","",客户自备加工筐明细!$C371)</f>
        <v/>
      </c>
      <c r="AD371">
        <f t="shared" si="210"/>
        <v>0</v>
      </c>
      <c r="AE371">
        <f t="shared" si="211"/>
        <v>1</v>
      </c>
      <c r="AI371" t="str">
        <f>IF(客户自备加工筐明细!$E371="","",客户自备加工筐明细!$E371)</f>
        <v/>
      </c>
      <c r="AJ371">
        <f t="shared" si="212"/>
        <v>0</v>
      </c>
      <c r="AK371">
        <f t="shared" si="213"/>
        <v>1</v>
      </c>
      <c r="AO371" t="str">
        <f>IF(次果筐明细!$D371="","",次果筐明细!$D371)</f>
        <v/>
      </c>
      <c r="AP371">
        <f t="shared" si="214"/>
        <v>0</v>
      </c>
      <c r="AQ371">
        <f t="shared" si="215"/>
        <v>1</v>
      </c>
      <c r="AU371" t="str">
        <f>IF(次果筐明细!$C371="","",次果筐明细!$C371)</f>
        <v/>
      </c>
      <c r="AV371">
        <f t="shared" si="216"/>
        <v>0</v>
      </c>
      <c r="AW371">
        <f t="shared" si="217"/>
        <v>1</v>
      </c>
      <c r="BS371" t="str">
        <f t="shared" si="225"/>
        <v/>
      </c>
      <c r="BT371">
        <f t="shared" si="218"/>
        <v>0</v>
      </c>
      <c r="BU371">
        <f t="shared" si="219"/>
        <v>14</v>
      </c>
      <c r="BY371" t="str">
        <f t="shared" si="226"/>
        <v/>
      </c>
      <c r="BZ371">
        <f t="shared" si="220"/>
        <v>0</v>
      </c>
      <c r="CA371">
        <f t="shared" si="221"/>
        <v>16</v>
      </c>
      <c r="CP371">
        <f>IF(包装物料出入库明细!$D371="",0,1)</f>
        <v>0</v>
      </c>
      <c r="CQ371">
        <f t="shared" si="222"/>
        <v>37</v>
      </c>
      <c r="CS371" t="str">
        <f>IF(OR(周转筐出入库明细!$C372="",周转筐出入库明细!$F372&lt;&gt;"采购入库"),"",周转筐出入库明细!$C372)</f>
        <v/>
      </c>
      <c r="CT371">
        <f t="shared" si="223"/>
        <v>0</v>
      </c>
      <c r="CU371">
        <f t="shared" si="224"/>
        <v>1</v>
      </c>
    </row>
    <row r="372" spans="1:99">
      <c r="A372" t="str">
        <f>IF(包装物料出入库明细!$E372="","",包装物料出入库明细!$E372)</f>
        <v/>
      </c>
      <c r="B372">
        <f t="shared" si="202"/>
        <v>0</v>
      </c>
      <c r="C372">
        <f t="shared" si="203"/>
        <v>7</v>
      </c>
      <c r="D372" t="str">
        <f>IF(包装物料出入库明细!$E372="","",包装物料出入库明细!$F372)</f>
        <v/>
      </c>
      <c r="E372" t="str">
        <f>IF(包装物料出入库明细!$E372="","",包装物料出入库明细!$G372)</f>
        <v/>
      </c>
      <c r="K372" t="str">
        <f>IF(包装物料出入库明细!$D372="","",包装物料出入库明细!$D372)</f>
        <v/>
      </c>
      <c r="L372">
        <f t="shared" si="204"/>
        <v>0</v>
      </c>
      <c r="M372">
        <f t="shared" si="205"/>
        <v>9</v>
      </c>
      <c r="Q372" t="str">
        <f>IF(周转筐出入库明细!$D373="","",周转筐出入库明细!$D373)</f>
        <v/>
      </c>
      <c r="R372">
        <f t="shared" si="206"/>
        <v>0</v>
      </c>
      <c r="S372">
        <f t="shared" si="207"/>
        <v>5</v>
      </c>
      <c r="W372" t="str">
        <f>IF(周转筐出入库明细!$C373="","",周转筐出入库明细!$C373)</f>
        <v/>
      </c>
      <c r="X372">
        <f t="shared" si="208"/>
        <v>0</v>
      </c>
      <c r="Y372">
        <f t="shared" si="209"/>
        <v>12</v>
      </c>
      <c r="AC372" t="str">
        <f>IF(客户自备加工筐明细!$C372="","",客户自备加工筐明细!$C372)</f>
        <v/>
      </c>
      <c r="AD372">
        <f t="shared" si="210"/>
        <v>0</v>
      </c>
      <c r="AE372">
        <f t="shared" si="211"/>
        <v>1</v>
      </c>
      <c r="AI372" t="str">
        <f>IF(客户自备加工筐明细!$E372="","",客户自备加工筐明细!$E372)</f>
        <v/>
      </c>
      <c r="AJ372">
        <f t="shared" si="212"/>
        <v>0</v>
      </c>
      <c r="AK372">
        <f t="shared" si="213"/>
        <v>1</v>
      </c>
      <c r="AO372" t="str">
        <f>IF(次果筐明细!$D372="","",次果筐明细!$D372)</f>
        <v/>
      </c>
      <c r="AP372">
        <f t="shared" si="214"/>
        <v>0</v>
      </c>
      <c r="AQ372">
        <f t="shared" si="215"/>
        <v>1</v>
      </c>
      <c r="AU372" t="str">
        <f>IF(次果筐明细!$C372="","",次果筐明细!$C372)</f>
        <v/>
      </c>
      <c r="AV372">
        <f t="shared" si="216"/>
        <v>0</v>
      </c>
      <c r="AW372">
        <f t="shared" si="217"/>
        <v>1</v>
      </c>
      <c r="BS372" t="str">
        <f t="shared" si="225"/>
        <v/>
      </c>
      <c r="BT372">
        <f t="shared" si="218"/>
        <v>0</v>
      </c>
      <c r="BU372">
        <f t="shared" si="219"/>
        <v>14</v>
      </c>
      <c r="BY372" t="str">
        <f t="shared" si="226"/>
        <v/>
      </c>
      <c r="BZ372">
        <f t="shared" si="220"/>
        <v>0</v>
      </c>
      <c r="CA372">
        <f t="shared" si="221"/>
        <v>16</v>
      </c>
      <c r="CP372">
        <f>IF(包装物料出入库明细!$D372="",0,1)</f>
        <v>0</v>
      </c>
      <c r="CQ372">
        <f t="shared" si="222"/>
        <v>37</v>
      </c>
      <c r="CS372" t="str">
        <f>IF(OR(周转筐出入库明细!$C373="",周转筐出入库明细!$F373&lt;&gt;"采购入库"),"",周转筐出入库明细!$C373)</f>
        <v/>
      </c>
      <c r="CT372">
        <f t="shared" si="223"/>
        <v>0</v>
      </c>
      <c r="CU372">
        <f t="shared" si="224"/>
        <v>1</v>
      </c>
    </row>
    <row r="373" spans="1:99">
      <c r="A373" t="str">
        <f>IF(包装物料出入库明细!$E373="","",包装物料出入库明细!$E373)</f>
        <v/>
      </c>
      <c r="B373">
        <f t="shared" si="202"/>
        <v>0</v>
      </c>
      <c r="C373">
        <f t="shared" si="203"/>
        <v>7</v>
      </c>
      <c r="D373" t="str">
        <f>IF(包装物料出入库明细!$E373="","",包装物料出入库明细!$F373)</f>
        <v/>
      </c>
      <c r="E373" t="str">
        <f>IF(包装物料出入库明细!$E373="","",包装物料出入库明细!$G373)</f>
        <v/>
      </c>
      <c r="K373" t="str">
        <f>IF(包装物料出入库明细!$D373="","",包装物料出入库明细!$D373)</f>
        <v/>
      </c>
      <c r="L373">
        <f t="shared" si="204"/>
        <v>0</v>
      </c>
      <c r="M373">
        <f t="shared" si="205"/>
        <v>9</v>
      </c>
      <c r="Q373" t="str">
        <f>IF(周转筐出入库明细!$D374="","",周转筐出入库明细!$D374)</f>
        <v/>
      </c>
      <c r="R373">
        <f t="shared" si="206"/>
        <v>0</v>
      </c>
      <c r="S373">
        <f t="shared" si="207"/>
        <v>5</v>
      </c>
      <c r="W373" t="str">
        <f>IF(周转筐出入库明细!$C374="","",周转筐出入库明细!$C374)</f>
        <v/>
      </c>
      <c r="X373">
        <f t="shared" si="208"/>
        <v>0</v>
      </c>
      <c r="Y373">
        <f t="shared" si="209"/>
        <v>12</v>
      </c>
      <c r="AC373" t="str">
        <f>IF(客户自备加工筐明细!$C373="","",客户自备加工筐明细!$C373)</f>
        <v/>
      </c>
      <c r="AD373">
        <f t="shared" si="210"/>
        <v>0</v>
      </c>
      <c r="AE373">
        <f t="shared" si="211"/>
        <v>1</v>
      </c>
      <c r="AI373" t="str">
        <f>IF(客户自备加工筐明细!$E373="","",客户自备加工筐明细!$E373)</f>
        <v/>
      </c>
      <c r="AJ373">
        <f t="shared" si="212"/>
        <v>0</v>
      </c>
      <c r="AK373">
        <f t="shared" si="213"/>
        <v>1</v>
      </c>
      <c r="AO373" t="str">
        <f>IF(次果筐明细!$D373="","",次果筐明细!$D373)</f>
        <v/>
      </c>
      <c r="AP373">
        <f t="shared" si="214"/>
        <v>0</v>
      </c>
      <c r="AQ373">
        <f t="shared" si="215"/>
        <v>1</v>
      </c>
      <c r="AU373" t="str">
        <f>IF(次果筐明细!$C373="","",次果筐明细!$C373)</f>
        <v/>
      </c>
      <c r="AV373">
        <f t="shared" si="216"/>
        <v>0</v>
      </c>
      <c r="AW373">
        <f t="shared" si="217"/>
        <v>1</v>
      </c>
      <c r="BS373" t="str">
        <f t="shared" si="225"/>
        <v/>
      </c>
      <c r="BT373">
        <f t="shared" si="218"/>
        <v>0</v>
      </c>
      <c r="BU373">
        <f t="shared" si="219"/>
        <v>14</v>
      </c>
      <c r="BY373" t="str">
        <f t="shared" si="226"/>
        <v/>
      </c>
      <c r="BZ373">
        <f t="shared" si="220"/>
        <v>0</v>
      </c>
      <c r="CA373">
        <f t="shared" si="221"/>
        <v>16</v>
      </c>
      <c r="CP373">
        <f>IF(包装物料出入库明细!$D373="",0,1)</f>
        <v>0</v>
      </c>
      <c r="CQ373">
        <f t="shared" si="222"/>
        <v>37</v>
      </c>
      <c r="CS373" t="str">
        <f>IF(OR(周转筐出入库明细!$C374="",周转筐出入库明细!$F374&lt;&gt;"采购入库"),"",周转筐出入库明细!$C374)</f>
        <v/>
      </c>
      <c r="CT373">
        <f t="shared" si="223"/>
        <v>0</v>
      </c>
      <c r="CU373">
        <f t="shared" si="224"/>
        <v>1</v>
      </c>
    </row>
    <row r="374" spans="1:99">
      <c r="A374" t="str">
        <f>IF(包装物料出入库明细!$E374="","",包装物料出入库明细!$E374)</f>
        <v/>
      </c>
      <c r="B374">
        <f t="shared" si="202"/>
        <v>0</v>
      </c>
      <c r="C374">
        <f t="shared" si="203"/>
        <v>7</v>
      </c>
      <c r="D374" t="str">
        <f>IF(包装物料出入库明细!$E374="","",包装物料出入库明细!$F374)</f>
        <v/>
      </c>
      <c r="E374" t="str">
        <f>IF(包装物料出入库明细!$E374="","",包装物料出入库明细!$G374)</f>
        <v/>
      </c>
      <c r="K374" t="str">
        <f>IF(包装物料出入库明细!$D374="","",包装物料出入库明细!$D374)</f>
        <v/>
      </c>
      <c r="L374">
        <f t="shared" si="204"/>
        <v>0</v>
      </c>
      <c r="M374">
        <f t="shared" si="205"/>
        <v>9</v>
      </c>
      <c r="Q374" t="str">
        <f>IF(周转筐出入库明细!$D375="","",周转筐出入库明细!$D375)</f>
        <v/>
      </c>
      <c r="R374">
        <f t="shared" si="206"/>
        <v>0</v>
      </c>
      <c r="S374">
        <f t="shared" si="207"/>
        <v>5</v>
      </c>
      <c r="W374" t="str">
        <f>IF(周转筐出入库明细!$C375="","",周转筐出入库明细!$C375)</f>
        <v/>
      </c>
      <c r="X374">
        <f t="shared" si="208"/>
        <v>0</v>
      </c>
      <c r="Y374">
        <f t="shared" si="209"/>
        <v>12</v>
      </c>
      <c r="AC374" t="str">
        <f>IF(客户自备加工筐明细!$C374="","",客户自备加工筐明细!$C374)</f>
        <v/>
      </c>
      <c r="AD374">
        <f t="shared" si="210"/>
        <v>0</v>
      </c>
      <c r="AE374">
        <f t="shared" si="211"/>
        <v>1</v>
      </c>
      <c r="AI374" t="str">
        <f>IF(客户自备加工筐明细!$E374="","",客户自备加工筐明细!$E374)</f>
        <v/>
      </c>
      <c r="AJ374">
        <f t="shared" si="212"/>
        <v>0</v>
      </c>
      <c r="AK374">
        <f t="shared" si="213"/>
        <v>1</v>
      </c>
      <c r="AO374" t="str">
        <f>IF(次果筐明细!$D374="","",次果筐明细!$D374)</f>
        <v/>
      </c>
      <c r="AP374">
        <f t="shared" si="214"/>
        <v>0</v>
      </c>
      <c r="AQ374">
        <f t="shared" si="215"/>
        <v>1</v>
      </c>
      <c r="AU374" t="str">
        <f>IF(次果筐明细!$C374="","",次果筐明细!$C374)</f>
        <v/>
      </c>
      <c r="AV374">
        <f t="shared" si="216"/>
        <v>0</v>
      </c>
      <c r="AW374">
        <f t="shared" si="217"/>
        <v>1</v>
      </c>
      <c r="BS374" t="str">
        <f t="shared" si="225"/>
        <v/>
      </c>
      <c r="BT374">
        <f t="shared" si="218"/>
        <v>0</v>
      </c>
      <c r="BU374">
        <f t="shared" si="219"/>
        <v>14</v>
      </c>
      <c r="BY374" t="str">
        <f t="shared" si="226"/>
        <v/>
      </c>
      <c r="BZ374">
        <f t="shared" si="220"/>
        <v>0</v>
      </c>
      <c r="CA374">
        <f t="shared" si="221"/>
        <v>16</v>
      </c>
      <c r="CP374">
        <f>IF(包装物料出入库明细!$D374="",0,1)</f>
        <v>0</v>
      </c>
      <c r="CQ374">
        <f t="shared" si="222"/>
        <v>37</v>
      </c>
      <c r="CS374" t="str">
        <f>IF(OR(周转筐出入库明细!$C375="",周转筐出入库明细!$F375&lt;&gt;"采购入库"),"",周转筐出入库明细!$C375)</f>
        <v/>
      </c>
      <c r="CT374">
        <f t="shared" si="223"/>
        <v>0</v>
      </c>
      <c r="CU374">
        <f t="shared" si="224"/>
        <v>1</v>
      </c>
    </row>
    <row r="375" spans="1:99">
      <c r="A375" t="str">
        <f>IF(包装物料出入库明细!$E375="","",包装物料出入库明细!$E375)</f>
        <v/>
      </c>
      <c r="B375">
        <f t="shared" si="202"/>
        <v>0</v>
      </c>
      <c r="C375">
        <f t="shared" si="203"/>
        <v>7</v>
      </c>
      <c r="D375" t="str">
        <f>IF(包装物料出入库明细!$E375="","",包装物料出入库明细!$F375)</f>
        <v/>
      </c>
      <c r="E375" t="str">
        <f>IF(包装物料出入库明细!$E375="","",包装物料出入库明细!$G375)</f>
        <v/>
      </c>
      <c r="K375" t="str">
        <f>IF(包装物料出入库明细!$D375="","",包装物料出入库明细!$D375)</f>
        <v/>
      </c>
      <c r="L375">
        <f t="shared" si="204"/>
        <v>0</v>
      </c>
      <c r="M375">
        <f t="shared" si="205"/>
        <v>9</v>
      </c>
      <c r="Q375" t="str">
        <f>IF(周转筐出入库明细!$D376="","",周转筐出入库明细!$D376)</f>
        <v/>
      </c>
      <c r="R375">
        <f t="shared" si="206"/>
        <v>0</v>
      </c>
      <c r="S375">
        <f t="shared" si="207"/>
        <v>5</v>
      </c>
      <c r="W375" t="str">
        <f>IF(周转筐出入库明细!$C376="","",周转筐出入库明细!$C376)</f>
        <v/>
      </c>
      <c r="X375">
        <f t="shared" si="208"/>
        <v>0</v>
      </c>
      <c r="Y375">
        <f t="shared" si="209"/>
        <v>12</v>
      </c>
      <c r="AC375" t="str">
        <f>IF(客户自备加工筐明细!$C375="","",客户自备加工筐明细!$C375)</f>
        <v/>
      </c>
      <c r="AD375">
        <f t="shared" si="210"/>
        <v>0</v>
      </c>
      <c r="AE375">
        <f t="shared" si="211"/>
        <v>1</v>
      </c>
      <c r="AI375" t="str">
        <f>IF(客户自备加工筐明细!$E375="","",客户自备加工筐明细!$E375)</f>
        <v/>
      </c>
      <c r="AJ375">
        <f t="shared" si="212"/>
        <v>0</v>
      </c>
      <c r="AK375">
        <f t="shared" si="213"/>
        <v>1</v>
      </c>
      <c r="AO375" t="str">
        <f>IF(次果筐明细!$D375="","",次果筐明细!$D375)</f>
        <v/>
      </c>
      <c r="AP375">
        <f t="shared" si="214"/>
        <v>0</v>
      </c>
      <c r="AQ375">
        <f t="shared" si="215"/>
        <v>1</v>
      </c>
      <c r="AU375" t="str">
        <f>IF(次果筐明细!$C375="","",次果筐明细!$C375)</f>
        <v/>
      </c>
      <c r="AV375">
        <f t="shared" si="216"/>
        <v>0</v>
      </c>
      <c r="AW375">
        <f t="shared" si="217"/>
        <v>1</v>
      </c>
      <c r="BS375" t="str">
        <f t="shared" si="225"/>
        <v/>
      </c>
      <c r="BT375">
        <f t="shared" si="218"/>
        <v>0</v>
      </c>
      <c r="BU375">
        <f t="shared" si="219"/>
        <v>14</v>
      </c>
      <c r="BY375" t="str">
        <f t="shared" si="226"/>
        <v/>
      </c>
      <c r="BZ375">
        <f t="shared" si="220"/>
        <v>0</v>
      </c>
      <c r="CA375">
        <f t="shared" si="221"/>
        <v>16</v>
      </c>
      <c r="CP375">
        <f>IF(包装物料出入库明细!$D375="",0,1)</f>
        <v>0</v>
      </c>
      <c r="CQ375">
        <f t="shared" si="222"/>
        <v>37</v>
      </c>
      <c r="CS375" t="str">
        <f>IF(OR(周转筐出入库明细!$C376="",周转筐出入库明细!$F376&lt;&gt;"采购入库"),"",周转筐出入库明细!$C376)</f>
        <v/>
      </c>
      <c r="CT375">
        <f t="shared" si="223"/>
        <v>0</v>
      </c>
      <c r="CU375">
        <f t="shared" si="224"/>
        <v>1</v>
      </c>
    </row>
    <row r="376" spans="1:99">
      <c r="A376" t="str">
        <f>IF(包装物料出入库明细!$E376="","",包装物料出入库明细!$E376)</f>
        <v/>
      </c>
      <c r="B376">
        <f t="shared" si="202"/>
        <v>0</v>
      </c>
      <c r="C376">
        <f t="shared" si="203"/>
        <v>7</v>
      </c>
      <c r="D376" t="str">
        <f>IF(包装物料出入库明细!$E376="","",包装物料出入库明细!$F376)</f>
        <v/>
      </c>
      <c r="E376" t="str">
        <f>IF(包装物料出入库明细!$E376="","",包装物料出入库明细!$G376)</f>
        <v/>
      </c>
      <c r="K376" t="str">
        <f>IF(包装物料出入库明细!$D376="","",包装物料出入库明细!$D376)</f>
        <v/>
      </c>
      <c r="L376">
        <f t="shared" si="204"/>
        <v>0</v>
      </c>
      <c r="M376">
        <f t="shared" si="205"/>
        <v>9</v>
      </c>
      <c r="Q376" t="str">
        <f>IF(周转筐出入库明细!$D377="","",周转筐出入库明细!$D377)</f>
        <v/>
      </c>
      <c r="R376">
        <f t="shared" si="206"/>
        <v>0</v>
      </c>
      <c r="S376">
        <f t="shared" si="207"/>
        <v>5</v>
      </c>
      <c r="W376" t="str">
        <f>IF(周转筐出入库明细!$C377="","",周转筐出入库明细!$C377)</f>
        <v/>
      </c>
      <c r="X376">
        <f t="shared" si="208"/>
        <v>0</v>
      </c>
      <c r="Y376">
        <f t="shared" si="209"/>
        <v>12</v>
      </c>
      <c r="AC376" t="str">
        <f>IF(客户自备加工筐明细!$C376="","",客户自备加工筐明细!$C376)</f>
        <v/>
      </c>
      <c r="AD376">
        <f t="shared" si="210"/>
        <v>0</v>
      </c>
      <c r="AE376">
        <f t="shared" si="211"/>
        <v>1</v>
      </c>
      <c r="AI376" t="str">
        <f>IF(客户自备加工筐明细!$E376="","",客户自备加工筐明细!$E376)</f>
        <v/>
      </c>
      <c r="AJ376">
        <f t="shared" si="212"/>
        <v>0</v>
      </c>
      <c r="AK376">
        <f t="shared" si="213"/>
        <v>1</v>
      </c>
      <c r="AO376" t="str">
        <f>IF(次果筐明细!$D376="","",次果筐明细!$D376)</f>
        <v/>
      </c>
      <c r="AP376">
        <f t="shared" si="214"/>
        <v>0</v>
      </c>
      <c r="AQ376">
        <f t="shared" si="215"/>
        <v>1</v>
      </c>
      <c r="AU376" t="str">
        <f>IF(次果筐明细!$C376="","",次果筐明细!$C376)</f>
        <v/>
      </c>
      <c r="AV376">
        <f t="shared" si="216"/>
        <v>0</v>
      </c>
      <c r="AW376">
        <f t="shared" si="217"/>
        <v>1</v>
      </c>
      <c r="BS376" t="str">
        <f t="shared" si="225"/>
        <v/>
      </c>
      <c r="BT376">
        <f t="shared" si="218"/>
        <v>0</v>
      </c>
      <c r="BU376">
        <f t="shared" si="219"/>
        <v>14</v>
      </c>
      <c r="BY376" t="str">
        <f t="shared" si="226"/>
        <v/>
      </c>
      <c r="BZ376">
        <f t="shared" si="220"/>
        <v>0</v>
      </c>
      <c r="CA376">
        <f t="shared" si="221"/>
        <v>16</v>
      </c>
      <c r="CP376">
        <f>IF(包装物料出入库明细!$D376="",0,1)</f>
        <v>0</v>
      </c>
      <c r="CQ376">
        <f t="shared" si="222"/>
        <v>37</v>
      </c>
      <c r="CS376" t="str">
        <f>IF(OR(周转筐出入库明细!$C377="",周转筐出入库明细!$F377&lt;&gt;"采购入库"),"",周转筐出入库明细!$C377)</f>
        <v/>
      </c>
      <c r="CT376">
        <f t="shared" si="223"/>
        <v>0</v>
      </c>
      <c r="CU376">
        <f t="shared" si="224"/>
        <v>1</v>
      </c>
    </row>
    <row r="377" spans="1:99">
      <c r="A377" t="str">
        <f>IF(包装物料出入库明细!$E377="","",包装物料出入库明细!$E377)</f>
        <v/>
      </c>
      <c r="B377">
        <f t="shared" si="202"/>
        <v>0</v>
      </c>
      <c r="C377">
        <f t="shared" si="203"/>
        <v>7</v>
      </c>
      <c r="D377" t="str">
        <f>IF(包装物料出入库明细!$E377="","",包装物料出入库明细!$F377)</f>
        <v/>
      </c>
      <c r="E377" t="str">
        <f>IF(包装物料出入库明细!$E377="","",包装物料出入库明细!$G377)</f>
        <v/>
      </c>
      <c r="K377" t="str">
        <f>IF(包装物料出入库明细!$D377="","",包装物料出入库明细!$D377)</f>
        <v/>
      </c>
      <c r="L377">
        <f t="shared" si="204"/>
        <v>0</v>
      </c>
      <c r="M377">
        <f t="shared" si="205"/>
        <v>9</v>
      </c>
      <c r="Q377" t="str">
        <f>IF(周转筐出入库明细!$D378="","",周转筐出入库明细!$D378)</f>
        <v/>
      </c>
      <c r="R377">
        <f t="shared" si="206"/>
        <v>0</v>
      </c>
      <c r="S377">
        <f t="shared" si="207"/>
        <v>5</v>
      </c>
      <c r="W377" t="str">
        <f>IF(周转筐出入库明细!$C378="","",周转筐出入库明细!$C378)</f>
        <v/>
      </c>
      <c r="X377">
        <f t="shared" si="208"/>
        <v>0</v>
      </c>
      <c r="Y377">
        <f t="shared" si="209"/>
        <v>12</v>
      </c>
      <c r="AC377" t="str">
        <f>IF(客户自备加工筐明细!$C377="","",客户自备加工筐明细!$C377)</f>
        <v/>
      </c>
      <c r="AD377">
        <f t="shared" si="210"/>
        <v>0</v>
      </c>
      <c r="AE377">
        <f t="shared" si="211"/>
        <v>1</v>
      </c>
      <c r="AI377" t="str">
        <f>IF(客户自备加工筐明细!$E377="","",客户自备加工筐明细!$E377)</f>
        <v/>
      </c>
      <c r="AJ377">
        <f t="shared" si="212"/>
        <v>0</v>
      </c>
      <c r="AK377">
        <f t="shared" si="213"/>
        <v>1</v>
      </c>
      <c r="AO377" t="str">
        <f>IF(次果筐明细!$D377="","",次果筐明细!$D377)</f>
        <v/>
      </c>
      <c r="AP377">
        <f t="shared" si="214"/>
        <v>0</v>
      </c>
      <c r="AQ377">
        <f t="shared" si="215"/>
        <v>1</v>
      </c>
      <c r="AU377" t="str">
        <f>IF(次果筐明细!$C377="","",次果筐明细!$C377)</f>
        <v/>
      </c>
      <c r="AV377">
        <f t="shared" si="216"/>
        <v>0</v>
      </c>
      <c r="AW377">
        <f t="shared" si="217"/>
        <v>1</v>
      </c>
      <c r="BS377" t="str">
        <f t="shared" si="225"/>
        <v/>
      </c>
      <c r="BT377">
        <f t="shared" si="218"/>
        <v>0</v>
      </c>
      <c r="BU377">
        <f t="shared" si="219"/>
        <v>14</v>
      </c>
      <c r="BY377" t="str">
        <f t="shared" si="226"/>
        <v/>
      </c>
      <c r="BZ377">
        <f t="shared" si="220"/>
        <v>0</v>
      </c>
      <c r="CA377">
        <f t="shared" si="221"/>
        <v>16</v>
      </c>
      <c r="CP377">
        <f>IF(包装物料出入库明细!$D377="",0,1)</f>
        <v>0</v>
      </c>
      <c r="CQ377">
        <f t="shared" si="222"/>
        <v>37</v>
      </c>
      <c r="CS377" t="str">
        <f>IF(OR(周转筐出入库明细!$C378="",周转筐出入库明细!$F378&lt;&gt;"采购入库"),"",周转筐出入库明细!$C378)</f>
        <v/>
      </c>
      <c r="CT377">
        <f t="shared" si="223"/>
        <v>0</v>
      </c>
      <c r="CU377">
        <f t="shared" si="224"/>
        <v>1</v>
      </c>
    </row>
    <row r="378" spans="1:99">
      <c r="A378" t="str">
        <f>IF(包装物料出入库明细!$E378="","",包装物料出入库明细!$E378)</f>
        <v/>
      </c>
      <c r="B378">
        <f t="shared" si="202"/>
        <v>0</v>
      </c>
      <c r="C378">
        <f t="shared" si="203"/>
        <v>7</v>
      </c>
      <c r="D378" t="str">
        <f>IF(包装物料出入库明细!$E378="","",包装物料出入库明细!$F378)</f>
        <v/>
      </c>
      <c r="E378" t="str">
        <f>IF(包装物料出入库明细!$E378="","",包装物料出入库明细!$G378)</f>
        <v/>
      </c>
      <c r="K378" t="str">
        <f>IF(包装物料出入库明细!$D378="","",包装物料出入库明细!$D378)</f>
        <v/>
      </c>
      <c r="L378">
        <f t="shared" si="204"/>
        <v>0</v>
      </c>
      <c r="M378">
        <f t="shared" si="205"/>
        <v>9</v>
      </c>
      <c r="Q378" t="str">
        <f>IF(周转筐出入库明细!$D379="","",周转筐出入库明细!$D379)</f>
        <v/>
      </c>
      <c r="R378">
        <f t="shared" si="206"/>
        <v>0</v>
      </c>
      <c r="S378">
        <f t="shared" si="207"/>
        <v>5</v>
      </c>
      <c r="W378" t="str">
        <f>IF(周转筐出入库明细!$C379="","",周转筐出入库明细!$C379)</f>
        <v/>
      </c>
      <c r="X378">
        <f t="shared" si="208"/>
        <v>0</v>
      </c>
      <c r="Y378">
        <f t="shared" si="209"/>
        <v>12</v>
      </c>
      <c r="AC378" t="str">
        <f>IF(客户自备加工筐明细!$C378="","",客户自备加工筐明细!$C378)</f>
        <v/>
      </c>
      <c r="AD378">
        <f t="shared" si="210"/>
        <v>0</v>
      </c>
      <c r="AE378">
        <f t="shared" si="211"/>
        <v>1</v>
      </c>
      <c r="AI378" t="str">
        <f>IF(客户自备加工筐明细!$E378="","",客户自备加工筐明细!$E378)</f>
        <v/>
      </c>
      <c r="AJ378">
        <f t="shared" si="212"/>
        <v>0</v>
      </c>
      <c r="AK378">
        <f t="shared" si="213"/>
        <v>1</v>
      </c>
      <c r="AO378" t="str">
        <f>IF(次果筐明细!$D378="","",次果筐明细!$D378)</f>
        <v/>
      </c>
      <c r="AP378">
        <f t="shared" si="214"/>
        <v>0</v>
      </c>
      <c r="AQ378">
        <f t="shared" si="215"/>
        <v>1</v>
      </c>
      <c r="AU378" t="str">
        <f>IF(次果筐明细!$C378="","",次果筐明细!$C378)</f>
        <v/>
      </c>
      <c r="AV378">
        <f t="shared" si="216"/>
        <v>0</v>
      </c>
      <c r="AW378">
        <f t="shared" si="217"/>
        <v>1</v>
      </c>
      <c r="BS378" t="str">
        <f t="shared" si="225"/>
        <v/>
      </c>
      <c r="BT378">
        <f t="shared" si="218"/>
        <v>0</v>
      </c>
      <c r="BU378">
        <f t="shared" si="219"/>
        <v>14</v>
      </c>
      <c r="BY378" t="str">
        <f t="shared" si="226"/>
        <v/>
      </c>
      <c r="BZ378">
        <f t="shared" si="220"/>
        <v>0</v>
      </c>
      <c r="CA378">
        <f t="shared" si="221"/>
        <v>16</v>
      </c>
      <c r="CP378">
        <f>IF(包装物料出入库明细!$D378="",0,1)</f>
        <v>0</v>
      </c>
      <c r="CQ378">
        <f t="shared" si="222"/>
        <v>37</v>
      </c>
      <c r="CS378" t="str">
        <f>IF(OR(周转筐出入库明细!$C379="",周转筐出入库明细!$F379&lt;&gt;"采购入库"),"",周转筐出入库明细!$C379)</f>
        <v/>
      </c>
      <c r="CT378">
        <f t="shared" si="223"/>
        <v>0</v>
      </c>
      <c r="CU378">
        <f t="shared" si="224"/>
        <v>1</v>
      </c>
    </row>
    <row r="379" spans="1:99">
      <c r="A379" t="str">
        <f>IF(包装物料出入库明细!$E379="","",包装物料出入库明细!$E379)</f>
        <v/>
      </c>
      <c r="B379">
        <f t="shared" si="202"/>
        <v>0</v>
      </c>
      <c r="C379">
        <f t="shared" si="203"/>
        <v>7</v>
      </c>
      <c r="D379" t="str">
        <f>IF(包装物料出入库明细!$E379="","",包装物料出入库明细!$F379)</f>
        <v/>
      </c>
      <c r="E379" t="str">
        <f>IF(包装物料出入库明细!$E379="","",包装物料出入库明细!$G379)</f>
        <v/>
      </c>
      <c r="K379" t="str">
        <f>IF(包装物料出入库明细!$D379="","",包装物料出入库明细!$D379)</f>
        <v/>
      </c>
      <c r="L379">
        <f t="shared" si="204"/>
        <v>0</v>
      </c>
      <c r="M379">
        <f t="shared" si="205"/>
        <v>9</v>
      </c>
      <c r="Q379" t="str">
        <f>IF(周转筐出入库明细!$D380="","",周转筐出入库明细!$D380)</f>
        <v/>
      </c>
      <c r="R379">
        <f t="shared" si="206"/>
        <v>0</v>
      </c>
      <c r="S379">
        <f t="shared" si="207"/>
        <v>5</v>
      </c>
      <c r="W379" t="str">
        <f>IF(周转筐出入库明细!$C380="","",周转筐出入库明细!$C380)</f>
        <v/>
      </c>
      <c r="X379">
        <f t="shared" si="208"/>
        <v>0</v>
      </c>
      <c r="Y379">
        <f t="shared" si="209"/>
        <v>12</v>
      </c>
      <c r="AC379" t="str">
        <f>IF(客户自备加工筐明细!$C379="","",客户自备加工筐明细!$C379)</f>
        <v/>
      </c>
      <c r="AD379">
        <f t="shared" si="210"/>
        <v>0</v>
      </c>
      <c r="AE379">
        <f t="shared" si="211"/>
        <v>1</v>
      </c>
      <c r="AI379" t="str">
        <f>IF(客户自备加工筐明细!$E379="","",客户自备加工筐明细!$E379)</f>
        <v/>
      </c>
      <c r="AJ379">
        <f t="shared" si="212"/>
        <v>0</v>
      </c>
      <c r="AK379">
        <f t="shared" si="213"/>
        <v>1</v>
      </c>
      <c r="AO379" t="str">
        <f>IF(次果筐明细!$D379="","",次果筐明细!$D379)</f>
        <v/>
      </c>
      <c r="AP379">
        <f t="shared" si="214"/>
        <v>0</v>
      </c>
      <c r="AQ379">
        <f t="shared" si="215"/>
        <v>1</v>
      </c>
      <c r="AU379" t="str">
        <f>IF(次果筐明细!$C379="","",次果筐明细!$C379)</f>
        <v/>
      </c>
      <c r="AV379">
        <f t="shared" si="216"/>
        <v>0</v>
      </c>
      <c r="AW379">
        <f t="shared" si="217"/>
        <v>1</v>
      </c>
      <c r="BS379" t="str">
        <f t="shared" si="225"/>
        <v/>
      </c>
      <c r="BT379">
        <f t="shared" si="218"/>
        <v>0</v>
      </c>
      <c r="BU379">
        <f t="shared" si="219"/>
        <v>14</v>
      </c>
      <c r="BY379" t="str">
        <f t="shared" si="226"/>
        <v/>
      </c>
      <c r="BZ379">
        <f t="shared" si="220"/>
        <v>0</v>
      </c>
      <c r="CA379">
        <f t="shared" si="221"/>
        <v>16</v>
      </c>
      <c r="CP379">
        <f>IF(包装物料出入库明细!$D379="",0,1)</f>
        <v>0</v>
      </c>
      <c r="CQ379">
        <f t="shared" si="222"/>
        <v>37</v>
      </c>
      <c r="CS379" t="str">
        <f>IF(OR(周转筐出入库明细!$C380="",周转筐出入库明细!$F380&lt;&gt;"采购入库"),"",周转筐出入库明细!$C380)</f>
        <v/>
      </c>
      <c r="CT379">
        <f t="shared" si="223"/>
        <v>0</v>
      </c>
      <c r="CU379">
        <f t="shared" si="224"/>
        <v>1</v>
      </c>
    </row>
    <row r="380" spans="1:99">
      <c r="A380" t="str">
        <f>IF(包装物料出入库明细!$E380="","",包装物料出入库明细!$E380)</f>
        <v/>
      </c>
      <c r="B380">
        <f t="shared" si="202"/>
        <v>0</v>
      </c>
      <c r="C380">
        <f t="shared" si="203"/>
        <v>7</v>
      </c>
      <c r="D380" t="str">
        <f>IF(包装物料出入库明细!$E380="","",包装物料出入库明细!$F380)</f>
        <v/>
      </c>
      <c r="E380" t="str">
        <f>IF(包装物料出入库明细!$E380="","",包装物料出入库明细!$G380)</f>
        <v/>
      </c>
      <c r="K380" t="str">
        <f>IF(包装物料出入库明细!$D380="","",包装物料出入库明细!$D380)</f>
        <v/>
      </c>
      <c r="L380">
        <f t="shared" si="204"/>
        <v>0</v>
      </c>
      <c r="M380">
        <f t="shared" si="205"/>
        <v>9</v>
      </c>
      <c r="Q380" t="str">
        <f>IF(周转筐出入库明细!$D381="","",周转筐出入库明细!$D381)</f>
        <v/>
      </c>
      <c r="R380">
        <f t="shared" si="206"/>
        <v>0</v>
      </c>
      <c r="S380">
        <f t="shared" si="207"/>
        <v>5</v>
      </c>
      <c r="W380" t="str">
        <f>IF(周转筐出入库明细!$C381="","",周转筐出入库明细!$C381)</f>
        <v/>
      </c>
      <c r="X380">
        <f t="shared" si="208"/>
        <v>0</v>
      </c>
      <c r="Y380">
        <f t="shared" si="209"/>
        <v>12</v>
      </c>
      <c r="AC380" t="str">
        <f>IF(客户自备加工筐明细!$C380="","",客户自备加工筐明细!$C380)</f>
        <v/>
      </c>
      <c r="AD380">
        <f t="shared" si="210"/>
        <v>0</v>
      </c>
      <c r="AE380">
        <f t="shared" si="211"/>
        <v>1</v>
      </c>
      <c r="AI380" t="str">
        <f>IF(客户自备加工筐明细!$E380="","",客户自备加工筐明细!$E380)</f>
        <v/>
      </c>
      <c r="AJ380">
        <f t="shared" si="212"/>
        <v>0</v>
      </c>
      <c r="AK380">
        <f t="shared" si="213"/>
        <v>1</v>
      </c>
      <c r="AO380" t="str">
        <f>IF(次果筐明细!$D380="","",次果筐明细!$D380)</f>
        <v/>
      </c>
      <c r="AP380">
        <f t="shared" si="214"/>
        <v>0</v>
      </c>
      <c r="AQ380">
        <f t="shared" si="215"/>
        <v>1</v>
      </c>
      <c r="AU380" t="str">
        <f>IF(次果筐明细!$C380="","",次果筐明细!$C380)</f>
        <v/>
      </c>
      <c r="AV380">
        <f t="shared" si="216"/>
        <v>0</v>
      </c>
      <c r="AW380">
        <f t="shared" si="217"/>
        <v>1</v>
      </c>
      <c r="BS380" t="str">
        <f t="shared" si="225"/>
        <v/>
      </c>
      <c r="BT380">
        <f t="shared" si="218"/>
        <v>0</v>
      </c>
      <c r="BU380">
        <f t="shared" si="219"/>
        <v>14</v>
      </c>
      <c r="BY380" t="str">
        <f t="shared" si="226"/>
        <v/>
      </c>
      <c r="BZ380">
        <f t="shared" si="220"/>
        <v>0</v>
      </c>
      <c r="CA380">
        <f t="shared" si="221"/>
        <v>16</v>
      </c>
      <c r="CP380">
        <f>IF(包装物料出入库明细!$D380="",0,1)</f>
        <v>0</v>
      </c>
      <c r="CQ380">
        <f t="shared" si="222"/>
        <v>37</v>
      </c>
      <c r="CS380" t="str">
        <f>IF(OR(周转筐出入库明细!$C381="",周转筐出入库明细!$F381&lt;&gt;"采购入库"),"",周转筐出入库明细!$C381)</f>
        <v/>
      </c>
      <c r="CT380">
        <f t="shared" si="223"/>
        <v>0</v>
      </c>
      <c r="CU380">
        <f t="shared" si="224"/>
        <v>1</v>
      </c>
    </row>
    <row r="381" spans="1:99">
      <c r="A381" t="str">
        <f>IF(包装物料出入库明细!$E381="","",包装物料出入库明细!$E381)</f>
        <v/>
      </c>
      <c r="B381">
        <f t="shared" si="202"/>
        <v>0</v>
      </c>
      <c r="C381">
        <f t="shared" si="203"/>
        <v>7</v>
      </c>
      <c r="D381" t="str">
        <f>IF(包装物料出入库明细!$E381="","",包装物料出入库明细!$F381)</f>
        <v/>
      </c>
      <c r="E381" t="str">
        <f>IF(包装物料出入库明细!$E381="","",包装物料出入库明细!$G381)</f>
        <v/>
      </c>
      <c r="K381" t="str">
        <f>IF(包装物料出入库明细!$D381="","",包装物料出入库明细!$D381)</f>
        <v/>
      </c>
      <c r="L381">
        <f t="shared" si="204"/>
        <v>0</v>
      </c>
      <c r="M381">
        <f t="shared" si="205"/>
        <v>9</v>
      </c>
      <c r="Q381" t="str">
        <f>IF(周转筐出入库明细!$D382="","",周转筐出入库明细!$D382)</f>
        <v/>
      </c>
      <c r="R381">
        <f t="shared" si="206"/>
        <v>0</v>
      </c>
      <c r="S381">
        <f t="shared" si="207"/>
        <v>5</v>
      </c>
      <c r="W381" t="str">
        <f>IF(周转筐出入库明细!$C382="","",周转筐出入库明细!$C382)</f>
        <v/>
      </c>
      <c r="X381">
        <f t="shared" si="208"/>
        <v>0</v>
      </c>
      <c r="Y381">
        <f t="shared" si="209"/>
        <v>12</v>
      </c>
      <c r="AC381" t="str">
        <f>IF(客户自备加工筐明细!$C381="","",客户自备加工筐明细!$C381)</f>
        <v/>
      </c>
      <c r="AD381">
        <f t="shared" si="210"/>
        <v>0</v>
      </c>
      <c r="AE381">
        <f t="shared" si="211"/>
        <v>1</v>
      </c>
      <c r="AI381" t="str">
        <f>IF(客户自备加工筐明细!$E381="","",客户自备加工筐明细!$E381)</f>
        <v/>
      </c>
      <c r="AJ381">
        <f t="shared" si="212"/>
        <v>0</v>
      </c>
      <c r="AK381">
        <f t="shared" si="213"/>
        <v>1</v>
      </c>
      <c r="AO381" t="str">
        <f>IF(次果筐明细!$D381="","",次果筐明细!$D381)</f>
        <v/>
      </c>
      <c r="AP381">
        <f t="shared" si="214"/>
        <v>0</v>
      </c>
      <c r="AQ381">
        <f t="shared" si="215"/>
        <v>1</v>
      </c>
      <c r="AU381" t="str">
        <f>IF(次果筐明细!$C381="","",次果筐明细!$C381)</f>
        <v/>
      </c>
      <c r="AV381">
        <f t="shared" si="216"/>
        <v>0</v>
      </c>
      <c r="AW381">
        <f t="shared" si="217"/>
        <v>1</v>
      </c>
      <c r="BS381" t="str">
        <f t="shared" si="225"/>
        <v/>
      </c>
      <c r="BT381">
        <f t="shared" si="218"/>
        <v>0</v>
      </c>
      <c r="BU381">
        <f t="shared" si="219"/>
        <v>14</v>
      </c>
      <c r="BY381" t="str">
        <f t="shared" si="226"/>
        <v/>
      </c>
      <c r="BZ381">
        <f t="shared" si="220"/>
        <v>0</v>
      </c>
      <c r="CA381">
        <f t="shared" si="221"/>
        <v>16</v>
      </c>
      <c r="CP381">
        <f>IF(包装物料出入库明细!$D381="",0,1)</f>
        <v>0</v>
      </c>
      <c r="CQ381">
        <f t="shared" si="222"/>
        <v>37</v>
      </c>
      <c r="CS381" t="str">
        <f>IF(OR(周转筐出入库明细!$C382="",周转筐出入库明细!$F382&lt;&gt;"采购入库"),"",周转筐出入库明细!$C382)</f>
        <v/>
      </c>
      <c r="CT381">
        <f t="shared" si="223"/>
        <v>0</v>
      </c>
      <c r="CU381">
        <f t="shared" si="224"/>
        <v>1</v>
      </c>
    </row>
    <row r="382" spans="1:99">
      <c r="A382" t="str">
        <f>IF(包装物料出入库明细!$E382="","",包装物料出入库明细!$E382)</f>
        <v/>
      </c>
      <c r="B382">
        <f t="shared" si="202"/>
        <v>0</v>
      </c>
      <c r="C382">
        <f t="shared" si="203"/>
        <v>7</v>
      </c>
      <c r="D382" t="str">
        <f>IF(包装物料出入库明细!$E382="","",包装物料出入库明细!$F382)</f>
        <v/>
      </c>
      <c r="E382" t="str">
        <f>IF(包装物料出入库明细!$E382="","",包装物料出入库明细!$G382)</f>
        <v/>
      </c>
      <c r="K382" t="str">
        <f>IF(包装物料出入库明细!$D382="","",包装物料出入库明细!$D382)</f>
        <v/>
      </c>
      <c r="L382">
        <f t="shared" si="204"/>
        <v>0</v>
      </c>
      <c r="M382">
        <f t="shared" si="205"/>
        <v>9</v>
      </c>
      <c r="Q382" t="str">
        <f>IF(周转筐出入库明细!$D383="","",周转筐出入库明细!$D383)</f>
        <v/>
      </c>
      <c r="R382">
        <f t="shared" si="206"/>
        <v>0</v>
      </c>
      <c r="S382">
        <f t="shared" si="207"/>
        <v>5</v>
      </c>
      <c r="W382" t="str">
        <f>IF(周转筐出入库明细!$C383="","",周转筐出入库明细!$C383)</f>
        <v/>
      </c>
      <c r="X382">
        <f t="shared" si="208"/>
        <v>0</v>
      </c>
      <c r="Y382">
        <f t="shared" si="209"/>
        <v>12</v>
      </c>
      <c r="AC382" t="str">
        <f>IF(客户自备加工筐明细!$C382="","",客户自备加工筐明细!$C382)</f>
        <v/>
      </c>
      <c r="AD382">
        <f t="shared" si="210"/>
        <v>0</v>
      </c>
      <c r="AE382">
        <f t="shared" si="211"/>
        <v>1</v>
      </c>
      <c r="AI382" t="str">
        <f>IF(客户自备加工筐明细!$E382="","",客户自备加工筐明细!$E382)</f>
        <v/>
      </c>
      <c r="AJ382">
        <f t="shared" si="212"/>
        <v>0</v>
      </c>
      <c r="AK382">
        <f t="shared" si="213"/>
        <v>1</v>
      </c>
      <c r="AO382" t="str">
        <f>IF(次果筐明细!$D382="","",次果筐明细!$D382)</f>
        <v/>
      </c>
      <c r="AP382">
        <f t="shared" si="214"/>
        <v>0</v>
      </c>
      <c r="AQ382">
        <f t="shared" si="215"/>
        <v>1</v>
      </c>
      <c r="AU382" t="str">
        <f>IF(次果筐明细!$C382="","",次果筐明细!$C382)</f>
        <v/>
      </c>
      <c r="AV382">
        <f t="shared" si="216"/>
        <v>0</v>
      </c>
      <c r="AW382">
        <f t="shared" si="217"/>
        <v>1</v>
      </c>
      <c r="BS382" t="str">
        <f t="shared" si="225"/>
        <v/>
      </c>
      <c r="BT382">
        <f t="shared" si="218"/>
        <v>0</v>
      </c>
      <c r="BU382">
        <f t="shared" si="219"/>
        <v>14</v>
      </c>
      <c r="BY382" t="str">
        <f t="shared" si="226"/>
        <v/>
      </c>
      <c r="BZ382">
        <f t="shared" si="220"/>
        <v>0</v>
      </c>
      <c r="CA382">
        <f t="shared" si="221"/>
        <v>16</v>
      </c>
      <c r="CP382">
        <f>IF(包装物料出入库明细!$D382="",0,1)</f>
        <v>0</v>
      </c>
      <c r="CQ382">
        <f t="shared" si="222"/>
        <v>37</v>
      </c>
      <c r="CS382" t="str">
        <f>IF(OR(周转筐出入库明细!$C383="",周转筐出入库明细!$F383&lt;&gt;"采购入库"),"",周转筐出入库明细!$C383)</f>
        <v/>
      </c>
      <c r="CT382">
        <f t="shared" si="223"/>
        <v>0</v>
      </c>
      <c r="CU382">
        <f t="shared" si="224"/>
        <v>1</v>
      </c>
    </row>
    <row r="383" spans="1:99">
      <c r="A383" t="str">
        <f>IF(包装物料出入库明细!$E383="","",包装物料出入库明细!$E383)</f>
        <v/>
      </c>
      <c r="B383">
        <f t="shared" si="202"/>
        <v>0</v>
      </c>
      <c r="C383">
        <f t="shared" si="203"/>
        <v>7</v>
      </c>
      <c r="D383" t="str">
        <f>IF(包装物料出入库明细!$E383="","",包装物料出入库明细!$F383)</f>
        <v/>
      </c>
      <c r="E383" t="str">
        <f>IF(包装物料出入库明细!$E383="","",包装物料出入库明细!$G383)</f>
        <v/>
      </c>
      <c r="K383" t="str">
        <f>IF(包装物料出入库明细!$D383="","",包装物料出入库明细!$D383)</f>
        <v/>
      </c>
      <c r="L383">
        <f t="shared" si="204"/>
        <v>0</v>
      </c>
      <c r="M383">
        <f t="shared" si="205"/>
        <v>9</v>
      </c>
      <c r="Q383" t="str">
        <f>IF(周转筐出入库明细!$D384="","",周转筐出入库明细!$D384)</f>
        <v/>
      </c>
      <c r="R383">
        <f t="shared" si="206"/>
        <v>0</v>
      </c>
      <c r="S383">
        <f t="shared" si="207"/>
        <v>5</v>
      </c>
      <c r="W383" t="str">
        <f>IF(周转筐出入库明细!$C384="","",周转筐出入库明细!$C384)</f>
        <v/>
      </c>
      <c r="X383">
        <f t="shared" si="208"/>
        <v>0</v>
      </c>
      <c r="Y383">
        <f t="shared" si="209"/>
        <v>12</v>
      </c>
      <c r="AC383" t="str">
        <f>IF(客户自备加工筐明细!$C383="","",客户自备加工筐明细!$C383)</f>
        <v/>
      </c>
      <c r="AD383">
        <f t="shared" si="210"/>
        <v>0</v>
      </c>
      <c r="AE383">
        <f t="shared" si="211"/>
        <v>1</v>
      </c>
      <c r="AI383" t="str">
        <f>IF(客户自备加工筐明细!$E383="","",客户自备加工筐明细!$E383)</f>
        <v/>
      </c>
      <c r="AJ383">
        <f t="shared" si="212"/>
        <v>0</v>
      </c>
      <c r="AK383">
        <f t="shared" si="213"/>
        <v>1</v>
      </c>
      <c r="AO383" t="str">
        <f>IF(次果筐明细!$D383="","",次果筐明细!$D383)</f>
        <v/>
      </c>
      <c r="AP383">
        <f t="shared" si="214"/>
        <v>0</v>
      </c>
      <c r="AQ383">
        <f t="shared" si="215"/>
        <v>1</v>
      </c>
      <c r="AU383" t="str">
        <f>IF(次果筐明细!$C383="","",次果筐明细!$C383)</f>
        <v/>
      </c>
      <c r="AV383">
        <f t="shared" si="216"/>
        <v>0</v>
      </c>
      <c r="AW383">
        <f t="shared" si="217"/>
        <v>1</v>
      </c>
      <c r="BS383" t="str">
        <f t="shared" si="225"/>
        <v/>
      </c>
      <c r="BT383">
        <f t="shared" si="218"/>
        <v>0</v>
      </c>
      <c r="BU383">
        <f t="shared" si="219"/>
        <v>14</v>
      </c>
      <c r="BY383" t="str">
        <f t="shared" si="226"/>
        <v/>
      </c>
      <c r="BZ383">
        <f t="shared" si="220"/>
        <v>0</v>
      </c>
      <c r="CA383">
        <f t="shared" si="221"/>
        <v>16</v>
      </c>
      <c r="CP383">
        <f>IF(包装物料出入库明细!$D383="",0,1)</f>
        <v>0</v>
      </c>
      <c r="CQ383">
        <f t="shared" si="222"/>
        <v>37</v>
      </c>
      <c r="CS383" t="str">
        <f>IF(OR(周转筐出入库明细!$C384="",周转筐出入库明细!$F384&lt;&gt;"采购入库"),"",周转筐出入库明细!$C384)</f>
        <v/>
      </c>
      <c r="CT383">
        <f t="shared" si="223"/>
        <v>0</v>
      </c>
      <c r="CU383">
        <f t="shared" si="224"/>
        <v>1</v>
      </c>
    </row>
    <row r="384" spans="1:99">
      <c r="A384" t="str">
        <f>IF(包装物料出入库明细!$E384="","",包装物料出入库明细!$E384)</f>
        <v/>
      </c>
      <c r="B384">
        <f t="shared" si="202"/>
        <v>0</v>
      </c>
      <c r="C384">
        <f t="shared" si="203"/>
        <v>7</v>
      </c>
      <c r="D384" t="str">
        <f>IF(包装物料出入库明细!$E384="","",包装物料出入库明细!$F384)</f>
        <v/>
      </c>
      <c r="E384" t="str">
        <f>IF(包装物料出入库明细!$E384="","",包装物料出入库明细!$G384)</f>
        <v/>
      </c>
      <c r="K384" t="str">
        <f>IF(包装物料出入库明细!$D384="","",包装物料出入库明细!$D384)</f>
        <v/>
      </c>
      <c r="L384">
        <f t="shared" si="204"/>
        <v>0</v>
      </c>
      <c r="M384">
        <f t="shared" si="205"/>
        <v>9</v>
      </c>
      <c r="Q384" t="str">
        <f>IF(周转筐出入库明细!$D385="","",周转筐出入库明细!$D385)</f>
        <v/>
      </c>
      <c r="R384">
        <f t="shared" si="206"/>
        <v>0</v>
      </c>
      <c r="S384">
        <f t="shared" si="207"/>
        <v>5</v>
      </c>
      <c r="W384" t="str">
        <f>IF(周转筐出入库明细!$C385="","",周转筐出入库明细!$C385)</f>
        <v/>
      </c>
      <c r="X384">
        <f t="shared" si="208"/>
        <v>0</v>
      </c>
      <c r="Y384">
        <f t="shared" si="209"/>
        <v>12</v>
      </c>
      <c r="AC384" t="str">
        <f>IF(客户自备加工筐明细!$C384="","",客户自备加工筐明细!$C384)</f>
        <v/>
      </c>
      <c r="AD384">
        <f t="shared" si="210"/>
        <v>0</v>
      </c>
      <c r="AE384">
        <f t="shared" si="211"/>
        <v>1</v>
      </c>
      <c r="AI384" t="str">
        <f>IF(客户自备加工筐明细!$E384="","",客户自备加工筐明细!$E384)</f>
        <v/>
      </c>
      <c r="AJ384">
        <f t="shared" si="212"/>
        <v>0</v>
      </c>
      <c r="AK384">
        <f t="shared" si="213"/>
        <v>1</v>
      </c>
      <c r="AO384" t="str">
        <f>IF(次果筐明细!$D384="","",次果筐明细!$D384)</f>
        <v/>
      </c>
      <c r="AP384">
        <f t="shared" si="214"/>
        <v>0</v>
      </c>
      <c r="AQ384">
        <f t="shared" si="215"/>
        <v>1</v>
      </c>
      <c r="AU384" t="str">
        <f>IF(次果筐明细!$C384="","",次果筐明细!$C384)</f>
        <v/>
      </c>
      <c r="AV384">
        <f t="shared" si="216"/>
        <v>0</v>
      </c>
      <c r="AW384">
        <f t="shared" si="217"/>
        <v>1</v>
      </c>
      <c r="BS384" t="str">
        <f t="shared" si="225"/>
        <v/>
      </c>
      <c r="BT384">
        <f t="shared" si="218"/>
        <v>0</v>
      </c>
      <c r="BU384">
        <f t="shared" si="219"/>
        <v>14</v>
      </c>
      <c r="BY384" t="str">
        <f t="shared" si="226"/>
        <v/>
      </c>
      <c r="BZ384">
        <f t="shared" si="220"/>
        <v>0</v>
      </c>
      <c r="CA384">
        <f t="shared" si="221"/>
        <v>16</v>
      </c>
      <c r="CP384">
        <f>IF(包装物料出入库明细!$D384="",0,1)</f>
        <v>0</v>
      </c>
      <c r="CQ384">
        <f t="shared" si="222"/>
        <v>37</v>
      </c>
      <c r="CS384" t="str">
        <f>IF(OR(周转筐出入库明细!$C385="",周转筐出入库明细!$F385&lt;&gt;"采购入库"),"",周转筐出入库明细!$C385)</f>
        <v/>
      </c>
      <c r="CT384">
        <f t="shared" si="223"/>
        <v>0</v>
      </c>
      <c r="CU384">
        <f t="shared" si="224"/>
        <v>1</v>
      </c>
    </row>
    <row r="385" spans="1:99">
      <c r="A385" t="str">
        <f>IF(包装物料出入库明细!$E385="","",包装物料出入库明细!$E385)</f>
        <v/>
      </c>
      <c r="B385">
        <f t="shared" si="202"/>
        <v>0</v>
      </c>
      <c r="C385">
        <f t="shared" si="203"/>
        <v>7</v>
      </c>
      <c r="D385" t="str">
        <f>IF(包装物料出入库明细!$E385="","",包装物料出入库明细!$F385)</f>
        <v/>
      </c>
      <c r="E385" t="str">
        <f>IF(包装物料出入库明细!$E385="","",包装物料出入库明细!$G385)</f>
        <v/>
      </c>
      <c r="K385" t="str">
        <f>IF(包装物料出入库明细!$D385="","",包装物料出入库明细!$D385)</f>
        <v/>
      </c>
      <c r="L385">
        <f t="shared" si="204"/>
        <v>0</v>
      </c>
      <c r="M385">
        <f t="shared" si="205"/>
        <v>9</v>
      </c>
      <c r="Q385" t="str">
        <f>IF(周转筐出入库明细!$D386="","",周转筐出入库明细!$D386)</f>
        <v/>
      </c>
      <c r="R385">
        <f t="shared" si="206"/>
        <v>0</v>
      </c>
      <c r="S385">
        <f t="shared" si="207"/>
        <v>5</v>
      </c>
      <c r="W385" t="str">
        <f>IF(周转筐出入库明细!$C386="","",周转筐出入库明细!$C386)</f>
        <v/>
      </c>
      <c r="X385">
        <f t="shared" si="208"/>
        <v>0</v>
      </c>
      <c r="Y385">
        <f t="shared" si="209"/>
        <v>12</v>
      </c>
      <c r="AC385" t="str">
        <f>IF(客户自备加工筐明细!$C385="","",客户自备加工筐明细!$C385)</f>
        <v/>
      </c>
      <c r="AD385">
        <f t="shared" si="210"/>
        <v>0</v>
      </c>
      <c r="AE385">
        <f t="shared" si="211"/>
        <v>1</v>
      </c>
      <c r="AI385" t="str">
        <f>IF(客户自备加工筐明细!$E385="","",客户自备加工筐明细!$E385)</f>
        <v/>
      </c>
      <c r="AJ385">
        <f t="shared" si="212"/>
        <v>0</v>
      </c>
      <c r="AK385">
        <f t="shared" si="213"/>
        <v>1</v>
      </c>
      <c r="AO385" t="str">
        <f>IF(次果筐明细!$D385="","",次果筐明细!$D385)</f>
        <v/>
      </c>
      <c r="AP385">
        <f t="shared" si="214"/>
        <v>0</v>
      </c>
      <c r="AQ385">
        <f t="shared" si="215"/>
        <v>1</v>
      </c>
      <c r="AU385" t="str">
        <f>IF(次果筐明细!$C385="","",次果筐明细!$C385)</f>
        <v/>
      </c>
      <c r="AV385">
        <f t="shared" si="216"/>
        <v>0</v>
      </c>
      <c r="AW385">
        <f t="shared" si="217"/>
        <v>1</v>
      </c>
      <c r="BS385" t="str">
        <f t="shared" si="225"/>
        <v/>
      </c>
      <c r="BT385">
        <f t="shared" si="218"/>
        <v>0</v>
      </c>
      <c r="BU385">
        <f t="shared" si="219"/>
        <v>14</v>
      </c>
      <c r="BY385" t="str">
        <f t="shared" si="226"/>
        <v/>
      </c>
      <c r="BZ385">
        <f t="shared" si="220"/>
        <v>0</v>
      </c>
      <c r="CA385">
        <f t="shared" si="221"/>
        <v>16</v>
      </c>
      <c r="CP385">
        <f>IF(包装物料出入库明细!$D385="",0,1)</f>
        <v>0</v>
      </c>
      <c r="CQ385">
        <f t="shared" si="222"/>
        <v>37</v>
      </c>
      <c r="CS385" t="str">
        <f>IF(OR(周转筐出入库明细!$C386="",周转筐出入库明细!$F386&lt;&gt;"采购入库"),"",周转筐出入库明细!$C386)</f>
        <v/>
      </c>
      <c r="CT385">
        <f t="shared" si="223"/>
        <v>0</v>
      </c>
      <c r="CU385">
        <f t="shared" si="224"/>
        <v>1</v>
      </c>
    </row>
    <row r="386" spans="1:99">
      <c r="A386" t="str">
        <f>IF(包装物料出入库明细!$E386="","",包装物料出入库明细!$E386)</f>
        <v/>
      </c>
      <c r="B386">
        <f t="shared" si="202"/>
        <v>0</v>
      </c>
      <c r="C386">
        <f t="shared" si="203"/>
        <v>7</v>
      </c>
      <c r="D386" t="str">
        <f>IF(包装物料出入库明细!$E386="","",包装物料出入库明细!$F386)</f>
        <v/>
      </c>
      <c r="E386" t="str">
        <f>IF(包装物料出入库明细!$E386="","",包装物料出入库明细!$G386)</f>
        <v/>
      </c>
      <c r="K386" t="str">
        <f>IF(包装物料出入库明细!$D386="","",包装物料出入库明细!$D386)</f>
        <v/>
      </c>
      <c r="L386">
        <f t="shared" si="204"/>
        <v>0</v>
      </c>
      <c r="M386">
        <f t="shared" si="205"/>
        <v>9</v>
      </c>
      <c r="Q386" t="str">
        <f>IF(周转筐出入库明细!$D387="","",周转筐出入库明细!$D387)</f>
        <v/>
      </c>
      <c r="R386">
        <f t="shared" si="206"/>
        <v>0</v>
      </c>
      <c r="S386">
        <f t="shared" si="207"/>
        <v>5</v>
      </c>
      <c r="W386" t="str">
        <f>IF(周转筐出入库明细!$C387="","",周转筐出入库明细!$C387)</f>
        <v/>
      </c>
      <c r="X386">
        <f t="shared" si="208"/>
        <v>0</v>
      </c>
      <c r="Y386">
        <f t="shared" si="209"/>
        <v>12</v>
      </c>
      <c r="AC386" t="str">
        <f>IF(客户自备加工筐明细!$C386="","",客户自备加工筐明细!$C386)</f>
        <v/>
      </c>
      <c r="AD386">
        <f t="shared" si="210"/>
        <v>0</v>
      </c>
      <c r="AE386">
        <f t="shared" si="211"/>
        <v>1</v>
      </c>
      <c r="AI386" t="str">
        <f>IF(客户自备加工筐明细!$E386="","",客户自备加工筐明细!$E386)</f>
        <v/>
      </c>
      <c r="AJ386">
        <f t="shared" si="212"/>
        <v>0</v>
      </c>
      <c r="AK386">
        <f t="shared" si="213"/>
        <v>1</v>
      </c>
      <c r="AO386" t="str">
        <f>IF(次果筐明细!$D386="","",次果筐明细!$D386)</f>
        <v/>
      </c>
      <c r="AP386">
        <f t="shared" si="214"/>
        <v>0</v>
      </c>
      <c r="AQ386">
        <f t="shared" si="215"/>
        <v>1</v>
      </c>
      <c r="AU386" t="str">
        <f>IF(次果筐明细!$C386="","",次果筐明细!$C386)</f>
        <v/>
      </c>
      <c r="AV386">
        <f t="shared" si="216"/>
        <v>0</v>
      </c>
      <c r="AW386">
        <f t="shared" si="217"/>
        <v>1</v>
      </c>
      <c r="BS386" t="str">
        <f t="shared" si="225"/>
        <v/>
      </c>
      <c r="BT386">
        <f t="shared" si="218"/>
        <v>0</v>
      </c>
      <c r="BU386">
        <f t="shared" si="219"/>
        <v>14</v>
      </c>
      <c r="BY386" t="str">
        <f t="shared" si="226"/>
        <v/>
      </c>
      <c r="BZ386">
        <f t="shared" si="220"/>
        <v>0</v>
      </c>
      <c r="CA386">
        <f t="shared" si="221"/>
        <v>16</v>
      </c>
      <c r="CP386">
        <f>IF(包装物料出入库明细!$D386="",0,1)</f>
        <v>0</v>
      </c>
      <c r="CQ386">
        <f t="shared" si="222"/>
        <v>37</v>
      </c>
      <c r="CS386" t="str">
        <f>IF(OR(周转筐出入库明细!$C387="",周转筐出入库明细!$F387&lt;&gt;"采购入库"),"",周转筐出入库明细!$C387)</f>
        <v/>
      </c>
      <c r="CT386">
        <f t="shared" si="223"/>
        <v>0</v>
      </c>
      <c r="CU386">
        <f t="shared" si="224"/>
        <v>1</v>
      </c>
    </row>
    <row r="387" spans="1:99">
      <c r="A387" t="str">
        <f>IF(包装物料出入库明细!$E387="","",包装物料出入库明细!$E387)</f>
        <v/>
      </c>
      <c r="B387">
        <f t="shared" si="202"/>
        <v>0</v>
      </c>
      <c r="C387">
        <f t="shared" si="203"/>
        <v>7</v>
      </c>
      <c r="D387" t="str">
        <f>IF(包装物料出入库明细!$E387="","",包装物料出入库明细!$F387)</f>
        <v/>
      </c>
      <c r="E387" t="str">
        <f>IF(包装物料出入库明细!$E387="","",包装物料出入库明细!$G387)</f>
        <v/>
      </c>
      <c r="K387" t="str">
        <f>IF(包装物料出入库明细!$D387="","",包装物料出入库明细!$D387)</f>
        <v/>
      </c>
      <c r="L387">
        <f t="shared" si="204"/>
        <v>0</v>
      </c>
      <c r="M387">
        <f t="shared" si="205"/>
        <v>9</v>
      </c>
      <c r="Q387" t="str">
        <f>IF(周转筐出入库明细!$D388="","",周转筐出入库明细!$D388)</f>
        <v/>
      </c>
      <c r="R387">
        <f t="shared" si="206"/>
        <v>0</v>
      </c>
      <c r="S387">
        <f t="shared" si="207"/>
        <v>5</v>
      </c>
      <c r="W387" t="str">
        <f>IF(周转筐出入库明细!$C388="","",周转筐出入库明细!$C388)</f>
        <v/>
      </c>
      <c r="X387">
        <f t="shared" si="208"/>
        <v>0</v>
      </c>
      <c r="Y387">
        <f t="shared" si="209"/>
        <v>12</v>
      </c>
      <c r="AC387" t="str">
        <f>IF(客户自备加工筐明细!$C387="","",客户自备加工筐明细!$C387)</f>
        <v/>
      </c>
      <c r="AD387">
        <f t="shared" si="210"/>
        <v>0</v>
      </c>
      <c r="AE387">
        <f t="shared" si="211"/>
        <v>1</v>
      </c>
      <c r="AI387" t="str">
        <f>IF(客户自备加工筐明细!$E387="","",客户自备加工筐明细!$E387)</f>
        <v/>
      </c>
      <c r="AJ387">
        <f t="shared" si="212"/>
        <v>0</v>
      </c>
      <c r="AK387">
        <f t="shared" si="213"/>
        <v>1</v>
      </c>
      <c r="AO387" t="str">
        <f>IF(次果筐明细!$D387="","",次果筐明细!$D387)</f>
        <v/>
      </c>
      <c r="AP387">
        <f t="shared" si="214"/>
        <v>0</v>
      </c>
      <c r="AQ387">
        <f t="shared" si="215"/>
        <v>1</v>
      </c>
      <c r="AU387" t="str">
        <f>IF(次果筐明细!$C387="","",次果筐明细!$C387)</f>
        <v/>
      </c>
      <c r="AV387">
        <f t="shared" si="216"/>
        <v>0</v>
      </c>
      <c r="AW387">
        <f t="shared" si="217"/>
        <v>1</v>
      </c>
      <c r="BS387" t="str">
        <f t="shared" si="225"/>
        <v/>
      </c>
      <c r="BT387">
        <f t="shared" si="218"/>
        <v>0</v>
      </c>
      <c r="BU387">
        <f t="shared" si="219"/>
        <v>14</v>
      </c>
      <c r="BY387" t="str">
        <f t="shared" si="226"/>
        <v/>
      </c>
      <c r="BZ387">
        <f t="shared" si="220"/>
        <v>0</v>
      </c>
      <c r="CA387">
        <f t="shared" si="221"/>
        <v>16</v>
      </c>
      <c r="CP387">
        <f>IF(包装物料出入库明细!$D387="",0,1)</f>
        <v>0</v>
      </c>
      <c r="CQ387">
        <f t="shared" si="222"/>
        <v>37</v>
      </c>
      <c r="CS387" t="str">
        <f>IF(OR(周转筐出入库明细!$C388="",周转筐出入库明细!$F388&lt;&gt;"采购入库"),"",周转筐出入库明细!$C388)</f>
        <v/>
      </c>
      <c r="CT387">
        <f t="shared" si="223"/>
        <v>0</v>
      </c>
      <c r="CU387">
        <f t="shared" si="224"/>
        <v>1</v>
      </c>
    </row>
    <row r="388" spans="1:99">
      <c r="A388" t="str">
        <f>IF(包装物料出入库明细!$E388="","",包装物料出入库明细!$E388)</f>
        <v/>
      </c>
      <c r="B388">
        <f t="shared" ref="B388:B451" si="227">IF(A388="",0,IF(MATCH(A388,$A$4:$A$2003,0)=ROW()-3,1,0))</f>
        <v>0</v>
      </c>
      <c r="C388">
        <f t="shared" ref="C388:C451" si="228">N(C387)+B388</f>
        <v>7</v>
      </c>
      <c r="D388" t="str">
        <f>IF(包装物料出入库明细!$E388="","",包装物料出入库明细!$F388)</f>
        <v/>
      </c>
      <c r="E388" t="str">
        <f>IF(包装物料出入库明细!$E388="","",包装物料出入库明细!$G388)</f>
        <v/>
      </c>
      <c r="K388" t="str">
        <f>IF(包装物料出入库明细!$D388="","",包装物料出入库明细!$D388)</f>
        <v/>
      </c>
      <c r="L388">
        <f t="shared" ref="L388:L451" si="229">IF(K388="",0,IF(MATCH(K388,$K$4:$K$2003,0)=ROW()-3,1,0))</f>
        <v>0</v>
      </c>
      <c r="M388">
        <f t="shared" ref="M388:M451" si="230">N(M387)+L388</f>
        <v>9</v>
      </c>
      <c r="Q388" t="str">
        <f>IF(周转筐出入库明细!$D389="","",周转筐出入库明细!$D389)</f>
        <v/>
      </c>
      <c r="R388">
        <f t="shared" ref="R388:R451" si="231">IF(Q388="",0,IF(MATCH(Q388,$Q$4:$Q$2003,0)=ROW()-3,1,0))</f>
        <v>0</v>
      </c>
      <c r="S388">
        <f t="shared" ref="S388:S451" si="232">N(S387)+R388</f>
        <v>5</v>
      </c>
      <c r="W388" t="str">
        <f>IF(周转筐出入库明细!$C389="","",周转筐出入库明细!$C389)</f>
        <v/>
      </c>
      <c r="X388">
        <f t="shared" ref="X388:X451" si="233">IF(W388="",0,IF(MATCH(W388,$W$4:$W$2003,0)=ROW()-3,1,0))</f>
        <v>0</v>
      </c>
      <c r="Y388">
        <f t="shared" ref="Y388:Y451" si="234">N(Y387)+X388</f>
        <v>12</v>
      </c>
      <c r="AC388" t="str">
        <f>IF(客户自备加工筐明细!$C388="","",客户自备加工筐明细!$C388)</f>
        <v/>
      </c>
      <c r="AD388">
        <f t="shared" ref="AD388:AD451" si="235">IF(AC388="",0,IF(MATCH(AC388,$AC$4:$AC$1203,0)=ROW()-3,1,0))</f>
        <v>0</v>
      </c>
      <c r="AE388">
        <f t="shared" ref="AE388:AE451" si="236">N(AE387)+AD388</f>
        <v>1</v>
      </c>
      <c r="AI388" t="str">
        <f>IF(客户自备加工筐明细!$E388="","",客户自备加工筐明细!$E388)</f>
        <v/>
      </c>
      <c r="AJ388">
        <f t="shared" ref="AJ388:AJ451" si="237">IF(AI388="",0,IF(MATCH(AI388,$AI$4:$AI$1503,0)=ROW()-3,1,0))</f>
        <v>0</v>
      </c>
      <c r="AK388">
        <f t="shared" ref="AK388:AK451" si="238">N(AK387)+AJ388</f>
        <v>1</v>
      </c>
      <c r="AO388" t="str">
        <f>IF(次果筐明细!$D388="","",次果筐明细!$D388)</f>
        <v/>
      </c>
      <c r="AP388">
        <f t="shared" ref="AP388:AP451" si="239">IF(AO388="",0,IF(MATCH(AO388,$AO$4:$AO$603,0)=ROW()-3,1,0))</f>
        <v>0</v>
      </c>
      <c r="AQ388">
        <f t="shared" ref="AQ388:AQ451" si="240">N(AQ387)+AP388</f>
        <v>1</v>
      </c>
      <c r="AU388" t="str">
        <f>IF(次果筐明细!$C388="","",次果筐明细!$C388)</f>
        <v/>
      </c>
      <c r="AV388">
        <f t="shared" ref="AV388:AV451" si="241">IF(AU388="",0,IF(MATCH(AU388,$AU$4:$AU$603,0)=ROW()-3,1,0))</f>
        <v>0</v>
      </c>
      <c r="AW388">
        <f t="shared" ref="AW388:AW451" si="242">N(AW387)+AV388</f>
        <v>1</v>
      </c>
      <c r="BS388" t="str">
        <f t="shared" si="225"/>
        <v/>
      </c>
      <c r="BT388">
        <f t="shared" ref="BT388:BT451" si="243">IF(BS388="",0,IF(MATCH(BS388,$BS$4:$BS$1103,0)=ROW()-3,1,0))</f>
        <v>0</v>
      </c>
      <c r="BU388">
        <f t="shared" ref="BU388:BU451" si="244">N(BU387)+BT388</f>
        <v>14</v>
      </c>
      <c r="BY388" t="str">
        <f t="shared" si="226"/>
        <v/>
      </c>
      <c r="BZ388">
        <f t="shared" ref="BZ388:BZ451" si="245">IF(BY388="",0,IF(MATCH(BY388,$BY$4:$BY$503,0)=ROW()-3,1,0))</f>
        <v>0</v>
      </c>
      <c r="CA388">
        <f t="shared" ref="CA388:CA451" si="246">N(CA387)+BZ388</f>
        <v>16</v>
      </c>
      <c r="CP388">
        <f>IF(包装物料出入库明细!$D388="",0,1)</f>
        <v>0</v>
      </c>
      <c r="CQ388">
        <f t="shared" ref="CQ388:CQ451" si="247">N(CQ387)+$CP388</f>
        <v>37</v>
      </c>
      <c r="CS388" t="str">
        <f>IF(OR(周转筐出入库明细!$C389="",周转筐出入库明细!$F389&lt;&gt;"采购入库"),"",周转筐出入库明细!$C389)</f>
        <v/>
      </c>
      <c r="CT388">
        <f t="shared" ref="CT388:CT451" si="248">IF(CS388="",0,IF(MATCH(CS388,$CS$4:$CS$2003,0)=ROW()-3,1,0))</f>
        <v>0</v>
      </c>
      <c r="CU388">
        <f t="shared" ref="CU388:CU451" si="249">N(CU387)+CT388</f>
        <v>1</v>
      </c>
    </row>
    <row r="389" spans="1:99">
      <c r="A389" t="str">
        <f>IF(包装物料出入库明细!$E389="","",包装物料出入库明细!$E389)</f>
        <v/>
      </c>
      <c r="B389">
        <f t="shared" si="227"/>
        <v>0</v>
      </c>
      <c r="C389">
        <f t="shared" si="228"/>
        <v>7</v>
      </c>
      <c r="D389" t="str">
        <f>IF(包装物料出入库明细!$E389="","",包装物料出入库明细!$F389)</f>
        <v/>
      </c>
      <c r="E389" t="str">
        <f>IF(包装物料出入库明细!$E389="","",包装物料出入库明细!$G389)</f>
        <v/>
      </c>
      <c r="K389" t="str">
        <f>IF(包装物料出入库明细!$D389="","",包装物料出入库明细!$D389)</f>
        <v/>
      </c>
      <c r="L389">
        <f t="shared" si="229"/>
        <v>0</v>
      </c>
      <c r="M389">
        <f t="shared" si="230"/>
        <v>9</v>
      </c>
      <c r="Q389" t="str">
        <f>IF(周转筐出入库明细!$D390="","",周转筐出入库明细!$D390)</f>
        <v/>
      </c>
      <c r="R389">
        <f t="shared" si="231"/>
        <v>0</v>
      </c>
      <c r="S389">
        <f t="shared" si="232"/>
        <v>5</v>
      </c>
      <c r="W389" t="str">
        <f>IF(周转筐出入库明细!$C390="","",周转筐出入库明细!$C390)</f>
        <v/>
      </c>
      <c r="X389">
        <f t="shared" si="233"/>
        <v>0</v>
      </c>
      <c r="Y389">
        <f t="shared" si="234"/>
        <v>12</v>
      </c>
      <c r="AC389" t="str">
        <f>IF(客户自备加工筐明细!$C389="","",客户自备加工筐明细!$C389)</f>
        <v/>
      </c>
      <c r="AD389">
        <f t="shared" si="235"/>
        <v>0</v>
      </c>
      <c r="AE389">
        <f t="shared" si="236"/>
        <v>1</v>
      </c>
      <c r="AI389" t="str">
        <f>IF(客户自备加工筐明细!$E389="","",客户自备加工筐明细!$E389)</f>
        <v/>
      </c>
      <c r="AJ389">
        <f t="shared" si="237"/>
        <v>0</v>
      </c>
      <c r="AK389">
        <f t="shared" si="238"/>
        <v>1</v>
      </c>
      <c r="AO389" t="str">
        <f>IF(次果筐明细!$D389="","",次果筐明细!$D389)</f>
        <v/>
      </c>
      <c r="AP389">
        <f t="shared" si="239"/>
        <v>0</v>
      </c>
      <c r="AQ389">
        <f t="shared" si="240"/>
        <v>1</v>
      </c>
      <c r="AU389" t="str">
        <f>IF(次果筐明细!$C389="","",次果筐明细!$C389)</f>
        <v/>
      </c>
      <c r="AV389">
        <f t="shared" si="241"/>
        <v>0</v>
      </c>
      <c r="AW389">
        <f t="shared" si="242"/>
        <v>1</v>
      </c>
      <c r="BS389" t="str">
        <f t="shared" si="225"/>
        <v/>
      </c>
      <c r="BT389">
        <f t="shared" si="243"/>
        <v>0</v>
      </c>
      <c r="BU389">
        <f t="shared" si="244"/>
        <v>14</v>
      </c>
      <c r="BY389" t="str">
        <f t="shared" si="226"/>
        <v/>
      </c>
      <c r="BZ389">
        <f t="shared" si="245"/>
        <v>0</v>
      </c>
      <c r="CA389">
        <f t="shared" si="246"/>
        <v>16</v>
      </c>
      <c r="CP389">
        <f>IF(包装物料出入库明细!$D389="",0,1)</f>
        <v>0</v>
      </c>
      <c r="CQ389">
        <f t="shared" si="247"/>
        <v>37</v>
      </c>
      <c r="CS389" t="str">
        <f>IF(OR(周转筐出入库明细!$C390="",周转筐出入库明细!$F390&lt;&gt;"采购入库"),"",周转筐出入库明细!$C390)</f>
        <v/>
      </c>
      <c r="CT389">
        <f t="shared" si="248"/>
        <v>0</v>
      </c>
      <c r="CU389">
        <f t="shared" si="249"/>
        <v>1</v>
      </c>
    </row>
    <row r="390" spans="1:99">
      <c r="A390" t="str">
        <f>IF(包装物料出入库明细!$E390="","",包装物料出入库明细!$E390)</f>
        <v/>
      </c>
      <c r="B390">
        <f t="shared" si="227"/>
        <v>0</v>
      </c>
      <c r="C390">
        <f t="shared" si="228"/>
        <v>7</v>
      </c>
      <c r="D390" t="str">
        <f>IF(包装物料出入库明细!$E390="","",包装物料出入库明细!$F390)</f>
        <v/>
      </c>
      <c r="E390" t="str">
        <f>IF(包装物料出入库明细!$E390="","",包装物料出入库明细!$G390)</f>
        <v/>
      </c>
      <c r="K390" t="str">
        <f>IF(包装物料出入库明细!$D390="","",包装物料出入库明细!$D390)</f>
        <v/>
      </c>
      <c r="L390">
        <f t="shared" si="229"/>
        <v>0</v>
      </c>
      <c r="M390">
        <f t="shared" si="230"/>
        <v>9</v>
      </c>
      <c r="Q390" t="str">
        <f>IF(周转筐出入库明细!$D391="","",周转筐出入库明细!$D391)</f>
        <v/>
      </c>
      <c r="R390">
        <f t="shared" si="231"/>
        <v>0</v>
      </c>
      <c r="S390">
        <f t="shared" si="232"/>
        <v>5</v>
      </c>
      <c r="W390" t="str">
        <f>IF(周转筐出入库明细!$C391="","",周转筐出入库明细!$C391)</f>
        <v/>
      </c>
      <c r="X390">
        <f t="shared" si="233"/>
        <v>0</v>
      </c>
      <c r="Y390">
        <f t="shared" si="234"/>
        <v>12</v>
      </c>
      <c r="AC390" t="str">
        <f>IF(客户自备加工筐明细!$C390="","",客户自备加工筐明细!$C390)</f>
        <v/>
      </c>
      <c r="AD390">
        <f t="shared" si="235"/>
        <v>0</v>
      </c>
      <c r="AE390">
        <f t="shared" si="236"/>
        <v>1</v>
      </c>
      <c r="AI390" t="str">
        <f>IF(客户自备加工筐明细!$E390="","",客户自备加工筐明细!$E390)</f>
        <v/>
      </c>
      <c r="AJ390">
        <f t="shared" si="237"/>
        <v>0</v>
      </c>
      <c r="AK390">
        <f t="shared" si="238"/>
        <v>1</v>
      </c>
      <c r="AO390" t="str">
        <f>IF(次果筐明细!$D390="","",次果筐明细!$D390)</f>
        <v/>
      </c>
      <c r="AP390">
        <f t="shared" si="239"/>
        <v>0</v>
      </c>
      <c r="AQ390">
        <f t="shared" si="240"/>
        <v>1</v>
      </c>
      <c r="AU390" t="str">
        <f>IF(次果筐明细!$C390="","",次果筐明细!$C390)</f>
        <v/>
      </c>
      <c r="AV390">
        <f t="shared" si="241"/>
        <v>0</v>
      </c>
      <c r="AW390">
        <f t="shared" si="242"/>
        <v>1</v>
      </c>
      <c r="BS390" t="str">
        <f t="shared" si="225"/>
        <v/>
      </c>
      <c r="BT390">
        <f t="shared" si="243"/>
        <v>0</v>
      </c>
      <c r="BU390">
        <f t="shared" si="244"/>
        <v>14</v>
      </c>
      <c r="BY390" t="str">
        <f t="shared" si="226"/>
        <v/>
      </c>
      <c r="BZ390">
        <f t="shared" si="245"/>
        <v>0</v>
      </c>
      <c r="CA390">
        <f t="shared" si="246"/>
        <v>16</v>
      </c>
      <c r="CP390">
        <f>IF(包装物料出入库明细!$D390="",0,1)</f>
        <v>0</v>
      </c>
      <c r="CQ390">
        <f t="shared" si="247"/>
        <v>37</v>
      </c>
      <c r="CS390" t="str">
        <f>IF(OR(周转筐出入库明细!$C391="",周转筐出入库明细!$F391&lt;&gt;"采购入库"),"",周转筐出入库明细!$C391)</f>
        <v/>
      </c>
      <c r="CT390">
        <f t="shared" si="248"/>
        <v>0</v>
      </c>
      <c r="CU390">
        <f t="shared" si="249"/>
        <v>1</v>
      </c>
    </row>
    <row r="391" spans="1:99">
      <c r="A391" t="str">
        <f>IF(包装物料出入库明细!$E391="","",包装物料出入库明细!$E391)</f>
        <v/>
      </c>
      <c r="B391">
        <f t="shared" si="227"/>
        <v>0</v>
      </c>
      <c r="C391">
        <f t="shared" si="228"/>
        <v>7</v>
      </c>
      <c r="D391" t="str">
        <f>IF(包装物料出入库明细!$E391="","",包装物料出入库明细!$F391)</f>
        <v/>
      </c>
      <c r="E391" t="str">
        <f>IF(包装物料出入库明细!$E391="","",包装物料出入库明细!$G391)</f>
        <v/>
      </c>
      <c r="K391" t="str">
        <f>IF(包装物料出入库明细!$D391="","",包装物料出入库明细!$D391)</f>
        <v/>
      </c>
      <c r="L391">
        <f t="shared" si="229"/>
        <v>0</v>
      </c>
      <c r="M391">
        <f t="shared" si="230"/>
        <v>9</v>
      </c>
      <c r="Q391" t="str">
        <f>IF(周转筐出入库明细!$D392="","",周转筐出入库明细!$D392)</f>
        <v/>
      </c>
      <c r="R391">
        <f t="shared" si="231"/>
        <v>0</v>
      </c>
      <c r="S391">
        <f t="shared" si="232"/>
        <v>5</v>
      </c>
      <c r="W391" t="str">
        <f>IF(周转筐出入库明细!$C392="","",周转筐出入库明细!$C392)</f>
        <v/>
      </c>
      <c r="X391">
        <f t="shared" si="233"/>
        <v>0</v>
      </c>
      <c r="Y391">
        <f t="shared" si="234"/>
        <v>12</v>
      </c>
      <c r="AC391" t="str">
        <f>IF(客户自备加工筐明细!$C391="","",客户自备加工筐明细!$C391)</f>
        <v/>
      </c>
      <c r="AD391">
        <f t="shared" si="235"/>
        <v>0</v>
      </c>
      <c r="AE391">
        <f t="shared" si="236"/>
        <v>1</v>
      </c>
      <c r="AI391" t="str">
        <f>IF(客户自备加工筐明细!$E391="","",客户自备加工筐明细!$E391)</f>
        <v/>
      </c>
      <c r="AJ391">
        <f t="shared" si="237"/>
        <v>0</v>
      </c>
      <c r="AK391">
        <f t="shared" si="238"/>
        <v>1</v>
      </c>
      <c r="AO391" t="str">
        <f>IF(次果筐明细!$D391="","",次果筐明细!$D391)</f>
        <v/>
      </c>
      <c r="AP391">
        <f t="shared" si="239"/>
        <v>0</v>
      </c>
      <c r="AQ391">
        <f t="shared" si="240"/>
        <v>1</v>
      </c>
      <c r="AU391" t="str">
        <f>IF(次果筐明细!$C391="","",次果筐明细!$C391)</f>
        <v/>
      </c>
      <c r="AV391">
        <f t="shared" si="241"/>
        <v>0</v>
      </c>
      <c r="AW391">
        <f t="shared" si="242"/>
        <v>1</v>
      </c>
      <c r="BS391" t="str">
        <f t="shared" si="225"/>
        <v/>
      </c>
      <c r="BT391">
        <f t="shared" si="243"/>
        <v>0</v>
      </c>
      <c r="BU391">
        <f t="shared" si="244"/>
        <v>14</v>
      </c>
      <c r="BY391" t="str">
        <f t="shared" si="226"/>
        <v/>
      </c>
      <c r="BZ391">
        <f t="shared" si="245"/>
        <v>0</v>
      </c>
      <c r="CA391">
        <f t="shared" si="246"/>
        <v>16</v>
      </c>
      <c r="CP391">
        <f>IF(包装物料出入库明细!$D391="",0,1)</f>
        <v>0</v>
      </c>
      <c r="CQ391">
        <f t="shared" si="247"/>
        <v>37</v>
      </c>
      <c r="CS391" t="str">
        <f>IF(OR(周转筐出入库明细!$C392="",周转筐出入库明细!$F392&lt;&gt;"采购入库"),"",周转筐出入库明细!$C392)</f>
        <v/>
      </c>
      <c r="CT391">
        <f t="shared" si="248"/>
        <v>0</v>
      </c>
      <c r="CU391">
        <f t="shared" si="249"/>
        <v>1</v>
      </c>
    </row>
    <row r="392" spans="1:99">
      <c r="A392" t="str">
        <f>IF(包装物料出入库明细!$E392="","",包装物料出入库明细!$E392)</f>
        <v/>
      </c>
      <c r="B392">
        <f t="shared" si="227"/>
        <v>0</v>
      </c>
      <c r="C392">
        <f t="shared" si="228"/>
        <v>7</v>
      </c>
      <c r="D392" t="str">
        <f>IF(包装物料出入库明细!$E392="","",包装物料出入库明细!$F392)</f>
        <v/>
      </c>
      <c r="E392" t="str">
        <f>IF(包装物料出入库明细!$E392="","",包装物料出入库明细!$G392)</f>
        <v/>
      </c>
      <c r="K392" t="str">
        <f>IF(包装物料出入库明细!$D392="","",包装物料出入库明细!$D392)</f>
        <v/>
      </c>
      <c r="L392">
        <f t="shared" si="229"/>
        <v>0</v>
      </c>
      <c r="M392">
        <f t="shared" si="230"/>
        <v>9</v>
      </c>
      <c r="Q392" t="str">
        <f>IF(周转筐出入库明细!$D393="","",周转筐出入库明细!$D393)</f>
        <v/>
      </c>
      <c r="R392">
        <f t="shared" si="231"/>
        <v>0</v>
      </c>
      <c r="S392">
        <f t="shared" si="232"/>
        <v>5</v>
      </c>
      <c r="W392" t="str">
        <f>IF(周转筐出入库明细!$C393="","",周转筐出入库明细!$C393)</f>
        <v/>
      </c>
      <c r="X392">
        <f t="shared" si="233"/>
        <v>0</v>
      </c>
      <c r="Y392">
        <f t="shared" si="234"/>
        <v>12</v>
      </c>
      <c r="AC392" t="str">
        <f>IF(客户自备加工筐明细!$C392="","",客户自备加工筐明细!$C392)</f>
        <v/>
      </c>
      <c r="AD392">
        <f t="shared" si="235"/>
        <v>0</v>
      </c>
      <c r="AE392">
        <f t="shared" si="236"/>
        <v>1</v>
      </c>
      <c r="AI392" t="str">
        <f>IF(客户自备加工筐明细!$E392="","",客户自备加工筐明细!$E392)</f>
        <v/>
      </c>
      <c r="AJ392">
        <f t="shared" si="237"/>
        <v>0</v>
      </c>
      <c r="AK392">
        <f t="shared" si="238"/>
        <v>1</v>
      </c>
      <c r="AO392" t="str">
        <f>IF(次果筐明细!$D392="","",次果筐明细!$D392)</f>
        <v/>
      </c>
      <c r="AP392">
        <f t="shared" si="239"/>
        <v>0</v>
      </c>
      <c r="AQ392">
        <f t="shared" si="240"/>
        <v>1</v>
      </c>
      <c r="AU392" t="str">
        <f>IF(次果筐明细!$C392="","",次果筐明细!$C392)</f>
        <v/>
      </c>
      <c r="AV392">
        <f t="shared" si="241"/>
        <v>0</v>
      </c>
      <c r="AW392">
        <f t="shared" si="242"/>
        <v>1</v>
      </c>
      <c r="BS392" t="str">
        <f t="shared" si="225"/>
        <v/>
      </c>
      <c r="BT392">
        <f t="shared" si="243"/>
        <v>0</v>
      </c>
      <c r="BU392">
        <f t="shared" si="244"/>
        <v>14</v>
      </c>
      <c r="BY392" t="str">
        <f t="shared" si="226"/>
        <v/>
      </c>
      <c r="BZ392">
        <f t="shared" si="245"/>
        <v>0</v>
      </c>
      <c r="CA392">
        <f t="shared" si="246"/>
        <v>16</v>
      </c>
      <c r="CP392">
        <f>IF(包装物料出入库明细!$D392="",0,1)</f>
        <v>0</v>
      </c>
      <c r="CQ392">
        <f t="shared" si="247"/>
        <v>37</v>
      </c>
      <c r="CS392" t="str">
        <f>IF(OR(周转筐出入库明细!$C393="",周转筐出入库明细!$F393&lt;&gt;"采购入库"),"",周转筐出入库明细!$C393)</f>
        <v/>
      </c>
      <c r="CT392">
        <f t="shared" si="248"/>
        <v>0</v>
      </c>
      <c r="CU392">
        <f t="shared" si="249"/>
        <v>1</v>
      </c>
    </row>
    <row r="393" spans="1:99">
      <c r="A393" t="str">
        <f>IF(包装物料出入库明细!$E393="","",包装物料出入库明细!$E393)</f>
        <v/>
      </c>
      <c r="B393">
        <f t="shared" si="227"/>
        <v>0</v>
      </c>
      <c r="C393">
        <f t="shared" si="228"/>
        <v>7</v>
      </c>
      <c r="D393" t="str">
        <f>IF(包装物料出入库明细!$E393="","",包装物料出入库明细!$F393)</f>
        <v/>
      </c>
      <c r="E393" t="str">
        <f>IF(包装物料出入库明细!$E393="","",包装物料出入库明细!$G393)</f>
        <v/>
      </c>
      <c r="K393" t="str">
        <f>IF(包装物料出入库明细!$D393="","",包装物料出入库明细!$D393)</f>
        <v/>
      </c>
      <c r="L393">
        <f t="shared" si="229"/>
        <v>0</v>
      </c>
      <c r="M393">
        <f t="shared" si="230"/>
        <v>9</v>
      </c>
      <c r="Q393" t="str">
        <f>IF(周转筐出入库明细!$D394="","",周转筐出入库明细!$D394)</f>
        <v/>
      </c>
      <c r="R393">
        <f t="shared" si="231"/>
        <v>0</v>
      </c>
      <c r="S393">
        <f t="shared" si="232"/>
        <v>5</v>
      </c>
      <c r="W393" t="str">
        <f>IF(周转筐出入库明细!$C394="","",周转筐出入库明细!$C394)</f>
        <v/>
      </c>
      <c r="X393">
        <f t="shared" si="233"/>
        <v>0</v>
      </c>
      <c r="Y393">
        <f t="shared" si="234"/>
        <v>12</v>
      </c>
      <c r="AC393" t="str">
        <f>IF(客户自备加工筐明细!$C393="","",客户自备加工筐明细!$C393)</f>
        <v/>
      </c>
      <c r="AD393">
        <f t="shared" si="235"/>
        <v>0</v>
      </c>
      <c r="AE393">
        <f t="shared" si="236"/>
        <v>1</v>
      </c>
      <c r="AI393" t="str">
        <f>IF(客户自备加工筐明细!$E393="","",客户自备加工筐明细!$E393)</f>
        <v/>
      </c>
      <c r="AJ393">
        <f t="shared" si="237"/>
        <v>0</v>
      </c>
      <c r="AK393">
        <f t="shared" si="238"/>
        <v>1</v>
      </c>
      <c r="AO393" t="str">
        <f>IF(次果筐明细!$D393="","",次果筐明细!$D393)</f>
        <v/>
      </c>
      <c r="AP393">
        <f t="shared" si="239"/>
        <v>0</v>
      </c>
      <c r="AQ393">
        <f t="shared" si="240"/>
        <v>1</v>
      </c>
      <c r="AU393" t="str">
        <f>IF(次果筐明细!$C393="","",次果筐明细!$C393)</f>
        <v/>
      </c>
      <c r="AV393">
        <f t="shared" si="241"/>
        <v>0</v>
      </c>
      <c r="AW393">
        <f t="shared" si="242"/>
        <v>1</v>
      </c>
      <c r="BS393" t="str">
        <f t="shared" si="225"/>
        <v/>
      </c>
      <c r="BT393">
        <f t="shared" si="243"/>
        <v>0</v>
      </c>
      <c r="BU393">
        <f t="shared" si="244"/>
        <v>14</v>
      </c>
      <c r="BY393" t="str">
        <f t="shared" si="226"/>
        <v/>
      </c>
      <c r="BZ393">
        <f t="shared" si="245"/>
        <v>0</v>
      </c>
      <c r="CA393">
        <f t="shared" si="246"/>
        <v>16</v>
      </c>
      <c r="CP393">
        <f>IF(包装物料出入库明细!$D393="",0,1)</f>
        <v>0</v>
      </c>
      <c r="CQ393">
        <f t="shared" si="247"/>
        <v>37</v>
      </c>
      <c r="CS393" t="str">
        <f>IF(OR(周转筐出入库明细!$C394="",周转筐出入库明细!$F394&lt;&gt;"采购入库"),"",周转筐出入库明细!$C394)</f>
        <v/>
      </c>
      <c r="CT393">
        <f t="shared" si="248"/>
        <v>0</v>
      </c>
      <c r="CU393">
        <f t="shared" si="249"/>
        <v>1</v>
      </c>
    </row>
    <row r="394" spans="1:99">
      <c r="A394" t="str">
        <f>IF(包装物料出入库明细!$E394="","",包装物料出入库明细!$E394)</f>
        <v/>
      </c>
      <c r="B394">
        <f t="shared" si="227"/>
        <v>0</v>
      </c>
      <c r="C394">
        <f t="shared" si="228"/>
        <v>7</v>
      </c>
      <c r="D394" t="str">
        <f>IF(包装物料出入库明细!$E394="","",包装物料出入库明细!$F394)</f>
        <v/>
      </c>
      <c r="E394" t="str">
        <f>IF(包装物料出入库明细!$E394="","",包装物料出入库明细!$G394)</f>
        <v/>
      </c>
      <c r="K394" t="str">
        <f>IF(包装物料出入库明细!$D394="","",包装物料出入库明细!$D394)</f>
        <v/>
      </c>
      <c r="L394">
        <f t="shared" si="229"/>
        <v>0</v>
      </c>
      <c r="M394">
        <f t="shared" si="230"/>
        <v>9</v>
      </c>
      <c r="Q394" t="str">
        <f>IF(周转筐出入库明细!$D395="","",周转筐出入库明细!$D395)</f>
        <v/>
      </c>
      <c r="R394">
        <f t="shared" si="231"/>
        <v>0</v>
      </c>
      <c r="S394">
        <f t="shared" si="232"/>
        <v>5</v>
      </c>
      <c r="W394" t="str">
        <f>IF(周转筐出入库明细!$C395="","",周转筐出入库明细!$C395)</f>
        <v/>
      </c>
      <c r="X394">
        <f t="shared" si="233"/>
        <v>0</v>
      </c>
      <c r="Y394">
        <f t="shared" si="234"/>
        <v>12</v>
      </c>
      <c r="AC394" t="str">
        <f>IF(客户自备加工筐明细!$C394="","",客户自备加工筐明细!$C394)</f>
        <v/>
      </c>
      <c r="AD394">
        <f t="shared" si="235"/>
        <v>0</v>
      </c>
      <c r="AE394">
        <f t="shared" si="236"/>
        <v>1</v>
      </c>
      <c r="AI394" t="str">
        <f>IF(客户自备加工筐明细!$E394="","",客户自备加工筐明细!$E394)</f>
        <v/>
      </c>
      <c r="AJ394">
        <f t="shared" si="237"/>
        <v>0</v>
      </c>
      <c r="AK394">
        <f t="shared" si="238"/>
        <v>1</v>
      </c>
      <c r="AO394" t="str">
        <f>IF(次果筐明细!$D394="","",次果筐明细!$D394)</f>
        <v/>
      </c>
      <c r="AP394">
        <f t="shared" si="239"/>
        <v>0</v>
      </c>
      <c r="AQ394">
        <f t="shared" si="240"/>
        <v>1</v>
      </c>
      <c r="AU394" t="str">
        <f>IF(次果筐明细!$C394="","",次果筐明细!$C394)</f>
        <v/>
      </c>
      <c r="AV394">
        <f t="shared" si="241"/>
        <v>0</v>
      </c>
      <c r="AW394">
        <f t="shared" si="242"/>
        <v>1</v>
      </c>
      <c r="BS394" t="str">
        <f t="shared" si="225"/>
        <v/>
      </c>
      <c r="BT394">
        <f t="shared" si="243"/>
        <v>0</v>
      </c>
      <c r="BU394">
        <f t="shared" si="244"/>
        <v>14</v>
      </c>
      <c r="BY394" t="str">
        <f t="shared" si="226"/>
        <v/>
      </c>
      <c r="BZ394">
        <f t="shared" si="245"/>
        <v>0</v>
      </c>
      <c r="CA394">
        <f t="shared" si="246"/>
        <v>16</v>
      </c>
      <c r="CP394">
        <f>IF(包装物料出入库明细!$D394="",0,1)</f>
        <v>0</v>
      </c>
      <c r="CQ394">
        <f t="shared" si="247"/>
        <v>37</v>
      </c>
      <c r="CS394" t="str">
        <f>IF(OR(周转筐出入库明细!$C395="",周转筐出入库明细!$F395&lt;&gt;"采购入库"),"",周转筐出入库明细!$C395)</f>
        <v/>
      </c>
      <c r="CT394">
        <f t="shared" si="248"/>
        <v>0</v>
      </c>
      <c r="CU394">
        <f t="shared" si="249"/>
        <v>1</v>
      </c>
    </row>
    <row r="395" spans="1:99">
      <c r="A395" t="str">
        <f>IF(包装物料出入库明细!$E395="","",包装物料出入库明细!$E395)</f>
        <v/>
      </c>
      <c r="B395">
        <f t="shared" si="227"/>
        <v>0</v>
      </c>
      <c r="C395">
        <f t="shared" si="228"/>
        <v>7</v>
      </c>
      <c r="D395" t="str">
        <f>IF(包装物料出入库明细!$E395="","",包装物料出入库明细!$F395)</f>
        <v/>
      </c>
      <c r="E395" t="str">
        <f>IF(包装物料出入库明细!$E395="","",包装物料出入库明细!$G395)</f>
        <v/>
      </c>
      <c r="K395" t="str">
        <f>IF(包装物料出入库明细!$D395="","",包装物料出入库明细!$D395)</f>
        <v/>
      </c>
      <c r="L395">
        <f t="shared" si="229"/>
        <v>0</v>
      </c>
      <c r="M395">
        <f t="shared" si="230"/>
        <v>9</v>
      </c>
      <c r="Q395" t="str">
        <f>IF(周转筐出入库明细!$D396="","",周转筐出入库明细!$D396)</f>
        <v/>
      </c>
      <c r="R395">
        <f t="shared" si="231"/>
        <v>0</v>
      </c>
      <c r="S395">
        <f t="shared" si="232"/>
        <v>5</v>
      </c>
      <c r="W395" t="str">
        <f>IF(周转筐出入库明细!$C396="","",周转筐出入库明细!$C396)</f>
        <v/>
      </c>
      <c r="X395">
        <f t="shared" si="233"/>
        <v>0</v>
      </c>
      <c r="Y395">
        <f t="shared" si="234"/>
        <v>12</v>
      </c>
      <c r="AC395" t="str">
        <f>IF(客户自备加工筐明细!$C395="","",客户自备加工筐明细!$C395)</f>
        <v/>
      </c>
      <c r="AD395">
        <f t="shared" si="235"/>
        <v>0</v>
      </c>
      <c r="AE395">
        <f t="shared" si="236"/>
        <v>1</v>
      </c>
      <c r="AI395" t="str">
        <f>IF(客户自备加工筐明细!$E395="","",客户自备加工筐明细!$E395)</f>
        <v/>
      </c>
      <c r="AJ395">
        <f t="shared" si="237"/>
        <v>0</v>
      </c>
      <c r="AK395">
        <f t="shared" si="238"/>
        <v>1</v>
      </c>
      <c r="AO395" t="str">
        <f>IF(次果筐明细!$D395="","",次果筐明细!$D395)</f>
        <v/>
      </c>
      <c r="AP395">
        <f t="shared" si="239"/>
        <v>0</v>
      </c>
      <c r="AQ395">
        <f t="shared" si="240"/>
        <v>1</v>
      </c>
      <c r="AU395" t="str">
        <f>IF(次果筐明细!$C395="","",次果筐明细!$C395)</f>
        <v/>
      </c>
      <c r="AV395">
        <f t="shared" si="241"/>
        <v>0</v>
      </c>
      <c r="AW395">
        <f t="shared" si="242"/>
        <v>1</v>
      </c>
      <c r="BS395" t="str">
        <f t="shared" si="225"/>
        <v/>
      </c>
      <c r="BT395">
        <f t="shared" si="243"/>
        <v>0</v>
      </c>
      <c r="BU395">
        <f t="shared" si="244"/>
        <v>14</v>
      </c>
      <c r="BY395" t="str">
        <f t="shared" si="226"/>
        <v/>
      </c>
      <c r="BZ395">
        <f t="shared" si="245"/>
        <v>0</v>
      </c>
      <c r="CA395">
        <f t="shared" si="246"/>
        <v>16</v>
      </c>
      <c r="CP395">
        <f>IF(包装物料出入库明细!$D395="",0,1)</f>
        <v>0</v>
      </c>
      <c r="CQ395">
        <f t="shared" si="247"/>
        <v>37</v>
      </c>
      <c r="CS395" t="str">
        <f>IF(OR(周转筐出入库明细!$C396="",周转筐出入库明细!$F396&lt;&gt;"采购入库"),"",周转筐出入库明细!$C396)</f>
        <v/>
      </c>
      <c r="CT395">
        <f t="shared" si="248"/>
        <v>0</v>
      </c>
      <c r="CU395">
        <f t="shared" si="249"/>
        <v>1</v>
      </c>
    </row>
    <row r="396" spans="1:99">
      <c r="A396" t="str">
        <f>IF(包装物料出入库明细!$E396="","",包装物料出入库明细!$E396)</f>
        <v/>
      </c>
      <c r="B396">
        <f t="shared" si="227"/>
        <v>0</v>
      </c>
      <c r="C396">
        <f t="shared" si="228"/>
        <v>7</v>
      </c>
      <c r="D396" t="str">
        <f>IF(包装物料出入库明细!$E396="","",包装物料出入库明细!$F396)</f>
        <v/>
      </c>
      <c r="E396" t="str">
        <f>IF(包装物料出入库明细!$E396="","",包装物料出入库明细!$G396)</f>
        <v/>
      </c>
      <c r="K396" t="str">
        <f>IF(包装物料出入库明细!$D396="","",包装物料出入库明细!$D396)</f>
        <v/>
      </c>
      <c r="L396">
        <f t="shared" si="229"/>
        <v>0</v>
      </c>
      <c r="M396">
        <f t="shared" si="230"/>
        <v>9</v>
      </c>
      <c r="Q396" t="str">
        <f>IF(周转筐出入库明细!$D397="","",周转筐出入库明细!$D397)</f>
        <v/>
      </c>
      <c r="R396">
        <f t="shared" si="231"/>
        <v>0</v>
      </c>
      <c r="S396">
        <f t="shared" si="232"/>
        <v>5</v>
      </c>
      <c r="W396" t="str">
        <f>IF(周转筐出入库明细!$C397="","",周转筐出入库明细!$C397)</f>
        <v/>
      </c>
      <c r="X396">
        <f t="shared" si="233"/>
        <v>0</v>
      </c>
      <c r="Y396">
        <f t="shared" si="234"/>
        <v>12</v>
      </c>
      <c r="AC396" t="str">
        <f>IF(客户自备加工筐明细!$C396="","",客户自备加工筐明细!$C396)</f>
        <v/>
      </c>
      <c r="AD396">
        <f t="shared" si="235"/>
        <v>0</v>
      </c>
      <c r="AE396">
        <f t="shared" si="236"/>
        <v>1</v>
      </c>
      <c r="AI396" t="str">
        <f>IF(客户自备加工筐明细!$E396="","",客户自备加工筐明细!$E396)</f>
        <v/>
      </c>
      <c r="AJ396">
        <f t="shared" si="237"/>
        <v>0</v>
      </c>
      <c r="AK396">
        <f t="shared" si="238"/>
        <v>1</v>
      </c>
      <c r="AO396" t="str">
        <f>IF(次果筐明细!$D396="","",次果筐明细!$D396)</f>
        <v/>
      </c>
      <c r="AP396">
        <f t="shared" si="239"/>
        <v>0</v>
      </c>
      <c r="AQ396">
        <f t="shared" si="240"/>
        <v>1</v>
      </c>
      <c r="AU396" t="str">
        <f>IF(次果筐明细!$C396="","",次果筐明细!$C396)</f>
        <v/>
      </c>
      <c r="AV396">
        <f t="shared" si="241"/>
        <v>0</v>
      </c>
      <c r="AW396">
        <f t="shared" si="242"/>
        <v>1</v>
      </c>
      <c r="BS396" t="str">
        <f t="shared" ref="BS396:BS403" si="250">IF($AA196="","",$AA196)</f>
        <v/>
      </c>
      <c r="BT396">
        <f t="shared" si="243"/>
        <v>0</v>
      </c>
      <c r="BU396">
        <f t="shared" si="244"/>
        <v>14</v>
      </c>
      <c r="BY396" t="str">
        <f t="shared" ref="BY396:BY459" si="251">IF($BE196="","",$BE196)</f>
        <v/>
      </c>
      <c r="BZ396">
        <f t="shared" si="245"/>
        <v>0</v>
      </c>
      <c r="CA396">
        <f t="shared" si="246"/>
        <v>16</v>
      </c>
      <c r="CP396">
        <f>IF(包装物料出入库明细!$D396="",0,1)</f>
        <v>0</v>
      </c>
      <c r="CQ396">
        <f t="shared" si="247"/>
        <v>37</v>
      </c>
      <c r="CS396" t="str">
        <f>IF(OR(周转筐出入库明细!$C397="",周转筐出入库明细!$F397&lt;&gt;"采购入库"),"",周转筐出入库明细!$C397)</f>
        <v/>
      </c>
      <c r="CT396">
        <f t="shared" si="248"/>
        <v>0</v>
      </c>
      <c r="CU396">
        <f t="shared" si="249"/>
        <v>1</v>
      </c>
    </row>
    <row r="397" spans="1:99">
      <c r="A397" t="str">
        <f>IF(包装物料出入库明细!$E397="","",包装物料出入库明细!$E397)</f>
        <v/>
      </c>
      <c r="B397">
        <f t="shared" si="227"/>
        <v>0</v>
      </c>
      <c r="C397">
        <f t="shared" si="228"/>
        <v>7</v>
      </c>
      <c r="D397" t="str">
        <f>IF(包装物料出入库明细!$E397="","",包装物料出入库明细!$F397)</f>
        <v/>
      </c>
      <c r="E397" t="str">
        <f>IF(包装物料出入库明细!$E397="","",包装物料出入库明细!$G397)</f>
        <v/>
      </c>
      <c r="K397" t="str">
        <f>IF(包装物料出入库明细!$D397="","",包装物料出入库明细!$D397)</f>
        <v/>
      </c>
      <c r="L397">
        <f t="shared" si="229"/>
        <v>0</v>
      </c>
      <c r="M397">
        <f t="shared" si="230"/>
        <v>9</v>
      </c>
      <c r="Q397" t="str">
        <f>IF(周转筐出入库明细!$D398="","",周转筐出入库明细!$D398)</f>
        <v/>
      </c>
      <c r="R397">
        <f t="shared" si="231"/>
        <v>0</v>
      </c>
      <c r="S397">
        <f t="shared" si="232"/>
        <v>5</v>
      </c>
      <c r="W397" t="str">
        <f>IF(周转筐出入库明细!$C398="","",周转筐出入库明细!$C398)</f>
        <v/>
      </c>
      <c r="X397">
        <f t="shared" si="233"/>
        <v>0</v>
      </c>
      <c r="Y397">
        <f t="shared" si="234"/>
        <v>12</v>
      </c>
      <c r="AC397" t="str">
        <f>IF(客户自备加工筐明细!$C397="","",客户自备加工筐明细!$C397)</f>
        <v/>
      </c>
      <c r="AD397">
        <f t="shared" si="235"/>
        <v>0</v>
      </c>
      <c r="AE397">
        <f t="shared" si="236"/>
        <v>1</v>
      </c>
      <c r="AI397" t="str">
        <f>IF(客户自备加工筐明细!$E397="","",客户自备加工筐明细!$E397)</f>
        <v/>
      </c>
      <c r="AJ397">
        <f t="shared" si="237"/>
        <v>0</v>
      </c>
      <c r="AK397">
        <f t="shared" si="238"/>
        <v>1</v>
      </c>
      <c r="AO397" t="str">
        <f>IF(次果筐明细!$D397="","",次果筐明细!$D397)</f>
        <v/>
      </c>
      <c r="AP397">
        <f t="shared" si="239"/>
        <v>0</v>
      </c>
      <c r="AQ397">
        <f t="shared" si="240"/>
        <v>1</v>
      </c>
      <c r="AU397" t="str">
        <f>IF(次果筐明细!$C397="","",次果筐明细!$C397)</f>
        <v/>
      </c>
      <c r="AV397">
        <f t="shared" si="241"/>
        <v>0</v>
      </c>
      <c r="AW397">
        <f t="shared" si="242"/>
        <v>1</v>
      </c>
      <c r="BS397" t="str">
        <f t="shared" si="250"/>
        <v/>
      </c>
      <c r="BT397">
        <f t="shared" si="243"/>
        <v>0</v>
      </c>
      <c r="BU397">
        <f t="shared" si="244"/>
        <v>14</v>
      </c>
      <c r="BY397" t="str">
        <f t="shared" si="251"/>
        <v/>
      </c>
      <c r="BZ397">
        <f t="shared" si="245"/>
        <v>0</v>
      </c>
      <c r="CA397">
        <f t="shared" si="246"/>
        <v>16</v>
      </c>
      <c r="CP397">
        <f>IF(包装物料出入库明细!$D397="",0,1)</f>
        <v>0</v>
      </c>
      <c r="CQ397">
        <f t="shared" si="247"/>
        <v>37</v>
      </c>
      <c r="CS397" t="str">
        <f>IF(OR(周转筐出入库明细!$C398="",周转筐出入库明细!$F398&lt;&gt;"采购入库"),"",周转筐出入库明细!$C398)</f>
        <v/>
      </c>
      <c r="CT397">
        <f t="shared" si="248"/>
        <v>0</v>
      </c>
      <c r="CU397">
        <f t="shared" si="249"/>
        <v>1</v>
      </c>
    </row>
    <row r="398" spans="1:99">
      <c r="A398" t="str">
        <f>IF(包装物料出入库明细!$E398="","",包装物料出入库明细!$E398)</f>
        <v/>
      </c>
      <c r="B398">
        <f t="shared" si="227"/>
        <v>0</v>
      </c>
      <c r="C398">
        <f t="shared" si="228"/>
        <v>7</v>
      </c>
      <c r="D398" t="str">
        <f>IF(包装物料出入库明细!$E398="","",包装物料出入库明细!$F398)</f>
        <v/>
      </c>
      <c r="E398" t="str">
        <f>IF(包装物料出入库明细!$E398="","",包装物料出入库明细!$G398)</f>
        <v/>
      </c>
      <c r="K398" t="str">
        <f>IF(包装物料出入库明细!$D398="","",包装物料出入库明细!$D398)</f>
        <v/>
      </c>
      <c r="L398">
        <f t="shared" si="229"/>
        <v>0</v>
      </c>
      <c r="M398">
        <f t="shared" si="230"/>
        <v>9</v>
      </c>
      <c r="Q398" t="str">
        <f>IF(周转筐出入库明细!$D399="","",周转筐出入库明细!$D399)</f>
        <v/>
      </c>
      <c r="R398">
        <f t="shared" si="231"/>
        <v>0</v>
      </c>
      <c r="S398">
        <f t="shared" si="232"/>
        <v>5</v>
      </c>
      <c r="W398" t="str">
        <f>IF(周转筐出入库明细!$C399="","",周转筐出入库明细!$C399)</f>
        <v/>
      </c>
      <c r="X398">
        <f t="shared" si="233"/>
        <v>0</v>
      </c>
      <c r="Y398">
        <f t="shared" si="234"/>
        <v>12</v>
      </c>
      <c r="AC398" t="str">
        <f>IF(客户自备加工筐明细!$C398="","",客户自备加工筐明细!$C398)</f>
        <v/>
      </c>
      <c r="AD398">
        <f t="shared" si="235"/>
        <v>0</v>
      </c>
      <c r="AE398">
        <f t="shared" si="236"/>
        <v>1</v>
      </c>
      <c r="AI398" t="str">
        <f>IF(客户自备加工筐明细!$E398="","",客户自备加工筐明细!$E398)</f>
        <v/>
      </c>
      <c r="AJ398">
        <f t="shared" si="237"/>
        <v>0</v>
      </c>
      <c r="AK398">
        <f t="shared" si="238"/>
        <v>1</v>
      </c>
      <c r="AO398" t="str">
        <f>IF(次果筐明细!$D398="","",次果筐明细!$D398)</f>
        <v/>
      </c>
      <c r="AP398">
        <f t="shared" si="239"/>
        <v>0</v>
      </c>
      <c r="AQ398">
        <f t="shared" si="240"/>
        <v>1</v>
      </c>
      <c r="AU398" t="str">
        <f>IF(次果筐明细!$C398="","",次果筐明细!$C398)</f>
        <v/>
      </c>
      <c r="AV398">
        <f t="shared" si="241"/>
        <v>0</v>
      </c>
      <c r="AW398">
        <f t="shared" si="242"/>
        <v>1</v>
      </c>
      <c r="BS398" t="str">
        <f t="shared" si="250"/>
        <v/>
      </c>
      <c r="BT398">
        <f t="shared" si="243"/>
        <v>0</v>
      </c>
      <c r="BU398">
        <f t="shared" si="244"/>
        <v>14</v>
      </c>
      <c r="BY398" t="str">
        <f t="shared" si="251"/>
        <v/>
      </c>
      <c r="BZ398">
        <f t="shared" si="245"/>
        <v>0</v>
      </c>
      <c r="CA398">
        <f t="shared" si="246"/>
        <v>16</v>
      </c>
      <c r="CP398">
        <f>IF(包装物料出入库明细!$D398="",0,1)</f>
        <v>0</v>
      </c>
      <c r="CQ398">
        <f t="shared" si="247"/>
        <v>37</v>
      </c>
      <c r="CS398" t="str">
        <f>IF(OR(周转筐出入库明细!$C399="",周转筐出入库明细!$F399&lt;&gt;"采购入库"),"",周转筐出入库明细!$C399)</f>
        <v/>
      </c>
      <c r="CT398">
        <f t="shared" si="248"/>
        <v>0</v>
      </c>
      <c r="CU398">
        <f t="shared" si="249"/>
        <v>1</v>
      </c>
    </row>
    <row r="399" spans="1:99">
      <c r="A399" t="str">
        <f>IF(包装物料出入库明细!$E399="","",包装物料出入库明细!$E399)</f>
        <v/>
      </c>
      <c r="B399">
        <f t="shared" si="227"/>
        <v>0</v>
      </c>
      <c r="C399">
        <f t="shared" si="228"/>
        <v>7</v>
      </c>
      <c r="D399" t="str">
        <f>IF(包装物料出入库明细!$E399="","",包装物料出入库明细!$F399)</f>
        <v/>
      </c>
      <c r="E399" t="str">
        <f>IF(包装物料出入库明细!$E399="","",包装物料出入库明细!$G399)</f>
        <v/>
      </c>
      <c r="K399" t="str">
        <f>IF(包装物料出入库明细!$D399="","",包装物料出入库明细!$D399)</f>
        <v/>
      </c>
      <c r="L399">
        <f t="shared" si="229"/>
        <v>0</v>
      </c>
      <c r="M399">
        <f t="shared" si="230"/>
        <v>9</v>
      </c>
      <c r="Q399" t="str">
        <f>IF(周转筐出入库明细!$D400="","",周转筐出入库明细!$D400)</f>
        <v/>
      </c>
      <c r="R399">
        <f t="shared" si="231"/>
        <v>0</v>
      </c>
      <c r="S399">
        <f t="shared" si="232"/>
        <v>5</v>
      </c>
      <c r="W399" t="str">
        <f>IF(周转筐出入库明细!$C400="","",周转筐出入库明细!$C400)</f>
        <v/>
      </c>
      <c r="X399">
        <f t="shared" si="233"/>
        <v>0</v>
      </c>
      <c r="Y399">
        <f t="shared" si="234"/>
        <v>12</v>
      </c>
      <c r="AC399" t="str">
        <f>IF(客户自备加工筐明细!$C399="","",客户自备加工筐明细!$C399)</f>
        <v/>
      </c>
      <c r="AD399">
        <f t="shared" si="235"/>
        <v>0</v>
      </c>
      <c r="AE399">
        <f t="shared" si="236"/>
        <v>1</v>
      </c>
      <c r="AI399" t="str">
        <f>IF(客户自备加工筐明细!$E399="","",客户自备加工筐明细!$E399)</f>
        <v/>
      </c>
      <c r="AJ399">
        <f t="shared" si="237"/>
        <v>0</v>
      </c>
      <c r="AK399">
        <f t="shared" si="238"/>
        <v>1</v>
      </c>
      <c r="AO399" t="str">
        <f>IF(次果筐明细!$D399="","",次果筐明细!$D399)</f>
        <v/>
      </c>
      <c r="AP399">
        <f t="shared" si="239"/>
        <v>0</v>
      </c>
      <c r="AQ399">
        <f t="shared" si="240"/>
        <v>1</v>
      </c>
      <c r="AU399" t="str">
        <f>IF(次果筐明细!$C399="","",次果筐明细!$C399)</f>
        <v/>
      </c>
      <c r="AV399">
        <f t="shared" si="241"/>
        <v>0</v>
      </c>
      <c r="AW399">
        <f t="shared" si="242"/>
        <v>1</v>
      </c>
      <c r="BS399" t="str">
        <f t="shared" si="250"/>
        <v/>
      </c>
      <c r="BT399">
        <f t="shared" si="243"/>
        <v>0</v>
      </c>
      <c r="BU399">
        <f t="shared" si="244"/>
        <v>14</v>
      </c>
      <c r="BY399" t="str">
        <f t="shared" si="251"/>
        <v/>
      </c>
      <c r="BZ399">
        <f t="shared" si="245"/>
        <v>0</v>
      </c>
      <c r="CA399">
        <f t="shared" si="246"/>
        <v>16</v>
      </c>
      <c r="CP399">
        <f>IF(包装物料出入库明细!$D399="",0,1)</f>
        <v>0</v>
      </c>
      <c r="CQ399">
        <f t="shared" si="247"/>
        <v>37</v>
      </c>
      <c r="CS399" t="str">
        <f>IF(OR(周转筐出入库明细!$C400="",周转筐出入库明细!$F400&lt;&gt;"采购入库"),"",周转筐出入库明细!$C400)</f>
        <v/>
      </c>
      <c r="CT399">
        <f t="shared" si="248"/>
        <v>0</v>
      </c>
      <c r="CU399">
        <f t="shared" si="249"/>
        <v>1</v>
      </c>
    </row>
    <row r="400" spans="1:99">
      <c r="A400" t="str">
        <f>IF(包装物料出入库明细!$E400="","",包装物料出入库明细!$E400)</f>
        <v/>
      </c>
      <c r="B400">
        <f t="shared" si="227"/>
        <v>0</v>
      </c>
      <c r="C400">
        <f t="shared" si="228"/>
        <v>7</v>
      </c>
      <c r="D400" t="str">
        <f>IF(包装物料出入库明细!$E400="","",包装物料出入库明细!$F400)</f>
        <v/>
      </c>
      <c r="E400" t="str">
        <f>IF(包装物料出入库明细!$E400="","",包装物料出入库明细!$G400)</f>
        <v/>
      </c>
      <c r="K400" t="str">
        <f>IF(包装物料出入库明细!$D400="","",包装物料出入库明细!$D400)</f>
        <v/>
      </c>
      <c r="L400">
        <f t="shared" si="229"/>
        <v>0</v>
      </c>
      <c r="M400">
        <f t="shared" si="230"/>
        <v>9</v>
      </c>
      <c r="Q400" t="str">
        <f>IF(周转筐出入库明细!$D401="","",周转筐出入库明细!$D401)</f>
        <v/>
      </c>
      <c r="R400">
        <f t="shared" si="231"/>
        <v>0</v>
      </c>
      <c r="S400">
        <f t="shared" si="232"/>
        <v>5</v>
      </c>
      <c r="W400" t="str">
        <f>IF(周转筐出入库明细!$C401="","",周转筐出入库明细!$C401)</f>
        <v/>
      </c>
      <c r="X400">
        <f t="shared" si="233"/>
        <v>0</v>
      </c>
      <c r="Y400">
        <f t="shared" si="234"/>
        <v>12</v>
      </c>
      <c r="AC400" t="str">
        <f>IF(客户自备加工筐明细!$C400="","",客户自备加工筐明细!$C400)</f>
        <v/>
      </c>
      <c r="AD400">
        <f t="shared" si="235"/>
        <v>0</v>
      </c>
      <c r="AE400">
        <f t="shared" si="236"/>
        <v>1</v>
      </c>
      <c r="AI400" t="str">
        <f>IF(客户自备加工筐明细!$E400="","",客户自备加工筐明细!$E400)</f>
        <v/>
      </c>
      <c r="AJ400">
        <f t="shared" si="237"/>
        <v>0</v>
      </c>
      <c r="AK400">
        <f t="shared" si="238"/>
        <v>1</v>
      </c>
      <c r="AO400" t="str">
        <f>IF(次果筐明细!$D400="","",次果筐明细!$D400)</f>
        <v/>
      </c>
      <c r="AP400">
        <f t="shared" si="239"/>
        <v>0</v>
      </c>
      <c r="AQ400">
        <f t="shared" si="240"/>
        <v>1</v>
      </c>
      <c r="AU400" t="str">
        <f>IF(次果筐明细!$C400="","",次果筐明细!$C400)</f>
        <v/>
      </c>
      <c r="AV400">
        <f t="shared" si="241"/>
        <v>0</v>
      </c>
      <c r="AW400">
        <f t="shared" si="242"/>
        <v>1</v>
      </c>
      <c r="BS400" t="str">
        <f t="shared" si="250"/>
        <v/>
      </c>
      <c r="BT400">
        <f t="shared" si="243"/>
        <v>0</v>
      </c>
      <c r="BU400">
        <f t="shared" si="244"/>
        <v>14</v>
      </c>
      <c r="BY400" t="str">
        <f t="shared" si="251"/>
        <v/>
      </c>
      <c r="BZ400">
        <f t="shared" si="245"/>
        <v>0</v>
      </c>
      <c r="CA400">
        <f t="shared" si="246"/>
        <v>16</v>
      </c>
      <c r="CP400">
        <f>IF(包装物料出入库明细!$D400="",0,1)</f>
        <v>0</v>
      </c>
      <c r="CQ400">
        <f t="shared" si="247"/>
        <v>37</v>
      </c>
      <c r="CS400" t="str">
        <f>IF(OR(周转筐出入库明细!$C401="",周转筐出入库明细!$F401&lt;&gt;"采购入库"),"",周转筐出入库明细!$C401)</f>
        <v/>
      </c>
      <c r="CT400">
        <f t="shared" si="248"/>
        <v>0</v>
      </c>
      <c r="CU400">
        <f t="shared" si="249"/>
        <v>1</v>
      </c>
    </row>
    <row r="401" spans="1:99">
      <c r="A401" t="str">
        <f>IF(包装物料出入库明细!$E401="","",包装物料出入库明细!$E401)</f>
        <v/>
      </c>
      <c r="B401">
        <f t="shared" si="227"/>
        <v>0</v>
      </c>
      <c r="C401">
        <f t="shared" si="228"/>
        <v>7</v>
      </c>
      <c r="D401" t="str">
        <f>IF(包装物料出入库明细!$E401="","",包装物料出入库明细!$F401)</f>
        <v/>
      </c>
      <c r="E401" t="str">
        <f>IF(包装物料出入库明细!$E401="","",包装物料出入库明细!$G401)</f>
        <v/>
      </c>
      <c r="K401" t="str">
        <f>IF(包装物料出入库明细!$D401="","",包装物料出入库明细!$D401)</f>
        <v/>
      </c>
      <c r="L401">
        <f t="shared" si="229"/>
        <v>0</v>
      </c>
      <c r="M401">
        <f t="shared" si="230"/>
        <v>9</v>
      </c>
      <c r="Q401" t="str">
        <f>IF(周转筐出入库明细!$D402="","",周转筐出入库明细!$D402)</f>
        <v/>
      </c>
      <c r="R401">
        <f t="shared" si="231"/>
        <v>0</v>
      </c>
      <c r="S401">
        <f t="shared" si="232"/>
        <v>5</v>
      </c>
      <c r="W401" t="str">
        <f>IF(周转筐出入库明细!$C402="","",周转筐出入库明细!$C402)</f>
        <v/>
      </c>
      <c r="X401">
        <f t="shared" si="233"/>
        <v>0</v>
      </c>
      <c r="Y401">
        <f t="shared" si="234"/>
        <v>12</v>
      </c>
      <c r="AC401" t="str">
        <f>IF(客户自备加工筐明细!$C401="","",客户自备加工筐明细!$C401)</f>
        <v/>
      </c>
      <c r="AD401">
        <f t="shared" si="235"/>
        <v>0</v>
      </c>
      <c r="AE401">
        <f t="shared" si="236"/>
        <v>1</v>
      </c>
      <c r="AI401" t="str">
        <f>IF(客户自备加工筐明细!$E401="","",客户自备加工筐明细!$E401)</f>
        <v/>
      </c>
      <c r="AJ401">
        <f t="shared" si="237"/>
        <v>0</v>
      </c>
      <c r="AK401">
        <f t="shared" si="238"/>
        <v>1</v>
      </c>
      <c r="AO401" t="str">
        <f>IF(次果筐明细!$D401="","",次果筐明细!$D401)</f>
        <v/>
      </c>
      <c r="AP401">
        <f t="shared" si="239"/>
        <v>0</v>
      </c>
      <c r="AQ401">
        <f t="shared" si="240"/>
        <v>1</v>
      </c>
      <c r="AU401" t="str">
        <f>IF(次果筐明细!$C401="","",次果筐明细!$C401)</f>
        <v/>
      </c>
      <c r="AV401">
        <f t="shared" si="241"/>
        <v>0</v>
      </c>
      <c r="AW401">
        <f t="shared" si="242"/>
        <v>1</v>
      </c>
      <c r="BS401" t="str">
        <f t="shared" si="250"/>
        <v/>
      </c>
      <c r="BT401">
        <f t="shared" si="243"/>
        <v>0</v>
      </c>
      <c r="BU401">
        <f t="shared" si="244"/>
        <v>14</v>
      </c>
      <c r="BY401" t="str">
        <f t="shared" si="251"/>
        <v/>
      </c>
      <c r="BZ401">
        <f t="shared" si="245"/>
        <v>0</v>
      </c>
      <c r="CA401">
        <f t="shared" si="246"/>
        <v>16</v>
      </c>
      <c r="CP401">
        <f>IF(包装物料出入库明细!$D401="",0,1)</f>
        <v>0</v>
      </c>
      <c r="CQ401">
        <f t="shared" si="247"/>
        <v>37</v>
      </c>
      <c r="CS401" t="str">
        <f>IF(OR(周转筐出入库明细!$C402="",周转筐出入库明细!$F402&lt;&gt;"采购入库"),"",周转筐出入库明细!$C402)</f>
        <v/>
      </c>
      <c r="CT401">
        <f t="shared" si="248"/>
        <v>0</v>
      </c>
      <c r="CU401">
        <f t="shared" si="249"/>
        <v>1</v>
      </c>
    </row>
    <row r="402" spans="1:99">
      <c r="A402" t="str">
        <f>IF(包装物料出入库明细!$E402="","",包装物料出入库明细!$E402)</f>
        <v/>
      </c>
      <c r="B402">
        <f t="shared" si="227"/>
        <v>0</v>
      </c>
      <c r="C402">
        <f t="shared" si="228"/>
        <v>7</v>
      </c>
      <c r="D402" t="str">
        <f>IF(包装物料出入库明细!$E402="","",包装物料出入库明细!$F402)</f>
        <v/>
      </c>
      <c r="E402" t="str">
        <f>IF(包装物料出入库明细!$E402="","",包装物料出入库明细!$G402)</f>
        <v/>
      </c>
      <c r="K402" t="str">
        <f>IF(包装物料出入库明细!$D402="","",包装物料出入库明细!$D402)</f>
        <v/>
      </c>
      <c r="L402">
        <f t="shared" si="229"/>
        <v>0</v>
      </c>
      <c r="M402">
        <f t="shared" si="230"/>
        <v>9</v>
      </c>
      <c r="Q402" t="str">
        <f>IF(周转筐出入库明细!$D403="","",周转筐出入库明细!$D403)</f>
        <v/>
      </c>
      <c r="R402">
        <f t="shared" si="231"/>
        <v>0</v>
      </c>
      <c r="S402">
        <f t="shared" si="232"/>
        <v>5</v>
      </c>
      <c r="W402" t="str">
        <f>IF(周转筐出入库明细!$C403="","",周转筐出入库明细!$C403)</f>
        <v/>
      </c>
      <c r="X402">
        <f t="shared" si="233"/>
        <v>0</v>
      </c>
      <c r="Y402">
        <f t="shared" si="234"/>
        <v>12</v>
      </c>
      <c r="AC402" t="str">
        <f>IF(客户自备加工筐明细!$C402="","",客户自备加工筐明细!$C402)</f>
        <v/>
      </c>
      <c r="AD402">
        <f t="shared" si="235"/>
        <v>0</v>
      </c>
      <c r="AE402">
        <f t="shared" si="236"/>
        <v>1</v>
      </c>
      <c r="AI402" t="str">
        <f>IF(客户自备加工筐明细!$E402="","",客户自备加工筐明细!$E402)</f>
        <v/>
      </c>
      <c r="AJ402">
        <f t="shared" si="237"/>
        <v>0</v>
      </c>
      <c r="AK402">
        <f t="shared" si="238"/>
        <v>1</v>
      </c>
      <c r="AO402" t="str">
        <f>IF(次果筐明细!$D402="","",次果筐明细!$D402)</f>
        <v/>
      </c>
      <c r="AP402">
        <f t="shared" si="239"/>
        <v>0</v>
      </c>
      <c r="AQ402">
        <f t="shared" si="240"/>
        <v>1</v>
      </c>
      <c r="AU402" t="str">
        <f>IF(次果筐明细!$C402="","",次果筐明细!$C402)</f>
        <v/>
      </c>
      <c r="AV402">
        <f t="shared" si="241"/>
        <v>0</v>
      </c>
      <c r="AW402">
        <f t="shared" si="242"/>
        <v>1</v>
      </c>
      <c r="BS402" t="str">
        <f t="shared" si="250"/>
        <v/>
      </c>
      <c r="BT402">
        <f t="shared" si="243"/>
        <v>0</v>
      </c>
      <c r="BU402">
        <f t="shared" si="244"/>
        <v>14</v>
      </c>
      <c r="BY402" t="str">
        <f t="shared" si="251"/>
        <v/>
      </c>
      <c r="BZ402">
        <f t="shared" si="245"/>
        <v>0</v>
      </c>
      <c r="CA402">
        <f t="shared" si="246"/>
        <v>16</v>
      </c>
      <c r="CP402">
        <f>IF(包装物料出入库明细!$D402="",0,1)</f>
        <v>0</v>
      </c>
      <c r="CQ402">
        <f t="shared" si="247"/>
        <v>37</v>
      </c>
      <c r="CS402" t="str">
        <f>IF(OR(周转筐出入库明细!$C403="",周转筐出入库明细!$F403&lt;&gt;"采购入库"),"",周转筐出入库明细!$C403)</f>
        <v/>
      </c>
      <c r="CT402">
        <f t="shared" si="248"/>
        <v>0</v>
      </c>
      <c r="CU402">
        <f t="shared" si="249"/>
        <v>1</v>
      </c>
    </row>
    <row r="403" spans="1:99">
      <c r="A403" t="str">
        <f>IF(包装物料出入库明细!$E403="","",包装物料出入库明细!$E403)</f>
        <v/>
      </c>
      <c r="B403">
        <f t="shared" si="227"/>
        <v>0</v>
      </c>
      <c r="C403">
        <f t="shared" si="228"/>
        <v>7</v>
      </c>
      <c r="D403" t="str">
        <f>IF(包装物料出入库明细!$E403="","",包装物料出入库明细!$F403)</f>
        <v/>
      </c>
      <c r="E403" t="str">
        <f>IF(包装物料出入库明细!$E403="","",包装物料出入库明细!$G403)</f>
        <v/>
      </c>
      <c r="K403" t="str">
        <f>IF(包装物料出入库明细!$D403="","",包装物料出入库明细!$D403)</f>
        <v/>
      </c>
      <c r="L403">
        <f t="shared" si="229"/>
        <v>0</v>
      </c>
      <c r="M403">
        <f t="shared" si="230"/>
        <v>9</v>
      </c>
      <c r="Q403" t="str">
        <f>IF(周转筐出入库明细!$D404="","",周转筐出入库明细!$D404)</f>
        <v/>
      </c>
      <c r="R403">
        <f t="shared" si="231"/>
        <v>0</v>
      </c>
      <c r="S403">
        <f t="shared" si="232"/>
        <v>5</v>
      </c>
      <c r="W403" t="str">
        <f>IF(周转筐出入库明细!$C404="","",周转筐出入库明细!$C404)</f>
        <v/>
      </c>
      <c r="X403">
        <f t="shared" si="233"/>
        <v>0</v>
      </c>
      <c r="Y403">
        <f t="shared" si="234"/>
        <v>12</v>
      </c>
      <c r="AC403" t="str">
        <f>IF(客户自备加工筐明细!$C403="","",客户自备加工筐明细!$C403)</f>
        <v/>
      </c>
      <c r="AD403">
        <f t="shared" si="235"/>
        <v>0</v>
      </c>
      <c r="AE403">
        <f t="shared" si="236"/>
        <v>1</v>
      </c>
      <c r="AI403" t="str">
        <f>IF(客户自备加工筐明细!$E403="","",客户自备加工筐明细!$E403)</f>
        <v/>
      </c>
      <c r="AJ403">
        <f t="shared" si="237"/>
        <v>0</v>
      </c>
      <c r="AK403">
        <f t="shared" si="238"/>
        <v>1</v>
      </c>
      <c r="AO403" t="str">
        <f>IF(次果筐明细!$D403="","",次果筐明细!$D403)</f>
        <v/>
      </c>
      <c r="AP403">
        <f t="shared" si="239"/>
        <v>0</v>
      </c>
      <c r="AQ403">
        <f t="shared" si="240"/>
        <v>1</v>
      </c>
      <c r="AU403" t="str">
        <f>IF(次果筐明细!$C403="","",次果筐明细!$C403)</f>
        <v/>
      </c>
      <c r="AV403">
        <f t="shared" si="241"/>
        <v>0</v>
      </c>
      <c r="AW403">
        <f t="shared" si="242"/>
        <v>1</v>
      </c>
      <c r="BS403" t="str">
        <f t="shared" si="250"/>
        <v/>
      </c>
      <c r="BT403">
        <f t="shared" si="243"/>
        <v>0</v>
      </c>
      <c r="BU403">
        <f t="shared" si="244"/>
        <v>14</v>
      </c>
      <c r="BY403" t="str">
        <f t="shared" si="251"/>
        <v/>
      </c>
      <c r="BZ403">
        <f t="shared" si="245"/>
        <v>0</v>
      </c>
      <c r="CA403">
        <f t="shared" si="246"/>
        <v>16</v>
      </c>
      <c r="CP403">
        <f>IF(包装物料出入库明细!$D403="",0,1)</f>
        <v>0</v>
      </c>
      <c r="CQ403">
        <f t="shared" si="247"/>
        <v>37</v>
      </c>
      <c r="CS403" t="str">
        <f>IF(OR(周转筐出入库明细!$C404="",周转筐出入库明细!$F404&lt;&gt;"采购入库"),"",周转筐出入库明细!$C404)</f>
        <v/>
      </c>
      <c r="CT403">
        <f t="shared" si="248"/>
        <v>0</v>
      </c>
      <c r="CU403">
        <f t="shared" si="249"/>
        <v>1</v>
      </c>
    </row>
    <row r="404" spans="1:99">
      <c r="A404" t="str">
        <f>IF(包装物料出入库明细!$E404="","",包装物料出入库明细!$E404)</f>
        <v/>
      </c>
      <c r="B404">
        <f t="shared" si="227"/>
        <v>0</v>
      </c>
      <c r="C404">
        <f t="shared" si="228"/>
        <v>7</v>
      </c>
      <c r="D404" t="str">
        <f>IF(包装物料出入库明细!$E404="","",包装物料出入库明细!$F404)</f>
        <v/>
      </c>
      <c r="E404" t="str">
        <f>IF(包装物料出入库明细!$E404="","",包装物料出入库明细!$G404)</f>
        <v/>
      </c>
      <c r="K404" t="str">
        <f>IF(包装物料出入库明细!$D404="","",包装物料出入库明细!$D404)</f>
        <v/>
      </c>
      <c r="L404">
        <f t="shared" si="229"/>
        <v>0</v>
      </c>
      <c r="M404">
        <f t="shared" si="230"/>
        <v>9</v>
      </c>
      <c r="Q404" t="str">
        <f>IF(周转筐出入库明细!$D405="","",周转筐出入库明细!$D405)</f>
        <v/>
      </c>
      <c r="R404">
        <f t="shared" si="231"/>
        <v>0</v>
      </c>
      <c r="S404">
        <f t="shared" si="232"/>
        <v>5</v>
      </c>
      <c r="W404" t="str">
        <f>IF(周转筐出入库明细!$C405="","",周转筐出入库明细!$C405)</f>
        <v/>
      </c>
      <c r="X404">
        <f t="shared" si="233"/>
        <v>0</v>
      </c>
      <c r="Y404">
        <f t="shared" si="234"/>
        <v>12</v>
      </c>
      <c r="AC404" t="str">
        <f>IF(客户自备加工筐明细!$C404="","",客户自备加工筐明细!$C404)</f>
        <v/>
      </c>
      <c r="AD404">
        <f t="shared" si="235"/>
        <v>0</v>
      </c>
      <c r="AE404">
        <f t="shared" si="236"/>
        <v>1</v>
      </c>
      <c r="AI404" t="str">
        <f>IF(客户自备加工筐明细!$E404="","",客户自备加工筐明细!$E404)</f>
        <v/>
      </c>
      <c r="AJ404">
        <f t="shared" si="237"/>
        <v>0</v>
      </c>
      <c r="AK404">
        <f t="shared" si="238"/>
        <v>1</v>
      </c>
      <c r="AO404" t="str">
        <f>IF(次果筐明细!$D404="","",次果筐明细!$D404)</f>
        <v/>
      </c>
      <c r="AP404">
        <f t="shared" si="239"/>
        <v>0</v>
      </c>
      <c r="AQ404">
        <f t="shared" si="240"/>
        <v>1</v>
      </c>
      <c r="AU404" t="str">
        <f>IF(次果筐明细!$C404="","",次果筐明细!$C404)</f>
        <v/>
      </c>
      <c r="AV404">
        <f t="shared" si="241"/>
        <v>0</v>
      </c>
      <c r="AW404">
        <f t="shared" si="242"/>
        <v>1</v>
      </c>
      <c r="BS404" t="str">
        <f t="shared" ref="BS404:BS467" si="252">IF($AM4="","",$AM4)</f>
        <v>王照雪</v>
      </c>
      <c r="BT404">
        <f t="shared" si="243"/>
        <v>0</v>
      </c>
      <c r="BU404">
        <f t="shared" si="244"/>
        <v>14</v>
      </c>
      <c r="BY404" t="str">
        <f t="shared" si="251"/>
        <v/>
      </c>
      <c r="BZ404">
        <f t="shared" si="245"/>
        <v>0</v>
      </c>
      <c r="CA404">
        <f t="shared" si="246"/>
        <v>16</v>
      </c>
      <c r="CP404">
        <f>IF(包装物料出入库明细!$D404="",0,1)</f>
        <v>0</v>
      </c>
      <c r="CQ404">
        <f t="shared" si="247"/>
        <v>37</v>
      </c>
      <c r="CS404" t="str">
        <f>IF(OR(周转筐出入库明细!$C405="",周转筐出入库明细!$F405&lt;&gt;"采购入库"),"",周转筐出入库明细!$C405)</f>
        <v/>
      </c>
      <c r="CT404">
        <f t="shared" si="248"/>
        <v>0</v>
      </c>
      <c r="CU404">
        <f t="shared" si="249"/>
        <v>1</v>
      </c>
    </row>
    <row r="405" spans="1:99">
      <c r="A405" t="str">
        <f>IF(包装物料出入库明细!$E405="","",包装物料出入库明细!$E405)</f>
        <v/>
      </c>
      <c r="B405">
        <f t="shared" si="227"/>
        <v>0</v>
      </c>
      <c r="C405">
        <f t="shared" si="228"/>
        <v>7</v>
      </c>
      <c r="D405" t="str">
        <f>IF(包装物料出入库明细!$E405="","",包装物料出入库明细!$F405)</f>
        <v/>
      </c>
      <c r="E405" t="str">
        <f>IF(包装物料出入库明细!$E405="","",包装物料出入库明细!$G405)</f>
        <v/>
      </c>
      <c r="K405" t="str">
        <f>IF(包装物料出入库明细!$D405="","",包装物料出入库明细!$D405)</f>
        <v/>
      </c>
      <c r="L405">
        <f t="shared" si="229"/>
        <v>0</v>
      </c>
      <c r="M405">
        <f t="shared" si="230"/>
        <v>9</v>
      </c>
      <c r="Q405" t="str">
        <f>IF(周转筐出入库明细!$D406="","",周转筐出入库明细!$D406)</f>
        <v/>
      </c>
      <c r="R405">
        <f t="shared" si="231"/>
        <v>0</v>
      </c>
      <c r="S405">
        <f t="shared" si="232"/>
        <v>5</v>
      </c>
      <c r="W405" t="str">
        <f>IF(周转筐出入库明细!$C406="","",周转筐出入库明细!$C406)</f>
        <v/>
      </c>
      <c r="X405">
        <f t="shared" si="233"/>
        <v>0</v>
      </c>
      <c r="Y405">
        <f t="shared" si="234"/>
        <v>12</v>
      </c>
      <c r="AC405" t="str">
        <f>IF(客户自备加工筐明细!$C405="","",客户自备加工筐明细!$C405)</f>
        <v/>
      </c>
      <c r="AD405">
        <f t="shared" si="235"/>
        <v>0</v>
      </c>
      <c r="AE405">
        <f t="shared" si="236"/>
        <v>1</v>
      </c>
      <c r="AI405" t="str">
        <f>IF(客户自备加工筐明细!$E405="","",客户自备加工筐明细!$E405)</f>
        <v/>
      </c>
      <c r="AJ405">
        <f t="shared" si="237"/>
        <v>0</v>
      </c>
      <c r="AK405">
        <f t="shared" si="238"/>
        <v>1</v>
      </c>
      <c r="AO405" t="str">
        <f>IF(次果筐明细!$D405="","",次果筐明细!$D405)</f>
        <v/>
      </c>
      <c r="AP405">
        <f t="shared" si="239"/>
        <v>0</v>
      </c>
      <c r="AQ405">
        <f t="shared" si="240"/>
        <v>1</v>
      </c>
      <c r="AU405" t="str">
        <f>IF(次果筐明细!$C405="","",次果筐明细!$C405)</f>
        <v/>
      </c>
      <c r="AV405">
        <f t="shared" si="241"/>
        <v>0</v>
      </c>
      <c r="AW405">
        <f t="shared" si="242"/>
        <v>1</v>
      </c>
      <c r="BS405" t="str">
        <f t="shared" si="252"/>
        <v>聂新平</v>
      </c>
      <c r="BT405">
        <f t="shared" si="243"/>
        <v>1</v>
      </c>
      <c r="BU405">
        <f t="shared" si="244"/>
        <v>15</v>
      </c>
      <c r="BY405" t="str">
        <f t="shared" si="251"/>
        <v/>
      </c>
      <c r="BZ405">
        <f t="shared" si="245"/>
        <v>0</v>
      </c>
      <c r="CA405">
        <f t="shared" si="246"/>
        <v>16</v>
      </c>
      <c r="CP405">
        <f>IF(包装物料出入库明细!$D405="",0,1)</f>
        <v>0</v>
      </c>
      <c r="CQ405">
        <f t="shared" si="247"/>
        <v>37</v>
      </c>
      <c r="CS405" t="str">
        <f>IF(OR(周转筐出入库明细!$C406="",周转筐出入库明细!$F406&lt;&gt;"采购入库"),"",周转筐出入库明细!$C406)</f>
        <v/>
      </c>
      <c r="CT405">
        <f t="shared" si="248"/>
        <v>0</v>
      </c>
      <c r="CU405">
        <f t="shared" si="249"/>
        <v>1</v>
      </c>
    </row>
    <row r="406" spans="1:99">
      <c r="A406" t="str">
        <f>IF(包装物料出入库明细!$E406="","",包装物料出入库明细!$E406)</f>
        <v/>
      </c>
      <c r="B406">
        <f t="shared" si="227"/>
        <v>0</v>
      </c>
      <c r="C406">
        <f t="shared" si="228"/>
        <v>7</v>
      </c>
      <c r="D406" t="str">
        <f>IF(包装物料出入库明细!$E406="","",包装物料出入库明细!$F406)</f>
        <v/>
      </c>
      <c r="E406" t="str">
        <f>IF(包装物料出入库明细!$E406="","",包装物料出入库明细!$G406)</f>
        <v/>
      </c>
      <c r="K406" t="str">
        <f>IF(包装物料出入库明细!$D406="","",包装物料出入库明细!$D406)</f>
        <v/>
      </c>
      <c r="L406">
        <f t="shared" si="229"/>
        <v>0</v>
      </c>
      <c r="M406">
        <f t="shared" si="230"/>
        <v>9</v>
      </c>
      <c r="Q406" t="str">
        <f>IF(周转筐出入库明细!$D407="","",周转筐出入库明细!$D407)</f>
        <v/>
      </c>
      <c r="R406">
        <f t="shared" si="231"/>
        <v>0</v>
      </c>
      <c r="S406">
        <f t="shared" si="232"/>
        <v>5</v>
      </c>
      <c r="W406" t="str">
        <f>IF(周转筐出入库明细!$C407="","",周转筐出入库明细!$C407)</f>
        <v/>
      </c>
      <c r="X406">
        <f t="shared" si="233"/>
        <v>0</v>
      </c>
      <c r="Y406">
        <f t="shared" si="234"/>
        <v>12</v>
      </c>
      <c r="AC406" t="str">
        <f>IF(客户自备加工筐明细!$C406="","",客户自备加工筐明细!$C406)</f>
        <v/>
      </c>
      <c r="AD406">
        <f t="shared" si="235"/>
        <v>0</v>
      </c>
      <c r="AE406">
        <f t="shared" si="236"/>
        <v>1</v>
      </c>
      <c r="AI406" t="str">
        <f>IF(客户自备加工筐明细!$E406="","",客户自备加工筐明细!$E406)</f>
        <v/>
      </c>
      <c r="AJ406">
        <f t="shared" si="237"/>
        <v>0</v>
      </c>
      <c r="AK406">
        <f t="shared" si="238"/>
        <v>1</v>
      </c>
      <c r="AO406" t="str">
        <f>IF(次果筐明细!$D406="","",次果筐明细!$D406)</f>
        <v/>
      </c>
      <c r="AP406">
        <f t="shared" si="239"/>
        <v>0</v>
      </c>
      <c r="AQ406">
        <f t="shared" si="240"/>
        <v>1</v>
      </c>
      <c r="AU406" t="str">
        <f>IF(次果筐明细!$C406="","",次果筐明细!$C406)</f>
        <v/>
      </c>
      <c r="AV406">
        <f t="shared" si="241"/>
        <v>0</v>
      </c>
      <c r="AW406">
        <f t="shared" si="242"/>
        <v>1</v>
      </c>
      <c r="BS406" t="str">
        <f t="shared" si="252"/>
        <v>伍元虎</v>
      </c>
      <c r="BT406">
        <f t="shared" si="243"/>
        <v>1</v>
      </c>
      <c r="BU406">
        <f t="shared" si="244"/>
        <v>16</v>
      </c>
      <c r="BY406" t="str">
        <f t="shared" si="251"/>
        <v/>
      </c>
      <c r="BZ406">
        <f t="shared" si="245"/>
        <v>0</v>
      </c>
      <c r="CA406">
        <f t="shared" si="246"/>
        <v>16</v>
      </c>
      <c r="CP406">
        <f>IF(包装物料出入库明细!$D406="",0,1)</f>
        <v>0</v>
      </c>
      <c r="CQ406">
        <f t="shared" si="247"/>
        <v>37</v>
      </c>
      <c r="CS406" t="str">
        <f>IF(OR(周转筐出入库明细!$C407="",周转筐出入库明细!$F407&lt;&gt;"采购入库"),"",周转筐出入库明细!$C407)</f>
        <v/>
      </c>
      <c r="CT406">
        <f t="shared" si="248"/>
        <v>0</v>
      </c>
      <c r="CU406">
        <f t="shared" si="249"/>
        <v>1</v>
      </c>
    </row>
    <row r="407" spans="1:99">
      <c r="A407" t="str">
        <f>IF(包装物料出入库明细!$E407="","",包装物料出入库明细!$E407)</f>
        <v/>
      </c>
      <c r="B407">
        <f t="shared" si="227"/>
        <v>0</v>
      </c>
      <c r="C407">
        <f t="shared" si="228"/>
        <v>7</v>
      </c>
      <c r="D407" t="str">
        <f>IF(包装物料出入库明细!$E407="","",包装物料出入库明细!$F407)</f>
        <v/>
      </c>
      <c r="E407" t="str">
        <f>IF(包装物料出入库明细!$E407="","",包装物料出入库明细!$G407)</f>
        <v/>
      </c>
      <c r="K407" t="str">
        <f>IF(包装物料出入库明细!$D407="","",包装物料出入库明细!$D407)</f>
        <v/>
      </c>
      <c r="L407">
        <f t="shared" si="229"/>
        <v>0</v>
      </c>
      <c r="M407">
        <f t="shared" si="230"/>
        <v>9</v>
      </c>
      <c r="Q407" t="str">
        <f>IF(周转筐出入库明细!$D408="","",周转筐出入库明细!$D408)</f>
        <v/>
      </c>
      <c r="R407">
        <f t="shared" si="231"/>
        <v>0</v>
      </c>
      <c r="S407">
        <f t="shared" si="232"/>
        <v>5</v>
      </c>
      <c r="W407" t="str">
        <f>IF(周转筐出入库明细!$C408="","",周转筐出入库明细!$C408)</f>
        <v/>
      </c>
      <c r="X407">
        <f t="shared" si="233"/>
        <v>0</v>
      </c>
      <c r="Y407">
        <f t="shared" si="234"/>
        <v>12</v>
      </c>
      <c r="AC407" t="str">
        <f>IF(客户自备加工筐明细!$C407="","",客户自备加工筐明细!$C407)</f>
        <v/>
      </c>
      <c r="AD407">
        <f t="shared" si="235"/>
        <v>0</v>
      </c>
      <c r="AE407">
        <f t="shared" si="236"/>
        <v>1</v>
      </c>
      <c r="AI407" t="str">
        <f>IF(客户自备加工筐明细!$E407="","",客户自备加工筐明细!$E407)</f>
        <v/>
      </c>
      <c r="AJ407">
        <f t="shared" si="237"/>
        <v>0</v>
      </c>
      <c r="AK407">
        <f t="shared" si="238"/>
        <v>1</v>
      </c>
      <c r="AO407" t="str">
        <f>IF(次果筐明细!$D407="","",次果筐明细!$D407)</f>
        <v/>
      </c>
      <c r="AP407">
        <f t="shared" si="239"/>
        <v>0</v>
      </c>
      <c r="AQ407">
        <f t="shared" si="240"/>
        <v>1</v>
      </c>
      <c r="AU407" t="str">
        <f>IF(次果筐明细!$C407="","",次果筐明细!$C407)</f>
        <v/>
      </c>
      <c r="AV407">
        <f t="shared" si="241"/>
        <v>0</v>
      </c>
      <c r="AW407">
        <f t="shared" si="242"/>
        <v>1</v>
      </c>
      <c r="BS407" t="str">
        <f t="shared" si="252"/>
        <v>马锦祥</v>
      </c>
      <c r="BT407">
        <f t="shared" si="243"/>
        <v>0</v>
      </c>
      <c r="BU407">
        <f t="shared" si="244"/>
        <v>16</v>
      </c>
      <c r="BY407" t="str">
        <f t="shared" si="251"/>
        <v/>
      </c>
      <c r="BZ407">
        <f t="shared" si="245"/>
        <v>0</v>
      </c>
      <c r="CA407">
        <f t="shared" si="246"/>
        <v>16</v>
      </c>
      <c r="CP407">
        <f>IF(包装物料出入库明细!$D407="",0,1)</f>
        <v>0</v>
      </c>
      <c r="CQ407">
        <f t="shared" si="247"/>
        <v>37</v>
      </c>
      <c r="CS407" t="str">
        <f>IF(OR(周转筐出入库明细!$C408="",周转筐出入库明细!$F408&lt;&gt;"采购入库"),"",周转筐出入库明细!$C408)</f>
        <v/>
      </c>
      <c r="CT407">
        <f t="shared" si="248"/>
        <v>0</v>
      </c>
      <c r="CU407">
        <f t="shared" si="249"/>
        <v>1</v>
      </c>
    </row>
    <row r="408" spans="1:99">
      <c r="A408" t="str">
        <f>IF(包装物料出入库明细!$E408="","",包装物料出入库明细!$E408)</f>
        <v/>
      </c>
      <c r="B408">
        <f t="shared" si="227"/>
        <v>0</v>
      </c>
      <c r="C408">
        <f t="shared" si="228"/>
        <v>7</v>
      </c>
      <c r="D408" t="str">
        <f>IF(包装物料出入库明细!$E408="","",包装物料出入库明细!$F408)</f>
        <v/>
      </c>
      <c r="E408" t="str">
        <f>IF(包装物料出入库明细!$E408="","",包装物料出入库明细!$G408)</f>
        <v/>
      </c>
      <c r="K408" t="str">
        <f>IF(包装物料出入库明细!$D408="","",包装物料出入库明细!$D408)</f>
        <v/>
      </c>
      <c r="L408">
        <f t="shared" si="229"/>
        <v>0</v>
      </c>
      <c r="M408">
        <f t="shared" si="230"/>
        <v>9</v>
      </c>
      <c r="Q408" t="str">
        <f>IF(周转筐出入库明细!$D409="","",周转筐出入库明细!$D409)</f>
        <v/>
      </c>
      <c r="R408">
        <f t="shared" si="231"/>
        <v>0</v>
      </c>
      <c r="S408">
        <f t="shared" si="232"/>
        <v>5</v>
      </c>
      <c r="W408" t="str">
        <f>IF(周转筐出入库明细!$C409="","",周转筐出入库明细!$C409)</f>
        <v/>
      </c>
      <c r="X408">
        <f t="shared" si="233"/>
        <v>0</v>
      </c>
      <c r="Y408">
        <f t="shared" si="234"/>
        <v>12</v>
      </c>
      <c r="AC408" t="str">
        <f>IF(客户自备加工筐明细!$C408="","",客户自备加工筐明细!$C408)</f>
        <v/>
      </c>
      <c r="AD408">
        <f t="shared" si="235"/>
        <v>0</v>
      </c>
      <c r="AE408">
        <f t="shared" si="236"/>
        <v>1</v>
      </c>
      <c r="AI408" t="str">
        <f>IF(客户自备加工筐明细!$E408="","",客户自备加工筐明细!$E408)</f>
        <v/>
      </c>
      <c r="AJ408">
        <f t="shared" si="237"/>
        <v>0</v>
      </c>
      <c r="AK408">
        <f t="shared" si="238"/>
        <v>1</v>
      </c>
      <c r="AO408" t="str">
        <f>IF(次果筐明细!$D408="","",次果筐明细!$D408)</f>
        <v/>
      </c>
      <c r="AP408">
        <f t="shared" si="239"/>
        <v>0</v>
      </c>
      <c r="AQ408">
        <f t="shared" si="240"/>
        <v>1</v>
      </c>
      <c r="AU408" t="str">
        <f>IF(次果筐明细!$C408="","",次果筐明细!$C408)</f>
        <v/>
      </c>
      <c r="AV408">
        <f t="shared" si="241"/>
        <v>0</v>
      </c>
      <c r="AW408">
        <f t="shared" si="242"/>
        <v>1</v>
      </c>
      <c r="BS408" t="str">
        <f t="shared" si="252"/>
        <v>贾建国</v>
      </c>
      <c r="BT408">
        <f t="shared" si="243"/>
        <v>0</v>
      </c>
      <c r="BU408">
        <f t="shared" si="244"/>
        <v>16</v>
      </c>
      <c r="BY408" t="str">
        <f t="shared" si="251"/>
        <v/>
      </c>
      <c r="BZ408">
        <f t="shared" si="245"/>
        <v>0</v>
      </c>
      <c r="CA408">
        <f t="shared" si="246"/>
        <v>16</v>
      </c>
      <c r="CP408">
        <f>IF(包装物料出入库明细!$D408="",0,1)</f>
        <v>0</v>
      </c>
      <c r="CQ408">
        <f t="shared" si="247"/>
        <v>37</v>
      </c>
      <c r="CS408" t="str">
        <f>IF(OR(周转筐出入库明细!$C409="",周转筐出入库明细!$F409&lt;&gt;"采购入库"),"",周转筐出入库明细!$C409)</f>
        <v/>
      </c>
      <c r="CT408">
        <f t="shared" si="248"/>
        <v>0</v>
      </c>
      <c r="CU408">
        <f t="shared" si="249"/>
        <v>1</v>
      </c>
    </row>
    <row r="409" spans="1:99">
      <c r="A409" t="str">
        <f>IF(包装物料出入库明细!$E409="","",包装物料出入库明细!$E409)</f>
        <v/>
      </c>
      <c r="B409">
        <f t="shared" si="227"/>
        <v>0</v>
      </c>
      <c r="C409">
        <f t="shared" si="228"/>
        <v>7</v>
      </c>
      <c r="D409" t="str">
        <f>IF(包装物料出入库明细!$E409="","",包装物料出入库明细!$F409)</f>
        <v/>
      </c>
      <c r="E409" t="str">
        <f>IF(包装物料出入库明细!$E409="","",包装物料出入库明细!$G409)</f>
        <v/>
      </c>
      <c r="K409" t="str">
        <f>IF(包装物料出入库明细!$D409="","",包装物料出入库明细!$D409)</f>
        <v/>
      </c>
      <c r="L409">
        <f t="shared" si="229"/>
        <v>0</v>
      </c>
      <c r="M409">
        <f t="shared" si="230"/>
        <v>9</v>
      </c>
      <c r="Q409" t="str">
        <f>IF(周转筐出入库明细!$D410="","",周转筐出入库明细!$D410)</f>
        <v/>
      </c>
      <c r="R409">
        <f t="shared" si="231"/>
        <v>0</v>
      </c>
      <c r="S409">
        <f t="shared" si="232"/>
        <v>5</v>
      </c>
      <c r="W409" t="str">
        <f>IF(周转筐出入库明细!$C410="","",周转筐出入库明细!$C410)</f>
        <v/>
      </c>
      <c r="X409">
        <f t="shared" si="233"/>
        <v>0</v>
      </c>
      <c r="Y409">
        <f t="shared" si="234"/>
        <v>12</v>
      </c>
      <c r="AC409" t="str">
        <f>IF(客户自备加工筐明细!$C409="","",客户自备加工筐明细!$C409)</f>
        <v/>
      </c>
      <c r="AD409">
        <f t="shared" si="235"/>
        <v>0</v>
      </c>
      <c r="AE409">
        <f t="shared" si="236"/>
        <v>1</v>
      </c>
      <c r="AI409" t="str">
        <f>IF(客户自备加工筐明细!$E409="","",客户自备加工筐明细!$E409)</f>
        <v/>
      </c>
      <c r="AJ409">
        <f t="shared" si="237"/>
        <v>0</v>
      </c>
      <c r="AK409">
        <f t="shared" si="238"/>
        <v>1</v>
      </c>
      <c r="AO409" t="str">
        <f>IF(次果筐明细!$D409="","",次果筐明细!$D409)</f>
        <v/>
      </c>
      <c r="AP409">
        <f t="shared" si="239"/>
        <v>0</v>
      </c>
      <c r="AQ409">
        <f t="shared" si="240"/>
        <v>1</v>
      </c>
      <c r="AU409" t="str">
        <f>IF(次果筐明细!$C409="","",次果筐明细!$C409)</f>
        <v/>
      </c>
      <c r="AV409">
        <f t="shared" si="241"/>
        <v>0</v>
      </c>
      <c r="AW409">
        <f t="shared" si="242"/>
        <v>1</v>
      </c>
      <c r="BS409" t="str">
        <f t="shared" si="252"/>
        <v>杨艳玲</v>
      </c>
      <c r="BT409">
        <f t="shared" si="243"/>
        <v>1</v>
      </c>
      <c r="BU409">
        <f t="shared" si="244"/>
        <v>17</v>
      </c>
      <c r="BY409" t="str">
        <f t="shared" si="251"/>
        <v/>
      </c>
      <c r="BZ409">
        <f t="shared" si="245"/>
        <v>0</v>
      </c>
      <c r="CA409">
        <f t="shared" si="246"/>
        <v>16</v>
      </c>
      <c r="CP409">
        <f>IF(包装物料出入库明细!$D409="",0,1)</f>
        <v>0</v>
      </c>
      <c r="CQ409">
        <f t="shared" si="247"/>
        <v>37</v>
      </c>
      <c r="CS409" t="str">
        <f>IF(OR(周转筐出入库明细!$C410="",周转筐出入库明细!$F410&lt;&gt;"采购入库"),"",周转筐出入库明细!$C410)</f>
        <v/>
      </c>
      <c r="CT409">
        <f t="shared" si="248"/>
        <v>0</v>
      </c>
      <c r="CU409">
        <f t="shared" si="249"/>
        <v>1</v>
      </c>
    </row>
    <row r="410" spans="1:99">
      <c r="A410" t="str">
        <f>IF(包装物料出入库明细!$E410="","",包装物料出入库明细!$E410)</f>
        <v/>
      </c>
      <c r="B410">
        <f t="shared" si="227"/>
        <v>0</v>
      </c>
      <c r="C410">
        <f t="shared" si="228"/>
        <v>7</v>
      </c>
      <c r="D410" t="str">
        <f>IF(包装物料出入库明细!$E410="","",包装物料出入库明细!$F410)</f>
        <v/>
      </c>
      <c r="E410" t="str">
        <f>IF(包装物料出入库明细!$E410="","",包装物料出入库明细!$G410)</f>
        <v/>
      </c>
      <c r="K410" t="str">
        <f>IF(包装物料出入库明细!$D410="","",包装物料出入库明细!$D410)</f>
        <v/>
      </c>
      <c r="L410">
        <f t="shared" si="229"/>
        <v>0</v>
      </c>
      <c r="M410">
        <f t="shared" si="230"/>
        <v>9</v>
      </c>
      <c r="Q410" t="str">
        <f>IF(周转筐出入库明细!$D411="","",周转筐出入库明细!$D411)</f>
        <v/>
      </c>
      <c r="R410">
        <f t="shared" si="231"/>
        <v>0</v>
      </c>
      <c r="S410">
        <f t="shared" si="232"/>
        <v>5</v>
      </c>
      <c r="W410" t="str">
        <f>IF(周转筐出入库明细!$C411="","",周转筐出入库明细!$C411)</f>
        <v/>
      </c>
      <c r="X410">
        <f t="shared" si="233"/>
        <v>0</v>
      </c>
      <c r="Y410">
        <f t="shared" si="234"/>
        <v>12</v>
      </c>
      <c r="AC410" t="str">
        <f>IF(客户自备加工筐明细!$C410="","",客户自备加工筐明细!$C410)</f>
        <v/>
      </c>
      <c r="AD410">
        <f t="shared" si="235"/>
        <v>0</v>
      </c>
      <c r="AE410">
        <f t="shared" si="236"/>
        <v>1</v>
      </c>
      <c r="AI410" t="str">
        <f>IF(客户自备加工筐明细!$E410="","",客户自备加工筐明细!$E410)</f>
        <v/>
      </c>
      <c r="AJ410">
        <f t="shared" si="237"/>
        <v>0</v>
      </c>
      <c r="AK410">
        <f t="shared" si="238"/>
        <v>1</v>
      </c>
      <c r="AO410" t="str">
        <f>IF(次果筐明细!$D410="","",次果筐明细!$D410)</f>
        <v/>
      </c>
      <c r="AP410">
        <f t="shared" si="239"/>
        <v>0</v>
      </c>
      <c r="AQ410">
        <f t="shared" si="240"/>
        <v>1</v>
      </c>
      <c r="AU410" t="str">
        <f>IF(次果筐明细!$C410="","",次果筐明细!$C410)</f>
        <v/>
      </c>
      <c r="AV410">
        <f t="shared" si="241"/>
        <v>0</v>
      </c>
      <c r="AW410">
        <f t="shared" si="242"/>
        <v>1</v>
      </c>
      <c r="BS410" t="str">
        <f t="shared" si="252"/>
        <v/>
      </c>
      <c r="BT410">
        <f t="shared" si="243"/>
        <v>0</v>
      </c>
      <c r="BU410">
        <f t="shared" si="244"/>
        <v>17</v>
      </c>
      <c r="BY410" t="str">
        <f t="shared" si="251"/>
        <v/>
      </c>
      <c r="BZ410">
        <f t="shared" si="245"/>
        <v>0</v>
      </c>
      <c r="CA410">
        <f t="shared" si="246"/>
        <v>16</v>
      </c>
      <c r="CP410">
        <f>IF(包装物料出入库明细!$D410="",0,1)</f>
        <v>0</v>
      </c>
      <c r="CQ410">
        <f t="shared" si="247"/>
        <v>37</v>
      </c>
      <c r="CS410" t="str">
        <f>IF(OR(周转筐出入库明细!$C411="",周转筐出入库明细!$F411&lt;&gt;"采购入库"),"",周转筐出入库明细!$C411)</f>
        <v/>
      </c>
      <c r="CT410">
        <f t="shared" si="248"/>
        <v>0</v>
      </c>
      <c r="CU410">
        <f t="shared" si="249"/>
        <v>1</v>
      </c>
    </row>
    <row r="411" spans="1:99">
      <c r="A411" t="str">
        <f>IF(包装物料出入库明细!$E411="","",包装物料出入库明细!$E411)</f>
        <v/>
      </c>
      <c r="B411">
        <f t="shared" si="227"/>
        <v>0</v>
      </c>
      <c r="C411">
        <f t="shared" si="228"/>
        <v>7</v>
      </c>
      <c r="D411" t="str">
        <f>IF(包装物料出入库明细!$E411="","",包装物料出入库明细!$F411)</f>
        <v/>
      </c>
      <c r="E411" t="str">
        <f>IF(包装物料出入库明细!$E411="","",包装物料出入库明细!$G411)</f>
        <v/>
      </c>
      <c r="K411" t="str">
        <f>IF(包装物料出入库明细!$D411="","",包装物料出入库明细!$D411)</f>
        <v/>
      </c>
      <c r="L411">
        <f t="shared" si="229"/>
        <v>0</v>
      </c>
      <c r="M411">
        <f t="shared" si="230"/>
        <v>9</v>
      </c>
      <c r="Q411" t="str">
        <f>IF(周转筐出入库明细!$D412="","",周转筐出入库明细!$D412)</f>
        <v/>
      </c>
      <c r="R411">
        <f t="shared" si="231"/>
        <v>0</v>
      </c>
      <c r="S411">
        <f t="shared" si="232"/>
        <v>5</v>
      </c>
      <c r="W411" t="str">
        <f>IF(周转筐出入库明细!$C412="","",周转筐出入库明细!$C412)</f>
        <v/>
      </c>
      <c r="X411">
        <f t="shared" si="233"/>
        <v>0</v>
      </c>
      <c r="Y411">
        <f t="shared" si="234"/>
        <v>12</v>
      </c>
      <c r="AC411" t="str">
        <f>IF(客户自备加工筐明细!$C411="","",客户自备加工筐明细!$C411)</f>
        <v/>
      </c>
      <c r="AD411">
        <f t="shared" si="235"/>
        <v>0</v>
      </c>
      <c r="AE411">
        <f t="shared" si="236"/>
        <v>1</v>
      </c>
      <c r="AI411" t="str">
        <f>IF(客户自备加工筐明细!$E411="","",客户自备加工筐明细!$E411)</f>
        <v/>
      </c>
      <c r="AJ411">
        <f t="shared" si="237"/>
        <v>0</v>
      </c>
      <c r="AK411">
        <f t="shared" si="238"/>
        <v>1</v>
      </c>
      <c r="AO411" t="str">
        <f>IF(次果筐明细!$D411="","",次果筐明细!$D411)</f>
        <v/>
      </c>
      <c r="AP411">
        <f t="shared" si="239"/>
        <v>0</v>
      </c>
      <c r="AQ411">
        <f t="shared" si="240"/>
        <v>1</v>
      </c>
      <c r="AU411" t="str">
        <f>IF(次果筐明细!$C411="","",次果筐明细!$C411)</f>
        <v/>
      </c>
      <c r="AV411">
        <f t="shared" si="241"/>
        <v>0</v>
      </c>
      <c r="AW411">
        <f t="shared" si="242"/>
        <v>1</v>
      </c>
      <c r="BS411" t="str">
        <f t="shared" si="252"/>
        <v/>
      </c>
      <c r="BT411">
        <f t="shared" si="243"/>
        <v>0</v>
      </c>
      <c r="BU411">
        <f t="shared" si="244"/>
        <v>17</v>
      </c>
      <c r="BY411" t="str">
        <f t="shared" si="251"/>
        <v/>
      </c>
      <c r="BZ411">
        <f t="shared" si="245"/>
        <v>0</v>
      </c>
      <c r="CA411">
        <f t="shared" si="246"/>
        <v>16</v>
      </c>
      <c r="CP411">
        <f>IF(包装物料出入库明细!$D411="",0,1)</f>
        <v>0</v>
      </c>
      <c r="CQ411">
        <f t="shared" si="247"/>
        <v>37</v>
      </c>
      <c r="CS411" t="str">
        <f>IF(OR(周转筐出入库明细!$C412="",周转筐出入库明细!$F412&lt;&gt;"采购入库"),"",周转筐出入库明细!$C412)</f>
        <v/>
      </c>
      <c r="CT411">
        <f t="shared" si="248"/>
        <v>0</v>
      </c>
      <c r="CU411">
        <f t="shared" si="249"/>
        <v>1</v>
      </c>
    </row>
    <row r="412" spans="1:99">
      <c r="A412" t="str">
        <f>IF(包装物料出入库明细!$E412="","",包装物料出入库明细!$E412)</f>
        <v/>
      </c>
      <c r="B412">
        <f t="shared" si="227"/>
        <v>0</v>
      </c>
      <c r="C412">
        <f t="shared" si="228"/>
        <v>7</v>
      </c>
      <c r="D412" t="str">
        <f>IF(包装物料出入库明细!$E412="","",包装物料出入库明细!$F412)</f>
        <v/>
      </c>
      <c r="E412" t="str">
        <f>IF(包装物料出入库明细!$E412="","",包装物料出入库明细!$G412)</f>
        <v/>
      </c>
      <c r="K412" t="str">
        <f>IF(包装物料出入库明细!$D412="","",包装物料出入库明细!$D412)</f>
        <v/>
      </c>
      <c r="L412">
        <f t="shared" si="229"/>
        <v>0</v>
      </c>
      <c r="M412">
        <f t="shared" si="230"/>
        <v>9</v>
      </c>
      <c r="Q412" t="str">
        <f>IF(周转筐出入库明细!$D413="","",周转筐出入库明细!$D413)</f>
        <v/>
      </c>
      <c r="R412">
        <f t="shared" si="231"/>
        <v>0</v>
      </c>
      <c r="S412">
        <f t="shared" si="232"/>
        <v>5</v>
      </c>
      <c r="W412" t="str">
        <f>IF(周转筐出入库明细!$C413="","",周转筐出入库明细!$C413)</f>
        <v/>
      </c>
      <c r="X412">
        <f t="shared" si="233"/>
        <v>0</v>
      </c>
      <c r="Y412">
        <f t="shared" si="234"/>
        <v>12</v>
      </c>
      <c r="AC412" t="str">
        <f>IF(客户自备加工筐明细!$C412="","",客户自备加工筐明细!$C412)</f>
        <v/>
      </c>
      <c r="AD412">
        <f t="shared" si="235"/>
        <v>0</v>
      </c>
      <c r="AE412">
        <f t="shared" si="236"/>
        <v>1</v>
      </c>
      <c r="AI412" t="str">
        <f>IF(客户自备加工筐明细!$E412="","",客户自备加工筐明细!$E412)</f>
        <v/>
      </c>
      <c r="AJ412">
        <f t="shared" si="237"/>
        <v>0</v>
      </c>
      <c r="AK412">
        <f t="shared" si="238"/>
        <v>1</v>
      </c>
      <c r="AO412" t="str">
        <f>IF(次果筐明细!$D412="","",次果筐明细!$D412)</f>
        <v/>
      </c>
      <c r="AP412">
        <f t="shared" si="239"/>
        <v>0</v>
      </c>
      <c r="AQ412">
        <f t="shared" si="240"/>
        <v>1</v>
      </c>
      <c r="AU412" t="str">
        <f>IF(次果筐明细!$C412="","",次果筐明细!$C412)</f>
        <v/>
      </c>
      <c r="AV412">
        <f t="shared" si="241"/>
        <v>0</v>
      </c>
      <c r="AW412">
        <f t="shared" si="242"/>
        <v>1</v>
      </c>
      <c r="BS412" t="str">
        <f t="shared" si="252"/>
        <v/>
      </c>
      <c r="BT412">
        <f t="shared" si="243"/>
        <v>0</v>
      </c>
      <c r="BU412">
        <f t="shared" si="244"/>
        <v>17</v>
      </c>
      <c r="BY412" t="str">
        <f t="shared" si="251"/>
        <v/>
      </c>
      <c r="BZ412">
        <f t="shared" si="245"/>
        <v>0</v>
      </c>
      <c r="CA412">
        <f t="shared" si="246"/>
        <v>16</v>
      </c>
      <c r="CP412">
        <f>IF(包装物料出入库明细!$D412="",0,1)</f>
        <v>0</v>
      </c>
      <c r="CQ412">
        <f t="shared" si="247"/>
        <v>37</v>
      </c>
      <c r="CS412" t="str">
        <f>IF(OR(周转筐出入库明细!$C413="",周转筐出入库明细!$F413&lt;&gt;"采购入库"),"",周转筐出入库明细!$C413)</f>
        <v/>
      </c>
      <c r="CT412">
        <f t="shared" si="248"/>
        <v>0</v>
      </c>
      <c r="CU412">
        <f t="shared" si="249"/>
        <v>1</v>
      </c>
    </row>
    <row r="413" spans="1:99">
      <c r="A413" t="str">
        <f>IF(包装物料出入库明细!$E413="","",包装物料出入库明细!$E413)</f>
        <v/>
      </c>
      <c r="B413">
        <f t="shared" si="227"/>
        <v>0</v>
      </c>
      <c r="C413">
        <f t="shared" si="228"/>
        <v>7</v>
      </c>
      <c r="D413" t="str">
        <f>IF(包装物料出入库明细!$E413="","",包装物料出入库明细!$F413)</f>
        <v/>
      </c>
      <c r="E413" t="str">
        <f>IF(包装物料出入库明细!$E413="","",包装物料出入库明细!$G413)</f>
        <v/>
      </c>
      <c r="K413" t="str">
        <f>IF(包装物料出入库明细!$D413="","",包装物料出入库明细!$D413)</f>
        <v/>
      </c>
      <c r="L413">
        <f t="shared" si="229"/>
        <v>0</v>
      </c>
      <c r="M413">
        <f t="shared" si="230"/>
        <v>9</v>
      </c>
      <c r="Q413" t="str">
        <f>IF(周转筐出入库明细!$D414="","",周转筐出入库明细!$D414)</f>
        <v/>
      </c>
      <c r="R413">
        <f t="shared" si="231"/>
        <v>0</v>
      </c>
      <c r="S413">
        <f t="shared" si="232"/>
        <v>5</v>
      </c>
      <c r="W413" t="str">
        <f>IF(周转筐出入库明细!$C414="","",周转筐出入库明细!$C414)</f>
        <v/>
      </c>
      <c r="X413">
        <f t="shared" si="233"/>
        <v>0</v>
      </c>
      <c r="Y413">
        <f t="shared" si="234"/>
        <v>12</v>
      </c>
      <c r="AC413" t="str">
        <f>IF(客户自备加工筐明细!$C413="","",客户自备加工筐明细!$C413)</f>
        <v/>
      </c>
      <c r="AD413">
        <f t="shared" si="235"/>
        <v>0</v>
      </c>
      <c r="AE413">
        <f t="shared" si="236"/>
        <v>1</v>
      </c>
      <c r="AI413" t="str">
        <f>IF(客户自备加工筐明细!$E413="","",客户自备加工筐明细!$E413)</f>
        <v/>
      </c>
      <c r="AJ413">
        <f t="shared" si="237"/>
        <v>0</v>
      </c>
      <c r="AK413">
        <f t="shared" si="238"/>
        <v>1</v>
      </c>
      <c r="AO413" t="str">
        <f>IF(次果筐明细!$D413="","",次果筐明细!$D413)</f>
        <v/>
      </c>
      <c r="AP413">
        <f t="shared" si="239"/>
        <v>0</v>
      </c>
      <c r="AQ413">
        <f t="shared" si="240"/>
        <v>1</v>
      </c>
      <c r="AU413" t="str">
        <f>IF(次果筐明细!$C413="","",次果筐明细!$C413)</f>
        <v/>
      </c>
      <c r="AV413">
        <f t="shared" si="241"/>
        <v>0</v>
      </c>
      <c r="AW413">
        <f t="shared" si="242"/>
        <v>1</v>
      </c>
      <c r="BS413" t="str">
        <f t="shared" si="252"/>
        <v/>
      </c>
      <c r="BT413">
        <f t="shared" si="243"/>
        <v>0</v>
      </c>
      <c r="BU413">
        <f t="shared" si="244"/>
        <v>17</v>
      </c>
      <c r="BY413" t="str">
        <f t="shared" si="251"/>
        <v/>
      </c>
      <c r="BZ413">
        <f t="shared" si="245"/>
        <v>0</v>
      </c>
      <c r="CA413">
        <f t="shared" si="246"/>
        <v>16</v>
      </c>
      <c r="CP413">
        <f>IF(包装物料出入库明细!$D413="",0,1)</f>
        <v>0</v>
      </c>
      <c r="CQ413">
        <f t="shared" si="247"/>
        <v>37</v>
      </c>
      <c r="CS413" t="str">
        <f>IF(OR(周转筐出入库明细!$C414="",周转筐出入库明细!$F414&lt;&gt;"采购入库"),"",周转筐出入库明细!$C414)</f>
        <v/>
      </c>
      <c r="CT413">
        <f t="shared" si="248"/>
        <v>0</v>
      </c>
      <c r="CU413">
        <f t="shared" si="249"/>
        <v>1</v>
      </c>
    </row>
    <row r="414" spans="1:99">
      <c r="A414" t="str">
        <f>IF(包装物料出入库明细!$E414="","",包装物料出入库明细!$E414)</f>
        <v/>
      </c>
      <c r="B414">
        <f t="shared" si="227"/>
        <v>0</v>
      </c>
      <c r="C414">
        <f t="shared" si="228"/>
        <v>7</v>
      </c>
      <c r="D414" t="str">
        <f>IF(包装物料出入库明细!$E414="","",包装物料出入库明细!$F414)</f>
        <v/>
      </c>
      <c r="E414" t="str">
        <f>IF(包装物料出入库明细!$E414="","",包装物料出入库明细!$G414)</f>
        <v/>
      </c>
      <c r="K414" t="str">
        <f>IF(包装物料出入库明细!$D414="","",包装物料出入库明细!$D414)</f>
        <v/>
      </c>
      <c r="L414">
        <f t="shared" si="229"/>
        <v>0</v>
      </c>
      <c r="M414">
        <f t="shared" si="230"/>
        <v>9</v>
      </c>
      <c r="Q414" t="str">
        <f>IF(周转筐出入库明细!$D415="","",周转筐出入库明细!$D415)</f>
        <v/>
      </c>
      <c r="R414">
        <f t="shared" si="231"/>
        <v>0</v>
      </c>
      <c r="S414">
        <f t="shared" si="232"/>
        <v>5</v>
      </c>
      <c r="W414" t="str">
        <f>IF(周转筐出入库明细!$C415="","",周转筐出入库明细!$C415)</f>
        <v/>
      </c>
      <c r="X414">
        <f t="shared" si="233"/>
        <v>0</v>
      </c>
      <c r="Y414">
        <f t="shared" si="234"/>
        <v>12</v>
      </c>
      <c r="AC414" t="str">
        <f>IF(客户自备加工筐明细!$C414="","",客户自备加工筐明细!$C414)</f>
        <v/>
      </c>
      <c r="AD414">
        <f t="shared" si="235"/>
        <v>0</v>
      </c>
      <c r="AE414">
        <f t="shared" si="236"/>
        <v>1</v>
      </c>
      <c r="AI414" t="str">
        <f>IF(客户自备加工筐明细!$E414="","",客户自备加工筐明细!$E414)</f>
        <v/>
      </c>
      <c r="AJ414">
        <f t="shared" si="237"/>
        <v>0</v>
      </c>
      <c r="AK414">
        <f t="shared" si="238"/>
        <v>1</v>
      </c>
      <c r="AO414" t="str">
        <f>IF(次果筐明细!$D414="","",次果筐明细!$D414)</f>
        <v/>
      </c>
      <c r="AP414">
        <f t="shared" si="239"/>
        <v>0</v>
      </c>
      <c r="AQ414">
        <f t="shared" si="240"/>
        <v>1</v>
      </c>
      <c r="AU414" t="str">
        <f>IF(次果筐明细!$C414="","",次果筐明细!$C414)</f>
        <v/>
      </c>
      <c r="AV414">
        <f t="shared" si="241"/>
        <v>0</v>
      </c>
      <c r="AW414">
        <f t="shared" si="242"/>
        <v>1</v>
      </c>
      <c r="BS414" t="str">
        <f t="shared" si="252"/>
        <v/>
      </c>
      <c r="BT414">
        <f t="shared" si="243"/>
        <v>0</v>
      </c>
      <c r="BU414">
        <f t="shared" si="244"/>
        <v>17</v>
      </c>
      <c r="BY414" t="str">
        <f t="shared" si="251"/>
        <v/>
      </c>
      <c r="BZ414">
        <f t="shared" si="245"/>
        <v>0</v>
      </c>
      <c r="CA414">
        <f t="shared" si="246"/>
        <v>16</v>
      </c>
      <c r="CP414">
        <f>IF(包装物料出入库明细!$D414="",0,1)</f>
        <v>0</v>
      </c>
      <c r="CQ414">
        <f t="shared" si="247"/>
        <v>37</v>
      </c>
      <c r="CS414" t="str">
        <f>IF(OR(周转筐出入库明细!$C415="",周转筐出入库明细!$F415&lt;&gt;"采购入库"),"",周转筐出入库明细!$C415)</f>
        <v/>
      </c>
      <c r="CT414">
        <f t="shared" si="248"/>
        <v>0</v>
      </c>
      <c r="CU414">
        <f t="shared" si="249"/>
        <v>1</v>
      </c>
    </row>
    <row r="415" spans="1:99">
      <c r="A415" t="str">
        <f>IF(包装物料出入库明细!$E415="","",包装物料出入库明细!$E415)</f>
        <v/>
      </c>
      <c r="B415">
        <f t="shared" si="227"/>
        <v>0</v>
      </c>
      <c r="C415">
        <f t="shared" si="228"/>
        <v>7</v>
      </c>
      <c r="D415" t="str">
        <f>IF(包装物料出入库明细!$E415="","",包装物料出入库明细!$F415)</f>
        <v/>
      </c>
      <c r="E415" t="str">
        <f>IF(包装物料出入库明细!$E415="","",包装物料出入库明细!$G415)</f>
        <v/>
      </c>
      <c r="K415" t="str">
        <f>IF(包装物料出入库明细!$D415="","",包装物料出入库明细!$D415)</f>
        <v/>
      </c>
      <c r="L415">
        <f t="shared" si="229"/>
        <v>0</v>
      </c>
      <c r="M415">
        <f t="shared" si="230"/>
        <v>9</v>
      </c>
      <c r="Q415" t="str">
        <f>IF(周转筐出入库明细!$D416="","",周转筐出入库明细!$D416)</f>
        <v/>
      </c>
      <c r="R415">
        <f t="shared" si="231"/>
        <v>0</v>
      </c>
      <c r="S415">
        <f t="shared" si="232"/>
        <v>5</v>
      </c>
      <c r="W415" t="str">
        <f>IF(周转筐出入库明细!$C416="","",周转筐出入库明细!$C416)</f>
        <v/>
      </c>
      <c r="X415">
        <f t="shared" si="233"/>
        <v>0</v>
      </c>
      <c r="Y415">
        <f t="shared" si="234"/>
        <v>12</v>
      </c>
      <c r="AC415" t="str">
        <f>IF(客户自备加工筐明细!$C415="","",客户自备加工筐明细!$C415)</f>
        <v/>
      </c>
      <c r="AD415">
        <f t="shared" si="235"/>
        <v>0</v>
      </c>
      <c r="AE415">
        <f t="shared" si="236"/>
        <v>1</v>
      </c>
      <c r="AI415" t="str">
        <f>IF(客户自备加工筐明细!$E415="","",客户自备加工筐明细!$E415)</f>
        <v/>
      </c>
      <c r="AJ415">
        <f t="shared" si="237"/>
        <v>0</v>
      </c>
      <c r="AK415">
        <f t="shared" si="238"/>
        <v>1</v>
      </c>
      <c r="AO415" t="str">
        <f>IF(次果筐明细!$D415="","",次果筐明细!$D415)</f>
        <v/>
      </c>
      <c r="AP415">
        <f t="shared" si="239"/>
        <v>0</v>
      </c>
      <c r="AQ415">
        <f t="shared" si="240"/>
        <v>1</v>
      </c>
      <c r="AU415" t="str">
        <f>IF(次果筐明细!$C415="","",次果筐明细!$C415)</f>
        <v/>
      </c>
      <c r="AV415">
        <f t="shared" si="241"/>
        <v>0</v>
      </c>
      <c r="AW415">
        <f t="shared" si="242"/>
        <v>1</v>
      </c>
      <c r="BS415" t="str">
        <f t="shared" si="252"/>
        <v/>
      </c>
      <c r="BT415">
        <f t="shared" si="243"/>
        <v>0</v>
      </c>
      <c r="BU415">
        <f t="shared" si="244"/>
        <v>17</v>
      </c>
      <c r="BY415" t="str">
        <f t="shared" si="251"/>
        <v/>
      </c>
      <c r="BZ415">
        <f t="shared" si="245"/>
        <v>0</v>
      </c>
      <c r="CA415">
        <f t="shared" si="246"/>
        <v>16</v>
      </c>
      <c r="CP415">
        <f>IF(包装物料出入库明细!$D415="",0,1)</f>
        <v>0</v>
      </c>
      <c r="CQ415">
        <f t="shared" si="247"/>
        <v>37</v>
      </c>
      <c r="CS415" t="str">
        <f>IF(OR(周转筐出入库明细!$C416="",周转筐出入库明细!$F416&lt;&gt;"采购入库"),"",周转筐出入库明细!$C416)</f>
        <v/>
      </c>
      <c r="CT415">
        <f t="shared" si="248"/>
        <v>0</v>
      </c>
      <c r="CU415">
        <f t="shared" si="249"/>
        <v>1</v>
      </c>
    </row>
    <row r="416" spans="1:99">
      <c r="A416" t="str">
        <f>IF(包装物料出入库明细!$E416="","",包装物料出入库明细!$E416)</f>
        <v/>
      </c>
      <c r="B416">
        <f t="shared" si="227"/>
        <v>0</v>
      </c>
      <c r="C416">
        <f t="shared" si="228"/>
        <v>7</v>
      </c>
      <c r="D416" t="str">
        <f>IF(包装物料出入库明细!$E416="","",包装物料出入库明细!$F416)</f>
        <v/>
      </c>
      <c r="E416" t="str">
        <f>IF(包装物料出入库明细!$E416="","",包装物料出入库明细!$G416)</f>
        <v/>
      </c>
      <c r="K416" t="str">
        <f>IF(包装物料出入库明细!$D416="","",包装物料出入库明细!$D416)</f>
        <v/>
      </c>
      <c r="L416">
        <f t="shared" si="229"/>
        <v>0</v>
      </c>
      <c r="M416">
        <f t="shared" si="230"/>
        <v>9</v>
      </c>
      <c r="Q416" t="str">
        <f>IF(周转筐出入库明细!$D417="","",周转筐出入库明细!$D417)</f>
        <v/>
      </c>
      <c r="R416">
        <f t="shared" si="231"/>
        <v>0</v>
      </c>
      <c r="S416">
        <f t="shared" si="232"/>
        <v>5</v>
      </c>
      <c r="W416" t="str">
        <f>IF(周转筐出入库明细!$C417="","",周转筐出入库明细!$C417)</f>
        <v/>
      </c>
      <c r="X416">
        <f t="shared" si="233"/>
        <v>0</v>
      </c>
      <c r="Y416">
        <f t="shared" si="234"/>
        <v>12</v>
      </c>
      <c r="AC416" t="str">
        <f>IF(客户自备加工筐明细!$C416="","",客户自备加工筐明细!$C416)</f>
        <v/>
      </c>
      <c r="AD416">
        <f t="shared" si="235"/>
        <v>0</v>
      </c>
      <c r="AE416">
        <f t="shared" si="236"/>
        <v>1</v>
      </c>
      <c r="AI416" t="str">
        <f>IF(客户自备加工筐明细!$E416="","",客户自备加工筐明细!$E416)</f>
        <v/>
      </c>
      <c r="AJ416">
        <f t="shared" si="237"/>
        <v>0</v>
      </c>
      <c r="AK416">
        <f t="shared" si="238"/>
        <v>1</v>
      </c>
      <c r="AO416" t="str">
        <f>IF(次果筐明细!$D416="","",次果筐明细!$D416)</f>
        <v/>
      </c>
      <c r="AP416">
        <f t="shared" si="239"/>
        <v>0</v>
      </c>
      <c r="AQ416">
        <f t="shared" si="240"/>
        <v>1</v>
      </c>
      <c r="AU416" t="str">
        <f>IF(次果筐明细!$C416="","",次果筐明细!$C416)</f>
        <v/>
      </c>
      <c r="AV416">
        <f t="shared" si="241"/>
        <v>0</v>
      </c>
      <c r="AW416">
        <f t="shared" si="242"/>
        <v>1</v>
      </c>
      <c r="BS416" t="str">
        <f t="shared" si="252"/>
        <v/>
      </c>
      <c r="BT416">
        <f t="shared" si="243"/>
        <v>0</v>
      </c>
      <c r="BU416">
        <f t="shared" si="244"/>
        <v>17</v>
      </c>
      <c r="BY416" t="str">
        <f t="shared" si="251"/>
        <v/>
      </c>
      <c r="BZ416">
        <f t="shared" si="245"/>
        <v>0</v>
      </c>
      <c r="CA416">
        <f t="shared" si="246"/>
        <v>16</v>
      </c>
      <c r="CP416">
        <f>IF(包装物料出入库明细!$D416="",0,1)</f>
        <v>0</v>
      </c>
      <c r="CQ416">
        <f t="shared" si="247"/>
        <v>37</v>
      </c>
      <c r="CS416" t="str">
        <f>IF(OR(周转筐出入库明细!$C417="",周转筐出入库明细!$F417&lt;&gt;"采购入库"),"",周转筐出入库明细!$C417)</f>
        <v/>
      </c>
      <c r="CT416">
        <f t="shared" si="248"/>
        <v>0</v>
      </c>
      <c r="CU416">
        <f t="shared" si="249"/>
        <v>1</v>
      </c>
    </row>
    <row r="417" spans="1:99">
      <c r="A417" t="str">
        <f>IF(包装物料出入库明细!$E417="","",包装物料出入库明细!$E417)</f>
        <v/>
      </c>
      <c r="B417">
        <f t="shared" si="227"/>
        <v>0</v>
      </c>
      <c r="C417">
        <f t="shared" si="228"/>
        <v>7</v>
      </c>
      <c r="D417" t="str">
        <f>IF(包装物料出入库明细!$E417="","",包装物料出入库明细!$F417)</f>
        <v/>
      </c>
      <c r="E417" t="str">
        <f>IF(包装物料出入库明细!$E417="","",包装物料出入库明细!$G417)</f>
        <v/>
      </c>
      <c r="K417" t="str">
        <f>IF(包装物料出入库明细!$D417="","",包装物料出入库明细!$D417)</f>
        <v/>
      </c>
      <c r="L417">
        <f t="shared" si="229"/>
        <v>0</v>
      </c>
      <c r="M417">
        <f t="shared" si="230"/>
        <v>9</v>
      </c>
      <c r="Q417" t="str">
        <f>IF(周转筐出入库明细!$D418="","",周转筐出入库明细!$D418)</f>
        <v/>
      </c>
      <c r="R417">
        <f t="shared" si="231"/>
        <v>0</v>
      </c>
      <c r="S417">
        <f t="shared" si="232"/>
        <v>5</v>
      </c>
      <c r="W417" t="str">
        <f>IF(周转筐出入库明细!$C418="","",周转筐出入库明细!$C418)</f>
        <v/>
      </c>
      <c r="X417">
        <f t="shared" si="233"/>
        <v>0</v>
      </c>
      <c r="Y417">
        <f t="shared" si="234"/>
        <v>12</v>
      </c>
      <c r="AC417" t="str">
        <f>IF(客户自备加工筐明细!$C417="","",客户自备加工筐明细!$C417)</f>
        <v/>
      </c>
      <c r="AD417">
        <f t="shared" si="235"/>
        <v>0</v>
      </c>
      <c r="AE417">
        <f t="shared" si="236"/>
        <v>1</v>
      </c>
      <c r="AI417" t="str">
        <f>IF(客户自备加工筐明细!$E417="","",客户自备加工筐明细!$E417)</f>
        <v/>
      </c>
      <c r="AJ417">
        <f t="shared" si="237"/>
        <v>0</v>
      </c>
      <c r="AK417">
        <f t="shared" si="238"/>
        <v>1</v>
      </c>
      <c r="AO417" t="str">
        <f>IF(次果筐明细!$D417="","",次果筐明细!$D417)</f>
        <v/>
      </c>
      <c r="AP417">
        <f t="shared" si="239"/>
        <v>0</v>
      </c>
      <c r="AQ417">
        <f t="shared" si="240"/>
        <v>1</v>
      </c>
      <c r="AU417" t="str">
        <f>IF(次果筐明细!$C417="","",次果筐明细!$C417)</f>
        <v/>
      </c>
      <c r="AV417">
        <f t="shared" si="241"/>
        <v>0</v>
      </c>
      <c r="AW417">
        <f t="shared" si="242"/>
        <v>1</v>
      </c>
      <c r="BS417" t="str">
        <f t="shared" si="252"/>
        <v/>
      </c>
      <c r="BT417">
        <f t="shared" si="243"/>
        <v>0</v>
      </c>
      <c r="BU417">
        <f t="shared" si="244"/>
        <v>17</v>
      </c>
      <c r="BY417" t="str">
        <f t="shared" si="251"/>
        <v/>
      </c>
      <c r="BZ417">
        <f t="shared" si="245"/>
        <v>0</v>
      </c>
      <c r="CA417">
        <f t="shared" si="246"/>
        <v>16</v>
      </c>
      <c r="CP417">
        <f>IF(包装物料出入库明细!$D417="",0,1)</f>
        <v>0</v>
      </c>
      <c r="CQ417">
        <f t="shared" si="247"/>
        <v>37</v>
      </c>
      <c r="CS417" t="str">
        <f>IF(OR(周转筐出入库明细!$C418="",周转筐出入库明细!$F418&lt;&gt;"采购入库"),"",周转筐出入库明细!$C418)</f>
        <v/>
      </c>
      <c r="CT417">
        <f t="shared" si="248"/>
        <v>0</v>
      </c>
      <c r="CU417">
        <f t="shared" si="249"/>
        <v>1</v>
      </c>
    </row>
    <row r="418" spans="1:99">
      <c r="A418" t="str">
        <f>IF(包装物料出入库明细!$E418="","",包装物料出入库明细!$E418)</f>
        <v/>
      </c>
      <c r="B418">
        <f t="shared" si="227"/>
        <v>0</v>
      </c>
      <c r="C418">
        <f t="shared" si="228"/>
        <v>7</v>
      </c>
      <c r="D418" t="str">
        <f>IF(包装物料出入库明细!$E418="","",包装物料出入库明细!$F418)</f>
        <v/>
      </c>
      <c r="E418" t="str">
        <f>IF(包装物料出入库明细!$E418="","",包装物料出入库明细!$G418)</f>
        <v/>
      </c>
      <c r="K418" t="str">
        <f>IF(包装物料出入库明细!$D418="","",包装物料出入库明细!$D418)</f>
        <v/>
      </c>
      <c r="L418">
        <f t="shared" si="229"/>
        <v>0</v>
      </c>
      <c r="M418">
        <f t="shared" si="230"/>
        <v>9</v>
      </c>
      <c r="Q418" t="str">
        <f>IF(周转筐出入库明细!$D419="","",周转筐出入库明细!$D419)</f>
        <v/>
      </c>
      <c r="R418">
        <f t="shared" si="231"/>
        <v>0</v>
      </c>
      <c r="S418">
        <f t="shared" si="232"/>
        <v>5</v>
      </c>
      <c r="W418" t="str">
        <f>IF(周转筐出入库明细!$C419="","",周转筐出入库明细!$C419)</f>
        <v/>
      </c>
      <c r="X418">
        <f t="shared" si="233"/>
        <v>0</v>
      </c>
      <c r="Y418">
        <f t="shared" si="234"/>
        <v>12</v>
      </c>
      <c r="AC418" t="str">
        <f>IF(客户自备加工筐明细!$C418="","",客户自备加工筐明细!$C418)</f>
        <v/>
      </c>
      <c r="AD418">
        <f t="shared" si="235"/>
        <v>0</v>
      </c>
      <c r="AE418">
        <f t="shared" si="236"/>
        <v>1</v>
      </c>
      <c r="AI418" t="str">
        <f>IF(客户自备加工筐明细!$E418="","",客户自备加工筐明细!$E418)</f>
        <v/>
      </c>
      <c r="AJ418">
        <f t="shared" si="237"/>
        <v>0</v>
      </c>
      <c r="AK418">
        <f t="shared" si="238"/>
        <v>1</v>
      </c>
      <c r="AO418" t="str">
        <f>IF(次果筐明细!$D418="","",次果筐明细!$D418)</f>
        <v/>
      </c>
      <c r="AP418">
        <f t="shared" si="239"/>
        <v>0</v>
      </c>
      <c r="AQ418">
        <f t="shared" si="240"/>
        <v>1</v>
      </c>
      <c r="AU418" t="str">
        <f>IF(次果筐明细!$C418="","",次果筐明细!$C418)</f>
        <v/>
      </c>
      <c r="AV418">
        <f t="shared" si="241"/>
        <v>0</v>
      </c>
      <c r="AW418">
        <f t="shared" si="242"/>
        <v>1</v>
      </c>
      <c r="BS418" t="str">
        <f t="shared" si="252"/>
        <v/>
      </c>
      <c r="BT418">
        <f t="shared" si="243"/>
        <v>0</v>
      </c>
      <c r="BU418">
        <f t="shared" si="244"/>
        <v>17</v>
      </c>
      <c r="BY418" t="str">
        <f t="shared" si="251"/>
        <v/>
      </c>
      <c r="BZ418">
        <f t="shared" si="245"/>
        <v>0</v>
      </c>
      <c r="CA418">
        <f t="shared" si="246"/>
        <v>16</v>
      </c>
      <c r="CP418">
        <f>IF(包装物料出入库明细!$D418="",0,1)</f>
        <v>0</v>
      </c>
      <c r="CQ418">
        <f t="shared" si="247"/>
        <v>37</v>
      </c>
      <c r="CS418" t="str">
        <f>IF(OR(周转筐出入库明细!$C419="",周转筐出入库明细!$F419&lt;&gt;"采购入库"),"",周转筐出入库明细!$C419)</f>
        <v/>
      </c>
      <c r="CT418">
        <f t="shared" si="248"/>
        <v>0</v>
      </c>
      <c r="CU418">
        <f t="shared" si="249"/>
        <v>1</v>
      </c>
    </row>
    <row r="419" spans="1:99">
      <c r="A419" t="str">
        <f>IF(包装物料出入库明细!$E419="","",包装物料出入库明细!$E419)</f>
        <v/>
      </c>
      <c r="B419">
        <f t="shared" si="227"/>
        <v>0</v>
      </c>
      <c r="C419">
        <f t="shared" si="228"/>
        <v>7</v>
      </c>
      <c r="D419" t="str">
        <f>IF(包装物料出入库明细!$E419="","",包装物料出入库明细!$F419)</f>
        <v/>
      </c>
      <c r="E419" t="str">
        <f>IF(包装物料出入库明细!$E419="","",包装物料出入库明细!$G419)</f>
        <v/>
      </c>
      <c r="K419" t="str">
        <f>IF(包装物料出入库明细!$D419="","",包装物料出入库明细!$D419)</f>
        <v/>
      </c>
      <c r="L419">
        <f t="shared" si="229"/>
        <v>0</v>
      </c>
      <c r="M419">
        <f t="shared" si="230"/>
        <v>9</v>
      </c>
      <c r="Q419" t="str">
        <f>IF(周转筐出入库明细!$D420="","",周转筐出入库明细!$D420)</f>
        <v/>
      </c>
      <c r="R419">
        <f t="shared" si="231"/>
        <v>0</v>
      </c>
      <c r="S419">
        <f t="shared" si="232"/>
        <v>5</v>
      </c>
      <c r="W419" t="str">
        <f>IF(周转筐出入库明细!$C420="","",周转筐出入库明细!$C420)</f>
        <v/>
      </c>
      <c r="X419">
        <f t="shared" si="233"/>
        <v>0</v>
      </c>
      <c r="Y419">
        <f t="shared" si="234"/>
        <v>12</v>
      </c>
      <c r="AC419" t="str">
        <f>IF(客户自备加工筐明细!$C419="","",客户自备加工筐明细!$C419)</f>
        <v/>
      </c>
      <c r="AD419">
        <f t="shared" si="235"/>
        <v>0</v>
      </c>
      <c r="AE419">
        <f t="shared" si="236"/>
        <v>1</v>
      </c>
      <c r="AI419" t="str">
        <f>IF(客户自备加工筐明细!$E419="","",客户自备加工筐明细!$E419)</f>
        <v/>
      </c>
      <c r="AJ419">
        <f t="shared" si="237"/>
        <v>0</v>
      </c>
      <c r="AK419">
        <f t="shared" si="238"/>
        <v>1</v>
      </c>
      <c r="AO419" t="str">
        <f>IF(次果筐明细!$D419="","",次果筐明细!$D419)</f>
        <v/>
      </c>
      <c r="AP419">
        <f t="shared" si="239"/>
        <v>0</v>
      </c>
      <c r="AQ419">
        <f t="shared" si="240"/>
        <v>1</v>
      </c>
      <c r="AU419" t="str">
        <f>IF(次果筐明细!$C419="","",次果筐明细!$C419)</f>
        <v/>
      </c>
      <c r="AV419">
        <f t="shared" si="241"/>
        <v>0</v>
      </c>
      <c r="AW419">
        <f t="shared" si="242"/>
        <v>1</v>
      </c>
      <c r="BS419" t="str">
        <f t="shared" si="252"/>
        <v/>
      </c>
      <c r="BT419">
        <f t="shared" si="243"/>
        <v>0</v>
      </c>
      <c r="BU419">
        <f t="shared" si="244"/>
        <v>17</v>
      </c>
      <c r="BY419" t="str">
        <f t="shared" si="251"/>
        <v/>
      </c>
      <c r="BZ419">
        <f t="shared" si="245"/>
        <v>0</v>
      </c>
      <c r="CA419">
        <f t="shared" si="246"/>
        <v>16</v>
      </c>
      <c r="CP419">
        <f>IF(包装物料出入库明细!$D419="",0,1)</f>
        <v>0</v>
      </c>
      <c r="CQ419">
        <f t="shared" si="247"/>
        <v>37</v>
      </c>
      <c r="CS419" t="str">
        <f>IF(OR(周转筐出入库明细!$C420="",周转筐出入库明细!$F420&lt;&gt;"采购入库"),"",周转筐出入库明细!$C420)</f>
        <v/>
      </c>
      <c r="CT419">
        <f t="shared" si="248"/>
        <v>0</v>
      </c>
      <c r="CU419">
        <f t="shared" si="249"/>
        <v>1</v>
      </c>
    </row>
    <row r="420" spans="1:99">
      <c r="A420" t="str">
        <f>IF(包装物料出入库明细!$E420="","",包装物料出入库明细!$E420)</f>
        <v/>
      </c>
      <c r="B420">
        <f t="shared" si="227"/>
        <v>0</v>
      </c>
      <c r="C420">
        <f t="shared" si="228"/>
        <v>7</v>
      </c>
      <c r="D420" t="str">
        <f>IF(包装物料出入库明细!$E420="","",包装物料出入库明细!$F420)</f>
        <v/>
      </c>
      <c r="E420" t="str">
        <f>IF(包装物料出入库明细!$E420="","",包装物料出入库明细!$G420)</f>
        <v/>
      </c>
      <c r="K420" t="str">
        <f>IF(包装物料出入库明细!$D420="","",包装物料出入库明细!$D420)</f>
        <v/>
      </c>
      <c r="L420">
        <f t="shared" si="229"/>
        <v>0</v>
      </c>
      <c r="M420">
        <f t="shared" si="230"/>
        <v>9</v>
      </c>
      <c r="Q420" t="str">
        <f>IF(周转筐出入库明细!$D421="","",周转筐出入库明细!$D421)</f>
        <v/>
      </c>
      <c r="R420">
        <f t="shared" si="231"/>
        <v>0</v>
      </c>
      <c r="S420">
        <f t="shared" si="232"/>
        <v>5</v>
      </c>
      <c r="W420" t="str">
        <f>IF(周转筐出入库明细!$C421="","",周转筐出入库明细!$C421)</f>
        <v/>
      </c>
      <c r="X420">
        <f t="shared" si="233"/>
        <v>0</v>
      </c>
      <c r="Y420">
        <f t="shared" si="234"/>
        <v>12</v>
      </c>
      <c r="AC420" t="str">
        <f>IF(客户自备加工筐明细!$C420="","",客户自备加工筐明细!$C420)</f>
        <v/>
      </c>
      <c r="AD420">
        <f t="shared" si="235"/>
        <v>0</v>
      </c>
      <c r="AE420">
        <f t="shared" si="236"/>
        <v>1</v>
      </c>
      <c r="AI420" t="str">
        <f>IF(客户自备加工筐明细!$E420="","",客户自备加工筐明细!$E420)</f>
        <v/>
      </c>
      <c r="AJ420">
        <f t="shared" si="237"/>
        <v>0</v>
      </c>
      <c r="AK420">
        <f t="shared" si="238"/>
        <v>1</v>
      </c>
      <c r="AO420" t="str">
        <f>IF(次果筐明细!$D420="","",次果筐明细!$D420)</f>
        <v/>
      </c>
      <c r="AP420">
        <f t="shared" si="239"/>
        <v>0</v>
      </c>
      <c r="AQ420">
        <f t="shared" si="240"/>
        <v>1</v>
      </c>
      <c r="AU420" t="str">
        <f>IF(次果筐明细!$C420="","",次果筐明细!$C420)</f>
        <v/>
      </c>
      <c r="AV420">
        <f t="shared" si="241"/>
        <v>0</v>
      </c>
      <c r="AW420">
        <f t="shared" si="242"/>
        <v>1</v>
      </c>
      <c r="BS420" t="str">
        <f t="shared" si="252"/>
        <v/>
      </c>
      <c r="BT420">
        <f t="shared" si="243"/>
        <v>0</v>
      </c>
      <c r="BU420">
        <f t="shared" si="244"/>
        <v>17</v>
      </c>
      <c r="BY420" t="str">
        <f t="shared" si="251"/>
        <v/>
      </c>
      <c r="BZ420">
        <f t="shared" si="245"/>
        <v>0</v>
      </c>
      <c r="CA420">
        <f t="shared" si="246"/>
        <v>16</v>
      </c>
      <c r="CP420">
        <f>IF(包装物料出入库明细!$D420="",0,1)</f>
        <v>0</v>
      </c>
      <c r="CQ420">
        <f t="shared" si="247"/>
        <v>37</v>
      </c>
      <c r="CS420" t="str">
        <f>IF(OR(周转筐出入库明细!$C421="",周转筐出入库明细!$F421&lt;&gt;"采购入库"),"",周转筐出入库明细!$C421)</f>
        <v/>
      </c>
      <c r="CT420">
        <f t="shared" si="248"/>
        <v>0</v>
      </c>
      <c r="CU420">
        <f t="shared" si="249"/>
        <v>1</v>
      </c>
    </row>
    <row r="421" spans="1:99">
      <c r="A421" t="str">
        <f>IF(包装物料出入库明细!$E421="","",包装物料出入库明细!$E421)</f>
        <v/>
      </c>
      <c r="B421">
        <f t="shared" si="227"/>
        <v>0</v>
      </c>
      <c r="C421">
        <f t="shared" si="228"/>
        <v>7</v>
      </c>
      <c r="D421" t="str">
        <f>IF(包装物料出入库明细!$E421="","",包装物料出入库明细!$F421)</f>
        <v/>
      </c>
      <c r="E421" t="str">
        <f>IF(包装物料出入库明细!$E421="","",包装物料出入库明细!$G421)</f>
        <v/>
      </c>
      <c r="K421" t="str">
        <f>IF(包装物料出入库明细!$D421="","",包装物料出入库明细!$D421)</f>
        <v/>
      </c>
      <c r="L421">
        <f t="shared" si="229"/>
        <v>0</v>
      </c>
      <c r="M421">
        <f t="shared" si="230"/>
        <v>9</v>
      </c>
      <c r="Q421" t="str">
        <f>IF(周转筐出入库明细!$D422="","",周转筐出入库明细!$D422)</f>
        <v/>
      </c>
      <c r="R421">
        <f t="shared" si="231"/>
        <v>0</v>
      </c>
      <c r="S421">
        <f t="shared" si="232"/>
        <v>5</v>
      </c>
      <c r="W421" t="str">
        <f>IF(周转筐出入库明细!$C422="","",周转筐出入库明细!$C422)</f>
        <v/>
      </c>
      <c r="X421">
        <f t="shared" si="233"/>
        <v>0</v>
      </c>
      <c r="Y421">
        <f t="shared" si="234"/>
        <v>12</v>
      </c>
      <c r="AC421" t="str">
        <f>IF(客户自备加工筐明细!$C421="","",客户自备加工筐明细!$C421)</f>
        <v/>
      </c>
      <c r="AD421">
        <f t="shared" si="235"/>
        <v>0</v>
      </c>
      <c r="AE421">
        <f t="shared" si="236"/>
        <v>1</v>
      </c>
      <c r="AI421" t="str">
        <f>IF(客户自备加工筐明细!$E421="","",客户自备加工筐明细!$E421)</f>
        <v/>
      </c>
      <c r="AJ421">
        <f t="shared" si="237"/>
        <v>0</v>
      </c>
      <c r="AK421">
        <f t="shared" si="238"/>
        <v>1</v>
      </c>
      <c r="AO421" t="str">
        <f>IF(次果筐明细!$D421="","",次果筐明细!$D421)</f>
        <v/>
      </c>
      <c r="AP421">
        <f t="shared" si="239"/>
        <v>0</v>
      </c>
      <c r="AQ421">
        <f t="shared" si="240"/>
        <v>1</v>
      </c>
      <c r="AU421" t="str">
        <f>IF(次果筐明细!$C421="","",次果筐明细!$C421)</f>
        <v/>
      </c>
      <c r="AV421">
        <f t="shared" si="241"/>
        <v>0</v>
      </c>
      <c r="AW421">
        <f t="shared" si="242"/>
        <v>1</v>
      </c>
      <c r="BS421" t="str">
        <f t="shared" si="252"/>
        <v/>
      </c>
      <c r="BT421">
        <f t="shared" si="243"/>
        <v>0</v>
      </c>
      <c r="BU421">
        <f t="shared" si="244"/>
        <v>17</v>
      </c>
      <c r="BY421" t="str">
        <f t="shared" si="251"/>
        <v/>
      </c>
      <c r="BZ421">
        <f t="shared" si="245"/>
        <v>0</v>
      </c>
      <c r="CA421">
        <f t="shared" si="246"/>
        <v>16</v>
      </c>
      <c r="CP421">
        <f>IF(包装物料出入库明细!$D421="",0,1)</f>
        <v>0</v>
      </c>
      <c r="CQ421">
        <f t="shared" si="247"/>
        <v>37</v>
      </c>
      <c r="CS421" t="str">
        <f>IF(OR(周转筐出入库明细!$C422="",周转筐出入库明细!$F422&lt;&gt;"采购入库"),"",周转筐出入库明细!$C422)</f>
        <v/>
      </c>
      <c r="CT421">
        <f t="shared" si="248"/>
        <v>0</v>
      </c>
      <c r="CU421">
        <f t="shared" si="249"/>
        <v>1</v>
      </c>
    </row>
    <row r="422" spans="1:99">
      <c r="A422" t="str">
        <f>IF(包装物料出入库明细!$E422="","",包装物料出入库明细!$E422)</f>
        <v/>
      </c>
      <c r="B422">
        <f t="shared" si="227"/>
        <v>0</v>
      </c>
      <c r="C422">
        <f t="shared" si="228"/>
        <v>7</v>
      </c>
      <c r="D422" t="str">
        <f>IF(包装物料出入库明细!$E422="","",包装物料出入库明细!$F422)</f>
        <v/>
      </c>
      <c r="E422" t="str">
        <f>IF(包装物料出入库明细!$E422="","",包装物料出入库明细!$G422)</f>
        <v/>
      </c>
      <c r="K422" t="str">
        <f>IF(包装物料出入库明细!$D422="","",包装物料出入库明细!$D422)</f>
        <v/>
      </c>
      <c r="L422">
        <f t="shared" si="229"/>
        <v>0</v>
      </c>
      <c r="M422">
        <f t="shared" si="230"/>
        <v>9</v>
      </c>
      <c r="Q422" t="str">
        <f>IF(周转筐出入库明细!$D423="","",周转筐出入库明细!$D423)</f>
        <v/>
      </c>
      <c r="R422">
        <f t="shared" si="231"/>
        <v>0</v>
      </c>
      <c r="S422">
        <f t="shared" si="232"/>
        <v>5</v>
      </c>
      <c r="W422" t="str">
        <f>IF(周转筐出入库明细!$C423="","",周转筐出入库明细!$C423)</f>
        <v/>
      </c>
      <c r="X422">
        <f t="shared" si="233"/>
        <v>0</v>
      </c>
      <c r="Y422">
        <f t="shared" si="234"/>
        <v>12</v>
      </c>
      <c r="AC422" t="str">
        <f>IF(客户自备加工筐明细!$C422="","",客户自备加工筐明细!$C422)</f>
        <v/>
      </c>
      <c r="AD422">
        <f t="shared" si="235"/>
        <v>0</v>
      </c>
      <c r="AE422">
        <f t="shared" si="236"/>
        <v>1</v>
      </c>
      <c r="AI422" t="str">
        <f>IF(客户自备加工筐明细!$E422="","",客户自备加工筐明细!$E422)</f>
        <v/>
      </c>
      <c r="AJ422">
        <f t="shared" si="237"/>
        <v>0</v>
      </c>
      <c r="AK422">
        <f t="shared" si="238"/>
        <v>1</v>
      </c>
      <c r="AO422" t="str">
        <f>IF(次果筐明细!$D422="","",次果筐明细!$D422)</f>
        <v/>
      </c>
      <c r="AP422">
        <f t="shared" si="239"/>
        <v>0</v>
      </c>
      <c r="AQ422">
        <f t="shared" si="240"/>
        <v>1</v>
      </c>
      <c r="AU422" t="str">
        <f>IF(次果筐明细!$C422="","",次果筐明细!$C422)</f>
        <v/>
      </c>
      <c r="AV422">
        <f t="shared" si="241"/>
        <v>0</v>
      </c>
      <c r="AW422">
        <f t="shared" si="242"/>
        <v>1</v>
      </c>
      <c r="BS422" t="str">
        <f t="shared" si="252"/>
        <v/>
      </c>
      <c r="BT422">
        <f t="shared" si="243"/>
        <v>0</v>
      </c>
      <c r="BU422">
        <f t="shared" si="244"/>
        <v>17</v>
      </c>
      <c r="BY422" t="str">
        <f t="shared" si="251"/>
        <v/>
      </c>
      <c r="BZ422">
        <f t="shared" si="245"/>
        <v>0</v>
      </c>
      <c r="CA422">
        <f t="shared" si="246"/>
        <v>16</v>
      </c>
      <c r="CP422">
        <f>IF(包装物料出入库明细!$D422="",0,1)</f>
        <v>0</v>
      </c>
      <c r="CQ422">
        <f t="shared" si="247"/>
        <v>37</v>
      </c>
      <c r="CS422" t="str">
        <f>IF(OR(周转筐出入库明细!$C423="",周转筐出入库明细!$F423&lt;&gt;"采购入库"),"",周转筐出入库明细!$C423)</f>
        <v/>
      </c>
      <c r="CT422">
        <f t="shared" si="248"/>
        <v>0</v>
      </c>
      <c r="CU422">
        <f t="shared" si="249"/>
        <v>1</v>
      </c>
    </row>
    <row r="423" spans="1:99">
      <c r="A423" t="str">
        <f>IF(包装物料出入库明细!$E423="","",包装物料出入库明细!$E423)</f>
        <v/>
      </c>
      <c r="B423">
        <f t="shared" si="227"/>
        <v>0</v>
      </c>
      <c r="C423">
        <f t="shared" si="228"/>
        <v>7</v>
      </c>
      <c r="D423" t="str">
        <f>IF(包装物料出入库明细!$E423="","",包装物料出入库明细!$F423)</f>
        <v/>
      </c>
      <c r="E423" t="str">
        <f>IF(包装物料出入库明细!$E423="","",包装物料出入库明细!$G423)</f>
        <v/>
      </c>
      <c r="K423" t="str">
        <f>IF(包装物料出入库明细!$D423="","",包装物料出入库明细!$D423)</f>
        <v/>
      </c>
      <c r="L423">
        <f t="shared" si="229"/>
        <v>0</v>
      </c>
      <c r="M423">
        <f t="shared" si="230"/>
        <v>9</v>
      </c>
      <c r="Q423" t="str">
        <f>IF(周转筐出入库明细!$D424="","",周转筐出入库明细!$D424)</f>
        <v/>
      </c>
      <c r="R423">
        <f t="shared" si="231"/>
        <v>0</v>
      </c>
      <c r="S423">
        <f t="shared" si="232"/>
        <v>5</v>
      </c>
      <c r="W423" t="str">
        <f>IF(周转筐出入库明细!$C424="","",周转筐出入库明细!$C424)</f>
        <v/>
      </c>
      <c r="X423">
        <f t="shared" si="233"/>
        <v>0</v>
      </c>
      <c r="Y423">
        <f t="shared" si="234"/>
        <v>12</v>
      </c>
      <c r="AC423" t="str">
        <f>IF(客户自备加工筐明细!$C423="","",客户自备加工筐明细!$C423)</f>
        <v/>
      </c>
      <c r="AD423">
        <f t="shared" si="235"/>
        <v>0</v>
      </c>
      <c r="AE423">
        <f t="shared" si="236"/>
        <v>1</v>
      </c>
      <c r="AI423" t="str">
        <f>IF(客户自备加工筐明细!$E423="","",客户自备加工筐明细!$E423)</f>
        <v/>
      </c>
      <c r="AJ423">
        <f t="shared" si="237"/>
        <v>0</v>
      </c>
      <c r="AK423">
        <f t="shared" si="238"/>
        <v>1</v>
      </c>
      <c r="AO423" t="str">
        <f>IF(次果筐明细!$D423="","",次果筐明细!$D423)</f>
        <v/>
      </c>
      <c r="AP423">
        <f t="shared" si="239"/>
        <v>0</v>
      </c>
      <c r="AQ423">
        <f t="shared" si="240"/>
        <v>1</v>
      </c>
      <c r="AU423" t="str">
        <f>IF(次果筐明细!$C423="","",次果筐明细!$C423)</f>
        <v/>
      </c>
      <c r="AV423">
        <f t="shared" si="241"/>
        <v>0</v>
      </c>
      <c r="AW423">
        <f t="shared" si="242"/>
        <v>1</v>
      </c>
      <c r="BS423" t="str">
        <f t="shared" si="252"/>
        <v/>
      </c>
      <c r="BT423">
        <f t="shared" si="243"/>
        <v>0</v>
      </c>
      <c r="BU423">
        <f t="shared" si="244"/>
        <v>17</v>
      </c>
      <c r="BY423" t="str">
        <f t="shared" si="251"/>
        <v/>
      </c>
      <c r="BZ423">
        <f t="shared" si="245"/>
        <v>0</v>
      </c>
      <c r="CA423">
        <f t="shared" si="246"/>
        <v>16</v>
      </c>
      <c r="CP423">
        <f>IF(包装物料出入库明细!$D423="",0,1)</f>
        <v>0</v>
      </c>
      <c r="CQ423">
        <f t="shared" si="247"/>
        <v>37</v>
      </c>
      <c r="CS423" t="str">
        <f>IF(OR(周转筐出入库明细!$C424="",周转筐出入库明细!$F424&lt;&gt;"采购入库"),"",周转筐出入库明细!$C424)</f>
        <v/>
      </c>
      <c r="CT423">
        <f t="shared" si="248"/>
        <v>0</v>
      </c>
      <c r="CU423">
        <f t="shared" si="249"/>
        <v>1</v>
      </c>
    </row>
    <row r="424" spans="1:99">
      <c r="A424" t="str">
        <f>IF(包装物料出入库明细!$E424="","",包装物料出入库明细!$E424)</f>
        <v/>
      </c>
      <c r="B424">
        <f t="shared" si="227"/>
        <v>0</v>
      </c>
      <c r="C424">
        <f t="shared" si="228"/>
        <v>7</v>
      </c>
      <c r="D424" t="str">
        <f>IF(包装物料出入库明细!$E424="","",包装物料出入库明细!$F424)</f>
        <v/>
      </c>
      <c r="E424" t="str">
        <f>IF(包装物料出入库明细!$E424="","",包装物料出入库明细!$G424)</f>
        <v/>
      </c>
      <c r="K424" t="str">
        <f>IF(包装物料出入库明细!$D424="","",包装物料出入库明细!$D424)</f>
        <v/>
      </c>
      <c r="L424">
        <f t="shared" si="229"/>
        <v>0</v>
      </c>
      <c r="M424">
        <f t="shared" si="230"/>
        <v>9</v>
      </c>
      <c r="Q424" t="str">
        <f>IF(周转筐出入库明细!$D425="","",周转筐出入库明细!$D425)</f>
        <v/>
      </c>
      <c r="R424">
        <f t="shared" si="231"/>
        <v>0</v>
      </c>
      <c r="S424">
        <f t="shared" si="232"/>
        <v>5</v>
      </c>
      <c r="W424" t="str">
        <f>IF(周转筐出入库明细!$C425="","",周转筐出入库明细!$C425)</f>
        <v/>
      </c>
      <c r="X424">
        <f t="shared" si="233"/>
        <v>0</v>
      </c>
      <c r="Y424">
        <f t="shared" si="234"/>
        <v>12</v>
      </c>
      <c r="AC424" t="str">
        <f>IF(客户自备加工筐明细!$C424="","",客户自备加工筐明细!$C424)</f>
        <v/>
      </c>
      <c r="AD424">
        <f t="shared" si="235"/>
        <v>0</v>
      </c>
      <c r="AE424">
        <f t="shared" si="236"/>
        <v>1</v>
      </c>
      <c r="AI424" t="str">
        <f>IF(客户自备加工筐明细!$E424="","",客户自备加工筐明细!$E424)</f>
        <v/>
      </c>
      <c r="AJ424">
        <f t="shared" si="237"/>
        <v>0</v>
      </c>
      <c r="AK424">
        <f t="shared" si="238"/>
        <v>1</v>
      </c>
      <c r="AO424" t="str">
        <f>IF(次果筐明细!$D424="","",次果筐明细!$D424)</f>
        <v/>
      </c>
      <c r="AP424">
        <f t="shared" si="239"/>
        <v>0</v>
      </c>
      <c r="AQ424">
        <f t="shared" si="240"/>
        <v>1</v>
      </c>
      <c r="AU424" t="str">
        <f>IF(次果筐明细!$C424="","",次果筐明细!$C424)</f>
        <v/>
      </c>
      <c r="AV424">
        <f t="shared" si="241"/>
        <v>0</v>
      </c>
      <c r="AW424">
        <f t="shared" si="242"/>
        <v>1</v>
      </c>
      <c r="BS424" t="str">
        <f t="shared" si="252"/>
        <v/>
      </c>
      <c r="BT424">
        <f t="shared" si="243"/>
        <v>0</v>
      </c>
      <c r="BU424">
        <f t="shared" si="244"/>
        <v>17</v>
      </c>
      <c r="BY424" t="str">
        <f t="shared" si="251"/>
        <v/>
      </c>
      <c r="BZ424">
        <f t="shared" si="245"/>
        <v>0</v>
      </c>
      <c r="CA424">
        <f t="shared" si="246"/>
        <v>16</v>
      </c>
      <c r="CP424">
        <f>IF(包装物料出入库明细!$D424="",0,1)</f>
        <v>0</v>
      </c>
      <c r="CQ424">
        <f t="shared" si="247"/>
        <v>37</v>
      </c>
      <c r="CS424" t="str">
        <f>IF(OR(周转筐出入库明细!$C425="",周转筐出入库明细!$F425&lt;&gt;"采购入库"),"",周转筐出入库明细!$C425)</f>
        <v/>
      </c>
      <c r="CT424">
        <f t="shared" si="248"/>
        <v>0</v>
      </c>
      <c r="CU424">
        <f t="shared" si="249"/>
        <v>1</v>
      </c>
    </row>
    <row r="425" spans="1:99">
      <c r="A425" t="str">
        <f>IF(包装物料出入库明细!$E425="","",包装物料出入库明细!$E425)</f>
        <v/>
      </c>
      <c r="B425">
        <f t="shared" si="227"/>
        <v>0</v>
      </c>
      <c r="C425">
        <f t="shared" si="228"/>
        <v>7</v>
      </c>
      <c r="D425" t="str">
        <f>IF(包装物料出入库明细!$E425="","",包装物料出入库明细!$F425)</f>
        <v/>
      </c>
      <c r="E425" t="str">
        <f>IF(包装物料出入库明细!$E425="","",包装物料出入库明细!$G425)</f>
        <v/>
      </c>
      <c r="K425" t="str">
        <f>IF(包装物料出入库明细!$D425="","",包装物料出入库明细!$D425)</f>
        <v/>
      </c>
      <c r="L425">
        <f t="shared" si="229"/>
        <v>0</v>
      </c>
      <c r="M425">
        <f t="shared" si="230"/>
        <v>9</v>
      </c>
      <c r="Q425" t="str">
        <f>IF(周转筐出入库明细!$D426="","",周转筐出入库明细!$D426)</f>
        <v/>
      </c>
      <c r="R425">
        <f t="shared" si="231"/>
        <v>0</v>
      </c>
      <c r="S425">
        <f t="shared" si="232"/>
        <v>5</v>
      </c>
      <c r="W425" t="str">
        <f>IF(周转筐出入库明细!$C426="","",周转筐出入库明细!$C426)</f>
        <v/>
      </c>
      <c r="X425">
        <f t="shared" si="233"/>
        <v>0</v>
      </c>
      <c r="Y425">
        <f t="shared" si="234"/>
        <v>12</v>
      </c>
      <c r="AC425" t="str">
        <f>IF(客户自备加工筐明细!$C425="","",客户自备加工筐明细!$C425)</f>
        <v/>
      </c>
      <c r="AD425">
        <f t="shared" si="235"/>
        <v>0</v>
      </c>
      <c r="AE425">
        <f t="shared" si="236"/>
        <v>1</v>
      </c>
      <c r="AI425" t="str">
        <f>IF(客户自备加工筐明细!$E425="","",客户自备加工筐明细!$E425)</f>
        <v/>
      </c>
      <c r="AJ425">
        <f t="shared" si="237"/>
        <v>0</v>
      </c>
      <c r="AK425">
        <f t="shared" si="238"/>
        <v>1</v>
      </c>
      <c r="AO425" t="str">
        <f>IF(次果筐明细!$D425="","",次果筐明细!$D425)</f>
        <v/>
      </c>
      <c r="AP425">
        <f t="shared" si="239"/>
        <v>0</v>
      </c>
      <c r="AQ425">
        <f t="shared" si="240"/>
        <v>1</v>
      </c>
      <c r="AU425" t="str">
        <f>IF(次果筐明细!$C425="","",次果筐明细!$C425)</f>
        <v/>
      </c>
      <c r="AV425">
        <f t="shared" si="241"/>
        <v>0</v>
      </c>
      <c r="AW425">
        <f t="shared" si="242"/>
        <v>1</v>
      </c>
      <c r="BS425" t="str">
        <f t="shared" si="252"/>
        <v/>
      </c>
      <c r="BT425">
        <f t="shared" si="243"/>
        <v>0</v>
      </c>
      <c r="BU425">
        <f t="shared" si="244"/>
        <v>17</v>
      </c>
      <c r="BY425" t="str">
        <f t="shared" si="251"/>
        <v/>
      </c>
      <c r="BZ425">
        <f t="shared" si="245"/>
        <v>0</v>
      </c>
      <c r="CA425">
        <f t="shared" si="246"/>
        <v>16</v>
      </c>
      <c r="CP425">
        <f>IF(包装物料出入库明细!$D425="",0,1)</f>
        <v>0</v>
      </c>
      <c r="CQ425">
        <f t="shared" si="247"/>
        <v>37</v>
      </c>
      <c r="CS425" t="str">
        <f>IF(OR(周转筐出入库明细!$C426="",周转筐出入库明细!$F426&lt;&gt;"采购入库"),"",周转筐出入库明细!$C426)</f>
        <v/>
      </c>
      <c r="CT425">
        <f t="shared" si="248"/>
        <v>0</v>
      </c>
      <c r="CU425">
        <f t="shared" si="249"/>
        <v>1</v>
      </c>
    </row>
    <row r="426" spans="1:99">
      <c r="A426" t="str">
        <f>IF(包装物料出入库明细!$E426="","",包装物料出入库明细!$E426)</f>
        <v/>
      </c>
      <c r="B426">
        <f t="shared" si="227"/>
        <v>0</v>
      </c>
      <c r="C426">
        <f t="shared" si="228"/>
        <v>7</v>
      </c>
      <c r="D426" t="str">
        <f>IF(包装物料出入库明细!$E426="","",包装物料出入库明细!$F426)</f>
        <v/>
      </c>
      <c r="E426" t="str">
        <f>IF(包装物料出入库明细!$E426="","",包装物料出入库明细!$G426)</f>
        <v/>
      </c>
      <c r="K426" t="str">
        <f>IF(包装物料出入库明细!$D426="","",包装物料出入库明细!$D426)</f>
        <v/>
      </c>
      <c r="L426">
        <f t="shared" si="229"/>
        <v>0</v>
      </c>
      <c r="M426">
        <f t="shared" si="230"/>
        <v>9</v>
      </c>
      <c r="Q426" t="str">
        <f>IF(周转筐出入库明细!$D427="","",周转筐出入库明细!$D427)</f>
        <v/>
      </c>
      <c r="R426">
        <f t="shared" si="231"/>
        <v>0</v>
      </c>
      <c r="S426">
        <f t="shared" si="232"/>
        <v>5</v>
      </c>
      <c r="W426" t="str">
        <f>IF(周转筐出入库明细!$C427="","",周转筐出入库明细!$C427)</f>
        <v/>
      </c>
      <c r="X426">
        <f t="shared" si="233"/>
        <v>0</v>
      </c>
      <c r="Y426">
        <f t="shared" si="234"/>
        <v>12</v>
      </c>
      <c r="AC426" t="str">
        <f>IF(客户自备加工筐明细!$C426="","",客户自备加工筐明细!$C426)</f>
        <v/>
      </c>
      <c r="AD426">
        <f t="shared" si="235"/>
        <v>0</v>
      </c>
      <c r="AE426">
        <f t="shared" si="236"/>
        <v>1</v>
      </c>
      <c r="AI426" t="str">
        <f>IF(客户自备加工筐明细!$E426="","",客户自备加工筐明细!$E426)</f>
        <v/>
      </c>
      <c r="AJ426">
        <f t="shared" si="237"/>
        <v>0</v>
      </c>
      <c r="AK426">
        <f t="shared" si="238"/>
        <v>1</v>
      </c>
      <c r="AO426" t="str">
        <f>IF(次果筐明细!$D426="","",次果筐明细!$D426)</f>
        <v/>
      </c>
      <c r="AP426">
        <f t="shared" si="239"/>
        <v>0</v>
      </c>
      <c r="AQ426">
        <f t="shared" si="240"/>
        <v>1</v>
      </c>
      <c r="AU426" t="str">
        <f>IF(次果筐明细!$C426="","",次果筐明细!$C426)</f>
        <v/>
      </c>
      <c r="AV426">
        <f t="shared" si="241"/>
        <v>0</v>
      </c>
      <c r="AW426">
        <f t="shared" si="242"/>
        <v>1</v>
      </c>
      <c r="BS426" t="str">
        <f t="shared" si="252"/>
        <v/>
      </c>
      <c r="BT426">
        <f t="shared" si="243"/>
        <v>0</v>
      </c>
      <c r="BU426">
        <f t="shared" si="244"/>
        <v>17</v>
      </c>
      <c r="BY426" t="str">
        <f t="shared" si="251"/>
        <v/>
      </c>
      <c r="BZ426">
        <f t="shared" si="245"/>
        <v>0</v>
      </c>
      <c r="CA426">
        <f t="shared" si="246"/>
        <v>16</v>
      </c>
      <c r="CP426">
        <f>IF(包装物料出入库明细!$D426="",0,1)</f>
        <v>0</v>
      </c>
      <c r="CQ426">
        <f t="shared" si="247"/>
        <v>37</v>
      </c>
      <c r="CS426" t="str">
        <f>IF(OR(周转筐出入库明细!$C427="",周转筐出入库明细!$F427&lt;&gt;"采购入库"),"",周转筐出入库明细!$C427)</f>
        <v/>
      </c>
      <c r="CT426">
        <f t="shared" si="248"/>
        <v>0</v>
      </c>
      <c r="CU426">
        <f t="shared" si="249"/>
        <v>1</v>
      </c>
    </row>
    <row r="427" spans="1:99">
      <c r="A427" t="str">
        <f>IF(包装物料出入库明细!$E427="","",包装物料出入库明细!$E427)</f>
        <v/>
      </c>
      <c r="B427">
        <f t="shared" si="227"/>
        <v>0</v>
      </c>
      <c r="C427">
        <f t="shared" si="228"/>
        <v>7</v>
      </c>
      <c r="D427" t="str">
        <f>IF(包装物料出入库明细!$E427="","",包装物料出入库明细!$F427)</f>
        <v/>
      </c>
      <c r="E427" t="str">
        <f>IF(包装物料出入库明细!$E427="","",包装物料出入库明细!$G427)</f>
        <v/>
      </c>
      <c r="K427" t="str">
        <f>IF(包装物料出入库明细!$D427="","",包装物料出入库明细!$D427)</f>
        <v/>
      </c>
      <c r="L427">
        <f t="shared" si="229"/>
        <v>0</v>
      </c>
      <c r="M427">
        <f t="shared" si="230"/>
        <v>9</v>
      </c>
      <c r="Q427" t="str">
        <f>IF(周转筐出入库明细!$D428="","",周转筐出入库明细!$D428)</f>
        <v/>
      </c>
      <c r="R427">
        <f t="shared" si="231"/>
        <v>0</v>
      </c>
      <c r="S427">
        <f t="shared" si="232"/>
        <v>5</v>
      </c>
      <c r="W427" t="str">
        <f>IF(周转筐出入库明细!$C428="","",周转筐出入库明细!$C428)</f>
        <v/>
      </c>
      <c r="X427">
        <f t="shared" si="233"/>
        <v>0</v>
      </c>
      <c r="Y427">
        <f t="shared" si="234"/>
        <v>12</v>
      </c>
      <c r="AC427" t="str">
        <f>IF(客户自备加工筐明细!$C427="","",客户自备加工筐明细!$C427)</f>
        <v/>
      </c>
      <c r="AD427">
        <f t="shared" si="235"/>
        <v>0</v>
      </c>
      <c r="AE427">
        <f t="shared" si="236"/>
        <v>1</v>
      </c>
      <c r="AI427" t="str">
        <f>IF(客户自备加工筐明细!$E427="","",客户自备加工筐明细!$E427)</f>
        <v/>
      </c>
      <c r="AJ427">
        <f t="shared" si="237"/>
        <v>0</v>
      </c>
      <c r="AK427">
        <f t="shared" si="238"/>
        <v>1</v>
      </c>
      <c r="AO427" t="str">
        <f>IF(次果筐明细!$D427="","",次果筐明细!$D427)</f>
        <v/>
      </c>
      <c r="AP427">
        <f t="shared" si="239"/>
        <v>0</v>
      </c>
      <c r="AQ427">
        <f t="shared" si="240"/>
        <v>1</v>
      </c>
      <c r="AU427" t="str">
        <f>IF(次果筐明细!$C427="","",次果筐明细!$C427)</f>
        <v/>
      </c>
      <c r="AV427">
        <f t="shared" si="241"/>
        <v>0</v>
      </c>
      <c r="AW427">
        <f t="shared" si="242"/>
        <v>1</v>
      </c>
      <c r="BS427" t="str">
        <f t="shared" si="252"/>
        <v/>
      </c>
      <c r="BT427">
        <f t="shared" si="243"/>
        <v>0</v>
      </c>
      <c r="BU427">
        <f t="shared" si="244"/>
        <v>17</v>
      </c>
      <c r="BY427" t="str">
        <f t="shared" si="251"/>
        <v/>
      </c>
      <c r="BZ427">
        <f t="shared" si="245"/>
        <v>0</v>
      </c>
      <c r="CA427">
        <f t="shared" si="246"/>
        <v>16</v>
      </c>
      <c r="CP427">
        <f>IF(包装物料出入库明细!$D427="",0,1)</f>
        <v>0</v>
      </c>
      <c r="CQ427">
        <f t="shared" si="247"/>
        <v>37</v>
      </c>
      <c r="CS427" t="str">
        <f>IF(OR(周转筐出入库明细!$C428="",周转筐出入库明细!$F428&lt;&gt;"采购入库"),"",周转筐出入库明细!$C428)</f>
        <v/>
      </c>
      <c r="CT427">
        <f t="shared" si="248"/>
        <v>0</v>
      </c>
      <c r="CU427">
        <f t="shared" si="249"/>
        <v>1</v>
      </c>
    </row>
    <row r="428" spans="1:99">
      <c r="A428" t="str">
        <f>IF(包装物料出入库明细!$E428="","",包装物料出入库明细!$E428)</f>
        <v/>
      </c>
      <c r="B428">
        <f t="shared" si="227"/>
        <v>0</v>
      </c>
      <c r="C428">
        <f t="shared" si="228"/>
        <v>7</v>
      </c>
      <c r="D428" t="str">
        <f>IF(包装物料出入库明细!$E428="","",包装物料出入库明细!$F428)</f>
        <v/>
      </c>
      <c r="E428" t="str">
        <f>IF(包装物料出入库明细!$E428="","",包装物料出入库明细!$G428)</f>
        <v/>
      </c>
      <c r="K428" t="str">
        <f>IF(包装物料出入库明细!$D428="","",包装物料出入库明细!$D428)</f>
        <v/>
      </c>
      <c r="L428">
        <f t="shared" si="229"/>
        <v>0</v>
      </c>
      <c r="M428">
        <f t="shared" si="230"/>
        <v>9</v>
      </c>
      <c r="Q428" t="str">
        <f>IF(周转筐出入库明细!$D429="","",周转筐出入库明细!$D429)</f>
        <v/>
      </c>
      <c r="R428">
        <f t="shared" si="231"/>
        <v>0</v>
      </c>
      <c r="S428">
        <f t="shared" si="232"/>
        <v>5</v>
      </c>
      <c r="W428" t="str">
        <f>IF(周转筐出入库明细!$C429="","",周转筐出入库明细!$C429)</f>
        <v/>
      </c>
      <c r="X428">
        <f t="shared" si="233"/>
        <v>0</v>
      </c>
      <c r="Y428">
        <f t="shared" si="234"/>
        <v>12</v>
      </c>
      <c r="AC428" t="str">
        <f>IF(客户自备加工筐明细!$C428="","",客户自备加工筐明细!$C428)</f>
        <v/>
      </c>
      <c r="AD428">
        <f t="shared" si="235"/>
        <v>0</v>
      </c>
      <c r="AE428">
        <f t="shared" si="236"/>
        <v>1</v>
      </c>
      <c r="AI428" t="str">
        <f>IF(客户自备加工筐明细!$E428="","",客户自备加工筐明细!$E428)</f>
        <v/>
      </c>
      <c r="AJ428">
        <f t="shared" si="237"/>
        <v>0</v>
      </c>
      <c r="AK428">
        <f t="shared" si="238"/>
        <v>1</v>
      </c>
      <c r="AO428" t="str">
        <f>IF(次果筐明细!$D428="","",次果筐明细!$D428)</f>
        <v/>
      </c>
      <c r="AP428">
        <f t="shared" si="239"/>
        <v>0</v>
      </c>
      <c r="AQ428">
        <f t="shared" si="240"/>
        <v>1</v>
      </c>
      <c r="AU428" t="str">
        <f>IF(次果筐明细!$C428="","",次果筐明细!$C428)</f>
        <v/>
      </c>
      <c r="AV428">
        <f t="shared" si="241"/>
        <v>0</v>
      </c>
      <c r="AW428">
        <f t="shared" si="242"/>
        <v>1</v>
      </c>
      <c r="BS428" t="str">
        <f t="shared" si="252"/>
        <v/>
      </c>
      <c r="BT428">
        <f t="shared" si="243"/>
        <v>0</v>
      </c>
      <c r="BU428">
        <f t="shared" si="244"/>
        <v>17</v>
      </c>
      <c r="BY428" t="str">
        <f t="shared" si="251"/>
        <v/>
      </c>
      <c r="BZ428">
        <f t="shared" si="245"/>
        <v>0</v>
      </c>
      <c r="CA428">
        <f t="shared" si="246"/>
        <v>16</v>
      </c>
      <c r="CP428">
        <f>IF(包装物料出入库明细!$D428="",0,1)</f>
        <v>0</v>
      </c>
      <c r="CQ428">
        <f t="shared" si="247"/>
        <v>37</v>
      </c>
      <c r="CS428" t="str">
        <f>IF(OR(周转筐出入库明细!$C429="",周转筐出入库明细!$F429&lt;&gt;"采购入库"),"",周转筐出入库明细!$C429)</f>
        <v/>
      </c>
      <c r="CT428">
        <f t="shared" si="248"/>
        <v>0</v>
      </c>
      <c r="CU428">
        <f t="shared" si="249"/>
        <v>1</v>
      </c>
    </row>
    <row r="429" spans="1:99">
      <c r="A429" t="str">
        <f>IF(包装物料出入库明细!$E429="","",包装物料出入库明细!$E429)</f>
        <v/>
      </c>
      <c r="B429">
        <f t="shared" si="227"/>
        <v>0</v>
      </c>
      <c r="C429">
        <f t="shared" si="228"/>
        <v>7</v>
      </c>
      <c r="D429" t="str">
        <f>IF(包装物料出入库明细!$E429="","",包装物料出入库明细!$F429)</f>
        <v/>
      </c>
      <c r="E429" t="str">
        <f>IF(包装物料出入库明细!$E429="","",包装物料出入库明细!$G429)</f>
        <v/>
      </c>
      <c r="K429" t="str">
        <f>IF(包装物料出入库明细!$D429="","",包装物料出入库明细!$D429)</f>
        <v/>
      </c>
      <c r="L429">
        <f t="shared" si="229"/>
        <v>0</v>
      </c>
      <c r="M429">
        <f t="shared" si="230"/>
        <v>9</v>
      </c>
      <c r="Q429" t="str">
        <f>IF(周转筐出入库明细!$D430="","",周转筐出入库明细!$D430)</f>
        <v/>
      </c>
      <c r="R429">
        <f t="shared" si="231"/>
        <v>0</v>
      </c>
      <c r="S429">
        <f t="shared" si="232"/>
        <v>5</v>
      </c>
      <c r="W429" t="str">
        <f>IF(周转筐出入库明细!$C430="","",周转筐出入库明细!$C430)</f>
        <v/>
      </c>
      <c r="X429">
        <f t="shared" si="233"/>
        <v>0</v>
      </c>
      <c r="Y429">
        <f t="shared" si="234"/>
        <v>12</v>
      </c>
      <c r="AC429" t="str">
        <f>IF(客户自备加工筐明细!$C429="","",客户自备加工筐明细!$C429)</f>
        <v/>
      </c>
      <c r="AD429">
        <f t="shared" si="235"/>
        <v>0</v>
      </c>
      <c r="AE429">
        <f t="shared" si="236"/>
        <v>1</v>
      </c>
      <c r="AI429" t="str">
        <f>IF(客户自备加工筐明细!$E429="","",客户自备加工筐明细!$E429)</f>
        <v/>
      </c>
      <c r="AJ429">
        <f t="shared" si="237"/>
        <v>0</v>
      </c>
      <c r="AK429">
        <f t="shared" si="238"/>
        <v>1</v>
      </c>
      <c r="AO429" t="str">
        <f>IF(次果筐明细!$D429="","",次果筐明细!$D429)</f>
        <v/>
      </c>
      <c r="AP429">
        <f t="shared" si="239"/>
        <v>0</v>
      </c>
      <c r="AQ429">
        <f t="shared" si="240"/>
        <v>1</v>
      </c>
      <c r="AU429" t="str">
        <f>IF(次果筐明细!$C429="","",次果筐明细!$C429)</f>
        <v/>
      </c>
      <c r="AV429">
        <f t="shared" si="241"/>
        <v>0</v>
      </c>
      <c r="AW429">
        <f t="shared" si="242"/>
        <v>1</v>
      </c>
      <c r="BS429" t="str">
        <f t="shared" si="252"/>
        <v/>
      </c>
      <c r="BT429">
        <f t="shared" si="243"/>
        <v>0</v>
      </c>
      <c r="BU429">
        <f t="shared" si="244"/>
        <v>17</v>
      </c>
      <c r="BY429" t="str">
        <f t="shared" si="251"/>
        <v/>
      </c>
      <c r="BZ429">
        <f t="shared" si="245"/>
        <v>0</v>
      </c>
      <c r="CA429">
        <f t="shared" si="246"/>
        <v>16</v>
      </c>
      <c r="CP429">
        <f>IF(包装物料出入库明细!$D429="",0,1)</f>
        <v>0</v>
      </c>
      <c r="CQ429">
        <f t="shared" si="247"/>
        <v>37</v>
      </c>
      <c r="CS429" t="str">
        <f>IF(OR(周转筐出入库明细!$C430="",周转筐出入库明细!$F430&lt;&gt;"采购入库"),"",周转筐出入库明细!$C430)</f>
        <v/>
      </c>
      <c r="CT429">
        <f t="shared" si="248"/>
        <v>0</v>
      </c>
      <c r="CU429">
        <f t="shared" si="249"/>
        <v>1</v>
      </c>
    </row>
    <row r="430" spans="1:99">
      <c r="A430" t="str">
        <f>IF(包装物料出入库明细!$E430="","",包装物料出入库明细!$E430)</f>
        <v/>
      </c>
      <c r="B430">
        <f t="shared" si="227"/>
        <v>0</v>
      </c>
      <c r="C430">
        <f t="shared" si="228"/>
        <v>7</v>
      </c>
      <c r="D430" t="str">
        <f>IF(包装物料出入库明细!$E430="","",包装物料出入库明细!$F430)</f>
        <v/>
      </c>
      <c r="E430" t="str">
        <f>IF(包装物料出入库明细!$E430="","",包装物料出入库明细!$G430)</f>
        <v/>
      </c>
      <c r="K430" t="str">
        <f>IF(包装物料出入库明细!$D430="","",包装物料出入库明细!$D430)</f>
        <v/>
      </c>
      <c r="L430">
        <f t="shared" si="229"/>
        <v>0</v>
      </c>
      <c r="M430">
        <f t="shared" si="230"/>
        <v>9</v>
      </c>
      <c r="Q430" t="str">
        <f>IF(周转筐出入库明细!$D431="","",周转筐出入库明细!$D431)</f>
        <v/>
      </c>
      <c r="R430">
        <f t="shared" si="231"/>
        <v>0</v>
      </c>
      <c r="S430">
        <f t="shared" si="232"/>
        <v>5</v>
      </c>
      <c r="W430" t="str">
        <f>IF(周转筐出入库明细!$C431="","",周转筐出入库明细!$C431)</f>
        <v/>
      </c>
      <c r="X430">
        <f t="shared" si="233"/>
        <v>0</v>
      </c>
      <c r="Y430">
        <f t="shared" si="234"/>
        <v>12</v>
      </c>
      <c r="AC430" t="str">
        <f>IF(客户自备加工筐明细!$C430="","",客户自备加工筐明细!$C430)</f>
        <v/>
      </c>
      <c r="AD430">
        <f t="shared" si="235"/>
        <v>0</v>
      </c>
      <c r="AE430">
        <f t="shared" si="236"/>
        <v>1</v>
      </c>
      <c r="AI430" t="str">
        <f>IF(客户自备加工筐明细!$E430="","",客户自备加工筐明细!$E430)</f>
        <v/>
      </c>
      <c r="AJ430">
        <f t="shared" si="237"/>
        <v>0</v>
      </c>
      <c r="AK430">
        <f t="shared" si="238"/>
        <v>1</v>
      </c>
      <c r="AO430" t="str">
        <f>IF(次果筐明细!$D430="","",次果筐明细!$D430)</f>
        <v/>
      </c>
      <c r="AP430">
        <f t="shared" si="239"/>
        <v>0</v>
      </c>
      <c r="AQ430">
        <f t="shared" si="240"/>
        <v>1</v>
      </c>
      <c r="AU430" t="str">
        <f>IF(次果筐明细!$C430="","",次果筐明细!$C430)</f>
        <v/>
      </c>
      <c r="AV430">
        <f t="shared" si="241"/>
        <v>0</v>
      </c>
      <c r="AW430">
        <f t="shared" si="242"/>
        <v>1</v>
      </c>
      <c r="BS430" t="str">
        <f t="shared" si="252"/>
        <v/>
      </c>
      <c r="BT430">
        <f t="shared" si="243"/>
        <v>0</v>
      </c>
      <c r="BU430">
        <f t="shared" si="244"/>
        <v>17</v>
      </c>
      <c r="BY430" t="str">
        <f t="shared" si="251"/>
        <v/>
      </c>
      <c r="BZ430">
        <f t="shared" si="245"/>
        <v>0</v>
      </c>
      <c r="CA430">
        <f t="shared" si="246"/>
        <v>16</v>
      </c>
      <c r="CP430">
        <f>IF(包装物料出入库明细!$D430="",0,1)</f>
        <v>0</v>
      </c>
      <c r="CQ430">
        <f t="shared" si="247"/>
        <v>37</v>
      </c>
      <c r="CS430" t="str">
        <f>IF(OR(周转筐出入库明细!$C431="",周转筐出入库明细!$F431&lt;&gt;"采购入库"),"",周转筐出入库明细!$C431)</f>
        <v/>
      </c>
      <c r="CT430">
        <f t="shared" si="248"/>
        <v>0</v>
      </c>
      <c r="CU430">
        <f t="shared" si="249"/>
        <v>1</v>
      </c>
    </row>
    <row r="431" spans="1:99">
      <c r="A431" t="str">
        <f>IF(包装物料出入库明细!$E431="","",包装物料出入库明细!$E431)</f>
        <v/>
      </c>
      <c r="B431">
        <f t="shared" si="227"/>
        <v>0</v>
      </c>
      <c r="C431">
        <f t="shared" si="228"/>
        <v>7</v>
      </c>
      <c r="D431" t="str">
        <f>IF(包装物料出入库明细!$E431="","",包装物料出入库明细!$F431)</f>
        <v/>
      </c>
      <c r="E431" t="str">
        <f>IF(包装物料出入库明细!$E431="","",包装物料出入库明细!$G431)</f>
        <v/>
      </c>
      <c r="K431" t="str">
        <f>IF(包装物料出入库明细!$D431="","",包装物料出入库明细!$D431)</f>
        <v/>
      </c>
      <c r="L431">
        <f t="shared" si="229"/>
        <v>0</v>
      </c>
      <c r="M431">
        <f t="shared" si="230"/>
        <v>9</v>
      </c>
      <c r="Q431" t="str">
        <f>IF(周转筐出入库明细!$D432="","",周转筐出入库明细!$D432)</f>
        <v/>
      </c>
      <c r="R431">
        <f t="shared" si="231"/>
        <v>0</v>
      </c>
      <c r="S431">
        <f t="shared" si="232"/>
        <v>5</v>
      </c>
      <c r="W431" t="str">
        <f>IF(周转筐出入库明细!$C432="","",周转筐出入库明细!$C432)</f>
        <v/>
      </c>
      <c r="X431">
        <f t="shared" si="233"/>
        <v>0</v>
      </c>
      <c r="Y431">
        <f t="shared" si="234"/>
        <v>12</v>
      </c>
      <c r="AC431" t="str">
        <f>IF(客户自备加工筐明细!$C431="","",客户自备加工筐明细!$C431)</f>
        <v/>
      </c>
      <c r="AD431">
        <f t="shared" si="235"/>
        <v>0</v>
      </c>
      <c r="AE431">
        <f t="shared" si="236"/>
        <v>1</v>
      </c>
      <c r="AI431" t="str">
        <f>IF(客户自备加工筐明细!$E431="","",客户自备加工筐明细!$E431)</f>
        <v/>
      </c>
      <c r="AJ431">
        <f t="shared" si="237"/>
        <v>0</v>
      </c>
      <c r="AK431">
        <f t="shared" si="238"/>
        <v>1</v>
      </c>
      <c r="AO431" t="str">
        <f>IF(次果筐明细!$D431="","",次果筐明细!$D431)</f>
        <v/>
      </c>
      <c r="AP431">
        <f t="shared" si="239"/>
        <v>0</v>
      </c>
      <c r="AQ431">
        <f t="shared" si="240"/>
        <v>1</v>
      </c>
      <c r="AU431" t="str">
        <f>IF(次果筐明细!$C431="","",次果筐明细!$C431)</f>
        <v/>
      </c>
      <c r="AV431">
        <f t="shared" si="241"/>
        <v>0</v>
      </c>
      <c r="AW431">
        <f t="shared" si="242"/>
        <v>1</v>
      </c>
      <c r="BS431" t="str">
        <f t="shared" si="252"/>
        <v/>
      </c>
      <c r="BT431">
        <f t="shared" si="243"/>
        <v>0</v>
      </c>
      <c r="BU431">
        <f t="shared" si="244"/>
        <v>17</v>
      </c>
      <c r="BY431" t="str">
        <f t="shared" si="251"/>
        <v/>
      </c>
      <c r="BZ431">
        <f t="shared" si="245"/>
        <v>0</v>
      </c>
      <c r="CA431">
        <f t="shared" si="246"/>
        <v>16</v>
      </c>
      <c r="CP431">
        <f>IF(包装物料出入库明细!$D431="",0,1)</f>
        <v>0</v>
      </c>
      <c r="CQ431">
        <f t="shared" si="247"/>
        <v>37</v>
      </c>
      <c r="CS431" t="str">
        <f>IF(OR(周转筐出入库明细!$C432="",周转筐出入库明细!$F432&lt;&gt;"采购入库"),"",周转筐出入库明细!$C432)</f>
        <v/>
      </c>
      <c r="CT431">
        <f t="shared" si="248"/>
        <v>0</v>
      </c>
      <c r="CU431">
        <f t="shared" si="249"/>
        <v>1</v>
      </c>
    </row>
    <row r="432" spans="1:99">
      <c r="A432" t="str">
        <f>IF(包装物料出入库明细!$E432="","",包装物料出入库明细!$E432)</f>
        <v/>
      </c>
      <c r="B432">
        <f t="shared" si="227"/>
        <v>0</v>
      </c>
      <c r="C432">
        <f t="shared" si="228"/>
        <v>7</v>
      </c>
      <c r="D432" t="str">
        <f>IF(包装物料出入库明细!$E432="","",包装物料出入库明细!$F432)</f>
        <v/>
      </c>
      <c r="E432" t="str">
        <f>IF(包装物料出入库明细!$E432="","",包装物料出入库明细!$G432)</f>
        <v/>
      </c>
      <c r="K432" t="str">
        <f>IF(包装物料出入库明细!$D432="","",包装物料出入库明细!$D432)</f>
        <v/>
      </c>
      <c r="L432">
        <f t="shared" si="229"/>
        <v>0</v>
      </c>
      <c r="M432">
        <f t="shared" si="230"/>
        <v>9</v>
      </c>
      <c r="Q432" t="str">
        <f>IF(周转筐出入库明细!$D433="","",周转筐出入库明细!$D433)</f>
        <v/>
      </c>
      <c r="R432">
        <f t="shared" si="231"/>
        <v>0</v>
      </c>
      <c r="S432">
        <f t="shared" si="232"/>
        <v>5</v>
      </c>
      <c r="W432" t="str">
        <f>IF(周转筐出入库明细!$C433="","",周转筐出入库明细!$C433)</f>
        <v/>
      </c>
      <c r="X432">
        <f t="shared" si="233"/>
        <v>0</v>
      </c>
      <c r="Y432">
        <f t="shared" si="234"/>
        <v>12</v>
      </c>
      <c r="AC432" t="str">
        <f>IF(客户自备加工筐明细!$C432="","",客户自备加工筐明细!$C432)</f>
        <v/>
      </c>
      <c r="AD432">
        <f t="shared" si="235"/>
        <v>0</v>
      </c>
      <c r="AE432">
        <f t="shared" si="236"/>
        <v>1</v>
      </c>
      <c r="AI432" t="str">
        <f>IF(客户自备加工筐明细!$E432="","",客户自备加工筐明细!$E432)</f>
        <v/>
      </c>
      <c r="AJ432">
        <f t="shared" si="237"/>
        <v>0</v>
      </c>
      <c r="AK432">
        <f t="shared" si="238"/>
        <v>1</v>
      </c>
      <c r="AO432" t="str">
        <f>IF(次果筐明细!$D432="","",次果筐明细!$D432)</f>
        <v/>
      </c>
      <c r="AP432">
        <f t="shared" si="239"/>
        <v>0</v>
      </c>
      <c r="AQ432">
        <f t="shared" si="240"/>
        <v>1</v>
      </c>
      <c r="AU432" t="str">
        <f>IF(次果筐明细!$C432="","",次果筐明细!$C432)</f>
        <v/>
      </c>
      <c r="AV432">
        <f t="shared" si="241"/>
        <v>0</v>
      </c>
      <c r="AW432">
        <f t="shared" si="242"/>
        <v>1</v>
      </c>
      <c r="BS432" t="str">
        <f t="shared" si="252"/>
        <v/>
      </c>
      <c r="BT432">
        <f t="shared" si="243"/>
        <v>0</v>
      </c>
      <c r="BU432">
        <f t="shared" si="244"/>
        <v>17</v>
      </c>
      <c r="BY432" t="str">
        <f t="shared" si="251"/>
        <v/>
      </c>
      <c r="BZ432">
        <f t="shared" si="245"/>
        <v>0</v>
      </c>
      <c r="CA432">
        <f t="shared" si="246"/>
        <v>16</v>
      </c>
      <c r="CP432">
        <f>IF(包装物料出入库明细!$D432="",0,1)</f>
        <v>0</v>
      </c>
      <c r="CQ432">
        <f t="shared" si="247"/>
        <v>37</v>
      </c>
      <c r="CS432" t="str">
        <f>IF(OR(周转筐出入库明细!$C433="",周转筐出入库明细!$F433&lt;&gt;"采购入库"),"",周转筐出入库明细!$C433)</f>
        <v/>
      </c>
      <c r="CT432">
        <f t="shared" si="248"/>
        <v>0</v>
      </c>
      <c r="CU432">
        <f t="shared" si="249"/>
        <v>1</v>
      </c>
    </row>
    <row r="433" spans="1:99">
      <c r="A433" t="str">
        <f>IF(包装物料出入库明细!$E433="","",包装物料出入库明细!$E433)</f>
        <v/>
      </c>
      <c r="B433">
        <f t="shared" si="227"/>
        <v>0</v>
      </c>
      <c r="C433">
        <f t="shared" si="228"/>
        <v>7</v>
      </c>
      <c r="D433" t="str">
        <f>IF(包装物料出入库明细!$E433="","",包装物料出入库明细!$F433)</f>
        <v/>
      </c>
      <c r="E433" t="str">
        <f>IF(包装物料出入库明细!$E433="","",包装物料出入库明细!$G433)</f>
        <v/>
      </c>
      <c r="K433" t="str">
        <f>IF(包装物料出入库明细!$D433="","",包装物料出入库明细!$D433)</f>
        <v/>
      </c>
      <c r="L433">
        <f t="shared" si="229"/>
        <v>0</v>
      </c>
      <c r="M433">
        <f t="shared" si="230"/>
        <v>9</v>
      </c>
      <c r="Q433" t="str">
        <f>IF(周转筐出入库明细!$D434="","",周转筐出入库明细!$D434)</f>
        <v/>
      </c>
      <c r="R433">
        <f t="shared" si="231"/>
        <v>0</v>
      </c>
      <c r="S433">
        <f t="shared" si="232"/>
        <v>5</v>
      </c>
      <c r="W433" t="str">
        <f>IF(周转筐出入库明细!$C434="","",周转筐出入库明细!$C434)</f>
        <v/>
      </c>
      <c r="X433">
        <f t="shared" si="233"/>
        <v>0</v>
      </c>
      <c r="Y433">
        <f t="shared" si="234"/>
        <v>12</v>
      </c>
      <c r="AC433" t="str">
        <f>IF(客户自备加工筐明细!$C433="","",客户自备加工筐明细!$C433)</f>
        <v/>
      </c>
      <c r="AD433">
        <f t="shared" si="235"/>
        <v>0</v>
      </c>
      <c r="AE433">
        <f t="shared" si="236"/>
        <v>1</v>
      </c>
      <c r="AI433" t="str">
        <f>IF(客户自备加工筐明细!$E433="","",客户自备加工筐明细!$E433)</f>
        <v/>
      </c>
      <c r="AJ433">
        <f t="shared" si="237"/>
        <v>0</v>
      </c>
      <c r="AK433">
        <f t="shared" si="238"/>
        <v>1</v>
      </c>
      <c r="AO433" t="str">
        <f>IF(次果筐明细!$D433="","",次果筐明细!$D433)</f>
        <v/>
      </c>
      <c r="AP433">
        <f t="shared" si="239"/>
        <v>0</v>
      </c>
      <c r="AQ433">
        <f t="shared" si="240"/>
        <v>1</v>
      </c>
      <c r="AU433" t="str">
        <f>IF(次果筐明细!$C433="","",次果筐明细!$C433)</f>
        <v/>
      </c>
      <c r="AV433">
        <f t="shared" si="241"/>
        <v>0</v>
      </c>
      <c r="AW433">
        <f t="shared" si="242"/>
        <v>1</v>
      </c>
      <c r="BS433" t="str">
        <f t="shared" si="252"/>
        <v/>
      </c>
      <c r="BT433">
        <f t="shared" si="243"/>
        <v>0</v>
      </c>
      <c r="BU433">
        <f t="shared" si="244"/>
        <v>17</v>
      </c>
      <c r="BY433" t="str">
        <f t="shared" si="251"/>
        <v/>
      </c>
      <c r="BZ433">
        <f t="shared" si="245"/>
        <v>0</v>
      </c>
      <c r="CA433">
        <f t="shared" si="246"/>
        <v>16</v>
      </c>
      <c r="CP433">
        <f>IF(包装物料出入库明细!$D433="",0,1)</f>
        <v>0</v>
      </c>
      <c r="CQ433">
        <f t="shared" si="247"/>
        <v>37</v>
      </c>
      <c r="CS433" t="str">
        <f>IF(OR(周转筐出入库明细!$C434="",周转筐出入库明细!$F434&lt;&gt;"采购入库"),"",周转筐出入库明细!$C434)</f>
        <v/>
      </c>
      <c r="CT433">
        <f t="shared" si="248"/>
        <v>0</v>
      </c>
      <c r="CU433">
        <f t="shared" si="249"/>
        <v>1</v>
      </c>
    </row>
    <row r="434" spans="1:99">
      <c r="A434" t="str">
        <f>IF(包装物料出入库明细!$E434="","",包装物料出入库明细!$E434)</f>
        <v/>
      </c>
      <c r="B434">
        <f t="shared" si="227"/>
        <v>0</v>
      </c>
      <c r="C434">
        <f t="shared" si="228"/>
        <v>7</v>
      </c>
      <c r="D434" t="str">
        <f>IF(包装物料出入库明细!$E434="","",包装物料出入库明细!$F434)</f>
        <v/>
      </c>
      <c r="E434" t="str">
        <f>IF(包装物料出入库明细!$E434="","",包装物料出入库明细!$G434)</f>
        <v/>
      </c>
      <c r="K434" t="str">
        <f>IF(包装物料出入库明细!$D434="","",包装物料出入库明细!$D434)</f>
        <v/>
      </c>
      <c r="L434">
        <f t="shared" si="229"/>
        <v>0</v>
      </c>
      <c r="M434">
        <f t="shared" si="230"/>
        <v>9</v>
      </c>
      <c r="Q434" t="str">
        <f>IF(周转筐出入库明细!$D435="","",周转筐出入库明细!$D435)</f>
        <v/>
      </c>
      <c r="R434">
        <f t="shared" si="231"/>
        <v>0</v>
      </c>
      <c r="S434">
        <f t="shared" si="232"/>
        <v>5</v>
      </c>
      <c r="W434" t="str">
        <f>IF(周转筐出入库明细!$C435="","",周转筐出入库明细!$C435)</f>
        <v/>
      </c>
      <c r="X434">
        <f t="shared" si="233"/>
        <v>0</v>
      </c>
      <c r="Y434">
        <f t="shared" si="234"/>
        <v>12</v>
      </c>
      <c r="AC434" t="str">
        <f>IF(客户自备加工筐明细!$C434="","",客户自备加工筐明细!$C434)</f>
        <v/>
      </c>
      <c r="AD434">
        <f t="shared" si="235"/>
        <v>0</v>
      </c>
      <c r="AE434">
        <f t="shared" si="236"/>
        <v>1</v>
      </c>
      <c r="AI434" t="str">
        <f>IF(客户自备加工筐明细!$E434="","",客户自备加工筐明细!$E434)</f>
        <v/>
      </c>
      <c r="AJ434">
        <f t="shared" si="237"/>
        <v>0</v>
      </c>
      <c r="AK434">
        <f t="shared" si="238"/>
        <v>1</v>
      </c>
      <c r="AO434" t="str">
        <f>IF(次果筐明细!$D434="","",次果筐明细!$D434)</f>
        <v/>
      </c>
      <c r="AP434">
        <f t="shared" si="239"/>
        <v>0</v>
      </c>
      <c r="AQ434">
        <f t="shared" si="240"/>
        <v>1</v>
      </c>
      <c r="AU434" t="str">
        <f>IF(次果筐明细!$C434="","",次果筐明细!$C434)</f>
        <v/>
      </c>
      <c r="AV434">
        <f t="shared" si="241"/>
        <v>0</v>
      </c>
      <c r="AW434">
        <f t="shared" si="242"/>
        <v>1</v>
      </c>
      <c r="BS434" t="str">
        <f t="shared" si="252"/>
        <v/>
      </c>
      <c r="BT434">
        <f t="shared" si="243"/>
        <v>0</v>
      </c>
      <c r="BU434">
        <f t="shared" si="244"/>
        <v>17</v>
      </c>
      <c r="BY434" t="str">
        <f t="shared" si="251"/>
        <v/>
      </c>
      <c r="BZ434">
        <f t="shared" si="245"/>
        <v>0</v>
      </c>
      <c r="CA434">
        <f t="shared" si="246"/>
        <v>16</v>
      </c>
      <c r="CP434">
        <f>IF(包装物料出入库明细!$D434="",0,1)</f>
        <v>0</v>
      </c>
      <c r="CQ434">
        <f t="shared" si="247"/>
        <v>37</v>
      </c>
      <c r="CS434" t="str">
        <f>IF(OR(周转筐出入库明细!$C435="",周转筐出入库明细!$F435&lt;&gt;"采购入库"),"",周转筐出入库明细!$C435)</f>
        <v/>
      </c>
      <c r="CT434">
        <f t="shared" si="248"/>
        <v>0</v>
      </c>
      <c r="CU434">
        <f t="shared" si="249"/>
        <v>1</v>
      </c>
    </row>
    <row r="435" spans="1:99">
      <c r="A435" t="str">
        <f>IF(包装物料出入库明细!$E435="","",包装物料出入库明细!$E435)</f>
        <v/>
      </c>
      <c r="B435">
        <f t="shared" si="227"/>
        <v>0</v>
      </c>
      <c r="C435">
        <f t="shared" si="228"/>
        <v>7</v>
      </c>
      <c r="D435" t="str">
        <f>IF(包装物料出入库明细!$E435="","",包装物料出入库明细!$F435)</f>
        <v/>
      </c>
      <c r="E435" t="str">
        <f>IF(包装物料出入库明细!$E435="","",包装物料出入库明细!$G435)</f>
        <v/>
      </c>
      <c r="K435" t="str">
        <f>IF(包装物料出入库明细!$D435="","",包装物料出入库明细!$D435)</f>
        <v/>
      </c>
      <c r="L435">
        <f t="shared" si="229"/>
        <v>0</v>
      </c>
      <c r="M435">
        <f t="shared" si="230"/>
        <v>9</v>
      </c>
      <c r="Q435" t="str">
        <f>IF(周转筐出入库明细!$D436="","",周转筐出入库明细!$D436)</f>
        <v/>
      </c>
      <c r="R435">
        <f t="shared" si="231"/>
        <v>0</v>
      </c>
      <c r="S435">
        <f t="shared" si="232"/>
        <v>5</v>
      </c>
      <c r="W435" t="str">
        <f>IF(周转筐出入库明细!$C436="","",周转筐出入库明细!$C436)</f>
        <v/>
      </c>
      <c r="X435">
        <f t="shared" si="233"/>
        <v>0</v>
      </c>
      <c r="Y435">
        <f t="shared" si="234"/>
        <v>12</v>
      </c>
      <c r="AC435" t="str">
        <f>IF(客户自备加工筐明细!$C435="","",客户自备加工筐明细!$C435)</f>
        <v/>
      </c>
      <c r="AD435">
        <f t="shared" si="235"/>
        <v>0</v>
      </c>
      <c r="AE435">
        <f t="shared" si="236"/>
        <v>1</v>
      </c>
      <c r="AI435" t="str">
        <f>IF(客户自备加工筐明细!$E435="","",客户自备加工筐明细!$E435)</f>
        <v/>
      </c>
      <c r="AJ435">
        <f t="shared" si="237"/>
        <v>0</v>
      </c>
      <c r="AK435">
        <f t="shared" si="238"/>
        <v>1</v>
      </c>
      <c r="AO435" t="str">
        <f>IF(次果筐明细!$D435="","",次果筐明细!$D435)</f>
        <v/>
      </c>
      <c r="AP435">
        <f t="shared" si="239"/>
        <v>0</v>
      </c>
      <c r="AQ435">
        <f t="shared" si="240"/>
        <v>1</v>
      </c>
      <c r="AU435" t="str">
        <f>IF(次果筐明细!$C435="","",次果筐明细!$C435)</f>
        <v/>
      </c>
      <c r="AV435">
        <f t="shared" si="241"/>
        <v>0</v>
      </c>
      <c r="AW435">
        <f t="shared" si="242"/>
        <v>1</v>
      </c>
      <c r="BS435" t="str">
        <f t="shared" si="252"/>
        <v/>
      </c>
      <c r="BT435">
        <f t="shared" si="243"/>
        <v>0</v>
      </c>
      <c r="BU435">
        <f t="shared" si="244"/>
        <v>17</v>
      </c>
      <c r="BY435" t="str">
        <f t="shared" si="251"/>
        <v/>
      </c>
      <c r="BZ435">
        <f t="shared" si="245"/>
        <v>0</v>
      </c>
      <c r="CA435">
        <f t="shared" si="246"/>
        <v>16</v>
      </c>
      <c r="CP435">
        <f>IF(包装物料出入库明细!$D435="",0,1)</f>
        <v>0</v>
      </c>
      <c r="CQ435">
        <f t="shared" si="247"/>
        <v>37</v>
      </c>
      <c r="CS435" t="str">
        <f>IF(OR(周转筐出入库明细!$C436="",周转筐出入库明细!$F436&lt;&gt;"采购入库"),"",周转筐出入库明细!$C436)</f>
        <v/>
      </c>
      <c r="CT435">
        <f t="shared" si="248"/>
        <v>0</v>
      </c>
      <c r="CU435">
        <f t="shared" si="249"/>
        <v>1</v>
      </c>
    </row>
    <row r="436" spans="1:99">
      <c r="A436" t="str">
        <f>IF(包装物料出入库明细!$E436="","",包装物料出入库明细!$E436)</f>
        <v/>
      </c>
      <c r="B436">
        <f t="shared" si="227"/>
        <v>0</v>
      </c>
      <c r="C436">
        <f t="shared" si="228"/>
        <v>7</v>
      </c>
      <c r="D436" t="str">
        <f>IF(包装物料出入库明细!$E436="","",包装物料出入库明细!$F436)</f>
        <v/>
      </c>
      <c r="E436" t="str">
        <f>IF(包装物料出入库明细!$E436="","",包装物料出入库明细!$G436)</f>
        <v/>
      </c>
      <c r="K436" t="str">
        <f>IF(包装物料出入库明细!$D436="","",包装物料出入库明细!$D436)</f>
        <v/>
      </c>
      <c r="L436">
        <f t="shared" si="229"/>
        <v>0</v>
      </c>
      <c r="M436">
        <f t="shared" si="230"/>
        <v>9</v>
      </c>
      <c r="Q436" t="str">
        <f>IF(周转筐出入库明细!$D437="","",周转筐出入库明细!$D437)</f>
        <v/>
      </c>
      <c r="R436">
        <f t="shared" si="231"/>
        <v>0</v>
      </c>
      <c r="S436">
        <f t="shared" si="232"/>
        <v>5</v>
      </c>
      <c r="W436" t="str">
        <f>IF(周转筐出入库明细!$C437="","",周转筐出入库明细!$C437)</f>
        <v/>
      </c>
      <c r="X436">
        <f t="shared" si="233"/>
        <v>0</v>
      </c>
      <c r="Y436">
        <f t="shared" si="234"/>
        <v>12</v>
      </c>
      <c r="AC436" t="str">
        <f>IF(客户自备加工筐明细!$C436="","",客户自备加工筐明细!$C436)</f>
        <v/>
      </c>
      <c r="AD436">
        <f t="shared" si="235"/>
        <v>0</v>
      </c>
      <c r="AE436">
        <f t="shared" si="236"/>
        <v>1</v>
      </c>
      <c r="AI436" t="str">
        <f>IF(客户自备加工筐明细!$E436="","",客户自备加工筐明细!$E436)</f>
        <v/>
      </c>
      <c r="AJ436">
        <f t="shared" si="237"/>
        <v>0</v>
      </c>
      <c r="AK436">
        <f t="shared" si="238"/>
        <v>1</v>
      </c>
      <c r="AO436" t="str">
        <f>IF(次果筐明细!$D436="","",次果筐明细!$D436)</f>
        <v/>
      </c>
      <c r="AP436">
        <f t="shared" si="239"/>
        <v>0</v>
      </c>
      <c r="AQ436">
        <f t="shared" si="240"/>
        <v>1</v>
      </c>
      <c r="AU436" t="str">
        <f>IF(次果筐明细!$C436="","",次果筐明细!$C436)</f>
        <v/>
      </c>
      <c r="AV436">
        <f t="shared" si="241"/>
        <v>0</v>
      </c>
      <c r="AW436">
        <f t="shared" si="242"/>
        <v>1</v>
      </c>
      <c r="BS436" t="str">
        <f t="shared" si="252"/>
        <v/>
      </c>
      <c r="BT436">
        <f t="shared" si="243"/>
        <v>0</v>
      </c>
      <c r="BU436">
        <f t="shared" si="244"/>
        <v>17</v>
      </c>
      <c r="BY436" t="str">
        <f t="shared" si="251"/>
        <v/>
      </c>
      <c r="BZ436">
        <f t="shared" si="245"/>
        <v>0</v>
      </c>
      <c r="CA436">
        <f t="shared" si="246"/>
        <v>16</v>
      </c>
      <c r="CP436">
        <f>IF(包装物料出入库明细!$D436="",0,1)</f>
        <v>0</v>
      </c>
      <c r="CQ436">
        <f t="shared" si="247"/>
        <v>37</v>
      </c>
      <c r="CS436" t="str">
        <f>IF(OR(周转筐出入库明细!$C437="",周转筐出入库明细!$F437&lt;&gt;"采购入库"),"",周转筐出入库明细!$C437)</f>
        <v/>
      </c>
      <c r="CT436">
        <f t="shared" si="248"/>
        <v>0</v>
      </c>
      <c r="CU436">
        <f t="shared" si="249"/>
        <v>1</v>
      </c>
    </row>
    <row r="437" spans="1:99">
      <c r="A437" t="str">
        <f>IF(包装物料出入库明细!$E437="","",包装物料出入库明细!$E437)</f>
        <v/>
      </c>
      <c r="B437">
        <f t="shared" si="227"/>
        <v>0</v>
      </c>
      <c r="C437">
        <f t="shared" si="228"/>
        <v>7</v>
      </c>
      <c r="D437" t="str">
        <f>IF(包装物料出入库明细!$E437="","",包装物料出入库明细!$F437)</f>
        <v/>
      </c>
      <c r="E437" t="str">
        <f>IF(包装物料出入库明细!$E437="","",包装物料出入库明细!$G437)</f>
        <v/>
      </c>
      <c r="K437" t="str">
        <f>IF(包装物料出入库明细!$D437="","",包装物料出入库明细!$D437)</f>
        <v/>
      </c>
      <c r="L437">
        <f t="shared" si="229"/>
        <v>0</v>
      </c>
      <c r="M437">
        <f t="shared" si="230"/>
        <v>9</v>
      </c>
      <c r="Q437" t="str">
        <f>IF(周转筐出入库明细!$D438="","",周转筐出入库明细!$D438)</f>
        <v/>
      </c>
      <c r="R437">
        <f t="shared" si="231"/>
        <v>0</v>
      </c>
      <c r="S437">
        <f t="shared" si="232"/>
        <v>5</v>
      </c>
      <c r="W437" t="str">
        <f>IF(周转筐出入库明细!$C438="","",周转筐出入库明细!$C438)</f>
        <v/>
      </c>
      <c r="X437">
        <f t="shared" si="233"/>
        <v>0</v>
      </c>
      <c r="Y437">
        <f t="shared" si="234"/>
        <v>12</v>
      </c>
      <c r="AC437" t="str">
        <f>IF(客户自备加工筐明细!$C437="","",客户自备加工筐明细!$C437)</f>
        <v/>
      </c>
      <c r="AD437">
        <f t="shared" si="235"/>
        <v>0</v>
      </c>
      <c r="AE437">
        <f t="shared" si="236"/>
        <v>1</v>
      </c>
      <c r="AI437" t="str">
        <f>IF(客户自备加工筐明细!$E437="","",客户自备加工筐明细!$E437)</f>
        <v/>
      </c>
      <c r="AJ437">
        <f t="shared" si="237"/>
        <v>0</v>
      </c>
      <c r="AK437">
        <f t="shared" si="238"/>
        <v>1</v>
      </c>
      <c r="AO437" t="str">
        <f>IF(次果筐明细!$D437="","",次果筐明细!$D437)</f>
        <v/>
      </c>
      <c r="AP437">
        <f t="shared" si="239"/>
        <v>0</v>
      </c>
      <c r="AQ437">
        <f t="shared" si="240"/>
        <v>1</v>
      </c>
      <c r="AU437" t="str">
        <f>IF(次果筐明细!$C437="","",次果筐明细!$C437)</f>
        <v/>
      </c>
      <c r="AV437">
        <f t="shared" si="241"/>
        <v>0</v>
      </c>
      <c r="AW437">
        <f t="shared" si="242"/>
        <v>1</v>
      </c>
      <c r="BS437" t="str">
        <f t="shared" si="252"/>
        <v/>
      </c>
      <c r="BT437">
        <f t="shared" si="243"/>
        <v>0</v>
      </c>
      <c r="BU437">
        <f t="shared" si="244"/>
        <v>17</v>
      </c>
      <c r="BY437" t="str">
        <f t="shared" si="251"/>
        <v/>
      </c>
      <c r="BZ437">
        <f t="shared" si="245"/>
        <v>0</v>
      </c>
      <c r="CA437">
        <f t="shared" si="246"/>
        <v>16</v>
      </c>
      <c r="CP437">
        <f>IF(包装物料出入库明细!$D437="",0,1)</f>
        <v>0</v>
      </c>
      <c r="CQ437">
        <f t="shared" si="247"/>
        <v>37</v>
      </c>
      <c r="CS437" t="str">
        <f>IF(OR(周转筐出入库明细!$C438="",周转筐出入库明细!$F438&lt;&gt;"采购入库"),"",周转筐出入库明细!$C438)</f>
        <v/>
      </c>
      <c r="CT437">
        <f t="shared" si="248"/>
        <v>0</v>
      </c>
      <c r="CU437">
        <f t="shared" si="249"/>
        <v>1</v>
      </c>
    </row>
    <row r="438" spans="1:99">
      <c r="A438" t="str">
        <f>IF(包装物料出入库明细!$E438="","",包装物料出入库明细!$E438)</f>
        <v/>
      </c>
      <c r="B438">
        <f t="shared" si="227"/>
        <v>0</v>
      </c>
      <c r="C438">
        <f t="shared" si="228"/>
        <v>7</v>
      </c>
      <c r="D438" t="str">
        <f>IF(包装物料出入库明细!$E438="","",包装物料出入库明细!$F438)</f>
        <v/>
      </c>
      <c r="E438" t="str">
        <f>IF(包装物料出入库明细!$E438="","",包装物料出入库明细!$G438)</f>
        <v/>
      </c>
      <c r="K438" t="str">
        <f>IF(包装物料出入库明细!$D438="","",包装物料出入库明细!$D438)</f>
        <v/>
      </c>
      <c r="L438">
        <f t="shared" si="229"/>
        <v>0</v>
      </c>
      <c r="M438">
        <f t="shared" si="230"/>
        <v>9</v>
      </c>
      <c r="Q438" t="str">
        <f>IF(周转筐出入库明细!$D439="","",周转筐出入库明细!$D439)</f>
        <v/>
      </c>
      <c r="R438">
        <f t="shared" si="231"/>
        <v>0</v>
      </c>
      <c r="S438">
        <f t="shared" si="232"/>
        <v>5</v>
      </c>
      <c r="W438" t="str">
        <f>IF(周转筐出入库明细!$C439="","",周转筐出入库明细!$C439)</f>
        <v/>
      </c>
      <c r="X438">
        <f t="shared" si="233"/>
        <v>0</v>
      </c>
      <c r="Y438">
        <f t="shared" si="234"/>
        <v>12</v>
      </c>
      <c r="AC438" t="str">
        <f>IF(客户自备加工筐明细!$C438="","",客户自备加工筐明细!$C438)</f>
        <v/>
      </c>
      <c r="AD438">
        <f t="shared" si="235"/>
        <v>0</v>
      </c>
      <c r="AE438">
        <f t="shared" si="236"/>
        <v>1</v>
      </c>
      <c r="AI438" t="str">
        <f>IF(客户自备加工筐明细!$E438="","",客户自备加工筐明细!$E438)</f>
        <v/>
      </c>
      <c r="AJ438">
        <f t="shared" si="237"/>
        <v>0</v>
      </c>
      <c r="AK438">
        <f t="shared" si="238"/>
        <v>1</v>
      </c>
      <c r="AO438" t="str">
        <f>IF(次果筐明细!$D438="","",次果筐明细!$D438)</f>
        <v/>
      </c>
      <c r="AP438">
        <f t="shared" si="239"/>
        <v>0</v>
      </c>
      <c r="AQ438">
        <f t="shared" si="240"/>
        <v>1</v>
      </c>
      <c r="AU438" t="str">
        <f>IF(次果筐明细!$C438="","",次果筐明细!$C438)</f>
        <v/>
      </c>
      <c r="AV438">
        <f t="shared" si="241"/>
        <v>0</v>
      </c>
      <c r="AW438">
        <f t="shared" si="242"/>
        <v>1</v>
      </c>
      <c r="BS438" t="str">
        <f t="shared" si="252"/>
        <v/>
      </c>
      <c r="BT438">
        <f t="shared" si="243"/>
        <v>0</v>
      </c>
      <c r="BU438">
        <f t="shared" si="244"/>
        <v>17</v>
      </c>
      <c r="BY438" t="str">
        <f t="shared" si="251"/>
        <v/>
      </c>
      <c r="BZ438">
        <f t="shared" si="245"/>
        <v>0</v>
      </c>
      <c r="CA438">
        <f t="shared" si="246"/>
        <v>16</v>
      </c>
      <c r="CP438">
        <f>IF(包装物料出入库明细!$D438="",0,1)</f>
        <v>0</v>
      </c>
      <c r="CQ438">
        <f t="shared" si="247"/>
        <v>37</v>
      </c>
      <c r="CS438" t="str">
        <f>IF(OR(周转筐出入库明细!$C439="",周转筐出入库明细!$F439&lt;&gt;"采购入库"),"",周转筐出入库明细!$C439)</f>
        <v/>
      </c>
      <c r="CT438">
        <f t="shared" si="248"/>
        <v>0</v>
      </c>
      <c r="CU438">
        <f t="shared" si="249"/>
        <v>1</v>
      </c>
    </row>
    <row r="439" spans="1:99">
      <c r="A439" t="str">
        <f>IF(包装物料出入库明细!$E439="","",包装物料出入库明细!$E439)</f>
        <v/>
      </c>
      <c r="B439">
        <f t="shared" si="227"/>
        <v>0</v>
      </c>
      <c r="C439">
        <f t="shared" si="228"/>
        <v>7</v>
      </c>
      <c r="D439" t="str">
        <f>IF(包装物料出入库明细!$E439="","",包装物料出入库明细!$F439)</f>
        <v/>
      </c>
      <c r="E439" t="str">
        <f>IF(包装物料出入库明细!$E439="","",包装物料出入库明细!$G439)</f>
        <v/>
      </c>
      <c r="K439" t="str">
        <f>IF(包装物料出入库明细!$D439="","",包装物料出入库明细!$D439)</f>
        <v/>
      </c>
      <c r="L439">
        <f t="shared" si="229"/>
        <v>0</v>
      </c>
      <c r="M439">
        <f t="shared" si="230"/>
        <v>9</v>
      </c>
      <c r="Q439" t="str">
        <f>IF(周转筐出入库明细!$D440="","",周转筐出入库明细!$D440)</f>
        <v/>
      </c>
      <c r="R439">
        <f t="shared" si="231"/>
        <v>0</v>
      </c>
      <c r="S439">
        <f t="shared" si="232"/>
        <v>5</v>
      </c>
      <c r="W439" t="str">
        <f>IF(周转筐出入库明细!$C440="","",周转筐出入库明细!$C440)</f>
        <v/>
      </c>
      <c r="X439">
        <f t="shared" si="233"/>
        <v>0</v>
      </c>
      <c r="Y439">
        <f t="shared" si="234"/>
        <v>12</v>
      </c>
      <c r="AC439" t="str">
        <f>IF(客户自备加工筐明细!$C439="","",客户自备加工筐明细!$C439)</f>
        <v/>
      </c>
      <c r="AD439">
        <f t="shared" si="235"/>
        <v>0</v>
      </c>
      <c r="AE439">
        <f t="shared" si="236"/>
        <v>1</v>
      </c>
      <c r="AI439" t="str">
        <f>IF(客户自备加工筐明细!$E439="","",客户自备加工筐明细!$E439)</f>
        <v/>
      </c>
      <c r="AJ439">
        <f t="shared" si="237"/>
        <v>0</v>
      </c>
      <c r="AK439">
        <f t="shared" si="238"/>
        <v>1</v>
      </c>
      <c r="AO439" t="str">
        <f>IF(次果筐明细!$D439="","",次果筐明细!$D439)</f>
        <v/>
      </c>
      <c r="AP439">
        <f t="shared" si="239"/>
        <v>0</v>
      </c>
      <c r="AQ439">
        <f t="shared" si="240"/>
        <v>1</v>
      </c>
      <c r="AU439" t="str">
        <f>IF(次果筐明细!$C439="","",次果筐明细!$C439)</f>
        <v/>
      </c>
      <c r="AV439">
        <f t="shared" si="241"/>
        <v>0</v>
      </c>
      <c r="AW439">
        <f t="shared" si="242"/>
        <v>1</v>
      </c>
      <c r="BS439" t="str">
        <f t="shared" si="252"/>
        <v/>
      </c>
      <c r="BT439">
        <f t="shared" si="243"/>
        <v>0</v>
      </c>
      <c r="BU439">
        <f t="shared" si="244"/>
        <v>17</v>
      </c>
      <c r="BY439" t="str">
        <f t="shared" si="251"/>
        <v/>
      </c>
      <c r="BZ439">
        <f t="shared" si="245"/>
        <v>0</v>
      </c>
      <c r="CA439">
        <f t="shared" si="246"/>
        <v>16</v>
      </c>
      <c r="CP439">
        <f>IF(包装物料出入库明细!$D439="",0,1)</f>
        <v>0</v>
      </c>
      <c r="CQ439">
        <f t="shared" si="247"/>
        <v>37</v>
      </c>
      <c r="CS439" t="str">
        <f>IF(OR(周转筐出入库明细!$C440="",周转筐出入库明细!$F440&lt;&gt;"采购入库"),"",周转筐出入库明细!$C440)</f>
        <v/>
      </c>
      <c r="CT439">
        <f t="shared" si="248"/>
        <v>0</v>
      </c>
      <c r="CU439">
        <f t="shared" si="249"/>
        <v>1</v>
      </c>
    </row>
    <row r="440" spans="1:99">
      <c r="A440" t="str">
        <f>IF(包装物料出入库明细!$E440="","",包装物料出入库明细!$E440)</f>
        <v/>
      </c>
      <c r="B440">
        <f t="shared" si="227"/>
        <v>0</v>
      </c>
      <c r="C440">
        <f t="shared" si="228"/>
        <v>7</v>
      </c>
      <c r="D440" t="str">
        <f>IF(包装物料出入库明细!$E440="","",包装物料出入库明细!$F440)</f>
        <v/>
      </c>
      <c r="E440" t="str">
        <f>IF(包装物料出入库明细!$E440="","",包装物料出入库明细!$G440)</f>
        <v/>
      </c>
      <c r="K440" t="str">
        <f>IF(包装物料出入库明细!$D440="","",包装物料出入库明细!$D440)</f>
        <v/>
      </c>
      <c r="L440">
        <f t="shared" si="229"/>
        <v>0</v>
      </c>
      <c r="M440">
        <f t="shared" si="230"/>
        <v>9</v>
      </c>
      <c r="Q440" t="str">
        <f>IF(周转筐出入库明细!$D441="","",周转筐出入库明细!$D441)</f>
        <v/>
      </c>
      <c r="R440">
        <f t="shared" si="231"/>
        <v>0</v>
      </c>
      <c r="S440">
        <f t="shared" si="232"/>
        <v>5</v>
      </c>
      <c r="W440" t="str">
        <f>IF(周转筐出入库明细!$C441="","",周转筐出入库明细!$C441)</f>
        <v/>
      </c>
      <c r="X440">
        <f t="shared" si="233"/>
        <v>0</v>
      </c>
      <c r="Y440">
        <f t="shared" si="234"/>
        <v>12</v>
      </c>
      <c r="AC440" t="str">
        <f>IF(客户自备加工筐明细!$C440="","",客户自备加工筐明细!$C440)</f>
        <v/>
      </c>
      <c r="AD440">
        <f t="shared" si="235"/>
        <v>0</v>
      </c>
      <c r="AE440">
        <f t="shared" si="236"/>
        <v>1</v>
      </c>
      <c r="AI440" t="str">
        <f>IF(客户自备加工筐明细!$E440="","",客户自备加工筐明细!$E440)</f>
        <v/>
      </c>
      <c r="AJ440">
        <f t="shared" si="237"/>
        <v>0</v>
      </c>
      <c r="AK440">
        <f t="shared" si="238"/>
        <v>1</v>
      </c>
      <c r="AO440" t="str">
        <f>IF(次果筐明细!$D440="","",次果筐明细!$D440)</f>
        <v/>
      </c>
      <c r="AP440">
        <f t="shared" si="239"/>
        <v>0</v>
      </c>
      <c r="AQ440">
        <f t="shared" si="240"/>
        <v>1</v>
      </c>
      <c r="AU440" t="str">
        <f>IF(次果筐明细!$C440="","",次果筐明细!$C440)</f>
        <v/>
      </c>
      <c r="AV440">
        <f t="shared" si="241"/>
        <v>0</v>
      </c>
      <c r="AW440">
        <f t="shared" si="242"/>
        <v>1</v>
      </c>
      <c r="BS440" t="str">
        <f t="shared" si="252"/>
        <v/>
      </c>
      <c r="BT440">
        <f t="shared" si="243"/>
        <v>0</v>
      </c>
      <c r="BU440">
        <f t="shared" si="244"/>
        <v>17</v>
      </c>
      <c r="BY440" t="str">
        <f t="shared" si="251"/>
        <v/>
      </c>
      <c r="BZ440">
        <f t="shared" si="245"/>
        <v>0</v>
      </c>
      <c r="CA440">
        <f t="shared" si="246"/>
        <v>16</v>
      </c>
      <c r="CP440">
        <f>IF(包装物料出入库明细!$D440="",0,1)</f>
        <v>0</v>
      </c>
      <c r="CQ440">
        <f t="shared" si="247"/>
        <v>37</v>
      </c>
      <c r="CS440" t="str">
        <f>IF(OR(周转筐出入库明细!$C441="",周转筐出入库明细!$F441&lt;&gt;"采购入库"),"",周转筐出入库明细!$C441)</f>
        <v/>
      </c>
      <c r="CT440">
        <f t="shared" si="248"/>
        <v>0</v>
      </c>
      <c r="CU440">
        <f t="shared" si="249"/>
        <v>1</v>
      </c>
    </row>
    <row r="441" spans="1:99">
      <c r="A441" t="str">
        <f>IF(包装物料出入库明细!$E441="","",包装物料出入库明细!$E441)</f>
        <v/>
      </c>
      <c r="B441">
        <f t="shared" si="227"/>
        <v>0</v>
      </c>
      <c r="C441">
        <f t="shared" si="228"/>
        <v>7</v>
      </c>
      <c r="D441" t="str">
        <f>IF(包装物料出入库明细!$E441="","",包装物料出入库明细!$F441)</f>
        <v/>
      </c>
      <c r="E441" t="str">
        <f>IF(包装物料出入库明细!$E441="","",包装物料出入库明细!$G441)</f>
        <v/>
      </c>
      <c r="K441" t="str">
        <f>IF(包装物料出入库明细!$D441="","",包装物料出入库明细!$D441)</f>
        <v/>
      </c>
      <c r="L441">
        <f t="shared" si="229"/>
        <v>0</v>
      </c>
      <c r="M441">
        <f t="shared" si="230"/>
        <v>9</v>
      </c>
      <c r="Q441" t="str">
        <f>IF(周转筐出入库明细!$D442="","",周转筐出入库明细!$D442)</f>
        <v/>
      </c>
      <c r="R441">
        <f t="shared" si="231"/>
        <v>0</v>
      </c>
      <c r="S441">
        <f t="shared" si="232"/>
        <v>5</v>
      </c>
      <c r="W441" t="str">
        <f>IF(周转筐出入库明细!$C442="","",周转筐出入库明细!$C442)</f>
        <v/>
      </c>
      <c r="X441">
        <f t="shared" si="233"/>
        <v>0</v>
      </c>
      <c r="Y441">
        <f t="shared" si="234"/>
        <v>12</v>
      </c>
      <c r="AC441" t="str">
        <f>IF(客户自备加工筐明细!$C441="","",客户自备加工筐明细!$C441)</f>
        <v/>
      </c>
      <c r="AD441">
        <f t="shared" si="235"/>
        <v>0</v>
      </c>
      <c r="AE441">
        <f t="shared" si="236"/>
        <v>1</v>
      </c>
      <c r="AI441" t="str">
        <f>IF(客户自备加工筐明细!$E441="","",客户自备加工筐明细!$E441)</f>
        <v/>
      </c>
      <c r="AJ441">
        <f t="shared" si="237"/>
        <v>0</v>
      </c>
      <c r="AK441">
        <f t="shared" si="238"/>
        <v>1</v>
      </c>
      <c r="AO441" t="str">
        <f>IF(次果筐明细!$D441="","",次果筐明细!$D441)</f>
        <v/>
      </c>
      <c r="AP441">
        <f t="shared" si="239"/>
        <v>0</v>
      </c>
      <c r="AQ441">
        <f t="shared" si="240"/>
        <v>1</v>
      </c>
      <c r="AU441" t="str">
        <f>IF(次果筐明细!$C441="","",次果筐明细!$C441)</f>
        <v/>
      </c>
      <c r="AV441">
        <f t="shared" si="241"/>
        <v>0</v>
      </c>
      <c r="AW441">
        <f t="shared" si="242"/>
        <v>1</v>
      </c>
      <c r="BS441" t="str">
        <f t="shared" si="252"/>
        <v/>
      </c>
      <c r="BT441">
        <f t="shared" si="243"/>
        <v>0</v>
      </c>
      <c r="BU441">
        <f t="shared" si="244"/>
        <v>17</v>
      </c>
      <c r="BY441" t="str">
        <f t="shared" si="251"/>
        <v/>
      </c>
      <c r="BZ441">
        <f t="shared" si="245"/>
        <v>0</v>
      </c>
      <c r="CA441">
        <f t="shared" si="246"/>
        <v>16</v>
      </c>
      <c r="CP441">
        <f>IF(包装物料出入库明细!$D441="",0,1)</f>
        <v>0</v>
      </c>
      <c r="CQ441">
        <f t="shared" si="247"/>
        <v>37</v>
      </c>
      <c r="CS441" t="str">
        <f>IF(OR(周转筐出入库明细!$C442="",周转筐出入库明细!$F442&lt;&gt;"采购入库"),"",周转筐出入库明细!$C442)</f>
        <v/>
      </c>
      <c r="CT441">
        <f t="shared" si="248"/>
        <v>0</v>
      </c>
      <c r="CU441">
        <f t="shared" si="249"/>
        <v>1</v>
      </c>
    </row>
    <row r="442" spans="1:99">
      <c r="A442" t="str">
        <f>IF(包装物料出入库明细!$E442="","",包装物料出入库明细!$E442)</f>
        <v/>
      </c>
      <c r="B442">
        <f t="shared" si="227"/>
        <v>0</v>
      </c>
      <c r="C442">
        <f t="shared" si="228"/>
        <v>7</v>
      </c>
      <c r="D442" t="str">
        <f>IF(包装物料出入库明细!$E442="","",包装物料出入库明细!$F442)</f>
        <v/>
      </c>
      <c r="E442" t="str">
        <f>IF(包装物料出入库明细!$E442="","",包装物料出入库明细!$G442)</f>
        <v/>
      </c>
      <c r="K442" t="str">
        <f>IF(包装物料出入库明细!$D442="","",包装物料出入库明细!$D442)</f>
        <v/>
      </c>
      <c r="L442">
        <f t="shared" si="229"/>
        <v>0</v>
      </c>
      <c r="M442">
        <f t="shared" si="230"/>
        <v>9</v>
      </c>
      <c r="Q442" t="str">
        <f>IF(周转筐出入库明细!$D443="","",周转筐出入库明细!$D443)</f>
        <v/>
      </c>
      <c r="R442">
        <f t="shared" si="231"/>
        <v>0</v>
      </c>
      <c r="S442">
        <f t="shared" si="232"/>
        <v>5</v>
      </c>
      <c r="W442" t="str">
        <f>IF(周转筐出入库明细!$C443="","",周转筐出入库明细!$C443)</f>
        <v/>
      </c>
      <c r="X442">
        <f t="shared" si="233"/>
        <v>0</v>
      </c>
      <c r="Y442">
        <f t="shared" si="234"/>
        <v>12</v>
      </c>
      <c r="AC442" t="str">
        <f>IF(客户自备加工筐明细!$C442="","",客户自备加工筐明细!$C442)</f>
        <v/>
      </c>
      <c r="AD442">
        <f t="shared" si="235"/>
        <v>0</v>
      </c>
      <c r="AE442">
        <f t="shared" si="236"/>
        <v>1</v>
      </c>
      <c r="AI442" t="str">
        <f>IF(客户自备加工筐明细!$E442="","",客户自备加工筐明细!$E442)</f>
        <v/>
      </c>
      <c r="AJ442">
        <f t="shared" si="237"/>
        <v>0</v>
      </c>
      <c r="AK442">
        <f t="shared" si="238"/>
        <v>1</v>
      </c>
      <c r="AO442" t="str">
        <f>IF(次果筐明细!$D442="","",次果筐明细!$D442)</f>
        <v/>
      </c>
      <c r="AP442">
        <f t="shared" si="239"/>
        <v>0</v>
      </c>
      <c r="AQ442">
        <f t="shared" si="240"/>
        <v>1</v>
      </c>
      <c r="AU442" t="str">
        <f>IF(次果筐明细!$C442="","",次果筐明细!$C442)</f>
        <v/>
      </c>
      <c r="AV442">
        <f t="shared" si="241"/>
        <v>0</v>
      </c>
      <c r="AW442">
        <f t="shared" si="242"/>
        <v>1</v>
      </c>
      <c r="BS442" t="str">
        <f t="shared" si="252"/>
        <v/>
      </c>
      <c r="BT442">
        <f t="shared" si="243"/>
        <v>0</v>
      </c>
      <c r="BU442">
        <f t="shared" si="244"/>
        <v>17</v>
      </c>
      <c r="BY442" t="str">
        <f t="shared" si="251"/>
        <v/>
      </c>
      <c r="BZ442">
        <f t="shared" si="245"/>
        <v>0</v>
      </c>
      <c r="CA442">
        <f t="shared" si="246"/>
        <v>16</v>
      </c>
      <c r="CP442">
        <f>IF(包装物料出入库明细!$D442="",0,1)</f>
        <v>0</v>
      </c>
      <c r="CQ442">
        <f t="shared" si="247"/>
        <v>37</v>
      </c>
      <c r="CS442" t="str">
        <f>IF(OR(周转筐出入库明细!$C443="",周转筐出入库明细!$F443&lt;&gt;"采购入库"),"",周转筐出入库明细!$C443)</f>
        <v/>
      </c>
      <c r="CT442">
        <f t="shared" si="248"/>
        <v>0</v>
      </c>
      <c r="CU442">
        <f t="shared" si="249"/>
        <v>1</v>
      </c>
    </row>
    <row r="443" spans="1:99">
      <c r="A443" t="str">
        <f>IF(包装物料出入库明细!$E443="","",包装物料出入库明细!$E443)</f>
        <v/>
      </c>
      <c r="B443">
        <f t="shared" si="227"/>
        <v>0</v>
      </c>
      <c r="C443">
        <f t="shared" si="228"/>
        <v>7</v>
      </c>
      <c r="D443" t="str">
        <f>IF(包装物料出入库明细!$E443="","",包装物料出入库明细!$F443)</f>
        <v/>
      </c>
      <c r="E443" t="str">
        <f>IF(包装物料出入库明细!$E443="","",包装物料出入库明细!$G443)</f>
        <v/>
      </c>
      <c r="K443" t="str">
        <f>IF(包装物料出入库明细!$D443="","",包装物料出入库明细!$D443)</f>
        <v/>
      </c>
      <c r="L443">
        <f t="shared" si="229"/>
        <v>0</v>
      </c>
      <c r="M443">
        <f t="shared" si="230"/>
        <v>9</v>
      </c>
      <c r="Q443" t="str">
        <f>IF(周转筐出入库明细!$D444="","",周转筐出入库明细!$D444)</f>
        <v/>
      </c>
      <c r="R443">
        <f t="shared" si="231"/>
        <v>0</v>
      </c>
      <c r="S443">
        <f t="shared" si="232"/>
        <v>5</v>
      </c>
      <c r="W443" t="str">
        <f>IF(周转筐出入库明细!$C444="","",周转筐出入库明细!$C444)</f>
        <v/>
      </c>
      <c r="X443">
        <f t="shared" si="233"/>
        <v>0</v>
      </c>
      <c r="Y443">
        <f t="shared" si="234"/>
        <v>12</v>
      </c>
      <c r="AC443" t="str">
        <f>IF(客户自备加工筐明细!$C443="","",客户自备加工筐明细!$C443)</f>
        <v/>
      </c>
      <c r="AD443">
        <f t="shared" si="235"/>
        <v>0</v>
      </c>
      <c r="AE443">
        <f t="shared" si="236"/>
        <v>1</v>
      </c>
      <c r="AI443" t="str">
        <f>IF(客户自备加工筐明细!$E443="","",客户自备加工筐明细!$E443)</f>
        <v/>
      </c>
      <c r="AJ443">
        <f t="shared" si="237"/>
        <v>0</v>
      </c>
      <c r="AK443">
        <f t="shared" si="238"/>
        <v>1</v>
      </c>
      <c r="AO443" t="str">
        <f>IF(次果筐明细!$D443="","",次果筐明细!$D443)</f>
        <v/>
      </c>
      <c r="AP443">
        <f t="shared" si="239"/>
        <v>0</v>
      </c>
      <c r="AQ443">
        <f t="shared" si="240"/>
        <v>1</v>
      </c>
      <c r="AU443" t="str">
        <f>IF(次果筐明细!$C443="","",次果筐明细!$C443)</f>
        <v/>
      </c>
      <c r="AV443">
        <f t="shared" si="241"/>
        <v>0</v>
      </c>
      <c r="AW443">
        <f t="shared" si="242"/>
        <v>1</v>
      </c>
      <c r="BS443" t="str">
        <f t="shared" si="252"/>
        <v/>
      </c>
      <c r="BT443">
        <f t="shared" si="243"/>
        <v>0</v>
      </c>
      <c r="BU443">
        <f t="shared" si="244"/>
        <v>17</v>
      </c>
      <c r="BY443" t="str">
        <f t="shared" si="251"/>
        <v/>
      </c>
      <c r="BZ443">
        <f t="shared" si="245"/>
        <v>0</v>
      </c>
      <c r="CA443">
        <f t="shared" si="246"/>
        <v>16</v>
      </c>
      <c r="CP443">
        <f>IF(包装物料出入库明细!$D443="",0,1)</f>
        <v>0</v>
      </c>
      <c r="CQ443">
        <f t="shared" si="247"/>
        <v>37</v>
      </c>
      <c r="CS443" t="str">
        <f>IF(OR(周转筐出入库明细!$C444="",周转筐出入库明细!$F444&lt;&gt;"采购入库"),"",周转筐出入库明细!$C444)</f>
        <v/>
      </c>
      <c r="CT443">
        <f t="shared" si="248"/>
        <v>0</v>
      </c>
      <c r="CU443">
        <f t="shared" si="249"/>
        <v>1</v>
      </c>
    </row>
    <row r="444" spans="1:99">
      <c r="A444" t="str">
        <f>IF(包装物料出入库明细!$E444="","",包装物料出入库明细!$E444)</f>
        <v/>
      </c>
      <c r="B444">
        <f t="shared" si="227"/>
        <v>0</v>
      </c>
      <c r="C444">
        <f t="shared" si="228"/>
        <v>7</v>
      </c>
      <c r="D444" t="str">
        <f>IF(包装物料出入库明细!$E444="","",包装物料出入库明细!$F444)</f>
        <v/>
      </c>
      <c r="E444" t="str">
        <f>IF(包装物料出入库明细!$E444="","",包装物料出入库明细!$G444)</f>
        <v/>
      </c>
      <c r="K444" t="str">
        <f>IF(包装物料出入库明细!$D444="","",包装物料出入库明细!$D444)</f>
        <v/>
      </c>
      <c r="L444">
        <f t="shared" si="229"/>
        <v>0</v>
      </c>
      <c r="M444">
        <f t="shared" si="230"/>
        <v>9</v>
      </c>
      <c r="Q444" t="str">
        <f>IF(周转筐出入库明细!$D445="","",周转筐出入库明细!$D445)</f>
        <v/>
      </c>
      <c r="R444">
        <f t="shared" si="231"/>
        <v>0</v>
      </c>
      <c r="S444">
        <f t="shared" si="232"/>
        <v>5</v>
      </c>
      <c r="W444" t="str">
        <f>IF(周转筐出入库明细!$C445="","",周转筐出入库明细!$C445)</f>
        <v/>
      </c>
      <c r="X444">
        <f t="shared" si="233"/>
        <v>0</v>
      </c>
      <c r="Y444">
        <f t="shared" si="234"/>
        <v>12</v>
      </c>
      <c r="AC444" t="str">
        <f>IF(客户自备加工筐明细!$C444="","",客户自备加工筐明细!$C444)</f>
        <v/>
      </c>
      <c r="AD444">
        <f t="shared" si="235"/>
        <v>0</v>
      </c>
      <c r="AE444">
        <f t="shared" si="236"/>
        <v>1</v>
      </c>
      <c r="AI444" t="str">
        <f>IF(客户自备加工筐明细!$E444="","",客户自备加工筐明细!$E444)</f>
        <v/>
      </c>
      <c r="AJ444">
        <f t="shared" si="237"/>
        <v>0</v>
      </c>
      <c r="AK444">
        <f t="shared" si="238"/>
        <v>1</v>
      </c>
      <c r="AO444" t="str">
        <f>IF(次果筐明细!$D444="","",次果筐明细!$D444)</f>
        <v/>
      </c>
      <c r="AP444">
        <f t="shared" si="239"/>
        <v>0</v>
      </c>
      <c r="AQ444">
        <f t="shared" si="240"/>
        <v>1</v>
      </c>
      <c r="AU444" t="str">
        <f>IF(次果筐明细!$C444="","",次果筐明细!$C444)</f>
        <v/>
      </c>
      <c r="AV444">
        <f t="shared" si="241"/>
        <v>0</v>
      </c>
      <c r="AW444">
        <f t="shared" si="242"/>
        <v>1</v>
      </c>
      <c r="BS444" t="str">
        <f t="shared" si="252"/>
        <v/>
      </c>
      <c r="BT444">
        <f t="shared" si="243"/>
        <v>0</v>
      </c>
      <c r="BU444">
        <f t="shared" si="244"/>
        <v>17</v>
      </c>
      <c r="BY444" t="str">
        <f t="shared" si="251"/>
        <v/>
      </c>
      <c r="BZ444">
        <f t="shared" si="245"/>
        <v>0</v>
      </c>
      <c r="CA444">
        <f t="shared" si="246"/>
        <v>16</v>
      </c>
      <c r="CP444">
        <f>IF(包装物料出入库明细!$D444="",0,1)</f>
        <v>0</v>
      </c>
      <c r="CQ444">
        <f t="shared" si="247"/>
        <v>37</v>
      </c>
      <c r="CS444" t="str">
        <f>IF(OR(周转筐出入库明细!$C445="",周转筐出入库明细!$F445&lt;&gt;"采购入库"),"",周转筐出入库明细!$C445)</f>
        <v/>
      </c>
      <c r="CT444">
        <f t="shared" si="248"/>
        <v>0</v>
      </c>
      <c r="CU444">
        <f t="shared" si="249"/>
        <v>1</v>
      </c>
    </row>
    <row r="445" spans="1:99">
      <c r="A445" t="str">
        <f>IF(包装物料出入库明细!$E445="","",包装物料出入库明细!$E445)</f>
        <v/>
      </c>
      <c r="B445">
        <f t="shared" si="227"/>
        <v>0</v>
      </c>
      <c r="C445">
        <f t="shared" si="228"/>
        <v>7</v>
      </c>
      <c r="D445" t="str">
        <f>IF(包装物料出入库明细!$E445="","",包装物料出入库明细!$F445)</f>
        <v/>
      </c>
      <c r="E445" t="str">
        <f>IF(包装物料出入库明细!$E445="","",包装物料出入库明细!$G445)</f>
        <v/>
      </c>
      <c r="K445" t="str">
        <f>IF(包装物料出入库明细!$D445="","",包装物料出入库明细!$D445)</f>
        <v/>
      </c>
      <c r="L445">
        <f t="shared" si="229"/>
        <v>0</v>
      </c>
      <c r="M445">
        <f t="shared" si="230"/>
        <v>9</v>
      </c>
      <c r="Q445" t="str">
        <f>IF(周转筐出入库明细!$D446="","",周转筐出入库明细!$D446)</f>
        <v/>
      </c>
      <c r="R445">
        <f t="shared" si="231"/>
        <v>0</v>
      </c>
      <c r="S445">
        <f t="shared" si="232"/>
        <v>5</v>
      </c>
      <c r="W445" t="str">
        <f>IF(周转筐出入库明细!$C446="","",周转筐出入库明细!$C446)</f>
        <v/>
      </c>
      <c r="X445">
        <f t="shared" si="233"/>
        <v>0</v>
      </c>
      <c r="Y445">
        <f t="shared" si="234"/>
        <v>12</v>
      </c>
      <c r="AC445" t="str">
        <f>IF(客户自备加工筐明细!$C445="","",客户自备加工筐明细!$C445)</f>
        <v/>
      </c>
      <c r="AD445">
        <f t="shared" si="235"/>
        <v>0</v>
      </c>
      <c r="AE445">
        <f t="shared" si="236"/>
        <v>1</v>
      </c>
      <c r="AI445" t="str">
        <f>IF(客户自备加工筐明细!$E445="","",客户自备加工筐明细!$E445)</f>
        <v/>
      </c>
      <c r="AJ445">
        <f t="shared" si="237"/>
        <v>0</v>
      </c>
      <c r="AK445">
        <f t="shared" si="238"/>
        <v>1</v>
      </c>
      <c r="AO445" t="str">
        <f>IF(次果筐明细!$D445="","",次果筐明细!$D445)</f>
        <v/>
      </c>
      <c r="AP445">
        <f t="shared" si="239"/>
        <v>0</v>
      </c>
      <c r="AQ445">
        <f t="shared" si="240"/>
        <v>1</v>
      </c>
      <c r="AU445" t="str">
        <f>IF(次果筐明细!$C445="","",次果筐明细!$C445)</f>
        <v/>
      </c>
      <c r="AV445">
        <f t="shared" si="241"/>
        <v>0</v>
      </c>
      <c r="AW445">
        <f t="shared" si="242"/>
        <v>1</v>
      </c>
      <c r="BS445" t="str">
        <f t="shared" si="252"/>
        <v/>
      </c>
      <c r="BT445">
        <f t="shared" si="243"/>
        <v>0</v>
      </c>
      <c r="BU445">
        <f t="shared" si="244"/>
        <v>17</v>
      </c>
      <c r="BY445" t="str">
        <f t="shared" si="251"/>
        <v/>
      </c>
      <c r="BZ445">
        <f t="shared" si="245"/>
        <v>0</v>
      </c>
      <c r="CA445">
        <f t="shared" si="246"/>
        <v>16</v>
      </c>
      <c r="CP445">
        <f>IF(包装物料出入库明细!$D445="",0,1)</f>
        <v>0</v>
      </c>
      <c r="CQ445">
        <f t="shared" si="247"/>
        <v>37</v>
      </c>
      <c r="CS445" t="str">
        <f>IF(OR(周转筐出入库明细!$C446="",周转筐出入库明细!$F446&lt;&gt;"采购入库"),"",周转筐出入库明细!$C446)</f>
        <v/>
      </c>
      <c r="CT445">
        <f t="shared" si="248"/>
        <v>0</v>
      </c>
      <c r="CU445">
        <f t="shared" si="249"/>
        <v>1</v>
      </c>
    </row>
    <row r="446" spans="1:99">
      <c r="A446" t="str">
        <f>IF(包装物料出入库明细!$E446="","",包装物料出入库明细!$E446)</f>
        <v/>
      </c>
      <c r="B446">
        <f t="shared" si="227"/>
        <v>0</v>
      </c>
      <c r="C446">
        <f t="shared" si="228"/>
        <v>7</v>
      </c>
      <c r="D446" t="str">
        <f>IF(包装物料出入库明细!$E446="","",包装物料出入库明细!$F446)</f>
        <v/>
      </c>
      <c r="E446" t="str">
        <f>IF(包装物料出入库明细!$E446="","",包装物料出入库明细!$G446)</f>
        <v/>
      </c>
      <c r="K446" t="str">
        <f>IF(包装物料出入库明细!$D446="","",包装物料出入库明细!$D446)</f>
        <v/>
      </c>
      <c r="L446">
        <f t="shared" si="229"/>
        <v>0</v>
      </c>
      <c r="M446">
        <f t="shared" si="230"/>
        <v>9</v>
      </c>
      <c r="Q446" t="str">
        <f>IF(周转筐出入库明细!$D447="","",周转筐出入库明细!$D447)</f>
        <v/>
      </c>
      <c r="R446">
        <f t="shared" si="231"/>
        <v>0</v>
      </c>
      <c r="S446">
        <f t="shared" si="232"/>
        <v>5</v>
      </c>
      <c r="W446" t="str">
        <f>IF(周转筐出入库明细!$C447="","",周转筐出入库明细!$C447)</f>
        <v/>
      </c>
      <c r="X446">
        <f t="shared" si="233"/>
        <v>0</v>
      </c>
      <c r="Y446">
        <f t="shared" si="234"/>
        <v>12</v>
      </c>
      <c r="AC446" t="str">
        <f>IF(客户自备加工筐明细!$C446="","",客户自备加工筐明细!$C446)</f>
        <v/>
      </c>
      <c r="AD446">
        <f t="shared" si="235"/>
        <v>0</v>
      </c>
      <c r="AE446">
        <f t="shared" si="236"/>
        <v>1</v>
      </c>
      <c r="AI446" t="str">
        <f>IF(客户自备加工筐明细!$E446="","",客户自备加工筐明细!$E446)</f>
        <v/>
      </c>
      <c r="AJ446">
        <f t="shared" si="237"/>
        <v>0</v>
      </c>
      <c r="AK446">
        <f t="shared" si="238"/>
        <v>1</v>
      </c>
      <c r="AO446" t="str">
        <f>IF(次果筐明细!$D446="","",次果筐明细!$D446)</f>
        <v/>
      </c>
      <c r="AP446">
        <f t="shared" si="239"/>
        <v>0</v>
      </c>
      <c r="AQ446">
        <f t="shared" si="240"/>
        <v>1</v>
      </c>
      <c r="AU446" t="str">
        <f>IF(次果筐明细!$C446="","",次果筐明细!$C446)</f>
        <v/>
      </c>
      <c r="AV446">
        <f t="shared" si="241"/>
        <v>0</v>
      </c>
      <c r="AW446">
        <f t="shared" si="242"/>
        <v>1</v>
      </c>
      <c r="BS446" t="str">
        <f t="shared" si="252"/>
        <v/>
      </c>
      <c r="BT446">
        <f t="shared" si="243"/>
        <v>0</v>
      </c>
      <c r="BU446">
        <f t="shared" si="244"/>
        <v>17</v>
      </c>
      <c r="BY446" t="str">
        <f t="shared" si="251"/>
        <v/>
      </c>
      <c r="BZ446">
        <f t="shared" si="245"/>
        <v>0</v>
      </c>
      <c r="CA446">
        <f t="shared" si="246"/>
        <v>16</v>
      </c>
      <c r="CP446">
        <f>IF(包装物料出入库明细!$D446="",0,1)</f>
        <v>0</v>
      </c>
      <c r="CQ446">
        <f t="shared" si="247"/>
        <v>37</v>
      </c>
      <c r="CS446" t="str">
        <f>IF(OR(周转筐出入库明细!$C447="",周转筐出入库明细!$F447&lt;&gt;"采购入库"),"",周转筐出入库明细!$C447)</f>
        <v/>
      </c>
      <c r="CT446">
        <f t="shared" si="248"/>
        <v>0</v>
      </c>
      <c r="CU446">
        <f t="shared" si="249"/>
        <v>1</v>
      </c>
    </row>
    <row r="447" spans="1:99">
      <c r="A447" t="str">
        <f>IF(包装物料出入库明细!$E447="","",包装物料出入库明细!$E447)</f>
        <v/>
      </c>
      <c r="B447">
        <f t="shared" si="227"/>
        <v>0</v>
      </c>
      <c r="C447">
        <f t="shared" si="228"/>
        <v>7</v>
      </c>
      <c r="D447" t="str">
        <f>IF(包装物料出入库明细!$E447="","",包装物料出入库明细!$F447)</f>
        <v/>
      </c>
      <c r="E447" t="str">
        <f>IF(包装物料出入库明细!$E447="","",包装物料出入库明细!$G447)</f>
        <v/>
      </c>
      <c r="K447" t="str">
        <f>IF(包装物料出入库明细!$D447="","",包装物料出入库明细!$D447)</f>
        <v/>
      </c>
      <c r="L447">
        <f t="shared" si="229"/>
        <v>0</v>
      </c>
      <c r="M447">
        <f t="shared" si="230"/>
        <v>9</v>
      </c>
      <c r="Q447" t="str">
        <f>IF(周转筐出入库明细!$D448="","",周转筐出入库明细!$D448)</f>
        <v/>
      </c>
      <c r="R447">
        <f t="shared" si="231"/>
        <v>0</v>
      </c>
      <c r="S447">
        <f t="shared" si="232"/>
        <v>5</v>
      </c>
      <c r="W447" t="str">
        <f>IF(周转筐出入库明细!$C448="","",周转筐出入库明细!$C448)</f>
        <v/>
      </c>
      <c r="X447">
        <f t="shared" si="233"/>
        <v>0</v>
      </c>
      <c r="Y447">
        <f t="shared" si="234"/>
        <v>12</v>
      </c>
      <c r="AC447" t="str">
        <f>IF(客户自备加工筐明细!$C447="","",客户自备加工筐明细!$C447)</f>
        <v/>
      </c>
      <c r="AD447">
        <f t="shared" si="235"/>
        <v>0</v>
      </c>
      <c r="AE447">
        <f t="shared" si="236"/>
        <v>1</v>
      </c>
      <c r="AI447" t="str">
        <f>IF(客户自备加工筐明细!$E447="","",客户自备加工筐明细!$E447)</f>
        <v/>
      </c>
      <c r="AJ447">
        <f t="shared" si="237"/>
        <v>0</v>
      </c>
      <c r="AK447">
        <f t="shared" si="238"/>
        <v>1</v>
      </c>
      <c r="AO447" t="str">
        <f>IF(次果筐明细!$D447="","",次果筐明细!$D447)</f>
        <v/>
      </c>
      <c r="AP447">
        <f t="shared" si="239"/>
        <v>0</v>
      </c>
      <c r="AQ447">
        <f t="shared" si="240"/>
        <v>1</v>
      </c>
      <c r="AU447" t="str">
        <f>IF(次果筐明细!$C447="","",次果筐明细!$C447)</f>
        <v/>
      </c>
      <c r="AV447">
        <f t="shared" si="241"/>
        <v>0</v>
      </c>
      <c r="AW447">
        <f t="shared" si="242"/>
        <v>1</v>
      </c>
      <c r="BS447" t="str">
        <f t="shared" si="252"/>
        <v/>
      </c>
      <c r="BT447">
        <f t="shared" si="243"/>
        <v>0</v>
      </c>
      <c r="BU447">
        <f t="shared" si="244"/>
        <v>17</v>
      </c>
      <c r="BY447" t="str">
        <f t="shared" si="251"/>
        <v/>
      </c>
      <c r="BZ447">
        <f t="shared" si="245"/>
        <v>0</v>
      </c>
      <c r="CA447">
        <f t="shared" si="246"/>
        <v>16</v>
      </c>
      <c r="CP447">
        <f>IF(包装物料出入库明细!$D447="",0,1)</f>
        <v>0</v>
      </c>
      <c r="CQ447">
        <f t="shared" si="247"/>
        <v>37</v>
      </c>
      <c r="CS447" t="str">
        <f>IF(OR(周转筐出入库明细!$C448="",周转筐出入库明细!$F448&lt;&gt;"采购入库"),"",周转筐出入库明细!$C448)</f>
        <v/>
      </c>
      <c r="CT447">
        <f t="shared" si="248"/>
        <v>0</v>
      </c>
      <c r="CU447">
        <f t="shared" si="249"/>
        <v>1</v>
      </c>
    </row>
    <row r="448" spans="1:99">
      <c r="A448" t="str">
        <f>IF(包装物料出入库明细!$E448="","",包装物料出入库明细!$E448)</f>
        <v/>
      </c>
      <c r="B448">
        <f t="shared" si="227"/>
        <v>0</v>
      </c>
      <c r="C448">
        <f t="shared" si="228"/>
        <v>7</v>
      </c>
      <c r="D448" t="str">
        <f>IF(包装物料出入库明细!$E448="","",包装物料出入库明细!$F448)</f>
        <v/>
      </c>
      <c r="E448" t="str">
        <f>IF(包装物料出入库明细!$E448="","",包装物料出入库明细!$G448)</f>
        <v/>
      </c>
      <c r="K448" t="str">
        <f>IF(包装物料出入库明细!$D448="","",包装物料出入库明细!$D448)</f>
        <v/>
      </c>
      <c r="L448">
        <f t="shared" si="229"/>
        <v>0</v>
      </c>
      <c r="M448">
        <f t="shared" si="230"/>
        <v>9</v>
      </c>
      <c r="Q448" t="str">
        <f>IF(周转筐出入库明细!$D449="","",周转筐出入库明细!$D449)</f>
        <v/>
      </c>
      <c r="R448">
        <f t="shared" si="231"/>
        <v>0</v>
      </c>
      <c r="S448">
        <f t="shared" si="232"/>
        <v>5</v>
      </c>
      <c r="W448" t="str">
        <f>IF(周转筐出入库明细!$C449="","",周转筐出入库明细!$C449)</f>
        <v/>
      </c>
      <c r="X448">
        <f t="shared" si="233"/>
        <v>0</v>
      </c>
      <c r="Y448">
        <f t="shared" si="234"/>
        <v>12</v>
      </c>
      <c r="AC448" t="str">
        <f>IF(客户自备加工筐明细!$C448="","",客户自备加工筐明细!$C448)</f>
        <v/>
      </c>
      <c r="AD448">
        <f t="shared" si="235"/>
        <v>0</v>
      </c>
      <c r="AE448">
        <f t="shared" si="236"/>
        <v>1</v>
      </c>
      <c r="AI448" t="str">
        <f>IF(客户自备加工筐明细!$E448="","",客户自备加工筐明细!$E448)</f>
        <v/>
      </c>
      <c r="AJ448">
        <f t="shared" si="237"/>
        <v>0</v>
      </c>
      <c r="AK448">
        <f t="shared" si="238"/>
        <v>1</v>
      </c>
      <c r="AO448" t="str">
        <f>IF(次果筐明细!$D448="","",次果筐明细!$D448)</f>
        <v/>
      </c>
      <c r="AP448">
        <f t="shared" si="239"/>
        <v>0</v>
      </c>
      <c r="AQ448">
        <f t="shared" si="240"/>
        <v>1</v>
      </c>
      <c r="AU448" t="str">
        <f>IF(次果筐明细!$C448="","",次果筐明细!$C448)</f>
        <v/>
      </c>
      <c r="AV448">
        <f t="shared" si="241"/>
        <v>0</v>
      </c>
      <c r="AW448">
        <f t="shared" si="242"/>
        <v>1</v>
      </c>
      <c r="BS448" t="str">
        <f t="shared" si="252"/>
        <v/>
      </c>
      <c r="BT448">
        <f t="shared" si="243"/>
        <v>0</v>
      </c>
      <c r="BU448">
        <f t="shared" si="244"/>
        <v>17</v>
      </c>
      <c r="BY448" t="str">
        <f t="shared" si="251"/>
        <v/>
      </c>
      <c r="BZ448">
        <f t="shared" si="245"/>
        <v>0</v>
      </c>
      <c r="CA448">
        <f t="shared" si="246"/>
        <v>16</v>
      </c>
      <c r="CP448">
        <f>IF(包装物料出入库明细!$D448="",0,1)</f>
        <v>0</v>
      </c>
      <c r="CQ448">
        <f t="shared" si="247"/>
        <v>37</v>
      </c>
      <c r="CS448" t="str">
        <f>IF(OR(周转筐出入库明细!$C449="",周转筐出入库明细!$F449&lt;&gt;"采购入库"),"",周转筐出入库明细!$C449)</f>
        <v/>
      </c>
      <c r="CT448">
        <f t="shared" si="248"/>
        <v>0</v>
      </c>
      <c r="CU448">
        <f t="shared" si="249"/>
        <v>1</v>
      </c>
    </row>
    <row r="449" spans="1:99">
      <c r="A449" t="str">
        <f>IF(包装物料出入库明细!$E449="","",包装物料出入库明细!$E449)</f>
        <v/>
      </c>
      <c r="B449">
        <f t="shared" si="227"/>
        <v>0</v>
      </c>
      <c r="C449">
        <f t="shared" si="228"/>
        <v>7</v>
      </c>
      <c r="D449" t="str">
        <f>IF(包装物料出入库明细!$E449="","",包装物料出入库明细!$F449)</f>
        <v/>
      </c>
      <c r="E449" t="str">
        <f>IF(包装物料出入库明细!$E449="","",包装物料出入库明细!$G449)</f>
        <v/>
      </c>
      <c r="K449" t="str">
        <f>IF(包装物料出入库明细!$D449="","",包装物料出入库明细!$D449)</f>
        <v/>
      </c>
      <c r="L449">
        <f t="shared" si="229"/>
        <v>0</v>
      </c>
      <c r="M449">
        <f t="shared" si="230"/>
        <v>9</v>
      </c>
      <c r="Q449" t="str">
        <f>IF(周转筐出入库明细!$D450="","",周转筐出入库明细!$D450)</f>
        <v/>
      </c>
      <c r="R449">
        <f t="shared" si="231"/>
        <v>0</v>
      </c>
      <c r="S449">
        <f t="shared" si="232"/>
        <v>5</v>
      </c>
      <c r="W449" t="str">
        <f>IF(周转筐出入库明细!$C450="","",周转筐出入库明细!$C450)</f>
        <v/>
      </c>
      <c r="X449">
        <f t="shared" si="233"/>
        <v>0</v>
      </c>
      <c r="Y449">
        <f t="shared" si="234"/>
        <v>12</v>
      </c>
      <c r="AC449" t="str">
        <f>IF(客户自备加工筐明细!$C449="","",客户自备加工筐明细!$C449)</f>
        <v/>
      </c>
      <c r="AD449">
        <f t="shared" si="235"/>
        <v>0</v>
      </c>
      <c r="AE449">
        <f t="shared" si="236"/>
        <v>1</v>
      </c>
      <c r="AI449" t="str">
        <f>IF(客户自备加工筐明细!$E449="","",客户自备加工筐明细!$E449)</f>
        <v/>
      </c>
      <c r="AJ449">
        <f t="shared" si="237"/>
        <v>0</v>
      </c>
      <c r="AK449">
        <f t="shared" si="238"/>
        <v>1</v>
      </c>
      <c r="AO449" t="str">
        <f>IF(次果筐明细!$D449="","",次果筐明细!$D449)</f>
        <v/>
      </c>
      <c r="AP449">
        <f t="shared" si="239"/>
        <v>0</v>
      </c>
      <c r="AQ449">
        <f t="shared" si="240"/>
        <v>1</v>
      </c>
      <c r="AU449" t="str">
        <f>IF(次果筐明细!$C449="","",次果筐明细!$C449)</f>
        <v/>
      </c>
      <c r="AV449">
        <f t="shared" si="241"/>
        <v>0</v>
      </c>
      <c r="AW449">
        <f t="shared" si="242"/>
        <v>1</v>
      </c>
      <c r="BS449" t="str">
        <f t="shared" si="252"/>
        <v/>
      </c>
      <c r="BT449">
        <f t="shared" si="243"/>
        <v>0</v>
      </c>
      <c r="BU449">
        <f t="shared" si="244"/>
        <v>17</v>
      </c>
      <c r="BY449" t="str">
        <f t="shared" si="251"/>
        <v/>
      </c>
      <c r="BZ449">
        <f t="shared" si="245"/>
        <v>0</v>
      </c>
      <c r="CA449">
        <f t="shared" si="246"/>
        <v>16</v>
      </c>
      <c r="CP449">
        <f>IF(包装物料出入库明细!$D449="",0,1)</f>
        <v>0</v>
      </c>
      <c r="CQ449">
        <f t="shared" si="247"/>
        <v>37</v>
      </c>
      <c r="CS449" t="str">
        <f>IF(OR(周转筐出入库明细!$C450="",周转筐出入库明细!$F450&lt;&gt;"采购入库"),"",周转筐出入库明细!$C450)</f>
        <v/>
      </c>
      <c r="CT449">
        <f t="shared" si="248"/>
        <v>0</v>
      </c>
      <c r="CU449">
        <f t="shared" si="249"/>
        <v>1</v>
      </c>
    </row>
    <row r="450" spans="1:99">
      <c r="A450" t="str">
        <f>IF(包装物料出入库明细!$E450="","",包装物料出入库明细!$E450)</f>
        <v/>
      </c>
      <c r="B450">
        <f t="shared" si="227"/>
        <v>0</v>
      </c>
      <c r="C450">
        <f t="shared" si="228"/>
        <v>7</v>
      </c>
      <c r="D450" t="str">
        <f>IF(包装物料出入库明细!$E450="","",包装物料出入库明细!$F450)</f>
        <v/>
      </c>
      <c r="E450" t="str">
        <f>IF(包装物料出入库明细!$E450="","",包装物料出入库明细!$G450)</f>
        <v/>
      </c>
      <c r="K450" t="str">
        <f>IF(包装物料出入库明细!$D450="","",包装物料出入库明细!$D450)</f>
        <v/>
      </c>
      <c r="L450">
        <f t="shared" si="229"/>
        <v>0</v>
      </c>
      <c r="M450">
        <f t="shared" si="230"/>
        <v>9</v>
      </c>
      <c r="Q450" t="str">
        <f>IF(周转筐出入库明细!$D451="","",周转筐出入库明细!$D451)</f>
        <v/>
      </c>
      <c r="R450">
        <f t="shared" si="231"/>
        <v>0</v>
      </c>
      <c r="S450">
        <f t="shared" si="232"/>
        <v>5</v>
      </c>
      <c r="W450" t="str">
        <f>IF(周转筐出入库明细!$C451="","",周转筐出入库明细!$C451)</f>
        <v/>
      </c>
      <c r="X450">
        <f t="shared" si="233"/>
        <v>0</v>
      </c>
      <c r="Y450">
        <f t="shared" si="234"/>
        <v>12</v>
      </c>
      <c r="AC450" t="str">
        <f>IF(客户自备加工筐明细!$C450="","",客户自备加工筐明细!$C450)</f>
        <v/>
      </c>
      <c r="AD450">
        <f t="shared" si="235"/>
        <v>0</v>
      </c>
      <c r="AE450">
        <f t="shared" si="236"/>
        <v>1</v>
      </c>
      <c r="AI450" t="str">
        <f>IF(客户自备加工筐明细!$E450="","",客户自备加工筐明细!$E450)</f>
        <v/>
      </c>
      <c r="AJ450">
        <f t="shared" si="237"/>
        <v>0</v>
      </c>
      <c r="AK450">
        <f t="shared" si="238"/>
        <v>1</v>
      </c>
      <c r="AO450" t="str">
        <f>IF(次果筐明细!$D450="","",次果筐明细!$D450)</f>
        <v/>
      </c>
      <c r="AP450">
        <f t="shared" si="239"/>
        <v>0</v>
      </c>
      <c r="AQ450">
        <f t="shared" si="240"/>
        <v>1</v>
      </c>
      <c r="AU450" t="str">
        <f>IF(次果筐明细!$C450="","",次果筐明细!$C450)</f>
        <v/>
      </c>
      <c r="AV450">
        <f t="shared" si="241"/>
        <v>0</v>
      </c>
      <c r="AW450">
        <f t="shared" si="242"/>
        <v>1</v>
      </c>
      <c r="BS450" t="str">
        <f t="shared" si="252"/>
        <v/>
      </c>
      <c r="BT450">
        <f t="shared" si="243"/>
        <v>0</v>
      </c>
      <c r="BU450">
        <f t="shared" si="244"/>
        <v>17</v>
      </c>
      <c r="BY450" t="str">
        <f t="shared" si="251"/>
        <v/>
      </c>
      <c r="BZ450">
        <f t="shared" si="245"/>
        <v>0</v>
      </c>
      <c r="CA450">
        <f t="shared" si="246"/>
        <v>16</v>
      </c>
      <c r="CP450">
        <f>IF(包装物料出入库明细!$D450="",0,1)</f>
        <v>0</v>
      </c>
      <c r="CQ450">
        <f t="shared" si="247"/>
        <v>37</v>
      </c>
      <c r="CS450" t="str">
        <f>IF(OR(周转筐出入库明细!$C451="",周转筐出入库明细!$F451&lt;&gt;"采购入库"),"",周转筐出入库明细!$C451)</f>
        <v/>
      </c>
      <c r="CT450">
        <f t="shared" si="248"/>
        <v>0</v>
      </c>
      <c r="CU450">
        <f t="shared" si="249"/>
        <v>1</v>
      </c>
    </row>
    <row r="451" spans="1:99">
      <c r="A451" t="str">
        <f>IF(包装物料出入库明细!$E451="","",包装物料出入库明细!$E451)</f>
        <v/>
      </c>
      <c r="B451">
        <f t="shared" si="227"/>
        <v>0</v>
      </c>
      <c r="C451">
        <f t="shared" si="228"/>
        <v>7</v>
      </c>
      <c r="D451" t="str">
        <f>IF(包装物料出入库明细!$E451="","",包装物料出入库明细!$F451)</f>
        <v/>
      </c>
      <c r="E451" t="str">
        <f>IF(包装物料出入库明细!$E451="","",包装物料出入库明细!$G451)</f>
        <v/>
      </c>
      <c r="K451" t="str">
        <f>IF(包装物料出入库明细!$D451="","",包装物料出入库明细!$D451)</f>
        <v/>
      </c>
      <c r="L451">
        <f t="shared" si="229"/>
        <v>0</v>
      </c>
      <c r="M451">
        <f t="shared" si="230"/>
        <v>9</v>
      </c>
      <c r="Q451" t="str">
        <f>IF(周转筐出入库明细!$D452="","",周转筐出入库明细!$D452)</f>
        <v/>
      </c>
      <c r="R451">
        <f t="shared" si="231"/>
        <v>0</v>
      </c>
      <c r="S451">
        <f t="shared" si="232"/>
        <v>5</v>
      </c>
      <c r="W451" t="str">
        <f>IF(周转筐出入库明细!$C452="","",周转筐出入库明细!$C452)</f>
        <v/>
      </c>
      <c r="X451">
        <f t="shared" si="233"/>
        <v>0</v>
      </c>
      <c r="Y451">
        <f t="shared" si="234"/>
        <v>12</v>
      </c>
      <c r="AC451" t="str">
        <f>IF(客户自备加工筐明细!$C451="","",客户自备加工筐明细!$C451)</f>
        <v/>
      </c>
      <c r="AD451">
        <f t="shared" si="235"/>
        <v>0</v>
      </c>
      <c r="AE451">
        <f t="shared" si="236"/>
        <v>1</v>
      </c>
      <c r="AI451" t="str">
        <f>IF(客户自备加工筐明细!$E451="","",客户自备加工筐明细!$E451)</f>
        <v/>
      </c>
      <c r="AJ451">
        <f t="shared" si="237"/>
        <v>0</v>
      </c>
      <c r="AK451">
        <f t="shared" si="238"/>
        <v>1</v>
      </c>
      <c r="AO451" t="str">
        <f>IF(次果筐明细!$D451="","",次果筐明细!$D451)</f>
        <v/>
      </c>
      <c r="AP451">
        <f t="shared" si="239"/>
        <v>0</v>
      </c>
      <c r="AQ451">
        <f t="shared" si="240"/>
        <v>1</v>
      </c>
      <c r="AU451" t="str">
        <f>IF(次果筐明细!$C451="","",次果筐明细!$C451)</f>
        <v/>
      </c>
      <c r="AV451">
        <f t="shared" si="241"/>
        <v>0</v>
      </c>
      <c r="AW451">
        <f t="shared" si="242"/>
        <v>1</v>
      </c>
      <c r="BS451" t="str">
        <f t="shared" si="252"/>
        <v/>
      </c>
      <c r="BT451">
        <f t="shared" si="243"/>
        <v>0</v>
      </c>
      <c r="BU451">
        <f t="shared" si="244"/>
        <v>17</v>
      </c>
      <c r="BY451" t="str">
        <f t="shared" si="251"/>
        <v/>
      </c>
      <c r="BZ451">
        <f t="shared" si="245"/>
        <v>0</v>
      </c>
      <c r="CA451">
        <f t="shared" si="246"/>
        <v>16</v>
      </c>
      <c r="CP451">
        <f>IF(包装物料出入库明细!$D451="",0,1)</f>
        <v>0</v>
      </c>
      <c r="CQ451">
        <f t="shared" si="247"/>
        <v>37</v>
      </c>
      <c r="CS451" t="str">
        <f>IF(OR(周转筐出入库明细!$C452="",周转筐出入库明细!$F452&lt;&gt;"采购入库"),"",周转筐出入库明细!$C452)</f>
        <v/>
      </c>
      <c r="CT451">
        <f t="shared" si="248"/>
        <v>0</v>
      </c>
      <c r="CU451">
        <f t="shared" si="249"/>
        <v>1</v>
      </c>
    </row>
    <row r="452" spans="1:99">
      <c r="A452" t="str">
        <f>IF(包装物料出入库明细!$E452="","",包装物料出入库明细!$E452)</f>
        <v/>
      </c>
      <c r="B452">
        <f t="shared" ref="B452:B515" si="253">IF(A452="",0,IF(MATCH(A452,$A$4:$A$2003,0)=ROW()-3,1,0))</f>
        <v>0</v>
      </c>
      <c r="C452">
        <f t="shared" ref="C452:C515" si="254">N(C451)+B452</f>
        <v>7</v>
      </c>
      <c r="D452" t="str">
        <f>IF(包装物料出入库明细!$E452="","",包装物料出入库明细!$F452)</f>
        <v/>
      </c>
      <c r="E452" t="str">
        <f>IF(包装物料出入库明细!$E452="","",包装物料出入库明细!$G452)</f>
        <v/>
      </c>
      <c r="K452" t="str">
        <f>IF(包装物料出入库明细!$D452="","",包装物料出入库明细!$D452)</f>
        <v/>
      </c>
      <c r="L452">
        <f t="shared" ref="L452:L515" si="255">IF(K452="",0,IF(MATCH(K452,$K$4:$K$2003,0)=ROW()-3,1,0))</f>
        <v>0</v>
      </c>
      <c r="M452">
        <f t="shared" ref="M452:M515" si="256">N(M451)+L452</f>
        <v>9</v>
      </c>
      <c r="Q452" t="str">
        <f>IF(周转筐出入库明细!$D453="","",周转筐出入库明细!$D453)</f>
        <v/>
      </c>
      <c r="R452">
        <f t="shared" ref="R452:R515" si="257">IF(Q452="",0,IF(MATCH(Q452,$Q$4:$Q$2003,0)=ROW()-3,1,0))</f>
        <v>0</v>
      </c>
      <c r="S452">
        <f t="shared" ref="S452:S515" si="258">N(S451)+R452</f>
        <v>5</v>
      </c>
      <c r="W452" t="str">
        <f>IF(周转筐出入库明细!$C453="","",周转筐出入库明细!$C453)</f>
        <v/>
      </c>
      <c r="X452">
        <f t="shared" ref="X452:X515" si="259">IF(W452="",0,IF(MATCH(W452,$W$4:$W$2003,0)=ROW()-3,1,0))</f>
        <v>0</v>
      </c>
      <c r="Y452">
        <f t="shared" ref="Y452:Y515" si="260">N(Y451)+X452</f>
        <v>12</v>
      </c>
      <c r="AC452" t="str">
        <f>IF(客户自备加工筐明细!$C452="","",客户自备加工筐明细!$C452)</f>
        <v/>
      </c>
      <c r="AD452">
        <f t="shared" ref="AD452:AD515" si="261">IF(AC452="",0,IF(MATCH(AC452,$AC$4:$AC$1203,0)=ROW()-3,1,0))</f>
        <v>0</v>
      </c>
      <c r="AE452">
        <f t="shared" ref="AE452:AE515" si="262">N(AE451)+AD452</f>
        <v>1</v>
      </c>
      <c r="AI452" t="str">
        <f>IF(客户自备加工筐明细!$E452="","",客户自备加工筐明细!$E452)</f>
        <v/>
      </c>
      <c r="AJ452">
        <f t="shared" ref="AJ452:AJ515" si="263">IF(AI452="",0,IF(MATCH(AI452,$AI$4:$AI$1503,0)=ROW()-3,1,0))</f>
        <v>0</v>
      </c>
      <c r="AK452">
        <f t="shared" ref="AK452:AK515" si="264">N(AK451)+AJ452</f>
        <v>1</v>
      </c>
      <c r="AO452" t="str">
        <f>IF(次果筐明细!$D452="","",次果筐明细!$D452)</f>
        <v/>
      </c>
      <c r="AP452">
        <f t="shared" ref="AP452:AP515" si="265">IF(AO452="",0,IF(MATCH(AO452,$AO$4:$AO$603,0)=ROW()-3,1,0))</f>
        <v>0</v>
      </c>
      <c r="AQ452">
        <f t="shared" ref="AQ452:AQ515" si="266">N(AQ451)+AP452</f>
        <v>1</v>
      </c>
      <c r="AU452" t="str">
        <f>IF(次果筐明细!$C452="","",次果筐明细!$C452)</f>
        <v/>
      </c>
      <c r="AV452">
        <f t="shared" ref="AV452:AV515" si="267">IF(AU452="",0,IF(MATCH(AU452,$AU$4:$AU$603,0)=ROW()-3,1,0))</f>
        <v>0</v>
      </c>
      <c r="AW452">
        <f t="shared" ref="AW452:AW515" si="268">N(AW451)+AV452</f>
        <v>1</v>
      </c>
      <c r="BS452" t="str">
        <f t="shared" si="252"/>
        <v/>
      </c>
      <c r="BT452">
        <f t="shared" ref="BT452:BT515" si="269">IF(BS452="",0,IF(MATCH(BS452,$BS$4:$BS$1103,0)=ROW()-3,1,0))</f>
        <v>0</v>
      </c>
      <c r="BU452">
        <f t="shared" ref="BU452:BU515" si="270">N(BU451)+BT452</f>
        <v>17</v>
      </c>
      <c r="BY452" t="str">
        <f t="shared" si="251"/>
        <v/>
      </c>
      <c r="BZ452">
        <f t="shared" ref="BZ452:BZ503" si="271">IF(BY452="",0,IF(MATCH(BY452,$BY$4:$BY$503,0)=ROW()-3,1,0))</f>
        <v>0</v>
      </c>
      <c r="CA452">
        <f t="shared" ref="CA452:CA503" si="272">N(CA451)+BZ452</f>
        <v>16</v>
      </c>
      <c r="CP452">
        <f>IF(包装物料出入库明细!$D452="",0,1)</f>
        <v>0</v>
      </c>
      <c r="CQ452">
        <f t="shared" ref="CQ452:CQ515" si="273">N(CQ451)+$CP452</f>
        <v>37</v>
      </c>
      <c r="CS452" t="str">
        <f>IF(OR(周转筐出入库明细!$C453="",周转筐出入库明细!$F453&lt;&gt;"采购入库"),"",周转筐出入库明细!$C453)</f>
        <v/>
      </c>
      <c r="CT452">
        <f t="shared" ref="CT452:CT515" si="274">IF(CS452="",0,IF(MATCH(CS452,$CS$4:$CS$2003,0)=ROW()-3,1,0))</f>
        <v>0</v>
      </c>
      <c r="CU452">
        <f t="shared" ref="CU452:CU515" si="275">N(CU451)+CT452</f>
        <v>1</v>
      </c>
    </row>
    <row r="453" spans="1:99">
      <c r="A453" t="str">
        <f>IF(包装物料出入库明细!$E453="","",包装物料出入库明细!$E453)</f>
        <v/>
      </c>
      <c r="B453">
        <f t="shared" si="253"/>
        <v>0</v>
      </c>
      <c r="C453">
        <f t="shared" si="254"/>
        <v>7</v>
      </c>
      <c r="D453" t="str">
        <f>IF(包装物料出入库明细!$E453="","",包装物料出入库明细!$F453)</f>
        <v/>
      </c>
      <c r="E453" t="str">
        <f>IF(包装物料出入库明细!$E453="","",包装物料出入库明细!$G453)</f>
        <v/>
      </c>
      <c r="K453" t="str">
        <f>IF(包装物料出入库明细!$D453="","",包装物料出入库明细!$D453)</f>
        <v/>
      </c>
      <c r="L453">
        <f t="shared" si="255"/>
        <v>0</v>
      </c>
      <c r="M453">
        <f t="shared" si="256"/>
        <v>9</v>
      </c>
      <c r="Q453" t="str">
        <f>IF(周转筐出入库明细!$D454="","",周转筐出入库明细!$D454)</f>
        <v/>
      </c>
      <c r="R453">
        <f t="shared" si="257"/>
        <v>0</v>
      </c>
      <c r="S453">
        <f t="shared" si="258"/>
        <v>5</v>
      </c>
      <c r="W453" t="str">
        <f>IF(周转筐出入库明细!$C454="","",周转筐出入库明细!$C454)</f>
        <v/>
      </c>
      <c r="X453">
        <f t="shared" si="259"/>
        <v>0</v>
      </c>
      <c r="Y453">
        <f t="shared" si="260"/>
        <v>12</v>
      </c>
      <c r="AC453" t="str">
        <f>IF(客户自备加工筐明细!$C453="","",客户自备加工筐明细!$C453)</f>
        <v/>
      </c>
      <c r="AD453">
        <f t="shared" si="261"/>
        <v>0</v>
      </c>
      <c r="AE453">
        <f t="shared" si="262"/>
        <v>1</v>
      </c>
      <c r="AI453" t="str">
        <f>IF(客户自备加工筐明细!$E453="","",客户自备加工筐明细!$E453)</f>
        <v/>
      </c>
      <c r="AJ453">
        <f t="shared" si="263"/>
        <v>0</v>
      </c>
      <c r="AK453">
        <f t="shared" si="264"/>
        <v>1</v>
      </c>
      <c r="AO453" t="str">
        <f>IF(次果筐明细!$D453="","",次果筐明细!$D453)</f>
        <v/>
      </c>
      <c r="AP453">
        <f t="shared" si="265"/>
        <v>0</v>
      </c>
      <c r="AQ453">
        <f t="shared" si="266"/>
        <v>1</v>
      </c>
      <c r="AU453" t="str">
        <f>IF(次果筐明细!$C453="","",次果筐明细!$C453)</f>
        <v/>
      </c>
      <c r="AV453">
        <f t="shared" si="267"/>
        <v>0</v>
      </c>
      <c r="AW453">
        <f t="shared" si="268"/>
        <v>1</v>
      </c>
      <c r="BS453" t="str">
        <f t="shared" si="252"/>
        <v/>
      </c>
      <c r="BT453">
        <f t="shared" si="269"/>
        <v>0</v>
      </c>
      <c r="BU453">
        <f t="shared" si="270"/>
        <v>17</v>
      </c>
      <c r="BY453" t="str">
        <f t="shared" si="251"/>
        <v/>
      </c>
      <c r="BZ453">
        <f t="shared" si="271"/>
        <v>0</v>
      </c>
      <c r="CA453">
        <f t="shared" si="272"/>
        <v>16</v>
      </c>
      <c r="CP453">
        <f>IF(包装物料出入库明细!$D453="",0,1)</f>
        <v>0</v>
      </c>
      <c r="CQ453">
        <f t="shared" si="273"/>
        <v>37</v>
      </c>
      <c r="CS453" t="str">
        <f>IF(OR(周转筐出入库明细!$C454="",周转筐出入库明细!$F454&lt;&gt;"采购入库"),"",周转筐出入库明细!$C454)</f>
        <v/>
      </c>
      <c r="CT453">
        <f t="shared" si="274"/>
        <v>0</v>
      </c>
      <c r="CU453">
        <f t="shared" si="275"/>
        <v>1</v>
      </c>
    </row>
    <row r="454" spans="1:99">
      <c r="A454" t="str">
        <f>IF(包装物料出入库明细!$E454="","",包装物料出入库明细!$E454)</f>
        <v/>
      </c>
      <c r="B454">
        <f t="shared" si="253"/>
        <v>0</v>
      </c>
      <c r="C454">
        <f t="shared" si="254"/>
        <v>7</v>
      </c>
      <c r="D454" t="str">
        <f>IF(包装物料出入库明细!$E454="","",包装物料出入库明细!$F454)</f>
        <v/>
      </c>
      <c r="E454" t="str">
        <f>IF(包装物料出入库明细!$E454="","",包装物料出入库明细!$G454)</f>
        <v/>
      </c>
      <c r="K454" t="str">
        <f>IF(包装物料出入库明细!$D454="","",包装物料出入库明细!$D454)</f>
        <v/>
      </c>
      <c r="L454">
        <f t="shared" si="255"/>
        <v>0</v>
      </c>
      <c r="M454">
        <f t="shared" si="256"/>
        <v>9</v>
      </c>
      <c r="Q454" t="str">
        <f>IF(周转筐出入库明细!$D455="","",周转筐出入库明细!$D455)</f>
        <v/>
      </c>
      <c r="R454">
        <f t="shared" si="257"/>
        <v>0</v>
      </c>
      <c r="S454">
        <f t="shared" si="258"/>
        <v>5</v>
      </c>
      <c r="W454" t="str">
        <f>IF(周转筐出入库明细!$C455="","",周转筐出入库明细!$C455)</f>
        <v/>
      </c>
      <c r="X454">
        <f t="shared" si="259"/>
        <v>0</v>
      </c>
      <c r="Y454">
        <f t="shared" si="260"/>
        <v>12</v>
      </c>
      <c r="AC454" t="str">
        <f>IF(客户自备加工筐明细!$C454="","",客户自备加工筐明细!$C454)</f>
        <v/>
      </c>
      <c r="AD454">
        <f t="shared" si="261"/>
        <v>0</v>
      </c>
      <c r="AE454">
        <f t="shared" si="262"/>
        <v>1</v>
      </c>
      <c r="AI454" t="str">
        <f>IF(客户自备加工筐明细!$E454="","",客户自备加工筐明细!$E454)</f>
        <v/>
      </c>
      <c r="AJ454">
        <f t="shared" si="263"/>
        <v>0</v>
      </c>
      <c r="AK454">
        <f t="shared" si="264"/>
        <v>1</v>
      </c>
      <c r="AO454" t="str">
        <f>IF(次果筐明细!$D454="","",次果筐明细!$D454)</f>
        <v/>
      </c>
      <c r="AP454">
        <f t="shared" si="265"/>
        <v>0</v>
      </c>
      <c r="AQ454">
        <f t="shared" si="266"/>
        <v>1</v>
      </c>
      <c r="AU454" t="str">
        <f>IF(次果筐明细!$C454="","",次果筐明细!$C454)</f>
        <v/>
      </c>
      <c r="AV454">
        <f t="shared" si="267"/>
        <v>0</v>
      </c>
      <c r="AW454">
        <f t="shared" si="268"/>
        <v>1</v>
      </c>
      <c r="BS454" t="str">
        <f t="shared" si="252"/>
        <v/>
      </c>
      <c r="BT454">
        <f t="shared" si="269"/>
        <v>0</v>
      </c>
      <c r="BU454">
        <f t="shared" si="270"/>
        <v>17</v>
      </c>
      <c r="BY454" t="str">
        <f t="shared" si="251"/>
        <v/>
      </c>
      <c r="BZ454">
        <f t="shared" si="271"/>
        <v>0</v>
      </c>
      <c r="CA454">
        <f t="shared" si="272"/>
        <v>16</v>
      </c>
      <c r="CP454">
        <f>IF(包装物料出入库明细!$D454="",0,1)</f>
        <v>0</v>
      </c>
      <c r="CQ454">
        <f t="shared" si="273"/>
        <v>37</v>
      </c>
      <c r="CS454" t="str">
        <f>IF(OR(周转筐出入库明细!$C455="",周转筐出入库明细!$F455&lt;&gt;"采购入库"),"",周转筐出入库明细!$C455)</f>
        <v/>
      </c>
      <c r="CT454">
        <f t="shared" si="274"/>
        <v>0</v>
      </c>
      <c r="CU454">
        <f t="shared" si="275"/>
        <v>1</v>
      </c>
    </row>
    <row r="455" spans="1:99">
      <c r="A455" t="str">
        <f>IF(包装物料出入库明细!$E455="","",包装物料出入库明细!$E455)</f>
        <v/>
      </c>
      <c r="B455">
        <f t="shared" si="253"/>
        <v>0</v>
      </c>
      <c r="C455">
        <f t="shared" si="254"/>
        <v>7</v>
      </c>
      <c r="D455" t="str">
        <f>IF(包装物料出入库明细!$E455="","",包装物料出入库明细!$F455)</f>
        <v/>
      </c>
      <c r="E455" t="str">
        <f>IF(包装物料出入库明细!$E455="","",包装物料出入库明细!$G455)</f>
        <v/>
      </c>
      <c r="K455" t="str">
        <f>IF(包装物料出入库明细!$D455="","",包装物料出入库明细!$D455)</f>
        <v/>
      </c>
      <c r="L455">
        <f t="shared" si="255"/>
        <v>0</v>
      </c>
      <c r="M455">
        <f t="shared" si="256"/>
        <v>9</v>
      </c>
      <c r="Q455" t="str">
        <f>IF(周转筐出入库明细!$D456="","",周转筐出入库明细!$D456)</f>
        <v/>
      </c>
      <c r="R455">
        <f t="shared" si="257"/>
        <v>0</v>
      </c>
      <c r="S455">
        <f t="shared" si="258"/>
        <v>5</v>
      </c>
      <c r="W455" t="str">
        <f>IF(周转筐出入库明细!$C456="","",周转筐出入库明细!$C456)</f>
        <v/>
      </c>
      <c r="X455">
        <f t="shared" si="259"/>
        <v>0</v>
      </c>
      <c r="Y455">
        <f t="shared" si="260"/>
        <v>12</v>
      </c>
      <c r="AC455" t="str">
        <f>IF(客户自备加工筐明细!$C455="","",客户自备加工筐明细!$C455)</f>
        <v/>
      </c>
      <c r="AD455">
        <f t="shared" si="261"/>
        <v>0</v>
      </c>
      <c r="AE455">
        <f t="shared" si="262"/>
        <v>1</v>
      </c>
      <c r="AI455" t="str">
        <f>IF(客户自备加工筐明细!$E455="","",客户自备加工筐明细!$E455)</f>
        <v/>
      </c>
      <c r="AJ455">
        <f t="shared" si="263"/>
        <v>0</v>
      </c>
      <c r="AK455">
        <f t="shared" si="264"/>
        <v>1</v>
      </c>
      <c r="AO455" t="str">
        <f>IF(次果筐明细!$D455="","",次果筐明细!$D455)</f>
        <v/>
      </c>
      <c r="AP455">
        <f t="shared" si="265"/>
        <v>0</v>
      </c>
      <c r="AQ455">
        <f t="shared" si="266"/>
        <v>1</v>
      </c>
      <c r="AU455" t="str">
        <f>IF(次果筐明细!$C455="","",次果筐明细!$C455)</f>
        <v/>
      </c>
      <c r="AV455">
        <f t="shared" si="267"/>
        <v>0</v>
      </c>
      <c r="AW455">
        <f t="shared" si="268"/>
        <v>1</v>
      </c>
      <c r="BS455" t="str">
        <f t="shared" si="252"/>
        <v/>
      </c>
      <c r="BT455">
        <f t="shared" si="269"/>
        <v>0</v>
      </c>
      <c r="BU455">
        <f t="shared" si="270"/>
        <v>17</v>
      </c>
      <c r="BY455" t="str">
        <f t="shared" si="251"/>
        <v/>
      </c>
      <c r="BZ455">
        <f t="shared" si="271"/>
        <v>0</v>
      </c>
      <c r="CA455">
        <f t="shared" si="272"/>
        <v>16</v>
      </c>
      <c r="CP455">
        <f>IF(包装物料出入库明细!$D455="",0,1)</f>
        <v>0</v>
      </c>
      <c r="CQ455">
        <f t="shared" si="273"/>
        <v>37</v>
      </c>
      <c r="CS455" t="str">
        <f>IF(OR(周转筐出入库明细!$C456="",周转筐出入库明细!$F456&lt;&gt;"采购入库"),"",周转筐出入库明细!$C456)</f>
        <v/>
      </c>
      <c r="CT455">
        <f t="shared" si="274"/>
        <v>0</v>
      </c>
      <c r="CU455">
        <f t="shared" si="275"/>
        <v>1</v>
      </c>
    </row>
    <row r="456" spans="1:99">
      <c r="A456" t="str">
        <f>IF(包装物料出入库明细!$E456="","",包装物料出入库明细!$E456)</f>
        <v/>
      </c>
      <c r="B456">
        <f t="shared" si="253"/>
        <v>0</v>
      </c>
      <c r="C456">
        <f t="shared" si="254"/>
        <v>7</v>
      </c>
      <c r="D456" t="str">
        <f>IF(包装物料出入库明细!$E456="","",包装物料出入库明细!$F456)</f>
        <v/>
      </c>
      <c r="E456" t="str">
        <f>IF(包装物料出入库明细!$E456="","",包装物料出入库明细!$G456)</f>
        <v/>
      </c>
      <c r="K456" t="str">
        <f>IF(包装物料出入库明细!$D456="","",包装物料出入库明细!$D456)</f>
        <v/>
      </c>
      <c r="L456">
        <f t="shared" si="255"/>
        <v>0</v>
      </c>
      <c r="M456">
        <f t="shared" si="256"/>
        <v>9</v>
      </c>
      <c r="Q456" t="str">
        <f>IF(周转筐出入库明细!$D457="","",周转筐出入库明细!$D457)</f>
        <v/>
      </c>
      <c r="R456">
        <f t="shared" si="257"/>
        <v>0</v>
      </c>
      <c r="S456">
        <f t="shared" si="258"/>
        <v>5</v>
      </c>
      <c r="W456" t="str">
        <f>IF(周转筐出入库明细!$C457="","",周转筐出入库明细!$C457)</f>
        <v/>
      </c>
      <c r="X456">
        <f t="shared" si="259"/>
        <v>0</v>
      </c>
      <c r="Y456">
        <f t="shared" si="260"/>
        <v>12</v>
      </c>
      <c r="AC456" t="str">
        <f>IF(客户自备加工筐明细!$C456="","",客户自备加工筐明细!$C456)</f>
        <v/>
      </c>
      <c r="AD456">
        <f t="shared" si="261"/>
        <v>0</v>
      </c>
      <c r="AE456">
        <f t="shared" si="262"/>
        <v>1</v>
      </c>
      <c r="AI456" t="str">
        <f>IF(客户自备加工筐明细!$E456="","",客户自备加工筐明细!$E456)</f>
        <v/>
      </c>
      <c r="AJ456">
        <f t="shared" si="263"/>
        <v>0</v>
      </c>
      <c r="AK456">
        <f t="shared" si="264"/>
        <v>1</v>
      </c>
      <c r="AO456" t="str">
        <f>IF(次果筐明细!$D456="","",次果筐明细!$D456)</f>
        <v/>
      </c>
      <c r="AP456">
        <f t="shared" si="265"/>
        <v>0</v>
      </c>
      <c r="AQ456">
        <f t="shared" si="266"/>
        <v>1</v>
      </c>
      <c r="AU456" t="str">
        <f>IF(次果筐明细!$C456="","",次果筐明细!$C456)</f>
        <v/>
      </c>
      <c r="AV456">
        <f t="shared" si="267"/>
        <v>0</v>
      </c>
      <c r="AW456">
        <f t="shared" si="268"/>
        <v>1</v>
      </c>
      <c r="BS456" t="str">
        <f t="shared" si="252"/>
        <v/>
      </c>
      <c r="BT456">
        <f t="shared" si="269"/>
        <v>0</v>
      </c>
      <c r="BU456">
        <f t="shared" si="270"/>
        <v>17</v>
      </c>
      <c r="BY456" t="str">
        <f t="shared" si="251"/>
        <v/>
      </c>
      <c r="BZ456">
        <f t="shared" si="271"/>
        <v>0</v>
      </c>
      <c r="CA456">
        <f t="shared" si="272"/>
        <v>16</v>
      </c>
      <c r="CP456">
        <f>IF(包装物料出入库明细!$D456="",0,1)</f>
        <v>0</v>
      </c>
      <c r="CQ456">
        <f t="shared" si="273"/>
        <v>37</v>
      </c>
      <c r="CS456" t="str">
        <f>IF(OR(周转筐出入库明细!$C457="",周转筐出入库明细!$F457&lt;&gt;"采购入库"),"",周转筐出入库明细!$C457)</f>
        <v/>
      </c>
      <c r="CT456">
        <f t="shared" si="274"/>
        <v>0</v>
      </c>
      <c r="CU456">
        <f t="shared" si="275"/>
        <v>1</v>
      </c>
    </row>
    <row r="457" spans="1:99">
      <c r="A457" t="str">
        <f>IF(包装物料出入库明细!$E457="","",包装物料出入库明细!$E457)</f>
        <v/>
      </c>
      <c r="B457">
        <f t="shared" si="253"/>
        <v>0</v>
      </c>
      <c r="C457">
        <f t="shared" si="254"/>
        <v>7</v>
      </c>
      <c r="D457" t="str">
        <f>IF(包装物料出入库明细!$E457="","",包装物料出入库明细!$F457)</f>
        <v/>
      </c>
      <c r="E457" t="str">
        <f>IF(包装物料出入库明细!$E457="","",包装物料出入库明细!$G457)</f>
        <v/>
      </c>
      <c r="K457" t="str">
        <f>IF(包装物料出入库明细!$D457="","",包装物料出入库明细!$D457)</f>
        <v/>
      </c>
      <c r="L457">
        <f t="shared" si="255"/>
        <v>0</v>
      </c>
      <c r="M457">
        <f t="shared" si="256"/>
        <v>9</v>
      </c>
      <c r="Q457" t="str">
        <f>IF(周转筐出入库明细!$D458="","",周转筐出入库明细!$D458)</f>
        <v/>
      </c>
      <c r="R457">
        <f t="shared" si="257"/>
        <v>0</v>
      </c>
      <c r="S457">
        <f t="shared" si="258"/>
        <v>5</v>
      </c>
      <c r="W457" t="str">
        <f>IF(周转筐出入库明细!$C458="","",周转筐出入库明细!$C458)</f>
        <v/>
      </c>
      <c r="X457">
        <f t="shared" si="259"/>
        <v>0</v>
      </c>
      <c r="Y457">
        <f t="shared" si="260"/>
        <v>12</v>
      </c>
      <c r="AC457" t="str">
        <f>IF(客户自备加工筐明细!$C457="","",客户自备加工筐明细!$C457)</f>
        <v/>
      </c>
      <c r="AD457">
        <f t="shared" si="261"/>
        <v>0</v>
      </c>
      <c r="AE457">
        <f t="shared" si="262"/>
        <v>1</v>
      </c>
      <c r="AI457" t="str">
        <f>IF(客户自备加工筐明细!$E457="","",客户自备加工筐明细!$E457)</f>
        <v/>
      </c>
      <c r="AJ457">
        <f t="shared" si="263"/>
        <v>0</v>
      </c>
      <c r="AK457">
        <f t="shared" si="264"/>
        <v>1</v>
      </c>
      <c r="AO457" t="str">
        <f>IF(次果筐明细!$D457="","",次果筐明细!$D457)</f>
        <v/>
      </c>
      <c r="AP457">
        <f t="shared" si="265"/>
        <v>0</v>
      </c>
      <c r="AQ457">
        <f t="shared" si="266"/>
        <v>1</v>
      </c>
      <c r="AU457" t="str">
        <f>IF(次果筐明细!$C457="","",次果筐明细!$C457)</f>
        <v/>
      </c>
      <c r="AV457">
        <f t="shared" si="267"/>
        <v>0</v>
      </c>
      <c r="AW457">
        <f t="shared" si="268"/>
        <v>1</v>
      </c>
      <c r="BS457" t="str">
        <f t="shared" si="252"/>
        <v/>
      </c>
      <c r="BT457">
        <f t="shared" si="269"/>
        <v>0</v>
      </c>
      <c r="BU457">
        <f t="shared" si="270"/>
        <v>17</v>
      </c>
      <c r="BY457" t="str">
        <f t="shared" si="251"/>
        <v/>
      </c>
      <c r="BZ457">
        <f t="shared" si="271"/>
        <v>0</v>
      </c>
      <c r="CA457">
        <f t="shared" si="272"/>
        <v>16</v>
      </c>
      <c r="CP457">
        <f>IF(包装物料出入库明细!$D457="",0,1)</f>
        <v>0</v>
      </c>
      <c r="CQ457">
        <f t="shared" si="273"/>
        <v>37</v>
      </c>
      <c r="CS457" t="str">
        <f>IF(OR(周转筐出入库明细!$C458="",周转筐出入库明细!$F458&lt;&gt;"采购入库"),"",周转筐出入库明细!$C458)</f>
        <v/>
      </c>
      <c r="CT457">
        <f t="shared" si="274"/>
        <v>0</v>
      </c>
      <c r="CU457">
        <f t="shared" si="275"/>
        <v>1</v>
      </c>
    </row>
    <row r="458" spans="1:99">
      <c r="A458" t="str">
        <f>IF(包装物料出入库明细!$E458="","",包装物料出入库明细!$E458)</f>
        <v/>
      </c>
      <c r="B458">
        <f t="shared" si="253"/>
        <v>0</v>
      </c>
      <c r="C458">
        <f t="shared" si="254"/>
        <v>7</v>
      </c>
      <c r="D458" t="str">
        <f>IF(包装物料出入库明细!$E458="","",包装物料出入库明细!$F458)</f>
        <v/>
      </c>
      <c r="E458" t="str">
        <f>IF(包装物料出入库明细!$E458="","",包装物料出入库明细!$G458)</f>
        <v/>
      </c>
      <c r="K458" t="str">
        <f>IF(包装物料出入库明细!$D458="","",包装物料出入库明细!$D458)</f>
        <v/>
      </c>
      <c r="L458">
        <f t="shared" si="255"/>
        <v>0</v>
      </c>
      <c r="M458">
        <f t="shared" si="256"/>
        <v>9</v>
      </c>
      <c r="Q458" t="str">
        <f>IF(周转筐出入库明细!$D459="","",周转筐出入库明细!$D459)</f>
        <v/>
      </c>
      <c r="R458">
        <f t="shared" si="257"/>
        <v>0</v>
      </c>
      <c r="S458">
        <f t="shared" si="258"/>
        <v>5</v>
      </c>
      <c r="W458" t="str">
        <f>IF(周转筐出入库明细!$C459="","",周转筐出入库明细!$C459)</f>
        <v/>
      </c>
      <c r="X458">
        <f t="shared" si="259"/>
        <v>0</v>
      </c>
      <c r="Y458">
        <f t="shared" si="260"/>
        <v>12</v>
      </c>
      <c r="AC458" t="str">
        <f>IF(客户自备加工筐明细!$C458="","",客户自备加工筐明细!$C458)</f>
        <v/>
      </c>
      <c r="AD458">
        <f t="shared" si="261"/>
        <v>0</v>
      </c>
      <c r="AE458">
        <f t="shared" si="262"/>
        <v>1</v>
      </c>
      <c r="AI458" t="str">
        <f>IF(客户自备加工筐明细!$E458="","",客户自备加工筐明细!$E458)</f>
        <v/>
      </c>
      <c r="AJ458">
        <f t="shared" si="263"/>
        <v>0</v>
      </c>
      <c r="AK458">
        <f t="shared" si="264"/>
        <v>1</v>
      </c>
      <c r="AO458" t="str">
        <f>IF(次果筐明细!$D458="","",次果筐明细!$D458)</f>
        <v/>
      </c>
      <c r="AP458">
        <f t="shared" si="265"/>
        <v>0</v>
      </c>
      <c r="AQ458">
        <f t="shared" si="266"/>
        <v>1</v>
      </c>
      <c r="AU458" t="str">
        <f>IF(次果筐明细!$C458="","",次果筐明细!$C458)</f>
        <v/>
      </c>
      <c r="AV458">
        <f t="shared" si="267"/>
        <v>0</v>
      </c>
      <c r="AW458">
        <f t="shared" si="268"/>
        <v>1</v>
      </c>
      <c r="BS458" t="str">
        <f t="shared" si="252"/>
        <v/>
      </c>
      <c r="BT458">
        <f t="shared" si="269"/>
        <v>0</v>
      </c>
      <c r="BU458">
        <f t="shared" si="270"/>
        <v>17</v>
      </c>
      <c r="BY458" t="str">
        <f t="shared" si="251"/>
        <v/>
      </c>
      <c r="BZ458">
        <f t="shared" si="271"/>
        <v>0</v>
      </c>
      <c r="CA458">
        <f t="shared" si="272"/>
        <v>16</v>
      </c>
      <c r="CP458">
        <f>IF(包装物料出入库明细!$D458="",0,1)</f>
        <v>0</v>
      </c>
      <c r="CQ458">
        <f t="shared" si="273"/>
        <v>37</v>
      </c>
      <c r="CS458" t="str">
        <f>IF(OR(周转筐出入库明细!$C459="",周转筐出入库明细!$F459&lt;&gt;"采购入库"),"",周转筐出入库明细!$C459)</f>
        <v/>
      </c>
      <c r="CT458">
        <f t="shared" si="274"/>
        <v>0</v>
      </c>
      <c r="CU458">
        <f t="shared" si="275"/>
        <v>1</v>
      </c>
    </row>
    <row r="459" spans="1:99">
      <c r="A459" t="str">
        <f>IF(包装物料出入库明细!$E459="","",包装物料出入库明细!$E459)</f>
        <v/>
      </c>
      <c r="B459">
        <f t="shared" si="253"/>
        <v>0</v>
      </c>
      <c r="C459">
        <f t="shared" si="254"/>
        <v>7</v>
      </c>
      <c r="D459" t="str">
        <f>IF(包装物料出入库明细!$E459="","",包装物料出入库明细!$F459)</f>
        <v/>
      </c>
      <c r="E459" t="str">
        <f>IF(包装物料出入库明细!$E459="","",包装物料出入库明细!$G459)</f>
        <v/>
      </c>
      <c r="K459" t="str">
        <f>IF(包装物料出入库明细!$D459="","",包装物料出入库明细!$D459)</f>
        <v/>
      </c>
      <c r="L459">
        <f t="shared" si="255"/>
        <v>0</v>
      </c>
      <c r="M459">
        <f t="shared" si="256"/>
        <v>9</v>
      </c>
      <c r="Q459" t="str">
        <f>IF(周转筐出入库明细!$D460="","",周转筐出入库明细!$D460)</f>
        <v/>
      </c>
      <c r="R459">
        <f t="shared" si="257"/>
        <v>0</v>
      </c>
      <c r="S459">
        <f t="shared" si="258"/>
        <v>5</v>
      </c>
      <c r="W459" t="str">
        <f>IF(周转筐出入库明细!$C460="","",周转筐出入库明细!$C460)</f>
        <v/>
      </c>
      <c r="X459">
        <f t="shared" si="259"/>
        <v>0</v>
      </c>
      <c r="Y459">
        <f t="shared" si="260"/>
        <v>12</v>
      </c>
      <c r="AC459" t="str">
        <f>IF(客户自备加工筐明细!$C459="","",客户自备加工筐明细!$C459)</f>
        <v/>
      </c>
      <c r="AD459">
        <f t="shared" si="261"/>
        <v>0</v>
      </c>
      <c r="AE459">
        <f t="shared" si="262"/>
        <v>1</v>
      </c>
      <c r="AI459" t="str">
        <f>IF(客户自备加工筐明细!$E459="","",客户自备加工筐明细!$E459)</f>
        <v/>
      </c>
      <c r="AJ459">
        <f t="shared" si="263"/>
        <v>0</v>
      </c>
      <c r="AK459">
        <f t="shared" si="264"/>
        <v>1</v>
      </c>
      <c r="AO459" t="str">
        <f>IF(次果筐明细!$D459="","",次果筐明细!$D459)</f>
        <v/>
      </c>
      <c r="AP459">
        <f t="shared" si="265"/>
        <v>0</v>
      </c>
      <c r="AQ459">
        <f t="shared" si="266"/>
        <v>1</v>
      </c>
      <c r="AU459" t="str">
        <f>IF(次果筐明细!$C459="","",次果筐明细!$C459)</f>
        <v/>
      </c>
      <c r="AV459">
        <f t="shared" si="267"/>
        <v>0</v>
      </c>
      <c r="AW459">
        <f t="shared" si="268"/>
        <v>1</v>
      </c>
      <c r="BS459" t="str">
        <f t="shared" si="252"/>
        <v/>
      </c>
      <c r="BT459">
        <f t="shared" si="269"/>
        <v>0</v>
      </c>
      <c r="BU459">
        <f t="shared" si="270"/>
        <v>17</v>
      </c>
      <c r="BY459" t="str">
        <f t="shared" si="251"/>
        <v/>
      </c>
      <c r="BZ459">
        <f t="shared" si="271"/>
        <v>0</v>
      </c>
      <c r="CA459">
        <f t="shared" si="272"/>
        <v>16</v>
      </c>
      <c r="CP459">
        <f>IF(包装物料出入库明细!$D459="",0,1)</f>
        <v>0</v>
      </c>
      <c r="CQ459">
        <f t="shared" si="273"/>
        <v>37</v>
      </c>
      <c r="CS459" t="str">
        <f>IF(OR(周转筐出入库明细!$C460="",周转筐出入库明细!$F460&lt;&gt;"采购入库"),"",周转筐出入库明细!$C460)</f>
        <v/>
      </c>
      <c r="CT459">
        <f t="shared" si="274"/>
        <v>0</v>
      </c>
      <c r="CU459">
        <f t="shared" si="275"/>
        <v>1</v>
      </c>
    </row>
    <row r="460" spans="1:99">
      <c r="A460" t="str">
        <f>IF(包装物料出入库明细!$E460="","",包装物料出入库明细!$E460)</f>
        <v/>
      </c>
      <c r="B460">
        <f t="shared" si="253"/>
        <v>0</v>
      </c>
      <c r="C460">
        <f t="shared" si="254"/>
        <v>7</v>
      </c>
      <c r="D460" t="str">
        <f>IF(包装物料出入库明细!$E460="","",包装物料出入库明细!$F460)</f>
        <v/>
      </c>
      <c r="E460" t="str">
        <f>IF(包装物料出入库明细!$E460="","",包装物料出入库明细!$G460)</f>
        <v/>
      </c>
      <c r="K460" t="str">
        <f>IF(包装物料出入库明细!$D460="","",包装物料出入库明细!$D460)</f>
        <v/>
      </c>
      <c r="L460">
        <f t="shared" si="255"/>
        <v>0</v>
      </c>
      <c r="M460">
        <f t="shared" si="256"/>
        <v>9</v>
      </c>
      <c r="Q460" t="str">
        <f>IF(周转筐出入库明细!$D461="","",周转筐出入库明细!$D461)</f>
        <v/>
      </c>
      <c r="R460">
        <f t="shared" si="257"/>
        <v>0</v>
      </c>
      <c r="S460">
        <f t="shared" si="258"/>
        <v>5</v>
      </c>
      <c r="W460" t="str">
        <f>IF(周转筐出入库明细!$C461="","",周转筐出入库明细!$C461)</f>
        <v/>
      </c>
      <c r="X460">
        <f t="shared" si="259"/>
        <v>0</v>
      </c>
      <c r="Y460">
        <f t="shared" si="260"/>
        <v>12</v>
      </c>
      <c r="AC460" t="str">
        <f>IF(客户自备加工筐明细!$C460="","",客户自备加工筐明细!$C460)</f>
        <v/>
      </c>
      <c r="AD460">
        <f t="shared" si="261"/>
        <v>0</v>
      </c>
      <c r="AE460">
        <f t="shared" si="262"/>
        <v>1</v>
      </c>
      <c r="AI460" t="str">
        <f>IF(客户自备加工筐明细!$E460="","",客户自备加工筐明细!$E460)</f>
        <v/>
      </c>
      <c r="AJ460">
        <f t="shared" si="263"/>
        <v>0</v>
      </c>
      <c r="AK460">
        <f t="shared" si="264"/>
        <v>1</v>
      </c>
      <c r="AO460" t="str">
        <f>IF(次果筐明细!$D460="","",次果筐明细!$D460)</f>
        <v/>
      </c>
      <c r="AP460">
        <f t="shared" si="265"/>
        <v>0</v>
      </c>
      <c r="AQ460">
        <f t="shared" si="266"/>
        <v>1</v>
      </c>
      <c r="AU460" t="str">
        <f>IF(次果筐明细!$C460="","",次果筐明细!$C460)</f>
        <v/>
      </c>
      <c r="AV460">
        <f t="shared" si="267"/>
        <v>0</v>
      </c>
      <c r="AW460">
        <f t="shared" si="268"/>
        <v>1</v>
      </c>
      <c r="BS460" t="str">
        <f t="shared" si="252"/>
        <v/>
      </c>
      <c r="BT460">
        <f t="shared" si="269"/>
        <v>0</v>
      </c>
      <c r="BU460">
        <f t="shared" si="270"/>
        <v>17</v>
      </c>
      <c r="BY460" t="str">
        <f t="shared" ref="BY460:BY503" si="276">IF($BE260="","",$BE260)</f>
        <v/>
      </c>
      <c r="BZ460">
        <f t="shared" si="271"/>
        <v>0</v>
      </c>
      <c r="CA460">
        <f t="shared" si="272"/>
        <v>16</v>
      </c>
      <c r="CP460">
        <f>IF(包装物料出入库明细!$D460="",0,1)</f>
        <v>0</v>
      </c>
      <c r="CQ460">
        <f t="shared" si="273"/>
        <v>37</v>
      </c>
      <c r="CS460" t="str">
        <f>IF(OR(周转筐出入库明细!$C461="",周转筐出入库明细!$F461&lt;&gt;"采购入库"),"",周转筐出入库明细!$C461)</f>
        <v/>
      </c>
      <c r="CT460">
        <f t="shared" si="274"/>
        <v>0</v>
      </c>
      <c r="CU460">
        <f t="shared" si="275"/>
        <v>1</v>
      </c>
    </row>
    <row r="461" spans="1:99">
      <c r="A461" t="str">
        <f>IF(包装物料出入库明细!$E461="","",包装物料出入库明细!$E461)</f>
        <v/>
      </c>
      <c r="B461">
        <f t="shared" si="253"/>
        <v>0</v>
      </c>
      <c r="C461">
        <f t="shared" si="254"/>
        <v>7</v>
      </c>
      <c r="D461" t="str">
        <f>IF(包装物料出入库明细!$E461="","",包装物料出入库明细!$F461)</f>
        <v/>
      </c>
      <c r="E461" t="str">
        <f>IF(包装物料出入库明细!$E461="","",包装物料出入库明细!$G461)</f>
        <v/>
      </c>
      <c r="K461" t="str">
        <f>IF(包装物料出入库明细!$D461="","",包装物料出入库明细!$D461)</f>
        <v/>
      </c>
      <c r="L461">
        <f t="shared" si="255"/>
        <v>0</v>
      </c>
      <c r="M461">
        <f t="shared" si="256"/>
        <v>9</v>
      </c>
      <c r="Q461" t="str">
        <f>IF(周转筐出入库明细!$D462="","",周转筐出入库明细!$D462)</f>
        <v/>
      </c>
      <c r="R461">
        <f t="shared" si="257"/>
        <v>0</v>
      </c>
      <c r="S461">
        <f t="shared" si="258"/>
        <v>5</v>
      </c>
      <c r="W461" t="str">
        <f>IF(周转筐出入库明细!$C462="","",周转筐出入库明细!$C462)</f>
        <v/>
      </c>
      <c r="X461">
        <f t="shared" si="259"/>
        <v>0</v>
      </c>
      <c r="Y461">
        <f t="shared" si="260"/>
        <v>12</v>
      </c>
      <c r="AC461" t="str">
        <f>IF(客户自备加工筐明细!$C461="","",客户自备加工筐明细!$C461)</f>
        <v/>
      </c>
      <c r="AD461">
        <f t="shared" si="261"/>
        <v>0</v>
      </c>
      <c r="AE461">
        <f t="shared" si="262"/>
        <v>1</v>
      </c>
      <c r="AI461" t="str">
        <f>IF(客户自备加工筐明细!$E461="","",客户自备加工筐明细!$E461)</f>
        <v/>
      </c>
      <c r="AJ461">
        <f t="shared" si="263"/>
        <v>0</v>
      </c>
      <c r="AK461">
        <f t="shared" si="264"/>
        <v>1</v>
      </c>
      <c r="AO461" t="str">
        <f>IF(次果筐明细!$D461="","",次果筐明细!$D461)</f>
        <v/>
      </c>
      <c r="AP461">
        <f t="shared" si="265"/>
        <v>0</v>
      </c>
      <c r="AQ461">
        <f t="shared" si="266"/>
        <v>1</v>
      </c>
      <c r="AU461" t="str">
        <f>IF(次果筐明细!$C461="","",次果筐明细!$C461)</f>
        <v/>
      </c>
      <c r="AV461">
        <f t="shared" si="267"/>
        <v>0</v>
      </c>
      <c r="AW461">
        <f t="shared" si="268"/>
        <v>1</v>
      </c>
      <c r="BS461" t="str">
        <f t="shared" si="252"/>
        <v/>
      </c>
      <c r="BT461">
        <f t="shared" si="269"/>
        <v>0</v>
      </c>
      <c r="BU461">
        <f t="shared" si="270"/>
        <v>17</v>
      </c>
      <c r="BY461" t="str">
        <f t="shared" si="276"/>
        <v/>
      </c>
      <c r="BZ461">
        <f t="shared" si="271"/>
        <v>0</v>
      </c>
      <c r="CA461">
        <f t="shared" si="272"/>
        <v>16</v>
      </c>
      <c r="CP461">
        <f>IF(包装物料出入库明细!$D461="",0,1)</f>
        <v>0</v>
      </c>
      <c r="CQ461">
        <f t="shared" si="273"/>
        <v>37</v>
      </c>
      <c r="CS461" t="str">
        <f>IF(OR(周转筐出入库明细!$C462="",周转筐出入库明细!$F462&lt;&gt;"采购入库"),"",周转筐出入库明细!$C462)</f>
        <v/>
      </c>
      <c r="CT461">
        <f t="shared" si="274"/>
        <v>0</v>
      </c>
      <c r="CU461">
        <f t="shared" si="275"/>
        <v>1</v>
      </c>
    </row>
    <row r="462" spans="1:99">
      <c r="A462" t="str">
        <f>IF(包装物料出入库明细!$E462="","",包装物料出入库明细!$E462)</f>
        <v/>
      </c>
      <c r="B462">
        <f t="shared" si="253"/>
        <v>0</v>
      </c>
      <c r="C462">
        <f t="shared" si="254"/>
        <v>7</v>
      </c>
      <c r="D462" t="str">
        <f>IF(包装物料出入库明细!$E462="","",包装物料出入库明细!$F462)</f>
        <v/>
      </c>
      <c r="E462" t="str">
        <f>IF(包装物料出入库明细!$E462="","",包装物料出入库明细!$G462)</f>
        <v/>
      </c>
      <c r="K462" t="str">
        <f>IF(包装物料出入库明细!$D462="","",包装物料出入库明细!$D462)</f>
        <v/>
      </c>
      <c r="L462">
        <f t="shared" si="255"/>
        <v>0</v>
      </c>
      <c r="M462">
        <f t="shared" si="256"/>
        <v>9</v>
      </c>
      <c r="Q462" t="str">
        <f>IF(周转筐出入库明细!$D463="","",周转筐出入库明细!$D463)</f>
        <v/>
      </c>
      <c r="R462">
        <f t="shared" si="257"/>
        <v>0</v>
      </c>
      <c r="S462">
        <f t="shared" si="258"/>
        <v>5</v>
      </c>
      <c r="W462" t="str">
        <f>IF(周转筐出入库明细!$C463="","",周转筐出入库明细!$C463)</f>
        <v/>
      </c>
      <c r="X462">
        <f t="shared" si="259"/>
        <v>0</v>
      </c>
      <c r="Y462">
        <f t="shared" si="260"/>
        <v>12</v>
      </c>
      <c r="AC462" t="str">
        <f>IF(客户自备加工筐明细!$C462="","",客户自备加工筐明细!$C462)</f>
        <v/>
      </c>
      <c r="AD462">
        <f t="shared" si="261"/>
        <v>0</v>
      </c>
      <c r="AE462">
        <f t="shared" si="262"/>
        <v>1</v>
      </c>
      <c r="AI462" t="str">
        <f>IF(客户自备加工筐明细!$E462="","",客户自备加工筐明细!$E462)</f>
        <v/>
      </c>
      <c r="AJ462">
        <f t="shared" si="263"/>
        <v>0</v>
      </c>
      <c r="AK462">
        <f t="shared" si="264"/>
        <v>1</v>
      </c>
      <c r="AO462" t="str">
        <f>IF(次果筐明细!$D462="","",次果筐明细!$D462)</f>
        <v/>
      </c>
      <c r="AP462">
        <f t="shared" si="265"/>
        <v>0</v>
      </c>
      <c r="AQ462">
        <f t="shared" si="266"/>
        <v>1</v>
      </c>
      <c r="AU462" t="str">
        <f>IF(次果筐明细!$C462="","",次果筐明细!$C462)</f>
        <v/>
      </c>
      <c r="AV462">
        <f t="shared" si="267"/>
        <v>0</v>
      </c>
      <c r="AW462">
        <f t="shared" si="268"/>
        <v>1</v>
      </c>
      <c r="BS462" t="str">
        <f t="shared" si="252"/>
        <v/>
      </c>
      <c r="BT462">
        <f t="shared" si="269"/>
        <v>0</v>
      </c>
      <c r="BU462">
        <f t="shared" si="270"/>
        <v>17</v>
      </c>
      <c r="BY462" t="str">
        <f t="shared" si="276"/>
        <v/>
      </c>
      <c r="BZ462">
        <f t="shared" si="271"/>
        <v>0</v>
      </c>
      <c r="CA462">
        <f t="shared" si="272"/>
        <v>16</v>
      </c>
      <c r="CP462">
        <f>IF(包装物料出入库明细!$D462="",0,1)</f>
        <v>0</v>
      </c>
      <c r="CQ462">
        <f t="shared" si="273"/>
        <v>37</v>
      </c>
      <c r="CS462" t="str">
        <f>IF(OR(周转筐出入库明细!$C463="",周转筐出入库明细!$F463&lt;&gt;"采购入库"),"",周转筐出入库明细!$C463)</f>
        <v/>
      </c>
      <c r="CT462">
        <f t="shared" si="274"/>
        <v>0</v>
      </c>
      <c r="CU462">
        <f t="shared" si="275"/>
        <v>1</v>
      </c>
    </row>
    <row r="463" spans="1:99">
      <c r="A463" t="str">
        <f>IF(包装物料出入库明细!$E463="","",包装物料出入库明细!$E463)</f>
        <v/>
      </c>
      <c r="B463">
        <f t="shared" si="253"/>
        <v>0</v>
      </c>
      <c r="C463">
        <f t="shared" si="254"/>
        <v>7</v>
      </c>
      <c r="D463" t="str">
        <f>IF(包装物料出入库明细!$E463="","",包装物料出入库明细!$F463)</f>
        <v/>
      </c>
      <c r="E463" t="str">
        <f>IF(包装物料出入库明细!$E463="","",包装物料出入库明细!$G463)</f>
        <v/>
      </c>
      <c r="K463" t="str">
        <f>IF(包装物料出入库明细!$D463="","",包装物料出入库明细!$D463)</f>
        <v/>
      </c>
      <c r="L463">
        <f t="shared" si="255"/>
        <v>0</v>
      </c>
      <c r="M463">
        <f t="shared" si="256"/>
        <v>9</v>
      </c>
      <c r="Q463" t="str">
        <f>IF(周转筐出入库明细!$D464="","",周转筐出入库明细!$D464)</f>
        <v/>
      </c>
      <c r="R463">
        <f t="shared" si="257"/>
        <v>0</v>
      </c>
      <c r="S463">
        <f t="shared" si="258"/>
        <v>5</v>
      </c>
      <c r="W463" t="str">
        <f>IF(周转筐出入库明细!$C464="","",周转筐出入库明细!$C464)</f>
        <v/>
      </c>
      <c r="X463">
        <f t="shared" si="259"/>
        <v>0</v>
      </c>
      <c r="Y463">
        <f t="shared" si="260"/>
        <v>12</v>
      </c>
      <c r="AC463" t="str">
        <f>IF(客户自备加工筐明细!$C463="","",客户自备加工筐明细!$C463)</f>
        <v/>
      </c>
      <c r="AD463">
        <f t="shared" si="261"/>
        <v>0</v>
      </c>
      <c r="AE463">
        <f t="shared" si="262"/>
        <v>1</v>
      </c>
      <c r="AI463" t="str">
        <f>IF(客户自备加工筐明细!$E463="","",客户自备加工筐明细!$E463)</f>
        <v/>
      </c>
      <c r="AJ463">
        <f t="shared" si="263"/>
        <v>0</v>
      </c>
      <c r="AK463">
        <f t="shared" si="264"/>
        <v>1</v>
      </c>
      <c r="AO463" t="str">
        <f>IF(次果筐明细!$D463="","",次果筐明细!$D463)</f>
        <v/>
      </c>
      <c r="AP463">
        <f t="shared" si="265"/>
        <v>0</v>
      </c>
      <c r="AQ463">
        <f t="shared" si="266"/>
        <v>1</v>
      </c>
      <c r="AU463" t="str">
        <f>IF(次果筐明细!$C463="","",次果筐明细!$C463)</f>
        <v/>
      </c>
      <c r="AV463">
        <f t="shared" si="267"/>
        <v>0</v>
      </c>
      <c r="AW463">
        <f t="shared" si="268"/>
        <v>1</v>
      </c>
      <c r="BS463" t="str">
        <f t="shared" si="252"/>
        <v/>
      </c>
      <c r="BT463">
        <f t="shared" si="269"/>
        <v>0</v>
      </c>
      <c r="BU463">
        <f t="shared" si="270"/>
        <v>17</v>
      </c>
      <c r="BY463" t="str">
        <f t="shared" si="276"/>
        <v/>
      </c>
      <c r="BZ463">
        <f t="shared" si="271"/>
        <v>0</v>
      </c>
      <c r="CA463">
        <f t="shared" si="272"/>
        <v>16</v>
      </c>
      <c r="CP463">
        <f>IF(包装物料出入库明细!$D463="",0,1)</f>
        <v>0</v>
      </c>
      <c r="CQ463">
        <f t="shared" si="273"/>
        <v>37</v>
      </c>
      <c r="CS463" t="str">
        <f>IF(OR(周转筐出入库明细!$C464="",周转筐出入库明细!$F464&lt;&gt;"采购入库"),"",周转筐出入库明细!$C464)</f>
        <v/>
      </c>
      <c r="CT463">
        <f t="shared" si="274"/>
        <v>0</v>
      </c>
      <c r="CU463">
        <f t="shared" si="275"/>
        <v>1</v>
      </c>
    </row>
    <row r="464" spans="1:99">
      <c r="A464" t="str">
        <f>IF(包装物料出入库明细!$E464="","",包装物料出入库明细!$E464)</f>
        <v/>
      </c>
      <c r="B464">
        <f t="shared" si="253"/>
        <v>0</v>
      </c>
      <c r="C464">
        <f t="shared" si="254"/>
        <v>7</v>
      </c>
      <c r="D464" t="str">
        <f>IF(包装物料出入库明细!$E464="","",包装物料出入库明细!$F464)</f>
        <v/>
      </c>
      <c r="E464" t="str">
        <f>IF(包装物料出入库明细!$E464="","",包装物料出入库明细!$G464)</f>
        <v/>
      </c>
      <c r="K464" t="str">
        <f>IF(包装物料出入库明细!$D464="","",包装物料出入库明细!$D464)</f>
        <v/>
      </c>
      <c r="L464">
        <f t="shared" si="255"/>
        <v>0</v>
      </c>
      <c r="M464">
        <f t="shared" si="256"/>
        <v>9</v>
      </c>
      <c r="Q464" t="str">
        <f>IF(周转筐出入库明细!$D465="","",周转筐出入库明细!$D465)</f>
        <v/>
      </c>
      <c r="R464">
        <f t="shared" si="257"/>
        <v>0</v>
      </c>
      <c r="S464">
        <f t="shared" si="258"/>
        <v>5</v>
      </c>
      <c r="W464" t="str">
        <f>IF(周转筐出入库明细!$C465="","",周转筐出入库明细!$C465)</f>
        <v/>
      </c>
      <c r="X464">
        <f t="shared" si="259"/>
        <v>0</v>
      </c>
      <c r="Y464">
        <f t="shared" si="260"/>
        <v>12</v>
      </c>
      <c r="AC464" t="str">
        <f>IF(客户自备加工筐明细!$C464="","",客户自备加工筐明细!$C464)</f>
        <v/>
      </c>
      <c r="AD464">
        <f t="shared" si="261"/>
        <v>0</v>
      </c>
      <c r="AE464">
        <f t="shared" si="262"/>
        <v>1</v>
      </c>
      <c r="AI464" t="str">
        <f>IF(客户自备加工筐明细!$E464="","",客户自备加工筐明细!$E464)</f>
        <v/>
      </c>
      <c r="AJ464">
        <f t="shared" si="263"/>
        <v>0</v>
      </c>
      <c r="AK464">
        <f t="shared" si="264"/>
        <v>1</v>
      </c>
      <c r="AO464" t="str">
        <f>IF(次果筐明细!$D464="","",次果筐明细!$D464)</f>
        <v/>
      </c>
      <c r="AP464">
        <f t="shared" si="265"/>
        <v>0</v>
      </c>
      <c r="AQ464">
        <f t="shared" si="266"/>
        <v>1</v>
      </c>
      <c r="AU464" t="str">
        <f>IF(次果筐明细!$C464="","",次果筐明细!$C464)</f>
        <v/>
      </c>
      <c r="AV464">
        <f t="shared" si="267"/>
        <v>0</v>
      </c>
      <c r="AW464">
        <f t="shared" si="268"/>
        <v>1</v>
      </c>
      <c r="BS464" t="str">
        <f t="shared" si="252"/>
        <v/>
      </c>
      <c r="BT464">
        <f t="shared" si="269"/>
        <v>0</v>
      </c>
      <c r="BU464">
        <f t="shared" si="270"/>
        <v>17</v>
      </c>
      <c r="BY464" t="str">
        <f t="shared" si="276"/>
        <v/>
      </c>
      <c r="BZ464">
        <f t="shared" si="271"/>
        <v>0</v>
      </c>
      <c r="CA464">
        <f t="shared" si="272"/>
        <v>16</v>
      </c>
      <c r="CP464">
        <f>IF(包装物料出入库明细!$D464="",0,1)</f>
        <v>0</v>
      </c>
      <c r="CQ464">
        <f t="shared" si="273"/>
        <v>37</v>
      </c>
      <c r="CS464" t="str">
        <f>IF(OR(周转筐出入库明细!$C465="",周转筐出入库明细!$F465&lt;&gt;"采购入库"),"",周转筐出入库明细!$C465)</f>
        <v/>
      </c>
      <c r="CT464">
        <f t="shared" si="274"/>
        <v>0</v>
      </c>
      <c r="CU464">
        <f t="shared" si="275"/>
        <v>1</v>
      </c>
    </row>
    <row r="465" spans="1:99">
      <c r="A465" t="str">
        <f>IF(包装物料出入库明细!$E465="","",包装物料出入库明细!$E465)</f>
        <v/>
      </c>
      <c r="B465">
        <f t="shared" si="253"/>
        <v>0</v>
      </c>
      <c r="C465">
        <f t="shared" si="254"/>
        <v>7</v>
      </c>
      <c r="D465" t="str">
        <f>IF(包装物料出入库明细!$E465="","",包装物料出入库明细!$F465)</f>
        <v/>
      </c>
      <c r="E465" t="str">
        <f>IF(包装物料出入库明细!$E465="","",包装物料出入库明细!$G465)</f>
        <v/>
      </c>
      <c r="K465" t="str">
        <f>IF(包装物料出入库明细!$D465="","",包装物料出入库明细!$D465)</f>
        <v/>
      </c>
      <c r="L465">
        <f t="shared" si="255"/>
        <v>0</v>
      </c>
      <c r="M465">
        <f t="shared" si="256"/>
        <v>9</v>
      </c>
      <c r="Q465" t="str">
        <f>IF(周转筐出入库明细!$D466="","",周转筐出入库明细!$D466)</f>
        <v/>
      </c>
      <c r="R465">
        <f t="shared" si="257"/>
        <v>0</v>
      </c>
      <c r="S465">
        <f t="shared" si="258"/>
        <v>5</v>
      </c>
      <c r="W465" t="str">
        <f>IF(周转筐出入库明细!$C466="","",周转筐出入库明细!$C466)</f>
        <v/>
      </c>
      <c r="X465">
        <f t="shared" si="259"/>
        <v>0</v>
      </c>
      <c r="Y465">
        <f t="shared" si="260"/>
        <v>12</v>
      </c>
      <c r="AC465" t="str">
        <f>IF(客户自备加工筐明细!$C465="","",客户自备加工筐明细!$C465)</f>
        <v/>
      </c>
      <c r="AD465">
        <f t="shared" si="261"/>
        <v>0</v>
      </c>
      <c r="AE465">
        <f t="shared" si="262"/>
        <v>1</v>
      </c>
      <c r="AI465" t="str">
        <f>IF(客户自备加工筐明细!$E465="","",客户自备加工筐明细!$E465)</f>
        <v/>
      </c>
      <c r="AJ465">
        <f t="shared" si="263"/>
        <v>0</v>
      </c>
      <c r="AK465">
        <f t="shared" si="264"/>
        <v>1</v>
      </c>
      <c r="AO465" t="str">
        <f>IF(次果筐明细!$D465="","",次果筐明细!$D465)</f>
        <v/>
      </c>
      <c r="AP465">
        <f t="shared" si="265"/>
        <v>0</v>
      </c>
      <c r="AQ465">
        <f t="shared" si="266"/>
        <v>1</v>
      </c>
      <c r="AU465" t="str">
        <f>IF(次果筐明细!$C465="","",次果筐明细!$C465)</f>
        <v/>
      </c>
      <c r="AV465">
        <f t="shared" si="267"/>
        <v>0</v>
      </c>
      <c r="AW465">
        <f t="shared" si="268"/>
        <v>1</v>
      </c>
      <c r="BS465" t="str">
        <f t="shared" si="252"/>
        <v/>
      </c>
      <c r="BT465">
        <f t="shared" si="269"/>
        <v>0</v>
      </c>
      <c r="BU465">
        <f t="shared" si="270"/>
        <v>17</v>
      </c>
      <c r="BY465" t="str">
        <f t="shared" si="276"/>
        <v/>
      </c>
      <c r="BZ465">
        <f t="shared" si="271"/>
        <v>0</v>
      </c>
      <c r="CA465">
        <f t="shared" si="272"/>
        <v>16</v>
      </c>
      <c r="CP465">
        <f>IF(包装物料出入库明细!$D465="",0,1)</f>
        <v>0</v>
      </c>
      <c r="CQ465">
        <f t="shared" si="273"/>
        <v>37</v>
      </c>
      <c r="CS465" t="str">
        <f>IF(OR(周转筐出入库明细!$C466="",周转筐出入库明细!$F466&lt;&gt;"采购入库"),"",周转筐出入库明细!$C466)</f>
        <v/>
      </c>
      <c r="CT465">
        <f t="shared" si="274"/>
        <v>0</v>
      </c>
      <c r="CU465">
        <f t="shared" si="275"/>
        <v>1</v>
      </c>
    </row>
    <row r="466" spans="1:99">
      <c r="A466" t="str">
        <f>IF(包装物料出入库明细!$E466="","",包装物料出入库明细!$E466)</f>
        <v/>
      </c>
      <c r="B466">
        <f t="shared" si="253"/>
        <v>0</v>
      </c>
      <c r="C466">
        <f t="shared" si="254"/>
        <v>7</v>
      </c>
      <c r="D466" t="str">
        <f>IF(包装物料出入库明细!$E466="","",包装物料出入库明细!$F466)</f>
        <v/>
      </c>
      <c r="E466" t="str">
        <f>IF(包装物料出入库明细!$E466="","",包装物料出入库明细!$G466)</f>
        <v/>
      </c>
      <c r="K466" t="str">
        <f>IF(包装物料出入库明细!$D466="","",包装物料出入库明细!$D466)</f>
        <v/>
      </c>
      <c r="L466">
        <f t="shared" si="255"/>
        <v>0</v>
      </c>
      <c r="M466">
        <f t="shared" si="256"/>
        <v>9</v>
      </c>
      <c r="Q466" t="str">
        <f>IF(周转筐出入库明细!$D467="","",周转筐出入库明细!$D467)</f>
        <v/>
      </c>
      <c r="R466">
        <f t="shared" si="257"/>
        <v>0</v>
      </c>
      <c r="S466">
        <f t="shared" si="258"/>
        <v>5</v>
      </c>
      <c r="W466" t="str">
        <f>IF(周转筐出入库明细!$C467="","",周转筐出入库明细!$C467)</f>
        <v/>
      </c>
      <c r="X466">
        <f t="shared" si="259"/>
        <v>0</v>
      </c>
      <c r="Y466">
        <f t="shared" si="260"/>
        <v>12</v>
      </c>
      <c r="AC466" t="str">
        <f>IF(客户自备加工筐明细!$C466="","",客户自备加工筐明细!$C466)</f>
        <v/>
      </c>
      <c r="AD466">
        <f t="shared" si="261"/>
        <v>0</v>
      </c>
      <c r="AE466">
        <f t="shared" si="262"/>
        <v>1</v>
      </c>
      <c r="AI466" t="str">
        <f>IF(客户自备加工筐明细!$E466="","",客户自备加工筐明细!$E466)</f>
        <v/>
      </c>
      <c r="AJ466">
        <f t="shared" si="263"/>
        <v>0</v>
      </c>
      <c r="AK466">
        <f t="shared" si="264"/>
        <v>1</v>
      </c>
      <c r="AO466" t="str">
        <f>IF(次果筐明细!$D466="","",次果筐明细!$D466)</f>
        <v/>
      </c>
      <c r="AP466">
        <f t="shared" si="265"/>
        <v>0</v>
      </c>
      <c r="AQ466">
        <f t="shared" si="266"/>
        <v>1</v>
      </c>
      <c r="AU466" t="str">
        <f>IF(次果筐明细!$C466="","",次果筐明细!$C466)</f>
        <v/>
      </c>
      <c r="AV466">
        <f t="shared" si="267"/>
        <v>0</v>
      </c>
      <c r="AW466">
        <f t="shared" si="268"/>
        <v>1</v>
      </c>
      <c r="BS466" t="str">
        <f t="shared" si="252"/>
        <v/>
      </c>
      <c r="BT466">
        <f t="shared" si="269"/>
        <v>0</v>
      </c>
      <c r="BU466">
        <f t="shared" si="270"/>
        <v>17</v>
      </c>
      <c r="BY466" t="str">
        <f t="shared" si="276"/>
        <v/>
      </c>
      <c r="BZ466">
        <f t="shared" si="271"/>
        <v>0</v>
      </c>
      <c r="CA466">
        <f t="shared" si="272"/>
        <v>16</v>
      </c>
      <c r="CP466">
        <f>IF(包装物料出入库明细!$D466="",0,1)</f>
        <v>0</v>
      </c>
      <c r="CQ466">
        <f t="shared" si="273"/>
        <v>37</v>
      </c>
      <c r="CS466" t="str">
        <f>IF(OR(周转筐出入库明细!$C467="",周转筐出入库明细!$F467&lt;&gt;"采购入库"),"",周转筐出入库明细!$C467)</f>
        <v/>
      </c>
      <c r="CT466">
        <f t="shared" si="274"/>
        <v>0</v>
      </c>
      <c r="CU466">
        <f t="shared" si="275"/>
        <v>1</v>
      </c>
    </row>
    <row r="467" spans="1:99">
      <c r="A467" t="str">
        <f>IF(包装物料出入库明细!$E467="","",包装物料出入库明细!$E467)</f>
        <v/>
      </c>
      <c r="B467">
        <f t="shared" si="253"/>
        <v>0</v>
      </c>
      <c r="C467">
        <f t="shared" si="254"/>
        <v>7</v>
      </c>
      <c r="D467" t="str">
        <f>IF(包装物料出入库明细!$E467="","",包装物料出入库明细!$F467)</f>
        <v/>
      </c>
      <c r="E467" t="str">
        <f>IF(包装物料出入库明细!$E467="","",包装物料出入库明细!$G467)</f>
        <v/>
      </c>
      <c r="K467" t="str">
        <f>IF(包装物料出入库明细!$D467="","",包装物料出入库明细!$D467)</f>
        <v/>
      </c>
      <c r="L467">
        <f t="shared" si="255"/>
        <v>0</v>
      </c>
      <c r="M467">
        <f t="shared" si="256"/>
        <v>9</v>
      </c>
      <c r="Q467" t="str">
        <f>IF(周转筐出入库明细!$D468="","",周转筐出入库明细!$D468)</f>
        <v/>
      </c>
      <c r="R467">
        <f t="shared" si="257"/>
        <v>0</v>
      </c>
      <c r="S467">
        <f t="shared" si="258"/>
        <v>5</v>
      </c>
      <c r="W467" t="str">
        <f>IF(周转筐出入库明细!$C468="","",周转筐出入库明细!$C468)</f>
        <v/>
      </c>
      <c r="X467">
        <f t="shared" si="259"/>
        <v>0</v>
      </c>
      <c r="Y467">
        <f t="shared" si="260"/>
        <v>12</v>
      </c>
      <c r="AC467" t="str">
        <f>IF(客户自备加工筐明细!$C467="","",客户自备加工筐明细!$C467)</f>
        <v/>
      </c>
      <c r="AD467">
        <f t="shared" si="261"/>
        <v>0</v>
      </c>
      <c r="AE467">
        <f t="shared" si="262"/>
        <v>1</v>
      </c>
      <c r="AI467" t="str">
        <f>IF(客户自备加工筐明细!$E467="","",客户自备加工筐明细!$E467)</f>
        <v/>
      </c>
      <c r="AJ467">
        <f t="shared" si="263"/>
        <v>0</v>
      </c>
      <c r="AK467">
        <f t="shared" si="264"/>
        <v>1</v>
      </c>
      <c r="AO467" t="str">
        <f>IF(次果筐明细!$D467="","",次果筐明细!$D467)</f>
        <v/>
      </c>
      <c r="AP467">
        <f t="shared" si="265"/>
        <v>0</v>
      </c>
      <c r="AQ467">
        <f t="shared" si="266"/>
        <v>1</v>
      </c>
      <c r="AU467" t="str">
        <f>IF(次果筐明细!$C467="","",次果筐明细!$C467)</f>
        <v/>
      </c>
      <c r="AV467">
        <f t="shared" si="267"/>
        <v>0</v>
      </c>
      <c r="AW467">
        <f t="shared" si="268"/>
        <v>1</v>
      </c>
      <c r="BS467" t="str">
        <f t="shared" si="252"/>
        <v/>
      </c>
      <c r="BT467">
        <f t="shared" si="269"/>
        <v>0</v>
      </c>
      <c r="BU467">
        <f t="shared" si="270"/>
        <v>17</v>
      </c>
      <c r="BY467" t="str">
        <f t="shared" si="276"/>
        <v/>
      </c>
      <c r="BZ467">
        <f t="shared" si="271"/>
        <v>0</v>
      </c>
      <c r="CA467">
        <f t="shared" si="272"/>
        <v>16</v>
      </c>
      <c r="CP467">
        <f>IF(包装物料出入库明细!$D467="",0,1)</f>
        <v>0</v>
      </c>
      <c r="CQ467">
        <f t="shared" si="273"/>
        <v>37</v>
      </c>
      <c r="CS467" t="str">
        <f>IF(OR(周转筐出入库明细!$C468="",周转筐出入库明细!$F468&lt;&gt;"采购入库"),"",周转筐出入库明细!$C468)</f>
        <v/>
      </c>
      <c r="CT467">
        <f t="shared" si="274"/>
        <v>0</v>
      </c>
      <c r="CU467">
        <f t="shared" si="275"/>
        <v>1</v>
      </c>
    </row>
    <row r="468" spans="1:99">
      <c r="A468" t="str">
        <f>IF(包装物料出入库明细!$E468="","",包装物料出入库明细!$E468)</f>
        <v/>
      </c>
      <c r="B468">
        <f t="shared" si="253"/>
        <v>0</v>
      </c>
      <c r="C468">
        <f t="shared" si="254"/>
        <v>7</v>
      </c>
      <c r="D468" t="str">
        <f>IF(包装物料出入库明细!$E468="","",包装物料出入库明细!$F468)</f>
        <v/>
      </c>
      <c r="E468" t="str">
        <f>IF(包装物料出入库明细!$E468="","",包装物料出入库明细!$G468)</f>
        <v/>
      </c>
      <c r="K468" t="str">
        <f>IF(包装物料出入库明细!$D468="","",包装物料出入库明细!$D468)</f>
        <v/>
      </c>
      <c r="L468">
        <f t="shared" si="255"/>
        <v>0</v>
      </c>
      <c r="M468">
        <f t="shared" si="256"/>
        <v>9</v>
      </c>
      <c r="Q468" t="str">
        <f>IF(周转筐出入库明细!$D469="","",周转筐出入库明细!$D469)</f>
        <v/>
      </c>
      <c r="R468">
        <f t="shared" si="257"/>
        <v>0</v>
      </c>
      <c r="S468">
        <f t="shared" si="258"/>
        <v>5</v>
      </c>
      <c r="W468" t="str">
        <f>IF(周转筐出入库明细!$C469="","",周转筐出入库明细!$C469)</f>
        <v/>
      </c>
      <c r="X468">
        <f t="shared" si="259"/>
        <v>0</v>
      </c>
      <c r="Y468">
        <f t="shared" si="260"/>
        <v>12</v>
      </c>
      <c r="AC468" t="str">
        <f>IF(客户自备加工筐明细!$C468="","",客户自备加工筐明细!$C468)</f>
        <v/>
      </c>
      <c r="AD468">
        <f t="shared" si="261"/>
        <v>0</v>
      </c>
      <c r="AE468">
        <f t="shared" si="262"/>
        <v>1</v>
      </c>
      <c r="AI468" t="str">
        <f>IF(客户自备加工筐明细!$E468="","",客户自备加工筐明细!$E468)</f>
        <v/>
      </c>
      <c r="AJ468">
        <f t="shared" si="263"/>
        <v>0</v>
      </c>
      <c r="AK468">
        <f t="shared" si="264"/>
        <v>1</v>
      </c>
      <c r="AO468" t="str">
        <f>IF(次果筐明细!$D468="","",次果筐明细!$D468)</f>
        <v/>
      </c>
      <c r="AP468">
        <f t="shared" si="265"/>
        <v>0</v>
      </c>
      <c r="AQ468">
        <f t="shared" si="266"/>
        <v>1</v>
      </c>
      <c r="AU468" t="str">
        <f>IF(次果筐明细!$C468="","",次果筐明细!$C468)</f>
        <v/>
      </c>
      <c r="AV468">
        <f t="shared" si="267"/>
        <v>0</v>
      </c>
      <c r="AW468">
        <f t="shared" si="268"/>
        <v>1</v>
      </c>
      <c r="BS468" t="str">
        <f t="shared" ref="BS468:BS531" si="277">IF($AM68="","",$AM68)</f>
        <v/>
      </c>
      <c r="BT468">
        <f t="shared" si="269"/>
        <v>0</v>
      </c>
      <c r="BU468">
        <f t="shared" si="270"/>
        <v>17</v>
      </c>
      <c r="BY468" t="str">
        <f t="shared" si="276"/>
        <v/>
      </c>
      <c r="BZ468">
        <f t="shared" si="271"/>
        <v>0</v>
      </c>
      <c r="CA468">
        <f t="shared" si="272"/>
        <v>16</v>
      </c>
      <c r="CP468">
        <f>IF(包装物料出入库明细!$D468="",0,1)</f>
        <v>0</v>
      </c>
      <c r="CQ468">
        <f t="shared" si="273"/>
        <v>37</v>
      </c>
      <c r="CS468" t="str">
        <f>IF(OR(周转筐出入库明细!$C469="",周转筐出入库明细!$F469&lt;&gt;"采购入库"),"",周转筐出入库明细!$C469)</f>
        <v/>
      </c>
      <c r="CT468">
        <f t="shared" si="274"/>
        <v>0</v>
      </c>
      <c r="CU468">
        <f t="shared" si="275"/>
        <v>1</v>
      </c>
    </row>
    <row r="469" spans="1:99">
      <c r="A469" t="str">
        <f>IF(包装物料出入库明细!$E469="","",包装物料出入库明细!$E469)</f>
        <v/>
      </c>
      <c r="B469">
        <f t="shared" si="253"/>
        <v>0</v>
      </c>
      <c r="C469">
        <f t="shared" si="254"/>
        <v>7</v>
      </c>
      <c r="D469" t="str">
        <f>IF(包装物料出入库明细!$E469="","",包装物料出入库明细!$F469)</f>
        <v/>
      </c>
      <c r="E469" t="str">
        <f>IF(包装物料出入库明细!$E469="","",包装物料出入库明细!$G469)</f>
        <v/>
      </c>
      <c r="K469" t="str">
        <f>IF(包装物料出入库明细!$D469="","",包装物料出入库明细!$D469)</f>
        <v/>
      </c>
      <c r="L469">
        <f t="shared" si="255"/>
        <v>0</v>
      </c>
      <c r="M469">
        <f t="shared" si="256"/>
        <v>9</v>
      </c>
      <c r="Q469" t="str">
        <f>IF(周转筐出入库明细!$D470="","",周转筐出入库明细!$D470)</f>
        <v/>
      </c>
      <c r="R469">
        <f t="shared" si="257"/>
        <v>0</v>
      </c>
      <c r="S469">
        <f t="shared" si="258"/>
        <v>5</v>
      </c>
      <c r="W469" t="str">
        <f>IF(周转筐出入库明细!$C470="","",周转筐出入库明细!$C470)</f>
        <v/>
      </c>
      <c r="X469">
        <f t="shared" si="259"/>
        <v>0</v>
      </c>
      <c r="Y469">
        <f t="shared" si="260"/>
        <v>12</v>
      </c>
      <c r="AC469" t="str">
        <f>IF(客户自备加工筐明细!$C469="","",客户自备加工筐明细!$C469)</f>
        <v/>
      </c>
      <c r="AD469">
        <f t="shared" si="261"/>
        <v>0</v>
      </c>
      <c r="AE469">
        <f t="shared" si="262"/>
        <v>1</v>
      </c>
      <c r="AI469" t="str">
        <f>IF(客户自备加工筐明细!$E469="","",客户自备加工筐明细!$E469)</f>
        <v/>
      </c>
      <c r="AJ469">
        <f t="shared" si="263"/>
        <v>0</v>
      </c>
      <c r="AK469">
        <f t="shared" si="264"/>
        <v>1</v>
      </c>
      <c r="AO469" t="str">
        <f>IF(次果筐明细!$D469="","",次果筐明细!$D469)</f>
        <v/>
      </c>
      <c r="AP469">
        <f t="shared" si="265"/>
        <v>0</v>
      </c>
      <c r="AQ469">
        <f t="shared" si="266"/>
        <v>1</v>
      </c>
      <c r="AU469" t="str">
        <f>IF(次果筐明细!$C469="","",次果筐明细!$C469)</f>
        <v/>
      </c>
      <c r="AV469">
        <f t="shared" si="267"/>
        <v>0</v>
      </c>
      <c r="AW469">
        <f t="shared" si="268"/>
        <v>1</v>
      </c>
      <c r="BS469" t="str">
        <f t="shared" si="277"/>
        <v/>
      </c>
      <c r="BT469">
        <f t="shared" si="269"/>
        <v>0</v>
      </c>
      <c r="BU469">
        <f t="shared" si="270"/>
        <v>17</v>
      </c>
      <c r="BY469" t="str">
        <f t="shared" si="276"/>
        <v/>
      </c>
      <c r="BZ469">
        <f t="shared" si="271"/>
        <v>0</v>
      </c>
      <c r="CA469">
        <f t="shared" si="272"/>
        <v>16</v>
      </c>
      <c r="CP469">
        <f>IF(包装物料出入库明细!$D469="",0,1)</f>
        <v>0</v>
      </c>
      <c r="CQ469">
        <f t="shared" si="273"/>
        <v>37</v>
      </c>
      <c r="CS469" t="str">
        <f>IF(OR(周转筐出入库明细!$C470="",周转筐出入库明细!$F470&lt;&gt;"采购入库"),"",周转筐出入库明细!$C470)</f>
        <v/>
      </c>
      <c r="CT469">
        <f t="shared" si="274"/>
        <v>0</v>
      </c>
      <c r="CU469">
        <f t="shared" si="275"/>
        <v>1</v>
      </c>
    </row>
    <row r="470" spans="1:99">
      <c r="A470" t="str">
        <f>IF(包装物料出入库明细!$E470="","",包装物料出入库明细!$E470)</f>
        <v/>
      </c>
      <c r="B470">
        <f t="shared" si="253"/>
        <v>0</v>
      </c>
      <c r="C470">
        <f t="shared" si="254"/>
        <v>7</v>
      </c>
      <c r="D470" t="str">
        <f>IF(包装物料出入库明细!$E470="","",包装物料出入库明细!$F470)</f>
        <v/>
      </c>
      <c r="E470" t="str">
        <f>IF(包装物料出入库明细!$E470="","",包装物料出入库明细!$G470)</f>
        <v/>
      </c>
      <c r="K470" t="str">
        <f>IF(包装物料出入库明细!$D470="","",包装物料出入库明细!$D470)</f>
        <v/>
      </c>
      <c r="L470">
        <f t="shared" si="255"/>
        <v>0</v>
      </c>
      <c r="M470">
        <f t="shared" si="256"/>
        <v>9</v>
      </c>
      <c r="Q470" t="str">
        <f>IF(周转筐出入库明细!$D471="","",周转筐出入库明细!$D471)</f>
        <v/>
      </c>
      <c r="R470">
        <f t="shared" si="257"/>
        <v>0</v>
      </c>
      <c r="S470">
        <f t="shared" si="258"/>
        <v>5</v>
      </c>
      <c r="W470" t="str">
        <f>IF(周转筐出入库明细!$C471="","",周转筐出入库明细!$C471)</f>
        <v/>
      </c>
      <c r="X470">
        <f t="shared" si="259"/>
        <v>0</v>
      </c>
      <c r="Y470">
        <f t="shared" si="260"/>
        <v>12</v>
      </c>
      <c r="AC470" t="str">
        <f>IF(客户自备加工筐明细!$C470="","",客户自备加工筐明细!$C470)</f>
        <v/>
      </c>
      <c r="AD470">
        <f t="shared" si="261"/>
        <v>0</v>
      </c>
      <c r="AE470">
        <f t="shared" si="262"/>
        <v>1</v>
      </c>
      <c r="AI470" t="str">
        <f>IF(客户自备加工筐明细!$E470="","",客户自备加工筐明细!$E470)</f>
        <v/>
      </c>
      <c r="AJ470">
        <f t="shared" si="263"/>
        <v>0</v>
      </c>
      <c r="AK470">
        <f t="shared" si="264"/>
        <v>1</v>
      </c>
      <c r="AO470" t="str">
        <f>IF(次果筐明细!$D470="","",次果筐明细!$D470)</f>
        <v/>
      </c>
      <c r="AP470">
        <f t="shared" si="265"/>
        <v>0</v>
      </c>
      <c r="AQ470">
        <f t="shared" si="266"/>
        <v>1</v>
      </c>
      <c r="AU470" t="str">
        <f>IF(次果筐明细!$C470="","",次果筐明细!$C470)</f>
        <v/>
      </c>
      <c r="AV470">
        <f t="shared" si="267"/>
        <v>0</v>
      </c>
      <c r="AW470">
        <f t="shared" si="268"/>
        <v>1</v>
      </c>
      <c r="BS470" t="str">
        <f t="shared" si="277"/>
        <v/>
      </c>
      <c r="BT470">
        <f t="shared" si="269"/>
        <v>0</v>
      </c>
      <c r="BU470">
        <f t="shared" si="270"/>
        <v>17</v>
      </c>
      <c r="BY470" t="str">
        <f t="shared" si="276"/>
        <v/>
      </c>
      <c r="BZ470">
        <f t="shared" si="271"/>
        <v>0</v>
      </c>
      <c r="CA470">
        <f t="shared" si="272"/>
        <v>16</v>
      </c>
      <c r="CP470">
        <f>IF(包装物料出入库明细!$D470="",0,1)</f>
        <v>0</v>
      </c>
      <c r="CQ470">
        <f t="shared" si="273"/>
        <v>37</v>
      </c>
      <c r="CS470" t="str">
        <f>IF(OR(周转筐出入库明细!$C471="",周转筐出入库明细!$F471&lt;&gt;"采购入库"),"",周转筐出入库明细!$C471)</f>
        <v/>
      </c>
      <c r="CT470">
        <f t="shared" si="274"/>
        <v>0</v>
      </c>
      <c r="CU470">
        <f t="shared" si="275"/>
        <v>1</v>
      </c>
    </row>
    <row r="471" spans="1:99">
      <c r="A471" t="str">
        <f>IF(包装物料出入库明细!$E471="","",包装物料出入库明细!$E471)</f>
        <v/>
      </c>
      <c r="B471">
        <f t="shared" si="253"/>
        <v>0</v>
      </c>
      <c r="C471">
        <f t="shared" si="254"/>
        <v>7</v>
      </c>
      <c r="D471" t="str">
        <f>IF(包装物料出入库明细!$E471="","",包装物料出入库明细!$F471)</f>
        <v/>
      </c>
      <c r="E471" t="str">
        <f>IF(包装物料出入库明细!$E471="","",包装物料出入库明细!$G471)</f>
        <v/>
      </c>
      <c r="K471" t="str">
        <f>IF(包装物料出入库明细!$D471="","",包装物料出入库明细!$D471)</f>
        <v/>
      </c>
      <c r="L471">
        <f t="shared" si="255"/>
        <v>0</v>
      </c>
      <c r="M471">
        <f t="shared" si="256"/>
        <v>9</v>
      </c>
      <c r="Q471" t="str">
        <f>IF(周转筐出入库明细!$D472="","",周转筐出入库明细!$D472)</f>
        <v/>
      </c>
      <c r="R471">
        <f t="shared" si="257"/>
        <v>0</v>
      </c>
      <c r="S471">
        <f t="shared" si="258"/>
        <v>5</v>
      </c>
      <c r="W471" t="str">
        <f>IF(周转筐出入库明细!$C472="","",周转筐出入库明细!$C472)</f>
        <v/>
      </c>
      <c r="X471">
        <f t="shared" si="259"/>
        <v>0</v>
      </c>
      <c r="Y471">
        <f t="shared" si="260"/>
        <v>12</v>
      </c>
      <c r="AC471" t="str">
        <f>IF(客户自备加工筐明细!$C471="","",客户自备加工筐明细!$C471)</f>
        <v/>
      </c>
      <c r="AD471">
        <f t="shared" si="261"/>
        <v>0</v>
      </c>
      <c r="AE471">
        <f t="shared" si="262"/>
        <v>1</v>
      </c>
      <c r="AI471" t="str">
        <f>IF(客户自备加工筐明细!$E471="","",客户自备加工筐明细!$E471)</f>
        <v/>
      </c>
      <c r="AJ471">
        <f t="shared" si="263"/>
        <v>0</v>
      </c>
      <c r="AK471">
        <f t="shared" si="264"/>
        <v>1</v>
      </c>
      <c r="AO471" t="str">
        <f>IF(次果筐明细!$D471="","",次果筐明细!$D471)</f>
        <v/>
      </c>
      <c r="AP471">
        <f t="shared" si="265"/>
        <v>0</v>
      </c>
      <c r="AQ471">
        <f t="shared" si="266"/>
        <v>1</v>
      </c>
      <c r="AU471" t="str">
        <f>IF(次果筐明细!$C471="","",次果筐明细!$C471)</f>
        <v/>
      </c>
      <c r="AV471">
        <f t="shared" si="267"/>
        <v>0</v>
      </c>
      <c r="AW471">
        <f t="shared" si="268"/>
        <v>1</v>
      </c>
      <c r="BS471" t="str">
        <f t="shared" si="277"/>
        <v/>
      </c>
      <c r="BT471">
        <f t="shared" si="269"/>
        <v>0</v>
      </c>
      <c r="BU471">
        <f t="shared" si="270"/>
        <v>17</v>
      </c>
      <c r="BY471" t="str">
        <f t="shared" si="276"/>
        <v/>
      </c>
      <c r="BZ471">
        <f t="shared" si="271"/>
        <v>0</v>
      </c>
      <c r="CA471">
        <f t="shared" si="272"/>
        <v>16</v>
      </c>
      <c r="CP471">
        <f>IF(包装物料出入库明细!$D471="",0,1)</f>
        <v>0</v>
      </c>
      <c r="CQ471">
        <f t="shared" si="273"/>
        <v>37</v>
      </c>
      <c r="CS471" t="str">
        <f>IF(OR(周转筐出入库明细!$C472="",周转筐出入库明细!$F472&lt;&gt;"采购入库"),"",周转筐出入库明细!$C472)</f>
        <v/>
      </c>
      <c r="CT471">
        <f t="shared" si="274"/>
        <v>0</v>
      </c>
      <c r="CU471">
        <f t="shared" si="275"/>
        <v>1</v>
      </c>
    </row>
    <row r="472" spans="1:99">
      <c r="A472" t="str">
        <f>IF(包装物料出入库明细!$E472="","",包装物料出入库明细!$E472)</f>
        <v/>
      </c>
      <c r="B472">
        <f t="shared" si="253"/>
        <v>0</v>
      </c>
      <c r="C472">
        <f t="shared" si="254"/>
        <v>7</v>
      </c>
      <c r="D472" t="str">
        <f>IF(包装物料出入库明细!$E472="","",包装物料出入库明细!$F472)</f>
        <v/>
      </c>
      <c r="E472" t="str">
        <f>IF(包装物料出入库明细!$E472="","",包装物料出入库明细!$G472)</f>
        <v/>
      </c>
      <c r="K472" t="str">
        <f>IF(包装物料出入库明细!$D472="","",包装物料出入库明细!$D472)</f>
        <v/>
      </c>
      <c r="L472">
        <f t="shared" si="255"/>
        <v>0</v>
      </c>
      <c r="M472">
        <f t="shared" si="256"/>
        <v>9</v>
      </c>
      <c r="Q472" t="str">
        <f>IF(周转筐出入库明细!$D473="","",周转筐出入库明细!$D473)</f>
        <v/>
      </c>
      <c r="R472">
        <f t="shared" si="257"/>
        <v>0</v>
      </c>
      <c r="S472">
        <f t="shared" si="258"/>
        <v>5</v>
      </c>
      <c r="W472" t="str">
        <f>IF(周转筐出入库明细!$C473="","",周转筐出入库明细!$C473)</f>
        <v/>
      </c>
      <c r="X472">
        <f t="shared" si="259"/>
        <v>0</v>
      </c>
      <c r="Y472">
        <f t="shared" si="260"/>
        <v>12</v>
      </c>
      <c r="AC472" t="str">
        <f>IF(客户自备加工筐明细!$C472="","",客户自备加工筐明细!$C472)</f>
        <v/>
      </c>
      <c r="AD472">
        <f t="shared" si="261"/>
        <v>0</v>
      </c>
      <c r="AE472">
        <f t="shared" si="262"/>
        <v>1</v>
      </c>
      <c r="AI472" t="str">
        <f>IF(客户自备加工筐明细!$E472="","",客户自备加工筐明细!$E472)</f>
        <v/>
      </c>
      <c r="AJ472">
        <f t="shared" si="263"/>
        <v>0</v>
      </c>
      <c r="AK472">
        <f t="shared" si="264"/>
        <v>1</v>
      </c>
      <c r="AO472" t="str">
        <f>IF(次果筐明细!$D472="","",次果筐明细!$D472)</f>
        <v/>
      </c>
      <c r="AP472">
        <f t="shared" si="265"/>
        <v>0</v>
      </c>
      <c r="AQ472">
        <f t="shared" si="266"/>
        <v>1</v>
      </c>
      <c r="AU472" t="str">
        <f>IF(次果筐明细!$C472="","",次果筐明细!$C472)</f>
        <v/>
      </c>
      <c r="AV472">
        <f t="shared" si="267"/>
        <v>0</v>
      </c>
      <c r="AW472">
        <f t="shared" si="268"/>
        <v>1</v>
      </c>
      <c r="BS472" t="str">
        <f t="shared" si="277"/>
        <v/>
      </c>
      <c r="BT472">
        <f t="shared" si="269"/>
        <v>0</v>
      </c>
      <c r="BU472">
        <f t="shared" si="270"/>
        <v>17</v>
      </c>
      <c r="BY472" t="str">
        <f t="shared" si="276"/>
        <v/>
      </c>
      <c r="BZ472">
        <f t="shared" si="271"/>
        <v>0</v>
      </c>
      <c r="CA472">
        <f t="shared" si="272"/>
        <v>16</v>
      </c>
      <c r="CP472">
        <f>IF(包装物料出入库明细!$D472="",0,1)</f>
        <v>0</v>
      </c>
      <c r="CQ472">
        <f t="shared" si="273"/>
        <v>37</v>
      </c>
      <c r="CS472" t="str">
        <f>IF(OR(周转筐出入库明细!$C473="",周转筐出入库明细!$F473&lt;&gt;"采购入库"),"",周转筐出入库明细!$C473)</f>
        <v/>
      </c>
      <c r="CT472">
        <f t="shared" si="274"/>
        <v>0</v>
      </c>
      <c r="CU472">
        <f t="shared" si="275"/>
        <v>1</v>
      </c>
    </row>
    <row r="473" spans="1:99">
      <c r="A473" t="str">
        <f>IF(包装物料出入库明细!$E473="","",包装物料出入库明细!$E473)</f>
        <v/>
      </c>
      <c r="B473">
        <f t="shared" si="253"/>
        <v>0</v>
      </c>
      <c r="C473">
        <f t="shared" si="254"/>
        <v>7</v>
      </c>
      <c r="D473" t="str">
        <f>IF(包装物料出入库明细!$E473="","",包装物料出入库明细!$F473)</f>
        <v/>
      </c>
      <c r="E473" t="str">
        <f>IF(包装物料出入库明细!$E473="","",包装物料出入库明细!$G473)</f>
        <v/>
      </c>
      <c r="K473" t="str">
        <f>IF(包装物料出入库明细!$D473="","",包装物料出入库明细!$D473)</f>
        <v/>
      </c>
      <c r="L473">
        <f t="shared" si="255"/>
        <v>0</v>
      </c>
      <c r="M473">
        <f t="shared" si="256"/>
        <v>9</v>
      </c>
      <c r="Q473" t="str">
        <f>IF(周转筐出入库明细!$D474="","",周转筐出入库明细!$D474)</f>
        <v/>
      </c>
      <c r="R473">
        <f t="shared" si="257"/>
        <v>0</v>
      </c>
      <c r="S473">
        <f t="shared" si="258"/>
        <v>5</v>
      </c>
      <c r="W473" t="str">
        <f>IF(周转筐出入库明细!$C474="","",周转筐出入库明细!$C474)</f>
        <v/>
      </c>
      <c r="X473">
        <f t="shared" si="259"/>
        <v>0</v>
      </c>
      <c r="Y473">
        <f t="shared" si="260"/>
        <v>12</v>
      </c>
      <c r="AC473" t="str">
        <f>IF(客户自备加工筐明细!$C473="","",客户自备加工筐明细!$C473)</f>
        <v/>
      </c>
      <c r="AD473">
        <f t="shared" si="261"/>
        <v>0</v>
      </c>
      <c r="AE473">
        <f t="shared" si="262"/>
        <v>1</v>
      </c>
      <c r="AI473" t="str">
        <f>IF(客户自备加工筐明细!$E473="","",客户自备加工筐明细!$E473)</f>
        <v/>
      </c>
      <c r="AJ473">
        <f t="shared" si="263"/>
        <v>0</v>
      </c>
      <c r="AK473">
        <f t="shared" si="264"/>
        <v>1</v>
      </c>
      <c r="AO473" t="str">
        <f>IF(次果筐明细!$D473="","",次果筐明细!$D473)</f>
        <v/>
      </c>
      <c r="AP473">
        <f t="shared" si="265"/>
        <v>0</v>
      </c>
      <c r="AQ473">
        <f t="shared" si="266"/>
        <v>1</v>
      </c>
      <c r="AU473" t="str">
        <f>IF(次果筐明细!$C473="","",次果筐明细!$C473)</f>
        <v/>
      </c>
      <c r="AV473">
        <f t="shared" si="267"/>
        <v>0</v>
      </c>
      <c r="AW473">
        <f t="shared" si="268"/>
        <v>1</v>
      </c>
      <c r="BS473" t="str">
        <f t="shared" si="277"/>
        <v/>
      </c>
      <c r="BT473">
        <f t="shared" si="269"/>
        <v>0</v>
      </c>
      <c r="BU473">
        <f t="shared" si="270"/>
        <v>17</v>
      </c>
      <c r="BY473" t="str">
        <f t="shared" si="276"/>
        <v/>
      </c>
      <c r="BZ473">
        <f t="shared" si="271"/>
        <v>0</v>
      </c>
      <c r="CA473">
        <f t="shared" si="272"/>
        <v>16</v>
      </c>
      <c r="CP473">
        <f>IF(包装物料出入库明细!$D473="",0,1)</f>
        <v>0</v>
      </c>
      <c r="CQ473">
        <f t="shared" si="273"/>
        <v>37</v>
      </c>
      <c r="CS473" t="str">
        <f>IF(OR(周转筐出入库明细!$C474="",周转筐出入库明细!$F474&lt;&gt;"采购入库"),"",周转筐出入库明细!$C474)</f>
        <v/>
      </c>
      <c r="CT473">
        <f t="shared" si="274"/>
        <v>0</v>
      </c>
      <c r="CU473">
        <f t="shared" si="275"/>
        <v>1</v>
      </c>
    </row>
    <row r="474" spans="1:99">
      <c r="A474" t="str">
        <f>IF(包装物料出入库明细!$E474="","",包装物料出入库明细!$E474)</f>
        <v/>
      </c>
      <c r="B474">
        <f t="shared" si="253"/>
        <v>0</v>
      </c>
      <c r="C474">
        <f t="shared" si="254"/>
        <v>7</v>
      </c>
      <c r="D474" t="str">
        <f>IF(包装物料出入库明细!$E474="","",包装物料出入库明细!$F474)</f>
        <v/>
      </c>
      <c r="E474" t="str">
        <f>IF(包装物料出入库明细!$E474="","",包装物料出入库明细!$G474)</f>
        <v/>
      </c>
      <c r="K474" t="str">
        <f>IF(包装物料出入库明细!$D474="","",包装物料出入库明细!$D474)</f>
        <v/>
      </c>
      <c r="L474">
        <f t="shared" si="255"/>
        <v>0</v>
      </c>
      <c r="M474">
        <f t="shared" si="256"/>
        <v>9</v>
      </c>
      <c r="Q474" t="str">
        <f>IF(周转筐出入库明细!$D475="","",周转筐出入库明细!$D475)</f>
        <v/>
      </c>
      <c r="R474">
        <f t="shared" si="257"/>
        <v>0</v>
      </c>
      <c r="S474">
        <f t="shared" si="258"/>
        <v>5</v>
      </c>
      <c r="W474" t="str">
        <f>IF(周转筐出入库明细!$C475="","",周转筐出入库明细!$C475)</f>
        <v/>
      </c>
      <c r="X474">
        <f t="shared" si="259"/>
        <v>0</v>
      </c>
      <c r="Y474">
        <f t="shared" si="260"/>
        <v>12</v>
      </c>
      <c r="AC474" t="str">
        <f>IF(客户自备加工筐明细!$C474="","",客户自备加工筐明细!$C474)</f>
        <v/>
      </c>
      <c r="AD474">
        <f t="shared" si="261"/>
        <v>0</v>
      </c>
      <c r="AE474">
        <f t="shared" si="262"/>
        <v>1</v>
      </c>
      <c r="AI474" t="str">
        <f>IF(客户自备加工筐明细!$E474="","",客户自备加工筐明细!$E474)</f>
        <v/>
      </c>
      <c r="AJ474">
        <f t="shared" si="263"/>
        <v>0</v>
      </c>
      <c r="AK474">
        <f t="shared" si="264"/>
        <v>1</v>
      </c>
      <c r="AO474" t="str">
        <f>IF(次果筐明细!$D474="","",次果筐明细!$D474)</f>
        <v/>
      </c>
      <c r="AP474">
        <f t="shared" si="265"/>
        <v>0</v>
      </c>
      <c r="AQ474">
        <f t="shared" si="266"/>
        <v>1</v>
      </c>
      <c r="AU474" t="str">
        <f>IF(次果筐明细!$C474="","",次果筐明细!$C474)</f>
        <v/>
      </c>
      <c r="AV474">
        <f t="shared" si="267"/>
        <v>0</v>
      </c>
      <c r="AW474">
        <f t="shared" si="268"/>
        <v>1</v>
      </c>
      <c r="BS474" t="str">
        <f t="shared" si="277"/>
        <v/>
      </c>
      <c r="BT474">
        <f t="shared" si="269"/>
        <v>0</v>
      </c>
      <c r="BU474">
        <f t="shared" si="270"/>
        <v>17</v>
      </c>
      <c r="BY474" t="str">
        <f t="shared" si="276"/>
        <v/>
      </c>
      <c r="BZ474">
        <f t="shared" si="271"/>
        <v>0</v>
      </c>
      <c r="CA474">
        <f t="shared" si="272"/>
        <v>16</v>
      </c>
      <c r="CP474">
        <f>IF(包装物料出入库明细!$D474="",0,1)</f>
        <v>0</v>
      </c>
      <c r="CQ474">
        <f t="shared" si="273"/>
        <v>37</v>
      </c>
      <c r="CS474" t="str">
        <f>IF(OR(周转筐出入库明细!$C475="",周转筐出入库明细!$F475&lt;&gt;"采购入库"),"",周转筐出入库明细!$C475)</f>
        <v/>
      </c>
      <c r="CT474">
        <f t="shared" si="274"/>
        <v>0</v>
      </c>
      <c r="CU474">
        <f t="shared" si="275"/>
        <v>1</v>
      </c>
    </row>
    <row r="475" spans="1:99">
      <c r="A475" t="str">
        <f>IF(包装物料出入库明细!$E475="","",包装物料出入库明细!$E475)</f>
        <v/>
      </c>
      <c r="B475">
        <f t="shared" si="253"/>
        <v>0</v>
      </c>
      <c r="C475">
        <f t="shared" si="254"/>
        <v>7</v>
      </c>
      <c r="D475" t="str">
        <f>IF(包装物料出入库明细!$E475="","",包装物料出入库明细!$F475)</f>
        <v/>
      </c>
      <c r="E475" t="str">
        <f>IF(包装物料出入库明细!$E475="","",包装物料出入库明细!$G475)</f>
        <v/>
      </c>
      <c r="K475" t="str">
        <f>IF(包装物料出入库明细!$D475="","",包装物料出入库明细!$D475)</f>
        <v/>
      </c>
      <c r="L475">
        <f t="shared" si="255"/>
        <v>0</v>
      </c>
      <c r="M475">
        <f t="shared" si="256"/>
        <v>9</v>
      </c>
      <c r="Q475" t="str">
        <f>IF(周转筐出入库明细!$D476="","",周转筐出入库明细!$D476)</f>
        <v/>
      </c>
      <c r="R475">
        <f t="shared" si="257"/>
        <v>0</v>
      </c>
      <c r="S475">
        <f t="shared" si="258"/>
        <v>5</v>
      </c>
      <c r="W475" t="str">
        <f>IF(周转筐出入库明细!$C476="","",周转筐出入库明细!$C476)</f>
        <v/>
      </c>
      <c r="X475">
        <f t="shared" si="259"/>
        <v>0</v>
      </c>
      <c r="Y475">
        <f t="shared" si="260"/>
        <v>12</v>
      </c>
      <c r="AC475" t="str">
        <f>IF(客户自备加工筐明细!$C475="","",客户自备加工筐明细!$C475)</f>
        <v/>
      </c>
      <c r="AD475">
        <f t="shared" si="261"/>
        <v>0</v>
      </c>
      <c r="AE475">
        <f t="shared" si="262"/>
        <v>1</v>
      </c>
      <c r="AI475" t="str">
        <f>IF(客户自备加工筐明细!$E475="","",客户自备加工筐明细!$E475)</f>
        <v/>
      </c>
      <c r="AJ475">
        <f t="shared" si="263"/>
        <v>0</v>
      </c>
      <c r="AK475">
        <f t="shared" si="264"/>
        <v>1</v>
      </c>
      <c r="AO475" t="str">
        <f>IF(次果筐明细!$D475="","",次果筐明细!$D475)</f>
        <v/>
      </c>
      <c r="AP475">
        <f t="shared" si="265"/>
        <v>0</v>
      </c>
      <c r="AQ475">
        <f t="shared" si="266"/>
        <v>1</v>
      </c>
      <c r="AU475" t="str">
        <f>IF(次果筐明细!$C475="","",次果筐明细!$C475)</f>
        <v/>
      </c>
      <c r="AV475">
        <f t="shared" si="267"/>
        <v>0</v>
      </c>
      <c r="AW475">
        <f t="shared" si="268"/>
        <v>1</v>
      </c>
      <c r="BS475" t="str">
        <f t="shared" si="277"/>
        <v/>
      </c>
      <c r="BT475">
        <f t="shared" si="269"/>
        <v>0</v>
      </c>
      <c r="BU475">
        <f t="shared" si="270"/>
        <v>17</v>
      </c>
      <c r="BY475" t="str">
        <f t="shared" si="276"/>
        <v/>
      </c>
      <c r="BZ475">
        <f t="shared" si="271"/>
        <v>0</v>
      </c>
      <c r="CA475">
        <f t="shared" si="272"/>
        <v>16</v>
      </c>
      <c r="CP475">
        <f>IF(包装物料出入库明细!$D475="",0,1)</f>
        <v>0</v>
      </c>
      <c r="CQ475">
        <f t="shared" si="273"/>
        <v>37</v>
      </c>
      <c r="CS475" t="str">
        <f>IF(OR(周转筐出入库明细!$C476="",周转筐出入库明细!$F476&lt;&gt;"采购入库"),"",周转筐出入库明细!$C476)</f>
        <v/>
      </c>
      <c r="CT475">
        <f t="shared" si="274"/>
        <v>0</v>
      </c>
      <c r="CU475">
        <f t="shared" si="275"/>
        <v>1</v>
      </c>
    </row>
    <row r="476" spans="1:99">
      <c r="A476" t="str">
        <f>IF(包装物料出入库明细!$E476="","",包装物料出入库明细!$E476)</f>
        <v/>
      </c>
      <c r="B476">
        <f t="shared" si="253"/>
        <v>0</v>
      </c>
      <c r="C476">
        <f t="shared" si="254"/>
        <v>7</v>
      </c>
      <c r="D476" t="str">
        <f>IF(包装物料出入库明细!$E476="","",包装物料出入库明细!$F476)</f>
        <v/>
      </c>
      <c r="E476" t="str">
        <f>IF(包装物料出入库明细!$E476="","",包装物料出入库明细!$G476)</f>
        <v/>
      </c>
      <c r="K476" t="str">
        <f>IF(包装物料出入库明细!$D476="","",包装物料出入库明细!$D476)</f>
        <v/>
      </c>
      <c r="L476">
        <f t="shared" si="255"/>
        <v>0</v>
      </c>
      <c r="M476">
        <f t="shared" si="256"/>
        <v>9</v>
      </c>
      <c r="Q476" t="str">
        <f>IF(周转筐出入库明细!$D477="","",周转筐出入库明细!$D477)</f>
        <v/>
      </c>
      <c r="R476">
        <f t="shared" si="257"/>
        <v>0</v>
      </c>
      <c r="S476">
        <f t="shared" si="258"/>
        <v>5</v>
      </c>
      <c r="W476" t="str">
        <f>IF(周转筐出入库明细!$C477="","",周转筐出入库明细!$C477)</f>
        <v/>
      </c>
      <c r="X476">
        <f t="shared" si="259"/>
        <v>0</v>
      </c>
      <c r="Y476">
        <f t="shared" si="260"/>
        <v>12</v>
      </c>
      <c r="AC476" t="str">
        <f>IF(客户自备加工筐明细!$C476="","",客户自备加工筐明细!$C476)</f>
        <v/>
      </c>
      <c r="AD476">
        <f t="shared" si="261"/>
        <v>0</v>
      </c>
      <c r="AE476">
        <f t="shared" si="262"/>
        <v>1</v>
      </c>
      <c r="AI476" t="str">
        <f>IF(客户自备加工筐明细!$E476="","",客户自备加工筐明细!$E476)</f>
        <v/>
      </c>
      <c r="AJ476">
        <f t="shared" si="263"/>
        <v>0</v>
      </c>
      <c r="AK476">
        <f t="shared" si="264"/>
        <v>1</v>
      </c>
      <c r="AO476" t="str">
        <f>IF(次果筐明细!$D476="","",次果筐明细!$D476)</f>
        <v/>
      </c>
      <c r="AP476">
        <f t="shared" si="265"/>
        <v>0</v>
      </c>
      <c r="AQ476">
        <f t="shared" si="266"/>
        <v>1</v>
      </c>
      <c r="AU476" t="str">
        <f>IF(次果筐明细!$C476="","",次果筐明细!$C476)</f>
        <v/>
      </c>
      <c r="AV476">
        <f t="shared" si="267"/>
        <v>0</v>
      </c>
      <c r="AW476">
        <f t="shared" si="268"/>
        <v>1</v>
      </c>
      <c r="BS476" t="str">
        <f t="shared" si="277"/>
        <v/>
      </c>
      <c r="BT476">
        <f t="shared" si="269"/>
        <v>0</v>
      </c>
      <c r="BU476">
        <f t="shared" si="270"/>
        <v>17</v>
      </c>
      <c r="BY476" t="str">
        <f t="shared" si="276"/>
        <v/>
      </c>
      <c r="BZ476">
        <f t="shared" si="271"/>
        <v>0</v>
      </c>
      <c r="CA476">
        <f t="shared" si="272"/>
        <v>16</v>
      </c>
      <c r="CP476">
        <f>IF(包装物料出入库明细!$D476="",0,1)</f>
        <v>0</v>
      </c>
      <c r="CQ476">
        <f t="shared" si="273"/>
        <v>37</v>
      </c>
      <c r="CS476" t="str">
        <f>IF(OR(周转筐出入库明细!$C477="",周转筐出入库明细!$F477&lt;&gt;"采购入库"),"",周转筐出入库明细!$C477)</f>
        <v/>
      </c>
      <c r="CT476">
        <f t="shared" si="274"/>
        <v>0</v>
      </c>
      <c r="CU476">
        <f t="shared" si="275"/>
        <v>1</v>
      </c>
    </row>
    <row r="477" spans="1:99">
      <c r="A477" t="str">
        <f>IF(包装物料出入库明细!$E477="","",包装物料出入库明细!$E477)</f>
        <v/>
      </c>
      <c r="B477">
        <f t="shared" si="253"/>
        <v>0</v>
      </c>
      <c r="C477">
        <f t="shared" si="254"/>
        <v>7</v>
      </c>
      <c r="D477" t="str">
        <f>IF(包装物料出入库明细!$E477="","",包装物料出入库明细!$F477)</f>
        <v/>
      </c>
      <c r="E477" t="str">
        <f>IF(包装物料出入库明细!$E477="","",包装物料出入库明细!$G477)</f>
        <v/>
      </c>
      <c r="K477" t="str">
        <f>IF(包装物料出入库明细!$D477="","",包装物料出入库明细!$D477)</f>
        <v/>
      </c>
      <c r="L477">
        <f t="shared" si="255"/>
        <v>0</v>
      </c>
      <c r="M477">
        <f t="shared" si="256"/>
        <v>9</v>
      </c>
      <c r="Q477" t="str">
        <f>IF(周转筐出入库明细!$D478="","",周转筐出入库明细!$D478)</f>
        <v/>
      </c>
      <c r="R477">
        <f t="shared" si="257"/>
        <v>0</v>
      </c>
      <c r="S477">
        <f t="shared" si="258"/>
        <v>5</v>
      </c>
      <c r="W477" t="str">
        <f>IF(周转筐出入库明细!$C478="","",周转筐出入库明细!$C478)</f>
        <v/>
      </c>
      <c r="X477">
        <f t="shared" si="259"/>
        <v>0</v>
      </c>
      <c r="Y477">
        <f t="shared" si="260"/>
        <v>12</v>
      </c>
      <c r="AC477" t="str">
        <f>IF(客户自备加工筐明细!$C477="","",客户自备加工筐明细!$C477)</f>
        <v/>
      </c>
      <c r="AD477">
        <f t="shared" si="261"/>
        <v>0</v>
      </c>
      <c r="AE477">
        <f t="shared" si="262"/>
        <v>1</v>
      </c>
      <c r="AI477" t="str">
        <f>IF(客户自备加工筐明细!$E477="","",客户自备加工筐明细!$E477)</f>
        <v/>
      </c>
      <c r="AJ477">
        <f t="shared" si="263"/>
        <v>0</v>
      </c>
      <c r="AK477">
        <f t="shared" si="264"/>
        <v>1</v>
      </c>
      <c r="AO477" t="str">
        <f>IF(次果筐明细!$D477="","",次果筐明细!$D477)</f>
        <v/>
      </c>
      <c r="AP477">
        <f t="shared" si="265"/>
        <v>0</v>
      </c>
      <c r="AQ477">
        <f t="shared" si="266"/>
        <v>1</v>
      </c>
      <c r="AU477" t="str">
        <f>IF(次果筐明细!$C477="","",次果筐明细!$C477)</f>
        <v/>
      </c>
      <c r="AV477">
        <f t="shared" si="267"/>
        <v>0</v>
      </c>
      <c r="AW477">
        <f t="shared" si="268"/>
        <v>1</v>
      </c>
      <c r="BS477" t="str">
        <f t="shared" si="277"/>
        <v/>
      </c>
      <c r="BT477">
        <f t="shared" si="269"/>
        <v>0</v>
      </c>
      <c r="BU477">
        <f t="shared" si="270"/>
        <v>17</v>
      </c>
      <c r="BY477" t="str">
        <f t="shared" si="276"/>
        <v/>
      </c>
      <c r="BZ477">
        <f t="shared" si="271"/>
        <v>0</v>
      </c>
      <c r="CA477">
        <f t="shared" si="272"/>
        <v>16</v>
      </c>
      <c r="CP477">
        <f>IF(包装物料出入库明细!$D477="",0,1)</f>
        <v>0</v>
      </c>
      <c r="CQ477">
        <f t="shared" si="273"/>
        <v>37</v>
      </c>
      <c r="CS477" t="str">
        <f>IF(OR(周转筐出入库明细!$C478="",周转筐出入库明细!$F478&lt;&gt;"采购入库"),"",周转筐出入库明细!$C478)</f>
        <v/>
      </c>
      <c r="CT477">
        <f t="shared" si="274"/>
        <v>0</v>
      </c>
      <c r="CU477">
        <f t="shared" si="275"/>
        <v>1</v>
      </c>
    </row>
    <row r="478" spans="1:99">
      <c r="A478" t="str">
        <f>IF(包装物料出入库明细!$E478="","",包装物料出入库明细!$E478)</f>
        <v/>
      </c>
      <c r="B478">
        <f t="shared" si="253"/>
        <v>0</v>
      </c>
      <c r="C478">
        <f t="shared" si="254"/>
        <v>7</v>
      </c>
      <c r="D478" t="str">
        <f>IF(包装物料出入库明细!$E478="","",包装物料出入库明细!$F478)</f>
        <v/>
      </c>
      <c r="E478" t="str">
        <f>IF(包装物料出入库明细!$E478="","",包装物料出入库明细!$G478)</f>
        <v/>
      </c>
      <c r="K478" t="str">
        <f>IF(包装物料出入库明细!$D478="","",包装物料出入库明细!$D478)</f>
        <v/>
      </c>
      <c r="L478">
        <f t="shared" si="255"/>
        <v>0</v>
      </c>
      <c r="M478">
        <f t="shared" si="256"/>
        <v>9</v>
      </c>
      <c r="Q478" t="str">
        <f>IF(周转筐出入库明细!$D479="","",周转筐出入库明细!$D479)</f>
        <v/>
      </c>
      <c r="R478">
        <f t="shared" si="257"/>
        <v>0</v>
      </c>
      <c r="S478">
        <f t="shared" si="258"/>
        <v>5</v>
      </c>
      <c r="W478" t="str">
        <f>IF(周转筐出入库明细!$C479="","",周转筐出入库明细!$C479)</f>
        <v/>
      </c>
      <c r="X478">
        <f t="shared" si="259"/>
        <v>0</v>
      </c>
      <c r="Y478">
        <f t="shared" si="260"/>
        <v>12</v>
      </c>
      <c r="AC478" t="str">
        <f>IF(客户自备加工筐明细!$C478="","",客户自备加工筐明细!$C478)</f>
        <v/>
      </c>
      <c r="AD478">
        <f t="shared" si="261"/>
        <v>0</v>
      </c>
      <c r="AE478">
        <f t="shared" si="262"/>
        <v>1</v>
      </c>
      <c r="AI478" t="str">
        <f>IF(客户自备加工筐明细!$E478="","",客户自备加工筐明细!$E478)</f>
        <v/>
      </c>
      <c r="AJ478">
        <f t="shared" si="263"/>
        <v>0</v>
      </c>
      <c r="AK478">
        <f t="shared" si="264"/>
        <v>1</v>
      </c>
      <c r="AO478" t="str">
        <f>IF(次果筐明细!$D478="","",次果筐明细!$D478)</f>
        <v/>
      </c>
      <c r="AP478">
        <f t="shared" si="265"/>
        <v>0</v>
      </c>
      <c r="AQ478">
        <f t="shared" si="266"/>
        <v>1</v>
      </c>
      <c r="AU478" t="str">
        <f>IF(次果筐明细!$C478="","",次果筐明细!$C478)</f>
        <v/>
      </c>
      <c r="AV478">
        <f t="shared" si="267"/>
        <v>0</v>
      </c>
      <c r="AW478">
        <f t="shared" si="268"/>
        <v>1</v>
      </c>
      <c r="BS478" t="str">
        <f t="shared" si="277"/>
        <v/>
      </c>
      <c r="BT478">
        <f t="shared" si="269"/>
        <v>0</v>
      </c>
      <c r="BU478">
        <f t="shared" si="270"/>
        <v>17</v>
      </c>
      <c r="BY478" t="str">
        <f t="shared" si="276"/>
        <v/>
      </c>
      <c r="BZ478">
        <f t="shared" si="271"/>
        <v>0</v>
      </c>
      <c r="CA478">
        <f t="shared" si="272"/>
        <v>16</v>
      </c>
      <c r="CP478">
        <f>IF(包装物料出入库明细!$D478="",0,1)</f>
        <v>0</v>
      </c>
      <c r="CQ478">
        <f t="shared" si="273"/>
        <v>37</v>
      </c>
      <c r="CS478" t="str">
        <f>IF(OR(周转筐出入库明细!$C479="",周转筐出入库明细!$F479&lt;&gt;"采购入库"),"",周转筐出入库明细!$C479)</f>
        <v/>
      </c>
      <c r="CT478">
        <f t="shared" si="274"/>
        <v>0</v>
      </c>
      <c r="CU478">
        <f t="shared" si="275"/>
        <v>1</v>
      </c>
    </row>
    <row r="479" spans="1:99">
      <c r="A479" t="str">
        <f>IF(包装物料出入库明细!$E479="","",包装物料出入库明细!$E479)</f>
        <v/>
      </c>
      <c r="B479">
        <f t="shared" si="253"/>
        <v>0</v>
      </c>
      <c r="C479">
        <f t="shared" si="254"/>
        <v>7</v>
      </c>
      <c r="D479" t="str">
        <f>IF(包装物料出入库明细!$E479="","",包装物料出入库明细!$F479)</f>
        <v/>
      </c>
      <c r="E479" t="str">
        <f>IF(包装物料出入库明细!$E479="","",包装物料出入库明细!$G479)</f>
        <v/>
      </c>
      <c r="K479" t="str">
        <f>IF(包装物料出入库明细!$D479="","",包装物料出入库明细!$D479)</f>
        <v/>
      </c>
      <c r="L479">
        <f t="shared" si="255"/>
        <v>0</v>
      </c>
      <c r="M479">
        <f t="shared" si="256"/>
        <v>9</v>
      </c>
      <c r="Q479" t="str">
        <f>IF(周转筐出入库明细!$D480="","",周转筐出入库明细!$D480)</f>
        <v/>
      </c>
      <c r="R479">
        <f t="shared" si="257"/>
        <v>0</v>
      </c>
      <c r="S479">
        <f t="shared" si="258"/>
        <v>5</v>
      </c>
      <c r="W479" t="str">
        <f>IF(周转筐出入库明细!$C480="","",周转筐出入库明细!$C480)</f>
        <v/>
      </c>
      <c r="X479">
        <f t="shared" si="259"/>
        <v>0</v>
      </c>
      <c r="Y479">
        <f t="shared" si="260"/>
        <v>12</v>
      </c>
      <c r="AC479" t="str">
        <f>IF(客户自备加工筐明细!$C479="","",客户自备加工筐明细!$C479)</f>
        <v/>
      </c>
      <c r="AD479">
        <f t="shared" si="261"/>
        <v>0</v>
      </c>
      <c r="AE479">
        <f t="shared" si="262"/>
        <v>1</v>
      </c>
      <c r="AI479" t="str">
        <f>IF(客户自备加工筐明细!$E479="","",客户自备加工筐明细!$E479)</f>
        <v/>
      </c>
      <c r="AJ479">
        <f t="shared" si="263"/>
        <v>0</v>
      </c>
      <c r="AK479">
        <f t="shared" si="264"/>
        <v>1</v>
      </c>
      <c r="AO479" t="str">
        <f>IF(次果筐明细!$D479="","",次果筐明细!$D479)</f>
        <v/>
      </c>
      <c r="AP479">
        <f t="shared" si="265"/>
        <v>0</v>
      </c>
      <c r="AQ479">
        <f t="shared" si="266"/>
        <v>1</v>
      </c>
      <c r="AU479" t="str">
        <f>IF(次果筐明细!$C479="","",次果筐明细!$C479)</f>
        <v/>
      </c>
      <c r="AV479">
        <f t="shared" si="267"/>
        <v>0</v>
      </c>
      <c r="AW479">
        <f t="shared" si="268"/>
        <v>1</v>
      </c>
      <c r="BS479" t="str">
        <f t="shared" si="277"/>
        <v/>
      </c>
      <c r="BT479">
        <f t="shared" si="269"/>
        <v>0</v>
      </c>
      <c r="BU479">
        <f t="shared" si="270"/>
        <v>17</v>
      </c>
      <c r="BY479" t="str">
        <f t="shared" si="276"/>
        <v/>
      </c>
      <c r="BZ479">
        <f t="shared" si="271"/>
        <v>0</v>
      </c>
      <c r="CA479">
        <f t="shared" si="272"/>
        <v>16</v>
      </c>
      <c r="CP479">
        <f>IF(包装物料出入库明细!$D479="",0,1)</f>
        <v>0</v>
      </c>
      <c r="CQ479">
        <f t="shared" si="273"/>
        <v>37</v>
      </c>
      <c r="CS479" t="str">
        <f>IF(OR(周转筐出入库明细!$C480="",周转筐出入库明细!$F480&lt;&gt;"采购入库"),"",周转筐出入库明细!$C480)</f>
        <v/>
      </c>
      <c r="CT479">
        <f t="shared" si="274"/>
        <v>0</v>
      </c>
      <c r="CU479">
        <f t="shared" si="275"/>
        <v>1</v>
      </c>
    </row>
    <row r="480" spans="1:99">
      <c r="A480" t="str">
        <f>IF(包装物料出入库明细!$E480="","",包装物料出入库明细!$E480)</f>
        <v/>
      </c>
      <c r="B480">
        <f t="shared" si="253"/>
        <v>0</v>
      </c>
      <c r="C480">
        <f t="shared" si="254"/>
        <v>7</v>
      </c>
      <c r="D480" t="str">
        <f>IF(包装物料出入库明细!$E480="","",包装物料出入库明细!$F480)</f>
        <v/>
      </c>
      <c r="E480" t="str">
        <f>IF(包装物料出入库明细!$E480="","",包装物料出入库明细!$G480)</f>
        <v/>
      </c>
      <c r="K480" t="str">
        <f>IF(包装物料出入库明细!$D480="","",包装物料出入库明细!$D480)</f>
        <v/>
      </c>
      <c r="L480">
        <f t="shared" si="255"/>
        <v>0</v>
      </c>
      <c r="M480">
        <f t="shared" si="256"/>
        <v>9</v>
      </c>
      <c r="Q480" t="str">
        <f>IF(周转筐出入库明细!$D481="","",周转筐出入库明细!$D481)</f>
        <v/>
      </c>
      <c r="R480">
        <f t="shared" si="257"/>
        <v>0</v>
      </c>
      <c r="S480">
        <f t="shared" si="258"/>
        <v>5</v>
      </c>
      <c r="W480" t="str">
        <f>IF(周转筐出入库明细!$C481="","",周转筐出入库明细!$C481)</f>
        <v/>
      </c>
      <c r="X480">
        <f t="shared" si="259"/>
        <v>0</v>
      </c>
      <c r="Y480">
        <f t="shared" si="260"/>
        <v>12</v>
      </c>
      <c r="AC480" t="str">
        <f>IF(客户自备加工筐明细!$C480="","",客户自备加工筐明细!$C480)</f>
        <v/>
      </c>
      <c r="AD480">
        <f t="shared" si="261"/>
        <v>0</v>
      </c>
      <c r="AE480">
        <f t="shared" si="262"/>
        <v>1</v>
      </c>
      <c r="AI480" t="str">
        <f>IF(客户自备加工筐明细!$E480="","",客户自备加工筐明细!$E480)</f>
        <v/>
      </c>
      <c r="AJ480">
        <f t="shared" si="263"/>
        <v>0</v>
      </c>
      <c r="AK480">
        <f t="shared" si="264"/>
        <v>1</v>
      </c>
      <c r="AO480" t="str">
        <f>IF(次果筐明细!$D480="","",次果筐明细!$D480)</f>
        <v/>
      </c>
      <c r="AP480">
        <f t="shared" si="265"/>
        <v>0</v>
      </c>
      <c r="AQ480">
        <f t="shared" si="266"/>
        <v>1</v>
      </c>
      <c r="AU480" t="str">
        <f>IF(次果筐明细!$C480="","",次果筐明细!$C480)</f>
        <v/>
      </c>
      <c r="AV480">
        <f t="shared" si="267"/>
        <v>0</v>
      </c>
      <c r="AW480">
        <f t="shared" si="268"/>
        <v>1</v>
      </c>
      <c r="BS480" t="str">
        <f t="shared" si="277"/>
        <v/>
      </c>
      <c r="BT480">
        <f t="shared" si="269"/>
        <v>0</v>
      </c>
      <c r="BU480">
        <f t="shared" si="270"/>
        <v>17</v>
      </c>
      <c r="BY480" t="str">
        <f t="shared" si="276"/>
        <v/>
      </c>
      <c r="BZ480">
        <f t="shared" si="271"/>
        <v>0</v>
      </c>
      <c r="CA480">
        <f t="shared" si="272"/>
        <v>16</v>
      </c>
      <c r="CP480">
        <f>IF(包装物料出入库明细!$D480="",0,1)</f>
        <v>0</v>
      </c>
      <c r="CQ480">
        <f t="shared" si="273"/>
        <v>37</v>
      </c>
      <c r="CS480" t="str">
        <f>IF(OR(周转筐出入库明细!$C481="",周转筐出入库明细!$F481&lt;&gt;"采购入库"),"",周转筐出入库明细!$C481)</f>
        <v/>
      </c>
      <c r="CT480">
        <f t="shared" si="274"/>
        <v>0</v>
      </c>
      <c r="CU480">
        <f t="shared" si="275"/>
        <v>1</v>
      </c>
    </row>
    <row r="481" spans="1:99">
      <c r="A481" t="str">
        <f>IF(包装物料出入库明细!$E481="","",包装物料出入库明细!$E481)</f>
        <v/>
      </c>
      <c r="B481">
        <f t="shared" si="253"/>
        <v>0</v>
      </c>
      <c r="C481">
        <f t="shared" si="254"/>
        <v>7</v>
      </c>
      <c r="D481" t="str">
        <f>IF(包装物料出入库明细!$E481="","",包装物料出入库明细!$F481)</f>
        <v/>
      </c>
      <c r="E481" t="str">
        <f>IF(包装物料出入库明细!$E481="","",包装物料出入库明细!$G481)</f>
        <v/>
      </c>
      <c r="K481" t="str">
        <f>IF(包装物料出入库明细!$D481="","",包装物料出入库明细!$D481)</f>
        <v/>
      </c>
      <c r="L481">
        <f t="shared" si="255"/>
        <v>0</v>
      </c>
      <c r="M481">
        <f t="shared" si="256"/>
        <v>9</v>
      </c>
      <c r="Q481" t="str">
        <f>IF(周转筐出入库明细!$D482="","",周转筐出入库明细!$D482)</f>
        <v/>
      </c>
      <c r="R481">
        <f t="shared" si="257"/>
        <v>0</v>
      </c>
      <c r="S481">
        <f t="shared" si="258"/>
        <v>5</v>
      </c>
      <c r="W481" t="str">
        <f>IF(周转筐出入库明细!$C482="","",周转筐出入库明细!$C482)</f>
        <v/>
      </c>
      <c r="X481">
        <f t="shared" si="259"/>
        <v>0</v>
      </c>
      <c r="Y481">
        <f t="shared" si="260"/>
        <v>12</v>
      </c>
      <c r="AC481" t="str">
        <f>IF(客户自备加工筐明细!$C481="","",客户自备加工筐明细!$C481)</f>
        <v/>
      </c>
      <c r="AD481">
        <f t="shared" si="261"/>
        <v>0</v>
      </c>
      <c r="AE481">
        <f t="shared" si="262"/>
        <v>1</v>
      </c>
      <c r="AI481" t="str">
        <f>IF(客户自备加工筐明细!$E481="","",客户自备加工筐明细!$E481)</f>
        <v/>
      </c>
      <c r="AJ481">
        <f t="shared" si="263"/>
        <v>0</v>
      </c>
      <c r="AK481">
        <f t="shared" si="264"/>
        <v>1</v>
      </c>
      <c r="AO481" t="str">
        <f>IF(次果筐明细!$D481="","",次果筐明细!$D481)</f>
        <v/>
      </c>
      <c r="AP481">
        <f t="shared" si="265"/>
        <v>0</v>
      </c>
      <c r="AQ481">
        <f t="shared" si="266"/>
        <v>1</v>
      </c>
      <c r="AU481" t="str">
        <f>IF(次果筐明细!$C481="","",次果筐明细!$C481)</f>
        <v/>
      </c>
      <c r="AV481">
        <f t="shared" si="267"/>
        <v>0</v>
      </c>
      <c r="AW481">
        <f t="shared" si="268"/>
        <v>1</v>
      </c>
      <c r="BS481" t="str">
        <f t="shared" si="277"/>
        <v/>
      </c>
      <c r="BT481">
        <f t="shared" si="269"/>
        <v>0</v>
      </c>
      <c r="BU481">
        <f t="shared" si="270"/>
        <v>17</v>
      </c>
      <c r="BY481" t="str">
        <f t="shared" si="276"/>
        <v/>
      </c>
      <c r="BZ481">
        <f t="shared" si="271"/>
        <v>0</v>
      </c>
      <c r="CA481">
        <f t="shared" si="272"/>
        <v>16</v>
      </c>
      <c r="CP481">
        <f>IF(包装物料出入库明细!$D481="",0,1)</f>
        <v>0</v>
      </c>
      <c r="CQ481">
        <f t="shared" si="273"/>
        <v>37</v>
      </c>
      <c r="CS481" t="str">
        <f>IF(OR(周转筐出入库明细!$C482="",周转筐出入库明细!$F482&lt;&gt;"采购入库"),"",周转筐出入库明细!$C482)</f>
        <v/>
      </c>
      <c r="CT481">
        <f t="shared" si="274"/>
        <v>0</v>
      </c>
      <c r="CU481">
        <f t="shared" si="275"/>
        <v>1</v>
      </c>
    </row>
    <row r="482" spans="1:99">
      <c r="A482" t="str">
        <f>IF(包装物料出入库明细!$E482="","",包装物料出入库明细!$E482)</f>
        <v/>
      </c>
      <c r="B482">
        <f t="shared" si="253"/>
        <v>0</v>
      </c>
      <c r="C482">
        <f t="shared" si="254"/>
        <v>7</v>
      </c>
      <c r="D482" t="str">
        <f>IF(包装物料出入库明细!$E482="","",包装物料出入库明细!$F482)</f>
        <v/>
      </c>
      <c r="E482" t="str">
        <f>IF(包装物料出入库明细!$E482="","",包装物料出入库明细!$G482)</f>
        <v/>
      </c>
      <c r="K482" t="str">
        <f>IF(包装物料出入库明细!$D482="","",包装物料出入库明细!$D482)</f>
        <v/>
      </c>
      <c r="L482">
        <f t="shared" si="255"/>
        <v>0</v>
      </c>
      <c r="M482">
        <f t="shared" si="256"/>
        <v>9</v>
      </c>
      <c r="Q482" t="str">
        <f>IF(周转筐出入库明细!$D483="","",周转筐出入库明细!$D483)</f>
        <v/>
      </c>
      <c r="R482">
        <f t="shared" si="257"/>
        <v>0</v>
      </c>
      <c r="S482">
        <f t="shared" si="258"/>
        <v>5</v>
      </c>
      <c r="W482" t="str">
        <f>IF(周转筐出入库明细!$C483="","",周转筐出入库明细!$C483)</f>
        <v/>
      </c>
      <c r="X482">
        <f t="shared" si="259"/>
        <v>0</v>
      </c>
      <c r="Y482">
        <f t="shared" si="260"/>
        <v>12</v>
      </c>
      <c r="AC482" t="str">
        <f>IF(客户自备加工筐明细!$C482="","",客户自备加工筐明细!$C482)</f>
        <v/>
      </c>
      <c r="AD482">
        <f t="shared" si="261"/>
        <v>0</v>
      </c>
      <c r="AE482">
        <f t="shared" si="262"/>
        <v>1</v>
      </c>
      <c r="AI482" t="str">
        <f>IF(客户自备加工筐明细!$E482="","",客户自备加工筐明细!$E482)</f>
        <v/>
      </c>
      <c r="AJ482">
        <f t="shared" si="263"/>
        <v>0</v>
      </c>
      <c r="AK482">
        <f t="shared" si="264"/>
        <v>1</v>
      </c>
      <c r="AO482" t="str">
        <f>IF(次果筐明细!$D482="","",次果筐明细!$D482)</f>
        <v/>
      </c>
      <c r="AP482">
        <f t="shared" si="265"/>
        <v>0</v>
      </c>
      <c r="AQ482">
        <f t="shared" si="266"/>
        <v>1</v>
      </c>
      <c r="AU482" t="str">
        <f>IF(次果筐明细!$C482="","",次果筐明细!$C482)</f>
        <v/>
      </c>
      <c r="AV482">
        <f t="shared" si="267"/>
        <v>0</v>
      </c>
      <c r="AW482">
        <f t="shared" si="268"/>
        <v>1</v>
      </c>
      <c r="BS482" t="str">
        <f t="shared" si="277"/>
        <v/>
      </c>
      <c r="BT482">
        <f t="shared" si="269"/>
        <v>0</v>
      </c>
      <c r="BU482">
        <f t="shared" si="270"/>
        <v>17</v>
      </c>
      <c r="BY482" t="str">
        <f t="shared" si="276"/>
        <v/>
      </c>
      <c r="BZ482">
        <f t="shared" si="271"/>
        <v>0</v>
      </c>
      <c r="CA482">
        <f t="shared" si="272"/>
        <v>16</v>
      </c>
      <c r="CP482">
        <f>IF(包装物料出入库明细!$D482="",0,1)</f>
        <v>0</v>
      </c>
      <c r="CQ482">
        <f t="shared" si="273"/>
        <v>37</v>
      </c>
      <c r="CS482" t="str">
        <f>IF(OR(周转筐出入库明细!$C483="",周转筐出入库明细!$F483&lt;&gt;"采购入库"),"",周转筐出入库明细!$C483)</f>
        <v/>
      </c>
      <c r="CT482">
        <f t="shared" si="274"/>
        <v>0</v>
      </c>
      <c r="CU482">
        <f t="shared" si="275"/>
        <v>1</v>
      </c>
    </row>
    <row r="483" spans="1:99">
      <c r="A483" t="str">
        <f>IF(包装物料出入库明细!$E483="","",包装物料出入库明细!$E483)</f>
        <v/>
      </c>
      <c r="B483">
        <f t="shared" si="253"/>
        <v>0</v>
      </c>
      <c r="C483">
        <f t="shared" si="254"/>
        <v>7</v>
      </c>
      <c r="D483" t="str">
        <f>IF(包装物料出入库明细!$E483="","",包装物料出入库明细!$F483)</f>
        <v/>
      </c>
      <c r="E483" t="str">
        <f>IF(包装物料出入库明细!$E483="","",包装物料出入库明细!$G483)</f>
        <v/>
      </c>
      <c r="K483" t="str">
        <f>IF(包装物料出入库明细!$D483="","",包装物料出入库明细!$D483)</f>
        <v/>
      </c>
      <c r="L483">
        <f t="shared" si="255"/>
        <v>0</v>
      </c>
      <c r="M483">
        <f t="shared" si="256"/>
        <v>9</v>
      </c>
      <c r="Q483" t="str">
        <f>IF(周转筐出入库明细!$D484="","",周转筐出入库明细!$D484)</f>
        <v/>
      </c>
      <c r="R483">
        <f t="shared" si="257"/>
        <v>0</v>
      </c>
      <c r="S483">
        <f t="shared" si="258"/>
        <v>5</v>
      </c>
      <c r="W483" t="str">
        <f>IF(周转筐出入库明细!$C484="","",周转筐出入库明细!$C484)</f>
        <v/>
      </c>
      <c r="X483">
        <f t="shared" si="259"/>
        <v>0</v>
      </c>
      <c r="Y483">
        <f t="shared" si="260"/>
        <v>12</v>
      </c>
      <c r="AC483" t="str">
        <f>IF(客户自备加工筐明细!$C483="","",客户自备加工筐明细!$C483)</f>
        <v/>
      </c>
      <c r="AD483">
        <f t="shared" si="261"/>
        <v>0</v>
      </c>
      <c r="AE483">
        <f t="shared" si="262"/>
        <v>1</v>
      </c>
      <c r="AI483" t="str">
        <f>IF(客户自备加工筐明细!$E483="","",客户自备加工筐明细!$E483)</f>
        <v/>
      </c>
      <c r="AJ483">
        <f t="shared" si="263"/>
        <v>0</v>
      </c>
      <c r="AK483">
        <f t="shared" si="264"/>
        <v>1</v>
      </c>
      <c r="AO483" t="str">
        <f>IF(次果筐明细!$D483="","",次果筐明细!$D483)</f>
        <v/>
      </c>
      <c r="AP483">
        <f t="shared" si="265"/>
        <v>0</v>
      </c>
      <c r="AQ483">
        <f t="shared" si="266"/>
        <v>1</v>
      </c>
      <c r="AU483" t="str">
        <f>IF(次果筐明细!$C483="","",次果筐明细!$C483)</f>
        <v/>
      </c>
      <c r="AV483">
        <f t="shared" si="267"/>
        <v>0</v>
      </c>
      <c r="AW483">
        <f t="shared" si="268"/>
        <v>1</v>
      </c>
      <c r="BS483" t="str">
        <f t="shared" si="277"/>
        <v/>
      </c>
      <c r="BT483">
        <f t="shared" si="269"/>
        <v>0</v>
      </c>
      <c r="BU483">
        <f t="shared" si="270"/>
        <v>17</v>
      </c>
      <c r="BY483" t="str">
        <f t="shared" si="276"/>
        <v/>
      </c>
      <c r="BZ483">
        <f t="shared" si="271"/>
        <v>0</v>
      </c>
      <c r="CA483">
        <f t="shared" si="272"/>
        <v>16</v>
      </c>
      <c r="CP483">
        <f>IF(包装物料出入库明细!$D483="",0,1)</f>
        <v>0</v>
      </c>
      <c r="CQ483">
        <f t="shared" si="273"/>
        <v>37</v>
      </c>
      <c r="CS483" t="str">
        <f>IF(OR(周转筐出入库明细!$C484="",周转筐出入库明细!$F484&lt;&gt;"采购入库"),"",周转筐出入库明细!$C484)</f>
        <v/>
      </c>
      <c r="CT483">
        <f t="shared" si="274"/>
        <v>0</v>
      </c>
      <c r="CU483">
        <f t="shared" si="275"/>
        <v>1</v>
      </c>
    </row>
    <row r="484" spans="1:99">
      <c r="A484" t="str">
        <f>IF(包装物料出入库明细!$E484="","",包装物料出入库明细!$E484)</f>
        <v/>
      </c>
      <c r="B484">
        <f t="shared" si="253"/>
        <v>0</v>
      </c>
      <c r="C484">
        <f t="shared" si="254"/>
        <v>7</v>
      </c>
      <c r="D484" t="str">
        <f>IF(包装物料出入库明细!$E484="","",包装物料出入库明细!$F484)</f>
        <v/>
      </c>
      <c r="E484" t="str">
        <f>IF(包装物料出入库明细!$E484="","",包装物料出入库明细!$G484)</f>
        <v/>
      </c>
      <c r="K484" t="str">
        <f>IF(包装物料出入库明细!$D484="","",包装物料出入库明细!$D484)</f>
        <v/>
      </c>
      <c r="L484">
        <f t="shared" si="255"/>
        <v>0</v>
      </c>
      <c r="M484">
        <f t="shared" si="256"/>
        <v>9</v>
      </c>
      <c r="Q484" t="str">
        <f>IF(周转筐出入库明细!$D485="","",周转筐出入库明细!$D485)</f>
        <v/>
      </c>
      <c r="R484">
        <f t="shared" si="257"/>
        <v>0</v>
      </c>
      <c r="S484">
        <f t="shared" si="258"/>
        <v>5</v>
      </c>
      <c r="W484" t="str">
        <f>IF(周转筐出入库明细!$C485="","",周转筐出入库明细!$C485)</f>
        <v/>
      </c>
      <c r="X484">
        <f t="shared" si="259"/>
        <v>0</v>
      </c>
      <c r="Y484">
        <f t="shared" si="260"/>
        <v>12</v>
      </c>
      <c r="AC484" t="str">
        <f>IF(客户自备加工筐明细!$C484="","",客户自备加工筐明细!$C484)</f>
        <v/>
      </c>
      <c r="AD484">
        <f t="shared" si="261"/>
        <v>0</v>
      </c>
      <c r="AE484">
        <f t="shared" si="262"/>
        <v>1</v>
      </c>
      <c r="AI484" t="str">
        <f>IF(客户自备加工筐明细!$E484="","",客户自备加工筐明细!$E484)</f>
        <v/>
      </c>
      <c r="AJ484">
        <f t="shared" si="263"/>
        <v>0</v>
      </c>
      <c r="AK484">
        <f t="shared" si="264"/>
        <v>1</v>
      </c>
      <c r="AO484" t="str">
        <f>IF(次果筐明细!$D484="","",次果筐明细!$D484)</f>
        <v/>
      </c>
      <c r="AP484">
        <f t="shared" si="265"/>
        <v>0</v>
      </c>
      <c r="AQ484">
        <f t="shared" si="266"/>
        <v>1</v>
      </c>
      <c r="AU484" t="str">
        <f>IF(次果筐明细!$C484="","",次果筐明细!$C484)</f>
        <v/>
      </c>
      <c r="AV484">
        <f t="shared" si="267"/>
        <v>0</v>
      </c>
      <c r="AW484">
        <f t="shared" si="268"/>
        <v>1</v>
      </c>
      <c r="BS484" t="str">
        <f t="shared" si="277"/>
        <v/>
      </c>
      <c r="BT484">
        <f t="shared" si="269"/>
        <v>0</v>
      </c>
      <c r="BU484">
        <f t="shared" si="270"/>
        <v>17</v>
      </c>
      <c r="BY484" t="str">
        <f t="shared" si="276"/>
        <v/>
      </c>
      <c r="BZ484">
        <f t="shared" si="271"/>
        <v>0</v>
      </c>
      <c r="CA484">
        <f t="shared" si="272"/>
        <v>16</v>
      </c>
      <c r="CP484">
        <f>IF(包装物料出入库明细!$D484="",0,1)</f>
        <v>0</v>
      </c>
      <c r="CQ484">
        <f t="shared" si="273"/>
        <v>37</v>
      </c>
      <c r="CS484" t="str">
        <f>IF(OR(周转筐出入库明细!$C485="",周转筐出入库明细!$F485&lt;&gt;"采购入库"),"",周转筐出入库明细!$C485)</f>
        <v/>
      </c>
      <c r="CT484">
        <f t="shared" si="274"/>
        <v>0</v>
      </c>
      <c r="CU484">
        <f t="shared" si="275"/>
        <v>1</v>
      </c>
    </row>
    <row r="485" spans="1:99">
      <c r="A485" t="str">
        <f>IF(包装物料出入库明细!$E485="","",包装物料出入库明细!$E485)</f>
        <v/>
      </c>
      <c r="B485">
        <f t="shared" si="253"/>
        <v>0</v>
      </c>
      <c r="C485">
        <f t="shared" si="254"/>
        <v>7</v>
      </c>
      <c r="D485" t="str">
        <f>IF(包装物料出入库明细!$E485="","",包装物料出入库明细!$F485)</f>
        <v/>
      </c>
      <c r="E485" t="str">
        <f>IF(包装物料出入库明细!$E485="","",包装物料出入库明细!$G485)</f>
        <v/>
      </c>
      <c r="K485" t="str">
        <f>IF(包装物料出入库明细!$D485="","",包装物料出入库明细!$D485)</f>
        <v/>
      </c>
      <c r="L485">
        <f t="shared" si="255"/>
        <v>0</v>
      </c>
      <c r="M485">
        <f t="shared" si="256"/>
        <v>9</v>
      </c>
      <c r="Q485" t="str">
        <f>IF(周转筐出入库明细!$D486="","",周转筐出入库明细!$D486)</f>
        <v/>
      </c>
      <c r="R485">
        <f t="shared" si="257"/>
        <v>0</v>
      </c>
      <c r="S485">
        <f t="shared" si="258"/>
        <v>5</v>
      </c>
      <c r="W485" t="str">
        <f>IF(周转筐出入库明细!$C486="","",周转筐出入库明细!$C486)</f>
        <v/>
      </c>
      <c r="X485">
        <f t="shared" si="259"/>
        <v>0</v>
      </c>
      <c r="Y485">
        <f t="shared" si="260"/>
        <v>12</v>
      </c>
      <c r="AC485" t="str">
        <f>IF(客户自备加工筐明细!$C485="","",客户自备加工筐明细!$C485)</f>
        <v/>
      </c>
      <c r="AD485">
        <f t="shared" si="261"/>
        <v>0</v>
      </c>
      <c r="AE485">
        <f t="shared" si="262"/>
        <v>1</v>
      </c>
      <c r="AI485" t="str">
        <f>IF(客户自备加工筐明细!$E485="","",客户自备加工筐明细!$E485)</f>
        <v/>
      </c>
      <c r="AJ485">
        <f t="shared" si="263"/>
        <v>0</v>
      </c>
      <c r="AK485">
        <f t="shared" si="264"/>
        <v>1</v>
      </c>
      <c r="AO485" t="str">
        <f>IF(次果筐明细!$D485="","",次果筐明细!$D485)</f>
        <v/>
      </c>
      <c r="AP485">
        <f t="shared" si="265"/>
        <v>0</v>
      </c>
      <c r="AQ485">
        <f t="shared" si="266"/>
        <v>1</v>
      </c>
      <c r="AU485" t="str">
        <f>IF(次果筐明细!$C485="","",次果筐明细!$C485)</f>
        <v/>
      </c>
      <c r="AV485">
        <f t="shared" si="267"/>
        <v>0</v>
      </c>
      <c r="AW485">
        <f t="shared" si="268"/>
        <v>1</v>
      </c>
      <c r="BS485" t="str">
        <f t="shared" si="277"/>
        <v/>
      </c>
      <c r="BT485">
        <f t="shared" si="269"/>
        <v>0</v>
      </c>
      <c r="BU485">
        <f t="shared" si="270"/>
        <v>17</v>
      </c>
      <c r="BY485" t="str">
        <f t="shared" si="276"/>
        <v/>
      </c>
      <c r="BZ485">
        <f t="shared" si="271"/>
        <v>0</v>
      </c>
      <c r="CA485">
        <f t="shared" si="272"/>
        <v>16</v>
      </c>
      <c r="CP485">
        <f>IF(包装物料出入库明细!$D485="",0,1)</f>
        <v>0</v>
      </c>
      <c r="CQ485">
        <f t="shared" si="273"/>
        <v>37</v>
      </c>
      <c r="CS485" t="str">
        <f>IF(OR(周转筐出入库明细!$C486="",周转筐出入库明细!$F486&lt;&gt;"采购入库"),"",周转筐出入库明细!$C486)</f>
        <v/>
      </c>
      <c r="CT485">
        <f t="shared" si="274"/>
        <v>0</v>
      </c>
      <c r="CU485">
        <f t="shared" si="275"/>
        <v>1</v>
      </c>
    </row>
    <row r="486" spans="1:99">
      <c r="A486" t="str">
        <f>IF(包装物料出入库明细!$E486="","",包装物料出入库明细!$E486)</f>
        <v/>
      </c>
      <c r="B486">
        <f t="shared" si="253"/>
        <v>0</v>
      </c>
      <c r="C486">
        <f t="shared" si="254"/>
        <v>7</v>
      </c>
      <c r="D486" t="str">
        <f>IF(包装物料出入库明细!$E486="","",包装物料出入库明细!$F486)</f>
        <v/>
      </c>
      <c r="E486" t="str">
        <f>IF(包装物料出入库明细!$E486="","",包装物料出入库明细!$G486)</f>
        <v/>
      </c>
      <c r="K486" t="str">
        <f>IF(包装物料出入库明细!$D486="","",包装物料出入库明细!$D486)</f>
        <v/>
      </c>
      <c r="L486">
        <f t="shared" si="255"/>
        <v>0</v>
      </c>
      <c r="M486">
        <f t="shared" si="256"/>
        <v>9</v>
      </c>
      <c r="Q486" t="str">
        <f>IF(周转筐出入库明细!$D487="","",周转筐出入库明细!$D487)</f>
        <v/>
      </c>
      <c r="R486">
        <f t="shared" si="257"/>
        <v>0</v>
      </c>
      <c r="S486">
        <f t="shared" si="258"/>
        <v>5</v>
      </c>
      <c r="W486" t="str">
        <f>IF(周转筐出入库明细!$C487="","",周转筐出入库明细!$C487)</f>
        <v/>
      </c>
      <c r="X486">
        <f t="shared" si="259"/>
        <v>0</v>
      </c>
      <c r="Y486">
        <f t="shared" si="260"/>
        <v>12</v>
      </c>
      <c r="AC486" t="str">
        <f>IF(客户自备加工筐明细!$C486="","",客户自备加工筐明细!$C486)</f>
        <v/>
      </c>
      <c r="AD486">
        <f t="shared" si="261"/>
        <v>0</v>
      </c>
      <c r="AE486">
        <f t="shared" si="262"/>
        <v>1</v>
      </c>
      <c r="AI486" t="str">
        <f>IF(客户自备加工筐明细!$E486="","",客户自备加工筐明细!$E486)</f>
        <v/>
      </c>
      <c r="AJ486">
        <f t="shared" si="263"/>
        <v>0</v>
      </c>
      <c r="AK486">
        <f t="shared" si="264"/>
        <v>1</v>
      </c>
      <c r="AO486" t="str">
        <f>IF(次果筐明细!$D486="","",次果筐明细!$D486)</f>
        <v/>
      </c>
      <c r="AP486">
        <f t="shared" si="265"/>
        <v>0</v>
      </c>
      <c r="AQ486">
        <f t="shared" si="266"/>
        <v>1</v>
      </c>
      <c r="AU486" t="str">
        <f>IF(次果筐明细!$C486="","",次果筐明细!$C486)</f>
        <v/>
      </c>
      <c r="AV486">
        <f t="shared" si="267"/>
        <v>0</v>
      </c>
      <c r="AW486">
        <f t="shared" si="268"/>
        <v>1</v>
      </c>
      <c r="BS486" t="str">
        <f t="shared" si="277"/>
        <v/>
      </c>
      <c r="BT486">
        <f t="shared" si="269"/>
        <v>0</v>
      </c>
      <c r="BU486">
        <f t="shared" si="270"/>
        <v>17</v>
      </c>
      <c r="BY486" t="str">
        <f t="shared" si="276"/>
        <v/>
      </c>
      <c r="BZ486">
        <f t="shared" si="271"/>
        <v>0</v>
      </c>
      <c r="CA486">
        <f t="shared" si="272"/>
        <v>16</v>
      </c>
      <c r="CP486">
        <f>IF(包装物料出入库明细!$D486="",0,1)</f>
        <v>0</v>
      </c>
      <c r="CQ486">
        <f t="shared" si="273"/>
        <v>37</v>
      </c>
      <c r="CS486" t="str">
        <f>IF(OR(周转筐出入库明细!$C487="",周转筐出入库明细!$F487&lt;&gt;"采购入库"),"",周转筐出入库明细!$C487)</f>
        <v/>
      </c>
      <c r="CT486">
        <f t="shared" si="274"/>
        <v>0</v>
      </c>
      <c r="CU486">
        <f t="shared" si="275"/>
        <v>1</v>
      </c>
    </row>
    <row r="487" spans="1:99">
      <c r="A487" t="str">
        <f>IF(包装物料出入库明细!$E487="","",包装物料出入库明细!$E487)</f>
        <v/>
      </c>
      <c r="B487">
        <f t="shared" si="253"/>
        <v>0</v>
      </c>
      <c r="C487">
        <f t="shared" si="254"/>
        <v>7</v>
      </c>
      <c r="D487" t="str">
        <f>IF(包装物料出入库明细!$E487="","",包装物料出入库明细!$F487)</f>
        <v/>
      </c>
      <c r="E487" t="str">
        <f>IF(包装物料出入库明细!$E487="","",包装物料出入库明细!$G487)</f>
        <v/>
      </c>
      <c r="K487" t="str">
        <f>IF(包装物料出入库明细!$D487="","",包装物料出入库明细!$D487)</f>
        <v/>
      </c>
      <c r="L487">
        <f t="shared" si="255"/>
        <v>0</v>
      </c>
      <c r="M487">
        <f t="shared" si="256"/>
        <v>9</v>
      </c>
      <c r="Q487" t="str">
        <f>IF(周转筐出入库明细!$D488="","",周转筐出入库明细!$D488)</f>
        <v/>
      </c>
      <c r="R487">
        <f t="shared" si="257"/>
        <v>0</v>
      </c>
      <c r="S487">
        <f t="shared" si="258"/>
        <v>5</v>
      </c>
      <c r="W487" t="str">
        <f>IF(周转筐出入库明细!$C488="","",周转筐出入库明细!$C488)</f>
        <v/>
      </c>
      <c r="X487">
        <f t="shared" si="259"/>
        <v>0</v>
      </c>
      <c r="Y487">
        <f t="shared" si="260"/>
        <v>12</v>
      </c>
      <c r="AC487" t="str">
        <f>IF(客户自备加工筐明细!$C487="","",客户自备加工筐明细!$C487)</f>
        <v/>
      </c>
      <c r="AD487">
        <f t="shared" si="261"/>
        <v>0</v>
      </c>
      <c r="AE487">
        <f t="shared" si="262"/>
        <v>1</v>
      </c>
      <c r="AI487" t="str">
        <f>IF(客户自备加工筐明细!$E487="","",客户自备加工筐明细!$E487)</f>
        <v/>
      </c>
      <c r="AJ487">
        <f t="shared" si="263"/>
        <v>0</v>
      </c>
      <c r="AK487">
        <f t="shared" si="264"/>
        <v>1</v>
      </c>
      <c r="AO487" t="str">
        <f>IF(次果筐明细!$D487="","",次果筐明细!$D487)</f>
        <v/>
      </c>
      <c r="AP487">
        <f t="shared" si="265"/>
        <v>0</v>
      </c>
      <c r="AQ487">
        <f t="shared" si="266"/>
        <v>1</v>
      </c>
      <c r="AU487" t="str">
        <f>IF(次果筐明细!$C487="","",次果筐明细!$C487)</f>
        <v/>
      </c>
      <c r="AV487">
        <f t="shared" si="267"/>
        <v>0</v>
      </c>
      <c r="AW487">
        <f t="shared" si="268"/>
        <v>1</v>
      </c>
      <c r="BS487" t="str">
        <f t="shared" si="277"/>
        <v/>
      </c>
      <c r="BT487">
        <f t="shared" si="269"/>
        <v>0</v>
      </c>
      <c r="BU487">
        <f t="shared" si="270"/>
        <v>17</v>
      </c>
      <c r="BY487" t="str">
        <f t="shared" si="276"/>
        <v/>
      </c>
      <c r="BZ487">
        <f t="shared" si="271"/>
        <v>0</v>
      </c>
      <c r="CA487">
        <f t="shared" si="272"/>
        <v>16</v>
      </c>
      <c r="CP487">
        <f>IF(包装物料出入库明细!$D487="",0,1)</f>
        <v>0</v>
      </c>
      <c r="CQ487">
        <f t="shared" si="273"/>
        <v>37</v>
      </c>
      <c r="CS487" t="str">
        <f>IF(OR(周转筐出入库明细!$C488="",周转筐出入库明细!$F488&lt;&gt;"采购入库"),"",周转筐出入库明细!$C488)</f>
        <v/>
      </c>
      <c r="CT487">
        <f t="shared" si="274"/>
        <v>0</v>
      </c>
      <c r="CU487">
        <f t="shared" si="275"/>
        <v>1</v>
      </c>
    </row>
    <row r="488" spans="1:99">
      <c r="A488" t="str">
        <f>IF(包装物料出入库明细!$E488="","",包装物料出入库明细!$E488)</f>
        <v/>
      </c>
      <c r="B488">
        <f t="shared" si="253"/>
        <v>0</v>
      </c>
      <c r="C488">
        <f t="shared" si="254"/>
        <v>7</v>
      </c>
      <c r="D488" t="str">
        <f>IF(包装物料出入库明细!$E488="","",包装物料出入库明细!$F488)</f>
        <v/>
      </c>
      <c r="E488" t="str">
        <f>IF(包装物料出入库明细!$E488="","",包装物料出入库明细!$G488)</f>
        <v/>
      </c>
      <c r="K488" t="str">
        <f>IF(包装物料出入库明细!$D488="","",包装物料出入库明细!$D488)</f>
        <v/>
      </c>
      <c r="L488">
        <f t="shared" si="255"/>
        <v>0</v>
      </c>
      <c r="M488">
        <f t="shared" si="256"/>
        <v>9</v>
      </c>
      <c r="Q488" t="str">
        <f>IF(周转筐出入库明细!$D489="","",周转筐出入库明细!$D489)</f>
        <v/>
      </c>
      <c r="R488">
        <f t="shared" si="257"/>
        <v>0</v>
      </c>
      <c r="S488">
        <f t="shared" si="258"/>
        <v>5</v>
      </c>
      <c r="W488" t="str">
        <f>IF(周转筐出入库明细!$C489="","",周转筐出入库明细!$C489)</f>
        <v/>
      </c>
      <c r="X488">
        <f t="shared" si="259"/>
        <v>0</v>
      </c>
      <c r="Y488">
        <f t="shared" si="260"/>
        <v>12</v>
      </c>
      <c r="AC488" t="str">
        <f>IF(客户自备加工筐明细!$C488="","",客户自备加工筐明细!$C488)</f>
        <v/>
      </c>
      <c r="AD488">
        <f t="shared" si="261"/>
        <v>0</v>
      </c>
      <c r="AE488">
        <f t="shared" si="262"/>
        <v>1</v>
      </c>
      <c r="AI488" t="str">
        <f>IF(客户自备加工筐明细!$E488="","",客户自备加工筐明细!$E488)</f>
        <v/>
      </c>
      <c r="AJ488">
        <f t="shared" si="263"/>
        <v>0</v>
      </c>
      <c r="AK488">
        <f t="shared" si="264"/>
        <v>1</v>
      </c>
      <c r="AO488" t="str">
        <f>IF(次果筐明细!$D488="","",次果筐明细!$D488)</f>
        <v/>
      </c>
      <c r="AP488">
        <f t="shared" si="265"/>
        <v>0</v>
      </c>
      <c r="AQ488">
        <f t="shared" si="266"/>
        <v>1</v>
      </c>
      <c r="AU488" t="str">
        <f>IF(次果筐明细!$C488="","",次果筐明细!$C488)</f>
        <v/>
      </c>
      <c r="AV488">
        <f t="shared" si="267"/>
        <v>0</v>
      </c>
      <c r="AW488">
        <f t="shared" si="268"/>
        <v>1</v>
      </c>
      <c r="BS488" t="str">
        <f t="shared" si="277"/>
        <v/>
      </c>
      <c r="BT488">
        <f t="shared" si="269"/>
        <v>0</v>
      </c>
      <c r="BU488">
        <f t="shared" si="270"/>
        <v>17</v>
      </c>
      <c r="BY488" t="str">
        <f t="shared" si="276"/>
        <v/>
      </c>
      <c r="BZ488">
        <f t="shared" si="271"/>
        <v>0</v>
      </c>
      <c r="CA488">
        <f t="shared" si="272"/>
        <v>16</v>
      </c>
      <c r="CP488">
        <f>IF(包装物料出入库明细!$D488="",0,1)</f>
        <v>0</v>
      </c>
      <c r="CQ488">
        <f t="shared" si="273"/>
        <v>37</v>
      </c>
      <c r="CS488" t="str">
        <f>IF(OR(周转筐出入库明细!$C489="",周转筐出入库明细!$F489&lt;&gt;"采购入库"),"",周转筐出入库明细!$C489)</f>
        <v/>
      </c>
      <c r="CT488">
        <f t="shared" si="274"/>
        <v>0</v>
      </c>
      <c r="CU488">
        <f t="shared" si="275"/>
        <v>1</v>
      </c>
    </row>
    <row r="489" spans="1:99">
      <c r="A489" t="str">
        <f>IF(包装物料出入库明细!$E489="","",包装物料出入库明细!$E489)</f>
        <v/>
      </c>
      <c r="B489">
        <f t="shared" si="253"/>
        <v>0</v>
      </c>
      <c r="C489">
        <f t="shared" si="254"/>
        <v>7</v>
      </c>
      <c r="D489" t="str">
        <f>IF(包装物料出入库明细!$E489="","",包装物料出入库明细!$F489)</f>
        <v/>
      </c>
      <c r="E489" t="str">
        <f>IF(包装物料出入库明细!$E489="","",包装物料出入库明细!$G489)</f>
        <v/>
      </c>
      <c r="K489" t="str">
        <f>IF(包装物料出入库明细!$D489="","",包装物料出入库明细!$D489)</f>
        <v/>
      </c>
      <c r="L489">
        <f t="shared" si="255"/>
        <v>0</v>
      </c>
      <c r="M489">
        <f t="shared" si="256"/>
        <v>9</v>
      </c>
      <c r="Q489" t="str">
        <f>IF(周转筐出入库明细!$D490="","",周转筐出入库明细!$D490)</f>
        <v/>
      </c>
      <c r="R489">
        <f t="shared" si="257"/>
        <v>0</v>
      </c>
      <c r="S489">
        <f t="shared" si="258"/>
        <v>5</v>
      </c>
      <c r="W489" t="str">
        <f>IF(周转筐出入库明细!$C490="","",周转筐出入库明细!$C490)</f>
        <v/>
      </c>
      <c r="X489">
        <f t="shared" si="259"/>
        <v>0</v>
      </c>
      <c r="Y489">
        <f t="shared" si="260"/>
        <v>12</v>
      </c>
      <c r="AC489" t="str">
        <f>IF(客户自备加工筐明细!$C489="","",客户自备加工筐明细!$C489)</f>
        <v/>
      </c>
      <c r="AD489">
        <f t="shared" si="261"/>
        <v>0</v>
      </c>
      <c r="AE489">
        <f t="shared" si="262"/>
        <v>1</v>
      </c>
      <c r="AI489" t="str">
        <f>IF(客户自备加工筐明细!$E489="","",客户自备加工筐明细!$E489)</f>
        <v/>
      </c>
      <c r="AJ489">
        <f t="shared" si="263"/>
        <v>0</v>
      </c>
      <c r="AK489">
        <f t="shared" si="264"/>
        <v>1</v>
      </c>
      <c r="AO489" t="str">
        <f>IF(次果筐明细!$D489="","",次果筐明细!$D489)</f>
        <v/>
      </c>
      <c r="AP489">
        <f t="shared" si="265"/>
        <v>0</v>
      </c>
      <c r="AQ489">
        <f t="shared" si="266"/>
        <v>1</v>
      </c>
      <c r="AU489" t="str">
        <f>IF(次果筐明细!$C489="","",次果筐明细!$C489)</f>
        <v/>
      </c>
      <c r="AV489">
        <f t="shared" si="267"/>
        <v>0</v>
      </c>
      <c r="AW489">
        <f t="shared" si="268"/>
        <v>1</v>
      </c>
      <c r="BS489" t="str">
        <f t="shared" si="277"/>
        <v/>
      </c>
      <c r="BT489">
        <f t="shared" si="269"/>
        <v>0</v>
      </c>
      <c r="BU489">
        <f t="shared" si="270"/>
        <v>17</v>
      </c>
      <c r="BY489" t="str">
        <f t="shared" si="276"/>
        <v/>
      </c>
      <c r="BZ489">
        <f t="shared" si="271"/>
        <v>0</v>
      </c>
      <c r="CA489">
        <f t="shared" si="272"/>
        <v>16</v>
      </c>
      <c r="CP489">
        <f>IF(包装物料出入库明细!$D489="",0,1)</f>
        <v>0</v>
      </c>
      <c r="CQ489">
        <f t="shared" si="273"/>
        <v>37</v>
      </c>
      <c r="CS489" t="str">
        <f>IF(OR(周转筐出入库明细!$C490="",周转筐出入库明细!$F490&lt;&gt;"采购入库"),"",周转筐出入库明细!$C490)</f>
        <v/>
      </c>
      <c r="CT489">
        <f t="shared" si="274"/>
        <v>0</v>
      </c>
      <c r="CU489">
        <f t="shared" si="275"/>
        <v>1</v>
      </c>
    </row>
    <row r="490" spans="1:99">
      <c r="A490" t="str">
        <f>IF(包装物料出入库明细!$E490="","",包装物料出入库明细!$E490)</f>
        <v/>
      </c>
      <c r="B490">
        <f t="shared" si="253"/>
        <v>0</v>
      </c>
      <c r="C490">
        <f t="shared" si="254"/>
        <v>7</v>
      </c>
      <c r="D490" t="str">
        <f>IF(包装物料出入库明细!$E490="","",包装物料出入库明细!$F490)</f>
        <v/>
      </c>
      <c r="E490" t="str">
        <f>IF(包装物料出入库明细!$E490="","",包装物料出入库明细!$G490)</f>
        <v/>
      </c>
      <c r="K490" t="str">
        <f>IF(包装物料出入库明细!$D490="","",包装物料出入库明细!$D490)</f>
        <v/>
      </c>
      <c r="L490">
        <f t="shared" si="255"/>
        <v>0</v>
      </c>
      <c r="M490">
        <f t="shared" si="256"/>
        <v>9</v>
      </c>
      <c r="Q490" t="str">
        <f>IF(周转筐出入库明细!$D491="","",周转筐出入库明细!$D491)</f>
        <v/>
      </c>
      <c r="R490">
        <f t="shared" si="257"/>
        <v>0</v>
      </c>
      <c r="S490">
        <f t="shared" si="258"/>
        <v>5</v>
      </c>
      <c r="W490" t="str">
        <f>IF(周转筐出入库明细!$C491="","",周转筐出入库明细!$C491)</f>
        <v/>
      </c>
      <c r="X490">
        <f t="shared" si="259"/>
        <v>0</v>
      </c>
      <c r="Y490">
        <f t="shared" si="260"/>
        <v>12</v>
      </c>
      <c r="AC490" t="str">
        <f>IF(客户自备加工筐明细!$C490="","",客户自备加工筐明细!$C490)</f>
        <v/>
      </c>
      <c r="AD490">
        <f t="shared" si="261"/>
        <v>0</v>
      </c>
      <c r="AE490">
        <f t="shared" si="262"/>
        <v>1</v>
      </c>
      <c r="AI490" t="str">
        <f>IF(客户自备加工筐明细!$E490="","",客户自备加工筐明细!$E490)</f>
        <v/>
      </c>
      <c r="AJ490">
        <f t="shared" si="263"/>
        <v>0</v>
      </c>
      <c r="AK490">
        <f t="shared" si="264"/>
        <v>1</v>
      </c>
      <c r="AO490" t="str">
        <f>IF(次果筐明细!$D490="","",次果筐明细!$D490)</f>
        <v/>
      </c>
      <c r="AP490">
        <f t="shared" si="265"/>
        <v>0</v>
      </c>
      <c r="AQ490">
        <f t="shared" si="266"/>
        <v>1</v>
      </c>
      <c r="AU490" t="str">
        <f>IF(次果筐明细!$C490="","",次果筐明细!$C490)</f>
        <v/>
      </c>
      <c r="AV490">
        <f t="shared" si="267"/>
        <v>0</v>
      </c>
      <c r="AW490">
        <f t="shared" si="268"/>
        <v>1</v>
      </c>
      <c r="BS490" t="str">
        <f t="shared" si="277"/>
        <v/>
      </c>
      <c r="BT490">
        <f t="shared" si="269"/>
        <v>0</v>
      </c>
      <c r="BU490">
        <f t="shared" si="270"/>
        <v>17</v>
      </c>
      <c r="BY490" t="str">
        <f t="shared" si="276"/>
        <v/>
      </c>
      <c r="BZ490">
        <f t="shared" si="271"/>
        <v>0</v>
      </c>
      <c r="CA490">
        <f t="shared" si="272"/>
        <v>16</v>
      </c>
      <c r="CP490">
        <f>IF(包装物料出入库明细!$D490="",0,1)</f>
        <v>0</v>
      </c>
      <c r="CQ490">
        <f t="shared" si="273"/>
        <v>37</v>
      </c>
      <c r="CS490" t="str">
        <f>IF(OR(周转筐出入库明细!$C491="",周转筐出入库明细!$F491&lt;&gt;"采购入库"),"",周转筐出入库明细!$C491)</f>
        <v/>
      </c>
      <c r="CT490">
        <f t="shared" si="274"/>
        <v>0</v>
      </c>
      <c r="CU490">
        <f t="shared" si="275"/>
        <v>1</v>
      </c>
    </row>
    <row r="491" spans="1:99">
      <c r="A491" t="str">
        <f>IF(包装物料出入库明细!$E491="","",包装物料出入库明细!$E491)</f>
        <v/>
      </c>
      <c r="B491">
        <f t="shared" si="253"/>
        <v>0</v>
      </c>
      <c r="C491">
        <f t="shared" si="254"/>
        <v>7</v>
      </c>
      <c r="D491" t="str">
        <f>IF(包装物料出入库明细!$E491="","",包装物料出入库明细!$F491)</f>
        <v/>
      </c>
      <c r="E491" t="str">
        <f>IF(包装物料出入库明细!$E491="","",包装物料出入库明细!$G491)</f>
        <v/>
      </c>
      <c r="K491" t="str">
        <f>IF(包装物料出入库明细!$D491="","",包装物料出入库明细!$D491)</f>
        <v/>
      </c>
      <c r="L491">
        <f t="shared" si="255"/>
        <v>0</v>
      </c>
      <c r="M491">
        <f t="shared" si="256"/>
        <v>9</v>
      </c>
      <c r="Q491" t="str">
        <f>IF(周转筐出入库明细!$D492="","",周转筐出入库明细!$D492)</f>
        <v/>
      </c>
      <c r="R491">
        <f t="shared" si="257"/>
        <v>0</v>
      </c>
      <c r="S491">
        <f t="shared" si="258"/>
        <v>5</v>
      </c>
      <c r="W491" t="str">
        <f>IF(周转筐出入库明细!$C492="","",周转筐出入库明细!$C492)</f>
        <v/>
      </c>
      <c r="X491">
        <f t="shared" si="259"/>
        <v>0</v>
      </c>
      <c r="Y491">
        <f t="shared" si="260"/>
        <v>12</v>
      </c>
      <c r="AC491" t="str">
        <f>IF(客户自备加工筐明细!$C491="","",客户自备加工筐明细!$C491)</f>
        <v/>
      </c>
      <c r="AD491">
        <f t="shared" si="261"/>
        <v>0</v>
      </c>
      <c r="AE491">
        <f t="shared" si="262"/>
        <v>1</v>
      </c>
      <c r="AI491" t="str">
        <f>IF(客户自备加工筐明细!$E491="","",客户自备加工筐明细!$E491)</f>
        <v/>
      </c>
      <c r="AJ491">
        <f t="shared" si="263"/>
        <v>0</v>
      </c>
      <c r="AK491">
        <f t="shared" si="264"/>
        <v>1</v>
      </c>
      <c r="AO491" t="str">
        <f>IF(次果筐明细!$D491="","",次果筐明细!$D491)</f>
        <v/>
      </c>
      <c r="AP491">
        <f t="shared" si="265"/>
        <v>0</v>
      </c>
      <c r="AQ491">
        <f t="shared" si="266"/>
        <v>1</v>
      </c>
      <c r="AU491" t="str">
        <f>IF(次果筐明细!$C491="","",次果筐明细!$C491)</f>
        <v/>
      </c>
      <c r="AV491">
        <f t="shared" si="267"/>
        <v>0</v>
      </c>
      <c r="AW491">
        <f t="shared" si="268"/>
        <v>1</v>
      </c>
      <c r="BS491" t="str">
        <f t="shared" si="277"/>
        <v/>
      </c>
      <c r="BT491">
        <f t="shared" si="269"/>
        <v>0</v>
      </c>
      <c r="BU491">
        <f t="shared" si="270"/>
        <v>17</v>
      </c>
      <c r="BY491" t="str">
        <f t="shared" si="276"/>
        <v/>
      </c>
      <c r="BZ491">
        <f t="shared" si="271"/>
        <v>0</v>
      </c>
      <c r="CA491">
        <f t="shared" si="272"/>
        <v>16</v>
      </c>
      <c r="CP491">
        <f>IF(包装物料出入库明细!$D491="",0,1)</f>
        <v>0</v>
      </c>
      <c r="CQ491">
        <f t="shared" si="273"/>
        <v>37</v>
      </c>
      <c r="CS491" t="str">
        <f>IF(OR(周转筐出入库明细!$C492="",周转筐出入库明细!$F492&lt;&gt;"采购入库"),"",周转筐出入库明细!$C492)</f>
        <v/>
      </c>
      <c r="CT491">
        <f t="shared" si="274"/>
        <v>0</v>
      </c>
      <c r="CU491">
        <f t="shared" si="275"/>
        <v>1</v>
      </c>
    </row>
    <row r="492" spans="1:99">
      <c r="A492" t="str">
        <f>IF(包装物料出入库明细!$E492="","",包装物料出入库明细!$E492)</f>
        <v/>
      </c>
      <c r="B492">
        <f t="shared" si="253"/>
        <v>0</v>
      </c>
      <c r="C492">
        <f t="shared" si="254"/>
        <v>7</v>
      </c>
      <c r="D492" t="str">
        <f>IF(包装物料出入库明细!$E492="","",包装物料出入库明细!$F492)</f>
        <v/>
      </c>
      <c r="E492" t="str">
        <f>IF(包装物料出入库明细!$E492="","",包装物料出入库明细!$G492)</f>
        <v/>
      </c>
      <c r="K492" t="str">
        <f>IF(包装物料出入库明细!$D492="","",包装物料出入库明细!$D492)</f>
        <v/>
      </c>
      <c r="L492">
        <f t="shared" si="255"/>
        <v>0</v>
      </c>
      <c r="M492">
        <f t="shared" si="256"/>
        <v>9</v>
      </c>
      <c r="Q492" t="str">
        <f>IF(周转筐出入库明细!$D493="","",周转筐出入库明细!$D493)</f>
        <v/>
      </c>
      <c r="R492">
        <f t="shared" si="257"/>
        <v>0</v>
      </c>
      <c r="S492">
        <f t="shared" si="258"/>
        <v>5</v>
      </c>
      <c r="W492" t="str">
        <f>IF(周转筐出入库明细!$C493="","",周转筐出入库明细!$C493)</f>
        <v/>
      </c>
      <c r="X492">
        <f t="shared" si="259"/>
        <v>0</v>
      </c>
      <c r="Y492">
        <f t="shared" si="260"/>
        <v>12</v>
      </c>
      <c r="AC492" t="str">
        <f>IF(客户自备加工筐明细!$C492="","",客户自备加工筐明细!$C492)</f>
        <v/>
      </c>
      <c r="AD492">
        <f t="shared" si="261"/>
        <v>0</v>
      </c>
      <c r="AE492">
        <f t="shared" si="262"/>
        <v>1</v>
      </c>
      <c r="AI492" t="str">
        <f>IF(客户自备加工筐明细!$E492="","",客户自备加工筐明细!$E492)</f>
        <v/>
      </c>
      <c r="AJ492">
        <f t="shared" si="263"/>
        <v>0</v>
      </c>
      <c r="AK492">
        <f t="shared" si="264"/>
        <v>1</v>
      </c>
      <c r="AO492" t="str">
        <f>IF(次果筐明细!$D492="","",次果筐明细!$D492)</f>
        <v/>
      </c>
      <c r="AP492">
        <f t="shared" si="265"/>
        <v>0</v>
      </c>
      <c r="AQ492">
        <f t="shared" si="266"/>
        <v>1</v>
      </c>
      <c r="AU492" t="str">
        <f>IF(次果筐明细!$C492="","",次果筐明细!$C492)</f>
        <v/>
      </c>
      <c r="AV492">
        <f t="shared" si="267"/>
        <v>0</v>
      </c>
      <c r="AW492">
        <f t="shared" si="268"/>
        <v>1</v>
      </c>
      <c r="BS492" t="str">
        <f t="shared" si="277"/>
        <v/>
      </c>
      <c r="BT492">
        <f t="shared" si="269"/>
        <v>0</v>
      </c>
      <c r="BU492">
        <f t="shared" si="270"/>
        <v>17</v>
      </c>
      <c r="BY492" t="str">
        <f t="shared" si="276"/>
        <v/>
      </c>
      <c r="BZ492">
        <f t="shared" si="271"/>
        <v>0</v>
      </c>
      <c r="CA492">
        <f t="shared" si="272"/>
        <v>16</v>
      </c>
      <c r="CP492">
        <f>IF(包装物料出入库明细!$D492="",0,1)</f>
        <v>0</v>
      </c>
      <c r="CQ492">
        <f t="shared" si="273"/>
        <v>37</v>
      </c>
      <c r="CS492" t="str">
        <f>IF(OR(周转筐出入库明细!$C493="",周转筐出入库明细!$F493&lt;&gt;"采购入库"),"",周转筐出入库明细!$C493)</f>
        <v/>
      </c>
      <c r="CT492">
        <f t="shared" si="274"/>
        <v>0</v>
      </c>
      <c r="CU492">
        <f t="shared" si="275"/>
        <v>1</v>
      </c>
    </row>
    <row r="493" spans="1:99">
      <c r="A493" t="str">
        <f>IF(包装物料出入库明细!$E493="","",包装物料出入库明细!$E493)</f>
        <v/>
      </c>
      <c r="B493">
        <f t="shared" si="253"/>
        <v>0</v>
      </c>
      <c r="C493">
        <f t="shared" si="254"/>
        <v>7</v>
      </c>
      <c r="D493" t="str">
        <f>IF(包装物料出入库明细!$E493="","",包装物料出入库明细!$F493)</f>
        <v/>
      </c>
      <c r="E493" t="str">
        <f>IF(包装物料出入库明细!$E493="","",包装物料出入库明细!$G493)</f>
        <v/>
      </c>
      <c r="K493" t="str">
        <f>IF(包装物料出入库明细!$D493="","",包装物料出入库明细!$D493)</f>
        <v/>
      </c>
      <c r="L493">
        <f t="shared" si="255"/>
        <v>0</v>
      </c>
      <c r="M493">
        <f t="shared" si="256"/>
        <v>9</v>
      </c>
      <c r="Q493" t="str">
        <f>IF(周转筐出入库明细!$D494="","",周转筐出入库明细!$D494)</f>
        <v/>
      </c>
      <c r="R493">
        <f t="shared" si="257"/>
        <v>0</v>
      </c>
      <c r="S493">
        <f t="shared" si="258"/>
        <v>5</v>
      </c>
      <c r="W493" t="str">
        <f>IF(周转筐出入库明细!$C494="","",周转筐出入库明细!$C494)</f>
        <v/>
      </c>
      <c r="X493">
        <f t="shared" si="259"/>
        <v>0</v>
      </c>
      <c r="Y493">
        <f t="shared" si="260"/>
        <v>12</v>
      </c>
      <c r="AC493" t="str">
        <f>IF(客户自备加工筐明细!$C493="","",客户自备加工筐明细!$C493)</f>
        <v/>
      </c>
      <c r="AD493">
        <f t="shared" si="261"/>
        <v>0</v>
      </c>
      <c r="AE493">
        <f t="shared" si="262"/>
        <v>1</v>
      </c>
      <c r="AI493" t="str">
        <f>IF(客户自备加工筐明细!$E493="","",客户自备加工筐明细!$E493)</f>
        <v/>
      </c>
      <c r="AJ493">
        <f t="shared" si="263"/>
        <v>0</v>
      </c>
      <c r="AK493">
        <f t="shared" si="264"/>
        <v>1</v>
      </c>
      <c r="AO493" t="str">
        <f>IF(次果筐明细!$D493="","",次果筐明细!$D493)</f>
        <v/>
      </c>
      <c r="AP493">
        <f t="shared" si="265"/>
        <v>0</v>
      </c>
      <c r="AQ493">
        <f t="shared" si="266"/>
        <v>1</v>
      </c>
      <c r="AU493" t="str">
        <f>IF(次果筐明细!$C493="","",次果筐明细!$C493)</f>
        <v/>
      </c>
      <c r="AV493">
        <f t="shared" si="267"/>
        <v>0</v>
      </c>
      <c r="AW493">
        <f t="shared" si="268"/>
        <v>1</v>
      </c>
      <c r="BS493" t="str">
        <f t="shared" si="277"/>
        <v/>
      </c>
      <c r="BT493">
        <f t="shared" si="269"/>
        <v>0</v>
      </c>
      <c r="BU493">
        <f t="shared" si="270"/>
        <v>17</v>
      </c>
      <c r="BY493" t="str">
        <f t="shared" si="276"/>
        <v/>
      </c>
      <c r="BZ493">
        <f t="shared" si="271"/>
        <v>0</v>
      </c>
      <c r="CA493">
        <f t="shared" si="272"/>
        <v>16</v>
      </c>
      <c r="CP493">
        <f>IF(包装物料出入库明细!$D493="",0,1)</f>
        <v>0</v>
      </c>
      <c r="CQ493">
        <f t="shared" si="273"/>
        <v>37</v>
      </c>
      <c r="CS493" t="str">
        <f>IF(OR(周转筐出入库明细!$C494="",周转筐出入库明细!$F494&lt;&gt;"采购入库"),"",周转筐出入库明细!$C494)</f>
        <v/>
      </c>
      <c r="CT493">
        <f t="shared" si="274"/>
        <v>0</v>
      </c>
      <c r="CU493">
        <f t="shared" si="275"/>
        <v>1</v>
      </c>
    </row>
    <row r="494" spans="1:99">
      <c r="A494" t="str">
        <f>IF(包装物料出入库明细!$E494="","",包装物料出入库明细!$E494)</f>
        <v/>
      </c>
      <c r="B494">
        <f t="shared" si="253"/>
        <v>0</v>
      </c>
      <c r="C494">
        <f t="shared" si="254"/>
        <v>7</v>
      </c>
      <c r="D494" t="str">
        <f>IF(包装物料出入库明细!$E494="","",包装物料出入库明细!$F494)</f>
        <v/>
      </c>
      <c r="E494" t="str">
        <f>IF(包装物料出入库明细!$E494="","",包装物料出入库明细!$G494)</f>
        <v/>
      </c>
      <c r="K494" t="str">
        <f>IF(包装物料出入库明细!$D494="","",包装物料出入库明细!$D494)</f>
        <v/>
      </c>
      <c r="L494">
        <f t="shared" si="255"/>
        <v>0</v>
      </c>
      <c r="M494">
        <f t="shared" si="256"/>
        <v>9</v>
      </c>
      <c r="Q494" t="str">
        <f>IF(周转筐出入库明细!$D495="","",周转筐出入库明细!$D495)</f>
        <v/>
      </c>
      <c r="R494">
        <f t="shared" si="257"/>
        <v>0</v>
      </c>
      <c r="S494">
        <f t="shared" si="258"/>
        <v>5</v>
      </c>
      <c r="W494" t="str">
        <f>IF(周转筐出入库明细!$C495="","",周转筐出入库明细!$C495)</f>
        <v/>
      </c>
      <c r="X494">
        <f t="shared" si="259"/>
        <v>0</v>
      </c>
      <c r="Y494">
        <f t="shared" si="260"/>
        <v>12</v>
      </c>
      <c r="AC494" t="str">
        <f>IF(客户自备加工筐明细!$C494="","",客户自备加工筐明细!$C494)</f>
        <v/>
      </c>
      <c r="AD494">
        <f t="shared" si="261"/>
        <v>0</v>
      </c>
      <c r="AE494">
        <f t="shared" si="262"/>
        <v>1</v>
      </c>
      <c r="AI494" t="str">
        <f>IF(客户自备加工筐明细!$E494="","",客户自备加工筐明细!$E494)</f>
        <v/>
      </c>
      <c r="AJ494">
        <f t="shared" si="263"/>
        <v>0</v>
      </c>
      <c r="AK494">
        <f t="shared" si="264"/>
        <v>1</v>
      </c>
      <c r="AO494" t="str">
        <f>IF(次果筐明细!$D494="","",次果筐明细!$D494)</f>
        <v/>
      </c>
      <c r="AP494">
        <f t="shared" si="265"/>
        <v>0</v>
      </c>
      <c r="AQ494">
        <f t="shared" si="266"/>
        <v>1</v>
      </c>
      <c r="AU494" t="str">
        <f>IF(次果筐明细!$C494="","",次果筐明细!$C494)</f>
        <v/>
      </c>
      <c r="AV494">
        <f t="shared" si="267"/>
        <v>0</v>
      </c>
      <c r="AW494">
        <f t="shared" si="268"/>
        <v>1</v>
      </c>
      <c r="BS494" t="str">
        <f t="shared" si="277"/>
        <v/>
      </c>
      <c r="BT494">
        <f t="shared" si="269"/>
        <v>0</v>
      </c>
      <c r="BU494">
        <f t="shared" si="270"/>
        <v>17</v>
      </c>
      <c r="BY494" t="str">
        <f t="shared" si="276"/>
        <v/>
      </c>
      <c r="BZ494">
        <f t="shared" si="271"/>
        <v>0</v>
      </c>
      <c r="CA494">
        <f t="shared" si="272"/>
        <v>16</v>
      </c>
      <c r="CP494">
        <f>IF(包装物料出入库明细!$D494="",0,1)</f>
        <v>0</v>
      </c>
      <c r="CQ494">
        <f t="shared" si="273"/>
        <v>37</v>
      </c>
      <c r="CS494" t="str">
        <f>IF(OR(周转筐出入库明细!$C495="",周转筐出入库明细!$F495&lt;&gt;"采购入库"),"",周转筐出入库明细!$C495)</f>
        <v/>
      </c>
      <c r="CT494">
        <f t="shared" si="274"/>
        <v>0</v>
      </c>
      <c r="CU494">
        <f t="shared" si="275"/>
        <v>1</v>
      </c>
    </row>
    <row r="495" spans="1:99">
      <c r="A495" t="str">
        <f>IF(包装物料出入库明细!$E495="","",包装物料出入库明细!$E495)</f>
        <v/>
      </c>
      <c r="B495">
        <f t="shared" si="253"/>
        <v>0</v>
      </c>
      <c r="C495">
        <f t="shared" si="254"/>
        <v>7</v>
      </c>
      <c r="D495" t="str">
        <f>IF(包装物料出入库明细!$E495="","",包装物料出入库明细!$F495)</f>
        <v/>
      </c>
      <c r="E495" t="str">
        <f>IF(包装物料出入库明细!$E495="","",包装物料出入库明细!$G495)</f>
        <v/>
      </c>
      <c r="K495" t="str">
        <f>IF(包装物料出入库明细!$D495="","",包装物料出入库明细!$D495)</f>
        <v/>
      </c>
      <c r="L495">
        <f t="shared" si="255"/>
        <v>0</v>
      </c>
      <c r="M495">
        <f t="shared" si="256"/>
        <v>9</v>
      </c>
      <c r="Q495" t="str">
        <f>IF(周转筐出入库明细!$D496="","",周转筐出入库明细!$D496)</f>
        <v/>
      </c>
      <c r="R495">
        <f t="shared" si="257"/>
        <v>0</v>
      </c>
      <c r="S495">
        <f t="shared" si="258"/>
        <v>5</v>
      </c>
      <c r="W495" t="str">
        <f>IF(周转筐出入库明细!$C496="","",周转筐出入库明细!$C496)</f>
        <v/>
      </c>
      <c r="X495">
        <f t="shared" si="259"/>
        <v>0</v>
      </c>
      <c r="Y495">
        <f t="shared" si="260"/>
        <v>12</v>
      </c>
      <c r="AC495" t="str">
        <f>IF(客户自备加工筐明细!$C495="","",客户自备加工筐明细!$C495)</f>
        <v/>
      </c>
      <c r="AD495">
        <f t="shared" si="261"/>
        <v>0</v>
      </c>
      <c r="AE495">
        <f t="shared" si="262"/>
        <v>1</v>
      </c>
      <c r="AI495" t="str">
        <f>IF(客户自备加工筐明细!$E495="","",客户自备加工筐明细!$E495)</f>
        <v/>
      </c>
      <c r="AJ495">
        <f t="shared" si="263"/>
        <v>0</v>
      </c>
      <c r="AK495">
        <f t="shared" si="264"/>
        <v>1</v>
      </c>
      <c r="AO495" t="str">
        <f>IF(次果筐明细!$D495="","",次果筐明细!$D495)</f>
        <v/>
      </c>
      <c r="AP495">
        <f t="shared" si="265"/>
        <v>0</v>
      </c>
      <c r="AQ495">
        <f t="shared" si="266"/>
        <v>1</v>
      </c>
      <c r="AU495" t="str">
        <f>IF(次果筐明细!$C495="","",次果筐明细!$C495)</f>
        <v/>
      </c>
      <c r="AV495">
        <f t="shared" si="267"/>
        <v>0</v>
      </c>
      <c r="AW495">
        <f t="shared" si="268"/>
        <v>1</v>
      </c>
      <c r="BS495" t="str">
        <f t="shared" si="277"/>
        <v/>
      </c>
      <c r="BT495">
        <f t="shared" si="269"/>
        <v>0</v>
      </c>
      <c r="BU495">
        <f t="shared" si="270"/>
        <v>17</v>
      </c>
      <c r="BY495" t="str">
        <f t="shared" si="276"/>
        <v/>
      </c>
      <c r="BZ495">
        <f t="shared" si="271"/>
        <v>0</v>
      </c>
      <c r="CA495">
        <f t="shared" si="272"/>
        <v>16</v>
      </c>
      <c r="CP495">
        <f>IF(包装物料出入库明细!$D495="",0,1)</f>
        <v>0</v>
      </c>
      <c r="CQ495">
        <f t="shared" si="273"/>
        <v>37</v>
      </c>
      <c r="CS495" t="str">
        <f>IF(OR(周转筐出入库明细!$C496="",周转筐出入库明细!$F496&lt;&gt;"采购入库"),"",周转筐出入库明细!$C496)</f>
        <v/>
      </c>
      <c r="CT495">
        <f t="shared" si="274"/>
        <v>0</v>
      </c>
      <c r="CU495">
        <f t="shared" si="275"/>
        <v>1</v>
      </c>
    </row>
    <row r="496" spans="1:99">
      <c r="A496" t="str">
        <f>IF(包装物料出入库明细!$E496="","",包装物料出入库明细!$E496)</f>
        <v/>
      </c>
      <c r="B496">
        <f t="shared" si="253"/>
        <v>0</v>
      </c>
      <c r="C496">
        <f t="shared" si="254"/>
        <v>7</v>
      </c>
      <c r="D496" t="str">
        <f>IF(包装物料出入库明细!$E496="","",包装物料出入库明细!$F496)</f>
        <v/>
      </c>
      <c r="E496" t="str">
        <f>IF(包装物料出入库明细!$E496="","",包装物料出入库明细!$G496)</f>
        <v/>
      </c>
      <c r="K496" t="str">
        <f>IF(包装物料出入库明细!$D496="","",包装物料出入库明细!$D496)</f>
        <v/>
      </c>
      <c r="L496">
        <f t="shared" si="255"/>
        <v>0</v>
      </c>
      <c r="M496">
        <f t="shared" si="256"/>
        <v>9</v>
      </c>
      <c r="Q496" t="str">
        <f>IF(周转筐出入库明细!$D497="","",周转筐出入库明细!$D497)</f>
        <v/>
      </c>
      <c r="R496">
        <f t="shared" si="257"/>
        <v>0</v>
      </c>
      <c r="S496">
        <f t="shared" si="258"/>
        <v>5</v>
      </c>
      <c r="W496" t="str">
        <f>IF(周转筐出入库明细!$C497="","",周转筐出入库明细!$C497)</f>
        <v/>
      </c>
      <c r="X496">
        <f t="shared" si="259"/>
        <v>0</v>
      </c>
      <c r="Y496">
        <f t="shared" si="260"/>
        <v>12</v>
      </c>
      <c r="AC496" t="str">
        <f>IF(客户自备加工筐明细!$C496="","",客户自备加工筐明细!$C496)</f>
        <v/>
      </c>
      <c r="AD496">
        <f t="shared" si="261"/>
        <v>0</v>
      </c>
      <c r="AE496">
        <f t="shared" si="262"/>
        <v>1</v>
      </c>
      <c r="AI496" t="str">
        <f>IF(客户自备加工筐明细!$E496="","",客户自备加工筐明细!$E496)</f>
        <v/>
      </c>
      <c r="AJ496">
        <f t="shared" si="263"/>
        <v>0</v>
      </c>
      <c r="AK496">
        <f t="shared" si="264"/>
        <v>1</v>
      </c>
      <c r="AO496" t="str">
        <f>IF(次果筐明细!$D496="","",次果筐明细!$D496)</f>
        <v/>
      </c>
      <c r="AP496">
        <f t="shared" si="265"/>
        <v>0</v>
      </c>
      <c r="AQ496">
        <f t="shared" si="266"/>
        <v>1</v>
      </c>
      <c r="AU496" t="str">
        <f>IF(次果筐明细!$C496="","",次果筐明细!$C496)</f>
        <v/>
      </c>
      <c r="AV496">
        <f t="shared" si="267"/>
        <v>0</v>
      </c>
      <c r="AW496">
        <f t="shared" si="268"/>
        <v>1</v>
      </c>
      <c r="BS496" t="str">
        <f t="shared" si="277"/>
        <v/>
      </c>
      <c r="BT496">
        <f t="shared" si="269"/>
        <v>0</v>
      </c>
      <c r="BU496">
        <f t="shared" si="270"/>
        <v>17</v>
      </c>
      <c r="BY496" t="str">
        <f t="shared" si="276"/>
        <v/>
      </c>
      <c r="BZ496">
        <f t="shared" si="271"/>
        <v>0</v>
      </c>
      <c r="CA496">
        <f t="shared" si="272"/>
        <v>16</v>
      </c>
      <c r="CP496">
        <f>IF(包装物料出入库明细!$D496="",0,1)</f>
        <v>0</v>
      </c>
      <c r="CQ496">
        <f t="shared" si="273"/>
        <v>37</v>
      </c>
      <c r="CS496" t="str">
        <f>IF(OR(周转筐出入库明细!$C497="",周转筐出入库明细!$F497&lt;&gt;"采购入库"),"",周转筐出入库明细!$C497)</f>
        <v/>
      </c>
      <c r="CT496">
        <f t="shared" si="274"/>
        <v>0</v>
      </c>
      <c r="CU496">
        <f t="shared" si="275"/>
        <v>1</v>
      </c>
    </row>
    <row r="497" spans="1:99">
      <c r="A497" t="str">
        <f>IF(包装物料出入库明细!$E497="","",包装物料出入库明细!$E497)</f>
        <v/>
      </c>
      <c r="B497">
        <f t="shared" si="253"/>
        <v>0</v>
      </c>
      <c r="C497">
        <f t="shared" si="254"/>
        <v>7</v>
      </c>
      <c r="D497" t="str">
        <f>IF(包装物料出入库明细!$E497="","",包装物料出入库明细!$F497)</f>
        <v/>
      </c>
      <c r="E497" t="str">
        <f>IF(包装物料出入库明细!$E497="","",包装物料出入库明细!$G497)</f>
        <v/>
      </c>
      <c r="K497" t="str">
        <f>IF(包装物料出入库明细!$D497="","",包装物料出入库明细!$D497)</f>
        <v/>
      </c>
      <c r="L497">
        <f t="shared" si="255"/>
        <v>0</v>
      </c>
      <c r="M497">
        <f t="shared" si="256"/>
        <v>9</v>
      </c>
      <c r="Q497" t="str">
        <f>IF(周转筐出入库明细!$D498="","",周转筐出入库明细!$D498)</f>
        <v/>
      </c>
      <c r="R497">
        <f t="shared" si="257"/>
        <v>0</v>
      </c>
      <c r="S497">
        <f t="shared" si="258"/>
        <v>5</v>
      </c>
      <c r="W497" t="str">
        <f>IF(周转筐出入库明细!$C498="","",周转筐出入库明细!$C498)</f>
        <v/>
      </c>
      <c r="X497">
        <f t="shared" si="259"/>
        <v>0</v>
      </c>
      <c r="Y497">
        <f t="shared" si="260"/>
        <v>12</v>
      </c>
      <c r="AC497" t="str">
        <f>IF(客户自备加工筐明细!$C497="","",客户自备加工筐明细!$C497)</f>
        <v/>
      </c>
      <c r="AD497">
        <f t="shared" si="261"/>
        <v>0</v>
      </c>
      <c r="AE497">
        <f t="shared" si="262"/>
        <v>1</v>
      </c>
      <c r="AI497" t="str">
        <f>IF(客户自备加工筐明细!$E497="","",客户自备加工筐明细!$E497)</f>
        <v/>
      </c>
      <c r="AJ497">
        <f t="shared" si="263"/>
        <v>0</v>
      </c>
      <c r="AK497">
        <f t="shared" si="264"/>
        <v>1</v>
      </c>
      <c r="AO497" t="str">
        <f>IF(次果筐明细!$D497="","",次果筐明细!$D497)</f>
        <v/>
      </c>
      <c r="AP497">
        <f t="shared" si="265"/>
        <v>0</v>
      </c>
      <c r="AQ497">
        <f t="shared" si="266"/>
        <v>1</v>
      </c>
      <c r="AU497" t="str">
        <f>IF(次果筐明细!$C497="","",次果筐明细!$C497)</f>
        <v/>
      </c>
      <c r="AV497">
        <f t="shared" si="267"/>
        <v>0</v>
      </c>
      <c r="AW497">
        <f t="shared" si="268"/>
        <v>1</v>
      </c>
      <c r="BS497" t="str">
        <f t="shared" si="277"/>
        <v/>
      </c>
      <c r="BT497">
        <f t="shared" si="269"/>
        <v>0</v>
      </c>
      <c r="BU497">
        <f t="shared" si="270"/>
        <v>17</v>
      </c>
      <c r="BY497" t="str">
        <f t="shared" si="276"/>
        <v/>
      </c>
      <c r="BZ497">
        <f t="shared" si="271"/>
        <v>0</v>
      </c>
      <c r="CA497">
        <f t="shared" si="272"/>
        <v>16</v>
      </c>
      <c r="CP497">
        <f>IF(包装物料出入库明细!$D497="",0,1)</f>
        <v>0</v>
      </c>
      <c r="CQ497">
        <f t="shared" si="273"/>
        <v>37</v>
      </c>
      <c r="CS497" t="str">
        <f>IF(OR(周转筐出入库明细!$C498="",周转筐出入库明细!$F498&lt;&gt;"采购入库"),"",周转筐出入库明细!$C498)</f>
        <v/>
      </c>
      <c r="CT497">
        <f t="shared" si="274"/>
        <v>0</v>
      </c>
      <c r="CU497">
        <f t="shared" si="275"/>
        <v>1</v>
      </c>
    </row>
    <row r="498" spans="1:99">
      <c r="A498" t="str">
        <f>IF(包装物料出入库明细!$E498="","",包装物料出入库明细!$E498)</f>
        <v/>
      </c>
      <c r="B498">
        <f t="shared" si="253"/>
        <v>0</v>
      </c>
      <c r="C498">
        <f t="shared" si="254"/>
        <v>7</v>
      </c>
      <c r="D498" t="str">
        <f>IF(包装物料出入库明细!$E498="","",包装物料出入库明细!$F498)</f>
        <v/>
      </c>
      <c r="E498" t="str">
        <f>IF(包装物料出入库明细!$E498="","",包装物料出入库明细!$G498)</f>
        <v/>
      </c>
      <c r="K498" t="str">
        <f>IF(包装物料出入库明细!$D498="","",包装物料出入库明细!$D498)</f>
        <v/>
      </c>
      <c r="L498">
        <f t="shared" si="255"/>
        <v>0</v>
      </c>
      <c r="M498">
        <f t="shared" si="256"/>
        <v>9</v>
      </c>
      <c r="Q498" t="str">
        <f>IF(周转筐出入库明细!$D499="","",周转筐出入库明细!$D499)</f>
        <v/>
      </c>
      <c r="R498">
        <f t="shared" si="257"/>
        <v>0</v>
      </c>
      <c r="S498">
        <f t="shared" si="258"/>
        <v>5</v>
      </c>
      <c r="W498" t="str">
        <f>IF(周转筐出入库明细!$C499="","",周转筐出入库明细!$C499)</f>
        <v/>
      </c>
      <c r="X498">
        <f t="shared" si="259"/>
        <v>0</v>
      </c>
      <c r="Y498">
        <f t="shared" si="260"/>
        <v>12</v>
      </c>
      <c r="AC498" t="str">
        <f>IF(客户自备加工筐明细!$C498="","",客户自备加工筐明细!$C498)</f>
        <v/>
      </c>
      <c r="AD498">
        <f t="shared" si="261"/>
        <v>0</v>
      </c>
      <c r="AE498">
        <f t="shared" si="262"/>
        <v>1</v>
      </c>
      <c r="AI498" t="str">
        <f>IF(客户自备加工筐明细!$E498="","",客户自备加工筐明细!$E498)</f>
        <v/>
      </c>
      <c r="AJ498">
        <f t="shared" si="263"/>
        <v>0</v>
      </c>
      <c r="AK498">
        <f t="shared" si="264"/>
        <v>1</v>
      </c>
      <c r="AO498" t="str">
        <f>IF(次果筐明细!$D498="","",次果筐明细!$D498)</f>
        <v/>
      </c>
      <c r="AP498">
        <f t="shared" si="265"/>
        <v>0</v>
      </c>
      <c r="AQ498">
        <f t="shared" si="266"/>
        <v>1</v>
      </c>
      <c r="AU498" t="str">
        <f>IF(次果筐明细!$C498="","",次果筐明细!$C498)</f>
        <v/>
      </c>
      <c r="AV498">
        <f t="shared" si="267"/>
        <v>0</v>
      </c>
      <c r="AW498">
        <f t="shared" si="268"/>
        <v>1</v>
      </c>
      <c r="BS498" t="str">
        <f t="shared" si="277"/>
        <v/>
      </c>
      <c r="BT498">
        <f t="shared" si="269"/>
        <v>0</v>
      </c>
      <c r="BU498">
        <f t="shared" si="270"/>
        <v>17</v>
      </c>
      <c r="BY498" t="str">
        <f t="shared" si="276"/>
        <v/>
      </c>
      <c r="BZ498">
        <f t="shared" si="271"/>
        <v>0</v>
      </c>
      <c r="CA498">
        <f t="shared" si="272"/>
        <v>16</v>
      </c>
      <c r="CP498">
        <f>IF(包装物料出入库明细!$D498="",0,1)</f>
        <v>0</v>
      </c>
      <c r="CQ498">
        <f t="shared" si="273"/>
        <v>37</v>
      </c>
      <c r="CS498" t="str">
        <f>IF(OR(周转筐出入库明细!$C499="",周转筐出入库明细!$F499&lt;&gt;"采购入库"),"",周转筐出入库明细!$C499)</f>
        <v/>
      </c>
      <c r="CT498">
        <f t="shared" si="274"/>
        <v>0</v>
      </c>
      <c r="CU498">
        <f t="shared" si="275"/>
        <v>1</v>
      </c>
    </row>
    <row r="499" spans="1:99">
      <c r="A499" t="str">
        <f>IF(包装物料出入库明细!$E499="","",包装物料出入库明细!$E499)</f>
        <v/>
      </c>
      <c r="B499">
        <f t="shared" si="253"/>
        <v>0</v>
      </c>
      <c r="C499">
        <f t="shared" si="254"/>
        <v>7</v>
      </c>
      <c r="D499" t="str">
        <f>IF(包装物料出入库明细!$E499="","",包装物料出入库明细!$F499)</f>
        <v/>
      </c>
      <c r="E499" t="str">
        <f>IF(包装物料出入库明细!$E499="","",包装物料出入库明细!$G499)</f>
        <v/>
      </c>
      <c r="K499" t="str">
        <f>IF(包装物料出入库明细!$D499="","",包装物料出入库明细!$D499)</f>
        <v/>
      </c>
      <c r="L499">
        <f t="shared" si="255"/>
        <v>0</v>
      </c>
      <c r="M499">
        <f t="shared" si="256"/>
        <v>9</v>
      </c>
      <c r="Q499" t="str">
        <f>IF(周转筐出入库明细!$D500="","",周转筐出入库明细!$D500)</f>
        <v/>
      </c>
      <c r="R499">
        <f t="shared" si="257"/>
        <v>0</v>
      </c>
      <c r="S499">
        <f t="shared" si="258"/>
        <v>5</v>
      </c>
      <c r="W499" t="str">
        <f>IF(周转筐出入库明细!$C500="","",周转筐出入库明细!$C500)</f>
        <v/>
      </c>
      <c r="X499">
        <f t="shared" si="259"/>
        <v>0</v>
      </c>
      <c r="Y499">
        <f t="shared" si="260"/>
        <v>12</v>
      </c>
      <c r="AC499" t="str">
        <f>IF(客户自备加工筐明细!$C499="","",客户自备加工筐明细!$C499)</f>
        <v/>
      </c>
      <c r="AD499">
        <f t="shared" si="261"/>
        <v>0</v>
      </c>
      <c r="AE499">
        <f t="shared" si="262"/>
        <v>1</v>
      </c>
      <c r="AI499" t="str">
        <f>IF(客户自备加工筐明细!$E499="","",客户自备加工筐明细!$E499)</f>
        <v/>
      </c>
      <c r="AJ499">
        <f t="shared" si="263"/>
        <v>0</v>
      </c>
      <c r="AK499">
        <f t="shared" si="264"/>
        <v>1</v>
      </c>
      <c r="AO499" t="str">
        <f>IF(次果筐明细!$D499="","",次果筐明细!$D499)</f>
        <v/>
      </c>
      <c r="AP499">
        <f t="shared" si="265"/>
        <v>0</v>
      </c>
      <c r="AQ499">
        <f t="shared" si="266"/>
        <v>1</v>
      </c>
      <c r="AU499" t="str">
        <f>IF(次果筐明细!$C499="","",次果筐明细!$C499)</f>
        <v/>
      </c>
      <c r="AV499">
        <f t="shared" si="267"/>
        <v>0</v>
      </c>
      <c r="AW499">
        <f t="shared" si="268"/>
        <v>1</v>
      </c>
      <c r="BS499" t="str">
        <f t="shared" si="277"/>
        <v/>
      </c>
      <c r="BT499">
        <f t="shared" si="269"/>
        <v>0</v>
      </c>
      <c r="BU499">
        <f t="shared" si="270"/>
        <v>17</v>
      </c>
      <c r="BY499" t="str">
        <f t="shared" si="276"/>
        <v/>
      </c>
      <c r="BZ499">
        <f t="shared" si="271"/>
        <v>0</v>
      </c>
      <c r="CA499">
        <f t="shared" si="272"/>
        <v>16</v>
      </c>
      <c r="CP499">
        <f>IF(包装物料出入库明细!$D499="",0,1)</f>
        <v>0</v>
      </c>
      <c r="CQ499">
        <f t="shared" si="273"/>
        <v>37</v>
      </c>
      <c r="CS499" t="str">
        <f>IF(OR(周转筐出入库明细!$C500="",周转筐出入库明细!$F500&lt;&gt;"采购入库"),"",周转筐出入库明细!$C500)</f>
        <v/>
      </c>
      <c r="CT499">
        <f t="shared" si="274"/>
        <v>0</v>
      </c>
      <c r="CU499">
        <f t="shared" si="275"/>
        <v>1</v>
      </c>
    </row>
    <row r="500" spans="1:99">
      <c r="A500" t="str">
        <f>IF(包装物料出入库明细!$E500="","",包装物料出入库明细!$E500)</f>
        <v/>
      </c>
      <c r="B500">
        <f t="shared" si="253"/>
        <v>0</v>
      </c>
      <c r="C500">
        <f t="shared" si="254"/>
        <v>7</v>
      </c>
      <c r="D500" t="str">
        <f>IF(包装物料出入库明细!$E500="","",包装物料出入库明细!$F500)</f>
        <v/>
      </c>
      <c r="E500" t="str">
        <f>IF(包装物料出入库明细!$E500="","",包装物料出入库明细!$G500)</f>
        <v/>
      </c>
      <c r="K500" t="str">
        <f>IF(包装物料出入库明细!$D500="","",包装物料出入库明细!$D500)</f>
        <v/>
      </c>
      <c r="L500">
        <f t="shared" si="255"/>
        <v>0</v>
      </c>
      <c r="M500">
        <f t="shared" si="256"/>
        <v>9</v>
      </c>
      <c r="Q500" t="str">
        <f>IF(周转筐出入库明细!$D501="","",周转筐出入库明细!$D501)</f>
        <v/>
      </c>
      <c r="R500">
        <f t="shared" si="257"/>
        <v>0</v>
      </c>
      <c r="S500">
        <f t="shared" si="258"/>
        <v>5</v>
      </c>
      <c r="W500" t="str">
        <f>IF(周转筐出入库明细!$C501="","",周转筐出入库明细!$C501)</f>
        <v/>
      </c>
      <c r="X500">
        <f t="shared" si="259"/>
        <v>0</v>
      </c>
      <c r="Y500">
        <f t="shared" si="260"/>
        <v>12</v>
      </c>
      <c r="AC500" t="str">
        <f>IF(客户自备加工筐明细!$C500="","",客户自备加工筐明细!$C500)</f>
        <v/>
      </c>
      <c r="AD500">
        <f t="shared" si="261"/>
        <v>0</v>
      </c>
      <c r="AE500">
        <f t="shared" si="262"/>
        <v>1</v>
      </c>
      <c r="AI500" t="str">
        <f>IF(客户自备加工筐明细!$E500="","",客户自备加工筐明细!$E500)</f>
        <v/>
      </c>
      <c r="AJ500">
        <f t="shared" si="263"/>
        <v>0</v>
      </c>
      <c r="AK500">
        <f t="shared" si="264"/>
        <v>1</v>
      </c>
      <c r="AO500" t="str">
        <f>IF(次果筐明细!$D500="","",次果筐明细!$D500)</f>
        <v/>
      </c>
      <c r="AP500">
        <f t="shared" si="265"/>
        <v>0</v>
      </c>
      <c r="AQ500">
        <f t="shared" si="266"/>
        <v>1</v>
      </c>
      <c r="AU500" t="str">
        <f>IF(次果筐明细!$C500="","",次果筐明细!$C500)</f>
        <v/>
      </c>
      <c r="AV500">
        <f t="shared" si="267"/>
        <v>0</v>
      </c>
      <c r="AW500">
        <f t="shared" si="268"/>
        <v>1</v>
      </c>
      <c r="BS500" t="str">
        <f t="shared" si="277"/>
        <v/>
      </c>
      <c r="BT500">
        <f t="shared" si="269"/>
        <v>0</v>
      </c>
      <c r="BU500">
        <f t="shared" si="270"/>
        <v>17</v>
      </c>
      <c r="BY500" t="str">
        <f t="shared" si="276"/>
        <v/>
      </c>
      <c r="BZ500">
        <f t="shared" si="271"/>
        <v>0</v>
      </c>
      <c r="CA500">
        <f t="shared" si="272"/>
        <v>16</v>
      </c>
      <c r="CP500">
        <f>IF(包装物料出入库明细!$D500="",0,1)</f>
        <v>0</v>
      </c>
      <c r="CQ500">
        <f t="shared" si="273"/>
        <v>37</v>
      </c>
      <c r="CS500" t="str">
        <f>IF(OR(周转筐出入库明细!$C501="",周转筐出入库明细!$F501&lt;&gt;"采购入库"),"",周转筐出入库明细!$C501)</f>
        <v/>
      </c>
      <c r="CT500">
        <f t="shared" si="274"/>
        <v>0</v>
      </c>
      <c r="CU500">
        <f t="shared" si="275"/>
        <v>1</v>
      </c>
    </row>
    <row r="501" spans="1:99">
      <c r="A501" t="str">
        <f>IF(包装物料出入库明细!$E501="","",包装物料出入库明细!$E501)</f>
        <v/>
      </c>
      <c r="B501">
        <f t="shared" si="253"/>
        <v>0</v>
      </c>
      <c r="C501">
        <f t="shared" si="254"/>
        <v>7</v>
      </c>
      <c r="D501" t="str">
        <f>IF(包装物料出入库明细!$E501="","",包装物料出入库明细!$F501)</f>
        <v/>
      </c>
      <c r="E501" t="str">
        <f>IF(包装物料出入库明细!$E501="","",包装物料出入库明细!$G501)</f>
        <v/>
      </c>
      <c r="K501" t="str">
        <f>IF(包装物料出入库明细!$D501="","",包装物料出入库明细!$D501)</f>
        <v/>
      </c>
      <c r="L501">
        <f t="shared" si="255"/>
        <v>0</v>
      </c>
      <c r="M501">
        <f t="shared" si="256"/>
        <v>9</v>
      </c>
      <c r="Q501" t="str">
        <f>IF(周转筐出入库明细!$D502="","",周转筐出入库明细!$D502)</f>
        <v/>
      </c>
      <c r="R501">
        <f t="shared" si="257"/>
        <v>0</v>
      </c>
      <c r="S501">
        <f t="shared" si="258"/>
        <v>5</v>
      </c>
      <c r="W501" t="str">
        <f>IF(周转筐出入库明细!$C502="","",周转筐出入库明细!$C502)</f>
        <v/>
      </c>
      <c r="X501">
        <f t="shared" si="259"/>
        <v>0</v>
      </c>
      <c r="Y501">
        <f t="shared" si="260"/>
        <v>12</v>
      </c>
      <c r="AC501" t="str">
        <f>IF(客户自备加工筐明细!$C501="","",客户自备加工筐明细!$C501)</f>
        <v/>
      </c>
      <c r="AD501">
        <f t="shared" si="261"/>
        <v>0</v>
      </c>
      <c r="AE501">
        <f t="shared" si="262"/>
        <v>1</v>
      </c>
      <c r="AI501" t="str">
        <f>IF(客户自备加工筐明细!$E501="","",客户自备加工筐明细!$E501)</f>
        <v/>
      </c>
      <c r="AJ501">
        <f t="shared" si="263"/>
        <v>0</v>
      </c>
      <c r="AK501">
        <f t="shared" si="264"/>
        <v>1</v>
      </c>
      <c r="AO501" t="str">
        <f>IF(次果筐明细!$D501="","",次果筐明细!$D501)</f>
        <v/>
      </c>
      <c r="AP501">
        <f t="shared" si="265"/>
        <v>0</v>
      </c>
      <c r="AQ501">
        <f t="shared" si="266"/>
        <v>1</v>
      </c>
      <c r="AU501" t="str">
        <f>IF(次果筐明细!$C501="","",次果筐明细!$C501)</f>
        <v/>
      </c>
      <c r="AV501">
        <f t="shared" si="267"/>
        <v>0</v>
      </c>
      <c r="AW501">
        <f t="shared" si="268"/>
        <v>1</v>
      </c>
      <c r="BS501" t="str">
        <f t="shared" si="277"/>
        <v/>
      </c>
      <c r="BT501">
        <f t="shared" si="269"/>
        <v>0</v>
      </c>
      <c r="BU501">
        <f t="shared" si="270"/>
        <v>17</v>
      </c>
      <c r="BY501" t="str">
        <f t="shared" si="276"/>
        <v/>
      </c>
      <c r="BZ501">
        <f t="shared" si="271"/>
        <v>0</v>
      </c>
      <c r="CA501">
        <f t="shared" si="272"/>
        <v>16</v>
      </c>
      <c r="CP501">
        <f>IF(包装物料出入库明细!$D501="",0,1)</f>
        <v>0</v>
      </c>
      <c r="CQ501">
        <f t="shared" si="273"/>
        <v>37</v>
      </c>
      <c r="CS501" t="str">
        <f>IF(OR(周转筐出入库明细!$C502="",周转筐出入库明细!$F502&lt;&gt;"采购入库"),"",周转筐出入库明细!$C502)</f>
        <v/>
      </c>
      <c r="CT501">
        <f t="shared" si="274"/>
        <v>0</v>
      </c>
      <c r="CU501">
        <f t="shared" si="275"/>
        <v>1</v>
      </c>
    </row>
    <row r="502" spans="1:99">
      <c r="A502" t="str">
        <f>IF(包装物料出入库明细!$E502="","",包装物料出入库明细!$E502)</f>
        <v/>
      </c>
      <c r="B502">
        <f t="shared" si="253"/>
        <v>0</v>
      </c>
      <c r="C502">
        <f t="shared" si="254"/>
        <v>7</v>
      </c>
      <c r="D502" t="str">
        <f>IF(包装物料出入库明细!$E502="","",包装物料出入库明细!$F502)</f>
        <v/>
      </c>
      <c r="E502" t="str">
        <f>IF(包装物料出入库明细!$E502="","",包装物料出入库明细!$G502)</f>
        <v/>
      </c>
      <c r="K502" t="str">
        <f>IF(包装物料出入库明细!$D502="","",包装物料出入库明细!$D502)</f>
        <v/>
      </c>
      <c r="L502">
        <f t="shared" si="255"/>
        <v>0</v>
      </c>
      <c r="M502">
        <f t="shared" si="256"/>
        <v>9</v>
      </c>
      <c r="Q502" t="str">
        <f>IF(周转筐出入库明细!$D503="","",周转筐出入库明细!$D503)</f>
        <v/>
      </c>
      <c r="R502">
        <f t="shared" si="257"/>
        <v>0</v>
      </c>
      <c r="S502">
        <f t="shared" si="258"/>
        <v>5</v>
      </c>
      <c r="W502" t="str">
        <f>IF(周转筐出入库明细!$C503="","",周转筐出入库明细!$C503)</f>
        <v/>
      </c>
      <c r="X502">
        <f t="shared" si="259"/>
        <v>0</v>
      </c>
      <c r="Y502">
        <f t="shared" si="260"/>
        <v>12</v>
      </c>
      <c r="AC502" t="str">
        <f>IF(客户自备加工筐明细!$C502="","",客户自备加工筐明细!$C502)</f>
        <v/>
      </c>
      <c r="AD502">
        <f t="shared" si="261"/>
        <v>0</v>
      </c>
      <c r="AE502">
        <f t="shared" si="262"/>
        <v>1</v>
      </c>
      <c r="AI502" t="str">
        <f>IF(客户自备加工筐明细!$E502="","",客户自备加工筐明细!$E502)</f>
        <v/>
      </c>
      <c r="AJ502">
        <f t="shared" si="263"/>
        <v>0</v>
      </c>
      <c r="AK502">
        <f t="shared" si="264"/>
        <v>1</v>
      </c>
      <c r="AO502" t="str">
        <f>IF(次果筐明细!$D502="","",次果筐明细!$D502)</f>
        <v/>
      </c>
      <c r="AP502">
        <f t="shared" si="265"/>
        <v>0</v>
      </c>
      <c r="AQ502">
        <f t="shared" si="266"/>
        <v>1</v>
      </c>
      <c r="AU502" t="str">
        <f>IF(次果筐明细!$C502="","",次果筐明细!$C502)</f>
        <v/>
      </c>
      <c r="AV502">
        <f t="shared" si="267"/>
        <v>0</v>
      </c>
      <c r="AW502">
        <f t="shared" si="268"/>
        <v>1</v>
      </c>
      <c r="BS502" t="str">
        <f t="shared" si="277"/>
        <v/>
      </c>
      <c r="BT502">
        <f t="shared" si="269"/>
        <v>0</v>
      </c>
      <c r="BU502">
        <f t="shared" si="270"/>
        <v>17</v>
      </c>
      <c r="BY502" t="str">
        <f t="shared" si="276"/>
        <v/>
      </c>
      <c r="BZ502">
        <f t="shared" si="271"/>
        <v>0</v>
      </c>
      <c r="CA502">
        <f t="shared" si="272"/>
        <v>16</v>
      </c>
      <c r="CP502">
        <f>IF(包装物料出入库明细!$D502="",0,1)</f>
        <v>0</v>
      </c>
      <c r="CQ502">
        <f t="shared" si="273"/>
        <v>37</v>
      </c>
      <c r="CS502" t="str">
        <f>IF(OR(周转筐出入库明细!$C503="",周转筐出入库明细!$F503&lt;&gt;"采购入库"),"",周转筐出入库明细!$C503)</f>
        <v/>
      </c>
      <c r="CT502">
        <f t="shared" si="274"/>
        <v>0</v>
      </c>
      <c r="CU502">
        <f t="shared" si="275"/>
        <v>1</v>
      </c>
    </row>
    <row r="503" spans="1:99">
      <c r="A503" t="str">
        <f>IF(包装物料出入库明细!$E503="","",包装物料出入库明细!$E503)</f>
        <v/>
      </c>
      <c r="B503">
        <f t="shared" si="253"/>
        <v>0</v>
      </c>
      <c r="C503">
        <f t="shared" si="254"/>
        <v>7</v>
      </c>
      <c r="D503" t="str">
        <f>IF(包装物料出入库明细!$E503="","",包装物料出入库明细!$F503)</f>
        <v/>
      </c>
      <c r="E503" t="str">
        <f>IF(包装物料出入库明细!$E503="","",包装物料出入库明细!$G503)</f>
        <v/>
      </c>
      <c r="K503" t="str">
        <f>IF(包装物料出入库明细!$D503="","",包装物料出入库明细!$D503)</f>
        <v/>
      </c>
      <c r="L503">
        <f t="shared" si="255"/>
        <v>0</v>
      </c>
      <c r="M503">
        <f t="shared" si="256"/>
        <v>9</v>
      </c>
      <c r="Q503" t="str">
        <f>IF(周转筐出入库明细!$D504="","",周转筐出入库明细!$D504)</f>
        <v/>
      </c>
      <c r="R503">
        <f t="shared" si="257"/>
        <v>0</v>
      </c>
      <c r="S503">
        <f t="shared" si="258"/>
        <v>5</v>
      </c>
      <c r="W503" t="str">
        <f>IF(周转筐出入库明细!$C504="","",周转筐出入库明细!$C504)</f>
        <v/>
      </c>
      <c r="X503">
        <f t="shared" si="259"/>
        <v>0</v>
      </c>
      <c r="Y503">
        <f t="shared" si="260"/>
        <v>12</v>
      </c>
      <c r="AC503" t="str">
        <f>IF(客户自备加工筐明细!$C503="","",客户自备加工筐明细!$C503)</f>
        <v/>
      </c>
      <c r="AD503">
        <f t="shared" si="261"/>
        <v>0</v>
      </c>
      <c r="AE503">
        <f t="shared" si="262"/>
        <v>1</v>
      </c>
      <c r="AI503" t="str">
        <f>IF(客户自备加工筐明细!$E503="","",客户自备加工筐明细!$E503)</f>
        <v/>
      </c>
      <c r="AJ503">
        <f t="shared" si="263"/>
        <v>0</v>
      </c>
      <c r="AK503">
        <f t="shared" si="264"/>
        <v>1</v>
      </c>
      <c r="AO503" t="str">
        <f>IF(次果筐明细!$D503="","",次果筐明细!$D503)</f>
        <v/>
      </c>
      <c r="AP503">
        <f t="shared" si="265"/>
        <v>0</v>
      </c>
      <c r="AQ503">
        <f t="shared" si="266"/>
        <v>1</v>
      </c>
      <c r="AU503" t="str">
        <f>IF(次果筐明细!$C503="","",次果筐明细!$C503)</f>
        <v/>
      </c>
      <c r="AV503">
        <f t="shared" si="267"/>
        <v>0</v>
      </c>
      <c r="AW503">
        <f t="shared" si="268"/>
        <v>1</v>
      </c>
      <c r="BS503" t="str">
        <f t="shared" si="277"/>
        <v/>
      </c>
      <c r="BT503">
        <f t="shared" si="269"/>
        <v>0</v>
      </c>
      <c r="BU503">
        <f t="shared" si="270"/>
        <v>17</v>
      </c>
      <c r="BY503" t="str">
        <f t="shared" si="276"/>
        <v/>
      </c>
      <c r="BZ503">
        <f t="shared" si="271"/>
        <v>0</v>
      </c>
      <c r="CA503">
        <f t="shared" si="272"/>
        <v>16</v>
      </c>
      <c r="CP503">
        <f>IF(包装物料出入库明细!$D503="",0,1)</f>
        <v>0</v>
      </c>
      <c r="CQ503">
        <f t="shared" si="273"/>
        <v>37</v>
      </c>
      <c r="CS503" t="str">
        <f>IF(OR(周转筐出入库明细!$C504="",周转筐出入库明细!$F504&lt;&gt;"采购入库"),"",周转筐出入库明细!$C504)</f>
        <v/>
      </c>
      <c r="CT503">
        <f t="shared" si="274"/>
        <v>0</v>
      </c>
      <c r="CU503">
        <f t="shared" si="275"/>
        <v>1</v>
      </c>
    </row>
    <row r="504" spans="1:99">
      <c r="A504" t="str">
        <f>IF(包装物料出入库明细!$E504="","",包装物料出入库明细!$E504)</f>
        <v/>
      </c>
      <c r="B504">
        <f t="shared" si="253"/>
        <v>0</v>
      </c>
      <c r="C504">
        <f t="shared" si="254"/>
        <v>7</v>
      </c>
      <c r="D504" t="str">
        <f>IF(包装物料出入库明细!$E504="","",包装物料出入库明细!$F504)</f>
        <v/>
      </c>
      <c r="E504" t="str">
        <f>IF(包装物料出入库明细!$E504="","",包装物料出入库明细!$G504)</f>
        <v/>
      </c>
      <c r="K504" t="str">
        <f>IF(包装物料出入库明细!$D504="","",包装物料出入库明细!$D504)</f>
        <v/>
      </c>
      <c r="L504">
        <f t="shared" si="255"/>
        <v>0</v>
      </c>
      <c r="M504">
        <f t="shared" si="256"/>
        <v>9</v>
      </c>
      <c r="Q504" t="str">
        <f>IF(周转筐出入库明细!$D505="","",周转筐出入库明细!$D505)</f>
        <v/>
      </c>
      <c r="R504">
        <f t="shared" si="257"/>
        <v>0</v>
      </c>
      <c r="S504">
        <f t="shared" si="258"/>
        <v>5</v>
      </c>
      <c r="W504" t="str">
        <f>IF(周转筐出入库明细!$C505="","",周转筐出入库明细!$C505)</f>
        <v/>
      </c>
      <c r="X504">
        <f t="shared" si="259"/>
        <v>0</v>
      </c>
      <c r="Y504">
        <f t="shared" si="260"/>
        <v>12</v>
      </c>
      <c r="AC504" t="str">
        <f>IF(客户自备加工筐明细!$C504="","",客户自备加工筐明细!$C504)</f>
        <v/>
      </c>
      <c r="AD504">
        <f t="shared" si="261"/>
        <v>0</v>
      </c>
      <c r="AE504">
        <f t="shared" si="262"/>
        <v>1</v>
      </c>
      <c r="AI504" t="str">
        <f>IF(客户自备加工筐明细!$E504="","",客户自备加工筐明细!$E504)</f>
        <v/>
      </c>
      <c r="AJ504">
        <f t="shared" si="263"/>
        <v>0</v>
      </c>
      <c r="AK504">
        <f t="shared" si="264"/>
        <v>1</v>
      </c>
      <c r="AO504" t="str">
        <f>IF(次果筐明细!$D504="","",次果筐明细!$D504)</f>
        <v/>
      </c>
      <c r="AP504">
        <f t="shared" si="265"/>
        <v>0</v>
      </c>
      <c r="AQ504">
        <f t="shared" si="266"/>
        <v>1</v>
      </c>
      <c r="AU504" t="str">
        <f>IF(次果筐明细!$C504="","",次果筐明细!$C504)</f>
        <v/>
      </c>
      <c r="AV504">
        <f t="shared" si="267"/>
        <v>0</v>
      </c>
      <c r="AW504">
        <f t="shared" si="268"/>
        <v>1</v>
      </c>
      <c r="BS504" t="str">
        <f t="shared" si="277"/>
        <v/>
      </c>
      <c r="BT504">
        <f t="shared" si="269"/>
        <v>0</v>
      </c>
      <c r="BU504">
        <f t="shared" si="270"/>
        <v>17</v>
      </c>
      <c r="CP504">
        <f>IF(包装物料出入库明细!$D504="",0,1)</f>
        <v>0</v>
      </c>
      <c r="CQ504">
        <f t="shared" si="273"/>
        <v>37</v>
      </c>
      <c r="CS504" t="str">
        <f>IF(OR(周转筐出入库明细!$C505="",周转筐出入库明细!$F505&lt;&gt;"采购入库"),"",周转筐出入库明细!$C505)</f>
        <v/>
      </c>
      <c r="CT504">
        <f t="shared" si="274"/>
        <v>0</v>
      </c>
      <c r="CU504">
        <f t="shared" si="275"/>
        <v>1</v>
      </c>
    </row>
    <row r="505" spans="1:99">
      <c r="A505" t="str">
        <f>IF(包装物料出入库明细!$E505="","",包装物料出入库明细!$E505)</f>
        <v/>
      </c>
      <c r="B505">
        <f t="shared" si="253"/>
        <v>0</v>
      </c>
      <c r="C505">
        <f t="shared" si="254"/>
        <v>7</v>
      </c>
      <c r="D505" t="str">
        <f>IF(包装物料出入库明细!$E505="","",包装物料出入库明细!$F505)</f>
        <v/>
      </c>
      <c r="E505" t="str">
        <f>IF(包装物料出入库明细!$E505="","",包装物料出入库明细!$G505)</f>
        <v/>
      </c>
      <c r="K505" t="str">
        <f>IF(包装物料出入库明细!$D505="","",包装物料出入库明细!$D505)</f>
        <v/>
      </c>
      <c r="L505">
        <f t="shared" si="255"/>
        <v>0</v>
      </c>
      <c r="M505">
        <f t="shared" si="256"/>
        <v>9</v>
      </c>
      <c r="Q505" t="str">
        <f>IF(周转筐出入库明细!$D506="","",周转筐出入库明细!$D506)</f>
        <v/>
      </c>
      <c r="R505">
        <f t="shared" si="257"/>
        <v>0</v>
      </c>
      <c r="S505">
        <f t="shared" si="258"/>
        <v>5</v>
      </c>
      <c r="W505" t="str">
        <f>IF(周转筐出入库明细!$C506="","",周转筐出入库明细!$C506)</f>
        <v/>
      </c>
      <c r="X505">
        <f t="shared" si="259"/>
        <v>0</v>
      </c>
      <c r="Y505">
        <f t="shared" si="260"/>
        <v>12</v>
      </c>
      <c r="AC505" t="str">
        <f>IF(客户自备加工筐明细!$C505="","",客户自备加工筐明细!$C505)</f>
        <v/>
      </c>
      <c r="AD505">
        <f t="shared" si="261"/>
        <v>0</v>
      </c>
      <c r="AE505">
        <f t="shared" si="262"/>
        <v>1</v>
      </c>
      <c r="AI505" t="str">
        <f>IF(客户自备加工筐明细!$E505="","",客户自备加工筐明细!$E505)</f>
        <v/>
      </c>
      <c r="AJ505">
        <f t="shared" si="263"/>
        <v>0</v>
      </c>
      <c r="AK505">
        <f t="shared" si="264"/>
        <v>1</v>
      </c>
      <c r="AO505" t="str">
        <f>IF(次果筐明细!$D505="","",次果筐明细!$D505)</f>
        <v/>
      </c>
      <c r="AP505">
        <f t="shared" si="265"/>
        <v>0</v>
      </c>
      <c r="AQ505">
        <f t="shared" si="266"/>
        <v>1</v>
      </c>
      <c r="AU505" t="str">
        <f>IF(次果筐明细!$C505="","",次果筐明细!$C505)</f>
        <v/>
      </c>
      <c r="AV505">
        <f t="shared" si="267"/>
        <v>0</v>
      </c>
      <c r="AW505">
        <f t="shared" si="268"/>
        <v>1</v>
      </c>
      <c r="BS505" t="str">
        <f t="shared" si="277"/>
        <v/>
      </c>
      <c r="BT505">
        <f t="shared" si="269"/>
        <v>0</v>
      </c>
      <c r="BU505">
        <f t="shared" si="270"/>
        <v>17</v>
      </c>
      <c r="CP505">
        <f>IF(包装物料出入库明细!$D505="",0,1)</f>
        <v>0</v>
      </c>
      <c r="CQ505">
        <f t="shared" si="273"/>
        <v>37</v>
      </c>
      <c r="CS505" t="str">
        <f>IF(OR(周转筐出入库明细!$C506="",周转筐出入库明细!$F506&lt;&gt;"采购入库"),"",周转筐出入库明细!$C506)</f>
        <v/>
      </c>
      <c r="CT505">
        <f t="shared" si="274"/>
        <v>0</v>
      </c>
      <c r="CU505">
        <f t="shared" si="275"/>
        <v>1</v>
      </c>
    </row>
    <row r="506" spans="1:99">
      <c r="A506" t="str">
        <f>IF(包装物料出入库明细!$E506="","",包装物料出入库明细!$E506)</f>
        <v/>
      </c>
      <c r="B506">
        <f t="shared" si="253"/>
        <v>0</v>
      </c>
      <c r="C506">
        <f t="shared" si="254"/>
        <v>7</v>
      </c>
      <c r="D506" t="str">
        <f>IF(包装物料出入库明细!$E506="","",包装物料出入库明细!$F506)</f>
        <v/>
      </c>
      <c r="E506" t="str">
        <f>IF(包装物料出入库明细!$E506="","",包装物料出入库明细!$G506)</f>
        <v/>
      </c>
      <c r="K506" t="str">
        <f>IF(包装物料出入库明细!$D506="","",包装物料出入库明细!$D506)</f>
        <v/>
      </c>
      <c r="L506">
        <f t="shared" si="255"/>
        <v>0</v>
      </c>
      <c r="M506">
        <f t="shared" si="256"/>
        <v>9</v>
      </c>
      <c r="Q506" t="str">
        <f>IF(周转筐出入库明细!$D507="","",周转筐出入库明细!$D507)</f>
        <v/>
      </c>
      <c r="R506">
        <f t="shared" si="257"/>
        <v>0</v>
      </c>
      <c r="S506">
        <f t="shared" si="258"/>
        <v>5</v>
      </c>
      <c r="W506" t="str">
        <f>IF(周转筐出入库明细!$C507="","",周转筐出入库明细!$C507)</f>
        <v/>
      </c>
      <c r="X506">
        <f t="shared" si="259"/>
        <v>0</v>
      </c>
      <c r="Y506">
        <f t="shared" si="260"/>
        <v>12</v>
      </c>
      <c r="AC506" t="str">
        <f>IF(客户自备加工筐明细!$C506="","",客户自备加工筐明细!$C506)</f>
        <v/>
      </c>
      <c r="AD506">
        <f t="shared" si="261"/>
        <v>0</v>
      </c>
      <c r="AE506">
        <f t="shared" si="262"/>
        <v>1</v>
      </c>
      <c r="AI506" t="str">
        <f>IF(客户自备加工筐明细!$E506="","",客户自备加工筐明细!$E506)</f>
        <v/>
      </c>
      <c r="AJ506">
        <f t="shared" si="263"/>
        <v>0</v>
      </c>
      <c r="AK506">
        <f t="shared" si="264"/>
        <v>1</v>
      </c>
      <c r="AO506" t="str">
        <f>IF(次果筐明细!$D506="","",次果筐明细!$D506)</f>
        <v/>
      </c>
      <c r="AP506">
        <f t="shared" si="265"/>
        <v>0</v>
      </c>
      <c r="AQ506">
        <f t="shared" si="266"/>
        <v>1</v>
      </c>
      <c r="AU506" t="str">
        <f>IF(次果筐明细!$C506="","",次果筐明细!$C506)</f>
        <v/>
      </c>
      <c r="AV506">
        <f t="shared" si="267"/>
        <v>0</v>
      </c>
      <c r="AW506">
        <f t="shared" si="268"/>
        <v>1</v>
      </c>
      <c r="BS506" t="str">
        <f t="shared" si="277"/>
        <v/>
      </c>
      <c r="BT506">
        <f t="shared" si="269"/>
        <v>0</v>
      </c>
      <c r="BU506">
        <f t="shared" si="270"/>
        <v>17</v>
      </c>
      <c r="CP506">
        <f>IF(包装物料出入库明细!$D506="",0,1)</f>
        <v>0</v>
      </c>
      <c r="CQ506">
        <f t="shared" si="273"/>
        <v>37</v>
      </c>
      <c r="CS506" t="str">
        <f>IF(OR(周转筐出入库明细!$C507="",周转筐出入库明细!$F507&lt;&gt;"采购入库"),"",周转筐出入库明细!$C507)</f>
        <v/>
      </c>
      <c r="CT506">
        <f t="shared" si="274"/>
        <v>0</v>
      </c>
      <c r="CU506">
        <f t="shared" si="275"/>
        <v>1</v>
      </c>
    </row>
    <row r="507" spans="1:99">
      <c r="A507" t="str">
        <f>IF(包装物料出入库明细!$E507="","",包装物料出入库明细!$E507)</f>
        <v/>
      </c>
      <c r="B507">
        <f t="shared" si="253"/>
        <v>0</v>
      </c>
      <c r="C507">
        <f t="shared" si="254"/>
        <v>7</v>
      </c>
      <c r="D507" t="str">
        <f>IF(包装物料出入库明细!$E507="","",包装物料出入库明细!$F507)</f>
        <v/>
      </c>
      <c r="E507" t="str">
        <f>IF(包装物料出入库明细!$E507="","",包装物料出入库明细!$G507)</f>
        <v/>
      </c>
      <c r="K507" t="str">
        <f>IF(包装物料出入库明细!$D507="","",包装物料出入库明细!$D507)</f>
        <v/>
      </c>
      <c r="L507">
        <f t="shared" si="255"/>
        <v>0</v>
      </c>
      <c r="M507">
        <f t="shared" si="256"/>
        <v>9</v>
      </c>
      <c r="Q507" t="str">
        <f>IF(周转筐出入库明细!$D508="","",周转筐出入库明细!$D508)</f>
        <v/>
      </c>
      <c r="R507">
        <f t="shared" si="257"/>
        <v>0</v>
      </c>
      <c r="S507">
        <f t="shared" si="258"/>
        <v>5</v>
      </c>
      <c r="W507" t="str">
        <f>IF(周转筐出入库明细!$C508="","",周转筐出入库明细!$C508)</f>
        <v/>
      </c>
      <c r="X507">
        <f t="shared" si="259"/>
        <v>0</v>
      </c>
      <c r="Y507">
        <f t="shared" si="260"/>
        <v>12</v>
      </c>
      <c r="AC507" t="str">
        <f>IF(客户自备加工筐明细!$C507="","",客户自备加工筐明细!$C507)</f>
        <v/>
      </c>
      <c r="AD507">
        <f t="shared" si="261"/>
        <v>0</v>
      </c>
      <c r="AE507">
        <f t="shared" si="262"/>
        <v>1</v>
      </c>
      <c r="AI507" t="str">
        <f>IF(客户自备加工筐明细!$E507="","",客户自备加工筐明细!$E507)</f>
        <v/>
      </c>
      <c r="AJ507">
        <f t="shared" si="263"/>
        <v>0</v>
      </c>
      <c r="AK507">
        <f t="shared" si="264"/>
        <v>1</v>
      </c>
      <c r="AO507" t="str">
        <f>IF(次果筐明细!$D507="","",次果筐明细!$D507)</f>
        <v/>
      </c>
      <c r="AP507">
        <f t="shared" si="265"/>
        <v>0</v>
      </c>
      <c r="AQ507">
        <f t="shared" si="266"/>
        <v>1</v>
      </c>
      <c r="AU507" t="str">
        <f>IF(次果筐明细!$C507="","",次果筐明细!$C507)</f>
        <v/>
      </c>
      <c r="AV507">
        <f t="shared" si="267"/>
        <v>0</v>
      </c>
      <c r="AW507">
        <f t="shared" si="268"/>
        <v>1</v>
      </c>
      <c r="BS507" t="str">
        <f t="shared" si="277"/>
        <v/>
      </c>
      <c r="BT507">
        <f t="shared" si="269"/>
        <v>0</v>
      </c>
      <c r="BU507">
        <f t="shared" si="270"/>
        <v>17</v>
      </c>
      <c r="CP507">
        <f>IF(包装物料出入库明细!$D507="",0,1)</f>
        <v>0</v>
      </c>
      <c r="CQ507">
        <f t="shared" si="273"/>
        <v>37</v>
      </c>
      <c r="CS507" t="str">
        <f>IF(OR(周转筐出入库明细!$C508="",周转筐出入库明细!$F508&lt;&gt;"采购入库"),"",周转筐出入库明细!$C508)</f>
        <v/>
      </c>
      <c r="CT507">
        <f t="shared" si="274"/>
        <v>0</v>
      </c>
      <c r="CU507">
        <f t="shared" si="275"/>
        <v>1</v>
      </c>
    </row>
    <row r="508" spans="1:99">
      <c r="A508" t="str">
        <f>IF(包装物料出入库明细!$E508="","",包装物料出入库明细!$E508)</f>
        <v/>
      </c>
      <c r="B508">
        <f t="shared" si="253"/>
        <v>0</v>
      </c>
      <c r="C508">
        <f t="shared" si="254"/>
        <v>7</v>
      </c>
      <c r="D508" t="str">
        <f>IF(包装物料出入库明细!$E508="","",包装物料出入库明细!$F508)</f>
        <v/>
      </c>
      <c r="E508" t="str">
        <f>IF(包装物料出入库明细!$E508="","",包装物料出入库明细!$G508)</f>
        <v/>
      </c>
      <c r="K508" t="str">
        <f>IF(包装物料出入库明细!$D508="","",包装物料出入库明细!$D508)</f>
        <v/>
      </c>
      <c r="L508">
        <f t="shared" si="255"/>
        <v>0</v>
      </c>
      <c r="M508">
        <f t="shared" si="256"/>
        <v>9</v>
      </c>
      <c r="Q508" t="str">
        <f>IF(周转筐出入库明细!$D509="","",周转筐出入库明细!$D509)</f>
        <v/>
      </c>
      <c r="R508">
        <f t="shared" si="257"/>
        <v>0</v>
      </c>
      <c r="S508">
        <f t="shared" si="258"/>
        <v>5</v>
      </c>
      <c r="W508" t="str">
        <f>IF(周转筐出入库明细!$C509="","",周转筐出入库明细!$C509)</f>
        <v/>
      </c>
      <c r="X508">
        <f t="shared" si="259"/>
        <v>0</v>
      </c>
      <c r="Y508">
        <f t="shared" si="260"/>
        <v>12</v>
      </c>
      <c r="AC508" t="str">
        <f>IF(客户自备加工筐明细!$C508="","",客户自备加工筐明细!$C508)</f>
        <v/>
      </c>
      <c r="AD508">
        <f t="shared" si="261"/>
        <v>0</v>
      </c>
      <c r="AE508">
        <f t="shared" si="262"/>
        <v>1</v>
      </c>
      <c r="AI508" t="str">
        <f>IF(客户自备加工筐明细!$E508="","",客户自备加工筐明细!$E508)</f>
        <v/>
      </c>
      <c r="AJ508">
        <f t="shared" si="263"/>
        <v>0</v>
      </c>
      <c r="AK508">
        <f t="shared" si="264"/>
        <v>1</v>
      </c>
      <c r="AO508" t="str">
        <f>IF(次果筐明细!$D508="","",次果筐明细!$D508)</f>
        <v/>
      </c>
      <c r="AP508">
        <f t="shared" si="265"/>
        <v>0</v>
      </c>
      <c r="AQ508">
        <f t="shared" si="266"/>
        <v>1</v>
      </c>
      <c r="AU508" t="str">
        <f>IF(次果筐明细!$C508="","",次果筐明细!$C508)</f>
        <v/>
      </c>
      <c r="AV508">
        <f t="shared" si="267"/>
        <v>0</v>
      </c>
      <c r="AW508">
        <f t="shared" si="268"/>
        <v>1</v>
      </c>
      <c r="BS508" t="str">
        <f t="shared" si="277"/>
        <v/>
      </c>
      <c r="BT508">
        <f t="shared" si="269"/>
        <v>0</v>
      </c>
      <c r="BU508">
        <f t="shared" si="270"/>
        <v>17</v>
      </c>
      <c r="CP508">
        <f>IF(包装物料出入库明细!$D508="",0,1)</f>
        <v>0</v>
      </c>
      <c r="CQ508">
        <f t="shared" si="273"/>
        <v>37</v>
      </c>
      <c r="CS508" t="str">
        <f>IF(OR(周转筐出入库明细!$C509="",周转筐出入库明细!$F509&lt;&gt;"采购入库"),"",周转筐出入库明细!$C509)</f>
        <v/>
      </c>
      <c r="CT508">
        <f t="shared" si="274"/>
        <v>0</v>
      </c>
      <c r="CU508">
        <f t="shared" si="275"/>
        <v>1</v>
      </c>
    </row>
    <row r="509" spans="1:99">
      <c r="A509" t="str">
        <f>IF(包装物料出入库明细!$E509="","",包装物料出入库明细!$E509)</f>
        <v/>
      </c>
      <c r="B509">
        <f t="shared" si="253"/>
        <v>0</v>
      </c>
      <c r="C509">
        <f t="shared" si="254"/>
        <v>7</v>
      </c>
      <c r="D509" t="str">
        <f>IF(包装物料出入库明细!$E509="","",包装物料出入库明细!$F509)</f>
        <v/>
      </c>
      <c r="E509" t="str">
        <f>IF(包装物料出入库明细!$E509="","",包装物料出入库明细!$G509)</f>
        <v/>
      </c>
      <c r="K509" t="str">
        <f>IF(包装物料出入库明细!$D509="","",包装物料出入库明细!$D509)</f>
        <v/>
      </c>
      <c r="L509">
        <f t="shared" si="255"/>
        <v>0</v>
      </c>
      <c r="M509">
        <f t="shared" si="256"/>
        <v>9</v>
      </c>
      <c r="Q509" t="str">
        <f>IF(周转筐出入库明细!$D510="","",周转筐出入库明细!$D510)</f>
        <v/>
      </c>
      <c r="R509">
        <f t="shared" si="257"/>
        <v>0</v>
      </c>
      <c r="S509">
        <f t="shared" si="258"/>
        <v>5</v>
      </c>
      <c r="W509" t="str">
        <f>IF(周转筐出入库明细!$C510="","",周转筐出入库明细!$C510)</f>
        <v/>
      </c>
      <c r="X509">
        <f t="shared" si="259"/>
        <v>0</v>
      </c>
      <c r="Y509">
        <f t="shared" si="260"/>
        <v>12</v>
      </c>
      <c r="AC509" t="str">
        <f>IF(客户自备加工筐明细!$C509="","",客户自备加工筐明细!$C509)</f>
        <v/>
      </c>
      <c r="AD509">
        <f t="shared" si="261"/>
        <v>0</v>
      </c>
      <c r="AE509">
        <f t="shared" si="262"/>
        <v>1</v>
      </c>
      <c r="AI509" t="str">
        <f>IF(客户自备加工筐明细!$E509="","",客户自备加工筐明细!$E509)</f>
        <v/>
      </c>
      <c r="AJ509">
        <f t="shared" si="263"/>
        <v>0</v>
      </c>
      <c r="AK509">
        <f t="shared" si="264"/>
        <v>1</v>
      </c>
      <c r="AO509" t="str">
        <f>IF(次果筐明细!$D509="","",次果筐明细!$D509)</f>
        <v/>
      </c>
      <c r="AP509">
        <f t="shared" si="265"/>
        <v>0</v>
      </c>
      <c r="AQ509">
        <f t="shared" si="266"/>
        <v>1</v>
      </c>
      <c r="AU509" t="str">
        <f>IF(次果筐明细!$C509="","",次果筐明细!$C509)</f>
        <v/>
      </c>
      <c r="AV509">
        <f t="shared" si="267"/>
        <v>0</v>
      </c>
      <c r="AW509">
        <f t="shared" si="268"/>
        <v>1</v>
      </c>
      <c r="BS509" t="str">
        <f t="shared" si="277"/>
        <v/>
      </c>
      <c r="BT509">
        <f t="shared" si="269"/>
        <v>0</v>
      </c>
      <c r="BU509">
        <f t="shared" si="270"/>
        <v>17</v>
      </c>
      <c r="CP509">
        <f>IF(包装物料出入库明细!$D509="",0,1)</f>
        <v>0</v>
      </c>
      <c r="CQ509">
        <f t="shared" si="273"/>
        <v>37</v>
      </c>
      <c r="CS509" t="str">
        <f>IF(OR(周转筐出入库明细!$C510="",周转筐出入库明细!$F510&lt;&gt;"采购入库"),"",周转筐出入库明细!$C510)</f>
        <v/>
      </c>
      <c r="CT509">
        <f t="shared" si="274"/>
        <v>0</v>
      </c>
      <c r="CU509">
        <f t="shared" si="275"/>
        <v>1</v>
      </c>
    </row>
    <row r="510" spans="1:99">
      <c r="A510" t="str">
        <f>IF(包装物料出入库明细!$E510="","",包装物料出入库明细!$E510)</f>
        <v/>
      </c>
      <c r="B510">
        <f t="shared" si="253"/>
        <v>0</v>
      </c>
      <c r="C510">
        <f t="shared" si="254"/>
        <v>7</v>
      </c>
      <c r="D510" t="str">
        <f>IF(包装物料出入库明细!$E510="","",包装物料出入库明细!$F510)</f>
        <v/>
      </c>
      <c r="E510" t="str">
        <f>IF(包装物料出入库明细!$E510="","",包装物料出入库明细!$G510)</f>
        <v/>
      </c>
      <c r="K510" t="str">
        <f>IF(包装物料出入库明细!$D510="","",包装物料出入库明细!$D510)</f>
        <v/>
      </c>
      <c r="L510">
        <f t="shared" si="255"/>
        <v>0</v>
      </c>
      <c r="M510">
        <f t="shared" si="256"/>
        <v>9</v>
      </c>
      <c r="Q510" t="str">
        <f>IF(周转筐出入库明细!$D511="","",周转筐出入库明细!$D511)</f>
        <v/>
      </c>
      <c r="R510">
        <f t="shared" si="257"/>
        <v>0</v>
      </c>
      <c r="S510">
        <f t="shared" si="258"/>
        <v>5</v>
      </c>
      <c r="W510" t="str">
        <f>IF(周转筐出入库明细!$C511="","",周转筐出入库明细!$C511)</f>
        <v/>
      </c>
      <c r="X510">
        <f t="shared" si="259"/>
        <v>0</v>
      </c>
      <c r="Y510">
        <f t="shared" si="260"/>
        <v>12</v>
      </c>
      <c r="AC510" t="str">
        <f>IF(客户自备加工筐明细!$C510="","",客户自备加工筐明细!$C510)</f>
        <v/>
      </c>
      <c r="AD510">
        <f t="shared" si="261"/>
        <v>0</v>
      </c>
      <c r="AE510">
        <f t="shared" si="262"/>
        <v>1</v>
      </c>
      <c r="AI510" t="str">
        <f>IF(客户自备加工筐明细!$E510="","",客户自备加工筐明细!$E510)</f>
        <v/>
      </c>
      <c r="AJ510">
        <f t="shared" si="263"/>
        <v>0</v>
      </c>
      <c r="AK510">
        <f t="shared" si="264"/>
        <v>1</v>
      </c>
      <c r="AO510" t="str">
        <f>IF(次果筐明细!$D510="","",次果筐明细!$D510)</f>
        <v/>
      </c>
      <c r="AP510">
        <f t="shared" si="265"/>
        <v>0</v>
      </c>
      <c r="AQ510">
        <f t="shared" si="266"/>
        <v>1</v>
      </c>
      <c r="AU510" t="str">
        <f>IF(次果筐明细!$C510="","",次果筐明细!$C510)</f>
        <v/>
      </c>
      <c r="AV510">
        <f t="shared" si="267"/>
        <v>0</v>
      </c>
      <c r="AW510">
        <f t="shared" si="268"/>
        <v>1</v>
      </c>
      <c r="BS510" t="str">
        <f t="shared" si="277"/>
        <v/>
      </c>
      <c r="BT510">
        <f t="shared" si="269"/>
        <v>0</v>
      </c>
      <c r="BU510">
        <f t="shared" si="270"/>
        <v>17</v>
      </c>
      <c r="CP510">
        <f>IF(包装物料出入库明细!$D510="",0,1)</f>
        <v>0</v>
      </c>
      <c r="CQ510">
        <f t="shared" si="273"/>
        <v>37</v>
      </c>
      <c r="CS510" t="str">
        <f>IF(OR(周转筐出入库明细!$C511="",周转筐出入库明细!$F511&lt;&gt;"采购入库"),"",周转筐出入库明细!$C511)</f>
        <v/>
      </c>
      <c r="CT510">
        <f t="shared" si="274"/>
        <v>0</v>
      </c>
      <c r="CU510">
        <f t="shared" si="275"/>
        <v>1</v>
      </c>
    </row>
    <row r="511" spans="1:99">
      <c r="A511" t="str">
        <f>IF(包装物料出入库明细!$E511="","",包装物料出入库明细!$E511)</f>
        <v/>
      </c>
      <c r="B511">
        <f t="shared" si="253"/>
        <v>0</v>
      </c>
      <c r="C511">
        <f t="shared" si="254"/>
        <v>7</v>
      </c>
      <c r="D511" t="str">
        <f>IF(包装物料出入库明细!$E511="","",包装物料出入库明细!$F511)</f>
        <v/>
      </c>
      <c r="E511" t="str">
        <f>IF(包装物料出入库明细!$E511="","",包装物料出入库明细!$G511)</f>
        <v/>
      </c>
      <c r="K511" t="str">
        <f>IF(包装物料出入库明细!$D511="","",包装物料出入库明细!$D511)</f>
        <v/>
      </c>
      <c r="L511">
        <f t="shared" si="255"/>
        <v>0</v>
      </c>
      <c r="M511">
        <f t="shared" si="256"/>
        <v>9</v>
      </c>
      <c r="Q511" t="str">
        <f>IF(周转筐出入库明细!$D512="","",周转筐出入库明细!$D512)</f>
        <v/>
      </c>
      <c r="R511">
        <f t="shared" si="257"/>
        <v>0</v>
      </c>
      <c r="S511">
        <f t="shared" si="258"/>
        <v>5</v>
      </c>
      <c r="W511" t="str">
        <f>IF(周转筐出入库明细!$C512="","",周转筐出入库明细!$C512)</f>
        <v/>
      </c>
      <c r="X511">
        <f t="shared" si="259"/>
        <v>0</v>
      </c>
      <c r="Y511">
        <f t="shared" si="260"/>
        <v>12</v>
      </c>
      <c r="AC511" t="str">
        <f>IF(客户自备加工筐明细!$C511="","",客户自备加工筐明细!$C511)</f>
        <v/>
      </c>
      <c r="AD511">
        <f t="shared" si="261"/>
        <v>0</v>
      </c>
      <c r="AE511">
        <f t="shared" si="262"/>
        <v>1</v>
      </c>
      <c r="AI511" t="str">
        <f>IF(客户自备加工筐明细!$E511="","",客户自备加工筐明细!$E511)</f>
        <v/>
      </c>
      <c r="AJ511">
        <f t="shared" si="263"/>
        <v>0</v>
      </c>
      <c r="AK511">
        <f t="shared" si="264"/>
        <v>1</v>
      </c>
      <c r="AO511" t="str">
        <f>IF(次果筐明细!$D511="","",次果筐明细!$D511)</f>
        <v/>
      </c>
      <c r="AP511">
        <f t="shared" si="265"/>
        <v>0</v>
      </c>
      <c r="AQ511">
        <f t="shared" si="266"/>
        <v>1</v>
      </c>
      <c r="AU511" t="str">
        <f>IF(次果筐明细!$C511="","",次果筐明细!$C511)</f>
        <v/>
      </c>
      <c r="AV511">
        <f t="shared" si="267"/>
        <v>0</v>
      </c>
      <c r="AW511">
        <f t="shared" si="268"/>
        <v>1</v>
      </c>
      <c r="BS511" t="str">
        <f t="shared" si="277"/>
        <v/>
      </c>
      <c r="BT511">
        <f t="shared" si="269"/>
        <v>0</v>
      </c>
      <c r="BU511">
        <f t="shared" si="270"/>
        <v>17</v>
      </c>
      <c r="CP511">
        <f>IF(包装物料出入库明细!$D511="",0,1)</f>
        <v>0</v>
      </c>
      <c r="CQ511">
        <f t="shared" si="273"/>
        <v>37</v>
      </c>
      <c r="CS511" t="str">
        <f>IF(OR(周转筐出入库明细!$C512="",周转筐出入库明细!$F512&lt;&gt;"采购入库"),"",周转筐出入库明细!$C512)</f>
        <v/>
      </c>
      <c r="CT511">
        <f t="shared" si="274"/>
        <v>0</v>
      </c>
      <c r="CU511">
        <f t="shared" si="275"/>
        <v>1</v>
      </c>
    </row>
    <row r="512" spans="1:99">
      <c r="A512" t="str">
        <f>IF(包装物料出入库明细!$E512="","",包装物料出入库明细!$E512)</f>
        <v/>
      </c>
      <c r="B512">
        <f t="shared" si="253"/>
        <v>0</v>
      </c>
      <c r="C512">
        <f t="shared" si="254"/>
        <v>7</v>
      </c>
      <c r="D512" t="str">
        <f>IF(包装物料出入库明细!$E512="","",包装物料出入库明细!$F512)</f>
        <v/>
      </c>
      <c r="E512" t="str">
        <f>IF(包装物料出入库明细!$E512="","",包装物料出入库明细!$G512)</f>
        <v/>
      </c>
      <c r="K512" t="str">
        <f>IF(包装物料出入库明细!$D512="","",包装物料出入库明细!$D512)</f>
        <v/>
      </c>
      <c r="L512">
        <f t="shared" si="255"/>
        <v>0</v>
      </c>
      <c r="M512">
        <f t="shared" si="256"/>
        <v>9</v>
      </c>
      <c r="Q512" t="str">
        <f>IF(周转筐出入库明细!$D513="","",周转筐出入库明细!$D513)</f>
        <v/>
      </c>
      <c r="R512">
        <f t="shared" si="257"/>
        <v>0</v>
      </c>
      <c r="S512">
        <f t="shared" si="258"/>
        <v>5</v>
      </c>
      <c r="W512" t="str">
        <f>IF(周转筐出入库明细!$C513="","",周转筐出入库明细!$C513)</f>
        <v/>
      </c>
      <c r="X512">
        <f t="shared" si="259"/>
        <v>0</v>
      </c>
      <c r="Y512">
        <f t="shared" si="260"/>
        <v>12</v>
      </c>
      <c r="AC512" t="str">
        <f>IF(客户自备加工筐明细!$C512="","",客户自备加工筐明细!$C512)</f>
        <v/>
      </c>
      <c r="AD512">
        <f t="shared" si="261"/>
        <v>0</v>
      </c>
      <c r="AE512">
        <f t="shared" si="262"/>
        <v>1</v>
      </c>
      <c r="AI512" t="str">
        <f>IF(客户自备加工筐明细!$E512="","",客户自备加工筐明细!$E512)</f>
        <v/>
      </c>
      <c r="AJ512">
        <f t="shared" si="263"/>
        <v>0</v>
      </c>
      <c r="AK512">
        <f t="shared" si="264"/>
        <v>1</v>
      </c>
      <c r="AO512" t="str">
        <f>IF(次果筐明细!$D512="","",次果筐明细!$D512)</f>
        <v/>
      </c>
      <c r="AP512">
        <f t="shared" si="265"/>
        <v>0</v>
      </c>
      <c r="AQ512">
        <f t="shared" si="266"/>
        <v>1</v>
      </c>
      <c r="AU512" t="str">
        <f>IF(次果筐明细!$C512="","",次果筐明细!$C512)</f>
        <v/>
      </c>
      <c r="AV512">
        <f t="shared" si="267"/>
        <v>0</v>
      </c>
      <c r="AW512">
        <f t="shared" si="268"/>
        <v>1</v>
      </c>
      <c r="BS512" t="str">
        <f t="shared" si="277"/>
        <v/>
      </c>
      <c r="BT512">
        <f t="shared" si="269"/>
        <v>0</v>
      </c>
      <c r="BU512">
        <f t="shared" si="270"/>
        <v>17</v>
      </c>
      <c r="CP512">
        <f>IF(包装物料出入库明细!$D512="",0,1)</f>
        <v>0</v>
      </c>
      <c r="CQ512">
        <f t="shared" si="273"/>
        <v>37</v>
      </c>
      <c r="CS512" t="str">
        <f>IF(OR(周转筐出入库明细!$C513="",周转筐出入库明细!$F513&lt;&gt;"采购入库"),"",周转筐出入库明细!$C513)</f>
        <v/>
      </c>
      <c r="CT512">
        <f t="shared" si="274"/>
        <v>0</v>
      </c>
      <c r="CU512">
        <f t="shared" si="275"/>
        <v>1</v>
      </c>
    </row>
    <row r="513" spans="1:99">
      <c r="A513" t="str">
        <f>IF(包装物料出入库明细!$E513="","",包装物料出入库明细!$E513)</f>
        <v/>
      </c>
      <c r="B513">
        <f t="shared" si="253"/>
        <v>0</v>
      </c>
      <c r="C513">
        <f t="shared" si="254"/>
        <v>7</v>
      </c>
      <c r="D513" t="str">
        <f>IF(包装物料出入库明细!$E513="","",包装物料出入库明细!$F513)</f>
        <v/>
      </c>
      <c r="E513" t="str">
        <f>IF(包装物料出入库明细!$E513="","",包装物料出入库明细!$G513)</f>
        <v/>
      </c>
      <c r="K513" t="str">
        <f>IF(包装物料出入库明细!$D513="","",包装物料出入库明细!$D513)</f>
        <v/>
      </c>
      <c r="L513">
        <f t="shared" si="255"/>
        <v>0</v>
      </c>
      <c r="M513">
        <f t="shared" si="256"/>
        <v>9</v>
      </c>
      <c r="Q513" t="str">
        <f>IF(周转筐出入库明细!$D514="","",周转筐出入库明细!$D514)</f>
        <v/>
      </c>
      <c r="R513">
        <f t="shared" si="257"/>
        <v>0</v>
      </c>
      <c r="S513">
        <f t="shared" si="258"/>
        <v>5</v>
      </c>
      <c r="W513" t="str">
        <f>IF(周转筐出入库明细!$C514="","",周转筐出入库明细!$C514)</f>
        <v/>
      </c>
      <c r="X513">
        <f t="shared" si="259"/>
        <v>0</v>
      </c>
      <c r="Y513">
        <f t="shared" si="260"/>
        <v>12</v>
      </c>
      <c r="AC513" t="str">
        <f>IF(客户自备加工筐明细!$C513="","",客户自备加工筐明细!$C513)</f>
        <v/>
      </c>
      <c r="AD513">
        <f t="shared" si="261"/>
        <v>0</v>
      </c>
      <c r="AE513">
        <f t="shared" si="262"/>
        <v>1</v>
      </c>
      <c r="AI513" t="str">
        <f>IF(客户自备加工筐明细!$E513="","",客户自备加工筐明细!$E513)</f>
        <v/>
      </c>
      <c r="AJ513">
        <f t="shared" si="263"/>
        <v>0</v>
      </c>
      <c r="AK513">
        <f t="shared" si="264"/>
        <v>1</v>
      </c>
      <c r="AO513" t="str">
        <f>IF(次果筐明细!$D513="","",次果筐明细!$D513)</f>
        <v/>
      </c>
      <c r="AP513">
        <f t="shared" si="265"/>
        <v>0</v>
      </c>
      <c r="AQ513">
        <f t="shared" si="266"/>
        <v>1</v>
      </c>
      <c r="AU513" t="str">
        <f>IF(次果筐明细!$C513="","",次果筐明细!$C513)</f>
        <v/>
      </c>
      <c r="AV513">
        <f t="shared" si="267"/>
        <v>0</v>
      </c>
      <c r="AW513">
        <f t="shared" si="268"/>
        <v>1</v>
      </c>
      <c r="BS513" t="str">
        <f t="shared" si="277"/>
        <v/>
      </c>
      <c r="BT513">
        <f t="shared" si="269"/>
        <v>0</v>
      </c>
      <c r="BU513">
        <f t="shared" si="270"/>
        <v>17</v>
      </c>
      <c r="CP513">
        <f>IF(包装物料出入库明细!$D513="",0,1)</f>
        <v>0</v>
      </c>
      <c r="CQ513">
        <f t="shared" si="273"/>
        <v>37</v>
      </c>
      <c r="CS513" t="str">
        <f>IF(OR(周转筐出入库明细!$C514="",周转筐出入库明细!$F514&lt;&gt;"采购入库"),"",周转筐出入库明细!$C514)</f>
        <v/>
      </c>
      <c r="CT513">
        <f t="shared" si="274"/>
        <v>0</v>
      </c>
      <c r="CU513">
        <f t="shared" si="275"/>
        <v>1</v>
      </c>
    </row>
    <row r="514" spans="1:99">
      <c r="A514" t="str">
        <f>IF(包装物料出入库明细!$E514="","",包装物料出入库明细!$E514)</f>
        <v/>
      </c>
      <c r="B514">
        <f t="shared" si="253"/>
        <v>0</v>
      </c>
      <c r="C514">
        <f t="shared" si="254"/>
        <v>7</v>
      </c>
      <c r="D514" t="str">
        <f>IF(包装物料出入库明细!$E514="","",包装物料出入库明细!$F514)</f>
        <v/>
      </c>
      <c r="E514" t="str">
        <f>IF(包装物料出入库明细!$E514="","",包装物料出入库明细!$G514)</f>
        <v/>
      </c>
      <c r="K514" t="str">
        <f>IF(包装物料出入库明细!$D514="","",包装物料出入库明细!$D514)</f>
        <v/>
      </c>
      <c r="L514">
        <f t="shared" si="255"/>
        <v>0</v>
      </c>
      <c r="M514">
        <f t="shared" si="256"/>
        <v>9</v>
      </c>
      <c r="Q514" t="str">
        <f>IF(周转筐出入库明细!$D515="","",周转筐出入库明细!$D515)</f>
        <v/>
      </c>
      <c r="R514">
        <f t="shared" si="257"/>
        <v>0</v>
      </c>
      <c r="S514">
        <f t="shared" si="258"/>
        <v>5</v>
      </c>
      <c r="W514" t="str">
        <f>IF(周转筐出入库明细!$C515="","",周转筐出入库明细!$C515)</f>
        <v/>
      </c>
      <c r="X514">
        <f t="shared" si="259"/>
        <v>0</v>
      </c>
      <c r="Y514">
        <f t="shared" si="260"/>
        <v>12</v>
      </c>
      <c r="AC514" t="str">
        <f>IF(客户自备加工筐明细!$C514="","",客户自备加工筐明细!$C514)</f>
        <v/>
      </c>
      <c r="AD514">
        <f t="shared" si="261"/>
        <v>0</v>
      </c>
      <c r="AE514">
        <f t="shared" si="262"/>
        <v>1</v>
      </c>
      <c r="AI514" t="str">
        <f>IF(客户自备加工筐明细!$E514="","",客户自备加工筐明细!$E514)</f>
        <v/>
      </c>
      <c r="AJ514">
        <f t="shared" si="263"/>
        <v>0</v>
      </c>
      <c r="AK514">
        <f t="shared" si="264"/>
        <v>1</v>
      </c>
      <c r="AO514" t="str">
        <f>IF(次果筐明细!$D514="","",次果筐明细!$D514)</f>
        <v/>
      </c>
      <c r="AP514">
        <f t="shared" si="265"/>
        <v>0</v>
      </c>
      <c r="AQ514">
        <f t="shared" si="266"/>
        <v>1</v>
      </c>
      <c r="AU514" t="str">
        <f>IF(次果筐明细!$C514="","",次果筐明细!$C514)</f>
        <v/>
      </c>
      <c r="AV514">
        <f t="shared" si="267"/>
        <v>0</v>
      </c>
      <c r="AW514">
        <f t="shared" si="268"/>
        <v>1</v>
      </c>
      <c r="BS514" t="str">
        <f t="shared" si="277"/>
        <v/>
      </c>
      <c r="BT514">
        <f t="shared" si="269"/>
        <v>0</v>
      </c>
      <c r="BU514">
        <f t="shared" si="270"/>
        <v>17</v>
      </c>
      <c r="CP514">
        <f>IF(包装物料出入库明细!$D514="",0,1)</f>
        <v>0</v>
      </c>
      <c r="CQ514">
        <f t="shared" si="273"/>
        <v>37</v>
      </c>
      <c r="CS514" t="str">
        <f>IF(OR(周转筐出入库明细!$C515="",周转筐出入库明细!$F515&lt;&gt;"采购入库"),"",周转筐出入库明细!$C515)</f>
        <v/>
      </c>
      <c r="CT514">
        <f t="shared" si="274"/>
        <v>0</v>
      </c>
      <c r="CU514">
        <f t="shared" si="275"/>
        <v>1</v>
      </c>
    </row>
    <row r="515" spans="1:99">
      <c r="A515" t="str">
        <f>IF(包装物料出入库明细!$E515="","",包装物料出入库明细!$E515)</f>
        <v/>
      </c>
      <c r="B515">
        <f t="shared" si="253"/>
        <v>0</v>
      </c>
      <c r="C515">
        <f t="shared" si="254"/>
        <v>7</v>
      </c>
      <c r="D515" t="str">
        <f>IF(包装物料出入库明细!$E515="","",包装物料出入库明细!$F515)</f>
        <v/>
      </c>
      <c r="E515" t="str">
        <f>IF(包装物料出入库明细!$E515="","",包装物料出入库明细!$G515)</f>
        <v/>
      </c>
      <c r="K515" t="str">
        <f>IF(包装物料出入库明细!$D515="","",包装物料出入库明细!$D515)</f>
        <v/>
      </c>
      <c r="L515">
        <f t="shared" si="255"/>
        <v>0</v>
      </c>
      <c r="M515">
        <f t="shared" si="256"/>
        <v>9</v>
      </c>
      <c r="Q515" t="str">
        <f>IF(周转筐出入库明细!$D516="","",周转筐出入库明细!$D516)</f>
        <v/>
      </c>
      <c r="R515">
        <f t="shared" si="257"/>
        <v>0</v>
      </c>
      <c r="S515">
        <f t="shared" si="258"/>
        <v>5</v>
      </c>
      <c r="W515" t="str">
        <f>IF(周转筐出入库明细!$C516="","",周转筐出入库明细!$C516)</f>
        <v/>
      </c>
      <c r="X515">
        <f t="shared" si="259"/>
        <v>0</v>
      </c>
      <c r="Y515">
        <f t="shared" si="260"/>
        <v>12</v>
      </c>
      <c r="AC515" t="str">
        <f>IF(客户自备加工筐明细!$C515="","",客户自备加工筐明细!$C515)</f>
        <v/>
      </c>
      <c r="AD515">
        <f t="shared" si="261"/>
        <v>0</v>
      </c>
      <c r="AE515">
        <f t="shared" si="262"/>
        <v>1</v>
      </c>
      <c r="AI515" t="str">
        <f>IF(客户自备加工筐明细!$E515="","",客户自备加工筐明细!$E515)</f>
        <v/>
      </c>
      <c r="AJ515">
        <f t="shared" si="263"/>
        <v>0</v>
      </c>
      <c r="AK515">
        <f t="shared" si="264"/>
        <v>1</v>
      </c>
      <c r="AO515" t="str">
        <f>IF(次果筐明细!$D515="","",次果筐明细!$D515)</f>
        <v/>
      </c>
      <c r="AP515">
        <f t="shared" si="265"/>
        <v>0</v>
      </c>
      <c r="AQ515">
        <f t="shared" si="266"/>
        <v>1</v>
      </c>
      <c r="AU515" t="str">
        <f>IF(次果筐明细!$C515="","",次果筐明细!$C515)</f>
        <v/>
      </c>
      <c r="AV515">
        <f t="shared" si="267"/>
        <v>0</v>
      </c>
      <c r="AW515">
        <f t="shared" si="268"/>
        <v>1</v>
      </c>
      <c r="BS515" t="str">
        <f t="shared" si="277"/>
        <v/>
      </c>
      <c r="BT515">
        <f t="shared" si="269"/>
        <v>0</v>
      </c>
      <c r="BU515">
        <f t="shared" si="270"/>
        <v>17</v>
      </c>
      <c r="CP515">
        <f>IF(包装物料出入库明细!$D515="",0,1)</f>
        <v>0</v>
      </c>
      <c r="CQ515">
        <f t="shared" si="273"/>
        <v>37</v>
      </c>
      <c r="CS515" t="str">
        <f>IF(OR(周转筐出入库明细!$C516="",周转筐出入库明细!$F516&lt;&gt;"采购入库"),"",周转筐出入库明细!$C516)</f>
        <v/>
      </c>
      <c r="CT515">
        <f t="shared" si="274"/>
        <v>0</v>
      </c>
      <c r="CU515">
        <f t="shared" si="275"/>
        <v>1</v>
      </c>
    </row>
    <row r="516" spans="1:99">
      <c r="A516" t="str">
        <f>IF(包装物料出入库明细!$E516="","",包装物料出入库明细!$E516)</f>
        <v/>
      </c>
      <c r="B516">
        <f t="shared" ref="B516:B579" si="278">IF(A516="",0,IF(MATCH(A516,$A$4:$A$2003,0)=ROW()-3,1,0))</f>
        <v>0</v>
      </c>
      <c r="C516">
        <f t="shared" ref="C516:C579" si="279">N(C515)+B516</f>
        <v>7</v>
      </c>
      <c r="D516" t="str">
        <f>IF(包装物料出入库明细!$E516="","",包装物料出入库明细!$F516)</f>
        <v/>
      </c>
      <c r="E516" t="str">
        <f>IF(包装物料出入库明细!$E516="","",包装物料出入库明细!$G516)</f>
        <v/>
      </c>
      <c r="K516" t="str">
        <f>IF(包装物料出入库明细!$D516="","",包装物料出入库明细!$D516)</f>
        <v/>
      </c>
      <c r="L516">
        <f t="shared" ref="L516:L579" si="280">IF(K516="",0,IF(MATCH(K516,$K$4:$K$2003,0)=ROW()-3,1,0))</f>
        <v>0</v>
      </c>
      <c r="M516">
        <f t="shared" ref="M516:M579" si="281">N(M515)+L516</f>
        <v>9</v>
      </c>
      <c r="Q516" t="str">
        <f>IF(周转筐出入库明细!$D517="","",周转筐出入库明细!$D517)</f>
        <v/>
      </c>
      <c r="R516">
        <f t="shared" ref="R516:R579" si="282">IF(Q516="",0,IF(MATCH(Q516,$Q$4:$Q$2003,0)=ROW()-3,1,0))</f>
        <v>0</v>
      </c>
      <c r="S516">
        <f t="shared" ref="S516:S579" si="283">N(S515)+R516</f>
        <v>5</v>
      </c>
      <c r="W516" t="str">
        <f>IF(周转筐出入库明细!$C517="","",周转筐出入库明细!$C517)</f>
        <v/>
      </c>
      <c r="X516">
        <f t="shared" ref="X516:X579" si="284">IF(W516="",0,IF(MATCH(W516,$W$4:$W$2003,0)=ROW()-3,1,0))</f>
        <v>0</v>
      </c>
      <c r="Y516">
        <f t="shared" ref="Y516:Y579" si="285">N(Y515)+X516</f>
        <v>12</v>
      </c>
      <c r="AC516" t="str">
        <f>IF(客户自备加工筐明细!$C516="","",客户自备加工筐明细!$C516)</f>
        <v/>
      </c>
      <c r="AD516">
        <f t="shared" ref="AD516:AD579" si="286">IF(AC516="",0,IF(MATCH(AC516,$AC$4:$AC$1203,0)=ROW()-3,1,0))</f>
        <v>0</v>
      </c>
      <c r="AE516">
        <f t="shared" ref="AE516:AE579" si="287">N(AE515)+AD516</f>
        <v>1</v>
      </c>
      <c r="AI516" t="str">
        <f>IF(客户自备加工筐明细!$E516="","",客户自备加工筐明细!$E516)</f>
        <v/>
      </c>
      <c r="AJ516">
        <f t="shared" ref="AJ516:AJ579" si="288">IF(AI516="",0,IF(MATCH(AI516,$AI$4:$AI$1503,0)=ROW()-3,1,0))</f>
        <v>0</v>
      </c>
      <c r="AK516">
        <f t="shared" ref="AK516:AK579" si="289">N(AK515)+AJ516</f>
        <v>1</v>
      </c>
      <c r="AO516" t="str">
        <f>IF(次果筐明细!$D516="","",次果筐明细!$D516)</f>
        <v/>
      </c>
      <c r="AP516">
        <f t="shared" ref="AP516:AP579" si="290">IF(AO516="",0,IF(MATCH(AO516,$AO$4:$AO$603,0)=ROW()-3,1,0))</f>
        <v>0</v>
      </c>
      <c r="AQ516">
        <f t="shared" ref="AQ516:AQ579" si="291">N(AQ515)+AP516</f>
        <v>1</v>
      </c>
      <c r="AU516" t="str">
        <f>IF(次果筐明细!$C516="","",次果筐明细!$C516)</f>
        <v/>
      </c>
      <c r="AV516">
        <f t="shared" ref="AV516:AV579" si="292">IF(AU516="",0,IF(MATCH(AU516,$AU$4:$AU$603,0)=ROW()-3,1,0))</f>
        <v>0</v>
      </c>
      <c r="AW516">
        <f t="shared" ref="AW516:AW579" si="293">N(AW515)+AV516</f>
        <v>1</v>
      </c>
      <c r="BS516" t="str">
        <f t="shared" si="277"/>
        <v/>
      </c>
      <c r="BT516">
        <f t="shared" ref="BT516:BT579" si="294">IF(BS516="",0,IF(MATCH(BS516,$BS$4:$BS$1103,0)=ROW()-3,1,0))</f>
        <v>0</v>
      </c>
      <c r="BU516">
        <f t="shared" ref="BU516:BU579" si="295">N(BU515)+BT516</f>
        <v>17</v>
      </c>
      <c r="CP516">
        <f>IF(包装物料出入库明细!$D516="",0,1)</f>
        <v>0</v>
      </c>
      <c r="CQ516">
        <f t="shared" ref="CQ516:CQ579" si="296">N(CQ515)+$CP516</f>
        <v>37</v>
      </c>
      <c r="CS516" t="str">
        <f>IF(OR(周转筐出入库明细!$C517="",周转筐出入库明细!$F517&lt;&gt;"采购入库"),"",周转筐出入库明细!$C517)</f>
        <v/>
      </c>
      <c r="CT516">
        <f t="shared" ref="CT516:CT579" si="297">IF(CS516="",0,IF(MATCH(CS516,$CS$4:$CS$2003,0)=ROW()-3,1,0))</f>
        <v>0</v>
      </c>
      <c r="CU516">
        <f t="shared" ref="CU516:CU579" si="298">N(CU515)+CT516</f>
        <v>1</v>
      </c>
    </row>
    <row r="517" spans="1:99">
      <c r="A517" t="str">
        <f>IF(包装物料出入库明细!$E517="","",包装物料出入库明细!$E517)</f>
        <v/>
      </c>
      <c r="B517">
        <f t="shared" si="278"/>
        <v>0</v>
      </c>
      <c r="C517">
        <f t="shared" si="279"/>
        <v>7</v>
      </c>
      <c r="D517" t="str">
        <f>IF(包装物料出入库明细!$E517="","",包装物料出入库明细!$F517)</f>
        <v/>
      </c>
      <c r="E517" t="str">
        <f>IF(包装物料出入库明细!$E517="","",包装物料出入库明细!$G517)</f>
        <v/>
      </c>
      <c r="K517" t="str">
        <f>IF(包装物料出入库明细!$D517="","",包装物料出入库明细!$D517)</f>
        <v/>
      </c>
      <c r="L517">
        <f t="shared" si="280"/>
        <v>0</v>
      </c>
      <c r="M517">
        <f t="shared" si="281"/>
        <v>9</v>
      </c>
      <c r="Q517" t="str">
        <f>IF(周转筐出入库明细!$D518="","",周转筐出入库明细!$D518)</f>
        <v/>
      </c>
      <c r="R517">
        <f t="shared" si="282"/>
        <v>0</v>
      </c>
      <c r="S517">
        <f t="shared" si="283"/>
        <v>5</v>
      </c>
      <c r="W517" t="str">
        <f>IF(周转筐出入库明细!$C518="","",周转筐出入库明细!$C518)</f>
        <v/>
      </c>
      <c r="X517">
        <f t="shared" si="284"/>
        <v>0</v>
      </c>
      <c r="Y517">
        <f t="shared" si="285"/>
        <v>12</v>
      </c>
      <c r="AC517" t="str">
        <f>IF(客户自备加工筐明细!$C517="","",客户自备加工筐明细!$C517)</f>
        <v/>
      </c>
      <c r="AD517">
        <f t="shared" si="286"/>
        <v>0</v>
      </c>
      <c r="AE517">
        <f t="shared" si="287"/>
        <v>1</v>
      </c>
      <c r="AI517" t="str">
        <f>IF(客户自备加工筐明细!$E517="","",客户自备加工筐明细!$E517)</f>
        <v/>
      </c>
      <c r="AJ517">
        <f t="shared" si="288"/>
        <v>0</v>
      </c>
      <c r="AK517">
        <f t="shared" si="289"/>
        <v>1</v>
      </c>
      <c r="AO517" t="str">
        <f>IF(次果筐明细!$D517="","",次果筐明细!$D517)</f>
        <v/>
      </c>
      <c r="AP517">
        <f t="shared" si="290"/>
        <v>0</v>
      </c>
      <c r="AQ517">
        <f t="shared" si="291"/>
        <v>1</v>
      </c>
      <c r="AU517" t="str">
        <f>IF(次果筐明细!$C517="","",次果筐明细!$C517)</f>
        <v/>
      </c>
      <c r="AV517">
        <f t="shared" si="292"/>
        <v>0</v>
      </c>
      <c r="AW517">
        <f t="shared" si="293"/>
        <v>1</v>
      </c>
      <c r="BS517" t="str">
        <f t="shared" si="277"/>
        <v/>
      </c>
      <c r="BT517">
        <f t="shared" si="294"/>
        <v>0</v>
      </c>
      <c r="BU517">
        <f t="shared" si="295"/>
        <v>17</v>
      </c>
      <c r="CP517">
        <f>IF(包装物料出入库明细!$D517="",0,1)</f>
        <v>0</v>
      </c>
      <c r="CQ517">
        <f t="shared" si="296"/>
        <v>37</v>
      </c>
      <c r="CS517" t="str">
        <f>IF(OR(周转筐出入库明细!$C518="",周转筐出入库明细!$F518&lt;&gt;"采购入库"),"",周转筐出入库明细!$C518)</f>
        <v/>
      </c>
      <c r="CT517">
        <f t="shared" si="297"/>
        <v>0</v>
      </c>
      <c r="CU517">
        <f t="shared" si="298"/>
        <v>1</v>
      </c>
    </row>
    <row r="518" spans="1:99">
      <c r="A518" t="str">
        <f>IF(包装物料出入库明细!$E518="","",包装物料出入库明细!$E518)</f>
        <v/>
      </c>
      <c r="B518">
        <f t="shared" si="278"/>
        <v>0</v>
      </c>
      <c r="C518">
        <f t="shared" si="279"/>
        <v>7</v>
      </c>
      <c r="D518" t="str">
        <f>IF(包装物料出入库明细!$E518="","",包装物料出入库明细!$F518)</f>
        <v/>
      </c>
      <c r="E518" t="str">
        <f>IF(包装物料出入库明细!$E518="","",包装物料出入库明细!$G518)</f>
        <v/>
      </c>
      <c r="K518" t="str">
        <f>IF(包装物料出入库明细!$D518="","",包装物料出入库明细!$D518)</f>
        <v/>
      </c>
      <c r="L518">
        <f t="shared" si="280"/>
        <v>0</v>
      </c>
      <c r="M518">
        <f t="shared" si="281"/>
        <v>9</v>
      </c>
      <c r="Q518" t="str">
        <f>IF(周转筐出入库明细!$D519="","",周转筐出入库明细!$D519)</f>
        <v/>
      </c>
      <c r="R518">
        <f t="shared" si="282"/>
        <v>0</v>
      </c>
      <c r="S518">
        <f t="shared" si="283"/>
        <v>5</v>
      </c>
      <c r="W518" t="str">
        <f>IF(周转筐出入库明细!$C519="","",周转筐出入库明细!$C519)</f>
        <v/>
      </c>
      <c r="X518">
        <f t="shared" si="284"/>
        <v>0</v>
      </c>
      <c r="Y518">
        <f t="shared" si="285"/>
        <v>12</v>
      </c>
      <c r="AC518" t="str">
        <f>IF(客户自备加工筐明细!$C518="","",客户自备加工筐明细!$C518)</f>
        <v/>
      </c>
      <c r="AD518">
        <f t="shared" si="286"/>
        <v>0</v>
      </c>
      <c r="AE518">
        <f t="shared" si="287"/>
        <v>1</v>
      </c>
      <c r="AI518" t="str">
        <f>IF(客户自备加工筐明细!$E518="","",客户自备加工筐明细!$E518)</f>
        <v/>
      </c>
      <c r="AJ518">
        <f t="shared" si="288"/>
        <v>0</v>
      </c>
      <c r="AK518">
        <f t="shared" si="289"/>
        <v>1</v>
      </c>
      <c r="AO518" t="str">
        <f>IF(次果筐明细!$D518="","",次果筐明细!$D518)</f>
        <v/>
      </c>
      <c r="AP518">
        <f t="shared" si="290"/>
        <v>0</v>
      </c>
      <c r="AQ518">
        <f t="shared" si="291"/>
        <v>1</v>
      </c>
      <c r="AU518" t="str">
        <f>IF(次果筐明细!$C518="","",次果筐明细!$C518)</f>
        <v/>
      </c>
      <c r="AV518">
        <f t="shared" si="292"/>
        <v>0</v>
      </c>
      <c r="AW518">
        <f t="shared" si="293"/>
        <v>1</v>
      </c>
      <c r="BS518" t="str">
        <f t="shared" si="277"/>
        <v/>
      </c>
      <c r="BT518">
        <f t="shared" si="294"/>
        <v>0</v>
      </c>
      <c r="BU518">
        <f t="shared" si="295"/>
        <v>17</v>
      </c>
      <c r="CP518">
        <f>IF(包装物料出入库明细!$D518="",0,1)</f>
        <v>0</v>
      </c>
      <c r="CQ518">
        <f t="shared" si="296"/>
        <v>37</v>
      </c>
      <c r="CS518" t="str">
        <f>IF(OR(周转筐出入库明细!$C519="",周转筐出入库明细!$F519&lt;&gt;"采购入库"),"",周转筐出入库明细!$C519)</f>
        <v/>
      </c>
      <c r="CT518">
        <f t="shared" si="297"/>
        <v>0</v>
      </c>
      <c r="CU518">
        <f t="shared" si="298"/>
        <v>1</v>
      </c>
    </row>
    <row r="519" spans="1:99">
      <c r="A519" t="str">
        <f>IF(包装物料出入库明细!$E519="","",包装物料出入库明细!$E519)</f>
        <v/>
      </c>
      <c r="B519">
        <f t="shared" si="278"/>
        <v>0</v>
      </c>
      <c r="C519">
        <f t="shared" si="279"/>
        <v>7</v>
      </c>
      <c r="D519" t="str">
        <f>IF(包装物料出入库明细!$E519="","",包装物料出入库明细!$F519)</f>
        <v/>
      </c>
      <c r="E519" t="str">
        <f>IF(包装物料出入库明细!$E519="","",包装物料出入库明细!$G519)</f>
        <v/>
      </c>
      <c r="K519" t="str">
        <f>IF(包装物料出入库明细!$D519="","",包装物料出入库明细!$D519)</f>
        <v/>
      </c>
      <c r="L519">
        <f t="shared" si="280"/>
        <v>0</v>
      </c>
      <c r="M519">
        <f t="shared" si="281"/>
        <v>9</v>
      </c>
      <c r="Q519" t="str">
        <f>IF(周转筐出入库明细!$D520="","",周转筐出入库明细!$D520)</f>
        <v/>
      </c>
      <c r="R519">
        <f t="shared" si="282"/>
        <v>0</v>
      </c>
      <c r="S519">
        <f t="shared" si="283"/>
        <v>5</v>
      </c>
      <c r="W519" t="str">
        <f>IF(周转筐出入库明细!$C520="","",周转筐出入库明细!$C520)</f>
        <v/>
      </c>
      <c r="X519">
        <f t="shared" si="284"/>
        <v>0</v>
      </c>
      <c r="Y519">
        <f t="shared" si="285"/>
        <v>12</v>
      </c>
      <c r="AC519" t="str">
        <f>IF(客户自备加工筐明细!$C519="","",客户自备加工筐明细!$C519)</f>
        <v/>
      </c>
      <c r="AD519">
        <f t="shared" si="286"/>
        <v>0</v>
      </c>
      <c r="AE519">
        <f t="shared" si="287"/>
        <v>1</v>
      </c>
      <c r="AI519" t="str">
        <f>IF(客户自备加工筐明细!$E519="","",客户自备加工筐明细!$E519)</f>
        <v/>
      </c>
      <c r="AJ519">
        <f t="shared" si="288"/>
        <v>0</v>
      </c>
      <c r="AK519">
        <f t="shared" si="289"/>
        <v>1</v>
      </c>
      <c r="AO519" t="str">
        <f>IF(次果筐明细!$D519="","",次果筐明细!$D519)</f>
        <v/>
      </c>
      <c r="AP519">
        <f t="shared" si="290"/>
        <v>0</v>
      </c>
      <c r="AQ519">
        <f t="shared" si="291"/>
        <v>1</v>
      </c>
      <c r="AU519" t="str">
        <f>IF(次果筐明细!$C519="","",次果筐明细!$C519)</f>
        <v/>
      </c>
      <c r="AV519">
        <f t="shared" si="292"/>
        <v>0</v>
      </c>
      <c r="AW519">
        <f t="shared" si="293"/>
        <v>1</v>
      </c>
      <c r="BS519" t="str">
        <f t="shared" si="277"/>
        <v/>
      </c>
      <c r="BT519">
        <f t="shared" si="294"/>
        <v>0</v>
      </c>
      <c r="BU519">
        <f t="shared" si="295"/>
        <v>17</v>
      </c>
      <c r="CP519">
        <f>IF(包装物料出入库明细!$D519="",0,1)</f>
        <v>0</v>
      </c>
      <c r="CQ519">
        <f t="shared" si="296"/>
        <v>37</v>
      </c>
      <c r="CS519" t="str">
        <f>IF(OR(周转筐出入库明细!$C520="",周转筐出入库明细!$F520&lt;&gt;"采购入库"),"",周转筐出入库明细!$C520)</f>
        <v/>
      </c>
      <c r="CT519">
        <f t="shared" si="297"/>
        <v>0</v>
      </c>
      <c r="CU519">
        <f t="shared" si="298"/>
        <v>1</v>
      </c>
    </row>
    <row r="520" spans="1:99">
      <c r="A520" t="str">
        <f>IF(包装物料出入库明细!$E520="","",包装物料出入库明细!$E520)</f>
        <v/>
      </c>
      <c r="B520">
        <f t="shared" si="278"/>
        <v>0</v>
      </c>
      <c r="C520">
        <f t="shared" si="279"/>
        <v>7</v>
      </c>
      <c r="D520" t="str">
        <f>IF(包装物料出入库明细!$E520="","",包装物料出入库明细!$F520)</f>
        <v/>
      </c>
      <c r="E520" t="str">
        <f>IF(包装物料出入库明细!$E520="","",包装物料出入库明细!$G520)</f>
        <v/>
      </c>
      <c r="K520" t="str">
        <f>IF(包装物料出入库明细!$D520="","",包装物料出入库明细!$D520)</f>
        <v/>
      </c>
      <c r="L520">
        <f t="shared" si="280"/>
        <v>0</v>
      </c>
      <c r="M520">
        <f t="shared" si="281"/>
        <v>9</v>
      </c>
      <c r="Q520" t="str">
        <f>IF(周转筐出入库明细!$D521="","",周转筐出入库明细!$D521)</f>
        <v/>
      </c>
      <c r="R520">
        <f t="shared" si="282"/>
        <v>0</v>
      </c>
      <c r="S520">
        <f t="shared" si="283"/>
        <v>5</v>
      </c>
      <c r="W520" t="str">
        <f>IF(周转筐出入库明细!$C521="","",周转筐出入库明细!$C521)</f>
        <v/>
      </c>
      <c r="X520">
        <f t="shared" si="284"/>
        <v>0</v>
      </c>
      <c r="Y520">
        <f t="shared" si="285"/>
        <v>12</v>
      </c>
      <c r="AC520" t="str">
        <f>IF(客户自备加工筐明细!$C520="","",客户自备加工筐明细!$C520)</f>
        <v/>
      </c>
      <c r="AD520">
        <f t="shared" si="286"/>
        <v>0</v>
      </c>
      <c r="AE520">
        <f t="shared" si="287"/>
        <v>1</v>
      </c>
      <c r="AI520" t="str">
        <f>IF(客户自备加工筐明细!$E520="","",客户自备加工筐明细!$E520)</f>
        <v/>
      </c>
      <c r="AJ520">
        <f t="shared" si="288"/>
        <v>0</v>
      </c>
      <c r="AK520">
        <f t="shared" si="289"/>
        <v>1</v>
      </c>
      <c r="AO520" t="str">
        <f>IF(次果筐明细!$D520="","",次果筐明细!$D520)</f>
        <v/>
      </c>
      <c r="AP520">
        <f t="shared" si="290"/>
        <v>0</v>
      </c>
      <c r="AQ520">
        <f t="shared" si="291"/>
        <v>1</v>
      </c>
      <c r="AU520" t="str">
        <f>IF(次果筐明细!$C520="","",次果筐明细!$C520)</f>
        <v/>
      </c>
      <c r="AV520">
        <f t="shared" si="292"/>
        <v>0</v>
      </c>
      <c r="AW520">
        <f t="shared" si="293"/>
        <v>1</v>
      </c>
      <c r="BS520" t="str">
        <f t="shared" si="277"/>
        <v/>
      </c>
      <c r="BT520">
        <f t="shared" si="294"/>
        <v>0</v>
      </c>
      <c r="BU520">
        <f t="shared" si="295"/>
        <v>17</v>
      </c>
      <c r="CP520">
        <f>IF(包装物料出入库明细!$D520="",0,1)</f>
        <v>0</v>
      </c>
      <c r="CQ520">
        <f t="shared" si="296"/>
        <v>37</v>
      </c>
      <c r="CS520" t="str">
        <f>IF(OR(周转筐出入库明细!$C521="",周转筐出入库明细!$F521&lt;&gt;"采购入库"),"",周转筐出入库明细!$C521)</f>
        <v/>
      </c>
      <c r="CT520">
        <f t="shared" si="297"/>
        <v>0</v>
      </c>
      <c r="CU520">
        <f t="shared" si="298"/>
        <v>1</v>
      </c>
    </row>
    <row r="521" spans="1:99">
      <c r="A521" t="str">
        <f>IF(包装物料出入库明细!$E521="","",包装物料出入库明细!$E521)</f>
        <v/>
      </c>
      <c r="B521">
        <f t="shared" si="278"/>
        <v>0</v>
      </c>
      <c r="C521">
        <f t="shared" si="279"/>
        <v>7</v>
      </c>
      <c r="D521" t="str">
        <f>IF(包装物料出入库明细!$E521="","",包装物料出入库明细!$F521)</f>
        <v/>
      </c>
      <c r="E521" t="str">
        <f>IF(包装物料出入库明细!$E521="","",包装物料出入库明细!$G521)</f>
        <v/>
      </c>
      <c r="K521" t="str">
        <f>IF(包装物料出入库明细!$D521="","",包装物料出入库明细!$D521)</f>
        <v/>
      </c>
      <c r="L521">
        <f t="shared" si="280"/>
        <v>0</v>
      </c>
      <c r="M521">
        <f t="shared" si="281"/>
        <v>9</v>
      </c>
      <c r="Q521" t="str">
        <f>IF(周转筐出入库明细!$D522="","",周转筐出入库明细!$D522)</f>
        <v/>
      </c>
      <c r="R521">
        <f t="shared" si="282"/>
        <v>0</v>
      </c>
      <c r="S521">
        <f t="shared" si="283"/>
        <v>5</v>
      </c>
      <c r="W521" t="str">
        <f>IF(周转筐出入库明细!$C522="","",周转筐出入库明细!$C522)</f>
        <v/>
      </c>
      <c r="X521">
        <f t="shared" si="284"/>
        <v>0</v>
      </c>
      <c r="Y521">
        <f t="shared" si="285"/>
        <v>12</v>
      </c>
      <c r="AC521" t="str">
        <f>IF(客户自备加工筐明细!$C521="","",客户自备加工筐明细!$C521)</f>
        <v/>
      </c>
      <c r="AD521">
        <f t="shared" si="286"/>
        <v>0</v>
      </c>
      <c r="AE521">
        <f t="shared" si="287"/>
        <v>1</v>
      </c>
      <c r="AI521" t="str">
        <f>IF(客户自备加工筐明细!$E521="","",客户自备加工筐明细!$E521)</f>
        <v/>
      </c>
      <c r="AJ521">
        <f t="shared" si="288"/>
        <v>0</v>
      </c>
      <c r="AK521">
        <f t="shared" si="289"/>
        <v>1</v>
      </c>
      <c r="AO521" t="str">
        <f>IF(次果筐明细!$D521="","",次果筐明细!$D521)</f>
        <v/>
      </c>
      <c r="AP521">
        <f t="shared" si="290"/>
        <v>0</v>
      </c>
      <c r="AQ521">
        <f t="shared" si="291"/>
        <v>1</v>
      </c>
      <c r="AU521" t="str">
        <f>IF(次果筐明细!$C521="","",次果筐明细!$C521)</f>
        <v/>
      </c>
      <c r="AV521">
        <f t="shared" si="292"/>
        <v>0</v>
      </c>
      <c r="AW521">
        <f t="shared" si="293"/>
        <v>1</v>
      </c>
      <c r="BS521" t="str">
        <f t="shared" si="277"/>
        <v/>
      </c>
      <c r="BT521">
        <f t="shared" si="294"/>
        <v>0</v>
      </c>
      <c r="BU521">
        <f t="shared" si="295"/>
        <v>17</v>
      </c>
      <c r="CP521">
        <f>IF(包装物料出入库明细!$D521="",0,1)</f>
        <v>0</v>
      </c>
      <c r="CQ521">
        <f t="shared" si="296"/>
        <v>37</v>
      </c>
      <c r="CS521" t="str">
        <f>IF(OR(周转筐出入库明细!$C522="",周转筐出入库明细!$F522&lt;&gt;"采购入库"),"",周转筐出入库明细!$C522)</f>
        <v/>
      </c>
      <c r="CT521">
        <f t="shared" si="297"/>
        <v>0</v>
      </c>
      <c r="CU521">
        <f t="shared" si="298"/>
        <v>1</v>
      </c>
    </row>
    <row r="522" spans="1:99">
      <c r="A522" t="str">
        <f>IF(包装物料出入库明细!$E522="","",包装物料出入库明细!$E522)</f>
        <v/>
      </c>
      <c r="B522">
        <f t="shared" si="278"/>
        <v>0</v>
      </c>
      <c r="C522">
        <f t="shared" si="279"/>
        <v>7</v>
      </c>
      <c r="D522" t="str">
        <f>IF(包装物料出入库明细!$E522="","",包装物料出入库明细!$F522)</f>
        <v/>
      </c>
      <c r="E522" t="str">
        <f>IF(包装物料出入库明细!$E522="","",包装物料出入库明细!$G522)</f>
        <v/>
      </c>
      <c r="K522" t="str">
        <f>IF(包装物料出入库明细!$D522="","",包装物料出入库明细!$D522)</f>
        <v/>
      </c>
      <c r="L522">
        <f t="shared" si="280"/>
        <v>0</v>
      </c>
      <c r="M522">
        <f t="shared" si="281"/>
        <v>9</v>
      </c>
      <c r="Q522" t="str">
        <f>IF(周转筐出入库明细!$D523="","",周转筐出入库明细!$D523)</f>
        <v/>
      </c>
      <c r="R522">
        <f t="shared" si="282"/>
        <v>0</v>
      </c>
      <c r="S522">
        <f t="shared" si="283"/>
        <v>5</v>
      </c>
      <c r="W522" t="str">
        <f>IF(周转筐出入库明细!$C523="","",周转筐出入库明细!$C523)</f>
        <v/>
      </c>
      <c r="X522">
        <f t="shared" si="284"/>
        <v>0</v>
      </c>
      <c r="Y522">
        <f t="shared" si="285"/>
        <v>12</v>
      </c>
      <c r="AC522" t="str">
        <f>IF(客户自备加工筐明细!$C522="","",客户自备加工筐明细!$C522)</f>
        <v/>
      </c>
      <c r="AD522">
        <f t="shared" si="286"/>
        <v>0</v>
      </c>
      <c r="AE522">
        <f t="shared" si="287"/>
        <v>1</v>
      </c>
      <c r="AI522" t="str">
        <f>IF(客户自备加工筐明细!$E522="","",客户自备加工筐明细!$E522)</f>
        <v/>
      </c>
      <c r="AJ522">
        <f t="shared" si="288"/>
        <v>0</v>
      </c>
      <c r="AK522">
        <f t="shared" si="289"/>
        <v>1</v>
      </c>
      <c r="AO522" t="str">
        <f>IF(次果筐明细!$D522="","",次果筐明细!$D522)</f>
        <v/>
      </c>
      <c r="AP522">
        <f t="shared" si="290"/>
        <v>0</v>
      </c>
      <c r="AQ522">
        <f t="shared" si="291"/>
        <v>1</v>
      </c>
      <c r="AU522" t="str">
        <f>IF(次果筐明细!$C522="","",次果筐明细!$C522)</f>
        <v/>
      </c>
      <c r="AV522">
        <f t="shared" si="292"/>
        <v>0</v>
      </c>
      <c r="AW522">
        <f t="shared" si="293"/>
        <v>1</v>
      </c>
      <c r="BS522" t="str">
        <f t="shared" si="277"/>
        <v/>
      </c>
      <c r="BT522">
        <f t="shared" si="294"/>
        <v>0</v>
      </c>
      <c r="BU522">
        <f t="shared" si="295"/>
        <v>17</v>
      </c>
      <c r="CP522">
        <f>IF(包装物料出入库明细!$D522="",0,1)</f>
        <v>0</v>
      </c>
      <c r="CQ522">
        <f t="shared" si="296"/>
        <v>37</v>
      </c>
      <c r="CS522" t="str">
        <f>IF(OR(周转筐出入库明细!$C523="",周转筐出入库明细!$F523&lt;&gt;"采购入库"),"",周转筐出入库明细!$C523)</f>
        <v/>
      </c>
      <c r="CT522">
        <f t="shared" si="297"/>
        <v>0</v>
      </c>
      <c r="CU522">
        <f t="shared" si="298"/>
        <v>1</v>
      </c>
    </row>
    <row r="523" spans="1:99">
      <c r="A523" t="str">
        <f>IF(包装物料出入库明细!$E523="","",包装物料出入库明细!$E523)</f>
        <v/>
      </c>
      <c r="B523">
        <f t="shared" si="278"/>
        <v>0</v>
      </c>
      <c r="C523">
        <f t="shared" si="279"/>
        <v>7</v>
      </c>
      <c r="D523" t="str">
        <f>IF(包装物料出入库明细!$E523="","",包装物料出入库明细!$F523)</f>
        <v/>
      </c>
      <c r="E523" t="str">
        <f>IF(包装物料出入库明细!$E523="","",包装物料出入库明细!$G523)</f>
        <v/>
      </c>
      <c r="K523" t="str">
        <f>IF(包装物料出入库明细!$D523="","",包装物料出入库明细!$D523)</f>
        <v/>
      </c>
      <c r="L523">
        <f t="shared" si="280"/>
        <v>0</v>
      </c>
      <c r="M523">
        <f t="shared" si="281"/>
        <v>9</v>
      </c>
      <c r="Q523" t="str">
        <f>IF(周转筐出入库明细!$D524="","",周转筐出入库明细!$D524)</f>
        <v/>
      </c>
      <c r="R523">
        <f t="shared" si="282"/>
        <v>0</v>
      </c>
      <c r="S523">
        <f t="shared" si="283"/>
        <v>5</v>
      </c>
      <c r="W523" t="str">
        <f>IF(周转筐出入库明细!$C524="","",周转筐出入库明细!$C524)</f>
        <v/>
      </c>
      <c r="X523">
        <f t="shared" si="284"/>
        <v>0</v>
      </c>
      <c r="Y523">
        <f t="shared" si="285"/>
        <v>12</v>
      </c>
      <c r="AC523" t="str">
        <f>IF(客户自备加工筐明细!$C523="","",客户自备加工筐明细!$C523)</f>
        <v/>
      </c>
      <c r="AD523">
        <f t="shared" si="286"/>
        <v>0</v>
      </c>
      <c r="AE523">
        <f t="shared" si="287"/>
        <v>1</v>
      </c>
      <c r="AI523" t="str">
        <f>IF(客户自备加工筐明细!$E523="","",客户自备加工筐明细!$E523)</f>
        <v/>
      </c>
      <c r="AJ523">
        <f t="shared" si="288"/>
        <v>0</v>
      </c>
      <c r="AK523">
        <f t="shared" si="289"/>
        <v>1</v>
      </c>
      <c r="AO523" t="str">
        <f>IF(次果筐明细!$D523="","",次果筐明细!$D523)</f>
        <v/>
      </c>
      <c r="AP523">
        <f t="shared" si="290"/>
        <v>0</v>
      </c>
      <c r="AQ523">
        <f t="shared" si="291"/>
        <v>1</v>
      </c>
      <c r="AU523" t="str">
        <f>IF(次果筐明细!$C523="","",次果筐明细!$C523)</f>
        <v/>
      </c>
      <c r="AV523">
        <f t="shared" si="292"/>
        <v>0</v>
      </c>
      <c r="AW523">
        <f t="shared" si="293"/>
        <v>1</v>
      </c>
      <c r="BS523" t="str">
        <f t="shared" si="277"/>
        <v/>
      </c>
      <c r="BT523">
        <f t="shared" si="294"/>
        <v>0</v>
      </c>
      <c r="BU523">
        <f t="shared" si="295"/>
        <v>17</v>
      </c>
      <c r="CP523">
        <f>IF(包装物料出入库明细!$D523="",0,1)</f>
        <v>0</v>
      </c>
      <c r="CQ523">
        <f t="shared" si="296"/>
        <v>37</v>
      </c>
      <c r="CS523" t="str">
        <f>IF(OR(周转筐出入库明细!$C524="",周转筐出入库明细!$F524&lt;&gt;"采购入库"),"",周转筐出入库明细!$C524)</f>
        <v/>
      </c>
      <c r="CT523">
        <f t="shared" si="297"/>
        <v>0</v>
      </c>
      <c r="CU523">
        <f t="shared" si="298"/>
        <v>1</v>
      </c>
    </row>
    <row r="524" spans="1:99">
      <c r="A524" t="str">
        <f>IF(包装物料出入库明细!$E524="","",包装物料出入库明细!$E524)</f>
        <v/>
      </c>
      <c r="B524">
        <f t="shared" si="278"/>
        <v>0</v>
      </c>
      <c r="C524">
        <f t="shared" si="279"/>
        <v>7</v>
      </c>
      <c r="D524" t="str">
        <f>IF(包装物料出入库明细!$E524="","",包装物料出入库明细!$F524)</f>
        <v/>
      </c>
      <c r="E524" t="str">
        <f>IF(包装物料出入库明细!$E524="","",包装物料出入库明细!$G524)</f>
        <v/>
      </c>
      <c r="K524" t="str">
        <f>IF(包装物料出入库明细!$D524="","",包装物料出入库明细!$D524)</f>
        <v/>
      </c>
      <c r="L524">
        <f t="shared" si="280"/>
        <v>0</v>
      </c>
      <c r="M524">
        <f t="shared" si="281"/>
        <v>9</v>
      </c>
      <c r="Q524" t="str">
        <f>IF(周转筐出入库明细!$D525="","",周转筐出入库明细!$D525)</f>
        <v/>
      </c>
      <c r="R524">
        <f t="shared" si="282"/>
        <v>0</v>
      </c>
      <c r="S524">
        <f t="shared" si="283"/>
        <v>5</v>
      </c>
      <c r="W524" t="str">
        <f>IF(周转筐出入库明细!$C525="","",周转筐出入库明细!$C525)</f>
        <v/>
      </c>
      <c r="X524">
        <f t="shared" si="284"/>
        <v>0</v>
      </c>
      <c r="Y524">
        <f t="shared" si="285"/>
        <v>12</v>
      </c>
      <c r="AC524" t="str">
        <f>IF(客户自备加工筐明细!$C524="","",客户自备加工筐明细!$C524)</f>
        <v/>
      </c>
      <c r="AD524">
        <f t="shared" si="286"/>
        <v>0</v>
      </c>
      <c r="AE524">
        <f t="shared" si="287"/>
        <v>1</v>
      </c>
      <c r="AI524" t="str">
        <f>IF(客户自备加工筐明细!$E524="","",客户自备加工筐明细!$E524)</f>
        <v/>
      </c>
      <c r="AJ524">
        <f t="shared" si="288"/>
        <v>0</v>
      </c>
      <c r="AK524">
        <f t="shared" si="289"/>
        <v>1</v>
      </c>
      <c r="AO524" t="str">
        <f>IF(次果筐明细!$D524="","",次果筐明细!$D524)</f>
        <v/>
      </c>
      <c r="AP524">
        <f t="shared" si="290"/>
        <v>0</v>
      </c>
      <c r="AQ524">
        <f t="shared" si="291"/>
        <v>1</v>
      </c>
      <c r="AU524" t="str">
        <f>IF(次果筐明细!$C524="","",次果筐明细!$C524)</f>
        <v/>
      </c>
      <c r="AV524">
        <f t="shared" si="292"/>
        <v>0</v>
      </c>
      <c r="AW524">
        <f t="shared" si="293"/>
        <v>1</v>
      </c>
      <c r="BS524" t="str">
        <f t="shared" si="277"/>
        <v/>
      </c>
      <c r="BT524">
        <f t="shared" si="294"/>
        <v>0</v>
      </c>
      <c r="BU524">
        <f t="shared" si="295"/>
        <v>17</v>
      </c>
      <c r="CP524">
        <f>IF(包装物料出入库明细!$D524="",0,1)</f>
        <v>0</v>
      </c>
      <c r="CQ524">
        <f t="shared" si="296"/>
        <v>37</v>
      </c>
      <c r="CS524" t="str">
        <f>IF(OR(周转筐出入库明细!$C525="",周转筐出入库明细!$F525&lt;&gt;"采购入库"),"",周转筐出入库明细!$C525)</f>
        <v/>
      </c>
      <c r="CT524">
        <f t="shared" si="297"/>
        <v>0</v>
      </c>
      <c r="CU524">
        <f t="shared" si="298"/>
        <v>1</v>
      </c>
    </row>
    <row r="525" spans="1:99">
      <c r="A525" t="str">
        <f>IF(包装物料出入库明细!$E525="","",包装物料出入库明细!$E525)</f>
        <v/>
      </c>
      <c r="B525">
        <f t="shared" si="278"/>
        <v>0</v>
      </c>
      <c r="C525">
        <f t="shared" si="279"/>
        <v>7</v>
      </c>
      <c r="D525" t="str">
        <f>IF(包装物料出入库明细!$E525="","",包装物料出入库明细!$F525)</f>
        <v/>
      </c>
      <c r="E525" t="str">
        <f>IF(包装物料出入库明细!$E525="","",包装物料出入库明细!$G525)</f>
        <v/>
      </c>
      <c r="K525" t="str">
        <f>IF(包装物料出入库明细!$D525="","",包装物料出入库明细!$D525)</f>
        <v/>
      </c>
      <c r="L525">
        <f t="shared" si="280"/>
        <v>0</v>
      </c>
      <c r="M525">
        <f t="shared" si="281"/>
        <v>9</v>
      </c>
      <c r="Q525" t="str">
        <f>IF(周转筐出入库明细!$D526="","",周转筐出入库明细!$D526)</f>
        <v/>
      </c>
      <c r="R525">
        <f t="shared" si="282"/>
        <v>0</v>
      </c>
      <c r="S525">
        <f t="shared" si="283"/>
        <v>5</v>
      </c>
      <c r="W525" t="str">
        <f>IF(周转筐出入库明细!$C526="","",周转筐出入库明细!$C526)</f>
        <v/>
      </c>
      <c r="X525">
        <f t="shared" si="284"/>
        <v>0</v>
      </c>
      <c r="Y525">
        <f t="shared" si="285"/>
        <v>12</v>
      </c>
      <c r="AC525" t="str">
        <f>IF(客户自备加工筐明细!$C525="","",客户自备加工筐明细!$C525)</f>
        <v/>
      </c>
      <c r="AD525">
        <f t="shared" si="286"/>
        <v>0</v>
      </c>
      <c r="AE525">
        <f t="shared" si="287"/>
        <v>1</v>
      </c>
      <c r="AI525" t="str">
        <f>IF(客户自备加工筐明细!$E525="","",客户自备加工筐明细!$E525)</f>
        <v/>
      </c>
      <c r="AJ525">
        <f t="shared" si="288"/>
        <v>0</v>
      </c>
      <c r="AK525">
        <f t="shared" si="289"/>
        <v>1</v>
      </c>
      <c r="AO525" t="str">
        <f>IF(次果筐明细!$D525="","",次果筐明细!$D525)</f>
        <v/>
      </c>
      <c r="AP525">
        <f t="shared" si="290"/>
        <v>0</v>
      </c>
      <c r="AQ525">
        <f t="shared" si="291"/>
        <v>1</v>
      </c>
      <c r="AU525" t="str">
        <f>IF(次果筐明细!$C525="","",次果筐明细!$C525)</f>
        <v/>
      </c>
      <c r="AV525">
        <f t="shared" si="292"/>
        <v>0</v>
      </c>
      <c r="AW525">
        <f t="shared" si="293"/>
        <v>1</v>
      </c>
      <c r="BS525" t="str">
        <f t="shared" si="277"/>
        <v/>
      </c>
      <c r="BT525">
        <f t="shared" si="294"/>
        <v>0</v>
      </c>
      <c r="BU525">
        <f t="shared" si="295"/>
        <v>17</v>
      </c>
      <c r="CP525">
        <f>IF(包装物料出入库明细!$D525="",0,1)</f>
        <v>0</v>
      </c>
      <c r="CQ525">
        <f t="shared" si="296"/>
        <v>37</v>
      </c>
      <c r="CS525" t="str">
        <f>IF(OR(周转筐出入库明细!$C526="",周转筐出入库明细!$F526&lt;&gt;"采购入库"),"",周转筐出入库明细!$C526)</f>
        <v/>
      </c>
      <c r="CT525">
        <f t="shared" si="297"/>
        <v>0</v>
      </c>
      <c r="CU525">
        <f t="shared" si="298"/>
        <v>1</v>
      </c>
    </row>
    <row r="526" spans="1:99">
      <c r="A526" t="str">
        <f>IF(包装物料出入库明细!$E526="","",包装物料出入库明细!$E526)</f>
        <v/>
      </c>
      <c r="B526">
        <f t="shared" si="278"/>
        <v>0</v>
      </c>
      <c r="C526">
        <f t="shared" si="279"/>
        <v>7</v>
      </c>
      <c r="D526" t="str">
        <f>IF(包装物料出入库明细!$E526="","",包装物料出入库明细!$F526)</f>
        <v/>
      </c>
      <c r="E526" t="str">
        <f>IF(包装物料出入库明细!$E526="","",包装物料出入库明细!$G526)</f>
        <v/>
      </c>
      <c r="K526" t="str">
        <f>IF(包装物料出入库明细!$D526="","",包装物料出入库明细!$D526)</f>
        <v/>
      </c>
      <c r="L526">
        <f t="shared" si="280"/>
        <v>0</v>
      </c>
      <c r="M526">
        <f t="shared" si="281"/>
        <v>9</v>
      </c>
      <c r="Q526" t="str">
        <f>IF(周转筐出入库明细!$D527="","",周转筐出入库明细!$D527)</f>
        <v/>
      </c>
      <c r="R526">
        <f t="shared" si="282"/>
        <v>0</v>
      </c>
      <c r="S526">
        <f t="shared" si="283"/>
        <v>5</v>
      </c>
      <c r="W526" t="str">
        <f>IF(周转筐出入库明细!$C527="","",周转筐出入库明细!$C527)</f>
        <v/>
      </c>
      <c r="X526">
        <f t="shared" si="284"/>
        <v>0</v>
      </c>
      <c r="Y526">
        <f t="shared" si="285"/>
        <v>12</v>
      </c>
      <c r="AC526" t="str">
        <f>IF(客户自备加工筐明细!$C526="","",客户自备加工筐明细!$C526)</f>
        <v/>
      </c>
      <c r="AD526">
        <f t="shared" si="286"/>
        <v>0</v>
      </c>
      <c r="AE526">
        <f t="shared" si="287"/>
        <v>1</v>
      </c>
      <c r="AI526" t="str">
        <f>IF(客户自备加工筐明细!$E526="","",客户自备加工筐明细!$E526)</f>
        <v/>
      </c>
      <c r="AJ526">
        <f t="shared" si="288"/>
        <v>0</v>
      </c>
      <c r="AK526">
        <f t="shared" si="289"/>
        <v>1</v>
      </c>
      <c r="AO526" t="str">
        <f>IF(次果筐明细!$D526="","",次果筐明细!$D526)</f>
        <v/>
      </c>
      <c r="AP526">
        <f t="shared" si="290"/>
        <v>0</v>
      </c>
      <c r="AQ526">
        <f t="shared" si="291"/>
        <v>1</v>
      </c>
      <c r="AU526" t="str">
        <f>IF(次果筐明细!$C526="","",次果筐明细!$C526)</f>
        <v/>
      </c>
      <c r="AV526">
        <f t="shared" si="292"/>
        <v>0</v>
      </c>
      <c r="AW526">
        <f t="shared" si="293"/>
        <v>1</v>
      </c>
      <c r="BS526" t="str">
        <f t="shared" si="277"/>
        <v/>
      </c>
      <c r="BT526">
        <f t="shared" si="294"/>
        <v>0</v>
      </c>
      <c r="BU526">
        <f t="shared" si="295"/>
        <v>17</v>
      </c>
      <c r="CP526">
        <f>IF(包装物料出入库明细!$D526="",0,1)</f>
        <v>0</v>
      </c>
      <c r="CQ526">
        <f t="shared" si="296"/>
        <v>37</v>
      </c>
      <c r="CS526" t="str">
        <f>IF(OR(周转筐出入库明细!$C527="",周转筐出入库明细!$F527&lt;&gt;"采购入库"),"",周转筐出入库明细!$C527)</f>
        <v/>
      </c>
      <c r="CT526">
        <f t="shared" si="297"/>
        <v>0</v>
      </c>
      <c r="CU526">
        <f t="shared" si="298"/>
        <v>1</v>
      </c>
    </row>
    <row r="527" spans="1:99">
      <c r="A527" t="str">
        <f>IF(包装物料出入库明细!$E527="","",包装物料出入库明细!$E527)</f>
        <v/>
      </c>
      <c r="B527">
        <f t="shared" si="278"/>
        <v>0</v>
      </c>
      <c r="C527">
        <f t="shared" si="279"/>
        <v>7</v>
      </c>
      <c r="D527" t="str">
        <f>IF(包装物料出入库明细!$E527="","",包装物料出入库明细!$F527)</f>
        <v/>
      </c>
      <c r="E527" t="str">
        <f>IF(包装物料出入库明细!$E527="","",包装物料出入库明细!$G527)</f>
        <v/>
      </c>
      <c r="K527" t="str">
        <f>IF(包装物料出入库明细!$D527="","",包装物料出入库明细!$D527)</f>
        <v/>
      </c>
      <c r="L527">
        <f t="shared" si="280"/>
        <v>0</v>
      </c>
      <c r="M527">
        <f t="shared" si="281"/>
        <v>9</v>
      </c>
      <c r="Q527" t="str">
        <f>IF(周转筐出入库明细!$D528="","",周转筐出入库明细!$D528)</f>
        <v/>
      </c>
      <c r="R527">
        <f t="shared" si="282"/>
        <v>0</v>
      </c>
      <c r="S527">
        <f t="shared" si="283"/>
        <v>5</v>
      </c>
      <c r="W527" t="str">
        <f>IF(周转筐出入库明细!$C528="","",周转筐出入库明细!$C528)</f>
        <v/>
      </c>
      <c r="X527">
        <f t="shared" si="284"/>
        <v>0</v>
      </c>
      <c r="Y527">
        <f t="shared" si="285"/>
        <v>12</v>
      </c>
      <c r="AC527" t="str">
        <f>IF(客户自备加工筐明细!$C527="","",客户自备加工筐明细!$C527)</f>
        <v/>
      </c>
      <c r="AD527">
        <f t="shared" si="286"/>
        <v>0</v>
      </c>
      <c r="AE527">
        <f t="shared" si="287"/>
        <v>1</v>
      </c>
      <c r="AI527" t="str">
        <f>IF(客户自备加工筐明细!$E527="","",客户自备加工筐明细!$E527)</f>
        <v/>
      </c>
      <c r="AJ527">
        <f t="shared" si="288"/>
        <v>0</v>
      </c>
      <c r="AK527">
        <f t="shared" si="289"/>
        <v>1</v>
      </c>
      <c r="AO527" t="str">
        <f>IF(次果筐明细!$D527="","",次果筐明细!$D527)</f>
        <v/>
      </c>
      <c r="AP527">
        <f t="shared" si="290"/>
        <v>0</v>
      </c>
      <c r="AQ527">
        <f t="shared" si="291"/>
        <v>1</v>
      </c>
      <c r="AU527" t="str">
        <f>IF(次果筐明细!$C527="","",次果筐明细!$C527)</f>
        <v/>
      </c>
      <c r="AV527">
        <f t="shared" si="292"/>
        <v>0</v>
      </c>
      <c r="AW527">
        <f t="shared" si="293"/>
        <v>1</v>
      </c>
      <c r="BS527" t="str">
        <f t="shared" si="277"/>
        <v/>
      </c>
      <c r="BT527">
        <f t="shared" si="294"/>
        <v>0</v>
      </c>
      <c r="BU527">
        <f t="shared" si="295"/>
        <v>17</v>
      </c>
      <c r="CP527">
        <f>IF(包装物料出入库明细!$D527="",0,1)</f>
        <v>0</v>
      </c>
      <c r="CQ527">
        <f t="shared" si="296"/>
        <v>37</v>
      </c>
      <c r="CS527" t="str">
        <f>IF(OR(周转筐出入库明细!$C528="",周转筐出入库明细!$F528&lt;&gt;"采购入库"),"",周转筐出入库明细!$C528)</f>
        <v/>
      </c>
      <c r="CT527">
        <f t="shared" si="297"/>
        <v>0</v>
      </c>
      <c r="CU527">
        <f t="shared" si="298"/>
        <v>1</v>
      </c>
    </row>
    <row r="528" spans="1:99">
      <c r="A528" t="str">
        <f>IF(包装物料出入库明细!$E528="","",包装物料出入库明细!$E528)</f>
        <v/>
      </c>
      <c r="B528">
        <f t="shared" si="278"/>
        <v>0</v>
      </c>
      <c r="C528">
        <f t="shared" si="279"/>
        <v>7</v>
      </c>
      <c r="D528" t="str">
        <f>IF(包装物料出入库明细!$E528="","",包装物料出入库明细!$F528)</f>
        <v/>
      </c>
      <c r="E528" t="str">
        <f>IF(包装物料出入库明细!$E528="","",包装物料出入库明细!$G528)</f>
        <v/>
      </c>
      <c r="K528" t="str">
        <f>IF(包装物料出入库明细!$D528="","",包装物料出入库明细!$D528)</f>
        <v/>
      </c>
      <c r="L528">
        <f t="shared" si="280"/>
        <v>0</v>
      </c>
      <c r="M528">
        <f t="shared" si="281"/>
        <v>9</v>
      </c>
      <c r="Q528" t="str">
        <f>IF(周转筐出入库明细!$D529="","",周转筐出入库明细!$D529)</f>
        <v/>
      </c>
      <c r="R528">
        <f t="shared" si="282"/>
        <v>0</v>
      </c>
      <c r="S528">
        <f t="shared" si="283"/>
        <v>5</v>
      </c>
      <c r="W528" t="str">
        <f>IF(周转筐出入库明细!$C529="","",周转筐出入库明细!$C529)</f>
        <v/>
      </c>
      <c r="X528">
        <f t="shared" si="284"/>
        <v>0</v>
      </c>
      <c r="Y528">
        <f t="shared" si="285"/>
        <v>12</v>
      </c>
      <c r="AC528" t="str">
        <f>IF(客户自备加工筐明细!$C528="","",客户自备加工筐明细!$C528)</f>
        <v/>
      </c>
      <c r="AD528">
        <f t="shared" si="286"/>
        <v>0</v>
      </c>
      <c r="AE528">
        <f t="shared" si="287"/>
        <v>1</v>
      </c>
      <c r="AI528" t="str">
        <f>IF(客户自备加工筐明细!$E528="","",客户自备加工筐明细!$E528)</f>
        <v/>
      </c>
      <c r="AJ528">
        <f t="shared" si="288"/>
        <v>0</v>
      </c>
      <c r="AK528">
        <f t="shared" si="289"/>
        <v>1</v>
      </c>
      <c r="AO528" t="str">
        <f>IF(次果筐明细!$D528="","",次果筐明细!$D528)</f>
        <v/>
      </c>
      <c r="AP528">
        <f t="shared" si="290"/>
        <v>0</v>
      </c>
      <c r="AQ528">
        <f t="shared" si="291"/>
        <v>1</v>
      </c>
      <c r="AU528" t="str">
        <f>IF(次果筐明细!$C528="","",次果筐明细!$C528)</f>
        <v/>
      </c>
      <c r="AV528">
        <f t="shared" si="292"/>
        <v>0</v>
      </c>
      <c r="AW528">
        <f t="shared" si="293"/>
        <v>1</v>
      </c>
      <c r="BS528" t="str">
        <f t="shared" si="277"/>
        <v/>
      </c>
      <c r="BT528">
        <f t="shared" si="294"/>
        <v>0</v>
      </c>
      <c r="BU528">
        <f t="shared" si="295"/>
        <v>17</v>
      </c>
      <c r="CP528">
        <f>IF(包装物料出入库明细!$D528="",0,1)</f>
        <v>0</v>
      </c>
      <c r="CQ528">
        <f t="shared" si="296"/>
        <v>37</v>
      </c>
      <c r="CS528" t="str">
        <f>IF(OR(周转筐出入库明细!$C529="",周转筐出入库明细!$F529&lt;&gt;"采购入库"),"",周转筐出入库明细!$C529)</f>
        <v/>
      </c>
      <c r="CT528">
        <f t="shared" si="297"/>
        <v>0</v>
      </c>
      <c r="CU528">
        <f t="shared" si="298"/>
        <v>1</v>
      </c>
    </row>
    <row r="529" spans="1:99">
      <c r="A529" t="str">
        <f>IF(包装物料出入库明细!$E529="","",包装物料出入库明细!$E529)</f>
        <v/>
      </c>
      <c r="B529">
        <f t="shared" si="278"/>
        <v>0</v>
      </c>
      <c r="C529">
        <f t="shared" si="279"/>
        <v>7</v>
      </c>
      <c r="D529" t="str">
        <f>IF(包装物料出入库明细!$E529="","",包装物料出入库明细!$F529)</f>
        <v/>
      </c>
      <c r="E529" t="str">
        <f>IF(包装物料出入库明细!$E529="","",包装物料出入库明细!$G529)</f>
        <v/>
      </c>
      <c r="K529" t="str">
        <f>IF(包装物料出入库明细!$D529="","",包装物料出入库明细!$D529)</f>
        <v/>
      </c>
      <c r="L529">
        <f t="shared" si="280"/>
        <v>0</v>
      </c>
      <c r="M529">
        <f t="shared" si="281"/>
        <v>9</v>
      </c>
      <c r="Q529" t="str">
        <f>IF(周转筐出入库明细!$D530="","",周转筐出入库明细!$D530)</f>
        <v/>
      </c>
      <c r="R529">
        <f t="shared" si="282"/>
        <v>0</v>
      </c>
      <c r="S529">
        <f t="shared" si="283"/>
        <v>5</v>
      </c>
      <c r="W529" t="str">
        <f>IF(周转筐出入库明细!$C530="","",周转筐出入库明细!$C530)</f>
        <v/>
      </c>
      <c r="X529">
        <f t="shared" si="284"/>
        <v>0</v>
      </c>
      <c r="Y529">
        <f t="shared" si="285"/>
        <v>12</v>
      </c>
      <c r="AC529" t="str">
        <f>IF(客户自备加工筐明细!$C529="","",客户自备加工筐明细!$C529)</f>
        <v/>
      </c>
      <c r="AD529">
        <f t="shared" si="286"/>
        <v>0</v>
      </c>
      <c r="AE529">
        <f t="shared" si="287"/>
        <v>1</v>
      </c>
      <c r="AI529" t="str">
        <f>IF(客户自备加工筐明细!$E529="","",客户自备加工筐明细!$E529)</f>
        <v/>
      </c>
      <c r="AJ529">
        <f t="shared" si="288"/>
        <v>0</v>
      </c>
      <c r="AK529">
        <f t="shared" si="289"/>
        <v>1</v>
      </c>
      <c r="AO529" t="str">
        <f>IF(次果筐明细!$D529="","",次果筐明细!$D529)</f>
        <v/>
      </c>
      <c r="AP529">
        <f t="shared" si="290"/>
        <v>0</v>
      </c>
      <c r="AQ529">
        <f t="shared" si="291"/>
        <v>1</v>
      </c>
      <c r="AU529" t="str">
        <f>IF(次果筐明细!$C529="","",次果筐明细!$C529)</f>
        <v/>
      </c>
      <c r="AV529">
        <f t="shared" si="292"/>
        <v>0</v>
      </c>
      <c r="AW529">
        <f t="shared" si="293"/>
        <v>1</v>
      </c>
      <c r="BS529" t="str">
        <f t="shared" si="277"/>
        <v/>
      </c>
      <c r="BT529">
        <f t="shared" si="294"/>
        <v>0</v>
      </c>
      <c r="BU529">
        <f t="shared" si="295"/>
        <v>17</v>
      </c>
      <c r="CP529">
        <f>IF(包装物料出入库明细!$D529="",0,1)</f>
        <v>0</v>
      </c>
      <c r="CQ529">
        <f t="shared" si="296"/>
        <v>37</v>
      </c>
      <c r="CS529" t="str">
        <f>IF(OR(周转筐出入库明细!$C530="",周转筐出入库明细!$F530&lt;&gt;"采购入库"),"",周转筐出入库明细!$C530)</f>
        <v/>
      </c>
      <c r="CT529">
        <f t="shared" si="297"/>
        <v>0</v>
      </c>
      <c r="CU529">
        <f t="shared" si="298"/>
        <v>1</v>
      </c>
    </row>
    <row r="530" spans="1:99">
      <c r="A530" t="str">
        <f>IF(包装物料出入库明细!$E530="","",包装物料出入库明细!$E530)</f>
        <v/>
      </c>
      <c r="B530">
        <f t="shared" si="278"/>
        <v>0</v>
      </c>
      <c r="C530">
        <f t="shared" si="279"/>
        <v>7</v>
      </c>
      <c r="D530" t="str">
        <f>IF(包装物料出入库明细!$E530="","",包装物料出入库明细!$F530)</f>
        <v/>
      </c>
      <c r="E530" t="str">
        <f>IF(包装物料出入库明细!$E530="","",包装物料出入库明细!$G530)</f>
        <v/>
      </c>
      <c r="K530" t="str">
        <f>IF(包装物料出入库明细!$D530="","",包装物料出入库明细!$D530)</f>
        <v/>
      </c>
      <c r="L530">
        <f t="shared" si="280"/>
        <v>0</v>
      </c>
      <c r="M530">
        <f t="shared" si="281"/>
        <v>9</v>
      </c>
      <c r="Q530" t="str">
        <f>IF(周转筐出入库明细!$D531="","",周转筐出入库明细!$D531)</f>
        <v/>
      </c>
      <c r="R530">
        <f t="shared" si="282"/>
        <v>0</v>
      </c>
      <c r="S530">
        <f t="shared" si="283"/>
        <v>5</v>
      </c>
      <c r="W530" t="str">
        <f>IF(周转筐出入库明细!$C531="","",周转筐出入库明细!$C531)</f>
        <v/>
      </c>
      <c r="X530">
        <f t="shared" si="284"/>
        <v>0</v>
      </c>
      <c r="Y530">
        <f t="shared" si="285"/>
        <v>12</v>
      </c>
      <c r="AC530" t="str">
        <f>IF(客户自备加工筐明细!$C530="","",客户自备加工筐明细!$C530)</f>
        <v/>
      </c>
      <c r="AD530">
        <f t="shared" si="286"/>
        <v>0</v>
      </c>
      <c r="AE530">
        <f t="shared" si="287"/>
        <v>1</v>
      </c>
      <c r="AI530" t="str">
        <f>IF(客户自备加工筐明细!$E530="","",客户自备加工筐明细!$E530)</f>
        <v/>
      </c>
      <c r="AJ530">
        <f t="shared" si="288"/>
        <v>0</v>
      </c>
      <c r="AK530">
        <f t="shared" si="289"/>
        <v>1</v>
      </c>
      <c r="AO530" t="str">
        <f>IF(次果筐明细!$D530="","",次果筐明细!$D530)</f>
        <v/>
      </c>
      <c r="AP530">
        <f t="shared" si="290"/>
        <v>0</v>
      </c>
      <c r="AQ530">
        <f t="shared" si="291"/>
        <v>1</v>
      </c>
      <c r="AU530" t="str">
        <f>IF(次果筐明细!$C530="","",次果筐明细!$C530)</f>
        <v/>
      </c>
      <c r="AV530">
        <f t="shared" si="292"/>
        <v>0</v>
      </c>
      <c r="AW530">
        <f t="shared" si="293"/>
        <v>1</v>
      </c>
      <c r="BS530" t="str">
        <f t="shared" si="277"/>
        <v/>
      </c>
      <c r="BT530">
        <f t="shared" si="294"/>
        <v>0</v>
      </c>
      <c r="BU530">
        <f t="shared" si="295"/>
        <v>17</v>
      </c>
      <c r="CP530">
        <f>IF(包装物料出入库明细!$D530="",0,1)</f>
        <v>0</v>
      </c>
      <c r="CQ530">
        <f t="shared" si="296"/>
        <v>37</v>
      </c>
      <c r="CS530" t="str">
        <f>IF(OR(周转筐出入库明细!$C531="",周转筐出入库明细!$F531&lt;&gt;"采购入库"),"",周转筐出入库明细!$C531)</f>
        <v/>
      </c>
      <c r="CT530">
        <f t="shared" si="297"/>
        <v>0</v>
      </c>
      <c r="CU530">
        <f t="shared" si="298"/>
        <v>1</v>
      </c>
    </row>
    <row r="531" spans="1:99">
      <c r="A531" t="str">
        <f>IF(包装物料出入库明细!$E531="","",包装物料出入库明细!$E531)</f>
        <v/>
      </c>
      <c r="B531">
        <f t="shared" si="278"/>
        <v>0</v>
      </c>
      <c r="C531">
        <f t="shared" si="279"/>
        <v>7</v>
      </c>
      <c r="D531" t="str">
        <f>IF(包装物料出入库明细!$E531="","",包装物料出入库明细!$F531)</f>
        <v/>
      </c>
      <c r="E531" t="str">
        <f>IF(包装物料出入库明细!$E531="","",包装物料出入库明细!$G531)</f>
        <v/>
      </c>
      <c r="K531" t="str">
        <f>IF(包装物料出入库明细!$D531="","",包装物料出入库明细!$D531)</f>
        <v/>
      </c>
      <c r="L531">
        <f t="shared" si="280"/>
        <v>0</v>
      </c>
      <c r="M531">
        <f t="shared" si="281"/>
        <v>9</v>
      </c>
      <c r="Q531" t="str">
        <f>IF(周转筐出入库明细!$D532="","",周转筐出入库明细!$D532)</f>
        <v/>
      </c>
      <c r="R531">
        <f t="shared" si="282"/>
        <v>0</v>
      </c>
      <c r="S531">
        <f t="shared" si="283"/>
        <v>5</v>
      </c>
      <c r="W531" t="str">
        <f>IF(周转筐出入库明细!$C532="","",周转筐出入库明细!$C532)</f>
        <v/>
      </c>
      <c r="X531">
        <f t="shared" si="284"/>
        <v>0</v>
      </c>
      <c r="Y531">
        <f t="shared" si="285"/>
        <v>12</v>
      </c>
      <c r="AC531" t="str">
        <f>IF(客户自备加工筐明细!$C531="","",客户自备加工筐明细!$C531)</f>
        <v/>
      </c>
      <c r="AD531">
        <f t="shared" si="286"/>
        <v>0</v>
      </c>
      <c r="AE531">
        <f t="shared" si="287"/>
        <v>1</v>
      </c>
      <c r="AI531" t="str">
        <f>IF(客户自备加工筐明细!$E531="","",客户自备加工筐明细!$E531)</f>
        <v/>
      </c>
      <c r="AJ531">
        <f t="shared" si="288"/>
        <v>0</v>
      </c>
      <c r="AK531">
        <f t="shared" si="289"/>
        <v>1</v>
      </c>
      <c r="AO531" t="str">
        <f>IF(次果筐明细!$D531="","",次果筐明细!$D531)</f>
        <v/>
      </c>
      <c r="AP531">
        <f t="shared" si="290"/>
        <v>0</v>
      </c>
      <c r="AQ531">
        <f t="shared" si="291"/>
        <v>1</v>
      </c>
      <c r="AU531" t="str">
        <f>IF(次果筐明细!$C531="","",次果筐明细!$C531)</f>
        <v/>
      </c>
      <c r="AV531">
        <f t="shared" si="292"/>
        <v>0</v>
      </c>
      <c r="AW531">
        <f t="shared" si="293"/>
        <v>1</v>
      </c>
      <c r="BS531" t="str">
        <f t="shared" si="277"/>
        <v/>
      </c>
      <c r="BT531">
        <f t="shared" si="294"/>
        <v>0</v>
      </c>
      <c r="BU531">
        <f t="shared" si="295"/>
        <v>17</v>
      </c>
      <c r="CP531">
        <f>IF(包装物料出入库明细!$D531="",0,1)</f>
        <v>0</v>
      </c>
      <c r="CQ531">
        <f t="shared" si="296"/>
        <v>37</v>
      </c>
      <c r="CS531" t="str">
        <f>IF(OR(周转筐出入库明细!$C532="",周转筐出入库明细!$F532&lt;&gt;"采购入库"),"",周转筐出入库明细!$C532)</f>
        <v/>
      </c>
      <c r="CT531">
        <f t="shared" si="297"/>
        <v>0</v>
      </c>
      <c r="CU531">
        <f t="shared" si="298"/>
        <v>1</v>
      </c>
    </row>
    <row r="532" spans="1:99">
      <c r="A532" t="str">
        <f>IF(包装物料出入库明细!$E532="","",包装物料出入库明细!$E532)</f>
        <v/>
      </c>
      <c r="B532">
        <f t="shared" si="278"/>
        <v>0</v>
      </c>
      <c r="C532">
        <f t="shared" si="279"/>
        <v>7</v>
      </c>
      <c r="D532" t="str">
        <f>IF(包装物料出入库明细!$E532="","",包装物料出入库明细!$F532)</f>
        <v/>
      </c>
      <c r="E532" t="str">
        <f>IF(包装物料出入库明细!$E532="","",包装物料出入库明细!$G532)</f>
        <v/>
      </c>
      <c r="K532" t="str">
        <f>IF(包装物料出入库明细!$D532="","",包装物料出入库明细!$D532)</f>
        <v/>
      </c>
      <c r="L532">
        <f t="shared" si="280"/>
        <v>0</v>
      </c>
      <c r="M532">
        <f t="shared" si="281"/>
        <v>9</v>
      </c>
      <c r="Q532" t="str">
        <f>IF(周转筐出入库明细!$D533="","",周转筐出入库明细!$D533)</f>
        <v/>
      </c>
      <c r="R532">
        <f t="shared" si="282"/>
        <v>0</v>
      </c>
      <c r="S532">
        <f t="shared" si="283"/>
        <v>5</v>
      </c>
      <c r="W532" t="str">
        <f>IF(周转筐出入库明细!$C533="","",周转筐出入库明细!$C533)</f>
        <v/>
      </c>
      <c r="X532">
        <f t="shared" si="284"/>
        <v>0</v>
      </c>
      <c r="Y532">
        <f t="shared" si="285"/>
        <v>12</v>
      </c>
      <c r="AC532" t="str">
        <f>IF(客户自备加工筐明细!$C532="","",客户自备加工筐明细!$C532)</f>
        <v/>
      </c>
      <c r="AD532">
        <f t="shared" si="286"/>
        <v>0</v>
      </c>
      <c r="AE532">
        <f t="shared" si="287"/>
        <v>1</v>
      </c>
      <c r="AI532" t="str">
        <f>IF(客户自备加工筐明细!$E532="","",客户自备加工筐明细!$E532)</f>
        <v/>
      </c>
      <c r="AJ532">
        <f t="shared" si="288"/>
        <v>0</v>
      </c>
      <c r="AK532">
        <f t="shared" si="289"/>
        <v>1</v>
      </c>
      <c r="AO532" t="str">
        <f>IF(次果筐明细!$D532="","",次果筐明细!$D532)</f>
        <v/>
      </c>
      <c r="AP532">
        <f t="shared" si="290"/>
        <v>0</v>
      </c>
      <c r="AQ532">
        <f t="shared" si="291"/>
        <v>1</v>
      </c>
      <c r="AU532" t="str">
        <f>IF(次果筐明细!$C532="","",次果筐明细!$C532)</f>
        <v/>
      </c>
      <c r="AV532">
        <f t="shared" si="292"/>
        <v>0</v>
      </c>
      <c r="AW532">
        <f t="shared" si="293"/>
        <v>1</v>
      </c>
      <c r="BS532" t="str">
        <f t="shared" ref="BS532:BS595" si="299">IF($AM132="","",$AM132)</f>
        <v/>
      </c>
      <c r="BT532">
        <f t="shared" si="294"/>
        <v>0</v>
      </c>
      <c r="BU532">
        <f t="shared" si="295"/>
        <v>17</v>
      </c>
      <c r="CP532">
        <f>IF(包装物料出入库明细!$D532="",0,1)</f>
        <v>0</v>
      </c>
      <c r="CQ532">
        <f t="shared" si="296"/>
        <v>37</v>
      </c>
      <c r="CS532" t="str">
        <f>IF(OR(周转筐出入库明细!$C533="",周转筐出入库明细!$F533&lt;&gt;"采购入库"),"",周转筐出入库明细!$C533)</f>
        <v/>
      </c>
      <c r="CT532">
        <f t="shared" si="297"/>
        <v>0</v>
      </c>
      <c r="CU532">
        <f t="shared" si="298"/>
        <v>1</v>
      </c>
    </row>
    <row r="533" spans="1:99">
      <c r="A533" t="str">
        <f>IF(包装物料出入库明细!$E533="","",包装物料出入库明细!$E533)</f>
        <v/>
      </c>
      <c r="B533">
        <f t="shared" si="278"/>
        <v>0</v>
      </c>
      <c r="C533">
        <f t="shared" si="279"/>
        <v>7</v>
      </c>
      <c r="D533" t="str">
        <f>IF(包装物料出入库明细!$E533="","",包装物料出入库明细!$F533)</f>
        <v/>
      </c>
      <c r="E533" t="str">
        <f>IF(包装物料出入库明细!$E533="","",包装物料出入库明细!$G533)</f>
        <v/>
      </c>
      <c r="K533" t="str">
        <f>IF(包装物料出入库明细!$D533="","",包装物料出入库明细!$D533)</f>
        <v/>
      </c>
      <c r="L533">
        <f t="shared" si="280"/>
        <v>0</v>
      </c>
      <c r="M533">
        <f t="shared" si="281"/>
        <v>9</v>
      </c>
      <c r="Q533" t="str">
        <f>IF(周转筐出入库明细!$D534="","",周转筐出入库明细!$D534)</f>
        <v/>
      </c>
      <c r="R533">
        <f t="shared" si="282"/>
        <v>0</v>
      </c>
      <c r="S533">
        <f t="shared" si="283"/>
        <v>5</v>
      </c>
      <c r="W533" t="str">
        <f>IF(周转筐出入库明细!$C534="","",周转筐出入库明细!$C534)</f>
        <v/>
      </c>
      <c r="X533">
        <f t="shared" si="284"/>
        <v>0</v>
      </c>
      <c r="Y533">
        <f t="shared" si="285"/>
        <v>12</v>
      </c>
      <c r="AC533" t="str">
        <f>IF(客户自备加工筐明细!$C533="","",客户自备加工筐明细!$C533)</f>
        <v/>
      </c>
      <c r="AD533">
        <f t="shared" si="286"/>
        <v>0</v>
      </c>
      <c r="AE533">
        <f t="shared" si="287"/>
        <v>1</v>
      </c>
      <c r="AI533" t="str">
        <f>IF(客户自备加工筐明细!$E533="","",客户自备加工筐明细!$E533)</f>
        <v/>
      </c>
      <c r="AJ533">
        <f t="shared" si="288"/>
        <v>0</v>
      </c>
      <c r="AK533">
        <f t="shared" si="289"/>
        <v>1</v>
      </c>
      <c r="AO533" t="str">
        <f>IF(次果筐明细!$D533="","",次果筐明细!$D533)</f>
        <v/>
      </c>
      <c r="AP533">
        <f t="shared" si="290"/>
        <v>0</v>
      </c>
      <c r="AQ533">
        <f t="shared" si="291"/>
        <v>1</v>
      </c>
      <c r="AU533" t="str">
        <f>IF(次果筐明细!$C533="","",次果筐明细!$C533)</f>
        <v/>
      </c>
      <c r="AV533">
        <f t="shared" si="292"/>
        <v>0</v>
      </c>
      <c r="AW533">
        <f t="shared" si="293"/>
        <v>1</v>
      </c>
      <c r="BS533" t="str">
        <f t="shared" si="299"/>
        <v/>
      </c>
      <c r="BT533">
        <f t="shared" si="294"/>
        <v>0</v>
      </c>
      <c r="BU533">
        <f t="shared" si="295"/>
        <v>17</v>
      </c>
      <c r="CP533">
        <f>IF(包装物料出入库明细!$D533="",0,1)</f>
        <v>0</v>
      </c>
      <c r="CQ533">
        <f t="shared" si="296"/>
        <v>37</v>
      </c>
      <c r="CS533" t="str">
        <f>IF(OR(周转筐出入库明细!$C534="",周转筐出入库明细!$F534&lt;&gt;"采购入库"),"",周转筐出入库明细!$C534)</f>
        <v/>
      </c>
      <c r="CT533">
        <f t="shared" si="297"/>
        <v>0</v>
      </c>
      <c r="CU533">
        <f t="shared" si="298"/>
        <v>1</v>
      </c>
    </row>
    <row r="534" spans="1:99">
      <c r="A534" t="str">
        <f>IF(包装物料出入库明细!$E534="","",包装物料出入库明细!$E534)</f>
        <v/>
      </c>
      <c r="B534">
        <f t="shared" si="278"/>
        <v>0</v>
      </c>
      <c r="C534">
        <f t="shared" si="279"/>
        <v>7</v>
      </c>
      <c r="D534" t="str">
        <f>IF(包装物料出入库明细!$E534="","",包装物料出入库明细!$F534)</f>
        <v/>
      </c>
      <c r="E534" t="str">
        <f>IF(包装物料出入库明细!$E534="","",包装物料出入库明细!$G534)</f>
        <v/>
      </c>
      <c r="K534" t="str">
        <f>IF(包装物料出入库明细!$D534="","",包装物料出入库明细!$D534)</f>
        <v/>
      </c>
      <c r="L534">
        <f t="shared" si="280"/>
        <v>0</v>
      </c>
      <c r="M534">
        <f t="shared" si="281"/>
        <v>9</v>
      </c>
      <c r="Q534" t="str">
        <f>IF(周转筐出入库明细!$D535="","",周转筐出入库明细!$D535)</f>
        <v/>
      </c>
      <c r="R534">
        <f t="shared" si="282"/>
        <v>0</v>
      </c>
      <c r="S534">
        <f t="shared" si="283"/>
        <v>5</v>
      </c>
      <c r="W534" t="str">
        <f>IF(周转筐出入库明细!$C535="","",周转筐出入库明细!$C535)</f>
        <v/>
      </c>
      <c r="X534">
        <f t="shared" si="284"/>
        <v>0</v>
      </c>
      <c r="Y534">
        <f t="shared" si="285"/>
        <v>12</v>
      </c>
      <c r="AC534" t="str">
        <f>IF(客户自备加工筐明细!$C534="","",客户自备加工筐明细!$C534)</f>
        <v/>
      </c>
      <c r="AD534">
        <f t="shared" si="286"/>
        <v>0</v>
      </c>
      <c r="AE534">
        <f t="shared" si="287"/>
        <v>1</v>
      </c>
      <c r="AI534" t="str">
        <f>IF(客户自备加工筐明细!$E534="","",客户自备加工筐明细!$E534)</f>
        <v/>
      </c>
      <c r="AJ534">
        <f t="shared" si="288"/>
        <v>0</v>
      </c>
      <c r="AK534">
        <f t="shared" si="289"/>
        <v>1</v>
      </c>
      <c r="AO534" t="str">
        <f>IF(次果筐明细!$D534="","",次果筐明细!$D534)</f>
        <v/>
      </c>
      <c r="AP534">
        <f t="shared" si="290"/>
        <v>0</v>
      </c>
      <c r="AQ534">
        <f t="shared" si="291"/>
        <v>1</v>
      </c>
      <c r="AU534" t="str">
        <f>IF(次果筐明细!$C534="","",次果筐明细!$C534)</f>
        <v/>
      </c>
      <c r="AV534">
        <f t="shared" si="292"/>
        <v>0</v>
      </c>
      <c r="AW534">
        <f t="shared" si="293"/>
        <v>1</v>
      </c>
      <c r="BS534" t="str">
        <f t="shared" si="299"/>
        <v/>
      </c>
      <c r="BT534">
        <f t="shared" si="294"/>
        <v>0</v>
      </c>
      <c r="BU534">
        <f t="shared" si="295"/>
        <v>17</v>
      </c>
      <c r="CP534">
        <f>IF(包装物料出入库明细!$D534="",0,1)</f>
        <v>0</v>
      </c>
      <c r="CQ534">
        <f t="shared" si="296"/>
        <v>37</v>
      </c>
      <c r="CS534" t="str">
        <f>IF(OR(周转筐出入库明细!$C535="",周转筐出入库明细!$F535&lt;&gt;"采购入库"),"",周转筐出入库明细!$C535)</f>
        <v/>
      </c>
      <c r="CT534">
        <f t="shared" si="297"/>
        <v>0</v>
      </c>
      <c r="CU534">
        <f t="shared" si="298"/>
        <v>1</v>
      </c>
    </row>
    <row r="535" spans="1:99">
      <c r="A535" t="str">
        <f>IF(包装物料出入库明细!$E535="","",包装物料出入库明细!$E535)</f>
        <v/>
      </c>
      <c r="B535">
        <f t="shared" si="278"/>
        <v>0</v>
      </c>
      <c r="C535">
        <f t="shared" si="279"/>
        <v>7</v>
      </c>
      <c r="D535" t="str">
        <f>IF(包装物料出入库明细!$E535="","",包装物料出入库明细!$F535)</f>
        <v/>
      </c>
      <c r="E535" t="str">
        <f>IF(包装物料出入库明细!$E535="","",包装物料出入库明细!$G535)</f>
        <v/>
      </c>
      <c r="K535" t="str">
        <f>IF(包装物料出入库明细!$D535="","",包装物料出入库明细!$D535)</f>
        <v/>
      </c>
      <c r="L535">
        <f t="shared" si="280"/>
        <v>0</v>
      </c>
      <c r="M535">
        <f t="shared" si="281"/>
        <v>9</v>
      </c>
      <c r="Q535" t="str">
        <f>IF(周转筐出入库明细!$D536="","",周转筐出入库明细!$D536)</f>
        <v/>
      </c>
      <c r="R535">
        <f t="shared" si="282"/>
        <v>0</v>
      </c>
      <c r="S535">
        <f t="shared" si="283"/>
        <v>5</v>
      </c>
      <c r="W535" t="str">
        <f>IF(周转筐出入库明细!$C536="","",周转筐出入库明细!$C536)</f>
        <v/>
      </c>
      <c r="X535">
        <f t="shared" si="284"/>
        <v>0</v>
      </c>
      <c r="Y535">
        <f t="shared" si="285"/>
        <v>12</v>
      </c>
      <c r="AC535" t="str">
        <f>IF(客户自备加工筐明细!$C535="","",客户自备加工筐明细!$C535)</f>
        <v/>
      </c>
      <c r="AD535">
        <f t="shared" si="286"/>
        <v>0</v>
      </c>
      <c r="AE535">
        <f t="shared" si="287"/>
        <v>1</v>
      </c>
      <c r="AI535" t="str">
        <f>IF(客户自备加工筐明细!$E535="","",客户自备加工筐明细!$E535)</f>
        <v/>
      </c>
      <c r="AJ535">
        <f t="shared" si="288"/>
        <v>0</v>
      </c>
      <c r="AK535">
        <f t="shared" si="289"/>
        <v>1</v>
      </c>
      <c r="AO535" t="str">
        <f>IF(次果筐明细!$D535="","",次果筐明细!$D535)</f>
        <v/>
      </c>
      <c r="AP535">
        <f t="shared" si="290"/>
        <v>0</v>
      </c>
      <c r="AQ535">
        <f t="shared" si="291"/>
        <v>1</v>
      </c>
      <c r="AU535" t="str">
        <f>IF(次果筐明细!$C535="","",次果筐明细!$C535)</f>
        <v/>
      </c>
      <c r="AV535">
        <f t="shared" si="292"/>
        <v>0</v>
      </c>
      <c r="AW535">
        <f t="shared" si="293"/>
        <v>1</v>
      </c>
      <c r="BS535" t="str">
        <f t="shared" si="299"/>
        <v/>
      </c>
      <c r="BT535">
        <f t="shared" si="294"/>
        <v>0</v>
      </c>
      <c r="BU535">
        <f t="shared" si="295"/>
        <v>17</v>
      </c>
      <c r="CP535">
        <f>IF(包装物料出入库明细!$D535="",0,1)</f>
        <v>0</v>
      </c>
      <c r="CQ535">
        <f t="shared" si="296"/>
        <v>37</v>
      </c>
      <c r="CS535" t="str">
        <f>IF(OR(周转筐出入库明细!$C536="",周转筐出入库明细!$F536&lt;&gt;"采购入库"),"",周转筐出入库明细!$C536)</f>
        <v/>
      </c>
      <c r="CT535">
        <f t="shared" si="297"/>
        <v>0</v>
      </c>
      <c r="CU535">
        <f t="shared" si="298"/>
        <v>1</v>
      </c>
    </row>
    <row r="536" spans="1:99">
      <c r="A536" t="str">
        <f>IF(包装物料出入库明细!$E536="","",包装物料出入库明细!$E536)</f>
        <v/>
      </c>
      <c r="B536">
        <f t="shared" si="278"/>
        <v>0</v>
      </c>
      <c r="C536">
        <f t="shared" si="279"/>
        <v>7</v>
      </c>
      <c r="D536" t="str">
        <f>IF(包装物料出入库明细!$E536="","",包装物料出入库明细!$F536)</f>
        <v/>
      </c>
      <c r="E536" t="str">
        <f>IF(包装物料出入库明细!$E536="","",包装物料出入库明细!$G536)</f>
        <v/>
      </c>
      <c r="K536" t="str">
        <f>IF(包装物料出入库明细!$D536="","",包装物料出入库明细!$D536)</f>
        <v/>
      </c>
      <c r="L536">
        <f t="shared" si="280"/>
        <v>0</v>
      </c>
      <c r="M536">
        <f t="shared" si="281"/>
        <v>9</v>
      </c>
      <c r="Q536" t="str">
        <f>IF(周转筐出入库明细!$D537="","",周转筐出入库明细!$D537)</f>
        <v/>
      </c>
      <c r="R536">
        <f t="shared" si="282"/>
        <v>0</v>
      </c>
      <c r="S536">
        <f t="shared" si="283"/>
        <v>5</v>
      </c>
      <c r="W536" t="str">
        <f>IF(周转筐出入库明细!$C537="","",周转筐出入库明细!$C537)</f>
        <v/>
      </c>
      <c r="X536">
        <f t="shared" si="284"/>
        <v>0</v>
      </c>
      <c r="Y536">
        <f t="shared" si="285"/>
        <v>12</v>
      </c>
      <c r="AC536" t="str">
        <f>IF(客户自备加工筐明细!$C536="","",客户自备加工筐明细!$C536)</f>
        <v/>
      </c>
      <c r="AD536">
        <f t="shared" si="286"/>
        <v>0</v>
      </c>
      <c r="AE536">
        <f t="shared" si="287"/>
        <v>1</v>
      </c>
      <c r="AI536" t="str">
        <f>IF(客户自备加工筐明细!$E536="","",客户自备加工筐明细!$E536)</f>
        <v/>
      </c>
      <c r="AJ536">
        <f t="shared" si="288"/>
        <v>0</v>
      </c>
      <c r="AK536">
        <f t="shared" si="289"/>
        <v>1</v>
      </c>
      <c r="AO536" t="str">
        <f>IF(次果筐明细!$D536="","",次果筐明细!$D536)</f>
        <v/>
      </c>
      <c r="AP536">
        <f t="shared" si="290"/>
        <v>0</v>
      </c>
      <c r="AQ536">
        <f t="shared" si="291"/>
        <v>1</v>
      </c>
      <c r="AU536" t="str">
        <f>IF(次果筐明细!$C536="","",次果筐明细!$C536)</f>
        <v/>
      </c>
      <c r="AV536">
        <f t="shared" si="292"/>
        <v>0</v>
      </c>
      <c r="AW536">
        <f t="shared" si="293"/>
        <v>1</v>
      </c>
      <c r="BS536" t="str">
        <f t="shared" si="299"/>
        <v/>
      </c>
      <c r="BT536">
        <f t="shared" si="294"/>
        <v>0</v>
      </c>
      <c r="BU536">
        <f t="shared" si="295"/>
        <v>17</v>
      </c>
      <c r="CP536">
        <f>IF(包装物料出入库明细!$D536="",0,1)</f>
        <v>0</v>
      </c>
      <c r="CQ536">
        <f t="shared" si="296"/>
        <v>37</v>
      </c>
      <c r="CS536" t="str">
        <f>IF(OR(周转筐出入库明细!$C537="",周转筐出入库明细!$F537&lt;&gt;"采购入库"),"",周转筐出入库明细!$C537)</f>
        <v/>
      </c>
      <c r="CT536">
        <f t="shared" si="297"/>
        <v>0</v>
      </c>
      <c r="CU536">
        <f t="shared" si="298"/>
        <v>1</v>
      </c>
    </row>
    <row r="537" spans="1:99">
      <c r="A537" t="str">
        <f>IF(包装物料出入库明细!$E537="","",包装物料出入库明细!$E537)</f>
        <v/>
      </c>
      <c r="B537">
        <f t="shared" si="278"/>
        <v>0</v>
      </c>
      <c r="C537">
        <f t="shared" si="279"/>
        <v>7</v>
      </c>
      <c r="D537" t="str">
        <f>IF(包装物料出入库明细!$E537="","",包装物料出入库明细!$F537)</f>
        <v/>
      </c>
      <c r="E537" t="str">
        <f>IF(包装物料出入库明细!$E537="","",包装物料出入库明细!$G537)</f>
        <v/>
      </c>
      <c r="K537" t="str">
        <f>IF(包装物料出入库明细!$D537="","",包装物料出入库明细!$D537)</f>
        <v/>
      </c>
      <c r="L537">
        <f t="shared" si="280"/>
        <v>0</v>
      </c>
      <c r="M537">
        <f t="shared" si="281"/>
        <v>9</v>
      </c>
      <c r="Q537" t="str">
        <f>IF(周转筐出入库明细!$D538="","",周转筐出入库明细!$D538)</f>
        <v/>
      </c>
      <c r="R537">
        <f t="shared" si="282"/>
        <v>0</v>
      </c>
      <c r="S537">
        <f t="shared" si="283"/>
        <v>5</v>
      </c>
      <c r="W537" t="str">
        <f>IF(周转筐出入库明细!$C538="","",周转筐出入库明细!$C538)</f>
        <v/>
      </c>
      <c r="X537">
        <f t="shared" si="284"/>
        <v>0</v>
      </c>
      <c r="Y537">
        <f t="shared" si="285"/>
        <v>12</v>
      </c>
      <c r="AC537" t="str">
        <f>IF(客户自备加工筐明细!$C537="","",客户自备加工筐明细!$C537)</f>
        <v/>
      </c>
      <c r="AD537">
        <f t="shared" si="286"/>
        <v>0</v>
      </c>
      <c r="AE537">
        <f t="shared" si="287"/>
        <v>1</v>
      </c>
      <c r="AI537" t="str">
        <f>IF(客户自备加工筐明细!$E537="","",客户自备加工筐明细!$E537)</f>
        <v/>
      </c>
      <c r="AJ537">
        <f t="shared" si="288"/>
        <v>0</v>
      </c>
      <c r="AK537">
        <f t="shared" si="289"/>
        <v>1</v>
      </c>
      <c r="AO537" t="str">
        <f>IF(次果筐明细!$D537="","",次果筐明细!$D537)</f>
        <v/>
      </c>
      <c r="AP537">
        <f t="shared" si="290"/>
        <v>0</v>
      </c>
      <c r="AQ537">
        <f t="shared" si="291"/>
        <v>1</v>
      </c>
      <c r="AU537" t="str">
        <f>IF(次果筐明细!$C537="","",次果筐明细!$C537)</f>
        <v/>
      </c>
      <c r="AV537">
        <f t="shared" si="292"/>
        <v>0</v>
      </c>
      <c r="AW537">
        <f t="shared" si="293"/>
        <v>1</v>
      </c>
      <c r="BS537" t="str">
        <f t="shared" si="299"/>
        <v/>
      </c>
      <c r="BT537">
        <f t="shared" si="294"/>
        <v>0</v>
      </c>
      <c r="BU537">
        <f t="shared" si="295"/>
        <v>17</v>
      </c>
      <c r="CP537">
        <f>IF(包装物料出入库明细!$D537="",0,1)</f>
        <v>0</v>
      </c>
      <c r="CQ537">
        <f t="shared" si="296"/>
        <v>37</v>
      </c>
      <c r="CS537" t="str">
        <f>IF(OR(周转筐出入库明细!$C538="",周转筐出入库明细!$F538&lt;&gt;"采购入库"),"",周转筐出入库明细!$C538)</f>
        <v/>
      </c>
      <c r="CT537">
        <f t="shared" si="297"/>
        <v>0</v>
      </c>
      <c r="CU537">
        <f t="shared" si="298"/>
        <v>1</v>
      </c>
    </row>
    <row r="538" spans="1:99">
      <c r="A538" t="str">
        <f>IF(包装物料出入库明细!$E538="","",包装物料出入库明细!$E538)</f>
        <v/>
      </c>
      <c r="B538">
        <f t="shared" si="278"/>
        <v>0</v>
      </c>
      <c r="C538">
        <f t="shared" si="279"/>
        <v>7</v>
      </c>
      <c r="D538" t="str">
        <f>IF(包装物料出入库明细!$E538="","",包装物料出入库明细!$F538)</f>
        <v/>
      </c>
      <c r="E538" t="str">
        <f>IF(包装物料出入库明细!$E538="","",包装物料出入库明细!$G538)</f>
        <v/>
      </c>
      <c r="K538" t="str">
        <f>IF(包装物料出入库明细!$D538="","",包装物料出入库明细!$D538)</f>
        <v/>
      </c>
      <c r="L538">
        <f t="shared" si="280"/>
        <v>0</v>
      </c>
      <c r="M538">
        <f t="shared" si="281"/>
        <v>9</v>
      </c>
      <c r="Q538" t="str">
        <f>IF(周转筐出入库明细!$D539="","",周转筐出入库明细!$D539)</f>
        <v/>
      </c>
      <c r="R538">
        <f t="shared" si="282"/>
        <v>0</v>
      </c>
      <c r="S538">
        <f t="shared" si="283"/>
        <v>5</v>
      </c>
      <c r="W538" t="str">
        <f>IF(周转筐出入库明细!$C539="","",周转筐出入库明细!$C539)</f>
        <v/>
      </c>
      <c r="X538">
        <f t="shared" si="284"/>
        <v>0</v>
      </c>
      <c r="Y538">
        <f t="shared" si="285"/>
        <v>12</v>
      </c>
      <c r="AC538" t="str">
        <f>IF(客户自备加工筐明细!$C538="","",客户自备加工筐明细!$C538)</f>
        <v/>
      </c>
      <c r="AD538">
        <f t="shared" si="286"/>
        <v>0</v>
      </c>
      <c r="AE538">
        <f t="shared" si="287"/>
        <v>1</v>
      </c>
      <c r="AI538" t="str">
        <f>IF(客户自备加工筐明细!$E538="","",客户自备加工筐明细!$E538)</f>
        <v/>
      </c>
      <c r="AJ538">
        <f t="shared" si="288"/>
        <v>0</v>
      </c>
      <c r="AK538">
        <f t="shared" si="289"/>
        <v>1</v>
      </c>
      <c r="AO538" t="str">
        <f>IF(次果筐明细!$D538="","",次果筐明细!$D538)</f>
        <v/>
      </c>
      <c r="AP538">
        <f t="shared" si="290"/>
        <v>0</v>
      </c>
      <c r="AQ538">
        <f t="shared" si="291"/>
        <v>1</v>
      </c>
      <c r="AU538" t="str">
        <f>IF(次果筐明细!$C538="","",次果筐明细!$C538)</f>
        <v/>
      </c>
      <c r="AV538">
        <f t="shared" si="292"/>
        <v>0</v>
      </c>
      <c r="AW538">
        <f t="shared" si="293"/>
        <v>1</v>
      </c>
      <c r="BS538" t="str">
        <f t="shared" si="299"/>
        <v/>
      </c>
      <c r="BT538">
        <f t="shared" si="294"/>
        <v>0</v>
      </c>
      <c r="BU538">
        <f t="shared" si="295"/>
        <v>17</v>
      </c>
      <c r="CP538">
        <f>IF(包装物料出入库明细!$D538="",0,1)</f>
        <v>0</v>
      </c>
      <c r="CQ538">
        <f t="shared" si="296"/>
        <v>37</v>
      </c>
      <c r="CS538" t="str">
        <f>IF(OR(周转筐出入库明细!$C539="",周转筐出入库明细!$F539&lt;&gt;"采购入库"),"",周转筐出入库明细!$C539)</f>
        <v/>
      </c>
      <c r="CT538">
        <f t="shared" si="297"/>
        <v>0</v>
      </c>
      <c r="CU538">
        <f t="shared" si="298"/>
        <v>1</v>
      </c>
    </row>
    <row r="539" spans="1:99">
      <c r="A539" t="str">
        <f>IF(包装物料出入库明细!$E539="","",包装物料出入库明细!$E539)</f>
        <v/>
      </c>
      <c r="B539">
        <f t="shared" si="278"/>
        <v>0</v>
      </c>
      <c r="C539">
        <f t="shared" si="279"/>
        <v>7</v>
      </c>
      <c r="D539" t="str">
        <f>IF(包装物料出入库明细!$E539="","",包装物料出入库明细!$F539)</f>
        <v/>
      </c>
      <c r="E539" t="str">
        <f>IF(包装物料出入库明细!$E539="","",包装物料出入库明细!$G539)</f>
        <v/>
      </c>
      <c r="K539" t="str">
        <f>IF(包装物料出入库明细!$D539="","",包装物料出入库明细!$D539)</f>
        <v/>
      </c>
      <c r="L539">
        <f t="shared" si="280"/>
        <v>0</v>
      </c>
      <c r="M539">
        <f t="shared" si="281"/>
        <v>9</v>
      </c>
      <c r="Q539" t="str">
        <f>IF(周转筐出入库明细!$D540="","",周转筐出入库明细!$D540)</f>
        <v/>
      </c>
      <c r="R539">
        <f t="shared" si="282"/>
        <v>0</v>
      </c>
      <c r="S539">
        <f t="shared" si="283"/>
        <v>5</v>
      </c>
      <c r="W539" t="str">
        <f>IF(周转筐出入库明细!$C540="","",周转筐出入库明细!$C540)</f>
        <v/>
      </c>
      <c r="X539">
        <f t="shared" si="284"/>
        <v>0</v>
      </c>
      <c r="Y539">
        <f t="shared" si="285"/>
        <v>12</v>
      </c>
      <c r="AC539" t="str">
        <f>IF(客户自备加工筐明细!$C539="","",客户自备加工筐明细!$C539)</f>
        <v/>
      </c>
      <c r="AD539">
        <f t="shared" si="286"/>
        <v>0</v>
      </c>
      <c r="AE539">
        <f t="shared" si="287"/>
        <v>1</v>
      </c>
      <c r="AI539" t="str">
        <f>IF(客户自备加工筐明细!$E539="","",客户自备加工筐明细!$E539)</f>
        <v/>
      </c>
      <c r="AJ539">
        <f t="shared" si="288"/>
        <v>0</v>
      </c>
      <c r="AK539">
        <f t="shared" si="289"/>
        <v>1</v>
      </c>
      <c r="AO539" t="str">
        <f>IF(次果筐明细!$D539="","",次果筐明细!$D539)</f>
        <v/>
      </c>
      <c r="AP539">
        <f t="shared" si="290"/>
        <v>0</v>
      </c>
      <c r="AQ539">
        <f t="shared" si="291"/>
        <v>1</v>
      </c>
      <c r="AU539" t="str">
        <f>IF(次果筐明细!$C539="","",次果筐明细!$C539)</f>
        <v/>
      </c>
      <c r="AV539">
        <f t="shared" si="292"/>
        <v>0</v>
      </c>
      <c r="AW539">
        <f t="shared" si="293"/>
        <v>1</v>
      </c>
      <c r="BS539" t="str">
        <f t="shared" si="299"/>
        <v/>
      </c>
      <c r="BT539">
        <f t="shared" si="294"/>
        <v>0</v>
      </c>
      <c r="BU539">
        <f t="shared" si="295"/>
        <v>17</v>
      </c>
      <c r="CP539">
        <f>IF(包装物料出入库明细!$D539="",0,1)</f>
        <v>0</v>
      </c>
      <c r="CQ539">
        <f t="shared" si="296"/>
        <v>37</v>
      </c>
      <c r="CS539" t="str">
        <f>IF(OR(周转筐出入库明细!$C540="",周转筐出入库明细!$F540&lt;&gt;"采购入库"),"",周转筐出入库明细!$C540)</f>
        <v/>
      </c>
      <c r="CT539">
        <f t="shared" si="297"/>
        <v>0</v>
      </c>
      <c r="CU539">
        <f t="shared" si="298"/>
        <v>1</v>
      </c>
    </row>
    <row r="540" spans="1:99">
      <c r="A540" t="str">
        <f>IF(包装物料出入库明细!$E540="","",包装物料出入库明细!$E540)</f>
        <v/>
      </c>
      <c r="B540">
        <f t="shared" si="278"/>
        <v>0</v>
      </c>
      <c r="C540">
        <f t="shared" si="279"/>
        <v>7</v>
      </c>
      <c r="D540" t="str">
        <f>IF(包装物料出入库明细!$E540="","",包装物料出入库明细!$F540)</f>
        <v/>
      </c>
      <c r="E540" t="str">
        <f>IF(包装物料出入库明细!$E540="","",包装物料出入库明细!$G540)</f>
        <v/>
      </c>
      <c r="K540" t="str">
        <f>IF(包装物料出入库明细!$D540="","",包装物料出入库明细!$D540)</f>
        <v/>
      </c>
      <c r="L540">
        <f t="shared" si="280"/>
        <v>0</v>
      </c>
      <c r="M540">
        <f t="shared" si="281"/>
        <v>9</v>
      </c>
      <c r="Q540" t="str">
        <f>IF(周转筐出入库明细!$D541="","",周转筐出入库明细!$D541)</f>
        <v/>
      </c>
      <c r="R540">
        <f t="shared" si="282"/>
        <v>0</v>
      </c>
      <c r="S540">
        <f t="shared" si="283"/>
        <v>5</v>
      </c>
      <c r="W540" t="str">
        <f>IF(周转筐出入库明细!$C541="","",周转筐出入库明细!$C541)</f>
        <v/>
      </c>
      <c r="X540">
        <f t="shared" si="284"/>
        <v>0</v>
      </c>
      <c r="Y540">
        <f t="shared" si="285"/>
        <v>12</v>
      </c>
      <c r="AC540" t="str">
        <f>IF(客户自备加工筐明细!$C540="","",客户自备加工筐明细!$C540)</f>
        <v/>
      </c>
      <c r="AD540">
        <f t="shared" si="286"/>
        <v>0</v>
      </c>
      <c r="AE540">
        <f t="shared" si="287"/>
        <v>1</v>
      </c>
      <c r="AI540" t="str">
        <f>IF(客户自备加工筐明细!$E540="","",客户自备加工筐明细!$E540)</f>
        <v/>
      </c>
      <c r="AJ540">
        <f t="shared" si="288"/>
        <v>0</v>
      </c>
      <c r="AK540">
        <f t="shared" si="289"/>
        <v>1</v>
      </c>
      <c r="AO540" t="str">
        <f>IF(次果筐明细!$D540="","",次果筐明细!$D540)</f>
        <v/>
      </c>
      <c r="AP540">
        <f t="shared" si="290"/>
        <v>0</v>
      </c>
      <c r="AQ540">
        <f t="shared" si="291"/>
        <v>1</v>
      </c>
      <c r="AU540" t="str">
        <f>IF(次果筐明细!$C540="","",次果筐明细!$C540)</f>
        <v/>
      </c>
      <c r="AV540">
        <f t="shared" si="292"/>
        <v>0</v>
      </c>
      <c r="AW540">
        <f t="shared" si="293"/>
        <v>1</v>
      </c>
      <c r="BS540" t="str">
        <f t="shared" si="299"/>
        <v/>
      </c>
      <c r="BT540">
        <f t="shared" si="294"/>
        <v>0</v>
      </c>
      <c r="BU540">
        <f t="shared" si="295"/>
        <v>17</v>
      </c>
      <c r="CP540">
        <f>IF(包装物料出入库明细!$D540="",0,1)</f>
        <v>0</v>
      </c>
      <c r="CQ540">
        <f t="shared" si="296"/>
        <v>37</v>
      </c>
      <c r="CS540" t="str">
        <f>IF(OR(周转筐出入库明细!$C541="",周转筐出入库明细!$F541&lt;&gt;"采购入库"),"",周转筐出入库明细!$C541)</f>
        <v/>
      </c>
      <c r="CT540">
        <f t="shared" si="297"/>
        <v>0</v>
      </c>
      <c r="CU540">
        <f t="shared" si="298"/>
        <v>1</v>
      </c>
    </row>
    <row r="541" spans="1:99">
      <c r="A541" t="str">
        <f>IF(包装物料出入库明细!$E541="","",包装物料出入库明细!$E541)</f>
        <v/>
      </c>
      <c r="B541">
        <f t="shared" si="278"/>
        <v>0</v>
      </c>
      <c r="C541">
        <f t="shared" si="279"/>
        <v>7</v>
      </c>
      <c r="D541" t="str">
        <f>IF(包装物料出入库明细!$E541="","",包装物料出入库明细!$F541)</f>
        <v/>
      </c>
      <c r="E541" t="str">
        <f>IF(包装物料出入库明细!$E541="","",包装物料出入库明细!$G541)</f>
        <v/>
      </c>
      <c r="K541" t="str">
        <f>IF(包装物料出入库明细!$D541="","",包装物料出入库明细!$D541)</f>
        <v/>
      </c>
      <c r="L541">
        <f t="shared" si="280"/>
        <v>0</v>
      </c>
      <c r="M541">
        <f t="shared" si="281"/>
        <v>9</v>
      </c>
      <c r="Q541" t="str">
        <f>IF(周转筐出入库明细!$D542="","",周转筐出入库明细!$D542)</f>
        <v/>
      </c>
      <c r="R541">
        <f t="shared" si="282"/>
        <v>0</v>
      </c>
      <c r="S541">
        <f t="shared" si="283"/>
        <v>5</v>
      </c>
      <c r="W541" t="str">
        <f>IF(周转筐出入库明细!$C542="","",周转筐出入库明细!$C542)</f>
        <v/>
      </c>
      <c r="X541">
        <f t="shared" si="284"/>
        <v>0</v>
      </c>
      <c r="Y541">
        <f t="shared" si="285"/>
        <v>12</v>
      </c>
      <c r="AC541" t="str">
        <f>IF(客户自备加工筐明细!$C541="","",客户自备加工筐明细!$C541)</f>
        <v/>
      </c>
      <c r="AD541">
        <f t="shared" si="286"/>
        <v>0</v>
      </c>
      <c r="AE541">
        <f t="shared" si="287"/>
        <v>1</v>
      </c>
      <c r="AI541" t="str">
        <f>IF(客户自备加工筐明细!$E541="","",客户自备加工筐明细!$E541)</f>
        <v/>
      </c>
      <c r="AJ541">
        <f t="shared" si="288"/>
        <v>0</v>
      </c>
      <c r="AK541">
        <f t="shared" si="289"/>
        <v>1</v>
      </c>
      <c r="AO541" t="str">
        <f>IF(次果筐明细!$D541="","",次果筐明细!$D541)</f>
        <v/>
      </c>
      <c r="AP541">
        <f t="shared" si="290"/>
        <v>0</v>
      </c>
      <c r="AQ541">
        <f t="shared" si="291"/>
        <v>1</v>
      </c>
      <c r="AU541" t="str">
        <f>IF(次果筐明细!$C541="","",次果筐明细!$C541)</f>
        <v/>
      </c>
      <c r="AV541">
        <f t="shared" si="292"/>
        <v>0</v>
      </c>
      <c r="AW541">
        <f t="shared" si="293"/>
        <v>1</v>
      </c>
      <c r="BS541" t="str">
        <f t="shared" si="299"/>
        <v/>
      </c>
      <c r="BT541">
        <f t="shared" si="294"/>
        <v>0</v>
      </c>
      <c r="BU541">
        <f t="shared" si="295"/>
        <v>17</v>
      </c>
      <c r="CP541">
        <f>IF(包装物料出入库明细!$D541="",0,1)</f>
        <v>0</v>
      </c>
      <c r="CQ541">
        <f t="shared" si="296"/>
        <v>37</v>
      </c>
      <c r="CS541" t="str">
        <f>IF(OR(周转筐出入库明细!$C542="",周转筐出入库明细!$F542&lt;&gt;"采购入库"),"",周转筐出入库明细!$C542)</f>
        <v/>
      </c>
      <c r="CT541">
        <f t="shared" si="297"/>
        <v>0</v>
      </c>
      <c r="CU541">
        <f t="shared" si="298"/>
        <v>1</v>
      </c>
    </row>
    <row r="542" spans="1:99">
      <c r="A542" t="str">
        <f>IF(包装物料出入库明细!$E542="","",包装物料出入库明细!$E542)</f>
        <v/>
      </c>
      <c r="B542">
        <f t="shared" si="278"/>
        <v>0</v>
      </c>
      <c r="C542">
        <f t="shared" si="279"/>
        <v>7</v>
      </c>
      <c r="D542" t="str">
        <f>IF(包装物料出入库明细!$E542="","",包装物料出入库明细!$F542)</f>
        <v/>
      </c>
      <c r="E542" t="str">
        <f>IF(包装物料出入库明细!$E542="","",包装物料出入库明细!$G542)</f>
        <v/>
      </c>
      <c r="K542" t="str">
        <f>IF(包装物料出入库明细!$D542="","",包装物料出入库明细!$D542)</f>
        <v/>
      </c>
      <c r="L542">
        <f t="shared" si="280"/>
        <v>0</v>
      </c>
      <c r="M542">
        <f t="shared" si="281"/>
        <v>9</v>
      </c>
      <c r="Q542" t="str">
        <f>IF(周转筐出入库明细!$D543="","",周转筐出入库明细!$D543)</f>
        <v/>
      </c>
      <c r="R542">
        <f t="shared" si="282"/>
        <v>0</v>
      </c>
      <c r="S542">
        <f t="shared" si="283"/>
        <v>5</v>
      </c>
      <c r="W542" t="str">
        <f>IF(周转筐出入库明细!$C543="","",周转筐出入库明细!$C543)</f>
        <v/>
      </c>
      <c r="X542">
        <f t="shared" si="284"/>
        <v>0</v>
      </c>
      <c r="Y542">
        <f t="shared" si="285"/>
        <v>12</v>
      </c>
      <c r="AC542" t="str">
        <f>IF(客户自备加工筐明细!$C542="","",客户自备加工筐明细!$C542)</f>
        <v/>
      </c>
      <c r="AD542">
        <f t="shared" si="286"/>
        <v>0</v>
      </c>
      <c r="AE542">
        <f t="shared" si="287"/>
        <v>1</v>
      </c>
      <c r="AI542" t="str">
        <f>IF(客户自备加工筐明细!$E542="","",客户自备加工筐明细!$E542)</f>
        <v/>
      </c>
      <c r="AJ542">
        <f t="shared" si="288"/>
        <v>0</v>
      </c>
      <c r="AK542">
        <f t="shared" si="289"/>
        <v>1</v>
      </c>
      <c r="AO542" t="str">
        <f>IF(次果筐明细!$D542="","",次果筐明细!$D542)</f>
        <v/>
      </c>
      <c r="AP542">
        <f t="shared" si="290"/>
        <v>0</v>
      </c>
      <c r="AQ542">
        <f t="shared" si="291"/>
        <v>1</v>
      </c>
      <c r="AU542" t="str">
        <f>IF(次果筐明细!$C542="","",次果筐明细!$C542)</f>
        <v/>
      </c>
      <c r="AV542">
        <f t="shared" si="292"/>
        <v>0</v>
      </c>
      <c r="AW542">
        <f t="shared" si="293"/>
        <v>1</v>
      </c>
      <c r="BS542" t="str">
        <f t="shared" si="299"/>
        <v/>
      </c>
      <c r="BT542">
        <f t="shared" si="294"/>
        <v>0</v>
      </c>
      <c r="BU542">
        <f t="shared" si="295"/>
        <v>17</v>
      </c>
      <c r="CP542">
        <f>IF(包装物料出入库明细!$D542="",0,1)</f>
        <v>0</v>
      </c>
      <c r="CQ542">
        <f t="shared" si="296"/>
        <v>37</v>
      </c>
      <c r="CS542" t="str">
        <f>IF(OR(周转筐出入库明细!$C543="",周转筐出入库明细!$F543&lt;&gt;"采购入库"),"",周转筐出入库明细!$C543)</f>
        <v/>
      </c>
      <c r="CT542">
        <f t="shared" si="297"/>
        <v>0</v>
      </c>
      <c r="CU542">
        <f t="shared" si="298"/>
        <v>1</v>
      </c>
    </row>
    <row r="543" spans="1:99">
      <c r="A543" t="str">
        <f>IF(包装物料出入库明细!$E543="","",包装物料出入库明细!$E543)</f>
        <v/>
      </c>
      <c r="B543">
        <f t="shared" si="278"/>
        <v>0</v>
      </c>
      <c r="C543">
        <f t="shared" si="279"/>
        <v>7</v>
      </c>
      <c r="D543" t="str">
        <f>IF(包装物料出入库明细!$E543="","",包装物料出入库明细!$F543)</f>
        <v/>
      </c>
      <c r="E543" t="str">
        <f>IF(包装物料出入库明细!$E543="","",包装物料出入库明细!$G543)</f>
        <v/>
      </c>
      <c r="K543" t="str">
        <f>IF(包装物料出入库明细!$D543="","",包装物料出入库明细!$D543)</f>
        <v/>
      </c>
      <c r="L543">
        <f t="shared" si="280"/>
        <v>0</v>
      </c>
      <c r="M543">
        <f t="shared" si="281"/>
        <v>9</v>
      </c>
      <c r="Q543" t="str">
        <f>IF(周转筐出入库明细!$D544="","",周转筐出入库明细!$D544)</f>
        <v/>
      </c>
      <c r="R543">
        <f t="shared" si="282"/>
        <v>0</v>
      </c>
      <c r="S543">
        <f t="shared" si="283"/>
        <v>5</v>
      </c>
      <c r="W543" t="str">
        <f>IF(周转筐出入库明细!$C544="","",周转筐出入库明细!$C544)</f>
        <v/>
      </c>
      <c r="X543">
        <f t="shared" si="284"/>
        <v>0</v>
      </c>
      <c r="Y543">
        <f t="shared" si="285"/>
        <v>12</v>
      </c>
      <c r="AC543" t="str">
        <f>IF(客户自备加工筐明细!$C543="","",客户自备加工筐明细!$C543)</f>
        <v/>
      </c>
      <c r="AD543">
        <f t="shared" si="286"/>
        <v>0</v>
      </c>
      <c r="AE543">
        <f t="shared" si="287"/>
        <v>1</v>
      </c>
      <c r="AI543" t="str">
        <f>IF(客户自备加工筐明细!$E543="","",客户自备加工筐明细!$E543)</f>
        <v/>
      </c>
      <c r="AJ543">
        <f t="shared" si="288"/>
        <v>0</v>
      </c>
      <c r="AK543">
        <f t="shared" si="289"/>
        <v>1</v>
      </c>
      <c r="AO543" t="str">
        <f>IF(次果筐明细!$D543="","",次果筐明细!$D543)</f>
        <v/>
      </c>
      <c r="AP543">
        <f t="shared" si="290"/>
        <v>0</v>
      </c>
      <c r="AQ543">
        <f t="shared" si="291"/>
        <v>1</v>
      </c>
      <c r="AU543" t="str">
        <f>IF(次果筐明细!$C543="","",次果筐明细!$C543)</f>
        <v/>
      </c>
      <c r="AV543">
        <f t="shared" si="292"/>
        <v>0</v>
      </c>
      <c r="AW543">
        <f t="shared" si="293"/>
        <v>1</v>
      </c>
      <c r="BS543" t="str">
        <f t="shared" si="299"/>
        <v/>
      </c>
      <c r="BT543">
        <f t="shared" si="294"/>
        <v>0</v>
      </c>
      <c r="BU543">
        <f t="shared" si="295"/>
        <v>17</v>
      </c>
      <c r="CP543">
        <f>IF(包装物料出入库明细!$D543="",0,1)</f>
        <v>0</v>
      </c>
      <c r="CQ543">
        <f t="shared" si="296"/>
        <v>37</v>
      </c>
      <c r="CS543" t="str">
        <f>IF(OR(周转筐出入库明细!$C544="",周转筐出入库明细!$F544&lt;&gt;"采购入库"),"",周转筐出入库明细!$C544)</f>
        <v/>
      </c>
      <c r="CT543">
        <f t="shared" si="297"/>
        <v>0</v>
      </c>
      <c r="CU543">
        <f t="shared" si="298"/>
        <v>1</v>
      </c>
    </row>
    <row r="544" spans="1:99">
      <c r="A544" t="str">
        <f>IF(包装物料出入库明细!$E544="","",包装物料出入库明细!$E544)</f>
        <v/>
      </c>
      <c r="B544">
        <f t="shared" si="278"/>
        <v>0</v>
      </c>
      <c r="C544">
        <f t="shared" si="279"/>
        <v>7</v>
      </c>
      <c r="D544" t="str">
        <f>IF(包装物料出入库明细!$E544="","",包装物料出入库明细!$F544)</f>
        <v/>
      </c>
      <c r="E544" t="str">
        <f>IF(包装物料出入库明细!$E544="","",包装物料出入库明细!$G544)</f>
        <v/>
      </c>
      <c r="K544" t="str">
        <f>IF(包装物料出入库明细!$D544="","",包装物料出入库明细!$D544)</f>
        <v/>
      </c>
      <c r="L544">
        <f t="shared" si="280"/>
        <v>0</v>
      </c>
      <c r="M544">
        <f t="shared" si="281"/>
        <v>9</v>
      </c>
      <c r="Q544" t="str">
        <f>IF(周转筐出入库明细!$D545="","",周转筐出入库明细!$D545)</f>
        <v/>
      </c>
      <c r="R544">
        <f t="shared" si="282"/>
        <v>0</v>
      </c>
      <c r="S544">
        <f t="shared" si="283"/>
        <v>5</v>
      </c>
      <c r="W544" t="str">
        <f>IF(周转筐出入库明细!$C545="","",周转筐出入库明细!$C545)</f>
        <v/>
      </c>
      <c r="X544">
        <f t="shared" si="284"/>
        <v>0</v>
      </c>
      <c r="Y544">
        <f t="shared" si="285"/>
        <v>12</v>
      </c>
      <c r="AC544" t="str">
        <f>IF(客户自备加工筐明细!$C544="","",客户自备加工筐明细!$C544)</f>
        <v/>
      </c>
      <c r="AD544">
        <f t="shared" si="286"/>
        <v>0</v>
      </c>
      <c r="AE544">
        <f t="shared" si="287"/>
        <v>1</v>
      </c>
      <c r="AI544" t="str">
        <f>IF(客户自备加工筐明细!$E544="","",客户自备加工筐明细!$E544)</f>
        <v/>
      </c>
      <c r="AJ544">
        <f t="shared" si="288"/>
        <v>0</v>
      </c>
      <c r="AK544">
        <f t="shared" si="289"/>
        <v>1</v>
      </c>
      <c r="AO544" t="str">
        <f>IF(次果筐明细!$D544="","",次果筐明细!$D544)</f>
        <v/>
      </c>
      <c r="AP544">
        <f t="shared" si="290"/>
        <v>0</v>
      </c>
      <c r="AQ544">
        <f t="shared" si="291"/>
        <v>1</v>
      </c>
      <c r="AU544" t="str">
        <f>IF(次果筐明细!$C544="","",次果筐明细!$C544)</f>
        <v/>
      </c>
      <c r="AV544">
        <f t="shared" si="292"/>
        <v>0</v>
      </c>
      <c r="AW544">
        <f t="shared" si="293"/>
        <v>1</v>
      </c>
      <c r="BS544" t="str">
        <f t="shared" si="299"/>
        <v/>
      </c>
      <c r="BT544">
        <f t="shared" si="294"/>
        <v>0</v>
      </c>
      <c r="BU544">
        <f t="shared" si="295"/>
        <v>17</v>
      </c>
      <c r="CP544">
        <f>IF(包装物料出入库明细!$D544="",0,1)</f>
        <v>0</v>
      </c>
      <c r="CQ544">
        <f t="shared" si="296"/>
        <v>37</v>
      </c>
      <c r="CS544" t="str">
        <f>IF(OR(周转筐出入库明细!$C545="",周转筐出入库明细!$F545&lt;&gt;"采购入库"),"",周转筐出入库明细!$C545)</f>
        <v/>
      </c>
      <c r="CT544">
        <f t="shared" si="297"/>
        <v>0</v>
      </c>
      <c r="CU544">
        <f t="shared" si="298"/>
        <v>1</v>
      </c>
    </row>
    <row r="545" spans="1:99">
      <c r="A545" t="str">
        <f>IF(包装物料出入库明细!$E545="","",包装物料出入库明细!$E545)</f>
        <v/>
      </c>
      <c r="B545">
        <f t="shared" si="278"/>
        <v>0</v>
      </c>
      <c r="C545">
        <f t="shared" si="279"/>
        <v>7</v>
      </c>
      <c r="D545" t="str">
        <f>IF(包装物料出入库明细!$E545="","",包装物料出入库明细!$F545)</f>
        <v/>
      </c>
      <c r="E545" t="str">
        <f>IF(包装物料出入库明细!$E545="","",包装物料出入库明细!$G545)</f>
        <v/>
      </c>
      <c r="K545" t="str">
        <f>IF(包装物料出入库明细!$D545="","",包装物料出入库明细!$D545)</f>
        <v/>
      </c>
      <c r="L545">
        <f t="shared" si="280"/>
        <v>0</v>
      </c>
      <c r="M545">
        <f t="shared" si="281"/>
        <v>9</v>
      </c>
      <c r="Q545" t="str">
        <f>IF(周转筐出入库明细!$D546="","",周转筐出入库明细!$D546)</f>
        <v/>
      </c>
      <c r="R545">
        <f t="shared" si="282"/>
        <v>0</v>
      </c>
      <c r="S545">
        <f t="shared" si="283"/>
        <v>5</v>
      </c>
      <c r="W545" t="str">
        <f>IF(周转筐出入库明细!$C546="","",周转筐出入库明细!$C546)</f>
        <v/>
      </c>
      <c r="X545">
        <f t="shared" si="284"/>
        <v>0</v>
      </c>
      <c r="Y545">
        <f t="shared" si="285"/>
        <v>12</v>
      </c>
      <c r="AC545" t="str">
        <f>IF(客户自备加工筐明细!$C545="","",客户自备加工筐明细!$C545)</f>
        <v/>
      </c>
      <c r="AD545">
        <f t="shared" si="286"/>
        <v>0</v>
      </c>
      <c r="AE545">
        <f t="shared" si="287"/>
        <v>1</v>
      </c>
      <c r="AI545" t="str">
        <f>IF(客户自备加工筐明细!$E545="","",客户自备加工筐明细!$E545)</f>
        <v/>
      </c>
      <c r="AJ545">
        <f t="shared" si="288"/>
        <v>0</v>
      </c>
      <c r="AK545">
        <f t="shared" si="289"/>
        <v>1</v>
      </c>
      <c r="AO545" t="str">
        <f>IF(次果筐明细!$D545="","",次果筐明细!$D545)</f>
        <v/>
      </c>
      <c r="AP545">
        <f t="shared" si="290"/>
        <v>0</v>
      </c>
      <c r="AQ545">
        <f t="shared" si="291"/>
        <v>1</v>
      </c>
      <c r="AU545" t="str">
        <f>IF(次果筐明细!$C545="","",次果筐明细!$C545)</f>
        <v/>
      </c>
      <c r="AV545">
        <f t="shared" si="292"/>
        <v>0</v>
      </c>
      <c r="AW545">
        <f t="shared" si="293"/>
        <v>1</v>
      </c>
      <c r="BS545" t="str">
        <f t="shared" si="299"/>
        <v/>
      </c>
      <c r="BT545">
        <f t="shared" si="294"/>
        <v>0</v>
      </c>
      <c r="BU545">
        <f t="shared" si="295"/>
        <v>17</v>
      </c>
      <c r="CP545">
        <f>IF(包装物料出入库明细!$D545="",0,1)</f>
        <v>0</v>
      </c>
      <c r="CQ545">
        <f t="shared" si="296"/>
        <v>37</v>
      </c>
      <c r="CS545" t="str">
        <f>IF(OR(周转筐出入库明细!$C546="",周转筐出入库明细!$F546&lt;&gt;"采购入库"),"",周转筐出入库明细!$C546)</f>
        <v/>
      </c>
      <c r="CT545">
        <f t="shared" si="297"/>
        <v>0</v>
      </c>
      <c r="CU545">
        <f t="shared" si="298"/>
        <v>1</v>
      </c>
    </row>
    <row r="546" spans="1:99">
      <c r="A546" t="str">
        <f>IF(包装物料出入库明细!$E546="","",包装物料出入库明细!$E546)</f>
        <v/>
      </c>
      <c r="B546">
        <f t="shared" si="278"/>
        <v>0</v>
      </c>
      <c r="C546">
        <f t="shared" si="279"/>
        <v>7</v>
      </c>
      <c r="D546" t="str">
        <f>IF(包装物料出入库明细!$E546="","",包装物料出入库明细!$F546)</f>
        <v/>
      </c>
      <c r="E546" t="str">
        <f>IF(包装物料出入库明细!$E546="","",包装物料出入库明细!$G546)</f>
        <v/>
      </c>
      <c r="K546" t="str">
        <f>IF(包装物料出入库明细!$D546="","",包装物料出入库明细!$D546)</f>
        <v/>
      </c>
      <c r="L546">
        <f t="shared" si="280"/>
        <v>0</v>
      </c>
      <c r="M546">
        <f t="shared" si="281"/>
        <v>9</v>
      </c>
      <c r="Q546" t="str">
        <f>IF(周转筐出入库明细!$D547="","",周转筐出入库明细!$D547)</f>
        <v/>
      </c>
      <c r="R546">
        <f t="shared" si="282"/>
        <v>0</v>
      </c>
      <c r="S546">
        <f t="shared" si="283"/>
        <v>5</v>
      </c>
      <c r="W546" t="str">
        <f>IF(周转筐出入库明细!$C547="","",周转筐出入库明细!$C547)</f>
        <v/>
      </c>
      <c r="X546">
        <f t="shared" si="284"/>
        <v>0</v>
      </c>
      <c r="Y546">
        <f t="shared" si="285"/>
        <v>12</v>
      </c>
      <c r="AC546" t="str">
        <f>IF(客户自备加工筐明细!$C546="","",客户自备加工筐明细!$C546)</f>
        <v/>
      </c>
      <c r="AD546">
        <f t="shared" si="286"/>
        <v>0</v>
      </c>
      <c r="AE546">
        <f t="shared" si="287"/>
        <v>1</v>
      </c>
      <c r="AI546" t="str">
        <f>IF(客户自备加工筐明细!$E546="","",客户自备加工筐明细!$E546)</f>
        <v/>
      </c>
      <c r="AJ546">
        <f t="shared" si="288"/>
        <v>0</v>
      </c>
      <c r="AK546">
        <f t="shared" si="289"/>
        <v>1</v>
      </c>
      <c r="AO546" t="str">
        <f>IF(次果筐明细!$D546="","",次果筐明细!$D546)</f>
        <v/>
      </c>
      <c r="AP546">
        <f t="shared" si="290"/>
        <v>0</v>
      </c>
      <c r="AQ546">
        <f t="shared" si="291"/>
        <v>1</v>
      </c>
      <c r="AU546" t="str">
        <f>IF(次果筐明细!$C546="","",次果筐明细!$C546)</f>
        <v/>
      </c>
      <c r="AV546">
        <f t="shared" si="292"/>
        <v>0</v>
      </c>
      <c r="AW546">
        <f t="shared" si="293"/>
        <v>1</v>
      </c>
      <c r="BS546" t="str">
        <f t="shared" si="299"/>
        <v/>
      </c>
      <c r="BT546">
        <f t="shared" si="294"/>
        <v>0</v>
      </c>
      <c r="BU546">
        <f t="shared" si="295"/>
        <v>17</v>
      </c>
      <c r="CP546">
        <f>IF(包装物料出入库明细!$D546="",0,1)</f>
        <v>0</v>
      </c>
      <c r="CQ546">
        <f t="shared" si="296"/>
        <v>37</v>
      </c>
      <c r="CS546" t="str">
        <f>IF(OR(周转筐出入库明细!$C547="",周转筐出入库明细!$F547&lt;&gt;"采购入库"),"",周转筐出入库明细!$C547)</f>
        <v/>
      </c>
      <c r="CT546">
        <f t="shared" si="297"/>
        <v>0</v>
      </c>
      <c r="CU546">
        <f t="shared" si="298"/>
        <v>1</v>
      </c>
    </row>
    <row r="547" spans="1:99">
      <c r="A547" t="str">
        <f>IF(包装物料出入库明细!$E547="","",包装物料出入库明细!$E547)</f>
        <v/>
      </c>
      <c r="B547">
        <f t="shared" si="278"/>
        <v>0</v>
      </c>
      <c r="C547">
        <f t="shared" si="279"/>
        <v>7</v>
      </c>
      <c r="D547" t="str">
        <f>IF(包装物料出入库明细!$E547="","",包装物料出入库明细!$F547)</f>
        <v/>
      </c>
      <c r="E547" t="str">
        <f>IF(包装物料出入库明细!$E547="","",包装物料出入库明细!$G547)</f>
        <v/>
      </c>
      <c r="K547" t="str">
        <f>IF(包装物料出入库明细!$D547="","",包装物料出入库明细!$D547)</f>
        <v/>
      </c>
      <c r="L547">
        <f t="shared" si="280"/>
        <v>0</v>
      </c>
      <c r="M547">
        <f t="shared" si="281"/>
        <v>9</v>
      </c>
      <c r="Q547" t="str">
        <f>IF(周转筐出入库明细!$D548="","",周转筐出入库明细!$D548)</f>
        <v/>
      </c>
      <c r="R547">
        <f t="shared" si="282"/>
        <v>0</v>
      </c>
      <c r="S547">
        <f t="shared" si="283"/>
        <v>5</v>
      </c>
      <c r="W547" t="str">
        <f>IF(周转筐出入库明细!$C548="","",周转筐出入库明细!$C548)</f>
        <v/>
      </c>
      <c r="X547">
        <f t="shared" si="284"/>
        <v>0</v>
      </c>
      <c r="Y547">
        <f t="shared" si="285"/>
        <v>12</v>
      </c>
      <c r="AC547" t="str">
        <f>IF(客户自备加工筐明细!$C547="","",客户自备加工筐明细!$C547)</f>
        <v/>
      </c>
      <c r="AD547">
        <f t="shared" si="286"/>
        <v>0</v>
      </c>
      <c r="AE547">
        <f t="shared" si="287"/>
        <v>1</v>
      </c>
      <c r="AI547" t="str">
        <f>IF(客户自备加工筐明细!$E547="","",客户自备加工筐明细!$E547)</f>
        <v/>
      </c>
      <c r="AJ547">
        <f t="shared" si="288"/>
        <v>0</v>
      </c>
      <c r="AK547">
        <f t="shared" si="289"/>
        <v>1</v>
      </c>
      <c r="AO547" t="str">
        <f>IF(次果筐明细!$D547="","",次果筐明细!$D547)</f>
        <v/>
      </c>
      <c r="AP547">
        <f t="shared" si="290"/>
        <v>0</v>
      </c>
      <c r="AQ547">
        <f t="shared" si="291"/>
        <v>1</v>
      </c>
      <c r="AU547" t="str">
        <f>IF(次果筐明细!$C547="","",次果筐明细!$C547)</f>
        <v/>
      </c>
      <c r="AV547">
        <f t="shared" si="292"/>
        <v>0</v>
      </c>
      <c r="AW547">
        <f t="shared" si="293"/>
        <v>1</v>
      </c>
      <c r="BS547" t="str">
        <f t="shared" si="299"/>
        <v/>
      </c>
      <c r="BT547">
        <f t="shared" si="294"/>
        <v>0</v>
      </c>
      <c r="BU547">
        <f t="shared" si="295"/>
        <v>17</v>
      </c>
      <c r="CP547">
        <f>IF(包装物料出入库明细!$D547="",0,1)</f>
        <v>0</v>
      </c>
      <c r="CQ547">
        <f t="shared" si="296"/>
        <v>37</v>
      </c>
      <c r="CS547" t="str">
        <f>IF(OR(周转筐出入库明细!$C548="",周转筐出入库明细!$F548&lt;&gt;"采购入库"),"",周转筐出入库明细!$C548)</f>
        <v/>
      </c>
      <c r="CT547">
        <f t="shared" si="297"/>
        <v>0</v>
      </c>
      <c r="CU547">
        <f t="shared" si="298"/>
        <v>1</v>
      </c>
    </row>
    <row r="548" spans="1:99">
      <c r="A548" t="str">
        <f>IF(包装物料出入库明细!$E548="","",包装物料出入库明细!$E548)</f>
        <v/>
      </c>
      <c r="B548">
        <f t="shared" si="278"/>
        <v>0</v>
      </c>
      <c r="C548">
        <f t="shared" si="279"/>
        <v>7</v>
      </c>
      <c r="D548" t="str">
        <f>IF(包装物料出入库明细!$E548="","",包装物料出入库明细!$F548)</f>
        <v/>
      </c>
      <c r="E548" t="str">
        <f>IF(包装物料出入库明细!$E548="","",包装物料出入库明细!$G548)</f>
        <v/>
      </c>
      <c r="K548" t="str">
        <f>IF(包装物料出入库明细!$D548="","",包装物料出入库明细!$D548)</f>
        <v/>
      </c>
      <c r="L548">
        <f t="shared" si="280"/>
        <v>0</v>
      </c>
      <c r="M548">
        <f t="shared" si="281"/>
        <v>9</v>
      </c>
      <c r="Q548" t="str">
        <f>IF(周转筐出入库明细!$D549="","",周转筐出入库明细!$D549)</f>
        <v/>
      </c>
      <c r="R548">
        <f t="shared" si="282"/>
        <v>0</v>
      </c>
      <c r="S548">
        <f t="shared" si="283"/>
        <v>5</v>
      </c>
      <c r="W548" t="str">
        <f>IF(周转筐出入库明细!$C549="","",周转筐出入库明细!$C549)</f>
        <v/>
      </c>
      <c r="X548">
        <f t="shared" si="284"/>
        <v>0</v>
      </c>
      <c r="Y548">
        <f t="shared" si="285"/>
        <v>12</v>
      </c>
      <c r="AC548" t="str">
        <f>IF(客户自备加工筐明细!$C548="","",客户自备加工筐明细!$C548)</f>
        <v/>
      </c>
      <c r="AD548">
        <f t="shared" si="286"/>
        <v>0</v>
      </c>
      <c r="AE548">
        <f t="shared" si="287"/>
        <v>1</v>
      </c>
      <c r="AI548" t="str">
        <f>IF(客户自备加工筐明细!$E548="","",客户自备加工筐明细!$E548)</f>
        <v/>
      </c>
      <c r="AJ548">
        <f t="shared" si="288"/>
        <v>0</v>
      </c>
      <c r="AK548">
        <f t="shared" si="289"/>
        <v>1</v>
      </c>
      <c r="AO548" t="str">
        <f>IF(次果筐明细!$D548="","",次果筐明细!$D548)</f>
        <v/>
      </c>
      <c r="AP548">
        <f t="shared" si="290"/>
        <v>0</v>
      </c>
      <c r="AQ548">
        <f t="shared" si="291"/>
        <v>1</v>
      </c>
      <c r="AU548" t="str">
        <f>IF(次果筐明细!$C548="","",次果筐明细!$C548)</f>
        <v/>
      </c>
      <c r="AV548">
        <f t="shared" si="292"/>
        <v>0</v>
      </c>
      <c r="AW548">
        <f t="shared" si="293"/>
        <v>1</v>
      </c>
      <c r="BS548" t="str">
        <f t="shared" si="299"/>
        <v/>
      </c>
      <c r="BT548">
        <f t="shared" si="294"/>
        <v>0</v>
      </c>
      <c r="BU548">
        <f t="shared" si="295"/>
        <v>17</v>
      </c>
      <c r="CP548">
        <f>IF(包装物料出入库明细!$D548="",0,1)</f>
        <v>0</v>
      </c>
      <c r="CQ548">
        <f t="shared" si="296"/>
        <v>37</v>
      </c>
      <c r="CS548" t="str">
        <f>IF(OR(周转筐出入库明细!$C549="",周转筐出入库明细!$F549&lt;&gt;"采购入库"),"",周转筐出入库明细!$C549)</f>
        <v/>
      </c>
      <c r="CT548">
        <f t="shared" si="297"/>
        <v>0</v>
      </c>
      <c r="CU548">
        <f t="shared" si="298"/>
        <v>1</v>
      </c>
    </row>
    <row r="549" spans="1:99">
      <c r="A549" t="str">
        <f>IF(包装物料出入库明细!$E549="","",包装物料出入库明细!$E549)</f>
        <v/>
      </c>
      <c r="B549">
        <f t="shared" si="278"/>
        <v>0</v>
      </c>
      <c r="C549">
        <f t="shared" si="279"/>
        <v>7</v>
      </c>
      <c r="D549" t="str">
        <f>IF(包装物料出入库明细!$E549="","",包装物料出入库明细!$F549)</f>
        <v/>
      </c>
      <c r="E549" t="str">
        <f>IF(包装物料出入库明细!$E549="","",包装物料出入库明细!$G549)</f>
        <v/>
      </c>
      <c r="K549" t="str">
        <f>IF(包装物料出入库明细!$D549="","",包装物料出入库明细!$D549)</f>
        <v/>
      </c>
      <c r="L549">
        <f t="shared" si="280"/>
        <v>0</v>
      </c>
      <c r="M549">
        <f t="shared" si="281"/>
        <v>9</v>
      </c>
      <c r="Q549" t="str">
        <f>IF(周转筐出入库明细!$D550="","",周转筐出入库明细!$D550)</f>
        <v/>
      </c>
      <c r="R549">
        <f t="shared" si="282"/>
        <v>0</v>
      </c>
      <c r="S549">
        <f t="shared" si="283"/>
        <v>5</v>
      </c>
      <c r="W549" t="str">
        <f>IF(周转筐出入库明细!$C550="","",周转筐出入库明细!$C550)</f>
        <v/>
      </c>
      <c r="X549">
        <f t="shared" si="284"/>
        <v>0</v>
      </c>
      <c r="Y549">
        <f t="shared" si="285"/>
        <v>12</v>
      </c>
      <c r="AC549" t="str">
        <f>IF(客户自备加工筐明细!$C549="","",客户自备加工筐明细!$C549)</f>
        <v/>
      </c>
      <c r="AD549">
        <f t="shared" si="286"/>
        <v>0</v>
      </c>
      <c r="AE549">
        <f t="shared" si="287"/>
        <v>1</v>
      </c>
      <c r="AI549" t="str">
        <f>IF(客户自备加工筐明细!$E549="","",客户自备加工筐明细!$E549)</f>
        <v/>
      </c>
      <c r="AJ549">
        <f t="shared" si="288"/>
        <v>0</v>
      </c>
      <c r="AK549">
        <f t="shared" si="289"/>
        <v>1</v>
      </c>
      <c r="AO549" t="str">
        <f>IF(次果筐明细!$D549="","",次果筐明细!$D549)</f>
        <v/>
      </c>
      <c r="AP549">
        <f t="shared" si="290"/>
        <v>0</v>
      </c>
      <c r="AQ549">
        <f t="shared" si="291"/>
        <v>1</v>
      </c>
      <c r="AU549" t="str">
        <f>IF(次果筐明细!$C549="","",次果筐明细!$C549)</f>
        <v/>
      </c>
      <c r="AV549">
        <f t="shared" si="292"/>
        <v>0</v>
      </c>
      <c r="AW549">
        <f t="shared" si="293"/>
        <v>1</v>
      </c>
      <c r="BS549" t="str">
        <f t="shared" si="299"/>
        <v/>
      </c>
      <c r="BT549">
        <f t="shared" si="294"/>
        <v>0</v>
      </c>
      <c r="BU549">
        <f t="shared" si="295"/>
        <v>17</v>
      </c>
      <c r="CP549">
        <f>IF(包装物料出入库明细!$D549="",0,1)</f>
        <v>0</v>
      </c>
      <c r="CQ549">
        <f t="shared" si="296"/>
        <v>37</v>
      </c>
      <c r="CS549" t="str">
        <f>IF(OR(周转筐出入库明细!$C550="",周转筐出入库明细!$F550&lt;&gt;"采购入库"),"",周转筐出入库明细!$C550)</f>
        <v/>
      </c>
      <c r="CT549">
        <f t="shared" si="297"/>
        <v>0</v>
      </c>
      <c r="CU549">
        <f t="shared" si="298"/>
        <v>1</v>
      </c>
    </row>
    <row r="550" spans="1:99">
      <c r="A550" t="str">
        <f>IF(包装物料出入库明细!$E550="","",包装物料出入库明细!$E550)</f>
        <v/>
      </c>
      <c r="B550">
        <f t="shared" si="278"/>
        <v>0</v>
      </c>
      <c r="C550">
        <f t="shared" si="279"/>
        <v>7</v>
      </c>
      <c r="D550" t="str">
        <f>IF(包装物料出入库明细!$E550="","",包装物料出入库明细!$F550)</f>
        <v/>
      </c>
      <c r="E550" t="str">
        <f>IF(包装物料出入库明细!$E550="","",包装物料出入库明细!$G550)</f>
        <v/>
      </c>
      <c r="K550" t="str">
        <f>IF(包装物料出入库明细!$D550="","",包装物料出入库明细!$D550)</f>
        <v/>
      </c>
      <c r="L550">
        <f t="shared" si="280"/>
        <v>0</v>
      </c>
      <c r="M550">
        <f t="shared" si="281"/>
        <v>9</v>
      </c>
      <c r="Q550" t="str">
        <f>IF(周转筐出入库明细!$D551="","",周转筐出入库明细!$D551)</f>
        <v/>
      </c>
      <c r="R550">
        <f t="shared" si="282"/>
        <v>0</v>
      </c>
      <c r="S550">
        <f t="shared" si="283"/>
        <v>5</v>
      </c>
      <c r="W550" t="str">
        <f>IF(周转筐出入库明细!$C551="","",周转筐出入库明细!$C551)</f>
        <v/>
      </c>
      <c r="X550">
        <f t="shared" si="284"/>
        <v>0</v>
      </c>
      <c r="Y550">
        <f t="shared" si="285"/>
        <v>12</v>
      </c>
      <c r="AC550" t="str">
        <f>IF(客户自备加工筐明细!$C550="","",客户自备加工筐明细!$C550)</f>
        <v/>
      </c>
      <c r="AD550">
        <f t="shared" si="286"/>
        <v>0</v>
      </c>
      <c r="AE550">
        <f t="shared" si="287"/>
        <v>1</v>
      </c>
      <c r="AI550" t="str">
        <f>IF(客户自备加工筐明细!$E550="","",客户自备加工筐明细!$E550)</f>
        <v/>
      </c>
      <c r="AJ550">
        <f t="shared" si="288"/>
        <v>0</v>
      </c>
      <c r="AK550">
        <f t="shared" si="289"/>
        <v>1</v>
      </c>
      <c r="AO550" t="str">
        <f>IF(次果筐明细!$D550="","",次果筐明细!$D550)</f>
        <v/>
      </c>
      <c r="AP550">
        <f t="shared" si="290"/>
        <v>0</v>
      </c>
      <c r="AQ550">
        <f t="shared" si="291"/>
        <v>1</v>
      </c>
      <c r="AU550" t="str">
        <f>IF(次果筐明细!$C550="","",次果筐明细!$C550)</f>
        <v/>
      </c>
      <c r="AV550">
        <f t="shared" si="292"/>
        <v>0</v>
      </c>
      <c r="AW550">
        <f t="shared" si="293"/>
        <v>1</v>
      </c>
      <c r="BS550" t="str">
        <f t="shared" si="299"/>
        <v/>
      </c>
      <c r="BT550">
        <f t="shared" si="294"/>
        <v>0</v>
      </c>
      <c r="BU550">
        <f t="shared" si="295"/>
        <v>17</v>
      </c>
      <c r="CP550">
        <f>IF(包装物料出入库明细!$D550="",0,1)</f>
        <v>0</v>
      </c>
      <c r="CQ550">
        <f t="shared" si="296"/>
        <v>37</v>
      </c>
      <c r="CS550" t="str">
        <f>IF(OR(周转筐出入库明细!$C551="",周转筐出入库明细!$F551&lt;&gt;"采购入库"),"",周转筐出入库明细!$C551)</f>
        <v/>
      </c>
      <c r="CT550">
        <f t="shared" si="297"/>
        <v>0</v>
      </c>
      <c r="CU550">
        <f t="shared" si="298"/>
        <v>1</v>
      </c>
    </row>
    <row r="551" spans="1:99">
      <c r="A551" t="str">
        <f>IF(包装物料出入库明细!$E551="","",包装物料出入库明细!$E551)</f>
        <v/>
      </c>
      <c r="B551">
        <f t="shared" si="278"/>
        <v>0</v>
      </c>
      <c r="C551">
        <f t="shared" si="279"/>
        <v>7</v>
      </c>
      <c r="D551" t="str">
        <f>IF(包装物料出入库明细!$E551="","",包装物料出入库明细!$F551)</f>
        <v/>
      </c>
      <c r="E551" t="str">
        <f>IF(包装物料出入库明细!$E551="","",包装物料出入库明细!$G551)</f>
        <v/>
      </c>
      <c r="K551" t="str">
        <f>IF(包装物料出入库明细!$D551="","",包装物料出入库明细!$D551)</f>
        <v/>
      </c>
      <c r="L551">
        <f t="shared" si="280"/>
        <v>0</v>
      </c>
      <c r="M551">
        <f t="shared" si="281"/>
        <v>9</v>
      </c>
      <c r="Q551" t="str">
        <f>IF(周转筐出入库明细!$D552="","",周转筐出入库明细!$D552)</f>
        <v/>
      </c>
      <c r="R551">
        <f t="shared" si="282"/>
        <v>0</v>
      </c>
      <c r="S551">
        <f t="shared" si="283"/>
        <v>5</v>
      </c>
      <c r="W551" t="str">
        <f>IF(周转筐出入库明细!$C552="","",周转筐出入库明细!$C552)</f>
        <v/>
      </c>
      <c r="X551">
        <f t="shared" si="284"/>
        <v>0</v>
      </c>
      <c r="Y551">
        <f t="shared" si="285"/>
        <v>12</v>
      </c>
      <c r="AC551" t="str">
        <f>IF(客户自备加工筐明细!$C551="","",客户自备加工筐明细!$C551)</f>
        <v/>
      </c>
      <c r="AD551">
        <f t="shared" si="286"/>
        <v>0</v>
      </c>
      <c r="AE551">
        <f t="shared" si="287"/>
        <v>1</v>
      </c>
      <c r="AI551" t="str">
        <f>IF(客户自备加工筐明细!$E551="","",客户自备加工筐明细!$E551)</f>
        <v/>
      </c>
      <c r="AJ551">
        <f t="shared" si="288"/>
        <v>0</v>
      </c>
      <c r="AK551">
        <f t="shared" si="289"/>
        <v>1</v>
      </c>
      <c r="AO551" t="str">
        <f>IF(次果筐明细!$D551="","",次果筐明细!$D551)</f>
        <v/>
      </c>
      <c r="AP551">
        <f t="shared" si="290"/>
        <v>0</v>
      </c>
      <c r="AQ551">
        <f t="shared" si="291"/>
        <v>1</v>
      </c>
      <c r="AU551" t="str">
        <f>IF(次果筐明细!$C551="","",次果筐明细!$C551)</f>
        <v/>
      </c>
      <c r="AV551">
        <f t="shared" si="292"/>
        <v>0</v>
      </c>
      <c r="AW551">
        <f t="shared" si="293"/>
        <v>1</v>
      </c>
      <c r="BS551" t="str">
        <f t="shared" si="299"/>
        <v/>
      </c>
      <c r="BT551">
        <f t="shared" si="294"/>
        <v>0</v>
      </c>
      <c r="BU551">
        <f t="shared" si="295"/>
        <v>17</v>
      </c>
      <c r="CP551">
        <f>IF(包装物料出入库明细!$D551="",0,1)</f>
        <v>0</v>
      </c>
      <c r="CQ551">
        <f t="shared" si="296"/>
        <v>37</v>
      </c>
      <c r="CS551" t="str">
        <f>IF(OR(周转筐出入库明细!$C552="",周转筐出入库明细!$F552&lt;&gt;"采购入库"),"",周转筐出入库明细!$C552)</f>
        <v/>
      </c>
      <c r="CT551">
        <f t="shared" si="297"/>
        <v>0</v>
      </c>
      <c r="CU551">
        <f t="shared" si="298"/>
        <v>1</v>
      </c>
    </row>
    <row r="552" spans="1:99">
      <c r="A552" t="str">
        <f>IF(包装物料出入库明细!$E552="","",包装物料出入库明细!$E552)</f>
        <v/>
      </c>
      <c r="B552">
        <f t="shared" si="278"/>
        <v>0</v>
      </c>
      <c r="C552">
        <f t="shared" si="279"/>
        <v>7</v>
      </c>
      <c r="D552" t="str">
        <f>IF(包装物料出入库明细!$E552="","",包装物料出入库明细!$F552)</f>
        <v/>
      </c>
      <c r="E552" t="str">
        <f>IF(包装物料出入库明细!$E552="","",包装物料出入库明细!$G552)</f>
        <v/>
      </c>
      <c r="K552" t="str">
        <f>IF(包装物料出入库明细!$D552="","",包装物料出入库明细!$D552)</f>
        <v/>
      </c>
      <c r="L552">
        <f t="shared" si="280"/>
        <v>0</v>
      </c>
      <c r="M552">
        <f t="shared" si="281"/>
        <v>9</v>
      </c>
      <c r="Q552" t="str">
        <f>IF(周转筐出入库明细!$D553="","",周转筐出入库明细!$D553)</f>
        <v/>
      </c>
      <c r="R552">
        <f t="shared" si="282"/>
        <v>0</v>
      </c>
      <c r="S552">
        <f t="shared" si="283"/>
        <v>5</v>
      </c>
      <c r="W552" t="str">
        <f>IF(周转筐出入库明细!$C553="","",周转筐出入库明细!$C553)</f>
        <v/>
      </c>
      <c r="X552">
        <f t="shared" si="284"/>
        <v>0</v>
      </c>
      <c r="Y552">
        <f t="shared" si="285"/>
        <v>12</v>
      </c>
      <c r="AC552" t="str">
        <f>IF(客户自备加工筐明细!$C552="","",客户自备加工筐明细!$C552)</f>
        <v/>
      </c>
      <c r="AD552">
        <f t="shared" si="286"/>
        <v>0</v>
      </c>
      <c r="AE552">
        <f t="shared" si="287"/>
        <v>1</v>
      </c>
      <c r="AI552" t="str">
        <f>IF(客户自备加工筐明细!$E552="","",客户自备加工筐明细!$E552)</f>
        <v/>
      </c>
      <c r="AJ552">
        <f t="shared" si="288"/>
        <v>0</v>
      </c>
      <c r="AK552">
        <f t="shared" si="289"/>
        <v>1</v>
      </c>
      <c r="AO552" t="str">
        <f>IF(次果筐明细!$D552="","",次果筐明细!$D552)</f>
        <v/>
      </c>
      <c r="AP552">
        <f t="shared" si="290"/>
        <v>0</v>
      </c>
      <c r="AQ552">
        <f t="shared" si="291"/>
        <v>1</v>
      </c>
      <c r="AU552" t="str">
        <f>IF(次果筐明细!$C552="","",次果筐明细!$C552)</f>
        <v/>
      </c>
      <c r="AV552">
        <f t="shared" si="292"/>
        <v>0</v>
      </c>
      <c r="AW552">
        <f t="shared" si="293"/>
        <v>1</v>
      </c>
      <c r="BS552" t="str">
        <f t="shared" si="299"/>
        <v/>
      </c>
      <c r="BT552">
        <f t="shared" si="294"/>
        <v>0</v>
      </c>
      <c r="BU552">
        <f t="shared" si="295"/>
        <v>17</v>
      </c>
      <c r="CP552">
        <f>IF(包装物料出入库明细!$D552="",0,1)</f>
        <v>0</v>
      </c>
      <c r="CQ552">
        <f t="shared" si="296"/>
        <v>37</v>
      </c>
      <c r="CS552" t="str">
        <f>IF(OR(周转筐出入库明细!$C553="",周转筐出入库明细!$F553&lt;&gt;"采购入库"),"",周转筐出入库明细!$C553)</f>
        <v/>
      </c>
      <c r="CT552">
        <f t="shared" si="297"/>
        <v>0</v>
      </c>
      <c r="CU552">
        <f t="shared" si="298"/>
        <v>1</v>
      </c>
    </row>
    <row r="553" spans="1:99">
      <c r="A553" t="str">
        <f>IF(包装物料出入库明细!$E553="","",包装物料出入库明细!$E553)</f>
        <v/>
      </c>
      <c r="B553">
        <f t="shared" si="278"/>
        <v>0</v>
      </c>
      <c r="C553">
        <f t="shared" si="279"/>
        <v>7</v>
      </c>
      <c r="D553" t="str">
        <f>IF(包装物料出入库明细!$E553="","",包装物料出入库明细!$F553)</f>
        <v/>
      </c>
      <c r="E553" t="str">
        <f>IF(包装物料出入库明细!$E553="","",包装物料出入库明细!$G553)</f>
        <v/>
      </c>
      <c r="K553" t="str">
        <f>IF(包装物料出入库明细!$D553="","",包装物料出入库明细!$D553)</f>
        <v/>
      </c>
      <c r="L553">
        <f t="shared" si="280"/>
        <v>0</v>
      </c>
      <c r="M553">
        <f t="shared" si="281"/>
        <v>9</v>
      </c>
      <c r="Q553" t="str">
        <f>IF(周转筐出入库明细!$D554="","",周转筐出入库明细!$D554)</f>
        <v/>
      </c>
      <c r="R553">
        <f t="shared" si="282"/>
        <v>0</v>
      </c>
      <c r="S553">
        <f t="shared" si="283"/>
        <v>5</v>
      </c>
      <c r="W553" t="str">
        <f>IF(周转筐出入库明细!$C554="","",周转筐出入库明细!$C554)</f>
        <v/>
      </c>
      <c r="X553">
        <f t="shared" si="284"/>
        <v>0</v>
      </c>
      <c r="Y553">
        <f t="shared" si="285"/>
        <v>12</v>
      </c>
      <c r="AC553" t="str">
        <f>IF(客户自备加工筐明细!$C553="","",客户自备加工筐明细!$C553)</f>
        <v/>
      </c>
      <c r="AD553">
        <f t="shared" si="286"/>
        <v>0</v>
      </c>
      <c r="AE553">
        <f t="shared" si="287"/>
        <v>1</v>
      </c>
      <c r="AI553" t="str">
        <f>IF(客户自备加工筐明细!$E553="","",客户自备加工筐明细!$E553)</f>
        <v/>
      </c>
      <c r="AJ553">
        <f t="shared" si="288"/>
        <v>0</v>
      </c>
      <c r="AK553">
        <f t="shared" si="289"/>
        <v>1</v>
      </c>
      <c r="AO553" t="str">
        <f>IF(次果筐明细!$D553="","",次果筐明细!$D553)</f>
        <v/>
      </c>
      <c r="AP553">
        <f t="shared" si="290"/>
        <v>0</v>
      </c>
      <c r="AQ553">
        <f t="shared" si="291"/>
        <v>1</v>
      </c>
      <c r="AU553" t="str">
        <f>IF(次果筐明细!$C553="","",次果筐明细!$C553)</f>
        <v/>
      </c>
      <c r="AV553">
        <f t="shared" si="292"/>
        <v>0</v>
      </c>
      <c r="AW553">
        <f t="shared" si="293"/>
        <v>1</v>
      </c>
      <c r="BS553" t="str">
        <f t="shared" si="299"/>
        <v/>
      </c>
      <c r="BT553">
        <f t="shared" si="294"/>
        <v>0</v>
      </c>
      <c r="BU553">
        <f t="shared" si="295"/>
        <v>17</v>
      </c>
      <c r="CP553">
        <f>IF(包装物料出入库明细!$D553="",0,1)</f>
        <v>0</v>
      </c>
      <c r="CQ553">
        <f t="shared" si="296"/>
        <v>37</v>
      </c>
      <c r="CS553" t="str">
        <f>IF(OR(周转筐出入库明细!$C554="",周转筐出入库明细!$F554&lt;&gt;"采购入库"),"",周转筐出入库明细!$C554)</f>
        <v/>
      </c>
      <c r="CT553">
        <f t="shared" si="297"/>
        <v>0</v>
      </c>
      <c r="CU553">
        <f t="shared" si="298"/>
        <v>1</v>
      </c>
    </row>
    <row r="554" spans="1:99">
      <c r="A554" t="str">
        <f>IF(包装物料出入库明细!$E554="","",包装物料出入库明细!$E554)</f>
        <v/>
      </c>
      <c r="B554">
        <f t="shared" si="278"/>
        <v>0</v>
      </c>
      <c r="C554">
        <f t="shared" si="279"/>
        <v>7</v>
      </c>
      <c r="D554" t="str">
        <f>IF(包装物料出入库明细!$E554="","",包装物料出入库明细!$F554)</f>
        <v/>
      </c>
      <c r="E554" t="str">
        <f>IF(包装物料出入库明细!$E554="","",包装物料出入库明细!$G554)</f>
        <v/>
      </c>
      <c r="K554" t="str">
        <f>IF(包装物料出入库明细!$D554="","",包装物料出入库明细!$D554)</f>
        <v/>
      </c>
      <c r="L554">
        <f t="shared" si="280"/>
        <v>0</v>
      </c>
      <c r="M554">
        <f t="shared" si="281"/>
        <v>9</v>
      </c>
      <c r="Q554" t="str">
        <f>IF(周转筐出入库明细!$D555="","",周转筐出入库明细!$D555)</f>
        <v/>
      </c>
      <c r="R554">
        <f t="shared" si="282"/>
        <v>0</v>
      </c>
      <c r="S554">
        <f t="shared" si="283"/>
        <v>5</v>
      </c>
      <c r="W554" t="str">
        <f>IF(周转筐出入库明细!$C555="","",周转筐出入库明细!$C555)</f>
        <v/>
      </c>
      <c r="X554">
        <f t="shared" si="284"/>
        <v>0</v>
      </c>
      <c r="Y554">
        <f t="shared" si="285"/>
        <v>12</v>
      </c>
      <c r="AC554" t="str">
        <f>IF(客户自备加工筐明细!$C554="","",客户自备加工筐明细!$C554)</f>
        <v/>
      </c>
      <c r="AD554">
        <f t="shared" si="286"/>
        <v>0</v>
      </c>
      <c r="AE554">
        <f t="shared" si="287"/>
        <v>1</v>
      </c>
      <c r="AI554" t="str">
        <f>IF(客户自备加工筐明细!$E554="","",客户自备加工筐明细!$E554)</f>
        <v/>
      </c>
      <c r="AJ554">
        <f t="shared" si="288"/>
        <v>0</v>
      </c>
      <c r="AK554">
        <f t="shared" si="289"/>
        <v>1</v>
      </c>
      <c r="AO554" t="str">
        <f>IF(次果筐明细!$D554="","",次果筐明细!$D554)</f>
        <v/>
      </c>
      <c r="AP554">
        <f t="shared" si="290"/>
        <v>0</v>
      </c>
      <c r="AQ554">
        <f t="shared" si="291"/>
        <v>1</v>
      </c>
      <c r="AU554" t="str">
        <f>IF(次果筐明细!$C554="","",次果筐明细!$C554)</f>
        <v/>
      </c>
      <c r="AV554">
        <f t="shared" si="292"/>
        <v>0</v>
      </c>
      <c r="AW554">
        <f t="shared" si="293"/>
        <v>1</v>
      </c>
      <c r="BS554" t="str">
        <f t="shared" si="299"/>
        <v/>
      </c>
      <c r="BT554">
        <f t="shared" si="294"/>
        <v>0</v>
      </c>
      <c r="BU554">
        <f t="shared" si="295"/>
        <v>17</v>
      </c>
      <c r="CP554">
        <f>IF(包装物料出入库明细!$D554="",0,1)</f>
        <v>0</v>
      </c>
      <c r="CQ554">
        <f t="shared" si="296"/>
        <v>37</v>
      </c>
      <c r="CS554" t="str">
        <f>IF(OR(周转筐出入库明细!$C555="",周转筐出入库明细!$F555&lt;&gt;"采购入库"),"",周转筐出入库明细!$C555)</f>
        <v/>
      </c>
      <c r="CT554">
        <f t="shared" si="297"/>
        <v>0</v>
      </c>
      <c r="CU554">
        <f t="shared" si="298"/>
        <v>1</v>
      </c>
    </row>
    <row r="555" spans="1:99">
      <c r="A555" t="str">
        <f>IF(包装物料出入库明细!$E555="","",包装物料出入库明细!$E555)</f>
        <v/>
      </c>
      <c r="B555">
        <f t="shared" si="278"/>
        <v>0</v>
      </c>
      <c r="C555">
        <f t="shared" si="279"/>
        <v>7</v>
      </c>
      <c r="D555" t="str">
        <f>IF(包装物料出入库明细!$E555="","",包装物料出入库明细!$F555)</f>
        <v/>
      </c>
      <c r="E555" t="str">
        <f>IF(包装物料出入库明细!$E555="","",包装物料出入库明细!$G555)</f>
        <v/>
      </c>
      <c r="K555" t="str">
        <f>IF(包装物料出入库明细!$D555="","",包装物料出入库明细!$D555)</f>
        <v/>
      </c>
      <c r="L555">
        <f t="shared" si="280"/>
        <v>0</v>
      </c>
      <c r="M555">
        <f t="shared" si="281"/>
        <v>9</v>
      </c>
      <c r="Q555" t="str">
        <f>IF(周转筐出入库明细!$D556="","",周转筐出入库明细!$D556)</f>
        <v/>
      </c>
      <c r="R555">
        <f t="shared" si="282"/>
        <v>0</v>
      </c>
      <c r="S555">
        <f t="shared" si="283"/>
        <v>5</v>
      </c>
      <c r="W555" t="str">
        <f>IF(周转筐出入库明细!$C556="","",周转筐出入库明细!$C556)</f>
        <v/>
      </c>
      <c r="X555">
        <f t="shared" si="284"/>
        <v>0</v>
      </c>
      <c r="Y555">
        <f t="shared" si="285"/>
        <v>12</v>
      </c>
      <c r="AC555" t="str">
        <f>IF(客户自备加工筐明细!$C555="","",客户自备加工筐明细!$C555)</f>
        <v/>
      </c>
      <c r="AD555">
        <f t="shared" si="286"/>
        <v>0</v>
      </c>
      <c r="AE555">
        <f t="shared" si="287"/>
        <v>1</v>
      </c>
      <c r="AI555" t="str">
        <f>IF(客户自备加工筐明细!$E555="","",客户自备加工筐明细!$E555)</f>
        <v/>
      </c>
      <c r="AJ555">
        <f t="shared" si="288"/>
        <v>0</v>
      </c>
      <c r="AK555">
        <f t="shared" si="289"/>
        <v>1</v>
      </c>
      <c r="AO555" t="str">
        <f>IF(次果筐明细!$D555="","",次果筐明细!$D555)</f>
        <v/>
      </c>
      <c r="AP555">
        <f t="shared" si="290"/>
        <v>0</v>
      </c>
      <c r="AQ555">
        <f t="shared" si="291"/>
        <v>1</v>
      </c>
      <c r="AU555" t="str">
        <f>IF(次果筐明细!$C555="","",次果筐明细!$C555)</f>
        <v/>
      </c>
      <c r="AV555">
        <f t="shared" si="292"/>
        <v>0</v>
      </c>
      <c r="AW555">
        <f t="shared" si="293"/>
        <v>1</v>
      </c>
      <c r="BS555" t="str">
        <f t="shared" si="299"/>
        <v/>
      </c>
      <c r="BT555">
        <f t="shared" si="294"/>
        <v>0</v>
      </c>
      <c r="BU555">
        <f t="shared" si="295"/>
        <v>17</v>
      </c>
      <c r="CP555">
        <f>IF(包装物料出入库明细!$D555="",0,1)</f>
        <v>0</v>
      </c>
      <c r="CQ555">
        <f t="shared" si="296"/>
        <v>37</v>
      </c>
      <c r="CS555" t="str">
        <f>IF(OR(周转筐出入库明细!$C556="",周转筐出入库明细!$F556&lt;&gt;"采购入库"),"",周转筐出入库明细!$C556)</f>
        <v/>
      </c>
      <c r="CT555">
        <f t="shared" si="297"/>
        <v>0</v>
      </c>
      <c r="CU555">
        <f t="shared" si="298"/>
        <v>1</v>
      </c>
    </row>
    <row r="556" spans="1:99">
      <c r="A556" t="str">
        <f>IF(包装物料出入库明细!$E556="","",包装物料出入库明细!$E556)</f>
        <v/>
      </c>
      <c r="B556">
        <f t="shared" si="278"/>
        <v>0</v>
      </c>
      <c r="C556">
        <f t="shared" si="279"/>
        <v>7</v>
      </c>
      <c r="D556" t="str">
        <f>IF(包装物料出入库明细!$E556="","",包装物料出入库明细!$F556)</f>
        <v/>
      </c>
      <c r="E556" t="str">
        <f>IF(包装物料出入库明细!$E556="","",包装物料出入库明细!$G556)</f>
        <v/>
      </c>
      <c r="K556" t="str">
        <f>IF(包装物料出入库明细!$D556="","",包装物料出入库明细!$D556)</f>
        <v/>
      </c>
      <c r="L556">
        <f t="shared" si="280"/>
        <v>0</v>
      </c>
      <c r="M556">
        <f t="shared" si="281"/>
        <v>9</v>
      </c>
      <c r="Q556" t="str">
        <f>IF(周转筐出入库明细!$D557="","",周转筐出入库明细!$D557)</f>
        <v/>
      </c>
      <c r="R556">
        <f t="shared" si="282"/>
        <v>0</v>
      </c>
      <c r="S556">
        <f t="shared" si="283"/>
        <v>5</v>
      </c>
      <c r="W556" t="str">
        <f>IF(周转筐出入库明细!$C557="","",周转筐出入库明细!$C557)</f>
        <v/>
      </c>
      <c r="X556">
        <f t="shared" si="284"/>
        <v>0</v>
      </c>
      <c r="Y556">
        <f t="shared" si="285"/>
        <v>12</v>
      </c>
      <c r="AC556" t="str">
        <f>IF(客户自备加工筐明细!$C556="","",客户自备加工筐明细!$C556)</f>
        <v/>
      </c>
      <c r="AD556">
        <f t="shared" si="286"/>
        <v>0</v>
      </c>
      <c r="AE556">
        <f t="shared" si="287"/>
        <v>1</v>
      </c>
      <c r="AI556" t="str">
        <f>IF(客户自备加工筐明细!$E556="","",客户自备加工筐明细!$E556)</f>
        <v/>
      </c>
      <c r="AJ556">
        <f t="shared" si="288"/>
        <v>0</v>
      </c>
      <c r="AK556">
        <f t="shared" si="289"/>
        <v>1</v>
      </c>
      <c r="AO556" t="str">
        <f>IF(次果筐明细!$D556="","",次果筐明细!$D556)</f>
        <v/>
      </c>
      <c r="AP556">
        <f t="shared" si="290"/>
        <v>0</v>
      </c>
      <c r="AQ556">
        <f t="shared" si="291"/>
        <v>1</v>
      </c>
      <c r="AU556" t="str">
        <f>IF(次果筐明细!$C556="","",次果筐明细!$C556)</f>
        <v/>
      </c>
      <c r="AV556">
        <f t="shared" si="292"/>
        <v>0</v>
      </c>
      <c r="AW556">
        <f t="shared" si="293"/>
        <v>1</v>
      </c>
      <c r="BS556" t="str">
        <f t="shared" si="299"/>
        <v/>
      </c>
      <c r="BT556">
        <f t="shared" si="294"/>
        <v>0</v>
      </c>
      <c r="BU556">
        <f t="shared" si="295"/>
        <v>17</v>
      </c>
      <c r="CP556">
        <f>IF(包装物料出入库明细!$D556="",0,1)</f>
        <v>0</v>
      </c>
      <c r="CQ556">
        <f t="shared" si="296"/>
        <v>37</v>
      </c>
      <c r="CS556" t="str">
        <f>IF(OR(周转筐出入库明细!$C557="",周转筐出入库明细!$F557&lt;&gt;"采购入库"),"",周转筐出入库明细!$C557)</f>
        <v/>
      </c>
      <c r="CT556">
        <f t="shared" si="297"/>
        <v>0</v>
      </c>
      <c r="CU556">
        <f t="shared" si="298"/>
        <v>1</v>
      </c>
    </row>
    <row r="557" spans="1:99">
      <c r="A557" t="str">
        <f>IF(包装物料出入库明细!$E557="","",包装物料出入库明细!$E557)</f>
        <v/>
      </c>
      <c r="B557">
        <f t="shared" si="278"/>
        <v>0</v>
      </c>
      <c r="C557">
        <f t="shared" si="279"/>
        <v>7</v>
      </c>
      <c r="D557" t="str">
        <f>IF(包装物料出入库明细!$E557="","",包装物料出入库明细!$F557)</f>
        <v/>
      </c>
      <c r="E557" t="str">
        <f>IF(包装物料出入库明细!$E557="","",包装物料出入库明细!$G557)</f>
        <v/>
      </c>
      <c r="K557" t="str">
        <f>IF(包装物料出入库明细!$D557="","",包装物料出入库明细!$D557)</f>
        <v/>
      </c>
      <c r="L557">
        <f t="shared" si="280"/>
        <v>0</v>
      </c>
      <c r="M557">
        <f t="shared" si="281"/>
        <v>9</v>
      </c>
      <c r="Q557" t="str">
        <f>IF(周转筐出入库明细!$D558="","",周转筐出入库明细!$D558)</f>
        <v/>
      </c>
      <c r="R557">
        <f t="shared" si="282"/>
        <v>0</v>
      </c>
      <c r="S557">
        <f t="shared" si="283"/>
        <v>5</v>
      </c>
      <c r="W557" t="str">
        <f>IF(周转筐出入库明细!$C558="","",周转筐出入库明细!$C558)</f>
        <v/>
      </c>
      <c r="X557">
        <f t="shared" si="284"/>
        <v>0</v>
      </c>
      <c r="Y557">
        <f t="shared" si="285"/>
        <v>12</v>
      </c>
      <c r="AC557" t="str">
        <f>IF(客户自备加工筐明细!$C557="","",客户自备加工筐明细!$C557)</f>
        <v/>
      </c>
      <c r="AD557">
        <f t="shared" si="286"/>
        <v>0</v>
      </c>
      <c r="AE557">
        <f t="shared" si="287"/>
        <v>1</v>
      </c>
      <c r="AI557" t="str">
        <f>IF(客户自备加工筐明细!$E557="","",客户自备加工筐明细!$E557)</f>
        <v/>
      </c>
      <c r="AJ557">
        <f t="shared" si="288"/>
        <v>0</v>
      </c>
      <c r="AK557">
        <f t="shared" si="289"/>
        <v>1</v>
      </c>
      <c r="AO557" t="str">
        <f>IF(次果筐明细!$D557="","",次果筐明细!$D557)</f>
        <v/>
      </c>
      <c r="AP557">
        <f t="shared" si="290"/>
        <v>0</v>
      </c>
      <c r="AQ557">
        <f t="shared" si="291"/>
        <v>1</v>
      </c>
      <c r="AU557" t="str">
        <f>IF(次果筐明细!$C557="","",次果筐明细!$C557)</f>
        <v/>
      </c>
      <c r="AV557">
        <f t="shared" si="292"/>
        <v>0</v>
      </c>
      <c r="AW557">
        <f t="shared" si="293"/>
        <v>1</v>
      </c>
      <c r="BS557" t="str">
        <f t="shared" si="299"/>
        <v/>
      </c>
      <c r="BT557">
        <f t="shared" si="294"/>
        <v>0</v>
      </c>
      <c r="BU557">
        <f t="shared" si="295"/>
        <v>17</v>
      </c>
      <c r="CP557">
        <f>IF(包装物料出入库明细!$D557="",0,1)</f>
        <v>0</v>
      </c>
      <c r="CQ557">
        <f t="shared" si="296"/>
        <v>37</v>
      </c>
      <c r="CS557" t="str">
        <f>IF(OR(周转筐出入库明细!$C558="",周转筐出入库明细!$F558&lt;&gt;"采购入库"),"",周转筐出入库明细!$C558)</f>
        <v/>
      </c>
      <c r="CT557">
        <f t="shared" si="297"/>
        <v>0</v>
      </c>
      <c r="CU557">
        <f t="shared" si="298"/>
        <v>1</v>
      </c>
    </row>
    <row r="558" spans="1:99">
      <c r="A558" t="str">
        <f>IF(包装物料出入库明细!$E558="","",包装物料出入库明细!$E558)</f>
        <v/>
      </c>
      <c r="B558">
        <f t="shared" si="278"/>
        <v>0</v>
      </c>
      <c r="C558">
        <f t="shared" si="279"/>
        <v>7</v>
      </c>
      <c r="D558" t="str">
        <f>IF(包装物料出入库明细!$E558="","",包装物料出入库明细!$F558)</f>
        <v/>
      </c>
      <c r="E558" t="str">
        <f>IF(包装物料出入库明细!$E558="","",包装物料出入库明细!$G558)</f>
        <v/>
      </c>
      <c r="K558" t="str">
        <f>IF(包装物料出入库明细!$D558="","",包装物料出入库明细!$D558)</f>
        <v/>
      </c>
      <c r="L558">
        <f t="shared" si="280"/>
        <v>0</v>
      </c>
      <c r="M558">
        <f t="shared" si="281"/>
        <v>9</v>
      </c>
      <c r="Q558" t="str">
        <f>IF(周转筐出入库明细!$D559="","",周转筐出入库明细!$D559)</f>
        <v/>
      </c>
      <c r="R558">
        <f t="shared" si="282"/>
        <v>0</v>
      </c>
      <c r="S558">
        <f t="shared" si="283"/>
        <v>5</v>
      </c>
      <c r="W558" t="str">
        <f>IF(周转筐出入库明细!$C559="","",周转筐出入库明细!$C559)</f>
        <v/>
      </c>
      <c r="X558">
        <f t="shared" si="284"/>
        <v>0</v>
      </c>
      <c r="Y558">
        <f t="shared" si="285"/>
        <v>12</v>
      </c>
      <c r="AC558" t="str">
        <f>IF(客户自备加工筐明细!$C558="","",客户自备加工筐明细!$C558)</f>
        <v/>
      </c>
      <c r="AD558">
        <f t="shared" si="286"/>
        <v>0</v>
      </c>
      <c r="AE558">
        <f t="shared" si="287"/>
        <v>1</v>
      </c>
      <c r="AI558" t="str">
        <f>IF(客户自备加工筐明细!$E558="","",客户自备加工筐明细!$E558)</f>
        <v/>
      </c>
      <c r="AJ558">
        <f t="shared" si="288"/>
        <v>0</v>
      </c>
      <c r="AK558">
        <f t="shared" si="289"/>
        <v>1</v>
      </c>
      <c r="AO558" t="str">
        <f>IF(次果筐明细!$D558="","",次果筐明细!$D558)</f>
        <v/>
      </c>
      <c r="AP558">
        <f t="shared" si="290"/>
        <v>0</v>
      </c>
      <c r="AQ558">
        <f t="shared" si="291"/>
        <v>1</v>
      </c>
      <c r="AU558" t="str">
        <f>IF(次果筐明细!$C558="","",次果筐明细!$C558)</f>
        <v/>
      </c>
      <c r="AV558">
        <f t="shared" si="292"/>
        <v>0</v>
      </c>
      <c r="AW558">
        <f t="shared" si="293"/>
        <v>1</v>
      </c>
      <c r="BS558" t="str">
        <f t="shared" si="299"/>
        <v/>
      </c>
      <c r="BT558">
        <f t="shared" si="294"/>
        <v>0</v>
      </c>
      <c r="BU558">
        <f t="shared" si="295"/>
        <v>17</v>
      </c>
      <c r="CP558">
        <f>IF(包装物料出入库明细!$D558="",0,1)</f>
        <v>0</v>
      </c>
      <c r="CQ558">
        <f t="shared" si="296"/>
        <v>37</v>
      </c>
      <c r="CS558" t="str">
        <f>IF(OR(周转筐出入库明细!$C559="",周转筐出入库明细!$F559&lt;&gt;"采购入库"),"",周转筐出入库明细!$C559)</f>
        <v/>
      </c>
      <c r="CT558">
        <f t="shared" si="297"/>
        <v>0</v>
      </c>
      <c r="CU558">
        <f t="shared" si="298"/>
        <v>1</v>
      </c>
    </row>
    <row r="559" spans="1:99">
      <c r="A559" t="str">
        <f>IF(包装物料出入库明细!$E559="","",包装物料出入库明细!$E559)</f>
        <v/>
      </c>
      <c r="B559">
        <f t="shared" si="278"/>
        <v>0</v>
      </c>
      <c r="C559">
        <f t="shared" si="279"/>
        <v>7</v>
      </c>
      <c r="D559" t="str">
        <f>IF(包装物料出入库明细!$E559="","",包装物料出入库明细!$F559)</f>
        <v/>
      </c>
      <c r="E559" t="str">
        <f>IF(包装物料出入库明细!$E559="","",包装物料出入库明细!$G559)</f>
        <v/>
      </c>
      <c r="K559" t="str">
        <f>IF(包装物料出入库明细!$D559="","",包装物料出入库明细!$D559)</f>
        <v/>
      </c>
      <c r="L559">
        <f t="shared" si="280"/>
        <v>0</v>
      </c>
      <c r="M559">
        <f t="shared" si="281"/>
        <v>9</v>
      </c>
      <c r="Q559" t="str">
        <f>IF(周转筐出入库明细!$D560="","",周转筐出入库明细!$D560)</f>
        <v/>
      </c>
      <c r="R559">
        <f t="shared" si="282"/>
        <v>0</v>
      </c>
      <c r="S559">
        <f t="shared" si="283"/>
        <v>5</v>
      </c>
      <c r="W559" t="str">
        <f>IF(周转筐出入库明细!$C560="","",周转筐出入库明细!$C560)</f>
        <v/>
      </c>
      <c r="X559">
        <f t="shared" si="284"/>
        <v>0</v>
      </c>
      <c r="Y559">
        <f t="shared" si="285"/>
        <v>12</v>
      </c>
      <c r="AC559" t="str">
        <f>IF(客户自备加工筐明细!$C559="","",客户自备加工筐明细!$C559)</f>
        <v/>
      </c>
      <c r="AD559">
        <f t="shared" si="286"/>
        <v>0</v>
      </c>
      <c r="AE559">
        <f t="shared" si="287"/>
        <v>1</v>
      </c>
      <c r="AI559" t="str">
        <f>IF(客户自备加工筐明细!$E559="","",客户自备加工筐明细!$E559)</f>
        <v/>
      </c>
      <c r="AJ559">
        <f t="shared" si="288"/>
        <v>0</v>
      </c>
      <c r="AK559">
        <f t="shared" si="289"/>
        <v>1</v>
      </c>
      <c r="AO559" t="str">
        <f>IF(次果筐明细!$D559="","",次果筐明细!$D559)</f>
        <v/>
      </c>
      <c r="AP559">
        <f t="shared" si="290"/>
        <v>0</v>
      </c>
      <c r="AQ559">
        <f t="shared" si="291"/>
        <v>1</v>
      </c>
      <c r="AU559" t="str">
        <f>IF(次果筐明细!$C559="","",次果筐明细!$C559)</f>
        <v/>
      </c>
      <c r="AV559">
        <f t="shared" si="292"/>
        <v>0</v>
      </c>
      <c r="AW559">
        <f t="shared" si="293"/>
        <v>1</v>
      </c>
      <c r="BS559" t="str">
        <f t="shared" si="299"/>
        <v/>
      </c>
      <c r="BT559">
        <f t="shared" si="294"/>
        <v>0</v>
      </c>
      <c r="BU559">
        <f t="shared" si="295"/>
        <v>17</v>
      </c>
      <c r="CP559">
        <f>IF(包装物料出入库明细!$D559="",0,1)</f>
        <v>0</v>
      </c>
      <c r="CQ559">
        <f t="shared" si="296"/>
        <v>37</v>
      </c>
      <c r="CS559" t="str">
        <f>IF(OR(周转筐出入库明细!$C560="",周转筐出入库明细!$F560&lt;&gt;"采购入库"),"",周转筐出入库明细!$C560)</f>
        <v/>
      </c>
      <c r="CT559">
        <f t="shared" si="297"/>
        <v>0</v>
      </c>
      <c r="CU559">
        <f t="shared" si="298"/>
        <v>1</v>
      </c>
    </row>
    <row r="560" spans="1:99">
      <c r="A560" t="str">
        <f>IF(包装物料出入库明细!$E560="","",包装物料出入库明细!$E560)</f>
        <v/>
      </c>
      <c r="B560">
        <f t="shared" si="278"/>
        <v>0</v>
      </c>
      <c r="C560">
        <f t="shared" si="279"/>
        <v>7</v>
      </c>
      <c r="D560" t="str">
        <f>IF(包装物料出入库明细!$E560="","",包装物料出入库明细!$F560)</f>
        <v/>
      </c>
      <c r="E560" t="str">
        <f>IF(包装物料出入库明细!$E560="","",包装物料出入库明细!$G560)</f>
        <v/>
      </c>
      <c r="K560" t="str">
        <f>IF(包装物料出入库明细!$D560="","",包装物料出入库明细!$D560)</f>
        <v/>
      </c>
      <c r="L560">
        <f t="shared" si="280"/>
        <v>0</v>
      </c>
      <c r="M560">
        <f t="shared" si="281"/>
        <v>9</v>
      </c>
      <c r="Q560" t="str">
        <f>IF(周转筐出入库明细!$D561="","",周转筐出入库明细!$D561)</f>
        <v/>
      </c>
      <c r="R560">
        <f t="shared" si="282"/>
        <v>0</v>
      </c>
      <c r="S560">
        <f t="shared" si="283"/>
        <v>5</v>
      </c>
      <c r="W560" t="str">
        <f>IF(周转筐出入库明细!$C561="","",周转筐出入库明细!$C561)</f>
        <v/>
      </c>
      <c r="X560">
        <f t="shared" si="284"/>
        <v>0</v>
      </c>
      <c r="Y560">
        <f t="shared" si="285"/>
        <v>12</v>
      </c>
      <c r="AC560" t="str">
        <f>IF(客户自备加工筐明细!$C560="","",客户自备加工筐明细!$C560)</f>
        <v/>
      </c>
      <c r="AD560">
        <f t="shared" si="286"/>
        <v>0</v>
      </c>
      <c r="AE560">
        <f t="shared" si="287"/>
        <v>1</v>
      </c>
      <c r="AI560" t="str">
        <f>IF(客户自备加工筐明细!$E560="","",客户自备加工筐明细!$E560)</f>
        <v/>
      </c>
      <c r="AJ560">
        <f t="shared" si="288"/>
        <v>0</v>
      </c>
      <c r="AK560">
        <f t="shared" si="289"/>
        <v>1</v>
      </c>
      <c r="AO560" t="str">
        <f>IF(次果筐明细!$D560="","",次果筐明细!$D560)</f>
        <v/>
      </c>
      <c r="AP560">
        <f t="shared" si="290"/>
        <v>0</v>
      </c>
      <c r="AQ560">
        <f t="shared" si="291"/>
        <v>1</v>
      </c>
      <c r="AU560" t="str">
        <f>IF(次果筐明细!$C560="","",次果筐明细!$C560)</f>
        <v/>
      </c>
      <c r="AV560">
        <f t="shared" si="292"/>
        <v>0</v>
      </c>
      <c r="AW560">
        <f t="shared" si="293"/>
        <v>1</v>
      </c>
      <c r="BS560" t="str">
        <f t="shared" si="299"/>
        <v/>
      </c>
      <c r="BT560">
        <f t="shared" si="294"/>
        <v>0</v>
      </c>
      <c r="BU560">
        <f t="shared" si="295"/>
        <v>17</v>
      </c>
      <c r="CP560">
        <f>IF(包装物料出入库明细!$D560="",0,1)</f>
        <v>0</v>
      </c>
      <c r="CQ560">
        <f t="shared" si="296"/>
        <v>37</v>
      </c>
      <c r="CS560" t="str">
        <f>IF(OR(周转筐出入库明细!$C561="",周转筐出入库明细!$F561&lt;&gt;"采购入库"),"",周转筐出入库明细!$C561)</f>
        <v/>
      </c>
      <c r="CT560">
        <f t="shared" si="297"/>
        <v>0</v>
      </c>
      <c r="CU560">
        <f t="shared" si="298"/>
        <v>1</v>
      </c>
    </row>
    <row r="561" spans="1:99">
      <c r="A561" t="str">
        <f>IF(包装物料出入库明细!$E561="","",包装物料出入库明细!$E561)</f>
        <v/>
      </c>
      <c r="B561">
        <f t="shared" si="278"/>
        <v>0</v>
      </c>
      <c r="C561">
        <f t="shared" si="279"/>
        <v>7</v>
      </c>
      <c r="D561" t="str">
        <f>IF(包装物料出入库明细!$E561="","",包装物料出入库明细!$F561)</f>
        <v/>
      </c>
      <c r="E561" t="str">
        <f>IF(包装物料出入库明细!$E561="","",包装物料出入库明细!$G561)</f>
        <v/>
      </c>
      <c r="K561" t="str">
        <f>IF(包装物料出入库明细!$D561="","",包装物料出入库明细!$D561)</f>
        <v/>
      </c>
      <c r="L561">
        <f t="shared" si="280"/>
        <v>0</v>
      </c>
      <c r="M561">
        <f t="shared" si="281"/>
        <v>9</v>
      </c>
      <c r="Q561" t="str">
        <f>IF(周转筐出入库明细!$D562="","",周转筐出入库明细!$D562)</f>
        <v/>
      </c>
      <c r="R561">
        <f t="shared" si="282"/>
        <v>0</v>
      </c>
      <c r="S561">
        <f t="shared" si="283"/>
        <v>5</v>
      </c>
      <c r="W561" t="str">
        <f>IF(周转筐出入库明细!$C562="","",周转筐出入库明细!$C562)</f>
        <v/>
      </c>
      <c r="X561">
        <f t="shared" si="284"/>
        <v>0</v>
      </c>
      <c r="Y561">
        <f t="shared" si="285"/>
        <v>12</v>
      </c>
      <c r="AC561" t="str">
        <f>IF(客户自备加工筐明细!$C561="","",客户自备加工筐明细!$C561)</f>
        <v/>
      </c>
      <c r="AD561">
        <f t="shared" si="286"/>
        <v>0</v>
      </c>
      <c r="AE561">
        <f t="shared" si="287"/>
        <v>1</v>
      </c>
      <c r="AI561" t="str">
        <f>IF(客户自备加工筐明细!$E561="","",客户自备加工筐明细!$E561)</f>
        <v/>
      </c>
      <c r="AJ561">
        <f t="shared" si="288"/>
        <v>0</v>
      </c>
      <c r="AK561">
        <f t="shared" si="289"/>
        <v>1</v>
      </c>
      <c r="AO561" t="str">
        <f>IF(次果筐明细!$D561="","",次果筐明细!$D561)</f>
        <v/>
      </c>
      <c r="AP561">
        <f t="shared" si="290"/>
        <v>0</v>
      </c>
      <c r="AQ561">
        <f t="shared" si="291"/>
        <v>1</v>
      </c>
      <c r="AU561" t="str">
        <f>IF(次果筐明细!$C561="","",次果筐明细!$C561)</f>
        <v/>
      </c>
      <c r="AV561">
        <f t="shared" si="292"/>
        <v>0</v>
      </c>
      <c r="AW561">
        <f t="shared" si="293"/>
        <v>1</v>
      </c>
      <c r="BS561" t="str">
        <f t="shared" si="299"/>
        <v/>
      </c>
      <c r="BT561">
        <f t="shared" si="294"/>
        <v>0</v>
      </c>
      <c r="BU561">
        <f t="shared" si="295"/>
        <v>17</v>
      </c>
      <c r="CP561">
        <f>IF(包装物料出入库明细!$D561="",0,1)</f>
        <v>0</v>
      </c>
      <c r="CQ561">
        <f t="shared" si="296"/>
        <v>37</v>
      </c>
      <c r="CS561" t="str">
        <f>IF(OR(周转筐出入库明细!$C562="",周转筐出入库明细!$F562&lt;&gt;"采购入库"),"",周转筐出入库明细!$C562)</f>
        <v/>
      </c>
      <c r="CT561">
        <f t="shared" si="297"/>
        <v>0</v>
      </c>
      <c r="CU561">
        <f t="shared" si="298"/>
        <v>1</v>
      </c>
    </row>
    <row r="562" spans="1:99">
      <c r="A562" t="str">
        <f>IF(包装物料出入库明细!$E562="","",包装物料出入库明细!$E562)</f>
        <v/>
      </c>
      <c r="B562">
        <f t="shared" si="278"/>
        <v>0</v>
      </c>
      <c r="C562">
        <f t="shared" si="279"/>
        <v>7</v>
      </c>
      <c r="D562" t="str">
        <f>IF(包装物料出入库明细!$E562="","",包装物料出入库明细!$F562)</f>
        <v/>
      </c>
      <c r="E562" t="str">
        <f>IF(包装物料出入库明细!$E562="","",包装物料出入库明细!$G562)</f>
        <v/>
      </c>
      <c r="K562" t="str">
        <f>IF(包装物料出入库明细!$D562="","",包装物料出入库明细!$D562)</f>
        <v/>
      </c>
      <c r="L562">
        <f t="shared" si="280"/>
        <v>0</v>
      </c>
      <c r="M562">
        <f t="shared" si="281"/>
        <v>9</v>
      </c>
      <c r="Q562" t="str">
        <f>IF(周转筐出入库明细!$D563="","",周转筐出入库明细!$D563)</f>
        <v/>
      </c>
      <c r="R562">
        <f t="shared" si="282"/>
        <v>0</v>
      </c>
      <c r="S562">
        <f t="shared" si="283"/>
        <v>5</v>
      </c>
      <c r="W562" t="str">
        <f>IF(周转筐出入库明细!$C563="","",周转筐出入库明细!$C563)</f>
        <v/>
      </c>
      <c r="X562">
        <f t="shared" si="284"/>
        <v>0</v>
      </c>
      <c r="Y562">
        <f t="shared" si="285"/>
        <v>12</v>
      </c>
      <c r="AC562" t="str">
        <f>IF(客户自备加工筐明细!$C562="","",客户自备加工筐明细!$C562)</f>
        <v/>
      </c>
      <c r="AD562">
        <f t="shared" si="286"/>
        <v>0</v>
      </c>
      <c r="AE562">
        <f t="shared" si="287"/>
        <v>1</v>
      </c>
      <c r="AI562" t="str">
        <f>IF(客户自备加工筐明细!$E562="","",客户自备加工筐明细!$E562)</f>
        <v/>
      </c>
      <c r="AJ562">
        <f t="shared" si="288"/>
        <v>0</v>
      </c>
      <c r="AK562">
        <f t="shared" si="289"/>
        <v>1</v>
      </c>
      <c r="AO562" t="str">
        <f>IF(次果筐明细!$D562="","",次果筐明细!$D562)</f>
        <v/>
      </c>
      <c r="AP562">
        <f t="shared" si="290"/>
        <v>0</v>
      </c>
      <c r="AQ562">
        <f t="shared" si="291"/>
        <v>1</v>
      </c>
      <c r="AU562" t="str">
        <f>IF(次果筐明细!$C562="","",次果筐明细!$C562)</f>
        <v/>
      </c>
      <c r="AV562">
        <f t="shared" si="292"/>
        <v>0</v>
      </c>
      <c r="AW562">
        <f t="shared" si="293"/>
        <v>1</v>
      </c>
      <c r="BS562" t="str">
        <f t="shared" si="299"/>
        <v/>
      </c>
      <c r="BT562">
        <f t="shared" si="294"/>
        <v>0</v>
      </c>
      <c r="BU562">
        <f t="shared" si="295"/>
        <v>17</v>
      </c>
      <c r="CP562">
        <f>IF(包装物料出入库明细!$D562="",0,1)</f>
        <v>0</v>
      </c>
      <c r="CQ562">
        <f t="shared" si="296"/>
        <v>37</v>
      </c>
      <c r="CS562" t="str">
        <f>IF(OR(周转筐出入库明细!$C563="",周转筐出入库明细!$F563&lt;&gt;"采购入库"),"",周转筐出入库明细!$C563)</f>
        <v/>
      </c>
      <c r="CT562">
        <f t="shared" si="297"/>
        <v>0</v>
      </c>
      <c r="CU562">
        <f t="shared" si="298"/>
        <v>1</v>
      </c>
    </row>
    <row r="563" spans="1:99">
      <c r="A563" t="str">
        <f>IF(包装物料出入库明细!$E563="","",包装物料出入库明细!$E563)</f>
        <v/>
      </c>
      <c r="B563">
        <f t="shared" si="278"/>
        <v>0</v>
      </c>
      <c r="C563">
        <f t="shared" si="279"/>
        <v>7</v>
      </c>
      <c r="D563" t="str">
        <f>IF(包装物料出入库明细!$E563="","",包装物料出入库明细!$F563)</f>
        <v/>
      </c>
      <c r="E563" t="str">
        <f>IF(包装物料出入库明细!$E563="","",包装物料出入库明细!$G563)</f>
        <v/>
      </c>
      <c r="K563" t="str">
        <f>IF(包装物料出入库明细!$D563="","",包装物料出入库明细!$D563)</f>
        <v/>
      </c>
      <c r="L563">
        <f t="shared" si="280"/>
        <v>0</v>
      </c>
      <c r="M563">
        <f t="shared" si="281"/>
        <v>9</v>
      </c>
      <c r="Q563" t="str">
        <f>IF(周转筐出入库明细!$D564="","",周转筐出入库明细!$D564)</f>
        <v/>
      </c>
      <c r="R563">
        <f t="shared" si="282"/>
        <v>0</v>
      </c>
      <c r="S563">
        <f t="shared" si="283"/>
        <v>5</v>
      </c>
      <c r="W563" t="str">
        <f>IF(周转筐出入库明细!$C564="","",周转筐出入库明细!$C564)</f>
        <v/>
      </c>
      <c r="X563">
        <f t="shared" si="284"/>
        <v>0</v>
      </c>
      <c r="Y563">
        <f t="shared" si="285"/>
        <v>12</v>
      </c>
      <c r="AC563" t="str">
        <f>IF(客户自备加工筐明细!$C563="","",客户自备加工筐明细!$C563)</f>
        <v/>
      </c>
      <c r="AD563">
        <f t="shared" si="286"/>
        <v>0</v>
      </c>
      <c r="AE563">
        <f t="shared" si="287"/>
        <v>1</v>
      </c>
      <c r="AI563" t="str">
        <f>IF(客户自备加工筐明细!$E563="","",客户自备加工筐明细!$E563)</f>
        <v/>
      </c>
      <c r="AJ563">
        <f t="shared" si="288"/>
        <v>0</v>
      </c>
      <c r="AK563">
        <f t="shared" si="289"/>
        <v>1</v>
      </c>
      <c r="AO563" t="str">
        <f>IF(次果筐明细!$D563="","",次果筐明细!$D563)</f>
        <v/>
      </c>
      <c r="AP563">
        <f t="shared" si="290"/>
        <v>0</v>
      </c>
      <c r="AQ563">
        <f t="shared" si="291"/>
        <v>1</v>
      </c>
      <c r="AU563" t="str">
        <f>IF(次果筐明细!$C563="","",次果筐明细!$C563)</f>
        <v/>
      </c>
      <c r="AV563">
        <f t="shared" si="292"/>
        <v>0</v>
      </c>
      <c r="AW563">
        <f t="shared" si="293"/>
        <v>1</v>
      </c>
      <c r="BS563" t="str">
        <f t="shared" si="299"/>
        <v/>
      </c>
      <c r="BT563">
        <f t="shared" si="294"/>
        <v>0</v>
      </c>
      <c r="BU563">
        <f t="shared" si="295"/>
        <v>17</v>
      </c>
      <c r="CP563">
        <f>IF(包装物料出入库明细!$D563="",0,1)</f>
        <v>0</v>
      </c>
      <c r="CQ563">
        <f t="shared" si="296"/>
        <v>37</v>
      </c>
      <c r="CS563" t="str">
        <f>IF(OR(周转筐出入库明细!$C564="",周转筐出入库明细!$F564&lt;&gt;"采购入库"),"",周转筐出入库明细!$C564)</f>
        <v/>
      </c>
      <c r="CT563">
        <f t="shared" si="297"/>
        <v>0</v>
      </c>
      <c r="CU563">
        <f t="shared" si="298"/>
        <v>1</v>
      </c>
    </row>
    <row r="564" spans="1:99">
      <c r="A564" t="str">
        <f>IF(包装物料出入库明细!$E564="","",包装物料出入库明细!$E564)</f>
        <v/>
      </c>
      <c r="B564">
        <f t="shared" si="278"/>
        <v>0</v>
      </c>
      <c r="C564">
        <f t="shared" si="279"/>
        <v>7</v>
      </c>
      <c r="D564" t="str">
        <f>IF(包装物料出入库明细!$E564="","",包装物料出入库明细!$F564)</f>
        <v/>
      </c>
      <c r="E564" t="str">
        <f>IF(包装物料出入库明细!$E564="","",包装物料出入库明细!$G564)</f>
        <v/>
      </c>
      <c r="K564" t="str">
        <f>IF(包装物料出入库明细!$D564="","",包装物料出入库明细!$D564)</f>
        <v/>
      </c>
      <c r="L564">
        <f t="shared" si="280"/>
        <v>0</v>
      </c>
      <c r="M564">
        <f t="shared" si="281"/>
        <v>9</v>
      </c>
      <c r="Q564" t="str">
        <f>IF(周转筐出入库明细!$D565="","",周转筐出入库明细!$D565)</f>
        <v/>
      </c>
      <c r="R564">
        <f t="shared" si="282"/>
        <v>0</v>
      </c>
      <c r="S564">
        <f t="shared" si="283"/>
        <v>5</v>
      </c>
      <c r="W564" t="str">
        <f>IF(周转筐出入库明细!$C565="","",周转筐出入库明细!$C565)</f>
        <v/>
      </c>
      <c r="X564">
        <f t="shared" si="284"/>
        <v>0</v>
      </c>
      <c r="Y564">
        <f t="shared" si="285"/>
        <v>12</v>
      </c>
      <c r="AC564" t="str">
        <f>IF(客户自备加工筐明细!$C564="","",客户自备加工筐明细!$C564)</f>
        <v/>
      </c>
      <c r="AD564">
        <f t="shared" si="286"/>
        <v>0</v>
      </c>
      <c r="AE564">
        <f t="shared" si="287"/>
        <v>1</v>
      </c>
      <c r="AI564" t="str">
        <f>IF(客户自备加工筐明细!$E564="","",客户自备加工筐明细!$E564)</f>
        <v/>
      </c>
      <c r="AJ564">
        <f t="shared" si="288"/>
        <v>0</v>
      </c>
      <c r="AK564">
        <f t="shared" si="289"/>
        <v>1</v>
      </c>
      <c r="AO564" t="str">
        <f>IF(次果筐明细!$D564="","",次果筐明细!$D564)</f>
        <v/>
      </c>
      <c r="AP564">
        <f t="shared" si="290"/>
        <v>0</v>
      </c>
      <c r="AQ564">
        <f t="shared" si="291"/>
        <v>1</v>
      </c>
      <c r="AU564" t="str">
        <f>IF(次果筐明细!$C564="","",次果筐明细!$C564)</f>
        <v/>
      </c>
      <c r="AV564">
        <f t="shared" si="292"/>
        <v>0</v>
      </c>
      <c r="AW564">
        <f t="shared" si="293"/>
        <v>1</v>
      </c>
      <c r="BS564" t="str">
        <f t="shared" si="299"/>
        <v/>
      </c>
      <c r="BT564">
        <f t="shared" si="294"/>
        <v>0</v>
      </c>
      <c r="BU564">
        <f t="shared" si="295"/>
        <v>17</v>
      </c>
      <c r="CP564">
        <f>IF(包装物料出入库明细!$D564="",0,1)</f>
        <v>0</v>
      </c>
      <c r="CQ564">
        <f t="shared" si="296"/>
        <v>37</v>
      </c>
      <c r="CS564" t="str">
        <f>IF(OR(周转筐出入库明细!$C565="",周转筐出入库明细!$F565&lt;&gt;"采购入库"),"",周转筐出入库明细!$C565)</f>
        <v/>
      </c>
      <c r="CT564">
        <f t="shared" si="297"/>
        <v>0</v>
      </c>
      <c r="CU564">
        <f t="shared" si="298"/>
        <v>1</v>
      </c>
    </row>
    <row r="565" spans="1:99">
      <c r="A565" t="str">
        <f>IF(包装物料出入库明细!$E565="","",包装物料出入库明细!$E565)</f>
        <v/>
      </c>
      <c r="B565">
        <f t="shared" si="278"/>
        <v>0</v>
      </c>
      <c r="C565">
        <f t="shared" si="279"/>
        <v>7</v>
      </c>
      <c r="D565" t="str">
        <f>IF(包装物料出入库明细!$E565="","",包装物料出入库明细!$F565)</f>
        <v/>
      </c>
      <c r="E565" t="str">
        <f>IF(包装物料出入库明细!$E565="","",包装物料出入库明细!$G565)</f>
        <v/>
      </c>
      <c r="K565" t="str">
        <f>IF(包装物料出入库明细!$D565="","",包装物料出入库明细!$D565)</f>
        <v/>
      </c>
      <c r="L565">
        <f t="shared" si="280"/>
        <v>0</v>
      </c>
      <c r="M565">
        <f t="shared" si="281"/>
        <v>9</v>
      </c>
      <c r="Q565" t="str">
        <f>IF(周转筐出入库明细!$D566="","",周转筐出入库明细!$D566)</f>
        <v/>
      </c>
      <c r="R565">
        <f t="shared" si="282"/>
        <v>0</v>
      </c>
      <c r="S565">
        <f t="shared" si="283"/>
        <v>5</v>
      </c>
      <c r="W565" t="str">
        <f>IF(周转筐出入库明细!$C566="","",周转筐出入库明细!$C566)</f>
        <v/>
      </c>
      <c r="X565">
        <f t="shared" si="284"/>
        <v>0</v>
      </c>
      <c r="Y565">
        <f t="shared" si="285"/>
        <v>12</v>
      </c>
      <c r="AC565" t="str">
        <f>IF(客户自备加工筐明细!$C565="","",客户自备加工筐明细!$C565)</f>
        <v/>
      </c>
      <c r="AD565">
        <f t="shared" si="286"/>
        <v>0</v>
      </c>
      <c r="AE565">
        <f t="shared" si="287"/>
        <v>1</v>
      </c>
      <c r="AI565" t="str">
        <f>IF(客户自备加工筐明细!$E565="","",客户自备加工筐明细!$E565)</f>
        <v/>
      </c>
      <c r="AJ565">
        <f t="shared" si="288"/>
        <v>0</v>
      </c>
      <c r="AK565">
        <f t="shared" si="289"/>
        <v>1</v>
      </c>
      <c r="AO565" t="str">
        <f>IF(次果筐明细!$D565="","",次果筐明细!$D565)</f>
        <v/>
      </c>
      <c r="AP565">
        <f t="shared" si="290"/>
        <v>0</v>
      </c>
      <c r="AQ565">
        <f t="shared" si="291"/>
        <v>1</v>
      </c>
      <c r="AU565" t="str">
        <f>IF(次果筐明细!$C565="","",次果筐明细!$C565)</f>
        <v/>
      </c>
      <c r="AV565">
        <f t="shared" si="292"/>
        <v>0</v>
      </c>
      <c r="AW565">
        <f t="shared" si="293"/>
        <v>1</v>
      </c>
      <c r="BS565" t="str">
        <f t="shared" si="299"/>
        <v/>
      </c>
      <c r="BT565">
        <f t="shared" si="294"/>
        <v>0</v>
      </c>
      <c r="BU565">
        <f t="shared" si="295"/>
        <v>17</v>
      </c>
      <c r="CP565">
        <f>IF(包装物料出入库明细!$D565="",0,1)</f>
        <v>0</v>
      </c>
      <c r="CQ565">
        <f t="shared" si="296"/>
        <v>37</v>
      </c>
      <c r="CS565" t="str">
        <f>IF(OR(周转筐出入库明细!$C566="",周转筐出入库明细!$F566&lt;&gt;"采购入库"),"",周转筐出入库明细!$C566)</f>
        <v/>
      </c>
      <c r="CT565">
        <f t="shared" si="297"/>
        <v>0</v>
      </c>
      <c r="CU565">
        <f t="shared" si="298"/>
        <v>1</v>
      </c>
    </row>
    <row r="566" spans="1:99">
      <c r="A566" t="str">
        <f>IF(包装物料出入库明细!$E566="","",包装物料出入库明细!$E566)</f>
        <v/>
      </c>
      <c r="B566">
        <f t="shared" si="278"/>
        <v>0</v>
      </c>
      <c r="C566">
        <f t="shared" si="279"/>
        <v>7</v>
      </c>
      <c r="D566" t="str">
        <f>IF(包装物料出入库明细!$E566="","",包装物料出入库明细!$F566)</f>
        <v/>
      </c>
      <c r="E566" t="str">
        <f>IF(包装物料出入库明细!$E566="","",包装物料出入库明细!$G566)</f>
        <v/>
      </c>
      <c r="K566" t="str">
        <f>IF(包装物料出入库明细!$D566="","",包装物料出入库明细!$D566)</f>
        <v/>
      </c>
      <c r="L566">
        <f t="shared" si="280"/>
        <v>0</v>
      </c>
      <c r="M566">
        <f t="shared" si="281"/>
        <v>9</v>
      </c>
      <c r="Q566" t="str">
        <f>IF(周转筐出入库明细!$D567="","",周转筐出入库明细!$D567)</f>
        <v/>
      </c>
      <c r="R566">
        <f t="shared" si="282"/>
        <v>0</v>
      </c>
      <c r="S566">
        <f t="shared" si="283"/>
        <v>5</v>
      </c>
      <c r="W566" t="str">
        <f>IF(周转筐出入库明细!$C567="","",周转筐出入库明细!$C567)</f>
        <v/>
      </c>
      <c r="X566">
        <f t="shared" si="284"/>
        <v>0</v>
      </c>
      <c r="Y566">
        <f t="shared" si="285"/>
        <v>12</v>
      </c>
      <c r="AC566" t="str">
        <f>IF(客户自备加工筐明细!$C566="","",客户自备加工筐明细!$C566)</f>
        <v/>
      </c>
      <c r="AD566">
        <f t="shared" si="286"/>
        <v>0</v>
      </c>
      <c r="AE566">
        <f t="shared" si="287"/>
        <v>1</v>
      </c>
      <c r="AI566" t="str">
        <f>IF(客户自备加工筐明细!$E566="","",客户自备加工筐明细!$E566)</f>
        <v/>
      </c>
      <c r="AJ566">
        <f t="shared" si="288"/>
        <v>0</v>
      </c>
      <c r="AK566">
        <f t="shared" si="289"/>
        <v>1</v>
      </c>
      <c r="AO566" t="str">
        <f>IF(次果筐明细!$D566="","",次果筐明细!$D566)</f>
        <v/>
      </c>
      <c r="AP566">
        <f t="shared" si="290"/>
        <v>0</v>
      </c>
      <c r="AQ566">
        <f t="shared" si="291"/>
        <v>1</v>
      </c>
      <c r="AU566" t="str">
        <f>IF(次果筐明细!$C566="","",次果筐明细!$C566)</f>
        <v/>
      </c>
      <c r="AV566">
        <f t="shared" si="292"/>
        <v>0</v>
      </c>
      <c r="AW566">
        <f t="shared" si="293"/>
        <v>1</v>
      </c>
      <c r="BS566" t="str">
        <f t="shared" si="299"/>
        <v/>
      </c>
      <c r="BT566">
        <f t="shared" si="294"/>
        <v>0</v>
      </c>
      <c r="BU566">
        <f t="shared" si="295"/>
        <v>17</v>
      </c>
      <c r="CP566">
        <f>IF(包装物料出入库明细!$D566="",0,1)</f>
        <v>0</v>
      </c>
      <c r="CQ566">
        <f t="shared" si="296"/>
        <v>37</v>
      </c>
      <c r="CS566" t="str">
        <f>IF(OR(周转筐出入库明细!$C567="",周转筐出入库明细!$F567&lt;&gt;"采购入库"),"",周转筐出入库明细!$C567)</f>
        <v/>
      </c>
      <c r="CT566">
        <f t="shared" si="297"/>
        <v>0</v>
      </c>
      <c r="CU566">
        <f t="shared" si="298"/>
        <v>1</v>
      </c>
    </row>
    <row r="567" spans="1:99">
      <c r="A567" t="str">
        <f>IF(包装物料出入库明细!$E567="","",包装物料出入库明细!$E567)</f>
        <v/>
      </c>
      <c r="B567">
        <f t="shared" si="278"/>
        <v>0</v>
      </c>
      <c r="C567">
        <f t="shared" si="279"/>
        <v>7</v>
      </c>
      <c r="D567" t="str">
        <f>IF(包装物料出入库明细!$E567="","",包装物料出入库明细!$F567)</f>
        <v/>
      </c>
      <c r="E567" t="str">
        <f>IF(包装物料出入库明细!$E567="","",包装物料出入库明细!$G567)</f>
        <v/>
      </c>
      <c r="K567" t="str">
        <f>IF(包装物料出入库明细!$D567="","",包装物料出入库明细!$D567)</f>
        <v/>
      </c>
      <c r="L567">
        <f t="shared" si="280"/>
        <v>0</v>
      </c>
      <c r="M567">
        <f t="shared" si="281"/>
        <v>9</v>
      </c>
      <c r="Q567" t="str">
        <f>IF(周转筐出入库明细!$D568="","",周转筐出入库明细!$D568)</f>
        <v/>
      </c>
      <c r="R567">
        <f t="shared" si="282"/>
        <v>0</v>
      </c>
      <c r="S567">
        <f t="shared" si="283"/>
        <v>5</v>
      </c>
      <c r="W567" t="str">
        <f>IF(周转筐出入库明细!$C568="","",周转筐出入库明细!$C568)</f>
        <v/>
      </c>
      <c r="X567">
        <f t="shared" si="284"/>
        <v>0</v>
      </c>
      <c r="Y567">
        <f t="shared" si="285"/>
        <v>12</v>
      </c>
      <c r="AC567" t="str">
        <f>IF(客户自备加工筐明细!$C567="","",客户自备加工筐明细!$C567)</f>
        <v/>
      </c>
      <c r="AD567">
        <f t="shared" si="286"/>
        <v>0</v>
      </c>
      <c r="AE567">
        <f t="shared" si="287"/>
        <v>1</v>
      </c>
      <c r="AI567" t="str">
        <f>IF(客户自备加工筐明细!$E567="","",客户自备加工筐明细!$E567)</f>
        <v/>
      </c>
      <c r="AJ567">
        <f t="shared" si="288"/>
        <v>0</v>
      </c>
      <c r="AK567">
        <f t="shared" si="289"/>
        <v>1</v>
      </c>
      <c r="AO567" t="str">
        <f>IF(次果筐明细!$D567="","",次果筐明细!$D567)</f>
        <v/>
      </c>
      <c r="AP567">
        <f t="shared" si="290"/>
        <v>0</v>
      </c>
      <c r="AQ567">
        <f t="shared" si="291"/>
        <v>1</v>
      </c>
      <c r="AU567" t="str">
        <f>IF(次果筐明细!$C567="","",次果筐明细!$C567)</f>
        <v/>
      </c>
      <c r="AV567">
        <f t="shared" si="292"/>
        <v>0</v>
      </c>
      <c r="AW567">
        <f t="shared" si="293"/>
        <v>1</v>
      </c>
      <c r="BS567" t="str">
        <f t="shared" si="299"/>
        <v/>
      </c>
      <c r="BT567">
        <f t="shared" si="294"/>
        <v>0</v>
      </c>
      <c r="BU567">
        <f t="shared" si="295"/>
        <v>17</v>
      </c>
      <c r="CP567">
        <f>IF(包装物料出入库明细!$D567="",0,1)</f>
        <v>0</v>
      </c>
      <c r="CQ567">
        <f t="shared" si="296"/>
        <v>37</v>
      </c>
      <c r="CS567" t="str">
        <f>IF(OR(周转筐出入库明细!$C568="",周转筐出入库明细!$F568&lt;&gt;"采购入库"),"",周转筐出入库明细!$C568)</f>
        <v/>
      </c>
      <c r="CT567">
        <f t="shared" si="297"/>
        <v>0</v>
      </c>
      <c r="CU567">
        <f t="shared" si="298"/>
        <v>1</v>
      </c>
    </row>
    <row r="568" spans="1:99">
      <c r="A568" t="str">
        <f>IF(包装物料出入库明细!$E568="","",包装物料出入库明细!$E568)</f>
        <v/>
      </c>
      <c r="B568">
        <f t="shared" si="278"/>
        <v>0</v>
      </c>
      <c r="C568">
        <f t="shared" si="279"/>
        <v>7</v>
      </c>
      <c r="D568" t="str">
        <f>IF(包装物料出入库明细!$E568="","",包装物料出入库明细!$F568)</f>
        <v/>
      </c>
      <c r="E568" t="str">
        <f>IF(包装物料出入库明细!$E568="","",包装物料出入库明细!$G568)</f>
        <v/>
      </c>
      <c r="K568" t="str">
        <f>IF(包装物料出入库明细!$D568="","",包装物料出入库明细!$D568)</f>
        <v/>
      </c>
      <c r="L568">
        <f t="shared" si="280"/>
        <v>0</v>
      </c>
      <c r="M568">
        <f t="shared" si="281"/>
        <v>9</v>
      </c>
      <c r="Q568" t="str">
        <f>IF(周转筐出入库明细!$D569="","",周转筐出入库明细!$D569)</f>
        <v/>
      </c>
      <c r="R568">
        <f t="shared" si="282"/>
        <v>0</v>
      </c>
      <c r="S568">
        <f t="shared" si="283"/>
        <v>5</v>
      </c>
      <c r="W568" t="str">
        <f>IF(周转筐出入库明细!$C569="","",周转筐出入库明细!$C569)</f>
        <v/>
      </c>
      <c r="X568">
        <f t="shared" si="284"/>
        <v>0</v>
      </c>
      <c r="Y568">
        <f t="shared" si="285"/>
        <v>12</v>
      </c>
      <c r="AC568" t="str">
        <f>IF(客户自备加工筐明细!$C568="","",客户自备加工筐明细!$C568)</f>
        <v/>
      </c>
      <c r="AD568">
        <f t="shared" si="286"/>
        <v>0</v>
      </c>
      <c r="AE568">
        <f t="shared" si="287"/>
        <v>1</v>
      </c>
      <c r="AI568" t="str">
        <f>IF(客户自备加工筐明细!$E568="","",客户自备加工筐明细!$E568)</f>
        <v/>
      </c>
      <c r="AJ568">
        <f t="shared" si="288"/>
        <v>0</v>
      </c>
      <c r="AK568">
        <f t="shared" si="289"/>
        <v>1</v>
      </c>
      <c r="AO568" t="str">
        <f>IF(次果筐明细!$D568="","",次果筐明细!$D568)</f>
        <v/>
      </c>
      <c r="AP568">
        <f t="shared" si="290"/>
        <v>0</v>
      </c>
      <c r="AQ568">
        <f t="shared" si="291"/>
        <v>1</v>
      </c>
      <c r="AU568" t="str">
        <f>IF(次果筐明细!$C568="","",次果筐明细!$C568)</f>
        <v/>
      </c>
      <c r="AV568">
        <f t="shared" si="292"/>
        <v>0</v>
      </c>
      <c r="AW568">
        <f t="shared" si="293"/>
        <v>1</v>
      </c>
      <c r="BS568" t="str">
        <f t="shared" si="299"/>
        <v/>
      </c>
      <c r="BT568">
        <f t="shared" si="294"/>
        <v>0</v>
      </c>
      <c r="BU568">
        <f t="shared" si="295"/>
        <v>17</v>
      </c>
      <c r="CP568">
        <f>IF(包装物料出入库明细!$D568="",0,1)</f>
        <v>0</v>
      </c>
      <c r="CQ568">
        <f t="shared" si="296"/>
        <v>37</v>
      </c>
      <c r="CS568" t="str">
        <f>IF(OR(周转筐出入库明细!$C569="",周转筐出入库明细!$F569&lt;&gt;"采购入库"),"",周转筐出入库明细!$C569)</f>
        <v/>
      </c>
      <c r="CT568">
        <f t="shared" si="297"/>
        <v>0</v>
      </c>
      <c r="CU568">
        <f t="shared" si="298"/>
        <v>1</v>
      </c>
    </row>
    <row r="569" spans="1:99">
      <c r="A569" t="str">
        <f>IF(包装物料出入库明细!$E569="","",包装物料出入库明细!$E569)</f>
        <v/>
      </c>
      <c r="B569">
        <f t="shared" si="278"/>
        <v>0</v>
      </c>
      <c r="C569">
        <f t="shared" si="279"/>
        <v>7</v>
      </c>
      <c r="D569" t="str">
        <f>IF(包装物料出入库明细!$E569="","",包装物料出入库明细!$F569)</f>
        <v/>
      </c>
      <c r="E569" t="str">
        <f>IF(包装物料出入库明细!$E569="","",包装物料出入库明细!$G569)</f>
        <v/>
      </c>
      <c r="K569" t="str">
        <f>IF(包装物料出入库明细!$D569="","",包装物料出入库明细!$D569)</f>
        <v/>
      </c>
      <c r="L569">
        <f t="shared" si="280"/>
        <v>0</v>
      </c>
      <c r="M569">
        <f t="shared" si="281"/>
        <v>9</v>
      </c>
      <c r="Q569" t="str">
        <f>IF(周转筐出入库明细!$D570="","",周转筐出入库明细!$D570)</f>
        <v/>
      </c>
      <c r="R569">
        <f t="shared" si="282"/>
        <v>0</v>
      </c>
      <c r="S569">
        <f t="shared" si="283"/>
        <v>5</v>
      </c>
      <c r="W569" t="str">
        <f>IF(周转筐出入库明细!$C570="","",周转筐出入库明细!$C570)</f>
        <v/>
      </c>
      <c r="X569">
        <f t="shared" si="284"/>
        <v>0</v>
      </c>
      <c r="Y569">
        <f t="shared" si="285"/>
        <v>12</v>
      </c>
      <c r="AC569" t="str">
        <f>IF(客户自备加工筐明细!$C569="","",客户自备加工筐明细!$C569)</f>
        <v/>
      </c>
      <c r="AD569">
        <f t="shared" si="286"/>
        <v>0</v>
      </c>
      <c r="AE569">
        <f t="shared" si="287"/>
        <v>1</v>
      </c>
      <c r="AI569" t="str">
        <f>IF(客户自备加工筐明细!$E569="","",客户自备加工筐明细!$E569)</f>
        <v/>
      </c>
      <c r="AJ569">
        <f t="shared" si="288"/>
        <v>0</v>
      </c>
      <c r="AK569">
        <f t="shared" si="289"/>
        <v>1</v>
      </c>
      <c r="AO569" t="str">
        <f>IF(次果筐明细!$D569="","",次果筐明细!$D569)</f>
        <v/>
      </c>
      <c r="AP569">
        <f t="shared" si="290"/>
        <v>0</v>
      </c>
      <c r="AQ569">
        <f t="shared" si="291"/>
        <v>1</v>
      </c>
      <c r="AU569" t="str">
        <f>IF(次果筐明细!$C569="","",次果筐明细!$C569)</f>
        <v/>
      </c>
      <c r="AV569">
        <f t="shared" si="292"/>
        <v>0</v>
      </c>
      <c r="AW569">
        <f t="shared" si="293"/>
        <v>1</v>
      </c>
      <c r="BS569" t="str">
        <f t="shared" si="299"/>
        <v/>
      </c>
      <c r="BT569">
        <f t="shared" si="294"/>
        <v>0</v>
      </c>
      <c r="BU569">
        <f t="shared" si="295"/>
        <v>17</v>
      </c>
      <c r="CP569">
        <f>IF(包装物料出入库明细!$D569="",0,1)</f>
        <v>0</v>
      </c>
      <c r="CQ569">
        <f t="shared" si="296"/>
        <v>37</v>
      </c>
      <c r="CS569" t="str">
        <f>IF(OR(周转筐出入库明细!$C570="",周转筐出入库明细!$F570&lt;&gt;"采购入库"),"",周转筐出入库明细!$C570)</f>
        <v/>
      </c>
      <c r="CT569">
        <f t="shared" si="297"/>
        <v>0</v>
      </c>
      <c r="CU569">
        <f t="shared" si="298"/>
        <v>1</v>
      </c>
    </row>
    <row r="570" spans="1:99">
      <c r="A570" t="str">
        <f>IF(包装物料出入库明细!$E570="","",包装物料出入库明细!$E570)</f>
        <v/>
      </c>
      <c r="B570">
        <f t="shared" si="278"/>
        <v>0</v>
      </c>
      <c r="C570">
        <f t="shared" si="279"/>
        <v>7</v>
      </c>
      <c r="D570" t="str">
        <f>IF(包装物料出入库明细!$E570="","",包装物料出入库明细!$F570)</f>
        <v/>
      </c>
      <c r="E570" t="str">
        <f>IF(包装物料出入库明细!$E570="","",包装物料出入库明细!$G570)</f>
        <v/>
      </c>
      <c r="K570" t="str">
        <f>IF(包装物料出入库明细!$D570="","",包装物料出入库明细!$D570)</f>
        <v/>
      </c>
      <c r="L570">
        <f t="shared" si="280"/>
        <v>0</v>
      </c>
      <c r="M570">
        <f t="shared" si="281"/>
        <v>9</v>
      </c>
      <c r="Q570" t="str">
        <f>IF(周转筐出入库明细!$D571="","",周转筐出入库明细!$D571)</f>
        <v/>
      </c>
      <c r="R570">
        <f t="shared" si="282"/>
        <v>0</v>
      </c>
      <c r="S570">
        <f t="shared" si="283"/>
        <v>5</v>
      </c>
      <c r="W570" t="str">
        <f>IF(周转筐出入库明细!$C571="","",周转筐出入库明细!$C571)</f>
        <v/>
      </c>
      <c r="X570">
        <f t="shared" si="284"/>
        <v>0</v>
      </c>
      <c r="Y570">
        <f t="shared" si="285"/>
        <v>12</v>
      </c>
      <c r="AC570" t="str">
        <f>IF(客户自备加工筐明细!$C570="","",客户自备加工筐明细!$C570)</f>
        <v/>
      </c>
      <c r="AD570">
        <f t="shared" si="286"/>
        <v>0</v>
      </c>
      <c r="AE570">
        <f t="shared" si="287"/>
        <v>1</v>
      </c>
      <c r="AI570" t="str">
        <f>IF(客户自备加工筐明细!$E570="","",客户自备加工筐明细!$E570)</f>
        <v/>
      </c>
      <c r="AJ570">
        <f t="shared" si="288"/>
        <v>0</v>
      </c>
      <c r="AK570">
        <f t="shared" si="289"/>
        <v>1</v>
      </c>
      <c r="AO570" t="str">
        <f>IF(次果筐明细!$D570="","",次果筐明细!$D570)</f>
        <v/>
      </c>
      <c r="AP570">
        <f t="shared" si="290"/>
        <v>0</v>
      </c>
      <c r="AQ570">
        <f t="shared" si="291"/>
        <v>1</v>
      </c>
      <c r="AU570" t="str">
        <f>IF(次果筐明细!$C570="","",次果筐明细!$C570)</f>
        <v/>
      </c>
      <c r="AV570">
        <f t="shared" si="292"/>
        <v>0</v>
      </c>
      <c r="AW570">
        <f t="shared" si="293"/>
        <v>1</v>
      </c>
      <c r="BS570" t="str">
        <f t="shared" si="299"/>
        <v/>
      </c>
      <c r="BT570">
        <f t="shared" si="294"/>
        <v>0</v>
      </c>
      <c r="BU570">
        <f t="shared" si="295"/>
        <v>17</v>
      </c>
      <c r="CP570">
        <f>IF(包装物料出入库明细!$D570="",0,1)</f>
        <v>0</v>
      </c>
      <c r="CQ570">
        <f t="shared" si="296"/>
        <v>37</v>
      </c>
      <c r="CS570" t="str">
        <f>IF(OR(周转筐出入库明细!$C571="",周转筐出入库明细!$F571&lt;&gt;"采购入库"),"",周转筐出入库明细!$C571)</f>
        <v/>
      </c>
      <c r="CT570">
        <f t="shared" si="297"/>
        <v>0</v>
      </c>
      <c r="CU570">
        <f t="shared" si="298"/>
        <v>1</v>
      </c>
    </row>
    <row r="571" spans="1:99">
      <c r="A571" t="str">
        <f>IF(包装物料出入库明细!$E571="","",包装物料出入库明细!$E571)</f>
        <v/>
      </c>
      <c r="B571">
        <f t="shared" si="278"/>
        <v>0</v>
      </c>
      <c r="C571">
        <f t="shared" si="279"/>
        <v>7</v>
      </c>
      <c r="D571" t="str">
        <f>IF(包装物料出入库明细!$E571="","",包装物料出入库明细!$F571)</f>
        <v/>
      </c>
      <c r="E571" t="str">
        <f>IF(包装物料出入库明细!$E571="","",包装物料出入库明细!$G571)</f>
        <v/>
      </c>
      <c r="K571" t="str">
        <f>IF(包装物料出入库明细!$D571="","",包装物料出入库明细!$D571)</f>
        <v/>
      </c>
      <c r="L571">
        <f t="shared" si="280"/>
        <v>0</v>
      </c>
      <c r="M571">
        <f t="shared" si="281"/>
        <v>9</v>
      </c>
      <c r="Q571" t="str">
        <f>IF(周转筐出入库明细!$D572="","",周转筐出入库明细!$D572)</f>
        <v/>
      </c>
      <c r="R571">
        <f t="shared" si="282"/>
        <v>0</v>
      </c>
      <c r="S571">
        <f t="shared" si="283"/>
        <v>5</v>
      </c>
      <c r="W571" t="str">
        <f>IF(周转筐出入库明细!$C572="","",周转筐出入库明细!$C572)</f>
        <v/>
      </c>
      <c r="X571">
        <f t="shared" si="284"/>
        <v>0</v>
      </c>
      <c r="Y571">
        <f t="shared" si="285"/>
        <v>12</v>
      </c>
      <c r="AC571" t="str">
        <f>IF(客户自备加工筐明细!$C571="","",客户自备加工筐明细!$C571)</f>
        <v/>
      </c>
      <c r="AD571">
        <f t="shared" si="286"/>
        <v>0</v>
      </c>
      <c r="AE571">
        <f t="shared" si="287"/>
        <v>1</v>
      </c>
      <c r="AI571" t="str">
        <f>IF(客户自备加工筐明细!$E571="","",客户自备加工筐明细!$E571)</f>
        <v/>
      </c>
      <c r="AJ571">
        <f t="shared" si="288"/>
        <v>0</v>
      </c>
      <c r="AK571">
        <f t="shared" si="289"/>
        <v>1</v>
      </c>
      <c r="AO571" t="str">
        <f>IF(次果筐明细!$D571="","",次果筐明细!$D571)</f>
        <v/>
      </c>
      <c r="AP571">
        <f t="shared" si="290"/>
        <v>0</v>
      </c>
      <c r="AQ571">
        <f t="shared" si="291"/>
        <v>1</v>
      </c>
      <c r="AU571" t="str">
        <f>IF(次果筐明细!$C571="","",次果筐明细!$C571)</f>
        <v/>
      </c>
      <c r="AV571">
        <f t="shared" si="292"/>
        <v>0</v>
      </c>
      <c r="AW571">
        <f t="shared" si="293"/>
        <v>1</v>
      </c>
      <c r="BS571" t="str">
        <f t="shared" si="299"/>
        <v/>
      </c>
      <c r="BT571">
        <f t="shared" si="294"/>
        <v>0</v>
      </c>
      <c r="BU571">
        <f t="shared" si="295"/>
        <v>17</v>
      </c>
      <c r="CP571">
        <f>IF(包装物料出入库明细!$D571="",0,1)</f>
        <v>0</v>
      </c>
      <c r="CQ571">
        <f t="shared" si="296"/>
        <v>37</v>
      </c>
      <c r="CS571" t="str">
        <f>IF(OR(周转筐出入库明细!$C572="",周转筐出入库明细!$F572&lt;&gt;"采购入库"),"",周转筐出入库明细!$C572)</f>
        <v/>
      </c>
      <c r="CT571">
        <f t="shared" si="297"/>
        <v>0</v>
      </c>
      <c r="CU571">
        <f t="shared" si="298"/>
        <v>1</v>
      </c>
    </row>
    <row r="572" spans="1:99">
      <c r="A572" t="str">
        <f>IF(包装物料出入库明细!$E572="","",包装物料出入库明细!$E572)</f>
        <v/>
      </c>
      <c r="B572">
        <f t="shared" si="278"/>
        <v>0</v>
      </c>
      <c r="C572">
        <f t="shared" si="279"/>
        <v>7</v>
      </c>
      <c r="D572" t="str">
        <f>IF(包装物料出入库明细!$E572="","",包装物料出入库明细!$F572)</f>
        <v/>
      </c>
      <c r="E572" t="str">
        <f>IF(包装物料出入库明细!$E572="","",包装物料出入库明细!$G572)</f>
        <v/>
      </c>
      <c r="K572" t="str">
        <f>IF(包装物料出入库明细!$D572="","",包装物料出入库明细!$D572)</f>
        <v/>
      </c>
      <c r="L572">
        <f t="shared" si="280"/>
        <v>0</v>
      </c>
      <c r="M572">
        <f t="shared" si="281"/>
        <v>9</v>
      </c>
      <c r="Q572" t="str">
        <f>IF(周转筐出入库明细!$D573="","",周转筐出入库明细!$D573)</f>
        <v/>
      </c>
      <c r="R572">
        <f t="shared" si="282"/>
        <v>0</v>
      </c>
      <c r="S572">
        <f t="shared" si="283"/>
        <v>5</v>
      </c>
      <c r="W572" t="str">
        <f>IF(周转筐出入库明细!$C573="","",周转筐出入库明细!$C573)</f>
        <v/>
      </c>
      <c r="X572">
        <f t="shared" si="284"/>
        <v>0</v>
      </c>
      <c r="Y572">
        <f t="shared" si="285"/>
        <v>12</v>
      </c>
      <c r="AC572" t="str">
        <f>IF(客户自备加工筐明细!$C572="","",客户自备加工筐明细!$C572)</f>
        <v/>
      </c>
      <c r="AD572">
        <f t="shared" si="286"/>
        <v>0</v>
      </c>
      <c r="AE572">
        <f t="shared" si="287"/>
        <v>1</v>
      </c>
      <c r="AI572" t="str">
        <f>IF(客户自备加工筐明细!$E572="","",客户自备加工筐明细!$E572)</f>
        <v/>
      </c>
      <c r="AJ572">
        <f t="shared" si="288"/>
        <v>0</v>
      </c>
      <c r="AK572">
        <f t="shared" si="289"/>
        <v>1</v>
      </c>
      <c r="AO572" t="str">
        <f>IF(次果筐明细!$D572="","",次果筐明细!$D572)</f>
        <v/>
      </c>
      <c r="AP572">
        <f t="shared" si="290"/>
        <v>0</v>
      </c>
      <c r="AQ572">
        <f t="shared" si="291"/>
        <v>1</v>
      </c>
      <c r="AU572" t="str">
        <f>IF(次果筐明细!$C572="","",次果筐明细!$C572)</f>
        <v/>
      </c>
      <c r="AV572">
        <f t="shared" si="292"/>
        <v>0</v>
      </c>
      <c r="AW572">
        <f t="shared" si="293"/>
        <v>1</v>
      </c>
      <c r="BS572" t="str">
        <f t="shared" si="299"/>
        <v/>
      </c>
      <c r="BT572">
        <f t="shared" si="294"/>
        <v>0</v>
      </c>
      <c r="BU572">
        <f t="shared" si="295"/>
        <v>17</v>
      </c>
      <c r="CP572">
        <f>IF(包装物料出入库明细!$D572="",0,1)</f>
        <v>0</v>
      </c>
      <c r="CQ572">
        <f t="shared" si="296"/>
        <v>37</v>
      </c>
      <c r="CS572" t="str">
        <f>IF(OR(周转筐出入库明细!$C573="",周转筐出入库明细!$F573&lt;&gt;"采购入库"),"",周转筐出入库明细!$C573)</f>
        <v/>
      </c>
      <c r="CT572">
        <f t="shared" si="297"/>
        <v>0</v>
      </c>
      <c r="CU572">
        <f t="shared" si="298"/>
        <v>1</v>
      </c>
    </row>
    <row r="573" spans="1:99">
      <c r="A573" t="str">
        <f>IF(包装物料出入库明细!$E573="","",包装物料出入库明细!$E573)</f>
        <v/>
      </c>
      <c r="B573">
        <f t="shared" si="278"/>
        <v>0</v>
      </c>
      <c r="C573">
        <f t="shared" si="279"/>
        <v>7</v>
      </c>
      <c r="D573" t="str">
        <f>IF(包装物料出入库明细!$E573="","",包装物料出入库明细!$F573)</f>
        <v/>
      </c>
      <c r="E573" t="str">
        <f>IF(包装物料出入库明细!$E573="","",包装物料出入库明细!$G573)</f>
        <v/>
      </c>
      <c r="K573" t="str">
        <f>IF(包装物料出入库明细!$D573="","",包装物料出入库明细!$D573)</f>
        <v/>
      </c>
      <c r="L573">
        <f t="shared" si="280"/>
        <v>0</v>
      </c>
      <c r="M573">
        <f t="shared" si="281"/>
        <v>9</v>
      </c>
      <c r="Q573" t="str">
        <f>IF(周转筐出入库明细!$D574="","",周转筐出入库明细!$D574)</f>
        <v/>
      </c>
      <c r="R573">
        <f t="shared" si="282"/>
        <v>0</v>
      </c>
      <c r="S573">
        <f t="shared" si="283"/>
        <v>5</v>
      </c>
      <c r="W573" t="str">
        <f>IF(周转筐出入库明细!$C574="","",周转筐出入库明细!$C574)</f>
        <v/>
      </c>
      <c r="X573">
        <f t="shared" si="284"/>
        <v>0</v>
      </c>
      <c r="Y573">
        <f t="shared" si="285"/>
        <v>12</v>
      </c>
      <c r="AC573" t="str">
        <f>IF(客户自备加工筐明细!$C573="","",客户自备加工筐明细!$C573)</f>
        <v/>
      </c>
      <c r="AD573">
        <f t="shared" si="286"/>
        <v>0</v>
      </c>
      <c r="AE573">
        <f t="shared" si="287"/>
        <v>1</v>
      </c>
      <c r="AI573" t="str">
        <f>IF(客户自备加工筐明细!$E573="","",客户自备加工筐明细!$E573)</f>
        <v/>
      </c>
      <c r="AJ573">
        <f t="shared" si="288"/>
        <v>0</v>
      </c>
      <c r="AK573">
        <f t="shared" si="289"/>
        <v>1</v>
      </c>
      <c r="AO573" t="str">
        <f>IF(次果筐明细!$D573="","",次果筐明细!$D573)</f>
        <v/>
      </c>
      <c r="AP573">
        <f t="shared" si="290"/>
        <v>0</v>
      </c>
      <c r="AQ573">
        <f t="shared" si="291"/>
        <v>1</v>
      </c>
      <c r="AU573" t="str">
        <f>IF(次果筐明细!$C573="","",次果筐明细!$C573)</f>
        <v/>
      </c>
      <c r="AV573">
        <f t="shared" si="292"/>
        <v>0</v>
      </c>
      <c r="AW573">
        <f t="shared" si="293"/>
        <v>1</v>
      </c>
      <c r="BS573" t="str">
        <f t="shared" si="299"/>
        <v/>
      </c>
      <c r="BT573">
        <f t="shared" si="294"/>
        <v>0</v>
      </c>
      <c r="BU573">
        <f t="shared" si="295"/>
        <v>17</v>
      </c>
      <c r="CP573">
        <f>IF(包装物料出入库明细!$D573="",0,1)</f>
        <v>0</v>
      </c>
      <c r="CQ573">
        <f t="shared" si="296"/>
        <v>37</v>
      </c>
      <c r="CS573" t="str">
        <f>IF(OR(周转筐出入库明细!$C574="",周转筐出入库明细!$F574&lt;&gt;"采购入库"),"",周转筐出入库明细!$C574)</f>
        <v/>
      </c>
      <c r="CT573">
        <f t="shared" si="297"/>
        <v>0</v>
      </c>
      <c r="CU573">
        <f t="shared" si="298"/>
        <v>1</v>
      </c>
    </row>
    <row r="574" spans="1:99">
      <c r="A574" t="str">
        <f>IF(包装物料出入库明细!$E574="","",包装物料出入库明细!$E574)</f>
        <v/>
      </c>
      <c r="B574">
        <f t="shared" si="278"/>
        <v>0</v>
      </c>
      <c r="C574">
        <f t="shared" si="279"/>
        <v>7</v>
      </c>
      <c r="D574" t="str">
        <f>IF(包装物料出入库明细!$E574="","",包装物料出入库明细!$F574)</f>
        <v/>
      </c>
      <c r="E574" t="str">
        <f>IF(包装物料出入库明细!$E574="","",包装物料出入库明细!$G574)</f>
        <v/>
      </c>
      <c r="K574" t="str">
        <f>IF(包装物料出入库明细!$D574="","",包装物料出入库明细!$D574)</f>
        <v/>
      </c>
      <c r="L574">
        <f t="shared" si="280"/>
        <v>0</v>
      </c>
      <c r="M574">
        <f t="shared" si="281"/>
        <v>9</v>
      </c>
      <c r="Q574" t="str">
        <f>IF(周转筐出入库明细!$D575="","",周转筐出入库明细!$D575)</f>
        <v/>
      </c>
      <c r="R574">
        <f t="shared" si="282"/>
        <v>0</v>
      </c>
      <c r="S574">
        <f t="shared" si="283"/>
        <v>5</v>
      </c>
      <c r="W574" t="str">
        <f>IF(周转筐出入库明细!$C575="","",周转筐出入库明细!$C575)</f>
        <v/>
      </c>
      <c r="X574">
        <f t="shared" si="284"/>
        <v>0</v>
      </c>
      <c r="Y574">
        <f t="shared" si="285"/>
        <v>12</v>
      </c>
      <c r="AC574" t="str">
        <f>IF(客户自备加工筐明细!$C574="","",客户自备加工筐明细!$C574)</f>
        <v/>
      </c>
      <c r="AD574">
        <f t="shared" si="286"/>
        <v>0</v>
      </c>
      <c r="AE574">
        <f t="shared" si="287"/>
        <v>1</v>
      </c>
      <c r="AI574" t="str">
        <f>IF(客户自备加工筐明细!$E574="","",客户自备加工筐明细!$E574)</f>
        <v/>
      </c>
      <c r="AJ574">
        <f t="shared" si="288"/>
        <v>0</v>
      </c>
      <c r="AK574">
        <f t="shared" si="289"/>
        <v>1</v>
      </c>
      <c r="AO574" t="str">
        <f>IF(次果筐明细!$D574="","",次果筐明细!$D574)</f>
        <v/>
      </c>
      <c r="AP574">
        <f t="shared" si="290"/>
        <v>0</v>
      </c>
      <c r="AQ574">
        <f t="shared" si="291"/>
        <v>1</v>
      </c>
      <c r="AU574" t="str">
        <f>IF(次果筐明细!$C574="","",次果筐明细!$C574)</f>
        <v/>
      </c>
      <c r="AV574">
        <f t="shared" si="292"/>
        <v>0</v>
      </c>
      <c r="AW574">
        <f t="shared" si="293"/>
        <v>1</v>
      </c>
      <c r="BS574" t="str">
        <f t="shared" si="299"/>
        <v/>
      </c>
      <c r="BT574">
        <f t="shared" si="294"/>
        <v>0</v>
      </c>
      <c r="BU574">
        <f t="shared" si="295"/>
        <v>17</v>
      </c>
      <c r="CP574">
        <f>IF(包装物料出入库明细!$D574="",0,1)</f>
        <v>0</v>
      </c>
      <c r="CQ574">
        <f t="shared" si="296"/>
        <v>37</v>
      </c>
      <c r="CS574" t="str">
        <f>IF(OR(周转筐出入库明细!$C575="",周转筐出入库明细!$F575&lt;&gt;"采购入库"),"",周转筐出入库明细!$C575)</f>
        <v/>
      </c>
      <c r="CT574">
        <f t="shared" si="297"/>
        <v>0</v>
      </c>
      <c r="CU574">
        <f t="shared" si="298"/>
        <v>1</v>
      </c>
    </row>
    <row r="575" spans="1:99">
      <c r="A575" t="str">
        <f>IF(包装物料出入库明细!$E575="","",包装物料出入库明细!$E575)</f>
        <v/>
      </c>
      <c r="B575">
        <f t="shared" si="278"/>
        <v>0</v>
      </c>
      <c r="C575">
        <f t="shared" si="279"/>
        <v>7</v>
      </c>
      <c r="D575" t="str">
        <f>IF(包装物料出入库明细!$E575="","",包装物料出入库明细!$F575)</f>
        <v/>
      </c>
      <c r="E575" t="str">
        <f>IF(包装物料出入库明细!$E575="","",包装物料出入库明细!$G575)</f>
        <v/>
      </c>
      <c r="K575" t="str">
        <f>IF(包装物料出入库明细!$D575="","",包装物料出入库明细!$D575)</f>
        <v/>
      </c>
      <c r="L575">
        <f t="shared" si="280"/>
        <v>0</v>
      </c>
      <c r="M575">
        <f t="shared" si="281"/>
        <v>9</v>
      </c>
      <c r="Q575" t="str">
        <f>IF(周转筐出入库明细!$D576="","",周转筐出入库明细!$D576)</f>
        <v/>
      </c>
      <c r="R575">
        <f t="shared" si="282"/>
        <v>0</v>
      </c>
      <c r="S575">
        <f t="shared" si="283"/>
        <v>5</v>
      </c>
      <c r="W575" t="str">
        <f>IF(周转筐出入库明细!$C576="","",周转筐出入库明细!$C576)</f>
        <v/>
      </c>
      <c r="X575">
        <f t="shared" si="284"/>
        <v>0</v>
      </c>
      <c r="Y575">
        <f t="shared" si="285"/>
        <v>12</v>
      </c>
      <c r="AC575" t="str">
        <f>IF(客户自备加工筐明细!$C575="","",客户自备加工筐明细!$C575)</f>
        <v/>
      </c>
      <c r="AD575">
        <f t="shared" si="286"/>
        <v>0</v>
      </c>
      <c r="AE575">
        <f t="shared" si="287"/>
        <v>1</v>
      </c>
      <c r="AI575" t="str">
        <f>IF(客户自备加工筐明细!$E575="","",客户自备加工筐明细!$E575)</f>
        <v/>
      </c>
      <c r="AJ575">
        <f t="shared" si="288"/>
        <v>0</v>
      </c>
      <c r="AK575">
        <f t="shared" si="289"/>
        <v>1</v>
      </c>
      <c r="AO575" t="str">
        <f>IF(次果筐明细!$D575="","",次果筐明细!$D575)</f>
        <v/>
      </c>
      <c r="AP575">
        <f t="shared" si="290"/>
        <v>0</v>
      </c>
      <c r="AQ575">
        <f t="shared" si="291"/>
        <v>1</v>
      </c>
      <c r="AU575" t="str">
        <f>IF(次果筐明细!$C575="","",次果筐明细!$C575)</f>
        <v/>
      </c>
      <c r="AV575">
        <f t="shared" si="292"/>
        <v>0</v>
      </c>
      <c r="AW575">
        <f t="shared" si="293"/>
        <v>1</v>
      </c>
      <c r="BS575" t="str">
        <f t="shared" si="299"/>
        <v/>
      </c>
      <c r="BT575">
        <f t="shared" si="294"/>
        <v>0</v>
      </c>
      <c r="BU575">
        <f t="shared" si="295"/>
        <v>17</v>
      </c>
      <c r="CP575">
        <f>IF(包装物料出入库明细!$D575="",0,1)</f>
        <v>0</v>
      </c>
      <c r="CQ575">
        <f t="shared" si="296"/>
        <v>37</v>
      </c>
      <c r="CS575" t="str">
        <f>IF(OR(周转筐出入库明细!$C576="",周转筐出入库明细!$F576&lt;&gt;"采购入库"),"",周转筐出入库明细!$C576)</f>
        <v/>
      </c>
      <c r="CT575">
        <f t="shared" si="297"/>
        <v>0</v>
      </c>
      <c r="CU575">
        <f t="shared" si="298"/>
        <v>1</v>
      </c>
    </row>
    <row r="576" spans="1:99">
      <c r="A576" t="str">
        <f>IF(包装物料出入库明细!$E576="","",包装物料出入库明细!$E576)</f>
        <v/>
      </c>
      <c r="B576">
        <f t="shared" si="278"/>
        <v>0</v>
      </c>
      <c r="C576">
        <f t="shared" si="279"/>
        <v>7</v>
      </c>
      <c r="D576" t="str">
        <f>IF(包装物料出入库明细!$E576="","",包装物料出入库明细!$F576)</f>
        <v/>
      </c>
      <c r="E576" t="str">
        <f>IF(包装物料出入库明细!$E576="","",包装物料出入库明细!$G576)</f>
        <v/>
      </c>
      <c r="K576" t="str">
        <f>IF(包装物料出入库明细!$D576="","",包装物料出入库明细!$D576)</f>
        <v/>
      </c>
      <c r="L576">
        <f t="shared" si="280"/>
        <v>0</v>
      </c>
      <c r="M576">
        <f t="shared" si="281"/>
        <v>9</v>
      </c>
      <c r="Q576" t="str">
        <f>IF(周转筐出入库明细!$D577="","",周转筐出入库明细!$D577)</f>
        <v/>
      </c>
      <c r="R576">
        <f t="shared" si="282"/>
        <v>0</v>
      </c>
      <c r="S576">
        <f t="shared" si="283"/>
        <v>5</v>
      </c>
      <c r="W576" t="str">
        <f>IF(周转筐出入库明细!$C577="","",周转筐出入库明细!$C577)</f>
        <v/>
      </c>
      <c r="X576">
        <f t="shared" si="284"/>
        <v>0</v>
      </c>
      <c r="Y576">
        <f t="shared" si="285"/>
        <v>12</v>
      </c>
      <c r="AC576" t="str">
        <f>IF(客户自备加工筐明细!$C576="","",客户自备加工筐明细!$C576)</f>
        <v/>
      </c>
      <c r="AD576">
        <f t="shared" si="286"/>
        <v>0</v>
      </c>
      <c r="AE576">
        <f t="shared" si="287"/>
        <v>1</v>
      </c>
      <c r="AI576" t="str">
        <f>IF(客户自备加工筐明细!$E576="","",客户自备加工筐明细!$E576)</f>
        <v/>
      </c>
      <c r="AJ576">
        <f t="shared" si="288"/>
        <v>0</v>
      </c>
      <c r="AK576">
        <f t="shared" si="289"/>
        <v>1</v>
      </c>
      <c r="AO576" t="str">
        <f>IF(次果筐明细!$D576="","",次果筐明细!$D576)</f>
        <v/>
      </c>
      <c r="AP576">
        <f t="shared" si="290"/>
        <v>0</v>
      </c>
      <c r="AQ576">
        <f t="shared" si="291"/>
        <v>1</v>
      </c>
      <c r="AU576" t="str">
        <f>IF(次果筐明细!$C576="","",次果筐明细!$C576)</f>
        <v/>
      </c>
      <c r="AV576">
        <f t="shared" si="292"/>
        <v>0</v>
      </c>
      <c r="AW576">
        <f t="shared" si="293"/>
        <v>1</v>
      </c>
      <c r="BS576" t="str">
        <f t="shared" si="299"/>
        <v/>
      </c>
      <c r="BT576">
        <f t="shared" si="294"/>
        <v>0</v>
      </c>
      <c r="BU576">
        <f t="shared" si="295"/>
        <v>17</v>
      </c>
      <c r="CP576">
        <f>IF(包装物料出入库明细!$D576="",0,1)</f>
        <v>0</v>
      </c>
      <c r="CQ576">
        <f t="shared" si="296"/>
        <v>37</v>
      </c>
      <c r="CS576" t="str">
        <f>IF(OR(周转筐出入库明细!$C577="",周转筐出入库明细!$F577&lt;&gt;"采购入库"),"",周转筐出入库明细!$C577)</f>
        <v/>
      </c>
      <c r="CT576">
        <f t="shared" si="297"/>
        <v>0</v>
      </c>
      <c r="CU576">
        <f t="shared" si="298"/>
        <v>1</v>
      </c>
    </row>
    <row r="577" spans="1:99">
      <c r="A577" t="str">
        <f>IF(包装物料出入库明细!$E577="","",包装物料出入库明细!$E577)</f>
        <v/>
      </c>
      <c r="B577">
        <f t="shared" si="278"/>
        <v>0</v>
      </c>
      <c r="C577">
        <f t="shared" si="279"/>
        <v>7</v>
      </c>
      <c r="D577" t="str">
        <f>IF(包装物料出入库明细!$E577="","",包装物料出入库明细!$F577)</f>
        <v/>
      </c>
      <c r="E577" t="str">
        <f>IF(包装物料出入库明细!$E577="","",包装物料出入库明细!$G577)</f>
        <v/>
      </c>
      <c r="K577" t="str">
        <f>IF(包装物料出入库明细!$D577="","",包装物料出入库明细!$D577)</f>
        <v/>
      </c>
      <c r="L577">
        <f t="shared" si="280"/>
        <v>0</v>
      </c>
      <c r="M577">
        <f t="shared" si="281"/>
        <v>9</v>
      </c>
      <c r="Q577" t="str">
        <f>IF(周转筐出入库明细!$D578="","",周转筐出入库明细!$D578)</f>
        <v/>
      </c>
      <c r="R577">
        <f t="shared" si="282"/>
        <v>0</v>
      </c>
      <c r="S577">
        <f t="shared" si="283"/>
        <v>5</v>
      </c>
      <c r="W577" t="str">
        <f>IF(周转筐出入库明细!$C578="","",周转筐出入库明细!$C578)</f>
        <v/>
      </c>
      <c r="X577">
        <f t="shared" si="284"/>
        <v>0</v>
      </c>
      <c r="Y577">
        <f t="shared" si="285"/>
        <v>12</v>
      </c>
      <c r="AC577" t="str">
        <f>IF(客户自备加工筐明细!$C577="","",客户自备加工筐明细!$C577)</f>
        <v/>
      </c>
      <c r="AD577">
        <f t="shared" si="286"/>
        <v>0</v>
      </c>
      <c r="AE577">
        <f t="shared" si="287"/>
        <v>1</v>
      </c>
      <c r="AI577" t="str">
        <f>IF(客户自备加工筐明细!$E577="","",客户自备加工筐明细!$E577)</f>
        <v/>
      </c>
      <c r="AJ577">
        <f t="shared" si="288"/>
        <v>0</v>
      </c>
      <c r="AK577">
        <f t="shared" si="289"/>
        <v>1</v>
      </c>
      <c r="AO577" t="str">
        <f>IF(次果筐明细!$D577="","",次果筐明细!$D577)</f>
        <v/>
      </c>
      <c r="AP577">
        <f t="shared" si="290"/>
        <v>0</v>
      </c>
      <c r="AQ577">
        <f t="shared" si="291"/>
        <v>1</v>
      </c>
      <c r="AU577" t="str">
        <f>IF(次果筐明细!$C577="","",次果筐明细!$C577)</f>
        <v/>
      </c>
      <c r="AV577">
        <f t="shared" si="292"/>
        <v>0</v>
      </c>
      <c r="AW577">
        <f t="shared" si="293"/>
        <v>1</v>
      </c>
      <c r="BS577" t="str">
        <f t="shared" si="299"/>
        <v/>
      </c>
      <c r="BT577">
        <f t="shared" si="294"/>
        <v>0</v>
      </c>
      <c r="BU577">
        <f t="shared" si="295"/>
        <v>17</v>
      </c>
      <c r="CP577">
        <f>IF(包装物料出入库明细!$D577="",0,1)</f>
        <v>0</v>
      </c>
      <c r="CQ577">
        <f t="shared" si="296"/>
        <v>37</v>
      </c>
      <c r="CS577" t="str">
        <f>IF(OR(周转筐出入库明细!$C578="",周转筐出入库明细!$F578&lt;&gt;"采购入库"),"",周转筐出入库明细!$C578)</f>
        <v/>
      </c>
      <c r="CT577">
        <f t="shared" si="297"/>
        <v>0</v>
      </c>
      <c r="CU577">
        <f t="shared" si="298"/>
        <v>1</v>
      </c>
    </row>
    <row r="578" spans="1:99">
      <c r="A578" t="str">
        <f>IF(包装物料出入库明细!$E578="","",包装物料出入库明细!$E578)</f>
        <v/>
      </c>
      <c r="B578">
        <f t="shared" si="278"/>
        <v>0</v>
      </c>
      <c r="C578">
        <f t="shared" si="279"/>
        <v>7</v>
      </c>
      <c r="D578" t="str">
        <f>IF(包装物料出入库明细!$E578="","",包装物料出入库明细!$F578)</f>
        <v/>
      </c>
      <c r="E578" t="str">
        <f>IF(包装物料出入库明细!$E578="","",包装物料出入库明细!$G578)</f>
        <v/>
      </c>
      <c r="K578" t="str">
        <f>IF(包装物料出入库明细!$D578="","",包装物料出入库明细!$D578)</f>
        <v/>
      </c>
      <c r="L578">
        <f t="shared" si="280"/>
        <v>0</v>
      </c>
      <c r="M578">
        <f t="shared" si="281"/>
        <v>9</v>
      </c>
      <c r="Q578" t="str">
        <f>IF(周转筐出入库明细!$D579="","",周转筐出入库明细!$D579)</f>
        <v/>
      </c>
      <c r="R578">
        <f t="shared" si="282"/>
        <v>0</v>
      </c>
      <c r="S578">
        <f t="shared" si="283"/>
        <v>5</v>
      </c>
      <c r="W578" t="str">
        <f>IF(周转筐出入库明细!$C579="","",周转筐出入库明细!$C579)</f>
        <v/>
      </c>
      <c r="X578">
        <f t="shared" si="284"/>
        <v>0</v>
      </c>
      <c r="Y578">
        <f t="shared" si="285"/>
        <v>12</v>
      </c>
      <c r="AC578" t="str">
        <f>IF(客户自备加工筐明细!$C578="","",客户自备加工筐明细!$C578)</f>
        <v/>
      </c>
      <c r="AD578">
        <f t="shared" si="286"/>
        <v>0</v>
      </c>
      <c r="AE578">
        <f t="shared" si="287"/>
        <v>1</v>
      </c>
      <c r="AI578" t="str">
        <f>IF(客户自备加工筐明细!$E578="","",客户自备加工筐明细!$E578)</f>
        <v/>
      </c>
      <c r="AJ578">
        <f t="shared" si="288"/>
        <v>0</v>
      </c>
      <c r="AK578">
        <f t="shared" si="289"/>
        <v>1</v>
      </c>
      <c r="AO578" t="str">
        <f>IF(次果筐明细!$D578="","",次果筐明细!$D578)</f>
        <v/>
      </c>
      <c r="AP578">
        <f t="shared" si="290"/>
        <v>0</v>
      </c>
      <c r="AQ578">
        <f t="shared" si="291"/>
        <v>1</v>
      </c>
      <c r="AU578" t="str">
        <f>IF(次果筐明细!$C578="","",次果筐明细!$C578)</f>
        <v/>
      </c>
      <c r="AV578">
        <f t="shared" si="292"/>
        <v>0</v>
      </c>
      <c r="AW578">
        <f t="shared" si="293"/>
        <v>1</v>
      </c>
      <c r="BS578" t="str">
        <f t="shared" si="299"/>
        <v/>
      </c>
      <c r="BT578">
        <f t="shared" si="294"/>
        <v>0</v>
      </c>
      <c r="BU578">
        <f t="shared" si="295"/>
        <v>17</v>
      </c>
      <c r="CP578">
        <f>IF(包装物料出入库明细!$D578="",0,1)</f>
        <v>0</v>
      </c>
      <c r="CQ578">
        <f t="shared" si="296"/>
        <v>37</v>
      </c>
      <c r="CS578" t="str">
        <f>IF(OR(周转筐出入库明细!$C579="",周转筐出入库明细!$F579&lt;&gt;"采购入库"),"",周转筐出入库明细!$C579)</f>
        <v/>
      </c>
      <c r="CT578">
        <f t="shared" si="297"/>
        <v>0</v>
      </c>
      <c r="CU578">
        <f t="shared" si="298"/>
        <v>1</v>
      </c>
    </row>
    <row r="579" spans="1:99">
      <c r="A579" t="str">
        <f>IF(包装物料出入库明细!$E579="","",包装物料出入库明细!$E579)</f>
        <v/>
      </c>
      <c r="B579">
        <f t="shared" si="278"/>
        <v>0</v>
      </c>
      <c r="C579">
        <f t="shared" si="279"/>
        <v>7</v>
      </c>
      <c r="D579" t="str">
        <f>IF(包装物料出入库明细!$E579="","",包装物料出入库明细!$F579)</f>
        <v/>
      </c>
      <c r="E579" t="str">
        <f>IF(包装物料出入库明细!$E579="","",包装物料出入库明细!$G579)</f>
        <v/>
      </c>
      <c r="K579" t="str">
        <f>IF(包装物料出入库明细!$D579="","",包装物料出入库明细!$D579)</f>
        <v/>
      </c>
      <c r="L579">
        <f t="shared" si="280"/>
        <v>0</v>
      </c>
      <c r="M579">
        <f t="shared" si="281"/>
        <v>9</v>
      </c>
      <c r="Q579" t="str">
        <f>IF(周转筐出入库明细!$D580="","",周转筐出入库明细!$D580)</f>
        <v/>
      </c>
      <c r="R579">
        <f t="shared" si="282"/>
        <v>0</v>
      </c>
      <c r="S579">
        <f t="shared" si="283"/>
        <v>5</v>
      </c>
      <c r="W579" t="str">
        <f>IF(周转筐出入库明细!$C580="","",周转筐出入库明细!$C580)</f>
        <v/>
      </c>
      <c r="X579">
        <f t="shared" si="284"/>
        <v>0</v>
      </c>
      <c r="Y579">
        <f t="shared" si="285"/>
        <v>12</v>
      </c>
      <c r="AC579" t="str">
        <f>IF(客户自备加工筐明细!$C579="","",客户自备加工筐明细!$C579)</f>
        <v/>
      </c>
      <c r="AD579">
        <f t="shared" si="286"/>
        <v>0</v>
      </c>
      <c r="AE579">
        <f t="shared" si="287"/>
        <v>1</v>
      </c>
      <c r="AI579" t="str">
        <f>IF(客户自备加工筐明细!$E579="","",客户自备加工筐明细!$E579)</f>
        <v/>
      </c>
      <c r="AJ579">
        <f t="shared" si="288"/>
        <v>0</v>
      </c>
      <c r="AK579">
        <f t="shared" si="289"/>
        <v>1</v>
      </c>
      <c r="AO579" t="str">
        <f>IF(次果筐明细!$D579="","",次果筐明细!$D579)</f>
        <v/>
      </c>
      <c r="AP579">
        <f t="shared" si="290"/>
        <v>0</v>
      </c>
      <c r="AQ579">
        <f t="shared" si="291"/>
        <v>1</v>
      </c>
      <c r="AU579" t="str">
        <f>IF(次果筐明细!$C579="","",次果筐明细!$C579)</f>
        <v/>
      </c>
      <c r="AV579">
        <f t="shared" si="292"/>
        <v>0</v>
      </c>
      <c r="AW579">
        <f t="shared" si="293"/>
        <v>1</v>
      </c>
      <c r="BS579" t="str">
        <f t="shared" si="299"/>
        <v/>
      </c>
      <c r="BT579">
        <f t="shared" si="294"/>
        <v>0</v>
      </c>
      <c r="BU579">
        <f t="shared" si="295"/>
        <v>17</v>
      </c>
      <c r="CP579">
        <f>IF(包装物料出入库明细!$D579="",0,1)</f>
        <v>0</v>
      </c>
      <c r="CQ579">
        <f t="shared" si="296"/>
        <v>37</v>
      </c>
      <c r="CS579" t="str">
        <f>IF(OR(周转筐出入库明细!$C580="",周转筐出入库明细!$F580&lt;&gt;"采购入库"),"",周转筐出入库明细!$C580)</f>
        <v/>
      </c>
      <c r="CT579">
        <f t="shared" si="297"/>
        <v>0</v>
      </c>
      <c r="CU579">
        <f t="shared" si="298"/>
        <v>1</v>
      </c>
    </row>
    <row r="580" spans="1:99">
      <c r="A580" t="str">
        <f>IF(包装物料出入库明细!$E580="","",包装物料出入库明细!$E580)</f>
        <v/>
      </c>
      <c r="B580">
        <f t="shared" ref="B580:B643" si="300">IF(A580="",0,IF(MATCH(A580,$A$4:$A$2003,0)=ROW()-3,1,0))</f>
        <v>0</v>
      </c>
      <c r="C580">
        <f t="shared" ref="C580:C643" si="301">N(C579)+B580</f>
        <v>7</v>
      </c>
      <c r="D580" t="str">
        <f>IF(包装物料出入库明细!$E580="","",包装物料出入库明细!$F580)</f>
        <v/>
      </c>
      <c r="E580" t="str">
        <f>IF(包装物料出入库明细!$E580="","",包装物料出入库明细!$G580)</f>
        <v/>
      </c>
      <c r="K580" t="str">
        <f>IF(包装物料出入库明细!$D580="","",包装物料出入库明细!$D580)</f>
        <v/>
      </c>
      <c r="L580">
        <f t="shared" ref="L580:L643" si="302">IF(K580="",0,IF(MATCH(K580,$K$4:$K$2003,0)=ROW()-3,1,0))</f>
        <v>0</v>
      </c>
      <c r="M580">
        <f t="shared" ref="M580:M643" si="303">N(M579)+L580</f>
        <v>9</v>
      </c>
      <c r="Q580" t="str">
        <f>IF(周转筐出入库明细!$D581="","",周转筐出入库明细!$D581)</f>
        <v/>
      </c>
      <c r="R580">
        <f t="shared" ref="R580:R643" si="304">IF(Q580="",0,IF(MATCH(Q580,$Q$4:$Q$2003,0)=ROW()-3,1,0))</f>
        <v>0</v>
      </c>
      <c r="S580">
        <f t="shared" ref="S580:S643" si="305">N(S579)+R580</f>
        <v>5</v>
      </c>
      <c r="W580" t="str">
        <f>IF(周转筐出入库明细!$C581="","",周转筐出入库明细!$C581)</f>
        <v/>
      </c>
      <c r="X580">
        <f t="shared" ref="X580:X643" si="306">IF(W580="",0,IF(MATCH(W580,$W$4:$W$2003,0)=ROW()-3,1,0))</f>
        <v>0</v>
      </c>
      <c r="Y580">
        <f t="shared" ref="Y580:Y643" si="307">N(Y579)+X580</f>
        <v>12</v>
      </c>
      <c r="AC580" t="str">
        <f>IF(客户自备加工筐明细!$C580="","",客户自备加工筐明细!$C580)</f>
        <v/>
      </c>
      <c r="AD580">
        <f t="shared" ref="AD580:AD643" si="308">IF(AC580="",0,IF(MATCH(AC580,$AC$4:$AC$1203,0)=ROW()-3,1,0))</f>
        <v>0</v>
      </c>
      <c r="AE580">
        <f t="shared" ref="AE580:AE643" si="309">N(AE579)+AD580</f>
        <v>1</v>
      </c>
      <c r="AI580" t="str">
        <f>IF(客户自备加工筐明细!$E580="","",客户自备加工筐明细!$E580)</f>
        <v/>
      </c>
      <c r="AJ580">
        <f t="shared" ref="AJ580:AJ643" si="310">IF(AI580="",0,IF(MATCH(AI580,$AI$4:$AI$1503,0)=ROW()-3,1,0))</f>
        <v>0</v>
      </c>
      <c r="AK580">
        <f t="shared" ref="AK580:AK643" si="311">N(AK579)+AJ580</f>
        <v>1</v>
      </c>
      <c r="AO580" t="str">
        <f>IF(次果筐明细!$D580="","",次果筐明细!$D580)</f>
        <v/>
      </c>
      <c r="AP580">
        <f t="shared" ref="AP580:AP603" si="312">IF(AO580="",0,IF(MATCH(AO580,$AO$4:$AO$603,0)=ROW()-3,1,0))</f>
        <v>0</v>
      </c>
      <c r="AQ580">
        <f t="shared" ref="AQ580:AQ603" si="313">N(AQ579)+AP580</f>
        <v>1</v>
      </c>
      <c r="AU580" t="str">
        <f>IF(次果筐明细!$C580="","",次果筐明细!$C580)</f>
        <v/>
      </c>
      <c r="AV580">
        <f t="shared" ref="AV580:AV603" si="314">IF(AU580="",0,IF(MATCH(AU580,$AU$4:$AU$603,0)=ROW()-3,1,0))</f>
        <v>0</v>
      </c>
      <c r="AW580">
        <f t="shared" ref="AW580:AW603" si="315">N(AW579)+AV580</f>
        <v>1</v>
      </c>
      <c r="BS580" t="str">
        <f t="shared" si="299"/>
        <v/>
      </c>
      <c r="BT580">
        <f t="shared" ref="BT580:BT643" si="316">IF(BS580="",0,IF(MATCH(BS580,$BS$4:$BS$1103,0)=ROW()-3,1,0))</f>
        <v>0</v>
      </c>
      <c r="BU580">
        <f t="shared" ref="BU580:BU643" si="317">N(BU579)+BT580</f>
        <v>17</v>
      </c>
      <c r="CP580">
        <f>IF(包装物料出入库明细!$D580="",0,1)</f>
        <v>0</v>
      </c>
      <c r="CQ580">
        <f t="shared" ref="CQ580:CQ643" si="318">N(CQ579)+$CP580</f>
        <v>37</v>
      </c>
      <c r="CS580" t="str">
        <f>IF(OR(周转筐出入库明细!$C581="",周转筐出入库明细!$F581&lt;&gt;"采购入库"),"",周转筐出入库明细!$C581)</f>
        <v/>
      </c>
      <c r="CT580">
        <f t="shared" ref="CT580:CT643" si="319">IF(CS580="",0,IF(MATCH(CS580,$CS$4:$CS$2003,0)=ROW()-3,1,0))</f>
        <v>0</v>
      </c>
      <c r="CU580">
        <f t="shared" ref="CU580:CU643" si="320">N(CU579)+CT580</f>
        <v>1</v>
      </c>
    </row>
    <row r="581" spans="1:99">
      <c r="A581" t="str">
        <f>IF(包装物料出入库明细!$E581="","",包装物料出入库明细!$E581)</f>
        <v/>
      </c>
      <c r="B581">
        <f t="shared" si="300"/>
        <v>0</v>
      </c>
      <c r="C581">
        <f t="shared" si="301"/>
        <v>7</v>
      </c>
      <c r="D581" t="str">
        <f>IF(包装物料出入库明细!$E581="","",包装物料出入库明细!$F581)</f>
        <v/>
      </c>
      <c r="E581" t="str">
        <f>IF(包装物料出入库明细!$E581="","",包装物料出入库明细!$G581)</f>
        <v/>
      </c>
      <c r="K581" t="str">
        <f>IF(包装物料出入库明细!$D581="","",包装物料出入库明细!$D581)</f>
        <v/>
      </c>
      <c r="L581">
        <f t="shared" si="302"/>
        <v>0</v>
      </c>
      <c r="M581">
        <f t="shared" si="303"/>
        <v>9</v>
      </c>
      <c r="Q581" t="str">
        <f>IF(周转筐出入库明细!$D582="","",周转筐出入库明细!$D582)</f>
        <v/>
      </c>
      <c r="R581">
        <f t="shared" si="304"/>
        <v>0</v>
      </c>
      <c r="S581">
        <f t="shared" si="305"/>
        <v>5</v>
      </c>
      <c r="W581" t="str">
        <f>IF(周转筐出入库明细!$C582="","",周转筐出入库明细!$C582)</f>
        <v/>
      </c>
      <c r="X581">
        <f t="shared" si="306"/>
        <v>0</v>
      </c>
      <c r="Y581">
        <f t="shared" si="307"/>
        <v>12</v>
      </c>
      <c r="AC581" t="str">
        <f>IF(客户自备加工筐明细!$C581="","",客户自备加工筐明细!$C581)</f>
        <v/>
      </c>
      <c r="AD581">
        <f t="shared" si="308"/>
        <v>0</v>
      </c>
      <c r="AE581">
        <f t="shared" si="309"/>
        <v>1</v>
      </c>
      <c r="AI581" t="str">
        <f>IF(客户自备加工筐明细!$E581="","",客户自备加工筐明细!$E581)</f>
        <v/>
      </c>
      <c r="AJ581">
        <f t="shared" si="310"/>
        <v>0</v>
      </c>
      <c r="AK581">
        <f t="shared" si="311"/>
        <v>1</v>
      </c>
      <c r="AO581" t="str">
        <f>IF(次果筐明细!$D581="","",次果筐明细!$D581)</f>
        <v/>
      </c>
      <c r="AP581">
        <f t="shared" si="312"/>
        <v>0</v>
      </c>
      <c r="AQ581">
        <f t="shared" si="313"/>
        <v>1</v>
      </c>
      <c r="AU581" t="str">
        <f>IF(次果筐明细!$C581="","",次果筐明细!$C581)</f>
        <v/>
      </c>
      <c r="AV581">
        <f t="shared" si="314"/>
        <v>0</v>
      </c>
      <c r="AW581">
        <f t="shared" si="315"/>
        <v>1</v>
      </c>
      <c r="BS581" t="str">
        <f t="shared" si="299"/>
        <v/>
      </c>
      <c r="BT581">
        <f t="shared" si="316"/>
        <v>0</v>
      </c>
      <c r="BU581">
        <f t="shared" si="317"/>
        <v>17</v>
      </c>
      <c r="CP581">
        <f>IF(包装物料出入库明细!$D581="",0,1)</f>
        <v>0</v>
      </c>
      <c r="CQ581">
        <f t="shared" si="318"/>
        <v>37</v>
      </c>
      <c r="CS581" t="str">
        <f>IF(OR(周转筐出入库明细!$C582="",周转筐出入库明细!$F582&lt;&gt;"采购入库"),"",周转筐出入库明细!$C582)</f>
        <v/>
      </c>
      <c r="CT581">
        <f t="shared" si="319"/>
        <v>0</v>
      </c>
      <c r="CU581">
        <f t="shared" si="320"/>
        <v>1</v>
      </c>
    </row>
    <row r="582" spans="1:99">
      <c r="A582" t="str">
        <f>IF(包装物料出入库明细!$E582="","",包装物料出入库明细!$E582)</f>
        <v/>
      </c>
      <c r="B582">
        <f t="shared" si="300"/>
        <v>0</v>
      </c>
      <c r="C582">
        <f t="shared" si="301"/>
        <v>7</v>
      </c>
      <c r="D582" t="str">
        <f>IF(包装物料出入库明细!$E582="","",包装物料出入库明细!$F582)</f>
        <v/>
      </c>
      <c r="E582" t="str">
        <f>IF(包装物料出入库明细!$E582="","",包装物料出入库明细!$G582)</f>
        <v/>
      </c>
      <c r="K582" t="str">
        <f>IF(包装物料出入库明细!$D582="","",包装物料出入库明细!$D582)</f>
        <v/>
      </c>
      <c r="L582">
        <f t="shared" si="302"/>
        <v>0</v>
      </c>
      <c r="M582">
        <f t="shared" si="303"/>
        <v>9</v>
      </c>
      <c r="Q582" t="str">
        <f>IF(周转筐出入库明细!$D583="","",周转筐出入库明细!$D583)</f>
        <v/>
      </c>
      <c r="R582">
        <f t="shared" si="304"/>
        <v>0</v>
      </c>
      <c r="S582">
        <f t="shared" si="305"/>
        <v>5</v>
      </c>
      <c r="W582" t="str">
        <f>IF(周转筐出入库明细!$C583="","",周转筐出入库明细!$C583)</f>
        <v/>
      </c>
      <c r="X582">
        <f t="shared" si="306"/>
        <v>0</v>
      </c>
      <c r="Y582">
        <f t="shared" si="307"/>
        <v>12</v>
      </c>
      <c r="AC582" t="str">
        <f>IF(客户自备加工筐明细!$C582="","",客户自备加工筐明细!$C582)</f>
        <v/>
      </c>
      <c r="AD582">
        <f t="shared" si="308"/>
        <v>0</v>
      </c>
      <c r="AE582">
        <f t="shared" si="309"/>
        <v>1</v>
      </c>
      <c r="AI582" t="str">
        <f>IF(客户自备加工筐明细!$E582="","",客户自备加工筐明细!$E582)</f>
        <v/>
      </c>
      <c r="AJ582">
        <f t="shared" si="310"/>
        <v>0</v>
      </c>
      <c r="AK582">
        <f t="shared" si="311"/>
        <v>1</v>
      </c>
      <c r="AO582" t="str">
        <f>IF(次果筐明细!$D582="","",次果筐明细!$D582)</f>
        <v/>
      </c>
      <c r="AP582">
        <f t="shared" si="312"/>
        <v>0</v>
      </c>
      <c r="AQ582">
        <f t="shared" si="313"/>
        <v>1</v>
      </c>
      <c r="AU582" t="str">
        <f>IF(次果筐明细!$C582="","",次果筐明细!$C582)</f>
        <v/>
      </c>
      <c r="AV582">
        <f t="shared" si="314"/>
        <v>0</v>
      </c>
      <c r="AW582">
        <f t="shared" si="315"/>
        <v>1</v>
      </c>
      <c r="BS582" t="str">
        <f t="shared" si="299"/>
        <v/>
      </c>
      <c r="BT582">
        <f t="shared" si="316"/>
        <v>0</v>
      </c>
      <c r="BU582">
        <f t="shared" si="317"/>
        <v>17</v>
      </c>
      <c r="CP582">
        <f>IF(包装物料出入库明细!$D582="",0,1)</f>
        <v>0</v>
      </c>
      <c r="CQ582">
        <f t="shared" si="318"/>
        <v>37</v>
      </c>
      <c r="CS582" t="str">
        <f>IF(OR(周转筐出入库明细!$C583="",周转筐出入库明细!$F583&lt;&gt;"采购入库"),"",周转筐出入库明细!$C583)</f>
        <v/>
      </c>
      <c r="CT582">
        <f t="shared" si="319"/>
        <v>0</v>
      </c>
      <c r="CU582">
        <f t="shared" si="320"/>
        <v>1</v>
      </c>
    </row>
    <row r="583" spans="1:99">
      <c r="A583" t="str">
        <f>IF(包装物料出入库明细!$E583="","",包装物料出入库明细!$E583)</f>
        <v/>
      </c>
      <c r="B583">
        <f t="shared" si="300"/>
        <v>0</v>
      </c>
      <c r="C583">
        <f t="shared" si="301"/>
        <v>7</v>
      </c>
      <c r="D583" t="str">
        <f>IF(包装物料出入库明细!$E583="","",包装物料出入库明细!$F583)</f>
        <v/>
      </c>
      <c r="E583" t="str">
        <f>IF(包装物料出入库明细!$E583="","",包装物料出入库明细!$G583)</f>
        <v/>
      </c>
      <c r="K583" t="str">
        <f>IF(包装物料出入库明细!$D583="","",包装物料出入库明细!$D583)</f>
        <v/>
      </c>
      <c r="L583">
        <f t="shared" si="302"/>
        <v>0</v>
      </c>
      <c r="M583">
        <f t="shared" si="303"/>
        <v>9</v>
      </c>
      <c r="Q583" t="str">
        <f>IF(周转筐出入库明细!$D584="","",周转筐出入库明细!$D584)</f>
        <v/>
      </c>
      <c r="R583">
        <f t="shared" si="304"/>
        <v>0</v>
      </c>
      <c r="S583">
        <f t="shared" si="305"/>
        <v>5</v>
      </c>
      <c r="W583" t="str">
        <f>IF(周转筐出入库明细!$C584="","",周转筐出入库明细!$C584)</f>
        <v/>
      </c>
      <c r="X583">
        <f t="shared" si="306"/>
        <v>0</v>
      </c>
      <c r="Y583">
        <f t="shared" si="307"/>
        <v>12</v>
      </c>
      <c r="AC583" t="str">
        <f>IF(客户自备加工筐明细!$C583="","",客户自备加工筐明细!$C583)</f>
        <v/>
      </c>
      <c r="AD583">
        <f t="shared" si="308"/>
        <v>0</v>
      </c>
      <c r="AE583">
        <f t="shared" si="309"/>
        <v>1</v>
      </c>
      <c r="AI583" t="str">
        <f>IF(客户自备加工筐明细!$E583="","",客户自备加工筐明细!$E583)</f>
        <v/>
      </c>
      <c r="AJ583">
        <f t="shared" si="310"/>
        <v>0</v>
      </c>
      <c r="AK583">
        <f t="shared" si="311"/>
        <v>1</v>
      </c>
      <c r="AO583" t="str">
        <f>IF(次果筐明细!$D583="","",次果筐明细!$D583)</f>
        <v/>
      </c>
      <c r="AP583">
        <f t="shared" si="312"/>
        <v>0</v>
      </c>
      <c r="AQ583">
        <f t="shared" si="313"/>
        <v>1</v>
      </c>
      <c r="AU583" t="str">
        <f>IF(次果筐明细!$C583="","",次果筐明细!$C583)</f>
        <v/>
      </c>
      <c r="AV583">
        <f t="shared" si="314"/>
        <v>0</v>
      </c>
      <c r="AW583">
        <f t="shared" si="315"/>
        <v>1</v>
      </c>
      <c r="BS583" t="str">
        <f t="shared" si="299"/>
        <v/>
      </c>
      <c r="BT583">
        <f t="shared" si="316"/>
        <v>0</v>
      </c>
      <c r="BU583">
        <f t="shared" si="317"/>
        <v>17</v>
      </c>
      <c r="CP583">
        <f>IF(包装物料出入库明细!$D583="",0,1)</f>
        <v>0</v>
      </c>
      <c r="CQ583">
        <f t="shared" si="318"/>
        <v>37</v>
      </c>
      <c r="CS583" t="str">
        <f>IF(OR(周转筐出入库明细!$C584="",周转筐出入库明细!$F584&lt;&gt;"采购入库"),"",周转筐出入库明细!$C584)</f>
        <v/>
      </c>
      <c r="CT583">
        <f t="shared" si="319"/>
        <v>0</v>
      </c>
      <c r="CU583">
        <f t="shared" si="320"/>
        <v>1</v>
      </c>
    </row>
    <row r="584" spans="1:99">
      <c r="A584" t="str">
        <f>IF(包装物料出入库明细!$E584="","",包装物料出入库明细!$E584)</f>
        <v/>
      </c>
      <c r="B584">
        <f t="shared" si="300"/>
        <v>0</v>
      </c>
      <c r="C584">
        <f t="shared" si="301"/>
        <v>7</v>
      </c>
      <c r="D584" t="str">
        <f>IF(包装物料出入库明细!$E584="","",包装物料出入库明细!$F584)</f>
        <v/>
      </c>
      <c r="E584" t="str">
        <f>IF(包装物料出入库明细!$E584="","",包装物料出入库明细!$G584)</f>
        <v/>
      </c>
      <c r="K584" t="str">
        <f>IF(包装物料出入库明细!$D584="","",包装物料出入库明细!$D584)</f>
        <v/>
      </c>
      <c r="L584">
        <f t="shared" si="302"/>
        <v>0</v>
      </c>
      <c r="M584">
        <f t="shared" si="303"/>
        <v>9</v>
      </c>
      <c r="Q584" t="str">
        <f>IF(周转筐出入库明细!$D585="","",周转筐出入库明细!$D585)</f>
        <v/>
      </c>
      <c r="R584">
        <f t="shared" si="304"/>
        <v>0</v>
      </c>
      <c r="S584">
        <f t="shared" si="305"/>
        <v>5</v>
      </c>
      <c r="W584" t="str">
        <f>IF(周转筐出入库明细!$C585="","",周转筐出入库明细!$C585)</f>
        <v/>
      </c>
      <c r="X584">
        <f t="shared" si="306"/>
        <v>0</v>
      </c>
      <c r="Y584">
        <f t="shared" si="307"/>
        <v>12</v>
      </c>
      <c r="AC584" t="str">
        <f>IF(客户自备加工筐明细!$C584="","",客户自备加工筐明细!$C584)</f>
        <v/>
      </c>
      <c r="AD584">
        <f t="shared" si="308"/>
        <v>0</v>
      </c>
      <c r="AE584">
        <f t="shared" si="309"/>
        <v>1</v>
      </c>
      <c r="AI584" t="str">
        <f>IF(客户自备加工筐明细!$E584="","",客户自备加工筐明细!$E584)</f>
        <v/>
      </c>
      <c r="AJ584">
        <f t="shared" si="310"/>
        <v>0</v>
      </c>
      <c r="AK584">
        <f t="shared" si="311"/>
        <v>1</v>
      </c>
      <c r="AO584" t="str">
        <f>IF(次果筐明细!$D584="","",次果筐明细!$D584)</f>
        <v/>
      </c>
      <c r="AP584">
        <f t="shared" si="312"/>
        <v>0</v>
      </c>
      <c r="AQ584">
        <f t="shared" si="313"/>
        <v>1</v>
      </c>
      <c r="AU584" t="str">
        <f>IF(次果筐明细!$C584="","",次果筐明细!$C584)</f>
        <v/>
      </c>
      <c r="AV584">
        <f t="shared" si="314"/>
        <v>0</v>
      </c>
      <c r="AW584">
        <f t="shared" si="315"/>
        <v>1</v>
      </c>
      <c r="BS584" t="str">
        <f t="shared" si="299"/>
        <v/>
      </c>
      <c r="BT584">
        <f t="shared" si="316"/>
        <v>0</v>
      </c>
      <c r="BU584">
        <f t="shared" si="317"/>
        <v>17</v>
      </c>
      <c r="CP584">
        <f>IF(包装物料出入库明细!$D584="",0,1)</f>
        <v>0</v>
      </c>
      <c r="CQ584">
        <f t="shared" si="318"/>
        <v>37</v>
      </c>
      <c r="CS584" t="str">
        <f>IF(OR(周转筐出入库明细!$C585="",周转筐出入库明细!$F585&lt;&gt;"采购入库"),"",周转筐出入库明细!$C585)</f>
        <v/>
      </c>
      <c r="CT584">
        <f t="shared" si="319"/>
        <v>0</v>
      </c>
      <c r="CU584">
        <f t="shared" si="320"/>
        <v>1</v>
      </c>
    </row>
    <row r="585" spans="1:99">
      <c r="A585" t="str">
        <f>IF(包装物料出入库明细!$E585="","",包装物料出入库明细!$E585)</f>
        <v/>
      </c>
      <c r="B585">
        <f t="shared" si="300"/>
        <v>0</v>
      </c>
      <c r="C585">
        <f t="shared" si="301"/>
        <v>7</v>
      </c>
      <c r="D585" t="str">
        <f>IF(包装物料出入库明细!$E585="","",包装物料出入库明细!$F585)</f>
        <v/>
      </c>
      <c r="E585" t="str">
        <f>IF(包装物料出入库明细!$E585="","",包装物料出入库明细!$G585)</f>
        <v/>
      </c>
      <c r="K585" t="str">
        <f>IF(包装物料出入库明细!$D585="","",包装物料出入库明细!$D585)</f>
        <v/>
      </c>
      <c r="L585">
        <f t="shared" si="302"/>
        <v>0</v>
      </c>
      <c r="M585">
        <f t="shared" si="303"/>
        <v>9</v>
      </c>
      <c r="Q585" t="str">
        <f>IF(周转筐出入库明细!$D586="","",周转筐出入库明细!$D586)</f>
        <v/>
      </c>
      <c r="R585">
        <f t="shared" si="304"/>
        <v>0</v>
      </c>
      <c r="S585">
        <f t="shared" si="305"/>
        <v>5</v>
      </c>
      <c r="W585" t="str">
        <f>IF(周转筐出入库明细!$C586="","",周转筐出入库明细!$C586)</f>
        <v/>
      </c>
      <c r="X585">
        <f t="shared" si="306"/>
        <v>0</v>
      </c>
      <c r="Y585">
        <f t="shared" si="307"/>
        <v>12</v>
      </c>
      <c r="AC585" t="str">
        <f>IF(客户自备加工筐明细!$C585="","",客户自备加工筐明细!$C585)</f>
        <v/>
      </c>
      <c r="AD585">
        <f t="shared" si="308"/>
        <v>0</v>
      </c>
      <c r="AE585">
        <f t="shared" si="309"/>
        <v>1</v>
      </c>
      <c r="AI585" t="str">
        <f>IF(客户自备加工筐明细!$E585="","",客户自备加工筐明细!$E585)</f>
        <v/>
      </c>
      <c r="AJ585">
        <f t="shared" si="310"/>
        <v>0</v>
      </c>
      <c r="AK585">
        <f t="shared" si="311"/>
        <v>1</v>
      </c>
      <c r="AO585" t="str">
        <f>IF(次果筐明细!$D585="","",次果筐明细!$D585)</f>
        <v/>
      </c>
      <c r="AP585">
        <f t="shared" si="312"/>
        <v>0</v>
      </c>
      <c r="AQ585">
        <f t="shared" si="313"/>
        <v>1</v>
      </c>
      <c r="AU585" t="str">
        <f>IF(次果筐明细!$C585="","",次果筐明细!$C585)</f>
        <v/>
      </c>
      <c r="AV585">
        <f t="shared" si="314"/>
        <v>0</v>
      </c>
      <c r="AW585">
        <f t="shared" si="315"/>
        <v>1</v>
      </c>
      <c r="BS585" t="str">
        <f t="shared" si="299"/>
        <v/>
      </c>
      <c r="BT585">
        <f t="shared" si="316"/>
        <v>0</v>
      </c>
      <c r="BU585">
        <f t="shared" si="317"/>
        <v>17</v>
      </c>
      <c r="CP585">
        <f>IF(包装物料出入库明细!$D585="",0,1)</f>
        <v>0</v>
      </c>
      <c r="CQ585">
        <f t="shared" si="318"/>
        <v>37</v>
      </c>
      <c r="CS585" t="str">
        <f>IF(OR(周转筐出入库明细!$C586="",周转筐出入库明细!$F586&lt;&gt;"采购入库"),"",周转筐出入库明细!$C586)</f>
        <v/>
      </c>
      <c r="CT585">
        <f t="shared" si="319"/>
        <v>0</v>
      </c>
      <c r="CU585">
        <f t="shared" si="320"/>
        <v>1</v>
      </c>
    </row>
    <row r="586" spans="1:99">
      <c r="A586" t="str">
        <f>IF(包装物料出入库明细!$E586="","",包装物料出入库明细!$E586)</f>
        <v/>
      </c>
      <c r="B586">
        <f t="shared" si="300"/>
        <v>0</v>
      </c>
      <c r="C586">
        <f t="shared" si="301"/>
        <v>7</v>
      </c>
      <c r="D586" t="str">
        <f>IF(包装物料出入库明细!$E586="","",包装物料出入库明细!$F586)</f>
        <v/>
      </c>
      <c r="E586" t="str">
        <f>IF(包装物料出入库明细!$E586="","",包装物料出入库明细!$G586)</f>
        <v/>
      </c>
      <c r="K586" t="str">
        <f>IF(包装物料出入库明细!$D586="","",包装物料出入库明细!$D586)</f>
        <v/>
      </c>
      <c r="L586">
        <f t="shared" si="302"/>
        <v>0</v>
      </c>
      <c r="M586">
        <f t="shared" si="303"/>
        <v>9</v>
      </c>
      <c r="Q586" t="str">
        <f>IF(周转筐出入库明细!$D587="","",周转筐出入库明细!$D587)</f>
        <v/>
      </c>
      <c r="R586">
        <f t="shared" si="304"/>
        <v>0</v>
      </c>
      <c r="S586">
        <f t="shared" si="305"/>
        <v>5</v>
      </c>
      <c r="W586" t="str">
        <f>IF(周转筐出入库明细!$C587="","",周转筐出入库明细!$C587)</f>
        <v/>
      </c>
      <c r="X586">
        <f t="shared" si="306"/>
        <v>0</v>
      </c>
      <c r="Y586">
        <f t="shared" si="307"/>
        <v>12</v>
      </c>
      <c r="AC586" t="str">
        <f>IF(客户自备加工筐明细!$C586="","",客户自备加工筐明细!$C586)</f>
        <v/>
      </c>
      <c r="AD586">
        <f t="shared" si="308"/>
        <v>0</v>
      </c>
      <c r="AE586">
        <f t="shared" si="309"/>
        <v>1</v>
      </c>
      <c r="AI586" t="str">
        <f>IF(客户自备加工筐明细!$E586="","",客户自备加工筐明细!$E586)</f>
        <v/>
      </c>
      <c r="AJ586">
        <f t="shared" si="310"/>
        <v>0</v>
      </c>
      <c r="AK586">
        <f t="shared" si="311"/>
        <v>1</v>
      </c>
      <c r="AO586" t="str">
        <f>IF(次果筐明细!$D586="","",次果筐明细!$D586)</f>
        <v/>
      </c>
      <c r="AP586">
        <f t="shared" si="312"/>
        <v>0</v>
      </c>
      <c r="AQ586">
        <f t="shared" si="313"/>
        <v>1</v>
      </c>
      <c r="AU586" t="str">
        <f>IF(次果筐明细!$C586="","",次果筐明细!$C586)</f>
        <v/>
      </c>
      <c r="AV586">
        <f t="shared" si="314"/>
        <v>0</v>
      </c>
      <c r="AW586">
        <f t="shared" si="315"/>
        <v>1</v>
      </c>
      <c r="BS586" t="str">
        <f t="shared" si="299"/>
        <v/>
      </c>
      <c r="BT586">
        <f t="shared" si="316"/>
        <v>0</v>
      </c>
      <c r="BU586">
        <f t="shared" si="317"/>
        <v>17</v>
      </c>
      <c r="CP586">
        <f>IF(包装物料出入库明细!$D586="",0,1)</f>
        <v>0</v>
      </c>
      <c r="CQ586">
        <f t="shared" si="318"/>
        <v>37</v>
      </c>
      <c r="CS586" t="str">
        <f>IF(OR(周转筐出入库明细!$C587="",周转筐出入库明细!$F587&lt;&gt;"采购入库"),"",周转筐出入库明细!$C587)</f>
        <v/>
      </c>
      <c r="CT586">
        <f t="shared" si="319"/>
        <v>0</v>
      </c>
      <c r="CU586">
        <f t="shared" si="320"/>
        <v>1</v>
      </c>
    </row>
    <row r="587" spans="1:99">
      <c r="A587" t="str">
        <f>IF(包装物料出入库明细!$E587="","",包装物料出入库明细!$E587)</f>
        <v/>
      </c>
      <c r="B587">
        <f t="shared" si="300"/>
        <v>0</v>
      </c>
      <c r="C587">
        <f t="shared" si="301"/>
        <v>7</v>
      </c>
      <c r="D587" t="str">
        <f>IF(包装物料出入库明细!$E587="","",包装物料出入库明细!$F587)</f>
        <v/>
      </c>
      <c r="E587" t="str">
        <f>IF(包装物料出入库明细!$E587="","",包装物料出入库明细!$G587)</f>
        <v/>
      </c>
      <c r="K587" t="str">
        <f>IF(包装物料出入库明细!$D587="","",包装物料出入库明细!$D587)</f>
        <v/>
      </c>
      <c r="L587">
        <f t="shared" si="302"/>
        <v>0</v>
      </c>
      <c r="M587">
        <f t="shared" si="303"/>
        <v>9</v>
      </c>
      <c r="Q587" t="str">
        <f>IF(周转筐出入库明细!$D588="","",周转筐出入库明细!$D588)</f>
        <v/>
      </c>
      <c r="R587">
        <f t="shared" si="304"/>
        <v>0</v>
      </c>
      <c r="S587">
        <f t="shared" si="305"/>
        <v>5</v>
      </c>
      <c r="W587" t="str">
        <f>IF(周转筐出入库明细!$C588="","",周转筐出入库明细!$C588)</f>
        <v/>
      </c>
      <c r="X587">
        <f t="shared" si="306"/>
        <v>0</v>
      </c>
      <c r="Y587">
        <f t="shared" si="307"/>
        <v>12</v>
      </c>
      <c r="AC587" t="str">
        <f>IF(客户自备加工筐明细!$C587="","",客户自备加工筐明细!$C587)</f>
        <v/>
      </c>
      <c r="AD587">
        <f t="shared" si="308"/>
        <v>0</v>
      </c>
      <c r="AE587">
        <f t="shared" si="309"/>
        <v>1</v>
      </c>
      <c r="AI587" t="str">
        <f>IF(客户自备加工筐明细!$E587="","",客户自备加工筐明细!$E587)</f>
        <v/>
      </c>
      <c r="AJ587">
        <f t="shared" si="310"/>
        <v>0</v>
      </c>
      <c r="AK587">
        <f t="shared" si="311"/>
        <v>1</v>
      </c>
      <c r="AO587" t="str">
        <f>IF(次果筐明细!$D587="","",次果筐明细!$D587)</f>
        <v/>
      </c>
      <c r="AP587">
        <f t="shared" si="312"/>
        <v>0</v>
      </c>
      <c r="AQ587">
        <f t="shared" si="313"/>
        <v>1</v>
      </c>
      <c r="AU587" t="str">
        <f>IF(次果筐明细!$C587="","",次果筐明细!$C587)</f>
        <v/>
      </c>
      <c r="AV587">
        <f t="shared" si="314"/>
        <v>0</v>
      </c>
      <c r="AW587">
        <f t="shared" si="315"/>
        <v>1</v>
      </c>
      <c r="BS587" t="str">
        <f t="shared" si="299"/>
        <v/>
      </c>
      <c r="BT587">
        <f t="shared" si="316"/>
        <v>0</v>
      </c>
      <c r="BU587">
        <f t="shared" si="317"/>
        <v>17</v>
      </c>
      <c r="CP587">
        <f>IF(包装物料出入库明细!$D587="",0,1)</f>
        <v>0</v>
      </c>
      <c r="CQ587">
        <f t="shared" si="318"/>
        <v>37</v>
      </c>
      <c r="CS587" t="str">
        <f>IF(OR(周转筐出入库明细!$C588="",周转筐出入库明细!$F588&lt;&gt;"采购入库"),"",周转筐出入库明细!$C588)</f>
        <v/>
      </c>
      <c r="CT587">
        <f t="shared" si="319"/>
        <v>0</v>
      </c>
      <c r="CU587">
        <f t="shared" si="320"/>
        <v>1</v>
      </c>
    </row>
    <row r="588" spans="1:99">
      <c r="A588" t="str">
        <f>IF(包装物料出入库明细!$E588="","",包装物料出入库明细!$E588)</f>
        <v/>
      </c>
      <c r="B588">
        <f t="shared" si="300"/>
        <v>0</v>
      </c>
      <c r="C588">
        <f t="shared" si="301"/>
        <v>7</v>
      </c>
      <c r="D588" t="str">
        <f>IF(包装物料出入库明细!$E588="","",包装物料出入库明细!$F588)</f>
        <v/>
      </c>
      <c r="E588" t="str">
        <f>IF(包装物料出入库明细!$E588="","",包装物料出入库明细!$G588)</f>
        <v/>
      </c>
      <c r="K588" t="str">
        <f>IF(包装物料出入库明细!$D588="","",包装物料出入库明细!$D588)</f>
        <v/>
      </c>
      <c r="L588">
        <f t="shared" si="302"/>
        <v>0</v>
      </c>
      <c r="M588">
        <f t="shared" si="303"/>
        <v>9</v>
      </c>
      <c r="Q588" t="str">
        <f>IF(周转筐出入库明细!$D589="","",周转筐出入库明细!$D589)</f>
        <v/>
      </c>
      <c r="R588">
        <f t="shared" si="304"/>
        <v>0</v>
      </c>
      <c r="S588">
        <f t="shared" si="305"/>
        <v>5</v>
      </c>
      <c r="W588" t="str">
        <f>IF(周转筐出入库明细!$C589="","",周转筐出入库明细!$C589)</f>
        <v/>
      </c>
      <c r="X588">
        <f t="shared" si="306"/>
        <v>0</v>
      </c>
      <c r="Y588">
        <f t="shared" si="307"/>
        <v>12</v>
      </c>
      <c r="AC588" t="str">
        <f>IF(客户自备加工筐明细!$C588="","",客户自备加工筐明细!$C588)</f>
        <v/>
      </c>
      <c r="AD588">
        <f t="shared" si="308"/>
        <v>0</v>
      </c>
      <c r="AE588">
        <f t="shared" si="309"/>
        <v>1</v>
      </c>
      <c r="AI588" t="str">
        <f>IF(客户自备加工筐明细!$E588="","",客户自备加工筐明细!$E588)</f>
        <v/>
      </c>
      <c r="AJ588">
        <f t="shared" si="310"/>
        <v>0</v>
      </c>
      <c r="AK588">
        <f t="shared" si="311"/>
        <v>1</v>
      </c>
      <c r="AO588" t="str">
        <f>IF(次果筐明细!$D588="","",次果筐明细!$D588)</f>
        <v/>
      </c>
      <c r="AP588">
        <f t="shared" si="312"/>
        <v>0</v>
      </c>
      <c r="AQ588">
        <f t="shared" si="313"/>
        <v>1</v>
      </c>
      <c r="AU588" t="str">
        <f>IF(次果筐明细!$C588="","",次果筐明细!$C588)</f>
        <v/>
      </c>
      <c r="AV588">
        <f t="shared" si="314"/>
        <v>0</v>
      </c>
      <c r="AW588">
        <f t="shared" si="315"/>
        <v>1</v>
      </c>
      <c r="BS588" t="str">
        <f t="shared" si="299"/>
        <v/>
      </c>
      <c r="BT588">
        <f t="shared" si="316"/>
        <v>0</v>
      </c>
      <c r="BU588">
        <f t="shared" si="317"/>
        <v>17</v>
      </c>
      <c r="CP588">
        <f>IF(包装物料出入库明细!$D588="",0,1)</f>
        <v>0</v>
      </c>
      <c r="CQ588">
        <f t="shared" si="318"/>
        <v>37</v>
      </c>
      <c r="CS588" t="str">
        <f>IF(OR(周转筐出入库明细!$C589="",周转筐出入库明细!$F589&lt;&gt;"采购入库"),"",周转筐出入库明细!$C589)</f>
        <v/>
      </c>
      <c r="CT588">
        <f t="shared" si="319"/>
        <v>0</v>
      </c>
      <c r="CU588">
        <f t="shared" si="320"/>
        <v>1</v>
      </c>
    </row>
    <row r="589" spans="1:99">
      <c r="A589" t="str">
        <f>IF(包装物料出入库明细!$E589="","",包装物料出入库明细!$E589)</f>
        <v/>
      </c>
      <c r="B589">
        <f t="shared" si="300"/>
        <v>0</v>
      </c>
      <c r="C589">
        <f t="shared" si="301"/>
        <v>7</v>
      </c>
      <c r="D589" t="str">
        <f>IF(包装物料出入库明细!$E589="","",包装物料出入库明细!$F589)</f>
        <v/>
      </c>
      <c r="E589" t="str">
        <f>IF(包装物料出入库明细!$E589="","",包装物料出入库明细!$G589)</f>
        <v/>
      </c>
      <c r="K589" t="str">
        <f>IF(包装物料出入库明细!$D589="","",包装物料出入库明细!$D589)</f>
        <v/>
      </c>
      <c r="L589">
        <f t="shared" si="302"/>
        <v>0</v>
      </c>
      <c r="M589">
        <f t="shared" si="303"/>
        <v>9</v>
      </c>
      <c r="Q589" t="str">
        <f>IF(周转筐出入库明细!$D590="","",周转筐出入库明细!$D590)</f>
        <v/>
      </c>
      <c r="R589">
        <f t="shared" si="304"/>
        <v>0</v>
      </c>
      <c r="S589">
        <f t="shared" si="305"/>
        <v>5</v>
      </c>
      <c r="W589" t="str">
        <f>IF(周转筐出入库明细!$C590="","",周转筐出入库明细!$C590)</f>
        <v/>
      </c>
      <c r="X589">
        <f t="shared" si="306"/>
        <v>0</v>
      </c>
      <c r="Y589">
        <f t="shared" si="307"/>
        <v>12</v>
      </c>
      <c r="AC589" t="str">
        <f>IF(客户自备加工筐明细!$C589="","",客户自备加工筐明细!$C589)</f>
        <v/>
      </c>
      <c r="AD589">
        <f t="shared" si="308"/>
        <v>0</v>
      </c>
      <c r="AE589">
        <f t="shared" si="309"/>
        <v>1</v>
      </c>
      <c r="AI589" t="str">
        <f>IF(客户自备加工筐明细!$E589="","",客户自备加工筐明细!$E589)</f>
        <v/>
      </c>
      <c r="AJ589">
        <f t="shared" si="310"/>
        <v>0</v>
      </c>
      <c r="AK589">
        <f t="shared" si="311"/>
        <v>1</v>
      </c>
      <c r="AO589" t="str">
        <f>IF(次果筐明细!$D589="","",次果筐明细!$D589)</f>
        <v/>
      </c>
      <c r="AP589">
        <f t="shared" si="312"/>
        <v>0</v>
      </c>
      <c r="AQ589">
        <f t="shared" si="313"/>
        <v>1</v>
      </c>
      <c r="AU589" t="str">
        <f>IF(次果筐明细!$C589="","",次果筐明细!$C589)</f>
        <v/>
      </c>
      <c r="AV589">
        <f t="shared" si="314"/>
        <v>0</v>
      </c>
      <c r="AW589">
        <f t="shared" si="315"/>
        <v>1</v>
      </c>
      <c r="BS589" t="str">
        <f t="shared" si="299"/>
        <v/>
      </c>
      <c r="BT589">
        <f t="shared" si="316"/>
        <v>0</v>
      </c>
      <c r="BU589">
        <f t="shared" si="317"/>
        <v>17</v>
      </c>
      <c r="CP589">
        <f>IF(包装物料出入库明细!$D589="",0,1)</f>
        <v>0</v>
      </c>
      <c r="CQ589">
        <f t="shared" si="318"/>
        <v>37</v>
      </c>
      <c r="CS589" t="str">
        <f>IF(OR(周转筐出入库明细!$C590="",周转筐出入库明细!$F590&lt;&gt;"采购入库"),"",周转筐出入库明细!$C590)</f>
        <v/>
      </c>
      <c r="CT589">
        <f t="shared" si="319"/>
        <v>0</v>
      </c>
      <c r="CU589">
        <f t="shared" si="320"/>
        <v>1</v>
      </c>
    </row>
    <row r="590" spans="1:99">
      <c r="A590" t="str">
        <f>IF(包装物料出入库明细!$E590="","",包装物料出入库明细!$E590)</f>
        <v/>
      </c>
      <c r="B590">
        <f t="shared" si="300"/>
        <v>0</v>
      </c>
      <c r="C590">
        <f t="shared" si="301"/>
        <v>7</v>
      </c>
      <c r="D590" t="str">
        <f>IF(包装物料出入库明细!$E590="","",包装物料出入库明细!$F590)</f>
        <v/>
      </c>
      <c r="E590" t="str">
        <f>IF(包装物料出入库明细!$E590="","",包装物料出入库明细!$G590)</f>
        <v/>
      </c>
      <c r="K590" t="str">
        <f>IF(包装物料出入库明细!$D590="","",包装物料出入库明细!$D590)</f>
        <v/>
      </c>
      <c r="L590">
        <f t="shared" si="302"/>
        <v>0</v>
      </c>
      <c r="M590">
        <f t="shared" si="303"/>
        <v>9</v>
      </c>
      <c r="Q590" t="str">
        <f>IF(周转筐出入库明细!$D591="","",周转筐出入库明细!$D591)</f>
        <v/>
      </c>
      <c r="R590">
        <f t="shared" si="304"/>
        <v>0</v>
      </c>
      <c r="S590">
        <f t="shared" si="305"/>
        <v>5</v>
      </c>
      <c r="W590" t="str">
        <f>IF(周转筐出入库明细!$C591="","",周转筐出入库明细!$C591)</f>
        <v/>
      </c>
      <c r="X590">
        <f t="shared" si="306"/>
        <v>0</v>
      </c>
      <c r="Y590">
        <f t="shared" si="307"/>
        <v>12</v>
      </c>
      <c r="AC590" t="str">
        <f>IF(客户自备加工筐明细!$C590="","",客户自备加工筐明细!$C590)</f>
        <v/>
      </c>
      <c r="AD590">
        <f t="shared" si="308"/>
        <v>0</v>
      </c>
      <c r="AE590">
        <f t="shared" si="309"/>
        <v>1</v>
      </c>
      <c r="AI590" t="str">
        <f>IF(客户自备加工筐明细!$E590="","",客户自备加工筐明细!$E590)</f>
        <v/>
      </c>
      <c r="AJ590">
        <f t="shared" si="310"/>
        <v>0</v>
      </c>
      <c r="AK590">
        <f t="shared" si="311"/>
        <v>1</v>
      </c>
      <c r="AO590" t="str">
        <f>IF(次果筐明细!$D590="","",次果筐明细!$D590)</f>
        <v/>
      </c>
      <c r="AP590">
        <f t="shared" si="312"/>
        <v>0</v>
      </c>
      <c r="AQ590">
        <f t="shared" si="313"/>
        <v>1</v>
      </c>
      <c r="AU590" t="str">
        <f>IF(次果筐明细!$C590="","",次果筐明细!$C590)</f>
        <v/>
      </c>
      <c r="AV590">
        <f t="shared" si="314"/>
        <v>0</v>
      </c>
      <c r="AW590">
        <f t="shared" si="315"/>
        <v>1</v>
      </c>
      <c r="BS590" t="str">
        <f t="shared" si="299"/>
        <v/>
      </c>
      <c r="BT590">
        <f t="shared" si="316"/>
        <v>0</v>
      </c>
      <c r="BU590">
        <f t="shared" si="317"/>
        <v>17</v>
      </c>
      <c r="CP590">
        <f>IF(包装物料出入库明细!$D590="",0,1)</f>
        <v>0</v>
      </c>
      <c r="CQ590">
        <f t="shared" si="318"/>
        <v>37</v>
      </c>
      <c r="CS590" t="str">
        <f>IF(OR(周转筐出入库明细!$C591="",周转筐出入库明细!$F591&lt;&gt;"采购入库"),"",周转筐出入库明细!$C591)</f>
        <v/>
      </c>
      <c r="CT590">
        <f t="shared" si="319"/>
        <v>0</v>
      </c>
      <c r="CU590">
        <f t="shared" si="320"/>
        <v>1</v>
      </c>
    </row>
    <row r="591" spans="1:99">
      <c r="A591" t="str">
        <f>IF(包装物料出入库明细!$E591="","",包装物料出入库明细!$E591)</f>
        <v/>
      </c>
      <c r="B591">
        <f t="shared" si="300"/>
        <v>0</v>
      </c>
      <c r="C591">
        <f t="shared" si="301"/>
        <v>7</v>
      </c>
      <c r="D591" t="str">
        <f>IF(包装物料出入库明细!$E591="","",包装物料出入库明细!$F591)</f>
        <v/>
      </c>
      <c r="E591" t="str">
        <f>IF(包装物料出入库明细!$E591="","",包装物料出入库明细!$G591)</f>
        <v/>
      </c>
      <c r="K591" t="str">
        <f>IF(包装物料出入库明细!$D591="","",包装物料出入库明细!$D591)</f>
        <v/>
      </c>
      <c r="L591">
        <f t="shared" si="302"/>
        <v>0</v>
      </c>
      <c r="M591">
        <f t="shared" si="303"/>
        <v>9</v>
      </c>
      <c r="Q591" t="str">
        <f>IF(周转筐出入库明细!$D592="","",周转筐出入库明细!$D592)</f>
        <v/>
      </c>
      <c r="R591">
        <f t="shared" si="304"/>
        <v>0</v>
      </c>
      <c r="S591">
        <f t="shared" si="305"/>
        <v>5</v>
      </c>
      <c r="W591" t="str">
        <f>IF(周转筐出入库明细!$C592="","",周转筐出入库明细!$C592)</f>
        <v/>
      </c>
      <c r="X591">
        <f t="shared" si="306"/>
        <v>0</v>
      </c>
      <c r="Y591">
        <f t="shared" si="307"/>
        <v>12</v>
      </c>
      <c r="AC591" t="str">
        <f>IF(客户自备加工筐明细!$C591="","",客户自备加工筐明细!$C591)</f>
        <v/>
      </c>
      <c r="AD591">
        <f t="shared" si="308"/>
        <v>0</v>
      </c>
      <c r="AE591">
        <f t="shared" si="309"/>
        <v>1</v>
      </c>
      <c r="AI591" t="str">
        <f>IF(客户自备加工筐明细!$E591="","",客户自备加工筐明细!$E591)</f>
        <v/>
      </c>
      <c r="AJ591">
        <f t="shared" si="310"/>
        <v>0</v>
      </c>
      <c r="AK591">
        <f t="shared" si="311"/>
        <v>1</v>
      </c>
      <c r="AO591" t="str">
        <f>IF(次果筐明细!$D591="","",次果筐明细!$D591)</f>
        <v/>
      </c>
      <c r="AP591">
        <f t="shared" si="312"/>
        <v>0</v>
      </c>
      <c r="AQ591">
        <f t="shared" si="313"/>
        <v>1</v>
      </c>
      <c r="AU591" t="str">
        <f>IF(次果筐明细!$C591="","",次果筐明细!$C591)</f>
        <v/>
      </c>
      <c r="AV591">
        <f t="shared" si="314"/>
        <v>0</v>
      </c>
      <c r="AW591">
        <f t="shared" si="315"/>
        <v>1</v>
      </c>
      <c r="BS591" t="str">
        <f t="shared" si="299"/>
        <v/>
      </c>
      <c r="BT591">
        <f t="shared" si="316"/>
        <v>0</v>
      </c>
      <c r="BU591">
        <f t="shared" si="317"/>
        <v>17</v>
      </c>
      <c r="CP591">
        <f>IF(包装物料出入库明细!$D591="",0,1)</f>
        <v>0</v>
      </c>
      <c r="CQ591">
        <f t="shared" si="318"/>
        <v>37</v>
      </c>
      <c r="CS591" t="str">
        <f>IF(OR(周转筐出入库明细!$C592="",周转筐出入库明细!$F592&lt;&gt;"采购入库"),"",周转筐出入库明细!$C592)</f>
        <v/>
      </c>
      <c r="CT591">
        <f t="shared" si="319"/>
        <v>0</v>
      </c>
      <c r="CU591">
        <f t="shared" si="320"/>
        <v>1</v>
      </c>
    </row>
    <row r="592" spans="1:99">
      <c r="A592" t="str">
        <f>IF(包装物料出入库明细!$E592="","",包装物料出入库明细!$E592)</f>
        <v/>
      </c>
      <c r="B592">
        <f t="shared" si="300"/>
        <v>0</v>
      </c>
      <c r="C592">
        <f t="shared" si="301"/>
        <v>7</v>
      </c>
      <c r="D592" t="str">
        <f>IF(包装物料出入库明细!$E592="","",包装物料出入库明细!$F592)</f>
        <v/>
      </c>
      <c r="E592" t="str">
        <f>IF(包装物料出入库明细!$E592="","",包装物料出入库明细!$G592)</f>
        <v/>
      </c>
      <c r="K592" t="str">
        <f>IF(包装物料出入库明细!$D592="","",包装物料出入库明细!$D592)</f>
        <v/>
      </c>
      <c r="L592">
        <f t="shared" si="302"/>
        <v>0</v>
      </c>
      <c r="M592">
        <f t="shared" si="303"/>
        <v>9</v>
      </c>
      <c r="Q592" t="str">
        <f>IF(周转筐出入库明细!$D593="","",周转筐出入库明细!$D593)</f>
        <v/>
      </c>
      <c r="R592">
        <f t="shared" si="304"/>
        <v>0</v>
      </c>
      <c r="S592">
        <f t="shared" si="305"/>
        <v>5</v>
      </c>
      <c r="W592" t="str">
        <f>IF(周转筐出入库明细!$C593="","",周转筐出入库明细!$C593)</f>
        <v/>
      </c>
      <c r="X592">
        <f t="shared" si="306"/>
        <v>0</v>
      </c>
      <c r="Y592">
        <f t="shared" si="307"/>
        <v>12</v>
      </c>
      <c r="AC592" t="str">
        <f>IF(客户自备加工筐明细!$C592="","",客户自备加工筐明细!$C592)</f>
        <v/>
      </c>
      <c r="AD592">
        <f t="shared" si="308"/>
        <v>0</v>
      </c>
      <c r="AE592">
        <f t="shared" si="309"/>
        <v>1</v>
      </c>
      <c r="AI592" t="str">
        <f>IF(客户自备加工筐明细!$E592="","",客户自备加工筐明细!$E592)</f>
        <v/>
      </c>
      <c r="AJ592">
        <f t="shared" si="310"/>
        <v>0</v>
      </c>
      <c r="AK592">
        <f t="shared" si="311"/>
        <v>1</v>
      </c>
      <c r="AO592" t="str">
        <f>IF(次果筐明细!$D592="","",次果筐明细!$D592)</f>
        <v/>
      </c>
      <c r="AP592">
        <f t="shared" si="312"/>
        <v>0</v>
      </c>
      <c r="AQ592">
        <f t="shared" si="313"/>
        <v>1</v>
      </c>
      <c r="AU592" t="str">
        <f>IF(次果筐明细!$C592="","",次果筐明细!$C592)</f>
        <v/>
      </c>
      <c r="AV592">
        <f t="shared" si="314"/>
        <v>0</v>
      </c>
      <c r="AW592">
        <f t="shared" si="315"/>
        <v>1</v>
      </c>
      <c r="BS592" t="str">
        <f t="shared" si="299"/>
        <v/>
      </c>
      <c r="BT592">
        <f t="shared" si="316"/>
        <v>0</v>
      </c>
      <c r="BU592">
        <f t="shared" si="317"/>
        <v>17</v>
      </c>
      <c r="CP592">
        <f>IF(包装物料出入库明细!$D592="",0,1)</f>
        <v>0</v>
      </c>
      <c r="CQ592">
        <f t="shared" si="318"/>
        <v>37</v>
      </c>
      <c r="CS592" t="str">
        <f>IF(OR(周转筐出入库明细!$C593="",周转筐出入库明细!$F593&lt;&gt;"采购入库"),"",周转筐出入库明细!$C593)</f>
        <v/>
      </c>
      <c r="CT592">
        <f t="shared" si="319"/>
        <v>0</v>
      </c>
      <c r="CU592">
        <f t="shared" si="320"/>
        <v>1</v>
      </c>
    </row>
    <row r="593" spans="1:99">
      <c r="A593" t="str">
        <f>IF(包装物料出入库明细!$E593="","",包装物料出入库明细!$E593)</f>
        <v/>
      </c>
      <c r="B593">
        <f t="shared" si="300"/>
        <v>0</v>
      </c>
      <c r="C593">
        <f t="shared" si="301"/>
        <v>7</v>
      </c>
      <c r="D593" t="str">
        <f>IF(包装物料出入库明细!$E593="","",包装物料出入库明细!$F593)</f>
        <v/>
      </c>
      <c r="E593" t="str">
        <f>IF(包装物料出入库明细!$E593="","",包装物料出入库明细!$G593)</f>
        <v/>
      </c>
      <c r="K593" t="str">
        <f>IF(包装物料出入库明细!$D593="","",包装物料出入库明细!$D593)</f>
        <v/>
      </c>
      <c r="L593">
        <f t="shared" si="302"/>
        <v>0</v>
      </c>
      <c r="M593">
        <f t="shared" si="303"/>
        <v>9</v>
      </c>
      <c r="Q593" t="str">
        <f>IF(周转筐出入库明细!$D594="","",周转筐出入库明细!$D594)</f>
        <v/>
      </c>
      <c r="R593">
        <f t="shared" si="304"/>
        <v>0</v>
      </c>
      <c r="S593">
        <f t="shared" si="305"/>
        <v>5</v>
      </c>
      <c r="W593" t="str">
        <f>IF(周转筐出入库明细!$C594="","",周转筐出入库明细!$C594)</f>
        <v/>
      </c>
      <c r="X593">
        <f t="shared" si="306"/>
        <v>0</v>
      </c>
      <c r="Y593">
        <f t="shared" si="307"/>
        <v>12</v>
      </c>
      <c r="AC593" t="str">
        <f>IF(客户自备加工筐明细!$C593="","",客户自备加工筐明细!$C593)</f>
        <v/>
      </c>
      <c r="AD593">
        <f t="shared" si="308"/>
        <v>0</v>
      </c>
      <c r="AE593">
        <f t="shared" si="309"/>
        <v>1</v>
      </c>
      <c r="AI593" t="str">
        <f>IF(客户自备加工筐明细!$E593="","",客户自备加工筐明细!$E593)</f>
        <v/>
      </c>
      <c r="AJ593">
        <f t="shared" si="310"/>
        <v>0</v>
      </c>
      <c r="AK593">
        <f t="shared" si="311"/>
        <v>1</v>
      </c>
      <c r="AO593" t="str">
        <f>IF(次果筐明细!$D593="","",次果筐明细!$D593)</f>
        <v/>
      </c>
      <c r="AP593">
        <f t="shared" si="312"/>
        <v>0</v>
      </c>
      <c r="AQ593">
        <f t="shared" si="313"/>
        <v>1</v>
      </c>
      <c r="AU593" t="str">
        <f>IF(次果筐明细!$C593="","",次果筐明细!$C593)</f>
        <v/>
      </c>
      <c r="AV593">
        <f t="shared" si="314"/>
        <v>0</v>
      </c>
      <c r="AW593">
        <f t="shared" si="315"/>
        <v>1</v>
      </c>
      <c r="BS593" t="str">
        <f t="shared" si="299"/>
        <v/>
      </c>
      <c r="BT593">
        <f t="shared" si="316"/>
        <v>0</v>
      </c>
      <c r="BU593">
        <f t="shared" si="317"/>
        <v>17</v>
      </c>
      <c r="CP593">
        <f>IF(包装物料出入库明细!$D593="",0,1)</f>
        <v>0</v>
      </c>
      <c r="CQ593">
        <f t="shared" si="318"/>
        <v>37</v>
      </c>
      <c r="CS593" t="str">
        <f>IF(OR(周转筐出入库明细!$C594="",周转筐出入库明细!$F594&lt;&gt;"采购入库"),"",周转筐出入库明细!$C594)</f>
        <v/>
      </c>
      <c r="CT593">
        <f t="shared" si="319"/>
        <v>0</v>
      </c>
      <c r="CU593">
        <f t="shared" si="320"/>
        <v>1</v>
      </c>
    </row>
    <row r="594" spans="1:99">
      <c r="A594" t="str">
        <f>IF(包装物料出入库明细!$E594="","",包装物料出入库明细!$E594)</f>
        <v/>
      </c>
      <c r="B594">
        <f t="shared" si="300"/>
        <v>0</v>
      </c>
      <c r="C594">
        <f t="shared" si="301"/>
        <v>7</v>
      </c>
      <c r="D594" t="str">
        <f>IF(包装物料出入库明细!$E594="","",包装物料出入库明细!$F594)</f>
        <v/>
      </c>
      <c r="E594" t="str">
        <f>IF(包装物料出入库明细!$E594="","",包装物料出入库明细!$G594)</f>
        <v/>
      </c>
      <c r="K594" t="str">
        <f>IF(包装物料出入库明细!$D594="","",包装物料出入库明细!$D594)</f>
        <v/>
      </c>
      <c r="L594">
        <f t="shared" si="302"/>
        <v>0</v>
      </c>
      <c r="M594">
        <f t="shared" si="303"/>
        <v>9</v>
      </c>
      <c r="Q594" t="str">
        <f>IF(周转筐出入库明细!$D595="","",周转筐出入库明细!$D595)</f>
        <v/>
      </c>
      <c r="R594">
        <f t="shared" si="304"/>
        <v>0</v>
      </c>
      <c r="S594">
        <f t="shared" si="305"/>
        <v>5</v>
      </c>
      <c r="W594" t="str">
        <f>IF(周转筐出入库明细!$C595="","",周转筐出入库明细!$C595)</f>
        <v/>
      </c>
      <c r="X594">
        <f t="shared" si="306"/>
        <v>0</v>
      </c>
      <c r="Y594">
        <f t="shared" si="307"/>
        <v>12</v>
      </c>
      <c r="AC594" t="str">
        <f>IF(客户自备加工筐明细!$C594="","",客户自备加工筐明细!$C594)</f>
        <v/>
      </c>
      <c r="AD594">
        <f t="shared" si="308"/>
        <v>0</v>
      </c>
      <c r="AE594">
        <f t="shared" si="309"/>
        <v>1</v>
      </c>
      <c r="AI594" t="str">
        <f>IF(客户自备加工筐明细!$E594="","",客户自备加工筐明细!$E594)</f>
        <v/>
      </c>
      <c r="AJ594">
        <f t="shared" si="310"/>
        <v>0</v>
      </c>
      <c r="AK594">
        <f t="shared" si="311"/>
        <v>1</v>
      </c>
      <c r="AO594" t="str">
        <f>IF(次果筐明细!$D594="","",次果筐明细!$D594)</f>
        <v/>
      </c>
      <c r="AP594">
        <f t="shared" si="312"/>
        <v>0</v>
      </c>
      <c r="AQ594">
        <f t="shared" si="313"/>
        <v>1</v>
      </c>
      <c r="AU594" t="str">
        <f>IF(次果筐明细!$C594="","",次果筐明细!$C594)</f>
        <v/>
      </c>
      <c r="AV594">
        <f t="shared" si="314"/>
        <v>0</v>
      </c>
      <c r="AW594">
        <f t="shared" si="315"/>
        <v>1</v>
      </c>
      <c r="BS594" t="str">
        <f t="shared" si="299"/>
        <v/>
      </c>
      <c r="BT594">
        <f t="shared" si="316"/>
        <v>0</v>
      </c>
      <c r="BU594">
        <f t="shared" si="317"/>
        <v>17</v>
      </c>
      <c r="CP594">
        <f>IF(包装物料出入库明细!$D594="",0,1)</f>
        <v>0</v>
      </c>
      <c r="CQ594">
        <f t="shared" si="318"/>
        <v>37</v>
      </c>
      <c r="CS594" t="str">
        <f>IF(OR(周转筐出入库明细!$C595="",周转筐出入库明细!$F595&lt;&gt;"采购入库"),"",周转筐出入库明细!$C595)</f>
        <v/>
      </c>
      <c r="CT594">
        <f t="shared" si="319"/>
        <v>0</v>
      </c>
      <c r="CU594">
        <f t="shared" si="320"/>
        <v>1</v>
      </c>
    </row>
    <row r="595" spans="1:99">
      <c r="A595" t="str">
        <f>IF(包装物料出入库明细!$E595="","",包装物料出入库明细!$E595)</f>
        <v/>
      </c>
      <c r="B595">
        <f t="shared" si="300"/>
        <v>0</v>
      </c>
      <c r="C595">
        <f t="shared" si="301"/>
        <v>7</v>
      </c>
      <c r="D595" t="str">
        <f>IF(包装物料出入库明细!$E595="","",包装物料出入库明细!$F595)</f>
        <v/>
      </c>
      <c r="E595" t="str">
        <f>IF(包装物料出入库明细!$E595="","",包装物料出入库明细!$G595)</f>
        <v/>
      </c>
      <c r="K595" t="str">
        <f>IF(包装物料出入库明细!$D595="","",包装物料出入库明细!$D595)</f>
        <v/>
      </c>
      <c r="L595">
        <f t="shared" si="302"/>
        <v>0</v>
      </c>
      <c r="M595">
        <f t="shared" si="303"/>
        <v>9</v>
      </c>
      <c r="Q595" t="str">
        <f>IF(周转筐出入库明细!$D596="","",周转筐出入库明细!$D596)</f>
        <v/>
      </c>
      <c r="R595">
        <f t="shared" si="304"/>
        <v>0</v>
      </c>
      <c r="S595">
        <f t="shared" si="305"/>
        <v>5</v>
      </c>
      <c r="W595" t="str">
        <f>IF(周转筐出入库明细!$C596="","",周转筐出入库明细!$C596)</f>
        <v/>
      </c>
      <c r="X595">
        <f t="shared" si="306"/>
        <v>0</v>
      </c>
      <c r="Y595">
        <f t="shared" si="307"/>
        <v>12</v>
      </c>
      <c r="AC595" t="str">
        <f>IF(客户自备加工筐明细!$C595="","",客户自备加工筐明细!$C595)</f>
        <v/>
      </c>
      <c r="AD595">
        <f t="shared" si="308"/>
        <v>0</v>
      </c>
      <c r="AE595">
        <f t="shared" si="309"/>
        <v>1</v>
      </c>
      <c r="AI595" t="str">
        <f>IF(客户自备加工筐明细!$E595="","",客户自备加工筐明细!$E595)</f>
        <v/>
      </c>
      <c r="AJ595">
        <f t="shared" si="310"/>
        <v>0</v>
      </c>
      <c r="AK595">
        <f t="shared" si="311"/>
        <v>1</v>
      </c>
      <c r="AO595" t="str">
        <f>IF(次果筐明细!$D595="","",次果筐明细!$D595)</f>
        <v/>
      </c>
      <c r="AP595">
        <f t="shared" si="312"/>
        <v>0</v>
      </c>
      <c r="AQ595">
        <f t="shared" si="313"/>
        <v>1</v>
      </c>
      <c r="AU595" t="str">
        <f>IF(次果筐明细!$C595="","",次果筐明细!$C595)</f>
        <v/>
      </c>
      <c r="AV595">
        <f t="shared" si="314"/>
        <v>0</v>
      </c>
      <c r="AW595">
        <f t="shared" si="315"/>
        <v>1</v>
      </c>
      <c r="BS595" t="str">
        <f t="shared" si="299"/>
        <v/>
      </c>
      <c r="BT595">
        <f t="shared" si="316"/>
        <v>0</v>
      </c>
      <c r="BU595">
        <f t="shared" si="317"/>
        <v>17</v>
      </c>
      <c r="CP595">
        <f>IF(包装物料出入库明细!$D595="",0,1)</f>
        <v>0</v>
      </c>
      <c r="CQ595">
        <f t="shared" si="318"/>
        <v>37</v>
      </c>
      <c r="CS595" t="str">
        <f>IF(OR(周转筐出入库明细!$C596="",周转筐出入库明细!$F596&lt;&gt;"采购入库"),"",周转筐出入库明细!$C596)</f>
        <v/>
      </c>
      <c r="CT595">
        <f t="shared" si="319"/>
        <v>0</v>
      </c>
      <c r="CU595">
        <f t="shared" si="320"/>
        <v>1</v>
      </c>
    </row>
    <row r="596" spans="1:99">
      <c r="A596" t="str">
        <f>IF(包装物料出入库明细!$E596="","",包装物料出入库明细!$E596)</f>
        <v/>
      </c>
      <c r="B596">
        <f t="shared" si="300"/>
        <v>0</v>
      </c>
      <c r="C596">
        <f t="shared" si="301"/>
        <v>7</v>
      </c>
      <c r="D596" t="str">
        <f>IF(包装物料出入库明细!$E596="","",包装物料出入库明细!$F596)</f>
        <v/>
      </c>
      <c r="E596" t="str">
        <f>IF(包装物料出入库明细!$E596="","",包装物料出入库明细!$G596)</f>
        <v/>
      </c>
      <c r="K596" t="str">
        <f>IF(包装物料出入库明细!$D596="","",包装物料出入库明细!$D596)</f>
        <v/>
      </c>
      <c r="L596">
        <f t="shared" si="302"/>
        <v>0</v>
      </c>
      <c r="M596">
        <f t="shared" si="303"/>
        <v>9</v>
      </c>
      <c r="Q596" t="str">
        <f>IF(周转筐出入库明细!$D597="","",周转筐出入库明细!$D597)</f>
        <v/>
      </c>
      <c r="R596">
        <f t="shared" si="304"/>
        <v>0</v>
      </c>
      <c r="S596">
        <f t="shared" si="305"/>
        <v>5</v>
      </c>
      <c r="W596" t="str">
        <f>IF(周转筐出入库明细!$C597="","",周转筐出入库明细!$C597)</f>
        <v/>
      </c>
      <c r="X596">
        <f t="shared" si="306"/>
        <v>0</v>
      </c>
      <c r="Y596">
        <f t="shared" si="307"/>
        <v>12</v>
      </c>
      <c r="AC596" t="str">
        <f>IF(客户自备加工筐明细!$C596="","",客户自备加工筐明细!$C596)</f>
        <v/>
      </c>
      <c r="AD596">
        <f t="shared" si="308"/>
        <v>0</v>
      </c>
      <c r="AE596">
        <f t="shared" si="309"/>
        <v>1</v>
      </c>
      <c r="AI596" t="str">
        <f>IF(客户自备加工筐明细!$E596="","",客户自备加工筐明细!$E596)</f>
        <v/>
      </c>
      <c r="AJ596">
        <f t="shared" si="310"/>
        <v>0</v>
      </c>
      <c r="AK596">
        <f t="shared" si="311"/>
        <v>1</v>
      </c>
      <c r="AO596" t="str">
        <f>IF(次果筐明细!$D596="","",次果筐明细!$D596)</f>
        <v/>
      </c>
      <c r="AP596">
        <f t="shared" si="312"/>
        <v>0</v>
      </c>
      <c r="AQ596">
        <f t="shared" si="313"/>
        <v>1</v>
      </c>
      <c r="AU596" t="str">
        <f>IF(次果筐明细!$C596="","",次果筐明细!$C596)</f>
        <v/>
      </c>
      <c r="AV596">
        <f t="shared" si="314"/>
        <v>0</v>
      </c>
      <c r="AW596">
        <f t="shared" si="315"/>
        <v>1</v>
      </c>
      <c r="BS596" t="str">
        <f t="shared" ref="BS596:BS603" si="321">IF($AM196="","",$AM196)</f>
        <v/>
      </c>
      <c r="BT596">
        <f t="shared" si="316"/>
        <v>0</v>
      </c>
      <c r="BU596">
        <f t="shared" si="317"/>
        <v>17</v>
      </c>
      <c r="CP596">
        <f>IF(包装物料出入库明细!$D596="",0,1)</f>
        <v>0</v>
      </c>
      <c r="CQ596">
        <f t="shared" si="318"/>
        <v>37</v>
      </c>
      <c r="CS596" t="str">
        <f>IF(OR(周转筐出入库明细!$C597="",周转筐出入库明细!$F597&lt;&gt;"采购入库"),"",周转筐出入库明细!$C597)</f>
        <v/>
      </c>
      <c r="CT596">
        <f t="shared" si="319"/>
        <v>0</v>
      </c>
      <c r="CU596">
        <f t="shared" si="320"/>
        <v>1</v>
      </c>
    </row>
    <row r="597" spans="1:99">
      <c r="A597" t="str">
        <f>IF(包装物料出入库明细!$E597="","",包装物料出入库明细!$E597)</f>
        <v/>
      </c>
      <c r="B597">
        <f t="shared" si="300"/>
        <v>0</v>
      </c>
      <c r="C597">
        <f t="shared" si="301"/>
        <v>7</v>
      </c>
      <c r="D597" t="str">
        <f>IF(包装物料出入库明细!$E597="","",包装物料出入库明细!$F597)</f>
        <v/>
      </c>
      <c r="E597" t="str">
        <f>IF(包装物料出入库明细!$E597="","",包装物料出入库明细!$G597)</f>
        <v/>
      </c>
      <c r="K597" t="str">
        <f>IF(包装物料出入库明细!$D597="","",包装物料出入库明细!$D597)</f>
        <v/>
      </c>
      <c r="L597">
        <f t="shared" si="302"/>
        <v>0</v>
      </c>
      <c r="M597">
        <f t="shared" si="303"/>
        <v>9</v>
      </c>
      <c r="Q597" t="str">
        <f>IF(周转筐出入库明细!$D598="","",周转筐出入库明细!$D598)</f>
        <v/>
      </c>
      <c r="R597">
        <f t="shared" si="304"/>
        <v>0</v>
      </c>
      <c r="S597">
        <f t="shared" si="305"/>
        <v>5</v>
      </c>
      <c r="W597" t="str">
        <f>IF(周转筐出入库明细!$C598="","",周转筐出入库明细!$C598)</f>
        <v/>
      </c>
      <c r="X597">
        <f t="shared" si="306"/>
        <v>0</v>
      </c>
      <c r="Y597">
        <f t="shared" si="307"/>
        <v>12</v>
      </c>
      <c r="AC597" t="str">
        <f>IF(客户自备加工筐明细!$C597="","",客户自备加工筐明细!$C597)</f>
        <v/>
      </c>
      <c r="AD597">
        <f t="shared" si="308"/>
        <v>0</v>
      </c>
      <c r="AE597">
        <f t="shared" si="309"/>
        <v>1</v>
      </c>
      <c r="AI597" t="str">
        <f>IF(客户自备加工筐明细!$E597="","",客户自备加工筐明细!$E597)</f>
        <v/>
      </c>
      <c r="AJ597">
        <f t="shared" si="310"/>
        <v>0</v>
      </c>
      <c r="AK597">
        <f t="shared" si="311"/>
        <v>1</v>
      </c>
      <c r="AO597" t="str">
        <f>IF(次果筐明细!$D597="","",次果筐明细!$D597)</f>
        <v/>
      </c>
      <c r="AP597">
        <f t="shared" si="312"/>
        <v>0</v>
      </c>
      <c r="AQ597">
        <f t="shared" si="313"/>
        <v>1</v>
      </c>
      <c r="AU597" t="str">
        <f>IF(次果筐明细!$C597="","",次果筐明细!$C597)</f>
        <v/>
      </c>
      <c r="AV597">
        <f t="shared" si="314"/>
        <v>0</v>
      </c>
      <c r="AW597">
        <f t="shared" si="315"/>
        <v>1</v>
      </c>
      <c r="BS597" t="str">
        <f t="shared" si="321"/>
        <v/>
      </c>
      <c r="BT597">
        <f t="shared" si="316"/>
        <v>0</v>
      </c>
      <c r="BU597">
        <f t="shared" si="317"/>
        <v>17</v>
      </c>
      <c r="CP597">
        <f>IF(包装物料出入库明细!$D597="",0,1)</f>
        <v>0</v>
      </c>
      <c r="CQ597">
        <f t="shared" si="318"/>
        <v>37</v>
      </c>
      <c r="CS597" t="str">
        <f>IF(OR(周转筐出入库明细!$C598="",周转筐出入库明细!$F598&lt;&gt;"采购入库"),"",周转筐出入库明细!$C598)</f>
        <v/>
      </c>
      <c r="CT597">
        <f t="shared" si="319"/>
        <v>0</v>
      </c>
      <c r="CU597">
        <f t="shared" si="320"/>
        <v>1</v>
      </c>
    </row>
    <row r="598" spans="1:99">
      <c r="A598" t="str">
        <f>IF(包装物料出入库明细!$E598="","",包装物料出入库明细!$E598)</f>
        <v/>
      </c>
      <c r="B598">
        <f t="shared" si="300"/>
        <v>0</v>
      </c>
      <c r="C598">
        <f t="shared" si="301"/>
        <v>7</v>
      </c>
      <c r="D598" t="str">
        <f>IF(包装物料出入库明细!$E598="","",包装物料出入库明细!$F598)</f>
        <v/>
      </c>
      <c r="E598" t="str">
        <f>IF(包装物料出入库明细!$E598="","",包装物料出入库明细!$G598)</f>
        <v/>
      </c>
      <c r="K598" t="str">
        <f>IF(包装物料出入库明细!$D598="","",包装物料出入库明细!$D598)</f>
        <v/>
      </c>
      <c r="L598">
        <f t="shared" si="302"/>
        <v>0</v>
      </c>
      <c r="M598">
        <f t="shared" si="303"/>
        <v>9</v>
      </c>
      <c r="Q598" t="str">
        <f>IF(周转筐出入库明细!$D599="","",周转筐出入库明细!$D599)</f>
        <v/>
      </c>
      <c r="R598">
        <f t="shared" si="304"/>
        <v>0</v>
      </c>
      <c r="S598">
        <f t="shared" si="305"/>
        <v>5</v>
      </c>
      <c r="W598" t="str">
        <f>IF(周转筐出入库明细!$C599="","",周转筐出入库明细!$C599)</f>
        <v/>
      </c>
      <c r="X598">
        <f t="shared" si="306"/>
        <v>0</v>
      </c>
      <c r="Y598">
        <f t="shared" si="307"/>
        <v>12</v>
      </c>
      <c r="AC598" t="str">
        <f>IF(客户自备加工筐明细!$C598="","",客户自备加工筐明细!$C598)</f>
        <v/>
      </c>
      <c r="AD598">
        <f t="shared" si="308"/>
        <v>0</v>
      </c>
      <c r="AE598">
        <f t="shared" si="309"/>
        <v>1</v>
      </c>
      <c r="AI598" t="str">
        <f>IF(客户自备加工筐明细!$E598="","",客户自备加工筐明细!$E598)</f>
        <v/>
      </c>
      <c r="AJ598">
        <f t="shared" si="310"/>
        <v>0</v>
      </c>
      <c r="AK598">
        <f t="shared" si="311"/>
        <v>1</v>
      </c>
      <c r="AO598" t="str">
        <f>IF(次果筐明细!$D598="","",次果筐明细!$D598)</f>
        <v/>
      </c>
      <c r="AP598">
        <f t="shared" si="312"/>
        <v>0</v>
      </c>
      <c r="AQ598">
        <f t="shared" si="313"/>
        <v>1</v>
      </c>
      <c r="AU598" t="str">
        <f>IF(次果筐明细!$C598="","",次果筐明细!$C598)</f>
        <v/>
      </c>
      <c r="AV598">
        <f t="shared" si="314"/>
        <v>0</v>
      </c>
      <c r="AW598">
        <f t="shared" si="315"/>
        <v>1</v>
      </c>
      <c r="BS598" t="str">
        <f t="shared" si="321"/>
        <v/>
      </c>
      <c r="BT598">
        <f t="shared" si="316"/>
        <v>0</v>
      </c>
      <c r="BU598">
        <f t="shared" si="317"/>
        <v>17</v>
      </c>
      <c r="CP598">
        <f>IF(包装物料出入库明细!$D598="",0,1)</f>
        <v>0</v>
      </c>
      <c r="CQ598">
        <f t="shared" si="318"/>
        <v>37</v>
      </c>
      <c r="CS598" t="str">
        <f>IF(OR(周转筐出入库明细!$C599="",周转筐出入库明细!$F599&lt;&gt;"采购入库"),"",周转筐出入库明细!$C599)</f>
        <v/>
      </c>
      <c r="CT598">
        <f t="shared" si="319"/>
        <v>0</v>
      </c>
      <c r="CU598">
        <f t="shared" si="320"/>
        <v>1</v>
      </c>
    </row>
    <row r="599" spans="1:99">
      <c r="A599" t="str">
        <f>IF(包装物料出入库明细!$E599="","",包装物料出入库明细!$E599)</f>
        <v/>
      </c>
      <c r="B599">
        <f t="shared" si="300"/>
        <v>0</v>
      </c>
      <c r="C599">
        <f t="shared" si="301"/>
        <v>7</v>
      </c>
      <c r="D599" t="str">
        <f>IF(包装物料出入库明细!$E599="","",包装物料出入库明细!$F599)</f>
        <v/>
      </c>
      <c r="E599" t="str">
        <f>IF(包装物料出入库明细!$E599="","",包装物料出入库明细!$G599)</f>
        <v/>
      </c>
      <c r="K599" t="str">
        <f>IF(包装物料出入库明细!$D599="","",包装物料出入库明细!$D599)</f>
        <v/>
      </c>
      <c r="L599">
        <f t="shared" si="302"/>
        <v>0</v>
      </c>
      <c r="M599">
        <f t="shared" si="303"/>
        <v>9</v>
      </c>
      <c r="Q599" t="str">
        <f>IF(周转筐出入库明细!$D600="","",周转筐出入库明细!$D600)</f>
        <v/>
      </c>
      <c r="R599">
        <f t="shared" si="304"/>
        <v>0</v>
      </c>
      <c r="S599">
        <f t="shared" si="305"/>
        <v>5</v>
      </c>
      <c r="W599" t="str">
        <f>IF(周转筐出入库明细!$C600="","",周转筐出入库明细!$C600)</f>
        <v/>
      </c>
      <c r="X599">
        <f t="shared" si="306"/>
        <v>0</v>
      </c>
      <c r="Y599">
        <f t="shared" si="307"/>
        <v>12</v>
      </c>
      <c r="AC599" t="str">
        <f>IF(客户自备加工筐明细!$C599="","",客户自备加工筐明细!$C599)</f>
        <v/>
      </c>
      <c r="AD599">
        <f t="shared" si="308"/>
        <v>0</v>
      </c>
      <c r="AE599">
        <f t="shared" si="309"/>
        <v>1</v>
      </c>
      <c r="AI599" t="str">
        <f>IF(客户自备加工筐明细!$E599="","",客户自备加工筐明细!$E599)</f>
        <v/>
      </c>
      <c r="AJ599">
        <f t="shared" si="310"/>
        <v>0</v>
      </c>
      <c r="AK599">
        <f t="shared" si="311"/>
        <v>1</v>
      </c>
      <c r="AO599" t="str">
        <f>IF(次果筐明细!$D599="","",次果筐明细!$D599)</f>
        <v/>
      </c>
      <c r="AP599">
        <f t="shared" si="312"/>
        <v>0</v>
      </c>
      <c r="AQ599">
        <f t="shared" si="313"/>
        <v>1</v>
      </c>
      <c r="AU599" t="str">
        <f>IF(次果筐明细!$C599="","",次果筐明细!$C599)</f>
        <v/>
      </c>
      <c r="AV599">
        <f t="shared" si="314"/>
        <v>0</v>
      </c>
      <c r="AW599">
        <f t="shared" si="315"/>
        <v>1</v>
      </c>
      <c r="BS599" t="str">
        <f t="shared" si="321"/>
        <v/>
      </c>
      <c r="BT599">
        <f t="shared" si="316"/>
        <v>0</v>
      </c>
      <c r="BU599">
        <f t="shared" si="317"/>
        <v>17</v>
      </c>
      <c r="CP599">
        <f>IF(包装物料出入库明细!$D599="",0,1)</f>
        <v>0</v>
      </c>
      <c r="CQ599">
        <f t="shared" si="318"/>
        <v>37</v>
      </c>
      <c r="CS599" t="str">
        <f>IF(OR(周转筐出入库明细!$C600="",周转筐出入库明细!$F600&lt;&gt;"采购入库"),"",周转筐出入库明细!$C600)</f>
        <v/>
      </c>
      <c r="CT599">
        <f t="shared" si="319"/>
        <v>0</v>
      </c>
      <c r="CU599">
        <f t="shared" si="320"/>
        <v>1</v>
      </c>
    </row>
    <row r="600" spans="1:99">
      <c r="A600" t="str">
        <f>IF(包装物料出入库明细!$E600="","",包装物料出入库明细!$E600)</f>
        <v/>
      </c>
      <c r="B600">
        <f t="shared" si="300"/>
        <v>0</v>
      </c>
      <c r="C600">
        <f t="shared" si="301"/>
        <v>7</v>
      </c>
      <c r="D600" t="str">
        <f>IF(包装物料出入库明细!$E600="","",包装物料出入库明细!$F600)</f>
        <v/>
      </c>
      <c r="E600" t="str">
        <f>IF(包装物料出入库明细!$E600="","",包装物料出入库明细!$G600)</f>
        <v/>
      </c>
      <c r="K600" t="str">
        <f>IF(包装物料出入库明细!$D600="","",包装物料出入库明细!$D600)</f>
        <v/>
      </c>
      <c r="L600">
        <f t="shared" si="302"/>
        <v>0</v>
      </c>
      <c r="M600">
        <f t="shared" si="303"/>
        <v>9</v>
      </c>
      <c r="Q600" t="str">
        <f>IF(周转筐出入库明细!$D601="","",周转筐出入库明细!$D601)</f>
        <v/>
      </c>
      <c r="R600">
        <f t="shared" si="304"/>
        <v>0</v>
      </c>
      <c r="S600">
        <f t="shared" si="305"/>
        <v>5</v>
      </c>
      <c r="W600" t="str">
        <f>IF(周转筐出入库明细!$C601="","",周转筐出入库明细!$C601)</f>
        <v/>
      </c>
      <c r="X600">
        <f t="shared" si="306"/>
        <v>0</v>
      </c>
      <c r="Y600">
        <f t="shared" si="307"/>
        <v>12</v>
      </c>
      <c r="AC600" t="str">
        <f>IF(客户自备加工筐明细!$C600="","",客户自备加工筐明细!$C600)</f>
        <v/>
      </c>
      <c r="AD600">
        <f t="shared" si="308"/>
        <v>0</v>
      </c>
      <c r="AE600">
        <f t="shared" si="309"/>
        <v>1</v>
      </c>
      <c r="AI600" t="str">
        <f>IF(客户自备加工筐明细!$E600="","",客户自备加工筐明细!$E600)</f>
        <v/>
      </c>
      <c r="AJ600">
        <f t="shared" si="310"/>
        <v>0</v>
      </c>
      <c r="AK600">
        <f t="shared" si="311"/>
        <v>1</v>
      </c>
      <c r="AO600" t="str">
        <f>IF(次果筐明细!$D600="","",次果筐明细!$D600)</f>
        <v/>
      </c>
      <c r="AP600">
        <f t="shared" si="312"/>
        <v>0</v>
      </c>
      <c r="AQ600">
        <f t="shared" si="313"/>
        <v>1</v>
      </c>
      <c r="AU600" t="str">
        <f>IF(次果筐明细!$C600="","",次果筐明细!$C600)</f>
        <v/>
      </c>
      <c r="AV600">
        <f t="shared" si="314"/>
        <v>0</v>
      </c>
      <c r="AW600">
        <f t="shared" si="315"/>
        <v>1</v>
      </c>
      <c r="BS600" t="str">
        <f t="shared" si="321"/>
        <v/>
      </c>
      <c r="BT600">
        <f t="shared" si="316"/>
        <v>0</v>
      </c>
      <c r="BU600">
        <f t="shared" si="317"/>
        <v>17</v>
      </c>
      <c r="CP600">
        <f>IF(包装物料出入库明细!$D600="",0,1)</f>
        <v>0</v>
      </c>
      <c r="CQ600">
        <f t="shared" si="318"/>
        <v>37</v>
      </c>
      <c r="CS600" t="str">
        <f>IF(OR(周转筐出入库明细!$C601="",周转筐出入库明细!$F601&lt;&gt;"采购入库"),"",周转筐出入库明细!$C601)</f>
        <v/>
      </c>
      <c r="CT600">
        <f t="shared" si="319"/>
        <v>0</v>
      </c>
      <c r="CU600">
        <f t="shared" si="320"/>
        <v>1</v>
      </c>
    </row>
    <row r="601" spans="1:99">
      <c r="A601" t="str">
        <f>IF(包装物料出入库明细!$E601="","",包装物料出入库明细!$E601)</f>
        <v/>
      </c>
      <c r="B601">
        <f t="shared" si="300"/>
        <v>0</v>
      </c>
      <c r="C601">
        <f t="shared" si="301"/>
        <v>7</v>
      </c>
      <c r="D601" t="str">
        <f>IF(包装物料出入库明细!$E601="","",包装物料出入库明细!$F601)</f>
        <v/>
      </c>
      <c r="E601" t="str">
        <f>IF(包装物料出入库明细!$E601="","",包装物料出入库明细!$G601)</f>
        <v/>
      </c>
      <c r="K601" t="str">
        <f>IF(包装物料出入库明细!$D601="","",包装物料出入库明细!$D601)</f>
        <v/>
      </c>
      <c r="L601">
        <f t="shared" si="302"/>
        <v>0</v>
      </c>
      <c r="M601">
        <f t="shared" si="303"/>
        <v>9</v>
      </c>
      <c r="Q601" t="str">
        <f>IF(周转筐出入库明细!$D602="","",周转筐出入库明细!$D602)</f>
        <v/>
      </c>
      <c r="R601">
        <f t="shared" si="304"/>
        <v>0</v>
      </c>
      <c r="S601">
        <f t="shared" si="305"/>
        <v>5</v>
      </c>
      <c r="W601" t="str">
        <f>IF(周转筐出入库明细!$C602="","",周转筐出入库明细!$C602)</f>
        <v/>
      </c>
      <c r="X601">
        <f t="shared" si="306"/>
        <v>0</v>
      </c>
      <c r="Y601">
        <f t="shared" si="307"/>
        <v>12</v>
      </c>
      <c r="AC601" t="str">
        <f>IF(客户自备加工筐明细!$C601="","",客户自备加工筐明细!$C601)</f>
        <v/>
      </c>
      <c r="AD601">
        <f t="shared" si="308"/>
        <v>0</v>
      </c>
      <c r="AE601">
        <f t="shared" si="309"/>
        <v>1</v>
      </c>
      <c r="AI601" t="str">
        <f>IF(客户自备加工筐明细!$E601="","",客户自备加工筐明细!$E601)</f>
        <v/>
      </c>
      <c r="AJ601">
        <f t="shared" si="310"/>
        <v>0</v>
      </c>
      <c r="AK601">
        <f t="shared" si="311"/>
        <v>1</v>
      </c>
      <c r="AO601" t="str">
        <f>IF(次果筐明细!$D601="","",次果筐明细!$D601)</f>
        <v/>
      </c>
      <c r="AP601">
        <f t="shared" si="312"/>
        <v>0</v>
      </c>
      <c r="AQ601">
        <f t="shared" si="313"/>
        <v>1</v>
      </c>
      <c r="AU601" t="str">
        <f>IF(次果筐明细!$C601="","",次果筐明细!$C601)</f>
        <v/>
      </c>
      <c r="AV601">
        <f t="shared" si="314"/>
        <v>0</v>
      </c>
      <c r="AW601">
        <f t="shared" si="315"/>
        <v>1</v>
      </c>
      <c r="BS601" t="str">
        <f t="shared" si="321"/>
        <v/>
      </c>
      <c r="BT601">
        <f t="shared" si="316"/>
        <v>0</v>
      </c>
      <c r="BU601">
        <f t="shared" si="317"/>
        <v>17</v>
      </c>
      <c r="CP601">
        <f>IF(包装物料出入库明细!$D601="",0,1)</f>
        <v>0</v>
      </c>
      <c r="CQ601">
        <f t="shared" si="318"/>
        <v>37</v>
      </c>
      <c r="CS601" t="str">
        <f>IF(OR(周转筐出入库明细!$C602="",周转筐出入库明细!$F602&lt;&gt;"采购入库"),"",周转筐出入库明细!$C602)</f>
        <v/>
      </c>
      <c r="CT601">
        <f t="shared" si="319"/>
        <v>0</v>
      </c>
      <c r="CU601">
        <f t="shared" si="320"/>
        <v>1</v>
      </c>
    </row>
    <row r="602" spans="1:99">
      <c r="A602" t="str">
        <f>IF(包装物料出入库明细!$E602="","",包装物料出入库明细!$E602)</f>
        <v/>
      </c>
      <c r="B602">
        <f t="shared" si="300"/>
        <v>0</v>
      </c>
      <c r="C602">
        <f t="shared" si="301"/>
        <v>7</v>
      </c>
      <c r="D602" t="str">
        <f>IF(包装物料出入库明细!$E602="","",包装物料出入库明细!$F602)</f>
        <v/>
      </c>
      <c r="E602" t="str">
        <f>IF(包装物料出入库明细!$E602="","",包装物料出入库明细!$G602)</f>
        <v/>
      </c>
      <c r="K602" t="str">
        <f>IF(包装物料出入库明细!$D602="","",包装物料出入库明细!$D602)</f>
        <v/>
      </c>
      <c r="L602">
        <f t="shared" si="302"/>
        <v>0</v>
      </c>
      <c r="M602">
        <f t="shared" si="303"/>
        <v>9</v>
      </c>
      <c r="Q602" t="str">
        <f>IF(周转筐出入库明细!$D603="","",周转筐出入库明细!$D603)</f>
        <v/>
      </c>
      <c r="R602">
        <f t="shared" si="304"/>
        <v>0</v>
      </c>
      <c r="S602">
        <f t="shared" si="305"/>
        <v>5</v>
      </c>
      <c r="W602" t="str">
        <f>IF(周转筐出入库明细!$C603="","",周转筐出入库明细!$C603)</f>
        <v/>
      </c>
      <c r="X602">
        <f t="shared" si="306"/>
        <v>0</v>
      </c>
      <c r="Y602">
        <f t="shared" si="307"/>
        <v>12</v>
      </c>
      <c r="AC602" t="str">
        <f>IF(客户自备加工筐明细!$C602="","",客户自备加工筐明细!$C602)</f>
        <v/>
      </c>
      <c r="AD602">
        <f t="shared" si="308"/>
        <v>0</v>
      </c>
      <c r="AE602">
        <f t="shared" si="309"/>
        <v>1</v>
      </c>
      <c r="AI602" t="str">
        <f>IF(客户自备加工筐明细!$E602="","",客户自备加工筐明细!$E602)</f>
        <v/>
      </c>
      <c r="AJ602">
        <f t="shared" si="310"/>
        <v>0</v>
      </c>
      <c r="AK602">
        <f t="shared" si="311"/>
        <v>1</v>
      </c>
      <c r="AO602" t="str">
        <f>IF(次果筐明细!$D602="","",次果筐明细!$D602)</f>
        <v/>
      </c>
      <c r="AP602">
        <f t="shared" si="312"/>
        <v>0</v>
      </c>
      <c r="AQ602">
        <f t="shared" si="313"/>
        <v>1</v>
      </c>
      <c r="AU602" t="str">
        <f>IF(次果筐明细!$C602="","",次果筐明细!$C602)</f>
        <v/>
      </c>
      <c r="AV602">
        <f t="shared" si="314"/>
        <v>0</v>
      </c>
      <c r="AW602">
        <f t="shared" si="315"/>
        <v>1</v>
      </c>
      <c r="BS602" t="str">
        <f t="shared" si="321"/>
        <v/>
      </c>
      <c r="BT602">
        <f t="shared" si="316"/>
        <v>0</v>
      </c>
      <c r="BU602">
        <f t="shared" si="317"/>
        <v>17</v>
      </c>
      <c r="CP602">
        <f>IF(包装物料出入库明细!$D602="",0,1)</f>
        <v>0</v>
      </c>
      <c r="CQ602">
        <f t="shared" si="318"/>
        <v>37</v>
      </c>
      <c r="CS602" t="str">
        <f>IF(OR(周转筐出入库明细!$C603="",周转筐出入库明细!$F603&lt;&gt;"采购入库"),"",周转筐出入库明细!$C603)</f>
        <v/>
      </c>
      <c r="CT602">
        <f t="shared" si="319"/>
        <v>0</v>
      </c>
      <c r="CU602">
        <f t="shared" si="320"/>
        <v>1</v>
      </c>
    </row>
    <row r="603" spans="1:99">
      <c r="A603" t="str">
        <f>IF(包装物料出入库明细!$E603="","",包装物料出入库明细!$E603)</f>
        <v/>
      </c>
      <c r="B603">
        <f t="shared" si="300"/>
        <v>0</v>
      </c>
      <c r="C603">
        <f t="shared" si="301"/>
        <v>7</v>
      </c>
      <c r="D603" t="str">
        <f>IF(包装物料出入库明细!$E603="","",包装物料出入库明细!$F603)</f>
        <v/>
      </c>
      <c r="E603" t="str">
        <f>IF(包装物料出入库明细!$E603="","",包装物料出入库明细!$G603)</f>
        <v/>
      </c>
      <c r="K603" t="str">
        <f>IF(包装物料出入库明细!$D603="","",包装物料出入库明细!$D603)</f>
        <v/>
      </c>
      <c r="L603">
        <f t="shared" si="302"/>
        <v>0</v>
      </c>
      <c r="M603">
        <f t="shared" si="303"/>
        <v>9</v>
      </c>
      <c r="Q603" t="str">
        <f>IF(周转筐出入库明细!$D604="","",周转筐出入库明细!$D604)</f>
        <v/>
      </c>
      <c r="R603">
        <f t="shared" si="304"/>
        <v>0</v>
      </c>
      <c r="S603">
        <f t="shared" si="305"/>
        <v>5</v>
      </c>
      <c r="W603" t="str">
        <f>IF(周转筐出入库明细!$C604="","",周转筐出入库明细!$C604)</f>
        <v/>
      </c>
      <c r="X603">
        <f t="shared" si="306"/>
        <v>0</v>
      </c>
      <c r="Y603">
        <f t="shared" si="307"/>
        <v>12</v>
      </c>
      <c r="AC603" t="str">
        <f>IF(客户自备加工筐明细!$C603="","",客户自备加工筐明细!$C603)</f>
        <v/>
      </c>
      <c r="AD603">
        <f t="shared" si="308"/>
        <v>0</v>
      </c>
      <c r="AE603">
        <f t="shared" si="309"/>
        <v>1</v>
      </c>
      <c r="AI603" t="str">
        <f>IF(客户自备加工筐明细!$E603="","",客户自备加工筐明细!$E603)</f>
        <v/>
      </c>
      <c r="AJ603">
        <f t="shared" si="310"/>
        <v>0</v>
      </c>
      <c r="AK603">
        <f t="shared" si="311"/>
        <v>1</v>
      </c>
      <c r="AO603" t="str">
        <f>IF(次果筐明细!$D603="","",次果筐明细!$D603)</f>
        <v/>
      </c>
      <c r="AP603">
        <f t="shared" si="312"/>
        <v>0</v>
      </c>
      <c r="AQ603">
        <f t="shared" si="313"/>
        <v>1</v>
      </c>
      <c r="AU603" t="str">
        <f>IF(次果筐明细!$C603="","",次果筐明细!$C603)</f>
        <v/>
      </c>
      <c r="AV603">
        <f t="shared" si="314"/>
        <v>0</v>
      </c>
      <c r="AW603">
        <f t="shared" si="315"/>
        <v>1</v>
      </c>
      <c r="BS603" t="str">
        <f t="shared" si="321"/>
        <v/>
      </c>
      <c r="BT603">
        <f t="shared" si="316"/>
        <v>0</v>
      </c>
      <c r="BU603">
        <f t="shared" si="317"/>
        <v>17</v>
      </c>
      <c r="CP603">
        <f>IF(包装物料出入库明细!$D603="",0,1)</f>
        <v>0</v>
      </c>
      <c r="CQ603">
        <f t="shared" si="318"/>
        <v>37</v>
      </c>
      <c r="CS603" t="str">
        <f>IF(OR(周转筐出入库明细!$C604="",周转筐出入库明细!$F604&lt;&gt;"采购入库"),"",周转筐出入库明细!$C604)</f>
        <v/>
      </c>
      <c r="CT603">
        <f t="shared" si="319"/>
        <v>0</v>
      </c>
      <c r="CU603">
        <f t="shared" si="320"/>
        <v>1</v>
      </c>
    </row>
    <row r="604" spans="1:99">
      <c r="A604" t="str">
        <f>IF(包装物料出入库明细!$E604="","",包装物料出入库明细!$E604)</f>
        <v/>
      </c>
      <c r="B604">
        <f t="shared" si="300"/>
        <v>0</v>
      </c>
      <c r="C604">
        <f t="shared" si="301"/>
        <v>7</v>
      </c>
      <c r="D604" t="str">
        <f>IF(包装物料出入库明细!$E604="","",包装物料出入库明细!$F604)</f>
        <v/>
      </c>
      <c r="E604" t="str">
        <f>IF(包装物料出入库明细!$E604="","",包装物料出入库明细!$G604)</f>
        <v/>
      </c>
      <c r="K604" t="str">
        <f>IF(包装物料出入库明细!$D604="","",包装物料出入库明细!$D604)</f>
        <v/>
      </c>
      <c r="L604">
        <f t="shared" si="302"/>
        <v>0</v>
      </c>
      <c r="M604">
        <f t="shared" si="303"/>
        <v>9</v>
      </c>
      <c r="Q604" t="str">
        <f>IF(周转筐出入库明细!$D605="","",周转筐出入库明细!$D605)</f>
        <v/>
      </c>
      <c r="R604">
        <f t="shared" si="304"/>
        <v>0</v>
      </c>
      <c r="S604">
        <f t="shared" si="305"/>
        <v>5</v>
      </c>
      <c r="W604" t="str">
        <f>IF(周转筐出入库明细!$C605="","",周转筐出入库明细!$C605)</f>
        <v/>
      </c>
      <c r="X604">
        <f t="shared" si="306"/>
        <v>0</v>
      </c>
      <c r="Y604">
        <f t="shared" si="307"/>
        <v>12</v>
      </c>
      <c r="AC604" t="str">
        <f>IF(客户自备加工筐明细!$C604="","",客户自备加工筐明细!$C604)</f>
        <v/>
      </c>
      <c r="AD604">
        <f t="shared" si="308"/>
        <v>0</v>
      </c>
      <c r="AE604">
        <f t="shared" si="309"/>
        <v>1</v>
      </c>
      <c r="AI604" t="str">
        <f>IF(客户自备加工筐明细!$E604="","",客户自备加工筐明细!$E604)</f>
        <v/>
      </c>
      <c r="AJ604">
        <f t="shared" si="310"/>
        <v>0</v>
      </c>
      <c r="AK604">
        <f t="shared" si="311"/>
        <v>1</v>
      </c>
      <c r="BS604" t="str">
        <f t="shared" ref="BS604:BS667" si="322">IF($AY4="","",$AY4)</f>
        <v>王照雪</v>
      </c>
      <c r="BT604">
        <f t="shared" si="316"/>
        <v>0</v>
      </c>
      <c r="BU604">
        <f t="shared" si="317"/>
        <v>17</v>
      </c>
      <c r="CP604">
        <f>IF(包装物料出入库明细!$D604="",0,1)</f>
        <v>0</v>
      </c>
      <c r="CQ604">
        <f t="shared" si="318"/>
        <v>37</v>
      </c>
      <c r="CS604" t="str">
        <f>IF(OR(周转筐出入库明细!$C605="",周转筐出入库明细!$F605&lt;&gt;"采购入库"),"",周转筐出入库明细!$C605)</f>
        <v/>
      </c>
      <c r="CT604">
        <f t="shared" si="319"/>
        <v>0</v>
      </c>
      <c r="CU604">
        <f t="shared" si="320"/>
        <v>1</v>
      </c>
    </row>
    <row r="605" spans="1:99">
      <c r="A605" t="str">
        <f>IF(包装物料出入库明细!$E605="","",包装物料出入库明细!$E605)</f>
        <v/>
      </c>
      <c r="B605">
        <f t="shared" si="300"/>
        <v>0</v>
      </c>
      <c r="C605">
        <f t="shared" si="301"/>
        <v>7</v>
      </c>
      <c r="D605" t="str">
        <f>IF(包装物料出入库明细!$E605="","",包装物料出入库明细!$F605)</f>
        <v/>
      </c>
      <c r="E605" t="str">
        <f>IF(包装物料出入库明细!$E605="","",包装物料出入库明细!$G605)</f>
        <v/>
      </c>
      <c r="K605" t="str">
        <f>IF(包装物料出入库明细!$D605="","",包装物料出入库明细!$D605)</f>
        <v/>
      </c>
      <c r="L605">
        <f t="shared" si="302"/>
        <v>0</v>
      </c>
      <c r="M605">
        <f t="shared" si="303"/>
        <v>9</v>
      </c>
      <c r="Q605" t="str">
        <f>IF(周转筐出入库明细!$D606="","",周转筐出入库明细!$D606)</f>
        <v/>
      </c>
      <c r="R605">
        <f t="shared" si="304"/>
        <v>0</v>
      </c>
      <c r="S605">
        <f t="shared" si="305"/>
        <v>5</v>
      </c>
      <c r="W605" t="str">
        <f>IF(周转筐出入库明细!$C606="","",周转筐出入库明细!$C606)</f>
        <v/>
      </c>
      <c r="X605">
        <f t="shared" si="306"/>
        <v>0</v>
      </c>
      <c r="Y605">
        <f t="shared" si="307"/>
        <v>12</v>
      </c>
      <c r="AC605" t="str">
        <f>IF(客户自备加工筐明细!$C605="","",客户自备加工筐明细!$C605)</f>
        <v/>
      </c>
      <c r="AD605">
        <f t="shared" si="308"/>
        <v>0</v>
      </c>
      <c r="AE605">
        <f t="shared" si="309"/>
        <v>1</v>
      </c>
      <c r="AI605" t="str">
        <f>IF(客户自备加工筐明细!$E605="","",客户自备加工筐明细!$E605)</f>
        <v/>
      </c>
      <c r="AJ605">
        <f t="shared" si="310"/>
        <v>0</v>
      </c>
      <c r="AK605">
        <f t="shared" si="311"/>
        <v>1</v>
      </c>
      <c r="BS605" t="str">
        <f t="shared" si="322"/>
        <v/>
      </c>
      <c r="BT605">
        <f t="shared" si="316"/>
        <v>0</v>
      </c>
      <c r="BU605">
        <f t="shared" si="317"/>
        <v>17</v>
      </c>
      <c r="CP605">
        <f>IF(包装物料出入库明细!$D605="",0,1)</f>
        <v>0</v>
      </c>
      <c r="CQ605">
        <f t="shared" si="318"/>
        <v>37</v>
      </c>
      <c r="CS605" t="str">
        <f>IF(OR(周转筐出入库明细!$C606="",周转筐出入库明细!$F606&lt;&gt;"采购入库"),"",周转筐出入库明细!$C606)</f>
        <v/>
      </c>
      <c r="CT605">
        <f t="shared" si="319"/>
        <v>0</v>
      </c>
      <c r="CU605">
        <f t="shared" si="320"/>
        <v>1</v>
      </c>
    </row>
    <row r="606" spans="1:99">
      <c r="A606" t="str">
        <f>IF(包装物料出入库明细!$E606="","",包装物料出入库明细!$E606)</f>
        <v/>
      </c>
      <c r="B606">
        <f t="shared" si="300"/>
        <v>0</v>
      </c>
      <c r="C606">
        <f t="shared" si="301"/>
        <v>7</v>
      </c>
      <c r="D606" t="str">
        <f>IF(包装物料出入库明细!$E606="","",包装物料出入库明细!$F606)</f>
        <v/>
      </c>
      <c r="E606" t="str">
        <f>IF(包装物料出入库明细!$E606="","",包装物料出入库明细!$G606)</f>
        <v/>
      </c>
      <c r="K606" t="str">
        <f>IF(包装物料出入库明细!$D606="","",包装物料出入库明细!$D606)</f>
        <v/>
      </c>
      <c r="L606">
        <f t="shared" si="302"/>
        <v>0</v>
      </c>
      <c r="M606">
        <f t="shared" si="303"/>
        <v>9</v>
      </c>
      <c r="Q606" t="str">
        <f>IF(周转筐出入库明细!$D607="","",周转筐出入库明细!$D607)</f>
        <v/>
      </c>
      <c r="R606">
        <f t="shared" si="304"/>
        <v>0</v>
      </c>
      <c r="S606">
        <f t="shared" si="305"/>
        <v>5</v>
      </c>
      <c r="W606" t="str">
        <f>IF(周转筐出入库明细!$C607="","",周转筐出入库明细!$C607)</f>
        <v/>
      </c>
      <c r="X606">
        <f t="shared" si="306"/>
        <v>0</v>
      </c>
      <c r="Y606">
        <f t="shared" si="307"/>
        <v>12</v>
      </c>
      <c r="AC606" t="str">
        <f>IF(客户自备加工筐明细!$C606="","",客户自备加工筐明细!$C606)</f>
        <v/>
      </c>
      <c r="AD606">
        <f t="shared" si="308"/>
        <v>0</v>
      </c>
      <c r="AE606">
        <f t="shared" si="309"/>
        <v>1</v>
      </c>
      <c r="AI606" t="str">
        <f>IF(客户自备加工筐明细!$E606="","",客户自备加工筐明细!$E606)</f>
        <v/>
      </c>
      <c r="AJ606">
        <f t="shared" si="310"/>
        <v>0</v>
      </c>
      <c r="AK606">
        <f t="shared" si="311"/>
        <v>1</v>
      </c>
      <c r="BS606" t="str">
        <f t="shared" si="322"/>
        <v/>
      </c>
      <c r="BT606">
        <f t="shared" si="316"/>
        <v>0</v>
      </c>
      <c r="BU606">
        <f t="shared" si="317"/>
        <v>17</v>
      </c>
      <c r="CP606">
        <f>IF(包装物料出入库明细!$D606="",0,1)</f>
        <v>0</v>
      </c>
      <c r="CQ606">
        <f t="shared" si="318"/>
        <v>37</v>
      </c>
      <c r="CS606" t="str">
        <f>IF(OR(周转筐出入库明细!$C607="",周转筐出入库明细!$F607&lt;&gt;"采购入库"),"",周转筐出入库明细!$C607)</f>
        <v/>
      </c>
      <c r="CT606">
        <f t="shared" si="319"/>
        <v>0</v>
      </c>
      <c r="CU606">
        <f t="shared" si="320"/>
        <v>1</v>
      </c>
    </row>
    <row r="607" spans="1:99">
      <c r="A607" t="str">
        <f>IF(包装物料出入库明细!$E607="","",包装物料出入库明细!$E607)</f>
        <v/>
      </c>
      <c r="B607">
        <f t="shared" si="300"/>
        <v>0</v>
      </c>
      <c r="C607">
        <f t="shared" si="301"/>
        <v>7</v>
      </c>
      <c r="D607" t="str">
        <f>IF(包装物料出入库明细!$E607="","",包装物料出入库明细!$F607)</f>
        <v/>
      </c>
      <c r="E607" t="str">
        <f>IF(包装物料出入库明细!$E607="","",包装物料出入库明细!$G607)</f>
        <v/>
      </c>
      <c r="K607" t="str">
        <f>IF(包装物料出入库明细!$D607="","",包装物料出入库明细!$D607)</f>
        <v/>
      </c>
      <c r="L607">
        <f t="shared" si="302"/>
        <v>0</v>
      </c>
      <c r="M607">
        <f t="shared" si="303"/>
        <v>9</v>
      </c>
      <c r="Q607" t="str">
        <f>IF(周转筐出入库明细!$D608="","",周转筐出入库明细!$D608)</f>
        <v/>
      </c>
      <c r="R607">
        <f t="shared" si="304"/>
        <v>0</v>
      </c>
      <c r="S607">
        <f t="shared" si="305"/>
        <v>5</v>
      </c>
      <c r="W607" t="str">
        <f>IF(周转筐出入库明细!$C608="","",周转筐出入库明细!$C608)</f>
        <v/>
      </c>
      <c r="X607">
        <f t="shared" si="306"/>
        <v>0</v>
      </c>
      <c r="Y607">
        <f t="shared" si="307"/>
        <v>12</v>
      </c>
      <c r="AC607" t="str">
        <f>IF(客户自备加工筐明细!$C607="","",客户自备加工筐明细!$C607)</f>
        <v/>
      </c>
      <c r="AD607">
        <f t="shared" si="308"/>
        <v>0</v>
      </c>
      <c r="AE607">
        <f t="shared" si="309"/>
        <v>1</v>
      </c>
      <c r="AI607" t="str">
        <f>IF(客户自备加工筐明细!$E607="","",客户自备加工筐明细!$E607)</f>
        <v/>
      </c>
      <c r="AJ607">
        <f t="shared" si="310"/>
        <v>0</v>
      </c>
      <c r="AK607">
        <f t="shared" si="311"/>
        <v>1</v>
      </c>
      <c r="BS607" t="str">
        <f t="shared" si="322"/>
        <v/>
      </c>
      <c r="BT607">
        <f t="shared" si="316"/>
        <v>0</v>
      </c>
      <c r="BU607">
        <f t="shared" si="317"/>
        <v>17</v>
      </c>
      <c r="CP607">
        <f>IF(包装物料出入库明细!$D607="",0,1)</f>
        <v>0</v>
      </c>
      <c r="CQ607">
        <f t="shared" si="318"/>
        <v>37</v>
      </c>
      <c r="CS607" t="str">
        <f>IF(OR(周转筐出入库明细!$C608="",周转筐出入库明细!$F608&lt;&gt;"采购入库"),"",周转筐出入库明细!$C608)</f>
        <v/>
      </c>
      <c r="CT607">
        <f t="shared" si="319"/>
        <v>0</v>
      </c>
      <c r="CU607">
        <f t="shared" si="320"/>
        <v>1</v>
      </c>
    </row>
    <row r="608" spans="1:99">
      <c r="A608" t="str">
        <f>IF(包装物料出入库明细!$E608="","",包装物料出入库明细!$E608)</f>
        <v/>
      </c>
      <c r="B608">
        <f t="shared" si="300"/>
        <v>0</v>
      </c>
      <c r="C608">
        <f t="shared" si="301"/>
        <v>7</v>
      </c>
      <c r="D608" t="str">
        <f>IF(包装物料出入库明细!$E608="","",包装物料出入库明细!$F608)</f>
        <v/>
      </c>
      <c r="E608" t="str">
        <f>IF(包装物料出入库明细!$E608="","",包装物料出入库明细!$G608)</f>
        <v/>
      </c>
      <c r="K608" t="str">
        <f>IF(包装物料出入库明细!$D608="","",包装物料出入库明细!$D608)</f>
        <v/>
      </c>
      <c r="L608">
        <f t="shared" si="302"/>
        <v>0</v>
      </c>
      <c r="M608">
        <f t="shared" si="303"/>
        <v>9</v>
      </c>
      <c r="Q608" t="str">
        <f>IF(周转筐出入库明细!$D609="","",周转筐出入库明细!$D609)</f>
        <v/>
      </c>
      <c r="R608">
        <f t="shared" si="304"/>
        <v>0</v>
      </c>
      <c r="S608">
        <f t="shared" si="305"/>
        <v>5</v>
      </c>
      <c r="W608" t="str">
        <f>IF(周转筐出入库明细!$C609="","",周转筐出入库明细!$C609)</f>
        <v/>
      </c>
      <c r="X608">
        <f t="shared" si="306"/>
        <v>0</v>
      </c>
      <c r="Y608">
        <f t="shared" si="307"/>
        <v>12</v>
      </c>
      <c r="AC608" t="str">
        <f>IF(客户自备加工筐明细!$C608="","",客户自备加工筐明细!$C608)</f>
        <v/>
      </c>
      <c r="AD608">
        <f t="shared" si="308"/>
        <v>0</v>
      </c>
      <c r="AE608">
        <f t="shared" si="309"/>
        <v>1</v>
      </c>
      <c r="AI608" t="str">
        <f>IF(客户自备加工筐明细!$E608="","",客户自备加工筐明细!$E608)</f>
        <v/>
      </c>
      <c r="AJ608">
        <f t="shared" si="310"/>
        <v>0</v>
      </c>
      <c r="AK608">
        <f t="shared" si="311"/>
        <v>1</v>
      </c>
      <c r="BS608" t="str">
        <f t="shared" si="322"/>
        <v/>
      </c>
      <c r="BT608">
        <f t="shared" si="316"/>
        <v>0</v>
      </c>
      <c r="BU608">
        <f t="shared" si="317"/>
        <v>17</v>
      </c>
      <c r="CP608">
        <f>IF(包装物料出入库明细!$D608="",0,1)</f>
        <v>0</v>
      </c>
      <c r="CQ608">
        <f t="shared" si="318"/>
        <v>37</v>
      </c>
      <c r="CS608" t="str">
        <f>IF(OR(周转筐出入库明细!$C609="",周转筐出入库明细!$F609&lt;&gt;"采购入库"),"",周转筐出入库明细!$C609)</f>
        <v/>
      </c>
      <c r="CT608">
        <f t="shared" si="319"/>
        <v>0</v>
      </c>
      <c r="CU608">
        <f t="shared" si="320"/>
        <v>1</v>
      </c>
    </row>
    <row r="609" spans="1:99">
      <c r="A609" t="str">
        <f>IF(包装物料出入库明细!$E609="","",包装物料出入库明细!$E609)</f>
        <v/>
      </c>
      <c r="B609">
        <f t="shared" si="300"/>
        <v>0</v>
      </c>
      <c r="C609">
        <f t="shared" si="301"/>
        <v>7</v>
      </c>
      <c r="D609" t="str">
        <f>IF(包装物料出入库明细!$E609="","",包装物料出入库明细!$F609)</f>
        <v/>
      </c>
      <c r="E609" t="str">
        <f>IF(包装物料出入库明细!$E609="","",包装物料出入库明细!$G609)</f>
        <v/>
      </c>
      <c r="K609" t="str">
        <f>IF(包装物料出入库明细!$D609="","",包装物料出入库明细!$D609)</f>
        <v/>
      </c>
      <c r="L609">
        <f t="shared" si="302"/>
        <v>0</v>
      </c>
      <c r="M609">
        <f t="shared" si="303"/>
        <v>9</v>
      </c>
      <c r="Q609" t="str">
        <f>IF(周转筐出入库明细!$D610="","",周转筐出入库明细!$D610)</f>
        <v/>
      </c>
      <c r="R609">
        <f t="shared" si="304"/>
        <v>0</v>
      </c>
      <c r="S609">
        <f t="shared" si="305"/>
        <v>5</v>
      </c>
      <c r="W609" t="str">
        <f>IF(周转筐出入库明细!$C610="","",周转筐出入库明细!$C610)</f>
        <v/>
      </c>
      <c r="X609">
        <f t="shared" si="306"/>
        <v>0</v>
      </c>
      <c r="Y609">
        <f t="shared" si="307"/>
        <v>12</v>
      </c>
      <c r="AC609" t="str">
        <f>IF(客户自备加工筐明细!$C609="","",客户自备加工筐明细!$C609)</f>
        <v/>
      </c>
      <c r="AD609">
        <f t="shared" si="308"/>
        <v>0</v>
      </c>
      <c r="AE609">
        <f t="shared" si="309"/>
        <v>1</v>
      </c>
      <c r="AI609" t="str">
        <f>IF(客户自备加工筐明细!$E609="","",客户自备加工筐明细!$E609)</f>
        <v/>
      </c>
      <c r="AJ609">
        <f t="shared" si="310"/>
        <v>0</v>
      </c>
      <c r="AK609">
        <f t="shared" si="311"/>
        <v>1</v>
      </c>
      <c r="BS609" t="str">
        <f t="shared" si="322"/>
        <v/>
      </c>
      <c r="BT609">
        <f t="shared" si="316"/>
        <v>0</v>
      </c>
      <c r="BU609">
        <f t="shared" si="317"/>
        <v>17</v>
      </c>
      <c r="CP609">
        <f>IF(包装物料出入库明细!$D609="",0,1)</f>
        <v>0</v>
      </c>
      <c r="CQ609">
        <f t="shared" si="318"/>
        <v>37</v>
      </c>
      <c r="CS609" t="str">
        <f>IF(OR(周转筐出入库明细!$C610="",周转筐出入库明细!$F610&lt;&gt;"采购入库"),"",周转筐出入库明细!$C610)</f>
        <v/>
      </c>
      <c r="CT609">
        <f t="shared" si="319"/>
        <v>0</v>
      </c>
      <c r="CU609">
        <f t="shared" si="320"/>
        <v>1</v>
      </c>
    </row>
    <row r="610" spans="1:99">
      <c r="A610" t="str">
        <f>IF(包装物料出入库明细!$E610="","",包装物料出入库明细!$E610)</f>
        <v/>
      </c>
      <c r="B610">
        <f t="shared" si="300"/>
        <v>0</v>
      </c>
      <c r="C610">
        <f t="shared" si="301"/>
        <v>7</v>
      </c>
      <c r="D610" t="str">
        <f>IF(包装物料出入库明细!$E610="","",包装物料出入库明细!$F610)</f>
        <v/>
      </c>
      <c r="E610" t="str">
        <f>IF(包装物料出入库明细!$E610="","",包装物料出入库明细!$G610)</f>
        <v/>
      </c>
      <c r="K610" t="str">
        <f>IF(包装物料出入库明细!$D610="","",包装物料出入库明细!$D610)</f>
        <v/>
      </c>
      <c r="L610">
        <f t="shared" si="302"/>
        <v>0</v>
      </c>
      <c r="M610">
        <f t="shared" si="303"/>
        <v>9</v>
      </c>
      <c r="Q610" t="str">
        <f>IF(周转筐出入库明细!$D611="","",周转筐出入库明细!$D611)</f>
        <v/>
      </c>
      <c r="R610">
        <f t="shared" si="304"/>
        <v>0</v>
      </c>
      <c r="S610">
        <f t="shared" si="305"/>
        <v>5</v>
      </c>
      <c r="W610" t="str">
        <f>IF(周转筐出入库明细!$C611="","",周转筐出入库明细!$C611)</f>
        <v/>
      </c>
      <c r="X610">
        <f t="shared" si="306"/>
        <v>0</v>
      </c>
      <c r="Y610">
        <f t="shared" si="307"/>
        <v>12</v>
      </c>
      <c r="AC610" t="str">
        <f>IF(客户自备加工筐明细!$C610="","",客户自备加工筐明细!$C610)</f>
        <v/>
      </c>
      <c r="AD610">
        <f t="shared" si="308"/>
        <v>0</v>
      </c>
      <c r="AE610">
        <f t="shared" si="309"/>
        <v>1</v>
      </c>
      <c r="AI610" t="str">
        <f>IF(客户自备加工筐明细!$E610="","",客户自备加工筐明细!$E610)</f>
        <v/>
      </c>
      <c r="AJ610">
        <f t="shared" si="310"/>
        <v>0</v>
      </c>
      <c r="AK610">
        <f t="shared" si="311"/>
        <v>1</v>
      </c>
      <c r="BS610" t="str">
        <f t="shared" si="322"/>
        <v/>
      </c>
      <c r="BT610">
        <f t="shared" si="316"/>
        <v>0</v>
      </c>
      <c r="BU610">
        <f t="shared" si="317"/>
        <v>17</v>
      </c>
      <c r="CP610">
        <f>IF(包装物料出入库明细!$D610="",0,1)</f>
        <v>0</v>
      </c>
      <c r="CQ610">
        <f t="shared" si="318"/>
        <v>37</v>
      </c>
      <c r="CS610" t="str">
        <f>IF(OR(周转筐出入库明细!$C611="",周转筐出入库明细!$F611&lt;&gt;"采购入库"),"",周转筐出入库明细!$C611)</f>
        <v/>
      </c>
      <c r="CT610">
        <f t="shared" si="319"/>
        <v>0</v>
      </c>
      <c r="CU610">
        <f t="shared" si="320"/>
        <v>1</v>
      </c>
    </row>
    <row r="611" spans="1:99">
      <c r="A611" t="str">
        <f>IF(包装物料出入库明细!$E611="","",包装物料出入库明细!$E611)</f>
        <v/>
      </c>
      <c r="B611">
        <f t="shared" si="300"/>
        <v>0</v>
      </c>
      <c r="C611">
        <f t="shared" si="301"/>
        <v>7</v>
      </c>
      <c r="D611" t="str">
        <f>IF(包装物料出入库明细!$E611="","",包装物料出入库明细!$F611)</f>
        <v/>
      </c>
      <c r="E611" t="str">
        <f>IF(包装物料出入库明细!$E611="","",包装物料出入库明细!$G611)</f>
        <v/>
      </c>
      <c r="K611" t="str">
        <f>IF(包装物料出入库明细!$D611="","",包装物料出入库明细!$D611)</f>
        <v/>
      </c>
      <c r="L611">
        <f t="shared" si="302"/>
        <v>0</v>
      </c>
      <c r="M611">
        <f t="shared" si="303"/>
        <v>9</v>
      </c>
      <c r="Q611" t="str">
        <f>IF(周转筐出入库明细!$D612="","",周转筐出入库明细!$D612)</f>
        <v/>
      </c>
      <c r="R611">
        <f t="shared" si="304"/>
        <v>0</v>
      </c>
      <c r="S611">
        <f t="shared" si="305"/>
        <v>5</v>
      </c>
      <c r="W611" t="str">
        <f>IF(周转筐出入库明细!$C612="","",周转筐出入库明细!$C612)</f>
        <v/>
      </c>
      <c r="X611">
        <f t="shared" si="306"/>
        <v>0</v>
      </c>
      <c r="Y611">
        <f t="shared" si="307"/>
        <v>12</v>
      </c>
      <c r="AC611" t="str">
        <f>IF(客户自备加工筐明细!$C611="","",客户自备加工筐明细!$C611)</f>
        <v/>
      </c>
      <c r="AD611">
        <f t="shared" si="308"/>
        <v>0</v>
      </c>
      <c r="AE611">
        <f t="shared" si="309"/>
        <v>1</v>
      </c>
      <c r="AI611" t="str">
        <f>IF(客户自备加工筐明细!$E611="","",客户自备加工筐明细!$E611)</f>
        <v/>
      </c>
      <c r="AJ611">
        <f t="shared" si="310"/>
        <v>0</v>
      </c>
      <c r="AK611">
        <f t="shared" si="311"/>
        <v>1</v>
      </c>
      <c r="BS611" t="str">
        <f t="shared" si="322"/>
        <v/>
      </c>
      <c r="BT611">
        <f t="shared" si="316"/>
        <v>0</v>
      </c>
      <c r="BU611">
        <f t="shared" si="317"/>
        <v>17</v>
      </c>
      <c r="CP611">
        <f>IF(包装物料出入库明细!$D611="",0,1)</f>
        <v>0</v>
      </c>
      <c r="CQ611">
        <f t="shared" si="318"/>
        <v>37</v>
      </c>
      <c r="CS611" t="str">
        <f>IF(OR(周转筐出入库明细!$C612="",周转筐出入库明细!$F612&lt;&gt;"采购入库"),"",周转筐出入库明细!$C612)</f>
        <v/>
      </c>
      <c r="CT611">
        <f t="shared" si="319"/>
        <v>0</v>
      </c>
      <c r="CU611">
        <f t="shared" si="320"/>
        <v>1</v>
      </c>
    </row>
    <row r="612" spans="1:99">
      <c r="A612" t="str">
        <f>IF(包装物料出入库明细!$E612="","",包装物料出入库明细!$E612)</f>
        <v/>
      </c>
      <c r="B612">
        <f t="shared" si="300"/>
        <v>0</v>
      </c>
      <c r="C612">
        <f t="shared" si="301"/>
        <v>7</v>
      </c>
      <c r="D612" t="str">
        <f>IF(包装物料出入库明细!$E612="","",包装物料出入库明细!$F612)</f>
        <v/>
      </c>
      <c r="E612" t="str">
        <f>IF(包装物料出入库明细!$E612="","",包装物料出入库明细!$G612)</f>
        <v/>
      </c>
      <c r="K612" t="str">
        <f>IF(包装物料出入库明细!$D612="","",包装物料出入库明细!$D612)</f>
        <v/>
      </c>
      <c r="L612">
        <f t="shared" si="302"/>
        <v>0</v>
      </c>
      <c r="M612">
        <f t="shared" si="303"/>
        <v>9</v>
      </c>
      <c r="Q612" t="str">
        <f>IF(周转筐出入库明细!$D613="","",周转筐出入库明细!$D613)</f>
        <v/>
      </c>
      <c r="R612">
        <f t="shared" si="304"/>
        <v>0</v>
      </c>
      <c r="S612">
        <f t="shared" si="305"/>
        <v>5</v>
      </c>
      <c r="W612" t="str">
        <f>IF(周转筐出入库明细!$C613="","",周转筐出入库明细!$C613)</f>
        <v/>
      </c>
      <c r="X612">
        <f t="shared" si="306"/>
        <v>0</v>
      </c>
      <c r="Y612">
        <f t="shared" si="307"/>
        <v>12</v>
      </c>
      <c r="AC612" t="str">
        <f>IF(客户自备加工筐明细!$C612="","",客户自备加工筐明细!$C612)</f>
        <v/>
      </c>
      <c r="AD612">
        <f t="shared" si="308"/>
        <v>0</v>
      </c>
      <c r="AE612">
        <f t="shared" si="309"/>
        <v>1</v>
      </c>
      <c r="AI612" t="str">
        <f>IF(客户自备加工筐明细!$E612="","",客户自备加工筐明细!$E612)</f>
        <v/>
      </c>
      <c r="AJ612">
        <f t="shared" si="310"/>
        <v>0</v>
      </c>
      <c r="AK612">
        <f t="shared" si="311"/>
        <v>1</v>
      </c>
      <c r="BS612" t="str">
        <f t="shared" si="322"/>
        <v/>
      </c>
      <c r="BT612">
        <f t="shared" si="316"/>
        <v>0</v>
      </c>
      <c r="BU612">
        <f t="shared" si="317"/>
        <v>17</v>
      </c>
      <c r="CP612">
        <f>IF(包装物料出入库明细!$D612="",0,1)</f>
        <v>0</v>
      </c>
      <c r="CQ612">
        <f t="shared" si="318"/>
        <v>37</v>
      </c>
      <c r="CS612" t="str">
        <f>IF(OR(周转筐出入库明细!$C613="",周转筐出入库明细!$F613&lt;&gt;"采购入库"),"",周转筐出入库明细!$C613)</f>
        <v/>
      </c>
      <c r="CT612">
        <f t="shared" si="319"/>
        <v>0</v>
      </c>
      <c r="CU612">
        <f t="shared" si="320"/>
        <v>1</v>
      </c>
    </row>
    <row r="613" spans="1:99">
      <c r="A613" t="str">
        <f>IF(包装物料出入库明细!$E613="","",包装物料出入库明细!$E613)</f>
        <v/>
      </c>
      <c r="B613">
        <f t="shared" si="300"/>
        <v>0</v>
      </c>
      <c r="C613">
        <f t="shared" si="301"/>
        <v>7</v>
      </c>
      <c r="D613" t="str">
        <f>IF(包装物料出入库明细!$E613="","",包装物料出入库明细!$F613)</f>
        <v/>
      </c>
      <c r="E613" t="str">
        <f>IF(包装物料出入库明细!$E613="","",包装物料出入库明细!$G613)</f>
        <v/>
      </c>
      <c r="K613" t="str">
        <f>IF(包装物料出入库明细!$D613="","",包装物料出入库明细!$D613)</f>
        <v/>
      </c>
      <c r="L613">
        <f t="shared" si="302"/>
        <v>0</v>
      </c>
      <c r="M613">
        <f t="shared" si="303"/>
        <v>9</v>
      </c>
      <c r="Q613" t="str">
        <f>IF(周转筐出入库明细!$D614="","",周转筐出入库明细!$D614)</f>
        <v/>
      </c>
      <c r="R613">
        <f t="shared" si="304"/>
        <v>0</v>
      </c>
      <c r="S613">
        <f t="shared" si="305"/>
        <v>5</v>
      </c>
      <c r="W613" t="str">
        <f>IF(周转筐出入库明细!$C614="","",周转筐出入库明细!$C614)</f>
        <v/>
      </c>
      <c r="X613">
        <f t="shared" si="306"/>
        <v>0</v>
      </c>
      <c r="Y613">
        <f t="shared" si="307"/>
        <v>12</v>
      </c>
      <c r="AC613" t="str">
        <f>IF(客户自备加工筐明细!$C613="","",客户自备加工筐明细!$C613)</f>
        <v/>
      </c>
      <c r="AD613">
        <f t="shared" si="308"/>
        <v>0</v>
      </c>
      <c r="AE613">
        <f t="shared" si="309"/>
        <v>1</v>
      </c>
      <c r="AI613" t="str">
        <f>IF(客户自备加工筐明细!$E613="","",客户自备加工筐明细!$E613)</f>
        <v/>
      </c>
      <c r="AJ613">
        <f t="shared" si="310"/>
        <v>0</v>
      </c>
      <c r="AK613">
        <f t="shared" si="311"/>
        <v>1</v>
      </c>
      <c r="BS613" t="str">
        <f t="shared" si="322"/>
        <v/>
      </c>
      <c r="BT613">
        <f t="shared" si="316"/>
        <v>0</v>
      </c>
      <c r="BU613">
        <f t="shared" si="317"/>
        <v>17</v>
      </c>
      <c r="CP613">
        <f>IF(包装物料出入库明细!$D613="",0,1)</f>
        <v>0</v>
      </c>
      <c r="CQ613">
        <f t="shared" si="318"/>
        <v>37</v>
      </c>
      <c r="CS613" t="str">
        <f>IF(OR(周转筐出入库明细!$C614="",周转筐出入库明细!$F614&lt;&gt;"采购入库"),"",周转筐出入库明细!$C614)</f>
        <v/>
      </c>
      <c r="CT613">
        <f t="shared" si="319"/>
        <v>0</v>
      </c>
      <c r="CU613">
        <f t="shared" si="320"/>
        <v>1</v>
      </c>
    </row>
    <row r="614" spans="1:99">
      <c r="A614" t="str">
        <f>IF(包装物料出入库明细!$E614="","",包装物料出入库明细!$E614)</f>
        <v/>
      </c>
      <c r="B614">
        <f t="shared" si="300"/>
        <v>0</v>
      </c>
      <c r="C614">
        <f t="shared" si="301"/>
        <v>7</v>
      </c>
      <c r="D614" t="str">
        <f>IF(包装物料出入库明细!$E614="","",包装物料出入库明细!$F614)</f>
        <v/>
      </c>
      <c r="E614" t="str">
        <f>IF(包装物料出入库明细!$E614="","",包装物料出入库明细!$G614)</f>
        <v/>
      </c>
      <c r="K614" t="str">
        <f>IF(包装物料出入库明细!$D614="","",包装物料出入库明细!$D614)</f>
        <v/>
      </c>
      <c r="L614">
        <f t="shared" si="302"/>
        <v>0</v>
      </c>
      <c r="M614">
        <f t="shared" si="303"/>
        <v>9</v>
      </c>
      <c r="Q614" t="str">
        <f>IF(周转筐出入库明细!$D615="","",周转筐出入库明细!$D615)</f>
        <v/>
      </c>
      <c r="R614">
        <f t="shared" si="304"/>
        <v>0</v>
      </c>
      <c r="S614">
        <f t="shared" si="305"/>
        <v>5</v>
      </c>
      <c r="W614" t="str">
        <f>IF(周转筐出入库明细!$C615="","",周转筐出入库明细!$C615)</f>
        <v/>
      </c>
      <c r="X614">
        <f t="shared" si="306"/>
        <v>0</v>
      </c>
      <c r="Y614">
        <f t="shared" si="307"/>
        <v>12</v>
      </c>
      <c r="AC614" t="str">
        <f>IF(客户自备加工筐明细!$C614="","",客户自备加工筐明细!$C614)</f>
        <v/>
      </c>
      <c r="AD614">
        <f t="shared" si="308"/>
        <v>0</v>
      </c>
      <c r="AE614">
        <f t="shared" si="309"/>
        <v>1</v>
      </c>
      <c r="AI614" t="str">
        <f>IF(客户自备加工筐明细!$E614="","",客户自备加工筐明细!$E614)</f>
        <v/>
      </c>
      <c r="AJ614">
        <f t="shared" si="310"/>
        <v>0</v>
      </c>
      <c r="AK614">
        <f t="shared" si="311"/>
        <v>1</v>
      </c>
      <c r="BS614" t="str">
        <f t="shared" si="322"/>
        <v/>
      </c>
      <c r="BT614">
        <f t="shared" si="316"/>
        <v>0</v>
      </c>
      <c r="BU614">
        <f t="shared" si="317"/>
        <v>17</v>
      </c>
      <c r="CP614">
        <f>IF(包装物料出入库明细!$D614="",0,1)</f>
        <v>0</v>
      </c>
      <c r="CQ614">
        <f t="shared" si="318"/>
        <v>37</v>
      </c>
      <c r="CS614" t="str">
        <f>IF(OR(周转筐出入库明细!$C615="",周转筐出入库明细!$F615&lt;&gt;"采购入库"),"",周转筐出入库明细!$C615)</f>
        <v/>
      </c>
      <c r="CT614">
        <f t="shared" si="319"/>
        <v>0</v>
      </c>
      <c r="CU614">
        <f t="shared" si="320"/>
        <v>1</v>
      </c>
    </row>
    <row r="615" spans="1:99">
      <c r="A615" t="str">
        <f>IF(包装物料出入库明细!$E615="","",包装物料出入库明细!$E615)</f>
        <v/>
      </c>
      <c r="B615">
        <f t="shared" si="300"/>
        <v>0</v>
      </c>
      <c r="C615">
        <f t="shared" si="301"/>
        <v>7</v>
      </c>
      <c r="D615" t="str">
        <f>IF(包装物料出入库明细!$E615="","",包装物料出入库明细!$F615)</f>
        <v/>
      </c>
      <c r="E615" t="str">
        <f>IF(包装物料出入库明细!$E615="","",包装物料出入库明细!$G615)</f>
        <v/>
      </c>
      <c r="K615" t="str">
        <f>IF(包装物料出入库明细!$D615="","",包装物料出入库明细!$D615)</f>
        <v/>
      </c>
      <c r="L615">
        <f t="shared" si="302"/>
        <v>0</v>
      </c>
      <c r="M615">
        <f t="shared" si="303"/>
        <v>9</v>
      </c>
      <c r="Q615" t="str">
        <f>IF(周转筐出入库明细!$D616="","",周转筐出入库明细!$D616)</f>
        <v/>
      </c>
      <c r="R615">
        <f t="shared" si="304"/>
        <v>0</v>
      </c>
      <c r="S615">
        <f t="shared" si="305"/>
        <v>5</v>
      </c>
      <c r="W615" t="str">
        <f>IF(周转筐出入库明细!$C616="","",周转筐出入库明细!$C616)</f>
        <v/>
      </c>
      <c r="X615">
        <f t="shared" si="306"/>
        <v>0</v>
      </c>
      <c r="Y615">
        <f t="shared" si="307"/>
        <v>12</v>
      </c>
      <c r="AC615" t="str">
        <f>IF(客户自备加工筐明细!$C615="","",客户自备加工筐明细!$C615)</f>
        <v/>
      </c>
      <c r="AD615">
        <f t="shared" si="308"/>
        <v>0</v>
      </c>
      <c r="AE615">
        <f t="shared" si="309"/>
        <v>1</v>
      </c>
      <c r="AI615" t="str">
        <f>IF(客户自备加工筐明细!$E615="","",客户自备加工筐明细!$E615)</f>
        <v/>
      </c>
      <c r="AJ615">
        <f t="shared" si="310"/>
        <v>0</v>
      </c>
      <c r="AK615">
        <f t="shared" si="311"/>
        <v>1</v>
      </c>
      <c r="BS615" t="str">
        <f t="shared" si="322"/>
        <v/>
      </c>
      <c r="BT615">
        <f t="shared" si="316"/>
        <v>0</v>
      </c>
      <c r="BU615">
        <f t="shared" si="317"/>
        <v>17</v>
      </c>
      <c r="CP615">
        <f>IF(包装物料出入库明细!$D615="",0,1)</f>
        <v>0</v>
      </c>
      <c r="CQ615">
        <f t="shared" si="318"/>
        <v>37</v>
      </c>
      <c r="CS615" t="str">
        <f>IF(OR(周转筐出入库明细!$C616="",周转筐出入库明细!$F616&lt;&gt;"采购入库"),"",周转筐出入库明细!$C616)</f>
        <v/>
      </c>
      <c r="CT615">
        <f t="shared" si="319"/>
        <v>0</v>
      </c>
      <c r="CU615">
        <f t="shared" si="320"/>
        <v>1</v>
      </c>
    </row>
    <row r="616" spans="1:99">
      <c r="A616" t="str">
        <f>IF(包装物料出入库明细!$E616="","",包装物料出入库明细!$E616)</f>
        <v/>
      </c>
      <c r="B616">
        <f t="shared" si="300"/>
        <v>0</v>
      </c>
      <c r="C616">
        <f t="shared" si="301"/>
        <v>7</v>
      </c>
      <c r="D616" t="str">
        <f>IF(包装物料出入库明细!$E616="","",包装物料出入库明细!$F616)</f>
        <v/>
      </c>
      <c r="E616" t="str">
        <f>IF(包装物料出入库明细!$E616="","",包装物料出入库明细!$G616)</f>
        <v/>
      </c>
      <c r="K616" t="str">
        <f>IF(包装物料出入库明细!$D616="","",包装物料出入库明细!$D616)</f>
        <v/>
      </c>
      <c r="L616">
        <f t="shared" si="302"/>
        <v>0</v>
      </c>
      <c r="M616">
        <f t="shared" si="303"/>
        <v>9</v>
      </c>
      <c r="Q616" t="str">
        <f>IF(周转筐出入库明细!$D617="","",周转筐出入库明细!$D617)</f>
        <v/>
      </c>
      <c r="R616">
        <f t="shared" si="304"/>
        <v>0</v>
      </c>
      <c r="S616">
        <f t="shared" si="305"/>
        <v>5</v>
      </c>
      <c r="W616" t="str">
        <f>IF(周转筐出入库明细!$C617="","",周转筐出入库明细!$C617)</f>
        <v/>
      </c>
      <c r="X616">
        <f t="shared" si="306"/>
        <v>0</v>
      </c>
      <c r="Y616">
        <f t="shared" si="307"/>
        <v>12</v>
      </c>
      <c r="AC616" t="str">
        <f>IF(客户自备加工筐明细!$C616="","",客户自备加工筐明细!$C616)</f>
        <v/>
      </c>
      <c r="AD616">
        <f t="shared" si="308"/>
        <v>0</v>
      </c>
      <c r="AE616">
        <f t="shared" si="309"/>
        <v>1</v>
      </c>
      <c r="AI616" t="str">
        <f>IF(客户自备加工筐明细!$E616="","",客户自备加工筐明细!$E616)</f>
        <v/>
      </c>
      <c r="AJ616">
        <f t="shared" si="310"/>
        <v>0</v>
      </c>
      <c r="AK616">
        <f t="shared" si="311"/>
        <v>1</v>
      </c>
      <c r="BS616" t="str">
        <f t="shared" si="322"/>
        <v/>
      </c>
      <c r="BT616">
        <f t="shared" si="316"/>
        <v>0</v>
      </c>
      <c r="BU616">
        <f t="shared" si="317"/>
        <v>17</v>
      </c>
      <c r="CP616">
        <f>IF(包装物料出入库明细!$D616="",0,1)</f>
        <v>0</v>
      </c>
      <c r="CQ616">
        <f t="shared" si="318"/>
        <v>37</v>
      </c>
      <c r="CS616" t="str">
        <f>IF(OR(周转筐出入库明细!$C617="",周转筐出入库明细!$F617&lt;&gt;"采购入库"),"",周转筐出入库明细!$C617)</f>
        <v/>
      </c>
      <c r="CT616">
        <f t="shared" si="319"/>
        <v>0</v>
      </c>
      <c r="CU616">
        <f t="shared" si="320"/>
        <v>1</v>
      </c>
    </row>
    <row r="617" spans="1:99">
      <c r="A617" t="str">
        <f>IF(包装物料出入库明细!$E617="","",包装物料出入库明细!$E617)</f>
        <v/>
      </c>
      <c r="B617">
        <f t="shared" si="300"/>
        <v>0</v>
      </c>
      <c r="C617">
        <f t="shared" si="301"/>
        <v>7</v>
      </c>
      <c r="D617" t="str">
        <f>IF(包装物料出入库明细!$E617="","",包装物料出入库明细!$F617)</f>
        <v/>
      </c>
      <c r="E617" t="str">
        <f>IF(包装物料出入库明细!$E617="","",包装物料出入库明细!$G617)</f>
        <v/>
      </c>
      <c r="K617" t="str">
        <f>IF(包装物料出入库明细!$D617="","",包装物料出入库明细!$D617)</f>
        <v/>
      </c>
      <c r="L617">
        <f t="shared" si="302"/>
        <v>0</v>
      </c>
      <c r="M617">
        <f t="shared" si="303"/>
        <v>9</v>
      </c>
      <c r="Q617" t="str">
        <f>IF(周转筐出入库明细!$D618="","",周转筐出入库明细!$D618)</f>
        <v/>
      </c>
      <c r="R617">
        <f t="shared" si="304"/>
        <v>0</v>
      </c>
      <c r="S617">
        <f t="shared" si="305"/>
        <v>5</v>
      </c>
      <c r="W617" t="str">
        <f>IF(周转筐出入库明细!$C618="","",周转筐出入库明细!$C618)</f>
        <v/>
      </c>
      <c r="X617">
        <f t="shared" si="306"/>
        <v>0</v>
      </c>
      <c r="Y617">
        <f t="shared" si="307"/>
        <v>12</v>
      </c>
      <c r="AC617" t="str">
        <f>IF(客户自备加工筐明细!$C617="","",客户自备加工筐明细!$C617)</f>
        <v/>
      </c>
      <c r="AD617">
        <f t="shared" si="308"/>
        <v>0</v>
      </c>
      <c r="AE617">
        <f t="shared" si="309"/>
        <v>1</v>
      </c>
      <c r="AI617" t="str">
        <f>IF(客户自备加工筐明细!$E617="","",客户自备加工筐明细!$E617)</f>
        <v/>
      </c>
      <c r="AJ617">
        <f t="shared" si="310"/>
        <v>0</v>
      </c>
      <c r="AK617">
        <f t="shared" si="311"/>
        <v>1</v>
      </c>
      <c r="BS617" t="str">
        <f t="shared" si="322"/>
        <v/>
      </c>
      <c r="BT617">
        <f t="shared" si="316"/>
        <v>0</v>
      </c>
      <c r="BU617">
        <f t="shared" si="317"/>
        <v>17</v>
      </c>
      <c r="CP617">
        <f>IF(包装物料出入库明细!$D617="",0,1)</f>
        <v>0</v>
      </c>
      <c r="CQ617">
        <f t="shared" si="318"/>
        <v>37</v>
      </c>
      <c r="CS617" t="str">
        <f>IF(OR(周转筐出入库明细!$C618="",周转筐出入库明细!$F618&lt;&gt;"采购入库"),"",周转筐出入库明细!$C618)</f>
        <v/>
      </c>
      <c r="CT617">
        <f t="shared" si="319"/>
        <v>0</v>
      </c>
      <c r="CU617">
        <f t="shared" si="320"/>
        <v>1</v>
      </c>
    </row>
    <row r="618" spans="1:99">
      <c r="A618" t="str">
        <f>IF(包装物料出入库明细!$E618="","",包装物料出入库明细!$E618)</f>
        <v/>
      </c>
      <c r="B618">
        <f t="shared" si="300"/>
        <v>0</v>
      </c>
      <c r="C618">
        <f t="shared" si="301"/>
        <v>7</v>
      </c>
      <c r="D618" t="str">
        <f>IF(包装物料出入库明细!$E618="","",包装物料出入库明细!$F618)</f>
        <v/>
      </c>
      <c r="E618" t="str">
        <f>IF(包装物料出入库明细!$E618="","",包装物料出入库明细!$G618)</f>
        <v/>
      </c>
      <c r="K618" t="str">
        <f>IF(包装物料出入库明细!$D618="","",包装物料出入库明细!$D618)</f>
        <v/>
      </c>
      <c r="L618">
        <f t="shared" si="302"/>
        <v>0</v>
      </c>
      <c r="M618">
        <f t="shared" si="303"/>
        <v>9</v>
      </c>
      <c r="Q618" t="str">
        <f>IF(周转筐出入库明细!$D619="","",周转筐出入库明细!$D619)</f>
        <v/>
      </c>
      <c r="R618">
        <f t="shared" si="304"/>
        <v>0</v>
      </c>
      <c r="S618">
        <f t="shared" si="305"/>
        <v>5</v>
      </c>
      <c r="W618" t="str">
        <f>IF(周转筐出入库明细!$C619="","",周转筐出入库明细!$C619)</f>
        <v/>
      </c>
      <c r="X618">
        <f t="shared" si="306"/>
        <v>0</v>
      </c>
      <c r="Y618">
        <f t="shared" si="307"/>
        <v>12</v>
      </c>
      <c r="AC618" t="str">
        <f>IF(客户自备加工筐明细!$C618="","",客户自备加工筐明细!$C618)</f>
        <v/>
      </c>
      <c r="AD618">
        <f t="shared" si="308"/>
        <v>0</v>
      </c>
      <c r="AE618">
        <f t="shared" si="309"/>
        <v>1</v>
      </c>
      <c r="AI618" t="str">
        <f>IF(客户自备加工筐明细!$E618="","",客户自备加工筐明细!$E618)</f>
        <v/>
      </c>
      <c r="AJ618">
        <f t="shared" si="310"/>
        <v>0</v>
      </c>
      <c r="AK618">
        <f t="shared" si="311"/>
        <v>1</v>
      </c>
      <c r="BS618" t="str">
        <f t="shared" si="322"/>
        <v/>
      </c>
      <c r="BT618">
        <f t="shared" si="316"/>
        <v>0</v>
      </c>
      <c r="BU618">
        <f t="shared" si="317"/>
        <v>17</v>
      </c>
      <c r="CP618">
        <f>IF(包装物料出入库明细!$D618="",0,1)</f>
        <v>0</v>
      </c>
      <c r="CQ618">
        <f t="shared" si="318"/>
        <v>37</v>
      </c>
      <c r="CS618" t="str">
        <f>IF(OR(周转筐出入库明细!$C619="",周转筐出入库明细!$F619&lt;&gt;"采购入库"),"",周转筐出入库明细!$C619)</f>
        <v/>
      </c>
      <c r="CT618">
        <f t="shared" si="319"/>
        <v>0</v>
      </c>
      <c r="CU618">
        <f t="shared" si="320"/>
        <v>1</v>
      </c>
    </row>
    <row r="619" spans="1:99">
      <c r="A619" t="str">
        <f>IF(包装物料出入库明细!$E619="","",包装物料出入库明细!$E619)</f>
        <v/>
      </c>
      <c r="B619">
        <f t="shared" si="300"/>
        <v>0</v>
      </c>
      <c r="C619">
        <f t="shared" si="301"/>
        <v>7</v>
      </c>
      <c r="D619" t="str">
        <f>IF(包装物料出入库明细!$E619="","",包装物料出入库明细!$F619)</f>
        <v/>
      </c>
      <c r="E619" t="str">
        <f>IF(包装物料出入库明细!$E619="","",包装物料出入库明细!$G619)</f>
        <v/>
      </c>
      <c r="K619" t="str">
        <f>IF(包装物料出入库明细!$D619="","",包装物料出入库明细!$D619)</f>
        <v/>
      </c>
      <c r="L619">
        <f t="shared" si="302"/>
        <v>0</v>
      </c>
      <c r="M619">
        <f t="shared" si="303"/>
        <v>9</v>
      </c>
      <c r="Q619" t="str">
        <f>IF(周转筐出入库明细!$D620="","",周转筐出入库明细!$D620)</f>
        <v/>
      </c>
      <c r="R619">
        <f t="shared" si="304"/>
        <v>0</v>
      </c>
      <c r="S619">
        <f t="shared" si="305"/>
        <v>5</v>
      </c>
      <c r="W619" t="str">
        <f>IF(周转筐出入库明细!$C620="","",周转筐出入库明细!$C620)</f>
        <v/>
      </c>
      <c r="X619">
        <f t="shared" si="306"/>
        <v>0</v>
      </c>
      <c r="Y619">
        <f t="shared" si="307"/>
        <v>12</v>
      </c>
      <c r="AC619" t="str">
        <f>IF(客户自备加工筐明细!$C619="","",客户自备加工筐明细!$C619)</f>
        <v/>
      </c>
      <c r="AD619">
        <f t="shared" si="308"/>
        <v>0</v>
      </c>
      <c r="AE619">
        <f t="shared" si="309"/>
        <v>1</v>
      </c>
      <c r="AI619" t="str">
        <f>IF(客户自备加工筐明细!$E619="","",客户自备加工筐明细!$E619)</f>
        <v/>
      </c>
      <c r="AJ619">
        <f t="shared" si="310"/>
        <v>0</v>
      </c>
      <c r="AK619">
        <f t="shared" si="311"/>
        <v>1</v>
      </c>
      <c r="BS619" t="str">
        <f t="shared" si="322"/>
        <v/>
      </c>
      <c r="BT619">
        <f t="shared" si="316"/>
        <v>0</v>
      </c>
      <c r="BU619">
        <f t="shared" si="317"/>
        <v>17</v>
      </c>
      <c r="CP619">
        <f>IF(包装物料出入库明细!$D619="",0,1)</f>
        <v>0</v>
      </c>
      <c r="CQ619">
        <f t="shared" si="318"/>
        <v>37</v>
      </c>
      <c r="CS619" t="str">
        <f>IF(OR(周转筐出入库明细!$C620="",周转筐出入库明细!$F620&lt;&gt;"采购入库"),"",周转筐出入库明细!$C620)</f>
        <v/>
      </c>
      <c r="CT619">
        <f t="shared" si="319"/>
        <v>0</v>
      </c>
      <c r="CU619">
        <f t="shared" si="320"/>
        <v>1</v>
      </c>
    </row>
    <row r="620" spans="1:99">
      <c r="A620" t="str">
        <f>IF(包装物料出入库明细!$E620="","",包装物料出入库明细!$E620)</f>
        <v/>
      </c>
      <c r="B620">
        <f t="shared" si="300"/>
        <v>0</v>
      </c>
      <c r="C620">
        <f t="shared" si="301"/>
        <v>7</v>
      </c>
      <c r="D620" t="str">
        <f>IF(包装物料出入库明细!$E620="","",包装物料出入库明细!$F620)</f>
        <v/>
      </c>
      <c r="E620" t="str">
        <f>IF(包装物料出入库明细!$E620="","",包装物料出入库明细!$G620)</f>
        <v/>
      </c>
      <c r="K620" t="str">
        <f>IF(包装物料出入库明细!$D620="","",包装物料出入库明细!$D620)</f>
        <v/>
      </c>
      <c r="L620">
        <f t="shared" si="302"/>
        <v>0</v>
      </c>
      <c r="M620">
        <f t="shared" si="303"/>
        <v>9</v>
      </c>
      <c r="Q620" t="str">
        <f>IF(周转筐出入库明细!$D621="","",周转筐出入库明细!$D621)</f>
        <v/>
      </c>
      <c r="R620">
        <f t="shared" si="304"/>
        <v>0</v>
      </c>
      <c r="S620">
        <f t="shared" si="305"/>
        <v>5</v>
      </c>
      <c r="W620" t="str">
        <f>IF(周转筐出入库明细!$C621="","",周转筐出入库明细!$C621)</f>
        <v/>
      </c>
      <c r="X620">
        <f t="shared" si="306"/>
        <v>0</v>
      </c>
      <c r="Y620">
        <f t="shared" si="307"/>
        <v>12</v>
      </c>
      <c r="AC620" t="str">
        <f>IF(客户自备加工筐明细!$C620="","",客户自备加工筐明细!$C620)</f>
        <v/>
      </c>
      <c r="AD620">
        <f t="shared" si="308"/>
        <v>0</v>
      </c>
      <c r="AE620">
        <f t="shared" si="309"/>
        <v>1</v>
      </c>
      <c r="AI620" t="str">
        <f>IF(客户自备加工筐明细!$E620="","",客户自备加工筐明细!$E620)</f>
        <v/>
      </c>
      <c r="AJ620">
        <f t="shared" si="310"/>
        <v>0</v>
      </c>
      <c r="AK620">
        <f t="shared" si="311"/>
        <v>1</v>
      </c>
      <c r="BS620" t="str">
        <f t="shared" si="322"/>
        <v/>
      </c>
      <c r="BT620">
        <f t="shared" si="316"/>
        <v>0</v>
      </c>
      <c r="BU620">
        <f t="shared" si="317"/>
        <v>17</v>
      </c>
      <c r="CP620">
        <f>IF(包装物料出入库明细!$D620="",0,1)</f>
        <v>0</v>
      </c>
      <c r="CQ620">
        <f t="shared" si="318"/>
        <v>37</v>
      </c>
      <c r="CS620" t="str">
        <f>IF(OR(周转筐出入库明细!$C621="",周转筐出入库明细!$F621&lt;&gt;"采购入库"),"",周转筐出入库明细!$C621)</f>
        <v/>
      </c>
      <c r="CT620">
        <f t="shared" si="319"/>
        <v>0</v>
      </c>
      <c r="CU620">
        <f t="shared" si="320"/>
        <v>1</v>
      </c>
    </row>
    <row r="621" spans="1:99">
      <c r="A621" t="str">
        <f>IF(包装物料出入库明细!$E621="","",包装物料出入库明细!$E621)</f>
        <v/>
      </c>
      <c r="B621">
        <f t="shared" si="300"/>
        <v>0</v>
      </c>
      <c r="C621">
        <f t="shared" si="301"/>
        <v>7</v>
      </c>
      <c r="D621" t="str">
        <f>IF(包装物料出入库明细!$E621="","",包装物料出入库明细!$F621)</f>
        <v/>
      </c>
      <c r="E621" t="str">
        <f>IF(包装物料出入库明细!$E621="","",包装物料出入库明细!$G621)</f>
        <v/>
      </c>
      <c r="K621" t="str">
        <f>IF(包装物料出入库明细!$D621="","",包装物料出入库明细!$D621)</f>
        <v/>
      </c>
      <c r="L621">
        <f t="shared" si="302"/>
        <v>0</v>
      </c>
      <c r="M621">
        <f t="shared" si="303"/>
        <v>9</v>
      </c>
      <c r="Q621" t="str">
        <f>IF(周转筐出入库明细!$D622="","",周转筐出入库明细!$D622)</f>
        <v/>
      </c>
      <c r="R621">
        <f t="shared" si="304"/>
        <v>0</v>
      </c>
      <c r="S621">
        <f t="shared" si="305"/>
        <v>5</v>
      </c>
      <c r="W621" t="str">
        <f>IF(周转筐出入库明细!$C622="","",周转筐出入库明细!$C622)</f>
        <v/>
      </c>
      <c r="X621">
        <f t="shared" si="306"/>
        <v>0</v>
      </c>
      <c r="Y621">
        <f t="shared" si="307"/>
        <v>12</v>
      </c>
      <c r="AC621" t="str">
        <f>IF(客户自备加工筐明细!$C621="","",客户自备加工筐明细!$C621)</f>
        <v/>
      </c>
      <c r="AD621">
        <f t="shared" si="308"/>
        <v>0</v>
      </c>
      <c r="AE621">
        <f t="shared" si="309"/>
        <v>1</v>
      </c>
      <c r="AI621" t="str">
        <f>IF(客户自备加工筐明细!$E621="","",客户自备加工筐明细!$E621)</f>
        <v/>
      </c>
      <c r="AJ621">
        <f t="shared" si="310"/>
        <v>0</v>
      </c>
      <c r="AK621">
        <f t="shared" si="311"/>
        <v>1</v>
      </c>
      <c r="BS621" t="str">
        <f t="shared" si="322"/>
        <v/>
      </c>
      <c r="BT621">
        <f t="shared" si="316"/>
        <v>0</v>
      </c>
      <c r="BU621">
        <f t="shared" si="317"/>
        <v>17</v>
      </c>
      <c r="CP621">
        <f>IF(包装物料出入库明细!$D621="",0,1)</f>
        <v>0</v>
      </c>
      <c r="CQ621">
        <f t="shared" si="318"/>
        <v>37</v>
      </c>
      <c r="CS621" t="str">
        <f>IF(OR(周转筐出入库明细!$C622="",周转筐出入库明细!$F622&lt;&gt;"采购入库"),"",周转筐出入库明细!$C622)</f>
        <v/>
      </c>
      <c r="CT621">
        <f t="shared" si="319"/>
        <v>0</v>
      </c>
      <c r="CU621">
        <f t="shared" si="320"/>
        <v>1</v>
      </c>
    </row>
    <row r="622" spans="1:99">
      <c r="A622" t="str">
        <f>IF(包装物料出入库明细!$E622="","",包装物料出入库明细!$E622)</f>
        <v/>
      </c>
      <c r="B622">
        <f t="shared" si="300"/>
        <v>0</v>
      </c>
      <c r="C622">
        <f t="shared" si="301"/>
        <v>7</v>
      </c>
      <c r="D622" t="str">
        <f>IF(包装物料出入库明细!$E622="","",包装物料出入库明细!$F622)</f>
        <v/>
      </c>
      <c r="E622" t="str">
        <f>IF(包装物料出入库明细!$E622="","",包装物料出入库明细!$G622)</f>
        <v/>
      </c>
      <c r="K622" t="str">
        <f>IF(包装物料出入库明细!$D622="","",包装物料出入库明细!$D622)</f>
        <v/>
      </c>
      <c r="L622">
        <f t="shared" si="302"/>
        <v>0</v>
      </c>
      <c r="M622">
        <f t="shared" si="303"/>
        <v>9</v>
      </c>
      <c r="Q622" t="str">
        <f>IF(周转筐出入库明细!$D623="","",周转筐出入库明细!$D623)</f>
        <v/>
      </c>
      <c r="R622">
        <f t="shared" si="304"/>
        <v>0</v>
      </c>
      <c r="S622">
        <f t="shared" si="305"/>
        <v>5</v>
      </c>
      <c r="W622" t="str">
        <f>IF(周转筐出入库明细!$C623="","",周转筐出入库明细!$C623)</f>
        <v/>
      </c>
      <c r="X622">
        <f t="shared" si="306"/>
        <v>0</v>
      </c>
      <c r="Y622">
        <f t="shared" si="307"/>
        <v>12</v>
      </c>
      <c r="AC622" t="str">
        <f>IF(客户自备加工筐明细!$C622="","",客户自备加工筐明细!$C622)</f>
        <v/>
      </c>
      <c r="AD622">
        <f t="shared" si="308"/>
        <v>0</v>
      </c>
      <c r="AE622">
        <f t="shared" si="309"/>
        <v>1</v>
      </c>
      <c r="AI622" t="str">
        <f>IF(客户自备加工筐明细!$E622="","",客户自备加工筐明细!$E622)</f>
        <v/>
      </c>
      <c r="AJ622">
        <f t="shared" si="310"/>
        <v>0</v>
      </c>
      <c r="AK622">
        <f t="shared" si="311"/>
        <v>1</v>
      </c>
      <c r="BS622" t="str">
        <f t="shared" si="322"/>
        <v/>
      </c>
      <c r="BT622">
        <f t="shared" si="316"/>
        <v>0</v>
      </c>
      <c r="BU622">
        <f t="shared" si="317"/>
        <v>17</v>
      </c>
      <c r="CP622">
        <f>IF(包装物料出入库明细!$D622="",0,1)</f>
        <v>0</v>
      </c>
      <c r="CQ622">
        <f t="shared" si="318"/>
        <v>37</v>
      </c>
      <c r="CS622" t="str">
        <f>IF(OR(周转筐出入库明细!$C623="",周转筐出入库明细!$F623&lt;&gt;"采购入库"),"",周转筐出入库明细!$C623)</f>
        <v/>
      </c>
      <c r="CT622">
        <f t="shared" si="319"/>
        <v>0</v>
      </c>
      <c r="CU622">
        <f t="shared" si="320"/>
        <v>1</v>
      </c>
    </row>
    <row r="623" spans="1:99">
      <c r="A623" t="str">
        <f>IF(包装物料出入库明细!$E623="","",包装物料出入库明细!$E623)</f>
        <v/>
      </c>
      <c r="B623">
        <f t="shared" si="300"/>
        <v>0</v>
      </c>
      <c r="C623">
        <f t="shared" si="301"/>
        <v>7</v>
      </c>
      <c r="D623" t="str">
        <f>IF(包装物料出入库明细!$E623="","",包装物料出入库明细!$F623)</f>
        <v/>
      </c>
      <c r="E623" t="str">
        <f>IF(包装物料出入库明细!$E623="","",包装物料出入库明细!$G623)</f>
        <v/>
      </c>
      <c r="K623" t="str">
        <f>IF(包装物料出入库明细!$D623="","",包装物料出入库明细!$D623)</f>
        <v/>
      </c>
      <c r="L623">
        <f t="shared" si="302"/>
        <v>0</v>
      </c>
      <c r="M623">
        <f t="shared" si="303"/>
        <v>9</v>
      </c>
      <c r="Q623" t="str">
        <f>IF(周转筐出入库明细!$D624="","",周转筐出入库明细!$D624)</f>
        <v/>
      </c>
      <c r="R623">
        <f t="shared" si="304"/>
        <v>0</v>
      </c>
      <c r="S623">
        <f t="shared" si="305"/>
        <v>5</v>
      </c>
      <c r="W623" t="str">
        <f>IF(周转筐出入库明细!$C624="","",周转筐出入库明细!$C624)</f>
        <v/>
      </c>
      <c r="X623">
        <f t="shared" si="306"/>
        <v>0</v>
      </c>
      <c r="Y623">
        <f t="shared" si="307"/>
        <v>12</v>
      </c>
      <c r="AC623" t="str">
        <f>IF(客户自备加工筐明细!$C623="","",客户自备加工筐明细!$C623)</f>
        <v/>
      </c>
      <c r="AD623">
        <f t="shared" si="308"/>
        <v>0</v>
      </c>
      <c r="AE623">
        <f t="shared" si="309"/>
        <v>1</v>
      </c>
      <c r="AI623" t="str">
        <f>IF(客户自备加工筐明细!$E623="","",客户自备加工筐明细!$E623)</f>
        <v/>
      </c>
      <c r="AJ623">
        <f t="shared" si="310"/>
        <v>0</v>
      </c>
      <c r="AK623">
        <f t="shared" si="311"/>
        <v>1</v>
      </c>
      <c r="BS623" t="str">
        <f t="shared" si="322"/>
        <v/>
      </c>
      <c r="BT623">
        <f t="shared" si="316"/>
        <v>0</v>
      </c>
      <c r="BU623">
        <f t="shared" si="317"/>
        <v>17</v>
      </c>
      <c r="CP623">
        <f>IF(包装物料出入库明细!$D623="",0,1)</f>
        <v>0</v>
      </c>
      <c r="CQ623">
        <f t="shared" si="318"/>
        <v>37</v>
      </c>
      <c r="CS623" t="str">
        <f>IF(OR(周转筐出入库明细!$C624="",周转筐出入库明细!$F624&lt;&gt;"采购入库"),"",周转筐出入库明细!$C624)</f>
        <v/>
      </c>
      <c r="CT623">
        <f t="shared" si="319"/>
        <v>0</v>
      </c>
      <c r="CU623">
        <f t="shared" si="320"/>
        <v>1</v>
      </c>
    </row>
    <row r="624" spans="1:99">
      <c r="A624" t="str">
        <f>IF(包装物料出入库明细!$E624="","",包装物料出入库明细!$E624)</f>
        <v/>
      </c>
      <c r="B624">
        <f t="shared" si="300"/>
        <v>0</v>
      </c>
      <c r="C624">
        <f t="shared" si="301"/>
        <v>7</v>
      </c>
      <c r="D624" t="str">
        <f>IF(包装物料出入库明细!$E624="","",包装物料出入库明细!$F624)</f>
        <v/>
      </c>
      <c r="E624" t="str">
        <f>IF(包装物料出入库明细!$E624="","",包装物料出入库明细!$G624)</f>
        <v/>
      </c>
      <c r="K624" t="str">
        <f>IF(包装物料出入库明细!$D624="","",包装物料出入库明细!$D624)</f>
        <v/>
      </c>
      <c r="L624">
        <f t="shared" si="302"/>
        <v>0</v>
      </c>
      <c r="M624">
        <f t="shared" si="303"/>
        <v>9</v>
      </c>
      <c r="Q624" t="str">
        <f>IF(周转筐出入库明细!$D625="","",周转筐出入库明细!$D625)</f>
        <v/>
      </c>
      <c r="R624">
        <f t="shared" si="304"/>
        <v>0</v>
      </c>
      <c r="S624">
        <f t="shared" si="305"/>
        <v>5</v>
      </c>
      <c r="W624" t="str">
        <f>IF(周转筐出入库明细!$C625="","",周转筐出入库明细!$C625)</f>
        <v/>
      </c>
      <c r="X624">
        <f t="shared" si="306"/>
        <v>0</v>
      </c>
      <c r="Y624">
        <f t="shared" si="307"/>
        <v>12</v>
      </c>
      <c r="AC624" t="str">
        <f>IF(客户自备加工筐明细!$C624="","",客户自备加工筐明细!$C624)</f>
        <v/>
      </c>
      <c r="AD624">
        <f t="shared" si="308"/>
        <v>0</v>
      </c>
      <c r="AE624">
        <f t="shared" si="309"/>
        <v>1</v>
      </c>
      <c r="AI624" t="str">
        <f>IF(客户自备加工筐明细!$E624="","",客户自备加工筐明细!$E624)</f>
        <v/>
      </c>
      <c r="AJ624">
        <f t="shared" si="310"/>
        <v>0</v>
      </c>
      <c r="AK624">
        <f t="shared" si="311"/>
        <v>1</v>
      </c>
      <c r="BS624" t="str">
        <f t="shared" si="322"/>
        <v/>
      </c>
      <c r="BT624">
        <f t="shared" si="316"/>
        <v>0</v>
      </c>
      <c r="BU624">
        <f t="shared" si="317"/>
        <v>17</v>
      </c>
      <c r="CP624">
        <f>IF(包装物料出入库明细!$D624="",0,1)</f>
        <v>0</v>
      </c>
      <c r="CQ624">
        <f t="shared" si="318"/>
        <v>37</v>
      </c>
      <c r="CS624" t="str">
        <f>IF(OR(周转筐出入库明细!$C625="",周转筐出入库明细!$F625&lt;&gt;"采购入库"),"",周转筐出入库明细!$C625)</f>
        <v/>
      </c>
      <c r="CT624">
        <f t="shared" si="319"/>
        <v>0</v>
      </c>
      <c r="CU624">
        <f t="shared" si="320"/>
        <v>1</v>
      </c>
    </row>
    <row r="625" spans="1:99">
      <c r="A625" t="str">
        <f>IF(包装物料出入库明细!$E625="","",包装物料出入库明细!$E625)</f>
        <v/>
      </c>
      <c r="B625">
        <f t="shared" si="300"/>
        <v>0</v>
      </c>
      <c r="C625">
        <f t="shared" si="301"/>
        <v>7</v>
      </c>
      <c r="D625" t="str">
        <f>IF(包装物料出入库明细!$E625="","",包装物料出入库明细!$F625)</f>
        <v/>
      </c>
      <c r="E625" t="str">
        <f>IF(包装物料出入库明细!$E625="","",包装物料出入库明细!$G625)</f>
        <v/>
      </c>
      <c r="K625" t="str">
        <f>IF(包装物料出入库明细!$D625="","",包装物料出入库明细!$D625)</f>
        <v/>
      </c>
      <c r="L625">
        <f t="shared" si="302"/>
        <v>0</v>
      </c>
      <c r="M625">
        <f t="shared" si="303"/>
        <v>9</v>
      </c>
      <c r="Q625" t="str">
        <f>IF(周转筐出入库明细!$D626="","",周转筐出入库明细!$D626)</f>
        <v/>
      </c>
      <c r="R625">
        <f t="shared" si="304"/>
        <v>0</v>
      </c>
      <c r="S625">
        <f t="shared" si="305"/>
        <v>5</v>
      </c>
      <c r="W625" t="str">
        <f>IF(周转筐出入库明细!$C626="","",周转筐出入库明细!$C626)</f>
        <v/>
      </c>
      <c r="X625">
        <f t="shared" si="306"/>
        <v>0</v>
      </c>
      <c r="Y625">
        <f t="shared" si="307"/>
        <v>12</v>
      </c>
      <c r="AC625" t="str">
        <f>IF(客户自备加工筐明细!$C625="","",客户自备加工筐明细!$C625)</f>
        <v/>
      </c>
      <c r="AD625">
        <f t="shared" si="308"/>
        <v>0</v>
      </c>
      <c r="AE625">
        <f t="shared" si="309"/>
        <v>1</v>
      </c>
      <c r="AI625" t="str">
        <f>IF(客户自备加工筐明细!$E625="","",客户自备加工筐明细!$E625)</f>
        <v/>
      </c>
      <c r="AJ625">
        <f t="shared" si="310"/>
        <v>0</v>
      </c>
      <c r="AK625">
        <f t="shared" si="311"/>
        <v>1</v>
      </c>
      <c r="BS625" t="str">
        <f t="shared" si="322"/>
        <v/>
      </c>
      <c r="BT625">
        <f t="shared" si="316"/>
        <v>0</v>
      </c>
      <c r="BU625">
        <f t="shared" si="317"/>
        <v>17</v>
      </c>
      <c r="CP625">
        <f>IF(包装物料出入库明细!$D625="",0,1)</f>
        <v>0</v>
      </c>
      <c r="CQ625">
        <f t="shared" si="318"/>
        <v>37</v>
      </c>
      <c r="CS625" t="str">
        <f>IF(OR(周转筐出入库明细!$C626="",周转筐出入库明细!$F626&lt;&gt;"采购入库"),"",周转筐出入库明细!$C626)</f>
        <v/>
      </c>
      <c r="CT625">
        <f t="shared" si="319"/>
        <v>0</v>
      </c>
      <c r="CU625">
        <f t="shared" si="320"/>
        <v>1</v>
      </c>
    </row>
    <row r="626" spans="1:99">
      <c r="A626" t="str">
        <f>IF(包装物料出入库明细!$E626="","",包装物料出入库明细!$E626)</f>
        <v/>
      </c>
      <c r="B626">
        <f t="shared" si="300"/>
        <v>0</v>
      </c>
      <c r="C626">
        <f t="shared" si="301"/>
        <v>7</v>
      </c>
      <c r="D626" t="str">
        <f>IF(包装物料出入库明细!$E626="","",包装物料出入库明细!$F626)</f>
        <v/>
      </c>
      <c r="E626" t="str">
        <f>IF(包装物料出入库明细!$E626="","",包装物料出入库明细!$G626)</f>
        <v/>
      </c>
      <c r="K626" t="str">
        <f>IF(包装物料出入库明细!$D626="","",包装物料出入库明细!$D626)</f>
        <v/>
      </c>
      <c r="L626">
        <f t="shared" si="302"/>
        <v>0</v>
      </c>
      <c r="M626">
        <f t="shared" si="303"/>
        <v>9</v>
      </c>
      <c r="Q626" t="str">
        <f>IF(周转筐出入库明细!$D627="","",周转筐出入库明细!$D627)</f>
        <v/>
      </c>
      <c r="R626">
        <f t="shared" si="304"/>
        <v>0</v>
      </c>
      <c r="S626">
        <f t="shared" si="305"/>
        <v>5</v>
      </c>
      <c r="W626" t="str">
        <f>IF(周转筐出入库明细!$C627="","",周转筐出入库明细!$C627)</f>
        <v/>
      </c>
      <c r="X626">
        <f t="shared" si="306"/>
        <v>0</v>
      </c>
      <c r="Y626">
        <f t="shared" si="307"/>
        <v>12</v>
      </c>
      <c r="AC626" t="str">
        <f>IF(客户自备加工筐明细!$C626="","",客户自备加工筐明细!$C626)</f>
        <v/>
      </c>
      <c r="AD626">
        <f t="shared" si="308"/>
        <v>0</v>
      </c>
      <c r="AE626">
        <f t="shared" si="309"/>
        <v>1</v>
      </c>
      <c r="AI626" t="str">
        <f>IF(客户自备加工筐明细!$E626="","",客户自备加工筐明细!$E626)</f>
        <v/>
      </c>
      <c r="AJ626">
        <f t="shared" si="310"/>
        <v>0</v>
      </c>
      <c r="AK626">
        <f t="shared" si="311"/>
        <v>1</v>
      </c>
      <c r="BS626" t="str">
        <f t="shared" si="322"/>
        <v/>
      </c>
      <c r="BT626">
        <f t="shared" si="316"/>
        <v>0</v>
      </c>
      <c r="BU626">
        <f t="shared" si="317"/>
        <v>17</v>
      </c>
      <c r="CP626">
        <f>IF(包装物料出入库明细!$D626="",0,1)</f>
        <v>0</v>
      </c>
      <c r="CQ626">
        <f t="shared" si="318"/>
        <v>37</v>
      </c>
      <c r="CS626" t="str">
        <f>IF(OR(周转筐出入库明细!$C627="",周转筐出入库明细!$F627&lt;&gt;"采购入库"),"",周转筐出入库明细!$C627)</f>
        <v/>
      </c>
      <c r="CT626">
        <f t="shared" si="319"/>
        <v>0</v>
      </c>
      <c r="CU626">
        <f t="shared" si="320"/>
        <v>1</v>
      </c>
    </row>
    <row r="627" spans="1:99">
      <c r="A627" t="str">
        <f>IF(包装物料出入库明细!$E627="","",包装物料出入库明细!$E627)</f>
        <v/>
      </c>
      <c r="B627">
        <f t="shared" si="300"/>
        <v>0</v>
      </c>
      <c r="C627">
        <f t="shared" si="301"/>
        <v>7</v>
      </c>
      <c r="D627" t="str">
        <f>IF(包装物料出入库明细!$E627="","",包装物料出入库明细!$F627)</f>
        <v/>
      </c>
      <c r="E627" t="str">
        <f>IF(包装物料出入库明细!$E627="","",包装物料出入库明细!$G627)</f>
        <v/>
      </c>
      <c r="K627" t="str">
        <f>IF(包装物料出入库明细!$D627="","",包装物料出入库明细!$D627)</f>
        <v/>
      </c>
      <c r="L627">
        <f t="shared" si="302"/>
        <v>0</v>
      </c>
      <c r="M627">
        <f t="shared" si="303"/>
        <v>9</v>
      </c>
      <c r="Q627" t="str">
        <f>IF(周转筐出入库明细!$D628="","",周转筐出入库明细!$D628)</f>
        <v/>
      </c>
      <c r="R627">
        <f t="shared" si="304"/>
        <v>0</v>
      </c>
      <c r="S627">
        <f t="shared" si="305"/>
        <v>5</v>
      </c>
      <c r="W627" t="str">
        <f>IF(周转筐出入库明细!$C628="","",周转筐出入库明细!$C628)</f>
        <v/>
      </c>
      <c r="X627">
        <f t="shared" si="306"/>
        <v>0</v>
      </c>
      <c r="Y627">
        <f t="shared" si="307"/>
        <v>12</v>
      </c>
      <c r="AC627" t="str">
        <f>IF(客户自备加工筐明细!$C627="","",客户自备加工筐明细!$C627)</f>
        <v/>
      </c>
      <c r="AD627">
        <f t="shared" si="308"/>
        <v>0</v>
      </c>
      <c r="AE627">
        <f t="shared" si="309"/>
        <v>1</v>
      </c>
      <c r="AI627" t="str">
        <f>IF(客户自备加工筐明细!$E627="","",客户自备加工筐明细!$E627)</f>
        <v/>
      </c>
      <c r="AJ627">
        <f t="shared" si="310"/>
        <v>0</v>
      </c>
      <c r="AK627">
        <f t="shared" si="311"/>
        <v>1</v>
      </c>
      <c r="BS627" t="str">
        <f t="shared" si="322"/>
        <v/>
      </c>
      <c r="BT627">
        <f t="shared" si="316"/>
        <v>0</v>
      </c>
      <c r="BU627">
        <f t="shared" si="317"/>
        <v>17</v>
      </c>
      <c r="CP627">
        <f>IF(包装物料出入库明细!$D627="",0,1)</f>
        <v>0</v>
      </c>
      <c r="CQ627">
        <f t="shared" si="318"/>
        <v>37</v>
      </c>
      <c r="CS627" t="str">
        <f>IF(OR(周转筐出入库明细!$C628="",周转筐出入库明细!$F628&lt;&gt;"采购入库"),"",周转筐出入库明细!$C628)</f>
        <v/>
      </c>
      <c r="CT627">
        <f t="shared" si="319"/>
        <v>0</v>
      </c>
      <c r="CU627">
        <f t="shared" si="320"/>
        <v>1</v>
      </c>
    </row>
    <row r="628" spans="1:99">
      <c r="A628" t="str">
        <f>IF(包装物料出入库明细!$E628="","",包装物料出入库明细!$E628)</f>
        <v/>
      </c>
      <c r="B628">
        <f t="shared" si="300"/>
        <v>0</v>
      </c>
      <c r="C628">
        <f t="shared" si="301"/>
        <v>7</v>
      </c>
      <c r="D628" t="str">
        <f>IF(包装物料出入库明细!$E628="","",包装物料出入库明细!$F628)</f>
        <v/>
      </c>
      <c r="E628" t="str">
        <f>IF(包装物料出入库明细!$E628="","",包装物料出入库明细!$G628)</f>
        <v/>
      </c>
      <c r="K628" t="str">
        <f>IF(包装物料出入库明细!$D628="","",包装物料出入库明细!$D628)</f>
        <v/>
      </c>
      <c r="L628">
        <f t="shared" si="302"/>
        <v>0</v>
      </c>
      <c r="M628">
        <f t="shared" si="303"/>
        <v>9</v>
      </c>
      <c r="Q628" t="str">
        <f>IF(周转筐出入库明细!$D629="","",周转筐出入库明细!$D629)</f>
        <v/>
      </c>
      <c r="R628">
        <f t="shared" si="304"/>
        <v>0</v>
      </c>
      <c r="S628">
        <f t="shared" si="305"/>
        <v>5</v>
      </c>
      <c r="W628" t="str">
        <f>IF(周转筐出入库明细!$C629="","",周转筐出入库明细!$C629)</f>
        <v/>
      </c>
      <c r="X628">
        <f t="shared" si="306"/>
        <v>0</v>
      </c>
      <c r="Y628">
        <f t="shared" si="307"/>
        <v>12</v>
      </c>
      <c r="AC628" t="str">
        <f>IF(客户自备加工筐明细!$C628="","",客户自备加工筐明细!$C628)</f>
        <v/>
      </c>
      <c r="AD628">
        <f t="shared" si="308"/>
        <v>0</v>
      </c>
      <c r="AE628">
        <f t="shared" si="309"/>
        <v>1</v>
      </c>
      <c r="AI628" t="str">
        <f>IF(客户自备加工筐明细!$E628="","",客户自备加工筐明细!$E628)</f>
        <v/>
      </c>
      <c r="AJ628">
        <f t="shared" si="310"/>
        <v>0</v>
      </c>
      <c r="AK628">
        <f t="shared" si="311"/>
        <v>1</v>
      </c>
      <c r="BS628" t="str">
        <f t="shared" si="322"/>
        <v/>
      </c>
      <c r="BT628">
        <f t="shared" si="316"/>
        <v>0</v>
      </c>
      <c r="BU628">
        <f t="shared" si="317"/>
        <v>17</v>
      </c>
      <c r="CP628">
        <f>IF(包装物料出入库明细!$D628="",0,1)</f>
        <v>0</v>
      </c>
      <c r="CQ628">
        <f t="shared" si="318"/>
        <v>37</v>
      </c>
      <c r="CS628" t="str">
        <f>IF(OR(周转筐出入库明细!$C629="",周转筐出入库明细!$F629&lt;&gt;"采购入库"),"",周转筐出入库明细!$C629)</f>
        <v/>
      </c>
      <c r="CT628">
        <f t="shared" si="319"/>
        <v>0</v>
      </c>
      <c r="CU628">
        <f t="shared" si="320"/>
        <v>1</v>
      </c>
    </row>
    <row r="629" spans="1:99">
      <c r="A629" t="str">
        <f>IF(包装物料出入库明细!$E629="","",包装物料出入库明细!$E629)</f>
        <v/>
      </c>
      <c r="B629">
        <f t="shared" si="300"/>
        <v>0</v>
      </c>
      <c r="C629">
        <f t="shared" si="301"/>
        <v>7</v>
      </c>
      <c r="D629" t="str">
        <f>IF(包装物料出入库明细!$E629="","",包装物料出入库明细!$F629)</f>
        <v/>
      </c>
      <c r="E629" t="str">
        <f>IF(包装物料出入库明细!$E629="","",包装物料出入库明细!$G629)</f>
        <v/>
      </c>
      <c r="K629" t="str">
        <f>IF(包装物料出入库明细!$D629="","",包装物料出入库明细!$D629)</f>
        <v/>
      </c>
      <c r="L629">
        <f t="shared" si="302"/>
        <v>0</v>
      </c>
      <c r="M629">
        <f t="shared" si="303"/>
        <v>9</v>
      </c>
      <c r="Q629" t="str">
        <f>IF(周转筐出入库明细!$D630="","",周转筐出入库明细!$D630)</f>
        <v/>
      </c>
      <c r="R629">
        <f t="shared" si="304"/>
        <v>0</v>
      </c>
      <c r="S629">
        <f t="shared" si="305"/>
        <v>5</v>
      </c>
      <c r="W629" t="str">
        <f>IF(周转筐出入库明细!$C630="","",周转筐出入库明细!$C630)</f>
        <v/>
      </c>
      <c r="X629">
        <f t="shared" si="306"/>
        <v>0</v>
      </c>
      <c r="Y629">
        <f t="shared" si="307"/>
        <v>12</v>
      </c>
      <c r="AC629" t="str">
        <f>IF(客户自备加工筐明细!$C629="","",客户自备加工筐明细!$C629)</f>
        <v/>
      </c>
      <c r="AD629">
        <f t="shared" si="308"/>
        <v>0</v>
      </c>
      <c r="AE629">
        <f t="shared" si="309"/>
        <v>1</v>
      </c>
      <c r="AI629" t="str">
        <f>IF(客户自备加工筐明细!$E629="","",客户自备加工筐明细!$E629)</f>
        <v/>
      </c>
      <c r="AJ629">
        <f t="shared" si="310"/>
        <v>0</v>
      </c>
      <c r="AK629">
        <f t="shared" si="311"/>
        <v>1</v>
      </c>
      <c r="BS629" t="str">
        <f t="shared" si="322"/>
        <v/>
      </c>
      <c r="BT629">
        <f t="shared" si="316"/>
        <v>0</v>
      </c>
      <c r="BU629">
        <f t="shared" si="317"/>
        <v>17</v>
      </c>
      <c r="CP629">
        <f>IF(包装物料出入库明细!$D629="",0,1)</f>
        <v>0</v>
      </c>
      <c r="CQ629">
        <f t="shared" si="318"/>
        <v>37</v>
      </c>
      <c r="CS629" t="str">
        <f>IF(OR(周转筐出入库明细!$C630="",周转筐出入库明细!$F630&lt;&gt;"采购入库"),"",周转筐出入库明细!$C630)</f>
        <v/>
      </c>
      <c r="CT629">
        <f t="shared" si="319"/>
        <v>0</v>
      </c>
      <c r="CU629">
        <f t="shared" si="320"/>
        <v>1</v>
      </c>
    </row>
    <row r="630" spans="1:99">
      <c r="A630" t="str">
        <f>IF(包装物料出入库明细!$E630="","",包装物料出入库明细!$E630)</f>
        <v/>
      </c>
      <c r="B630">
        <f t="shared" si="300"/>
        <v>0</v>
      </c>
      <c r="C630">
        <f t="shared" si="301"/>
        <v>7</v>
      </c>
      <c r="D630" t="str">
        <f>IF(包装物料出入库明细!$E630="","",包装物料出入库明细!$F630)</f>
        <v/>
      </c>
      <c r="E630" t="str">
        <f>IF(包装物料出入库明细!$E630="","",包装物料出入库明细!$G630)</f>
        <v/>
      </c>
      <c r="K630" t="str">
        <f>IF(包装物料出入库明细!$D630="","",包装物料出入库明细!$D630)</f>
        <v/>
      </c>
      <c r="L630">
        <f t="shared" si="302"/>
        <v>0</v>
      </c>
      <c r="M630">
        <f t="shared" si="303"/>
        <v>9</v>
      </c>
      <c r="Q630" t="str">
        <f>IF(周转筐出入库明细!$D631="","",周转筐出入库明细!$D631)</f>
        <v/>
      </c>
      <c r="R630">
        <f t="shared" si="304"/>
        <v>0</v>
      </c>
      <c r="S630">
        <f t="shared" si="305"/>
        <v>5</v>
      </c>
      <c r="W630" t="str">
        <f>IF(周转筐出入库明细!$C631="","",周转筐出入库明细!$C631)</f>
        <v/>
      </c>
      <c r="X630">
        <f t="shared" si="306"/>
        <v>0</v>
      </c>
      <c r="Y630">
        <f t="shared" si="307"/>
        <v>12</v>
      </c>
      <c r="AC630" t="str">
        <f>IF(客户自备加工筐明细!$C630="","",客户自备加工筐明细!$C630)</f>
        <v/>
      </c>
      <c r="AD630">
        <f t="shared" si="308"/>
        <v>0</v>
      </c>
      <c r="AE630">
        <f t="shared" si="309"/>
        <v>1</v>
      </c>
      <c r="AI630" t="str">
        <f>IF(客户自备加工筐明细!$E630="","",客户自备加工筐明细!$E630)</f>
        <v/>
      </c>
      <c r="AJ630">
        <f t="shared" si="310"/>
        <v>0</v>
      </c>
      <c r="AK630">
        <f t="shared" si="311"/>
        <v>1</v>
      </c>
      <c r="BS630" t="str">
        <f t="shared" si="322"/>
        <v/>
      </c>
      <c r="BT630">
        <f t="shared" si="316"/>
        <v>0</v>
      </c>
      <c r="BU630">
        <f t="shared" si="317"/>
        <v>17</v>
      </c>
      <c r="CP630">
        <f>IF(包装物料出入库明细!$D630="",0,1)</f>
        <v>0</v>
      </c>
      <c r="CQ630">
        <f t="shared" si="318"/>
        <v>37</v>
      </c>
      <c r="CS630" t="str">
        <f>IF(OR(周转筐出入库明细!$C631="",周转筐出入库明细!$F631&lt;&gt;"采购入库"),"",周转筐出入库明细!$C631)</f>
        <v/>
      </c>
      <c r="CT630">
        <f t="shared" si="319"/>
        <v>0</v>
      </c>
      <c r="CU630">
        <f t="shared" si="320"/>
        <v>1</v>
      </c>
    </row>
    <row r="631" spans="1:99">
      <c r="A631" t="str">
        <f>IF(包装物料出入库明细!$E631="","",包装物料出入库明细!$E631)</f>
        <v/>
      </c>
      <c r="B631">
        <f t="shared" si="300"/>
        <v>0</v>
      </c>
      <c r="C631">
        <f t="shared" si="301"/>
        <v>7</v>
      </c>
      <c r="D631" t="str">
        <f>IF(包装物料出入库明细!$E631="","",包装物料出入库明细!$F631)</f>
        <v/>
      </c>
      <c r="E631" t="str">
        <f>IF(包装物料出入库明细!$E631="","",包装物料出入库明细!$G631)</f>
        <v/>
      </c>
      <c r="K631" t="str">
        <f>IF(包装物料出入库明细!$D631="","",包装物料出入库明细!$D631)</f>
        <v/>
      </c>
      <c r="L631">
        <f t="shared" si="302"/>
        <v>0</v>
      </c>
      <c r="M631">
        <f t="shared" si="303"/>
        <v>9</v>
      </c>
      <c r="Q631" t="str">
        <f>IF(周转筐出入库明细!$D632="","",周转筐出入库明细!$D632)</f>
        <v/>
      </c>
      <c r="R631">
        <f t="shared" si="304"/>
        <v>0</v>
      </c>
      <c r="S631">
        <f t="shared" si="305"/>
        <v>5</v>
      </c>
      <c r="W631" t="str">
        <f>IF(周转筐出入库明细!$C632="","",周转筐出入库明细!$C632)</f>
        <v/>
      </c>
      <c r="X631">
        <f t="shared" si="306"/>
        <v>0</v>
      </c>
      <c r="Y631">
        <f t="shared" si="307"/>
        <v>12</v>
      </c>
      <c r="AC631" t="str">
        <f>IF(客户自备加工筐明细!$C631="","",客户自备加工筐明细!$C631)</f>
        <v/>
      </c>
      <c r="AD631">
        <f t="shared" si="308"/>
        <v>0</v>
      </c>
      <c r="AE631">
        <f t="shared" si="309"/>
        <v>1</v>
      </c>
      <c r="AI631" t="str">
        <f>IF(客户自备加工筐明细!$E631="","",客户自备加工筐明细!$E631)</f>
        <v/>
      </c>
      <c r="AJ631">
        <f t="shared" si="310"/>
        <v>0</v>
      </c>
      <c r="AK631">
        <f t="shared" si="311"/>
        <v>1</v>
      </c>
      <c r="BS631" t="str">
        <f t="shared" si="322"/>
        <v/>
      </c>
      <c r="BT631">
        <f t="shared" si="316"/>
        <v>0</v>
      </c>
      <c r="BU631">
        <f t="shared" si="317"/>
        <v>17</v>
      </c>
      <c r="CP631">
        <f>IF(包装物料出入库明细!$D631="",0,1)</f>
        <v>0</v>
      </c>
      <c r="CQ631">
        <f t="shared" si="318"/>
        <v>37</v>
      </c>
      <c r="CS631" t="str">
        <f>IF(OR(周转筐出入库明细!$C632="",周转筐出入库明细!$F632&lt;&gt;"采购入库"),"",周转筐出入库明细!$C632)</f>
        <v/>
      </c>
      <c r="CT631">
        <f t="shared" si="319"/>
        <v>0</v>
      </c>
      <c r="CU631">
        <f t="shared" si="320"/>
        <v>1</v>
      </c>
    </row>
    <row r="632" spans="1:99">
      <c r="A632" t="str">
        <f>IF(包装物料出入库明细!$E632="","",包装物料出入库明细!$E632)</f>
        <v/>
      </c>
      <c r="B632">
        <f t="shared" si="300"/>
        <v>0</v>
      </c>
      <c r="C632">
        <f t="shared" si="301"/>
        <v>7</v>
      </c>
      <c r="D632" t="str">
        <f>IF(包装物料出入库明细!$E632="","",包装物料出入库明细!$F632)</f>
        <v/>
      </c>
      <c r="E632" t="str">
        <f>IF(包装物料出入库明细!$E632="","",包装物料出入库明细!$G632)</f>
        <v/>
      </c>
      <c r="K632" t="str">
        <f>IF(包装物料出入库明细!$D632="","",包装物料出入库明细!$D632)</f>
        <v/>
      </c>
      <c r="L632">
        <f t="shared" si="302"/>
        <v>0</v>
      </c>
      <c r="M632">
        <f t="shared" si="303"/>
        <v>9</v>
      </c>
      <c r="Q632" t="str">
        <f>IF(周转筐出入库明细!$D633="","",周转筐出入库明细!$D633)</f>
        <v/>
      </c>
      <c r="R632">
        <f t="shared" si="304"/>
        <v>0</v>
      </c>
      <c r="S632">
        <f t="shared" si="305"/>
        <v>5</v>
      </c>
      <c r="W632" t="str">
        <f>IF(周转筐出入库明细!$C633="","",周转筐出入库明细!$C633)</f>
        <v/>
      </c>
      <c r="X632">
        <f t="shared" si="306"/>
        <v>0</v>
      </c>
      <c r="Y632">
        <f t="shared" si="307"/>
        <v>12</v>
      </c>
      <c r="AC632" t="str">
        <f>IF(客户自备加工筐明细!$C632="","",客户自备加工筐明细!$C632)</f>
        <v/>
      </c>
      <c r="AD632">
        <f t="shared" si="308"/>
        <v>0</v>
      </c>
      <c r="AE632">
        <f t="shared" si="309"/>
        <v>1</v>
      </c>
      <c r="AI632" t="str">
        <f>IF(客户自备加工筐明细!$E632="","",客户自备加工筐明细!$E632)</f>
        <v/>
      </c>
      <c r="AJ632">
        <f t="shared" si="310"/>
        <v>0</v>
      </c>
      <c r="AK632">
        <f t="shared" si="311"/>
        <v>1</v>
      </c>
      <c r="BS632" t="str">
        <f t="shared" si="322"/>
        <v/>
      </c>
      <c r="BT632">
        <f t="shared" si="316"/>
        <v>0</v>
      </c>
      <c r="BU632">
        <f t="shared" si="317"/>
        <v>17</v>
      </c>
      <c r="CP632">
        <f>IF(包装物料出入库明细!$D632="",0,1)</f>
        <v>0</v>
      </c>
      <c r="CQ632">
        <f t="shared" si="318"/>
        <v>37</v>
      </c>
      <c r="CS632" t="str">
        <f>IF(OR(周转筐出入库明细!$C633="",周转筐出入库明细!$F633&lt;&gt;"采购入库"),"",周转筐出入库明细!$C633)</f>
        <v/>
      </c>
      <c r="CT632">
        <f t="shared" si="319"/>
        <v>0</v>
      </c>
      <c r="CU632">
        <f t="shared" si="320"/>
        <v>1</v>
      </c>
    </row>
    <row r="633" spans="1:99">
      <c r="A633" t="str">
        <f>IF(包装物料出入库明细!$E633="","",包装物料出入库明细!$E633)</f>
        <v/>
      </c>
      <c r="B633">
        <f t="shared" si="300"/>
        <v>0</v>
      </c>
      <c r="C633">
        <f t="shared" si="301"/>
        <v>7</v>
      </c>
      <c r="D633" t="str">
        <f>IF(包装物料出入库明细!$E633="","",包装物料出入库明细!$F633)</f>
        <v/>
      </c>
      <c r="E633" t="str">
        <f>IF(包装物料出入库明细!$E633="","",包装物料出入库明细!$G633)</f>
        <v/>
      </c>
      <c r="K633" t="str">
        <f>IF(包装物料出入库明细!$D633="","",包装物料出入库明细!$D633)</f>
        <v/>
      </c>
      <c r="L633">
        <f t="shared" si="302"/>
        <v>0</v>
      </c>
      <c r="M633">
        <f t="shared" si="303"/>
        <v>9</v>
      </c>
      <c r="Q633" t="str">
        <f>IF(周转筐出入库明细!$D634="","",周转筐出入库明细!$D634)</f>
        <v/>
      </c>
      <c r="R633">
        <f t="shared" si="304"/>
        <v>0</v>
      </c>
      <c r="S633">
        <f t="shared" si="305"/>
        <v>5</v>
      </c>
      <c r="W633" t="str">
        <f>IF(周转筐出入库明细!$C634="","",周转筐出入库明细!$C634)</f>
        <v/>
      </c>
      <c r="X633">
        <f t="shared" si="306"/>
        <v>0</v>
      </c>
      <c r="Y633">
        <f t="shared" si="307"/>
        <v>12</v>
      </c>
      <c r="AC633" t="str">
        <f>IF(客户自备加工筐明细!$C633="","",客户自备加工筐明细!$C633)</f>
        <v/>
      </c>
      <c r="AD633">
        <f t="shared" si="308"/>
        <v>0</v>
      </c>
      <c r="AE633">
        <f t="shared" si="309"/>
        <v>1</v>
      </c>
      <c r="AI633" t="str">
        <f>IF(客户自备加工筐明细!$E633="","",客户自备加工筐明细!$E633)</f>
        <v/>
      </c>
      <c r="AJ633">
        <f t="shared" si="310"/>
        <v>0</v>
      </c>
      <c r="AK633">
        <f t="shared" si="311"/>
        <v>1</v>
      </c>
      <c r="BS633" t="str">
        <f t="shared" si="322"/>
        <v/>
      </c>
      <c r="BT633">
        <f t="shared" si="316"/>
        <v>0</v>
      </c>
      <c r="BU633">
        <f t="shared" si="317"/>
        <v>17</v>
      </c>
      <c r="CP633">
        <f>IF(包装物料出入库明细!$D633="",0,1)</f>
        <v>0</v>
      </c>
      <c r="CQ633">
        <f t="shared" si="318"/>
        <v>37</v>
      </c>
      <c r="CS633" t="str">
        <f>IF(OR(周转筐出入库明细!$C634="",周转筐出入库明细!$F634&lt;&gt;"采购入库"),"",周转筐出入库明细!$C634)</f>
        <v/>
      </c>
      <c r="CT633">
        <f t="shared" si="319"/>
        <v>0</v>
      </c>
      <c r="CU633">
        <f t="shared" si="320"/>
        <v>1</v>
      </c>
    </row>
    <row r="634" spans="1:99">
      <c r="A634" t="str">
        <f>IF(包装物料出入库明细!$E634="","",包装物料出入库明细!$E634)</f>
        <v/>
      </c>
      <c r="B634">
        <f t="shared" si="300"/>
        <v>0</v>
      </c>
      <c r="C634">
        <f t="shared" si="301"/>
        <v>7</v>
      </c>
      <c r="D634" t="str">
        <f>IF(包装物料出入库明细!$E634="","",包装物料出入库明细!$F634)</f>
        <v/>
      </c>
      <c r="E634" t="str">
        <f>IF(包装物料出入库明细!$E634="","",包装物料出入库明细!$G634)</f>
        <v/>
      </c>
      <c r="K634" t="str">
        <f>IF(包装物料出入库明细!$D634="","",包装物料出入库明细!$D634)</f>
        <v/>
      </c>
      <c r="L634">
        <f t="shared" si="302"/>
        <v>0</v>
      </c>
      <c r="M634">
        <f t="shared" si="303"/>
        <v>9</v>
      </c>
      <c r="Q634" t="str">
        <f>IF(周转筐出入库明细!$D635="","",周转筐出入库明细!$D635)</f>
        <v/>
      </c>
      <c r="R634">
        <f t="shared" si="304"/>
        <v>0</v>
      </c>
      <c r="S634">
        <f t="shared" si="305"/>
        <v>5</v>
      </c>
      <c r="W634" t="str">
        <f>IF(周转筐出入库明细!$C635="","",周转筐出入库明细!$C635)</f>
        <v/>
      </c>
      <c r="X634">
        <f t="shared" si="306"/>
        <v>0</v>
      </c>
      <c r="Y634">
        <f t="shared" si="307"/>
        <v>12</v>
      </c>
      <c r="AC634" t="str">
        <f>IF(客户自备加工筐明细!$C634="","",客户自备加工筐明细!$C634)</f>
        <v/>
      </c>
      <c r="AD634">
        <f t="shared" si="308"/>
        <v>0</v>
      </c>
      <c r="AE634">
        <f t="shared" si="309"/>
        <v>1</v>
      </c>
      <c r="AI634" t="str">
        <f>IF(客户自备加工筐明细!$E634="","",客户自备加工筐明细!$E634)</f>
        <v/>
      </c>
      <c r="AJ634">
        <f t="shared" si="310"/>
        <v>0</v>
      </c>
      <c r="AK634">
        <f t="shared" si="311"/>
        <v>1</v>
      </c>
      <c r="BS634" t="str">
        <f t="shared" si="322"/>
        <v/>
      </c>
      <c r="BT634">
        <f t="shared" si="316"/>
        <v>0</v>
      </c>
      <c r="BU634">
        <f t="shared" si="317"/>
        <v>17</v>
      </c>
      <c r="CP634">
        <f>IF(包装物料出入库明细!$D634="",0,1)</f>
        <v>0</v>
      </c>
      <c r="CQ634">
        <f t="shared" si="318"/>
        <v>37</v>
      </c>
      <c r="CS634" t="str">
        <f>IF(OR(周转筐出入库明细!$C635="",周转筐出入库明细!$F635&lt;&gt;"采购入库"),"",周转筐出入库明细!$C635)</f>
        <v/>
      </c>
      <c r="CT634">
        <f t="shared" si="319"/>
        <v>0</v>
      </c>
      <c r="CU634">
        <f t="shared" si="320"/>
        <v>1</v>
      </c>
    </row>
    <row r="635" spans="1:99">
      <c r="A635" t="str">
        <f>IF(包装物料出入库明细!$E635="","",包装物料出入库明细!$E635)</f>
        <v/>
      </c>
      <c r="B635">
        <f t="shared" si="300"/>
        <v>0</v>
      </c>
      <c r="C635">
        <f t="shared" si="301"/>
        <v>7</v>
      </c>
      <c r="D635" t="str">
        <f>IF(包装物料出入库明细!$E635="","",包装物料出入库明细!$F635)</f>
        <v/>
      </c>
      <c r="E635" t="str">
        <f>IF(包装物料出入库明细!$E635="","",包装物料出入库明细!$G635)</f>
        <v/>
      </c>
      <c r="K635" t="str">
        <f>IF(包装物料出入库明细!$D635="","",包装物料出入库明细!$D635)</f>
        <v/>
      </c>
      <c r="L635">
        <f t="shared" si="302"/>
        <v>0</v>
      </c>
      <c r="M635">
        <f t="shared" si="303"/>
        <v>9</v>
      </c>
      <c r="Q635" t="str">
        <f>IF(周转筐出入库明细!$D636="","",周转筐出入库明细!$D636)</f>
        <v/>
      </c>
      <c r="R635">
        <f t="shared" si="304"/>
        <v>0</v>
      </c>
      <c r="S635">
        <f t="shared" si="305"/>
        <v>5</v>
      </c>
      <c r="W635" t="str">
        <f>IF(周转筐出入库明细!$C636="","",周转筐出入库明细!$C636)</f>
        <v/>
      </c>
      <c r="X635">
        <f t="shared" si="306"/>
        <v>0</v>
      </c>
      <c r="Y635">
        <f t="shared" si="307"/>
        <v>12</v>
      </c>
      <c r="AC635" t="str">
        <f>IF(客户自备加工筐明细!$C635="","",客户自备加工筐明细!$C635)</f>
        <v/>
      </c>
      <c r="AD635">
        <f t="shared" si="308"/>
        <v>0</v>
      </c>
      <c r="AE635">
        <f t="shared" si="309"/>
        <v>1</v>
      </c>
      <c r="AI635" t="str">
        <f>IF(客户自备加工筐明细!$E635="","",客户自备加工筐明细!$E635)</f>
        <v/>
      </c>
      <c r="AJ635">
        <f t="shared" si="310"/>
        <v>0</v>
      </c>
      <c r="AK635">
        <f t="shared" si="311"/>
        <v>1</v>
      </c>
      <c r="BS635" t="str">
        <f t="shared" si="322"/>
        <v/>
      </c>
      <c r="BT635">
        <f t="shared" si="316"/>
        <v>0</v>
      </c>
      <c r="BU635">
        <f t="shared" si="317"/>
        <v>17</v>
      </c>
      <c r="CP635">
        <f>IF(包装物料出入库明细!$D635="",0,1)</f>
        <v>0</v>
      </c>
      <c r="CQ635">
        <f t="shared" si="318"/>
        <v>37</v>
      </c>
      <c r="CS635" t="str">
        <f>IF(OR(周转筐出入库明细!$C636="",周转筐出入库明细!$F636&lt;&gt;"采购入库"),"",周转筐出入库明细!$C636)</f>
        <v/>
      </c>
      <c r="CT635">
        <f t="shared" si="319"/>
        <v>0</v>
      </c>
      <c r="CU635">
        <f t="shared" si="320"/>
        <v>1</v>
      </c>
    </row>
    <row r="636" spans="1:99">
      <c r="A636" t="str">
        <f>IF(包装物料出入库明细!$E636="","",包装物料出入库明细!$E636)</f>
        <v/>
      </c>
      <c r="B636">
        <f t="shared" si="300"/>
        <v>0</v>
      </c>
      <c r="C636">
        <f t="shared" si="301"/>
        <v>7</v>
      </c>
      <c r="D636" t="str">
        <f>IF(包装物料出入库明细!$E636="","",包装物料出入库明细!$F636)</f>
        <v/>
      </c>
      <c r="E636" t="str">
        <f>IF(包装物料出入库明细!$E636="","",包装物料出入库明细!$G636)</f>
        <v/>
      </c>
      <c r="K636" t="str">
        <f>IF(包装物料出入库明细!$D636="","",包装物料出入库明细!$D636)</f>
        <v/>
      </c>
      <c r="L636">
        <f t="shared" si="302"/>
        <v>0</v>
      </c>
      <c r="M636">
        <f t="shared" si="303"/>
        <v>9</v>
      </c>
      <c r="Q636" t="str">
        <f>IF(周转筐出入库明细!$D637="","",周转筐出入库明细!$D637)</f>
        <v/>
      </c>
      <c r="R636">
        <f t="shared" si="304"/>
        <v>0</v>
      </c>
      <c r="S636">
        <f t="shared" si="305"/>
        <v>5</v>
      </c>
      <c r="W636" t="str">
        <f>IF(周转筐出入库明细!$C637="","",周转筐出入库明细!$C637)</f>
        <v/>
      </c>
      <c r="X636">
        <f t="shared" si="306"/>
        <v>0</v>
      </c>
      <c r="Y636">
        <f t="shared" si="307"/>
        <v>12</v>
      </c>
      <c r="AC636" t="str">
        <f>IF(客户自备加工筐明细!$C636="","",客户自备加工筐明细!$C636)</f>
        <v/>
      </c>
      <c r="AD636">
        <f t="shared" si="308"/>
        <v>0</v>
      </c>
      <c r="AE636">
        <f t="shared" si="309"/>
        <v>1</v>
      </c>
      <c r="AI636" t="str">
        <f>IF(客户自备加工筐明细!$E636="","",客户自备加工筐明细!$E636)</f>
        <v/>
      </c>
      <c r="AJ636">
        <f t="shared" si="310"/>
        <v>0</v>
      </c>
      <c r="AK636">
        <f t="shared" si="311"/>
        <v>1</v>
      </c>
      <c r="BS636" t="str">
        <f t="shared" si="322"/>
        <v/>
      </c>
      <c r="BT636">
        <f t="shared" si="316"/>
        <v>0</v>
      </c>
      <c r="BU636">
        <f t="shared" si="317"/>
        <v>17</v>
      </c>
      <c r="CP636">
        <f>IF(包装物料出入库明细!$D636="",0,1)</f>
        <v>0</v>
      </c>
      <c r="CQ636">
        <f t="shared" si="318"/>
        <v>37</v>
      </c>
      <c r="CS636" t="str">
        <f>IF(OR(周转筐出入库明细!$C637="",周转筐出入库明细!$F637&lt;&gt;"采购入库"),"",周转筐出入库明细!$C637)</f>
        <v/>
      </c>
      <c r="CT636">
        <f t="shared" si="319"/>
        <v>0</v>
      </c>
      <c r="CU636">
        <f t="shared" si="320"/>
        <v>1</v>
      </c>
    </row>
    <row r="637" spans="1:99">
      <c r="A637" t="str">
        <f>IF(包装物料出入库明细!$E637="","",包装物料出入库明细!$E637)</f>
        <v/>
      </c>
      <c r="B637">
        <f t="shared" si="300"/>
        <v>0</v>
      </c>
      <c r="C637">
        <f t="shared" si="301"/>
        <v>7</v>
      </c>
      <c r="D637" t="str">
        <f>IF(包装物料出入库明细!$E637="","",包装物料出入库明细!$F637)</f>
        <v/>
      </c>
      <c r="E637" t="str">
        <f>IF(包装物料出入库明细!$E637="","",包装物料出入库明细!$G637)</f>
        <v/>
      </c>
      <c r="K637" t="str">
        <f>IF(包装物料出入库明细!$D637="","",包装物料出入库明细!$D637)</f>
        <v/>
      </c>
      <c r="L637">
        <f t="shared" si="302"/>
        <v>0</v>
      </c>
      <c r="M637">
        <f t="shared" si="303"/>
        <v>9</v>
      </c>
      <c r="Q637" t="str">
        <f>IF(周转筐出入库明细!$D638="","",周转筐出入库明细!$D638)</f>
        <v/>
      </c>
      <c r="R637">
        <f t="shared" si="304"/>
        <v>0</v>
      </c>
      <c r="S637">
        <f t="shared" si="305"/>
        <v>5</v>
      </c>
      <c r="W637" t="str">
        <f>IF(周转筐出入库明细!$C638="","",周转筐出入库明细!$C638)</f>
        <v/>
      </c>
      <c r="X637">
        <f t="shared" si="306"/>
        <v>0</v>
      </c>
      <c r="Y637">
        <f t="shared" si="307"/>
        <v>12</v>
      </c>
      <c r="AC637" t="str">
        <f>IF(客户自备加工筐明细!$C637="","",客户自备加工筐明细!$C637)</f>
        <v/>
      </c>
      <c r="AD637">
        <f t="shared" si="308"/>
        <v>0</v>
      </c>
      <c r="AE637">
        <f t="shared" si="309"/>
        <v>1</v>
      </c>
      <c r="AI637" t="str">
        <f>IF(客户自备加工筐明细!$E637="","",客户自备加工筐明细!$E637)</f>
        <v/>
      </c>
      <c r="AJ637">
        <f t="shared" si="310"/>
        <v>0</v>
      </c>
      <c r="AK637">
        <f t="shared" si="311"/>
        <v>1</v>
      </c>
      <c r="BS637" t="str">
        <f t="shared" si="322"/>
        <v/>
      </c>
      <c r="BT637">
        <f t="shared" si="316"/>
        <v>0</v>
      </c>
      <c r="BU637">
        <f t="shared" si="317"/>
        <v>17</v>
      </c>
      <c r="CP637">
        <f>IF(包装物料出入库明细!$D637="",0,1)</f>
        <v>0</v>
      </c>
      <c r="CQ637">
        <f t="shared" si="318"/>
        <v>37</v>
      </c>
      <c r="CS637" t="str">
        <f>IF(OR(周转筐出入库明细!$C638="",周转筐出入库明细!$F638&lt;&gt;"采购入库"),"",周转筐出入库明细!$C638)</f>
        <v/>
      </c>
      <c r="CT637">
        <f t="shared" si="319"/>
        <v>0</v>
      </c>
      <c r="CU637">
        <f t="shared" si="320"/>
        <v>1</v>
      </c>
    </row>
    <row r="638" spans="1:99">
      <c r="A638" t="str">
        <f>IF(包装物料出入库明细!$E638="","",包装物料出入库明细!$E638)</f>
        <v/>
      </c>
      <c r="B638">
        <f t="shared" si="300"/>
        <v>0</v>
      </c>
      <c r="C638">
        <f t="shared" si="301"/>
        <v>7</v>
      </c>
      <c r="D638" t="str">
        <f>IF(包装物料出入库明细!$E638="","",包装物料出入库明细!$F638)</f>
        <v/>
      </c>
      <c r="E638" t="str">
        <f>IF(包装物料出入库明细!$E638="","",包装物料出入库明细!$G638)</f>
        <v/>
      </c>
      <c r="K638" t="str">
        <f>IF(包装物料出入库明细!$D638="","",包装物料出入库明细!$D638)</f>
        <v/>
      </c>
      <c r="L638">
        <f t="shared" si="302"/>
        <v>0</v>
      </c>
      <c r="M638">
        <f t="shared" si="303"/>
        <v>9</v>
      </c>
      <c r="Q638" t="str">
        <f>IF(周转筐出入库明细!$D639="","",周转筐出入库明细!$D639)</f>
        <v/>
      </c>
      <c r="R638">
        <f t="shared" si="304"/>
        <v>0</v>
      </c>
      <c r="S638">
        <f t="shared" si="305"/>
        <v>5</v>
      </c>
      <c r="W638" t="str">
        <f>IF(周转筐出入库明细!$C639="","",周转筐出入库明细!$C639)</f>
        <v/>
      </c>
      <c r="X638">
        <f t="shared" si="306"/>
        <v>0</v>
      </c>
      <c r="Y638">
        <f t="shared" si="307"/>
        <v>12</v>
      </c>
      <c r="AC638" t="str">
        <f>IF(客户自备加工筐明细!$C638="","",客户自备加工筐明细!$C638)</f>
        <v/>
      </c>
      <c r="AD638">
        <f t="shared" si="308"/>
        <v>0</v>
      </c>
      <c r="AE638">
        <f t="shared" si="309"/>
        <v>1</v>
      </c>
      <c r="AI638" t="str">
        <f>IF(客户自备加工筐明细!$E638="","",客户自备加工筐明细!$E638)</f>
        <v/>
      </c>
      <c r="AJ638">
        <f t="shared" si="310"/>
        <v>0</v>
      </c>
      <c r="AK638">
        <f t="shared" si="311"/>
        <v>1</v>
      </c>
      <c r="BS638" t="str">
        <f t="shared" si="322"/>
        <v/>
      </c>
      <c r="BT638">
        <f t="shared" si="316"/>
        <v>0</v>
      </c>
      <c r="BU638">
        <f t="shared" si="317"/>
        <v>17</v>
      </c>
      <c r="CP638">
        <f>IF(包装物料出入库明细!$D638="",0,1)</f>
        <v>0</v>
      </c>
      <c r="CQ638">
        <f t="shared" si="318"/>
        <v>37</v>
      </c>
      <c r="CS638" t="str">
        <f>IF(OR(周转筐出入库明细!$C639="",周转筐出入库明细!$F639&lt;&gt;"采购入库"),"",周转筐出入库明细!$C639)</f>
        <v/>
      </c>
      <c r="CT638">
        <f t="shared" si="319"/>
        <v>0</v>
      </c>
      <c r="CU638">
        <f t="shared" si="320"/>
        <v>1</v>
      </c>
    </row>
    <row r="639" spans="1:99">
      <c r="A639" t="str">
        <f>IF(包装物料出入库明细!$E639="","",包装物料出入库明细!$E639)</f>
        <v/>
      </c>
      <c r="B639">
        <f t="shared" si="300"/>
        <v>0</v>
      </c>
      <c r="C639">
        <f t="shared" si="301"/>
        <v>7</v>
      </c>
      <c r="D639" t="str">
        <f>IF(包装物料出入库明细!$E639="","",包装物料出入库明细!$F639)</f>
        <v/>
      </c>
      <c r="E639" t="str">
        <f>IF(包装物料出入库明细!$E639="","",包装物料出入库明细!$G639)</f>
        <v/>
      </c>
      <c r="K639" t="str">
        <f>IF(包装物料出入库明细!$D639="","",包装物料出入库明细!$D639)</f>
        <v/>
      </c>
      <c r="L639">
        <f t="shared" si="302"/>
        <v>0</v>
      </c>
      <c r="M639">
        <f t="shared" si="303"/>
        <v>9</v>
      </c>
      <c r="Q639" t="str">
        <f>IF(周转筐出入库明细!$D640="","",周转筐出入库明细!$D640)</f>
        <v/>
      </c>
      <c r="R639">
        <f t="shared" si="304"/>
        <v>0</v>
      </c>
      <c r="S639">
        <f t="shared" si="305"/>
        <v>5</v>
      </c>
      <c r="W639" t="str">
        <f>IF(周转筐出入库明细!$C640="","",周转筐出入库明细!$C640)</f>
        <v/>
      </c>
      <c r="X639">
        <f t="shared" si="306"/>
        <v>0</v>
      </c>
      <c r="Y639">
        <f t="shared" si="307"/>
        <v>12</v>
      </c>
      <c r="AC639" t="str">
        <f>IF(客户自备加工筐明细!$C639="","",客户自备加工筐明细!$C639)</f>
        <v/>
      </c>
      <c r="AD639">
        <f t="shared" si="308"/>
        <v>0</v>
      </c>
      <c r="AE639">
        <f t="shared" si="309"/>
        <v>1</v>
      </c>
      <c r="AI639" t="str">
        <f>IF(客户自备加工筐明细!$E639="","",客户自备加工筐明细!$E639)</f>
        <v/>
      </c>
      <c r="AJ639">
        <f t="shared" si="310"/>
        <v>0</v>
      </c>
      <c r="AK639">
        <f t="shared" si="311"/>
        <v>1</v>
      </c>
      <c r="BS639" t="str">
        <f t="shared" si="322"/>
        <v/>
      </c>
      <c r="BT639">
        <f t="shared" si="316"/>
        <v>0</v>
      </c>
      <c r="BU639">
        <f t="shared" si="317"/>
        <v>17</v>
      </c>
      <c r="CP639">
        <f>IF(包装物料出入库明细!$D639="",0,1)</f>
        <v>0</v>
      </c>
      <c r="CQ639">
        <f t="shared" si="318"/>
        <v>37</v>
      </c>
      <c r="CS639" t="str">
        <f>IF(OR(周转筐出入库明细!$C640="",周转筐出入库明细!$F640&lt;&gt;"采购入库"),"",周转筐出入库明细!$C640)</f>
        <v/>
      </c>
      <c r="CT639">
        <f t="shared" si="319"/>
        <v>0</v>
      </c>
      <c r="CU639">
        <f t="shared" si="320"/>
        <v>1</v>
      </c>
    </row>
    <row r="640" spans="1:99">
      <c r="A640" t="str">
        <f>IF(包装物料出入库明细!$E640="","",包装物料出入库明细!$E640)</f>
        <v/>
      </c>
      <c r="B640">
        <f t="shared" si="300"/>
        <v>0</v>
      </c>
      <c r="C640">
        <f t="shared" si="301"/>
        <v>7</v>
      </c>
      <c r="D640" t="str">
        <f>IF(包装物料出入库明细!$E640="","",包装物料出入库明细!$F640)</f>
        <v/>
      </c>
      <c r="E640" t="str">
        <f>IF(包装物料出入库明细!$E640="","",包装物料出入库明细!$G640)</f>
        <v/>
      </c>
      <c r="K640" t="str">
        <f>IF(包装物料出入库明细!$D640="","",包装物料出入库明细!$D640)</f>
        <v/>
      </c>
      <c r="L640">
        <f t="shared" si="302"/>
        <v>0</v>
      </c>
      <c r="M640">
        <f t="shared" si="303"/>
        <v>9</v>
      </c>
      <c r="Q640" t="str">
        <f>IF(周转筐出入库明细!$D641="","",周转筐出入库明细!$D641)</f>
        <v/>
      </c>
      <c r="R640">
        <f t="shared" si="304"/>
        <v>0</v>
      </c>
      <c r="S640">
        <f t="shared" si="305"/>
        <v>5</v>
      </c>
      <c r="W640" t="str">
        <f>IF(周转筐出入库明细!$C641="","",周转筐出入库明细!$C641)</f>
        <v/>
      </c>
      <c r="X640">
        <f t="shared" si="306"/>
        <v>0</v>
      </c>
      <c r="Y640">
        <f t="shared" si="307"/>
        <v>12</v>
      </c>
      <c r="AC640" t="str">
        <f>IF(客户自备加工筐明细!$C640="","",客户自备加工筐明细!$C640)</f>
        <v/>
      </c>
      <c r="AD640">
        <f t="shared" si="308"/>
        <v>0</v>
      </c>
      <c r="AE640">
        <f t="shared" si="309"/>
        <v>1</v>
      </c>
      <c r="AI640" t="str">
        <f>IF(客户自备加工筐明细!$E640="","",客户自备加工筐明细!$E640)</f>
        <v/>
      </c>
      <c r="AJ640">
        <f t="shared" si="310"/>
        <v>0</v>
      </c>
      <c r="AK640">
        <f t="shared" si="311"/>
        <v>1</v>
      </c>
      <c r="BS640" t="str">
        <f t="shared" si="322"/>
        <v/>
      </c>
      <c r="BT640">
        <f t="shared" si="316"/>
        <v>0</v>
      </c>
      <c r="BU640">
        <f t="shared" si="317"/>
        <v>17</v>
      </c>
      <c r="CP640">
        <f>IF(包装物料出入库明细!$D640="",0,1)</f>
        <v>0</v>
      </c>
      <c r="CQ640">
        <f t="shared" si="318"/>
        <v>37</v>
      </c>
      <c r="CS640" t="str">
        <f>IF(OR(周转筐出入库明细!$C641="",周转筐出入库明细!$F641&lt;&gt;"采购入库"),"",周转筐出入库明细!$C641)</f>
        <v/>
      </c>
      <c r="CT640">
        <f t="shared" si="319"/>
        <v>0</v>
      </c>
      <c r="CU640">
        <f t="shared" si="320"/>
        <v>1</v>
      </c>
    </row>
    <row r="641" spans="1:99">
      <c r="A641" t="str">
        <f>IF(包装物料出入库明细!$E641="","",包装物料出入库明细!$E641)</f>
        <v/>
      </c>
      <c r="B641">
        <f t="shared" si="300"/>
        <v>0</v>
      </c>
      <c r="C641">
        <f t="shared" si="301"/>
        <v>7</v>
      </c>
      <c r="D641" t="str">
        <f>IF(包装物料出入库明细!$E641="","",包装物料出入库明细!$F641)</f>
        <v/>
      </c>
      <c r="E641" t="str">
        <f>IF(包装物料出入库明细!$E641="","",包装物料出入库明细!$G641)</f>
        <v/>
      </c>
      <c r="K641" t="str">
        <f>IF(包装物料出入库明细!$D641="","",包装物料出入库明细!$D641)</f>
        <v/>
      </c>
      <c r="L641">
        <f t="shared" si="302"/>
        <v>0</v>
      </c>
      <c r="M641">
        <f t="shared" si="303"/>
        <v>9</v>
      </c>
      <c r="Q641" t="str">
        <f>IF(周转筐出入库明细!$D642="","",周转筐出入库明细!$D642)</f>
        <v/>
      </c>
      <c r="R641">
        <f t="shared" si="304"/>
        <v>0</v>
      </c>
      <c r="S641">
        <f t="shared" si="305"/>
        <v>5</v>
      </c>
      <c r="W641" t="str">
        <f>IF(周转筐出入库明细!$C642="","",周转筐出入库明细!$C642)</f>
        <v/>
      </c>
      <c r="X641">
        <f t="shared" si="306"/>
        <v>0</v>
      </c>
      <c r="Y641">
        <f t="shared" si="307"/>
        <v>12</v>
      </c>
      <c r="AC641" t="str">
        <f>IF(客户自备加工筐明细!$C641="","",客户自备加工筐明细!$C641)</f>
        <v/>
      </c>
      <c r="AD641">
        <f t="shared" si="308"/>
        <v>0</v>
      </c>
      <c r="AE641">
        <f t="shared" si="309"/>
        <v>1</v>
      </c>
      <c r="AI641" t="str">
        <f>IF(客户自备加工筐明细!$E641="","",客户自备加工筐明细!$E641)</f>
        <v/>
      </c>
      <c r="AJ641">
        <f t="shared" si="310"/>
        <v>0</v>
      </c>
      <c r="AK641">
        <f t="shared" si="311"/>
        <v>1</v>
      </c>
      <c r="BS641" t="str">
        <f t="shared" si="322"/>
        <v/>
      </c>
      <c r="BT641">
        <f t="shared" si="316"/>
        <v>0</v>
      </c>
      <c r="BU641">
        <f t="shared" si="317"/>
        <v>17</v>
      </c>
      <c r="CP641">
        <f>IF(包装物料出入库明细!$D641="",0,1)</f>
        <v>0</v>
      </c>
      <c r="CQ641">
        <f t="shared" si="318"/>
        <v>37</v>
      </c>
      <c r="CS641" t="str">
        <f>IF(OR(周转筐出入库明细!$C642="",周转筐出入库明细!$F642&lt;&gt;"采购入库"),"",周转筐出入库明细!$C642)</f>
        <v/>
      </c>
      <c r="CT641">
        <f t="shared" si="319"/>
        <v>0</v>
      </c>
      <c r="CU641">
        <f t="shared" si="320"/>
        <v>1</v>
      </c>
    </row>
    <row r="642" spans="1:99">
      <c r="A642" t="str">
        <f>IF(包装物料出入库明细!$E642="","",包装物料出入库明细!$E642)</f>
        <v/>
      </c>
      <c r="B642">
        <f t="shared" si="300"/>
        <v>0</v>
      </c>
      <c r="C642">
        <f t="shared" si="301"/>
        <v>7</v>
      </c>
      <c r="D642" t="str">
        <f>IF(包装物料出入库明细!$E642="","",包装物料出入库明细!$F642)</f>
        <v/>
      </c>
      <c r="E642" t="str">
        <f>IF(包装物料出入库明细!$E642="","",包装物料出入库明细!$G642)</f>
        <v/>
      </c>
      <c r="K642" t="str">
        <f>IF(包装物料出入库明细!$D642="","",包装物料出入库明细!$D642)</f>
        <v/>
      </c>
      <c r="L642">
        <f t="shared" si="302"/>
        <v>0</v>
      </c>
      <c r="M642">
        <f t="shared" si="303"/>
        <v>9</v>
      </c>
      <c r="Q642" t="str">
        <f>IF(周转筐出入库明细!$D643="","",周转筐出入库明细!$D643)</f>
        <v/>
      </c>
      <c r="R642">
        <f t="shared" si="304"/>
        <v>0</v>
      </c>
      <c r="S642">
        <f t="shared" si="305"/>
        <v>5</v>
      </c>
      <c r="W642" t="str">
        <f>IF(周转筐出入库明细!$C643="","",周转筐出入库明细!$C643)</f>
        <v/>
      </c>
      <c r="X642">
        <f t="shared" si="306"/>
        <v>0</v>
      </c>
      <c r="Y642">
        <f t="shared" si="307"/>
        <v>12</v>
      </c>
      <c r="AC642" t="str">
        <f>IF(客户自备加工筐明细!$C642="","",客户自备加工筐明细!$C642)</f>
        <v/>
      </c>
      <c r="AD642">
        <f t="shared" si="308"/>
        <v>0</v>
      </c>
      <c r="AE642">
        <f t="shared" si="309"/>
        <v>1</v>
      </c>
      <c r="AI642" t="str">
        <f>IF(客户自备加工筐明细!$E642="","",客户自备加工筐明细!$E642)</f>
        <v/>
      </c>
      <c r="AJ642">
        <f t="shared" si="310"/>
        <v>0</v>
      </c>
      <c r="AK642">
        <f t="shared" si="311"/>
        <v>1</v>
      </c>
      <c r="BS642" t="str">
        <f t="shared" si="322"/>
        <v/>
      </c>
      <c r="BT642">
        <f t="shared" si="316"/>
        <v>0</v>
      </c>
      <c r="BU642">
        <f t="shared" si="317"/>
        <v>17</v>
      </c>
      <c r="CP642">
        <f>IF(包装物料出入库明细!$D642="",0,1)</f>
        <v>0</v>
      </c>
      <c r="CQ642">
        <f t="shared" si="318"/>
        <v>37</v>
      </c>
      <c r="CS642" t="str">
        <f>IF(OR(周转筐出入库明细!$C643="",周转筐出入库明细!$F643&lt;&gt;"采购入库"),"",周转筐出入库明细!$C643)</f>
        <v/>
      </c>
      <c r="CT642">
        <f t="shared" si="319"/>
        <v>0</v>
      </c>
      <c r="CU642">
        <f t="shared" si="320"/>
        <v>1</v>
      </c>
    </row>
    <row r="643" spans="1:99">
      <c r="A643" t="str">
        <f>IF(包装物料出入库明细!$E643="","",包装物料出入库明细!$E643)</f>
        <v/>
      </c>
      <c r="B643">
        <f t="shared" si="300"/>
        <v>0</v>
      </c>
      <c r="C643">
        <f t="shared" si="301"/>
        <v>7</v>
      </c>
      <c r="D643" t="str">
        <f>IF(包装物料出入库明细!$E643="","",包装物料出入库明细!$F643)</f>
        <v/>
      </c>
      <c r="E643" t="str">
        <f>IF(包装物料出入库明细!$E643="","",包装物料出入库明细!$G643)</f>
        <v/>
      </c>
      <c r="K643" t="str">
        <f>IF(包装物料出入库明细!$D643="","",包装物料出入库明细!$D643)</f>
        <v/>
      </c>
      <c r="L643">
        <f t="shared" si="302"/>
        <v>0</v>
      </c>
      <c r="M643">
        <f t="shared" si="303"/>
        <v>9</v>
      </c>
      <c r="Q643" t="str">
        <f>IF(周转筐出入库明细!$D644="","",周转筐出入库明细!$D644)</f>
        <v/>
      </c>
      <c r="R643">
        <f t="shared" si="304"/>
        <v>0</v>
      </c>
      <c r="S643">
        <f t="shared" si="305"/>
        <v>5</v>
      </c>
      <c r="W643" t="str">
        <f>IF(周转筐出入库明细!$C644="","",周转筐出入库明细!$C644)</f>
        <v/>
      </c>
      <c r="X643">
        <f t="shared" si="306"/>
        <v>0</v>
      </c>
      <c r="Y643">
        <f t="shared" si="307"/>
        <v>12</v>
      </c>
      <c r="AC643" t="str">
        <f>IF(客户自备加工筐明细!$C643="","",客户自备加工筐明细!$C643)</f>
        <v/>
      </c>
      <c r="AD643">
        <f t="shared" si="308"/>
        <v>0</v>
      </c>
      <c r="AE643">
        <f t="shared" si="309"/>
        <v>1</v>
      </c>
      <c r="AI643" t="str">
        <f>IF(客户自备加工筐明细!$E643="","",客户自备加工筐明细!$E643)</f>
        <v/>
      </c>
      <c r="AJ643">
        <f t="shared" si="310"/>
        <v>0</v>
      </c>
      <c r="AK643">
        <f t="shared" si="311"/>
        <v>1</v>
      </c>
      <c r="BS643" t="str">
        <f t="shared" si="322"/>
        <v/>
      </c>
      <c r="BT643">
        <f t="shared" si="316"/>
        <v>0</v>
      </c>
      <c r="BU643">
        <f t="shared" si="317"/>
        <v>17</v>
      </c>
      <c r="CP643">
        <f>IF(包装物料出入库明细!$D643="",0,1)</f>
        <v>0</v>
      </c>
      <c r="CQ643">
        <f t="shared" si="318"/>
        <v>37</v>
      </c>
      <c r="CS643" t="str">
        <f>IF(OR(周转筐出入库明细!$C644="",周转筐出入库明细!$F644&lt;&gt;"采购入库"),"",周转筐出入库明细!$C644)</f>
        <v/>
      </c>
      <c r="CT643">
        <f t="shared" si="319"/>
        <v>0</v>
      </c>
      <c r="CU643">
        <f t="shared" si="320"/>
        <v>1</v>
      </c>
    </row>
    <row r="644" spans="1:99">
      <c r="A644" t="str">
        <f>IF(包装物料出入库明细!$E644="","",包装物料出入库明细!$E644)</f>
        <v/>
      </c>
      <c r="B644">
        <f t="shared" ref="B644:B707" si="323">IF(A644="",0,IF(MATCH(A644,$A$4:$A$2003,0)=ROW()-3,1,0))</f>
        <v>0</v>
      </c>
      <c r="C644">
        <f t="shared" ref="C644:C707" si="324">N(C643)+B644</f>
        <v>7</v>
      </c>
      <c r="D644" t="str">
        <f>IF(包装物料出入库明细!$E644="","",包装物料出入库明细!$F644)</f>
        <v/>
      </c>
      <c r="E644" t="str">
        <f>IF(包装物料出入库明细!$E644="","",包装物料出入库明细!$G644)</f>
        <v/>
      </c>
      <c r="K644" t="str">
        <f>IF(包装物料出入库明细!$D644="","",包装物料出入库明细!$D644)</f>
        <v/>
      </c>
      <c r="L644">
        <f t="shared" ref="L644:L707" si="325">IF(K644="",0,IF(MATCH(K644,$K$4:$K$2003,0)=ROW()-3,1,0))</f>
        <v>0</v>
      </c>
      <c r="M644">
        <f t="shared" ref="M644:M707" si="326">N(M643)+L644</f>
        <v>9</v>
      </c>
      <c r="Q644" t="str">
        <f>IF(周转筐出入库明细!$D645="","",周转筐出入库明细!$D645)</f>
        <v/>
      </c>
      <c r="R644">
        <f t="shared" ref="R644:R707" si="327">IF(Q644="",0,IF(MATCH(Q644,$Q$4:$Q$2003,0)=ROW()-3,1,0))</f>
        <v>0</v>
      </c>
      <c r="S644">
        <f t="shared" ref="S644:S707" si="328">N(S643)+R644</f>
        <v>5</v>
      </c>
      <c r="W644" t="str">
        <f>IF(周转筐出入库明细!$C645="","",周转筐出入库明细!$C645)</f>
        <v/>
      </c>
      <c r="X644">
        <f t="shared" ref="X644:X707" si="329">IF(W644="",0,IF(MATCH(W644,$W$4:$W$2003,0)=ROW()-3,1,0))</f>
        <v>0</v>
      </c>
      <c r="Y644">
        <f t="shared" ref="Y644:Y707" si="330">N(Y643)+X644</f>
        <v>12</v>
      </c>
      <c r="AC644" t="str">
        <f>IF(客户自备加工筐明细!$C644="","",客户自备加工筐明细!$C644)</f>
        <v/>
      </c>
      <c r="AD644">
        <f t="shared" ref="AD644:AD707" si="331">IF(AC644="",0,IF(MATCH(AC644,$AC$4:$AC$1203,0)=ROW()-3,1,0))</f>
        <v>0</v>
      </c>
      <c r="AE644">
        <f t="shared" ref="AE644:AE707" si="332">N(AE643)+AD644</f>
        <v>1</v>
      </c>
      <c r="AI644" t="str">
        <f>IF(客户自备加工筐明细!$E644="","",客户自备加工筐明细!$E644)</f>
        <v/>
      </c>
      <c r="AJ644">
        <f t="shared" ref="AJ644:AJ707" si="333">IF(AI644="",0,IF(MATCH(AI644,$AI$4:$AI$1503,0)=ROW()-3,1,0))</f>
        <v>0</v>
      </c>
      <c r="AK644">
        <f t="shared" ref="AK644:AK707" si="334">N(AK643)+AJ644</f>
        <v>1</v>
      </c>
      <c r="BS644" t="str">
        <f t="shared" si="322"/>
        <v/>
      </c>
      <c r="BT644">
        <f t="shared" ref="BT644:BT707" si="335">IF(BS644="",0,IF(MATCH(BS644,$BS$4:$BS$1103,0)=ROW()-3,1,0))</f>
        <v>0</v>
      </c>
      <c r="BU644">
        <f t="shared" ref="BU644:BU707" si="336">N(BU643)+BT644</f>
        <v>17</v>
      </c>
      <c r="CP644">
        <f>IF(包装物料出入库明细!$D644="",0,1)</f>
        <v>0</v>
      </c>
      <c r="CQ644">
        <f t="shared" ref="CQ644:CQ707" si="337">N(CQ643)+$CP644</f>
        <v>37</v>
      </c>
      <c r="CS644" t="str">
        <f>IF(OR(周转筐出入库明细!$C645="",周转筐出入库明细!$F645&lt;&gt;"采购入库"),"",周转筐出入库明细!$C645)</f>
        <v/>
      </c>
      <c r="CT644">
        <f t="shared" ref="CT644:CT707" si="338">IF(CS644="",0,IF(MATCH(CS644,$CS$4:$CS$2003,0)=ROW()-3,1,0))</f>
        <v>0</v>
      </c>
      <c r="CU644">
        <f t="shared" ref="CU644:CU707" si="339">N(CU643)+CT644</f>
        <v>1</v>
      </c>
    </row>
    <row r="645" spans="1:99">
      <c r="A645" t="str">
        <f>IF(包装物料出入库明细!$E645="","",包装物料出入库明细!$E645)</f>
        <v/>
      </c>
      <c r="B645">
        <f t="shared" si="323"/>
        <v>0</v>
      </c>
      <c r="C645">
        <f t="shared" si="324"/>
        <v>7</v>
      </c>
      <c r="D645" t="str">
        <f>IF(包装物料出入库明细!$E645="","",包装物料出入库明细!$F645)</f>
        <v/>
      </c>
      <c r="E645" t="str">
        <f>IF(包装物料出入库明细!$E645="","",包装物料出入库明细!$G645)</f>
        <v/>
      </c>
      <c r="K645" t="str">
        <f>IF(包装物料出入库明细!$D645="","",包装物料出入库明细!$D645)</f>
        <v/>
      </c>
      <c r="L645">
        <f t="shared" si="325"/>
        <v>0</v>
      </c>
      <c r="M645">
        <f t="shared" si="326"/>
        <v>9</v>
      </c>
      <c r="Q645" t="str">
        <f>IF(周转筐出入库明细!$D646="","",周转筐出入库明细!$D646)</f>
        <v/>
      </c>
      <c r="R645">
        <f t="shared" si="327"/>
        <v>0</v>
      </c>
      <c r="S645">
        <f t="shared" si="328"/>
        <v>5</v>
      </c>
      <c r="W645" t="str">
        <f>IF(周转筐出入库明细!$C646="","",周转筐出入库明细!$C646)</f>
        <v/>
      </c>
      <c r="X645">
        <f t="shared" si="329"/>
        <v>0</v>
      </c>
      <c r="Y645">
        <f t="shared" si="330"/>
        <v>12</v>
      </c>
      <c r="AC645" t="str">
        <f>IF(客户自备加工筐明细!$C645="","",客户自备加工筐明细!$C645)</f>
        <v/>
      </c>
      <c r="AD645">
        <f t="shared" si="331"/>
        <v>0</v>
      </c>
      <c r="AE645">
        <f t="shared" si="332"/>
        <v>1</v>
      </c>
      <c r="AI645" t="str">
        <f>IF(客户自备加工筐明细!$E645="","",客户自备加工筐明细!$E645)</f>
        <v/>
      </c>
      <c r="AJ645">
        <f t="shared" si="333"/>
        <v>0</v>
      </c>
      <c r="AK645">
        <f t="shared" si="334"/>
        <v>1</v>
      </c>
      <c r="BS645" t="str">
        <f t="shared" si="322"/>
        <v/>
      </c>
      <c r="BT645">
        <f t="shared" si="335"/>
        <v>0</v>
      </c>
      <c r="BU645">
        <f t="shared" si="336"/>
        <v>17</v>
      </c>
      <c r="CP645">
        <f>IF(包装物料出入库明细!$D645="",0,1)</f>
        <v>0</v>
      </c>
      <c r="CQ645">
        <f t="shared" si="337"/>
        <v>37</v>
      </c>
      <c r="CS645" t="str">
        <f>IF(OR(周转筐出入库明细!$C646="",周转筐出入库明细!$F646&lt;&gt;"采购入库"),"",周转筐出入库明细!$C646)</f>
        <v/>
      </c>
      <c r="CT645">
        <f t="shared" si="338"/>
        <v>0</v>
      </c>
      <c r="CU645">
        <f t="shared" si="339"/>
        <v>1</v>
      </c>
    </row>
    <row r="646" spans="1:99">
      <c r="A646" t="str">
        <f>IF(包装物料出入库明细!$E646="","",包装物料出入库明细!$E646)</f>
        <v/>
      </c>
      <c r="B646">
        <f t="shared" si="323"/>
        <v>0</v>
      </c>
      <c r="C646">
        <f t="shared" si="324"/>
        <v>7</v>
      </c>
      <c r="D646" t="str">
        <f>IF(包装物料出入库明细!$E646="","",包装物料出入库明细!$F646)</f>
        <v/>
      </c>
      <c r="E646" t="str">
        <f>IF(包装物料出入库明细!$E646="","",包装物料出入库明细!$G646)</f>
        <v/>
      </c>
      <c r="K646" t="str">
        <f>IF(包装物料出入库明细!$D646="","",包装物料出入库明细!$D646)</f>
        <v/>
      </c>
      <c r="L646">
        <f t="shared" si="325"/>
        <v>0</v>
      </c>
      <c r="M646">
        <f t="shared" si="326"/>
        <v>9</v>
      </c>
      <c r="Q646" t="str">
        <f>IF(周转筐出入库明细!$D647="","",周转筐出入库明细!$D647)</f>
        <v/>
      </c>
      <c r="R646">
        <f t="shared" si="327"/>
        <v>0</v>
      </c>
      <c r="S646">
        <f t="shared" si="328"/>
        <v>5</v>
      </c>
      <c r="W646" t="str">
        <f>IF(周转筐出入库明细!$C647="","",周转筐出入库明细!$C647)</f>
        <v/>
      </c>
      <c r="X646">
        <f t="shared" si="329"/>
        <v>0</v>
      </c>
      <c r="Y646">
        <f t="shared" si="330"/>
        <v>12</v>
      </c>
      <c r="AC646" t="str">
        <f>IF(客户自备加工筐明细!$C646="","",客户自备加工筐明细!$C646)</f>
        <v/>
      </c>
      <c r="AD646">
        <f t="shared" si="331"/>
        <v>0</v>
      </c>
      <c r="AE646">
        <f t="shared" si="332"/>
        <v>1</v>
      </c>
      <c r="AI646" t="str">
        <f>IF(客户自备加工筐明细!$E646="","",客户自备加工筐明细!$E646)</f>
        <v/>
      </c>
      <c r="AJ646">
        <f t="shared" si="333"/>
        <v>0</v>
      </c>
      <c r="AK646">
        <f t="shared" si="334"/>
        <v>1</v>
      </c>
      <c r="BS646" t="str">
        <f t="shared" si="322"/>
        <v/>
      </c>
      <c r="BT646">
        <f t="shared" si="335"/>
        <v>0</v>
      </c>
      <c r="BU646">
        <f t="shared" si="336"/>
        <v>17</v>
      </c>
      <c r="CP646">
        <f>IF(包装物料出入库明细!$D646="",0,1)</f>
        <v>0</v>
      </c>
      <c r="CQ646">
        <f t="shared" si="337"/>
        <v>37</v>
      </c>
      <c r="CS646" t="str">
        <f>IF(OR(周转筐出入库明细!$C647="",周转筐出入库明细!$F647&lt;&gt;"采购入库"),"",周转筐出入库明细!$C647)</f>
        <v/>
      </c>
      <c r="CT646">
        <f t="shared" si="338"/>
        <v>0</v>
      </c>
      <c r="CU646">
        <f t="shared" si="339"/>
        <v>1</v>
      </c>
    </row>
    <row r="647" spans="1:99">
      <c r="A647" t="str">
        <f>IF(包装物料出入库明细!$E647="","",包装物料出入库明细!$E647)</f>
        <v/>
      </c>
      <c r="B647">
        <f t="shared" si="323"/>
        <v>0</v>
      </c>
      <c r="C647">
        <f t="shared" si="324"/>
        <v>7</v>
      </c>
      <c r="D647" t="str">
        <f>IF(包装物料出入库明细!$E647="","",包装物料出入库明细!$F647)</f>
        <v/>
      </c>
      <c r="E647" t="str">
        <f>IF(包装物料出入库明细!$E647="","",包装物料出入库明细!$G647)</f>
        <v/>
      </c>
      <c r="K647" t="str">
        <f>IF(包装物料出入库明细!$D647="","",包装物料出入库明细!$D647)</f>
        <v/>
      </c>
      <c r="L647">
        <f t="shared" si="325"/>
        <v>0</v>
      </c>
      <c r="M647">
        <f t="shared" si="326"/>
        <v>9</v>
      </c>
      <c r="Q647" t="str">
        <f>IF(周转筐出入库明细!$D648="","",周转筐出入库明细!$D648)</f>
        <v/>
      </c>
      <c r="R647">
        <f t="shared" si="327"/>
        <v>0</v>
      </c>
      <c r="S647">
        <f t="shared" si="328"/>
        <v>5</v>
      </c>
      <c r="W647" t="str">
        <f>IF(周转筐出入库明细!$C648="","",周转筐出入库明细!$C648)</f>
        <v/>
      </c>
      <c r="X647">
        <f t="shared" si="329"/>
        <v>0</v>
      </c>
      <c r="Y647">
        <f t="shared" si="330"/>
        <v>12</v>
      </c>
      <c r="AC647" t="str">
        <f>IF(客户自备加工筐明细!$C647="","",客户自备加工筐明细!$C647)</f>
        <v/>
      </c>
      <c r="AD647">
        <f t="shared" si="331"/>
        <v>0</v>
      </c>
      <c r="AE647">
        <f t="shared" si="332"/>
        <v>1</v>
      </c>
      <c r="AI647" t="str">
        <f>IF(客户自备加工筐明细!$E647="","",客户自备加工筐明细!$E647)</f>
        <v/>
      </c>
      <c r="AJ647">
        <f t="shared" si="333"/>
        <v>0</v>
      </c>
      <c r="AK647">
        <f t="shared" si="334"/>
        <v>1</v>
      </c>
      <c r="BS647" t="str">
        <f t="shared" si="322"/>
        <v/>
      </c>
      <c r="BT647">
        <f t="shared" si="335"/>
        <v>0</v>
      </c>
      <c r="BU647">
        <f t="shared" si="336"/>
        <v>17</v>
      </c>
      <c r="CP647">
        <f>IF(包装物料出入库明细!$D647="",0,1)</f>
        <v>0</v>
      </c>
      <c r="CQ647">
        <f t="shared" si="337"/>
        <v>37</v>
      </c>
      <c r="CS647" t="str">
        <f>IF(OR(周转筐出入库明细!$C648="",周转筐出入库明细!$F648&lt;&gt;"采购入库"),"",周转筐出入库明细!$C648)</f>
        <v/>
      </c>
      <c r="CT647">
        <f t="shared" si="338"/>
        <v>0</v>
      </c>
      <c r="CU647">
        <f t="shared" si="339"/>
        <v>1</v>
      </c>
    </row>
    <row r="648" spans="1:99">
      <c r="A648" t="str">
        <f>IF(包装物料出入库明细!$E648="","",包装物料出入库明细!$E648)</f>
        <v/>
      </c>
      <c r="B648">
        <f t="shared" si="323"/>
        <v>0</v>
      </c>
      <c r="C648">
        <f t="shared" si="324"/>
        <v>7</v>
      </c>
      <c r="D648" t="str">
        <f>IF(包装物料出入库明细!$E648="","",包装物料出入库明细!$F648)</f>
        <v/>
      </c>
      <c r="E648" t="str">
        <f>IF(包装物料出入库明细!$E648="","",包装物料出入库明细!$G648)</f>
        <v/>
      </c>
      <c r="K648" t="str">
        <f>IF(包装物料出入库明细!$D648="","",包装物料出入库明细!$D648)</f>
        <v/>
      </c>
      <c r="L648">
        <f t="shared" si="325"/>
        <v>0</v>
      </c>
      <c r="M648">
        <f t="shared" si="326"/>
        <v>9</v>
      </c>
      <c r="Q648" t="str">
        <f>IF(周转筐出入库明细!$D649="","",周转筐出入库明细!$D649)</f>
        <v/>
      </c>
      <c r="R648">
        <f t="shared" si="327"/>
        <v>0</v>
      </c>
      <c r="S648">
        <f t="shared" si="328"/>
        <v>5</v>
      </c>
      <c r="W648" t="str">
        <f>IF(周转筐出入库明细!$C649="","",周转筐出入库明细!$C649)</f>
        <v/>
      </c>
      <c r="X648">
        <f t="shared" si="329"/>
        <v>0</v>
      </c>
      <c r="Y648">
        <f t="shared" si="330"/>
        <v>12</v>
      </c>
      <c r="AC648" t="str">
        <f>IF(客户自备加工筐明细!$C648="","",客户自备加工筐明细!$C648)</f>
        <v/>
      </c>
      <c r="AD648">
        <f t="shared" si="331"/>
        <v>0</v>
      </c>
      <c r="AE648">
        <f t="shared" si="332"/>
        <v>1</v>
      </c>
      <c r="AI648" t="str">
        <f>IF(客户自备加工筐明细!$E648="","",客户自备加工筐明细!$E648)</f>
        <v/>
      </c>
      <c r="AJ648">
        <f t="shared" si="333"/>
        <v>0</v>
      </c>
      <c r="AK648">
        <f t="shared" si="334"/>
        <v>1</v>
      </c>
      <c r="BS648" t="str">
        <f t="shared" si="322"/>
        <v/>
      </c>
      <c r="BT648">
        <f t="shared" si="335"/>
        <v>0</v>
      </c>
      <c r="BU648">
        <f t="shared" si="336"/>
        <v>17</v>
      </c>
      <c r="CP648">
        <f>IF(包装物料出入库明细!$D648="",0,1)</f>
        <v>0</v>
      </c>
      <c r="CQ648">
        <f t="shared" si="337"/>
        <v>37</v>
      </c>
      <c r="CS648" t="str">
        <f>IF(OR(周转筐出入库明细!$C649="",周转筐出入库明细!$F649&lt;&gt;"采购入库"),"",周转筐出入库明细!$C649)</f>
        <v/>
      </c>
      <c r="CT648">
        <f t="shared" si="338"/>
        <v>0</v>
      </c>
      <c r="CU648">
        <f t="shared" si="339"/>
        <v>1</v>
      </c>
    </row>
    <row r="649" spans="1:99">
      <c r="A649" t="str">
        <f>IF(包装物料出入库明细!$E649="","",包装物料出入库明细!$E649)</f>
        <v/>
      </c>
      <c r="B649">
        <f t="shared" si="323"/>
        <v>0</v>
      </c>
      <c r="C649">
        <f t="shared" si="324"/>
        <v>7</v>
      </c>
      <c r="D649" t="str">
        <f>IF(包装物料出入库明细!$E649="","",包装物料出入库明细!$F649)</f>
        <v/>
      </c>
      <c r="E649" t="str">
        <f>IF(包装物料出入库明细!$E649="","",包装物料出入库明细!$G649)</f>
        <v/>
      </c>
      <c r="K649" t="str">
        <f>IF(包装物料出入库明细!$D649="","",包装物料出入库明细!$D649)</f>
        <v/>
      </c>
      <c r="L649">
        <f t="shared" si="325"/>
        <v>0</v>
      </c>
      <c r="M649">
        <f t="shared" si="326"/>
        <v>9</v>
      </c>
      <c r="Q649" t="str">
        <f>IF(周转筐出入库明细!$D650="","",周转筐出入库明细!$D650)</f>
        <v/>
      </c>
      <c r="R649">
        <f t="shared" si="327"/>
        <v>0</v>
      </c>
      <c r="S649">
        <f t="shared" si="328"/>
        <v>5</v>
      </c>
      <c r="W649" t="str">
        <f>IF(周转筐出入库明细!$C650="","",周转筐出入库明细!$C650)</f>
        <v/>
      </c>
      <c r="X649">
        <f t="shared" si="329"/>
        <v>0</v>
      </c>
      <c r="Y649">
        <f t="shared" si="330"/>
        <v>12</v>
      </c>
      <c r="AC649" t="str">
        <f>IF(客户自备加工筐明细!$C649="","",客户自备加工筐明细!$C649)</f>
        <v/>
      </c>
      <c r="AD649">
        <f t="shared" si="331"/>
        <v>0</v>
      </c>
      <c r="AE649">
        <f t="shared" si="332"/>
        <v>1</v>
      </c>
      <c r="AI649" t="str">
        <f>IF(客户自备加工筐明细!$E649="","",客户自备加工筐明细!$E649)</f>
        <v/>
      </c>
      <c r="AJ649">
        <f t="shared" si="333"/>
        <v>0</v>
      </c>
      <c r="AK649">
        <f t="shared" si="334"/>
        <v>1</v>
      </c>
      <c r="BS649" t="str">
        <f t="shared" si="322"/>
        <v/>
      </c>
      <c r="BT649">
        <f t="shared" si="335"/>
        <v>0</v>
      </c>
      <c r="BU649">
        <f t="shared" si="336"/>
        <v>17</v>
      </c>
      <c r="CP649">
        <f>IF(包装物料出入库明细!$D649="",0,1)</f>
        <v>0</v>
      </c>
      <c r="CQ649">
        <f t="shared" si="337"/>
        <v>37</v>
      </c>
      <c r="CS649" t="str">
        <f>IF(OR(周转筐出入库明细!$C650="",周转筐出入库明细!$F650&lt;&gt;"采购入库"),"",周转筐出入库明细!$C650)</f>
        <v/>
      </c>
      <c r="CT649">
        <f t="shared" si="338"/>
        <v>0</v>
      </c>
      <c r="CU649">
        <f t="shared" si="339"/>
        <v>1</v>
      </c>
    </row>
    <row r="650" spans="1:99">
      <c r="A650" t="str">
        <f>IF(包装物料出入库明细!$E650="","",包装物料出入库明细!$E650)</f>
        <v/>
      </c>
      <c r="B650">
        <f t="shared" si="323"/>
        <v>0</v>
      </c>
      <c r="C650">
        <f t="shared" si="324"/>
        <v>7</v>
      </c>
      <c r="D650" t="str">
        <f>IF(包装物料出入库明细!$E650="","",包装物料出入库明细!$F650)</f>
        <v/>
      </c>
      <c r="E650" t="str">
        <f>IF(包装物料出入库明细!$E650="","",包装物料出入库明细!$G650)</f>
        <v/>
      </c>
      <c r="K650" t="str">
        <f>IF(包装物料出入库明细!$D650="","",包装物料出入库明细!$D650)</f>
        <v/>
      </c>
      <c r="L650">
        <f t="shared" si="325"/>
        <v>0</v>
      </c>
      <c r="M650">
        <f t="shared" si="326"/>
        <v>9</v>
      </c>
      <c r="Q650" t="str">
        <f>IF(周转筐出入库明细!$D651="","",周转筐出入库明细!$D651)</f>
        <v/>
      </c>
      <c r="R650">
        <f t="shared" si="327"/>
        <v>0</v>
      </c>
      <c r="S650">
        <f t="shared" si="328"/>
        <v>5</v>
      </c>
      <c r="W650" t="str">
        <f>IF(周转筐出入库明细!$C651="","",周转筐出入库明细!$C651)</f>
        <v/>
      </c>
      <c r="X650">
        <f t="shared" si="329"/>
        <v>0</v>
      </c>
      <c r="Y650">
        <f t="shared" si="330"/>
        <v>12</v>
      </c>
      <c r="AC650" t="str">
        <f>IF(客户自备加工筐明细!$C650="","",客户自备加工筐明细!$C650)</f>
        <v/>
      </c>
      <c r="AD650">
        <f t="shared" si="331"/>
        <v>0</v>
      </c>
      <c r="AE650">
        <f t="shared" si="332"/>
        <v>1</v>
      </c>
      <c r="AI650" t="str">
        <f>IF(客户自备加工筐明细!$E650="","",客户自备加工筐明细!$E650)</f>
        <v/>
      </c>
      <c r="AJ650">
        <f t="shared" si="333"/>
        <v>0</v>
      </c>
      <c r="AK650">
        <f t="shared" si="334"/>
        <v>1</v>
      </c>
      <c r="BS650" t="str">
        <f t="shared" si="322"/>
        <v/>
      </c>
      <c r="BT650">
        <f t="shared" si="335"/>
        <v>0</v>
      </c>
      <c r="BU650">
        <f t="shared" si="336"/>
        <v>17</v>
      </c>
      <c r="CP650">
        <f>IF(包装物料出入库明细!$D650="",0,1)</f>
        <v>0</v>
      </c>
      <c r="CQ650">
        <f t="shared" si="337"/>
        <v>37</v>
      </c>
      <c r="CS650" t="str">
        <f>IF(OR(周转筐出入库明细!$C651="",周转筐出入库明细!$F651&lt;&gt;"采购入库"),"",周转筐出入库明细!$C651)</f>
        <v/>
      </c>
      <c r="CT650">
        <f t="shared" si="338"/>
        <v>0</v>
      </c>
      <c r="CU650">
        <f t="shared" si="339"/>
        <v>1</v>
      </c>
    </row>
    <row r="651" spans="1:99">
      <c r="A651" t="str">
        <f>IF(包装物料出入库明细!$E651="","",包装物料出入库明细!$E651)</f>
        <v/>
      </c>
      <c r="B651">
        <f t="shared" si="323"/>
        <v>0</v>
      </c>
      <c r="C651">
        <f t="shared" si="324"/>
        <v>7</v>
      </c>
      <c r="D651" t="str">
        <f>IF(包装物料出入库明细!$E651="","",包装物料出入库明细!$F651)</f>
        <v/>
      </c>
      <c r="E651" t="str">
        <f>IF(包装物料出入库明细!$E651="","",包装物料出入库明细!$G651)</f>
        <v/>
      </c>
      <c r="K651" t="str">
        <f>IF(包装物料出入库明细!$D651="","",包装物料出入库明细!$D651)</f>
        <v/>
      </c>
      <c r="L651">
        <f t="shared" si="325"/>
        <v>0</v>
      </c>
      <c r="M651">
        <f t="shared" si="326"/>
        <v>9</v>
      </c>
      <c r="Q651" t="str">
        <f>IF(周转筐出入库明细!$D652="","",周转筐出入库明细!$D652)</f>
        <v/>
      </c>
      <c r="R651">
        <f t="shared" si="327"/>
        <v>0</v>
      </c>
      <c r="S651">
        <f t="shared" si="328"/>
        <v>5</v>
      </c>
      <c r="W651" t="str">
        <f>IF(周转筐出入库明细!$C652="","",周转筐出入库明细!$C652)</f>
        <v/>
      </c>
      <c r="X651">
        <f t="shared" si="329"/>
        <v>0</v>
      </c>
      <c r="Y651">
        <f t="shared" si="330"/>
        <v>12</v>
      </c>
      <c r="AC651" t="str">
        <f>IF(客户自备加工筐明细!$C651="","",客户自备加工筐明细!$C651)</f>
        <v/>
      </c>
      <c r="AD651">
        <f t="shared" si="331"/>
        <v>0</v>
      </c>
      <c r="AE651">
        <f t="shared" si="332"/>
        <v>1</v>
      </c>
      <c r="AI651" t="str">
        <f>IF(客户自备加工筐明细!$E651="","",客户自备加工筐明细!$E651)</f>
        <v/>
      </c>
      <c r="AJ651">
        <f t="shared" si="333"/>
        <v>0</v>
      </c>
      <c r="AK651">
        <f t="shared" si="334"/>
        <v>1</v>
      </c>
      <c r="BS651" t="str">
        <f t="shared" si="322"/>
        <v/>
      </c>
      <c r="BT651">
        <f t="shared" si="335"/>
        <v>0</v>
      </c>
      <c r="BU651">
        <f t="shared" si="336"/>
        <v>17</v>
      </c>
      <c r="CP651">
        <f>IF(包装物料出入库明细!$D651="",0,1)</f>
        <v>0</v>
      </c>
      <c r="CQ651">
        <f t="shared" si="337"/>
        <v>37</v>
      </c>
      <c r="CS651" t="str">
        <f>IF(OR(周转筐出入库明细!$C652="",周转筐出入库明细!$F652&lt;&gt;"采购入库"),"",周转筐出入库明细!$C652)</f>
        <v/>
      </c>
      <c r="CT651">
        <f t="shared" si="338"/>
        <v>0</v>
      </c>
      <c r="CU651">
        <f t="shared" si="339"/>
        <v>1</v>
      </c>
    </row>
    <row r="652" spans="1:99">
      <c r="A652" t="str">
        <f>IF(包装物料出入库明细!$E652="","",包装物料出入库明细!$E652)</f>
        <v/>
      </c>
      <c r="B652">
        <f t="shared" si="323"/>
        <v>0</v>
      </c>
      <c r="C652">
        <f t="shared" si="324"/>
        <v>7</v>
      </c>
      <c r="D652" t="str">
        <f>IF(包装物料出入库明细!$E652="","",包装物料出入库明细!$F652)</f>
        <v/>
      </c>
      <c r="E652" t="str">
        <f>IF(包装物料出入库明细!$E652="","",包装物料出入库明细!$G652)</f>
        <v/>
      </c>
      <c r="K652" t="str">
        <f>IF(包装物料出入库明细!$D652="","",包装物料出入库明细!$D652)</f>
        <v/>
      </c>
      <c r="L652">
        <f t="shared" si="325"/>
        <v>0</v>
      </c>
      <c r="M652">
        <f t="shared" si="326"/>
        <v>9</v>
      </c>
      <c r="Q652" t="str">
        <f>IF(周转筐出入库明细!$D653="","",周转筐出入库明细!$D653)</f>
        <v/>
      </c>
      <c r="R652">
        <f t="shared" si="327"/>
        <v>0</v>
      </c>
      <c r="S652">
        <f t="shared" si="328"/>
        <v>5</v>
      </c>
      <c r="W652" t="str">
        <f>IF(周转筐出入库明细!$C653="","",周转筐出入库明细!$C653)</f>
        <v/>
      </c>
      <c r="X652">
        <f t="shared" si="329"/>
        <v>0</v>
      </c>
      <c r="Y652">
        <f t="shared" si="330"/>
        <v>12</v>
      </c>
      <c r="AC652" t="str">
        <f>IF(客户自备加工筐明细!$C652="","",客户自备加工筐明细!$C652)</f>
        <v/>
      </c>
      <c r="AD652">
        <f t="shared" si="331"/>
        <v>0</v>
      </c>
      <c r="AE652">
        <f t="shared" si="332"/>
        <v>1</v>
      </c>
      <c r="AI652" t="str">
        <f>IF(客户自备加工筐明细!$E652="","",客户自备加工筐明细!$E652)</f>
        <v/>
      </c>
      <c r="AJ652">
        <f t="shared" si="333"/>
        <v>0</v>
      </c>
      <c r="AK652">
        <f t="shared" si="334"/>
        <v>1</v>
      </c>
      <c r="BS652" t="str">
        <f t="shared" si="322"/>
        <v/>
      </c>
      <c r="BT652">
        <f t="shared" si="335"/>
        <v>0</v>
      </c>
      <c r="BU652">
        <f t="shared" si="336"/>
        <v>17</v>
      </c>
      <c r="CP652">
        <f>IF(包装物料出入库明细!$D652="",0,1)</f>
        <v>0</v>
      </c>
      <c r="CQ652">
        <f t="shared" si="337"/>
        <v>37</v>
      </c>
      <c r="CS652" t="str">
        <f>IF(OR(周转筐出入库明细!$C653="",周转筐出入库明细!$F653&lt;&gt;"采购入库"),"",周转筐出入库明细!$C653)</f>
        <v/>
      </c>
      <c r="CT652">
        <f t="shared" si="338"/>
        <v>0</v>
      </c>
      <c r="CU652">
        <f t="shared" si="339"/>
        <v>1</v>
      </c>
    </row>
    <row r="653" spans="1:99">
      <c r="A653" t="str">
        <f>IF(包装物料出入库明细!$E653="","",包装物料出入库明细!$E653)</f>
        <v/>
      </c>
      <c r="B653">
        <f t="shared" si="323"/>
        <v>0</v>
      </c>
      <c r="C653">
        <f t="shared" si="324"/>
        <v>7</v>
      </c>
      <c r="D653" t="str">
        <f>IF(包装物料出入库明细!$E653="","",包装物料出入库明细!$F653)</f>
        <v/>
      </c>
      <c r="E653" t="str">
        <f>IF(包装物料出入库明细!$E653="","",包装物料出入库明细!$G653)</f>
        <v/>
      </c>
      <c r="K653" t="str">
        <f>IF(包装物料出入库明细!$D653="","",包装物料出入库明细!$D653)</f>
        <v/>
      </c>
      <c r="L653">
        <f t="shared" si="325"/>
        <v>0</v>
      </c>
      <c r="M653">
        <f t="shared" si="326"/>
        <v>9</v>
      </c>
      <c r="Q653" t="str">
        <f>IF(周转筐出入库明细!$D654="","",周转筐出入库明细!$D654)</f>
        <v/>
      </c>
      <c r="R653">
        <f t="shared" si="327"/>
        <v>0</v>
      </c>
      <c r="S653">
        <f t="shared" si="328"/>
        <v>5</v>
      </c>
      <c r="W653" t="str">
        <f>IF(周转筐出入库明细!$C654="","",周转筐出入库明细!$C654)</f>
        <v/>
      </c>
      <c r="X653">
        <f t="shared" si="329"/>
        <v>0</v>
      </c>
      <c r="Y653">
        <f t="shared" si="330"/>
        <v>12</v>
      </c>
      <c r="AC653" t="str">
        <f>IF(客户自备加工筐明细!$C653="","",客户自备加工筐明细!$C653)</f>
        <v/>
      </c>
      <c r="AD653">
        <f t="shared" si="331"/>
        <v>0</v>
      </c>
      <c r="AE653">
        <f t="shared" si="332"/>
        <v>1</v>
      </c>
      <c r="AI653" t="str">
        <f>IF(客户自备加工筐明细!$E653="","",客户自备加工筐明细!$E653)</f>
        <v/>
      </c>
      <c r="AJ653">
        <f t="shared" si="333"/>
        <v>0</v>
      </c>
      <c r="AK653">
        <f t="shared" si="334"/>
        <v>1</v>
      </c>
      <c r="BS653" t="str">
        <f t="shared" si="322"/>
        <v/>
      </c>
      <c r="BT653">
        <f t="shared" si="335"/>
        <v>0</v>
      </c>
      <c r="BU653">
        <f t="shared" si="336"/>
        <v>17</v>
      </c>
      <c r="CP653">
        <f>IF(包装物料出入库明细!$D653="",0,1)</f>
        <v>0</v>
      </c>
      <c r="CQ653">
        <f t="shared" si="337"/>
        <v>37</v>
      </c>
      <c r="CS653" t="str">
        <f>IF(OR(周转筐出入库明细!$C654="",周转筐出入库明细!$F654&lt;&gt;"采购入库"),"",周转筐出入库明细!$C654)</f>
        <v/>
      </c>
      <c r="CT653">
        <f t="shared" si="338"/>
        <v>0</v>
      </c>
      <c r="CU653">
        <f t="shared" si="339"/>
        <v>1</v>
      </c>
    </row>
    <row r="654" spans="1:99">
      <c r="A654" t="str">
        <f>IF(包装物料出入库明细!$E654="","",包装物料出入库明细!$E654)</f>
        <v/>
      </c>
      <c r="B654">
        <f t="shared" si="323"/>
        <v>0</v>
      </c>
      <c r="C654">
        <f t="shared" si="324"/>
        <v>7</v>
      </c>
      <c r="D654" t="str">
        <f>IF(包装物料出入库明细!$E654="","",包装物料出入库明细!$F654)</f>
        <v/>
      </c>
      <c r="E654" t="str">
        <f>IF(包装物料出入库明细!$E654="","",包装物料出入库明细!$G654)</f>
        <v/>
      </c>
      <c r="K654" t="str">
        <f>IF(包装物料出入库明细!$D654="","",包装物料出入库明细!$D654)</f>
        <v/>
      </c>
      <c r="L654">
        <f t="shared" si="325"/>
        <v>0</v>
      </c>
      <c r="M654">
        <f t="shared" si="326"/>
        <v>9</v>
      </c>
      <c r="Q654" t="str">
        <f>IF(周转筐出入库明细!$D655="","",周转筐出入库明细!$D655)</f>
        <v/>
      </c>
      <c r="R654">
        <f t="shared" si="327"/>
        <v>0</v>
      </c>
      <c r="S654">
        <f t="shared" si="328"/>
        <v>5</v>
      </c>
      <c r="W654" t="str">
        <f>IF(周转筐出入库明细!$C655="","",周转筐出入库明细!$C655)</f>
        <v/>
      </c>
      <c r="X654">
        <f t="shared" si="329"/>
        <v>0</v>
      </c>
      <c r="Y654">
        <f t="shared" si="330"/>
        <v>12</v>
      </c>
      <c r="AC654" t="str">
        <f>IF(客户自备加工筐明细!$C654="","",客户自备加工筐明细!$C654)</f>
        <v/>
      </c>
      <c r="AD654">
        <f t="shared" si="331"/>
        <v>0</v>
      </c>
      <c r="AE654">
        <f t="shared" si="332"/>
        <v>1</v>
      </c>
      <c r="AI654" t="str">
        <f>IF(客户自备加工筐明细!$E654="","",客户自备加工筐明细!$E654)</f>
        <v/>
      </c>
      <c r="AJ654">
        <f t="shared" si="333"/>
        <v>0</v>
      </c>
      <c r="AK654">
        <f t="shared" si="334"/>
        <v>1</v>
      </c>
      <c r="BS654" t="str">
        <f t="shared" si="322"/>
        <v/>
      </c>
      <c r="BT654">
        <f t="shared" si="335"/>
        <v>0</v>
      </c>
      <c r="BU654">
        <f t="shared" si="336"/>
        <v>17</v>
      </c>
      <c r="CP654">
        <f>IF(包装物料出入库明细!$D654="",0,1)</f>
        <v>0</v>
      </c>
      <c r="CQ654">
        <f t="shared" si="337"/>
        <v>37</v>
      </c>
      <c r="CS654" t="str">
        <f>IF(OR(周转筐出入库明细!$C655="",周转筐出入库明细!$F655&lt;&gt;"采购入库"),"",周转筐出入库明细!$C655)</f>
        <v/>
      </c>
      <c r="CT654">
        <f t="shared" si="338"/>
        <v>0</v>
      </c>
      <c r="CU654">
        <f t="shared" si="339"/>
        <v>1</v>
      </c>
    </row>
    <row r="655" spans="1:99">
      <c r="A655" t="str">
        <f>IF(包装物料出入库明细!$E655="","",包装物料出入库明细!$E655)</f>
        <v/>
      </c>
      <c r="B655">
        <f t="shared" si="323"/>
        <v>0</v>
      </c>
      <c r="C655">
        <f t="shared" si="324"/>
        <v>7</v>
      </c>
      <c r="D655" t="str">
        <f>IF(包装物料出入库明细!$E655="","",包装物料出入库明细!$F655)</f>
        <v/>
      </c>
      <c r="E655" t="str">
        <f>IF(包装物料出入库明细!$E655="","",包装物料出入库明细!$G655)</f>
        <v/>
      </c>
      <c r="K655" t="str">
        <f>IF(包装物料出入库明细!$D655="","",包装物料出入库明细!$D655)</f>
        <v/>
      </c>
      <c r="L655">
        <f t="shared" si="325"/>
        <v>0</v>
      </c>
      <c r="M655">
        <f t="shared" si="326"/>
        <v>9</v>
      </c>
      <c r="Q655" t="str">
        <f>IF(周转筐出入库明细!$D656="","",周转筐出入库明细!$D656)</f>
        <v/>
      </c>
      <c r="R655">
        <f t="shared" si="327"/>
        <v>0</v>
      </c>
      <c r="S655">
        <f t="shared" si="328"/>
        <v>5</v>
      </c>
      <c r="W655" t="str">
        <f>IF(周转筐出入库明细!$C656="","",周转筐出入库明细!$C656)</f>
        <v/>
      </c>
      <c r="X655">
        <f t="shared" si="329"/>
        <v>0</v>
      </c>
      <c r="Y655">
        <f t="shared" si="330"/>
        <v>12</v>
      </c>
      <c r="AC655" t="str">
        <f>IF(客户自备加工筐明细!$C655="","",客户自备加工筐明细!$C655)</f>
        <v/>
      </c>
      <c r="AD655">
        <f t="shared" si="331"/>
        <v>0</v>
      </c>
      <c r="AE655">
        <f t="shared" si="332"/>
        <v>1</v>
      </c>
      <c r="AI655" t="str">
        <f>IF(客户自备加工筐明细!$E655="","",客户自备加工筐明细!$E655)</f>
        <v/>
      </c>
      <c r="AJ655">
        <f t="shared" si="333"/>
        <v>0</v>
      </c>
      <c r="AK655">
        <f t="shared" si="334"/>
        <v>1</v>
      </c>
      <c r="BS655" t="str">
        <f t="shared" si="322"/>
        <v/>
      </c>
      <c r="BT655">
        <f t="shared" si="335"/>
        <v>0</v>
      </c>
      <c r="BU655">
        <f t="shared" si="336"/>
        <v>17</v>
      </c>
      <c r="CP655">
        <f>IF(包装物料出入库明细!$D655="",0,1)</f>
        <v>0</v>
      </c>
      <c r="CQ655">
        <f t="shared" si="337"/>
        <v>37</v>
      </c>
      <c r="CS655" t="str">
        <f>IF(OR(周转筐出入库明细!$C656="",周转筐出入库明细!$F656&lt;&gt;"采购入库"),"",周转筐出入库明细!$C656)</f>
        <v/>
      </c>
      <c r="CT655">
        <f t="shared" si="338"/>
        <v>0</v>
      </c>
      <c r="CU655">
        <f t="shared" si="339"/>
        <v>1</v>
      </c>
    </row>
    <row r="656" spans="1:99">
      <c r="A656" t="str">
        <f>IF(包装物料出入库明细!$E656="","",包装物料出入库明细!$E656)</f>
        <v/>
      </c>
      <c r="B656">
        <f t="shared" si="323"/>
        <v>0</v>
      </c>
      <c r="C656">
        <f t="shared" si="324"/>
        <v>7</v>
      </c>
      <c r="D656" t="str">
        <f>IF(包装物料出入库明细!$E656="","",包装物料出入库明细!$F656)</f>
        <v/>
      </c>
      <c r="E656" t="str">
        <f>IF(包装物料出入库明细!$E656="","",包装物料出入库明细!$G656)</f>
        <v/>
      </c>
      <c r="K656" t="str">
        <f>IF(包装物料出入库明细!$D656="","",包装物料出入库明细!$D656)</f>
        <v/>
      </c>
      <c r="L656">
        <f t="shared" si="325"/>
        <v>0</v>
      </c>
      <c r="M656">
        <f t="shared" si="326"/>
        <v>9</v>
      </c>
      <c r="Q656" t="str">
        <f>IF(周转筐出入库明细!$D657="","",周转筐出入库明细!$D657)</f>
        <v/>
      </c>
      <c r="R656">
        <f t="shared" si="327"/>
        <v>0</v>
      </c>
      <c r="S656">
        <f t="shared" si="328"/>
        <v>5</v>
      </c>
      <c r="W656" t="str">
        <f>IF(周转筐出入库明细!$C657="","",周转筐出入库明细!$C657)</f>
        <v/>
      </c>
      <c r="X656">
        <f t="shared" si="329"/>
        <v>0</v>
      </c>
      <c r="Y656">
        <f t="shared" si="330"/>
        <v>12</v>
      </c>
      <c r="AC656" t="str">
        <f>IF(客户自备加工筐明细!$C656="","",客户自备加工筐明细!$C656)</f>
        <v/>
      </c>
      <c r="AD656">
        <f t="shared" si="331"/>
        <v>0</v>
      </c>
      <c r="AE656">
        <f t="shared" si="332"/>
        <v>1</v>
      </c>
      <c r="AI656" t="str">
        <f>IF(客户自备加工筐明细!$E656="","",客户自备加工筐明细!$E656)</f>
        <v/>
      </c>
      <c r="AJ656">
        <f t="shared" si="333"/>
        <v>0</v>
      </c>
      <c r="AK656">
        <f t="shared" si="334"/>
        <v>1</v>
      </c>
      <c r="BS656" t="str">
        <f t="shared" si="322"/>
        <v/>
      </c>
      <c r="BT656">
        <f t="shared" si="335"/>
        <v>0</v>
      </c>
      <c r="BU656">
        <f t="shared" si="336"/>
        <v>17</v>
      </c>
      <c r="CP656">
        <f>IF(包装物料出入库明细!$D656="",0,1)</f>
        <v>0</v>
      </c>
      <c r="CQ656">
        <f t="shared" si="337"/>
        <v>37</v>
      </c>
      <c r="CS656" t="str">
        <f>IF(OR(周转筐出入库明细!$C657="",周转筐出入库明细!$F657&lt;&gt;"采购入库"),"",周转筐出入库明细!$C657)</f>
        <v/>
      </c>
      <c r="CT656">
        <f t="shared" si="338"/>
        <v>0</v>
      </c>
      <c r="CU656">
        <f t="shared" si="339"/>
        <v>1</v>
      </c>
    </row>
    <row r="657" spans="1:99">
      <c r="A657" t="str">
        <f>IF(包装物料出入库明细!$E657="","",包装物料出入库明细!$E657)</f>
        <v/>
      </c>
      <c r="B657">
        <f t="shared" si="323"/>
        <v>0</v>
      </c>
      <c r="C657">
        <f t="shared" si="324"/>
        <v>7</v>
      </c>
      <c r="D657" t="str">
        <f>IF(包装物料出入库明细!$E657="","",包装物料出入库明细!$F657)</f>
        <v/>
      </c>
      <c r="E657" t="str">
        <f>IF(包装物料出入库明细!$E657="","",包装物料出入库明细!$G657)</f>
        <v/>
      </c>
      <c r="K657" t="str">
        <f>IF(包装物料出入库明细!$D657="","",包装物料出入库明细!$D657)</f>
        <v/>
      </c>
      <c r="L657">
        <f t="shared" si="325"/>
        <v>0</v>
      </c>
      <c r="M657">
        <f t="shared" si="326"/>
        <v>9</v>
      </c>
      <c r="Q657" t="str">
        <f>IF(周转筐出入库明细!$D658="","",周转筐出入库明细!$D658)</f>
        <v/>
      </c>
      <c r="R657">
        <f t="shared" si="327"/>
        <v>0</v>
      </c>
      <c r="S657">
        <f t="shared" si="328"/>
        <v>5</v>
      </c>
      <c r="W657" t="str">
        <f>IF(周转筐出入库明细!$C658="","",周转筐出入库明细!$C658)</f>
        <v/>
      </c>
      <c r="X657">
        <f t="shared" si="329"/>
        <v>0</v>
      </c>
      <c r="Y657">
        <f t="shared" si="330"/>
        <v>12</v>
      </c>
      <c r="AC657" t="str">
        <f>IF(客户自备加工筐明细!$C657="","",客户自备加工筐明细!$C657)</f>
        <v/>
      </c>
      <c r="AD657">
        <f t="shared" si="331"/>
        <v>0</v>
      </c>
      <c r="AE657">
        <f t="shared" si="332"/>
        <v>1</v>
      </c>
      <c r="AI657" t="str">
        <f>IF(客户自备加工筐明细!$E657="","",客户自备加工筐明细!$E657)</f>
        <v/>
      </c>
      <c r="AJ657">
        <f t="shared" si="333"/>
        <v>0</v>
      </c>
      <c r="AK657">
        <f t="shared" si="334"/>
        <v>1</v>
      </c>
      <c r="BS657" t="str">
        <f t="shared" si="322"/>
        <v/>
      </c>
      <c r="BT657">
        <f t="shared" si="335"/>
        <v>0</v>
      </c>
      <c r="BU657">
        <f t="shared" si="336"/>
        <v>17</v>
      </c>
      <c r="CP657">
        <f>IF(包装物料出入库明细!$D657="",0,1)</f>
        <v>0</v>
      </c>
      <c r="CQ657">
        <f t="shared" si="337"/>
        <v>37</v>
      </c>
      <c r="CS657" t="str">
        <f>IF(OR(周转筐出入库明细!$C658="",周转筐出入库明细!$F658&lt;&gt;"采购入库"),"",周转筐出入库明细!$C658)</f>
        <v/>
      </c>
      <c r="CT657">
        <f t="shared" si="338"/>
        <v>0</v>
      </c>
      <c r="CU657">
        <f t="shared" si="339"/>
        <v>1</v>
      </c>
    </row>
    <row r="658" spans="1:99">
      <c r="A658" t="str">
        <f>IF(包装物料出入库明细!$E658="","",包装物料出入库明细!$E658)</f>
        <v/>
      </c>
      <c r="B658">
        <f t="shared" si="323"/>
        <v>0</v>
      </c>
      <c r="C658">
        <f t="shared" si="324"/>
        <v>7</v>
      </c>
      <c r="D658" t="str">
        <f>IF(包装物料出入库明细!$E658="","",包装物料出入库明细!$F658)</f>
        <v/>
      </c>
      <c r="E658" t="str">
        <f>IF(包装物料出入库明细!$E658="","",包装物料出入库明细!$G658)</f>
        <v/>
      </c>
      <c r="K658" t="str">
        <f>IF(包装物料出入库明细!$D658="","",包装物料出入库明细!$D658)</f>
        <v/>
      </c>
      <c r="L658">
        <f t="shared" si="325"/>
        <v>0</v>
      </c>
      <c r="M658">
        <f t="shared" si="326"/>
        <v>9</v>
      </c>
      <c r="Q658" t="str">
        <f>IF(周转筐出入库明细!$D659="","",周转筐出入库明细!$D659)</f>
        <v/>
      </c>
      <c r="R658">
        <f t="shared" si="327"/>
        <v>0</v>
      </c>
      <c r="S658">
        <f t="shared" si="328"/>
        <v>5</v>
      </c>
      <c r="W658" t="str">
        <f>IF(周转筐出入库明细!$C659="","",周转筐出入库明细!$C659)</f>
        <v/>
      </c>
      <c r="X658">
        <f t="shared" si="329"/>
        <v>0</v>
      </c>
      <c r="Y658">
        <f t="shared" si="330"/>
        <v>12</v>
      </c>
      <c r="AC658" t="str">
        <f>IF(客户自备加工筐明细!$C658="","",客户自备加工筐明细!$C658)</f>
        <v/>
      </c>
      <c r="AD658">
        <f t="shared" si="331"/>
        <v>0</v>
      </c>
      <c r="AE658">
        <f t="shared" si="332"/>
        <v>1</v>
      </c>
      <c r="AI658" t="str">
        <f>IF(客户自备加工筐明细!$E658="","",客户自备加工筐明细!$E658)</f>
        <v/>
      </c>
      <c r="AJ658">
        <f t="shared" si="333"/>
        <v>0</v>
      </c>
      <c r="AK658">
        <f t="shared" si="334"/>
        <v>1</v>
      </c>
      <c r="BS658" t="str">
        <f t="shared" si="322"/>
        <v/>
      </c>
      <c r="BT658">
        <f t="shared" si="335"/>
        <v>0</v>
      </c>
      <c r="BU658">
        <f t="shared" si="336"/>
        <v>17</v>
      </c>
      <c r="CP658">
        <f>IF(包装物料出入库明细!$D658="",0,1)</f>
        <v>0</v>
      </c>
      <c r="CQ658">
        <f t="shared" si="337"/>
        <v>37</v>
      </c>
      <c r="CS658" t="str">
        <f>IF(OR(周转筐出入库明细!$C659="",周转筐出入库明细!$F659&lt;&gt;"采购入库"),"",周转筐出入库明细!$C659)</f>
        <v/>
      </c>
      <c r="CT658">
        <f t="shared" si="338"/>
        <v>0</v>
      </c>
      <c r="CU658">
        <f t="shared" si="339"/>
        <v>1</v>
      </c>
    </row>
    <row r="659" spans="1:99">
      <c r="A659" t="str">
        <f>IF(包装物料出入库明细!$E659="","",包装物料出入库明细!$E659)</f>
        <v/>
      </c>
      <c r="B659">
        <f t="shared" si="323"/>
        <v>0</v>
      </c>
      <c r="C659">
        <f t="shared" si="324"/>
        <v>7</v>
      </c>
      <c r="D659" t="str">
        <f>IF(包装物料出入库明细!$E659="","",包装物料出入库明细!$F659)</f>
        <v/>
      </c>
      <c r="E659" t="str">
        <f>IF(包装物料出入库明细!$E659="","",包装物料出入库明细!$G659)</f>
        <v/>
      </c>
      <c r="K659" t="str">
        <f>IF(包装物料出入库明细!$D659="","",包装物料出入库明细!$D659)</f>
        <v/>
      </c>
      <c r="L659">
        <f t="shared" si="325"/>
        <v>0</v>
      </c>
      <c r="M659">
        <f t="shared" si="326"/>
        <v>9</v>
      </c>
      <c r="Q659" t="str">
        <f>IF(周转筐出入库明细!$D660="","",周转筐出入库明细!$D660)</f>
        <v/>
      </c>
      <c r="R659">
        <f t="shared" si="327"/>
        <v>0</v>
      </c>
      <c r="S659">
        <f t="shared" si="328"/>
        <v>5</v>
      </c>
      <c r="W659" t="str">
        <f>IF(周转筐出入库明细!$C660="","",周转筐出入库明细!$C660)</f>
        <v/>
      </c>
      <c r="X659">
        <f t="shared" si="329"/>
        <v>0</v>
      </c>
      <c r="Y659">
        <f t="shared" si="330"/>
        <v>12</v>
      </c>
      <c r="AC659" t="str">
        <f>IF(客户自备加工筐明细!$C659="","",客户自备加工筐明细!$C659)</f>
        <v/>
      </c>
      <c r="AD659">
        <f t="shared" si="331"/>
        <v>0</v>
      </c>
      <c r="AE659">
        <f t="shared" si="332"/>
        <v>1</v>
      </c>
      <c r="AI659" t="str">
        <f>IF(客户自备加工筐明细!$E659="","",客户自备加工筐明细!$E659)</f>
        <v/>
      </c>
      <c r="AJ659">
        <f t="shared" si="333"/>
        <v>0</v>
      </c>
      <c r="AK659">
        <f t="shared" si="334"/>
        <v>1</v>
      </c>
      <c r="BS659" t="str">
        <f t="shared" si="322"/>
        <v/>
      </c>
      <c r="BT659">
        <f t="shared" si="335"/>
        <v>0</v>
      </c>
      <c r="BU659">
        <f t="shared" si="336"/>
        <v>17</v>
      </c>
      <c r="CP659">
        <f>IF(包装物料出入库明细!$D659="",0,1)</f>
        <v>0</v>
      </c>
      <c r="CQ659">
        <f t="shared" si="337"/>
        <v>37</v>
      </c>
      <c r="CS659" t="str">
        <f>IF(OR(周转筐出入库明细!$C660="",周转筐出入库明细!$F660&lt;&gt;"采购入库"),"",周转筐出入库明细!$C660)</f>
        <v/>
      </c>
      <c r="CT659">
        <f t="shared" si="338"/>
        <v>0</v>
      </c>
      <c r="CU659">
        <f t="shared" si="339"/>
        <v>1</v>
      </c>
    </row>
    <row r="660" spans="1:99">
      <c r="A660" t="str">
        <f>IF(包装物料出入库明细!$E660="","",包装物料出入库明细!$E660)</f>
        <v/>
      </c>
      <c r="B660">
        <f t="shared" si="323"/>
        <v>0</v>
      </c>
      <c r="C660">
        <f t="shared" si="324"/>
        <v>7</v>
      </c>
      <c r="D660" t="str">
        <f>IF(包装物料出入库明细!$E660="","",包装物料出入库明细!$F660)</f>
        <v/>
      </c>
      <c r="E660" t="str">
        <f>IF(包装物料出入库明细!$E660="","",包装物料出入库明细!$G660)</f>
        <v/>
      </c>
      <c r="K660" t="str">
        <f>IF(包装物料出入库明细!$D660="","",包装物料出入库明细!$D660)</f>
        <v/>
      </c>
      <c r="L660">
        <f t="shared" si="325"/>
        <v>0</v>
      </c>
      <c r="M660">
        <f t="shared" si="326"/>
        <v>9</v>
      </c>
      <c r="Q660" t="str">
        <f>IF(周转筐出入库明细!$D661="","",周转筐出入库明细!$D661)</f>
        <v/>
      </c>
      <c r="R660">
        <f t="shared" si="327"/>
        <v>0</v>
      </c>
      <c r="S660">
        <f t="shared" si="328"/>
        <v>5</v>
      </c>
      <c r="W660" t="str">
        <f>IF(周转筐出入库明细!$C661="","",周转筐出入库明细!$C661)</f>
        <v/>
      </c>
      <c r="X660">
        <f t="shared" si="329"/>
        <v>0</v>
      </c>
      <c r="Y660">
        <f t="shared" si="330"/>
        <v>12</v>
      </c>
      <c r="AC660" t="str">
        <f>IF(客户自备加工筐明细!$C660="","",客户自备加工筐明细!$C660)</f>
        <v/>
      </c>
      <c r="AD660">
        <f t="shared" si="331"/>
        <v>0</v>
      </c>
      <c r="AE660">
        <f t="shared" si="332"/>
        <v>1</v>
      </c>
      <c r="AI660" t="str">
        <f>IF(客户自备加工筐明细!$E660="","",客户自备加工筐明细!$E660)</f>
        <v/>
      </c>
      <c r="AJ660">
        <f t="shared" si="333"/>
        <v>0</v>
      </c>
      <c r="AK660">
        <f t="shared" si="334"/>
        <v>1</v>
      </c>
      <c r="BS660" t="str">
        <f t="shared" si="322"/>
        <v/>
      </c>
      <c r="BT660">
        <f t="shared" si="335"/>
        <v>0</v>
      </c>
      <c r="BU660">
        <f t="shared" si="336"/>
        <v>17</v>
      </c>
      <c r="CP660">
        <f>IF(包装物料出入库明细!$D660="",0,1)</f>
        <v>0</v>
      </c>
      <c r="CQ660">
        <f t="shared" si="337"/>
        <v>37</v>
      </c>
      <c r="CS660" t="str">
        <f>IF(OR(周转筐出入库明细!$C661="",周转筐出入库明细!$F661&lt;&gt;"采购入库"),"",周转筐出入库明细!$C661)</f>
        <v/>
      </c>
      <c r="CT660">
        <f t="shared" si="338"/>
        <v>0</v>
      </c>
      <c r="CU660">
        <f t="shared" si="339"/>
        <v>1</v>
      </c>
    </row>
    <row r="661" spans="1:99">
      <c r="A661" t="str">
        <f>IF(包装物料出入库明细!$E661="","",包装物料出入库明细!$E661)</f>
        <v/>
      </c>
      <c r="B661">
        <f t="shared" si="323"/>
        <v>0</v>
      </c>
      <c r="C661">
        <f t="shared" si="324"/>
        <v>7</v>
      </c>
      <c r="D661" t="str">
        <f>IF(包装物料出入库明细!$E661="","",包装物料出入库明细!$F661)</f>
        <v/>
      </c>
      <c r="E661" t="str">
        <f>IF(包装物料出入库明细!$E661="","",包装物料出入库明细!$G661)</f>
        <v/>
      </c>
      <c r="K661" t="str">
        <f>IF(包装物料出入库明细!$D661="","",包装物料出入库明细!$D661)</f>
        <v/>
      </c>
      <c r="L661">
        <f t="shared" si="325"/>
        <v>0</v>
      </c>
      <c r="M661">
        <f t="shared" si="326"/>
        <v>9</v>
      </c>
      <c r="Q661" t="str">
        <f>IF(周转筐出入库明细!$D662="","",周转筐出入库明细!$D662)</f>
        <v/>
      </c>
      <c r="R661">
        <f t="shared" si="327"/>
        <v>0</v>
      </c>
      <c r="S661">
        <f t="shared" si="328"/>
        <v>5</v>
      </c>
      <c r="W661" t="str">
        <f>IF(周转筐出入库明细!$C662="","",周转筐出入库明细!$C662)</f>
        <v/>
      </c>
      <c r="X661">
        <f t="shared" si="329"/>
        <v>0</v>
      </c>
      <c r="Y661">
        <f t="shared" si="330"/>
        <v>12</v>
      </c>
      <c r="AC661" t="str">
        <f>IF(客户自备加工筐明细!$C661="","",客户自备加工筐明细!$C661)</f>
        <v/>
      </c>
      <c r="AD661">
        <f t="shared" si="331"/>
        <v>0</v>
      </c>
      <c r="AE661">
        <f t="shared" si="332"/>
        <v>1</v>
      </c>
      <c r="AI661" t="str">
        <f>IF(客户自备加工筐明细!$E661="","",客户自备加工筐明细!$E661)</f>
        <v/>
      </c>
      <c r="AJ661">
        <f t="shared" si="333"/>
        <v>0</v>
      </c>
      <c r="AK661">
        <f t="shared" si="334"/>
        <v>1</v>
      </c>
      <c r="BS661" t="str">
        <f t="shared" si="322"/>
        <v/>
      </c>
      <c r="BT661">
        <f t="shared" si="335"/>
        <v>0</v>
      </c>
      <c r="BU661">
        <f t="shared" si="336"/>
        <v>17</v>
      </c>
      <c r="CP661">
        <f>IF(包装物料出入库明细!$D661="",0,1)</f>
        <v>0</v>
      </c>
      <c r="CQ661">
        <f t="shared" si="337"/>
        <v>37</v>
      </c>
      <c r="CS661" t="str">
        <f>IF(OR(周转筐出入库明细!$C662="",周转筐出入库明细!$F662&lt;&gt;"采购入库"),"",周转筐出入库明细!$C662)</f>
        <v/>
      </c>
      <c r="CT661">
        <f t="shared" si="338"/>
        <v>0</v>
      </c>
      <c r="CU661">
        <f t="shared" si="339"/>
        <v>1</v>
      </c>
    </row>
    <row r="662" spans="1:99">
      <c r="A662" t="str">
        <f>IF(包装物料出入库明细!$E662="","",包装物料出入库明细!$E662)</f>
        <v/>
      </c>
      <c r="B662">
        <f t="shared" si="323"/>
        <v>0</v>
      </c>
      <c r="C662">
        <f t="shared" si="324"/>
        <v>7</v>
      </c>
      <c r="D662" t="str">
        <f>IF(包装物料出入库明细!$E662="","",包装物料出入库明细!$F662)</f>
        <v/>
      </c>
      <c r="E662" t="str">
        <f>IF(包装物料出入库明细!$E662="","",包装物料出入库明细!$G662)</f>
        <v/>
      </c>
      <c r="K662" t="str">
        <f>IF(包装物料出入库明细!$D662="","",包装物料出入库明细!$D662)</f>
        <v/>
      </c>
      <c r="L662">
        <f t="shared" si="325"/>
        <v>0</v>
      </c>
      <c r="M662">
        <f t="shared" si="326"/>
        <v>9</v>
      </c>
      <c r="Q662" t="str">
        <f>IF(周转筐出入库明细!$D663="","",周转筐出入库明细!$D663)</f>
        <v/>
      </c>
      <c r="R662">
        <f t="shared" si="327"/>
        <v>0</v>
      </c>
      <c r="S662">
        <f t="shared" si="328"/>
        <v>5</v>
      </c>
      <c r="W662" t="str">
        <f>IF(周转筐出入库明细!$C663="","",周转筐出入库明细!$C663)</f>
        <v/>
      </c>
      <c r="X662">
        <f t="shared" si="329"/>
        <v>0</v>
      </c>
      <c r="Y662">
        <f t="shared" si="330"/>
        <v>12</v>
      </c>
      <c r="AC662" t="str">
        <f>IF(客户自备加工筐明细!$C662="","",客户自备加工筐明细!$C662)</f>
        <v/>
      </c>
      <c r="AD662">
        <f t="shared" si="331"/>
        <v>0</v>
      </c>
      <c r="AE662">
        <f t="shared" si="332"/>
        <v>1</v>
      </c>
      <c r="AI662" t="str">
        <f>IF(客户自备加工筐明细!$E662="","",客户自备加工筐明细!$E662)</f>
        <v/>
      </c>
      <c r="AJ662">
        <f t="shared" si="333"/>
        <v>0</v>
      </c>
      <c r="AK662">
        <f t="shared" si="334"/>
        <v>1</v>
      </c>
      <c r="BS662" t="str">
        <f t="shared" si="322"/>
        <v/>
      </c>
      <c r="BT662">
        <f t="shared" si="335"/>
        <v>0</v>
      </c>
      <c r="BU662">
        <f t="shared" si="336"/>
        <v>17</v>
      </c>
      <c r="CP662">
        <f>IF(包装物料出入库明细!$D662="",0,1)</f>
        <v>0</v>
      </c>
      <c r="CQ662">
        <f t="shared" si="337"/>
        <v>37</v>
      </c>
      <c r="CS662" t="str">
        <f>IF(OR(周转筐出入库明细!$C663="",周转筐出入库明细!$F663&lt;&gt;"采购入库"),"",周转筐出入库明细!$C663)</f>
        <v/>
      </c>
      <c r="CT662">
        <f t="shared" si="338"/>
        <v>0</v>
      </c>
      <c r="CU662">
        <f t="shared" si="339"/>
        <v>1</v>
      </c>
    </row>
    <row r="663" spans="1:99">
      <c r="A663" t="str">
        <f>IF(包装物料出入库明细!$E663="","",包装物料出入库明细!$E663)</f>
        <v/>
      </c>
      <c r="B663">
        <f t="shared" si="323"/>
        <v>0</v>
      </c>
      <c r="C663">
        <f t="shared" si="324"/>
        <v>7</v>
      </c>
      <c r="D663" t="str">
        <f>IF(包装物料出入库明细!$E663="","",包装物料出入库明细!$F663)</f>
        <v/>
      </c>
      <c r="E663" t="str">
        <f>IF(包装物料出入库明细!$E663="","",包装物料出入库明细!$G663)</f>
        <v/>
      </c>
      <c r="K663" t="str">
        <f>IF(包装物料出入库明细!$D663="","",包装物料出入库明细!$D663)</f>
        <v/>
      </c>
      <c r="L663">
        <f t="shared" si="325"/>
        <v>0</v>
      </c>
      <c r="M663">
        <f t="shared" si="326"/>
        <v>9</v>
      </c>
      <c r="Q663" t="str">
        <f>IF(周转筐出入库明细!$D664="","",周转筐出入库明细!$D664)</f>
        <v/>
      </c>
      <c r="R663">
        <f t="shared" si="327"/>
        <v>0</v>
      </c>
      <c r="S663">
        <f t="shared" si="328"/>
        <v>5</v>
      </c>
      <c r="W663" t="str">
        <f>IF(周转筐出入库明细!$C664="","",周转筐出入库明细!$C664)</f>
        <v/>
      </c>
      <c r="X663">
        <f t="shared" si="329"/>
        <v>0</v>
      </c>
      <c r="Y663">
        <f t="shared" si="330"/>
        <v>12</v>
      </c>
      <c r="AC663" t="str">
        <f>IF(客户自备加工筐明细!$C663="","",客户自备加工筐明细!$C663)</f>
        <v/>
      </c>
      <c r="AD663">
        <f t="shared" si="331"/>
        <v>0</v>
      </c>
      <c r="AE663">
        <f t="shared" si="332"/>
        <v>1</v>
      </c>
      <c r="AI663" t="str">
        <f>IF(客户自备加工筐明细!$E663="","",客户自备加工筐明细!$E663)</f>
        <v/>
      </c>
      <c r="AJ663">
        <f t="shared" si="333"/>
        <v>0</v>
      </c>
      <c r="AK663">
        <f t="shared" si="334"/>
        <v>1</v>
      </c>
      <c r="BS663" t="str">
        <f t="shared" si="322"/>
        <v/>
      </c>
      <c r="BT663">
        <f t="shared" si="335"/>
        <v>0</v>
      </c>
      <c r="BU663">
        <f t="shared" si="336"/>
        <v>17</v>
      </c>
      <c r="CP663">
        <f>IF(包装物料出入库明细!$D663="",0,1)</f>
        <v>0</v>
      </c>
      <c r="CQ663">
        <f t="shared" si="337"/>
        <v>37</v>
      </c>
      <c r="CS663" t="str">
        <f>IF(OR(周转筐出入库明细!$C664="",周转筐出入库明细!$F664&lt;&gt;"采购入库"),"",周转筐出入库明细!$C664)</f>
        <v/>
      </c>
      <c r="CT663">
        <f t="shared" si="338"/>
        <v>0</v>
      </c>
      <c r="CU663">
        <f t="shared" si="339"/>
        <v>1</v>
      </c>
    </row>
    <row r="664" spans="1:99">
      <c r="A664" t="str">
        <f>IF(包装物料出入库明细!$E664="","",包装物料出入库明细!$E664)</f>
        <v/>
      </c>
      <c r="B664">
        <f t="shared" si="323"/>
        <v>0</v>
      </c>
      <c r="C664">
        <f t="shared" si="324"/>
        <v>7</v>
      </c>
      <c r="D664" t="str">
        <f>IF(包装物料出入库明细!$E664="","",包装物料出入库明细!$F664)</f>
        <v/>
      </c>
      <c r="E664" t="str">
        <f>IF(包装物料出入库明细!$E664="","",包装物料出入库明细!$G664)</f>
        <v/>
      </c>
      <c r="K664" t="str">
        <f>IF(包装物料出入库明细!$D664="","",包装物料出入库明细!$D664)</f>
        <v/>
      </c>
      <c r="L664">
        <f t="shared" si="325"/>
        <v>0</v>
      </c>
      <c r="M664">
        <f t="shared" si="326"/>
        <v>9</v>
      </c>
      <c r="Q664" t="str">
        <f>IF(周转筐出入库明细!$D665="","",周转筐出入库明细!$D665)</f>
        <v/>
      </c>
      <c r="R664">
        <f t="shared" si="327"/>
        <v>0</v>
      </c>
      <c r="S664">
        <f t="shared" si="328"/>
        <v>5</v>
      </c>
      <c r="W664" t="str">
        <f>IF(周转筐出入库明细!$C665="","",周转筐出入库明细!$C665)</f>
        <v/>
      </c>
      <c r="X664">
        <f t="shared" si="329"/>
        <v>0</v>
      </c>
      <c r="Y664">
        <f t="shared" si="330"/>
        <v>12</v>
      </c>
      <c r="AC664" t="str">
        <f>IF(客户自备加工筐明细!$C664="","",客户自备加工筐明细!$C664)</f>
        <v/>
      </c>
      <c r="AD664">
        <f t="shared" si="331"/>
        <v>0</v>
      </c>
      <c r="AE664">
        <f t="shared" si="332"/>
        <v>1</v>
      </c>
      <c r="AI664" t="str">
        <f>IF(客户自备加工筐明细!$E664="","",客户自备加工筐明细!$E664)</f>
        <v/>
      </c>
      <c r="AJ664">
        <f t="shared" si="333"/>
        <v>0</v>
      </c>
      <c r="AK664">
        <f t="shared" si="334"/>
        <v>1</v>
      </c>
      <c r="BS664" t="str">
        <f t="shared" si="322"/>
        <v/>
      </c>
      <c r="BT664">
        <f t="shared" si="335"/>
        <v>0</v>
      </c>
      <c r="BU664">
        <f t="shared" si="336"/>
        <v>17</v>
      </c>
      <c r="CP664">
        <f>IF(包装物料出入库明细!$D664="",0,1)</f>
        <v>0</v>
      </c>
      <c r="CQ664">
        <f t="shared" si="337"/>
        <v>37</v>
      </c>
      <c r="CS664" t="str">
        <f>IF(OR(周转筐出入库明细!$C665="",周转筐出入库明细!$F665&lt;&gt;"采购入库"),"",周转筐出入库明细!$C665)</f>
        <v/>
      </c>
      <c r="CT664">
        <f t="shared" si="338"/>
        <v>0</v>
      </c>
      <c r="CU664">
        <f t="shared" si="339"/>
        <v>1</v>
      </c>
    </row>
    <row r="665" spans="1:99">
      <c r="A665" t="str">
        <f>IF(包装物料出入库明细!$E665="","",包装物料出入库明细!$E665)</f>
        <v/>
      </c>
      <c r="B665">
        <f t="shared" si="323"/>
        <v>0</v>
      </c>
      <c r="C665">
        <f t="shared" si="324"/>
        <v>7</v>
      </c>
      <c r="D665" t="str">
        <f>IF(包装物料出入库明细!$E665="","",包装物料出入库明细!$F665)</f>
        <v/>
      </c>
      <c r="E665" t="str">
        <f>IF(包装物料出入库明细!$E665="","",包装物料出入库明细!$G665)</f>
        <v/>
      </c>
      <c r="K665" t="str">
        <f>IF(包装物料出入库明细!$D665="","",包装物料出入库明细!$D665)</f>
        <v/>
      </c>
      <c r="L665">
        <f t="shared" si="325"/>
        <v>0</v>
      </c>
      <c r="M665">
        <f t="shared" si="326"/>
        <v>9</v>
      </c>
      <c r="Q665" t="str">
        <f>IF(周转筐出入库明细!$D666="","",周转筐出入库明细!$D666)</f>
        <v/>
      </c>
      <c r="R665">
        <f t="shared" si="327"/>
        <v>0</v>
      </c>
      <c r="S665">
        <f t="shared" si="328"/>
        <v>5</v>
      </c>
      <c r="W665" t="str">
        <f>IF(周转筐出入库明细!$C666="","",周转筐出入库明细!$C666)</f>
        <v/>
      </c>
      <c r="X665">
        <f t="shared" si="329"/>
        <v>0</v>
      </c>
      <c r="Y665">
        <f t="shared" si="330"/>
        <v>12</v>
      </c>
      <c r="AC665" t="str">
        <f>IF(客户自备加工筐明细!$C665="","",客户自备加工筐明细!$C665)</f>
        <v/>
      </c>
      <c r="AD665">
        <f t="shared" si="331"/>
        <v>0</v>
      </c>
      <c r="AE665">
        <f t="shared" si="332"/>
        <v>1</v>
      </c>
      <c r="AI665" t="str">
        <f>IF(客户自备加工筐明细!$E665="","",客户自备加工筐明细!$E665)</f>
        <v/>
      </c>
      <c r="AJ665">
        <f t="shared" si="333"/>
        <v>0</v>
      </c>
      <c r="AK665">
        <f t="shared" si="334"/>
        <v>1</v>
      </c>
      <c r="BS665" t="str">
        <f t="shared" si="322"/>
        <v/>
      </c>
      <c r="BT665">
        <f t="shared" si="335"/>
        <v>0</v>
      </c>
      <c r="BU665">
        <f t="shared" si="336"/>
        <v>17</v>
      </c>
      <c r="CP665">
        <f>IF(包装物料出入库明细!$D665="",0,1)</f>
        <v>0</v>
      </c>
      <c r="CQ665">
        <f t="shared" si="337"/>
        <v>37</v>
      </c>
      <c r="CS665" t="str">
        <f>IF(OR(周转筐出入库明细!$C666="",周转筐出入库明细!$F666&lt;&gt;"采购入库"),"",周转筐出入库明细!$C666)</f>
        <v/>
      </c>
      <c r="CT665">
        <f t="shared" si="338"/>
        <v>0</v>
      </c>
      <c r="CU665">
        <f t="shared" si="339"/>
        <v>1</v>
      </c>
    </row>
    <row r="666" spans="1:99">
      <c r="A666" t="str">
        <f>IF(包装物料出入库明细!$E666="","",包装物料出入库明细!$E666)</f>
        <v/>
      </c>
      <c r="B666">
        <f t="shared" si="323"/>
        <v>0</v>
      </c>
      <c r="C666">
        <f t="shared" si="324"/>
        <v>7</v>
      </c>
      <c r="D666" t="str">
        <f>IF(包装物料出入库明细!$E666="","",包装物料出入库明细!$F666)</f>
        <v/>
      </c>
      <c r="E666" t="str">
        <f>IF(包装物料出入库明细!$E666="","",包装物料出入库明细!$G666)</f>
        <v/>
      </c>
      <c r="K666" t="str">
        <f>IF(包装物料出入库明细!$D666="","",包装物料出入库明细!$D666)</f>
        <v/>
      </c>
      <c r="L666">
        <f t="shared" si="325"/>
        <v>0</v>
      </c>
      <c r="M666">
        <f t="shared" si="326"/>
        <v>9</v>
      </c>
      <c r="Q666" t="str">
        <f>IF(周转筐出入库明细!$D667="","",周转筐出入库明细!$D667)</f>
        <v/>
      </c>
      <c r="R666">
        <f t="shared" si="327"/>
        <v>0</v>
      </c>
      <c r="S666">
        <f t="shared" si="328"/>
        <v>5</v>
      </c>
      <c r="W666" t="str">
        <f>IF(周转筐出入库明细!$C667="","",周转筐出入库明细!$C667)</f>
        <v/>
      </c>
      <c r="X666">
        <f t="shared" si="329"/>
        <v>0</v>
      </c>
      <c r="Y666">
        <f t="shared" si="330"/>
        <v>12</v>
      </c>
      <c r="AC666" t="str">
        <f>IF(客户自备加工筐明细!$C666="","",客户自备加工筐明细!$C666)</f>
        <v/>
      </c>
      <c r="AD666">
        <f t="shared" si="331"/>
        <v>0</v>
      </c>
      <c r="AE666">
        <f t="shared" si="332"/>
        <v>1</v>
      </c>
      <c r="AI666" t="str">
        <f>IF(客户自备加工筐明细!$E666="","",客户自备加工筐明细!$E666)</f>
        <v/>
      </c>
      <c r="AJ666">
        <f t="shared" si="333"/>
        <v>0</v>
      </c>
      <c r="AK666">
        <f t="shared" si="334"/>
        <v>1</v>
      </c>
      <c r="BS666" t="str">
        <f t="shared" si="322"/>
        <v/>
      </c>
      <c r="BT666">
        <f t="shared" si="335"/>
        <v>0</v>
      </c>
      <c r="BU666">
        <f t="shared" si="336"/>
        <v>17</v>
      </c>
      <c r="CP666">
        <f>IF(包装物料出入库明细!$D666="",0,1)</f>
        <v>0</v>
      </c>
      <c r="CQ666">
        <f t="shared" si="337"/>
        <v>37</v>
      </c>
      <c r="CS666" t="str">
        <f>IF(OR(周转筐出入库明细!$C667="",周转筐出入库明细!$F667&lt;&gt;"采购入库"),"",周转筐出入库明细!$C667)</f>
        <v/>
      </c>
      <c r="CT666">
        <f t="shared" si="338"/>
        <v>0</v>
      </c>
      <c r="CU666">
        <f t="shared" si="339"/>
        <v>1</v>
      </c>
    </row>
    <row r="667" spans="1:99">
      <c r="A667" t="str">
        <f>IF(包装物料出入库明细!$E667="","",包装物料出入库明细!$E667)</f>
        <v/>
      </c>
      <c r="B667">
        <f t="shared" si="323"/>
        <v>0</v>
      </c>
      <c r="C667">
        <f t="shared" si="324"/>
        <v>7</v>
      </c>
      <c r="D667" t="str">
        <f>IF(包装物料出入库明细!$E667="","",包装物料出入库明细!$F667)</f>
        <v/>
      </c>
      <c r="E667" t="str">
        <f>IF(包装物料出入库明细!$E667="","",包装物料出入库明细!$G667)</f>
        <v/>
      </c>
      <c r="K667" t="str">
        <f>IF(包装物料出入库明细!$D667="","",包装物料出入库明细!$D667)</f>
        <v/>
      </c>
      <c r="L667">
        <f t="shared" si="325"/>
        <v>0</v>
      </c>
      <c r="M667">
        <f t="shared" si="326"/>
        <v>9</v>
      </c>
      <c r="Q667" t="str">
        <f>IF(周转筐出入库明细!$D668="","",周转筐出入库明细!$D668)</f>
        <v/>
      </c>
      <c r="R667">
        <f t="shared" si="327"/>
        <v>0</v>
      </c>
      <c r="S667">
        <f t="shared" si="328"/>
        <v>5</v>
      </c>
      <c r="W667" t="str">
        <f>IF(周转筐出入库明细!$C668="","",周转筐出入库明细!$C668)</f>
        <v/>
      </c>
      <c r="X667">
        <f t="shared" si="329"/>
        <v>0</v>
      </c>
      <c r="Y667">
        <f t="shared" si="330"/>
        <v>12</v>
      </c>
      <c r="AC667" t="str">
        <f>IF(客户自备加工筐明细!$C667="","",客户自备加工筐明细!$C667)</f>
        <v/>
      </c>
      <c r="AD667">
        <f t="shared" si="331"/>
        <v>0</v>
      </c>
      <c r="AE667">
        <f t="shared" si="332"/>
        <v>1</v>
      </c>
      <c r="AI667" t="str">
        <f>IF(客户自备加工筐明细!$E667="","",客户自备加工筐明细!$E667)</f>
        <v/>
      </c>
      <c r="AJ667">
        <f t="shared" si="333"/>
        <v>0</v>
      </c>
      <c r="AK667">
        <f t="shared" si="334"/>
        <v>1</v>
      </c>
      <c r="BS667" t="str">
        <f t="shared" si="322"/>
        <v/>
      </c>
      <c r="BT667">
        <f t="shared" si="335"/>
        <v>0</v>
      </c>
      <c r="BU667">
        <f t="shared" si="336"/>
        <v>17</v>
      </c>
      <c r="CP667">
        <f>IF(包装物料出入库明细!$D667="",0,1)</f>
        <v>0</v>
      </c>
      <c r="CQ667">
        <f t="shared" si="337"/>
        <v>37</v>
      </c>
      <c r="CS667" t="str">
        <f>IF(OR(周转筐出入库明细!$C668="",周转筐出入库明细!$F668&lt;&gt;"采购入库"),"",周转筐出入库明细!$C668)</f>
        <v/>
      </c>
      <c r="CT667">
        <f t="shared" si="338"/>
        <v>0</v>
      </c>
      <c r="CU667">
        <f t="shared" si="339"/>
        <v>1</v>
      </c>
    </row>
    <row r="668" spans="1:99">
      <c r="A668" t="str">
        <f>IF(包装物料出入库明细!$E668="","",包装物料出入库明细!$E668)</f>
        <v/>
      </c>
      <c r="B668">
        <f t="shared" si="323"/>
        <v>0</v>
      </c>
      <c r="C668">
        <f t="shared" si="324"/>
        <v>7</v>
      </c>
      <c r="D668" t="str">
        <f>IF(包装物料出入库明细!$E668="","",包装物料出入库明细!$F668)</f>
        <v/>
      </c>
      <c r="E668" t="str">
        <f>IF(包装物料出入库明细!$E668="","",包装物料出入库明细!$G668)</f>
        <v/>
      </c>
      <c r="K668" t="str">
        <f>IF(包装物料出入库明细!$D668="","",包装物料出入库明细!$D668)</f>
        <v/>
      </c>
      <c r="L668">
        <f t="shared" si="325"/>
        <v>0</v>
      </c>
      <c r="M668">
        <f t="shared" si="326"/>
        <v>9</v>
      </c>
      <c r="Q668" t="str">
        <f>IF(周转筐出入库明细!$D669="","",周转筐出入库明细!$D669)</f>
        <v/>
      </c>
      <c r="R668">
        <f t="shared" si="327"/>
        <v>0</v>
      </c>
      <c r="S668">
        <f t="shared" si="328"/>
        <v>5</v>
      </c>
      <c r="W668" t="str">
        <f>IF(周转筐出入库明细!$C669="","",周转筐出入库明细!$C669)</f>
        <v/>
      </c>
      <c r="X668">
        <f t="shared" si="329"/>
        <v>0</v>
      </c>
      <c r="Y668">
        <f t="shared" si="330"/>
        <v>12</v>
      </c>
      <c r="AC668" t="str">
        <f>IF(客户自备加工筐明细!$C668="","",客户自备加工筐明细!$C668)</f>
        <v/>
      </c>
      <c r="AD668">
        <f t="shared" si="331"/>
        <v>0</v>
      </c>
      <c r="AE668">
        <f t="shared" si="332"/>
        <v>1</v>
      </c>
      <c r="AI668" t="str">
        <f>IF(客户自备加工筐明细!$E668="","",客户自备加工筐明细!$E668)</f>
        <v/>
      </c>
      <c r="AJ668">
        <f t="shared" si="333"/>
        <v>0</v>
      </c>
      <c r="AK668">
        <f t="shared" si="334"/>
        <v>1</v>
      </c>
      <c r="BS668" t="str">
        <f t="shared" ref="BS668:BS731" si="340">IF($AY68="","",$AY68)</f>
        <v/>
      </c>
      <c r="BT668">
        <f t="shared" si="335"/>
        <v>0</v>
      </c>
      <c r="BU668">
        <f t="shared" si="336"/>
        <v>17</v>
      </c>
      <c r="CP668">
        <f>IF(包装物料出入库明细!$D668="",0,1)</f>
        <v>0</v>
      </c>
      <c r="CQ668">
        <f t="shared" si="337"/>
        <v>37</v>
      </c>
      <c r="CS668" t="str">
        <f>IF(OR(周转筐出入库明细!$C669="",周转筐出入库明细!$F669&lt;&gt;"采购入库"),"",周转筐出入库明细!$C669)</f>
        <v/>
      </c>
      <c r="CT668">
        <f t="shared" si="338"/>
        <v>0</v>
      </c>
      <c r="CU668">
        <f t="shared" si="339"/>
        <v>1</v>
      </c>
    </row>
    <row r="669" spans="1:99">
      <c r="A669" t="str">
        <f>IF(包装物料出入库明细!$E669="","",包装物料出入库明细!$E669)</f>
        <v/>
      </c>
      <c r="B669">
        <f t="shared" si="323"/>
        <v>0</v>
      </c>
      <c r="C669">
        <f t="shared" si="324"/>
        <v>7</v>
      </c>
      <c r="D669" t="str">
        <f>IF(包装物料出入库明细!$E669="","",包装物料出入库明细!$F669)</f>
        <v/>
      </c>
      <c r="E669" t="str">
        <f>IF(包装物料出入库明细!$E669="","",包装物料出入库明细!$G669)</f>
        <v/>
      </c>
      <c r="K669" t="str">
        <f>IF(包装物料出入库明细!$D669="","",包装物料出入库明细!$D669)</f>
        <v/>
      </c>
      <c r="L669">
        <f t="shared" si="325"/>
        <v>0</v>
      </c>
      <c r="M669">
        <f t="shared" si="326"/>
        <v>9</v>
      </c>
      <c r="Q669" t="str">
        <f>IF(周转筐出入库明细!$D670="","",周转筐出入库明细!$D670)</f>
        <v/>
      </c>
      <c r="R669">
        <f t="shared" si="327"/>
        <v>0</v>
      </c>
      <c r="S669">
        <f t="shared" si="328"/>
        <v>5</v>
      </c>
      <c r="W669" t="str">
        <f>IF(周转筐出入库明细!$C670="","",周转筐出入库明细!$C670)</f>
        <v/>
      </c>
      <c r="X669">
        <f t="shared" si="329"/>
        <v>0</v>
      </c>
      <c r="Y669">
        <f t="shared" si="330"/>
        <v>12</v>
      </c>
      <c r="AC669" t="str">
        <f>IF(客户自备加工筐明细!$C669="","",客户自备加工筐明细!$C669)</f>
        <v/>
      </c>
      <c r="AD669">
        <f t="shared" si="331"/>
        <v>0</v>
      </c>
      <c r="AE669">
        <f t="shared" si="332"/>
        <v>1</v>
      </c>
      <c r="AI669" t="str">
        <f>IF(客户自备加工筐明细!$E669="","",客户自备加工筐明细!$E669)</f>
        <v/>
      </c>
      <c r="AJ669">
        <f t="shared" si="333"/>
        <v>0</v>
      </c>
      <c r="AK669">
        <f t="shared" si="334"/>
        <v>1</v>
      </c>
      <c r="BS669" t="str">
        <f t="shared" si="340"/>
        <v/>
      </c>
      <c r="BT669">
        <f t="shared" si="335"/>
        <v>0</v>
      </c>
      <c r="BU669">
        <f t="shared" si="336"/>
        <v>17</v>
      </c>
      <c r="CP669">
        <f>IF(包装物料出入库明细!$D669="",0,1)</f>
        <v>0</v>
      </c>
      <c r="CQ669">
        <f t="shared" si="337"/>
        <v>37</v>
      </c>
      <c r="CS669" t="str">
        <f>IF(OR(周转筐出入库明细!$C670="",周转筐出入库明细!$F670&lt;&gt;"采购入库"),"",周转筐出入库明细!$C670)</f>
        <v/>
      </c>
      <c r="CT669">
        <f t="shared" si="338"/>
        <v>0</v>
      </c>
      <c r="CU669">
        <f t="shared" si="339"/>
        <v>1</v>
      </c>
    </row>
    <row r="670" spans="1:99">
      <c r="A670" t="str">
        <f>IF(包装物料出入库明细!$E670="","",包装物料出入库明细!$E670)</f>
        <v/>
      </c>
      <c r="B670">
        <f t="shared" si="323"/>
        <v>0</v>
      </c>
      <c r="C670">
        <f t="shared" si="324"/>
        <v>7</v>
      </c>
      <c r="D670" t="str">
        <f>IF(包装物料出入库明细!$E670="","",包装物料出入库明细!$F670)</f>
        <v/>
      </c>
      <c r="E670" t="str">
        <f>IF(包装物料出入库明细!$E670="","",包装物料出入库明细!$G670)</f>
        <v/>
      </c>
      <c r="K670" t="str">
        <f>IF(包装物料出入库明细!$D670="","",包装物料出入库明细!$D670)</f>
        <v/>
      </c>
      <c r="L670">
        <f t="shared" si="325"/>
        <v>0</v>
      </c>
      <c r="M670">
        <f t="shared" si="326"/>
        <v>9</v>
      </c>
      <c r="Q670" t="str">
        <f>IF(周转筐出入库明细!$D671="","",周转筐出入库明细!$D671)</f>
        <v/>
      </c>
      <c r="R670">
        <f t="shared" si="327"/>
        <v>0</v>
      </c>
      <c r="S670">
        <f t="shared" si="328"/>
        <v>5</v>
      </c>
      <c r="W670" t="str">
        <f>IF(周转筐出入库明细!$C671="","",周转筐出入库明细!$C671)</f>
        <v/>
      </c>
      <c r="X670">
        <f t="shared" si="329"/>
        <v>0</v>
      </c>
      <c r="Y670">
        <f t="shared" si="330"/>
        <v>12</v>
      </c>
      <c r="AC670" t="str">
        <f>IF(客户自备加工筐明细!$C670="","",客户自备加工筐明细!$C670)</f>
        <v/>
      </c>
      <c r="AD670">
        <f t="shared" si="331"/>
        <v>0</v>
      </c>
      <c r="AE670">
        <f t="shared" si="332"/>
        <v>1</v>
      </c>
      <c r="AI670" t="str">
        <f>IF(客户自备加工筐明细!$E670="","",客户自备加工筐明细!$E670)</f>
        <v/>
      </c>
      <c r="AJ670">
        <f t="shared" si="333"/>
        <v>0</v>
      </c>
      <c r="AK670">
        <f t="shared" si="334"/>
        <v>1</v>
      </c>
      <c r="BS670" t="str">
        <f t="shared" si="340"/>
        <v/>
      </c>
      <c r="BT670">
        <f t="shared" si="335"/>
        <v>0</v>
      </c>
      <c r="BU670">
        <f t="shared" si="336"/>
        <v>17</v>
      </c>
      <c r="CP670">
        <f>IF(包装物料出入库明细!$D670="",0,1)</f>
        <v>0</v>
      </c>
      <c r="CQ670">
        <f t="shared" si="337"/>
        <v>37</v>
      </c>
      <c r="CS670" t="str">
        <f>IF(OR(周转筐出入库明细!$C671="",周转筐出入库明细!$F671&lt;&gt;"采购入库"),"",周转筐出入库明细!$C671)</f>
        <v/>
      </c>
      <c r="CT670">
        <f t="shared" si="338"/>
        <v>0</v>
      </c>
      <c r="CU670">
        <f t="shared" si="339"/>
        <v>1</v>
      </c>
    </row>
    <row r="671" spans="1:99">
      <c r="A671" t="str">
        <f>IF(包装物料出入库明细!$E671="","",包装物料出入库明细!$E671)</f>
        <v/>
      </c>
      <c r="B671">
        <f t="shared" si="323"/>
        <v>0</v>
      </c>
      <c r="C671">
        <f t="shared" si="324"/>
        <v>7</v>
      </c>
      <c r="D671" t="str">
        <f>IF(包装物料出入库明细!$E671="","",包装物料出入库明细!$F671)</f>
        <v/>
      </c>
      <c r="E671" t="str">
        <f>IF(包装物料出入库明细!$E671="","",包装物料出入库明细!$G671)</f>
        <v/>
      </c>
      <c r="K671" t="str">
        <f>IF(包装物料出入库明细!$D671="","",包装物料出入库明细!$D671)</f>
        <v/>
      </c>
      <c r="L671">
        <f t="shared" si="325"/>
        <v>0</v>
      </c>
      <c r="M671">
        <f t="shared" si="326"/>
        <v>9</v>
      </c>
      <c r="Q671" t="str">
        <f>IF(周转筐出入库明细!$D672="","",周转筐出入库明细!$D672)</f>
        <v/>
      </c>
      <c r="R671">
        <f t="shared" si="327"/>
        <v>0</v>
      </c>
      <c r="S671">
        <f t="shared" si="328"/>
        <v>5</v>
      </c>
      <c r="W671" t="str">
        <f>IF(周转筐出入库明细!$C672="","",周转筐出入库明细!$C672)</f>
        <v/>
      </c>
      <c r="X671">
        <f t="shared" si="329"/>
        <v>0</v>
      </c>
      <c r="Y671">
        <f t="shared" si="330"/>
        <v>12</v>
      </c>
      <c r="AC671" t="str">
        <f>IF(客户自备加工筐明细!$C671="","",客户自备加工筐明细!$C671)</f>
        <v/>
      </c>
      <c r="AD671">
        <f t="shared" si="331"/>
        <v>0</v>
      </c>
      <c r="AE671">
        <f t="shared" si="332"/>
        <v>1</v>
      </c>
      <c r="AI671" t="str">
        <f>IF(客户自备加工筐明细!$E671="","",客户自备加工筐明细!$E671)</f>
        <v/>
      </c>
      <c r="AJ671">
        <f t="shared" si="333"/>
        <v>0</v>
      </c>
      <c r="AK671">
        <f t="shared" si="334"/>
        <v>1</v>
      </c>
      <c r="BS671" t="str">
        <f t="shared" si="340"/>
        <v/>
      </c>
      <c r="BT671">
        <f t="shared" si="335"/>
        <v>0</v>
      </c>
      <c r="BU671">
        <f t="shared" si="336"/>
        <v>17</v>
      </c>
      <c r="CP671">
        <f>IF(包装物料出入库明细!$D671="",0,1)</f>
        <v>0</v>
      </c>
      <c r="CQ671">
        <f t="shared" si="337"/>
        <v>37</v>
      </c>
      <c r="CS671" t="str">
        <f>IF(OR(周转筐出入库明细!$C672="",周转筐出入库明细!$F672&lt;&gt;"采购入库"),"",周转筐出入库明细!$C672)</f>
        <v/>
      </c>
      <c r="CT671">
        <f t="shared" si="338"/>
        <v>0</v>
      </c>
      <c r="CU671">
        <f t="shared" si="339"/>
        <v>1</v>
      </c>
    </row>
    <row r="672" spans="1:99">
      <c r="A672" t="str">
        <f>IF(包装物料出入库明细!$E672="","",包装物料出入库明细!$E672)</f>
        <v/>
      </c>
      <c r="B672">
        <f t="shared" si="323"/>
        <v>0</v>
      </c>
      <c r="C672">
        <f t="shared" si="324"/>
        <v>7</v>
      </c>
      <c r="D672" t="str">
        <f>IF(包装物料出入库明细!$E672="","",包装物料出入库明细!$F672)</f>
        <v/>
      </c>
      <c r="E672" t="str">
        <f>IF(包装物料出入库明细!$E672="","",包装物料出入库明细!$G672)</f>
        <v/>
      </c>
      <c r="K672" t="str">
        <f>IF(包装物料出入库明细!$D672="","",包装物料出入库明细!$D672)</f>
        <v/>
      </c>
      <c r="L672">
        <f t="shared" si="325"/>
        <v>0</v>
      </c>
      <c r="M672">
        <f t="shared" si="326"/>
        <v>9</v>
      </c>
      <c r="Q672" t="str">
        <f>IF(周转筐出入库明细!$D673="","",周转筐出入库明细!$D673)</f>
        <v/>
      </c>
      <c r="R672">
        <f t="shared" si="327"/>
        <v>0</v>
      </c>
      <c r="S672">
        <f t="shared" si="328"/>
        <v>5</v>
      </c>
      <c r="W672" t="str">
        <f>IF(周转筐出入库明细!$C673="","",周转筐出入库明细!$C673)</f>
        <v/>
      </c>
      <c r="X672">
        <f t="shared" si="329"/>
        <v>0</v>
      </c>
      <c r="Y672">
        <f t="shared" si="330"/>
        <v>12</v>
      </c>
      <c r="AC672" t="str">
        <f>IF(客户自备加工筐明细!$C672="","",客户自备加工筐明细!$C672)</f>
        <v/>
      </c>
      <c r="AD672">
        <f t="shared" si="331"/>
        <v>0</v>
      </c>
      <c r="AE672">
        <f t="shared" si="332"/>
        <v>1</v>
      </c>
      <c r="AI672" t="str">
        <f>IF(客户自备加工筐明细!$E672="","",客户自备加工筐明细!$E672)</f>
        <v/>
      </c>
      <c r="AJ672">
        <f t="shared" si="333"/>
        <v>0</v>
      </c>
      <c r="AK672">
        <f t="shared" si="334"/>
        <v>1</v>
      </c>
      <c r="BS672" t="str">
        <f t="shared" si="340"/>
        <v/>
      </c>
      <c r="BT672">
        <f t="shared" si="335"/>
        <v>0</v>
      </c>
      <c r="BU672">
        <f t="shared" si="336"/>
        <v>17</v>
      </c>
      <c r="CP672">
        <f>IF(包装物料出入库明细!$D672="",0,1)</f>
        <v>0</v>
      </c>
      <c r="CQ672">
        <f t="shared" si="337"/>
        <v>37</v>
      </c>
      <c r="CS672" t="str">
        <f>IF(OR(周转筐出入库明细!$C673="",周转筐出入库明细!$F673&lt;&gt;"采购入库"),"",周转筐出入库明细!$C673)</f>
        <v/>
      </c>
      <c r="CT672">
        <f t="shared" si="338"/>
        <v>0</v>
      </c>
      <c r="CU672">
        <f t="shared" si="339"/>
        <v>1</v>
      </c>
    </row>
    <row r="673" spans="1:99">
      <c r="A673" t="str">
        <f>IF(包装物料出入库明细!$E673="","",包装物料出入库明细!$E673)</f>
        <v/>
      </c>
      <c r="B673">
        <f t="shared" si="323"/>
        <v>0</v>
      </c>
      <c r="C673">
        <f t="shared" si="324"/>
        <v>7</v>
      </c>
      <c r="D673" t="str">
        <f>IF(包装物料出入库明细!$E673="","",包装物料出入库明细!$F673)</f>
        <v/>
      </c>
      <c r="E673" t="str">
        <f>IF(包装物料出入库明细!$E673="","",包装物料出入库明细!$G673)</f>
        <v/>
      </c>
      <c r="K673" t="str">
        <f>IF(包装物料出入库明细!$D673="","",包装物料出入库明细!$D673)</f>
        <v/>
      </c>
      <c r="L673">
        <f t="shared" si="325"/>
        <v>0</v>
      </c>
      <c r="M673">
        <f t="shared" si="326"/>
        <v>9</v>
      </c>
      <c r="Q673" t="str">
        <f>IF(周转筐出入库明细!$D674="","",周转筐出入库明细!$D674)</f>
        <v/>
      </c>
      <c r="R673">
        <f t="shared" si="327"/>
        <v>0</v>
      </c>
      <c r="S673">
        <f t="shared" si="328"/>
        <v>5</v>
      </c>
      <c r="W673" t="str">
        <f>IF(周转筐出入库明细!$C674="","",周转筐出入库明细!$C674)</f>
        <v/>
      </c>
      <c r="X673">
        <f t="shared" si="329"/>
        <v>0</v>
      </c>
      <c r="Y673">
        <f t="shared" si="330"/>
        <v>12</v>
      </c>
      <c r="AC673" t="str">
        <f>IF(客户自备加工筐明细!$C673="","",客户自备加工筐明细!$C673)</f>
        <v/>
      </c>
      <c r="AD673">
        <f t="shared" si="331"/>
        <v>0</v>
      </c>
      <c r="AE673">
        <f t="shared" si="332"/>
        <v>1</v>
      </c>
      <c r="AI673" t="str">
        <f>IF(客户自备加工筐明细!$E673="","",客户自备加工筐明细!$E673)</f>
        <v/>
      </c>
      <c r="AJ673">
        <f t="shared" si="333"/>
        <v>0</v>
      </c>
      <c r="AK673">
        <f t="shared" si="334"/>
        <v>1</v>
      </c>
      <c r="BS673" t="str">
        <f t="shared" si="340"/>
        <v/>
      </c>
      <c r="BT673">
        <f t="shared" si="335"/>
        <v>0</v>
      </c>
      <c r="BU673">
        <f t="shared" si="336"/>
        <v>17</v>
      </c>
      <c r="CP673">
        <f>IF(包装物料出入库明细!$D673="",0,1)</f>
        <v>0</v>
      </c>
      <c r="CQ673">
        <f t="shared" si="337"/>
        <v>37</v>
      </c>
      <c r="CS673" t="str">
        <f>IF(OR(周转筐出入库明细!$C674="",周转筐出入库明细!$F674&lt;&gt;"采购入库"),"",周转筐出入库明细!$C674)</f>
        <v/>
      </c>
      <c r="CT673">
        <f t="shared" si="338"/>
        <v>0</v>
      </c>
      <c r="CU673">
        <f t="shared" si="339"/>
        <v>1</v>
      </c>
    </row>
    <row r="674" spans="1:99">
      <c r="A674" t="str">
        <f>IF(包装物料出入库明细!$E674="","",包装物料出入库明细!$E674)</f>
        <v/>
      </c>
      <c r="B674">
        <f t="shared" si="323"/>
        <v>0</v>
      </c>
      <c r="C674">
        <f t="shared" si="324"/>
        <v>7</v>
      </c>
      <c r="D674" t="str">
        <f>IF(包装物料出入库明细!$E674="","",包装物料出入库明细!$F674)</f>
        <v/>
      </c>
      <c r="E674" t="str">
        <f>IF(包装物料出入库明细!$E674="","",包装物料出入库明细!$G674)</f>
        <v/>
      </c>
      <c r="K674" t="str">
        <f>IF(包装物料出入库明细!$D674="","",包装物料出入库明细!$D674)</f>
        <v/>
      </c>
      <c r="L674">
        <f t="shared" si="325"/>
        <v>0</v>
      </c>
      <c r="M674">
        <f t="shared" si="326"/>
        <v>9</v>
      </c>
      <c r="Q674" t="str">
        <f>IF(周转筐出入库明细!$D675="","",周转筐出入库明细!$D675)</f>
        <v/>
      </c>
      <c r="R674">
        <f t="shared" si="327"/>
        <v>0</v>
      </c>
      <c r="S674">
        <f t="shared" si="328"/>
        <v>5</v>
      </c>
      <c r="W674" t="str">
        <f>IF(周转筐出入库明细!$C675="","",周转筐出入库明细!$C675)</f>
        <v/>
      </c>
      <c r="X674">
        <f t="shared" si="329"/>
        <v>0</v>
      </c>
      <c r="Y674">
        <f t="shared" si="330"/>
        <v>12</v>
      </c>
      <c r="AC674" t="str">
        <f>IF(客户自备加工筐明细!$C674="","",客户自备加工筐明细!$C674)</f>
        <v/>
      </c>
      <c r="AD674">
        <f t="shared" si="331"/>
        <v>0</v>
      </c>
      <c r="AE674">
        <f t="shared" si="332"/>
        <v>1</v>
      </c>
      <c r="AI674" t="str">
        <f>IF(客户自备加工筐明细!$E674="","",客户自备加工筐明细!$E674)</f>
        <v/>
      </c>
      <c r="AJ674">
        <f t="shared" si="333"/>
        <v>0</v>
      </c>
      <c r="AK674">
        <f t="shared" si="334"/>
        <v>1</v>
      </c>
      <c r="BS674" t="str">
        <f t="shared" si="340"/>
        <v/>
      </c>
      <c r="BT674">
        <f t="shared" si="335"/>
        <v>0</v>
      </c>
      <c r="BU674">
        <f t="shared" si="336"/>
        <v>17</v>
      </c>
      <c r="CP674">
        <f>IF(包装物料出入库明细!$D674="",0,1)</f>
        <v>0</v>
      </c>
      <c r="CQ674">
        <f t="shared" si="337"/>
        <v>37</v>
      </c>
      <c r="CS674" t="str">
        <f>IF(OR(周转筐出入库明细!$C675="",周转筐出入库明细!$F675&lt;&gt;"采购入库"),"",周转筐出入库明细!$C675)</f>
        <v/>
      </c>
      <c r="CT674">
        <f t="shared" si="338"/>
        <v>0</v>
      </c>
      <c r="CU674">
        <f t="shared" si="339"/>
        <v>1</v>
      </c>
    </row>
    <row r="675" spans="1:99">
      <c r="A675" t="str">
        <f>IF(包装物料出入库明细!$E675="","",包装物料出入库明细!$E675)</f>
        <v/>
      </c>
      <c r="B675">
        <f t="shared" si="323"/>
        <v>0</v>
      </c>
      <c r="C675">
        <f t="shared" si="324"/>
        <v>7</v>
      </c>
      <c r="D675" t="str">
        <f>IF(包装物料出入库明细!$E675="","",包装物料出入库明细!$F675)</f>
        <v/>
      </c>
      <c r="E675" t="str">
        <f>IF(包装物料出入库明细!$E675="","",包装物料出入库明细!$G675)</f>
        <v/>
      </c>
      <c r="K675" t="str">
        <f>IF(包装物料出入库明细!$D675="","",包装物料出入库明细!$D675)</f>
        <v/>
      </c>
      <c r="L675">
        <f t="shared" si="325"/>
        <v>0</v>
      </c>
      <c r="M675">
        <f t="shared" si="326"/>
        <v>9</v>
      </c>
      <c r="Q675" t="str">
        <f>IF(周转筐出入库明细!$D676="","",周转筐出入库明细!$D676)</f>
        <v/>
      </c>
      <c r="R675">
        <f t="shared" si="327"/>
        <v>0</v>
      </c>
      <c r="S675">
        <f t="shared" si="328"/>
        <v>5</v>
      </c>
      <c r="W675" t="str">
        <f>IF(周转筐出入库明细!$C676="","",周转筐出入库明细!$C676)</f>
        <v/>
      </c>
      <c r="X675">
        <f t="shared" si="329"/>
        <v>0</v>
      </c>
      <c r="Y675">
        <f t="shared" si="330"/>
        <v>12</v>
      </c>
      <c r="AC675" t="str">
        <f>IF(客户自备加工筐明细!$C675="","",客户自备加工筐明细!$C675)</f>
        <v/>
      </c>
      <c r="AD675">
        <f t="shared" si="331"/>
        <v>0</v>
      </c>
      <c r="AE675">
        <f t="shared" si="332"/>
        <v>1</v>
      </c>
      <c r="AI675" t="str">
        <f>IF(客户自备加工筐明细!$E675="","",客户自备加工筐明细!$E675)</f>
        <v/>
      </c>
      <c r="AJ675">
        <f t="shared" si="333"/>
        <v>0</v>
      </c>
      <c r="AK675">
        <f t="shared" si="334"/>
        <v>1</v>
      </c>
      <c r="BS675" t="str">
        <f t="shared" si="340"/>
        <v/>
      </c>
      <c r="BT675">
        <f t="shared" si="335"/>
        <v>0</v>
      </c>
      <c r="BU675">
        <f t="shared" si="336"/>
        <v>17</v>
      </c>
      <c r="CP675">
        <f>IF(包装物料出入库明细!$D675="",0,1)</f>
        <v>0</v>
      </c>
      <c r="CQ675">
        <f t="shared" si="337"/>
        <v>37</v>
      </c>
      <c r="CS675" t="str">
        <f>IF(OR(周转筐出入库明细!$C676="",周转筐出入库明细!$F676&lt;&gt;"采购入库"),"",周转筐出入库明细!$C676)</f>
        <v/>
      </c>
      <c r="CT675">
        <f t="shared" si="338"/>
        <v>0</v>
      </c>
      <c r="CU675">
        <f t="shared" si="339"/>
        <v>1</v>
      </c>
    </row>
    <row r="676" spans="1:99">
      <c r="A676" t="str">
        <f>IF(包装物料出入库明细!$E676="","",包装物料出入库明细!$E676)</f>
        <v/>
      </c>
      <c r="B676">
        <f t="shared" si="323"/>
        <v>0</v>
      </c>
      <c r="C676">
        <f t="shared" si="324"/>
        <v>7</v>
      </c>
      <c r="D676" t="str">
        <f>IF(包装物料出入库明细!$E676="","",包装物料出入库明细!$F676)</f>
        <v/>
      </c>
      <c r="E676" t="str">
        <f>IF(包装物料出入库明细!$E676="","",包装物料出入库明细!$G676)</f>
        <v/>
      </c>
      <c r="K676" t="str">
        <f>IF(包装物料出入库明细!$D676="","",包装物料出入库明细!$D676)</f>
        <v/>
      </c>
      <c r="L676">
        <f t="shared" si="325"/>
        <v>0</v>
      </c>
      <c r="M676">
        <f t="shared" si="326"/>
        <v>9</v>
      </c>
      <c r="Q676" t="str">
        <f>IF(周转筐出入库明细!$D677="","",周转筐出入库明细!$D677)</f>
        <v/>
      </c>
      <c r="R676">
        <f t="shared" si="327"/>
        <v>0</v>
      </c>
      <c r="S676">
        <f t="shared" si="328"/>
        <v>5</v>
      </c>
      <c r="W676" t="str">
        <f>IF(周转筐出入库明细!$C677="","",周转筐出入库明细!$C677)</f>
        <v/>
      </c>
      <c r="X676">
        <f t="shared" si="329"/>
        <v>0</v>
      </c>
      <c r="Y676">
        <f t="shared" si="330"/>
        <v>12</v>
      </c>
      <c r="AC676" t="str">
        <f>IF(客户自备加工筐明细!$C676="","",客户自备加工筐明细!$C676)</f>
        <v/>
      </c>
      <c r="AD676">
        <f t="shared" si="331"/>
        <v>0</v>
      </c>
      <c r="AE676">
        <f t="shared" si="332"/>
        <v>1</v>
      </c>
      <c r="AI676" t="str">
        <f>IF(客户自备加工筐明细!$E676="","",客户自备加工筐明细!$E676)</f>
        <v/>
      </c>
      <c r="AJ676">
        <f t="shared" si="333"/>
        <v>0</v>
      </c>
      <c r="AK676">
        <f t="shared" si="334"/>
        <v>1</v>
      </c>
      <c r="BS676" t="str">
        <f t="shared" si="340"/>
        <v/>
      </c>
      <c r="BT676">
        <f t="shared" si="335"/>
        <v>0</v>
      </c>
      <c r="BU676">
        <f t="shared" si="336"/>
        <v>17</v>
      </c>
      <c r="CP676">
        <f>IF(包装物料出入库明细!$D676="",0,1)</f>
        <v>0</v>
      </c>
      <c r="CQ676">
        <f t="shared" si="337"/>
        <v>37</v>
      </c>
      <c r="CS676" t="str">
        <f>IF(OR(周转筐出入库明细!$C677="",周转筐出入库明细!$F677&lt;&gt;"采购入库"),"",周转筐出入库明细!$C677)</f>
        <v/>
      </c>
      <c r="CT676">
        <f t="shared" si="338"/>
        <v>0</v>
      </c>
      <c r="CU676">
        <f t="shared" si="339"/>
        <v>1</v>
      </c>
    </row>
    <row r="677" spans="1:99">
      <c r="A677" t="str">
        <f>IF(包装物料出入库明细!$E677="","",包装物料出入库明细!$E677)</f>
        <v/>
      </c>
      <c r="B677">
        <f t="shared" si="323"/>
        <v>0</v>
      </c>
      <c r="C677">
        <f t="shared" si="324"/>
        <v>7</v>
      </c>
      <c r="D677" t="str">
        <f>IF(包装物料出入库明细!$E677="","",包装物料出入库明细!$F677)</f>
        <v/>
      </c>
      <c r="E677" t="str">
        <f>IF(包装物料出入库明细!$E677="","",包装物料出入库明细!$G677)</f>
        <v/>
      </c>
      <c r="K677" t="str">
        <f>IF(包装物料出入库明细!$D677="","",包装物料出入库明细!$D677)</f>
        <v/>
      </c>
      <c r="L677">
        <f t="shared" si="325"/>
        <v>0</v>
      </c>
      <c r="M677">
        <f t="shared" si="326"/>
        <v>9</v>
      </c>
      <c r="Q677" t="str">
        <f>IF(周转筐出入库明细!$D678="","",周转筐出入库明细!$D678)</f>
        <v/>
      </c>
      <c r="R677">
        <f t="shared" si="327"/>
        <v>0</v>
      </c>
      <c r="S677">
        <f t="shared" si="328"/>
        <v>5</v>
      </c>
      <c r="W677" t="str">
        <f>IF(周转筐出入库明细!$C678="","",周转筐出入库明细!$C678)</f>
        <v/>
      </c>
      <c r="X677">
        <f t="shared" si="329"/>
        <v>0</v>
      </c>
      <c r="Y677">
        <f t="shared" si="330"/>
        <v>12</v>
      </c>
      <c r="AC677" t="str">
        <f>IF(客户自备加工筐明细!$C677="","",客户自备加工筐明细!$C677)</f>
        <v/>
      </c>
      <c r="AD677">
        <f t="shared" si="331"/>
        <v>0</v>
      </c>
      <c r="AE677">
        <f t="shared" si="332"/>
        <v>1</v>
      </c>
      <c r="AI677" t="str">
        <f>IF(客户自备加工筐明细!$E677="","",客户自备加工筐明细!$E677)</f>
        <v/>
      </c>
      <c r="AJ677">
        <f t="shared" si="333"/>
        <v>0</v>
      </c>
      <c r="AK677">
        <f t="shared" si="334"/>
        <v>1</v>
      </c>
      <c r="BS677" t="str">
        <f t="shared" si="340"/>
        <v/>
      </c>
      <c r="BT677">
        <f t="shared" si="335"/>
        <v>0</v>
      </c>
      <c r="BU677">
        <f t="shared" si="336"/>
        <v>17</v>
      </c>
      <c r="CP677">
        <f>IF(包装物料出入库明细!$D677="",0,1)</f>
        <v>0</v>
      </c>
      <c r="CQ677">
        <f t="shared" si="337"/>
        <v>37</v>
      </c>
      <c r="CS677" t="str">
        <f>IF(OR(周转筐出入库明细!$C678="",周转筐出入库明细!$F678&lt;&gt;"采购入库"),"",周转筐出入库明细!$C678)</f>
        <v/>
      </c>
      <c r="CT677">
        <f t="shared" si="338"/>
        <v>0</v>
      </c>
      <c r="CU677">
        <f t="shared" si="339"/>
        <v>1</v>
      </c>
    </row>
    <row r="678" spans="1:99">
      <c r="A678" t="str">
        <f>IF(包装物料出入库明细!$E678="","",包装物料出入库明细!$E678)</f>
        <v/>
      </c>
      <c r="B678">
        <f t="shared" si="323"/>
        <v>0</v>
      </c>
      <c r="C678">
        <f t="shared" si="324"/>
        <v>7</v>
      </c>
      <c r="D678" t="str">
        <f>IF(包装物料出入库明细!$E678="","",包装物料出入库明细!$F678)</f>
        <v/>
      </c>
      <c r="E678" t="str">
        <f>IF(包装物料出入库明细!$E678="","",包装物料出入库明细!$G678)</f>
        <v/>
      </c>
      <c r="K678" t="str">
        <f>IF(包装物料出入库明细!$D678="","",包装物料出入库明细!$D678)</f>
        <v/>
      </c>
      <c r="L678">
        <f t="shared" si="325"/>
        <v>0</v>
      </c>
      <c r="M678">
        <f t="shared" si="326"/>
        <v>9</v>
      </c>
      <c r="Q678" t="str">
        <f>IF(周转筐出入库明细!$D679="","",周转筐出入库明细!$D679)</f>
        <v/>
      </c>
      <c r="R678">
        <f t="shared" si="327"/>
        <v>0</v>
      </c>
      <c r="S678">
        <f t="shared" si="328"/>
        <v>5</v>
      </c>
      <c r="W678" t="str">
        <f>IF(周转筐出入库明细!$C679="","",周转筐出入库明细!$C679)</f>
        <v/>
      </c>
      <c r="X678">
        <f t="shared" si="329"/>
        <v>0</v>
      </c>
      <c r="Y678">
        <f t="shared" si="330"/>
        <v>12</v>
      </c>
      <c r="AC678" t="str">
        <f>IF(客户自备加工筐明细!$C678="","",客户自备加工筐明细!$C678)</f>
        <v/>
      </c>
      <c r="AD678">
        <f t="shared" si="331"/>
        <v>0</v>
      </c>
      <c r="AE678">
        <f t="shared" si="332"/>
        <v>1</v>
      </c>
      <c r="AI678" t="str">
        <f>IF(客户自备加工筐明细!$E678="","",客户自备加工筐明细!$E678)</f>
        <v/>
      </c>
      <c r="AJ678">
        <f t="shared" si="333"/>
        <v>0</v>
      </c>
      <c r="AK678">
        <f t="shared" si="334"/>
        <v>1</v>
      </c>
      <c r="BS678" t="str">
        <f t="shared" si="340"/>
        <v/>
      </c>
      <c r="BT678">
        <f t="shared" si="335"/>
        <v>0</v>
      </c>
      <c r="BU678">
        <f t="shared" si="336"/>
        <v>17</v>
      </c>
      <c r="CP678">
        <f>IF(包装物料出入库明细!$D678="",0,1)</f>
        <v>0</v>
      </c>
      <c r="CQ678">
        <f t="shared" si="337"/>
        <v>37</v>
      </c>
      <c r="CS678" t="str">
        <f>IF(OR(周转筐出入库明细!$C679="",周转筐出入库明细!$F679&lt;&gt;"采购入库"),"",周转筐出入库明细!$C679)</f>
        <v/>
      </c>
      <c r="CT678">
        <f t="shared" si="338"/>
        <v>0</v>
      </c>
      <c r="CU678">
        <f t="shared" si="339"/>
        <v>1</v>
      </c>
    </row>
    <row r="679" spans="1:99">
      <c r="A679" t="str">
        <f>IF(包装物料出入库明细!$E679="","",包装物料出入库明细!$E679)</f>
        <v/>
      </c>
      <c r="B679">
        <f t="shared" si="323"/>
        <v>0</v>
      </c>
      <c r="C679">
        <f t="shared" si="324"/>
        <v>7</v>
      </c>
      <c r="D679" t="str">
        <f>IF(包装物料出入库明细!$E679="","",包装物料出入库明细!$F679)</f>
        <v/>
      </c>
      <c r="E679" t="str">
        <f>IF(包装物料出入库明细!$E679="","",包装物料出入库明细!$G679)</f>
        <v/>
      </c>
      <c r="K679" t="str">
        <f>IF(包装物料出入库明细!$D679="","",包装物料出入库明细!$D679)</f>
        <v/>
      </c>
      <c r="L679">
        <f t="shared" si="325"/>
        <v>0</v>
      </c>
      <c r="M679">
        <f t="shared" si="326"/>
        <v>9</v>
      </c>
      <c r="Q679" t="str">
        <f>IF(周转筐出入库明细!$D680="","",周转筐出入库明细!$D680)</f>
        <v/>
      </c>
      <c r="R679">
        <f t="shared" si="327"/>
        <v>0</v>
      </c>
      <c r="S679">
        <f t="shared" si="328"/>
        <v>5</v>
      </c>
      <c r="W679" t="str">
        <f>IF(周转筐出入库明细!$C680="","",周转筐出入库明细!$C680)</f>
        <v/>
      </c>
      <c r="X679">
        <f t="shared" si="329"/>
        <v>0</v>
      </c>
      <c r="Y679">
        <f t="shared" si="330"/>
        <v>12</v>
      </c>
      <c r="AC679" t="str">
        <f>IF(客户自备加工筐明细!$C679="","",客户自备加工筐明细!$C679)</f>
        <v/>
      </c>
      <c r="AD679">
        <f t="shared" si="331"/>
        <v>0</v>
      </c>
      <c r="AE679">
        <f t="shared" si="332"/>
        <v>1</v>
      </c>
      <c r="AI679" t="str">
        <f>IF(客户自备加工筐明细!$E679="","",客户自备加工筐明细!$E679)</f>
        <v/>
      </c>
      <c r="AJ679">
        <f t="shared" si="333"/>
        <v>0</v>
      </c>
      <c r="AK679">
        <f t="shared" si="334"/>
        <v>1</v>
      </c>
      <c r="BS679" t="str">
        <f t="shared" si="340"/>
        <v/>
      </c>
      <c r="BT679">
        <f t="shared" si="335"/>
        <v>0</v>
      </c>
      <c r="BU679">
        <f t="shared" si="336"/>
        <v>17</v>
      </c>
      <c r="CP679">
        <f>IF(包装物料出入库明细!$D679="",0,1)</f>
        <v>0</v>
      </c>
      <c r="CQ679">
        <f t="shared" si="337"/>
        <v>37</v>
      </c>
      <c r="CS679" t="str">
        <f>IF(OR(周转筐出入库明细!$C680="",周转筐出入库明细!$F680&lt;&gt;"采购入库"),"",周转筐出入库明细!$C680)</f>
        <v/>
      </c>
      <c r="CT679">
        <f t="shared" si="338"/>
        <v>0</v>
      </c>
      <c r="CU679">
        <f t="shared" si="339"/>
        <v>1</v>
      </c>
    </row>
    <row r="680" spans="1:99">
      <c r="A680" t="str">
        <f>IF(包装物料出入库明细!$E680="","",包装物料出入库明细!$E680)</f>
        <v/>
      </c>
      <c r="B680">
        <f t="shared" si="323"/>
        <v>0</v>
      </c>
      <c r="C680">
        <f t="shared" si="324"/>
        <v>7</v>
      </c>
      <c r="D680" t="str">
        <f>IF(包装物料出入库明细!$E680="","",包装物料出入库明细!$F680)</f>
        <v/>
      </c>
      <c r="E680" t="str">
        <f>IF(包装物料出入库明细!$E680="","",包装物料出入库明细!$G680)</f>
        <v/>
      </c>
      <c r="K680" t="str">
        <f>IF(包装物料出入库明细!$D680="","",包装物料出入库明细!$D680)</f>
        <v/>
      </c>
      <c r="L680">
        <f t="shared" si="325"/>
        <v>0</v>
      </c>
      <c r="M680">
        <f t="shared" si="326"/>
        <v>9</v>
      </c>
      <c r="Q680" t="str">
        <f>IF(周转筐出入库明细!$D681="","",周转筐出入库明细!$D681)</f>
        <v/>
      </c>
      <c r="R680">
        <f t="shared" si="327"/>
        <v>0</v>
      </c>
      <c r="S680">
        <f t="shared" si="328"/>
        <v>5</v>
      </c>
      <c r="W680" t="str">
        <f>IF(周转筐出入库明细!$C681="","",周转筐出入库明细!$C681)</f>
        <v/>
      </c>
      <c r="X680">
        <f t="shared" si="329"/>
        <v>0</v>
      </c>
      <c r="Y680">
        <f t="shared" si="330"/>
        <v>12</v>
      </c>
      <c r="AC680" t="str">
        <f>IF(客户自备加工筐明细!$C680="","",客户自备加工筐明细!$C680)</f>
        <v/>
      </c>
      <c r="AD680">
        <f t="shared" si="331"/>
        <v>0</v>
      </c>
      <c r="AE680">
        <f t="shared" si="332"/>
        <v>1</v>
      </c>
      <c r="AI680" t="str">
        <f>IF(客户自备加工筐明细!$E680="","",客户自备加工筐明细!$E680)</f>
        <v/>
      </c>
      <c r="AJ680">
        <f t="shared" si="333"/>
        <v>0</v>
      </c>
      <c r="AK680">
        <f t="shared" si="334"/>
        <v>1</v>
      </c>
      <c r="BS680" t="str">
        <f t="shared" si="340"/>
        <v/>
      </c>
      <c r="BT680">
        <f t="shared" si="335"/>
        <v>0</v>
      </c>
      <c r="BU680">
        <f t="shared" si="336"/>
        <v>17</v>
      </c>
      <c r="CP680">
        <f>IF(包装物料出入库明细!$D680="",0,1)</f>
        <v>0</v>
      </c>
      <c r="CQ680">
        <f t="shared" si="337"/>
        <v>37</v>
      </c>
      <c r="CS680" t="str">
        <f>IF(OR(周转筐出入库明细!$C681="",周转筐出入库明细!$F681&lt;&gt;"采购入库"),"",周转筐出入库明细!$C681)</f>
        <v/>
      </c>
      <c r="CT680">
        <f t="shared" si="338"/>
        <v>0</v>
      </c>
      <c r="CU680">
        <f t="shared" si="339"/>
        <v>1</v>
      </c>
    </row>
    <row r="681" spans="1:99">
      <c r="A681" t="str">
        <f>IF(包装物料出入库明细!$E681="","",包装物料出入库明细!$E681)</f>
        <v/>
      </c>
      <c r="B681">
        <f t="shared" si="323"/>
        <v>0</v>
      </c>
      <c r="C681">
        <f t="shared" si="324"/>
        <v>7</v>
      </c>
      <c r="D681" t="str">
        <f>IF(包装物料出入库明细!$E681="","",包装物料出入库明细!$F681)</f>
        <v/>
      </c>
      <c r="E681" t="str">
        <f>IF(包装物料出入库明细!$E681="","",包装物料出入库明细!$G681)</f>
        <v/>
      </c>
      <c r="K681" t="str">
        <f>IF(包装物料出入库明细!$D681="","",包装物料出入库明细!$D681)</f>
        <v/>
      </c>
      <c r="L681">
        <f t="shared" si="325"/>
        <v>0</v>
      </c>
      <c r="M681">
        <f t="shared" si="326"/>
        <v>9</v>
      </c>
      <c r="Q681" t="str">
        <f>IF(周转筐出入库明细!$D682="","",周转筐出入库明细!$D682)</f>
        <v/>
      </c>
      <c r="R681">
        <f t="shared" si="327"/>
        <v>0</v>
      </c>
      <c r="S681">
        <f t="shared" si="328"/>
        <v>5</v>
      </c>
      <c r="W681" t="str">
        <f>IF(周转筐出入库明细!$C682="","",周转筐出入库明细!$C682)</f>
        <v/>
      </c>
      <c r="X681">
        <f t="shared" si="329"/>
        <v>0</v>
      </c>
      <c r="Y681">
        <f t="shared" si="330"/>
        <v>12</v>
      </c>
      <c r="AC681" t="str">
        <f>IF(客户自备加工筐明细!$C681="","",客户自备加工筐明细!$C681)</f>
        <v/>
      </c>
      <c r="AD681">
        <f t="shared" si="331"/>
        <v>0</v>
      </c>
      <c r="AE681">
        <f t="shared" si="332"/>
        <v>1</v>
      </c>
      <c r="AI681" t="str">
        <f>IF(客户自备加工筐明细!$E681="","",客户自备加工筐明细!$E681)</f>
        <v/>
      </c>
      <c r="AJ681">
        <f t="shared" si="333"/>
        <v>0</v>
      </c>
      <c r="AK681">
        <f t="shared" si="334"/>
        <v>1</v>
      </c>
      <c r="BS681" t="str">
        <f t="shared" si="340"/>
        <v/>
      </c>
      <c r="BT681">
        <f t="shared" si="335"/>
        <v>0</v>
      </c>
      <c r="BU681">
        <f t="shared" si="336"/>
        <v>17</v>
      </c>
      <c r="CP681">
        <f>IF(包装物料出入库明细!$D681="",0,1)</f>
        <v>0</v>
      </c>
      <c r="CQ681">
        <f t="shared" si="337"/>
        <v>37</v>
      </c>
      <c r="CS681" t="str">
        <f>IF(OR(周转筐出入库明细!$C682="",周转筐出入库明细!$F682&lt;&gt;"采购入库"),"",周转筐出入库明细!$C682)</f>
        <v/>
      </c>
      <c r="CT681">
        <f t="shared" si="338"/>
        <v>0</v>
      </c>
      <c r="CU681">
        <f t="shared" si="339"/>
        <v>1</v>
      </c>
    </row>
    <row r="682" spans="1:99">
      <c r="A682" t="str">
        <f>IF(包装物料出入库明细!$E682="","",包装物料出入库明细!$E682)</f>
        <v/>
      </c>
      <c r="B682">
        <f t="shared" si="323"/>
        <v>0</v>
      </c>
      <c r="C682">
        <f t="shared" si="324"/>
        <v>7</v>
      </c>
      <c r="D682" t="str">
        <f>IF(包装物料出入库明细!$E682="","",包装物料出入库明细!$F682)</f>
        <v/>
      </c>
      <c r="E682" t="str">
        <f>IF(包装物料出入库明细!$E682="","",包装物料出入库明细!$G682)</f>
        <v/>
      </c>
      <c r="K682" t="str">
        <f>IF(包装物料出入库明细!$D682="","",包装物料出入库明细!$D682)</f>
        <v/>
      </c>
      <c r="L682">
        <f t="shared" si="325"/>
        <v>0</v>
      </c>
      <c r="M682">
        <f t="shared" si="326"/>
        <v>9</v>
      </c>
      <c r="Q682" t="str">
        <f>IF(周转筐出入库明细!$D683="","",周转筐出入库明细!$D683)</f>
        <v/>
      </c>
      <c r="R682">
        <f t="shared" si="327"/>
        <v>0</v>
      </c>
      <c r="S682">
        <f t="shared" si="328"/>
        <v>5</v>
      </c>
      <c r="W682" t="str">
        <f>IF(周转筐出入库明细!$C683="","",周转筐出入库明细!$C683)</f>
        <v/>
      </c>
      <c r="X682">
        <f t="shared" si="329"/>
        <v>0</v>
      </c>
      <c r="Y682">
        <f t="shared" si="330"/>
        <v>12</v>
      </c>
      <c r="AC682" t="str">
        <f>IF(客户自备加工筐明细!$C682="","",客户自备加工筐明细!$C682)</f>
        <v/>
      </c>
      <c r="AD682">
        <f t="shared" si="331"/>
        <v>0</v>
      </c>
      <c r="AE682">
        <f t="shared" si="332"/>
        <v>1</v>
      </c>
      <c r="AI682" t="str">
        <f>IF(客户自备加工筐明细!$E682="","",客户自备加工筐明细!$E682)</f>
        <v/>
      </c>
      <c r="AJ682">
        <f t="shared" si="333"/>
        <v>0</v>
      </c>
      <c r="AK682">
        <f t="shared" si="334"/>
        <v>1</v>
      </c>
      <c r="BS682" t="str">
        <f t="shared" si="340"/>
        <v/>
      </c>
      <c r="BT682">
        <f t="shared" si="335"/>
        <v>0</v>
      </c>
      <c r="BU682">
        <f t="shared" si="336"/>
        <v>17</v>
      </c>
      <c r="CP682">
        <f>IF(包装物料出入库明细!$D682="",0,1)</f>
        <v>0</v>
      </c>
      <c r="CQ682">
        <f t="shared" si="337"/>
        <v>37</v>
      </c>
      <c r="CS682" t="str">
        <f>IF(OR(周转筐出入库明细!$C683="",周转筐出入库明细!$F683&lt;&gt;"采购入库"),"",周转筐出入库明细!$C683)</f>
        <v/>
      </c>
      <c r="CT682">
        <f t="shared" si="338"/>
        <v>0</v>
      </c>
      <c r="CU682">
        <f t="shared" si="339"/>
        <v>1</v>
      </c>
    </row>
    <row r="683" spans="1:99">
      <c r="A683" t="str">
        <f>IF(包装物料出入库明细!$E683="","",包装物料出入库明细!$E683)</f>
        <v/>
      </c>
      <c r="B683">
        <f t="shared" si="323"/>
        <v>0</v>
      </c>
      <c r="C683">
        <f t="shared" si="324"/>
        <v>7</v>
      </c>
      <c r="D683" t="str">
        <f>IF(包装物料出入库明细!$E683="","",包装物料出入库明细!$F683)</f>
        <v/>
      </c>
      <c r="E683" t="str">
        <f>IF(包装物料出入库明细!$E683="","",包装物料出入库明细!$G683)</f>
        <v/>
      </c>
      <c r="K683" t="str">
        <f>IF(包装物料出入库明细!$D683="","",包装物料出入库明细!$D683)</f>
        <v/>
      </c>
      <c r="L683">
        <f t="shared" si="325"/>
        <v>0</v>
      </c>
      <c r="M683">
        <f t="shared" si="326"/>
        <v>9</v>
      </c>
      <c r="Q683" t="str">
        <f>IF(周转筐出入库明细!$D684="","",周转筐出入库明细!$D684)</f>
        <v/>
      </c>
      <c r="R683">
        <f t="shared" si="327"/>
        <v>0</v>
      </c>
      <c r="S683">
        <f t="shared" si="328"/>
        <v>5</v>
      </c>
      <c r="W683" t="str">
        <f>IF(周转筐出入库明细!$C684="","",周转筐出入库明细!$C684)</f>
        <v/>
      </c>
      <c r="X683">
        <f t="shared" si="329"/>
        <v>0</v>
      </c>
      <c r="Y683">
        <f t="shared" si="330"/>
        <v>12</v>
      </c>
      <c r="AC683" t="str">
        <f>IF(客户自备加工筐明细!$C683="","",客户自备加工筐明细!$C683)</f>
        <v/>
      </c>
      <c r="AD683">
        <f t="shared" si="331"/>
        <v>0</v>
      </c>
      <c r="AE683">
        <f t="shared" si="332"/>
        <v>1</v>
      </c>
      <c r="AI683" t="str">
        <f>IF(客户自备加工筐明细!$E683="","",客户自备加工筐明细!$E683)</f>
        <v/>
      </c>
      <c r="AJ683">
        <f t="shared" si="333"/>
        <v>0</v>
      </c>
      <c r="AK683">
        <f t="shared" si="334"/>
        <v>1</v>
      </c>
      <c r="BS683" t="str">
        <f t="shared" si="340"/>
        <v/>
      </c>
      <c r="BT683">
        <f t="shared" si="335"/>
        <v>0</v>
      </c>
      <c r="BU683">
        <f t="shared" si="336"/>
        <v>17</v>
      </c>
      <c r="CP683">
        <f>IF(包装物料出入库明细!$D683="",0,1)</f>
        <v>0</v>
      </c>
      <c r="CQ683">
        <f t="shared" si="337"/>
        <v>37</v>
      </c>
      <c r="CS683" t="str">
        <f>IF(OR(周转筐出入库明细!$C684="",周转筐出入库明细!$F684&lt;&gt;"采购入库"),"",周转筐出入库明细!$C684)</f>
        <v/>
      </c>
      <c r="CT683">
        <f t="shared" si="338"/>
        <v>0</v>
      </c>
      <c r="CU683">
        <f t="shared" si="339"/>
        <v>1</v>
      </c>
    </row>
    <row r="684" spans="1:99">
      <c r="A684" t="str">
        <f>IF(包装物料出入库明细!$E684="","",包装物料出入库明细!$E684)</f>
        <v/>
      </c>
      <c r="B684">
        <f t="shared" si="323"/>
        <v>0</v>
      </c>
      <c r="C684">
        <f t="shared" si="324"/>
        <v>7</v>
      </c>
      <c r="D684" t="str">
        <f>IF(包装物料出入库明细!$E684="","",包装物料出入库明细!$F684)</f>
        <v/>
      </c>
      <c r="E684" t="str">
        <f>IF(包装物料出入库明细!$E684="","",包装物料出入库明细!$G684)</f>
        <v/>
      </c>
      <c r="K684" t="str">
        <f>IF(包装物料出入库明细!$D684="","",包装物料出入库明细!$D684)</f>
        <v/>
      </c>
      <c r="L684">
        <f t="shared" si="325"/>
        <v>0</v>
      </c>
      <c r="M684">
        <f t="shared" si="326"/>
        <v>9</v>
      </c>
      <c r="Q684" t="str">
        <f>IF(周转筐出入库明细!$D685="","",周转筐出入库明细!$D685)</f>
        <v/>
      </c>
      <c r="R684">
        <f t="shared" si="327"/>
        <v>0</v>
      </c>
      <c r="S684">
        <f t="shared" si="328"/>
        <v>5</v>
      </c>
      <c r="W684" t="str">
        <f>IF(周转筐出入库明细!$C685="","",周转筐出入库明细!$C685)</f>
        <v/>
      </c>
      <c r="X684">
        <f t="shared" si="329"/>
        <v>0</v>
      </c>
      <c r="Y684">
        <f t="shared" si="330"/>
        <v>12</v>
      </c>
      <c r="AC684" t="str">
        <f>IF(客户自备加工筐明细!$C684="","",客户自备加工筐明细!$C684)</f>
        <v/>
      </c>
      <c r="AD684">
        <f t="shared" si="331"/>
        <v>0</v>
      </c>
      <c r="AE684">
        <f t="shared" si="332"/>
        <v>1</v>
      </c>
      <c r="AI684" t="str">
        <f>IF(客户自备加工筐明细!$E684="","",客户自备加工筐明细!$E684)</f>
        <v/>
      </c>
      <c r="AJ684">
        <f t="shared" si="333"/>
        <v>0</v>
      </c>
      <c r="AK684">
        <f t="shared" si="334"/>
        <v>1</v>
      </c>
      <c r="BS684" t="str">
        <f t="shared" si="340"/>
        <v/>
      </c>
      <c r="BT684">
        <f t="shared" si="335"/>
        <v>0</v>
      </c>
      <c r="BU684">
        <f t="shared" si="336"/>
        <v>17</v>
      </c>
      <c r="CP684">
        <f>IF(包装物料出入库明细!$D684="",0,1)</f>
        <v>0</v>
      </c>
      <c r="CQ684">
        <f t="shared" si="337"/>
        <v>37</v>
      </c>
      <c r="CS684" t="str">
        <f>IF(OR(周转筐出入库明细!$C685="",周转筐出入库明细!$F685&lt;&gt;"采购入库"),"",周转筐出入库明细!$C685)</f>
        <v/>
      </c>
      <c r="CT684">
        <f t="shared" si="338"/>
        <v>0</v>
      </c>
      <c r="CU684">
        <f t="shared" si="339"/>
        <v>1</v>
      </c>
    </row>
    <row r="685" spans="1:99">
      <c r="A685" t="str">
        <f>IF(包装物料出入库明细!$E685="","",包装物料出入库明细!$E685)</f>
        <v/>
      </c>
      <c r="B685">
        <f t="shared" si="323"/>
        <v>0</v>
      </c>
      <c r="C685">
        <f t="shared" si="324"/>
        <v>7</v>
      </c>
      <c r="D685" t="str">
        <f>IF(包装物料出入库明细!$E685="","",包装物料出入库明细!$F685)</f>
        <v/>
      </c>
      <c r="E685" t="str">
        <f>IF(包装物料出入库明细!$E685="","",包装物料出入库明细!$G685)</f>
        <v/>
      </c>
      <c r="K685" t="str">
        <f>IF(包装物料出入库明细!$D685="","",包装物料出入库明细!$D685)</f>
        <v/>
      </c>
      <c r="L685">
        <f t="shared" si="325"/>
        <v>0</v>
      </c>
      <c r="M685">
        <f t="shared" si="326"/>
        <v>9</v>
      </c>
      <c r="Q685" t="str">
        <f>IF(周转筐出入库明细!$D686="","",周转筐出入库明细!$D686)</f>
        <v/>
      </c>
      <c r="R685">
        <f t="shared" si="327"/>
        <v>0</v>
      </c>
      <c r="S685">
        <f t="shared" si="328"/>
        <v>5</v>
      </c>
      <c r="W685" t="str">
        <f>IF(周转筐出入库明细!$C686="","",周转筐出入库明细!$C686)</f>
        <v/>
      </c>
      <c r="X685">
        <f t="shared" si="329"/>
        <v>0</v>
      </c>
      <c r="Y685">
        <f t="shared" si="330"/>
        <v>12</v>
      </c>
      <c r="AC685" t="str">
        <f>IF(客户自备加工筐明细!$C685="","",客户自备加工筐明细!$C685)</f>
        <v/>
      </c>
      <c r="AD685">
        <f t="shared" si="331"/>
        <v>0</v>
      </c>
      <c r="AE685">
        <f t="shared" si="332"/>
        <v>1</v>
      </c>
      <c r="AI685" t="str">
        <f>IF(客户自备加工筐明细!$E685="","",客户自备加工筐明细!$E685)</f>
        <v/>
      </c>
      <c r="AJ685">
        <f t="shared" si="333"/>
        <v>0</v>
      </c>
      <c r="AK685">
        <f t="shared" si="334"/>
        <v>1</v>
      </c>
      <c r="BS685" t="str">
        <f t="shared" si="340"/>
        <v/>
      </c>
      <c r="BT685">
        <f t="shared" si="335"/>
        <v>0</v>
      </c>
      <c r="BU685">
        <f t="shared" si="336"/>
        <v>17</v>
      </c>
      <c r="CP685">
        <f>IF(包装物料出入库明细!$D685="",0,1)</f>
        <v>0</v>
      </c>
      <c r="CQ685">
        <f t="shared" si="337"/>
        <v>37</v>
      </c>
      <c r="CS685" t="str">
        <f>IF(OR(周转筐出入库明细!$C686="",周转筐出入库明细!$F686&lt;&gt;"采购入库"),"",周转筐出入库明细!$C686)</f>
        <v/>
      </c>
      <c r="CT685">
        <f t="shared" si="338"/>
        <v>0</v>
      </c>
      <c r="CU685">
        <f t="shared" si="339"/>
        <v>1</v>
      </c>
    </row>
    <row r="686" spans="1:99">
      <c r="A686" t="str">
        <f>IF(包装物料出入库明细!$E686="","",包装物料出入库明细!$E686)</f>
        <v/>
      </c>
      <c r="B686">
        <f t="shared" si="323"/>
        <v>0</v>
      </c>
      <c r="C686">
        <f t="shared" si="324"/>
        <v>7</v>
      </c>
      <c r="D686" t="str">
        <f>IF(包装物料出入库明细!$E686="","",包装物料出入库明细!$F686)</f>
        <v/>
      </c>
      <c r="E686" t="str">
        <f>IF(包装物料出入库明细!$E686="","",包装物料出入库明细!$G686)</f>
        <v/>
      </c>
      <c r="K686" t="str">
        <f>IF(包装物料出入库明细!$D686="","",包装物料出入库明细!$D686)</f>
        <v/>
      </c>
      <c r="L686">
        <f t="shared" si="325"/>
        <v>0</v>
      </c>
      <c r="M686">
        <f t="shared" si="326"/>
        <v>9</v>
      </c>
      <c r="Q686" t="str">
        <f>IF(周转筐出入库明细!$D687="","",周转筐出入库明细!$D687)</f>
        <v/>
      </c>
      <c r="R686">
        <f t="shared" si="327"/>
        <v>0</v>
      </c>
      <c r="S686">
        <f t="shared" si="328"/>
        <v>5</v>
      </c>
      <c r="W686" t="str">
        <f>IF(周转筐出入库明细!$C687="","",周转筐出入库明细!$C687)</f>
        <v/>
      </c>
      <c r="X686">
        <f t="shared" si="329"/>
        <v>0</v>
      </c>
      <c r="Y686">
        <f t="shared" si="330"/>
        <v>12</v>
      </c>
      <c r="AC686" t="str">
        <f>IF(客户自备加工筐明细!$C686="","",客户自备加工筐明细!$C686)</f>
        <v/>
      </c>
      <c r="AD686">
        <f t="shared" si="331"/>
        <v>0</v>
      </c>
      <c r="AE686">
        <f t="shared" si="332"/>
        <v>1</v>
      </c>
      <c r="AI686" t="str">
        <f>IF(客户自备加工筐明细!$E686="","",客户自备加工筐明细!$E686)</f>
        <v/>
      </c>
      <c r="AJ686">
        <f t="shared" si="333"/>
        <v>0</v>
      </c>
      <c r="AK686">
        <f t="shared" si="334"/>
        <v>1</v>
      </c>
      <c r="BS686" t="str">
        <f t="shared" si="340"/>
        <v/>
      </c>
      <c r="BT686">
        <f t="shared" si="335"/>
        <v>0</v>
      </c>
      <c r="BU686">
        <f t="shared" si="336"/>
        <v>17</v>
      </c>
      <c r="CP686">
        <f>IF(包装物料出入库明细!$D686="",0,1)</f>
        <v>0</v>
      </c>
      <c r="CQ686">
        <f t="shared" si="337"/>
        <v>37</v>
      </c>
      <c r="CS686" t="str">
        <f>IF(OR(周转筐出入库明细!$C687="",周转筐出入库明细!$F687&lt;&gt;"采购入库"),"",周转筐出入库明细!$C687)</f>
        <v/>
      </c>
      <c r="CT686">
        <f t="shared" si="338"/>
        <v>0</v>
      </c>
      <c r="CU686">
        <f t="shared" si="339"/>
        <v>1</v>
      </c>
    </row>
    <row r="687" spans="1:99">
      <c r="A687" t="str">
        <f>IF(包装物料出入库明细!$E687="","",包装物料出入库明细!$E687)</f>
        <v/>
      </c>
      <c r="B687">
        <f t="shared" si="323"/>
        <v>0</v>
      </c>
      <c r="C687">
        <f t="shared" si="324"/>
        <v>7</v>
      </c>
      <c r="D687" t="str">
        <f>IF(包装物料出入库明细!$E687="","",包装物料出入库明细!$F687)</f>
        <v/>
      </c>
      <c r="E687" t="str">
        <f>IF(包装物料出入库明细!$E687="","",包装物料出入库明细!$G687)</f>
        <v/>
      </c>
      <c r="K687" t="str">
        <f>IF(包装物料出入库明细!$D687="","",包装物料出入库明细!$D687)</f>
        <v/>
      </c>
      <c r="L687">
        <f t="shared" si="325"/>
        <v>0</v>
      </c>
      <c r="M687">
        <f t="shared" si="326"/>
        <v>9</v>
      </c>
      <c r="Q687" t="str">
        <f>IF(周转筐出入库明细!$D688="","",周转筐出入库明细!$D688)</f>
        <v/>
      </c>
      <c r="R687">
        <f t="shared" si="327"/>
        <v>0</v>
      </c>
      <c r="S687">
        <f t="shared" si="328"/>
        <v>5</v>
      </c>
      <c r="W687" t="str">
        <f>IF(周转筐出入库明细!$C688="","",周转筐出入库明细!$C688)</f>
        <v/>
      </c>
      <c r="X687">
        <f t="shared" si="329"/>
        <v>0</v>
      </c>
      <c r="Y687">
        <f t="shared" si="330"/>
        <v>12</v>
      </c>
      <c r="AC687" t="str">
        <f>IF(客户自备加工筐明细!$C687="","",客户自备加工筐明细!$C687)</f>
        <v/>
      </c>
      <c r="AD687">
        <f t="shared" si="331"/>
        <v>0</v>
      </c>
      <c r="AE687">
        <f t="shared" si="332"/>
        <v>1</v>
      </c>
      <c r="AI687" t="str">
        <f>IF(客户自备加工筐明细!$E687="","",客户自备加工筐明细!$E687)</f>
        <v/>
      </c>
      <c r="AJ687">
        <f t="shared" si="333"/>
        <v>0</v>
      </c>
      <c r="AK687">
        <f t="shared" si="334"/>
        <v>1</v>
      </c>
      <c r="BS687" t="str">
        <f t="shared" si="340"/>
        <v/>
      </c>
      <c r="BT687">
        <f t="shared" si="335"/>
        <v>0</v>
      </c>
      <c r="BU687">
        <f t="shared" si="336"/>
        <v>17</v>
      </c>
      <c r="CP687">
        <f>IF(包装物料出入库明细!$D687="",0,1)</f>
        <v>0</v>
      </c>
      <c r="CQ687">
        <f t="shared" si="337"/>
        <v>37</v>
      </c>
      <c r="CS687" t="str">
        <f>IF(OR(周转筐出入库明细!$C688="",周转筐出入库明细!$F688&lt;&gt;"采购入库"),"",周转筐出入库明细!$C688)</f>
        <v/>
      </c>
      <c r="CT687">
        <f t="shared" si="338"/>
        <v>0</v>
      </c>
      <c r="CU687">
        <f t="shared" si="339"/>
        <v>1</v>
      </c>
    </row>
    <row r="688" spans="1:99">
      <c r="A688" t="str">
        <f>IF(包装物料出入库明细!$E688="","",包装物料出入库明细!$E688)</f>
        <v/>
      </c>
      <c r="B688">
        <f t="shared" si="323"/>
        <v>0</v>
      </c>
      <c r="C688">
        <f t="shared" si="324"/>
        <v>7</v>
      </c>
      <c r="D688" t="str">
        <f>IF(包装物料出入库明细!$E688="","",包装物料出入库明细!$F688)</f>
        <v/>
      </c>
      <c r="E688" t="str">
        <f>IF(包装物料出入库明细!$E688="","",包装物料出入库明细!$G688)</f>
        <v/>
      </c>
      <c r="K688" t="str">
        <f>IF(包装物料出入库明细!$D688="","",包装物料出入库明细!$D688)</f>
        <v/>
      </c>
      <c r="L688">
        <f t="shared" si="325"/>
        <v>0</v>
      </c>
      <c r="M688">
        <f t="shared" si="326"/>
        <v>9</v>
      </c>
      <c r="Q688" t="str">
        <f>IF(周转筐出入库明细!$D689="","",周转筐出入库明细!$D689)</f>
        <v/>
      </c>
      <c r="R688">
        <f t="shared" si="327"/>
        <v>0</v>
      </c>
      <c r="S688">
        <f t="shared" si="328"/>
        <v>5</v>
      </c>
      <c r="W688" t="str">
        <f>IF(周转筐出入库明细!$C689="","",周转筐出入库明细!$C689)</f>
        <v/>
      </c>
      <c r="X688">
        <f t="shared" si="329"/>
        <v>0</v>
      </c>
      <c r="Y688">
        <f t="shared" si="330"/>
        <v>12</v>
      </c>
      <c r="AC688" t="str">
        <f>IF(客户自备加工筐明细!$C688="","",客户自备加工筐明细!$C688)</f>
        <v/>
      </c>
      <c r="AD688">
        <f t="shared" si="331"/>
        <v>0</v>
      </c>
      <c r="AE688">
        <f t="shared" si="332"/>
        <v>1</v>
      </c>
      <c r="AI688" t="str">
        <f>IF(客户自备加工筐明细!$E688="","",客户自备加工筐明细!$E688)</f>
        <v/>
      </c>
      <c r="AJ688">
        <f t="shared" si="333"/>
        <v>0</v>
      </c>
      <c r="AK688">
        <f t="shared" si="334"/>
        <v>1</v>
      </c>
      <c r="BS688" t="str">
        <f t="shared" si="340"/>
        <v/>
      </c>
      <c r="BT688">
        <f t="shared" si="335"/>
        <v>0</v>
      </c>
      <c r="BU688">
        <f t="shared" si="336"/>
        <v>17</v>
      </c>
      <c r="CP688">
        <f>IF(包装物料出入库明细!$D688="",0,1)</f>
        <v>0</v>
      </c>
      <c r="CQ688">
        <f t="shared" si="337"/>
        <v>37</v>
      </c>
      <c r="CS688" t="str">
        <f>IF(OR(周转筐出入库明细!$C689="",周转筐出入库明细!$F689&lt;&gt;"采购入库"),"",周转筐出入库明细!$C689)</f>
        <v/>
      </c>
      <c r="CT688">
        <f t="shared" si="338"/>
        <v>0</v>
      </c>
      <c r="CU688">
        <f t="shared" si="339"/>
        <v>1</v>
      </c>
    </row>
    <row r="689" spans="1:99">
      <c r="A689" t="str">
        <f>IF(包装物料出入库明细!$E689="","",包装物料出入库明细!$E689)</f>
        <v/>
      </c>
      <c r="B689">
        <f t="shared" si="323"/>
        <v>0</v>
      </c>
      <c r="C689">
        <f t="shared" si="324"/>
        <v>7</v>
      </c>
      <c r="D689" t="str">
        <f>IF(包装物料出入库明细!$E689="","",包装物料出入库明细!$F689)</f>
        <v/>
      </c>
      <c r="E689" t="str">
        <f>IF(包装物料出入库明细!$E689="","",包装物料出入库明细!$G689)</f>
        <v/>
      </c>
      <c r="K689" t="str">
        <f>IF(包装物料出入库明细!$D689="","",包装物料出入库明细!$D689)</f>
        <v/>
      </c>
      <c r="L689">
        <f t="shared" si="325"/>
        <v>0</v>
      </c>
      <c r="M689">
        <f t="shared" si="326"/>
        <v>9</v>
      </c>
      <c r="Q689" t="str">
        <f>IF(周转筐出入库明细!$D690="","",周转筐出入库明细!$D690)</f>
        <v/>
      </c>
      <c r="R689">
        <f t="shared" si="327"/>
        <v>0</v>
      </c>
      <c r="S689">
        <f t="shared" si="328"/>
        <v>5</v>
      </c>
      <c r="W689" t="str">
        <f>IF(周转筐出入库明细!$C690="","",周转筐出入库明细!$C690)</f>
        <v/>
      </c>
      <c r="X689">
        <f t="shared" si="329"/>
        <v>0</v>
      </c>
      <c r="Y689">
        <f t="shared" si="330"/>
        <v>12</v>
      </c>
      <c r="AC689" t="str">
        <f>IF(客户自备加工筐明细!$C689="","",客户自备加工筐明细!$C689)</f>
        <v/>
      </c>
      <c r="AD689">
        <f t="shared" si="331"/>
        <v>0</v>
      </c>
      <c r="AE689">
        <f t="shared" si="332"/>
        <v>1</v>
      </c>
      <c r="AI689" t="str">
        <f>IF(客户自备加工筐明细!$E689="","",客户自备加工筐明细!$E689)</f>
        <v/>
      </c>
      <c r="AJ689">
        <f t="shared" si="333"/>
        <v>0</v>
      </c>
      <c r="AK689">
        <f t="shared" si="334"/>
        <v>1</v>
      </c>
      <c r="BS689" t="str">
        <f t="shared" si="340"/>
        <v/>
      </c>
      <c r="BT689">
        <f t="shared" si="335"/>
        <v>0</v>
      </c>
      <c r="BU689">
        <f t="shared" si="336"/>
        <v>17</v>
      </c>
      <c r="CP689">
        <f>IF(包装物料出入库明细!$D689="",0,1)</f>
        <v>0</v>
      </c>
      <c r="CQ689">
        <f t="shared" si="337"/>
        <v>37</v>
      </c>
      <c r="CS689" t="str">
        <f>IF(OR(周转筐出入库明细!$C690="",周转筐出入库明细!$F690&lt;&gt;"采购入库"),"",周转筐出入库明细!$C690)</f>
        <v/>
      </c>
      <c r="CT689">
        <f t="shared" si="338"/>
        <v>0</v>
      </c>
      <c r="CU689">
        <f t="shared" si="339"/>
        <v>1</v>
      </c>
    </row>
    <row r="690" spans="1:99">
      <c r="A690" t="str">
        <f>IF(包装物料出入库明细!$E690="","",包装物料出入库明细!$E690)</f>
        <v/>
      </c>
      <c r="B690">
        <f t="shared" si="323"/>
        <v>0</v>
      </c>
      <c r="C690">
        <f t="shared" si="324"/>
        <v>7</v>
      </c>
      <c r="D690" t="str">
        <f>IF(包装物料出入库明细!$E690="","",包装物料出入库明细!$F690)</f>
        <v/>
      </c>
      <c r="E690" t="str">
        <f>IF(包装物料出入库明细!$E690="","",包装物料出入库明细!$G690)</f>
        <v/>
      </c>
      <c r="K690" t="str">
        <f>IF(包装物料出入库明细!$D690="","",包装物料出入库明细!$D690)</f>
        <v/>
      </c>
      <c r="L690">
        <f t="shared" si="325"/>
        <v>0</v>
      </c>
      <c r="M690">
        <f t="shared" si="326"/>
        <v>9</v>
      </c>
      <c r="Q690" t="str">
        <f>IF(周转筐出入库明细!$D691="","",周转筐出入库明细!$D691)</f>
        <v/>
      </c>
      <c r="R690">
        <f t="shared" si="327"/>
        <v>0</v>
      </c>
      <c r="S690">
        <f t="shared" si="328"/>
        <v>5</v>
      </c>
      <c r="W690" t="str">
        <f>IF(周转筐出入库明细!$C691="","",周转筐出入库明细!$C691)</f>
        <v/>
      </c>
      <c r="X690">
        <f t="shared" si="329"/>
        <v>0</v>
      </c>
      <c r="Y690">
        <f t="shared" si="330"/>
        <v>12</v>
      </c>
      <c r="AC690" t="str">
        <f>IF(客户自备加工筐明细!$C690="","",客户自备加工筐明细!$C690)</f>
        <v/>
      </c>
      <c r="AD690">
        <f t="shared" si="331"/>
        <v>0</v>
      </c>
      <c r="AE690">
        <f t="shared" si="332"/>
        <v>1</v>
      </c>
      <c r="AI690" t="str">
        <f>IF(客户自备加工筐明细!$E690="","",客户自备加工筐明细!$E690)</f>
        <v/>
      </c>
      <c r="AJ690">
        <f t="shared" si="333"/>
        <v>0</v>
      </c>
      <c r="AK690">
        <f t="shared" si="334"/>
        <v>1</v>
      </c>
      <c r="BS690" t="str">
        <f t="shared" si="340"/>
        <v/>
      </c>
      <c r="BT690">
        <f t="shared" si="335"/>
        <v>0</v>
      </c>
      <c r="BU690">
        <f t="shared" si="336"/>
        <v>17</v>
      </c>
      <c r="CP690">
        <f>IF(包装物料出入库明细!$D690="",0,1)</f>
        <v>0</v>
      </c>
      <c r="CQ690">
        <f t="shared" si="337"/>
        <v>37</v>
      </c>
      <c r="CS690" t="str">
        <f>IF(OR(周转筐出入库明细!$C691="",周转筐出入库明细!$F691&lt;&gt;"采购入库"),"",周转筐出入库明细!$C691)</f>
        <v/>
      </c>
      <c r="CT690">
        <f t="shared" si="338"/>
        <v>0</v>
      </c>
      <c r="CU690">
        <f t="shared" si="339"/>
        <v>1</v>
      </c>
    </row>
    <row r="691" spans="1:99">
      <c r="A691" t="str">
        <f>IF(包装物料出入库明细!$E691="","",包装物料出入库明细!$E691)</f>
        <v/>
      </c>
      <c r="B691">
        <f t="shared" si="323"/>
        <v>0</v>
      </c>
      <c r="C691">
        <f t="shared" si="324"/>
        <v>7</v>
      </c>
      <c r="D691" t="str">
        <f>IF(包装物料出入库明细!$E691="","",包装物料出入库明细!$F691)</f>
        <v/>
      </c>
      <c r="E691" t="str">
        <f>IF(包装物料出入库明细!$E691="","",包装物料出入库明细!$G691)</f>
        <v/>
      </c>
      <c r="K691" t="str">
        <f>IF(包装物料出入库明细!$D691="","",包装物料出入库明细!$D691)</f>
        <v/>
      </c>
      <c r="L691">
        <f t="shared" si="325"/>
        <v>0</v>
      </c>
      <c r="M691">
        <f t="shared" si="326"/>
        <v>9</v>
      </c>
      <c r="Q691" t="str">
        <f>IF(周转筐出入库明细!$D692="","",周转筐出入库明细!$D692)</f>
        <v/>
      </c>
      <c r="R691">
        <f t="shared" si="327"/>
        <v>0</v>
      </c>
      <c r="S691">
        <f t="shared" si="328"/>
        <v>5</v>
      </c>
      <c r="W691" t="str">
        <f>IF(周转筐出入库明细!$C692="","",周转筐出入库明细!$C692)</f>
        <v/>
      </c>
      <c r="X691">
        <f t="shared" si="329"/>
        <v>0</v>
      </c>
      <c r="Y691">
        <f t="shared" si="330"/>
        <v>12</v>
      </c>
      <c r="AC691" t="str">
        <f>IF(客户自备加工筐明细!$C691="","",客户自备加工筐明细!$C691)</f>
        <v/>
      </c>
      <c r="AD691">
        <f t="shared" si="331"/>
        <v>0</v>
      </c>
      <c r="AE691">
        <f t="shared" si="332"/>
        <v>1</v>
      </c>
      <c r="AI691" t="str">
        <f>IF(客户自备加工筐明细!$E691="","",客户自备加工筐明细!$E691)</f>
        <v/>
      </c>
      <c r="AJ691">
        <f t="shared" si="333"/>
        <v>0</v>
      </c>
      <c r="AK691">
        <f t="shared" si="334"/>
        <v>1</v>
      </c>
      <c r="BS691" t="str">
        <f t="shared" si="340"/>
        <v/>
      </c>
      <c r="BT691">
        <f t="shared" si="335"/>
        <v>0</v>
      </c>
      <c r="BU691">
        <f t="shared" si="336"/>
        <v>17</v>
      </c>
      <c r="CP691">
        <f>IF(包装物料出入库明细!$D691="",0,1)</f>
        <v>0</v>
      </c>
      <c r="CQ691">
        <f t="shared" si="337"/>
        <v>37</v>
      </c>
      <c r="CS691" t="str">
        <f>IF(OR(周转筐出入库明细!$C692="",周转筐出入库明细!$F692&lt;&gt;"采购入库"),"",周转筐出入库明细!$C692)</f>
        <v/>
      </c>
      <c r="CT691">
        <f t="shared" si="338"/>
        <v>0</v>
      </c>
      <c r="CU691">
        <f t="shared" si="339"/>
        <v>1</v>
      </c>
    </row>
    <row r="692" spans="1:99">
      <c r="A692" t="str">
        <f>IF(包装物料出入库明细!$E692="","",包装物料出入库明细!$E692)</f>
        <v/>
      </c>
      <c r="B692">
        <f t="shared" si="323"/>
        <v>0</v>
      </c>
      <c r="C692">
        <f t="shared" si="324"/>
        <v>7</v>
      </c>
      <c r="D692" t="str">
        <f>IF(包装物料出入库明细!$E692="","",包装物料出入库明细!$F692)</f>
        <v/>
      </c>
      <c r="E692" t="str">
        <f>IF(包装物料出入库明细!$E692="","",包装物料出入库明细!$G692)</f>
        <v/>
      </c>
      <c r="K692" t="str">
        <f>IF(包装物料出入库明细!$D692="","",包装物料出入库明细!$D692)</f>
        <v/>
      </c>
      <c r="L692">
        <f t="shared" si="325"/>
        <v>0</v>
      </c>
      <c r="M692">
        <f t="shared" si="326"/>
        <v>9</v>
      </c>
      <c r="Q692" t="str">
        <f>IF(周转筐出入库明细!$D693="","",周转筐出入库明细!$D693)</f>
        <v/>
      </c>
      <c r="R692">
        <f t="shared" si="327"/>
        <v>0</v>
      </c>
      <c r="S692">
        <f t="shared" si="328"/>
        <v>5</v>
      </c>
      <c r="W692" t="str">
        <f>IF(周转筐出入库明细!$C693="","",周转筐出入库明细!$C693)</f>
        <v/>
      </c>
      <c r="X692">
        <f t="shared" si="329"/>
        <v>0</v>
      </c>
      <c r="Y692">
        <f t="shared" si="330"/>
        <v>12</v>
      </c>
      <c r="AC692" t="str">
        <f>IF(客户自备加工筐明细!$C692="","",客户自备加工筐明细!$C692)</f>
        <v/>
      </c>
      <c r="AD692">
        <f t="shared" si="331"/>
        <v>0</v>
      </c>
      <c r="AE692">
        <f t="shared" si="332"/>
        <v>1</v>
      </c>
      <c r="AI692" t="str">
        <f>IF(客户自备加工筐明细!$E692="","",客户自备加工筐明细!$E692)</f>
        <v/>
      </c>
      <c r="AJ692">
        <f t="shared" si="333"/>
        <v>0</v>
      </c>
      <c r="AK692">
        <f t="shared" si="334"/>
        <v>1</v>
      </c>
      <c r="BS692" t="str">
        <f t="shared" si="340"/>
        <v/>
      </c>
      <c r="BT692">
        <f t="shared" si="335"/>
        <v>0</v>
      </c>
      <c r="BU692">
        <f t="shared" si="336"/>
        <v>17</v>
      </c>
      <c r="CP692">
        <f>IF(包装物料出入库明细!$D692="",0,1)</f>
        <v>0</v>
      </c>
      <c r="CQ692">
        <f t="shared" si="337"/>
        <v>37</v>
      </c>
      <c r="CS692" t="str">
        <f>IF(OR(周转筐出入库明细!$C693="",周转筐出入库明细!$F693&lt;&gt;"采购入库"),"",周转筐出入库明细!$C693)</f>
        <v/>
      </c>
      <c r="CT692">
        <f t="shared" si="338"/>
        <v>0</v>
      </c>
      <c r="CU692">
        <f t="shared" si="339"/>
        <v>1</v>
      </c>
    </row>
    <row r="693" spans="1:99">
      <c r="A693" t="str">
        <f>IF(包装物料出入库明细!$E693="","",包装物料出入库明细!$E693)</f>
        <v/>
      </c>
      <c r="B693">
        <f t="shared" si="323"/>
        <v>0</v>
      </c>
      <c r="C693">
        <f t="shared" si="324"/>
        <v>7</v>
      </c>
      <c r="D693" t="str">
        <f>IF(包装物料出入库明细!$E693="","",包装物料出入库明细!$F693)</f>
        <v/>
      </c>
      <c r="E693" t="str">
        <f>IF(包装物料出入库明细!$E693="","",包装物料出入库明细!$G693)</f>
        <v/>
      </c>
      <c r="K693" t="str">
        <f>IF(包装物料出入库明细!$D693="","",包装物料出入库明细!$D693)</f>
        <v/>
      </c>
      <c r="L693">
        <f t="shared" si="325"/>
        <v>0</v>
      </c>
      <c r="M693">
        <f t="shared" si="326"/>
        <v>9</v>
      </c>
      <c r="Q693" t="str">
        <f>IF(周转筐出入库明细!$D694="","",周转筐出入库明细!$D694)</f>
        <v/>
      </c>
      <c r="R693">
        <f t="shared" si="327"/>
        <v>0</v>
      </c>
      <c r="S693">
        <f t="shared" si="328"/>
        <v>5</v>
      </c>
      <c r="W693" t="str">
        <f>IF(周转筐出入库明细!$C694="","",周转筐出入库明细!$C694)</f>
        <v/>
      </c>
      <c r="X693">
        <f t="shared" si="329"/>
        <v>0</v>
      </c>
      <c r="Y693">
        <f t="shared" si="330"/>
        <v>12</v>
      </c>
      <c r="AC693" t="str">
        <f>IF(客户自备加工筐明细!$C693="","",客户自备加工筐明细!$C693)</f>
        <v/>
      </c>
      <c r="AD693">
        <f t="shared" si="331"/>
        <v>0</v>
      </c>
      <c r="AE693">
        <f t="shared" si="332"/>
        <v>1</v>
      </c>
      <c r="AI693" t="str">
        <f>IF(客户自备加工筐明细!$E693="","",客户自备加工筐明细!$E693)</f>
        <v/>
      </c>
      <c r="AJ693">
        <f t="shared" si="333"/>
        <v>0</v>
      </c>
      <c r="AK693">
        <f t="shared" si="334"/>
        <v>1</v>
      </c>
      <c r="BS693" t="str">
        <f t="shared" si="340"/>
        <v/>
      </c>
      <c r="BT693">
        <f t="shared" si="335"/>
        <v>0</v>
      </c>
      <c r="BU693">
        <f t="shared" si="336"/>
        <v>17</v>
      </c>
      <c r="CP693">
        <f>IF(包装物料出入库明细!$D693="",0,1)</f>
        <v>0</v>
      </c>
      <c r="CQ693">
        <f t="shared" si="337"/>
        <v>37</v>
      </c>
      <c r="CS693" t="str">
        <f>IF(OR(周转筐出入库明细!$C694="",周转筐出入库明细!$F694&lt;&gt;"采购入库"),"",周转筐出入库明细!$C694)</f>
        <v/>
      </c>
      <c r="CT693">
        <f t="shared" si="338"/>
        <v>0</v>
      </c>
      <c r="CU693">
        <f t="shared" si="339"/>
        <v>1</v>
      </c>
    </row>
    <row r="694" spans="1:99">
      <c r="A694" t="str">
        <f>IF(包装物料出入库明细!$E694="","",包装物料出入库明细!$E694)</f>
        <v/>
      </c>
      <c r="B694">
        <f t="shared" si="323"/>
        <v>0</v>
      </c>
      <c r="C694">
        <f t="shared" si="324"/>
        <v>7</v>
      </c>
      <c r="D694" t="str">
        <f>IF(包装物料出入库明细!$E694="","",包装物料出入库明细!$F694)</f>
        <v/>
      </c>
      <c r="E694" t="str">
        <f>IF(包装物料出入库明细!$E694="","",包装物料出入库明细!$G694)</f>
        <v/>
      </c>
      <c r="K694" t="str">
        <f>IF(包装物料出入库明细!$D694="","",包装物料出入库明细!$D694)</f>
        <v/>
      </c>
      <c r="L694">
        <f t="shared" si="325"/>
        <v>0</v>
      </c>
      <c r="M694">
        <f t="shared" si="326"/>
        <v>9</v>
      </c>
      <c r="Q694" t="str">
        <f>IF(周转筐出入库明细!$D695="","",周转筐出入库明细!$D695)</f>
        <v/>
      </c>
      <c r="R694">
        <f t="shared" si="327"/>
        <v>0</v>
      </c>
      <c r="S694">
        <f t="shared" si="328"/>
        <v>5</v>
      </c>
      <c r="W694" t="str">
        <f>IF(周转筐出入库明细!$C695="","",周转筐出入库明细!$C695)</f>
        <v/>
      </c>
      <c r="X694">
        <f t="shared" si="329"/>
        <v>0</v>
      </c>
      <c r="Y694">
        <f t="shared" si="330"/>
        <v>12</v>
      </c>
      <c r="AC694" t="str">
        <f>IF(客户自备加工筐明细!$C694="","",客户自备加工筐明细!$C694)</f>
        <v/>
      </c>
      <c r="AD694">
        <f t="shared" si="331"/>
        <v>0</v>
      </c>
      <c r="AE694">
        <f t="shared" si="332"/>
        <v>1</v>
      </c>
      <c r="AI694" t="str">
        <f>IF(客户自备加工筐明细!$E694="","",客户自备加工筐明细!$E694)</f>
        <v/>
      </c>
      <c r="AJ694">
        <f t="shared" si="333"/>
        <v>0</v>
      </c>
      <c r="AK694">
        <f t="shared" si="334"/>
        <v>1</v>
      </c>
      <c r="BS694" t="str">
        <f t="shared" si="340"/>
        <v/>
      </c>
      <c r="BT694">
        <f t="shared" si="335"/>
        <v>0</v>
      </c>
      <c r="BU694">
        <f t="shared" si="336"/>
        <v>17</v>
      </c>
      <c r="CP694">
        <f>IF(包装物料出入库明细!$D694="",0,1)</f>
        <v>0</v>
      </c>
      <c r="CQ694">
        <f t="shared" si="337"/>
        <v>37</v>
      </c>
      <c r="CS694" t="str">
        <f>IF(OR(周转筐出入库明细!$C695="",周转筐出入库明细!$F695&lt;&gt;"采购入库"),"",周转筐出入库明细!$C695)</f>
        <v/>
      </c>
      <c r="CT694">
        <f t="shared" si="338"/>
        <v>0</v>
      </c>
      <c r="CU694">
        <f t="shared" si="339"/>
        <v>1</v>
      </c>
    </row>
    <row r="695" spans="1:99">
      <c r="A695" t="str">
        <f>IF(包装物料出入库明细!$E695="","",包装物料出入库明细!$E695)</f>
        <v/>
      </c>
      <c r="B695">
        <f t="shared" si="323"/>
        <v>0</v>
      </c>
      <c r="C695">
        <f t="shared" si="324"/>
        <v>7</v>
      </c>
      <c r="D695" t="str">
        <f>IF(包装物料出入库明细!$E695="","",包装物料出入库明细!$F695)</f>
        <v/>
      </c>
      <c r="E695" t="str">
        <f>IF(包装物料出入库明细!$E695="","",包装物料出入库明细!$G695)</f>
        <v/>
      </c>
      <c r="K695" t="str">
        <f>IF(包装物料出入库明细!$D695="","",包装物料出入库明细!$D695)</f>
        <v/>
      </c>
      <c r="L695">
        <f t="shared" si="325"/>
        <v>0</v>
      </c>
      <c r="M695">
        <f t="shared" si="326"/>
        <v>9</v>
      </c>
      <c r="Q695" t="str">
        <f>IF(周转筐出入库明细!$D696="","",周转筐出入库明细!$D696)</f>
        <v/>
      </c>
      <c r="R695">
        <f t="shared" si="327"/>
        <v>0</v>
      </c>
      <c r="S695">
        <f t="shared" si="328"/>
        <v>5</v>
      </c>
      <c r="W695" t="str">
        <f>IF(周转筐出入库明细!$C696="","",周转筐出入库明细!$C696)</f>
        <v/>
      </c>
      <c r="X695">
        <f t="shared" si="329"/>
        <v>0</v>
      </c>
      <c r="Y695">
        <f t="shared" si="330"/>
        <v>12</v>
      </c>
      <c r="AC695" t="str">
        <f>IF(客户自备加工筐明细!$C695="","",客户自备加工筐明细!$C695)</f>
        <v/>
      </c>
      <c r="AD695">
        <f t="shared" si="331"/>
        <v>0</v>
      </c>
      <c r="AE695">
        <f t="shared" si="332"/>
        <v>1</v>
      </c>
      <c r="AI695" t="str">
        <f>IF(客户自备加工筐明细!$E695="","",客户自备加工筐明细!$E695)</f>
        <v/>
      </c>
      <c r="AJ695">
        <f t="shared" si="333"/>
        <v>0</v>
      </c>
      <c r="AK695">
        <f t="shared" si="334"/>
        <v>1</v>
      </c>
      <c r="BS695" t="str">
        <f t="shared" si="340"/>
        <v/>
      </c>
      <c r="BT695">
        <f t="shared" si="335"/>
        <v>0</v>
      </c>
      <c r="BU695">
        <f t="shared" si="336"/>
        <v>17</v>
      </c>
      <c r="CP695">
        <f>IF(包装物料出入库明细!$D695="",0,1)</f>
        <v>0</v>
      </c>
      <c r="CQ695">
        <f t="shared" si="337"/>
        <v>37</v>
      </c>
      <c r="CS695" t="str">
        <f>IF(OR(周转筐出入库明细!$C696="",周转筐出入库明细!$F696&lt;&gt;"采购入库"),"",周转筐出入库明细!$C696)</f>
        <v/>
      </c>
      <c r="CT695">
        <f t="shared" si="338"/>
        <v>0</v>
      </c>
      <c r="CU695">
        <f t="shared" si="339"/>
        <v>1</v>
      </c>
    </row>
    <row r="696" spans="1:99">
      <c r="A696" t="str">
        <f>IF(包装物料出入库明细!$E696="","",包装物料出入库明细!$E696)</f>
        <v/>
      </c>
      <c r="B696">
        <f t="shared" si="323"/>
        <v>0</v>
      </c>
      <c r="C696">
        <f t="shared" si="324"/>
        <v>7</v>
      </c>
      <c r="D696" t="str">
        <f>IF(包装物料出入库明细!$E696="","",包装物料出入库明细!$F696)</f>
        <v/>
      </c>
      <c r="E696" t="str">
        <f>IF(包装物料出入库明细!$E696="","",包装物料出入库明细!$G696)</f>
        <v/>
      </c>
      <c r="K696" t="str">
        <f>IF(包装物料出入库明细!$D696="","",包装物料出入库明细!$D696)</f>
        <v/>
      </c>
      <c r="L696">
        <f t="shared" si="325"/>
        <v>0</v>
      </c>
      <c r="M696">
        <f t="shared" si="326"/>
        <v>9</v>
      </c>
      <c r="Q696" t="str">
        <f>IF(周转筐出入库明细!$D697="","",周转筐出入库明细!$D697)</f>
        <v/>
      </c>
      <c r="R696">
        <f t="shared" si="327"/>
        <v>0</v>
      </c>
      <c r="S696">
        <f t="shared" si="328"/>
        <v>5</v>
      </c>
      <c r="W696" t="str">
        <f>IF(周转筐出入库明细!$C697="","",周转筐出入库明细!$C697)</f>
        <v/>
      </c>
      <c r="X696">
        <f t="shared" si="329"/>
        <v>0</v>
      </c>
      <c r="Y696">
        <f t="shared" si="330"/>
        <v>12</v>
      </c>
      <c r="AC696" t="str">
        <f>IF(客户自备加工筐明细!$C696="","",客户自备加工筐明细!$C696)</f>
        <v/>
      </c>
      <c r="AD696">
        <f t="shared" si="331"/>
        <v>0</v>
      </c>
      <c r="AE696">
        <f t="shared" si="332"/>
        <v>1</v>
      </c>
      <c r="AI696" t="str">
        <f>IF(客户自备加工筐明细!$E696="","",客户自备加工筐明细!$E696)</f>
        <v/>
      </c>
      <c r="AJ696">
        <f t="shared" si="333"/>
        <v>0</v>
      </c>
      <c r="AK696">
        <f t="shared" si="334"/>
        <v>1</v>
      </c>
      <c r="BS696" t="str">
        <f t="shared" si="340"/>
        <v/>
      </c>
      <c r="BT696">
        <f t="shared" si="335"/>
        <v>0</v>
      </c>
      <c r="BU696">
        <f t="shared" si="336"/>
        <v>17</v>
      </c>
      <c r="CP696">
        <f>IF(包装物料出入库明细!$D696="",0,1)</f>
        <v>0</v>
      </c>
      <c r="CQ696">
        <f t="shared" si="337"/>
        <v>37</v>
      </c>
      <c r="CS696" t="str">
        <f>IF(OR(周转筐出入库明细!$C697="",周转筐出入库明细!$F697&lt;&gt;"采购入库"),"",周转筐出入库明细!$C697)</f>
        <v/>
      </c>
      <c r="CT696">
        <f t="shared" si="338"/>
        <v>0</v>
      </c>
      <c r="CU696">
        <f t="shared" si="339"/>
        <v>1</v>
      </c>
    </row>
    <row r="697" spans="1:99">
      <c r="A697" t="str">
        <f>IF(包装物料出入库明细!$E697="","",包装物料出入库明细!$E697)</f>
        <v/>
      </c>
      <c r="B697">
        <f t="shared" si="323"/>
        <v>0</v>
      </c>
      <c r="C697">
        <f t="shared" si="324"/>
        <v>7</v>
      </c>
      <c r="D697" t="str">
        <f>IF(包装物料出入库明细!$E697="","",包装物料出入库明细!$F697)</f>
        <v/>
      </c>
      <c r="E697" t="str">
        <f>IF(包装物料出入库明细!$E697="","",包装物料出入库明细!$G697)</f>
        <v/>
      </c>
      <c r="K697" t="str">
        <f>IF(包装物料出入库明细!$D697="","",包装物料出入库明细!$D697)</f>
        <v/>
      </c>
      <c r="L697">
        <f t="shared" si="325"/>
        <v>0</v>
      </c>
      <c r="M697">
        <f t="shared" si="326"/>
        <v>9</v>
      </c>
      <c r="Q697" t="str">
        <f>IF(周转筐出入库明细!$D698="","",周转筐出入库明细!$D698)</f>
        <v/>
      </c>
      <c r="R697">
        <f t="shared" si="327"/>
        <v>0</v>
      </c>
      <c r="S697">
        <f t="shared" si="328"/>
        <v>5</v>
      </c>
      <c r="W697" t="str">
        <f>IF(周转筐出入库明细!$C698="","",周转筐出入库明细!$C698)</f>
        <v/>
      </c>
      <c r="X697">
        <f t="shared" si="329"/>
        <v>0</v>
      </c>
      <c r="Y697">
        <f t="shared" si="330"/>
        <v>12</v>
      </c>
      <c r="AC697" t="str">
        <f>IF(客户自备加工筐明细!$C697="","",客户自备加工筐明细!$C697)</f>
        <v/>
      </c>
      <c r="AD697">
        <f t="shared" si="331"/>
        <v>0</v>
      </c>
      <c r="AE697">
        <f t="shared" si="332"/>
        <v>1</v>
      </c>
      <c r="AI697" t="str">
        <f>IF(客户自备加工筐明细!$E697="","",客户自备加工筐明细!$E697)</f>
        <v/>
      </c>
      <c r="AJ697">
        <f t="shared" si="333"/>
        <v>0</v>
      </c>
      <c r="AK697">
        <f t="shared" si="334"/>
        <v>1</v>
      </c>
      <c r="BS697" t="str">
        <f t="shared" si="340"/>
        <v/>
      </c>
      <c r="BT697">
        <f t="shared" si="335"/>
        <v>0</v>
      </c>
      <c r="BU697">
        <f t="shared" si="336"/>
        <v>17</v>
      </c>
      <c r="CP697">
        <f>IF(包装物料出入库明细!$D697="",0,1)</f>
        <v>0</v>
      </c>
      <c r="CQ697">
        <f t="shared" si="337"/>
        <v>37</v>
      </c>
      <c r="CS697" t="str">
        <f>IF(OR(周转筐出入库明细!$C698="",周转筐出入库明细!$F698&lt;&gt;"采购入库"),"",周转筐出入库明细!$C698)</f>
        <v/>
      </c>
      <c r="CT697">
        <f t="shared" si="338"/>
        <v>0</v>
      </c>
      <c r="CU697">
        <f t="shared" si="339"/>
        <v>1</v>
      </c>
    </row>
    <row r="698" spans="1:99">
      <c r="A698" t="str">
        <f>IF(包装物料出入库明细!$E698="","",包装物料出入库明细!$E698)</f>
        <v/>
      </c>
      <c r="B698">
        <f t="shared" si="323"/>
        <v>0</v>
      </c>
      <c r="C698">
        <f t="shared" si="324"/>
        <v>7</v>
      </c>
      <c r="D698" t="str">
        <f>IF(包装物料出入库明细!$E698="","",包装物料出入库明细!$F698)</f>
        <v/>
      </c>
      <c r="E698" t="str">
        <f>IF(包装物料出入库明细!$E698="","",包装物料出入库明细!$G698)</f>
        <v/>
      </c>
      <c r="K698" t="str">
        <f>IF(包装物料出入库明细!$D698="","",包装物料出入库明细!$D698)</f>
        <v/>
      </c>
      <c r="L698">
        <f t="shared" si="325"/>
        <v>0</v>
      </c>
      <c r="M698">
        <f t="shared" si="326"/>
        <v>9</v>
      </c>
      <c r="Q698" t="str">
        <f>IF(周转筐出入库明细!$D699="","",周转筐出入库明细!$D699)</f>
        <v/>
      </c>
      <c r="R698">
        <f t="shared" si="327"/>
        <v>0</v>
      </c>
      <c r="S698">
        <f t="shared" si="328"/>
        <v>5</v>
      </c>
      <c r="W698" t="str">
        <f>IF(周转筐出入库明细!$C699="","",周转筐出入库明细!$C699)</f>
        <v/>
      </c>
      <c r="X698">
        <f t="shared" si="329"/>
        <v>0</v>
      </c>
      <c r="Y698">
        <f t="shared" si="330"/>
        <v>12</v>
      </c>
      <c r="AC698" t="str">
        <f>IF(客户自备加工筐明细!$C698="","",客户自备加工筐明细!$C698)</f>
        <v/>
      </c>
      <c r="AD698">
        <f t="shared" si="331"/>
        <v>0</v>
      </c>
      <c r="AE698">
        <f t="shared" si="332"/>
        <v>1</v>
      </c>
      <c r="AI698" t="str">
        <f>IF(客户自备加工筐明细!$E698="","",客户自备加工筐明细!$E698)</f>
        <v/>
      </c>
      <c r="AJ698">
        <f t="shared" si="333"/>
        <v>0</v>
      </c>
      <c r="AK698">
        <f t="shared" si="334"/>
        <v>1</v>
      </c>
      <c r="BS698" t="str">
        <f t="shared" si="340"/>
        <v/>
      </c>
      <c r="BT698">
        <f t="shared" si="335"/>
        <v>0</v>
      </c>
      <c r="BU698">
        <f t="shared" si="336"/>
        <v>17</v>
      </c>
      <c r="CP698">
        <f>IF(包装物料出入库明细!$D698="",0,1)</f>
        <v>0</v>
      </c>
      <c r="CQ698">
        <f t="shared" si="337"/>
        <v>37</v>
      </c>
      <c r="CS698" t="str">
        <f>IF(OR(周转筐出入库明细!$C699="",周转筐出入库明细!$F699&lt;&gt;"采购入库"),"",周转筐出入库明细!$C699)</f>
        <v/>
      </c>
      <c r="CT698">
        <f t="shared" si="338"/>
        <v>0</v>
      </c>
      <c r="CU698">
        <f t="shared" si="339"/>
        <v>1</v>
      </c>
    </row>
    <row r="699" spans="1:99">
      <c r="A699" t="str">
        <f>IF(包装物料出入库明细!$E699="","",包装物料出入库明细!$E699)</f>
        <v/>
      </c>
      <c r="B699">
        <f t="shared" si="323"/>
        <v>0</v>
      </c>
      <c r="C699">
        <f t="shared" si="324"/>
        <v>7</v>
      </c>
      <c r="D699" t="str">
        <f>IF(包装物料出入库明细!$E699="","",包装物料出入库明细!$F699)</f>
        <v/>
      </c>
      <c r="E699" t="str">
        <f>IF(包装物料出入库明细!$E699="","",包装物料出入库明细!$G699)</f>
        <v/>
      </c>
      <c r="K699" t="str">
        <f>IF(包装物料出入库明细!$D699="","",包装物料出入库明细!$D699)</f>
        <v/>
      </c>
      <c r="L699">
        <f t="shared" si="325"/>
        <v>0</v>
      </c>
      <c r="M699">
        <f t="shared" si="326"/>
        <v>9</v>
      </c>
      <c r="Q699" t="str">
        <f>IF(周转筐出入库明细!$D700="","",周转筐出入库明细!$D700)</f>
        <v/>
      </c>
      <c r="R699">
        <f t="shared" si="327"/>
        <v>0</v>
      </c>
      <c r="S699">
        <f t="shared" si="328"/>
        <v>5</v>
      </c>
      <c r="W699" t="str">
        <f>IF(周转筐出入库明细!$C700="","",周转筐出入库明细!$C700)</f>
        <v/>
      </c>
      <c r="X699">
        <f t="shared" si="329"/>
        <v>0</v>
      </c>
      <c r="Y699">
        <f t="shared" si="330"/>
        <v>12</v>
      </c>
      <c r="AC699" t="str">
        <f>IF(客户自备加工筐明细!$C699="","",客户自备加工筐明细!$C699)</f>
        <v/>
      </c>
      <c r="AD699">
        <f t="shared" si="331"/>
        <v>0</v>
      </c>
      <c r="AE699">
        <f t="shared" si="332"/>
        <v>1</v>
      </c>
      <c r="AI699" t="str">
        <f>IF(客户自备加工筐明细!$E699="","",客户自备加工筐明细!$E699)</f>
        <v/>
      </c>
      <c r="AJ699">
        <f t="shared" si="333"/>
        <v>0</v>
      </c>
      <c r="AK699">
        <f t="shared" si="334"/>
        <v>1</v>
      </c>
      <c r="BS699" t="str">
        <f t="shared" si="340"/>
        <v/>
      </c>
      <c r="BT699">
        <f t="shared" si="335"/>
        <v>0</v>
      </c>
      <c r="BU699">
        <f t="shared" si="336"/>
        <v>17</v>
      </c>
      <c r="CP699">
        <f>IF(包装物料出入库明细!$D699="",0,1)</f>
        <v>0</v>
      </c>
      <c r="CQ699">
        <f t="shared" si="337"/>
        <v>37</v>
      </c>
      <c r="CS699" t="str">
        <f>IF(OR(周转筐出入库明细!$C700="",周转筐出入库明细!$F700&lt;&gt;"采购入库"),"",周转筐出入库明细!$C700)</f>
        <v/>
      </c>
      <c r="CT699">
        <f t="shared" si="338"/>
        <v>0</v>
      </c>
      <c r="CU699">
        <f t="shared" si="339"/>
        <v>1</v>
      </c>
    </row>
    <row r="700" spans="1:99">
      <c r="A700" t="str">
        <f>IF(包装物料出入库明细!$E700="","",包装物料出入库明细!$E700)</f>
        <v/>
      </c>
      <c r="B700">
        <f t="shared" si="323"/>
        <v>0</v>
      </c>
      <c r="C700">
        <f t="shared" si="324"/>
        <v>7</v>
      </c>
      <c r="D700" t="str">
        <f>IF(包装物料出入库明细!$E700="","",包装物料出入库明细!$F700)</f>
        <v/>
      </c>
      <c r="E700" t="str">
        <f>IF(包装物料出入库明细!$E700="","",包装物料出入库明细!$G700)</f>
        <v/>
      </c>
      <c r="K700" t="str">
        <f>IF(包装物料出入库明细!$D700="","",包装物料出入库明细!$D700)</f>
        <v/>
      </c>
      <c r="L700">
        <f t="shared" si="325"/>
        <v>0</v>
      </c>
      <c r="M700">
        <f t="shared" si="326"/>
        <v>9</v>
      </c>
      <c r="Q700" t="str">
        <f>IF(周转筐出入库明细!$D701="","",周转筐出入库明细!$D701)</f>
        <v/>
      </c>
      <c r="R700">
        <f t="shared" si="327"/>
        <v>0</v>
      </c>
      <c r="S700">
        <f t="shared" si="328"/>
        <v>5</v>
      </c>
      <c r="W700" t="str">
        <f>IF(周转筐出入库明细!$C701="","",周转筐出入库明细!$C701)</f>
        <v/>
      </c>
      <c r="X700">
        <f t="shared" si="329"/>
        <v>0</v>
      </c>
      <c r="Y700">
        <f t="shared" si="330"/>
        <v>12</v>
      </c>
      <c r="AC700" t="str">
        <f>IF(客户自备加工筐明细!$C700="","",客户自备加工筐明细!$C700)</f>
        <v/>
      </c>
      <c r="AD700">
        <f t="shared" si="331"/>
        <v>0</v>
      </c>
      <c r="AE700">
        <f t="shared" si="332"/>
        <v>1</v>
      </c>
      <c r="AI700" t="str">
        <f>IF(客户自备加工筐明细!$E700="","",客户自备加工筐明细!$E700)</f>
        <v/>
      </c>
      <c r="AJ700">
        <f t="shared" si="333"/>
        <v>0</v>
      </c>
      <c r="AK700">
        <f t="shared" si="334"/>
        <v>1</v>
      </c>
      <c r="BS700" t="str">
        <f t="shared" si="340"/>
        <v/>
      </c>
      <c r="BT700">
        <f t="shared" si="335"/>
        <v>0</v>
      </c>
      <c r="BU700">
        <f t="shared" si="336"/>
        <v>17</v>
      </c>
      <c r="CP700">
        <f>IF(包装物料出入库明细!$D700="",0,1)</f>
        <v>0</v>
      </c>
      <c r="CQ700">
        <f t="shared" si="337"/>
        <v>37</v>
      </c>
      <c r="CS700" t="str">
        <f>IF(OR(周转筐出入库明细!$C701="",周转筐出入库明细!$F701&lt;&gt;"采购入库"),"",周转筐出入库明细!$C701)</f>
        <v/>
      </c>
      <c r="CT700">
        <f t="shared" si="338"/>
        <v>0</v>
      </c>
      <c r="CU700">
        <f t="shared" si="339"/>
        <v>1</v>
      </c>
    </row>
    <row r="701" spans="1:99">
      <c r="A701" t="str">
        <f>IF(包装物料出入库明细!$E701="","",包装物料出入库明细!$E701)</f>
        <v/>
      </c>
      <c r="B701">
        <f t="shared" si="323"/>
        <v>0</v>
      </c>
      <c r="C701">
        <f t="shared" si="324"/>
        <v>7</v>
      </c>
      <c r="D701" t="str">
        <f>IF(包装物料出入库明细!$E701="","",包装物料出入库明细!$F701)</f>
        <v/>
      </c>
      <c r="E701" t="str">
        <f>IF(包装物料出入库明细!$E701="","",包装物料出入库明细!$G701)</f>
        <v/>
      </c>
      <c r="K701" t="str">
        <f>IF(包装物料出入库明细!$D701="","",包装物料出入库明细!$D701)</f>
        <v/>
      </c>
      <c r="L701">
        <f t="shared" si="325"/>
        <v>0</v>
      </c>
      <c r="M701">
        <f t="shared" si="326"/>
        <v>9</v>
      </c>
      <c r="Q701" t="str">
        <f>IF(周转筐出入库明细!$D702="","",周转筐出入库明细!$D702)</f>
        <v/>
      </c>
      <c r="R701">
        <f t="shared" si="327"/>
        <v>0</v>
      </c>
      <c r="S701">
        <f t="shared" si="328"/>
        <v>5</v>
      </c>
      <c r="W701" t="str">
        <f>IF(周转筐出入库明细!$C702="","",周转筐出入库明细!$C702)</f>
        <v/>
      </c>
      <c r="X701">
        <f t="shared" si="329"/>
        <v>0</v>
      </c>
      <c r="Y701">
        <f t="shared" si="330"/>
        <v>12</v>
      </c>
      <c r="AC701" t="str">
        <f>IF(客户自备加工筐明细!$C701="","",客户自备加工筐明细!$C701)</f>
        <v/>
      </c>
      <c r="AD701">
        <f t="shared" si="331"/>
        <v>0</v>
      </c>
      <c r="AE701">
        <f t="shared" si="332"/>
        <v>1</v>
      </c>
      <c r="AI701" t="str">
        <f>IF(客户自备加工筐明细!$E701="","",客户自备加工筐明细!$E701)</f>
        <v/>
      </c>
      <c r="AJ701">
        <f t="shared" si="333"/>
        <v>0</v>
      </c>
      <c r="AK701">
        <f t="shared" si="334"/>
        <v>1</v>
      </c>
      <c r="BS701" t="str">
        <f t="shared" si="340"/>
        <v/>
      </c>
      <c r="BT701">
        <f t="shared" si="335"/>
        <v>0</v>
      </c>
      <c r="BU701">
        <f t="shared" si="336"/>
        <v>17</v>
      </c>
      <c r="CP701">
        <f>IF(包装物料出入库明细!$D701="",0,1)</f>
        <v>0</v>
      </c>
      <c r="CQ701">
        <f t="shared" si="337"/>
        <v>37</v>
      </c>
      <c r="CS701" t="str">
        <f>IF(OR(周转筐出入库明细!$C702="",周转筐出入库明细!$F702&lt;&gt;"采购入库"),"",周转筐出入库明细!$C702)</f>
        <v/>
      </c>
      <c r="CT701">
        <f t="shared" si="338"/>
        <v>0</v>
      </c>
      <c r="CU701">
        <f t="shared" si="339"/>
        <v>1</v>
      </c>
    </row>
    <row r="702" spans="1:99">
      <c r="A702" t="str">
        <f>IF(包装物料出入库明细!$E702="","",包装物料出入库明细!$E702)</f>
        <v/>
      </c>
      <c r="B702">
        <f t="shared" si="323"/>
        <v>0</v>
      </c>
      <c r="C702">
        <f t="shared" si="324"/>
        <v>7</v>
      </c>
      <c r="D702" t="str">
        <f>IF(包装物料出入库明细!$E702="","",包装物料出入库明细!$F702)</f>
        <v/>
      </c>
      <c r="E702" t="str">
        <f>IF(包装物料出入库明细!$E702="","",包装物料出入库明细!$G702)</f>
        <v/>
      </c>
      <c r="K702" t="str">
        <f>IF(包装物料出入库明细!$D702="","",包装物料出入库明细!$D702)</f>
        <v/>
      </c>
      <c r="L702">
        <f t="shared" si="325"/>
        <v>0</v>
      </c>
      <c r="M702">
        <f t="shared" si="326"/>
        <v>9</v>
      </c>
      <c r="Q702" t="str">
        <f>IF(周转筐出入库明细!$D703="","",周转筐出入库明细!$D703)</f>
        <v/>
      </c>
      <c r="R702">
        <f t="shared" si="327"/>
        <v>0</v>
      </c>
      <c r="S702">
        <f t="shared" si="328"/>
        <v>5</v>
      </c>
      <c r="W702" t="str">
        <f>IF(周转筐出入库明细!$C703="","",周转筐出入库明细!$C703)</f>
        <v/>
      </c>
      <c r="X702">
        <f t="shared" si="329"/>
        <v>0</v>
      </c>
      <c r="Y702">
        <f t="shared" si="330"/>
        <v>12</v>
      </c>
      <c r="AC702" t="str">
        <f>IF(客户自备加工筐明细!$C702="","",客户自备加工筐明细!$C702)</f>
        <v/>
      </c>
      <c r="AD702">
        <f t="shared" si="331"/>
        <v>0</v>
      </c>
      <c r="AE702">
        <f t="shared" si="332"/>
        <v>1</v>
      </c>
      <c r="AI702" t="str">
        <f>IF(客户自备加工筐明细!$E702="","",客户自备加工筐明细!$E702)</f>
        <v/>
      </c>
      <c r="AJ702">
        <f t="shared" si="333"/>
        <v>0</v>
      </c>
      <c r="AK702">
        <f t="shared" si="334"/>
        <v>1</v>
      </c>
      <c r="BS702" t="str">
        <f t="shared" si="340"/>
        <v/>
      </c>
      <c r="BT702">
        <f t="shared" si="335"/>
        <v>0</v>
      </c>
      <c r="BU702">
        <f t="shared" si="336"/>
        <v>17</v>
      </c>
      <c r="CP702">
        <f>IF(包装物料出入库明细!$D702="",0,1)</f>
        <v>0</v>
      </c>
      <c r="CQ702">
        <f t="shared" si="337"/>
        <v>37</v>
      </c>
      <c r="CS702" t="str">
        <f>IF(OR(周转筐出入库明细!$C703="",周转筐出入库明细!$F703&lt;&gt;"采购入库"),"",周转筐出入库明细!$C703)</f>
        <v/>
      </c>
      <c r="CT702">
        <f t="shared" si="338"/>
        <v>0</v>
      </c>
      <c r="CU702">
        <f t="shared" si="339"/>
        <v>1</v>
      </c>
    </row>
    <row r="703" spans="1:99">
      <c r="A703" t="str">
        <f>IF(包装物料出入库明细!$E703="","",包装物料出入库明细!$E703)</f>
        <v/>
      </c>
      <c r="B703">
        <f t="shared" si="323"/>
        <v>0</v>
      </c>
      <c r="C703">
        <f t="shared" si="324"/>
        <v>7</v>
      </c>
      <c r="D703" t="str">
        <f>IF(包装物料出入库明细!$E703="","",包装物料出入库明细!$F703)</f>
        <v/>
      </c>
      <c r="E703" t="str">
        <f>IF(包装物料出入库明细!$E703="","",包装物料出入库明细!$G703)</f>
        <v/>
      </c>
      <c r="K703" t="str">
        <f>IF(包装物料出入库明细!$D703="","",包装物料出入库明细!$D703)</f>
        <v/>
      </c>
      <c r="L703">
        <f t="shared" si="325"/>
        <v>0</v>
      </c>
      <c r="M703">
        <f t="shared" si="326"/>
        <v>9</v>
      </c>
      <c r="Q703" t="str">
        <f>IF(周转筐出入库明细!$D704="","",周转筐出入库明细!$D704)</f>
        <v/>
      </c>
      <c r="R703">
        <f t="shared" si="327"/>
        <v>0</v>
      </c>
      <c r="S703">
        <f t="shared" si="328"/>
        <v>5</v>
      </c>
      <c r="W703" t="str">
        <f>IF(周转筐出入库明细!$C704="","",周转筐出入库明细!$C704)</f>
        <v/>
      </c>
      <c r="X703">
        <f t="shared" si="329"/>
        <v>0</v>
      </c>
      <c r="Y703">
        <f t="shared" si="330"/>
        <v>12</v>
      </c>
      <c r="AC703" t="str">
        <f>IF(客户自备加工筐明细!$C703="","",客户自备加工筐明细!$C703)</f>
        <v/>
      </c>
      <c r="AD703">
        <f t="shared" si="331"/>
        <v>0</v>
      </c>
      <c r="AE703">
        <f t="shared" si="332"/>
        <v>1</v>
      </c>
      <c r="AI703" t="str">
        <f>IF(客户自备加工筐明细!$E703="","",客户自备加工筐明细!$E703)</f>
        <v/>
      </c>
      <c r="AJ703">
        <f t="shared" si="333"/>
        <v>0</v>
      </c>
      <c r="AK703">
        <f t="shared" si="334"/>
        <v>1</v>
      </c>
      <c r="BS703" t="str">
        <f t="shared" si="340"/>
        <v/>
      </c>
      <c r="BT703">
        <f t="shared" si="335"/>
        <v>0</v>
      </c>
      <c r="BU703">
        <f t="shared" si="336"/>
        <v>17</v>
      </c>
      <c r="CP703">
        <f>IF(包装物料出入库明细!$D703="",0,1)</f>
        <v>0</v>
      </c>
      <c r="CQ703">
        <f t="shared" si="337"/>
        <v>37</v>
      </c>
      <c r="CS703" t="str">
        <f>IF(OR(周转筐出入库明细!$C704="",周转筐出入库明细!$F704&lt;&gt;"采购入库"),"",周转筐出入库明细!$C704)</f>
        <v/>
      </c>
      <c r="CT703">
        <f t="shared" si="338"/>
        <v>0</v>
      </c>
      <c r="CU703">
        <f t="shared" si="339"/>
        <v>1</v>
      </c>
    </row>
    <row r="704" spans="1:99">
      <c r="A704" t="str">
        <f>IF(包装物料出入库明细!$E704="","",包装物料出入库明细!$E704)</f>
        <v/>
      </c>
      <c r="B704">
        <f t="shared" si="323"/>
        <v>0</v>
      </c>
      <c r="C704">
        <f t="shared" si="324"/>
        <v>7</v>
      </c>
      <c r="D704" t="str">
        <f>IF(包装物料出入库明细!$E704="","",包装物料出入库明细!$F704)</f>
        <v/>
      </c>
      <c r="E704" t="str">
        <f>IF(包装物料出入库明细!$E704="","",包装物料出入库明细!$G704)</f>
        <v/>
      </c>
      <c r="K704" t="str">
        <f>IF(包装物料出入库明细!$D704="","",包装物料出入库明细!$D704)</f>
        <v/>
      </c>
      <c r="L704">
        <f t="shared" si="325"/>
        <v>0</v>
      </c>
      <c r="M704">
        <f t="shared" si="326"/>
        <v>9</v>
      </c>
      <c r="Q704" t="str">
        <f>IF(周转筐出入库明细!$D705="","",周转筐出入库明细!$D705)</f>
        <v/>
      </c>
      <c r="R704">
        <f t="shared" si="327"/>
        <v>0</v>
      </c>
      <c r="S704">
        <f t="shared" si="328"/>
        <v>5</v>
      </c>
      <c r="W704" t="str">
        <f>IF(周转筐出入库明细!$C705="","",周转筐出入库明细!$C705)</f>
        <v/>
      </c>
      <c r="X704">
        <f t="shared" si="329"/>
        <v>0</v>
      </c>
      <c r="Y704">
        <f t="shared" si="330"/>
        <v>12</v>
      </c>
      <c r="AC704" t="str">
        <f>IF(客户自备加工筐明细!$C704="","",客户自备加工筐明细!$C704)</f>
        <v/>
      </c>
      <c r="AD704">
        <f t="shared" si="331"/>
        <v>0</v>
      </c>
      <c r="AE704">
        <f t="shared" si="332"/>
        <v>1</v>
      </c>
      <c r="AI704" t="str">
        <f>IF(客户自备加工筐明细!$E704="","",客户自备加工筐明细!$E704)</f>
        <v/>
      </c>
      <c r="AJ704">
        <f t="shared" si="333"/>
        <v>0</v>
      </c>
      <c r="AK704">
        <f t="shared" si="334"/>
        <v>1</v>
      </c>
      <c r="BS704" t="str">
        <f t="shared" si="340"/>
        <v/>
      </c>
      <c r="BT704">
        <f t="shared" si="335"/>
        <v>0</v>
      </c>
      <c r="BU704">
        <f t="shared" si="336"/>
        <v>17</v>
      </c>
      <c r="CP704">
        <f>IF(包装物料出入库明细!$D704="",0,1)</f>
        <v>0</v>
      </c>
      <c r="CQ704">
        <f t="shared" si="337"/>
        <v>37</v>
      </c>
      <c r="CS704" t="str">
        <f>IF(OR(周转筐出入库明细!$C705="",周转筐出入库明细!$F705&lt;&gt;"采购入库"),"",周转筐出入库明细!$C705)</f>
        <v/>
      </c>
      <c r="CT704">
        <f t="shared" si="338"/>
        <v>0</v>
      </c>
      <c r="CU704">
        <f t="shared" si="339"/>
        <v>1</v>
      </c>
    </row>
    <row r="705" spans="1:99">
      <c r="A705" t="str">
        <f>IF(包装物料出入库明细!$E705="","",包装物料出入库明细!$E705)</f>
        <v/>
      </c>
      <c r="B705">
        <f t="shared" si="323"/>
        <v>0</v>
      </c>
      <c r="C705">
        <f t="shared" si="324"/>
        <v>7</v>
      </c>
      <c r="D705" t="str">
        <f>IF(包装物料出入库明细!$E705="","",包装物料出入库明细!$F705)</f>
        <v/>
      </c>
      <c r="E705" t="str">
        <f>IF(包装物料出入库明细!$E705="","",包装物料出入库明细!$G705)</f>
        <v/>
      </c>
      <c r="K705" t="str">
        <f>IF(包装物料出入库明细!$D705="","",包装物料出入库明细!$D705)</f>
        <v/>
      </c>
      <c r="L705">
        <f t="shared" si="325"/>
        <v>0</v>
      </c>
      <c r="M705">
        <f t="shared" si="326"/>
        <v>9</v>
      </c>
      <c r="Q705" t="str">
        <f>IF(周转筐出入库明细!$D706="","",周转筐出入库明细!$D706)</f>
        <v/>
      </c>
      <c r="R705">
        <f t="shared" si="327"/>
        <v>0</v>
      </c>
      <c r="S705">
        <f t="shared" si="328"/>
        <v>5</v>
      </c>
      <c r="W705" t="str">
        <f>IF(周转筐出入库明细!$C706="","",周转筐出入库明细!$C706)</f>
        <v/>
      </c>
      <c r="X705">
        <f t="shared" si="329"/>
        <v>0</v>
      </c>
      <c r="Y705">
        <f t="shared" si="330"/>
        <v>12</v>
      </c>
      <c r="AC705" t="str">
        <f>IF(客户自备加工筐明细!$C705="","",客户自备加工筐明细!$C705)</f>
        <v/>
      </c>
      <c r="AD705">
        <f t="shared" si="331"/>
        <v>0</v>
      </c>
      <c r="AE705">
        <f t="shared" si="332"/>
        <v>1</v>
      </c>
      <c r="AI705" t="str">
        <f>IF(客户自备加工筐明细!$E705="","",客户自备加工筐明细!$E705)</f>
        <v/>
      </c>
      <c r="AJ705">
        <f t="shared" si="333"/>
        <v>0</v>
      </c>
      <c r="AK705">
        <f t="shared" si="334"/>
        <v>1</v>
      </c>
      <c r="BS705" t="str">
        <f t="shared" si="340"/>
        <v/>
      </c>
      <c r="BT705">
        <f t="shared" si="335"/>
        <v>0</v>
      </c>
      <c r="BU705">
        <f t="shared" si="336"/>
        <v>17</v>
      </c>
      <c r="CP705">
        <f>IF(包装物料出入库明细!$D705="",0,1)</f>
        <v>0</v>
      </c>
      <c r="CQ705">
        <f t="shared" si="337"/>
        <v>37</v>
      </c>
      <c r="CS705" t="str">
        <f>IF(OR(周转筐出入库明细!$C706="",周转筐出入库明细!$F706&lt;&gt;"采购入库"),"",周转筐出入库明细!$C706)</f>
        <v/>
      </c>
      <c r="CT705">
        <f t="shared" si="338"/>
        <v>0</v>
      </c>
      <c r="CU705">
        <f t="shared" si="339"/>
        <v>1</v>
      </c>
    </row>
    <row r="706" spans="1:99">
      <c r="A706" t="str">
        <f>IF(包装物料出入库明细!$E706="","",包装物料出入库明细!$E706)</f>
        <v/>
      </c>
      <c r="B706">
        <f t="shared" si="323"/>
        <v>0</v>
      </c>
      <c r="C706">
        <f t="shared" si="324"/>
        <v>7</v>
      </c>
      <c r="D706" t="str">
        <f>IF(包装物料出入库明细!$E706="","",包装物料出入库明细!$F706)</f>
        <v/>
      </c>
      <c r="E706" t="str">
        <f>IF(包装物料出入库明细!$E706="","",包装物料出入库明细!$G706)</f>
        <v/>
      </c>
      <c r="K706" t="str">
        <f>IF(包装物料出入库明细!$D706="","",包装物料出入库明细!$D706)</f>
        <v/>
      </c>
      <c r="L706">
        <f t="shared" si="325"/>
        <v>0</v>
      </c>
      <c r="M706">
        <f t="shared" si="326"/>
        <v>9</v>
      </c>
      <c r="Q706" t="str">
        <f>IF(周转筐出入库明细!$D707="","",周转筐出入库明细!$D707)</f>
        <v/>
      </c>
      <c r="R706">
        <f t="shared" si="327"/>
        <v>0</v>
      </c>
      <c r="S706">
        <f t="shared" si="328"/>
        <v>5</v>
      </c>
      <c r="W706" t="str">
        <f>IF(周转筐出入库明细!$C707="","",周转筐出入库明细!$C707)</f>
        <v/>
      </c>
      <c r="X706">
        <f t="shared" si="329"/>
        <v>0</v>
      </c>
      <c r="Y706">
        <f t="shared" si="330"/>
        <v>12</v>
      </c>
      <c r="AC706" t="str">
        <f>IF(客户自备加工筐明细!$C706="","",客户自备加工筐明细!$C706)</f>
        <v/>
      </c>
      <c r="AD706">
        <f t="shared" si="331"/>
        <v>0</v>
      </c>
      <c r="AE706">
        <f t="shared" si="332"/>
        <v>1</v>
      </c>
      <c r="AI706" t="str">
        <f>IF(客户自备加工筐明细!$E706="","",客户自备加工筐明细!$E706)</f>
        <v/>
      </c>
      <c r="AJ706">
        <f t="shared" si="333"/>
        <v>0</v>
      </c>
      <c r="AK706">
        <f t="shared" si="334"/>
        <v>1</v>
      </c>
      <c r="BS706" t="str">
        <f t="shared" si="340"/>
        <v/>
      </c>
      <c r="BT706">
        <f t="shared" si="335"/>
        <v>0</v>
      </c>
      <c r="BU706">
        <f t="shared" si="336"/>
        <v>17</v>
      </c>
      <c r="CP706">
        <f>IF(包装物料出入库明细!$D706="",0,1)</f>
        <v>0</v>
      </c>
      <c r="CQ706">
        <f t="shared" si="337"/>
        <v>37</v>
      </c>
      <c r="CS706" t="str">
        <f>IF(OR(周转筐出入库明细!$C707="",周转筐出入库明细!$F707&lt;&gt;"采购入库"),"",周转筐出入库明细!$C707)</f>
        <v/>
      </c>
      <c r="CT706">
        <f t="shared" si="338"/>
        <v>0</v>
      </c>
      <c r="CU706">
        <f t="shared" si="339"/>
        <v>1</v>
      </c>
    </row>
    <row r="707" spans="1:99">
      <c r="A707" t="str">
        <f>IF(包装物料出入库明细!$E707="","",包装物料出入库明细!$E707)</f>
        <v/>
      </c>
      <c r="B707">
        <f t="shared" si="323"/>
        <v>0</v>
      </c>
      <c r="C707">
        <f t="shared" si="324"/>
        <v>7</v>
      </c>
      <c r="D707" t="str">
        <f>IF(包装物料出入库明细!$E707="","",包装物料出入库明细!$F707)</f>
        <v/>
      </c>
      <c r="E707" t="str">
        <f>IF(包装物料出入库明细!$E707="","",包装物料出入库明细!$G707)</f>
        <v/>
      </c>
      <c r="K707" t="str">
        <f>IF(包装物料出入库明细!$D707="","",包装物料出入库明细!$D707)</f>
        <v/>
      </c>
      <c r="L707">
        <f t="shared" si="325"/>
        <v>0</v>
      </c>
      <c r="M707">
        <f t="shared" si="326"/>
        <v>9</v>
      </c>
      <c r="Q707" t="str">
        <f>IF(周转筐出入库明细!$D708="","",周转筐出入库明细!$D708)</f>
        <v/>
      </c>
      <c r="R707">
        <f t="shared" si="327"/>
        <v>0</v>
      </c>
      <c r="S707">
        <f t="shared" si="328"/>
        <v>5</v>
      </c>
      <c r="W707" t="str">
        <f>IF(周转筐出入库明细!$C708="","",周转筐出入库明细!$C708)</f>
        <v/>
      </c>
      <c r="X707">
        <f t="shared" si="329"/>
        <v>0</v>
      </c>
      <c r="Y707">
        <f t="shared" si="330"/>
        <v>12</v>
      </c>
      <c r="AC707" t="str">
        <f>IF(客户自备加工筐明细!$C707="","",客户自备加工筐明细!$C707)</f>
        <v/>
      </c>
      <c r="AD707">
        <f t="shared" si="331"/>
        <v>0</v>
      </c>
      <c r="AE707">
        <f t="shared" si="332"/>
        <v>1</v>
      </c>
      <c r="AI707" t="str">
        <f>IF(客户自备加工筐明细!$E707="","",客户自备加工筐明细!$E707)</f>
        <v/>
      </c>
      <c r="AJ707">
        <f t="shared" si="333"/>
        <v>0</v>
      </c>
      <c r="AK707">
        <f t="shared" si="334"/>
        <v>1</v>
      </c>
      <c r="BS707" t="str">
        <f t="shared" si="340"/>
        <v/>
      </c>
      <c r="BT707">
        <f t="shared" si="335"/>
        <v>0</v>
      </c>
      <c r="BU707">
        <f t="shared" si="336"/>
        <v>17</v>
      </c>
      <c r="CP707">
        <f>IF(包装物料出入库明细!$D707="",0,1)</f>
        <v>0</v>
      </c>
      <c r="CQ707">
        <f t="shared" si="337"/>
        <v>37</v>
      </c>
      <c r="CS707" t="str">
        <f>IF(OR(周转筐出入库明细!$C708="",周转筐出入库明细!$F708&lt;&gt;"采购入库"),"",周转筐出入库明细!$C708)</f>
        <v/>
      </c>
      <c r="CT707">
        <f t="shared" si="338"/>
        <v>0</v>
      </c>
      <c r="CU707">
        <f t="shared" si="339"/>
        <v>1</v>
      </c>
    </row>
    <row r="708" spans="1:99">
      <c r="A708" t="str">
        <f>IF(包装物料出入库明细!$E708="","",包装物料出入库明细!$E708)</f>
        <v/>
      </c>
      <c r="B708">
        <f t="shared" ref="B708:B771" si="341">IF(A708="",0,IF(MATCH(A708,$A$4:$A$2003,0)=ROW()-3,1,0))</f>
        <v>0</v>
      </c>
      <c r="C708">
        <f t="shared" ref="C708:C771" si="342">N(C707)+B708</f>
        <v>7</v>
      </c>
      <c r="D708" t="str">
        <f>IF(包装物料出入库明细!$E708="","",包装物料出入库明细!$F708)</f>
        <v/>
      </c>
      <c r="E708" t="str">
        <f>IF(包装物料出入库明细!$E708="","",包装物料出入库明细!$G708)</f>
        <v/>
      </c>
      <c r="K708" t="str">
        <f>IF(包装物料出入库明细!$D708="","",包装物料出入库明细!$D708)</f>
        <v/>
      </c>
      <c r="L708">
        <f t="shared" ref="L708:L771" si="343">IF(K708="",0,IF(MATCH(K708,$K$4:$K$2003,0)=ROW()-3,1,0))</f>
        <v>0</v>
      </c>
      <c r="M708">
        <f t="shared" ref="M708:M771" si="344">N(M707)+L708</f>
        <v>9</v>
      </c>
      <c r="Q708" t="str">
        <f>IF(周转筐出入库明细!$D709="","",周转筐出入库明细!$D709)</f>
        <v/>
      </c>
      <c r="R708">
        <f t="shared" ref="R708:R771" si="345">IF(Q708="",0,IF(MATCH(Q708,$Q$4:$Q$2003,0)=ROW()-3,1,0))</f>
        <v>0</v>
      </c>
      <c r="S708">
        <f t="shared" ref="S708:S771" si="346">N(S707)+R708</f>
        <v>5</v>
      </c>
      <c r="W708" t="str">
        <f>IF(周转筐出入库明细!$C709="","",周转筐出入库明细!$C709)</f>
        <v/>
      </c>
      <c r="X708">
        <f t="shared" ref="X708:X771" si="347">IF(W708="",0,IF(MATCH(W708,$W$4:$W$2003,0)=ROW()-3,1,0))</f>
        <v>0</v>
      </c>
      <c r="Y708">
        <f t="shared" ref="Y708:Y771" si="348">N(Y707)+X708</f>
        <v>12</v>
      </c>
      <c r="AC708" t="str">
        <f>IF(客户自备加工筐明细!$C708="","",客户自备加工筐明细!$C708)</f>
        <v/>
      </c>
      <c r="AD708">
        <f t="shared" ref="AD708:AD771" si="349">IF(AC708="",0,IF(MATCH(AC708,$AC$4:$AC$1203,0)=ROW()-3,1,0))</f>
        <v>0</v>
      </c>
      <c r="AE708">
        <f t="shared" ref="AE708:AE771" si="350">N(AE707)+AD708</f>
        <v>1</v>
      </c>
      <c r="AI708" t="str">
        <f>IF(客户自备加工筐明细!$E708="","",客户自备加工筐明细!$E708)</f>
        <v/>
      </c>
      <c r="AJ708">
        <f t="shared" ref="AJ708:AJ771" si="351">IF(AI708="",0,IF(MATCH(AI708,$AI$4:$AI$1503,0)=ROW()-3,1,0))</f>
        <v>0</v>
      </c>
      <c r="AK708">
        <f t="shared" ref="AK708:AK771" si="352">N(AK707)+AJ708</f>
        <v>1</v>
      </c>
      <c r="BS708" t="str">
        <f t="shared" si="340"/>
        <v/>
      </c>
      <c r="BT708">
        <f t="shared" ref="BT708:BT771" si="353">IF(BS708="",0,IF(MATCH(BS708,$BS$4:$BS$1103,0)=ROW()-3,1,0))</f>
        <v>0</v>
      </c>
      <c r="BU708">
        <f t="shared" ref="BU708:BU771" si="354">N(BU707)+BT708</f>
        <v>17</v>
      </c>
      <c r="CP708">
        <f>IF(包装物料出入库明细!$D708="",0,1)</f>
        <v>0</v>
      </c>
      <c r="CQ708">
        <f t="shared" ref="CQ708:CQ771" si="355">N(CQ707)+$CP708</f>
        <v>37</v>
      </c>
      <c r="CS708" t="str">
        <f>IF(OR(周转筐出入库明细!$C709="",周转筐出入库明细!$F709&lt;&gt;"采购入库"),"",周转筐出入库明细!$C709)</f>
        <v/>
      </c>
      <c r="CT708">
        <f t="shared" ref="CT708:CT771" si="356">IF(CS708="",0,IF(MATCH(CS708,$CS$4:$CS$2003,0)=ROW()-3,1,0))</f>
        <v>0</v>
      </c>
      <c r="CU708">
        <f t="shared" ref="CU708:CU771" si="357">N(CU707)+CT708</f>
        <v>1</v>
      </c>
    </row>
    <row r="709" spans="1:99">
      <c r="A709" t="str">
        <f>IF(包装物料出入库明细!$E709="","",包装物料出入库明细!$E709)</f>
        <v/>
      </c>
      <c r="B709">
        <f t="shared" si="341"/>
        <v>0</v>
      </c>
      <c r="C709">
        <f t="shared" si="342"/>
        <v>7</v>
      </c>
      <c r="D709" t="str">
        <f>IF(包装物料出入库明细!$E709="","",包装物料出入库明细!$F709)</f>
        <v/>
      </c>
      <c r="E709" t="str">
        <f>IF(包装物料出入库明细!$E709="","",包装物料出入库明细!$G709)</f>
        <v/>
      </c>
      <c r="K709" t="str">
        <f>IF(包装物料出入库明细!$D709="","",包装物料出入库明细!$D709)</f>
        <v/>
      </c>
      <c r="L709">
        <f t="shared" si="343"/>
        <v>0</v>
      </c>
      <c r="M709">
        <f t="shared" si="344"/>
        <v>9</v>
      </c>
      <c r="Q709" t="str">
        <f>IF(周转筐出入库明细!$D710="","",周转筐出入库明细!$D710)</f>
        <v/>
      </c>
      <c r="R709">
        <f t="shared" si="345"/>
        <v>0</v>
      </c>
      <c r="S709">
        <f t="shared" si="346"/>
        <v>5</v>
      </c>
      <c r="W709" t="str">
        <f>IF(周转筐出入库明细!$C710="","",周转筐出入库明细!$C710)</f>
        <v/>
      </c>
      <c r="X709">
        <f t="shared" si="347"/>
        <v>0</v>
      </c>
      <c r="Y709">
        <f t="shared" si="348"/>
        <v>12</v>
      </c>
      <c r="AC709" t="str">
        <f>IF(客户自备加工筐明细!$C709="","",客户自备加工筐明细!$C709)</f>
        <v/>
      </c>
      <c r="AD709">
        <f t="shared" si="349"/>
        <v>0</v>
      </c>
      <c r="AE709">
        <f t="shared" si="350"/>
        <v>1</v>
      </c>
      <c r="AI709" t="str">
        <f>IF(客户自备加工筐明细!$E709="","",客户自备加工筐明细!$E709)</f>
        <v/>
      </c>
      <c r="AJ709">
        <f t="shared" si="351"/>
        <v>0</v>
      </c>
      <c r="AK709">
        <f t="shared" si="352"/>
        <v>1</v>
      </c>
      <c r="BS709" t="str">
        <f t="shared" si="340"/>
        <v/>
      </c>
      <c r="BT709">
        <f t="shared" si="353"/>
        <v>0</v>
      </c>
      <c r="BU709">
        <f t="shared" si="354"/>
        <v>17</v>
      </c>
      <c r="CP709">
        <f>IF(包装物料出入库明细!$D709="",0,1)</f>
        <v>0</v>
      </c>
      <c r="CQ709">
        <f t="shared" si="355"/>
        <v>37</v>
      </c>
      <c r="CS709" t="str">
        <f>IF(OR(周转筐出入库明细!$C710="",周转筐出入库明细!$F710&lt;&gt;"采购入库"),"",周转筐出入库明细!$C710)</f>
        <v/>
      </c>
      <c r="CT709">
        <f t="shared" si="356"/>
        <v>0</v>
      </c>
      <c r="CU709">
        <f t="shared" si="357"/>
        <v>1</v>
      </c>
    </row>
    <row r="710" spans="1:99">
      <c r="A710" t="str">
        <f>IF(包装物料出入库明细!$E710="","",包装物料出入库明细!$E710)</f>
        <v/>
      </c>
      <c r="B710">
        <f t="shared" si="341"/>
        <v>0</v>
      </c>
      <c r="C710">
        <f t="shared" si="342"/>
        <v>7</v>
      </c>
      <c r="D710" t="str">
        <f>IF(包装物料出入库明细!$E710="","",包装物料出入库明细!$F710)</f>
        <v/>
      </c>
      <c r="E710" t="str">
        <f>IF(包装物料出入库明细!$E710="","",包装物料出入库明细!$G710)</f>
        <v/>
      </c>
      <c r="K710" t="str">
        <f>IF(包装物料出入库明细!$D710="","",包装物料出入库明细!$D710)</f>
        <v/>
      </c>
      <c r="L710">
        <f t="shared" si="343"/>
        <v>0</v>
      </c>
      <c r="M710">
        <f t="shared" si="344"/>
        <v>9</v>
      </c>
      <c r="Q710" t="str">
        <f>IF(周转筐出入库明细!$D711="","",周转筐出入库明细!$D711)</f>
        <v/>
      </c>
      <c r="R710">
        <f t="shared" si="345"/>
        <v>0</v>
      </c>
      <c r="S710">
        <f t="shared" si="346"/>
        <v>5</v>
      </c>
      <c r="W710" t="str">
        <f>IF(周转筐出入库明细!$C711="","",周转筐出入库明细!$C711)</f>
        <v/>
      </c>
      <c r="X710">
        <f t="shared" si="347"/>
        <v>0</v>
      </c>
      <c r="Y710">
        <f t="shared" si="348"/>
        <v>12</v>
      </c>
      <c r="AC710" t="str">
        <f>IF(客户自备加工筐明细!$C710="","",客户自备加工筐明细!$C710)</f>
        <v/>
      </c>
      <c r="AD710">
        <f t="shared" si="349"/>
        <v>0</v>
      </c>
      <c r="AE710">
        <f t="shared" si="350"/>
        <v>1</v>
      </c>
      <c r="AI710" t="str">
        <f>IF(客户自备加工筐明细!$E710="","",客户自备加工筐明细!$E710)</f>
        <v/>
      </c>
      <c r="AJ710">
        <f t="shared" si="351"/>
        <v>0</v>
      </c>
      <c r="AK710">
        <f t="shared" si="352"/>
        <v>1</v>
      </c>
      <c r="BS710" t="str">
        <f t="shared" si="340"/>
        <v/>
      </c>
      <c r="BT710">
        <f t="shared" si="353"/>
        <v>0</v>
      </c>
      <c r="BU710">
        <f t="shared" si="354"/>
        <v>17</v>
      </c>
      <c r="CP710">
        <f>IF(包装物料出入库明细!$D710="",0,1)</f>
        <v>0</v>
      </c>
      <c r="CQ710">
        <f t="shared" si="355"/>
        <v>37</v>
      </c>
      <c r="CS710" t="str">
        <f>IF(OR(周转筐出入库明细!$C711="",周转筐出入库明细!$F711&lt;&gt;"采购入库"),"",周转筐出入库明细!$C711)</f>
        <v/>
      </c>
      <c r="CT710">
        <f t="shared" si="356"/>
        <v>0</v>
      </c>
      <c r="CU710">
        <f t="shared" si="357"/>
        <v>1</v>
      </c>
    </row>
    <row r="711" spans="1:99">
      <c r="A711" t="str">
        <f>IF(包装物料出入库明细!$E711="","",包装物料出入库明细!$E711)</f>
        <v/>
      </c>
      <c r="B711">
        <f t="shared" si="341"/>
        <v>0</v>
      </c>
      <c r="C711">
        <f t="shared" si="342"/>
        <v>7</v>
      </c>
      <c r="D711" t="str">
        <f>IF(包装物料出入库明细!$E711="","",包装物料出入库明细!$F711)</f>
        <v/>
      </c>
      <c r="E711" t="str">
        <f>IF(包装物料出入库明细!$E711="","",包装物料出入库明细!$G711)</f>
        <v/>
      </c>
      <c r="K711" t="str">
        <f>IF(包装物料出入库明细!$D711="","",包装物料出入库明细!$D711)</f>
        <v/>
      </c>
      <c r="L711">
        <f t="shared" si="343"/>
        <v>0</v>
      </c>
      <c r="M711">
        <f t="shared" si="344"/>
        <v>9</v>
      </c>
      <c r="Q711" t="str">
        <f>IF(周转筐出入库明细!$D712="","",周转筐出入库明细!$D712)</f>
        <v/>
      </c>
      <c r="R711">
        <f t="shared" si="345"/>
        <v>0</v>
      </c>
      <c r="S711">
        <f t="shared" si="346"/>
        <v>5</v>
      </c>
      <c r="W711" t="str">
        <f>IF(周转筐出入库明细!$C712="","",周转筐出入库明细!$C712)</f>
        <v/>
      </c>
      <c r="X711">
        <f t="shared" si="347"/>
        <v>0</v>
      </c>
      <c r="Y711">
        <f t="shared" si="348"/>
        <v>12</v>
      </c>
      <c r="AC711" t="str">
        <f>IF(客户自备加工筐明细!$C711="","",客户自备加工筐明细!$C711)</f>
        <v/>
      </c>
      <c r="AD711">
        <f t="shared" si="349"/>
        <v>0</v>
      </c>
      <c r="AE711">
        <f t="shared" si="350"/>
        <v>1</v>
      </c>
      <c r="AI711" t="str">
        <f>IF(客户自备加工筐明细!$E711="","",客户自备加工筐明细!$E711)</f>
        <v/>
      </c>
      <c r="AJ711">
        <f t="shared" si="351"/>
        <v>0</v>
      </c>
      <c r="AK711">
        <f t="shared" si="352"/>
        <v>1</v>
      </c>
      <c r="BS711" t="str">
        <f t="shared" si="340"/>
        <v/>
      </c>
      <c r="BT711">
        <f t="shared" si="353"/>
        <v>0</v>
      </c>
      <c r="BU711">
        <f t="shared" si="354"/>
        <v>17</v>
      </c>
      <c r="CP711">
        <f>IF(包装物料出入库明细!$D711="",0,1)</f>
        <v>0</v>
      </c>
      <c r="CQ711">
        <f t="shared" si="355"/>
        <v>37</v>
      </c>
      <c r="CS711" t="str">
        <f>IF(OR(周转筐出入库明细!$C712="",周转筐出入库明细!$F712&lt;&gt;"采购入库"),"",周转筐出入库明细!$C712)</f>
        <v/>
      </c>
      <c r="CT711">
        <f t="shared" si="356"/>
        <v>0</v>
      </c>
      <c r="CU711">
        <f t="shared" si="357"/>
        <v>1</v>
      </c>
    </row>
    <row r="712" spans="1:99">
      <c r="A712" t="str">
        <f>IF(包装物料出入库明细!$E712="","",包装物料出入库明细!$E712)</f>
        <v/>
      </c>
      <c r="B712">
        <f t="shared" si="341"/>
        <v>0</v>
      </c>
      <c r="C712">
        <f t="shared" si="342"/>
        <v>7</v>
      </c>
      <c r="D712" t="str">
        <f>IF(包装物料出入库明细!$E712="","",包装物料出入库明细!$F712)</f>
        <v/>
      </c>
      <c r="E712" t="str">
        <f>IF(包装物料出入库明细!$E712="","",包装物料出入库明细!$G712)</f>
        <v/>
      </c>
      <c r="K712" t="str">
        <f>IF(包装物料出入库明细!$D712="","",包装物料出入库明细!$D712)</f>
        <v/>
      </c>
      <c r="L712">
        <f t="shared" si="343"/>
        <v>0</v>
      </c>
      <c r="M712">
        <f t="shared" si="344"/>
        <v>9</v>
      </c>
      <c r="Q712" t="str">
        <f>IF(周转筐出入库明细!$D713="","",周转筐出入库明细!$D713)</f>
        <v/>
      </c>
      <c r="R712">
        <f t="shared" si="345"/>
        <v>0</v>
      </c>
      <c r="S712">
        <f t="shared" si="346"/>
        <v>5</v>
      </c>
      <c r="W712" t="str">
        <f>IF(周转筐出入库明细!$C713="","",周转筐出入库明细!$C713)</f>
        <v/>
      </c>
      <c r="X712">
        <f t="shared" si="347"/>
        <v>0</v>
      </c>
      <c r="Y712">
        <f t="shared" si="348"/>
        <v>12</v>
      </c>
      <c r="AC712" t="str">
        <f>IF(客户自备加工筐明细!$C712="","",客户自备加工筐明细!$C712)</f>
        <v/>
      </c>
      <c r="AD712">
        <f t="shared" si="349"/>
        <v>0</v>
      </c>
      <c r="AE712">
        <f t="shared" si="350"/>
        <v>1</v>
      </c>
      <c r="AI712" t="str">
        <f>IF(客户自备加工筐明细!$E712="","",客户自备加工筐明细!$E712)</f>
        <v/>
      </c>
      <c r="AJ712">
        <f t="shared" si="351"/>
        <v>0</v>
      </c>
      <c r="AK712">
        <f t="shared" si="352"/>
        <v>1</v>
      </c>
      <c r="BS712" t="str">
        <f t="shared" si="340"/>
        <v/>
      </c>
      <c r="BT712">
        <f t="shared" si="353"/>
        <v>0</v>
      </c>
      <c r="BU712">
        <f t="shared" si="354"/>
        <v>17</v>
      </c>
      <c r="CP712">
        <f>IF(包装物料出入库明细!$D712="",0,1)</f>
        <v>0</v>
      </c>
      <c r="CQ712">
        <f t="shared" si="355"/>
        <v>37</v>
      </c>
      <c r="CS712" t="str">
        <f>IF(OR(周转筐出入库明细!$C713="",周转筐出入库明细!$F713&lt;&gt;"采购入库"),"",周转筐出入库明细!$C713)</f>
        <v/>
      </c>
      <c r="CT712">
        <f t="shared" si="356"/>
        <v>0</v>
      </c>
      <c r="CU712">
        <f t="shared" si="357"/>
        <v>1</v>
      </c>
    </row>
    <row r="713" spans="1:99">
      <c r="A713" t="str">
        <f>IF(包装物料出入库明细!$E713="","",包装物料出入库明细!$E713)</f>
        <v/>
      </c>
      <c r="B713">
        <f t="shared" si="341"/>
        <v>0</v>
      </c>
      <c r="C713">
        <f t="shared" si="342"/>
        <v>7</v>
      </c>
      <c r="D713" t="str">
        <f>IF(包装物料出入库明细!$E713="","",包装物料出入库明细!$F713)</f>
        <v/>
      </c>
      <c r="E713" t="str">
        <f>IF(包装物料出入库明细!$E713="","",包装物料出入库明细!$G713)</f>
        <v/>
      </c>
      <c r="K713" t="str">
        <f>IF(包装物料出入库明细!$D713="","",包装物料出入库明细!$D713)</f>
        <v/>
      </c>
      <c r="L713">
        <f t="shared" si="343"/>
        <v>0</v>
      </c>
      <c r="M713">
        <f t="shared" si="344"/>
        <v>9</v>
      </c>
      <c r="Q713" t="str">
        <f>IF(周转筐出入库明细!$D714="","",周转筐出入库明细!$D714)</f>
        <v/>
      </c>
      <c r="R713">
        <f t="shared" si="345"/>
        <v>0</v>
      </c>
      <c r="S713">
        <f t="shared" si="346"/>
        <v>5</v>
      </c>
      <c r="W713" t="str">
        <f>IF(周转筐出入库明细!$C714="","",周转筐出入库明细!$C714)</f>
        <v/>
      </c>
      <c r="X713">
        <f t="shared" si="347"/>
        <v>0</v>
      </c>
      <c r="Y713">
        <f t="shared" si="348"/>
        <v>12</v>
      </c>
      <c r="AC713" t="str">
        <f>IF(客户自备加工筐明细!$C713="","",客户自备加工筐明细!$C713)</f>
        <v/>
      </c>
      <c r="AD713">
        <f t="shared" si="349"/>
        <v>0</v>
      </c>
      <c r="AE713">
        <f t="shared" si="350"/>
        <v>1</v>
      </c>
      <c r="AI713" t="str">
        <f>IF(客户自备加工筐明细!$E713="","",客户自备加工筐明细!$E713)</f>
        <v/>
      </c>
      <c r="AJ713">
        <f t="shared" si="351"/>
        <v>0</v>
      </c>
      <c r="AK713">
        <f t="shared" si="352"/>
        <v>1</v>
      </c>
      <c r="BS713" t="str">
        <f t="shared" si="340"/>
        <v/>
      </c>
      <c r="BT713">
        <f t="shared" si="353"/>
        <v>0</v>
      </c>
      <c r="BU713">
        <f t="shared" si="354"/>
        <v>17</v>
      </c>
      <c r="CP713">
        <f>IF(包装物料出入库明细!$D713="",0,1)</f>
        <v>0</v>
      </c>
      <c r="CQ713">
        <f t="shared" si="355"/>
        <v>37</v>
      </c>
      <c r="CS713" t="str">
        <f>IF(OR(周转筐出入库明细!$C714="",周转筐出入库明细!$F714&lt;&gt;"采购入库"),"",周转筐出入库明细!$C714)</f>
        <v/>
      </c>
      <c r="CT713">
        <f t="shared" si="356"/>
        <v>0</v>
      </c>
      <c r="CU713">
        <f t="shared" si="357"/>
        <v>1</v>
      </c>
    </row>
    <row r="714" spans="1:99">
      <c r="A714" t="str">
        <f>IF(包装物料出入库明细!$E714="","",包装物料出入库明细!$E714)</f>
        <v/>
      </c>
      <c r="B714">
        <f t="shared" si="341"/>
        <v>0</v>
      </c>
      <c r="C714">
        <f t="shared" si="342"/>
        <v>7</v>
      </c>
      <c r="D714" t="str">
        <f>IF(包装物料出入库明细!$E714="","",包装物料出入库明细!$F714)</f>
        <v/>
      </c>
      <c r="E714" t="str">
        <f>IF(包装物料出入库明细!$E714="","",包装物料出入库明细!$G714)</f>
        <v/>
      </c>
      <c r="K714" t="str">
        <f>IF(包装物料出入库明细!$D714="","",包装物料出入库明细!$D714)</f>
        <v/>
      </c>
      <c r="L714">
        <f t="shared" si="343"/>
        <v>0</v>
      </c>
      <c r="M714">
        <f t="shared" si="344"/>
        <v>9</v>
      </c>
      <c r="Q714" t="str">
        <f>IF(周转筐出入库明细!$D715="","",周转筐出入库明细!$D715)</f>
        <v/>
      </c>
      <c r="R714">
        <f t="shared" si="345"/>
        <v>0</v>
      </c>
      <c r="S714">
        <f t="shared" si="346"/>
        <v>5</v>
      </c>
      <c r="W714" t="str">
        <f>IF(周转筐出入库明细!$C715="","",周转筐出入库明细!$C715)</f>
        <v/>
      </c>
      <c r="X714">
        <f t="shared" si="347"/>
        <v>0</v>
      </c>
      <c r="Y714">
        <f t="shared" si="348"/>
        <v>12</v>
      </c>
      <c r="AC714" t="str">
        <f>IF(客户自备加工筐明细!$C714="","",客户自备加工筐明细!$C714)</f>
        <v/>
      </c>
      <c r="AD714">
        <f t="shared" si="349"/>
        <v>0</v>
      </c>
      <c r="AE714">
        <f t="shared" si="350"/>
        <v>1</v>
      </c>
      <c r="AI714" t="str">
        <f>IF(客户自备加工筐明细!$E714="","",客户自备加工筐明细!$E714)</f>
        <v/>
      </c>
      <c r="AJ714">
        <f t="shared" si="351"/>
        <v>0</v>
      </c>
      <c r="AK714">
        <f t="shared" si="352"/>
        <v>1</v>
      </c>
      <c r="BS714" t="str">
        <f t="shared" si="340"/>
        <v/>
      </c>
      <c r="BT714">
        <f t="shared" si="353"/>
        <v>0</v>
      </c>
      <c r="BU714">
        <f t="shared" si="354"/>
        <v>17</v>
      </c>
      <c r="CP714">
        <f>IF(包装物料出入库明细!$D714="",0,1)</f>
        <v>0</v>
      </c>
      <c r="CQ714">
        <f t="shared" si="355"/>
        <v>37</v>
      </c>
      <c r="CS714" t="str">
        <f>IF(OR(周转筐出入库明细!$C715="",周转筐出入库明细!$F715&lt;&gt;"采购入库"),"",周转筐出入库明细!$C715)</f>
        <v/>
      </c>
      <c r="CT714">
        <f t="shared" si="356"/>
        <v>0</v>
      </c>
      <c r="CU714">
        <f t="shared" si="357"/>
        <v>1</v>
      </c>
    </row>
    <row r="715" spans="1:99">
      <c r="A715" t="str">
        <f>IF(包装物料出入库明细!$E715="","",包装物料出入库明细!$E715)</f>
        <v/>
      </c>
      <c r="B715">
        <f t="shared" si="341"/>
        <v>0</v>
      </c>
      <c r="C715">
        <f t="shared" si="342"/>
        <v>7</v>
      </c>
      <c r="D715" t="str">
        <f>IF(包装物料出入库明细!$E715="","",包装物料出入库明细!$F715)</f>
        <v/>
      </c>
      <c r="E715" t="str">
        <f>IF(包装物料出入库明细!$E715="","",包装物料出入库明细!$G715)</f>
        <v/>
      </c>
      <c r="K715" t="str">
        <f>IF(包装物料出入库明细!$D715="","",包装物料出入库明细!$D715)</f>
        <v/>
      </c>
      <c r="L715">
        <f t="shared" si="343"/>
        <v>0</v>
      </c>
      <c r="M715">
        <f t="shared" si="344"/>
        <v>9</v>
      </c>
      <c r="Q715" t="str">
        <f>IF(周转筐出入库明细!$D716="","",周转筐出入库明细!$D716)</f>
        <v/>
      </c>
      <c r="R715">
        <f t="shared" si="345"/>
        <v>0</v>
      </c>
      <c r="S715">
        <f t="shared" si="346"/>
        <v>5</v>
      </c>
      <c r="W715" t="str">
        <f>IF(周转筐出入库明细!$C716="","",周转筐出入库明细!$C716)</f>
        <v/>
      </c>
      <c r="X715">
        <f t="shared" si="347"/>
        <v>0</v>
      </c>
      <c r="Y715">
        <f t="shared" si="348"/>
        <v>12</v>
      </c>
      <c r="AC715" t="str">
        <f>IF(客户自备加工筐明细!$C715="","",客户自备加工筐明细!$C715)</f>
        <v/>
      </c>
      <c r="AD715">
        <f t="shared" si="349"/>
        <v>0</v>
      </c>
      <c r="AE715">
        <f t="shared" si="350"/>
        <v>1</v>
      </c>
      <c r="AI715" t="str">
        <f>IF(客户自备加工筐明细!$E715="","",客户自备加工筐明细!$E715)</f>
        <v/>
      </c>
      <c r="AJ715">
        <f t="shared" si="351"/>
        <v>0</v>
      </c>
      <c r="AK715">
        <f t="shared" si="352"/>
        <v>1</v>
      </c>
      <c r="BS715" t="str">
        <f t="shared" si="340"/>
        <v/>
      </c>
      <c r="BT715">
        <f t="shared" si="353"/>
        <v>0</v>
      </c>
      <c r="BU715">
        <f t="shared" si="354"/>
        <v>17</v>
      </c>
      <c r="CP715">
        <f>IF(包装物料出入库明细!$D715="",0,1)</f>
        <v>0</v>
      </c>
      <c r="CQ715">
        <f t="shared" si="355"/>
        <v>37</v>
      </c>
      <c r="CS715" t="str">
        <f>IF(OR(周转筐出入库明细!$C716="",周转筐出入库明细!$F716&lt;&gt;"采购入库"),"",周转筐出入库明细!$C716)</f>
        <v/>
      </c>
      <c r="CT715">
        <f t="shared" si="356"/>
        <v>0</v>
      </c>
      <c r="CU715">
        <f t="shared" si="357"/>
        <v>1</v>
      </c>
    </row>
    <row r="716" spans="1:99">
      <c r="A716" t="str">
        <f>IF(包装物料出入库明细!$E716="","",包装物料出入库明细!$E716)</f>
        <v/>
      </c>
      <c r="B716">
        <f t="shared" si="341"/>
        <v>0</v>
      </c>
      <c r="C716">
        <f t="shared" si="342"/>
        <v>7</v>
      </c>
      <c r="D716" t="str">
        <f>IF(包装物料出入库明细!$E716="","",包装物料出入库明细!$F716)</f>
        <v/>
      </c>
      <c r="E716" t="str">
        <f>IF(包装物料出入库明细!$E716="","",包装物料出入库明细!$G716)</f>
        <v/>
      </c>
      <c r="K716" t="str">
        <f>IF(包装物料出入库明细!$D716="","",包装物料出入库明细!$D716)</f>
        <v/>
      </c>
      <c r="L716">
        <f t="shared" si="343"/>
        <v>0</v>
      </c>
      <c r="M716">
        <f t="shared" si="344"/>
        <v>9</v>
      </c>
      <c r="Q716" t="str">
        <f>IF(周转筐出入库明细!$D717="","",周转筐出入库明细!$D717)</f>
        <v/>
      </c>
      <c r="R716">
        <f t="shared" si="345"/>
        <v>0</v>
      </c>
      <c r="S716">
        <f t="shared" si="346"/>
        <v>5</v>
      </c>
      <c r="W716" t="str">
        <f>IF(周转筐出入库明细!$C717="","",周转筐出入库明细!$C717)</f>
        <v/>
      </c>
      <c r="X716">
        <f t="shared" si="347"/>
        <v>0</v>
      </c>
      <c r="Y716">
        <f t="shared" si="348"/>
        <v>12</v>
      </c>
      <c r="AC716" t="str">
        <f>IF(客户自备加工筐明细!$C716="","",客户自备加工筐明细!$C716)</f>
        <v/>
      </c>
      <c r="AD716">
        <f t="shared" si="349"/>
        <v>0</v>
      </c>
      <c r="AE716">
        <f t="shared" si="350"/>
        <v>1</v>
      </c>
      <c r="AI716" t="str">
        <f>IF(客户自备加工筐明细!$E716="","",客户自备加工筐明细!$E716)</f>
        <v/>
      </c>
      <c r="AJ716">
        <f t="shared" si="351"/>
        <v>0</v>
      </c>
      <c r="AK716">
        <f t="shared" si="352"/>
        <v>1</v>
      </c>
      <c r="BS716" t="str">
        <f t="shared" si="340"/>
        <v/>
      </c>
      <c r="BT716">
        <f t="shared" si="353"/>
        <v>0</v>
      </c>
      <c r="BU716">
        <f t="shared" si="354"/>
        <v>17</v>
      </c>
      <c r="CP716">
        <f>IF(包装物料出入库明细!$D716="",0,1)</f>
        <v>0</v>
      </c>
      <c r="CQ716">
        <f t="shared" si="355"/>
        <v>37</v>
      </c>
      <c r="CS716" t="str">
        <f>IF(OR(周转筐出入库明细!$C717="",周转筐出入库明细!$F717&lt;&gt;"采购入库"),"",周转筐出入库明细!$C717)</f>
        <v/>
      </c>
      <c r="CT716">
        <f t="shared" si="356"/>
        <v>0</v>
      </c>
      <c r="CU716">
        <f t="shared" si="357"/>
        <v>1</v>
      </c>
    </row>
    <row r="717" spans="1:99">
      <c r="A717" t="str">
        <f>IF(包装物料出入库明细!$E717="","",包装物料出入库明细!$E717)</f>
        <v/>
      </c>
      <c r="B717">
        <f t="shared" si="341"/>
        <v>0</v>
      </c>
      <c r="C717">
        <f t="shared" si="342"/>
        <v>7</v>
      </c>
      <c r="D717" t="str">
        <f>IF(包装物料出入库明细!$E717="","",包装物料出入库明细!$F717)</f>
        <v/>
      </c>
      <c r="E717" t="str">
        <f>IF(包装物料出入库明细!$E717="","",包装物料出入库明细!$G717)</f>
        <v/>
      </c>
      <c r="K717" t="str">
        <f>IF(包装物料出入库明细!$D717="","",包装物料出入库明细!$D717)</f>
        <v/>
      </c>
      <c r="L717">
        <f t="shared" si="343"/>
        <v>0</v>
      </c>
      <c r="M717">
        <f t="shared" si="344"/>
        <v>9</v>
      </c>
      <c r="Q717" t="str">
        <f>IF(周转筐出入库明细!$D718="","",周转筐出入库明细!$D718)</f>
        <v/>
      </c>
      <c r="R717">
        <f t="shared" si="345"/>
        <v>0</v>
      </c>
      <c r="S717">
        <f t="shared" si="346"/>
        <v>5</v>
      </c>
      <c r="W717" t="str">
        <f>IF(周转筐出入库明细!$C718="","",周转筐出入库明细!$C718)</f>
        <v/>
      </c>
      <c r="X717">
        <f t="shared" si="347"/>
        <v>0</v>
      </c>
      <c r="Y717">
        <f t="shared" si="348"/>
        <v>12</v>
      </c>
      <c r="AC717" t="str">
        <f>IF(客户自备加工筐明细!$C717="","",客户自备加工筐明细!$C717)</f>
        <v/>
      </c>
      <c r="AD717">
        <f t="shared" si="349"/>
        <v>0</v>
      </c>
      <c r="AE717">
        <f t="shared" si="350"/>
        <v>1</v>
      </c>
      <c r="AI717" t="str">
        <f>IF(客户自备加工筐明细!$E717="","",客户自备加工筐明细!$E717)</f>
        <v/>
      </c>
      <c r="AJ717">
        <f t="shared" si="351"/>
        <v>0</v>
      </c>
      <c r="AK717">
        <f t="shared" si="352"/>
        <v>1</v>
      </c>
      <c r="BS717" t="str">
        <f t="shared" si="340"/>
        <v/>
      </c>
      <c r="BT717">
        <f t="shared" si="353"/>
        <v>0</v>
      </c>
      <c r="BU717">
        <f t="shared" si="354"/>
        <v>17</v>
      </c>
      <c r="CP717">
        <f>IF(包装物料出入库明细!$D717="",0,1)</f>
        <v>0</v>
      </c>
      <c r="CQ717">
        <f t="shared" si="355"/>
        <v>37</v>
      </c>
      <c r="CS717" t="str">
        <f>IF(OR(周转筐出入库明细!$C718="",周转筐出入库明细!$F718&lt;&gt;"采购入库"),"",周转筐出入库明细!$C718)</f>
        <v/>
      </c>
      <c r="CT717">
        <f t="shared" si="356"/>
        <v>0</v>
      </c>
      <c r="CU717">
        <f t="shared" si="357"/>
        <v>1</v>
      </c>
    </row>
    <row r="718" spans="1:99">
      <c r="A718" t="str">
        <f>IF(包装物料出入库明细!$E718="","",包装物料出入库明细!$E718)</f>
        <v/>
      </c>
      <c r="B718">
        <f t="shared" si="341"/>
        <v>0</v>
      </c>
      <c r="C718">
        <f t="shared" si="342"/>
        <v>7</v>
      </c>
      <c r="D718" t="str">
        <f>IF(包装物料出入库明细!$E718="","",包装物料出入库明细!$F718)</f>
        <v/>
      </c>
      <c r="E718" t="str">
        <f>IF(包装物料出入库明细!$E718="","",包装物料出入库明细!$G718)</f>
        <v/>
      </c>
      <c r="K718" t="str">
        <f>IF(包装物料出入库明细!$D718="","",包装物料出入库明细!$D718)</f>
        <v/>
      </c>
      <c r="L718">
        <f t="shared" si="343"/>
        <v>0</v>
      </c>
      <c r="M718">
        <f t="shared" si="344"/>
        <v>9</v>
      </c>
      <c r="Q718" t="str">
        <f>IF(周转筐出入库明细!$D719="","",周转筐出入库明细!$D719)</f>
        <v/>
      </c>
      <c r="R718">
        <f t="shared" si="345"/>
        <v>0</v>
      </c>
      <c r="S718">
        <f t="shared" si="346"/>
        <v>5</v>
      </c>
      <c r="W718" t="str">
        <f>IF(周转筐出入库明细!$C719="","",周转筐出入库明细!$C719)</f>
        <v/>
      </c>
      <c r="X718">
        <f t="shared" si="347"/>
        <v>0</v>
      </c>
      <c r="Y718">
        <f t="shared" si="348"/>
        <v>12</v>
      </c>
      <c r="AC718" t="str">
        <f>IF(客户自备加工筐明细!$C718="","",客户自备加工筐明细!$C718)</f>
        <v/>
      </c>
      <c r="AD718">
        <f t="shared" si="349"/>
        <v>0</v>
      </c>
      <c r="AE718">
        <f t="shared" si="350"/>
        <v>1</v>
      </c>
      <c r="AI718" t="str">
        <f>IF(客户自备加工筐明细!$E718="","",客户自备加工筐明细!$E718)</f>
        <v/>
      </c>
      <c r="AJ718">
        <f t="shared" si="351"/>
        <v>0</v>
      </c>
      <c r="AK718">
        <f t="shared" si="352"/>
        <v>1</v>
      </c>
      <c r="BS718" t="str">
        <f t="shared" si="340"/>
        <v/>
      </c>
      <c r="BT718">
        <f t="shared" si="353"/>
        <v>0</v>
      </c>
      <c r="BU718">
        <f t="shared" si="354"/>
        <v>17</v>
      </c>
      <c r="CP718">
        <f>IF(包装物料出入库明细!$D718="",0,1)</f>
        <v>0</v>
      </c>
      <c r="CQ718">
        <f t="shared" si="355"/>
        <v>37</v>
      </c>
      <c r="CS718" t="str">
        <f>IF(OR(周转筐出入库明细!$C719="",周转筐出入库明细!$F719&lt;&gt;"采购入库"),"",周转筐出入库明细!$C719)</f>
        <v/>
      </c>
      <c r="CT718">
        <f t="shared" si="356"/>
        <v>0</v>
      </c>
      <c r="CU718">
        <f t="shared" si="357"/>
        <v>1</v>
      </c>
    </row>
    <row r="719" spans="1:99">
      <c r="A719" t="str">
        <f>IF(包装物料出入库明细!$E719="","",包装物料出入库明细!$E719)</f>
        <v/>
      </c>
      <c r="B719">
        <f t="shared" si="341"/>
        <v>0</v>
      </c>
      <c r="C719">
        <f t="shared" si="342"/>
        <v>7</v>
      </c>
      <c r="D719" t="str">
        <f>IF(包装物料出入库明细!$E719="","",包装物料出入库明细!$F719)</f>
        <v/>
      </c>
      <c r="E719" t="str">
        <f>IF(包装物料出入库明细!$E719="","",包装物料出入库明细!$G719)</f>
        <v/>
      </c>
      <c r="K719" t="str">
        <f>IF(包装物料出入库明细!$D719="","",包装物料出入库明细!$D719)</f>
        <v/>
      </c>
      <c r="L719">
        <f t="shared" si="343"/>
        <v>0</v>
      </c>
      <c r="M719">
        <f t="shared" si="344"/>
        <v>9</v>
      </c>
      <c r="Q719" t="str">
        <f>IF(周转筐出入库明细!$D720="","",周转筐出入库明细!$D720)</f>
        <v/>
      </c>
      <c r="R719">
        <f t="shared" si="345"/>
        <v>0</v>
      </c>
      <c r="S719">
        <f t="shared" si="346"/>
        <v>5</v>
      </c>
      <c r="W719" t="str">
        <f>IF(周转筐出入库明细!$C720="","",周转筐出入库明细!$C720)</f>
        <v/>
      </c>
      <c r="X719">
        <f t="shared" si="347"/>
        <v>0</v>
      </c>
      <c r="Y719">
        <f t="shared" si="348"/>
        <v>12</v>
      </c>
      <c r="AC719" t="str">
        <f>IF(客户自备加工筐明细!$C719="","",客户自备加工筐明细!$C719)</f>
        <v/>
      </c>
      <c r="AD719">
        <f t="shared" si="349"/>
        <v>0</v>
      </c>
      <c r="AE719">
        <f t="shared" si="350"/>
        <v>1</v>
      </c>
      <c r="AI719" t="str">
        <f>IF(客户自备加工筐明细!$E719="","",客户自备加工筐明细!$E719)</f>
        <v/>
      </c>
      <c r="AJ719">
        <f t="shared" si="351"/>
        <v>0</v>
      </c>
      <c r="AK719">
        <f t="shared" si="352"/>
        <v>1</v>
      </c>
      <c r="BS719" t="str">
        <f t="shared" si="340"/>
        <v/>
      </c>
      <c r="BT719">
        <f t="shared" si="353"/>
        <v>0</v>
      </c>
      <c r="BU719">
        <f t="shared" si="354"/>
        <v>17</v>
      </c>
      <c r="CP719">
        <f>IF(包装物料出入库明细!$D719="",0,1)</f>
        <v>0</v>
      </c>
      <c r="CQ719">
        <f t="shared" si="355"/>
        <v>37</v>
      </c>
      <c r="CS719" t="str">
        <f>IF(OR(周转筐出入库明细!$C720="",周转筐出入库明细!$F720&lt;&gt;"采购入库"),"",周转筐出入库明细!$C720)</f>
        <v/>
      </c>
      <c r="CT719">
        <f t="shared" si="356"/>
        <v>0</v>
      </c>
      <c r="CU719">
        <f t="shared" si="357"/>
        <v>1</v>
      </c>
    </row>
    <row r="720" spans="1:99">
      <c r="A720" t="str">
        <f>IF(包装物料出入库明细!$E720="","",包装物料出入库明细!$E720)</f>
        <v/>
      </c>
      <c r="B720">
        <f t="shared" si="341"/>
        <v>0</v>
      </c>
      <c r="C720">
        <f t="shared" si="342"/>
        <v>7</v>
      </c>
      <c r="D720" t="str">
        <f>IF(包装物料出入库明细!$E720="","",包装物料出入库明细!$F720)</f>
        <v/>
      </c>
      <c r="E720" t="str">
        <f>IF(包装物料出入库明细!$E720="","",包装物料出入库明细!$G720)</f>
        <v/>
      </c>
      <c r="K720" t="str">
        <f>IF(包装物料出入库明细!$D720="","",包装物料出入库明细!$D720)</f>
        <v/>
      </c>
      <c r="L720">
        <f t="shared" si="343"/>
        <v>0</v>
      </c>
      <c r="M720">
        <f t="shared" si="344"/>
        <v>9</v>
      </c>
      <c r="Q720" t="str">
        <f>IF(周转筐出入库明细!$D721="","",周转筐出入库明细!$D721)</f>
        <v/>
      </c>
      <c r="R720">
        <f t="shared" si="345"/>
        <v>0</v>
      </c>
      <c r="S720">
        <f t="shared" si="346"/>
        <v>5</v>
      </c>
      <c r="W720" t="str">
        <f>IF(周转筐出入库明细!$C721="","",周转筐出入库明细!$C721)</f>
        <v/>
      </c>
      <c r="X720">
        <f t="shared" si="347"/>
        <v>0</v>
      </c>
      <c r="Y720">
        <f t="shared" si="348"/>
        <v>12</v>
      </c>
      <c r="AC720" t="str">
        <f>IF(客户自备加工筐明细!$C720="","",客户自备加工筐明细!$C720)</f>
        <v/>
      </c>
      <c r="AD720">
        <f t="shared" si="349"/>
        <v>0</v>
      </c>
      <c r="AE720">
        <f t="shared" si="350"/>
        <v>1</v>
      </c>
      <c r="AI720" t="str">
        <f>IF(客户自备加工筐明细!$E720="","",客户自备加工筐明细!$E720)</f>
        <v/>
      </c>
      <c r="AJ720">
        <f t="shared" si="351"/>
        <v>0</v>
      </c>
      <c r="AK720">
        <f t="shared" si="352"/>
        <v>1</v>
      </c>
      <c r="BS720" t="str">
        <f t="shared" si="340"/>
        <v/>
      </c>
      <c r="BT720">
        <f t="shared" si="353"/>
        <v>0</v>
      </c>
      <c r="BU720">
        <f t="shared" si="354"/>
        <v>17</v>
      </c>
      <c r="CP720">
        <f>IF(包装物料出入库明细!$D720="",0,1)</f>
        <v>0</v>
      </c>
      <c r="CQ720">
        <f t="shared" si="355"/>
        <v>37</v>
      </c>
      <c r="CS720" t="str">
        <f>IF(OR(周转筐出入库明细!$C721="",周转筐出入库明细!$F721&lt;&gt;"采购入库"),"",周转筐出入库明细!$C721)</f>
        <v/>
      </c>
      <c r="CT720">
        <f t="shared" si="356"/>
        <v>0</v>
      </c>
      <c r="CU720">
        <f t="shared" si="357"/>
        <v>1</v>
      </c>
    </row>
    <row r="721" spans="1:99">
      <c r="A721" t="str">
        <f>IF(包装物料出入库明细!$E721="","",包装物料出入库明细!$E721)</f>
        <v/>
      </c>
      <c r="B721">
        <f t="shared" si="341"/>
        <v>0</v>
      </c>
      <c r="C721">
        <f t="shared" si="342"/>
        <v>7</v>
      </c>
      <c r="D721" t="str">
        <f>IF(包装物料出入库明细!$E721="","",包装物料出入库明细!$F721)</f>
        <v/>
      </c>
      <c r="E721" t="str">
        <f>IF(包装物料出入库明细!$E721="","",包装物料出入库明细!$G721)</f>
        <v/>
      </c>
      <c r="K721" t="str">
        <f>IF(包装物料出入库明细!$D721="","",包装物料出入库明细!$D721)</f>
        <v/>
      </c>
      <c r="L721">
        <f t="shared" si="343"/>
        <v>0</v>
      </c>
      <c r="M721">
        <f t="shared" si="344"/>
        <v>9</v>
      </c>
      <c r="Q721" t="str">
        <f>IF(周转筐出入库明细!$D722="","",周转筐出入库明细!$D722)</f>
        <v/>
      </c>
      <c r="R721">
        <f t="shared" si="345"/>
        <v>0</v>
      </c>
      <c r="S721">
        <f t="shared" si="346"/>
        <v>5</v>
      </c>
      <c r="W721" t="str">
        <f>IF(周转筐出入库明细!$C722="","",周转筐出入库明细!$C722)</f>
        <v/>
      </c>
      <c r="X721">
        <f t="shared" si="347"/>
        <v>0</v>
      </c>
      <c r="Y721">
        <f t="shared" si="348"/>
        <v>12</v>
      </c>
      <c r="AC721" t="str">
        <f>IF(客户自备加工筐明细!$C721="","",客户自备加工筐明细!$C721)</f>
        <v/>
      </c>
      <c r="AD721">
        <f t="shared" si="349"/>
        <v>0</v>
      </c>
      <c r="AE721">
        <f t="shared" si="350"/>
        <v>1</v>
      </c>
      <c r="AI721" t="str">
        <f>IF(客户自备加工筐明细!$E721="","",客户自备加工筐明细!$E721)</f>
        <v/>
      </c>
      <c r="AJ721">
        <f t="shared" si="351"/>
        <v>0</v>
      </c>
      <c r="AK721">
        <f t="shared" si="352"/>
        <v>1</v>
      </c>
      <c r="BS721" t="str">
        <f t="shared" si="340"/>
        <v/>
      </c>
      <c r="BT721">
        <f t="shared" si="353"/>
        <v>0</v>
      </c>
      <c r="BU721">
        <f t="shared" si="354"/>
        <v>17</v>
      </c>
      <c r="CP721">
        <f>IF(包装物料出入库明细!$D721="",0,1)</f>
        <v>0</v>
      </c>
      <c r="CQ721">
        <f t="shared" si="355"/>
        <v>37</v>
      </c>
      <c r="CS721" t="str">
        <f>IF(OR(周转筐出入库明细!$C722="",周转筐出入库明细!$F722&lt;&gt;"采购入库"),"",周转筐出入库明细!$C722)</f>
        <v/>
      </c>
      <c r="CT721">
        <f t="shared" si="356"/>
        <v>0</v>
      </c>
      <c r="CU721">
        <f t="shared" si="357"/>
        <v>1</v>
      </c>
    </row>
    <row r="722" spans="1:99">
      <c r="A722" t="str">
        <f>IF(包装物料出入库明细!$E722="","",包装物料出入库明细!$E722)</f>
        <v/>
      </c>
      <c r="B722">
        <f t="shared" si="341"/>
        <v>0</v>
      </c>
      <c r="C722">
        <f t="shared" si="342"/>
        <v>7</v>
      </c>
      <c r="D722" t="str">
        <f>IF(包装物料出入库明细!$E722="","",包装物料出入库明细!$F722)</f>
        <v/>
      </c>
      <c r="E722" t="str">
        <f>IF(包装物料出入库明细!$E722="","",包装物料出入库明细!$G722)</f>
        <v/>
      </c>
      <c r="K722" t="str">
        <f>IF(包装物料出入库明细!$D722="","",包装物料出入库明细!$D722)</f>
        <v/>
      </c>
      <c r="L722">
        <f t="shared" si="343"/>
        <v>0</v>
      </c>
      <c r="M722">
        <f t="shared" si="344"/>
        <v>9</v>
      </c>
      <c r="Q722" t="str">
        <f>IF(周转筐出入库明细!$D723="","",周转筐出入库明细!$D723)</f>
        <v/>
      </c>
      <c r="R722">
        <f t="shared" si="345"/>
        <v>0</v>
      </c>
      <c r="S722">
        <f t="shared" si="346"/>
        <v>5</v>
      </c>
      <c r="W722" t="str">
        <f>IF(周转筐出入库明细!$C723="","",周转筐出入库明细!$C723)</f>
        <v/>
      </c>
      <c r="X722">
        <f t="shared" si="347"/>
        <v>0</v>
      </c>
      <c r="Y722">
        <f t="shared" si="348"/>
        <v>12</v>
      </c>
      <c r="AC722" t="str">
        <f>IF(客户自备加工筐明细!$C722="","",客户自备加工筐明细!$C722)</f>
        <v/>
      </c>
      <c r="AD722">
        <f t="shared" si="349"/>
        <v>0</v>
      </c>
      <c r="AE722">
        <f t="shared" si="350"/>
        <v>1</v>
      </c>
      <c r="AI722" t="str">
        <f>IF(客户自备加工筐明细!$E722="","",客户自备加工筐明细!$E722)</f>
        <v/>
      </c>
      <c r="AJ722">
        <f t="shared" si="351"/>
        <v>0</v>
      </c>
      <c r="AK722">
        <f t="shared" si="352"/>
        <v>1</v>
      </c>
      <c r="BS722" t="str">
        <f t="shared" si="340"/>
        <v/>
      </c>
      <c r="BT722">
        <f t="shared" si="353"/>
        <v>0</v>
      </c>
      <c r="BU722">
        <f t="shared" si="354"/>
        <v>17</v>
      </c>
      <c r="CP722">
        <f>IF(包装物料出入库明细!$D722="",0,1)</f>
        <v>0</v>
      </c>
      <c r="CQ722">
        <f t="shared" si="355"/>
        <v>37</v>
      </c>
      <c r="CS722" t="str">
        <f>IF(OR(周转筐出入库明细!$C723="",周转筐出入库明细!$F723&lt;&gt;"采购入库"),"",周转筐出入库明细!$C723)</f>
        <v/>
      </c>
      <c r="CT722">
        <f t="shared" si="356"/>
        <v>0</v>
      </c>
      <c r="CU722">
        <f t="shared" si="357"/>
        <v>1</v>
      </c>
    </row>
    <row r="723" spans="1:99">
      <c r="A723" t="str">
        <f>IF(包装物料出入库明细!$E723="","",包装物料出入库明细!$E723)</f>
        <v/>
      </c>
      <c r="B723">
        <f t="shared" si="341"/>
        <v>0</v>
      </c>
      <c r="C723">
        <f t="shared" si="342"/>
        <v>7</v>
      </c>
      <c r="D723" t="str">
        <f>IF(包装物料出入库明细!$E723="","",包装物料出入库明细!$F723)</f>
        <v/>
      </c>
      <c r="E723" t="str">
        <f>IF(包装物料出入库明细!$E723="","",包装物料出入库明细!$G723)</f>
        <v/>
      </c>
      <c r="K723" t="str">
        <f>IF(包装物料出入库明细!$D723="","",包装物料出入库明细!$D723)</f>
        <v/>
      </c>
      <c r="L723">
        <f t="shared" si="343"/>
        <v>0</v>
      </c>
      <c r="M723">
        <f t="shared" si="344"/>
        <v>9</v>
      </c>
      <c r="Q723" t="str">
        <f>IF(周转筐出入库明细!$D724="","",周转筐出入库明细!$D724)</f>
        <v/>
      </c>
      <c r="R723">
        <f t="shared" si="345"/>
        <v>0</v>
      </c>
      <c r="S723">
        <f t="shared" si="346"/>
        <v>5</v>
      </c>
      <c r="W723" t="str">
        <f>IF(周转筐出入库明细!$C724="","",周转筐出入库明细!$C724)</f>
        <v/>
      </c>
      <c r="X723">
        <f t="shared" si="347"/>
        <v>0</v>
      </c>
      <c r="Y723">
        <f t="shared" si="348"/>
        <v>12</v>
      </c>
      <c r="AC723" t="str">
        <f>IF(客户自备加工筐明细!$C723="","",客户自备加工筐明细!$C723)</f>
        <v/>
      </c>
      <c r="AD723">
        <f t="shared" si="349"/>
        <v>0</v>
      </c>
      <c r="AE723">
        <f t="shared" si="350"/>
        <v>1</v>
      </c>
      <c r="AI723" t="str">
        <f>IF(客户自备加工筐明细!$E723="","",客户自备加工筐明细!$E723)</f>
        <v/>
      </c>
      <c r="AJ723">
        <f t="shared" si="351"/>
        <v>0</v>
      </c>
      <c r="AK723">
        <f t="shared" si="352"/>
        <v>1</v>
      </c>
      <c r="BS723" t="str">
        <f t="shared" si="340"/>
        <v/>
      </c>
      <c r="BT723">
        <f t="shared" si="353"/>
        <v>0</v>
      </c>
      <c r="BU723">
        <f t="shared" si="354"/>
        <v>17</v>
      </c>
      <c r="CP723">
        <f>IF(包装物料出入库明细!$D723="",0,1)</f>
        <v>0</v>
      </c>
      <c r="CQ723">
        <f t="shared" si="355"/>
        <v>37</v>
      </c>
      <c r="CS723" t="str">
        <f>IF(OR(周转筐出入库明细!$C724="",周转筐出入库明细!$F724&lt;&gt;"采购入库"),"",周转筐出入库明细!$C724)</f>
        <v/>
      </c>
      <c r="CT723">
        <f t="shared" si="356"/>
        <v>0</v>
      </c>
      <c r="CU723">
        <f t="shared" si="357"/>
        <v>1</v>
      </c>
    </row>
    <row r="724" spans="1:99">
      <c r="A724" t="str">
        <f>IF(包装物料出入库明细!$E724="","",包装物料出入库明细!$E724)</f>
        <v/>
      </c>
      <c r="B724">
        <f t="shared" si="341"/>
        <v>0</v>
      </c>
      <c r="C724">
        <f t="shared" si="342"/>
        <v>7</v>
      </c>
      <c r="D724" t="str">
        <f>IF(包装物料出入库明细!$E724="","",包装物料出入库明细!$F724)</f>
        <v/>
      </c>
      <c r="E724" t="str">
        <f>IF(包装物料出入库明细!$E724="","",包装物料出入库明细!$G724)</f>
        <v/>
      </c>
      <c r="K724" t="str">
        <f>IF(包装物料出入库明细!$D724="","",包装物料出入库明细!$D724)</f>
        <v/>
      </c>
      <c r="L724">
        <f t="shared" si="343"/>
        <v>0</v>
      </c>
      <c r="M724">
        <f t="shared" si="344"/>
        <v>9</v>
      </c>
      <c r="Q724" t="str">
        <f>IF(周转筐出入库明细!$D725="","",周转筐出入库明细!$D725)</f>
        <v/>
      </c>
      <c r="R724">
        <f t="shared" si="345"/>
        <v>0</v>
      </c>
      <c r="S724">
        <f t="shared" si="346"/>
        <v>5</v>
      </c>
      <c r="W724" t="str">
        <f>IF(周转筐出入库明细!$C725="","",周转筐出入库明细!$C725)</f>
        <v/>
      </c>
      <c r="X724">
        <f t="shared" si="347"/>
        <v>0</v>
      </c>
      <c r="Y724">
        <f t="shared" si="348"/>
        <v>12</v>
      </c>
      <c r="AC724" t="str">
        <f>IF(客户自备加工筐明细!$C724="","",客户自备加工筐明细!$C724)</f>
        <v/>
      </c>
      <c r="AD724">
        <f t="shared" si="349"/>
        <v>0</v>
      </c>
      <c r="AE724">
        <f t="shared" si="350"/>
        <v>1</v>
      </c>
      <c r="AI724" t="str">
        <f>IF(客户自备加工筐明细!$E724="","",客户自备加工筐明细!$E724)</f>
        <v/>
      </c>
      <c r="AJ724">
        <f t="shared" si="351"/>
        <v>0</v>
      </c>
      <c r="AK724">
        <f t="shared" si="352"/>
        <v>1</v>
      </c>
      <c r="BS724" t="str">
        <f t="shared" si="340"/>
        <v/>
      </c>
      <c r="BT724">
        <f t="shared" si="353"/>
        <v>0</v>
      </c>
      <c r="BU724">
        <f t="shared" si="354"/>
        <v>17</v>
      </c>
      <c r="CP724">
        <f>IF(包装物料出入库明细!$D724="",0,1)</f>
        <v>0</v>
      </c>
      <c r="CQ724">
        <f t="shared" si="355"/>
        <v>37</v>
      </c>
      <c r="CS724" t="str">
        <f>IF(OR(周转筐出入库明细!$C725="",周转筐出入库明细!$F725&lt;&gt;"采购入库"),"",周转筐出入库明细!$C725)</f>
        <v/>
      </c>
      <c r="CT724">
        <f t="shared" si="356"/>
        <v>0</v>
      </c>
      <c r="CU724">
        <f t="shared" si="357"/>
        <v>1</v>
      </c>
    </row>
    <row r="725" spans="1:99">
      <c r="A725" t="str">
        <f>IF(包装物料出入库明细!$E725="","",包装物料出入库明细!$E725)</f>
        <v/>
      </c>
      <c r="B725">
        <f t="shared" si="341"/>
        <v>0</v>
      </c>
      <c r="C725">
        <f t="shared" si="342"/>
        <v>7</v>
      </c>
      <c r="D725" t="str">
        <f>IF(包装物料出入库明细!$E725="","",包装物料出入库明细!$F725)</f>
        <v/>
      </c>
      <c r="E725" t="str">
        <f>IF(包装物料出入库明细!$E725="","",包装物料出入库明细!$G725)</f>
        <v/>
      </c>
      <c r="K725" t="str">
        <f>IF(包装物料出入库明细!$D725="","",包装物料出入库明细!$D725)</f>
        <v/>
      </c>
      <c r="L725">
        <f t="shared" si="343"/>
        <v>0</v>
      </c>
      <c r="M725">
        <f t="shared" si="344"/>
        <v>9</v>
      </c>
      <c r="Q725" t="str">
        <f>IF(周转筐出入库明细!$D726="","",周转筐出入库明细!$D726)</f>
        <v/>
      </c>
      <c r="R725">
        <f t="shared" si="345"/>
        <v>0</v>
      </c>
      <c r="S725">
        <f t="shared" si="346"/>
        <v>5</v>
      </c>
      <c r="W725" t="str">
        <f>IF(周转筐出入库明细!$C726="","",周转筐出入库明细!$C726)</f>
        <v/>
      </c>
      <c r="X725">
        <f t="shared" si="347"/>
        <v>0</v>
      </c>
      <c r="Y725">
        <f t="shared" si="348"/>
        <v>12</v>
      </c>
      <c r="AC725" t="str">
        <f>IF(客户自备加工筐明细!$C725="","",客户自备加工筐明细!$C725)</f>
        <v/>
      </c>
      <c r="AD725">
        <f t="shared" si="349"/>
        <v>0</v>
      </c>
      <c r="AE725">
        <f t="shared" si="350"/>
        <v>1</v>
      </c>
      <c r="AI725" t="str">
        <f>IF(客户自备加工筐明细!$E725="","",客户自备加工筐明细!$E725)</f>
        <v/>
      </c>
      <c r="AJ725">
        <f t="shared" si="351"/>
        <v>0</v>
      </c>
      <c r="AK725">
        <f t="shared" si="352"/>
        <v>1</v>
      </c>
      <c r="BS725" t="str">
        <f t="shared" si="340"/>
        <v/>
      </c>
      <c r="BT725">
        <f t="shared" si="353"/>
        <v>0</v>
      </c>
      <c r="BU725">
        <f t="shared" si="354"/>
        <v>17</v>
      </c>
      <c r="CP725">
        <f>IF(包装物料出入库明细!$D725="",0,1)</f>
        <v>0</v>
      </c>
      <c r="CQ725">
        <f t="shared" si="355"/>
        <v>37</v>
      </c>
      <c r="CS725" t="str">
        <f>IF(OR(周转筐出入库明细!$C726="",周转筐出入库明细!$F726&lt;&gt;"采购入库"),"",周转筐出入库明细!$C726)</f>
        <v/>
      </c>
      <c r="CT725">
        <f t="shared" si="356"/>
        <v>0</v>
      </c>
      <c r="CU725">
        <f t="shared" si="357"/>
        <v>1</v>
      </c>
    </row>
    <row r="726" spans="1:99">
      <c r="A726" t="str">
        <f>IF(包装物料出入库明细!$E726="","",包装物料出入库明细!$E726)</f>
        <v/>
      </c>
      <c r="B726">
        <f t="shared" si="341"/>
        <v>0</v>
      </c>
      <c r="C726">
        <f t="shared" si="342"/>
        <v>7</v>
      </c>
      <c r="D726" t="str">
        <f>IF(包装物料出入库明细!$E726="","",包装物料出入库明细!$F726)</f>
        <v/>
      </c>
      <c r="E726" t="str">
        <f>IF(包装物料出入库明细!$E726="","",包装物料出入库明细!$G726)</f>
        <v/>
      </c>
      <c r="K726" t="str">
        <f>IF(包装物料出入库明细!$D726="","",包装物料出入库明细!$D726)</f>
        <v/>
      </c>
      <c r="L726">
        <f t="shared" si="343"/>
        <v>0</v>
      </c>
      <c r="M726">
        <f t="shared" si="344"/>
        <v>9</v>
      </c>
      <c r="Q726" t="str">
        <f>IF(周转筐出入库明细!$D727="","",周转筐出入库明细!$D727)</f>
        <v/>
      </c>
      <c r="R726">
        <f t="shared" si="345"/>
        <v>0</v>
      </c>
      <c r="S726">
        <f t="shared" si="346"/>
        <v>5</v>
      </c>
      <c r="W726" t="str">
        <f>IF(周转筐出入库明细!$C727="","",周转筐出入库明细!$C727)</f>
        <v/>
      </c>
      <c r="X726">
        <f t="shared" si="347"/>
        <v>0</v>
      </c>
      <c r="Y726">
        <f t="shared" si="348"/>
        <v>12</v>
      </c>
      <c r="AC726" t="str">
        <f>IF(客户自备加工筐明细!$C726="","",客户自备加工筐明细!$C726)</f>
        <v/>
      </c>
      <c r="AD726">
        <f t="shared" si="349"/>
        <v>0</v>
      </c>
      <c r="AE726">
        <f t="shared" si="350"/>
        <v>1</v>
      </c>
      <c r="AI726" t="str">
        <f>IF(客户自备加工筐明细!$E726="","",客户自备加工筐明细!$E726)</f>
        <v/>
      </c>
      <c r="AJ726">
        <f t="shared" si="351"/>
        <v>0</v>
      </c>
      <c r="AK726">
        <f t="shared" si="352"/>
        <v>1</v>
      </c>
      <c r="BS726" t="str">
        <f t="shared" si="340"/>
        <v/>
      </c>
      <c r="BT726">
        <f t="shared" si="353"/>
        <v>0</v>
      </c>
      <c r="BU726">
        <f t="shared" si="354"/>
        <v>17</v>
      </c>
      <c r="CP726">
        <f>IF(包装物料出入库明细!$D726="",0,1)</f>
        <v>0</v>
      </c>
      <c r="CQ726">
        <f t="shared" si="355"/>
        <v>37</v>
      </c>
      <c r="CS726" t="str">
        <f>IF(OR(周转筐出入库明细!$C727="",周转筐出入库明细!$F727&lt;&gt;"采购入库"),"",周转筐出入库明细!$C727)</f>
        <v/>
      </c>
      <c r="CT726">
        <f t="shared" si="356"/>
        <v>0</v>
      </c>
      <c r="CU726">
        <f t="shared" si="357"/>
        <v>1</v>
      </c>
    </row>
    <row r="727" spans="1:99">
      <c r="A727" t="str">
        <f>IF(包装物料出入库明细!$E727="","",包装物料出入库明细!$E727)</f>
        <v/>
      </c>
      <c r="B727">
        <f t="shared" si="341"/>
        <v>0</v>
      </c>
      <c r="C727">
        <f t="shared" si="342"/>
        <v>7</v>
      </c>
      <c r="D727" t="str">
        <f>IF(包装物料出入库明细!$E727="","",包装物料出入库明细!$F727)</f>
        <v/>
      </c>
      <c r="E727" t="str">
        <f>IF(包装物料出入库明细!$E727="","",包装物料出入库明细!$G727)</f>
        <v/>
      </c>
      <c r="K727" t="str">
        <f>IF(包装物料出入库明细!$D727="","",包装物料出入库明细!$D727)</f>
        <v/>
      </c>
      <c r="L727">
        <f t="shared" si="343"/>
        <v>0</v>
      </c>
      <c r="M727">
        <f t="shared" si="344"/>
        <v>9</v>
      </c>
      <c r="Q727" t="str">
        <f>IF(周转筐出入库明细!$D728="","",周转筐出入库明细!$D728)</f>
        <v/>
      </c>
      <c r="R727">
        <f t="shared" si="345"/>
        <v>0</v>
      </c>
      <c r="S727">
        <f t="shared" si="346"/>
        <v>5</v>
      </c>
      <c r="W727" t="str">
        <f>IF(周转筐出入库明细!$C728="","",周转筐出入库明细!$C728)</f>
        <v/>
      </c>
      <c r="X727">
        <f t="shared" si="347"/>
        <v>0</v>
      </c>
      <c r="Y727">
        <f t="shared" si="348"/>
        <v>12</v>
      </c>
      <c r="AC727" t="str">
        <f>IF(客户自备加工筐明细!$C727="","",客户自备加工筐明细!$C727)</f>
        <v/>
      </c>
      <c r="AD727">
        <f t="shared" si="349"/>
        <v>0</v>
      </c>
      <c r="AE727">
        <f t="shared" si="350"/>
        <v>1</v>
      </c>
      <c r="AI727" t="str">
        <f>IF(客户自备加工筐明细!$E727="","",客户自备加工筐明细!$E727)</f>
        <v/>
      </c>
      <c r="AJ727">
        <f t="shared" si="351"/>
        <v>0</v>
      </c>
      <c r="AK727">
        <f t="shared" si="352"/>
        <v>1</v>
      </c>
      <c r="BS727" t="str">
        <f t="shared" si="340"/>
        <v/>
      </c>
      <c r="BT727">
        <f t="shared" si="353"/>
        <v>0</v>
      </c>
      <c r="BU727">
        <f t="shared" si="354"/>
        <v>17</v>
      </c>
      <c r="CP727">
        <f>IF(包装物料出入库明细!$D727="",0,1)</f>
        <v>0</v>
      </c>
      <c r="CQ727">
        <f t="shared" si="355"/>
        <v>37</v>
      </c>
      <c r="CS727" t="str">
        <f>IF(OR(周转筐出入库明细!$C728="",周转筐出入库明细!$F728&lt;&gt;"采购入库"),"",周转筐出入库明细!$C728)</f>
        <v/>
      </c>
      <c r="CT727">
        <f t="shared" si="356"/>
        <v>0</v>
      </c>
      <c r="CU727">
        <f t="shared" si="357"/>
        <v>1</v>
      </c>
    </row>
    <row r="728" spans="1:99">
      <c r="A728" t="str">
        <f>IF(包装物料出入库明细!$E728="","",包装物料出入库明细!$E728)</f>
        <v/>
      </c>
      <c r="B728">
        <f t="shared" si="341"/>
        <v>0</v>
      </c>
      <c r="C728">
        <f t="shared" si="342"/>
        <v>7</v>
      </c>
      <c r="D728" t="str">
        <f>IF(包装物料出入库明细!$E728="","",包装物料出入库明细!$F728)</f>
        <v/>
      </c>
      <c r="E728" t="str">
        <f>IF(包装物料出入库明细!$E728="","",包装物料出入库明细!$G728)</f>
        <v/>
      </c>
      <c r="K728" t="str">
        <f>IF(包装物料出入库明细!$D728="","",包装物料出入库明细!$D728)</f>
        <v/>
      </c>
      <c r="L728">
        <f t="shared" si="343"/>
        <v>0</v>
      </c>
      <c r="M728">
        <f t="shared" si="344"/>
        <v>9</v>
      </c>
      <c r="Q728" t="str">
        <f>IF(周转筐出入库明细!$D729="","",周转筐出入库明细!$D729)</f>
        <v/>
      </c>
      <c r="R728">
        <f t="shared" si="345"/>
        <v>0</v>
      </c>
      <c r="S728">
        <f t="shared" si="346"/>
        <v>5</v>
      </c>
      <c r="W728" t="str">
        <f>IF(周转筐出入库明细!$C729="","",周转筐出入库明细!$C729)</f>
        <v/>
      </c>
      <c r="X728">
        <f t="shared" si="347"/>
        <v>0</v>
      </c>
      <c r="Y728">
        <f t="shared" si="348"/>
        <v>12</v>
      </c>
      <c r="AC728" t="str">
        <f>IF(客户自备加工筐明细!$C728="","",客户自备加工筐明细!$C728)</f>
        <v/>
      </c>
      <c r="AD728">
        <f t="shared" si="349"/>
        <v>0</v>
      </c>
      <c r="AE728">
        <f t="shared" si="350"/>
        <v>1</v>
      </c>
      <c r="AI728" t="str">
        <f>IF(客户自备加工筐明细!$E728="","",客户自备加工筐明细!$E728)</f>
        <v/>
      </c>
      <c r="AJ728">
        <f t="shared" si="351"/>
        <v>0</v>
      </c>
      <c r="AK728">
        <f t="shared" si="352"/>
        <v>1</v>
      </c>
      <c r="BS728" t="str">
        <f t="shared" si="340"/>
        <v/>
      </c>
      <c r="BT728">
        <f t="shared" si="353"/>
        <v>0</v>
      </c>
      <c r="BU728">
        <f t="shared" si="354"/>
        <v>17</v>
      </c>
      <c r="CP728">
        <f>IF(包装物料出入库明细!$D728="",0,1)</f>
        <v>0</v>
      </c>
      <c r="CQ728">
        <f t="shared" si="355"/>
        <v>37</v>
      </c>
      <c r="CS728" t="str">
        <f>IF(OR(周转筐出入库明细!$C729="",周转筐出入库明细!$F729&lt;&gt;"采购入库"),"",周转筐出入库明细!$C729)</f>
        <v/>
      </c>
      <c r="CT728">
        <f t="shared" si="356"/>
        <v>0</v>
      </c>
      <c r="CU728">
        <f t="shared" si="357"/>
        <v>1</v>
      </c>
    </row>
    <row r="729" spans="1:99">
      <c r="A729" t="str">
        <f>IF(包装物料出入库明细!$E729="","",包装物料出入库明细!$E729)</f>
        <v/>
      </c>
      <c r="B729">
        <f t="shared" si="341"/>
        <v>0</v>
      </c>
      <c r="C729">
        <f t="shared" si="342"/>
        <v>7</v>
      </c>
      <c r="D729" t="str">
        <f>IF(包装物料出入库明细!$E729="","",包装物料出入库明细!$F729)</f>
        <v/>
      </c>
      <c r="E729" t="str">
        <f>IF(包装物料出入库明细!$E729="","",包装物料出入库明细!$G729)</f>
        <v/>
      </c>
      <c r="K729" t="str">
        <f>IF(包装物料出入库明细!$D729="","",包装物料出入库明细!$D729)</f>
        <v/>
      </c>
      <c r="L729">
        <f t="shared" si="343"/>
        <v>0</v>
      </c>
      <c r="M729">
        <f t="shared" si="344"/>
        <v>9</v>
      </c>
      <c r="Q729" t="str">
        <f>IF(周转筐出入库明细!$D730="","",周转筐出入库明细!$D730)</f>
        <v/>
      </c>
      <c r="R729">
        <f t="shared" si="345"/>
        <v>0</v>
      </c>
      <c r="S729">
        <f t="shared" si="346"/>
        <v>5</v>
      </c>
      <c r="W729" t="str">
        <f>IF(周转筐出入库明细!$C730="","",周转筐出入库明细!$C730)</f>
        <v/>
      </c>
      <c r="X729">
        <f t="shared" si="347"/>
        <v>0</v>
      </c>
      <c r="Y729">
        <f t="shared" si="348"/>
        <v>12</v>
      </c>
      <c r="AC729" t="str">
        <f>IF(客户自备加工筐明细!$C729="","",客户自备加工筐明细!$C729)</f>
        <v/>
      </c>
      <c r="AD729">
        <f t="shared" si="349"/>
        <v>0</v>
      </c>
      <c r="AE729">
        <f t="shared" si="350"/>
        <v>1</v>
      </c>
      <c r="AI729" t="str">
        <f>IF(客户自备加工筐明细!$E729="","",客户自备加工筐明细!$E729)</f>
        <v/>
      </c>
      <c r="AJ729">
        <f t="shared" si="351"/>
        <v>0</v>
      </c>
      <c r="AK729">
        <f t="shared" si="352"/>
        <v>1</v>
      </c>
      <c r="BS729" t="str">
        <f t="shared" si="340"/>
        <v/>
      </c>
      <c r="BT729">
        <f t="shared" si="353"/>
        <v>0</v>
      </c>
      <c r="BU729">
        <f t="shared" si="354"/>
        <v>17</v>
      </c>
      <c r="CP729">
        <f>IF(包装物料出入库明细!$D729="",0,1)</f>
        <v>0</v>
      </c>
      <c r="CQ729">
        <f t="shared" si="355"/>
        <v>37</v>
      </c>
      <c r="CS729" t="str">
        <f>IF(OR(周转筐出入库明细!$C730="",周转筐出入库明细!$F730&lt;&gt;"采购入库"),"",周转筐出入库明细!$C730)</f>
        <v/>
      </c>
      <c r="CT729">
        <f t="shared" si="356"/>
        <v>0</v>
      </c>
      <c r="CU729">
        <f t="shared" si="357"/>
        <v>1</v>
      </c>
    </row>
    <row r="730" spans="1:99">
      <c r="A730" t="str">
        <f>IF(包装物料出入库明细!$E730="","",包装物料出入库明细!$E730)</f>
        <v/>
      </c>
      <c r="B730">
        <f t="shared" si="341"/>
        <v>0</v>
      </c>
      <c r="C730">
        <f t="shared" si="342"/>
        <v>7</v>
      </c>
      <c r="D730" t="str">
        <f>IF(包装物料出入库明细!$E730="","",包装物料出入库明细!$F730)</f>
        <v/>
      </c>
      <c r="E730" t="str">
        <f>IF(包装物料出入库明细!$E730="","",包装物料出入库明细!$G730)</f>
        <v/>
      </c>
      <c r="K730" t="str">
        <f>IF(包装物料出入库明细!$D730="","",包装物料出入库明细!$D730)</f>
        <v/>
      </c>
      <c r="L730">
        <f t="shared" si="343"/>
        <v>0</v>
      </c>
      <c r="M730">
        <f t="shared" si="344"/>
        <v>9</v>
      </c>
      <c r="Q730" t="str">
        <f>IF(周转筐出入库明细!$D731="","",周转筐出入库明细!$D731)</f>
        <v/>
      </c>
      <c r="R730">
        <f t="shared" si="345"/>
        <v>0</v>
      </c>
      <c r="S730">
        <f t="shared" si="346"/>
        <v>5</v>
      </c>
      <c r="W730" t="str">
        <f>IF(周转筐出入库明细!$C731="","",周转筐出入库明细!$C731)</f>
        <v/>
      </c>
      <c r="X730">
        <f t="shared" si="347"/>
        <v>0</v>
      </c>
      <c r="Y730">
        <f t="shared" si="348"/>
        <v>12</v>
      </c>
      <c r="AC730" t="str">
        <f>IF(客户自备加工筐明细!$C730="","",客户自备加工筐明细!$C730)</f>
        <v/>
      </c>
      <c r="AD730">
        <f t="shared" si="349"/>
        <v>0</v>
      </c>
      <c r="AE730">
        <f t="shared" si="350"/>
        <v>1</v>
      </c>
      <c r="AI730" t="str">
        <f>IF(客户自备加工筐明细!$E730="","",客户自备加工筐明细!$E730)</f>
        <v/>
      </c>
      <c r="AJ730">
        <f t="shared" si="351"/>
        <v>0</v>
      </c>
      <c r="AK730">
        <f t="shared" si="352"/>
        <v>1</v>
      </c>
      <c r="BS730" t="str">
        <f t="shared" si="340"/>
        <v/>
      </c>
      <c r="BT730">
        <f t="shared" si="353"/>
        <v>0</v>
      </c>
      <c r="BU730">
        <f t="shared" si="354"/>
        <v>17</v>
      </c>
      <c r="CP730">
        <f>IF(包装物料出入库明细!$D730="",0,1)</f>
        <v>0</v>
      </c>
      <c r="CQ730">
        <f t="shared" si="355"/>
        <v>37</v>
      </c>
      <c r="CS730" t="str">
        <f>IF(OR(周转筐出入库明细!$C731="",周转筐出入库明细!$F731&lt;&gt;"采购入库"),"",周转筐出入库明细!$C731)</f>
        <v/>
      </c>
      <c r="CT730">
        <f t="shared" si="356"/>
        <v>0</v>
      </c>
      <c r="CU730">
        <f t="shared" si="357"/>
        <v>1</v>
      </c>
    </row>
    <row r="731" spans="1:99">
      <c r="A731" t="str">
        <f>IF(包装物料出入库明细!$E731="","",包装物料出入库明细!$E731)</f>
        <v/>
      </c>
      <c r="B731">
        <f t="shared" si="341"/>
        <v>0</v>
      </c>
      <c r="C731">
        <f t="shared" si="342"/>
        <v>7</v>
      </c>
      <c r="D731" t="str">
        <f>IF(包装物料出入库明细!$E731="","",包装物料出入库明细!$F731)</f>
        <v/>
      </c>
      <c r="E731" t="str">
        <f>IF(包装物料出入库明细!$E731="","",包装物料出入库明细!$G731)</f>
        <v/>
      </c>
      <c r="K731" t="str">
        <f>IF(包装物料出入库明细!$D731="","",包装物料出入库明细!$D731)</f>
        <v/>
      </c>
      <c r="L731">
        <f t="shared" si="343"/>
        <v>0</v>
      </c>
      <c r="M731">
        <f t="shared" si="344"/>
        <v>9</v>
      </c>
      <c r="Q731" t="str">
        <f>IF(周转筐出入库明细!$D732="","",周转筐出入库明细!$D732)</f>
        <v/>
      </c>
      <c r="R731">
        <f t="shared" si="345"/>
        <v>0</v>
      </c>
      <c r="S731">
        <f t="shared" si="346"/>
        <v>5</v>
      </c>
      <c r="W731" t="str">
        <f>IF(周转筐出入库明细!$C732="","",周转筐出入库明细!$C732)</f>
        <v/>
      </c>
      <c r="X731">
        <f t="shared" si="347"/>
        <v>0</v>
      </c>
      <c r="Y731">
        <f t="shared" si="348"/>
        <v>12</v>
      </c>
      <c r="AC731" t="str">
        <f>IF(客户自备加工筐明细!$C731="","",客户自备加工筐明细!$C731)</f>
        <v/>
      </c>
      <c r="AD731">
        <f t="shared" si="349"/>
        <v>0</v>
      </c>
      <c r="AE731">
        <f t="shared" si="350"/>
        <v>1</v>
      </c>
      <c r="AI731" t="str">
        <f>IF(客户自备加工筐明细!$E731="","",客户自备加工筐明细!$E731)</f>
        <v/>
      </c>
      <c r="AJ731">
        <f t="shared" si="351"/>
        <v>0</v>
      </c>
      <c r="AK731">
        <f t="shared" si="352"/>
        <v>1</v>
      </c>
      <c r="BS731" t="str">
        <f t="shared" si="340"/>
        <v/>
      </c>
      <c r="BT731">
        <f t="shared" si="353"/>
        <v>0</v>
      </c>
      <c r="BU731">
        <f t="shared" si="354"/>
        <v>17</v>
      </c>
      <c r="CP731">
        <f>IF(包装物料出入库明细!$D731="",0,1)</f>
        <v>0</v>
      </c>
      <c r="CQ731">
        <f t="shared" si="355"/>
        <v>37</v>
      </c>
      <c r="CS731" t="str">
        <f>IF(OR(周转筐出入库明细!$C732="",周转筐出入库明细!$F732&lt;&gt;"采购入库"),"",周转筐出入库明细!$C732)</f>
        <v/>
      </c>
      <c r="CT731">
        <f t="shared" si="356"/>
        <v>0</v>
      </c>
      <c r="CU731">
        <f t="shared" si="357"/>
        <v>1</v>
      </c>
    </row>
    <row r="732" spans="1:99">
      <c r="A732" t="str">
        <f>IF(包装物料出入库明细!$E732="","",包装物料出入库明细!$E732)</f>
        <v/>
      </c>
      <c r="B732">
        <f t="shared" si="341"/>
        <v>0</v>
      </c>
      <c r="C732">
        <f t="shared" si="342"/>
        <v>7</v>
      </c>
      <c r="D732" t="str">
        <f>IF(包装物料出入库明细!$E732="","",包装物料出入库明细!$F732)</f>
        <v/>
      </c>
      <c r="E732" t="str">
        <f>IF(包装物料出入库明细!$E732="","",包装物料出入库明细!$G732)</f>
        <v/>
      </c>
      <c r="K732" t="str">
        <f>IF(包装物料出入库明细!$D732="","",包装物料出入库明细!$D732)</f>
        <v/>
      </c>
      <c r="L732">
        <f t="shared" si="343"/>
        <v>0</v>
      </c>
      <c r="M732">
        <f t="shared" si="344"/>
        <v>9</v>
      </c>
      <c r="Q732" t="str">
        <f>IF(周转筐出入库明细!$D733="","",周转筐出入库明细!$D733)</f>
        <v/>
      </c>
      <c r="R732">
        <f t="shared" si="345"/>
        <v>0</v>
      </c>
      <c r="S732">
        <f t="shared" si="346"/>
        <v>5</v>
      </c>
      <c r="W732" t="str">
        <f>IF(周转筐出入库明细!$C733="","",周转筐出入库明细!$C733)</f>
        <v/>
      </c>
      <c r="X732">
        <f t="shared" si="347"/>
        <v>0</v>
      </c>
      <c r="Y732">
        <f t="shared" si="348"/>
        <v>12</v>
      </c>
      <c r="AC732" t="str">
        <f>IF(客户自备加工筐明细!$C732="","",客户自备加工筐明细!$C732)</f>
        <v/>
      </c>
      <c r="AD732">
        <f t="shared" si="349"/>
        <v>0</v>
      </c>
      <c r="AE732">
        <f t="shared" si="350"/>
        <v>1</v>
      </c>
      <c r="AI732" t="str">
        <f>IF(客户自备加工筐明细!$E732="","",客户自备加工筐明细!$E732)</f>
        <v/>
      </c>
      <c r="AJ732">
        <f t="shared" si="351"/>
        <v>0</v>
      </c>
      <c r="AK732">
        <f t="shared" si="352"/>
        <v>1</v>
      </c>
      <c r="BS732" t="str">
        <f t="shared" ref="BS732:BS795" si="358">IF($AY132="","",$AY132)</f>
        <v/>
      </c>
      <c r="BT732">
        <f t="shared" si="353"/>
        <v>0</v>
      </c>
      <c r="BU732">
        <f t="shared" si="354"/>
        <v>17</v>
      </c>
      <c r="CP732">
        <f>IF(包装物料出入库明细!$D732="",0,1)</f>
        <v>0</v>
      </c>
      <c r="CQ732">
        <f t="shared" si="355"/>
        <v>37</v>
      </c>
      <c r="CS732" t="str">
        <f>IF(OR(周转筐出入库明细!$C733="",周转筐出入库明细!$F733&lt;&gt;"采购入库"),"",周转筐出入库明细!$C733)</f>
        <v/>
      </c>
      <c r="CT732">
        <f t="shared" si="356"/>
        <v>0</v>
      </c>
      <c r="CU732">
        <f t="shared" si="357"/>
        <v>1</v>
      </c>
    </row>
    <row r="733" spans="1:99">
      <c r="A733" t="str">
        <f>IF(包装物料出入库明细!$E733="","",包装物料出入库明细!$E733)</f>
        <v/>
      </c>
      <c r="B733">
        <f t="shared" si="341"/>
        <v>0</v>
      </c>
      <c r="C733">
        <f t="shared" si="342"/>
        <v>7</v>
      </c>
      <c r="D733" t="str">
        <f>IF(包装物料出入库明细!$E733="","",包装物料出入库明细!$F733)</f>
        <v/>
      </c>
      <c r="E733" t="str">
        <f>IF(包装物料出入库明细!$E733="","",包装物料出入库明细!$G733)</f>
        <v/>
      </c>
      <c r="K733" t="str">
        <f>IF(包装物料出入库明细!$D733="","",包装物料出入库明细!$D733)</f>
        <v/>
      </c>
      <c r="L733">
        <f t="shared" si="343"/>
        <v>0</v>
      </c>
      <c r="M733">
        <f t="shared" si="344"/>
        <v>9</v>
      </c>
      <c r="Q733" t="str">
        <f>IF(周转筐出入库明细!$D734="","",周转筐出入库明细!$D734)</f>
        <v/>
      </c>
      <c r="R733">
        <f t="shared" si="345"/>
        <v>0</v>
      </c>
      <c r="S733">
        <f t="shared" si="346"/>
        <v>5</v>
      </c>
      <c r="W733" t="str">
        <f>IF(周转筐出入库明细!$C734="","",周转筐出入库明细!$C734)</f>
        <v/>
      </c>
      <c r="X733">
        <f t="shared" si="347"/>
        <v>0</v>
      </c>
      <c r="Y733">
        <f t="shared" si="348"/>
        <v>12</v>
      </c>
      <c r="AC733" t="str">
        <f>IF(客户自备加工筐明细!$C733="","",客户自备加工筐明细!$C733)</f>
        <v/>
      </c>
      <c r="AD733">
        <f t="shared" si="349"/>
        <v>0</v>
      </c>
      <c r="AE733">
        <f t="shared" si="350"/>
        <v>1</v>
      </c>
      <c r="AI733" t="str">
        <f>IF(客户自备加工筐明细!$E733="","",客户自备加工筐明细!$E733)</f>
        <v/>
      </c>
      <c r="AJ733">
        <f t="shared" si="351"/>
        <v>0</v>
      </c>
      <c r="AK733">
        <f t="shared" si="352"/>
        <v>1</v>
      </c>
      <c r="BS733" t="str">
        <f t="shared" si="358"/>
        <v/>
      </c>
      <c r="BT733">
        <f t="shared" si="353"/>
        <v>0</v>
      </c>
      <c r="BU733">
        <f t="shared" si="354"/>
        <v>17</v>
      </c>
      <c r="CP733">
        <f>IF(包装物料出入库明细!$D733="",0,1)</f>
        <v>0</v>
      </c>
      <c r="CQ733">
        <f t="shared" si="355"/>
        <v>37</v>
      </c>
      <c r="CS733" t="str">
        <f>IF(OR(周转筐出入库明细!$C734="",周转筐出入库明细!$F734&lt;&gt;"采购入库"),"",周转筐出入库明细!$C734)</f>
        <v/>
      </c>
      <c r="CT733">
        <f t="shared" si="356"/>
        <v>0</v>
      </c>
      <c r="CU733">
        <f t="shared" si="357"/>
        <v>1</v>
      </c>
    </row>
    <row r="734" spans="1:99">
      <c r="A734" t="str">
        <f>IF(包装物料出入库明细!$E734="","",包装物料出入库明细!$E734)</f>
        <v/>
      </c>
      <c r="B734">
        <f t="shared" si="341"/>
        <v>0</v>
      </c>
      <c r="C734">
        <f t="shared" si="342"/>
        <v>7</v>
      </c>
      <c r="D734" t="str">
        <f>IF(包装物料出入库明细!$E734="","",包装物料出入库明细!$F734)</f>
        <v/>
      </c>
      <c r="E734" t="str">
        <f>IF(包装物料出入库明细!$E734="","",包装物料出入库明细!$G734)</f>
        <v/>
      </c>
      <c r="K734" t="str">
        <f>IF(包装物料出入库明细!$D734="","",包装物料出入库明细!$D734)</f>
        <v/>
      </c>
      <c r="L734">
        <f t="shared" si="343"/>
        <v>0</v>
      </c>
      <c r="M734">
        <f t="shared" si="344"/>
        <v>9</v>
      </c>
      <c r="Q734" t="str">
        <f>IF(周转筐出入库明细!$D735="","",周转筐出入库明细!$D735)</f>
        <v/>
      </c>
      <c r="R734">
        <f t="shared" si="345"/>
        <v>0</v>
      </c>
      <c r="S734">
        <f t="shared" si="346"/>
        <v>5</v>
      </c>
      <c r="W734" t="str">
        <f>IF(周转筐出入库明细!$C735="","",周转筐出入库明细!$C735)</f>
        <v/>
      </c>
      <c r="X734">
        <f t="shared" si="347"/>
        <v>0</v>
      </c>
      <c r="Y734">
        <f t="shared" si="348"/>
        <v>12</v>
      </c>
      <c r="AC734" t="str">
        <f>IF(客户自备加工筐明细!$C734="","",客户自备加工筐明细!$C734)</f>
        <v/>
      </c>
      <c r="AD734">
        <f t="shared" si="349"/>
        <v>0</v>
      </c>
      <c r="AE734">
        <f t="shared" si="350"/>
        <v>1</v>
      </c>
      <c r="AI734" t="str">
        <f>IF(客户自备加工筐明细!$E734="","",客户自备加工筐明细!$E734)</f>
        <v/>
      </c>
      <c r="AJ734">
        <f t="shared" si="351"/>
        <v>0</v>
      </c>
      <c r="AK734">
        <f t="shared" si="352"/>
        <v>1</v>
      </c>
      <c r="BS734" t="str">
        <f t="shared" si="358"/>
        <v/>
      </c>
      <c r="BT734">
        <f t="shared" si="353"/>
        <v>0</v>
      </c>
      <c r="BU734">
        <f t="shared" si="354"/>
        <v>17</v>
      </c>
      <c r="CP734">
        <f>IF(包装物料出入库明细!$D734="",0,1)</f>
        <v>0</v>
      </c>
      <c r="CQ734">
        <f t="shared" si="355"/>
        <v>37</v>
      </c>
      <c r="CS734" t="str">
        <f>IF(OR(周转筐出入库明细!$C735="",周转筐出入库明细!$F735&lt;&gt;"采购入库"),"",周转筐出入库明细!$C735)</f>
        <v/>
      </c>
      <c r="CT734">
        <f t="shared" si="356"/>
        <v>0</v>
      </c>
      <c r="CU734">
        <f t="shared" si="357"/>
        <v>1</v>
      </c>
    </row>
    <row r="735" spans="1:99">
      <c r="A735" t="str">
        <f>IF(包装物料出入库明细!$E735="","",包装物料出入库明细!$E735)</f>
        <v/>
      </c>
      <c r="B735">
        <f t="shared" si="341"/>
        <v>0</v>
      </c>
      <c r="C735">
        <f t="shared" si="342"/>
        <v>7</v>
      </c>
      <c r="D735" t="str">
        <f>IF(包装物料出入库明细!$E735="","",包装物料出入库明细!$F735)</f>
        <v/>
      </c>
      <c r="E735" t="str">
        <f>IF(包装物料出入库明细!$E735="","",包装物料出入库明细!$G735)</f>
        <v/>
      </c>
      <c r="K735" t="str">
        <f>IF(包装物料出入库明细!$D735="","",包装物料出入库明细!$D735)</f>
        <v/>
      </c>
      <c r="L735">
        <f t="shared" si="343"/>
        <v>0</v>
      </c>
      <c r="M735">
        <f t="shared" si="344"/>
        <v>9</v>
      </c>
      <c r="Q735" t="str">
        <f>IF(周转筐出入库明细!$D736="","",周转筐出入库明细!$D736)</f>
        <v/>
      </c>
      <c r="R735">
        <f t="shared" si="345"/>
        <v>0</v>
      </c>
      <c r="S735">
        <f t="shared" si="346"/>
        <v>5</v>
      </c>
      <c r="W735" t="str">
        <f>IF(周转筐出入库明细!$C736="","",周转筐出入库明细!$C736)</f>
        <v/>
      </c>
      <c r="X735">
        <f t="shared" si="347"/>
        <v>0</v>
      </c>
      <c r="Y735">
        <f t="shared" si="348"/>
        <v>12</v>
      </c>
      <c r="AC735" t="str">
        <f>IF(客户自备加工筐明细!$C735="","",客户自备加工筐明细!$C735)</f>
        <v/>
      </c>
      <c r="AD735">
        <f t="shared" si="349"/>
        <v>0</v>
      </c>
      <c r="AE735">
        <f t="shared" si="350"/>
        <v>1</v>
      </c>
      <c r="AI735" t="str">
        <f>IF(客户自备加工筐明细!$E735="","",客户自备加工筐明细!$E735)</f>
        <v/>
      </c>
      <c r="AJ735">
        <f t="shared" si="351"/>
        <v>0</v>
      </c>
      <c r="AK735">
        <f t="shared" si="352"/>
        <v>1</v>
      </c>
      <c r="BS735" t="str">
        <f t="shared" si="358"/>
        <v/>
      </c>
      <c r="BT735">
        <f t="shared" si="353"/>
        <v>0</v>
      </c>
      <c r="BU735">
        <f t="shared" si="354"/>
        <v>17</v>
      </c>
      <c r="CP735">
        <f>IF(包装物料出入库明细!$D735="",0,1)</f>
        <v>0</v>
      </c>
      <c r="CQ735">
        <f t="shared" si="355"/>
        <v>37</v>
      </c>
      <c r="CS735" t="str">
        <f>IF(OR(周转筐出入库明细!$C736="",周转筐出入库明细!$F736&lt;&gt;"采购入库"),"",周转筐出入库明细!$C736)</f>
        <v/>
      </c>
      <c r="CT735">
        <f t="shared" si="356"/>
        <v>0</v>
      </c>
      <c r="CU735">
        <f t="shared" si="357"/>
        <v>1</v>
      </c>
    </row>
    <row r="736" spans="1:99">
      <c r="A736" t="str">
        <f>IF(包装物料出入库明细!$E736="","",包装物料出入库明细!$E736)</f>
        <v/>
      </c>
      <c r="B736">
        <f t="shared" si="341"/>
        <v>0</v>
      </c>
      <c r="C736">
        <f t="shared" si="342"/>
        <v>7</v>
      </c>
      <c r="D736" t="str">
        <f>IF(包装物料出入库明细!$E736="","",包装物料出入库明细!$F736)</f>
        <v/>
      </c>
      <c r="E736" t="str">
        <f>IF(包装物料出入库明细!$E736="","",包装物料出入库明细!$G736)</f>
        <v/>
      </c>
      <c r="K736" t="str">
        <f>IF(包装物料出入库明细!$D736="","",包装物料出入库明细!$D736)</f>
        <v/>
      </c>
      <c r="L736">
        <f t="shared" si="343"/>
        <v>0</v>
      </c>
      <c r="M736">
        <f t="shared" si="344"/>
        <v>9</v>
      </c>
      <c r="Q736" t="str">
        <f>IF(周转筐出入库明细!$D737="","",周转筐出入库明细!$D737)</f>
        <v/>
      </c>
      <c r="R736">
        <f t="shared" si="345"/>
        <v>0</v>
      </c>
      <c r="S736">
        <f t="shared" si="346"/>
        <v>5</v>
      </c>
      <c r="W736" t="str">
        <f>IF(周转筐出入库明细!$C737="","",周转筐出入库明细!$C737)</f>
        <v/>
      </c>
      <c r="X736">
        <f t="shared" si="347"/>
        <v>0</v>
      </c>
      <c r="Y736">
        <f t="shared" si="348"/>
        <v>12</v>
      </c>
      <c r="AC736" t="str">
        <f>IF(客户自备加工筐明细!$C736="","",客户自备加工筐明细!$C736)</f>
        <v/>
      </c>
      <c r="AD736">
        <f t="shared" si="349"/>
        <v>0</v>
      </c>
      <c r="AE736">
        <f t="shared" si="350"/>
        <v>1</v>
      </c>
      <c r="AI736" t="str">
        <f>IF(客户自备加工筐明细!$E736="","",客户自备加工筐明细!$E736)</f>
        <v/>
      </c>
      <c r="AJ736">
        <f t="shared" si="351"/>
        <v>0</v>
      </c>
      <c r="AK736">
        <f t="shared" si="352"/>
        <v>1</v>
      </c>
      <c r="BS736" t="str">
        <f t="shared" si="358"/>
        <v/>
      </c>
      <c r="BT736">
        <f t="shared" si="353"/>
        <v>0</v>
      </c>
      <c r="BU736">
        <f t="shared" si="354"/>
        <v>17</v>
      </c>
      <c r="CP736">
        <f>IF(包装物料出入库明细!$D736="",0,1)</f>
        <v>0</v>
      </c>
      <c r="CQ736">
        <f t="shared" si="355"/>
        <v>37</v>
      </c>
      <c r="CS736" t="str">
        <f>IF(OR(周转筐出入库明细!$C737="",周转筐出入库明细!$F737&lt;&gt;"采购入库"),"",周转筐出入库明细!$C737)</f>
        <v/>
      </c>
      <c r="CT736">
        <f t="shared" si="356"/>
        <v>0</v>
      </c>
      <c r="CU736">
        <f t="shared" si="357"/>
        <v>1</v>
      </c>
    </row>
    <row r="737" spans="1:99">
      <c r="A737" t="str">
        <f>IF(包装物料出入库明细!$E737="","",包装物料出入库明细!$E737)</f>
        <v/>
      </c>
      <c r="B737">
        <f t="shared" si="341"/>
        <v>0</v>
      </c>
      <c r="C737">
        <f t="shared" si="342"/>
        <v>7</v>
      </c>
      <c r="D737" t="str">
        <f>IF(包装物料出入库明细!$E737="","",包装物料出入库明细!$F737)</f>
        <v/>
      </c>
      <c r="E737" t="str">
        <f>IF(包装物料出入库明细!$E737="","",包装物料出入库明细!$G737)</f>
        <v/>
      </c>
      <c r="K737" t="str">
        <f>IF(包装物料出入库明细!$D737="","",包装物料出入库明细!$D737)</f>
        <v/>
      </c>
      <c r="L737">
        <f t="shared" si="343"/>
        <v>0</v>
      </c>
      <c r="M737">
        <f t="shared" si="344"/>
        <v>9</v>
      </c>
      <c r="Q737" t="str">
        <f>IF(周转筐出入库明细!$D738="","",周转筐出入库明细!$D738)</f>
        <v/>
      </c>
      <c r="R737">
        <f t="shared" si="345"/>
        <v>0</v>
      </c>
      <c r="S737">
        <f t="shared" si="346"/>
        <v>5</v>
      </c>
      <c r="W737" t="str">
        <f>IF(周转筐出入库明细!$C738="","",周转筐出入库明细!$C738)</f>
        <v/>
      </c>
      <c r="X737">
        <f t="shared" si="347"/>
        <v>0</v>
      </c>
      <c r="Y737">
        <f t="shared" si="348"/>
        <v>12</v>
      </c>
      <c r="AC737" t="str">
        <f>IF(客户自备加工筐明细!$C737="","",客户自备加工筐明细!$C737)</f>
        <v/>
      </c>
      <c r="AD737">
        <f t="shared" si="349"/>
        <v>0</v>
      </c>
      <c r="AE737">
        <f t="shared" si="350"/>
        <v>1</v>
      </c>
      <c r="AI737" t="str">
        <f>IF(客户自备加工筐明细!$E737="","",客户自备加工筐明细!$E737)</f>
        <v/>
      </c>
      <c r="AJ737">
        <f t="shared" si="351"/>
        <v>0</v>
      </c>
      <c r="AK737">
        <f t="shared" si="352"/>
        <v>1</v>
      </c>
      <c r="BS737" t="str">
        <f t="shared" si="358"/>
        <v/>
      </c>
      <c r="BT737">
        <f t="shared" si="353"/>
        <v>0</v>
      </c>
      <c r="BU737">
        <f t="shared" si="354"/>
        <v>17</v>
      </c>
      <c r="CP737">
        <f>IF(包装物料出入库明细!$D737="",0,1)</f>
        <v>0</v>
      </c>
      <c r="CQ737">
        <f t="shared" si="355"/>
        <v>37</v>
      </c>
      <c r="CS737" t="str">
        <f>IF(OR(周转筐出入库明细!$C738="",周转筐出入库明细!$F738&lt;&gt;"采购入库"),"",周转筐出入库明细!$C738)</f>
        <v/>
      </c>
      <c r="CT737">
        <f t="shared" si="356"/>
        <v>0</v>
      </c>
      <c r="CU737">
        <f t="shared" si="357"/>
        <v>1</v>
      </c>
    </row>
    <row r="738" spans="1:99">
      <c r="A738" t="str">
        <f>IF(包装物料出入库明细!$E738="","",包装物料出入库明细!$E738)</f>
        <v/>
      </c>
      <c r="B738">
        <f t="shared" si="341"/>
        <v>0</v>
      </c>
      <c r="C738">
        <f t="shared" si="342"/>
        <v>7</v>
      </c>
      <c r="D738" t="str">
        <f>IF(包装物料出入库明细!$E738="","",包装物料出入库明细!$F738)</f>
        <v/>
      </c>
      <c r="E738" t="str">
        <f>IF(包装物料出入库明细!$E738="","",包装物料出入库明细!$G738)</f>
        <v/>
      </c>
      <c r="K738" t="str">
        <f>IF(包装物料出入库明细!$D738="","",包装物料出入库明细!$D738)</f>
        <v/>
      </c>
      <c r="L738">
        <f t="shared" si="343"/>
        <v>0</v>
      </c>
      <c r="M738">
        <f t="shared" si="344"/>
        <v>9</v>
      </c>
      <c r="Q738" t="str">
        <f>IF(周转筐出入库明细!$D739="","",周转筐出入库明细!$D739)</f>
        <v/>
      </c>
      <c r="R738">
        <f t="shared" si="345"/>
        <v>0</v>
      </c>
      <c r="S738">
        <f t="shared" si="346"/>
        <v>5</v>
      </c>
      <c r="W738" t="str">
        <f>IF(周转筐出入库明细!$C739="","",周转筐出入库明细!$C739)</f>
        <v/>
      </c>
      <c r="X738">
        <f t="shared" si="347"/>
        <v>0</v>
      </c>
      <c r="Y738">
        <f t="shared" si="348"/>
        <v>12</v>
      </c>
      <c r="AC738" t="str">
        <f>IF(客户自备加工筐明细!$C738="","",客户自备加工筐明细!$C738)</f>
        <v/>
      </c>
      <c r="AD738">
        <f t="shared" si="349"/>
        <v>0</v>
      </c>
      <c r="AE738">
        <f t="shared" si="350"/>
        <v>1</v>
      </c>
      <c r="AI738" t="str">
        <f>IF(客户自备加工筐明细!$E738="","",客户自备加工筐明细!$E738)</f>
        <v/>
      </c>
      <c r="AJ738">
        <f t="shared" si="351"/>
        <v>0</v>
      </c>
      <c r="AK738">
        <f t="shared" si="352"/>
        <v>1</v>
      </c>
      <c r="BS738" t="str">
        <f t="shared" si="358"/>
        <v/>
      </c>
      <c r="BT738">
        <f t="shared" si="353"/>
        <v>0</v>
      </c>
      <c r="BU738">
        <f t="shared" si="354"/>
        <v>17</v>
      </c>
      <c r="CP738">
        <f>IF(包装物料出入库明细!$D738="",0,1)</f>
        <v>0</v>
      </c>
      <c r="CQ738">
        <f t="shared" si="355"/>
        <v>37</v>
      </c>
      <c r="CS738" t="str">
        <f>IF(OR(周转筐出入库明细!$C739="",周转筐出入库明细!$F739&lt;&gt;"采购入库"),"",周转筐出入库明细!$C739)</f>
        <v/>
      </c>
      <c r="CT738">
        <f t="shared" si="356"/>
        <v>0</v>
      </c>
      <c r="CU738">
        <f t="shared" si="357"/>
        <v>1</v>
      </c>
    </row>
    <row r="739" spans="1:99">
      <c r="A739" t="str">
        <f>IF(包装物料出入库明细!$E739="","",包装物料出入库明细!$E739)</f>
        <v/>
      </c>
      <c r="B739">
        <f t="shared" si="341"/>
        <v>0</v>
      </c>
      <c r="C739">
        <f t="shared" si="342"/>
        <v>7</v>
      </c>
      <c r="D739" t="str">
        <f>IF(包装物料出入库明细!$E739="","",包装物料出入库明细!$F739)</f>
        <v/>
      </c>
      <c r="E739" t="str">
        <f>IF(包装物料出入库明细!$E739="","",包装物料出入库明细!$G739)</f>
        <v/>
      </c>
      <c r="K739" t="str">
        <f>IF(包装物料出入库明细!$D739="","",包装物料出入库明细!$D739)</f>
        <v/>
      </c>
      <c r="L739">
        <f t="shared" si="343"/>
        <v>0</v>
      </c>
      <c r="M739">
        <f t="shared" si="344"/>
        <v>9</v>
      </c>
      <c r="Q739" t="str">
        <f>IF(周转筐出入库明细!$D740="","",周转筐出入库明细!$D740)</f>
        <v/>
      </c>
      <c r="R739">
        <f t="shared" si="345"/>
        <v>0</v>
      </c>
      <c r="S739">
        <f t="shared" si="346"/>
        <v>5</v>
      </c>
      <c r="W739" t="str">
        <f>IF(周转筐出入库明细!$C740="","",周转筐出入库明细!$C740)</f>
        <v/>
      </c>
      <c r="X739">
        <f t="shared" si="347"/>
        <v>0</v>
      </c>
      <c r="Y739">
        <f t="shared" si="348"/>
        <v>12</v>
      </c>
      <c r="AC739" t="str">
        <f>IF(客户自备加工筐明细!$C739="","",客户自备加工筐明细!$C739)</f>
        <v/>
      </c>
      <c r="AD739">
        <f t="shared" si="349"/>
        <v>0</v>
      </c>
      <c r="AE739">
        <f t="shared" si="350"/>
        <v>1</v>
      </c>
      <c r="AI739" t="str">
        <f>IF(客户自备加工筐明细!$E739="","",客户自备加工筐明细!$E739)</f>
        <v/>
      </c>
      <c r="AJ739">
        <f t="shared" si="351"/>
        <v>0</v>
      </c>
      <c r="AK739">
        <f t="shared" si="352"/>
        <v>1</v>
      </c>
      <c r="BS739" t="str">
        <f t="shared" si="358"/>
        <v/>
      </c>
      <c r="BT739">
        <f t="shared" si="353"/>
        <v>0</v>
      </c>
      <c r="BU739">
        <f t="shared" si="354"/>
        <v>17</v>
      </c>
      <c r="CP739">
        <f>IF(包装物料出入库明细!$D739="",0,1)</f>
        <v>0</v>
      </c>
      <c r="CQ739">
        <f t="shared" si="355"/>
        <v>37</v>
      </c>
      <c r="CS739" t="str">
        <f>IF(OR(周转筐出入库明细!$C740="",周转筐出入库明细!$F740&lt;&gt;"采购入库"),"",周转筐出入库明细!$C740)</f>
        <v/>
      </c>
      <c r="CT739">
        <f t="shared" si="356"/>
        <v>0</v>
      </c>
      <c r="CU739">
        <f t="shared" si="357"/>
        <v>1</v>
      </c>
    </row>
    <row r="740" spans="1:99">
      <c r="A740" t="str">
        <f>IF(包装物料出入库明细!$E740="","",包装物料出入库明细!$E740)</f>
        <v/>
      </c>
      <c r="B740">
        <f t="shared" si="341"/>
        <v>0</v>
      </c>
      <c r="C740">
        <f t="shared" si="342"/>
        <v>7</v>
      </c>
      <c r="D740" t="str">
        <f>IF(包装物料出入库明细!$E740="","",包装物料出入库明细!$F740)</f>
        <v/>
      </c>
      <c r="E740" t="str">
        <f>IF(包装物料出入库明细!$E740="","",包装物料出入库明细!$G740)</f>
        <v/>
      </c>
      <c r="K740" t="str">
        <f>IF(包装物料出入库明细!$D740="","",包装物料出入库明细!$D740)</f>
        <v/>
      </c>
      <c r="L740">
        <f t="shared" si="343"/>
        <v>0</v>
      </c>
      <c r="M740">
        <f t="shared" si="344"/>
        <v>9</v>
      </c>
      <c r="Q740" t="str">
        <f>IF(周转筐出入库明细!$D741="","",周转筐出入库明细!$D741)</f>
        <v/>
      </c>
      <c r="R740">
        <f t="shared" si="345"/>
        <v>0</v>
      </c>
      <c r="S740">
        <f t="shared" si="346"/>
        <v>5</v>
      </c>
      <c r="W740" t="str">
        <f>IF(周转筐出入库明细!$C741="","",周转筐出入库明细!$C741)</f>
        <v/>
      </c>
      <c r="X740">
        <f t="shared" si="347"/>
        <v>0</v>
      </c>
      <c r="Y740">
        <f t="shared" si="348"/>
        <v>12</v>
      </c>
      <c r="AC740" t="str">
        <f>IF(客户自备加工筐明细!$C740="","",客户自备加工筐明细!$C740)</f>
        <v/>
      </c>
      <c r="AD740">
        <f t="shared" si="349"/>
        <v>0</v>
      </c>
      <c r="AE740">
        <f t="shared" si="350"/>
        <v>1</v>
      </c>
      <c r="AI740" t="str">
        <f>IF(客户自备加工筐明细!$E740="","",客户自备加工筐明细!$E740)</f>
        <v/>
      </c>
      <c r="AJ740">
        <f t="shared" si="351"/>
        <v>0</v>
      </c>
      <c r="AK740">
        <f t="shared" si="352"/>
        <v>1</v>
      </c>
      <c r="BS740" t="str">
        <f t="shared" si="358"/>
        <v/>
      </c>
      <c r="BT740">
        <f t="shared" si="353"/>
        <v>0</v>
      </c>
      <c r="BU740">
        <f t="shared" si="354"/>
        <v>17</v>
      </c>
      <c r="CP740">
        <f>IF(包装物料出入库明细!$D740="",0,1)</f>
        <v>0</v>
      </c>
      <c r="CQ740">
        <f t="shared" si="355"/>
        <v>37</v>
      </c>
      <c r="CS740" t="str">
        <f>IF(OR(周转筐出入库明细!$C741="",周转筐出入库明细!$F741&lt;&gt;"采购入库"),"",周转筐出入库明细!$C741)</f>
        <v/>
      </c>
      <c r="CT740">
        <f t="shared" si="356"/>
        <v>0</v>
      </c>
      <c r="CU740">
        <f t="shared" si="357"/>
        <v>1</v>
      </c>
    </row>
    <row r="741" spans="1:99">
      <c r="A741" t="str">
        <f>IF(包装物料出入库明细!$E741="","",包装物料出入库明细!$E741)</f>
        <v/>
      </c>
      <c r="B741">
        <f t="shared" si="341"/>
        <v>0</v>
      </c>
      <c r="C741">
        <f t="shared" si="342"/>
        <v>7</v>
      </c>
      <c r="D741" t="str">
        <f>IF(包装物料出入库明细!$E741="","",包装物料出入库明细!$F741)</f>
        <v/>
      </c>
      <c r="E741" t="str">
        <f>IF(包装物料出入库明细!$E741="","",包装物料出入库明细!$G741)</f>
        <v/>
      </c>
      <c r="K741" t="str">
        <f>IF(包装物料出入库明细!$D741="","",包装物料出入库明细!$D741)</f>
        <v/>
      </c>
      <c r="L741">
        <f t="shared" si="343"/>
        <v>0</v>
      </c>
      <c r="M741">
        <f t="shared" si="344"/>
        <v>9</v>
      </c>
      <c r="Q741" t="str">
        <f>IF(周转筐出入库明细!$D742="","",周转筐出入库明细!$D742)</f>
        <v/>
      </c>
      <c r="R741">
        <f t="shared" si="345"/>
        <v>0</v>
      </c>
      <c r="S741">
        <f t="shared" si="346"/>
        <v>5</v>
      </c>
      <c r="W741" t="str">
        <f>IF(周转筐出入库明细!$C742="","",周转筐出入库明细!$C742)</f>
        <v/>
      </c>
      <c r="X741">
        <f t="shared" si="347"/>
        <v>0</v>
      </c>
      <c r="Y741">
        <f t="shared" si="348"/>
        <v>12</v>
      </c>
      <c r="AC741" t="str">
        <f>IF(客户自备加工筐明细!$C741="","",客户自备加工筐明细!$C741)</f>
        <v/>
      </c>
      <c r="AD741">
        <f t="shared" si="349"/>
        <v>0</v>
      </c>
      <c r="AE741">
        <f t="shared" si="350"/>
        <v>1</v>
      </c>
      <c r="AI741" t="str">
        <f>IF(客户自备加工筐明细!$E741="","",客户自备加工筐明细!$E741)</f>
        <v/>
      </c>
      <c r="AJ741">
        <f t="shared" si="351"/>
        <v>0</v>
      </c>
      <c r="AK741">
        <f t="shared" si="352"/>
        <v>1</v>
      </c>
      <c r="BS741" t="str">
        <f t="shared" si="358"/>
        <v/>
      </c>
      <c r="BT741">
        <f t="shared" si="353"/>
        <v>0</v>
      </c>
      <c r="BU741">
        <f t="shared" si="354"/>
        <v>17</v>
      </c>
      <c r="CP741">
        <f>IF(包装物料出入库明细!$D741="",0,1)</f>
        <v>0</v>
      </c>
      <c r="CQ741">
        <f t="shared" si="355"/>
        <v>37</v>
      </c>
      <c r="CS741" t="str">
        <f>IF(OR(周转筐出入库明细!$C742="",周转筐出入库明细!$F742&lt;&gt;"采购入库"),"",周转筐出入库明细!$C742)</f>
        <v/>
      </c>
      <c r="CT741">
        <f t="shared" si="356"/>
        <v>0</v>
      </c>
      <c r="CU741">
        <f t="shared" si="357"/>
        <v>1</v>
      </c>
    </row>
    <row r="742" spans="1:99">
      <c r="A742" t="str">
        <f>IF(包装物料出入库明细!$E742="","",包装物料出入库明细!$E742)</f>
        <v/>
      </c>
      <c r="B742">
        <f t="shared" si="341"/>
        <v>0</v>
      </c>
      <c r="C742">
        <f t="shared" si="342"/>
        <v>7</v>
      </c>
      <c r="D742" t="str">
        <f>IF(包装物料出入库明细!$E742="","",包装物料出入库明细!$F742)</f>
        <v/>
      </c>
      <c r="E742" t="str">
        <f>IF(包装物料出入库明细!$E742="","",包装物料出入库明细!$G742)</f>
        <v/>
      </c>
      <c r="K742" t="str">
        <f>IF(包装物料出入库明细!$D742="","",包装物料出入库明细!$D742)</f>
        <v/>
      </c>
      <c r="L742">
        <f t="shared" si="343"/>
        <v>0</v>
      </c>
      <c r="M742">
        <f t="shared" si="344"/>
        <v>9</v>
      </c>
      <c r="Q742" t="str">
        <f>IF(周转筐出入库明细!$D743="","",周转筐出入库明细!$D743)</f>
        <v/>
      </c>
      <c r="R742">
        <f t="shared" si="345"/>
        <v>0</v>
      </c>
      <c r="S742">
        <f t="shared" si="346"/>
        <v>5</v>
      </c>
      <c r="W742" t="str">
        <f>IF(周转筐出入库明细!$C743="","",周转筐出入库明细!$C743)</f>
        <v/>
      </c>
      <c r="X742">
        <f t="shared" si="347"/>
        <v>0</v>
      </c>
      <c r="Y742">
        <f t="shared" si="348"/>
        <v>12</v>
      </c>
      <c r="AC742" t="str">
        <f>IF(客户自备加工筐明细!$C742="","",客户自备加工筐明细!$C742)</f>
        <v/>
      </c>
      <c r="AD742">
        <f t="shared" si="349"/>
        <v>0</v>
      </c>
      <c r="AE742">
        <f t="shared" si="350"/>
        <v>1</v>
      </c>
      <c r="AI742" t="str">
        <f>IF(客户自备加工筐明细!$E742="","",客户自备加工筐明细!$E742)</f>
        <v/>
      </c>
      <c r="AJ742">
        <f t="shared" si="351"/>
        <v>0</v>
      </c>
      <c r="AK742">
        <f t="shared" si="352"/>
        <v>1</v>
      </c>
      <c r="BS742" t="str">
        <f t="shared" si="358"/>
        <v/>
      </c>
      <c r="BT742">
        <f t="shared" si="353"/>
        <v>0</v>
      </c>
      <c r="BU742">
        <f t="shared" si="354"/>
        <v>17</v>
      </c>
      <c r="CP742">
        <f>IF(包装物料出入库明细!$D742="",0,1)</f>
        <v>0</v>
      </c>
      <c r="CQ742">
        <f t="shared" si="355"/>
        <v>37</v>
      </c>
      <c r="CS742" t="str">
        <f>IF(OR(周转筐出入库明细!$C743="",周转筐出入库明细!$F743&lt;&gt;"采购入库"),"",周转筐出入库明细!$C743)</f>
        <v/>
      </c>
      <c r="CT742">
        <f t="shared" si="356"/>
        <v>0</v>
      </c>
      <c r="CU742">
        <f t="shared" si="357"/>
        <v>1</v>
      </c>
    </row>
    <row r="743" spans="1:99">
      <c r="A743" t="str">
        <f>IF(包装物料出入库明细!$E743="","",包装物料出入库明细!$E743)</f>
        <v/>
      </c>
      <c r="B743">
        <f t="shared" si="341"/>
        <v>0</v>
      </c>
      <c r="C743">
        <f t="shared" si="342"/>
        <v>7</v>
      </c>
      <c r="D743" t="str">
        <f>IF(包装物料出入库明细!$E743="","",包装物料出入库明细!$F743)</f>
        <v/>
      </c>
      <c r="E743" t="str">
        <f>IF(包装物料出入库明细!$E743="","",包装物料出入库明细!$G743)</f>
        <v/>
      </c>
      <c r="K743" t="str">
        <f>IF(包装物料出入库明细!$D743="","",包装物料出入库明细!$D743)</f>
        <v/>
      </c>
      <c r="L743">
        <f t="shared" si="343"/>
        <v>0</v>
      </c>
      <c r="M743">
        <f t="shared" si="344"/>
        <v>9</v>
      </c>
      <c r="Q743" t="str">
        <f>IF(周转筐出入库明细!$D744="","",周转筐出入库明细!$D744)</f>
        <v/>
      </c>
      <c r="R743">
        <f t="shared" si="345"/>
        <v>0</v>
      </c>
      <c r="S743">
        <f t="shared" si="346"/>
        <v>5</v>
      </c>
      <c r="W743" t="str">
        <f>IF(周转筐出入库明细!$C744="","",周转筐出入库明细!$C744)</f>
        <v/>
      </c>
      <c r="X743">
        <f t="shared" si="347"/>
        <v>0</v>
      </c>
      <c r="Y743">
        <f t="shared" si="348"/>
        <v>12</v>
      </c>
      <c r="AC743" t="str">
        <f>IF(客户自备加工筐明细!$C743="","",客户自备加工筐明细!$C743)</f>
        <v/>
      </c>
      <c r="AD743">
        <f t="shared" si="349"/>
        <v>0</v>
      </c>
      <c r="AE743">
        <f t="shared" si="350"/>
        <v>1</v>
      </c>
      <c r="AI743" t="str">
        <f>IF(客户自备加工筐明细!$E743="","",客户自备加工筐明细!$E743)</f>
        <v/>
      </c>
      <c r="AJ743">
        <f t="shared" si="351"/>
        <v>0</v>
      </c>
      <c r="AK743">
        <f t="shared" si="352"/>
        <v>1</v>
      </c>
      <c r="BS743" t="str">
        <f t="shared" si="358"/>
        <v/>
      </c>
      <c r="BT743">
        <f t="shared" si="353"/>
        <v>0</v>
      </c>
      <c r="BU743">
        <f t="shared" si="354"/>
        <v>17</v>
      </c>
      <c r="CP743">
        <f>IF(包装物料出入库明细!$D743="",0,1)</f>
        <v>0</v>
      </c>
      <c r="CQ743">
        <f t="shared" si="355"/>
        <v>37</v>
      </c>
      <c r="CS743" t="str">
        <f>IF(OR(周转筐出入库明细!$C744="",周转筐出入库明细!$F744&lt;&gt;"采购入库"),"",周转筐出入库明细!$C744)</f>
        <v/>
      </c>
      <c r="CT743">
        <f t="shared" si="356"/>
        <v>0</v>
      </c>
      <c r="CU743">
        <f t="shared" si="357"/>
        <v>1</v>
      </c>
    </row>
    <row r="744" spans="1:99">
      <c r="A744" t="str">
        <f>IF(包装物料出入库明细!$E744="","",包装物料出入库明细!$E744)</f>
        <v/>
      </c>
      <c r="B744">
        <f t="shared" si="341"/>
        <v>0</v>
      </c>
      <c r="C744">
        <f t="shared" si="342"/>
        <v>7</v>
      </c>
      <c r="D744" t="str">
        <f>IF(包装物料出入库明细!$E744="","",包装物料出入库明细!$F744)</f>
        <v/>
      </c>
      <c r="E744" t="str">
        <f>IF(包装物料出入库明细!$E744="","",包装物料出入库明细!$G744)</f>
        <v/>
      </c>
      <c r="K744" t="str">
        <f>IF(包装物料出入库明细!$D744="","",包装物料出入库明细!$D744)</f>
        <v/>
      </c>
      <c r="L744">
        <f t="shared" si="343"/>
        <v>0</v>
      </c>
      <c r="M744">
        <f t="shared" si="344"/>
        <v>9</v>
      </c>
      <c r="Q744" t="str">
        <f>IF(周转筐出入库明细!$D745="","",周转筐出入库明细!$D745)</f>
        <v/>
      </c>
      <c r="R744">
        <f t="shared" si="345"/>
        <v>0</v>
      </c>
      <c r="S744">
        <f t="shared" si="346"/>
        <v>5</v>
      </c>
      <c r="W744" t="str">
        <f>IF(周转筐出入库明细!$C745="","",周转筐出入库明细!$C745)</f>
        <v/>
      </c>
      <c r="X744">
        <f t="shared" si="347"/>
        <v>0</v>
      </c>
      <c r="Y744">
        <f t="shared" si="348"/>
        <v>12</v>
      </c>
      <c r="AC744" t="str">
        <f>IF(客户自备加工筐明细!$C744="","",客户自备加工筐明细!$C744)</f>
        <v/>
      </c>
      <c r="AD744">
        <f t="shared" si="349"/>
        <v>0</v>
      </c>
      <c r="AE744">
        <f t="shared" si="350"/>
        <v>1</v>
      </c>
      <c r="AI744" t="str">
        <f>IF(客户自备加工筐明细!$E744="","",客户自备加工筐明细!$E744)</f>
        <v/>
      </c>
      <c r="AJ744">
        <f t="shared" si="351"/>
        <v>0</v>
      </c>
      <c r="AK744">
        <f t="shared" si="352"/>
        <v>1</v>
      </c>
      <c r="BS744" t="str">
        <f t="shared" si="358"/>
        <v/>
      </c>
      <c r="BT744">
        <f t="shared" si="353"/>
        <v>0</v>
      </c>
      <c r="BU744">
        <f t="shared" si="354"/>
        <v>17</v>
      </c>
      <c r="CP744">
        <f>IF(包装物料出入库明细!$D744="",0,1)</f>
        <v>0</v>
      </c>
      <c r="CQ744">
        <f t="shared" si="355"/>
        <v>37</v>
      </c>
      <c r="CS744" t="str">
        <f>IF(OR(周转筐出入库明细!$C745="",周转筐出入库明细!$F745&lt;&gt;"采购入库"),"",周转筐出入库明细!$C745)</f>
        <v/>
      </c>
      <c r="CT744">
        <f t="shared" si="356"/>
        <v>0</v>
      </c>
      <c r="CU744">
        <f t="shared" si="357"/>
        <v>1</v>
      </c>
    </row>
    <row r="745" spans="1:99">
      <c r="A745" t="str">
        <f>IF(包装物料出入库明细!$E745="","",包装物料出入库明细!$E745)</f>
        <v/>
      </c>
      <c r="B745">
        <f t="shared" si="341"/>
        <v>0</v>
      </c>
      <c r="C745">
        <f t="shared" si="342"/>
        <v>7</v>
      </c>
      <c r="D745" t="str">
        <f>IF(包装物料出入库明细!$E745="","",包装物料出入库明细!$F745)</f>
        <v/>
      </c>
      <c r="E745" t="str">
        <f>IF(包装物料出入库明细!$E745="","",包装物料出入库明细!$G745)</f>
        <v/>
      </c>
      <c r="K745" t="str">
        <f>IF(包装物料出入库明细!$D745="","",包装物料出入库明细!$D745)</f>
        <v/>
      </c>
      <c r="L745">
        <f t="shared" si="343"/>
        <v>0</v>
      </c>
      <c r="M745">
        <f t="shared" si="344"/>
        <v>9</v>
      </c>
      <c r="Q745" t="str">
        <f>IF(周转筐出入库明细!$D746="","",周转筐出入库明细!$D746)</f>
        <v/>
      </c>
      <c r="R745">
        <f t="shared" si="345"/>
        <v>0</v>
      </c>
      <c r="S745">
        <f t="shared" si="346"/>
        <v>5</v>
      </c>
      <c r="W745" t="str">
        <f>IF(周转筐出入库明细!$C746="","",周转筐出入库明细!$C746)</f>
        <v/>
      </c>
      <c r="X745">
        <f t="shared" si="347"/>
        <v>0</v>
      </c>
      <c r="Y745">
        <f t="shared" si="348"/>
        <v>12</v>
      </c>
      <c r="AC745" t="str">
        <f>IF(客户自备加工筐明细!$C745="","",客户自备加工筐明细!$C745)</f>
        <v/>
      </c>
      <c r="AD745">
        <f t="shared" si="349"/>
        <v>0</v>
      </c>
      <c r="AE745">
        <f t="shared" si="350"/>
        <v>1</v>
      </c>
      <c r="AI745" t="str">
        <f>IF(客户自备加工筐明细!$E745="","",客户自备加工筐明细!$E745)</f>
        <v/>
      </c>
      <c r="AJ745">
        <f t="shared" si="351"/>
        <v>0</v>
      </c>
      <c r="AK745">
        <f t="shared" si="352"/>
        <v>1</v>
      </c>
      <c r="BS745" t="str">
        <f t="shared" si="358"/>
        <v/>
      </c>
      <c r="BT745">
        <f t="shared" si="353"/>
        <v>0</v>
      </c>
      <c r="BU745">
        <f t="shared" si="354"/>
        <v>17</v>
      </c>
      <c r="CP745">
        <f>IF(包装物料出入库明细!$D745="",0,1)</f>
        <v>0</v>
      </c>
      <c r="CQ745">
        <f t="shared" si="355"/>
        <v>37</v>
      </c>
      <c r="CS745" t="str">
        <f>IF(OR(周转筐出入库明细!$C746="",周转筐出入库明细!$F746&lt;&gt;"采购入库"),"",周转筐出入库明细!$C746)</f>
        <v/>
      </c>
      <c r="CT745">
        <f t="shared" si="356"/>
        <v>0</v>
      </c>
      <c r="CU745">
        <f t="shared" si="357"/>
        <v>1</v>
      </c>
    </row>
    <row r="746" spans="1:99">
      <c r="A746" t="str">
        <f>IF(包装物料出入库明细!$E746="","",包装物料出入库明细!$E746)</f>
        <v/>
      </c>
      <c r="B746">
        <f t="shared" si="341"/>
        <v>0</v>
      </c>
      <c r="C746">
        <f t="shared" si="342"/>
        <v>7</v>
      </c>
      <c r="D746" t="str">
        <f>IF(包装物料出入库明细!$E746="","",包装物料出入库明细!$F746)</f>
        <v/>
      </c>
      <c r="E746" t="str">
        <f>IF(包装物料出入库明细!$E746="","",包装物料出入库明细!$G746)</f>
        <v/>
      </c>
      <c r="K746" t="str">
        <f>IF(包装物料出入库明细!$D746="","",包装物料出入库明细!$D746)</f>
        <v/>
      </c>
      <c r="L746">
        <f t="shared" si="343"/>
        <v>0</v>
      </c>
      <c r="M746">
        <f t="shared" si="344"/>
        <v>9</v>
      </c>
      <c r="Q746" t="str">
        <f>IF(周转筐出入库明细!$D747="","",周转筐出入库明细!$D747)</f>
        <v/>
      </c>
      <c r="R746">
        <f t="shared" si="345"/>
        <v>0</v>
      </c>
      <c r="S746">
        <f t="shared" si="346"/>
        <v>5</v>
      </c>
      <c r="W746" t="str">
        <f>IF(周转筐出入库明细!$C747="","",周转筐出入库明细!$C747)</f>
        <v/>
      </c>
      <c r="X746">
        <f t="shared" si="347"/>
        <v>0</v>
      </c>
      <c r="Y746">
        <f t="shared" si="348"/>
        <v>12</v>
      </c>
      <c r="AC746" t="str">
        <f>IF(客户自备加工筐明细!$C746="","",客户自备加工筐明细!$C746)</f>
        <v/>
      </c>
      <c r="AD746">
        <f t="shared" si="349"/>
        <v>0</v>
      </c>
      <c r="AE746">
        <f t="shared" si="350"/>
        <v>1</v>
      </c>
      <c r="AI746" t="str">
        <f>IF(客户自备加工筐明细!$E746="","",客户自备加工筐明细!$E746)</f>
        <v/>
      </c>
      <c r="AJ746">
        <f t="shared" si="351"/>
        <v>0</v>
      </c>
      <c r="AK746">
        <f t="shared" si="352"/>
        <v>1</v>
      </c>
      <c r="BS746" t="str">
        <f t="shared" si="358"/>
        <v/>
      </c>
      <c r="BT746">
        <f t="shared" si="353"/>
        <v>0</v>
      </c>
      <c r="BU746">
        <f t="shared" si="354"/>
        <v>17</v>
      </c>
      <c r="CP746">
        <f>IF(包装物料出入库明细!$D746="",0,1)</f>
        <v>0</v>
      </c>
      <c r="CQ746">
        <f t="shared" si="355"/>
        <v>37</v>
      </c>
      <c r="CS746" t="str">
        <f>IF(OR(周转筐出入库明细!$C747="",周转筐出入库明细!$F747&lt;&gt;"采购入库"),"",周转筐出入库明细!$C747)</f>
        <v/>
      </c>
      <c r="CT746">
        <f t="shared" si="356"/>
        <v>0</v>
      </c>
      <c r="CU746">
        <f t="shared" si="357"/>
        <v>1</v>
      </c>
    </row>
    <row r="747" spans="1:99">
      <c r="A747" t="str">
        <f>IF(包装物料出入库明细!$E747="","",包装物料出入库明细!$E747)</f>
        <v/>
      </c>
      <c r="B747">
        <f t="shared" si="341"/>
        <v>0</v>
      </c>
      <c r="C747">
        <f t="shared" si="342"/>
        <v>7</v>
      </c>
      <c r="D747" t="str">
        <f>IF(包装物料出入库明细!$E747="","",包装物料出入库明细!$F747)</f>
        <v/>
      </c>
      <c r="E747" t="str">
        <f>IF(包装物料出入库明细!$E747="","",包装物料出入库明细!$G747)</f>
        <v/>
      </c>
      <c r="K747" t="str">
        <f>IF(包装物料出入库明细!$D747="","",包装物料出入库明细!$D747)</f>
        <v/>
      </c>
      <c r="L747">
        <f t="shared" si="343"/>
        <v>0</v>
      </c>
      <c r="M747">
        <f t="shared" si="344"/>
        <v>9</v>
      </c>
      <c r="Q747" t="str">
        <f>IF(周转筐出入库明细!$D748="","",周转筐出入库明细!$D748)</f>
        <v/>
      </c>
      <c r="R747">
        <f t="shared" si="345"/>
        <v>0</v>
      </c>
      <c r="S747">
        <f t="shared" si="346"/>
        <v>5</v>
      </c>
      <c r="W747" t="str">
        <f>IF(周转筐出入库明细!$C748="","",周转筐出入库明细!$C748)</f>
        <v/>
      </c>
      <c r="X747">
        <f t="shared" si="347"/>
        <v>0</v>
      </c>
      <c r="Y747">
        <f t="shared" si="348"/>
        <v>12</v>
      </c>
      <c r="AC747" t="str">
        <f>IF(客户自备加工筐明细!$C747="","",客户自备加工筐明细!$C747)</f>
        <v/>
      </c>
      <c r="AD747">
        <f t="shared" si="349"/>
        <v>0</v>
      </c>
      <c r="AE747">
        <f t="shared" si="350"/>
        <v>1</v>
      </c>
      <c r="AI747" t="str">
        <f>IF(客户自备加工筐明细!$E747="","",客户自备加工筐明细!$E747)</f>
        <v/>
      </c>
      <c r="AJ747">
        <f t="shared" si="351"/>
        <v>0</v>
      </c>
      <c r="AK747">
        <f t="shared" si="352"/>
        <v>1</v>
      </c>
      <c r="BS747" t="str">
        <f t="shared" si="358"/>
        <v/>
      </c>
      <c r="BT747">
        <f t="shared" si="353"/>
        <v>0</v>
      </c>
      <c r="BU747">
        <f t="shared" si="354"/>
        <v>17</v>
      </c>
      <c r="CP747">
        <f>IF(包装物料出入库明细!$D747="",0,1)</f>
        <v>0</v>
      </c>
      <c r="CQ747">
        <f t="shared" si="355"/>
        <v>37</v>
      </c>
      <c r="CS747" t="str">
        <f>IF(OR(周转筐出入库明细!$C748="",周转筐出入库明细!$F748&lt;&gt;"采购入库"),"",周转筐出入库明细!$C748)</f>
        <v/>
      </c>
      <c r="CT747">
        <f t="shared" si="356"/>
        <v>0</v>
      </c>
      <c r="CU747">
        <f t="shared" si="357"/>
        <v>1</v>
      </c>
    </row>
    <row r="748" spans="1:99">
      <c r="A748" t="str">
        <f>IF(包装物料出入库明细!$E748="","",包装物料出入库明细!$E748)</f>
        <v/>
      </c>
      <c r="B748">
        <f t="shared" si="341"/>
        <v>0</v>
      </c>
      <c r="C748">
        <f t="shared" si="342"/>
        <v>7</v>
      </c>
      <c r="D748" t="str">
        <f>IF(包装物料出入库明细!$E748="","",包装物料出入库明细!$F748)</f>
        <v/>
      </c>
      <c r="E748" t="str">
        <f>IF(包装物料出入库明细!$E748="","",包装物料出入库明细!$G748)</f>
        <v/>
      </c>
      <c r="K748" t="str">
        <f>IF(包装物料出入库明细!$D748="","",包装物料出入库明细!$D748)</f>
        <v/>
      </c>
      <c r="L748">
        <f t="shared" si="343"/>
        <v>0</v>
      </c>
      <c r="M748">
        <f t="shared" si="344"/>
        <v>9</v>
      </c>
      <c r="Q748" t="str">
        <f>IF(周转筐出入库明细!$D749="","",周转筐出入库明细!$D749)</f>
        <v/>
      </c>
      <c r="R748">
        <f t="shared" si="345"/>
        <v>0</v>
      </c>
      <c r="S748">
        <f t="shared" si="346"/>
        <v>5</v>
      </c>
      <c r="W748" t="str">
        <f>IF(周转筐出入库明细!$C749="","",周转筐出入库明细!$C749)</f>
        <v/>
      </c>
      <c r="X748">
        <f t="shared" si="347"/>
        <v>0</v>
      </c>
      <c r="Y748">
        <f t="shared" si="348"/>
        <v>12</v>
      </c>
      <c r="AC748" t="str">
        <f>IF(客户自备加工筐明细!$C748="","",客户自备加工筐明细!$C748)</f>
        <v/>
      </c>
      <c r="AD748">
        <f t="shared" si="349"/>
        <v>0</v>
      </c>
      <c r="AE748">
        <f t="shared" si="350"/>
        <v>1</v>
      </c>
      <c r="AI748" t="str">
        <f>IF(客户自备加工筐明细!$E748="","",客户自备加工筐明细!$E748)</f>
        <v/>
      </c>
      <c r="AJ748">
        <f t="shared" si="351"/>
        <v>0</v>
      </c>
      <c r="AK748">
        <f t="shared" si="352"/>
        <v>1</v>
      </c>
      <c r="BS748" t="str">
        <f t="shared" si="358"/>
        <v/>
      </c>
      <c r="BT748">
        <f t="shared" si="353"/>
        <v>0</v>
      </c>
      <c r="BU748">
        <f t="shared" si="354"/>
        <v>17</v>
      </c>
      <c r="CP748">
        <f>IF(包装物料出入库明细!$D748="",0,1)</f>
        <v>0</v>
      </c>
      <c r="CQ748">
        <f t="shared" si="355"/>
        <v>37</v>
      </c>
      <c r="CS748" t="str">
        <f>IF(OR(周转筐出入库明细!$C749="",周转筐出入库明细!$F749&lt;&gt;"采购入库"),"",周转筐出入库明细!$C749)</f>
        <v/>
      </c>
      <c r="CT748">
        <f t="shared" si="356"/>
        <v>0</v>
      </c>
      <c r="CU748">
        <f t="shared" si="357"/>
        <v>1</v>
      </c>
    </row>
    <row r="749" spans="1:99">
      <c r="A749" t="str">
        <f>IF(包装物料出入库明细!$E749="","",包装物料出入库明细!$E749)</f>
        <v/>
      </c>
      <c r="B749">
        <f t="shared" si="341"/>
        <v>0</v>
      </c>
      <c r="C749">
        <f t="shared" si="342"/>
        <v>7</v>
      </c>
      <c r="D749" t="str">
        <f>IF(包装物料出入库明细!$E749="","",包装物料出入库明细!$F749)</f>
        <v/>
      </c>
      <c r="E749" t="str">
        <f>IF(包装物料出入库明细!$E749="","",包装物料出入库明细!$G749)</f>
        <v/>
      </c>
      <c r="K749" t="str">
        <f>IF(包装物料出入库明细!$D749="","",包装物料出入库明细!$D749)</f>
        <v/>
      </c>
      <c r="L749">
        <f t="shared" si="343"/>
        <v>0</v>
      </c>
      <c r="M749">
        <f t="shared" si="344"/>
        <v>9</v>
      </c>
      <c r="Q749" t="str">
        <f>IF(周转筐出入库明细!$D750="","",周转筐出入库明细!$D750)</f>
        <v/>
      </c>
      <c r="R749">
        <f t="shared" si="345"/>
        <v>0</v>
      </c>
      <c r="S749">
        <f t="shared" si="346"/>
        <v>5</v>
      </c>
      <c r="W749" t="str">
        <f>IF(周转筐出入库明细!$C750="","",周转筐出入库明细!$C750)</f>
        <v/>
      </c>
      <c r="X749">
        <f t="shared" si="347"/>
        <v>0</v>
      </c>
      <c r="Y749">
        <f t="shared" si="348"/>
        <v>12</v>
      </c>
      <c r="AC749" t="str">
        <f>IF(客户自备加工筐明细!$C749="","",客户自备加工筐明细!$C749)</f>
        <v/>
      </c>
      <c r="AD749">
        <f t="shared" si="349"/>
        <v>0</v>
      </c>
      <c r="AE749">
        <f t="shared" si="350"/>
        <v>1</v>
      </c>
      <c r="AI749" t="str">
        <f>IF(客户自备加工筐明细!$E749="","",客户自备加工筐明细!$E749)</f>
        <v/>
      </c>
      <c r="AJ749">
        <f t="shared" si="351"/>
        <v>0</v>
      </c>
      <c r="AK749">
        <f t="shared" si="352"/>
        <v>1</v>
      </c>
      <c r="BS749" t="str">
        <f t="shared" si="358"/>
        <v/>
      </c>
      <c r="BT749">
        <f t="shared" si="353"/>
        <v>0</v>
      </c>
      <c r="BU749">
        <f t="shared" si="354"/>
        <v>17</v>
      </c>
      <c r="CP749">
        <f>IF(包装物料出入库明细!$D749="",0,1)</f>
        <v>0</v>
      </c>
      <c r="CQ749">
        <f t="shared" si="355"/>
        <v>37</v>
      </c>
      <c r="CS749" t="str">
        <f>IF(OR(周转筐出入库明细!$C750="",周转筐出入库明细!$F750&lt;&gt;"采购入库"),"",周转筐出入库明细!$C750)</f>
        <v/>
      </c>
      <c r="CT749">
        <f t="shared" si="356"/>
        <v>0</v>
      </c>
      <c r="CU749">
        <f t="shared" si="357"/>
        <v>1</v>
      </c>
    </row>
    <row r="750" spans="1:99">
      <c r="A750" t="str">
        <f>IF(包装物料出入库明细!$E750="","",包装物料出入库明细!$E750)</f>
        <v/>
      </c>
      <c r="B750">
        <f t="shared" si="341"/>
        <v>0</v>
      </c>
      <c r="C750">
        <f t="shared" si="342"/>
        <v>7</v>
      </c>
      <c r="D750" t="str">
        <f>IF(包装物料出入库明细!$E750="","",包装物料出入库明细!$F750)</f>
        <v/>
      </c>
      <c r="E750" t="str">
        <f>IF(包装物料出入库明细!$E750="","",包装物料出入库明细!$G750)</f>
        <v/>
      </c>
      <c r="K750" t="str">
        <f>IF(包装物料出入库明细!$D750="","",包装物料出入库明细!$D750)</f>
        <v/>
      </c>
      <c r="L750">
        <f t="shared" si="343"/>
        <v>0</v>
      </c>
      <c r="M750">
        <f t="shared" si="344"/>
        <v>9</v>
      </c>
      <c r="Q750" t="str">
        <f>IF(周转筐出入库明细!$D751="","",周转筐出入库明细!$D751)</f>
        <v/>
      </c>
      <c r="R750">
        <f t="shared" si="345"/>
        <v>0</v>
      </c>
      <c r="S750">
        <f t="shared" si="346"/>
        <v>5</v>
      </c>
      <c r="W750" t="str">
        <f>IF(周转筐出入库明细!$C751="","",周转筐出入库明细!$C751)</f>
        <v/>
      </c>
      <c r="X750">
        <f t="shared" si="347"/>
        <v>0</v>
      </c>
      <c r="Y750">
        <f t="shared" si="348"/>
        <v>12</v>
      </c>
      <c r="AC750" t="str">
        <f>IF(客户自备加工筐明细!$C750="","",客户自备加工筐明细!$C750)</f>
        <v/>
      </c>
      <c r="AD750">
        <f t="shared" si="349"/>
        <v>0</v>
      </c>
      <c r="AE750">
        <f t="shared" si="350"/>
        <v>1</v>
      </c>
      <c r="AI750" t="str">
        <f>IF(客户自备加工筐明细!$E750="","",客户自备加工筐明细!$E750)</f>
        <v/>
      </c>
      <c r="AJ750">
        <f t="shared" si="351"/>
        <v>0</v>
      </c>
      <c r="AK750">
        <f t="shared" si="352"/>
        <v>1</v>
      </c>
      <c r="BS750" t="str">
        <f t="shared" si="358"/>
        <v/>
      </c>
      <c r="BT750">
        <f t="shared" si="353"/>
        <v>0</v>
      </c>
      <c r="BU750">
        <f t="shared" si="354"/>
        <v>17</v>
      </c>
      <c r="CP750">
        <f>IF(包装物料出入库明细!$D750="",0,1)</f>
        <v>0</v>
      </c>
      <c r="CQ750">
        <f t="shared" si="355"/>
        <v>37</v>
      </c>
      <c r="CS750" t="str">
        <f>IF(OR(周转筐出入库明细!$C751="",周转筐出入库明细!$F751&lt;&gt;"采购入库"),"",周转筐出入库明细!$C751)</f>
        <v/>
      </c>
      <c r="CT750">
        <f t="shared" si="356"/>
        <v>0</v>
      </c>
      <c r="CU750">
        <f t="shared" si="357"/>
        <v>1</v>
      </c>
    </row>
    <row r="751" spans="1:99">
      <c r="A751" t="str">
        <f>IF(包装物料出入库明细!$E751="","",包装物料出入库明细!$E751)</f>
        <v/>
      </c>
      <c r="B751">
        <f t="shared" si="341"/>
        <v>0</v>
      </c>
      <c r="C751">
        <f t="shared" si="342"/>
        <v>7</v>
      </c>
      <c r="D751" t="str">
        <f>IF(包装物料出入库明细!$E751="","",包装物料出入库明细!$F751)</f>
        <v/>
      </c>
      <c r="E751" t="str">
        <f>IF(包装物料出入库明细!$E751="","",包装物料出入库明细!$G751)</f>
        <v/>
      </c>
      <c r="K751" t="str">
        <f>IF(包装物料出入库明细!$D751="","",包装物料出入库明细!$D751)</f>
        <v/>
      </c>
      <c r="L751">
        <f t="shared" si="343"/>
        <v>0</v>
      </c>
      <c r="M751">
        <f t="shared" si="344"/>
        <v>9</v>
      </c>
      <c r="Q751" t="str">
        <f>IF(周转筐出入库明细!$D752="","",周转筐出入库明细!$D752)</f>
        <v/>
      </c>
      <c r="R751">
        <f t="shared" si="345"/>
        <v>0</v>
      </c>
      <c r="S751">
        <f t="shared" si="346"/>
        <v>5</v>
      </c>
      <c r="W751" t="str">
        <f>IF(周转筐出入库明细!$C752="","",周转筐出入库明细!$C752)</f>
        <v/>
      </c>
      <c r="X751">
        <f t="shared" si="347"/>
        <v>0</v>
      </c>
      <c r="Y751">
        <f t="shared" si="348"/>
        <v>12</v>
      </c>
      <c r="AC751" t="str">
        <f>IF(客户自备加工筐明细!$C751="","",客户自备加工筐明细!$C751)</f>
        <v/>
      </c>
      <c r="AD751">
        <f t="shared" si="349"/>
        <v>0</v>
      </c>
      <c r="AE751">
        <f t="shared" si="350"/>
        <v>1</v>
      </c>
      <c r="AI751" t="str">
        <f>IF(客户自备加工筐明细!$E751="","",客户自备加工筐明细!$E751)</f>
        <v/>
      </c>
      <c r="AJ751">
        <f t="shared" si="351"/>
        <v>0</v>
      </c>
      <c r="AK751">
        <f t="shared" si="352"/>
        <v>1</v>
      </c>
      <c r="BS751" t="str">
        <f t="shared" si="358"/>
        <v/>
      </c>
      <c r="BT751">
        <f t="shared" si="353"/>
        <v>0</v>
      </c>
      <c r="BU751">
        <f t="shared" si="354"/>
        <v>17</v>
      </c>
      <c r="CP751">
        <f>IF(包装物料出入库明细!$D751="",0,1)</f>
        <v>0</v>
      </c>
      <c r="CQ751">
        <f t="shared" si="355"/>
        <v>37</v>
      </c>
      <c r="CS751" t="str">
        <f>IF(OR(周转筐出入库明细!$C752="",周转筐出入库明细!$F752&lt;&gt;"采购入库"),"",周转筐出入库明细!$C752)</f>
        <v/>
      </c>
      <c r="CT751">
        <f t="shared" si="356"/>
        <v>0</v>
      </c>
      <c r="CU751">
        <f t="shared" si="357"/>
        <v>1</v>
      </c>
    </row>
    <row r="752" spans="1:99">
      <c r="A752" t="str">
        <f>IF(包装物料出入库明细!$E752="","",包装物料出入库明细!$E752)</f>
        <v/>
      </c>
      <c r="B752">
        <f t="shared" si="341"/>
        <v>0</v>
      </c>
      <c r="C752">
        <f t="shared" si="342"/>
        <v>7</v>
      </c>
      <c r="D752" t="str">
        <f>IF(包装物料出入库明细!$E752="","",包装物料出入库明细!$F752)</f>
        <v/>
      </c>
      <c r="E752" t="str">
        <f>IF(包装物料出入库明细!$E752="","",包装物料出入库明细!$G752)</f>
        <v/>
      </c>
      <c r="K752" t="str">
        <f>IF(包装物料出入库明细!$D752="","",包装物料出入库明细!$D752)</f>
        <v/>
      </c>
      <c r="L752">
        <f t="shared" si="343"/>
        <v>0</v>
      </c>
      <c r="M752">
        <f t="shared" si="344"/>
        <v>9</v>
      </c>
      <c r="Q752" t="str">
        <f>IF(周转筐出入库明细!$D753="","",周转筐出入库明细!$D753)</f>
        <v/>
      </c>
      <c r="R752">
        <f t="shared" si="345"/>
        <v>0</v>
      </c>
      <c r="S752">
        <f t="shared" si="346"/>
        <v>5</v>
      </c>
      <c r="W752" t="str">
        <f>IF(周转筐出入库明细!$C753="","",周转筐出入库明细!$C753)</f>
        <v/>
      </c>
      <c r="X752">
        <f t="shared" si="347"/>
        <v>0</v>
      </c>
      <c r="Y752">
        <f t="shared" si="348"/>
        <v>12</v>
      </c>
      <c r="AC752" t="str">
        <f>IF(客户自备加工筐明细!$C752="","",客户自备加工筐明细!$C752)</f>
        <v/>
      </c>
      <c r="AD752">
        <f t="shared" si="349"/>
        <v>0</v>
      </c>
      <c r="AE752">
        <f t="shared" si="350"/>
        <v>1</v>
      </c>
      <c r="AI752" t="str">
        <f>IF(客户自备加工筐明细!$E752="","",客户自备加工筐明细!$E752)</f>
        <v/>
      </c>
      <c r="AJ752">
        <f t="shared" si="351"/>
        <v>0</v>
      </c>
      <c r="AK752">
        <f t="shared" si="352"/>
        <v>1</v>
      </c>
      <c r="BS752" t="str">
        <f t="shared" si="358"/>
        <v/>
      </c>
      <c r="BT752">
        <f t="shared" si="353"/>
        <v>0</v>
      </c>
      <c r="BU752">
        <f t="shared" si="354"/>
        <v>17</v>
      </c>
      <c r="CP752">
        <f>IF(包装物料出入库明细!$D752="",0,1)</f>
        <v>0</v>
      </c>
      <c r="CQ752">
        <f t="shared" si="355"/>
        <v>37</v>
      </c>
      <c r="CS752" t="str">
        <f>IF(OR(周转筐出入库明细!$C753="",周转筐出入库明细!$F753&lt;&gt;"采购入库"),"",周转筐出入库明细!$C753)</f>
        <v/>
      </c>
      <c r="CT752">
        <f t="shared" si="356"/>
        <v>0</v>
      </c>
      <c r="CU752">
        <f t="shared" si="357"/>
        <v>1</v>
      </c>
    </row>
    <row r="753" spans="1:99">
      <c r="A753" t="str">
        <f>IF(包装物料出入库明细!$E753="","",包装物料出入库明细!$E753)</f>
        <v/>
      </c>
      <c r="B753">
        <f t="shared" si="341"/>
        <v>0</v>
      </c>
      <c r="C753">
        <f t="shared" si="342"/>
        <v>7</v>
      </c>
      <c r="D753" t="str">
        <f>IF(包装物料出入库明细!$E753="","",包装物料出入库明细!$F753)</f>
        <v/>
      </c>
      <c r="E753" t="str">
        <f>IF(包装物料出入库明细!$E753="","",包装物料出入库明细!$G753)</f>
        <v/>
      </c>
      <c r="K753" t="str">
        <f>IF(包装物料出入库明细!$D753="","",包装物料出入库明细!$D753)</f>
        <v/>
      </c>
      <c r="L753">
        <f t="shared" si="343"/>
        <v>0</v>
      </c>
      <c r="M753">
        <f t="shared" si="344"/>
        <v>9</v>
      </c>
      <c r="Q753" t="str">
        <f>IF(周转筐出入库明细!$D754="","",周转筐出入库明细!$D754)</f>
        <v/>
      </c>
      <c r="R753">
        <f t="shared" si="345"/>
        <v>0</v>
      </c>
      <c r="S753">
        <f t="shared" si="346"/>
        <v>5</v>
      </c>
      <c r="W753" t="str">
        <f>IF(周转筐出入库明细!$C754="","",周转筐出入库明细!$C754)</f>
        <v/>
      </c>
      <c r="X753">
        <f t="shared" si="347"/>
        <v>0</v>
      </c>
      <c r="Y753">
        <f t="shared" si="348"/>
        <v>12</v>
      </c>
      <c r="AC753" t="str">
        <f>IF(客户自备加工筐明细!$C753="","",客户自备加工筐明细!$C753)</f>
        <v/>
      </c>
      <c r="AD753">
        <f t="shared" si="349"/>
        <v>0</v>
      </c>
      <c r="AE753">
        <f t="shared" si="350"/>
        <v>1</v>
      </c>
      <c r="AI753" t="str">
        <f>IF(客户自备加工筐明细!$E753="","",客户自备加工筐明细!$E753)</f>
        <v/>
      </c>
      <c r="AJ753">
        <f t="shared" si="351"/>
        <v>0</v>
      </c>
      <c r="AK753">
        <f t="shared" si="352"/>
        <v>1</v>
      </c>
      <c r="BS753" t="str">
        <f t="shared" si="358"/>
        <v/>
      </c>
      <c r="BT753">
        <f t="shared" si="353"/>
        <v>0</v>
      </c>
      <c r="BU753">
        <f t="shared" si="354"/>
        <v>17</v>
      </c>
      <c r="CP753">
        <f>IF(包装物料出入库明细!$D753="",0,1)</f>
        <v>0</v>
      </c>
      <c r="CQ753">
        <f t="shared" si="355"/>
        <v>37</v>
      </c>
      <c r="CS753" t="str">
        <f>IF(OR(周转筐出入库明细!$C754="",周转筐出入库明细!$F754&lt;&gt;"采购入库"),"",周转筐出入库明细!$C754)</f>
        <v/>
      </c>
      <c r="CT753">
        <f t="shared" si="356"/>
        <v>0</v>
      </c>
      <c r="CU753">
        <f t="shared" si="357"/>
        <v>1</v>
      </c>
    </row>
    <row r="754" spans="1:99">
      <c r="A754" t="str">
        <f>IF(包装物料出入库明细!$E754="","",包装物料出入库明细!$E754)</f>
        <v/>
      </c>
      <c r="B754">
        <f t="shared" si="341"/>
        <v>0</v>
      </c>
      <c r="C754">
        <f t="shared" si="342"/>
        <v>7</v>
      </c>
      <c r="D754" t="str">
        <f>IF(包装物料出入库明细!$E754="","",包装物料出入库明细!$F754)</f>
        <v/>
      </c>
      <c r="E754" t="str">
        <f>IF(包装物料出入库明细!$E754="","",包装物料出入库明细!$G754)</f>
        <v/>
      </c>
      <c r="K754" t="str">
        <f>IF(包装物料出入库明细!$D754="","",包装物料出入库明细!$D754)</f>
        <v/>
      </c>
      <c r="L754">
        <f t="shared" si="343"/>
        <v>0</v>
      </c>
      <c r="M754">
        <f t="shared" si="344"/>
        <v>9</v>
      </c>
      <c r="Q754" t="str">
        <f>IF(周转筐出入库明细!$D755="","",周转筐出入库明细!$D755)</f>
        <v/>
      </c>
      <c r="R754">
        <f t="shared" si="345"/>
        <v>0</v>
      </c>
      <c r="S754">
        <f t="shared" si="346"/>
        <v>5</v>
      </c>
      <c r="W754" t="str">
        <f>IF(周转筐出入库明细!$C755="","",周转筐出入库明细!$C755)</f>
        <v/>
      </c>
      <c r="X754">
        <f t="shared" si="347"/>
        <v>0</v>
      </c>
      <c r="Y754">
        <f t="shared" si="348"/>
        <v>12</v>
      </c>
      <c r="AC754" t="str">
        <f>IF(客户自备加工筐明细!$C754="","",客户自备加工筐明细!$C754)</f>
        <v/>
      </c>
      <c r="AD754">
        <f t="shared" si="349"/>
        <v>0</v>
      </c>
      <c r="AE754">
        <f t="shared" si="350"/>
        <v>1</v>
      </c>
      <c r="AI754" t="str">
        <f>IF(客户自备加工筐明细!$E754="","",客户自备加工筐明细!$E754)</f>
        <v/>
      </c>
      <c r="AJ754">
        <f t="shared" si="351"/>
        <v>0</v>
      </c>
      <c r="AK754">
        <f t="shared" si="352"/>
        <v>1</v>
      </c>
      <c r="BS754" t="str">
        <f t="shared" si="358"/>
        <v/>
      </c>
      <c r="BT754">
        <f t="shared" si="353"/>
        <v>0</v>
      </c>
      <c r="BU754">
        <f t="shared" si="354"/>
        <v>17</v>
      </c>
      <c r="CP754">
        <f>IF(包装物料出入库明细!$D754="",0,1)</f>
        <v>0</v>
      </c>
      <c r="CQ754">
        <f t="shared" si="355"/>
        <v>37</v>
      </c>
      <c r="CS754" t="str">
        <f>IF(OR(周转筐出入库明细!$C755="",周转筐出入库明细!$F755&lt;&gt;"采购入库"),"",周转筐出入库明细!$C755)</f>
        <v/>
      </c>
      <c r="CT754">
        <f t="shared" si="356"/>
        <v>0</v>
      </c>
      <c r="CU754">
        <f t="shared" si="357"/>
        <v>1</v>
      </c>
    </row>
    <row r="755" spans="1:99">
      <c r="A755" t="str">
        <f>IF(包装物料出入库明细!$E755="","",包装物料出入库明细!$E755)</f>
        <v/>
      </c>
      <c r="B755">
        <f t="shared" si="341"/>
        <v>0</v>
      </c>
      <c r="C755">
        <f t="shared" si="342"/>
        <v>7</v>
      </c>
      <c r="D755" t="str">
        <f>IF(包装物料出入库明细!$E755="","",包装物料出入库明细!$F755)</f>
        <v/>
      </c>
      <c r="E755" t="str">
        <f>IF(包装物料出入库明细!$E755="","",包装物料出入库明细!$G755)</f>
        <v/>
      </c>
      <c r="K755" t="str">
        <f>IF(包装物料出入库明细!$D755="","",包装物料出入库明细!$D755)</f>
        <v/>
      </c>
      <c r="L755">
        <f t="shared" si="343"/>
        <v>0</v>
      </c>
      <c r="M755">
        <f t="shared" si="344"/>
        <v>9</v>
      </c>
      <c r="Q755" t="str">
        <f>IF(周转筐出入库明细!$D756="","",周转筐出入库明细!$D756)</f>
        <v/>
      </c>
      <c r="R755">
        <f t="shared" si="345"/>
        <v>0</v>
      </c>
      <c r="S755">
        <f t="shared" si="346"/>
        <v>5</v>
      </c>
      <c r="W755" t="str">
        <f>IF(周转筐出入库明细!$C756="","",周转筐出入库明细!$C756)</f>
        <v/>
      </c>
      <c r="X755">
        <f t="shared" si="347"/>
        <v>0</v>
      </c>
      <c r="Y755">
        <f t="shared" si="348"/>
        <v>12</v>
      </c>
      <c r="AC755" t="str">
        <f>IF(客户自备加工筐明细!$C755="","",客户自备加工筐明细!$C755)</f>
        <v/>
      </c>
      <c r="AD755">
        <f t="shared" si="349"/>
        <v>0</v>
      </c>
      <c r="AE755">
        <f t="shared" si="350"/>
        <v>1</v>
      </c>
      <c r="AI755" t="str">
        <f>IF(客户自备加工筐明细!$E755="","",客户自备加工筐明细!$E755)</f>
        <v/>
      </c>
      <c r="AJ755">
        <f t="shared" si="351"/>
        <v>0</v>
      </c>
      <c r="AK755">
        <f t="shared" si="352"/>
        <v>1</v>
      </c>
      <c r="BS755" t="str">
        <f t="shared" si="358"/>
        <v/>
      </c>
      <c r="BT755">
        <f t="shared" si="353"/>
        <v>0</v>
      </c>
      <c r="BU755">
        <f t="shared" si="354"/>
        <v>17</v>
      </c>
      <c r="CP755">
        <f>IF(包装物料出入库明细!$D755="",0,1)</f>
        <v>0</v>
      </c>
      <c r="CQ755">
        <f t="shared" si="355"/>
        <v>37</v>
      </c>
      <c r="CS755" t="str">
        <f>IF(OR(周转筐出入库明细!$C756="",周转筐出入库明细!$F756&lt;&gt;"采购入库"),"",周转筐出入库明细!$C756)</f>
        <v/>
      </c>
      <c r="CT755">
        <f t="shared" si="356"/>
        <v>0</v>
      </c>
      <c r="CU755">
        <f t="shared" si="357"/>
        <v>1</v>
      </c>
    </row>
    <row r="756" spans="1:99">
      <c r="A756" t="str">
        <f>IF(包装物料出入库明细!$E756="","",包装物料出入库明细!$E756)</f>
        <v/>
      </c>
      <c r="B756">
        <f t="shared" si="341"/>
        <v>0</v>
      </c>
      <c r="C756">
        <f t="shared" si="342"/>
        <v>7</v>
      </c>
      <c r="D756" t="str">
        <f>IF(包装物料出入库明细!$E756="","",包装物料出入库明细!$F756)</f>
        <v/>
      </c>
      <c r="E756" t="str">
        <f>IF(包装物料出入库明细!$E756="","",包装物料出入库明细!$G756)</f>
        <v/>
      </c>
      <c r="K756" t="str">
        <f>IF(包装物料出入库明细!$D756="","",包装物料出入库明细!$D756)</f>
        <v/>
      </c>
      <c r="L756">
        <f t="shared" si="343"/>
        <v>0</v>
      </c>
      <c r="M756">
        <f t="shared" si="344"/>
        <v>9</v>
      </c>
      <c r="Q756" t="str">
        <f>IF(周转筐出入库明细!$D757="","",周转筐出入库明细!$D757)</f>
        <v/>
      </c>
      <c r="R756">
        <f t="shared" si="345"/>
        <v>0</v>
      </c>
      <c r="S756">
        <f t="shared" si="346"/>
        <v>5</v>
      </c>
      <c r="W756" t="str">
        <f>IF(周转筐出入库明细!$C757="","",周转筐出入库明细!$C757)</f>
        <v/>
      </c>
      <c r="X756">
        <f t="shared" si="347"/>
        <v>0</v>
      </c>
      <c r="Y756">
        <f t="shared" si="348"/>
        <v>12</v>
      </c>
      <c r="AC756" t="str">
        <f>IF(客户自备加工筐明细!$C756="","",客户自备加工筐明细!$C756)</f>
        <v/>
      </c>
      <c r="AD756">
        <f t="shared" si="349"/>
        <v>0</v>
      </c>
      <c r="AE756">
        <f t="shared" si="350"/>
        <v>1</v>
      </c>
      <c r="AI756" t="str">
        <f>IF(客户自备加工筐明细!$E756="","",客户自备加工筐明细!$E756)</f>
        <v/>
      </c>
      <c r="AJ756">
        <f t="shared" si="351"/>
        <v>0</v>
      </c>
      <c r="AK756">
        <f t="shared" si="352"/>
        <v>1</v>
      </c>
      <c r="BS756" t="str">
        <f t="shared" si="358"/>
        <v/>
      </c>
      <c r="BT756">
        <f t="shared" si="353"/>
        <v>0</v>
      </c>
      <c r="BU756">
        <f t="shared" si="354"/>
        <v>17</v>
      </c>
      <c r="CP756">
        <f>IF(包装物料出入库明细!$D756="",0,1)</f>
        <v>0</v>
      </c>
      <c r="CQ756">
        <f t="shared" si="355"/>
        <v>37</v>
      </c>
      <c r="CS756" t="str">
        <f>IF(OR(周转筐出入库明细!$C757="",周转筐出入库明细!$F757&lt;&gt;"采购入库"),"",周转筐出入库明细!$C757)</f>
        <v/>
      </c>
      <c r="CT756">
        <f t="shared" si="356"/>
        <v>0</v>
      </c>
      <c r="CU756">
        <f t="shared" si="357"/>
        <v>1</v>
      </c>
    </row>
    <row r="757" spans="1:99">
      <c r="A757" t="str">
        <f>IF(包装物料出入库明细!$E757="","",包装物料出入库明细!$E757)</f>
        <v/>
      </c>
      <c r="B757">
        <f t="shared" si="341"/>
        <v>0</v>
      </c>
      <c r="C757">
        <f t="shared" si="342"/>
        <v>7</v>
      </c>
      <c r="D757" t="str">
        <f>IF(包装物料出入库明细!$E757="","",包装物料出入库明细!$F757)</f>
        <v/>
      </c>
      <c r="E757" t="str">
        <f>IF(包装物料出入库明细!$E757="","",包装物料出入库明细!$G757)</f>
        <v/>
      </c>
      <c r="K757" t="str">
        <f>IF(包装物料出入库明细!$D757="","",包装物料出入库明细!$D757)</f>
        <v/>
      </c>
      <c r="L757">
        <f t="shared" si="343"/>
        <v>0</v>
      </c>
      <c r="M757">
        <f t="shared" si="344"/>
        <v>9</v>
      </c>
      <c r="Q757" t="str">
        <f>IF(周转筐出入库明细!$D758="","",周转筐出入库明细!$D758)</f>
        <v/>
      </c>
      <c r="R757">
        <f t="shared" si="345"/>
        <v>0</v>
      </c>
      <c r="S757">
        <f t="shared" si="346"/>
        <v>5</v>
      </c>
      <c r="W757" t="str">
        <f>IF(周转筐出入库明细!$C758="","",周转筐出入库明细!$C758)</f>
        <v/>
      </c>
      <c r="X757">
        <f t="shared" si="347"/>
        <v>0</v>
      </c>
      <c r="Y757">
        <f t="shared" si="348"/>
        <v>12</v>
      </c>
      <c r="AC757" t="str">
        <f>IF(客户自备加工筐明细!$C757="","",客户自备加工筐明细!$C757)</f>
        <v/>
      </c>
      <c r="AD757">
        <f t="shared" si="349"/>
        <v>0</v>
      </c>
      <c r="AE757">
        <f t="shared" si="350"/>
        <v>1</v>
      </c>
      <c r="AI757" t="str">
        <f>IF(客户自备加工筐明细!$E757="","",客户自备加工筐明细!$E757)</f>
        <v/>
      </c>
      <c r="AJ757">
        <f t="shared" si="351"/>
        <v>0</v>
      </c>
      <c r="AK757">
        <f t="shared" si="352"/>
        <v>1</v>
      </c>
      <c r="BS757" t="str">
        <f t="shared" si="358"/>
        <v/>
      </c>
      <c r="BT757">
        <f t="shared" si="353"/>
        <v>0</v>
      </c>
      <c r="BU757">
        <f t="shared" si="354"/>
        <v>17</v>
      </c>
      <c r="CP757">
        <f>IF(包装物料出入库明细!$D757="",0,1)</f>
        <v>0</v>
      </c>
      <c r="CQ757">
        <f t="shared" si="355"/>
        <v>37</v>
      </c>
      <c r="CS757" t="str">
        <f>IF(OR(周转筐出入库明细!$C758="",周转筐出入库明细!$F758&lt;&gt;"采购入库"),"",周转筐出入库明细!$C758)</f>
        <v/>
      </c>
      <c r="CT757">
        <f t="shared" si="356"/>
        <v>0</v>
      </c>
      <c r="CU757">
        <f t="shared" si="357"/>
        <v>1</v>
      </c>
    </row>
    <row r="758" spans="1:99">
      <c r="A758" t="str">
        <f>IF(包装物料出入库明细!$E758="","",包装物料出入库明细!$E758)</f>
        <v/>
      </c>
      <c r="B758">
        <f t="shared" si="341"/>
        <v>0</v>
      </c>
      <c r="C758">
        <f t="shared" si="342"/>
        <v>7</v>
      </c>
      <c r="D758" t="str">
        <f>IF(包装物料出入库明细!$E758="","",包装物料出入库明细!$F758)</f>
        <v/>
      </c>
      <c r="E758" t="str">
        <f>IF(包装物料出入库明细!$E758="","",包装物料出入库明细!$G758)</f>
        <v/>
      </c>
      <c r="K758" t="str">
        <f>IF(包装物料出入库明细!$D758="","",包装物料出入库明细!$D758)</f>
        <v/>
      </c>
      <c r="L758">
        <f t="shared" si="343"/>
        <v>0</v>
      </c>
      <c r="M758">
        <f t="shared" si="344"/>
        <v>9</v>
      </c>
      <c r="Q758" t="str">
        <f>IF(周转筐出入库明细!$D759="","",周转筐出入库明细!$D759)</f>
        <v/>
      </c>
      <c r="R758">
        <f t="shared" si="345"/>
        <v>0</v>
      </c>
      <c r="S758">
        <f t="shared" si="346"/>
        <v>5</v>
      </c>
      <c r="W758" t="str">
        <f>IF(周转筐出入库明细!$C759="","",周转筐出入库明细!$C759)</f>
        <v/>
      </c>
      <c r="X758">
        <f t="shared" si="347"/>
        <v>0</v>
      </c>
      <c r="Y758">
        <f t="shared" si="348"/>
        <v>12</v>
      </c>
      <c r="AC758" t="str">
        <f>IF(客户自备加工筐明细!$C758="","",客户自备加工筐明细!$C758)</f>
        <v/>
      </c>
      <c r="AD758">
        <f t="shared" si="349"/>
        <v>0</v>
      </c>
      <c r="AE758">
        <f t="shared" si="350"/>
        <v>1</v>
      </c>
      <c r="AI758" t="str">
        <f>IF(客户自备加工筐明细!$E758="","",客户自备加工筐明细!$E758)</f>
        <v/>
      </c>
      <c r="AJ758">
        <f t="shared" si="351"/>
        <v>0</v>
      </c>
      <c r="AK758">
        <f t="shared" si="352"/>
        <v>1</v>
      </c>
      <c r="BS758" t="str">
        <f t="shared" si="358"/>
        <v/>
      </c>
      <c r="BT758">
        <f t="shared" si="353"/>
        <v>0</v>
      </c>
      <c r="BU758">
        <f t="shared" si="354"/>
        <v>17</v>
      </c>
      <c r="CP758">
        <f>IF(包装物料出入库明细!$D758="",0,1)</f>
        <v>0</v>
      </c>
      <c r="CQ758">
        <f t="shared" si="355"/>
        <v>37</v>
      </c>
      <c r="CS758" t="str">
        <f>IF(OR(周转筐出入库明细!$C759="",周转筐出入库明细!$F759&lt;&gt;"采购入库"),"",周转筐出入库明细!$C759)</f>
        <v/>
      </c>
      <c r="CT758">
        <f t="shared" si="356"/>
        <v>0</v>
      </c>
      <c r="CU758">
        <f t="shared" si="357"/>
        <v>1</v>
      </c>
    </row>
    <row r="759" spans="1:99">
      <c r="A759" t="str">
        <f>IF(包装物料出入库明细!$E759="","",包装物料出入库明细!$E759)</f>
        <v/>
      </c>
      <c r="B759">
        <f t="shared" si="341"/>
        <v>0</v>
      </c>
      <c r="C759">
        <f t="shared" si="342"/>
        <v>7</v>
      </c>
      <c r="D759" t="str">
        <f>IF(包装物料出入库明细!$E759="","",包装物料出入库明细!$F759)</f>
        <v/>
      </c>
      <c r="E759" t="str">
        <f>IF(包装物料出入库明细!$E759="","",包装物料出入库明细!$G759)</f>
        <v/>
      </c>
      <c r="K759" t="str">
        <f>IF(包装物料出入库明细!$D759="","",包装物料出入库明细!$D759)</f>
        <v/>
      </c>
      <c r="L759">
        <f t="shared" si="343"/>
        <v>0</v>
      </c>
      <c r="M759">
        <f t="shared" si="344"/>
        <v>9</v>
      </c>
      <c r="Q759" t="str">
        <f>IF(周转筐出入库明细!$D760="","",周转筐出入库明细!$D760)</f>
        <v/>
      </c>
      <c r="R759">
        <f t="shared" si="345"/>
        <v>0</v>
      </c>
      <c r="S759">
        <f t="shared" si="346"/>
        <v>5</v>
      </c>
      <c r="W759" t="str">
        <f>IF(周转筐出入库明细!$C760="","",周转筐出入库明细!$C760)</f>
        <v/>
      </c>
      <c r="X759">
        <f t="shared" si="347"/>
        <v>0</v>
      </c>
      <c r="Y759">
        <f t="shared" si="348"/>
        <v>12</v>
      </c>
      <c r="AC759" t="str">
        <f>IF(客户自备加工筐明细!$C759="","",客户自备加工筐明细!$C759)</f>
        <v/>
      </c>
      <c r="AD759">
        <f t="shared" si="349"/>
        <v>0</v>
      </c>
      <c r="AE759">
        <f t="shared" si="350"/>
        <v>1</v>
      </c>
      <c r="AI759" t="str">
        <f>IF(客户自备加工筐明细!$E759="","",客户自备加工筐明细!$E759)</f>
        <v/>
      </c>
      <c r="AJ759">
        <f t="shared" si="351"/>
        <v>0</v>
      </c>
      <c r="AK759">
        <f t="shared" si="352"/>
        <v>1</v>
      </c>
      <c r="BS759" t="str">
        <f t="shared" si="358"/>
        <v/>
      </c>
      <c r="BT759">
        <f t="shared" si="353"/>
        <v>0</v>
      </c>
      <c r="BU759">
        <f t="shared" si="354"/>
        <v>17</v>
      </c>
      <c r="CP759">
        <f>IF(包装物料出入库明细!$D759="",0,1)</f>
        <v>0</v>
      </c>
      <c r="CQ759">
        <f t="shared" si="355"/>
        <v>37</v>
      </c>
      <c r="CS759" t="str">
        <f>IF(OR(周转筐出入库明细!$C760="",周转筐出入库明细!$F760&lt;&gt;"采购入库"),"",周转筐出入库明细!$C760)</f>
        <v/>
      </c>
      <c r="CT759">
        <f t="shared" si="356"/>
        <v>0</v>
      </c>
      <c r="CU759">
        <f t="shared" si="357"/>
        <v>1</v>
      </c>
    </row>
    <row r="760" spans="1:99">
      <c r="A760" t="str">
        <f>IF(包装物料出入库明细!$E760="","",包装物料出入库明细!$E760)</f>
        <v/>
      </c>
      <c r="B760">
        <f t="shared" si="341"/>
        <v>0</v>
      </c>
      <c r="C760">
        <f t="shared" si="342"/>
        <v>7</v>
      </c>
      <c r="D760" t="str">
        <f>IF(包装物料出入库明细!$E760="","",包装物料出入库明细!$F760)</f>
        <v/>
      </c>
      <c r="E760" t="str">
        <f>IF(包装物料出入库明细!$E760="","",包装物料出入库明细!$G760)</f>
        <v/>
      </c>
      <c r="K760" t="str">
        <f>IF(包装物料出入库明细!$D760="","",包装物料出入库明细!$D760)</f>
        <v/>
      </c>
      <c r="L760">
        <f t="shared" si="343"/>
        <v>0</v>
      </c>
      <c r="M760">
        <f t="shared" si="344"/>
        <v>9</v>
      </c>
      <c r="Q760" t="str">
        <f>IF(周转筐出入库明细!$D761="","",周转筐出入库明细!$D761)</f>
        <v/>
      </c>
      <c r="R760">
        <f t="shared" si="345"/>
        <v>0</v>
      </c>
      <c r="S760">
        <f t="shared" si="346"/>
        <v>5</v>
      </c>
      <c r="W760" t="str">
        <f>IF(周转筐出入库明细!$C761="","",周转筐出入库明细!$C761)</f>
        <v/>
      </c>
      <c r="X760">
        <f t="shared" si="347"/>
        <v>0</v>
      </c>
      <c r="Y760">
        <f t="shared" si="348"/>
        <v>12</v>
      </c>
      <c r="AC760" t="str">
        <f>IF(客户自备加工筐明细!$C760="","",客户自备加工筐明细!$C760)</f>
        <v/>
      </c>
      <c r="AD760">
        <f t="shared" si="349"/>
        <v>0</v>
      </c>
      <c r="AE760">
        <f t="shared" si="350"/>
        <v>1</v>
      </c>
      <c r="AI760" t="str">
        <f>IF(客户自备加工筐明细!$E760="","",客户自备加工筐明细!$E760)</f>
        <v/>
      </c>
      <c r="AJ760">
        <f t="shared" si="351"/>
        <v>0</v>
      </c>
      <c r="AK760">
        <f t="shared" si="352"/>
        <v>1</v>
      </c>
      <c r="BS760" t="str">
        <f t="shared" si="358"/>
        <v/>
      </c>
      <c r="BT760">
        <f t="shared" si="353"/>
        <v>0</v>
      </c>
      <c r="BU760">
        <f t="shared" si="354"/>
        <v>17</v>
      </c>
      <c r="CP760">
        <f>IF(包装物料出入库明细!$D760="",0,1)</f>
        <v>0</v>
      </c>
      <c r="CQ760">
        <f t="shared" si="355"/>
        <v>37</v>
      </c>
      <c r="CS760" t="str">
        <f>IF(OR(周转筐出入库明细!$C761="",周转筐出入库明细!$F761&lt;&gt;"采购入库"),"",周转筐出入库明细!$C761)</f>
        <v/>
      </c>
      <c r="CT760">
        <f t="shared" si="356"/>
        <v>0</v>
      </c>
      <c r="CU760">
        <f t="shared" si="357"/>
        <v>1</v>
      </c>
    </row>
    <row r="761" spans="1:99">
      <c r="A761" t="str">
        <f>IF(包装物料出入库明细!$E761="","",包装物料出入库明细!$E761)</f>
        <v/>
      </c>
      <c r="B761">
        <f t="shared" si="341"/>
        <v>0</v>
      </c>
      <c r="C761">
        <f t="shared" si="342"/>
        <v>7</v>
      </c>
      <c r="D761" t="str">
        <f>IF(包装物料出入库明细!$E761="","",包装物料出入库明细!$F761)</f>
        <v/>
      </c>
      <c r="E761" t="str">
        <f>IF(包装物料出入库明细!$E761="","",包装物料出入库明细!$G761)</f>
        <v/>
      </c>
      <c r="K761" t="str">
        <f>IF(包装物料出入库明细!$D761="","",包装物料出入库明细!$D761)</f>
        <v/>
      </c>
      <c r="L761">
        <f t="shared" si="343"/>
        <v>0</v>
      </c>
      <c r="M761">
        <f t="shared" si="344"/>
        <v>9</v>
      </c>
      <c r="Q761" t="str">
        <f>IF(周转筐出入库明细!$D762="","",周转筐出入库明细!$D762)</f>
        <v/>
      </c>
      <c r="R761">
        <f t="shared" si="345"/>
        <v>0</v>
      </c>
      <c r="S761">
        <f t="shared" si="346"/>
        <v>5</v>
      </c>
      <c r="W761" t="str">
        <f>IF(周转筐出入库明细!$C762="","",周转筐出入库明细!$C762)</f>
        <v/>
      </c>
      <c r="X761">
        <f t="shared" si="347"/>
        <v>0</v>
      </c>
      <c r="Y761">
        <f t="shared" si="348"/>
        <v>12</v>
      </c>
      <c r="AC761" t="str">
        <f>IF(客户自备加工筐明细!$C761="","",客户自备加工筐明细!$C761)</f>
        <v/>
      </c>
      <c r="AD761">
        <f t="shared" si="349"/>
        <v>0</v>
      </c>
      <c r="AE761">
        <f t="shared" si="350"/>
        <v>1</v>
      </c>
      <c r="AI761" t="str">
        <f>IF(客户自备加工筐明细!$E761="","",客户自备加工筐明细!$E761)</f>
        <v/>
      </c>
      <c r="AJ761">
        <f t="shared" si="351"/>
        <v>0</v>
      </c>
      <c r="AK761">
        <f t="shared" si="352"/>
        <v>1</v>
      </c>
      <c r="BS761" t="str">
        <f t="shared" si="358"/>
        <v/>
      </c>
      <c r="BT761">
        <f t="shared" si="353"/>
        <v>0</v>
      </c>
      <c r="BU761">
        <f t="shared" si="354"/>
        <v>17</v>
      </c>
      <c r="CP761">
        <f>IF(包装物料出入库明细!$D761="",0,1)</f>
        <v>0</v>
      </c>
      <c r="CQ761">
        <f t="shared" si="355"/>
        <v>37</v>
      </c>
      <c r="CS761" t="str">
        <f>IF(OR(周转筐出入库明细!$C762="",周转筐出入库明细!$F762&lt;&gt;"采购入库"),"",周转筐出入库明细!$C762)</f>
        <v/>
      </c>
      <c r="CT761">
        <f t="shared" si="356"/>
        <v>0</v>
      </c>
      <c r="CU761">
        <f t="shared" si="357"/>
        <v>1</v>
      </c>
    </row>
    <row r="762" spans="1:99">
      <c r="A762" t="str">
        <f>IF(包装物料出入库明细!$E762="","",包装物料出入库明细!$E762)</f>
        <v/>
      </c>
      <c r="B762">
        <f t="shared" si="341"/>
        <v>0</v>
      </c>
      <c r="C762">
        <f t="shared" si="342"/>
        <v>7</v>
      </c>
      <c r="D762" t="str">
        <f>IF(包装物料出入库明细!$E762="","",包装物料出入库明细!$F762)</f>
        <v/>
      </c>
      <c r="E762" t="str">
        <f>IF(包装物料出入库明细!$E762="","",包装物料出入库明细!$G762)</f>
        <v/>
      </c>
      <c r="K762" t="str">
        <f>IF(包装物料出入库明细!$D762="","",包装物料出入库明细!$D762)</f>
        <v/>
      </c>
      <c r="L762">
        <f t="shared" si="343"/>
        <v>0</v>
      </c>
      <c r="M762">
        <f t="shared" si="344"/>
        <v>9</v>
      </c>
      <c r="Q762" t="str">
        <f>IF(周转筐出入库明细!$D763="","",周转筐出入库明细!$D763)</f>
        <v/>
      </c>
      <c r="R762">
        <f t="shared" si="345"/>
        <v>0</v>
      </c>
      <c r="S762">
        <f t="shared" si="346"/>
        <v>5</v>
      </c>
      <c r="W762" t="str">
        <f>IF(周转筐出入库明细!$C763="","",周转筐出入库明细!$C763)</f>
        <v/>
      </c>
      <c r="X762">
        <f t="shared" si="347"/>
        <v>0</v>
      </c>
      <c r="Y762">
        <f t="shared" si="348"/>
        <v>12</v>
      </c>
      <c r="AC762" t="str">
        <f>IF(客户自备加工筐明细!$C762="","",客户自备加工筐明细!$C762)</f>
        <v/>
      </c>
      <c r="AD762">
        <f t="shared" si="349"/>
        <v>0</v>
      </c>
      <c r="AE762">
        <f t="shared" si="350"/>
        <v>1</v>
      </c>
      <c r="AI762" t="str">
        <f>IF(客户自备加工筐明细!$E762="","",客户自备加工筐明细!$E762)</f>
        <v/>
      </c>
      <c r="AJ762">
        <f t="shared" si="351"/>
        <v>0</v>
      </c>
      <c r="AK762">
        <f t="shared" si="352"/>
        <v>1</v>
      </c>
      <c r="BS762" t="str">
        <f t="shared" si="358"/>
        <v/>
      </c>
      <c r="BT762">
        <f t="shared" si="353"/>
        <v>0</v>
      </c>
      <c r="BU762">
        <f t="shared" si="354"/>
        <v>17</v>
      </c>
      <c r="CP762">
        <f>IF(包装物料出入库明细!$D762="",0,1)</f>
        <v>0</v>
      </c>
      <c r="CQ762">
        <f t="shared" si="355"/>
        <v>37</v>
      </c>
      <c r="CS762" t="str">
        <f>IF(OR(周转筐出入库明细!$C763="",周转筐出入库明细!$F763&lt;&gt;"采购入库"),"",周转筐出入库明细!$C763)</f>
        <v/>
      </c>
      <c r="CT762">
        <f t="shared" si="356"/>
        <v>0</v>
      </c>
      <c r="CU762">
        <f t="shared" si="357"/>
        <v>1</v>
      </c>
    </row>
    <row r="763" spans="1:99">
      <c r="A763" t="str">
        <f>IF(包装物料出入库明细!$E763="","",包装物料出入库明细!$E763)</f>
        <v/>
      </c>
      <c r="B763">
        <f t="shared" si="341"/>
        <v>0</v>
      </c>
      <c r="C763">
        <f t="shared" si="342"/>
        <v>7</v>
      </c>
      <c r="D763" t="str">
        <f>IF(包装物料出入库明细!$E763="","",包装物料出入库明细!$F763)</f>
        <v/>
      </c>
      <c r="E763" t="str">
        <f>IF(包装物料出入库明细!$E763="","",包装物料出入库明细!$G763)</f>
        <v/>
      </c>
      <c r="K763" t="str">
        <f>IF(包装物料出入库明细!$D763="","",包装物料出入库明细!$D763)</f>
        <v/>
      </c>
      <c r="L763">
        <f t="shared" si="343"/>
        <v>0</v>
      </c>
      <c r="M763">
        <f t="shared" si="344"/>
        <v>9</v>
      </c>
      <c r="Q763" t="str">
        <f>IF(周转筐出入库明细!$D764="","",周转筐出入库明细!$D764)</f>
        <v/>
      </c>
      <c r="R763">
        <f t="shared" si="345"/>
        <v>0</v>
      </c>
      <c r="S763">
        <f t="shared" si="346"/>
        <v>5</v>
      </c>
      <c r="W763" t="str">
        <f>IF(周转筐出入库明细!$C764="","",周转筐出入库明细!$C764)</f>
        <v/>
      </c>
      <c r="X763">
        <f t="shared" si="347"/>
        <v>0</v>
      </c>
      <c r="Y763">
        <f t="shared" si="348"/>
        <v>12</v>
      </c>
      <c r="AC763" t="str">
        <f>IF(客户自备加工筐明细!$C763="","",客户自备加工筐明细!$C763)</f>
        <v/>
      </c>
      <c r="AD763">
        <f t="shared" si="349"/>
        <v>0</v>
      </c>
      <c r="AE763">
        <f t="shared" si="350"/>
        <v>1</v>
      </c>
      <c r="AI763" t="str">
        <f>IF(客户自备加工筐明细!$E763="","",客户自备加工筐明细!$E763)</f>
        <v/>
      </c>
      <c r="AJ763">
        <f t="shared" si="351"/>
        <v>0</v>
      </c>
      <c r="AK763">
        <f t="shared" si="352"/>
        <v>1</v>
      </c>
      <c r="BS763" t="str">
        <f t="shared" si="358"/>
        <v/>
      </c>
      <c r="BT763">
        <f t="shared" si="353"/>
        <v>0</v>
      </c>
      <c r="BU763">
        <f t="shared" si="354"/>
        <v>17</v>
      </c>
      <c r="CP763">
        <f>IF(包装物料出入库明细!$D763="",0,1)</f>
        <v>0</v>
      </c>
      <c r="CQ763">
        <f t="shared" si="355"/>
        <v>37</v>
      </c>
      <c r="CS763" t="str">
        <f>IF(OR(周转筐出入库明细!$C764="",周转筐出入库明细!$F764&lt;&gt;"采购入库"),"",周转筐出入库明细!$C764)</f>
        <v/>
      </c>
      <c r="CT763">
        <f t="shared" si="356"/>
        <v>0</v>
      </c>
      <c r="CU763">
        <f t="shared" si="357"/>
        <v>1</v>
      </c>
    </row>
    <row r="764" spans="1:99">
      <c r="A764" t="str">
        <f>IF(包装物料出入库明细!$E764="","",包装物料出入库明细!$E764)</f>
        <v/>
      </c>
      <c r="B764">
        <f t="shared" si="341"/>
        <v>0</v>
      </c>
      <c r="C764">
        <f t="shared" si="342"/>
        <v>7</v>
      </c>
      <c r="D764" t="str">
        <f>IF(包装物料出入库明细!$E764="","",包装物料出入库明细!$F764)</f>
        <v/>
      </c>
      <c r="E764" t="str">
        <f>IF(包装物料出入库明细!$E764="","",包装物料出入库明细!$G764)</f>
        <v/>
      </c>
      <c r="K764" t="str">
        <f>IF(包装物料出入库明细!$D764="","",包装物料出入库明细!$D764)</f>
        <v/>
      </c>
      <c r="L764">
        <f t="shared" si="343"/>
        <v>0</v>
      </c>
      <c r="M764">
        <f t="shared" si="344"/>
        <v>9</v>
      </c>
      <c r="Q764" t="str">
        <f>IF(周转筐出入库明细!$D765="","",周转筐出入库明细!$D765)</f>
        <v/>
      </c>
      <c r="R764">
        <f t="shared" si="345"/>
        <v>0</v>
      </c>
      <c r="S764">
        <f t="shared" si="346"/>
        <v>5</v>
      </c>
      <c r="W764" t="str">
        <f>IF(周转筐出入库明细!$C765="","",周转筐出入库明细!$C765)</f>
        <v/>
      </c>
      <c r="X764">
        <f t="shared" si="347"/>
        <v>0</v>
      </c>
      <c r="Y764">
        <f t="shared" si="348"/>
        <v>12</v>
      </c>
      <c r="AC764" t="str">
        <f>IF(客户自备加工筐明细!$C764="","",客户自备加工筐明细!$C764)</f>
        <v/>
      </c>
      <c r="AD764">
        <f t="shared" si="349"/>
        <v>0</v>
      </c>
      <c r="AE764">
        <f t="shared" si="350"/>
        <v>1</v>
      </c>
      <c r="AI764" t="str">
        <f>IF(客户自备加工筐明细!$E764="","",客户自备加工筐明细!$E764)</f>
        <v/>
      </c>
      <c r="AJ764">
        <f t="shared" si="351"/>
        <v>0</v>
      </c>
      <c r="AK764">
        <f t="shared" si="352"/>
        <v>1</v>
      </c>
      <c r="BS764" t="str">
        <f t="shared" si="358"/>
        <v/>
      </c>
      <c r="BT764">
        <f t="shared" si="353"/>
        <v>0</v>
      </c>
      <c r="BU764">
        <f t="shared" si="354"/>
        <v>17</v>
      </c>
      <c r="CP764">
        <f>IF(包装物料出入库明细!$D764="",0,1)</f>
        <v>0</v>
      </c>
      <c r="CQ764">
        <f t="shared" si="355"/>
        <v>37</v>
      </c>
      <c r="CS764" t="str">
        <f>IF(OR(周转筐出入库明细!$C765="",周转筐出入库明细!$F765&lt;&gt;"采购入库"),"",周转筐出入库明细!$C765)</f>
        <v/>
      </c>
      <c r="CT764">
        <f t="shared" si="356"/>
        <v>0</v>
      </c>
      <c r="CU764">
        <f t="shared" si="357"/>
        <v>1</v>
      </c>
    </row>
    <row r="765" spans="1:99">
      <c r="A765" t="str">
        <f>IF(包装物料出入库明细!$E765="","",包装物料出入库明细!$E765)</f>
        <v/>
      </c>
      <c r="B765">
        <f t="shared" si="341"/>
        <v>0</v>
      </c>
      <c r="C765">
        <f t="shared" si="342"/>
        <v>7</v>
      </c>
      <c r="D765" t="str">
        <f>IF(包装物料出入库明细!$E765="","",包装物料出入库明细!$F765)</f>
        <v/>
      </c>
      <c r="E765" t="str">
        <f>IF(包装物料出入库明细!$E765="","",包装物料出入库明细!$G765)</f>
        <v/>
      </c>
      <c r="K765" t="str">
        <f>IF(包装物料出入库明细!$D765="","",包装物料出入库明细!$D765)</f>
        <v/>
      </c>
      <c r="L765">
        <f t="shared" si="343"/>
        <v>0</v>
      </c>
      <c r="M765">
        <f t="shared" si="344"/>
        <v>9</v>
      </c>
      <c r="Q765" t="str">
        <f>IF(周转筐出入库明细!$D766="","",周转筐出入库明细!$D766)</f>
        <v/>
      </c>
      <c r="R765">
        <f t="shared" si="345"/>
        <v>0</v>
      </c>
      <c r="S765">
        <f t="shared" si="346"/>
        <v>5</v>
      </c>
      <c r="W765" t="str">
        <f>IF(周转筐出入库明细!$C766="","",周转筐出入库明细!$C766)</f>
        <v/>
      </c>
      <c r="X765">
        <f t="shared" si="347"/>
        <v>0</v>
      </c>
      <c r="Y765">
        <f t="shared" si="348"/>
        <v>12</v>
      </c>
      <c r="AC765" t="str">
        <f>IF(客户自备加工筐明细!$C765="","",客户自备加工筐明细!$C765)</f>
        <v/>
      </c>
      <c r="AD765">
        <f t="shared" si="349"/>
        <v>0</v>
      </c>
      <c r="AE765">
        <f t="shared" si="350"/>
        <v>1</v>
      </c>
      <c r="AI765" t="str">
        <f>IF(客户自备加工筐明细!$E765="","",客户自备加工筐明细!$E765)</f>
        <v/>
      </c>
      <c r="AJ765">
        <f t="shared" si="351"/>
        <v>0</v>
      </c>
      <c r="AK765">
        <f t="shared" si="352"/>
        <v>1</v>
      </c>
      <c r="BS765" t="str">
        <f t="shared" si="358"/>
        <v/>
      </c>
      <c r="BT765">
        <f t="shared" si="353"/>
        <v>0</v>
      </c>
      <c r="BU765">
        <f t="shared" si="354"/>
        <v>17</v>
      </c>
      <c r="CP765">
        <f>IF(包装物料出入库明细!$D765="",0,1)</f>
        <v>0</v>
      </c>
      <c r="CQ765">
        <f t="shared" si="355"/>
        <v>37</v>
      </c>
      <c r="CS765" t="str">
        <f>IF(OR(周转筐出入库明细!$C766="",周转筐出入库明细!$F766&lt;&gt;"采购入库"),"",周转筐出入库明细!$C766)</f>
        <v/>
      </c>
      <c r="CT765">
        <f t="shared" si="356"/>
        <v>0</v>
      </c>
      <c r="CU765">
        <f t="shared" si="357"/>
        <v>1</v>
      </c>
    </row>
    <row r="766" spans="1:99">
      <c r="A766" t="str">
        <f>IF(包装物料出入库明细!$E766="","",包装物料出入库明细!$E766)</f>
        <v/>
      </c>
      <c r="B766">
        <f t="shared" si="341"/>
        <v>0</v>
      </c>
      <c r="C766">
        <f t="shared" si="342"/>
        <v>7</v>
      </c>
      <c r="D766" t="str">
        <f>IF(包装物料出入库明细!$E766="","",包装物料出入库明细!$F766)</f>
        <v/>
      </c>
      <c r="E766" t="str">
        <f>IF(包装物料出入库明细!$E766="","",包装物料出入库明细!$G766)</f>
        <v/>
      </c>
      <c r="K766" t="str">
        <f>IF(包装物料出入库明细!$D766="","",包装物料出入库明细!$D766)</f>
        <v/>
      </c>
      <c r="L766">
        <f t="shared" si="343"/>
        <v>0</v>
      </c>
      <c r="M766">
        <f t="shared" si="344"/>
        <v>9</v>
      </c>
      <c r="Q766" t="str">
        <f>IF(周转筐出入库明细!$D767="","",周转筐出入库明细!$D767)</f>
        <v/>
      </c>
      <c r="R766">
        <f t="shared" si="345"/>
        <v>0</v>
      </c>
      <c r="S766">
        <f t="shared" si="346"/>
        <v>5</v>
      </c>
      <c r="W766" t="str">
        <f>IF(周转筐出入库明细!$C767="","",周转筐出入库明细!$C767)</f>
        <v/>
      </c>
      <c r="X766">
        <f t="shared" si="347"/>
        <v>0</v>
      </c>
      <c r="Y766">
        <f t="shared" si="348"/>
        <v>12</v>
      </c>
      <c r="AC766" t="str">
        <f>IF(客户自备加工筐明细!$C766="","",客户自备加工筐明细!$C766)</f>
        <v/>
      </c>
      <c r="AD766">
        <f t="shared" si="349"/>
        <v>0</v>
      </c>
      <c r="AE766">
        <f t="shared" si="350"/>
        <v>1</v>
      </c>
      <c r="AI766" t="str">
        <f>IF(客户自备加工筐明细!$E766="","",客户自备加工筐明细!$E766)</f>
        <v/>
      </c>
      <c r="AJ766">
        <f t="shared" si="351"/>
        <v>0</v>
      </c>
      <c r="AK766">
        <f t="shared" si="352"/>
        <v>1</v>
      </c>
      <c r="BS766" t="str">
        <f t="shared" si="358"/>
        <v/>
      </c>
      <c r="BT766">
        <f t="shared" si="353"/>
        <v>0</v>
      </c>
      <c r="BU766">
        <f t="shared" si="354"/>
        <v>17</v>
      </c>
      <c r="CP766">
        <f>IF(包装物料出入库明细!$D766="",0,1)</f>
        <v>0</v>
      </c>
      <c r="CQ766">
        <f t="shared" si="355"/>
        <v>37</v>
      </c>
      <c r="CS766" t="str">
        <f>IF(OR(周转筐出入库明细!$C767="",周转筐出入库明细!$F767&lt;&gt;"采购入库"),"",周转筐出入库明细!$C767)</f>
        <v/>
      </c>
      <c r="CT766">
        <f t="shared" si="356"/>
        <v>0</v>
      </c>
      <c r="CU766">
        <f t="shared" si="357"/>
        <v>1</v>
      </c>
    </row>
    <row r="767" spans="1:99">
      <c r="A767" t="str">
        <f>IF(包装物料出入库明细!$E767="","",包装物料出入库明细!$E767)</f>
        <v/>
      </c>
      <c r="B767">
        <f t="shared" si="341"/>
        <v>0</v>
      </c>
      <c r="C767">
        <f t="shared" si="342"/>
        <v>7</v>
      </c>
      <c r="D767" t="str">
        <f>IF(包装物料出入库明细!$E767="","",包装物料出入库明细!$F767)</f>
        <v/>
      </c>
      <c r="E767" t="str">
        <f>IF(包装物料出入库明细!$E767="","",包装物料出入库明细!$G767)</f>
        <v/>
      </c>
      <c r="K767" t="str">
        <f>IF(包装物料出入库明细!$D767="","",包装物料出入库明细!$D767)</f>
        <v/>
      </c>
      <c r="L767">
        <f t="shared" si="343"/>
        <v>0</v>
      </c>
      <c r="M767">
        <f t="shared" si="344"/>
        <v>9</v>
      </c>
      <c r="Q767" t="str">
        <f>IF(周转筐出入库明细!$D768="","",周转筐出入库明细!$D768)</f>
        <v/>
      </c>
      <c r="R767">
        <f t="shared" si="345"/>
        <v>0</v>
      </c>
      <c r="S767">
        <f t="shared" si="346"/>
        <v>5</v>
      </c>
      <c r="W767" t="str">
        <f>IF(周转筐出入库明细!$C768="","",周转筐出入库明细!$C768)</f>
        <v/>
      </c>
      <c r="X767">
        <f t="shared" si="347"/>
        <v>0</v>
      </c>
      <c r="Y767">
        <f t="shared" si="348"/>
        <v>12</v>
      </c>
      <c r="AC767" t="str">
        <f>IF(客户自备加工筐明细!$C767="","",客户自备加工筐明细!$C767)</f>
        <v/>
      </c>
      <c r="AD767">
        <f t="shared" si="349"/>
        <v>0</v>
      </c>
      <c r="AE767">
        <f t="shared" si="350"/>
        <v>1</v>
      </c>
      <c r="AI767" t="str">
        <f>IF(客户自备加工筐明细!$E767="","",客户自备加工筐明细!$E767)</f>
        <v/>
      </c>
      <c r="AJ767">
        <f t="shared" si="351"/>
        <v>0</v>
      </c>
      <c r="AK767">
        <f t="shared" si="352"/>
        <v>1</v>
      </c>
      <c r="BS767" t="str">
        <f t="shared" si="358"/>
        <v/>
      </c>
      <c r="BT767">
        <f t="shared" si="353"/>
        <v>0</v>
      </c>
      <c r="BU767">
        <f t="shared" si="354"/>
        <v>17</v>
      </c>
      <c r="CP767">
        <f>IF(包装物料出入库明细!$D767="",0,1)</f>
        <v>0</v>
      </c>
      <c r="CQ767">
        <f t="shared" si="355"/>
        <v>37</v>
      </c>
      <c r="CS767" t="str">
        <f>IF(OR(周转筐出入库明细!$C768="",周转筐出入库明细!$F768&lt;&gt;"采购入库"),"",周转筐出入库明细!$C768)</f>
        <v/>
      </c>
      <c r="CT767">
        <f t="shared" si="356"/>
        <v>0</v>
      </c>
      <c r="CU767">
        <f t="shared" si="357"/>
        <v>1</v>
      </c>
    </row>
    <row r="768" spans="1:99">
      <c r="A768" t="str">
        <f>IF(包装物料出入库明细!$E768="","",包装物料出入库明细!$E768)</f>
        <v/>
      </c>
      <c r="B768">
        <f t="shared" si="341"/>
        <v>0</v>
      </c>
      <c r="C768">
        <f t="shared" si="342"/>
        <v>7</v>
      </c>
      <c r="D768" t="str">
        <f>IF(包装物料出入库明细!$E768="","",包装物料出入库明细!$F768)</f>
        <v/>
      </c>
      <c r="E768" t="str">
        <f>IF(包装物料出入库明细!$E768="","",包装物料出入库明细!$G768)</f>
        <v/>
      </c>
      <c r="K768" t="str">
        <f>IF(包装物料出入库明细!$D768="","",包装物料出入库明细!$D768)</f>
        <v/>
      </c>
      <c r="L768">
        <f t="shared" si="343"/>
        <v>0</v>
      </c>
      <c r="M768">
        <f t="shared" si="344"/>
        <v>9</v>
      </c>
      <c r="Q768" t="str">
        <f>IF(周转筐出入库明细!$D769="","",周转筐出入库明细!$D769)</f>
        <v/>
      </c>
      <c r="R768">
        <f t="shared" si="345"/>
        <v>0</v>
      </c>
      <c r="S768">
        <f t="shared" si="346"/>
        <v>5</v>
      </c>
      <c r="W768" t="str">
        <f>IF(周转筐出入库明细!$C769="","",周转筐出入库明细!$C769)</f>
        <v/>
      </c>
      <c r="X768">
        <f t="shared" si="347"/>
        <v>0</v>
      </c>
      <c r="Y768">
        <f t="shared" si="348"/>
        <v>12</v>
      </c>
      <c r="AC768" t="str">
        <f>IF(客户自备加工筐明细!$C768="","",客户自备加工筐明细!$C768)</f>
        <v/>
      </c>
      <c r="AD768">
        <f t="shared" si="349"/>
        <v>0</v>
      </c>
      <c r="AE768">
        <f t="shared" si="350"/>
        <v>1</v>
      </c>
      <c r="AI768" t="str">
        <f>IF(客户自备加工筐明细!$E768="","",客户自备加工筐明细!$E768)</f>
        <v/>
      </c>
      <c r="AJ768">
        <f t="shared" si="351"/>
        <v>0</v>
      </c>
      <c r="AK768">
        <f t="shared" si="352"/>
        <v>1</v>
      </c>
      <c r="BS768" t="str">
        <f t="shared" si="358"/>
        <v/>
      </c>
      <c r="BT768">
        <f t="shared" si="353"/>
        <v>0</v>
      </c>
      <c r="BU768">
        <f t="shared" si="354"/>
        <v>17</v>
      </c>
      <c r="CP768">
        <f>IF(包装物料出入库明细!$D768="",0,1)</f>
        <v>0</v>
      </c>
      <c r="CQ768">
        <f t="shared" si="355"/>
        <v>37</v>
      </c>
      <c r="CS768" t="str">
        <f>IF(OR(周转筐出入库明细!$C769="",周转筐出入库明细!$F769&lt;&gt;"采购入库"),"",周转筐出入库明细!$C769)</f>
        <v/>
      </c>
      <c r="CT768">
        <f t="shared" si="356"/>
        <v>0</v>
      </c>
      <c r="CU768">
        <f t="shared" si="357"/>
        <v>1</v>
      </c>
    </row>
    <row r="769" spans="1:99">
      <c r="A769" t="str">
        <f>IF(包装物料出入库明细!$E769="","",包装物料出入库明细!$E769)</f>
        <v/>
      </c>
      <c r="B769">
        <f t="shared" si="341"/>
        <v>0</v>
      </c>
      <c r="C769">
        <f t="shared" si="342"/>
        <v>7</v>
      </c>
      <c r="D769" t="str">
        <f>IF(包装物料出入库明细!$E769="","",包装物料出入库明细!$F769)</f>
        <v/>
      </c>
      <c r="E769" t="str">
        <f>IF(包装物料出入库明细!$E769="","",包装物料出入库明细!$G769)</f>
        <v/>
      </c>
      <c r="K769" t="str">
        <f>IF(包装物料出入库明细!$D769="","",包装物料出入库明细!$D769)</f>
        <v/>
      </c>
      <c r="L769">
        <f t="shared" si="343"/>
        <v>0</v>
      </c>
      <c r="M769">
        <f t="shared" si="344"/>
        <v>9</v>
      </c>
      <c r="Q769" t="str">
        <f>IF(周转筐出入库明细!$D770="","",周转筐出入库明细!$D770)</f>
        <v/>
      </c>
      <c r="R769">
        <f t="shared" si="345"/>
        <v>0</v>
      </c>
      <c r="S769">
        <f t="shared" si="346"/>
        <v>5</v>
      </c>
      <c r="W769" t="str">
        <f>IF(周转筐出入库明细!$C770="","",周转筐出入库明细!$C770)</f>
        <v/>
      </c>
      <c r="X769">
        <f t="shared" si="347"/>
        <v>0</v>
      </c>
      <c r="Y769">
        <f t="shared" si="348"/>
        <v>12</v>
      </c>
      <c r="AC769" t="str">
        <f>IF(客户自备加工筐明细!$C769="","",客户自备加工筐明细!$C769)</f>
        <v/>
      </c>
      <c r="AD769">
        <f t="shared" si="349"/>
        <v>0</v>
      </c>
      <c r="AE769">
        <f t="shared" si="350"/>
        <v>1</v>
      </c>
      <c r="AI769" t="str">
        <f>IF(客户自备加工筐明细!$E769="","",客户自备加工筐明细!$E769)</f>
        <v/>
      </c>
      <c r="AJ769">
        <f t="shared" si="351"/>
        <v>0</v>
      </c>
      <c r="AK769">
        <f t="shared" si="352"/>
        <v>1</v>
      </c>
      <c r="BS769" t="str">
        <f t="shared" si="358"/>
        <v/>
      </c>
      <c r="BT769">
        <f t="shared" si="353"/>
        <v>0</v>
      </c>
      <c r="BU769">
        <f t="shared" si="354"/>
        <v>17</v>
      </c>
      <c r="CP769">
        <f>IF(包装物料出入库明细!$D769="",0,1)</f>
        <v>0</v>
      </c>
      <c r="CQ769">
        <f t="shared" si="355"/>
        <v>37</v>
      </c>
      <c r="CS769" t="str">
        <f>IF(OR(周转筐出入库明细!$C770="",周转筐出入库明细!$F770&lt;&gt;"采购入库"),"",周转筐出入库明细!$C770)</f>
        <v/>
      </c>
      <c r="CT769">
        <f t="shared" si="356"/>
        <v>0</v>
      </c>
      <c r="CU769">
        <f t="shared" si="357"/>
        <v>1</v>
      </c>
    </row>
    <row r="770" spans="1:99">
      <c r="A770" t="str">
        <f>IF(包装物料出入库明细!$E770="","",包装物料出入库明细!$E770)</f>
        <v/>
      </c>
      <c r="B770">
        <f t="shared" si="341"/>
        <v>0</v>
      </c>
      <c r="C770">
        <f t="shared" si="342"/>
        <v>7</v>
      </c>
      <c r="D770" t="str">
        <f>IF(包装物料出入库明细!$E770="","",包装物料出入库明细!$F770)</f>
        <v/>
      </c>
      <c r="E770" t="str">
        <f>IF(包装物料出入库明细!$E770="","",包装物料出入库明细!$G770)</f>
        <v/>
      </c>
      <c r="K770" t="str">
        <f>IF(包装物料出入库明细!$D770="","",包装物料出入库明细!$D770)</f>
        <v/>
      </c>
      <c r="L770">
        <f t="shared" si="343"/>
        <v>0</v>
      </c>
      <c r="M770">
        <f t="shared" si="344"/>
        <v>9</v>
      </c>
      <c r="Q770" t="str">
        <f>IF(周转筐出入库明细!$D771="","",周转筐出入库明细!$D771)</f>
        <v/>
      </c>
      <c r="R770">
        <f t="shared" si="345"/>
        <v>0</v>
      </c>
      <c r="S770">
        <f t="shared" si="346"/>
        <v>5</v>
      </c>
      <c r="W770" t="str">
        <f>IF(周转筐出入库明细!$C771="","",周转筐出入库明细!$C771)</f>
        <v/>
      </c>
      <c r="X770">
        <f t="shared" si="347"/>
        <v>0</v>
      </c>
      <c r="Y770">
        <f t="shared" si="348"/>
        <v>12</v>
      </c>
      <c r="AC770" t="str">
        <f>IF(客户自备加工筐明细!$C770="","",客户自备加工筐明细!$C770)</f>
        <v/>
      </c>
      <c r="AD770">
        <f t="shared" si="349"/>
        <v>0</v>
      </c>
      <c r="AE770">
        <f t="shared" si="350"/>
        <v>1</v>
      </c>
      <c r="AI770" t="str">
        <f>IF(客户自备加工筐明细!$E770="","",客户自备加工筐明细!$E770)</f>
        <v/>
      </c>
      <c r="AJ770">
        <f t="shared" si="351"/>
        <v>0</v>
      </c>
      <c r="AK770">
        <f t="shared" si="352"/>
        <v>1</v>
      </c>
      <c r="BS770" t="str">
        <f t="shared" si="358"/>
        <v/>
      </c>
      <c r="BT770">
        <f t="shared" si="353"/>
        <v>0</v>
      </c>
      <c r="BU770">
        <f t="shared" si="354"/>
        <v>17</v>
      </c>
      <c r="CP770">
        <f>IF(包装物料出入库明细!$D770="",0,1)</f>
        <v>0</v>
      </c>
      <c r="CQ770">
        <f t="shared" si="355"/>
        <v>37</v>
      </c>
      <c r="CS770" t="str">
        <f>IF(OR(周转筐出入库明细!$C771="",周转筐出入库明细!$F771&lt;&gt;"采购入库"),"",周转筐出入库明细!$C771)</f>
        <v/>
      </c>
      <c r="CT770">
        <f t="shared" si="356"/>
        <v>0</v>
      </c>
      <c r="CU770">
        <f t="shared" si="357"/>
        <v>1</v>
      </c>
    </row>
    <row r="771" spans="1:99">
      <c r="A771" t="str">
        <f>IF(包装物料出入库明细!$E771="","",包装物料出入库明细!$E771)</f>
        <v/>
      </c>
      <c r="B771">
        <f t="shared" si="341"/>
        <v>0</v>
      </c>
      <c r="C771">
        <f t="shared" si="342"/>
        <v>7</v>
      </c>
      <c r="D771" t="str">
        <f>IF(包装物料出入库明细!$E771="","",包装物料出入库明细!$F771)</f>
        <v/>
      </c>
      <c r="E771" t="str">
        <f>IF(包装物料出入库明细!$E771="","",包装物料出入库明细!$G771)</f>
        <v/>
      </c>
      <c r="K771" t="str">
        <f>IF(包装物料出入库明细!$D771="","",包装物料出入库明细!$D771)</f>
        <v/>
      </c>
      <c r="L771">
        <f t="shared" si="343"/>
        <v>0</v>
      </c>
      <c r="M771">
        <f t="shared" si="344"/>
        <v>9</v>
      </c>
      <c r="Q771" t="str">
        <f>IF(周转筐出入库明细!$D772="","",周转筐出入库明细!$D772)</f>
        <v/>
      </c>
      <c r="R771">
        <f t="shared" si="345"/>
        <v>0</v>
      </c>
      <c r="S771">
        <f t="shared" si="346"/>
        <v>5</v>
      </c>
      <c r="W771" t="str">
        <f>IF(周转筐出入库明细!$C772="","",周转筐出入库明细!$C772)</f>
        <v/>
      </c>
      <c r="X771">
        <f t="shared" si="347"/>
        <v>0</v>
      </c>
      <c r="Y771">
        <f t="shared" si="348"/>
        <v>12</v>
      </c>
      <c r="AC771" t="str">
        <f>IF(客户自备加工筐明细!$C771="","",客户自备加工筐明细!$C771)</f>
        <v/>
      </c>
      <c r="AD771">
        <f t="shared" si="349"/>
        <v>0</v>
      </c>
      <c r="AE771">
        <f t="shared" si="350"/>
        <v>1</v>
      </c>
      <c r="AI771" t="str">
        <f>IF(客户自备加工筐明细!$E771="","",客户自备加工筐明细!$E771)</f>
        <v/>
      </c>
      <c r="AJ771">
        <f t="shared" si="351"/>
        <v>0</v>
      </c>
      <c r="AK771">
        <f t="shared" si="352"/>
        <v>1</v>
      </c>
      <c r="BS771" t="str">
        <f t="shared" si="358"/>
        <v/>
      </c>
      <c r="BT771">
        <f t="shared" si="353"/>
        <v>0</v>
      </c>
      <c r="BU771">
        <f t="shared" si="354"/>
        <v>17</v>
      </c>
      <c r="CP771">
        <f>IF(包装物料出入库明细!$D771="",0,1)</f>
        <v>0</v>
      </c>
      <c r="CQ771">
        <f t="shared" si="355"/>
        <v>37</v>
      </c>
      <c r="CS771" t="str">
        <f>IF(OR(周转筐出入库明细!$C772="",周转筐出入库明细!$F772&lt;&gt;"采购入库"),"",周转筐出入库明细!$C772)</f>
        <v/>
      </c>
      <c r="CT771">
        <f t="shared" si="356"/>
        <v>0</v>
      </c>
      <c r="CU771">
        <f t="shared" si="357"/>
        <v>1</v>
      </c>
    </row>
    <row r="772" spans="1:99">
      <c r="A772" t="str">
        <f>IF(包装物料出入库明细!$E772="","",包装物料出入库明细!$E772)</f>
        <v/>
      </c>
      <c r="B772">
        <f t="shared" ref="B772:B835" si="359">IF(A772="",0,IF(MATCH(A772,$A$4:$A$2003,0)=ROW()-3,1,0))</f>
        <v>0</v>
      </c>
      <c r="C772">
        <f t="shared" ref="C772:C835" si="360">N(C771)+B772</f>
        <v>7</v>
      </c>
      <c r="D772" t="str">
        <f>IF(包装物料出入库明细!$E772="","",包装物料出入库明细!$F772)</f>
        <v/>
      </c>
      <c r="E772" t="str">
        <f>IF(包装物料出入库明细!$E772="","",包装物料出入库明细!$G772)</f>
        <v/>
      </c>
      <c r="K772" t="str">
        <f>IF(包装物料出入库明细!$D772="","",包装物料出入库明细!$D772)</f>
        <v/>
      </c>
      <c r="L772">
        <f t="shared" ref="L772:L835" si="361">IF(K772="",0,IF(MATCH(K772,$K$4:$K$2003,0)=ROW()-3,1,0))</f>
        <v>0</v>
      </c>
      <c r="M772">
        <f t="shared" ref="M772:M835" si="362">N(M771)+L772</f>
        <v>9</v>
      </c>
      <c r="Q772" t="str">
        <f>IF(周转筐出入库明细!$D773="","",周转筐出入库明细!$D773)</f>
        <v/>
      </c>
      <c r="R772">
        <f t="shared" ref="R772:R835" si="363">IF(Q772="",0,IF(MATCH(Q772,$Q$4:$Q$2003,0)=ROW()-3,1,0))</f>
        <v>0</v>
      </c>
      <c r="S772">
        <f t="shared" ref="S772:S835" si="364">N(S771)+R772</f>
        <v>5</v>
      </c>
      <c r="W772" t="str">
        <f>IF(周转筐出入库明细!$C773="","",周转筐出入库明细!$C773)</f>
        <v/>
      </c>
      <c r="X772">
        <f t="shared" ref="X772:X835" si="365">IF(W772="",0,IF(MATCH(W772,$W$4:$W$2003,0)=ROW()-3,1,0))</f>
        <v>0</v>
      </c>
      <c r="Y772">
        <f t="shared" ref="Y772:Y835" si="366">N(Y771)+X772</f>
        <v>12</v>
      </c>
      <c r="AC772" t="str">
        <f>IF(客户自备加工筐明细!$C772="","",客户自备加工筐明细!$C772)</f>
        <v/>
      </c>
      <c r="AD772">
        <f t="shared" ref="AD772:AD835" si="367">IF(AC772="",0,IF(MATCH(AC772,$AC$4:$AC$1203,0)=ROW()-3,1,0))</f>
        <v>0</v>
      </c>
      <c r="AE772">
        <f t="shared" ref="AE772:AE835" si="368">N(AE771)+AD772</f>
        <v>1</v>
      </c>
      <c r="AI772" t="str">
        <f>IF(客户自备加工筐明细!$E772="","",客户自备加工筐明细!$E772)</f>
        <v/>
      </c>
      <c r="AJ772">
        <f t="shared" ref="AJ772:AJ835" si="369">IF(AI772="",0,IF(MATCH(AI772,$AI$4:$AI$1503,0)=ROW()-3,1,0))</f>
        <v>0</v>
      </c>
      <c r="AK772">
        <f t="shared" ref="AK772:AK835" si="370">N(AK771)+AJ772</f>
        <v>1</v>
      </c>
      <c r="BS772" t="str">
        <f t="shared" si="358"/>
        <v/>
      </c>
      <c r="BT772">
        <f t="shared" ref="BT772:BT835" si="371">IF(BS772="",0,IF(MATCH(BS772,$BS$4:$BS$1103,0)=ROW()-3,1,0))</f>
        <v>0</v>
      </c>
      <c r="BU772">
        <f t="shared" ref="BU772:BU835" si="372">N(BU771)+BT772</f>
        <v>17</v>
      </c>
      <c r="CP772">
        <f>IF(包装物料出入库明细!$D772="",0,1)</f>
        <v>0</v>
      </c>
      <c r="CQ772">
        <f t="shared" ref="CQ772:CQ835" si="373">N(CQ771)+$CP772</f>
        <v>37</v>
      </c>
      <c r="CS772" t="str">
        <f>IF(OR(周转筐出入库明细!$C773="",周转筐出入库明细!$F773&lt;&gt;"采购入库"),"",周转筐出入库明细!$C773)</f>
        <v/>
      </c>
      <c r="CT772">
        <f t="shared" ref="CT772:CT835" si="374">IF(CS772="",0,IF(MATCH(CS772,$CS$4:$CS$2003,0)=ROW()-3,1,0))</f>
        <v>0</v>
      </c>
      <c r="CU772">
        <f t="shared" ref="CU772:CU835" si="375">N(CU771)+CT772</f>
        <v>1</v>
      </c>
    </row>
    <row r="773" spans="1:99">
      <c r="A773" t="str">
        <f>IF(包装物料出入库明细!$E773="","",包装物料出入库明细!$E773)</f>
        <v/>
      </c>
      <c r="B773">
        <f t="shared" si="359"/>
        <v>0</v>
      </c>
      <c r="C773">
        <f t="shared" si="360"/>
        <v>7</v>
      </c>
      <c r="D773" t="str">
        <f>IF(包装物料出入库明细!$E773="","",包装物料出入库明细!$F773)</f>
        <v/>
      </c>
      <c r="E773" t="str">
        <f>IF(包装物料出入库明细!$E773="","",包装物料出入库明细!$G773)</f>
        <v/>
      </c>
      <c r="K773" t="str">
        <f>IF(包装物料出入库明细!$D773="","",包装物料出入库明细!$D773)</f>
        <v/>
      </c>
      <c r="L773">
        <f t="shared" si="361"/>
        <v>0</v>
      </c>
      <c r="M773">
        <f t="shared" si="362"/>
        <v>9</v>
      </c>
      <c r="Q773" t="str">
        <f>IF(周转筐出入库明细!$D774="","",周转筐出入库明细!$D774)</f>
        <v/>
      </c>
      <c r="R773">
        <f t="shared" si="363"/>
        <v>0</v>
      </c>
      <c r="S773">
        <f t="shared" si="364"/>
        <v>5</v>
      </c>
      <c r="W773" t="str">
        <f>IF(周转筐出入库明细!$C774="","",周转筐出入库明细!$C774)</f>
        <v/>
      </c>
      <c r="X773">
        <f t="shared" si="365"/>
        <v>0</v>
      </c>
      <c r="Y773">
        <f t="shared" si="366"/>
        <v>12</v>
      </c>
      <c r="AC773" t="str">
        <f>IF(客户自备加工筐明细!$C773="","",客户自备加工筐明细!$C773)</f>
        <v/>
      </c>
      <c r="AD773">
        <f t="shared" si="367"/>
        <v>0</v>
      </c>
      <c r="AE773">
        <f t="shared" si="368"/>
        <v>1</v>
      </c>
      <c r="AI773" t="str">
        <f>IF(客户自备加工筐明细!$E773="","",客户自备加工筐明细!$E773)</f>
        <v/>
      </c>
      <c r="AJ773">
        <f t="shared" si="369"/>
        <v>0</v>
      </c>
      <c r="AK773">
        <f t="shared" si="370"/>
        <v>1</v>
      </c>
      <c r="BS773" t="str">
        <f t="shared" si="358"/>
        <v/>
      </c>
      <c r="BT773">
        <f t="shared" si="371"/>
        <v>0</v>
      </c>
      <c r="BU773">
        <f t="shared" si="372"/>
        <v>17</v>
      </c>
      <c r="CP773">
        <f>IF(包装物料出入库明细!$D773="",0,1)</f>
        <v>0</v>
      </c>
      <c r="CQ773">
        <f t="shared" si="373"/>
        <v>37</v>
      </c>
      <c r="CS773" t="str">
        <f>IF(OR(周转筐出入库明细!$C774="",周转筐出入库明细!$F774&lt;&gt;"采购入库"),"",周转筐出入库明细!$C774)</f>
        <v/>
      </c>
      <c r="CT773">
        <f t="shared" si="374"/>
        <v>0</v>
      </c>
      <c r="CU773">
        <f t="shared" si="375"/>
        <v>1</v>
      </c>
    </row>
    <row r="774" spans="1:99">
      <c r="A774" t="str">
        <f>IF(包装物料出入库明细!$E774="","",包装物料出入库明细!$E774)</f>
        <v/>
      </c>
      <c r="B774">
        <f t="shared" si="359"/>
        <v>0</v>
      </c>
      <c r="C774">
        <f t="shared" si="360"/>
        <v>7</v>
      </c>
      <c r="D774" t="str">
        <f>IF(包装物料出入库明细!$E774="","",包装物料出入库明细!$F774)</f>
        <v/>
      </c>
      <c r="E774" t="str">
        <f>IF(包装物料出入库明细!$E774="","",包装物料出入库明细!$G774)</f>
        <v/>
      </c>
      <c r="K774" t="str">
        <f>IF(包装物料出入库明细!$D774="","",包装物料出入库明细!$D774)</f>
        <v/>
      </c>
      <c r="L774">
        <f t="shared" si="361"/>
        <v>0</v>
      </c>
      <c r="M774">
        <f t="shared" si="362"/>
        <v>9</v>
      </c>
      <c r="Q774" t="str">
        <f>IF(周转筐出入库明细!$D775="","",周转筐出入库明细!$D775)</f>
        <v/>
      </c>
      <c r="R774">
        <f t="shared" si="363"/>
        <v>0</v>
      </c>
      <c r="S774">
        <f t="shared" si="364"/>
        <v>5</v>
      </c>
      <c r="W774" t="str">
        <f>IF(周转筐出入库明细!$C775="","",周转筐出入库明细!$C775)</f>
        <v/>
      </c>
      <c r="X774">
        <f t="shared" si="365"/>
        <v>0</v>
      </c>
      <c r="Y774">
        <f t="shared" si="366"/>
        <v>12</v>
      </c>
      <c r="AC774" t="str">
        <f>IF(客户自备加工筐明细!$C774="","",客户自备加工筐明细!$C774)</f>
        <v/>
      </c>
      <c r="AD774">
        <f t="shared" si="367"/>
        <v>0</v>
      </c>
      <c r="AE774">
        <f t="shared" si="368"/>
        <v>1</v>
      </c>
      <c r="AI774" t="str">
        <f>IF(客户自备加工筐明细!$E774="","",客户自备加工筐明细!$E774)</f>
        <v/>
      </c>
      <c r="AJ774">
        <f t="shared" si="369"/>
        <v>0</v>
      </c>
      <c r="AK774">
        <f t="shared" si="370"/>
        <v>1</v>
      </c>
      <c r="BS774" t="str">
        <f t="shared" si="358"/>
        <v/>
      </c>
      <c r="BT774">
        <f t="shared" si="371"/>
        <v>0</v>
      </c>
      <c r="BU774">
        <f t="shared" si="372"/>
        <v>17</v>
      </c>
      <c r="CP774">
        <f>IF(包装物料出入库明细!$D774="",0,1)</f>
        <v>0</v>
      </c>
      <c r="CQ774">
        <f t="shared" si="373"/>
        <v>37</v>
      </c>
      <c r="CS774" t="str">
        <f>IF(OR(周转筐出入库明细!$C775="",周转筐出入库明细!$F775&lt;&gt;"采购入库"),"",周转筐出入库明细!$C775)</f>
        <v/>
      </c>
      <c r="CT774">
        <f t="shared" si="374"/>
        <v>0</v>
      </c>
      <c r="CU774">
        <f t="shared" si="375"/>
        <v>1</v>
      </c>
    </row>
    <row r="775" spans="1:99">
      <c r="A775" t="str">
        <f>IF(包装物料出入库明细!$E775="","",包装物料出入库明细!$E775)</f>
        <v/>
      </c>
      <c r="B775">
        <f t="shared" si="359"/>
        <v>0</v>
      </c>
      <c r="C775">
        <f t="shared" si="360"/>
        <v>7</v>
      </c>
      <c r="D775" t="str">
        <f>IF(包装物料出入库明细!$E775="","",包装物料出入库明细!$F775)</f>
        <v/>
      </c>
      <c r="E775" t="str">
        <f>IF(包装物料出入库明细!$E775="","",包装物料出入库明细!$G775)</f>
        <v/>
      </c>
      <c r="K775" t="str">
        <f>IF(包装物料出入库明细!$D775="","",包装物料出入库明细!$D775)</f>
        <v/>
      </c>
      <c r="L775">
        <f t="shared" si="361"/>
        <v>0</v>
      </c>
      <c r="M775">
        <f t="shared" si="362"/>
        <v>9</v>
      </c>
      <c r="Q775" t="str">
        <f>IF(周转筐出入库明细!$D776="","",周转筐出入库明细!$D776)</f>
        <v/>
      </c>
      <c r="R775">
        <f t="shared" si="363"/>
        <v>0</v>
      </c>
      <c r="S775">
        <f t="shared" si="364"/>
        <v>5</v>
      </c>
      <c r="W775" t="str">
        <f>IF(周转筐出入库明细!$C776="","",周转筐出入库明细!$C776)</f>
        <v/>
      </c>
      <c r="X775">
        <f t="shared" si="365"/>
        <v>0</v>
      </c>
      <c r="Y775">
        <f t="shared" si="366"/>
        <v>12</v>
      </c>
      <c r="AC775" t="str">
        <f>IF(客户自备加工筐明细!$C775="","",客户自备加工筐明细!$C775)</f>
        <v/>
      </c>
      <c r="AD775">
        <f t="shared" si="367"/>
        <v>0</v>
      </c>
      <c r="AE775">
        <f t="shared" si="368"/>
        <v>1</v>
      </c>
      <c r="AI775" t="str">
        <f>IF(客户自备加工筐明细!$E775="","",客户自备加工筐明细!$E775)</f>
        <v/>
      </c>
      <c r="AJ775">
        <f t="shared" si="369"/>
        <v>0</v>
      </c>
      <c r="AK775">
        <f t="shared" si="370"/>
        <v>1</v>
      </c>
      <c r="BS775" t="str">
        <f t="shared" si="358"/>
        <v/>
      </c>
      <c r="BT775">
        <f t="shared" si="371"/>
        <v>0</v>
      </c>
      <c r="BU775">
        <f t="shared" si="372"/>
        <v>17</v>
      </c>
      <c r="CP775">
        <f>IF(包装物料出入库明细!$D775="",0,1)</f>
        <v>0</v>
      </c>
      <c r="CQ775">
        <f t="shared" si="373"/>
        <v>37</v>
      </c>
      <c r="CS775" t="str">
        <f>IF(OR(周转筐出入库明细!$C776="",周转筐出入库明细!$F776&lt;&gt;"采购入库"),"",周转筐出入库明细!$C776)</f>
        <v/>
      </c>
      <c r="CT775">
        <f t="shared" si="374"/>
        <v>0</v>
      </c>
      <c r="CU775">
        <f t="shared" si="375"/>
        <v>1</v>
      </c>
    </row>
    <row r="776" spans="1:99">
      <c r="A776" t="str">
        <f>IF(包装物料出入库明细!$E776="","",包装物料出入库明细!$E776)</f>
        <v/>
      </c>
      <c r="B776">
        <f t="shared" si="359"/>
        <v>0</v>
      </c>
      <c r="C776">
        <f t="shared" si="360"/>
        <v>7</v>
      </c>
      <c r="D776" t="str">
        <f>IF(包装物料出入库明细!$E776="","",包装物料出入库明细!$F776)</f>
        <v/>
      </c>
      <c r="E776" t="str">
        <f>IF(包装物料出入库明细!$E776="","",包装物料出入库明细!$G776)</f>
        <v/>
      </c>
      <c r="K776" t="str">
        <f>IF(包装物料出入库明细!$D776="","",包装物料出入库明细!$D776)</f>
        <v/>
      </c>
      <c r="L776">
        <f t="shared" si="361"/>
        <v>0</v>
      </c>
      <c r="M776">
        <f t="shared" si="362"/>
        <v>9</v>
      </c>
      <c r="Q776" t="str">
        <f>IF(周转筐出入库明细!$D777="","",周转筐出入库明细!$D777)</f>
        <v/>
      </c>
      <c r="R776">
        <f t="shared" si="363"/>
        <v>0</v>
      </c>
      <c r="S776">
        <f t="shared" si="364"/>
        <v>5</v>
      </c>
      <c r="W776" t="str">
        <f>IF(周转筐出入库明细!$C777="","",周转筐出入库明细!$C777)</f>
        <v/>
      </c>
      <c r="X776">
        <f t="shared" si="365"/>
        <v>0</v>
      </c>
      <c r="Y776">
        <f t="shared" si="366"/>
        <v>12</v>
      </c>
      <c r="AC776" t="str">
        <f>IF(客户自备加工筐明细!$C776="","",客户自备加工筐明细!$C776)</f>
        <v/>
      </c>
      <c r="AD776">
        <f t="shared" si="367"/>
        <v>0</v>
      </c>
      <c r="AE776">
        <f t="shared" si="368"/>
        <v>1</v>
      </c>
      <c r="AI776" t="str">
        <f>IF(客户自备加工筐明细!$E776="","",客户自备加工筐明细!$E776)</f>
        <v/>
      </c>
      <c r="AJ776">
        <f t="shared" si="369"/>
        <v>0</v>
      </c>
      <c r="AK776">
        <f t="shared" si="370"/>
        <v>1</v>
      </c>
      <c r="BS776" t="str">
        <f t="shared" si="358"/>
        <v/>
      </c>
      <c r="BT776">
        <f t="shared" si="371"/>
        <v>0</v>
      </c>
      <c r="BU776">
        <f t="shared" si="372"/>
        <v>17</v>
      </c>
      <c r="CP776">
        <f>IF(包装物料出入库明细!$D776="",0,1)</f>
        <v>0</v>
      </c>
      <c r="CQ776">
        <f t="shared" si="373"/>
        <v>37</v>
      </c>
      <c r="CS776" t="str">
        <f>IF(OR(周转筐出入库明细!$C777="",周转筐出入库明细!$F777&lt;&gt;"采购入库"),"",周转筐出入库明细!$C777)</f>
        <v/>
      </c>
      <c r="CT776">
        <f t="shared" si="374"/>
        <v>0</v>
      </c>
      <c r="CU776">
        <f t="shared" si="375"/>
        <v>1</v>
      </c>
    </row>
    <row r="777" spans="1:99">
      <c r="A777" t="str">
        <f>IF(包装物料出入库明细!$E777="","",包装物料出入库明细!$E777)</f>
        <v/>
      </c>
      <c r="B777">
        <f t="shared" si="359"/>
        <v>0</v>
      </c>
      <c r="C777">
        <f t="shared" si="360"/>
        <v>7</v>
      </c>
      <c r="D777" t="str">
        <f>IF(包装物料出入库明细!$E777="","",包装物料出入库明细!$F777)</f>
        <v/>
      </c>
      <c r="E777" t="str">
        <f>IF(包装物料出入库明细!$E777="","",包装物料出入库明细!$G777)</f>
        <v/>
      </c>
      <c r="K777" t="str">
        <f>IF(包装物料出入库明细!$D777="","",包装物料出入库明细!$D777)</f>
        <v/>
      </c>
      <c r="L777">
        <f t="shared" si="361"/>
        <v>0</v>
      </c>
      <c r="M777">
        <f t="shared" si="362"/>
        <v>9</v>
      </c>
      <c r="Q777" t="str">
        <f>IF(周转筐出入库明细!$D778="","",周转筐出入库明细!$D778)</f>
        <v/>
      </c>
      <c r="R777">
        <f t="shared" si="363"/>
        <v>0</v>
      </c>
      <c r="S777">
        <f t="shared" si="364"/>
        <v>5</v>
      </c>
      <c r="W777" t="str">
        <f>IF(周转筐出入库明细!$C778="","",周转筐出入库明细!$C778)</f>
        <v/>
      </c>
      <c r="X777">
        <f t="shared" si="365"/>
        <v>0</v>
      </c>
      <c r="Y777">
        <f t="shared" si="366"/>
        <v>12</v>
      </c>
      <c r="AC777" t="str">
        <f>IF(客户自备加工筐明细!$C777="","",客户自备加工筐明细!$C777)</f>
        <v/>
      </c>
      <c r="AD777">
        <f t="shared" si="367"/>
        <v>0</v>
      </c>
      <c r="AE777">
        <f t="shared" si="368"/>
        <v>1</v>
      </c>
      <c r="AI777" t="str">
        <f>IF(客户自备加工筐明细!$E777="","",客户自备加工筐明细!$E777)</f>
        <v/>
      </c>
      <c r="AJ777">
        <f t="shared" si="369"/>
        <v>0</v>
      </c>
      <c r="AK777">
        <f t="shared" si="370"/>
        <v>1</v>
      </c>
      <c r="BS777" t="str">
        <f t="shared" si="358"/>
        <v/>
      </c>
      <c r="BT777">
        <f t="shared" si="371"/>
        <v>0</v>
      </c>
      <c r="BU777">
        <f t="shared" si="372"/>
        <v>17</v>
      </c>
      <c r="CP777">
        <f>IF(包装物料出入库明细!$D777="",0,1)</f>
        <v>0</v>
      </c>
      <c r="CQ777">
        <f t="shared" si="373"/>
        <v>37</v>
      </c>
      <c r="CS777" t="str">
        <f>IF(OR(周转筐出入库明细!$C778="",周转筐出入库明细!$F778&lt;&gt;"采购入库"),"",周转筐出入库明细!$C778)</f>
        <v/>
      </c>
      <c r="CT777">
        <f t="shared" si="374"/>
        <v>0</v>
      </c>
      <c r="CU777">
        <f t="shared" si="375"/>
        <v>1</v>
      </c>
    </row>
    <row r="778" spans="1:99">
      <c r="A778" t="str">
        <f>IF(包装物料出入库明细!$E778="","",包装物料出入库明细!$E778)</f>
        <v/>
      </c>
      <c r="B778">
        <f t="shared" si="359"/>
        <v>0</v>
      </c>
      <c r="C778">
        <f t="shared" si="360"/>
        <v>7</v>
      </c>
      <c r="D778" t="str">
        <f>IF(包装物料出入库明细!$E778="","",包装物料出入库明细!$F778)</f>
        <v/>
      </c>
      <c r="E778" t="str">
        <f>IF(包装物料出入库明细!$E778="","",包装物料出入库明细!$G778)</f>
        <v/>
      </c>
      <c r="K778" t="str">
        <f>IF(包装物料出入库明细!$D778="","",包装物料出入库明细!$D778)</f>
        <v/>
      </c>
      <c r="L778">
        <f t="shared" si="361"/>
        <v>0</v>
      </c>
      <c r="M778">
        <f t="shared" si="362"/>
        <v>9</v>
      </c>
      <c r="Q778" t="str">
        <f>IF(周转筐出入库明细!$D779="","",周转筐出入库明细!$D779)</f>
        <v/>
      </c>
      <c r="R778">
        <f t="shared" si="363"/>
        <v>0</v>
      </c>
      <c r="S778">
        <f t="shared" si="364"/>
        <v>5</v>
      </c>
      <c r="W778" t="str">
        <f>IF(周转筐出入库明细!$C779="","",周转筐出入库明细!$C779)</f>
        <v/>
      </c>
      <c r="X778">
        <f t="shared" si="365"/>
        <v>0</v>
      </c>
      <c r="Y778">
        <f t="shared" si="366"/>
        <v>12</v>
      </c>
      <c r="AC778" t="str">
        <f>IF(客户自备加工筐明细!$C778="","",客户自备加工筐明细!$C778)</f>
        <v/>
      </c>
      <c r="AD778">
        <f t="shared" si="367"/>
        <v>0</v>
      </c>
      <c r="AE778">
        <f t="shared" si="368"/>
        <v>1</v>
      </c>
      <c r="AI778" t="str">
        <f>IF(客户自备加工筐明细!$E778="","",客户自备加工筐明细!$E778)</f>
        <v/>
      </c>
      <c r="AJ778">
        <f t="shared" si="369"/>
        <v>0</v>
      </c>
      <c r="AK778">
        <f t="shared" si="370"/>
        <v>1</v>
      </c>
      <c r="BS778" t="str">
        <f t="shared" si="358"/>
        <v/>
      </c>
      <c r="BT778">
        <f t="shared" si="371"/>
        <v>0</v>
      </c>
      <c r="BU778">
        <f t="shared" si="372"/>
        <v>17</v>
      </c>
      <c r="CP778">
        <f>IF(包装物料出入库明细!$D778="",0,1)</f>
        <v>0</v>
      </c>
      <c r="CQ778">
        <f t="shared" si="373"/>
        <v>37</v>
      </c>
      <c r="CS778" t="str">
        <f>IF(OR(周转筐出入库明细!$C779="",周转筐出入库明细!$F779&lt;&gt;"采购入库"),"",周转筐出入库明细!$C779)</f>
        <v/>
      </c>
      <c r="CT778">
        <f t="shared" si="374"/>
        <v>0</v>
      </c>
      <c r="CU778">
        <f t="shared" si="375"/>
        <v>1</v>
      </c>
    </row>
    <row r="779" spans="1:99">
      <c r="A779" t="str">
        <f>IF(包装物料出入库明细!$E779="","",包装物料出入库明细!$E779)</f>
        <v/>
      </c>
      <c r="B779">
        <f t="shared" si="359"/>
        <v>0</v>
      </c>
      <c r="C779">
        <f t="shared" si="360"/>
        <v>7</v>
      </c>
      <c r="D779" t="str">
        <f>IF(包装物料出入库明细!$E779="","",包装物料出入库明细!$F779)</f>
        <v/>
      </c>
      <c r="E779" t="str">
        <f>IF(包装物料出入库明细!$E779="","",包装物料出入库明细!$G779)</f>
        <v/>
      </c>
      <c r="K779" t="str">
        <f>IF(包装物料出入库明细!$D779="","",包装物料出入库明细!$D779)</f>
        <v/>
      </c>
      <c r="L779">
        <f t="shared" si="361"/>
        <v>0</v>
      </c>
      <c r="M779">
        <f t="shared" si="362"/>
        <v>9</v>
      </c>
      <c r="Q779" t="str">
        <f>IF(周转筐出入库明细!$D780="","",周转筐出入库明细!$D780)</f>
        <v/>
      </c>
      <c r="R779">
        <f t="shared" si="363"/>
        <v>0</v>
      </c>
      <c r="S779">
        <f t="shared" si="364"/>
        <v>5</v>
      </c>
      <c r="W779" t="str">
        <f>IF(周转筐出入库明细!$C780="","",周转筐出入库明细!$C780)</f>
        <v/>
      </c>
      <c r="X779">
        <f t="shared" si="365"/>
        <v>0</v>
      </c>
      <c r="Y779">
        <f t="shared" si="366"/>
        <v>12</v>
      </c>
      <c r="AC779" t="str">
        <f>IF(客户自备加工筐明细!$C779="","",客户自备加工筐明细!$C779)</f>
        <v/>
      </c>
      <c r="AD779">
        <f t="shared" si="367"/>
        <v>0</v>
      </c>
      <c r="AE779">
        <f t="shared" si="368"/>
        <v>1</v>
      </c>
      <c r="AI779" t="str">
        <f>IF(客户自备加工筐明细!$E779="","",客户自备加工筐明细!$E779)</f>
        <v/>
      </c>
      <c r="AJ779">
        <f t="shared" si="369"/>
        <v>0</v>
      </c>
      <c r="AK779">
        <f t="shared" si="370"/>
        <v>1</v>
      </c>
      <c r="BS779" t="str">
        <f t="shared" si="358"/>
        <v/>
      </c>
      <c r="BT779">
        <f t="shared" si="371"/>
        <v>0</v>
      </c>
      <c r="BU779">
        <f t="shared" si="372"/>
        <v>17</v>
      </c>
      <c r="CP779">
        <f>IF(包装物料出入库明细!$D779="",0,1)</f>
        <v>0</v>
      </c>
      <c r="CQ779">
        <f t="shared" si="373"/>
        <v>37</v>
      </c>
      <c r="CS779" t="str">
        <f>IF(OR(周转筐出入库明细!$C780="",周转筐出入库明细!$F780&lt;&gt;"采购入库"),"",周转筐出入库明细!$C780)</f>
        <v/>
      </c>
      <c r="CT779">
        <f t="shared" si="374"/>
        <v>0</v>
      </c>
      <c r="CU779">
        <f t="shared" si="375"/>
        <v>1</v>
      </c>
    </row>
    <row r="780" spans="1:99">
      <c r="A780" t="str">
        <f>IF(包装物料出入库明细!$E780="","",包装物料出入库明细!$E780)</f>
        <v/>
      </c>
      <c r="B780">
        <f t="shared" si="359"/>
        <v>0</v>
      </c>
      <c r="C780">
        <f t="shared" si="360"/>
        <v>7</v>
      </c>
      <c r="D780" t="str">
        <f>IF(包装物料出入库明细!$E780="","",包装物料出入库明细!$F780)</f>
        <v/>
      </c>
      <c r="E780" t="str">
        <f>IF(包装物料出入库明细!$E780="","",包装物料出入库明细!$G780)</f>
        <v/>
      </c>
      <c r="K780" t="str">
        <f>IF(包装物料出入库明细!$D780="","",包装物料出入库明细!$D780)</f>
        <v/>
      </c>
      <c r="L780">
        <f t="shared" si="361"/>
        <v>0</v>
      </c>
      <c r="M780">
        <f t="shared" si="362"/>
        <v>9</v>
      </c>
      <c r="Q780" t="str">
        <f>IF(周转筐出入库明细!$D781="","",周转筐出入库明细!$D781)</f>
        <v/>
      </c>
      <c r="R780">
        <f t="shared" si="363"/>
        <v>0</v>
      </c>
      <c r="S780">
        <f t="shared" si="364"/>
        <v>5</v>
      </c>
      <c r="W780" t="str">
        <f>IF(周转筐出入库明细!$C781="","",周转筐出入库明细!$C781)</f>
        <v/>
      </c>
      <c r="X780">
        <f t="shared" si="365"/>
        <v>0</v>
      </c>
      <c r="Y780">
        <f t="shared" si="366"/>
        <v>12</v>
      </c>
      <c r="AC780" t="str">
        <f>IF(客户自备加工筐明细!$C780="","",客户自备加工筐明细!$C780)</f>
        <v/>
      </c>
      <c r="AD780">
        <f t="shared" si="367"/>
        <v>0</v>
      </c>
      <c r="AE780">
        <f t="shared" si="368"/>
        <v>1</v>
      </c>
      <c r="AI780" t="str">
        <f>IF(客户自备加工筐明细!$E780="","",客户自备加工筐明细!$E780)</f>
        <v/>
      </c>
      <c r="AJ780">
        <f t="shared" si="369"/>
        <v>0</v>
      </c>
      <c r="AK780">
        <f t="shared" si="370"/>
        <v>1</v>
      </c>
      <c r="BS780" t="str">
        <f t="shared" si="358"/>
        <v/>
      </c>
      <c r="BT780">
        <f t="shared" si="371"/>
        <v>0</v>
      </c>
      <c r="BU780">
        <f t="shared" si="372"/>
        <v>17</v>
      </c>
      <c r="CP780">
        <f>IF(包装物料出入库明细!$D780="",0,1)</f>
        <v>0</v>
      </c>
      <c r="CQ780">
        <f t="shared" si="373"/>
        <v>37</v>
      </c>
      <c r="CS780" t="str">
        <f>IF(OR(周转筐出入库明细!$C781="",周转筐出入库明细!$F781&lt;&gt;"采购入库"),"",周转筐出入库明细!$C781)</f>
        <v/>
      </c>
      <c r="CT780">
        <f t="shared" si="374"/>
        <v>0</v>
      </c>
      <c r="CU780">
        <f t="shared" si="375"/>
        <v>1</v>
      </c>
    </row>
    <row r="781" spans="1:99">
      <c r="A781" t="str">
        <f>IF(包装物料出入库明细!$E781="","",包装物料出入库明细!$E781)</f>
        <v/>
      </c>
      <c r="B781">
        <f t="shared" si="359"/>
        <v>0</v>
      </c>
      <c r="C781">
        <f t="shared" si="360"/>
        <v>7</v>
      </c>
      <c r="D781" t="str">
        <f>IF(包装物料出入库明细!$E781="","",包装物料出入库明细!$F781)</f>
        <v/>
      </c>
      <c r="E781" t="str">
        <f>IF(包装物料出入库明细!$E781="","",包装物料出入库明细!$G781)</f>
        <v/>
      </c>
      <c r="K781" t="str">
        <f>IF(包装物料出入库明细!$D781="","",包装物料出入库明细!$D781)</f>
        <v/>
      </c>
      <c r="L781">
        <f t="shared" si="361"/>
        <v>0</v>
      </c>
      <c r="M781">
        <f t="shared" si="362"/>
        <v>9</v>
      </c>
      <c r="Q781" t="str">
        <f>IF(周转筐出入库明细!$D782="","",周转筐出入库明细!$D782)</f>
        <v/>
      </c>
      <c r="R781">
        <f t="shared" si="363"/>
        <v>0</v>
      </c>
      <c r="S781">
        <f t="shared" si="364"/>
        <v>5</v>
      </c>
      <c r="W781" t="str">
        <f>IF(周转筐出入库明细!$C782="","",周转筐出入库明细!$C782)</f>
        <v/>
      </c>
      <c r="X781">
        <f t="shared" si="365"/>
        <v>0</v>
      </c>
      <c r="Y781">
        <f t="shared" si="366"/>
        <v>12</v>
      </c>
      <c r="AC781" t="str">
        <f>IF(客户自备加工筐明细!$C781="","",客户自备加工筐明细!$C781)</f>
        <v/>
      </c>
      <c r="AD781">
        <f t="shared" si="367"/>
        <v>0</v>
      </c>
      <c r="AE781">
        <f t="shared" si="368"/>
        <v>1</v>
      </c>
      <c r="AI781" t="str">
        <f>IF(客户自备加工筐明细!$E781="","",客户自备加工筐明细!$E781)</f>
        <v/>
      </c>
      <c r="AJ781">
        <f t="shared" si="369"/>
        <v>0</v>
      </c>
      <c r="AK781">
        <f t="shared" si="370"/>
        <v>1</v>
      </c>
      <c r="BS781" t="str">
        <f t="shared" si="358"/>
        <v/>
      </c>
      <c r="BT781">
        <f t="shared" si="371"/>
        <v>0</v>
      </c>
      <c r="BU781">
        <f t="shared" si="372"/>
        <v>17</v>
      </c>
      <c r="CP781">
        <f>IF(包装物料出入库明细!$D781="",0,1)</f>
        <v>0</v>
      </c>
      <c r="CQ781">
        <f t="shared" si="373"/>
        <v>37</v>
      </c>
      <c r="CS781" t="str">
        <f>IF(OR(周转筐出入库明细!$C782="",周转筐出入库明细!$F782&lt;&gt;"采购入库"),"",周转筐出入库明细!$C782)</f>
        <v/>
      </c>
      <c r="CT781">
        <f t="shared" si="374"/>
        <v>0</v>
      </c>
      <c r="CU781">
        <f t="shared" si="375"/>
        <v>1</v>
      </c>
    </row>
    <row r="782" spans="1:99">
      <c r="A782" t="str">
        <f>IF(包装物料出入库明细!$E782="","",包装物料出入库明细!$E782)</f>
        <v/>
      </c>
      <c r="B782">
        <f t="shared" si="359"/>
        <v>0</v>
      </c>
      <c r="C782">
        <f t="shared" si="360"/>
        <v>7</v>
      </c>
      <c r="D782" t="str">
        <f>IF(包装物料出入库明细!$E782="","",包装物料出入库明细!$F782)</f>
        <v/>
      </c>
      <c r="E782" t="str">
        <f>IF(包装物料出入库明细!$E782="","",包装物料出入库明细!$G782)</f>
        <v/>
      </c>
      <c r="K782" t="str">
        <f>IF(包装物料出入库明细!$D782="","",包装物料出入库明细!$D782)</f>
        <v/>
      </c>
      <c r="L782">
        <f t="shared" si="361"/>
        <v>0</v>
      </c>
      <c r="M782">
        <f t="shared" si="362"/>
        <v>9</v>
      </c>
      <c r="Q782" t="str">
        <f>IF(周转筐出入库明细!$D783="","",周转筐出入库明细!$D783)</f>
        <v/>
      </c>
      <c r="R782">
        <f t="shared" si="363"/>
        <v>0</v>
      </c>
      <c r="S782">
        <f t="shared" si="364"/>
        <v>5</v>
      </c>
      <c r="W782" t="str">
        <f>IF(周转筐出入库明细!$C783="","",周转筐出入库明细!$C783)</f>
        <v/>
      </c>
      <c r="X782">
        <f t="shared" si="365"/>
        <v>0</v>
      </c>
      <c r="Y782">
        <f t="shared" si="366"/>
        <v>12</v>
      </c>
      <c r="AC782" t="str">
        <f>IF(客户自备加工筐明细!$C782="","",客户自备加工筐明细!$C782)</f>
        <v/>
      </c>
      <c r="AD782">
        <f t="shared" si="367"/>
        <v>0</v>
      </c>
      <c r="AE782">
        <f t="shared" si="368"/>
        <v>1</v>
      </c>
      <c r="AI782" t="str">
        <f>IF(客户自备加工筐明细!$E782="","",客户自备加工筐明细!$E782)</f>
        <v/>
      </c>
      <c r="AJ782">
        <f t="shared" si="369"/>
        <v>0</v>
      </c>
      <c r="AK782">
        <f t="shared" si="370"/>
        <v>1</v>
      </c>
      <c r="BS782" t="str">
        <f t="shared" si="358"/>
        <v/>
      </c>
      <c r="BT782">
        <f t="shared" si="371"/>
        <v>0</v>
      </c>
      <c r="BU782">
        <f t="shared" si="372"/>
        <v>17</v>
      </c>
      <c r="CP782">
        <f>IF(包装物料出入库明细!$D782="",0,1)</f>
        <v>0</v>
      </c>
      <c r="CQ782">
        <f t="shared" si="373"/>
        <v>37</v>
      </c>
      <c r="CS782" t="str">
        <f>IF(OR(周转筐出入库明细!$C783="",周转筐出入库明细!$F783&lt;&gt;"采购入库"),"",周转筐出入库明细!$C783)</f>
        <v/>
      </c>
      <c r="CT782">
        <f t="shared" si="374"/>
        <v>0</v>
      </c>
      <c r="CU782">
        <f t="shared" si="375"/>
        <v>1</v>
      </c>
    </row>
    <row r="783" spans="1:99">
      <c r="A783" t="str">
        <f>IF(包装物料出入库明细!$E783="","",包装物料出入库明细!$E783)</f>
        <v/>
      </c>
      <c r="B783">
        <f t="shared" si="359"/>
        <v>0</v>
      </c>
      <c r="C783">
        <f t="shared" si="360"/>
        <v>7</v>
      </c>
      <c r="D783" t="str">
        <f>IF(包装物料出入库明细!$E783="","",包装物料出入库明细!$F783)</f>
        <v/>
      </c>
      <c r="E783" t="str">
        <f>IF(包装物料出入库明细!$E783="","",包装物料出入库明细!$G783)</f>
        <v/>
      </c>
      <c r="K783" t="str">
        <f>IF(包装物料出入库明细!$D783="","",包装物料出入库明细!$D783)</f>
        <v/>
      </c>
      <c r="L783">
        <f t="shared" si="361"/>
        <v>0</v>
      </c>
      <c r="M783">
        <f t="shared" si="362"/>
        <v>9</v>
      </c>
      <c r="Q783" t="str">
        <f>IF(周转筐出入库明细!$D784="","",周转筐出入库明细!$D784)</f>
        <v/>
      </c>
      <c r="R783">
        <f t="shared" si="363"/>
        <v>0</v>
      </c>
      <c r="S783">
        <f t="shared" si="364"/>
        <v>5</v>
      </c>
      <c r="W783" t="str">
        <f>IF(周转筐出入库明细!$C784="","",周转筐出入库明细!$C784)</f>
        <v/>
      </c>
      <c r="X783">
        <f t="shared" si="365"/>
        <v>0</v>
      </c>
      <c r="Y783">
        <f t="shared" si="366"/>
        <v>12</v>
      </c>
      <c r="AC783" t="str">
        <f>IF(客户自备加工筐明细!$C783="","",客户自备加工筐明细!$C783)</f>
        <v/>
      </c>
      <c r="AD783">
        <f t="shared" si="367"/>
        <v>0</v>
      </c>
      <c r="AE783">
        <f t="shared" si="368"/>
        <v>1</v>
      </c>
      <c r="AI783" t="str">
        <f>IF(客户自备加工筐明细!$E783="","",客户自备加工筐明细!$E783)</f>
        <v/>
      </c>
      <c r="AJ783">
        <f t="shared" si="369"/>
        <v>0</v>
      </c>
      <c r="AK783">
        <f t="shared" si="370"/>
        <v>1</v>
      </c>
      <c r="BS783" t="str">
        <f t="shared" si="358"/>
        <v/>
      </c>
      <c r="BT783">
        <f t="shared" si="371"/>
        <v>0</v>
      </c>
      <c r="BU783">
        <f t="shared" si="372"/>
        <v>17</v>
      </c>
      <c r="CP783">
        <f>IF(包装物料出入库明细!$D783="",0,1)</f>
        <v>0</v>
      </c>
      <c r="CQ783">
        <f t="shared" si="373"/>
        <v>37</v>
      </c>
      <c r="CS783" t="str">
        <f>IF(OR(周转筐出入库明细!$C784="",周转筐出入库明细!$F784&lt;&gt;"采购入库"),"",周转筐出入库明细!$C784)</f>
        <v/>
      </c>
      <c r="CT783">
        <f t="shared" si="374"/>
        <v>0</v>
      </c>
      <c r="CU783">
        <f t="shared" si="375"/>
        <v>1</v>
      </c>
    </row>
    <row r="784" spans="1:99">
      <c r="A784" t="str">
        <f>IF(包装物料出入库明细!$E784="","",包装物料出入库明细!$E784)</f>
        <v/>
      </c>
      <c r="B784">
        <f t="shared" si="359"/>
        <v>0</v>
      </c>
      <c r="C784">
        <f t="shared" si="360"/>
        <v>7</v>
      </c>
      <c r="D784" t="str">
        <f>IF(包装物料出入库明细!$E784="","",包装物料出入库明细!$F784)</f>
        <v/>
      </c>
      <c r="E784" t="str">
        <f>IF(包装物料出入库明细!$E784="","",包装物料出入库明细!$G784)</f>
        <v/>
      </c>
      <c r="K784" t="str">
        <f>IF(包装物料出入库明细!$D784="","",包装物料出入库明细!$D784)</f>
        <v/>
      </c>
      <c r="L784">
        <f t="shared" si="361"/>
        <v>0</v>
      </c>
      <c r="M784">
        <f t="shared" si="362"/>
        <v>9</v>
      </c>
      <c r="Q784" t="str">
        <f>IF(周转筐出入库明细!$D785="","",周转筐出入库明细!$D785)</f>
        <v/>
      </c>
      <c r="R784">
        <f t="shared" si="363"/>
        <v>0</v>
      </c>
      <c r="S784">
        <f t="shared" si="364"/>
        <v>5</v>
      </c>
      <c r="W784" t="str">
        <f>IF(周转筐出入库明细!$C785="","",周转筐出入库明细!$C785)</f>
        <v/>
      </c>
      <c r="X784">
        <f t="shared" si="365"/>
        <v>0</v>
      </c>
      <c r="Y784">
        <f t="shared" si="366"/>
        <v>12</v>
      </c>
      <c r="AC784" t="str">
        <f>IF(客户自备加工筐明细!$C784="","",客户自备加工筐明细!$C784)</f>
        <v/>
      </c>
      <c r="AD784">
        <f t="shared" si="367"/>
        <v>0</v>
      </c>
      <c r="AE784">
        <f t="shared" si="368"/>
        <v>1</v>
      </c>
      <c r="AI784" t="str">
        <f>IF(客户自备加工筐明细!$E784="","",客户自备加工筐明细!$E784)</f>
        <v/>
      </c>
      <c r="AJ784">
        <f t="shared" si="369"/>
        <v>0</v>
      </c>
      <c r="AK784">
        <f t="shared" si="370"/>
        <v>1</v>
      </c>
      <c r="BS784" t="str">
        <f t="shared" si="358"/>
        <v/>
      </c>
      <c r="BT784">
        <f t="shared" si="371"/>
        <v>0</v>
      </c>
      <c r="BU784">
        <f t="shared" si="372"/>
        <v>17</v>
      </c>
      <c r="CP784">
        <f>IF(包装物料出入库明细!$D784="",0,1)</f>
        <v>0</v>
      </c>
      <c r="CQ784">
        <f t="shared" si="373"/>
        <v>37</v>
      </c>
      <c r="CS784" t="str">
        <f>IF(OR(周转筐出入库明细!$C785="",周转筐出入库明细!$F785&lt;&gt;"采购入库"),"",周转筐出入库明细!$C785)</f>
        <v/>
      </c>
      <c r="CT784">
        <f t="shared" si="374"/>
        <v>0</v>
      </c>
      <c r="CU784">
        <f t="shared" si="375"/>
        <v>1</v>
      </c>
    </row>
    <row r="785" spans="1:99">
      <c r="A785" t="str">
        <f>IF(包装物料出入库明细!$E785="","",包装物料出入库明细!$E785)</f>
        <v/>
      </c>
      <c r="B785">
        <f t="shared" si="359"/>
        <v>0</v>
      </c>
      <c r="C785">
        <f t="shared" si="360"/>
        <v>7</v>
      </c>
      <c r="D785" t="str">
        <f>IF(包装物料出入库明细!$E785="","",包装物料出入库明细!$F785)</f>
        <v/>
      </c>
      <c r="E785" t="str">
        <f>IF(包装物料出入库明细!$E785="","",包装物料出入库明细!$G785)</f>
        <v/>
      </c>
      <c r="K785" t="str">
        <f>IF(包装物料出入库明细!$D785="","",包装物料出入库明细!$D785)</f>
        <v/>
      </c>
      <c r="L785">
        <f t="shared" si="361"/>
        <v>0</v>
      </c>
      <c r="M785">
        <f t="shared" si="362"/>
        <v>9</v>
      </c>
      <c r="Q785" t="str">
        <f>IF(周转筐出入库明细!$D786="","",周转筐出入库明细!$D786)</f>
        <v/>
      </c>
      <c r="R785">
        <f t="shared" si="363"/>
        <v>0</v>
      </c>
      <c r="S785">
        <f t="shared" si="364"/>
        <v>5</v>
      </c>
      <c r="W785" t="str">
        <f>IF(周转筐出入库明细!$C786="","",周转筐出入库明细!$C786)</f>
        <v/>
      </c>
      <c r="X785">
        <f t="shared" si="365"/>
        <v>0</v>
      </c>
      <c r="Y785">
        <f t="shared" si="366"/>
        <v>12</v>
      </c>
      <c r="AC785" t="str">
        <f>IF(客户自备加工筐明细!$C785="","",客户自备加工筐明细!$C785)</f>
        <v/>
      </c>
      <c r="AD785">
        <f t="shared" si="367"/>
        <v>0</v>
      </c>
      <c r="AE785">
        <f t="shared" si="368"/>
        <v>1</v>
      </c>
      <c r="AI785" t="str">
        <f>IF(客户自备加工筐明细!$E785="","",客户自备加工筐明细!$E785)</f>
        <v/>
      </c>
      <c r="AJ785">
        <f t="shared" si="369"/>
        <v>0</v>
      </c>
      <c r="AK785">
        <f t="shared" si="370"/>
        <v>1</v>
      </c>
      <c r="BS785" t="str">
        <f t="shared" si="358"/>
        <v/>
      </c>
      <c r="BT785">
        <f t="shared" si="371"/>
        <v>0</v>
      </c>
      <c r="BU785">
        <f t="shared" si="372"/>
        <v>17</v>
      </c>
      <c r="CP785">
        <f>IF(包装物料出入库明细!$D785="",0,1)</f>
        <v>0</v>
      </c>
      <c r="CQ785">
        <f t="shared" si="373"/>
        <v>37</v>
      </c>
      <c r="CS785" t="str">
        <f>IF(OR(周转筐出入库明细!$C786="",周转筐出入库明细!$F786&lt;&gt;"采购入库"),"",周转筐出入库明细!$C786)</f>
        <v/>
      </c>
      <c r="CT785">
        <f t="shared" si="374"/>
        <v>0</v>
      </c>
      <c r="CU785">
        <f t="shared" si="375"/>
        <v>1</v>
      </c>
    </row>
    <row r="786" spans="1:99">
      <c r="A786" t="str">
        <f>IF(包装物料出入库明细!$E786="","",包装物料出入库明细!$E786)</f>
        <v/>
      </c>
      <c r="B786">
        <f t="shared" si="359"/>
        <v>0</v>
      </c>
      <c r="C786">
        <f t="shared" si="360"/>
        <v>7</v>
      </c>
      <c r="D786" t="str">
        <f>IF(包装物料出入库明细!$E786="","",包装物料出入库明细!$F786)</f>
        <v/>
      </c>
      <c r="E786" t="str">
        <f>IF(包装物料出入库明细!$E786="","",包装物料出入库明细!$G786)</f>
        <v/>
      </c>
      <c r="K786" t="str">
        <f>IF(包装物料出入库明细!$D786="","",包装物料出入库明细!$D786)</f>
        <v/>
      </c>
      <c r="L786">
        <f t="shared" si="361"/>
        <v>0</v>
      </c>
      <c r="M786">
        <f t="shared" si="362"/>
        <v>9</v>
      </c>
      <c r="Q786" t="str">
        <f>IF(周转筐出入库明细!$D787="","",周转筐出入库明细!$D787)</f>
        <v/>
      </c>
      <c r="R786">
        <f t="shared" si="363"/>
        <v>0</v>
      </c>
      <c r="S786">
        <f t="shared" si="364"/>
        <v>5</v>
      </c>
      <c r="W786" t="str">
        <f>IF(周转筐出入库明细!$C787="","",周转筐出入库明细!$C787)</f>
        <v/>
      </c>
      <c r="X786">
        <f t="shared" si="365"/>
        <v>0</v>
      </c>
      <c r="Y786">
        <f t="shared" si="366"/>
        <v>12</v>
      </c>
      <c r="AC786" t="str">
        <f>IF(客户自备加工筐明细!$C786="","",客户自备加工筐明细!$C786)</f>
        <v/>
      </c>
      <c r="AD786">
        <f t="shared" si="367"/>
        <v>0</v>
      </c>
      <c r="AE786">
        <f t="shared" si="368"/>
        <v>1</v>
      </c>
      <c r="AI786" t="str">
        <f>IF(客户自备加工筐明细!$E786="","",客户自备加工筐明细!$E786)</f>
        <v/>
      </c>
      <c r="AJ786">
        <f t="shared" si="369"/>
        <v>0</v>
      </c>
      <c r="AK786">
        <f t="shared" si="370"/>
        <v>1</v>
      </c>
      <c r="BS786" t="str">
        <f t="shared" si="358"/>
        <v/>
      </c>
      <c r="BT786">
        <f t="shared" si="371"/>
        <v>0</v>
      </c>
      <c r="BU786">
        <f t="shared" si="372"/>
        <v>17</v>
      </c>
      <c r="CP786">
        <f>IF(包装物料出入库明细!$D786="",0,1)</f>
        <v>0</v>
      </c>
      <c r="CQ786">
        <f t="shared" si="373"/>
        <v>37</v>
      </c>
      <c r="CS786" t="str">
        <f>IF(OR(周转筐出入库明细!$C787="",周转筐出入库明细!$F787&lt;&gt;"采购入库"),"",周转筐出入库明细!$C787)</f>
        <v/>
      </c>
      <c r="CT786">
        <f t="shared" si="374"/>
        <v>0</v>
      </c>
      <c r="CU786">
        <f t="shared" si="375"/>
        <v>1</v>
      </c>
    </row>
    <row r="787" spans="1:99">
      <c r="A787" t="str">
        <f>IF(包装物料出入库明细!$E787="","",包装物料出入库明细!$E787)</f>
        <v/>
      </c>
      <c r="B787">
        <f t="shared" si="359"/>
        <v>0</v>
      </c>
      <c r="C787">
        <f t="shared" si="360"/>
        <v>7</v>
      </c>
      <c r="D787" t="str">
        <f>IF(包装物料出入库明细!$E787="","",包装物料出入库明细!$F787)</f>
        <v/>
      </c>
      <c r="E787" t="str">
        <f>IF(包装物料出入库明细!$E787="","",包装物料出入库明细!$G787)</f>
        <v/>
      </c>
      <c r="K787" t="str">
        <f>IF(包装物料出入库明细!$D787="","",包装物料出入库明细!$D787)</f>
        <v/>
      </c>
      <c r="L787">
        <f t="shared" si="361"/>
        <v>0</v>
      </c>
      <c r="M787">
        <f t="shared" si="362"/>
        <v>9</v>
      </c>
      <c r="Q787" t="str">
        <f>IF(周转筐出入库明细!$D788="","",周转筐出入库明细!$D788)</f>
        <v/>
      </c>
      <c r="R787">
        <f t="shared" si="363"/>
        <v>0</v>
      </c>
      <c r="S787">
        <f t="shared" si="364"/>
        <v>5</v>
      </c>
      <c r="W787" t="str">
        <f>IF(周转筐出入库明细!$C788="","",周转筐出入库明细!$C788)</f>
        <v/>
      </c>
      <c r="X787">
        <f t="shared" si="365"/>
        <v>0</v>
      </c>
      <c r="Y787">
        <f t="shared" si="366"/>
        <v>12</v>
      </c>
      <c r="AC787" t="str">
        <f>IF(客户自备加工筐明细!$C787="","",客户自备加工筐明细!$C787)</f>
        <v/>
      </c>
      <c r="AD787">
        <f t="shared" si="367"/>
        <v>0</v>
      </c>
      <c r="AE787">
        <f t="shared" si="368"/>
        <v>1</v>
      </c>
      <c r="AI787" t="str">
        <f>IF(客户自备加工筐明细!$E787="","",客户自备加工筐明细!$E787)</f>
        <v/>
      </c>
      <c r="AJ787">
        <f t="shared" si="369"/>
        <v>0</v>
      </c>
      <c r="AK787">
        <f t="shared" si="370"/>
        <v>1</v>
      </c>
      <c r="BS787" t="str">
        <f t="shared" si="358"/>
        <v/>
      </c>
      <c r="BT787">
        <f t="shared" si="371"/>
        <v>0</v>
      </c>
      <c r="BU787">
        <f t="shared" si="372"/>
        <v>17</v>
      </c>
      <c r="CP787">
        <f>IF(包装物料出入库明细!$D787="",0,1)</f>
        <v>0</v>
      </c>
      <c r="CQ787">
        <f t="shared" si="373"/>
        <v>37</v>
      </c>
      <c r="CS787" t="str">
        <f>IF(OR(周转筐出入库明细!$C788="",周转筐出入库明细!$F788&lt;&gt;"采购入库"),"",周转筐出入库明细!$C788)</f>
        <v/>
      </c>
      <c r="CT787">
        <f t="shared" si="374"/>
        <v>0</v>
      </c>
      <c r="CU787">
        <f t="shared" si="375"/>
        <v>1</v>
      </c>
    </row>
    <row r="788" spans="1:99">
      <c r="A788" t="str">
        <f>IF(包装物料出入库明细!$E788="","",包装物料出入库明细!$E788)</f>
        <v/>
      </c>
      <c r="B788">
        <f t="shared" si="359"/>
        <v>0</v>
      </c>
      <c r="C788">
        <f t="shared" si="360"/>
        <v>7</v>
      </c>
      <c r="D788" t="str">
        <f>IF(包装物料出入库明细!$E788="","",包装物料出入库明细!$F788)</f>
        <v/>
      </c>
      <c r="E788" t="str">
        <f>IF(包装物料出入库明细!$E788="","",包装物料出入库明细!$G788)</f>
        <v/>
      </c>
      <c r="K788" t="str">
        <f>IF(包装物料出入库明细!$D788="","",包装物料出入库明细!$D788)</f>
        <v/>
      </c>
      <c r="L788">
        <f t="shared" si="361"/>
        <v>0</v>
      </c>
      <c r="M788">
        <f t="shared" si="362"/>
        <v>9</v>
      </c>
      <c r="Q788" t="str">
        <f>IF(周转筐出入库明细!$D789="","",周转筐出入库明细!$D789)</f>
        <v/>
      </c>
      <c r="R788">
        <f t="shared" si="363"/>
        <v>0</v>
      </c>
      <c r="S788">
        <f t="shared" si="364"/>
        <v>5</v>
      </c>
      <c r="W788" t="str">
        <f>IF(周转筐出入库明细!$C789="","",周转筐出入库明细!$C789)</f>
        <v/>
      </c>
      <c r="X788">
        <f t="shared" si="365"/>
        <v>0</v>
      </c>
      <c r="Y788">
        <f t="shared" si="366"/>
        <v>12</v>
      </c>
      <c r="AC788" t="str">
        <f>IF(客户自备加工筐明细!$C788="","",客户自备加工筐明细!$C788)</f>
        <v/>
      </c>
      <c r="AD788">
        <f t="shared" si="367"/>
        <v>0</v>
      </c>
      <c r="AE788">
        <f t="shared" si="368"/>
        <v>1</v>
      </c>
      <c r="AI788" t="str">
        <f>IF(客户自备加工筐明细!$E788="","",客户自备加工筐明细!$E788)</f>
        <v/>
      </c>
      <c r="AJ788">
        <f t="shared" si="369"/>
        <v>0</v>
      </c>
      <c r="AK788">
        <f t="shared" si="370"/>
        <v>1</v>
      </c>
      <c r="BS788" t="str">
        <f t="shared" si="358"/>
        <v/>
      </c>
      <c r="BT788">
        <f t="shared" si="371"/>
        <v>0</v>
      </c>
      <c r="BU788">
        <f t="shared" si="372"/>
        <v>17</v>
      </c>
      <c r="CP788">
        <f>IF(包装物料出入库明细!$D788="",0,1)</f>
        <v>0</v>
      </c>
      <c r="CQ788">
        <f t="shared" si="373"/>
        <v>37</v>
      </c>
      <c r="CS788" t="str">
        <f>IF(OR(周转筐出入库明细!$C789="",周转筐出入库明细!$F789&lt;&gt;"采购入库"),"",周转筐出入库明细!$C789)</f>
        <v/>
      </c>
      <c r="CT788">
        <f t="shared" si="374"/>
        <v>0</v>
      </c>
      <c r="CU788">
        <f t="shared" si="375"/>
        <v>1</v>
      </c>
    </row>
    <row r="789" spans="1:99">
      <c r="A789" t="str">
        <f>IF(包装物料出入库明细!$E789="","",包装物料出入库明细!$E789)</f>
        <v/>
      </c>
      <c r="B789">
        <f t="shared" si="359"/>
        <v>0</v>
      </c>
      <c r="C789">
        <f t="shared" si="360"/>
        <v>7</v>
      </c>
      <c r="D789" t="str">
        <f>IF(包装物料出入库明细!$E789="","",包装物料出入库明细!$F789)</f>
        <v/>
      </c>
      <c r="E789" t="str">
        <f>IF(包装物料出入库明细!$E789="","",包装物料出入库明细!$G789)</f>
        <v/>
      </c>
      <c r="K789" t="str">
        <f>IF(包装物料出入库明细!$D789="","",包装物料出入库明细!$D789)</f>
        <v/>
      </c>
      <c r="L789">
        <f t="shared" si="361"/>
        <v>0</v>
      </c>
      <c r="M789">
        <f t="shared" si="362"/>
        <v>9</v>
      </c>
      <c r="Q789" t="str">
        <f>IF(周转筐出入库明细!$D790="","",周转筐出入库明细!$D790)</f>
        <v/>
      </c>
      <c r="R789">
        <f t="shared" si="363"/>
        <v>0</v>
      </c>
      <c r="S789">
        <f t="shared" si="364"/>
        <v>5</v>
      </c>
      <c r="W789" t="str">
        <f>IF(周转筐出入库明细!$C790="","",周转筐出入库明细!$C790)</f>
        <v/>
      </c>
      <c r="X789">
        <f t="shared" si="365"/>
        <v>0</v>
      </c>
      <c r="Y789">
        <f t="shared" si="366"/>
        <v>12</v>
      </c>
      <c r="AC789" t="str">
        <f>IF(客户自备加工筐明细!$C789="","",客户自备加工筐明细!$C789)</f>
        <v/>
      </c>
      <c r="AD789">
        <f t="shared" si="367"/>
        <v>0</v>
      </c>
      <c r="AE789">
        <f t="shared" si="368"/>
        <v>1</v>
      </c>
      <c r="AI789" t="str">
        <f>IF(客户自备加工筐明细!$E789="","",客户自备加工筐明细!$E789)</f>
        <v/>
      </c>
      <c r="AJ789">
        <f t="shared" si="369"/>
        <v>0</v>
      </c>
      <c r="AK789">
        <f t="shared" si="370"/>
        <v>1</v>
      </c>
      <c r="BS789" t="str">
        <f t="shared" si="358"/>
        <v/>
      </c>
      <c r="BT789">
        <f t="shared" si="371"/>
        <v>0</v>
      </c>
      <c r="BU789">
        <f t="shared" si="372"/>
        <v>17</v>
      </c>
      <c r="CP789">
        <f>IF(包装物料出入库明细!$D789="",0,1)</f>
        <v>0</v>
      </c>
      <c r="CQ789">
        <f t="shared" si="373"/>
        <v>37</v>
      </c>
      <c r="CS789" t="str">
        <f>IF(OR(周转筐出入库明细!$C790="",周转筐出入库明细!$F790&lt;&gt;"采购入库"),"",周转筐出入库明细!$C790)</f>
        <v/>
      </c>
      <c r="CT789">
        <f t="shared" si="374"/>
        <v>0</v>
      </c>
      <c r="CU789">
        <f t="shared" si="375"/>
        <v>1</v>
      </c>
    </row>
    <row r="790" spans="1:99">
      <c r="A790" t="str">
        <f>IF(包装物料出入库明细!$E790="","",包装物料出入库明细!$E790)</f>
        <v/>
      </c>
      <c r="B790">
        <f t="shared" si="359"/>
        <v>0</v>
      </c>
      <c r="C790">
        <f t="shared" si="360"/>
        <v>7</v>
      </c>
      <c r="D790" t="str">
        <f>IF(包装物料出入库明细!$E790="","",包装物料出入库明细!$F790)</f>
        <v/>
      </c>
      <c r="E790" t="str">
        <f>IF(包装物料出入库明细!$E790="","",包装物料出入库明细!$G790)</f>
        <v/>
      </c>
      <c r="K790" t="str">
        <f>IF(包装物料出入库明细!$D790="","",包装物料出入库明细!$D790)</f>
        <v/>
      </c>
      <c r="L790">
        <f t="shared" si="361"/>
        <v>0</v>
      </c>
      <c r="M790">
        <f t="shared" si="362"/>
        <v>9</v>
      </c>
      <c r="Q790" t="str">
        <f>IF(周转筐出入库明细!$D791="","",周转筐出入库明细!$D791)</f>
        <v/>
      </c>
      <c r="R790">
        <f t="shared" si="363"/>
        <v>0</v>
      </c>
      <c r="S790">
        <f t="shared" si="364"/>
        <v>5</v>
      </c>
      <c r="W790" t="str">
        <f>IF(周转筐出入库明细!$C791="","",周转筐出入库明细!$C791)</f>
        <v/>
      </c>
      <c r="X790">
        <f t="shared" si="365"/>
        <v>0</v>
      </c>
      <c r="Y790">
        <f t="shared" si="366"/>
        <v>12</v>
      </c>
      <c r="AC790" t="str">
        <f>IF(客户自备加工筐明细!$C790="","",客户自备加工筐明细!$C790)</f>
        <v/>
      </c>
      <c r="AD790">
        <f t="shared" si="367"/>
        <v>0</v>
      </c>
      <c r="AE790">
        <f t="shared" si="368"/>
        <v>1</v>
      </c>
      <c r="AI790" t="str">
        <f>IF(客户自备加工筐明细!$E790="","",客户自备加工筐明细!$E790)</f>
        <v/>
      </c>
      <c r="AJ790">
        <f t="shared" si="369"/>
        <v>0</v>
      </c>
      <c r="AK790">
        <f t="shared" si="370"/>
        <v>1</v>
      </c>
      <c r="BS790" t="str">
        <f t="shared" si="358"/>
        <v/>
      </c>
      <c r="BT790">
        <f t="shared" si="371"/>
        <v>0</v>
      </c>
      <c r="BU790">
        <f t="shared" si="372"/>
        <v>17</v>
      </c>
      <c r="CP790">
        <f>IF(包装物料出入库明细!$D790="",0,1)</f>
        <v>0</v>
      </c>
      <c r="CQ790">
        <f t="shared" si="373"/>
        <v>37</v>
      </c>
      <c r="CS790" t="str">
        <f>IF(OR(周转筐出入库明细!$C791="",周转筐出入库明细!$F791&lt;&gt;"采购入库"),"",周转筐出入库明细!$C791)</f>
        <v/>
      </c>
      <c r="CT790">
        <f t="shared" si="374"/>
        <v>0</v>
      </c>
      <c r="CU790">
        <f t="shared" si="375"/>
        <v>1</v>
      </c>
    </row>
    <row r="791" spans="1:99">
      <c r="A791" t="str">
        <f>IF(包装物料出入库明细!$E791="","",包装物料出入库明细!$E791)</f>
        <v/>
      </c>
      <c r="B791">
        <f t="shared" si="359"/>
        <v>0</v>
      </c>
      <c r="C791">
        <f t="shared" si="360"/>
        <v>7</v>
      </c>
      <c r="D791" t="str">
        <f>IF(包装物料出入库明细!$E791="","",包装物料出入库明细!$F791)</f>
        <v/>
      </c>
      <c r="E791" t="str">
        <f>IF(包装物料出入库明细!$E791="","",包装物料出入库明细!$G791)</f>
        <v/>
      </c>
      <c r="K791" t="str">
        <f>IF(包装物料出入库明细!$D791="","",包装物料出入库明细!$D791)</f>
        <v/>
      </c>
      <c r="L791">
        <f t="shared" si="361"/>
        <v>0</v>
      </c>
      <c r="M791">
        <f t="shared" si="362"/>
        <v>9</v>
      </c>
      <c r="Q791" t="str">
        <f>IF(周转筐出入库明细!$D792="","",周转筐出入库明细!$D792)</f>
        <v/>
      </c>
      <c r="R791">
        <f t="shared" si="363"/>
        <v>0</v>
      </c>
      <c r="S791">
        <f t="shared" si="364"/>
        <v>5</v>
      </c>
      <c r="W791" t="str">
        <f>IF(周转筐出入库明细!$C792="","",周转筐出入库明细!$C792)</f>
        <v/>
      </c>
      <c r="X791">
        <f t="shared" si="365"/>
        <v>0</v>
      </c>
      <c r="Y791">
        <f t="shared" si="366"/>
        <v>12</v>
      </c>
      <c r="AC791" t="str">
        <f>IF(客户自备加工筐明细!$C791="","",客户自备加工筐明细!$C791)</f>
        <v/>
      </c>
      <c r="AD791">
        <f t="shared" si="367"/>
        <v>0</v>
      </c>
      <c r="AE791">
        <f t="shared" si="368"/>
        <v>1</v>
      </c>
      <c r="AI791" t="str">
        <f>IF(客户自备加工筐明细!$E791="","",客户自备加工筐明细!$E791)</f>
        <v/>
      </c>
      <c r="AJ791">
        <f t="shared" si="369"/>
        <v>0</v>
      </c>
      <c r="AK791">
        <f t="shared" si="370"/>
        <v>1</v>
      </c>
      <c r="BS791" t="str">
        <f t="shared" si="358"/>
        <v/>
      </c>
      <c r="BT791">
        <f t="shared" si="371"/>
        <v>0</v>
      </c>
      <c r="BU791">
        <f t="shared" si="372"/>
        <v>17</v>
      </c>
      <c r="CP791">
        <f>IF(包装物料出入库明细!$D791="",0,1)</f>
        <v>0</v>
      </c>
      <c r="CQ791">
        <f t="shared" si="373"/>
        <v>37</v>
      </c>
      <c r="CS791" t="str">
        <f>IF(OR(周转筐出入库明细!$C792="",周转筐出入库明细!$F792&lt;&gt;"采购入库"),"",周转筐出入库明细!$C792)</f>
        <v/>
      </c>
      <c r="CT791">
        <f t="shared" si="374"/>
        <v>0</v>
      </c>
      <c r="CU791">
        <f t="shared" si="375"/>
        <v>1</v>
      </c>
    </row>
    <row r="792" spans="1:99">
      <c r="A792" t="str">
        <f>IF(包装物料出入库明细!$E792="","",包装物料出入库明细!$E792)</f>
        <v/>
      </c>
      <c r="B792">
        <f t="shared" si="359"/>
        <v>0</v>
      </c>
      <c r="C792">
        <f t="shared" si="360"/>
        <v>7</v>
      </c>
      <c r="D792" t="str">
        <f>IF(包装物料出入库明细!$E792="","",包装物料出入库明细!$F792)</f>
        <v/>
      </c>
      <c r="E792" t="str">
        <f>IF(包装物料出入库明细!$E792="","",包装物料出入库明细!$G792)</f>
        <v/>
      </c>
      <c r="K792" t="str">
        <f>IF(包装物料出入库明细!$D792="","",包装物料出入库明细!$D792)</f>
        <v/>
      </c>
      <c r="L792">
        <f t="shared" si="361"/>
        <v>0</v>
      </c>
      <c r="M792">
        <f t="shared" si="362"/>
        <v>9</v>
      </c>
      <c r="Q792" t="str">
        <f>IF(周转筐出入库明细!$D793="","",周转筐出入库明细!$D793)</f>
        <v/>
      </c>
      <c r="R792">
        <f t="shared" si="363"/>
        <v>0</v>
      </c>
      <c r="S792">
        <f t="shared" si="364"/>
        <v>5</v>
      </c>
      <c r="W792" t="str">
        <f>IF(周转筐出入库明细!$C793="","",周转筐出入库明细!$C793)</f>
        <v/>
      </c>
      <c r="X792">
        <f t="shared" si="365"/>
        <v>0</v>
      </c>
      <c r="Y792">
        <f t="shared" si="366"/>
        <v>12</v>
      </c>
      <c r="AC792" t="str">
        <f>IF(客户自备加工筐明细!$C792="","",客户自备加工筐明细!$C792)</f>
        <v/>
      </c>
      <c r="AD792">
        <f t="shared" si="367"/>
        <v>0</v>
      </c>
      <c r="AE792">
        <f t="shared" si="368"/>
        <v>1</v>
      </c>
      <c r="AI792" t="str">
        <f>IF(客户自备加工筐明细!$E792="","",客户自备加工筐明细!$E792)</f>
        <v/>
      </c>
      <c r="AJ792">
        <f t="shared" si="369"/>
        <v>0</v>
      </c>
      <c r="AK792">
        <f t="shared" si="370"/>
        <v>1</v>
      </c>
      <c r="BS792" t="str">
        <f t="shared" si="358"/>
        <v/>
      </c>
      <c r="BT792">
        <f t="shared" si="371"/>
        <v>0</v>
      </c>
      <c r="BU792">
        <f t="shared" si="372"/>
        <v>17</v>
      </c>
      <c r="CP792">
        <f>IF(包装物料出入库明细!$D792="",0,1)</f>
        <v>0</v>
      </c>
      <c r="CQ792">
        <f t="shared" si="373"/>
        <v>37</v>
      </c>
      <c r="CS792" t="str">
        <f>IF(OR(周转筐出入库明细!$C793="",周转筐出入库明细!$F793&lt;&gt;"采购入库"),"",周转筐出入库明细!$C793)</f>
        <v/>
      </c>
      <c r="CT792">
        <f t="shared" si="374"/>
        <v>0</v>
      </c>
      <c r="CU792">
        <f t="shared" si="375"/>
        <v>1</v>
      </c>
    </row>
    <row r="793" spans="1:99">
      <c r="A793" t="str">
        <f>IF(包装物料出入库明细!$E793="","",包装物料出入库明细!$E793)</f>
        <v/>
      </c>
      <c r="B793">
        <f t="shared" si="359"/>
        <v>0</v>
      </c>
      <c r="C793">
        <f t="shared" si="360"/>
        <v>7</v>
      </c>
      <c r="D793" t="str">
        <f>IF(包装物料出入库明细!$E793="","",包装物料出入库明细!$F793)</f>
        <v/>
      </c>
      <c r="E793" t="str">
        <f>IF(包装物料出入库明细!$E793="","",包装物料出入库明细!$G793)</f>
        <v/>
      </c>
      <c r="K793" t="str">
        <f>IF(包装物料出入库明细!$D793="","",包装物料出入库明细!$D793)</f>
        <v/>
      </c>
      <c r="L793">
        <f t="shared" si="361"/>
        <v>0</v>
      </c>
      <c r="M793">
        <f t="shared" si="362"/>
        <v>9</v>
      </c>
      <c r="Q793" t="str">
        <f>IF(周转筐出入库明细!$D794="","",周转筐出入库明细!$D794)</f>
        <v/>
      </c>
      <c r="R793">
        <f t="shared" si="363"/>
        <v>0</v>
      </c>
      <c r="S793">
        <f t="shared" si="364"/>
        <v>5</v>
      </c>
      <c r="W793" t="str">
        <f>IF(周转筐出入库明细!$C794="","",周转筐出入库明细!$C794)</f>
        <v/>
      </c>
      <c r="X793">
        <f t="shared" si="365"/>
        <v>0</v>
      </c>
      <c r="Y793">
        <f t="shared" si="366"/>
        <v>12</v>
      </c>
      <c r="AC793" t="str">
        <f>IF(客户自备加工筐明细!$C793="","",客户自备加工筐明细!$C793)</f>
        <v/>
      </c>
      <c r="AD793">
        <f t="shared" si="367"/>
        <v>0</v>
      </c>
      <c r="AE793">
        <f t="shared" si="368"/>
        <v>1</v>
      </c>
      <c r="AI793" t="str">
        <f>IF(客户自备加工筐明细!$E793="","",客户自备加工筐明细!$E793)</f>
        <v/>
      </c>
      <c r="AJ793">
        <f t="shared" si="369"/>
        <v>0</v>
      </c>
      <c r="AK793">
        <f t="shared" si="370"/>
        <v>1</v>
      </c>
      <c r="BS793" t="str">
        <f t="shared" si="358"/>
        <v/>
      </c>
      <c r="BT793">
        <f t="shared" si="371"/>
        <v>0</v>
      </c>
      <c r="BU793">
        <f t="shared" si="372"/>
        <v>17</v>
      </c>
      <c r="CP793">
        <f>IF(包装物料出入库明细!$D793="",0,1)</f>
        <v>0</v>
      </c>
      <c r="CQ793">
        <f t="shared" si="373"/>
        <v>37</v>
      </c>
      <c r="CS793" t="str">
        <f>IF(OR(周转筐出入库明细!$C794="",周转筐出入库明细!$F794&lt;&gt;"采购入库"),"",周转筐出入库明细!$C794)</f>
        <v/>
      </c>
      <c r="CT793">
        <f t="shared" si="374"/>
        <v>0</v>
      </c>
      <c r="CU793">
        <f t="shared" si="375"/>
        <v>1</v>
      </c>
    </row>
    <row r="794" spans="1:99">
      <c r="A794" t="str">
        <f>IF(包装物料出入库明细!$E794="","",包装物料出入库明细!$E794)</f>
        <v/>
      </c>
      <c r="B794">
        <f t="shared" si="359"/>
        <v>0</v>
      </c>
      <c r="C794">
        <f t="shared" si="360"/>
        <v>7</v>
      </c>
      <c r="D794" t="str">
        <f>IF(包装物料出入库明细!$E794="","",包装物料出入库明细!$F794)</f>
        <v/>
      </c>
      <c r="E794" t="str">
        <f>IF(包装物料出入库明细!$E794="","",包装物料出入库明细!$G794)</f>
        <v/>
      </c>
      <c r="K794" t="str">
        <f>IF(包装物料出入库明细!$D794="","",包装物料出入库明细!$D794)</f>
        <v/>
      </c>
      <c r="L794">
        <f t="shared" si="361"/>
        <v>0</v>
      </c>
      <c r="M794">
        <f t="shared" si="362"/>
        <v>9</v>
      </c>
      <c r="Q794" t="str">
        <f>IF(周转筐出入库明细!$D795="","",周转筐出入库明细!$D795)</f>
        <v/>
      </c>
      <c r="R794">
        <f t="shared" si="363"/>
        <v>0</v>
      </c>
      <c r="S794">
        <f t="shared" si="364"/>
        <v>5</v>
      </c>
      <c r="W794" t="str">
        <f>IF(周转筐出入库明细!$C795="","",周转筐出入库明细!$C795)</f>
        <v/>
      </c>
      <c r="X794">
        <f t="shared" si="365"/>
        <v>0</v>
      </c>
      <c r="Y794">
        <f t="shared" si="366"/>
        <v>12</v>
      </c>
      <c r="AC794" t="str">
        <f>IF(客户自备加工筐明细!$C794="","",客户自备加工筐明细!$C794)</f>
        <v/>
      </c>
      <c r="AD794">
        <f t="shared" si="367"/>
        <v>0</v>
      </c>
      <c r="AE794">
        <f t="shared" si="368"/>
        <v>1</v>
      </c>
      <c r="AI794" t="str">
        <f>IF(客户自备加工筐明细!$E794="","",客户自备加工筐明细!$E794)</f>
        <v/>
      </c>
      <c r="AJ794">
        <f t="shared" si="369"/>
        <v>0</v>
      </c>
      <c r="AK794">
        <f t="shared" si="370"/>
        <v>1</v>
      </c>
      <c r="BS794" t="str">
        <f t="shared" si="358"/>
        <v/>
      </c>
      <c r="BT794">
        <f t="shared" si="371"/>
        <v>0</v>
      </c>
      <c r="BU794">
        <f t="shared" si="372"/>
        <v>17</v>
      </c>
      <c r="CP794">
        <f>IF(包装物料出入库明细!$D794="",0,1)</f>
        <v>0</v>
      </c>
      <c r="CQ794">
        <f t="shared" si="373"/>
        <v>37</v>
      </c>
      <c r="CS794" t="str">
        <f>IF(OR(周转筐出入库明细!$C795="",周转筐出入库明细!$F795&lt;&gt;"采购入库"),"",周转筐出入库明细!$C795)</f>
        <v/>
      </c>
      <c r="CT794">
        <f t="shared" si="374"/>
        <v>0</v>
      </c>
      <c r="CU794">
        <f t="shared" si="375"/>
        <v>1</v>
      </c>
    </row>
    <row r="795" spans="1:99">
      <c r="A795" t="str">
        <f>IF(包装物料出入库明细!$E795="","",包装物料出入库明细!$E795)</f>
        <v/>
      </c>
      <c r="B795">
        <f t="shared" si="359"/>
        <v>0</v>
      </c>
      <c r="C795">
        <f t="shared" si="360"/>
        <v>7</v>
      </c>
      <c r="D795" t="str">
        <f>IF(包装物料出入库明细!$E795="","",包装物料出入库明细!$F795)</f>
        <v/>
      </c>
      <c r="E795" t="str">
        <f>IF(包装物料出入库明细!$E795="","",包装物料出入库明细!$G795)</f>
        <v/>
      </c>
      <c r="K795" t="str">
        <f>IF(包装物料出入库明细!$D795="","",包装物料出入库明细!$D795)</f>
        <v/>
      </c>
      <c r="L795">
        <f t="shared" si="361"/>
        <v>0</v>
      </c>
      <c r="M795">
        <f t="shared" si="362"/>
        <v>9</v>
      </c>
      <c r="Q795" t="str">
        <f>IF(周转筐出入库明细!$D796="","",周转筐出入库明细!$D796)</f>
        <v/>
      </c>
      <c r="R795">
        <f t="shared" si="363"/>
        <v>0</v>
      </c>
      <c r="S795">
        <f t="shared" si="364"/>
        <v>5</v>
      </c>
      <c r="W795" t="str">
        <f>IF(周转筐出入库明细!$C796="","",周转筐出入库明细!$C796)</f>
        <v/>
      </c>
      <c r="X795">
        <f t="shared" si="365"/>
        <v>0</v>
      </c>
      <c r="Y795">
        <f t="shared" si="366"/>
        <v>12</v>
      </c>
      <c r="AC795" t="str">
        <f>IF(客户自备加工筐明细!$C795="","",客户自备加工筐明细!$C795)</f>
        <v/>
      </c>
      <c r="AD795">
        <f t="shared" si="367"/>
        <v>0</v>
      </c>
      <c r="AE795">
        <f t="shared" si="368"/>
        <v>1</v>
      </c>
      <c r="AI795" t="str">
        <f>IF(客户自备加工筐明细!$E795="","",客户自备加工筐明细!$E795)</f>
        <v/>
      </c>
      <c r="AJ795">
        <f t="shared" si="369"/>
        <v>0</v>
      </c>
      <c r="AK795">
        <f t="shared" si="370"/>
        <v>1</v>
      </c>
      <c r="BS795" t="str">
        <f t="shared" si="358"/>
        <v/>
      </c>
      <c r="BT795">
        <f t="shared" si="371"/>
        <v>0</v>
      </c>
      <c r="BU795">
        <f t="shared" si="372"/>
        <v>17</v>
      </c>
      <c r="CP795">
        <f>IF(包装物料出入库明细!$D795="",0,1)</f>
        <v>0</v>
      </c>
      <c r="CQ795">
        <f t="shared" si="373"/>
        <v>37</v>
      </c>
      <c r="CS795" t="str">
        <f>IF(OR(周转筐出入库明细!$C796="",周转筐出入库明细!$F796&lt;&gt;"采购入库"),"",周转筐出入库明细!$C796)</f>
        <v/>
      </c>
      <c r="CT795">
        <f t="shared" si="374"/>
        <v>0</v>
      </c>
      <c r="CU795">
        <f t="shared" si="375"/>
        <v>1</v>
      </c>
    </row>
    <row r="796" spans="1:99">
      <c r="A796" t="str">
        <f>IF(包装物料出入库明细!$E796="","",包装物料出入库明细!$E796)</f>
        <v/>
      </c>
      <c r="B796">
        <f t="shared" si="359"/>
        <v>0</v>
      </c>
      <c r="C796">
        <f t="shared" si="360"/>
        <v>7</v>
      </c>
      <c r="D796" t="str">
        <f>IF(包装物料出入库明细!$E796="","",包装物料出入库明细!$F796)</f>
        <v/>
      </c>
      <c r="E796" t="str">
        <f>IF(包装物料出入库明细!$E796="","",包装物料出入库明细!$G796)</f>
        <v/>
      </c>
      <c r="K796" t="str">
        <f>IF(包装物料出入库明细!$D796="","",包装物料出入库明细!$D796)</f>
        <v/>
      </c>
      <c r="L796">
        <f t="shared" si="361"/>
        <v>0</v>
      </c>
      <c r="M796">
        <f t="shared" si="362"/>
        <v>9</v>
      </c>
      <c r="Q796" t="str">
        <f>IF(周转筐出入库明细!$D797="","",周转筐出入库明细!$D797)</f>
        <v/>
      </c>
      <c r="R796">
        <f t="shared" si="363"/>
        <v>0</v>
      </c>
      <c r="S796">
        <f t="shared" si="364"/>
        <v>5</v>
      </c>
      <c r="W796" t="str">
        <f>IF(周转筐出入库明细!$C797="","",周转筐出入库明细!$C797)</f>
        <v/>
      </c>
      <c r="X796">
        <f t="shared" si="365"/>
        <v>0</v>
      </c>
      <c r="Y796">
        <f t="shared" si="366"/>
        <v>12</v>
      </c>
      <c r="AC796" t="str">
        <f>IF(客户自备加工筐明细!$C796="","",客户自备加工筐明细!$C796)</f>
        <v/>
      </c>
      <c r="AD796">
        <f t="shared" si="367"/>
        <v>0</v>
      </c>
      <c r="AE796">
        <f t="shared" si="368"/>
        <v>1</v>
      </c>
      <c r="AI796" t="str">
        <f>IF(客户自备加工筐明细!$E796="","",客户自备加工筐明细!$E796)</f>
        <v/>
      </c>
      <c r="AJ796">
        <f t="shared" si="369"/>
        <v>0</v>
      </c>
      <c r="AK796">
        <f t="shared" si="370"/>
        <v>1</v>
      </c>
      <c r="BS796" t="str">
        <f t="shared" ref="BS796:BS803" si="376">IF($AY196="","",$AY196)</f>
        <v/>
      </c>
      <c r="BT796">
        <f t="shared" si="371"/>
        <v>0</v>
      </c>
      <c r="BU796">
        <f t="shared" si="372"/>
        <v>17</v>
      </c>
      <c r="CP796">
        <f>IF(包装物料出入库明细!$D796="",0,1)</f>
        <v>0</v>
      </c>
      <c r="CQ796">
        <f t="shared" si="373"/>
        <v>37</v>
      </c>
      <c r="CS796" t="str">
        <f>IF(OR(周转筐出入库明细!$C797="",周转筐出入库明细!$F797&lt;&gt;"采购入库"),"",周转筐出入库明细!$C797)</f>
        <v/>
      </c>
      <c r="CT796">
        <f t="shared" si="374"/>
        <v>0</v>
      </c>
      <c r="CU796">
        <f t="shared" si="375"/>
        <v>1</v>
      </c>
    </row>
    <row r="797" spans="1:99">
      <c r="A797" t="str">
        <f>IF(包装物料出入库明细!$E797="","",包装物料出入库明细!$E797)</f>
        <v/>
      </c>
      <c r="B797">
        <f t="shared" si="359"/>
        <v>0</v>
      </c>
      <c r="C797">
        <f t="shared" si="360"/>
        <v>7</v>
      </c>
      <c r="D797" t="str">
        <f>IF(包装物料出入库明细!$E797="","",包装物料出入库明细!$F797)</f>
        <v/>
      </c>
      <c r="E797" t="str">
        <f>IF(包装物料出入库明细!$E797="","",包装物料出入库明细!$G797)</f>
        <v/>
      </c>
      <c r="K797" t="str">
        <f>IF(包装物料出入库明细!$D797="","",包装物料出入库明细!$D797)</f>
        <v/>
      </c>
      <c r="L797">
        <f t="shared" si="361"/>
        <v>0</v>
      </c>
      <c r="M797">
        <f t="shared" si="362"/>
        <v>9</v>
      </c>
      <c r="Q797" t="str">
        <f>IF(周转筐出入库明细!$D798="","",周转筐出入库明细!$D798)</f>
        <v/>
      </c>
      <c r="R797">
        <f t="shared" si="363"/>
        <v>0</v>
      </c>
      <c r="S797">
        <f t="shared" si="364"/>
        <v>5</v>
      </c>
      <c r="W797" t="str">
        <f>IF(周转筐出入库明细!$C798="","",周转筐出入库明细!$C798)</f>
        <v/>
      </c>
      <c r="X797">
        <f t="shared" si="365"/>
        <v>0</v>
      </c>
      <c r="Y797">
        <f t="shared" si="366"/>
        <v>12</v>
      </c>
      <c r="AC797" t="str">
        <f>IF(客户自备加工筐明细!$C797="","",客户自备加工筐明细!$C797)</f>
        <v/>
      </c>
      <c r="AD797">
        <f t="shared" si="367"/>
        <v>0</v>
      </c>
      <c r="AE797">
        <f t="shared" si="368"/>
        <v>1</v>
      </c>
      <c r="AI797" t="str">
        <f>IF(客户自备加工筐明细!$E797="","",客户自备加工筐明细!$E797)</f>
        <v/>
      </c>
      <c r="AJ797">
        <f t="shared" si="369"/>
        <v>0</v>
      </c>
      <c r="AK797">
        <f t="shared" si="370"/>
        <v>1</v>
      </c>
      <c r="BS797" t="str">
        <f t="shared" si="376"/>
        <v/>
      </c>
      <c r="BT797">
        <f t="shared" si="371"/>
        <v>0</v>
      </c>
      <c r="BU797">
        <f t="shared" si="372"/>
        <v>17</v>
      </c>
      <c r="CP797">
        <f>IF(包装物料出入库明细!$D797="",0,1)</f>
        <v>0</v>
      </c>
      <c r="CQ797">
        <f t="shared" si="373"/>
        <v>37</v>
      </c>
      <c r="CS797" t="str">
        <f>IF(OR(周转筐出入库明细!$C798="",周转筐出入库明细!$F798&lt;&gt;"采购入库"),"",周转筐出入库明细!$C798)</f>
        <v/>
      </c>
      <c r="CT797">
        <f t="shared" si="374"/>
        <v>0</v>
      </c>
      <c r="CU797">
        <f t="shared" si="375"/>
        <v>1</v>
      </c>
    </row>
    <row r="798" spans="1:99">
      <c r="A798" t="str">
        <f>IF(包装物料出入库明细!$E798="","",包装物料出入库明细!$E798)</f>
        <v/>
      </c>
      <c r="B798">
        <f t="shared" si="359"/>
        <v>0</v>
      </c>
      <c r="C798">
        <f t="shared" si="360"/>
        <v>7</v>
      </c>
      <c r="D798" t="str">
        <f>IF(包装物料出入库明细!$E798="","",包装物料出入库明细!$F798)</f>
        <v/>
      </c>
      <c r="E798" t="str">
        <f>IF(包装物料出入库明细!$E798="","",包装物料出入库明细!$G798)</f>
        <v/>
      </c>
      <c r="K798" t="str">
        <f>IF(包装物料出入库明细!$D798="","",包装物料出入库明细!$D798)</f>
        <v/>
      </c>
      <c r="L798">
        <f t="shared" si="361"/>
        <v>0</v>
      </c>
      <c r="M798">
        <f t="shared" si="362"/>
        <v>9</v>
      </c>
      <c r="Q798" t="str">
        <f>IF(周转筐出入库明细!$D799="","",周转筐出入库明细!$D799)</f>
        <v/>
      </c>
      <c r="R798">
        <f t="shared" si="363"/>
        <v>0</v>
      </c>
      <c r="S798">
        <f t="shared" si="364"/>
        <v>5</v>
      </c>
      <c r="W798" t="str">
        <f>IF(周转筐出入库明细!$C799="","",周转筐出入库明细!$C799)</f>
        <v/>
      </c>
      <c r="X798">
        <f t="shared" si="365"/>
        <v>0</v>
      </c>
      <c r="Y798">
        <f t="shared" si="366"/>
        <v>12</v>
      </c>
      <c r="AC798" t="str">
        <f>IF(客户自备加工筐明细!$C798="","",客户自备加工筐明细!$C798)</f>
        <v/>
      </c>
      <c r="AD798">
        <f t="shared" si="367"/>
        <v>0</v>
      </c>
      <c r="AE798">
        <f t="shared" si="368"/>
        <v>1</v>
      </c>
      <c r="AI798" t="str">
        <f>IF(客户自备加工筐明细!$E798="","",客户自备加工筐明细!$E798)</f>
        <v/>
      </c>
      <c r="AJ798">
        <f t="shared" si="369"/>
        <v>0</v>
      </c>
      <c r="AK798">
        <f t="shared" si="370"/>
        <v>1</v>
      </c>
      <c r="BS798" t="str">
        <f t="shared" si="376"/>
        <v/>
      </c>
      <c r="BT798">
        <f t="shared" si="371"/>
        <v>0</v>
      </c>
      <c r="BU798">
        <f t="shared" si="372"/>
        <v>17</v>
      </c>
      <c r="CP798">
        <f>IF(包装物料出入库明细!$D798="",0,1)</f>
        <v>0</v>
      </c>
      <c r="CQ798">
        <f t="shared" si="373"/>
        <v>37</v>
      </c>
      <c r="CS798" t="str">
        <f>IF(OR(周转筐出入库明细!$C799="",周转筐出入库明细!$F799&lt;&gt;"采购入库"),"",周转筐出入库明细!$C799)</f>
        <v/>
      </c>
      <c r="CT798">
        <f t="shared" si="374"/>
        <v>0</v>
      </c>
      <c r="CU798">
        <f t="shared" si="375"/>
        <v>1</v>
      </c>
    </row>
    <row r="799" spans="1:99">
      <c r="A799" t="str">
        <f>IF(包装物料出入库明细!$E799="","",包装物料出入库明细!$E799)</f>
        <v/>
      </c>
      <c r="B799">
        <f t="shared" si="359"/>
        <v>0</v>
      </c>
      <c r="C799">
        <f t="shared" si="360"/>
        <v>7</v>
      </c>
      <c r="D799" t="str">
        <f>IF(包装物料出入库明细!$E799="","",包装物料出入库明细!$F799)</f>
        <v/>
      </c>
      <c r="E799" t="str">
        <f>IF(包装物料出入库明细!$E799="","",包装物料出入库明细!$G799)</f>
        <v/>
      </c>
      <c r="K799" t="str">
        <f>IF(包装物料出入库明细!$D799="","",包装物料出入库明细!$D799)</f>
        <v/>
      </c>
      <c r="L799">
        <f t="shared" si="361"/>
        <v>0</v>
      </c>
      <c r="M799">
        <f t="shared" si="362"/>
        <v>9</v>
      </c>
      <c r="Q799" t="str">
        <f>IF(周转筐出入库明细!$D800="","",周转筐出入库明细!$D800)</f>
        <v/>
      </c>
      <c r="R799">
        <f t="shared" si="363"/>
        <v>0</v>
      </c>
      <c r="S799">
        <f t="shared" si="364"/>
        <v>5</v>
      </c>
      <c r="W799" t="str">
        <f>IF(周转筐出入库明细!$C800="","",周转筐出入库明细!$C800)</f>
        <v/>
      </c>
      <c r="X799">
        <f t="shared" si="365"/>
        <v>0</v>
      </c>
      <c r="Y799">
        <f t="shared" si="366"/>
        <v>12</v>
      </c>
      <c r="AC799" t="str">
        <f>IF(客户自备加工筐明细!$C799="","",客户自备加工筐明细!$C799)</f>
        <v/>
      </c>
      <c r="AD799">
        <f t="shared" si="367"/>
        <v>0</v>
      </c>
      <c r="AE799">
        <f t="shared" si="368"/>
        <v>1</v>
      </c>
      <c r="AI799" t="str">
        <f>IF(客户自备加工筐明细!$E799="","",客户自备加工筐明细!$E799)</f>
        <v/>
      </c>
      <c r="AJ799">
        <f t="shared" si="369"/>
        <v>0</v>
      </c>
      <c r="AK799">
        <f t="shared" si="370"/>
        <v>1</v>
      </c>
      <c r="BS799" t="str">
        <f t="shared" si="376"/>
        <v/>
      </c>
      <c r="BT799">
        <f t="shared" si="371"/>
        <v>0</v>
      </c>
      <c r="BU799">
        <f t="shared" si="372"/>
        <v>17</v>
      </c>
      <c r="CP799">
        <f>IF(包装物料出入库明细!$D799="",0,1)</f>
        <v>0</v>
      </c>
      <c r="CQ799">
        <f t="shared" si="373"/>
        <v>37</v>
      </c>
      <c r="CS799" t="str">
        <f>IF(OR(周转筐出入库明细!$C800="",周转筐出入库明细!$F800&lt;&gt;"采购入库"),"",周转筐出入库明细!$C800)</f>
        <v/>
      </c>
      <c r="CT799">
        <f t="shared" si="374"/>
        <v>0</v>
      </c>
      <c r="CU799">
        <f t="shared" si="375"/>
        <v>1</v>
      </c>
    </row>
    <row r="800" spans="1:99">
      <c r="A800" t="str">
        <f>IF(包装物料出入库明细!$E800="","",包装物料出入库明细!$E800)</f>
        <v/>
      </c>
      <c r="B800">
        <f t="shared" si="359"/>
        <v>0</v>
      </c>
      <c r="C800">
        <f t="shared" si="360"/>
        <v>7</v>
      </c>
      <c r="D800" t="str">
        <f>IF(包装物料出入库明细!$E800="","",包装物料出入库明细!$F800)</f>
        <v/>
      </c>
      <c r="E800" t="str">
        <f>IF(包装物料出入库明细!$E800="","",包装物料出入库明细!$G800)</f>
        <v/>
      </c>
      <c r="K800" t="str">
        <f>IF(包装物料出入库明细!$D800="","",包装物料出入库明细!$D800)</f>
        <v/>
      </c>
      <c r="L800">
        <f t="shared" si="361"/>
        <v>0</v>
      </c>
      <c r="M800">
        <f t="shared" si="362"/>
        <v>9</v>
      </c>
      <c r="Q800" t="str">
        <f>IF(周转筐出入库明细!$D801="","",周转筐出入库明细!$D801)</f>
        <v/>
      </c>
      <c r="R800">
        <f t="shared" si="363"/>
        <v>0</v>
      </c>
      <c r="S800">
        <f t="shared" si="364"/>
        <v>5</v>
      </c>
      <c r="W800" t="str">
        <f>IF(周转筐出入库明细!$C801="","",周转筐出入库明细!$C801)</f>
        <v/>
      </c>
      <c r="X800">
        <f t="shared" si="365"/>
        <v>0</v>
      </c>
      <c r="Y800">
        <f t="shared" si="366"/>
        <v>12</v>
      </c>
      <c r="AC800" t="str">
        <f>IF(客户自备加工筐明细!$C800="","",客户自备加工筐明细!$C800)</f>
        <v/>
      </c>
      <c r="AD800">
        <f t="shared" si="367"/>
        <v>0</v>
      </c>
      <c r="AE800">
        <f t="shared" si="368"/>
        <v>1</v>
      </c>
      <c r="AI800" t="str">
        <f>IF(客户自备加工筐明细!$E800="","",客户自备加工筐明细!$E800)</f>
        <v/>
      </c>
      <c r="AJ800">
        <f t="shared" si="369"/>
        <v>0</v>
      </c>
      <c r="AK800">
        <f t="shared" si="370"/>
        <v>1</v>
      </c>
      <c r="BS800" t="str">
        <f t="shared" si="376"/>
        <v/>
      </c>
      <c r="BT800">
        <f t="shared" si="371"/>
        <v>0</v>
      </c>
      <c r="BU800">
        <f t="shared" si="372"/>
        <v>17</v>
      </c>
      <c r="CP800">
        <f>IF(包装物料出入库明细!$D800="",0,1)</f>
        <v>0</v>
      </c>
      <c r="CQ800">
        <f t="shared" si="373"/>
        <v>37</v>
      </c>
      <c r="CS800" t="str">
        <f>IF(OR(周转筐出入库明细!$C801="",周转筐出入库明细!$F801&lt;&gt;"采购入库"),"",周转筐出入库明细!$C801)</f>
        <v/>
      </c>
      <c r="CT800">
        <f t="shared" si="374"/>
        <v>0</v>
      </c>
      <c r="CU800">
        <f t="shared" si="375"/>
        <v>1</v>
      </c>
    </row>
    <row r="801" spans="1:99">
      <c r="A801" t="str">
        <f>IF(包装物料出入库明细!$E801="","",包装物料出入库明细!$E801)</f>
        <v/>
      </c>
      <c r="B801">
        <f t="shared" si="359"/>
        <v>0</v>
      </c>
      <c r="C801">
        <f t="shared" si="360"/>
        <v>7</v>
      </c>
      <c r="D801" t="str">
        <f>IF(包装物料出入库明细!$E801="","",包装物料出入库明细!$F801)</f>
        <v/>
      </c>
      <c r="E801" t="str">
        <f>IF(包装物料出入库明细!$E801="","",包装物料出入库明细!$G801)</f>
        <v/>
      </c>
      <c r="K801" t="str">
        <f>IF(包装物料出入库明细!$D801="","",包装物料出入库明细!$D801)</f>
        <v/>
      </c>
      <c r="L801">
        <f t="shared" si="361"/>
        <v>0</v>
      </c>
      <c r="M801">
        <f t="shared" si="362"/>
        <v>9</v>
      </c>
      <c r="Q801" t="str">
        <f>IF(周转筐出入库明细!$D802="","",周转筐出入库明细!$D802)</f>
        <v/>
      </c>
      <c r="R801">
        <f t="shared" si="363"/>
        <v>0</v>
      </c>
      <c r="S801">
        <f t="shared" si="364"/>
        <v>5</v>
      </c>
      <c r="W801" t="str">
        <f>IF(周转筐出入库明细!$C802="","",周转筐出入库明细!$C802)</f>
        <v/>
      </c>
      <c r="X801">
        <f t="shared" si="365"/>
        <v>0</v>
      </c>
      <c r="Y801">
        <f t="shared" si="366"/>
        <v>12</v>
      </c>
      <c r="AC801" t="str">
        <f>IF(客户自备加工筐明细!$C801="","",客户自备加工筐明细!$C801)</f>
        <v/>
      </c>
      <c r="AD801">
        <f t="shared" si="367"/>
        <v>0</v>
      </c>
      <c r="AE801">
        <f t="shared" si="368"/>
        <v>1</v>
      </c>
      <c r="AI801" t="str">
        <f>IF(客户自备加工筐明细!$E801="","",客户自备加工筐明细!$E801)</f>
        <v/>
      </c>
      <c r="AJ801">
        <f t="shared" si="369"/>
        <v>0</v>
      </c>
      <c r="AK801">
        <f t="shared" si="370"/>
        <v>1</v>
      </c>
      <c r="BS801" t="str">
        <f t="shared" si="376"/>
        <v/>
      </c>
      <c r="BT801">
        <f t="shared" si="371"/>
        <v>0</v>
      </c>
      <c r="BU801">
        <f t="shared" si="372"/>
        <v>17</v>
      </c>
      <c r="CP801">
        <f>IF(包装物料出入库明细!$D801="",0,1)</f>
        <v>0</v>
      </c>
      <c r="CQ801">
        <f t="shared" si="373"/>
        <v>37</v>
      </c>
      <c r="CS801" t="str">
        <f>IF(OR(周转筐出入库明细!$C802="",周转筐出入库明细!$F802&lt;&gt;"采购入库"),"",周转筐出入库明细!$C802)</f>
        <v/>
      </c>
      <c r="CT801">
        <f t="shared" si="374"/>
        <v>0</v>
      </c>
      <c r="CU801">
        <f t="shared" si="375"/>
        <v>1</v>
      </c>
    </row>
    <row r="802" spans="1:99">
      <c r="A802" t="str">
        <f>IF(包装物料出入库明细!$E802="","",包装物料出入库明细!$E802)</f>
        <v/>
      </c>
      <c r="B802">
        <f t="shared" si="359"/>
        <v>0</v>
      </c>
      <c r="C802">
        <f t="shared" si="360"/>
        <v>7</v>
      </c>
      <c r="D802" t="str">
        <f>IF(包装物料出入库明细!$E802="","",包装物料出入库明细!$F802)</f>
        <v/>
      </c>
      <c r="E802" t="str">
        <f>IF(包装物料出入库明细!$E802="","",包装物料出入库明细!$G802)</f>
        <v/>
      </c>
      <c r="K802" t="str">
        <f>IF(包装物料出入库明细!$D802="","",包装物料出入库明细!$D802)</f>
        <v/>
      </c>
      <c r="L802">
        <f t="shared" si="361"/>
        <v>0</v>
      </c>
      <c r="M802">
        <f t="shared" si="362"/>
        <v>9</v>
      </c>
      <c r="Q802" t="str">
        <f>IF(周转筐出入库明细!$D803="","",周转筐出入库明细!$D803)</f>
        <v/>
      </c>
      <c r="R802">
        <f t="shared" si="363"/>
        <v>0</v>
      </c>
      <c r="S802">
        <f t="shared" si="364"/>
        <v>5</v>
      </c>
      <c r="W802" t="str">
        <f>IF(周转筐出入库明细!$C803="","",周转筐出入库明细!$C803)</f>
        <v/>
      </c>
      <c r="X802">
        <f t="shared" si="365"/>
        <v>0</v>
      </c>
      <c r="Y802">
        <f t="shared" si="366"/>
        <v>12</v>
      </c>
      <c r="AC802" t="str">
        <f>IF(客户自备加工筐明细!$C802="","",客户自备加工筐明细!$C802)</f>
        <v/>
      </c>
      <c r="AD802">
        <f t="shared" si="367"/>
        <v>0</v>
      </c>
      <c r="AE802">
        <f t="shared" si="368"/>
        <v>1</v>
      </c>
      <c r="AI802" t="str">
        <f>IF(客户自备加工筐明细!$E802="","",客户自备加工筐明细!$E802)</f>
        <v/>
      </c>
      <c r="AJ802">
        <f t="shared" si="369"/>
        <v>0</v>
      </c>
      <c r="AK802">
        <f t="shared" si="370"/>
        <v>1</v>
      </c>
      <c r="BS802" t="str">
        <f t="shared" si="376"/>
        <v/>
      </c>
      <c r="BT802">
        <f t="shared" si="371"/>
        <v>0</v>
      </c>
      <c r="BU802">
        <f t="shared" si="372"/>
        <v>17</v>
      </c>
      <c r="CP802">
        <f>IF(包装物料出入库明细!$D802="",0,1)</f>
        <v>0</v>
      </c>
      <c r="CQ802">
        <f t="shared" si="373"/>
        <v>37</v>
      </c>
      <c r="CS802" t="str">
        <f>IF(OR(周转筐出入库明细!$C803="",周转筐出入库明细!$F803&lt;&gt;"采购入库"),"",周转筐出入库明细!$C803)</f>
        <v/>
      </c>
      <c r="CT802">
        <f t="shared" si="374"/>
        <v>0</v>
      </c>
      <c r="CU802">
        <f t="shared" si="375"/>
        <v>1</v>
      </c>
    </row>
    <row r="803" spans="1:99">
      <c r="A803" t="str">
        <f>IF(包装物料出入库明细!$E803="","",包装物料出入库明细!$E803)</f>
        <v/>
      </c>
      <c r="B803">
        <f t="shared" si="359"/>
        <v>0</v>
      </c>
      <c r="C803">
        <f t="shared" si="360"/>
        <v>7</v>
      </c>
      <c r="D803" t="str">
        <f>IF(包装物料出入库明细!$E803="","",包装物料出入库明细!$F803)</f>
        <v/>
      </c>
      <c r="E803" t="str">
        <f>IF(包装物料出入库明细!$E803="","",包装物料出入库明细!$G803)</f>
        <v/>
      </c>
      <c r="K803" t="str">
        <f>IF(包装物料出入库明细!$D803="","",包装物料出入库明细!$D803)</f>
        <v/>
      </c>
      <c r="L803">
        <f t="shared" si="361"/>
        <v>0</v>
      </c>
      <c r="M803">
        <f t="shared" si="362"/>
        <v>9</v>
      </c>
      <c r="Q803" t="str">
        <f>IF(周转筐出入库明细!$D804="","",周转筐出入库明细!$D804)</f>
        <v/>
      </c>
      <c r="R803">
        <f t="shared" si="363"/>
        <v>0</v>
      </c>
      <c r="S803">
        <f t="shared" si="364"/>
        <v>5</v>
      </c>
      <c r="W803" t="str">
        <f>IF(周转筐出入库明细!$C804="","",周转筐出入库明细!$C804)</f>
        <v/>
      </c>
      <c r="X803">
        <f t="shared" si="365"/>
        <v>0</v>
      </c>
      <c r="Y803">
        <f t="shared" si="366"/>
        <v>12</v>
      </c>
      <c r="AC803" t="str">
        <f>IF(客户自备加工筐明细!$C803="","",客户自备加工筐明细!$C803)</f>
        <v/>
      </c>
      <c r="AD803">
        <f t="shared" si="367"/>
        <v>0</v>
      </c>
      <c r="AE803">
        <f t="shared" si="368"/>
        <v>1</v>
      </c>
      <c r="AI803" t="str">
        <f>IF(客户自备加工筐明细!$E803="","",客户自备加工筐明细!$E803)</f>
        <v/>
      </c>
      <c r="AJ803">
        <f t="shared" si="369"/>
        <v>0</v>
      </c>
      <c r="AK803">
        <f t="shared" si="370"/>
        <v>1</v>
      </c>
      <c r="BS803" t="str">
        <f t="shared" si="376"/>
        <v/>
      </c>
      <c r="BT803">
        <f t="shared" si="371"/>
        <v>0</v>
      </c>
      <c r="BU803">
        <f t="shared" si="372"/>
        <v>17</v>
      </c>
      <c r="CP803">
        <f>IF(包装物料出入库明细!$D803="",0,1)</f>
        <v>0</v>
      </c>
      <c r="CQ803">
        <f t="shared" si="373"/>
        <v>37</v>
      </c>
      <c r="CS803" t="str">
        <f>IF(OR(周转筐出入库明细!$C804="",周转筐出入库明细!$F804&lt;&gt;"采购入库"),"",周转筐出入库明细!$C804)</f>
        <v/>
      </c>
      <c r="CT803">
        <f t="shared" si="374"/>
        <v>0</v>
      </c>
      <c r="CU803">
        <f t="shared" si="375"/>
        <v>1</v>
      </c>
    </row>
    <row r="804" spans="1:99">
      <c r="A804" t="str">
        <f>IF(包装物料出入库明细!$E804="","",包装物料出入库明细!$E804)</f>
        <v/>
      </c>
      <c r="B804">
        <f t="shared" si="359"/>
        <v>0</v>
      </c>
      <c r="C804">
        <f t="shared" si="360"/>
        <v>7</v>
      </c>
      <c r="D804" t="str">
        <f>IF(包装物料出入库明细!$E804="","",包装物料出入库明细!$F804)</f>
        <v/>
      </c>
      <c r="E804" t="str">
        <f>IF(包装物料出入库明细!$E804="","",包装物料出入库明细!$G804)</f>
        <v/>
      </c>
      <c r="K804" t="str">
        <f>IF(包装物料出入库明细!$D804="","",包装物料出入库明细!$D804)</f>
        <v/>
      </c>
      <c r="L804">
        <f t="shared" si="361"/>
        <v>0</v>
      </c>
      <c r="M804">
        <f t="shared" si="362"/>
        <v>9</v>
      </c>
      <c r="Q804" t="str">
        <f>IF(周转筐出入库明细!$D805="","",周转筐出入库明细!$D805)</f>
        <v/>
      </c>
      <c r="R804">
        <f t="shared" si="363"/>
        <v>0</v>
      </c>
      <c r="S804">
        <f t="shared" si="364"/>
        <v>5</v>
      </c>
      <c r="W804" t="str">
        <f>IF(周转筐出入库明细!$C805="","",周转筐出入库明细!$C805)</f>
        <v/>
      </c>
      <c r="X804">
        <f t="shared" si="365"/>
        <v>0</v>
      </c>
      <c r="Y804">
        <f t="shared" si="366"/>
        <v>12</v>
      </c>
      <c r="AC804" t="str">
        <f>IF(客户自备加工筐明细!$C804="","",客户自备加工筐明细!$C804)</f>
        <v/>
      </c>
      <c r="AD804">
        <f t="shared" si="367"/>
        <v>0</v>
      </c>
      <c r="AE804">
        <f t="shared" si="368"/>
        <v>1</v>
      </c>
      <c r="AI804" t="str">
        <f>IF(客户自备加工筐明细!$E804="","",客户自备加工筐明细!$E804)</f>
        <v/>
      </c>
      <c r="AJ804">
        <f t="shared" si="369"/>
        <v>0</v>
      </c>
      <c r="AK804">
        <f t="shared" si="370"/>
        <v>1</v>
      </c>
      <c r="BS804" t="str">
        <f t="shared" ref="BS804:BS867" si="377">IF($BE4="","",$BE4)</f>
        <v>聂新平</v>
      </c>
      <c r="BT804">
        <f t="shared" si="371"/>
        <v>0</v>
      </c>
      <c r="BU804">
        <f t="shared" si="372"/>
        <v>17</v>
      </c>
      <c r="CP804">
        <f>IF(包装物料出入库明细!$D804="",0,1)</f>
        <v>0</v>
      </c>
      <c r="CQ804">
        <f t="shared" si="373"/>
        <v>37</v>
      </c>
      <c r="CS804" t="str">
        <f>IF(OR(周转筐出入库明细!$C805="",周转筐出入库明细!$F805&lt;&gt;"采购入库"),"",周转筐出入库明细!$C805)</f>
        <v/>
      </c>
      <c r="CT804">
        <f t="shared" si="374"/>
        <v>0</v>
      </c>
      <c r="CU804">
        <f t="shared" si="375"/>
        <v>1</v>
      </c>
    </row>
    <row r="805" spans="1:99">
      <c r="A805" t="str">
        <f>IF(包装物料出入库明细!$E805="","",包装物料出入库明细!$E805)</f>
        <v/>
      </c>
      <c r="B805">
        <f t="shared" si="359"/>
        <v>0</v>
      </c>
      <c r="C805">
        <f t="shared" si="360"/>
        <v>7</v>
      </c>
      <c r="D805" t="str">
        <f>IF(包装物料出入库明细!$E805="","",包装物料出入库明细!$F805)</f>
        <v/>
      </c>
      <c r="E805" t="str">
        <f>IF(包装物料出入库明细!$E805="","",包装物料出入库明细!$G805)</f>
        <v/>
      </c>
      <c r="K805" t="str">
        <f>IF(包装物料出入库明细!$D805="","",包装物料出入库明细!$D805)</f>
        <v/>
      </c>
      <c r="L805">
        <f t="shared" si="361"/>
        <v>0</v>
      </c>
      <c r="M805">
        <f t="shared" si="362"/>
        <v>9</v>
      </c>
      <c r="Q805" t="str">
        <f>IF(周转筐出入库明细!$D806="","",周转筐出入库明细!$D806)</f>
        <v/>
      </c>
      <c r="R805">
        <f t="shared" si="363"/>
        <v>0</v>
      </c>
      <c r="S805">
        <f t="shared" si="364"/>
        <v>5</v>
      </c>
      <c r="W805" t="str">
        <f>IF(周转筐出入库明细!$C806="","",周转筐出入库明细!$C806)</f>
        <v/>
      </c>
      <c r="X805">
        <f t="shared" si="365"/>
        <v>0</v>
      </c>
      <c r="Y805">
        <f t="shared" si="366"/>
        <v>12</v>
      </c>
      <c r="AC805" t="str">
        <f>IF(客户自备加工筐明细!$C805="","",客户自备加工筐明细!$C805)</f>
        <v/>
      </c>
      <c r="AD805">
        <f t="shared" si="367"/>
        <v>0</v>
      </c>
      <c r="AE805">
        <f t="shared" si="368"/>
        <v>1</v>
      </c>
      <c r="AI805" t="str">
        <f>IF(客户自备加工筐明细!$E805="","",客户自备加工筐明细!$E805)</f>
        <v/>
      </c>
      <c r="AJ805">
        <f t="shared" si="369"/>
        <v>0</v>
      </c>
      <c r="AK805">
        <f t="shared" si="370"/>
        <v>1</v>
      </c>
      <c r="BS805" t="str">
        <f t="shared" si="377"/>
        <v>王照雪</v>
      </c>
      <c r="BT805">
        <f t="shared" si="371"/>
        <v>0</v>
      </c>
      <c r="BU805">
        <f t="shared" si="372"/>
        <v>17</v>
      </c>
      <c r="CP805">
        <f>IF(包装物料出入库明细!$D805="",0,1)</f>
        <v>0</v>
      </c>
      <c r="CQ805">
        <f t="shared" si="373"/>
        <v>37</v>
      </c>
      <c r="CS805" t="str">
        <f>IF(OR(周转筐出入库明细!$C806="",周转筐出入库明细!$F806&lt;&gt;"采购入库"),"",周转筐出入库明细!$C806)</f>
        <v/>
      </c>
      <c r="CT805">
        <f t="shared" si="374"/>
        <v>0</v>
      </c>
      <c r="CU805">
        <f t="shared" si="375"/>
        <v>1</v>
      </c>
    </row>
    <row r="806" spans="1:99">
      <c r="A806" t="str">
        <f>IF(包装物料出入库明细!$E806="","",包装物料出入库明细!$E806)</f>
        <v/>
      </c>
      <c r="B806">
        <f t="shared" si="359"/>
        <v>0</v>
      </c>
      <c r="C806">
        <f t="shared" si="360"/>
        <v>7</v>
      </c>
      <c r="D806" t="str">
        <f>IF(包装物料出入库明细!$E806="","",包装物料出入库明细!$F806)</f>
        <v/>
      </c>
      <c r="E806" t="str">
        <f>IF(包装物料出入库明细!$E806="","",包装物料出入库明细!$G806)</f>
        <v/>
      </c>
      <c r="K806" t="str">
        <f>IF(包装物料出入库明细!$D806="","",包装物料出入库明细!$D806)</f>
        <v/>
      </c>
      <c r="L806">
        <f t="shared" si="361"/>
        <v>0</v>
      </c>
      <c r="M806">
        <f t="shared" si="362"/>
        <v>9</v>
      </c>
      <c r="Q806" t="str">
        <f>IF(周转筐出入库明细!$D807="","",周转筐出入库明细!$D807)</f>
        <v/>
      </c>
      <c r="R806">
        <f t="shared" si="363"/>
        <v>0</v>
      </c>
      <c r="S806">
        <f t="shared" si="364"/>
        <v>5</v>
      </c>
      <c r="W806" t="str">
        <f>IF(周转筐出入库明细!$C807="","",周转筐出入库明细!$C807)</f>
        <v/>
      </c>
      <c r="X806">
        <f t="shared" si="365"/>
        <v>0</v>
      </c>
      <c r="Y806">
        <f t="shared" si="366"/>
        <v>12</v>
      </c>
      <c r="AC806" t="str">
        <f>IF(客户自备加工筐明细!$C806="","",客户自备加工筐明细!$C806)</f>
        <v/>
      </c>
      <c r="AD806">
        <f t="shared" si="367"/>
        <v>0</v>
      </c>
      <c r="AE806">
        <f t="shared" si="368"/>
        <v>1</v>
      </c>
      <c r="AI806" t="str">
        <f>IF(客户自备加工筐明细!$E806="","",客户自备加工筐明细!$E806)</f>
        <v/>
      </c>
      <c r="AJ806">
        <f t="shared" si="369"/>
        <v>0</v>
      </c>
      <c r="AK806">
        <f t="shared" si="370"/>
        <v>1</v>
      </c>
      <c r="BS806" t="str">
        <f t="shared" si="377"/>
        <v>伍元虎</v>
      </c>
      <c r="BT806">
        <f t="shared" si="371"/>
        <v>0</v>
      </c>
      <c r="BU806">
        <f t="shared" si="372"/>
        <v>17</v>
      </c>
      <c r="CP806">
        <f>IF(包装物料出入库明细!$D806="",0,1)</f>
        <v>0</v>
      </c>
      <c r="CQ806">
        <f t="shared" si="373"/>
        <v>37</v>
      </c>
      <c r="CS806" t="str">
        <f>IF(OR(周转筐出入库明细!$C807="",周转筐出入库明细!$F807&lt;&gt;"采购入库"),"",周转筐出入库明细!$C807)</f>
        <v/>
      </c>
      <c r="CT806">
        <f t="shared" si="374"/>
        <v>0</v>
      </c>
      <c r="CU806">
        <f t="shared" si="375"/>
        <v>1</v>
      </c>
    </row>
    <row r="807" spans="1:99">
      <c r="A807" t="str">
        <f>IF(包装物料出入库明细!$E807="","",包装物料出入库明细!$E807)</f>
        <v/>
      </c>
      <c r="B807">
        <f t="shared" si="359"/>
        <v>0</v>
      </c>
      <c r="C807">
        <f t="shared" si="360"/>
        <v>7</v>
      </c>
      <c r="D807" t="str">
        <f>IF(包装物料出入库明细!$E807="","",包装物料出入库明细!$F807)</f>
        <v/>
      </c>
      <c r="E807" t="str">
        <f>IF(包装物料出入库明细!$E807="","",包装物料出入库明细!$G807)</f>
        <v/>
      </c>
      <c r="K807" t="str">
        <f>IF(包装物料出入库明细!$D807="","",包装物料出入库明细!$D807)</f>
        <v/>
      </c>
      <c r="L807">
        <f t="shared" si="361"/>
        <v>0</v>
      </c>
      <c r="M807">
        <f t="shared" si="362"/>
        <v>9</v>
      </c>
      <c r="Q807" t="str">
        <f>IF(周转筐出入库明细!$D808="","",周转筐出入库明细!$D808)</f>
        <v/>
      </c>
      <c r="R807">
        <f t="shared" si="363"/>
        <v>0</v>
      </c>
      <c r="S807">
        <f t="shared" si="364"/>
        <v>5</v>
      </c>
      <c r="W807" t="str">
        <f>IF(周转筐出入库明细!$C808="","",周转筐出入库明细!$C808)</f>
        <v/>
      </c>
      <c r="X807">
        <f t="shared" si="365"/>
        <v>0</v>
      </c>
      <c r="Y807">
        <f t="shared" si="366"/>
        <v>12</v>
      </c>
      <c r="AC807" t="str">
        <f>IF(客户自备加工筐明细!$C807="","",客户自备加工筐明细!$C807)</f>
        <v/>
      </c>
      <c r="AD807">
        <f t="shared" si="367"/>
        <v>0</v>
      </c>
      <c r="AE807">
        <f t="shared" si="368"/>
        <v>1</v>
      </c>
      <c r="AI807" t="str">
        <f>IF(客户自备加工筐明细!$E807="","",客户自备加工筐明细!$E807)</f>
        <v/>
      </c>
      <c r="AJ807">
        <f t="shared" si="369"/>
        <v>0</v>
      </c>
      <c r="AK807">
        <f t="shared" si="370"/>
        <v>1</v>
      </c>
      <c r="BS807" t="str">
        <f t="shared" si="377"/>
        <v>马锦祥</v>
      </c>
      <c r="BT807">
        <f t="shared" si="371"/>
        <v>0</v>
      </c>
      <c r="BU807">
        <f t="shared" si="372"/>
        <v>17</v>
      </c>
      <c r="CP807">
        <f>IF(包装物料出入库明细!$D807="",0,1)</f>
        <v>0</v>
      </c>
      <c r="CQ807">
        <f t="shared" si="373"/>
        <v>37</v>
      </c>
      <c r="CS807" t="str">
        <f>IF(OR(周转筐出入库明细!$C808="",周转筐出入库明细!$F808&lt;&gt;"采购入库"),"",周转筐出入库明细!$C808)</f>
        <v/>
      </c>
      <c r="CT807">
        <f t="shared" si="374"/>
        <v>0</v>
      </c>
      <c r="CU807">
        <f t="shared" si="375"/>
        <v>1</v>
      </c>
    </row>
    <row r="808" spans="1:99">
      <c r="A808" t="str">
        <f>IF(包装物料出入库明细!$E808="","",包装物料出入库明细!$E808)</f>
        <v/>
      </c>
      <c r="B808">
        <f t="shared" si="359"/>
        <v>0</v>
      </c>
      <c r="C808">
        <f t="shared" si="360"/>
        <v>7</v>
      </c>
      <c r="D808" t="str">
        <f>IF(包装物料出入库明细!$E808="","",包装物料出入库明细!$F808)</f>
        <v/>
      </c>
      <c r="E808" t="str">
        <f>IF(包装物料出入库明细!$E808="","",包装物料出入库明细!$G808)</f>
        <v/>
      </c>
      <c r="K808" t="str">
        <f>IF(包装物料出入库明细!$D808="","",包装物料出入库明细!$D808)</f>
        <v/>
      </c>
      <c r="L808">
        <f t="shared" si="361"/>
        <v>0</v>
      </c>
      <c r="M808">
        <f t="shared" si="362"/>
        <v>9</v>
      </c>
      <c r="Q808" t="str">
        <f>IF(周转筐出入库明细!$D809="","",周转筐出入库明细!$D809)</f>
        <v/>
      </c>
      <c r="R808">
        <f t="shared" si="363"/>
        <v>0</v>
      </c>
      <c r="S808">
        <f t="shared" si="364"/>
        <v>5</v>
      </c>
      <c r="W808" t="str">
        <f>IF(周转筐出入库明细!$C809="","",周转筐出入库明细!$C809)</f>
        <v/>
      </c>
      <c r="X808">
        <f t="shared" si="365"/>
        <v>0</v>
      </c>
      <c r="Y808">
        <f t="shared" si="366"/>
        <v>12</v>
      </c>
      <c r="AC808" t="str">
        <f>IF(客户自备加工筐明细!$C808="","",客户自备加工筐明细!$C808)</f>
        <v/>
      </c>
      <c r="AD808">
        <f t="shared" si="367"/>
        <v>0</v>
      </c>
      <c r="AE808">
        <f t="shared" si="368"/>
        <v>1</v>
      </c>
      <c r="AI808" t="str">
        <f>IF(客户自备加工筐明细!$E808="","",客户自备加工筐明细!$E808)</f>
        <v/>
      </c>
      <c r="AJ808">
        <f t="shared" si="369"/>
        <v>0</v>
      </c>
      <c r="AK808">
        <f t="shared" si="370"/>
        <v>1</v>
      </c>
      <c r="BS808" t="str">
        <f t="shared" si="377"/>
        <v>麦麦提</v>
      </c>
      <c r="BT808">
        <f t="shared" si="371"/>
        <v>0</v>
      </c>
      <c r="BU808">
        <f t="shared" si="372"/>
        <v>17</v>
      </c>
      <c r="CP808">
        <f>IF(包装物料出入库明细!$D808="",0,1)</f>
        <v>0</v>
      </c>
      <c r="CQ808">
        <f t="shared" si="373"/>
        <v>37</v>
      </c>
      <c r="CS808" t="str">
        <f>IF(OR(周转筐出入库明细!$C809="",周转筐出入库明细!$F809&lt;&gt;"采购入库"),"",周转筐出入库明细!$C809)</f>
        <v/>
      </c>
      <c r="CT808">
        <f t="shared" si="374"/>
        <v>0</v>
      </c>
      <c r="CU808">
        <f t="shared" si="375"/>
        <v>1</v>
      </c>
    </row>
    <row r="809" spans="1:99">
      <c r="A809" t="str">
        <f>IF(包装物料出入库明细!$E809="","",包装物料出入库明细!$E809)</f>
        <v/>
      </c>
      <c r="B809">
        <f t="shared" si="359"/>
        <v>0</v>
      </c>
      <c r="C809">
        <f t="shared" si="360"/>
        <v>7</v>
      </c>
      <c r="D809" t="str">
        <f>IF(包装物料出入库明细!$E809="","",包装物料出入库明细!$F809)</f>
        <v/>
      </c>
      <c r="E809" t="str">
        <f>IF(包装物料出入库明细!$E809="","",包装物料出入库明细!$G809)</f>
        <v/>
      </c>
      <c r="K809" t="str">
        <f>IF(包装物料出入库明细!$D809="","",包装物料出入库明细!$D809)</f>
        <v/>
      </c>
      <c r="L809">
        <f t="shared" si="361"/>
        <v>0</v>
      </c>
      <c r="M809">
        <f t="shared" si="362"/>
        <v>9</v>
      </c>
      <c r="Q809" t="str">
        <f>IF(周转筐出入库明细!$D810="","",周转筐出入库明细!$D810)</f>
        <v/>
      </c>
      <c r="R809">
        <f t="shared" si="363"/>
        <v>0</v>
      </c>
      <c r="S809">
        <f t="shared" si="364"/>
        <v>5</v>
      </c>
      <c r="W809" t="str">
        <f>IF(周转筐出入库明细!$C810="","",周转筐出入库明细!$C810)</f>
        <v/>
      </c>
      <c r="X809">
        <f t="shared" si="365"/>
        <v>0</v>
      </c>
      <c r="Y809">
        <f t="shared" si="366"/>
        <v>12</v>
      </c>
      <c r="AC809" t="str">
        <f>IF(客户自备加工筐明细!$C809="","",客户自备加工筐明细!$C809)</f>
        <v/>
      </c>
      <c r="AD809">
        <f t="shared" si="367"/>
        <v>0</v>
      </c>
      <c r="AE809">
        <f t="shared" si="368"/>
        <v>1</v>
      </c>
      <c r="AI809" t="str">
        <f>IF(客户自备加工筐明细!$E809="","",客户自备加工筐明细!$E809)</f>
        <v/>
      </c>
      <c r="AJ809">
        <f t="shared" si="369"/>
        <v>0</v>
      </c>
      <c r="AK809">
        <f t="shared" si="370"/>
        <v>1</v>
      </c>
      <c r="BS809" t="str">
        <f t="shared" si="377"/>
        <v>吐尔洪</v>
      </c>
      <c r="BT809">
        <f t="shared" si="371"/>
        <v>0</v>
      </c>
      <c r="BU809">
        <f t="shared" si="372"/>
        <v>17</v>
      </c>
      <c r="CP809">
        <f>IF(包装物料出入库明细!$D809="",0,1)</f>
        <v>0</v>
      </c>
      <c r="CQ809">
        <f t="shared" si="373"/>
        <v>37</v>
      </c>
      <c r="CS809" t="str">
        <f>IF(OR(周转筐出入库明细!$C810="",周转筐出入库明细!$F810&lt;&gt;"采购入库"),"",周转筐出入库明细!$C810)</f>
        <v/>
      </c>
      <c r="CT809">
        <f t="shared" si="374"/>
        <v>0</v>
      </c>
      <c r="CU809">
        <f t="shared" si="375"/>
        <v>1</v>
      </c>
    </row>
    <row r="810" spans="1:99">
      <c r="A810" t="str">
        <f>IF(包装物料出入库明细!$E810="","",包装物料出入库明细!$E810)</f>
        <v/>
      </c>
      <c r="B810">
        <f t="shared" si="359"/>
        <v>0</v>
      </c>
      <c r="C810">
        <f t="shared" si="360"/>
        <v>7</v>
      </c>
      <c r="D810" t="str">
        <f>IF(包装物料出入库明细!$E810="","",包装物料出入库明细!$F810)</f>
        <v/>
      </c>
      <c r="E810" t="str">
        <f>IF(包装物料出入库明细!$E810="","",包装物料出入库明细!$G810)</f>
        <v/>
      </c>
      <c r="K810" t="str">
        <f>IF(包装物料出入库明细!$D810="","",包装物料出入库明细!$D810)</f>
        <v/>
      </c>
      <c r="L810">
        <f t="shared" si="361"/>
        <v>0</v>
      </c>
      <c r="M810">
        <f t="shared" si="362"/>
        <v>9</v>
      </c>
      <c r="Q810" t="str">
        <f>IF(周转筐出入库明细!$D811="","",周转筐出入库明细!$D811)</f>
        <v/>
      </c>
      <c r="R810">
        <f t="shared" si="363"/>
        <v>0</v>
      </c>
      <c r="S810">
        <f t="shared" si="364"/>
        <v>5</v>
      </c>
      <c r="W810" t="str">
        <f>IF(周转筐出入库明细!$C811="","",周转筐出入库明细!$C811)</f>
        <v/>
      </c>
      <c r="X810">
        <f t="shared" si="365"/>
        <v>0</v>
      </c>
      <c r="Y810">
        <f t="shared" si="366"/>
        <v>12</v>
      </c>
      <c r="AC810" t="str">
        <f>IF(客户自备加工筐明细!$C810="","",客户自备加工筐明细!$C810)</f>
        <v/>
      </c>
      <c r="AD810">
        <f t="shared" si="367"/>
        <v>0</v>
      </c>
      <c r="AE810">
        <f t="shared" si="368"/>
        <v>1</v>
      </c>
      <c r="AI810" t="str">
        <f>IF(客户自备加工筐明细!$E810="","",客户自备加工筐明细!$E810)</f>
        <v/>
      </c>
      <c r="AJ810">
        <f t="shared" si="369"/>
        <v>0</v>
      </c>
      <c r="AK810">
        <f t="shared" si="370"/>
        <v>1</v>
      </c>
      <c r="BS810" t="str">
        <f t="shared" si="377"/>
        <v>热合曼</v>
      </c>
      <c r="BT810">
        <f t="shared" si="371"/>
        <v>0</v>
      </c>
      <c r="BU810">
        <f t="shared" si="372"/>
        <v>17</v>
      </c>
      <c r="CP810">
        <f>IF(包装物料出入库明细!$D810="",0,1)</f>
        <v>0</v>
      </c>
      <c r="CQ810">
        <f t="shared" si="373"/>
        <v>37</v>
      </c>
      <c r="CS810" t="str">
        <f>IF(OR(周转筐出入库明细!$C811="",周转筐出入库明细!$F811&lt;&gt;"采购入库"),"",周转筐出入库明细!$C811)</f>
        <v/>
      </c>
      <c r="CT810">
        <f t="shared" si="374"/>
        <v>0</v>
      </c>
      <c r="CU810">
        <f t="shared" si="375"/>
        <v>1</v>
      </c>
    </row>
    <row r="811" spans="1:99">
      <c r="A811" t="str">
        <f>IF(包装物料出入库明细!$E811="","",包装物料出入库明细!$E811)</f>
        <v/>
      </c>
      <c r="B811">
        <f t="shared" si="359"/>
        <v>0</v>
      </c>
      <c r="C811">
        <f t="shared" si="360"/>
        <v>7</v>
      </c>
      <c r="D811" t="str">
        <f>IF(包装物料出入库明细!$E811="","",包装物料出入库明细!$F811)</f>
        <v/>
      </c>
      <c r="E811" t="str">
        <f>IF(包装物料出入库明细!$E811="","",包装物料出入库明细!$G811)</f>
        <v/>
      </c>
      <c r="K811" t="str">
        <f>IF(包装物料出入库明细!$D811="","",包装物料出入库明细!$D811)</f>
        <v/>
      </c>
      <c r="L811">
        <f t="shared" si="361"/>
        <v>0</v>
      </c>
      <c r="M811">
        <f t="shared" si="362"/>
        <v>9</v>
      </c>
      <c r="Q811" t="str">
        <f>IF(周转筐出入库明细!$D812="","",周转筐出入库明细!$D812)</f>
        <v/>
      </c>
      <c r="R811">
        <f t="shared" si="363"/>
        <v>0</v>
      </c>
      <c r="S811">
        <f t="shared" si="364"/>
        <v>5</v>
      </c>
      <c r="W811" t="str">
        <f>IF(周转筐出入库明细!$C812="","",周转筐出入库明细!$C812)</f>
        <v/>
      </c>
      <c r="X811">
        <f t="shared" si="365"/>
        <v>0</v>
      </c>
      <c r="Y811">
        <f t="shared" si="366"/>
        <v>12</v>
      </c>
      <c r="AC811" t="str">
        <f>IF(客户自备加工筐明细!$C811="","",客户自备加工筐明细!$C811)</f>
        <v/>
      </c>
      <c r="AD811">
        <f t="shared" si="367"/>
        <v>0</v>
      </c>
      <c r="AE811">
        <f t="shared" si="368"/>
        <v>1</v>
      </c>
      <c r="AI811" t="str">
        <f>IF(客户自备加工筐明细!$E811="","",客户自备加工筐明细!$E811)</f>
        <v/>
      </c>
      <c r="AJ811">
        <f t="shared" si="369"/>
        <v>0</v>
      </c>
      <c r="AK811">
        <f t="shared" si="370"/>
        <v>1</v>
      </c>
      <c r="BS811" t="str">
        <f t="shared" si="377"/>
        <v>贾建国</v>
      </c>
      <c r="BT811">
        <f t="shared" si="371"/>
        <v>0</v>
      </c>
      <c r="BU811">
        <f t="shared" si="372"/>
        <v>17</v>
      </c>
      <c r="CP811">
        <f>IF(包装物料出入库明细!$D811="",0,1)</f>
        <v>0</v>
      </c>
      <c r="CQ811">
        <f t="shared" si="373"/>
        <v>37</v>
      </c>
      <c r="CS811" t="str">
        <f>IF(OR(周转筐出入库明细!$C812="",周转筐出入库明细!$F812&lt;&gt;"采购入库"),"",周转筐出入库明细!$C812)</f>
        <v/>
      </c>
      <c r="CT811">
        <f t="shared" si="374"/>
        <v>0</v>
      </c>
      <c r="CU811">
        <f t="shared" si="375"/>
        <v>1</v>
      </c>
    </row>
    <row r="812" spans="1:99">
      <c r="A812" t="str">
        <f>IF(包装物料出入库明细!$E812="","",包装物料出入库明细!$E812)</f>
        <v/>
      </c>
      <c r="B812">
        <f t="shared" si="359"/>
        <v>0</v>
      </c>
      <c r="C812">
        <f t="shared" si="360"/>
        <v>7</v>
      </c>
      <c r="D812" t="str">
        <f>IF(包装物料出入库明细!$E812="","",包装物料出入库明细!$F812)</f>
        <v/>
      </c>
      <c r="E812" t="str">
        <f>IF(包装物料出入库明细!$E812="","",包装物料出入库明细!$G812)</f>
        <v/>
      </c>
      <c r="K812" t="str">
        <f>IF(包装物料出入库明细!$D812="","",包装物料出入库明细!$D812)</f>
        <v/>
      </c>
      <c r="L812">
        <f t="shared" si="361"/>
        <v>0</v>
      </c>
      <c r="M812">
        <f t="shared" si="362"/>
        <v>9</v>
      </c>
      <c r="Q812" t="str">
        <f>IF(周转筐出入库明细!$D813="","",周转筐出入库明细!$D813)</f>
        <v/>
      </c>
      <c r="R812">
        <f t="shared" si="363"/>
        <v>0</v>
      </c>
      <c r="S812">
        <f t="shared" si="364"/>
        <v>5</v>
      </c>
      <c r="W812" t="str">
        <f>IF(周转筐出入库明细!$C813="","",周转筐出入库明细!$C813)</f>
        <v/>
      </c>
      <c r="X812">
        <f t="shared" si="365"/>
        <v>0</v>
      </c>
      <c r="Y812">
        <f t="shared" si="366"/>
        <v>12</v>
      </c>
      <c r="AC812" t="str">
        <f>IF(客户自备加工筐明细!$C812="","",客户自备加工筐明细!$C812)</f>
        <v/>
      </c>
      <c r="AD812">
        <f t="shared" si="367"/>
        <v>0</v>
      </c>
      <c r="AE812">
        <f t="shared" si="368"/>
        <v>1</v>
      </c>
      <c r="AI812" t="str">
        <f>IF(客户自备加工筐明细!$E812="","",客户自备加工筐明细!$E812)</f>
        <v/>
      </c>
      <c r="AJ812">
        <f t="shared" si="369"/>
        <v>0</v>
      </c>
      <c r="AK812">
        <f t="shared" si="370"/>
        <v>1</v>
      </c>
      <c r="BS812" t="str">
        <f t="shared" si="377"/>
        <v>王灵云</v>
      </c>
      <c r="BT812">
        <f t="shared" si="371"/>
        <v>0</v>
      </c>
      <c r="BU812">
        <f t="shared" si="372"/>
        <v>17</v>
      </c>
      <c r="CP812">
        <f>IF(包装物料出入库明细!$D812="",0,1)</f>
        <v>0</v>
      </c>
      <c r="CQ812">
        <f t="shared" si="373"/>
        <v>37</v>
      </c>
      <c r="CS812" t="str">
        <f>IF(OR(周转筐出入库明细!$C813="",周转筐出入库明细!$F813&lt;&gt;"采购入库"),"",周转筐出入库明细!$C813)</f>
        <v/>
      </c>
      <c r="CT812">
        <f t="shared" si="374"/>
        <v>0</v>
      </c>
      <c r="CU812">
        <f t="shared" si="375"/>
        <v>1</v>
      </c>
    </row>
    <row r="813" spans="1:99">
      <c r="A813" t="str">
        <f>IF(包装物料出入库明细!$E813="","",包装物料出入库明细!$E813)</f>
        <v/>
      </c>
      <c r="B813">
        <f t="shared" si="359"/>
        <v>0</v>
      </c>
      <c r="C813">
        <f t="shared" si="360"/>
        <v>7</v>
      </c>
      <c r="D813" t="str">
        <f>IF(包装物料出入库明细!$E813="","",包装物料出入库明细!$F813)</f>
        <v/>
      </c>
      <c r="E813" t="str">
        <f>IF(包装物料出入库明细!$E813="","",包装物料出入库明细!$G813)</f>
        <v/>
      </c>
      <c r="K813" t="str">
        <f>IF(包装物料出入库明细!$D813="","",包装物料出入库明细!$D813)</f>
        <v/>
      </c>
      <c r="L813">
        <f t="shared" si="361"/>
        <v>0</v>
      </c>
      <c r="M813">
        <f t="shared" si="362"/>
        <v>9</v>
      </c>
      <c r="Q813" t="str">
        <f>IF(周转筐出入库明细!$D814="","",周转筐出入库明细!$D814)</f>
        <v/>
      </c>
      <c r="R813">
        <f t="shared" si="363"/>
        <v>0</v>
      </c>
      <c r="S813">
        <f t="shared" si="364"/>
        <v>5</v>
      </c>
      <c r="W813" t="str">
        <f>IF(周转筐出入库明细!$C814="","",周转筐出入库明细!$C814)</f>
        <v/>
      </c>
      <c r="X813">
        <f t="shared" si="365"/>
        <v>0</v>
      </c>
      <c r="Y813">
        <f t="shared" si="366"/>
        <v>12</v>
      </c>
      <c r="AC813" t="str">
        <f>IF(客户自备加工筐明细!$C813="","",客户自备加工筐明细!$C813)</f>
        <v/>
      </c>
      <c r="AD813">
        <f t="shared" si="367"/>
        <v>0</v>
      </c>
      <c r="AE813">
        <f t="shared" si="368"/>
        <v>1</v>
      </c>
      <c r="AI813" t="str">
        <f>IF(客户自备加工筐明细!$E813="","",客户自备加工筐明细!$E813)</f>
        <v/>
      </c>
      <c r="AJ813">
        <f t="shared" si="369"/>
        <v>0</v>
      </c>
      <c r="AK813">
        <f t="shared" si="370"/>
        <v>1</v>
      </c>
      <c r="BS813" t="str">
        <f t="shared" si="377"/>
        <v>杨艳玲</v>
      </c>
      <c r="BT813">
        <f t="shared" si="371"/>
        <v>0</v>
      </c>
      <c r="BU813">
        <f t="shared" si="372"/>
        <v>17</v>
      </c>
      <c r="CP813">
        <f>IF(包装物料出入库明细!$D813="",0,1)</f>
        <v>0</v>
      </c>
      <c r="CQ813">
        <f t="shared" si="373"/>
        <v>37</v>
      </c>
      <c r="CS813" t="str">
        <f>IF(OR(周转筐出入库明细!$C814="",周转筐出入库明细!$F814&lt;&gt;"采购入库"),"",周转筐出入库明细!$C814)</f>
        <v/>
      </c>
      <c r="CT813">
        <f t="shared" si="374"/>
        <v>0</v>
      </c>
      <c r="CU813">
        <f t="shared" si="375"/>
        <v>1</v>
      </c>
    </row>
    <row r="814" spans="1:99">
      <c r="A814" t="str">
        <f>IF(包装物料出入库明细!$E814="","",包装物料出入库明细!$E814)</f>
        <v/>
      </c>
      <c r="B814">
        <f t="shared" si="359"/>
        <v>0</v>
      </c>
      <c r="C814">
        <f t="shared" si="360"/>
        <v>7</v>
      </c>
      <c r="D814" t="str">
        <f>IF(包装物料出入库明细!$E814="","",包装物料出入库明细!$F814)</f>
        <v/>
      </c>
      <c r="E814" t="str">
        <f>IF(包装物料出入库明细!$E814="","",包装物料出入库明细!$G814)</f>
        <v/>
      </c>
      <c r="K814" t="str">
        <f>IF(包装物料出入库明细!$D814="","",包装物料出入库明细!$D814)</f>
        <v/>
      </c>
      <c r="L814">
        <f t="shared" si="361"/>
        <v>0</v>
      </c>
      <c r="M814">
        <f t="shared" si="362"/>
        <v>9</v>
      </c>
      <c r="Q814" t="str">
        <f>IF(周转筐出入库明细!$D815="","",周转筐出入库明细!$D815)</f>
        <v/>
      </c>
      <c r="R814">
        <f t="shared" si="363"/>
        <v>0</v>
      </c>
      <c r="S814">
        <f t="shared" si="364"/>
        <v>5</v>
      </c>
      <c r="W814" t="str">
        <f>IF(周转筐出入库明细!$C815="","",周转筐出入库明细!$C815)</f>
        <v/>
      </c>
      <c r="X814">
        <f t="shared" si="365"/>
        <v>0</v>
      </c>
      <c r="Y814">
        <f t="shared" si="366"/>
        <v>12</v>
      </c>
      <c r="AC814" t="str">
        <f>IF(客户自备加工筐明细!$C814="","",客户自备加工筐明细!$C814)</f>
        <v/>
      </c>
      <c r="AD814">
        <f t="shared" si="367"/>
        <v>0</v>
      </c>
      <c r="AE814">
        <f t="shared" si="368"/>
        <v>1</v>
      </c>
      <c r="AI814" t="str">
        <f>IF(客户自备加工筐明细!$E814="","",客户自备加工筐明细!$E814)</f>
        <v/>
      </c>
      <c r="AJ814">
        <f t="shared" si="369"/>
        <v>0</v>
      </c>
      <c r="AK814">
        <f t="shared" si="370"/>
        <v>1</v>
      </c>
      <c r="BS814" t="str">
        <f t="shared" si="377"/>
        <v>荆建君</v>
      </c>
      <c r="BT814">
        <f t="shared" si="371"/>
        <v>0</v>
      </c>
      <c r="BU814">
        <f t="shared" si="372"/>
        <v>17</v>
      </c>
      <c r="CP814">
        <f>IF(包装物料出入库明细!$D814="",0,1)</f>
        <v>0</v>
      </c>
      <c r="CQ814">
        <f t="shared" si="373"/>
        <v>37</v>
      </c>
      <c r="CS814" t="str">
        <f>IF(OR(周转筐出入库明细!$C815="",周转筐出入库明细!$F815&lt;&gt;"采购入库"),"",周转筐出入库明细!$C815)</f>
        <v/>
      </c>
      <c r="CT814">
        <f t="shared" si="374"/>
        <v>0</v>
      </c>
      <c r="CU814">
        <f t="shared" si="375"/>
        <v>1</v>
      </c>
    </row>
    <row r="815" spans="1:99">
      <c r="A815" t="str">
        <f>IF(包装物料出入库明细!$E815="","",包装物料出入库明细!$E815)</f>
        <v/>
      </c>
      <c r="B815">
        <f t="shared" si="359"/>
        <v>0</v>
      </c>
      <c r="C815">
        <f t="shared" si="360"/>
        <v>7</v>
      </c>
      <c r="D815" t="str">
        <f>IF(包装物料出入库明细!$E815="","",包装物料出入库明细!$F815)</f>
        <v/>
      </c>
      <c r="E815" t="str">
        <f>IF(包装物料出入库明细!$E815="","",包装物料出入库明细!$G815)</f>
        <v/>
      </c>
      <c r="K815" t="str">
        <f>IF(包装物料出入库明细!$D815="","",包装物料出入库明细!$D815)</f>
        <v/>
      </c>
      <c r="L815">
        <f t="shared" si="361"/>
        <v>0</v>
      </c>
      <c r="M815">
        <f t="shared" si="362"/>
        <v>9</v>
      </c>
      <c r="Q815" t="str">
        <f>IF(周转筐出入库明细!$D816="","",周转筐出入库明细!$D816)</f>
        <v/>
      </c>
      <c r="R815">
        <f t="shared" si="363"/>
        <v>0</v>
      </c>
      <c r="S815">
        <f t="shared" si="364"/>
        <v>5</v>
      </c>
      <c r="W815" t="str">
        <f>IF(周转筐出入库明细!$C816="","",周转筐出入库明细!$C816)</f>
        <v/>
      </c>
      <c r="X815">
        <f t="shared" si="365"/>
        <v>0</v>
      </c>
      <c r="Y815">
        <f t="shared" si="366"/>
        <v>12</v>
      </c>
      <c r="AC815" t="str">
        <f>IF(客户自备加工筐明细!$C815="","",客户自备加工筐明细!$C815)</f>
        <v/>
      </c>
      <c r="AD815">
        <f t="shared" si="367"/>
        <v>0</v>
      </c>
      <c r="AE815">
        <f t="shared" si="368"/>
        <v>1</v>
      </c>
      <c r="AI815" t="str">
        <f>IF(客户自备加工筐明细!$E815="","",客户自备加工筐明细!$E815)</f>
        <v/>
      </c>
      <c r="AJ815">
        <f t="shared" si="369"/>
        <v>0</v>
      </c>
      <c r="AK815">
        <f t="shared" si="370"/>
        <v>1</v>
      </c>
      <c r="BS815" t="str">
        <f t="shared" si="377"/>
        <v>努尔敦</v>
      </c>
      <c r="BT815">
        <f t="shared" si="371"/>
        <v>0</v>
      </c>
      <c r="BU815">
        <f t="shared" si="372"/>
        <v>17</v>
      </c>
      <c r="CP815">
        <f>IF(包装物料出入库明细!$D815="",0,1)</f>
        <v>0</v>
      </c>
      <c r="CQ815">
        <f t="shared" si="373"/>
        <v>37</v>
      </c>
      <c r="CS815" t="str">
        <f>IF(OR(周转筐出入库明细!$C816="",周转筐出入库明细!$F816&lt;&gt;"采购入库"),"",周转筐出入库明细!$C816)</f>
        <v/>
      </c>
      <c r="CT815">
        <f t="shared" si="374"/>
        <v>0</v>
      </c>
      <c r="CU815">
        <f t="shared" si="375"/>
        <v>1</v>
      </c>
    </row>
    <row r="816" spans="1:99">
      <c r="A816" t="str">
        <f>IF(包装物料出入库明细!$E816="","",包装物料出入库明细!$E816)</f>
        <v/>
      </c>
      <c r="B816">
        <f t="shared" si="359"/>
        <v>0</v>
      </c>
      <c r="C816">
        <f t="shared" si="360"/>
        <v>7</v>
      </c>
      <c r="D816" t="str">
        <f>IF(包装物料出入库明细!$E816="","",包装物料出入库明细!$F816)</f>
        <v/>
      </c>
      <c r="E816" t="str">
        <f>IF(包装物料出入库明细!$E816="","",包装物料出入库明细!$G816)</f>
        <v/>
      </c>
      <c r="K816" t="str">
        <f>IF(包装物料出入库明细!$D816="","",包装物料出入库明细!$D816)</f>
        <v/>
      </c>
      <c r="L816">
        <f t="shared" si="361"/>
        <v>0</v>
      </c>
      <c r="M816">
        <f t="shared" si="362"/>
        <v>9</v>
      </c>
      <c r="Q816" t="str">
        <f>IF(周转筐出入库明细!$D817="","",周转筐出入库明细!$D817)</f>
        <v/>
      </c>
      <c r="R816">
        <f t="shared" si="363"/>
        <v>0</v>
      </c>
      <c r="S816">
        <f t="shared" si="364"/>
        <v>5</v>
      </c>
      <c r="W816" t="str">
        <f>IF(周转筐出入库明细!$C817="","",周转筐出入库明细!$C817)</f>
        <v/>
      </c>
      <c r="X816">
        <f t="shared" si="365"/>
        <v>0</v>
      </c>
      <c r="Y816">
        <f t="shared" si="366"/>
        <v>12</v>
      </c>
      <c r="AC816" t="str">
        <f>IF(客户自备加工筐明细!$C816="","",客户自备加工筐明细!$C816)</f>
        <v/>
      </c>
      <c r="AD816">
        <f t="shared" si="367"/>
        <v>0</v>
      </c>
      <c r="AE816">
        <f t="shared" si="368"/>
        <v>1</v>
      </c>
      <c r="AI816" t="str">
        <f>IF(客户自备加工筐明细!$E816="","",客户自备加工筐明细!$E816)</f>
        <v/>
      </c>
      <c r="AJ816">
        <f t="shared" si="369"/>
        <v>0</v>
      </c>
      <c r="AK816">
        <f t="shared" si="370"/>
        <v>1</v>
      </c>
      <c r="BS816" t="str">
        <f t="shared" si="377"/>
        <v>王浩</v>
      </c>
      <c r="BT816">
        <f t="shared" si="371"/>
        <v>0</v>
      </c>
      <c r="BU816">
        <f t="shared" si="372"/>
        <v>17</v>
      </c>
      <c r="CP816">
        <f>IF(包装物料出入库明细!$D816="",0,1)</f>
        <v>0</v>
      </c>
      <c r="CQ816">
        <f t="shared" si="373"/>
        <v>37</v>
      </c>
      <c r="CS816" t="str">
        <f>IF(OR(周转筐出入库明细!$C817="",周转筐出入库明细!$F817&lt;&gt;"采购入库"),"",周转筐出入库明细!$C817)</f>
        <v/>
      </c>
      <c r="CT816">
        <f t="shared" si="374"/>
        <v>0</v>
      </c>
      <c r="CU816">
        <f t="shared" si="375"/>
        <v>1</v>
      </c>
    </row>
    <row r="817" spans="1:99">
      <c r="A817" t="str">
        <f>IF(包装物料出入库明细!$E817="","",包装物料出入库明细!$E817)</f>
        <v/>
      </c>
      <c r="B817">
        <f t="shared" si="359"/>
        <v>0</v>
      </c>
      <c r="C817">
        <f t="shared" si="360"/>
        <v>7</v>
      </c>
      <c r="D817" t="str">
        <f>IF(包装物料出入库明细!$E817="","",包装物料出入库明细!$F817)</f>
        <v/>
      </c>
      <c r="E817" t="str">
        <f>IF(包装物料出入库明细!$E817="","",包装物料出入库明细!$G817)</f>
        <v/>
      </c>
      <c r="K817" t="str">
        <f>IF(包装物料出入库明细!$D817="","",包装物料出入库明细!$D817)</f>
        <v/>
      </c>
      <c r="L817">
        <f t="shared" si="361"/>
        <v>0</v>
      </c>
      <c r="M817">
        <f t="shared" si="362"/>
        <v>9</v>
      </c>
      <c r="Q817" t="str">
        <f>IF(周转筐出入库明细!$D818="","",周转筐出入库明细!$D818)</f>
        <v/>
      </c>
      <c r="R817">
        <f t="shared" si="363"/>
        <v>0</v>
      </c>
      <c r="S817">
        <f t="shared" si="364"/>
        <v>5</v>
      </c>
      <c r="W817" t="str">
        <f>IF(周转筐出入库明细!$C818="","",周转筐出入库明细!$C818)</f>
        <v/>
      </c>
      <c r="X817">
        <f t="shared" si="365"/>
        <v>0</v>
      </c>
      <c r="Y817">
        <f t="shared" si="366"/>
        <v>12</v>
      </c>
      <c r="AC817" t="str">
        <f>IF(客户自备加工筐明细!$C817="","",客户自备加工筐明细!$C817)</f>
        <v/>
      </c>
      <c r="AD817">
        <f t="shared" si="367"/>
        <v>0</v>
      </c>
      <c r="AE817">
        <f t="shared" si="368"/>
        <v>1</v>
      </c>
      <c r="AI817" t="str">
        <f>IF(客户自备加工筐明细!$E817="","",客户自备加工筐明细!$E817)</f>
        <v/>
      </c>
      <c r="AJ817">
        <f t="shared" si="369"/>
        <v>0</v>
      </c>
      <c r="AK817">
        <f t="shared" si="370"/>
        <v>1</v>
      </c>
      <c r="BS817" t="str">
        <f t="shared" si="377"/>
        <v>电商/主播</v>
      </c>
      <c r="BT817">
        <f t="shared" si="371"/>
        <v>1</v>
      </c>
      <c r="BU817">
        <f t="shared" si="372"/>
        <v>18</v>
      </c>
      <c r="CP817">
        <f>IF(包装物料出入库明细!$D817="",0,1)</f>
        <v>0</v>
      </c>
      <c r="CQ817">
        <f t="shared" si="373"/>
        <v>37</v>
      </c>
      <c r="CS817" t="str">
        <f>IF(OR(周转筐出入库明细!$C818="",周转筐出入库明细!$F818&lt;&gt;"采购入库"),"",周转筐出入库明细!$C818)</f>
        <v/>
      </c>
      <c r="CT817">
        <f t="shared" si="374"/>
        <v>0</v>
      </c>
      <c r="CU817">
        <f t="shared" si="375"/>
        <v>1</v>
      </c>
    </row>
    <row r="818" spans="1:99">
      <c r="A818" t="str">
        <f>IF(包装物料出入库明细!$E818="","",包装物料出入库明细!$E818)</f>
        <v/>
      </c>
      <c r="B818">
        <f t="shared" si="359"/>
        <v>0</v>
      </c>
      <c r="C818">
        <f t="shared" si="360"/>
        <v>7</v>
      </c>
      <c r="D818" t="str">
        <f>IF(包装物料出入库明细!$E818="","",包装物料出入库明细!$F818)</f>
        <v/>
      </c>
      <c r="E818" t="str">
        <f>IF(包装物料出入库明细!$E818="","",包装物料出入库明细!$G818)</f>
        <v/>
      </c>
      <c r="K818" t="str">
        <f>IF(包装物料出入库明细!$D818="","",包装物料出入库明细!$D818)</f>
        <v/>
      </c>
      <c r="L818">
        <f t="shared" si="361"/>
        <v>0</v>
      </c>
      <c r="M818">
        <f t="shared" si="362"/>
        <v>9</v>
      </c>
      <c r="Q818" t="str">
        <f>IF(周转筐出入库明细!$D819="","",周转筐出入库明细!$D819)</f>
        <v/>
      </c>
      <c r="R818">
        <f t="shared" si="363"/>
        <v>0</v>
      </c>
      <c r="S818">
        <f t="shared" si="364"/>
        <v>5</v>
      </c>
      <c r="W818" t="str">
        <f>IF(周转筐出入库明细!$C819="","",周转筐出入库明细!$C819)</f>
        <v/>
      </c>
      <c r="X818">
        <f t="shared" si="365"/>
        <v>0</v>
      </c>
      <c r="Y818">
        <f t="shared" si="366"/>
        <v>12</v>
      </c>
      <c r="AC818" t="str">
        <f>IF(客户自备加工筐明细!$C818="","",客户自备加工筐明细!$C818)</f>
        <v/>
      </c>
      <c r="AD818">
        <f t="shared" si="367"/>
        <v>0</v>
      </c>
      <c r="AE818">
        <f t="shared" si="368"/>
        <v>1</v>
      </c>
      <c r="AI818" t="str">
        <f>IF(客户自备加工筐明细!$E818="","",客户自备加工筐明细!$E818)</f>
        <v/>
      </c>
      <c r="AJ818">
        <f t="shared" si="369"/>
        <v>0</v>
      </c>
      <c r="AK818">
        <f t="shared" si="370"/>
        <v>1</v>
      </c>
      <c r="BS818" t="str">
        <f t="shared" si="377"/>
        <v/>
      </c>
      <c r="BT818">
        <f t="shared" si="371"/>
        <v>0</v>
      </c>
      <c r="BU818">
        <f t="shared" si="372"/>
        <v>18</v>
      </c>
      <c r="CP818">
        <f>IF(包装物料出入库明细!$D818="",0,1)</f>
        <v>0</v>
      </c>
      <c r="CQ818">
        <f t="shared" si="373"/>
        <v>37</v>
      </c>
      <c r="CS818" t="str">
        <f>IF(OR(周转筐出入库明细!$C819="",周转筐出入库明细!$F819&lt;&gt;"采购入库"),"",周转筐出入库明细!$C819)</f>
        <v/>
      </c>
      <c r="CT818">
        <f t="shared" si="374"/>
        <v>0</v>
      </c>
      <c r="CU818">
        <f t="shared" si="375"/>
        <v>1</v>
      </c>
    </row>
    <row r="819" spans="1:99">
      <c r="A819" t="str">
        <f>IF(包装物料出入库明细!$E819="","",包装物料出入库明细!$E819)</f>
        <v/>
      </c>
      <c r="B819">
        <f t="shared" si="359"/>
        <v>0</v>
      </c>
      <c r="C819">
        <f t="shared" si="360"/>
        <v>7</v>
      </c>
      <c r="D819" t="str">
        <f>IF(包装物料出入库明细!$E819="","",包装物料出入库明细!$F819)</f>
        <v/>
      </c>
      <c r="E819" t="str">
        <f>IF(包装物料出入库明细!$E819="","",包装物料出入库明细!$G819)</f>
        <v/>
      </c>
      <c r="K819" t="str">
        <f>IF(包装物料出入库明细!$D819="","",包装物料出入库明细!$D819)</f>
        <v/>
      </c>
      <c r="L819">
        <f t="shared" si="361"/>
        <v>0</v>
      </c>
      <c r="M819">
        <f t="shared" si="362"/>
        <v>9</v>
      </c>
      <c r="Q819" t="str">
        <f>IF(周转筐出入库明细!$D820="","",周转筐出入库明细!$D820)</f>
        <v/>
      </c>
      <c r="R819">
        <f t="shared" si="363"/>
        <v>0</v>
      </c>
      <c r="S819">
        <f t="shared" si="364"/>
        <v>5</v>
      </c>
      <c r="W819" t="str">
        <f>IF(周转筐出入库明细!$C820="","",周转筐出入库明细!$C820)</f>
        <v/>
      </c>
      <c r="X819">
        <f t="shared" si="365"/>
        <v>0</v>
      </c>
      <c r="Y819">
        <f t="shared" si="366"/>
        <v>12</v>
      </c>
      <c r="AC819" t="str">
        <f>IF(客户自备加工筐明细!$C819="","",客户自备加工筐明细!$C819)</f>
        <v/>
      </c>
      <c r="AD819">
        <f t="shared" si="367"/>
        <v>0</v>
      </c>
      <c r="AE819">
        <f t="shared" si="368"/>
        <v>1</v>
      </c>
      <c r="AI819" t="str">
        <f>IF(客户自备加工筐明细!$E819="","",客户自备加工筐明细!$E819)</f>
        <v/>
      </c>
      <c r="AJ819">
        <f t="shared" si="369"/>
        <v>0</v>
      </c>
      <c r="AK819">
        <f t="shared" si="370"/>
        <v>1</v>
      </c>
      <c r="BS819" t="str">
        <f t="shared" si="377"/>
        <v/>
      </c>
      <c r="BT819">
        <f t="shared" si="371"/>
        <v>0</v>
      </c>
      <c r="BU819">
        <f t="shared" si="372"/>
        <v>18</v>
      </c>
      <c r="CP819">
        <f>IF(包装物料出入库明细!$D819="",0,1)</f>
        <v>0</v>
      </c>
      <c r="CQ819">
        <f t="shared" si="373"/>
        <v>37</v>
      </c>
      <c r="CS819" t="str">
        <f>IF(OR(周转筐出入库明细!$C820="",周转筐出入库明细!$F820&lt;&gt;"采购入库"),"",周转筐出入库明细!$C820)</f>
        <v/>
      </c>
      <c r="CT819">
        <f t="shared" si="374"/>
        <v>0</v>
      </c>
      <c r="CU819">
        <f t="shared" si="375"/>
        <v>1</v>
      </c>
    </row>
    <row r="820" spans="1:99">
      <c r="A820" t="str">
        <f>IF(包装物料出入库明细!$E820="","",包装物料出入库明细!$E820)</f>
        <v/>
      </c>
      <c r="B820">
        <f t="shared" si="359"/>
        <v>0</v>
      </c>
      <c r="C820">
        <f t="shared" si="360"/>
        <v>7</v>
      </c>
      <c r="D820" t="str">
        <f>IF(包装物料出入库明细!$E820="","",包装物料出入库明细!$F820)</f>
        <v/>
      </c>
      <c r="E820" t="str">
        <f>IF(包装物料出入库明细!$E820="","",包装物料出入库明细!$G820)</f>
        <v/>
      </c>
      <c r="K820" t="str">
        <f>IF(包装物料出入库明细!$D820="","",包装物料出入库明细!$D820)</f>
        <v/>
      </c>
      <c r="L820">
        <f t="shared" si="361"/>
        <v>0</v>
      </c>
      <c r="M820">
        <f t="shared" si="362"/>
        <v>9</v>
      </c>
      <c r="Q820" t="str">
        <f>IF(周转筐出入库明细!$D821="","",周转筐出入库明细!$D821)</f>
        <v/>
      </c>
      <c r="R820">
        <f t="shared" si="363"/>
        <v>0</v>
      </c>
      <c r="S820">
        <f t="shared" si="364"/>
        <v>5</v>
      </c>
      <c r="W820" t="str">
        <f>IF(周转筐出入库明细!$C821="","",周转筐出入库明细!$C821)</f>
        <v/>
      </c>
      <c r="X820">
        <f t="shared" si="365"/>
        <v>0</v>
      </c>
      <c r="Y820">
        <f t="shared" si="366"/>
        <v>12</v>
      </c>
      <c r="AC820" t="str">
        <f>IF(客户自备加工筐明细!$C820="","",客户自备加工筐明细!$C820)</f>
        <v/>
      </c>
      <c r="AD820">
        <f t="shared" si="367"/>
        <v>0</v>
      </c>
      <c r="AE820">
        <f t="shared" si="368"/>
        <v>1</v>
      </c>
      <c r="AI820" t="str">
        <f>IF(客户自备加工筐明细!$E820="","",客户自备加工筐明细!$E820)</f>
        <v/>
      </c>
      <c r="AJ820">
        <f t="shared" si="369"/>
        <v>0</v>
      </c>
      <c r="AK820">
        <f t="shared" si="370"/>
        <v>1</v>
      </c>
      <c r="BS820" t="str">
        <f t="shared" si="377"/>
        <v/>
      </c>
      <c r="BT820">
        <f t="shared" si="371"/>
        <v>0</v>
      </c>
      <c r="BU820">
        <f t="shared" si="372"/>
        <v>18</v>
      </c>
      <c r="CP820">
        <f>IF(包装物料出入库明细!$D820="",0,1)</f>
        <v>0</v>
      </c>
      <c r="CQ820">
        <f t="shared" si="373"/>
        <v>37</v>
      </c>
      <c r="CS820" t="str">
        <f>IF(OR(周转筐出入库明细!$C821="",周转筐出入库明细!$F821&lt;&gt;"采购入库"),"",周转筐出入库明细!$C821)</f>
        <v/>
      </c>
      <c r="CT820">
        <f t="shared" si="374"/>
        <v>0</v>
      </c>
      <c r="CU820">
        <f t="shared" si="375"/>
        <v>1</v>
      </c>
    </row>
    <row r="821" spans="1:99">
      <c r="A821" t="str">
        <f>IF(包装物料出入库明细!$E821="","",包装物料出入库明细!$E821)</f>
        <v/>
      </c>
      <c r="B821">
        <f t="shared" si="359"/>
        <v>0</v>
      </c>
      <c r="C821">
        <f t="shared" si="360"/>
        <v>7</v>
      </c>
      <c r="D821" t="str">
        <f>IF(包装物料出入库明细!$E821="","",包装物料出入库明细!$F821)</f>
        <v/>
      </c>
      <c r="E821" t="str">
        <f>IF(包装物料出入库明细!$E821="","",包装物料出入库明细!$G821)</f>
        <v/>
      </c>
      <c r="K821" t="str">
        <f>IF(包装物料出入库明细!$D821="","",包装物料出入库明细!$D821)</f>
        <v/>
      </c>
      <c r="L821">
        <f t="shared" si="361"/>
        <v>0</v>
      </c>
      <c r="M821">
        <f t="shared" si="362"/>
        <v>9</v>
      </c>
      <c r="Q821" t="str">
        <f>IF(周转筐出入库明细!$D822="","",周转筐出入库明细!$D822)</f>
        <v/>
      </c>
      <c r="R821">
        <f t="shared" si="363"/>
        <v>0</v>
      </c>
      <c r="S821">
        <f t="shared" si="364"/>
        <v>5</v>
      </c>
      <c r="W821" t="str">
        <f>IF(周转筐出入库明细!$C822="","",周转筐出入库明细!$C822)</f>
        <v/>
      </c>
      <c r="X821">
        <f t="shared" si="365"/>
        <v>0</v>
      </c>
      <c r="Y821">
        <f t="shared" si="366"/>
        <v>12</v>
      </c>
      <c r="AC821" t="str">
        <f>IF(客户自备加工筐明细!$C821="","",客户自备加工筐明细!$C821)</f>
        <v/>
      </c>
      <c r="AD821">
        <f t="shared" si="367"/>
        <v>0</v>
      </c>
      <c r="AE821">
        <f t="shared" si="368"/>
        <v>1</v>
      </c>
      <c r="AI821" t="str">
        <f>IF(客户自备加工筐明细!$E821="","",客户自备加工筐明细!$E821)</f>
        <v/>
      </c>
      <c r="AJ821">
        <f t="shared" si="369"/>
        <v>0</v>
      </c>
      <c r="AK821">
        <f t="shared" si="370"/>
        <v>1</v>
      </c>
      <c r="BS821" t="str">
        <f t="shared" si="377"/>
        <v/>
      </c>
      <c r="BT821">
        <f t="shared" si="371"/>
        <v>0</v>
      </c>
      <c r="BU821">
        <f t="shared" si="372"/>
        <v>18</v>
      </c>
      <c r="CP821">
        <f>IF(包装物料出入库明细!$D821="",0,1)</f>
        <v>0</v>
      </c>
      <c r="CQ821">
        <f t="shared" si="373"/>
        <v>37</v>
      </c>
      <c r="CS821" t="str">
        <f>IF(OR(周转筐出入库明细!$C822="",周转筐出入库明细!$F822&lt;&gt;"采购入库"),"",周转筐出入库明细!$C822)</f>
        <v/>
      </c>
      <c r="CT821">
        <f t="shared" si="374"/>
        <v>0</v>
      </c>
      <c r="CU821">
        <f t="shared" si="375"/>
        <v>1</v>
      </c>
    </row>
    <row r="822" spans="1:99">
      <c r="A822" t="str">
        <f>IF(包装物料出入库明细!$E822="","",包装物料出入库明细!$E822)</f>
        <v/>
      </c>
      <c r="B822">
        <f t="shared" si="359"/>
        <v>0</v>
      </c>
      <c r="C822">
        <f t="shared" si="360"/>
        <v>7</v>
      </c>
      <c r="D822" t="str">
        <f>IF(包装物料出入库明细!$E822="","",包装物料出入库明细!$F822)</f>
        <v/>
      </c>
      <c r="E822" t="str">
        <f>IF(包装物料出入库明细!$E822="","",包装物料出入库明细!$G822)</f>
        <v/>
      </c>
      <c r="K822" t="str">
        <f>IF(包装物料出入库明细!$D822="","",包装物料出入库明细!$D822)</f>
        <v/>
      </c>
      <c r="L822">
        <f t="shared" si="361"/>
        <v>0</v>
      </c>
      <c r="M822">
        <f t="shared" si="362"/>
        <v>9</v>
      </c>
      <c r="Q822" t="str">
        <f>IF(周转筐出入库明细!$D823="","",周转筐出入库明细!$D823)</f>
        <v/>
      </c>
      <c r="R822">
        <f t="shared" si="363"/>
        <v>0</v>
      </c>
      <c r="S822">
        <f t="shared" si="364"/>
        <v>5</v>
      </c>
      <c r="W822" t="str">
        <f>IF(周转筐出入库明细!$C823="","",周转筐出入库明细!$C823)</f>
        <v/>
      </c>
      <c r="X822">
        <f t="shared" si="365"/>
        <v>0</v>
      </c>
      <c r="Y822">
        <f t="shared" si="366"/>
        <v>12</v>
      </c>
      <c r="AC822" t="str">
        <f>IF(客户自备加工筐明细!$C822="","",客户自备加工筐明细!$C822)</f>
        <v/>
      </c>
      <c r="AD822">
        <f t="shared" si="367"/>
        <v>0</v>
      </c>
      <c r="AE822">
        <f t="shared" si="368"/>
        <v>1</v>
      </c>
      <c r="AI822" t="str">
        <f>IF(客户自备加工筐明细!$E822="","",客户自备加工筐明细!$E822)</f>
        <v/>
      </c>
      <c r="AJ822">
        <f t="shared" si="369"/>
        <v>0</v>
      </c>
      <c r="AK822">
        <f t="shared" si="370"/>
        <v>1</v>
      </c>
      <c r="BS822" t="str">
        <f t="shared" si="377"/>
        <v/>
      </c>
      <c r="BT822">
        <f t="shared" si="371"/>
        <v>0</v>
      </c>
      <c r="BU822">
        <f t="shared" si="372"/>
        <v>18</v>
      </c>
      <c r="CP822">
        <f>IF(包装物料出入库明细!$D822="",0,1)</f>
        <v>0</v>
      </c>
      <c r="CQ822">
        <f t="shared" si="373"/>
        <v>37</v>
      </c>
      <c r="CS822" t="str">
        <f>IF(OR(周转筐出入库明细!$C823="",周转筐出入库明细!$F823&lt;&gt;"采购入库"),"",周转筐出入库明细!$C823)</f>
        <v/>
      </c>
      <c r="CT822">
        <f t="shared" si="374"/>
        <v>0</v>
      </c>
      <c r="CU822">
        <f t="shared" si="375"/>
        <v>1</v>
      </c>
    </row>
    <row r="823" spans="1:99">
      <c r="A823" t="str">
        <f>IF(包装物料出入库明细!$E823="","",包装物料出入库明细!$E823)</f>
        <v/>
      </c>
      <c r="B823">
        <f t="shared" si="359"/>
        <v>0</v>
      </c>
      <c r="C823">
        <f t="shared" si="360"/>
        <v>7</v>
      </c>
      <c r="D823" t="str">
        <f>IF(包装物料出入库明细!$E823="","",包装物料出入库明细!$F823)</f>
        <v/>
      </c>
      <c r="E823" t="str">
        <f>IF(包装物料出入库明细!$E823="","",包装物料出入库明细!$G823)</f>
        <v/>
      </c>
      <c r="K823" t="str">
        <f>IF(包装物料出入库明细!$D823="","",包装物料出入库明细!$D823)</f>
        <v/>
      </c>
      <c r="L823">
        <f t="shared" si="361"/>
        <v>0</v>
      </c>
      <c r="M823">
        <f t="shared" si="362"/>
        <v>9</v>
      </c>
      <c r="Q823" t="str">
        <f>IF(周转筐出入库明细!$D824="","",周转筐出入库明细!$D824)</f>
        <v/>
      </c>
      <c r="R823">
        <f t="shared" si="363"/>
        <v>0</v>
      </c>
      <c r="S823">
        <f t="shared" si="364"/>
        <v>5</v>
      </c>
      <c r="W823" t="str">
        <f>IF(周转筐出入库明细!$C824="","",周转筐出入库明细!$C824)</f>
        <v/>
      </c>
      <c r="X823">
        <f t="shared" si="365"/>
        <v>0</v>
      </c>
      <c r="Y823">
        <f t="shared" si="366"/>
        <v>12</v>
      </c>
      <c r="AC823" t="str">
        <f>IF(客户自备加工筐明细!$C823="","",客户自备加工筐明细!$C823)</f>
        <v/>
      </c>
      <c r="AD823">
        <f t="shared" si="367"/>
        <v>0</v>
      </c>
      <c r="AE823">
        <f t="shared" si="368"/>
        <v>1</v>
      </c>
      <c r="AI823" t="str">
        <f>IF(客户自备加工筐明细!$E823="","",客户自备加工筐明细!$E823)</f>
        <v/>
      </c>
      <c r="AJ823">
        <f t="shared" si="369"/>
        <v>0</v>
      </c>
      <c r="AK823">
        <f t="shared" si="370"/>
        <v>1</v>
      </c>
      <c r="BS823" t="str">
        <f t="shared" si="377"/>
        <v/>
      </c>
      <c r="BT823">
        <f t="shared" si="371"/>
        <v>0</v>
      </c>
      <c r="BU823">
        <f t="shared" si="372"/>
        <v>18</v>
      </c>
      <c r="CP823">
        <f>IF(包装物料出入库明细!$D823="",0,1)</f>
        <v>0</v>
      </c>
      <c r="CQ823">
        <f t="shared" si="373"/>
        <v>37</v>
      </c>
      <c r="CS823" t="str">
        <f>IF(OR(周转筐出入库明细!$C824="",周转筐出入库明细!$F824&lt;&gt;"采购入库"),"",周转筐出入库明细!$C824)</f>
        <v/>
      </c>
      <c r="CT823">
        <f t="shared" si="374"/>
        <v>0</v>
      </c>
      <c r="CU823">
        <f t="shared" si="375"/>
        <v>1</v>
      </c>
    </row>
    <row r="824" spans="1:99">
      <c r="A824" t="str">
        <f>IF(包装物料出入库明细!$E824="","",包装物料出入库明细!$E824)</f>
        <v/>
      </c>
      <c r="B824">
        <f t="shared" si="359"/>
        <v>0</v>
      </c>
      <c r="C824">
        <f t="shared" si="360"/>
        <v>7</v>
      </c>
      <c r="D824" t="str">
        <f>IF(包装物料出入库明细!$E824="","",包装物料出入库明细!$F824)</f>
        <v/>
      </c>
      <c r="E824" t="str">
        <f>IF(包装物料出入库明细!$E824="","",包装物料出入库明细!$G824)</f>
        <v/>
      </c>
      <c r="K824" t="str">
        <f>IF(包装物料出入库明细!$D824="","",包装物料出入库明细!$D824)</f>
        <v/>
      </c>
      <c r="L824">
        <f t="shared" si="361"/>
        <v>0</v>
      </c>
      <c r="M824">
        <f t="shared" si="362"/>
        <v>9</v>
      </c>
      <c r="Q824" t="str">
        <f>IF(周转筐出入库明细!$D825="","",周转筐出入库明细!$D825)</f>
        <v/>
      </c>
      <c r="R824">
        <f t="shared" si="363"/>
        <v>0</v>
      </c>
      <c r="S824">
        <f t="shared" si="364"/>
        <v>5</v>
      </c>
      <c r="W824" t="str">
        <f>IF(周转筐出入库明细!$C825="","",周转筐出入库明细!$C825)</f>
        <v/>
      </c>
      <c r="X824">
        <f t="shared" si="365"/>
        <v>0</v>
      </c>
      <c r="Y824">
        <f t="shared" si="366"/>
        <v>12</v>
      </c>
      <c r="AC824" t="str">
        <f>IF(客户自备加工筐明细!$C824="","",客户自备加工筐明细!$C824)</f>
        <v/>
      </c>
      <c r="AD824">
        <f t="shared" si="367"/>
        <v>0</v>
      </c>
      <c r="AE824">
        <f t="shared" si="368"/>
        <v>1</v>
      </c>
      <c r="AI824" t="str">
        <f>IF(客户自备加工筐明细!$E824="","",客户自备加工筐明细!$E824)</f>
        <v/>
      </c>
      <c r="AJ824">
        <f t="shared" si="369"/>
        <v>0</v>
      </c>
      <c r="AK824">
        <f t="shared" si="370"/>
        <v>1</v>
      </c>
      <c r="BS824" t="str">
        <f t="shared" si="377"/>
        <v/>
      </c>
      <c r="BT824">
        <f t="shared" si="371"/>
        <v>0</v>
      </c>
      <c r="BU824">
        <f t="shared" si="372"/>
        <v>18</v>
      </c>
      <c r="CP824">
        <f>IF(包装物料出入库明细!$D824="",0,1)</f>
        <v>0</v>
      </c>
      <c r="CQ824">
        <f t="shared" si="373"/>
        <v>37</v>
      </c>
      <c r="CS824" t="str">
        <f>IF(OR(周转筐出入库明细!$C825="",周转筐出入库明细!$F825&lt;&gt;"采购入库"),"",周转筐出入库明细!$C825)</f>
        <v/>
      </c>
      <c r="CT824">
        <f t="shared" si="374"/>
        <v>0</v>
      </c>
      <c r="CU824">
        <f t="shared" si="375"/>
        <v>1</v>
      </c>
    </row>
    <row r="825" spans="1:99">
      <c r="A825" t="str">
        <f>IF(包装物料出入库明细!$E825="","",包装物料出入库明细!$E825)</f>
        <v/>
      </c>
      <c r="B825">
        <f t="shared" si="359"/>
        <v>0</v>
      </c>
      <c r="C825">
        <f t="shared" si="360"/>
        <v>7</v>
      </c>
      <c r="D825" t="str">
        <f>IF(包装物料出入库明细!$E825="","",包装物料出入库明细!$F825)</f>
        <v/>
      </c>
      <c r="E825" t="str">
        <f>IF(包装物料出入库明细!$E825="","",包装物料出入库明细!$G825)</f>
        <v/>
      </c>
      <c r="K825" t="str">
        <f>IF(包装物料出入库明细!$D825="","",包装物料出入库明细!$D825)</f>
        <v/>
      </c>
      <c r="L825">
        <f t="shared" si="361"/>
        <v>0</v>
      </c>
      <c r="M825">
        <f t="shared" si="362"/>
        <v>9</v>
      </c>
      <c r="Q825" t="str">
        <f>IF(周转筐出入库明细!$D826="","",周转筐出入库明细!$D826)</f>
        <v/>
      </c>
      <c r="R825">
        <f t="shared" si="363"/>
        <v>0</v>
      </c>
      <c r="S825">
        <f t="shared" si="364"/>
        <v>5</v>
      </c>
      <c r="W825" t="str">
        <f>IF(周转筐出入库明细!$C826="","",周转筐出入库明细!$C826)</f>
        <v/>
      </c>
      <c r="X825">
        <f t="shared" si="365"/>
        <v>0</v>
      </c>
      <c r="Y825">
        <f t="shared" si="366"/>
        <v>12</v>
      </c>
      <c r="AC825" t="str">
        <f>IF(客户自备加工筐明细!$C825="","",客户自备加工筐明细!$C825)</f>
        <v/>
      </c>
      <c r="AD825">
        <f t="shared" si="367"/>
        <v>0</v>
      </c>
      <c r="AE825">
        <f t="shared" si="368"/>
        <v>1</v>
      </c>
      <c r="AI825" t="str">
        <f>IF(客户自备加工筐明细!$E825="","",客户自备加工筐明细!$E825)</f>
        <v/>
      </c>
      <c r="AJ825">
        <f t="shared" si="369"/>
        <v>0</v>
      </c>
      <c r="AK825">
        <f t="shared" si="370"/>
        <v>1</v>
      </c>
      <c r="BS825" t="str">
        <f t="shared" si="377"/>
        <v/>
      </c>
      <c r="BT825">
        <f t="shared" si="371"/>
        <v>0</v>
      </c>
      <c r="BU825">
        <f t="shared" si="372"/>
        <v>18</v>
      </c>
      <c r="CP825">
        <f>IF(包装物料出入库明细!$D825="",0,1)</f>
        <v>0</v>
      </c>
      <c r="CQ825">
        <f t="shared" si="373"/>
        <v>37</v>
      </c>
      <c r="CS825" t="str">
        <f>IF(OR(周转筐出入库明细!$C826="",周转筐出入库明细!$F826&lt;&gt;"采购入库"),"",周转筐出入库明细!$C826)</f>
        <v/>
      </c>
      <c r="CT825">
        <f t="shared" si="374"/>
        <v>0</v>
      </c>
      <c r="CU825">
        <f t="shared" si="375"/>
        <v>1</v>
      </c>
    </row>
    <row r="826" spans="1:99">
      <c r="A826" t="str">
        <f>IF(包装物料出入库明细!$E826="","",包装物料出入库明细!$E826)</f>
        <v/>
      </c>
      <c r="B826">
        <f t="shared" si="359"/>
        <v>0</v>
      </c>
      <c r="C826">
        <f t="shared" si="360"/>
        <v>7</v>
      </c>
      <c r="D826" t="str">
        <f>IF(包装物料出入库明细!$E826="","",包装物料出入库明细!$F826)</f>
        <v/>
      </c>
      <c r="E826" t="str">
        <f>IF(包装物料出入库明细!$E826="","",包装物料出入库明细!$G826)</f>
        <v/>
      </c>
      <c r="K826" t="str">
        <f>IF(包装物料出入库明细!$D826="","",包装物料出入库明细!$D826)</f>
        <v/>
      </c>
      <c r="L826">
        <f t="shared" si="361"/>
        <v>0</v>
      </c>
      <c r="M826">
        <f t="shared" si="362"/>
        <v>9</v>
      </c>
      <c r="Q826" t="str">
        <f>IF(周转筐出入库明细!$D827="","",周转筐出入库明细!$D827)</f>
        <v/>
      </c>
      <c r="R826">
        <f t="shared" si="363"/>
        <v>0</v>
      </c>
      <c r="S826">
        <f t="shared" si="364"/>
        <v>5</v>
      </c>
      <c r="W826" t="str">
        <f>IF(周转筐出入库明细!$C827="","",周转筐出入库明细!$C827)</f>
        <v/>
      </c>
      <c r="X826">
        <f t="shared" si="365"/>
        <v>0</v>
      </c>
      <c r="Y826">
        <f t="shared" si="366"/>
        <v>12</v>
      </c>
      <c r="AC826" t="str">
        <f>IF(客户自备加工筐明细!$C826="","",客户自备加工筐明细!$C826)</f>
        <v/>
      </c>
      <c r="AD826">
        <f t="shared" si="367"/>
        <v>0</v>
      </c>
      <c r="AE826">
        <f t="shared" si="368"/>
        <v>1</v>
      </c>
      <c r="AI826" t="str">
        <f>IF(客户自备加工筐明细!$E826="","",客户自备加工筐明细!$E826)</f>
        <v/>
      </c>
      <c r="AJ826">
        <f t="shared" si="369"/>
        <v>0</v>
      </c>
      <c r="AK826">
        <f t="shared" si="370"/>
        <v>1</v>
      </c>
      <c r="BS826" t="str">
        <f t="shared" si="377"/>
        <v/>
      </c>
      <c r="BT826">
        <f t="shared" si="371"/>
        <v>0</v>
      </c>
      <c r="BU826">
        <f t="shared" si="372"/>
        <v>18</v>
      </c>
      <c r="CP826">
        <f>IF(包装物料出入库明细!$D826="",0,1)</f>
        <v>0</v>
      </c>
      <c r="CQ826">
        <f t="shared" si="373"/>
        <v>37</v>
      </c>
      <c r="CS826" t="str">
        <f>IF(OR(周转筐出入库明细!$C827="",周转筐出入库明细!$F827&lt;&gt;"采购入库"),"",周转筐出入库明细!$C827)</f>
        <v/>
      </c>
      <c r="CT826">
        <f t="shared" si="374"/>
        <v>0</v>
      </c>
      <c r="CU826">
        <f t="shared" si="375"/>
        <v>1</v>
      </c>
    </row>
    <row r="827" spans="1:99">
      <c r="A827" t="str">
        <f>IF(包装物料出入库明细!$E827="","",包装物料出入库明细!$E827)</f>
        <v/>
      </c>
      <c r="B827">
        <f t="shared" si="359"/>
        <v>0</v>
      </c>
      <c r="C827">
        <f t="shared" si="360"/>
        <v>7</v>
      </c>
      <c r="D827" t="str">
        <f>IF(包装物料出入库明细!$E827="","",包装物料出入库明细!$F827)</f>
        <v/>
      </c>
      <c r="E827" t="str">
        <f>IF(包装物料出入库明细!$E827="","",包装物料出入库明细!$G827)</f>
        <v/>
      </c>
      <c r="K827" t="str">
        <f>IF(包装物料出入库明细!$D827="","",包装物料出入库明细!$D827)</f>
        <v/>
      </c>
      <c r="L827">
        <f t="shared" si="361"/>
        <v>0</v>
      </c>
      <c r="M827">
        <f t="shared" si="362"/>
        <v>9</v>
      </c>
      <c r="Q827" t="str">
        <f>IF(周转筐出入库明细!$D828="","",周转筐出入库明细!$D828)</f>
        <v/>
      </c>
      <c r="R827">
        <f t="shared" si="363"/>
        <v>0</v>
      </c>
      <c r="S827">
        <f t="shared" si="364"/>
        <v>5</v>
      </c>
      <c r="W827" t="str">
        <f>IF(周转筐出入库明细!$C828="","",周转筐出入库明细!$C828)</f>
        <v/>
      </c>
      <c r="X827">
        <f t="shared" si="365"/>
        <v>0</v>
      </c>
      <c r="Y827">
        <f t="shared" si="366"/>
        <v>12</v>
      </c>
      <c r="AC827" t="str">
        <f>IF(客户自备加工筐明细!$C827="","",客户自备加工筐明细!$C827)</f>
        <v/>
      </c>
      <c r="AD827">
        <f t="shared" si="367"/>
        <v>0</v>
      </c>
      <c r="AE827">
        <f t="shared" si="368"/>
        <v>1</v>
      </c>
      <c r="AI827" t="str">
        <f>IF(客户自备加工筐明细!$E827="","",客户自备加工筐明细!$E827)</f>
        <v/>
      </c>
      <c r="AJ827">
        <f t="shared" si="369"/>
        <v>0</v>
      </c>
      <c r="AK827">
        <f t="shared" si="370"/>
        <v>1</v>
      </c>
      <c r="BS827" t="str">
        <f t="shared" si="377"/>
        <v/>
      </c>
      <c r="BT827">
        <f t="shared" si="371"/>
        <v>0</v>
      </c>
      <c r="BU827">
        <f t="shared" si="372"/>
        <v>18</v>
      </c>
      <c r="CP827">
        <f>IF(包装物料出入库明细!$D827="",0,1)</f>
        <v>0</v>
      </c>
      <c r="CQ827">
        <f t="shared" si="373"/>
        <v>37</v>
      </c>
      <c r="CS827" t="str">
        <f>IF(OR(周转筐出入库明细!$C828="",周转筐出入库明细!$F828&lt;&gt;"采购入库"),"",周转筐出入库明细!$C828)</f>
        <v/>
      </c>
      <c r="CT827">
        <f t="shared" si="374"/>
        <v>0</v>
      </c>
      <c r="CU827">
        <f t="shared" si="375"/>
        <v>1</v>
      </c>
    </row>
    <row r="828" spans="1:99">
      <c r="A828" t="str">
        <f>IF(包装物料出入库明细!$E828="","",包装物料出入库明细!$E828)</f>
        <v/>
      </c>
      <c r="B828">
        <f t="shared" si="359"/>
        <v>0</v>
      </c>
      <c r="C828">
        <f t="shared" si="360"/>
        <v>7</v>
      </c>
      <c r="D828" t="str">
        <f>IF(包装物料出入库明细!$E828="","",包装物料出入库明细!$F828)</f>
        <v/>
      </c>
      <c r="E828" t="str">
        <f>IF(包装物料出入库明细!$E828="","",包装物料出入库明细!$G828)</f>
        <v/>
      </c>
      <c r="K828" t="str">
        <f>IF(包装物料出入库明细!$D828="","",包装物料出入库明细!$D828)</f>
        <v/>
      </c>
      <c r="L828">
        <f t="shared" si="361"/>
        <v>0</v>
      </c>
      <c r="M828">
        <f t="shared" si="362"/>
        <v>9</v>
      </c>
      <c r="Q828" t="str">
        <f>IF(周转筐出入库明细!$D829="","",周转筐出入库明细!$D829)</f>
        <v/>
      </c>
      <c r="R828">
        <f t="shared" si="363"/>
        <v>0</v>
      </c>
      <c r="S828">
        <f t="shared" si="364"/>
        <v>5</v>
      </c>
      <c r="W828" t="str">
        <f>IF(周转筐出入库明细!$C829="","",周转筐出入库明细!$C829)</f>
        <v/>
      </c>
      <c r="X828">
        <f t="shared" si="365"/>
        <v>0</v>
      </c>
      <c r="Y828">
        <f t="shared" si="366"/>
        <v>12</v>
      </c>
      <c r="AC828" t="str">
        <f>IF(客户自备加工筐明细!$C828="","",客户自备加工筐明细!$C828)</f>
        <v/>
      </c>
      <c r="AD828">
        <f t="shared" si="367"/>
        <v>0</v>
      </c>
      <c r="AE828">
        <f t="shared" si="368"/>
        <v>1</v>
      </c>
      <c r="AI828" t="str">
        <f>IF(客户自备加工筐明细!$E828="","",客户自备加工筐明细!$E828)</f>
        <v/>
      </c>
      <c r="AJ828">
        <f t="shared" si="369"/>
        <v>0</v>
      </c>
      <c r="AK828">
        <f t="shared" si="370"/>
        <v>1</v>
      </c>
      <c r="BS828" t="str">
        <f t="shared" si="377"/>
        <v/>
      </c>
      <c r="BT828">
        <f t="shared" si="371"/>
        <v>0</v>
      </c>
      <c r="BU828">
        <f t="shared" si="372"/>
        <v>18</v>
      </c>
      <c r="CP828">
        <f>IF(包装物料出入库明细!$D828="",0,1)</f>
        <v>0</v>
      </c>
      <c r="CQ828">
        <f t="shared" si="373"/>
        <v>37</v>
      </c>
      <c r="CS828" t="str">
        <f>IF(OR(周转筐出入库明细!$C829="",周转筐出入库明细!$F829&lt;&gt;"采购入库"),"",周转筐出入库明细!$C829)</f>
        <v/>
      </c>
      <c r="CT828">
        <f t="shared" si="374"/>
        <v>0</v>
      </c>
      <c r="CU828">
        <f t="shared" si="375"/>
        <v>1</v>
      </c>
    </row>
    <row r="829" spans="1:99">
      <c r="A829" t="str">
        <f>IF(包装物料出入库明细!$E829="","",包装物料出入库明细!$E829)</f>
        <v/>
      </c>
      <c r="B829">
        <f t="shared" si="359"/>
        <v>0</v>
      </c>
      <c r="C829">
        <f t="shared" si="360"/>
        <v>7</v>
      </c>
      <c r="D829" t="str">
        <f>IF(包装物料出入库明细!$E829="","",包装物料出入库明细!$F829)</f>
        <v/>
      </c>
      <c r="E829" t="str">
        <f>IF(包装物料出入库明细!$E829="","",包装物料出入库明细!$G829)</f>
        <v/>
      </c>
      <c r="K829" t="str">
        <f>IF(包装物料出入库明细!$D829="","",包装物料出入库明细!$D829)</f>
        <v/>
      </c>
      <c r="L829">
        <f t="shared" si="361"/>
        <v>0</v>
      </c>
      <c r="M829">
        <f t="shared" si="362"/>
        <v>9</v>
      </c>
      <c r="Q829" t="str">
        <f>IF(周转筐出入库明细!$D830="","",周转筐出入库明细!$D830)</f>
        <v/>
      </c>
      <c r="R829">
        <f t="shared" si="363"/>
        <v>0</v>
      </c>
      <c r="S829">
        <f t="shared" si="364"/>
        <v>5</v>
      </c>
      <c r="W829" t="str">
        <f>IF(周转筐出入库明细!$C830="","",周转筐出入库明细!$C830)</f>
        <v/>
      </c>
      <c r="X829">
        <f t="shared" si="365"/>
        <v>0</v>
      </c>
      <c r="Y829">
        <f t="shared" si="366"/>
        <v>12</v>
      </c>
      <c r="AC829" t="str">
        <f>IF(客户自备加工筐明细!$C829="","",客户自备加工筐明细!$C829)</f>
        <v/>
      </c>
      <c r="AD829">
        <f t="shared" si="367"/>
        <v>0</v>
      </c>
      <c r="AE829">
        <f t="shared" si="368"/>
        <v>1</v>
      </c>
      <c r="AI829" t="str">
        <f>IF(客户自备加工筐明细!$E829="","",客户自备加工筐明细!$E829)</f>
        <v/>
      </c>
      <c r="AJ829">
        <f t="shared" si="369"/>
        <v>0</v>
      </c>
      <c r="AK829">
        <f t="shared" si="370"/>
        <v>1</v>
      </c>
      <c r="BS829" t="str">
        <f t="shared" si="377"/>
        <v/>
      </c>
      <c r="BT829">
        <f t="shared" si="371"/>
        <v>0</v>
      </c>
      <c r="BU829">
        <f t="shared" si="372"/>
        <v>18</v>
      </c>
      <c r="CP829">
        <f>IF(包装物料出入库明细!$D829="",0,1)</f>
        <v>0</v>
      </c>
      <c r="CQ829">
        <f t="shared" si="373"/>
        <v>37</v>
      </c>
      <c r="CS829" t="str">
        <f>IF(OR(周转筐出入库明细!$C830="",周转筐出入库明细!$F830&lt;&gt;"采购入库"),"",周转筐出入库明细!$C830)</f>
        <v/>
      </c>
      <c r="CT829">
        <f t="shared" si="374"/>
        <v>0</v>
      </c>
      <c r="CU829">
        <f t="shared" si="375"/>
        <v>1</v>
      </c>
    </row>
    <row r="830" spans="1:99">
      <c r="A830" t="str">
        <f>IF(包装物料出入库明细!$E830="","",包装物料出入库明细!$E830)</f>
        <v/>
      </c>
      <c r="B830">
        <f t="shared" si="359"/>
        <v>0</v>
      </c>
      <c r="C830">
        <f t="shared" si="360"/>
        <v>7</v>
      </c>
      <c r="D830" t="str">
        <f>IF(包装物料出入库明细!$E830="","",包装物料出入库明细!$F830)</f>
        <v/>
      </c>
      <c r="E830" t="str">
        <f>IF(包装物料出入库明细!$E830="","",包装物料出入库明细!$G830)</f>
        <v/>
      </c>
      <c r="K830" t="str">
        <f>IF(包装物料出入库明细!$D830="","",包装物料出入库明细!$D830)</f>
        <v/>
      </c>
      <c r="L830">
        <f t="shared" si="361"/>
        <v>0</v>
      </c>
      <c r="M830">
        <f t="shared" si="362"/>
        <v>9</v>
      </c>
      <c r="Q830" t="str">
        <f>IF(周转筐出入库明细!$D831="","",周转筐出入库明细!$D831)</f>
        <v/>
      </c>
      <c r="R830">
        <f t="shared" si="363"/>
        <v>0</v>
      </c>
      <c r="S830">
        <f t="shared" si="364"/>
        <v>5</v>
      </c>
      <c r="W830" t="str">
        <f>IF(周转筐出入库明细!$C831="","",周转筐出入库明细!$C831)</f>
        <v/>
      </c>
      <c r="X830">
        <f t="shared" si="365"/>
        <v>0</v>
      </c>
      <c r="Y830">
        <f t="shared" si="366"/>
        <v>12</v>
      </c>
      <c r="AC830" t="str">
        <f>IF(客户自备加工筐明细!$C830="","",客户自备加工筐明细!$C830)</f>
        <v/>
      </c>
      <c r="AD830">
        <f t="shared" si="367"/>
        <v>0</v>
      </c>
      <c r="AE830">
        <f t="shared" si="368"/>
        <v>1</v>
      </c>
      <c r="AI830" t="str">
        <f>IF(客户自备加工筐明细!$E830="","",客户自备加工筐明细!$E830)</f>
        <v/>
      </c>
      <c r="AJ830">
        <f t="shared" si="369"/>
        <v>0</v>
      </c>
      <c r="AK830">
        <f t="shared" si="370"/>
        <v>1</v>
      </c>
      <c r="BS830" t="str">
        <f t="shared" si="377"/>
        <v/>
      </c>
      <c r="BT830">
        <f t="shared" si="371"/>
        <v>0</v>
      </c>
      <c r="BU830">
        <f t="shared" si="372"/>
        <v>18</v>
      </c>
      <c r="CP830">
        <f>IF(包装物料出入库明细!$D830="",0,1)</f>
        <v>0</v>
      </c>
      <c r="CQ830">
        <f t="shared" si="373"/>
        <v>37</v>
      </c>
      <c r="CS830" t="str">
        <f>IF(OR(周转筐出入库明细!$C831="",周转筐出入库明细!$F831&lt;&gt;"采购入库"),"",周转筐出入库明细!$C831)</f>
        <v/>
      </c>
      <c r="CT830">
        <f t="shared" si="374"/>
        <v>0</v>
      </c>
      <c r="CU830">
        <f t="shared" si="375"/>
        <v>1</v>
      </c>
    </row>
    <row r="831" spans="1:99">
      <c r="A831" t="str">
        <f>IF(包装物料出入库明细!$E831="","",包装物料出入库明细!$E831)</f>
        <v/>
      </c>
      <c r="B831">
        <f t="shared" si="359"/>
        <v>0</v>
      </c>
      <c r="C831">
        <f t="shared" si="360"/>
        <v>7</v>
      </c>
      <c r="D831" t="str">
        <f>IF(包装物料出入库明细!$E831="","",包装物料出入库明细!$F831)</f>
        <v/>
      </c>
      <c r="E831" t="str">
        <f>IF(包装物料出入库明细!$E831="","",包装物料出入库明细!$G831)</f>
        <v/>
      </c>
      <c r="K831" t="str">
        <f>IF(包装物料出入库明细!$D831="","",包装物料出入库明细!$D831)</f>
        <v/>
      </c>
      <c r="L831">
        <f t="shared" si="361"/>
        <v>0</v>
      </c>
      <c r="M831">
        <f t="shared" si="362"/>
        <v>9</v>
      </c>
      <c r="Q831" t="str">
        <f>IF(周转筐出入库明细!$D832="","",周转筐出入库明细!$D832)</f>
        <v/>
      </c>
      <c r="R831">
        <f t="shared" si="363"/>
        <v>0</v>
      </c>
      <c r="S831">
        <f t="shared" si="364"/>
        <v>5</v>
      </c>
      <c r="W831" t="str">
        <f>IF(周转筐出入库明细!$C832="","",周转筐出入库明细!$C832)</f>
        <v/>
      </c>
      <c r="X831">
        <f t="shared" si="365"/>
        <v>0</v>
      </c>
      <c r="Y831">
        <f t="shared" si="366"/>
        <v>12</v>
      </c>
      <c r="AC831" t="str">
        <f>IF(客户自备加工筐明细!$C831="","",客户自备加工筐明细!$C831)</f>
        <v/>
      </c>
      <c r="AD831">
        <f t="shared" si="367"/>
        <v>0</v>
      </c>
      <c r="AE831">
        <f t="shared" si="368"/>
        <v>1</v>
      </c>
      <c r="AI831" t="str">
        <f>IF(客户自备加工筐明细!$E831="","",客户自备加工筐明细!$E831)</f>
        <v/>
      </c>
      <c r="AJ831">
        <f t="shared" si="369"/>
        <v>0</v>
      </c>
      <c r="AK831">
        <f t="shared" si="370"/>
        <v>1</v>
      </c>
      <c r="BS831" t="str">
        <f t="shared" si="377"/>
        <v/>
      </c>
      <c r="BT831">
        <f t="shared" si="371"/>
        <v>0</v>
      </c>
      <c r="BU831">
        <f t="shared" si="372"/>
        <v>18</v>
      </c>
      <c r="CP831">
        <f>IF(包装物料出入库明细!$D831="",0,1)</f>
        <v>0</v>
      </c>
      <c r="CQ831">
        <f t="shared" si="373"/>
        <v>37</v>
      </c>
      <c r="CS831" t="str">
        <f>IF(OR(周转筐出入库明细!$C832="",周转筐出入库明细!$F832&lt;&gt;"采购入库"),"",周转筐出入库明细!$C832)</f>
        <v/>
      </c>
      <c r="CT831">
        <f t="shared" si="374"/>
        <v>0</v>
      </c>
      <c r="CU831">
        <f t="shared" si="375"/>
        <v>1</v>
      </c>
    </row>
    <row r="832" spans="1:99">
      <c r="A832" t="str">
        <f>IF(包装物料出入库明细!$E832="","",包装物料出入库明细!$E832)</f>
        <v/>
      </c>
      <c r="B832">
        <f t="shared" si="359"/>
        <v>0</v>
      </c>
      <c r="C832">
        <f t="shared" si="360"/>
        <v>7</v>
      </c>
      <c r="D832" t="str">
        <f>IF(包装物料出入库明细!$E832="","",包装物料出入库明细!$F832)</f>
        <v/>
      </c>
      <c r="E832" t="str">
        <f>IF(包装物料出入库明细!$E832="","",包装物料出入库明细!$G832)</f>
        <v/>
      </c>
      <c r="K832" t="str">
        <f>IF(包装物料出入库明细!$D832="","",包装物料出入库明细!$D832)</f>
        <v/>
      </c>
      <c r="L832">
        <f t="shared" si="361"/>
        <v>0</v>
      </c>
      <c r="M832">
        <f t="shared" si="362"/>
        <v>9</v>
      </c>
      <c r="Q832" t="str">
        <f>IF(周转筐出入库明细!$D833="","",周转筐出入库明细!$D833)</f>
        <v/>
      </c>
      <c r="R832">
        <f t="shared" si="363"/>
        <v>0</v>
      </c>
      <c r="S832">
        <f t="shared" si="364"/>
        <v>5</v>
      </c>
      <c r="W832" t="str">
        <f>IF(周转筐出入库明细!$C833="","",周转筐出入库明细!$C833)</f>
        <v/>
      </c>
      <c r="X832">
        <f t="shared" si="365"/>
        <v>0</v>
      </c>
      <c r="Y832">
        <f t="shared" si="366"/>
        <v>12</v>
      </c>
      <c r="AC832" t="str">
        <f>IF(客户自备加工筐明细!$C832="","",客户自备加工筐明细!$C832)</f>
        <v/>
      </c>
      <c r="AD832">
        <f t="shared" si="367"/>
        <v>0</v>
      </c>
      <c r="AE832">
        <f t="shared" si="368"/>
        <v>1</v>
      </c>
      <c r="AI832" t="str">
        <f>IF(客户自备加工筐明细!$E832="","",客户自备加工筐明细!$E832)</f>
        <v/>
      </c>
      <c r="AJ832">
        <f t="shared" si="369"/>
        <v>0</v>
      </c>
      <c r="AK832">
        <f t="shared" si="370"/>
        <v>1</v>
      </c>
      <c r="BS832" t="str">
        <f t="shared" si="377"/>
        <v/>
      </c>
      <c r="BT832">
        <f t="shared" si="371"/>
        <v>0</v>
      </c>
      <c r="BU832">
        <f t="shared" si="372"/>
        <v>18</v>
      </c>
      <c r="CP832">
        <f>IF(包装物料出入库明细!$D832="",0,1)</f>
        <v>0</v>
      </c>
      <c r="CQ832">
        <f t="shared" si="373"/>
        <v>37</v>
      </c>
      <c r="CS832" t="str">
        <f>IF(OR(周转筐出入库明细!$C833="",周转筐出入库明细!$F833&lt;&gt;"采购入库"),"",周转筐出入库明细!$C833)</f>
        <v/>
      </c>
      <c r="CT832">
        <f t="shared" si="374"/>
        <v>0</v>
      </c>
      <c r="CU832">
        <f t="shared" si="375"/>
        <v>1</v>
      </c>
    </row>
    <row r="833" spans="1:99">
      <c r="A833" t="str">
        <f>IF(包装物料出入库明细!$E833="","",包装物料出入库明细!$E833)</f>
        <v/>
      </c>
      <c r="B833">
        <f t="shared" si="359"/>
        <v>0</v>
      </c>
      <c r="C833">
        <f t="shared" si="360"/>
        <v>7</v>
      </c>
      <c r="D833" t="str">
        <f>IF(包装物料出入库明细!$E833="","",包装物料出入库明细!$F833)</f>
        <v/>
      </c>
      <c r="E833" t="str">
        <f>IF(包装物料出入库明细!$E833="","",包装物料出入库明细!$G833)</f>
        <v/>
      </c>
      <c r="K833" t="str">
        <f>IF(包装物料出入库明细!$D833="","",包装物料出入库明细!$D833)</f>
        <v/>
      </c>
      <c r="L833">
        <f t="shared" si="361"/>
        <v>0</v>
      </c>
      <c r="M833">
        <f t="shared" si="362"/>
        <v>9</v>
      </c>
      <c r="Q833" t="str">
        <f>IF(周转筐出入库明细!$D834="","",周转筐出入库明细!$D834)</f>
        <v/>
      </c>
      <c r="R833">
        <f t="shared" si="363"/>
        <v>0</v>
      </c>
      <c r="S833">
        <f t="shared" si="364"/>
        <v>5</v>
      </c>
      <c r="W833" t="str">
        <f>IF(周转筐出入库明细!$C834="","",周转筐出入库明细!$C834)</f>
        <v/>
      </c>
      <c r="X833">
        <f t="shared" si="365"/>
        <v>0</v>
      </c>
      <c r="Y833">
        <f t="shared" si="366"/>
        <v>12</v>
      </c>
      <c r="AC833" t="str">
        <f>IF(客户自备加工筐明细!$C833="","",客户自备加工筐明细!$C833)</f>
        <v/>
      </c>
      <c r="AD833">
        <f t="shared" si="367"/>
        <v>0</v>
      </c>
      <c r="AE833">
        <f t="shared" si="368"/>
        <v>1</v>
      </c>
      <c r="AI833" t="str">
        <f>IF(客户自备加工筐明细!$E833="","",客户自备加工筐明细!$E833)</f>
        <v/>
      </c>
      <c r="AJ833">
        <f t="shared" si="369"/>
        <v>0</v>
      </c>
      <c r="AK833">
        <f t="shared" si="370"/>
        <v>1</v>
      </c>
      <c r="BS833" t="str">
        <f t="shared" si="377"/>
        <v/>
      </c>
      <c r="BT833">
        <f t="shared" si="371"/>
        <v>0</v>
      </c>
      <c r="BU833">
        <f t="shared" si="372"/>
        <v>18</v>
      </c>
      <c r="CP833">
        <f>IF(包装物料出入库明细!$D833="",0,1)</f>
        <v>0</v>
      </c>
      <c r="CQ833">
        <f t="shared" si="373"/>
        <v>37</v>
      </c>
      <c r="CS833" t="str">
        <f>IF(OR(周转筐出入库明细!$C834="",周转筐出入库明细!$F834&lt;&gt;"采购入库"),"",周转筐出入库明细!$C834)</f>
        <v/>
      </c>
      <c r="CT833">
        <f t="shared" si="374"/>
        <v>0</v>
      </c>
      <c r="CU833">
        <f t="shared" si="375"/>
        <v>1</v>
      </c>
    </row>
    <row r="834" spans="1:99">
      <c r="A834" t="str">
        <f>IF(包装物料出入库明细!$E834="","",包装物料出入库明细!$E834)</f>
        <v/>
      </c>
      <c r="B834">
        <f t="shared" si="359"/>
        <v>0</v>
      </c>
      <c r="C834">
        <f t="shared" si="360"/>
        <v>7</v>
      </c>
      <c r="D834" t="str">
        <f>IF(包装物料出入库明细!$E834="","",包装物料出入库明细!$F834)</f>
        <v/>
      </c>
      <c r="E834" t="str">
        <f>IF(包装物料出入库明细!$E834="","",包装物料出入库明细!$G834)</f>
        <v/>
      </c>
      <c r="K834" t="str">
        <f>IF(包装物料出入库明细!$D834="","",包装物料出入库明细!$D834)</f>
        <v/>
      </c>
      <c r="L834">
        <f t="shared" si="361"/>
        <v>0</v>
      </c>
      <c r="M834">
        <f t="shared" si="362"/>
        <v>9</v>
      </c>
      <c r="Q834" t="str">
        <f>IF(周转筐出入库明细!$D835="","",周转筐出入库明细!$D835)</f>
        <v/>
      </c>
      <c r="R834">
        <f t="shared" si="363"/>
        <v>0</v>
      </c>
      <c r="S834">
        <f t="shared" si="364"/>
        <v>5</v>
      </c>
      <c r="W834" t="str">
        <f>IF(周转筐出入库明细!$C835="","",周转筐出入库明细!$C835)</f>
        <v/>
      </c>
      <c r="X834">
        <f t="shared" si="365"/>
        <v>0</v>
      </c>
      <c r="Y834">
        <f t="shared" si="366"/>
        <v>12</v>
      </c>
      <c r="AC834" t="str">
        <f>IF(客户自备加工筐明细!$C834="","",客户自备加工筐明细!$C834)</f>
        <v/>
      </c>
      <c r="AD834">
        <f t="shared" si="367"/>
        <v>0</v>
      </c>
      <c r="AE834">
        <f t="shared" si="368"/>
        <v>1</v>
      </c>
      <c r="AI834" t="str">
        <f>IF(客户自备加工筐明细!$E834="","",客户自备加工筐明细!$E834)</f>
        <v/>
      </c>
      <c r="AJ834">
        <f t="shared" si="369"/>
        <v>0</v>
      </c>
      <c r="AK834">
        <f t="shared" si="370"/>
        <v>1</v>
      </c>
      <c r="BS834" t="str">
        <f t="shared" si="377"/>
        <v/>
      </c>
      <c r="BT834">
        <f t="shared" si="371"/>
        <v>0</v>
      </c>
      <c r="BU834">
        <f t="shared" si="372"/>
        <v>18</v>
      </c>
      <c r="CP834">
        <f>IF(包装物料出入库明细!$D834="",0,1)</f>
        <v>0</v>
      </c>
      <c r="CQ834">
        <f t="shared" si="373"/>
        <v>37</v>
      </c>
      <c r="CS834" t="str">
        <f>IF(OR(周转筐出入库明细!$C835="",周转筐出入库明细!$F835&lt;&gt;"采购入库"),"",周转筐出入库明细!$C835)</f>
        <v/>
      </c>
      <c r="CT834">
        <f t="shared" si="374"/>
        <v>0</v>
      </c>
      <c r="CU834">
        <f t="shared" si="375"/>
        <v>1</v>
      </c>
    </row>
    <row r="835" spans="1:99">
      <c r="A835" t="str">
        <f>IF(包装物料出入库明细!$E835="","",包装物料出入库明细!$E835)</f>
        <v/>
      </c>
      <c r="B835">
        <f t="shared" si="359"/>
        <v>0</v>
      </c>
      <c r="C835">
        <f t="shared" si="360"/>
        <v>7</v>
      </c>
      <c r="D835" t="str">
        <f>IF(包装物料出入库明细!$E835="","",包装物料出入库明细!$F835)</f>
        <v/>
      </c>
      <c r="E835" t="str">
        <f>IF(包装物料出入库明细!$E835="","",包装物料出入库明细!$G835)</f>
        <v/>
      </c>
      <c r="K835" t="str">
        <f>IF(包装物料出入库明细!$D835="","",包装物料出入库明细!$D835)</f>
        <v/>
      </c>
      <c r="L835">
        <f t="shared" si="361"/>
        <v>0</v>
      </c>
      <c r="M835">
        <f t="shared" si="362"/>
        <v>9</v>
      </c>
      <c r="Q835" t="str">
        <f>IF(周转筐出入库明细!$D836="","",周转筐出入库明细!$D836)</f>
        <v/>
      </c>
      <c r="R835">
        <f t="shared" si="363"/>
        <v>0</v>
      </c>
      <c r="S835">
        <f t="shared" si="364"/>
        <v>5</v>
      </c>
      <c r="W835" t="str">
        <f>IF(周转筐出入库明细!$C836="","",周转筐出入库明细!$C836)</f>
        <v/>
      </c>
      <c r="X835">
        <f t="shared" si="365"/>
        <v>0</v>
      </c>
      <c r="Y835">
        <f t="shared" si="366"/>
        <v>12</v>
      </c>
      <c r="AC835" t="str">
        <f>IF(客户自备加工筐明细!$C835="","",客户自备加工筐明细!$C835)</f>
        <v/>
      </c>
      <c r="AD835">
        <f t="shared" si="367"/>
        <v>0</v>
      </c>
      <c r="AE835">
        <f t="shared" si="368"/>
        <v>1</v>
      </c>
      <c r="AI835" t="str">
        <f>IF(客户自备加工筐明细!$E835="","",客户自备加工筐明细!$E835)</f>
        <v/>
      </c>
      <c r="AJ835">
        <f t="shared" si="369"/>
        <v>0</v>
      </c>
      <c r="AK835">
        <f t="shared" si="370"/>
        <v>1</v>
      </c>
      <c r="BS835" t="str">
        <f t="shared" si="377"/>
        <v/>
      </c>
      <c r="BT835">
        <f t="shared" si="371"/>
        <v>0</v>
      </c>
      <c r="BU835">
        <f t="shared" si="372"/>
        <v>18</v>
      </c>
      <c r="CP835">
        <f>IF(包装物料出入库明细!$D835="",0,1)</f>
        <v>0</v>
      </c>
      <c r="CQ835">
        <f t="shared" si="373"/>
        <v>37</v>
      </c>
      <c r="CS835" t="str">
        <f>IF(OR(周转筐出入库明细!$C836="",周转筐出入库明细!$F836&lt;&gt;"采购入库"),"",周转筐出入库明细!$C836)</f>
        <v/>
      </c>
      <c r="CT835">
        <f t="shared" si="374"/>
        <v>0</v>
      </c>
      <c r="CU835">
        <f t="shared" si="375"/>
        <v>1</v>
      </c>
    </row>
    <row r="836" spans="1:99">
      <c r="A836" t="str">
        <f>IF(包装物料出入库明细!$E836="","",包装物料出入库明细!$E836)</f>
        <v/>
      </c>
      <c r="B836">
        <f t="shared" ref="B836:B899" si="378">IF(A836="",0,IF(MATCH(A836,$A$4:$A$2003,0)=ROW()-3,1,0))</f>
        <v>0</v>
      </c>
      <c r="C836">
        <f t="shared" ref="C836:C899" si="379">N(C835)+B836</f>
        <v>7</v>
      </c>
      <c r="D836" t="str">
        <f>IF(包装物料出入库明细!$E836="","",包装物料出入库明细!$F836)</f>
        <v/>
      </c>
      <c r="E836" t="str">
        <f>IF(包装物料出入库明细!$E836="","",包装物料出入库明细!$G836)</f>
        <v/>
      </c>
      <c r="K836" t="str">
        <f>IF(包装物料出入库明细!$D836="","",包装物料出入库明细!$D836)</f>
        <v/>
      </c>
      <c r="L836">
        <f t="shared" ref="L836:L899" si="380">IF(K836="",0,IF(MATCH(K836,$K$4:$K$2003,0)=ROW()-3,1,0))</f>
        <v>0</v>
      </c>
      <c r="M836">
        <f t="shared" ref="M836:M899" si="381">N(M835)+L836</f>
        <v>9</v>
      </c>
      <c r="Q836" t="str">
        <f>IF(周转筐出入库明细!$D837="","",周转筐出入库明细!$D837)</f>
        <v/>
      </c>
      <c r="R836">
        <f t="shared" ref="R836:R899" si="382">IF(Q836="",0,IF(MATCH(Q836,$Q$4:$Q$2003,0)=ROW()-3,1,0))</f>
        <v>0</v>
      </c>
      <c r="S836">
        <f t="shared" ref="S836:S899" si="383">N(S835)+R836</f>
        <v>5</v>
      </c>
      <c r="W836" t="str">
        <f>IF(周转筐出入库明细!$C837="","",周转筐出入库明细!$C837)</f>
        <v/>
      </c>
      <c r="X836">
        <f t="shared" ref="X836:X899" si="384">IF(W836="",0,IF(MATCH(W836,$W$4:$W$2003,0)=ROW()-3,1,0))</f>
        <v>0</v>
      </c>
      <c r="Y836">
        <f t="shared" ref="Y836:Y899" si="385">N(Y835)+X836</f>
        <v>12</v>
      </c>
      <c r="AC836" t="str">
        <f>IF(客户自备加工筐明细!$C836="","",客户自备加工筐明细!$C836)</f>
        <v/>
      </c>
      <c r="AD836">
        <f t="shared" ref="AD836:AD899" si="386">IF(AC836="",0,IF(MATCH(AC836,$AC$4:$AC$1203,0)=ROW()-3,1,0))</f>
        <v>0</v>
      </c>
      <c r="AE836">
        <f t="shared" ref="AE836:AE899" si="387">N(AE835)+AD836</f>
        <v>1</v>
      </c>
      <c r="AI836" t="str">
        <f>IF(客户自备加工筐明细!$E836="","",客户自备加工筐明细!$E836)</f>
        <v/>
      </c>
      <c r="AJ836">
        <f t="shared" ref="AJ836:AJ899" si="388">IF(AI836="",0,IF(MATCH(AI836,$AI$4:$AI$1503,0)=ROW()-3,1,0))</f>
        <v>0</v>
      </c>
      <c r="AK836">
        <f t="shared" ref="AK836:AK899" si="389">N(AK835)+AJ836</f>
        <v>1</v>
      </c>
      <c r="BS836" t="str">
        <f t="shared" si="377"/>
        <v/>
      </c>
      <c r="BT836">
        <f t="shared" ref="BT836:BT899" si="390">IF(BS836="",0,IF(MATCH(BS836,$BS$4:$BS$1103,0)=ROW()-3,1,0))</f>
        <v>0</v>
      </c>
      <c r="BU836">
        <f t="shared" ref="BU836:BU899" si="391">N(BU835)+BT836</f>
        <v>18</v>
      </c>
      <c r="CP836">
        <f>IF(包装物料出入库明细!$D836="",0,1)</f>
        <v>0</v>
      </c>
      <c r="CQ836">
        <f t="shared" ref="CQ836:CQ899" si="392">N(CQ835)+$CP836</f>
        <v>37</v>
      </c>
      <c r="CS836" t="str">
        <f>IF(OR(周转筐出入库明细!$C837="",周转筐出入库明细!$F837&lt;&gt;"采购入库"),"",周转筐出入库明细!$C837)</f>
        <v/>
      </c>
      <c r="CT836">
        <f t="shared" ref="CT836:CT899" si="393">IF(CS836="",0,IF(MATCH(CS836,$CS$4:$CS$2003,0)=ROW()-3,1,0))</f>
        <v>0</v>
      </c>
      <c r="CU836">
        <f t="shared" ref="CU836:CU899" si="394">N(CU835)+CT836</f>
        <v>1</v>
      </c>
    </row>
    <row r="837" spans="1:99">
      <c r="A837" t="str">
        <f>IF(包装物料出入库明细!$E837="","",包装物料出入库明细!$E837)</f>
        <v/>
      </c>
      <c r="B837">
        <f t="shared" si="378"/>
        <v>0</v>
      </c>
      <c r="C837">
        <f t="shared" si="379"/>
        <v>7</v>
      </c>
      <c r="D837" t="str">
        <f>IF(包装物料出入库明细!$E837="","",包装物料出入库明细!$F837)</f>
        <v/>
      </c>
      <c r="E837" t="str">
        <f>IF(包装物料出入库明细!$E837="","",包装物料出入库明细!$G837)</f>
        <v/>
      </c>
      <c r="K837" t="str">
        <f>IF(包装物料出入库明细!$D837="","",包装物料出入库明细!$D837)</f>
        <v/>
      </c>
      <c r="L837">
        <f t="shared" si="380"/>
        <v>0</v>
      </c>
      <c r="M837">
        <f t="shared" si="381"/>
        <v>9</v>
      </c>
      <c r="Q837" t="str">
        <f>IF(周转筐出入库明细!$D838="","",周转筐出入库明细!$D838)</f>
        <v/>
      </c>
      <c r="R837">
        <f t="shared" si="382"/>
        <v>0</v>
      </c>
      <c r="S837">
        <f t="shared" si="383"/>
        <v>5</v>
      </c>
      <c r="W837" t="str">
        <f>IF(周转筐出入库明细!$C838="","",周转筐出入库明细!$C838)</f>
        <v/>
      </c>
      <c r="X837">
        <f t="shared" si="384"/>
        <v>0</v>
      </c>
      <c r="Y837">
        <f t="shared" si="385"/>
        <v>12</v>
      </c>
      <c r="AC837" t="str">
        <f>IF(客户自备加工筐明细!$C837="","",客户自备加工筐明细!$C837)</f>
        <v/>
      </c>
      <c r="AD837">
        <f t="shared" si="386"/>
        <v>0</v>
      </c>
      <c r="AE837">
        <f t="shared" si="387"/>
        <v>1</v>
      </c>
      <c r="AI837" t="str">
        <f>IF(客户自备加工筐明细!$E837="","",客户自备加工筐明细!$E837)</f>
        <v/>
      </c>
      <c r="AJ837">
        <f t="shared" si="388"/>
        <v>0</v>
      </c>
      <c r="AK837">
        <f t="shared" si="389"/>
        <v>1</v>
      </c>
      <c r="BS837" t="str">
        <f t="shared" si="377"/>
        <v/>
      </c>
      <c r="BT837">
        <f t="shared" si="390"/>
        <v>0</v>
      </c>
      <c r="BU837">
        <f t="shared" si="391"/>
        <v>18</v>
      </c>
      <c r="CP837">
        <f>IF(包装物料出入库明细!$D837="",0,1)</f>
        <v>0</v>
      </c>
      <c r="CQ837">
        <f t="shared" si="392"/>
        <v>37</v>
      </c>
      <c r="CS837" t="str">
        <f>IF(OR(周转筐出入库明细!$C838="",周转筐出入库明细!$F838&lt;&gt;"采购入库"),"",周转筐出入库明细!$C838)</f>
        <v/>
      </c>
      <c r="CT837">
        <f t="shared" si="393"/>
        <v>0</v>
      </c>
      <c r="CU837">
        <f t="shared" si="394"/>
        <v>1</v>
      </c>
    </row>
    <row r="838" spans="1:99">
      <c r="A838" t="str">
        <f>IF(包装物料出入库明细!$E838="","",包装物料出入库明细!$E838)</f>
        <v/>
      </c>
      <c r="B838">
        <f t="shared" si="378"/>
        <v>0</v>
      </c>
      <c r="C838">
        <f t="shared" si="379"/>
        <v>7</v>
      </c>
      <c r="D838" t="str">
        <f>IF(包装物料出入库明细!$E838="","",包装物料出入库明细!$F838)</f>
        <v/>
      </c>
      <c r="E838" t="str">
        <f>IF(包装物料出入库明细!$E838="","",包装物料出入库明细!$G838)</f>
        <v/>
      </c>
      <c r="K838" t="str">
        <f>IF(包装物料出入库明细!$D838="","",包装物料出入库明细!$D838)</f>
        <v/>
      </c>
      <c r="L838">
        <f t="shared" si="380"/>
        <v>0</v>
      </c>
      <c r="M838">
        <f t="shared" si="381"/>
        <v>9</v>
      </c>
      <c r="Q838" t="str">
        <f>IF(周转筐出入库明细!$D839="","",周转筐出入库明细!$D839)</f>
        <v/>
      </c>
      <c r="R838">
        <f t="shared" si="382"/>
        <v>0</v>
      </c>
      <c r="S838">
        <f t="shared" si="383"/>
        <v>5</v>
      </c>
      <c r="W838" t="str">
        <f>IF(周转筐出入库明细!$C839="","",周转筐出入库明细!$C839)</f>
        <v/>
      </c>
      <c r="X838">
        <f t="shared" si="384"/>
        <v>0</v>
      </c>
      <c r="Y838">
        <f t="shared" si="385"/>
        <v>12</v>
      </c>
      <c r="AC838" t="str">
        <f>IF(客户自备加工筐明细!$C838="","",客户自备加工筐明细!$C838)</f>
        <v/>
      </c>
      <c r="AD838">
        <f t="shared" si="386"/>
        <v>0</v>
      </c>
      <c r="AE838">
        <f t="shared" si="387"/>
        <v>1</v>
      </c>
      <c r="AI838" t="str">
        <f>IF(客户自备加工筐明细!$E838="","",客户自备加工筐明细!$E838)</f>
        <v/>
      </c>
      <c r="AJ838">
        <f t="shared" si="388"/>
        <v>0</v>
      </c>
      <c r="AK838">
        <f t="shared" si="389"/>
        <v>1</v>
      </c>
      <c r="BS838" t="str">
        <f t="shared" si="377"/>
        <v/>
      </c>
      <c r="BT838">
        <f t="shared" si="390"/>
        <v>0</v>
      </c>
      <c r="BU838">
        <f t="shared" si="391"/>
        <v>18</v>
      </c>
      <c r="CP838">
        <f>IF(包装物料出入库明细!$D838="",0,1)</f>
        <v>0</v>
      </c>
      <c r="CQ838">
        <f t="shared" si="392"/>
        <v>37</v>
      </c>
      <c r="CS838" t="str">
        <f>IF(OR(周转筐出入库明细!$C839="",周转筐出入库明细!$F839&lt;&gt;"采购入库"),"",周转筐出入库明细!$C839)</f>
        <v/>
      </c>
      <c r="CT838">
        <f t="shared" si="393"/>
        <v>0</v>
      </c>
      <c r="CU838">
        <f t="shared" si="394"/>
        <v>1</v>
      </c>
    </row>
    <row r="839" spans="1:99">
      <c r="A839" t="str">
        <f>IF(包装物料出入库明细!$E839="","",包装物料出入库明细!$E839)</f>
        <v/>
      </c>
      <c r="B839">
        <f t="shared" si="378"/>
        <v>0</v>
      </c>
      <c r="C839">
        <f t="shared" si="379"/>
        <v>7</v>
      </c>
      <c r="D839" t="str">
        <f>IF(包装物料出入库明细!$E839="","",包装物料出入库明细!$F839)</f>
        <v/>
      </c>
      <c r="E839" t="str">
        <f>IF(包装物料出入库明细!$E839="","",包装物料出入库明细!$G839)</f>
        <v/>
      </c>
      <c r="K839" t="str">
        <f>IF(包装物料出入库明细!$D839="","",包装物料出入库明细!$D839)</f>
        <v/>
      </c>
      <c r="L839">
        <f t="shared" si="380"/>
        <v>0</v>
      </c>
      <c r="M839">
        <f t="shared" si="381"/>
        <v>9</v>
      </c>
      <c r="Q839" t="str">
        <f>IF(周转筐出入库明细!$D840="","",周转筐出入库明细!$D840)</f>
        <v/>
      </c>
      <c r="R839">
        <f t="shared" si="382"/>
        <v>0</v>
      </c>
      <c r="S839">
        <f t="shared" si="383"/>
        <v>5</v>
      </c>
      <c r="W839" t="str">
        <f>IF(周转筐出入库明细!$C840="","",周转筐出入库明细!$C840)</f>
        <v/>
      </c>
      <c r="X839">
        <f t="shared" si="384"/>
        <v>0</v>
      </c>
      <c r="Y839">
        <f t="shared" si="385"/>
        <v>12</v>
      </c>
      <c r="AC839" t="str">
        <f>IF(客户自备加工筐明细!$C839="","",客户自备加工筐明细!$C839)</f>
        <v/>
      </c>
      <c r="AD839">
        <f t="shared" si="386"/>
        <v>0</v>
      </c>
      <c r="AE839">
        <f t="shared" si="387"/>
        <v>1</v>
      </c>
      <c r="AI839" t="str">
        <f>IF(客户自备加工筐明细!$E839="","",客户自备加工筐明细!$E839)</f>
        <v/>
      </c>
      <c r="AJ839">
        <f t="shared" si="388"/>
        <v>0</v>
      </c>
      <c r="AK839">
        <f t="shared" si="389"/>
        <v>1</v>
      </c>
      <c r="BS839" t="str">
        <f t="shared" si="377"/>
        <v/>
      </c>
      <c r="BT839">
        <f t="shared" si="390"/>
        <v>0</v>
      </c>
      <c r="BU839">
        <f t="shared" si="391"/>
        <v>18</v>
      </c>
      <c r="CP839">
        <f>IF(包装物料出入库明细!$D839="",0,1)</f>
        <v>0</v>
      </c>
      <c r="CQ839">
        <f t="shared" si="392"/>
        <v>37</v>
      </c>
      <c r="CS839" t="str">
        <f>IF(OR(周转筐出入库明细!$C840="",周转筐出入库明细!$F840&lt;&gt;"采购入库"),"",周转筐出入库明细!$C840)</f>
        <v/>
      </c>
      <c r="CT839">
        <f t="shared" si="393"/>
        <v>0</v>
      </c>
      <c r="CU839">
        <f t="shared" si="394"/>
        <v>1</v>
      </c>
    </row>
    <row r="840" spans="1:99">
      <c r="A840" t="str">
        <f>IF(包装物料出入库明细!$E840="","",包装物料出入库明细!$E840)</f>
        <v/>
      </c>
      <c r="B840">
        <f t="shared" si="378"/>
        <v>0</v>
      </c>
      <c r="C840">
        <f t="shared" si="379"/>
        <v>7</v>
      </c>
      <c r="D840" t="str">
        <f>IF(包装物料出入库明细!$E840="","",包装物料出入库明细!$F840)</f>
        <v/>
      </c>
      <c r="E840" t="str">
        <f>IF(包装物料出入库明细!$E840="","",包装物料出入库明细!$G840)</f>
        <v/>
      </c>
      <c r="K840" t="str">
        <f>IF(包装物料出入库明细!$D840="","",包装物料出入库明细!$D840)</f>
        <v/>
      </c>
      <c r="L840">
        <f t="shared" si="380"/>
        <v>0</v>
      </c>
      <c r="M840">
        <f t="shared" si="381"/>
        <v>9</v>
      </c>
      <c r="Q840" t="str">
        <f>IF(周转筐出入库明细!$D841="","",周转筐出入库明细!$D841)</f>
        <v/>
      </c>
      <c r="R840">
        <f t="shared" si="382"/>
        <v>0</v>
      </c>
      <c r="S840">
        <f t="shared" si="383"/>
        <v>5</v>
      </c>
      <c r="W840" t="str">
        <f>IF(周转筐出入库明细!$C841="","",周转筐出入库明细!$C841)</f>
        <v/>
      </c>
      <c r="X840">
        <f t="shared" si="384"/>
        <v>0</v>
      </c>
      <c r="Y840">
        <f t="shared" si="385"/>
        <v>12</v>
      </c>
      <c r="AC840" t="str">
        <f>IF(客户自备加工筐明细!$C840="","",客户自备加工筐明细!$C840)</f>
        <v/>
      </c>
      <c r="AD840">
        <f t="shared" si="386"/>
        <v>0</v>
      </c>
      <c r="AE840">
        <f t="shared" si="387"/>
        <v>1</v>
      </c>
      <c r="AI840" t="str">
        <f>IF(客户自备加工筐明细!$E840="","",客户自备加工筐明细!$E840)</f>
        <v/>
      </c>
      <c r="AJ840">
        <f t="shared" si="388"/>
        <v>0</v>
      </c>
      <c r="AK840">
        <f t="shared" si="389"/>
        <v>1</v>
      </c>
      <c r="BS840" t="str">
        <f t="shared" si="377"/>
        <v/>
      </c>
      <c r="BT840">
        <f t="shared" si="390"/>
        <v>0</v>
      </c>
      <c r="BU840">
        <f t="shared" si="391"/>
        <v>18</v>
      </c>
      <c r="CP840">
        <f>IF(包装物料出入库明细!$D840="",0,1)</f>
        <v>0</v>
      </c>
      <c r="CQ840">
        <f t="shared" si="392"/>
        <v>37</v>
      </c>
      <c r="CS840" t="str">
        <f>IF(OR(周转筐出入库明细!$C841="",周转筐出入库明细!$F841&lt;&gt;"采购入库"),"",周转筐出入库明细!$C841)</f>
        <v/>
      </c>
      <c r="CT840">
        <f t="shared" si="393"/>
        <v>0</v>
      </c>
      <c r="CU840">
        <f t="shared" si="394"/>
        <v>1</v>
      </c>
    </row>
    <row r="841" spans="1:99">
      <c r="A841" t="str">
        <f>IF(包装物料出入库明细!$E841="","",包装物料出入库明细!$E841)</f>
        <v/>
      </c>
      <c r="B841">
        <f t="shared" si="378"/>
        <v>0</v>
      </c>
      <c r="C841">
        <f t="shared" si="379"/>
        <v>7</v>
      </c>
      <c r="D841" t="str">
        <f>IF(包装物料出入库明细!$E841="","",包装物料出入库明细!$F841)</f>
        <v/>
      </c>
      <c r="E841" t="str">
        <f>IF(包装物料出入库明细!$E841="","",包装物料出入库明细!$G841)</f>
        <v/>
      </c>
      <c r="K841" t="str">
        <f>IF(包装物料出入库明细!$D841="","",包装物料出入库明细!$D841)</f>
        <v/>
      </c>
      <c r="L841">
        <f t="shared" si="380"/>
        <v>0</v>
      </c>
      <c r="M841">
        <f t="shared" si="381"/>
        <v>9</v>
      </c>
      <c r="Q841" t="str">
        <f>IF(周转筐出入库明细!$D842="","",周转筐出入库明细!$D842)</f>
        <v/>
      </c>
      <c r="R841">
        <f t="shared" si="382"/>
        <v>0</v>
      </c>
      <c r="S841">
        <f t="shared" si="383"/>
        <v>5</v>
      </c>
      <c r="W841" t="str">
        <f>IF(周转筐出入库明细!$C842="","",周转筐出入库明细!$C842)</f>
        <v/>
      </c>
      <c r="X841">
        <f t="shared" si="384"/>
        <v>0</v>
      </c>
      <c r="Y841">
        <f t="shared" si="385"/>
        <v>12</v>
      </c>
      <c r="AC841" t="str">
        <f>IF(客户自备加工筐明细!$C841="","",客户自备加工筐明细!$C841)</f>
        <v/>
      </c>
      <c r="AD841">
        <f t="shared" si="386"/>
        <v>0</v>
      </c>
      <c r="AE841">
        <f t="shared" si="387"/>
        <v>1</v>
      </c>
      <c r="AI841" t="str">
        <f>IF(客户自备加工筐明细!$E841="","",客户自备加工筐明细!$E841)</f>
        <v/>
      </c>
      <c r="AJ841">
        <f t="shared" si="388"/>
        <v>0</v>
      </c>
      <c r="AK841">
        <f t="shared" si="389"/>
        <v>1</v>
      </c>
      <c r="BS841" t="str">
        <f t="shared" si="377"/>
        <v/>
      </c>
      <c r="BT841">
        <f t="shared" si="390"/>
        <v>0</v>
      </c>
      <c r="BU841">
        <f t="shared" si="391"/>
        <v>18</v>
      </c>
      <c r="CP841">
        <f>IF(包装物料出入库明细!$D841="",0,1)</f>
        <v>0</v>
      </c>
      <c r="CQ841">
        <f t="shared" si="392"/>
        <v>37</v>
      </c>
      <c r="CS841" t="str">
        <f>IF(OR(周转筐出入库明细!$C842="",周转筐出入库明细!$F842&lt;&gt;"采购入库"),"",周转筐出入库明细!$C842)</f>
        <v/>
      </c>
      <c r="CT841">
        <f t="shared" si="393"/>
        <v>0</v>
      </c>
      <c r="CU841">
        <f t="shared" si="394"/>
        <v>1</v>
      </c>
    </row>
    <row r="842" spans="1:99">
      <c r="A842" t="str">
        <f>IF(包装物料出入库明细!$E842="","",包装物料出入库明细!$E842)</f>
        <v/>
      </c>
      <c r="B842">
        <f t="shared" si="378"/>
        <v>0</v>
      </c>
      <c r="C842">
        <f t="shared" si="379"/>
        <v>7</v>
      </c>
      <c r="D842" t="str">
        <f>IF(包装物料出入库明细!$E842="","",包装物料出入库明细!$F842)</f>
        <v/>
      </c>
      <c r="E842" t="str">
        <f>IF(包装物料出入库明细!$E842="","",包装物料出入库明细!$G842)</f>
        <v/>
      </c>
      <c r="K842" t="str">
        <f>IF(包装物料出入库明细!$D842="","",包装物料出入库明细!$D842)</f>
        <v/>
      </c>
      <c r="L842">
        <f t="shared" si="380"/>
        <v>0</v>
      </c>
      <c r="M842">
        <f t="shared" si="381"/>
        <v>9</v>
      </c>
      <c r="Q842" t="str">
        <f>IF(周转筐出入库明细!$D843="","",周转筐出入库明细!$D843)</f>
        <v/>
      </c>
      <c r="R842">
        <f t="shared" si="382"/>
        <v>0</v>
      </c>
      <c r="S842">
        <f t="shared" si="383"/>
        <v>5</v>
      </c>
      <c r="W842" t="str">
        <f>IF(周转筐出入库明细!$C843="","",周转筐出入库明细!$C843)</f>
        <v/>
      </c>
      <c r="X842">
        <f t="shared" si="384"/>
        <v>0</v>
      </c>
      <c r="Y842">
        <f t="shared" si="385"/>
        <v>12</v>
      </c>
      <c r="AC842" t="str">
        <f>IF(客户自备加工筐明细!$C842="","",客户自备加工筐明细!$C842)</f>
        <v/>
      </c>
      <c r="AD842">
        <f t="shared" si="386"/>
        <v>0</v>
      </c>
      <c r="AE842">
        <f t="shared" si="387"/>
        <v>1</v>
      </c>
      <c r="AI842" t="str">
        <f>IF(客户自备加工筐明细!$E842="","",客户自备加工筐明细!$E842)</f>
        <v/>
      </c>
      <c r="AJ842">
        <f t="shared" si="388"/>
        <v>0</v>
      </c>
      <c r="AK842">
        <f t="shared" si="389"/>
        <v>1</v>
      </c>
      <c r="BS842" t="str">
        <f t="shared" si="377"/>
        <v/>
      </c>
      <c r="BT842">
        <f t="shared" si="390"/>
        <v>0</v>
      </c>
      <c r="BU842">
        <f t="shared" si="391"/>
        <v>18</v>
      </c>
      <c r="CP842">
        <f>IF(包装物料出入库明细!$D842="",0,1)</f>
        <v>0</v>
      </c>
      <c r="CQ842">
        <f t="shared" si="392"/>
        <v>37</v>
      </c>
      <c r="CS842" t="str">
        <f>IF(OR(周转筐出入库明细!$C843="",周转筐出入库明细!$F843&lt;&gt;"采购入库"),"",周转筐出入库明细!$C843)</f>
        <v/>
      </c>
      <c r="CT842">
        <f t="shared" si="393"/>
        <v>0</v>
      </c>
      <c r="CU842">
        <f t="shared" si="394"/>
        <v>1</v>
      </c>
    </row>
    <row r="843" spans="1:99">
      <c r="A843" t="str">
        <f>IF(包装物料出入库明细!$E843="","",包装物料出入库明细!$E843)</f>
        <v/>
      </c>
      <c r="B843">
        <f t="shared" si="378"/>
        <v>0</v>
      </c>
      <c r="C843">
        <f t="shared" si="379"/>
        <v>7</v>
      </c>
      <c r="D843" t="str">
        <f>IF(包装物料出入库明细!$E843="","",包装物料出入库明细!$F843)</f>
        <v/>
      </c>
      <c r="E843" t="str">
        <f>IF(包装物料出入库明细!$E843="","",包装物料出入库明细!$G843)</f>
        <v/>
      </c>
      <c r="K843" t="str">
        <f>IF(包装物料出入库明细!$D843="","",包装物料出入库明细!$D843)</f>
        <v/>
      </c>
      <c r="L843">
        <f t="shared" si="380"/>
        <v>0</v>
      </c>
      <c r="M843">
        <f t="shared" si="381"/>
        <v>9</v>
      </c>
      <c r="Q843" t="str">
        <f>IF(周转筐出入库明细!$D844="","",周转筐出入库明细!$D844)</f>
        <v/>
      </c>
      <c r="R843">
        <f t="shared" si="382"/>
        <v>0</v>
      </c>
      <c r="S843">
        <f t="shared" si="383"/>
        <v>5</v>
      </c>
      <c r="W843" t="str">
        <f>IF(周转筐出入库明细!$C844="","",周转筐出入库明细!$C844)</f>
        <v/>
      </c>
      <c r="X843">
        <f t="shared" si="384"/>
        <v>0</v>
      </c>
      <c r="Y843">
        <f t="shared" si="385"/>
        <v>12</v>
      </c>
      <c r="AC843" t="str">
        <f>IF(客户自备加工筐明细!$C843="","",客户自备加工筐明细!$C843)</f>
        <v/>
      </c>
      <c r="AD843">
        <f t="shared" si="386"/>
        <v>0</v>
      </c>
      <c r="AE843">
        <f t="shared" si="387"/>
        <v>1</v>
      </c>
      <c r="AI843" t="str">
        <f>IF(客户自备加工筐明细!$E843="","",客户自备加工筐明细!$E843)</f>
        <v/>
      </c>
      <c r="AJ843">
        <f t="shared" si="388"/>
        <v>0</v>
      </c>
      <c r="AK843">
        <f t="shared" si="389"/>
        <v>1</v>
      </c>
      <c r="BS843" t="str">
        <f t="shared" si="377"/>
        <v/>
      </c>
      <c r="BT843">
        <f t="shared" si="390"/>
        <v>0</v>
      </c>
      <c r="BU843">
        <f t="shared" si="391"/>
        <v>18</v>
      </c>
      <c r="CP843">
        <f>IF(包装物料出入库明细!$D843="",0,1)</f>
        <v>0</v>
      </c>
      <c r="CQ843">
        <f t="shared" si="392"/>
        <v>37</v>
      </c>
      <c r="CS843" t="str">
        <f>IF(OR(周转筐出入库明细!$C844="",周转筐出入库明细!$F844&lt;&gt;"采购入库"),"",周转筐出入库明细!$C844)</f>
        <v/>
      </c>
      <c r="CT843">
        <f t="shared" si="393"/>
        <v>0</v>
      </c>
      <c r="CU843">
        <f t="shared" si="394"/>
        <v>1</v>
      </c>
    </row>
    <row r="844" spans="1:99">
      <c r="A844" t="str">
        <f>IF(包装物料出入库明细!$E844="","",包装物料出入库明细!$E844)</f>
        <v/>
      </c>
      <c r="B844">
        <f t="shared" si="378"/>
        <v>0</v>
      </c>
      <c r="C844">
        <f t="shared" si="379"/>
        <v>7</v>
      </c>
      <c r="D844" t="str">
        <f>IF(包装物料出入库明细!$E844="","",包装物料出入库明细!$F844)</f>
        <v/>
      </c>
      <c r="E844" t="str">
        <f>IF(包装物料出入库明细!$E844="","",包装物料出入库明细!$G844)</f>
        <v/>
      </c>
      <c r="K844" t="str">
        <f>IF(包装物料出入库明细!$D844="","",包装物料出入库明细!$D844)</f>
        <v/>
      </c>
      <c r="L844">
        <f t="shared" si="380"/>
        <v>0</v>
      </c>
      <c r="M844">
        <f t="shared" si="381"/>
        <v>9</v>
      </c>
      <c r="Q844" t="str">
        <f>IF(周转筐出入库明细!$D845="","",周转筐出入库明细!$D845)</f>
        <v/>
      </c>
      <c r="R844">
        <f t="shared" si="382"/>
        <v>0</v>
      </c>
      <c r="S844">
        <f t="shared" si="383"/>
        <v>5</v>
      </c>
      <c r="W844" t="str">
        <f>IF(周转筐出入库明细!$C845="","",周转筐出入库明细!$C845)</f>
        <v/>
      </c>
      <c r="X844">
        <f t="shared" si="384"/>
        <v>0</v>
      </c>
      <c r="Y844">
        <f t="shared" si="385"/>
        <v>12</v>
      </c>
      <c r="AC844" t="str">
        <f>IF(客户自备加工筐明细!$C844="","",客户自备加工筐明细!$C844)</f>
        <v/>
      </c>
      <c r="AD844">
        <f t="shared" si="386"/>
        <v>0</v>
      </c>
      <c r="AE844">
        <f t="shared" si="387"/>
        <v>1</v>
      </c>
      <c r="AI844" t="str">
        <f>IF(客户自备加工筐明细!$E844="","",客户自备加工筐明细!$E844)</f>
        <v/>
      </c>
      <c r="AJ844">
        <f t="shared" si="388"/>
        <v>0</v>
      </c>
      <c r="AK844">
        <f t="shared" si="389"/>
        <v>1</v>
      </c>
      <c r="BS844" t="str">
        <f t="shared" si="377"/>
        <v/>
      </c>
      <c r="BT844">
        <f t="shared" si="390"/>
        <v>0</v>
      </c>
      <c r="BU844">
        <f t="shared" si="391"/>
        <v>18</v>
      </c>
      <c r="CP844">
        <f>IF(包装物料出入库明细!$D844="",0,1)</f>
        <v>0</v>
      </c>
      <c r="CQ844">
        <f t="shared" si="392"/>
        <v>37</v>
      </c>
      <c r="CS844" t="str">
        <f>IF(OR(周转筐出入库明细!$C845="",周转筐出入库明细!$F845&lt;&gt;"采购入库"),"",周转筐出入库明细!$C845)</f>
        <v/>
      </c>
      <c r="CT844">
        <f t="shared" si="393"/>
        <v>0</v>
      </c>
      <c r="CU844">
        <f t="shared" si="394"/>
        <v>1</v>
      </c>
    </row>
    <row r="845" spans="1:99">
      <c r="A845" t="str">
        <f>IF(包装物料出入库明细!$E845="","",包装物料出入库明细!$E845)</f>
        <v/>
      </c>
      <c r="B845">
        <f t="shared" si="378"/>
        <v>0</v>
      </c>
      <c r="C845">
        <f t="shared" si="379"/>
        <v>7</v>
      </c>
      <c r="D845" t="str">
        <f>IF(包装物料出入库明细!$E845="","",包装物料出入库明细!$F845)</f>
        <v/>
      </c>
      <c r="E845" t="str">
        <f>IF(包装物料出入库明细!$E845="","",包装物料出入库明细!$G845)</f>
        <v/>
      </c>
      <c r="K845" t="str">
        <f>IF(包装物料出入库明细!$D845="","",包装物料出入库明细!$D845)</f>
        <v/>
      </c>
      <c r="L845">
        <f t="shared" si="380"/>
        <v>0</v>
      </c>
      <c r="M845">
        <f t="shared" si="381"/>
        <v>9</v>
      </c>
      <c r="Q845" t="str">
        <f>IF(周转筐出入库明细!$D846="","",周转筐出入库明细!$D846)</f>
        <v/>
      </c>
      <c r="R845">
        <f t="shared" si="382"/>
        <v>0</v>
      </c>
      <c r="S845">
        <f t="shared" si="383"/>
        <v>5</v>
      </c>
      <c r="W845" t="str">
        <f>IF(周转筐出入库明细!$C846="","",周转筐出入库明细!$C846)</f>
        <v/>
      </c>
      <c r="X845">
        <f t="shared" si="384"/>
        <v>0</v>
      </c>
      <c r="Y845">
        <f t="shared" si="385"/>
        <v>12</v>
      </c>
      <c r="AC845" t="str">
        <f>IF(客户自备加工筐明细!$C845="","",客户自备加工筐明细!$C845)</f>
        <v/>
      </c>
      <c r="AD845">
        <f t="shared" si="386"/>
        <v>0</v>
      </c>
      <c r="AE845">
        <f t="shared" si="387"/>
        <v>1</v>
      </c>
      <c r="AI845" t="str">
        <f>IF(客户自备加工筐明细!$E845="","",客户自备加工筐明细!$E845)</f>
        <v/>
      </c>
      <c r="AJ845">
        <f t="shared" si="388"/>
        <v>0</v>
      </c>
      <c r="AK845">
        <f t="shared" si="389"/>
        <v>1</v>
      </c>
      <c r="BS845" t="str">
        <f t="shared" si="377"/>
        <v/>
      </c>
      <c r="BT845">
        <f t="shared" si="390"/>
        <v>0</v>
      </c>
      <c r="BU845">
        <f t="shared" si="391"/>
        <v>18</v>
      </c>
      <c r="CP845">
        <f>IF(包装物料出入库明细!$D845="",0,1)</f>
        <v>0</v>
      </c>
      <c r="CQ845">
        <f t="shared" si="392"/>
        <v>37</v>
      </c>
      <c r="CS845" t="str">
        <f>IF(OR(周转筐出入库明细!$C846="",周转筐出入库明细!$F846&lt;&gt;"采购入库"),"",周转筐出入库明细!$C846)</f>
        <v/>
      </c>
      <c r="CT845">
        <f t="shared" si="393"/>
        <v>0</v>
      </c>
      <c r="CU845">
        <f t="shared" si="394"/>
        <v>1</v>
      </c>
    </row>
    <row r="846" spans="1:99">
      <c r="A846" t="str">
        <f>IF(包装物料出入库明细!$E846="","",包装物料出入库明细!$E846)</f>
        <v/>
      </c>
      <c r="B846">
        <f t="shared" si="378"/>
        <v>0</v>
      </c>
      <c r="C846">
        <f t="shared" si="379"/>
        <v>7</v>
      </c>
      <c r="D846" t="str">
        <f>IF(包装物料出入库明细!$E846="","",包装物料出入库明细!$F846)</f>
        <v/>
      </c>
      <c r="E846" t="str">
        <f>IF(包装物料出入库明细!$E846="","",包装物料出入库明细!$G846)</f>
        <v/>
      </c>
      <c r="K846" t="str">
        <f>IF(包装物料出入库明细!$D846="","",包装物料出入库明细!$D846)</f>
        <v/>
      </c>
      <c r="L846">
        <f t="shared" si="380"/>
        <v>0</v>
      </c>
      <c r="M846">
        <f t="shared" si="381"/>
        <v>9</v>
      </c>
      <c r="Q846" t="str">
        <f>IF(周转筐出入库明细!$D847="","",周转筐出入库明细!$D847)</f>
        <v/>
      </c>
      <c r="R846">
        <f t="shared" si="382"/>
        <v>0</v>
      </c>
      <c r="S846">
        <f t="shared" si="383"/>
        <v>5</v>
      </c>
      <c r="W846" t="str">
        <f>IF(周转筐出入库明细!$C847="","",周转筐出入库明细!$C847)</f>
        <v/>
      </c>
      <c r="X846">
        <f t="shared" si="384"/>
        <v>0</v>
      </c>
      <c r="Y846">
        <f t="shared" si="385"/>
        <v>12</v>
      </c>
      <c r="AC846" t="str">
        <f>IF(客户自备加工筐明细!$C846="","",客户自备加工筐明细!$C846)</f>
        <v/>
      </c>
      <c r="AD846">
        <f t="shared" si="386"/>
        <v>0</v>
      </c>
      <c r="AE846">
        <f t="shared" si="387"/>
        <v>1</v>
      </c>
      <c r="AI846" t="str">
        <f>IF(客户自备加工筐明细!$E846="","",客户自备加工筐明细!$E846)</f>
        <v/>
      </c>
      <c r="AJ846">
        <f t="shared" si="388"/>
        <v>0</v>
      </c>
      <c r="AK846">
        <f t="shared" si="389"/>
        <v>1</v>
      </c>
      <c r="BS846" t="str">
        <f t="shared" si="377"/>
        <v/>
      </c>
      <c r="BT846">
        <f t="shared" si="390"/>
        <v>0</v>
      </c>
      <c r="BU846">
        <f t="shared" si="391"/>
        <v>18</v>
      </c>
      <c r="CP846">
        <f>IF(包装物料出入库明细!$D846="",0,1)</f>
        <v>0</v>
      </c>
      <c r="CQ846">
        <f t="shared" si="392"/>
        <v>37</v>
      </c>
      <c r="CS846" t="str">
        <f>IF(OR(周转筐出入库明细!$C847="",周转筐出入库明细!$F847&lt;&gt;"采购入库"),"",周转筐出入库明细!$C847)</f>
        <v/>
      </c>
      <c r="CT846">
        <f t="shared" si="393"/>
        <v>0</v>
      </c>
      <c r="CU846">
        <f t="shared" si="394"/>
        <v>1</v>
      </c>
    </row>
    <row r="847" spans="1:99">
      <c r="A847" t="str">
        <f>IF(包装物料出入库明细!$E847="","",包装物料出入库明细!$E847)</f>
        <v/>
      </c>
      <c r="B847">
        <f t="shared" si="378"/>
        <v>0</v>
      </c>
      <c r="C847">
        <f t="shared" si="379"/>
        <v>7</v>
      </c>
      <c r="D847" t="str">
        <f>IF(包装物料出入库明细!$E847="","",包装物料出入库明细!$F847)</f>
        <v/>
      </c>
      <c r="E847" t="str">
        <f>IF(包装物料出入库明细!$E847="","",包装物料出入库明细!$G847)</f>
        <v/>
      </c>
      <c r="K847" t="str">
        <f>IF(包装物料出入库明细!$D847="","",包装物料出入库明细!$D847)</f>
        <v/>
      </c>
      <c r="L847">
        <f t="shared" si="380"/>
        <v>0</v>
      </c>
      <c r="M847">
        <f t="shared" si="381"/>
        <v>9</v>
      </c>
      <c r="Q847" t="str">
        <f>IF(周转筐出入库明细!$D848="","",周转筐出入库明细!$D848)</f>
        <v/>
      </c>
      <c r="R847">
        <f t="shared" si="382"/>
        <v>0</v>
      </c>
      <c r="S847">
        <f t="shared" si="383"/>
        <v>5</v>
      </c>
      <c r="W847" t="str">
        <f>IF(周转筐出入库明细!$C848="","",周转筐出入库明细!$C848)</f>
        <v/>
      </c>
      <c r="X847">
        <f t="shared" si="384"/>
        <v>0</v>
      </c>
      <c r="Y847">
        <f t="shared" si="385"/>
        <v>12</v>
      </c>
      <c r="AC847" t="str">
        <f>IF(客户自备加工筐明细!$C847="","",客户自备加工筐明细!$C847)</f>
        <v/>
      </c>
      <c r="AD847">
        <f t="shared" si="386"/>
        <v>0</v>
      </c>
      <c r="AE847">
        <f t="shared" si="387"/>
        <v>1</v>
      </c>
      <c r="AI847" t="str">
        <f>IF(客户自备加工筐明细!$E847="","",客户自备加工筐明细!$E847)</f>
        <v/>
      </c>
      <c r="AJ847">
        <f t="shared" si="388"/>
        <v>0</v>
      </c>
      <c r="AK847">
        <f t="shared" si="389"/>
        <v>1</v>
      </c>
      <c r="BS847" t="str">
        <f t="shared" si="377"/>
        <v/>
      </c>
      <c r="BT847">
        <f t="shared" si="390"/>
        <v>0</v>
      </c>
      <c r="BU847">
        <f t="shared" si="391"/>
        <v>18</v>
      </c>
      <c r="CP847">
        <f>IF(包装物料出入库明细!$D847="",0,1)</f>
        <v>0</v>
      </c>
      <c r="CQ847">
        <f t="shared" si="392"/>
        <v>37</v>
      </c>
      <c r="CS847" t="str">
        <f>IF(OR(周转筐出入库明细!$C848="",周转筐出入库明细!$F848&lt;&gt;"采购入库"),"",周转筐出入库明细!$C848)</f>
        <v/>
      </c>
      <c r="CT847">
        <f t="shared" si="393"/>
        <v>0</v>
      </c>
      <c r="CU847">
        <f t="shared" si="394"/>
        <v>1</v>
      </c>
    </row>
    <row r="848" spans="1:99">
      <c r="A848" t="str">
        <f>IF(包装物料出入库明细!$E848="","",包装物料出入库明细!$E848)</f>
        <v/>
      </c>
      <c r="B848">
        <f t="shared" si="378"/>
        <v>0</v>
      </c>
      <c r="C848">
        <f t="shared" si="379"/>
        <v>7</v>
      </c>
      <c r="D848" t="str">
        <f>IF(包装物料出入库明细!$E848="","",包装物料出入库明细!$F848)</f>
        <v/>
      </c>
      <c r="E848" t="str">
        <f>IF(包装物料出入库明细!$E848="","",包装物料出入库明细!$G848)</f>
        <v/>
      </c>
      <c r="K848" t="str">
        <f>IF(包装物料出入库明细!$D848="","",包装物料出入库明细!$D848)</f>
        <v/>
      </c>
      <c r="L848">
        <f t="shared" si="380"/>
        <v>0</v>
      </c>
      <c r="M848">
        <f t="shared" si="381"/>
        <v>9</v>
      </c>
      <c r="Q848" t="str">
        <f>IF(周转筐出入库明细!$D849="","",周转筐出入库明细!$D849)</f>
        <v/>
      </c>
      <c r="R848">
        <f t="shared" si="382"/>
        <v>0</v>
      </c>
      <c r="S848">
        <f t="shared" si="383"/>
        <v>5</v>
      </c>
      <c r="W848" t="str">
        <f>IF(周转筐出入库明细!$C849="","",周转筐出入库明细!$C849)</f>
        <v/>
      </c>
      <c r="X848">
        <f t="shared" si="384"/>
        <v>0</v>
      </c>
      <c r="Y848">
        <f t="shared" si="385"/>
        <v>12</v>
      </c>
      <c r="AC848" t="str">
        <f>IF(客户自备加工筐明细!$C848="","",客户自备加工筐明细!$C848)</f>
        <v/>
      </c>
      <c r="AD848">
        <f t="shared" si="386"/>
        <v>0</v>
      </c>
      <c r="AE848">
        <f t="shared" si="387"/>
        <v>1</v>
      </c>
      <c r="AI848" t="str">
        <f>IF(客户自备加工筐明细!$E848="","",客户自备加工筐明细!$E848)</f>
        <v/>
      </c>
      <c r="AJ848">
        <f t="shared" si="388"/>
        <v>0</v>
      </c>
      <c r="AK848">
        <f t="shared" si="389"/>
        <v>1</v>
      </c>
      <c r="BS848" t="str">
        <f t="shared" si="377"/>
        <v/>
      </c>
      <c r="BT848">
        <f t="shared" si="390"/>
        <v>0</v>
      </c>
      <c r="BU848">
        <f t="shared" si="391"/>
        <v>18</v>
      </c>
      <c r="CP848">
        <f>IF(包装物料出入库明细!$D848="",0,1)</f>
        <v>0</v>
      </c>
      <c r="CQ848">
        <f t="shared" si="392"/>
        <v>37</v>
      </c>
      <c r="CS848" t="str">
        <f>IF(OR(周转筐出入库明细!$C849="",周转筐出入库明细!$F849&lt;&gt;"采购入库"),"",周转筐出入库明细!$C849)</f>
        <v/>
      </c>
      <c r="CT848">
        <f t="shared" si="393"/>
        <v>0</v>
      </c>
      <c r="CU848">
        <f t="shared" si="394"/>
        <v>1</v>
      </c>
    </row>
    <row r="849" spans="1:99">
      <c r="A849" t="str">
        <f>IF(包装物料出入库明细!$E849="","",包装物料出入库明细!$E849)</f>
        <v/>
      </c>
      <c r="B849">
        <f t="shared" si="378"/>
        <v>0</v>
      </c>
      <c r="C849">
        <f t="shared" si="379"/>
        <v>7</v>
      </c>
      <c r="D849" t="str">
        <f>IF(包装物料出入库明细!$E849="","",包装物料出入库明细!$F849)</f>
        <v/>
      </c>
      <c r="E849" t="str">
        <f>IF(包装物料出入库明细!$E849="","",包装物料出入库明细!$G849)</f>
        <v/>
      </c>
      <c r="K849" t="str">
        <f>IF(包装物料出入库明细!$D849="","",包装物料出入库明细!$D849)</f>
        <v/>
      </c>
      <c r="L849">
        <f t="shared" si="380"/>
        <v>0</v>
      </c>
      <c r="M849">
        <f t="shared" si="381"/>
        <v>9</v>
      </c>
      <c r="Q849" t="str">
        <f>IF(周转筐出入库明细!$D850="","",周转筐出入库明细!$D850)</f>
        <v/>
      </c>
      <c r="R849">
        <f t="shared" si="382"/>
        <v>0</v>
      </c>
      <c r="S849">
        <f t="shared" si="383"/>
        <v>5</v>
      </c>
      <c r="W849" t="str">
        <f>IF(周转筐出入库明细!$C850="","",周转筐出入库明细!$C850)</f>
        <v/>
      </c>
      <c r="X849">
        <f t="shared" si="384"/>
        <v>0</v>
      </c>
      <c r="Y849">
        <f t="shared" si="385"/>
        <v>12</v>
      </c>
      <c r="AC849" t="str">
        <f>IF(客户自备加工筐明细!$C849="","",客户自备加工筐明细!$C849)</f>
        <v/>
      </c>
      <c r="AD849">
        <f t="shared" si="386"/>
        <v>0</v>
      </c>
      <c r="AE849">
        <f t="shared" si="387"/>
        <v>1</v>
      </c>
      <c r="AI849" t="str">
        <f>IF(客户自备加工筐明细!$E849="","",客户自备加工筐明细!$E849)</f>
        <v/>
      </c>
      <c r="AJ849">
        <f t="shared" si="388"/>
        <v>0</v>
      </c>
      <c r="AK849">
        <f t="shared" si="389"/>
        <v>1</v>
      </c>
      <c r="BS849" t="str">
        <f t="shared" si="377"/>
        <v/>
      </c>
      <c r="BT849">
        <f t="shared" si="390"/>
        <v>0</v>
      </c>
      <c r="BU849">
        <f t="shared" si="391"/>
        <v>18</v>
      </c>
      <c r="CP849">
        <f>IF(包装物料出入库明细!$D849="",0,1)</f>
        <v>0</v>
      </c>
      <c r="CQ849">
        <f t="shared" si="392"/>
        <v>37</v>
      </c>
      <c r="CS849" t="str">
        <f>IF(OR(周转筐出入库明细!$C850="",周转筐出入库明细!$F850&lt;&gt;"采购入库"),"",周转筐出入库明细!$C850)</f>
        <v/>
      </c>
      <c r="CT849">
        <f t="shared" si="393"/>
        <v>0</v>
      </c>
      <c r="CU849">
        <f t="shared" si="394"/>
        <v>1</v>
      </c>
    </row>
    <row r="850" spans="1:99">
      <c r="A850" t="str">
        <f>IF(包装物料出入库明细!$E850="","",包装物料出入库明细!$E850)</f>
        <v/>
      </c>
      <c r="B850">
        <f t="shared" si="378"/>
        <v>0</v>
      </c>
      <c r="C850">
        <f t="shared" si="379"/>
        <v>7</v>
      </c>
      <c r="D850" t="str">
        <f>IF(包装物料出入库明细!$E850="","",包装物料出入库明细!$F850)</f>
        <v/>
      </c>
      <c r="E850" t="str">
        <f>IF(包装物料出入库明细!$E850="","",包装物料出入库明细!$G850)</f>
        <v/>
      </c>
      <c r="K850" t="str">
        <f>IF(包装物料出入库明细!$D850="","",包装物料出入库明细!$D850)</f>
        <v/>
      </c>
      <c r="L850">
        <f t="shared" si="380"/>
        <v>0</v>
      </c>
      <c r="M850">
        <f t="shared" si="381"/>
        <v>9</v>
      </c>
      <c r="Q850" t="str">
        <f>IF(周转筐出入库明细!$D851="","",周转筐出入库明细!$D851)</f>
        <v/>
      </c>
      <c r="R850">
        <f t="shared" si="382"/>
        <v>0</v>
      </c>
      <c r="S850">
        <f t="shared" si="383"/>
        <v>5</v>
      </c>
      <c r="W850" t="str">
        <f>IF(周转筐出入库明细!$C851="","",周转筐出入库明细!$C851)</f>
        <v/>
      </c>
      <c r="X850">
        <f t="shared" si="384"/>
        <v>0</v>
      </c>
      <c r="Y850">
        <f t="shared" si="385"/>
        <v>12</v>
      </c>
      <c r="AC850" t="str">
        <f>IF(客户自备加工筐明细!$C850="","",客户自备加工筐明细!$C850)</f>
        <v/>
      </c>
      <c r="AD850">
        <f t="shared" si="386"/>
        <v>0</v>
      </c>
      <c r="AE850">
        <f t="shared" si="387"/>
        <v>1</v>
      </c>
      <c r="AI850" t="str">
        <f>IF(客户自备加工筐明细!$E850="","",客户自备加工筐明细!$E850)</f>
        <v/>
      </c>
      <c r="AJ850">
        <f t="shared" si="388"/>
        <v>0</v>
      </c>
      <c r="AK850">
        <f t="shared" si="389"/>
        <v>1</v>
      </c>
      <c r="BS850" t="str">
        <f t="shared" si="377"/>
        <v/>
      </c>
      <c r="BT850">
        <f t="shared" si="390"/>
        <v>0</v>
      </c>
      <c r="BU850">
        <f t="shared" si="391"/>
        <v>18</v>
      </c>
      <c r="CP850">
        <f>IF(包装物料出入库明细!$D850="",0,1)</f>
        <v>0</v>
      </c>
      <c r="CQ850">
        <f t="shared" si="392"/>
        <v>37</v>
      </c>
      <c r="CS850" t="str">
        <f>IF(OR(周转筐出入库明细!$C851="",周转筐出入库明细!$F851&lt;&gt;"采购入库"),"",周转筐出入库明细!$C851)</f>
        <v/>
      </c>
      <c r="CT850">
        <f t="shared" si="393"/>
        <v>0</v>
      </c>
      <c r="CU850">
        <f t="shared" si="394"/>
        <v>1</v>
      </c>
    </row>
    <row r="851" spans="1:99">
      <c r="A851" t="str">
        <f>IF(包装物料出入库明细!$E851="","",包装物料出入库明细!$E851)</f>
        <v/>
      </c>
      <c r="B851">
        <f t="shared" si="378"/>
        <v>0</v>
      </c>
      <c r="C851">
        <f t="shared" si="379"/>
        <v>7</v>
      </c>
      <c r="D851" t="str">
        <f>IF(包装物料出入库明细!$E851="","",包装物料出入库明细!$F851)</f>
        <v/>
      </c>
      <c r="E851" t="str">
        <f>IF(包装物料出入库明细!$E851="","",包装物料出入库明细!$G851)</f>
        <v/>
      </c>
      <c r="K851" t="str">
        <f>IF(包装物料出入库明细!$D851="","",包装物料出入库明细!$D851)</f>
        <v/>
      </c>
      <c r="L851">
        <f t="shared" si="380"/>
        <v>0</v>
      </c>
      <c r="M851">
        <f t="shared" si="381"/>
        <v>9</v>
      </c>
      <c r="Q851" t="str">
        <f>IF(周转筐出入库明细!$D852="","",周转筐出入库明细!$D852)</f>
        <v/>
      </c>
      <c r="R851">
        <f t="shared" si="382"/>
        <v>0</v>
      </c>
      <c r="S851">
        <f t="shared" si="383"/>
        <v>5</v>
      </c>
      <c r="W851" t="str">
        <f>IF(周转筐出入库明细!$C852="","",周转筐出入库明细!$C852)</f>
        <v/>
      </c>
      <c r="X851">
        <f t="shared" si="384"/>
        <v>0</v>
      </c>
      <c r="Y851">
        <f t="shared" si="385"/>
        <v>12</v>
      </c>
      <c r="AC851" t="str">
        <f>IF(客户自备加工筐明细!$C851="","",客户自备加工筐明细!$C851)</f>
        <v/>
      </c>
      <c r="AD851">
        <f t="shared" si="386"/>
        <v>0</v>
      </c>
      <c r="AE851">
        <f t="shared" si="387"/>
        <v>1</v>
      </c>
      <c r="AI851" t="str">
        <f>IF(客户自备加工筐明细!$E851="","",客户自备加工筐明细!$E851)</f>
        <v/>
      </c>
      <c r="AJ851">
        <f t="shared" si="388"/>
        <v>0</v>
      </c>
      <c r="AK851">
        <f t="shared" si="389"/>
        <v>1</v>
      </c>
      <c r="BS851" t="str">
        <f t="shared" si="377"/>
        <v/>
      </c>
      <c r="BT851">
        <f t="shared" si="390"/>
        <v>0</v>
      </c>
      <c r="BU851">
        <f t="shared" si="391"/>
        <v>18</v>
      </c>
      <c r="CP851">
        <f>IF(包装物料出入库明细!$D851="",0,1)</f>
        <v>0</v>
      </c>
      <c r="CQ851">
        <f t="shared" si="392"/>
        <v>37</v>
      </c>
      <c r="CS851" t="str">
        <f>IF(OR(周转筐出入库明细!$C852="",周转筐出入库明细!$F852&lt;&gt;"采购入库"),"",周转筐出入库明细!$C852)</f>
        <v/>
      </c>
      <c r="CT851">
        <f t="shared" si="393"/>
        <v>0</v>
      </c>
      <c r="CU851">
        <f t="shared" si="394"/>
        <v>1</v>
      </c>
    </row>
    <row r="852" spans="1:99">
      <c r="A852" t="str">
        <f>IF(包装物料出入库明细!$E852="","",包装物料出入库明细!$E852)</f>
        <v/>
      </c>
      <c r="B852">
        <f t="shared" si="378"/>
        <v>0</v>
      </c>
      <c r="C852">
        <f t="shared" si="379"/>
        <v>7</v>
      </c>
      <c r="D852" t="str">
        <f>IF(包装物料出入库明细!$E852="","",包装物料出入库明细!$F852)</f>
        <v/>
      </c>
      <c r="E852" t="str">
        <f>IF(包装物料出入库明细!$E852="","",包装物料出入库明细!$G852)</f>
        <v/>
      </c>
      <c r="K852" t="str">
        <f>IF(包装物料出入库明细!$D852="","",包装物料出入库明细!$D852)</f>
        <v/>
      </c>
      <c r="L852">
        <f t="shared" si="380"/>
        <v>0</v>
      </c>
      <c r="M852">
        <f t="shared" si="381"/>
        <v>9</v>
      </c>
      <c r="Q852" t="str">
        <f>IF(周转筐出入库明细!$D853="","",周转筐出入库明细!$D853)</f>
        <v/>
      </c>
      <c r="R852">
        <f t="shared" si="382"/>
        <v>0</v>
      </c>
      <c r="S852">
        <f t="shared" si="383"/>
        <v>5</v>
      </c>
      <c r="W852" t="str">
        <f>IF(周转筐出入库明细!$C853="","",周转筐出入库明细!$C853)</f>
        <v/>
      </c>
      <c r="X852">
        <f t="shared" si="384"/>
        <v>0</v>
      </c>
      <c r="Y852">
        <f t="shared" si="385"/>
        <v>12</v>
      </c>
      <c r="AC852" t="str">
        <f>IF(客户自备加工筐明细!$C852="","",客户自备加工筐明细!$C852)</f>
        <v/>
      </c>
      <c r="AD852">
        <f t="shared" si="386"/>
        <v>0</v>
      </c>
      <c r="AE852">
        <f t="shared" si="387"/>
        <v>1</v>
      </c>
      <c r="AI852" t="str">
        <f>IF(客户自备加工筐明细!$E852="","",客户自备加工筐明细!$E852)</f>
        <v/>
      </c>
      <c r="AJ852">
        <f t="shared" si="388"/>
        <v>0</v>
      </c>
      <c r="AK852">
        <f t="shared" si="389"/>
        <v>1</v>
      </c>
      <c r="BS852" t="str">
        <f t="shared" si="377"/>
        <v/>
      </c>
      <c r="BT852">
        <f t="shared" si="390"/>
        <v>0</v>
      </c>
      <c r="BU852">
        <f t="shared" si="391"/>
        <v>18</v>
      </c>
      <c r="CP852">
        <f>IF(包装物料出入库明细!$D852="",0,1)</f>
        <v>0</v>
      </c>
      <c r="CQ852">
        <f t="shared" si="392"/>
        <v>37</v>
      </c>
      <c r="CS852" t="str">
        <f>IF(OR(周转筐出入库明细!$C853="",周转筐出入库明细!$F853&lt;&gt;"采购入库"),"",周转筐出入库明细!$C853)</f>
        <v/>
      </c>
      <c r="CT852">
        <f t="shared" si="393"/>
        <v>0</v>
      </c>
      <c r="CU852">
        <f t="shared" si="394"/>
        <v>1</v>
      </c>
    </row>
    <row r="853" spans="1:99">
      <c r="A853" t="str">
        <f>IF(包装物料出入库明细!$E853="","",包装物料出入库明细!$E853)</f>
        <v/>
      </c>
      <c r="B853">
        <f t="shared" si="378"/>
        <v>0</v>
      </c>
      <c r="C853">
        <f t="shared" si="379"/>
        <v>7</v>
      </c>
      <c r="D853" t="str">
        <f>IF(包装物料出入库明细!$E853="","",包装物料出入库明细!$F853)</f>
        <v/>
      </c>
      <c r="E853" t="str">
        <f>IF(包装物料出入库明细!$E853="","",包装物料出入库明细!$G853)</f>
        <v/>
      </c>
      <c r="K853" t="str">
        <f>IF(包装物料出入库明细!$D853="","",包装物料出入库明细!$D853)</f>
        <v/>
      </c>
      <c r="L853">
        <f t="shared" si="380"/>
        <v>0</v>
      </c>
      <c r="M853">
        <f t="shared" si="381"/>
        <v>9</v>
      </c>
      <c r="Q853" t="str">
        <f>IF(周转筐出入库明细!$D854="","",周转筐出入库明细!$D854)</f>
        <v/>
      </c>
      <c r="R853">
        <f t="shared" si="382"/>
        <v>0</v>
      </c>
      <c r="S853">
        <f t="shared" si="383"/>
        <v>5</v>
      </c>
      <c r="W853" t="str">
        <f>IF(周转筐出入库明细!$C854="","",周转筐出入库明细!$C854)</f>
        <v/>
      </c>
      <c r="X853">
        <f t="shared" si="384"/>
        <v>0</v>
      </c>
      <c r="Y853">
        <f t="shared" si="385"/>
        <v>12</v>
      </c>
      <c r="AC853" t="str">
        <f>IF(客户自备加工筐明细!$C853="","",客户自备加工筐明细!$C853)</f>
        <v/>
      </c>
      <c r="AD853">
        <f t="shared" si="386"/>
        <v>0</v>
      </c>
      <c r="AE853">
        <f t="shared" si="387"/>
        <v>1</v>
      </c>
      <c r="AI853" t="str">
        <f>IF(客户自备加工筐明细!$E853="","",客户自备加工筐明细!$E853)</f>
        <v/>
      </c>
      <c r="AJ853">
        <f t="shared" si="388"/>
        <v>0</v>
      </c>
      <c r="AK853">
        <f t="shared" si="389"/>
        <v>1</v>
      </c>
      <c r="BS853" t="str">
        <f t="shared" si="377"/>
        <v/>
      </c>
      <c r="BT853">
        <f t="shared" si="390"/>
        <v>0</v>
      </c>
      <c r="BU853">
        <f t="shared" si="391"/>
        <v>18</v>
      </c>
      <c r="CP853">
        <f>IF(包装物料出入库明细!$D853="",0,1)</f>
        <v>0</v>
      </c>
      <c r="CQ853">
        <f t="shared" si="392"/>
        <v>37</v>
      </c>
      <c r="CS853" t="str">
        <f>IF(OR(周转筐出入库明细!$C854="",周转筐出入库明细!$F854&lt;&gt;"采购入库"),"",周转筐出入库明细!$C854)</f>
        <v/>
      </c>
      <c r="CT853">
        <f t="shared" si="393"/>
        <v>0</v>
      </c>
      <c r="CU853">
        <f t="shared" si="394"/>
        <v>1</v>
      </c>
    </row>
    <row r="854" spans="1:99">
      <c r="A854" t="str">
        <f>IF(包装物料出入库明细!$E854="","",包装物料出入库明细!$E854)</f>
        <v/>
      </c>
      <c r="B854">
        <f t="shared" si="378"/>
        <v>0</v>
      </c>
      <c r="C854">
        <f t="shared" si="379"/>
        <v>7</v>
      </c>
      <c r="D854" t="str">
        <f>IF(包装物料出入库明细!$E854="","",包装物料出入库明细!$F854)</f>
        <v/>
      </c>
      <c r="E854" t="str">
        <f>IF(包装物料出入库明细!$E854="","",包装物料出入库明细!$G854)</f>
        <v/>
      </c>
      <c r="K854" t="str">
        <f>IF(包装物料出入库明细!$D854="","",包装物料出入库明细!$D854)</f>
        <v/>
      </c>
      <c r="L854">
        <f t="shared" si="380"/>
        <v>0</v>
      </c>
      <c r="M854">
        <f t="shared" si="381"/>
        <v>9</v>
      </c>
      <c r="Q854" t="str">
        <f>IF(周转筐出入库明细!$D855="","",周转筐出入库明细!$D855)</f>
        <v/>
      </c>
      <c r="R854">
        <f t="shared" si="382"/>
        <v>0</v>
      </c>
      <c r="S854">
        <f t="shared" si="383"/>
        <v>5</v>
      </c>
      <c r="W854" t="str">
        <f>IF(周转筐出入库明细!$C855="","",周转筐出入库明细!$C855)</f>
        <v/>
      </c>
      <c r="X854">
        <f t="shared" si="384"/>
        <v>0</v>
      </c>
      <c r="Y854">
        <f t="shared" si="385"/>
        <v>12</v>
      </c>
      <c r="AC854" t="str">
        <f>IF(客户自备加工筐明细!$C854="","",客户自备加工筐明细!$C854)</f>
        <v/>
      </c>
      <c r="AD854">
        <f t="shared" si="386"/>
        <v>0</v>
      </c>
      <c r="AE854">
        <f t="shared" si="387"/>
        <v>1</v>
      </c>
      <c r="AI854" t="str">
        <f>IF(客户自备加工筐明细!$E854="","",客户自备加工筐明细!$E854)</f>
        <v/>
      </c>
      <c r="AJ854">
        <f t="shared" si="388"/>
        <v>0</v>
      </c>
      <c r="AK854">
        <f t="shared" si="389"/>
        <v>1</v>
      </c>
      <c r="BS854" t="str">
        <f t="shared" si="377"/>
        <v/>
      </c>
      <c r="BT854">
        <f t="shared" si="390"/>
        <v>0</v>
      </c>
      <c r="BU854">
        <f t="shared" si="391"/>
        <v>18</v>
      </c>
      <c r="CP854">
        <f>IF(包装物料出入库明细!$D854="",0,1)</f>
        <v>0</v>
      </c>
      <c r="CQ854">
        <f t="shared" si="392"/>
        <v>37</v>
      </c>
      <c r="CS854" t="str">
        <f>IF(OR(周转筐出入库明细!$C855="",周转筐出入库明细!$F855&lt;&gt;"采购入库"),"",周转筐出入库明细!$C855)</f>
        <v/>
      </c>
      <c r="CT854">
        <f t="shared" si="393"/>
        <v>0</v>
      </c>
      <c r="CU854">
        <f t="shared" si="394"/>
        <v>1</v>
      </c>
    </row>
    <row r="855" spans="1:99">
      <c r="A855" t="str">
        <f>IF(包装物料出入库明细!$E855="","",包装物料出入库明细!$E855)</f>
        <v/>
      </c>
      <c r="B855">
        <f t="shared" si="378"/>
        <v>0</v>
      </c>
      <c r="C855">
        <f t="shared" si="379"/>
        <v>7</v>
      </c>
      <c r="D855" t="str">
        <f>IF(包装物料出入库明细!$E855="","",包装物料出入库明细!$F855)</f>
        <v/>
      </c>
      <c r="E855" t="str">
        <f>IF(包装物料出入库明细!$E855="","",包装物料出入库明细!$G855)</f>
        <v/>
      </c>
      <c r="K855" t="str">
        <f>IF(包装物料出入库明细!$D855="","",包装物料出入库明细!$D855)</f>
        <v/>
      </c>
      <c r="L855">
        <f t="shared" si="380"/>
        <v>0</v>
      </c>
      <c r="M855">
        <f t="shared" si="381"/>
        <v>9</v>
      </c>
      <c r="Q855" t="str">
        <f>IF(周转筐出入库明细!$D856="","",周转筐出入库明细!$D856)</f>
        <v/>
      </c>
      <c r="R855">
        <f t="shared" si="382"/>
        <v>0</v>
      </c>
      <c r="S855">
        <f t="shared" si="383"/>
        <v>5</v>
      </c>
      <c r="W855" t="str">
        <f>IF(周转筐出入库明细!$C856="","",周转筐出入库明细!$C856)</f>
        <v/>
      </c>
      <c r="X855">
        <f t="shared" si="384"/>
        <v>0</v>
      </c>
      <c r="Y855">
        <f t="shared" si="385"/>
        <v>12</v>
      </c>
      <c r="AC855" t="str">
        <f>IF(客户自备加工筐明细!$C855="","",客户自备加工筐明细!$C855)</f>
        <v/>
      </c>
      <c r="AD855">
        <f t="shared" si="386"/>
        <v>0</v>
      </c>
      <c r="AE855">
        <f t="shared" si="387"/>
        <v>1</v>
      </c>
      <c r="AI855" t="str">
        <f>IF(客户自备加工筐明细!$E855="","",客户自备加工筐明细!$E855)</f>
        <v/>
      </c>
      <c r="AJ855">
        <f t="shared" si="388"/>
        <v>0</v>
      </c>
      <c r="AK855">
        <f t="shared" si="389"/>
        <v>1</v>
      </c>
      <c r="BS855" t="str">
        <f t="shared" si="377"/>
        <v/>
      </c>
      <c r="BT855">
        <f t="shared" si="390"/>
        <v>0</v>
      </c>
      <c r="BU855">
        <f t="shared" si="391"/>
        <v>18</v>
      </c>
      <c r="CP855">
        <f>IF(包装物料出入库明细!$D855="",0,1)</f>
        <v>0</v>
      </c>
      <c r="CQ855">
        <f t="shared" si="392"/>
        <v>37</v>
      </c>
      <c r="CS855" t="str">
        <f>IF(OR(周转筐出入库明细!$C856="",周转筐出入库明细!$F856&lt;&gt;"采购入库"),"",周转筐出入库明细!$C856)</f>
        <v/>
      </c>
      <c r="CT855">
        <f t="shared" si="393"/>
        <v>0</v>
      </c>
      <c r="CU855">
        <f t="shared" si="394"/>
        <v>1</v>
      </c>
    </row>
    <row r="856" spans="1:99">
      <c r="A856" t="str">
        <f>IF(包装物料出入库明细!$E856="","",包装物料出入库明细!$E856)</f>
        <v/>
      </c>
      <c r="B856">
        <f t="shared" si="378"/>
        <v>0</v>
      </c>
      <c r="C856">
        <f t="shared" si="379"/>
        <v>7</v>
      </c>
      <c r="D856" t="str">
        <f>IF(包装物料出入库明细!$E856="","",包装物料出入库明细!$F856)</f>
        <v/>
      </c>
      <c r="E856" t="str">
        <f>IF(包装物料出入库明细!$E856="","",包装物料出入库明细!$G856)</f>
        <v/>
      </c>
      <c r="K856" t="str">
        <f>IF(包装物料出入库明细!$D856="","",包装物料出入库明细!$D856)</f>
        <v/>
      </c>
      <c r="L856">
        <f t="shared" si="380"/>
        <v>0</v>
      </c>
      <c r="M856">
        <f t="shared" si="381"/>
        <v>9</v>
      </c>
      <c r="Q856" t="str">
        <f>IF(周转筐出入库明细!$D857="","",周转筐出入库明细!$D857)</f>
        <v/>
      </c>
      <c r="R856">
        <f t="shared" si="382"/>
        <v>0</v>
      </c>
      <c r="S856">
        <f t="shared" si="383"/>
        <v>5</v>
      </c>
      <c r="W856" t="str">
        <f>IF(周转筐出入库明细!$C857="","",周转筐出入库明细!$C857)</f>
        <v/>
      </c>
      <c r="X856">
        <f t="shared" si="384"/>
        <v>0</v>
      </c>
      <c r="Y856">
        <f t="shared" si="385"/>
        <v>12</v>
      </c>
      <c r="AC856" t="str">
        <f>IF(客户自备加工筐明细!$C856="","",客户自备加工筐明细!$C856)</f>
        <v/>
      </c>
      <c r="AD856">
        <f t="shared" si="386"/>
        <v>0</v>
      </c>
      <c r="AE856">
        <f t="shared" si="387"/>
        <v>1</v>
      </c>
      <c r="AI856" t="str">
        <f>IF(客户自备加工筐明细!$E856="","",客户自备加工筐明细!$E856)</f>
        <v/>
      </c>
      <c r="AJ856">
        <f t="shared" si="388"/>
        <v>0</v>
      </c>
      <c r="AK856">
        <f t="shared" si="389"/>
        <v>1</v>
      </c>
      <c r="BS856" t="str">
        <f t="shared" si="377"/>
        <v/>
      </c>
      <c r="BT856">
        <f t="shared" si="390"/>
        <v>0</v>
      </c>
      <c r="BU856">
        <f t="shared" si="391"/>
        <v>18</v>
      </c>
      <c r="CP856">
        <f>IF(包装物料出入库明细!$D856="",0,1)</f>
        <v>0</v>
      </c>
      <c r="CQ856">
        <f t="shared" si="392"/>
        <v>37</v>
      </c>
      <c r="CS856" t="str">
        <f>IF(OR(周转筐出入库明细!$C857="",周转筐出入库明细!$F857&lt;&gt;"采购入库"),"",周转筐出入库明细!$C857)</f>
        <v/>
      </c>
      <c r="CT856">
        <f t="shared" si="393"/>
        <v>0</v>
      </c>
      <c r="CU856">
        <f t="shared" si="394"/>
        <v>1</v>
      </c>
    </row>
    <row r="857" spans="1:99">
      <c r="A857" t="str">
        <f>IF(包装物料出入库明细!$E857="","",包装物料出入库明细!$E857)</f>
        <v/>
      </c>
      <c r="B857">
        <f t="shared" si="378"/>
        <v>0</v>
      </c>
      <c r="C857">
        <f t="shared" si="379"/>
        <v>7</v>
      </c>
      <c r="D857" t="str">
        <f>IF(包装物料出入库明细!$E857="","",包装物料出入库明细!$F857)</f>
        <v/>
      </c>
      <c r="E857" t="str">
        <f>IF(包装物料出入库明细!$E857="","",包装物料出入库明细!$G857)</f>
        <v/>
      </c>
      <c r="K857" t="str">
        <f>IF(包装物料出入库明细!$D857="","",包装物料出入库明细!$D857)</f>
        <v/>
      </c>
      <c r="L857">
        <f t="shared" si="380"/>
        <v>0</v>
      </c>
      <c r="M857">
        <f t="shared" si="381"/>
        <v>9</v>
      </c>
      <c r="Q857" t="str">
        <f>IF(周转筐出入库明细!$D858="","",周转筐出入库明细!$D858)</f>
        <v/>
      </c>
      <c r="R857">
        <f t="shared" si="382"/>
        <v>0</v>
      </c>
      <c r="S857">
        <f t="shared" si="383"/>
        <v>5</v>
      </c>
      <c r="W857" t="str">
        <f>IF(周转筐出入库明细!$C858="","",周转筐出入库明细!$C858)</f>
        <v/>
      </c>
      <c r="X857">
        <f t="shared" si="384"/>
        <v>0</v>
      </c>
      <c r="Y857">
        <f t="shared" si="385"/>
        <v>12</v>
      </c>
      <c r="AC857" t="str">
        <f>IF(客户自备加工筐明细!$C857="","",客户自备加工筐明细!$C857)</f>
        <v/>
      </c>
      <c r="AD857">
        <f t="shared" si="386"/>
        <v>0</v>
      </c>
      <c r="AE857">
        <f t="shared" si="387"/>
        <v>1</v>
      </c>
      <c r="AI857" t="str">
        <f>IF(客户自备加工筐明细!$E857="","",客户自备加工筐明细!$E857)</f>
        <v/>
      </c>
      <c r="AJ857">
        <f t="shared" si="388"/>
        <v>0</v>
      </c>
      <c r="AK857">
        <f t="shared" si="389"/>
        <v>1</v>
      </c>
      <c r="BS857" t="str">
        <f t="shared" si="377"/>
        <v/>
      </c>
      <c r="BT857">
        <f t="shared" si="390"/>
        <v>0</v>
      </c>
      <c r="BU857">
        <f t="shared" si="391"/>
        <v>18</v>
      </c>
      <c r="CP857">
        <f>IF(包装物料出入库明细!$D857="",0,1)</f>
        <v>0</v>
      </c>
      <c r="CQ857">
        <f t="shared" si="392"/>
        <v>37</v>
      </c>
      <c r="CS857" t="str">
        <f>IF(OR(周转筐出入库明细!$C858="",周转筐出入库明细!$F858&lt;&gt;"采购入库"),"",周转筐出入库明细!$C858)</f>
        <v/>
      </c>
      <c r="CT857">
        <f t="shared" si="393"/>
        <v>0</v>
      </c>
      <c r="CU857">
        <f t="shared" si="394"/>
        <v>1</v>
      </c>
    </row>
    <row r="858" spans="1:99">
      <c r="A858" t="str">
        <f>IF(包装物料出入库明细!$E858="","",包装物料出入库明细!$E858)</f>
        <v/>
      </c>
      <c r="B858">
        <f t="shared" si="378"/>
        <v>0</v>
      </c>
      <c r="C858">
        <f t="shared" si="379"/>
        <v>7</v>
      </c>
      <c r="D858" t="str">
        <f>IF(包装物料出入库明细!$E858="","",包装物料出入库明细!$F858)</f>
        <v/>
      </c>
      <c r="E858" t="str">
        <f>IF(包装物料出入库明细!$E858="","",包装物料出入库明细!$G858)</f>
        <v/>
      </c>
      <c r="K858" t="str">
        <f>IF(包装物料出入库明细!$D858="","",包装物料出入库明细!$D858)</f>
        <v/>
      </c>
      <c r="L858">
        <f t="shared" si="380"/>
        <v>0</v>
      </c>
      <c r="M858">
        <f t="shared" si="381"/>
        <v>9</v>
      </c>
      <c r="Q858" t="str">
        <f>IF(周转筐出入库明细!$D859="","",周转筐出入库明细!$D859)</f>
        <v/>
      </c>
      <c r="R858">
        <f t="shared" si="382"/>
        <v>0</v>
      </c>
      <c r="S858">
        <f t="shared" si="383"/>
        <v>5</v>
      </c>
      <c r="W858" t="str">
        <f>IF(周转筐出入库明细!$C859="","",周转筐出入库明细!$C859)</f>
        <v/>
      </c>
      <c r="X858">
        <f t="shared" si="384"/>
        <v>0</v>
      </c>
      <c r="Y858">
        <f t="shared" si="385"/>
        <v>12</v>
      </c>
      <c r="AC858" t="str">
        <f>IF(客户自备加工筐明细!$C858="","",客户自备加工筐明细!$C858)</f>
        <v/>
      </c>
      <c r="AD858">
        <f t="shared" si="386"/>
        <v>0</v>
      </c>
      <c r="AE858">
        <f t="shared" si="387"/>
        <v>1</v>
      </c>
      <c r="AI858" t="str">
        <f>IF(客户自备加工筐明细!$E858="","",客户自备加工筐明细!$E858)</f>
        <v/>
      </c>
      <c r="AJ858">
        <f t="shared" si="388"/>
        <v>0</v>
      </c>
      <c r="AK858">
        <f t="shared" si="389"/>
        <v>1</v>
      </c>
      <c r="BS858" t="str">
        <f t="shared" si="377"/>
        <v/>
      </c>
      <c r="BT858">
        <f t="shared" si="390"/>
        <v>0</v>
      </c>
      <c r="BU858">
        <f t="shared" si="391"/>
        <v>18</v>
      </c>
      <c r="CP858">
        <f>IF(包装物料出入库明细!$D858="",0,1)</f>
        <v>0</v>
      </c>
      <c r="CQ858">
        <f t="shared" si="392"/>
        <v>37</v>
      </c>
      <c r="CS858" t="str">
        <f>IF(OR(周转筐出入库明细!$C859="",周转筐出入库明细!$F859&lt;&gt;"采购入库"),"",周转筐出入库明细!$C859)</f>
        <v/>
      </c>
      <c r="CT858">
        <f t="shared" si="393"/>
        <v>0</v>
      </c>
      <c r="CU858">
        <f t="shared" si="394"/>
        <v>1</v>
      </c>
    </row>
    <row r="859" spans="1:99">
      <c r="A859" t="str">
        <f>IF(包装物料出入库明细!$E859="","",包装物料出入库明细!$E859)</f>
        <v/>
      </c>
      <c r="B859">
        <f t="shared" si="378"/>
        <v>0</v>
      </c>
      <c r="C859">
        <f t="shared" si="379"/>
        <v>7</v>
      </c>
      <c r="D859" t="str">
        <f>IF(包装物料出入库明细!$E859="","",包装物料出入库明细!$F859)</f>
        <v/>
      </c>
      <c r="E859" t="str">
        <f>IF(包装物料出入库明细!$E859="","",包装物料出入库明细!$G859)</f>
        <v/>
      </c>
      <c r="K859" t="str">
        <f>IF(包装物料出入库明细!$D859="","",包装物料出入库明细!$D859)</f>
        <v/>
      </c>
      <c r="L859">
        <f t="shared" si="380"/>
        <v>0</v>
      </c>
      <c r="M859">
        <f t="shared" si="381"/>
        <v>9</v>
      </c>
      <c r="Q859" t="str">
        <f>IF(周转筐出入库明细!$D860="","",周转筐出入库明细!$D860)</f>
        <v/>
      </c>
      <c r="R859">
        <f t="shared" si="382"/>
        <v>0</v>
      </c>
      <c r="S859">
        <f t="shared" si="383"/>
        <v>5</v>
      </c>
      <c r="W859" t="str">
        <f>IF(周转筐出入库明细!$C860="","",周转筐出入库明细!$C860)</f>
        <v/>
      </c>
      <c r="X859">
        <f t="shared" si="384"/>
        <v>0</v>
      </c>
      <c r="Y859">
        <f t="shared" si="385"/>
        <v>12</v>
      </c>
      <c r="AC859" t="str">
        <f>IF(客户自备加工筐明细!$C859="","",客户自备加工筐明细!$C859)</f>
        <v/>
      </c>
      <c r="AD859">
        <f t="shared" si="386"/>
        <v>0</v>
      </c>
      <c r="AE859">
        <f t="shared" si="387"/>
        <v>1</v>
      </c>
      <c r="AI859" t="str">
        <f>IF(客户自备加工筐明细!$E859="","",客户自备加工筐明细!$E859)</f>
        <v/>
      </c>
      <c r="AJ859">
        <f t="shared" si="388"/>
        <v>0</v>
      </c>
      <c r="AK859">
        <f t="shared" si="389"/>
        <v>1</v>
      </c>
      <c r="BS859" t="str">
        <f t="shared" si="377"/>
        <v/>
      </c>
      <c r="BT859">
        <f t="shared" si="390"/>
        <v>0</v>
      </c>
      <c r="BU859">
        <f t="shared" si="391"/>
        <v>18</v>
      </c>
      <c r="CP859">
        <f>IF(包装物料出入库明细!$D859="",0,1)</f>
        <v>0</v>
      </c>
      <c r="CQ859">
        <f t="shared" si="392"/>
        <v>37</v>
      </c>
      <c r="CS859" t="str">
        <f>IF(OR(周转筐出入库明细!$C860="",周转筐出入库明细!$F860&lt;&gt;"采购入库"),"",周转筐出入库明细!$C860)</f>
        <v/>
      </c>
      <c r="CT859">
        <f t="shared" si="393"/>
        <v>0</v>
      </c>
      <c r="CU859">
        <f t="shared" si="394"/>
        <v>1</v>
      </c>
    </row>
    <row r="860" spans="1:99">
      <c r="A860" t="str">
        <f>IF(包装物料出入库明细!$E860="","",包装物料出入库明细!$E860)</f>
        <v/>
      </c>
      <c r="B860">
        <f t="shared" si="378"/>
        <v>0</v>
      </c>
      <c r="C860">
        <f t="shared" si="379"/>
        <v>7</v>
      </c>
      <c r="D860" t="str">
        <f>IF(包装物料出入库明细!$E860="","",包装物料出入库明细!$F860)</f>
        <v/>
      </c>
      <c r="E860" t="str">
        <f>IF(包装物料出入库明细!$E860="","",包装物料出入库明细!$G860)</f>
        <v/>
      </c>
      <c r="K860" t="str">
        <f>IF(包装物料出入库明细!$D860="","",包装物料出入库明细!$D860)</f>
        <v/>
      </c>
      <c r="L860">
        <f t="shared" si="380"/>
        <v>0</v>
      </c>
      <c r="M860">
        <f t="shared" si="381"/>
        <v>9</v>
      </c>
      <c r="Q860" t="str">
        <f>IF(周转筐出入库明细!$D861="","",周转筐出入库明细!$D861)</f>
        <v/>
      </c>
      <c r="R860">
        <f t="shared" si="382"/>
        <v>0</v>
      </c>
      <c r="S860">
        <f t="shared" si="383"/>
        <v>5</v>
      </c>
      <c r="W860" t="str">
        <f>IF(周转筐出入库明细!$C861="","",周转筐出入库明细!$C861)</f>
        <v/>
      </c>
      <c r="X860">
        <f t="shared" si="384"/>
        <v>0</v>
      </c>
      <c r="Y860">
        <f t="shared" si="385"/>
        <v>12</v>
      </c>
      <c r="AC860" t="str">
        <f>IF(客户自备加工筐明细!$C860="","",客户自备加工筐明细!$C860)</f>
        <v/>
      </c>
      <c r="AD860">
        <f t="shared" si="386"/>
        <v>0</v>
      </c>
      <c r="AE860">
        <f t="shared" si="387"/>
        <v>1</v>
      </c>
      <c r="AI860" t="str">
        <f>IF(客户自备加工筐明细!$E860="","",客户自备加工筐明细!$E860)</f>
        <v/>
      </c>
      <c r="AJ860">
        <f t="shared" si="388"/>
        <v>0</v>
      </c>
      <c r="AK860">
        <f t="shared" si="389"/>
        <v>1</v>
      </c>
      <c r="BS860" t="str">
        <f t="shared" si="377"/>
        <v/>
      </c>
      <c r="BT860">
        <f t="shared" si="390"/>
        <v>0</v>
      </c>
      <c r="BU860">
        <f t="shared" si="391"/>
        <v>18</v>
      </c>
      <c r="CP860">
        <f>IF(包装物料出入库明细!$D860="",0,1)</f>
        <v>0</v>
      </c>
      <c r="CQ860">
        <f t="shared" si="392"/>
        <v>37</v>
      </c>
      <c r="CS860" t="str">
        <f>IF(OR(周转筐出入库明细!$C861="",周转筐出入库明细!$F861&lt;&gt;"采购入库"),"",周转筐出入库明细!$C861)</f>
        <v/>
      </c>
      <c r="CT860">
        <f t="shared" si="393"/>
        <v>0</v>
      </c>
      <c r="CU860">
        <f t="shared" si="394"/>
        <v>1</v>
      </c>
    </row>
    <row r="861" spans="1:99">
      <c r="A861" t="str">
        <f>IF(包装物料出入库明细!$E861="","",包装物料出入库明细!$E861)</f>
        <v/>
      </c>
      <c r="B861">
        <f t="shared" si="378"/>
        <v>0</v>
      </c>
      <c r="C861">
        <f t="shared" si="379"/>
        <v>7</v>
      </c>
      <c r="D861" t="str">
        <f>IF(包装物料出入库明细!$E861="","",包装物料出入库明细!$F861)</f>
        <v/>
      </c>
      <c r="E861" t="str">
        <f>IF(包装物料出入库明细!$E861="","",包装物料出入库明细!$G861)</f>
        <v/>
      </c>
      <c r="K861" t="str">
        <f>IF(包装物料出入库明细!$D861="","",包装物料出入库明细!$D861)</f>
        <v/>
      </c>
      <c r="L861">
        <f t="shared" si="380"/>
        <v>0</v>
      </c>
      <c r="M861">
        <f t="shared" si="381"/>
        <v>9</v>
      </c>
      <c r="Q861" t="str">
        <f>IF(周转筐出入库明细!$D862="","",周转筐出入库明细!$D862)</f>
        <v/>
      </c>
      <c r="R861">
        <f t="shared" si="382"/>
        <v>0</v>
      </c>
      <c r="S861">
        <f t="shared" si="383"/>
        <v>5</v>
      </c>
      <c r="W861" t="str">
        <f>IF(周转筐出入库明细!$C862="","",周转筐出入库明细!$C862)</f>
        <v/>
      </c>
      <c r="X861">
        <f t="shared" si="384"/>
        <v>0</v>
      </c>
      <c r="Y861">
        <f t="shared" si="385"/>
        <v>12</v>
      </c>
      <c r="AC861" t="str">
        <f>IF(客户自备加工筐明细!$C861="","",客户自备加工筐明细!$C861)</f>
        <v/>
      </c>
      <c r="AD861">
        <f t="shared" si="386"/>
        <v>0</v>
      </c>
      <c r="AE861">
        <f t="shared" si="387"/>
        <v>1</v>
      </c>
      <c r="AI861" t="str">
        <f>IF(客户自备加工筐明细!$E861="","",客户自备加工筐明细!$E861)</f>
        <v/>
      </c>
      <c r="AJ861">
        <f t="shared" si="388"/>
        <v>0</v>
      </c>
      <c r="AK861">
        <f t="shared" si="389"/>
        <v>1</v>
      </c>
      <c r="BS861" t="str">
        <f t="shared" si="377"/>
        <v/>
      </c>
      <c r="BT861">
        <f t="shared" si="390"/>
        <v>0</v>
      </c>
      <c r="BU861">
        <f t="shared" si="391"/>
        <v>18</v>
      </c>
      <c r="CP861">
        <f>IF(包装物料出入库明细!$D861="",0,1)</f>
        <v>0</v>
      </c>
      <c r="CQ861">
        <f t="shared" si="392"/>
        <v>37</v>
      </c>
      <c r="CS861" t="str">
        <f>IF(OR(周转筐出入库明细!$C862="",周转筐出入库明细!$F862&lt;&gt;"采购入库"),"",周转筐出入库明细!$C862)</f>
        <v/>
      </c>
      <c r="CT861">
        <f t="shared" si="393"/>
        <v>0</v>
      </c>
      <c r="CU861">
        <f t="shared" si="394"/>
        <v>1</v>
      </c>
    </row>
    <row r="862" spans="1:99">
      <c r="A862" t="str">
        <f>IF(包装物料出入库明细!$E862="","",包装物料出入库明细!$E862)</f>
        <v/>
      </c>
      <c r="B862">
        <f t="shared" si="378"/>
        <v>0</v>
      </c>
      <c r="C862">
        <f t="shared" si="379"/>
        <v>7</v>
      </c>
      <c r="D862" t="str">
        <f>IF(包装物料出入库明细!$E862="","",包装物料出入库明细!$F862)</f>
        <v/>
      </c>
      <c r="E862" t="str">
        <f>IF(包装物料出入库明细!$E862="","",包装物料出入库明细!$G862)</f>
        <v/>
      </c>
      <c r="K862" t="str">
        <f>IF(包装物料出入库明细!$D862="","",包装物料出入库明细!$D862)</f>
        <v/>
      </c>
      <c r="L862">
        <f t="shared" si="380"/>
        <v>0</v>
      </c>
      <c r="M862">
        <f t="shared" si="381"/>
        <v>9</v>
      </c>
      <c r="Q862" t="str">
        <f>IF(周转筐出入库明细!$D863="","",周转筐出入库明细!$D863)</f>
        <v/>
      </c>
      <c r="R862">
        <f t="shared" si="382"/>
        <v>0</v>
      </c>
      <c r="S862">
        <f t="shared" si="383"/>
        <v>5</v>
      </c>
      <c r="W862" t="str">
        <f>IF(周转筐出入库明细!$C863="","",周转筐出入库明细!$C863)</f>
        <v/>
      </c>
      <c r="X862">
        <f t="shared" si="384"/>
        <v>0</v>
      </c>
      <c r="Y862">
        <f t="shared" si="385"/>
        <v>12</v>
      </c>
      <c r="AC862" t="str">
        <f>IF(客户自备加工筐明细!$C862="","",客户自备加工筐明细!$C862)</f>
        <v/>
      </c>
      <c r="AD862">
        <f t="shared" si="386"/>
        <v>0</v>
      </c>
      <c r="AE862">
        <f t="shared" si="387"/>
        <v>1</v>
      </c>
      <c r="AI862" t="str">
        <f>IF(客户自备加工筐明细!$E862="","",客户自备加工筐明细!$E862)</f>
        <v/>
      </c>
      <c r="AJ862">
        <f t="shared" si="388"/>
        <v>0</v>
      </c>
      <c r="AK862">
        <f t="shared" si="389"/>
        <v>1</v>
      </c>
      <c r="BS862" t="str">
        <f t="shared" si="377"/>
        <v/>
      </c>
      <c r="BT862">
        <f t="shared" si="390"/>
        <v>0</v>
      </c>
      <c r="BU862">
        <f t="shared" si="391"/>
        <v>18</v>
      </c>
      <c r="CP862">
        <f>IF(包装物料出入库明细!$D862="",0,1)</f>
        <v>0</v>
      </c>
      <c r="CQ862">
        <f t="shared" si="392"/>
        <v>37</v>
      </c>
      <c r="CS862" t="str">
        <f>IF(OR(周转筐出入库明细!$C863="",周转筐出入库明细!$F863&lt;&gt;"采购入库"),"",周转筐出入库明细!$C863)</f>
        <v/>
      </c>
      <c r="CT862">
        <f t="shared" si="393"/>
        <v>0</v>
      </c>
      <c r="CU862">
        <f t="shared" si="394"/>
        <v>1</v>
      </c>
    </row>
    <row r="863" spans="1:99">
      <c r="A863" t="str">
        <f>IF(包装物料出入库明细!$E863="","",包装物料出入库明细!$E863)</f>
        <v/>
      </c>
      <c r="B863">
        <f t="shared" si="378"/>
        <v>0</v>
      </c>
      <c r="C863">
        <f t="shared" si="379"/>
        <v>7</v>
      </c>
      <c r="D863" t="str">
        <f>IF(包装物料出入库明细!$E863="","",包装物料出入库明细!$F863)</f>
        <v/>
      </c>
      <c r="E863" t="str">
        <f>IF(包装物料出入库明细!$E863="","",包装物料出入库明细!$G863)</f>
        <v/>
      </c>
      <c r="K863" t="str">
        <f>IF(包装物料出入库明细!$D863="","",包装物料出入库明细!$D863)</f>
        <v/>
      </c>
      <c r="L863">
        <f t="shared" si="380"/>
        <v>0</v>
      </c>
      <c r="M863">
        <f t="shared" si="381"/>
        <v>9</v>
      </c>
      <c r="Q863" t="str">
        <f>IF(周转筐出入库明细!$D864="","",周转筐出入库明细!$D864)</f>
        <v/>
      </c>
      <c r="R863">
        <f t="shared" si="382"/>
        <v>0</v>
      </c>
      <c r="S863">
        <f t="shared" si="383"/>
        <v>5</v>
      </c>
      <c r="W863" t="str">
        <f>IF(周转筐出入库明细!$C864="","",周转筐出入库明细!$C864)</f>
        <v/>
      </c>
      <c r="X863">
        <f t="shared" si="384"/>
        <v>0</v>
      </c>
      <c r="Y863">
        <f t="shared" si="385"/>
        <v>12</v>
      </c>
      <c r="AC863" t="str">
        <f>IF(客户自备加工筐明细!$C863="","",客户自备加工筐明细!$C863)</f>
        <v/>
      </c>
      <c r="AD863">
        <f t="shared" si="386"/>
        <v>0</v>
      </c>
      <c r="AE863">
        <f t="shared" si="387"/>
        <v>1</v>
      </c>
      <c r="AI863" t="str">
        <f>IF(客户自备加工筐明细!$E863="","",客户自备加工筐明细!$E863)</f>
        <v/>
      </c>
      <c r="AJ863">
        <f t="shared" si="388"/>
        <v>0</v>
      </c>
      <c r="AK863">
        <f t="shared" si="389"/>
        <v>1</v>
      </c>
      <c r="BS863" t="str">
        <f t="shared" si="377"/>
        <v/>
      </c>
      <c r="BT863">
        <f t="shared" si="390"/>
        <v>0</v>
      </c>
      <c r="BU863">
        <f t="shared" si="391"/>
        <v>18</v>
      </c>
      <c r="CP863">
        <f>IF(包装物料出入库明细!$D863="",0,1)</f>
        <v>0</v>
      </c>
      <c r="CQ863">
        <f t="shared" si="392"/>
        <v>37</v>
      </c>
      <c r="CS863" t="str">
        <f>IF(OR(周转筐出入库明细!$C864="",周转筐出入库明细!$F864&lt;&gt;"采购入库"),"",周转筐出入库明细!$C864)</f>
        <v/>
      </c>
      <c r="CT863">
        <f t="shared" si="393"/>
        <v>0</v>
      </c>
      <c r="CU863">
        <f t="shared" si="394"/>
        <v>1</v>
      </c>
    </row>
    <row r="864" spans="1:99">
      <c r="A864" t="str">
        <f>IF(包装物料出入库明细!$E864="","",包装物料出入库明细!$E864)</f>
        <v/>
      </c>
      <c r="B864">
        <f t="shared" si="378"/>
        <v>0</v>
      </c>
      <c r="C864">
        <f t="shared" si="379"/>
        <v>7</v>
      </c>
      <c r="D864" t="str">
        <f>IF(包装物料出入库明细!$E864="","",包装物料出入库明细!$F864)</f>
        <v/>
      </c>
      <c r="E864" t="str">
        <f>IF(包装物料出入库明细!$E864="","",包装物料出入库明细!$G864)</f>
        <v/>
      </c>
      <c r="K864" t="str">
        <f>IF(包装物料出入库明细!$D864="","",包装物料出入库明细!$D864)</f>
        <v/>
      </c>
      <c r="L864">
        <f t="shared" si="380"/>
        <v>0</v>
      </c>
      <c r="M864">
        <f t="shared" si="381"/>
        <v>9</v>
      </c>
      <c r="Q864" t="str">
        <f>IF(周转筐出入库明细!$D865="","",周转筐出入库明细!$D865)</f>
        <v/>
      </c>
      <c r="R864">
        <f t="shared" si="382"/>
        <v>0</v>
      </c>
      <c r="S864">
        <f t="shared" si="383"/>
        <v>5</v>
      </c>
      <c r="W864" t="str">
        <f>IF(周转筐出入库明细!$C865="","",周转筐出入库明细!$C865)</f>
        <v/>
      </c>
      <c r="X864">
        <f t="shared" si="384"/>
        <v>0</v>
      </c>
      <c r="Y864">
        <f t="shared" si="385"/>
        <v>12</v>
      </c>
      <c r="AC864" t="str">
        <f>IF(客户自备加工筐明细!$C864="","",客户自备加工筐明细!$C864)</f>
        <v/>
      </c>
      <c r="AD864">
        <f t="shared" si="386"/>
        <v>0</v>
      </c>
      <c r="AE864">
        <f t="shared" si="387"/>
        <v>1</v>
      </c>
      <c r="AI864" t="str">
        <f>IF(客户自备加工筐明细!$E864="","",客户自备加工筐明细!$E864)</f>
        <v/>
      </c>
      <c r="AJ864">
        <f t="shared" si="388"/>
        <v>0</v>
      </c>
      <c r="AK864">
        <f t="shared" si="389"/>
        <v>1</v>
      </c>
      <c r="BS864" t="str">
        <f t="shared" si="377"/>
        <v/>
      </c>
      <c r="BT864">
        <f t="shared" si="390"/>
        <v>0</v>
      </c>
      <c r="BU864">
        <f t="shared" si="391"/>
        <v>18</v>
      </c>
      <c r="CP864">
        <f>IF(包装物料出入库明细!$D864="",0,1)</f>
        <v>0</v>
      </c>
      <c r="CQ864">
        <f t="shared" si="392"/>
        <v>37</v>
      </c>
      <c r="CS864" t="str">
        <f>IF(OR(周转筐出入库明细!$C865="",周转筐出入库明细!$F865&lt;&gt;"采购入库"),"",周转筐出入库明细!$C865)</f>
        <v/>
      </c>
      <c r="CT864">
        <f t="shared" si="393"/>
        <v>0</v>
      </c>
      <c r="CU864">
        <f t="shared" si="394"/>
        <v>1</v>
      </c>
    </row>
    <row r="865" spans="1:99">
      <c r="A865" t="str">
        <f>IF(包装物料出入库明细!$E865="","",包装物料出入库明细!$E865)</f>
        <v/>
      </c>
      <c r="B865">
        <f t="shared" si="378"/>
        <v>0</v>
      </c>
      <c r="C865">
        <f t="shared" si="379"/>
        <v>7</v>
      </c>
      <c r="D865" t="str">
        <f>IF(包装物料出入库明细!$E865="","",包装物料出入库明细!$F865)</f>
        <v/>
      </c>
      <c r="E865" t="str">
        <f>IF(包装物料出入库明细!$E865="","",包装物料出入库明细!$G865)</f>
        <v/>
      </c>
      <c r="K865" t="str">
        <f>IF(包装物料出入库明细!$D865="","",包装物料出入库明细!$D865)</f>
        <v/>
      </c>
      <c r="L865">
        <f t="shared" si="380"/>
        <v>0</v>
      </c>
      <c r="M865">
        <f t="shared" si="381"/>
        <v>9</v>
      </c>
      <c r="Q865" t="str">
        <f>IF(周转筐出入库明细!$D866="","",周转筐出入库明细!$D866)</f>
        <v/>
      </c>
      <c r="R865">
        <f t="shared" si="382"/>
        <v>0</v>
      </c>
      <c r="S865">
        <f t="shared" si="383"/>
        <v>5</v>
      </c>
      <c r="W865" t="str">
        <f>IF(周转筐出入库明细!$C866="","",周转筐出入库明细!$C866)</f>
        <v/>
      </c>
      <c r="X865">
        <f t="shared" si="384"/>
        <v>0</v>
      </c>
      <c r="Y865">
        <f t="shared" si="385"/>
        <v>12</v>
      </c>
      <c r="AC865" t="str">
        <f>IF(客户自备加工筐明细!$C865="","",客户自备加工筐明细!$C865)</f>
        <v/>
      </c>
      <c r="AD865">
        <f t="shared" si="386"/>
        <v>0</v>
      </c>
      <c r="AE865">
        <f t="shared" si="387"/>
        <v>1</v>
      </c>
      <c r="AI865" t="str">
        <f>IF(客户自备加工筐明细!$E865="","",客户自备加工筐明细!$E865)</f>
        <v/>
      </c>
      <c r="AJ865">
        <f t="shared" si="388"/>
        <v>0</v>
      </c>
      <c r="AK865">
        <f t="shared" si="389"/>
        <v>1</v>
      </c>
      <c r="BS865" t="str">
        <f t="shared" si="377"/>
        <v/>
      </c>
      <c r="BT865">
        <f t="shared" si="390"/>
        <v>0</v>
      </c>
      <c r="BU865">
        <f t="shared" si="391"/>
        <v>18</v>
      </c>
      <c r="CP865">
        <f>IF(包装物料出入库明细!$D865="",0,1)</f>
        <v>0</v>
      </c>
      <c r="CQ865">
        <f t="shared" si="392"/>
        <v>37</v>
      </c>
      <c r="CS865" t="str">
        <f>IF(OR(周转筐出入库明细!$C866="",周转筐出入库明细!$F866&lt;&gt;"采购入库"),"",周转筐出入库明细!$C866)</f>
        <v/>
      </c>
      <c r="CT865">
        <f t="shared" si="393"/>
        <v>0</v>
      </c>
      <c r="CU865">
        <f t="shared" si="394"/>
        <v>1</v>
      </c>
    </row>
    <row r="866" spans="1:99">
      <c r="A866" t="str">
        <f>IF(包装物料出入库明细!$E866="","",包装物料出入库明细!$E866)</f>
        <v/>
      </c>
      <c r="B866">
        <f t="shared" si="378"/>
        <v>0</v>
      </c>
      <c r="C866">
        <f t="shared" si="379"/>
        <v>7</v>
      </c>
      <c r="D866" t="str">
        <f>IF(包装物料出入库明细!$E866="","",包装物料出入库明细!$F866)</f>
        <v/>
      </c>
      <c r="E866" t="str">
        <f>IF(包装物料出入库明细!$E866="","",包装物料出入库明细!$G866)</f>
        <v/>
      </c>
      <c r="K866" t="str">
        <f>IF(包装物料出入库明细!$D866="","",包装物料出入库明细!$D866)</f>
        <v/>
      </c>
      <c r="L866">
        <f t="shared" si="380"/>
        <v>0</v>
      </c>
      <c r="M866">
        <f t="shared" si="381"/>
        <v>9</v>
      </c>
      <c r="Q866" t="str">
        <f>IF(周转筐出入库明细!$D867="","",周转筐出入库明细!$D867)</f>
        <v/>
      </c>
      <c r="R866">
        <f t="shared" si="382"/>
        <v>0</v>
      </c>
      <c r="S866">
        <f t="shared" si="383"/>
        <v>5</v>
      </c>
      <c r="W866" t="str">
        <f>IF(周转筐出入库明细!$C867="","",周转筐出入库明细!$C867)</f>
        <v/>
      </c>
      <c r="X866">
        <f t="shared" si="384"/>
        <v>0</v>
      </c>
      <c r="Y866">
        <f t="shared" si="385"/>
        <v>12</v>
      </c>
      <c r="AC866" t="str">
        <f>IF(客户自备加工筐明细!$C866="","",客户自备加工筐明细!$C866)</f>
        <v/>
      </c>
      <c r="AD866">
        <f t="shared" si="386"/>
        <v>0</v>
      </c>
      <c r="AE866">
        <f t="shared" si="387"/>
        <v>1</v>
      </c>
      <c r="AI866" t="str">
        <f>IF(客户自备加工筐明细!$E866="","",客户自备加工筐明细!$E866)</f>
        <v/>
      </c>
      <c r="AJ866">
        <f t="shared" si="388"/>
        <v>0</v>
      </c>
      <c r="AK866">
        <f t="shared" si="389"/>
        <v>1</v>
      </c>
      <c r="BS866" t="str">
        <f t="shared" si="377"/>
        <v/>
      </c>
      <c r="BT866">
        <f t="shared" si="390"/>
        <v>0</v>
      </c>
      <c r="BU866">
        <f t="shared" si="391"/>
        <v>18</v>
      </c>
      <c r="CP866">
        <f>IF(包装物料出入库明细!$D866="",0,1)</f>
        <v>0</v>
      </c>
      <c r="CQ866">
        <f t="shared" si="392"/>
        <v>37</v>
      </c>
      <c r="CS866" t="str">
        <f>IF(OR(周转筐出入库明细!$C867="",周转筐出入库明细!$F867&lt;&gt;"采购入库"),"",周转筐出入库明细!$C867)</f>
        <v/>
      </c>
      <c r="CT866">
        <f t="shared" si="393"/>
        <v>0</v>
      </c>
      <c r="CU866">
        <f t="shared" si="394"/>
        <v>1</v>
      </c>
    </row>
    <row r="867" spans="1:99">
      <c r="A867" t="str">
        <f>IF(包装物料出入库明细!$E867="","",包装物料出入库明细!$E867)</f>
        <v/>
      </c>
      <c r="B867">
        <f t="shared" si="378"/>
        <v>0</v>
      </c>
      <c r="C867">
        <f t="shared" si="379"/>
        <v>7</v>
      </c>
      <c r="D867" t="str">
        <f>IF(包装物料出入库明细!$E867="","",包装物料出入库明细!$F867)</f>
        <v/>
      </c>
      <c r="E867" t="str">
        <f>IF(包装物料出入库明细!$E867="","",包装物料出入库明细!$G867)</f>
        <v/>
      </c>
      <c r="K867" t="str">
        <f>IF(包装物料出入库明细!$D867="","",包装物料出入库明细!$D867)</f>
        <v/>
      </c>
      <c r="L867">
        <f t="shared" si="380"/>
        <v>0</v>
      </c>
      <c r="M867">
        <f t="shared" si="381"/>
        <v>9</v>
      </c>
      <c r="Q867" t="str">
        <f>IF(周转筐出入库明细!$D868="","",周转筐出入库明细!$D868)</f>
        <v/>
      </c>
      <c r="R867">
        <f t="shared" si="382"/>
        <v>0</v>
      </c>
      <c r="S867">
        <f t="shared" si="383"/>
        <v>5</v>
      </c>
      <c r="W867" t="str">
        <f>IF(周转筐出入库明细!$C868="","",周转筐出入库明细!$C868)</f>
        <v/>
      </c>
      <c r="X867">
        <f t="shared" si="384"/>
        <v>0</v>
      </c>
      <c r="Y867">
        <f t="shared" si="385"/>
        <v>12</v>
      </c>
      <c r="AC867" t="str">
        <f>IF(客户自备加工筐明细!$C867="","",客户自备加工筐明细!$C867)</f>
        <v/>
      </c>
      <c r="AD867">
        <f t="shared" si="386"/>
        <v>0</v>
      </c>
      <c r="AE867">
        <f t="shared" si="387"/>
        <v>1</v>
      </c>
      <c r="AI867" t="str">
        <f>IF(客户自备加工筐明细!$E867="","",客户自备加工筐明细!$E867)</f>
        <v/>
      </c>
      <c r="AJ867">
        <f t="shared" si="388"/>
        <v>0</v>
      </c>
      <c r="AK867">
        <f t="shared" si="389"/>
        <v>1</v>
      </c>
      <c r="BS867" t="str">
        <f t="shared" si="377"/>
        <v/>
      </c>
      <c r="BT867">
        <f t="shared" si="390"/>
        <v>0</v>
      </c>
      <c r="BU867">
        <f t="shared" si="391"/>
        <v>18</v>
      </c>
      <c r="CP867">
        <f>IF(包装物料出入库明细!$D867="",0,1)</f>
        <v>0</v>
      </c>
      <c r="CQ867">
        <f t="shared" si="392"/>
        <v>37</v>
      </c>
      <c r="CS867" t="str">
        <f>IF(OR(周转筐出入库明细!$C868="",周转筐出入库明细!$F868&lt;&gt;"采购入库"),"",周转筐出入库明细!$C868)</f>
        <v/>
      </c>
      <c r="CT867">
        <f t="shared" si="393"/>
        <v>0</v>
      </c>
      <c r="CU867">
        <f t="shared" si="394"/>
        <v>1</v>
      </c>
    </row>
    <row r="868" spans="1:99">
      <c r="A868" t="str">
        <f>IF(包装物料出入库明细!$E868="","",包装物料出入库明细!$E868)</f>
        <v/>
      </c>
      <c r="B868">
        <f t="shared" si="378"/>
        <v>0</v>
      </c>
      <c r="C868">
        <f t="shared" si="379"/>
        <v>7</v>
      </c>
      <c r="D868" t="str">
        <f>IF(包装物料出入库明细!$E868="","",包装物料出入库明细!$F868)</f>
        <v/>
      </c>
      <c r="E868" t="str">
        <f>IF(包装物料出入库明细!$E868="","",包装物料出入库明细!$G868)</f>
        <v/>
      </c>
      <c r="K868" t="str">
        <f>IF(包装物料出入库明细!$D868="","",包装物料出入库明细!$D868)</f>
        <v/>
      </c>
      <c r="L868">
        <f t="shared" si="380"/>
        <v>0</v>
      </c>
      <c r="M868">
        <f t="shared" si="381"/>
        <v>9</v>
      </c>
      <c r="Q868" t="str">
        <f>IF(周转筐出入库明细!$D869="","",周转筐出入库明细!$D869)</f>
        <v/>
      </c>
      <c r="R868">
        <f t="shared" si="382"/>
        <v>0</v>
      </c>
      <c r="S868">
        <f t="shared" si="383"/>
        <v>5</v>
      </c>
      <c r="W868" t="str">
        <f>IF(周转筐出入库明细!$C869="","",周转筐出入库明细!$C869)</f>
        <v/>
      </c>
      <c r="X868">
        <f t="shared" si="384"/>
        <v>0</v>
      </c>
      <c r="Y868">
        <f t="shared" si="385"/>
        <v>12</v>
      </c>
      <c r="AC868" t="str">
        <f>IF(客户自备加工筐明细!$C868="","",客户自备加工筐明细!$C868)</f>
        <v/>
      </c>
      <c r="AD868">
        <f t="shared" si="386"/>
        <v>0</v>
      </c>
      <c r="AE868">
        <f t="shared" si="387"/>
        <v>1</v>
      </c>
      <c r="AI868" t="str">
        <f>IF(客户自备加工筐明细!$E868="","",客户自备加工筐明细!$E868)</f>
        <v/>
      </c>
      <c r="AJ868">
        <f t="shared" si="388"/>
        <v>0</v>
      </c>
      <c r="AK868">
        <f t="shared" si="389"/>
        <v>1</v>
      </c>
      <c r="BS868" t="str">
        <f t="shared" ref="BS868:BS931" si="395">IF($BE68="","",$BE68)</f>
        <v/>
      </c>
      <c r="BT868">
        <f t="shared" si="390"/>
        <v>0</v>
      </c>
      <c r="BU868">
        <f t="shared" si="391"/>
        <v>18</v>
      </c>
      <c r="CP868">
        <f>IF(包装物料出入库明细!$D868="",0,1)</f>
        <v>0</v>
      </c>
      <c r="CQ868">
        <f t="shared" si="392"/>
        <v>37</v>
      </c>
      <c r="CS868" t="str">
        <f>IF(OR(周转筐出入库明细!$C869="",周转筐出入库明细!$F869&lt;&gt;"采购入库"),"",周转筐出入库明细!$C869)</f>
        <v/>
      </c>
      <c r="CT868">
        <f t="shared" si="393"/>
        <v>0</v>
      </c>
      <c r="CU868">
        <f t="shared" si="394"/>
        <v>1</v>
      </c>
    </row>
    <row r="869" spans="1:99">
      <c r="A869" t="str">
        <f>IF(包装物料出入库明细!$E869="","",包装物料出入库明细!$E869)</f>
        <v/>
      </c>
      <c r="B869">
        <f t="shared" si="378"/>
        <v>0</v>
      </c>
      <c r="C869">
        <f t="shared" si="379"/>
        <v>7</v>
      </c>
      <c r="D869" t="str">
        <f>IF(包装物料出入库明细!$E869="","",包装物料出入库明细!$F869)</f>
        <v/>
      </c>
      <c r="E869" t="str">
        <f>IF(包装物料出入库明细!$E869="","",包装物料出入库明细!$G869)</f>
        <v/>
      </c>
      <c r="K869" t="str">
        <f>IF(包装物料出入库明细!$D869="","",包装物料出入库明细!$D869)</f>
        <v/>
      </c>
      <c r="L869">
        <f t="shared" si="380"/>
        <v>0</v>
      </c>
      <c r="M869">
        <f t="shared" si="381"/>
        <v>9</v>
      </c>
      <c r="Q869" t="str">
        <f>IF(周转筐出入库明细!$D870="","",周转筐出入库明细!$D870)</f>
        <v/>
      </c>
      <c r="R869">
        <f t="shared" si="382"/>
        <v>0</v>
      </c>
      <c r="S869">
        <f t="shared" si="383"/>
        <v>5</v>
      </c>
      <c r="W869" t="str">
        <f>IF(周转筐出入库明细!$C870="","",周转筐出入库明细!$C870)</f>
        <v/>
      </c>
      <c r="X869">
        <f t="shared" si="384"/>
        <v>0</v>
      </c>
      <c r="Y869">
        <f t="shared" si="385"/>
        <v>12</v>
      </c>
      <c r="AC869" t="str">
        <f>IF(客户自备加工筐明细!$C869="","",客户自备加工筐明细!$C869)</f>
        <v/>
      </c>
      <c r="AD869">
        <f t="shared" si="386"/>
        <v>0</v>
      </c>
      <c r="AE869">
        <f t="shared" si="387"/>
        <v>1</v>
      </c>
      <c r="AI869" t="str">
        <f>IF(客户自备加工筐明细!$E869="","",客户自备加工筐明细!$E869)</f>
        <v/>
      </c>
      <c r="AJ869">
        <f t="shared" si="388"/>
        <v>0</v>
      </c>
      <c r="AK869">
        <f t="shared" si="389"/>
        <v>1</v>
      </c>
      <c r="BS869" t="str">
        <f t="shared" si="395"/>
        <v/>
      </c>
      <c r="BT869">
        <f t="shared" si="390"/>
        <v>0</v>
      </c>
      <c r="BU869">
        <f t="shared" si="391"/>
        <v>18</v>
      </c>
      <c r="CP869">
        <f>IF(包装物料出入库明细!$D869="",0,1)</f>
        <v>0</v>
      </c>
      <c r="CQ869">
        <f t="shared" si="392"/>
        <v>37</v>
      </c>
      <c r="CS869" t="str">
        <f>IF(OR(周转筐出入库明细!$C870="",周转筐出入库明细!$F870&lt;&gt;"采购入库"),"",周转筐出入库明细!$C870)</f>
        <v/>
      </c>
      <c r="CT869">
        <f t="shared" si="393"/>
        <v>0</v>
      </c>
      <c r="CU869">
        <f t="shared" si="394"/>
        <v>1</v>
      </c>
    </row>
    <row r="870" spans="1:99">
      <c r="A870" t="str">
        <f>IF(包装物料出入库明细!$E870="","",包装物料出入库明细!$E870)</f>
        <v/>
      </c>
      <c r="B870">
        <f t="shared" si="378"/>
        <v>0</v>
      </c>
      <c r="C870">
        <f t="shared" si="379"/>
        <v>7</v>
      </c>
      <c r="D870" t="str">
        <f>IF(包装物料出入库明细!$E870="","",包装物料出入库明细!$F870)</f>
        <v/>
      </c>
      <c r="E870" t="str">
        <f>IF(包装物料出入库明细!$E870="","",包装物料出入库明细!$G870)</f>
        <v/>
      </c>
      <c r="K870" t="str">
        <f>IF(包装物料出入库明细!$D870="","",包装物料出入库明细!$D870)</f>
        <v/>
      </c>
      <c r="L870">
        <f t="shared" si="380"/>
        <v>0</v>
      </c>
      <c r="M870">
        <f t="shared" si="381"/>
        <v>9</v>
      </c>
      <c r="Q870" t="str">
        <f>IF(周转筐出入库明细!$D871="","",周转筐出入库明细!$D871)</f>
        <v/>
      </c>
      <c r="R870">
        <f t="shared" si="382"/>
        <v>0</v>
      </c>
      <c r="S870">
        <f t="shared" si="383"/>
        <v>5</v>
      </c>
      <c r="W870" t="str">
        <f>IF(周转筐出入库明细!$C871="","",周转筐出入库明细!$C871)</f>
        <v/>
      </c>
      <c r="X870">
        <f t="shared" si="384"/>
        <v>0</v>
      </c>
      <c r="Y870">
        <f t="shared" si="385"/>
        <v>12</v>
      </c>
      <c r="AC870" t="str">
        <f>IF(客户自备加工筐明细!$C870="","",客户自备加工筐明细!$C870)</f>
        <v/>
      </c>
      <c r="AD870">
        <f t="shared" si="386"/>
        <v>0</v>
      </c>
      <c r="AE870">
        <f t="shared" si="387"/>
        <v>1</v>
      </c>
      <c r="AI870" t="str">
        <f>IF(客户自备加工筐明细!$E870="","",客户自备加工筐明细!$E870)</f>
        <v/>
      </c>
      <c r="AJ870">
        <f t="shared" si="388"/>
        <v>0</v>
      </c>
      <c r="AK870">
        <f t="shared" si="389"/>
        <v>1</v>
      </c>
      <c r="BS870" t="str">
        <f t="shared" si="395"/>
        <v/>
      </c>
      <c r="BT870">
        <f t="shared" si="390"/>
        <v>0</v>
      </c>
      <c r="BU870">
        <f t="shared" si="391"/>
        <v>18</v>
      </c>
      <c r="CP870">
        <f>IF(包装物料出入库明细!$D870="",0,1)</f>
        <v>0</v>
      </c>
      <c r="CQ870">
        <f t="shared" si="392"/>
        <v>37</v>
      </c>
      <c r="CS870" t="str">
        <f>IF(OR(周转筐出入库明细!$C871="",周转筐出入库明细!$F871&lt;&gt;"采购入库"),"",周转筐出入库明细!$C871)</f>
        <v/>
      </c>
      <c r="CT870">
        <f t="shared" si="393"/>
        <v>0</v>
      </c>
      <c r="CU870">
        <f t="shared" si="394"/>
        <v>1</v>
      </c>
    </row>
    <row r="871" spans="1:99">
      <c r="A871" t="str">
        <f>IF(包装物料出入库明细!$E871="","",包装物料出入库明细!$E871)</f>
        <v/>
      </c>
      <c r="B871">
        <f t="shared" si="378"/>
        <v>0</v>
      </c>
      <c r="C871">
        <f t="shared" si="379"/>
        <v>7</v>
      </c>
      <c r="D871" t="str">
        <f>IF(包装物料出入库明细!$E871="","",包装物料出入库明细!$F871)</f>
        <v/>
      </c>
      <c r="E871" t="str">
        <f>IF(包装物料出入库明细!$E871="","",包装物料出入库明细!$G871)</f>
        <v/>
      </c>
      <c r="K871" t="str">
        <f>IF(包装物料出入库明细!$D871="","",包装物料出入库明细!$D871)</f>
        <v/>
      </c>
      <c r="L871">
        <f t="shared" si="380"/>
        <v>0</v>
      </c>
      <c r="M871">
        <f t="shared" si="381"/>
        <v>9</v>
      </c>
      <c r="Q871" t="str">
        <f>IF(周转筐出入库明细!$D872="","",周转筐出入库明细!$D872)</f>
        <v/>
      </c>
      <c r="R871">
        <f t="shared" si="382"/>
        <v>0</v>
      </c>
      <c r="S871">
        <f t="shared" si="383"/>
        <v>5</v>
      </c>
      <c r="W871" t="str">
        <f>IF(周转筐出入库明细!$C872="","",周转筐出入库明细!$C872)</f>
        <v/>
      </c>
      <c r="X871">
        <f t="shared" si="384"/>
        <v>0</v>
      </c>
      <c r="Y871">
        <f t="shared" si="385"/>
        <v>12</v>
      </c>
      <c r="AC871" t="str">
        <f>IF(客户自备加工筐明细!$C871="","",客户自备加工筐明细!$C871)</f>
        <v/>
      </c>
      <c r="AD871">
        <f t="shared" si="386"/>
        <v>0</v>
      </c>
      <c r="AE871">
        <f t="shared" si="387"/>
        <v>1</v>
      </c>
      <c r="AI871" t="str">
        <f>IF(客户自备加工筐明细!$E871="","",客户自备加工筐明细!$E871)</f>
        <v/>
      </c>
      <c r="AJ871">
        <f t="shared" si="388"/>
        <v>0</v>
      </c>
      <c r="AK871">
        <f t="shared" si="389"/>
        <v>1</v>
      </c>
      <c r="BS871" t="str">
        <f t="shared" si="395"/>
        <v/>
      </c>
      <c r="BT871">
        <f t="shared" si="390"/>
        <v>0</v>
      </c>
      <c r="BU871">
        <f t="shared" si="391"/>
        <v>18</v>
      </c>
      <c r="CP871">
        <f>IF(包装物料出入库明细!$D871="",0,1)</f>
        <v>0</v>
      </c>
      <c r="CQ871">
        <f t="shared" si="392"/>
        <v>37</v>
      </c>
      <c r="CS871" t="str">
        <f>IF(OR(周转筐出入库明细!$C872="",周转筐出入库明细!$F872&lt;&gt;"采购入库"),"",周转筐出入库明细!$C872)</f>
        <v/>
      </c>
      <c r="CT871">
        <f t="shared" si="393"/>
        <v>0</v>
      </c>
      <c r="CU871">
        <f t="shared" si="394"/>
        <v>1</v>
      </c>
    </row>
    <row r="872" spans="1:99">
      <c r="A872" t="str">
        <f>IF(包装物料出入库明细!$E872="","",包装物料出入库明细!$E872)</f>
        <v/>
      </c>
      <c r="B872">
        <f t="shared" si="378"/>
        <v>0</v>
      </c>
      <c r="C872">
        <f t="shared" si="379"/>
        <v>7</v>
      </c>
      <c r="D872" t="str">
        <f>IF(包装物料出入库明细!$E872="","",包装物料出入库明细!$F872)</f>
        <v/>
      </c>
      <c r="E872" t="str">
        <f>IF(包装物料出入库明细!$E872="","",包装物料出入库明细!$G872)</f>
        <v/>
      </c>
      <c r="K872" t="str">
        <f>IF(包装物料出入库明细!$D872="","",包装物料出入库明细!$D872)</f>
        <v/>
      </c>
      <c r="L872">
        <f t="shared" si="380"/>
        <v>0</v>
      </c>
      <c r="M872">
        <f t="shared" si="381"/>
        <v>9</v>
      </c>
      <c r="Q872" t="str">
        <f>IF(周转筐出入库明细!$D873="","",周转筐出入库明细!$D873)</f>
        <v/>
      </c>
      <c r="R872">
        <f t="shared" si="382"/>
        <v>0</v>
      </c>
      <c r="S872">
        <f t="shared" si="383"/>
        <v>5</v>
      </c>
      <c r="W872" t="str">
        <f>IF(周转筐出入库明细!$C873="","",周转筐出入库明细!$C873)</f>
        <v/>
      </c>
      <c r="X872">
        <f t="shared" si="384"/>
        <v>0</v>
      </c>
      <c r="Y872">
        <f t="shared" si="385"/>
        <v>12</v>
      </c>
      <c r="AC872" t="str">
        <f>IF(客户自备加工筐明细!$C872="","",客户自备加工筐明细!$C872)</f>
        <v/>
      </c>
      <c r="AD872">
        <f t="shared" si="386"/>
        <v>0</v>
      </c>
      <c r="AE872">
        <f t="shared" si="387"/>
        <v>1</v>
      </c>
      <c r="AI872" t="str">
        <f>IF(客户自备加工筐明细!$E872="","",客户自备加工筐明细!$E872)</f>
        <v/>
      </c>
      <c r="AJ872">
        <f t="shared" si="388"/>
        <v>0</v>
      </c>
      <c r="AK872">
        <f t="shared" si="389"/>
        <v>1</v>
      </c>
      <c r="BS872" t="str">
        <f t="shared" si="395"/>
        <v/>
      </c>
      <c r="BT872">
        <f t="shared" si="390"/>
        <v>0</v>
      </c>
      <c r="BU872">
        <f t="shared" si="391"/>
        <v>18</v>
      </c>
      <c r="CP872">
        <f>IF(包装物料出入库明细!$D872="",0,1)</f>
        <v>0</v>
      </c>
      <c r="CQ872">
        <f t="shared" si="392"/>
        <v>37</v>
      </c>
      <c r="CS872" t="str">
        <f>IF(OR(周转筐出入库明细!$C873="",周转筐出入库明细!$F873&lt;&gt;"采购入库"),"",周转筐出入库明细!$C873)</f>
        <v/>
      </c>
      <c r="CT872">
        <f t="shared" si="393"/>
        <v>0</v>
      </c>
      <c r="CU872">
        <f t="shared" si="394"/>
        <v>1</v>
      </c>
    </row>
    <row r="873" spans="1:99">
      <c r="A873" t="str">
        <f>IF(包装物料出入库明细!$E873="","",包装物料出入库明细!$E873)</f>
        <v/>
      </c>
      <c r="B873">
        <f t="shared" si="378"/>
        <v>0</v>
      </c>
      <c r="C873">
        <f t="shared" si="379"/>
        <v>7</v>
      </c>
      <c r="D873" t="str">
        <f>IF(包装物料出入库明细!$E873="","",包装物料出入库明细!$F873)</f>
        <v/>
      </c>
      <c r="E873" t="str">
        <f>IF(包装物料出入库明细!$E873="","",包装物料出入库明细!$G873)</f>
        <v/>
      </c>
      <c r="K873" t="str">
        <f>IF(包装物料出入库明细!$D873="","",包装物料出入库明细!$D873)</f>
        <v/>
      </c>
      <c r="L873">
        <f t="shared" si="380"/>
        <v>0</v>
      </c>
      <c r="M873">
        <f t="shared" si="381"/>
        <v>9</v>
      </c>
      <c r="Q873" t="str">
        <f>IF(周转筐出入库明细!$D874="","",周转筐出入库明细!$D874)</f>
        <v/>
      </c>
      <c r="R873">
        <f t="shared" si="382"/>
        <v>0</v>
      </c>
      <c r="S873">
        <f t="shared" si="383"/>
        <v>5</v>
      </c>
      <c r="W873" t="str">
        <f>IF(周转筐出入库明细!$C874="","",周转筐出入库明细!$C874)</f>
        <v/>
      </c>
      <c r="X873">
        <f t="shared" si="384"/>
        <v>0</v>
      </c>
      <c r="Y873">
        <f t="shared" si="385"/>
        <v>12</v>
      </c>
      <c r="AC873" t="str">
        <f>IF(客户自备加工筐明细!$C873="","",客户自备加工筐明细!$C873)</f>
        <v/>
      </c>
      <c r="AD873">
        <f t="shared" si="386"/>
        <v>0</v>
      </c>
      <c r="AE873">
        <f t="shared" si="387"/>
        <v>1</v>
      </c>
      <c r="AI873" t="str">
        <f>IF(客户自备加工筐明细!$E873="","",客户自备加工筐明细!$E873)</f>
        <v/>
      </c>
      <c r="AJ873">
        <f t="shared" si="388"/>
        <v>0</v>
      </c>
      <c r="AK873">
        <f t="shared" si="389"/>
        <v>1</v>
      </c>
      <c r="BS873" t="str">
        <f t="shared" si="395"/>
        <v/>
      </c>
      <c r="BT873">
        <f t="shared" si="390"/>
        <v>0</v>
      </c>
      <c r="BU873">
        <f t="shared" si="391"/>
        <v>18</v>
      </c>
      <c r="CP873">
        <f>IF(包装物料出入库明细!$D873="",0,1)</f>
        <v>0</v>
      </c>
      <c r="CQ873">
        <f t="shared" si="392"/>
        <v>37</v>
      </c>
      <c r="CS873" t="str">
        <f>IF(OR(周转筐出入库明细!$C874="",周转筐出入库明细!$F874&lt;&gt;"采购入库"),"",周转筐出入库明细!$C874)</f>
        <v/>
      </c>
      <c r="CT873">
        <f t="shared" si="393"/>
        <v>0</v>
      </c>
      <c r="CU873">
        <f t="shared" si="394"/>
        <v>1</v>
      </c>
    </row>
    <row r="874" spans="1:99">
      <c r="A874" t="str">
        <f>IF(包装物料出入库明细!$E874="","",包装物料出入库明细!$E874)</f>
        <v/>
      </c>
      <c r="B874">
        <f t="shared" si="378"/>
        <v>0</v>
      </c>
      <c r="C874">
        <f t="shared" si="379"/>
        <v>7</v>
      </c>
      <c r="D874" t="str">
        <f>IF(包装物料出入库明细!$E874="","",包装物料出入库明细!$F874)</f>
        <v/>
      </c>
      <c r="E874" t="str">
        <f>IF(包装物料出入库明细!$E874="","",包装物料出入库明细!$G874)</f>
        <v/>
      </c>
      <c r="K874" t="str">
        <f>IF(包装物料出入库明细!$D874="","",包装物料出入库明细!$D874)</f>
        <v/>
      </c>
      <c r="L874">
        <f t="shared" si="380"/>
        <v>0</v>
      </c>
      <c r="M874">
        <f t="shared" si="381"/>
        <v>9</v>
      </c>
      <c r="Q874" t="str">
        <f>IF(周转筐出入库明细!$D875="","",周转筐出入库明细!$D875)</f>
        <v/>
      </c>
      <c r="R874">
        <f t="shared" si="382"/>
        <v>0</v>
      </c>
      <c r="S874">
        <f t="shared" si="383"/>
        <v>5</v>
      </c>
      <c r="W874" t="str">
        <f>IF(周转筐出入库明细!$C875="","",周转筐出入库明细!$C875)</f>
        <v/>
      </c>
      <c r="X874">
        <f t="shared" si="384"/>
        <v>0</v>
      </c>
      <c r="Y874">
        <f t="shared" si="385"/>
        <v>12</v>
      </c>
      <c r="AC874" t="str">
        <f>IF(客户自备加工筐明细!$C874="","",客户自备加工筐明细!$C874)</f>
        <v/>
      </c>
      <c r="AD874">
        <f t="shared" si="386"/>
        <v>0</v>
      </c>
      <c r="AE874">
        <f t="shared" si="387"/>
        <v>1</v>
      </c>
      <c r="AI874" t="str">
        <f>IF(客户自备加工筐明细!$E874="","",客户自备加工筐明细!$E874)</f>
        <v/>
      </c>
      <c r="AJ874">
        <f t="shared" si="388"/>
        <v>0</v>
      </c>
      <c r="AK874">
        <f t="shared" si="389"/>
        <v>1</v>
      </c>
      <c r="BS874" t="str">
        <f t="shared" si="395"/>
        <v/>
      </c>
      <c r="BT874">
        <f t="shared" si="390"/>
        <v>0</v>
      </c>
      <c r="BU874">
        <f t="shared" si="391"/>
        <v>18</v>
      </c>
      <c r="CP874">
        <f>IF(包装物料出入库明细!$D874="",0,1)</f>
        <v>0</v>
      </c>
      <c r="CQ874">
        <f t="shared" si="392"/>
        <v>37</v>
      </c>
      <c r="CS874" t="str">
        <f>IF(OR(周转筐出入库明细!$C875="",周转筐出入库明细!$F875&lt;&gt;"采购入库"),"",周转筐出入库明细!$C875)</f>
        <v/>
      </c>
      <c r="CT874">
        <f t="shared" si="393"/>
        <v>0</v>
      </c>
      <c r="CU874">
        <f t="shared" si="394"/>
        <v>1</v>
      </c>
    </row>
    <row r="875" spans="1:99">
      <c r="A875" t="str">
        <f>IF(包装物料出入库明细!$E875="","",包装物料出入库明细!$E875)</f>
        <v/>
      </c>
      <c r="B875">
        <f t="shared" si="378"/>
        <v>0</v>
      </c>
      <c r="C875">
        <f t="shared" si="379"/>
        <v>7</v>
      </c>
      <c r="D875" t="str">
        <f>IF(包装物料出入库明细!$E875="","",包装物料出入库明细!$F875)</f>
        <v/>
      </c>
      <c r="E875" t="str">
        <f>IF(包装物料出入库明细!$E875="","",包装物料出入库明细!$G875)</f>
        <v/>
      </c>
      <c r="K875" t="str">
        <f>IF(包装物料出入库明细!$D875="","",包装物料出入库明细!$D875)</f>
        <v/>
      </c>
      <c r="L875">
        <f t="shared" si="380"/>
        <v>0</v>
      </c>
      <c r="M875">
        <f t="shared" si="381"/>
        <v>9</v>
      </c>
      <c r="Q875" t="str">
        <f>IF(周转筐出入库明细!$D876="","",周转筐出入库明细!$D876)</f>
        <v/>
      </c>
      <c r="R875">
        <f t="shared" si="382"/>
        <v>0</v>
      </c>
      <c r="S875">
        <f t="shared" si="383"/>
        <v>5</v>
      </c>
      <c r="W875" t="str">
        <f>IF(周转筐出入库明细!$C876="","",周转筐出入库明细!$C876)</f>
        <v/>
      </c>
      <c r="X875">
        <f t="shared" si="384"/>
        <v>0</v>
      </c>
      <c r="Y875">
        <f t="shared" si="385"/>
        <v>12</v>
      </c>
      <c r="AC875" t="str">
        <f>IF(客户自备加工筐明细!$C875="","",客户自备加工筐明细!$C875)</f>
        <v/>
      </c>
      <c r="AD875">
        <f t="shared" si="386"/>
        <v>0</v>
      </c>
      <c r="AE875">
        <f t="shared" si="387"/>
        <v>1</v>
      </c>
      <c r="AI875" t="str">
        <f>IF(客户自备加工筐明细!$E875="","",客户自备加工筐明细!$E875)</f>
        <v/>
      </c>
      <c r="AJ875">
        <f t="shared" si="388"/>
        <v>0</v>
      </c>
      <c r="AK875">
        <f t="shared" si="389"/>
        <v>1</v>
      </c>
      <c r="BS875" t="str">
        <f t="shared" si="395"/>
        <v/>
      </c>
      <c r="BT875">
        <f t="shared" si="390"/>
        <v>0</v>
      </c>
      <c r="BU875">
        <f t="shared" si="391"/>
        <v>18</v>
      </c>
      <c r="CP875">
        <f>IF(包装物料出入库明细!$D875="",0,1)</f>
        <v>0</v>
      </c>
      <c r="CQ875">
        <f t="shared" si="392"/>
        <v>37</v>
      </c>
      <c r="CS875" t="str">
        <f>IF(OR(周转筐出入库明细!$C876="",周转筐出入库明细!$F876&lt;&gt;"采购入库"),"",周转筐出入库明细!$C876)</f>
        <v/>
      </c>
      <c r="CT875">
        <f t="shared" si="393"/>
        <v>0</v>
      </c>
      <c r="CU875">
        <f t="shared" si="394"/>
        <v>1</v>
      </c>
    </row>
    <row r="876" spans="1:99">
      <c r="A876" t="str">
        <f>IF(包装物料出入库明细!$E876="","",包装物料出入库明细!$E876)</f>
        <v/>
      </c>
      <c r="B876">
        <f t="shared" si="378"/>
        <v>0</v>
      </c>
      <c r="C876">
        <f t="shared" si="379"/>
        <v>7</v>
      </c>
      <c r="D876" t="str">
        <f>IF(包装物料出入库明细!$E876="","",包装物料出入库明细!$F876)</f>
        <v/>
      </c>
      <c r="E876" t="str">
        <f>IF(包装物料出入库明细!$E876="","",包装物料出入库明细!$G876)</f>
        <v/>
      </c>
      <c r="K876" t="str">
        <f>IF(包装物料出入库明细!$D876="","",包装物料出入库明细!$D876)</f>
        <v/>
      </c>
      <c r="L876">
        <f t="shared" si="380"/>
        <v>0</v>
      </c>
      <c r="M876">
        <f t="shared" si="381"/>
        <v>9</v>
      </c>
      <c r="Q876" t="str">
        <f>IF(周转筐出入库明细!$D877="","",周转筐出入库明细!$D877)</f>
        <v/>
      </c>
      <c r="R876">
        <f t="shared" si="382"/>
        <v>0</v>
      </c>
      <c r="S876">
        <f t="shared" si="383"/>
        <v>5</v>
      </c>
      <c r="W876" t="str">
        <f>IF(周转筐出入库明细!$C877="","",周转筐出入库明细!$C877)</f>
        <v/>
      </c>
      <c r="X876">
        <f t="shared" si="384"/>
        <v>0</v>
      </c>
      <c r="Y876">
        <f t="shared" si="385"/>
        <v>12</v>
      </c>
      <c r="AC876" t="str">
        <f>IF(客户自备加工筐明细!$C876="","",客户自备加工筐明细!$C876)</f>
        <v/>
      </c>
      <c r="AD876">
        <f t="shared" si="386"/>
        <v>0</v>
      </c>
      <c r="AE876">
        <f t="shared" si="387"/>
        <v>1</v>
      </c>
      <c r="AI876" t="str">
        <f>IF(客户自备加工筐明细!$E876="","",客户自备加工筐明细!$E876)</f>
        <v/>
      </c>
      <c r="AJ876">
        <f t="shared" si="388"/>
        <v>0</v>
      </c>
      <c r="AK876">
        <f t="shared" si="389"/>
        <v>1</v>
      </c>
      <c r="BS876" t="str">
        <f t="shared" si="395"/>
        <v/>
      </c>
      <c r="BT876">
        <f t="shared" si="390"/>
        <v>0</v>
      </c>
      <c r="BU876">
        <f t="shared" si="391"/>
        <v>18</v>
      </c>
      <c r="CP876">
        <f>IF(包装物料出入库明细!$D876="",0,1)</f>
        <v>0</v>
      </c>
      <c r="CQ876">
        <f t="shared" si="392"/>
        <v>37</v>
      </c>
      <c r="CS876" t="str">
        <f>IF(OR(周转筐出入库明细!$C877="",周转筐出入库明细!$F877&lt;&gt;"采购入库"),"",周转筐出入库明细!$C877)</f>
        <v/>
      </c>
      <c r="CT876">
        <f t="shared" si="393"/>
        <v>0</v>
      </c>
      <c r="CU876">
        <f t="shared" si="394"/>
        <v>1</v>
      </c>
    </row>
    <row r="877" spans="1:99">
      <c r="A877" t="str">
        <f>IF(包装物料出入库明细!$E877="","",包装物料出入库明细!$E877)</f>
        <v/>
      </c>
      <c r="B877">
        <f t="shared" si="378"/>
        <v>0</v>
      </c>
      <c r="C877">
        <f t="shared" si="379"/>
        <v>7</v>
      </c>
      <c r="D877" t="str">
        <f>IF(包装物料出入库明细!$E877="","",包装物料出入库明细!$F877)</f>
        <v/>
      </c>
      <c r="E877" t="str">
        <f>IF(包装物料出入库明细!$E877="","",包装物料出入库明细!$G877)</f>
        <v/>
      </c>
      <c r="K877" t="str">
        <f>IF(包装物料出入库明细!$D877="","",包装物料出入库明细!$D877)</f>
        <v/>
      </c>
      <c r="L877">
        <f t="shared" si="380"/>
        <v>0</v>
      </c>
      <c r="M877">
        <f t="shared" si="381"/>
        <v>9</v>
      </c>
      <c r="Q877" t="str">
        <f>IF(周转筐出入库明细!$D878="","",周转筐出入库明细!$D878)</f>
        <v/>
      </c>
      <c r="R877">
        <f t="shared" si="382"/>
        <v>0</v>
      </c>
      <c r="S877">
        <f t="shared" si="383"/>
        <v>5</v>
      </c>
      <c r="W877" t="str">
        <f>IF(周转筐出入库明细!$C878="","",周转筐出入库明细!$C878)</f>
        <v/>
      </c>
      <c r="X877">
        <f t="shared" si="384"/>
        <v>0</v>
      </c>
      <c r="Y877">
        <f t="shared" si="385"/>
        <v>12</v>
      </c>
      <c r="AC877" t="str">
        <f>IF(客户自备加工筐明细!$C877="","",客户自备加工筐明细!$C877)</f>
        <v/>
      </c>
      <c r="AD877">
        <f t="shared" si="386"/>
        <v>0</v>
      </c>
      <c r="AE877">
        <f t="shared" si="387"/>
        <v>1</v>
      </c>
      <c r="AI877" t="str">
        <f>IF(客户自备加工筐明细!$E877="","",客户自备加工筐明细!$E877)</f>
        <v/>
      </c>
      <c r="AJ877">
        <f t="shared" si="388"/>
        <v>0</v>
      </c>
      <c r="AK877">
        <f t="shared" si="389"/>
        <v>1</v>
      </c>
      <c r="BS877" t="str">
        <f t="shared" si="395"/>
        <v/>
      </c>
      <c r="BT877">
        <f t="shared" si="390"/>
        <v>0</v>
      </c>
      <c r="BU877">
        <f t="shared" si="391"/>
        <v>18</v>
      </c>
      <c r="CP877">
        <f>IF(包装物料出入库明细!$D877="",0,1)</f>
        <v>0</v>
      </c>
      <c r="CQ877">
        <f t="shared" si="392"/>
        <v>37</v>
      </c>
      <c r="CS877" t="str">
        <f>IF(OR(周转筐出入库明细!$C878="",周转筐出入库明细!$F878&lt;&gt;"采购入库"),"",周转筐出入库明细!$C878)</f>
        <v/>
      </c>
      <c r="CT877">
        <f t="shared" si="393"/>
        <v>0</v>
      </c>
      <c r="CU877">
        <f t="shared" si="394"/>
        <v>1</v>
      </c>
    </row>
    <row r="878" spans="1:99">
      <c r="A878" t="str">
        <f>IF(包装物料出入库明细!$E878="","",包装物料出入库明细!$E878)</f>
        <v/>
      </c>
      <c r="B878">
        <f t="shared" si="378"/>
        <v>0</v>
      </c>
      <c r="C878">
        <f t="shared" si="379"/>
        <v>7</v>
      </c>
      <c r="D878" t="str">
        <f>IF(包装物料出入库明细!$E878="","",包装物料出入库明细!$F878)</f>
        <v/>
      </c>
      <c r="E878" t="str">
        <f>IF(包装物料出入库明细!$E878="","",包装物料出入库明细!$G878)</f>
        <v/>
      </c>
      <c r="K878" t="str">
        <f>IF(包装物料出入库明细!$D878="","",包装物料出入库明细!$D878)</f>
        <v/>
      </c>
      <c r="L878">
        <f t="shared" si="380"/>
        <v>0</v>
      </c>
      <c r="M878">
        <f t="shared" si="381"/>
        <v>9</v>
      </c>
      <c r="Q878" t="str">
        <f>IF(周转筐出入库明细!$D879="","",周转筐出入库明细!$D879)</f>
        <v/>
      </c>
      <c r="R878">
        <f t="shared" si="382"/>
        <v>0</v>
      </c>
      <c r="S878">
        <f t="shared" si="383"/>
        <v>5</v>
      </c>
      <c r="W878" t="str">
        <f>IF(周转筐出入库明细!$C879="","",周转筐出入库明细!$C879)</f>
        <v/>
      </c>
      <c r="X878">
        <f t="shared" si="384"/>
        <v>0</v>
      </c>
      <c r="Y878">
        <f t="shared" si="385"/>
        <v>12</v>
      </c>
      <c r="AC878" t="str">
        <f>IF(客户自备加工筐明细!$C878="","",客户自备加工筐明细!$C878)</f>
        <v/>
      </c>
      <c r="AD878">
        <f t="shared" si="386"/>
        <v>0</v>
      </c>
      <c r="AE878">
        <f t="shared" si="387"/>
        <v>1</v>
      </c>
      <c r="AI878" t="str">
        <f>IF(客户自备加工筐明细!$E878="","",客户自备加工筐明细!$E878)</f>
        <v/>
      </c>
      <c r="AJ878">
        <f t="shared" si="388"/>
        <v>0</v>
      </c>
      <c r="AK878">
        <f t="shared" si="389"/>
        <v>1</v>
      </c>
      <c r="BS878" t="str">
        <f t="shared" si="395"/>
        <v/>
      </c>
      <c r="BT878">
        <f t="shared" si="390"/>
        <v>0</v>
      </c>
      <c r="BU878">
        <f t="shared" si="391"/>
        <v>18</v>
      </c>
      <c r="CP878">
        <f>IF(包装物料出入库明细!$D878="",0,1)</f>
        <v>0</v>
      </c>
      <c r="CQ878">
        <f t="shared" si="392"/>
        <v>37</v>
      </c>
      <c r="CS878" t="str">
        <f>IF(OR(周转筐出入库明细!$C879="",周转筐出入库明细!$F879&lt;&gt;"采购入库"),"",周转筐出入库明细!$C879)</f>
        <v/>
      </c>
      <c r="CT878">
        <f t="shared" si="393"/>
        <v>0</v>
      </c>
      <c r="CU878">
        <f t="shared" si="394"/>
        <v>1</v>
      </c>
    </row>
    <row r="879" spans="1:99">
      <c r="A879" t="str">
        <f>IF(包装物料出入库明细!$E879="","",包装物料出入库明细!$E879)</f>
        <v/>
      </c>
      <c r="B879">
        <f t="shared" si="378"/>
        <v>0</v>
      </c>
      <c r="C879">
        <f t="shared" si="379"/>
        <v>7</v>
      </c>
      <c r="D879" t="str">
        <f>IF(包装物料出入库明细!$E879="","",包装物料出入库明细!$F879)</f>
        <v/>
      </c>
      <c r="E879" t="str">
        <f>IF(包装物料出入库明细!$E879="","",包装物料出入库明细!$G879)</f>
        <v/>
      </c>
      <c r="K879" t="str">
        <f>IF(包装物料出入库明细!$D879="","",包装物料出入库明细!$D879)</f>
        <v/>
      </c>
      <c r="L879">
        <f t="shared" si="380"/>
        <v>0</v>
      </c>
      <c r="M879">
        <f t="shared" si="381"/>
        <v>9</v>
      </c>
      <c r="Q879" t="str">
        <f>IF(周转筐出入库明细!$D880="","",周转筐出入库明细!$D880)</f>
        <v/>
      </c>
      <c r="R879">
        <f t="shared" si="382"/>
        <v>0</v>
      </c>
      <c r="S879">
        <f t="shared" si="383"/>
        <v>5</v>
      </c>
      <c r="W879" t="str">
        <f>IF(周转筐出入库明细!$C880="","",周转筐出入库明细!$C880)</f>
        <v/>
      </c>
      <c r="X879">
        <f t="shared" si="384"/>
        <v>0</v>
      </c>
      <c r="Y879">
        <f t="shared" si="385"/>
        <v>12</v>
      </c>
      <c r="AC879" t="str">
        <f>IF(客户自备加工筐明细!$C879="","",客户自备加工筐明细!$C879)</f>
        <v/>
      </c>
      <c r="AD879">
        <f t="shared" si="386"/>
        <v>0</v>
      </c>
      <c r="AE879">
        <f t="shared" si="387"/>
        <v>1</v>
      </c>
      <c r="AI879" t="str">
        <f>IF(客户自备加工筐明细!$E879="","",客户自备加工筐明细!$E879)</f>
        <v/>
      </c>
      <c r="AJ879">
        <f t="shared" si="388"/>
        <v>0</v>
      </c>
      <c r="AK879">
        <f t="shared" si="389"/>
        <v>1</v>
      </c>
      <c r="BS879" t="str">
        <f t="shared" si="395"/>
        <v/>
      </c>
      <c r="BT879">
        <f t="shared" si="390"/>
        <v>0</v>
      </c>
      <c r="BU879">
        <f t="shared" si="391"/>
        <v>18</v>
      </c>
      <c r="CP879">
        <f>IF(包装物料出入库明细!$D879="",0,1)</f>
        <v>0</v>
      </c>
      <c r="CQ879">
        <f t="shared" si="392"/>
        <v>37</v>
      </c>
      <c r="CS879" t="str">
        <f>IF(OR(周转筐出入库明细!$C880="",周转筐出入库明细!$F880&lt;&gt;"采购入库"),"",周转筐出入库明细!$C880)</f>
        <v/>
      </c>
      <c r="CT879">
        <f t="shared" si="393"/>
        <v>0</v>
      </c>
      <c r="CU879">
        <f t="shared" si="394"/>
        <v>1</v>
      </c>
    </row>
    <row r="880" spans="1:99">
      <c r="A880" t="str">
        <f>IF(包装物料出入库明细!$E880="","",包装物料出入库明细!$E880)</f>
        <v/>
      </c>
      <c r="B880">
        <f t="shared" si="378"/>
        <v>0</v>
      </c>
      <c r="C880">
        <f t="shared" si="379"/>
        <v>7</v>
      </c>
      <c r="D880" t="str">
        <f>IF(包装物料出入库明细!$E880="","",包装物料出入库明细!$F880)</f>
        <v/>
      </c>
      <c r="E880" t="str">
        <f>IF(包装物料出入库明细!$E880="","",包装物料出入库明细!$G880)</f>
        <v/>
      </c>
      <c r="K880" t="str">
        <f>IF(包装物料出入库明细!$D880="","",包装物料出入库明细!$D880)</f>
        <v/>
      </c>
      <c r="L880">
        <f t="shared" si="380"/>
        <v>0</v>
      </c>
      <c r="M880">
        <f t="shared" si="381"/>
        <v>9</v>
      </c>
      <c r="Q880" t="str">
        <f>IF(周转筐出入库明细!$D881="","",周转筐出入库明细!$D881)</f>
        <v/>
      </c>
      <c r="R880">
        <f t="shared" si="382"/>
        <v>0</v>
      </c>
      <c r="S880">
        <f t="shared" si="383"/>
        <v>5</v>
      </c>
      <c r="W880" t="str">
        <f>IF(周转筐出入库明细!$C881="","",周转筐出入库明细!$C881)</f>
        <v/>
      </c>
      <c r="X880">
        <f t="shared" si="384"/>
        <v>0</v>
      </c>
      <c r="Y880">
        <f t="shared" si="385"/>
        <v>12</v>
      </c>
      <c r="AC880" t="str">
        <f>IF(客户自备加工筐明细!$C880="","",客户自备加工筐明细!$C880)</f>
        <v/>
      </c>
      <c r="AD880">
        <f t="shared" si="386"/>
        <v>0</v>
      </c>
      <c r="AE880">
        <f t="shared" si="387"/>
        <v>1</v>
      </c>
      <c r="AI880" t="str">
        <f>IF(客户自备加工筐明细!$E880="","",客户自备加工筐明细!$E880)</f>
        <v/>
      </c>
      <c r="AJ880">
        <f t="shared" si="388"/>
        <v>0</v>
      </c>
      <c r="AK880">
        <f t="shared" si="389"/>
        <v>1</v>
      </c>
      <c r="BS880" t="str">
        <f t="shared" si="395"/>
        <v/>
      </c>
      <c r="BT880">
        <f t="shared" si="390"/>
        <v>0</v>
      </c>
      <c r="BU880">
        <f t="shared" si="391"/>
        <v>18</v>
      </c>
      <c r="CP880">
        <f>IF(包装物料出入库明细!$D880="",0,1)</f>
        <v>0</v>
      </c>
      <c r="CQ880">
        <f t="shared" si="392"/>
        <v>37</v>
      </c>
      <c r="CS880" t="str">
        <f>IF(OR(周转筐出入库明细!$C881="",周转筐出入库明细!$F881&lt;&gt;"采购入库"),"",周转筐出入库明细!$C881)</f>
        <v/>
      </c>
      <c r="CT880">
        <f t="shared" si="393"/>
        <v>0</v>
      </c>
      <c r="CU880">
        <f t="shared" si="394"/>
        <v>1</v>
      </c>
    </row>
    <row r="881" spans="1:99">
      <c r="A881" t="str">
        <f>IF(包装物料出入库明细!$E881="","",包装物料出入库明细!$E881)</f>
        <v/>
      </c>
      <c r="B881">
        <f t="shared" si="378"/>
        <v>0</v>
      </c>
      <c r="C881">
        <f t="shared" si="379"/>
        <v>7</v>
      </c>
      <c r="D881" t="str">
        <f>IF(包装物料出入库明细!$E881="","",包装物料出入库明细!$F881)</f>
        <v/>
      </c>
      <c r="E881" t="str">
        <f>IF(包装物料出入库明细!$E881="","",包装物料出入库明细!$G881)</f>
        <v/>
      </c>
      <c r="K881" t="str">
        <f>IF(包装物料出入库明细!$D881="","",包装物料出入库明细!$D881)</f>
        <v/>
      </c>
      <c r="L881">
        <f t="shared" si="380"/>
        <v>0</v>
      </c>
      <c r="M881">
        <f t="shared" si="381"/>
        <v>9</v>
      </c>
      <c r="Q881" t="str">
        <f>IF(周转筐出入库明细!$D882="","",周转筐出入库明细!$D882)</f>
        <v/>
      </c>
      <c r="R881">
        <f t="shared" si="382"/>
        <v>0</v>
      </c>
      <c r="S881">
        <f t="shared" si="383"/>
        <v>5</v>
      </c>
      <c r="W881" t="str">
        <f>IF(周转筐出入库明细!$C882="","",周转筐出入库明细!$C882)</f>
        <v/>
      </c>
      <c r="X881">
        <f t="shared" si="384"/>
        <v>0</v>
      </c>
      <c r="Y881">
        <f t="shared" si="385"/>
        <v>12</v>
      </c>
      <c r="AC881" t="str">
        <f>IF(客户自备加工筐明细!$C881="","",客户自备加工筐明细!$C881)</f>
        <v/>
      </c>
      <c r="AD881">
        <f t="shared" si="386"/>
        <v>0</v>
      </c>
      <c r="AE881">
        <f t="shared" si="387"/>
        <v>1</v>
      </c>
      <c r="AI881" t="str">
        <f>IF(客户自备加工筐明细!$E881="","",客户自备加工筐明细!$E881)</f>
        <v/>
      </c>
      <c r="AJ881">
        <f t="shared" si="388"/>
        <v>0</v>
      </c>
      <c r="AK881">
        <f t="shared" si="389"/>
        <v>1</v>
      </c>
      <c r="BS881" t="str">
        <f t="shared" si="395"/>
        <v/>
      </c>
      <c r="BT881">
        <f t="shared" si="390"/>
        <v>0</v>
      </c>
      <c r="BU881">
        <f t="shared" si="391"/>
        <v>18</v>
      </c>
      <c r="CP881">
        <f>IF(包装物料出入库明细!$D881="",0,1)</f>
        <v>0</v>
      </c>
      <c r="CQ881">
        <f t="shared" si="392"/>
        <v>37</v>
      </c>
      <c r="CS881" t="str">
        <f>IF(OR(周转筐出入库明细!$C882="",周转筐出入库明细!$F882&lt;&gt;"采购入库"),"",周转筐出入库明细!$C882)</f>
        <v/>
      </c>
      <c r="CT881">
        <f t="shared" si="393"/>
        <v>0</v>
      </c>
      <c r="CU881">
        <f t="shared" si="394"/>
        <v>1</v>
      </c>
    </row>
    <row r="882" spans="1:99">
      <c r="A882" t="str">
        <f>IF(包装物料出入库明细!$E882="","",包装物料出入库明细!$E882)</f>
        <v/>
      </c>
      <c r="B882">
        <f t="shared" si="378"/>
        <v>0</v>
      </c>
      <c r="C882">
        <f t="shared" si="379"/>
        <v>7</v>
      </c>
      <c r="D882" t="str">
        <f>IF(包装物料出入库明细!$E882="","",包装物料出入库明细!$F882)</f>
        <v/>
      </c>
      <c r="E882" t="str">
        <f>IF(包装物料出入库明细!$E882="","",包装物料出入库明细!$G882)</f>
        <v/>
      </c>
      <c r="K882" t="str">
        <f>IF(包装物料出入库明细!$D882="","",包装物料出入库明细!$D882)</f>
        <v/>
      </c>
      <c r="L882">
        <f t="shared" si="380"/>
        <v>0</v>
      </c>
      <c r="M882">
        <f t="shared" si="381"/>
        <v>9</v>
      </c>
      <c r="Q882" t="str">
        <f>IF(周转筐出入库明细!$D883="","",周转筐出入库明细!$D883)</f>
        <v/>
      </c>
      <c r="R882">
        <f t="shared" si="382"/>
        <v>0</v>
      </c>
      <c r="S882">
        <f t="shared" si="383"/>
        <v>5</v>
      </c>
      <c r="W882" t="str">
        <f>IF(周转筐出入库明细!$C883="","",周转筐出入库明细!$C883)</f>
        <v/>
      </c>
      <c r="X882">
        <f t="shared" si="384"/>
        <v>0</v>
      </c>
      <c r="Y882">
        <f t="shared" si="385"/>
        <v>12</v>
      </c>
      <c r="AC882" t="str">
        <f>IF(客户自备加工筐明细!$C882="","",客户自备加工筐明细!$C882)</f>
        <v/>
      </c>
      <c r="AD882">
        <f t="shared" si="386"/>
        <v>0</v>
      </c>
      <c r="AE882">
        <f t="shared" si="387"/>
        <v>1</v>
      </c>
      <c r="AI882" t="str">
        <f>IF(客户自备加工筐明细!$E882="","",客户自备加工筐明细!$E882)</f>
        <v/>
      </c>
      <c r="AJ882">
        <f t="shared" si="388"/>
        <v>0</v>
      </c>
      <c r="AK882">
        <f t="shared" si="389"/>
        <v>1</v>
      </c>
      <c r="BS882" t="str">
        <f t="shared" si="395"/>
        <v/>
      </c>
      <c r="BT882">
        <f t="shared" si="390"/>
        <v>0</v>
      </c>
      <c r="BU882">
        <f t="shared" si="391"/>
        <v>18</v>
      </c>
      <c r="CP882">
        <f>IF(包装物料出入库明细!$D882="",0,1)</f>
        <v>0</v>
      </c>
      <c r="CQ882">
        <f t="shared" si="392"/>
        <v>37</v>
      </c>
      <c r="CS882" t="str">
        <f>IF(OR(周转筐出入库明细!$C883="",周转筐出入库明细!$F883&lt;&gt;"采购入库"),"",周转筐出入库明细!$C883)</f>
        <v/>
      </c>
      <c r="CT882">
        <f t="shared" si="393"/>
        <v>0</v>
      </c>
      <c r="CU882">
        <f t="shared" si="394"/>
        <v>1</v>
      </c>
    </row>
    <row r="883" spans="1:99">
      <c r="A883" t="str">
        <f>IF(包装物料出入库明细!$E883="","",包装物料出入库明细!$E883)</f>
        <v/>
      </c>
      <c r="B883">
        <f t="shared" si="378"/>
        <v>0</v>
      </c>
      <c r="C883">
        <f t="shared" si="379"/>
        <v>7</v>
      </c>
      <c r="D883" t="str">
        <f>IF(包装物料出入库明细!$E883="","",包装物料出入库明细!$F883)</f>
        <v/>
      </c>
      <c r="E883" t="str">
        <f>IF(包装物料出入库明细!$E883="","",包装物料出入库明细!$G883)</f>
        <v/>
      </c>
      <c r="K883" t="str">
        <f>IF(包装物料出入库明细!$D883="","",包装物料出入库明细!$D883)</f>
        <v/>
      </c>
      <c r="L883">
        <f t="shared" si="380"/>
        <v>0</v>
      </c>
      <c r="M883">
        <f t="shared" si="381"/>
        <v>9</v>
      </c>
      <c r="Q883" t="str">
        <f>IF(周转筐出入库明细!$D884="","",周转筐出入库明细!$D884)</f>
        <v/>
      </c>
      <c r="R883">
        <f t="shared" si="382"/>
        <v>0</v>
      </c>
      <c r="S883">
        <f t="shared" si="383"/>
        <v>5</v>
      </c>
      <c r="W883" t="str">
        <f>IF(周转筐出入库明细!$C884="","",周转筐出入库明细!$C884)</f>
        <v/>
      </c>
      <c r="X883">
        <f t="shared" si="384"/>
        <v>0</v>
      </c>
      <c r="Y883">
        <f t="shared" si="385"/>
        <v>12</v>
      </c>
      <c r="AC883" t="str">
        <f>IF(客户自备加工筐明细!$C883="","",客户自备加工筐明细!$C883)</f>
        <v/>
      </c>
      <c r="AD883">
        <f t="shared" si="386"/>
        <v>0</v>
      </c>
      <c r="AE883">
        <f t="shared" si="387"/>
        <v>1</v>
      </c>
      <c r="AI883" t="str">
        <f>IF(客户自备加工筐明细!$E883="","",客户自备加工筐明细!$E883)</f>
        <v/>
      </c>
      <c r="AJ883">
        <f t="shared" si="388"/>
        <v>0</v>
      </c>
      <c r="AK883">
        <f t="shared" si="389"/>
        <v>1</v>
      </c>
      <c r="BS883" t="str">
        <f t="shared" si="395"/>
        <v/>
      </c>
      <c r="BT883">
        <f t="shared" si="390"/>
        <v>0</v>
      </c>
      <c r="BU883">
        <f t="shared" si="391"/>
        <v>18</v>
      </c>
      <c r="CP883">
        <f>IF(包装物料出入库明细!$D883="",0,1)</f>
        <v>0</v>
      </c>
      <c r="CQ883">
        <f t="shared" si="392"/>
        <v>37</v>
      </c>
      <c r="CS883" t="str">
        <f>IF(OR(周转筐出入库明细!$C884="",周转筐出入库明细!$F884&lt;&gt;"采购入库"),"",周转筐出入库明细!$C884)</f>
        <v/>
      </c>
      <c r="CT883">
        <f t="shared" si="393"/>
        <v>0</v>
      </c>
      <c r="CU883">
        <f t="shared" si="394"/>
        <v>1</v>
      </c>
    </row>
    <row r="884" spans="1:99">
      <c r="A884" t="str">
        <f>IF(包装物料出入库明细!$E884="","",包装物料出入库明细!$E884)</f>
        <v/>
      </c>
      <c r="B884">
        <f t="shared" si="378"/>
        <v>0</v>
      </c>
      <c r="C884">
        <f t="shared" si="379"/>
        <v>7</v>
      </c>
      <c r="D884" t="str">
        <f>IF(包装物料出入库明细!$E884="","",包装物料出入库明细!$F884)</f>
        <v/>
      </c>
      <c r="E884" t="str">
        <f>IF(包装物料出入库明细!$E884="","",包装物料出入库明细!$G884)</f>
        <v/>
      </c>
      <c r="K884" t="str">
        <f>IF(包装物料出入库明细!$D884="","",包装物料出入库明细!$D884)</f>
        <v/>
      </c>
      <c r="L884">
        <f t="shared" si="380"/>
        <v>0</v>
      </c>
      <c r="M884">
        <f t="shared" si="381"/>
        <v>9</v>
      </c>
      <c r="Q884" t="str">
        <f>IF(周转筐出入库明细!$D885="","",周转筐出入库明细!$D885)</f>
        <v/>
      </c>
      <c r="R884">
        <f t="shared" si="382"/>
        <v>0</v>
      </c>
      <c r="S884">
        <f t="shared" si="383"/>
        <v>5</v>
      </c>
      <c r="W884" t="str">
        <f>IF(周转筐出入库明细!$C885="","",周转筐出入库明细!$C885)</f>
        <v/>
      </c>
      <c r="X884">
        <f t="shared" si="384"/>
        <v>0</v>
      </c>
      <c r="Y884">
        <f t="shared" si="385"/>
        <v>12</v>
      </c>
      <c r="AC884" t="str">
        <f>IF(客户自备加工筐明细!$C884="","",客户自备加工筐明细!$C884)</f>
        <v/>
      </c>
      <c r="AD884">
        <f t="shared" si="386"/>
        <v>0</v>
      </c>
      <c r="AE884">
        <f t="shared" si="387"/>
        <v>1</v>
      </c>
      <c r="AI884" t="str">
        <f>IF(客户自备加工筐明细!$E884="","",客户自备加工筐明细!$E884)</f>
        <v/>
      </c>
      <c r="AJ884">
        <f t="shared" si="388"/>
        <v>0</v>
      </c>
      <c r="AK884">
        <f t="shared" si="389"/>
        <v>1</v>
      </c>
      <c r="BS884" t="str">
        <f t="shared" si="395"/>
        <v/>
      </c>
      <c r="BT884">
        <f t="shared" si="390"/>
        <v>0</v>
      </c>
      <c r="BU884">
        <f t="shared" si="391"/>
        <v>18</v>
      </c>
      <c r="CP884">
        <f>IF(包装物料出入库明细!$D884="",0,1)</f>
        <v>0</v>
      </c>
      <c r="CQ884">
        <f t="shared" si="392"/>
        <v>37</v>
      </c>
      <c r="CS884" t="str">
        <f>IF(OR(周转筐出入库明细!$C885="",周转筐出入库明细!$F885&lt;&gt;"采购入库"),"",周转筐出入库明细!$C885)</f>
        <v/>
      </c>
      <c r="CT884">
        <f t="shared" si="393"/>
        <v>0</v>
      </c>
      <c r="CU884">
        <f t="shared" si="394"/>
        <v>1</v>
      </c>
    </row>
    <row r="885" spans="1:99">
      <c r="A885" t="str">
        <f>IF(包装物料出入库明细!$E885="","",包装物料出入库明细!$E885)</f>
        <v/>
      </c>
      <c r="B885">
        <f t="shared" si="378"/>
        <v>0</v>
      </c>
      <c r="C885">
        <f t="shared" si="379"/>
        <v>7</v>
      </c>
      <c r="D885" t="str">
        <f>IF(包装物料出入库明细!$E885="","",包装物料出入库明细!$F885)</f>
        <v/>
      </c>
      <c r="E885" t="str">
        <f>IF(包装物料出入库明细!$E885="","",包装物料出入库明细!$G885)</f>
        <v/>
      </c>
      <c r="K885" t="str">
        <f>IF(包装物料出入库明细!$D885="","",包装物料出入库明细!$D885)</f>
        <v/>
      </c>
      <c r="L885">
        <f t="shared" si="380"/>
        <v>0</v>
      </c>
      <c r="M885">
        <f t="shared" si="381"/>
        <v>9</v>
      </c>
      <c r="Q885" t="str">
        <f>IF(周转筐出入库明细!$D886="","",周转筐出入库明细!$D886)</f>
        <v/>
      </c>
      <c r="R885">
        <f t="shared" si="382"/>
        <v>0</v>
      </c>
      <c r="S885">
        <f t="shared" si="383"/>
        <v>5</v>
      </c>
      <c r="W885" t="str">
        <f>IF(周转筐出入库明细!$C886="","",周转筐出入库明细!$C886)</f>
        <v/>
      </c>
      <c r="X885">
        <f t="shared" si="384"/>
        <v>0</v>
      </c>
      <c r="Y885">
        <f t="shared" si="385"/>
        <v>12</v>
      </c>
      <c r="AC885" t="str">
        <f>IF(客户自备加工筐明细!$C885="","",客户自备加工筐明细!$C885)</f>
        <v/>
      </c>
      <c r="AD885">
        <f t="shared" si="386"/>
        <v>0</v>
      </c>
      <c r="AE885">
        <f t="shared" si="387"/>
        <v>1</v>
      </c>
      <c r="AI885" t="str">
        <f>IF(客户自备加工筐明细!$E885="","",客户自备加工筐明细!$E885)</f>
        <v/>
      </c>
      <c r="AJ885">
        <f t="shared" si="388"/>
        <v>0</v>
      </c>
      <c r="AK885">
        <f t="shared" si="389"/>
        <v>1</v>
      </c>
      <c r="BS885" t="str">
        <f t="shared" si="395"/>
        <v/>
      </c>
      <c r="BT885">
        <f t="shared" si="390"/>
        <v>0</v>
      </c>
      <c r="BU885">
        <f t="shared" si="391"/>
        <v>18</v>
      </c>
      <c r="CP885">
        <f>IF(包装物料出入库明细!$D885="",0,1)</f>
        <v>0</v>
      </c>
      <c r="CQ885">
        <f t="shared" si="392"/>
        <v>37</v>
      </c>
      <c r="CS885" t="str">
        <f>IF(OR(周转筐出入库明细!$C886="",周转筐出入库明细!$F886&lt;&gt;"采购入库"),"",周转筐出入库明细!$C886)</f>
        <v/>
      </c>
      <c r="CT885">
        <f t="shared" si="393"/>
        <v>0</v>
      </c>
      <c r="CU885">
        <f t="shared" si="394"/>
        <v>1</v>
      </c>
    </row>
    <row r="886" spans="1:99">
      <c r="A886" t="str">
        <f>IF(包装物料出入库明细!$E886="","",包装物料出入库明细!$E886)</f>
        <v/>
      </c>
      <c r="B886">
        <f t="shared" si="378"/>
        <v>0</v>
      </c>
      <c r="C886">
        <f t="shared" si="379"/>
        <v>7</v>
      </c>
      <c r="D886" t="str">
        <f>IF(包装物料出入库明细!$E886="","",包装物料出入库明细!$F886)</f>
        <v/>
      </c>
      <c r="E886" t="str">
        <f>IF(包装物料出入库明细!$E886="","",包装物料出入库明细!$G886)</f>
        <v/>
      </c>
      <c r="K886" t="str">
        <f>IF(包装物料出入库明细!$D886="","",包装物料出入库明细!$D886)</f>
        <v/>
      </c>
      <c r="L886">
        <f t="shared" si="380"/>
        <v>0</v>
      </c>
      <c r="M886">
        <f t="shared" si="381"/>
        <v>9</v>
      </c>
      <c r="Q886" t="str">
        <f>IF(周转筐出入库明细!$D887="","",周转筐出入库明细!$D887)</f>
        <v/>
      </c>
      <c r="R886">
        <f t="shared" si="382"/>
        <v>0</v>
      </c>
      <c r="S886">
        <f t="shared" si="383"/>
        <v>5</v>
      </c>
      <c r="W886" t="str">
        <f>IF(周转筐出入库明细!$C887="","",周转筐出入库明细!$C887)</f>
        <v/>
      </c>
      <c r="X886">
        <f t="shared" si="384"/>
        <v>0</v>
      </c>
      <c r="Y886">
        <f t="shared" si="385"/>
        <v>12</v>
      </c>
      <c r="AC886" t="str">
        <f>IF(客户自备加工筐明细!$C886="","",客户自备加工筐明细!$C886)</f>
        <v/>
      </c>
      <c r="AD886">
        <f t="shared" si="386"/>
        <v>0</v>
      </c>
      <c r="AE886">
        <f t="shared" si="387"/>
        <v>1</v>
      </c>
      <c r="AI886" t="str">
        <f>IF(客户自备加工筐明细!$E886="","",客户自备加工筐明细!$E886)</f>
        <v/>
      </c>
      <c r="AJ886">
        <f t="shared" si="388"/>
        <v>0</v>
      </c>
      <c r="AK886">
        <f t="shared" si="389"/>
        <v>1</v>
      </c>
      <c r="BS886" t="str">
        <f t="shared" si="395"/>
        <v/>
      </c>
      <c r="BT886">
        <f t="shared" si="390"/>
        <v>0</v>
      </c>
      <c r="BU886">
        <f t="shared" si="391"/>
        <v>18</v>
      </c>
      <c r="CP886">
        <f>IF(包装物料出入库明细!$D886="",0,1)</f>
        <v>0</v>
      </c>
      <c r="CQ886">
        <f t="shared" si="392"/>
        <v>37</v>
      </c>
      <c r="CS886" t="str">
        <f>IF(OR(周转筐出入库明细!$C887="",周转筐出入库明细!$F887&lt;&gt;"采购入库"),"",周转筐出入库明细!$C887)</f>
        <v/>
      </c>
      <c r="CT886">
        <f t="shared" si="393"/>
        <v>0</v>
      </c>
      <c r="CU886">
        <f t="shared" si="394"/>
        <v>1</v>
      </c>
    </row>
    <row r="887" spans="1:99">
      <c r="A887" t="str">
        <f>IF(包装物料出入库明细!$E887="","",包装物料出入库明细!$E887)</f>
        <v/>
      </c>
      <c r="B887">
        <f t="shared" si="378"/>
        <v>0</v>
      </c>
      <c r="C887">
        <f t="shared" si="379"/>
        <v>7</v>
      </c>
      <c r="D887" t="str">
        <f>IF(包装物料出入库明细!$E887="","",包装物料出入库明细!$F887)</f>
        <v/>
      </c>
      <c r="E887" t="str">
        <f>IF(包装物料出入库明细!$E887="","",包装物料出入库明细!$G887)</f>
        <v/>
      </c>
      <c r="K887" t="str">
        <f>IF(包装物料出入库明细!$D887="","",包装物料出入库明细!$D887)</f>
        <v/>
      </c>
      <c r="L887">
        <f t="shared" si="380"/>
        <v>0</v>
      </c>
      <c r="M887">
        <f t="shared" si="381"/>
        <v>9</v>
      </c>
      <c r="Q887" t="str">
        <f>IF(周转筐出入库明细!$D888="","",周转筐出入库明细!$D888)</f>
        <v/>
      </c>
      <c r="R887">
        <f t="shared" si="382"/>
        <v>0</v>
      </c>
      <c r="S887">
        <f t="shared" si="383"/>
        <v>5</v>
      </c>
      <c r="W887" t="str">
        <f>IF(周转筐出入库明细!$C888="","",周转筐出入库明细!$C888)</f>
        <v/>
      </c>
      <c r="X887">
        <f t="shared" si="384"/>
        <v>0</v>
      </c>
      <c r="Y887">
        <f t="shared" si="385"/>
        <v>12</v>
      </c>
      <c r="AC887" t="str">
        <f>IF(客户自备加工筐明细!$C887="","",客户自备加工筐明细!$C887)</f>
        <v/>
      </c>
      <c r="AD887">
        <f t="shared" si="386"/>
        <v>0</v>
      </c>
      <c r="AE887">
        <f t="shared" si="387"/>
        <v>1</v>
      </c>
      <c r="AI887" t="str">
        <f>IF(客户自备加工筐明细!$E887="","",客户自备加工筐明细!$E887)</f>
        <v/>
      </c>
      <c r="AJ887">
        <f t="shared" si="388"/>
        <v>0</v>
      </c>
      <c r="AK887">
        <f t="shared" si="389"/>
        <v>1</v>
      </c>
      <c r="BS887" t="str">
        <f t="shared" si="395"/>
        <v/>
      </c>
      <c r="BT887">
        <f t="shared" si="390"/>
        <v>0</v>
      </c>
      <c r="BU887">
        <f t="shared" si="391"/>
        <v>18</v>
      </c>
      <c r="CP887">
        <f>IF(包装物料出入库明细!$D887="",0,1)</f>
        <v>0</v>
      </c>
      <c r="CQ887">
        <f t="shared" si="392"/>
        <v>37</v>
      </c>
      <c r="CS887" t="str">
        <f>IF(OR(周转筐出入库明细!$C888="",周转筐出入库明细!$F888&lt;&gt;"采购入库"),"",周转筐出入库明细!$C888)</f>
        <v/>
      </c>
      <c r="CT887">
        <f t="shared" si="393"/>
        <v>0</v>
      </c>
      <c r="CU887">
        <f t="shared" si="394"/>
        <v>1</v>
      </c>
    </row>
    <row r="888" spans="1:99">
      <c r="A888" t="str">
        <f>IF(包装物料出入库明细!$E888="","",包装物料出入库明细!$E888)</f>
        <v/>
      </c>
      <c r="B888">
        <f t="shared" si="378"/>
        <v>0</v>
      </c>
      <c r="C888">
        <f t="shared" si="379"/>
        <v>7</v>
      </c>
      <c r="D888" t="str">
        <f>IF(包装物料出入库明细!$E888="","",包装物料出入库明细!$F888)</f>
        <v/>
      </c>
      <c r="E888" t="str">
        <f>IF(包装物料出入库明细!$E888="","",包装物料出入库明细!$G888)</f>
        <v/>
      </c>
      <c r="K888" t="str">
        <f>IF(包装物料出入库明细!$D888="","",包装物料出入库明细!$D888)</f>
        <v/>
      </c>
      <c r="L888">
        <f t="shared" si="380"/>
        <v>0</v>
      </c>
      <c r="M888">
        <f t="shared" si="381"/>
        <v>9</v>
      </c>
      <c r="Q888" t="str">
        <f>IF(周转筐出入库明细!$D889="","",周转筐出入库明细!$D889)</f>
        <v/>
      </c>
      <c r="R888">
        <f t="shared" si="382"/>
        <v>0</v>
      </c>
      <c r="S888">
        <f t="shared" si="383"/>
        <v>5</v>
      </c>
      <c r="W888" t="str">
        <f>IF(周转筐出入库明细!$C889="","",周转筐出入库明细!$C889)</f>
        <v/>
      </c>
      <c r="X888">
        <f t="shared" si="384"/>
        <v>0</v>
      </c>
      <c r="Y888">
        <f t="shared" si="385"/>
        <v>12</v>
      </c>
      <c r="AC888" t="str">
        <f>IF(客户自备加工筐明细!$C888="","",客户自备加工筐明细!$C888)</f>
        <v/>
      </c>
      <c r="AD888">
        <f t="shared" si="386"/>
        <v>0</v>
      </c>
      <c r="AE888">
        <f t="shared" si="387"/>
        <v>1</v>
      </c>
      <c r="AI888" t="str">
        <f>IF(客户自备加工筐明细!$E888="","",客户自备加工筐明细!$E888)</f>
        <v/>
      </c>
      <c r="AJ888">
        <f t="shared" si="388"/>
        <v>0</v>
      </c>
      <c r="AK888">
        <f t="shared" si="389"/>
        <v>1</v>
      </c>
      <c r="BS888" t="str">
        <f t="shared" si="395"/>
        <v/>
      </c>
      <c r="BT888">
        <f t="shared" si="390"/>
        <v>0</v>
      </c>
      <c r="BU888">
        <f t="shared" si="391"/>
        <v>18</v>
      </c>
      <c r="CP888">
        <f>IF(包装物料出入库明细!$D888="",0,1)</f>
        <v>0</v>
      </c>
      <c r="CQ888">
        <f t="shared" si="392"/>
        <v>37</v>
      </c>
      <c r="CS888" t="str">
        <f>IF(OR(周转筐出入库明细!$C889="",周转筐出入库明细!$F889&lt;&gt;"采购入库"),"",周转筐出入库明细!$C889)</f>
        <v/>
      </c>
      <c r="CT888">
        <f t="shared" si="393"/>
        <v>0</v>
      </c>
      <c r="CU888">
        <f t="shared" si="394"/>
        <v>1</v>
      </c>
    </row>
    <row r="889" spans="1:99">
      <c r="A889" t="str">
        <f>IF(包装物料出入库明细!$E889="","",包装物料出入库明细!$E889)</f>
        <v/>
      </c>
      <c r="B889">
        <f t="shared" si="378"/>
        <v>0</v>
      </c>
      <c r="C889">
        <f t="shared" si="379"/>
        <v>7</v>
      </c>
      <c r="D889" t="str">
        <f>IF(包装物料出入库明细!$E889="","",包装物料出入库明细!$F889)</f>
        <v/>
      </c>
      <c r="E889" t="str">
        <f>IF(包装物料出入库明细!$E889="","",包装物料出入库明细!$G889)</f>
        <v/>
      </c>
      <c r="K889" t="str">
        <f>IF(包装物料出入库明细!$D889="","",包装物料出入库明细!$D889)</f>
        <v/>
      </c>
      <c r="L889">
        <f t="shared" si="380"/>
        <v>0</v>
      </c>
      <c r="M889">
        <f t="shared" si="381"/>
        <v>9</v>
      </c>
      <c r="Q889" t="str">
        <f>IF(周转筐出入库明细!$D890="","",周转筐出入库明细!$D890)</f>
        <v/>
      </c>
      <c r="R889">
        <f t="shared" si="382"/>
        <v>0</v>
      </c>
      <c r="S889">
        <f t="shared" si="383"/>
        <v>5</v>
      </c>
      <c r="W889" t="str">
        <f>IF(周转筐出入库明细!$C890="","",周转筐出入库明细!$C890)</f>
        <v/>
      </c>
      <c r="X889">
        <f t="shared" si="384"/>
        <v>0</v>
      </c>
      <c r="Y889">
        <f t="shared" si="385"/>
        <v>12</v>
      </c>
      <c r="AC889" t="str">
        <f>IF(客户自备加工筐明细!$C889="","",客户自备加工筐明细!$C889)</f>
        <v/>
      </c>
      <c r="AD889">
        <f t="shared" si="386"/>
        <v>0</v>
      </c>
      <c r="AE889">
        <f t="shared" si="387"/>
        <v>1</v>
      </c>
      <c r="AI889" t="str">
        <f>IF(客户自备加工筐明细!$E889="","",客户自备加工筐明细!$E889)</f>
        <v/>
      </c>
      <c r="AJ889">
        <f t="shared" si="388"/>
        <v>0</v>
      </c>
      <c r="AK889">
        <f t="shared" si="389"/>
        <v>1</v>
      </c>
      <c r="BS889" t="str">
        <f t="shared" si="395"/>
        <v/>
      </c>
      <c r="BT889">
        <f t="shared" si="390"/>
        <v>0</v>
      </c>
      <c r="BU889">
        <f t="shared" si="391"/>
        <v>18</v>
      </c>
      <c r="CP889">
        <f>IF(包装物料出入库明细!$D889="",0,1)</f>
        <v>0</v>
      </c>
      <c r="CQ889">
        <f t="shared" si="392"/>
        <v>37</v>
      </c>
      <c r="CS889" t="str">
        <f>IF(OR(周转筐出入库明细!$C890="",周转筐出入库明细!$F890&lt;&gt;"采购入库"),"",周转筐出入库明细!$C890)</f>
        <v/>
      </c>
      <c r="CT889">
        <f t="shared" si="393"/>
        <v>0</v>
      </c>
      <c r="CU889">
        <f t="shared" si="394"/>
        <v>1</v>
      </c>
    </row>
    <row r="890" spans="1:99">
      <c r="A890" t="str">
        <f>IF(包装物料出入库明细!$E890="","",包装物料出入库明细!$E890)</f>
        <v/>
      </c>
      <c r="B890">
        <f t="shared" si="378"/>
        <v>0</v>
      </c>
      <c r="C890">
        <f t="shared" si="379"/>
        <v>7</v>
      </c>
      <c r="D890" t="str">
        <f>IF(包装物料出入库明细!$E890="","",包装物料出入库明细!$F890)</f>
        <v/>
      </c>
      <c r="E890" t="str">
        <f>IF(包装物料出入库明细!$E890="","",包装物料出入库明细!$G890)</f>
        <v/>
      </c>
      <c r="K890" t="str">
        <f>IF(包装物料出入库明细!$D890="","",包装物料出入库明细!$D890)</f>
        <v/>
      </c>
      <c r="L890">
        <f t="shared" si="380"/>
        <v>0</v>
      </c>
      <c r="M890">
        <f t="shared" si="381"/>
        <v>9</v>
      </c>
      <c r="Q890" t="str">
        <f>IF(周转筐出入库明细!$D891="","",周转筐出入库明细!$D891)</f>
        <v/>
      </c>
      <c r="R890">
        <f t="shared" si="382"/>
        <v>0</v>
      </c>
      <c r="S890">
        <f t="shared" si="383"/>
        <v>5</v>
      </c>
      <c r="W890" t="str">
        <f>IF(周转筐出入库明细!$C891="","",周转筐出入库明细!$C891)</f>
        <v/>
      </c>
      <c r="X890">
        <f t="shared" si="384"/>
        <v>0</v>
      </c>
      <c r="Y890">
        <f t="shared" si="385"/>
        <v>12</v>
      </c>
      <c r="AC890" t="str">
        <f>IF(客户自备加工筐明细!$C890="","",客户自备加工筐明细!$C890)</f>
        <v/>
      </c>
      <c r="AD890">
        <f t="shared" si="386"/>
        <v>0</v>
      </c>
      <c r="AE890">
        <f t="shared" si="387"/>
        <v>1</v>
      </c>
      <c r="AI890" t="str">
        <f>IF(客户自备加工筐明细!$E890="","",客户自备加工筐明细!$E890)</f>
        <v/>
      </c>
      <c r="AJ890">
        <f t="shared" si="388"/>
        <v>0</v>
      </c>
      <c r="AK890">
        <f t="shared" si="389"/>
        <v>1</v>
      </c>
      <c r="BS890" t="str">
        <f t="shared" si="395"/>
        <v/>
      </c>
      <c r="BT890">
        <f t="shared" si="390"/>
        <v>0</v>
      </c>
      <c r="BU890">
        <f t="shared" si="391"/>
        <v>18</v>
      </c>
      <c r="CP890">
        <f>IF(包装物料出入库明细!$D890="",0,1)</f>
        <v>0</v>
      </c>
      <c r="CQ890">
        <f t="shared" si="392"/>
        <v>37</v>
      </c>
      <c r="CS890" t="str">
        <f>IF(OR(周转筐出入库明细!$C891="",周转筐出入库明细!$F891&lt;&gt;"采购入库"),"",周转筐出入库明细!$C891)</f>
        <v/>
      </c>
      <c r="CT890">
        <f t="shared" si="393"/>
        <v>0</v>
      </c>
      <c r="CU890">
        <f t="shared" si="394"/>
        <v>1</v>
      </c>
    </row>
    <row r="891" spans="1:99">
      <c r="A891" t="str">
        <f>IF(包装物料出入库明细!$E891="","",包装物料出入库明细!$E891)</f>
        <v/>
      </c>
      <c r="B891">
        <f t="shared" si="378"/>
        <v>0</v>
      </c>
      <c r="C891">
        <f t="shared" si="379"/>
        <v>7</v>
      </c>
      <c r="D891" t="str">
        <f>IF(包装物料出入库明细!$E891="","",包装物料出入库明细!$F891)</f>
        <v/>
      </c>
      <c r="E891" t="str">
        <f>IF(包装物料出入库明细!$E891="","",包装物料出入库明细!$G891)</f>
        <v/>
      </c>
      <c r="K891" t="str">
        <f>IF(包装物料出入库明细!$D891="","",包装物料出入库明细!$D891)</f>
        <v/>
      </c>
      <c r="L891">
        <f t="shared" si="380"/>
        <v>0</v>
      </c>
      <c r="M891">
        <f t="shared" si="381"/>
        <v>9</v>
      </c>
      <c r="Q891" t="str">
        <f>IF(周转筐出入库明细!$D892="","",周转筐出入库明细!$D892)</f>
        <v/>
      </c>
      <c r="R891">
        <f t="shared" si="382"/>
        <v>0</v>
      </c>
      <c r="S891">
        <f t="shared" si="383"/>
        <v>5</v>
      </c>
      <c r="W891" t="str">
        <f>IF(周转筐出入库明细!$C892="","",周转筐出入库明细!$C892)</f>
        <v/>
      </c>
      <c r="X891">
        <f t="shared" si="384"/>
        <v>0</v>
      </c>
      <c r="Y891">
        <f t="shared" si="385"/>
        <v>12</v>
      </c>
      <c r="AC891" t="str">
        <f>IF(客户自备加工筐明细!$C891="","",客户自备加工筐明细!$C891)</f>
        <v/>
      </c>
      <c r="AD891">
        <f t="shared" si="386"/>
        <v>0</v>
      </c>
      <c r="AE891">
        <f t="shared" si="387"/>
        <v>1</v>
      </c>
      <c r="AI891" t="str">
        <f>IF(客户自备加工筐明细!$E891="","",客户自备加工筐明细!$E891)</f>
        <v/>
      </c>
      <c r="AJ891">
        <f t="shared" si="388"/>
        <v>0</v>
      </c>
      <c r="AK891">
        <f t="shared" si="389"/>
        <v>1</v>
      </c>
      <c r="BS891" t="str">
        <f t="shared" si="395"/>
        <v/>
      </c>
      <c r="BT891">
        <f t="shared" si="390"/>
        <v>0</v>
      </c>
      <c r="BU891">
        <f t="shared" si="391"/>
        <v>18</v>
      </c>
      <c r="CP891">
        <f>IF(包装物料出入库明细!$D891="",0,1)</f>
        <v>0</v>
      </c>
      <c r="CQ891">
        <f t="shared" si="392"/>
        <v>37</v>
      </c>
      <c r="CS891" t="str">
        <f>IF(OR(周转筐出入库明细!$C892="",周转筐出入库明细!$F892&lt;&gt;"采购入库"),"",周转筐出入库明细!$C892)</f>
        <v/>
      </c>
      <c r="CT891">
        <f t="shared" si="393"/>
        <v>0</v>
      </c>
      <c r="CU891">
        <f t="shared" si="394"/>
        <v>1</v>
      </c>
    </row>
    <row r="892" spans="1:99">
      <c r="A892" t="str">
        <f>IF(包装物料出入库明细!$E892="","",包装物料出入库明细!$E892)</f>
        <v/>
      </c>
      <c r="B892">
        <f t="shared" si="378"/>
        <v>0</v>
      </c>
      <c r="C892">
        <f t="shared" si="379"/>
        <v>7</v>
      </c>
      <c r="D892" t="str">
        <f>IF(包装物料出入库明细!$E892="","",包装物料出入库明细!$F892)</f>
        <v/>
      </c>
      <c r="E892" t="str">
        <f>IF(包装物料出入库明细!$E892="","",包装物料出入库明细!$G892)</f>
        <v/>
      </c>
      <c r="K892" t="str">
        <f>IF(包装物料出入库明细!$D892="","",包装物料出入库明细!$D892)</f>
        <v/>
      </c>
      <c r="L892">
        <f t="shared" si="380"/>
        <v>0</v>
      </c>
      <c r="M892">
        <f t="shared" si="381"/>
        <v>9</v>
      </c>
      <c r="Q892" t="str">
        <f>IF(周转筐出入库明细!$D893="","",周转筐出入库明细!$D893)</f>
        <v/>
      </c>
      <c r="R892">
        <f t="shared" si="382"/>
        <v>0</v>
      </c>
      <c r="S892">
        <f t="shared" si="383"/>
        <v>5</v>
      </c>
      <c r="W892" t="str">
        <f>IF(周转筐出入库明细!$C893="","",周转筐出入库明细!$C893)</f>
        <v/>
      </c>
      <c r="X892">
        <f t="shared" si="384"/>
        <v>0</v>
      </c>
      <c r="Y892">
        <f t="shared" si="385"/>
        <v>12</v>
      </c>
      <c r="AC892" t="str">
        <f>IF(客户自备加工筐明细!$C892="","",客户自备加工筐明细!$C892)</f>
        <v/>
      </c>
      <c r="AD892">
        <f t="shared" si="386"/>
        <v>0</v>
      </c>
      <c r="AE892">
        <f t="shared" si="387"/>
        <v>1</v>
      </c>
      <c r="AI892" t="str">
        <f>IF(客户自备加工筐明细!$E892="","",客户自备加工筐明细!$E892)</f>
        <v/>
      </c>
      <c r="AJ892">
        <f t="shared" si="388"/>
        <v>0</v>
      </c>
      <c r="AK892">
        <f t="shared" si="389"/>
        <v>1</v>
      </c>
      <c r="BS892" t="str">
        <f t="shared" si="395"/>
        <v/>
      </c>
      <c r="BT892">
        <f t="shared" si="390"/>
        <v>0</v>
      </c>
      <c r="BU892">
        <f t="shared" si="391"/>
        <v>18</v>
      </c>
      <c r="CP892">
        <f>IF(包装物料出入库明细!$D892="",0,1)</f>
        <v>0</v>
      </c>
      <c r="CQ892">
        <f t="shared" si="392"/>
        <v>37</v>
      </c>
      <c r="CS892" t="str">
        <f>IF(OR(周转筐出入库明细!$C893="",周转筐出入库明细!$F893&lt;&gt;"采购入库"),"",周转筐出入库明细!$C893)</f>
        <v/>
      </c>
      <c r="CT892">
        <f t="shared" si="393"/>
        <v>0</v>
      </c>
      <c r="CU892">
        <f t="shared" si="394"/>
        <v>1</v>
      </c>
    </row>
    <row r="893" spans="1:99">
      <c r="A893" t="str">
        <f>IF(包装物料出入库明细!$E893="","",包装物料出入库明细!$E893)</f>
        <v/>
      </c>
      <c r="B893">
        <f t="shared" si="378"/>
        <v>0</v>
      </c>
      <c r="C893">
        <f t="shared" si="379"/>
        <v>7</v>
      </c>
      <c r="D893" t="str">
        <f>IF(包装物料出入库明细!$E893="","",包装物料出入库明细!$F893)</f>
        <v/>
      </c>
      <c r="E893" t="str">
        <f>IF(包装物料出入库明细!$E893="","",包装物料出入库明细!$G893)</f>
        <v/>
      </c>
      <c r="K893" t="str">
        <f>IF(包装物料出入库明细!$D893="","",包装物料出入库明细!$D893)</f>
        <v/>
      </c>
      <c r="L893">
        <f t="shared" si="380"/>
        <v>0</v>
      </c>
      <c r="M893">
        <f t="shared" si="381"/>
        <v>9</v>
      </c>
      <c r="Q893" t="str">
        <f>IF(周转筐出入库明细!$D894="","",周转筐出入库明细!$D894)</f>
        <v/>
      </c>
      <c r="R893">
        <f t="shared" si="382"/>
        <v>0</v>
      </c>
      <c r="S893">
        <f t="shared" si="383"/>
        <v>5</v>
      </c>
      <c r="W893" t="str">
        <f>IF(周转筐出入库明细!$C894="","",周转筐出入库明细!$C894)</f>
        <v/>
      </c>
      <c r="X893">
        <f t="shared" si="384"/>
        <v>0</v>
      </c>
      <c r="Y893">
        <f t="shared" si="385"/>
        <v>12</v>
      </c>
      <c r="AC893" t="str">
        <f>IF(客户自备加工筐明细!$C893="","",客户自备加工筐明细!$C893)</f>
        <v/>
      </c>
      <c r="AD893">
        <f t="shared" si="386"/>
        <v>0</v>
      </c>
      <c r="AE893">
        <f t="shared" si="387"/>
        <v>1</v>
      </c>
      <c r="AI893" t="str">
        <f>IF(客户自备加工筐明细!$E893="","",客户自备加工筐明细!$E893)</f>
        <v/>
      </c>
      <c r="AJ893">
        <f t="shared" si="388"/>
        <v>0</v>
      </c>
      <c r="AK893">
        <f t="shared" si="389"/>
        <v>1</v>
      </c>
      <c r="BS893" t="str">
        <f t="shared" si="395"/>
        <v/>
      </c>
      <c r="BT893">
        <f t="shared" si="390"/>
        <v>0</v>
      </c>
      <c r="BU893">
        <f t="shared" si="391"/>
        <v>18</v>
      </c>
      <c r="CP893">
        <f>IF(包装物料出入库明细!$D893="",0,1)</f>
        <v>0</v>
      </c>
      <c r="CQ893">
        <f t="shared" si="392"/>
        <v>37</v>
      </c>
      <c r="CS893" t="str">
        <f>IF(OR(周转筐出入库明细!$C894="",周转筐出入库明细!$F894&lt;&gt;"采购入库"),"",周转筐出入库明细!$C894)</f>
        <v/>
      </c>
      <c r="CT893">
        <f t="shared" si="393"/>
        <v>0</v>
      </c>
      <c r="CU893">
        <f t="shared" si="394"/>
        <v>1</v>
      </c>
    </row>
    <row r="894" spans="1:99">
      <c r="A894" t="str">
        <f>IF(包装物料出入库明细!$E894="","",包装物料出入库明细!$E894)</f>
        <v/>
      </c>
      <c r="B894">
        <f t="shared" si="378"/>
        <v>0</v>
      </c>
      <c r="C894">
        <f t="shared" si="379"/>
        <v>7</v>
      </c>
      <c r="D894" t="str">
        <f>IF(包装物料出入库明细!$E894="","",包装物料出入库明细!$F894)</f>
        <v/>
      </c>
      <c r="E894" t="str">
        <f>IF(包装物料出入库明细!$E894="","",包装物料出入库明细!$G894)</f>
        <v/>
      </c>
      <c r="K894" t="str">
        <f>IF(包装物料出入库明细!$D894="","",包装物料出入库明细!$D894)</f>
        <v/>
      </c>
      <c r="L894">
        <f t="shared" si="380"/>
        <v>0</v>
      </c>
      <c r="M894">
        <f t="shared" si="381"/>
        <v>9</v>
      </c>
      <c r="Q894" t="str">
        <f>IF(周转筐出入库明细!$D895="","",周转筐出入库明细!$D895)</f>
        <v/>
      </c>
      <c r="R894">
        <f t="shared" si="382"/>
        <v>0</v>
      </c>
      <c r="S894">
        <f t="shared" si="383"/>
        <v>5</v>
      </c>
      <c r="W894" t="str">
        <f>IF(周转筐出入库明细!$C895="","",周转筐出入库明细!$C895)</f>
        <v/>
      </c>
      <c r="X894">
        <f t="shared" si="384"/>
        <v>0</v>
      </c>
      <c r="Y894">
        <f t="shared" si="385"/>
        <v>12</v>
      </c>
      <c r="AC894" t="str">
        <f>IF(客户自备加工筐明细!$C894="","",客户自备加工筐明细!$C894)</f>
        <v/>
      </c>
      <c r="AD894">
        <f t="shared" si="386"/>
        <v>0</v>
      </c>
      <c r="AE894">
        <f t="shared" si="387"/>
        <v>1</v>
      </c>
      <c r="AI894" t="str">
        <f>IF(客户自备加工筐明细!$E894="","",客户自备加工筐明细!$E894)</f>
        <v/>
      </c>
      <c r="AJ894">
        <f t="shared" si="388"/>
        <v>0</v>
      </c>
      <c r="AK894">
        <f t="shared" si="389"/>
        <v>1</v>
      </c>
      <c r="BS894" t="str">
        <f t="shared" si="395"/>
        <v/>
      </c>
      <c r="BT894">
        <f t="shared" si="390"/>
        <v>0</v>
      </c>
      <c r="BU894">
        <f t="shared" si="391"/>
        <v>18</v>
      </c>
      <c r="CP894">
        <f>IF(包装物料出入库明细!$D894="",0,1)</f>
        <v>0</v>
      </c>
      <c r="CQ894">
        <f t="shared" si="392"/>
        <v>37</v>
      </c>
      <c r="CS894" t="str">
        <f>IF(OR(周转筐出入库明细!$C895="",周转筐出入库明细!$F895&lt;&gt;"采购入库"),"",周转筐出入库明细!$C895)</f>
        <v/>
      </c>
      <c r="CT894">
        <f t="shared" si="393"/>
        <v>0</v>
      </c>
      <c r="CU894">
        <f t="shared" si="394"/>
        <v>1</v>
      </c>
    </row>
    <row r="895" spans="1:99">
      <c r="A895" t="str">
        <f>IF(包装物料出入库明细!$E895="","",包装物料出入库明细!$E895)</f>
        <v/>
      </c>
      <c r="B895">
        <f t="shared" si="378"/>
        <v>0</v>
      </c>
      <c r="C895">
        <f t="shared" si="379"/>
        <v>7</v>
      </c>
      <c r="D895" t="str">
        <f>IF(包装物料出入库明细!$E895="","",包装物料出入库明细!$F895)</f>
        <v/>
      </c>
      <c r="E895" t="str">
        <f>IF(包装物料出入库明细!$E895="","",包装物料出入库明细!$G895)</f>
        <v/>
      </c>
      <c r="K895" t="str">
        <f>IF(包装物料出入库明细!$D895="","",包装物料出入库明细!$D895)</f>
        <v/>
      </c>
      <c r="L895">
        <f t="shared" si="380"/>
        <v>0</v>
      </c>
      <c r="M895">
        <f t="shared" si="381"/>
        <v>9</v>
      </c>
      <c r="Q895" t="str">
        <f>IF(周转筐出入库明细!$D896="","",周转筐出入库明细!$D896)</f>
        <v/>
      </c>
      <c r="R895">
        <f t="shared" si="382"/>
        <v>0</v>
      </c>
      <c r="S895">
        <f t="shared" si="383"/>
        <v>5</v>
      </c>
      <c r="W895" t="str">
        <f>IF(周转筐出入库明细!$C896="","",周转筐出入库明细!$C896)</f>
        <v/>
      </c>
      <c r="X895">
        <f t="shared" si="384"/>
        <v>0</v>
      </c>
      <c r="Y895">
        <f t="shared" si="385"/>
        <v>12</v>
      </c>
      <c r="AC895" t="str">
        <f>IF(客户自备加工筐明细!$C895="","",客户自备加工筐明细!$C895)</f>
        <v/>
      </c>
      <c r="AD895">
        <f t="shared" si="386"/>
        <v>0</v>
      </c>
      <c r="AE895">
        <f t="shared" si="387"/>
        <v>1</v>
      </c>
      <c r="AI895" t="str">
        <f>IF(客户自备加工筐明细!$E895="","",客户自备加工筐明细!$E895)</f>
        <v/>
      </c>
      <c r="AJ895">
        <f t="shared" si="388"/>
        <v>0</v>
      </c>
      <c r="AK895">
        <f t="shared" si="389"/>
        <v>1</v>
      </c>
      <c r="BS895" t="str">
        <f t="shared" si="395"/>
        <v/>
      </c>
      <c r="BT895">
        <f t="shared" si="390"/>
        <v>0</v>
      </c>
      <c r="BU895">
        <f t="shared" si="391"/>
        <v>18</v>
      </c>
      <c r="CP895">
        <f>IF(包装物料出入库明细!$D895="",0,1)</f>
        <v>0</v>
      </c>
      <c r="CQ895">
        <f t="shared" si="392"/>
        <v>37</v>
      </c>
      <c r="CS895" t="str">
        <f>IF(OR(周转筐出入库明细!$C896="",周转筐出入库明细!$F896&lt;&gt;"采购入库"),"",周转筐出入库明细!$C896)</f>
        <v/>
      </c>
      <c r="CT895">
        <f t="shared" si="393"/>
        <v>0</v>
      </c>
      <c r="CU895">
        <f t="shared" si="394"/>
        <v>1</v>
      </c>
    </row>
    <row r="896" spans="1:99">
      <c r="A896" t="str">
        <f>IF(包装物料出入库明细!$E896="","",包装物料出入库明细!$E896)</f>
        <v/>
      </c>
      <c r="B896">
        <f t="shared" si="378"/>
        <v>0</v>
      </c>
      <c r="C896">
        <f t="shared" si="379"/>
        <v>7</v>
      </c>
      <c r="D896" t="str">
        <f>IF(包装物料出入库明细!$E896="","",包装物料出入库明细!$F896)</f>
        <v/>
      </c>
      <c r="E896" t="str">
        <f>IF(包装物料出入库明细!$E896="","",包装物料出入库明细!$G896)</f>
        <v/>
      </c>
      <c r="K896" t="str">
        <f>IF(包装物料出入库明细!$D896="","",包装物料出入库明细!$D896)</f>
        <v/>
      </c>
      <c r="L896">
        <f t="shared" si="380"/>
        <v>0</v>
      </c>
      <c r="M896">
        <f t="shared" si="381"/>
        <v>9</v>
      </c>
      <c r="Q896" t="str">
        <f>IF(周转筐出入库明细!$D897="","",周转筐出入库明细!$D897)</f>
        <v/>
      </c>
      <c r="R896">
        <f t="shared" si="382"/>
        <v>0</v>
      </c>
      <c r="S896">
        <f t="shared" si="383"/>
        <v>5</v>
      </c>
      <c r="W896" t="str">
        <f>IF(周转筐出入库明细!$C897="","",周转筐出入库明细!$C897)</f>
        <v/>
      </c>
      <c r="X896">
        <f t="shared" si="384"/>
        <v>0</v>
      </c>
      <c r="Y896">
        <f t="shared" si="385"/>
        <v>12</v>
      </c>
      <c r="AC896" t="str">
        <f>IF(客户自备加工筐明细!$C896="","",客户自备加工筐明细!$C896)</f>
        <v/>
      </c>
      <c r="AD896">
        <f t="shared" si="386"/>
        <v>0</v>
      </c>
      <c r="AE896">
        <f t="shared" si="387"/>
        <v>1</v>
      </c>
      <c r="AI896" t="str">
        <f>IF(客户自备加工筐明细!$E896="","",客户自备加工筐明细!$E896)</f>
        <v/>
      </c>
      <c r="AJ896">
        <f t="shared" si="388"/>
        <v>0</v>
      </c>
      <c r="AK896">
        <f t="shared" si="389"/>
        <v>1</v>
      </c>
      <c r="BS896" t="str">
        <f t="shared" si="395"/>
        <v/>
      </c>
      <c r="BT896">
        <f t="shared" si="390"/>
        <v>0</v>
      </c>
      <c r="BU896">
        <f t="shared" si="391"/>
        <v>18</v>
      </c>
      <c r="CP896">
        <f>IF(包装物料出入库明细!$D896="",0,1)</f>
        <v>0</v>
      </c>
      <c r="CQ896">
        <f t="shared" si="392"/>
        <v>37</v>
      </c>
      <c r="CS896" t="str">
        <f>IF(OR(周转筐出入库明细!$C897="",周转筐出入库明细!$F897&lt;&gt;"采购入库"),"",周转筐出入库明细!$C897)</f>
        <v/>
      </c>
      <c r="CT896">
        <f t="shared" si="393"/>
        <v>0</v>
      </c>
      <c r="CU896">
        <f t="shared" si="394"/>
        <v>1</v>
      </c>
    </row>
    <row r="897" spans="1:99">
      <c r="A897" t="str">
        <f>IF(包装物料出入库明细!$E897="","",包装物料出入库明细!$E897)</f>
        <v/>
      </c>
      <c r="B897">
        <f t="shared" si="378"/>
        <v>0</v>
      </c>
      <c r="C897">
        <f t="shared" si="379"/>
        <v>7</v>
      </c>
      <c r="D897" t="str">
        <f>IF(包装物料出入库明细!$E897="","",包装物料出入库明细!$F897)</f>
        <v/>
      </c>
      <c r="E897" t="str">
        <f>IF(包装物料出入库明细!$E897="","",包装物料出入库明细!$G897)</f>
        <v/>
      </c>
      <c r="K897" t="str">
        <f>IF(包装物料出入库明细!$D897="","",包装物料出入库明细!$D897)</f>
        <v/>
      </c>
      <c r="L897">
        <f t="shared" si="380"/>
        <v>0</v>
      </c>
      <c r="M897">
        <f t="shared" si="381"/>
        <v>9</v>
      </c>
      <c r="Q897" t="str">
        <f>IF(周转筐出入库明细!$D898="","",周转筐出入库明细!$D898)</f>
        <v/>
      </c>
      <c r="R897">
        <f t="shared" si="382"/>
        <v>0</v>
      </c>
      <c r="S897">
        <f t="shared" si="383"/>
        <v>5</v>
      </c>
      <c r="W897" t="str">
        <f>IF(周转筐出入库明细!$C898="","",周转筐出入库明细!$C898)</f>
        <v/>
      </c>
      <c r="X897">
        <f t="shared" si="384"/>
        <v>0</v>
      </c>
      <c r="Y897">
        <f t="shared" si="385"/>
        <v>12</v>
      </c>
      <c r="AC897" t="str">
        <f>IF(客户自备加工筐明细!$C897="","",客户自备加工筐明细!$C897)</f>
        <v/>
      </c>
      <c r="AD897">
        <f t="shared" si="386"/>
        <v>0</v>
      </c>
      <c r="AE897">
        <f t="shared" si="387"/>
        <v>1</v>
      </c>
      <c r="AI897" t="str">
        <f>IF(客户自备加工筐明细!$E897="","",客户自备加工筐明细!$E897)</f>
        <v/>
      </c>
      <c r="AJ897">
        <f t="shared" si="388"/>
        <v>0</v>
      </c>
      <c r="AK897">
        <f t="shared" si="389"/>
        <v>1</v>
      </c>
      <c r="BS897" t="str">
        <f t="shared" si="395"/>
        <v/>
      </c>
      <c r="BT897">
        <f t="shared" si="390"/>
        <v>0</v>
      </c>
      <c r="BU897">
        <f t="shared" si="391"/>
        <v>18</v>
      </c>
      <c r="CP897">
        <f>IF(包装物料出入库明细!$D897="",0,1)</f>
        <v>0</v>
      </c>
      <c r="CQ897">
        <f t="shared" si="392"/>
        <v>37</v>
      </c>
      <c r="CS897" t="str">
        <f>IF(OR(周转筐出入库明细!$C898="",周转筐出入库明细!$F898&lt;&gt;"采购入库"),"",周转筐出入库明细!$C898)</f>
        <v/>
      </c>
      <c r="CT897">
        <f t="shared" si="393"/>
        <v>0</v>
      </c>
      <c r="CU897">
        <f t="shared" si="394"/>
        <v>1</v>
      </c>
    </row>
    <row r="898" spans="1:99">
      <c r="A898" t="str">
        <f>IF(包装物料出入库明细!$E898="","",包装物料出入库明细!$E898)</f>
        <v/>
      </c>
      <c r="B898">
        <f t="shared" si="378"/>
        <v>0</v>
      </c>
      <c r="C898">
        <f t="shared" si="379"/>
        <v>7</v>
      </c>
      <c r="D898" t="str">
        <f>IF(包装物料出入库明细!$E898="","",包装物料出入库明细!$F898)</f>
        <v/>
      </c>
      <c r="E898" t="str">
        <f>IF(包装物料出入库明细!$E898="","",包装物料出入库明细!$G898)</f>
        <v/>
      </c>
      <c r="K898" t="str">
        <f>IF(包装物料出入库明细!$D898="","",包装物料出入库明细!$D898)</f>
        <v/>
      </c>
      <c r="L898">
        <f t="shared" si="380"/>
        <v>0</v>
      </c>
      <c r="M898">
        <f t="shared" si="381"/>
        <v>9</v>
      </c>
      <c r="Q898" t="str">
        <f>IF(周转筐出入库明细!$D899="","",周转筐出入库明细!$D899)</f>
        <v/>
      </c>
      <c r="R898">
        <f t="shared" si="382"/>
        <v>0</v>
      </c>
      <c r="S898">
        <f t="shared" si="383"/>
        <v>5</v>
      </c>
      <c r="W898" t="str">
        <f>IF(周转筐出入库明细!$C899="","",周转筐出入库明细!$C899)</f>
        <v/>
      </c>
      <c r="X898">
        <f t="shared" si="384"/>
        <v>0</v>
      </c>
      <c r="Y898">
        <f t="shared" si="385"/>
        <v>12</v>
      </c>
      <c r="AC898" t="str">
        <f>IF(客户自备加工筐明细!$C898="","",客户自备加工筐明细!$C898)</f>
        <v/>
      </c>
      <c r="AD898">
        <f t="shared" si="386"/>
        <v>0</v>
      </c>
      <c r="AE898">
        <f t="shared" si="387"/>
        <v>1</v>
      </c>
      <c r="AI898" t="str">
        <f>IF(客户自备加工筐明细!$E898="","",客户自备加工筐明细!$E898)</f>
        <v/>
      </c>
      <c r="AJ898">
        <f t="shared" si="388"/>
        <v>0</v>
      </c>
      <c r="AK898">
        <f t="shared" si="389"/>
        <v>1</v>
      </c>
      <c r="BS898" t="str">
        <f t="shared" si="395"/>
        <v/>
      </c>
      <c r="BT898">
        <f t="shared" si="390"/>
        <v>0</v>
      </c>
      <c r="BU898">
        <f t="shared" si="391"/>
        <v>18</v>
      </c>
      <c r="CP898">
        <f>IF(包装物料出入库明细!$D898="",0,1)</f>
        <v>0</v>
      </c>
      <c r="CQ898">
        <f t="shared" si="392"/>
        <v>37</v>
      </c>
      <c r="CS898" t="str">
        <f>IF(OR(周转筐出入库明细!$C899="",周转筐出入库明细!$F899&lt;&gt;"采购入库"),"",周转筐出入库明细!$C899)</f>
        <v/>
      </c>
      <c r="CT898">
        <f t="shared" si="393"/>
        <v>0</v>
      </c>
      <c r="CU898">
        <f t="shared" si="394"/>
        <v>1</v>
      </c>
    </row>
    <row r="899" spans="1:99">
      <c r="A899" t="str">
        <f>IF(包装物料出入库明细!$E899="","",包装物料出入库明细!$E899)</f>
        <v/>
      </c>
      <c r="B899">
        <f t="shared" si="378"/>
        <v>0</v>
      </c>
      <c r="C899">
        <f t="shared" si="379"/>
        <v>7</v>
      </c>
      <c r="D899" t="str">
        <f>IF(包装物料出入库明细!$E899="","",包装物料出入库明细!$F899)</f>
        <v/>
      </c>
      <c r="E899" t="str">
        <f>IF(包装物料出入库明细!$E899="","",包装物料出入库明细!$G899)</f>
        <v/>
      </c>
      <c r="K899" t="str">
        <f>IF(包装物料出入库明细!$D899="","",包装物料出入库明细!$D899)</f>
        <v/>
      </c>
      <c r="L899">
        <f t="shared" si="380"/>
        <v>0</v>
      </c>
      <c r="M899">
        <f t="shared" si="381"/>
        <v>9</v>
      </c>
      <c r="Q899" t="str">
        <f>IF(周转筐出入库明细!$D900="","",周转筐出入库明细!$D900)</f>
        <v/>
      </c>
      <c r="R899">
        <f t="shared" si="382"/>
        <v>0</v>
      </c>
      <c r="S899">
        <f t="shared" si="383"/>
        <v>5</v>
      </c>
      <c r="W899" t="str">
        <f>IF(周转筐出入库明细!$C900="","",周转筐出入库明细!$C900)</f>
        <v/>
      </c>
      <c r="X899">
        <f t="shared" si="384"/>
        <v>0</v>
      </c>
      <c r="Y899">
        <f t="shared" si="385"/>
        <v>12</v>
      </c>
      <c r="AC899" t="str">
        <f>IF(客户自备加工筐明细!$C899="","",客户自备加工筐明细!$C899)</f>
        <v/>
      </c>
      <c r="AD899">
        <f t="shared" si="386"/>
        <v>0</v>
      </c>
      <c r="AE899">
        <f t="shared" si="387"/>
        <v>1</v>
      </c>
      <c r="AI899" t="str">
        <f>IF(客户自备加工筐明细!$E899="","",客户自备加工筐明细!$E899)</f>
        <v/>
      </c>
      <c r="AJ899">
        <f t="shared" si="388"/>
        <v>0</v>
      </c>
      <c r="AK899">
        <f t="shared" si="389"/>
        <v>1</v>
      </c>
      <c r="BS899" t="str">
        <f t="shared" si="395"/>
        <v/>
      </c>
      <c r="BT899">
        <f t="shared" si="390"/>
        <v>0</v>
      </c>
      <c r="BU899">
        <f t="shared" si="391"/>
        <v>18</v>
      </c>
      <c r="CP899">
        <f>IF(包装物料出入库明细!$D899="",0,1)</f>
        <v>0</v>
      </c>
      <c r="CQ899">
        <f t="shared" si="392"/>
        <v>37</v>
      </c>
      <c r="CS899" t="str">
        <f>IF(OR(周转筐出入库明细!$C900="",周转筐出入库明细!$F900&lt;&gt;"采购入库"),"",周转筐出入库明细!$C900)</f>
        <v/>
      </c>
      <c r="CT899">
        <f t="shared" si="393"/>
        <v>0</v>
      </c>
      <c r="CU899">
        <f t="shared" si="394"/>
        <v>1</v>
      </c>
    </row>
    <row r="900" spans="1:99">
      <c r="A900" t="str">
        <f>IF(包装物料出入库明细!$E900="","",包装物料出入库明细!$E900)</f>
        <v/>
      </c>
      <c r="B900">
        <f t="shared" ref="B900:B963" si="396">IF(A900="",0,IF(MATCH(A900,$A$4:$A$2003,0)=ROW()-3,1,0))</f>
        <v>0</v>
      </c>
      <c r="C900">
        <f t="shared" ref="C900:C963" si="397">N(C899)+B900</f>
        <v>7</v>
      </c>
      <c r="D900" t="str">
        <f>IF(包装物料出入库明细!$E900="","",包装物料出入库明细!$F900)</f>
        <v/>
      </c>
      <c r="E900" t="str">
        <f>IF(包装物料出入库明细!$E900="","",包装物料出入库明细!$G900)</f>
        <v/>
      </c>
      <c r="K900" t="str">
        <f>IF(包装物料出入库明细!$D900="","",包装物料出入库明细!$D900)</f>
        <v/>
      </c>
      <c r="L900">
        <f t="shared" ref="L900:L963" si="398">IF(K900="",0,IF(MATCH(K900,$K$4:$K$2003,0)=ROW()-3,1,0))</f>
        <v>0</v>
      </c>
      <c r="M900">
        <f t="shared" ref="M900:M963" si="399">N(M899)+L900</f>
        <v>9</v>
      </c>
      <c r="Q900" t="str">
        <f>IF(周转筐出入库明细!$D901="","",周转筐出入库明细!$D901)</f>
        <v/>
      </c>
      <c r="R900">
        <f t="shared" ref="R900:R963" si="400">IF(Q900="",0,IF(MATCH(Q900,$Q$4:$Q$2003,0)=ROW()-3,1,0))</f>
        <v>0</v>
      </c>
      <c r="S900">
        <f t="shared" ref="S900:S963" si="401">N(S899)+R900</f>
        <v>5</v>
      </c>
      <c r="W900" t="str">
        <f>IF(周转筐出入库明细!$C901="","",周转筐出入库明细!$C901)</f>
        <v/>
      </c>
      <c r="X900">
        <f t="shared" ref="X900:X963" si="402">IF(W900="",0,IF(MATCH(W900,$W$4:$W$2003,0)=ROW()-3,1,0))</f>
        <v>0</v>
      </c>
      <c r="Y900">
        <f t="shared" ref="Y900:Y963" si="403">N(Y899)+X900</f>
        <v>12</v>
      </c>
      <c r="AC900" t="str">
        <f>IF(客户自备加工筐明细!$C900="","",客户自备加工筐明细!$C900)</f>
        <v/>
      </c>
      <c r="AD900">
        <f t="shared" ref="AD900:AD963" si="404">IF(AC900="",0,IF(MATCH(AC900,$AC$4:$AC$1203,0)=ROW()-3,1,0))</f>
        <v>0</v>
      </c>
      <c r="AE900">
        <f t="shared" ref="AE900:AE963" si="405">N(AE899)+AD900</f>
        <v>1</v>
      </c>
      <c r="AI900" t="str">
        <f>IF(客户自备加工筐明细!$E900="","",客户自备加工筐明细!$E900)</f>
        <v/>
      </c>
      <c r="AJ900">
        <f t="shared" ref="AJ900:AJ963" si="406">IF(AI900="",0,IF(MATCH(AI900,$AI$4:$AI$1503,0)=ROW()-3,1,0))</f>
        <v>0</v>
      </c>
      <c r="AK900">
        <f t="shared" ref="AK900:AK963" si="407">N(AK899)+AJ900</f>
        <v>1</v>
      </c>
      <c r="BS900" t="str">
        <f t="shared" si="395"/>
        <v/>
      </c>
      <c r="BT900">
        <f t="shared" ref="BT900:BT963" si="408">IF(BS900="",0,IF(MATCH(BS900,$BS$4:$BS$1103,0)=ROW()-3,1,0))</f>
        <v>0</v>
      </c>
      <c r="BU900">
        <f t="shared" ref="BU900:BU963" si="409">N(BU899)+BT900</f>
        <v>18</v>
      </c>
      <c r="CP900">
        <f>IF(包装物料出入库明细!$D900="",0,1)</f>
        <v>0</v>
      </c>
      <c r="CQ900">
        <f t="shared" ref="CQ900:CQ963" si="410">N(CQ899)+$CP900</f>
        <v>37</v>
      </c>
      <c r="CS900" t="str">
        <f>IF(OR(周转筐出入库明细!$C901="",周转筐出入库明细!$F901&lt;&gt;"采购入库"),"",周转筐出入库明细!$C901)</f>
        <v/>
      </c>
      <c r="CT900">
        <f t="shared" ref="CT900:CT963" si="411">IF(CS900="",0,IF(MATCH(CS900,$CS$4:$CS$2003,0)=ROW()-3,1,0))</f>
        <v>0</v>
      </c>
      <c r="CU900">
        <f t="shared" ref="CU900:CU963" si="412">N(CU899)+CT900</f>
        <v>1</v>
      </c>
    </row>
    <row r="901" spans="1:99">
      <c r="A901" t="str">
        <f>IF(包装物料出入库明细!$E901="","",包装物料出入库明细!$E901)</f>
        <v/>
      </c>
      <c r="B901">
        <f t="shared" si="396"/>
        <v>0</v>
      </c>
      <c r="C901">
        <f t="shared" si="397"/>
        <v>7</v>
      </c>
      <c r="D901" t="str">
        <f>IF(包装物料出入库明细!$E901="","",包装物料出入库明细!$F901)</f>
        <v/>
      </c>
      <c r="E901" t="str">
        <f>IF(包装物料出入库明细!$E901="","",包装物料出入库明细!$G901)</f>
        <v/>
      </c>
      <c r="K901" t="str">
        <f>IF(包装物料出入库明细!$D901="","",包装物料出入库明细!$D901)</f>
        <v/>
      </c>
      <c r="L901">
        <f t="shared" si="398"/>
        <v>0</v>
      </c>
      <c r="M901">
        <f t="shared" si="399"/>
        <v>9</v>
      </c>
      <c r="Q901" t="str">
        <f>IF(周转筐出入库明细!$D902="","",周转筐出入库明细!$D902)</f>
        <v/>
      </c>
      <c r="R901">
        <f t="shared" si="400"/>
        <v>0</v>
      </c>
      <c r="S901">
        <f t="shared" si="401"/>
        <v>5</v>
      </c>
      <c r="W901" t="str">
        <f>IF(周转筐出入库明细!$C902="","",周转筐出入库明细!$C902)</f>
        <v/>
      </c>
      <c r="X901">
        <f t="shared" si="402"/>
        <v>0</v>
      </c>
      <c r="Y901">
        <f t="shared" si="403"/>
        <v>12</v>
      </c>
      <c r="AC901" t="str">
        <f>IF(客户自备加工筐明细!$C901="","",客户自备加工筐明细!$C901)</f>
        <v/>
      </c>
      <c r="AD901">
        <f t="shared" si="404"/>
        <v>0</v>
      </c>
      <c r="AE901">
        <f t="shared" si="405"/>
        <v>1</v>
      </c>
      <c r="AI901" t="str">
        <f>IF(客户自备加工筐明细!$E901="","",客户自备加工筐明细!$E901)</f>
        <v/>
      </c>
      <c r="AJ901">
        <f t="shared" si="406"/>
        <v>0</v>
      </c>
      <c r="AK901">
        <f t="shared" si="407"/>
        <v>1</v>
      </c>
      <c r="BS901" t="str">
        <f t="shared" si="395"/>
        <v/>
      </c>
      <c r="BT901">
        <f t="shared" si="408"/>
        <v>0</v>
      </c>
      <c r="BU901">
        <f t="shared" si="409"/>
        <v>18</v>
      </c>
      <c r="CP901">
        <f>IF(包装物料出入库明细!$D901="",0,1)</f>
        <v>0</v>
      </c>
      <c r="CQ901">
        <f t="shared" si="410"/>
        <v>37</v>
      </c>
      <c r="CS901" t="str">
        <f>IF(OR(周转筐出入库明细!$C902="",周转筐出入库明细!$F902&lt;&gt;"采购入库"),"",周转筐出入库明细!$C902)</f>
        <v/>
      </c>
      <c r="CT901">
        <f t="shared" si="411"/>
        <v>0</v>
      </c>
      <c r="CU901">
        <f t="shared" si="412"/>
        <v>1</v>
      </c>
    </row>
    <row r="902" spans="1:99">
      <c r="A902" t="str">
        <f>IF(包装物料出入库明细!$E902="","",包装物料出入库明细!$E902)</f>
        <v/>
      </c>
      <c r="B902">
        <f t="shared" si="396"/>
        <v>0</v>
      </c>
      <c r="C902">
        <f t="shared" si="397"/>
        <v>7</v>
      </c>
      <c r="D902" t="str">
        <f>IF(包装物料出入库明细!$E902="","",包装物料出入库明细!$F902)</f>
        <v/>
      </c>
      <c r="E902" t="str">
        <f>IF(包装物料出入库明细!$E902="","",包装物料出入库明细!$G902)</f>
        <v/>
      </c>
      <c r="K902" t="str">
        <f>IF(包装物料出入库明细!$D902="","",包装物料出入库明细!$D902)</f>
        <v/>
      </c>
      <c r="L902">
        <f t="shared" si="398"/>
        <v>0</v>
      </c>
      <c r="M902">
        <f t="shared" si="399"/>
        <v>9</v>
      </c>
      <c r="Q902" t="str">
        <f>IF(周转筐出入库明细!$D903="","",周转筐出入库明细!$D903)</f>
        <v/>
      </c>
      <c r="R902">
        <f t="shared" si="400"/>
        <v>0</v>
      </c>
      <c r="S902">
        <f t="shared" si="401"/>
        <v>5</v>
      </c>
      <c r="W902" t="str">
        <f>IF(周转筐出入库明细!$C903="","",周转筐出入库明细!$C903)</f>
        <v/>
      </c>
      <c r="X902">
        <f t="shared" si="402"/>
        <v>0</v>
      </c>
      <c r="Y902">
        <f t="shared" si="403"/>
        <v>12</v>
      </c>
      <c r="AC902" t="str">
        <f>IF(客户自备加工筐明细!$C902="","",客户自备加工筐明细!$C902)</f>
        <v/>
      </c>
      <c r="AD902">
        <f t="shared" si="404"/>
        <v>0</v>
      </c>
      <c r="AE902">
        <f t="shared" si="405"/>
        <v>1</v>
      </c>
      <c r="AI902" t="str">
        <f>IF(客户自备加工筐明细!$E902="","",客户自备加工筐明细!$E902)</f>
        <v/>
      </c>
      <c r="AJ902">
        <f t="shared" si="406"/>
        <v>0</v>
      </c>
      <c r="AK902">
        <f t="shared" si="407"/>
        <v>1</v>
      </c>
      <c r="BS902" t="str">
        <f t="shared" si="395"/>
        <v/>
      </c>
      <c r="BT902">
        <f t="shared" si="408"/>
        <v>0</v>
      </c>
      <c r="BU902">
        <f t="shared" si="409"/>
        <v>18</v>
      </c>
      <c r="CP902">
        <f>IF(包装物料出入库明细!$D902="",0,1)</f>
        <v>0</v>
      </c>
      <c r="CQ902">
        <f t="shared" si="410"/>
        <v>37</v>
      </c>
      <c r="CS902" t="str">
        <f>IF(OR(周转筐出入库明细!$C903="",周转筐出入库明细!$F903&lt;&gt;"采购入库"),"",周转筐出入库明细!$C903)</f>
        <v/>
      </c>
      <c r="CT902">
        <f t="shared" si="411"/>
        <v>0</v>
      </c>
      <c r="CU902">
        <f t="shared" si="412"/>
        <v>1</v>
      </c>
    </row>
    <row r="903" spans="1:99">
      <c r="A903" t="str">
        <f>IF(包装物料出入库明细!$E903="","",包装物料出入库明细!$E903)</f>
        <v/>
      </c>
      <c r="B903">
        <f t="shared" si="396"/>
        <v>0</v>
      </c>
      <c r="C903">
        <f t="shared" si="397"/>
        <v>7</v>
      </c>
      <c r="D903" t="str">
        <f>IF(包装物料出入库明细!$E903="","",包装物料出入库明细!$F903)</f>
        <v/>
      </c>
      <c r="E903" t="str">
        <f>IF(包装物料出入库明细!$E903="","",包装物料出入库明细!$G903)</f>
        <v/>
      </c>
      <c r="K903" t="str">
        <f>IF(包装物料出入库明细!$D903="","",包装物料出入库明细!$D903)</f>
        <v/>
      </c>
      <c r="L903">
        <f t="shared" si="398"/>
        <v>0</v>
      </c>
      <c r="M903">
        <f t="shared" si="399"/>
        <v>9</v>
      </c>
      <c r="Q903" t="str">
        <f>IF(周转筐出入库明细!$D904="","",周转筐出入库明细!$D904)</f>
        <v/>
      </c>
      <c r="R903">
        <f t="shared" si="400"/>
        <v>0</v>
      </c>
      <c r="S903">
        <f t="shared" si="401"/>
        <v>5</v>
      </c>
      <c r="W903" t="str">
        <f>IF(周转筐出入库明细!$C904="","",周转筐出入库明细!$C904)</f>
        <v/>
      </c>
      <c r="X903">
        <f t="shared" si="402"/>
        <v>0</v>
      </c>
      <c r="Y903">
        <f t="shared" si="403"/>
        <v>12</v>
      </c>
      <c r="AC903" t="str">
        <f>IF(客户自备加工筐明细!$C903="","",客户自备加工筐明细!$C903)</f>
        <v/>
      </c>
      <c r="AD903">
        <f t="shared" si="404"/>
        <v>0</v>
      </c>
      <c r="AE903">
        <f t="shared" si="405"/>
        <v>1</v>
      </c>
      <c r="AI903" t="str">
        <f>IF(客户自备加工筐明细!$E903="","",客户自备加工筐明细!$E903)</f>
        <v/>
      </c>
      <c r="AJ903">
        <f t="shared" si="406"/>
        <v>0</v>
      </c>
      <c r="AK903">
        <f t="shared" si="407"/>
        <v>1</v>
      </c>
      <c r="BS903" t="str">
        <f t="shared" si="395"/>
        <v/>
      </c>
      <c r="BT903">
        <f t="shared" si="408"/>
        <v>0</v>
      </c>
      <c r="BU903">
        <f t="shared" si="409"/>
        <v>18</v>
      </c>
      <c r="CP903">
        <f>IF(包装物料出入库明细!$D903="",0,1)</f>
        <v>0</v>
      </c>
      <c r="CQ903">
        <f t="shared" si="410"/>
        <v>37</v>
      </c>
      <c r="CS903" t="str">
        <f>IF(OR(周转筐出入库明细!$C904="",周转筐出入库明细!$F904&lt;&gt;"采购入库"),"",周转筐出入库明细!$C904)</f>
        <v/>
      </c>
      <c r="CT903">
        <f t="shared" si="411"/>
        <v>0</v>
      </c>
      <c r="CU903">
        <f t="shared" si="412"/>
        <v>1</v>
      </c>
    </row>
    <row r="904" spans="1:99">
      <c r="A904" t="str">
        <f>IF(包装物料出入库明细!$E904="","",包装物料出入库明细!$E904)</f>
        <v/>
      </c>
      <c r="B904">
        <f t="shared" si="396"/>
        <v>0</v>
      </c>
      <c r="C904">
        <f t="shared" si="397"/>
        <v>7</v>
      </c>
      <c r="D904" t="str">
        <f>IF(包装物料出入库明细!$E904="","",包装物料出入库明细!$F904)</f>
        <v/>
      </c>
      <c r="E904" t="str">
        <f>IF(包装物料出入库明细!$E904="","",包装物料出入库明细!$G904)</f>
        <v/>
      </c>
      <c r="K904" t="str">
        <f>IF(包装物料出入库明细!$D904="","",包装物料出入库明细!$D904)</f>
        <v/>
      </c>
      <c r="L904">
        <f t="shared" si="398"/>
        <v>0</v>
      </c>
      <c r="M904">
        <f t="shared" si="399"/>
        <v>9</v>
      </c>
      <c r="Q904" t="str">
        <f>IF(周转筐出入库明细!$D905="","",周转筐出入库明细!$D905)</f>
        <v/>
      </c>
      <c r="R904">
        <f t="shared" si="400"/>
        <v>0</v>
      </c>
      <c r="S904">
        <f t="shared" si="401"/>
        <v>5</v>
      </c>
      <c r="W904" t="str">
        <f>IF(周转筐出入库明细!$C905="","",周转筐出入库明细!$C905)</f>
        <v/>
      </c>
      <c r="X904">
        <f t="shared" si="402"/>
        <v>0</v>
      </c>
      <c r="Y904">
        <f t="shared" si="403"/>
        <v>12</v>
      </c>
      <c r="AC904" t="str">
        <f>IF(客户自备加工筐明细!$C904="","",客户自备加工筐明细!$C904)</f>
        <v/>
      </c>
      <c r="AD904">
        <f t="shared" si="404"/>
        <v>0</v>
      </c>
      <c r="AE904">
        <f t="shared" si="405"/>
        <v>1</v>
      </c>
      <c r="AI904" t="str">
        <f>IF(客户自备加工筐明细!$E904="","",客户自备加工筐明细!$E904)</f>
        <v/>
      </c>
      <c r="AJ904">
        <f t="shared" si="406"/>
        <v>0</v>
      </c>
      <c r="AK904">
        <f t="shared" si="407"/>
        <v>1</v>
      </c>
      <c r="BS904" t="str">
        <f t="shared" si="395"/>
        <v/>
      </c>
      <c r="BT904">
        <f t="shared" si="408"/>
        <v>0</v>
      </c>
      <c r="BU904">
        <f t="shared" si="409"/>
        <v>18</v>
      </c>
      <c r="CP904">
        <f>IF(包装物料出入库明细!$D904="",0,1)</f>
        <v>0</v>
      </c>
      <c r="CQ904">
        <f t="shared" si="410"/>
        <v>37</v>
      </c>
      <c r="CS904" t="str">
        <f>IF(OR(周转筐出入库明细!$C905="",周转筐出入库明细!$F905&lt;&gt;"采购入库"),"",周转筐出入库明细!$C905)</f>
        <v/>
      </c>
      <c r="CT904">
        <f t="shared" si="411"/>
        <v>0</v>
      </c>
      <c r="CU904">
        <f t="shared" si="412"/>
        <v>1</v>
      </c>
    </row>
    <row r="905" spans="1:99">
      <c r="A905" t="str">
        <f>IF(包装物料出入库明细!$E905="","",包装物料出入库明细!$E905)</f>
        <v/>
      </c>
      <c r="B905">
        <f t="shared" si="396"/>
        <v>0</v>
      </c>
      <c r="C905">
        <f t="shared" si="397"/>
        <v>7</v>
      </c>
      <c r="D905" t="str">
        <f>IF(包装物料出入库明细!$E905="","",包装物料出入库明细!$F905)</f>
        <v/>
      </c>
      <c r="E905" t="str">
        <f>IF(包装物料出入库明细!$E905="","",包装物料出入库明细!$G905)</f>
        <v/>
      </c>
      <c r="K905" t="str">
        <f>IF(包装物料出入库明细!$D905="","",包装物料出入库明细!$D905)</f>
        <v/>
      </c>
      <c r="L905">
        <f t="shared" si="398"/>
        <v>0</v>
      </c>
      <c r="M905">
        <f t="shared" si="399"/>
        <v>9</v>
      </c>
      <c r="Q905" t="str">
        <f>IF(周转筐出入库明细!$D906="","",周转筐出入库明细!$D906)</f>
        <v/>
      </c>
      <c r="R905">
        <f t="shared" si="400"/>
        <v>0</v>
      </c>
      <c r="S905">
        <f t="shared" si="401"/>
        <v>5</v>
      </c>
      <c r="W905" t="str">
        <f>IF(周转筐出入库明细!$C906="","",周转筐出入库明细!$C906)</f>
        <v/>
      </c>
      <c r="X905">
        <f t="shared" si="402"/>
        <v>0</v>
      </c>
      <c r="Y905">
        <f t="shared" si="403"/>
        <v>12</v>
      </c>
      <c r="AC905" t="str">
        <f>IF(客户自备加工筐明细!$C905="","",客户自备加工筐明细!$C905)</f>
        <v/>
      </c>
      <c r="AD905">
        <f t="shared" si="404"/>
        <v>0</v>
      </c>
      <c r="AE905">
        <f t="shared" si="405"/>
        <v>1</v>
      </c>
      <c r="AI905" t="str">
        <f>IF(客户自备加工筐明细!$E905="","",客户自备加工筐明细!$E905)</f>
        <v/>
      </c>
      <c r="AJ905">
        <f t="shared" si="406"/>
        <v>0</v>
      </c>
      <c r="AK905">
        <f t="shared" si="407"/>
        <v>1</v>
      </c>
      <c r="BS905" t="str">
        <f t="shared" si="395"/>
        <v/>
      </c>
      <c r="BT905">
        <f t="shared" si="408"/>
        <v>0</v>
      </c>
      <c r="BU905">
        <f t="shared" si="409"/>
        <v>18</v>
      </c>
      <c r="CP905">
        <f>IF(包装物料出入库明细!$D905="",0,1)</f>
        <v>0</v>
      </c>
      <c r="CQ905">
        <f t="shared" si="410"/>
        <v>37</v>
      </c>
      <c r="CS905" t="str">
        <f>IF(OR(周转筐出入库明细!$C906="",周转筐出入库明细!$F906&lt;&gt;"采购入库"),"",周转筐出入库明细!$C906)</f>
        <v/>
      </c>
      <c r="CT905">
        <f t="shared" si="411"/>
        <v>0</v>
      </c>
      <c r="CU905">
        <f t="shared" si="412"/>
        <v>1</v>
      </c>
    </row>
    <row r="906" spans="1:99">
      <c r="A906" t="str">
        <f>IF(包装物料出入库明细!$E906="","",包装物料出入库明细!$E906)</f>
        <v/>
      </c>
      <c r="B906">
        <f t="shared" si="396"/>
        <v>0</v>
      </c>
      <c r="C906">
        <f t="shared" si="397"/>
        <v>7</v>
      </c>
      <c r="D906" t="str">
        <f>IF(包装物料出入库明细!$E906="","",包装物料出入库明细!$F906)</f>
        <v/>
      </c>
      <c r="E906" t="str">
        <f>IF(包装物料出入库明细!$E906="","",包装物料出入库明细!$G906)</f>
        <v/>
      </c>
      <c r="K906" t="str">
        <f>IF(包装物料出入库明细!$D906="","",包装物料出入库明细!$D906)</f>
        <v/>
      </c>
      <c r="L906">
        <f t="shared" si="398"/>
        <v>0</v>
      </c>
      <c r="M906">
        <f t="shared" si="399"/>
        <v>9</v>
      </c>
      <c r="Q906" t="str">
        <f>IF(周转筐出入库明细!$D907="","",周转筐出入库明细!$D907)</f>
        <v/>
      </c>
      <c r="R906">
        <f t="shared" si="400"/>
        <v>0</v>
      </c>
      <c r="S906">
        <f t="shared" si="401"/>
        <v>5</v>
      </c>
      <c r="W906" t="str">
        <f>IF(周转筐出入库明细!$C907="","",周转筐出入库明细!$C907)</f>
        <v/>
      </c>
      <c r="X906">
        <f t="shared" si="402"/>
        <v>0</v>
      </c>
      <c r="Y906">
        <f t="shared" si="403"/>
        <v>12</v>
      </c>
      <c r="AC906" t="str">
        <f>IF(客户自备加工筐明细!$C906="","",客户自备加工筐明细!$C906)</f>
        <v/>
      </c>
      <c r="AD906">
        <f t="shared" si="404"/>
        <v>0</v>
      </c>
      <c r="AE906">
        <f t="shared" si="405"/>
        <v>1</v>
      </c>
      <c r="AI906" t="str">
        <f>IF(客户自备加工筐明细!$E906="","",客户自备加工筐明细!$E906)</f>
        <v/>
      </c>
      <c r="AJ906">
        <f t="shared" si="406"/>
        <v>0</v>
      </c>
      <c r="AK906">
        <f t="shared" si="407"/>
        <v>1</v>
      </c>
      <c r="BS906" t="str">
        <f t="shared" si="395"/>
        <v/>
      </c>
      <c r="BT906">
        <f t="shared" si="408"/>
        <v>0</v>
      </c>
      <c r="BU906">
        <f t="shared" si="409"/>
        <v>18</v>
      </c>
      <c r="CP906">
        <f>IF(包装物料出入库明细!$D906="",0,1)</f>
        <v>0</v>
      </c>
      <c r="CQ906">
        <f t="shared" si="410"/>
        <v>37</v>
      </c>
      <c r="CS906" t="str">
        <f>IF(OR(周转筐出入库明细!$C907="",周转筐出入库明细!$F907&lt;&gt;"采购入库"),"",周转筐出入库明细!$C907)</f>
        <v/>
      </c>
      <c r="CT906">
        <f t="shared" si="411"/>
        <v>0</v>
      </c>
      <c r="CU906">
        <f t="shared" si="412"/>
        <v>1</v>
      </c>
    </row>
    <row r="907" spans="1:99">
      <c r="A907" t="str">
        <f>IF(包装物料出入库明细!$E907="","",包装物料出入库明细!$E907)</f>
        <v/>
      </c>
      <c r="B907">
        <f t="shared" si="396"/>
        <v>0</v>
      </c>
      <c r="C907">
        <f t="shared" si="397"/>
        <v>7</v>
      </c>
      <c r="D907" t="str">
        <f>IF(包装物料出入库明细!$E907="","",包装物料出入库明细!$F907)</f>
        <v/>
      </c>
      <c r="E907" t="str">
        <f>IF(包装物料出入库明细!$E907="","",包装物料出入库明细!$G907)</f>
        <v/>
      </c>
      <c r="K907" t="str">
        <f>IF(包装物料出入库明细!$D907="","",包装物料出入库明细!$D907)</f>
        <v/>
      </c>
      <c r="L907">
        <f t="shared" si="398"/>
        <v>0</v>
      </c>
      <c r="M907">
        <f t="shared" si="399"/>
        <v>9</v>
      </c>
      <c r="Q907" t="str">
        <f>IF(周转筐出入库明细!$D908="","",周转筐出入库明细!$D908)</f>
        <v/>
      </c>
      <c r="R907">
        <f t="shared" si="400"/>
        <v>0</v>
      </c>
      <c r="S907">
        <f t="shared" si="401"/>
        <v>5</v>
      </c>
      <c r="W907" t="str">
        <f>IF(周转筐出入库明细!$C908="","",周转筐出入库明细!$C908)</f>
        <v/>
      </c>
      <c r="X907">
        <f t="shared" si="402"/>
        <v>0</v>
      </c>
      <c r="Y907">
        <f t="shared" si="403"/>
        <v>12</v>
      </c>
      <c r="AC907" t="str">
        <f>IF(客户自备加工筐明细!$C907="","",客户自备加工筐明细!$C907)</f>
        <v/>
      </c>
      <c r="AD907">
        <f t="shared" si="404"/>
        <v>0</v>
      </c>
      <c r="AE907">
        <f t="shared" si="405"/>
        <v>1</v>
      </c>
      <c r="AI907" t="str">
        <f>IF(客户自备加工筐明细!$E907="","",客户自备加工筐明细!$E907)</f>
        <v/>
      </c>
      <c r="AJ907">
        <f t="shared" si="406"/>
        <v>0</v>
      </c>
      <c r="AK907">
        <f t="shared" si="407"/>
        <v>1</v>
      </c>
      <c r="BS907" t="str">
        <f t="shared" si="395"/>
        <v/>
      </c>
      <c r="BT907">
        <f t="shared" si="408"/>
        <v>0</v>
      </c>
      <c r="BU907">
        <f t="shared" si="409"/>
        <v>18</v>
      </c>
      <c r="CP907">
        <f>IF(包装物料出入库明细!$D907="",0,1)</f>
        <v>0</v>
      </c>
      <c r="CQ907">
        <f t="shared" si="410"/>
        <v>37</v>
      </c>
      <c r="CS907" t="str">
        <f>IF(OR(周转筐出入库明细!$C908="",周转筐出入库明细!$F908&lt;&gt;"采购入库"),"",周转筐出入库明细!$C908)</f>
        <v/>
      </c>
      <c r="CT907">
        <f t="shared" si="411"/>
        <v>0</v>
      </c>
      <c r="CU907">
        <f t="shared" si="412"/>
        <v>1</v>
      </c>
    </row>
    <row r="908" spans="1:99">
      <c r="A908" t="str">
        <f>IF(包装物料出入库明细!$E908="","",包装物料出入库明细!$E908)</f>
        <v/>
      </c>
      <c r="B908">
        <f t="shared" si="396"/>
        <v>0</v>
      </c>
      <c r="C908">
        <f t="shared" si="397"/>
        <v>7</v>
      </c>
      <c r="D908" t="str">
        <f>IF(包装物料出入库明细!$E908="","",包装物料出入库明细!$F908)</f>
        <v/>
      </c>
      <c r="E908" t="str">
        <f>IF(包装物料出入库明细!$E908="","",包装物料出入库明细!$G908)</f>
        <v/>
      </c>
      <c r="K908" t="str">
        <f>IF(包装物料出入库明细!$D908="","",包装物料出入库明细!$D908)</f>
        <v/>
      </c>
      <c r="L908">
        <f t="shared" si="398"/>
        <v>0</v>
      </c>
      <c r="M908">
        <f t="shared" si="399"/>
        <v>9</v>
      </c>
      <c r="Q908" t="str">
        <f>IF(周转筐出入库明细!$D909="","",周转筐出入库明细!$D909)</f>
        <v/>
      </c>
      <c r="R908">
        <f t="shared" si="400"/>
        <v>0</v>
      </c>
      <c r="S908">
        <f t="shared" si="401"/>
        <v>5</v>
      </c>
      <c r="W908" t="str">
        <f>IF(周转筐出入库明细!$C909="","",周转筐出入库明细!$C909)</f>
        <v/>
      </c>
      <c r="X908">
        <f t="shared" si="402"/>
        <v>0</v>
      </c>
      <c r="Y908">
        <f t="shared" si="403"/>
        <v>12</v>
      </c>
      <c r="AC908" t="str">
        <f>IF(客户自备加工筐明细!$C908="","",客户自备加工筐明细!$C908)</f>
        <v/>
      </c>
      <c r="AD908">
        <f t="shared" si="404"/>
        <v>0</v>
      </c>
      <c r="AE908">
        <f t="shared" si="405"/>
        <v>1</v>
      </c>
      <c r="AI908" t="str">
        <f>IF(客户自备加工筐明细!$E908="","",客户自备加工筐明细!$E908)</f>
        <v/>
      </c>
      <c r="AJ908">
        <f t="shared" si="406"/>
        <v>0</v>
      </c>
      <c r="AK908">
        <f t="shared" si="407"/>
        <v>1</v>
      </c>
      <c r="BS908" t="str">
        <f t="shared" si="395"/>
        <v/>
      </c>
      <c r="BT908">
        <f t="shared" si="408"/>
        <v>0</v>
      </c>
      <c r="BU908">
        <f t="shared" si="409"/>
        <v>18</v>
      </c>
      <c r="CP908">
        <f>IF(包装物料出入库明细!$D908="",0,1)</f>
        <v>0</v>
      </c>
      <c r="CQ908">
        <f t="shared" si="410"/>
        <v>37</v>
      </c>
      <c r="CS908" t="str">
        <f>IF(OR(周转筐出入库明细!$C909="",周转筐出入库明细!$F909&lt;&gt;"采购入库"),"",周转筐出入库明细!$C909)</f>
        <v/>
      </c>
      <c r="CT908">
        <f t="shared" si="411"/>
        <v>0</v>
      </c>
      <c r="CU908">
        <f t="shared" si="412"/>
        <v>1</v>
      </c>
    </row>
    <row r="909" spans="1:99">
      <c r="A909" t="str">
        <f>IF(包装物料出入库明细!$E909="","",包装物料出入库明细!$E909)</f>
        <v/>
      </c>
      <c r="B909">
        <f t="shared" si="396"/>
        <v>0</v>
      </c>
      <c r="C909">
        <f t="shared" si="397"/>
        <v>7</v>
      </c>
      <c r="D909" t="str">
        <f>IF(包装物料出入库明细!$E909="","",包装物料出入库明细!$F909)</f>
        <v/>
      </c>
      <c r="E909" t="str">
        <f>IF(包装物料出入库明细!$E909="","",包装物料出入库明细!$G909)</f>
        <v/>
      </c>
      <c r="K909" t="str">
        <f>IF(包装物料出入库明细!$D909="","",包装物料出入库明细!$D909)</f>
        <v/>
      </c>
      <c r="L909">
        <f t="shared" si="398"/>
        <v>0</v>
      </c>
      <c r="M909">
        <f t="shared" si="399"/>
        <v>9</v>
      </c>
      <c r="Q909" t="str">
        <f>IF(周转筐出入库明细!$D910="","",周转筐出入库明细!$D910)</f>
        <v/>
      </c>
      <c r="R909">
        <f t="shared" si="400"/>
        <v>0</v>
      </c>
      <c r="S909">
        <f t="shared" si="401"/>
        <v>5</v>
      </c>
      <c r="W909" t="str">
        <f>IF(周转筐出入库明细!$C910="","",周转筐出入库明细!$C910)</f>
        <v/>
      </c>
      <c r="X909">
        <f t="shared" si="402"/>
        <v>0</v>
      </c>
      <c r="Y909">
        <f t="shared" si="403"/>
        <v>12</v>
      </c>
      <c r="AC909" t="str">
        <f>IF(客户自备加工筐明细!$C909="","",客户自备加工筐明细!$C909)</f>
        <v/>
      </c>
      <c r="AD909">
        <f t="shared" si="404"/>
        <v>0</v>
      </c>
      <c r="AE909">
        <f t="shared" si="405"/>
        <v>1</v>
      </c>
      <c r="AI909" t="str">
        <f>IF(客户自备加工筐明细!$E909="","",客户自备加工筐明细!$E909)</f>
        <v/>
      </c>
      <c r="AJ909">
        <f t="shared" si="406"/>
        <v>0</v>
      </c>
      <c r="AK909">
        <f t="shared" si="407"/>
        <v>1</v>
      </c>
      <c r="BS909" t="str">
        <f t="shared" si="395"/>
        <v/>
      </c>
      <c r="BT909">
        <f t="shared" si="408"/>
        <v>0</v>
      </c>
      <c r="BU909">
        <f t="shared" si="409"/>
        <v>18</v>
      </c>
      <c r="CP909">
        <f>IF(包装物料出入库明细!$D909="",0,1)</f>
        <v>0</v>
      </c>
      <c r="CQ909">
        <f t="shared" si="410"/>
        <v>37</v>
      </c>
      <c r="CS909" t="str">
        <f>IF(OR(周转筐出入库明细!$C910="",周转筐出入库明细!$F910&lt;&gt;"采购入库"),"",周转筐出入库明细!$C910)</f>
        <v/>
      </c>
      <c r="CT909">
        <f t="shared" si="411"/>
        <v>0</v>
      </c>
      <c r="CU909">
        <f t="shared" si="412"/>
        <v>1</v>
      </c>
    </row>
    <row r="910" spans="1:99">
      <c r="A910" t="str">
        <f>IF(包装物料出入库明细!$E910="","",包装物料出入库明细!$E910)</f>
        <v/>
      </c>
      <c r="B910">
        <f t="shared" si="396"/>
        <v>0</v>
      </c>
      <c r="C910">
        <f t="shared" si="397"/>
        <v>7</v>
      </c>
      <c r="D910" t="str">
        <f>IF(包装物料出入库明细!$E910="","",包装物料出入库明细!$F910)</f>
        <v/>
      </c>
      <c r="E910" t="str">
        <f>IF(包装物料出入库明细!$E910="","",包装物料出入库明细!$G910)</f>
        <v/>
      </c>
      <c r="K910" t="str">
        <f>IF(包装物料出入库明细!$D910="","",包装物料出入库明细!$D910)</f>
        <v/>
      </c>
      <c r="L910">
        <f t="shared" si="398"/>
        <v>0</v>
      </c>
      <c r="M910">
        <f t="shared" si="399"/>
        <v>9</v>
      </c>
      <c r="Q910" t="str">
        <f>IF(周转筐出入库明细!$D911="","",周转筐出入库明细!$D911)</f>
        <v/>
      </c>
      <c r="R910">
        <f t="shared" si="400"/>
        <v>0</v>
      </c>
      <c r="S910">
        <f t="shared" si="401"/>
        <v>5</v>
      </c>
      <c r="W910" t="str">
        <f>IF(周转筐出入库明细!$C911="","",周转筐出入库明细!$C911)</f>
        <v/>
      </c>
      <c r="X910">
        <f t="shared" si="402"/>
        <v>0</v>
      </c>
      <c r="Y910">
        <f t="shared" si="403"/>
        <v>12</v>
      </c>
      <c r="AC910" t="str">
        <f>IF(客户自备加工筐明细!$C910="","",客户自备加工筐明细!$C910)</f>
        <v/>
      </c>
      <c r="AD910">
        <f t="shared" si="404"/>
        <v>0</v>
      </c>
      <c r="AE910">
        <f t="shared" si="405"/>
        <v>1</v>
      </c>
      <c r="AI910" t="str">
        <f>IF(客户自备加工筐明细!$E910="","",客户自备加工筐明细!$E910)</f>
        <v/>
      </c>
      <c r="AJ910">
        <f t="shared" si="406"/>
        <v>0</v>
      </c>
      <c r="AK910">
        <f t="shared" si="407"/>
        <v>1</v>
      </c>
      <c r="BS910" t="str">
        <f t="shared" si="395"/>
        <v/>
      </c>
      <c r="BT910">
        <f t="shared" si="408"/>
        <v>0</v>
      </c>
      <c r="BU910">
        <f t="shared" si="409"/>
        <v>18</v>
      </c>
      <c r="CP910">
        <f>IF(包装物料出入库明细!$D910="",0,1)</f>
        <v>0</v>
      </c>
      <c r="CQ910">
        <f t="shared" si="410"/>
        <v>37</v>
      </c>
      <c r="CS910" t="str">
        <f>IF(OR(周转筐出入库明细!$C911="",周转筐出入库明细!$F911&lt;&gt;"采购入库"),"",周转筐出入库明细!$C911)</f>
        <v/>
      </c>
      <c r="CT910">
        <f t="shared" si="411"/>
        <v>0</v>
      </c>
      <c r="CU910">
        <f t="shared" si="412"/>
        <v>1</v>
      </c>
    </row>
    <row r="911" spans="1:99">
      <c r="A911" t="str">
        <f>IF(包装物料出入库明细!$E911="","",包装物料出入库明细!$E911)</f>
        <v/>
      </c>
      <c r="B911">
        <f t="shared" si="396"/>
        <v>0</v>
      </c>
      <c r="C911">
        <f t="shared" si="397"/>
        <v>7</v>
      </c>
      <c r="D911" t="str">
        <f>IF(包装物料出入库明细!$E911="","",包装物料出入库明细!$F911)</f>
        <v/>
      </c>
      <c r="E911" t="str">
        <f>IF(包装物料出入库明细!$E911="","",包装物料出入库明细!$G911)</f>
        <v/>
      </c>
      <c r="K911" t="str">
        <f>IF(包装物料出入库明细!$D911="","",包装物料出入库明细!$D911)</f>
        <v/>
      </c>
      <c r="L911">
        <f t="shared" si="398"/>
        <v>0</v>
      </c>
      <c r="M911">
        <f t="shared" si="399"/>
        <v>9</v>
      </c>
      <c r="Q911" t="str">
        <f>IF(周转筐出入库明细!$D912="","",周转筐出入库明细!$D912)</f>
        <v/>
      </c>
      <c r="R911">
        <f t="shared" si="400"/>
        <v>0</v>
      </c>
      <c r="S911">
        <f t="shared" si="401"/>
        <v>5</v>
      </c>
      <c r="W911" t="str">
        <f>IF(周转筐出入库明细!$C912="","",周转筐出入库明细!$C912)</f>
        <v/>
      </c>
      <c r="X911">
        <f t="shared" si="402"/>
        <v>0</v>
      </c>
      <c r="Y911">
        <f t="shared" si="403"/>
        <v>12</v>
      </c>
      <c r="AC911" t="str">
        <f>IF(客户自备加工筐明细!$C911="","",客户自备加工筐明细!$C911)</f>
        <v/>
      </c>
      <c r="AD911">
        <f t="shared" si="404"/>
        <v>0</v>
      </c>
      <c r="AE911">
        <f t="shared" si="405"/>
        <v>1</v>
      </c>
      <c r="AI911" t="str">
        <f>IF(客户自备加工筐明细!$E911="","",客户自备加工筐明细!$E911)</f>
        <v/>
      </c>
      <c r="AJ911">
        <f t="shared" si="406"/>
        <v>0</v>
      </c>
      <c r="AK911">
        <f t="shared" si="407"/>
        <v>1</v>
      </c>
      <c r="BS911" t="str">
        <f t="shared" si="395"/>
        <v/>
      </c>
      <c r="BT911">
        <f t="shared" si="408"/>
        <v>0</v>
      </c>
      <c r="BU911">
        <f t="shared" si="409"/>
        <v>18</v>
      </c>
      <c r="CP911">
        <f>IF(包装物料出入库明细!$D911="",0,1)</f>
        <v>0</v>
      </c>
      <c r="CQ911">
        <f t="shared" si="410"/>
        <v>37</v>
      </c>
      <c r="CS911" t="str">
        <f>IF(OR(周转筐出入库明细!$C912="",周转筐出入库明细!$F912&lt;&gt;"采购入库"),"",周转筐出入库明细!$C912)</f>
        <v/>
      </c>
      <c r="CT911">
        <f t="shared" si="411"/>
        <v>0</v>
      </c>
      <c r="CU911">
        <f t="shared" si="412"/>
        <v>1</v>
      </c>
    </row>
    <row r="912" spans="1:99">
      <c r="A912" t="str">
        <f>IF(包装物料出入库明细!$E912="","",包装物料出入库明细!$E912)</f>
        <v/>
      </c>
      <c r="B912">
        <f t="shared" si="396"/>
        <v>0</v>
      </c>
      <c r="C912">
        <f t="shared" si="397"/>
        <v>7</v>
      </c>
      <c r="D912" t="str">
        <f>IF(包装物料出入库明细!$E912="","",包装物料出入库明细!$F912)</f>
        <v/>
      </c>
      <c r="E912" t="str">
        <f>IF(包装物料出入库明细!$E912="","",包装物料出入库明细!$G912)</f>
        <v/>
      </c>
      <c r="K912" t="str">
        <f>IF(包装物料出入库明细!$D912="","",包装物料出入库明细!$D912)</f>
        <v/>
      </c>
      <c r="L912">
        <f t="shared" si="398"/>
        <v>0</v>
      </c>
      <c r="M912">
        <f t="shared" si="399"/>
        <v>9</v>
      </c>
      <c r="Q912" t="str">
        <f>IF(周转筐出入库明细!$D913="","",周转筐出入库明细!$D913)</f>
        <v/>
      </c>
      <c r="R912">
        <f t="shared" si="400"/>
        <v>0</v>
      </c>
      <c r="S912">
        <f t="shared" si="401"/>
        <v>5</v>
      </c>
      <c r="W912" t="str">
        <f>IF(周转筐出入库明细!$C913="","",周转筐出入库明细!$C913)</f>
        <v/>
      </c>
      <c r="X912">
        <f t="shared" si="402"/>
        <v>0</v>
      </c>
      <c r="Y912">
        <f t="shared" si="403"/>
        <v>12</v>
      </c>
      <c r="AC912" t="str">
        <f>IF(客户自备加工筐明细!$C912="","",客户自备加工筐明细!$C912)</f>
        <v/>
      </c>
      <c r="AD912">
        <f t="shared" si="404"/>
        <v>0</v>
      </c>
      <c r="AE912">
        <f t="shared" si="405"/>
        <v>1</v>
      </c>
      <c r="AI912" t="str">
        <f>IF(客户自备加工筐明细!$E912="","",客户自备加工筐明细!$E912)</f>
        <v/>
      </c>
      <c r="AJ912">
        <f t="shared" si="406"/>
        <v>0</v>
      </c>
      <c r="AK912">
        <f t="shared" si="407"/>
        <v>1</v>
      </c>
      <c r="BS912" t="str">
        <f t="shared" si="395"/>
        <v/>
      </c>
      <c r="BT912">
        <f t="shared" si="408"/>
        <v>0</v>
      </c>
      <c r="BU912">
        <f t="shared" si="409"/>
        <v>18</v>
      </c>
      <c r="CP912">
        <f>IF(包装物料出入库明细!$D912="",0,1)</f>
        <v>0</v>
      </c>
      <c r="CQ912">
        <f t="shared" si="410"/>
        <v>37</v>
      </c>
      <c r="CS912" t="str">
        <f>IF(OR(周转筐出入库明细!$C913="",周转筐出入库明细!$F913&lt;&gt;"采购入库"),"",周转筐出入库明细!$C913)</f>
        <v/>
      </c>
      <c r="CT912">
        <f t="shared" si="411"/>
        <v>0</v>
      </c>
      <c r="CU912">
        <f t="shared" si="412"/>
        <v>1</v>
      </c>
    </row>
    <row r="913" spans="1:99">
      <c r="A913" t="str">
        <f>IF(包装物料出入库明细!$E913="","",包装物料出入库明细!$E913)</f>
        <v/>
      </c>
      <c r="B913">
        <f t="shared" si="396"/>
        <v>0</v>
      </c>
      <c r="C913">
        <f t="shared" si="397"/>
        <v>7</v>
      </c>
      <c r="D913" t="str">
        <f>IF(包装物料出入库明细!$E913="","",包装物料出入库明细!$F913)</f>
        <v/>
      </c>
      <c r="E913" t="str">
        <f>IF(包装物料出入库明细!$E913="","",包装物料出入库明细!$G913)</f>
        <v/>
      </c>
      <c r="K913" t="str">
        <f>IF(包装物料出入库明细!$D913="","",包装物料出入库明细!$D913)</f>
        <v/>
      </c>
      <c r="L913">
        <f t="shared" si="398"/>
        <v>0</v>
      </c>
      <c r="M913">
        <f t="shared" si="399"/>
        <v>9</v>
      </c>
      <c r="Q913" t="str">
        <f>IF(周转筐出入库明细!$D914="","",周转筐出入库明细!$D914)</f>
        <v/>
      </c>
      <c r="R913">
        <f t="shared" si="400"/>
        <v>0</v>
      </c>
      <c r="S913">
        <f t="shared" si="401"/>
        <v>5</v>
      </c>
      <c r="W913" t="str">
        <f>IF(周转筐出入库明细!$C914="","",周转筐出入库明细!$C914)</f>
        <v/>
      </c>
      <c r="X913">
        <f t="shared" si="402"/>
        <v>0</v>
      </c>
      <c r="Y913">
        <f t="shared" si="403"/>
        <v>12</v>
      </c>
      <c r="AC913" t="str">
        <f>IF(客户自备加工筐明细!$C913="","",客户自备加工筐明细!$C913)</f>
        <v/>
      </c>
      <c r="AD913">
        <f t="shared" si="404"/>
        <v>0</v>
      </c>
      <c r="AE913">
        <f t="shared" si="405"/>
        <v>1</v>
      </c>
      <c r="AI913" t="str">
        <f>IF(客户自备加工筐明细!$E913="","",客户自备加工筐明细!$E913)</f>
        <v/>
      </c>
      <c r="AJ913">
        <f t="shared" si="406"/>
        <v>0</v>
      </c>
      <c r="AK913">
        <f t="shared" si="407"/>
        <v>1</v>
      </c>
      <c r="BS913" t="str">
        <f t="shared" si="395"/>
        <v/>
      </c>
      <c r="BT913">
        <f t="shared" si="408"/>
        <v>0</v>
      </c>
      <c r="BU913">
        <f t="shared" si="409"/>
        <v>18</v>
      </c>
      <c r="CP913">
        <f>IF(包装物料出入库明细!$D913="",0,1)</f>
        <v>0</v>
      </c>
      <c r="CQ913">
        <f t="shared" si="410"/>
        <v>37</v>
      </c>
      <c r="CS913" t="str">
        <f>IF(OR(周转筐出入库明细!$C914="",周转筐出入库明细!$F914&lt;&gt;"采购入库"),"",周转筐出入库明细!$C914)</f>
        <v/>
      </c>
      <c r="CT913">
        <f t="shared" si="411"/>
        <v>0</v>
      </c>
      <c r="CU913">
        <f t="shared" si="412"/>
        <v>1</v>
      </c>
    </row>
    <row r="914" spans="1:99">
      <c r="A914" t="str">
        <f>IF(包装物料出入库明细!$E914="","",包装物料出入库明细!$E914)</f>
        <v/>
      </c>
      <c r="B914">
        <f t="shared" si="396"/>
        <v>0</v>
      </c>
      <c r="C914">
        <f t="shared" si="397"/>
        <v>7</v>
      </c>
      <c r="D914" t="str">
        <f>IF(包装物料出入库明细!$E914="","",包装物料出入库明细!$F914)</f>
        <v/>
      </c>
      <c r="E914" t="str">
        <f>IF(包装物料出入库明细!$E914="","",包装物料出入库明细!$G914)</f>
        <v/>
      </c>
      <c r="K914" t="str">
        <f>IF(包装物料出入库明细!$D914="","",包装物料出入库明细!$D914)</f>
        <v/>
      </c>
      <c r="L914">
        <f t="shared" si="398"/>
        <v>0</v>
      </c>
      <c r="M914">
        <f t="shared" si="399"/>
        <v>9</v>
      </c>
      <c r="Q914" t="str">
        <f>IF(周转筐出入库明细!$D915="","",周转筐出入库明细!$D915)</f>
        <v/>
      </c>
      <c r="R914">
        <f t="shared" si="400"/>
        <v>0</v>
      </c>
      <c r="S914">
        <f t="shared" si="401"/>
        <v>5</v>
      </c>
      <c r="W914" t="str">
        <f>IF(周转筐出入库明细!$C915="","",周转筐出入库明细!$C915)</f>
        <v/>
      </c>
      <c r="X914">
        <f t="shared" si="402"/>
        <v>0</v>
      </c>
      <c r="Y914">
        <f t="shared" si="403"/>
        <v>12</v>
      </c>
      <c r="AC914" t="str">
        <f>IF(客户自备加工筐明细!$C914="","",客户自备加工筐明细!$C914)</f>
        <v/>
      </c>
      <c r="AD914">
        <f t="shared" si="404"/>
        <v>0</v>
      </c>
      <c r="AE914">
        <f t="shared" si="405"/>
        <v>1</v>
      </c>
      <c r="AI914" t="str">
        <f>IF(客户自备加工筐明细!$E914="","",客户自备加工筐明细!$E914)</f>
        <v/>
      </c>
      <c r="AJ914">
        <f t="shared" si="406"/>
        <v>0</v>
      </c>
      <c r="AK914">
        <f t="shared" si="407"/>
        <v>1</v>
      </c>
      <c r="BS914" t="str">
        <f t="shared" si="395"/>
        <v/>
      </c>
      <c r="BT914">
        <f t="shared" si="408"/>
        <v>0</v>
      </c>
      <c r="BU914">
        <f t="shared" si="409"/>
        <v>18</v>
      </c>
      <c r="CP914">
        <f>IF(包装物料出入库明细!$D914="",0,1)</f>
        <v>0</v>
      </c>
      <c r="CQ914">
        <f t="shared" si="410"/>
        <v>37</v>
      </c>
      <c r="CS914" t="str">
        <f>IF(OR(周转筐出入库明细!$C915="",周转筐出入库明细!$F915&lt;&gt;"采购入库"),"",周转筐出入库明细!$C915)</f>
        <v/>
      </c>
      <c r="CT914">
        <f t="shared" si="411"/>
        <v>0</v>
      </c>
      <c r="CU914">
        <f t="shared" si="412"/>
        <v>1</v>
      </c>
    </row>
    <row r="915" spans="1:99">
      <c r="A915" t="str">
        <f>IF(包装物料出入库明细!$E915="","",包装物料出入库明细!$E915)</f>
        <v/>
      </c>
      <c r="B915">
        <f t="shared" si="396"/>
        <v>0</v>
      </c>
      <c r="C915">
        <f t="shared" si="397"/>
        <v>7</v>
      </c>
      <c r="D915" t="str">
        <f>IF(包装物料出入库明细!$E915="","",包装物料出入库明细!$F915)</f>
        <v/>
      </c>
      <c r="E915" t="str">
        <f>IF(包装物料出入库明细!$E915="","",包装物料出入库明细!$G915)</f>
        <v/>
      </c>
      <c r="K915" t="str">
        <f>IF(包装物料出入库明细!$D915="","",包装物料出入库明细!$D915)</f>
        <v/>
      </c>
      <c r="L915">
        <f t="shared" si="398"/>
        <v>0</v>
      </c>
      <c r="M915">
        <f t="shared" si="399"/>
        <v>9</v>
      </c>
      <c r="Q915" t="str">
        <f>IF(周转筐出入库明细!$D916="","",周转筐出入库明细!$D916)</f>
        <v/>
      </c>
      <c r="R915">
        <f t="shared" si="400"/>
        <v>0</v>
      </c>
      <c r="S915">
        <f t="shared" si="401"/>
        <v>5</v>
      </c>
      <c r="W915" t="str">
        <f>IF(周转筐出入库明细!$C916="","",周转筐出入库明细!$C916)</f>
        <v/>
      </c>
      <c r="X915">
        <f t="shared" si="402"/>
        <v>0</v>
      </c>
      <c r="Y915">
        <f t="shared" si="403"/>
        <v>12</v>
      </c>
      <c r="AC915" t="str">
        <f>IF(客户自备加工筐明细!$C915="","",客户自备加工筐明细!$C915)</f>
        <v/>
      </c>
      <c r="AD915">
        <f t="shared" si="404"/>
        <v>0</v>
      </c>
      <c r="AE915">
        <f t="shared" si="405"/>
        <v>1</v>
      </c>
      <c r="AI915" t="str">
        <f>IF(客户自备加工筐明细!$E915="","",客户自备加工筐明细!$E915)</f>
        <v/>
      </c>
      <c r="AJ915">
        <f t="shared" si="406"/>
        <v>0</v>
      </c>
      <c r="AK915">
        <f t="shared" si="407"/>
        <v>1</v>
      </c>
      <c r="BS915" t="str">
        <f t="shared" si="395"/>
        <v/>
      </c>
      <c r="BT915">
        <f t="shared" si="408"/>
        <v>0</v>
      </c>
      <c r="BU915">
        <f t="shared" si="409"/>
        <v>18</v>
      </c>
      <c r="CP915">
        <f>IF(包装物料出入库明细!$D915="",0,1)</f>
        <v>0</v>
      </c>
      <c r="CQ915">
        <f t="shared" si="410"/>
        <v>37</v>
      </c>
      <c r="CS915" t="str">
        <f>IF(OR(周转筐出入库明细!$C916="",周转筐出入库明细!$F916&lt;&gt;"采购入库"),"",周转筐出入库明细!$C916)</f>
        <v/>
      </c>
      <c r="CT915">
        <f t="shared" si="411"/>
        <v>0</v>
      </c>
      <c r="CU915">
        <f t="shared" si="412"/>
        <v>1</v>
      </c>
    </row>
    <row r="916" spans="1:99">
      <c r="A916" t="str">
        <f>IF(包装物料出入库明细!$E916="","",包装物料出入库明细!$E916)</f>
        <v/>
      </c>
      <c r="B916">
        <f t="shared" si="396"/>
        <v>0</v>
      </c>
      <c r="C916">
        <f t="shared" si="397"/>
        <v>7</v>
      </c>
      <c r="D916" t="str">
        <f>IF(包装物料出入库明细!$E916="","",包装物料出入库明细!$F916)</f>
        <v/>
      </c>
      <c r="E916" t="str">
        <f>IF(包装物料出入库明细!$E916="","",包装物料出入库明细!$G916)</f>
        <v/>
      </c>
      <c r="K916" t="str">
        <f>IF(包装物料出入库明细!$D916="","",包装物料出入库明细!$D916)</f>
        <v/>
      </c>
      <c r="L916">
        <f t="shared" si="398"/>
        <v>0</v>
      </c>
      <c r="M916">
        <f t="shared" si="399"/>
        <v>9</v>
      </c>
      <c r="Q916" t="str">
        <f>IF(周转筐出入库明细!$D917="","",周转筐出入库明细!$D917)</f>
        <v/>
      </c>
      <c r="R916">
        <f t="shared" si="400"/>
        <v>0</v>
      </c>
      <c r="S916">
        <f t="shared" si="401"/>
        <v>5</v>
      </c>
      <c r="W916" t="str">
        <f>IF(周转筐出入库明细!$C917="","",周转筐出入库明细!$C917)</f>
        <v/>
      </c>
      <c r="X916">
        <f t="shared" si="402"/>
        <v>0</v>
      </c>
      <c r="Y916">
        <f t="shared" si="403"/>
        <v>12</v>
      </c>
      <c r="AC916" t="str">
        <f>IF(客户自备加工筐明细!$C916="","",客户自备加工筐明细!$C916)</f>
        <v/>
      </c>
      <c r="AD916">
        <f t="shared" si="404"/>
        <v>0</v>
      </c>
      <c r="AE916">
        <f t="shared" si="405"/>
        <v>1</v>
      </c>
      <c r="AI916" t="str">
        <f>IF(客户自备加工筐明细!$E916="","",客户自备加工筐明细!$E916)</f>
        <v/>
      </c>
      <c r="AJ916">
        <f t="shared" si="406"/>
        <v>0</v>
      </c>
      <c r="AK916">
        <f t="shared" si="407"/>
        <v>1</v>
      </c>
      <c r="BS916" t="str">
        <f t="shared" si="395"/>
        <v/>
      </c>
      <c r="BT916">
        <f t="shared" si="408"/>
        <v>0</v>
      </c>
      <c r="BU916">
        <f t="shared" si="409"/>
        <v>18</v>
      </c>
      <c r="CP916">
        <f>IF(包装物料出入库明细!$D916="",0,1)</f>
        <v>0</v>
      </c>
      <c r="CQ916">
        <f t="shared" si="410"/>
        <v>37</v>
      </c>
      <c r="CS916" t="str">
        <f>IF(OR(周转筐出入库明细!$C917="",周转筐出入库明细!$F917&lt;&gt;"采购入库"),"",周转筐出入库明细!$C917)</f>
        <v/>
      </c>
      <c r="CT916">
        <f t="shared" si="411"/>
        <v>0</v>
      </c>
      <c r="CU916">
        <f t="shared" si="412"/>
        <v>1</v>
      </c>
    </row>
    <row r="917" spans="1:99">
      <c r="A917" t="str">
        <f>IF(包装物料出入库明细!$E917="","",包装物料出入库明细!$E917)</f>
        <v/>
      </c>
      <c r="B917">
        <f t="shared" si="396"/>
        <v>0</v>
      </c>
      <c r="C917">
        <f t="shared" si="397"/>
        <v>7</v>
      </c>
      <c r="D917" t="str">
        <f>IF(包装物料出入库明细!$E917="","",包装物料出入库明细!$F917)</f>
        <v/>
      </c>
      <c r="E917" t="str">
        <f>IF(包装物料出入库明细!$E917="","",包装物料出入库明细!$G917)</f>
        <v/>
      </c>
      <c r="K917" t="str">
        <f>IF(包装物料出入库明细!$D917="","",包装物料出入库明细!$D917)</f>
        <v/>
      </c>
      <c r="L917">
        <f t="shared" si="398"/>
        <v>0</v>
      </c>
      <c r="M917">
        <f t="shared" si="399"/>
        <v>9</v>
      </c>
      <c r="Q917" t="str">
        <f>IF(周转筐出入库明细!$D918="","",周转筐出入库明细!$D918)</f>
        <v/>
      </c>
      <c r="R917">
        <f t="shared" si="400"/>
        <v>0</v>
      </c>
      <c r="S917">
        <f t="shared" si="401"/>
        <v>5</v>
      </c>
      <c r="W917" t="str">
        <f>IF(周转筐出入库明细!$C918="","",周转筐出入库明细!$C918)</f>
        <v/>
      </c>
      <c r="X917">
        <f t="shared" si="402"/>
        <v>0</v>
      </c>
      <c r="Y917">
        <f t="shared" si="403"/>
        <v>12</v>
      </c>
      <c r="AC917" t="str">
        <f>IF(客户自备加工筐明细!$C917="","",客户自备加工筐明细!$C917)</f>
        <v/>
      </c>
      <c r="AD917">
        <f t="shared" si="404"/>
        <v>0</v>
      </c>
      <c r="AE917">
        <f t="shared" si="405"/>
        <v>1</v>
      </c>
      <c r="AI917" t="str">
        <f>IF(客户自备加工筐明细!$E917="","",客户自备加工筐明细!$E917)</f>
        <v/>
      </c>
      <c r="AJ917">
        <f t="shared" si="406"/>
        <v>0</v>
      </c>
      <c r="AK917">
        <f t="shared" si="407"/>
        <v>1</v>
      </c>
      <c r="BS917" t="str">
        <f t="shared" si="395"/>
        <v/>
      </c>
      <c r="BT917">
        <f t="shared" si="408"/>
        <v>0</v>
      </c>
      <c r="BU917">
        <f t="shared" si="409"/>
        <v>18</v>
      </c>
      <c r="CP917">
        <f>IF(包装物料出入库明细!$D917="",0,1)</f>
        <v>0</v>
      </c>
      <c r="CQ917">
        <f t="shared" si="410"/>
        <v>37</v>
      </c>
      <c r="CS917" t="str">
        <f>IF(OR(周转筐出入库明细!$C918="",周转筐出入库明细!$F918&lt;&gt;"采购入库"),"",周转筐出入库明细!$C918)</f>
        <v/>
      </c>
      <c r="CT917">
        <f t="shared" si="411"/>
        <v>0</v>
      </c>
      <c r="CU917">
        <f t="shared" si="412"/>
        <v>1</v>
      </c>
    </row>
    <row r="918" spans="1:99">
      <c r="A918" t="str">
        <f>IF(包装物料出入库明细!$E918="","",包装物料出入库明细!$E918)</f>
        <v/>
      </c>
      <c r="B918">
        <f t="shared" si="396"/>
        <v>0</v>
      </c>
      <c r="C918">
        <f t="shared" si="397"/>
        <v>7</v>
      </c>
      <c r="D918" t="str">
        <f>IF(包装物料出入库明细!$E918="","",包装物料出入库明细!$F918)</f>
        <v/>
      </c>
      <c r="E918" t="str">
        <f>IF(包装物料出入库明细!$E918="","",包装物料出入库明细!$G918)</f>
        <v/>
      </c>
      <c r="K918" t="str">
        <f>IF(包装物料出入库明细!$D918="","",包装物料出入库明细!$D918)</f>
        <v/>
      </c>
      <c r="L918">
        <f t="shared" si="398"/>
        <v>0</v>
      </c>
      <c r="M918">
        <f t="shared" si="399"/>
        <v>9</v>
      </c>
      <c r="Q918" t="str">
        <f>IF(周转筐出入库明细!$D919="","",周转筐出入库明细!$D919)</f>
        <v/>
      </c>
      <c r="R918">
        <f t="shared" si="400"/>
        <v>0</v>
      </c>
      <c r="S918">
        <f t="shared" si="401"/>
        <v>5</v>
      </c>
      <c r="W918" t="str">
        <f>IF(周转筐出入库明细!$C919="","",周转筐出入库明细!$C919)</f>
        <v/>
      </c>
      <c r="X918">
        <f t="shared" si="402"/>
        <v>0</v>
      </c>
      <c r="Y918">
        <f t="shared" si="403"/>
        <v>12</v>
      </c>
      <c r="AC918" t="str">
        <f>IF(客户自备加工筐明细!$C918="","",客户自备加工筐明细!$C918)</f>
        <v/>
      </c>
      <c r="AD918">
        <f t="shared" si="404"/>
        <v>0</v>
      </c>
      <c r="AE918">
        <f t="shared" si="405"/>
        <v>1</v>
      </c>
      <c r="AI918" t="str">
        <f>IF(客户自备加工筐明细!$E918="","",客户自备加工筐明细!$E918)</f>
        <v/>
      </c>
      <c r="AJ918">
        <f t="shared" si="406"/>
        <v>0</v>
      </c>
      <c r="AK918">
        <f t="shared" si="407"/>
        <v>1</v>
      </c>
      <c r="BS918" t="str">
        <f t="shared" si="395"/>
        <v/>
      </c>
      <c r="BT918">
        <f t="shared" si="408"/>
        <v>0</v>
      </c>
      <c r="BU918">
        <f t="shared" si="409"/>
        <v>18</v>
      </c>
      <c r="CP918">
        <f>IF(包装物料出入库明细!$D918="",0,1)</f>
        <v>0</v>
      </c>
      <c r="CQ918">
        <f t="shared" si="410"/>
        <v>37</v>
      </c>
      <c r="CS918" t="str">
        <f>IF(OR(周转筐出入库明细!$C919="",周转筐出入库明细!$F919&lt;&gt;"采购入库"),"",周转筐出入库明细!$C919)</f>
        <v/>
      </c>
      <c r="CT918">
        <f t="shared" si="411"/>
        <v>0</v>
      </c>
      <c r="CU918">
        <f t="shared" si="412"/>
        <v>1</v>
      </c>
    </row>
    <row r="919" spans="1:99">
      <c r="A919" t="str">
        <f>IF(包装物料出入库明细!$E919="","",包装物料出入库明细!$E919)</f>
        <v/>
      </c>
      <c r="B919">
        <f t="shared" si="396"/>
        <v>0</v>
      </c>
      <c r="C919">
        <f t="shared" si="397"/>
        <v>7</v>
      </c>
      <c r="D919" t="str">
        <f>IF(包装物料出入库明细!$E919="","",包装物料出入库明细!$F919)</f>
        <v/>
      </c>
      <c r="E919" t="str">
        <f>IF(包装物料出入库明细!$E919="","",包装物料出入库明细!$G919)</f>
        <v/>
      </c>
      <c r="K919" t="str">
        <f>IF(包装物料出入库明细!$D919="","",包装物料出入库明细!$D919)</f>
        <v/>
      </c>
      <c r="L919">
        <f t="shared" si="398"/>
        <v>0</v>
      </c>
      <c r="M919">
        <f t="shared" si="399"/>
        <v>9</v>
      </c>
      <c r="Q919" t="str">
        <f>IF(周转筐出入库明细!$D920="","",周转筐出入库明细!$D920)</f>
        <v/>
      </c>
      <c r="R919">
        <f t="shared" si="400"/>
        <v>0</v>
      </c>
      <c r="S919">
        <f t="shared" si="401"/>
        <v>5</v>
      </c>
      <c r="W919" t="str">
        <f>IF(周转筐出入库明细!$C920="","",周转筐出入库明细!$C920)</f>
        <v/>
      </c>
      <c r="X919">
        <f t="shared" si="402"/>
        <v>0</v>
      </c>
      <c r="Y919">
        <f t="shared" si="403"/>
        <v>12</v>
      </c>
      <c r="AC919" t="str">
        <f>IF(客户自备加工筐明细!$C919="","",客户自备加工筐明细!$C919)</f>
        <v/>
      </c>
      <c r="AD919">
        <f t="shared" si="404"/>
        <v>0</v>
      </c>
      <c r="AE919">
        <f t="shared" si="405"/>
        <v>1</v>
      </c>
      <c r="AI919" t="str">
        <f>IF(客户自备加工筐明细!$E919="","",客户自备加工筐明细!$E919)</f>
        <v/>
      </c>
      <c r="AJ919">
        <f t="shared" si="406"/>
        <v>0</v>
      </c>
      <c r="AK919">
        <f t="shared" si="407"/>
        <v>1</v>
      </c>
      <c r="BS919" t="str">
        <f t="shared" si="395"/>
        <v/>
      </c>
      <c r="BT919">
        <f t="shared" si="408"/>
        <v>0</v>
      </c>
      <c r="BU919">
        <f t="shared" si="409"/>
        <v>18</v>
      </c>
      <c r="CP919">
        <f>IF(包装物料出入库明细!$D919="",0,1)</f>
        <v>0</v>
      </c>
      <c r="CQ919">
        <f t="shared" si="410"/>
        <v>37</v>
      </c>
      <c r="CS919" t="str">
        <f>IF(OR(周转筐出入库明细!$C920="",周转筐出入库明细!$F920&lt;&gt;"采购入库"),"",周转筐出入库明细!$C920)</f>
        <v/>
      </c>
      <c r="CT919">
        <f t="shared" si="411"/>
        <v>0</v>
      </c>
      <c r="CU919">
        <f t="shared" si="412"/>
        <v>1</v>
      </c>
    </row>
    <row r="920" spans="1:99">
      <c r="A920" t="str">
        <f>IF(包装物料出入库明细!$E920="","",包装物料出入库明细!$E920)</f>
        <v/>
      </c>
      <c r="B920">
        <f t="shared" si="396"/>
        <v>0</v>
      </c>
      <c r="C920">
        <f t="shared" si="397"/>
        <v>7</v>
      </c>
      <c r="D920" t="str">
        <f>IF(包装物料出入库明细!$E920="","",包装物料出入库明细!$F920)</f>
        <v/>
      </c>
      <c r="E920" t="str">
        <f>IF(包装物料出入库明细!$E920="","",包装物料出入库明细!$G920)</f>
        <v/>
      </c>
      <c r="K920" t="str">
        <f>IF(包装物料出入库明细!$D920="","",包装物料出入库明细!$D920)</f>
        <v/>
      </c>
      <c r="L920">
        <f t="shared" si="398"/>
        <v>0</v>
      </c>
      <c r="M920">
        <f t="shared" si="399"/>
        <v>9</v>
      </c>
      <c r="Q920" t="str">
        <f>IF(周转筐出入库明细!$D921="","",周转筐出入库明细!$D921)</f>
        <v/>
      </c>
      <c r="R920">
        <f t="shared" si="400"/>
        <v>0</v>
      </c>
      <c r="S920">
        <f t="shared" si="401"/>
        <v>5</v>
      </c>
      <c r="W920" t="str">
        <f>IF(周转筐出入库明细!$C921="","",周转筐出入库明细!$C921)</f>
        <v/>
      </c>
      <c r="X920">
        <f t="shared" si="402"/>
        <v>0</v>
      </c>
      <c r="Y920">
        <f t="shared" si="403"/>
        <v>12</v>
      </c>
      <c r="AC920" t="str">
        <f>IF(客户自备加工筐明细!$C920="","",客户自备加工筐明细!$C920)</f>
        <v/>
      </c>
      <c r="AD920">
        <f t="shared" si="404"/>
        <v>0</v>
      </c>
      <c r="AE920">
        <f t="shared" si="405"/>
        <v>1</v>
      </c>
      <c r="AI920" t="str">
        <f>IF(客户自备加工筐明细!$E920="","",客户自备加工筐明细!$E920)</f>
        <v/>
      </c>
      <c r="AJ920">
        <f t="shared" si="406"/>
        <v>0</v>
      </c>
      <c r="AK920">
        <f t="shared" si="407"/>
        <v>1</v>
      </c>
      <c r="BS920" t="str">
        <f t="shared" si="395"/>
        <v/>
      </c>
      <c r="BT920">
        <f t="shared" si="408"/>
        <v>0</v>
      </c>
      <c r="BU920">
        <f t="shared" si="409"/>
        <v>18</v>
      </c>
      <c r="CP920">
        <f>IF(包装物料出入库明细!$D920="",0,1)</f>
        <v>0</v>
      </c>
      <c r="CQ920">
        <f t="shared" si="410"/>
        <v>37</v>
      </c>
      <c r="CS920" t="str">
        <f>IF(OR(周转筐出入库明细!$C921="",周转筐出入库明细!$F921&lt;&gt;"采购入库"),"",周转筐出入库明细!$C921)</f>
        <v/>
      </c>
      <c r="CT920">
        <f t="shared" si="411"/>
        <v>0</v>
      </c>
      <c r="CU920">
        <f t="shared" si="412"/>
        <v>1</v>
      </c>
    </row>
    <row r="921" spans="1:99">
      <c r="A921" t="str">
        <f>IF(包装物料出入库明细!$E921="","",包装物料出入库明细!$E921)</f>
        <v/>
      </c>
      <c r="B921">
        <f t="shared" si="396"/>
        <v>0</v>
      </c>
      <c r="C921">
        <f t="shared" si="397"/>
        <v>7</v>
      </c>
      <c r="D921" t="str">
        <f>IF(包装物料出入库明细!$E921="","",包装物料出入库明细!$F921)</f>
        <v/>
      </c>
      <c r="E921" t="str">
        <f>IF(包装物料出入库明细!$E921="","",包装物料出入库明细!$G921)</f>
        <v/>
      </c>
      <c r="K921" t="str">
        <f>IF(包装物料出入库明细!$D921="","",包装物料出入库明细!$D921)</f>
        <v/>
      </c>
      <c r="L921">
        <f t="shared" si="398"/>
        <v>0</v>
      </c>
      <c r="M921">
        <f t="shared" si="399"/>
        <v>9</v>
      </c>
      <c r="Q921" t="str">
        <f>IF(周转筐出入库明细!$D922="","",周转筐出入库明细!$D922)</f>
        <v/>
      </c>
      <c r="R921">
        <f t="shared" si="400"/>
        <v>0</v>
      </c>
      <c r="S921">
        <f t="shared" si="401"/>
        <v>5</v>
      </c>
      <c r="W921" t="str">
        <f>IF(周转筐出入库明细!$C922="","",周转筐出入库明细!$C922)</f>
        <v/>
      </c>
      <c r="X921">
        <f t="shared" si="402"/>
        <v>0</v>
      </c>
      <c r="Y921">
        <f t="shared" si="403"/>
        <v>12</v>
      </c>
      <c r="AC921" t="str">
        <f>IF(客户自备加工筐明细!$C921="","",客户自备加工筐明细!$C921)</f>
        <v/>
      </c>
      <c r="AD921">
        <f t="shared" si="404"/>
        <v>0</v>
      </c>
      <c r="AE921">
        <f t="shared" si="405"/>
        <v>1</v>
      </c>
      <c r="AI921" t="str">
        <f>IF(客户自备加工筐明细!$E921="","",客户自备加工筐明细!$E921)</f>
        <v/>
      </c>
      <c r="AJ921">
        <f t="shared" si="406"/>
        <v>0</v>
      </c>
      <c r="AK921">
        <f t="shared" si="407"/>
        <v>1</v>
      </c>
      <c r="BS921" t="str">
        <f t="shared" si="395"/>
        <v/>
      </c>
      <c r="BT921">
        <f t="shared" si="408"/>
        <v>0</v>
      </c>
      <c r="BU921">
        <f t="shared" si="409"/>
        <v>18</v>
      </c>
      <c r="CP921">
        <f>IF(包装物料出入库明细!$D921="",0,1)</f>
        <v>0</v>
      </c>
      <c r="CQ921">
        <f t="shared" si="410"/>
        <v>37</v>
      </c>
      <c r="CS921" t="str">
        <f>IF(OR(周转筐出入库明细!$C922="",周转筐出入库明细!$F922&lt;&gt;"采购入库"),"",周转筐出入库明细!$C922)</f>
        <v/>
      </c>
      <c r="CT921">
        <f t="shared" si="411"/>
        <v>0</v>
      </c>
      <c r="CU921">
        <f t="shared" si="412"/>
        <v>1</v>
      </c>
    </row>
    <row r="922" spans="1:99">
      <c r="A922" t="str">
        <f>IF(包装物料出入库明细!$E922="","",包装物料出入库明细!$E922)</f>
        <v/>
      </c>
      <c r="B922">
        <f t="shared" si="396"/>
        <v>0</v>
      </c>
      <c r="C922">
        <f t="shared" si="397"/>
        <v>7</v>
      </c>
      <c r="D922" t="str">
        <f>IF(包装物料出入库明细!$E922="","",包装物料出入库明细!$F922)</f>
        <v/>
      </c>
      <c r="E922" t="str">
        <f>IF(包装物料出入库明细!$E922="","",包装物料出入库明细!$G922)</f>
        <v/>
      </c>
      <c r="K922" t="str">
        <f>IF(包装物料出入库明细!$D922="","",包装物料出入库明细!$D922)</f>
        <v/>
      </c>
      <c r="L922">
        <f t="shared" si="398"/>
        <v>0</v>
      </c>
      <c r="M922">
        <f t="shared" si="399"/>
        <v>9</v>
      </c>
      <c r="Q922" t="str">
        <f>IF(周转筐出入库明细!$D923="","",周转筐出入库明细!$D923)</f>
        <v/>
      </c>
      <c r="R922">
        <f t="shared" si="400"/>
        <v>0</v>
      </c>
      <c r="S922">
        <f t="shared" si="401"/>
        <v>5</v>
      </c>
      <c r="W922" t="str">
        <f>IF(周转筐出入库明细!$C923="","",周转筐出入库明细!$C923)</f>
        <v/>
      </c>
      <c r="X922">
        <f t="shared" si="402"/>
        <v>0</v>
      </c>
      <c r="Y922">
        <f t="shared" si="403"/>
        <v>12</v>
      </c>
      <c r="AC922" t="str">
        <f>IF(客户自备加工筐明细!$C922="","",客户自备加工筐明细!$C922)</f>
        <v/>
      </c>
      <c r="AD922">
        <f t="shared" si="404"/>
        <v>0</v>
      </c>
      <c r="AE922">
        <f t="shared" si="405"/>
        <v>1</v>
      </c>
      <c r="AI922" t="str">
        <f>IF(客户自备加工筐明细!$E922="","",客户自备加工筐明细!$E922)</f>
        <v/>
      </c>
      <c r="AJ922">
        <f t="shared" si="406"/>
        <v>0</v>
      </c>
      <c r="AK922">
        <f t="shared" si="407"/>
        <v>1</v>
      </c>
      <c r="BS922" t="str">
        <f t="shared" si="395"/>
        <v/>
      </c>
      <c r="BT922">
        <f t="shared" si="408"/>
        <v>0</v>
      </c>
      <c r="BU922">
        <f t="shared" si="409"/>
        <v>18</v>
      </c>
      <c r="CP922">
        <f>IF(包装物料出入库明细!$D922="",0,1)</f>
        <v>0</v>
      </c>
      <c r="CQ922">
        <f t="shared" si="410"/>
        <v>37</v>
      </c>
      <c r="CS922" t="str">
        <f>IF(OR(周转筐出入库明细!$C923="",周转筐出入库明细!$F923&lt;&gt;"采购入库"),"",周转筐出入库明细!$C923)</f>
        <v/>
      </c>
      <c r="CT922">
        <f t="shared" si="411"/>
        <v>0</v>
      </c>
      <c r="CU922">
        <f t="shared" si="412"/>
        <v>1</v>
      </c>
    </row>
    <row r="923" spans="1:99">
      <c r="A923" t="str">
        <f>IF(包装物料出入库明细!$E923="","",包装物料出入库明细!$E923)</f>
        <v/>
      </c>
      <c r="B923">
        <f t="shared" si="396"/>
        <v>0</v>
      </c>
      <c r="C923">
        <f t="shared" si="397"/>
        <v>7</v>
      </c>
      <c r="D923" t="str">
        <f>IF(包装物料出入库明细!$E923="","",包装物料出入库明细!$F923)</f>
        <v/>
      </c>
      <c r="E923" t="str">
        <f>IF(包装物料出入库明细!$E923="","",包装物料出入库明细!$G923)</f>
        <v/>
      </c>
      <c r="K923" t="str">
        <f>IF(包装物料出入库明细!$D923="","",包装物料出入库明细!$D923)</f>
        <v/>
      </c>
      <c r="L923">
        <f t="shared" si="398"/>
        <v>0</v>
      </c>
      <c r="M923">
        <f t="shared" si="399"/>
        <v>9</v>
      </c>
      <c r="Q923" t="str">
        <f>IF(周转筐出入库明细!$D924="","",周转筐出入库明细!$D924)</f>
        <v/>
      </c>
      <c r="R923">
        <f t="shared" si="400"/>
        <v>0</v>
      </c>
      <c r="S923">
        <f t="shared" si="401"/>
        <v>5</v>
      </c>
      <c r="W923" t="str">
        <f>IF(周转筐出入库明细!$C924="","",周转筐出入库明细!$C924)</f>
        <v/>
      </c>
      <c r="X923">
        <f t="shared" si="402"/>
        <v>0</v>
      </c>
      <c r="Y923">
        <f t="shared" si="403"/>
        <v>12</v>
      </c>
      <c r="AC923" t="str">
        <f>IF(客户自备加工筐明细!$C923="","",客户自备加工筐明细!$C923)</f>
        <v/>
      </c>
      <c r="AD923">
        <f t="shared" si="404"/>
        <v>0</v>
      </c>
      <c r="AE923">
        <f t="shared" si="405"/>
        <v>1</v>
      </c>
      <c r="AI923" t="str">
        <f>IF(客户自备加工筐明细!$E923="","",客户自备加工筐明细!$E923)</f>
        <v/>
      </c>
      <c r="AJ923">
        <f t="shared" si="406"/>
        <v>0</v>
      </c>
      <c r="AK923">
        <f t="shared" si="407"/>
        <v>1</v>
      </c>
      <c r="BS923" t="str">
        <f t="shared" si="395"/>
        <v/>
      </c>
      <c r="BT923">
        <f t="shared" si="408"/>
        <v>0</v>
      </c>
      <c r="BU923">
        <f t="shared" si="409"/>
        <v>18</v>
      </c>
      <c r="CP923">
        <f>IF(包装物料出入库明细!$D923="",0,1)</f>
        <v>0</v>
      </c>
      <c r="CQ923">
        <f t="shared" si="410"/>
        <v>37</v>
      </c>
      <c r="CS923" t="str">
        <f>IF(OR(周转筐出入库明细!$C924="",周转筐出入库明细!$F924&lt;&gt;"采购入库"),"",周转筐出入库明细!$C924)</f>
        <v/>
      </c>
      <c r="CT923">
        <f t="shared" si="411"/>
        <v>0</v>
      </c>
      <c r="CU923">
        <f t="shared" si="412"/>
        <v>1</v>
      </c>
    </row>
    <row r="924" spans="1:99">
      <c r="A924" t="str">
        <f>IF(包装物料出入库明细!$E924="","",包装物料出入库明细!$E924)</f>
        <v/>
      </c>
      <c r="B924">
        <f t="shared" si="396"/>
        <v>0</v>
      </c>
      <c r="C924">
        <f t="shared" si="397"/>
        <v>7</v>
      </c>
      <c r="D924" t="str">
        <f>IF(包装物料出入库明细!$E924="","",包装物料出入库明细!$F924)</f>
        <v/>
      </c>
      <c r="E924" t="str">
        <f>IF(包装物料出入库明细!$E924="","",包装物料出入库明细!$G924)</f>
        <v/>
      </c>
      <c r="K924" t="str">
        <f>IF(包装物料出入库明细!$D924="","",包装物料出入库明细!$D924)</f>
        <v/>
      </c>
      <c r="L924">
        <f t="shared" si="398"/>
        <v>0</v>
      </c>
      <c r="M924">
        <f t="shared" si="399"/>
        <v>9</v>
      </c>
      <c r="Q924" t="str">
        <f>IF(周转筐出入库明细!$D925="","",周转筐出入库明细!$D925)</f>
        <v/>
      </c>
      <c r="R924">
        <f t="shared" si="400"/>
        <v>0</v>
      </c>
      <c r="S924">
        <f t="shared" si="401"/>
        <v>5</v>
      </c>
      <c r="W924" t="str">
        <f>IF(周转筐出入库明细!$C925="","",周转筐出入库明细!$C925)</f>
        <v/>
      </c>
      <c r="X924">
        <f t="shared" si="402"/>
        <v>0</v>
      </c>
      <c r="Y924">
        <f t="shared" si="403"/>
        <v>12</v>
      </c>
      <c r="AC924" t="str">
        <f>IF(客户自备加工筐明细!$C924="","",客户自备加工筐明细!$C924)</f>
        <v/>
      </c>
      <c r="AD924">
        <f t="shared" si="404"/>
        <v>0</v>
      </c>
      <c r="AE924">
        <f t="shared" si="405"/>
        <v>1</v>
      </c>
      <c r="AI924" t="str">
        <f>IF(客户自备加工筐明细!$E924="","",客户自备加工筐明细!$E924)</f>
        <v/>
      </c>
      <c r="AJ924">
        <f t="shared" si="406"/>
        <v>0</v>
      </c>
      <c r="AK924">
        <f t="shared" si="407"/>
        <v>1</v>
      </c>
      <c r="BS924" t="str">
        <f t="shared" si="395"/>
        <v/>
      </c>
      <c r="BT924">
        <f t="shared" si="408"/>
        <v>0</v>
      </c>
      <c r="BU924">
        <f t="shared" si="409"/>
        <v>18</v>
      </c>
      <c r="CP924">
        <f>IF(包装物料出入库明细!$D924="",0,1)</f>
        <v>0</v>
      </c>
      <c r="CQ924">
        <f t="shared" si="410"/>
        <v>37</v>
      </c>
      <c r="CS924" t="str">
        <f>IF(OR(周转筐出入库明细!$C925="",周转筐出入库明细!$F925&lt;&gt;"采购入库"),"",周转筐出入库明细!$C925)</f>
        <v/>
      </c>
      <c r="CT924">
        <f t="shared" si="411"/>
        <v>0</v>
      </c>
      <c r="CU924">
        <f t="shared" si="412"/>
        <v>1</v>
      </c>
    </row>
    <row r="925" spans="1:99">
      <c r="A925" t="str">
        <f>IF(包装物料出入库明细!$E925="","",包装物料出入库明细!$E925)</f>
        <v/>
      </c>
      <c r="B925">
        <f t="shared" si="396"/>
        <v>0</v>
      </c>
      <c r="C925">
        <f t="shared" si="397"/>
        <v>7</v>
      </c>
      <c r="D925" t="str">
        <f>IF(包装物料出入库明细!$E925="","",包装物料出入库明细!$F925)</f>
        <v/>
      </c>
      <c r="E925" t="str">
        <f>IF(包装物料出入库明细!$E925="","",包装物料出入库明细!$G925)</f>
        <v/>
      </c>
      <c r="K925" t="str">
        <f>IF(包装物料出入库明细!$D925="","",包装物料出入库明细!$D925)</f>
        <v/>
      </c>
      <c r="L925">
        <f t="shared" si="398"/>
        <v>0</v>
      </c>
      <c r="M925">
        <f t="shared" si="399"/>
        <v>9</v>
      </c>
      <c r="Q925" t="str">
        <f>IF(周转筐出入库明细!$D926="","",周转筐出入库明细!$D926)</f>
        <v/>
      </c>
      <c r="R925">
        <f t="shared" si="400"/>
        <v>0</v>
      </c>
      <c r="S925">
        <f t="shared" si="401"/>
        <v>5</v>
      </c>
      <c r="W925" t="str">
        <f>IF(周转筐出入库明细!$C926="","",周转筐出入库明细!$C926)</f>
        <v/>
      </c>
      <c r="X925">
        <f t="shared" si="402"/>
        <v>0</v>
      </c>
      <c r="Y925">
        <f t="shared" si="403"/>
        <v>12</v>
      </c>
      <c r="AC925" t="str">
        <f>IF(客户自备加工筐明细!$C925="","",客户自备加工筐明细!$C925)</f>
        <v/>
      </c>
      <c r="AD925">
        <f t="shared" si="404"/>
        <v>0</v>
      </c>
      <c r="AE925">
        <f t="shared" si="405"/>
        <v>1</v>
      </c>
      <c r="AI925" t="str">
        <f>IF(客户自备加工筐明细!$E925="","",客户自备加工筐明细!$E925)</f>
        <v/>
      </c>
      <c r="AJ925">
        <f t="shared" si="406"/>
        <v>0</v>
      </c>
      <c r="AK925">
        <f t="shared" si="407"/>
        <v>1</v>
      </c>
      <c r="BS925" t="str">
        <f t="shared" si="395"/>
        <v/>
      </c>
      <c r="BT925">
        <f t="shared" si="408"/>
        <v>0</v>
      </c>
      <c r="BU925">
        <f t="shared" si="409"/>
        <v>18</v>
      </c>
      <c r="CP925">
        <f>IF(包装物料出入库明细!$D925="",0,1)</f>
        <v>0</v>
      </c>
      <c r="CQ925">
        <f t="shared" si="410"/>
        <v>37</v>
      </c>
      <c r="CS925" t="str">
        <f>IF(OR(周转筐出入库明细!$C926="",周转筐出入库明细!$F926&lt;&gt;"采购入库"),"",周转筐出入库明细!$C926)</f>
        <v/>
      </c>
      <c r="CT925">
        <f t="shared" si="411"/>
        <v>0</v>
      </c>
      <c r="CU925">
        <f t="shared" si="412"/>
        <v>1</v>
      </c>
    </row>
    <row r="926" spans="1:99">
      <c r="A926" t="str">
        <f>IF(包装物料出入库明细!$E926="","",包装物料出入库明细!$E926)</f>
        <v/>
      </c>
      <c r="B926">
        <f t="shared" si="396"/>
        <v>0</v>
      </c>
      <c r="C926">
        <f t="shared" si="397"/>
        <v>7</v>
      </c>
      <c r="D926" t="str">
        <f>IF(包装物料出入库明细!$E926="","",包装物料出入库明细!$F926)</f>
        <v/>
      </c>
      <c r="E926" t="str">
        <f>IF(包装物料出入库明细!$E926="","",包装物料出入库明细!$G926)</f>
        <v/>
      </c>
      <c r="K926" t="str">
        <f>IF(包装物料出入库明细!$D926="","",包装物料出入库明细!$D926)</f>
        <v/>
      </c>
      <c r="L926">
        <f t="shared" si="398"/>
        <v>0</v>
      </c>
      <c r="M926">
        <f t="shared" si="399"/>
        <v>9</v>
      </c>
      <c r="Q926" t="str">
        <f>IF(周转筐出入库明细!$D927="","",周转筐出入库明细!$D927)</f>
        <v/>
      </c>
      <c r="R926">
        <f t="shared" si="400"/>
        <v>0</v>
      </c>
      <c r="S926">
        <f t="shared" si="401"/>
        <v>5</v>
      </c>
      <c r="W926" t="str">
        <f>IF(周转筐出入库明细!$C927="","",周转筐出入库明细!$C927)</f>
        <v/>
      </c>
      <c r="X926">
        <f t="shared" si="402"/>
        <v>0</v>
      </c>
      <c r="Y926">
        <f t="shared" si="403"/>
        <v>12</v>
      </c>
      <c r="AC926" t="str">
        <f>IF(客户自备加工筐明细!$C926="","",客户自备加工筐明细!$C926)</f>
        <v/>
      </c>
      <c r="AD926">
        <f t="shared" si="404"/>
        <v>0</v>
      </c>
      <c r="AE926">
        <f t="shared" si="405"/>
        <v>1</v>
      </c>
      <c r="AI926" t="str">
        <f>IF(客户自备加工筐明细!$E926="","",客户自备加工筐明细!$E926)</f>
        <v/>
      </c>
      <c r="AJ926">
        <f t="shared" si="406"/>
        <v>0</v>
      </c>
      <c r="AK926">
        <f t="shared" si="407"/>
        <v>1</v>
      </c>
      <c r="BS926" t="str">
        <f t="shared" si="395"/>
        <v/>
      </c>
      <c r="BT926">
        <f t="shared" si="408"/>
        <v>0</v>
      </c>
      <c r="BU926">
        <f t="shared" si="409"/>
        <v>18</v>
      </c>
      <c r="CP926">
        <f>IF(包装物料出入库明细!$D926="",0,1)</f>
        <v>0</v>
      </c>
      <c r="CQ926">
        <f t="shared" si="410"/>
        <v>37</v>
      </c>
      <c r="CS926" t="str">
        <f>IF(OR(周转筐出入库明细!$C927="",周转筐出入库明细!$F927&lt;&gt;"采购入库"),"",周转筐出入库明细!$C927)</f>
        <v/>
      </c>
      <c r="CT926">
        <f t="shared" si="411"/>
        <v>0</v>
      </c>
      <c r="CU926">
        <f t="shared" si="412"/>
        <v>1</v>
      </c>
    </row>
    <row r="927" spans="1:99">
      <c r="A927" t="str">
        <f>IF(包装物料出入库明细!$E927="","",包装物料出入库明细!$E927)</f>
        <v/>
      </c>
      <c r="B927">
        <f t="shared" si="396"/>
        <v>0</v>
      </c>
      <c r="C927">
        <f t="shared" si="397"/>
        <v>7</v>
      </c>
      <c r="D927" t="str">
        <f>IF(包装物料出入库明细!$E927="","",包装物料出入库明细!$F927)</f>
        <v/>
      </c>
      <c r="E927" t="str">
        <f>IF(包装物料出入库明细!$E927="","",包装物料出入库明细!$G927)</f>
        <v/>
      </c>
      <c r="K927" t="str">
        <f>IF(包装物料出入库明细!$D927="","",包装物料出入库明细!$D927)</f>
        <v/>
      </c>
      <c r="L927">
        <f t="shared" si="398"/>
        <v>0</v>
      </c>
      <c r="M927">
        <f t="shared" si="399"/>
        <v>9</v>
      </c>
      <c r="Q927" t="str">
        <f>IF(周转筐出入库明细!$D928="","",周转筐出入库明细!$D928)</f>
        <v/>
      </c>
      <c r="R927">
        <f t="shared" si="400"/>
        <v>0</v>
      </c>
      <c r="S927">
        <f t="shared" si="401"/>
        <v>5</v>
      </c>
      <c r="W927" t="str">
        <f>IF(周转筐出入库明细!$C928="","",周转筐出入库明细!$C928)</f>
        <v/>
      </c>
      <c r="X927">
        <f t="shared" si="402"/>
        <v>0</v>
      </c>
      <c r="Y927">
        <f t="shared" si="403"/>
        <v>12</v>
      </c>
      <c r="AC927" t="str">
        <f>IF(客户自备加工筐明细!$C927="","",客户自备加工筐明细!$C927)</f>
        <v/>
      </c>
      <c r="AD927">
        <f t="shared" si="404"/>
        <v>0</v>
      </c>
      <c r="AE927">
        <f t="shared" si="405"/>
        <v>1</v>
      </c>
      <c r="AI927" t="str">
        <f>IF(客户自备加工筐明细!$E927="","",客户自备加工筐明细!$E927)</f>
        <v/>
      </c>
      <c r="AJ927">
        <f t="shared" si="406"/>
        <v>0</v>
      </c>
      <c r="AK927">
        <f t="shared" si="407"/>
        <v>1</v>
      </c>
      <c r="BS927" t="str">
        <f t="shared" si="395"/>
        <v/>
      </c>
      <c r="BT927">
        <f t="shared" si="408"/>
        <v>0</v>
      </c>
      <c r="BU927">
        <f t="shared" si="409"/>
        <v>18</v>
      </c>
      <c r="CP927">
        <f>IF(包装物料出入库明细!$D927="",0,1)</f>
        <v>0</v>
      </c>
      <c r="CQ927">
        <f t="shared" si="410"/>
        <v>37</v>
      </c>
      <c r="CS927" t="str">
        <f>IF(OR(周转筐出入库明细!$C928="",周转筐出入库明细!$F928&lt;&gt;"采购入库"),"",周转筐出入库明细!$C928)</f>
        <v/>
      </c>
      <c r="CT927">
        <f t="shared" si="411"/>
        <v>0</v>
      </c>
      <c r="CU927">
        <f t="shared" si="412"/>
        <v>1</v>
      </c>
    </row>
    <row r="928" spans="1:99">
      <c r="A928" t="str">
        <f>IF(包装物料出入库明细!$E928="","",包装物料出入库明细!$E928)</f>
        <v/>
      </c>
      <c r="B928">
        <f t="shared" si="396"/>
        <v>0</v>
      </c>
      <c r="C928">
        <f t="shared" si="397"/>
        <v>7</v>
      </c>
      <c r="D928" t="str">
        <f>IF(包装物料出入库明细!$E928="","",包装物料出入库明细!$F928)</f>
        <v/>
      </c>
      <c r="E928" t="str">
        <f>IF(包装物料出入库明细!$E928="","",包装物料出入库明细!$G928)</f>
        <v/>
      </c>
      <c r="K928" t="str">
        <f>IF(包装物料出入库明细!$D928="","",包装物料出入库明细!$D928)</f>
        <v/>
      </c>
      <c r="L928">
        <f t="shared" si="398"/>
        <v>0</v>
      </c>
      <c r="M928">
        <f t="shared" si="399"/>
        <v>9</v>
      </c>
      <c r="Q928" t="str">
        <f>IF(周转筐出入库明细!$D929="","",周转筐出入库明细!$D929)</f>
        <v/>
      </c>
      <c r="R928">
        <f t="shared" si="400"/>
        <v>0</v>
      </c>
      <c r="S928">
        <f t="shared" si="401"/>
        <v>5</v>
      </c>
      <c r="W928" t="str">
        <f>IF(周转筐出入库明细!$C929="","",周转筐出入库明细!$C929)</f>
        <v/>
      </c>
      <c r="X928">
        <f t="shared" si="402"/>
        <v>0</v>
      </c>
      <c r="Y928">
        <f t="shared" si="403"/>
        <v>12</v>
      </c>
      <c r="AC928" t="str">
        <f>IF(客户自备加工筐明细!$C928="","",客户自备加工筐明细!$C928)</f>
        <v/>
      </c>
      <c r="AD928">
        <f t="shared" si="404"/>
        <v>0</v>
      </c>
      <c r="AE928">
        <f t="shared" si="405"/>
        <v>1</v>
      </c>
      <c r="AI928" t="str">
        <f>IF(客户自备加工筐明细!$E928="","",客户自备加工筐明细!$E928)</f>
        <v/>
      </c>
      <c r="AJ928">
        <f t="shared" si="406"/>
        <v>0</v>
      </c>
      <c r="AK928">
        <f t="shared" si="407"/>
        <v>1</v>
      </c>
      <c r="BS928" t="str">
        <f t="shared" si="395"/>
        <v/>
      </c>
      <c r="BT928">
        <f t="shared" si="408"/>
        <v>0</v>
      </c>
      <c r="BU928">
        <f t="shared" si="409"/>
        <v>18</v>
      </c>
      <c r="CP928">
        <f>IF(包装物料出入库明细!$D928="",0,1)</f>
        <v>0</v>
      </c>
      <c r="CQ928">
        <f t="shared" si="410"/>
        <v>37</v>
      </c>
      <c r="CS928" t="str">
        <f>IF(OR(周转筐出入库明细!$C929="",周转筐出入库明细!$F929&lt;&gt;"采购入库"),"",周转筐出入库明细!$C929)</f>
        <v/>
      </c>
      <c r="CT928">
        <f t="shared" si="411"/>
        <v>0</v>
      </c>
      <c r="CU928">
        <f t="shared" si="412"/>
        <v>1</v>
      </c>
    </row>
    <row r="929" spans="1:99">
      <c r="A929" t="str">
        <f>IF(包装物料出入库明细!$E929="","",包装物料出入库明细!$E929)</f>
        <v/>
      </c>
      <c r="B929">
        <f t="shared" si="396"/>
        <v>0</v>
      </c>
      <c r="C929">
        <f t="shared" si="397"/>
        <v>7</v>
      </c>
      <c r="D929" t="str">
        <f>IF(包装物料出入库明细!$E929="","",包装物料出入库明细!$F929)</f>
        <v/>
      </c>
      <c r="E929" t="str">
        <f>IF(包装物料出入库明细!$E929="","",包装物料出入库明细!$G929)</f>
        <v/>
      </c>
      <c r="K929" t="str">
        <f>IF(包装物料出入库明细!$D929="","",包装物料出入库明细!$D929)</f>
        <v/>
      </c>
      <c r="L929">
        <f t="shared" si="398"/>
        <v>0</v>
      </c>
      <c r="M929">
        <f t="shared" si="399"/>
        <v>9</v>
      </c>
      <c r="Q929" t="str">
        <f>IF(周转筐出入库明细!$D930="","",周转筐出入库明细!$D930)</f>
        <v/>
      </c>
      <c r="R929">
        <f t="shared" si="400"/>
        <v>0</v>
      </c>
      <c r="S929">
        <f t="shared" si="401"/>
        <v>5</v>
      </c>
      <c r="W929" t="str">
        <f>IF(周转筐出入库明细!$C930="","",周转筐出入库明细!$C930)</f>
        <v/>
      </c>
      <c r="X929">
        <f t="shared" si="402"/>
        <v>0</v>
      </c>
      <c r="Y929">
        <f t="shared" si="403"/>
        <v>12</v>
      </c>
      <c r="AC929" t="str">
        <f>IF(客户自备加工筐明细!$C929="","",客户自备加工筐明细!$C929)</f>
        <v/>
      </c>
      <c r="AD929">
        <f t="shared" si="404"/>
        <v>0</v>
      </c>
      <c r="AE929">
        <f t="shared" si="405"/>
        <v>1</v>
      </c>
      <c r="AI929" t="str">
        <f>IF(客户自备加工筐明细!$E929="","",客户自备加工筐明细!$E929)</f>
        <v/>
      </c>
      <c r="AJ929">
        <f t="shared" si="406"/>
        <v>0</v>
      </c>
      <c r="AK929">
        <f t="shared" si="407"/>
        <v>1</v>
      </c>
      <c r="BS929" t="str">
        <f t="shared" si="395"/>
        <v/>
      </c>
      <c r="BT929">
        <f t="shared" si="408"/>
        <v>0</v>
      </c>
      <c r="BU929">
        <f t="shared" si="409"/>
        <v>18</v>
      </c>
      <c r="CP929">
        <f>IF(包装物料出入库明细!$D929="",0,1)</f>
        <v>0</v>
      </c>
      <c r="CQ929">
        <f t="shared" si="410"/>
        <v>37</v>
      </c>
      <c r="CS929" t="str">
        <f>IF(OR(周转筐出入库明细!$C930="",周转筐出入库明细!$F930&lt;&gt;"采购入库"),"",周转筐出入库明细!$C930)</f>
        <v/>
      </c>
      <c r="CT929">
        <f t="shared" si="411"/>
        <v>0</v>
      </c>
      <c r="CU929">
        <f t="shared" si="412"/>
        <v>1</v>
      </c>
    </row>
    <row r="930" spans="1:99">
      <c r="A930" t="str">
        <f>IF(包装物料出入库明细!$E930="","",包装物料出入库明细!$E930)</f>
        <v/>
      </c>
      <c r="B930">
        <f t="shared" si="396"/>
        <v>0</v>
      </c>
      <c r="C930">
        <f t="shared" si="397"/>
        <v>7</v>
      </c>
      <c r="D930" t="str">
        <f>IF(包装物料出入库明细!$E930="","",包装物料出入库明细!$F930)</f>
        <v/>
      </c>
      <c r="E930" t="str">
        <f>IF(包装物料出入库明细!$E930="","",包装物料出入库明细!$G930)</f>
        <v/>
      </c>
      <c r="K930" t="str">
        <f>IF(包装物料出入库明细!$D930="","",包装物料出入库明细!$D930)</f>
        <v/>
      </c>
      <c r="L930">
        <f t="shared" si="398"/>
        <v>0</v>
      </c>
      <c r="M930">
        <f t="shared" si="399"/>
        <v>9</v>
      </c>
      <c r="Q930" t="str">
        <f>IF(周转筐出入库明细!$D931="","",周转筐出入库明细!$D931)</f>
        <v/>
      </c>
      <c r="R930">
        <f t="shared" si="400"/>
        <v>0</v>
      </c>
      <c r="S930">
        <f t="shared" si="401"/>
        <v>5</v>
      </c>
      <c r="W930" t="str">
        <f>IF(周转筐出入库明细!$C931="","",周转筐出入库明细!$C931)</f>
        <v/>
      </c>
      <c r="X930">
        <f t="shared" si="402"/>
        <v>0</v>
      </c>
      <c r="Y930">
        <f t="shared" si="403"/>
        <v>12</v>
      </c>
      <c r="AC930" t="str">
        <f>IF(客户自备加工筐明细!$C930="","",客户自备加工筐明细!$C930)</f>
        <v/>
      </c>
      <c r="AD930">
        <f t="shared" si="404"/>
        <v>0</v>
      </c>
      <c r="AE930">
        <f t="shared" si="405"/>
        <v>1</v>
      </c>
      <c r="AI930" t="str">
        <f>IF(客户自备加工筐明细!$E930="","",客户自备加工筐明细!$E930)</f>
        <v/>
      </c>
      <c r="AJ930">
        <f t="shared" si="406"/>
        <v>0</v>
      </c>
      <c r="AK930">
        <f t="shared" si="407"/>
        <v>1</v>
      </c>
      <c r="BS930" t="str">
        <f t="shared" si="395"/>
        <v/>
      </c>
      <c r="BT930">
        <f t="shared" si="408"/>
        <v>0</v>
      </c>
      <c r="BU930">
        <f t="shared" si="409"/>
        <v>18</v>
      </c>
      <c r="CP930">
        <f>IF(包装物料出入库明细!$D930="",0,1)</f>
        <v>0</v>
      </c>
      <c r="CQ930">
        <f t="shared" si="410"/>
        <v>37</v>
      </c>
      <c r="CS930" t="str">
        <f>IF(OR(周转筐出入库明细!$C931="",周转筐出入库明细!$F931&lt;&gt;"采购入库"),"",周转筐出入库明细!$C931)</f>
        <v/>
      </c>
      <c r="CT930">
        <f t="shared" si="411"/>
        <v>0</v>
      </c>
      <c r="CU930">
        <f t="shared" si="412"/>
        <v>1</v>
      </c>
    </row>
    <row r="931" spans="1:99">
      <c r="A931" t="str">
        <f>IF(包装物料出入库明细!$E931="","",包装物料出入库明细!$E931)</f>
        <v/>
      </c>
      <c r="B931">
        <f t="shared" si="396"/>
        <v>0</v>
      </c>
      <c r="C931">
        <f t="shared" si="397"/>
        <v>7</v>
      </c>
      <c r="D931" t="str">
        <f>IF(包装物料出入库明细!$E931="","",包装物料出入库明细!$F931)</f>
        <v/>
      </c>
      <c r="E931" t="str">
        <f>IF(包装物料出入库明细!$E931="","",包装物料出入库明细!$G931)</f>
        <v/>
      </c>
      <c r="K931" t="str">
        <f>IF(包装物料出入库明细!$D931="","",包装物料出入库明细!$D931)</f>
        <v/>
      </c>
      <c r="L931">
        <f t="shared" si="398"/>
        <v>0</v>
      </c>
      <c r="M931">
        <f t="shared" si="399"/>
        <v>9</v>
      </c>
      <c r="Q931" t="str">
        <f>IF(周转筐出入库明细!$D932="","",周转筐出入库明细!$D932)</f>
        <v/>
      </c>
      <c r="R931">
        <f t="shared" si="400"/>
        <v>0</v>
      </c>
      <c r="S931">
        <f t="shared" si="401"/>
        <v>5</v>
      </c>
      <c r="W931" t="str">
        <f>IF(周转筐出入库明细!$C932="","",周转筐出入库明细!$C932)</f>
        <v/>
      </c>
      <c r="X931">
        <f t="shared" si="402"/>
        <v>0</v>
      </c>
      <c r="Y931">
        <f t="shared" si="403"/>
        <v>12</v>
      </c>
      <c r="AC931" t="str">
        <f>IF(客户自备加工筐明细!$C931="","",客户自备加工筐明细!$C931)</f>
        <v/>
      </c>
      <c r="AD931">
        <f t="shared" si="404"/>
        <v>0</v>
      </c>
      <c r="AE931">
        <f t="shared" si="405"/>
        <v>1</v>
      </c>
      <c r="AI931" t="str">
        <f>IF(客户自备加工筐明细!$E931="","",客户自备加工筐明细!$E931)</f>
        <v/>
      </c>
      <c r="AJ931">
        <f t="shared" si="406"/>
        <v>0</v>
      </c>
      <c r="AK931">
        <f t="shared" si="407"/>
        <v>1</v>
      </c>
      <c r="BS931" t="str">
        <f t="shared" si="395"/>
        <v/>
      </c>
      <c r="BT931">
        <f t="shared" si="408"/>
        <v>0</v>
      </c>
      <c r="BU931">
        <f t="shared" si="409"/>
        <v>18</v>
      </c>
      <c r="CP931">
        <f>IF(包装物料出入库明细!$D931="",0,1)</f>
        <v>0</v>
      </c>
      <c r="CQ931">
        <f t="shared" si="410"/>
        <v>37</v>
      </c>
      <c r="CS931" t="str">
        <f>IF(OR(周转筐出入库明细!$C932="",周转筐出入库明细!$F932&lt;&gt;"采购入库"),"",周转筐出入库明细!$C932)</f>
        <v/>
      </c>
      <c r="CT931">
        <f t="shared" si="411"/>
        <v>0</v>
      </c>
      <c r="CU931">
        <f t="shared" si="412"/>
        <v>1</v>
      </c>
    </row>
    <row r="932" spans="1:99">
      <c r="A932" t="str">
        <f>IF(包装物料出入库明细!$E932="","",包装物料出入库明细!$E932)</f>
        <v/>
      </c>
      <c r="B932">
        <f t="shared" si="396"/>
        <v>0</v>
      </c>
      <c r="C932">
        <f t="shared" si="397"/>
        <v>7</v>
      </c>
      <c r="D932" t="str">
        <f>IF(包装物料出入库明细!$E932="","",包装物料出入库明细!$F932)</f>
        <v/>
      </c>
      <c r="E932" t="str">
        <f>IF(包装物料出入库明细!$E932="","",包装物料出入库明细!$G932)</f>
        <v/>
      </c>
      <c r="K932" t="str">
        <f>IF(包装物料出入库明细!$D932="","",包装物料出入库明细!$D932)</f>
        <v/>
      </c>
      <c r="L932">
        <f t="shared" si="398"/>
        <v>0</v>
      </c>
      <c r="M932">
        <f t="shared" si="399"/>
        <v>9</v>
      </c>
      <c r="Q932" t="str">
        <f>IF(周转筐出入库明细!$D933="","",周转筐出入库明细!$D933)</f>
        <v/>
      </c>
      <c r="R932">
        <f t="shared" si="400"/>
        <v>0</v>
      </c>
      <c r="S932">
        <f t="shared" si="401"/>
        <v>5</v>
      </c>
      <c r="W932" t="str">
        <f>IF(周转筐出入库明细!$C933="","",周转筐出入库明细!$C933)</f>
        <v/>
      </c>
      <c r="X932">
        <f t="shared" si="402"/>
        <v>0</v>
      </c>
      <c r="Y932">
        <f t="shared" si="403"/>
        <v>12</v>
      </c>
      <c r="AC932" t="str">
        <f>IF(客户自备加工筐明细!$C932="","",客户自备加工筐明细!$C932)</f>
        <v/>
      </c>
      <c r="AD932">
        <f t="shared" si="404"/>
        <v>0</v>
      </c>
      <c r="AE932">
        <f t="shared" si="405"/>
        <v>1</v>
      </c>
      <c r="AI932" t="str">
        <f>IF(客户自备加工筐明细!$E932="","",客户自备加工筐明细!$E932)</f>
        <v/>
      </c>
      <c r="AJ932">
        <f t="shared" si="406"/>
        <v>0</v>
      </c>
      <c r="AK932">
        <f t="shared" si="407"/>
        <v>1</v>
      </c>
      <c r="BS932" t="str">
        <f t="shared" ref="BS932:BS995" si="413">IF($BE132="","",$BE132)</f>
        <v/>
      </c>
      <c r="BT932">
        <f t="shared" si="408"/>
        <v>0</v>
      </c>
      <c r="BU932">
        <f t="shared" si="409"/>
        <v>18</v>
      </c>
      <c r="CP932">
        <f>IF(包装物料出入库明细!$D932="",0,1)</f>
        <v>0</v>
      </c>
      <c r="CQ932">
        <f t="shared" si="410"/>
        <v>37</v>
      </c>
      <c r="CS932" t="str">
        <f>IF(OR(周转筐出入库明细!$C933="",周转筐出入库明细!$F933&lt;&gt;"采购入库"),"",周转筐出入库明细!$C933)</f>
        <v/>
      </c>
      <c r="CT932">
        <f t="shared" si="411"/>
        <v>0</v>
      </c>
      <c r="CU932">
        <f t="shared" si="412"/>
        <v>1</v>
      </c>
    </row>
    <row r="933" spans="1:99">
      <c r="A933" t="str">
        <f>IF(包装物料出入库明细!$E933="","",包装物料出入库明细!$E933)</f>
        <v/>
      </c>
      <c r="B933">
        <f t="shared" si="396"/>
        <v>0</v>
      </c>
      <c r="C933">
        <f t="shared" si="397"/>
        <v>7</v>
      </c>
      <c r="D933" t="str">
        <f>IF(包装物料出入库明细!$E933="","",包装物料出入库明细!$F933)</f>
        <v/>
      </c>
      <c r="E933" t="str">
        <f>IF(包装物料出入库明细!$E933="","",包装物料出入库明细!$G933)</f>
        <v/>
      </c>
      <c r="K933" t="str">
        <f>IF(包装物料出入库明细!$D933="","",包装物料出入库明细!$D933)</f>
        <v/>
      </c>
      <c r="L933">
        <f t="shared" si="398"/>
        <v>0</v>
      </c>
      <c r="M933">
        <f t="shared" si="399"/>
        <v>9</v>
      </c>
      <c r="Q933" t="str">
        <f>IF(周转筐出入库明细!$D934="","",周转筐出入库明细!$D934)</f>
        <v/>
      </c>
      <c r="R933">
        <f t="shared" si="400"/>
        <v>0</v>
      </c>
      <c r="S933">
        <f t="shared" si="401"/>
        <v>5</v>
      </c>
      <c r="W933" t="str">
        <f>IF(周转筐出入库明细!$C934="","",周转筐出入库明细!$C934)</f>
        <v/>
      </c>
      <c r="X933">
        <f t="shared" si="402"/>
        <v>0</v>
      </c>
      <c r="Y933">
        <f t="shared" si="403"/>
        <v>12</v>
      </c>
      <c r="AC933" t="str">
        <f>IF(客户自备加工筐明细!$C933="","",客户自备加工筐明细!$C933)</f>
        <v/>
      </c>
      <c r="AD933">
        <f t="shared" si="404"/>
        <v>0</v>
      </c>
      <c r="AE933">
        <f t="shared" si="405"/>
        <v>1</v>
      </c>
      <c r="AI933" t="str">
        <f>IF(客户自备加工筐明细!$E933="","",客户自备加工筐明细!$E933)</f>
        <v/>
      </c>
      <c r="AJ933">
        <f t="shared" si="406"/>
        <v>0</v>
      </c>
      <c r="AK933">
        <f t="shared" si="407"/>
        <v>1</v>
      </c>
      <c r="BS933" t="str">
        <f t="shared" si="413"/>
        <v/>
      </c>
      <c r="BT933">
        <f t="shared" si="408"/>
        <v>0</v>
      </c>
      <c r="BU933">
        <f t="shared" si="409"/>
        <v>18</v>
      </c>
      <c r="CP933">
        <f>IF(包装物料出入库明细!$D933="",0,1)</f>
        <v>0</v>
      </c>
      <c r="CQ933">
        <f t="shared" si="410"/>
        <v>37</v>
      </c>
      <c r="CS933" t="str">
        <f>IF(OR(周转筐出入库明细!$C934="",周转筐出入库明细!$F934&lt;&gt;"采购入库"),"",周转筐出入库明细!$C934)</f>
        <v/>
      </c>
      <c r="CT933">
        <f t="shared" si="411"/>
        <v>0</v>
      </c>
      <c r="CU933">
        <f t="shared" si="412"/>
        <v>1</v>
      </c>
    </row>
    <row r="934" spans="1:99">
      <c r="A934" t="str">
        <f>IF(包装物料出入库明细!$E934="","",包装物料出入库明细!$E934)</f>
        <v/>
      </c>
      <c r="B934">
        <f t="shared" si="396"/>
        <v>0</v>
      </c>
      <c r="C934">
        <f t="shared" si="397"/>
        <v>7</v>
      </c>
      <c r="D934" t="str">
        <f>IF(包装物料出入库明细!$E934="","",包装物料出入库明细!$F934)</f>
        <v/>
      </c>
      <c r="E934" t="str">
        <f>IF(包装物料出入库明细!$E934="","",包装物料出入库明细!$G934)</f>
        <v/>
      </c>
      <c r="K934" t="str">
        <f>IF(包装物料出入库明细!$D934="","",包装物料出入库明细!$D934)</f>
        <v/>
      </c>
      <c r="L934">
        <f t="shared" si="398"/>
        <v>0</v>
      </c>
      <c r="M934">
        <f t="shared" si="399"/>
        <v>9</v>
      </c>
      <c r="Q934" t="str">
        <f>IF(周转筐出入库明细!$D935="","",周转筐出入库明细!$D935)</f>
        <v/>
      </c>
      <c r="R934">
        <f t="shared" si="400"/>
        <v>0</v>
      </c>
      <c r="S934">
        <f t="shared" si="401"/>
        <v>5</v>
      </c>
      <c r="W934" t="str">
        <f>IF(周转筐出入库明细!$C935="","",周转筐出入库明细!$C935)</f>
        <v/>
      </c>
      <c r="X934">
        <f t="shared" si="402"/>
        <v>0</v>
      </c>
      <c r="Y934">
        <f t="shared" si="403"/>
        <v>12</v>
      </c>
      <c r="AC934" t="str">
        <f>IF(客户自备加工筐明细!$C934="","",客户自备加工筐明细!$C934)</f>
        <v/>
      </c>
      <c r="AD934">
        <f t="shared" si="404"/>
        <v>0</v>
      </c>
      <c r="AE934">
        <f t="shared" si="405"/>
        <v>1</v>
      </c>
      <c r="AI934" t="str">
        <f>IF(客户自备加工筐明细!$E934="","",客户自备加工筐明细!$E934)</f>
        <v/>
      </c>
      <c r="AJ934">
        <f t="shared" si="406"/>
        <v>0</v>
      </c>
      <c r="AK934">
        <f t="shared" si="407"/>
        <v>1</v>
      </c>
      <c r="BS934" t="str">
        <f t="shared" si="413"/>
        <v/>
      </c>
      <c r="BT934">
        <f t="shared" si="408"/>
        <v>0</v>
      </c>
      <c r="BU934">
        <f t="shared" si="409"/>
        <v>18</v>
      </c>
      <c r="CP934">
        <f>IF(包装物料出入库明细!$D934="",0,1)</f>
        <v>0</v>
      </c>
      <c r="CQ934">
        <f t="shared" si="410"/>
        <v>37</v>
      </c>
      <c r="CS934" t="str">
        <f>IF(OR(周转筐出入库明细!$C935="",周转筐出入库明细!$F935&lt;&gt;"采购入库"),"",周转筐出入库明细!$C935)</f>
        <v/>
      </c>
      <c r="CT934">
        <f t="shared" si="411"/>
        <v>0</v>
      </c>
      <c r="CU934">
        <f t="shared" si="412"/>
        <v>1</v>
      </c>
    </row>
    <row r="935" spans="1:99">
      <c r="A935" t="str">
        <f>IF(包装物料出入库明细!$E935="","",包装物料出入库明细!$E935)</f>
        <v/>
      </c>
      <c r="B935">
        <f t="shared" si="396"/>
        <v>0</v>
      </c>
      <c r="C935">
        <f t="shared" si="397"/>
        <v>7</v>
      </c>
      <c r="D935" t="str">
        <f>IF(包装物料出入库明细!$E935="","",包装物料出入库明细!$F935)</f>
        <v/>
      </c>
      <c r="E935" t="str">
        <f>IF(包装物料出入库明细!$E935="","",包装物料出入库明细!$G935)</f>
        <v/>
      </c>
      <c r="K935" t="str">
        <f>IF(包装物料出入库明细!$D935="","",包装物料出入库明细!$D935)</f>
        <v/>
      </c>
      <c r="L935">
        <f t="shared" si="398"/>
        <v>0</v>
      </c>
      <c r="M935">
        <f t="shared" si="399"/>
        <v>9</v>
      </c>
      <c r="Q935" t="str">
        <f>IF(周转筐出入库明细!$D936="","",周转筐出入库明细!$D936)</f>
        <v/>
      </c>
      <c r="R935">
        <f t="shared" si="400"/>
        <v>0</v>
      </c>
      <c r="S935">
        <f t="shared" si="401"/>
        <v>5</v>
      </c>
      <c r="W935" t="str">
        <f>IF(周转筐出入库明细!$C936="","",周转筐出入库明细!$C936)</f>
        <v/>
      </c>
      <c r="X935">
        <f t="shared" si="402"/>
        <v>0</v>
      </c>
      <c r="Y935">
        <f t="shared" si="403"/>
        <v>12</v>
      </c>
      <c r="AC935" t="str">
        <f>IF(客户自备加工筐明细!$C935="","",客户自备加工筐明细!$C935)</f>
        <v/>
      </c>
      <c r="AD935">
        <f t="shared" si="404"/>
        <v>0</v>
      </c>
      <c r="AE935">
        <f t="shared" si="405"/>
        <v>1</v>
      </c>
      <c r="AI935" t="str">
        <f>IF(客户自备加工筐明细!$E935="","",客户自备加工筐明细!$E935)</f>
        <v/>
      </c>
      <c r="AJ935">
        <f t="shared" si="406"/>
        <v>0</v>
      </c>
      <c r="AK935">
        <f t="shared" si="407"/>
        <v>1</v>
      </c>
      <c r="BS935" t="str">
        <f t="shared" si="413"/>
        <v/>
      </c>
      <c r="BT935">
        <f t="shared" si="408"/>
        <v>0</v>
      </c>
      <c r="BU935">
        <f t="shared" si="409"/>
        <v>18</v>
      </c>
      <c r="CP935">
        <f>IF(包装物料出入库明细!$D935="",0,1)</f>
        <v>0</v>
      </c>
      <c r="CQ935">
        <f t="shared" si="410"/>
        <v>37</v>
      </c>
      <c r="CS935" t="str">
        <f>IF(OR(周转筐出入库明细!$C936="",周转筐出入库明细!$F936&lt;&gt;"采购入库"),"",周转筐出入库明细!$C936)</f>
        <v/>
      </c>
      <c r="CT935">
        <f t="shared" si="411"/>
        <v>0</v>
      </c>
      <c r="CU935">
        <f t="shared" si="412"/>
        <v>1</v>
      </c>
    </row>
    <row r="936" spans="1:99">
      <c r="A936" t="str">
        <f>IF(包装物料出入库明细!$E936="","",包装物料出入库明细!$E936)</f>
        <v/>
      </c>
      <c r="B936">
        <f t="shared" si="396"/>
        <v>0</v>
      </c>
      <c r="C936">
        <f t="shared" si="397"/>
        <v>7</v>
      </c>
      <c r="D936" t="str">
        <f>IF(包装物料出入库明细!$E936="","",包装物料出入库明细!$F936)</f>
        <v/>
      </c>
      <c r="E936" t="str">
        <f>IF(包装物料出入库明细!$E936="","",包装物料出入库明细!$G936)</f>
        <v/>
      </c>
      <c r="K936" t="str">
        <f>IF(包装物料出入库明细!$D936="","",包装物料出入库明细!$D936)</f>
        <v/>
      </c>
      <c r="L936">
        <f t="shared" si="398"/>
        <v>0</v>
      </c>
      <c r="M936">
        <f t="shared" si="399"/>
        <v>9</v>
      </c>
      <c r="Q936" t="str">
        <f>IF(周转筐出入库明细!$D937="","",周转筐出入库明细!$D937)</f>
        <v/>
      </c>
      <c r="R936">
        <f t="shared" si="400"/>
        <v>0</v>
      </c>
      <c r="S936">
        <f t="shared" si="401"/>
        <v>5</v>
      </c>
      <c r="W936" t="str">
        <f>IF(周转筐出入库明细!$C937="","",周转筐出入库明细!$C937)</f>
        <v/>
      </c>
      <c r="X936">
        <f t="shared" si="402"/>
        <v>0</v>
      </c>
      <c r="Y936">
        <f t="shared" si="403"/>
        <v>12</v>
      </c>
      <c r="AC936" t="str">
        <f>IF(客户自备加工筐明细!$C936="","",客户自备加工筐明细!$C936)</f>
        <v/>
      </c>
      <c r="AD936">
        <f t="shared" si="404"/>
        <v>0</v>
      </c>
      <c r="AE936">
        <f t="shared" si="405"/>
        <v>1</v>
      </c>
      <c r="AI936" t="str">
        <f>IF(客户自备加工筐明细!$E936="","",客户自备加工筐明细!$E936)</f>
        <v/>
      </c>
      <c r="AJ936">
        <f t="shared" si="406"/>
        <v>0</v>
      </c>
      <c r="AK936">
        <f t="shared" si="407"/>
        <v>1</v>
      </c>
      <c r="BS936" t="str">
        <f t="shared" si="413"/>
        <v/>
      </c>
      <c r="BT936">
        <f t="shared" si="408"/>
        <v>0</v>
      </c>
      <c r="BU936">
        <f t="shared" si="409"/>
        <v>18</v>
      </c>
      <c r="CP936">
        <f>IF(包装物料出入库明细!$D936="",0,1)</f>
        <v>0</v>
      </c>
      <c r="CQ936">
        <f t="shared" si="410"/>
        <v>37</v>
      </c>
      <c r="CS936" t="str">
        <f>IF(OR(周转筐出入库明细!$C937="",周转筐出入库明细!$F937&lt;&gt;"采购入库"),"",周转筐出入库明细!$C937)</f>
        <v/>
      </c>
      <c r="CT936">
        <f t="shared" si="411"/>
        <v>0</v>
      </c>
      <c r="CU936">
        <f t="shared" si="412"/>
        <v>1</v>
      </c>
    </row>
    <row r="937" spans="1:99">
      <c r="A937" t="str">
        <f>IF(包装物料出入库明细!$E937="","",包装物料出入库明细!$E937)</f>
        <v/>
      </c>
      <c r="B937">
        <f t="shared" si="396"/>
        <v>0</v>
      </c>
      <c r="C937">
        <f t="shared" si="397"/>
        <v>7</v>
      </c>
      <c r="D937" t="str">
        <f>IF(包装物料出入库明细!$E937="","",包装物料出入库明细!$F937)</f>
        <v/>
      </c>
      <c r="E937" t="str">
        <f>IF(包装物料出入库明细!$E937="","",包装物料出入库明细!$G937)</f>
        <v/>
      </c>
      <c r="K937" t="str">
        <f>IF(包装物料出入库明细!$D937="","",包装物料出入库明细!$D937)</f>
        <v/>
      </c>
      <c r="L937">
        <f t="shared" si="398"/>
        <v>0</v>
      </c>
      <c r="M937">
        <f t="shared" si="399"/>
        <v>9</v>
      </c>
      <c r="Q937" t="str">
        <f>IF(周转筐出入库明细!$D938="","",周转筐出入库明细!$D938)</f>
        <v/>
      </c>
      <c r="R937">
        <f t="shared" si="400"/>
        <v>0</v>
      </c>
      <c r="S937">
        <f t="shared" si="401"/>
        <v>5</v>
      </c>
      <c r="W937" t="str">
        <f>IF(周转筐出入库明细!$C938="","",周转筐出入库明细!$C938)</f>
        <v/>
      </c>
      <c r="X937">
        <f t="shared" si="402"/>
        <v>0</v>
      </c>
      <c r="Y937">
        <f t="shared" si="403"/>
        <v>12</v>
      </c>
      <c r="AC937" t="str">
        <f>IF(客户自备加工筐明细!$C937="","",客户自备加工筐明细!$C937)</f>
        <v/>
      </c>
      <c r="AD937">
        <f t="shared" si="404"/>
        <v>0</v>
      </c>
      <c r="AE937">
        <f t="shared" si="405"/>
        <v>1</v>
      </c>
      <c r="AI937" t="str">
        <f>IF(客户自备加工筐明细!$E937="","",客户自备加工筐明细!$E937)</f>
        <v/>
      </c>
      <c r="AJ937">
        <f t="shared" si="406"/>
        <v>0</v>
      </c>
      <c r="AK937">
        <f t="shared" si="407"/>
        <v>1</v>
      </c>
      <c r="BS937" t="str">
        <f t="shared" si="413"/>
        <v/>
      </c>
      <c r="BT937">
        <f t="shared" si="408"/>
        <v>0</v>
      </c>
      <c r="BU937">
        <f t="shared" si="409"/>
        <v>18</v>
      </c>
      <c r="CP937">
        <f>IF(包装物料出入库明细!$D937="",0,1)</f>
        <v>0</v>
      </c>
      <c r="CQ937">
        <f t="shared" si="410"/>
        <v>37</v>
      </c>
      <c r="CS937" t="str">
        <f>IF(OR(周转筐出入库明细!$C938="",周转筐出入库明细!$F938&lt;&gt;"采购入库"),"",周转筐出入库明细!$C938)</f>
        <v/>
      </c>
      <c r="CT937">
        <f t="shared" si="411"/>
        <v>0</v>
      </c>
      <c r="CU937">
        <f t="shared" si="412"/>
        <v>1</v>
      </c>
    </row>
    <row r="938" spans="1:99">
      <c r="A938" t="str">
        <f>IF(包装物料出入库明细!$E938="","",包装物料出入库明细!$E938)</f>
        <v/>
      </c>
      <c r="B938">
        <f t="shared" si="396"/>
        <v>0</v>
      </c>
      <c r="C938">
        <f t="shared" si="397"/>
        <v>7</v>
      </c>
      <c r="D938" t="str">
        <f>IF(包装物料出入库明细!$E938="","",包装物料出入库明细!$F938)</f>
        <v/>
      </c>
      <c r="E938" t="str">
        <f>IF(包装物料出入库明细!$E938="","",包装物料出入库明细!$G938)</f>
        <v/>
      </c>
      <c r="K938" t="str">
        <f>IF(包装物料出入库明细!$D938="","",包装物料出入库明细!$D938)</f>
        <v/>
      </c>
      <c r="L938">
        <f t="shared" si="398"/>
        <v>0</v>
      </c>
      <c r="M938">
        <f t="shared" si="399"/>
        <v>9</v>
      </c>
      <c r="Q938" t="str">
        <f>IF(周转筐出入库明细!$D939="","",周转筐出入库明细!$D939)</f>
        <v/>
      </c>
      <c r="R938">
        <f t="shared" si="400"/>
        <v>0</v>
      </c>
      <c r="S938">
        <f t="shared" si="401"/>
        <v>5</v>
      </c>
      <c r="W938" t="str">
        <f>IF(周转筐出入库明细!$C939="","",周转筐出入库明细!$C939)</f>
        <v/>
      </c>
      <c r="X938">
        <f t="shared" si="402"/>
        <v>0</v>
      </c>
      <c r="Y938">
        <f t="shared" si="403"/>
        <v>12</v>
      </c>
      <c r="AC938" t="str">
        <f>IF(客户自备加工筐明细!$C938="","",客户自备加工筐明细!$C938)</f>
        <v/>
      </c>
      <c r="AD938">
        <f t="shared" si="404"/>
        <v>0</v>
      </c>
      <c r="AE938">
        <f t="shared" si="405"/>
        <v>1</v>
      </c>
      <c r="AI938" t="str">
        <f>IF(客户自备加工筐明细!$E938="","",客户自备加工筐明细!$E938)</f>
        <v/>
      </c>
      <c r="AJ938">
        <f t="shared" si="406"/>
        <v>0</v>
      </c>
      <c r="AK938">
        <f t="shared" si="407"/>
        <v>1</v>
      </c>
      <c r="BS938" t="str">
        <f t="shared" si="413"/>
        <v/>
      </c>
      <c r="BT938">
        <f t="shared" si="408"/>
        <v>0</v>
      </c>
      <c r="BU938">
        <f t="shared" si="409"/>
        <v>18</v>
      </c>
      <c r="CP938">
        <f>IF(包装物料出入库明细!$D938="",0,1)</f>
        <v>0</v>
      </c>
      <c r="CQ938">
        <f t="shared" si="410"/>
        <v>37</v>
      </c>
      <c r="CS938" t="str">
        <f>IF(OR(周转筐出入库明细!$C939="",周转筐出入库明细!$F939&lt;&gt;"采购入库"),"",周转筐出入库明细!$C939)</f>
        <v/>
      </c>
      <c r="CT938">
        <f t="shared" si="411"/>
        <v>0</v>
      </c>
      <c r="CU938">
        <f t="shared" si="412"/>
        <v>1</v>
      </c>
    </row>
    <row r="939" spans="1:99">
      <c r="A939" t="str">
        <f>IF(包装物料出入库明细!$E939="","",包装物料出入库明细!$E939)</f>
        <v/>
      </c>
      <c r="B939">
        <f t="shared" si="396"/>
        <v>0</v>
      </c>
      <c r="C939">
        <f t="shared" si="397"/>
        <v>7</v>
      </c>
      <c r="D939" t="str">
        <f>IF(包装物料出入库明细!$E939="","",包装物料出入库明细!$F939)</f>
        <v/>
      </c>
      <c r="E939" t="str">
        <f>IF(包装物料出入库明细!$E939="","",包装物料出入库明细!$G939)</f>
        <v/>
      </c>
      <c r="K939" t="str">
        <f>IF(包装物料出入库明细!$D939="","",包装物料出入库明细!$D939)</f>
        <v/>
      </c>
      <c r="L939">
        <f t="shared" si="398"/>
        <v>0</v>
      </c>
      <c r="M939">
        <f t="shared" si="399"/>
        <v>9</v>
      </c>
      <c r="Q939" t="str">
        <f>IF(周转筐出入库明细!$D940="","",周转筐出入库明细!$D940)</f>
        <v/>
      </c>
      <c r="R939">
        <f t="shared" si="400"/>
        <v>0</v>
      </c>
      <c r="S939">
        <f t="shared" si="401"/>
        <v>5</v>
      </c>
      <c r="W939" t="str">
        <f>IF(周转筐出入库明细!$C940="","",周转筐出入库明细!$C940)</f>
        <v/>
      </c>
      <c r="X939">
        <f t="shared" si="402"/>
        <v>0</v>
      </c>
      <c r="Y939">
        <f t="shared" si="403"/>
        <v>12</v>
      </c>
      <c r="AC939" t="str">
        <f>IF(客户自备加工筐明细!$C939="","",客户自备加工筐明细!$C939)</f>
        <v/>
      </c>
      <c r="AD939">
        <f t="shared" si="404"/>
        <v>0</v>
      </c>
      <c r="AE939">
        <f t="shared" si="405"/>
        <v>1</v>
      </c>
      <c r="AI939" t="str">
        <f>IF(客户自备加工筐明细!$E939="","",客户自备加工筐明细!$E939)</f>
        <v/>
      </c>
      <c r="AJ939">
        <f t="shared" si="406"/>
        <v>0</v>
      </c>
      <c r="AK939">
        <f t="shared" si="407"/>
        <v>1</v>
      </c>
      <c r="BS939" t="str">
        <f t="shared" si="413"/>
        <v/>
      </c>
      <c r="BT939">
        <f t="shared" si="408"/>
        <v>0</v>
      </c>
      <c r="BU939">
        <f t="shared" si="409"/>
        <v>18</v>
      </c>
      <c r="CP939">
        <f>IF(包装物料出入库明细!$D939="",0,1)</f>
        <v>0</v>
      </c>
      <c r="CQ939">
        <f t="shared" si="410"/>
        <v>37</v>
      </c>
      <c r="CS939" t="str">
        <f>IF(OR(周转筐出入库明细!$C940="",周转筐出入库明细!$F940&lt;&gt;"采购入库"),"",周转筐出入库明细!$C940)</f>
        <v/>
      </c>
      <c r="CT939">
        <f t="shared" si="411"/>
        <v>0</v>
      </c>
      <c r="CU939">
        <f t="shared" si="412"/>
        <v>1</v>
      </c>
    </row>
    <row r="940" spans="1:99">
      <c r="A940" t="str">
        <f>IF(包装物料出入库明细!$E940="","",包装物料出入库明细!$E940)</f>
        <v/>
      </c>
      <c r="B940">
        <f t="shared" si="396"/>
        <v>0</v>
      </c>
      <c r="C940">
        <f t="shared" si="397"/>
        <v>7</v>
      </c>
      <c r="D940" t="str">
        <f>IF(包装物料出入库明细!$E940="","",包装物料出入库明细!$F940)</f>
        <v/>
      </c>
      <c r="E940" t="str">
        <f>IF(包装物料出入库明细!$E940="","",包装物料出入库明细!$G940)</f>
        <v/>
      </c>
      <c r="K940" t="str">
        <f>IF(包装物料出入库明细!$D940="","",包装物料出入库明细!$D940)</f>
        <v/>
      </c>
      <c r="L940">
        <f t="shared" si="398"/>
        <v>0</v>
      </c>
      <c r="M940">
        <f t="shared" si="399"/>
        <v>9</v>
      </c>
      <c r="Q940" t="str">
        <f>IF(周转筐出入库明细!$D941="","",周转筐出入库明细!$D941)</f>
        <v/>
      </c>
      <c r="R940">
        <f t="shared" si="400"/>
        <v>0</v>
      </c>
      <c r="S940">
        <f t="shared" si="401"/>
        <v>5</v>
      </c>
      <c r="W940" t="str">
        <f>IF(周转筐出入库明细!$C941="","",周转筐出入库明细!$C941)</f>
        <v/>
      </c>
      <c r="X940">
        <f t="shared" si="402"/>
        <v>0</v>
      </c>
      <c r="Y940">
        <f t="shared" si="403"/>
        <v>12</v>
      </c>
      <c r="AC940" t="str">
        <f>IF(客户自备加工筐明细!$C940="","",客户自备加工筐明细!$C940)</f>
        <v/>
      </c>
      <c r="AD940">
        <f t="shared" si="404"/>
        <v>0</v>
      </c>
      <c r="AE940">
        <f t="shared" si="405"/>
        <v>1</v>
      </c>
      <c r="AI940" t="str">
        <f>IF(客户自备加工筐明细!$E940="","",客户自备加工筐明细!$E940)</f>
        <v/>
      </c>
      <c r="AJ940">
        <f t="shared" si="406"/>
        <v>0</v>
      </c>
      <c r="AK940">
        <f t="shared" si="407"/>
        <v>1</v>
      </c>
      <c r="BS940" t="str">
        <f t="shared" si="413"/>
        <v/>
      </c>
      <c r="BT940">
        <f t="shared" si="408"/>
        <v>0</v>
      </c>
      <c r="BU940">
        <f t="shared" si="409"/>
        <v>18</v>
      </c>
      <c r="CP940">
        <f>IF(包装物料出入库明细!$D940="",0,1)</f>
        <v>0</v>
      </c>
      <c r="CQ940">
        <f t="shared" si="410"/>
        <v>37</v>
      </c>
      <c r="CS940" t="str">
        <f>IF(OR(周转筐出入库明细!$C941="",周转筐出入库明细!$F941&lt;&gt;"采购入库"),"",周转筐出入库明细!$C941)</f>
        <v/>
      </c>
      <c r="CT940">
        <f t="shared" si="411"/>
        <v>0</v>
      </c>
      <c r="CU940">
        <f t="shared" si="412"/>
        <v>1</v>
      </c>
    </row>
    <row r="941" spans="1:99">
      <c r="A941" t="str">
        <f>IF(包装物料出入库明细!$E941="","",包装物料出入库明细!$E941)</f>
        <v/>
      </c>
      <c r="B941">
        <f t="shared" si="396"/>
        <v>0</v>
      </c>
      <c r="C941">
        <f t="shared" si="397"/>
        <v>7</v>
      </c>
      <c r="D941" t="str">
        <f>IF(包装物料出入库明细!$E941="","",包装物料出入库明细!$F941)</f>
        <v/>
      </c>
      <c r="E941" t="str">
        <f>IF(包装物料出入库明细!$E941="","",包装物料出入库明细!$G941)</f>
        <v/>
      </c>
      <c r="K941" t="str">
        <f>IF(包装物料出入库明细!$D941="","",包装物料出入库明细!$D941)</f>
        <v/>
      </c>
      <c r="L941">
        <f t="shared" si="398"/>
        <v>0</v>
      </c>
      <c r="M941">
        <f t="shared" si="399"/>
        <v>9</v>
      </c>
      <c r="Q941" t="str">
        <f>IF(周转筐出入库明细!$D942="","",周转筐出入库明细!$D942)</f>
        <v/>
      </c>
      <c r="R941">
        <f t="shared" si="400"/>
        <v>0</v>
      </c>
      <c r="S941">
        <f t="shared" si="401"/>
        <v>5</v>
      </c>
      <c r="W941" t="str">
        <f>IF(周转筐出入库明细!$C942="","",周转筐出入库明细!$C942)</f>
        <v/>
      </c>
      <c r="X941">
        <f t="shared" si="402"/>
        <v>0</v>
      </c>
      <c r="Y941">
        <f t="shared" si="403"/>
        <v>12</v>
      </c>
      <c r="AC941" t="str">
        <f>IF(客户自备加工筐明细!$C941="","",客户自备加工筐明细!$C941)</f>
        <v/>
      </c>
      <c r="AD941">
        <f t="shared" si="404"/>
        <v>0</v>
      </c>
      <c r="AE941">
        <f t="shared" si="405"/>
        <v>1</v>
      </c>
      <c r="AI941" t="str">
        <f>IF(客户自备加工筐明细!$E941="","",客户自备加工筐明细!$E941)</f>
        <v/>
      </c>
      <c r="AJ941">
        <f t="shared" si="406"/>
        <v>0</v>
      </c>
      <c r="AK941">
        <f t="shared" si="407"/>
        <v>1</v>
      </c>
      <c r="BS941" t="str">
        <f t="shared" si="413"/>
        <v/>
      </c>
      <c r="BT941">
        <f t="shared" si="408"/>
        <v>0</v>
      </c>
      <c r="BU941">
        <f t="shared" si="409"/>
        <v>18</v>
      </c>
      <c r="CP941">
        <f>IF(包装物料出入库明细!$D941="",0,1)</f>
        <v>0</v>
      </c>
      <c r="CQ941">
        <f t="shared" si="410"/>
        <v>37</v>
      </c>
      <c r="CS941" t="str">
        <f>IF(OR(周转筐出入库明细!$C942="",周转筐出入库明细!$F942&lt;&gt;"采购入库"),"",周转筐出入库明细!$C942)</f>
        <v/>
      </c>
      <c r="CT941">
        <f t="shared" si="411"/>
        <v>0</v>
      </c>
      <c r="CU941">
        <f t="shared" si="412"/>
        <v>1</v>
      </c>
    </row>
    <row r="942" spans="1:99">
      <c r="A942" t="str">
        <f>IF(包装物料出入库明细!$E942="","",包装物料出入库明细!$E942)</f>
        <v/>
      </c>
      <c r="B942">
        <f t="shared" si="396"/>
        <v>0</v>
      </c>
      <c r="C942">
        <f t="shared" si="397"/>
        <v>7</v>
      </c>
      <c r="D942" t="str">
        <f>IF(包装物料出入库明细!$E942="","",包装物料出入库明细!$F942)</f>
        <v/>
      </c>
      <c r="E942" t="str">
        <f>IF(包装物料出入库明细!$E942="","",包装物料出入库明细!$G942)</f>
        <v/>
      </c>
      <c r="K942" t="str">
        <f>IF(包装物料出入库明细!$D942="","",包装物料出入库明细!$D942)</f>
        <v/>
      </c>
      <c r="L942">
        <f t="shared" si="398"/>
        <v>0</v>
      </c>
      <c r="M942">
        <f t="shared" si="399"/>
        <v>9</v>
      </c>
      <c r="Q942" t="str">
        <f>IF(周转筐出入库明细!$D943="","",周转筐出入库明细!$D943)</f>
        <v/>
      </c>
      <c r="R942">
        <f t="shared" si="400"/>
        <v>0</v>
      </c>
      <c r="S942">
        <f t="shared" si="401"/>
        <v>5</v>
      </c>
      <c r="W942" t="str">
        <f>IF(周转筐出入库明细!$C943="","",周转筐出入库明细!$C943)</f>
        <v/>
      </c>
      <c r="X942">
        <f t="shared" si="402"/>
        <v>0</v>
      </c>
      <c r="Y942">
        <f t="shared" si="403"/>
        <v>12</v>
      </c>
      <c r="AC942" t="str">
        <f>IF(客户自备加工筐明细!$C942="","",客户自备加工筐明细!$C942)</f>
        <v/>
      </c>
      <c r="AD942">
        <f t="shared" si="404"/>
        <v>0</v>
      </c>
      <c r="AE942">
        <f t="shared" si="405"/>
        <v>1</v>
      </c>
      <c r="AI942" t="str">
        <f>IF(客户自备加工筐明细!$E942="","",客户自备加工筐明细!$E942)</f>
        <v/>
      </c>
      <c r="AJ942">
        <f t="shared" si="406"/>
        <v>0</v>
      </c>
      <c r="AK942">
        <f t="shared" si="407"/>
        <v>1</v>
      </c>
      <c r="BS942" t="str">
        <f t="shared" si="413"/>
        <v/>
      </c>
      <c r="BT942">
        <f t="shared" si="408"/>
        <v>0</v>
      </c>
      <c r="BU942">
        <f t="shared" si="409"/>
        <v>18</v>
      </c>
      <c r="CP942">
        <f>IF(包装物料出入库明细!$D942="",0,1)</f>
        <v>0</v>
      </c>
      <c r="CQ942">
        <f t="shared" si="410"/>
        <v>37</v>
      </c>
      <c r="CS942" t="str">
        <f>IF(OR(周转筐出入库明细!$C943="",周转筐出入库明细!$F943&lt;&gt;"采购入库"),"",周转筐出入库明细!$C943)</f>
        <v/>
      </c>
      <c r="CT942">
        <f t="shared" si="411"/>
        <v>0</v>
      </c>
      <c r="CU942">
        <f t="shared" si="412"/>
        <v>1</v>
      </c>
    </row>
    <row r="943" spans="1:99">
      <c r="A943" t="str">
        <f>IF(包装物料出入库明细!$E943="","",包装物料出入库明细!$E943)</f>
        <v/>
      </c>
      <c r="B943">
        <f t="shared" si="396"/>
        <v>0</v>
      </c>
      <c r="C943">
        <f t="shared" si="397"/>
        <v>7</v>
      </c>
      <c r="D943" t="str">
        <f>IF(包装物料出入库明细!$E943="","",包装物料出入库明细!$F943)</f>
        <v/>
      </c>
      <c r="E943" t="str">
        <f>IF(包装物料出入库明细!$E943="","",包装物料出入库明细!$G943)</f>
        <v/>
      </c>
      <c r="K943" t="str">
        <f>IF(包装物料出入库明细!$D943="","",包装物料出入库明细!$D943)</f>
        <v/>
      </c>
      <c r="L943">
        <f t="shared" si="398"/>
        <v>0</v>
      </c>
      <c r="M943">
        <f t="shared" si="399"/>
        <v>9</v>
      </c>
      <c r="Q943" t="str">
        <f>IF(周转筐出入库明细!$D944="","",周转筐出入库明细!$D944)</f>
        <v/>
      </c>
      <c r="R943">
        <f t="shared" si="400"/>
        <v>0</v>
      </c>
      <c r="S943">
        <f t="shared" si="401"/>
        <v>5</v>
      </c>
      <c r="W943" t="str">
        <f>IF(周转筐出入库明细!$C944="","",周转筐出入库明细!$C944)</f>
        <v/>
      </c>
      <c r="X943">
        <f t="shared" si="402"/>
        <v>0</v>
      </c>
      <c r="Y943">
        <f t="shared" si="403"/>
        <v>12</v>
      </c>
      <c r="AC943" t="str">
        <f>IF(客户自备加工筐明细!$C943="","",客户自备加工筐明细!$C943)</f>
        <v/>
      </c>
      <c r="AD943">
        <f t="shared" si="404"/>
        <v>0</v>
      </c>
      <c r="AE943">
        <f t="shared" si="405"/>
        <v>1</v>
      </c>
      <c r="AI943" t="str">
        <f>IF(客户自备加工筐明细!$E943="","",客户自备加工筐明细!$E943)</f>
        <v/>
      </c>
      <c r="AJ943">
        <f t="shared" si="406"/>
        <v>0</v>
      </c>
      <c r="AK943">
        <f t="shared" si="407"/>
        <v>1</v>
      </c>
      <c r="BS943" t="str">
        <f t="shared" si="413"/>
        <v/>
      </c>
      <c r="BT943">
        <f t="shared" si="408"/>
        <v>0</v>
      </c>
      <c r="BU943">
        <f t="shared" si="409"/>
        <v>18</v>
      </c>
      <c r="CP943">
        <f>IF(包装物料出入库明细!$D943="",0,1)</f>
        <v>0</v>
      </c>
      <c r="CQ943">
        <f t="shared" si="410"/>
        <v>37</v>
      </c>
      <c r="CS943" t="str">
        <f>IF(OR(周转筐出入库明细!$C944="",周转筐出入库明细!$F944&lt;&gt;"采购入库"),"",周转筐出入库明细!$C944)</f>
        <v/>
      </c>
      <c r="CT943">
        <f t="shared" si="411"/>
        <v>0</v>
      </c>
      <c r="CU943">
        <f t="shared" si="412"/>
        <v>1</v>
      </c>
    </row>
    <row r="944" spans="1:99">
      <c r="A944" t="str">
        <f>IF(包装物料出入库明细!$E944="","",包装物料出入库明细!$E944)</f>
        <v/>
      </c>
      <c r="B944">
        <f t="shared" si="396"/>
        <v>0</v>
      </c>
      <c r="C944">
        <f t="shared" si="397"/>
        <v>7</v>
      </c>
      <c r="D944" t="str">
        <f>IF(包装物料出入库明细!$E944="","",包装物料出入库明细!$F944)</f>
        <v/>
      </c>
      <c r="E944" t="str">
        <f>IF(包装物料出入库明细!$E944="","",包装物料出入库明细!$G944)</f>
        <v/>
      </c>
      <c r="K944" t="str">
        <f>IF(包装物料出入库明细!$D944="","",包装物料出入库明细!$D944)</f>
        <v/>
      </c>
      <c r="L944">
        <f t="shared" si="398"/>
        <v>0</v>
      </c>
      <c r="M944">
        <f t="shared" si="399"/>
        <v>9</v>
      </c>
      <c r="Q944" t="str">
        <f>IF(周转筐出入库明细!$D945="","",周转筐出入库明细!$D945)</f>
        <v/>
      </c>
      <c r="R944">
        <f t="shared" si="400"/>
        <v>0</v>
      </c>
      <c r="S944">
        <f t="shared" si="401"/>
        <v>5</v>
      </c>
      <c r="W944" t="str">
        <f>IF(周转筐出入库明细!$C945="","",周转筐出入库明细!$C945)</f>
        <v/>
      </c>
      <c r="X944">
        <f t="shared" si="402"/>
        <v>0</v>
      </c>
      <c r="Y944">
        <f t="shared" si="403"/>
        <v>12</v>
      </c>
      <c r="AC944" t="str">
        <f>IF(客户自备加工筐明细!$C944="","",客户自备加工筐明细!$C944)</f>
        <v/>
      </c>
      <c r="AD944">
        <f t="shared" si="404"/>
        <v>0</v>
      </c>
      <c r="AE944">
        <f t="shared" si="405"/>
        <v>1</v>
      </c>
      <c r="AI944" t="str">
        <f>IF(客户自备加工筐明细!$E944="","",客户自备加工筐明细!$E944)</f>
        <v/>
      </c>
      <c r="AJ944">
        <f t="shared" si="406"/>
        <v>0</v>
      </c>
      <c r="AK944">
        <f t="shared" si="407"/>
        <v>1</v>
      </c>
      <c r="BS944" t="str">
        <f t="shared" si="413"/>
        <v/>
      </c>
      <c r="BT944">
        <f t="shared" si="408"/>
        <v>0</v>
      </c>
      <c r="BU944">
        <f t="shared" si="409"/>
        <v>18</v>
      </c>
      <c r="CP944">
        <f>IF(包装物料出入库明细!$D944="",0,1)</f>
        <v>0</v>
      </c>
      <c r="CQ944">
        <f t="shared" si="410"/>
        <v>37</v>
      </c>
      <c r="CS944" t="str">
        <f>IF(OR(周转筐出入库明细!$C945="",周转筐出入库明细!$F945&lt;&gt;"采购入库"),"",周转筐出入库明细!$C945)</f>
        <v/>
      </c>
      <c r="CT944">
        <f t="shared" si="411"/>
        <v>0</v>
      </c>
      <c r="CU944">
        <f t="shared" si="412"/>
        <v>1</v>
      </c>
    </row>
    <row r="945" spans="1:99">
      <c r="A945" t="str">
        <f>IF(包装物料出入库明细!$E945="","",包装物料出入库明细!$E945)</f>
        <v/>
      </c>
      <c r="B945">
        <f t="shared" si="396"/>
        <v>0</v>
      </c>
      <c r="C945">
        <f t="shared" si="397"/>
        <v>7</v>
      </c>
      <c r="D945" t="str">
        <f>IF(包装物料出入库明细!$E945="","",包装物料出入库明细!$F945)</f>
        <v/>
      </c>
      <c r="E945" t="str">
        <f>IF(包装物料出入库明细!$E945="","",包装物料出入库明细!$G945)</f>
        <v/>
      </c>
      <c r="K945" t="str">
        <f>IF(包装物料出入库明细!$D945="","",包装物料出入库明细!$D945)</f>
        <v/>
      </c>
      <c r="L945">
        <f t="shared" si="398"/>
        <v>0</v>
      </c>
      <c r="M945">
        <f t="shared" si="399"/>
        <v>9</v>
      </c>
      <c r="Q945" t="str">
        <f>IF(周转筐出入库明细!$D946="","",周转筐出入库明细!$D946)</f>
        <v/>
      </c>
      <c r="R945">
        <f t="shared" si="400"/>
        <v>0</v>
      </c>
      <c r="S945">
        <f t="shared" si="401"/>
        <v>5</v>
      </c>
      <c r="W945" t="str">
        <f>IF(周转筐出入库明细!$C946="","",周转筐出入库明细!$C946)</f>
        <v/>
      </c>
      <c r="X945">
        <f t="shared" si="402"/>
        <v>0</v>
      </c>
      <c r="Y945">
        <f t="shared" si="403"/>
        <v>12</v>
      </c>
      <c r="AC945" t="str">
        <f>IF(客户自备加工筐明细!$C945="","",客户自备加工筐明细!$C945)</f>
        <v/>
      </c>
      <c r="AD945">
        <f t="shared" si="404"/>
        <v>0</v>
      </c>
      <c r="AE945">
        <f t="shared" si="405"/>
        <v>1</v>
      </c>
      <c r="AI945" t="str">
        <f>IF(客户自备加工筐明细!$E945="","",客户自备加工筐明细!$E945)</f>
        <v/>
      </c>
      <c r="AJ945">
        <f t="shared" si="406"/>
        <v>0</v>
      </c>
      <c r="AK945">
        <f t="shared" si="407"/>
        <v>1</v>
      </c>
      <c r="BS945" t="str">
        <f t="shared" si="413"/>
        <v/>
      </c>
      <c r="BT945">
        <f t="shared" si="408"/>
        <v>0</v>
      </c>
      <c r="BU945">
        <f t="shared" si="409"/>
        <v>18</v>
      </c>
      <c r="CP945">
        <f>IF(包装物料出入库明细!$D945="",0,1)</f>
        <v>0</v>
      </c>
      <c r="CQ945">
        <f t="shared" si="410"/>
        <v>37</v>
      </c>
      <c r="CS945" t="str">
        <f>IF(OR(周转筐出入库明细!$C946="",周转筐出入库明细!$F946&lt;&gt;"采购入库"),"",周转筐出入库明细!$C946)</f>
        <v/>
      </c>
      <c r="CT945">
        <f t="shared" si="411"/>
        <v>0</v>
      </c>
      <c r="CU945">
        <f t="shared" si="412"/>
        <v>1</v>
      </c>
    </row>
    <row r="946" spans="1:99">
      <c r="A946" t="str">
        <f>IF(包装物料出入库明细!$E946="","",包装物料出入库明细!$E946)</f>
        <v/>
      </c>
      <c r="B946">
        <f t="shared" si="396"/>
        <v>0</v>
      </c>
      <c r="C946">
        <f t="shared" si="397"/>
        <v>7</v>
      </c>
      <c r="D946" t="str">
        <f>IF(包装物料出入库明细!$E946="","",包装物料出入库明细!$F946)</f>
        <v/>
      </c>
      <c r="E946" t="str">
        <f>IF(包装物料出入库明细!$E946="","",包装物料出入库明细!$G946)</f>
        <v/>
      </c>
      <c r="K946" t="str">
        <f>IF(包装物料出入库明细!$D946="","",包装物料出入库明细!$D946)</f>
        <v/>
      </c>
      <c r="L946">
        <f t="shared" si="398"/>
        <v>0</v>
      </c>
      <c r="M946">
        <f t="shared" si="399"/>
        <v>9</v>
      </c>
      <c r="Q946" t="str">
        <f>IF(周转筐出入库明细!$D947="","",周转筐出入库明细!$D947)</f>
        <v/>
      </c>
      <c r="R946">
        <f t="shared" si="400"/>
        <v>0</v>
      </c>
      <c r="S946">
        <f t="shared" si="401"/>
        <v>5</v>
      </c>
      <c r="W946" t="str">
        <f>IF(周转筐出入库明细!$C947="","",周转筐出入库明细!$C947)</f>
        <v/>
      </c>
      <c r="X946">
        <f t="shared" si="402"/>
        <v>0</v>
      </c>
      <c r="Y946">
        <f t="shared" si="403"/>
        <v>12</v>
      </c>
      <c r="AC946" t="str">
        <f>IF(客户自备加工筐明细!$C946="","",客户自备加工筐明细!$C946)</f>
        <v/>
      </c>
      <c r="AD946">
        <f t="shared" si="404"/>
        <v>0</v>
      </c>
      <c r="AE946">
        <f t="shared" si="405"/>
        <v>1</v>
      </c>
      <c r="AI946" t="str">
        <f>IF(客户自备加工筐明细!$E946="","",客户自备加工筐明细!$E946)</f>
        <v/>
      </c>
      <c r="AJ946">
        <f t="shared" si="406"/>
        <v>0</v>
      </c>
      <c r="AK946">
        <f t="shared" si="407"/>
        <v>1</v>
      </c>
      <c r="BS946" t="str">
        <f t="shared" si="413"/>
        <v/>
      </c>
      <c r="BT946">
        <f t="shared" si="408"/>
        <v>0</v>
      </c>
      <c r="BU946">
        <f t="shared" si="409"/>
        <v>18</v>
      </c>
      <c r="CP946">
        <f>IF(包装物料出入库明细!$D946="",0,1)</f>
        <v>0</v>
      </c>
      <c r="CQ946">
        <f t="shared" si="410"/>
        <v>37</v>
      </c>
      <c r="CS946" t="str">
        <f>IF(OR(周转筐出入库明细!$C947="",周转筐出入库明细!$F947&lt;&gt;"采购入库"),"",周转筐出入库明细!$C947)</f>
        <v/>
      </c>
      <c r="CT946">
        <f t="shared" si="411"/>
        <v>0</v>
      </c>
      <c r="CU946">
        <f t="shared" si="412"/>
        <v>1</v>
      </c>
    </row>
    <row r="947" spans="1:99">
      <c r="A947" t="str">
        <f>IF(包装物料出入库明细!$E947="","",包装物料出入库明细!$E947)</f>
        <v/>
      </c>
      <c r="B947">
        <f t="shared" si="396"/>
        <v>0</v>
      </c>
      <c r="C947">
        <f t="shared" si="397"/>
        <v>7</v>
      </c>
      <c r="D947" t="str">
        <f>IF(包装物料出入库明细!$E947="","",包装物料出入库明细!$F947)</f>
        <v/>
      </c>
      <c r="E947" t="str">
        <f>IF(包装物料出入库明细!$E947="","",包装物料出入库明细!$G947)</f>
        <v/>
      </c>
      <c r="K947" t="str">
        <f>IF(包装物料出入库明细!$D947="","",包装物料出入库明细!$D947)</f>
        <v/>
      </c>
      <c r="L947">
        <f t="shared" si="398"/>
        <v>0</v>
      </c>
      <c r="M947">
        <f t="shared" si="399"/>
        <v>9</v>
      </c>
      <c r="Q947" t="str">
        <f>IF(周转筐出入库明细!$D948="","",周转筐出入库明细!$D948)</f>
        <v/>
      </c>
      <c r="R947">
        <f t="shared" si="400"/>
        <v>0</v>
      </c>
      <c r="S947">
        <f t="shared" si="401"/>
        <v>5</v>
      </c>
      <c r="W947" t="str">
        <f>IF(周转筐出入库明细!$C948="","",周转筐出入库明细!$C948)</f>
        <v/>
      </c>
      <c r="X947">
        <f t="shared" si="402"/>
        <v>0</v>
      </c>
      <c r="Y947">
        <f t="shared" si="403"/>
        <v>12</v>
      </c>
      <c r="AC947" t="str">
        <f>IF(客户自备加工筐明细!$C947="","",客户自备加工筐明细!$C947)</f>
        <v/>
      </c>
      <c r="AD947">
        <f t="shared" si="404"/>
        <v>0</v>
      </c>
      <c r="AE947">
        <f t="shared" si="405"/>
        <v>1</v>
      </c>
      <c r="AI947" t="str">
        <f>IF(客户自备加工筐明细!$E947="","",客户自备加工筐明细!$E947)</f>
        <v/>
      </c>
      <c r="AJ947">
        <f t="shared" si="406"/>
        <v>0</v>
      </c>
      <c r="AK947">
        <f t="shared" si="407"/>
        <v>1</v>
      </c>
      <c r="BS947" t="str">
        <f t="shared" si="413"/>
        <v/>
      </c>
      <c r="BT947">
        <f t="shared" si="408"/>
        <v>0</v>
      </c>
      <c r="BU947">
        <f t="shared" si="409"/>
        <v>18</v>
      </c>
      <c r="CP947">
        <f>IF(包装物料出入库明细!$D947="",0,1)</f>
        <v>0</v>
      </c>
      <c r="CQ947">
        <f t="shared" si="410"/>
        <v>37</v>
      </c>
      <c r="CS947" t="str">
        <f>IF(OR(周转筐出入库明细!$C948="",周转筐出入库明细!$F948&lt;&gt;"采购入库"),"",周转筐出入库明细!$C948)</f>
        <v/>
      </c>
      <c r="CT947">
        <f t="shared" si="411"/>
        <v>0</v>
      </c>
      <c r="CU947">
        <f t="shared" si="412"/>
        <v>1</v>
      </c>
    </row>
    <row r="948" spans="1:99">
      <c r="A948" t="str">
        <f>IF(包装物料出入库明细!$E948="","",包装物料出入库明细!$E948)</f>
        <v/>
      </c>
      <c r="B948">
        <f t="shared" si="396"/>
        <v>0</v>
      </c>
      <c r="C948">
        <f t="shared" si="397"/>
        <v>7</v>
      </c>
      <c r="D948" t="str">
        <f>IF(包装物料出入库明细!$E948="","",包装物料出入库明细!$F948)</f>
        <v/>
      </c>
      <c r="E948" t="str">
        <f>IF(包装物料出入库明细!$E948="","",包装物料出入库明细!$G948)</f>
        <v/>
      </c>
      <c r="K948" t="str">
        <f>IF(包装物料出入库明细!$D948="","",包装物料出入库明细!$D948)</f>
        <v/>
      </c>
      <c r="L948">
        <f t="shared" si="398"/>
        <v>0</v>
      </c>
      <c r="M948">
        <f t="shared" si="399"/>
        <v>9</v>
      </c>
      <c r="Q948" t="str">
        <f>IF(周转筐出入库明细!$D949="","",周转筐出入库明细!$D949)</f>
        <v/>
      </c>
      <c r="R948">
        <f t="shared" si="400"/>
        <v>0</v>
      </c>
      <c r="S948">
        <f t="shared" si="401"/>
        <v>5</v>
      </c>
      <c r="W948" t="str">
        <f>IF(周转筐出入库明细!$C949="","",周转筐出入库明细!$C949)</f>
        <v/>
      </c>
      <c r="X948">
        <f t="shared" si="402"/>
        <v>0</v>
      </c>
      <c r="Y948">
        <f t="shared" si="403"/>
        <v>12</v>
      </c>
      <c r="AC948" t="str">
        <f>IF(客户自备加工筐明细!$C948="","",客户自备加工筐明细!$C948)</f>
        <v/>
      </c>
      <c r="AD948">
        <f t="shared" si="404"/>
        <v>0</v>
      </c>
      <c r="AE948">
        <f t="shared" si="405"/>
        <v>1</v>
      </c>
      <c r="AI948" t="str">
        <f>IF(客户自备加工筐明细!$E948="","",客户自备加工筐明细!$E948)</f>
        <v/>
      </c>
      <c r="AJ948">
        <f t="shared" si="406"/>
        <v>0</v>
      </c>
      <c r="AK948">
        <f t="shared" si="407"/>
        <v>1</v>
      </c>
      <c r="BS948" t="str">
        <f t="shared" si="413"/>
        <v/>
      </c>
      <c r="BT948">
        <f t="shared" si="408"/>
        <v>0</v>
      </c>
      <c r="BU948">
        <f t="shared" si="409"/>
        <v>18</v>
      </c>
      <c r="CP948">
        <f>IF(包装物料出入库明细!$D948="",0,1)</f>
        <v>0</v>
      </c>
      <c r="CQ948">
        <f t="shared" si="410"/>
        <v>37</v>
      </c>
      <c r="CS948" t="str">
        <f>IF(OR(周转筐出入库明细!$C949="",周转筐出入库明细!$F949&lt;&gt;"采购入库"),"",周转筐出入库明细!$C949)</f>
        <v/>
      </c>
      <c r="CT948">
        <f t="shared" si="411"/>
        <v>0</v>
      </c>
      <c r="CU948">
        <f t="shared" si="412"/>
        <v>1</v>
      </c>
    </row>
    <row r="949" spans="1:99">
      <c r="A949" t="str">
        <f>IF(包装物料出入库明细!$E949="","",包装物料出入库明细!$E949)</f>
        <v/>
      </c>
      <c r="B949">
        <f t="shared" si="396"/>
        <v>0</v>
      </c>
      <c r="C949">
        <f t="shared" si="397"/>
        <v>7</v>
      </c>
      <c r="D949" t="str">
        <f>IF(包装物料出入库明细!$E949="","",包装物料出入库明细!$F949)</f>
        <v/>
      </c>
      <c r="E949" t="str">
        <f>IF(包装物料出入库明细!$E949="","",包装物料出入库明细!$G949)</f>
        <v/>
      </c>
      <c r="K949" t="str">
        <f>IF(包装物料出入库明细!$D949="","",包装物料出入库明细!$D949)</f>
        <v/>
      </c>
      <c r="L949">
        <f t="shared" si="398"/>
        <v>0</v>
      </c>
      <c r="M949">
        <f t="shared" si="399"/>
        <v>9</v>
      </c>
      <c r="Q949" t="str">
        <f>IF(周转筐出入库明细!$D950="","",周转筐出入库明细!$D950)</f>
        <v/>
      </c>
      <c r="R949">
        <f t="shared" si="400"/>
        <v>0</v>
      </c>
      <c r="S949">
        <f t="shared" si="401"/>
        <v>5</v>
      </c>
      <c r="W949" t="str">
        <f>IF(周转筐出入库明细!$C950="","",周转筐出入库明细!$C950)</f>
        <v/>
      </c>
      <c r="X949">
        <f t="shared" si="402"/>
        <v>0</v>
      </c>
      <c r="Y949">
        <f t="shared" si="403"/>
        <v>12</v>
      </c>
      <c r="AC949" t="str">
        <f>IF(客户自备加工筐明细!$C949="","",客户自备加工筐明细!$C949)</f>
        <v/>
      </c>
      <c r="AD949">
        <f t="shared" si="404"/>
        <v>0</v>
      </c>
      <c r="AE949">
        <f t="shared" si="405"/>
        <v>1</v>
      </c>
      <c r="AI949" t="str">
        <f>IF(客户自备加工筐明细!$E949="","",客户自备加工筐明细!$E949)</f>
        <v/>
      </c>
      <c r="AJ949">
        <f t="shared" si="406"/>
        <v>0</v>
      </c>
      <c r="AK949">
        <f t="shared" si="407"/>
        <v>1</v>
      </c>
      <c r="BS949" t="str">
        <f t="shared" si="413"/>
        <v/>
      </c>
      <c r="BT949">
        <f t="shared" si="408"/>
        <v>0</v>
      </c>
      <c r="BU949">
        <f t="shared" si="409"/>
        <v>18</v>
      </c>
      <c r="CP949">
        <f>IF(包装物料出入库明细!$D949="",0,1)</f>
        <v>0</v>
      </c>
      <c r="CQ949">
        <f t="shared" si="410"/>
        <v>37</v>
      </c>
      <c r="CS949" t="str">
        <f>IF(OR(周转筐出入库明细!$C950="",周转筐出入库明细!$F950&lt;&gt;"采购入库"),"",周转筐出入库明细!$C950)</f>
        <v/>
      </c>
      <c r="CT949">
        <f t="shared" si="411"/>
        <v>0</v>
      </c>
      <c r="CU949">
        <f t="shared" si="412"/>
        <v>1</v>
      </c>
    </row>
    <row r="950" spans="1:99">
      <c r="A950" t="str">
        <f>IF(包装物料出入库明细!$E950="","",包装物料出入库明细!$E950)</f>
        <v/>
      </c>
      <c r="B950">
        <f t="shared" si="396"/>
        <v>0</v>
      </c>
      <c r="C950">
        <f t="shared" si="397"/>
        <v>7</v>
      </c>
      <c r="D950" t="str">
        <f>IF(包装物料出入库明细!$E950="","",包装物料出入库明细!$F950)</f>
        <v/>
      </c>
      <c r="E950" t="str">
        <f>IF(包装物料出入库明细!$E950="","",包装物料出入库明细!$G950)</f>
        <v/>
      </c>
      <c r="K950" t="str">
        <f>IF(包装物料出入库明细!$D950="","",包装物料出入库明细!$D950)</f>
        <v/>
      </c>
      <c r="L950">
        <f t="shared" si="398"/>
        <v>0</v>
      </c>
      <c r="M950">
        <f t="shared" si="399"/>
        <v>9</v>
      </c>
      <c r="Q950" t="str">
        <f>IF(周转筐出入库明细!$D951="","",周转筐出入库明细!$D951)</f>
        <v/>
      </c>
      <c r="R950">
        <f t="shared" si="400"/>
        <v>0</v>
      </c>
      <c r="S950">
        <f t="shared" si="401"/>
        <v>5</v>
      </c>
      <c r="W950" t="str">
        <f>IF(周转筐出入库明细!$C951="","",周转筐出入库明细!$C951)</f>
        <v/>
      </c>
      <c r="X950">
        <f t="shared" si="402"/>
        <v>0</v>
      </c>
      <c r="Y950">
        <f t="shared" si="403"/>
        <v>12</v>
      </c>
      <c r="AC950" t="str">
        <f>IF(客户自备加工筐明细!$C950="","",客户自备加工筐明细!$C950)</f>
        <v/>
      </c>
      <c r="AD950">
        <f t="shared" si="404"/>
        <v>0</v>
      </c>
      <c r="AE950">
        <f t="shared" si="405"/>
        <v>1</v>
      </c>
      <c r="AI950" t="str">
        <f>IF(客户自备加工筐明细!$E950="","",客户自备加工筐明细!$E950)</f>
        <v/>
      </c>
      <c r="AJ950">
        <f t="shared" si="406"/>
        <v>0</v>
      </c>
      <c r="AK950">
        <f t="shared" si="407"/>
        <v>1</v>
      </c>
      <c r="BS950" t="str">
        <f t="shared" si="413"/>
        <v/>
      </c>
      <c r="BT950">
        <f t="shared" si="408"/>
        <v>0</v>
      </c>
      <c r="BU950">
        <f t="shared" si="409"/>
        <v>18</v>
      </c>
      <c r="CP950">
        <f>IF(包装物料出入库明细!$D950="",0,1)</f>
        <v>0</v>
      </c>
      <c r="CQ950">
        <f t="shared" si="410"/>
        <v>37</v>
      </c>
      <c r="CS950" t="str">
        <f>IF(OR(周转筐出入库明细!$C951="",周转筐出入库明细!$F951&lt;&gt;"采购入库"),"",周转筐出入库明细!$C951)</f>
        <v/>
      </c>
      <c r="CT950">
        <f t="shared" si="411"/>
        <v>0</v>
      </c>
      <c r="CU950">
        <f t="shared" si="412"/>
        <v>1</v>
      </c>
    </row>
    <row r="951" spans="1:99">
      <c r="A951" t="str">
        <f>IF(包装物料出入库明细!$E951="","",包装物料出入库明细!$E951)</f>
        <v/>
      </c>
      <c r="B951">
        <f t="shared" si="396"/>
        <v>0</v>
      </c>
      <c r="C951">
        <f t="shared" si="397"/>
        <v>7</v>
      </c>
      <c r="D951" t="str">
        <f>IF(包装物料出入库明细!$E951="","",包装物料出入库明细!$F951)</f>
        <v/>
      </c>
      <c r="E951" t="str">
        <f>IF(包装物料出入库明细!$E951="","",包装物料出入库明细!$G951)</f>
        <v/>
      </c>
      <c r="K951" t="str">
        <f>IF(包装物料出入库明细!$D951="","",包装物料出入库明细!$D951)</f>
        <v/>
      </c>
      <c r="L951">
        <f t="shared" si="398"/>
        <v>0</v>
      </c>
      <c r="M951">
        <f t="shared" si="399"/>
        <v>9</v>
      </c>
      <c r="Q951" t="str">
        <f>IF(周转筐出入库明细!$D952="","",周转筐出入库明细!$D952)</f>
        <v/>
      </c>
      <c r="R951">
        <f t="shared" si="400"/>
        <v>0</v>
      </c>
      <c r="S951">
        <f t="shared" si="401"/>
        <v>5</v>
      </c>
      <c r="W951" t="str">
        <f>IF(周转筐出入库明细!$C952="","",周转筐出入库明细!$C952)</f>
        <v/>
      </c>
      <c r="X951">
        <f t="shared" si="402"/>
        <v>0</v>
      </c>
      <c r="Y951">
        <f t="shared" si="403"/>
        <v>12</v>
      </c>
      <c r="AC951" t="str">
        <f>IF(客户自备加工筐明细!$C951="","",客户自备加工筐明细!$C951)</f>
        <v/>
      </c>
      <c r="AD951">
        <f t="shared" si="404"/>
        <v>0</v>
      </c>
      <c r="AE951">
        <f t="shared" si="405"/>
        <v>1</v>
      </c>
      <c r="AI951" t="str">
        <f>IF(客户自备加工筐明细!$E951="","",客户自备加工筐明细!$E951)</f>
        <v/>
      </c>
      <c r="AJ951">
        <f t="shared" si="406"/>
        <v>0</v>
      </c>
      <c r="AK951">
        <f t="shared" si="407"/>
        <v>1</v>
      </c>
      <c r="BS951" t="str">
        <f t="shared" si="413"/>
        <v/>
      </c>
      <c r="BT951">
        <f t="shared" si="408"/>
        <v>0</v>
      </c>
      <c r="BU951">
        <f t="shared" si="409"/>
        <v>18</v>
      </c>
      <c r="CP951">
        <f>IF(包装物料出入库明细!$D951="",0,1)</f>
        <v>0</v>
      </c>
      <c r="CQ951">
        <f t="shared" si="410"/>
        <v>37</v>
      </c>
      <c r="CS951" t="str">
        <f>IF(OR(周转筐出入库明细!$C952="",周转筐出入库明细!$F952&lt;&gt;"采购入库"),"",周转筐出入库明细!$C952)</f>
        <v/>
      </c>
      <c r="CT951">
        <f t="shared" si="411"/>
        <v>0</v>
      </c>
      <c r="CU951">
        <f t="shared" si="412"/>
        <v>1</v>
      </c>
    </row>
    <row r="952" spans="1:99">
      <c r="A952" t="str">
        <f>IF(包装物料出入库明细!$E952="","",包装物料出入库明细!$E952)</f>
        <v/>
      </c>
      <c r="B952">
        <f t="shared" si="396"/>
        <v>0</v>
      </c>
      <c r="C952">
        <f t="shared" si="397"/>
        <v>7</v>
      </c>
      <c r="D952" t="str">
        <f>IF(包装物料出入库明细!$E952="","",包装物料出入库明细!$F952)</f>
        <v/>
      </c>
      <c r="E952" t="str">
        <f>IF(包装物料出入库明细!$E952="","",包装物料出入库明细!$G952)</f>
        <v/>
      </c>
      <c r="K952" t="str">
        <f>IF(包装物料出入库明细!$D952="","",包装物料出入库明细!$D952)</f>
        <v/>
      </c>
      <c r="L952">
        <f t="shared" si="398"/>
        <v>0</v>
      </c>
      <c r="M952">
        <f t="shared" si="399"/>
        <v>9</v>
      </c>
      <c r="Q952" t="str">
        <f>IF(周转筐出入库明细!$D953="","",周转筐出入库明细!$D953)</f>
        <v/>
      </c>
      <c r="R952">
        <f t="shared" si="400"/>
        <v>0</v>
      </c>
      <c r="S952">
        <f t="shared" si="401"/>
        <v>5</v>
      </c>
      <c r="W952" t="str">
        <f>IF(周转筐出入库明细!$C953="","",周转筐出入库明细!$C953)</f>
        <v/>
      </c>
      <c r="X952">
        <f t="shared" si="402"/>
        <v>0</v>
      </c>
      <c r="Y952">
        <f t="shared" si="403"/>
        <v>12</v>
      </c>
      <c r="AC952" t="str">
        <f>IF(客户自备加工筐明细!$C952="","",客户自备加工筐明细!$C952)</f>
        <v/>
      </c>
      <c r="AD952">
        <f t="shared" si="404"/>
        <v>0</v>
      </c>
      <c r="AE952">
        <f t="shared" si="405"/>
        <v>1</v>
      </c>
      <c r="AI952" t="str">
        <f>IF(客户自备加工筐明细!$E952="","",客户自备加工筐明细!$E952)</f>
        <v/>
      </c>
      <c r="AJ952">
        <f t="shared" si="406"/>
        <v>0</v>
      </c>
      <c r="AK952">
        <f t="shared" si="407"/>
        <v>1</v>
      </c>
      <c r="BS952" t="str">
        <f t="shared" si="413"/>
        <v/>
      </c>
      <c r="BT952">
        <f t="shared" si="408"/>
        <v>0</v>
      </c>
      <c r="BU952">
        <f t="shared" si="409"/>
        <v>18</v>
      </c>
      <c r="CP952">
        <f>IF(包装物料出入库明细!$D952="",0,1)</f>
        <v>0</v>
      </c>
      <c r="CQ952">
        <f t="shared" si="410"/>
        <v>37</v>
      </c>
      <c r="CS952" t="str">
        <f>IF(OR(周转筐出入库明细!$C953="",周转筐出入库明细!$F953&lt;&gt;"采购入库"),"",周转筐出入库明细!$C953)</f>
        <v/>
      </c>
      <c r="CT952">
        <f t="shared" si="411"/>
        <v>0</v>
      </c>
      <c r="CU952">
        <f t="shared" si="412"/>
        <v>1</v>
      </c>
    </row>
    <row r="953" spans="1:99">
      <c r="A953" t="str">
        <f>IF(包装物料出入库明细!$E953="","",包装物料出入库明细!$E953)</f>
        <v/>
      </c>
      <c r="B953">
        <f t="shared" si="396"/>
        <v>0</v>
      </c>
      <c r="C953">
        <f t="shared" si="397"/>
        <v>7</v>
      </c>
      <c r="D953" t="str">
        <f>IF(包装物料出入库明细!$E953="","",包装物料出入库明细!$F953)</f>
        <v/>
      </c>
      <c r="E953" t="str">
        <f>IF(包装物料出入库明细!$E953="","",包装物料出入库明细!$G953)</f>
        <v/>
      </c>
      <c r="K953" t="str">
        <f>IF(包装物料出入库明细!$D953="","",包装物料出入库明细!$D953)</f>
        <v/>
      </c>
      <c r="L953">
        <f t="shared" si="398"/>
        <v>0</v>
      </c>
      <c r="M953">
        <f t="shared" si="399"/>
        <v>9</v>
      </c>
      <c r="Q953" t="str">
        <f>IF(周转筐出入库明细!$D954="","",周转筐出入库明细!$D954)</f>
        <v/>
      </c>
      <c r="R953">
        <f t="shared" si="400"/>
        <v>0</v>
      </c>
      <c r="S953">
        <f t="shared" si="401"/>
        <v>5</v>
      </c>
      <c r="W953" t="str">
        <f>IF(周转筐出入库明细!$C954="","",周转筐出入库明细!$C954)</f>
        <v/>
      </c>
      <c r="X953">
        <f t="shared" si="402"/>
        <v>0</v>
      </c>
      <c r="Y953">
        <f t="shared" si="403"/>
        <v>12</v>
      </c>
      <c r="AC953" t="str">
        <f>IF(客户自备加工筐明细!$C953="","",客户自备加工筐明细!$C953)</f>
        <v/>
      </c>
      <c r="AD953">
        <f t="shared" si="404"/>
        <v>0</v>
      </c>
      <c r="AE953">
        <f t="shared" si="405"/>
        <v>1</v>
      </c>
      <c r="AI953" t="str">
        <f>IF(客户自备加工筐明细!$E953="","",客户自备加工筐明细!$E953)</f>
        <v/>
      </c>
      <c r="AJ953">
        <f t="shared" si="406"/>
        <v>0</v>
      </c>
      <c r="AK953">
        <f t="shared" si="407"/>
        <v>1</v>
      </c>
      <c r="BS953" t="str">
        <f t="shared" si="413"/>
        <v/>
      </c>
      <c r="BT953">
        <f t="shared" si="408"/>
        <v>0</v>
      </c>
      <c r="BU953">
        <f t="shared" si="409"/>
        <v>18</v>
      </c>
      <c r="CP953">
        <f>IF(包装物料出入库明细!$D953="",0,1)</f>
        <v>0</v>
      </c>
      <c r="CQ953">
        <f t="shared" si="410"/>
        <v>37</v>
      </c>
      <c r="CS953" t="str">
        <f>IF(OR(周转筐出入库明细!$C954="",周转筐出入库明细!$F954&lt;&gt;"采购入库"),"",周转筐出入库明细!$C954)</f>
        <v/>
      </c>
      <c r="CT953">
        <f t="shared" si="411"/>
        <v>0</v>
      </c>
      <c r="CU953">
        <f t="shared" si="412"/>
        <v>1</v>
      </c>
    </row>
    <row r="954" spans="1:99">
      <c r="A954" t="str">
        <f>IF(包装物料出入库明细!$E954="","",包装物料出入库明细!$E954)</f>
        <v/>
      </c>
      <c r="B954">
        <f t="shared" si="396"/>
        <v>0</v>
      </c>
      <c r="C954">
        <f t="shared" si="397"/>
        <v>7</v>
      </c>
      <c r="D954" t="str">
        <f>IF(包装物料出入库明细!$E954="","",包装物料出入库明细!$F954)</f>
        <v/>
      </c>
      <c r="E954" t="str">
        <f>IF(包装物料出入库明细!$E954="","",包装物料出入库明细!$G954)</f>
        <v/>
      </c>
      <c r="K954" t="str">
        <f>IF(包装物料出入库明细!$D954="","",包装物料出入库明细!$D954)</f>
        <v/>
      </c>
      <c r="L954">
        <f t="shared" si="398"/>
        <v>0</v>
      </c>
      <c r="M954">
        <f t="shared" si="399"/>
        <v>9</v>
      </c>
      <c r="Q954" t="str">
        <f>IF(周转筐出入库明细!$D955="","",周转筐出入库明细!$D955)</f>
        <v/>
      </c>
      <c r="R954">
        <f t="shared" si="400"/>
        <v>0</v>
      </c>
      <c r="S954">
        <f t="shared" si="401"/>
        <v>5</v>
      </c>
      <c r="W954" t="str">
        <f>IF(周转筐出入库明细!$C955="","",周转筐出入库明细!$C955)</f>
        <v/>
      </c>
      <c r="X954">
        <f t="shared" si="402"/>
        <v>0</v>
      </c>
      <c r="Y954">
        <f t="shared" si="403"/>
        <v>12</v>
      </c>
      <c r="AC954" t="str">
        <f>IF(客户自备加工筐明细!$C954="","",客户自备加工筐明细!$C954)</f>
        <v/>
      </c>
      <c r="AD954">
        <f t="shared" si="404"/>
        <v>0</v>
      </c>
      <c r="AE954">
        <f t="shared" si="405"/>
        <v>1</v>
      </c>
      <c r="AI954" t="str">
        <f>IF(客户自备加工筐明细!$E954="","",客户自备加工筐明细!$E954)</f>
        <v/>
      </c>
      <c r="AJ954">
        <f t="shared" si="406"/>
        <v>0</v>
      </c>
      <c r="AK954">
        <f t="shared" si="407"/>
        <v>1</v>
      </c>
      <c r="BS954" t="str">
        <f t="shared" si="413"/>
        <v/>
      </c>
      <c r="BT954">
        <f t="shared" si="408"/>
        <v>0</v>
      </c>
      <c r="BU954">
        <f t="shared" si="409"/>
        <v>18</v>
      </c>
      <c r="CP954">
        <f>IF(包装物料出入库明细!$D954="",0,1)</f>
        <v>0</v>
      </c>
      <c r="CQ954">
        <f t="shared" si="410"/>
        <v>37</v>
      </c>
      <c r="CS954" t="str">
        <f>IF(OR(周转筐出入库明细!$C955="",周转筐出入库明细!$F955&lt;&gt;"采购入库"),"",周转筐出入库明细!$C955)</f>
        <v/>
      </c>
      <c r="CT954">
        <f t="shared" si="411"/>
        <v>0</v>
      </c>
      <c r="CU954">
        <f t="shared" si="412"/>
        <v>1</v>
      </c>
    </row>
    <row r="955" spans="1:99">
      <c r="A955" t="str">
        <f>IF(包装物料出入库明细!$E955="","",包装物料出入库明细!$E955)</f>
        <v/>
      </c>
      <c r="B955">
        <f t="shared" si="396"/>
        <v>0</v>
      </c>
      <c r="C955">
        <f t="shared" si="397"/>
        <v>7</v>
      </c>
      <c r="D955" t="str">
        <f>IF(包装物料出入库明细!$E955="","",包装物料出入库明细!$F955)</f>
        <v/>
      </c>
      <c r="E955" t="str">
        <f>IF(包装物料出入库明细!$E955="","",包装物料出入库明细!$G955)</f>
        <v/>
      </c>
      <c r="K955" t="str">
        <f>IF(包装物料出入库明细!$D955="","",包装物料出入库明细!$D955)</f>
        <v/>
      </c>
      <c r="L955">
        <f t="shared" si="398"/>
        <v>0</v>
      </c>
      <c r="M955">
        <f t="shared" si="399"/>
        <v>9</v>
      </c>
      <c r="Q955" t="str">
        <f>IF(周转筐出入库明细!$D956="","",周转筐出入库明细!$D956)</f>
        <v/>
      </c>
      <c r="R955">
        <f t="shared" si="400"/>
        <v>0</v>
      </c>
      <c r="S955">
        <f t="shared" si="401"/>
        <v>5</v>
      </c>
      <c r="W955" t="str">
        <f>IF(周转筐出入库明细!$C956="","",周转筐出入库明细!$C956)</f>
        <v/>
      </c>
      <c r="X955">
        <f t="shared" si="402"/>
        <v>0</v>
      </c>
      <c r="Y955">
        <f t="shared" si="403"/>
        <v>12</v>
      </c>
      <c r="AC955" t="str">
        <f>IF(客户自备加工筐明细!$C955="","",客户自备加工筐明细!$C955)</f>
        <v/>
      </c>
      <c r="AD955">
        <f t="shared" si="404"/>
        <v>0</v>
      </c>
      <c r="AE955">
        <f t="shared" si="405"/>
        <v>1</v>
      </c>
      <c r="AI955" t="str">
        <f>IF(客户自备加工筐明细!$E955="","",客户自备加工筐明细!$E955)</f>
        <v/>
      </c>
      <c r="AJ955">
        <f t="shared" si="406"/>
        <v>0</v>
      </c>
      <c r="AK955">
        <f t="shared" si="407"/>
        <v>1</v>
      </c>
      <c r="BS955" t="str">
        <f t="shared" si="413"/>
        <v/>
      </c>
      <c r="BT955">
        <f t="shared" si="408"/>
        <v>0</v>
      </c>
      <c r="BU955">
        <f t="shared" si="409"/>
        <v>18</v>
      </c>
      <c r="CP955">
        <f>IF(包装物料出入库明细!$D955="",0,1)</f>
        <v>0</v>
      </c>
      <c r="CQ955">
        <f t="shared" si="410"/>
        <v>37</v>
      </c>
      <c r="CS955" t="str">
        <f>IF(OR(周转筐出入库明细!$C956="",周转筐出入库明细!$F956&lt;&gt;"采购入库"),"",周转筐出入库明细!$C956)</f>
        <v/>
      </c>
      <c r="CT955">
        <f t="shared" si="411"/>
        <v>0</v>
      </c>
      <c r="CU955">
        <f t="shared" si="412"/>
        <v>1</v>
      </c>
    </row>
    <row r="956" spans="1:99">
      <c r="A956" t="str">
        <f>IF(包装物料出入库明细!$E956="","",包装物料出入库明细!$E956)</f>
        <v/>
      </c>
      <c r="B956">
        <f t="shared" si="396"/>
        <v>0</v>
      </c>
      <c r="C956">
        <f t="shared" si="397"/>
        <v>7</v>
      </c>
      <c r="D956" t="str">
        <f>IF(包装物料出入库明细!$E956="","",包装物料出入库明细!$F956)</f>
        <v/>
      </c>
      <c r="E956" t="str">
        <f>IF(包装物料出入库明细!$E956="","",包装物料出入库明细!$G956)</f>
        <v/>
      </c>
      <c r="K956" t="str">
        <f>IF(包装物料出入库明细!$D956="","",包装物料出入库明细!$D956)</f>
        <v/>
      </c>
      <c r="L956">
        <f t="shared" si="398"/>
        <v>0</v>
      </c>
      <c r="M956">
        <f t="shared" si="399"/>
        <v>9</v>
      </c>
      <c r="Q956" t="str">
        <f>IF(周转筐出入库明细!$D957="","",周转筐出入库明细!$D957)</f>
        <v/>
      </c>
      <c r="R956">
        <f t="shared" si="400"/>
        <v>0</v>
      </c>
      <c r="S956">
        <f t="shared" si="401"/>
        <v>5</v>
      </c>
      <c r="W956" t="str">
        <f>IF(周转筐出入库明细!$C957="","",周转筐出入库明细!$C957)</f>
        <v/>
      </c>
      <c r="X956">
        <f t="shared" si="402"/>
        <v>0</v>
      </c>
      <c r="Y956">
        <f t="shared" si="403"/>
        <v>12</v>
      </c>
      <c r="AC956" t="str">
        <f>IF(客户自备加工筐明细!$C956="","",客户自备加工筐明细!$C956)</f>
        <v/>
      </c>
      <c r="AD956">
        <f t="shared" si="404"/>
        <v>0</v>
      </c>
      <c r="AE956">
        <f t="shared" si="405"/>
        <v>1</v>
      </c>
      <c r="AI956" t="str">
        <f>IF(客户自备加工筐明细!$E956="","",客户自备加工筐明细!$E956)</f>
        <v/>
      </c>
      <c r="AJ956">
        <f t="shared" si="406"/>
        <v>0</v>
      </c>
      <c r="AK956">
        <f t="shared" si="407"/>
        <v>1</v>
      </c>
      <c r="BS956" t="str">
        <f t="shared" si="413"/>
        <v/>
      </c>
      <c r="BT956">
        <f t="shared" si="408"/>
        <v>0</v>
      </c>
      <c r="BU956">
        <f t="shared" si="409"/>
        <v>18</v>
      </c>
      <c r="CP956">
        <f>IF(包装物料出入库明细!$D956="",0,1)</f>
        <v>0</v>
      </c>
      <c r="CQ956">
        <f t="shared" si="410"/>
        <v>37</v>
      </c>
      <c r="CS956" t="str">
        <f>IF(OR(周转筐出入库明细!$C957="",周转筐出入库明细!$F957&lt;&gt;"采购入库"),"",周转筐出入库明细!$C957)</f>
        <v/>
      </c>
      <c r="CT956">
        <f t="shared" si="411"/>
        <v>0</v>
      </c>
      <c r="CU956">
        <f t="shared" si="412"/>
        <v>1</v>
      </c>
    </row>
    <row r="957" spans="1:99">
      <c r="A957" t="str">
        <f>IF(包装物料出入库明细!$E957="","",包装物料出入库明细!$E957)</f>
        <v/>
      </c>
      <c r="B957">
        <f t="shared" si="396"/>
        <v>0</v>
      </c>
      <c r="C957">
        <f t="shared" si="397"/>
        <v>7</v>
      </c>
      <c r="D957" t="str">
        <f>IF(包装物料出入库明细!$E957="","",包装物料出入库明细!$F957)</f>
        <v/>
      </c>
      <c r="E957" t="str">
        <f>IF(包装物料出入库明细!$E957="","",包装物料出入库明细!$G957)</f>
        <v/>
      </c>
      <c r="K957" t="str">
        <f>IF(包装物料出入库明细!$D957="","",包装物料出入库明细!$D957)</f>
        <v/>
      </c>
      <c r="L957">
        <f t="shared" si="398"/>
        <v>0</v>
      </c>
      <c r="M957">
        <f t="shared" si="399"/>
        <v>9</v>
      </c>
      <c r="Q957" t="str">
        <f>IF(周转筐出入库明细!$D958="","",周转筐出入库明细!$D958)</f>
        <v/>
      </c>
      <c r="R957">
        <f t="shared" si="400"/>
        <v>0</v>
      </c>
      <c r="S957">
        <f t="shared" si="401"/>
        <v>5</v>
      </c>
      <c r="W957" t="str">
        <f>IF(周转筐出入库明细!$C958="","",周转筐出入库明细!$C958)</f>
        <v/>
      </c>
      <c r="X957">
        <f t="shared" si="402"/>
        <v>0</v>
      </c>
      <c r="Y957">
        <f t="shared" si="403"/>
        <v>12</v>
      </c>
      <c r="AC957" t="str">
        <f>IF(客户自备加工筐明细!$C957="","",客户自备加工筐明细!$C957)</f>
        <v/>
      </c>
      <c r="AD957">
        <f t="shared" si="404"/>
        <v>0</v>
      </c>
      <c r="AE957">
        <f t="shared" si="405"/>
        <v>1</v>
      </c>
      <c r="AI957" t="str">
        <f>IF(客户自备加工筐明细!$E957="","",客户自备加工筐明细!$E957)</f>
        <v/>
      </c>
      <c r="AJ957">
        <f t="shared" si="406"/>
        <v>0</v>
      </c>
      <c r="AK957">
        <f t="shared" si="407"/>
        <v>1</v>
      </c>
      <c r="BS957" t="str">
        <f t="shared" si="413"/>
        <v/>
      </c>
      <c r="BT957">
        <f t="shared" si="408"/>
        <v>0</v>
      </c>
      <c r="BU957">
        <f t="shared" si="409"/>
        <v>18</v>
      </c>
      <c r="CP957">
        <f>IF(包装物料出入库明细!$D957="",0,1)</f>
        <v>0</v>
      </c>
      <c r="CQ957">
        <f t="shared" si="410"/>
        <v>37</v>
      </c>
      <c r="CS957" t="str">
        <f>IF(OR(周转筐出入库明细!$C958="",周转筐出入库明细!$F958&lt;&gt;"采购入库"),"",周转筐出入库明细!$C958)</f>
        <v/>
      </c>
      <c r="CT957">
        <f t="shared" si="411"/>
        <v>0</v>
      </c>
      <c r="CU957">
        <f t="shared" si="412"/>
        <v>1</v>
      </c>
    </row>
    <row r="958" spans="1:99">
      <c r="A958" t="str">
        <f>IF(包装物料出入库明细!$E958="","",包装物料出入库明细!$E958)</f>
        <v/>
      </c>
      <c r="B958">
        <f t="shared" si="396"/>
        <v>0</v>
      </c>
      <c r="C958">
        <f t="shared" si="397"/>
        <v>7</v>
      </c>
      <c r="D958" t="str">
        <f>IF(包装物料出入库明细!$E958="","",包装物料出入库明细!$F958)</f>
        <v/>
      </c>
      <c r="E958" t="str">
        <f>IF(包装物料出入库明细!$E958="","",包装物料出入库明细!$G958)</f>
        <v/>
      </c>
      <c r="K958" t="str">
        <f>IF(包装物料出入库明细!$D958="","",包装物料出入库明细!$D958)</f>
        <v/>
      </c>
      <c r="L958">
        <f t="shared" si="398"/>
        <v>0</v>
      </c>
      <c r="M958">
        <f t="shared" si="399"/>
        <v>9</v>
      </c>
      <c r="Q958" t="str">
        <f>IF(周转筐出入库明细!$D959="","",周转筐出入库明细!$D959)</f>
        <v/>
      </c>
      <c r="R958">
        <f t="shared" si="400"/>
        <v>0</v>
      </c>
      <c r="S958">
        <f t="shared" si="401"/>
        <v>5</v>
      </c>
      <c r="W958" t="str">
        <f>IF(周转筐出入库明细!$C959="","",周转筐出入库明细!$C959)</f>
        <v/>
      </c>
      <c r="X958">
        <f t="shared" si="402"/>
        <v>0</v>
      </c>
      <c r="Y958">
        <f t="shared" si="403"/>
        <v>12</v>
      </c>
      <c r="AC958" t="str">
        <f>IF(客户自备加工筐明细!$C958="","",客户自备加工筐明细!$C958)</f>
        <v/>
      </c>
      <c r="AD958">
        <f t="shared" si="404"/>
        <v>0</v>
      </c>
      <c r="AE958">
        <f t="shared" si="405"/>
        <v>1</v>
      </c>
      <c r="AI958" t="str">
        <f>IF(客户自备加工筐明细!$E958="","",客户自备加工筐明细!$E958)</f>
        <v/>
      </c>
      <c r="AJ958">
        <f t="shared" si="406"/>
        <v>0</v>
      </c>
      <c r="AK958">
        <f t="shared" si="407"/>
        <v>1</v>
      </c>
      <c r="BS958" t="str">
        <f t="shared" si="413"/>
        <v/>
      </c>
      <c r="BT958">
        <f t="shared" si="408"/>
        <v>0</v>
      </c>
      <c r="BU958">
        <f t="shared" si="409"/>
        <v>18</v>
      </c>
      <c r="CP958">
        <f>IF(包装物料出入库明细!$D958="",0,1)</f>
        <v>0</v>
      </c>
      <c r="CQ958">
        <f t="shared" si="410"/>
        <v>37</v>
      </c>
      <c r="CS958" t="str">
        <f>IF(OR(周转筐出入库明细!$C959="",周转筐出入库明细!$F959&lt;&gt;"采购入库"),"",周转筐出入库明细!$C959)</f>
        <v/>
      </c>
      <c r="CT958">
        <f t="shared" si="411"/>
        <v>0</v>
      </c>
      <c r="CU958">
        <f t="shared" si="412"/>
        <v>1</v>
      </c>
    </row>
    <row r="959" spans="1:99">
      <c r="A959" t="str">
        <f>IF(包装物料出入库明细!$E959="","",包装物料出入库明细!$E959)</f>
        <v/>
      </c>
      <c r="B959">
        <f t="shared" si="396"/>
        <v>0</v>
      </c>
      <c r="C959">
        <f t="shared" si="397"/>
        <v>7</v>
      </c>
      <c r="D959" t="str">
        <f>IF(包装物料出入库明细!$E959="","",包装物料出入库明细!$F959)</f>
        <v/>
      </c>
      <c r="E959" t="str">
        <f>IF(包装物料出入库明细!$E959="","",包装物料出入库明细!$G959)</f>
        <v/>
      </c>
      <c r="K959" t="str">
        <f>IF(包装物料出入库明细!$D959="","",包装物料出入库明细!$D959)</f>
        <v/>
      </c>
      <c r="L959">
        <f t="shared" si="398"/>
        <v>0</v>
      </c>
      <c r="M959">
        <f t="shared" si="399"/>
        <v>9</v>
      </c>
      <c r="Q959" t="str">
        <f>IF(周转筐出入库明细!$D960="","",周转筐出入库明细!$D960)</f>
        <v/>
      </c>
      <c r="R959">
        <f t="shared" si="400"/>
        <v>0</v>
      </c>
      <c r="S959">
        <f t="shared" si="401"/>
        <v>5</v>
      </c>
      <c r="W959" t="str">
        <f>IF(周转筐出入库明细!$C960="","",周转筐出入库明细!$C960)</f>
        <v/>
      </c>
      <c r="X959">
        <f t="shared" si="402"/>
        <v>0</v>
      </c>
      <c r="Y959">
        <f t="shared" si="403"/>
        <v>12</v>
      </c>
      <c r="AC959" t="str">
        <f>IF(客户自备加工筐明细!$C959="","",客户自备加工筐明细!$C959)</f>
        <v/>
      </c>
      <c r="AD959">
        <f t="shared" si="404"/>
        <v>0</v>
      </c>
      <c r="AE959">
        <f t="shared" si="405"/>
        <v>1</v>
      </c>
      <c r="AI959" t="str">
        <f>IF(客户自备加工筐明细!$E959="","",客户自备加工筐明细!$E959)</f>
        <v/>
      </c>
      <c r="AJ959">
        <f t="shared" si="406"/>
        <v>0</v>
      </c>
      <c r="AK959">
        <f t="shared" si="407"/>
        <v>1</v>
      </c>
      <c r="BS959" t="str">
        <f t="shared" si="413"/>
        <v/>
      </c>
      <c r="BT959">
        <f t="shared" si="408"/>
        <v>0</v>
      </c>
      <c r="BU959">
        <f t="shared" si="409"/>
        <v>18</v>
      </c>
      <c r="CP959">
        <f>IF(包装物料出入库明细!$D959="",0,1)</f>
        <v>0</v>
      </c>
      <c r="CQ959">
        <f t="shared" si="410"/>
        <v>37</v>
      </c>
      <c r="CS959" t="str">
        <f>IF(OR(周转筐出入库明细!$C960="",周转筐出入库明细!$F960&lt;&gt;"采购入库"),"",周转筐出入库明细!$C960)</f>
        <v/>
      </c>
      <c r="CT959">
        <f t="shared" si="411"/>
        <v>0</v>
      </c>
      <c r="CU959">
        <f t="shared" si="412"/>
        <v>1</v>
      </c>
    </row>
    <row r="960" spans="1:99">
      <c r="A960" t="str">
        <f>IF(包装物料出入库明细!$E960="","",包装物料出入库明细!$E960)</f>
        <v/>
      </c>
      <c r="B960">
        <f t="shared" si="396"/>
        <v>0</v>
      </c>
      <c r="C960">
        <f t="shared" si="397"/>
        <v>7</v>
      </c>
      <c r="D960" t="str">
        <f>IF(包装物料出入库明细!$E960="","",包装物料出入库明细!$F960)</f>
        <v/>
      </c>
      <c r="E960" t="str">
        <f>IF(包装物料出入库明细!$E960="","",包装物料出入库明细!$G960)</f>
        <v/>
      </c>
      <c r="K960" t="str">
        <f>IF(包装物料出入库明细!$D960="","",包装物料出入库明细!$D960)</f>
        <v/>
      </c>
      <c r="L960">
        <f t="shared" si="398"/>
        <v>0</v>
      </c>
      <c r="M960">
        <f t="shared" si="399"/>
        <v>9</v>
      </c>
      <c r="Q960" t="str">
        <f>IF(周转筐出入库明细!$D961="","",周转筐出入库明细!$D961)</f>
        <v/>
      </c>
      <c r="R960">
        <f t="shared" si="400"/>
        <v>0</v>
      </c>
      <c r="S960">
        <f t="shared" si="401"/>
        <v>5</v>
      </c>
      <c r="W960" t="str">
        <f>IF(周转筐出入库明细!$C961="","",周转筐出入库明细!$C961)</f>
        <v/>
      </c>
      <c r="X960">
        <f t="shared" si="402"/>
        <v>0</v>
      </c>
      <c r="Y960">
        <f t="shared" si="403"/>
        <v>12</v>
      </c>
      <c r="AC960" t="str">
        <f>IF(客户自备加工筐明细!$C960="","",客户自备加工筐明细!$C960)</f>
        <v/>
      </c>
      <c r="AD960">
        <f t="shared" si="404"/>
        <v>0</v>
      </c>
      <c r="AE960">
        <f t="shared" si="405"/>
        <v>1</v>
      </c>
      <c r="AI960" t="str">
        <f>IF(客户自备加工筐明细!$E960="","",客户自备加工筐明细!$E960)</f>
        <v/>
      </c>
      <c r="AJ960">
        <f t="shared" si="406"/>
        <v>0</v>
      </c>
      <c r="AK960">
        <f t="shared" si="407"/>
        <v>1</v>
      </c>
      <c r="BS960" t="str">
        <f t="shared" si="413"/>
        <v/>
      </c>
      <c r="BT960">
        <f t="shared" si="408"/>
        <v>0</v>
      </c>
      <c r="BU960">
        <f t="shared" si="409"/>
        <v>18</v>
      </c>
      <c r="CP960">
        <f>IF(包装物料出入库明细!$D960="",0,1)</f>
        <v>0</v>
      </c>
      <c r="CQ960">
        <f t="shared" si="410"/>
        <v>37</v>
      </c>
      <c r="CS960" t="str">
        <f>IF(OR(周转筐出入库明细!$C961="",周转筐出入库明细!$F961&lt;&gt;"采购入库"),"",周转筐出入库明细!$C961)</f>
        <v/>
      </c>
      <c r="CT960">
        <f t="shared" si="411"/>
        <v>0</v>
      </c>
      <c r="CU960">
        <f t="shared" si="412"/>
        <v>1</v>
      </c>
    </row>
    <row r="961" spans="1:99">
      <c r="A961" t="str">
        <f>IF(包装物料出入库明细!$E961="","",包装物料出入库明细!$E961)</f>
        <v/>
      </c>
      <c r="B961">
        <f t="shared" si="396"/>
        <v>0</v>
      </c>
      <c r="C961">
        <f t="shared" si="397"/>
        <v>7</v>
      </c>
      <c r="D961" t="str">
        <f>IF(包装物料出入库明细!$E961="","",包装物料出入库明细!$F961)</f>
        <v/>
      </c>
      <c r="E961" t="str">
        <f>IF(包装物料出入库明细!$E961="","",包装物料出入库明细!$G961)</f>
        <v/>
      </c>
      <c r="K961" t="str">
        <f>IF(包装物料出入库明细!$D961="","",包装物料出入库明细!$D961)</f>
        <v/>
      </c>
      <c r="L961">
        <f t="shared" si="398"/>
        <v>0</v>
      </c>
      <c r="M961">
        <f t="shared" si="399"/>
        <v>9</v>
      </c>
      <c r="Q961" t="str">
        <f>IF(周转筐出入库明细!$D962="","",周转筐出入库明细!$D962)</f>
        <v/>
      </c>
      <c r="R961">
        <f t="shared" si="400"/>
        <v>0</v>
      </c>
      <c r="S961">
        <f t="shared" si="401"/>
        <v>5</v>
      </c>
      <c r="W961" t="str">
        <f>IF(周转筐出入库明细!$C962="","",周转筐出入库明细!$C962)</f>
        <v/>
      </c>
      <c r="X961">
        <f t="shared" si="402"/>
        <v>0</v>
      </c>
      <c r="Y961">
        <f t="shared" si="403"/>
        <v>12</v>
      </c>
      <c r="AC961" t="str">
        <f>IF(客户自备加工筐明细!$C961="","",客户自备加工筐明细!$C961)</f>
        <v/>
      </c>
      <c r="AD961">
        <f t="shared" si="404"/>
        <v>0</v>
      </c>
      <c r="AE961">
        <f t="shared" si="405"/>
        <v>1</v>
      </c>
      <c r="AI961" t="str">
        <f>IF(客户自备加工筐明细!$E961="","",客户自备加工筐明细!$E961)</f>
        <v/>
      </c>
      <c r="AJ961">
        <f t="shared" si="406"/>
        <v>0</v>
      </c>
      <c r="AK961">
        <f t="shared" si="407"/>
        <v>1</v>
      </c>
      <c r="BS961" t="str">
        <f t="shared" si="413"/>
        <v/>
      </c>
      <c r="BT961">
        <f t="shared" si="408"/>
        <v>0</v>
      </c>
      <c r="BU961">
        <f t="shared" si="409"/>
        <v>18</v>
      </c>
      <c r="CP961">
        <f>IF(包装物料出入库明细!$D961="",0,1)</f>
        <v>0</v>
      </c>
      <c r="CQ961">
        <f t="shared" si="410"/>
        <v>37</v>
      </c>
      <c r="CS961" t="str">
        <f>IF(OR(周转筐出入库明细!$C962="",周转筐出入库明细!$F962&lt;&gt;"采购入库"),"",周转筐出入库明细!$C962)</f>
        <v/>
      </c>
      <c r="CT961">
        <f t="shared" si="411"/>
        <v>0</v>
      </c>
      <c r="CU961">
        <f t="shared" si="412"/>
        <v>1</v>
      </c>
    </row>
    <row r="962" spans="1:99">
      <c r="A962" t="str">
        <f>IF(包装物料出入库明细!$E962="","",包装物料出入库明细!$E962)</f>
        <v/>
      </c>
      <c r="B962">
        <f t="shared" si="396"/>
        <v>0</v>
      </c>
      <c r="C962">
        <f t="shared" si="397"/>
        <v>7</v>
      </c>
      <c r="D962" t="str">
        <f>IF(包装物料出入库明细!$E962="","",包装物料出入库明细!$F962)</f>
        <v/>
      </c>
      <c r="E962" t="str">
        <f>IF(包装物料出入库明细!$E962="","",包装物料出入库明细!$G962)</f>
        <v/>
      </c>
      <c r="K962" t="str">
        <f>IF(包装物料出入库明细!$D962="","",包装物料出入库明细!$D962)</f>
        <v/>
      </c>
      <c r="L962">
        <f t="shared" si="398"/>
        <v>0</v>
      </c>
      <c r="M962">
        <f t="shared" si="399"/>
        <v>9</v>
      </c>
      <c r="Q962" t="str">
        <f>IF(周转筐出入库明细!$D963="","",周转筐出入库明细!$D963)</f>
        <v/>
      </c>
      <c r="R962">
        <f t="shared" si="400"/>
        <v>0</v>
      </c>
      <c r="S962">
        <f t="shared" si="401"/>
        <v>5</v>
      </c>
      <c r="W962" t="str">
        <f>IF(周转筐出入库明细!$C963="","",周转筐出入库明细!$C963)</f>
        <v/>
      </c>
      <c r="X962">
        <f t="shared" si="402"/>
        <v>0</v>
      </c>
      <c r="Y962">
        <f t="shared" si="403"/>
        <v>12</v>
      </c>
      <c r="AC962" t="str">
        <f>IF(客户自备加工筐明细!$C962="","",客户自备加工筐明细!$C962)</f>
        <v/>
      </c>
      <c r="AD962">
        <f t="shared" si="404"/>
        <v>0</v>
      </c>
      <c r="AE962">
        <f t="shared" si="405"/>
        <v>1</v>
      </c>
      <c r="AI962" t="str">
        <f>IF(客户自备加工筐明细!$E962="","",客户自备加工筐明细!$E962)</f>
        <v/>
      </c>
      <c r="AJ962">
        <f t="shared" si="406"/>
        <v>0</v>
      </c>
      <c r="AK962">
        <f t="shared" si="407"/>
        <v>1</v>
      </c>
      <c r="BS962" t="str">
        <f t="shared" si="413"/>
        <v/>
      </c>
      <c r="BT962">
        <f t="shared" si="408"/>
        <v>0</v>
      </c>
      <c r="BU962">
        <f t="shared" si="409"/>
        <v>18</v>
      </c>
      <c r="CP962">
        <f>IF(包装物料出入库明细!$D962="",0,1)</f>
        <v>0</v>
      </c>
      <c r="CQ962">
        <f t="shared" si="410"/>
        <v>37</v>
      </c>
      <c r="CS962" t="str">
        <f>IF(OR(周转筐出入库明细!$C963="",周转筐出入库明细!$F963&lt;&gt;"采购入库"),"",周转筐出入库明细!$C963)</f>
        <v/>
      </c>
      <c r="CT962">
        <f t="shared" si="411"/>
        <v>0</v>
      </c>
      <c r="CU962">
        <f t="shared" si="412"/>
        <v>1</v>
      </c>
    </row>
    <row r="963" spans="1:99">
      <c r="A963" t="str">
        <f>IF(包装物料出入库明细!$E963="","",包装物料出入库明细!$E963)</f>
        <v/>
      </c>
      <c r="B963">
        <f t="shared" si="396"/>
        <v>0</v>
      </c>
      <c r="C963">
        <f t="shared" si="397"/>
        <v>7</v>
      </c>
      <c r="D963" t="str">
        <f>IF(包装物料出入库明细!$E963="","",包装物料出入库明细!$F963)</f>
        <v/>
      </c>
      <c r="E963" t="str">
        <f>IF(包装物料出入库明细!$E963="","",包装物料出入库明细!$G963)</f>
        <v/>
      </c>
      <c r="K963" t="str">
        <f>IF(包装物料出入库明细!$D963="","",包装物料出入库明细!$D963)</f>
        <v/>
      </c>
      <c r="L963">
        <f t="shared" si="398"/>
        <v>0</v>
      </c>
      <c r="M963">
        <f t="shared" si="399"/>
        <v>9</v>
      </c>
      <c r="Q963" t="str">
        <f>IF(周转筐出入库明细!$D964="","",周转筐出入库明细!$D964)</f>
        <v/>
      </c>
      <c r="R963">
        <f t="shared" si="400"/>
        <v>0</v>
      </c>
      <c r="S963">
        <f t="shared" si="401"/>
        <v>5</v>
      </c>
      <c r="W963" t="str">
        <f>IF(周转筐出入库明细!$C964="","",周转筐出入库明细!$C964)</f>
        <v/>
      </c>
      <c r="X963">
        <f t="shared" si="402"/>
        <v>0</v>
      </c>
      <c r="Y963">
        <f t="shared" si="403"/>
        <v>12</v>
      </c>
      <c r="AC963" t="str">
        <f>IF(客户自备加工筐明细!$C963="","",客户自备加工筐明细!$C963)</f>
        <v/>
      </c>
      <c r="AD963">
        <f t="shared" si="404"/>
        <v>0</v>
      </c>
      <c r="AE963">
        <f t="shared" si="405"/>
        <v>1</v>
      </c>
      <c r="AI963" t="str">
        <f>IF(客户自备加工筐明细!$E963="","",客户自备加工筐明细!$E963)</f>
        <v/>
      </c>
      <c r="AJ963">
        <f t="shared" si="406"/>
        <v>0</v>
      </c>
      <c r="AK963">
        <f t="shared" si="407"/>
        <v>1</v>
      </c>
      <c r="BS963" t="str">
        <f t="shared" si="413"/>
        <v/>
      </c>
      <c r="BT963">
        <f t="shared" si="408"/>
        <v>0</v>
      </c>
      <c r="BU963">
        <f t="shared" si="409"/>
        <v>18</v>
      </c>
      <c r="CP963">
        <f>IF(包装物料出入库明细!$D963="",0,1)</f>
        <v>0</v>
      </c>
      <c r="CQ963">
        <f t="shared" si="410"/>
        <v>37</v>
      </c>
      <c r="CS963" t="str">
        <f>IF(OR(周转筐出入库明细!$C964="",周转筐出入库明细!$F964&lt;&gt;"采购入库"),"",周转筐出入库明细!$C964)</f>
        <v/>
      </c>
      <c r="CT963">
        <f t="shared" si="411"/>
        <v>0</v>
      </c>
      <c r="CU963">
        <f t="shared" si="412"/>
        <v>1</v>
      </c>
    </row>
    <row r="964" spans="1:99">
      <c r="A964" t="str">
        <f>IF(包装物料出入库明细!$E964="","",包装物料出入库明细!$E964)</f>
        <v/>
      </c>
      <c r="B964">
        <f t="shared" ref="B964:B1027" si="414">IF(A964="",0,IF(MATCH(A964,$A$4:$A$2003,0)=ROW()-3,1,0))</f>
        <v>0</v>
      </c>
      <c r="C964">
        <f t="shared" ref="C964:C1027" si="415">N(C963)+B964</f>
        <v>7</v>
      </c>
      <c r="D964" t="str">
        <f>IF(包装物料出入库明细!$E964="","",包装物料出入库明细!$F964)</f>
        <v/>
      </c>
      <c r="E964" t="str">
        <f>IF(包装物料出入库明细!$E964="","",包装物料出入库明细!$G964)</f>
        <v/>
      </c>
      <c r="K964" t="str">
        <f>IF(包装物料出入库明细!$D964="","",包装物料出入库明细!$D964)</f>
        <v/>
      </c>
      <c r="L964">
        <f t="shared" ref="L964:L1027" si="416">IF(K964="",0,IF(MATCH(K964,$K$4:$K$2003,0)=ROW()-3,1,0))</f>
        <v>0</v>
      </c>
      <c r="M964">
        <f t="shared" ref="M964:M1027" si="417">N(M963)+L964</f>
        <v>9</v>
      </c>
      <c r="Q964" t="str">
        <f>IF(周转筐出入库明细!$D965="","",周转筐出入库明细!$D965)</f>
        <v/>
      </c>
      <c r="R964">
        <f t="shared" ref="R964:R1027" si="418">IF(Q964="",0,IF(MATCH(Q964,$Q$4:$Q$2003,0)=ROW()-3,1,0))</f>
        <v>0</v>
      </c>
      <c r="S964">
        <f t="shared" ref="S964:S1027" si="419">N(S963)+R964</f>
        <v>5</v>
      </c>
      <c r="W964" t="str">
        <f>IF(周转筐出入库明细!$C965="","",周转筐出入库明细!$C965)</f>
        <v/>
      </c>
      <c r="X964">
        <f t="shared" ref="X964:X1027" si="420">IF(W964="",0,IF(MATCH(W964,$W$4:$W$2003,0)=ROW()-3,1,0))</f>
        <v>0</v>
      </c>
      <c r="Y964">
        <f t="shared" ref="Y964:Y1027" si="421">N(Y963)+X964</f>
        <v>12</v>
      </c>
      <c r="AC964" t="str">
        <f>IF(客户自备加工筐明细!$C964="","",客户自备加工筐明细!$C964)</f>
        <v/>
      </c>
      <c r="AD964">
        <f t="shared" ref="AD964:AD1027" si="422">IF(AC964="",0,IF(MATCH(AC964,$AC$4:$AC$1203,0)=ROW()-3,1,0))</f>
        <v>0</v>
      </c>
      <c r="AE964">
        <f t="shared" ref="AE964:AE1027" si="423">N(AE963)+AD964</f>
        <v>1</v>
      </c>
      <c r="AI964" t="str">
        <f>IF(客户自备加工筐明细!$E964="","",客户自备加工筐明细!$E964)</f>
        <v/>
      </c>
      <c r="AJ964">
        <f t="shared" ref="AJ964:AJ1027" si="424">IF(AI964="",0,IF(MATCH(AI964,$AI$4:$AI$1503,0)=ROW()-3,1,0))</f>
        <v>0</v>
      </c>
      <c r="AK964">
        <f t="shared" ref="AK964:AK1027" si="425">N(AK963)+AJ964</f>
        <v>1</v>
      </c>
      <c r="BS964" t="str">
        <f t="shared" si="413"/>
        <v/>
      </c>
      <c r="BT964">
        <f t="shared" ref="BT964:BT1027" si="426">IF(BS964="",0,IF(MATCH(BS964,$BS$4:$BS$1103,0)=ROW()-3,1,0))</f>
        <v>0</v>
      </c>
      <c r="BU964">
        <f t="shared" ref="BU964:BU1027" si="427">N(BU963)+BT964</f>
        <v>18</v>
      </c>
      <c r="CP964">
        <f>IF(包装物料出入库明细!$D964="",0,1)</f>
        <v>0</v>
      </c>
      <c r="CQ964">
        <f t="shared" ref="CQ964:CQ1027" si="428">N(CQ963)+$CP964</f>
        <v>37</v>
      </c>
      <c r="CS964" t="str">
        <f>IF(OR(周转筐出入库明细!$C965="",周转筐出入库明细!$F965&lt;&gt;"采购入库"),"",周转筐出入库明细!$C965)</f>
        <v/>
      </c>
      <c r="CT964">
        <f t="shared" ref="CT964:CT1027" si="429">IF(CS964="",0,IF(MATCH(CS964,$CS$4:$CS$2003,0)=ROW()-3,1,0))</f>
        <v>0</v>
      </c>
      <c r="CU964">
        <f t="shared" ref="CU964:CU1027" si="430">N(CU963)+CT964</f>
        <v>1</v>
      </c>
    </row>
    <row r="965" spans="1:99">
      <c r="A965" t="str">
        <f>IF(包装物料出入库明细!$E965="","",包装物料出入库明细!$E965)</f>
        <v/>
      </c>
      <c r="B965">
        <f t="shared" si="414"/>
        <v>0</v>
      </c>
      <c r="C965">
        <f t="shared" si="415"/>
        <v>7</v>
      </c>
      <c r="D965" t="str">
        <f>IF(包装物料出入库明细!$E965="","",包装物料出入库明细!$F965)</f>
        <v/>
      </c>
      <c r="E965" t="str">
        <f>IF(包装物料出入库明细!$E965="","",包装物料出入库明细!$G965)</f>
        <v/>
      </c>
      <c r="K965" t="str">
        <f>IF(包装物料出入库明细!$D965="","",包装物料出入库明细!$D965)</f>
        <v/>
      </c>
      <c r="L965">
        <f t="shared" si="416"/>
        <v>0</v>
      </c>
      <c r="M965">
        <f t="shared" si="417"/>
        <v>9</v>
      </c>
      <c r="Q965" t="str">
        <f>IF(周转筐出入库明细!$D966="","",周转筐出入库明细!$D966)</f>
        <v/>
      </c>
      <c r="R965">
        <f t="shared" si="418"/>
        <v>0</v>
      </c>
      <c r="S965">
        <f t="shared" si="419"/>
        <v>5</v>
      </c>
      <c r="W965" t="str">
        <f>IF(周转筐出入库明细!$C966="","",周转筐出入库明细!$C966)</f>
        <v/>
      </c>
      <c r="X965">
        <f t="shared" si="420"/>
        <v>0</v>
      </c>
      <c r="Y965">
        <f t="shared" si="421"/>
        <v>12</v>
      </c>
      <c r="AC965" t="str">
        <f>IF(客户自备加工筐明细!$C965="","",客户自备加工筐明细!$C965)</f>
        <v/>
      </c>
      <c r="AD965">
        <f t="shared" si="422"/>
        <v>0</v>
      </c>
      <c r="AE965">
        <f t="shared" si="423"/>
        <v>1</v>
      </c>
      <c r="AI965" t="str">
        <f>IF(客户自备加工筐明细!$E965="","",客户自备加工筐明细!$E965)</f>
        <v/>
      </c>
      <c r="AJ965">
        <f t="shared" si="424"/>
        <v>0</v>
      </c>
      <c r="AK965">
        <f t="shared" si="425"/>
        <v>1</v>
      </c>
      <c r="BS965" t="str">
        <f t="shared" si="413"/>
        <v/>
      </c>
      <c r="BT965">
        <f t="shared" si="426"/>
        <v>0</v>
      </c>
      <c r="BU965">
        <f t="shared" si="427"/>
        <v>18</v>
      </c>
      <c r="CP965">
        <f>IF(包装物料出入库明细!$D965="",0,1)</f>
        <v>0</v>
      </c>
      <c r="CQ965">
        <f t="shared" si="428"/>
        <v>37</v>
      </c>
      <c r="CS965" t="str">
        <f>IF(OR(周转筐出入库明细!$C966="",周转筐出入库明细!$F966&lt;&gt;"采购入库"),"",周转筐出入库明细!$C966)</f>
        <v/>
      </c>
      <c r="CT965">
        <f t="shared" si="429"/>
        <v>0</v>
      </c>
      <c r="CU965">
        <f t="shared" si="430"/>
        <v>1</v>
      </c>
    </row>
    <row r="966" spans="1:99">
      <c r="A966" t="str">
        <f>IF(包装物料出入库明细!$E966="","",包装物料出入库明细!$E966)</f>
        <v/>
      </c>
      <c r="B966">
        <f t="shared" si="414"/>
        <v>0</v>
      </c>
      <c r="C966">
        <f t="shared" si="415"/>
        <v>7</v>
      </c>
      <c r="D966" t="str">
        <f>IF(包装物料出入库明细!$E966="","",包装物料出入库明细!$F966)</f>
        <v/>
      </c>
      <c r="E966" t="str">
        <f>IF(包装物料出入库明细!$E966="","",包装物料出入库明细!$G966)</f>
        <v/>
      </c>
      <c r="K966" t="str">
        <f>IF(包装物料出入库明细!$D966="","",包装物料出入库明细!$D966)</f>
        <v/>
      </c>
      <c r="L966">
        <f t="shared" si="416"/>
        <v>0</v>
      </c>
      <c r="M966">
        <f t="shared" si="417"/>
        <v>9</v>
      </c>
      <c r="Q966" t="str">
        <f>IF(周转筐出入库明细!$D967="","",周转筐出入库明细!$D967)</f>
        <v/>
      </c>
      <c r="R966">
        <f t="shared" si="418"/>
        <v>0</v>
      </c>
      <c r="S966">
        <f t="shared" si="419"/>
        <v>5</v>
      </c>
      <c r="W966" t="str">
        <f>IF(周转筐出入库明细!$C967="","",周转筐出入库明细!$C967)</f>
        <v/>
      </c>
      <c r="X966">
        <f t="shared" si="420"/>
        <v>0</v>
      </c>
      <c r="Y966">
        <f t="shared" si="421"/>
        <v>12</v>
      </c>
      <c r="AC966" t="str">
        <f>IF(客户自备加工筐明细!$C966="","",客户自备加工筐明细!$C966)</f>
        <v/>
      </c>
      <c r="AD966">
        <f t="shared" si="422"/>
        <v>0</v>
      </c>
      <c r="AE966">
        <f t="shared" si="423"/>
        <v>1</v>
      </c>
      <c r="AI966" t="str">
        <f>IF(客户自备加工筐明细!$E966="","",客户自备加工筐明细!$E966)</f>
        <v/>
      </c>
      <c r="AJ966">
        <f t="shared" si="424"/>
        <v>0</v>
      </c>
      <c r="AK966">
        <f t="shared" si="425"/>
        <v>1</v>
      </c>
      <c r="BS966" t="str">
        <f t="shared" si="413"/>
        <v/>
      </c>
      <c r="BT966">
        <f t="shared" si="426"/>
        <v>0</v>
      </c>
      <c r="BU966">
        <f t="shared" si="427"/>
        <v>18</v>
      </c>
      <c r="CP966">
        <f>IF(包装物料出入库明细!$D966="",0,1)</f>
        <v>0</v>
      </c>
      <c r="CQ966">
        <f t="shared" si="428"/>
        <v>37</v>
      </c>
      <c r="CS966" t="str">
        <f>IF(OR(周转筐出入库明细!$C967="",周转筐出入库明细!$F967&lt;&gt;"采购入库"),"",周转筐出入库明细!$C967)</f>
        <v/>
      </c>
      <c r="CT966">
        <f t="shared" si="429"/>
        <v>0</v>
      </c>
      <c r="CU966">
        <f t="shared" si="430"/>
        <v>1</v>
      </c>
    </row>
    <row r="967" spans="1:99">
      <c r="A967" t="str">
        <f>IF(包装物料出入库明细!$E967="","",包装物料出入库明细!$E967)</f>
        <v/>
      </c>
      <c r="B967">
        <f t="shared" si="414"/>
        <v>0</v>
      </c>
      <c r="C967">
        <f t="shared" si="415"/>
        <v>7</v>
      </c>
      <c r="D967" t="str">
        <f>IF(包装物料出入库明细!$E967="","",包装物料出入库明细!$F967)</f>
        <v/>
      </c>
      <c r="E967" t="str">
        <f>IF(包装物料出入库明细!$E967="","",包装物料出入库明细!$G967)</f>
        <v/>
      </c>
      <c r="K967" t="str">
        <f>IF(包装物料出入库明细!$D967="","",包装物料出入库明细!$D967)</f>
        <v/>
      </c>
      <c r="L967">
        <f t="shared" si="416"/>
        <v>0</v>
      </c>
      <c r="M967">
        <f t="shared" si="417"/>
        <v>9</v>
      </c>
      <c r="Q967" t="str">
        <f>IF(周转筐出入库明细!$D968="","",周转筐出入库明细!$D968)</f>
        <v/>
      </c>
      <c r="R967">
        <f t="shared" si="418"/>
        <v>0</v>
      </c>
      <c r="S967">
        <f t="shared" si="419"/>
        <v>5</v>
      </c>
      <c r="W967" t="str">
        <f>IF(周转筐出入库明细!$C968="","",周转筐出入库明细!$C968)</f>
        <v/>
      </c>
      <c r="X967">
        <f t="shared" si="420"/>
        <v>0</v>
      </c>
      <c r="Y967">
        <f t="shared" si="421"/>
        <v>12</v>
      </c>
      <c r="AC967" t="str">
        <f>IF(客户自备加工筐明细!$C967="","",客户自备加工筐明细!$C967)</f>
        <v/>
      </c>
      <c r="AD967">
        <f t="shared" si="422"/>
        <v>0</v>
      </c>
      <c r="AE967">
        <f t="shared" si="423"/>
        <v>1</v>
      </c>
      <c r="AI967" t="str">
        <f>IF(客户自备加工筐明细!$E967="","",客户自备加工筐明细!$E967)</f>
        <v/>
      </c>
      <c r="AJ967">
        <f t="shared" si="424"/>
        <v>0</v>
      </c>
      <c r="AK967">
        <f t="shared" si="425"/>
        <v>1</v>
      </c>
      <c r="BS967" t="str">
        <f t="shared" si="413"/>
        <v/>
      </c>
      <c r="BT967">
        <f t="shared" si="426"/>
        <v>0</v>
      </c>
      <c r="BU967">
        <f t="shared" si="427"/>
        <v>18</v>
      </c>
      <c r="CP967">
        <f>IF(包装物料出入库明细!$D967="",0,1)</f>
        <v>0</v>
      </c>
      <c r="CQ967">
        <f t="shared" si="428"/>
        <v>37</v>
      </c>
      <c r="CS967" t="str">
        <f>IF(OR(周转筐出入库明细!$C968="",周转筐出入库明细!$F968&lt;&gt;"采购入库"),"",周转筐出入库明细!$C968)</f>
        <v/>
      </c>
      <c r="CT967">
        <f t="shared" si="429"/>
        <v>0</v>
      </c>
      <c r="CU967">
        <f t="shared" si="430"/>
        <v>1</v>
      </c>
    </row>
    <row r="968" spans="1:99">
      <c r="A968" t="str">
        <f>IF(包装物料出入库明细!$E968="","",包装物料出入库明细!$E968)</f>
        <v/>
      </c>
      <c r="B968">
        <f t="shared" si="414"/>
        <v>0</v>
      </c>
      <c r="C968">
        <f t="shared" si="415"/>
        <v>7</v>
      </c>
      <c r="D968" t="str">
        <f>IF(包装物料出入库明细!$E968="","",包装物料出入库明细!$F968)</f>
        <v/>
      </c>
      <c r="E968" t="str">
        <f>IF(包装物料出入库明细!$E968="","",包装物料出入库明细!$G968)</f>
        <v/>
      </c>
      <c r="K968" t="str">
        <f>IF(包装物料出入库明细!$D968="","",包装物料出入库明细!$D968)</f>
        <v/>
      </c>
      <c r="L968">
        <f t="shared" si="416"/>
        <v>0</v>
      </c>
      <c r="M968">
        <f t="shared" si="417"/>
        <v>9</v>
      </c>
      <c r="Q968" t="str">
        <f>IF(周转筐出入库明细!$D969="","",周转筐出入库明细!$D969)</f>
        <v/>
      </c>
      <c r="R968">
        <f t="shared" si="418"/>
        <v>0</v>
      </c>
      <c r="S968">
        <f t="shared" si="419"/>
        <v>5</v>
      </c>
      <c r="W968" t="str">
        <f>IF(周转筐出入库明细!$C969="","",周转筐出入库明细!$C969)</f>
        <v/>
      </c>
      <c r="X968">
        <f t="shared" si="420"/>
        <v>0</v>
      </c>
      <c r="Y968">
        <f t="shared" si="421"/>
        <v>12</v>
      </c>
      <c r="AC968" t="str">
        <f>IF(客户自备加工筐明细!$C968="","",客户自备加工筐明细!$C968)</f>
        <v/>
      </c>
      <c r="AD968">
        <f t="shared" si="422"/>
        <v>0</v>
      </c>
      <c r="AE968">
        <f t="shared" si="423"/>
        <v>1</v>
      </c>
      <c r="AI968" t="str">
        <f>IF(客户自备加工筐明细!$E968="","",客户自备加工筐明细!$E968)</f>
        <v/>
      </c>
      <c r="AJ968">
        <f t="shared" si="424"/>
        <v>0</v>
      </c>
      <c r="AK968">
        <f t="shared" si="425"/>
        <v>1</v>
      </c>
      <c r="BS968" t="str">
        <f t="shared" si="413"/>
        <v/>
      </c>
      <c r="BT968">
        <f t="shared" si="426"/>
        <v>0</v>
      </c>
      <c r="BU968">
        <f t="shared" si="427"/>
        <v>18</v>
      </c>
      <c r="CP968">
        <f>IF(包装物料出入库明细!$D968="",0,1)</f>
        <v>0</v>
      </c>
      <c r="CQ968">
        <f t="shared" si="428"/>
        <v>37</v>
      </c>
      <c r="CS968" t="str">
        <f>IF(OR(周转筐出入库明细!$C969="",周转筐出入库明细!$F969&lt;&gt;"采购入库"),"",周转筐出入库明细!$C969)</f>
        <v/>
      </c>
      <c r="CT968">
        <f t="shared" si="429"/>
        <v>0</v>
      </c>
      <c r="CU968">
        <f t="shared" si="430"/>
        <v>1</v>
      </c>
    </row>
    <row r="969" spans="1:99">
      <c r="A969" t="str">
        <f>IF(包装物料出入库明细!$E969="","",包装物料出入库明细!$E969)</f>
        <v/>
      </c>
      <c r="B969">
        <f t="shared" si="414"/>
        <v>0</v>
      </c>
      <c r="C969">
        <f t="shared" si="415"/>
        <v>7</v>
      </c>
      <c r="D969" t="str">
        <f>IF(包装物料出入库明细!$E969="","",包装物料出入库明细!$F969)</f>
        <v/>
      </c>
      <c r="E969" t="str">
        <f>IF(包装物料出入库明细!$E969="","",包装物料出入库明细!$G969)</f>
        <v/>
      </c>
      <c r="K969" t="str">
        <f>IF(包装物料出入库明细!$D969="","",包装物料出入库明细!$D969)</f>
        <v/>
      </c>
      <c r="L969">
        <f t="shared" si="416"/>
        <v>0</v>
      </c>
      <c r="M969">
        <f t="shared" si="417"/>
        <v>9</v>
      </c>
      <c r="Q969" t="str">
        <f>IF(周转筐出入库明细!$D970="","",周转筐出入库明细!$D970)</f>
        <v/>
      </c>
      <c r="R969">
        <f t="shared" si="418"/>
        <v>0</v>
      </c>
      <c r="S969">
        <f t="shared" si="419"/>
        <v>5</v>
      </c>
      <c r="W969" t="str">
        <f>IF(周转筐出入库明细!$C970="","",周转筐出入库明细!$C970)</f>
        <v/>
      </c>
      <c r="X969">
        <f t="shared" si="420"/>
        <v>0</v>
      </c>
      <c r="Y969">
        <f t="shared" si="421"/>
        <v>12</v>
      </c>
      <c r="AC969" t="str">
        <f>IF(客户自备加工筐明细!$C969="","",客户自备加工筐明细!$C969)</f>
        <v/>
      </c>
      <c r="AD969">
        <f t="shared" si="422"/>
        <v>0</v>
      </c>
      <c r="AE969">
        <f t="shared" si="423"/>
        <v>1</v>
      </c>
      <c r="AI969" t="str">
        <f>IF(客户自备加工筐明细!$E969="","",客户自备加工筐明细!$E969)</f>
        <v/>
      </c>
      <c r="AJ969">
        <f t="shared" si="424"/>
        <v>0</v>
      </c>
      <c r="AK969">
        <f t="shared" si="425"/>
        <v>1</v>
      </c>
      <c r="BS969" t="str">
        <f t="shared" si="413"/>
        <v/>
      </c>
      <c r="BT969">
        <f t="shared" si="426"/>
        <v>0</v>
      </c>
      <c r="BU969">
        <f t="shared" si="427"/>
        <v>18</v>
      </c>
      <c r="CP969">
        <f>IF(包装物料出入库明细!$D969="",0,1)</f>
        <v>0</v>
      </c>
      <c r="CQ969">
        <f t="shared" si="428"/>
        <v>37</v>
      </c>
      <c r="CS969" t="str">
        <f>IF(OR(周转筐出入库明细!$C970="",周转筐出入库明细!$F970&lt;&gt;"采购入库"),"",周转筐出入库明细!$C970)</f>
        <v/>
      </c>
      <c r="CT969">
        <f t="shared" si="429"/>
        <v>0</v>
      </c>
      <c r="CU969">
        <f t="shared" si="430"/>
        <v>1</v>
      </c>
    </row>
    <row r="970" spans="1:99">
      <c r="A970" t="str">
        <f>IF(包装物料出入库明细!$E970="","",包装物料出入库明细!$E970)</f>
        <v/>
      </c>
      <c r="B970">
        <f t="shared" si="414"/>
        <v>0</v>
      </c>
      <c r="C970">
        <f t="shared" si="415"/>
        <v>7</v>
      </c>
      <c r="D970" t="str">
        <f>IF(包装物料出入库明细!$E970="","",包装物料出入库明细!$F970)</f>
        <v/>
      </c>
      <c r="E970" t="str">
        <f>IF(包装物料出入库明细!$E970="","",包装物料出入库明细!$G970)</f>
        <v/>
      </c>
      <c r="K970" t="str">
        <f>IF(包装物料出入库明细!$D970="","",包装物料出入库明细!$D970)</f>
        <v/>
      </c>
      <c r="L970">
        <f t="shared" si="416"/>
        <v>0</v>
      </c>
      <c r="M970">
        <f t="shared" si="417"/>
        <v>9</v>
      </c>
      <c r="Q970" t="str">
        <f>IF(周转筐出入库明细!$D971="","",周转筐出入库明细!$D971)</f>
        <v/>
      </c>
      <c r="R970">
        <f t="shared" si="418"/>
        <v>0</v>
      </c>
      <c r="S970">
        <f t="shared" si="419"/>
        <v>5</v>
      </c>
      <c r="W970" t="str">
        <f>IF(周转筐出入库明细!$C971="","",周转筐出入库明细!$C971)</f>
        <v/>
      </c>
      <c r="X970">
        <f t="shared" si="420"/>
        <v>0</v>
      </c>
      <c r="Y970">
        <f t="shared" si="421"/>
        <v>12</v>
      </c>
      <c r="AC970" t="str">
        <f>IF(客户自备加工筐明细!$C970="","",客户自备加工筐明细!$C970)</f>
        <v/>
      </c>
      <c r="AD970">
        <f t="shared" si="422"/>
        <v>0</v>
      </c>
      <c r="AE970">
        <f t="shared" si="423"/>
        <v>1</v>
      </c>
      <c r="AI970" t="str">
        <f>IF(客户自备加工筐明细!$E970="","",客户自备加工筐明细!$E970)</f>
        <v/>
      </c>
      <c r="AJ970">
        <f t="shared" si="424"/>
        <v>0</v>
      </c>
      <c r="AK970">
        <f t="shared" si="425"/>
        <v>1</v>
      </c>
      <c r="BS970" t="str">
        <f t="shared" si="413"/>
        <v/>
      </c>
      <c r="BT970">
        <f t="shared" si="426"/>
        <v>0</v>
      </c>
      <c r="BU970">
        <f t="shared" si="427"/>
        <v>18</v>
      </c>
      <c r="CP970">
        <f>IF(包装物料出入库明细!$D970="",0,1)</f>
        <v>0</v>
      </c>
      <c r="CQ970">
        <f t="shared" si="428"/>
        <v>37</v>
      </c>
      <c r="CS970" t="str">
        <f>IF(OR(周转筐出入库明细!$C971="",周转筐出入库明细!$F971&lt;&gt;"采购入库"),"",周转筐出入库明细!$C971)</f>
        <v/>
      </c>
      <c r="CT970">
        <f t="shared" si="429"/>
        <v>0</v>
      </c>
      <c r="CU970">
        <f t="shared" si="430"/>
        <v>1</v>
      </c>
    </row>
    <row r="971" spans="1:99">
      <c r="A971" t="str">
        <f>IF(包装物料出入库明细!$E971="","",包装物料出入库明细!$E971)</f>
        <v/>
      </c>
      <c r="B971">
        <f t="shared" si="414"/>
        <v>0</v>
      </c>
      <c r="C971">
        <f t="shared" si="415"/>
        <v>7</v>
      </c>
      <c r="D971" t="str">
        <f>IF(包装物料出入库明细!$E971="","",包装物料出入库明细!$F971)</f>
        <v/>
      </c>
      <c r="E971" t="str">
        <f>IF(包装物料出入库明细!$E971="","",包装物料出入库明细!$G971)</f>
        <v/>
      </c>
      <c r="K971" t="str">
        <f>IF(包装物料出入库明细!$D971="","",包装物料出入库明细!$D971)</f>
        <v/>
      </c>
      <c r="L971">
        <f t="shared" si="416"/>
        <v>0</v>
      </c>
      <c r="M971">
        <f t="shared" si="417"/>
        <v>9</v>
      </c>
      <c r="Q971" t="str">
        <f>IF(周转筐出入库明细!$D972="","",周转筐出入库明细!$D972)</f>
        <v/>
      </c>
      <c r="R971">
        <f t="shared" si="418"/>
        <v>0</v>
      </c>
      <c r="S971">
        <f t="shared" si="419"/>
        <v>5</v>
      </c>
      <c r="W971" t="str">
        <f>IF(周转筐出入库明细!$C972="","",周转筐出入库明细!$C972)</f>
        <v/>
      </c>
      <c r="X971">
        <f t="shared" si="420"/>
        <v>0</v>
      </c>
      <c r="Y971">
        <f t="shared" si="421"/>
        <v>12</v>
      </c>
      <c r="AC971" t="str">
        <f>IF(客户自备加工筐明细!$C971="","",客户自备加工筐明细!$C971)</f>
        <v/>
      </c>
      <c r="AD971">
        <f t="shared" si="422"/>
        <v>0</v>
      </c>
      <c r="AE971">
        <f t="shared" si="423"/>
        <v>1</v>
      </c>
      <c r="AI971" t="str">
        <f>IF(客户自备加工筐明细!$E971="","",客户自备加工筐明细!$E971)</f>
        <v/>
      </c>
      <c r="AJ971">
        <f t="shared" si="424"/>
        <v>0</v>
      </c>
      <c r="AK971">
        <f t="shared" si="425"/>
        <v>1</v>
      </c>
      <c r="BS971" t="str">
        <f t="shared" si="413"/>
        <v/>
      </c>
      <c r="BT971">
        <f t="shared" si="426"/>
        <v>0</v>
      </c>
      <c r="BU971">
        <f t="shared" si="427"/>
        <v>18</v>
      </c>
      <c r="CP971">
        <f>IF(包装物料出入库明细!$D971="",0,1)</f>
        <v>0</v>
      </c>
      <c r="CQ971">
        <f t="shared" si="428"/>
        <v>37</v>
      </c>
      <c r="CS971" t="str">
        <f>IF(OR(周转筐出入库明细!$C972="",周转筐出入库明细!$F972&lt;&gt;"采购入库"),"",周转筐出入库明细!$C972)</f>
        <v/>
      </c>
      <c r="CT971">
        <f t="shared" si="429"/>
        <v>0</v>
      </c>
      <c r="CU971">
        <f t="shared" si="430"/>
        <v>1</v>
      </c>
    </row>
    <row r="972" spans="1:99">
      <c r="A972" t="str">
        <f>IF(包装物料出入库明细!$E972="","",包装物料出入库明细!$E972)</f>
        <v/>
      </c>
      <c r="B972">
        <f t="shared" si="414"/>
        <v>0</v>
      </c>
      <c r="C972">
        <f t="shared" si="415"/>
        <v>7</v>
      </c>
      <c r="D972" t="str">
        <f>IF(包装物料出入库明细!$E972="","",包装物料出入库明细!$F972)</f>
        <v/>
      </c>
      <c r="E972" t="str">
        <f>IF(包装物料出入库明细!$E972="","",包装物料出入库明细!$G972)</f>
        <v/>
      </c>
      <c r="K972" t="str">
        <f>IF(包装物料出入库明细!$D972="","",包装物料出入库明细!$D972)</f>
        <v/>
      </c>
      <c r="L972">
        <f t="shared" si="416"/>
        <v>0</v>
      </c>
      <c r="M972">
        <f t="shared" si="417"/>
        <v>9</v>
      </c>
      <c r="Q972" t="str">
        <f>IF(周转筐出入库明细!$D973="","",周转筐出入库明细!$D973)</f>
        <v/>
      </c>
      <c r="R972">
        <f t="shared" si="418"/>
        <v>0</v>
      </c>
      <c r="S972">
        <f t="shared" si="419"/>
        <v>5</v>
      </c>
      <c r="W972" t="str">
        <f>IF(周转筐出入库明细!$C973="","",周转筐出入库明细!$C973)</f>
        <v/>
      </c>
      <c r="X972">
        <f t="shared" si="420"/>
        <v>0</v>
      </c>
      <c r="Y972">
        <f t="shared" si="421"/>
        <v>12</v>
      </c>
      <c r="AC972" t="str">
        <f>IF(客户自备加工筐明细!$C972="","",客户自备加工筐明细!$C972)</f>
        <v/>
      </c>
      <c r="AD972">
        <f t="shared" si="422"/>
        <v>0</v>
      </c>
      <c r="AE972">
        <f t="shared" si="423"/>
        <v>1</v>
      </c>
      <c r="AI972" t="str">
        <f>IF(客户自备加工筐明细!$E972="","",客户自备加工筐明细!$E972)</f>
        <v/>
      </c>
      <c r="AJ972">
        <f t="shared" si="424"/>
        <v>0</v>
      </c>
      <c r="AK972">
        <f t="shared" si="425"/>
        <v>1</v>
      </c>
      <c r="BS972" t="str">
        <f t="shared" si="413"/>
        <v/>
      </c>
      <c r="BT972">
        <f t="shared" si="426"/>
        <v>0</v>
      </c>
      <c r="BU972">
        <f t="shared" si="427"/>
        <v>18</v>
      </c>
      <c r="CP972">
        <f>IF(包装物料出入库明细!$D972="",0,1)</f>
        <v>0</v>
      </c>
      <c r="CQ972">
        <f t="shared" si="428"/>
        <v>37</v>
      </c>
      <c r="CS972" t="str">
        <f>IF(OR(周转筐出入库明细!$C973="",周转筐出入库明细!$F973&lt;&gt;"采购入库"),"",周转筐出入库明细!$C973)</f>
        <v/>
      </c>
      <c r="CT972">
        <f t="shared" si="429"/>
        <v>0</v>
      </c>
      <c r="CU972">
        <f t="shared" si="430"/>
        <v>1</v>
      </c>
    </row>
    <row r="973" spans="1:99">
      <c r="A973" t="str">
        <f>IF(包装物料出入库明细!$E973="","",包装物料出入库明细!$E973)</f>
        <v/>
      </c>
      <c r="B973">
        <f t="shared" si="414"/>
        <v>0</v>
      </c>
      <c r="C973">
        <f t="shared" si="415"/>
        <v>7</v>
      </c>
      <c r="D973" t="str">
        <f>IF(包装物料出入库明细!$E973="","",包装物料出入库明细!$F973)</f>
        <v/>
      </c>
      <c r="E973" t="str">
        <f>IF(包装物料出入库明细!$E973="","",包装物料出入库明细!$G973)</f>
        <v/>
      </c>
      <c r="K973" t="str">
        <f>IF(包装物料出入库明细!$D973="","",包装物料出入库明细!$D973)</f>
        <v/>
      </c>
      <c r="L973">
        <f t="shared" si="416"/>
        <v>0</v>
      </c>
      <c r="M973">
        <f t="shared" si="417"/>
        <v>9</v>
      </c>
      <c r="Q973" t="str">
        <f>IF(周转筐出入库明细!$D974="","",周转筐出入库明细!$D974)</f>
        <v/>
      </c>
      <c r="R973">
        <f t="shared" si="418"/>
        <v>0</v>
      </c>
      <c r="S973">
        <f t="shared" si="419"/>
        <v>5</v>
      </c>
      <c r="W973" t="str">
        <f>IF(周转筐出入库明细!$C974="","",周转筐出入库明细!$C974)</f>
        <v/>
      </c>
      <c r="X973">
        <f t="shared" si="420"/>
        <v>0</v>
      </c>
      <c r="Y973">
        <f t="shared" si="421"/>
        <v>12</v>
      </c>
      <c r="AC973" t="str">
        <f>IF(客户自备加工筐明细!$C973="","",客户自备加工筐明细!$C973)</f>
        <v/>
      </c>
      <c r="AD973">
        <f t="shared" si="422"/>
        <v>0</v>
      </c>
      <c r="AE973">
        <f t="shared" si="423"/>
        <v>1</v>
      </c>
      <c r="AI973" t="str">
        <f>IF(客户自备加工筐明细!$E973="","",客户自备加工筐明细!$E973)</f>
        <v/>
      </c>
      <c r="AJ973">
        <f t="shared" si="424"/>
        <v>0</v>
      </c>
      <c r="AK973">
        <f t="shared" si="425"/>
        <v>1</v>
      </c>
      <c r="BS973" t="str">
        <f t="shared" si="413"/>
        <v/>
      </c>
      <c r="BT973">
        <f t="shared" si="426"/>
        <v>0</v>
      </c>
      <c r="BU973">
        <f t="shared" si="427"/>
        <v>18</v>
      </c>
      <c r="CP973">
        <f>IF(包装物料出入库明细!$D973="",0,1)</f>
        <v>0</v>
      </c>
      <c r="CQ973">
        <f t="shared" si="428"/>
        <v>37</v>
      </c>
      <c r="CS973" t="str">
        <f>IF(OR(周转筐出入库明细!$C974="",周转筐出入库明细!$F974&lt;&gt;"采购入库"),"",周转筐出入库明细!$C974)</f>
        <v/>
      </c>
      <c r="CT973">
        <f t="shared" si="429"/>
        <v>0</v>
      </c>
      <c r="CU973">
        <f t="shared" si="430"/>
        <v>1</v>
      </c>
    </row>
    <row r="974" spans="1:99">
      <c r="A974" t="str">
        <f>IF(包装物料出入库明细!$E974="","",包装物料出入库明细!$E974)</f>
        <v/>
      </c>
      <c r="B974">
        <f t="shared" si="414"/>
        <v>0</v>
      </c>
      <c r="C974">
        <f t="shared" si="415"/>
        <v>7</v>
      </c>
      <c r="D974" t="str">
        <f>IF(包装物料出入库明细!$E974="","",包装物料出入库明细!$F974)</f>
        <v/>
      </c>
      <c r="E974" t="str">
        <f>IF(包装物料出入库明细!$E974="","",包装物料出入库明细!$G974)</f>
        <v/>
      </c>
      <c r="K974" t="str">
        <f>IF(包装物料出入库明细!$D974="","",包装物料出入库明细!$D974)</f>
        <v/>
      </c>
      <c r="L974">
        <f t="shared" si="416"/>
        <v>0</v>
      </c>
      <c r="M974">
        <f t="shared" si="417"/>
        <v>9</v>
      </c>
      <c r="Q974" t="str">
        <f>IF(周转筐出入库明细!$D975="","",周转筐出入库明细!$D975)</f>
        <v/>
      </c>
      <c r="R974">
        <f t="shared" si="418"/>
        <v>0</v>
      </c>
      <c r="S974">
        <f t="shared" si="419"/>
        <v>5</v>
      </c>
      <c r="W974" t="str">
        <f>IF(周转筐出入库明细!$C975="","",周转筐出入库明细!$C975)</f>
        <v/>
      </c>
      <c r="X974">
        <f t="shared" si="420"/>
        <v>0</v>
      </c>
      <c r="Y974">
        <f t="shared" si="421"/>
        <v>12</v>
      </c>
      <c r="AC974" t="str">
        <f>IF(客户自备加工筐明细!$C974="","",客户自备加工筐明细!$C974)</f>
        <v/>
      </c>
      <c r="AD974">
        <f t="shared" si="422"/>
        <v>0</v>
      </c>
      <c r="AE974">
        <f t="shared" si="423"/>
        <v>1</v>
      </c>
      <c r="AI974" t="str">
        <f>IF(客户自备加工筐明细!$E974="","",客户自备加工筐明细!$E974)</f>
        <v/>
      </c>
      <c r="AJ974">
        <f t="shared" si="424"/>
        <v>0</v>
      </c>
      <c r="AK974">
        <f t="shared" si="425"/>
        <v>1</v>
      </c>
      <c r="BS974" t="str">
        <f t="shared" si="413"/>
        <v/>
      </c>
      <c r="BT974">
        <f t="shared" si="426"/>
        <v>0</v>
      </c>
      <c r="BU974">
        <f t="shared" si="427"/>
        <v>18</v>
      </c>
      <c r="CP974">
        <f>IF(包装物料出入库明细!$D974="",0,1)</f>
        <v>0</v>
      </c>
      <c r="CQ974">
        <f t="shared" si="428"/>
        <v>37</v>
      </c>
      <c r="CS974" t="str">
        <f>IF(OR(周转筐出入库明细!$C975="",周转筐出入库明细!$F975&lt;&gt;"采购入库"),"",周转筐出入库明细!$C975)</f>
        <v/>
      </c>
      <c r="CT974">
        <f t="shared" si="429"/>
        <v>0</v>
      </c>
      <c r="CU974">
        <f t="shared" si="430"/>
        <v>1</v>
      </c>
    </row>
    <row r="975" spans="1:99">
      <c r="A975" t="str">
        <f>IF(包装物料出入库明细!$E975="","",包装物料出入库明细!$E975)</f>
        <v/>
      </c>
      <c r="B975">
        <f t="shared" si="414"/>
        <v>0</v>
      </c>
      <c r="C975">
        <f t="shared" si="415"/>
        <v>7</v>
      </c>
      <c r="D975" t="str">
        <f>IF(包装物料出入库明细!$E975="","",包装物料出入库明细!$F975)</f>
        <v/>
      </c>
      <c r="E975" t="str">
        <f>IF(包装物料出入库明细!$E975="","",包装物料出入库明细!$G975)</f>
        <v/>
      </c>
      <c r="K975" t="str">
        <f>IF(包装物料出入库明细!$D975="","",包装物料出入库明细!$D975)</f>
        <v/>
      </c>
      <c r="L975">
        <f t="shared" si="416"/>
        <v>0</v>
      </c>
      <c r="M975">
        <f t="shared" si="417"/>
        <v>9</v>
      </c>
      <c r="Q975" t="str">
        <f>IF(周转筐出入库明细!$D976="","",周转筐出入库明细!$D976)</f>
        <v/>
      </c>
      <c r="R975">
        <f t="shared" si="418"/>
        <v>0</v>
      </c>
      <c r="S975">
        <f t="shared" si="419"/>
        <v>5</v>
      </c>
      <c r="W975" t="str">
        <f>IF(周转筐出入库明细!$C976="","",周转筐出入库明细!$C976)</f>
        <v/>
      </c>
      <c r="X975">
        <f t="shared" si="420"/>
        <v>0</v>
      </c>
      <c r="Y975">
        <f t="shared" si="421"/>
        <v>12</v>
      </c>
      <c r="AC975" t="str">
        <f>IF(客户自备加工筐明细!$C975="","",客户自备加工筐明细!$C975)</f>
        <v/>
      </c>
      <c r="AD975">
        <f t="shared" si="422"/>
        <v>0</v>
      </c>
      <c r="AE975">
        <f t="shared" si="423"/>
        <v>1</v>
      </c>
      <c r="AI975" t="str">
        <f>IF(客户自备加工筐明细!$E975="","",客户自备加工筐明细!$E975)</f>
        <v/>
      </c>
      <c r="AJ975">
        <f t="shared" si="424"/>
        <v>0</v>
      </c>
      <c r="AK975">
        <f t="shared" si="425"/>
        <v>1</v>
      </c>
      <c r="BS975" t="str">
        <f t="shared" si="413"/>
        <v/>
      </c>
      <c r="BT975">
        <f t="shared" si="426"/>
        <v>0</v>
      </c>
      <c r="BU975">
        <f t="shared" si="427"/>
        <v>18</v>
      </c>
      <c r="CP975">
        <f>IF(包装物料出入库明细!$D975="",0,1)</f>
        <v>0</v>
      </c>
      <c r="CQ975">
        <f t="shared" si="428"/>
        <v>37</v>
      </c>
      <c r="CS975" t="str">
        <f>IF(OR(周转筐出入库明细!$C976="",周转筐出入库明细!$F976&lt;&gt;"采购入库"),"",周转筐出入库明细!$C976)</f>
        <v/>
      </c>
      <c r="CT975">
        <f t="shared" si="429"/>
        <v>0</v>
      </c>
      <c r="CU975">
        <f t="shared" si="430"/>
        <v>1</v>
      </c>
    </row>
    <row r="976" spans="1:99">
      <c r="A976" t="str">
        <f>IF(包装物料出入库明细!$E976="","",包装物料出入库明细!$E976)</f>
        <v/>
      </c>
      <c r="B976">
        <f t="shared" si="414"/>
        <v>0</v>
      </c>
      <c r="C976">
        <f t="shared" si="415"/>
        <v>7</v>
      </c>
      <c r="D976" t="str">
        <f>IF(包装物料出入库明细!$E976="","",包装物料出入库明细!$F976)</f>
        <v/>
      </c>
      <c r="E976" t="str">
        <f>IF(包装物料出入库明细!$E976="","",包装物料出入库明细!$G976)</f>
        <v/>
      </c>
      <c r="K976" t="str">
        <f>IF(包装物料出入库明细!$D976="","",包装物料出入库明细!$D976)</f>
        <v/>
      </c>
      <c r="L976">
        <f t="shared" si="416"/>
        <v>0</v>
      </c>
      <c r="M976">
        <f t="shared" si="417"/>
        <v>9</v>
      </c>
      <c r="Q976" t="str">
        <f>IF(周转筐出入库明细!$D977="","",周转筐出入库明细!$D977)</f>
        <v/>
      </c>
      <c r="R976">
        <f t="shared" si="418"/>
        <v>0</v>
      </c>
      <c r="S976">
        <f t="shared" si="419"/>
        <v>5</v>
      </c>
      <c r="W976" t="str">
        <f>IF(周转筐出入库明细!$C977="","",周转筐出入库明细!$C977)</f>
        <v/>
      </c>
      <c r="X976">
        <f t="shared" si="420"/>
        <v>0</v>
      </c>
      <c r="Y976">
        <f t="shared" si="421"/>
        <v>12</v>
      </c>
      <c r="AC976" t="str">
        <f>IF(客户自备加工筐明细!$C976="","",客户自备加工筐明细!$C976)</f>
        <v/>
      </c>
      <c r="AD976">
        <f t="shared" si="422"/>
        <v>0</v>
      </c>
      <c r="AE976">
        <f t="shared" si="423"/>
        <v>1</v>
      </c>
      <c r="AI976" t="str">
        <f>IF(客户自备加工筐明细!$E976="","",客户自备加工筐明细!$E976)</f>
        <v/>
      </c>
      <c r="AJ976">
        <f t="shared" si="424"/>
        <v>0</v>
      </c>
      <c r="AK976">
        <f t="shared" si="425"/>
        <v>1</v>
      </c>
      <c r="BS976" t="str">
        <f t="shared" si="413"/>
        <v/>
      </c>
      <c r="BT976">
        <f t="shared" si="426"/>
        <v>0</v>
      </c>
      <c r="BU976">
        <f t="shared" si="427"/>
        <v>18</v>
      </c>
      <c r="CP976">
        <f>IF(包装物料出入库明细!$D976="",0,1)</f>
        <v>0</v>
      </c>
      <c r="CQ976">
        <f t="shared" si="428"/>
        <v>37</v>
      </c>
      <c r="CS976" t="str">
        <f>IF(OR(周转筐出入库明细!$C977="",周转筐出入库明细!$F977&lt;&gt;"采购入库"),"",周转筐出入库明细!$C977)</f>
        <v/>
      </c>
      <c r="CT976">
        <f t="shared" si="429"/>
        <v>0</v>
      </c>
      <c r="CU976">
        <f t="shared" si="430"/>
        <v>1</v>
      </c>
    </row>
    <row r="977" spans="1:99">
      <c r="A977" t="str">
        <f>IF(包装物料出入库明细!$E977="","",包装物料出入库明细!$E977)</f>
        <v/>
      </c>
      <c r="B977">
        <f t="shared" si="414"/>
        <v>0</v>
      </c>
      <c r="C977">
        <f t="shared" si="415"/>
        <v>7</v>
      </c>
      <c r="D977" t="str">
        <f>IF(包装物料出入库明细!$E977="","",包装物料出入库明细!$F977)</f>
        <v/>
      </c>
      <c r="E977" t="str">
        <f>IF(包装物料出入库明细!$E977="","",包装物料出入库明细!$G977)</f>
        <v/>
      </c>
      <c r="K977" t="str">
        <f>IF(包装物料出入库明细!$D977="","",包装物料出入库明细!$D977)</f>
        <v/>
      </c>
      <c r="L977">
        <f t="shared" si="416"/>
        <v>0</v>
      </c>
      <c r="M977">
        <f t="shared" si="417"/>
        <v>9</v>
      </c>
      <c r="Q977" t="str">
        <f>IF(周转筐出入库明细!$D978="","",周转筐出入库明细!$D978)</f>
        <v/>
      </c>
      <c r="R977">
        <f t="shared" si="418"/>
        <v>0</v>
      </c>
      <c r="S977">
        <f t="shared" si="419"/>
        <v>5</v>
      </c>
      <c r="W977" t="str">
        <f>IF(周转筐出入库明细!$C978="","",周转筐出入库明细!$C978)</f>
        <v/>
      </c>
      <c r="X977">
        <f t="shared" si="420"/>
        <v>0</v>
      </c>
      <c r="Y977">
        <f t="shared" si="421"/>
        <v>12</v>
      </c>
      <c r="AC977" t="str">
        <f>IF(客户自备加工筐明细!$C977="","",客户自备加工筐明细!$C977)</f>
        <v/>
      </c>
      <c r="AD977">
        <f t="shared" si="422"/>
        <v>0</v>
      </c>
      <c r="AE977">
        <f t="shared" si="423"/>
        <v>1</v>
      </c>
      <c r="AI977" t="str">
        <f>IF(客户自备加工筐明细!$E977="","",客户自备加工筐明细!$E977)</f>
        <v/>
      </c>
      <c r="AJ977">
        <f t="shared" si="424"/>
        <v>0</v>
      </c>
      <c r="AK977">
        <f t="shared" si="425"/>
        <v>1</v>
      </c>
      <c r="BS977" t="str">
        <f t="shared" si="413"/>
        <v/>
      </c>
      <c r="BT977">
        <f t="shared" si="426"/>
        <v>0</v>
      </c>
      <c r="BU977">
        <f t="shared" si="427"/>
        <v>18</v>
      </c>
      <c r="CP977">
        <f>IF(包装物料出入库明细!$D977="",0,1)</f>
        <v>0</v>
      </c>
      <c r="CQ977">
        <f t="shared" si="428"/>
        <v>37</v>
      </c>
      <c r="CS977" t="str">
        <f>IF(OR(周转筐出入库明细!$C978="",周转筐出入库明细!$F978&lt;&gt;"采购入库"),"",周转筐出入库明细!$C978)</f>
        <v/>
      </c>
      <c r="CT977">
        <f t="shared" si="429"/>
        <v>0</v>
      </c>
      <c r="CU977">
        <f t="shared" si="430"/>
        <v>1</v>
      </c>
    </row>
    <row r="978" spans="1:99">
      <c r="A978" t="str">
        <f>IF(包装物料出入库明细!$E978="","",包装物料出入库明细!$E978)</f>
        <v/>
      </c>
      <c r="B978">
        <f t="shared" si="414"/>
        <v>0</v>
      </c>
      <c r="C978">
        <f t="shared" si="415"/>
        <v>7</v>
      </c>
      <c r="D978" t="str">
        <f>IF(包装物料出入库明细!$E978="","",包装物料出入库明细!$F978)</f>
        <v/>
      </c>
      <c r="E978" t="str">
        <f>IF(包装物料出入库明细!$E978="","",包装物料出入库明细!$G978)</f>
        <v/>
      </c>
      <c r="K978" t="str">
        <f>IF(包装物料出入库明细!$D978="","",包装物料出入库明细!$D978)</f>
        <v/>
      </c>
      <c r="L978">
        <f t="shared" si="416"/>
        <v>0</v>
      </c>
      <c r="M978">
        <f t="shared" si="417"/>
        <v>9</v>
      </c>
      <c r="Q978" t="str">
        <f>IF(周转筐出入库明细!$D979="","",周转筐出入库明细!$D979)</f>
        <v/>
      </c>
      <c r="R978">
        <f t="shared" si="418"/>
        <v>0</v>
      </c>
      <c r="S978">
        <f t="shared" si="419"/>
        <v>5</v>
      </c>
      <c r="W978" t="str">
        <f>IF(周转筐出入库明细!$C979="","",周转筐出入库明细!$C979)</f>
        <v/>
      </c>
      <c r="X978">
        <f t="shared" si="420"/>
        <v>0</v>
      </c>
      <c r="Y978">
        <f t="shared" si="421"/>
        <v>12</v>
      </c>
      <c r="AC978" t="str">
        <f>IF(客户自备加工筐明细!$C978="","",客户自备加工筐明细!$C978)</f>
        <v/>
      </c>
      <c r="AD978">
        <f t="shared" si="422"/>
        <v>0</v>
      </c>
      <c r="AE978">
        <f t="shared" si="423"/>
        <v>1</v>
      </c>
      <c r="AI978" t="str">
        <f>IF(客户自备加工筐明细!$E978="","",客户自备加工筐明细!$E978)</f>
        <v/>
      </c>
      <c r="AJ978">
        <f t="shared" si="424"/>
        <v>0</v>
      </c>
      <c r="AK978">
        <f t="shared" si="425"/>
        <v>1</v>
      </c>
      <c r="BS978" t="str">
        <f t="shared" si="413"/>
        <v/>
      </c>
      <c r="BT978">
        <f t="shared" si="426"/>
        <v>0</v>
      </c>
      <c r="BU978">
        <f t="shared" si="427"/>
        <v>18</v>
      </c>
      <c r="CP978">
        <f>IF(包装物料出入库明细!$D978="",0,1)</f>
        <v>0</v>
      </c>
      <c r="CQ978">
        <f t="shared" si="428"/>
        <v>37</v>
      </c>
      <c r="CS978" t="str">
        <f>IF(OR(周转筐出入库明细!$C979="",周转筐出入库明细!$F979&lt;&gt;"采购入库"),"",周转筐出入库明细!$C979)</f>
        <v/>
      </c>
      <c r="CT978">
        <f t="shared" si="429"/>
        <v>0</v>
      </c>
      <c r="CU978">
        <f t="shared" si="430"/>
        <v>1</v>
      </c>
    </row>
    <row r="979" spans="1:99">
      <c r="A979" t="str">
        <f>IF(包装物料出入库明细!$E979="","",包装物料出入库明细!$E979)</f>
        <v/>
      </c>
      <c r="B979">
        <f t="shared" si="414"/>
        <v>0</v>
      </c>
      <c r="C979">
        <f t="shared" si="415"/>
        <v>7</v>
      </c>
      <c r="D979" t="str">
        <f>IF(包装物料出入库明细!$E979="","",包装物料出入库明细!$F979)</f>
        <v/>
      </c>
      <c r="E979" t="str">
        <f>IF(包装物料出入库明细!$E979="","",包装物料出入库明细!$G979)</f>
        <v/>
      </c>
      <c r="K979" t="str">
        <f>IF(包装物料出入库明细!$D979="","",包装物料出入库明细!$D979)</f>
        <v/>
      </c>
      <c r="L979">
        <f t="shared" si="416"/>
        <v>0</v>
      </c>
      <c r="M979">
        <f t="shared" si="417"/>
        <v>9</v>
      </c>
      <c r="Q979" t="str">
        <f>IF(周转筐出入库明细!$D980="","",周转筐出入库明细!$D980)</f>
        <v/>
      </c>
      <c r="R979">
        <f t="shared" si="418"/>
        <v>0</v>
      </c>
      <c r="S979">
        <f t="shared" si="419"/>
        <v>5</v>
      </c>
      <c r="W979" t="str">
        <f>IF(周转筐出入库明细!$C980="","",周转筐出入库明细!$C980)</f>
        <v/>
      </c>
      <c r="X979">
        <f t="shared" si="420"/>
        <v>0</v>
      </c>
      <c r="Y979">
        <f t="shared" si="421"/>
        <v>12</v>
      </c>
      <c r="AC979" t="str">
        <f>IF(客户自备加工筐明细!$C979="","",客户自备加工筐明细!$C979)</f>
        <v/>
      </c>
      <c r="AD979">
        <f t="shared" si="422"/>
        <v>0</v>
      </c>
      <c r="AE979">
        <f t="shared" si="423"/>
        <v>1</v>
      </c>
      <c r="AI979" t="str">
        <f>IF(客户自备加工筐明细!$E979="","",客户自备加工筐明细!$E979)</f>
        <v/>
      </c>
      <c r="AJ979">
        <f t="shared" si="424"/>
        <v>0</v>
      </c>
      <c r="AK979">
        <f t="shared" si="425"/>
        <v>1</v>
      </c>
      <c r="BS979" t="str">
        <f t="shared" si="413"/>
        <v/>
      </c>
      <c r="BT979">
        <f t="shared" si="426"/>
        <v>0</v>
      </c>
      <c r="BU979">
        <f t="shared" si="427"/>
        <v>18</v>
      </c>
      <c r="CP979">
        <f>IF(包装物料出入库明细!$D979="",0,1)</f>
        <v>0</v>
      </c>
      <c r="CQ979">
        <f t="shared" si="428"/>
        <v>37</v>
      </c>
      <c r="CS979" t="str">
        <f>IF(OR(周转筐出入库明细!$C980="",周转筐出入库明细!$F980&lt;&gt;"采购入库"),"",周转筐出入库明细!$C980)</f>
        <v/>
      </c>
      <c r="CT979">
        <f t="shared" si="429"/>
        <v>0</v>
      </c>
      <c r="CU979">
        <f t="shared" si="430"/>
        <v>1</v>
      </c>
    </row>
    <row r="980" spans="1:99">
      <c r="A980" t="str">
        <f>IF(包装物料出入库明细!$E980="","",包装物料出入库明细!$E980)</f>
        <v/>
      </c>
      <c r="B980">
        <f t="shared" si="414"/>
        <v>0</v>
      </c>
      <c r="C980">
        <f t="shared" si="415"/>
        <v>7</v>
      </c>
      <c r="D980" t="str">
        <f>IF(包装物料出入库明细!$E980="","",包装物料出入库明细!$F980)</f>
        <v/>
      </c>
      <c r="E980" t="str">
        <f>IF(包装物料出入库明细!$E980="","",包装物料出入库明细!$G980)</f>
        <v/>
      </c>
      <c r="K980" t="str">
        <f>IF(包装物料出入库明细!$D980="","",包装物料出入库明细!$D980)</f>
        <v/>
      </c>
      <c r="L980">
        <f t="shared" si="416"/>
        <v>0</v>
      </c>
      <c r="M980">
        <f t="shared" si="417"/>
        <v>9</v>
      </c>
      <c r="Q980" t="str">
        <f>IF(周转筐出入库明细!$D981="","",周转筐出入库明细!$D981)</f>
        <v/>
      </c>
      <c r="R980">
        <f t="shared" si="418"/>
        <v>0</v>
      </c>
      <c r="S980">
        <f t="shared" si="419"/>
        <v>5</v>
      </c>
      <c r="W980" t="str">
        <f>IF(周转筐出入库明细!$C981="","",周转筐出入库明细!$C981)</f>
        <v/>
      </c>
      <c r="X980">
        <f t="shared" si="420"/>
        <v>0</v>
      </c>
      <c r="Y980">
        <f t="shared" si="421"/>
        <v>12</v>
      </c>
      <c r="AC980" t="str">
        <f>IF(客户自备加工筐明细!$C980="","",客户自备加工筐明细!$C980)</f>
        <v/>
      </c>
      <c r="AD980">
        <f t="shared" si="422"/>
        <v>0</v>
      </c>
      <c r="AE980">
        <f t="shared" si="423"/>
        <v>1</v>
      </c>
      <c r="AI980" t="str">
        <f>IF(客户自备加工筐明细!$E980="","",客户自备加工筐明细!$E980)</f>
        <v/>
      </c>
      <c r="AJ980">
        <f t="shared" si="424"/>
        <v>0</v>
      </c>
      <c r="AK980">
        <f t="shared" si="425"/>
        <v>1</v>
      </c>
      <c r="BS980" t="str">
        <f t="shared" si="413"/>
        <v/>
      </c>
      <c r="BT980">
        <f t="shared" si="426"/>
        <v>0</v>
      </c>
      <c r="BU980">
        <f t="shared" si="427"/>
        <v>18</v>
      </c>
      <c r="CP980">
        <f>IF(包装物料出入库明细!$D980="",0,1)</f>
        <v>0</v>
      </c>
      <c r="CQ980">
        <f t="shared" si="428"/>
        <v>37</v>
      </c>
      <c r="CS980" t="str">
        <f>IF(OR(周转筐出入库明细!$C981="",周转筐出入库明细!$F981&lt;&gt;"采购入库"),"",周转筐出入库明细!$C981)</f>
        <v/>
      </c>
      <c r="CT980">
        <f t="shared" si="429"/>
        <v>0</v>
      </c>
      <c r="CU980">
        <f t="shared" si="430"/>
        <v>1</v>
      </c>
    </row>
    <row r="981" spans="1:99">
      <c r="A981" t="str">
        <f>IF(包装物料出入库明细!$E981="","",包装物料出入库明细!$E981)</f>
        <v/>
      </c>
      <c r="B981">
        <f t="shared" si="414"/>
        <v>0</v>
      </c>
      <c r="C981">
        <f t="shared" si="415"/>
        <v>7</v>
      </c>
      <c r="D981" t="str">
        <f>IF(包装物料出入库明细!$E981="","",包装物料出入库明细!$F981)</f>
        <v/>
      </c>
      <c r="E981" t="str">
        <f>IF(包装物料出入库明细!$E981="","",包装物料出入库明细!$G981)</f>
        <v/>
      </c>
      <c r="K981" t="str">
        <f>IF(包装物料出入库明细!$D981="","",包装物料出入库明细!$D981)</f>
        <v/>
      </c>
      <c r="L981">
        <f t="shared" si="416"/>
        <v>0</v>
      </c>
      <c r="M981">
        <f t="shared" si="417"/>
        <v>9</v>
      </c>
      <c r="Q981" t="str">
        <f>IF(周转筐出入库明细!$D982="","",周转筐出入库明细!$D982)</f>
        <v/>
      </c>
      <c r="R981">
        <f t="shared" si="418"/>
        <v>0</v>
      </c>
      <c r="S981">
        <f t="shared" si="419"/>
        <v>5</v>
      </c>
      <c r="W981" t="str">
        <f>IF(周转筐出入库明细!$C982="","",周转筐出入库明细!$C982)</f>
        <v/>
      </c>
      <c r="X981">
        <f t="shared" si="420"/>
        <v>0</v>
      </c>
      <c r="Y981">
        <f t="shared" si="421"/>
        <v>12</v>
      </c>
      <c r="AC981" t="str">
        <f>IF(客户自备加工筐明细!$C981="","",客户自备加工筐明细!$C981)</f>
        <v/>
      </c>
      <c r="AD981">
        <f t="shared" si="422"/>
        <v>0</v>
      </c>
      <c r="AE981">
        <f t="shared" si="423"/>
        <v>1</v>
      </c>
      <c r="AI981" t="str">
        <f>IF(客户自备加工筐明细!$E981="","",客户自备加工筐明细!$E981)</f>
        <v/>
      </c>
      <c r="AJ981">
        <f t="shared" si="424"/>
        <v>0</v>
      </c>
      <c r="AK981">
        <f t="shared" si="425"/>
        <v>1</v>
      </c>
      <c r="BS981" t="str">
        <f t="shared" si="413"/>
        <v/>
      </c>
      <c r="BT981">
        <f t="shared" si="426"/>
        <v>0</v>
      </c>
      <c r="BU981">
        <f t="shared" si="427"/>
        <v>18</v>
      </c>
      <c r="CP981">
        <f>IF(包装物料出入库明细!$D981="",0,1)</f>
        <v>0</v>
      </c>
      <c r="CQ981">
        <f t="shared" si="428"/>
        <v>37</v>
      </c>
      <c r="CS981" t="str">
        <f>IF(OR(周转筐出入库明细!$C982="",周转筐出入库明细!$F982&lt;&gt;"采购入库"),"",周转筐出入库明细!$C982)</f>
        <v/>
      </c>
      <c r="CT981">
        <f t="shared" si="429"/>
        <v>0</v>
      </c>
      <c r="CU981">
        <f t="shared" si="430"/>
        <v>1</v>
      </c>
    </row>
    <row r="982" spans="1:99">
      <c r="A982" t="str">
        <f>IF(包装物料出入库明细!$E982="","",包装物料出入库明细!$E982)</f>
        <v/>
      </c>
      <c r="B982">
        <f t="shared" si="414"/>
        <v>0</v>
      </c>
      <c r="C982">
        <f t="shared" si="415"/>
        <v>7</v>
      </c>
      <c r="D982" t="str">
        <f>IF(包装物料出入库明细!$E982="","",包装物料出入库明细!$F982)</f>
        <v/>
      </c>
      <c r="E982" t="str">
        <f>IF(包装物料出入库明细!$E982="","",包装物料出入库明细!$G982)</f>
        <v/>
      </c>
      <c r="K982" t="str">
        <f>IF(包装物料出入库明细!$D982="","",包装物料出入库明细!$D982)</f>
        <v/>
      </c>
      <c r="L982">
        <f t="shared" si="416"/>
        <v>0</v>
      </c>
      <c r="M982">
        <f t="shared" si="417"/>
        <v>9</v>
      </c>
      <c r="Q982" t="str">
        <f>IF(周转筐出入库明细!$D983="","",周转筐出入库明细!$D983)</f>
        <v/>
      </c>
      <c r="R982">
        <f t="shared" si="418"/>
        <v>0</v>
      </c>
      <c r="S982">
        <f t="shared" si="419"/>
        <v>5</v>
      </c>
      <c r="W982" t="str">
        <f>IF(周转筐出入库明细!$C983="","",周转筐出入库明细!$C983)</f>
        <v/>
      </c>
      <c r="X982">
        <f t="shared" si="420"/>
        <v>0</v>
      </c>
      <c r="Y982">
        <f t="shared" si="421"/>
        <v>12</v>
      </c>
      <c r="AC982" t="str">
        <f>IF(客户自备加工筐明细!$C982="","",客户自备加工筐明细!$C982)</f>
        <v/>
      </c>
      <c r="AD982">
        <f t="shared" si="422"/>
        <v>0</v>
      </c>
      <c r="AE982">
        <f t="shared" si="423"/>
        <v>1</v>
      </c>
      <c r="AI982" t="str">
        <f>IF(客户自备加工筐明细!$E982="","",客户自备加工筐明细!$E982)</f>
        <v/>
      </c>
      <c r="AJ982">
        <f t="shared" si="424"/>
        <v>0</v>
      </c>
      <c r="AK982">
        <f t="shared" si="425"/>
        <v>1</v>
      </c>
      <c r="BS982" t="str">
        <f t="shared" si="413"/>
        <v/>
      </c>
      <c r="BT982">
        <f t="shared" si="426"/>
        <v>0</v>
      </c>
      <c r="BU982">
        <f t="shared" si="427"/>
        <v>18</v>
      </c>
      <c r="CP982">
        <f>IF(包装物料出入库明细!$D982="",0,1)</f>
        <v>0</v>
      </c>
      <c r="CQ982">
        <f t="shared" si="428"/>
        <v>37</v>
      </c>
      <c r="CS982" t="str">
        <f>IF(OR(周转筐出入库明细!$C983="",周转筐出入库明细!$F983&lt;&gt;"采购入库"),"",周转筐出入库明细!$C983)</f>
        <v/>
      </c>
      <c r="CT982">
        <f t="shared" si="429"/>
        <v>0</v>
      </c>
      <c r="CU982">
        <f t="shared" si="430"/>
        <v>1</v>
      </c>
    </row>
    <row r="983" spans="1:99">
      <c r="A983" t="str">
        <f>IF(包装物料出入库明细!$E983="","",包装物料出入库明细!$E983)</f>
        <v/>
      </c>
      <c r="B983">
        <f t="shared" si="414"/>
        <v>0</v>
      </c>
      <c r="C983">
        <f t="shared" si="415"/>
        <v>7</v>
      </c>
      <c r="D983" t="str">
        <f>IF(包装物料出入库明细!$E983="","",包装物料出入库明细!$F983)</f>
        <v/>
      </c>
      <c r="E983" t="str">
        <f>IF(包装物料出入库明细!$E983="","",包装物料出入库明细!$G983)</f>
        <v/>
      </c>
      <c r="K983" t="str">
        <f>IF(包装物料出入库明细!$D983="","",包装物料出入库明细!$D983)</f>
        <v/>
      </c>
      <c r="L983">
        <f t="shared" si="416"/>
        <v>0</v>
      </c>
      <c r="M983">
        <f t="shared" si="417"/>
        <v>9</v>
      </c>
      <c r="Q983" t="str">
        <f>IF(周转筐出入库明细!$D984="","",周转筐出入库明细!$D984)</f>
        <v/>
      </c>
      <c r="R983">
        <f t="shared" si="418"/>
        <v>0</v>
      </c>
      <c r="S983">
        <f t="shared" si="419"/>
        <v>5</v>
      </c>
      <c r="W983" t="str">
        <f>IF(周转筐出入库明细!$C984="","",周转筐出入库明细!$C984)</f>
        <v/>
      </c>
      <c r="X983">
        <f t="shared" si="420"/>
        <v>0</v>
      </c>
      <c r="Y983">
        <f t="shared" si="421"/>
        <v>12</v>
      </c>
      <c r="AC983" t="str">
        <f>IF(客户自备加工筐明细!$C983="","",客户自备加工筐明细!$C983)</f>
        <v/>
      </c>
      <c r="AD983">
        <f t="shared" si="422"/>
        <v>0</v>
      </c>
      <c r="AE983">
        <f t="shared" si="423"/>
        <v>1</v>
      </c>
      <c r="AI983" t="str">
        <f>IF(客户自备加工筐明细!$E983="","",客户自备加工筐明细!$E983)</f>
        <v/>
      </c>
      <c r="AJ983">
        <f t="shared" si="424"/>
        <v>0</v>
      </c>
      <c r="AK983">
        <f t="shared" si="425"/>
        <v>1</v>
      </c>
      <c r="BS983" t="str">
        <f t="shared" si="413"/>
        <v/>
      </c>
      <c r="BT983">
        <f t="shared" si="426"/>
        <v>0</v>
      </c>
      <c r="BU983">
        <f t="shared" si="427"/>
        <v>18</v>
      </c>
      <c r="CP983">
        <f>IF(包装物料出入库明细!$D983="",0,1)</f>
        <v>0</v>
      </c>
      <c r="CQ983">
        <f t="shared" si="428"/>
        <v>37</v>
      </c>
      <c r="CS983" t="str">
        <f>IF(OR(周转筐出入库明细!$C984="",周转筐出入库明细!$F984&lt;&gt;"采购入库"),"",周转筐出入库明细!$C984)</f>
        <v/>
      </c>
      <c r="CT983">
        <f t="shared" si="429"/>
        <v>0</v>
      </c>
      <c r="CU983">
        <f t="shared" si="430"/>
        <v>1</v>
      </c>
    </row>
    <row r="984" spans="1:99">
      <c r="A984" t="str">
        <f>IF(包装物料出入库明细!$E984="","",包装物料出入库明细!$E984)</f>
        <v/>
      </c>
      <c r="B984">
        <f t="shared" si="414"/>
        <v>0</v>
      </c>
      <c r="C984">
        <f t="shared" si="415"/>
        <v>7</v>
      </c>
      <c r="D984" t="str">
        <f>IF(包装物料出入库明细!$E984="","",包装物料出入库明细!$F984)</f>
        <v/>
      </c>
      <c r="E984" t="str">
        <f>IF(包装物料出入库明细!$E984="","",包装物料出入库明细!$G984)</f>
        <v/>
      </c>
      <c r="K984" t="str">
        <f>IF(包装物料出入库明细!$D984="","",包装物料出入库明细!$D984)</f>
        <v/>
      </c>
      <c r="L984">
        <f t="shared" si="416"/>
        <v>0</v>
      </c>
      <c r="M984">
        <f t="shared" si="417"/>
        <v>9</v>
      </c>
      <c r="Q984" t="str">
        <f>IF(周转筐出入库明细!$D985="","",周转筐出入库明细!$D985)</f>
        <v/>
      </c>
      <c r="R984">
        <f t="shared" si="418"/>
        <v>0</v>
      </c>
      <c r="S984">
        <f t="shared" si="419"/>
        <v>5</v>
      </c>
      <c r="W984" t="str">
        <f>IF(周转筐出入库明细!$C985="","",周转筐出入库明细!$C985)</f>
        <v/>
      </c>
      <c r="X984">
        <f t="shared" si="420"/>
        <v>0</v>
      </c>
      <c r="Y984">
        <f t="shared" si="421"/>
        <v>12</v>
      </c>
      <c r="AC984" t="str">
        <f>IF(客户自备加工筐明细!$C984="","",客户自备加工筐明细!$C984)</f>
        <v/>
      </c>
      <c r="AD984">
        <f t="shared" si="422"/>
        <v>0</v>
      </c>
      <c r="AE984">
        <f t="shared" si="423"/>
        <v>1</v>
      </c>
      <c r="AI984" t="str">
        <f>IF(客户自备加工筐明细!$E984="","",客户自备加工筐明细!$E984)</f>
        <v/>
      </c>
      <c r="AJ984">
        <f t="shared" si="424"/>
        <v>0</v>
      </c>
      <c r="AK984">
        <f t="shared" si="425"/>
        <v>1</v>
      </c>
      <c r="BS984" t="str">
        <f t="shared" si="413"/>
        <v/>
      </c>
      <c r="BT984">
        <f t="shared" si="426"/>
        <v>0</v>
      </c>
      <c r="BU984">
        <f t="shared" si="427"/>
        <v>18</v>
      </c>
      <c r="CP984">
        <f>IF(包装物料出入库明细!$D984="",0,1)</f>
        <v>0</v>
      </c>
      <c r="CQ984">
        <f t="shared" si="428"/>
        <v>37</v>
      </c>
      <c r="CS984" t="str">
        <f>IF(OR(周转筐出入库明细!$C985="",周转筐出入库明细!$F985&lt;&gt;"采购入库"),"",周转筐出入库明细!$C985)</f>
        <v/>
      </c>
      <c r="CT984">
        <f t="shared" si="429"/>
        <v>0</v>
      </c>
      <c r="CU984">
        <f t="shared" si="430"/>
        <v>1</v>
      </c>
    </row>
    <row r="985" spans="1:99">
      <c r="A985" t="str">
        <f>IF(包装物料出入库明细!$E985="","",包装物料出入库明细!$E985)</f>
        <v/>
      </c>
      <c r="B985">
        <f t="shared" si="414"/>
        <v>0</v>
      </c>
      <c r="C985">
        <f t="shared" si="415"/>
        <v>7</v>
      </c>
      <c r="D985" t="str">
        <f>IF(包装物料出入库明细!$E985="","",包装物料出入库明细!$F985)</f>
        <v/>
      </c>
      <c r="E985" t="str">
        <f>IF(包装物料出入库明细!$E985="","",包装物料出入库明细!$G985)</f>
        <v/>
      </c>
      <c r="K985" t="str">
        <f>IF(包装物料出入库明细!$D985="","",包装物料出入库明细!$D985)</f>
        <v/>
      </c>
      <c r="L985">
        <f t="shared" si="416"/>
        <v>0</v>
      </c>
      <c r="M985">
        <f t="shared" si="417"/>
        <v>9</v>
      </c>
      <c r="Q985" t="str">
        <f>IF(周转筐出入库明细!$D986="","",周转筐出入库明细!$D986)</f>
        <v/>
      </c>
      <c r="R985">
        <f t="shared" si="418"/>
        <v>0</v>
      </c>
      <c r="S985">
        <f t="shared" si="419"/>
        <v>5</v>
      </c>
      <c r="W985" t="str">
        <f>IF(周转筐出入库明细!$C986="","",周转筐出入库明细!$C986)</f>
        <v/>
      </c>
      <c r="X985">
        <f t="shared" si="420"/>
        <v>0</v>
      </c>
      <c r="Y985">
        <f t="shared" si="421"/>
        <v>12</v>
      </c>
      <c r="AC985" t="str">
        <f>IF(客户自备加工筐明细!$C985="","",客户自备加工筐明细!$C985)</f>
        <v/>
      </c>
      <c r="AD985">
        <f t="shared" si="422"/>
        <v>0</v>
      </c>
      <c r="AE985">
        <f t="shared" si="423"/>
        <v>1</v>
      </c>
      <c r="AI985" t="str">
        <f>IF(客户自备加工筐明细!$E985="","",客户自备加工筐明细!$E985)</f>
        <v/>
      </c>
      <c r="AJ985">
        <f t="shared" si="424"/>
        <v>0</v>
      </c>
      <c r="AK985">
        <f t="shared" si="425"/>
        <v>1</v>
      </c>
      <c r="BS985" t="str">
        <f t="shared" si="413"/>
        <v/>
      </c>
      <c r="BT985">
        <f t="shared" si="426"/>
        <v>0</v>
      </c>
      <c r="BU985">
        <f t="shared" si="427"/>
        <v>18</v>
      </c>
      <c r="CP985">
        <f>IF(包装物料出入库明细!$D985="",0,1)</f>
        <v>0</v>
      </c>
      <c r="CQ985">
        <f t="shared" si="428"/>
        <v>37</v>
      </c>
      <c r="CS985" t="str">
        <f>IF(OR(周转筐出入库明细!$C986="",周转筐出入库明细!$F986&lt;&gt;"采购入库"),"",周转筐出入库明细!$C986)</f>
        <v/>
      </c>
      <c r="CT985">
        <f t="shared" si="429"/>
        <v>0</v>
      </c>
      <c r="CU985">
        <f t="shared" si="430"/>
        <v>1</v>
      </c>
    </row>
    <row r="986" spans="1:99">
      <c r="A986" t="str">
        <f>IF(包装物料出入库明细!$E986="","",包装物料出入库明细!$E986)</f>
        <v/>
      </c>
      <c r="B986">
        <f t="shared" si="414"/>
        <v>0</v>
      </c>
      <c r="C986">
        <f t="shared" si="415"/>
        <v>7</v>
      </c>
      <c r="D986" t="str">
        <f>IF(包装物料出入库明细!$E986="","",包装物料出入库明细!$F986)</f>
        <v/>
      </c>
      <c r="E986" t="str">
        <f>IF(包装物料出入库明细!$E986="","",包装物料出入库明细!$G986)</f>
        <v/>
      </c>
      <c r="K986" t="str">
        <f>IF(包装物料出入库明细!$D986="","",包装物料出入库明细!$D986)</f>
        <v/>
      </c>
      <c r="L986">
        <f t="shared" si="416"/>
        <v>0</v>
      </c>
      <c r="M986">
        <f t="shared" si="417"/>
        <v>9</v>
      </c>
      <c r="Q986" t="str">
        <f>IF(周转筐出入库明细!$D987="","",周转筐出入库明细!$D987)</f>
        <v/>
      </c>
      <c r="R986">
        <f t="shared" si="418"/>
        <v>0</v>
      </c>
      <c r="S986">
        <f t="shared" si="419"/>
        <v>5</v>
      </c>
      <c r="W986" t="str">
        <f>IF(周转筐出入库明细!$C987="","",周转筐出入库明细!$C987)</f>
        <v/>
      </c>
      <c r="X986">
        <f t="shared" si="420"/>
        <v>0</v>
      </c>
      <c r="Y986">
        <f t="shared" si="421"/>
        <v>12</v>
      </c>
      <c r="AC986" t="str">
        <f>IF(客户自备加工筐明细!$C986="","",客户自备加工筐明细!$C986)</f>
        <v/>
      </c>
      <c r="AD986">
        <f t="shared" si="422"/>
        <v>0</v>
      </c>
      <c r="AE986">
        <f t="shared" si="423"/>
        <v>1</v>
      </c>
      <c r="AI986" t="str">
        <f>IF(客户自备加工筐明细!$E986="","",客户自备加工筐明细!$E986)</f>
        <v/>
      </c>
      <c r="AJ986">
        <f t="shared" si="424"/>
        <v>0</v>
      </c>
      <c r="AK986">
        <f t="shared" si="425"/>
        <v>1</v>
      </c>
      <c r="BS986" t="str">
        <f t="shared" si="413"/>
        <v/>
      </c>
      <c r="BT986">
        <f t="shared" si="426"/>
        <v>0</v>
      </c>
      <c r="BU986">
        <f t="shared" si="427"/>
        <v>18</v>
      </c>
      <c r="CP986">
        <f>IF(包装物料出入库明细!$D986="",0,1)</f>
        <v>0</v>
      </c>
      <c r="CQ986">
        <f t="shared" si="428"/>
        <v>37</v>
      </c>
      <c r="CS986" t="str">
        <f>IF(OR(周转筐出入库明细!$C987="",周转筐出入库明细!$F987&lt;&gt;"采购入库"),"",周转筐出入库明细!$C987)</f>
        <v/>
      </c>
      <c r="CT986">
        <f t="shared" si="429"/>
        <v>0</v>
      </c>
      <c r="CU986">
        <f t="shared" si="430"/>
        <v>1</v>
      </c>
    </row>
    <row r="987" spans="1:99">
      <c r="A987" t="str">
        <f>IF(包装物料出入库明细!$E987="","",包装物料出入库明细!$E987)</f>
        <v/>
      </c>
      <c r="B987">
        <f t="shared" si="414"/>
        <v>0</v>
      </c>
      <c r="C987">
        <f t="shared" si="415"/>
        <v>7</v>
      </c>
      <c r="D987" t="str">
        <f>IF(包装物料出入库明细!$E987="","",包装物料出入库明细!$F987)</f>
        <v/>
      </c>
      <c r="E987" t="str">
        <f>IF(包装物料出入库明细!$E987="","",包装物料出入库明细!$G987)</f>
        <v/>
      </c>
      <c r="K987" t="str">
        <f>IF(包装物料出入库明细!$D987="","",包装物料出入库明细!$D987)</f>
        <v/>
      </c>
      <c r="L987">
        <f t="shared" si="416"/>
        <v>0</v>
      </c>
      <c r="M987">
        <f t="shared" si="417"/>
        <v>9</v>
      </c>
      <c r="Q987" t="str">
        <f>IF(周转筐出入库明细!$D988="","",周转筐出入库明细!$D988)</f>
        <v/>
      </c>
      <c r="R987">
        <f t="shared" si="418"/>
        <v>0</v>
      </c>
      <c r="S987">
        <f t="shared" si="419"/>
        <v>5</v>
      </c>
      <c r="W987" t="str">
        <f>IF(周转筐出入库明细!$C988="","",周转筐出入库明细!$C988)</f>
        <v/>
      </c>
      <c r="X987">
        <f t="shared" si="420"/>
        <v>0</v>
      </c>
      <c r="Y987">
        <f t="shared" si="421"/>
        <v>12</v>
      </c>
      <c r="AC987" t="str">
        <f>IF(客户自备加工筐明细!$C987="","",客户自备加工筐明细!$C987)</f>
        <v/>
      </c>
      <c r="AD987">
        <f t="shared" si="422"/>
        <v>0</v>
      </c>
      <c r="AE987">
        <f t="shared" si="423"/>
        <v>1</v>
      </c>
      <c r="AI987" t="str">
        <f>IF(客户自备加工筐明细!$E987="","",客户自备加工筐明细!$E987)</f>
        <v/>
      </c>
      <c r="AJ987">
        <f t="shared" si="424"/>
        <v>0</v>
      </c>
      <c r="AK987">
        <f t="shared" si="425"/>
        <v>1</v>
      </c>
      <c r="BS987" t="str">
        <f t="shared" si="413"/>
        <v/>
      </c>
      <c r="BT987">
        <f t="shared" si="426"/>
        <v>0</v>
      </c>
      <c r="BU987">
        <f t="shared" si="427"/>
        <v>18</v>
      </c>
      <c r="CP987">
        <f>IF(包装物料出入库明细!$D987="",0,1)</f>
        <v>0</v>
      </c>
      <c r="CQ987">
        <f t="shared" si="428"/>
        <v>37</v>
      </c>
      <c r="CS987" t="str">
        <f>IF(OR(周转筐出入库明细!$C988="",周转筐出入库明细!$F988&lt;&gt;"采购入库"),"",周转筐出入库明细!$C988)</f>
        <v/>
      </c>
      <c r="CT987">
        <f t="shared" si="429"/>
        <v>0</v>
      </c>
      <c r="CU987">
        <f t="shared" si="430"/>
        <v>1</v>
      </c>
    </row>
    <row r="988" spans="1:99">
      <c r="A988" t="str">
        <f>IF(包装物料出入库明细!$E988="","",包装物料出入库明细!$E988)</f>
        <v/>
      </c>
      <c r="B988">
        <f t="shared" si="414"/>
        <v>0</v>
      </c>
      <c r="C988">
        <f t="shared" si="415"/>
        <v>7</v>
      </c>
      <c r="D988" t="str">
        <f>IF(包装物料出入库明细!$E988="","",包装物料出入库明细!$F988)</f>
        <v/>
      </c>
      <c r="E988" t="str">
        <f>IF(包装物料出入库明细!$E988="","",包装物料出入库明细!$G988)</f>
        <v/>
      </c>
      <c r="K988" t="str">
        <f>IF(包装物料出入库明细!$D988="","",包装物料出入库明细!$D988)</f>
        <v/>
      </c>
      <c r="L988">
        <f t="shared" si="416"/>
        <v>0</v>
      </c>
      <c r="M988">
        <f t="shared" si="417"/>
        <v>9</v>
      </c>
      <c r="Q988" t="str">
        <f>IF(周转筐出入库明细!$D989="","",周转筐出入库明细!$D989)</f>
        <v/>
      </c>
      <c r="R988">
        <f t="shared" si="418"/>
        <v>0</v>
      </c>
      <c r="S988">
        <f t="shared" si="419"/>
        <v>5</v>
      </c>
      <c r="W988" t="str">
        <f>IF(周转筐出入库明细!$C989="","",周转筐出入库明细!$C989)</f>
        <v/>
      </c>
      <c r="X988">
        <f t="shared" si="420"/>
        <v>0</v>
      </c>
      <c r="Y988">
        <f t="shared" si="421"/>
        <v>12</v>
      </c>
      <c r="AC988" t="str">
        <f>IF(客户自备加工筐明细!$C988="","",客户自备加工筐明细!$C988)</f>
        <v/>
      </c>
      <c r="AD988">
        <f t="shared" si="422"/>
        <v>0</v>
      </c>
      <c r="AE988">
        <f t="shared" si="423"/>
        <v>1</v>
      </c>
      <c r="AI988" t="str">
        <f>IF(客户自备加工筐明细!$E988="","",客户自备加工筐明细!$E988)</f>
        <v/>
      </c>
      <c r="AJ988">
        <f t="shared" si="424"/>
        <v>0</v>
      </c>
      <c r="AK988">
        <f t="shared" si="425"/>
        <v>1</v>
      </c>
      <c r="BS988" t="str">
        <f t="shared" si="413"/>
        <v/>
      </c>
      <c r="BT988">
        <f t="shared" si="426"/>
        <v>0</v>
      </c>
      <c r="BU988">
        <f t="shared" si="427"/>
        <v>18</v>
      </c>
      <c r="CP988">
        <f>IF(包装物料出入库明细!$D988="",0,1)</f>
        <v>0</v>
      </c>
      <c r="CQ988">
        <f t="shared" si="428"/>
        <v>37</v>
      </c>
      <c r="CS988" t="str">
        <f>IF(OR(周转筐出入库明细!$C989="",周转筐出入库明细!$F989&lt;&gt;"采购入库"),"",周转筐出入库明细!$C989)</f>
        <v/>
      </c>
      <c r="CT988">
        <f t="shared" si="429"/>
        <v>0</v>
      </c>
      <c r="CU988">
        <f t="shared" si="430"/>
        <v>1</v>
      </c>
    </row>
    <row r="989" spans="1:99">
      <c r="A989" t="str">
        <f>IF(包装物料出入库明细!$E989="","",包装物料出入库明细!$E989)</f>
        <v/>
      </c>
      <c r="B989">
        <f t="shared" si="414"/>
        <v>0</v>
      </c>
      <c r="C989">
        <f t="shared" si="415"/>
        <v>7</v>
      </c>
      <c r="D989" t="str">
        <f>IF(包装物料出入库明细!$E989="","",包装物料出入库明细!$F989)</f>
        <v/>
      </c>
      <c r="E989" t="str">
        <f>IF(包装物料出入库明细!$E989="","",包装物料出入库明细!$G989)</f>
        <v/>
      </c>
      <c r="K989" t="str">
        <f>IF(包装物料出入库明细!$D989="","",包装物料出入库明细!$D989)</f>
        <v/>
      </c>
      <c r="L989">
        <f t="shared" si="416"/>
        <v>0</v>
      </c>
      <c r="M989">
        <f t="shared" si="417"/>
        <v>9</v>
      </c>
      <c r="Q989" t="str">
        <f>IF(周转筐出入库明细!$D990="","",周转筐出入库明细!$D990)</f>
        <v/>
      </c>
      <c r="R989">
        <f t="shared" si="418"/>
        <v>0</v>
      </c>
      <c r="S989">
        <f t="shared" si="419"/>
        <v>5</v>
      </c>
      <c r="W989" t="str">
        <f>IF(周转筐出入库明细!$C990="","",周转筐出入库明细!$C990)</f>
        <v/>
      </c>
      <c r="X989">
        <f t="shared" si="420"/>
        <v>0</v>
      </c>
      <c r="Y989">
        <f t="shared" si="421"/>
        <v>12</v>
      </c>
      <c r="AC989" t="str">
        <f>IF(客户自备加工筐明细!$C989="","",客户自备加工筐明细!$C989)</f>
        <v/>
      </c>
      <c r="AD989">
        <f t="shared" si="422"/>
        <v>0</v>
      </c>
      <c r="AE989">
        <f t="shared" si="423"/>
        <v>1</v>
      </c>
      <c r="AI989" t="str">
        <f>IF(客户自备加工筐明细!$E989="","",客户自备加工筐明细!$E989)</f>
        <v/>
      </c>
      <c r="AJ989">
        <f t="shared" si="424"/>
        <v>0</v>
      </c>
      <c r="AK989">
        <f t="shared" si="425"/>
        <v>1</v>
      </c>
      <c r="BS989" t="str">
        <f t="shared" si="413"/>
        <v/>
      </c>
      <c r="BT989">
        <f t="shared" si="426"/>
        <v>0</v>
      </c>
      <c r="BU989">
        <f t="shared" si="427"/>
        <v>18</v>
      </c>
      <c r="CP989">
        <f>IF(包装物料出入库明细!$D989="",0,1)</f>
        <v>0</v>
      </c>
      <c r="CQ989">
        <f t="shared" si="428"/>
        <v>37</v>
      </c>
      <c r="CS989" t="str">
        <f>IF(OR(周转筐出入库明细!$C990="",周转筐出入库明细!$F990&lt;&gt;"采购入库"),"",周转筐出入库明细!$C990)</f>
        <v/>
      </c>
      <c r="CT989">
        <f t="shared" si="429"/>
        <v>0</v>
      </c>
      <c r="CU989">
        <f t="shared" si="430"/>
        <v>1</v>
      </c>
    </row>
    <row r="990" spans="1:99">
      <c r="A990" t="str">
        <f>IF(包装物料出入库明细!$E990="","",包装物料出入库明细!$E990)</f>
        <v/>
      </c>
      <c r="B990">
        <f t="shared" si="414"/>
        <v>0</v>
      </c>
      <c r="C990">
        <f t="shared" si="415"/>
        <v>7</v>
      </c>
      <c r="D990" t="str">
        <f>IF(包装物料出入库明细!$E990="","",包装物料出入库明细!$F990)</f>
        <v/>
      </c>
      <c r="E990" t="str">
        <f>IF(包装物料出入库明细!$E990="","",包装物料出入库明细!$G990)</f>
        <v/>
      </c>
      <c r="K990" t="str">
        <f>IF(包装物料出入库明细!$D990="","",包装物料出入库明细!$D990)</f>
        <v/>
      </c>
      <c r="L990">
        <f t="shared" si="416"/>
        <v>0</v>
      </c>
      <c r="M990">
        <f t="shared" si="417"/>
        <v>9</v>
      </c>
      <c r="Q990" t="str">
        <f>IF(周转筐出入库明细!$D991="","",周转筐出入库明细!$D991)</f>
        <v/>
      </c>
      <c r="R990">
        <f t="shared" si="418"/>
        <v>0</v>
      </c>
      <c r="S990">
        <f t="shared" si="419"/>
        <v>5</v>
      </c>
      <c r="W990" t="str">
        <f>IF(周转筐出入库明细!$C991="","",周转筐出入库明细!$C991)</f>
        <v/>
      </c>
      <c r="X990">
        <f t="shared" si="420"/>
        <v>0</v>
      </c>
      <c r="Y990">
        <f t="shared" si="421"/>
        <v>12</v>
      </c>
      <c r="AC990" t="str">
        <f>IF(客户自备加工筐明细!$C990="","",客户自备加工筐明细!$C990)</f>
        <v/>
      </c>
      <c r="AD990">
        <f t="shared" si="422"/>
        <v>0</v>
      </c>
      <c r="AE990">
        <f t="shared" si="423"/>
        <v>1</v>
      </c>
      <c r="AI990" t="str">
        <f>IF(客户自备加工筐明细!$E990="","",客户自备加工筐明细!$E990)</f>
        <v/>
      </c>
      <c r="AJ990">
        <f t="shared" si="424"/>
        <v>0</v>
      </c>
      <c r="AK990">
        <f t="shared" si="425"/>
        <v>1</v>
      </c>
      <c r="BS990" t="str">
        <f t="shared" si="413"/>
        <v/>
      </c>
      <c r="BT990">
        <f t="shared" si="426"/>
        <v>0</v>
      </c>
      <c r="BU990">
        <f t="shared" si="427"/>
        <v>18</v>
      </c>
      <c r="CP990">
        <f>IF(包装物料出入库明细!$D990="",0,1)</f>
        <v>0</v>
      </c>
      <c r="CQ990">
        <f t="shared" si="428"/>
        <v>37</v>
      </c>
      <c r="CS990" t="str">
        <f>IF(OR(周转筐出入库明细!$C991="",周转筐出入库明细!$F991&lt;&gt;"采购入库"),"",周转筐出入库明细!$C991)</f>
        <v/>
      </c>
      <c r="CT990">
        <f t="shared" si="429"/>
        <v>0</v>
      </c>
      <c r="CU990">
        <f t="shared" si="430"/>
        <v>1</v>
      </c>
    </row>
    <row r="991" spans="1:99">
      <c r="A991" t="str">
        <f>IF(包装物料出入库明细!$E991="","",包装物料出入库明细!$E991)</f>
        <v/>
      </c>
      <c r="B991">
        <f t="shared" si="414"/>
        <v>0</v>
      </c>
      <c r="C991">
        <f t="shared" si="415"/>
        <v>7</v>
      </c>
      <c r="D991" t="str">
        <f>IF(包装物料出入库明细!$E991="","",包装物料出入库明细!$F991)</f>
        <v/>
      </c>
      <c r="E991" t="str">
        <f>IF(包装物料出入库明细!$E991="","",包装物料出入库明细!$G991)</f>
        <v/>
      </c>
      <c r="K991" t="str">
        <f>IF(包装物料出入库明细!$D991="","",包装物料出入库明细!$D991)</f>
        <v/>
      </c>
      <c r="L991">
        <f t="shared" si="416"/>
        <v>0</v>
      </c>
      <c r="M991">
        <f t="shared" si="417"/>
        <v>9</v>
      </c>
      <c r="Q991" t="str">
        <f>IF(周转筐出入库明细!$D992="","",周转筐出入库明细!$D992)</f>
        <v/>
      </c>
      <c r="R991">
        <f t="shared" si="418"/>
        <v>0</v>
      </c>
      <c r="S991">
        <f t="shared" si="419"/>
        <v>5</v>
      </c>
      <c r="W991" t="str">
        <f>IF(周转筐出入库明细!$C992="","",周转筐出入库明细!$C992)</f>
        <v/>
      </c>
      <c r="X991">
        <f t="shared" si="420"/>
        <v>0</v>
      </c>
      <c r="Y991">
        <f t="shared" si="421"/>
        <v>12</v>
      </c>
      <c r="AC991" t="str">
        <f>IF(客户自备加工筐明细!$C991="","",客户自备加工筐明细!$C991)</f>
        <v/>
      </c>
      <c r="AD991">
        <f t="shared" si="422"/>
        <v>0</v>
      </c>
      <c r="AE991">
        <f t="shared" si="423"/>
        <v>1</v>
      </c>
      <c r="AI991" t="str">
        <f>IF(客户自备加工筐明细!$E991="","",客户自备加工筐明细!$E991)</f>
        <v/>
      </c>
      <c r="AJ991">
        <f t="shared" si="424"/>
        <v>0</v>
      </c>
      <c r="AK991">
        <f t="shared" si="425"/>
        <v>1</v>
      </c>
      <c r="BS991" t="str">
        <f t="shared" si="413"/>
        <v/>
      </c>
      <c r="BT991">
        <f t="shared" si="426"/>
        <v>0</v>
      </c>
      <c r="BU991">
        <f t="shared" si="427"/>
        <v>18</v>
      </c>
      <c r="CP991">
        <f>IF(包装物料出入库明细!$D991="",0,1)</f>
        <v>0</v>
      </c>
      <c r="CQ991">
        <f t="shared" si="428"/>
        <v>37</v>
      </c>
      <c r="CS991" t="str">
        <f>IF(OR(周转筐出入库明细!$C992="",周转筐出入库明细!$F992&lt;&gt;"采购入库"),"",周转筐出入库明细!$C992)</f>
        <v/>
      </c>
      <c r="CT991">
        <f t="shared" si="429"/>
        <v>0</v>
      </c>
      <c r="CU991">
        <f t="shared" si="430"/>
        <v>1</v>
      </c>
    </row>
    <row r="992" spans="1:99">
      <c r="A992" t="str">
        <f>IF(包装物料出入库明细!$E992="","",包装物料出入库明细!$E992)</f>
        <v/>
      </c>
      <c r="B992">
        <f t="shared" si="414"/>
        <v>0</v>
      </c>
      <c r="C992">
        <f t="shared" si="415"/>
        <v>7</v>
      </c>
      <c r="D992" t="str">
        <f>IF(包装物料出入库明细!$E992="","",包装物料出入库明细!$F992)</f>
        <v/>
      </c>
      <c r="E992" t="str">
        <f>IF(包装物料出入库明细!$E992="","",包装物料出入库明细!$G992)</f>
        <v/>
      </c>
      <c r="K992" t="str">
        <f>IF(包装物料出入库明细!$D992="","",包装物料出入库明细!$D992)</f>
        <v/>
      </c>
      <c r="L992">
        <f t="shared" si="416"/>
        <v>0</v>
      </c>
      <c r="M992">
        <f t="shared" si="417"/>
        <v>9</v>
      </c>
      <c r="Q992" t="str">
        <f>IF(周转筐出入库明细!$D993="","",周转筐出入库明细!$D993)</f>
        <v/>
      </c>
      <c r="R992">
        <f t="shared" si="418"/>
        <v>0</v>
      </c>
      <c r="S992">
        <f t="shared" si="419"/>
        <v>5</v>
      </c>
      <c r="W992" t="str">
        <f>IF(周转筐出入库明细!$C993="","",周转筐出入库明细!$C993)</f>
        <v/>
      </c>
      <c r="X992">
        <f t="shared" si="420"/>
        <v>0</v>
      </c>
      <c r="Y992">
        <f t="shared" si="421"/>
        <v>12</v>
      </c>
      <c r="AC992" t="str">
        <f>IF(客户自备加工筐明细!$C992="","",客户自备加工筐明细!$C992)</f>
        <v/>
      </c>
      <c r="AD992">
        <f t="shared" si="422"/>
        <v>0</v>
      </c>
      <c r="AE992">
        <f t="shared" si="423"/>
        <v>1</v>
      </c>
      <c r="AI992" t="str">
        <f>IF(客户自备加工筐明细!$E992="","",客户自备加工筐明细!$E992)</f>
        <v/>
      </c>
      <c r="AJ992">
        <f t="shared" si="424"/>
        <v>0</v>
      </c>
      <c r="AK992">
        <f t="shared" si="425"/>
        <v>1</v>
      </c>
      <c r="BS992" t="str">
        <f t="shared" si="413"/>
        <v/>
      </c>
      <c r="BT992">
        <f t="shared" si="426"/>
        <v>0</v>
      </c>
      <c r="BU992">
        <f t="shared" si="427"/>
        <v>18</v>
      </c>
      <c r="CP992">
        <f>IF(包装物料出入库明细!$D992="",0,1)</f>
        <v>0</v>
      </c>
      <c r="CQ992">
        <f t="shared" si="428"/>
        <v>37</v>
      </c>
      <c r="CS992" t="str">
        <f>IF(OR(周转筐出入库明细!$C993="",周转筐出入库明细!$F993&lt;&gt;"采购入库"),"",周转筐出入库明细!$C993)</f>
        <v/>
      </c>
      <c r="CT992">
        <f t="shared" si="429"/>
        <v>0</v>
      </c>
      <c r="CU992">
        <f t="shared" si="430"/>
        <v>1</v>
      </c>
    </row>
    <row r="993" spans="1:99">
      <c r="A993" t="str">
        <f>IF(包装物料出入库明细!$E993="","",包装物料出入库明细!$E993)</f>
        <v/>
      </c>
      <c r="B993">
        <f t="shared" si="414"/>
        <v>0</v>
      </c>
      <c r="C993">
        <f t="shared" si="415"/>
        <v>7</v>
      </c>
      <c r="D993" t="str">
        <f>IF(包装物料出入库明细!$E993="","",包装物料出入库明细!$F993)</f>
        <v/>
      </c>
      <c r="E993" t="str">
        <f>IF(包装物料出入库明细!$E993="","",包装物料出入库明细!$G993)</f>
        <v/>
      </c>
      <c r="K993" t="str">
        <f>IF(包装物料出入库明细!$D993="","",包装物料出入库明细!$D993)</f>
        <v/>
      </c>
      <c r="L993">
        <f t="shared" si="416"/>
        <v>0</v>
      </c>
      <c r="M993">
        <f t="shared" si="417"/>
        <v>9</v>
      </c>
      <c r="Q993" t="str">
        <f>IF(周转筐出入库明细!$D994="","",周转筐出入库明细!$D994)</f>
        <v/>
      </c>
      <c r="R993">
        <f t="shared" si="418"/>
        <v>0</v>
      </c>
      <c r="S993">
        <f t="shared" si="419"/>
        <v>5</v>
      </c>
      <c r="W993" t="str">
        <f>IF(周转筐出入库明细!$C994="","",周转筐出入库明细!$C994)</f>
        <v/>
      </c>
      <c r="X993">
        <f t="shared" si="420"/>
        <v>0</v>
      </c>
      <c r="Y993">
        <f t="shared" si="421"/>
        <v>12</v>
      </c>
      <c r="AC993" t="str">
        <f>IF(客户自备加工筐明细!$C993="","",客户自备加工筐明细!$C993)</f>
        <v/>
      </c>
      <c r="AD993">
        <f t="shared" si="422"/>
        <v>0</v>
      </c>
      <c r="AE993">
        <f t="shared" si="423"/>
        <v>1</v>
      </c>
      <c r="AI993" t="str">
        <f>IF(客户自备加工筐明细!$E993="","",客户自备加工筐明细!$E993)</f>
        <v/>
      </c>
      <c r="AJ993">
        <f t="shared" si="424"/>
        <v>0</v>
      </c>
      <c r="AK993">
        <f t="shared" si="425"/>
        <v>1</v>
      </c>
      <c r="BS993" t="str">
        <f t="shared" si="413"/>
        <v/>
      </c>
      <c r="BT993">
        <f t="shared" si="426"/>
        <v>0</v>
      </c>
      <c r="BU993">
        <f t="shared" si="427"/>
        <v>18</v>
      </c>
      <c r="CP993">
        <f>IF(包装物料出入库明细!$D993="",0,1)</f>
        <v>0</v>
      </c>
      <c r="CQ993">
        <f t="shared" si="428"/>
        <v>37</v>
      </c>
      <c r="CS993" t="str">
        <f>IF(OR(周转筐出入库明细!$C994="",周转筐出入库明细!$F994&lt;&gt;"采购入库"),"",周转筐出入库明细!$C994)</f>
        <v/>
      </c>
      <c r="CT993">
        <f t="shared" si="429"/>
        <v>0</v>
      </c>
      <c r="CU993">
        <f t="shared" si="430"/>
        <v>1</v>
      </c>
    </row>
    <row r="994" spans="1:99">
      <c r="A994" t="str">
        <f>IF(包装物料出入库明细!$E994="","",包装物料出入库明细!$E994)</f>
        <v/>
      </c>
      <c r="B994">
        <f t="shared" si="414"/>
        <v>0</v>
      </c>
      <c r="C994">
        <f t="shared" si="415"/>
        <v>7</v>
      </c>
      <c r="D994" t="str">
        <f>IF(包装物料出入库明细!$E994="","",包装物料出入库明细!$F994)</f>
        <v/>
      </c>
      <c r="E994" t="str">
        <f>IF(包装物料出入库明细!$E994="","",包装物料出入库明细!$G994)</f>
        <v/>
      </c>
      <c r="K994" t="str">
        <f>IF(包装物料出入库明细!$D994="","",包装物料出入库明细!$D994)</f>
        <v/>
      </c>
      <c r="L994">
        <f t="shared" si="416"/>
        <v>0</v>
      </c>
      <c r="M994">
        <f t="shared" si="417"/>
        <v>9</v>
      </c>
      <c r="Q994" t="str">
        <f>IF(周转筐出入库明细!$D995="","",周转筐出入库明细!$D995)</f>
        <v/>
      </c>
      <c r="R994">
        <f t="shared" si="418"/>
        <v>0</v>
      </c>
      <c r="S994">
        <f t="shared" si="419"/>
        <v>5</v>
      </c>
      <c r="W994" t="str">
        <f>IF(周转筐出入库明细!$C995="","",周转筐出入库明细!$C995)</f>
        <v/>
      </c>
      <c r="X994">
        <f t="shared" si="420"/>
        <v>0</v>
      </c>
      <c r="Y994">
        <f t="shared" si="421"/>
        <v>12</v>
      </c>
      <c r="AC994" t="str">
        <f>IF(客户自备加工筐明细!$C994="","",客户自备加工筐明细!$C994)</f>
        <v/>
      </c>
      <c r="AD994">
        <f t="shared" si="422"/>
        <v>0</v>
      </c>
      <c r="AE994">
        <f t="shared" si="423"/>
        <v>1</v>
      </c>
      <c r="AI994" t="str">
        <f>IF(客户自备加工筐明细!$E994="","",客户自备加工筐明细!$E994)</f>
        <v/>
      </c>
      <c r="AJ994">
        <f t="shared" si="424"/>
        <v>0</v>
      </c>
      <c r="AK994">
        <f t="shared" si="425"/>
        <v>1</v>
      </c>
      <c r="BS994" t="str">
        <f t="shared" si="413"/>
        <v/>
      </c>
      <c r="BT994">
        <f t="shared" si="426"/>
        <v>0</v>
      </c>
      <c r="BU994">
        <f t="shared" si="427"/>
        <v>18</v>
      </c>
      <c r="CP994">
        <f>IF(包装物料出入库明细!$D994="",0,1)</f>
        <v>0</v>
      </c>
      <c r="CQ994">
        <f t="shared" si="428"/>
        <v>37</v>
      </c>
      <c r="CS994" t="str">
        <f>IF(OR(周转筐出入库明细!$C995="",周转筐出入库明细!$F995&lt;&gt;"采购入库"),"",周转筐出入库明细!$C995)</f>
        <v/>
      </c>
      <c r="CT994">
        <f t="shared" si="429"/>
        <v>0</v>
      </c>
      <c r="CU994">
        <f t="shared" si="430"/>
        <v>1</v>
      </c>
    </row>
    <row r="995" spans="1:99">
      <c r="A995" t="str">
        <f>IF(包装物料出入库明细!$E995="","",包装物料出入库明细!$E995)</f>
        <v/>
      </c>
      <c r="B995">
        <f t="shared" si="414"/>
        <v>0</v>
      </c>
      <c r="C995">
        <f t="shared" si="415"/>
        <v>7</v>
      </c>
      <c r="D995" t="str">
        <f>IF(包装物料出入库明细!$E995="","",包装物料出入库明细!$F995)</f>
        <v/>
      </c>
      <c r="E995" t="str">
        <f>IF(包装物料出入库明细!$E995="","",包装物料出入库明细!$G995)</f>
        <v/>
      </c>
      <c r="K995" t="str">
        <f>IF(包装物料出入库明细!$D995="","",包装物料出入库明细!$D995)</f>
        <v/>
      </c>
      <c r="L995">
        <f t="shared" si="416"/>
        <v>0</v>
      </c>
      <c r="M995">
        <f t="shared" si="417"/>
        <v>9</v>
      </c>
      <c r="Q995" t="str">
        <f>IF(周转筐出入库明细!$D996="","",周转筐出入库明细!$D996)</f>
        <v/>
      </c>
      <c r="R995">
        <f t="shared" si="418"/>
        <v>0</v>
      </c>
      <c r="S995">
        <f t="shared" si="419"/>
        <v>5</v>
      </c>
      <c r="W995" t="str">
        <f>IF(周转筐出入库明细!$C996="","",周转筐出入库明细!$C996)</f>
        <v/>
      </c>
      <c r="X995">
        <f t="shared" si="420"/>
        <v>0</v>
      </c>
      <c r="Y995">
        <f t="shared" si="421"/>
        <v>12</v>
      </c>
      <c r="AC995" t="str">
        <f>IF(客户自备加工筐明细!$C995="","",客户自备加工筐明细!$C995)</f>
        <v/>
      </c>
      <c r="AD995">
        <f t="shared" si="422"/>
        <v>0</v>
      </c>
      <c r="AE995">
        <f t="shared" si="423"/>
        <v>1</v>
      </c>
      <c r="AI995" t="str">
        <f>IF(客户自备加工筐明细!$E995="","",客户自备加工筐明细!$E995)</f>
        <v/>
      </c>
      <c r="AJ995">
        <f t="shared" si="424"/>
        <v>0</v>
      </c>
      <c r="AK995">
        <f t="shared" si="425"/>
        <v>1</v>
      </c>
      <c r="BS995" t="str">
        <f t="shared" si="413"/>
        <v/>
      </c>
      <c r="BT995">
        <f t="shared" si="426"/>
        <v>0</v>
      </c>
      <c r="BU995">
        <f t="shared" si="427"/>
        <v>18</v>
      </c>
      <c r="CP995">
        <f>IF(包装物料出入库明细!$D995="",0,1)</f>
        <v>0</v>
      </c>
      <c r="CQ995">
        <f t="shared" si="428"/>
        <v>37</v>
      </c>
      <c r="CS995" t="str">
        <f>IF(OR(周转筐出入库明细!$C996="",周转筐出入库明细!$F996&lt;&gt;"采购入库"),"",周转筐出入库明细!$C996)</f>
        <v/>
      </c>
      <c r="CT995">
        <f t="shared" si="429"/>
        <v>0</v>
      </c>
      <c r="CU995">
        <f t="shared" si="430"/>
        <v>1</v>
      </c>
    </row>
    <row r="996" spans="1:99">
      <c r="A996" t="str">
        <f>IF(包装物料出入库明细!$E996="","",包装物料出入库明细!$E996)</f>
        <v/>
      </c>
      <c r="B996">
        <f t="shared" si="414"/>
        <v>0</v>
      </c>
      <c r="C996">
        <f t="shared" si="415"/>
        <v>7</v>
      </c>
      <c r="D996" t="str">
        <f>IF(包装物料出入库明细!$E996="","",包装物料出入库明细!$F996)</f>
        <v/>
      </c>
      <c r="E996" t="str">
        <f>IF(包装物料出入库明细!$E996="","",包装物料出入库明细!$G996)</f>
        <v/>
      </c>
      <c r="K996" t="str">
        <f>IF(包装物料出入库明细!$D996="","",包装物料出入库明细!$D996)</f>
        <v/>
      </c>
      <c r="L996">
        <f t="shared" si="416"/>
        <v>0</v>
      </c>
      <c r="M996">
        <f t="shared" si="417"/>
        <v>9</v>
      </c>
      <c r="Q996" t="str">
        <f>IF(周转筐出入库明细!$D997="","",周转筐出入库明细!$D997)</f>
        <v/>
      </c>
      <c r="R996">
        <f t="shared" si="418"/>
        <v>0</v>
      </c>
      <c r="S996">
        <f t="shared" si="419"/>
        <v>5</v>
      </c>
      <c r="W996" t="str">
        <f>IF(周转筐出入库明细!$C997="","",周转筐出入库明细!$C997)</f>
        <v/>
      </c>
      <c r="X996">
        <f t="shared" si="420"/>
        <v>0</v>
      </c>
      <c r="Y996">
        <f t="shared" si="421"/>
        <v>12</v>
      </c>
      <c r="AC996" t="str">
        <f>IF(客户自备加工筐明细!$C996="","",客户自备加工筐明细!$C996)</f>
        <v/>
      </c>
      <c r="AD996">
        <f t="shared" si="422"/>
        <v>0</v>
      </c>
      <c r="AE996">
        <f t="shared" si="423"/>
        <v>1</v>
      </c>
      <c r="AI996" t="str">
        <f>IF(客户自备加工筐明细!$E996="","",客户自备加工筐明细!$E996)</f>
        <v/>
      </c>
      <c r="AJ996">
        <f t="shared" si="424"/>
        <v>0</v>
      </c>
      <c r="AK996">
        <f t="shared" si="425"/>
        <v>1</v>
      </c>
      <c r="BS996" t="str">
        <f t="shared" ref="BS996:BS1059" si="431">IF($BE196="","",$BE196)</f>
        <v/>
      </c>
      <c r="BT996">
        <f t="shared" si="426"/>
        <v>0</v>
      </c>
      <c r="BU996">
        <f t="shared" si="427"/>
        <v>18</v>
      </c>
      <c r="CP996">
        <f>IF(包装物料出入库明细!$D996="",0,1)</f>
        <v>0</v>
      </c>
      <c r="CQ996">
        <f t="shared" si="428"/>
        <v>37</v>
      </c>
      <c r="CS996" t="str">
        <f>IF(OR(周转筐出入库明细!$C997="",周转筐出入库明细!$F997&lt;&gt;"采购入库"),"",周转筐出入库明细!$C997)</f>
        <v/>
      </c>
      <c r="CT996">
        <f t="shared" si="429"/>
        <v>0</v>
      </c>
      <c r="CU996">
        <f t="shared" si="430"/>
        <v>1</v>
      </c>
    </row>
    <row r="997" spans="1:99">
      <c r="A997" t="str">
        <f>IF(包装物料出入库明细!$E997="","",包装物料出入库明细!$E997)</f>
        <v/>
      </c>
      <c r="B997">
        <f t="shared" si="414"/>
        <v>0</v>
      </c>
      <c r="C997">
        <f t="shared" si="415"/>
        <v>7</v>
      </c>
      <c r="D997" t="str">
        <f>IF(包装物料出入库明细!$E997="","",包装物料出入库明细!$F997)</f>
        <v/>
      </c>
      <c r="E997" t="str">
        <f>IF(包装物料出入库明细!$E997="","",包装物料出入库明细!$G997)</f>
        <v/>
      </c>
      <c r="K997" t="str">
        <f>IF(包装物料出入库明细!$D997="","",包装物料出入库明细!$D997)</f>
        <v/>
      </c>
      <c r="L997">
        <f t="shared" si="416"/>
        <v>0</v>
      </c>
      <c r="M997">
        <f t="shared" si="417"/>
        <v>9</v>
      </c>
      <c r="Q997" t="str">
        <f>IF(周转筐出入库明细!$D998="","",周转筐出入库明细!$D998)</f>
        <v/>
      </c>
      <c r="R997">
        <f t="shared" si="418"/>
        <v>0</v>
      </c>
      <c r="S997">
        <f t="shared" si="419"/>
        <v>5</v>
      </c>
      <c r="W997" t="str">
        <f>IF(周转筐出入库明细!$C998="","",周转筐出入库明细!$C998)</f>
        <v/>
      </c>
      <c r="X997">
        <f t="shared" si="420"/>
        <v>0</v>
      </c>
      <c r="Y997">
        <f t="shared" si="421"/>
        <v>12</v>
      </c>
      <c r="AC997" t="str">
        <f>IF(客户自备加工筐明细!$C997="","",客户自备加工筐明细!$C997)</f>
        <v/>
      </c>
      <c r="AD997">
        <f t="shared" si="422"/>
        <v>0</v>
      </c>
      <c r="AE997">
        <f t="shared" si="423"/>
        <v>1</v>
      </c>
      <c r="AI997" t="str">
        <f>IF(客户自备加工筐明细!$E997="","",客户自备加工筐明细!$E997)</f>
        <v/>
      </c>
      <c r="AJ997">
        <f t="shared" si="424"/>
        <v>0</v>
      </c>
      <c r="AK997">
        <f t="shared" si="425"/>
        <v>1</v>
      </c>
      <c r="BS997" t="str">
        <f t="shared" si="431"/>
        <v/>
      </c>
      <c r="BT997">
        <f t="shared" si="426"/>
        <v>0</v>
      </c>
      <c r="BU997">
        <f t="shared" si="427"/>
        <v>18</v>
      </c>
      <c r="CP997">
        <f>IF(包装物料出入库明细!$D997="",0,1)</f>
        <v>0</v>
      </c>
      <c r="CQ997">
        <f t="shared" si="428"/>
        <v>37</v>
      </c>
      <c r="CS997" t="str">
        <f>IF(OR(周转筐出入库明细!$C998="",周转筐出入库明细!$F998&lt;&gt;"采购入库"),"",周转筐出入库明细!$C998)</f>
        <v/>
      </c>
      <c r="CT997">
        <f t="shared" si="429"/>
        <v>0</v>
      </c>
      <c r="CU997">
        <f t="shared" si="430"/>
        <v>1</v>
      </c>
    </row>
    <row r="998" spans="1:99">
      <c r="A998" t="str">
        <f>IF(包装物料出入库明细!$E998="","",包装物料出入库明细!$E998)</f>
        <v/>
      </c>
      <c r="B998">
        <f t="shared" si="414"/>
        <v>0</v>
      </c>
      <c r="C998">
        <f t="shared" si="415"/>
        <v>7</v>
      </c>
      <c r="D998" t="str">
        <f>IF(包装物料出入库明细!$E998="","",包装物料出入库明细!$F998)</f>
        <v/>
      </c>
      <c r="E998" t="str">
        <f>IF(包装物料出入库明细!$E998="","",包装物料出入库明细!$G998)</f>
        <v/>
      </c>
      <c r="K998" t="str">
        <f>IF(包装物料出入库明细!$D998="","",包装物料出入库明细!$D998)</f>
        <v/>
      </c>
      <c r="L998">
        <f t="shared" si="416"/>
        <v>0</v>
      </c>
      <c r="M998">
        <f t="shared" si="417"/>
        <v>9</v>
      </c>
      <c r="Q998" t="str">
        <f>IF(周转筐出入库明细!$D999="","",周转筐出入库明细!$D999)</f>
        <v/>
      </c>
      <c r="R998">
        <f t="shared" si="418"/>
        <v>0</v>
      </c>
      <c r="S998">
        <f t="shared" si="419"/>
        <v>5</v>
      </c>
      <c r="W998" t="str">
        <f>IF(周转筐出入库明细!$C999="","",周转筐出入库明细!$C999)</f>
        <v/>
      </c>
      <c r="X998">
        <f t="shared" si="420"/>
        <v>0</v>
      </c>
      <c r="Y998">
        <f t="shared" si="421"/>
        <v>12</v>
      </c>
      <c r="AC998" t="str">
        <f>IF(客户自备加工筐明细!$C998="","",客户自备加工筐明细!$C998)</f>
        <v/>
      </c>
      <c r="AD998">
        <f t="shared" si="422"/>
        <v>0</v>
      </c>
      <c r="AE998">
        <f t="shared" si="423"/>
        <v>1</v>
      </c>
      <c r="AI998" t="str">
        <f>IF(客户自备加工筐明细!$E998="","",客户自备加工筐明细!$E998)</f>
        <v/>
      </c>
      <c r="AJ998">
        <f t="shared" si="424"/>
        <v>0</v>
      </c>
      <c r="AK998">
        <f t="shared" si="425"/>
        <v>1</v>
      </c>
      <c r="BS998" t="str">
        <f t="shared" si="431"/>
        <v/>
      </c>
      <c r="BT998">
        <f t="shared" si="426"/>
        <v>0</v>
      </c>
      <c r="BU998">
        <f t="shared" si="427"/>
        <v>18</v>
      </c>
      <c r="CP998">
        <f>IF(包装物料出入库明细!$D998="",0,1)</f>
        <v>0</v>
      </c>
      <c r="CQ998">
        <f t="shared" si="428"/>
        <v>37</v>
      </c>
      <c r="CS998" t="str">
        <f>IF(OR(周转筐出入库明细!$C999="",周转筐出入库明细!$F999&lt;&gt;"采购入库"),"",周转筐出入库明细!$C999)</f>
        <v/>
      </c>
      <c r="CT998">
        <f t="shared" si="429"/>
        <v>0</v>
      </c>
      <c r="CU998">
        <f t="shared" si="430"/>
        <v>1</v>
      </c>
    </row>
    <row r="999" spans="1:99">
      <c r="A999" t="str">
        <f>IF(包装物料出入库明细!$E999="","",包装物料出入库明细!$E999)</f>
        <v/>
      </c>
      <c r="B999">
        <f t="shared" si="414"/>
        <v>0</v>
      </c>
      <c r="C999">
        <f t="shared" si="415"/>
        <v>7</v>
      </c>
      <c r="D999" t="str">
        <f>IF(包装物料出入库明细!$E999="","",包装物料出入库明细!$F999)</f>
        <v/>
      </c>
      <c r="E999" t="str">
        <f>IF(包装物料出入库明细!$E999="","",包装物料出入库明细!$G999)</f>
        <v/>
      </c>
      <c r="K999" t="str">
        <f>IF(包装物料出入库明细!$D999="","",包装物料出入库明细!$D999)</f>
        <v/>
      </c>
      <c r="L999">
        <f t="shared" si="416"/>
        <v>0</v>
      </c>
      <c r="M999">
        <f t="shared" si="417"/>
        <v>9</v>
      </c>
      <c r="Q999" t="str">
        <f>IF(周转筐出入库明细!$D1000="","",周转筐出入库明细!$D1000)</f>
        <v/>
      </c>
      <c r="R999">
        <f t="shared" si="418"/>
        <v>0</v>
      </c>
      <c r="S999">
        <f t="shared" si="419"/>
        <v>5</v>
      </c>
      <c r="W999" t="str">
        <f>IF(周转筐出入库明细!$C1000="","",周转筐出入库明细!$C1000)</f>
        <v/>
      </c>
      <c r="X999">
        <f t="shared" si="420"/>
        <v>0</v>
      </c>
      <c r="Y999">
        <f t="shared" si="421"/>
        <v>12</v>
      </c>
      <c r="AC999" t="str">
        <f>IF(客户自备加工筐明细!$C999="","",客户自备加工筐明细!$C999)</f>
        <v/>
      </c>
      <c r="AD999">
        <f t="shared" si="422"/>
        <v>0</v>
      </c>
      <c r="AE999">
        <f t="shared" si="423"/>
        <v>1</v>
      </c>
      <c r="AI999" t="str">
        <f>IF(客户自备加工筐明细!$E999="","",客户自备加工筐明细!$E999)</f>
        <v/>
      </c>
      <c r="AJ999">
        <f t="shared" si="424"/>
        <v>0</v>
      </c>
      <c r="AK999">
        <f t="shared" si="425"/>
        <v>1</v>
      </c>
      <c r="BS999" t="str">
        <f t="shared" si="431"/>
        <v/>
      </c>
      <c r="BT999">
        <f t="shared" si="426"/>
        <v>0</v>
      </c>
      <c r="BU999">
        <f t="shared" si="427"/>
        <v>18</v>
      </c>
      <c r="CP999">
        <f>IF(包装物料出入库明细!$D999="",0,1)</f>
        <v>0</v>
      </c>
      <c r="CQ999">
        <f t="shared" si="428"/>
        <v>37</v>
      </c>
      <c r="CS999" t="str">
        <f>IF(OR(周转筐出入库明细!$C1000="",周转筐出入库明细!$F1000&lt;&gt;"采购入库"),"",周转筐出入库明细!$C1000)</f>
        <v/>
      </c>
      <c r="CT999">
        <f t="shared" si="429"/>
        <v>0</v>
      </c>
      <c r="CU999">
        <f t="shared" si="430"/>
        <v>1</v>
      </c>
    </row>
    <row r="1000" spans="1:99">
      <c r="A1000" t="str">
        <f>IF(包装物料出入库明细!$E1000="","",包装物料出入库明细!$E1000)</f>
        <v/>
      </c>
      <c r="B1000">
        <f t="shared" si="414"/>
        <v>0</v>
      </c>
      <c r="C1000">
        <f t="shared" si="415"/>
        <v>7</v>
      </c>
      <c r="D1000" t="str">
        <f>IF(包装物料出入库明细!$E1000="","",包装物料出入库明细!$F1000)</f>
        <v/>
      </c>
      <c r="E1000" t="str">
        <f>IF(包装物料出入库明细!$E1000="","",包装物料出入库明细!$G1000)</f>
        <v/>
      </c>
      <c r="K1000" t="str">
        <f>IF(包装物料出入库明细!$D1000="","",包装物料出入库明细!$D1000)</f>
        <v/>
      </c>
      <c r="L1000">
        <f t="shared" si="416"/>
        <v>0</v>
      </c>
      <c r="M1000">
        <f t="shared" si="417"/>
        <v>9</v>
      </c>
      <c r="Q1000" t="str">
        <f>IF(周转筐出入库明细!$D1001="","",周转筐出入库明细!$D1001)</f>
        <v/>
      </c>
      <c r="R1000">
        <f t="shared" si="418"/>
        <v>0</v>
      </c>
      <c r="S1000">
        <f t="shared" si="419"/>
        <v>5</v>
      </c>
      <c r="W1000" t="str">
        <f>IF(周转筐出入库明细!$C1001="","",周转筐出入库明细!$C1001)</f>
        <v/>
      </c>
      <c r="X1000">
        <f t="shared" si="420"/>
        <v>0</v>
      </c>
      <c r="Y1000">
        <f t="shared" si="421"/>
        <v>12</v>
      </c>
      <c r="AC1000" t="str">
        <f>IF(客户自备加工筐明细!$C1000="","",客户自备加工筐明细!$C1000)</f>
        <v/>
      </c>
      <c r="AD1000">
        <f t="shared" si="422"/>
        <v>0</v>
      </c>
      <c r="AE1000">
        <f t="shared" si="423"/>
        <v>1</v>
      </c>
      <c r="AI1000" t="str">
        <f>IF(客户自备加工筐明细!$E1000="","",客户自备加工筐明细!$E1000)</f>
        <v/>
      </c>
      <c r="AJ1000">
        <f t="shared" si="424"/>
        <v>0</v>
      </c>
      <c r="AK1000">
        <f t="shared" si="425"/>
        <v>1</v>
      </c>
      <c r="BS1000" t="str">
        <f t="shared" si="431"/>
        <v/>
      </c>
      <c r="BT1000">
        <f t="shared" si="426"/>
        <v>0</v>
      </c>
      <c r="BU1000">
        <f t="shared" si="427"/>
        <v>18</v>
      </c>
      <c r="CP1000">
        <f>IF(包装物料出入库明细!$D1000="",0,1)</f>
        <v>0</v>
      </c>
      <c r="CQ1000">
        <f t="shared" si="428"/>
        <v>37</v>
      </c>
      <c r="CS1000" t="str">
        <f>IF(OR(周转筐出入库明细!$C1001="",周转筐出入库明细!$F1001&lt;&gt;"采购入库"),"",周转筐出入库明细!$C1001)</f>
        <v/>
      </c>
      <c r="CT1000">
        <f t="shared" si="429"/>
        <v>0</v>
      </c>
      <c r="CU1000">
        <f t="shared" si="430"/>
        <v>1</v>
      </c>
    </row>
    <row r="1001" spans="1:99">
      <c r="A1001" t="str">
        <f>IF(包装物料出入库明细!$E1001="","",包装物料出入库明细!$E1001)</f>
        <v/>
      </c>
      <c r="B1001">
        <f t="shared" si="414"/>
        <v>0</v>
      </c>
      <c r="C1001">
        <f t="shared" si="415"/>
        <v>7</v>
      </c>
      <c r="D1001" t="str">
        <f>IF(包装物料出入库明细!$E1001="","",包装物料出入库明细!$F1001)</f>
        <v/>
      </c>
      <c r="E1001" t="str">
        <f>IF(包装物料出入库明细!$E1001="","",包装物料出入库明细!$G1001)</f>
        <v/>
      </c>
      <c r="K1001" t="str">
        <f>IF(包装物料出入库明细!$D1001="","",包装物料出入库明细!$D1001)</f>
        <v/>
      </c>
      <c r="L1001">
        <f t="shared" si="416"/>
        <v>0</v>
      </c>
      <c r="M1001">
        <f t="shared" si="417"/>
        <v>9</v>
      </c>
      <c r="Q1001" t="str">
        <f>IF(周转筐出入库明细!$D1002="","",周转筐出入库明细!$D1002)</f>
        <v/>
      </c>
      <c r="R1001">
        <f t="shared" si="418"/>
        <v>0</v>
      </c>
      <c r="S1001">
        <f t="shared" si="419"/>
        <v>5</v>
      </c>
      <c r="W1001" t="str">
        <f>IF(周转筐出入库明细!$C1002="","",周转筐出入库明细!$C1002)</f>
        <v/>
      </c>
      <c r="X1001">
        <f t="shared" si="420"/>
        <v>0</v>
      </c>
      <c r="Y1001">
        <f t="shared" si="421"/>
        <v>12</v>
      </c>
      <c r="AC1001" t="str">
        <f>IF(客户自备加工筐明细!$C1001="","",客户自备加工筐明细!$C1001)</f>
        <v/>
      </c>
      <c r="AD1001">
        <f t="shared" si="422"/>
        <v>0</v>
      </c>
      <c r="AE1001">
        <f t="shared" si="423"/>
        <v>1</v>
      </c>
      <c r="AI1001" t="str">
        <f>IF(客户自备加工筐明细!$E1001="","",客户自备加工筐明细!$E1001)</f>
        <v/>
      </c>
      <c r="AJ1001">
        <f t="shared" si="424"/>
        <v>0</v>
      </c>
      <c r="AK1001">
        <f t="shared" si="425"/>
        <v>1</v>
      </c>
      <c r="BS1001" t="str">
        <f t="shared" si="431"/>
        <v/>
      </c>
      <c r="BT1001">
        <f t="shared" si="426"/>
        <v>0</v>
      </c>
      <c r="BU1001">
        <f t="shared" si="427"/>
        <v>18</v>
      </c>
      <c r="CP1001">
        <f>IF(包装物料出入库明细!$D1001="",0,1)</f>
        <v>0</v>
      </c>
      <c r="CQ1001">
        <f t="shared" si="428"/>
        <v>37</v>
      </c>
      <c r="CS1001" t="str">
        <f>IF(OR(周转筐出入库明细!$C1002="",周转筐出入库明细!$F1002&lt;&gt;"采购入库"),"",周转筐出入库明细!$C1002)</f>
        <v/>
      </c>
      <c r="CT1001">
        <f t="shared" si="429"/>
        <v>0</v>
      </c>
      <c r="CU1001">
        <f t="shared" si="430"/>
        <v>1</v>
      </c>
    </row>
    <row r="1002" spans="1:99">
      <c r="A1002" t="str">
        <f>IF(包装物料出入库明细!$E1002="","",包装物料出入库明细!$E1002)</f>
        <v/>
      </c>
      <c r="B1002">
        <f t="shared" si="414"/>
        <v>0</v>
      </c>
      <c r="C1002">
        <f t="shared" si="415"/>
        <v>7</v>
      </c>
      <c r="D1002" t="str">
        <f>IF(包装物料出入库明细!$E1002="","",包装物料出入库明细!$F1002)</f>
        <v/>
      </c>
      <c r="E1002" t="str">
        <f>IF(包装物料出入库明细!$E1002="","",包装物料出入库明细!$G1002)</f>
        <v/>
      </c>
      <c r="K1002" t="str">
        <f>IF(包装物料出入库明细!$D1002="","",包装物料出入库明细!$D1002)</f>
        <v/>
      </c>
      <c r="L1002">
        <f t="shared" si="416"/>
        <v>0</v>
      </c>
      <c r="M1002">
        <f t="shared" si="417"/>
        <v>9</v>
      </c>
      <c r="Q1002" t="str">
        <f>IF(周转筐出入库明细!$D1003="","",周转筐出入库明细!$D1003)</f>
        <v/>
      </c>
      <c r="R1002">
        <f t="shared" si="418"/>
        <v>0</v>
      </c>
      <c r="S1002">
        <f t="shared" si="419"/>
        <v>5</v>
      </c>
      <c r="W1002" t="str">
        <f>IF(周转筐出入库明细!$C1003="","",周转筐出入库明细!$C1003)</f>
        <v/>
      </c>
      <c r="X1002">
        <f t="shared" si="420"/>
        <v>0</v>
      </c>
      <c r="Y1002">
        <f t="shared" si="421"/>
        <v>12</v>
      </c>
      <c r="AC1002" t="str">
        <f>IF(客户自备加工筐明细!$C1002="","",客户自备加工筐明细!$C1002)</f>
        <v/>
      </c>
      <c r="AD1002">
        <f t="shared" si="422"/>
        <v>0</v>
      </c>
      <c r="AE1002">
        <f t="shared" si="423"/>
        <v>1</v>
      </c>
      <c r="AI1002" t="str">
        <f>IF(客户自备加工筐明细!$E1002="","",客户自备加工筐明细!$E1002)</f>
        <v/>
      </c>
      <c r="AJ1002">
        <f t="shared" si="424"/>
        <v>0</v>
      </c>
      <c r="AK1002">
        <f t="shared" si="425"/>
        <v>1</v>
      </c>
      <c r="BS1002" t="str">
        <f t="shared" si="431"/>
        <v/>
      </c>
      <c r="BT1002">
        <f t="shared" si="426"/>
        <v>0</v>
      </c>
      <c r="BU1002">
        <f t="shared" si="427"/>
        <v>18</v>
      </c>
      <c r="CP1002">
        <f>IF(包装物料出入库明细!$D1002="",0,1)</f>
        <v>0</v>
      </c>
      <c r="CQ1002">
        <f t="shared" si="428"/>
        <v>37</v>
      </c>
      <c r="CS1002" t="str">
        <f>IF(OR(周转筐出入库明细!$C1003="",周转筐出入库明细!$F1003&lt;&gt;"采购入库"),"",周转筐出入库明细!$C1003)</f>
        <v/>
      </c>
      <c r="CT1002">
        <f t="shared" si="429"/>
        <v>0</v>
      </c>
      <c r="CU1002">
        <f t="shared" si="430"/>
        <v>1</v>
      </c>
    </row>
    <row r="1003" spans="1:99">
      <c r="A1003" t="str">
        <f>IF(包装物料出入库明细!$E1003="","",包装物料出入库明细!$E1003)</f>
        <v/>
      </c>
      <c r="B1003">
        <f t="shared" si="414"/>
        <v>0</v>
      </c>
      <c r="C1003">
        <f t="shared" si="415"/>
        <v>7</v>
      </c>
      <c r="D1003" t="str">
        <f>IF(包装物料出入库明细!$E1003="","",包装物料出入库明细!$F1003)</f>
        <v/>
      </c>
      <c r="E1003" t="str">
        <f>IF(包装物料出入库明细!$E1003="","",包装物料出入库明细!$G1003)</f>
        <v/>
      </c>
      <c r="K1003" t="str">
        <f>IF(包装物料出入库明细!$D1003="","",包装物料出入库明细!$D1003)</f>
        <v/>
      </c>
      <c r="L1003">
        <f t="shared" si="416"/>
        <v>0</v>
      </c>
      <c r="M1003">
        <f t="shared" si="417"/>
        <v>9</v>
      </c>
      <c r="Q1003" t="str">
        <f>IF(周转筐出入库明细!$D1004="","",周转筐出入库明细!$D1004)</f>
        <v/>
      </c>
      <c r="R1003">
        <f t="shared" si="418"/>
        <v>0</v>
      </c>
      <c r="S1003">
        <f t="shared" si="419"/>
        <v>5</v>
      </c>
      <c r="W1003" t="str">
        <f>IF(周转筐出入库明细!$C1004="","",周转筐出入库明细!$C1004)</f>
        <v/>
      </c>
      <c r="X1003">
        <f t="shared" si="420"/>
        <v>0</v>
      </c>
      <c r="Y1003">
        <f t="shared" si="421"/>
        <v>12</v>
      </c>
      <c r="AC1003" t="str">
        <f>IF(客户自备加工筐明细!$C1003="","",客户自备加工筐明细!$C1003)</f>
        <v/>
      </c>
      <c r="AD1003">
        <f t="shared" si="422"/>
        <v>0</v>
      </c>
      <c r="AE1003">
        <f t="shared" si="423"/>
        <v>1</v>
      </c>
      <c r="AI1003" t="str">
        <f>IF(客户自备加工筐明细!$E1003="","",客户自备加工筐明细!$E1003)</f>
        <v/>
      </c>
      <c r="AJ1003">
        <f t="shared" si="424"/>
        <v>0</v>
      </c>
      <c r="AK1003">
        <f t="shared" si="425"/>
        <v>1</v>
      </c>
      <c r="BS1003" t="str">
        <f t="shared" si="431"/>
        <v/>
      </c>
      <c r="BT1003">
        <f t="shared" si="426"/>
        <v>0</v>
      </c>
      <c r="BU1003">
        <f t="shared" si="427"/>
        <v>18</v>
      </c>
      <c r="CP1003">
        <f>IF(包装物料出入库明细!$D1003="",0,1)</f>
        <v>0</v>
      </c>
      <c r="CQ1003">
        <f t="shared" si="428"/>
        <v>37</v>
      </c>
      <c r="CS1003" t="str">
        <f>IF(OR(周转筐出入库明细!$C1004="",周转筐出入库明细!$F1004&lt;&gt;"采购入库"),"",周转筐出入库明细!$C1004)</f>
        <v/>
      </c>
      <c r="CT1003">
        <f t="shared" si="429"/>
        <v>0</v>
      </c>
      <c r="CU1003">
        <f t="shared" si="430"/>
        <v>1</v>
      </c>
    </row>
    <row r="1004" spans="1:99">
      <c r="A1004" t="str">
        <f>IF(包装物料出入库明细!$E1004="","",包装物料出入库明细!$E1004)</f>
        <v/>
      </c>
      <c r="B1004">
        <f t="shared" si="414"/>
        <v>0</v>
      </c>
      <c r="C1004">
        <f t="shared" si="415"/>
        <v>7</v>
      </c>
      <c r="D1004" t="str">
        <f>IF(包装物料出入库明细!$E1004="","",包装物料出入库明细!$F1004)</f>
        <v/>
      </c>
      <c r="E1004" t="str">
        <f>IF(包装物料出入库明细!$E1004="","",包装物料出入库明细!$G1004)</f>
        <v/>
      </c>
      <c r="K1004" t="str">
        <f>IF(包装物料出入库明细!$D1004="","",包装物料出入库明细!$D1004)</f>
        <v/>
      </c>
      <c r="L1004">
        <f t="shared" si="416"/>
        <v>0</v>
      </c>
      <c r="M1004">
        <f t="shared" si="417"/>
        <v>9</v>
      </c>
      <c r="Q1004" t="str">
        <f>IF(周转筐出入库明细!$D1005="","",周转筐出入库明细!$D1005)</f>
        <v/>
      </c>
      <c r="R1004">
        <f t="shared" si="418"/>
        <v>0</v>
      </c>
      <c r="S1004">
        <f t="shared" si="419"/>
        <v>5</v>
      </c>
      <c r="W1004" t="str">
        <f>IF(周转筐出入库明细!$C1005="","",周转筐出入库明细!$C1005)</f>
        <v/>
      </c>
      <c r="X1004">
        <f t="shared" si="420"/>
        <v>0</v>
      </c>
      <c r="Y1004">
        <f t="shared" si="421"/>
        <v>12</v>
      </c>
      <c r="AC1004" t="str">
        <f>IF(客户自备加工筐明细!$C1004="","",客户自备加工筐明细!$C1004)</f>
        <v/>
      </c>
      <c r="AD1004">
        <f t="shared" si="422"/>
        <v>0</v>
      </c>
      <c r="AE1004">
        <f t="shared" si="423"/>
        <v>1</v>
      </c>
      <c r="AI1004" t="str">
        <f>IF(客户自备加工筐明细!$E1004="","",客户自备加工筐明细!$E1004)</f>
        <v/>
      </c>
      <c r="AJ1004">
        <f t="shared" si="424"/>
        <v>0</v>
      </c>
      <c r="AK1004">
        <f t="shared" si="425"/>
        <v>1</v>
      </c>
      <c r="BS1004" t="str">
        <f t="shared" si="431"/>
        <v/>
      </c>
      <c r="BT1004">
        <f t="shared" si="426"/>
        <v>0</v>
      </c>
      <c r="BU1004">
        <f t="shared" si="427"/>
        <v>18</v>
      </c>
      <c r="CP1004">
        <f>IF(包装物料出入库明细!$D1004="",0,1)</f>
        <v>0</v>
      </c>
      <c r="CQ1004">
        <f t="shared" si="428"/>
        <v>37</v>
      </c>
      <c r="CS1004" t="str">
        <f>IF(OR(周转筐出入库明细!$C1005="",周转筐出入库明细!$F1005&lt;&gt;"采购入库"),"",周转筐出入库明细!$C1005)</f>
        <v/>
      </c>
      <c r="CT1004">
        <f t="shared" si="429"/>
        <v>0</v>
      </c>
      <c r="CU1004">
        <f t="shared" si="430"/>
        <v>1</v>
      </c>
    </row>
    <row r="1005" spans="1:99">
      <c r="A1005" t="str">
        <f>IF(包装物料出入库明细!$E1005="","",包装物料出入库明细!$E1005)</f>
        <v/>
      </c>
      <c r="B1005">
        <f t="shared" si="414"/>
        <v>0</v>
      </c>
      <c r="C1005">
        <f t="shared" si="415"/>
        <v>7</v>
      </c>
      <c r="D1005" t="str">
        <f>IF(包装物料出入库明细!$E1005="","",包装物料出入库明细!$F1005)</f>
        <v/>
      </c>
      <c r="E1005" t="str">
        <f>IF(包装物料出入库明细!$E1005="","",包装物料出入库明细!$G1005)</f>
        <v/>
      </c>
      <c r="K1005" t="str">
        <f>IF(包装物料出入库明细!$D1005="","",包装物料出入库明细!$D1005)</f>
        <v/>
      </c>
      <c r="L1005">
        <f t="shared" si="416"/>
        <v>0</v>
      </c>
      <c r="M1005">
        <f t="shared" si="417"/>
        <v>9</v>
      </c>
      <c r="Q1005" t="str">
        <f>IF(周转筐出入库明细!$D1006="","",周转筐出入库明细!$D1006)</f>
        <v/>
      </c>
      <c r="R1005">
        <f t="shared" si="418"/>
        <v>0</v>
      </c>
      <c r="S1005">
        <f t="shared" si="419"/>
        <v>5</v>
      </c>
      <c r="W1005" t="str">
        <f>IF(周转筐出入库明细!$C1006="","",周转筐出入库明细!$C1006)</f>
        <v/>
      </c>
      <c r="X1005">
        <f t="shared" si="420"/>
        <v>0</v>
      </c>
      <c r="Y1005">
        <f t="shared" si="421"/>
        <v>12</v>
      </c>
      <c r="AC1005" t="str">
        <f>IF(客户自备加工筐明细!$C1005="","",客户自备加工筐明细!$C1005)</f>
        <v/>
      </c>
      <c r="AD1005">
        <f t="shared" si="422"/>
        <v>0</v>
      </c>
      <c r="AE1005">
        <f t="shared" si="423"/>
        <v>1</v>
      </c>
      <c r="AI1005" t="str">
        <f>IF(客户自备加工筐明细!$E1005="","",客户自备加工筐明细!$E1005)</f>
        <v/>
      </c>
      <c r="AJ1005">
        <f t="shared" si="424"/>
        <v>0</v>
      </c>
      <c r="AK1005">
        <f t="shared" si="425"/>
        <v>1</v>
      </c>
      <c r="BS1005" t="str">
        <f t="shared" si="431"/>
        <v/>
      </c>
      <c r="BT1005">
        <f t="shared" si="426"/>
        <v>0</v>
      </c>
      <c r="BU1005">
        <f t="shared" si="427"/>
        <v>18</v>
      </c>
      <c r="CP1005">
        <f>IF(包装物料出入库明细!$D1005="",0,1)</f>
        <v>0</v>
      </c>
      <c r="CQ1005">
        <f t="shared" si="428"/>
        <v>37</v>
      </c>
      <c r="CS1005" t="str">
        <f>IF(OR(周转筐出入库明细!$C1006="",周转筐出入库明细!$F1006&lt;&gt;"采购入库"),"",周转筐出入库明细!$C1006)</f>
        <v/>
      </c>
      <c r="CT1005">
        <f t="shared" si="429"/>
        <v>0</v>
      </c>
      <c r="CU1005">
        <f t="shared" si="430"/>
        <v>1</v>
      </c>
    </row>
    <row r="1006" spans="1:99">
      <c r="A1006" t="str">
        <f>IF(包装物料出入库明细!$E1006="","",包装物料出入库明细!$E1006)</f>
        <v/>
      </c>
      <c r="B1006">
        <f t="shared" si="414"/>
        <v>0</v>
      </c>
      <c r="C1006">
        <f t="shared" si="415"/>
        <v>7</v>
      </c>
      <c r="D1006" t="str">
        <f>IF(包装物料出入库明细!$E1006="","",包装物料出入库明细!$F1006)</f>
        <v/>
      </c>
      <c r="E1006" t="str">
        <f>IF(包装物料出入库明细!$E1006="","",包装物料出入库明细!$G1006)</f>
        <v/>
      </c>
      <c r="K1006" t="str">
        <f>IF(包装物料出入库明细!$D1006="","",包装物料出入库明细!$D1006)</f>
        <v/>
      </c>
      <c r="L1006">
        <f t="shared" si="416"/>
        <v>0</v>
      </c>
      <c r="M1006">
        <f t="shared" si="417"/>
        <v>9</v>
      </c>
      <c r="Q1006" t="str">
        <f>IF(周转筐出入库明细!$D1007="","",周转筐出入库明细!$D1007)</f>
        <v/>
      </c>
      <c r="R1006">
        <f t="shared" si="418"/>
        <v>0</v>
      </c>
      <c r="S1006">
        <f t="shared" si="419"/>
        <v>5</v>
      </c>
      <c r="W1006" t="str">
        <f>IF(周转筐出入库明细!$C1007="","",周转筐出入库明细!$C1007)</f>
        <v/>
      </c>
      <c r="X1006">
        <f t="shared" si="420"/>
        <v>0</v>
      </c>
      <c r="Y1006">
        <f t="shared" si="421"/>
        <v>12</v>
      </c>
      <c r="AC1006" t="str">
        <f>IF(客户自备加工筐明细!$C1006="","",客户自备加工筐明细!$C1006)</f>
        <v/>
      </c>
      <c r="AD1006">
        <f t="shared" si="422"/>
        <v>0</v>
      </c>
      <c r="AE1006">
        <f t="shared" si="423"/>
        <v>1</v>
      </c>
      <c r="AI1006" t="str">
        <f>IF(客户自备加工筐明细!$E1006="","",客户自备加工筐明细!$E1006)</f>
        <v/>
      </c>
      <c r="AJ1006">
        <f t="shared" si="424"/>
        <v>0</v>
      </c>
      <c r="AK1006">
        <f t="shared" si="425"/>
        <v>1</v>
      </c>
      <c r="BS1006" t="str">
        <f t="shared" si="431"/>
        <v/>
      </c>
      <c r="BT1006">
        <f t="shared" si="426"/>
        <v>0</v>
      </c>
      <c r="BU1006">
        <f t="shared" si="427"/>
        <v>18</v>
      </c>
      <c r="CP1006">
        <f>IF(包装物料出入库明细!$D1006="",0,1)</f>
        <v>0</v>
      </c>
      <c r="CQ1006">
        <f t="shared" si="428"/>
        <v>37</v>
      </c>
      <c r="CS1006" t="str">
        <f>IF(OR(周转筐出入库明细!$C1007="",周转筐出入库明细!$F1007&lt;&gt;"采购入库"),"",周转筐出入库明细!$C1007)</f>
        <v/>
      </c>
      <c r="CT1006">
        <f t="shared" si="429"/>
        <v>0</v>
      </c>
      <c r="CU1006">
        <f t="shared" si="430"/>
        <v>1</v>
      </c>
    </row>
    <row r="1007" spans="1:99">
      <c r="A1007" t="str">
        <f>IF(包装物料出入库明细!$E1007="","",包装物料出入库明细!$E1007)</f>
        <v/>
      </c>
      <c r="B1007">
        <f t="shared" si="414"/>
        <v>0</v>
      </c>
      <c r="C1007">
        <f t="shared" si="415"/>
        <v>7</v>
      </c>
      <c r="D1007" t="str">
        <f>IF(包装物料出入库明细!$E1007="","",包装物料出入库明细!$F1007)</f>
        <v/>
      </c>
      <c r="E1007" t="str">
        <f>IF(包装物料出入库明细!$E1007="","",包装物料出入库明细!$G1007)</f>
        <v/>
      </c>
      <c r="K1007" t="str">
        <f>IF(包装物料出入库明细!$D1007="","",包装物料出入库明细!$D1007)</f>
        <v/>
      </c>
      <c r="L1007">
        <f t="shared" si="416"/>
        <v>0</v>
      </c>
      <c r="M1007">
        <f t="shared" si="417"/>
        <v>9</v>
      </c>
      <c r="Q1007" t="str">
        <f>IF(周转筐出入库明细!$D1008="","",周转筐出入库明细!$D1008)</f>
        <v/>
      </c>
      <c r="R1007">
        <f t="shared" si="418"/>
        <v>0</v>
      </c>
      <c r="S1007">
        <f t="shared" si="419"/>
        <v>5</v>
      </c>
      <c r="W1007" t="str">
        <f>IF(周转筐出入库明细!$C1008="","",周转筐出入库明细!$C1008)</f>
        <v/>
      </c>
      <c r="X1007">
        <f t="shared" si="420"/>
        <v>0</v>
      </c>
      <c r="Y1007">
        <f t="shared" si="421"/>
        <v>12</v>
      </c>
      <c r="AC1007" t="str">
        <f>IF(客户自备加工筐明细!$C1007="","",客户自备加工筐明细!$C1007)</f>
        <v/>
      </c>
      <c r="AD1007">
        <f t="shared" si="422"/>
        <v>0</v>
      </c>
      <c r="AE1007">
        <f t="shared" si="423"/>
        <v>1</v>
      </c>
      <c r="AI1007" t="str">
        <f>IF(客户自备加工筐明细!$E1007="","",客户自备加工筐明细!$E1007)</f>
        <v/>
      </c>
      <c r="AJ1007">
        <f t="shared" si="424"/>
        <v>0</v>
      </c>
      <c r="AK1007">
        <f t="shared" si="425"/>
        <v>1</v>
      </c>
      <c r="BS1007" t="str">
        <f t="shared" si="431"/>
        <v/>
      </c>
      <c r="BT1007">
        <f t="shared" si="426"/>
        <v>0</v>
      </c>
      <c r="BU1007">
        <f t="shared" si="427"/>
        <v>18</v>
      </c>
      <c r="CP1007">
        <f>IF(包装物料出入库明细!$D1007="",0,1)</f>
        <v>0</v>
      </c>
      <c r="CQ1007">
        <f t="shared" si="428"/>
        <v>37</v>
      </c>
      <c r="CS1007" t="str">
        <f>IF(OR(周转筐出入库明细!$C1008="",周转筐出入库明细!$F1008&lt;&gt;"采购入库"),"",周转筐出入库明细!$C1008)</f>
        <v/>
      </c>
      <c r="CT1007">
        <f t="shared" si="429"/>
        <v>0</v>
      </c>
      <c r="CU1007">
        <f t="shared" si="430"/>
        <v>1</v>
      </c>
    </row>
    <row r="1008" spans="1:99">
      <c r="A1008" t="str">
        <f>IF(包装物料出入库明细!$E1008="","",包装物料出入库明细!$E1008)</f>
        <v/>
      </c>
      <c r="B1008">
        <f t="shared" si="414"/>
        <v>0</v>
      </c>
      <c r="C1008">
        <f t="shared" si="415"/>
        <v>7</v>
      </c>
      <c r="D1008" t="str">
        <f>IF(包装物料出入库明细!$E1008="","",包装物料出入库明细!$F1008)</f>
        <v/>
      </c>
      <c r="E1008" t="str">
        <f>IF(包装物料出入库明细!$E1008="","",包装物料出入库明细!$G1008)</f>
        <v/>
      </c>
      <c r="K1008" t="str">
        <f>IF(包装物料出入库明细!$D1008="","",包装物料出入库明细!$D1008)</f>
        <v/>
      </c>
      <c r="L1008">
        <f t="shared" si="416"/>
        <v>0</v>
      </c>
      <c r="M1008">
        <f t="shared" si="417"/>
        <v>9</v>
      </c>
      <c r="Q1008" t="str">
        <f>IF(周转筐出入库明细!$D1009="","",周转筐出入库明细!$D1009)</f>
        <v/>
      </c>
      <c r="R1008">
        <f t="shared" si="418"/>
        <v>0</v>
      </c>
      <c r="S1008">
        <f t="shared" si="419"/>
        <v>5</v>
      </c>
      <c r="W1008" t="str">
        <f>IF(周转筐出入库明细!$C1009="","",周转筐出入库明细!$C1009)</f>
        <v/>
      </c>
      <c r="X1008">
        <f t="shared" si="420"/>
        <v>0</v>
      </c>
      <c r="Y1008">
        <f t="shared" si="421"/>
        <v>12</v>
      </c>
      <c r="AC1008" t="str">
        <f>IF(客户自备加工筐明细!$C1008="","",客户自备加工筐明细!$C1008)</f>
        <v/>
      </c>
      <c r="AD1008">
        <f t="shared" si="422"/>
        <v>0</v>
      </c>
      <c r="AE1008">
        <f t="shared" si="423"/>
        <v>1</v>
      </c>
      <c r="AI1008" t="str">
        <f>IF(客户自备加工筐明细!$E1008="","",客户自备加工筐明细!$E1008)</f>
        <v/>
      </c>
      <c r="AJ1008">
        <f t="shared" si="424"/>
        <v>0</v>
      </c>
      <c r="AK1008">
        <f t="shared" si="425"/>
        <v>1</v>
      </c>
      <c r="BS1008" t="str">
        <f t="shared" si="431"/>
        <v/>
      </c>
      <c r="BT1008">
        <f t="shared" si="426"/>
        <v>0</v>
      </c>
      <c r="BU1008">
        <f t="shared" si="427"/>
        <v>18</v>
      </c>
      <c r="CP1008">
        <f>IF(包装物料出入库明细!$D1008="",0,1)</f>
        <v>0</v>
      </c>
      <c r="CQ1008">
        <f t="shared" si="428"/>
        <v>37</v>
      </c>
      <c r="CS1008" t="str">
        <f>IF(OR(周转筐出入库明细!$C1009="",周转筐出入库明细!$F1009&lt;&gt;"采购入库"),"",周转筐出入库明细!$C1009)</f>
        <v/>
      </c>
      <c r="CT1008">
        <f t="shared" si="429"/>
        <v>0</v>
      </c>
      <c r="CU1008">
        <f t="shared" si="430"/>
        <v>1</v>
      </c>
    </row>
    <row r="1009" spans="1:99">
      <c r="A1009" t="str">
        <f>IF(包装物料出入库明细!$E1009="","",包装物料出入库明细!$E1009)</f>
        <v/>
      </c>
      <c r="B1009">
        <f t="shared" si="414"/>
        <v>0</v>
      </c>
      <c r="C1009">
        <f t="shared" si="415"/>
        <v>7</v>
      </c>
      <c r="D1009" t="str">
        <f>IF(包装物料出入库明细!$E1009="","",包装物料出入库明细!$F1009)</f>
        <v/>
      </c>
      <c r="E1009" t="str">
        <f>IF(包装物料出入库明细!$E1009="","",包装物料出入库明细!$G1009)</f>
        <v/>
      </c>
      <c r="K1009" t="str">
        <f>IF(包装物料出入库明细!$D1009="","",包装物料出入库明细!$D1009)</f>
        <v/>
      </c>
      <c r="L1009">
        <f t="shared" si="416"/>
        <v>0</v>
      </c>
      <c r="M1009">
        <f t="shared" si="417"/>
        <v>9</v>
      </c>
      <c r="Q1009" t="str">
        <f>IF(周转筐出入库明细!$D1010="","",周转筐出入库明细!$D1010)</f>
        <v/>
      </c>
      <c r="R1009">
        <f t="shared" si="418"/>
        <v>0</v>
      </c>
      <c r="S1009">
        <f t="shared" si="419"/>
        <v>5</v>
      </c>
      <c r="W1009" t="str">
        <f>IF(周转筐出入库明细!$C1010="","",周转筐出入库明细!$C1010)</f>
        <v/>
      </c>
      <c r="X1009">
        <f t="shared" si="420"/>
        <v>0</v>
      </c>
      <c r="Y1009">
        <f t="shared" si="421"/>
        <v>12</v>
      </c>
      <c r="AC1009" t="str">
        <f>IF(客户自备加工筐明细!$C1009="","",客户自备加工筐明细!$C1009)</f>
        <v/>
      </c>
      <c r="AD1009">
        <f t="shared" si="422"/>
        <v>0</v>
      </c>
      <c r="AE1009">
        <f t="shared" si="423"/>
        <v>1</v>
      </c>
      <c r="AI1009" t="str">
        <f>IF(客户自备加工筐明细!$E1009="","",客户自备加工筐明细!$E1009)</f>
        <v/>
      </c>
      <c r="AJ1009">
        <f t="shared" si="424"/>
        <v>0</v>
      </c>
      <c r="AK1009">
        <f t="shared" si="425"/>
        <v>1</v>
      </c>
      <c r="BS1009" t="str">
        <f t="shared" si="431"/>
        <v/>
      </c>
      <c r="BT1009">
        <f t="shared" si="426"/>
        <v>0</v>
      </c>
      <c r="BU1009">
        <f t="shared" si="427"/>
        <v>18</v>
      </c>
      <c r="CP1009">
        <f>IF(包装物料出入库明细!$D1009="",0,1)</f>
        <v>0</v>
      </c>
      <c r="CQ1009">
        <f t="shared" si="428"/>
        <v>37</v>
      </c>
      <c r="CS1009" t="str">
        <f>IF(OR(周转筐出入库明细!$C1010="",周转筐出入库明细!$F1010&lt;&gt;"采购入库"),"",周转筐出入库明细!$C1010)</f>
        <v/>
      </c>
      <c r="CT1009">
        <f t="shared" si="429"/>
        <v>0</v>
      </c>
      <c r="CU1009">
        <f t="shared" si="430"/>
        <v>1</v>
      </c>
    </row>
    <row r="1010" spans="1:99">
      <c r="A1010" t="str">
        <f>IF(包装物料出入库明细!$E1010="","",包装物料出入库明细!$E1010)</f>
        <v/>
      </c>
      <c r="B1010">
        <f t="shared" si="414"/>
        <v>0</v>
      </c>
      <c r="C1010">
        <f t="shared" si="415"/>
        <v>7</v>
      </c>
      <c r="D1010" t="str">
        <f>IF(包装物料出入库明细!$E1010="","",包装物料出入库明细!$F1010)</f>
        <v/>
      </c>
      <c r="E1010" t="str">
        <f>IF(包装物料出入库明细!$E1010="","",包装物料出入库明细!$G1010)</f>
        <v/>
      </c>
      <c r="K1010" t="str">
        <f>IF(包装物料出入库明细!$D1010="","",包装物料出入库明细!$D1010)</f>
        <v/>
      </c>
      <c r="L1010">
        <f t="shared" si="416"/>
        <v>0</v>
      </c>
      <c r="M1010">
        <f t="shared" si="417"/>
        <v>9</v>
      </c>
      <c r="Q1010" t="str">
        <f>IF(周转筐出入库明细!$D1011="","",周转筐出入库明细!$D1011)</f>
        <v/>
      </c>
      <c r="R1010">
        <f t="shared" si="418"/>
        <v>0</v>
      </c>
      <c r="S1010">
        <f t="shared" si="419"/>
        <v>5</v>
      </c>
      <c r="W1010" t="str">
        <f>IF(周转筐出入库明细!$C1011="","",周转筐出入库明细!$C1011)</f>
        <v/>
      </c>
      <c r="X1010">
        <f t="shared" si="420"/>
        <v>0</v>
      </c>
      <c r="Y1010">
        <f t="shared" si="421"/>
        <v>12</v>
      </c>
      <c r="AC1010" t="str">
        <f>IF(客户自备加工筐明细!$C1010="","",客户自备加工筐明细!$C1010)</f>
        <v/>
      </c>
      <c r="AD1010">
        <f t="shared" si="422"/>
        <v>0</v>
      </c>
      <c r="AE1010">
        <f t="shared" si="423"/>
        <v>1</v>
      </c>
      <c r="AI1010" t="str">
        <f>IF(客户自备加工筐明细!$E1010="","",客户自备加工筐明细!$E1010)</f>
        <v/>
      </c>
      <c r="AJ1010">
        <f t="shared" si="424"/>
        <v>0</v>
      </c>
      <c r="AK1010">
        <f t="shared" si="425"/>
        <v>1</v>
      </c>
      <c r="BS1010" t="str">
        <f t="shared" si="431"/>
        <v/>
      </c>
      <c r="BT1010">
        <f t="shared" si="426"/>
        <v>0</v>
      </c>
      <c r="BU1010">
        <f t="shared" si="427"/>
        <v>18</v>
      </c>
      <c r="CP1010">
        <f>IF(包装物料出入库明细!$D1010="",0,1)</f>
        <v>0</v>
      </c>
      <c r="CQ1010">
        <f t="shared" si="428"/>
        <v>37</v>
      </c>
      <c r="CS1010" t="str">
        <f>IF(OR(周转筐出入库明细!$C1011="",周转筐出入库明细!$F1011&lt;&gt;"采购入库"),"",周转筐出入库明细!$C1011)</f>
        <v/>
      </c>
      <c r="CT1010">
        <f t="shared" si="429"/>
        <v>0</v>
      </c>
      <c r="CU1010">
        <f t="shared" si="430"/>
        <v>1</v>
      </c>
    </row>
    <row r="1011" spans="1:99">
      <c r="A1011" t="str">
        <f>IF(包装物料出入库明细!$E1011="","",包装物料出入库明细!$E1011)</f>
        <v/>
      </c>
      <c r="B1011">
        <f t="shared" si="414"/>
        <v>0</v>
      </c>
      <c r="C1011">
        <f t="shared" si="415"/>
        <v>7</v>
      </c>
      <c r="D1011" t="str">
        <f>IF(包装物料出入库明细!$E1011="","",包装物料出入库明细!$F1011)</f>
        <v/>
      </c>
      <c r="E1011" t="str">
        <f>IF(包装物料出入库明细!$E1011="","",包装物料出入库明细!$G1011)</f>
        <v/>
      </c>
      <c r="K1011" t="str">
        <f>IF(包装物料出入库明细!$D1011="","",包装物料出入库明细!$D1011)</f>
        <v/>
      </c>
      <c r="L1011">
        <f t="shared" si="416"/>
        <v>0</v>
      </c>
      <c r="M1011">
        <f t="shared" si="417"/>
        <v>9</v>
      </c>
      <c r="Q1011" t="str">
        <f>IF(周转筐出入库明细!$D1012="","",周转筐出入库明细!$D1012)</f>
        <v/>
      </c>
      <c r="R1011">
        <f t="shared" si="418"/>
        <v>0</v>
      </c>
      <c r="S1011">
        <f t="shared" si="419"/>
        <v>5</v>
      </c>
      <c r="W1011" t="str">
        <f>IF(周转筐出入库明细!$C1012="","",周转筐出入库明细!$C1012)</f>
        <v/>
      </c>
      <c r="X1011">
        <f t="shared" si="420"/>
        <v>0</v>
      </c>
      <c r="Y1011">
        <f t="shared" si="421"/>
        <v>12</v>
      </c>
      <c r="AC1011" t="str">
        <f>IF(客户自备加工筐明细!$C1011="","",客户自备加工筐明细!$C1011)</f>
        <v/>
      </c>
      <c r="AD1011">
        <f t="shared" si="422"/>
        <v>0</v>
      </c>
      <c r="AE1011">
        <f t="shared" si="423"/>
        <v>1</v>
      </c>
      <c r="AI1011" t="str">
        <f>IF(客户自备加工筐明细!$E1011="","",客户自备加工筐明细!$E1011)</f>
        <v/>
      </c>
      <c r="AJ1011">
        <f t="shared" si="424"/>
        <v>0</v>
      </c>
      <c r="AK1011">
        <f t="shared" si="425"/>
        <v>1</v>
      </c>
      <c r="BS1011" t="str">
        <f t="shared" si="431"/>
        <v/>
      </c>
      <c r="BT1011">
        <f t="shared" si="426"/>
        <v>0</v>
      </c>
      <c r="BU1011">
        <f t="shared" si="427"/>
        <v>18</v>
      </c>
      <c r="CP1011">
        <f>IF(包装物料出入库明细!$D1011="",0,1)</f>
        <v>0</v>
      </c>
      <c r="CQ1011">
        <f t="shared" si="428"/>
        <v>37</v>
      </c>
      <c r="CS1011" t="str">
        <f>IF(OR(周转筐出入库明细!$C1012="",周转筐出入库明细!$F1012&lt;&gt;"采购入库"),"",周转筐出入库明细!$C1012)</f>
        <v/>
      </c>
      <c r="CT1011">
        <f t="shared" si="429"/>
        <v>0</v>
      </c>
      <c r="CU1011">
        <f t="shared" si="430"/>
        <v>1</v>
      </c>
    </row>
    <row r="1012" spans="1:99">
      <c r="A1012" t="str">
        <f>IF(包装物料出入库明细!$E1012="","",包装物料出入库明细!$E1012)</f>
        <v/>
      </c>
      <c r="B1012">
        <f t="shared" si="414"/>
        <v>0</v>
      </c>
      <c r="C1012">
        <f t="shared" si="415"/>
        <v>7</v>
      </c>
      <c r="D1012" t="str">
        <f>IF(包装物料出入库明细!$E1012="","",包装物料出入库明细!$F1012)</f>
        <v/>
      </c>
      <c r="E1012" t="str">
        <f>IF(包装物料出入库明细!$E1012="","",包装物料出入库明细!$G1012)</f>
        <v/>
      </c>
      <c r="K1012" t="str">
        <f>IF(包装物料出入库明细!$D1012="","",包装物料出入库明细!$D1012)</f>
        <v/>
      </c>
      <c r="L1012">
        <f t="shared" si="416"/>
        <v>0</v>
      </c>
      <c r="M1012">
        <f t="shared" si="417"/>
        <v>9</v>
      </c>
      <c r="Q1012" t="str">
        <f>IF(周转筐出入库明细!$D1013="","",周转筐出入库明细!$D1013)</f>
        <v/>
      </c>
      <c r="R1012">
        <f t="shared" si="418"/>
        <v>0</v>
      </c>
      <c r="S1012">
        <f t="shared" si="419"/>
        <v>5</v>
      </c>
      <c r="W1012" t="str">
        <f>IF(周转筐出入库明细!$C1013="","",周转筐出入库明细!$C1013)</f>
        <v/>
      </c>
      <c r="X1012">
        <f t="shared" si="420"/>
        <v>0</v>
      </c>
      <c r="Y1012">
        <f t="shared" si="421"/>
        <v>12</v>
      </c>
      <c r="AC1012" t="str">
        <f>IF(客户自备加工筐明细!$C1012="","",客户自备加工筐明细!$C1012)</f>
        <v/>
      </c>
      <c r="AD1012">
        <f t="shared" si="422"/>
        <v>0</v>
      </c>
      <c r="AE1012">
        <f t="shared" si="423"/>
        <v>1</v>
      </c>
      <c r="AI1012" t="str">
        <f>IF(客户自备加工筐明细!$E1012="","",客户自备加工筐明细!$E1012)</f>
        <v/>
      </c>
      <c r="AJ1012">
        <f t="shared" si="424"/>
        <v>0</v>
      </c>
      <c r="AK1012">
        <f t="shared" si="425"/>
        <v>1</v>
      </c>
      <c r="BS1012" t="str">
        <f t="shared" si="431"/>
        <v/>
      </c>
      <c r="BT1012">
        <f t="shared" si="426"/>
        <v>0</v>
      </c>
      <c r="BU1012">
        <f t="shared" si="427"/>
        <v>18</v>
      </c>
      <c r="CP1012">
        <f>IF(包装物料出入库明细!$D1012="",0,1)</f>
        <v>0</v>
      </c>
      <c r="CQ1012">
        <f t="shared" si="428"/>
        <v>37</v>
      </c>
      <c r="CS1012" t="str">
        <f>IF(OR(周转筐出入库明细!$C1013="",周转筐出入库明细!$F1013&lt;&gt;"采购入库"),"",周转筐出入库明细!$C1013)</f>
        <v/>
      </c>
      <c r="CT1012">
        <f t="shared" si="429"/>
        <v>0</v>
      </c>
      <c r="CU1012">
        <f t="shared" si="430"/>
        <v>1</v>
      </c>
    </row>
    <row r="1013" spans="1:99">
      <c r="A1013" t="str">
        <f>IF(包装物料出入库明细!$E1013="","",包装物料出入库明细!$E1013)</f>
        <v/>
      </c>
      <c r="B1013">
        <f t="shared" si="414"/>
        <v>0</v>
      </c>
      <c r="C1013">
        <f t="shared" si="415"/>
        <v>7</v>
      </c>
      <c r="D1013" t="str">
        <f>IF(包装物料出入库明细!$E1013="","",包装物料出入库明细!$F1013)</f>
        <v/>
      </c>
      <c r="E1013" t="str">
        <f>IF(包装物料出入库明细!$E1013="","",包装物料出入库明细!$G1013)</f>
        <v/>
      </c>
      <c r="K1013" t="str">
        <f>IF(包装物料出入库明细!$D1013="","",包装物料出入库明细!$D1013)</f>
        <v/>
      </c>
      <c r="L1013">
        <f t="shared" si="416"/>
        <v>0</v>
      </c>
      <c r="M1013">
        <f t="shared" si="417"/>
        <v>9</v>
      </c>
      <c r="Q1013" t="str">
        <f>IF(周转筐出入库明细!$D1014="","",周转筐出入库明细!$D1014)</f>
        <v/>
      </c>
      <c r="R1013">
        <f t="shared" si="418"/>
        <v>0</v>
      </c>
      <c r="S1013">
        <f t="shared" si="419"/>
        <v>5</v>
      </c>
      <c r="W1013" t="str">
        <f>IF(周转筐出入库明细!$C1014="","",周转筐出入库明细!$C1014)</f>
        <v/>
      </c>
      <c r="X1013">
        <f t="shared" si="420"/>
        <v>0</v>
      </c>
      <c r="Y1013">
        <f t="shared" si="421"/>
        <v>12</v>
      </c>
      <c r="AC1013" t="str">
        <f>IF(客户自备加工筐明细!$C1013="","",客户自备加工筐明细!$C1013)</f>
        <v/>
      </c>
      <c r="AD1013">
        <f t="shared" si="422"/>
        <v>0</v>
      </c>
      <c r="AE1013">
        <f t="shared" si="423"/>
        <v>1</v>
      </c>
      <c r="AI1013" t="str">
        <f>IF(客户自备加工筐明细!$E1013="","",客户自备加工筐明细!$E1013)</f>
        <v/>
      </c>
      <c r="AJ1013">
        <f t="shared" si="424"/>
        <v>0</v>
      </c>
      <c r="AK1013">
        <f t="shared" si="425"/>
        <v>1</v>
      </c>
      <c r="BS1013" t="str">
        <f t="shared" si="431"/>
        <v/>
      </c>
      <c r="BT1013">
        <f t="shared" si="426"/>
        <v>0</v>
      </c>
      <c r="BU1013">
        <f t="shared" si="427"/>
        <v>18</v>
      </c>
      <c r="CP1013">
        <f>IF(包装物料出入库明细!$D1013="",0,1)</f>
        <v>0</v>
      </c>
      <c r="CQ1013">
        <f t="shared" si="428"/>
        <v>37</v>
      </c>
      <c r="CS1013" t="str">
        <f>IF(OR(周转筐出入库明细!$C1014="",周转筐出入库明细!$F1014&lt;&gt;"采购入库"),"",周转筐出入库明细!$C1014)</f>
        <v/>
      </c>
      <c r="CT1013">
        <f t="shared" si="429"/>
        <v>0</v>
      </c>
      <c r="CU1013">
        <f t="shared" si="430"/>
        <v>1</v>
      </c>
    </row>
    <row r="1014" spans="1:99">
      <c r="A1014" t="str">
        <f>IF(包装物料出入库明细!$E1014="","",包装物料出入库明细!$E1014)</f>
        <v/>
      </c>
      <c r="B1014">
        <f t="shared" si="414"/>
        <v>0</v>
      </c>
      <c r="C1014">
        <f t="shared" si="415"/>
        <v>7</v>
      </c>
      <c r="D1014" t="str">
        <f>IF(包装物料出入库明细!$E1014="","",包装物料出入库明细!$F1014)</f>
        <v/>
      </c>
      <c r="E1014" t="str">
        <f>IF(包装物料出入库明细!$E1014="","",包装物料出入库明细!$G1014)</f>
        <v/>
      </c>
      <c r="K1014" t="str">
        <f>IF(包装物料出入库明细!$D1014="","",包装物料出入库明细!$D1014)</f>
        <v/>
      </c>
      <c r="L1014">
        <f t="shared" si="416"/>
        <v>0</v>
      </c>
      <c r="M1014">
        <f t="shared" si="417"/>
        <v>9</v>
      </c>
      <c r="Q1014" t="str">
        <f>IF(周转筐出入库明细!$D1015="","",周转筐出入库明细!$D1015)</f>
        <v/>
      </c>
      <c r="R1014">
        <f t="shared" si="418"/>
        <v>0</v>
      </c>
      <c r="S1014">
        <f t="shared" si="419"/>
        <v>5</v>
      </c>
      <c r="W1014" t="str">
        <f>IF(周转筐出入库明细!$C1015="","",周转筐出入库明细!$C1015)</f>
        <v/>
      </c>
      <c r="X1014">
        <f t="shared" si="420"/>
        <v>0</v>
      </c>
      <c r="Y1014">
        <f t="shared" si="421"/>
        <v>12</v>
      </c>
      <c r="AC1014" t="str">
        <f>IF(客户自备加工筐明细!$C1014="","",客户自备加工筐明细!$C1014)</f>
        <v/>
      </c>
      <c r="AD1014">
        <f t="shared" si="422"/>
        <v>0</v>
      </c>
      <c r="AE1014">
        <f t="shared" si="423"/>
        <v>1</v>
      </c>
      <c r="AI1014" t="str">
        <f>IF(客户自备加工筐明细!$E1014="","",客户自备加工筐明细!$E1014)</f>
        <v/>
      </c>
      <c r="AJ1014">
        <f t="shared" si="424"/>
        <v>0</v>
      </c>
      <c r="AK1014">
        <f t="shared" si="425"/>
        <v>1</v>
      </c>
      <c r="BS1014" t="str">
        <f t="shared" si="431"/>
        <v/>
      </c>
      <c r="BT1014">
        <f t="shared" si="426"/>
        <v>0</v>
      </c>
      <c r="BU1014">
        <f t="shared" si="427"/>
        <v>18</v>
      </c>
      <c r="CP1014">
        <f>IF(包装物料出入库明细!$D1014="",0,1)</f>
        <v>0</v>
      </c>
      <c r="CQ1014">
        <f t="shared" si="428"/>
        <v>37</v>
      </c>
      <c r="CS1014" t="str">
        <f>IF(OR(周转筐出入库明细!$C1015="",周转筐出入库明细!$F1015&lt;&gt;"采购入库"),"",周转筐出入库明细!$C1015)</f>
        <v/>
      </c>
      <c r="CT1014">
        <f t="shared" si="429"/>
        <v>0</v>
      </c>
      <c r="CU1014">
        <f t="shared" si="430"/>
        <v>1</v>
      </c>
    </row>
    <row r="1015" spans="1:99">
      <c r="A1015" t="str">
        <f>IF(包装物料出入库明细!$E1015="","",包装物料出入库明细!$E1015)</f>
        <v/>
      </c>
      <c r="B1015">
        <f t="shared" si="414"/>
        <v>0</v>
      </c>
      <c r="C1015">
        <f t="shared" si="415"/>
        <v>7</v>
      </c>
      <c r="D1015" t="str">
        <f>IF(包装物料出入库明细!$E1015="","",包装物料出入库明细!$F1015)</f>
        <v/>
      </c>
      <c r="E1015" t="str">
        <f>IF(包装物料出入库明细!$E1015="","",包装物料出入库明细!$G1015)</f>
        <v/>
      </c>
      <c r="K1015" t="str">
        <f>IF(包装物料出入库明细!$D1015="","",包装物料出入库明细!$D1015)</f>
        <v/>
      </c>
      <c r="L1015">
        <f t="shared" si="416"/>
        <v>0</v>
      </c>
      <c r="M1015">
        <f t="shared" si="417"/>
        <v>9</v>
      </c>
      <c r="Q1015" t="str">
        <f>IF(周转筐出入库明细!$D1016="","",周转筐出入库明细!$D1016)</f>
        <v/>
      </c>
      <c r="R1015">
        <f t="shared" si="418"/>
        <v>0</v>
      </c>
      <c r="S1015">
        <f t="shared" si="419"/>
        <v>5</v>
      </c>
      <c r="W1015" t="str">
        <f>IF(周转筐出入库明细!$C1016="","",周转筐出入库明细!$C1016)</f>
        <v/>
      </c>
      <c r="X1015">
        <f t="shared" si="420"/>
        <v>0</v>
      </c>
      <c r="Y1015">
        <f t="shared" si="421"/>
        <v>12</v>
      </c>
      <c r="AC1015" t="str">
        <f>IF(客户自备加工筐明细!$C1015="","",客户自备加工筐明细!$C1015)</f>
        <v/>
      </c>
      <c r="AD1015">
        <f t="shared" si="422"/>
        <v>0</v>
      </c>
      <c r="AE1015">
        <f t="shared" si="423"/>
        <v>1</v>
      </c>
      <c r="AI1015" t="str">
        <f>IF(客户自备加工筐明细!$E1015="","",客户自备加工筐明细!$E1015)</f>
        <v/>
      </c>
      <c r="AJ1015">
        <f t="shared" si="424"/>
        <v>0</v>
      </c>
      <c r="AK1015">
        <f t="shared" si="425"/>
        <v>1</v>
      </c>
      <c r="BS1015" t="str">
        <f t="shared" si="431"/>
        <v/>
      </c>
      <c r="BT1015">
        <f t="shared" si="426"/>
        <v>0</v>
      </c>
      <c r="BU1015">
        <f t="shared" si="427"/>
        <v>18</v>
      </c>
      <c r="CP1015">
        <f>IF(包装物料出入库明细!$D1015="",0,1)</f>
        <v>0</v>
      </c>
      <c r="CQ1015">
        <f t="shared" si="428"/>
        <v>37</v>
      </c>
      <c r="CS1015" t="str">
        <f>IF(OR(周转筐出入库明细!$C1016="",周转筐出入库明细!$F1016&lt;&gt;"采购入库"),"",周转筐出入库明细!$C1016)</f>
        <v/>
      </c>
      <c r="CT1015">
        <f t="shared" si="429"/>
        <v>0</v>
      </c>
      <c r="CU1015">
        <f t="shared" si="430"/>
        <v>1</v>
      </c>
    </row>
    <row r="1016" spans="1:99">
      <c r="A1016" t="str">
        <f>IF(包装物料出入库明细!$E1016="","",包装物料出入库明细!$E1016)</f>
        <v/>
      </c>
      <c r="B1016">
        <f t="shared" si="414"/>
        <v>0</v>
      </c>
      <c r="C1016">
        <f t="shared" si="415"/>
        <v>7</v>
      </c>
      <c r="D1016" t="str">
        <f>IF(包装物料出入库明细!$E1016="","",包装物料出入库明细!$F1016)</f>
        <v/>
      </c>
      <c r="E1016" t="str">
        <f>IF(包装物料出入库明细!$E1016="","",包装物料出入库明细!$G1016)</f>
        <v/>
      </c>
      <c r="K1016" t="str">
        <f>IF(包装物料出入库明细!$D1016="","",包装物料出入库明细!$D1016)</f>
        <v/>
      </c>
      <c r="L1016">
        <f t="shared" si="416"/>
        <v>0</v>
      </c>
      <c r="M1016">
        <f t="shared" si="417"/>
        <v>9</v>
      </c>
      <c r="Q1016" t="str">
        <f>IF(周转筐出入库明细!$D1017="","",周转筐出入库明细!$D1017)</f>
        <v/>
      </c>
      <c r="R1016">
        <f t="shared" si="418"/>
        <v>0</v>
      </c>
      <c r="S1016">
        <f t="shared" si="419"/>
        <v>5</v>
      </c>
      <c r="W1016" t="str">
        <f>IF(周转筐出入库明细!$C1017="","",周转筐出入库明细!$C1017)</f>
        <v/>
      </c>
      <c r="X1016">
        <f t="shared" si="420"/>
        <v>0</v>
      </c>
      <c r="Y1016">
        <f t="shared" si="421"/>
        <v>12</v>
      </c>
      <c r="AC1016" t="str">
        <f>IF(客户自备加工筐明细!$C1016="","",客户自备加工筐明细!$C1016)</f>
        <v/>
      </c>
      <c r="AD1016">
        <f t="shared" si="422"/>
        <v>0</v>
      </c>
      <c r="AE1016">
        <f t="shared" si="423"/>
        <v>1</v>
      </c>
      <c r="AI1016" t="str">
        <f>IF(客户自备加工筐明细!$E1016="","",客户自备加工筐明细!$E1016)</f>
        <v/>
      </c>
      <c r="AJ1016">
        <f t="shared" si="424"/>
        <v>0</v>
      </c>
      <c r="AK1016">
        <f t="shared" si="425"/>
        <v>1</v>
      </c>
      <c r="BS1016" t="str">
        <f t="shared" si="431"/>
        <v/>
      </c>
      <c r="BT1016">
        <f t="shared" si="426"/>
        <v>0</v>
      </c>
      <c r="BU1016">
        <f t="shared" si="427"/>
        <v>18</v>
      </c>
      <c r="CP1016">
        <f>IF(包装物料出入库明细!$D1016="",0,1)</f>
        <v>0</v>
      </c>
      <c r="CQ1016">
        <f t="shared" si="428"/>
        <v>37</v>
      </c>
      <c r="CS1016" t="str">
        <f>IF(OR(周转筐出入库明细!$C1017="",周转筐出入库明细!$F1017&lt;&gt;"采购入库"),"",周转筐出入库明细!$C1017)</f>
        <v/>
      </c>
      <c r="CT1016">
        <f t="shared" si="429"/>
        <v>0</v>
      </c>
      <c r="CU1016">
        <f t="shared" si="430"/>
        <v>1</v>
      </c>
    </row>
    <row r="1017" spans="1:99">
      <c r="A1017" t="str">
        <f>IF(包装物料出入库明细!$E1017="","",包装物料出入库明细!$E1017)</f>
        <v/>
      </c>
      <c r="B1017">
        <f t="shared" si="414"/>
        <v>0</v>
      </c>
      <c r="C1017">
        <f t="shared" si="415"/>
        <v>7</v>
      </c>
      <c r="D1017" t="str">
        <f>IF(包装物料出入库明细!$E1017="","",包装物料出入库明细!$F1017)</f>
        <v/>
      </c>
      <c r="E1017" t="str">
        <f>IF(包装物料出入库明细!$E1017="","",包装物料出入库明细!$G1017)</f>
        <v/>
      </c>
      <c r="K1017" t="str">
        <f>IF(包装物料出入库明细!$D1017="","",包装物料出入库明细!$D1017)</f>
        <v/>
      </c>
      <c r="L1017">
        <f t="shared" si="416"/>
        <v>0</v>
      </c>
      <c r="M1017">
        <f t="shared" si="417"/>
        <v>9</v>
      </c>
      <c r="Q1017" t="str">
        <f>IF(周转筐出入库明细!$D1018="","",周转筐出入库明细!$D1018)</f>
        <v/>
      </c>
      <c r="R1017">
        <f t="shared" si="418"/>
        <v>0</v>
      </c>
      <c r="S1017">
        <f t="shared" si="419"/>
        <v>5</v>
      </c>
      <c r="W1017" t="str">
        <f>IF(周转筐出入库明细!$C1018="","",周转筐出入库明细!$C1018)</f>
        <v/>
      </c>
      <c r="X1017">
        <f t="shared" si="420"/>
        <v>0</v>
      </c>
      <c r="Y1017">
        <f t="shared" si="421"/>
        <v>12</v>
      </c>
      <c r="AC1017" t="str">
        <f>IF(客户自备加工筐明细!$C1017="","",客户自备加工筐明细!$C1017)</f>
        <v/>
      </c>
      <c r="AD1017">
        <f t="shared" si="422"/>
        <v>0</v>
      </c>
      <c r="AE1017">
        <f t="shared" si="423"/>
        <v>1</v>
      </c>
      <c r="AI1017" t="str">
        <f>IF(客户自备加工筐明细!$E1017="","",客户自备加工筐明细!$E1017)</f>
        <v/>
      </c>
      <c r="AJ1017">
        <f t="shared" si="424"/>
        <v>0</v>
      </c>
      <c r="AK1017">
        <f t="shared" si="425"/>
        <v>1</v>
      </c>
      <c r="BS1017" t="str">
        <f t="shared" si="431"/>
        <v/>
      </c>
      <c r="BT1017">
        <f t="shared" si="426"/>
        <v>0</v>
      </c>
      <c r="BU1017">
        <f t="shared" si="427"/>
        <v>18</v>
      </c>
      <c r="CP1017">
        <f>IF(包装物料出入库明细!$D1017="",0,1)</f>
        <v>0</v>
      </c>
      <c r="CQ1017">
        <f t="shared" si="428"/>
        <v>37</v>
      </c>
      <c r="CS1017" t="str">
        <f>IF(OR(周转筐出入库明细!$C1018="",周转筐出入库明细!$F1018&lt;&gt;"采购入库"),"",周转筐出入库明细!$C1018)</f>
        <v/>
      </c>
      <c r="CT1017">
        <f t="shared" si="429"/>
        <v>0</v>
      </c>
      <c r="CU1017">
        <f t="shared" si="430"/>
        <v>1</v>
      </c>
    </row>
    <row r="1018" spans="1:99">
      <c r="A1018" t="str">
        <f>IF(包装物料出入库明细!$E1018="","",包装物料出入库明细!$E1018)</f>
        <v/>
      </c>
      <c r="B1018">
        <f t="shared" si="414"/>
        <v>0</v>
      </c>
      <c r="C1018">
        <f t="shared" si="415"/>
        <v>7</v>
      </c>
      <c r="D1018" t="str">
        <f>IF(包装物料出入库明细!$E1018="","",包装物料出入库明细!$F1018)</f>
        <v/>
      </c>
      <c r="E1018" t="str">
        <f>IF(包装物料出入库明细!$E1018="","",包装物料出入库明细!$G1018)</f>
        <v/>
      </c>
      <c r="K1018" t="str">
        <f>IF(包装物料出入库明细!$D1018="","",包装物料出入库明细!$D1018)</f>
        <v/>
      </c>
      <c r="L1018">
        <f t="shared" si="416"/>
        <v>0</v>
      </c>
      <c r="M1018">
        <f t="shared" si="417"/>
        <v>9</v>
      </c>
      <c r="Q1018" t="str">
        <f>IF(周转筐出入库明细!$D1019="","",周转筐出入库明细!$D1019)</f>
        <v/>
      </c>
      <c r="R1018">
        <f t="shared" si="418"/>
        <v>0</v>
      </c>
      <c r="S1018">
        <f t="shared" si="419"/>
        <v>5</v>
      </c>
      <c r="W1018" t="str">
        <f>IF(周转筐出入库明细!$C1019="","",周转筐出入库明细!$C1019)</f>
        <v/>
      </c>
      <c r="X1018">
        <f t="shared" si="420"/>
        <v>0</v>
      </c>
      <c r="Y1018">
        <f t="shared" si="421"/>
        <v>12</v>
      </c>
      <c r="AC1018" t="str">
        <f>IF(客户自备加工筐明细!$C1018="","",客户自备加工筐明细!$C1018)</f>
        <v/>
      </c>
      <c r="AD1018">
        <f t="shared" si="422"/>
        <v>0</v>
      </c>
      <c r="AE1018">
        <f t="shared" si="423"/>
        <v>1</v>
      </c>
      <c r="AI1018" t="str">
        <f>IF(客户自备加工筐明细!$E1018="","",客户自备加工筐明细!$E1018)</f>
        <v/>
      </c>
      <c r="AJ1018">
        <f t="shared" si="424"/>
        <v>0</v>
      </c>
      <c r="AK1018">
        <f t="shared" si="425"/>
        <v>1</v>
      </c>
      <c r="BS1018" t="str">
        <f t="shared" si="431"/>
        <v/>
      </c>
      <c r="BT1018">
        <f t="shared" si="426"/>
        <v>0</v>
      </c>
      <c r="BU1018">
        <f t="shared" si="427"/>
        <v>18</v>
      </c>
      <c r="CP1018">
        <f>IF(包装物料出入库明细!$D1018="",0,1)</f>
        <v>0</v>
      </c>
      <c r="CQ1018">
        <f t="shared" si="428"/>
        <v>37</v>
      </c>
      <c r="CS1018" t="str">
        <f>IF(OR(周转筐出入库明细!$C1019="",周转筐出入库明细!$F1019&lt;&gt;"采购入库"),"",周转筐出入库明细!$C1019)</f>
        <v/>
      </c>
      <c r="CT1018">
        <f t="shared" si="429"/>
        <v>0</v>
      </c>
      <c r="CU1018">
        <f t="shared" si="430"/>
        <v>1</v>
      </c>
    </row>
    <row r="1019" spans="1:99">
      <c r="A1019" t="str">
        <f>IF(包装物料出入库明细!$E1019="","",包装物料出入库明细!$E1019)</f>
        <v/>
      </c>
      <c r="B1019">
        <f t="shared" si="414"/>
        <v>0</v>
      </c>
      <c r="C1019">
        <f t="shared" si="415"/>
        <v>7</v>
      </c>
      <c r="D1019" t="str">
        <f>IF(包装物料出入库明细!$E1019="","",包装物料出入库明细!$F1019)</f>
        <v/>
      </c>
      <c r="E1019" t="str">
        <f>IF(包装物料出入库明细!$E1019="","",包装物料出入库明细!$G1019)</f>
        <v/>
      </c>
      <c r="K1019" t="str">
        <f>IF(包装物料出入库明细!$D1019="","",包装物料出入库明细!$D1019)</f>
        <v/>
      </c>
      <c r="L1019">
        <f t="shared" si="416"/>
        <v>0</v>
      </c>
      <c r="M1019">
        <f t="shared" si="417"/>
        <v>9</v>
      </c>
      <c r="Q1019" t="str">
        <f>IF(周转筐出入库明细!$D1020="","",周转筐出入库明细!$D1020)</f>
        <v/>
      </c>
      <c r="R1019">
        <f t="shared" si="418"/>
        <v>0</v>
      </c>
      <c r="S1019">
        <f t="shared" si="419"/>
        <v>5</v>
      </c>
      <c r="W1019" t="str">
        <f>IF(周转筐出入库明细!$C1020="","",周转筐出入库明细!$C1020)</f>
        <v/>
      </c>
      <c r="X1019">
        <f t="shared" si="420"/>
        <v>0</v>
      </c>
      <c r="Y1019">
        <f t="shared" si="421"/>
        <v>12</v>
      </c>
      <c r="AC1019" t="str">
        <f>IF(客户自备加工筐明细!$C1019="","",客户自备加工筐明细!$C1019)</f>
        <v/>
      </c>
      <c r="AD1019">
        <f t="shared" si="422"/>
        <v>0</v>
      </c>
      <c r="AE1019">
        <f t="shared" si="423"/>
        <v>1</v>
      </c>
      <c r="AI1019" t="str">
        <f>IF(客户自备加工筐明细!$E1019="","",客户自备加工筐明细!$E1019)</f>
        <v/>
      </c>
      <c r="AJ1019">
        <f t="shared" si="424"/>
        <v>0</v>
      </c>
      <c r="AK1019">
        <f t="shared" si="425"/>
        <v>1</v>
      </c>
      <c r="BS1019" t="str">
        <f t="shared" si="431"/>
        <v/>
      </c>
      <c r="BT1019">
        <f t="shared" si="426"/>
        <v>0</v>
      </c>
      <c r="BU1019">
        <f t="shared" si="427"/>
        <v>18</v>
      </c>
      <c r="CP1019">
        <f>IF(包装物料出入库明细!$D1019="",0,1)</f>
        <v>0</v>
      </c>
      <c r="CQ1019">
        <f t="shared" si="428"/>
        <v>37</v>
      </c>
      <c r="CS1019" t="str">
        <f>IF(OR(周转筐出入库明细!$C1020="",周转筐出入库明细!$F1020&lt;&gt;"采购入库"),"",周转筐出入库明细!$C1020)</f>
        <v/>
      </c>
      <c r="CT1019">
        <f t="shared" si="429"/>
        <v>0</v>
      </c>
      <c r="CU1019">
        <f t="shared" si="430"/>
        <v>1</v>
      </c>
    </row>
    <row r="1020" spans="1:99">
      <c r="A1020" t="str">
        <f>IF(包装物料出入库明细!$E1020="","",包装物料出入库明细!$E1020)</f>
        <v/>
      </c>
      <c r="B1020">
        <f t="shared" si="414"/>
        <v>0</v>
      </c>
      <c r="C1020">
        <f t="shared" si="415"/>
        <v>7</v>
      </c>
      <c r="D1020" t="str">
        <f>IF(包装物料出入库明细!$E1020="","",包装物料出入库明细!$F1020)</f>
        <v/>
      </c>
      <c r="E1020" t="str">
        <f>IF(包装物料出入库明细!$E1020="","",包装物料出入库明细!$G1020)</f>
        <v/>
      </c>
      <c r="K1020" t="str">
        <f>IF(包装物料出入库明细!$D1020="","",包装物料出入库明细!$D1020)</f>
        <v/>
      </c>
      <c r="L1020">
        <f t="shared" si="416"/>
        <v>0</v>
      </c>
      <c r="M1020">
        <f t="shared" si="417"/>
        <v>9</v>
      </c>
      <c r="Q1020" t="str">
        <f>IF(周转筐出入库明细!$D1021="","",周转筐出入库明细!$D1021)</f>
        <v/>
      </c>
      <c r="R1020">
        <f t="shared" si="418"/>
        <v>0</v>
      </c>
      <c r="S1020">
        <f t="shared" si="419"/>
        <v>5</v>
      </c>
      <c r="W1020" t="str">
        <f>IF(周转筐出入库明细!$C1021="","",周转筐出入库明细!$C1021)</f>
        <v/>
      </c>
      <c r="X1020">
        <f t="shared" si="420"/>
        <v>0</v>
      </c>
      <c r="Y1020">
        <f t="shared" si="421"/>
        <v>12</v>
      </c>
      <c r="AC1020" t="str">
        <f>IF(客户自备加工筐明细!$C1020="","",客户自备加工筐明细!$C1020)</f>
        <v/>
      </c>
      <c r="AD1020">
        <f t="shared" si="422"/>
        <v>0</v>
      </c>
      <c r="AE1020">
        <f t="shared" si="423"/>
        <v>1</v>
      </c>
      <c r="AI1020" t="str">
        <f>IF(客户自备加工筐明细!$E1020="","",客户自备加工筐明细!$E1020)</f>
        <v/>
      </c>
      <c r="AJ1020">
        <f t="shared" si="424"/>
        <v>0</v>
      </c>
      <c r="AK1020">
        <f t="shared" si="425"/>
        <v>1</v>
      </c>
      <c r="BS1020" t="str">
        <f t="shared" si="431"/>
        <v/>
      </c>
      <c r="BT1020">
        <f t="shared" si="426"/>
        <v>0</v>
      </c>
      <c r="BU1020">
        <f t="shared" si="427"/>
        <v>18</v>
      </c>
      <c r="CP1020">
        <f>IF(包装物料出入库明细!$D1020="",0,1)</f>
        <v>0</v>
      </c>
      <c r="CQ1020">
        <f t="shared" si="428"/>
        <v>37</v>
      </c>
      <c r="CS1020" t="str">
        <f>IF(OR(周转筐出入库明细!$C1021="",周转筐出入库明细!$F1021&lt;&gt;"采购入库"),"",周转筐出入库明细!$C1021)</f>
        <v/>
      </c>
      <c r="CT1020">
        <f t="shared" si="429"/>
        <v>0</v>
      </c>
      <c r="CU1020">
        <f t="shared" si="430"/>
        <v>1</v>
      </c>
    </row>
    <row r="1021" spans="1:99">
      <c r="A1021" t="str">
        <f>IF(包装物料出入库明细!$E1021="","",包装物料出入库明细!$E1021)</f>
        <v/>
      </c>
      <c r="B1021">
        <f t="shared" si="414"/>
        <v>0</v>
      </c>
      <c r="C1021">
        <f t="shared" si="415"/>
        <v>7</v>
      </c>
      <c r="D1021" t="str">
        <f>IF(包装物料出入库明细!$E1021="","",包装物料出入库明细!$F1021)</f>
        <v/>
      </c>
      <c r="E1021" t="str">
        <f>IF(包装物料出入库明细!$E1021="","",包装物料出入库明细!$G1021)</f>
        <v/>
      </c>
      <c r="K1021" t="str">
        <f>IF(包装物料出入库明细!$D1021="","",包装物料出入库明细!$D1021)</f>
        <v/>
      </c>
      <c r="L1021">
        <f t="shared" si="416"/>
        <v>0</v>
      </c>
      <c r="M1021">
        <f t="shared" si="417"/>
        <v>9</v>
      </c>
      <c r="Q1021" t="str">
        <f>IF(周转筐出入库明细!$D1022="","",周转筐出入库明细!$D1022)</f>
        <v/>
      </c>
      <c r="R1021">
        <f t="shared" si="418"/>
        <v>0</v>
      </c>
      <c r="S1021">
        <f t="shared" si="419"/>
        <v>5</v>
      </c>
      <c r="W1021" t="str">
        <f>IF(周转筐出入库明细!$C1022="","",周转筐出入库明细!$C1022)</f>
        <v/>
      </c>
      <c r="X1021">
        <f t="shared" si="420"/>
        <v>0</v>
      </c>
      <c r="Y1021">
        <f t="shared" si="421"/>
        <v>12</v>
      </c>
      <c r="AC1021" t="str">
        <f>IF(客户自备加工筐明细!$C1021="","",客户自备加工筐明细!$C1021)</f>
        <v/>
      </c>
      <c r="AD1021">
        <f t="shared" si="422"/>
        <v>0</v>
      </c>
      <c r="AE1021">
        <f t="shared" si="423"/>
        <v>1</v>
      </c>
      <c r="AI1021" t="str">
        <f>IF(客户自备加工筐明细!$E1021="","",客户自备加工筐明细!$E1021)</f>
        <v/>
      </c>
      <c r="AJ1021">
        <f t="shared" si="424"/>
        <v>0</v>
      </c>
      <c r="AK1021">
        <f t="shared" si="425"/>
        <v>1</v>
      </c>
      <c r="BS1021" t="str">
        <f t="shared" si="431"/>
        <v/>
      </c>
      <c r="BT1021">
        <f t="shared" si="426"/>
        <v>0</v>
      </c>
      <c r="BU1021">
        <f t="shared" si="427"/>
        <v>18</v>
      </c>
      <c r="CP1021">
        <f>IF(包装物料出入库明细!$D1021="",0,1)</f>
        <v>0</v>
      </c>
      <c r="CQ1021">
        <f t="shared" si="428"/>
        <v>37</v>
      </c>
      <c r="CS1021" t="str">
        <f>IF(OR(周转筐出入库明细!$C1022="",周转筐出入库明细!$F1022&lt;&gt;"采购入库"),"",周转筐出入库明细!$C1022)</f>
        <v/>
      </c>
      <c r="CT1021">
        <f t="shared" si="429"/>
        <v>0</v>
      </c>
      <c r="CU1021">
        <f t="shared" si="430"/>
        <v>1</v>
      </c>
    </row>
    <row r="1022" spans="1:99">
      <c r="A1022" t="str">
        <f>IF(包装物料出入库明细!$E1022="","",包装物料出入库明细!$E1022)</f>
        <v/>
      </c>
      <c r="B1022">
        <f t="shared" si="414"/>
        <v>0</v>
      </c>
      <c r="C1022">
        <f t="shared" si="415"/>
        <v>7</v>
      </c>
      <c r="D1022" t="str">
        <f>IF(包装物料出入库明细!$E1022="","",包装物料出入库明细!$F1022)</f>
        <v/>
      </c>
      <c r="E1022" t="str">
        <f>IF(包装物料出入库明细!$E1022="","",包装物料出入库明细!$G1022)</f>
        <v/>
      </c>
      <c r="K1022" t="str">
        <f>IF(包装物料出入库明细!$D1022="","",包装物料出入库明细!$D1022)</f>
        <v/>
      </c>
      <c r="L1022">
        <f t="shared" si="416"/>
        <v>0</v>
      </c>
      <c r="M1022">
        <f t="shared" si="417"/>
        <v>9</v>
      </c>
      <c r="Q1022" t="str">
        <f>IF(周转筐出入库明细!$D1023="","",周转筐出入库明细!$D1023)</f>
        <v/>
      </c>
      <c r="R1022">
        <f t="shared" si="418"/>
        <v>0</v>
      </c>
      <c r="S1022">
        <f t="shared" si="419"/>
        <v>5</v>
      </c>
      <c r="W1022" t="str">
        <f>IF(周转筐出入库明细!$C1023="","",周转筐出入库明细!$C1023)</f>
        <v/>
      </c>
      <c r="X1022">
        <f t="shared" si="420"/>
        <v>0</v>
      </c>
      <c r="Y1022">
        <f t="shared" si="421"/>
        <v>12</v>
      </c>
      <c r="AC1022" t="str">
        <f>IF(客户自备加工筐明细!$C1022="","",客户自备加工筐明细!$C1022)</f>
        <v/>
      </c>
      <c r="AD1022">
        <f t="shared" si="422"/>
        <v>0</v>
      </c>
      <c r="AE1022">
        <f t="shared" si="423"/>
        <v>1</v>
      </c>
      <c r="AI1022" t="str">
        <f>IF(客户自备加工筐明细!$E1022="","",客户自备加工筐明细!$E1022)</f>
        <v/>
      </c>
      <c r="AJ1022">
        <f t="shared" si="424"/>
        <v>0</v>
      </c>
      <c r="AK1022">
        <f t="shared" si="425"/>
        <v>1</v>
      </c>
      <c r="BS1022" t="str">
        <f t="shared" si="431"/>
        <v/>
      </c>
      <c r="BT1022">
        <f t="shared" si="426"/>
        <v>0</v>
      </c>
      <c r="BU1022">
        <f t="shared" si="427"/>
        <v>18</v>
      </c>
      <c r="CP1022">
        <f>IF(包装物料出入库明细!$D1022="",0,1)</f>
        <v>0</v>
      </c>
      <c r="CQ1022">
        <f t="shared" si="428"/>
        <v>37</v>
      </c>
      <c r="CS1022" t="str">
        <f>IF(OR(周转筐出入库明细!$C1023="",周转筐出入库明细!$F1023&lt;&gt;"采购入库"),"",周转筐出入库明细!$C1023)</f>
        <v/>
      </c>
      <c r="CT1022">
        <f t="shared" si="429"/>
        <v>0</v>
      </c>
      <c r="CU1022">
        <f t="shared" si="430"/>
        <v>1</v>
      </c>
    </row>
    <row r="1023" spans="1:99">
      <c r="A1023" t="str">
        <f>IF(包装物料出入库明细!$E1023="","",包装物料出入库明细!$E1023)</f>
        <v/>
      </c>
      <c r="B1023">
        <f t="shared" si="414"/>
        <v>0</v>
      </c>
      <c r="C1023">
        <f t="shared" si="415"/>
        <v>7</v>
      </c>
      <c r="D1023" t="str">
        <f>IF(包装物料出入库明细!$E1023="","",包装物料出入库明细!$F1023)</f>
        <v/>
      </c>
      <c r="E1023" t="str">
        <f>IF(包装物料出入库明细!$E1023="","",包装物料出入库明细!$G1023)</f>
        <v/>
      </c>
      <c r="K1023" t="str">
        <f>IF(包装物料出入库明细!$D1023="","",包装物料出入库明细!$D1023)</f>
        <v/>
      </c>
      <c r="L1023">
        <f t="shared" si="416"/>
        <v>0</v>
      </c>
      <c r="M1023">
        <f t="shared" si="417"/>
        <v>9</v>
      </c>
      <c r="Q1023" t="str">
        <f>IF(周转筐出入库明细!$D1024="","",周转筐出入库明细!$D1024)</f>
        <v/>
      </c>
      <c r="R1023">
        <f t="shared" si="418"/>
        <v>0</v>
      </c>
      <c r="S1023">
        <f t="shared" si="419"/>
        <v>5</v>
      </c>
      <c r="W1023" t="str">
        <f>IF(周转筐出入库明细!$C1024="","",周转筐出入库明细!$C1024)</f>
        <v/>
      </c>
      <c r="X1023">
        <f t="shared" si="420"/>
        <v>0</v>
      </c>
      <c r="Y1023">
        <f t="shared" si="421"/>
        <v>12</v>
      </c>
      <c r="AC1023" t="str">
        <f>IF(客户自备加工筐明细!$C1023="","",客户自备加工筐明细!$C1023)</f>
        <v/>
      </c>
      <c r="AD1023">
        <f t="shared" si="422"/>
        <v>0</v>
      </c>
      <c r="AE1023">
        <f t="shared" si="423"/>
        <v>1</v>
      </c>
      <c r="AI1023" t="str">
        <f>IF(客户自备加工筐明细!$E1023="","",客户自备加工筐明细!$E1023)</f>
        <v/>
      </c>
      <c r="AJ1023">
        <f t="shared" si="424"/>
        <v>0</v>
      </c>
      <c r="AK1023">
        <f t="shared" si="425"/>
        <v>1</v>
      </c>
      <c r="BS1023" t="str">
        <f t="shared" si="431"/>
        <v/>
      </c>
      <c r="BT1023">
        <f t="shared" si="426"/>
        <v>0</v>
      </c>
      <c r="BU1023">
        <f t="shared" si="427"/>
        <v>18</v>
      </c>
      <c r="CP1023">
        <f>IF(包装物料出入库明细!$D1023="",0,1)</f>
        <v>0</v>
      </c>
      <c r="CQ1023">
        <f t="shared" si="428"/>
        <v>37</v>
      </c>
      <c r="CS1023" t="str">
        <f>IF(OR(周转筐出入库明细!$C1024="",周转筐出入库明细!$F1024&lt;&gt;"采购入库"),"",周转筐出入库明细!$C1024)</f>
        <v/>
      </c>
      <c r="CT1023">
        <f t="shared" si="429"/>
        <v>0</v>
      </c>
      <c r="CU1023">
        <f t="shared" si="430"/>
        <v>1</v>
      </c>
    </row>
    <row r="1024" spans="1:99">
      <c r="A1024" t="str">
        <f>IF(包装物料出入库明细!$E1024="","",包装物料出入库明细!$E1024)</f>
        <v/>
      </c>
      <c r="B1024">
        <f t="shared" si="414"/>
        <v>0</v>
      </c>
      <c r="C1024">
        <f t="shared" si="415"/>
        <v>7</v>
      </c>
      <c r="D1024" t="str">
        <f>IF(包装物料出入库明细!$E1024="","",包装物料出入库明细!$F1024)</f>
        <v/>
      </c>
      <c r="E1024" t="str">
        <f>IF(包装物料出入库明细!$E1024="","",包装物料出入库明细!$G1024)</f>
        <v/>
      </c>
      <c r="K1024" t="str">
        <f>IF(包装物料出入库明细!$D1024="","",包装物料出入库明细!$D1024)</f>
        <v/>
      </c>
      <c r="L1024">
        <f t="shared" si="416"/>
        <v>0</v>
      </c>
      <c r="M1024">
        <f t="shared" si="417"/>
        <v>9</v>
      </c>
      <c r="Q1024" t="str">
        <f>IF(周转筐出入库明细!$D1025="","",周转筐出入库明细!$D1025)</f>
        <v/>
      </c>
      <c r="R1024">
        <f t="shared" si="418"/>
        <v>0</v>
      </c>
      <c r="S1024">
        <f t="shared" si="419"/>
        <v>5</v>
      </c>
      <c r="W1024" t="str">
        <f>IF(周转筐出入库明细!$C1025="","",周转筐出入库明细!$C1025)</f>
        <v/>
      </c>
      <c r="X1024">
        <f t="shared" si="420"/>
        <v>0</v>
      </c>
      <c r="Y1024">
        <f t="shared" si="421"/>
        <v>12</v>
      </c>
      <c r="AC1024" t="str">
        <f>IF(客户自备加工筐明细!$C1024="","",客户自备加工筐明细!$C1024)</f>
        <v/>
      </c>
      <c r="AD1024">
        <f t="shared" si="422"/>
        <v>0</v>
      </c>
      <c r="AE1024">
        <f t="shared" si="423"/>
        <v>1</v>
      </c>
      <c r="AI1024" t="str">
        <f>IF(客户自备加工筐明细!$E1024="","",客户自备加工筐明细!$E1024)</f>
        <v/>
      </c>
      <c r="AJ1024">
        <f t="shared" si="424"/>
        <v>0</v>
      </c>
      <c r="AK1024">
        <f t="shared" si="425"/>
        <v>1</v>
      </c>
      <c r="BS1024" t="str">
        <f t="shared" si="431"/>
        <v/>
      </c>
      <c r="BT1024">
        <f t="shared" si="426"/>
        <v>0</v>
      </c>
      <c r="BU1024">
        <f t="shared" si="427"/>
        <v>18</v>
      </c>
      <c r="CP1024">
        <f>IF(包装物料出入库明细!$D1024="",0,1)</f>
        <v>0</v>
      </c>
      <c r="CQ1024">
        <f t="shared" si="428"/>
        <v>37</v>
      </c>
      <c r="CS1024" t="str">
        <f>IF(OR(周转筐出入库明细!$C1025="",周转筐出入库明细!$F1025&lt;&gt;"采购入库"),"",周转筐出入库明细!$C1025)</f>
        <v/>
      </c>
      <c r="CT1024">
        <f t="shared" si="429"/>
        <v>0</v>
      </c>
      <c r="CU1024">
        <f t="shared" si="430"/>
        <v>1</v>
      </c>
    </row>
    <row r="1025" spans="1:99">
      <c r="A1025" t="str">
        <f>IF(包装物料出入库明细!$E1025="","",包装物料出入库明细!$E1025)</f>
        <v/>
      </c>
      <c r="B1025">
        <f t="shared" si="414"/>
        <v>0</v>
      </c>
      <c r="C1025">
        <f t="shared" si="415"/>
        <v>7</v>
      </c>
      <c r="D1025" t="str">
        <f>IF(包装物料出入库明细!$E1025="","",包装物料出入库明细!$F1025)</f>
        <v/>
      </c>
      <c r="E1025" t="str">
        <f>IF(包装物料出入库明细!$E1025="","",包装物料出入库明细!$G1025)</f>
        <v/>
      </c>
      <c r="K1025" t="str">
        <f>IF(包装物料出入库明细!$D1025="","",包装物料出入库明细!$D1025)</f>
        <v/>
      </c>
      <c r="L1025">
        <f t="shared" si="416"/>
        <v>0</v>
      </c>
      <c r="M1025">
        <f t="shared" si="417"/>
        <v>9</v>
      </c>
      <c r="Q1025" t="str">
        <f>IF(周转筐出入库明细!$D1026="","",周转筐出入库明细!$D1026)</f>
        <v/>
      </c>
      <c r="R1025">
        <f t="shared" si="418"/>
        <v>0</v>
      </c>
      <c r="S1025">
        <f t="shared" si="419"/>
        <v>5</v>
      </c>
      <c r="W1025" t="str">
        <f>IF(周转筐出入库明细!$C1026="","",周转筐出入库明细!$C1026)</f>
        <v/>
      </c>
      <c r="X1025">
        <f t="shared" si="420"/>
        <v>0</v>
      </c>
      <c r="Y1025">
        <f t="shared" si="421"/>
        <v>12</v>
      </c>
      <c r="AC1025" t="str">
        <f>IF(客户自备加工筐明细!$C1025="","",客户自备加工筐明细!$C1025)</f>
        <v/>
      </c>
      <c r="AD1025">
        <f t="shared" si="422"/>
        <v>0</v>
      </c>
      <c r="AE1025">
        <f t="shared" si="423"/>
        <v>1</v>
      </c>
      <c r="AI1025" t="str">
        <f>IF(客户自备加工筐明细!$E1025="","",客户自备加工筐明细!$E1025)</f>
        <v/>
      </c>
      <c r="AJ1025">
        <f t="shared" si="424"/>
        <v>0</v>
      </c>
      <c r="AK1025">
        <f t="shared" si="425"/>
        <v>1</v>
      </c>
      <c r="BS1025" t="str">
        <f t="shared" si="431"/>
        <v/>
      </c>
      <c r="BT1025">
        <f t="shared" si="426"/>
        <v>0</v>
      </c>
      <c r="BU1025">
        <f t="shared" si="427"/>
        <v>18</v>
      </c>
      <c r="CP1025">
        <f>IF(包装物料出入库明细!$D1025="",0,1)</f>
        <v>0</v>
      </c>
      <c r="CQ1025">
        <f t="shared" si="428"/>
        <v>37</v>
      </c>
      <c r="CS1025" t="str">
        <f>IF(OR(周转筐出入库明细!$C1026="",周转筐出入库明细!$F1026&lt;&gt;"采购入库"),"",周转筐出入库明细!$C1026)</f>
        <v/>
      </c>
      <c r="CT1025">
        <f t="shared" si="429"/>
        <v>0</v>
      </c>
      <c r="CU1025">
        <f t="shared" si="430"/>
        <v>1</v>
      </c>
    </row>
    <row r="1026" spans="1:99">
      <c r="A1026" t="str">
        <f>IF(包装物料出入库明细!$E1026="","",包装物料出入库明细!$E1026)</f>
        <v/>
      </c>
      <c r="B1026">
        <f t="shared" si="414"/>
        <v>0</v>
      </c>
      <c r="C1026">
        <f t="shared" si="415"/>
        <v>7</v>
      </c>
      <c r="D1026" t="str">
        <f>IF(包装物料出入库明细!$E1026="","",包装物料出入库明细!$F1026)</f>
        <v/>
      </c>
      <c r="E1026" t="str">
        <f>IF(包装物料出入库明细!$E1026="","",包装物料出入库明细!$G1026)</f>
        <v/>
      </c>
      <c r="K1026" t="str">
        <f>IF(包装物料出入库明细!$D1026="","",包装物料出入库明细!$D1026)</f>
        <v/>
      </c>
      <c r="L1026">
        <f t="shared" si="416"/>
        <v>0</v>
      </c>
      <c r="M1026">
        <f t="shared" si="417"/>
        <v>9</v>
      </c>
      <c r="Q1026" t="str">
        <f>IF(周转筐出入库明细!$D1027="","",周转筐出入库明细!$D1027)</f>
        <v/>
      </c>
      <c r="R1026">
        <f t="shared" si="418"/>
        <v>0</v>
      </c>
      <c r="S1026">
        <f t="shared" si="419"/>
        <v>5</v>
      </c>
      <c r="W1026" t="str">
        <f>IF(周转筐出入库明细!$C1027="","",周转筐出入库明细!$C1027)</f>
        <v/>
      </c>
      <c r="X1026">
        <f t="shared" si="420"/>
        <v>0</v>
      </c>
      <c r="Y1026">
        <f t="shared" si="421"/>
        <v>12</v>
      </c>
      <c r="AC1026" t="str">
        <f>IF(客户自备加工筐明细!$C1026="","",客户自备加工筐明细!$C1026)</f>
        <v/>
      </c>
      <c r="AD1026">
        <f t="shared" si="422"/>
        <v>0</v>
      </c>
      <c r="AE1026">
        <f t="shared" si="423"/>
        <v>1</v>
      </c>
      <c r="AI1026" t="str">
        <f>IF(客户自备加工筐明细!$E1026="","",客户自备加工筐明细!$E1026)</f>
        <v/>
      </c>
      <c r="AJ1026">
        <f t="shared" si="424"/>
        <v>0</v>
      </c>
      <c r="AK1026">
        <f t="shared" si="425"/>
        <v>1</v>
      </c>
      <c r="BS1026" t="str">
        <f t="shared" si="431"/>
        <v/>
      </c>
      <c r="BT1026">
        <f t="shared" si="426"/>
        <v>0</v>
      </c>
      <c r="BU1026">
        <f t="shared" si="427"/>
        <v>18</v>
      </c>
      <c r="CP1026">
        <f>IF(包装物料出入库明细!$D1026="",0,1)</f>
        <v>0</v>
      </c>
      <c r="CQ1026">
        <f t="shared" si="428"/>
        <v>37</v>
      </c>
      <c r="CS1026" t="str">
        <f>IF(OR(周转筐出入库明细!$C1027="",周转筐出入库明细!$F1027&lt;&gt;"采购入库"),"",周转筐出入库明细!$C1027)</f>
        <v/>
      </c>
      <c r="CT1026">
        <f t="shared" si="429"/>
        <v>0</v>
      </c>
      <c r="CU1026">
        <f t="shared" si="430"/>
        <v>1</v>
      </c>
    </row>
    <row r="1027" spans="1:99">
      <c r="A1027" t="str">
        <f>IF(包装物料出入库明细!$E1027="","",包装物料出入库明细!$E1027)</f>
        <v/>
      </c>
      <c r="B1027">
        <f t="shared" si="414"/>
        <v>0</v>
      </c>
      <c r="C1027">
        <f t="shared" si="415"/>
        <v>7</v>
      </c>
      <c r="D1027" t="str">
        <f>IF(包装物料出入库明细!$E1027="","",包装物料出入库明细!$F1027)</f>
        <v/>
      </c>
      <c r="E1027" t="str">
        <f>IF(包装物料出入库明细!$E1027="","",包装物料出入库明细!$G1027)</f>
        <v/>
      </c>
      <c r="K1027" t="str">
        <f>IF(包装物料出入库明细!$D1027="","",包装物料出入库明细!$D1027)</f>
        <v/>
      </c>
      <c r="L1027">
        <f t="shared" si="416"/>
        <v>0</v>
      </c>
      <c r="M1027">
        <f t="shared" si="417"/>
        <v>9</v>
      </c>
      <c r="Q1027" t="str">
        <f>IF(周转筐出入库明细!$D1028="","",周转筐出入库明细!$D1028)</f>
        <v/>
      </c>
      <c r="R1027">
        <f t="shared" si="418"/>
        <v>0</v>
      </c>
      <c r="S1027">
        <f t="shared" si="419"/>
        <v>5</v>
      </c>
      <c r="W1027" t="str">
        <f>IF(周转筐出入库明细!$C1028="","",周转筐出入库明细!$C1028)</f>
        <v/>
      </c>
      <c r="X1027">
        <f t="shared" si="420"/>
        <v>0</v>
      </c>
      <c r="Y1027">
        <f t="shared" si="421"/>
        <v>12</v>
      </c>
      <c r="AC1027" t="str">
        <f>IF(客户自备加工筐明细!$C1027="","",客户自备加工筐明细!$C1027)</f>
        <v/>
      </c>
      <c r="AD1027">
        <f t="shared" si="422"/>
        <v>0</v>
      </c>
      <c r="AE1027">
        <f t="shared" si="423"/>
        <v>1</v>
      </c>
      <c r="AI1027" t="str">
        <f>IF(客户自备加工筐明细!$E1027="","",客户自备加工筐明细!$E1027)</f>
        <v/>
      </c>
      <c r="AJ1027">
        <f t="shared" si="424"/>
        <v>0</v>
      </c>
      <c r="AK1027">
        <f t="shared" si="425"/>
        <v>1</v>
      </c>
      <c r="BS1027" t="str">
        <f t="shared" si="431"/>
        <v/>
      </c>
      <c r="BT1027">
        <f t="shared" si="426"/>
        <v>0</v>
      </c>
      <c r="BU1027">
        <f t="shared" si="427"/>
        <v>18</v>
      </c>
      <c r="CP1027">
        <f>IF(包装物料出入库明细!$D1027="",0,1)</f>
        <v>0</v>
      </c>
      <c r="CQ1027">
        <f t="shared" si="428"/>
        <v>37</v>
      </c>
      <c r="CS1027" t="str">
        <f>IF(OR(周转筐出入库明细!$C1028="",周转筐出入库明细!$F1028&lt;&gt;"采购入库"),"",周转筐出入库明细!$C1028)</f>
        <v/>
      </c>
      <c r="CT1027">
        <f t="shared" si="429"/>
        <v>0</v>
      </c>
      <c r="CU1027">
        <f t="shared" si="430"/>
        <v>1</v>
      </c>
    </row>
    <row r="1028" spans="1:99">
      <c r="A1028" t="str">
        <f>IF(包装物料出入库明细!$E1028="","",包装物料出入库明细!$E1028)</f>
        <v/>
      </c>
      <c r="B1028">
        <f t="shared" ref="B1028:B1091" si="432">IF(A1028="",0,IF(MATCH(A1028,$A$4:$A$2003,0)=ROW()-3,1,0))</f>
        <v>0</v>
      </c>
      <c r="C1028">
        <f t="shared" ref="C1028:C1091" si="433">N(C1027)+B1028</f>
        <v>7</v>
      </c>
      <c r="D1028" t="str">
        <f>IF(包装物料出入库明细!$E1028="","",包装物料出入库明细!$F1028)</f>
        <v/>
      </c>
      <c r="E1028" t="str">
        <f>IF(包装物料出入库明细!$E1028="","",包装物料出入库明细!$G1028)</f>
        <v/>
      </c>
      <c r="K1028" t="str">
        <f>IF(包装物料出入库明细!$D1028="","",包装物料出入库明细!$D1028)</f>
        <v/>
      </c>
      <c r="L1028">
        <f t="shared" ref="L1028:L1091" si="434">IF(K1028="",0,IF(MATCH(K1028,$K$4:$K$2003,0)=ROW()-3,1,0))</f>
        <v>0</v>
      </c>
      <c r="M1028">
        <f t="shared" ref="M1028:M1091" si="435">N(M1027)+L1028</f>
        <v>9</v>
      </c>
      <c r="Q1028" t="str">
        <f>IF(周转筐出入库明细!$D1029="","",周转筐出入库明细!$D1029)</f>
        <v/>
      </c>
      <c r="R1028">
        <f t="shared" ref="R1028:R1091" si="436">IF(Q1028="",0,IF(MATCH(Q1028,$Q$4:$Q$2003,0)=ROW()-3,1,0))</f>
        <v>0</v>
      </c>
      <c r="S1028">
        <f t="shared" ref="S1028:S1091" si="437">N(S1027)+R1028</f>
        <v>5</v>
      </c>
      <c r="W1028" t="str">
        <f>IF(周转筐出入库明细!$C1029="","",周转筐出入库明细!$C1029)</f>
        <v/>
      </c>
      <c r="X1028">
        <f t="shared" ref="X1028:X1091" si="438">IF(W1028="",0,IF(MATCH(W1028,$W$4:$W$2003,0)=ROW()-3,1,0))</f>
        <v>0</v>
      </c>
      <c r="Y1028">
        <f t="shared" ref="Y1028:Y1091" si="439">N(Y1027)+X1028</f>
        <v>12</v>
      </c>
      <c r="AC1028" t="str">
        <f>IF(客户自备加工筐明细!$C1028="","",客户自备加工筐明细!$C1028)</f>
        <v/>
      </c>
      <c r="AD1028">
        <f t="shared" ref="AD1028:AD1091" si="440">IF(AC1028="",0,IF(MATCH(AC1028,$AC$4:$AC$1203,0)=ROW()-3,1,0))</f>
        <v>0</v>
      </c>
      <c r="AE1028">
        <f t="shared" ref="AE1028:AE1091" si="441">N(AE1027)+AD1028</f>
        <v>1</v>
      </c>
      <c r="AI1028" t="str">
        <f>IF(客户自备加工筐明细!$E1028="","",客户自备加工筐明细!$E1028)</f>
        <v/>
      </c>
      <c r="AJ1028">
        <f t="shared" ref="AJ1028:AJ1091" si="442">IF(AI1028="",0,IF(MATCH(AI1028,$AI$4:$AI$1503,0)=ROW()-3,1,0))</f>
        <v>0</v>
      </c>
      <c r="AK1028">
        <f t="shared" ref="AK1028:AK1091" si="443">N(AK1027)+AJ1028</f>
        <v>1</v>
      </c>
      <c r="BS1028" t="str">
        <f t="shared" si="431"/>
        <v/>
      </c>
      <c r="BT1028">
        <f t="shared" ref="BT1028:BT1091" si="444">IF(BS1028="",0,IF(MATCH(BS1028,$BS$4:$BS$1103,0)=ROW()-3,1,0))</f>
        <v>0</v>
      </c>
      <c r="BU1028">
        <f t="shared" ref="BU1028:BU1091" si="445">N(BU1027)+BT1028</f>
        <v>18</v>
      </c>
      <c r="CP1028">
        <f>IF(包装物料出入库明细!$D1028="",0,1)</f>
        <v>0</v>
      </c>
      <c r="CQ1028">
        <f t="shared" ref="CQ1028:CQ1091" si="446">N(CQ1027)+$CP1028</f>
        <v>37</v>
      </c>
      <c r="CS1028" t="str">
        <f>IF(OR(周转筐出入库明细!$C1029="",周转筐出入库明细!$F1029&lt;&gt;"采购入库"),"",周转筐出入库明细!$C1029)</f>
        <v/>
      </c>
      <c r="CT1028">
        <f t="shared" ref="CT1028:CT1091" si="447">IF(CS1028="",0,IF(MATCH(CS1028,$CS$4:$CS$2003,0)=ROW()-3,1,0))</f>
        <v>0</v>
      </c>
      <c r="CU1028">
        <f t="shared" ref="CU1028:CU1091" si="448">N(CU1027)+CT1028</f>
        <v>1</v>
      </c>
    </row>
    <row r="1029" spans="1:99">
      <c r="A1029" t="str">
        <f>IF(包装物料出入库明细!$E1029="","",包装物料出入库明细!$E1029)</f>
        <v/>
      </c>
      <c r="B1029">
        <f t="shared" si="432"/>
        <v>0</v>
      </c>
      <c r="C1029">
        <f t="shared" si="433"/>
        <v>7</v>
      </c>
      <c r="D1029" t="str">
        <f>IF(包装物料出入库明细!$E1029="","",包装物料出入库明细!$F1029)</f>
        <v/>
      </c>
      <c r="E1029" t="str">
        <f>IF(包装物料出入库明细!$E1029="","",包装物料出入库明细!$G1029)</f>
        <v/>
      </c>
      <c r="K1029" t="str">
        <f>IF(包装物料出入库明细!$D1029="","",包装物料出入库明细!$D1029)</f>
        <v/>
      </c>
      <c r="L1029">
        <f t="shared" si="434"/>
        <v>0</v>
      </c>
      <c r="M1029">
        <f t="shared" si="435"/>
        <v>9</v>
      </c>
      <c r="Q1029" t="str">
        <f>IF(周转筐出入库明细!$D1030="","",周转筐出入库明细!$D1030)</f>
        <v/>
      </c>
      <c r="R1029">
        <f t="shared" si="436"/>
        <v>0</v>
      </c>
      <c r="S1029">
        <f t="shared" si="437"/>
        <v>5</v>
      </c>
      <c r="W1029" t="str">
        <f>IF(周转筐出入库明细!$C1030="","",周转筐出入库明细!$C1030)</f>
        <v/>
      </c>
      <c r="X1029">
        <f t="shared" si="438"/>
        <v>0</v>
      </c>
      <c r="Y1029">
        <f t="shared" si="439"/>
        <v>12</v>
      </c>
      <c r="AC1029" t="str">
        <f>IF(客户自备加工筐明细!$C1029="","",客户自备加工筐明细!$C1029)</f>
        <v/>
      </c>
      <c r="AD1029">
        <f t="shared" si="440"/>
        <v>0</v>
      </c>
      <c r="AE1029">
        <f t="shared" si="441"/>
        <v>1</v>
      </c>
      <c r="AI1029" t="str">
        <f>IF(客户自备加工筐明细!$E1029="","",客户自备加工筐明细!$E1029)</f>
        <v/>
      </c>
      <c r="AJ1029">
        <f t="shared" si="442"/>
        <v>0</v>
      </c>
      <c r="AK1029">
        <f t="shared" si="443"/>
        <v>1</v>
      </c>
      <c r="BS1029" t="str">
        <f t="shared" si="431"/>
        <v/>
      </c>
      <c r="BT1029">
        <f t="shared" si="444"/>
        <v>0</v>
      </c>
      <c r="BU1029">
        <f t="shared" si="445"/>
        <v>18</v>
      </c>
      <c r="CP1029">
        <f>IF(包装物料出入库明细!$D1029="",0,1)</f>
        <v>0</v>
      </c>
      <c r="CQ1029">
        <f t="shared" si="446"/>
        <v>37</v>
      </c>
      <c r="CS1029" t="str">
        <f>IF(OR(周转筐出入库明细!$C1030="",周转筐出入库明细!$F1030&lt;&gt;"采购入库"),"",周转筐出入库明细!$C1030)</f>
        <v/>
      </c>
      <c r="CT1029">
        <f t="shared" si="447"/>
        <v>0</v>
      </c>
      <c r="CU1029">
        <f t="shared" si="448"/>
        <v>1</v>
      </c>
    </row>
    <row r="1030" spans="1:99">
      <c r="A1030" t="str">
        <f>IF(包装物料出入库明细!$E1030="","",包装物料出入库明细!$E1030)</f>
        <v/>
      </c>
      <c r="B1030">
        <f t="shared" si="432"/>
        <v>0</v>
      </c>
      <c r="C1030">
        <f t="shared" si="433"/>
        <v>7</v>
      </c>
      <c r="D1030" t="str">
        <f>IF(包装物料出入库明细!$E1030="","",包装物料出入库明细!$F1030)</f>
        <v/>
      </c>
      <c r="E1030" t="str">
        <f>IF(包装物料出入库明细!$E1030="","",包装物料出入库明细!$G1030)</f>
        <v/>
      </c>
      <c r="K1030" t="str">
        <f>IF(包装物料出入库明细!$D1030="","",包装物料出入库明细!$D1030)</f>
        <v/>
      </c>
      <c r="L1030">
        <f t="shared" si="434"/>
        <v>0</v>
      </c>
      <c r="M1030">
        <f t="shared" si="435"/>
        <v>9</v>
      </c>
      <c r="Q1030" t="str">
        <f>IF(周转筐出入库明细!$D1031="","",周转筐出入库明细!$D1031)</f>
        <v/>
      </c>
      <c r="R1030">
        <f t="shared" si="436"/>
        <v>0</v>
      </c>
      <c r="S1030">
        <f t="shared" si="437"/>
        <v>5</v>
      </c>
      <c r="W1030" t="str">
        <f>IF(周转筐出入库明细!$C1031="","",周转筐出入库明细!$C1031)</f>
        <v/>
      </c>
      <c r="X1030">
        <f t="shared" si="438"/>
        <v>0</v>
      </c>
      <c r="Y1030">
        <f t="shared" si="439"/>
        <v>12</v>
      </c>
      <c r="AC1030" t="str">
        <f>IF(客户自备加工筐明细!$C1030="","",客户自备加工筐明细!$C1030)</f>
        <v/>
      </c>
      <c r="AD1030">
        <f t="shared" si="440"/>
        <v>0</v>
      </c>
      <c r="AE1030">
        <f t="shared" si="441"/>
        <v>1</v>
      </c>
      <c r="AI1030" t="str">
        <f>IF(客户自备加工筐明细!$E1030="","",客户自备加工筐明细!$E1030)</f>
        <v/>
      </c>
      <c r="AJ1030">
        <f t="shared" si="442"/>
        <v>0</v>
      </c>
      <c r="AK1030">
        <f t="shared" si="443"/>
        <v>1</v>
      </c>
      <c r="BS1030" t="str">
        <f t="shared" si="431"/>
        <v/>
      </c>
      <c r="BT1030">
        <f t="shared" si="444"/>
        <v>0</v>
      </c>
      <c r="BU1030">
        <f t="shared" si="445"/>
        <v>18</v>
      </c>
      <c r="CP1030">
        <f>IF(包装物料出入库明细!$D1030="",0,1)</f>
        <v>0</v>
      </c>
      <c r="CQ1030">
        <f t="shared" si="446"/>
        <v>37</v>
      </c>
      <c r="CS1030" t="str">
        <f>IF(OR(周转筐出入库明细!$C1031="",周转筐出入库明细!$F1031&lt;&gt;"采购入库"),"",周转筐出入库明细!$C1031)</f>
        <v/>
      </c>
      <c r="CT1030">
        <f t="shared" si="447"/>
        <v>0</v>
      </c>
      <c r="CU1030">
        <f t="shared" si="448"/>
        <v>1</v>
      </c>
    </row>
    <row r="1031" spans="1:99">
      <c r="A1031" t="str">
        <f>IF(包装物料出入库明细!$E1031="","",包装物料出入库明细!$E1031)</f>
        <v/>
      </c>
      <c r="B1031">
        <f t="shared" si="432"/>
        <v>0</v>
      </c>
      <c r="C1031">
        <f t="shared" si="433"/>
        <v>7</v>
      </c>
      <c r="D1031" t="str">
        <f>IF(包装物料出入库明细!$E1031="","",包装物料出入库明细!$F1031)</f>
        <v/>
      </c>
      <c r="E1031" t="str">
        <f>IF(包装物料出入库明细!$E1031="","",包装物料出入库明细!$G1031)</f>
        <v/>
      </c>
      <c r="K1031" t="str">
        <f>IF(包装物料出入库明细!$D1031="","",包装物料出入库明细!$D1031)</f>
        <v/>
      </c>
      <c r="L1031">
        <f t="shared" si="434"/>
        <v>0</v>
      </c>
      <c r="M1031">
        <f t="shared" si="435"/>
        <v>9</v>
      </c>
      <c r="Q1031" t="str">
        <f>IF(周转筐出入库明细!$D1032="","",周转筐出入库明细!$D1032)</f>
        <v/>
      </c>
      <c r="R1031">
        <f t="shared" si="436"/>
        <v>0</v>
      </c>
      <c r="S1031">
        <f t="shared" si="437"/>
        <v>5</v>
      </c>
      <c r="W1031" t="str">
        <f>IF(周转筐出入库明细!$C1032="","",周转筐出入库明细!$C1032)</f>
        <v/>
      </c>
      <c r="X1031">
        <f t="shared" si="438"/>
        <v>0</v>
      </c>
      <c r="Y1031">
        <f t="shared" si="439"/>
        <v>12</v>
      </c>
      <c r="AC1031" t="str">
        <f>IF(客户自备加工筐明细!$C1031="","",客户自备加工筐明细!$C1031)</f>
        <v/>
      </c>
      <c r="AD1031">
        <f t="shared" si="440"/>
        <v>0</v>
      </c>
      <c r="AE1031">
        <f t="shared" si="441"/>
        <v>1</v>
      </c>
      <c r="AI1031" t="str">
        <f>IF(客户自备加工筐明细!$E1031="","",客户自备加工筐明细!$E1031)</f>
        <v/>
      </c>
      <c r="AJ1031">
        <f t="shared" si="442"/>
        <v>0</v>
      </c>
      <c r="AK1031">
        <f t="shared" si="443"/>
        <v>1</v>
      </c>
      <c r="BS1031" t="str">
        <f t="shared" si="431"/>
        <v/>
      </c>
      <c r="BT1031">
        <f t="shared" si="444"/>
        <v>0</v>
      </c>
      <c r="BU1031">
        <f t="shared" si="445"/>
        <v>18</v>
      </c>
      <c r="CP1031">
        <f>IF(包装物料出入库明细!$D1031="",0,1)</f>
        <v>0</v>
      </c>
      <c r="CQ1031">
        <f t="shared" si="446"/>
        <v>37</v>
      </c>
      <c r="CS1031" t="str">
        <f>IF(OR(周转筐出入库明细!$C1032="",周转筐出入库明细!$F1032&lt;&gt;"采购入库"),"",周转筐出入库明细!$C1032)</f>
        <v/>
      </c>
      <c r="CT1031">
        <f t="shared" si="447"/>
        <v>0</v>
      </c>
      <c r="CU1031">
        <f t="shared" si="448"/>
        <v>1</v>
      </c>
    </row>
    <row r="1032" spans="1:99">
      <c r="A1032" t="str">
        <f>IF(包装物料出入库明细!$E1032="","",包装物料出入库明细!$E1032)</f>
        <v/>
      </c>
      <c r="B1032">
        <f t="shared" si="432"/>
        <v>0</v>
      </c>
      <c r="C1032">
        <f t="shared" si="433"/>
        <v>7</v>
      </c>
      <c r="D1032" t="str">
        <f>IF(包装物料出入库明细!$E1032="","",包装物料出入库明细!$F1032)</f>
        <v/>
      </c>
      <c r="E1032" t="str">
        <f>IF(包装物料出入库明细!$E1032="","",包装物料出入库明细!$G1032)</f>
        <v/>
      </c>
      <c r="K1032" t="str">
        <f>IF(包装物料出入库明细!$D1032="","",包装物料出入库明细!$D1032)</f>
        <v/>
      </c>
      <c r="L1032">
        <f t="shared" si="434"/>
        <v>0</v>
      </c>
      <c r="M1032">
        <f t="shared" si="435"/>
        <v>9</v>
      </c>
      <c r="Q1032" t="str">
        <f>IF(周转筐出入库明细!$D1033="","",周转筐出入库明细!$D1033)</f>
        <v/>
      </c>
      <c r="R1032">
        <f t="shared" si="436"/>
        <v>0</v>
      </c>
      <c r="S1032">
        <f t="shared" si="437"/>
        <v>5</v>
      </c>
      <c r="W1032" t="str">
        <f>IF(周转筐出入库明细!$C1033="","",周转筐出入库明细!$C1033)</f>
        <v/>
      </c>
      <c r="X1032">
        <f t="shared" si="438"/>
        <v>0</v>
      </c>
      <c r="Y1032">
        <f t="shared" si="439"/>
        <v>12</v>
      </c>
      <c r="AC1032" t="str">
        <f>IF(客户自备加工筐明细!$C1032="","",客户自备加工筐明细!$C1032)</f>
        <v/>
      </c>
      <c r="AD1032">
        <f t="shared" si="440"/>
        <v>0</v>
      </c>
      <c r="AE1032">
        <f t="shared" si="441"/>
        <v>1</v>
      </c>
      <c r="AI1032" t="str">
        <f>IF(客户自备加工筐明细!$E1032="","",客户自备加工筐明细!$E1032)</f>
        <v/>
      </c>
      <c r="AJ1032">
        <f t="shared" si="442"/>
        <v>0</v>
      </c>
      <c r="AK1032">
        <f t="shared" si="443"/>
        <v>1</v>
      </c>
      <c r="BS1032" t="str">
        <f t="shared" si="431"/>
        <v/>
      </c>
      <c r="BT1032">
        <f t="shared" si="444"/>
        <v>0</v>
      </c>
      <c r="BU1032">
        <f t="shared" si="445"/>
        <v>18</v>
      </c>
      <c r="CP1032">
        <f>IF(包装物料出入库明细!$D1032="",0,1)</f>
        <v>0</v>
      </c>
      <c r="CQ1032">
        <f t="shared" si="446"/>
        <v>37</v>
      </c>
      <c r="CS1032" t="str">
        <f>IF(OR(周转筐出入库明细!$C1033="",周转筐出入库明细!$F1033&lt;&gt;"采购入库"),"",周转筐出入库明细!$C1033)</f>
        <v/>
      </c>
      <c r="CT1032">
        <f t="shared" si="447"/>
        <v>0</v>
      </c>
      <c r="CU1032">
        <f t="shared" si="448"/>
        <v>1</v>
      </c>
    </row>
    <row r="1033" spans="1:99">
      <c r="A1033" t="str">
        <f>IF(包装物料出入库明细!$E1033="","",包装物料出入库明细!$E1033)</f>
        <v/>
      </c>
      <c r="B1033">
        <f t="shared" si="432"/>
        <v>0</v>
      </c>
      <c r="C1033">
        <f t="shared" si="433"/>
        <v>7</v>
      </c>
      <c r="D1033" t="str">
        <f>IF(包装物料出入库明细!$E1033="","",包装物料出入库明细!$F1033)</f>
        <v/>
      </c>
      <c r="E1033" t="str">
        <f>IF(包装物料出入库明细!$E1033="","",包装物料出入库明细!$G1033)</f>
        <v/>
      </c>
      <c r="K1033" t="str">
        <f>IF(包装物料出入库明细!$D1033="","",包装物料出入库明细!$D1033)</f>
        <v/>
      </c>
      <c r="L1033">
        <f t="shared" si="434"/>
        <v>0</v>
      </c>
      <c r="M1033">
        <f t="shared" si="435"/>
        <v>9</v>
      </c>
      <c r="Q1033" t="str">
        <f>IF(周转筐出入库明细!$D1034="","",周转筐出入库明细!$D1034)</f>
        <v/>
      </c>
      <c r="R1033">
        <f t="shared" si="436"/>
        <v>0</v>
      </c>
      <c r="S1033">
        <f t="shared" si="437"/>
        <v>5</v>
      </c>
      <c r="W1033" t="str">
        <f>IF(周转筐出入库明细!$C1034="","",周转筐出入库明细!$C1034)</f>
        <v/>
      </c>
      <c r="X1033">
        <f t="shared" si="438"/>
        <v>0</v>
      </c>
      <c r="Y1033">
        <f t="shared" si="439"/>
        <v>12</v>
      </c>
      <c r="AC1033" t="str">
        <f>IF(客户自备加工筐明细!$C1033="","",客户自备加工筐明细!$C1033)</f>
        <v/>
      </c>
      <c r="AD1033">
        <f t="shared" si="440"/>
        <v>0</v>
      </c>
      <c r="AE1033">
        <f t="shared" si="441"/>
        <v>1</v>
      </c>
      <c r="AI1033" t="str">
        <f>IF(客户自备加工筐明细!$E1033="","",客户自备加工筐明细!$E1033)</f>
        <v/>
      </c>
      <c r="AJ1033">
        <f t="shared" si="442"/>
        <v>0</v>
      </c>
      <c r="AK1033">
        <f t="shared" si="443"/>
        <v>1</v>
      </c>
      <c r="BS1033" t="str">
        <f t="shared" si="431"/>
        <v/>
      </c>
      <c r="BT1033">
        <f t="shared" si="444"/>
        <v>0</v>
      </c>
      <c r="BU1033">
        <f t="shared" si="445"/>
        <v>18</v>
      </c>
      <c r="CP1033">
        <f>IF(包装物料出入库明细!$D1033="",0,1)</f>
        <v>0</v>
      </c>
      <c r="CQ1033">
        <f t="shared" si="446"/>
        <v>37</v>
      </c>
      <c r="CS1033" t="str">
        <f>IF(OR(周转筐出入库明细!$C1034="",周转筐出入库明细!$F1034&lt;&gt;"采购入库"),"",周转筐出入库明细!$C1034)</f>
        <v/>
      </c>
      <c r="CT1033">
        <f t="shared" si="447"/>
        <v>0</v>
      </c>
      <c r="CU1033">
        <f t="shared" si="448"/>
        <v>1</v>
      </c>
    </row>
    <row r="1034" spans="1:99">
      <c r="A1034" t="str">
        <f>IF(包装物料出入库明细!$E1034="","",包装物料出入库明细!$E1034)</f>
        <v/>
      </c>
      <c r="B1034">
        <f t="shared" si="432"/>
        <v>0</v>
      </c>
      <c r="C1034">
        <f t="shared" si="433"/>
        <v>7</v>
      </c>
      <c r="D1034" t="str">
        <f>IF(包装物料出入库明细!$E1034="","",包装物料出入库明细!$F1034)</f>
        <v/>
      </c>
      <c r="E1034" t="str">
        <f>IF(包装物料出入库明细!$E1034="","",包装物料出入库明细!$G1034)</f>
        <v/>
      </c>
      <c r="K1034" t="str">
        <f>IF(包装物料出入库明细!$D1034="","",包装物料出入库明细!$D1034)</f>
        <v/>
      </c>
      <c r="L1034">
        <f t="shared" si="434"/>
        <v>0</v>
      </c>
      <c r="M1034">
        <f t="shared" si="435"/>
        <v>9</v>
      </c>
      <c r="Q1034" t="str">
        <f>IF(周转筐出入库明细!$D1035="","",周转筐出入库明细!$D1035)</f>
        <v/>
      </c>
      <c r="R1034">
        <f t="shared" si="436"/>
        <v>0</v>
      </c>
      <c r="S1034">
        <f t="shared" si="437"/>
        <v>5</v>
      </c>
      <c r="W1034" t="str">
        <f>IF(周转筐出入库明细!$C1035="","",周转筐出入库明细!$C1035)</f>
        <v/>
      </c>
      <c r="X1034">
        <f t="shared" si="438"/>
        <v>0</v>
      </c>
      <c r="Y1034">
        <f t="shared" si="439"/>
        <v>12</v>
      </c>
      <c r="AC1034" t="str">
        <f>IF(客户自备加工筐明细!$C1034="","",客户自备加工筐明细!$C1034)</f>
        <v/>
      </c>
      <c r="AD1034">
        <f t="shared" si="440"/>
        <v>0</v>
      </c>
      <c r="AE1034">
        <f t="shared" si="441"/>
        <v>1</v>
      </c>
      <c r="AI1034" t="str">
        <f>IF(客户自备加工筐明细!$E1034="","",客户自备加工筐明细!$E1034)</f>
        <v/>
      </c>
      <c r="AJ1034">
        <f t="shared" si="442"/>
        <v>0</v>
      </c>
      <c r="AK1034">
        <f t="shared" si="443"/>
        <v>1</v>
      </c>
      <c r="BS1034" t="str">
        <f t="shared" si="431"/>
        <v/>
      </c>
      <c r="BT1034">
        <f t="shared" si="444"/>
        <v>0</v>
      </c>
      <c r="BU1034">
        <f t="shared" si="445"/>
        <v>18</v>
      </c>
      <c r="CP1034">
        <f>IF(包装物料出入库明细!$D1034="",0,1)</f>
        <v>0</v>
      </c>
      <c r="CQ1034">
        <f t="shared" si="446"/>
        <v>37</v>
      </c>
      <c r="CS1034" t="str">
        <f>IF(OR(周转筐出入库明细!$C1035="",周转筐出入库明细!$F1035&lt;&gt;"采购入库"),"",周转筐出入库明细!$C1035)</f>
        <v/>
      </c>
      <c r="CT1034">
        <f t="shared" si="447"/>
        <v>0</v>
      </c>
      <c r="CU1034">
        <f t="shared" si="448"/>
        <v>1</v>
      </c>
    </row>
    <row r="1035" spans="1:99">
      <c r="A1035" t="str">
        <f>IF(包装物料出入库明细!$E1035="","",包装物料出入库明细!$E1035)</f>
        <v/>
      </c>
      <c r="B1035">
        <f t="shared" si="432"/>
        <v>0</v>
      </c>
      <c r="C1035">
        <f t="shared" si="433"/>
        <v>7</v>
      </c>
      <c r="D1035" t="str">
        <f>IF(包装物料出入库明细!$E1035="","",包装物料出入库明细!$F1035)</f>
        <v/>
      </c>
      <c r="E1035" t="str">
        <f>IF(包装物料出入库明细!$E1035="","",包装物料出入库明细!$G1035)</f>
        <v/>
      </c>
      <c r="K1035" t="str">
        <f>IF(包装物料出入库明细!$D1035="","",包装物料出入库明细!$D1035)</f>
        <v/>
      </c>
      <c r="L1035">
        <f t="shared" si="434"/>
        <v>0</v>
      </c>
      <c r="M1035">
        <f t="shared" si="435"/>
        <v>9</v>
      </c>
      <c r="Q1035" t="str">
        <f>IF(周转筐出入库明细!$D1036="","",周转筐出入库明细!$D1036)</f>
        <v/>
      </c>
      <c r="R1035">
        <f t="shared" si="436"/>
        <v>0</v>
      </c>
      <c r="S1035">
        <f t="shared" si="437"/>
        <v>5</v>
      </c>
      <c r="W1035" t="str">
        <f>IF(周转筐出入库明细!$C1036="","",周转筐出入库明细!$C1036)</f>
        <v/>
      </c>
      <c r="X1035">
        <f t="shared" si="438"/>
        <v>0</v>
      </c>
      <c r="Y1035">
        <f t="shared" si="439"/>
        <v>12</v>
      </c>
      <c r="AC1035" t="str">
        <f>IF(客户自备加工筐明细!$C1035="","",客户自备加工筐明细!$C1035)</f>
        <v/>
      </c>
      <c r="AD1035">
        <f t="shared" si="440"/>
        <v>0</v>
      </c>
      <c r="AE1035">
        <f t="shared" si="441"/>
        <v>1</v>
      </c>
      <c r="AI1035" t="str">
        <f>IF(客户自备加工筐明细!$E1035="","",客户自备加工筐明细!$E1035)</f>
        <v/>
      </c>
      <c r="AJ1035">
        <f t="shared" si="442"/>
        <v>0</v>
      </c>
      <c r="AK1035">
        <f t="shared" si="443"/>
        <v>1</v>
      </c>
      <c r="BS1035" t="str">
        <f t="shared" si="431"/>
        <v/>
      </c>
      <c r="BT1035">
        <f t="shared" si="444"/>
        <v>0</v>
      </c>
      <c r="BU1035">
        <f t="shared" si="445"/>
        <v>18</v>
      </c>
      <c r="CP1035">
        <f>IF(包装物料出入库明细!$D1035="",0,1)</f>
        <v>0</v>
      </c>
      <c r="CQ1035">
        <f t="shared" si="446"/>
        <v>37</v>
      </c>
      <c r="CS1035" t="str">
        <f>IF(OR(周转筐出入库明细!$C1036="",周转筐出入库明细!$F1036&lt;&gt;"采购入库"),"",周转筐出入库明细!$C1036)</f>
        <v/>
      </c>
      <c r="CT1035">
        <f t="shared" si="447"/>
        <v>0</v>
      </c>
      <c r="CU1035">
        <f t="shared" si="448"/>
        <v>1</v>
      </c>
    </row>
    <row r="1036" spans="1:99">
      <c r="A1036" t="str">
        <f>IF(包装物料出入库明细!$E1036="","",包装物料出入库明细!$E1036)</f>
        <v/>
      </c>
      <c r="B1036">
        <f t="shared" si="432"/>
        <v>0</v>
      </c>
      <c r="C1036">
        <f t="shared" si="433"/>
        <v>7</v>
      </c>
      <c r="D1036" t="str">
        <f>IF(包装物料出入库明细!$E1036="","",包装物料出入库明细!$F1036)</f>
        <v/>
      </c>
      <c r="E1036" t="str">
        <f>IF(包装物料出入库明细!$E1036="","",包装物料出入库明细!$G1036)</f>
        <v/>
      </c>
      <c r="K1036" t="str">
        <f>IF(包装物料出入库明细!$D1036="","",包装物料出入库明细!$D1036)</f>
        <v/>
      </c>
      <c r="L1036">
        <f t="shared" si="434"/>
        <v>0</v>
      </c>
      <c r="M1036">
        <f t="shared" si="435"/>
        <v>9</v>
      </c>
      <c r="Q1036" t="str">
        <f>IF(周转筐出入库明细!$D1037="","",周转筐出入库明细!$D1037)</f>
        <v/>
      </c>
      <c r="R1036">
        <f t="shared" si="436"/>
        <v>0</v>
      </c>
      <c r="S1036">
        <f t="shared" si="437"/>
        <v>5</v>
      </c>
      <c r="W1036" t="str">
        <f>IF(周转筐出入库明细!$C1037="","",周转筐出入库明细!$C1037)</f>
        <v/>
      </c>
      <c r="X1036">
        <f t="shared" si="438"/>
        <v>0</v>
      </c>
      <c r="Y1036">
        <f t="shared" si="439"/>
        <v>12</v>
      </c>
      <c r="AC1036" t="str">
        <f>IF(客户自备加工筐明细!$C1036="","",客户自备加工筐明细!$C1036)</f>
        <v/>
      </c>
      <c r="AD1036">
        <f t="shared" si="440"/>
        <v>0</v>
      </c>
      <c r="AE1036">
        <f t="shared" si="441"/>
        <v>1</v>
      </c>
      <c r="AI1036" t="str">
        <f>IF(客户自备加工筐明细!$E1036="","",客户自备加工筐明细!$E1036)</f>
        <v/>
      </c>
      <c r="AJ1036">
        <f t="shared" si="442"/>
        <v>0</v>
      </c>
      <c r="AK1036">
        <f t="shared" si="443"/>
        <v>1</v>
      </c>
      <c r="BS1036" t="str">
        <f t="shared" si="431"/>
        <v/>
      </c>
      <c r="BT1036">
        <f t="shared" si="444"/>
        <v>0</v>
      </c>
      <c r="BU1036">
        <f t="shared" si="445"/>
        <v>18</v>
      </c>
      <c r="CP1036">
        <f>IF(包装物料出入库明细!$D1036="",0,1)</f>
        <v>0</v>
      </c>
      <c r="CQ1036">
        <f t="shared" si="446"/>
        <v>37</v>
      </c>
      <c r="CS1036" t="str">
        <f>IF(OR(周转筐出入库明细!$C1037="",周转筐出入库明细!$F1037&lt;&gt;"采购入库"),"",周转筐出入库明细!$C1037)</f>
        <v/>
      </c>
      <c r="CT1036">
        <f t="shared" si="447"/>
        <v>0</v>
      </c>
      <c r="CU1036">
        <f t="shared" si="448"/>
        <v>1</v>
      </c>
    </row>
    <row r="1037" spans="1:99">
      <c r="A1037" t="str">
        <f>IF(包装物料出入库明细!$E1037="","",包装物料出入库明细!$E1037)</f>
        <v/>
      </c>
      <c r="B1037">
        <f t="shared" si="432"/>
        <v>0</v>
      </c>
      <c r="C1037">
        <f t="shared" si="433"/>
        <v>7</v>
      </c>
      <c r="D1037" t="str">
        <f>IF(包装物料出入库明细!$E1037="","",包装物料出入库明细!$F1037)</f>
        <v/>
      </c>
      <c r="E1037" t="str">
        <f>IF(包装物料出入库明细!$E1037="","",包装物料出入库明细!$G1037)</f>
        <v/>
      </c>
      <c r="K1037" t="str">
        <f>IF(包装物料出入库明细!$D1037="","",包装物料出入库明细!$D1037)</f>
        <v/>
      </c>
      <c r="L1037">
        <f t="shared" si="434"/>
        <v>0</v>
      </c>
      <c r="M1037">
        <f t="shared" si="435"/>
        <v>9</v>
      </c>
      <c r="Q1037" t="str">
        <f>IF(周转筐出入库明细!$D1038="","",周转筐出入库明细!$D1038)</f>
        <v/>
      </c>
      <c r="R1037">
        <f t="shared" si="436"/>
        <v>0</v>
      </c>
      <c r="S1037">
        <f t="shared" si="437"/>
        <v>5</v>
      </c>
      <c r="W1037" t="str">
        <f>IF(周转筐出入库明细!$C1038="","",周转筐出入库明细!$C1038)</f>
        <v/>
      </c>
      <c r="X1037">
        <f t="shared" si="438"/>
        <v>0</v>
      </c>
      <c r="Y1037">
        <f t="shared" si="439"/>
        <v>12</v>
      </c>
      <c r="AC1037" t="str">
        <f>IF(客户自备加工筐明细!$C1037="","",客户自备加工筐明细!$C1037)</f>
        <v/>
      </c>
      <c r="AD1037">
        <f t="shared" si="440"/>
        <v>0</v>
      </c>
      <c r="AE1037">
        <f t="shared" si="441"/>
        <v>1</v>
      </c>
      <c r="AI1037" t="str">
        <f>IF(客户自备加工筐明细!$E1037="","",客户自备加工筐明细!$E1037)</f>
        <v/>
      </c>
      <c r="AJ1037">
        <f t="shared" si="442"/>
        <v>0</v>
      </c>
      <c r="AK1037">
        <f t="shared" si="443"/>
        <v>1</v>
      </c>
      <c r="BS1037" t="str">
        <f t="shared" si="431"/>
        <v/>
      </c>
      <c r="BT1037">
        <f t="shared" si="444"/>
        <v>0</v>
      </c>
      <c r="BU1037">
        <f t="shared" si="445"/>
        <v>18</v>
      </c>
      <c r="CP1037">
        <f>IF(包装物料出入库明细!$D1037="",0,1)</f>
        <v>0</v>
      </c>
      <c r="CQ1037">
        <f t="shared" si="446"/>
        <v>37</v>
      </c>
      <c r="CS1037" t="str">
        <f>IF(OR(周转筐出入库明细!$C1038="",周转筐出入库明细!$F1038&lt;&gt;"采购入库"),"",周转筐出入库明细!$C1038)</f>
        <v/>
      </c>
      <c r="CT1037">
        <f t="shared" si="447"/>
        <v>0</v>
      </c>
      <c r="CU1037">
        <f t="shared" si="448"/>
        <v>1</v>
      </c>
    </row>
    <row r="1038" spans="1:99">
      <c r="A1038" t="str">
        <f>IF(包装物料出入库明细!$E1038="","",包装物料出入库明细!$E1038)</f>
        <v/>
      </c>
      <c r="B1038">
        <f t="shared" si="432"/>
        <v>0</v>
      </c>
      <c r="C1038">
        <f t="shared" si="433"/>
        <v>7</v>
      </c>
      <c r="D1038" t="str">
        <f>IF(包装物料出入库明细!$E1038="","",包装物料出入库明细!$F1038)</f>
        <v/>
      </c>
      <c r="E1038" t="str">
        <f>IF(包装物料出入库明细!$E1038="","",包装物料出入库明细!$G1038)</f>
        <v/>
      </c>
      <c r="K1038" t="str">
        <f>IF(包装物料出入库明细!$D1038="","",包装物料出入库明细!$D1038)</f>
        <v/>
      </c>
      <c r="L1038">
        <f t="shared" si="434"/>
        <v>0</v>
      </c>
      <c r="M1038">
        <f t="shared" si="435"/>
        <v>9</v>
      </c>
      <c r="Q1038" t="str">
        <f>IF(周转筐出入库明细!$D1039="","",周转筐出入库明细!$D1039)</f>
        <v/>
      </c>
      <c r="R1038">
        <f t="shared" si="436"/>
        <v>0</v>
      </c>
      <c r="S1038">
        <f t="shared" si="437"/>
        <v>5</v>
      </c>
      <c r="W1038" t="str">
        <f>IF(周转筐出入库明细!$C1039="","",周转筐出入库明细!$C1039)</f>
        <v/>
      </c>
      <c r="X1038">
        <f t="shared" si="438"/>
        <v>0</v>
      </c>
      <c r="Y1038">
        <f t="shared" si="439"/>
        <v>12</v>
      </c>
      <c r="AC1038" t="str">
        <f>IF(客户自备加工筐明细!$C1038="","",客户自备加工筐明细!$C1038)</f>
        <v/>
      </c>
      <c r="AD1038">
        <f t="shared" si="440"/>
        <v>0</v>
      </c>
      <c r="AE1038">
        <f t="shared" si="441"/>
        <v>1</v>
      </c>
      <c r="AI1038" t="str">
        <f>IF(客户自备加工筐明细!$E1038="","",客户自备加工筐明细!$E1038)</f>
        <v/>
      </c>
      <c r="AJ1038">
        <f t="shared" si="442"/>
        <v>0</v>
      </c>
      <c r="AK1038">
        <f t="shared" si="443"/>
        <v>1</v>
      </c>
      <c r="BS1038" t="str">
        <f t="shared" si="431"/>
        <v/>
      </c>
      <c r="BT1038">
        <f t="shared" si="444"/>
        <v>0</v>
      </c>
      <c r="BU1038">
        <f t="shared" si="445"/>
        <v>18</v>
      </c>
      <c r="CP1038">
        <f>IF(包装物料出入库明细!$D1038="",0,1)</f>
        <v>0</v>
      </c>
      <c r="CQ1038">
        <f t="shared" si="446"/>
        <v>37</v>
      </c>
      <c r="CS1038" t="str">
        <f>IF(OR(周转筐出入库明细!$C1039="",周转筐出入库明细!$F1039&lt;&gt;"采购入库"),"",周转筐出入库明细!$C1039)</f>
        <v/>
      </c>
      <c r="CT1038">
        <f t="shared" si="447"/>
        <v>0</v>
      </c>
      <c r="CU1038">
        <f t="shared" si="448"/>
        <v>1</v>
      </c>
    </row>
    <row r="1039" spans="1:99">
      <c r="A1039" t="str">
        <f>IF(包装物料出入库明细!$E1039="","",包装物料出入库明细!$E1039)</f>
        <v/>
      </c>
      <c r="B1039">
        <f t="shared" si="432"/>
        <v>0</v>
      </c>
      <c r="C1039">
        <f t="shared" si="433"/>
        <v>7</v>
      </c>
      <c r="D1039" t="str">
        <f>IF(包装物料出入库明细!$E1039="","",包装物料出入库明细!$F1039)</f>
        <v/>
      </c>
      <c r="E1039" t="str">
        <f>IF(包装物料出入库明细!$E1039="","",包装物料出入库明细!$G1039)</f>
        <v/>
      </c>
      <c r="K1039" t="str">
        <f>IF(包装物料出入库明细!$D1039="","",包装物料出入库明细!$D1039)</f>
        <v/>
      </c>
      <c r="L1039">
        <f t="shared" si="434"/>
        <v>0</v>
      </c>
      <c r="M1039">
        <f t="shared" si="435"/>
        <v>9</v>
      </c>
      <c r="Q1039" t="str">
        <f>IF(周转筐出入库明细!$D1040="","",周转筐出入库明细!$D1040)</f>
        <v/>
      </c>
      <c r="R1039">
        <f t="shared" si="436"/>
        <v>0</v>
      </c>
      <c r="S1039">
        <f t="shared" si="437"/>
        <v>5</v>
      </c>
      <c r="W1039" t="str">
        <f>IF(周转筐出入库明细!$C1040="","",周转筐出入库明细!$C1040)</f>
        <v/>
      </c>
      <c r="X1039">
        <f t="shared" si="438"/>
        <v>0</v>
      </c>
      <c r="Y1039">
        <f t="shared" si="439"/>
        <v>12</v>
      </c>
      <c r="AC1039" t="str">
        <f>IF(客户自备加工筐明细!$C1039="","",客户自备加工筐明细!$C1039)</f>
        <v/>
      </c>
      <c r="AD1039">
        <f t="shared" si="440"/>
        <v>0</v>
      </c>
      <c r="AE1039">
        <f t="shared" si="441"/>
        <v>1</v>
      </c>
      <c r="AI1039" t="str">
        <f>IF(客户自备加工筐明细!$E1039="","",客户自备加工筐明细!$E1039)</f>
        <v/>
      </c>
      <c r="AJ1039">
        <f t="shared" si="442"/>
        <v>0</v>
      </c>
      <c r="AK1039">
        <f t="shared" si="443"/>
        <v>1</v>
      </c>
      <c r="BS1039" t="str">
        <f t="shared" si="431"/>
        <v/>
      </c>
      <c r="BT1039">
        <f t="shared" si="444"/>
        <v>0</v>
      </c>
      <c r="BU1039">
        <f t="shared" si="445"/>
        <v>18</v>
      </c>
      <c r="CP1039">
        <f>IF(包装物料出入库明细!$D1039="",0,1)</f>
        <v>0</v>
      </c>
      <c r="CQ1039">
        <f t="shared" si="446"/>
        <v>37</v>
      </c>
      <c r="CS1039" t="str">
        <f>IF(OR(周转筐出入库明细!$C1040="",周转筐出入库明细!$F1040&lt;&gt;"采购入库"),"",周转筐出入库明细!$C1040)</f>
        <v/>
      </c>
      <c r="CT1039">
        <f t="shared" si="447"/>
        <v>0</v>
      </c>
      <c r="CU1039">
        <f t="shared" si="448"/>
        <v>1</v>
      </c>
    </row>
    <row r="1040" spans="1:99">
      <c r="A1040" t="str">
        <f>IF(包装物料出入库明细!$E1040="","",包装物料出入库明细!$E1040)</f>
        <v/>
      </c>
      <c r="B1040">
        <f t="shared" si="432"/>
        <v>0</v>
      </c>
      <c r="C1040">
        <f t="shared" si="433"/>
        <v>7</v>
      </c>
      <c r="D1040" t="str">
        <f>IF(包装物料出入库明细!$E1040="","",包装物料出入库明细!$F1040)</f>
        <v/>
      </c>
      <c r="E1040" t="str">
        <f>IF(包装物料出入库明细!$E1040="","",包装物料出入库明细!$G1040)</f>
        <v/>
      </c>
      <c r="K1040" t="str">
        <f>IF(包装物料出入库明细!$D1040="","",包装物料出入库明细!$D1040)</f>
        <v/>
      </c>
      <c r="L1040">
        <f t="shared" si="434"/>
        <v>0</v>
      </c>
      <c r="M1040">
        <f t="shared" si="435"/>
        <v>9</v>
      </c>
      <c r="Q1040" t="str">
        <f>IF(周转筐出入库明细!$D1041="","",周转筐出入库明细!$D1041)</f>
        <v/>
      </c>
      <c r="R1040">
        <f t="shared" si="436"/>
        <v>0</v>
      </c>
      <c r="S1040">
        <f t="shared" si="437"/>
        <v>5</v>
      </c>
      <c r="W1040" t="str">
        <f>IF(周转筐出入库明细!$C1041="","",周转筐出入库明细!$C1041)</f>
        <v/>
      </c>
      <c r="X1040">
        <f t="shared" si="438"/>
        <v>0</v>
      </c>
      <c r="Y1040">
        <f t="shared" si="439"/>
        <v>12</v>
      </c>
      <c r="AC1040" t="str">
        <f>IF(客户自备加工筐明细!$C1040="","",客户自备加工筐明细!$C1040)</f>
        <v/>
      </c>
      <c r="AD1040">
        <f t="shared" si="440"/>
        <v>0</v>
      </c>
      <c r="AE1040">
        <f t="shared" si="441"/>
        <v>1</v>
      </c>
      <c r="AI1040" t="str">
        <f>IF(客户自备加工筐明细!$E1040="","",客户自备加工筐明细!$E1040)</f>
        <v/>
      </c>
      <c r="AJ1040">
        <f t="shared" si="442"/>
        <v>0</v>
      </c>
      <c r="AK1040">
        <f t="shared" si="443"/>
        <v>1</v>
      </c>
      <c r="BS1040" t="str">
        <f t="shared" si="431"/>
        <v/>
      </c>
      <c r="BT1040">
        <f t="shared" si="444"/>
        <v>0</v>
      </c>
      <c r="BU1040">
        <f t="shared" si="445"/>
        <v>18</v>
      </c>
      <c r="CP1040">
        <f>IF(包装物料出入库明细!$D1040="",0,1)</f>
        <v>0</v>
      </c>
      <c r="CQ1040">
        <f t="shared" si="446"/>
        <v>37</v>
      </c>
      <c r="CS1040" t="str">
        <f>IF(OR(周转筐出入库明细!$C1041="",周转筐出入库明细!$F1041&lt;&gt;"采购入库"),"",周转筐出入库明细!$C1041)</f>
        <v/>
      </c>
      <c r="CT1040">
        <f t="shared" si="447"/>
        <v>0</v>
      </c>
      <c r="CU1040">
        <f t="shared" si="448"/>
        <v>1</v>
      </c>
    </row>
    <row r="1041" spans="1:99">
      <c r="A1041" t="str">
        <f>IF(包装物料出入库明细!$E1041="","",包装物料出入库明细!$E1041)</f>
        <v/>
      </c>
      <c r="B1041">
        <f t="shared" si="432"/>
        <v>0</v>
      </c>
      <c r="C1041">
        <f t="shared" si="433"/>
        <v>7</v>
      </c>
      <c r="D1041" t="str">
        <f>IF(包装物料出入库明细!$E1041="","",包装物料出入库明细!$F1041)</f>
        <v/>
      </c>
      <c r="E1041" t="str">
        <f>IF(包装物料出入库明细!$E1041="","",包装物料出入库明细!$G1041)</f>
        <v/>
      </c>
      <c r="K1041" t="str">
        <f>IF(包装物料出入库明细!$D1041="","",包装物料出入库明细!$D1041)</f>
        <v/>
      </c>
      <c r="L1041">
        <f t="shared" si="434"/>
        <v>0</v>
      </c>
      <c r="M1041">
        <f t="shared" si="435"/>
        <v>9</v>
      </c>
      <c r="Q1041" t="str">
        <f>IF(周转筐出入库明细!$D1042="","",周转筐出入库明细!$D1042)</f>
        <v/>
      </c>
      <c r="R1041">
        <f t="shared" si="436"/>
        <v>0</v>
      </c>
      <c r="S1041">
        <f t="shared" si="437"/>
        <v>5</v>
      </c>
      <c r="W1041" t="str">
        <f>IF(周转筐出入库明细!$C1042="","",周转筐出入库明细!$C1042)</f>
        <v/>
      </c>
      <c r="X1041">
        <f t="shared" si="438"/>
        <v>0</v>
      </c>
      <c r="Y1041">
        <f t="shared" si="439"/>
        <v>12</v>
      </c>
      <c r="AC1041" t="str">
        <f>IF(客户自备加工筐明细!$C1041="","",客户自备加工筐明细!$C1041)</f>
        <v/>
      </c>
      <c r="AD1041">
        <f t="shared" si="440"/>
        <v>0</v>
      </c>
      <c r="AE1041">
        <f t="shared" si="441"/>
        <v>1</v>
      </c>
      <c r="AI1041" t="str">
        <f>IF(客户自备加工筐明细!$E1041="","",客户自备加工筐明细!$E1041)</f>
        <v/>
      </c>
      <c r="AJ1041">
        <f t="shared" si="442"/>
        <v>0</v>
      </c>
      <c r="AK1041">
        <f t="shared" si="443"/>
        <v>1</v>
      </c>
      <c r="BS1041" t="str">
        <f t="shared" si="431"/>
        <v/>
      </c>
      <c r="BT1041">
        <f t="shared" si="444"/>
        <v>0</v>
      </c>
      <c r="BU1041">
        <f t="shared" si="445"/>
        <v>18</v>
      </c>
      <c r="CP1041">
        <f>IF(包装物料出入库明细!$D1041="",0,1)</f>
        <v>0</v>
      </c>
      <c r="CQ1041">
        <f t="shared" si="446"/>
        <v>37</v>
      </c>
      <c r="CS1041" t="str">
        <f>IF(OR(周转筐出入库明细!$C1042="",周转筐出入库明细!$F1042&lt;&gt;"采购入库"),"",周转筐出入库明细!$C1042)</f>
        <v/>
      </c>
      <c r="CT1041">
        <f t="shared" si="447"/>
        <v>0</v>
      </c>
      <c r="CU1041">
        <f t="shared" si="448"/>
        <v>1</v>
      </c>
    </row>
    <row r="1042" spans="1:99">
      <c r="A1042" t="str">
        <f>IF(包装物料出入库明细!$E1042="","",包装物料出入库明细!$E1042)</f>
        <v/>
      </c>
      <c r="B1042">
        <f t="shared" si="432"/>
        <v>0</v>
      </c>
      <c r="C1042">
        <f t="shared" si="433"/>
        <v>7</v>
      </c>
      <c r="D1042" t="str">
        <f>IF(包装物料出入库明细!$E1042="","",包装物料出入库明细!$F1042)</f>
        <v/>
      </c>
      <c r="E1042" t="str">
        <f>IF(包装物料出入库明细!$E1042="","",包装物料出入库明细!$G1042)</f>
        <v/>
      </c>
      <c r="K1042" t="str">
        <f>IF(包装物料出入库明细!$D1042="","",包装物料出入库明细!$D1042)</f>
        <v/>
      </c>
      <c r="L1042">
        <f t="shared" si="434"/>
        <v>0</v>
      </c>
      <c r="M1042">
        <f t="shared" si="435"/>
        <v>9</v>
      </c>
      <c r="Q1042" t="str">
        <f>IF(周转筐出入库明细!$D1043="","",周转筐出入库明细!$D1043)</f>
        <v/>
      </c>
      <c r="R1042">
        <f t="shared" si="436"/>
        <v>0</v>
      </c>
      <c r="S1042">
        <f t="shared" si="437"/>
        <v>5</v>
      </c>
      <c r="W1042" t="str">
        <f>IF(周转筐出入库明细!$C1043="","",周转筐出入库明细!$C1043)</f>
        <v/>
      </c>
      <c r="X1042">
        <f t="shared" si="438"/>
        <v>0</v>
      </c>
      <c r="Y1042">
        <f t="shared" si="439"/>
        <v>12</v>
      </c>
      <c r="AC1042" t="str">
        <f>IF(客户自备加工筐明细!$C1042="","",客户自备加工筐明细!$C1042)</f>
        <v/>
      </c>
      <c r="AD1042">
        <f t="shared" si="440"/>
        <v>0</v>
      </c>
      <c r="AE1042">
        <f t="shared" si="441"/>
        <v>1</v>
      </c>
      <c r="AI1042" t="str">
        <f>IF(客户自备加工筐明细!$E1042="","",客户自备加工筐明细!$E1042)</f>
        <v/>
      </c>
      <c r="AJ1042">
        <f t="shared" si="442"/>
        <v>0</v>
      </c>
      <c r="AK1042">
        <f t="shared" si="443"/>
        <v>1</v>
      </c>
      <c r="BS1042" t="str">
        <f t="shared" si="431"/>
        <v/>
      </c>
      <c r="BT1042">
        <f t="shared" si="444"/>
        <v>0</v>
      </c>
      <c r="BU1042">
        <f t="shared" si="445"/>
        <v>18</v>
      </c>
      <c r="CP1042">
        <f>IF(包装物料出入库明细!$D1042="",0,1)</f>
        <v>0</v>
      </c>
      <c r="CQ1042">
        <f t="shared" si="446"/>
        <v>37</v>
      </c>
      <c r="CS1042" t="str">
        <f>IF(OR(周转筐出入库明细!$C1043="",周转筐出入库明细!$F1043&lt;&gt;"采购入库"),"",周转筐出入库明细!$C1043)</f>
        <v/>
      </c>
      <c r="CT1042">
        <f t="shared" si="447"/>
        <v>0</v>
      </c>
      <c r="CU1042">
        <f t="shared" si="448"/>
        <v>1</v>
      </c>
    </row>
    <row r="1043" spans="1:99">
      <c r="A1043" t="str">
        <f>IF(包装物料出入库明细!$E1043="","",包装物料出入库明细!$E1043)</f>
        <v/>
      </c>
      <c r="B1043">
        <f t="shared" si="432"/>
        <v>0</v>
      </c>
      <c r="C1043">
        <f t="shared" si="433"/>
        <v>7</v>
      </c>
      <c r="D1043" t="str">
        <f>IF(包装物料出入库明细!$E1043="","",包装物料出入库明细!$F1043)</f>
        <v/>
      </c>
      <c r="E1043" t="str">
        <f>IF(包装物料出入库明细!$E1043="","",包装物料出入库明细!$G1043)</f>
        <v/>
      </c>
      <c r="K1043" t="str">
        <f>IF(包装物料出入库明细!$D1043="","",包装物料出入库明细!$D1043)</f>
        <v/>
      </c>
      <c r="L1043">
        <f t="shared" si="434"/>
        <v>0</v>
      </c>
      <c r="M1043">
        <f t="shared" si="435"/>
        <v>9</v>
      </c>
      <c r="Q1043" t="str">
        <f>IF(周转筐出入库明细!$D1044="","",周转筐出入库明细!$D1044)</f>
        <v/>
      </c>
      <c r="R1043">
        <f t="shared" si="436"/>
        <v>0</v>
      </c>
      <c r="S1043">
        <f t="shared" si="437"/>
        <v>5</v>
      </c>
      <c r="W1043" t="str">
        <f>IF(周转筐出入库明细!$C1044="","",周转筐出入库明细!$C1044)</f>
        <v/>
      </c>
      <c r="X1043">
        <f t="shared" si="438"/>
        <v>0</v>
      </c>
      <c r="Y1043">
        <f t="shared" si="439"/>
        <v>12</v>
      </c>
      <c r="AC1043" t="str">
        <f>IF(客户自备加工筐明细!$C1043="","",客户自备加工筐明细!$C1043)</f>
        <v/>
      </c>
      <c r="AD1043">
        <f t="shared" si="440"/>
        <v>0</v>
      </c>
      <c r="AE1043">
        <f t="shared" si="441"/>
        <v>1</v>
      </c>
      <c r="AI1043" t="str">
        <f>IF(客户自备加工筐明细!$E1043="","",客户自备加工筐明细!$E1043)</f>
        <v/>
      </c>
      <c r="AJ1043">
        <f t="shared" si="442"/>
        <v>0</v>
      </c>
      <c r="AK1043">
        <f t="shared" si="443"/>
        <v>1</v>
      </c>
      <c r="BS1043" t="str">
        <f t="shared" si="431"/>
        <v/>
      </c>
      <c r="BT1043">
        <f t="shared" si="444"/>
        <v>0</v>
      </c>
      <c r="BU1043">
        <f t="shared" si="445"/>
        <v>18</v>
      </c>
      <c r="CP1043">
        <f>IF(包装物料出入库明细!$D1043="",0,1)</f>
        <v>0</v>
      </c>
      <c r="CQ1043">
        <f t="shared" si="446"/>
        <v>37</v>
      </c>
      <c r="CS1043" t="str">
        <f>IF(OR(周转筐出入库明细!$C1044="",周转筐出入库明细!$F1044&lt;&gt;"采购入库"),"",周转筐出入库明细!$C1044)</f>
        <v/>
      </c>
      <c r="CT1043">
        <f t="shared" si="447"/>
        <v>0</v>
      </c>
      <c r="CU1043">
        <f t="shared" si="448"/>
        <v>1</v>
      </c>
    </row>
    <row r="1044" spans="1:99">
      <c r="A1044" t="str">
        <f>IF(包装物料出入库明细!$E1044="","",包装物料出入库明细!$E1044)</f>
        <v/>
      </c>
      <c r="B1044">
        <f t="shared" si="432"/>
        <v>0</v>
      </c>
      <c r="C1044">
        <f t="shared" si="433"/>
        <v>7</v>
      </c>
      <c r="D1044" t="str">
        <f>IF(包装物料出入库明细!$E1044="","",包装物料出入库明细!$F1044)</f>
        <v/>
      </c>
      <c r="E1044" t="str">
        <f>IF(包装物料出入库明细!$E1044="","",包装物料出入库明细!$G1044)</f>
        <v/>
      </c>
      <c r="K1044" t="str">
        <f>IF(包装物料出入库明细!$D1044="","",包装物料出入库明细!$D1044)</f>
        <v/>
      </c>
      <c r="L1044">
        <f t="shared" si="434"/>
        <v>0</v>
      </c>
      <c r="M1044">
        <f t="shared" si="435"/>
        <v>9</v>
      </c>
      <c r="Q1044" t="str">
        <f>IF(周转筐出入库明细!$D1045="","",周转筐出入库明细!$D1045)</f>
        <v/>
      </c>
      <c r="R1044">
        <f t="shared" si="436"/>
        <v>0</v>
      </c>
      <c r="S1044">
        <f t="shared" si="437"/>
        <v>5</v>
      </c>
      <c r="W1044" t="str">
        <f>IF(周转筐出入库明细!$C1045="","",周转筐出入库明细!$C1045)</f>
        <v/>
      </c>
      <c r="X1044">
        <f t="shared" si="438"/>
        <v>0</v>
      </c>
      <c r="Y1044">
        <f t="shared" si="439"/>
        <v>12</v>
      </c>
      <c r="AC1044" t="str">
        <f>IF(客户自备加工筐明细!$C1044="","",客户自备加工筐明细!$C1044)</f>
        <v/>
      </c>
      <c r="AD1044">
        <f t="shared" si="440"/>
        <v>0</v>
      </c>
      <c r="AE1044">
        <f t="shared" si="441"/>
        <v>1</v>
      </c>
      <c r="AI1044" t="str">
        <f>IF(客户自备加工筐明细!$E1044="","",客户自备加工筐明细!$E1044)</f>
        <v/>
      </c>
      <c r="AJ1044">
        <f t="shared" si="442"/>
        <v>0</v>
      </c>
      <c r="AK1044">
        <f t="shared" si="443"/>
        <v>1</v>
      </c>
      <c r="BS1044" t="str">
        <f t="shared" si="431"/>
        <v/>
      </c>
      <c r="BT1044">
        <f t="shared" si="444"/>
        <v>0</v>
      </c>
      <c r="BU1044">
        <f t="shared" si="445"/>
        <v>18</v>
      </c>
      <c r="CP1044">
        <f>IF(包装物料出入库明细!$D1044="",0,1)</f>
        <v>0</v>
      </c>
      <c r="CQ1044">
        <f t="shared" si="446"/>
        <v>37</v>
      </c>
      <c r="CS1044" t="str">
        <f>IF(OR(周转筐出入库明细!$C1045="",周转筐出入库明细!$F1045&lt;&gt;"采购入库"),"",周转筐出入库明细!$C1045)</f>
        <v/>
      </c>
      <c r="CT1044">
        <f t="shared" si="447"/>
        <v>0</v>
      </c>
      <c r="CU1044">
        <f t="shared" si="448"/>
        <v>1</v>
      </c>
    </row>
    <row r="1045" spans="1:99">
      <c r="A1045" t="str">
        <f>IF(包装物料出入库明细!$E1045="","",包装物料出入库明细!$E1045)</f>
        <v/>
      </c>
      <c r="B1045">
        <f t="shared" si="432"/>
        <v>0</v>
      </c>
      <c r="C1045">
        <f t="shared" si="433"/>
        <v>7</v>
      </c>
      <c r="D1045" t="str">
        <f>IF(包装物料出入库明细!$E1045="","",包装物料出入库明细!$F1045)</f>
        <v/>
      </c>
      <c r="E1045" t="str">
        <f>IF(包装物料出入库明细!$E1045="","",包装物料出入库明细!$G1045)</f>
        <v/>
      </c>
      <c r="K1045" t="str">
        <f>IF(包装物料出入库明细!$D1045="","",包装物料出入库明细!$D1045)</f>
        <v/>
      </c>
      <c r="L1045">
        <f t="shared" si="434"/>
        <v>0</v>
      </c>
      <c r="M1045">
        <f t="shared" si="435"/>
        <v>9</v>
      </c>
      <c r="Q1045" t="str">
        <f>IF(周转筐出入库明细!$D1046="","",周转筐出入库明细!$D1046)</f>
        <v/>
      </c>
      <c r="R1045">
        <f t="shared" si="436"/>
        <v>0</v>
      </c>
      <c r="S1045">
        <f t="shared" si="437"/>
        <v>5</v>
      </c>
      <c r="W1045" t="str">
        <f>IF(周转筐出入库明细!$C1046="","",周转筐出入库明细!$C1046)</f>
        <v/>
      </c>
      <c r="X1045">
        <f t="shared" si="438"/>
        <v>0</v>
      </c>
      <c r="Y1045">
        <f t="shared" si="439"/>
        <v>12</v>
      </c>
      <c r="AC1045" t="str">
        <f>IF(客户自备加工筐明细!$C1045="","",客户自备加工筐明细!$C1045)</f>
        <v/>
      </c>
      <c r="AD1045">
        <f t="shared" si="440"/>
        <v>0</v>
      </c>
      <c r="AE1045">
        <f t="shared" si="441"/>
        <v>1</v>
      </c>
      <c r="AI1045" t="str">
        <f>IF(客户自备加工筐明细!$E1045="","",客户自备加工筐明细!$E1045)</f>
        <v/>
      </c>
      <c r="AJ1045">
        <f t="shared" si="442"/>
        <v>0</v>
      </c>
      <c r="AK1045">
        <f t="shared" si="443"/>
        <v>1</v>
      </c>
      <c r="BS1045" t="str">
        <f t="shared" si="431"/>
        <v/>
      </c>
      <c r="BT1045">
        <f t="shared" si="444"/>
        <v>0</v>
      </c>
      <c r="BU1045">
        <f t="shared" si="445"/>
        <v>18</v>
      </c>
      <c r="CP1045">
        <f>IF(包装物料出入库明细!$D1045="",0,1)</f>
        <v>0</v>
      </c>
      <c r="CQ1045">
        <f t="shared" si="446"/>
        <v>37</v>
      </c>
      <c r="CS1045" t="str">
        <f>IF(OR(周转筐出入库明细!$C1046="",周转筐出入库明细!$F1046&lt;&gt;"采购入库"),"",周转筐出入库明细!$C1046)</f>
        <v/>
      </c>
      <c r="CT1045">
        <f t="shared" si="447"/>
        <v>0</v>
      </c>
      <c r="CU1045">
        <f t="shared" si="448"/>
        <v>1</v>
      </c>
    </row>
    <row r="1046" spans="1:99">
      <c r="A1046" t="str">
        <f>IF(包装物料出入库明细!$E1046="","",包装物料出入库明细!$E1046)</f>
        <v/>
      </c>
      <c r="B1046">
        <f t="shared" si="432"/>
        <v>0</v>
      </c>
      <c r="C1046">
        <f t="shared" si="433"/>
        <v>7</v>
      </c>
      <c r="D1046" t="str">
        <f>IF(包装物料出入库明细!$E1046="","",包装物料出入库明细!$F1046)</f>
        <v/>
      </c>
      <c r="E1046" t="str">
        <f>IF(包装物料出入库明细!$E1046="","",包装物料出入库明细!$G1046)</f>
        <v/>
      </c>
      <c r="K1046" t="str">
        <f>IF(包装物料出入库明细!$D1046="","",包装物料出入库明细!$D1046)</f>
        <v/>
      </c>
      <c r="L1046">
        <f t="shared" si="434"/>
        <v>0</v>
      </c>
      <c r="M1046">
        <f t="shared" si="435"/>
        <v>9</v>
      </c>
      <c r="Q1046" t="str">
        <f>IF(周转筐出入库明细!$D1047="","",周转筐出入库明细!$D1047)</f>
        <v/>
      </c>
      <c r="R1046">
        <f t="shared" si="436"/>
        <v>0</v>
      </c>
      <c r="S1046">
        <f t="shared" si="437"/>
        <v>5</v>
      </c>
      <c r="W1046" t="str">
        <f>IF(周转筐出入库明细!$C1047="","",周转筐出入库明细!$C1047)</f>
        <v/>
      </c>
      <c r="X1046">
        <f t="shared" si="438"/>
        <v>0</v>
      </c>
      <c r="Y1046">
        <f t="shared" si="439"/>
        <v>12</v>
      </c>
      <c r="AC1046" t="str">
        <f>IF(客户自备加工筐明细!$C1046="","",客户自备加工筐明细!$C1046)</f>
        <v/>
      </c>
      <c r="AD1046">
        <f t="shared" si="440"/>
        <v>0</v>
      </c>
      <c r="AE1046">
        <f t="shared" si="441"/>
        <v>1</v>
      </c>
      <c r="AI1046" t="str">
        <f>IF(客户自备加工筐明细!$E1046="","",客户自备加工筐明细!$E1046)</f>
        <v/>
      </c>
      <c r="AJ1046">
        <f t="shared" si="442"/>
        <v>0</v>
      </c>
      <c r="AK1046">
        <f t="shared" si="443"/>
        <v>1</v>
      </c>
      <c r="BS1046" t="str">
        <f t="shared" si="431"/>
        <v/>
      </c>
      <c r="BT1046">
        <f t="shared" si="444"/>
        <v>0</v>
      </c>
      <c r="BU1046">
        <f t="shared" si="445"/>
        <v>18</v>
      </c>
      <c r="CP1046">
        <f>IF(包装物料出入库明细!$D1046="",0,1)</f>
        <v>0</v>
      </c>
      <c r="CQ1046">
        <f t="shared" si="446"/>
        <v>37</v>
      </c>
      <c r="CS1046" t="str">
        <f>IF(OR(周转筐出入库明细!$C1047="",周转筐出入库明细!$F1047&lt;&gt;"采购入库"),"",周转筐出入库明细!$C1047)</f>
        <v/>
      </c>
      <c r="CT1046">
        <f t="shared" si="447"/>
        <v>0</v>
      </c>
      <c r="CU1046">
        <f t="shared" si="448"/>
        <v>1</v>
      </c>
    </row>
    <row r="1047" spans="1:99">
      <c r="A1047" t="str">
        <f>IF(包装物料出入库明细!$E1047="","",包装物料出入库明细!$E1047)</f>
        <v/>
      </c>
      <c r="B1047">
        <f t="shared" si="432"/>
        <v>0</v>
      </c>
      <c r="C1047">
        <f t="shared" si="433"/>
        <v>7</v>
      </c>
      <c r="D1047" t="str">
        <f>IF(包装物料出入库明细!$E1047="","",包装物料出入库明细!$F1047)</f>
        <v/>
      </c>
      <c r="E1047" t="str">
        <f>IF(包装物料出入库明细!$E1047="","",包装物料出入库明细!$G1047)</f>
        <v/>
      </c>
      <c r="K1047" t="str">
        <f>IF(包装物料出入库明细!$D1047="","",包装物料出入库明细!$D1047)</f>
        <v/>
      </c>
      <c r="L1047">
        <f t="shared" si="434"/>
        <v>0</v>
      </c>
      <c r="M1047">
        <f t="shared" si="435"/>
        <v>9</v>
      </c>
      <c r="Q1047" t="str">
        <f>IF(周转筐出入库明细!$D1048="","",周转筐出入库明细!$D1048)</f>
        <v/>
      </c>
      <c r="R1047">
        <f t="shared" si="436"/>
        <v>0</v>
      </c>
      <c r="S1047">
        <f t="shared" si="437"/>
        <v>5</v>
      </c>
      <c r="W1047" t="str">
        <f>IF(周转筐出入库明细!$C1048="","",周转筐出入库明细!$C1048)</f>
        <v/>
      </c>
      <c r="X1047">
        <f t="shared" si="438"/>
        <v>0</v>
      </c>
      <c r="Y1047">
        <f t="shared" si="439"/>
        <v>12</v>
      </c>
      <c r="AC1047" t="str">
        <f>IF(客户自备加工筐明细!$C1047="","",客户自备加工筐明细!$C1047)</f>
        <v/>
      </c>
      <c r="AD1047">
        <f t="shared" si="440"/>
        <v>0</v>
      </c>
      <c r="AE1047">
        <f t="shared" si="441"/>
        <v>1</v>
      </c>
      <c r="AI1047" t="str">
        <f>IF(客户自备加工筐明细!$E1047="","",客户自备加工筐明细!$E1047)</f>
        <v/>
      </c>
      <c r="AJ1047">
        <f t="shared" si="442"/>
        <v>0</v>
      </c>
      <c r="AK1047">
        <f t="shared" si="443"/>
        <v>1</v>
      </c>
      <c r="BS1047" t="str">
        <f t="shared" si="431"/>
        <v/>
      </c>
      <c r="BT1047">
        <f t="shared" si="444"/>
        <v>0</v>
      </c>
      <c r="BU1047">
        <f t="shared" si="445"/>
        <v>18</v>
      </c>
      <c r="CP1047">
        <f>IF(包装物料出入库明细!$D1047="",0,1)</f>
        <v>0</v>
      </c>
      <c r="CQ1047">
        <f t="shared" si="446"/>
        <v>37</v>
      </c>
      <c r="CS1047" t="str">
        <f>IF(OR(周转筐出入库明细!$C1048="",周转筐出入库明细!$F1048&lt;&gt;"采购入库"),"",周转筐出入库明细!$C1048)</f>
        <v/>
      </c>
      <c r="CT1047">
        <f t="shared" si="447"/>
        <v>0</v>
      </c>
      <c r="CU1047">
        <f t="shared" si="448"/>
        <v>1</v>
      </c>
    </row>
    <row r="1048" spans="1:99">
      <c r="A1048" t="str">
        <f>IF(包装物料出入库明细!$E1048="","",包装物料出入库明细!$E1048)</f>
        <v/>
      </c>
      <c r="B1048">
        <f t="shared" si="432"/>
        <v>0</v>
      </c>
      <c r="C1048">
        <f t="shared" si="433"/>
        <v>7</v>
      </c>
      <c r="D1048" t="str">
        <f>IF(包装物料出入库明细!$E1048="","",包装物料出入库明细!$F1048)</f>
        <v/>
      </c>
      <c r="E1048" t="str">
        <f>IF(包装物料出入库明细!$E1048="","",包装物料出入库明细!$G1048)</f>
        <v/>
      </c>
      <c r="K1048" t="str">
        <f>IF(包装物料出入库明细!$D1048="","",包装物料出入库明细!$D1048)</f>
        <v/>
      </c>
      <c r="L1048">
        <f t="shared" si="434"/>
        <v>0</v>
      </c>
      <c r="M1048">
        <f t="shared" si="435"/>
        <v>9</v>
      </c>
      <c r="Q1048" t="str">
        <f>IF(周转筐出入库明细!$D1049="","",周转筐出入库明细!$D1049)</f>
        <v/>
      </c>
      <c r="R1048">
        <f t="shared" si="436"/>
        <v>0</v>
      </c>
      <c r="S1048">
        <f t="shared" si="437"/>
        <v>5</v>
      </c>
      <c r="W1048" t="str">
        <f>IF(周转筐出入库明细!$C1049="","",周转筐出入库明细!$C1049)</f>
        <v/>
      </c>
      <c r="X1048">
        <f t="shared" si="438"/>
        <v>0</v>
      </c>
      <c r="Y1048">
        <f t="shared" si="439"/>
        <v>12</v>
      </c>
      <c r="AC1048" t="str">
        <f>IF(客户自备加工筐明细!$C1048="","",客户自备加工筐明细!$C1048)</f>
        <v/>
      </c>
      <c r="AD1048">
        <f t="shared" si="440"/>
        <v>0</v>
      </c>
      <c r="AE1048">
        <f t="shared" si="441"/>
        <v>1</v>
      </c>
      <c r="AI1048" t="str">
        <f>IF(客户自备加工筐明细!$E1048="","",客户自备加工筐明细!$E1048)</f>
        <v/>
      </c>
      <c r="AJ1048">
        <f t="shared" si="442"/>
        <v>0</v>
      </c>
      <c r="AK1048">
        <f t="shared" si="443"/>
        <v>1</v>
      </c>
      <c r="BS1048" t="str">
        <f t="shared" si="431"/>
        <v/>
      </c>
      <c r="BT1048">
        <f t="shared" si="444"/>
        <v>0</v>
      </c>
      <c r="BU1048">
        <f t="shared" si="445"/>
        <v>18</v>
      </c>
      <c r="CP1048">
        <f>IF(包装物料出入库明细!$D1048="",0,1)</f>
        <v>0</v>
      </c>
      <c r="CQ1048">
        <f t="shared" si="446"/>
        <v>37</v>
      </c>
      <c r="CS1048" t="str">
        <f>IF(OR(周转筐出入库明细!$C1049="",周转筐出入库明细!$F1049&lt;&gt;"采购入库"),"",周转筐出入库明细!$C1049)</f>
        <v/>
      </c>
      <c r="CT1048">
        <f t="shared" si="447"/>
        <v>0</v>
      </c>
      <c r="CU1048">
        <f t="shared" si="448"/>
        <v>1</v>
      </c>
    </row>
    <row r="1049" spans="1:99">
      <c r="A1049" t="str">
        <f>IF(包装物料出入库明细!$E1049="","",包装物料出入库明细!$E1049)</f>
        <v/>
      </c>
      <c r="B1049">
        <f t="shared" si="432"/>
        <v>0</v>
      </c>
      <c r="C1049">
        <f t="shared" si="433"/>
        <v>7</v>
      </c>
      <c r="D1049" t="str">
        <f>IF(包装物料出入库明细!$E1049="","",包装物料出入库明细!$F1049)</f>
        <v/>
      </c>
      <c r="E1049" t="str">
        <f>IF(包装物料出入库明细!$E1049="","",包装物料出入库明细!$G1049)</f>
        <v/>
      </c>
      <c r="K1049" t="str">
        <f>IF(包装物料出入库明细!$D1049="","",包装物料出入库明细!$D1049)</f>
        <v/>
      </c>
      <c r="L1049">
        <f t="shared" si="434"/>
        <v>0</v>
      </c>
      <c r="M1049">
        <f t="shared" si="435"/>
        <v>9</v>
      </c>
      <c r="Q1049" t="str">
        <f>IF(周转筐出入库明细!$D1050="","",周转筐出入库明细!$D1050)</f>
        <v/>
      </c>
      <c r="R1049">
        <f t="shared" si="436"/>
        <v>0</v>
      </c>
      <c r="S1049">
        <f t="shared" si="437"/>
        <v>5</v>
      </c>
      <c r="W1049" t="str">
        <f>IF(周转筐出入库明细!$C1050="","",周转筐出入库明细!$C1050)</f>
        <v/>
      </c>
      <c r="X1049">
        <f t="shared" si="438"/>
        <v>0</v>
      </c>
      <c r="Y1049">
        <f t="shared" si="439"/>
        <v>12</v>
      </c>
      <c r="AC1049" t="str">
        <f>IF(客户自备加工筐明细!$C1049="","",客户自备加工筐明细!$C1049)</f>
        <v/>
      </c>
      <c r="AD1049">
        <f t="shared" si="440"/>
        <v>0</v>
      </c>
      <c r="AE1049">
        <f t="shared" si="441"/>
        <v>1</v>
      </c>
      <c r="AI1049" t="str">
        <f>IF(客户自备加工筐明细!$E1049="","",客户自备加工筐明细!$E1049)</f>
        <v/>
      </c>
      <c r="AJ1049">
        <f t="shared" si="442"/>
        <v>0</v>
      </c>
      <c r="AK1049">
        <f t="shared" si="443"/>
        <v>1</v>
      </c>
      <c r="BS1049" t="str">
        <f t="shared" si="431"/>
        <v/>
      </c>
      <c r="BT1049">
        <f t="shared" si="444"/>
        <v>0</v>
      </c>
      <c r="BU1049">
        <f t="shared" si="445"/>
        <v>18</v>
      </c>
      <c r="CP1049">
        <f>IF(包装物料出入库明细!$D1049="",0,1)</f>
        <v>0</v>
      </c>
      <c r="CQ1049">
        <f t="shared" si="446"/>
        <v>37</v>
      </c>
      <c r="CS1049" t="str">
        <f>IF(OR(周转筐出入库明细!$C1050="",周转筐出入库明细!$F1050&lt;&gt;"采购入库"),"",周转筐出入库明细!$C1050)</f>
        <v/>
      </c>
      <c r="CT1049">
        <f t="shared" si="447"/>
        <v>0</v>
      </c>
      <c r="CU1049">
        <f t="shared" si="448"/>
        <v>1</v>
      </c>
    </row>
    <row r="1050" spans="1:99">
      <c r="A1050" t="str">
        <f>IF(包装物料出入库明细!$E1050="","",包装物料出入库明细!$E1050)</f>
        <v/>
      </c>
      <c r="B1050">
        <f t="shared" si="432"/>
        <v>0</v>
      </c>
      <c r="C1050">
        <f t="shared" si="433"/>
        <v>7</v>
      </c>
      <c r="D1050" t="str">
        <f>IF(包装物料出入库明细!$E1050="","",包装物料出入库明细!$F1050)</f>
        <v/>
      </c>
      <c r="E1050" t="str">
        <f>IF(包装物料出入库明细!$E1050="","",包装物料出入库明细!$G1050)</f>
        <v/>
      </c>
      <c r="K1050" t="str">
        <f>IF(包装物料出入库明细!$D1050="","",包装物料出入库明细!$D1050)</f>
        <v/>
      </c>
      <c r="L1050">
        <f t="shared" si="434"/>
        <v>0</v>
      </c>
      <c r="M1050">
        <f t="shared" si="435"/>
        <v>9</v>
      </c>
      <c r="Q1050" t="str">
        <f>IF(周转筐出入库明细!$D1051="","",周转筐出入库明细!$D1051)</f>
        <v/>
      </c>
      <c r="R1050">
        <f t="shared" si="436"/>
        <v>0</v>
      </c>
      <c r="S1050">
        <f t="shared" si="437"/>
        <v>5</v>
      </c>
      <c r="W1050" t="str">
        <f>IF(周转筐出入库明细!$C1051="","",周转筐出入库明细!$C1051)</f>
        <v/>
      </c>
      <c r="X1050">
        <f t="shared" si="438"/>
        <v>0</v>
      </c>
      <c r="Y1050">
        <f t="shared" si="439"/>
        <v>12</v>
      </c>
      <c r="AC1050" t="str">
        <f>IF(客户自备加工筐明细!$C1050="","",客户自备加工筐明细!$C1050)</f>
        <v/>
      </c>
      <c r="AD1050">
        <f t="shared" si="440"/>
        <v>0</v>
      </c>
      <c r="AE1050">
        <f t="shared" si="441"/>
        <v>1</v>
      </c>
      <c r="AI1050" t="str">
        <f>IF(客户自备加工筐明细!$E1050="","",客户自备加工筐明细!$E1050)</f>
        <v/>
      </c>
      <c r="AJ1050">
        <f t="shared" si="442"/>
        <v>0</v>
      </c>
      <c r="AK1050">
        <f t="shared" si="443"/>
        <v>1</v>
      </c>
      <c r="BS1050" t="str">
        <f t="shared" si="431"/>
        <v/>
      </c>
      <c r="BT1050">
        <f t="shared" si="444"/>
        <v>0</v>
      </c>
      <c r="BU1050">
        <f t="shared" si="445"/>
        <v>18</v>
      </c>
      <c r="CP1050">
        <f>IF(包装物料出入库明细!$D1050="",0,1)</f>
        <v>0</v>
      </c>
      <c r="CQ1050">
        <f t="shared" si="446"/>
        <v>37</v>
      </c>
      <c r="CS1050" t="str">
        <f>IF(OR(周转筐出入库明细!$C1051="",周转筐出入库明细!$F1051&lt;&gt;"采购入库"),"",周转筐出入库明细!$C1051)</f>
        <v/>
      </c>
      <c r="CT1050">
        <f t="shared" si="447"/>
        <v>0</v>
      </c>
      <c r="CU1050">
        <f t="shared" si="448"/>
        <v>1</v>
      </c>
    </row>
    <row r="1051" spans="1:99">
      <c r="A1051" t="str">
        <f>IF(包装物料出入库明细!$E1051="","",包装物料出入库明细!$E1051)</f>
        <v/>
      </c>
      <c r="B1051">
        <f t="shared" si="432"/>
        <v>0</v>
      </c>
      <c r="C1051">
        <f t="shared" si="433"/>
        <v>7</v>
      </c>
      <c r="D1051" t="str">
        <f>IF(包装物料出入库明细!$E1051="","",包装物料出入库明细!$F1051)</f>
        <v/>
      </c>
      <c r="E1051" t="str">
        <f>IF(包装物料出入库明细!$E1051="","",包装物料出入库明细!$G1051)</f>
        <v/>
      </c>
      <c r="K1051" t="str">
        <f>IF(包装物料出入库明细!$D1051="","",包装物料出入库明细!$D1051)</f>
        <v/>
      </c>
      <c r="L1051">
        <f t="shared" si="434"/>
        <v>0</v>
      </c>
      <c r="M1051">
        <f t="shared" si="435"/>
        <v>9</v>
      </c>
      <c r="Q1051" t="str">
        <f>IF(周转筐出入库明细!$D1052="","",周转筐出入库明细!$D1052)</f>
        <v/>
      </c>
      <c r="R1051">
        <f t="shared" si="436"/>
        <v>0</v>
      </c>
      <c r="S1051">
        <f t="shared" si="437"/>
        <v>5</v>
      </c>
      <c r="W1051" t="str">
        <f>IF(周转筐出入库明细!$C1052="","",周转筐出入库明细!$C1052)</f>
        <v/>
      </c>
      <c r="X1051">
        <f t="shared" si="438"/>
        <v>0</v>
      </c>
      <c r="Y1051">
        <f t="shared" si="439"/>
        <v>12</v>
      </c>
      <c r="AC1051" t="str">
        <f>IF(客户自备加工筐明细!$C1051="","",客户自备加工筐明细!$C1051)</f>
        <v/>
      </c>
      <c r="AD1051">
        <f t="shared" si="440"/>
        <v>0</v>
      </c>
      <c r="AE1051">
        <f t="shared" si="441"/>
        <v>1</v>
      </c>
      <c r="AI1051" t="str">
        <f>IF(客户自备加工筐明细!$E1051="","",客户自备加工筐明细!$E1051)</f>
        <v/>
      </c>
      <c r="AJ1051">
        <f t="shared" si="442"/>
        <v>0</v>
      </c>
      <c r="AK1051">
        <f t="shared" si="443"/>
        <v>1</v>
      </c>
      <c r="BS1051" t="str">
        <f t="shared" si="431"/>
        <v/>
      </c>
      <c r="BT1051">
        <f t="shared" si="444"/>
        <v>0</v>
      </c>
      <c r="BU1051">
        <f t="shared" si="445"/>
        <v>18</v>
      </c>
      <c r="CP1051">
        <f>IF(包装物料出入库明细!$D1051="",0,1)</f>
        <v>0</v>
      </c>
      <c r="CQ1051">
        <f t="shared" si="446"/>
        <v>37</v>
      </c>
      <c r="CS1051" t="str">
        <f>IF(OR(周转筐出入库明细!$C1052="",周转筐出入库明细!$F1052&lt;&gt;"采购入库"),"",周转筐出入库明细!$C1052)</f>
        <v/>
      </c>
      <c r="CT1051">
        <f t="shared" si="447"/>
        <v>0</v>
      </c>
      <c r="CU1051">
        <f t="shared" si="448"/>
        <v>1</v>
      </c>
    </row>
    <row r="1052" spans="1:99">
      <c r="A1052" t="str">
        <f>IF(包装物料出入库明细!$E1052="","",包装物料出入库明细!$E1052)</f>
        <v/>
      </c>
      <c r="B1052">
        <f t="shared" si="432"/>
        <v>0</v>
      </c>
      <c r="C1052">
        <f t="shared" si="433"/>
        <v>7</v>
      </c>
      <c r="D1052" t="str">
        <f>IF(包装物料出入库明细!$E1052="","",包装物料出入库明细!$F1052)</f>
        <v/>
      </c>
      <c r="E1052" t="str">
        <f>IF(包装物料出入库明细!$E1052="","",包装物料出入库明细!$G1052)</f>
        <v/>
      </c>
      <c r="K1052" t="str">
        <f>IF(包装物料出入库明细!$D1052="","",包装物料出入库明细!$D1052)</f>
        <v/>
      </c>
      <c r="L1052">
        <f t="shared" si="434"/>
        <v>0</v>
      </c>
      <c r="M1052">
        <f t="shared" si="435"/>
        <v>9</v>
      </c>
      <c r="Q1052" t="str">
        <f>IF(周转筐出入库明细!$D1053="","",周转筐出入库明细!$D1053)</f>
        <v/>
      </c>
      <c r="R1052">
        <f t="shared" si="436"/>
        <v>0</v>
      </c>
      <c r="S1052">
        <f t="shared" si="437"/>
        <v>5</v>
      </c>
      <c r="W1052" t="str">
        <f>IF(周转筐出入库明细!$C1053="","",周转筐出入库明细!$C1053)</f>
        <v/>
      </c>
      <c r="X1052">
        <f t="shared" si="438"/>
        <v>0</v>
      </c>
      <c r="Y1052">
        <f t="shared" si="439"/>
        <v>12</v>
      </c>
      <c r="AC1052" t="str">
        <f>IF(客户自备加工筐明细!$C1052="","",客户自备加工筐明细!$C1052)</f>
        <v/>
      </c>
      <c r="AD1052">
        <f t="shared" si="440"/>
        <v>0</v>
      </c>
      <c r="AE1052">
        <f t="shared" si="441"/>
        <v>1</v>
      </c>
      <c r="AI1052" t="str">
        <f>IF(客户自备加工筐明细!$E1052="","",客户自备加工筐明细!$E1052)</f>
        <v/>
      </c>
      <c r="AJ1052">
        <f t="shared" si="442"/>
        <v>0</v>
      </c>
      <c r="AK1052">
        <f t="shared" si="443"/>
        <v>1</v>
      </c>
      <c r="BS1052" t="str">
        <f t="shared" si="431"/>
        <v/>
      </c>
      <c r="BT1052">
        <f t="shared" si="444"/>
        <v>0</v>
      </c>
      <c r="BU1052">
        <f t="shared" si="445"/>
        <v>18</v>
      </c>
      <c r="CP1052">
        <f>IF(包装物料出入库明细!$D1052="",0,1)</f>
        <v>0</v>
      </c>
      <c r="CQ1052">
        <f t="shared" si="446"/>
        <v>37</v>
      </c>
      <c r="CS1052" t="str">
        <f>IF(OR(周转筐出入库明细!$C1053="",周转筐出入库明细!$F1053&lt;&gt;"采购入库"),"",周转筐出入库明细!$C1053)</f>
        <v/>
      </c>
      <c r="CT1052">
        <f t="shared" si="447"/>
        <v>0</v>
      </c>
      <c r="CU1052">
        <f t="shared" si="448"/>
        <v>1</v>
      </c>
    </row>
    <row r="1053" spans="1:99">
      <c r="A1053" t="str">
        <f>IF(包装物料出入库明细!$E1053="","",包装物料出入库明细!$E1053)</f>
        <v/>
      </c>
      <c r="B1053">
        <f t="shared" si="432"/>
        <v>0</v>
      </c>
      <c r="C1053">
        <f t="shared" si="433"/>
        <v>7</v>
      </c>
      <c r="D1053" t="str">
        <f>IF(包装物料出入库明细!$E1053="","",包装物料出入库明细!$F1053)</f>
        <v/>
      </c>
      <c r="E1053" t="str">
        <f>IF(包装物料出入库明细!$E1053="","",包装物料出入库明细!$G1053)</f>
        <v/>
      </c>
      <c r="K1053" t="str">
        <f>IF(包装物料出入库明细!$D1053="","",包装物料出入库明细!$D1053)</f>
        <v/>
      </c>
      <c r="L1053">
        <f t="shared" si="434"/>
        <v>0</v>
      </c>
      <c r="M1053">
        <f t="shared" si="435"/>
        <v>9</v>
      </c>
      <c r="Q1053" t="str">
        <f>IF(周转筐出入库明细!$D1054="","",周转筐出入库明细!$D1054)</f>
        <v/>
      </c>
      <c r="R1053">
        <f t="shared" si="436"/>
        <v>0</v>
      </c>
      <c r="S1053">
        <f t="shared" si="437"/>
        <v>5</v>
      </c>
      <c r="W1053" t="str">
        <f>IF(周转筐出入库明细!$C1054="","",周转筐出入库明细!$C1054)</f>
        <v/>
      </c>
      <c r="X1053">
        <f t="shared" si="438"/>
        <v>0</v>
      </c>
      <c r="Y1053">
        <f t="shared" si="439"/>
        <v>12</v>
      </c>
      <c r="AC1053" t="str">
        <f>IF(客户自备加工筐明细!$C1053="","",客户自备加工筐明细!$C1053)</f>
        <v/>
      </c>
      <c r="AD1053">
        <f t="shared" si="440"/>
        <v>0</v>
      </c>
      <c r="AE1053">
        <f t="shared" si="441"/>
        <v>1</v>
      </c>
      <c r="AI1053" t="str">
        <f>IF(客户自备加工筐明细!$E1053="","",客户自备加工筐明细!$E1053)</f>
        <v/>
      </c>
      <c r="AJ1053">
        <f t="shared" si="442"/>
        <v>0</v>
      </c>
      <c r="AK1053">
        <f t="shared" si="443"/>
        <v>1</v>
      </c>
      <c r="BS1053" t="str">
        <f t="shared" si="431"/>
        <v/>
      </c>
      <c r="BT1053">
        <f t="shared" si="444"/>
        <v>0</v>
      </c>
      <c r="BU1053">
        <f t="shared" si="445"/>
        <v>18</v>
      </c>
      <c r="CP1053">
        <f>IF(包装物料出入库明细!$D1053="",0,1)</f>
        <v>0</v>
      </c>
      <c r="CQ1053">
        <f t="shared" si="446"/>
        <v>37</v>
      </c>
      <c r="CS1053" t="str">
        <f>IF(OR(周转筐出入库明细!$C1054="",周转筐出入库明细!$F1054&lt;&gt;"采购入库"),"",周转筐出入库明细!$C1054)</f>
        <v/>
      </c>
      <c r="CT1053">
        <f t="shared" si="447"/>
        <v>0</v>
      </c>
      <c r="CU1053">
        <f t="shared" si="448"/>
        <v>1</v>
      </c>
    </row>
    <row r="1054" spans="1:99">
      <c r="A1054" t="str">
        <f>IF(包装物料出入库明细!$E1054="","",包装物料出入库明细!$E1054)</f>
        <v/>
      </c>
      <c r="B1054">
        <f t="shared" si="432"/>
        <v>0</v>
      </c>
      <c r="C1054">
        <f t="shared" si="433"/>
        <v>7</v>
      </c>
      <c r="D1054" t="str">
        <f>IF(包装物料出入库明细!$E1054="","",包装物料出入库明细!$F1054)</f>
        <v/>
      </c>
      <c r="E1054" t="str">
        <f>IF(包装物料出入库明细!$E1054="","",包装物料出入库明细!$G1054)</f>
        <v/>
      </c>
      <c r="K1054" t="str">
        <f>IF(包装物料出入库明细!$D1054="","",包装物料出入库明细!$D1054)</f>
        <v/>
      </c>
      <c r="L1054">
        <f t="shared" si="434"/>
        <v>0</v>
      </c>
      <c r="M1054">
        <f t="shared" si="435"/>
        <v>9</v>
      </c>
      <c r="Q1054" t="str">
        <f>IF(周转筐出入库明细!$D1055="","",周转筐出入库明细!$D1055)</f>
        <v/>
      </c>
      <c r="R1054">
        <f t="shared" si="436"/>
        <v>0</v>
      </c>
      <c r="S1054">
        <f t="shared" si="437"/>
        <v>5</v>
      </c>
      <c r="W1054" t="str">
        <f>IF(周转筐出入库明细!$C1055="","",周转筐出入库明细!$C1055)</f>
        <v/>
      </c>
      <c r="X1054">
        <f t="shared" si="438"/>
        <v>0</v>
      </c>
      <c r="Y1054">
        <f t="shared" si="439"/>
        <v>12</v>
      </c>
      <c r="AC1054" t="str">
        <f>IF(客户自备加工筐明细!$C1054="","",客户自备加工筐明细!$C1054)</f>
        <v/>
      </c>
      <c r="AD1054">
        <f t="shared" si="440"/>
        <v>0</v>
      </c>
      <c r="AE1054">
        <f t="shared" si="441"/>
        <v>1</v>
      </c>
      <c r="AI1054" t="str">
        <f>IF(客户自备加工筐明细!$E1054="","",客户自备加工筐明细!$E1054)</f>
        <v/>
      </c>
      <c r="AJ1054">
        <f t="shared" si="442"/>
        <v>0</v>
      </c>
      <c r="AK1054">
        <f t="shared" si="443"/>
        <v>1</v>
      </c>
      <c r="BS1054" t="str">
        <f t="shared" si="431"/>
        <v/>
      </c>
      <c r="BT1054">
        <f t="shared" si="444"/>
        <v>0</v>
      </c>
      <c r="BU1054">
        <f t="shared" si="445"/>
        <v>18</v>
      </c>
      <c r="CP1054">
        <f>IF(包装物料出入库明细!$D1054="",0,1)</f>
        <v>0</v>
      </c>
      <c r="CQ1054">
        <f t="shared" si="446"/>
        <v>37</v>
      </c>
      <c r="CS1054" t="str">
        <f>IF(OR(周转筐出入库明细!$C1055="",周转筐出入库明细!$F1055&lt;&gt;"采购入库"),"",周转筐出入库明细!$C1055)</f>
        <v/>
      </c>
      <c r="CT1054">
        <f t="shared" si="447"/>
        <v>0</v>
      </c>
      <c r="CU1054">
        <f t="shared" si="448"/>
        <v>1</v>
      </c>
    </row>
    <row r="1055" spans="1:99">
      <c r="A1055" t="str">
        <f>IF(包装物料出入库明细!$E1055="","",包装物料出入库明细!$E1055)</f>
        <v/>
      </c>
      <c r="B1055">
        <f t="shared" si="432"/>
        <v>0</v>
      </c>
      <c r="C1055">
        <f t="shared" si="433"/>
        <v>7</v>
      </c>
      <c r="D1055" t="str">
        <f>IF(包装物料出入库明细!$E1055="","",包装物料出入库明细!$F1055)</f>
        <v/>
      </c>
      <c r="E1055" t="str">
        <f>IF(包装物料出入库明细!$E1055="","",包装物料出入库明细!$G1055)</f>
        <v/>
      </c>
      <c r="K1055" t="str">
        <f>IF(包装物料出入库明细!$D1055="","",包装物料出入库明细!$D1055)</f>
        <v/>
      </c>
      <c r="L1055">
        <f t="shared" si="434"/>
        <v>0</v>
      </c>
      <c r="M1055">
        <f t="shared" si="435"/>
        <v>9</v>
      </c>
      <c r="Q1055" t="str">
        <f>IF(周转筐出入库明细!$D1056="","",周转筐出入库明细!$D1056)</f>
        <v/>
      </c>
      <c r="R1055">
        <f t="shared" si="436"/>
        <v>0</v>
      </c>
      <c r="S1055">
        <f t="shared" si="437"/>
        <v>5</v>
      </c>
      <c r="W1055" t="str">
        <f>IF(周转筐出入库明细!$C1056="","",周转筐出入库明细!$C1056)</f>
        <v/>
      </c>
      <c r="X1055">
        <f t="shared" si="438"/>
        <v>0</v>
      </c>
      <c r="Y1055">
        <f t="shared" si="439"/>
        <v>12</v>
      </c>
      <c r="AC1055" t="str">
        <f>IF(客户自备加工筐明细!$C1055="","",客户自备加工筐明细!$C1055)</f>
        <v/>
      </c>
      <c r="AD1055">
        <f t="shared" si="440"/>
        <v>0</v>
      </c>
      <c r="AE1055">
        <f t="shared" si="441"/>
        <v>1</v>
      </c>
      <c r="AI1055" t="str">
        <f>IF(客户自备加工筐明细!$E1055="","",客户自备加工筐明细!$E1055)</f>
        <v/>
      </c>
      <c r="AJ1055">
        <f t="shared" si="442"/>
        <v>0</v>
      </c>
      <c r="AK1055">
        <f t="shared" si="443"/>
        <v>1</v>
      </c>
      <c r="BS1055" t="str">
        <f t="shared" si="431"/>
        <v/>
      </c>
      <c r="BT1055">
        <f t="shared" si="444"/>
        <v>0</v>
      </c>
      <c r="BU1055">
        <f t="shared" si="445"/>
        <v>18</v>
      </c>
      <c r="CP1055">
        <f>IF(包装物料出入库明细!$D1055="",0,1)</f>
        <v>0</v>
      </c>
      <c r="CQ1055">
        <f t="shared" si="446"/>
        <v>37</v>
      </c>
      <c r="CS1055" t="str">
        <f>IF(OR(周转筐出入库明细!$C1056="",周转筐出入库明细!$F1056&lt;&gt;"采购入库"),"",周转筐出入库明细!$C1056)</f>
        <v/>
      </c>
      <c r="CT1055">
        <f t="shared" si="447"/>
        <v>0</v>
      </c>
      <c r="CU1055">
        <f t="shared" si="448"/>
        <v>1</v>
      </c>
    </row>
    <row r="1056" spans="1:99">
      <c r="A1056" t="str">
        <f>IF(包装物料出入库明细!$E1056="","",包装物料出入库明细!$E1056)</f>
        <v/>
      </c>
      <c r="B1056">
        <f t="shared" si="432"/>
        <v>0</v>
      </c>
      <c r="C1056">
        <f t="shared" si="433"/>
        <v>7</v>
      </c>
      <c r="D1056" t="str">
        <f>IF(包装物料出入库明细!$E1056="","",包装物料出入库明细!$F1056)</f>
        <v/>
      </c>
      <c r="E1056" t="str">
        <f>IF(包装物料出入库明细!$E1056="","",包装物料出入库明细!$G1056)</f>
        <v/>
      </c>
      <c r="K1056" t="str">
        <f>IF(包装物料出入库明细!$D1056="","",包装物料出入库明细!$D1056)</f>
        <v/>
      </c>
      <c r="L1056">
        <f t="shared" si="434"/>
        <v>0</v>
      </c>
      <c r="M1056">
        <f t="shared" si="435"/>
        <v>9</v>
      </c>
      <c r="Q1056" t="str">
        <f>IF(周转筐出入库明细!$D1057="","",周转筐出入库明细!$D1057)</f>
        <v/>
      </c>
      <c r="R1056">
        <f t="shared" si="436"/>
        <v>0</v>
      </c>
      <c r="S1056">
        <f t="shared" si="437"/>
        <v>5</v>
      </c>
      <c r="W1056" t="str">
        <f>IF(周转筐出入库明细!$C1057="","",周转筐出入库明细!$C1057)</f>
        <v/>
      </c>
      <c r="X1056">
        <f t="shared" si="438"/>
        <v>0</v>
      </c>
      <c r="Y1056">
        <f t="shared" si="439"/>
        <v>12</v>
      </c>
      <c r="AC1056" t="str">
        <f>IF(客户自备加工筐明细!$C1056="","",客户自备加工筐明细!$C1056)</f>
        <v/>
      </c>
      <c r="AD1056">
        <f t="shared" si="440"/>
        <v>0</v>
      </c>
      <c r="AE1056">
        <f t="shared" si="441"/>
        <v>1</v>
      </c>
      <c r="AI1056" t="str">
        <f>IF(客户自备加工筐明细!$E1056="","",客户自备加工筐明细!$E1056)</f>
        <v/>
      </c>
      <c r="AJ1056">
        <f t="shared" si="442"/>
        <v>0</v>
      </c>
      <c r="AK1056">
        <f t="shared" si="443"/>
        <v>1</v>
      </c>
      <c r="BS1056" t="str">
        <f t="shared" si="431"/>
        <v/>
      </c>
      <c r="BT1056">
        <f t="shared" si="444"/>
        <v>0</v>
      </c>
      <c r="BU1056">
        <f t="shared" si="445"/>
        <v>18</v>
      </c>
      <c r="CP1056">
        <f>IF(包装物料出入库明细!$D1056="",0,1)</f>
        <v>0</v>
      </c>
      <c r="CQ1056">
        <f t="shared" si="446"/>
        <v>37</v>
      </c>
      <c r="CS1056" t="str">
        <f>IF(OR(周转筐出入库明细!$C1057="",周转筐出入库明细!$F1057&lt;&gt;"采购入库"),"",周转筐出入库明细!$C1057)</f>
        <v/>
      </c>
      <c r="CT1056">
        <f t="shared" si="447"/>
        <v>0</v>
      </c>
      <c r="CU1056">
        <f t="shared" si="448"/>
        <v>1</v>
      </c>
    </row>
    <row r="1057" spans="1:99">
      <c r="A1057" t="str">
        <f>IF(包装物料出入库明细!$E1057="","",包装物料出入库明细!$E1057)</f>
        <v/>
      </c>
      <c r="B1057">
        <f t="shared" si="432"/>
        <v>0</v>
      </c>
      <c r="C1057">
        <f t="shared" si="433"/>
        <v>7</v>
      </c>
      <c r="D1057" t="str">
        <f>IF(包装物料出入库明细!$E1057="","",包装物料出入库明细!$F1057)</f>
        <v/>
      </c>
      <c r="E1057" t="str">
        <f>IF(包装物料出入库明细!$E1057="","",包装物料出入库明细!$G1057)</f>
        <v/>
      </c>
      <c r="K1057" t="str">
        <f>IF(包装物料出入库明细!$D1057="","",包装物料出入库明细!$D1057)</f>
        <v/>
      </c>
      <c r="L1057">
        <f t="shared" si="434"/>
        <v>0</v>
      </c>
      <c r="M1057">
        <f t="shared" si="435"/>
        <v>9</v>
      </c>
      <c r="Q1057" t="str">
        <f>IF(周转筐出入库明细!$D1058="","",周转筐出入库明细!$D1058)</f>
        <v/>
      </c>
      <c r="R1057">
        <f t="shared" si="436"/>
        <v>0</v>
      </c>
      <c r="S1057">
        <f t="shared" si="437"/>
        <v>5</v>
      </c>
      <c r="W1057" t="str">
        <f>IF(周转筐出入库明细!$C1058="","",周转筐出入库明细!$C1058)</f>
        <v/>
      </c>
      <c r="X1057">
        <f t="shared" si="438"/>
        <v>0</v>
      </c>
      <c r="Y1057">
        <f t="shared" si="439"/>
        <v>12</v>
      </c>
      <c r="AC1057" t="str">
        <f>IF(客户自备加工筐明细!$C1057="","",客户自备加工筐明细!$C1057)</f>
        <v/>
      </c>
      <c r="AD1057">
        <f t="shared" si="440"/>
        <v>0</v>
      </c>
      <c r="AE1057">
        <f t="shared" si="441"/>
        <v>1</v>
      </c>
      <c r="AI1057" t="str">
        <f>IF(客户自备加工筐明细!$E1057="","",客户自备加工筐明细!$E1057)</f>
        <v/>
      </c>
      <c r="AJ1057">
        <f t="shared" si="442"/>
        <v>0</v>
      </c>
      <c r="AK1057">
        <f t="shared" si="443"/>
        <v>1</v>
      </c>
      <c r="BS1057" t="str">
        <f t="shared" si="431"/>
        <v/>
      </c>
      <c r="BT1057">
        <f t="shared" si="444"/>
        <v>0</v>
      </c>
      <c r="BU1057">
        <f t="shared" si="445"/>
        <v>18</v>
      </c>
      <c r="CP1057">
        <f>IF(包装物料出入库明细!$D1057="",0,1)</f>
        <v>0</v>
      </c>
      <c r="CQ1057">
        <f t="shared" si="446"/>
        <v>37</v>
      </c>
      <c r="CS1057" t="str">
        <f>IF(OR(周转筐出入库明细!$C1058="",周转筐出入库明细!$F1058&lt;&gt;"采购入库"),"",周转筐出入库明细!$C1058)</f>
        <v/>
      </c>
      <c r="CT1057">
        <f t="shared" si="447"/>
        <v>0</v>
      </c>
      <c r="CU1057">
        <f t="shared" si="448"/>
        <v>1</v>
      </c>
    </row>
    <row r="1058" spans="1:99">
      <c r="A1058" t="str">
        <f>IF(包装物料出入库明细!$E1058="","",包装物料出入库明细!$E1058)</f>
        <v/>
      </c>
      <c r="B1058">
        <f t="shared" si="432"/>
        <v>0</v>
      </c>
      <c r="C1058">
        <f t="shared" si="433"/>
        <v>7</v>
      </c>
      <c r="D1058" t="str">
        <f>IF(包装物料出入库明细!$E1058="","",包装物料出入库明细!$F1058)</f>
        <v/>
      </c>
      <c r="E1058" t="str">
        <f>IF(包装物料出入库明细!$E1058="","",包装物料出入库明细!$G1058)</f>
        <v/>
      </c>
      <c r="K1058" t="str">
        <f>IF(包装物料出入库明细!$D1058="","",包装物料出入库明细!$D1058)</f>
        <v/>
      </c>
      <c r="L1058">
        <f t="shared" si="434"/>
        <v>0</v>
      </c>
      <c r="M1058">
        <f t="shared" si="435"/>
        <v>9</v>
      </c>
      <c r="Q1058" t="str">
        <f>IF(周转筐出入库明细!$D1059="","",周转筐出入库明细!$D1059)</f>
        <v/>
      </c>
      <c r="R1058">
        <f t="shared" si="436"/>
        <v>0</v>
      </c>
      <c r="S1058">
        <f t="shared" si="437"/>
        <v>5</v>
      </c>
      <c r="W1058" t="str">
        <f>IF(周转筐出入库明细!$C1059="","",周转筐出入库明细!$C1059)</f>
        <v/>
      </c>
      <c r="X1058">
        <f t="shared" si="438"/>
        <v>0</v>
      </c>
      <c r="Y1058">
        <f t="shared" si="439"/>
        <v>12</v>
      </c>
      <c r="AC1058" t="str">
        <f>IF(客户自备加工筐明细!$C1058="","",客户自备加工筐明细!$C1058)</f>
        <v/>
      </c>
      <c r="AD1058">
        <f t="shared" si="440"/>
        <v>0</v>
      </c>
      <c r="AE1058">
        <f t="shared" si="441"/>
        <v>1</v>
      </c>
      <c r="AI1058" t="str">
        <f>IF(客户自备加工筐明细!$E1058="","",客户自备加工筐明细!$E1058)</f>
        <v/>
      </c>
      <c r="AJ1058">
        <f t="shared" si="442"/>
        <v>0</v>
      </c>
      <c r="AK1058">
        <f t="shared" si="443"/>
        <v>1</v>
      </c>
      <c r="BS1058" t="str">
        <f t="shared" si="431"/>
        <v/>
      </c>
      <c r="BT1058">
        <f t="shared" si="444"/>
        <v>0</v>
      </c>
      <c r="BU1058">
        <f t="shared" si="445"/>
        <v>18</v>
      </c>
      <c r="CP1058">
        <f>IF(包装物料出入库明细!$D1058="",0,1)</f>
        <v>0</v>
      </c>
      <c r="CQ1058">
        <f t="shared" si="446"/>
        <v>37</v>
      </c>
      <c r="CS1058" t="str">
        <f>IF(OR(周转筐出入库明细!$C1059="",周转筐出入库明细!$F1059&lt;&gt;"采购入库"),"",周转筐出入库明细!$C1059)</f>
        <v/>
      </c>
      <c r="CT1058">
        <f t="shared" si="447"/>
        <v>0</v>
      </c>
      <c r="CU1058">
        <f t="shared" si="448"/>
        <v>1</v>
      </c>
    </row>
    <row r="1059" spans="1:99">
      <c r="A1059" t="str">
        <f>IF(包装物料出入库明细!$E1059="","",包装物料出入库明细!$E1059)</f>
        <v/>
      </c>
      <c r="B1059">
        <f t="shared" si="432"/>
        <v>0</v>
      </c>
      <c r="C1059">
        <f t="shared" si="433"/>
        <v>7</v>
      </c>
      <c r="D1059" t="str">
        <f>IF(包装物料出入库明细!$E1059="","",包装物料出入库明细!$F1059)</f>
        <v/>
      </c>
      <c r="E1059" t="str">
        <f>IF(包装物料出入库明细!$E1059="","",包装物料出入库明细!$G1059)</f>
        <v/>
      </c>
      <c r="K1059" t="str">
        <f>IF(包装物料出入库明细!$D1059="","",包装物料出入库明细!$D1059)</f>
        <v/>
      </c>
      <c r="L1059">
        <f t="shared" si="434"/>
        <v>0</v>
      </c>
      <c r="M1059">
        <f t="shared" si="435"/>
        <v>9</v>
      </c>
      <c r="Q1059" t="str">
        <f>IF(周转筐出入库明细!$D1060="","",周转筐出入库明细!$D1060)</f>
        <v/>
      </c>
      <c r="R1059">
        <f t="shared" si="436"/>
        <v>0</v>
      </c>
      <c r="S1059">
        <f t="shared" si="437"/>
        <v>5</v>
      </c>
      <c r="W1059" t="str">
        <f>IF(周转筐出入库明细!$C1060="","",周转筐出入库明细!$C1060)</f>
        <v/>
      </c>
      <c r="X1059">
        <f t="shared" si="438"/>
        <v>0</v>
      </c>
      <c r="Y1059">
        <f t="shared" si="439"/>
        <v>12</v>
      </c>
      <c r="AC1059" t="str">
        <f>IF(客户自备加工筐明细!$C1059="","",客户自备加工筐明细!$C1059)</f>
        <v/>
      </c>
      <c r="AD1059">
        <f t="shared" si="440"/>
        <v>0</v>
      </c>
      <c r="AE1059">
        <f t="shared" si="441"/>
        <v>1</v>
      </c>
      <c r="AI1059" t="str">
        <f>IF(客户自备加工筐明细!$E1059="","",客户自备加工筐明细!$E1059)</f>
        <v/>
      </c>
      <c r="AJ1059">
        <f t="shared" si="442"/>
        <v>0</v>
      </c>
      <c r="AK1059">
        <f t="shared" si="443"/>
        <v>1</v>
      </c>
      <c r="BS1059" t="str">
        <f t="shared" si="431"/>
        <v/>
      </c>
      <c r="BT1059">
        <f t="shared" si="444"/>
        <v>0</v>
      </c>
      <c r="BU1059">
        <f t="shared" si="445"/>
        <v>18</v>
      </c>
      <c r="CP1059">
        <f>IF(包装物料出入库明细!$D1059="",0,1)</f>
        <v>0</v>
      </c>
      <c r="CQ1059">
        <f t="shared" si="446"/>
        <v>37</v>
      </c>
      <c r="CS1059" t="str">
        <f>IF(OR(周转筐出入库明细!$C1060="",周转筐出入库明细!$F1060&lt;&gt;"采购入库"),"",周转筐出入库明细!$C1060)</f>
        <v/>
      </c>
      <c r="CT1059">
        <f t="shared" si="447"/>
        <v>0</v>
      </c>
      <c r="CU1059">
        <f t="shared" si="448"/>
        <v>1</v>
      </c>
    </row>
    <row r="1060" spans="1:99">
      <c r="A1060" t="str">
        <f>IF(包装物料出入库明细!$E1060="","",包装物料出入库明细!$E1060)</f>
        <v/>
      </c>
      <c r="B1060">
        <f t="shared" si="432"/>
        <v>0</v>
      </c>
      <c r="C1060">
        <f t="shared" si="433"/>
        <v>7</v>
      </c>
      <c r="D1060" t="str">
        <f>IF(包装物料出入库明细!$E1060="","",包装物料出入库明细!$F1060)</f>
        <v/>
      </c>
      <c r="E1060" t="str">
        <f>IF(包装物料出入库明细!$E1060="","",包装物料出入库明细!$G1060)</f>
        <v/>
      </c>
      <c r="K1060" t="str">
        <f>IF(包装物料出入库明细!$D1060="","",包装物料出入库明细!$D1060)</f>
        <v/>
      </c>
      <c r="L1060">
        <f t="shared" si="434"/>
        <v>0</v>
      </c>
      <c r="M1060">
        <f t="shared" si="435"/>
        <v>9</v>
      </c>
      <c r="Q1060" t="str">
        <f>IF(周转筐出入库明细!$D1061="","",周转筐出入库明细!$D1061)</f>
        <v/>
      </c>
      <c r="R1060">
        <f t="shared" si="436"/>
        <v>0</v>
      </c>
      <c r="S1060">
        <f t="shared" si="437"/>
        <v>5</v>
      </c>
      <c r="W1060" t="str">
        <f>IF(周转筐出入库明细!$C1061="","",周转筐出入库明细!$C1061)</f>
        <v/>
      </c>
      <c r="X1060">
        <f t="shared" si="438"/>
        <v>0</v>
      </c>
      <c r="Y1060">
        <f t="shared" si="439"/>
        <v>12</v>
      </c>
      <c r="AC1060" t="str">
        <f>IF(客户自备加工筐明细!$C1060="","",客户自备加工筐明细!$C1060)</f>
        <v/>
      </c>
      <c r="AD1060">
        <f t="shared" si="440"/>
        <v>0</v>
      </c>
      <c r="AE1060">
        <f t="shared" si="441"/>
        <v>1</v>
      </c>
      <c r="AI1060" t="str">
        <f>IF(客户自备加工筐明细!$E1060="","",客户自备加工筐明细!$E1060)</f>
        <v/>
      </c>
      <c r="AJ1060">
        <f t="shared" si="442"/>
        <v>0</v>
      </c>
      <c r="AK1060">
        <f t="shared" si="443"/>
        <v>1</v>
      </c>
      <c r="BS1060" t="str">
        <f t="shared" ref="BS1060:BS1103" si="449">IF($BE260="","",$BE260)</f>
        <v/>
      </c>
      <c r="BT1060">
        <f t="shared" si="444"/>
        <v>0</v>
      </c>
      <c r="BU1060">
        <f t="shared" si="445"/>
        <v>18</v>
      </c>
      <c r="CP1060">
        <f>IF(包装物料出入库明细!$D1060="",0,1)</f>
        <v>0</v>
      </c>
      <c r="CQ1060">
        <f t="shared" si="446"/>
        <v>37</v>
      </c>
      <c r="CS1060" t="str">
        <f>IF(OR(周转筐出入库明细!$C1061="",周转筐出入库明细!$F1061&lt;&gt;"采购入库"),"",周转筐出入库明细!$C1061)</f>
        <v/>
      </c>
      <c r="CT1060">
        <f t="shared" si="447"/>
        <v>0</v>
      </c>
      <c r="CU1060">
        <f t="shared" si="448"/>
        <v>1</v>
      </c>
    </row>
    <row r="1061" spans="1:99">
      <c r="A1061" t="str">
        <f>IF(包装物料出入库明细!$E1061="","",包装物料出入库明细!$E1061)</f>
        <v/>
      </c>
      <c r="B1061">
        <f t="shared" si="432"/>
        <v>0</v>
      </c>
      <c r="C1061">
        <f t="shared" si="433"/>
        <v>7</v>
      </c>
      <c r="D1061" t="str">
        <f>IF(包装物料出入库明细!$E1061="","",包装物料出入库明细!$F1061)</f>
        <v/>
      </c>
      <c r="E1061" t="str">
        <f>IF(包装物料出入库明细!$E1061="","",包装物料出入库明细!$G1061)</f>
        <v/>
      </c>
      <c r="K1061" t="str">
        <f>IF(包装物料出入库明细!$D1061="","",包装物料出入库明细!$D1061)</f>
        <v/>
      </c>
      <c r="L1061">
        <f t="shared" si="434"/>
        <v>0</v>
      </c>
      <c r="M1061">
        <f t="shared" si="435"/>
        <v>9</v>
      </c>
      <c r="Q1061" t="str">
        <f>IF(周转筐出入库明细!$D1062="","",周转筐出入库明细!$D1062)</f>
        <v/>
      </c>
      <c r="R1061">
        <f t="shared" si="436"/>
        <v>0</v>
      </c>
      <c r="S1061">
        <f t="shared" si="437"/>
        <v>5</v>
      </c>
      <c r="W1061" t="str">
        <f>IF(周转筐出入库明细!$C1062="","",周转筐出入库明细!$C1062)</f>
        <v/>
      </c>
      <c r="X1061">
        <f t="shared" si="438"/>
        <v>0</v>
      </c>
      <c r="Y1061">
        <f t="shared" si="439"/>
        <v>12</v>
      </c>
      <c r="AC1061" t="str">
        <f>IF(客户自备加工筐明细!$C1061="","",客户自备加工筐明细!$C1061)</f>
        <v/>
      </c>
      <c r="AD1061">
        <f t="shared" si="440"/>
        <v>0</v>
      </c>
      <c r="AE1061">
        <f t="shared" si="441"/>
        <v>1</v>
      </c>
      <c r="AI1061" t="str">
        <f>IF(客户自备加工筐明细!$E1061="","",客户自备加工筐明细!$E1061)</f>
        <v/>
      </c>
      <c r="AJ1061">
        <f t="shared" si="442"/>
        <v>0</v>
      </c>
      <c r="AK1061">
        <f t="shared" si="443"/>
        <v>1</v>
      </c>
      <c r="BS1061" t="str">
        <f t="shared" si="449"/>
        <v/>
      </c>
      <c r="BT1061">
        <f t="shared" si="444"/>
        <v>0</v>
      </c>
      <c r="BU1061">
        <f t="shared" si="445"/>
        <v>18</v>
      </c>
      <c r="CP1061">
        <f>IF(包装物料出入库明细!$D1061="",0,1)</f>
        <v>0</v>
      </c>
      <c r="CQ1061">
        <f t="shared" si="446"/>
        <v>37</v>
      </c>
      <c r="CS1061" t="str">
        <f>IF(OR(周转筐出入库明细!$C1062="",周转筐出入库明细!$F1062&lt;&gt;"采购入库"),"",周转筐出入库明细!$C1062)</f>
        <v/>
      </c>
      <c r="CT1061">
        <f t="shared" si="447"/>
        <v>0</v>
      </c>
      <c r="CU1061">
        <f t="shared" si="448"/>
        <v>1</v>
      </c>
    </row>
    <row r="1062" spans="1:99">
      <c r="A1062" t="str">
        <f>IF(包装物料出入库明细!$E1062="","",包装物料出入库明细!$E1062)</f>
        <v/>
      </c>
      <c r="B1062">
        <f t="shared" si="432"/>
        <v>0</v>
      </c>
      <c r="C1062">
        <f t="shared" si="433"/>
        <v>7</v>
      </c>
      <c r="D1062" t="str">
        <f>IF(包装物料出入库明细!$E1062="","",包装物料出入库明细!$F1062)</f>
        <v/>
      </c>
      <c r="E1062" t="str">
        <f>IF(包装物料出入库明细!$E1062="","",包装物料出入库明细!$G1062)</f>
        <v/>
      </c>
      <c r="K1062" t="str">
        <f>IF(包装物料出入库明细!$D1062="","",包装物料出入库明细!$D1062)</f>
        <v/>
      </c>
      <c r="L1062">
        <f t="shared" si="434"/>
        <v>0</v>
      </c>
      <c r="M1062">
        <f t="shared" si="435"/>
        <v>9</v>
      </c>
      <c r="Q1062" t="str">
        <f>IF(周转筐出入库明细!$D1063="","",周转筐出入库明细!$D1063)</f>
        <v/>
      </c>
      <c r="R1062">
        <f t="shared" si="436"/>
        <v>0</v>
      </c>
      <c r="S1062">
        <f t="shared" si="437"/>
        <v>5</v>
      </c>
      <c r="W1062" t="str">
        <f>IF(周转筐出入库明细!$C1063="","",周转筐出入库明细!$C1063)</f>
        <v/>
      </c>
      <c r="X1062">
        <f t="shared" si="438"/>
        <v>0</v>
      </c>
      <c r="Y1062">
        <f t="shared" si="439"/>
        <v>12</v>
      </c>
      <c r="AC1062" t="str">
        <f>IF(客户自备加工筐明细!$C1062="","",客户自备加工筐明细!$C1062)</f>
        <v/>
      </c>
      <c r="AD1062">
        <f t="shared" si="440"/>
        <v>0</v>
      </c>
      <c r="AE1062">
        <f t="shared" si="441"/>
        <v>1</v>
      </c>
      <c r="AI1062" t="str">
        <f>IF(客户自备加工筐明细!$E1062="","",客户自备加工筐明细!$E1062)</f>
        <v/>
      </c>
      <c r="AJ1062">
        <f t="shared" si="442"/>
        <v>0</v>
      </c>
      <c r="AK1062">
        <f t="shared" si="443"/>
        <v>1</v>
      </c>
      <c r="BS1062" t="str">
        <f t="shared" si="449"/>
        <v/>
      </c>
      <c r="BT1062">
        <f t="shared" si="444"/>
        <v>0</v>
      </c>
      <c r="BU1062">
        <f t="shared" si="445"/>
        <v>18</v>
      </c>
      <c r="CP1062">
        <f>IF(包装物料出入库明细!$D1062="",0,1)</f>
        <v>0</v>
      </c>
      <c r="CQ1062">
        <f t="shared" si="446"/>
        <v>37</v>
      </c>
      <c r="CS1062" t="str">
        <f>IF(OR(周转筐出入库明细!$C1063="",周转筐出入库明细!$F1063&lt;&gt;"采购入库"),"",周转筐出入库明细!$C1063)</f>
        <v/>
      </c>
      <c r="CT1062">
        <f t="shared" si="447"/>
        <v>0</v>
      </c>
      <c r="CU1062">
        <f t="shared" si="448"/>
        <v>1</v>
      </c>
    </row>
    <row r="1063" spans="1:99">
      <c r="A1063" t="str">
        <f>IF(包装物料出入库明细!$E1063="","",包装物料出入库明细!$E1063)</f>
        <v/>
      </c>
      <c r="B1063">
        <f t="shared" si="432"/>
        <v>0</v>
      </c>
      <c r="C1063">
        <f t="shared" si="433"/>
        <v>7</v>
      </c>
      <c r="D1063" t="str">
        <f>IF(包装物料出入库明细!$E1063="","",包装物料出入库明细!$F1063)</f>
        <v/>
      </c>
      <c r="E1063" t="str">
        <f>IF(包装物料出入库明细!$E1063="","",包装物料出入库明细!$G1063)</f>
        <v/>
      </c>
      <c r="K1063" t="str">
        <f>IF(包装物料出入库明细!$D1063="","",包装物料出入库明细!$D1063)</f>
        <v/>
      </c>
      <c r="L1063">
        <f t="shared" si="434"/>
        <v>0</v>
      </c>
      <c r="M1063">
        <f t="shared" si="435"/>
        <v>9</v>
      </c>
      <c r="Q1063" t="str">
        <f>IF(周转筐出入库明细!$D1064="","",周转筐出入库明细!$D1064)</f>
        <v/>
      </c>
      <c r="R1063">
        <f t="shared" si="436"/>
        <v>0</v>
      </c>
      <c r="S1063">
        <f t="shared" si="437"/>
        <v>5</v>
      </c>
      <c r="W1063" t="str">
        <f>IF(周转筐出入库明细!$C1064="","",周转筐出入库明细!$C1064)</f>
        <v/>
      </c>
      <c r="X1063">
        <f t="shared" si="438"/>
        <v>0</v>
      </c>
      <c r="Y1063">
        <f t="shared" si="439"/>
        <v>12</v>
      </c>
      <c r="AC1063" t="str">
        <f>IF(客户自备加工筐明细!$C1063="","",客户自备加工筐明细!$C1063)</f>
        <v/>
      </c>
      <c r="AD1063">
        <f t="shared" si="440"/>
        <v>0</v>
      </c>
      <c r="AE1063">
        <f t="shared" si="441"/>
        <v>1</v>
      </c>
      <c r="AI1063" t="str">
        <f>IF(客户自备加工筐明细!$E1063="","",客户自备加工筐明细!$E1063)</f>
        <v/>
      </c>
      <c r="AJ1063">
        <f t="shared" si="442"/>
        <v>0</v>
      </c>
      <c r="AK1063">
        <f t="shared" si="443"/>
        <v>1</v>
      </c>
      <c r="BS1063" t="str">
        <f t="shared" si="449"/>
        <v/>
      </c>
      <c r="BT1063">
        <f t="shared" si="444"/>
        <v>0</v>
      </c>
      <c r="BU1063">
        <f t="shared" si="445"/>
        <v>18</v>
      </c>
      <c r="CP1063">
        <f>IF(包装物料出入库明细!$D1063="",0,1)</f>
        <v>0</v>
      </c>
      <c r="CQ1063">
        <f t="shared" si="446"/>
        <v>37</v>
      </c>
      <c r="CS1063" t="str">
        <f>IF(OR(周转筐出入库明细!$C1064="",周转筐出入库明细!$F1064&lt;&gt;"采购入库"),"",周转筐出入库明细!$C1064)</f>
        <v/>
      </c>
      <c r="CT1063">
        <f t="shared" si="447"/>
        <v>0</v>
      </c>
      <c r="CU1063">
        <f t="shared" si="448"/>
        <v>1</v>
      </c>
    </row>
    <row r="1064" spans="1:99">
      <c r="A1064" t="str">
        <f>IF(包装物料出入库明细!$E1064="","",包装物料出入库明细!$E1064)</f>
        <v/>
      </c>
      <c r="B1064">
        <f t="shared" si="432"/>
        <v>0</v>
      </c>
      <c r="C1064">
        <f t="shared" si="433"/>
        <v>7</v>
      </c>
      <c r="D1064" t="str">
        <f>IF(包装物料出入库明细!$E1064="","",包装物料出入库明细!$F1064)</f>
        <v/>
      </c>
      <c r="E1064" t="str">
        <f>IF(包装物料出入库明细!$E1064="","",包装物料出入库明细!$G1064)</f>
        <v/>
      </c>
      <c r="K1064" t="str">
        <f>IF(包装物料出入库明细!$D1064="","",包装物料出入库明细!$D1064)</f>
        <v/>
      </c>
      <c r="L1064">
        <f t="shared" si="434"/>
        <v>0</v>
      </c>
      <c r="M1064">
        <f t="shared" si="435"/>
        <v>9</v>
      </c>
      <c r="Q1064" t="str">
        <f>IF(周转筐出入库明细!$D1065="","",周转筐出入库明细!$D1065)</f>
        <v/>
      </c>
      <c r="R1064">
        <f t="shared" si="436"/>
        <v>0</v>
      </c>
      <c r="S1064">
        <f t="shared" si="437"/>
        <v>5</v>
      </c>
      <c r="W1064" t="str">
        <f>IF(周转筐出入库明细!$C1065="","",周转筐出入库明细!$C1065)</f>
        <v/>
      </c>
      <c r="X1064">
        <f t="shared" si="438"/>
        <v>0</v>
      </c>
      <c r="Y1064">
        <f t="shared" si="439"/>
        <v>12</v>
      </c>
      <c r="AC1064" t="str">
        <f>IF(客户自备加工筐明细!$C1064="","",客户自备加工筐明细!$C1064)</f>
        <v/>
      </c>
      <c r="AD1064">
        <f t="shared" si="440"/>
        <v>0</v>
      </c>
      <c r="AE1064">
        <f t="shared" si="441"/>
        <v>1</v>
      </c>
      <c r="AI1064" t="str">
        <f>IF(客户自备加工筐明细!$E1064="","",客户自备加工筐明细!$E1064)</f>
        <v/>
      </c>
      <c r="AJ1064">
        <f t="shared" si="442"/>
        <v>0</v>
      </c>
      <c r="AK1064">
        <f t="shared" si="443"/>
        <v>1</v>
      </c>
      <c r="BS1064" t="str">
        <f t="shared" si="449"/>
        <v/>
      </c>
      <c r="BT1064">
        <f t="shared" si="444"/>
        <v>0</v>
      </c>
      <c r="BU1064">
        <f t="shared" si="445"/>
        <v>18</v>
      </c>
      <c r="CP1064">
        <f>IF(包装物料出入库明细!$D1064="",0,1)</f>
        <v>0</v>
      </c>
      <c r="CQ1064">
        <f t="shared" si="446"/>
        <v>37</v>
      </c>
      <c r="CS1064" t="str">
        <f>IF(OR(周转筐出入库明细!$C1065="",周转筐出入库明细!$F1065&lt;&gt;"采购入库"),"",周转筐出入库明细!$C1065)</f>
        <v/>
      </c>
      <c r="CT1064">
        <f t="shared" si="447"/>
        <v>0</v>
      </c>
      <c r="CU1064">
        <f t="shared" si="448"/>
        <v>1</v>
      </c>
    </row>
    <row r="1065" spans="1:99">
      <c r="A1065" t="str">
        <f>IF(包装物料出入库明细!$E1065="","",包装物料出入库明细!$E1065)</f>
        <v/>
      </c>
      <c r="B1065">
        <f t="shared" si="432"/>
        <v>0</v>
      </c>
      <c r="C1065">
        <f t="shared" si="433"/>
        <v>7</v>
      </c>
      <c r="D1065" t="str">
        <f>IF(包装物料出入库明细!$E1065="","",包装物料出入库明细!$F1065)</f>
        <v/>
      </c>
      <c r="E1065" t="str">
        <f>IF(包装物料出入库明细!$E1065="","",包装物料出入库明细!$G1065)</f>
        <v/>
      </c>
      <c r="K1065" t="str">
        <f>IF(包装物料出入库明细!$D1065="","",包装物料出入库明细!$D1065)</f>
        <v/>
      </c>
      <c r="L1065">
        <f t="shared" si="434"/>
        <v>0</v>
      </c>
      <c r="M1065">
        <f t="shared" si="435"/>
        <v>9</v>
      </c>
      <c r="Q1065" t="str">
        <f>IF(周转筐出入库明细!$D1066="","",周转筐出入库明细!$D1066)</f>
        <v/>
      </c>
      <c r="R1065">
        <f t="shared" si="436"/>
        <v>0</v>
      </c>
      <c r="S1065">
        <f t="shared" si="437"/>
        <v>5</v>
      </c>
      <c r="W1065" t="str">
        <f>IF(周转筐出入库明细!$C1066="","",周转筐出入库明细!$C1066)</f>
        <v/>
      </c>
      <c r="X1065">
        <f t="shared" si="438"/>
        <v>0</v>
      </c>
      <c r="Y1065">
        <f t="shared" si="439"/>
        <v>12</v>
      </c>
      <c r="AC1065" t="str">
        <f>IF(客户自备加工筐明细!$C1065="","",客户自备加工筐明细!$C1065)</f>
        <v/>
      </c>
      <c r="AD1065">
        <f t="shared" si="440"/>
        <v>0</v>
      </c>
      <c r="AE1065">
        <f t="shared" si="441"/>
        <v>1</v>
      </c>
      <c r="AI1065" t="str">
        <f>IF(客户自备加工筐明细!$E1065="","",客户自备加工筐明细!$E1065)</f>
        <v/>
      </c>
      <c r="AJ1065">
        <f t="shared" si="442"/>
        <v>0</v>
      </c>
      <c r="AK1065">
        <f t="shared" si="443"/>
        <v>1</v>
      </c>
      <c r="BS1065" t="str">
        <f t="shared" si="449"/>
        <v/>
      </c>
      <c r="BT1065">
        <f t="shared" si="444"/>
        <v>0</v>
      </c>
      <c r="BU1065">
        <f t="shared" si="445"/>
        <v>18</v>
      </c>
      <c r="CP1065">
        <f>IF(包装物料出入库明细!$D1065="",0,1)</f>
        <v>0</v>
      </c>
      <c r="CQ1065">
        <f t="shared" si="446"/>
        <v>37</v>
      </c>
      <c r="CS1065" t="str">
        <f>IF(OR(周转筐出入库明细!$C1066="",周转筐出入库明细!$F1066&lt;&gt;"采购入库"),"",周转筐出入库明细!$C1066)</f>
        <v/>
      </c>
      <c r="CT1065">
        <f t="shared" si="447"/>
        <v>0</v>
      </c>
      <c r="CU1065">
        <f t="shared" si="448"/>
        <v>1</v>
      </c>
    </row>
    <row r="1066" spans="1:99">
      <c r="A1066" t="str">
        <f>IF(包装物料出入库明细!$E1066="","",包装物料出入库明细!$E1066)</f>
        <v/>
      </c>
      <c r="B1066">
        <f t="shared" si="432"/>
        <v>0</v>
      </c>
      <c r="C1066">
        <f t="shared" si="433"/>
        <v>7</v>
      </c>
      <c r="D1066" t="str">
        <f>IF(包装物料出入库明细!$E1066="","",包装物料出入库明细!$F1066)</f>
        <v/>
      </c>
      <c r="E1066" t="str">
        <f>IF(包装物料出入库明细!$E1066="","",包装物料出入库明细!$G1066)</f>
        <v/>
      </c>
      <c r="K1066" t="str">
        <f>IF(包装物料出入库明细!$D1066="","",包装物料出入库明细!$D1066)</f>
        <v/>
      </c>
      <c r="L1066">
        <f t="shared" si="434"/>
        <v>0</v>
      </c>
      <c r="M1066">
        <f t="shared" si="435"/>
        <v>9</v>
      </c>
      <c r="Q1066" t="str">
        <f>IF(周转筐出入库明细!$D1067="","",周转筐出入库明细!$D1067)</f>
        <v/>
      </c>
      <c r="R1066">
        <f t="shared" si="436"/>
        <v>0</v>
      </c>
      <c r="S1066">
        <f t="shared" si="437"/>
        <v>5</v>
      </c>
      <c r="W1066" t="str">
        <f>IF(周转筐出入库明细!$C1067="","",周转筐出入库明细!$C1067)</f>
        <v/>
      </c>
      <c r="X1066">
        <f t="shared" si="438"/>
        <v>0</v>
      </c>
      <c r="Y1066">
        <f t="shared" si="439"/>
        <v>12</v>
      </c>
      <c r="AC1066" t="str">
        <f>IF(客户自备加工筐明细!$C1066="","",客户自备加工筐明细!$C1066)</f>
        <v/>
      </c>
      <c r="AD1066">
        <f t="shared" si="440"/>
        <v>0</v>
      </c>
      <c r="AE1066">
        <f t="shared" si="441"/>
        <v>1</v>
      </c>
      <c r="AI1066" t="str">
        <f>IF(客户自备加工筐明细!$E1066="","",客户自备加工筐明细!$E1066)</f>
        <v/>
      </c>
      <c r="AJ1066">
        <f t="shared" si="442"/>
        <v>0</v>
      </c>
      <c r="AK1066">
        <f t="shared" si="443"/>
        <v>1</v>
      </c>
      <c r="BS1066" t="str">
        <f t="shared" si="449"/>
        <v/>
      </c>
      <c r="BT1066">
        <f t="shared" si="444"/>
        <v>0</v>
      </c>
      <c r="BU1066">
        <f t="shared" si="445"/>
        <v>18</v>
      </c>
      <c r="CP1066">
        <f>IF(包装物料出入库明细!$D1066="",0,1)</f>
        <v>0</v>
      </c>
      <c r="CQ1066">
        <f t="shared" si="446"/>
        <v>37</v>
      </c>
      <c r="CS1066" t="str">
        <f>IF(OR(周转筐出入库明细!$C1067="",周转筐出入库明细!$F1067&lt;&gt;"采购入库"),"",周转筐出入库明细!$C1067)</f>
        <v/>
      </c>
      <c r="CT1066">
        <f t="shared" si="447"/>
        <v>0</v>
      </c>
      <c r="CU1066">
        <f t="shared" si="448"/>
        <v>1</v>
      </c>
    </row>
    <row r="1067" spans="1:99">
      <c r="A1067" t="str">
        <f>IF(包装物料出入库明细!$E1067="","",包装物料出入库明细!$E1067)</f>
        <v/>
      </c>
      <c r="B1067">
        <f t="shared" si="432"/>
        <v>0</v>
      </c>
      <c r="C1067">
        <f t="shared" si="433"/>
        <v>7</v>
      </c>
      <c r="D1067" t="str">
        <f>IF(包装物料出入库明细!$E1067="","",包装物料出入库明细!$F1067)</f>
        <v/>
      </c>
      <c r="E1067" t="str">
        <f>IF(包装物料出入库明细!$E1067="","",包装物料出入库明细!$G1067)</f>
        <v/>
      </c>
      <c r="K1067" t="str">
        <f>IF(包装物料出入库明细!$D1067="","",包装物料出入库明细!$D1067)</f>
        <v/>
      </c>
      <c r="L1067">
        <f t="shared" si="434"/>
        <v>0</v>
      </c>
      <c r="M1067">
        <f t="shared" si="435"/>
        <v>9</v>
      </c>
      <c r="Q1067" t="str">
        <f>IF(周转筐出入库明细!$D1068="","",周转筐出入库明细!$D1068)</f>
        <v/>
      </c>
      <c r="R1067">
        <f t="shared" si="436"/>
        <v>0</v>
      </c>
      <c r="S1067">
        <f t="shared" si="437"/>
        <v>5</v>
      </c>
      <c r="W1067" t="str">
        <f>IF(周转筐出入库明细!$C1068="","",周转筐出入库明细!$C1068)</f>
        <v/>
      </c>
      <c r="X1067">
        <f t="shared" si="438"/>
        <v>0</v>
      </c>
      <c r="Y1067">
        <f t="shared" si="439"/>
        <v>12</v>
      </c>
      <c r="AC1067" t="str">
        <f>IF(客户自备加工筐明细!$C1067="","",客户自备加工筐明细!$C1067)</f>
        <v/>
      </c>
      <c r="AD1067">
        <f t="shared" si="440"/>
        <v>0</v>
      </c>
      <c r="AE1067">
        <f t="shared" si="441"/>
        <v>1</v>
      </c>
      <c r="AI1067" t="str">
        <f>IF(客户自备加工筐明细!$E1067="","",客户自备加工筐明细!$E1067)</f>
        <v/>
      </c>
      <c r="AJ1067">
        <f t="shared" si="442"/>
        <v>0</v>
      </c>
      <c r="AK1067">
        <f t="shared" si="443"/>
        <v>1</v>
      </c>
      <c r="BS1067" t="str">
        <f t="shared" si="449"/>
        <v/>
      </c>
      <c r="BT1067">
        <f t="shared" si="444"/>
        <v>0</v>
      </c>
      <c r="BU1067">
        <f t="shared" si="445"/>
        <v>18</v>
      </c>
      <c r="CP1067">
        <f>IF(包装物料出入库明细!$D1067="",0,1)</f>
        <v>0</v>
      </c>
      <c r="CQ1067">
        <f t="shared" si="446"/>
        <v>37</v>
      </c>
      <c r="CS1067" t="str">
        <f>IF(OR(周转筐出入库明细!$C1068="",周转筐出入库明细!$F1068&lt;&gt;"采购入库"),"",周转筐出入库明细!$C1068)</f>
        <v/>
      </c>
      <c r="CT1067">
        <f t="shared" si="447"/>
        <v>0</v>
      </c>
      <c r="CU1067">
        <f t="shared" si="448"/>
        <v>1</v>
      </c>
    </row>
    <row r="1068" spans="1:99">
      <c r="A1068" t="str">
        <f>IF(包装物料出入库明细!$E1068="","",包装物料出入库明细!$E1068)</f>
        <v/>
      </c>
      <c r="B1068">
        <f t="shared" si="432"/>
        <v>0</v>
      </c>
      <c r="C1068">
        <f t="shared" si="433"/>
        <v>7</v>
      </c>
      <c r="D1068" t="str">
        <f>IF(包装物料出入库明细!$E1068="","",包装物料出入库明细!$F1068)</f>
        <v/>
      </c>
      <c r="E1068" t="str">
        <f>IF(包装物料出入库明细!$E1068="","",包装物料出入库明细!$G1068)</f>
        <v/>
      </c>
      <c r="K1068" t="str">
        <f>IF(包装物料出入库明细!$D1068="","",包装物料出入库明细!$D1068)</f>
        <v/>
      </c>
      <c r="L1068">
        <f t="shared" si="434"/>
        <v>0</v>
      </c>
      <c r="M1068">
        <f t="shared" si="435"/>
        <v>9</v>
      </c>
      <c r="Q1068" t="str">
        <f>IF(周转筐出入库明细!$D1069="","",周转筐出入库明细!$D1069)</f>
        <v/>
      </c>
      <c r="R1068">
        <f t="shared" si="436"/>
        <v>0</v>
      </c>
      <c r="S1068">
        <f t="shared" si="437"/>
        <v>5</v>
      </c>
      <c r="W1068" t="str">
        <f>IF(周转筐出入库明细!$C1069="","",周转筐出入库明细!$C1069)</f>
        <v/>
      </c>
      <c r="X1068">
        <f t="shared" si="438"/>
        <v>0</v>
      </c>
      <c r="Y1068">
        <f t="shared" si="439"/>
        <v>12</v>
      </c>
      <c r="AC1068" t="str">
        <f>IF(客户自备加工筐明细!$C1068="","",客户自备加工筐明细!$C1068)</f>
        <v/>
      </c>
      <c r="AD1068">
        <f t="shared" si="440"/>
        <v>0</v>
      </c>
      <c r="AE1068">
        <f t="shared" si="441"/>
        <v>1</v>
      </c>
      <c r="AI1068" t="str">
        <f>IF(客户自备加工筐明细!$E1068="","",客户自备加工筐明细!$E1068)</f>
        <v/>
      </c>
      <c r="AJ1068">
        <f t="shared" si="442"/>
        <v>0</v>
      </c>
      <c r="AK1068">
        <f t="shared" si="443"/>
        <v>1</v>
      </c>
      <c r="BS1068" t="str">
        <f t="shared" si="449"/>
        <v/>
      </c>
      <c r="BT1068">
        <f t="shared" si="444"/>
        <v>0</v>
      </c>
      <c r="BU1068">
        <f t="shared" si="445"/>
        <v>18</v>
      </c>
      <c r="CP1068">
        <f>IF(包装物料出入库明细!$D1068="",0,1)</f>
        <v>0</v>
      </c>
      <c r="CQ1068">
        <f t="shared" si="446"/>
        <v>37</v>
      </c>
      <c r="CS1068" t="str">
        <f>IF(OR(周转筐出入库明细!$C1069="",周转筐出入库明细!$F1069&lt;&gt;"采购入库"),"",周转筐出入库明细!$C1069)</f>
        <v/>
      </c>
      <c r="CT1068">
        <f t="shared" si="447"/>
        <v>0</v>
      </c>
      <c r="CU1068">
        <f t="shared" si="448"/>
        <v>1</v>
      </c>
    </row>
    <row r="1069" spans="1:99">
      <c r="A1069" t="str">
        <f>IF(包装物料出入库明细!$E1069="","",包装物料出入库明细!$E1069)</f>
        <v/>
      </c>
      <c r="B1069">
        <f t="shared" si="432"/>
        <v>0</v>
      </c>
      <c r="C1069">
        <f t="shared" si="433"/>
        <v>7</v>
      </c>
      <c r="D1069" t="str">
        <f>IF(包装物料出入库明细!$E1069="","",包装物料出入库明细!$F1069)</f>
        <v/>
      </c>
      <c r="E1069" t="str">
        <f>IF(包装物料出入库明细!$E1069="","",包装物料出入库明细!$G1069)</f>
        <v/>
      </c>
      <c r="K1069" t="str">
        <f>IF(包装物料出入库明细!$D1069="","",包装物料出入库明细!$D1069)</f>
        <v/>
      </c>
      <c r="L1069">
        <f t="shared" si="434"/>
        <v>0</v>
      </c>
      <c r="M1069">
        <f t="shared" si="435"/>
        <v>9</v>
      </c>
      <c r="Q1069" t="str">
        <f>IF(周转筐出入库明细!$D1070="","",周转筐出入库明细!$D1070)</f>
        <v/>
      </c>
      <c r="R1069">
        <f t="shared" si="436"/>
        <v>0</v>
      </c>
      <c r="S1069">
        <f t="shared" si="437"/>
        <v>5</v>
      </c>
      <c r="W1069" t="str">
        <f>IF(周转筐出入库明细!$C1070="","",周转筐出入库明细!$C1070)</f>
        <v/>
      </c>
      <c r="X1069">
        <f t="shared" si="438"/>
        <v>0</v>
      </c>
      <c r="Y1069">
        <f t="shared" si="439"/>
        <v>12</v>
      </c>
      <c r="AC1069" t="str">
        <f>IF(客户自备加工筐明细!$C1069="","",客户自备加工筐明细!$C1069)</f>
        <v/>
      </c>
      <c r="AD1069">
        <f t="shared" si="440"/>
        <v>0</v>
      </c>
      <c r="AE1069">
        <f t="shared" si="441"/>
        <v>1</v>
      </c>
      <c r="AI1069" t="str">
        <f>IF(客户自备加工筐明细!$E1069="","",客户自备加工筐明细!$E1069)</f>
        <v/>
      </c>
      <c r="AJ1069">
        <f t="shared" si="442"/>
        <v>0</v>
      </c>
      <c r="AK1069">
        <f t="shared" si="443"/>
        <v>1</v>
      </c>
      <c r="BS1069" t="str">
        <f t="shared" si="449"/>
        <v/>
      </c>
      <c r="BT1069">
        <f t="shared" si="444"/>
        <v>0</v>
      </c>
      <c r="BU1069">
        <f t="shared" si="445"/>
        <v>18</v>
      </c>
      <c r="CP1069">
        <f>IF(包装物料出入库明细!$D1069="",0,1)</f>
        <v>0</v>
      </c>
      <c r="CQ1069">
        <f t="shared" si="446"/>
        <v>37</v>
      </c>
      <c r="CS1069" t="str">
        <f>IF(OR(周转筐出入库明细!$C1070="",周转筐出入库明细!$F1070&lt;&gt;"采购入库"),"",周转筐出入库明细!$C1070)</f>
        <v/>
      </c>
      <c r="CT1069">
        <f t="shared" si="447"/>
        <v>0</v>
      </c>
      <c r="CU1069">
        <f t="shared" si="448"/>
        <v>1</v>
      </c>
    </row>
    <row r="1070" spans="1:99">
      <c r="A1070" t="str">
        <f>IF(包装物料出入库明细!$E1070="","",包装物料出入库明细!$E1070)</f>
        <v/>
      </c>
      <c r="B1070">
        <f t="shared" si="432"/>
        <v>0</v>
      </c>
      <c r="C1070">
        <f t="shared" si="433"/>
        <v>7</v>
      </c>
      <c r="D1070" t="str">
        <f>IF(包装物料出入库明细!$E1070="","",包装物料出入库明细!$F1070)</f>
        <v/>
      </c>
      <c r="E1070" t="str">
        <f>IF(包装物料出入库明细!$E1070="","",包装物料出入库明细!$G1070)</f>
        <v/>
      </c>
      <c r="K1070" t="str">
        <f>IF(包装物料出入库明细!$D1070="","",包装物料出入库明细!$D1070)</f>
        <v/>
      </c>
      <c r="L1070">
        <f t="shared" si="434"/>
        <v>0</v>
      </c>
      <c r="M1070">
        <f t="shared" si="435"/>
        <v>9</v>
      </c>
      <c r="Q1070" t="str">
        <f>IF(周转筐出入库明细!$D1071="","",周转筐出入库明细!$D1071)</f>
        <v/>
      </c>
      <c r="R1070">
        <f t="shared" si="436"/>
        <v>0</v>
      </c>
      <c r="S1070">
        <f t="shared" si="437"/>
        <v>5</v>
      </c>
      <c r="W1070" t="str">
        <f>IF(周转筐出入库明细!$C1071="","",周转筐出入库明细!$C1071)</f>
        <v/>
      </c>
      <c r="X1070">
        <f t="shared" si="438"/>
        <v>0</v>
      </c>
      <c r="Y1070">
        <f t="shared" si="439"/>
        <v>12</v>
      </c>
      <c r="AC1070" t="str">
        <f>IF(客户自备加工筐明细!$C1070="","",客户自备加工筐明细!$C1070)</f>
        <v/>
      </c>
      <c r="AD1070">
        <f t="shared" si="440"/>
        <v>0</v>
      </c>
      <c r="AE1070">
        <f t="shared" si="441"/>
        <v>1</v>
      </c>
      <c r="AI1070" t="str">
        <f>IF(客户自备加工筐明细!$E1070="","",客户自备加工筐明细!$E1070)</f>
        <v/>
      </c>
      <c r="AJ1070">
        <f t="shared" si="442"/>
        <v>0</v>
      </c>
      <c r="AK1070">
        <f t="shared" si="443"/>
        <v>1</v>
      </c>
      <c r="BS1070" t="str">
        <f t="shared" si="449"/>
        <v/>
      </c>
      <c r="BT1070">
        <f t="shared" si="444"/>
        <v>0</v>
      </c>
      <c r="BU1070">
        <f t="shared" si="445"/>
        <v>18</v>
      </c>
      <c r="CP1070">
        <f>IF(包装物料出入库明细!$D1070="",0,1)</f>
        <v>0</v>
      </c>
      <c r="CQ1070">
        <f t="shared" si="446"/>
        <v>37</v>
      </c>
      <c r="CS1070" t="str">
        <f>IF(OR(周转筐出入库明细!$C1071="",周转筐出入库明细!$F1071&lt;&gt;"采购入库"),"",周转筐出入库明细!$C1071)</f>
        <v/>
      </c>
      <c r="CT1070">
        <f t="shared" si="447"/>
        <v>0</v>
      </c>
      <c r="CU1070">
        <f t="shared" si="448"/>
        <v>1</v>
      </c>
    </row>
    <row r="1071" spans="1:99">
      <c r="A1071" t="str">
        <f>IF(包装物料出入库明细!$E1071="","",包装物料出入库明细!$E1071)</f>
        <v/>
      </c>
      <c r="B1071">
        <f t="shared" si="432"/>
        <v>0</v>
      </c>
      <c r="C1071">
        <f t="shared" si="433"/>
        <v>7</v>
      </c>
      <c r="D1071" t="str">
        <f>IF(包装物料出入库明细!$E1071="","",包装物料出入库明细!$F1071)</f>
        <v/>
      </c>
      <c r="E1071" t="str">
        <f>IF(包装物料出入库明细!$E1071="","",包装物料出入库明细!$G1071)</f>
        <v/>
      </c>
      <c r="K1071" t="str">
        <f>IF(包装物料出入库明细!$D1071="","",包装物料出入库明细!$D1071)</f>
        <v/>
      </c>
      <c r="L1071">
        <f t="shared" si="434"/>
        <v>0</v>
      </c>
      <c r="M1071">
        <f t="shared" si="435"/>
        <v>9</v>
      </c>
      <c r="Q1071" t="str">
        <f>IF(周转筐出入库明细!$D1072="","",周转筐出入库明细!$D1072)</f>
        <v/>
      </c>
      <c r="R1071">
        <f t="shared" si="436"/>
        <v>0</v>
      </c>
      <c r="S1071">
        <f t="shared" si="437"/>
        <v>5</v>
      </c>
      <c r="W1071" t="str">
        <f>IF(周转筐出入库明细!$C1072="","",周转筐出入库明细!$C1072)</f>
        <v/>
      </c>
      <c r="X1071">
        <f t="shared" si="438"/>
        <v>0</v>
      </c>
      <c r="Y1071">
        <f t="shared" si="439"/>
        <v>12</v>
      </c>
      <c r="AC1071" t="str">
        <f>IF(客户自备加工筐明细!$C1071="","",客户自备加工筐明细!$C1071)</f>
        <v/>
      </c>
      <c r="AD1071">
        <f t="shared" si="440"/>
        <v>0</v>
      </c>
      <c r="AE1071">
        <f t="shared" si="441"/>
        <v>1</v>
      </c>
      <c r="AI1071" t="str">
        <f>IF(客户自备加工筐明细!$E1071="","",客户自备加工筐明细!$E1071)</f>
        <v/>
      </c>
      <c r="AJ1071">
        <f t="shared" si="442"/>
        <v>0</v>
      </c>
      <c r="AK1071">
        <f t="shared" si="443"/>
        <v>1</v>
      </c>
      <c r="BS1071" t="str">
        <f t="shared" si="449"/>
        <v/>
      </c>
      <c r="BT1071">
        <f t="shared" si="444"/>
        <v>0</v>
      </c>
      <c r="BU1071">
        <f t="shared" si="445"/>
        <v>18</v>
      </c>
      <c r="CP1071">
        <f>IF(包装物料出入库明细!$D1071="",0,1)</f>
        <v>0</v>
      </c>
      <c r="CQ1071">
        <f t="shared" si="446"/>
        <v>37</v>
      </c>
      <c r="CS1071" t="str">
        <f>IF(OR(周转筐出入库明细!$C1072="",周转筐出入库明细!$F1072&lt;&gt;"采购入库"),"",周转筐出入库明细!$C1072)</f>
        <v/>
      </c>
      <c r="CT1071">
        <f t="shared" si="447"/>
        <v>0</v>
      </c>
      <c r="CU1071">
        <f t="shared" si="448"/>
        <v>1</v>
      </c>
    </row>
    <row r="1072" spans="1:99">
      <c r="A1072" t="str">
        <f>IF(包装物料出入库明细!$E1072="","",包装物料出入库明细!$E1072)</f>
        <v/>
      </c>
      <c r="B1072">
        <f t="shared" si="432"/>
        <v>0</v>
      </c>
      <c r="C1072">
        <f t="shared" si="433"/>
        <v>7</v>
      </c>
      <c r="D1072" t="str">
        <f>IF(包装物料出入库明细!$E1072="","",包装物料出入库明细!$F1072)</f>
        <v/>
      </c>
      <c r="E1072" t="str">
        <f>IF(包装物料出入库明细!$E1072="","",包装物料出入库明细!$G1072)</f>
        <v/>
      </c>
      <c r="K1072" t="str">
        <f>IF(包装物料出入库明细!$D1072="","",包装物料出入库明细!$D1072)</f>
        <v/>
      </c>
      <c r="L1072">
        <f t="shared" si="434"/>
        <v>0</v>
      </c>
      <c r="M1072">
        <f t="shared" si="435"/>
        <v>9</v>
      </c>
      <c r="Q1072" t="str">
        <f>IF(周转筐出入库明细!$D1073="","",周转筐出入库明细!$D1073)</f>
        <v/>
      </c>
      <c r="R1072">
        <f t="shared" si="436"/>
        <v>0</v>
      </c>
      <c r="S1072">
        <f t="shared" si="437"/>
        <v>5</v>
      </c>
      <c r="W1072" t="str">
        <f>IF(周转筐出入库明细!$C1073="","",周转筐出入库明细!$C1073)</f>
        <v/>
      </c>
      <c r="X1072">
        <f t="shared" si="438"/>
        <v>0</v>
      </c>
      <c r="Y1072">
        <f t="shared" si="439"/>
        <v>12</v>
      </c>
      <c r="AC1072" t="str">
        <f>IF(客户自备加工筐明细!$C1072="","",客户自备加工筐明细!$C1072)</f>
        <v/>
      </c>
      <c r="AD1072">
        <f t="shared" si="440"/>
        <v>0</v>
      </c>
      <c r="AE1072">
        <f t="shared" si="441"/>
        <v>1</v>
      </c>
      <c r="AI1072" t="str">
        <f>IF(客户自备加工筐明细!$E1072="","",客户自备加工筐明细!$E1072)</f>
        <v/>
      </c>
      <c r="AJ1072">
        <f t="shared" si="442"/>
        <v>0</v>
      </c>
      <c r="AK1072">
        <f t="shared" si="443"/>
        <v>1</v>
      </c>
      <c r="BS1072" t="str">
        <f t="shared" si="449"/>
        <v/>
      </c>
      <c r="BT1072">
        <f t="shared" si="444"/>
        <v>0</v>
      </c>
      <c r="BU1072">
        <f t="shared" si="445"/>
        <v>18</v>
      </c>
      <c r="CP1072">
        <f>IF(包装物料出入库明细!$D1072="",0,1)</f>
        <v>0</v>
      </c>
      <c r="CQ1072">
        <f t="shared" si="446"/>
        <v>37</v>
      </c>
      <c r="CS1072" t="str">
        <f>IF(OR(周转筐出入库明细!$C1073="",周转筐出入库明细!$F1073&lt;&gt;"采购入库"),"",周转筐出入库明细!$C1073)</f>
        <v/>
      </c>
      <c r="CT1072">
        <f t="shared" si="447"/>
        <v>0</v>
      </c>
      <c r="CU1072">
        <f t="shared" si="448"/>
        <v>1</v>
      </c>
    </row>
    <row r="1073" spans="1:99">
      <c r="A1073" t="str">
        <f>IF(包装物料出入库明细!$E1073="","",包装物料出入库明细!$E1073)</f>
        <v/>
      </c>
      <c r="B1073">
        <f t="shared" si="432"/>
        <v>0</v>
      </c>
      <c r="C1073">
        <f t="shared" si="433"/>
        <v>7</v>
      </c>
      <c r="D1073" t="str">
        <f>IF(包装物料出入库明细!$E1073="","",包装物料出入库明细!$F1073)</f>
        <v/>
      </c>
      <c r="E1073" t="str">
        <f>IF(包装物料出入库明细!$E1073="","",包装物料出入库明细!$G1073)</f>
        <v/>
      </c>
      <c r="K1073" t="str">
        <f>IF(包装物料出入库明细!$D1073="","",包装物料出入库明细!$D1073)</f>
        <v/>
      </c>
      <c r="L1073">
        <f t="shared" si="434"/>
        <v>0</v>
      </c>
      <c r="M1073">
        <f t="shared" si="435"/>
        <v>9</v>
      </c>
      <c r="Q1073" t="str">
        <f>IF(周转筐出入库明细!$D1074="","",周转筐出入库明细!$D1074)</f>
        <v/>
      </c>
      <c r="R1073">
        <f t="shared" si="436"/>
        <v>0</v>
      </c>
      <c r="S1073">
        <f t="shared" si="437"/>
        <v>5</v>
      </c>
      <c r="W1073" t="str">
        <f>IF(周转筐出入库明细!$C1074="","",周转筐出入库明细!$C1074)</f>
        <v/>
      </c>
      <c r="X1073">
        <f t="shared" si="438"/>
        <v>0</v>
      </c>
      <c r="Y1073">
        <f t="shared" si="439"/>
        <v>12</v>
      </c>
      <c r="AC1073" t="str">
        <f>IF(客户自备加工筐明细!$C1073="","",客户自备加工筐明细!$C1073)</f>
        <v/>
      </c>
      <c r="AD1073">
        <f t="shared" si="440"/>
        <v>0</v>
      </c>
      <c r="AE1073">
        <f t="shared" si="441"/>
        <v>1</v>
      </c>
      <c r="AI1073" t="str">
        <f>IF(客户自备加工筐明细!$E1073="","",客户自备加工筐明细!$E1073)</f>
        <v/>
      </c>
      <c r="AJ1073">
        <f t="shared" si="442"/>
        <v>0</v>
      </c>
      <c r="AK1073">
        <f t="shared" si="443"/>
        <v>1</v>
      </c>
      <c r="BS1073" t="str">
        <f t="shared" si="449"/>
        <v/>
      </c>
      <c r="BT1073">
        <f t="shared" si="444"/>
        <v>0</v>
      </c>
      <c r="BU1073">
        <f t="shared" si="445"/>
        <v>18</v>
      </c>
      <c r="CP1073">
        <f>IF(包装物料出入库明细!$D1073="",0,1)</f>
        <v>0</v>
      </c>
      <c r="CQ1073">
        <f t="shared" si="446"/>
        <v>37</v>
      </c>
      <c r="CS1073" t="str">
        <f>IF(OR(周转筐出入库明细!$C1074="",周转筐出入库明细!$F1074&lt;&gt;"采购入库"),"",周转筐出入库明细!$C1074)</f>
        <v/>
      </c>
      <c r="CT1073">
        <f t="shared" si="447"/>
        <v>0</v>
      </c>
      <c r="CU1073">
        <f t="shared" si="448"/>
        <v>1</v>
      </c>
    </row>
    <row r="1074" spans="1:99">
      <c r="A1074" t="str">
        <f>IF(包装物料出入库明细!$E1074="","",包装物料出入库明细!$E1074)</f>
        <v/>
      </c>
      <c r="B1074">
        <f t="shared" si="432"/>
        <v>0</v>
      </c>
      <c r="C1074">
        <f t="shared" si="433"/>
        <v>7</v>
      </c>
      <c r="D1074" t="str">
        <f>IF(包装物料出入库明细!$E1074="","",包装物料出入库明细!$F1074)</f>
        <v/>
      </c>
      <c r="E1074" t="str">
        <f>IF(包装物料出入库明细!$E1074="","",包装物料出入库明细!$G1074)</f>
        <v/>
      </c>
      <c r="K1074" t="str">
        <f>IF(包装物料出入库明细!$D1074="","",包装物料出入库明细!$D1074)</f>
        <v/>
      </c>
      <c r="L1074">
        <f t="shared" si="434"/>
        <v>0</v>
      </c>
      <c r="M1074">
        <f t="shared" si="435"/>
        <v>9</v>
      </c>
      <c r="Q1074" t="str">
        <f>IF(周转筐出入库明细!$D1075="","",周转筐出入库明细!$D1075)</f>
        <v/>
      </c>
      <c r="R1074">
        <f t="shared" si="436"/>
        <v>0</v>
      </c>
      <c r="S1074">
        <f t="shared" si="437"/>
        <v>5</v>
      </c>
      <c r="W1074" t="str">
        <f>IF(周转筐出入库明细!$C1075="","",周转筐出入库明细!$C1075)</f>
        <v/>
      </c>
      <c r="X1074">
        <f t="shared" si="438"/>
        <v>0</v>
      </c>
      <c r="Y1074">
        <f t="shared" si="439"/>
        <v>12</v>
      </c>
      <c r="AC1074" t="str">
        <f>IF(客户自备加工筐明细!$C1074="","",客户自备加工筐明细!$C1074)</f>
        <v/>
      </c>
      <c r="AD1074">
        <f t="shared" si="440"/>
        <v>0</v>
      </c>
      <c r="AE1074">
        <f t="shared" si="441"/>
        <v>1</v>
      </c>
      <c r="AI1074" t="str">
        <f>IF(客户自备加工筐明细!$E1074="","",客户自备加工筐明细!$E1074)</f>
        <v/>
      </c>
      <c r="AJ1074">
        <f t="shared" si="442"/>
        <v>0</v>
      </c>
      <c r="AK1074">
        <f t="shared" si="443"/>
        <v>1</v>
      </c>
      <c r="BS1074" t="str">
        <f t="shared" si="449"/>
        <v/>
      </c>
      <c r="BT1074">
        <f t="shared" si="444"/>
        <v>0</v>
      </c>
      <c r="BU1074">
        <f t="shared" si="445"/>
        <v>18</v>
      </c>
      <c r="CP1074">
        <f>IF(包装物料出入库明细!$D1074="",0,1)</f>
        <v>0</v>
      </c>
      <c r="CQ1074">
        <f t="shared" si="446"/>
        <v>37</v>
      </c>
      <c r="CS1074" t="str">
        <f>IF(OR(周转筐出入库明细!$C1075="",周转筐出入库明细!$F1075&lt;&gt;"采购入库"),"",周转筐出入库明细!$C1075)</f>
        <v/>
      </c>
      <c r="CT1074">
        <f t="shared" si="447"/>
        <v>0</v>
      </c>
      <c r="CU1074">
        <f t="shared" si="448"/>
        <v>1</v>
      </c>
    </row>
    <row r="1075" spans="1:99">
      <c r="A1075" t="str">
        <f>IF(包装物料出入库明细!$E1075="","",包装物料出入库明细!$E1075)</f>
        <v/>
      </c>
      <c r="B1075">
        <f t="shared" si="432"/>
        <v>0</v>
      </c>
      <c r="C1075">
        <f t="shared" si="433"/>
        <v>7</v>
      </c>
      <c r="D1075" t="str">
        <f>IF(包装物料出入库明细!$E1075="","",包装物料出入库明细!$F1075)</f>
        <v/>
      </c>
      <c r="E1075" t="str">
        <f>IF(包装物料出入库明细!$E1075="","",包装物料出入库明细!$G1075)</f>
        <v/>
      </c>
      <c r="K1075" t="str">
        <f>IF(包装物料出入库明细!$D1075="","",包装物料出入库明细!$D1075)</f>
        <v/>
      </c>
      <c r="L1075">
        <f t="shared" si="434"/>
        <v>0</v>
      </c>
      <c r="M1075">
        <f t="shared" si="435"/>
        <v>9</v>
      </c>
      <c r="Q1075" t="str">
        <f>IF(周转筐出入库明细!$D1076="","",周转筐出入库明细!$D1076)</f>
        <v/>
      </c>
      <c r="R1075">
        <f t="shared" si="436"/>
        <v>0</v>
      </c>
      <c r="S1075">
        <f t="shared" si="437"/>
        <v>5</v>
      </c>
      <c r="W1075" t="str">
        <f>IF(周转筐出入库明细!$C1076="","",周转筐出入库明细!$C1076)</f>
        <v/>
      </c>
      <c r="X1075">
        <f t="shared" si="438"/>
        <v>0</v>
      </c>
      <c r="Y1075">
        <f t="shared" si="439"/>
        <v>12</v>
      </c>
      <c r="AC1075" t="str">
        <f>IF(客户自备加工筐明细!$C1075="","",客户自备加工筐明细!$C1075)</f>
        <v/>
      </c>
      <c r="AD1075">
        <f t="shared" si="440"/>
        <v>0</v>
      </c>
      <c r="AE1075">
        <f t="shared" si="441"/>
        <v>1</v>
      </c>
      <c r="AI1075" t="str">
        <f>IF(客户自备加工筐明细!$E1075="","",客户自备加工筐明细!$E1075)</f>
        <v/>
      </c>
      <c r="AJ1075">
        <f t="shared" si="442"/>
        <v>0</v>
      </c>
      <c r="AK1075">
        <f t="shared" si="443"/>
        <v>1</v>
      </c>
      <c r="BS1075" t="str">
        <f t="shared" si="449"/>
        <v/>
      </c>
      <c r="BT1075">
        <f t="shared" si="444"/>
        <v>0</v>
      </c>
      <c r="BU1075">
        <f t="shared" si="445"/>
        <v>18</v>
      </c>
      <c r="CP1075">
        <f>IF(包装物料出入库明细!$D1075="",0,1)</f>
        <v>0</v>
      </c>
      <c r="CQ1075">
        <f t="shared" si="446"/>
        <v>37</v>
      </c>
      <c r="CS1075" t="str">
        <f>IF(OR(周转筐出入库明细!$C1076="",周转筐出入库明细!$F1076&lt;&gt;"采购入库"),"",周转筐出入库明细!$C1076)</f>
        <v/>
      </c>
      <c r="CT1075">
        <f t="shared" si="447"/>
        <v>0</v>
      </c>
      <c r="CU1075">
        <f t="shared" si="448"/>
        <v>1</v>
      </c>
    </row>
    <row r="1076" spans="1:99">
      <c r="A1076" t="str">
        <f>IF(包装物料出入库明细!$E1076="","",包装物料出入库明细!$E1076)</f>
        <v/>
      </c>
      <c r="B1076">
        <f t="shared" si="432"/>
        <v>0</v>
      </c>
      <c r="C1076">
        <f t="shared" si="433"/>
        <v>7</v>
      </c>
      <c r="D1076" t="str">
        <f>IF(包装物料出入库明细!$E1076="","",包装物料出入库明细!$F1076)</f>
        <v/>
      </c>
      <c r="E1076" t="str">
        <f>IF(包装物料出入库明细!$E1076="","",包装物料出入库明细!$G1076)</f>
        <v/>
      </c>
      <c r="K1076" t="str">
        <f>IF(包装物料出入库明细!$D1076="","",包装物料出入库明细!$D1076)</f>
        <v/>
      </c>
      <c r="L1076">
        <f t="shared" si="434"/>
        <v>0</v>
      </c>
      <c r="M1076">
        <f t="shared" si="435"/>
        <v>9</v>
      </c>
      <c r="Q1076" t="str">
        <f>IF(周转筐出入库明细!$D1077="","",周转筐出入库明细!$D1077)</f>
        <v/>
      </c>
      <c r="R1076">
        <f t="shared" si="436"/>
        <v>0</v>
      </c>
      <c r="S1076">
        <f t="shared" si="437"/>
        <v>5</v>
      </c>
      <c r="W1076" t="str">
        <f>IF(周转筐出入库明细!$C1077="","",周转筐出入库明细!$C1077)</f>
        <v/>
      </c>
      <c r="X1076">
        <f t="shared" si="438"/>
        <v>0</v>
      </c>
      <c r="Y1076">
        <f t="shared" si="439"/>
        <v>12</v>
      </c>
      <c r="AC1076" t="str">
        <f>IF(客户自备加工筐明细!$C1076="","",客户自备加工筐明细!$C1076)</f>
        <v/>
      </c>
      <c r="AD1076">
        <f t="shared" si="440"/>
        <v>0</v>
      </c>
      <c r="AE1076">
        <f t="shared" si="441"/>
        <v>1</v>
      </c>
      <c r="AI1076" t="str">
        <f>IF(客户自备加工筐明细!$E1076="","",客户自备加工筐明细!$E1076)</f>
        <v/>
      </c>
      <c r="AJ1076">
        <f t="shared" si="442"/>
        <v>0</v>
      </c>
      <c r="AK1076">
        <f t="shared" si="443"/>
        <v>1</v>
      </c>
      <c r="BS1076" t="str">
        <f t="shared" si="449"/>
        <v/>
      </c>
      <c r="BT1076">
        <f t="shared" si="444"/>
        <v>0</v>
      </c>
      <c r="BU1076">
        <f t="shared" si="445"/>
        <v>18</v>
      </c>
      <c r="CP1076">
        <f>IF(包装物料出入库明细!$D1076="",0,1)</f>
        <v>0</v>
      </c>
      <c r="CQ1076">
        <f t="shared" si="446"/>
        <v>37</v>
      </c>
      <c r="CS1076" t="str">
        <f>IF(OR(周转筐出入库明细!$C1077="",周转筐出入库明细!$F1077&lt;&gt;"采购入库"),"",周转筐出入库明细!$C1077)</f>
        <v/>
      </c>
      <c r="CT1076">
        <f t="shared" si="447"/>
        <v>0</v>
      </c>
      <c r="CU1076">
        <f t="shared" si="448"/>
        <v>1</v>
      </c>
    </row>
    <row r="1077" spans="1:99">
      <c r="A1077" t="str">
        <f>IF(包装物料出入库明细!$E1077="","",包装物料出入库明细!$E1077)</f>
        <v/>
      </c>
      <c r="B1077">
        <f t="shared" si="432"/>
        <v>0</v>
      </c>
      <c r="C1077">
        <f t="shared" si="433"/>
        <v>7</v>
      </c>
      <c r="D1077" t="str">
        <f>IF(包装物料出入库明细!$E1077="","",包装物料出入库明细!$F1077)</f>
        <v/>
      </c>
      <c r="E1077" t="str">
        <f>IF(包装物料出入库明细!$E1077="","",包装物料出入库明细!$G1077)</f>
        <v/>
      </c>
      <c r="K1077" t="str">
        <f>IF(包装物料出入库明细!$D1077="","",包装物料出入库明细!$D1077)</f>
        <v/>
      </c>
      <c r="L1077">
        <f t="shared" si="434"/>
        <v>0</v>
      </c>
      <c r="M1077">
        <f t="shared" si="435"/>
        <v>9</v>
      </c>
      <c r="Q1077" t="str">
        <f>IF(周转筐出入库明细!$D1078="","",周转筐出入库明细!$D1078)</f>
        <v/>
      </c>
      <c r="R1077">
        <f t="shared" si="436"/>
        <v>0</v>
      </c>
      <c r="S1077">
        <f t="shared" si="437"/>
        <v>5</v>
      </c>
      <c r="W1077" t="str">
        <f>IF(周转筐出入库明细!$C1078="","",周转筐出入库明细!$C1078)</f>
        <v/>
      </c>
      <c r="X1077">
        <f t="shared" si="438"/>
        <v>0</v>
      </c>
      <c r="Y1077">
        <f t="shared" si="439"/>
        <v>12</v>
      </c>
      <c r="AC1077" t="str">
        <f>IF(客户自备加工筐明细!$C1077="","",客户自备加工筐明细!$C1077)</f>
        <v/>
      </c>
      <c r="AD1077">
        <f t="shared" si="440"/>
        <v>0</v>
      </c>
      <c r="AE1077">
        <f t="shared" si="441"/>
        <v>1</v>
      </c>
      <c r="AI1077" t="str">
        <f>IF(客户自备加工筐明细!$E1077="","",客户自备加工筐明细!$E1077)</f>
        <v/>
      </c>
      <c r="AJ1077">
        <f t="shared" si="442"/>
        <v>0</v>
      </c>
      <c r="AK1077">
        <f t="shared" si="443"/>
        <v>1</v>
      </c>
      <c r="BS1077" t="str">
        <f t="shared" si="449"/>
        <v/>
      </c>
      <c r="BT1077">
        <f t="shared" si="444"/>
        <v>0</v>
      </c>
      <c r="BU1077">
        <f t="shared" si="445"/>
        <v>18</v>
      </c>
      <c r="CP1077">
        <f>IF(包装物料出入库明细!$D1077="",0,1)</f>
        <v>0</v>
      </c>
      <c r="CQ1077">
        <f t="shared" si="446"/>
        <v>37</v>
      </c>
      <c r="CS1077" t="str">
        <f>IF(OR(周转筐出入库明细!$C1078="",周转筐出入库明细!$F1078&lt;&gt;"采购入库"),"",周转筐出入库明细!$C1078)</f>
        <v/>
      </c>
      <c r="CT1077">
        <f t="shared" si="447"/>
        <v>0</v>
      </c>
      <c r="CU1077">
        <f t="shared" si="448"/>
        <v>1</v>
      </c>
    </row>
    <row r="1078" spans="1:99">
      <c r="A1078" t="str">
        <f>IF(包装物料出入库明细!$E1078="","",包装物料出入库明细!$E1078)</f>
        <v/>
      </c>
      <c r="B1078">
        <f t="shared" si="432"/>
        <v>0</v>
      </c>
      <c r="C1078">
        <f t="shared" si="433"/>
        <v>7</v>
      </c>
      <c r="D1078" t="str">
        <f>IF(包装物料出入库明细!$E1078="","",包装物料出入库明细!$F1078)</f>
        <v/>
      </c>
      <c r="E1078" t="str">
        <f>IF(包装物料出入库明细!$E1078="","",包装物料出入库明细!$G1078)</f>
        <v/>
      </c>
      <c r="K1078" t="str">
        <f>IF(包装物料出入库明细!$D1078="","",包装物料出入库明细!$D1078)</f>
        <v/>
      </c>
      <c r="L1078">
        <f t="shared" si="434"/>
        <v>0</v>
      </c>
      <c r="M1078">
        <f t="shared" si="435"/>
        <v>9</v>
      </c>
      <c r="Q1078" t="str">
        <f>IF(周转筐出入库明细!$D1079="","",周转筐出入库明细!$D1079)</f>
        <v/>
      </c>
      <c r="R1078">
        <f t="shared" si="436"/>
        <v>0</v>
      </c>
      <c r="S1078">
        <f t="shared" si="437"/>
        <v>5</v>
      </c>
      <c r="W1078" t="str">
        <f>IF(周转筐出入库明细!$C1079="","",周转筐出入库明细!$C1079)</f>
        <v/>
      </c>
      <c r="X1078">
        <f t="shared" si="438"/>
        <v>0</v>
      </c>
      <c r="Y1078">
        <f t="shared" si="439"/>
        <v>12</v>
      </c>
      <c r="AC1078" t="str">
        <f>IF(客户自备加工筐明细!$C1078="","",客户自备加工筐明细!$C1078)</f>
        <v/>
      </c>
      <c r="AD1078">
        <f t="shared" si="440"/>
        <v>0</v>
      </c>
      <c r="AE1078">
        <f t="shared" si="441"/>
        <v>1</v>
      </c>
      <c r="AI1078" t="str">
        <f>IF(客户自备加工筐明细!$E1078="","",客户自备加工筐明细!$E1078)</f>
        <v/>
      </c>
      <c r="AJ1078">
        <f t="shared" si="442"/>
        <v>0</v>
      </c>
      <c r="AK1078">
        <f t="shared" si="443"/>
        <v>1</v>
      </c>
      <c r="BS1078" t="str">
        <f t="shared" si="449"/>
        <v/>
      </c>
      <c r="BT1078">
        <f t="shared" si="444"/>
        <v>0</v>
      </c>
      <c r="BU1078">
        <f t="shared" si="445"/>
        <v>18</v>
      </c>
      <c r="CP1078">
        <f>IF(包装物料出入库明细!$D1078="",0,1)</f>
        <v>0</v>
      </c>
      <c r="CQ1078">
        <f t="shared" si="446"/>
        <v>37</v>
      </c>
      <c r="CS1078" t="str">
        <f>IF(OR(周转筐出入库明细!$C1079="",周转筐出入库明细!$F1079&lt;&gt;"采购入库"),"",周转筐出入库明细!$C1079)</f>
        <v/>
      </c>
      <c r="CT1078">
        <f t="shared" si="447"/>
        <v>0</v>
      </c>
      <c r="CU1078">
        <f t="shared" si="448"/>
        <v>1</v>
      </c>
    </row>
    <row r="1079" spans="1:99">
      <c r="A1079" t="str">
        <f>IF(包装物料出入库明细!$E1079="","",包装物料出入库明细!$E1079)</f>
        <v/>
      </c>
      <c r="B1079">
        <f t="shared" si="432"/>
        <v>0</v>
      </c>
      <c r="C1079">
        <f t="shared" si="433"/>
        <v>7</v>
      </c>
      <c r="D1079" t="str">
        <f>IF(包装物料出入库明细!$E1079="","",包装物料出入库明细!$F1079)</f>
        <v/>
      </c>
      <c r="E1079" t="str">
        <f>IF(包装物料出入库明细!$E1079="","",包装物料出入库明细!$G1079)</f>
        <v/>
      </c>
      <c r="K1079" t="str">
        <f>IF(包装物料出入库明细!$D1079="","",包装物料出入库明细!$D1079)</f>
        <v/>
      </c>
      <c r="L1079">
        <f t="shared" si="434"/>
        <v>0</v>
      </c>
      <c r="M1079">
        <f t="shared" si="435"/>
        <v>9</v>
      </c>
      <c r="Q1079" t="str">
        <f>IF(周转筐出入库明细!$D1080="","",周转筐出入库明细!$D1080)</f>
        <v/>
      </c>
      <c r="R1079">
        <f t="shared" si="436"/>
        <v>0</v>
      </c>
      <c r="S1079">
        <f t="shared" si="437"/>
        <v>5</v>
      </c>
      <c r="W1079" t="str">
        <f>IF(周转筐出入库明细!$C1080="","",周转筐出入库明细!$C1080)</f>
        <v/>
      </c>
      <c r="X1079">
        <f t="shared" si="438"/>
        <v>0</v>
      </c>
      <c r="Y1079">
        <f t="shared" si="439"/>
        <v>12</v>
      </c>
      <c r="AC1079" t="str">
        <f>IF(客户自备加工筐明细!$C1079="","",客户自备加工筐明细!$C1079)</f>
        <v/>
      </c>
      <c r="AD1079">
        <f t="shared" si="440"/>
        <v>0</v>
      </c>
      <c r="AE1079">
        <f t="shared" si="441"/>
        <v>1</v>
      </c>
      <c r="AI1079" t="str">
        <f>IF(客户自备加工筐明细!$E1079="","",客户自备加工筐明细!$E1079)</f>
        <v/>
      </c>
      <c r="AJ1079">
        <f t="shared" si="442"/>
        <v>0</v>
      </c>
      <c r="AK1079">
        <f t="shared" si="443"/>
        <v>1</v>
      </c>
      <c r="BS1079" t="str">
        <f t="shared" si="449"/>
        <v/>
      </c>
      <c r="BT1079">
        <f t="shared" si="444"/>
        <v>0</v>
      </c>
      <c r="BU1079">
        <f t="shared" si="445"/>
        <v>18</v>
      </c>
      <c r="CP1079">
        <f>IF(包装物料出入库明细!$D1079="",0,1)</f>
        <v>0</v>
      </c>
      <c r="CQ1079">
        <f t="shared" si="446"/>
        <v>37</v>
      </c>
      <c r="CS1079" t="str">
        <f>IF(OR(周转筐出入库明细!$C1080="",周转筐出入库明细!$F1080&lt;&gt;"采购入库"),"",周转筐出入库明细!$C1080)</f>
        <v/>
      </c>
      <c r="CT1079">
        <f t="shared" si="447"/>
        <v>0</v>
      </c>
      <c r="CU1079">
        <f t="shared" si="448"/>
        <v>1</v>
      </c>
    </row>
    <row r="1080" spans="1:99">
      <c r="A1080" t="str">
        <f>IF(包装物料出入库明细!$E1080="","",包装物料出入库明细!$E1080)</f>
        <v/>
      </c>
      <c r="B1080">
        <f t="shared" si="432"/>
        <v>0</v>
      </c>
      <c r="C1080">
        <f t="shared" si="433"/>
        <v>7</v>
      </c>
      <c r="D1080" t="str">
        <f>IF(包装物料出入库明细!$E1080="","",包装物料出入库明细!$F1080)</f>
        <v/>
      </c>
      <c r="E1080" t="str">
        <f>IF(包装物料出入库明细!$E1080="","",包装物料出入库明细!$G1080)</f>
        <v/>
      </c>
      <c r="K1080" t="str">
        <f>IF(包装物料出入库明细!$D1080="","",包装物料出入库明细!$D1080)</f>
        <v/>
      </c>
      <c r="L1080">
        <f t="shared" si="434"/>
        <v>0</v>
      </c>
      <c r="M1080">
        <f t="shared" si="435"/>
        <v>9</v>
      </c>
      <c r="Q1080" t="str">
        <f>IF(周转筐出入库明细!$D1081="","",周转筐出入库明细!$D1081)</f>
        <v/>
      </c>
      <c r="R1080">
        <f t="shared" si="436"/>
        <v>0</v>
      </c>
      <c r="S1080">
        <f t="shared" si="437"/>
        <v>5</v>
      </c>
      <c r="W1080" t="str">
        <f>IF(周转筐出入库明细!$C1081="","",周转筐出入库明细!$C1081)</f>
        <v/>
      </c>
      <c r="X1080">
        <f t="shared" si="438"/>
        <v>0</v>
      </c>
      <c r="Y1080">
        <f t="shared" si="439"/>
        <v>12</v>
      </c>
      <c r="AC1080" t="str">
        <f>IF(客户自备加工筐明细!$C1080="","",客户自备加工筐明细!$C1080)</f>
        <v/>
      </c>
      <c r="AD1080">
        <f t="shared" si="440"/>
        <v>0</v>
      </c>
      <c r="AE1080">
        <f t="shared" si="441"/>
        <v>1</v>
      </c>
      <c r="AI1080" t="str">
        <f>IF(客户自备加工筐明细!$E1080="","",客户自备加工筐明细!$E1080)</f>
        <v/>
      </c>
      <c r="AJ1080">
        <f t="shared" si="442"/>
        <v>0</v>
      </c>
      <c r="AK1080">
        <f t="shared" si="443"/>
        <v>1</v>
      </c>
      <c r="BS1080" t="str">
        <f t="shared" si="449"/>
        <v/>
      </c>
      <c r="BT1080">
        <f t="shared" si="444"/>
        <v>0</v>
      </c>
      <c r="BU1080">
        <f t="shared" si="445"/>
        <v>18</v>
      </c>
      <c r="CP1080">
        <f>IF(包装物料出入库明细!$D1080="",0,1)</f>
        <v>0</v>
      </c>
      <c r="CQ1080">
        <f t="shared" si="446"/>
        <v>37</v>
      </c>
      <c r="CS1080" t="str">
        <f>IF(OR(周转筐出入库明细!$C1081="",周转筐出入库明细!$F1081&lt;&gt;"采购入库"),"",周转筐出入库明细!$C1081)</f>
        <v/>
      </c>
      <c r="CT1080">
        <f t="shared" si="447"/>
        <v>0</v>
      </c>
      <c r="CU1080">
        <f t="shared" si="448"/>
        <v>1</v>
      </c>
    </row>
    <row r="1081" spans="1:99">
      <c r="A1081" t="str">
        <f>IF(包装物料出入库明细!$E1081="","",包装物料出入库明细!$E1081)</f>
        <v/>
      </c>
      <c r="B1081">
        <f t="shared" si="432"/>
        <v>0</v>
      </c>
      <c r="C1081">
        <f t="shared" si="433"/>
        <v>7</v>
      </c>
      <c r="D1081" t="str">
        <f>IF(包装物料出入库明细!$E1081="","",包装物料出入库明细!$F1081)</f>
        <v/>
      </c>
      <c r="E1081" t="str">
        <f>IF(包装物料出入库明细!$E1081="","",包装物料出入库明细!$G1081)</f>
        <v/>
      </c>
      <c r="K1081" t="str">
        <f>IF(包装物料出入库明细!$D1081="","",包装物料出入库明细!$D1081)</f>
        <v/>
      </c>
      <c r="L1081">
        <f t="shared" si="434"/>
        <v>0</v>
      </c>
      <c r="M1081">
        <f t="shared" si="435"/>
        <v>9</v>
      </c>
      <c r="Q1081" t="str">
        <f>IF(周转筐出入库明细!$D1082="","",周转筐出入库明细!$D1082)</f>
        <v/>
      </c>
      <c r="R1081">
        <f t="shared" si="436"/>
        <v>0</v>
      </c>
      <c r="S1081">
        <f t="shared" si="437"/>
        <v>5</v>
      </c>
      <c r="W1081" t="str">
        <f>IF(周转筐出入库明细!$C1082="","",周转筐出入库明细!$C1082)</f>
        <v/>
      </c>
      <c r="X1081">
        <f t="shared" si="438"/>
        <v>0</v>
      </c>
      <c r="Y1081">
        <f t="shared" si="439"/>
        <v>12</v>
      </c>
      <c r="AC1081" t="str">
        <f>IF(客户自备加工筐明细!$C1081="","",客户自备加工筐明细!$C1081)</f>
        <v/>
      </c>
      <c r="AD1081">
        <f t="shared" si="440"/>
        <v>0</v>
      </c>
      <c r="AE1081">
        <f t="shared" si="441"/>
        <v>1</v>
      </c>
      <c r="AI1081" t="str">
        <f>IF(客户自备加工筐明细!$E1081="","",客户自备加工筐明细!$E1081)</f>
        <v/>
      </c>
      <c r="AJ1081">
        <f t="shared" si="442"/>
        <v>0</v>
      </c>
      <c r="AK1081">
        <f t="shared" si="443"/>
        <v>1</v>
      </c>
      <c r="BS1081" t="str">
        <f t="shared" si="449"/>
        <v/>
      </c>
      <c r="BT1081">
        <f t="shared" si="444"/>
        <v>0</v>
      </c>
      <c r="BU1081">
        <f t="shared" si="445"/>
        <v>18</v>
      </c>
      <c r="CP1081">
        <f>IF(包装物料出入库明细!$D1081="",0,1)</f>
        <v>0</v>
      </c>
      <c r="CQ1081">
        <f t="shared" si="446"/>
        <v>37</v>
      </c>
      <c r="CS1081" t="str">
        <f>IF(OR(周转筐出入库明细!$C1082="",周转筐出入库明细!$F1082&lt;&gt;"采购入库"),"",周转筐出入库明细!$C1082)</f>
        <v/>
      </c>
      <c r="CT1081">
        <f t="shared" si="447"/>
        <v>0</v>
      </c>
      <c r="CU1081">
        <f t="shared" si="448"/>
        <v>1</v>
      </c>
    </row>
    <row r="1082" spans="1:99">
      <c r="A1082" t="str">
        <f>IF(包装物料出入库明细!$E1082="","",包装物料出入库明细!$E1082)</f>
        <v/>
      </c>
      <c r="B1082">
        <f t="shared" si="432"/>
        <v>0</v>
      </c>
      <c r="C1082">
        <f t="shared" si="433"/>
        <v>7</v>
      </c>
      <c r="D1082" t="str">
        <f>IF(包装物料出入库明细!$E1082="","",包装物料出入库明细!$F1082)</f>
        <v/>
      </c>
      <c r="E1082" t="str">
        <f>IF(包装物料出入库明细!$E1082="","",包装物料出入库明细!$G1082)</f>
        <v/>
      </c>
      <c r="K1082" t="str">
        <f>IF(包装物料出入库明细!$D1082="","",包装物料出入库明细!$D1082)</f>
        <v/>
      </c>
      <c r="L1082">
        <f t="shared" si="434"/>
        <v>0</v>
      </c>
      <c r="M1082">
        <f t="shared" si="435"/>
        <v>9</v>
      </c>
      <c r="Q1082" t="str">
        <f>IF(周转筐出入库明细!$D1083="","",周转筐出入库明细!$D1083)</f>
        <v/>
      </c>
      <c r="R1082">
        <f t="shared" si="436"/>
        <v>0</v>
      </c>
      <c r="S1082">
        <f t="shared" si="437"/>
        <v>5</v>
      </c>
      <c r="W1082" t="str">
        <f>IF(周转筐出入库明细!$C1083="","",周转筐出入库明细!$C1083)</f>
        <v/>
      </c>
      <c r="X1082">
        <f t="shared" si="438"/>
        <v>0</v>
      </c>
      <c r="Y1082">
        <f t="shared" si="439"/>
        <v>12</v>
      </c>
      <c r="AC1082" t="str">
        <f>IF(客户自备加工筐明细!$C1082="","",客户自备加工筐明细!$C1082)</f>
        <v/>
      </c>
      <c r="AD1082">
        <f t="shared" si="440"/>
        <v>0</v>
      </c>
      <c r="AE1082">
        <f t="shared" si="441"/>
        <v>1</v>
      </c>
      <c r="AI1082" t="str">
        <f>IF(客户自备加工筐明细!$E1082="","",客户自备加工筐明细!$E1082)</f>
        <v/>
      </c>
      <c r="AJ1082">
        <f t="shared" si="442"/>
        <v>0</v>
      </c>
      <c r="AK1082">
        <f t="shared" si="443"/>
        <v>1</v>
      </c>
      <c r="BS1082" t="str">
        <f t="shared" si="449"/>
        <v/>
      </c>
      <c r="BT1082">
        <f t="shared" si="444"/>
        <v>0</v>
      </c>
      <c r="BU1082">
        <f t="shared" si="445"/>
        <v>18</v>
      </c>
      <c r="CP1082">
        <f>IF(包装物料出入库明细!$D1082="",0,1)</f>
        <v>0</v>
      </c>
      <c r="CQ1082">
        <f t="shared" si="446"/>
        <v>37</v>
      </c>
      <c r="CS1082" t="str">
        <f>IF(OR(周转筐出入库明细!$C1083="",周转筐出入库明细!$F1083&lt;&gt;"采购入库"),"",周转筐出入库明细!$C1083)</f>
        <v/>
      </c>
      <c r="CT1082">
        <f t="shared" si="447"/>
        <v>0</v>
      </c>
      <c r="CU1082">
        <f t="shared" si="448"/>
        <v>1</v>
      </c>
    </row>
    <row r="1083" spans="1:99">
      <c r="A1083" t="str">
        <f>IF(包装物料出入库明细!$E1083="","",包装物料出入库明细!$E1083)</f>
        <v/>
      </c>
      <c r="B1083">
        <f t="shared" si="432"/>
        <v>0</v>
      </c>
      <c r="C1083">
        <f t="shared" si="433"/>
        <v>7</v>
      </c>
      <c r="D1083" t="str">
        <f>IF(包装物料出入库明细!$E1083="","",包装物料出入库明细!$F1083)</f>
        <v/>
      </c>
      <c r="E1083" t="str">
        <f>IF(包装物料出入库明细!$E1083="","",包装物料出入库明细!$G1083)</f>
        <v/>
      </c>
      <c r="K1083" t="str">
        <f>IF(包装物料出入库明细!$D1083="","",包装物料出入库明细!$D1083)</f>
        <v/>
      </c>
      <c r="L1083">
        <f t="shared" si="434"/>
        <v>0</v>
      </c>
      <c r="M1083">
        <f t="shared" si="435"/>
        <v>9</v>
      </c>
      <c r="Q1083" t="str">
        <f>IF(周转筐出入库明细!$D1084="","",周转筐出入库明细!$D1084)</f>
        <v/>
      </c>
      <c r="R1083">
        <f t="shared" si="436"/>
        <v>0</v>
      </c>
      <c r="S1083">
        <f t="shared" si="437"/>
        <v>5</v>
      </c>
      <c r="W1083" t="str">
        <f>IF(周转筐出入库明细!$C1084="","",周转筐出入库明细!$C1084)</f>
        <v/>
      </c>
      <c r="X1083">
        <f t="shared" si="438"/>
        <v>0</v>
      </c>
      <c r="Y1083">
        <f t="shared" si="439"/>
        <v>12</v>
      </c>
      <c r="AC1083" t="str">
        <f>IF(客户自备加工筐明细!$C1083="","",客户自备加工筐明细!$C1083)</f>
        <v/>
      </c>
      <c r="AD1083">
        <f t="shared" si="440"/>
        <v>0</v>
      </c>
      <c r="AE1083">
        <f t="shared" si="441"/>
        <v>1</v>
      </c>
      <c r="AI1083" t="str">
        <f>IF(客户自备加工筐明细!$E1083="","",客户自备加工筐明细!$E1083)</f>
        <v/>
      </c>
      <c r="AJ1083">
        <f t="shared" si="442"/>
        <v>0</v>
      </c>
      <c r="AK1083">
        <f t="shared" si="443"/>
        <v>1</v>
      </c>
      <c r="BS1083" t="str">
        <f t="shared" si="449"/>
        <v/>
      </c>
      <c r="BT1083">
        <f t="shared" si="444"/>
        <v>0</v>
      </c>
      <c r="BU1083">
        <f t="shared" si="445"/>
        <v>18</v>
      </c>
      <c r="CP1083">
        <f>IF(包装物料出入库明细!$D1083="",0,1)</f>
        <v>0</v>
      </c>
      <c r="CQ1083">
        <f t="shared" si="446"/>
        <v>37</v>
      </c>
      <c r="CS1083" t="str">
        <f>IF(OR(周转筐出入库明细!$C1084="",周转筐出入库明细!$F1084&lt;&gt;"采购入库"),"",周转筐出入库明细!$C1084)</f>
        <v/>
      </c>
      <c r="CT1083">
        <f t="shared" si="447"/>
        <v>0</v>
      </c>
      <c r="CU1083">
        <f t="shared" si="448"/>
        <v>1</v>
      </c>
    </row>
    <row r="1084" spans="1:99">
      <c r="A1084" t="str">
        <f>IF(包装物料出入库明细!$E1084="","",包装物料出入库明细!$E1084)</f>
        <v/>
      </c>
      <c r="B1084">
        <f t="shared" si="432"/>
        <v>0</v>
      </c>
      <c r="C1084">
        <f t="shared" si="433"/>
        <v>7</v>
      </c>
      <c r="D1084" t="str">
        <f>IF(包装物料出入库明细!$E1084="","",包装物料出入库明细!$F1084)</f>
        <v/>
      </c>
      <c r="E1084" t="str">
        <f>IF(包装物料出入库明细!$E1084="","",包装物料出入库明细!$G1084)</f>
        <v/>
      </c>
      <c r="K1084" t="str">
        <f>IF(包装物料出入库明细!$D1084="","",包装物料出入库明细!$D1084)</f>
        <v/>
      </c>
      <c r="L1084">
        <f t="shared" si="434"/>
        <v>0</v>
      </c>
      <c r="M1084">
        <f t="shared" si="435"/>
        <v>9</v>
      </c>
      <c r="Q1084" t="str">
        <f>IF(周转筐出入库明细!$D1085="","",周转筐出入库明细!$D1085)</f>
        <v/>
      </c>
      <c r="R1084">
        <f t="shared" si="436"/>
        <v>0</v>
      </c>
      <c r="S1084">
        <f t="shared" si="437"/>
        <v>5</v>
      </c>
      <c r="W1084" t="str">
        <f>IF(周转筐出入库明细!$C1085="","",周转筐出入库明细!$C1085)</f>
        <v/>
      </c>
      <c r="X1084">
        <f t="shared" si="438"/>
        <v>0</v>
      </c>
      <c r="Y1084">
        <f t="shared" si="439"/>
        <v>12</v>
      </c>
      <c r="AC1084" t="str">
        <f>IF(客户自备加工筐明细!$C1084="","",客户自备加工筐明细!$C1084)</f>
        <v/>
      </c>
      <c r="AD1084">
        <f t="shared" si="440"/>
        <v>0</v>
      </c>
      <c r="AE1084">
        <f t="shared" si="441"/>
        <v>1</v>
      </c>
      <c r="AI1084" t="str">
        <f>IF(客户自备加工筐明细!$E1084="","",客户自备加工筐明细!$E1084)</f>
        <v/>
      </c>
      <c r="AJ1084">
        <f t="shared" si="442"/>
        <v>0</v>
      </c>
      <c r="AK1084">
        <f t="shared" si="443"/>
        <v>1</v>
      </c>
      <c r="BS1084" t="str">
        <f t="shared" si="449"/>
        <v/>
      </c>
      <c r="BT1084">
        <f t="shared" si="444"/>
        <v>0</v>
      </c>
      <c r="BU1084">
        <f t="shared" si="445"/>
        <v>18</v>
      </c>
      <c r="CP1084">
        <f>IF(包装物料出入库明细!$D1084="",0,1)</f>
        <v>0</v>
      </c>
      <c r="CQ1084">
        <f t="shared" si="446"/>
        <v>37</v>
      </c>
      <c r="CS1084" t="str">
        <f>IF(OR(周转筐出入库明细!$C1085="",周转筐出入库明细!$F1085&lt;&gt;"采购入库"),"",周转筐出入库明细!$C1085)</f>
        <v/>
      </c>
      <c r="CT1084">
        <f t="shared" si="447"/>
        <v>0</v>
      </c>
      <c r="CU1084">
        <f t="shared" si="448"/>
        <v>1</v>
      </c>
    </row>
    <row r="1085" spans="1:99">
      <c r="A1085" t="str">
        <f>IF(包装物料出入库明细!$E1085="","",包装物料出入库明细!$E1085)</f>
        <v/>
      </c>
      <c r="B1085">
        <f t="shared" si="432"/>
        <v>0</v>
      </c>
      <c r="C1085">
        <f t="shared" si="433"/>
        <v>7</v>
      </c>
      <c r="D1085" t="str">
        <f>IF(包装物料出入库明细!$E1085="","",包装物料出入库明细!$F1085)</f>
        <v/>
      </c>
      <c r="E1085" t="str">
        <f>IF(包装物料出入库明细!$E1085="","",包装物料出入库明细!$G1085)</f>
        <v/>
      </c>
      <c r="K1085" t="str">
        <f>IF(包装物料出入库明细!$D1085="","",包装物料出入库明细!$D1085)</f>
        <v/>
      </c>
      <c r="L1085">
        <f t="shared" si="434"/>
        <v>0</v>
      </c>
      <c r="M1085">
        <f t="shared" si="435"/>
        <v>9</v>
      </c>
      <c r="Q1085" t="str">
        <f>IF(周转筐出入库明细!$D1086="","",周转筐出入库明细!$D1086)</f>
        <v/>
      </c>
      <c r="R1085">
        <f t="shared" si="436"/>
        <v>0</v>
      </c>
      <c r="S1085">
        <f t="shared" si="437"/>
        <v>5</v>
      </c>
      <c r="W1085" t="str">
        <f>IF(周转筐出入库明细!$C1086="","",周转筐出入库明细!$C1086)</f>
        <v/>
      </c>
      <c r="X1085">
        <f t="shared" si="438"/>
        <v>0</v>
      </c>
      <c r="Y1085">
        <f t="shared" si="439"/>
        <v>12</v>
      </c>
      <c r="AC1085" t="str">
        <f>IF(客户自备加工筐明细!$C1085="","",客户自备加工筐明细!$C1085)</f>
        <v/>
      </c>
      <c r="AD1085">
        <f t="shared" si="440"/>
        <v>0</v>
      </c>
      <c r="AE1085">
        <f t="shared" si="441"/>
        <v>1</v>
      </c>
      <c r="AI1085" t="str">
        <f>IF(客户自备加工筐明细!$E1085="","",客户自备加工筐明细!$E1085)</f>
        <v/>
      </c>
      <c r="AJ1085">
        <f t="shared" si="442"/>
        <v>0</v>
      </c>
      <c r="AK1085">
        <f t="shared" si="443"/>
        <v>1</v>
      </c>
      <c r="BS1085" t="str">
        <f t="shared" si="449"/>
        <v/>
      </c>
      <c r="BT1085">
        <f t="shared" si="444"/>
        <v>0</v>
      </c>
      <c r="BU1085">
        <f t="shared" si="445"/>
        <v>18</v>
      </c>
      <c r="CP1085">
        <f>IF(包装物料出入库明细!$D1085="",0,1)</f>
        <v>0</v>
      </c>
      <c r="CQ1085">
        <f t="shared" si="446"/>
        <v>37</v>
      </c>
      <c r="CS1085" t="str">
        <f>IF(OR(周转筐出入库明细!$C1086="",周转筐出入库明细!$F1086&lt;&gt;"采购入库"),"",周转筐出入库明细!$C1086)</f>
        <v/>
      </c>
      <c r="CT1085">
        <f t="shared" si="447"/>
        <v>0</v>
      </c>
      <c r="CU1085">
        <f t="shared" si="448"/>
        <v>1</v>
      </c>
    </row>
    <row r="1086" spans="1:99">
      <c r="A1086" t="str">
        <f>IF(包装物料出入库明细!$E1086="","",包装物料出入库明细!$E1086)</f>
        <v/>
      </c>
      <c r="B1086">
        <f t="shared" si="432"/>
        <v>0</v>
      </c>
      <c r="C1086">
        <f t="shared" si="433"/>
        <v>7</v>
      </c>
      <c r="D1086" t="str">
        <f>IF(包装物料出入库明细!$E1086="","",包装物料出入库明细!$F1086)</f>
        <v/>
      </c>
      <c r="E1086" t="str">
        <f>IF(包装物料出入库明细!$E1086="","",包装物料出入库明细!$G1086)</f>
        <v/>
      </c>
      <c r="K1086" t="str">
        <f>IF(包装物料出入库明细!$D1086="","",包装物料出入库明细!$D1086)</f>
        <v/>
      </c>
      <c r="L1086">
        <f t="shared" si="434"/>
        <v>0</v>
      </c>
      <c r="M1086">
        <f t="shared" si="435"/>
        <v>9</v>
      </c>
      <c r="Q1086" t="str">
        <f>IF(周转筐出入库明细!$D1087="","",周转筐出入库明细!$D1087)</f>
        <v/>
      </c>
      <c r="R1086">
        <f t="shared" si="436"/>
        <v>0</v>
      </c>
      <c r="S1086">
        <f t="shared" si="437"/>
        <v>5</v>
      </c>
      <c r="W1086" t="str">
        <f>IF(周转筐出入库明细!$C1087="","",周转筐出入库明细!$C1087)</f>
        <v/>
      </c>
      <c r="X1086">
        <f t="shared" si="438"/>
        <v>0</v>
      </c>
      <c r="Y1086">
        <f t="shared" si="439"/>
        <v>12</v>
      </c>
      <c r="AC1086" t="str">
        <f>IF(客户自备加工筐明细!$C1086="","",客户自备加工筐明细!$C1086)</f>
        <v/>
      </c>
      <c r="AD1086">
        <f t="shared" si="440"/>
        <v>0</v>
      </c>
      <c r="AE1086">
        <f t="shared" si="441"/>
        <v>1</v>
      </c>
      <c r="AI1086" t="str">
        <f>IF(客户自备加工筐明细!$E1086="","",客户自备加工筐明细!$E1086)</f>
        <v/>
      </c>
      <c r="AJ1086">
        <f t="shared" si="442"/>
        <v>0</v>
      </c>
      <c r="AK1086">
        <f t="shared" si="443"/>
        <v>1</v>
      </c>
      <c r="BS1086" t="str">
        <f t="shared" si="449"/>
        <v/>
      </c>
      <c r="BT1086">
        <f t="shared" si="444"/>
        <v>0</v>
      </c>
      <c r="BU1086">
        <f t="shared" si="445"/>
        <v>18</v>
      </c>
      <c r="CP1086">
        <f>IF(包装物料出入库明细!$D1086="",0,1)</f>
        <v>0</v>
      </c>
      <c r="CQ1086">
        <f t="shared" si="446"/>
        <v>37</v>
      </c>
      <c r="CS1086" t="str">
        <f>IF(OR(周转筐出入库明细!$C1087="",周转筐出入库明细!$F1087&lt;&gt;"采购入库"),"",周转筐出入库明细!$C1087)</f>
        <v/>
      </c>
      <c r="CT1086">
        <f t="shared" si="447"/>
        <v>0</v>
      </c>
      <c r="CU1086">
        <f t="shared" si="448"/>
        <v>1</v>
      </c>
    </row>
    <row r="1087" spans="1:99">
      <c r="A1087" t="str">
        <f>IF(包装物料出入库明细!$E1087="","",包装物料出入库明细!$E1087)</f>
        <v/>
      </c>
      <c r="B1087">
        <f t="shared" si="432"/>
        <v>0</v>
      </c>
      <c r="C1087">
        <f t="shared" si="433"/>
        <v>7</v>
      </c>
      <c r="D1087" t="str">
        <f>IF(包装物料出入库明细!$E1087="","",包装物料出入库明细!$F1087)</f>
        <v/>
      </c>
      <c r="E1087" t="str">
        <f>IF(包装物料出入库明细!$E1087="","",包装物料出入库明细!$G1087)</f>
        <v/>
      </c>
      <c r="K1087" t="str">
        <f>IF(包装物料出入库明细!$D1087="","",包装物料出入库明细!$D1087)</f>
        <v/>
      </c>
      <c r="L1087">
        <f t="shared" si="434"/>
        <v>0</v>
      </c>
      <c r="M1087">
        <f t="shared" si="435"/>
        <v>9</v>
      </c>
      <c r="Q1087" t="str">
        <f>IF(周转筐出入库明细!$D1088="","",周转筐出入库明细!$D1088)</f>
        <v/>
      </c>
      <c r="R1087">
        <f t="shared" si="436"/>
        <v>0</v>
      </c>
      <c r="S1087">
        <f t="shared" si="437"/>
        <v>5</v>
      </c>
      <c r="W1087" t="str">
        <f>IF(周转筐出入库明细!$C1088="","",周转筐出入库明细!$C1088)</f>
        <v/>
      </c>
      <c r="X1087">
        <f t="shared" si="438"/>
        <v>0</v>
      </c>
      <c r="Y1087">
        <f t="shared" si="439"/>
        <v>12</v>
      </c>
      <c r="AC1087" t="str">
        <f>IF(客户自备加工筐明细!$C1087="","",客户自备加工筐明细!$C1087)</f>
        <v/>
      </c>
      <c r="AD1087">
        <f t="shared" si="440"/>
        <v>0</v>
      </c>
      <c r="AE1087">
        <f t="shared" si="441"/>
        <v>1</v>
      </c>
      <c r="AI1087" t="str">
        <f>IF(客户自备加工筐明细!$E1087="","",客户自备加工筐明细!$E1087)</f>
        <v/>
      </c>
      <c r="AJ1087">
        <f t="shared" si="442"/>
        <v>0</v>
      </c>
      <c r="AK1087">
        <f t="shared" si="443"/>
        <v>1</v>
      </c>
      <c r="BS1087" t="str">
        <f t="shared" si="449"/>
        <v/>
      </c>
      <c r="BT1087">
        <f t="shared" si="444"/>
        <v>0</v>
      </c>
      <c r="BU1087">
        <f t="shared" si="445"/>
        <v>18</v>
      </c>
      <c r="CP1087">
        <f>IF(包装物料出入库明细!$D1087="",0,1)</f>
        <v>0</v>
      </c>
      <c r="CQ1087">
        <f t="shared" si="446"/>
        <v>37</v>
      </c>
      <c r="CS1087" t="str">
        <f>IF(OR(周转筐出入库明细!$C1088="",周转筐出入库明细!$F1088&lt;&gt;"采购入库"),"",周转筐出入库明细!$C1088)</f>
        <v/>
      </c>
      <c r="CT1087">
        <f t="shared" si="447"/>
        <v>0</v>
      </c>
      <c r="CU1087">
        <f t="shared" si="448"/>
        <v>1</v>
      </c>
    </row>
    <row r="1088" spans="1:99">
      <c r="A1088" t="str">
        <f>IF(包装物料出入库明细!$E1088="","",包装物料出入库明细!$E1088)</f>
        <v/>
      </c>
      <c r="B1088">
        <f t="shared" si="432"/>
        <v>0</v>
      </c>
      <c r="C1088">
        <f t="shared" si="433"/>
        <v>7</v>
      </c>
      <c r="D1088" t="str">
        <f>IF(包装物料出入库明细!$E1088="","",包装物料出入库明细!$F1088)</f>
        <v/>
      </c>
      <c r="E1088" t="str">
        <f>IF(包装物料出入库明细!$E1088="","",包装物料出入库明细!$G1088)</f>
        <v/>
      </c>
      <c r="K1088" t="str">
        <f>IF(包装物料出入库明细!$D1088="","",包装物料出入库明细!$D1088)</f>
        <v/>
      </c>
      <c r="L1088">
        <f t="shared" si="434"/>
        <v>0</v>
      </c>
      <c r="M1088">
        <f t="shared" si="435"/>
        <v>9</v>
      </c>
      <c r="Q1088" t="str">
        <f>IF(周转筐出入库明细!$D1089="","",周转筐出入库明细!$D1089)</f>
        <v/>
      </c>
      <c r="R1088">
        <f t="shared" si="436"/>
        <v>0</v>
      </c>
      <c r="S1088">
        <f t="shared" si="437"/>
        <v>5</v>
      </c>
      <c r="W1088" t="str">
        <f>IF(周转筐出入库明细!$C1089="","",周转筐出入库明细!$C1089)</f>
        <v/>
      </c>
      <c r="X1088">
        <f t="shared" si="438"/>
        <v>0</v>
      </c>
      <c r="Y1088">
        <f t="shared" si="439"/>
        <v>12</v>
      </c>
      <c r="AC1088" t="str">
        <f>IF(客户自备加工筐明细!$C1088="","",客户自备加工筐明细!$C1088)</f>
        <v/>
      </c>
      <c r="AD1088">
        <f t="shared" si="440"/>
        <v>0</v>
      </c>
      <c r="AE1088">
        <f t="shared" si="441"/>
        <v>1</v>
      </c>
      <c r="AI1088" t="str">
        <f>IF(客户自备加工筐明细!$E1088="","",客户自备加工筐明细!$E1088)</f>
        <v/>
      </c>
      <c r="AJ1088">
        <f t="shared" si="442"/>
        <v>0</v>
      </c>
      <c r="AK1088">
        <f t="shared" si="443"/>
        <v>1</v>
      </c>
      <c r="BS1088" t="str">
        <f t="shared" si="449"/>
        <v/>
      </c>
      <c r="BT1088">
        <f t="shared" si="444"/>
        <v>0</v>
      </c>
      <c r="BU1088">
        <f t="shared" si="445"/>
        <v>18</v>
      </c>
      <c r="CP1088">
        <f>IF(包装物料出入库明细!$D1088="",0,1)</f>
        <v>0</v>
      </c>
      <c r="CQ1088">
        <f t="shared" si="446"/>
        <v>37</v>
      </c>
      <c r="CS1088" t="str">
        <f>IF(OR(周转筐出入库明细!$C1089="",周转筐出入库明细!$F1089&lt;&gt;"采购入库"),"",周转筐出入库明细!$C1089)</f>
        <v/>
      </c>
      <c r="CT1088">
        <f t="shared" si="447"/>
        <v>0</v>
      </c>
      <c r="CU1088">
        <f t="shared" si="448"/>
        <v>1</v>
      </c>
    </row>
    <row r="1089" spans="1:99">
      <c r="A1089" t="str">
        <f>IF(包装物料出入库明细!$E1089="","",包装物料出入库明细!$E1089)</f>
        <v/>
      </c>
      <c r="B1089">
        <f t="shared" si="432"/>
        <v>0</v>
      </c>
      <c r="C1089">
        <f t="shared" si="433"/>
        <v>7</v>
      </c>
      <c r="D1089" t="str">
        <f>IF(包装物料出入库明细!$E1089="","",包装物料出入库明细!$F1089)</f>
        <v/>
      </c>
      <c r="E1089" t="str">
        <f>IF(包装物料出入库明细!$E1089="","",包装物料出入库明细!$G1089)</f>
        <v/>
      </c>
      <c r="K1089" t="str">
        <f>IF(包装物料出入库明细!$D1089="","",包装物料出入库明细!$D1089)</f>
        <v/>
      </c>
      <c r="L1089">
        <f t="shared" si="434"/>
        <v>0</v>
      </c>
      <c r="M1089">
        <f t="shared" si="435"/>
        <v>9</v>
      </c>
      <c r="Q1089" t="str">
        <f>IF(周转筐出入库明细!$D1090="","",周转筐出入库明细!$D1090)</f>
        <v/>
      </c>
      <c r="R1089">
        <f t="shared" si="436"/>
        <v>0</v>
      </c>
      <c r="S1089">
        <f t="shared" si="437"/>
        <v>5</v>
      </c>
      <c r="W1089" t="str">
        <f>IF(周转筐出入库明细!$C1090="","",周转筐出入库明细!$C1090)</f>
        <v/>
      </c>
      <c r="X1089">
        <f t="shared" si="438"/>
        <v>0</v>
      </c>
      <c r="Y1089">
        <f t="shared" si="439"/>
        <v>12</v>
      </c>
      <c r="AC1089" t="str">
        <f>IF(客户自备加工筐明细!$C1089="","",客户自备加工筐明细!$C1089)</f>
        <v/>
      </c>
      <c r="AD1089">
        <f t="shared" si="440"/>
        <v>0</v>
      </c>
      <c r="AE1089">
        <f t="shared" si="441"/>
        <v>1</v>
      </c>
      <c r="AI1089" t="str">
        <f>IF(客户自备加工筐明细!$E1089="","",客户自备加工筐明细!$E1089)</f>
        <v/>
      </c>
      <c r="AJ1089">
        <f t="shared" si="442"/>
        <v>0</v>
      </c>
      <c r="AK1089">
        <f t="shared" si="443"/>
        <v>1</v>
      </c>
      <c r="BS1089" t="str">
        <f t="shared" si="449"/>
        <v/>
      </c>
      <c r="BT1089">
        <f t="shared" si="444"/>
        <v>0</v>
      </c>
      <c r="BU1089">
        <f t="shared" si="445"/>
        <v>18</v>
      </c>
      <c r="CP1089">
        <f>IF(包装物料出入库明细!$D1089="",0,1)</f>
        <v>0</v>
      </c>
      <c r="CQ1089">
        <f t="shared" si="446"/>
        <v>37</v>
      </c>
      <c r="CS1089" t="str">
        <f>IF(OR(周转筐出入库明细!$C1090="",周转筐出入库明细!$F1090&lt;&gt;"采购入库"),"",周转筐出入库明细!$C1090)</f>
        <v/>
      </c>
      <c r="CT1089">
        <f t="shared" si="447"/>
        <v>0</v>
      </c>
      <c r="CU1089">
        <f t="shared" si="448"/>
        <v>1</v>
      </c>
    </row>
    <row r="1090" spans="1:99">
      <c r="A1090" t="str">
        <f>IF(包装物料出入库明细!$E1090="","",包装物料出入库明细!$E1090)</f>
        <v/>
      </c>
      <c r="B1090">
        <f t="shared" si="432"/>
        <v>0</v>
      </c>
      <c r="C1090">
        <f t="shared" si="433"/>
        <v>7</v>
      </c>
      <c r="D1090" t="str">
        <f>IF(包装物料出入库明细!$E1090="","",包装物料出入库明细!$F1090)</f>
        <v/>
      </c>
      <c r="E1090" t="str">
        <f>IF(包装物料出入库明细!$E1090="","",包装物料出入库明细!$G1090)</f>
        <v/>
      </c>
      <c r="K1090" t="str">
        <f>IF(包装物料出入库明细!$D1090="","",包装物料出入库明细!$D1090)</f>
        <v/>
      </c>
      <c r="L1090">
        <f t="shared" si="434"/>
        <v>0</v>
      </c>
      <c r="M1090">
        <f t="shared" si="435"/>
        <v>9</v>
      </c>
      <c r="Q1090" t="str">
        <f>IF(周转筐出入库明细!$D1091="","",周转筐出入库明细!$D1091)</f>
        <v/>
      </c>
      <c r="R1090">
        <f t="shared" si="436"/>
        <v>0</v>
      </c>
      <c r="S1090">
        <f t="shared" si="437"/>
        <v>5</v>
      </c>
      <c r="W1090" t="str">
        <f>IF(周转筐出入库明细!$C1091="","",周转筐出入库明细!$C1091)</f>
        <v/>
      </c>
      <c r="X1090">
        <f t="shared" si="438"/>
        <v>0</v>
      </c>
      <c r="Y1090">
        <f t="shared" si="439"/>
        <v>12</v>
      </c>
      <c r="AC1090" t="str">
        <f>IF(客户自备加工筐明细!$C1090="","",客户自备加工筐明细!$C1090)</f>
        <v/>
      </c>
      <c r="AD1090">
        <f t="shared" si="440"/>
        <v>0</v>
      </c>
      <c r="AE1090">
        <f t="shared" si="441"/>
        <v>1</v>
      </c>
      <c r="AI1090" t="str">
        <f>IF(客户自备加工筐明细!$E1090="","",客户自备加工筐明细!$E1090)</f>
        <v/>
      </c>
      <c r="AJ1090">
        <f t="shared" si="442"/>
        <v>0</v>
      </c>
      <c r="AK1090">
        <f t="shared" si="443"/>
        <v>1</v>
      </c>
      <c r="BS1090" t="str">
        <f t="shared" si="449"/>
        <v/>
      </c>
      <c r="BT1090">
        <f t="shared" si="444"/>
        <v>0</v>
      </c>
      <c r="BU1090">
        <f t="shared" si="445"/>
        <v>18</v>
      </c>
      <c r="CP1090">
        <f>IF(包装物料出入库明细!$D1090="",0,1)</f>
        <v>0</v>
      </c>
      <c r="CQ1090">
        <f t="shared" si="446"/>
        <v>37</v>
      </c>
      <c r="CS1090" t="str">
        <f>IF(OR(周转筐出入库明细!$C1091="",周转筐出入库明细!$F1091&lt;&gt;"采购入库"),"",周转筐出入库明细!$C1091)</f>
        <v/>
      </c>
      <c r="CT1090">
        <f t="shared" si="447"/>
        <v>0</v>
      </c>
      <c r="CU1090">
        <f t="shared" si="448"/>
        <v>1</v>
      </c>
    </row>
    <row r="1091" spans="1:99">
      <c r="A1091" t="str">
        <f>IF(包装物料出入库明细!$E1091="","",包装物料出入库明细!$E1091)</f>
        <v/>
      </c>
      <c r="B1091">
        <f t="shared" si="432"/>
        <v>0</v>
      </c>
      <c r="C1091">
        <f t="shared" si="433"/>
        <v>7</v>
      </c>
      <c r="D1091" t="str">
        <f>IF(包装物料出入库明细!$E1091="","",包装物料出入库明细!$F1091)</f>
        <v/>
      </c>
      <c r="E1091" t="str">
        <f>IF(包装物料出入库明细!$E1091="","",包装物料出入库明细!$G1091)</f>
        <v/>
      </c>
      <c r="K1091" t="str">
        <f>IF(包装物料出入库明细!$D1091="","",包装物料出入库明细!$D1091)</f>
        <v/>
      </c>
      <c r="L1091">
        <f t="shared" si="434"/>
        <v>0</v>
      </c>
      <c r="M1091">
        <f t="shared" si="435"/>
        <v>9</v>
      </c>
      <c r="Q1091" t="str">
        <f>IF(周转筐出入库明细!$D1092="","",周转筐出入库明细!$D1092)</f>
        <v/>
      </c>
      <c r="R1091">
        <f t="shared" si="436"/>
        <v>0</v>
      </c>
      <c r="S1091">
        <f t="shared" si="437"/>
        <v>5</v>
      </c>
      <c r="W1091" t="str">
        <f>IF(周转筐出入库明细!$C1092="","",周转筐出入库明细!$C1092)</f>
        <v/>
      </c>
      <c r="X1091">
        <f t="shared" si="438"/>
        <v>0</v>
      </c>
      <c r="Y1091">
        <f t="shared" si="439"/>
        <v>12</v>
      </c>
      <c r="AC1091" t="str">
        <f>IF(客户自备加工筐明细!$C1091="","",客户自备加工筐明细!$C1091)</f>
        <v/>
      </c>
      <c r="AD1091">
        <f t="shared" si="440"/>
        <v>0</v>
      </c>
      <c r="AE1091">
        <f t="shared" si="441"/>
        <v>1</v>
      </c>
      <c r="AI1091" t="str">
        <f>IF(客户自备加工筐明细!$E1091="","",客户自备加工筐明细!$E1091)</f>
        <v/>
      </c>
      <c r="AJ1091">
        <f t="shared" si="442"/>
        <v>0</v>
      </c>
      <c r="AK1091">
        <f t="shared" si="443"/>
        <v>1</v>
      </c>
      <c r="BS1091" t="str">
        <f t="shared" si="449"/>
        <v/>
      </c>
      <c r="BT1091">
        <f t="shared" si="444"/>
        <v>0</v>
      </c>
      <c r="BU1091">
        <f t="shared" si="445"/>
        <v>18</v>
      </c>
      <c r="CP1091">
        <f>IF(包装物料出入库明细!$D1091="",0,1)</f>
        <v>0</v>
      </c>
      <c r="CQ1091">
        <f t="shared" si="446"/>
        <v>37</v>
      </c>
      <c r="CS1091" t="str">
        <f>IF(OR(周转筐出入库明细!$C1092="",周转筐出入库明细!$F1092&lt;&gt;"采购入库"),"",周转筐出入库明细!$C1092)</f>
        <v/>
      </c>
      <c r="CT1091">
        <f t="shared" si="447"/>
        <v>0</v>
      </c>
      <c r="CU1091">
        <f t="shared" si="448"/>
        <v>1</v>
      </c>
    </row>
    <row r="1092" spans="1:99">
      <c r="A1092" t="str">
        <f>IF(包装物料出入库明细!$E1092="","",包装物料出入库明细!$E1092)</f>
        <v/>
      </c>
      <c r="B1092">
        <f t="shared" ref="B1092:B1155" si="450">IF(A1092="",0,IF(MATCH(A1092,$A$4:$A$2003,0)=ROW()-3,1,0))</f>
        <v>0</v>
      </c>
      <c r="C1092">
        <f t="shared" ref="C1092:C1155" si="451">N(C1091)+B1092</f>
        <v>7</v>
      </c>
      <c r="D1092" t="str">
        <f>IF(包装物料出入库明细!$E1092="","",包装物料出入库明细!$F1092)</f>
        <v/>
      </c>
      <c r="E1092" t="str">
        <f>IF(包装物料出入库明细!$E1092="","",包装物料出入库明细!$G1092)</f>
        <v/>
      </c>
      <c r="K1092" t="str">
        <f>IF(包装物料出入库明细!$D1092="","",包装物料出入库明细!$D1092)</f>
        <v/>
      </c>
      <c r="L1092">
        <f t="shared" ref="L1092:L1155" si="452">IF(K1092="",0,IF(MATCH(K1092,$K$4:$K$2003,0)=ROW()-3,1,0))</f>
        <v>0</v>
      </c>
      <c r="M1092">
        <f t="shared" ref="M1092:M1155" si="453">N(M1091)+L1092</f>
        <v>9</v>
      </c>
      <c r="Q1092" t="str">
        <f>IF(周转筐出入库明细!$D1093="","",周转筐出入库明细!$D1093)</f>
        <v/>
      </c>
      <c r="R1092">
        <f t="shared" ref="R1092:R1155" si="454">IF(Q1092="",0,IF(MATCH(Q1092,$Q$4:$Q$2003,0)=ROW()-3,1,0))</f>
        <v>0</v>
      </c>
      <c r="S1092">
        <f t="shared" ref="S1092:S1155" si="455">N(S1091)+R1092</f>
        <v>5</v>
      </c>
      <c r="W1092" t="str">
        <f>IF(周转筐出入库明细!$C1093="","",周转筐出入库明细!$C1093)</f>
        <v/>
      </c>
      <c r="X1092">
        <f t="shared" ref="X1092:X1155" si="456">IF(W1092="",0,IF(MATCH(W1092,$W$4:$W$2003,0)=ROW()-3,1,0))</f>
        <v>0</v>
      </c>
      <c r="Y1092">
        <f t="shared" ref="Y1092:Y1155" si="457">N(Y1091)+X1092</f>
        <v>12</v>
      </c>
      <c r="AC1092" t="str">
        <f>IF(客户自备加工筐明细!$C1092="","",客户自备加工筐明细!$C1092)</f>
        <v/>
      </c>
      <c r="AD1092">
        <f t="shared" ref="AD1092:AD1155" si="458">IF(AC1092="",0,IF(MATCH(AC1092,$AC$4:$AC$1203,0)=ROW()-3,1,0))</f>
        <v>0</v>
      </c>
      <c r="AE1092">
        <f t="shared" ref="AE1092:AE1155" si="459">N(AE1091)+AD1092</f>
        <v>1</v>
      </c>
      <c r="AI1092" t="str">
        <f>IF(客户自备加工筐明细!$E1092="","",客户自备加工筐明细!$E1092)</f>
        <v/>
      </c>
      <c r="AJ1092">
        <f t="shared" ref="AJ1092:AJ1155" si="460">IF(AI1092="",0,IF(MATCH(AI1092,$AI$4:$AI$1503,0)=ROW()-3,1,0))</f>
        <v>0</v>
      </c>
      <c r="AK1092">
        <f t="shared" ref="AK1092:AK1155" si="461">N(AK1091)+AJ1092</f>
        <v>1</v>
      </c>
      <c r="BS1092" t="str">
        <f t="shared" si="449"/>
        <v/>
      </c>
      <c r="BT1092">
        <f t="shared" ref="BT1092:BT1103" si="462">IF(BS1092="",0,IF(MATCH(BS1092,$BS$4:$BS$1103,0)=ROW()-3,1,0))</f>
        <v>0</v>
      </c>
      <c r="BU1092">
        <f t="shared" ref="BU1092:BU1103" si="463">N(BU1091)+BT1092</f>
        <v>18</v>
      </c>
      <c r="CP1092">
        <f>IF(包装物料出入库明细!$D1092="",0,1)</f>
        <v>0</v>
      </c>
      <c r="CQ1092">
        <f t="shared" ref="CQ1092:CQ1155" si="464">N(CQ1091)+$CP1092</f>
        <v>37</v>
      </c>
      <c r="CS1092" t="str">
        <f>IF(OR(周转筐出入库明细!$C1093="",周转筐出入库明细!$F1093&lt;&gt;"采购入库"),"",周转筐出入库明细!$C1093)</f>
        <v/>
      </c>
      <c r="CT1092">
        <f t="shared" ref="CT1092:CT1155" si="465">IF(CS1092="",0,IF(MATCH(CS1092,$CS$4:$CS$2003,0)=ROW()-3,1,0))</f>
        <v>0</v>
      </c>
      <c r="CU1092">
        <f t="shared" ref="CU1092:CU1155" si="466">N(CU1091)+CT1092</f>
        <v>1</v>
      </c>
    </row>
    <row r="1093" spans="1:99">
      <c r="A1093" t="str">
        <f>IF(包装物料出入库明细!$E1093="","",包装物料出入库明细!$E1093)</f>
        <v/>
      </c>
      <c r="B1093">
        <f t="shared" si="450"/>
        <v>0</v>
      </c>
      <c r="C1093">
        <f t="shared" si="451"/>
        <v>7</v>
      </c>
      <c r="D1093" t="str">
        <f>IF(包装物料出入库明细!$E1093="","",包装物料出入库明细!$F1093)</f>
        <v/>
      </c>
      <c r="E1093" t="str">
        <f>IF(包装物料出入库明细!$E1093="","",包装物料出入库明细!$G1093)</f>
        <v/>
      </c>
      <c r="K1093" t="str">
        <f>IF(包装物料出入库明细!$D1093="","",包装物料出入库明细!$D1093)</f>
        <v/>
      </c>
      <c r="L1093">
        <f t="shared" si="452"/>
        <v>0</v>
      </c>
      <c r="M1093">
        <f t="shared" si="453"/>
        <v>9</v>
      </c>
      <c r="Q1093" t="str">
        <f>IF(周转筐出入库明细!$D1094="","",周转筐出入库明细!$D1094)</f>
        <v/>
      </c>
      <c r="R1093">
        <f t="shared" si="454"/>
        <v>0</v>
      </c>
      <c r="S1093">
        <f t="shared" si="455"/>
        <v>5</v>
      </c>
      <c r="W1093" t="str">
        <f>IF(周转筐出入库明细!$C1094="","",周转筐出入库明细!$C1094)</f>
        <v/>
      </c>
      <c r="X1093">
        <f t="shared" si="456"/>
        <v>0</v>
      </c>
      <c r="Y1093">
        <f t="shared" si="457"/>
        <v>12</v>
      </c>
      <c r="AC1093" t="str">
        <f>IF(客户自备加工筐明细!$C1093="","",客户自备加工筐明细!$C1093)</f>
        <v/>
      </c>
      <c r="AD1093">
        <f t="shared" si="458"/>
        <v>0</v>
      </c>
      <c r="AE1093">
        <f t="shared" si="459"/>
        <v>1</v>
      </c>
      <c r="AI1093" t="str">
        <f>IF(客户自备加工筐明细!$E1093="","",客户自备加工筐明细!$E1093)</f>
        <v/>
      </c>
      <c r="AJ1093">
        <f t="shared" si="460"/>
        <v>0</v>
      </c>
      <c r="AK1093">
        <f t="shared" si="461"/>
        <v>1</v>
      </c>
      <c r="BS1093" t="str">
        <f t="shared" si="449"/>
        <v/>
      </c>
      <c r="BT1093">
        <f t="shared" si="462"/>
        <v>0</v>
      </c>
      <c r="BU1093">
        <f t="shared" si="463"/>
        <v>18</v>
      </c>
      <c r="CP1093">
        <f>IF(包装物料出入库明细!$D1093="",0,1)</f>
        <v>0</v>
      </c>
      <c r="CQ1093">
        <f t="shared" si="464"/>
        <v>37</v>
      </c>
      <c r="CS1093" t="str">
        <f>IF(OR(周转筐出入库明细!$C1094="",周转筐出入库明细!$F1094&lt;&gt;"采购入库"),"",周转筐出入库明细!$C1094)</f>
        <v/>
      </c>
      <c r="CT1093">
        <f t="shared" si="465"/>
        <v>0</v>
      </c>
      <c r="CU1093">
        <f t="shared" si="466"/>
        <v>1</v>
      </c>
    </row>
    <row r="1094" spans="1:99">
      <c r="A1094" t="str">
        <f>IF(包装物料出入库明细!$E1094="","",包装物料出入库明细!$E1094)</f>
        <v/>
      </c>
      <c r="B1094">
        <f t="shared" si="450"/>
        <v>0</v>
      </c>
      <c r="C1094">
        <f t="shared" si="451"/>
        <v>7</v>
      </c>
      <c r="D1094" t="str">
        <f>IF(包装物料出入库明细!$E1094="","",包装物料出入库明细!$F1094)</f>
        <v/>
      </c>
      <c r="E1094" t="str">
        <f>IF(包装物料出入库明细!$E1094="","",包装物料出入库明细!$G1094)</f>
        <v/>
      </c>
      <c r="K1094" t="str">
        <f>IF(包装物料出入库明细!$D1094="","",包装物料出入库明细!$D1094)</f>
        <v/>
      </c>
      <c r="L1094">
        <f t="shared" si="452"/>
        <v>0</v>
      </c>
      <c r="M1094">
        <f t="shared" si="453"/>
        <v>9</v>
      </c>
      <c r="Q1094" t="str">
        <f>IF(周转筐出入库明细!$D1095="","",周转筐出入库明细!$D1095)</f>
        <v/>
      </c>
      <c r="R1094">
        <f t="shared" si="454"/>
        <v>0</v>
      </c>
      <c r="S1094">
        <f t="shared" si="455"/>
        <v>5</v>
      </c>
      <c r="W1094" t="str">
        <f>IF(周转筐出入库明细!$C1095="","",周转筐出入库明细!$C1095)</f>
        <v/>
      </c>
      <c r="X1094">
        <f t="shared" si="456"/>
        <v>0</v>
      </c>
      <c r="Y1094">
        <f t="shared" si="457"/>
        <v>12</v>
      </c>
      <c r="AC1094" t="str">
        <f>IF(客户自备加工筐明细!$C1094="","",客户自备加工筐明细!$C1094)</f>
        <v/>
      </c>
      <c r="AD1094">
        <f t="shared" si="458"/>
        <v>0</v>
      </c>
      <c r="AE1094">
        <f t="shared" si="459"/>
        <v>1</v>
      </c>
      <c r="AI1094" t="str">
        <f>IF(客户自备加工筐明细!$E1094="","",客户自备加工筐明细!$E1094)</f>
        <v/>
      </c>
      <c r="AJ1094">
        <f t="shared" si="460"/>
        <v>0</v>
      </c>
      <c r="AK1094">
        <f t="shared" si="461"/>
        <v>1</v>
      </c>
      <c r="BS1094" t="str">
        <f t="shared" si="449"/>
        <v/>
      </c>
      <c r="BT1094">
        <f t="shared" si="462"/>
        <v>0</v>
      </c>
      <c r="BU1094">
        <f t="shared" si="463"/>
        <v>18</v>
      </c>
      <c r="CP1094">
        <f>IF(包装物料出入库明细!$D1094="",0,1)</f>
        <v>0</v>
      </c>
      <c r="CQ1094">
        <f t="shared" si="464"/>
        <v>37</v>
      </c>
      <c r="CS1094" t="str">
        <f>IF(OR(周转筐出入库明细!$C1095="",周转筐出入库明细!$F1095&lt;&gt;"采购入库"),"",周转筐出入库明细!$C1095)</f>
        <v/>
      </c>
      <c r="CT1094">
        <f t="shared" si="465"/>
        <v>0</v>
      </c>
      <c r="CU1094">
        <f t="shared" si="466"/>
        <v>1</v>
      </c>
    </row>
    <row r="1095" spans="1:99">
      <c r="A1095" t="str">
        <f>IF(包装物料出入库明细!$E1095="","",包装物料出入库明细!$E1095)</f>
        <v/>
      </c>
      <c r="B1095">
        <f t="shared" si="450"/>
        <v>0</v>
      </c>
      <c r="C1095">
        <f t="shared" si="451"/>
        <v>7</v>
      </c>
      <c r="D1095" t="str">
        <f>IF(包装物料出入库明细!$E1095="","",包装物料出入库明细!$F1095)</f>
        <v/>
      </c>
      <c r="E1095" t="str">
        <f>IF(包装物料出入库明细!$E1095="","",包装物料出入库明细!$G1095)</f>
        <v/>
      </c>
      <c r="K1095" t="str">
        <f>IF(包装物料出入库明细!$D1095="","",包装物料出入库明细!$D1095)</f>
        <v/>
      </c>
      <c r="L1095">
        <f t="shared" si="452"/>
        <v>0</v>
      </c>
      <c r="M1095">
        <f t="shared" si="453"/>
        <v>9</v>
      </c>
      <c r="Q1095" t="str">
        <f>IF(周转筐出入库明细!$D1096="","",周转筐出入库明细!$D1096)</f>
        <v/>
      </c>
      <c r="R1095">
        <f t="shared" si="454"/>
        <v>0</v>
      </c>
      <c r="S1095">
        <f t="shared" si="455"/>
        <v>5</v>
      </c>
      <c r="W1095" t="str">
        <f>IF(周转筐出入库明细!$C1096="","",周转筐出入库明细!$C1096)</f>
        <v/>
      </c>
      <c r="X1095">
        <f t="shared" si="456"/>
        <v>0</v>
      </c>
      <c r="Y1095">
        <f t="shared" si="457"/>
        <v>12</v>
      </c>
      <c r="AC1095" t="str">
        <f>IF(客户自备加工筐明细!$C1095="","",客户自备加工筐明细!$C1095)</f>
        <v/>
      </c>
      <c r="AD1095">
        <f t="shared" si="458"/>
        <v>0</v>
      </c>
      <c r="AE1095">
        <f t="shared" si="459"/>
        <v>1</v>
      </c>
      <c r="AI1095" t="str">
        <f>IF(客户自备加工筐明细!$E1095="","",客户自备加工筐明细!$E1095)</f>
        <v/>
      </c>
      <c r="AJ1095">
        <f t="shared" si="460"/>
        <v>0</v>
      </c>
      <c r="AK1095">
        <f t="shared" si="461"/>
        <v>1</v>
      </c>
      <c r="BS1095" t="str">
        <f t="shared" si="449"/>
        <v/>
      </c>
      <c r="BT1095">
        <f t="shared" si="462"/>
        <v>0</v>
      </c>
      <c r="BU1095">
        <f t="shared" si="463"/>
        <v>18</v>
      </c>
      <c r="CP1095">
        <f>IF(包装物料出入库明细!$D1095="",0,1)</f>
        <v>0</v>
      </c>
      <c r="CQ1095">
        <f t="shared" si="464"/>
        <v>37</v>
      </c>
      <c r="CS1095" t="str">
        <f>IF(OR(周转筐出入库明细!$C1096="",周转筐出入库明细!$F1096&lt;&gt;"采购入库"),"",周转筐出入库明细!$C1096)</f>
        <v/>
      </c>
      <c r="CT1095">
        <f t="shared" si="465"/>
        <v>0</v>
      </c>
      <c r="CU1095">
        <f t="shared" si="466"/>
        <v>1</v>
      </c>
    </row>
    <row r="1096" spans="1:99">
      <c r="A1096" t="str">
        <f>IF(包装物料出入库明细!$E1096="","",包装物料出入库明细!$E1096)</f>
        <v/>
      </c>
      <c r="B1096">
        <f t="shared" si="450"/>
        <v>0</v>
      </c>
      <c r="C1096">
        <f t="shared" si="451"/>
        <v>7</v>
      </c>
      <c r="D1096" t="str">
        <f>IF(包装物料出入库明细!$E1096="","",包装物料出入库明细!$F1096)</f>
        <v/>
      </c>
      <c r="E1096" t="str">
        <f>IF(包装物料出入库明细!$E1096="","",包装物料出入库明细!$G1096)</f>
        <v/>
      </c>
      <c r="K1096" t="str">
        <f>IF(包装物料出入库明细!$D1096="","",包装物料出入库明细!$D1096)</f>
        <v/>
      </c>
      <c r="L1096">
        <f t="shared" si="452"/>
        <v>0</v>
      </c>
      <c r="M1096">
        <f t="shared" si="453"/>
        <v>9</v>
      </c>
      <c r="Q1096" t="str">
        <f>IF(周转筐出入库明细!$D1097="","",周转筐出入库明细!$D1097)</f>
        <v/>
      </c>
      <c r="R1096">
        <f t="shared" si="454"/>
        <v>0</v>
      </c>
      <c r="S1096">
        <f t="shared" si="455"/>
        <v>5</v>
      </c>
      <c r="W1096" t="str">
        <f>IF(周转筐出入库明细!$C1097="","",周转筐出入库明细!$C1097)</f>
        <v/>
      </c>
      <c r="X1096">
        <f t="shared" si="456"/>
        <v>0</v>
      </c>
      <c r="Y1096">
        <f t="shared" si="457"/>
        <v>12</v>
      </c>
      <c r="AC1096" t="str">
        <f>IF(客户自备加工筐明细!$C1096="","",客户自备加工筐明细!$C1096)</f>
        <v/>
      </c>
      <c r="AD1096">
        <f t="shared" si="458"/>
        <v>0</v>
      </c>
      <c r="AE1096">
        <f t="shared" si="459"/>
        <v>1</v>
      </c>
      <c r="AI1096" t="str">
        <f>IF(客户自备加工筐明细!$E1096="","",客户自备加工筐明细!$E1096)</f>
        <v/>
      </c>
      <c r="AJ1096">
        <f t="shared" si="460"/>
        <v>0</v>
      </c>
      <c r="AK1096">
        <f t="shared" si="461"/>
        <v>1</v>
      </c>
      <c r="BS1096" t="str">
        <f t="shared" si="449"/>
        <v/>
      </c>
      <c r="BT1096">
        <f t="shared" si="462"/>
        <v>0</v>
      </c>
      <c r="BU1096">
        <f t="shared" si="463"/>
        <v>18</v>
      </c>
      <c r="CP1096">
        <f>IF(包装物料出入库明细!$D1096="",0,1)</f>
        <v>0</v>
      </c>
      <c r="CQ1096">
        <f t="shared" si="464"/>
        <v>37</v>
      </c>
      <c r="CS1096" t="str">
        <f>IF(OR(周转筐出入库明细!$C1097="",周转筐出入库明细!$F1097&lt;&gt;"采购入库"),"",周转筐出入库明细!$C1097)</f>
        <v/>
      </c>
      <c r="CT1096">
        <f t="shared" si="465"/>
        <v>0</v>
      </c>
      <c r="CU1096">
        <f t="shared" si="466"/>
        <v>1</v>
      </c>
    </row>
    <row r="1097" spans="1:99">
      <c r="A1097" t="str">
        <f>IF(包装物料出入库明细!$E1097="","",包装物料出入库明细!$E1097)</f>
        <v/>
      </c>
      <c r="B1097">
        <f t="shared" si="450"/>
        <v>0</v>
      </c>
      <c r="C1097">
        <f t="shared" si="451"/>
        <v>7</v>
      </c>
      <c r="D1097" t="str">
        <f>IF(包装物料出入库明细!$E1097="","",包装物料出入库明细!$F1097)</f>
        <v/>
      </c>
      <c r="E1097" t="str">
        <f>IF(包装物料出入库明细!$E1097="","",包装物料出入库明细!$G1097)</f>
        <v/>
      </c>
      <c r="K1097" t="str">
        <f>IF(包装物料出入库明细!$D1097="","",包装物料出入库明细!$D1097)</f>
        <v/>
      </c>
      <c r="L1097">
        <f t="shared" si="452"/>
        <v>0</v>
      </c>
      <c r="M1097">
        <f t="shared" si="453"/>
        <v>9</v>
      </c>
      <c r="Q1097" t="str">
        <f>IF(周转筐出入库明细!$D1098="","",周转筐出入库明细!$D1098)</f>
        <v/>
      </c>
      <c r="R1097">
        <f t="shared" si="454"/>
        <v>0</v>
      </c>
      <c r="S1097">
        <f t="shared" si="455"/>
        <v>5</v>
      </c>
      <c r="W1097" t="str">
        <f>IF(周转筐出入库明细!$C1098="","",周转筐出入库明细!$C1098)</f>
        <v/>
      </c>
      <c r="X1097">
        <f t="shared" si="456"/>
        <v>0</v>
      </c>
      <c r="Y1097">
        <f t="shared" si="457"/>
        <v>12</v>
      </c>
      <c r="AC1097" t="str">
        <f>IF(客户自备加工筐明细!$C1097="","",客户自备加工筐明细!$C1097)</f>
        <v/>
      </c>
      <c r="AD1097">
        <f t="shared" si="458"/>
        <v>0</v>
      </c>
      <c r="AE1097">
        <f t="shared" si="459"/>
        <v>1</v>
      </c>
      <c r="AI1097" t="str">
        <f>IF(客户自备加工筐明细!$E1097="","",客户自备加工筐明细!$E1097)</f>
        <v/>
      </c>
      <c r="AJ1097">
        <f t="shared" si="460"/>
        <v>0</v>
      </c>
      <c r="AK1097">
        <f t="shared" si="461"/>
        <v>1</v>
      </c>
      <c r="BS1097" t="str">
        <f t="shared" si="449"/>
        <v/>
      </c>
      <c r="BT1097">
        <f t="shared" si="462"/>
        <v>0</v>
      </c>
      <c r="BU1097">
        <f t="shared" si="463"/>
        <v>18</v>
      </c>
      <c r="CP1097">
        <f>IF(包装物料出入库明细!$D1097="",0,1)</f>
        <v>0</v>
      </c>
      <c r="CQ1097">
        <f t="shared" si="464"/>
        <v>37</v>
      </c>
      <c r="CS1097" t="str">
        <f>IF(OR(周转筐出入库明细!$C1098="",周转筐出入库明细!$F1098&lt;&gt;"采购入库"),"",周转筐出入库明细!$C1098)</f>
        <v/>
      </c>
      <c r="CT1097">
        <f t="shared" si="465"/>
        <v>0</v>
      </c>
      <c r="CU1097">
        <f t="shared" si="466"/>
        <v>1</v>
      </c>
    </row>
    <row r="1098" spans="1:99">
      <c r="A1098" t="str">
        <f>IF(包装物料出入库明细!$E1098="","",包装物料出入库明细!$E1098)</f>
        <v/>
      </c>
      <c r="B1098">
        <f t="shared" si="450"/>
        <v>0</v>
      </c>
      <c r="C1098">
        <f t="shared" si="451"/>
        <v>7</v>
      </c>
      <c r="D1098" t="str">
        <f>IF(包装物料出入库明细!$E1098="","",包装物料出入库明细!$F1098)</f>
        <v/>
      </c>
      <c r="E1098" t="str">
        <f>IF(包装物料出入库明细!$E1098="","",包装物料出入库明细!$G1098)</f>
        <v/>
      </c>
      <c r="K1098" t="str">
        <f>IF(包装物料出入库明细!$D1098="","",包装物料出入库明细!$D1098)</f>
        <v/>
      </c>
      <c r="L1098">
        <f t="shared" si="452"/>
        <v>0</v>
      </c>
      <c r="M1098">
        <f t="shared" si="453"/>
        <v>9</v>
      </c>
      <c r="Q1098" t="str">
        <f>IF(周转筐出入库明细!$D1099="","",周转筐出入库明细!$D1099)</f>
        <v/>
      </c>
      <c r="R1098">
        <f t="shared" si="454"/>
        <v>0</v>
      </c>
      <c r="S1098">
        <f t="shared" si="455"/>
        <v>5</v>
      </c>
      <c r="W1098" t="str">
        <f>IF(周转筐出入库明细!$C1099="","",周转筐出入库明细!$C1099)</f>
        <v/>
      </c>
      <c r="X1098">
        <f t="shared" si="456"/>
        <v>0</v>
      </c>
      <c r="Y1098">
        <f t="shared" si="457"/>
        <v>12</v>
      </c>
      <c r="AC1098" t="str">
        <f>IF(客户自备加工筐明细!$C1098="","",客户自备加工筐明细!$C1098)</f>
        <v/>
      </c>
      <c r="AD1098">
        <f t="shared" si="458"/>
        <v>0</v>
      </c>
      <c r="AE1098">
        <f t="shared" si="459"/>
        <v>1</v>
      </c>
      <c r="AI1098" t="str">
        <f>IF(客户自备加工筐明细!$E1098="","",客户自备加工筐明细!$E1098)</f>
        <v/>
      </c>
      <c r="AJ1098">
        <f t="shared" si="460"/>
        <v>0</v>
      </c>
      <c r="AK1098">
        <f t="shared" si="461"/>
        <v>1</v>
      </c>
      <c r="BS1098" t="str">
        <f t="shared" si="449"/>
        <v/>
      </c>
      <c r="BT1098">
        <f t="shared" si="462"/>
        <v>0</v>
      </c>
      <c r="BU1098">
        <f t="shared" si="463"/>
        <v>18</v>
      </c>
      <c r="CP1098">
        <f>IF(包装物料出入库明细!$D1098="",0,1)</f>
        <v>0</v>
      </c>
      <c r="CQ1098">
        <f t="shared" si="464"/>
        <v>37</v>
      </c>
      <c r="CS1098" t="str">
        <f>IF(OR(周转筐出入库明细!$C1099="",周转筐出入库明细!$F1099&lt;&gt;"采购入库"),"",周转筐出入库明细!$C1099)</f>
        <v/>
      </c>
      <c r="CT1098">
        <f t="shared" si="465"/>
        <v>0</v>
      </c>
      <c r="CU1098">
        <f t="shared" si="466"/>
        <v>1</v>
      </c>
    </row>
    <row r="1099" spans="1:99">
      <c r="A1099" t="str">
        <f>IF(包装物料出入库明细!$E1099="","",包装物料出入库明细!$E1099)</f>
        <v/>
      </c>
      <c r="B1099">
        <f t="shared" si="450"/>
        <v>0</v>
      </c>
      <c r="C1099">
        <f t="shared" si="451"/>
        <v>7</v>
      </c>
      <c r="D1099" t="str">
        <f>IF(包装物料出入库明细!$E1099="","",包装物料出入库明细!$F1099)</f>
        <v/>
      </c>
      <c r="E1099" t="str">
        <f>IF(包装物料出入库明细!$E1099="","",包装物料出入库明细!$G1099)</f>
        <v/>
      </c>
      <c r="K1099" t="str">
        <f>IF(包装物料出入库明细!$D1099="","",包装物料出入库明细!$D1099)</f>
        <v/>
      </c>
      <c r="L1099">
        <f t="shared" si="452"/>
        <v>0</v>
      </c>
      <c r="M1099">
        <f t="shared" si="453"/>
        <v>9</v>
      </c>
      <c r="Q1099" t="str">
        <f>IF(周转筐出入库明细!$D1100="","",周转筐出入库明细!$D1100)</f>
        <v/>
      </c>
      <c r="R1099">
        <f t="shared" si="454"/>
        <v>0</v>
      </c>
      <c r="S1099">
        <f t="shared" si="455"/>
        <v>5</v>
      </c>
      <c r="W1099" t="str">
        <f>IF(周转筐出入库明细!$C1100="","",周转筐出入库明细!$C1100)</f>
        <v/>
      </c>
      <c r="X1099">
        <f t="shared" si="456"/>
        <v>0</v>
      </c>
      <c r="Y1099">
        <f t="shared" si="457"/>
        <v>12</v>
      </c>
      <c r="AC1099" t="str">
        <f>IF(客户自备加工筐明细!$C1099="","",客户自备加工筐明细!$C1099)</f>
        <v/>
      </c>
      <c r="AD1099">
        <f t="shared" si="458"/>
        <v>0</v>
      </c>
      <c r="AE1099">
        <f t="shared" si="459"/>
        <v>1</v>
      </c>
      <c r="AI1099" t="str">
        <f>IF(客户自备加工筐明细!$E1099="","",客户自备加工筐明细!$E1099)</f>
        <v/>
      </c>
      <c r="AJ1099">
        <f t="shared" si="460"/>
        <v>0</v>
      </c>
      <c r="AK1099">
        <f t="shared" si="461"/>
        <v>1</v>
      </c>
      <c r="BS1099" t="str">
        <f t="shared" si="449"/>
        <v/>
      </c>
      <c r="BT1099">
        <f t="shared" si="462"/>
        <v>0</v>
      </c>
      <c r="BU1099">
        <f t="shared" si="463"/>
        <v>18</v>
      </c>
      <c r="CP1099">
        <f>IF(包装物料出入库明细!$D1099="",0,1)</f>
        <v>0</v>
      </c>
      <c r="CQ1099">
        <f t="shared" si="464"/>
        <v>37</v>
      </c>
      <c r="CS1099" t="str">
        <f>IF(OR(周转筐出入库明细!$C1100="",周转筐出入库明细!$F1100&lt;&gt;"采购入库"),"",周转筐出入库明细!$C1100)</f>
        <v/>
      </c>
      <c r="CT1099">
        <f t="shared" si="465"/>
        <v>0</v>
      </c>
      <c r="CU1099">
        <f t="shared" si="466"/>
        <v>1</v>
      </c>
    </row>
    <row r="1100" spans="1:99">
      <c r="A1100" t="str">
        <f>IF(包装物料出入库明细!$E1100="","",包装物料出入库明细!$E1100)</f>
        <v/>
      </c>
      <c r="B1100">
        <f t="shared" si="450"/>
        <v>0</v>
      </c>
      <c r="C1100">
        <f t="shared" si="451"/>
        <v>7</v>
      </c>
      <c r="D1100" t="str">
        <f>IF(包装物料出入库明细!$E1100="","",包装物料出入库明细!$F1100)</f>
        <v/>
      </c>
      <c r="E1100" t="str">
        <f>IF(包装物料出入库明细!$E1100="","",包装物料出入库明细!$G1100)</f>
        <v/>
      </c>
      <c r="K1100" t="str">
        <f>IF(包装物料出入库明细!$D1100="","",包装物料出入库明细!$D1100)</f>
        <v/>
      </c>
      <c r="L1100">
        <f t="shared" si="452"/>
        <v>0</v>
      </c>
      <c r="M1100">
        <f t="shared" si="453"/>
        <v>9</v>
      </c>
      <c r="Q1100" t="str">
        <f>IF(周转筐出入库明细!$D1101="","",周转筐出入库明细!$D1101)</f>
        <v/>
      </c>
      <c r="R1100">
        <f t="shared" si="454"/>
        <v>0</v>
      </c>
      <c r="S1100">
        <f t="shared" si="455"/>
        <v>5</v>
      </c>
      <c r="W1100" t="str">
        <f>IF(周转筐出入库明细!$C1101="","",周转筐出入库明细!$C1101)</f>
        <v/>
      </c>
      <c r="X1100">
        <f t="shared" si="456"/>
        <v>0</v>
      </c>
      <c r="Y1100">
        <f t="shared" si="457"/>
        <v>12</v>
      </c>
      <c r="AC1100" t="str">
        <f>IF(客户自备加工筐明细!$C1100="","",客户自备加工筐明细!$C1100)</f>
        <v/>
      </c>
      <c r="AD1100">
        <f t="shared" si="458"/>
        <v>0</v>
      </c>
      <c r="AE1100">
        <f t="shared" si="459"/>
        <v>1</v>
      </c>
      <c r="AI1100" t="str">
        <f>IF(客户自备加工筐明细!$E1100="","",客户自备加工筐明细!$E1100)</f>
        <v/>
      </c>
      <c r="AJ1100">
        <f t="shared" si="460"/>
        <v>0</v>
      </c>
      <c r="AK1100">
        <f t="shared" si="461"/>
        <v>1</v>
      </c>
      <c r="BS1100" t="str">
        <f t="shared" si="449"/>
        <v/>
      </c>
      <c r="BT1100">
        <f t="shared" si="462"/>
        <v>0</v>
      </c>
      <c r="BU1100">
        <f t="shared" si="463"/>
        <v>18</v>
      </c>
      <c r="CP1100">
        <f>IF(包装物料出入库明细!$D1100="",0,1)</f>
        <v>0</v>
      </c>
      <c r="CQ1100">
        <f t="shared" si="464"/>
        <v>37</v>
      </c>
      <c r="CS1100" t="str">
        <f>IF(OR(周转筐出入库明细!$C1101="",周转筐出入库明细!$F1101&lt;&gt;"采购入库"),"",周转筐出入库明细!$C1101)</f>
        <v/>
      </c>
      <c r="CT1100">
        <f t="shared" si="465"/>
        <v>0</v>
      </c>
      <c r="CU1100">
        <f t="shared" si="466"/>
        <v>1</v>
      </c>
    </row>
    <row r="1101" spans="1:99">
      <c r="A1101" t="str">
        <f>IF(包装物料出入库明细!$E1101="","",包装物料出入库明细!$E1101)</f>
        <v/>
      </c>
      <c r="B1101">
        <f t="shared" si="450"/>
        <v>0</v>
      </c>
      <c r="C1101">
        <f t="shared" si="451"/>
        <v>7</v>
      </c>
      <c r="D1101" t="str">
        <f>IF(包装物料出入库明细!$E1101="","",包装物料出入库明细!$F1101)</f>
        <v/>
      </c>
      <c r="E1101" t="str">
        <f>IF(包装物料出入库明细!$E1101="","",包装物料出入库明细!$G1101)</f>
        <v/>
      </c>
      <c r="K1101" t="str">
        <f>IF(包装物料出入库明细!$D1101="","",包装物料出入库明细!$D1101)</f>
        <v/>
      </c>
      <c r="L1101">
        <f t="shared" si="452"/>
        <v>0</v>
      </c>
      <c r="M1101">
        <f t="shared" si="453"/>
        <v>9</v>
      </c>
      <c r="Q1101" t="str">
        <f>IF(周转筐出入库明细!$D1102="","",周转筐出入库明细!$D1102)</f>
        <v/>
      </c>
      <c r="R1101">
        <f t="shared" si="454"/>
        <v>0</v>
      </c>
      <c r="S1101">
        <f t="shared" si="455"/>
        <v>5</v>
      </c>
      <c r="W1101" t="str">
        <f>IF(周转筐出入库明细!$C1102="","",周转筐出入库明细!$C1102)</f>
        <v/>
      </c>
      <c r="X1101">
        <f t="shared" si="456"/>
        <v>0</v>
      </c>
      <c r="Y1101">
        <f t="shared" si="457"/>
        <v>12</v>
      </c>
      <c r="AC1101" t="str">
        <f>IF(客户自备加工筐明细!$C1101="","",客户自备加工筐明细!$C1101)</f>
        <v/>
      </c>
      <c r="AD1101">
        <f t="shared" si="458"/>
        <v>0</v>
      </c>
      <c r="AE1101">
        <f t="shared" si="459"/>
        <v>1</v>
      </c>
      <c r="AI1101" t="str">
        <f>IF(客户自备加工筐明细!$E1101="","",客户自备加工筐明细!$E1101)</f>
        <v/>
      </c>
      <c r="AJ1101">
        <f t="shared" si="460"/>
        <v>0</v>
      </c>
      <c r="AK1101">
        <f t="shared" si="461"/>
        <v>1</v>
      </c>
      <c r="BS1101" t="str">
        <f t="shared" si="449"/>
        <v/>
      </c>
      <c r="BT1101">
        <f t="shared" si="462"/>
        <v>0</v>
      </c>
      <c r="BU1101">
        <f t="shared" si="463"/>
        <v>18</v>
      </c>
      <c r="CP1101">
        <f>IF(包装物料出入库明细!$D1101="",0,1)</f>
        <v>0</v>
      </c>
      <c r="CQ1101">
        <f t="shared" si="464"/>
        <v>37</v>
      </c>
      <c r="CS1101" t="str">
        <f>IF(OR(周转筐出入库明细!$C1102="",周转筐出入库明细!$F1102&lt;&gt;"采购入库"),"",周转筐出入库明细!$C1102)</f>
        <v/>
      </c>
      <c r="CT1101">
        <f t="shared" si="465"/>
        <v>0</v>
      </c>
      <c r="CU1101">
        <f t="shared" si="466"/>
        <v>1</v>
      </c>
    </row>
    <row r="1102" spans="1:99">
      <c r="A1102" t="str">
        <f>IF(包装物料出入库明细!$E1102="","",包装物料出入库明细!$E1102)</f>
        <v/>
      </c>
      <c r="B1102">
        <f t="shared" si="450"/>
        <v>0</v>
      </c>
      <c r="C1102">
        <f t="shared" si="451"/>
        <v>7</v>
      </c>
      <c r="D1102" t="str">
        <f>IF(包装物料出入库明细!$E1102="","",包装物料出入库明细!$F1102)</f>
        <v/>
      </c>
      <c r="E1102" t="str">
        <f>IF(包装物料出入库明细!$E1102="","",包装物料出入库明细!$G1102)</f>
        <v/>
      </c>
      <c r="K1102" t="str">
        <f>IF(包装物料出入库明细!$D1102="","",包装物料出入库明细!$D1102)</f>
        <v/>
      </c>
      <c r="L1102">
        <f t="shared" si="452"/>
        <v>0</v>
      </c>
      <c r="M1102">
        <f t="shared" si="453"/>
        <v>9</v>
      </c>
      <c r="Q1102" t="str">
        <f>IF(周转筐出入库明细!$D1103="","",周转筐出入库明细!$D1103)</f>
        <v/>
      </c>
      <c r="R1102">
        <f t="shared" si="454"/>
        <v>0</v>
      </c>
      <c r="S1102">
        <f t="shared" si="455"/>
        <v>5</v>
      </c>
      <c r="W1102" t="str">
        <f>IF(周转筐出入库明细!$C1103="","",周转筐出入库明细!$C1103)</f>
        <v/>
      </c>
      <c r="X1102">
        <f t="shared" si="456"/>
        <v>0</v>
      </c>
      <c r="Y1102">
        <f t="shared" si="457"/>
        <v>12</v>
      </c>
      <c r="AC1102" t="str">
        <f>IF(客户自备加工筐明细!$C1102="","",客户自备加工筐明细!$C1102)</f>
        <v/>
      </c>
      <c r="AD1102">
        <f t="shared" si="458"/>
        <v>0</v>
      </c>
      <c r="AE1102">
        <f t="shared" si="459"/>
        <v>1</v>
      </c>
      <c r="AI1102" t="str">
        <f>IF(客户自备加工筐明细!$E1102="","",客户自备加工筐明细!$E1102)</f>
        <v/>
      </c>
      <c r="AJ1102">
        <f t="shared" si="460"/>
        <v>0</v>
      </c>
      <c r="AK1102">
        <f t="shared" si="461"/>
        <v>1</v>
      </c>
      <c r="BS1102" t="str">
        <f t="shared" si="449"/>
        <v/>
      </c>
      <c r="BT1102">
        <f t="shared" si="462"/>
        <v>0</v>
      </c>
      <c r="BU1102">
        <f t="shared" si="463"/>
        <v>18</v>
      </c>
      <c r="CP1102">
        <f>IF(包装物料出入库明细!$D1102="",0,1)</f>
        <v>0</v>
      </c>
      <c r="CQ1102">
        <f t="shared" si="464"/>
        <v>37</v>
      </c>
      <c r="CS1102" t="str">
        <f>IF(OR(周转筐出入库明细!$C1103="",周转筐出入库明细!$F1103&lt;&gt;"采购入库"),"",周转筐出入库明细!$C1103)</f>
        <v/>
      </c>
      <c r="CT1102">
        <f t="shared" si="465"/>
        <v>0</v>
      </c>
      <c r="CU1102">
        <f t="shared" si="466"/>
        <v>1</v>
      </c>
    </row>
    <row r="1103" spans="1:99">
      <c r="A1103" t="str">
        <f>IF(包装物料出入库明细!$E1103="","",包装物料出入库明细!$E1103)</f>
        <v/>
      </c>
      <c r="B1103">
        <f t="shared" si="450"/>
        <v>0</v>
      </c>
      <c r="C1103">
        <f t="shared" si="451"/>
        <v>7</v>
      </c>
      <c r="D1103" t="str">
        <f>IF(包装物料出入库明细!$E1103="","",包装物料出入库明细!$F1103)</f>
        <v/>
      </c>
      <c r="E1103" t="str">
        <f>IF(包装物料出入库明细!$E1103="","",包装物料出入库明细!$G1103)</f>
        <v/>
      </c>
      <c r="K1103" t="str">
        <f>IF(包装物料出入库明细!$D1103="","",包装物料出入库明细!$D1103)</f>
        <v/>
      </c>
      <c r="L1103">
        <f t="shared" si="452"/>
        <v>0</v>
      </c>
      <c r="M1103">
        <f t="shared" si="453"/>
        <v>9</v>
      </c>
      <c r="Q1103" t="str">
        <f>IF(周转筐出入库明细!$D1104="","",周转筐出入库明细!$D1104)</f>
        <v/>
      </c>
      <c r="R1103">
        <f t="shared" si="454"/>
        <v>0</v>
      </c>
      <c r="S1103">
        <f t="shared" si="455"/>
        <v>5</v>
      </c>
      <c r="W1103" t="str">
        <f>IF(周转筐出入库明细!$C1104="","",周转筐出入库明细!$C1104)</f>
        <v/>
      </c>
      <c r="X1103">
        <f t="shared" si="456"/>
        <v>0</v>
      </c>
      <c r="Y1103">
        <f t="shared" si="457"/>
        <v>12</v>
      </c>
      <c r="AC1103" t="str">
        <f>IF(客户自备加工筐明细!$C1103="","",客户自备加工筐明细!$C1103)</f>
        <v/>
      </c>
      <c r="AD1103">
        <f t="shared" si="458"/>
        <v>0</v>
      </c>
      <c r="AE1103">
        <f t="shared" si="459"/>
        <v>1</v>
      </c>
      <c r="AI1103" t="str">
        <f>IF(客户自备加工筐明细!$E1103="","",客户自备加工筐明细!$E1103)</f>
        <v/>
      </c>
      <c r="AJ1103">
        <f t="shared" si="460"/>
        <v>0</v>
      </c>
      <c r="AK1103">
        <f t="shared" si="461"/>
        <v>1</v>
      </c>
      <c r="BS1103" t="str">
        <f t="shared" si="449"/>
        <v/>
      </c>
      <c r="BT1103">
        <f t="shared" si="462"/>
        <v>0</v>
      </c>
      <c r="BU1103">
        <f t="shared" si="463"/>
        <v>18</v>
      </c>
      <c r="CP1103">
        <f>IF(包装物料出入库明细!$D1103="",0,1)</f>
        <v>0</v>
      </c>
      <c r="CQ1103">
        <f t="shared" si="464"/>
        <v>37</v>
      </c>
      <c r="CS1103" t="str">
        <f>IF(OR(周转筐出入库明细!$C1104="",周转筐出入库明细!$F1104&lt;&gt;"采购入库"),"",周转筐出入库明细!$C1104)</f>
        <v/>
      </c>
      <c r="CT1103">
        <f t="shared" si="465"/>
        <v>0</v>
      </c>
      <c r="CU1103">
        <f t="shared" si="466"/>
        <v>1</v>
      </c>
    </row>
    <row r="1104" spans="1:99">
      <c r="A1104" t="str">
        <f>IF(包装物料出入库明细!$E1104="","",包装物料出入库明细!$E1104)</f>
        <v/>
      </c>
      <c r="B1104">
        <f t="shared" si="450"/>
        <v>0</v>
      </c>
      <c r="C1104">
        <f t="shared" si="451"/>
        <v>7</v>
      </c>
      <c r="D1104" t="str">
        <f>IF(包装物料出入库明细!$E1104="","",包装物料出入库明细!$F1104)</f>
        <v/>
      </c>
      <c r="E1104" t="str">
        <f>IF(包装物料出入库明细!$E1104="","",包装物料出入库明细!$G1104)</f>
        <v/>
      </c>
      <c r="K1104" t="str">
        <f>IF(包装物料出入库明细!$D1104="","",包装物料出入库明细!$D1104)</f>
        <v/>
      </c>
      <c r="L1104">
        <f t="shared" si="452"/>
        <v>0</v>
      </c>
      <c r="M1104">
        <f t="shared" si="453"/>
        <v>9</v>
      </c>
      <c r="Q1104" t="str">
        <f>IF(周转筐出入库明细!$D1105="","",周转筐出入库明细!$D1105)</f>
        <v/>
      </c>
      <c r="R1104">
        <f t="shared" si="454"/>
        <v>0</v>
      </c>
      <c r="S1104">
        <f t="shared" si="455"/>
        <v>5</v>
      </c>
      <c r="W1104" t="str">
        <f>IF(周转筐出入库明细!$C1105="","",周转筐出入库明细!$C1105)</f>
        <v/>
      </c>
      <c r="X1104">
        <f t="shared" si="456"/>
        <v>0</v>
      </c>
      <c r="Y1104">
        <f t="shared" si="457"/>
        <v>12</v>
      </c>
      <c r="AC1104" t="str">
        <f>IF(客户自备加工筐明细!$C1104="","",客户自备加工筐明细!$C1104)</f>
        <v/>
      </c>
      <c r="AD1104">
        <f t="shared" si="458"/>
        <v>0</v>
      </c>
      <c r="AE1104">
        <f t="shared" si="459"/>
        <v>1</v>
      </c>
      <c r="AI1104" t="str">
        <f>IF(客户自备加工筐明细!$E1104="","",客户自备加工筐明细!$E1104)</f>
        <v/>
      </c>
      <c r="AJ1104">
        <f t="shared" si="460"/>
        <v>0</v>
      </c>
      <c r="AK1104">
        <f t="shared" si="461"/>
        <v>1</v>
      </c>
      <c r="CP1104">
        <f>IF(包装物料出入库明细!$D1104="",0,1)</f>
        <v>0</v>
      </c>
      <c r="CQ1104">
        <f t="shared" si="464"/>
        <v>37</v>
      </c>
      <c r="CS1104" t="str">
        <f>IF(OR(周转筐出入库明细!$C1105="",周转筐出入库明细!$F1105&lt;&gt;"采购入库"),"",周转筐出入库明细!$C1105)</f>
        <v/>
      </c>
      <c r="CT1104">
        <f t="shared" si="465"/>
        <v>0</v>
      </c>
      <c r="CU1104">
        <f t="shared" si="466"/>
        <v>1</v>
      </c>
    </row>
    <row r="1105" spans="1:99">
      <c r="A1105" t="str">
        <f>IF(包装物料出入库明细!$E1105="","",包装物料出入库明细!$E1105)</f>
        <v/>
      </c>
      <c r="B1105">
        <f t="shared" si="450"/>
        <v>0</v>
      </c>
      <c r="C1105">
        <f t="shared" si="451"/>
        <v>7</v>
      </c>
      <c r="D1105" t="str">
        <f>IF(包装物料出入库明细!$E1105="","",包装物料出入库明细!$F1105)</f>
        <v/>
      </c>
      <c r="E1105" t="str">
        <f>IF(包装物料出入库明细!$E1105="","",包装物料出入库明细!$G1105)</f>
        <v/>
      </c>
      <c r="K1105" t="str">
        <f>IF(包装物料出入库明细!$D1105="","",包装物料出入库明细!$D1105)</f>
        <v/>
      </c>
      <c r="L1105">
        <f t="shared" si="452"/>
        <v>0</v>
      </c>
      <c r="M1105">
        <f t="shared" si="453"/>
        <v>9</v>
      </c>
      <c r="Q1105" t="str">
        <f>IF(周转筐出入库明细!$D1106="","",周转筐出入库明细!$D1106)</f>
        <v/>
      </c>
      <c r="R1105">
        <f t="shared" si="454"/>
        <v>0</v>
      </c>
      <c r="S1105">
        <f t="shared" si="455"/>
        <v>5</v>
      </c>
      <c r="W1105" t="str">
        <f>IF(周转筐出入库明细!$C1106="","",周转筐出入库明细!$C1106)</f>
        <v/>
      </c>
      <c r="X1105">
        <f t="shared" si="456"/>
        <v>0</v>
      </c>
      <c r="Y1105">
        <f t="shared" si="457"/>
        <v>12</v>
      </c>
      <c r="AC1105" t="str">
        <f>IF(客户自备加工筐明细!$C1105="","",客户自备加工筐明细!$C1105)</f>
        <v/>
      </c>
      <c r="AD1105">
        <f t="shared" si="458"/>
        <v>0</v>
      </c>
      <c r="AE1105">
        <f t="shared" si="459"/>
        <v>1</v>
      </c>
      <c r="AI1105" t="str">
        <f>IF(客户自备加工筐明细!$E1105="","",客户自备加工筐明细!$E1105)</f>
        <v/>
      </c>
      <c r="AJ1105">
        <f t="shared" si="460"/>
        <v>0</v>
      </c>
      <c r="AK1105">
        <f t="shared" si="461"/>
        <v>1</v>
      </c>
      <c r="CP1105">
        <f>IF(包装物料出入库明细!$D1105="",0,1)</f>
        <v>0</v>
      </c>
      <c r="CQ1105">
        <f t="shared" si="464"/>
        <v>37</v>
      </c>
      <c r="CS1105" t="str">
        <f>IF(OR(周转筐出入库明细!$C1106="",周转筐出入库明细!$F1106&lt;&gt;"采购入库"),"",周转筐出入库明细!$C1106)</f>
        <v/>
      </c>
      <c r="CT1105">
        <f t="shared" si="465"/>
        <v>0</v>
      </c>
      <c r="CU1105">
        <f t="shared" si="466"/>
        <v>1</v>
      </c>
    </row>
    <row r="1106" spans="1:99">
      <c r="A1106" t="str">
        <f>IF(包装物料出入库明细!$E1106="","",包装物料出入库明细!$E1106)</f>
        <v/>
      </c>
      <c r="B1106">
        <f t="shared" si="450"/>
        <v>0</v>
      </c>
      <c r="C1106">
        <f t="shared" si="451"/>
        <v>7</v>
      </c>
      <c r="D1106" t="str">
        <f>IF(包装物料出入库明细!$E1106="","",包装物料出入库明细!$F1106)</f>
        <v/>
      </c>
      <c r="E1106" t="str">
        <f>IF(包装物料出入库明细!$E1106="","",包装物料出入库明细!$G1106)</f>
        <v/>
      </c>
      <c r="K1106" t="str">
        <f>IF(包装物料出入库明细!$D1106="","",包装物料出入库明细!$D1106)</f>
        <v/>
      </c>
      <c r="L1106">
        <f t="shared" si="452"/>
        <v>0</v>
      </c>
      <c r="M1106">
        <f t="shared" si="453"/>
        <v>9</v>
      </c>
      <c r="Q1106" t="str">
        <f>IF(周转筐出入库明细!$D1107="","",周转筐出入库明细!$D1107)</f>
        <v/>
      </c>
      <c r="R1106">
        <f t="shared" si="454"/>
        <v>0</v>
      </c>
      <c r="S1106">
        <f t="shared" si="455"/>
        <v>5</v>
      </c>
      <c r="W1106" t="str">
        <f>IF(周转筐出入库明细!$C1107="","",周转筐出入库明细!$C1107)</f>
        <v/>
      </c>
      <c r="X1106">
        <f t="shared" si="456"/>
        <v>0</v>
      </c>
      <c r="Y1106">
        <f t="shared" si="457"/>
        <v>12</v>
      </c>
      <c r="AC1106" t="str">
        <f>IF(客户自备加工筐明细!$C1106="","",客户自备加工筐明细!$C1106)</f>
        <v/>
      </c>
      <c r="AD1106">
        <f t="shared" si="458"/>
        <v>0</v>
      </c>
      <c r="AE1106">
        <f t="shared" si="459"/>
        <v>1</v>
      </c>
      <c r="AI1106" t="str">
        <f>IF(客户自备加工筐明细!$E1106="","",客户自备加工筐明细!$E1106)</f>
        <v/>
      </c>
      <c r="AJ1106">
        <f t="shared" si="460"/>
        <v>0</v>
      </c>
      <c r="AK1106">
        <f t="shared" si="461"/>
        <v>1</v>
      </c>
      <c r="CP1106">
        <f>IF(包装物料出入库明细!$D1106="",0,1)</f>
        <v>0</v>
      </c>
      <c r="CQ1106">
        <f t="shared" si="464"/>
        <v>37</v>
      </c>
      <c r="CS1106" t="str">
        <f>IF(OR(周转筐出入库明细!$C1107="",周转筐出入库明细!$F1107&lt;&gt;"采购入库"),"",周转筐出入库明细!$C1107)</f>
        <v/>
      </c>
      <c r="CT1106">
        <f t="shared" si="465"/>
        <v>0</v>
      </c>
      <c r="CU1106">
        <f t="shared" si="466"/>
        <v>1</v>
      </c>
    </row>
    <row r="1107" spans="1:99">
      <c r="A1107" t="str">
        <f>IF(包装物料出入库明细!$E1107="","",包装物料出入库明细!$E1107)</f>
        <v/>
      </c>
      <c r="B1107">
        <f t="shared" si="450"/>
        <v>0</v>
      </c>
      <c r="C1107">
        <f t="shared" si="451"/>
        <v>7</v>
      </c>
      <c r="D1107" t="str">
        <f>IF(包装物料出入库明细!$E1107="","",包装物料出入库明细!$F1107)</f>
        <v/>
      </c>
      <c r="E1107" t="str">
        <f>IF(包装物料出入库明细!$E1107="","",包装物料出入库明细!$G1107)</f>
        <v/>
      </c>
      <c r="K1107" t="str">
        <f>IF(包装物料出入库明细!$D1107="","",包装物料出入库明细!$D1107)</f>
        <v/>
      </c>
      <c r="L1107">
        <f t="shared" si="452"/>
        <v>0</v>
      </c>
      <c r="M1107">
        <f t="shared" si="453"/>
        <v>9</v>
      </c>
      <c r="Q1107" t="str">
        <f>IF(周转筐出入库明细!$D1108="","",周转筐出入库明细!$D1108)</f>
        <v/>
      </c>
      <c r="R1107">
        <f t="shared" si="454"/>
        <v>0</v>
      </c>
      <c r="S1107">
        <f t="shared" si="455"/>
        <v>5</v>
      </c>
      <c r="W1107" t="str">
        <f>IF(周转筐出入库明细!$C1108="","",周转筐出入库明细!$C1108)</f>
        <v/>
      </c>
      <c r="X1107">
        <f t="shared" si="456"/>
        <v>0</v>
      </c>
      <c r="Y1107">
        <f t="shared" si="457"/>
        <v>12</v>
      </c>
      <c r="AC1107" t="str">
        <f>IF(客户自备加工筐明细!$C1107="","",客户自备加工筐明细!$C1107)</f>
        <v/>
      </c>
      <c r="AD1107">
        <f t="shared" si="458"/>
        <v>0</v>
      </c>
      <c r="AE1107">
        <f t="shared" si="459"/>
        <v>1</v>
      </c>
      <c r="AI1107" t="str">
        <f>IF(客户自备加工筐明细!$E1107="","",客户自备加工筐明细!$E1107)</f>
        <v/>
      </c>
      <c r="AJ1107">
        <f t="shared" si="460"/>
        <v>0</v>
      </c>
      <c r="AK1107">
        <f t="shared" si="461"/>
        <v>1</v>
      </c>
      <c r="CP1107">
        <f>IF(包装物料出入库明细!$D1107="",0,1)</f>
        <v>0</v>
      </c>
      <c r="CQ1107">
        <f t="shared" si="464"/>
        <v>37</v>
      </c>
      <c r="CS1107" t="str">
        <f>IF(OR(周转筐出入库明细!$C1108="",周转筐出入库明细!$F1108&lt;&gt;"采购入库"),"",周转筐出入库明细!$C1108)</f>
        <v/>
      </c>
      <c r="CT1107">
        <f t="shared" si="465"/>
        <v>0</v>
      </c>
      <c r="CU1107">
        <f t="shared" si="466"/>
        <v>1</v>
      </c>
    </row>
    <row r="1108" spans="1:99">
      <c r="A1108" t="str">
        <f>IF(包装物料出入库明细!$E1108="","",包装物料出入库明细!$E1108)</f>
        <v/>
      </c>
      <c r="B1108">
        <f t="shared" si="450"/>
        <v>0</v>
      </c>
      <c r="C1108">
        <f t="shared" si="451"/>
        <v>7</v>
      </c>
      <c r="D1108" t="str">
        <f>IF(包装物料出入库明细!$E1108="","",包装物料出入库明细!$F1108)</f>
        <v/>
      </c>
      <c r="E1108" t="str">
        <f>IF(包装物料出入库明细!$E1108="","",包装物料出入库明细!$G1108)</f>
        <v/>
      </c>
      <c r="K1108" t="str">
        <f>IF(包装物料出入库明细!$D1108="","",包装物料出入库明细!$D1108)</f>
        <v/>
      </c>
      <c r="L1108">
        <f t="shared" si="452"/>
        <v>0</v>
      </c>
      <c r="M1108">
        <f t="shared" si="453"/>
        <v>9</v>
      </c>
      <c r="Q1108" t="str">
        <f>IF(周转筐出入库明细!$D1109="","",周转筐出入库明细!$D1109)</f>
        <v/>
      </c>
      <c r="R1108">
        <f t="shared" si="454"/>
        <v>0</v>
      </c>
      <c r="S1108">
        <f t="shared" si="455"/>
        <v>5</v>
      </c>
      <c r="W1108" t="str">
        <f>IF(周转筐出入库明细!$C1109="","",周转筐出入库明细!$C1109)</f>
        <v/>
      </c>
      <c r="X1108">
        <f t="shared" si="456"/>
        <v>0</v>
      </c>
      <c r="Y1108">
        <f t="shared" si="457"/>
        <v>12</v>
      </c>
      <c r="AC1108" t="str">
        <f>IF(客户自备加工筐明细!$C1108="","",客户自备加工筐明细!$C1108)</f>
        <v/>
      </c>
      <c r="AD1108">
        <f t="shared" si="458"/>
        <v>0</v>
      </c>
      <c r="AE1108">
        <f t="shared" si="459"/>
        <v>1</v>
      </c>
      <c r="AI1108" t="str">
        <f>IF(客户自备加工筐明细!$E1108="","",客户自备加工筐明细!$E1108)</f>
        <v/>
      </c>
      <c r="AJ1108">
        <f t="shared" si="460"/>
        <v>0</v>
      </c>
      <c r="AK1108">
        <f t="shared" si="461"/>
        <v>1</v>
      </c>
      <c r="CP1108">
        <f>IF(包装物料出入库明细!$D1108="",0,1)</f>
        <v>0</v>
      </c>
      <c r="CQ1108">
        <f t="shared" si="464"/>
        <v>37</v>
      </c>
      <c r="CS1108" t="str">
        <f>IF(OR(周转筐出入库明细!$C1109="",周转筐出入库明细!$F1109&lt;&gt;"采购入库"),"",周转筐出入库明细!$C1109)</f>
        <v/>
      </c>
      <c r="CT1108">
        <f t="shared" si="465"/>
        <v>0</v>
      </c>
      <c r="CU1108">
        <f t="shared" si="466"/>
        <v>1</v>
      </c>
    </row>
    <row r="1109" spans="1:99">
      <c r="A1109" t="str">
        <f>IF(包装物料出入库明细!$E1109="","",包装物料出入库明细!$E1109)</f>
        <v/>
      </c>
      <c r="B1109">
        <f t="shared" si="450"/>
        <v>0</v>
      </c>
      <c r="C1109">
        <f t="shared" si="451"/>
        <v>7</v>
      </c>
      <c r="D1109" t="str">
        <f>IF(包装物料出入库明细!$E1109="","",包装物料出入库明细!$F1109)</f>
        <v/>
      </c>
      <c r="E1109" t="str">
        <f>IF(包装物料出入库明细!$E1109="","",包装物料出入库明细!$G1109)</f>
        <v/>
      </c>
      <c r="K1109" t="str">
        <f>IF(包装物料出入库明细!$D1109="","",包装物料出入库明细!$D1109)</f>
        <v/>
      </c>
      <c r="L1109">
        <f t="shared" si="452"/>
        <v>0</v>
      </c>
      <c r="M1109">
        <f t="shared" si="453"/>
        <v>9</v>
      </c>
      <c r="Q1109" t="str">
        <f>IF(周转筐出入库明细!$D1110="","",周转筐出入库明细!$D1110)</f>
        <v/>
      </c>
      <c r="R1109">
        <f t="shared" si="454"/>
        <v>0</v>
      </c>
      <c r="S1109">
        <f t="shared" si="455"/>
        <v>5</v>
      </c>
      <c r="W1109" t="str">
        <f>IF(周转筐出入库明细!$C1110="","",周转筐出入库明细!$C1110)</f>
        <v/>
      </c>
      <c r="X1109">
        <f t="shared" si="456"/>
        <v>0</v>
      </c>
      <c r="Y1109">
        <f t="shared" si="457"/>
        <v>12</v>
      </c>
      <c r="AC1109" t="str">
        <f>IF(客户自备加工筐明细!$C1109="","",客户自备加工筐明细!$C1109)</f>
        <v/>
      </c>
      <c r="AD1109">
        <f t="shared" si="458"/>
        <v>0</v>
      </c>
      <c r="AE1109">
        <f t="shared" si="459"/>
        <v>1</v>
      </c>
      <c r="AI1109" t="str">
        <f>IF(客户自备加工筐明细!$E1109="","",客户自备加工筐明细!$E1109)</f>
        <v/>
      </c>
      <c r="AJ1109">
        <f t="shared" si="460"/>
        <v>0</v>
      </c>
      <c r="AK1109">
        <f t="shared" si="461"/>
        <v>1</v>
      </c>
      <c r="CP1109">
        <f>IF(包装物料出入库明细!$D1109="",0,1)</f>
        <v>0</v>
      </c>
      <c r="CQ1109">
        <f t="shared" si="464"/>
        <v>37</v>
      </c>
      <c r="CS1109" t="str">
        <f>IF(OR(周转筐出入库明细!$C1110="",周转筐出入库明细!$F1110&lt;&gt;"采购入库"),"",周转筐出入库明细!$C1110)</f>
        <v/>
      </c>
      <c r="CT1109">
        <f t="shared" si="465"/>
        <v>0</v>
      </c>
      <c r="CU1109">
        <f t="shared" si="466"/>
        <v>1</v>
      </c>
    </row>
    <row r="1110" spans="1:99">
      <c r="A1110" t="str">
        <f>IF(包装物料出入库明细!$E1110="","",包装物料出入库明细!$E1110)</f>
        <v/>
      </c>
      <c r="B1110">
        <f t="shared" si="450"/>
        <v>0</v>
      </c>
      <c r="C1110">
        <f t="shared" si="451"/>
        <v>7</v>
      </c>
      <c r="D1110" t="str">
        <f>IF(包装物料出入库明细!$E1110="","",包装物料出入库明细!$F1110)</f>
        <v/>
      </c>
      <c r="E1110" t="str">
        <f>IF(包装物料出入库明细!$E1110="","",包装物料出入库明细!$G1110)</f>
        <v/>
      </c>
      <c r="K1110" t="str">
        <f>IF(包装物料出入库明细!$D1110="","",包装物料出入库明细!$D1110)</f>
        <v/>
      </c>
      <c r="L1110">
        <f t="shared" si="452"/>
        <v>0</v>
      </c>
      <c r="M1110">
        <f t="shared" si="453"/>
        <v>9</v>
      </c>
      <c r="Q1110" t="str">
        <f>IF(周转筐出入库明细!$D1111="","",周转筐出入库明细!$D1111)</f>
        <v/>
      </c>
      <c r="R1110">
        <f t="shared" si="454"/>
        <v>0</v>
      </c>
      <c r="S1110">
        <f t="shared" si="455"/>
        <v>5</v>
      </c>
      <c r="W1110" t="str">
        <f>IF(周转筐出入库明细!$C1111="","",周转筐出入库明细!$C1111)</f>
        <v/>
      </c>
      <c r="X1110">
        <f t="shared" si="456"/>
        <v>0</v>
      </c>
      <c r="Y1110">
        <f t="shared" si="457"/>
        <v>12</v>
      </c>
      <c r="AC1110" t="str">
        <f>IF(客户自备加工筐明细!$C1110="","",客户自备加工筐明细!$C1110)</f>
        <v/>
      </c>
      <c r="AD1110">
        <f t="shared" si="458"/>
        <v>0</v>
      </c>
      <c r="AE1110">
        <f t="shared" si="459"/>
        <v>1</v>
      </c>
      <c r="AI1110" t="str">
        <f>IF(客户自备加工筐明细!$E1110="","",客户自备加工筐明细!$E1110)</f>
        <v/>
      </c>
      <c r="AJ1110">
        <f t="shared" si="460"/>
        <v>0</v>
      </c>
      <c r="AK1110">
        <f t="shared" si="461"/>
        <v>1</v>
      </c>
      <c r="CP1110">
        <f>IF(包装物料出入库明细!$D1110="",0,1)</f>
        <v>0</v>
      </c>
      <c r="CQ1110">
        <f t="shared" si="464"/>
        <v>37</v>
      </c>
      <c r="CS1110" t="str">
        <f>IF(OR(周转筐出入库明细!$C1111="",周转筐出入库明细!$F1111&lt;&gt;"采购入库"),"",周转筐出入库明细!$C1111)</f>
        <v/>
      </c>
      <c r="CT1110">
        <f t="shared" si="465"/>
        <v>0</v>
      </c>
      <c r="CU1110">
        <f t="shared" si="466"/>
        <v>1</v>
      </c>
    </row>
    <row r="1111" spans="1:99">
      <c r="A1111" t="str">
        <f>IF(包装物料出入库明细!$E1111="","",包装物料出入库明细!$E1111)</f>
        <v/>
      </c>
      <c r="B1111">
        <f t="shared" si="450"/>
        <v>0</v>
      </c>
      <c r="C1111">
        <f t="shared" si="451"/>
        <v>7</v>
      </c>
      <c r="D1111" t="str">
        <f>IF(包装物料出入库明细!$E1111="","",包装物料出入库明细!$F1111)</f>
        <v/>
      </c>
      <c r="E1111" t="str">
        <f>IF(包装物料出入库明细!$E1111="","",包装物料出入库明细!$G1111)</f>
        <v/>
      </c>
      <c r="K1111" t="str">
        <f>IF(包装物料出入库明细!$D1111="","",包装物料出入库明细!$D1111)</f>
        <v/>
      </c>
      <c r="L1111">
        <f t="shared" si="452"/>
        <v>0</v>
      </c>
      <c r="M1111">
        <f t="shared" si="453"/>
        <v>9</v>
      </c>
      <c r="Q1111" t="str">
        <f>IF(周转筐出入库明细!$D1112="","",周转筐出入库明细!$D1112)</f>
        <v/>
      </c>
      <c r="R1111">
        <f t="shared" si="454"/>
        <v>0</v>
      </c>
      <c r="S1111">
        <f t="shared" si="455"/>
        <v>5</v>
      </c>
      <c r="W1111" t="str">
        <f>IF(周转筐出入库明细!$C1112="","",周转筐出入库明细!$C1112)</f>
        <v/>
      </c>
      <c r="X1111">
        <f t="shared" si="456"/>
        <v>0</v>
      </c>
      <c r="Y1111">
        <f t="shared" si="457"/>
        <v>12</v>
      </c>
      <c r="AC1111" t="str">
        <f>IF(客户自备加工筐明细!$C1111="","",客户自备加工筐明细!$C1111)</f>
        <v/>
      </c>
      <c r="AD1111">
        <f t="shared" si="458"/>
        <v>0</v>
      </c>
      <c r="AE1111">
        <f t="shared" si="459"/>
        <v>1</v>
      </c>
      <c r="AI1111" t="str">
        <f>IF(客户自备加工筐明细!$E1111="","",客户自备加工筐明细!$E1111)</f>
        <v/>
      </c>
      <c r="AJ1111">
        <f t="shared" si="460"/>
        <v>0</v>
      </c>
      <c r="AK1111">
        <f t="shared" si="461"/>
        <v>1</v>
      </c>
      <c r="CP1111">
        <f>IF(包装物料出入库明细!$D1111="",0,1)</f>
        <v>0</v>
      </c>
      <c r="CQ1111">
        <f t="shared" si="464"/>
        <v>37</v>
      </c>
      <c r="CS1111" t="str">
        <f>IF(OR(周转筐出入库明细!$C1112="",周转筐出入库明细!$F1112&lt;&gt;"采购入库"),"",周转筐出入库明细!$C1112)</f>
        <v/>
      </c>
      <c r="CT1111">
        <f t="shared" si="465"/>
        <v>0</v>
      </c>
      <c r="CU1111">
        <f t="shared" si="466"/>
        <v>1</v>
      </c>
    </row>
    <row r="1112" spans="1:99">
      <c r="A1112" t="str">
        <f>IF(包装物料出入库明细!$E1112="","",包装物料出入库明细!$E1112)</f>
        <v/>
      </c>
      <c r="B1112">
        <f t="shared" si="450"/>
        <v>0</v>
      </c>
      <c r="C1112">
        <f t="shared" si="451"/>
        <v>7</v>
      </c>
      <c r="D1112" t="str">
        <f>IF(包装物料出入库明细!$E1112="","",包装物料出入库明细!$F1112)</f>
        <v/>
      </c>
      <c r="E1112" t="str">
        <f>IF(包装物料出入库明细!$E1112="","",包装物料出入库明细!$G1112)</f>
        <v/>
      </c>
      <c r="K1112" t="str">
        <f>IF(包装物料出入库明细!$D1112="","",包装物料出入库明细!$D1112)</f>
        <v/>
      </c>
      <c r="L1112">
        <f t="shared" si="452"/>
        <v>0</v>
      </c>
      <c r="M1112">
        <f t="shared" si="453"/>
        <v>9</v>
      </c>
      <c r="Q1112" t="str">
        <f>IF(周转筐出入库明细!$D1113="","",周转筐出入库明细!$D1113)</f>
        <v/>
      </c>
      <c r="R1112">
        <f t="shared" si="454"/>
        <v>0</v>
      </c>
      <c r="S1112">
        <f t="shared" si="455"/>
        <v>5</v>
      </c>
      <c r="W1112" t="str">
        <f>IF(周转筐出入库明细!$C1113="","",周转筐出入库明细!$C1113)</f>
        <v/>
      </c>
      <c r="X1112">
        <f t="shared" si="456"/>
        <v>0</v>
      </c>
      <c r="Y1112">
        <f t="shared" si="457"/>
        <v>12</v>
      </c>
      <c r="AC1112" t="str">
        <f>IF(客户自备加工筐明细!$C1112="","",客户自备加工筐明细!$C1112)</f>
        <v/>
      </c>
      <c r="AD1112">
        <f t="shared" si="458"/>
        <v>0</v>
      </c>
      <c r="AE1112">
        <f t="shared" si="459"/>
        <v>1</v>
      </c>
      <c r="AI1112" t="str">
        <f>IF(客户自备加工筐明细!$E1112="","",客户自备加工筐明细!$E1112)</f>
        <v/>
      </c>
      <c r="AJ1112">
        <f t="shared" si="460"/>
        <v>0</v>
      </c>
      <c r="AK1112">
        <f t="shared" si="461"/>
        <v>1</v>
      </c>
      <c r="CP1112">
        <f>IF(包装物料出入库明细!$D1112="",0,1)</f>
        <v>0</v>
      </c>
      <c r="CQ1112">
        <f t="shared" si="464"/>
        <v>37</v>
      </c>
      <c r="CS1112" t="str">
        <f>IF(OR(周转筐出入库明细!$C1113="",周转筐出入库明细!$F1113&lt;&gt;"采购入库"),"",周转筐出入库明细!$C1113)</f>
        <v/>
      </c>
      <c r="CT1112">
        <f t="shared" si="465"/>
        <v>0</v>
      </c>
      <c r="CU1112">
        <f t="shared" si="466"/>
        <v>1</v>
      </c>
    </row>
    <row r="1113" spans="1:99">
      <c r="A1113" t="str">
        <f>IF(包装物料出入库明细!$E1113="","",包装物料出入库明细!$E1113)</f>
        <v/>
      </c>
      <c r="B1113">
        <f t="shared" si="450"/>
        <v>0</v>
      </c>
      <c r="C1113">
        <f t="shared" si="451"/>
        <v>7</v>
      </c>
      <c r="D1113" t="str">
        <f>IF(包装物料出入库明细!$E1113="","",包装物料出入库明细!$F1113)</f>
        <v/>
      </c>
      <c r="E1113" t="str">
        <f>IF(包装物料出入库明细!$E1113="","",包装物料出入库明细!$G1113)</f>
        <v/>
      </c>
      <c r="K1113" t="str">
        <f>IF(包装物料出入库明细!$D1113="","",包装物料出入库明细!$D1113)</f>
        <v/>
      </c>
      <c r="L1113">
        <f t="shared" si="452"/>
        <v>0</v>
      </c>
      <c r="M1113">
        <f t="shared" si="453"/>
        <v>9</v>
      </c>
      <c r="Q1113" t="str">
        <f>IF(周转筐出入库明细!$D1114="","",周转筐出入库明细!$D1114)</f>
        <v/>
      </c>
      <c r="R1113">
        <f t="shared" si="454"/>
        <v>0</v>
      </c>
      <c r="S1113">
        <f t="shared" si="455"/>
        <v>5</v>
      </c>
      <c r="W1113" t="str">
        <f>IF(周转筐出入库明细!$C1114="","",周转筐出入库明细!$C1114)</f>
        <v/>
      </c>
      <c r="X1113">
        <f t="shared" si="456"/>
        <v>0</v>
      </c>
      <c r="Y1113">
        <f t="shared" si="457"/>
        <v>12</v>
      </c>
      <c r="AC1113" t="str">
        <f>IF(客户自备加工筐明细!$C1113="","",客户自备加工筐明细!$C1113)</f>
        <v/>
      </c>
      <c r="AD1113">
        <f t="shared" si="458"/>
        <v>0</v>
      </c>
      <c r="AE1113">
        <f t="shared" si="459"/>
        <v>1</v>
      </c>
      <c r="AI1113" t="str">
        <f>IF(客户自备加工筐明细!$E1113="","",客户自备加工筐明细!$E1113)</f>
        <v/>
      </c>
      <c r="AJ1113">
        <f t="shared" si="460"/>
        <v>0</v>
      </c>
      <c r="AK1113">
        <f t="shared" si="461"/>
        <v>1</v>
      </c>
      <c r="CP1113">
        <f>IF(包装物料出入库明细!$D1113="",0,1)</f>
        <v>0</v>
      </c>
      <c r="CQ1113">
        <f t="shared" si="464"/>
        <v>37</v>
      </c>
      <c r="CS1113" t="str">
        <f>IF(OR(周转筐出入库明细!$C1114="",周转筐出入库明细!$F1114&lt;&gt;"采购入库"),"",周转筐出入库明细!$C1114)</f>
        <v/>
      </c>
      <c r="CT1113">
        <f t="shared" si="465"/>
        <v>0</v>
      </c>
      <c r="CU1113">
        <f t="shared" si="466"/>
        <v>1</v>
      </c>
    </row>
    <row r="1114" spans="1:99">
      <c r="A1114" t="str">
        <f>IF(包装物料出入库明细!$E1114="","",包装物料出入库明细!$E1114)</f>
        <v/>
      </c>
      <c r="B1114">
        <f t="shared" si="450"/>
        <v>0</v>
      </c>
      <c r="C1114">
        <f t="shared" si="451"/>
        <v>7</v>
      </c>
      <c r="D1114" t="str">
        <f>IF(包装物料出入库明细!$E1114="","",包装物料出入库明细!$F1114)</f>
        <v/>
      </c>
      <c r="E1114" t="str">
        <f>IF(包装物料出入库明细!$E1114="","",包装物料出入库明细!$G1114)</f>
        <v/>
      </c>
      <c r="K1114" t="str">
        <f>IF(包装物料出入库明细!$D1114="","",包装物料出入库明细!$D1114)</f>
        <v/>
      </c>
      <c r="L1114">
        <f t="shared" si="452"/>
        <v>0</v>
      </c>
      <c r="M1114">
        <f t="shared" si="453"/>
        <v>9</v>
      </c>
      <c r="Q1114" t="str">
        <f>IF(周转筐出入库明细!$D1115="","",周转筐出入库明细!$D1115)</f>
        <v/>
      </c>
      <c r="R1114">
        <f t="shared" si="454"/>
        <v>0</v>
      </c>
      <c r="S1114">
        <f t="shared" si="455"/>
        <v>5</v>
      </c>
      <c r="W1114" t="str">
        <f>IF(周转筐出入库明细!$C1115="","",周转筐出入库明细!$C1115)</f>
        <v/>
      </c>
      <c r="X1114">
        <f t="shared" si="456"/>
        <v>0</v>
      </c>
      <c r="Y1114">
        <f t="shared" si="457"/>
        <v>12</v>
      </c>
      <c r="AC1114" t="str">
        <f>IF(客户自备加工筐明细!$C1114="","",客户自备加工筐明细!$C1114)</f>
        <v/>
      </c>
      <c r="AD1114">
        <f t="shared" si="458"/>
        <v>0</v>
      </c>
      <c r="AE1114">
        <f t="shared" si="459"/>
        <v>1</v>
      </c>
      <c r="AI1114" t="str">
        <f>IF(客户自备加工筐明细!$E1114="","",客户自备加工筐明细!$E1114)</f>
        <v/>
      </c>
      <c r="AJ1114">
        <f t="shared" si="460"/>
        <v>0</v>
      </c>
      <c r="AK1114">
        <f t="shared" si="461"/>
        <v>1</v>
      </c>
      <c r="CP1114">
        <f>IF(包装物料出入库明细!$D1114="",0,1)</f>
        <v>0</v>
      </c>
      <c r="CQ1114">
        <f t="shared" si="464"/>
        <v>37</v>
      </c>
      <c r="CS1114" t="str">
        <f>IF(OR(周转筐出入库明细!$C1115="",周转筐出入库明细!$F1115&lt;&gt;"采购入库"),"",周转筐出入库明细!$C1115)</f>
        <v/>
      </c>
      <c r="CT1114">
        <f t="shared" si="465"/>
        <v>0</v>
      </c>
      <c r="CU1114">
        <f t="shared" si="466"/>
        <v>1</v>
      </c>
    </row>
    <row r="1115" spans="1:99">
      <c r="A1115" t="str">
        <f>IF(包装物料出入库明细!$E1115="","",包装物料出入库明细!$E1115)</f>
        <v/>
      </c>
      <c r="B1115">
        <f t="shared" si="450"/>
        <v>0</v>
      </c>
      <c r="C1115">
        <f t="shared" si="451"/>
        <v>7</v>
      </c>
      <c r="D1115" t="str">
        <f>IF(包装物料出入库明细!$E1115="","",包装物料出入库明细!$F1115)</f>
        <v/>
      </c>
      <c r="E1115" t="str">
        <f>IF(包装物料出入库明细!$E1115="","",包装物料出入库明细!$G1115)</f>
        <v/>
      </c>
      <c r="K1115" t="str">
        <f>IF(包装物料出入库明细!$D1115="","",包装物料出入库明细!$D1115)</f>
        <v/>
      </c>
      <c r="L1115">
        <f t="shared" si="452"/>
        <v>0</v>
      </c>
      <c r="M1115">
        <f t="shared" si="453"/>
        <v>9</v>
      </c>
      <c r="Q1115" t="str">
        <f>IF(周转筐出入库明细!$D1116="","",周转筐出入库明细!$D1116)</f>
        <v/>
      </c>
      <c r="R1115">
        <f t="shared" si="454"/>
        <v>0</v>
      </c>
      <c r="S1115">
        <f t="shared" si="455"/>
        <v>5</v>
      </c>
      <c r="W1115" t="str">
        <f>IF(周转筐出入库明细!$C1116="","",周转筐出入库明细!$C1116)</f>
        <v/>
      </c>
      <c r="X1115">
        <f t="shared" si="456"/>
        <v>0</v>
      </c>
      <c r="Y1115">
        <f t="shared" si="457"/>
        <v>12</v>
      </c>
      <c r="AC1115" t="str">
        <f>IF(客户自备加工筐明细!$C1115="","",客户自备加工筐明细!$C1115)</f>
        <v/>
      </c>
      <c r="AD1115">
        <f t="shared" si="458"/>
        <v>0</v>
      </c>
      <c r="AE1115">
        <f t="shared" si="459"/>
        <v>1</v>
      </c>
      <c r="AI1115" t="str">
        <f>IF(客户自备加工筐明细!$E1115="","",客户自备加工筐明细!$E1115)</f>
        <v/>
      </c>
      <c r="AJ1115">
        <f t="shared" si="460"/>
        <v>0</v>
      </c>
      <c r="AK1115">
        <f t="shared" si="461"/>
        <v>1</v>
      </c>
      <c r="CP1115">
        <f>IF(包装物料出入库明细!$D1115="",0,1)</f>
        <v>0</v>
      </c>
      <c r="CQ1115">
        <f t="shared" si="464"/>
        <v>37</v>
      </c>
      <c r="CS1115" t="str">
        <f>IF(OR(周转筐出入库明细!$C1116="",周转筐出入库明细!$F1116&lt;&gt;"采购入库"),"",周转筐出入库明细!$C1116)</f>
        <v/>
      </c>
      <c r="CT1115">
        <f t="shared" si="465"/>
        <v>0</v>
      </c>
      <c r="CU1115">
        <f t="shared" si="466"/>
        <v>1</v>
      </c>
    </row>
    <row r="1116" spans="1:99">
      <c r="A1116" t="str">
        <f>IF(包装物料出入库明细!$E1116="","",包装物料出入库明细!$E1116)</f>
        <v/>
      </c>
      <c r="B1116">
        <f t="shared" si="450"/>
        <v>0</v>
      </c>
      <c r="C1116">
        <f t="shared" si="451"/>
        <v>7</v>
      </c>
      <c r="D1116" t="str">
        <f>IF(包装物料出入库明细!$E1116="","",包装物料出入库明细!$F1116)</f>
        <v/>
      </c>
      <c r="E1116" t="str">
        <f>IF(包装物料出入库明细!$E1116="","",包装物料出入库明细!$G1116)</f>
        <v/>
      </c>
      <c r="K1116" t="str">
        <f>IF(包装物料出入库明细!$D1116="","",包装物料出入库明细!$D1116)</f>
        <v/>
      </c>
      <c r="L1116">
        <f t="shared" si="452"/>
        <v>0</v>
      </c>
      <c r="M1116">
        <f t="shared" si="453"/>
        <v>9</v>
      </c>
      <c r="Q1116" t="str">
        <f>IF(周转筐出入库明细!$D1117="","",周转筐出入库明细!$D1117)</f>
        <v/>
      </c>
      <c r="R1116">
        <f t="shared" si="454"/>
        <v>0</v>
      </c>
      <c r="S1116">
        <f t="shared" si="455"/>
        <v>5</v>
      </c>
      <c r="W1116" t="str">
        <f>IF(周转筐出入库明细!$C1117="","",周转筐出入库明细!$C1117)</f>
        <v/>
      </c>
      <c r="X1116">
        <f t="shared" si="456"/>
        <v>0</v>
      </c>
      <c r="Y1116">
        <f t="shared" si="457"/>
        <v>12</v>
      </c>
      <c r="AC1116" t="str">
        <f>IF(客户自备加工筐明细!$C1116="","",客户自备加工筐明细!$C1116)</f>
        <v/>
      </c>
      <c r="AD1116">
        <f t="shared" si="458"/>
        <v>0</v>
      </c>
      <c r="AE1116">
        <f t="shared" si="459"/>
        <v>1</v>
      </c>
      <c r="AI1116" t="str">
        <f>IF(客户自备加工筐明细!$E1116="","",客户自备加工筐明细!$E1116)</f>
        <v/>
      </c>
      <c r="AJ1116">
        <f t="shared" si="460"/>
        <v>0</v>
      </c>
      <c r="AK1116">
        <f t="shared" si="461"/>
        <v>1</v>
      </c>
      <c r="CP1116">
        <f>IF(包装物料出入库明细!$D1116="",0,1)</f>
        <v>0</v>
      </c>
      <c r="CQ1116">
        <f t="shared" si="464"/>
        <v>37</v>
      </c>
      <c r="CS1116" t="str">
        <f>IF(OR(周转筐出入库明细!$C1117="",周转筐出入库明细!$F1117&lt;&gt;"采购入库"),"",周转筐出入库明细!$C1117)</f>
        <v/>
      </c>
      <c r="CT1116">
        <f t="shared" si="465"/>
        <v>0</v>
      </c>
      <c r="CU1116">
        <f t="shared" si="466"/>
        <v>1</v>
      </c>
    </row>
    <row r="1117" spans="1:99">
      <c r="A1117" t="str">
        <f>IF(包装物料出入库明细!$E1117="","",包装物料出入库明细!$E1117)</f>
        <v/>
      </c>
      <c r="B1117">
        <f t="shared" si="450"/>
        <v>0</v>
      </c>
      <c r="C1117">
        <f t="shared" si="451"/>
        <v>7</v>
      </c>
      <c r="D1117" t="str">
        <f>IF(包装物料出入库明细!$E1117="","",包装物料出入库明细!$F1117)</f>
        <v/>
      </c>
      <c r="E1117" t="str">
        <f>IF(包装物料出入库明细!$E1117="","",包装物料出入库明细!$G1117)</f>
        <v/>
      </c>
      <c r="K1117" t="str">
        <f>IF(包装物料出入库明细!$D1117="","",包装物料出入库明细!$D1117)</f>
        <v/>
      </c>
      <c r="L1117">
        <f t="shared" si="452"/>
        <v>0</v>
      </c>
      <c r="M1117">
        <f t="shared" si="453"/>
        <v>9</v>
      </c>
      <c r="Q1117" t="str">
        <f>IF(周转筐出入库明细!$D1118="","",周转筐出入库明细!$D1118)</f>
        <v/>
      </c>
      <c r="R1117">
        <f t="shared" si="454"/>
        <v>0</v>
      </c>
      <c r="S1117">
        <f t="shared" si="455"/>
        <v>5</v>
      </c>
      <c r="W1117" t="str">
        <f>IF(周转筐出入库明细!$C1118="","",周转筐出入库明细!$C1118)</f>
        <v/>
      </c>
      <c r="X1117">
        <f t="shared" si="456"/>
        <v>0</v>
      </c>
      <c r="Y1117">
        <f t="shared" si="457"/>
        <v>12</v>
      </c>
      <c r="AC1117" t="str">
        <f>IF(客户自备加工筐明细!$C1117="","",客户自备加工筐明细!$C1117)</f>
        <v/>
      </c>
      <c r="AD1117">
        <f t="shared" si="458"/>
        <v>0</v>
      </c>
      <c r="AE1117">
        <f t="shared" si="459"/>
        <v>1</v>
      </c>
      <c r="AI1117" t="str">
        <f>IF(客户自备加工筐明细!$E1117="","",客户自备加工筐明细!$E1117)</f>
        <v/>
      </c>
      <c r="AJ1117">
        <f t="shared" si="460"/>
        <v>0</v>
      </c>
      <c r="AK1117">
        <f t="shared" si="461"/>
        <v>1</v>
      </c>
      <c r="CP1117">
        <f>IF(包装物料出入库明细!$D1117="",0,1)</f>
        <v>0</v>
      </c>
      <c r="CQ1117">
        <f t="shared" si="464"/>
        <v>37</v>
      </c>
      <c r="CS1117" t="str">
        <f>IF(OR(周转筐出入库明细!$C1118="",周转筐出入库明细!$F1118&lt;&gt;"采购入库"),"",周转筐出入库明细!$C1118)</f>
        <v/>
      </c>
      <c r="CT1117">
        <f t="shared" si="465"/>
        <v>0</v>
      </c>
      <c r="CU1117">
        <f t="shared" si="466"/>
        <v>1</v>
      </c>
    </row>
    <row r="1118" spans="1:99">
      <c r="A1118" t="str">
        <f>IF(包装物料出入库明细!$E1118="","",包装物料出入库明细!$E1118)</f>
        <v/>
      </c>
      <c r="B1118">
        <f t="shared" si="450"/>
        <v>0</v>
      </c>
      <c r="C1118">
        <f t="shared" si="451"/>
        <v>7</v>
      </c>
      <c r="D1118" t="str">
        <f>IF(包装物料出入库明细!$E1118="","",包装物料出入库明细!$F1118)</f>
        <v/>
      </c>
      <c r="E1118" t="str">
        <f>IF(包装物料出入库明细!$E1118="","",包装物料出入库明细!$G1118)</f>
        <v/>
      </c>
      <c r="K1118" t="str">
        <f>IF(包装物料出入库明细!$D1118="","",包装物料出入库明细!$D1118)</f>
        <v/>
      </c>
      <c r="L1118">
        <f t="shared" si="452"/>
        <v>0</v>
      </c>
      <c r="M1118">
        <f t="shared" si="453"/>
        <v>9</v>
      </c>
      <c r="Q1118" t="str">
        <f>IF(周转筐出入库明细!$D1119="","",周转筐出入库明细!$D1119)</f>
        <v/>
      </c>
      <c r="R1118">
        <f t="shared" si="454"/>
        <v>0</v>
      </c>
      <c r="S1118">
        <f t="shared" si="455"/>
        <v>5</v>
      </c>
      <c r="W1118" t="str">
        <f>IF(周转筐出入库明细!$C1119="","",周转筐出入库明细!$C1119)</f>
        <v/>
      </c>
      <c r="X1118">
        <f t="shared" si="456"/>
        <v>0</v>
      </c>
      <c r="Y1118">
        <f t="shared" si="457"/>
        <v>12</v>
      </c>
      <c r="AC1118" t="str">
        <f>IF(客户自备加工筐明细!$C1118="","",客户自备加工筐明细!$C1118)</f>
        <v/>
      </c>
      <c r="AD1118">
        <f t="shared" si="458"/>
        <v>0</v>
      </c>
      <c r="AE1118">
        <f t="shared" si="459"/>
        <v>1</v>
      </c>
      <c r="AI1118" t="str">
        <f>IF(客户自备加工筐明细!$E1118="","",客户自备加工筐明细!$E1118)</f>
        <v/>
      </c>
      <c r="AJ1118">
        <f t="shared" si="460"/>
        <v>0</v>
      </c>
      <c r="AK1118">
        <f t="shared" si="461"/>
        <v>1</v>
      </c>
      <c r="CP1118">
        <f>IF(包装物料出入库明细!$D1118="",0,1)</f>
        <v>0</v>
      </c>
      <c r="CQ1118">
        <f t="shared" si="464"/>
        <v>37</v>
      </c>
      <c r="CS1118" t="str">
        <f>IF(OR(周转筐出入库明细!$C1119="",周转筐出入库明细!$F1119&lt;&gt;"采购入库"),"",周转筐出入库明细!$C1119)</f>
        <v/>
      </c>
      <c r="CT1118">
        <f t="shared" si="465"/>
        <v>0</v>
      </c>
      <c r="CU1118">
        <f t="shared" si="466"/>
        <v>1</v>
      </c>
    </row>
    <row r="1119" spans="1:99">
      <c r="A1119" t="str">
        <f>IF(包装物料出入库明细!$E1119="","",包装物料出入库明细!$E1119)</f>
        <v/>
      </c>
      <c r="B1119">
        <f t="shared" si="450"/>
        <v>0</v>
      </c>
      <c r="C1119">
        <f t="shared" si="451"/>
        <v>7</v>
      </c>
      <c r="D1119" t="str">
        <f>IF(包装物料出入库明细!$E1119="","",包装物料出入库明细!$F1119)</f>
        <v/>
      </c>
      <c r="E1119" t="str">
        <f>IF(包装物料出入库明细!$E1119="","",包装物料出入库明细!$G1119)</f>
        <v/>
      </c>
      <c r="K1119" t="str">
        <f>IF(包装物料出入库明细!$D1119="","",包装物料出入库明细!$D1119)</f>
        <v/>
      </c>
      <c r="L1119">
        <f t="shared" si="452"/>
        <v>0</v>
      </c>
      <c r="M1119">
        <f t="shared" si="453"/>
        <v>9</v>
      </c>
      <c r="Q1119" t="str">
        <f>IF(周转筐出入库明细!$D1120="","",周转筐出入库明细!$D1120)</f>
        <v/>
      </c>
      <c r="R1119">
        <f t="shared" si="454"/>
        <v>0</v>
      </c>
      <c r="S1119">
        <f t="shared" si="455"/>
        <v>5</v>
      </c>
      <c r="W1119" t="str">
        <f>IF(周转筐出入库明细!$C1120="","",周转筐出入库明细!$C1120)</f>
        <v/>
      </c>
      <c r="X1119">
        <f t="shared" si="456"/>
        <v>0</v>
      </c>
      <c r="Y1119">
        <f t="shared" si="457"/>
        <v>12</v>
      </c>
      <c r="AC1119" t="str">
        <f>IF(客户自备加工筐明细!$C1119="","",客户自备加工筐明细!$C1119)</f>
        <v/>
      </c>
      <c r="AD1119">
        <f t="shared" si="458"/>
        <v>0</v>
      </c>
      <c r="AE1119">
        <f t="shared" si="459"/>
        <v>1</v>
      </c>
      <c r="AI1119" t="str">
        <f>IF(客户自备加工筐明细!$E1119="","",客户自备加工筐明细!$E1119)</f>
        <v/>
      </c>
      <c r="AJ1119">
        <f t="shared" si="460"/>
        <v>0</v>
      </c>
      <c r="AK1119">
        <f t="shared" si="461"/>
        <v>1</v>
      </c>
      <c r="CP1119">
        <f>IF(包装物料出入库明细!$D1119="",0,1)</f>
        <v>0</v>
      </c>
      <c r="CQ1119">
        <f t="shared" si="464"/>
        <v>37</v>
      </c>
      <c r="CS1119" t="str">
        <f>IF(OR(周转筐出入库明细!$C1120="",周转筐出入库明细!$F1120&lt;&gt;"采购入库"),"",周转筐出入库明细!$C1120)</f>
        <v/>
      </c>
      <c r="CT1119">
        <f t="shared" si="465"/>
        <v>0</v>
      </c>
      <c r="CU1119">
        <f t="shared" si="466"/>
        <v>1</v>
      </c>
    </row>
    <row r="1120" spans="1:99">
      <c r="A1120" t="str">
        <f>IF(包装物料出入库明细!$E1120="","",包装物料出入库明细!$E1120)</f>
        <v/>
      </c>
      <c r="B1120">
        <f t="shared" si="450"/>
        <v>0</v>
      </c>
      <c r="C1120">
        <f t="shared" si="451"/>
        <v>7</v>
      </c>
      <c r="D1120" t="str">
        <f>IF(包装物料出入库明细!$E1120="","",包装物料出入库明细!$F1120)</f>
        <v/>
      </c>
      <c r="E1120" t="str">
        <f>IF(包装物料出入库明细!$E1120="","",包装物料出入库明细!$G1120)</f>
        <v/>
      </c>
      <c r="K1120" t="str">
        <f>IF(包装物料出入库明细!$D1120="","",包装物料出入库明细!$D1120)</f>
        <v/>
      </c>
      <c r="L1120">
        <f t="shared" si="452"/>
        <v>0</v>
      </c>
      <c r="M1120">
        <f t="shared" si="453"/>
        <v>9</v>
      </c>
      <c r="Q1120" t="str">
        <f>IF(周转筐出入库明细!$D1121="","",周转筐出入库明细!$D1121)</f>
        <v/>
      </c>
      <c r="R1120">
        <f t="shared" si="454"/>
        <v>0</v>
      </c>
      <c r="S1120">
        <f t="shared" si="455"/>
        <v>5</v>
      </c>
      <c r="W1120" t="str">
        <f>IF(周转筐出入库明细!$C1121="","",周转筐出入库明细!$C1121)</f>
        <v/>
      </c>
      <c r="X1120">
        <f t="shared" si="456"/>
        <v>0</v>
      </c>
      <c r="Y1120">
        <f t="shared" si="457"/>
        <v>12</v>
      </c>
      <c r="AC1120" t="str">
        <f>IF(客户自备加工筐明细!$C1120="","",客户自备加工筐明细!$C1120)</f>
        <v/>
      </c>
      <c r="AD1120">
        <f t="shared" si="458"/>
        <v>0</v>
      </c>
      <c r="AE1120">
        <f t="shared" si="459"/>
        <v>1</v>
      </c>
      <c r="AI1120" t="str">
        <f>IF(客户自备加工筐明细!$E1120="","",客户自备加工筐明细!$E1120)</f>
        <v/>
      </c>
      <c r="AJ1120">
        <f t="shared" si="460"/>
        <v>0</v>
      </c>
      <c r="AK1120">
        <f t="shared" si="461"/>
        <v>1</v>
      </c>
      <c r="CP1120">
        <f>IF(包装物料出入库明细!$D1120="",0,1)</f>
        <v>0</v>
      </c>
      <c r="CQ1120">
        <f t="shared" si="464"/>
        <v>37</v>
      </c>
      <c r="CS1120" t="str">
        <f>IF(OR(周转筐出入库明细!$C1121="",周转筐出入库明细!$F1121&lt;&gt;"采购入库"),"",周转筐出入库明细!$C1121)</f>
        <v/>
      </c>
      <c r="CT1120">
        <f t="shared" si="465"/>
        <v>0</v>
      </c>
      <c r="CU1120">
        <f t="shared" si="466"/>
        <v>1</v>
      </c>
    </row>
    <row r="1121" spans="1:99">
      <c r="A1121" t="str">
        <f>IF(包装物料出入库明细!$E1121="","",包装物料出入库明细!$E1121)</f>
        <v/>
      </c>
      <c r="B1121">
        <f t="shared" si="450"/>
        <v>0</v>
      </c>
      <c r="C1121">
        <f t="shared" si="451"/>
        <v>7</v>
      </c>
      <c r="D1121" t="str">
        <f>IF(包装物料出入库明细!$E1121="","",包装物料出入库明细!$F1121)</f>
        <v/>
      </c>
      <c r="E1121" t="str">
        <f>IF(包装物料出入库明细!$E1121="","",包装物料出入库明细!$G1121)</f>
        <v/>
      </c>
      <c r="K1121" t="str">
        <f>IF(包装物料出入库明细!$D1121="","",包装物料出入库明细!$D1121)</f>
        <v/>
      </c>
      <c r="L1121">
        <f t="shared" si="452"/>
        <v>0</v>
      </c>
      <c r="M1121">
        <f t="shared" si="453"/>
        <v>9</v>
      </c>
      <c r="Q1121" t="str">
        <f>IF(周转筐出入库明细!$D1122="","",周转筐出入库明细!$D1122)</f>
        <v/>
      </c>
      <c r="R1121">
        <f t="shared" si="454"/>
        <v>0</v>
      </c>
      <c r="S1121">
        <f t="shared" si="455"/>
        <v>5</v>
      </c>
      <c r="W1121" t="str">
        <f>IF(周转筐出入库明细!$C1122="","",周转筐出入库明细!$C1122)</f>
        <v/>
      </c>
      <c r="X1121">
        <f t="shared" si="456"/>
        <v>0</v>
      </c>
      <c r="Y1121">
        <f t="shared" si="457"/>
        <v>12</v>
      </c>
      <c r="AC1121" t="str">
        <f>IF(客户自备加工筐明细!$C1121="","",客户自备加工筐明细!$C1121)</f>
        <v/>
      </c>
      <c r="AD1121">
        <f t="shared" si="458"/>
        <v>0</v>
      </c>
      <c r="AE1121">
        <f t="shared" si="459"/>
        <v>1</v>
      </c>
      <c r="AI1121" t="str">
        <f>IF(客户自备加工筐明细!$E1121="","",客户自备加工筐明细!$E1121)</f>
        <v/>
      </c>
      <c r="AJ1121">
        <f t="shared" si="460"/>
        <v>0</v>
      </c>
      <c r="AK1121">
        <f t="shared" si="461"/>
        <v>1</v>
      </c>
      <c r="CP1121">
        <f>IF(包装物料出入库明细!$D1121="",0,1)</f>
        <v>0</v>
      </c>
      <c r="CQ1121">
        <f t="shared" si="464"/>
        <v>37</v>
      </c>
      <c r="CS1121" t="str">
        <f>IF(OR(周转筐出入库明细!$C1122="",周转筐出入库明细!$F1122&lt;&gt;"采购入库"),"",周转筐出入库明细!$C1122)</f>
        <v/>
      </c>
      <c r="CT1121">
        <f t="shared" si="465"/>
        <v>0</v>
      </c>
      <c r="CU1121">
        <f t="shared" si="466"/>
        <v>1</v>
      </c>
    </row>
    <row r="1122" spans="1:99">
      <c r="A1122" t="str">
        <f>IF(包装物料出入库明细!$E1122="","",包装物料出入库明细!$E1122)</f>
        <v/>
      </c>
      <c r="B1122">
        <f t="shared" si="450"/>
        <v>0</v>
      </c>
      <c r="C1122">
        <f t="shared" si="451"/>
        <v>7</v>
      </c>
      <c r="D1122" t="str">
        <f>IF(包装物料出入库明细!$E1122="","",包装物料出入库明细!$F1122)</f>
        <v/>
      </c>
      <c r="E1122" t="str">
        <f>IF(包装物料出入库明细!$E1122="","",包装物料出入库明细!$G1122)</f>
        <v/>
      </c>
      <c r="K1122" t="str">
        <f>IF(包装物料出入库明细!$D1122="","",包装物料出入库明细!$D1122)</f>
        <v/>
      </c>
      <c r="L1122">
        <f t="shared" si="452"/>
        <v>0</v>
      </c>
      <c r="M1122">
        <f t="shared" si="453"/>
        <v>9</v>
      </c>
      <c r="Q1122" t="str">
        <f>IF(周转筐出入库明细!$D1123="","",周转筐出入库明细!$D1123)</f>
        <v/>
      </c>
      <c r="R1122">
        <f t="shared" si="454"/>
        <v>0</v>
      </c>
      <c r="S1122">
        <f t="shared" si="455"/>
        <v>5</v>
      </c>
      <c r="W1122" t="str">
        <f>IF(周转筐出入库明细!$C1123="","",周转筐出入库明细!$C1123)</f>
        <v/>
      </c>
      <c r="X1122">
        <f t="shared" si="456"/>
        <v>0</v>
      </c>
      <c r="Y1122">
        <f t="shared" si="457"/>
        <v>12</v>
      </c>
      <c r="AC1122" t="str">
        <f>IF(客户自备加工筐明细!$C1122="","",客户自备加工筐明细!$C1122)</f>
        <v/>
      </c>
      <c r="AD1122">
        <f t="shared" si="458"/>
        <v>0</v>
      </c>
      <c r="AE1122">
        <f t="shared" si="459"/>
        <v>1</v>
      </c>
      <c r="AI1122" t="str">
        <f>IF(客户自备加工筐明细!$E1122="","",客户自备加工筐明细!$E1122)</f>
        <v/>
      </c>
      <c r="AJ1122">
        <f t="shared" si="460"/>
        <v>0</v>
      </c>
      <c r="AK1122">
        <f t="shared" si="461"/>
        <v>1</v>
      </c>
      <c r="CP1122">
        <f>IF(包装物料出入库明细!$D1122="",0,1)</f>
        <v>0</v>
      </c>
      <c r="CQ1122">
        <f t="shared" si="464"/>
        <v>37</v>
      </c>
      <c r="CS1122" t="str">
        <f>IF(OR(周转筐出入库明细!$C1123="",周转筐出入库明细!$F1123&lt;&gt;"采购入库"),"",周转筐出入库明细!$C1123)</f>
        <v/>
      </c>
      <c r="CT1122">
        <f t="shared" si="465"/>
        <v>0</v>
      </c>
      <c r="CU1122">
        <f t="shared" si="466"/>
        <v>1</v>
      </c>
    </row>
    <row r="1123" spans="1:99">
      <c r="A1123" t="str">
        <f>IF(包装物料出入库明细!$E1123="","",包装物料出入库明细!$E1123)</f>
        <v/>
      </c>
      <c r="B1123">
        <f t="shared" si="450"/>
        <v>0</v>
      </c>
      <c r="C1123">
        <f t="shared" si="451"/>
        <v>7</v>
      </c>
      <c r="D1123" t="str">
        <f>IF(包装物料出入库明细!$E1123="","",包装物料出入库明细!$F1123)</f>
        <v/>
      </c>
      <c r="E1123" t="str">
        <f>IF(包装物料出入库明细!$E1123="","",包装物料出入库明细!$G1123)</f>
        <v/>
      </c>
      <c r="K1123" t="str">
        <f>IF(包装物料出入库明细!$D1123="","",包装物料出入库明细!$D1123)</f>
        <v/>
      </c>
      <c r="L1123">
        <f t="shared" si="452"/>
        <v>0</v>
      </c>
      <c r="M1123">
        <f t="shared" si="453"/>
        <v>9</v>
      </c>
      <c r="Q1123" t="str">
        <f>IF(周转筐出入库明细!$D1124="","",周转筐出入库明细!$D1124)</f>
        <v/>
      </c>
      <c r="R1123">
        <f t="shared" si="454"/>
        <v>0</v>
      </c>
      <c r="S1123">
        <f t="shared" si="455"/>
        <v>5</v>
      </c>
      <c r="W1123" t="str">
        <f>IF(周转筐出入库明细!$C1124="","",周转筐出入库明细!$C1124)</f>
        <v/>
      </c>
      <c r="X1123">
        <f t="shared" si="456"/>
        <v>0</v>
      </c>
      <c r="Y1123">
        <f t="shared" si="457"/>
        <v>12</v>
      </c>
      <c r="AC1123" t="str">
        <f>IF(客户自备加工筐明细!$C1123="","",客户自备加工筐明细!$C1123)</f>
        <v/>
      </c>
      <c r="AD1123">
        <f t="shared" si="458"/>
        <v>0</v>
      </c>
      <c r="AE1123">
        <f t="shared" si="459"/>
        <v>1</v>
      </c>
      <c r="AI1123" t="str">
        <f>IF(客户自备加工筐明细!$E1123="","",客户自备加工筐明细!$E1123)</f>
        <v/>
      </c>
      <c r="AJ1123">
        <f t="shared" si="460"/>
        <v>0</v>
      </c>
      <c r="AK1123">
        <f t="shared" si="461"/>
        <v>1</v>
      </c>
      <c r="CP1123">
        <f>IF(包装物料出入库明细!$D1123="",0,1)</f>
        <v>0</v>
      </c>
      <c r="CQ1123">
        <f t="shared" si="464"/>
        <v>37</v>
      </c>
      <c r="CS1123" t="str">
        <f>IF(OR(周转筐出入库明细!$C1124="",周转筐出入库明细!$F1124&lt;&gt;"采购入库"),"",周转筐出入库明细!$C1124)</f>
        <v/>
      </c>
      <c r="CT1123">
        <f t="shared" si="465"/>
        <v>0</v>
      </c>
      <c r="CU1123">
        <f t="shared" si="466"/>
        <v>1</v>
      </c>
    </row>
    <row r="1124" spans="1:99">
      <c r="A1124" t="str">
        <f>IF(包装物料出入库明细!$E1124="","",包装物料出入库明细!$E1124)</f>
        <v/>
      </c>
      <c r="B1124">
        <f t="shared" si="450"/>
        <v>0</v>
      </c>
      <c r="C1124">
        <f t="shared" si="451"/>
        <v>7</v>
      </c>
      <c r="D1124" t="str">
        <f>IF(包装物料出入库明细!$E1124="","",包装物料出入库明细!$F1124)</f>
        <v/>
      </c>
      <c r="E1124" t="str">
        <f>IF(包装物料出入库明细!$E1124="","",包装物料出入库明细!$G1124)</f>
        <v/>
      </c>
      <c r="K1124" t="str">
        <f>IF(包装物料出入库明细!$D1124="","",包装物料出入库明细!$D1124)</f>
        <v/>
      </c>
      <c r="L1124">
        <f t="shared" si="452"/>
        <v>0</v>
      </c>
      <c r="M1124">
        <f t="shared" si="453"/>
        <v>9</v>
      </c>
      <c r="Q1124" t="str">
        <f>IF(周转筐出入库明细!$D1125="","",周转筐出入库明细!$D1125)</f>
        <v/>
      </c>
      <c r="R1124">
        <f t="shared" si="454"/>
        <v>0</v>
      </c>
      <c r="S1124">
        <f t="shared" si="455"/>
        <v>5</v>
      </c>
      <c r="W1124" t="str">
        <f>IF(周转筐出入库明细!$C1125="","",周转筐出入库明细!$C1125)</f>
        <v/>
      </c>
      <c r="X1124">
        <f t="shared" si="456"/>
        <v>0</v>
      </c>
      <c r="Y1124">
        <f t="shared" si="457"/>
        <v>12</v>
      </c>
      <c r="AC1124" t="str">
        <f>IF(客户自备加工筐明细!$C1124="","",客户自备加工筐明细!$C1124)</f>
        <v/>
      </c>
      <c r="AD1124">
        <f t="shared" si="458"/>
        <v>0</v>
      </c>
      <c r="AE1124">
        <f t="shared" si="459"/>
        <v>1</v>
      </c>
      <c r="AI1124" t="str">
        <f>IF(客户自备加工筐明细!$E1124="","",客户自备加工筐明细!$E1124)</f>
        <v/>
      </c>
      <c r="AJ1124">
        <f t="shared" si="460"/>
        <v>0</v>
      </c>
      <c r="AK1124">
        <f t="shared" si="461"/>
        <v>1</v>
      </c>
      <c r="CP1124">
        <f>IF(包装物料出入库明细!$D1124="",0,1)</f>
        <v>0</v>
      </c>
      <c r="CQ1124">
        <f t="shared" si="464"/>
        <v>37</v>
      </c>
      <c r="CS1124" t="str">
        <f>IF(OR(周转筐出入库明细!$C1125="",周转筐出入库明细!$F1125&lt;&gt;"采购入库"),"",周转筐出入库明细!$C1125)</f>
        <v/>
      </c>
      <c r="CT1124">
        <f t="shared" si="465"/>
        <v>0</v>
      </c>
      <c r="CU1124">
        <f t="shared" si="466"/>
        <v>1</v>
      </c>
    </row>
    <row r="1125" spans="1:99">
      <c r="A1125" t="str">
        <f>IF(包装物料出入库明细!$E1125="","",包装物料出入库明细!$E1125)</f>
        <v/>
      </c>
      <c r="B1125">
        <f t="shared" si="450"/>
        <v>0</v>
      </c>
      <c r="C1125">
        <f t="shared" si="451"/>
        <v>7</v>
      </c>
      <c r="D1125" t="str">
        <f>IF(包装物料出入库明细!$E1125="","",包装物料出入库明细!$F1125)</f>
        <v/>
      </c>
      <c r="E1125" t="str">
        <f>IF(包装物料出入库明细!$E1125="","",包装物料出入库明细!$G1125)</f>
        <v/>
      </c>
      <c r="K1125" t="str">
        <f>IF(包装物料出入库明细!$D1125="","",包装物料出入库明细!$D1125)</f>
        <v/>
      </c>
      <c r="L1125">
        <f t="shared" si="452"/>
        <v>0</v>
      </c>
      <c r="M1125">
        <f t="shared" si="453"/>
        <v>9</v>
      </c>
      <c r="Q1125" t="str">
        <f>IF(周转筐出入库明细!$D1126="","",周转筐出入库明细!$D1126)</f>
        <v/>
      </c>
      <c r="R1125">
        <f t="shared" si="454"/>
        <v>0</v>
      </c>
      <c r="S1125">
        <f t="shared" si="455"/>
        <v>5</v>
      </c>
      <c r="W1125" t="str">
        <f>IF(周转筐出入库明细!$C1126="","",周转筐出入库明细!$C1126)</f>
        <v/>
      </c>
      <c r="X1125">
        <f t="shared" si="456"/>
        <v>0</v>
      </c>
      <c r="Y1125">
        <f t="shared" si="457"/>
        <v>12</v>
      </c>
      <c r="AC1125" t="str">
        <f>IF(客户自备加工筐明细!$C1125="","",客户自备加工筐明细!$C1125)</f>
        <v/>
      </c>
      <c r="AD1125">
        <f t="shared" si="458"/>
        <v>0</v>
      </c>
      <c r="AE1125">
        <f t="shared" si="459"/>
        <v>1</v>
      </c>
      <c r="AI1125" t="str">
        <f>IF(客户自备加工筐明细!$E1125="","",客户自备加工筐明细!$E1125)</f>
        <v/>
      </c>
      <c r="AJ1125">
        <f t="shared" si="460"/>
        <v>0</v>
      </c>
      <c r="AK1125">
        <f t="shared" si="461"/>
        <v>1</v>
      </c>
      <c r="CP1125">
        <f>IF(包装物料出入库明细!$D1125="",0,1)</f>
        <v>0</v>
      </c>
      <c r="CQ1125">
        <f t="shared" si="464"/>
        <v>37</v>
      </c>
      <c r="CS1125" t="str">
        <f>IF(OR(周转筐出入库明细!$C1126="",周转筐出入库明细!$F1126&lt;&gt;"采购入库"),"",周转筐出入库明细!$C1126)</f>
        <v/>
      </c>
      <c r="CT1125">
        <f t="shared" si="465"/>
        <v>0</v>
      </c>
      <c r="CU1125">
        <f t="shared" si="466"/>
        <v>1</v>
      </c>
    </row>
    <row r="1126" spans="1:99">
      <c r="A1126" t="str">
        <f>IF(包装物料出入库明细!$E1126="","",包装物料出入库明细!$E1126)</f>
        <v/>
      </c>
      <c r="B1126">
        <f t="shared" si="450"/>
        <v>0</v>
      </c>
      <c r="C1126">
        <f t="shared" si="451"/>
        <v>7</v>
      </c>
      <c r="D1126" t="str">
        <f>IF(包装物料出入库明细!$E1126="","",包装物料出入库明细!$F1126)</f>
        <v/>
      </c>
      <c r="E1126" t="str">
        <f>IF(包装物料出入库明细!$E1126="","",包装物料出入库明细!$G1126)</f>
        <v/>
      </c>
      <c r="K1126" t="str">
        <f>IF(包装物料出入库明细!$D1126="","",包装物料出入库明细!$D1126)</f>
        <v/>
      </c>
      <c r="L1126">
        <f t="shared" si="452"/>
        <v>0</v>
      </c>
      <c r="M1126">
        <f t="shared" si="453"/>
        <v>9</v>
      </c>
      <c r="Q1126" t="str">
        <f>IF(周转筐出入库明细!$D1127="","",周转筐出入库明细!$D1127)</f>
        <v/>
      </c>
      <c r="R1126">
        <f t="shared" si="454"/>
        <v>0</v>
      </c>
      <c r="S1126">
        <f t="shared" si="455"/>
        <v>5</v>
      </c>
      <c r="W1126" t="str">
        <f>IF(周转筐出入库明细!$C1127="","",周转筐出入库明细!$C1127)</f>
        <v/>
      </c>
      <c r="X1126">
        <f t="shared" si="456"/>
        <v>0</v>
      </c>
      <c r="Y1126">
        <f t="shared" si="457"/>
        <v>12</v>
      </c>
      <c r="AC1126" t="str">
        <f>IF(客户自备加工筐明细!$C1126="","",客户自备加工筐明细!$C1126)</f>
        <v/>
      </c>
      <c r="AD1126">
        <f t="shared" si="458"/>
        <v>0</v>
      </c>
      <c r="AE1126">
        <f t="shared" si="459"/>
        <v>1</v>
      </c>
      <c r="AI1126" t="str">
        <f>IF(客户自备加工筐明细!$E1126="","",客户自备加工筐明细!$E1126)</f>
        <v/>
      </c>
      <c r="AJ1126">
        <f t="shared" si="460"/>
        <v>0</v>
      </c>
      <c r="AK1126">
        <f t="shared" si="461"/>
        <v>1</v>
      </c>
      <c r="CP1126">
        <f>IF(包装物料出入库明细!$D1126="",0,1)</f>
        <v>0</v>
      </c>
      <c r="CQ1126">
        <f t="shared" si="464"/>
        <v>37</v>
      </c>
      <c r="CS1126" t="str">
        <f>IF(OR(周转筐出入库明细!$C1127="",周转筐出入库明细!$F1127&lt;&gt;"采购入库"),"",周转筐出入库明细!$C1127)</f>
        <v/>
      </c>
      <c r="CT1126">
        <f t="shared" si="465"/>
        <v>0</v>
      </c>
      <c r="CU1126">
        <f t="shared" si="466"/>
        <v>1</v>
      </c>
    </row>
    <row r="1127" spans="1:99">
      <c r="A1127" t="str">
        <f>IF(包装物料出入库明细!$E1127="","",包装物料出入库明细!$E1127)</f>
        <v/>
      </c>
      <c r="B1127">
        <f t="shared" si="450"/>
        <v>0</v>
      </c>
      <c r="C1127">
        <f t="shared" si="451"/>
        <v>7</v>
      </c>
      <c r="D1127" t="str">
        <f>IF(包装物料出入库明细!$E1127="","",包装物料出入库明细!$F1127)</f>
        <v/>
      </c>
      <c r="E1127" t="str">
        <f>IF(包装物料出入库明细!$E1127="","",包装物料出入库明细!$G1127)</f>
        <v/>
      </c>
      <c r="K1127" t="str">
        <f>IF(包装物料出入库明细!$D1127="","",包装物料出入库明细!$D1127)</f>
        <v/>
      </c>
      <c r="L1127">
        <f t="shared" si="452"/>
        <v>0</v>
      </c>
      <c r="M1127">
        <f t="shared" si="453"/>
        <v>9</v>
      </c>
      <c r="Q1127" t="str">
        <f>IF(周转筐出入库明细!$D1128="","",周转筐出入库明细!$D1128)</f>
        <v/>
      </c>
      <c r="R1127">
        <f t="shared" si="454"/>
        <v>0</v>
      </c>
      <c r="S1127">
        <f t="shared" si="455"/>
        <v>5</v>
      </c>
      <c r="W1127" t="str">
        <f>IF(周转筐出入库明细!$C1128="","",周转筐出入库明细!$C1128)</f>
        <v/>
      </c>
      <c r="X1127">
        <f t="shared" si="456"/>
        <v>0</v>
      </c>
      <c r="Y1127">
        <f t="shared" si="457"/>
        <v>12</v>
      </c>
      <c r="AC1127" t="str">
        <f>IF(客户自备加工筐明细!$C1127="","",客户自备加工筐明细!$C1127)</f>
        <v/>
      </c>
      <c r="AD1127">
        <f t="shared" si="458"/>
        <v>0</v>
      </c>
      <c r="AE1127">
        <f t="shared" si="459"/>
        <v>1</v>
      </c>
      <c r="AI1127" t="str">
        <f>IF(客户自备加工筐明细!$E1127="","",客户自备加工筐明细!$E1127)</f>
        <v/>
      </c>
      <c r="AJ1127">
        <f t="shared" si="460"/>
        <v>0</v>
      </c>
      <c r="AK1127">
        <f t="shared" si="461"/>
        <v>1</v>
      </c>
      <c r="CP1127">
        <f>IF(包装物料出入库明细!$D1127="",0,1)</f>
        <v>0</v>
      </c>
      <c r="CQ1127">
        <f t="shared" si="464"/>
        <v>37</v>
      </c>
      <c r="CS1127" t="str">
        <f>IF(OR(周转筐出入库明细!$C1128="",周转筐出入库明细!$F1128&lt;&gt;"采购入库"),"",周转筐出入库明细!$C1128)</f>
        <v/>
      </c>
      <c r="CT1127">
        <f t="shared" si="465"/>
        <v>0</v>
      </c>
      <c r="CU1127">
        <f t="shared" si="466"/>
        <v>1</v>
      </c>
    </row>
    <row r="1128" spans="1:99">
      <c r="A1128" t="str">
        <f>IF(包装物料出入库明细!$E1128="","",包装物料出入库明细!$E1128)</f>
        <v/>
      </c>
      <c r="B1128">
        <f t="shared" si="450"/>
        <v>0</v>
      </c>
      <c r="C1128">
        <f t="shared" si="451"/>
        <v>7</v>
      </c>
      <c r="D1128" t="str">
        <f>IF(包装物料出入库明细!$E1128="","",包装物料出入库明细!$F1128)</f>
        <v/>
      </c>
      <c r="E1128" t="str">
        <f>IF(包装物料出入库明细!$E1128="","",包装物料出入库明细!$G1128)</f>
        <v/>
      </c>
      <c r="K1128" t="str">
        <f>IF(包装物料出入库明细!$D1128="","",包装物料出入库明细!$D1128)</f>
        <v/>
      </c>
      <c r="L1128">
        <f t="shared" si="452"/>
        <v>0</v>
      </c>
      <c r="M1128">
        <f t="shared" si="453"/>
        <v>9</v>
      </c>
      <c r="Q1128" t="str">
        <f>IF(周转筐出入库明细!$D1129="","",周转筐出入库明细!$D1129)</f>
        <v/>
      </c>
      <c r="R1128">
        <f t="shared" si="454"/>
        <v>0</v>
      </c>
      <c r="S1128">
        <f t="shared" si="455"/>
        <v>5</v>
      </c>
      <c r="W1128" t="str">
        <f>IF(周转筐出入库明细!$C1129="","",周转筐出入库明细!$C1129)</f>
        <v/>
      </c>
      <c r="X1128">
        <f t="shared" si="456"/>
        <v>0</v>
      </c>
      <c r="Y1128">
        <f t="shared" si="457"/>
        <v>12</v>
      </c>
      <c r="AC1128" t="str">
        <f>IF(客户自备加工筐明细!$C1128="","",客户自备加工筐明细!$C1128)</f>
        <v/>
      </c>
      <c r="AD1128">
        <f t="shared" si="458"/>
        <v>0</v>
      </c>
      <c r="AE1128">
        <f t="shared" si="459"/>
        <v>1</v>
      </c>
      <c r="AI1128" t="str">
        <f>IF(客户自备加工筐明细!$E1128="","",客户自备加工筐明细!$E1128)</f>
        <v/>
      </c>
      <c r="AJ1128">
        <f t="shared" si="460"/>
        <v>0</v>
      </c>
      <c r="AK1128">
        <f t="shared" si="461"/>
        <v>1</v>
      </c>
      <c r="CP1128">
        <f>IF(包装物料出入库明细!$D1128="",0,1)</f>
        <v>0</v>
      </c>
      <c r="CQ1128">
        <f t="shared" si="464"/>
        <v>37</v>
      </c>
      <c r="CS1128" t="str">
        <f>IF(OR(周转筐出入库明细!$C1129="",周转筐出入库明细!$F1129&lt;&gt;"采购入库"),"",周转筐出入库明细!$C1129)</f>
        <v/>
      </c>
      <c r="CT1128">
        <f t="shared" si="465"/>
        <v>0</v>
      </c>
      <c r="CU1128">
        <f t="shared" si="466"/>
        <v>1</v>
      </c>
    </row>
    <row r="1129" spans="1:99">
      <c r="A1129" t="str">
        <f>IF(包装物料出入库明细!$E1129="","",包装物料出入库明细!$E1129)</f>
        <v/>
      </c>
      <c r="B1129">
        <f t="shared" si="450"/>
        <v>0</v>
      </c>
      <c r="C1129">
        <f t="shared" si="451"/>
        <v>7</v>
      </c>
      <c r="D1129" t="str">
        <f>IF(包装物料出入库明细!$E1129="","",包装物料出入库明细!$F1129)</f>
        <v/>
      </c>
      <c r="E1129" t="str">
        <f>IF(包装物料出入库明细!$E1129="","",包装物料出入库明细!$G1129)</f>
        <v/>
      </c>
      <c r="K1129" t="str">
        <f>IF(包装物料出入库明细!$D1129="","",包装物料出入库明细!$D1129)</f>
        <v/>
      </c>
      <c r="L1129">
        <f t="shared" si="452"/>
        <v>0</v>
      </c>
      <c r="M1129">
        <f t="shared" si="453"/>
        <v>9</v>
      </c>
      <c r="Q1129" t="str">
        <f>IF(周转筐出入库明细!$D1130="","",周转筐出入库明细!$D1130)</f>
        <v/>
      </c>
      <c r="R1129">
        <f t="shared" si="454"/>
        <v>0</v>
      </c>
      <c r="S1129">
        <f t="shared" si="455"/>
        <v>5</v>
      </c>
      <c r="W1129" t="str">
        <f>IF(周转筐出入库明细!$C1130="","",周转筐出入库明细!$C1130)</f>
        <v/>
      </c>
      <c r="X1129">
        <f t="shared" si="456"/>
        <v>0</v>
      </c>
      <c r="Y1129">
        <f t="shared" si="457"/>
        <v>12</v>
      </c>
      <c r="AC1129" t="str">
        <f>IF(客户自备加工筐明细!$C1129="","",客户自备加工筐明细!$C1129)</f>
        <v/>
      </c>
      <c r="AD1129">
        <f t="shared" si="458"/>
        <v>0</v>
      </c>
      <c r="AE1129">
        <f t="shared" si="459"/>
        <v>1</v>
      </c>
      <c r="AI1129" t="str">
        <f>IF(客户自备加工筐明细!$E1129="","",客户自备加工筐明细!$E1129)</f>
        <v/>
      </c>
      <c r="AJ1129">
        <f t="shared" si="460"/>
        <v>0</v>
      </c>
      <c r="AK1129">
        <f t="shared" si="461"/>
        <v>1</v>
      </c>
      <c r="CP1129">
        <f>IF(包装物料出入库明细!$D1129="",0,1)</f>
        <v>0</v>
      </c>
      <c r="CQ1129">
        <f t="shared" si="464"/>
        <v>37</v>
      </c>
      <c r="CS1129" t="str">
        <f>IF(OR(周转筐出入库明细!$C1130="",周转筐出入库明细!$F1130&lt;&gt;"采购入库"),"",周转筐出入库明细!$C1130)</f>
        <v/>
      </c>
      <c r="CT1129">
        <f t="shared" si="465"/>
        <v>0</v>
      </c>
      <c r="CU1129">
        <f t="shared" si="466"/>
        <v>1</v>
      </c>
    </row>
    <row r="1130" spans="1:99">
      <c r="A1130" t="str">
        <f>IF(包装物料出入库明细!$E1130="","",包装物料出入库明细!$E1130)</f>
        <v/>
      </c>
      <c r="B1130">
        <f t="shared" si="450"/>
        <v>0</v>
      </c>
      <c r="C1130">
        <f t="shared" si="451"/>
        <v>7</v>
      </c>
      <c r="D1130" t="str">
        <f>IF(包装物料出入库明细!$E1130="","",包装物料出入库明细!$F1130)</f>
        <v/>
      </c>
      <c r="E1130" t="str">
        <f>IF(包装物料出入库明细!$E1130="","",包装物料出入库明细!$G1130)</f>
        <v/>
      </c>
      <c r="K1130" t="str">
        <f>IF(包装物料出入库明细!$D1130="","",包装物料出入库明细!$D1130)</f>
        <v/>
      </c>
      <c r="L1130">
        <f t="shared" si="452"/>
        <v>0</v>
      </c>
      <c r="M1130">
        <f t="shared" si="453"/>
        <v>9</v>
      </c>
      <c r="Q1130" t="str">
        <f>IF(周转筐出入库明细!$D1131="","",周转筐出入库明细!$D1131)</f>
        <v/>
      </c>
      <c r="R1130">
        <f t="shared" si="454"/>
        <v>0</v>
      </c>
      <c r="S1130">
        <f t="shared" si="455"/>
        <v>5</v>
      </c>
      <c r="W1130" t="str">
        <f>IF(周转筐出入库明细!$C1131="","",周转筐出入库明细!$C1131)</f>
        <v/>
      </c>
      <c r="X1130">
        <f t="shared" si="456"/>
        <v>0</v>
      </c>
      <c r="Y1130">
        <f t="shared" si="457"/>
        <v>12</v>
      </c>
      <c r="AC1130" t="str">
        <f>IF(客户自备加工筐明细!$C1130="","",客户自备加工筐明细!$C1130)</f>
        <v/>
      </c>
      <c r="AD1130">
        <f t="shared" si="458"/>
        <v>0</v>
      </c>
      <c r="AE1130">
        <f t="shared" si="459"/>
        <v>1</v>
      </c>
      <c r="AI1130" t="str">
        <f>IF(客户自备加工筐明细!$E1130="","",客户自备加工筐明细!$E1130)</f>
        <v/>
      </c>
      <c r="AJ1130">
        <f t="shared" si="460"/>
        <v>0</v>
      </c>
      <c r="AK1130">
        <f t="shared" si="461"/>
        <v>1</v>
      </c>
      <c r="CP1130">
        <f>IF(包装物料出入库明细!$D1130="",0,1)</f>
        <v>0</v>
      </c>
      <c r="CQ1130">
        <f t="shared" si="464"/>
        <v>37</v>
      </c>
      <c r="CS1130" t="str">
        <f>IF(OR(周转筐出入库明细!$C1131="",周转筐出入库明细!$F1131&lt;&gt;"采购入库"),"",周转筐出入库明细!$C1131)</f>
        <v/>
      </c>
      <c r="CT1130">
        <f t="shared" si="465"/>
        <v>0</v>
      </c>
      <c r="CU1130">
        <f t="shared" si="466"/>
        <v>1</v>
      </c>
    </row>
    <row r="1131" spans="1:99">
      <c r="A1131" t="str">
        <f>IF(包装物料出入库明细!$E1131="","",包装物料出入库明细!$E1131)</f>
        <v/>
      </c>
      <c r="B1131">
        <f t="shared" si="450"/>
        <v>0</v>
      </c>
      <c r="C1131">
        <f t="shared" si="451"/>
        <v>7</v>
      </c>
      <c r="D1131" t="str">
        <f>IF(包装物料出入库明细!$E1131="","",包装物料出入库明细!$F1131)</f>
        <v/>
      </c>
      <c r="E1131" t="str">
        <f>IF(包装物料出入库明细!$E1131="","",包装物料出入库明细!$G1131)</f>
        <v/>
      </c>
      <c r="K1131" t="str">
        <f>IF(包装物料出入库明细!$D1131="","",包装物料出入库明细!$D1131)</f>
        <v/>
      </c>
      <c r="L1131">
        <f t="shared" si="452"/>
        <v>0</v>
      </c>
      <c r="M1131">
        <f t="shared" si="453"/>
        <v>9</v>
      </c>
      <c r="Q1131" t="str">
        <f>IF(周转筐出入库明细!$D1132="","",周转筐出入库明细!$D1132)</f>
        <v/>
      </c>
      <c r="R1131">
        <f t="shared" si="454"/>
        <v>0</v>
      </c>
      <c r="S1131">
        <f t="shared" si="455"/>
        <v>5</v>
      </c>
      <c r="W1131" t="str">
        <f>IF(周转筐出入库明细!$C1132="","",周转筐出入库明细!$C1132)</f>
        <v/>
      </c>
      <c r="X1131">
        <f t="shared" si="456"/>
        <v>0</v>
      </c>
      <c r="Y1131">
        <f t="shared" si="457"/>
        <v>12</v>
      </c>
      <c r="AC1131" t="str">
        <f>IF(客户自备加工筐明细!$C1131="","",客户自备加工筐明细!$C1131)</f>
        <v/>
      </c>
      <c r="AD1131">
        <f t="shared" si="458"/>
        <v>0</v>
      </c>
      <c r="AE1131">
        <f t="shared" si="459"/>
        <v>1</v>
      </c>
      <c r="AI1131" t="str">
        <f>IF(客户自备加工筐明细!$E1131="","",客户自备加工筐明细!$E1131)</f>
        <v/>
      </c>
      <c r="AJ1131">
        <f t="shared" si="460"/>
        <v>0</v>
      </c>
      <c r="AK1131">
        <f t="shared" si="461"/>
        <v>1</v>
      </c>
      <c r="CP1131">
        <f>IF(包装物料出入库明细!$D1131="",0,1)</f>
        <v>0</v>
      </c>
      <c r="CQ1131">
        <f t="shared" si="464"/>
        <v>37</v>
      </c>
      <c r="CS1131" t="str">
        <f>IF(OR(周转筐出入库明细!$C1132="",周转筐出入库明细!$F1132&lt;&gt;"采购入库"),"",周转筐出入库明细!$C1132)</f>
        <v/>
      </c>
      <c r="CT1131">
        <f t="shared" si="465"/>
        <v>0</v>
      </c>
      <c r="CU1131">
        <f t="shared" si="466"/>
        <v>1</v>
      </c>
    </row>
    <row r="1132" spans="1:99">
      <c r="A1132" t="str">
        <f>IF(包装物料出入库明细!$E1132="","",包装物料出入库明细!$E1132)</f>
        <v/>
      </c>
      <c r="B1132">
        <f t="shared" si="450"/>
        <v>0</v>
      </c>
      <c r="C1132">
        <f t="shared" si="451"/>
        <v>7</v>
      </c>
      <c r="D1132" t="str">
        <f>IF(包装物料出入库明细!$E1132="","",包装物料出入库明细!$F1132)</f>
        <v/>
      </c>
      <c r="E1132" t="str">
        <f>IF(包装物料出入库明细!$E1132="","",包装物料出入库明细!$G1132)</f>
        <v/>
      </c>
      <c r="K1132" t="str">
        <f>IF(包装物料出入库明细!$D1132="","",包装物料出入库明细!$D1132)</f>
        <v/>
      </c>
      <c r="L1132">
        <f t="shared" si="452"/>
        <v>0</v>
      </c>
      <c r="M1132">
        <f t="shared" si="453"/>
        <v>9</v>
      </c>
      <c r="Q1132" t="str">
        <f>IF(周转筐出入库明细!$D1133="","",周转筐出入库明细!$D1133)</f>
        <v/>
      </c>
      <c r="R1132">
        <f t="shared" si="454"/>
        <v>0</v>
      </c>
      <c r="S1132">
        <f t="shared" si="455"/>
        <v>5</v>
      </c>
      <c r="W1132" t="str">
        <f>IF(周转筐出入库明细!$C1133="","",周转筐出入库明细!$C1133)</f>
        <v/>
      </c>
      <c r="X1132">
        <f t="shared" si="456"/>
        <v>0</v>
      </c>
      <c r="Y1132">
        <f t="shared" si="457"/>
        <v>12</v>
      </c>
      <c r="AC1132" t="str">
        <f>IF(客户自备加工筐明细!$C1132="","",客户自备加工筐明细!$C1132)</f>
        <v/>
      </c>
      <c r="AD1132">
        <f t="shared" si="458"/>
        <v>0</v>
      </c>
      <c r="AE1132">
        <f t="shared" si="459"/>
        <v>1</v>
      </c>
      <c r="AI1132" t="str">
        <f>IF(客户自备加工筐明细!$E1132="","",客户自备加工筐明细!$E1132)</f>
        <v/>
      </c>
      <c r="AJ1132">
        <f t="shared" si="460"/>
        <v>0</v>
      </c>
      <c r="AK1132">
        <f t="shared" si="461"/>
        <v>1</v>
      </c>
      <c r="CP1132">
        <f>IF(包装物料出入库明细!$D1132="",0,1)</f>
        <v>0</v>
      </c>
      <c r="CQ1132">
        <f t="shared" si="464"/>
        <v>37</v>
      </c>
      <c r="CS1132" t="str">
        <f>IF(OR(周转筐出入库明细!$C1133="",周转筐出入库明细!$F1133&lt;&gt;"采购入库"),"",周转筐出入库明细!$C1133)</f>
        <v/>
      </c>
      <c r="CT1132">
        <f t="shared" si="465"/>
        <v>0</v>
      </c>
      <c r="CU1132">
        <f t="shared" si="466"/>
        <v>1</v>
      </c>
    </row>
    <row r="1133" spans="1:99">
      <c r="A1133" t="str">
        <f>IF(包装物料出入库明细!$E1133="","",包装物料出入库明细!$E1133)</f>
        <v/>
      </c>
      <c r="B1133">
        <f t="shared" si="450"/>
        <v>0</v>
      </c>
      <c r="C1133">
        <f t="shared" si="451"/>
        <v>7</v>
      </c>
      <c r="D1133" t="str">
        <f>IF(包装物料出入库明细!$E1133="","",包装物料出入库明细!$F1133)</f>
        <v/>
      </c>
      <c r="E1133" t="str">
        <f>IF(包装物料出入库明细!$E1133="","",包装物料出入库明细!$G1133)</f>
        <v/>
      </c>
      <c r="K1133" t="str">
        <f>IF(包装物料出入库明细!$D1133="","",包装物料出入库明细!$D1133)</f>
        <v/>
      </c>
      <c r="L1133">
        <f t="shared" si="452"/>
        <v>0</v>
      </c>
      <c r="M1133">
        <f t="shared" si="453"/>
        <v>9</v>
      </c>
      <c r="Q1133" t="str">
        <f>IF(周转筐出入库明细!$D1134="","",周转筐出入库明细!$D1134)</f>
        <v/>
      </c>
      <c r="R1133">
        <f t="shared" si="454"/>
        <v>0</v>
      </c>
      <c r="S1133">
        <f t="shared" si="455"/>
        <v>5</v>
      </c>
      <c r="W1133" t="str">
        <f>IF(周转筐出入库明细!$C1134="","",周转筐出入库明细!$C1134)</f>
        <v/>
      </c>
      <c r="X1133">
        <f t="shared" si="456"/>
        <v>0</v>
      </c>
      <c r="Y1133">
        <f t="shared" si="457"/>
        <v>12</v>
      </c>
      <c r="AC1133" t="str">
        <f>IF(客户自备加工筐明细!$C1133="","",客户自备加工筐明细!$C1133)</f>
        <v/>
      </c>
      <c r="AD1133">
        <f t="shared" si="458"/>
        <v>0</v>
      </c>
      <c r="AE1133">
        <f t="shared" si="459"/>
        <v>1</v>
      </c>
      <c r="AI1133" t="str">
        <f>IF(客户自备加工筐明细!$E1133="","",客户自备加工筐明细!$E1133)</f>
        <v/>
      </c>
      <c r="AJ1133">
        <f t="shared" si="460"/>
        <v>0</v>
      </c>
      <c r="AK1133">
        <f t="shared" si="461"/>
        <v>1</v>
      </c>
      <c r="CP1133">
        <f>IF(包装物料出入库明细!$D1133="",0,1)</f>
        <v>0</v>
      </c>
      <c r="CQ1133">
        <f t="shared" si="464"/>
        <v>37</v>
      </c>
      <c r="CS1133" t="str">
        <f>IF(OR(周转筐出入库明细!$C1134="",周转筐出入库明细!$F1134&lt;&gt;"采购入库"),"",周转筐出入库明细!$C1134)</f>
        <v/>
      </c>
      <c r="CT1133">
        <f t="shared" si="465"/>
        <v>0</v>
      </c>
      <c r="CU1133">
        <f t="shared" si="466"/>
        <v>1</v>
      </c>
    </row>
    <row r="1134" spans="1:99">
      <c r="A1134" t="str">
        <f>IF(包装物料出入库明细!$E1134="","",包装物料出入库明细!$E1134)</f>
        <v/>
      </c>
      <c r="B1134">
        <f t="shared" si="450"/>
        <v>0</v>
      </c>
      <c r="C1134">
        <f t="shared" si="451"/>
        <v>7</v>
      </c>
      <c r="D1134" t="str">
        <f>IF(包装物料出入库明细!$E1134="","",包装物料出入库明细!$F1134)</f>
        <v/>
      </c>
      <c r="E1134" t="str">
        <f>IF(包装物料出入库明细!$E1134="","",包装物料出入库明细!$G1134)</f>
        <v/>
      </c>
      <c r="K1134" t="str">
        <f>IF(包装物料出入库明细!$D1134="","",包装物料出入库明细!$D1134)</f>
        <v/>
      </c>
      <c r="L1134">
        <f t="shared" si="452"/>
        <v>0</v>
      </c>
      <c r="M1134">
        <f t="shared" si="453"/>
        <v>9</v>
      </c>
      <c r="Q1134" t="str">
        <f>IF(周转筐出入库明细!$D1135="","",周转筐出入库明细!$D1135)</f>
        <v/>
      </c>
      <c r="R1134">
        <f t="shared" si="454"/>
        <v>0</v>
      </c>
      <c r="S1134">
        <f t="shared" si="455"/>
        <v>5</v>
      </c>
      <c r="W1134" t="str">
        <f>IF(周转筐出入库明细!$C1135="","",周转筐出入库明细!$C1135)</f>
        <v/>
      </c>
      <c r="X1134">
        <f t="shared" si="456"/>
        <v>0</v>
      </c>
      <c r="Y1134">
        <f t="shared" si="457"/>
        <v>12</v>
      </c>
      <c r="AC1134" t="str">
        <f>IF(客户自备加工筐明细!$C1134="","",客户自备加工筐明细!$C1134)</f>
        <v/>
      </c>
      <c r="AD1134">
        <f t="shared" si="458"/>
        <v>0</v>
      </c>
      <c r="AE1134">
        <f t="shared" si="459"/>
        <v>1</v>
      </c>
      <c r="AI1134" t="str">
        <f>IF(客户自备加工筐明细!$E1134="","",客户自备加工筐明细!$E1134)</f>
        <v/>
      </c>
      <c r="AJ1134">
        <f t="shared" si="460"/>
        <v>0</v>
      </c>
      <c r="AK1134">
        <f t="shared" si="461"/>
        <v>1</v>
      </c>
      <c r="CP1134">
        <f>IF(包装物料出入库明细!$D1134="",0,1)</f>
        <v>0</v>
      </c>
      <c r="CQ1134">
        <f t="shared" si="464"/>
        <v>37</v>
      </c>
      <c r="CS1134" t="str">
        <f>IF(OR(周转筐出入库明细!$C1135="",周转筐出入库明细!$F1135&lt;&gt;"采购入库"),"",周转筐出入库明细!$C1135)</f>
        <v/>
      </c>
      <c r="CT1134">
        <f t="shared" si="465"/>
        <v>0</v>
      </c>
      <c r="CU1134">
        <f t="shared" si="466"/>
        <v>1</v>
      </c>
    </row>
    <row r="1135" spans="1:99">
      <c r="A1135" t="str">
        <f>IF(包装物料出入库明细!$E1135="","",包装物料出入库明细!$E1135)</f>
        <v/>
      </c>
      <c r="B1135">
        <f t="shared" si="450"/>
        <v>0</v>
      </c>
      <c r="C1135">
        <f t="shared" si="451"/>
        <v>7</v>
      </c>
      <c r="D1135" t="str">
        <f>IF(包装物料出入库明细!$E1135="","",包装物料出入库明细!$F1135)</f>
        <v/>
      </c>
      <c r="E1135" t="str">
        <f>IF(包装物料出入库明细!$E1135="","",包装物料出入库明细!$G1135)</f>
        <v/>
      </c>
      <c r="K1135" t="str">
        <f>IF(包装物料出入库明细!$D1135="","",包装物料出入库明细!$D1135)</f>
        <v/>
      </c>
      <c r="L1135">
        <f t="shared" si="452"/>
        <v>0</v>
      </c>
      <c r="M1135">
        <f t="shared" si="453"/>
        <v>9</v>
      </c>
      <c r="Q1135" t="str">
        <f>IF(周转筐出入库明细!$D1136="","",周转筐出入库明细!$D1136)</f>
        <v/>
      </c>
      <c r="R1135">
        <f t="shared" si="454"/>
        <v>0</v>
      </c>
      <c r="S1135">
        <f t="shared" si="455"/>
        <v>5</v>
      </c>
      <c r="W1135" t="str">
        <f>IF(周转筐出入库明细!$C1136="","",周转筐出入库明细!$C1136)</f>
        <v/>
      </c>
      <c r="X1135">
        <f t="shared" si="456"/>
        <v>0</v>
      </c>
      <c r="Y1135">
        <f t="shared" si="457"/>
        <v>12</v>
      </c>
      <c r="AC1135" t="str">
        <f>IF(客户自备加工筐明细!$C1135="","",客户自备加工筐明细!$C1135)</f>
        <v/>
      </c>
      <c r="AD1135">
        <f t="shared" si="458"/>
        <v>0</v>
      </c>
      <c r="AE1135">
        <f t="shared" si="459"/>
        <v>1</v>
      </c>
      <c r="AI1135" t="str">
        <f>IF(客户自备加工筐明细!$E1135="","",客户自备加工筐明细!$E1135)</f>
        <v/>
      </c>
      <c r="AJ1135">
        <f t="shared" si="460"/>
        <v>0</v>
      </c>
      <c r="AK1135">
        <f t="shared" si="461"/>
        <v>1</v>
      </c>
      <c r="CP1135">
        <f>IF(包装物料出入库明细!$D1135="",0,1)</f>
        <v>0</v>
      </c>
      <c r="CQ1135">
        <f t="shared" si="464"/>
        <v>37</v>
      </c>
      <c r="CS1135" t="str">
        <f>IF(OR(周转筐出入库明细!$C1136="",周转筐出入库明细!$F1136&lt;&gt;"采购入库"),"",周转筐出入库明细!$C1136)</f>
        <v/>
      </c>
      <c r="CT1135">
        <f t="shared" si="465"/>
        <v>0</v>
      </c>
      <c r="CU1135">
        <f t="shared" si="466"/>
        <v>1</v>
      </c>
    </row>
    <row r="1136" spans="1:99">
      <c r="A1136" t="str">
        <f>IF(包装物料出入库明细!$E1136="","",包装物料出入库明细!$E1136)</f>
        <v/>
      </c>
      <c r="B1136">
        <f t="shared" si="450"/>
        <v>0</v>
      </c>
      <c r="C1136">
        <f t="shared" si="451"/>
        <v>7</v>
      </c>
      <c r="D1136" t="str">
        <f>IF(包装物料出入库明细!$E1136="","",包装物料出入库明细!$F1136)</f>
        <v/>
      </c>
      <c r="E1136" t="str">
        <f>IF(包装物料出入库明细!$E1136="","",包装物料出入库明细!$G1136)</f>
        <v/>
      </c>
      <c r="K1136" t="str">
        <f>IF(包装物料出入库明细!$D1136="","",包装物料出入库明细!$D1136)</f>
        <v/>
      </c>
      <c r="L1136">
        <f t="shared" si="452"/>
        <v>0</v>
      </c>
      <c r="M1136">
        <f t="shared" si="453"/>
        <v>9</v>
      </c>
      <c r="Q1136" t="str">
        <f>IF(周转筐出入库明细!$D1137="","",周转筐出入库明细!$D1137)</f>
        <v/>
      </c>
      <c r="R1136">
        <f t="shared" si="454"/>
        <v>0</v>
      </c>
      <c r="S1136">
        <f t="shared" si="455"/>
        <v>5</v>
      </c>
      <c r="W1136" t="str">
        <f>IF(周转筐出入库明细!$C1137="","",周转筐出入库明细!$C1137)</f>
        <v/>
      </c>
      <c r="X1136">
        <f t="shared" si="456"/>
        <v>0</v>
      </c>
      <c r="Y1136">
        <f t="shared" si="457"/>
        <v>12</v>
      </c>
      <c r="AC1136" t="str">
        <f>IF(客户自备加工筐明细!$C1136="","",客户自备加工筐明细!$C1136)</f>
        <v/>
      </c>
      <c r="AD1136">
        <f t="shared" si="458"/>
        <v>0</v>
      </c>
      <c r="AE1136">
        <f t="shared" si="459"/>
        <v>1</v>
      </c>
      <c r="AI1136" t="str">
        <f>IF(客户自备加工筐明细!$E1136="","",客户自备加工筐明细!$E1136)</f>
        <v/>
      </c>
      <c r="AJ1136">
        <f t="shared" si="460"/>
        <v>0</v>
      </c>
      <c r="AK1136">
        <f t="shared" si="461"/>
        <v>1</v>
      </c>
      <c r="CP1136">
        <f>IF(包装物料出入库明细!$D1136="",0,1)</f>
        <v>0</v>
      </c>
      <c r="CQ1136">
        <f t="shared" si="464"/>
        <v>37</v>
      </c>
      <c r="CS1136" t="str">
        <f>IF(OR(周转筐出入库明细!$C1137="",周转筐出入库明细!$F1137&lt;&gt;"采购入库"),"",周转筐出入库明细!$C1137)</f>
        <v/>
      </c>
      <c r="CT1136">
        <f t="shared" si="465"/>
        <v>0</v>
      </c>
      <c r="CU1136">
        <f t="shared" si="466"/>
        <v>1</v>
      </c>
    </row>
    <row r="1137" spans="1:99">
      <c r="A1137" t="str">
        <f>IF(包装物料出入库明细!$E1137="","",包装物料出入库明细!$E1137)</f>
        <v/>
      </c>
      <c r="B1137">
        <f t="shared" si="450"/>
        <v>0</v>
      </c>
      <c r="C1137">
        <f t="shared" si="451"/>
        <v>7</v>
      </c>
      <c r="D1137" t="str">
        <f>IF(包装物料出入库明细!$E1137="","",包装物料出入库明细!$F1137)</f>
        <v/>
      </c>
      <c r="E1137" t="str">
        <f>IF(包装物料出入库明细!$E1137="","",包装物料出入库明细!$G1137)</f>
        <v/>
      </c>
      <c r="K1137" t="str">
        <f>IF(包装物料出入库明细!$D1137="","",包装物料出入库明细!$D1137)</f>
        <v/>
      </c>
      <c r="L1137">
        <f t="shared" si="452"/>
        <v>0</v>
      </c>
      <c r="M1137">
        <f t="shared" si="453"/>
        <v>9</v>
      </c>
      <c r="Q1137" t="str">
        <f>IF(周转筐出入库明细!$D1138="","",周转筐出入库明细!$D1138)</f>
        <v/>
      </c>
      <c r="R1137">
        <f t="shared" si="454"/>
        <v>0</v>
      </c>
      <c r="S1137">
        <f t="shared" si="455"/>
        <v>5</v>
      </c>
      <c r="W1137" t="str">
        <f>IF(周转筐出入库明细!$C1138="","",周转筐出入库明细!$C1138)</f>
        <v/>
      </c>
      <c r="X1137">
        <f t="shared" si="456"/>
        <v>0</v>
      </c>
      <c r="Y1137">
        <f t="shared" si="457"/>
        <v>12</v>
      </c>
      <c r="AC1137" t="str">
        <f>IF(客户自备加工筐明细!$C1137="","",客户自备加工筐明细!$C1137)</f>
        <v/>
      </c>
      <c r="AD1137">
        <f t="shared" si="458"/>
        <v>0</v>
      </c>
      <c r="AE1137">
        <f t="shared" si="459"/>
        <v>1</v>
      </c>
      <c r="AI1137" t="str">
        <f>IF(客户自备加工筐明细!$E1137="","",客户自备加工筐明细!$E1137)</f>
        <v/>
      </c>
      <c r="AJ1137">
        <f t="shared" si="460"/>
        <v>0</v>
      </c>
      <c r="AK1137">
        <f t="shared" si="461"/>
        <v>1</v>
      </c>
      <c r="CP1137">
        <f>IF(包装物料出入库明细!$D1137="",0,1)</f>
        <v>0</v>
      </c>
      <c r="CQ1137">
        <f t="shared" si="464"/>
        <v>37</v>
      </c>
      <c r="CS1137" t="str">
        <f>IF(OR(周转筐出入库明细!$C1138="",周转筐出入库明细!$F1138&lt;&gt;"采购入库"),"",周转筐出入库明细!$C1138)</f>
        <v/>
      </c>
      <c r="CT1137">
        <f t="shared" si="465"/>
        <v>0</v>
      </c>
      <c r="CU1137">
        <f t="shared" si="466"/>
        <v>1</v>
      </c>
    </row>
    <row r="1138" spans="1:99">
      <c r="A1138" t="str">
        <f>IF(包装物料出入库明细!$E1138="","",包装物料出入库明细!$E1138)</f>
        <v/>
      </c>
      <c r="B1138">
        <f t="shared" si="450"/>
        <v>0</v>
      </c>
      <c r="C1138">
        <f t="shared" si="451"/>
        <v>7</v>
      </c>
      <c r="D1138" t="str">
        <f>IF(包装物料出入库明细!$E1138="","",包装物料出入库明细!$F1138)</f>
        <v/>
      </c>
      <c r="E1138" t="str">
        <f>IF(包装物料出入库明细!$E1138="","",包装物料出入库明细!$G1138)</f>
        <v/>
      </c>
      <c r="K1138" t="str">
        <f>IF(包装物料出入库明细!$D1138="","",包装物料出入库明细!$D1138)</f>
        <v/>
      </c>
      <c r="L1138">
        <f t="shared" si="452"/>
        <v>0</v>
      </c>
      <c r="M1138">
        <f t="shared" si="453"/>
        <v>9</v>
      </c>
      <c r="Q1138" t="str">
        <f>IF(周转筐出入库明细!$D1139="","",周转筐出入库明细!$D1139)</f>
        <v/>
      </c>
      <c r="R1138">
        <f t="shared" si="454"/>
        <v>0</v>
      </c>
      <c r="S1138">
        <f t="shared" si="455"/>
        <v>5</v>
      </c>
      <c r="W1138" t="str">
        <f>IF(周转筐出入库明细!$C1139="","",周转筐出入库明细!$C1139)</f>
        <v/>
      </c>
      <c r="X1138">
        <f t="shared" si="456"/>
        <v>0</v>
      </c>
      <c r="Y1138">
        <f t="shared" si="457"/>
        <v>12</v>
      </c>
      <c r="AC1138" t="str">
        <f>IF(客户自备加工筐明细!$C1138="","",客户自备加工筐明细!$C1138)</f>
        <v/>
      </c>
      <c r="AD1138">
        <f t="shared" si="458"/>
        <v>0</v>
      </c>
      <c r="AE1138">
        <f t="shared" si="459"/>
        <v>1</v>
      </c>
      <c r="AI1138" t="str">
        <f>IF(客户自备加工筐明细!$E1138="","",客户自备加工筐明细!$E1138)</f>
        <v/>
      </c>
      <c r="AJ1138">
        <f t="shared" si="460"/>
        <v>0</v>
      </c>
      <c r="AK1138">
        <f t="shared" si="461"/>
        <v>1</v>
      </c>
      <c r="CP1138">
        <f>IF(包装物料出入库明细!$D1138="",0,1)</f>
        <v>0</v>
      </c>
      <c r="CQ1138">
        <f t="shared" si="464"/>
        <v>37</v>
      </c>
      <c r="CS1138" t="str">
        <f>IF(OR(周转筐出入库明细!$C1139="",周转筐出入库明细!$F1139&lt;&gt;"采购入库"),"",周转筐出入库明细!$C1139)</f>
        <v/>
      </c>
      <c r="CT1138">
        <f t="shared" si="465"/>
        <v>0</v>
      </c>
      <c r="CU1138">
        <f t="shared" si="466"/>
        <v>1</v>
      </c>
    </row>
    <row r="1139" spans="1:99">
      <c r="A1139" t="str">
        <f>IF(包装物料出入库明细!$E1139="","",包装物料出入库明细!$E1139)</f>
        <v/>
      </c>
      <c r="B1139">
        <f t="shared" si="450"/>
        <v>0</v>
      </c>
      <c r="C1139">
        <f t="shared" si="451"/>
        <v>7</v>
      </c>
      <c r="D1139" t="str">
        <f>IF(包装物料出入库明细!$E1139="","",包装物料出入库明细!$F1139)</f>
        <v/>
      </c>
      <c r="E1139" t="str">
        <f>IF(包装物料出入库明细!$E1139="","",包装物料出入库明细!$G1139)</f>
        <v/>
      </c>
      <c r="K1139" t="str">
        <f>IF(包装物料出入库明细!$D1139="","",包装物料出入库明细!$D1139)</f>
        <v/>
      </c>
      <c r="L1139">
        <f t="shared" si="452"/>
        <v>0</v>
      </c>
      <c r="M1139">
        <f t="shared" si="453"/>
        <v>9</v>
      </c>
      <c r="Q1139" t="str">
        <f>IF(周转筐出入库明细!$D1140="","",周转筐出入库明细!$D1140)</f>
        <v/>
      </c>
      <c r="R1139">
        <f t="shared" si="454"/>
        <v>0</v>
      </c>
      <c r="S1139">
        <f t="shared" si="455"/>
        <v>5</v>
      </c>
      <c r="W1139" t="str">
        <f>IF(周转筐出入库明细!$C1140="","",周转筐出入库明细!$C1140)</f>
        <v/>
      </c>
      <c r="X1139">
        <f t="shared" si="456"/>
        <v>0</v>
      </c>
      <c r="Y1139">
        <f t="shared" si="457"/>
        <v>12</v>
      </c>
      <c r="AC1139" t="str">
        <f>IF(客户自备加工筐明细!$C1139="","",客户自备加工筐明细!$C1139)</f>
        <v/>
      </c>
      <c r="AD1139">
        <f t="shared" si="458"/>
        <v>0</v>
      </c>
      <c r="AE1139">
        <f t="shared" si="459"/>
        <v>1</v>
      </c>
      <c r="AI1139" t="str">
        <f>IF(客户自备加工筐明细!$E1139="","",客户自备加工筐明细!$E1139)</f>
        <v/>
      </c>
      <c r="AJ1139">
        <f t="shared" si="460"/>
        <v>0</v>
      </c>
      <c r="AK1139">
        <f t="shared" si="461"/>
        <v>1</v>
      </c>
      <c r="CP1139">
        <f>IF(包装物料出入库明细!$D1139="",0,1)</f>
        <v>0</v>
      </c>
      <c r="CQ1139">
        <f t="shared" si="464"/>
        <v>37</v>
      </c>
      <c r="CS1139" t="str">
        <f>IF(OR(周转筐出入库明细!$C1140="",周转筐出入库明细!$F1140&lt;&gt;"采购入库"),"",周转筐出入库明细!$C1140)</f>
        <v/>
      </c>
      <c r="CT1139">
        <f t="shared" si="465"/>
        <v>0</v>
      </c>
      <c r="CU1139">
        <f t="shared" si="466"/>
        <v>1</v>
      </c>
    </row>
    <row r="1140" spans="1:99">
      <c r="A1140" t="str">
        <f>IF(包装物料出入库明细!$E1140="","",包装物料出入库明细!$E1140)</f>
        <v/>
      </c>
      <c r="B1140">
        <f t="shared" si="450"/>
        <v>0</v>
      </c>
      <c r="C1140">
        <f t="shared" si="451"/>
        <v>7</v>
      </c>
      <c r="D1140" t="str">
        <f>IF(包装物料出入库明细!$E1140="","",包装物料出入库明细!$F1140)</f>
        <v/>
      </c>
      <c r="E1140" t="str">
        <f>IF(包装物料出入库明细!$E1140="","",包装物料出入库明细!$G1140)</f>
        <v/>
      </c>
      <c r="K1140" t="str">
        <f>IF(包装物料出入库明细!$D1140="","",包装物料出入库明细!$D1140)</f>
        <v/>
      </c>
      <c r="L1140">
        <f t="shared" si="452"/>
        <v>0</v>
      </c>
      <c r="M1140">
        <f t="shared" si="453"/>
        <v>9</v>
      </c>
      <c r="Q1140" t="str">
        <f>IF(周转筐出入库明细!$D1141="","",周转筐出入库明细!$D1141)</f>
        <v/>
      </c>
      <c r="R1140">
        <f t="shared" si="454"/>
        <v>0</v>
      </c>
      <c r="S1140">
        <f t="shared" si="455"/>
        <v>5</v>
      </c>
      <c r="W1140" t="str">
        <f>IF(周转筐出入库明细!$C1141="","",周转筐出入库明细!$C1141)</f>
        <v/>
      </c>
      <c r="X1140">
        <f t="shared" si="456"/>
        <v>0</v>
      </c>
      <c r="Y1140">
        <f t="shared" si="457"/>
        <v>12</v>
      </c>
      <c r="AC1140" t="str">
        <f>IF(客户自备加工筐明细!$C1140="","",客户自备加工筐明细!$C1140)</f>
        <v/>
      </c>
      <c r="AD1140">
        <f t="shared" si="458"/>
        <v>0</v>
      </c>
      <c r="AE1140">
        <f t="shared" si="459"/>
        <v>1</v>
      </c>
      <c r="AI1140" t="str">
        <f>IF(客户自备加工筐明细!$E1140="","",客户自备加工筐明细!$E1140)</f>
        <v/>
      </c>
      <c r="AJ1140">
        <f t="shared" si="460"/>
        <v>0</v>
      </c>
      <c r="AK1140">
        <f t="shared" si="461"/>
        <v>1</v>
      </c>
      <c r="CP1140">
        <f>IF(包装物料出入库明细!$D1140="",0,1)</f>
        <v>0</v>
      </c>
      <c r="CQ1140">
        <f t="shared" si="464"/>
        <v>37</v>
      </c>
      <c r="CS1140" t="str">
        <f>IF(OR(周转筐出入库明细!$C1141="",周转筐出入库明细!$F1141&lt;&gt;"采购入库"),"",周转筐出入库明细!$C1141)</f>
        <v/>
      </c>
      <c r="CT1140">
        <f t="shared" si="465"/>
        <v>0</v>
      </c>
      <c r="CU1140">
        <f t="shared" si="466"/>
        <v>1</v>
      </c>
    </row>
    <row r="1141" spans="1:99">
      <c r="A1141" t="str">
        <f>IF(包装物料出入库明细!$E1141="","",包装物料出入库明细!$E1141)</f>
        <v/>
      </c>
      <c r="B1141">
        <f t="shared" si="450"/>
        <v>0</v>
      </c>
      <c r="C1141">
        <f t="shared" si="451"/>
        <v>7</v>
      </c>
      <c r="D1141" t="str">
        <f>IF(包装物料出入库明细!$E1141="","",包装物料出入库明细!$F1141)</f>
        <v/>
      </c>
      <c r="E1141" t="str">
        <f>IF(包装物料出入库明细!$E1141="","",包装物料出入库明细!$G1141)</f>
        <v/>
      </c>
      <c r="K1141" t="str">
        <f>IF(包装物料出入库明细!$D1141="","",包装物料出入库明细!$D1141)</f>
        <v/>
      </c>
      <c r="L1141">
        <f t="shared" si="452"/>
        <v>0</v>
      </c>
      <c r="M1141">
        <f t="shared" si="453"/>
        <v>9</v>
      </c>
      <c r="Q1141" t="str">
        <f>IF(周转筐出入库明细!$D1142="","",周转筐出入库明细!$D1142)</f>
        <v/>
      </c>
      <c r="R1141">
        <f t="shared" si="454"/>
        <v>0</v>
      </c>
      <c r="S1141">
        <f t="shared" si="455"/>
        <v>5</v>
      </c>
      <c r="W1141" t="str">
        <f>IF(周转筐出入库明细!$C1142="","",周转筐出入库明细!$C1142)</f>
        <v/>
      </c>
      <c r="X1141">
        <f t="shared" si="456"/>
        <v>0</v>
      </c>
      <c r="Y1141">
        <f t="shared" si="457"/>
        <v>12</v>
      </c>
      <c r="AC1141" t="str">
        <f>IF(客户自备加工筐明细!$C1141="","",客户自备加工筐明细!$C1141)</f>
        <v/>
      </c>
      <c r="AD1141">
        <f t="shared" si="458"/>
        <v>0</v>
      </c>
      <c r="AE1141">
        <f t="shared" si="459"/>
        <v>1</v>
      </c>
      <c r="AI1141" t="str">
        <f>IF(客户自备加工筐明细!$E1141="","",客户自备加工筐明细!$E1141)</f>
        <v/>
      </c>
      <c r="AJ1141">
        <f t="shared" si="460"/>
        <v>0</v>
      </c>
      <c r="AK1141">
        <f t="shared" si="461"/>
        <v>1</v>
      </c>
      <c r="CP1141">
        <f>IF(包装物料出入库明细!$D1141="",0,1)</f>
        <v>0</v>
      </c>
      <c r="CQ1141">
        <f t="shared" si="464"/>
        <v>37</v>
      </c>
      <c r="CS1141" t="str">
        <f>IF(OR(周转筐出入库明细!$C1142="",周转筐出入库明细!$F1142&lt;&gt;"采购入库"),"",周转筐出入库明细!$C1142)</f>
        <v/>
      </c>
      <c r="CT1141">
        <f t="shared" si="465"/>
        <v>0</v>
      </c>
      <c r="CU1141">
        <f t="shared" si="466"/>
        <v>1</v>
      </c>
    </row>
    <row r="1142" spans="1:99">
      <c r="A1142" t="str">
        <f>IF(包装物料出入库明细!$E1142="","",包装物料出入库明细!$E1142)</f>
        <v/>
      </c>
      <c r="B1142">
        <f t="shared" si="450"/>
        <v>0</v>
      </c>
      <c r="C1142">
        <f t="shared" si="451"/>
        <v>7</v>
      </c>
      <c r="D1142" t="str">
        <f>IF(包装物料出入库明细!$E1142="","",包装物料出入库明细!$F1142)</f>
        <v/>
      </c>
      <c r="E1142" t="str">
        <f>IF(包装物料出入库明细!$E1142="","",包装物料出入库明细!$G1142)</f>
        <v/>
      </c>
      <c r="K1142" t="str">
        <f>IF(包装物料出入库明细!$D1142="","",包装物料出入库明细!$D1142)</f>
        <v/>
      </c>
      <c r="L1142">
        <f t="shared" si="452"/>
        <v>0</v>
      </c>
      <c r="M1142">
        <f t="shared" si="453"/>
        <v>9</v>
      </c>
      <c r="Q1142" t="str">
        <f>IF(周转筐出入库明细!$D1143="","",周转筐出入库明细!$D1143)</f>
        <v/>
      </c>
      <c r="R1142">
        <f t="shared" si="454"/>
        <v>0</v>
      </c>
      <c r="S1142">
        <f t="shared" si="455"/>
        <v>5</v>
      </c>
      <c r="W1142" t="str">
        <f>IF(周转筐出入库明细!$C1143="","",周转筐出入库明细!$C1143)</f>
        <v/>
      </c>
      <c r="X1142">
        <f t="shared" si="456"/>
        <v>0</v>
      </c>
      <c r="Y1142">
        <f t="shared" si="457"/>
        <v>12</v>
      </c>
      <c r="AC1142" t="str">
        <f>IF(客户自备加工筐明细!$C1142="","",客户自备加工筐明细!$C1142)</f>
        <v/>
      </c>
      <c r="AD1142">
        <f t="shared" si="458"/>
        <v>0</v>
      </c>
      <c r="AE1142">
        <f t="shared" si="459"/>
        <v>1</v>
      </c>
      <c r="AI1142" t="str">
        <f>IF(客户自备加工筐明细!$E1142="","",客户自备加工筐明细!$E1142)</f>
        <v/>
      </c>
      <c r="AJ1142">
        <f t="shared" si="460"/>
        <v>0</v>
      </c>
      <c r="AK1142">
        <f t="shared" si="461"/>
        <v>1</v>
      </c>
      <c r="CP1142">
        <f>IF(包装物料出入库明细!$D1142="",0,1)</f>
        <v>0</v>
      </c>
      <c r="CQ1142">
        <f t="shared" si="464"/>
        <v>37</v>
      </c>
      <c r="CS1142" t="str">
        <f>IF(OR(周转筐出入库明细!$C1143="",周转筐出入库明细!$F1143&lt;&gt;"采购入库"),"",周转筐出入库明细!$C1143)</f>
        <v/>
      </c>
      <c r="CT1142">
        <f t="shared" si="465"/>
        <v>0</v>
      </c>
      <c r="CU1142">
        <f t="shared" si="466"/>
        <v>1</v>
      </c>
    </row>
    <row r="1143" spans="1:99">
      <c r="A1143" t="str">
        <f>IF(包装物料出入库明细!$E1143="","",包装物料出入库明细!$E1143)</f>
        <v/>
      </c>
      <c r="B1143">
        <f t="shared" si="450"/>
        <v>0</v>
      </c>
      <c r="C1143">
        <f t="shared" si="451"/>
        <v>7</v>
      </c>
      <c r="D1143" t="str">
        <f>IF(包装物料出入库明细!$E1143="","",包装物料出入库明细!$F1143)</f>
        <v/>
      </c>
      <c r="E1143" t="str">
        <f>IF(包装物料出入库明细!$E1143="","",包装物料出入库明细!$G1143)</f>
        <v/>
      </c>
      <c r="K1143" t="str">
        <f>IF(包装物料出入库明细!$D1143="","",包装物料出入库明细!$D1143)</f>
        <v/>
      </c>
      <c r="L1143">
        <f t="shared" si="452"/>
        <v>0</v>
      </c>
      <c r="M1143">
        <f t="shared" si="453"/>
        <v>9</v>
      </c>
      <c r="Q1143" t="str">
        <f>IF(周转筐出入库明细!$D1144="","",周转筐出入库明细!$D1144)</f>
        <v/>
      </c>
      <c r="R1143">
        <f t="shared" si="454"/>
        <v>0</v>
      </c>
      <c r="S1143">
        <f t="shared" si="455"/>
        <v>5</v>
      </c>
      <c r="W1143" t="str">
        <f>IF(周转筐出入库明细!$C1144="","",周转筐出入库明细!$C1144)</f>
        <v/>
      </c>
      <c r="X1143">
        <f t="shared" si="456"/>
        <v>0</v>
      </c>
      <c r="Y1143">
        <f t="shared" si="457"/>
        <v>12</v>
      </c>
      <c r="AC1143" t="str">
        <f>IF(客户自备加工筐明细!$C1143="","",客户自备加工筐明细!$C1143)</f>
        <v/>
      </c>
      <c r="AD1143">
        <f t="shared" si="458"/>
        <v>0</v>
      </c>
      <c r="AE1143">
        <f t="shared" si="459"/>
        <v>1</v>
      </c>
      <c r="AI1143" t="str">
        <f>IF(客户自备加工筐明细!$E1143="","",客户自备加工筐明细!$E1143)</f>
        <v/>
      </c>
      <c r="AJ1143">
        <f t="shared" si="460"/>
        <v>0</v>
      </c>
      <c r="AK1143">
        <f t="shared" si="461"/>
        <v>1</v>
      </c>
      <c r="CP1143">
        <f>IF(包装物料出入库明细!$D1143="",0,1)</f>
        <v>0</v>
      </c>
      <c r="CQ1143">
        <f t="shared" si="464"/>
        <v>37</v>
      </c>
      <c r="CS1143" t="str">
        <f>IF(OR(周转筐出入库明细!$C1144="",周转筐出入库明细!$F1144&lt;&gt;"采购入库"),"",周转筐出入库明细!$C1144)</f>
        <v/>
      </c>
      <c r="CT1143">
        <f t="shared" si="465"/>
        <v>0</v>
      </c>
      <c r="CU1143">
        <f t="shared" si="466"/>
        <v>1</v>
      </c>
    </row>
    <row r="1144" spans="1:99">
      <c r="A1144" t="str">
        <f>IF(包装物料出入库明细!$E1144="","",包装物料出入库明细!$E1144)</f>
        <v/>
      </c>
      <c r="B1144">
        <f t="shared" si="450"/>
        <v>0</v>
      </c>
      <c r="C1144">
        <f t="shared" si="451"/>
        <v>7</v>
      </c>
      <c r="D1144" t="str">
        <f>IF(包装物料出入库明细!$E1144="","",包装物料出入库明细!$F1144)</f>
        <v/>
      </c>
      <c r="E1144" t="str">
        <f>IF(包装物料出入库明细!$E1144="","",包装物料出入库明细!$G1144)</f>
        <v/>
      </c>
      <c r="K1144" t="str">
        <f>IF(包装物料出入库明细!$D1144="","",包装物料出入库明细!$D1144)</f>
        <v/>
      </c>
      <c r="L1144">
        <f t="shared" si="452"/>
        <v>0</v>
      </c>
      <c r="M1144">
        <f t="shared" si="453"/>
        <v>9</v>
      </c>
      <c r="Q1144" t="str">
        <f>IF(周转筐出入库明细!$D1145="","",周转筐出入库明细!$D1145)</f>
        <v/>
      </c>
      <c r="R1144">
        <f t="shared" si="454"/>
        <v>0</v>
      </c>
      <c r="S1144">
        <f t="shared" si="455"/>
        <v>5</v>
      </c>
      <c r="W1144" t="str">
        <f>IF(周转筐出入库明细!$C1145="","",周转筐出入库明细!$C1145)</f>
        <v/>
      </c>
      <c r="X1144">
        <f t="shared" si="456"/>
        <v>0</v>
      </c>
      <c r="Y1144">
        <f t="shared" si="457"/>
        <v>12</v>
      </c>
      <c r="AC1144" t="str">
        <f>IF(客户自备加工筐明细!$C1144="","",客户自备加工筐明细!$C1144)</f>
        <v/>
      </c>
      <c r="AD1144">
        <f t="shared" si="458"/>
        <v>0</v>
      </c>
      <c r="AE1144">
        <f t="shared" si="459"/>
        <v>1</v>
      </c>
      <c r="AI1144" t="str">
        <f>IF(客户自备加工筐明细!$E1144="","",客户自备加工筐明细!$E1144)</f>
        <v/>
      </c>
      <c r="AJ1144">
        <f t="shared" si="460"/>
        <v>0</v>
      </c>
      <c r="AK1144">
        <f t="shared" si="461"/>
        <v>1</v>
      </c>
      <c r="CP1144">
        <f>IF(包装物料出入库明细!$D1144="",0,1)</f>
        <v>0</v>
      </c>
      <c r="CQ1144">
        <f t="shared" si="464"/>
        <v>37</v>
      </c>
      <c r="CS1144" t="str">
        <f>IF(OR(周转筐出入库明细!$C1145="",周转筐出入库明细!$F1145&lt;&gt;"采购入库"),"",周转筐出入库明细!$C1145)</f>
        <v/>
      </c>
      <c r="CT1144">
        <f t="shared" si="465"/>
        <v>0</v>
      </c>
      <c r="CU1144">
        <f t="shared" si="466"/>
        <v>1</v>
      </c>
    </row>
    <row r="1145" spans="1:99">
      <c r="A1145" t="str">
        <f>IF(包装物料出入库明细!$E1145="","",包装物料出入库明细!$E1145)</f>
        <v/>
      </c>
      <c r="B1145">
        <f t="shared" si="450"/>
        <v>0</v>
      </c>
      <c r="C1145">
        <f t="shared" si="451"/>
        <v>7</v>
      </c>
      <c r="D1145" t="str">
        <f>IF(包装物料出入库明细!$E1145="","",包装物料出入库明细!$F1145)</f>
        <v/>
      </c>
      <c r="E1145" t="str">
        <f>IF(包装物料出入库明细!$E1145="","",包装物料出入库明细!$G1145)</f>
        <v/>
      </c>
      <c r="K1145" t="str">
        <f>IF(包装物料出入库明细!$D1145="","",包装物料出入库明细!$D1145)</f>
        <v/>
      </c>
      <c r="L1145">
        <f t="shared" si="452"/>
        <v>0</v>
      </c>
      <c r="M1145">
        <f t="shared" si="453"/>
        <v>9</v>
      </c>
      <c r="Q1145" t="str">
        <f>IF(周转筐出入库明细!$D1146="","",周转筐出入库明细!$D1146)</f>
        <v/>
      </c>
      <c r="R1145">
        <f t="shared" si="454"/>
        <v>0</v>
      </c>
      <c r="S1145">
        <f t="shared" si="455"/>
        <v>5</v>
      </c>
      <c r="W1145" t="str">
        <f>IF(周转筐出入库明细!$C1146="","",周转筐出入库明细!$C1146)</f>
        <v/>
      </c>
      <c r="X1145">
        <f t="shared" si="456"/>
        <v>0</v>
      </c>
      <c r="Y1145">
        <f t="shared" si="457"/>
        <v>12</v>
      </c>
      <c r="AC1145" t="str">
        <f>IF(客户自备加工筐明细!$C1145="","",客户自备加工筐明细!$C1145)</f>
        <v/>
      </c>
      <c r="AD1145">
        <f t="shared" si="458"/>
        <v>0</v>
      </c>
      <c r="AE1145">
        <f t="shared" si="459"/>
        <v>1</v>
      </c>
      <c r="AI1145" t="str">
        <f>IF(客户自备加工筐明细!$E1145="","",客户自备加工筐明细!$E1145)</f>
        <v/>
      </c>
      <c r="AJ1145">
        <f t="shared" si="460"/>
        <v>0</v>
      </c>
      <c r="AK1145">
        <f t="shared" si="461"/>
        <v>1</v>
      </c>
      <c r="CP1145">
        <f>IF(包装物料出入库明细!$D1145="",0,1)</f>
        <v>0</v>
      </c>
      <c r="CQ1145">
        <f t="shared" si="464"/>
        <v>37</v>
      </c>
      <c r="CS1145" t="str">
        <f>IF(OR(周转筐出入库明细!$C1146="",周转筐出入库明细!$F1146&lt;&gt;"采购入库"),"",周转筐出入库明细!$C1146)</f>
        <v/>
      </c>
      <c r="CT1145">
        <f t="shared" si="465"/>
        <v>0</v>
      </c>
      <c r="CU1145">
        <f t="shared" si="466"/>
        <v>1</v>
      </c>
    </row>
    <row r="1146" spans="1:99">
      <c r="A1146" t="str">
        <f>IF(包装物料出入库明细!$E1146="","",包装物料出入库明细!$E1146)</f>
        <v/>
      </c>
      <c r="B1146">
        <f t="shared" si="450"/>
        <v>0</v>
      </c>
      <c r="C1146">
        <f t="shared" si="451"/>
        <v>7</v>
      </c>
      <c r="D1146" t="str">
        <f>IF(包装物料出入库明细!$E1146="","",包装物料出入库明细!$F1146)</f>
        <v/>
      </c>
      <c r="E1146" t="str">
        <f>IF(包装物料出入库明细!$E1146="","",包装物料出入库明细!$G1146)</f>
        <v/>
      </c>
      <c r="K1146" t="str">
        <f>IF(包装物料出入库明细!$D1146="","",包装物料出入库明细!$D1146)</f>
        <v/>
      </c>
      <c r="L1146">
        <f t="shared" si="452"/>
        <v>0</v>
      </c>
      <c r="M1146">
        <f t="shared" si="453"/>
        <v>9</v>
      </c>
      <c r="Q1146" t="str">
        <f>IF(周转筐出入库明细!$D1147="","",周转筐出入库明细!$D1147)</f>
        <v/>
      </c>
      <c r="R1146">
        <f t="shared" si="454"/>
        <v>0</v>
      </c>
      <c r="S1146">
        <f t="shared" si="455"/>
        <v>5</v>
      </c>
      <c r="W1146" t="str">
        <f>IF(周转筐出入库明细!$C1147="","",周转筐出入库明细!$C1147)</f>
        <v/>
      </c>
      <c r="X1146">
        <f t="shared" si="456"/>
        <v>0</v>
      </c>
      <c r="Y1146">
        <f t="shared" si="457"/>
        <v>12</v>
      </c>
      <c r="AC1146" t="str">
        <f>IF(客户自备加工筐明细!$C1146="","",客户自备加工筐明细!$C1146)</f>
        <v/>
      </c>
      <c r="AD1146">
        <f t="shared" si="458"/>
        <v>0</v>
      </c>
      <c r="AE1146">
        <f t="shared" si="459"/>
        <v>1</v>
      </c>
      <c r="AI1146" t="str">
        <f>IF(客户自备加工筐明细!$E1146="","",客户自备加工筐明细!$E1146)</f>
        <v/>
      </c>
      <c r="AJ1146">
        <f t="shared" si="460"/>
        <v>0</v>
      </c>
      <c r="AK1146">
        <f t="shared" si="461"/>
        <v>1</v>
      </c>
      <c r="CP1146">
        <f>IF(包装物料出入库明细!$D1146="",0,1)</f>
        <v>0</v>
      </c>
      <c r="CQ1146">
        <f t="shared" si="464"/>
        <v>37</v>
      </c>
      <c r="CS1146" t="str">
        <f>IF(OR(周转筐出入库明细!$C1147="",周转筐出入库明细!$F1147&lt;&gt;"采购入库"),"",周转筐出入库明细!$C1147)</f>
        <v/>
      </c>
      <c r="CT1146">
        <f t="shared" si="465"/>
        <v>0</v>
      </c>
      <c r="CU1146">
        <f t="shared" si="466"/>
        <v>1</v>
      </c>
    </row>
    <row r="1147" spans="1:99">
      <c r="A1147" t="str">
        <f>IF(包装物料出入库明细!$E1147="","",包装物料出入库明细!$E1147)</f>
        <v/>
      </c>
      <c r="B1147">
        <f t="shared" si="450"/>
        <v>0</v>
      </c>
      <c r="C1147">
        <f t="shared" si="451"/>
        <v>7</v>
      </c>
      <c r="D1147" t="str">
        <f>IF(包装物料出入库明细!$E1147="","",包装物料出入库明细!$F1147)</f>
        <v/>
      </c>
      <c r="E1147" t="str">
        <f>IF(包装物料出入库明细!$E1147="","",包装物料出入库明细!$G1147)</f>
        <v/>
      </c>
      <c r="K1147" t="str">
        <f>IF(包装物料出入库明细!$D1147="","",包装物料出入库明细!$D1147)</f>
        <v/>
      </c>
      <c r="L1147">
        <f t="shared" si="452"/>
        <v>0</v>
      </c>
      <c r="M1147">
        <f t="shared" si="453"/>
        <v>9</v>
      </c>
      <c r="Q1147" t="str">
        <f>IF(周转筐出入库明细!$D1148="","",周转筐出入库明细!$D1148)</f>
        <v/>
      </c>
      <c r="R1147">
        <f t="shared" si="454"/>
        <v>0</v>
      </c>
      <c r="S1147">
        <f t="shared" si="455"/>
        <v>5</v>
      </c>
      <c r="W1147" t="str">
        <f>IF(周转筐出入库明细!$C1148="","",周转筐出入库明细!$C1148)</f>
        <v/>
      </c>
      <c r="X1147">
        <f t="shared" si="456"/>
        <v>0</v>
      </c>
      <c r="Y1147">
        <f t="shared" si="457"/>
        <v>12</v>
      </c>
      <c r="AC1147" t="str">
        <f>IF(客户自备加工筐明细!$C1147="","",客户自备加工筐明细!$C1147)</f>
        <v/>
      </c>
      <c r="AD1147">
        <f t="shared" si="458"/>
        <v>0</v>
      </c>
      <c r="AE1147">
        <f t="shared" si="459"/>
        <v>1</v>
      </c>
      <c r="AI1147" t="str">
        <f>IF(客户自备加工筐明细!$E1147="","",客户自备加工筐明细!$E1147)</f>
        <v/>
      </c>
      <c r="AJ1147">
        <f t="shared" si="460"/>
        <v>0</v>
      </c>
      <c r="AK1147">
        <f t="shared" si="461"/>
        <v>1</v>
      </c>
      <c r="CP1147">
        <f>IF(包装物料出入库明细!$D1147="",0,1)</f>
        <v>0</v>
      </c>
      <c r="CQ1147">
        <f t="shared" si="464"/>
        <v>37</v>
      </c>
      <c r="CS1147" t="str">
        <f>IF(OR(周转筐出入库明细!$C1148="",周转筐出入库明细!$F1148&lt;&gt;"采购入库"),"",周转筐出入库明细!$C1148)</f>
        <v/>
      </c>
      <c r="CT1147">
        <f t="shared" si="465"/>
        <v>0</v>
      </c>
      <c r="CU1147">
        <f t="shared" si="466"/>
        <v>1</v>
      </c>
    </row>
    <row r="1148" spans="1:99">
      <c r="A1148" t="str">
        <f>IF(包装物料出入库明细!$E1148="","",包装物料出入库明细!$E1148)</f>
        <v/>
      </c>
      <c r="B1148">
        <f t="shared" si="450"/>
        <v>0</v>
      </c>
      <c r="C1148">
        <f t="shared" si="451"/>
        <v>7</v>
      </c>
      <c r="D1148" t="str">
        <f>IF(包装物料出入库明细!$E1148="","",包装物料出入库明细!$F1148)</f>
        <v/>
      </c>
      <c r="E1148" t="str">
        <f>IF(包装物料出入库明细!$E1148="","",包装物料出入库明细!$G1148)</f>
        <v/>
      </c>
      <c r="K1148" t="str">
        <f>IF(包装物料出入库明细!$D1148="","",包装物料出入库明细!$D1148)</f>
        <v/>
      </c>
      <c r="L1148">
        <f t="shared" si="452"/>
        <v>0</v>
      </c>
      <c r="M1148">
        <f t="shared" si="453"/>
        <v>9</v>
      </c>
      <c r="Q1148" t="str">
        <f>IF(周转筐出入库明细!$D1149="","",周转筐出入库明细!$D1149)</f>
        <v/>
      </c>
      <c r="R1148">
        <f t="shared" si="454"/>
        <v>0</v>
      </c>
      <c r="S1148">
        <f t="shared" si="455"/>
        <v>5</v>
      </c>
      <c r="W1148" t="str">
        <f>IF(周转筐出入库明细!$C1149="","",周转筐出入库明细!$C1149)</f>
        <v/>
      </c>
      <c r="X1148">
        <f t="shared" si="456"/>
        <v>0</v>
      </c>
      <c r="Y1148">
        <f t="shared" si="457"/>
        <v>12</v>
      </c>
      <c r="AC1148" t="str">
        <f>IF(客户自备加工筐明细!$C1148="","",客户自备加工筐明细!$C1148)</f>
        <v/>
      </c>
      <c r="AD1148">
        <f t="shared" si="458"/>
        <v>0</v>
      </c>
      <c r="AE1148">
        <f t="shared" si="459"/>
        <v>1</v>
      </c>
      <c r="AI1148" t="str">
        <f>IF(客户自备加工筐明细!$E1148="","",客户自备加工筐明细!$E1148)</f>
        <v/>
      </c>
      <c r="AJ1148">
        <f t="shared" si="460"/>
        <v>0</v>
      </c>
      <c r="AK1148">
        <f t="shared" si="461"/>
        <v>1</v>
      </c>
      <c r="CP1148">
        <f>IF(包装物料出入库明细!$D1148="",0,1)</f>
        <v>0</v>
      </c>
      <c r="CQ1148">
        <f t="shared" si="464"/>
        <v>37</v>
      </c>
      <c r="CS1148" t="str">
        <f>IF(OR(周转筐出入库明细!$C1149="",周转筐出入库明细!$F1149&lt;&gt;"采购入库"),"",周转筐出入库明细!$C1149)</f>
        <v/>
      </c>
      <c r="CT1148">
        <f t="shared" si="465"/>
        <v>0</v>
      </c>
      <c r="CU1148">
        <f t="shared" si="466"/>
        <v>1</v>
      </c>
    </row>
    <row r="1149" spans="1:99">
      <c r="A1149" t="str">
        <f>IF(包装物料出入库明细!$E1149="","",包装物料出入库明细!$E1149)</f>
        <v/>
      </c>
      <c r="B1149">
        <f t="shared" si="450"/>
        <v>0</v>
      </c>
      <c r="C1149">
        <f t="shared" si="451"/>
        <v>7</v>
      </c>
      <c r="D1149" t="str">
        <f>IF(包装物料出入库明细!$E1149="","",包装物料出入库明细!$F1149)</f>
        <v/>
      </c>
      <c r="E1149" t="str">
        <f>IF(包装物料出入库明细!$E1149="","",包装物料出入库明细!$G1149)</f>
        <v/>
      </c>
      <c r="K1149" t="str">
        <f>IF(包装物料出入库明细!$D1149="","",包装物料出入库明细!$D1149)</f>
        <v/>
      </c>
      <c r="L1149">
        <f t="shared" si="452"/>
        <v>0</v>
      </c>
      <c r="M1149">
        <f t="shared" si="453"/>
        <v>9</v>
      </c>
      <c r="Q1149" t="str">
        <f>IF(周转筐出入库明细!$D1150="","",周转筐出入库明细!$D1150)</f>
        <v/>
      </c>
      <c r="R1149">
        <f t="shared" si="454"/>
        <v>0</v>
      </c>
      <c r="S1149">
        <f t="shared" si="455"/>
        <v>5</v>
      </c>
      <c r="W1149" t="str">
        <f>IF(周转筐出入库明细!$C1150="","",周转筐出入库明细!$C1150)</f>
        <v/>
      </c>
      <c r="X1149">
        <f t="shared" si="456"/>
        <v>0</v>
      </c>
      <c r="Y1149">
        <f t="shared" si="457"/>
        <v>12</v>
      </c>
      <c r="AC1149" t="str">
        <f>IF(客户自备加工筐明细!$C1149="","",客户自备加工筐明细!$C1149)</f>
        <v/>
      </c>
      <c r="AD1149">
        <f t="shared" si="458"/>
        <v>0</v>
      </c>
      <c r="AE1149">
        <f t="shared" si="459"/>
        <v>1</v>
      </c>
      <c r="AI1149" t="str">
        <f>IF(客户自备加工筐明细!$E1149="","",客户自备加工筐明细!$E1149)</f>
        <v/>
      </c>
      <c r="AJ1149">
        <f t="shared" si="460"/>
        <v>0</v>
      </c>
      <c r="AK1149">
        <f t="shared" si="461"/>
        <v>1</v>
      </c>
      <c r="CP1149">
        <f>IF(包装物料出入库明细!$D1149="",0,1)</f>
        <v>0</v>
      </c>
      <c r="CQ1149">
        <f t="shared" si="464"/>
        <v>37</v>
      </c>
      <c r="CS1149" t="str">
        <f>IF(OR(周转筐出入库明细!$C1150="",周转筐出入库明细!$F1150&lt;&gt;"采购入库"),"",周转筐出入库明细!$C1150)</f>
        <v/>
      </c>
      <c r="CT1149">
        <f t="shared" si="465"/>
        <v>0</v>
      </c>
      <c r="CU1149">
        <f t="shared" si="466"/>
        <v>1</v>
      </c>
    </row>
    <row r="1150" spans="1:99">
      <c r="A1150" t="str">
        <f>IF(包装物料出入库明细!$E1150="","",包装物料出入库明细!$E1150)</f>
        <v/>
      </c>
      <c r="B1150">
        <f t="shared" si="450"/>
        <v>0</v>
      </c>
      <c r="C1150">
        <f t="shared" si="451"/>
        <v>7</v>
      </c>
      <c r="D1150" t="str">
        <f>IF(包装物料出入库明细!$E1150="","",包装物料出入库明细!$F1150)</f>
        <v/>
      </c>
      <c r="E1150" t="str">
        <f>IF(包装物料出入库明细!$E1150="","",包装物料出入库明细!$G1150)</f>
        <v/>
      </c>
      <c r="K1150" t="str">
        <f>IF(包装物料出入库明细!$D1150="","",包装物料出入库明细!$D1150)</f>
        <v/>
      </c>
      <c r="L1150">
        <f t="shared" si="452"/>
        <v>0</v>
      </c>
      <c r="M1150">
        <f t="shared" si="453"/>
        <v>9</v>
      </c>
      <c r="Q1150" t="str">
        <f>IF(周转筐出入库明细!$D1151="","",周转筐出入库明细!$D1151)</f>
        <v/>
      </c>
      <c r="R1150">
        <f t="shared" si="454"/>
        <v>0</v>
      </c>
      <c r="S1150">
        <f t="shared" si="455"/>
        <v>5</v>
      </c>
      <c r="W1150" t="str">
        <f>IF(周转筐出入库明细!$C1151="","",周转筐出入库明细!$C1151)</f>
        <v/>
      </c>
      <c r="X1150">
        <f t="shared" si="456"/>
        <v>0</v>
      </c>
      <c r="Y1150">
        <f t="shared" si="457"/>
        <v>12</v>
      </c>
      <c r="AC1150" t="str">
        <f>IF(客户自备加工筐明细!$C1150="","",客户自备加工筐明细!$C1150)</f>
        <v/>
      </c>
      <c r="AD1150">
        <f t="shared" si="458"/>
        <v>0</v>
      </c>
      <c r="AE1150">
        <f t="shared" si="459"/>
        <v>1</v>
      </c>
      <c r="AI1150" t="str">
        <f>IF(客户自备加工筐明细!$E1150="","",客户自备加工筐明细!$E1150)</f>
        <v/>
      </c>
      <c r="AJ1150">
        <f t="shared" si="460"/>
        <v>0</v>
      </c>
      <c r="AK1150">
        <f t="shared" si="461"/>
        <v>1</v>
      </c>
      <c r="CP1150">
        <f>IF(包装物料出入库明细!$D1150="",0,1)</f>
        <v>0</v>
      </c>
      <c r="CQ1150">
        <f t="shared" si="464"/>
        <v>37</v>
      </c>
      <c r="CS1150" t="str">
        <f>IF(OR(周转筐出入库明细!$C1151="",周转筐出入库明细!$F1151&lt;&gt;"采购入库"),"",周转筐出入库明细!$C1151)</f>
        <v/>
      </c>
      <c r="CT1150">
        <f t="shared" si="465"/>
        <v>0</v>
      </c>
      <c r="CU1150">
        <f t="shared" si="466"/>
        <v>1</v>
      </c>
    </row>
    <row r="1151" spans="1:99">
      <c r="A1151" t="str">
        <f>IF(包装物料出入库明细!$E1151="","",包装物料出入库明细!$E1151)</f>
        <v/>
      </c>
      <c r="B1151">
        <f t="shared" si="450"/>
        <v>0</v>
      </c>
      <c r="C1151">
        <f t="shared" si="451"/>
        <v>7</v>
      </c>
      <c r="D1151" t="str">
        <f>IF(包装物料出入库明细!$E1151="","",包装物料出入库明细!$F1151)</f>
        <v/>
      </c>
      <c r="E1151" t="str">
        <f>IF(包装物料出入库明细!$E1151="","",包装物料出入库明细!$G1151)</f>
        <v/>
      </c>
      <c r="K1151" t="str">
        <f>IF(包装物料出入库明细!$D1151="","",包装物料出入库明细!$D1151)</f>
        <v/>
      </c>
      <c r="L1151">
        <f t="shared" si="452"/>
        <v>0</v>
      </c>
      <c r="M1151">
        <f t="shared" si="453"/>
        <v>9</v>
      </c>
      <c r="Q1151" t="str">
        <f>IF(周转筐出入库明细!$D1152="","",周转筐出入库明细!$D1152)</f>
        <v/>
      </c>
      <c r="R1151">
        <f t="shared" si="454"/>
        <v>0</v>
      </c>
      <c r="S1151">
        <f t="shared" si="455"/>
        <v>5</v>
      </c>
      <c r="W1151" t="str">
        <f>IF(周转筐出入库明细!$C1152="","",周转筐出入库明细!$C1152)</f>
        <v/>
      </c>
      <c r="X1151">
        <f t="shared" si="456"/>
        <v>0</v>
      </c>
      <c r="Y1151">
        <f t="shared" si="457"/>
        <v>12</v>
      </c>
      <c r="AC1151" t="str">
        <f>IF(客户自备加工筐明细!$C1151="","",客户自备加工筐明细!$C1151)</f>
        <v/>
      </c>
      <c r="AD1151">
        <f t="shared" si="458"/>
        <v>0</v>
      </c>
      <c r="AE1151">
        <f t="shared" si="459"/>
        <v>1</v>
      </c>
      <c r="AI1151" t="str">
        <f>IF(客户自备加工筐明细!$E1151="","",客户自备加工筐明细!$E1151)</f>
        <v/>
      </c>
      <c r="AJ1151">
        <f t="shared" si="460"/>
        <v>0</v>
      </c>
      <c r="AK1151">
        <f t="shared" si="461"/>
        <v>1</v>
      </c>
      <c r="CP1151">
        <f>IF(包装物料出入库明细!$D1151="",0,1)</f>
        <v>0</v>
      </c>
      <c r="CQ1151">
        <f t="shared" si="464"/>
        <v>37</v>
      </c>
      <c r="CS1151" t="str">
        <f>IF(OR(周转筐出入库明细!$C1152="",周转筐出入库明细!$F1152&lt;&gt;"采购入库"),"",周转筐出入库明细!$C1152)</f>
        <v/>
      </c>
      <c r="CT1151">
        <f t="shared" si="465"/>
        <v>0</v>
      </c>
      <c r="CU1151">
        <f t="shared" si="466"/>
        <v>1</v>
      </c>
    </row>
    <row r="1152" spans="1:99">
      <c r="A1152" t="str">
        <f>IF(包装物料出入库明细!$E1152="","",包装物料出入库明细!$E1152)</f>
        <v/>
      </c>
      <c r="B1152">
        <f t="shared" si="450"/>
        <v>0</v>
      </c>
      <c r="C1152">
        <f t="shared" si="451"/>
        <v>7</v>
      </c>
      <c r="D1152" t="str">
        <f>IF(包装物料出入库明细!$E1152="","",包装物料出入库明细!$F1152)</f>
        <v/>
      </c>
      <c r="E1152" t="str">
        <f>IF(包装物料出入库明细!$E1152="","",包装物料出入库明细!$G1152)</f>
        <v/>
      </c>
      <c r="K1152" t="str">
        <f>IF(包装物料出入库明细!$D1152="","",包装物料出入库明细!$D1152)</f>
        <v/>
      </c>
      <c r="L1152">
        <f t="shared" si="452"/>
        <v>0</v>
      </c>
      <c r="M1152">
        <f t="shared" si="453"/>
        <v>9</v>
      </c>
      <c r="Q1152" t="str">
        <f>IF(周转筐出入库明细!$D1153="","",周转筐出入库明细!$D1153)</f>
        <v/>
      </c>
      <c r="R1152">
        <f t="shared" si="454"/>
        <v>0</v>
      </c>
      <c r="S1152">
        <f t="shared" si="455"/>
        <v>5</v>
      </c>
      <c r="W1152" t="str">
        <f>IF(周转筐出入库明细!$C1153="","",周转筐出入库明细!$C1153)</f>
        <v/>
      </c>
      <c r="X1152">
        <f t="shared" si="456"/>
        <v>0</v>
      </c>
      <c r="Y1152">
        <f t="shared" si="457"/>
        <v>12</v>
      </c>
      <c r="AC1152" t="str">
        <f>IF(客户自备加工筐明细!$C1152="","",客户自备加工筐明细!$C1152)</f>
        <v/>
      </c>
      <c r="AD1152">
        <f t="shared" si="458"/>
        <v>0</v>
      </c>
      <c r="AE1152">
        <f t="shared" si="459"/>
        <v>1</v>
      </c>
      <c r="AI1152" t="str">
        <f>IF(客户自备加工筐明细!$E1152="","",客户自备加工筐明细!$E1152)</f>
        <v/>
      </c>
      <c r="AJ1152">
        <f t="shared" si="460"/>
        <v>0</v>
      </c>
      <c r="AK1152">
        <f t="shared" si="461"/>
        <v>1</v>
      </c>
      <c r="CP1152">
        <f>IF(包装物料出入库明细!$D1152="",0,1)</f>
        <v>0</v>
      </c>
      <c r="CQ1152">
        <f t="shared" si="464"/>
        <v>37</v>
      </c>
      <c r="CS1152" t="str">
        <f>IF(OR(周转筐出入库明细!$C1153="",周转筐出入库明细!$F1153&lt;&gt;"采购入库"),"",周转筐出入库明细!$C1153)</f>
        <v/>
      </c>
      <c r="CT1152">
        <f t="shared" si="465"/>
        <v>0</v>
      </c>
      <c r="CU1152">
        <f t="shared" si="466"/>
        <v>1</v>
      </c>
    </row>
    <row r="1153" spans="1:99">
      <c r="A1153" t="str">
        <f>IF(包装物料出入库明细!$E1153="","",包装物料出入库明细!$E1153)</f>
        <v/>
      </c>
      <c r="B1153">
        <f t="shared" si="450"/>
        <v>0</v>
      </c>
      <c r="C1153">
        <f t="shared" si="451"/>
        <v>7</v>
      </c>
      <c r="D1153" t="str">
        <f>IF(包装物料出入库明细!$E1153="","",包装物料出入库明细!$F1153)</f>
        <v/>
      </c>
      <c r="E1153" t="str">
        <f>IF(包装物料出入库明细!$E1153="","",包装物料出入库明细!$G1153)</f>
        <v/>
      </c>
      <c r="K1153" t="str">
        <f>IF(包装物料出入库明细!$D1153="","",包装物料出入库明细!$D1153)</f>
        <v/>
      </c>
      <c r="L1153">
        <f t="shared" si="452"/>
        <v>0</v>
      </c>
      <c r="M1153">
        <f t="shared" si="453"/>
        <v>9</v>
      </c>
      <c r="Q1153" t="str">
        <f>IF(周转筐出入库明细!$D1154="","",周转筐出入库明细!$D1154)</f>
        <v/>
      </c>
      <c r="R1153">
        <f t="shared" si="454"/>
        <v>0</v>
      </c>
      <c r="S1153">
        <f t="shared" si="455"/>
        <v>5</v>
      </c>
      <c r="W1153" t="str">
        <f>IF(周转筐出入库明细!$C1154="","",周转筐出入库明细!$C1154)</f>
        <v/>
      </c>
      <c r="X1153">
        <f t="shared" si="456"/>
        <v>0</v>
      </c>
      <c r="Y1153">
        <f t="shared" si="457"/>
        <v>12</v>
      </c>
      <c r="AC1153" t="str">
        <f>IF(客户自备加工筐明细!$C1153="","",客户自备加工筐明细!$C1153)</f>
        <v/>
      </c>
      <c r="AD1153">
        <f t="shared" si="458"/>
        <v>0</v>
      </c>
      <c r="AE1153">
        <f t="shared" si="459"/>
        <v>1</v>
      </c>
      <c r="AI1153" t="str">
        <f>IF(客户自备加工筐明细!$E1153="","",客户自备加工筐明细!$E1153)</f>
        <v/>
      </c>
      <c r="AJ1153">
        <f t="shared" si="460"/>
        <v>0</v>
      </c>
      <c r="AK1153">
        <f t="shared" si="461"/>
        <v>1</v>
      </c>
      <c r="CP1153">
        <f>IF(包装物料出入库明细!$D1153="",0,1)</f>
        <v>0</v>
      </c>
      <c r="CQ1153">
        <f t="shared" si="464"/>
        <v>37</v>
      </c>
      <c r="CS1153" t="str">
        <f>IF(OR(周转筐出入库明细!$C1154="",周转筐出入库明细!$F1154&lt;&gt;"采购入库"),"",周转筐出入库明细!$C1154)</f>
        <v/>
      </c>
      <c r="CT1153">
        <f t="shared" si="465"/>
        <v>0</v>
      </c>
      <c r="CU1153">
        <f t="shared" si="466"/>
        <v>1</v>
      </c>
    </row>
    <row r="1154" spans="1:99">
      <c r="A1154" t="str">
        <f>IF(包装物料出入库明细!$E1154="","",包装物料出入库明细!$E1154)</f>
        <v/>
      </c>
      <c r="B1154">
        <f t="shared" si="450"/>
        <v>0</v>
      </c>
      <c r="C1154">
        <f t="shared" si="451"/>
        <v>7</v>
      </c>
      <c r="D1154" t="str">
        <f>IF(包装物料出入库明细!$E1154="","",包装物料出入库明细!$F1154)</f>
        <v/>
      </c>
      <c r="E1154" t="str">
        <f>IF(包装物料出入库明细!$E1154="","",包装物料出入库明细!$G1154)</f>
        <v/>
      </c>
      <c r="K1154" t="str">
        <f>IF(包装物料出入库明细!$D1154="","",包装物料出入库明细!$D1154)</f>
        <v/>
      </c>
      <c r="L1154">
        <f t="shared" si="452"/>
        <v>0</v>
      </c>
      <c r="M1154">
        <f t="shared" si="453"/>
        <v>9</v>
      </c>
      <c r="Q1154" t="str">
        <f>IF(周转筐出入库明细!$D1155="","",周转筐出入库明细!$D1155)</f>
        <v/>
      </c>
      <c r="R1154">
        <f t="shared" si="454"/>
        <v>0</v>
      </c>
      <c r="S1154">
        <f t="shared" si="455"/>
        <v>5</v>
      </c>
      <c r="W1154" t="str">
        <f>IF(周转筐出入库明细!$C1155="","",周转筐出入库明细!$C1155)</f>
        <v/>
      </c>
      <c r="X1154">
        <f t="shared" si="456"/>
        <v>0</v>
      </c>
      <c r="Y1154">
        <f t="shared" si="457"/>
        <v>12</v>
      </c>
      <c r="AC1154" t="str">
        <f>IF(客户自备加工筐明细!$C1154="","",客户自备加工筐明细!$C1154)</f>
        <v/>
      </c>
      <c r="AD1154">
        <f t="shared" si="458"/>
        <v>0</v>
      </c>
      <c r="AE1154">
        <f t="shared" si="459"/>
        <v>1</v>
      </c>
      <c r="AI1154" t="str">
        <f>IF(客户自备加工筐明细!$E1154="","",客户自备加工筐明细!$E1154)</f>
        <v/>
      </c>
      <c r="AJ1154">
        <f t="shared" si="460"/>
        <v>0</v>
      </c>
      <c r="AK1154">
        <f t="shared" si="461"/>
        <v>1</v>
      </c>
      <c r="CP1154">
        <f>IF(包装物料出入库明细!$D1154="",0,1)</f>
        <v>0</v>
      </c>
      <c r="CQ1154">
        <f t="shared" si="464"/>
        <v>37</v>
      </c>
      <c r="CS1154" t="str">
        <f>IF(OR(周转筐出入库明细!$C1155="",周转筐出入库明细!$F1155&lt;&gt;"采购入库"),"",周转筐出入库明细!$C1155)</f>
        <v/>
      </c>
      <c r="CT1154">
        <f t="shared" si="465"/>
        <v>0</v>
      </c>
      <c r="CU1154">
        <f t="shared" si="466"/>
        <v>1</v>
      </c>
    </row>
    <row r="1155" spans="1:99">
      <c r="A1155" t="str">
        <f>IF(包装物料出入库明细!$E1155="","",包装物料出入库明细!$E1155)</f>
        <v/>
      </c>
      <c r="B1155">
        <f t="shared" si="450"/>
        <v>0</v>
      </c>
      <c r="C1155">
        <f t="shared" si="451"/>
        <v>7</v>
      </c>
      <c r="D1155" t="str">
        <f>IF(包装物料出入库明细!$E1155="","",包装物料出入库明细!$F1155)</f>
        <v/>
      </c>
      <c r="E1155" t="str">
        <f>IF(包装物料出入库明细!$E1155="","",包装物料出入库明细!$G1155)</f>
        <v/>
      </c>
      <c r="K1155" t="str">
        <f>IF(包装物料出入库明细!$D1155="","",包装物料出入库明细!$D1155)</f>
        <v/>
      </c>
      <c r="L1155">
        <f t="shared" si="452"/>
        <v>0</v>
      </c>
      <c r="M1155">
        <f t="shared" si="453"/>
        <v>9</v>
      </c>
      <c r="Q1155" t="str">
        <f>IF(周转筐出入库明细!$D1156="","",周转筐出入库明细!$D1156)</f>
        <v/>
      </c>
      <c r="R1155">
        <f t="shared" si="454"/>
        <v>0</v>
      </c>
      <c r="S1155">
        <f t="shared" si="455"/>
        <v>5</v>
      </c>
      <c r="W1155" t="str">
        <f>IF(周转筐出入库明细!$C1156="","",周转筐出入库明细!$C1156)</f>
        <v/>
      </c>
      <c r="X1155">
        <f t="shared" si="456"/>
        <v>0</v>
      </c>
      <c r="Y1155">
        <f t="shared" si="457"/>
        <v>12</v>
      </c>
      <c r="AC1155" t="str">
        <f>IF(客户自备加工筐明细!$C1155="","",客户自备加工筐明细!$C1155)</f>
        <v/>
      </c>
      <c r="AD1155">
        <f t="shared" si="458"/>
        <v>0</v>
      </c>
      <c r="AE1155">
        <f t="shared" si="459"/>
        <v>1</v>
      </c>
      <c r="AI1155" t="str">
        <f>IF(客户自备加工筐明细!$E1155="","",客户自备加工筐明细!$E1155)</f>
        <v/>
      </c>
      <c r="AJ1155">
        <f t="shared" si="460"/>
        <v>0</v>
      </c>
      <c r="AK1155">
        <f t="shared" si="461"/>
        <v>1</v>
      </c>
      <c r="CP1155">
        <f>IF(包装物料出入库明细!$D1155="",0,1)</f>
        <v>0</v>
      </c>
      <c r="CQ1155">
        <f t="shared" si="464"/>
        <v>37</v>
      </c>
      <c r="CS1155" t="str">
        <f>IF(OR(周转筐出入库明细!$C1156="",周转筐出入库明细!$F1156&lt;&gt;"采购入库"),"",周转筐出入库明细!$C1156)</f>
        <v/>
      </c>
      <c r="CT1155">
        <f t="shared" si="465"/>
        <v>0</v>
      </c>
      <c r="CU1155">
        <f t="shared" si="466"/>
        <v>1</v>
      </c>
    </row>
    <row r="1156" spans="1:99">
      <c r="A1156" t="str">
        <f>IF(包装物料出入库明细!$E1156="","",包装物料出入库明细!$E1156)</f>
        <v/>
      </c>
      <c r="B1156">
        <f t="shared" ref="B1156:B1219" si="467">IF(A1156="",0,IF(MATCH(A1156,$A$4:$A$2003,0)=ROW()-3,1,0))</f>
        <v>0</v>
      </c>
      <c r="C1156">
        <f t="shared" ref="C1156:C1219" si="468">N(C1155)+B1156</f>
        <v>7</v>
      </c>
      <c r="D1156" t="str">
        <f>IF(包装物料出入库明细!$E1156="","",包装物料出入库明细!$F1156)</f>
        <v/>
      </c>
      <c r="E1156" t="str">
        <f>IF(包装物料出入库明细!$E1156="","",包装物料出入库明细!$G1156)</f>
        <v/>
      </c>
      <c r="K1156" t="str">
        <f>IF(包装物料出入库明细!$D1156="","",包装物料出入库明细!$D1156)</f>
        <v/>
      </c>
      <c r="L1156">
        <f t="shared" ref="L1156:L1219" si="469">IF(K1156="",0,IF(MATCH(K1156,$K$4:$K$2003,0)=ROW()-3,1,0))</f>
        <v>0</v>
      </c>
      <c r="M1156">
        <f t="shared" ref="M1156:M1219" si="470">N(M1155)+L1156</f>
        <v>9</v>
      </c>
      <c r="Q1156" t="str">
        <f>IF(周转筐出入库明细!$D1157="","",周转筐出入库明细!$D1157)</f>
        <v/>
      </c>
      <c r="R1156">
        <f t="shared" ref="R1156:R1219" si="471">IF(Q1156="",0,IF(MATCH(Q1156,$Q$4:$Q$2003,0)=ROW()-3,1,0))</f>
        <v>0</v>
      </c>
      <c r="S1156">
        <f t="shared" ref="S1156:S1219" si="472">N(S1155)+R1156</f>
        <v>5</v>
      </c>
      <c r="W1156" t="str">
        <f>IF(周转筐出入库明细!$C1157="","",周转筐出入库明细!$C1157)</f>
        <v/>
      </c>
      <c r="X1156">
        <f t="shared" ref="X1156:X1219" si="473">IF(W1156="",0,IF(MATCH(W1156,$W$4:$W$2003,0)=ROW()-3,1,0))</f>
        <v>0</v>
      </c>
      <c r="Y1156">
        <f t="shared" ref="Y1156:Y1219" si="474">N(Y1155)+X1156</f>
        <v>12</v>
      </c>
      <c r="AC1156" t="str">
        <f>IF(客户自备加工筐明细!$C1156="","",客户自备加工筐明细!$C1156)</f>
        <v/>
      </c>
      <c r="AD1156">
        <f t="shared" ref="AD1156:AD1203" si="475">IF(AC1156="",0,IF(MATCH(AC1156,$AC$4:$AC$1203,0)=ROW()-3,1,0))</f>
        <v>0</v>
      </c>
      <c r="AE1156">
        <f t="shared" ref="AE1156:AE1203" si="476">N(AE1155)+AD1156</f>
        <v>1</v>
      </c>
      <c r="AI1156" t="str">
        <f>IF(客户自备加工筐明细!$E1156="","",客户自备加工筐明细!$E1156)</f>
        <v/>
      </c>
      <c r="AJ1156">
        <f t="shared" ref="AJ1156:AJ1219" si="477">IF(AI1156="",0,IF(MATCH(AI1156,$AI$4:$AI$1503,0)=ROW()-3,1,0))</f>
        <v>0</v>
      </c>
      <c r="AK1156">
        <f t="shared" ref="AK1156:AK1219" si="478">N(AK1155)+AJ1156</f>
        <v>1</v>
      </c>
      <c r="CP1156">
        <f>IF(包装物料出入库明细!$D1156="",0,1)</f>
        <v>0</v>
      </c>
      <c r="CQ1156">
        <f t="shared" ref="CQ1156:CQ1219" si="479">N(CQ1155)+$CP1156</f>
        <v>37</v>
      </c>
      <c r="CS1156" t="str">
        <f>IF(OR(周转筐出入库明细!$C1157="",周转筐出入库明细!$F1157&lt;&gt;"采购入库"),"",周转筐出入库明细!$C1157)</f>
        <v/>
      </c>
      <c r="CT1156">
        <f t="shared" ref="CT1156:CT1219" si="480">IF(CS1156="",0,IF(MATCH(CS1156,$CS$4:$CS$2003,0)=ROW()-3,1,0))</f>
        <v>0</v>
      </c>
      <c r="CU1156">
        <f t="shared" ref="CU1156:CU1219" si="481">N(CU1155)+CT1156</f>
        <v>1</v>
      </c>
    </row>
    <row r="1157" spans="1:99">
      <c r="A1157" t="str">
        <f>IF(包装物料出入库明细!$E1157="","",包装物料出入库明细!$E1157)</f>
        <v/>
      </c>
      <c r="B1157">
        <f t="shared" si="467"/>
        <v>0</v>
      </c>
      <c r="C1157">
        <f t="shared" si="468"/>
        <v>7</v>
      </c>
      <c r="D1157" t="str">
        <f>IF(包装物料出入库明细!$E1157="","",包装物料出入库明细!$F1157)</f>
        <v/>
      </c>
      <c r="E1157" t="str">
        <f>IF(包装物料出入库明细!$E1157="","",包装物料出入库明细!$G1157)</f>
        <v/>
      </c>
      <c r="K1157" t="str">
        <f>IF(包装物料出入库明细!$D1157="","",包装物料出入库明细!$D1157)</f>
        <v/>
      </c>
      <c r="L1157">
        <f t="shared" si="469"/>
        <v>0</v>
      </c>
      <c r="M1157">
        <f t="shared" si="470"/>
        <v>9</v>
      </c>
      <c r="Q1157" t="str">
        <f>IF(周转筐出入库明细!$D1158="","",周转筐出入库明细!$D1158)</f>
        <v/>
      </c>
      <c r="R1157">
        <f t="shared" si="471"/>
        <v>0</v>
      </c>
      <c r="S1157">
        <f t="shared" si="472"/>
        <v>5</v>
      </c>
      <c r="W1157" t="str">
        <f>IF(周转筐出入库明细!$C1158="","",周转筐出入库明细!$C1158)</f>
        <v/>
      </c>
      <c r="X1157">
        <f t="shared" si="473"/>
        <v>0</v>
      </c>
      <c r="Y1157">
        <f t="shared" si="474"/>
        <v>12</v>
      </c>
      <c r="AC1157" t="str">
        <f>IF(客户自备加工筐明细!$C1157="","",客户自备加工筐明细!$C1157)</f>
        <v/>
      </c>
      <c r="AD1157">
        <f t="shared" si="475"/>
        <v>0</v>
      </c>
      <c r="AE1157">
        <f t="shared" si="476"/>
        <v>1</v>
      </c>
      <c r="AI1157" t="str">
        <f>IF(客户自备加工筐明细!$E1157="","",客户自备加工筐明细!$E1157)</f>
        <v/>
      </c>
      <c r="AJ1157">
        <f t="shared" si="477"/>
        <v>0</v>
      </c>
      <c r="AK1157">
        <f t="shared" si="478"/>
        <v>1</v>
      </c>
      <c r="CP1157">
        <f>IF(包装物料出入库明细!$D1157="",0,1)</f>
        <v>0</v>
      </c>
      <c r="CQ1157">
        <f t="shared" si="479"/>
        <v>37</v>
      </c>
      <c r="CS1157" t="str">
        <f>IF(OR(周转筐出入库明细!$C1158="",周转筐出入库明细!$F1158&lt;&gt;"采购入库"),"",周转筐出入库明细!$C1158)</f>
        <v/>
      </c>
      <c r="CT1157">
        <f t="shared" si="480"/>
        <v>0</v>
      </c>
      <c r="CU1157">
        <f t="shared" si="481"/>
        <v>1</v>
      </c>
    </row>
    <row r="1158" spans="1:99">
      <c r="A1158" t="str">
        <f>IF(包装物料出入库明细!$E1158="","",包装物料出入库明细!$E1158)</f>
        <v/>
      </c>
      <c r="B1158">
        <f t="shared" si="467"/>
        <v>0</v>
      </c>
      <c r="C1158">
        <f t="shared" si="468"/>
        <v>7</v>
      </c>
      <c r="D1158" t="str">
        <f>IF(包装物料出入库明细!$E1158="","",包装物料出入库明细!$F1158)</f>
        <v/>
      </c>
      <c r="E1158" t="str">
        <f>IF(包装物料出入库明细!$E1158="","",包装物料出入库明细!$G1158)</f>
        <v/>
      </c>
      <c r="K1158" t="str">
        <f>IF(包装物料出入库明细!$D1158="","",包装物料出入库明细!$D1158)</f>
        <v/>
      </c>
      <c r="L1158">
        <f t="shared" si="469"/>
        <v>0</v>
      </c>
      <c r="M1158">
        <f t="shared" si="470"/>
        <v>9</v>
      </c>
      <c r="Q1158" t="str">
        <f>IF(周转筐出入库明细!$D1159="","",周转筐出入库明细!$D1159)</f>
        <v/>
      </c>
      <c r="R1158">
        <f t="shared" si="471"/>
        <v>0</v>
      </c>
      <c r="S1158">
        <f t="shared" si="472"/>
        <v>5</v>
      </c>
      <c r="W1158" t="str">
        <f>IF(周转筐出入库明细!$C1159="","",周转筐出入库明细!$C1159)</f>
        <v/>
      </c>
      <c r="X1158">
        <f t="shared" si="473"/>
        <v>0</v>
      </c>
      <c r="Y1158">
        <f t="shared" si="474"/>
        <v>12</v>
      </c>
      <c r="AC1158" t="str">
        <f>IF(客户自备加工筐明细!$C1158="","",客户自备加工筐明细!$C1158)</f>
        <v/>
      </c>
      <c r="AD1158">
        <f t="shared" si="475"/>
        <v>0</v>
      </c>
      <c r="AE1158">
        <f t="shared" si="476"/>
        <v>1</v>
      </c>
      <c r="AI1158" t="str">
        <f>IF(客户自备加工筐明细!$E1158="","",客户自备加工筐明细!$E1158)</f>
        <v/>
      </c>
      <c r="AJ1158">
        <f t="shared" si="477"/>
        <v>0</v>
      </c>
      <c r="AK1158">
        <f t="shared" si="478"/>
        <v>1</v>
      </c>
      <c r="CP1158">
        <f>IF(包装物料出入库明细!$D1158="",0,1)</f>
        <v>0</v>
      </c>
      <c r="CQ1158">
        <f t="shared" si="479"/>
        <v>37</v>
      </c>
      <c r="CS1158" t="str">
        <f>IF(OR(周转筐出入库明细!$C1159="",周转筐出入库明细!$F1159&lt;&gt;"采购入库"),"",周转筐出入库明细!$C1159)</f>
        <v/>
      </c>
      <c r="CT1158">
        <f t="shared" si="480"/>
        <v>0</v>
      </c>
      <c r="CU1158">
        <f t="shared" si="481"/>
        <v>1</v>
      </c>
    </row>
    <row r="1159" spans="1:99">
      <c r="A1159" t="str">
        <f>IF(包装物料出入库明细!$E1159="","",包装物料出入库明细!$E1159)</f>
        <v/>
      </c>
      <c r="B1159">
        <f t="shared" si="467"/>
        <v>0</v>
      </c>
      <c r="C1159">
        <f t="shared" si="468"/>
        <v>7</v>
      </c>
      <c r="D1159" t="str">
        <f>IF(包装物料出入库明细!$E1159="","",包装物料出入库明细!$F1159)</f>
        <v/>
      </c>
      <c r="E1159" t="str">
        <f>IF(包装物料出入库明细!$E1159="","",包装物料出入库明细!$G1159)</f>
        <v/>
      </c>
      <c r="K1159" t="str">
        <f>IF(包装物料出入库明细!$D1159="","",包装物料出入库明细!$D1159)</f>
        <v/>
      </c>
      <c r="L1159">
        <f t="shared" si="469"/>
        <v>0</v>
      </c>
      <c r="M1159">
        <f t="shared" si="470"/>
        <v>9</v>
      </c>
      <c r="Q1159" t="str">
        <f>IF(周转筐出入库明细!$D1160="","",周转筐出入库明细!$D1160)</f>
        <v/>
      </c>
      <c r="R1159">
        <f t="shared" si="471"/>
        <v>0</v>
      </c>
      <c r="S1159">
        <f t="shared" si="472"/>
        <v>5</v>
      </c>
      <c r="W1159" t="str">
        <f>IF(周转筐出入库明细!$C1160="","",周转筐出入库明细!$C1160)</f>
        <v/>
      </c>
      <c r="X1159">
        <f t="shared" si="473"/>
        <v>0</v>
      </c>
      <c r="Y1159">
        <f t="shared" si="474"/>
        <v>12</v>
      </c>
      <c r="AC1159" t="str">
        <f>IF(客户自备加工筐明细!$C1159="","",客户自备加工筐明细!$C1159)</f>
        <v/>
      </c>
      <c r="AD1159">
        <f t="shared" si="475"/>
        <v>0</v>
      </c>
      <c r="AE1159">
        <f t="shared" si="476"/>
        <v>1</v>
      </c>
      <c r="AI1159" t="str">
        <f>IF(客户自备加工筐明细!$E1159="","",客户自备加工筐明细!$E1159)</f>
        <v/>
      </c>
      <c r="AJ1159">
        <f t="shared" si="477"/>
        <v>0</v>
      </c>
      <c r="AK1159">
        <f t="shared" si="478"/>
        <v>1</v>
      </c>
      <c r="CP1159">
        <f>IF(包装物料出入库明细!$D1159="",0,1)</f>
        <v>0</v>
      </c>
      <c r="CQ1159">
        <f t="shared" si="479"/>
        <v>37</v>
      </c>
      <c r="CS1159" t="str">
        <f>IF(OR(周转筐出入库明细!$C1160="",周转筐出入库明细!$F1160&lt;&gt;"采购入库"),"",周转筐出入库明细!$C1160)</f>
        <v/>
      </c>
      <c r="CT1159">
        <f t="shared" si="480"/>
        <v>0</v>
      </c>
      <c r="CU1159">
        <f t="shared" si="481"/>
        <v>1</v>
      </c>
    </row>
    <row r="1160" spans="1:99">
      <c r="A1160" t="str">
        <f>IF(包装物料出入库明细!$E1160="","",包装物料出入库明细!$E1160)</f>
        <v/>
      </c>
      <c r="B1160">
        <f t="shared" si="467"/>
        <v>0</v>
      </c>
      <c r="C1160">
        <f t="shared" si="468"/>
        <v>7</v>
      </c>
      <c r="D1160" t="str">
        <f>IF(包装物料出入库明细!$E1160="","",包装物料出入库明细!$F1160)</f>
        <v/>
      </c>
      <c r="E1160" t="str">
        <f>IF(包装物料出入库明细!$E1160="","",包装物料出入库明细!$G1160)</f>
        <v/>
      </c>
      <c r="K1160" t="str">
        <f>IF(包装物料出入库明细!$D1160="","",包装物料出入库明细!$D1160)</f>
        <v/>
      </c>
      <c r="L1160">
        <f t="shared" si="469"/>
        <v>0</v>
      </c>
      <c r="M1160">
        <f t="shared" si="470"/>
        <v>9</v>
      </c>
      <c r="Q1160" t="str">
        <f>IF(周转筐出入库明细!$D1161="","",周转筐出入库明细!$D1161)</f>
        <v/>
      </c>
      <c r="R1160">
        <f t="shared" si="471"/>
        <v>0</v>
      </c>
      <c r="S1160">
        <f t="shared" si="472"/>
        <v>5</v>
      </c>
      <c r="W1160" t="str">
        <f>IF(周转筐出入库明细!$C1161="","",周转筐出入库明细!$C1161)</f>
        <v/>
      </c>
      <c r="X1160">
        <f t="shared" si="473"/>
        <v>0</v>
      </c>
      <c r="Y1160">
        <f t="shared" si="474"/>
        <v>12</v>
      </c>
      <c r="AC1160" t="str">
        <f>IF(客户自备加工筐明细!$C1160="","",客户自备加工筐明细!$C1160)</f>
        <v/>
      </c>
      <c r="AD1160">
        <f t="shared" si="475"/>
        <v>0</v>
      </c>
      <c r="AE1160">
        <f t="shared" si="476"/>
        <v>1</v>
      </c>
      <c r="AI1160" t="str">
        <f>IF(客户自备加工筐明细!$E1160="","",客户自备加工筐明细!$E1160)</f>
        <v/>
      </c>
      <c r="AJ1160">
        <f t="shared" si="477"/>
        <v>0</v>
      </c>
      <c r="AK1160">
        <f t="shared" si="478"/>
        <v>1</v>
      </c>
      <c r="CP1160">
        <f>IF(包装物料出入库明细!$D1160="",0,1)</f>
        <v>0</v>
      </c>
      <c r="CQ1160">
        <f t="shared" si="479"/>
        <v>37</v>
      </c>
      <c r="CS1160" t="str">
        <f>IF(OR(周转筐出入库明细!$C1161="",周转筐出入库明细!$F1161&lt;&gt;"采购入库"),"",周转筐出入库明细!$C1161)</f>
        <v/>
      </c>
      <c r="CT1160">
        <f t="shared" si="480"/>
        <v>0</v>
      </c>
      <c r="CU1160">
        <f t="shared" si="481"/>
        <v>1</v>
      </c>
    </row>
    <row r="1161" spans="1:99">
      <c r="A1161" t="str">
        <f>IF(包装物料出入库明细!$E1161="","",包装物料出入库明细!$E1161)</f>
        <v/>
      </c>
      <c r="B1161">
        <f t="shared" si="467"/>
        <v>0</v>
      </c>
      <c r="C1161">
        <f t="shared" si="468"/>
        <v>7</v>
      </c>
      <c r="D1161" t="str">
        <f>IF(包装物料出入库明细!$E1161="","",包装物料出入库明细!$F1161)</f>
        <v/>
      </c>
      <c r="E1161" t="str">
        <f>IF(包装物料出入库明细!$E1161="","",包装物料出入库明细!$G1161)</f>
        <v/>
      </c>
      <c r="K1161" t="str">
        <f>IF(包装物料出入库明细!$D1161="","",包装物料出入库明细!$D1161)</f>
        <v/>
      </c>
      <c r="L1161">
        <f t="shared" si="469"/>
        <v>0</v>
      </c>
      <c r="M1161">
        <f t="shared" si="470"/>
        <v>9</v>
      </c>
      <c r="Q1161" t="str">
        <f>IF(周转筐出入库明细!$D1162="","",周转筐出入库明细!$D1162)</f>
        <v/>
      </c>
      <c r="R1161">
        <f t="shared" si="471"/>
        <v>0</v>
      </c>
      <c r="S1161">
        <f t="shared" si="472"/>
        <v>5</v>
      </c>
      <c r="W1161" t="str">
        <f>IF(周转筐出入库明细!$C1162="","",周转筐出入库明细!$C1162)</f>
        <v/>
      </c>
      <c r="X1161">
        <f t="shared" si="473"/>
        <v>0</v>
      </c>
      <c r="Y1161">
        <f t="shared" si="474"/>
        <v>12</v>
      </c>
      <c r="AC1161" t="str">
        <f>IF(客户自备加工筐明细!$C1161="","",客户自备加工筐明细!$C1161)</f>
        <v/>
      </c>
      <c r="AD1161">
        <f t="shared" si="475"/>
        <v>0</v>
      </c>
      <c r="AE1161">
        <f t="shared" si="476"/>
        <v>1</v>
      </c>
      <c r="AI1161" t="str">
        <f>IF(客户自备加工筐明细!$E1161="","",客户自备加工筐明细!$E1161)</f>
        <v/>
      </c>
      <c r="AJ1161">
        <f t="shared" si="477"/>
        <v>0</v>
      </c>
      <c r="AK1161">
        <f t="shared" si="478"/>
        <v>1</v>
      </c>
      <c r="CP1161">
        <f>IF(包装物料出入库明细!$D1161="",0,1)</f>
        <v>0</v>
      </c>
      <c r="CQ1161">
        <f t="shared" si="479"/>
        <v>37</v>
      </c>
      <c r="CS1161" t="str">
        <f>IF(OR(周转筐出入库明细!$C1162="",周转筐出入库明细!$F1162&lt;&gt;"采购入库"),"",周转筐出入库明细!$C1162)</f>
        <v/>
      </c>
      <c r="CT1161">
        <f t="shared" si="480"/>
        <v>0</v>
      </c>
      <c r="CU1161">
        <f t="shared" si="481"/>
        <v>1</v>
      </c>
    </row>
    <row r="1162" spans="1:99">
      <c r="A1162" t="str">
        <f>IF(包装物料出入库明细!$E1162="","",包装物料出入库明细!$E1162)</f>
        <v/>
      </c>
      <c r="B1162">
        <f t="shared" si="467"/>
        <v>0</v>
      </c>
      <c r="C1162">
        <f t="shared" si="468"/>
        <v>7</v>
      </c>
      <c r="D1162" t="str">
        <f>IF(包装物料出入库明细!$E1162="","",包装物料出入库明细!$F1162)</f>
        <v/>
      </c>
      <c r="E1162" t="str">
        <f>IF(包装物料出入库明细!$E1162="","",包装物料出入库明细!$G1162)</f>
        <v/>
      </c>
      <c r="K1162" t="str">
        <f>IF(包装物料出入库明细!$D1162="","",包装物料出入库明细!$D1162)</f>
        <v/>
      </c>
      <c r="L1162">
        <f t="shared" si="469"/>
        <v>0</v>
      </c>
      <c r="M1162">
        <f t="shared" si="470"/>
        <v>9</v>
      </c>
      <c r="Q1162" t="str">
        <f>IF(周转筐出入库明细!$D1163="","",周转筐出入库明细!$D1163)</f>
        <v/>
      </c>
      <c r="R1162">
        <f t="shared" si="471"/>
        <v>0</v>
      </c>
      <c r="S1162">
        <f t="shared" si="472"/>
        <v>5</v>
      </c>
      <c r="W1162" t="str">
        <f>IF(周转筐出入库明细!$C1163="","",周转筐出入库明细!$C1163)</f>
        <v/>
      </c>
      <c r="X1162">
        <f t="shared" si="473"/>
        <v>0</v>
      </c>
      <c r="Y1162">
        <f t="shared" si="474"/>
        <v>12</v>
      </c>
      <c r="AC1162" t="str">
        <f>IF(客户自备加工筐明细!$C1162="","",客户自备加工筐明细!$C1162)</f>
        <v/>
      </c>
      <c r="AD1162">
        <f t="shared" si="475"/>
        <v>0</v>
      </c>
      <c r="AE1162">
        <f t="shared" si="476"/>
        <v>1</v>
      </c>
      <c r="AI1162" t="str">
        <f>IF(客户自备加工筐明细!$E1162="","",客户自备加工筐明细!$E1162)</f>
        <v/>
      </c>
      <c r="AJ1162">
        <f t="shared" si="477"/>
        <v>0</v>
      </c>
      <c r="AK1162">
        <f t="shared" si="478"/>
        <v>1</v>
      </c>
      <c r="CP1162">
        <f>IF(包装物料出入库明细!$D1162="",0,1)</f>
        <v>0</v>
      </c>
      <c r="CQ1162">
        <f t="shared" si="479"/>
        <v>37</v>
      </c>
      <c r="CS1162" t="str">
        <f>IF(OR(周转筐出入库明细!$C1163="",周转筐出入库明细!$F1163&lt;&gt;"采购入库"),"",周转筐出入库明细!$C1163)</f>
        <v/>
      </c>
      <c r="CT1162">
        <f t="shared" si="480"/>
        <v>0</v>
      </c>
      <c r="CU1162">
        <f t="shared" si="481"/>
        <v>1</v>
      </c>
    </row>
    <row r="1163" spans="1:99">
      <c r="A1163" t="str">
        <f>IF(包装物料出入库明细!$E1163="","",包装物料出入库明细!$E1163)</f>
        <v/>
      </c>
      <c r="B1163">
        <f t="shared" si="467"/>
        <v>0</v>
      </c>
      <c r="C1163">
        <f t="shared" si="468"/>
        <v>7</v>
      </c>
      <c r="D1163" t="str">
        <f>IF(包装物料出入库明细!$E1163="","",包装物料出入库明细!$F1163)</f>
        <v/>
      </c>
      <c r="E1163" t="str">
        <f>IF(包装物料出入库明细!$E1163="","",包装物料出入库明细!$G1163)</f>
        <v/>
      </c>
      <c r="K1163" t="str">
        <f>IF(包装物料出入库明细!$D1163="","",包装物料出入库明细!$D1163)</f>
        <v/>
      </c>
      <c r="L1163">
        <f t="shared" si="469"/>
        <v>0</v>
      </c>
      <c r="M1163">
        <f t="shared" si="470"/>
        <v>9</v>
      </c>
      <c r="Q1163" t="str">
        <f>IF(周转筐出入库明细!$D1164="","",周转筐出入库明细!$D1164)</f>
        <v/>
      </c>
      <c r="R1163">
        <f t="shared" si="471"/>
        <v>0</v>
      </c>
      <c r="S1163">
        <f t="shared" si="472"/>
        <v>5</v>
      </c>
      <c r="W1163" t="str">
        <f>IF(周转筐出入库明细!$C1164="","",周转筐出入库明细!$C1164)</f>
        <v/>
      </c>
      <c r="X1163">
        <f t="shared" si="473"/>
        <v>0</v>
      </c>
      <c r="Y1163">
        <f t="shared" si="474"/>
        <v>12</v>
      </c>
      <c r="AC1163" t="str">
        <f>IF(客户自备加工筐明细!$C1163="","",客户自备加工筐明细!$C1163)</f>
        <v/>
      </c>
      <c r="AD1163">
        <f t="shared" si="475"/>
        <v>0</v>
      </c>
      <c r="AE1163">
        <f t="shared" si="476"/>
        <v>1</v>
      </c>
      <c r="AI1163" t="str">
        <f>IF(客户自备加工筐明细!$E1163="","",客户自备加工筐明细!$E1163)</f>
        <v/>
      </c>
      <c r="AJ1163">
        <f t="shared" si="477"/>
        <v>0</v>
      </c>
      <c r="AK1163">
        <f t="shared" si="478"/>
        <v>1</v>
      </c>
      <c r="CP1163">
        <f>IF(包装物料出入库明细!$D1163="",0,1)</f>
        <v>0</v>
      </c>
      <c r="CQ1163">
        <f t="shared" si="479"/>
        <v>37</v>
      </c>
      <c r="CS1163" t="str">
        <f>IF(OR(周转筐出入库明细!$C1164="",周转筐出入库明细!$F1164&lt;&gt;"采购入库"),"",周转筐出入库明细!$C1164)</f>
        <v/>
      </c>
      <c r="CT1163">
        <f t="shared" si="480"/>
        <v>0</v>
      </c>
      <c r="CU1163">
        <f t="shared" si="481"/>
        <v>1</v>
      </c>
    </row>
    <row r="1164" spans="1:99">
      <c r="A1164" t="str">
        <f>IF(包装物料出入库明细!$E1164="","",包装物料出入库明细!$E1164)</f>
        <v/>
      </c>
      <c r="B1164">
        <f t="shared" si="467"/>
        <v>0</v>
      </c>
      <c r="C1164">
        <f t="shared" si="468"/>
        <v>7</v>
      </c>
      <c r="D1164" t="str">
        <f>IF(包装物料出入库明细!$E1164="","",包装物料出入库明细!$F1164)</f>
        <v/>
      </c>
      <c r="E1164" t="str">
        <f>IF(包装物料出入库明细!$E1164="","",包装物料出入库明细!$G1164)</f>
        <v/>
      </c>
      <c r="K1164" t="str">
        <f>IF(包装物料出入库明细!$D1164="","",包装物料出入库明细!$D1164)</f>
        <v/>
      </c>
      <c r="L1164">
        <f t="shared" si="469"/>
        <v>0</v>
      </c>
      <c r="M1164">
        <f t="shared" si="470"/>
        <v>9</v>
      </c>
      <c r="Q1164" t="str">
        <f>IF(周转筐出入库明细!$D1165="","",周转筐出入库明细!$D1165)</f>
        <v/>
      </c>
      <c r="R1164">
        <f t="shared" si="471"/>
        <v>0</v>
      </c>
      <c r="S1164">
        <f t="shared" si="472"/>
        <v>5</v>
      </c>
      <c r="W1164" t="str">
        <f>IF(周转筐出入库明细!$C1165="","",周转筐出入库明细!$C1165)</f>
        <v/>
      </c>
      <c r="X1164">
        <f t="shared" si="473"/>
        <v>0</v>
      </c>
      <c r="Y1164">
        <f t="shared" si="474"/>
        <v>12</v>
      </c>
      <c r="AC1164" t="str">
        <f>IF(客户自备加工筐明细!$C1164="","",客户自备加工筐明细!$C1164)</f>
        <v/>
      </c>
      <c r="AD1164">
        <f t="shared" si="475"/>
        <v>0</v>
      </c>
      <c r="AE1164">
        <f t="shared" si="476"/>
        <v>1</v>
      </c>
      <c r="AI1164" t="str">
        <f>IF(客户自备加工筐明细!$E1164="","",客户自备加工筐明细!$E1164)</f>
        <v/>
      </c>
      <c r="AJ1164">
        <f t="shared" si="477"/>
        <v>0</v>
      </c>
      <c r="AK1164">
        <f t="shared" si="478"/>
        <v>1</v>
      </c>
      <c r="CP1164">
        <f>IF(包装物料出入库明细!$D1164="",0,1)</f>
        <v>0</v>
      </c>
      <c r="CQ1164">
        <f t="shared" si="479"/>
        <v>37</v>
      </c>
      <c r="CS1164" t="str">
        <f>IF(OR(周转筐出入库明细!$C1165="",周转筐出入库明细!$F1165&lt;&gt;"采购入库"),"",周转筐出入库明细!$C1165)</f>
        <v/>
      </c>
      <c r="CT1164">
        <f t="shared" si="480"/>
        <v>0</v>
      </c>
      <c r="CU1164">
        <f t="shared" si="481"/>
        <v>1</v>
      </c>
    </row>
    <row r="1165" spans="1:99">
      <c r="A1165" t="str">
        <f>IF(包装物料出入库明细!$E1165="","",包装物料出入库明细!$E1165)</f>
        <v/>
      </c>
      <c r="B1165">
        <f t="shared" si="467"/>
        <v>0</v>
      </c>
      <c r="C1165">
        <f t="shared" si="468"/>
        <v>7</v>
      </c>
      <c r="D1165" t="str">
        <f>IF(包装物料出入库明细!$E1165="","",包装物料出入库明细!$F1165)</f>
        <v/>
      </c>
      <c r="E1165" t="str">
        <f>IF(包装物料出入库明细!$E1165="","",包装物料出入库明细!$G1165)</f>
        <v/>
      </c>
      <c r="K1165" t="str">
        <f>IF(包装物料出入库明细!$D1165="","",包装物料出入库明细!$D1165)</f>
        <v/>
      </c>
      <c r="L1165">
        <f t="shared" si="469"/>
        <v>0</v>
      </c>
      <c r="M1165">
        <f t="shared" si="470"/>
        <v>9</v>
      </c>
      <c r="Q1165" t="str">
        <f>IF(周转筐出入库明细!$D1166="","",周转筐出入库明细!$D1166)</f>
        <v/>
      </c>
      <c r="R1165">
        <f t="shared" si="471"/>
        <v>0</v>
      </c>
      <c r="S1165">
        <f t="shared" si="472"/>
        <v>5</v>
      </c>
      <c r="W1165" t="str">
        <f>IF(周转筐出入库明细!$C1166="","",周转筐出入库明细!$C1166)</f>
        <v/>
      </c>
      <c r="X1165">
        <f t="shared" si="473"/>
        <v>0</v>
      </c>
      <c r="Y1165">
        <f t="shared" si="474"/>
        <v>12</v>
      </c>
      <c r="AC1165" t="str">
        <f>IF(客户自备加工筐明细!$C1165="","",客户自备加工筐明细!$C1165)</f>
        <v/>
      </c>
      <c r="AD1165">
        <f t="shared" si="475"/>
        <v>0</v>
      </c>
      <c r="AE1165">
        <f t="shared" si="476"/>
        <v>1</v>
      </c>
      <c r="AI1165" t="str">
        <f>IF(客户自备加工筐明细!$E1165="","",客户自备加工筐明细!$E1165)</f>
        <v/>
      </c>
      <c r="AJ1165">
        <f t="shared" si="477"/>
        <v>0</v>
      </c>
      <c r="AK1165">
        <f t="shared" si="478"/>
        <v>1</v>
      </c>
      <c r="CP1165">
        <f>IF(包装物料出入库明细!$D1165="",0,1)</f>
        <v>0</v>
      </c>
      <c r="CQ1165">
        <f t="shared" si="479"/>
        <v>37</v>
      </c>
      <c r="CS1165" t="str">
        <f>IF(OR(周转筐出入库明细!$C1166="",周转筐出入库明细!$F1166&lt;&gt;"采购入库"),"",周转筐出入库明细!$C1166)</f>
        <v/>
      </c>
      <c r="CT1165">
        <f t="shared" si="480"/>
        <v>0</v>
      </c>
      <c r="CU1165">
        <f t="shared" si="481"/>
        <v>1</v>
      </c>
    </row>
    <row r="1166" spans="1:99">
      <c r="A1166" t="str">
        <f>IF(包装物料出入库明细!$E1166="","",包装物料出入库明细!$E1166)</f>
        <v/>
      </c>
      <c r="B1166">
        <f t="shared" si="467"/>
        <v>0</v>
      </c>
      <c r="C1166">
        <f t="shared" si="468"/>
        <v>7</v>
      </c>
      <c r="D1166" t="str">
        <f>IF(包装物料出入库明细!$E1166="","",包装物料出入库明细!$F1166)</f>
        <v/>
      </c>
      <c r="E1166" t="str">
        <f>IF(包装物料出入库明细!$E1166="","",包装物料出入库明细!$G1166)</f>
        <v/>
      </c>
      <c r="K1166" t="str">
        <f>IF(包装物料出入库明细!$D1166="","",包装物料出入库明细!$D1166)</f>
        <v/>
      </c>
      <c r="L1166">
        <f t="shared" si="469"/>
        <v>0</v>
      </c>
      <c r="M1166">
        <f t="shared" si="470"/>
        <v>9</v>
      </c>
      <c r="Q1166" t="str">
        <f>IF(周转筐出入库明细!$D1167="","",周转筐出入库明细!$D1167)</f>
        <v/>
      </c>
      <c r="R1166">
        <f t="shared" si="471"/>
        <v>0</v>
      </c>
      <c r="S1166">
        <f t="shared" si="472"/>
        <v>5</v>
      </c>
      <c r="W1166" t="str">
        <f>IF(周转筐出入库明细!$C1167="","",周转筐出入库明细!$C1167)</f>
        <v/>
      </c>
      <c r="X1166">
        <f t="shared" si="473"/>
        <v>0</v>
      </c>
      <c r="Y1166">
        <f t="shared" si="474"/>
        <v>12</v>
      </c>
      <c r="AC1166" t="str">
        <f>IF(客户自备加工筐明细!$C1166="","",客户自备加工筐明细!$C1166)</f>
        <v/>
      </c>
      <c r="AD1166">
        <f t="shared" si="475"/>
        <v>0</v>
      </c>
      <c r="AE1166">
        <f t="shared" si="476"/>
        <v>1</v>
      </c>
      <c r="AI1166" t="str">
        <f>IF(客户自备加工筐明细!$E1166="","",客户自备加工筐明细!$E1166)</f>
        <v/>
      </c>
      <c r="AJ1166">
        <f t="shared" si="477"/>
        <v>0</v>
      </c>
      <c r="AK1166">
        <f t="shared" si="478"/>
        <v>1</v>
      </c>
      <c r="CP1166">
        <f>IF(包装物料出入库明细!$D1166="",0,1)</f>
        <v>0</v>
      </c>
      <c r="CQ1166">
        <f t="shared" si="479"/>
        <v>37</v>
      </c>
      <c r="CS1166" t="str">
        <f>IF(OR(周转筐出入库明细!$C1167="",周转筐出入库明细!$F1167&lt;&gt;"采购入库"),"",周转筐出入库明细!$C1167)</f>
        <v/>
      </c>
      <c r="CT1166">
        <f t="shared" si="480"/>
        <v>0</v>
      </c>
      <c r="CU1166">
        <f t="shared" si="481"/>
        <v>1</v>
      </c>
    </row>
    <row r="1167" spans="1:99">
      <c r="A1167" t="str">
        <f>IF(包装物料出入库明细!$E1167="","",包装物料出入库明细!$E1167)</f>
        <v/>
      </c>
      <c r="B1167">
        <f t="shared" si="467"/>
        <v>0</v>
      </c>
      <c r="C1167">
        <f t="shared" si="468"/>
        <v>7</v>
      </c>
      <c r="D1167" t="str">
        <f>IF(包装物料出入库明细!$E1167="","",包装物料出入库明细!$F1167)</f>
        <v/>
      </c>
      <c r="E1167" t="str">
        <f>IF(包装物料出入库明细!$E1167="","",包装物料出入库明细!$G1167)</f>
        <v/>
      </c>
      <c r="K1167" t="str">
        <f>IF(包装物料出入库明细!$D1167="","",包装物料出入库明细!$D1167)</f>
        <v/>
      </c>
      <c r="L1167">
        <f t="shared" si="469"/>
        <v>0</v>
      </c>
      <c r="M1167">
        <f t="shared" si="470"/>
        <v>9</v>
      </c>
      <c r="Q1167" t="str">
        <f>IF(周转筐出入库明细!$D1168="","",周转筐出入库明细!$D1168)</f>
        <v/>
      </c>
      <c r="R1167">
        <f t="shared" si="471"/>
        <v>0</v>
      </c>
      <c r="S1167">
        <f t="shared" si="472"/>
        <v>5</v>
      </c>
      <c r="W1167" t="str">
        <f>IF(周转筐出入库明细!$C1168="","",周转筐出入库明细!$C1168)</f>
        <v/>
      </c>
      <c r="X1167">
        <f t="shared" si="473"/>
        <v>0</v>
      </c>
      <c r="Y1167">
        <f t="shared" si="474"/>
        <v>12</v>
      </c>
      <c r="AC1167" t="str">
        <f>IF(客户自备加工筐明细!$C1167="","",客户自备加工筐明细!$C1167)</f>
        <v/>
      </c>
      <c r="AD1167">
        <f t="shared" si="475"/>
        <v>0</v>
      </c>
      <c r="AE1167">
        <f t="shared" si="476"/>
        <v>1</v>
      </c>
      <c r="AI1167" t="str">
        <f>IF(客户自备加工筐明细!$E1167="","",客户自备加工筐明细!$E1167)</f>
        <v/>
      </c>
      <c r="AJ1167">
        <f t="shared" si="477"/>
        <v>0</v>
      </c>
      <c r="AK1167">
        <f t="shared" si="478"/>
        <v>1</v>
      </c>
      <c r="CP1167">
        <f>IF(包装物料出入库明细!$D1167="",0,1)</f>
        <v>0</v>
      </c>
      <c r="CQ1167">
        <f t="shared" si="479"/>
        <v>37</v>
      </c>
      <c r="CS1167" t="str">
        <f>IF(OR(周转筐出入库明细!$C1168="",周转筐出入库明细!$F1168&lt;&gt;"采购入库"),"",周转筐出入库明细!$C1168)</f>
        <v/>
      </c>
      <c r="CT1167">
        <f t="shared" si="480"/>
        <v>0</v>
      </c>
      <c r="CU1167">
        <f t="shared" si="481"/>
        <v>1</v>
      </c>
    </row>
    <row r="1168" spans="1:99">
      <c r="A1168" t="str">
        <f>IF(包装物料出入库明细!$E1168="","",包装物料出入库明细!$E1168)</f>
        <v/>
      </c>
      <c r="B1168">
        <f t="shared" si="467"/>
        <v>0</v>
      </c>
      <c r="C1168">
        <f t="shared" si="468"/>
        <v>7</v>
      </c>
      <c r="D1168" t="str">
        <f>IF(包装物料出入库明细!$E1168="","",包装物料出入库明细!$F1168)</f>
        <v/>
      </c>
      <c r="E1168" t="str">
        <f>IF(包装物料出入库明细!$E1168="","",包装物料出入库明细!$G1168)</f>
        <v/>
      </c>
      <c r="K1168" t="str">
        <f>IF(包装物料出入库明细!$D1168="","",包装物料出入库明细!$D1168)</f>
        <v/>
      </c>
      <c r="L1168">
        <f t="shared" si="469"/>
        <v>0</v>
      </c>
      <c r="M1168">
        <f t="shared" si="470"/>
        <v>9</v>
      </c>
      <c r="Q1168" t="str">
        <f>IF(周转筐出入库明细!$D1169="","",周转筐出入库明细!$D1169)</f>
        <v/>
      </c>
      <c r="R1168">
        <f t="shared" si="471"/>
        <v>0</v>
      </c>
      <c r="S1168">
        <f t="shared" si="472"/>
        <v>5</v>
      </c>
      <c r="W1168" t="str">
        <f>IF(周转筐出入库明细!$C1169="","",周转筐出入库明细!$C1169)</f>
        <v/>
      </c>
      <c r="X1168">
        <f t="shared" si="473"/>
        <v>0</v>
      </c>
      <c r="Y1168">
        <f t="shared" si="474"/>
        <v>12</v>
      </c>
      <c r="AC1168" t="str">
        <f>IF(客户自备加工筐明细!$C1168="","",客户自备加工筐明细!$C1168)</f>
        <v/>
      </c>
      <c r="AD1168">
        <f t="shared" si="475"/>
        <v>0</v>
      </c>
      <c r="AE1168">
        <f t="shared" si="476"/>
        <v>1</v>
      </c>
      <c r="AI1168" t="str">
        <f>IF(客户自备加工筐明细!$E1168="","",客户自备加工筐明细!$E1168)</f>
        <v/>
      </c>
      <c r="AJ1168">
        <f t="shared" si="477"/>
        <v>0</v>
      </c>
      <c r="AK1168">
        <f t="shared" si="478"/>
        <v>1</v>
      </c>
      <c r="CP1168">
        <f>IF(包装物料出入库明细!$D1168="",0,1)</f>
        <v>0</v>
      </c>
      <c r="CQ1168">
        <f t="shared" si="479"/>
        <v>37</v>
      </c>
      <c r="CS1168" t="str">
        <f>IF(OR(周转筐出入库明细!$C1169="",周转筐出入库明细!$F1169&lt;&gt;"采购入库"),"",周转筐出入库明细!$C1169)</f>
        <v/>
      </c>
      <c r="CT1168">
        <f t="shared" si="480"/>
        <v>0</v>
      </c>
      <c r="CU1168">
        <f t="shared" si="481"/>
        <v>1</v>
      </c>
    </row>
    <row r="1169" spans="1:99">
      <c r="A1169" t="str">
        <f>IF(包装物料出入库明细!$E1169="","",包装物料出入库明细!$E1169)</f>
        <v/>
      </c>
      <c r="B1169">
        <f t="shared" si="467"/>
        <v>0</v>
      </c>
      <c r="C1169">
        <f t="shared" si="468"/>
        <v>7</v>
      </c>
      <c r="D1169" t="str">
        <f>IF(包装物料出入库明细!$E1169="","",包装物料出入库明细!$F1169)</f>
        <v/>
      </c>
      <c r="E1169" t="str">
        <f>IF(包装物料出入库明细!$E1169="","",包装物料出入库明细!$G1169)</f>
        <v/>
      </c>
      <c r="K1169" t="str">
        <f>IF(包装物料出入库明细!$D1169="","",包装物料出入库明细!$D1169)</f>
        <v/>
      </c>
      <c r="L1169">
        <f t="shared" si="469"/>
        <v>0</v>
      </c>
      <c r="M1169">
        <f t="shared" si="470"/>
        <v>9</v>
      </c>
      <c r="Q1169" t="str">
        <f>IF(周转筐出入库明细!$D1170="","",周转筐出入库明细!$D1170)</f>
        <v/>
      </c>
      <c r="R1169">
        <f t="shared" si="471"/>
        <v>0</v>
      </c>
      <c r="S1169">
        <f t="shared" si="472"/>
        <v>5</v>
      </c>
      <c r="W1169" t="str">
        <f>IF(周转筐出入库明细!$C1170="","",周转筐出入库明细!$C1170)</f>
        <v/>
      </c>
      <c r="X1169">
        <f t="shared" si="473"/>
        <v>0</v>
      </c>
      <c r="Y1169">
        <f t="shared" si="474"/>
        <v>12</v>
      </c>
      <c r="AC1169" t="str">
        <f>IF(客户自备加工筐明细!$C1169="","",客户自备加工筐明细!$C1169)</f>
        <v/>
      </c>
      <c r="AD1169">
        <f t="shared" si="475"/>
        <v>0</v>
      </c>
      <c r="AE1169">
        <f t="shared" si="476"/>
        <v>1</v>
      </c>
      <c r="AI1169" t="str">
        <f>IF(客户自备加工筐明细!$E1169="","",客户自备加工筐明细!$E1169)</f>
        <v/>
      </c>
      <c r="AJ1169">
        <f t="shared" si="477"/>
        <v>0</v>
      </c>
      <c r="AK1169">
        <f t="shared" si="478"/>
        <v>1</v>
      </c>
      <c r="CP1169">
        <f>IF(包装物料出入库明细!$D1169="",0,1)</f>
        <v>0</v>
      </c>
      <c r="CQ1169">
        <f t="shared" si="479"/>
        <v>37</v>
      </c>
      <c r="CS1169" t="str">
        <f>IF(OR(周转筐出入库明细!$C1170="",周转筐出入库明细!$F1170&lt;&gt;"采购入库"),"",周转筐出入库明细!$C1170)</f>
        <v/>
      </c>
      <c r="CT1169">
        <f t="shared" si="480"/>
        <v>0</v>
      </c>
      <c r="CU1169">
        <f t="shared" si="481"/>
        <v>1</v>
      </c>
    </row>
    <row r="1170" spans="1:99">
      <c r="A1170" t="str">
        <f>IF(包装物料出入库明细!$E1170="","",包装物料出入库明细!$E1170)</f>
        <v/>
      </c>
      <c r="B1170">
        <f t="shared" si="467"/>
        <v>0</v>
      </c>
      <c r="C1170">
        <f t="shared" si="468"/>
        <v>7</v>
      </c>
      <c r="D1170" t="str">
        <f>IF(包装物料出入库明细!$E1170="","",包装物料出入库明细!$F1170)</f>
        <v/>
      </c>
      <c r="E1170" t="str">
        <f>IF(包装物料出入库明细!$E1170="","",包装物料出入库明细!$G1170)</f>
        <v/>
      </c>
      <c r="K1170" t="str">
        <f>IF(包装物料出入库明细!$D1170="","",包装物料出入库明细!$D1170)</f>
        <v/>
      </c>
      <c r="L1170">
        <f t="shared" si="469"/>
        <v>0</v>
      </c>
      <c r="M1170">
        <f t="shared" si="470"/>
        <v>9</v>
      </c>
      <c r="Q1170" t="str">
        <f>IF(周转筐出入库明细!$D1171="","",周转筐出入库明细!$D1171)</f>
        <v/>
      </c>
      <c r="R1170">
        <f t="shared" si="471"/>
        <v>0</v>
      </c>
      <c r="S1170">
        <f t="shared" si="472"/>
        <v>5</v>
      </c>
      <c r="W1170" t="str">
        <f>IF(周转筐出入库明细!$C1171="","",周转筐出入库明细!$C1171)</f>
        <v/>
      </c>
      <c r="X1170">
        <f t="shared" si="473"/>
        <v>0</v>
      </c>
      <c r="Y1170">
        <f t="shared" si="474"/>
        <v>12</v>
      </c>
      <c r="AC1170" t="str">
        <f>IF(客户自备加工筐明细!$C1170="","",客户自备加工筐明细!$C1170)</f>
        <v/>
      </c>
      <c r="AD1170">
        <f t="shared" si="475"/>
        <v>0</v>
      </c>
      <c r="AE1170">
        <f t="shared" si="476"/>
        <v>1</v>
      </c>
      <c r="AI1170" t="str">
        <f>IF(客户自备加工筐明细!$E1170="","",客户自备加工筐明细!$E1170)</f>
        <v/>
      </c>
      <c r="AJ1170">
        <f t="shared" si="477"/>
        <v>0</v>
      </c>
      <c r="AK1170">
        <f t="shared" si="478"/>
        <v>1</v>
      </c>
      <c r="CP1170">
        <f>IF(包装物料出入库明细!$D1170="",0,1)</f>
        <v>0</v>
      </c>
      <c r="CQ1170">
        <f t="shared" si="479"/>
        <v>37</v>
      </c>
      <c r="CS1170" t="str">
        <f>IF(OR(周转筐出入库明细!$C1171="",周转筐出入库明细!$F1171&lt;&gt;"采购入库"),"",周转筐出入库明细!$C1171)</f>
        <v/>
      </c>
      <c r="CT1170">
        <f t="shared" si="480"/>
        <v>0</v>
      </c>
      <c r="CU1170">
        <f t="shared" si="481"/>
        <v>1</v>
      </c>
    </row>
    <row r="1171" spans="1:99">
      <c r="A1171" t="str">
        <f>IF(包装物料出入库明细!$E1171="","",包装物料出入库明细!$E1171)</f>
        <v/>
      </c>
      <c r="B1171">
        <f t="shared" si="467"/>
        <v>0</v>
      </c>
      <c r="C1171">
        <f t="shared" si="468"/>
        <v>7</v>
      </c>
      <c r="D1171" t="str">
        <f>IF(包装物料出入库明细!$E1171="","",包装物料出入库明细!$F1171)</f>
        <v/>
      </c>
      <c r="E1171" t="str">
        <f>IF(包装物料出入库明细!$E1171="","",包装物料出入库明细!$G1171)</f>
        <v/>
      </c>
      <c r="K1171" t="str">
        <f>IF(包装物料出入库明细!$D1171="","",包装物料出入库明细!$D1171)</f>
        <v/>
      </c>
      <c r="L1171">
        <f t="shared" si="469"/>
        <v>0</v>
      </c>
      <c r="M1171">
        <f t="shared" si="470"/>
        <v>9</v>
      </c>
      <c r="Q1171" t="str">
        <f>IF(周转筐出入库明细!$D1172="","",周转筐出入库明细!$D1172)</f>
        <v/>
      </c>
      <c r="R1171">
        <f t="shared" si="471"/>
        <v>0</v>
      </c>
      <c r="S1171">
        <f t="shared" si="472"/>
        <v>5</v>
      </c>
      <c r="W1171" t="str">
        <f>IF(周转筐出入库明细!$C1172="","",周转筐出入库明细!$C1172)</f>
        <v/>
      </c>
      <c r="X1171">
        <f t="shared" si="473"/>
        <v>0</v>
      </c>
      <c r="Y1171">
        <f t="shared" si="474"/>
        <v>12</v>
      </c>
      <c r="AC1171" t="str">
        <f>IF(客户自备加工筐明细!$C1171="","",客户自备加工筐明细!$C1171)</f>
        <v/>
      </c>
      <c r="AD1171">
        <f t="shared" si="475"/>
        <v>0</v>
      </c>
      <c r="AE1171">
        <f t="shared" si="476"/>
        <v>1</v>
      </c>
      <c r="AI1171" t="str">
        <f>IF(客户自备加工筐明细!$E1171="","",客户自备加工筐明细!$E1171)</f>
        <v/>
      </c>
      <c r="AJ1171">
        <f t="shared" si="477"/>
        <v>0</v>
      </c>
      <c r="AK1171">
        <f t="shared" si="478"/>
        <v>1</v>
      </c>
      <c r="CP1171">
        <f>IF(包装物料出入库明细!$D1171="",0,1)</f>
        <v>0</v>
      </c>
      <c r="CQ1171">
        <f t="shared" si="479"/>
        <v>37</v>
      </c>
      <c r="CS1171" t="str">
        <f>IF(OR(周转筐出入库明细!$C1172="",周转筐出入库明细!$F1172&lt;&gt;"采购入库"),"",周转筐出入库明细!$C1172)</f>
        <v/>
      </c>
      <c r="CT1171">
        <f t="shared" si="480"/>
        <v>0</v>
      </c>
      <c r="CU1171">
        <f t="shared" si="481"/>
        <v>1</v>
      </c>
    </row>
    <row r="1172" spans="1:99">
      <c r="A1172" t="str">
        <f>IF(包装物料出入库明细!$E1172="","",包装物料出入库明细!$E1172)</f>
        <v/>
      </c>
      <c r="B1172">
        <f t="shared" si="467"/>
        <v>0</v>
      </c>
      <c r="C1172">
        <f t="shared" si="468"/>
        <v>7</v>
      </c>
      <c r="D1172" t="str">
        <f>IF(包装物料出入库明细!$E1172="","",包装物料出入库明细!$F1172)</f>
        <v/>
      </c>
      <c r="E1172" t="str">
        <f>IF(包装物料出入库明细!$E1172="","",包装物料出入库明细!$G1172)</f>
        <v/>
      </c>
      <c r="K1172" t="str">
        <f>IF(包装物料出入库明细!$D1172="","",包装物料出入库明细!$D1172)</f>
        <v/>
      </c>
      <c r="L1172">
        <f t="shared" si="469"/>
        <v>0</v>
      </c>
      <c r="M1172">
        <f t="shared" si="470"/>
        <v>9</v>
      </c>
      <c r="Q1172" t="str">
        <f>IF(周转筐出入库明细!$D1173="","",周转筐出入库明细!$D1173)</f>
        <v/>
      </c>
      <c r="R1172">
        <f t="shared" si="471"/>
        <v>0</v>
      </c>
      <c r="S1172">
        <f t="shared" si="472"/>
        <v>5</v>
      </c>
      <c r="W1172" t="str">
        <f>IF(周转筐出入库明细!$C1173="","",周转筐出入库明细!$C1173)</f>
        <v/>
      </c>
      <c r="X1172">
        <f t="shared" si="473"/>
        <v>0</v>
      </c>
      <c r="Y1172">
        <f t="shared" si="474"/>
        <v>12</v>
      </c>
      <c r="AC1172" t="str">
        <f>IF(客户自备加工筐明细!$C1172="","",客户自备加工筐明细!$C1172)</f>
        <v/>
      </c>
      <c r="AD1172">
        <f t="shared" si="475"/>
        <v>0</v>
      </c>
      <c r="AE1172">
        <f t="shared" si="476"/>
        <v>1</v>
      </c>
      <c r="AI1172" t="str">
        <f>IF(客户自备加工筐明细!$E1172="","",客户自备加工筐明细!$E1172)</f>
        <v/>
      </c>
      <c r="AJ1172">
        <f t="shared" si="477"/>
        <v>0</v>
      </c>
      <c r="AK1172">
        <f t="shared" si="478"/>
        <v>1</v>
      </c>
      <c r="CP1172">
        <f>IF(包装物料出入库明细!$D1172="",0,1)</f>
        <v>0</v>
      </c>
      <c r="CQ1172">
        <f t="shared" si="479"/>
        <v>37</v>
      </c>
      <c r="CS1172" t="str">
        <f>IF(OR(周转筐出入库明细!$C1173="",周转筐出入库明细!$F1173&lt;&gt;"采购入库"),"",周转筐出入库明细!$C1173)</f>
        <v/>
      </c>
      <c r="CT1172">
        <f t="shared" si="480"/>
        <v>0</v>
      </c>
      <c r="CU1172">
        <f t="shared" si="481"/>
        <v>1</v>
      </c>
    </row>
    <row r="1173" spans="1:99">
      <c r="A1173" t="str">
        <f>IF(包装物料出入库明细!$E1173="","",包装物料出入库明细!$E1173)</f>
        <v/>
      </c>
      <c r="B1173">
        <f t="shared" si="467"/>
        <v>0</v>
      </c>
      <c r="C1173">
        <f t="shared" si="468"/>
        <v>7</v>
      </c>
      <c r="D1173" t="str">
        <f>IF(包装物料出入库明细!$E1173="","",包装物料出入库明细!$F1173)</f>
        <v/>
      </c>
      <c r="E1173" t="str">
        <f>IF(包装物料出入库明细!$E1173="","",包装物料出入库明细!$G1173)</f>
        <v/>
      </c>
      <c r="K1173" t="str">
        <f>IF(包装物料出入库明细!$D1173="","",包装物料出入库明细!$D1173)</f>
        <v/>
      </c>
      <c r="L1173">
        <f t="shared" si="469"/>
        <v>0</v>
      </c>
      <c r="M1173">
        <f t="shared" si="470"/>
        <v>9</v>
      </c>
      <c r="Q1173" t="str">
        <f>IF(周转筐出入库明细!$D1174="","",周转筐出入库明细!$D1174)</f>
        <v/>
      </c>
      <c r="R1173">
        <f t="shared" si="471"/>
        <v>0</v>
      </c>
      <c r="S1173">
        <f t="shared" si="472"/>
        <v>5</v>
      </c>
      <c r="W1173" t="str">
        <f>IF(周转筐出入库明细!$C1174="","",周转筐出入库明细!$C1174)</f>
        <v/>
      </c>
      <c r="X1173">
        <f t="shared" si="473"/>
        <v>0</v>
      </c>
      <c r="Y1173">
        <f t="shared" si="474"/>
        <v>12</v>
      </c>
      <c r="AC1173" t="str">
        <f>IF(客户自备加工筐明细!$C1173="","",客户自备加工筐明细!$C1173)</f>
        <v/>
      </c>
      <c r="AD1173">
        <f t="shared" si="475"/>
        <v>0</v>
      </c>
      <c r="AE1173">
        <f t="shared" si="476"/>
        <v>1</v>
      </c>
      <c r="AI1173" t="str">
        <f>IF(客户自备加工筐明细!$E1173="","",客户自备加工筐明细!$E1173)</f>
        <v/>
      </c>
      <c r="AJ1173">
        <f t="shared" si="477"/>
        <v>0</v>
      </c>
      <c r="AK1173">
        <f t="shared" si="478"/>
        <v>1</v>
      </c>
      <c r="CP1173">
        <f>IF(包装物料出入库明细!$D1173="",0,1)</f>
        <v>0</v>
      </c>
      <c r="CQ1173">
        <f t="shared" si="479"/>
        <v>37</v>
      </c>
      <c r="CS1173" t="str">
        <f>IF(OR(周转筐出入库明细!$C1174="",周转筐出入库明细!$F1174&lt;&gt;"采购入库"),"",周转筐出入库明细!$C1174)</f>
        <v/>
      </c>
      <c r="CT1173">
        <f t="shared" si="480"/>
        <v>0</v>
      </c>
      <c r="CU1173">
        <f t="shared" si="481"/>
        <v>1</v>
      </c>
    </row>
    <row r="1174" spans="1:99">
      <c r="A1174" t="str">
        <f>IF(包装物料出入库明细!$E1174="","",包装物料出入库明细!$E1174)</f>
        <v/>
      </c>
      <c r="B1174">
        <f t="shared" si="467"/>
        <v>0</v>
      </c>
      <c r="C1174">
        <f t="shared" si="468"/>
        <v>7</v>
      </c>
      <c r="D1174" t="str">
        <f>IF(包装物料出入库明细!$E1174="","",包装物料出入库明细!$F1174)</f>
        <v/>
      </c>
      <c r="E1174" t="str">
        <f>IF(包装物料出入库明细!$E1174="","",包装物料出入库明细!$G1174)</f>
        <v/>
      </c>
      <c r="K1174" t="str">
        <f>IF(包装物料出入库明细!$D1174="","",包装物料出入库明细!$D1174)</f>
        <v/>
      </c>
      <c r="L1174">
        <f t="shared" si="469"/>
        <v>0</v>
      </c>
      <c r="M1174">
        <f t="shared" si="470"/>
        <v>9</v>
      </c>
      <c r="Q1174" t="str">
        <f>IF(周转筐出入库明细!$D1175="","",周转筐出入库明细!$D1175)</f>
        <v/>
      </c>
      <c r="R1174">
        <f t="shared" si="471"/>
        <v>0</v>
      </c>
      <c r="S1174">
        <f t="shared" si="472"/>
        <v>5</v>
      </c>
      <c r="W1174" t="str">
        <f>IF(周转筐出入库明细!$C1175="","",周转筐出入库明细!$C1175)</f>
        <v/>
      </c>
      <c r="X1174">
        <f t="shared" si="473"/>
        <v>0</v>
      </c>
      <c r="Y1174">
        <f t="shared" si="474"/>
        <v>12</v>
      </c>
      <c r="AC1174" t="str">
        <f>IF(客户自备加工筐明细!$C1174="","",客户自备加工筐明细!$C1174)</f>
        <v/>
      </c>
      <c r="AD1174">
        <f t="shared" si="475"/>
        <v>0</v>
      </c>
      <c r="AE1174">
        <f t="shared" si="476"/>
        <v>1</v>
      </c>
      <c r="AI1174" t="str">
        <f>IF(客户自备加工筐明细!$E1174="","",客户自备加工筐明细!$E1174)</f>
        <v/>
      </c>
      <c r="AJ1174">
        <f t="shared" si="477"/>
        <v>0</v>
      </c>
      <c r="AK1174">
        <f t="shared" si="478"/>
        <v>1</v>
      </c>
      <c r="CP1174">
        <f>IF(包装物料出入库明细!$D1174="",0,1)</f>
        <v>0</v>
      </c>
      <c r="CQ1174">
        <f t="shared" si="479"/>
        <v>37</v>
      </c>
      <c r="CS1174" t="str">
        <f>IF(OR(周转筐出入库明细!$C1175="",周转筐出入库明细!$F1175&lt;&gt;"采购入库"),"",周转筐出入库明细!$C1175)</f>
        <v/>
      </c>
      <c r="CT1174">
        <f t="shared" si="480"/>
        <v>0</v>
      </c>
      <c r="CU1174">
        <f t="shared" si="481"/>
        <v>1</v>
      </c>
    </row>
    <row r="1175" spans="1:99">
      <c r="A1175" t="str">
        <f>IF(包装物料出入库明细!$E1175="","",包装物料出入库明细!$E1175)</f>
        <v/>
      </c>
      <c r="B1175">
        <f t="shared" si="467"/>
        <v>0</v>
      </c>
      <c r="C1175">
        <f t="shared" si="468"/>
        <v>7</v>
      </c>
      <c r="D1175" t="str">
        <f>IF(包装物料出入库明细!$E1175="","",包装物料出入库明细!$F1175)</f>
        <v/>
      </c>
      <c r="E1175" t="str">
        <f>IF(包装物料出入库明细!$E1175="","",包装物料出入库明细!$G1175)</f>
        <v/>
      </c>
      <c r="K1175" t="str">
        <f>IF(包装物料出入库明细!$D1175="","",包装物料出入库明细!$D1175)</f>
        <v/>
      </c>
      <c r="L1175">
        <f t="shared" si="469"/>
        <v>0</v>
      </c>
      <c r="M1175">
        <f t="shared" si="470"/>
        <v>9</v>
      </c>
      <c r="Q1175" t="str">
        <f>IF(周转筐出入库明细!$D1176="","",周转筐出入库明细!$D1176)</f>
        <v/>
      </c>
      <c r="R1175">
        <f t="shared" si="471"/>
        <v>0</v>
      </c>
      <c r="S1175">
        <f t="shared" si="472"/>
        <v>5</v>
      </c>
      <c r="W1175" t="str">
        <f>IF(周转筐出入库明细!$C1176="","",周转筐出入库明细!$C1176)</f>
        <v/>
      </c>
      <c r="X1175">
        <f t="shared" si="473"/>
        <v>0</v>
      </c>
      <c r="Y1175">
        <f t="shared" si="474"/>
        <v>12</v>
      </c>
      <c r="AC1175" t="str">
        <f>IF(客户自备加工筐明细!$C1175="","",客户自备加工筐明细!$C1175)</f>
        <v/>
      </c>
      <c r="AD1175">
        <f t="shared" si="475"/>
        <v>0</v>
      </c>
      <c r="AE1175">
        <f t="shared" si="476"/>
        <v>1</v>
      </c>
      <c r="AI1175" t="str">
        <f>IF(客户自备加工筐明细!$E1175="","",客户自备加工筐明细!$E1175)</f>
        <v/>
      </c>
      <c r="AJ1175">
        <f t="shared" si="477"/>
        <v>0</v>
      </c>
      <c r="AK1175">
        <f t="shared" si="478"/>
        <v>1</v>
      </c>
      <c r="CP1175">
        <f>IF(包装物料出入库明细!$D1175="",0,1)</f>
        <v>0</v>
      </c>
      <c r="CQ1175">
        <f t="shared" si="479"/>
        <v>37</v>
      </c>
      <c r="CS1175" t="str">
        <f>IF(OR(周转筐出入库明细!$C1176="",周转筐出入库明细!$F1176&lt;&gt;"采购入库"),"",周转筐出入库明细!$C1176)</f>
        <v/>
      </c>
      <c r="CT1175">
        <f t="shared" si="480"/>
        <v>0</v>
      </c>
      <c r="CU1175">
        <f t="shared" si="481"/>
        <v>1</v>
      </c>
    </row>
    <row r="1176" spans="1:99">
      <c r="A1176" t="str">
        <f>IF(包装物料出入库明细!$E1176="","",包装物料出入库明细!$E1176)</f>
        <v/>
      </c>
      <c r="B1176">
        <f t="shared" si="467"/>
        <v>0</v>
      </c>
      <c r="C1176">
        <f t="shared" si="468"/>
        <v>7</v>
      </c>
      <c r="D1176" t="str">
        <f>IF(包装物料出入库明细!$E1176="","",包装物料出入库明细!$F1176)</f>
        <v/>
      </c>
      <c r="E1176" t="str">
        <f>IF(包装物料出入库明细!$E1176="","",包装物料出入库明细!$G1176)</f>
        <v/>
      </c>
      <c r="K1176" t="str">
        <f>IF(包装物料出入库明细!$D1176="","",包装物料出入库明细!$D1176)</f>
        <v/>
      </c>
      <c r="L1176">
        <f t="shared" si="469"/>
        <v>0</v>
      </c>
      <c r="M1176">
        <f t="shared" si="470"/>
        <v>9</v>
      </c>
      <c r="Q1176" t="str">
        <f>IF(周转筐出入库明细!$D1177="","",周转筐出入库明细!$D1177)</f>
        <v/>
      </c>
      <c r="R1176">
        <f t="shared" si="471"/>
        <v>0</v>
      </c>
      <c r="S1176">
        <f t="shared" si="472"/>
        <v>5</v>
      </c>
      <c r="W1176" t="str">
        <f>IF(周转筐出入库明细!$C1177="","",周转筐出入库明细!$C1177)</f>
        <v/>
      </c>
      <c r="X1176">
        <f t="shared" si="473"/>
        <v>0</v>
      </c>
      <c r="Y1176">
        <f t="shared" si="474"/>
        <v>12</v>
      </c>
      <c r="AC1176" t="str">
        <f>IF(客户自备加工筐明细!$C1176="","",客户自备加工筐明细!$C1176)</f>
        <v/>
      </c>
      <c r="AD1176">
        <f t="shared" si="475"/>
        <v>0</v>
      </c>
      <c r="AE1176">
        <f t="shared" si="476"/>
        <v>1</v>
      </c>
      <c r="AI1176" t="str">
        <f>IF(客户自备加工筐明细!$E1176="","",客户自备加工筐明细!$E1176)</f>
        <v/>
      </c>
      <c r="AJ1176">
        <f t="shared" si="477"/>
        <v>0</v>
      </c>
      <c r="AK1176">
        <f t="shared" si="478"/>
        <v>1</v>
      </c>
      <c r="CP1176">
        <f>IF(包装物料出入库明细!$D1176="",0,1)</f>
        <v>0</v>
      </c>
      <c r="CQ1176">
        <f t="shared" si="479"/>
        <v>37</v>
      </c>
      <c r="CS1176" t="str">
        <f>IF(OR(周转筐出入库明细!$C1177="",周转筐出入库明细!$F1177&lt;&gt;"采购入库"),"",周转筐出入库明细!$C1177)</f>
        <v/>
      </c>
      <c r="CT1176">
        <f t="shared" si="480"/>
        <v>0</v>
      </c>
      <c r="CU1176">
        <f t="shared" si="481"/>
        <v>1</v>
      </c>
    </row>
    <row r="1177" spans="1:99">
      <c r="A1177" t="str">
        <f>IF(包装物料出入库明细!$E1177="","",包装物料出入库明细!$E1177)</f>
        <v/>
      </c>
      <c r="B1177">
        <f t="shared" si="467"/>
        <v>0</v>
      </c>
      <c r="C1177">
        <f t="shared" si="468"/>
        <v>7</v>
      </c>
      <c r="D1177" t="str">
        <f>IF(包装物料出入库明细!$E1177="","",包装物料出入库明细!$F1177)</f>
        <v/>
      </c>
      <c r="E1177" t="str">
        <f>IF(包装物料出入库明细!$E1177="","",包装物料出入库明细!$G1177)</f>
        <v/>
      </c>
      <c r="K1177" t="str">
        <f>IF(包装物料出入库明细!$D1177="","",包装物料出入库明细!$D1177)</f>
        <v/>
      </c>
      <c r="L1177">
        <f t="shared" si="469"/>
        <v>0</v>
      </c>
      <c r="M1177">
        <f t="shared" si="470"/>
        <v>9</v>
      </c>
      <c r="Q1177" t="str">
        <f>IF(周转筐出入库明细!$D1178="","",周转筐出入库明细!$D1178)</f>
        <v/>
      </c>
      <c r="R1177">
        <f t="shared" si="471"/>
        <v>0</v>
      </c>
      <c r="S1177">
        <f t="shared" si="472"/>
        <v>5</v>
      </c>
      <c r="W1177" t="str">
        <f>IF(周转筐出入库明细!$C1178="","",周转筐出入库明细!$C1178)</f>
        <v/>
      </c>
      <c r="X1177">
        <f t="shared" si="473"/>
        <v>0</v>
      </c>
      <c r="Y1177">
        <f t="shared" si="474"/>
        <v>12</v>
      </c>
      <c r="AC1177" t="str">
        <f>IF(客户自备加工筐明细!$C1177="","",客户自备加工筐明细!$C1177)</f>
        <v/>
      </c>
      <c r="AD1177">
        <f t="shared" si="475"/>
        <v>0</v>
      </c>
      <c r="AE1177">
        <f t="shared" si="476"/>
        <v>1</v>
      </c>
      <c r="AI1177" t="str">
        <f>IF(客户自备加工筐明细!$E1177="","",客户自备加工筐明细!$E1177)</f>
        <v/>
      </c>
      <c r="AJ1177">
        <f t="shared" si="477"/>
        <v>0</v>
      </c>
      <c r="AK1177">
        <f t="shared" si="478"/>
        <v>1</v>
      </c>
      <c r="CP1177">
        <f>IF(包装物料出入库明细!$D1177="",0,1)</f>
        <v>0</v>
      </c>
      <c r="CQ1177">
        <f t="shared" si="479"/>
        <v>37</v>
      </c>
      <c r="CS1177" t="str">
        <f>IF(OR(周转筐出入库明细!$C1178="",周转筐出入库明细!$F1178&lt;&gt;"采购入库"),"",周转筐出入库明细!$C1178)</f>
        <v/>
      </c>
      <c r="CT1177">
        <f t="shared" si="480"/>
        <v>0</v>
      </c>
      <c r="CU1177">
        <f t="shared" si="481"/>
        <v>1</v>
      </c>
    </row>
    <row r="1178" spans="1:99">
      <c r="A1178" t="str">
        <f>IF(包装物料出入库明细!$E1178="","",包装物料出入库明细!$E1178)</f>
        <v/>
      </c>
      <c r="B1178">
        <f t="shared" si="467"/>
        <v>0</v>
      </c>
      <c r="C1178">
        <f t="shared" si="468"/>
        <v>7</v>
      </c>
      <c r="D1178" t="str">
        <f>IF(包装物料出入库明细!$E1178="","",包装物料出入库明细!$F1178)</f>
        <v/>
      </c>
      <c r="E1178" t="str">
        <f>IF(包装物料出入库明细!$E1178="","",包装物料出入库明细!$G1178)</f>
        <v/>
      </c>
      <c r="K1178" t="str">
        <f>IF(包装物料出入库明细!$D1178="","",包装物料出入库明细!$D1178)</f>
        <v/>
      </c>
      <c r="L1178">
        <f t="shared" si="469"/>
        <v>0</v>
      </c>
      <c r="M1178">
        <f t="shared" si="470"/>
        <v>9</v>
      </c>
      <c r="Q1178" t="str">
        <f>IF(周转筐出入库明细!$D1179="","",周转筐出入库明细!$D1179)</f>
        <v/>
      </c>
      <c r="R1178">
        <f t="shared" si="471"/>
        <v>0</v>
      </c>
      <c r="S1178">
        <f t="shared" si="472"/>
        <v>5</v>
      </c>
      <c r="W1178" t="str">
        <f>IF(周转筐出入库明细!$C1179="","",周转筐出入库明细!$C1179)</f>
        <v/>
      </c>
      <c r="X1178">
        <f t="shared" si="473"/>
        <v>0</v>
      </c>
      <c r="Y1178">
        <f t="shared" si="474"/>
        <v>12</v>
      </c>
      <c r="AC1178" t="str">
        <f>IF(客户自备加工筐明细!$C1178="","",客户自备加工筐明细!$C1178)</f>
        <v/>
      </c>
      <c r="AD1178">
        <f t="shared" si="475"/>
        <v>0</v>
      </c>
      <c r="AE1178">
        <f t="shared" si="476"/>
        <v>1</v>
      </c>
      <c r="AI1178" t="str">
        <f>IF(客户自备加工筐明细!$E1178="","",客户自备加工筐明细!$E1178)</f>
        <v/>
      </c>
      <c r="AJ1178">
        <f t="shared" si="477"/>
        <v>0</v>
      </c>
      <c r="AK1178">
        <f t="shared" si="478"/>
        <v>1</v>
      </c>
      <c r="CP1178">
        <f>IF(包装物料出入库明细!$D1178="",0,1)</f>
        <v>0</v>
      </c>
      <c r="CQ1178">
        <f t="shared" si="479"/>
        <v>37</v>
      </c>
      <c r="CS1178" t="str">
        <f>IF(OR(周转筐出入库明细!$C1179="",周转筐出入库明细!$F1179&lt;&gt;"采购入库"),"",周转筐出入库明细!$C1179)</f>
        <v/>
      </c>
      <c r="CT1178">
        <f t="shared" si="480"/>
        <v>0</v>
      </c>
      <c r="CU1178">
        <f t="shared" si="481"/>
        <v>1</v>
      </c>
    </row>
    <row r="1179" spans="1:99">
      <c r="A1179" t="str">
        <f>IF(包装物料出入库明细!$E1179="","",包装物料出入库明细!$E1179)</f>
        <v/>
      </c>
      <c r="B1179">
        <f t="shared" si="467"/>
        <v>0</v>
      </c>
      <c r="C1179">
        <f t="shared" si="468"/>
        <v>7</v>
      </c>
      <c r="D1179" t="str">
        <f>IF(包装物料出入库明细!$E1179="","",包装物料出入库明细!$F1179)</f>
        <v/>
      </c>
      <c r="E1179" t="str">
        <f>IF(包装物料出入库明细!$E1179="","",包装物料出入库明细!$G1179)</f>
        <v/>
      </c>
      <c r="K1179" t="str">
        <f>IF(包装物料出入库明细!$D1179="","",包装物料出入库明细!$D1179)</f>
        <v/>
      </c>
      <c r="L1179">
        <f t="shared" si="469"/>
        <v>0</v>
      </c>
      <c r="M1179">
        <f t="shared" si="470"/>
        <v>9</v>
      </c>
      <c r="Q1179" t="str">
        <f>IF(周转筐出入库明细!$D1180="","",周转筐出入库明细!$D1180)</f>
        <v/>
      </c>
      <c r="R1179">
        <f t="shared" si="471"/>
        <v>0</v>
      </c>
      <c r="S1179">
        <f t="shared" si="472"/>
        <v>5</v>
      </c>
      <c r="W1179" t="str">
        <f>IF(周转筐出入库明细!$C1180="","",周转筐出入库明细!$C1180)</f>
        <v/>
      </c>
      <c r="X1179">
        <f t="shared" si="473"/>
        <v>0</v>
      </c>
      <c r="Y1179">
        <f t="shared" si="474"/>
        <v>12</v>
      </c>
      <c r="AC1179" t="str">
        <f>IF(客户自备加工筐明细!$C1179="","",客户自备加工筐明细!$C1179)</f>
        <v/>
      </c>
      <c r="AD1179">
        <f t="shared" si="475"/>
        <v>0</v>
      </c>
      <c r="AE1179">
        <f t="shared" si="476"/>
        <v>1</v>
      </c>
      <c r="AI1179" t="str">
        <f>IF(客户自备加工筐明细!$E1179="","",客户自备加工筐明细!$E1179)</f>
        <v/>
      </c>
      <c r="AJ1179">
        <f t="shared" si="477"/>
        <v>0</v>
      </c>
      <c r="AK1179">
        <f t="shared" si="478"/>
        <v>1</v>
      </c>
      <c r="CP1179">
        <f>IF(包装物料出入库明细!$D1179="",0,1)</f>
        <v>0</v>
      </c>
      <c r="CQ1179">
        <f t="shared" si="479"/>
        <v>37</v>
      </c>
      <c r="CS1179" t="str">
        <f>IF(OR(周转筐出入库明细!$C1180="",周转筐出入库明细!$F1180&lt;&gt;"采购入库"),"",周转筐出入库明细!$C1180)</f>
        <v/>
      </c>
      <c r="CT1179">
        <f t="shared" si="480"/>
        <v>0</v>
      </c>
      <c r="CU1179">
        <f t="shared" si="481"/>
        <v>1</v>
      </c>
    </row>
    <row r="1180" spans="1:99">
      <c r="A1180" t="str">
        <f>IF(包装物料出入库明细!$E1180="","",包装物料出入库明细!$E1180)</f>
        <v/>
      </c>
      <c r="B1180">
        <f t="shared" si="467"/>
        <v>0</v>
      </c>
      <c r="C1180">
        <f t="shared" si="468"/>
        <v>7</v>
      </c>
      <c r="D1180" t="str">
        <f>IF(包装物料出入库明细!$E1180="","",包装物料出入库明细!$F1180)</f>
        <v/>
      </c>
      <c r="E1180" t="str">
        <f>IF(包装物料出入库明细!$E1180="","",包装物料出入库明细!$G1180)</f>
        <v/>
      </c>
      <c r="K1180" t="str">
        <f>IF(包装物料出入库明细!$D1180="","",包装物料出入库明细!$D1180)</f>
        <v/>
      </c>
      <c r="L1180">
        <f t="shared" si="469"/>
        <v>0</v>
      </c>
      <c r="M1180">
        <f t="shared" si="470"/>
        <v>9</v>
      </c>
      <c r="Q1180" t="str">
        <f>IF(周转筐出入库明细!$D1181="","",周转筐出入库明细!$D1181)</f>
        <v/>
      </c>
      <c r="R1180">
        <f t="shared" si="471"/>
        <v>0</v>
      </c>
      <c r="S1180">
        <f t="shared" si="472"/>
        <v>5</v>
      </c>
      <c r="W1180" t="str">
        <f>IF(周转筐出入库明细!$C1181="","",周转筐出入库明细!$C1181)</f>
        <v/>
      </c>
      <c r="X1180">
        <f t="shared" si="473"/>
        <v>0</v>
      </c>
      <c r="Y1180">
        <f t="shared" si="474"/>
        <v>12</v>
      </c>
      <c r="AC1180" t="str">
        <f>IF(客户自备加工筐明细!$C1180="","",客户自备加工筐明细!$C1180)</f>
        <v/>
      </c>
      <c r="AD1180">
        <f t="shared" si="475"/>
        <v>0</v>
      </c>
      <c r="AE1180">
        <f t="shared" si="476"/>
        <v>1</v>
      </c>
      <c r="AI1180" t="str">
        <f>IF(客户自备加工筐明细!$E1180="","",客户自备加工筐明细!$E1180)</f>
        <v/>
      </c>
      <c r="AJ1180">
        <f t="shared" si="477"/>
        <v>0</v>
      </c>
      <c r="AK1180">
        <f t="shared" si="478"/>
        <v>1</v>
      </c>
      <c r="CP1180">
        <f>IF(包装物料出入库明细!$D1180="",0,1)</f>
        <v>0</v>
      </c>
      <c r="CQ1180">
        <f t="shared" si="479"/>
        <v>37</v>
      </c>
      <c r="CS1180" t="str">
        <f>IF(OR(周转筐出入库明细!$C1181="",周转筐出入库明细!$F1181&lt;&gt;"采购入库"),"",周转筐出入库明细!$C1181)</f>
        <v/>
      </c>
      <c r="CT1180">
        <f t="shared" si="480"/>
        <v>0</v>
      </c>
      <c r="CU1180">
        <f t="shared" si="481"/>
        <v>1</v>
      </c>
    </row>
    <row r="1181" spans="1:99">
      <c r="A1181" t="str">
        <f>IF(包装物料出入库明细!$E1181="","",包装物料出入库明细!$E1181)</f>
        <v/>
      </c>
      <c r="B1181">
        <f t="shared" si="467"/>
        <v>0</v>
      </c>
      <c r="C1181">
        <f t="shared" si="468"/>
        <v>7</v>
      </c>
      <c r="D1181" t="str">
        <f>IF(包装物料出入库明细!$E1181="","",包装物料出入库明细!$F1181)</f>
        <v/>
      </c>
      <c r="E1181" t="str">
        <f>IF(包装物料出入库明细!$E1181="","",包装物料出入库明细!$G1181)</f>
        <v/>
      </c>
      <c r="K1181" t="str">
        <f>IF(包装物料出入库明细!$D1181="","",包装物料出入库明细!$D1181)</f>
        <v/>
      </c>
      <c r="L1181">
        <f t="shared" si="469"/>
        <v>0</v>
      </c>
      <c r="M1181">
        <f t="shared" si="470"/>
        <v>9</v>
      </c>
      <c r="Q1181" t="str">
        <f>IF(周转筐出入库明细!$D1182="","",周转筐出入库明细!$D1182)</f>
        <v/>
      </c>
      <c r="R1181">
        <f t="shared" si="471"/>
        <v>0</v>
      </c>
      <c r="S1181">
        <f t="shared" si="472"/>
        <v>5</v>
      </c>
      <c r="W1181" t="str">
        <f>IF(周转筐出入库明细!$C1182="","",周转筐出入库明细!$C1182)</f>
        <v/>
      </c>
      <c r="X1181">
        <f t="shared" si="473"/>
        <v>0</v>
      </c>
      <c r="Y1181">
        <f t="shared" si="474"/>
        <v>12</v>
      </c>
      <c r="AC1181" t="str">
        <f>IF(客户自备加工筐明细!$C1181="","",客户自备加工筐明细!$C1181)</f>
        <v/>
      </c>
      <c r="AD1181">
        <f t="shared" si="475"/>
        <v>0</v>
      </c>
      <c r="AE1181">
        <f t="shared" si="476"/>
        <v>1</v>
      </c>
      <c r="AI1181" t="str">
        <f>IF(客户自备加工筐明细!$E1181="","",客户自备加工筐明细!$E1181)</f>
        <v/>
      </c>
      <c r="AJ1181">
        <f t="shared" si="477"/>
        <v>0</v>
      </c>
      <c r="AK1181">
        <f t="shared" si="478"/>
        <v>1</v>
      </c>
      <c r="CP1181">
        <f>IF(包装物料出入库明细!$D1181="",0,1)</f>
        <v>0</v>
      </c>
      <c r="CQ1181">
        <f t="shared" si="479"/>
        <v>37</v>
      </c>
      <c r="CS1181" t="str">
        <f>IF(OR(周转筐出入库明细!$C1182="",周转筐出入库明细!$F1182&lt;&gt;"采购入库"),"",周转筐出入库明细!$C1182)</f>
        <v/>
      </c>
      <c r="CT1181">
        <f t="shared" si="480"/>
        <v>0</v>
      </c>
      <c r="CU1181">
        <f t="shared" si="481"/>
        <v>1</v>
      </c>
    </row>
    <row r="1182" spans="1:99">
      <c r="A1182" t="str">
        <f>IF(包装物料出入库明细!$E1182="","",包装物料出入库明细!$E1182)</f>
        <v/>
      </c>
      <c r="B1182">
        <f t="shared" si="467"/>
        <v>0</v>
      </c>
      <c r="C1182">
        <f t="shared" si="468"/>
        <v>7</v>
      </c>
      <c r="D1182" t="str">
        <f>IF(包装物料出入库明细!$E1182="","",包装物料出入库明细!$F1182)</f>
        <v/>
      </c>
      <c r="E1182" t="str">
        <f>IF(包装物料出入库明细!$E1182="","",包装物料出入库明细!$G1182)</f>
        <v/>
      </c>
      <c r="K1182" t="str">
        <f>IF(包装物料出入库明细!$D1182="","",包装物料出入库明细!$D1182)</f>
        <v/>
      </c>
      <c r="L1182">
        <f t="shared" si="469"/>
        <v>0</v>
      </c>
      <c r="M1182">
        <f t="shared" si="470"/>
        <v>9</v>
      </c>
      <c r="Q1182" t="str">
        <f>IF(周转筐出入库明细!$D1183="","",周转筐出入库明细!$D1183)</f>
        <v/>
      </c>
      <c r="R1182">
        <f t="shared" si="471"/>
        <v>0</v>
      </c>
      <c r="S1182">
        <f t="shared" si="472"/>
        <v>5</v>
      </c>
      <c r="W1182" t="str">
        <f>IF(周转筐出入库明细!$C1183="","",周转筐出入库明细!$C1183)</f>
        <v/>
      </c>
      <c r="X1182">
        <f t="shared" si="473"/>
        <v>0</v>
      </c>
      <c r="Y1182">
        <f t="shared" si="474"/>
        <v>12</v>
      </c>
      <c r="AC1182" t="str">
        <f>IF(客户自备加工筐明细!$C1182="","",客户自备加工筐明细!$C1182)</f>
        <v/>
      </c>
      <c r="AD1182">
        <f t="shared" si="475"/>
        <v>0</v>
      </c>
      <c r="AE1182">
        <f t="shared" si="476"/>
        <v>1</v>
      </c>
      <c r="AI1182" t="str">
        <f>IF(客户自备加工筐明细!$E1182="","",客户自备加工筐明细!$E1182)</f>
        <v/>
      </c>
      <c r="AJ1182">
        <f t="shared" si="477"/>
        <v>0</v>
      </c>
      <c r="AK1182">
        <f t="shared" si="478"/>
        <v>1</v>
      </c>
      <c r="CP1182">
        <f>IF(包装物料出入库明细!$D1182="",0,1)</f>
        <v>0</v>
      </c>
      <c r="CQ1182">
        <f t="shared" si="479"/>
        <v>37</v>
      </c>
      <c r="CS1182" t="str">
        <f>IF(OR(周转筐出入库明细!$C1183="",周转筐出入库明细!$F1183&lt;&gt;"采购入库"),"",周转筐出入库明细!$C1183)</f>
        <v/>
      </c>
      <c r="CT1182">
        <f t="shared" si="480"/>
        <v>0</v>
      </c>
      <c r="CU1182">
        <f t="shared" si="481"/>
        <v>1</v>
      </c>
    </row>
    <row r="1183" spans="1:99">
      <c r="A1183" t="str">
        <f>IF(包装物料出入库明细!$E1183="","",包装物料出入库明细!$E1183)</f>
        <v/>
      </c>
      <c r="B1183">
        <f t="shared" si="467"/>
        <v>0</v>
      </c>
      <c r="C1183">
        <f t="shared" si="468"/>
        <v>7</v>
      </c>
      <c r="D1183" t="str">
        <f>IF(包装物料出入库明细!$E1183="","",包装物料出入库明细!$F1183)</f>
        <v/>
      </c>
      <c r="E1183" t="str">
        <f>IF(包装物料出入库明细!$E1183="","",包装物料出入库明细!$G1183)</f>
        <v/>
      </c>
      <c r="K1183" t="str">
        <f>IF(包装物料出入库明细!$D1183="","",包装物料出入库明细!$D1183)</f>
        <v/>
      </c>
      <c r="L1183">
        <f t="shared" si="469"/>
        <v>0</v>
      </c>
      <c r="M1183">
        <f t="shared" si="470"/>
        <v>9</v>
      </c>
      <c r="Q1183" t="str">
        <f>IF(周转筐出入库明细!$D1184="","",周转筐出入库明细!$D1184)</f>
        <v/>
      </c>
      <c r="R1183">
        <f t="shared" si="471"/>
        <v>0</v>
      </c>
      <c r="S1183">
        <f t="shared" si="472"/>
        <v>5</v>
      </c>
      <c r="W1183" t="str">
        <f>IF(周转筐出入库明细!$C1184="","",周转筐出入库明细!$C1184)</f>
        <v/>
      </c>
      <c r="X1183">
        <f t="shared" si="473"/>
        <v>0</v>
      </c>
      <c r="Y1183">
        <f t="shared" si="474"/>
        <v>12</v>
      </c>
      <c r="AC1183" t="str">
        <f>IF(客户自备加工筐明细!$C1183="","",客户自备加工筐明细!$C1183)</f>
        <v/>
      </c>
      <c r="AD1183">
        <f t="shared" si="475"/>
        <v>0</v>
      </c>
      <c r="AE1183">
        <f t="shared" si="476"/>
        <v>1</v>
      </c>
      <c r="AI1183" t="str">
        <f>IF(客户自备加工筐明细!$E1183="","",客户自备加工筐明细!$E1183)</f>
        <v/>
      </c>
      <c r="AJ1183">
        <f t="shared" si="477"/>
        <v>0</v>
      </c>
      <c r="AK1183">
        <f t="shared" si="478"/>
        <v>1</v>
      </c>
      <c r="CP1183">
        <f>IF(包装物料出入库明细!$D1183="",0,1)</f>
        <v>0</v>
      </c>
      <c r="CQ1183">
        <f t="shared" si="479"/>
        <v>37</v>
      </c>
      <c r="CS1183" t="str">
        <f>IF(OR(周转筐出入库明细!$C1184="",周转筐出入库明细!$F1184&lt;&gt;"采购入库"),"",周转筐出入库明细!$C1184)</f>
        <v/>
      </c>
      <c r="CT1183">
        <f t="shared" si="480"/>
        <v>0</v>
      </c>
      <c r="CU1183">
        <f t="shared" si="481"/>
        <v>1</v>
      </c>
    </row>
    <row r="1184" spans="1:99">
      <c r="A1184" t="str">
        <f>IF(包装物料出入库明细!$E1184="","",包装物料出入库明细!$E1184)</f>
        <v/>
      </c>
      <c r="B1184">
        <f t="shared" si="467"/>
        <v>0</v>
      </c>
      <c r="C1184">
        <f t="shared" si="468"/>
        <v>7</v>
      </c>
      <c r="D1184" t="str">
        <f>IF(包装物料出入库明细!$E1184="","",包装物料出入库明细!$F1184)</f>
        <v/>
      </c>
      <c r="E1184" t="str">
        <f>IF(包装物料出入库明细!$E1184="","",包装物料出入库明细!$G1184)</f>
        <v/>
      </c>
      <c r="K1184" t="str">
        <f>IF(包装物料出入库明细!$D1184="","",包装物料出入库明细!$D1184)</f>
        <v/>
      </c>
      <c r="L1184">
        <f t="shared" si="469"/>
        <v>0</v>
      </c>
      <c r="M1184">
        <f t="shared" si="470"/>
        <v>9</v>
      </c>
      <c r="Q1184" t="str">
        <f>IF(周转筐出入库明细!$D1185="","",周转筐出入库明细!$D1185)</f>
        <v/>
      </c>
      <c r="R1184">
        <f t="shared" si="471"/>
        <v>0</v>
      </c>
      <c r="S1184">
        <f t="shared" si="472"/>
        <v>5</v>
      </c>
      <c r="W1184" t="str">
        <f>IF(周转筐出入库明细!$C1185="","",周转筐出入库明细!$C1185)</f>
        <v/>
      </c>
      <c r="X1184">
        <f t="shared" si="473"/>
        <v>0</v>
      </c>
      <c r="Y1184">
        <f t="shared" si="474"/>
        <v>12</v>
      </c>
      <c r="AC1184" t="str">
        <f>IF(客户自备加工筐明细!$C1184="","",客户自备加工筐明细!$C1184)</f>
        <v/>
      </c>
      <c r="AD1184">
        <f t="shared" si="475"/>
        <v>0</v>
      </c>
      <c r="AE1184">
        <f t="shared" si="476"/>
        <v>1</v>
      </c>
      <c r="AI1184" t="str">
        <f>IF(客户自备加工筐明细!$E1184="","",客户自备加工筐明细!$E1184)</f>
        <v/>
      </c>
      <c r="AJ1184">
        <f t="shared" si="477"/>
        <v>0</v>
      </c>
      <c r="AK1184">
        <f t="shared" si="478"/>
        <v>1</v>
      </c>
      <c r="CP1184">
        <f>IF(包装物料出入库明细!$D1184="",0,1)</f>
        <v>0</v>
      </c>
      <c r="CQ1184">
        <f t="shared" si="479"/>
        <v>37</v>
      </c>
      <c r="CS1184" t="str">
        <f>IF(OR(周转筐出入库明细!$C1185="",周转筐出入库明细!$F1185&lt;&gt;"采购入库"),"",周转筐出入库明细!$C1185)</f>
        <v/>
      </c>
      <c r="CT1184">
        <f t="shared" si="480"/>
        <v>0</v>
      </c>
      <c r="CU1184">
        <f t="shared" si="481"/>
        <v>1</v>
      </c>
    </row>
    <row r="1185" spans="1:99">
      <c r="A1185" t="str">
        <f>IF(包装物料出入库明细!$E1185="","",包装物料出入库明细!$E1185)</f>
        <v/>
      </c>
      <c r="B1185">
        <f t="shared" si="467"/>
        <v>0</v>
      </c>
      <c r="C1185">
        <f t="shared" si="468"/>
        <v>7</v>
      </c>
      <c r="D1185" t="str">
        <f>IF(包装物料出入库明细!$E1185="","",包装物料出入库明细!$F1185)</f>
        <v/>
      </c>
      <c r="E1185" t="str">
        <f>IF(包装物料出入库明细!$E1185="","",包装物料出入库明细!$G1185)</f>
        <v/>
      </c>
      <c r="K1185" t="str">
        <f>IF(包装物料出入库明细!$D1185="","",包装物料出入库明细!$D1185)</f>
        <v/>
      </c>
      <c r="L1185">
        <f t="shared" si="469"/>
        <v>0</v>
      </c>
      <c r="M1185">
        <f t="shared" si="470"/>
        <v>9</v>
      </c>
      <c r="Q1185" t="str">
        <f>IF(周转筐出入库明细!$D1186="","",周转筐出入库明细!$D1186)</f>
        <v/>
      </c>
      <c r="R1185">
        <f t="shared" si="471"/>
        <v>0</v>
      </c>
      <c r="S1185">
        <f t="shared" si="472"/>
        <v>5</v>
      </c>
      <c r="W1185" t="str">
        <f>IF(周转筐出入库明细!$C1186="","",周转筐出入库明细!$C1186)</f>
        <v/>
      </c>
      <c r="X1185">
        <f t="shared" si="473"/>
        <v>0</v>
      </c>
      <c r="Y1185">
        <f t="shared" si="474"/>
        <v>12</v>
      </c>
      <c r="AC1185" t="str">
        <f>IF(客户自备加工筐明细!$C1185="","",客户自备加工筐明细!$C1185)</f>
        <v/>
      </c>
      <c r="AD1185">
        <f t="shared" si="475"/>
        <v>0</v>
      </c>
      <c r="AE1185">
        <f t="shared" si="476"/>
        <v>1</v>
      </c>
      <c r="AI1185" t="str">
        <f>IF(客户自备加工筐明细!$E1185="","",客户自备加工筐明细!$E1185)</f>
        <v/>
      </c>
      <c r="AJ1185">
        <f t="shared" si="477"/>
        <v>0</v>
      </c>
      <c r="AK1185">
        <f t="shared" si="478"/>
        <v>1</v>
      </c>
      <c r="CP1185">
        <f>IF(包装物料出入库明细!$D1185="",0,1)</f>
        <v>0</v>
      </c>
      <c r="CQ1185">
        <f t="shared" si="479"/>
        <v>37</v>
      </c>
      <c r="CS1185" t="str">
        <f>IF(OR(周转筐出入库明细!$C1186="",周转筐出入库明细!$F1186&lt;&gt;"采购入库"),"",周转筐出入库明细!$C1186)</f>
        <v/>
      </c>
      <c r="CT1185">
        <f t="shared" si="480"/>
        <v>0</v>
      </c>
      <c r="CU1185">
        <f t="shared" si="481"/>
        <v>1</v>
      </c>
    </row>
    <row r="1186" spans="1:99">
      <c r="A1186" t="str">
        <f>IF(包装物料出入库明细!$E1186="","",包装物料出入库明细!$E1186)</f>
        <v/>
      </c>
      <c r="B1186">
        <f t="shared" si="467"/>
        <v>0</v>
      </c>
      <c r="C1186">
        <f t="shared" si="468"/>
        <v>7</v>
      </c>
      <c r="D1186" t="str">
        <f>IF(包装物料出入库明细!$E1186="","",包装物料出入库明细!$F1186)</f>
        <v/>
      </c>
      <c r="E1186" t="str">
        <f>IF(包装物料出入库明细!$E1186="","",包装物料出入库明细!$G1186)</f>
        <v/>
      </c>
      <c r="K1186" t="str">
        <f>IF(包装物料出入库明细!$D1186="","",包装物料出入库明细!$D1186)</f>
        <v/>
      </c>
      <c r="L1186">
        <f t="shared" si="469"/>
        <v>0</v>
      </c>
      <c r="M1186">
        <f t="shared" si="470"/>
        <v>9</v>
      </c>
      <c r="Q1186" t="str">
        <f>IF(周转筐出入库明细!$D1187="","",周转筐出入库明细!$D1187)</f>
        <v/>
      </c>
      <c r="R1186">
        <f t="shared" si="471"/>
        <v>0</v>
      </c>
      <c r="S1186">
        <f t="shared" si="472"/>
        <v>5</v>
      </c>
      <c r="W1186" t="str">
        <f>IF(周转筐出入库明细!$C1187="","",周转筐出入库明细!$C1187)</f>
        <v/>
      </c>
      <c r="X1186">
        <f t="shared" si="473"/>
        <v>0</v>
      </c>
      <c r="Y1186">
        <f t="shared" si="474"/>
        <v>12</v>
      </c>
      <c r="AC1186" t="str">
        <f>IF(客户自备加工筐明细!$C1186="","",客户自备加工筐明细!$C1186)</f>
        <v/>
      </c>
      <c r="AD1186">
        <f t="shared" si="475"/>
        <v>0</v>
      </c>
      <c r="AE1186">
        <f t="shared" si="476"/>
        <v>1</v>
      </c>
      <c r="AI1186" t="str">
        <f>IF(客户自备加工筐明细!$E1186="","",客户自备加工筐明细!$E1186)</f>
        <v/>
      </c>
      <c r="AJ1186">
        <f t="shared" si="477"/>
        <v>0</v>
      </c>
      <c r="AK1186">
        <f t="shared" si="478"/>
        <v>1</v>
      </c>
      <c r="CP1186">
        <f>IF(包装物料出入库明细!$D1186="",0,1)</f>
        <v>0</v>
      </c>
      <c r="CQ1186">
        <f t="shared" si="479"/>
        <v>37</v>
      </c>
      <c r="CS1186" t="str">
        <f>IF(OR(周转筐出入库明细!$C1187="",周转筐出入库明细!$F1187&lt;&gt;"采购入库"),"",周转筐出入库明细!$C1187)</f>
        <v/>
      </c>
      <c r="CT1186">
        <f t="shared" si="480"/>
        <v>0</v>
      </c>
      <c r="CU1186">
        <f t="shared" si="481"/>
        <v>1</v>
      </c>
    </row>
    <row r="1187" spans="1:99">
      <c r="A1187" t="str">
        <f>IF(包装物料出入库明细!$E1187="","",包装物料出入库明细!$E1187)</f>
        <v/>
      </c>
      <c r="B1187">
        <f t="shared" si="467"/>
        <v>0</v>
      </c>
      <c r="C1187">
        <f t="shared" si="468"/>
        <v>7</v>
      </c>
      <c r="D1187" t="str">
        <f>IF(包装物料出入库明细!$E1187="","",包装物料出入库明细!$F1187)</f>
        <v/>
      </c>
      <c r="E1187" t="str">
        <f>IF(包装物料出入库明细!$E1187="","",包装物料出入库明细!$G1187)</f>
        <v/>
      </c>
      <c r="K1187" t="str">
        <f>IF(包装物料出入库明细!$D1187="","",包装物料出入库明细!$D1187)</f>
        <v/>
      </c>
      <c r="L1187">
        <f t="shared" si="469"/>
        <v>0</v>
      </c>
      <c r="M1187">
        <f t="shared" si="470"/>
        <v>9</v>
      </c>
      <c r="Q1187" t="str">
        <f>IF(周转筐出入库明细!$D1188="","",周转筐出入库明细!$D1188)</f>
        <v/>
      </c>
      <c r="R1187">
        <f t="shared" si="471"/>
        <v>0</v>
      </c>
      <c r="S1187">
        <f t="shared" si="472"/>
        <v>5</v>
      </c>
      <c r="W1187" t="str">
        <f>IF(周转筐出入库明细!$C1188="","",周转筐出入库明细!$C1188)</f>
        <v/>
      </c>
      <c r="X1187">
        <f t="shared" si="473"/>
        <v>0</v>
      </c>
      <c r="Y1187">
        <f t="shared" si="474"/>
        <v>12</v>
      </c>
      <c r="AC1187" t="str">
        <f>IF(客户自备加工筐明细!$C1187="","",客户自备加工筐明细!$C1187)</f>
        <v/>
      </c>
      <c r="AD1187">
        <f t="shared" si="475"/>
        <v>0</v>
      </c>
      <c r="AE1187">
        <f t="shared" si="476"/>
        <v>1</v>
      </c>
      <c r="AI1187" t="str">
        <f>IF(客户自备加工筐明细!$E1187="","",客户自备加工筐明细!$E1187)</f>
        <v/>
      </c>
      <c r="AJ1187">
        <f t="shared" si="477"/>
        <v>0</v>
      </c>
      <c r="AK1187">
        <f t="shared" si="478"/>
        <v>1</v>
      </c>
      <c r="CP1187">
        <f>IF(包装物料出入库明细!$D1187="",0,1)</f>
        <v>0</v>
      </c>
      <c r="CQ1187">
        <f t="shared" si="479"/>
        <v>37</v>
      </c>
      <c r="CS1187" t="str">
        <f>IF(OR(周转筐出入库明细!$C1188="",周转筐出入库明细!$F1188&lt;&gt;"采购入库"),"",周转筐出入库明细!$C1188)</f>
        <v/>
      </c>
      <c r="CT1187">
        <f t="shared" si="480"/>
        <v>0</v>
      </c>
      <c r="CU1187">
        <f t="shared" si="481"/>
        <v>1</v>
      </c>
    </row>
    <row r="1188" spans="1:99">
      <c r="A1188" t="str">
        <f>IF(包装物料出入库明细!$E1188="","",包装物料出入库明细!$E1188)</f>
        <v/>
      </c>
      <c r="B1188">
        <f t="shared" si="467"/>
        <v>0</v>
      </c>
      <c r="C1188">
        <f t="shared" si="468"/>
        <v>7</v>
      </c>
      <c r="D1188" t="str">
        <f>IF(包装物料出入库明细!$E1188="","",包装物料出入库明细!$F1188)</f>
        <v/>
      </c>
      <c r="E1188" t="str">
        <f>IF(包装物料出入库明细!$E1188="","",包装物料出入库明细!$G1188)</f>
        <v/>
      </c>
      <c r="K1188" t="str">
        <f>IF(包装物料出入库明细!$D1188="","",包装物料出入库明细!$D1188)</f>
        <v/>
      </c>
      <c r="L1188">
        <f t="shared" si="469"/>
        <v>0</v>
      </c>
      <c r="M1188">
        <f t="shared" si="470"/>
        <v>9</v>
      </c>
      <c r="Q1188" t="str">
        <f>IF(周转筐出入库明细!$D1189="","",周转筐出入库明细!$D1189)</f>
        <v/>
      </c>
      <c r="R1188">
        <f t="shared" si="471"/>
        <v>0</v>
      </c>
      <c r="S1188">
        <f t="shared" si="472"/>
        <v>5</v>
      </c>
      <c r="W1188" t="str">
        <f>IF(周转筐出入库明细!$C1189="","",周转筐出入库明细!$C1189)</f>
        <v/>
      </c>
      <c r="X1188">
        <f t="shared" si="473"/>
        <v>0</v>
      </c>
      <c r="Y1188">
        <f t="shared" si="474"/>
        <v>12</v>
      </c>
      <c r="AC1188" t="str">
        <f>IF(客户自备加工筐明细!$C1188="","",客户自备加工筐明细!$C1188)</f>
        <v/>
      </c>
      <c r="AD1188">
        <f t="shared" si="475"/>
        <v>0</v>
      </c>
      <c r="AE1188">
        <f t="shared" si="476"/>
        <v>1</v>
      </c>
      <c r="AI1188" t="str">
        <f>IF(客户自备加工筐明细!$E1188="","",客户自备加工筐明细!$E1188)</f>
        <v/>
      </c>
      <c r="AJ1188">
        <f t="shared" si="477"/>
        <v>0</v>
      </c>
      <c r="AK1188">
        <f t="shared" si="478"/>
        <v>1</v>
      </c>
      <c r="CP1188">
        <f>IF(包装物料出入库明细!$D1188="",0,1)</f>
        <v>0</v>
      </c>
      <c r="CQ1188">
        <f t="shared" si="479"/>
        <v>37</v>
      </c>
      <c r="CS1188" t="str">
        <f>IF(OR(周转筐出入库明细!$C1189="",周转筐出入库明细!$F1189&lt;&gt;"采购入库"),"",周转筐出入库明细!$C1189)</f>
        <v/>
      </c>
      <c r="CT1188">
        <f t="shared" si="480"/>
        <v>0</v>
      </c>
      <c r="CU1188">
        <f t="shared" si="481"/>
        <v>1</v>
      </c>
    </row>
    <row r="1189" spans="1:99">
      <c r="A1189" t="str">
        <f>IF(包装物料出入库明细!$E1189="","",包装物料出入库明细!$E1189)</f>
        <v/>
      </c>
      <c r="B1189">
        <f t="shared" si="467"/>
        <v>0</v>
      </c>
      <c r="C1189">
        <f t="shared" si="468"/>
        <v>7</v>
      </c>
      <c r="D1189" t="str">
        <f>IF(包装物料出入库明细!$E1189="","",包装物料出入库明细!$F1189)</f>
        <v/>
      </c>
      <c r="E1189" t="str">
        <f>IF(包装物料出入库明细!$E1189="","",包装物料出入库明细!$G1189)</f>
        <v/>
      </c>
      <c r="K1189" t="str">
        <f>IF(包装物料出入库明细!$D1189="","",包装物料出入库明细!$D1189)</f>
        <v/>
      </c>
      <c r="L1189">
        <f t="shared" si="469"/>
        <v>0</v>
      </c>
      <c r="M1189">
        <f t="shared" si="470"/>
        <v>9</v>
      </c>
      <c r="Q1189" t="str">
        <f>IF(周转筐出入库明细!$D1190="","",周转筐出入库明细!$D1190)</f>
        <v/>
      </c>
      <c r="R1189">
        <f t="shared" si="471"/>
        <v>0</v>
      </c>
      <c r="S1189">
        <f t="shared" si="472"/>
        <v>5</v>
      </c>
      <c r="W1189" t="str">
        <f>IF(周转筐出入库明细!$C1190="","",周转筐出入库明细!$C1190)</f>
        <v/>
      </c>
      <c r="X1189">
        <f t="shared" si="473"/>
        <v>0</v>
      </c>
      <c r="Y1189">
        <f t="shared" si="474"/>
        <v>12</v>
      </c>
      <c r="AC1189" t="str">
        <f>IF(客户自备加工筐明细!$C1189="","",客户自备加工筐明细!$C1189)</f>
        <v/>
      </c>
      <c r="AD1189">
        <f t="shared" si="475"/>
        <v>0</v>
      </c>
      <c r="AE1189">
        <f t="shared" si="476"/>
        <v>1</v>
      </c>
      <c r="AI1189" t="str">
        <f>IF(客户自备加工筐明细!$E1189="","",客户自备加工筐明细!$E1189)</f>
        <v/>
      </c>
      <c r="AJ1189">
        <f t="shared" si="477"/>
        <v>0</v>
      </c>
      <c r="AK1189">
        <f t="shared" si="478"/>
        <v>1</v>
      </c>
      <c r="CP1189">
        <f>IF(包装物料出入库明细!$D1189="",0,1)</f>
        <v>0</v>
      </c>
      <c r="CQ1189">
        <f t="shared" si="479"/>
        <v>37</v>
      </c>
      <c r="CS1189" t="str">
        <f>IF(OR(周转筐出入库明细!$C1190="",周转筐出入库明细!$F1190&lt;&gt;"采购入库"),"",周转筐出入库明细!$C1190)</f>
        <v/>
      </c>
      <c r="CT1189">
        <f t="shared" si="480"/>
        <v>0</v>
      </c>
      <c r="CU1189">
        <f t="shared" si="481"/>
        <v>1</v>
      </c>
    </row>
    <row r="1190" spans="1:99">
      <c r="A1190" t="str">
        <f>IF(包装物料出入库明细!$E1190="","",包装物料出入库明细!$E1190)</f>
        <v/>
      </c>
      <c r="B1190">
        <f t="shared" si="467"/>
        <v>0</v>
      </c>
      <c r="C1190">
        <f t="shared" si="468"/>
        <v>7</v>
      </c>
      <c r="D1190" t="str">
        <f>IF(包装物料出入库明细!$E1190="","",包装物料出入库明细!$F1190)</f>
        <v/>
      </c>
      <c r="E1190" t="str">
        <f>IF(包装物料出入库明细!$E1190="","",包装物料出入库明细!$G1190)</f>
        <v/>
      </c>
      <c r="K1190" t="str">
        <f>IF(包装物料出入库明细!$D1190="","",包装物料出入库明细!$D1190)</f>
        <v/>
      </c>
      <c r="L1190">
        <f t="shared" si="469"/>
        <v>0</v>
      </c>
      <c r="M1190">
        <f t="shared" si="470"/>
        <v>9</v>
      </c>
      <c r="Q1190" t="str">
        <f>IF(周转筐出入库明细!$D1191="","",周转筐出入库明细!$D1191)</f>
        <v/>
      </c>
      <c r="R1190">
        <f t="shared" si="471"/>
        <v>0</v>
      </c>
      <c r="S1190">
        <f t="shared" si="472"/>
        <v>5</v>
      </c>
      <c r="W1190" t="str">
        <f>IF(周转筐出入库明细!$C1191="","",周转筐出入库明细!$C1191)</f>
        <v/>
      </c>
      <c r="X1190">
        <f t="shared" si="473"/>
        <v>0</v>
      </c>
      <c r="Y1190">
        <f t="shared" si="474"/>
        <v>12</v>
      </c>
      <c r="AC1190" t="str">
        <f>IF(客户自备加工筐明细!$C1190="","",客户自备加工筐明细!$C1190)</f>
        <v/>
      </c>
      <c r="AD1190">
        <f t="shared" si="475"/>
        <v>0</v>
      </c>
      <c r="AE1190">
        <f t="shared" si="476"/>
        <v>1</v>
      </c>
      <c r="AI1190" t="str">
        <f>IF(客户自备加工筐明细!$E1190="","",客户自备加工筐明细!$E1190)</f>
        <v/>
      </c>
      <c r="AJ1190">
        <f t="shared" si="477"/>
        <v>0</v>
      </c>
      <c r="AK1190">
        <f t="shared" si="478"/>
        <v>1</v>
      </c>
      <c r="CP1190">
        <f>IF(包装物料出入库明细!$D1190="",0,1)</f>
        <v>0</v>
      </c>
      <c r="CQ1190">
        <f t="shared" si="479"/>
        <v>37</v>
      </c>
      <c r="CS1190" t="str">
        <f>IF(OR(周转筐出入库明细!$C1191="",周转筐出入库明细!$F1191&lt;&gt;"采购入库"),"",周转筐出入库明细!$C1191)</f>
        <v/>
      </c>
      <c r="CT1190">
        <f t="shared" si="480"/>
        <v>0</v>
      </c>
      <c r="CU1190">
        <f t="shared" si="481"/>
        <v>1</v>
      </c>
    </row>
    <row r="1191" spans="1:99">
      <c r="A1191" t="str">
        <f>IF(包装物料出入库明细!$E1191="","",包装物料出入库明细!$E1191)</f>
        <v/>
      </c>
      <c r="B1191">
        <f t="shared" si="467"/>
        <v>0</v>
      </c>
      <c r="C1191">
        <f t="shared" si="468"/>
        <v>7</v>
      </c>
      <c r="D1191" t="str">
        <f>IF(包装物料出入库明细!$E1191="","",包装物料出入库明细!$F1191)</f>
        <v/>
      </c>
      <c r="E1191" t="str">
        <f>IF(包装物料出入库明细!$E1191="","",包装物料出入库明细!$G1191)</f>
        <v/>
      </c>
      <c r="K1191" t="str">
        <f>IF(包装物料出入库明细!$D1191="","",包装物料出入库明细!$D1191)</f>
        <v/>
      </c>
      <c r="L1191">
        <f t="shared" si="469"/>
        <v>0</v>
      </c>
      <c r="M1191">
        <f t="shared" si="470"/>
        <v>9</v>
      </c>
      <c r="Q1191" t="str">
        <f>IF(周转筐出入库明细!$D1192="","",周转筐出入库明细!$D1192)</f>
        <v/>
      </c>
      <c r="R1191">
        <f t="shared" si="471"/>
        <v>0</v>
      </c>
      <c r="S1191">
        <f t="shared" si="472"/>
        <v>5</v>
      </c>
      <c r="W1191" t="str">
        <f>IF(周转筐出入库明细!$C1192="","",周转筐出入库明细!$C1192)</f>
        <v/>
      </c>
      <c r="X1191">
        <f t="shared" si="473"/>
        <v>0</v>
      </c>
      <c r="Y1191">
        <f t="shared" si="474"/>
        <v>12</v>
      </c>
      <c r="AC1191" t="str">
        <f>IF(客户自备加工筐明细!$C1191="","",客户自备加工筐明细!$C1191)</f>
        <v/>
      </c>
      <c r="AD1191">
        <f t="shared" si="475"/>
        <v>0</v>
      </c>
      <c r="AE1191">
        <f t="shared" si="476"/>
        <v>1</v>
      </c>
      <c r="AI1191" t="str">
        <f>IF(客户自备加工筐明细!$E1191="","",客户自备加工筐明细!$E1191)</f>
        <v/>
      </c>
      <c r="AJ1191">
        <f t="shared" si="477"/>
        <v>0</v>
      </c>
      <c r="AK1191">
        <f t="shared" si="478"/>
        <v>1</v>
      </c>
      <c r="CP1191">
        <f>IF(包装物料出入库明细!$D1191="",0,1)</f>
        <v>0</v>
      </c>
      <c r="CQ1191">
        <f t="shared" si="479"/>
        <v>37</v>
      </c>
      <c r="CS1191" t="str">
        <f>IF(OR(周转筐出入库明细!$C1192="",周转筐出入库明细!$F1192&lt;&gt;"采购入库"),"",周转筐出入库明细!$C1192)</f>
        <v/>
      </c>
      <c r="CT1191">
        <f t="shared" si="480"/>
        <v>0</v>
      </c>
      <c r="CU1191">
        <f t="shared" si="481"/>
        <v>1</v>
      </c>
    </row>
    <row r="1192" spans="1:99">
      <c r="A1192" t="str">
        <f>IF(包装物料出入库明细!$E1192="","",包装物料出入库明细!$E1192)</f>
        <v/>
      </c>
      <c r="B1192">
        <f t="shared" si="467"/>
        <v>0</v>
      </c>
      <c r="C1192">
        <f t="shared" si="468"/>
        <v>7</v>
      </c>
      <c r="D1192" t="str">
        <f>IF(包装物料出入库明细!$E1192="","",包装物料出入库明细!$F1192)</f>
        <v/>
      </c>
      <c r="E1192" t="str">
        <f>IF(包装物料出入库明细!$E1192="","",包装物料出入库明细!$G1192)</f>
        <v/>
      </c>
      <c r="K1192" t="str">
        <f>IF(包装物料出入库明细!$D1192="","",包装物料出入库明细!$D1192)</f>
        <v/>
      </c>
      <c r="L1192">
        <f t="shared" si="469"/>
        <v>0</v>
      </c>
      <c r="M1192">
        <f t="shared" si="470"/>
        <v>9</v>
      </c>
      <c r="Q1192" t="str">
        <f>IF(周转筐出入库明细!$D1193="","",周转筐出入库明细!$D1193)</f>
        <v/>
      </c>
      <c r="R1192">
        <f t="shared" si="471"/>
        <v>0</v>
      </c>
      <c r="S1192">
        <f t="shared" si="472"/>
        <v>5</v>
      </c>
      <c r="W1192" t="str">
        <f>IF(周转筐出入库明细!$C1193="","",周转筐出入库明细!$C1193)</f>
        <v/>
      </c>
      <c r="X1192">
        <f t="shared" si="473"/>
        <v>0</v>
      </c>
      <c r="Y1192">
        <f t="shared" si="474"/>
        <v>12</v>
      </c>
      <c r="AC1192" t="str">
        <f>IF(客户自备加工筐明细!$C1192="","",客户自备加工筐明细!$C1192)</f>
        <v/>
      </c>
      <c r="AD1192">
        <f t="shared" si="475"/>
        <v>0</v>
      </c>
      <c r="AE1192">
        <f t="shared" si="476"/>
        <v>1</v>
      </c>
      <c r="AI1192" t="str">
        <f>IF(客户自备加工筐明细!$E1192="","",客户自备加工筐明细!$E1192)</f>
        <v/>
      </c>
      <c r="AJ1192">
        <f t="shared" si="477"/>
        <v>0</v>
      </c>
      <c r="AK1192">
        <f t="shared" si="478"/>
        <v>1</v>
      </c>
      <c r="CP1192">
        <f>IF(包装物料出入库明细!$D1192="",0,1)</f>
        <v>0</v>
      </c>
      <c r="CQ1192">
        <f t="shared" si="479"/>
        <v>37</v>
      </c>
      <c r="CS1192" t="str">
        <f>IF(OR(周转筐出入库明细!$C1193="",周转筐出入库明细!$F1193&lt;&gt;"采购入库"),"",周转筐出入库明细!$C1193)</f>
        <v/>
      </c>
      <c r="CT1192">
        <f t="shared" si="480"/>
        <v>0</v>
      </c>
      <c r="CU1192">
        <f t="shared" si="481"/>
        <v>1</v>
      </c>
    </row>
    <row r="1193" spans="1:99">
      <c r="A1193" t="str">
        <f>IF(包装物料出入库明细!$E1193="","",包装物料出入库明细!$E1193)</f>
        <v/>
      </c>
      <c r="B1193">
        <f t="shared" si="467"/>
        <v>0</v>
      </c>
      <c r="C1193">
        <f t="shared" si="468"/>
        <v>7</v>
      </c>
      <c r="D1193" t="str">
        <f>IF(包装物料出入库明细!$E1193="","",包装物料出入库明细!$F1193)</f>
        <v/>
      </c>
      <c r="E1193" t="str">
        <f>IF(包装物料出入库明细!$E1193="","",包装物料出入库明细!$G1193)</f>
        <v/>
      </c>
      <c r="K1193" t="str">
        <f>IF(包装物料出入库明细!$D1193="","",包装物料出入库明细!$D1193)</f>
        <v/>
      </c>
      <c r="L1193">
        <f t="shared" si="469"/>
        <v>0</v>
      </c>
      <c r="M1193">
        <f t="shared" si="470"/>
        <v>9</v>
      </c>
      <c r="Q1193" t="str">
        <f>IF(周转筐出入库明细!$D1194="","",周转筐出入库明细!$D1194)</f>
        <v/>
      </c>
      <c r="R1193">
        <f t="shared" si="471"/>
        <v>0</v>
      </c>
      <c r="S1193">
        <f t="shared" si="472"/>
        <v>5</v>
      </c>
      <c r="W1193" t="str">
        <f>IF(周转筐出入库明细!$C1194="","",周转筐出入库明细!$C1194)</f>
        <v/>
      </c>
      <c r="X1193">
        <f t="shared" si="473"/>
        <v>0</v>
      </c>
      <c r="Y1193">
        <f t="shared" si="474"/>
        <v>12</v>
      </c>
      <c r="AC1193" t="str">
        <f>IF(客户自备加工筐明细!$C1193="","",客户自备加工筐明细!$C1193)</f>
        <v/>
      </c>
      <c r="AD1193">
        <f t="shared" si="475"/>
        <v>0</v>
      </c>
      <c r="AE1193">
        <f t="shared" si="476"/>
        <v>1</v>
      </c>
      <c r="AI1193" t="str">
        <f>IF(客户自备加工筐明细!$E1193="","",客户自备加工筐明细!$E1193)</f>
        <v/>
      </c>
      <c r="AJ1193">
        <f t="shared" si="477"/>
        <v>0</v>
      </c>
      <c r="AK1193">
        <f t="shared" si="478"/>
        <v>1</v>
      </c>
      <c r="CP1193">
        <f>IF(包装物料出入库明细!$D1193="",0,1)</f>
        <v>0</v>
      </c>
      <c r="CQ1193">
        <f t="shared" si="479"/>
        <v>37</v>
      </c>
      <c r="CS1193" t="str">
        <f>IF(OR(周转筐出入库明细!$C1194="",周转筐出入库明细!$F1194&lt;&gt;"采购入库"),"",周转筐出入库明细!$C1194)</f>
        <v/>
      </c>
      <c r="CT1193">
        <f t="shared" si="480"/>
        <v>0</v>
      </c>
      <c r="CU1193">
        <f t="shared" si="481"/>
        <v>1</v>
      </c>
    </row>
    <row r="1194" spans="1:99">
      <c r="A1194" t="str">
        <f>IF(包装物料出入库明细!$E1194="","",包装物料出入库明细!$E1194)</f>
        <v/>
      </c>
      <c r="B1194">
        <f t="shared" si="467"/>
        <v>0</v>
      </c>
      <c r="C1194">
        <f t="shared" si="468"/>
        <v>7</v>
      </c>
      <c r="D1194" t="str">
        <f>IF(包装物料出入库明细!$E1194="","",包装物料出入库明细!$F1194)</f>
        <v/>
      </c>
      <c r="E1194" t="str">
        <f>IF(包装物料出入库明细!$E1194="","",包装物料出入库明细!$G1194)</f>
        <v/>
      </c>
      <c r="K1194" t="str">
        <f>IF(包装物料出入库明细!$D1194="","",包装物料出入库明细!$D1194)</f>
        <v/>
      </c>
      <c r="L1194">
        <f t="shared" si="469"/>
        <v>0</v>
      </c>
      <c r="M1194">
        <f t="shared" si="470"/>
        <v>9</v>
      </c>
      <c r="Q1194" t="str">
        <f>IF(周转筐出入库明细!$D1195="","",周转筐出入库明细!$D1195)</f>
        <v/>
      </c>
      <c r="R1194">
        <f t="shared" si="471"/>
        <v>0</v>
      </c>
      <c r="S1194">
        <f t="shared" si="472"/>
        <v>5</v>
      </c>
      <c r="W1194" t="str">
        <f>IF(周转筐出入库明细!$C1195="","",周转筐出入库明细!$C1195)</f>
        <v/>
      </c>
      <c r="X1194">
        <f t="shared" si="473"/>
        <v>0</v>
      </c>
      <c r="Y1194">
        <f t="shared" si="474"/>
        <v>12</v>
      </c>
      <c r="AC1194" t="str">
        <f>IF(客户自备加工筐明细!$C1194="","",客户自备加工筐明细!$C1194)</f>
        <v/>
      </c>
      <c r="AD1194">
        <f t="shared" si="475"/>
        <v>0</v>
      </c>
      <c r="AE1194">
        <f t="shared" si="476"/>
        <v>1</v>
      </c>
      <c r="AI1194" t="str">
        <f>IF(客户自备加工筐明细!$E1194="","",客户自备加工筐明细!$E1194)</f>
        <v/>
      </c>
      <c r="AJ1194">
        <f t="shared" si="477"/>
        <v>0</v>
      </c>
      <c r="AK1194">
        <f t="shared" si="478"/>
        <v>1</v>
      </c>
      <c r="CP1194">
        <f>IF(包装物料出入库明细!$D1194="",0,1)</f>
        <v>0</v>
      </c>
      <c r="CQ1194">
        <f t="shared" si="479"/>
        <v>37</v>
      </c>
      <c r="CS1194" t="str">
        <f>IF(OR(周转筐出入库明细!$C1195="",周转筐出入库明细!$F1195&lt;&gt;"采购入库"),"",周转筐出入库明细!$C1195)</f>
        <v/>
      </c>
      <c r="CT1194">
        <f t="shared" si="480"/>
        <v>0</v>
      </c>
      <c r="CU1194">
        <f t="shared" si="481"/>
        <v>1</v>
      </c>
    </row>
    <row r="1195" spans="1:99">
      <c r="A1195" t="str">
        <f>IF(包装物料出入库明细!$E1195="","",包装物料出入库明细!$E1195)</f>
        <v/>
      </c>
      <c r="B1195">
        <f t="shared" si="467"/>
        <v>0</v>
      </c>
      <c r="C1195">
        <f t="shared" si="468"/>
        <v>7</v>
      </c>
      <c r="D1195" t="str">
        <f>IF(包装物料出入库明细!$E1195="","",包装物料出入库明细!$F1195)</f>
        <v/>
      </c>
      <c r="E1195" t="str">
        <f>IF(包装物料出入库明细!$E1195="","",包装物料出入库明细!$G1195)</f>
        <v/>
      </c>
      <c r="K1195" t="str">
        <f>IF(包装物料出入库明细!$D1195="","",包装物料出入库明细!$D1195)</f>
        <v/>
      </c>
      <c r="L1195">
        <f t="shared" si="469"/>
        <v>0</v>
      </c>
      <c r="M1195">
        <f t="shared" si="470"/>
        <v>9</v>
      </c>
      <c r="Q1195" t="str">
        <f>IF(周转筐出入库明细!$D1196="","",周转筐出入库明细!$D1196)</f>
        <v/>
      </c>
      <c r="R1195">
        <f t="shared" si="471"/>
        <v>0</v>
      </c>
      <c r="S1195">
        <f t="shared" si="472"/>
        <v>5</v>
      </c>
      <c r="W1195" t="str">
        <f>IF(周转筐出入库明细!$C1196="","",周转筐出入库明细!$C1196)</f>
        <v/>
      </c>
      <c r="X1195">
        <f t="shared" si="473"/>
        <v>0</v>
      </c>
      <c r="Y1195">
        <f t="shared" si="474"/>
        <v>12</v>
      </c>
      <c r="AC1195" t="str">
        <f>IF(客户自备加工筐明细!$C1195="","",客户自备加工筐明细!$C1195)</f>
        <v/>
      </c>
      <c r="AD1195">
        <f t="shared" si="475"/>
        <v>0</v>
      </c>
      <c r="AE1195">
        <f t="shared" si="476"/>
        <v>1</v>
      </c>
      <c r="AI1195" t="str">
        <f>IF(客户自备加工筐明细!$E1195="","",客户自备加工筐明细!$E1195)</f>
        <v/>
      </c>
      <c r="AJ1195">
        <f t="shared" si="477"/>
        <v>0</v>
      </c>
      <c r="AK1195">
        <f t="shared" si="478"/>
        <v>1</v>
      </c>
      <c r="CP1195">
        <f>IF(包装物料出入库明细!$D1195="",0,1)</f>
        <v>0</v>
      </c>
      <c r="CQ1195">
        <f t="shared" si="479"/>
        <v>37</v>
      </c>
      <c r="CS1195" t="str">
        <f>IF(OR(周转筐出入库明细!$C1196="",周转筐出入库明细!$F1196&lt;&gt;"采购入库"),"",周转筐出入库明细!$C1196)</f>
        <v/>
      </c>
      <c r="CT1195">
        <f t="shared" si="480"/>
        <v>0</v>
      </c>
      <c r="CU1195">
        <f t="shared" si="481"/>
        <v>1</v>
      </c>
    </row>
    <row r="1196" spans="1:99">
      <c r="A1196" t="str">
        <f>IF(包装物料出入库明细!$E1196="","",包装物料出入库明细!$E1196)</f>
        <v/>
      </c>
      <c r="B1196">
        <f t="shared" si="467"/>
        <v>0</v>
      </c>
      <c r="C1196">
        <f t="shared" si="468"/>
        <v>7</v>
      </c>
      <c r="D1196" t="str">
        <f>IF(包装物料出入库明细!$E1196="","",包装物料出入库明细!$F1196)</f>
        <v/>
      </c>
      <c r="E1196" t="str">
        <f>IF(包装物料出入库明细!$E1196="","",包装物料出入库明细!$G1196)</f>
        <v/>
      </c>
      <c r="K1196" t="str">
        <f>IF(包装物料出入库明细!$D1196="","",包装物料出入库明细!$D1196)</f>
        <v/>
      </c>
      <c r="L1196">
        <f t="shared" si="469"/>
        <v>0</v>
      </c>
      <c r="M1196">
        <f t="shared" si="470"/>
        <v>9</v>
      </c>
      <c r="Q1196" t="str">
        <f>IF(周转筐出入库明细!$D1197="","",周转筐出入库明细!$D1197)</f>
        <v/>
      </c>
      <c r="R1196">
        <f t="shared" si="471"/>
        <v>0</v>
      </c>
      <c r="S1196">
        <f t="shared" si="472"/>
        <v>5</v>
      </c>
      <c r="W1196" t="str">
        <f>IF(周转筐出入库明细!$C1197="","",周转筐出入库明细!$C1197)</f>
        <v/>
      </c>
      <c r="X1196">
        <f t="shared" si="473"/>
        <v>0</v>
      </c>
      <c r="Y1196">
        <f t="shared" si="474"/>
        <v>12</v>
      </c>
      <c r="AC1196" t="str">
        <f>IF(客户自备加工筐明细!$C1196="","",客户自备加工筐明细!$C1196)</f>
        <v/>
      </c>
      <c r="AD1196">
        <f t="shared" si="475"/>
        <v>0</v>
      </c>
      <c r="AE1196">
        <f t="shared" si="476"/>
        <v>1</v>
      </c>
      <c r="AI1196" t="str">
        <f>IF(客户自备加工筐明细!$E1196="","",客户自备加工筐明细!$E1196)</f>
        <v/>
      </c>
      <c r="AJ1196">
        <f t="shared" si="477"/>
        <v>0</v>
      </c>
      <c r="AK1196">
        <f t="shared" si="478"/>
        <v>1</v>
      </c>
      <c r="CP1196">
        <f>IF(包装物料出入库明细!$D1196="",0,1)</f>
        <v>0</v>
      </c>
      <c r="CQ1196">
        <f t="shared" si="479"/>
        <v>37</v>
      </c>
      <c r="CS1196" t="str">
        <f>IF(OR(周转筐出入库明细!$C1197="",周转筐出入库明细!$F1197&lt;&gt;"采购入库"),"",周转筐出入库明细!$C1197)</f>
        <v/>
      </c>
      <c r="CT1196">
        <f t="shared" si="480"/>
        <v>0</v>
      </c>
      <c r="CU1196">
        <f t="shared" si="481"/>
        <v>1</v>
      </c>
    </row>
    <row r="1197" spans="1:99">
      <c r="A1197" t="str">
        <f>IF(包装物料出入库明细!$E1197="","",包装物料出入库明细!$E1197)</f>
        <v/>
      </c>
      <c r="B1197">
        <f t="shared" si="467"/>
        <v>0</v>
      </c>
      <c r="C1197">
        <f t="shared" si="468"/>
        <v>7</v>
      </c>
      <c r="D1197" t="str">
        <f>IF(包装物料出入库明细!$E1197="","",包装物料出入库明细!$F1197)</f>
        <v/>
      </c>
      <c r="E1197" t="str">
        <f>IF(包装物料出入库明细!$E1197="","",包装物料出入库明细!$G1197)</f>
        <v/>
      </c>
      <c r="K1197" t="str">
        <f>IF(包装物料出入库明细!$D1197="","",包装物料出入库明细!$D1197)</f>
        <v/>
      </c>
      <c r="L1197">
        <f t="shared" si="469"/>
        <v>0</v>
      </c>
      <c r="M1197">
        <f t="shared" si="470"/>
        <v>9</v>
      </c>
      <c r="Q1197" t="str">
        <f>IF(周转筐出入库明细!$D1198="","",周转筐出入库明细!$D1198)</f>
        <v/>
      </c>
      <c r="R1197">
        <f t="shared" si="471"/>
        <v>0</v>
      </c>
      <c r="S1197">
        <f t="shared" si="472"/>
        <v>5</v>
      </c>
      <c r="W1197" t="str">
        <f>IF(周转筐出入库明细!$C1198="","",周转筐出入库明细!$C1198)</f>
        <v/>
      </c>
      <c r="X1197">
        <f t="shared" si="473"/>
        <v>0</v>
      </c>
      <c r="Y1197">
        <f t="shared" si="474"/>
        <v>12</v>
      </c>
      <c r="AC1197" t="str">
        <f>IF(客户自备加工筐明细!$C1197="","",客户自备加工筐明细!$C1197)</f>
        <v/>
      </c>
      <c r="AD1197">
        <f t="shared" si="475"/>
        <v>0</v>
      </c>
      <c r="AE1197">
        <f t="shared" si="476"/>
        <v>1</v>
      </c>
      <c r="AI1197" t="str">
        <f>IF(客户自备加工筐明细!$E1197="","",客户自备加工筐明细!$E1197)</f>
        <v/>
      </c>
      <c r="AJ1197">
        <f t="shared" si="477"/>
        <v>0</v>
      </c>
      <c r="AK1197">
        <f t="shared" si="478"/>
        <v>1</v>
      </c>
      <c r="CP1197">
        <f>IF(包装物料出入库明细!$D1197="",0,1)</f>
        <v>0</v>
      </c>
      <c r="CQ1197">
        <f t="shared" si="479"/>
        <v>37</v>
      </c>
      <c r="CS1197" t="str">
        <f>IF(OR(周转筐出入库明细!$C1198="",周转筐出入库明细!$F1198&lt;&gt;"采购入库"),"",周转筐出入库明细!$C1198)</f>
        <v/>
      </c>
      <c r="CT1197">
        <f t="shared" si="480"/>
        <v>0</v>
      </c>
      <c r="CU1197">
        <f t="shared" si="481"/>
        <v>1</v>
      </c>
    </row>
    <row r="1198" spans="1:99">
      <c r="A1198" t="str">
        <f>IF(包装物料出入库明细!$E1198="","",包装物料出入库明细!$E1198)</f>
        <v/>
      </c>
      <c r="B1198">
        <f t="shared" si="467"/>
        <v>0</v>
      </c>
      <c r="C1198">
        <f t="shared" si="468"/>
        <v>7</v>
      </c>
      <c r="D1198" t="str">
        <f>IF(包装物料出入库明细!$E1198="","",包装物料出入库明细!$F1198)</f>
        <v/>
      </c>
      <c r="E1198" t="str">
        <f>IF(包装物料出入库明细!$E1198="","",包装物料出入库明细!$G1198)</f>
        <v/>
      </c>
      <c r="K1198" t="str">
        <f>IF(包装物料出入库明细!$D1198="","",包装物料出入库明细!$D1198)</f>
        <v/>
      </c>
      <c r="L1198">
        <f t="shared" si="469"/>
        <v>0</v>
      </c>
      <c r="M1198">
        <f t="shared" si="470"/>
        <v>9</v>
      </c>
      <c r="Q1198" t="str">
        <f>IF(周转筐出入库明细!$D1199="","",周转筐出入库明细!$D1199)</f>
        <v/>
      </c>
      <c r="R1198">
        <f t="shared" si="471"/>
        <v>0</v>
      </c>
      <c r="S1198">
        <f t="shared" si="472"/>
        <v>5</v>
      </c>
      <c r="W1198" t="str">
        <f>IF(周转筐出入库明细!$C1199="","",周转筐出入库明细!$C1199)</f>
        <v/>
      </c>
      <c r="X1198">
        <f t="shared" si="473"/>
        <v>0</v>
      </c>
      <c r="Y1198">
        <f t="shared" si="474"/>
        <v>12</v>
      </c>
      <c r="AC1198" t="str">
        <f>IF(客户自备加工筐明细!$C1198="","",客户自备加工筐明细!$C1198)</f>
        <v/>
      </c>
      <c r="AD1198">
        <f t="shared" si="475"/>
        <v>0</v>
      </c>
      <c r="AE1198">
        <f t="shared" si="476"/>
        <v>1</v>
      </c>
      <c r="AI1198" t="str">
        <f>IF(客户自备加工筐明细!$E1198="","",客户自备加工筐明细!$E1198)</f>
        <v/>
      </c>
      <c r="AJ1198">
        <f t="shared" si="477"/>
        <v>0</v>
      </c>
      <c r="AK1198">
        <f t="shared" si="478"/>
        <v>1</v>
      </c>
      <c r="CP1198">
        <f>IF(包装物料出入库明细!$D1198="",0,1)</f>
        <v>0</v>
      </c>
      <c r="CQ1198">
        <f t="shared" si="479"/>
        <v>37</v>
      </c>
      <c r="CS1198" t="str">
        <f>IF(OR(周转筐出入库明细!$C1199="",周转筐出入库明细!$F1199&lt;&gt;"采购入库"),"",周转筐出入库明细!$C1199)</f>
        <v/>
      </c>
      <c r="CT1198">
        <f t="shared" si="480"/>
        <v>0</v>
      </c>
      <c r="CU1198">
        <f t="shared" si="481"/>
        <v>1</v>
      </c>
    </row>
    <row r="1199" spans="1:99">
      <c r="A1199" t="str">
        <f>IF(包装物料出入库明细!$E1199="","",包装物料出入库明细!$E1199)</f>
        <v/>
      </c>
      <c r="B1199">
        <f t="shared" si="467"/>
        <v>0</v>
      </c>
      <c r="C1199">
        <f t="shared" si="468"/>
        <v>7</v>
      </c>
      <c r="D1199" t="str">
        <f>IF(包装物料出入库明细!$E1199="","",包装物料出入库明细!$F1199)</f>
        <v/>
      </c>
      <c r="E1199" t="str">
        <f>IF(包装物料出入库明细!$E1199="","",包装物料出入库明细!$G1199)</f>
        <v/>
      </c>
      <c r="K1199" t="str">
        <f>IF(包装物料出入库明细!$D1199="","",包装物料出入库明细!$D1199)</f>
        <v/>
      </c>
      <c r="L1199">
        <f t="shared" si="469"/>
        <v>0</v>
      </c>
      <c r="M1199">
        <f t="shared" si="470"/>
        <v>9</v>
      </c>
      <c r="Q1199" t="str">
        <f>IF(周转筐出入库明细!$D1200="","",周转筐出入库明细!$D1200)</f>
        <v/>
      </c>
      <c r="R1199">
        <f t="shared" si="471"/>
        <v>0</v>
      </c>
      <c r="S1199">
        <f t="shared" si="472"/>
        <v>5</v>
      </c>
      <c r="W1199" t="str">
        <f>IF(周转筐出入库明细!$C1200="","",周转筐出入库明细!$C1200)</f>
        <v/>
      </c>
      <c r="X1199">
        <f t="shared" si="473"/>
        <v>0</v>
      </c>
      <c r="Y1199">
        <f t="shared" si="474"/>
        <v>12</v>
      </c>
      <c r="AC1199" t="str">
        <f>IF(客户自备加工筐明细!$C1199="","",客户自备加工筐明细!$C1199)</f>
        <v/>
      </c>
      <c r="AD1199">
        <f t="shared" si="475"/>
        <v>0</v>
      </c>
      <c r="AE1199">
        <f t="shared" si="476"/>
        <v>1</v>
      </c>
      <c r="AI1199" t="str">
        <f>IF(客户自备加工筐明细!$E1199="","",客户自备加工筐明细!$E1199)</f>
        <v/>
      </c>
      <c r="AJ1199">
        <f t="shared" si="477"/>
        <v>0</v>
      </c>
      <c r="AK1199">
        <f t="shared" si="478"/>
        <v>1</v>
      </c>
      <c r="CP1199">
        <f>IF(包装物料出入库明细!$D1199="",0,1)</f>
        <v>0</v>
      </c>
      <c r="CQ1199">
        <f t="shared" si="479"/>
        <v>37</v>
      </c>
      <c r="CS1199" t="str">
        <f>IF(OR(周转筐出入库明细!$C1200="",周转筐出入库明细!$F1200&lt;&gt;"采购入库"),"",周转筐出入库明细!$C1200)</f>
        <v/>
      </c>
      <c r="CT1199">
        <f t="shared" si="480"/>
        <v>0</v>
      </c>
      <c r="CU1199">
        <f t="shared" si="481"/>
        <v>1</v>
      </c>
    </row>
    <row r="1200" spans="1:99">
      <c r="A1200" t="str">
        <f>IF(包装物料出入库明细!$E1200="","",包装物料出入库明细!$E1200)</f>
        <v/>
      </c>
      <c r="B1200">
        <f t="shared" si="467"/>
        <v>0</v>
      </c>
      <c r="C1200">
        <f t="shared" si="468"/>
        <v>7</v>
      </c>
      <c r="D1200" t="str">
        <f>IF(包装物料出入库明细!$E1200="","",包装物料出入库明细!$F1200)</f>
        <v/>
      </c>
      <c r="E1200" t="str">
        <f>IF(包装物料出入库明细!$E1200="","",包装物料出入库明细!$G1200)</f>
        <v/>
      </c>
      <c r="K1200" t="str">
        <f>IF(包装物料出入库明细!$D1200="","",包装物料出入库明细!$D1200)</f>
        <v/>
      </c>
      <c r="L1200">
        <f t="shared" si="469"/>
        <v>0</v>
      </c>
      <c r="M1200">
        <f t="shared" si="470"/>
        <v>9</v>
      </c>
      <c r="Q1200" t="str">
        <f>IF(周转筐出入库明细!$D1201="","",周转筐出入库明细!$D1201)</f>
        <v/>
      </c>
      <c r="R1200">
        <f t="shared" si="471"/>
        <v>0</v>
      </c>
      <c r="S1200">
        <f t="shared" si="472"/>
        <v>5</v>
      </c>
      <c r="W1200" t="str">
        <f>IF(周转筐出入库明细!$C1201="","",周转筐出入库明细!$C1201)</f>
        <v/>
      </c>
      <c r="X1200">
        <f t="shared" si="473"/>
        <v>0</v>
      </c>
      <c r="Y1200">
        <f t="shared" si="474"/>
        <v>12</v>
      </c>
      <c r="AC1200" t="str">
        <f>IF(客户自备加工筐明细!$C1200="","",客户自备加工筐明细!$C1200)</f>
        <v/>
      </c>
      <c r="AD1200">
        <f t="shared" si="475"/>
        <v>0</v>
      </c>
      <c r="AE1200">
        <f t="shared" si="476"/>
        <v>1</v>
      </c>
      <c r="AI1200" t="str">
        <f>IF(客户自备加工筐明细!$E1200="","",客户自备加工筐明细!$E1200)</f>
        <v/>
      </c>
      <c r="AJ1200">
        <f t="shared" si="477"/>
        <v>0</v>
      </c>
      <c r="AK1200">
        <f t="shared" si="478"/>
        <v>1</v>
      </c>
      <c r="CP1200">
        <f>IF(包装物料出入库明细!$D1200="",0,1)</f>
        <v>0</v>
      </c>
      <c r="CQ1200">
        <f t="shared" si="479"/>
        <v>37</v>
      </c>
      <c r="CS1200" t="str">
        <f>IF(OR(周转筐出入库明细!$C1201="",周转筐出入库明细!$F1201&lt;&gt;"采购入库"),"",周转筐出入库明细!$C1201)</f>
        <v/>
      </c>
      <c r="CT1200">
        <f t="shared" si="480"/>
        <v>0</v>
      </c>
      <c r="CU1200">
        <f t="shared" si="481"/>
        <v>1</v>
      </c>
    </row>
    <row r="1201" spans="1:99">
      <c r="A1201" t="str">
        <f>IF(包装物料出入库明细!$E1201="","",包装物料出入库明细!$E1201)</f>
        <v/>
      </c>
      <c r="B1201">
        <f t="shared" si="467"/>
        <v>0</v>
      </c>
      <c r="C1201">
        <f t="shared" si="468"/>
        <v>7</v>
      </c>
      <c r="D1201" t="str">
        <f>IF(包装物料出入库明细!$E1201="","",包装物料出入库明细!$F1201)</f>
        <v/>
      </c>
      <c r="E1201" t="str">
        <f>IF(包装物料出入库明细!$E1201="","",包装物料出入库明细!$G1201)</f>
        <v/>
      </c>
      <c r="K1201" t="str">
        <f>IF(包装物料出入库明细!$D1201="","",包装物料出入库明细!$D1201)</f>
        <v/>
      </c>
      <c r="L1201">
        <f t="shared" si="469"/>
        <v>0</v>
      </c>
      <c r="M1201">
        <f t="shared" si="470"/>
        <v>9</v>
      </c>
      <c r="Q1201" t="str">
        <f>IF(周转筐出入库明细!$D1202="","",周转筐出入库明细!$D1202)</f>
        <v/>
      </c>
      <c r="R1201">
        <f t="shared" si="471"/>
        <v>0</v>
      </c>
      <c r="S1201">
        <f t="shared" si="472"/>
        <v>5</v>
      </c>
      <c r="W1201" t="str">
        <f>IF(周转筐出入库明细!$C1202="","",周转筐出入库明细!$C1202)</f>
        <v/>
      </c>
      <c r="X1201">
        <f t="shared" si="473"/>
        <v>0</v>
      </c>
      <c r="Y1201">
        <f t="shared" si="474"/>
        <v>12</v>
      </c>
      <c r="AC1201" t="str">
        <f>IF(客户自备加工筐明细!$C1201="","",客户自备加工筐明细!$C1201)</f>
        <v/>
      </c>
      <c r="AD1201">
        <f t="shared" si="475"/>
        <v>0</v>
      </c>
      <c r="AE1201">
        <f t="shared" si="476"/>
        <v>1</v>
      </c>
      <c r="AI1201" t="str">
        <f>IF(客户自备加工筐明细!$E1201="","",客户自备加工筐明细!$E1201)</f>
        <v/>
      </c>
      <c r="AJ1201">
        <f t="shared" si="477"/>
        <v>0</v>
      </c>
      <c r="AK1201">
        <f t="shared" si="478"/>
        <v>1</v>
      </c>
      <c r="CP1201">
        <f>IF(包装物料出入库明细!$D1201="",0,1)</f>
        <v>0</v>
      </c>
      <c r="CQ1201">
        <f t="shared" si="479"/>
        <v>37</v>
      </c>
      <c r="CS1201" t="str">
        <f>IF(OR(周转筐出入库明细!$C1202="",周转筐出入库明细!$F1202&lt;&gt;"采购入库"),"",周转筐出入库明细!$C1202)</f>
        <v/>
      </c>
      <c r="CT1201">
        <f t="shared" si="480"/>
        <v>0</v>
      </c>
      <c r="CU1201">
        <f t="shared" si="481"/>
        <v>1</v>
      </c>
    </row>
    <row r="1202" spans="1:99">
      <c r="A1202" t="str">
        <f>IF(包装物料出入库明细!$E1202="","",包装物料出入库明细!$E1202)</f>
        <v/>
      </c>
      <c r="B1202">
        <f t="shared" si="467"/>
        <v>0</v>
      </c>
      <c r="C1202">
        <f t="shared" si="468"/>
        <v>7</v>
      </c>
      <c r="D1202" t="str">
        <f>IF(包装物料出入库明细!$E1202="","",包装物料出入库明细!$F1202)</f>
        <v/>
      </c>
      <c r="E1202" t="str">
        <f>IF(包装物料出入库明细!$E1202="","",包装物料出入库明细!$G1202)</f>
        <v/>
      </c>
      <c r="K1202" t="str">
        <f>IF(包装物料出入库明细!$D1202="","",包装物料出入库明细!$D1202)</f>
        <v/>
      </c>
      <c r="L1202">
        <f t="shared" si="469"/>
        <v>0</v>
      </c>
      <c r="M1202">
        <f t="shared" si="470"/>
        <v>9</v>
      </c>
      <c r="Q1202" t="str">
        <f>IF(周转筐出入库明细!$D1203="","",周转筐出入库明细!$D1203)</f>
        <v/>
      </c>
      <c r="R1202">
        <f t="shared" si="471"/>
        <v>0</v>
      </c>
      <c r="S1202">
        <f t="shared" si="472"/>
        <v>5</v>
      </c>
      <c r="W1202" t="str">
        <f>IF(周转筐出入库明细!$C1203="","",周转筐出入库明细!$C1203)</f>
        <v/>
      </c>
      <c r="X1202">
        <f t="shared" si="473"/>
        <v>0</v>
      </c>
      <c r="Y1202">
        <f t="shared" si="474"/>
        <v>12</v>
      </c>
      <c r="AC1202" t="str">
        <f>IF(客户自备加工筐明细!$C1202="","",客户自备加工筐明细!$C1202)</f>
        <v/>
      </c>
      <c r="AD1202">
        <f t="shared" si="475"/>
        <v>0</v>
      </c>
      <c r="AE1202">
        <f t="shared" si="476"/>
        <v>1</v>
      </c>
      <c r="AI1202" t="str">
        <f>IF(客户自备加工筐明细!$E1202="","",客户自备加工筐明细!$E1202)</f>
        <v/>
      </c>
      <c r="AJ1202">
        <f t="shared" si="477"/>
        <v>0</v>
      </c>
      <c r="AK1202">
        <f t="shared" si="478"/>
        <v>1</v>
      </c>
      <c r="CP1202">
        <f>IF(包装物料出入库明细!$D1202="",0,1)</f>
        <v>0</v>
      </c>
      <c r="CQ1202">
        <f t="shared" si="479"/>
        <v>37</v>
      </c>
      <c r="CS1202" t="str">
        <f>IF(OR(周转筐出入库明细!$C1203="",周转筐出入库明细!$F1203&lt;&gt;"采购入库"),"",周转筐出入库明细!$C1203)</f>
        <v/>
      </c>
      <c r="CT1202">
        <f t="shared" si="480"/>
        <v>0</v>
      </c>
      <c r="CU1202">
        <f t="shared" si="481"/>
        <v>1</v>
      </c>
    </row>
    <row r="1203" spans="1:99">
      <c r="A1203" t="str">
        <f>IF(包装物料出入库明细!$E1203="","",包装物料出入库明细!$E1203)</f>
        <v/>
      </c>
      <c r="B1203">
        <f t="shared" si="467"/>
        <v>0</v>
      </c>
      <c r="C1203">
        <f t="shared" si="468"/>
        <v>7</v>
      </c>
      <c r="D1203" t="str">
        <f>IF(包装物料出入库明细!$E1203="","",包装物料出入库明细!$F1203)</f>
        <v/>
      </c>
      <c r="E1203" t="str">
        <f>IF(包装物料出入库明细!$E1203="","",包装物料出入库明细!$G1203)</f>
        <v/>
      </c>
      <c r="K1203" t="str">
        <f>IF(包装物料出入库明细!$D1203="","",包装物料出入库明细!$D1203)</f>
        <v/>
      </c>
      <c r="L1203">
        <f t="shared" si="469"/>
        <v>0</v>
      </c>
      <c r="M1203">
        <f t="shared" si="470"/>
        <v>9</v>
      </c>
      <c r="Q1203" t="str">
        <f>IF(周转筐出入库明细!$D1204="","",周转筐出入库明细!$D1204)</f>
        <v/>
      </c>
      <c r="R1203">
        <f t="shared" si="471"/>
        <v>0</v>
      </c>
      <c r="S1203">
        <f t="shared" si="472"/>
        <v>5</v>
      </c>
      <c r="W1203" t="str">
        <f>IF(周转筐出入库明细!$C1204="","",周转筐出入库明细!$C1204)</f>
        <v/>
      </c>
      <c r="X1203">
        <f t="shared" si="473"/>
        <v>0</v>
      </c>
      <c r="Y1203">
        <f t="shared" si="474"/>
        <v>12</v>
      </c>
      <c r="AC1203" t="str">
        <f>IF(客户自备加工筐明细!$C1203="","",客户自备加工筐明细!$C1203)</f>
        <v/>
      </c>
      <c r="AD1203">
        <f t="shared" si="475"/>
        <v>0</v>
      </c>
      <c r="AE1203">
        <f t="shared" si="476"/>
        <v>1</v>
      </c>
      <c r="AI1203" t="str">
        <f>IF(客户自备加工筐明细!$E1203="","",客户自备加工筐明细!$E1203)</f>
        <v/>
      </c>
      <c r="AJ1203">
        <f t="shared" si="477"/>
        <v>0</v>
      </c>
      <c r="AK1203">
        <f t="shared" si="478"/>
        <v>1</v>
      </c>
      <c r="CP1203">
        <f>IF(包装物料出入库明细!$D1203="",0,1)</f>
        <v>0</v>
      </c>
      <c r="CQ1203">
        <f t="shared" si="479"/>
        <v>37</v>
      </c>
      <c r="CS1203" t="str">
        <f>IF(OR(周转筐出入库明细!$C1204="",周转筐出入库明细!$F1204&lt;&gt;"采购入库"),"",周转筐出入库明细!$C1204)</f>
        <v/>
      </c>
      <c r="CT1203">
        <f t="shared" si="480"/>
        <v>0</v>
      </c>
      <c r="CU1203">
        <f t="shared" si="481"/>
        <v>1</v>
      </c>
    </row>
    <row r="1204" spans="1:99">
      <c r="A1204" t="str">
        <f>IF(包装物料出入库明细!$E1204="","",包装物料出入库明细!$E1204)</f>
        <v/>
      </c>
      <c r="B1204">
        <f t="shared" si="467"/>
        <v>0</v>
      </c>
      <c r="C1204">
        <f t="shared" si="468"/>
        <v>7</v>
      </c>
      <c r="D1204" t="str">
        <f>IF(包装物料出入库明细!$E1204="","",包装物料出入库明细!$F1204)</f>
        <v/>
      </c>
      <c r="E1204" t="str">
        <f>IF(包装物料出入库明细!$E1204="","",包装物料出入库明细!$G1204)</f>
        <v/>
      </c>
      <c r="K1204" t="str">
        <f>IF(包装物料出入库明细!$D1204="","",包装物料出入库明细!$D1204)</f>
        <v/>
      </c>
      <c r="L1204">
        <f t="shared" si="469"/>
        <v>0</v>
      </c>
      <c r="M1204">
        <f t="shared" si="470"/>
        <v>9</v>
      </c>
      <c r="Q1204" t="str">
        <f>IF(周转筐出入库明细!$D1205="","",周转筐出入库明细!$D1205)</f>
        <v/>
      </c>
      <c r="R1204">
        <f t="shared" si="471"/>
        <v>0</v>
      </c>
      <c r="S1204">
        <f t="shared" si="472"/>
        <v>5</v>
      </c>
      <c r="W1204" t="str">
        <f>IF(周转筐出入库明细!$C1205="","",周转筐出入库明细!$C1205)</f>
        <v/>
      </c>
      <c r="X1204">
        <f t="shared" si="473"/>
        <v>0</v>
      </c>
      <c r="Y1204">
        <f t="shared" si="474"/>
        <v>12</v>
      </c>
      <c r="AI1204" t="str">
        <f>IF(OR(对接源_01水果筐数!$B5="",LEFT(对接源_01水果筐数!$C5,2)&lt;&gt;"自备"),"",对接源_01水果筐数!$B5)</f>
        <v>聂新平</v>
      </c>
      <c r="AJ1204">
        <f t="shared" si="477"/>
        <v>1</v>
      </c>
      <c r="AK1204">
        <f t="shared" si="478"/>
        <v>2</v>
      </c>
      <c r="CP1204">
        <f>IF(包装物料出入库明细!$D1204="",0,1)</f>
        <v>0</v>
      </c>
      <c r="CQ1204">
        <f t="shared" si="479"/>
        <v>37</v>
      </c>
      <c r="CS1204" t="str">
        <f>IF(OR(周转筐出入库明细!$C1205="",周转筐出入库明细!$F1205&lt;&gt;"采购入库"),"",周转筐出入库明细!$C1205)</f>
        <v/>
      </c>
      <c r="CT1204">
        <f t="shared" si="480"/>
        <v>0</v>
      </c>
      <c r="CU1204">
        <f t="shared" si="481"/>
        <v>1</v>
      </c>
    </row>
    <row r="1205" spans="1:99">
      <c r="A1205" t="str">
        <f>IF(包装物料出入库明细!$E1205="","",包装物料出入库明细!$E1205)</f>
        <v/>
      </c>
      <c r="B1205">
        <f t="shared" si="467"/>
        <v>0</v>
      </c>
      <c r="C1205">
        <f t="shared" si="468"/>
        <v>7</v>
      </c>
      <c r="D1205" t="str">
        <f>IF(包装物料出入库明细!$E1205="","",包装物料出入库明细!$F1205)</f>
        <v/>
      </c>
      <c r="E1205" t="str">
        <f>IF(包装物料出入库明细!$E1205="","",包装物料出入库明细!$G1205)</f>
        <v/>
      </c>
      <c r="K1205" t="str">
        <f>IF(包装物料出入库明细!$D1205="","",包装物料出入库明细!$D1205)</f>
        <v/>
      </c>
      <c r="L1205">
        <f t="shared" si="469"/>
        <v>0</v>
      </c>
      <c r="M1205">
        <f t="shared" si="470"/>
        <v>9</v>
      </c>
      <c r="Q1205" t="str">
        <f>IF(周转筐出入库明细!$D1206="","",周转筐出入库明细!$D1206)</f>
        <v/>
      </c>
      <c r="R1205">
        <f t="shared" si="471"/>
        <v>0</v>
      </c>
      <c r="S1205">
        <f t="shared" si="472"/>
        <v>5</v>
      </c>
      <c r="W1205" t="str">
        <f>IF(周转筐出入库明细!$C1206="","",周转筐出入库明细!$C1206)</f>
        <v/>
      </c>
      <c r="X1205">
        <f t="shared" si="473"/>
        <v>0</v>
      </c>
      <c r="Y1205">
        <f t="shared" si="474"/>
        <v>12</v>
      </c>
      <c r="AI1205" t="str">
        <f>IF(OR(对接源_01水果筐数!$B6="",LEFT(对接源_01水果筐数!$C6,2)&lt;&gt;"自备"),"",对接源_01水果筐数!$B6)</f>
        <v/>
      </c>
      <c r="AJ1205">
        <f t="shared" si="477"/>
        <v>0</v>
      </c>
      <c r="AK1205">
        <f t="shared" si="478"/>
        <v>2</v>
      </c>
      <c r="CP1205">
        <f>IF(包装物料出入库明细!$D1205="",0,1)</f>
        <v>0</v>
      </c>
      <c r="CQ1205">
        <f t="shared" si="479"/>
        <v>37</v>
      </c>
      <c r="CS1205" t="str">
        <f>IF(OR(周转筐出入库明细!$C1206="",周转筐出入库明细!$F1206&lt;&gt;"采购入库"),"",周转筐出入库明细!$C1206)</f>
        <v/>
      </c>
      <c r="CT1205">
        <f t="shared" si="480"/>
        <v>0</v>
      </c>
      <c r="CU1205">
        <f t="shared" si="481"/>
        <v>1</v>
      </c>
    </row>
    <row r="1206" spans="1:99">
      <c r="A1206" t="str">
        <f>IF(包装物料出入库明细!$E1206="","",包装物料出入库明细!$E1206)</f>
        <v/>
      </c>
      <c r="B1206">
        <f t="shared" si="467"/>
        <v>0</v>
      </c>
      <c r="C1206">
        <f t="shared" si="468"/>
        <v>7</v>
      </c>
      <c r="D1206" t="str">
        <f>IF(包装物料出入库明细!$E1206="","",包装物料出入库明细!$F1206)</f>
        <v/>
      </c>
      <c r="E1206" t="str">
        <f>IF(包装物料出入库明细!$E1206="","",包装物料出入库明细!$G1206)</f>
        <v/>
      </c>
      <c r="K1206" t="str">
        <f>IF(包装物料出入库明细!$D1206="","",包装物料出入库明细!$D1206)</f>
        <v/>
      </c>
      <c r="L1206">
        <f t="shared" si="469"/>
        <v>0</v>
      </c>
      <c r="M1206">
        <f t="shared" si="470"/>
        <v>9</v>
      </c>
      <c r="Q1206" t="str">
        <f>IF(周转筐出入库明细!$D1207="","",周转筐出入库明细!$D1207)</f>
        <v/>
      </c>
      <c r="R1206">
        <f t="shared" si="471"/>
        <v>0</v>
      </c>
      <c r="S1206">
        <f t="shared" si="472"/>
        <v>5</v>
      </c>
      <c r="W1206" t="str">
        <f>IF(周转筐出入库明细!$C1207="","",周转筐出入库明细!$C1207)</f>
        <v/>
      </c>
      <c r="X1206">
        <f t="shared" si="473"/>
        <v>0</v>
      </c>
      <c r="Y1206">
        <f t="shared" si="474"/>
        <v>12</v>
      </c>
      <c r="AI1206" t="str">
        <f>IF(OR(对接源_01水果筐数!$B7="",LEFT(对接源_01水果筐数!$C7,2)&lt;&gt;"自备"),"",对接源_01水果筐数!$B7)</f>
        <v>伍元虎</v>
      </c>
      <c r="AJ1206">
        <f t="shared" si="477"/>
        <v>1</v>
      </c>
      <c r="AK1206">
        <f t="shared" si="478"/>
        <v>3</v>
      </c>
      <c r="CP1206">
        <f>IF(包装物料出入库明细!$D1206="",0,1)</f>
        <v>0</v>
      </c>
      <c r="CQ1206">
        <f t="shared" si="479"/>
        <v>37</v>
      </c>
      <c r="CS1206" t="str">
        <f>IF(OR(周转筐出入库明细!$C1207="",周转筐出入库明细!$F1207&lt;&gt;"采购入库"),"",周转筐出入库明细!$C1207)</f>
        <v/>
      </c>
      <c r="CT1206">
        <f t="shared" si="480"/>
        <v>0</v>
      </c>
      <c r="CU1206">
        <f t="shared" si="481"/>
        <v>1</v>
      </c>
    </row>
    <row r="1207" spans="1:99">
      <c r="A1207" t="str">
        <f>IF(包装物料出入库明细!$E1207="","",包装物料出入库明细!$E1207)</f>
        <v/>
      </c>
      <c r="B1207">
        <f t="shared" si="467"/>
        <v>0</v>
      </c>
      <c r="C1207">
        <f t="shared" si="468"/>
        <v>7</v>
      </c>
      <c r="D1207" t="str">
        <f>IF(包装物料出入库明细!$E1207="","",包装物料出入库明细!$F1207)</f>
        <v/>
      </c>
      <c r="E1207" t="str">
        <f>IF(包装物料出入库明细!$E1207="","",包装物料出入库明细!$G1207)</f>
        <v/>
      </c>
      <c r="K1207" t="str">
        <f>IF(包装物料出入库明细!$D1207="","",包装物料出入库明细!$D1207)</f>
        <v/>
      </c>
      <c r="L1207">
        <f t="shared" si="469"/>
        <v>0</v>
      </c>
      <c r="M1207">
        <f t="shared" si="470"/>
        <v>9</v>
      </c>
      <c r="Q1207" t="str">
        <f>IF(周转筐出入库明细!$D1208="","",周转筐出入库明细!$D1208)</f>
        <v/>
      </c>
      <c r="R1207">
        <f t="shared" si="471"/>
        <v>0</v>
      </c>
      <c r="S1207">
        <f t="shared" si="472"/>
        <v>5</v>
      </c>
      <c r="W1207" t="str">
        <f>IF(周转筐出入库明细!$C1208="","",周转筐出入库明细!$C1208)</f>
        <v/>
      </c>
      <c r="X1207">
        <f t="shared" si="473"/>
        <v>0</v>
      </c>
      <c r="Y1207">
        <f t="shared" si="474"/>
        <v>12</v>
      </c>
      <c r="AI1207" t="str">
        <f>IF(OR(对接源_01水果筐数!$B8="",LEFT(对接源_01水果筐数!$C8,2)&lt;&gt;"自备"),"",对接源_01水果筐数!$B8)</f>
        <v>王照雪</v>
      </c>
      <c r="AJ1207">
        <f t="shared" si="477"/>
        <v>0</v>
      </c>
      <c r="AK1207">
        <f t="shared" si="478"/>
        <v>3</v>
      </c>
      <c r="CP1207">
        <f>IF(包装物料出入库明细!$D1207="",0,1)</f>
        <v>0</v>
      </c>
      <c r="CQ1207">
        <f t="shared" si="479"/>
        <v>37</v>
      </c>
      <c r="CS1207" t="str">
        <f>IF(OR(周转筐出入库明细!$C1208="",周转筐出入库明细!$F1208&lt;&gt;"采购入库"),"",周转筐出入库明细!$C1208)</f>
        <v/>
      </c>
      <c r="CT1207">
        <f t="shared" si="480"/>
        <v>0</v>
      </c>
      <c r="CU1207">
        <f t="shared" si="481"/>
        <v>1</v>
      </c>
    </row>
    <row r="1208" spans="1:99">
      <c r="A1208" t="str">
        <f>IF(包装物料出入库明细!$E1208="","",包装物料出入库明细!$E1208)</f>
        <v/>
      </c>
      <c r="B1208">
        <f t="shared" si="467"/>
        <v>0</v>
      </c>
      <c r="C1208">
        <f t="shared" si="468"/>
        <v>7</v>
      </c>
      <c r="D1208" t="str">
        <f>IF(包装物料出入库明细!$E1208="","",包装物料出入库明细!$F1208)</f>
        <v/>
      </c>
      <c r="E1208" t="str">
        <f>IF(包装物料出入库明细!$E1208="","",包装物料出入库明细!$G1208)</f>
        <v/>
      </c>
      <c r="K1208" t="str">
        <f>IF(包装物料出入库明细!$D1208="","",包装物料出入库明细!$D1208)</f>
        <v/>
      </c>
      <c r="L1208">
        <f t="shared" si="469"/>
        <v>0</v>
      </c>
      <c r="M1208">
        <f t="shared" si="470"/>
        <v>9</v>
      </c>
      <c r="Q1208" t="str">
        <f>IF(周转筐出入库明细!$D1209="","",周转筐出入库明细!$D1209)</f>
        <v/>
      </c>
      <c r="R1208">
        <f t="shared" si="471"/>
        <v>0</v>
      </c>
      <c r="S1208">
        <f t="shared" si="472"/>
        <v>5</v>
      </c>
      <c r="W1208" t="str">
        <f>IF(周转筐出入库明细!$C1209="","",周转筐出入库明细!$C1209)</f>
        <v/>
      </c>
      <c r="X1208">
        <f t="shared" si="473"/>
        <v>0</v>
      </c>
      <c r="Y1208">
        <f t="shared" si="474"/>
        <v>12</v>
      </c>
      <c r="AI1208" t="str">
        <f>IF(OR(对接源_01水果筐数!$B9="",LEFT(对接源_01水果筐数!$C9,2)&lt;&gt;"自备"),"",对接源_01水果筐数!$B9)</f>
        <v>马锦祥</v>
      </c>
      <c r="AJ1208">
        <f t="shared" si="477"/>
        <v>1</v>
      </c>
      <c r="AK1208">
        <f t="shared" si="478"/>
        <v>4</v>
      </c>
      <c r="CP1208">
        <f>IF(包装物料出入库明细!$D1208="",0,1)</f>
        <v>0</v>
      </c>
      <c r="CQ1208">
        <f t="shared" si="479"/>
        <v>37</v>
      </c>
      <c r="CS1208" t="str">
        <f>IF(OR(周转筐出入库明细!$C1209="",周转筐出入库明细!$F1209&lt;&gt;"采购入库"),"",周转筐出入库明细!$C1209)</f>
        <v/>
      </c>
      <c r="CT1208">
        <f t="shared" si="480"/>
        <v>0</v>
      </c>
      <c r="CU1208">
        <f t="shared" si="481"/>
        <v>1</v>
      </c>
    </row>
    <row r="1209" spans="1:99">
      <c r="A1209" t="str">
        <f>IF(包装物料出入库明细!$E1209="","",包装物料出入库明细!$E1209)</f>
        <v/>
      </c>
      <c r="B1209">
        <f t="shared" si="467"/>
        <v>0</v>
      </c>
      <c r="C1209">
        <f t="shared" si="468"/>
        <v>7</v>
      </c>
      <c r="D1209" t="str">
        <f>IF(包装物料出入库明细!$E1209="","",包装物料出入库明细!$F1209)</f>
        <v/>
      </c>
      <c r="E1209" t="str">
        <f>IF(包装物料出入库明细!$E1209="","",包装物料出入库明细!$G1209)</f>
        <v/>
      </c>
      <c r="K1209" t="str">
        <f>IF(包装物料出入库明细!$D1209="","",包装物料出入库明细!$D1209)</f>
        <v/>
      </c>
      <c r="L1209">
        <f t="shared" si="469"/>
        <v>0</v>
      </c>
      <c r="M1209">
        <f t="shared" si="470"/>
        <v>9</v>
      </c>
      <c r="Q1209" t="str">
        <f>IF(周转筐出入库明细!$D1210="","",周转筐出入库明细!$D1210)</f>
        <v/>
      </c>
      <c r="R1209">
        <f t="shared" si="471"/>
        <v>0</v>
      </c>
      <c r="S1209">
        <f t="shared" si="472"/>
        <v>5</v>
      </c>
      <c r="W1209" t="str">
        <f>IF(周转筐出入库明细!$C1210="","",周转筐出入库明细!$C1210)</f>
        <v/>
      </c>
      <c r="X1209">
        <f t="shared" si="473"/>
        <v>0</v>
      </c>
      <c r="Y1209">
        <f t="shared" si="474"/>
        <v>12</v>
      </c>
      <c r="AI1209" t="str">
        <f>IF(OR(对接源_01水果筐数!$B10="",LEFT(对接源_01水果筐数!$C10,2)&lt;&gt;"自备"),"",对接源_01水果筐数!$B10)</f>
        <v/>
      </c>
      <c r="AJ1209">
        <f t="shared" si="477"/>
        <v>0</v>
      </c>
      <c r="AK1209">
        <f t="shared" si="478"/>
        <v>4</v>
      </c>
      <c r="CP1209">
        <f>IF(包装物料出入库明细!$D1209="",0,1)</f>
        <v>0</v>
      </c>
      <c r="CQ1209">
        <f t="shared" si="479"/>
        <v>37</v>
      </c>
      <c r="CS1209" t="str">
        <f>IF(OR(周转筐出入库明细!$C1210="",周转筐出入库明细!$F1210&lt;&gt;"采购入库"),"",周转筐出入库明细!$C1210)</f>
        <v/>
      </c>
      <c r="CT1209">
        <f t="shared" si="480"/>
        <v>0</v>
      </c>
      <c r="CU1209">
        <f t="shared" si="481"/>
        <v>1</v>
      </c>
    </row>
    <row r="1210" spans="1:99">
      <c r="A1210" t="str">
        <f>IF(包装物料出入库明细!$E1210="","",包装物料出入库明细!$E1210)</f>
        <v/>
      </c>
      <c r="B1210">
        <f t="shared" si="467"/>
        <v>0</v>
      </c>
      <c r="C1210">
        <f t="shared" si="468"/>
        <v>7</v>
      </c>
      <c r="D1210" t="str">
        <f>IF(包装物料出入库明细!$E1210="","",包装物料出入库明细!$F1210)</f>
        <v/>
      </c>
      <c r="E1210" t="str">
        <f>IF(包装物料出入库明细!$E1210="","",包装物料出入库明细!$G1210)</f>
        <v/>
      </c>
      <c r="K1210" t="str">
        <f>IF(包装物料出入库明细!$D1210="","",包装物料出入库明细!$D1210)</f>
        <v/>
      </c>
      <c r="L1210">
        <f t="shared" si="469"/>
        <v>0</v>
      </c>
      <c r="M1210">
        <f t="shared" si="470"/>
        <v>9</v>
      </c>
      <c r="Q1210" t="str">
        <f>IF(周转筐出入库明细!$D1211="","",周转筐出入库明细!$D1211)</f>
        <v/>
      </c>
      <c r="R1210">
        <f t="shared" si="471"/>
        <v>0</v>
      </c>
      <c r="S1210">
        <f t="shared" si="472"/>
        <v>5</v>
      </c>
      <c r="W1210" t="str">
        <f>IF(周转筐出入库明细!$C1211="","",周转筐出入库明细!$C1211)</f>
        <v/>
      </c>
      <c r="X1210">
        <f t="shared" si="473"/>
        <v>0</v>
      </c>
      <c r="Y1210">
        <f t="shared" si="474"/>
        <v>12</v>
      </c>
      <c r="AI1210" t="str">
        <f>IF(OR(对接源_01水果筐数!$B11="",LEFT(对接源_01水果筐数!$C11,2)&lt;&gt;"自备"),"",对接源_01水果筐数!$B11)</f>
        <v/>
      </c>
      <c r="AJ1210">
        <f t="shared" si="477"/>
        <v>0</v>
      </c>
      <c r="AK1210">
        <f t="shared" si="478"/>
        <v>4</v>
      </c>
      <c r="CP1210">
        <f>IF(包装物料出入库明细!$D1210="",0,1)</f>
        <v>0</v>
      </c>
      <c r="CQ1210">
        <f t="shared" si="479"/>
        <v>37</v>
      </c>
      <c r="CS1210" t="str">
        <f>IF(OR(周转筐出入库明细!$C1211="",周转筐出入库明细!$F1211&lt;&gt;"采购入库"),"",周转筐出入库明细!$C1211)</f>
        <v/>
      </c>
      <c r="CT1210">
        <f t="shared" si="480"/>
        <v>0</v>
      </c>
      <c r="CU1210">
        <f t="shared" si="481"/>
        <v>1</v>
      </c>
    </row>
    <row r="1211" spans="1:99">
      <c r="A1211" t="str">
        <f>IF(包装物料出入库明细!$E1211="","",包装物料出入库明细!$E1211)</f>
        <v/>
      </c>
      <c r="B1211">
        <f t="shared" si="467"/>
        <v>0</v>
      </c>
      <c r="C1211">
        <f t="shared" si="468"/>
        <v>7</v>
      </c>
      <c r="D1211" t="str">
        <f>IF(包装物料出入库明细!$E1211="","",包装物料出入库明细!$F1211)</f>
        <v/>
      </c>
      <c r="E1211" t="str">
        <f>IF(包装物料出入库明细!$E1211="","",包装物料出入库明细!$G1211)</f>
        <v/>
      </c>
      <c r="K1211" t="str">
        <f>IF(包装物料出入库明细!$D1211="","",包装物料出入库明细!$D1211)</f>
        <v/>
      </c>
      <c r="L1211">
        <f t="shared" si="469"/>
        <v>0</v>
      </c>
      <c r="M1211">
        <f t="shared" si="470"/>
        <v>9</v>
      </c>
      <c r="Q1211" t="str">
        <f>IF(周转筐出入库明细!$D1212="","",周转筐出入库明细!$D1212)</f>
        <v/>
      </c>
      <c r="R1211">
        <f t="shared" si="471"/>
        <v>0</v>
      </c>
      <c r="S1211">
        <f t="shared" si="472"/>
        <v>5</v>
      </c>
      <c r="W1211" t="str">
        <f>IF(周转筐出入库明细!$C1212="","",周转筐出入库明细!$C1212)</f>
        <v/>
      </c>
      <c r="X1211">
        <f t="shared" si="473"/>
        <v>0</v>
      </c>
      <c r="Y1211">
        <f t="shared" si="474"/>
        <v>12</v>
      </c>
      <c r="AI1211" t="str">
        <f>IF(OR(对接源_01水果筐数!$B12="",LEFT(对接源_01水果筐数!$C12,2)&lt;&gt;"自备"),"",对接源_01水果筐数!$B12)</f>
        <v/>
      </c>
      <c r="AJ1211">
        <f t="shared" si="477"/>
        <v>0</v>
      </c>
      <c r="AK1211">
        <f t="shared" si="478"/>
        <v>4</v>
      </c>
      <c r="CP1211">
        <f>IF(包装物料出入库明细!$D1211="",0,1)</f>
        <v>0</v>
      </c>
      <c r="CQ1211">
        <f t="shared" si="479"/>
        <v>37</v>
      </c>
      <c r="CS1211" t="str">
        <f>IF(OR(周转筐出入库明细!$C1212="",周转筐出入库明细!$F1212&lt;&gt;"采购入库"),"",周转筐出入库明细!$C1212)</f>
        <v/>
      </c>
      <c r="CT1211">
        <f t="shared" si="480"/>
        <v>0</v>
      </c>
      <c r="CU1211">
        <f t="shared" si="481"/>
        <v>1</v>
      </c>
    </row>
    <row r="1212" spans="1:99">
      <c r="A1212" t="str">
        <f>IF(包装物料出入库明细!$E1212="","",包装物料出入库明细!$E1212)</f>
        <v/>
      </c>
      <c r="B1212">
        <f t="shared" si="467"/>
        <v>0</v>
      </c>
      <c r="C1212">
        <f t="shared" si="468"/>
        <v>7</v>
      </c>
      <c r="D1212" t="str">
        <f>IF(包装物料出入库明细!$E1212="","",包装物料出入库明细!$F1212)</f>
        <v/>
      </c>
      <c r="E1212" t="str">
        <f>IF(包装物料出入库明细!$E1212="","",包装物料出入库明细!$G1212)</f>
        <v/>
      </c>
      <c r="K1212" t="str">
        <f>IF(包装物料出入库明细!$D1212="","",包装物料出入库明细!$D1212)</f>
        <v/>
      </c>
      <c r="L1212">
        <f t="shared" si="469"/>
        <v>0</v>
      </c>
      <c r="M1212">
        <f t="shared" si="470"/>
        <v>9</v>
      </c>
      <c r="Q1212" t="str">
        <f>IF(周转筐出入库明细!$D1213="","",周转筐出入库明细!$D1213)</f>
        <v/>
      </c>
      <c r="R1212">
        <f t="shared" si="471"/>
        <v>0</v>
      </c>
      <c r="S1212">
        <f t="shared" si="472"/>
        <v>5</v>
      </c>
      <c r="W1212" t="str">
        <f>IF(周转筐出入库明细!$C1213="","",周转筐出入库明细!$C1213)</f>
        <v/>
      </c>
      <c r="X1212">
        <f t="shared" si="473"/>
        <v>0</v>
      </c>
      <c r="Y1212">
        <f t="shared" si="474"/>
        <v>12</v>
      </c>
      <c r="AI1212" t="str">
        <f>IF(OR(对接源_01水果筐数!$B13="",LEFT(对接源_01水果筐数!$C13,2)&lt;&gt;"自备"),"",对接源_01水果筐数!$B13)</f>
        <v/>
      </c>
      <c r="AJ1212">
        <f t="shared" si="477"/>
        <v>0</v>
      </c>
      <c r="AK1212">
        <f t="shared" si="478"/>
        <v>4</v>
      </c>
      <c r="CP1212">
        <f>IF(包装物料出入库明细!$D1212="",0,1)</f>
        <v>0</v>
      </c>
      <c r="CQ1212">
        <f t="shared" si="479"/>
        <v>37</v>
      </c>
      <c r="CS1212" t="str">
        <f>IF(OR(周转筐出入库明细!$C1213="",周转筐出入库明细!$F1213&lt;&gt;"采购入库"),"",周转筐出入库明细!$C1213)</f>
        <v/>
      </c>
      <c r="CT1212">
        <f t="shared" si="480"/>
        <v>0</v>
      </c>
      <c r="CU1212">
        <f t="shared" si="481"/>
        <v>1</v>
      </c>
    </row>
    <row r="1213" spans="1:99">
      <c r="A1213" t="str">
        <f>IF(包装物料出入库明细!$E1213="","",包装物料出入库明细!$E1213)</f>
        <v/>
      </c>
      <c r="B1213">
        <f t="shared" si="467"/>
        <v>0</v>
      </c>
      <c r="C1213">
        <f t="shared" si="468"/>
        <v>7</v>
      </c>
      <c r="D1213" t="str">
        <f>IF(包装物料出入库明细!$E1213="","",包装物料出入库明细!$F1213)</f>
        <v/>
      </c>
      <c r="E1213" t="str">
        <f>IF(包装物料出入库明细!$E1213="","",包装物料出入库明细!$G1213)</f>
        <v/>
      </c>
      <c r="K1213" t="str">
        <f>IF(包装物料出入库明细!$D1213="","",包装物料出入库明细!$D1213)</f>
        <v/>
      </c>
      <c r="L1213">
        <f t="shared" si="469"/>
        <v>0</v>
      </c>
      <c r="M1213">
        <f t="shared" si="470"/>
        <v>9</v>
      </c>
      <c r="Q1213" t="str">
        <f>IF(周转筐出入库明细!$D1214="","",周转筐出入库明细!$D1214)</f>
        <v/>
      </c>
      <c r="R1213">
        <f t="shared" si="471"/>
        <v>0</v>
      </c>
      <c r="S1213">
        <f t="shared" si="472"/>
        <v>5</v>
      </c>
      <c r="W1213" t="str">
        <f>IF(周转筐出入库明细!$C1214="","",周转筐出入库明细!$C1214)</f>
        <v/>
      </c>
      <c r="X1213">
        <f t="shared" si="473"/>
        <v>0</v>
      </c>
      <c r="Y1213">
        <f t="shared" si="474"/>
        <v>12</v>
      </c>
      <c r="AI1213" t="str">
        <f>IF(OR(对接源_01水果筐数!$B14="",LEFT(对接源_01水果筐数!$C14,2)&lt;&gt;"自备"),"",对接源_01水果筐数!$B14)</f>
        <v>贾建国</v>
      </c>
      <c r="AJ1213">
        <f t="shared" si="477"/>
        <v>1</v>
      </c>
      <c r="AK1213">
        <f t="shared" si="478"/>
        <v>5</v>
      </c>
      <c r="CP1213">
        <f>IF(包装物料出入库明细!$D1213="",0,1)</f>
        <v>0</v>
      </c>
      <c r="CQ1213">
        <f t="shared" si="479"/>
        <v>37</v>
      </c>
      <c r="CS1213" t="str">
        <f>IF(OR(周转筐出入库明细!$C1214="",周转筐出入库明细!$F1214&lt;&gt;"采购入库"),"",周转筐出入库明细!$C1214)</f>
        <v/>
      </c>
      <c r="CT1213">
        <f t="shared" si="480"/>
        <v>0</v>
      </c>
      <c r="CU1213">
        <f t="shared" si="481"/>
        <v>1</v>
      </c>
    </row>
    <row r="1214" spans="1:99">
      <c r="A1214" t="str">
        <f>IF(包装物料出入库明细!$E1214="","",包装物料出入库明细!$E1214)</f>
        <v/>
      </c>
      <c r="B1214">
        <f t="shared" si="467"/>
        <v>0</v>
      </c>
      <c r="C1214">
        <f t="shared" si="468"/>
        <v>7</v>
      </c>
      <c r="D1214" t="str">
        <f>IF(包装物料出入库明细!$E1214="","",包装物料出入库明细!$F1214)</f>
        <v/>
      </c>
      <c r="E1214" t="str">
        <f>IF(包装物料出入库明细!$E1214="","",包装物料出入库明细!$G1214)</f>
        <v/>
      </c>
      <c r="K1214" t="str">
        <f>IF(包装物料出入库明细!$D1214="","",包装物料出入库明细!$D1214)</f>
        <v/>
      </c>
      <c r="L1214">
        <f t="shared" si="469"/>
        <v>0</v>
      </c>
      <c r="M1214">
        <f t="shared" si="470"/>
        <v>9</v>
      </c>
      <c r="Q1214" t="str">
        <f>IF(周转筐出入库明细!$D1215="","",周转筐出入库明细!$D1215)</f>
        <v/>
      </c>
      <c r="R1214">
        <f t="shared" si="471"/>
        <v>0</v>
      </c>
      <c r="S1214">
        <f t="shared" si="472"/>
        <v>5</v>
      </c>
      <c r="W1214" t="str">
        <f>IF(周转筐出入库明细!$C1215="","",周转筐出入库明细!$C1215)</f>
        <v/>
      </c>
      <c r="X1214">
        <f t="shared" si="473"/>
        <v>0</v>
      </c>
      <c r="Y1214">
        <f t="shared" si="474"/>
        <v>12</v>
      </c>
      <c r="AI1214" t="str">
        <f>IF(OR(对接源_01水果筐数!$B15="",LEFT(对接源_01水果筐数!$C15,2)&lt;&gt;"自备"),"",对接源_01水果筐数!$B15)</f>
        <v>贾建国</v>
      </c>
      <c r="AJ1214">
        <f t="shared" si="477"/>
        <v>0</v>
      </c>
      <c r="AK1214">
        <f t="shared" si="478"/>
        <v>5</v>
      </c>
      <c r="CP1214">
        <f>IF(包装物料出入库明细!$D1214="",0,1)</f>
        <v>0</v>
      </c>
      <c r="CQ1214">
        <f t="shared" si="479"/>
        <v>37</v>
      </c>
      <c r="CS1214" t="str">
        <f>IF(OR(周转筐出入库明细!$C1215="",周转筐出入库明细!$F1215&lt;&gt;"采购入库"),"",周转筐出入库明细!$C1215)</f>
        <v/>
      </c>
      <c r="CT1214">
        <f t="shared" si="480"/>
        <v>0</v>
      </c>
      <c r="CU1214">
        <f t="shared" si="481"/>
        <v>1</v>
      </c>
    </row>
    <row r="1215" spans="1:99">
      <c r="A1215" t="str">
        <f>IF(包装物料出入库明细!$E1215="","",包装物料出入库明细!$E1215)</f>
        <v/>
      </c>
      <c r="B1215">
        <f t="shared" si="467"/>
        <v>0</v>
      </c>
      <c r="C1215">
        <f t="shared" si="468"/>
        <v>7</v>
      </c>
      <c r="D1215" t="str">
        <f>IF(包装物料出入库明细!$E1215="","",包装物料出入库明细!$F1215)</f>
        <v/>
      </c>
      <c r="E1215" t="str">
        <f>IF(包装物料出入库明细!$E1215="","",包装物料出入库明细!$G1215)</f>
        <v/>
      </c>
      <c r="K1215" t="str">
        <f>IF(包装物料出入库明细!$D1215="","",包装物料出入库明细!$D1215)</f>
        <v/>
      </c>
      <c r="L1215">
        <f t="shared" si="469"/>
        <v>0</v>
      </c>
      <c r="M1215">
        <f t="shared" si="470"/>
        <v>9</v>
      </c>
      <c r="Q1215" t="str">
        <f>IF(周转筐出入库明细!$D1216="","",周转筐出入库明细!$D1216)</f>
        <v/>
      </c>
      <c r="R1215">
        <f t="shared" si="471"/>
        <v>0</v>
      </c>
      <c r="S1215">
        <f t="shared" si="472"/>
        <v>5</v>
      </c>
      <c r="W1215" t="str">
        <f>IF(周转筐出入库明细!$C1216="","",周转筐出入库明细!$C1216)</f>
        <v/>
      </c>
      <c r="X1215">
        <f t="shared" si="473"/>
        <v>0</v>
      </c>
      <c r="Y1215">
        <f t="shared" si="474"/>
        <v>12</v>
      </c>
      <c r="AI1215" t="str">
        <f>IF(OR(对接源_01水果筐数!$B16="",LEFT(对接源_01水果筐数!$C16,2)&lt;&gt;"自备"),"",对接源_01水果筐数!$B16)</f>
        <v/>
      </c>
      <c r="AJ1215">
        <f t="shared" si="477"/>
        <v>0</v>
      </c>
      <c r="AK1215">
        <f t="shared" si="478"/>
        <v>5</v>
      </c>
      <c r="CP1215">
        <f>IF(包装物料出入库明细!$D1215="",0,1)</f>
        <v>0</v>
      </c>
      <c r="CQ1215">
        <f t="shared" si="479"/>
        <v>37</v>
      </c>
      <c r="CS1215" t="str">
        <f>IF(OR(周转筐出入库明细!$C1216="",周转筐出入库明细!$F1216&lt;&gt;"采购入库"),"",周转筐出入库明细!$C1216)</f>
        <v/>
      </c>
      <c r="CT1215">
        <f t="shared" si="480"/>
        <v>0</v>
      </c>
      <c r="CU1215">
        <f t="shared" si="481"/>
        <v>1</v>
      </c>
    </row>
    <row r="1216" spans="1:99">
      <c r="A1216" t="str">
        <f>IF(包装物料出入库明细!$E1216="","",包装物料出入库明细!$E1216)</f>
        <v/>
      </c>
      <c r="B1216">
        <f t="shared" si="467"/>
        <v>0</v>
      </c>
      <c r="C1216">
        <f t="shared" si="468"/>
        <v>7</v>
      </c>
      <c r="D1216" t="str">
        <f>IF(包装物料出入库明细!$E1216="","",包装物料出入库明细!$F1216)</f>
        <v/>
      </c>
      <c r="E1216" t="str">
        <f>IF(包装物料出入库明细!$E1216="","",包装物料出入库明细!$G1216)</f>
        <v/>
      </c>
      <c r="K1216" t="str">
        <f>IF(包装物料出入库明细!$D1216="","",包装物料出入库明细!$D1216)</f>
        <v/>
      </c>
      <c r="L1216">
        <f t="shared" si="469"/>
        <v>0</v>
      </c>
      <c r="M1216">
        <f t="shared" si="470"/>
        <v>9</v>
      </c>
      <c r="Q1216" t="str">
        <f>IF(周转筐出入库明细!$D1217="","",周转筐出入库明细!$D1217)</f>
        <v/>
      </c>
      <c r="R1216">
        <f t="shared" si="471"/>
        <v>0</v>
      </c>
      <c r="S1216">
        <f t="shared" si="472"/>
        <v>5</v>
      </c>
      <c r="W1216" t="str">
        <f>IF(周转筐出入库明细!$C1217="","",周转筐出入库明细!$C1217)</f>
        <v/>
      </c>
      <c r="X1216">
        <f t="shared" si="473"/>
        <v>0</v>
      </c>
      <c r="Y1216">
        <f t="shared" si="474"/>
        <v>12</v>
      </c>
      <c r="AI1216" t="str">
        <f>IF(OR(对接源_01水果筐数!$B17="",LEFT(对接源_01水果筐数!$C17,2)&lt;&gt;"自备"),"",对接源_01水果筐数!$B17)</f>
        <v>杨艳玲</v>
      </c>
      <c r="AJ1216">
        <f t="shared" si="477"/>
        <v>1</v>
      </c>
      <c r="AK1216">
        <f t="shared" si="478"/>
        <v>6</v>
      </c>
      <c r="CP1216">
        <f>IF(包装物料出入库明细!$D1216="",0,1)</f>
        <v>0</v>
      </c>
      <c r="CQ1216">
        <f t="shared" si="479"/>
        <v>37</v>
      </c>
      <c r="CS1216" t="str">
        <f>IF(OR(周转筐出入库明细!$C1217="",周转筐出入库明细!$F1217&lt;&gt;"采购入库"),"",周转筐出入库明细!$C1217)</f>
        <v/>
      </c>
      <c r="CT1216">
        <f t="shared" si="480"/>
        <v>0</v>
      </c>
      <c r="CU1216">
        <f t="shared" si="481"/>
        <v>1</v>
      </c>
    </row>
    <row r="1217" spans="1:99">
      <c r="A1217" t="str">
        <f>IF(包装物料出入库明细!$E1217="","",包装物料出入库明细!$E1217)</f>
        <v/>
      </c>
      <c r="B1217">
        <f t="shared" si="467"/>
        <v>0</v>
      </c>
      <c r="C1217">
        <f t="shared" si="468"/>
        <v>7</v>
      </c>
      <c r="D1217" t="str">
        <f>IF(包装物料出入库明细!$E1217="","",包装物料出入库明细!$F1217)</f>
        <v/>
      </c>
      <c r="E1217" t="str">
        <f>IF(包装物料出入库明细!$E1217="","",包装物料出入库明细!$G1217)</f>
        <v/>
      </c>
      <c r="K1217" t="str">
        <f>IF(包装物料出入库明细!$D1217="","",包装物料出入库明细!$D1217)</f>
        <v/>
      </c>
      <c r="L1217">
        <f t="shared" si="469"/>
        <v>0</v>
      </c>
      <c r="M1217">
        <f t="shared" si="470"/>
        <v>9</v>
      </c>
      <c r="Q1217" t="str">
        <f>IF(周转筐出入库明细!$D1218="","",周转筐出入库明细!$D1218)</f>
        <v/>
      </c>
      <c r="R1217">
        <f t="shared" si="471"/>
        <v>0</v>
      </c>
      <c r="S1217">
        <f t="shared" si="472"/>
        <v>5</v>
      </c>
      <c r="W1217" t="str">
        <f>IF(周转筐出入库明细!$C1218="","",周转筐出入库明细!$C1218)</f>
        <v/>
      </c>
      <c r="X1217">
        <f t="shared" si="473"/>
        <v>0</v>
      </c>
      <c r="Y1217">
        <f t="shared" si="474"/>
        <v>12</v>
      </c>
      <c r="AI1217" t="str">
        <f>IF(OR(对接源_01水果筐数!$B18="",LEFT(对接源_01水果筐数!$C18,2)&lt;&gt;"自备"),"",对接源_01水果筐数!$B18)</f>
        <v/>
      </c>
      <c r="AJ1217">
        <f t="shared" si="477"/>
        <v>0</v>
      </c>
      <c r="AK1217">
        <f t="shared" si="478"/>
        <v>6</v>
      </c>
      <c r="CP1217">
        <f>IF(包装物料出入库明细!$D1217="",0,1)</f>
        <v>0</v>
      </c>
      <c r="CQ1217">
        <f t="shared" si="479"/>
        <v>37</v>
      </c>
      <c r="CS1217" t="str">
        <f>IF(OR(周转筐出入库明细!$C1218="",周转筐出入库明细!$F1218&lt;&gt;"采购入库"),"",周转筐出入库明细!$C1218)</f>
        <v/>
      </c>
      <c r="CT1217">
        <f t="shared" si="480"/>
        <v>0</v>
      </c>
      <c r="CU1217">
        <f t="shared" si="481"/>
        <v>1</v>
      </c>
    </row>
    <row r="1218" spans="1:99">
      <c r="A1218" t="str">
        <f>IF(包装物料出入库明细!$E1218="","",包装物料出入库明细!$E1218)</f>
        <v/>
      </c>
      <c r="B1218">
        <f t="shared" si="467"/>
        <v>0</v>
      </c>
      <c r="C1218">
        <f t="shared" si="468"/>
        <v>7</v>
      </c>
      <c r="D1218" t="str">
        <f>IF(包装物料出入库明细!$E1218="","",包装物料出入库明细!$F1218)</f>
        <v/>
      </c>
      <c r="E1218" t="str">
        <f>IF(包装物料出入库明细!$E1218="","",包装物料出入库明细!$G1218)</f>
        <v/>
      </c>
      <c r="K1218" t="str">
        <f>IF(包装物料出入库明细!$D1218="","",包装物料出入库明细!$D1218)</f>
        <v/>
      </c>
      <c r="L1218">
        <f t="shared" si="469"/>
        <v>0</v>
      </c>
      <c r="M1218">
        <f t="shared" si="470"/>
        <v>9</v>
      </c>
      <c r="Q1218" t="str">
        <f>IF(周转筐出入库明细!$D1219="","",周转筐出入库明细!$D1219)</f>
        <v/>
      </c>
      <c r="R1218">
        <f t="shared" si="471"/>
        <v>0</v>
      </c>
      <c r="S1218">
        <f t="shared" si="472"/>
        <v>5</v>
      </c>
      <c r="W1218" t="str">
        <f>IF(周转筐出入库明细!$C1219="","",周转筐出入库明细!$C1219)</f>
        <v/>
      </c>
      <c r="X1218">
        <f t="shared" si="473"/>
        <v>0</v>
      </c>
      <c r="Y1218">
        <f t="shared" si="474"/>
        <v>12</v>
      </c>
      <c r="AI1218" t="str">
        <f>IF(OR(对接源_01水果筐数!$B19="",LEFT(对接源_01水果筐数!$C19,2)&lt;&gt;"自备"),"",对接源_01水果筐数!$B19)</f>
        <v/>
      </c>
      <c r="AJ1218">
        <f t="shared" si="477"/>
        <v>0</v>
      </c>
      <c r="AK1218">
        <f t="shared" si="478"/>
        <v>6</v>
      </c>
      <c r="CP1218">
        <f>IF(包装物料出入库明细!$D1218="",0,1)</f>
        <v>0</v>
      </c>
      <c r="CQ1218">
        <f t="shared" si="479"/>
        <v>37</v>
      </c>
      <c r="CS1218" t="str">
        <f>IF(OR(周转筐出入库明细!$C1219="",周转筐出入库明细!$F1219&lt;&gt;"采购入库"),"",周转筐出入库明细!$C1219)</f>
        <v/>
      </c>
      <c r="CT1218">
        <f t="shared" si="480"/>
        <v>0</v>
      </c>
      <c r="CU1218">
        <f t="shared" si="481"/>
        <v>1</v>
      </c>
    </row>
    <row r="1219" spans="1:99">
      <c r="A1219" t="str">
        <f>IF(包装物料出入库明细!$E1219="","",包装物料出入库明细!$E1219)</f>
        <v/>
      </c>
      <c r="B1219">
        <f t="shared" si="467"/>
        <v>0</v>
      </c>
      <c r="C1219">
        <f t="shared" si="468"/>
        <v>7</v>
      </c>
      <c r="D1219" t="str">
        <f>IF(包装物料出入库明细!$E1219="","",包装物料出入库明细!$F1219)</f>
        <v/>
      </c>
      <c r="E1219" t="str">
        <f>IF(包装物料出入库明细!$E1219="","",包装物料出入库明细!$G1219)</f>
        <v/>
      </c>
      <c r="K1219" t="str">
        <f>IF(包装物料出入库明细!$D1219="","",包装物料出入库明细!$D1219)</f>
        <v/>
      </c>
      <c r="L1219">
        <f t="shared" si="469"/>
        <v>0</v>
      </c>
      <c r="M1219">
        <f t="shared" si="470"/>
        <v>9</v>
      </c>
      <c r="Q1219" t="str">
        <f>IF(周转筐出入库明细!$D1220="","",周转筐出入库明细!$D1220)</f>
        <v/>
      </c>
      <c r="R1219">
        <f t="shared" si="471"/>
        <v>0</v>
      </c>
      <c r="S1219">
        <f t="shared" si="472"/>
        <v>5</v>
      </c>
      <c r="W1219" t="str">
        <f>IF(周转筐出入库明细!$C1220="","",周转筐出入库明细!$C1220)</f>
        <v/>
      </c>
      <c r="X1219">
        <f t="shared" si="473"/>
        <v>0</v>
      </c>
      <c r="Y1219">
        <f t="shared" si="474"/>
        <v>12</v>
      </c>
      <c r="AI1219" t="str">
        <f>IF(OR(对接源_01水果筐数!$B20="",LEFT(对接源_01水果筐数!$C20,2)&lt;&gt;"自备"),"",对接源_01水果筐数!$B20)</f>
        <v/>
      </c>
      <c r="AJ1219">
        <f t="shared" si="477"/>
        <v>0</v>
      </c>
      <c r="AK1219">
        <f t="shared" si="478"/>
        <v>6</v>
      </c>
      <c r="CP1219">
        <f>IF(包装物料出入库明细!$D1219="",0,1)</f>
        <v>0</v>
      </c>
      <c r="CQ1219">
        <f t="shared" si="479"/>
        <v>37</v>
      </c>
      <c r="CS1219" t="str">
        <f>IF(OR(周转筐出入库明细!$C1220="",周转筐出入库明细!$F1220&lt;&gt;"采购入库"),"",周转筐出入库明细!$C1220)</f>
        <v/>
      </c>
      <c r="CT1219">
        <f t="shared" si="480"/>
        <v>0</v>
      </c>
      <c r="CU1219">
        <f t="shared" si="481"/>
        <v>1</v>
      </c>
    </row>
    <row r="1220" spans="1:99">
      <c r="A1220" t="str">
        <f>IF(包装物料出入库明细!$E1220="","",包装物料出入库明细!$E1220)</f>
        <v/>
      </c>
      <c r="B1220">
        <f t="shared" ref="B1220:B1283" si="482">IF(A1220="",0,IF(MATCH(A1220,$A$4:$A$2003,0)=ROW()-3,1,0))</f>
        <v>0</v>
      </c>
      <c r="C1220">
        <f t="shared" ref="C1220:C1283" si="483">N(C1219)+B1220</f>
        <v>7</v>
      </c>
      <c r="D1220" t="str">
        <f>IF(包装物料出入库明细!$E1220="","",包装物料出入库明细!$F1220)</f>
        <v/>
      </c>
      <c r="E1220" t="str">
        <f>IF(包装物料出入库明细!$E1220="","",包装物料出入库明细!$G1220)</f>
        <v/>
      </c>
      <c r="K1220" t="str">
        <f>IF(包装物料出入库明细!$D1220="","",包装物料出入库明细!$D1220)</f>
        <v/>
      </c>
      <c r="L1220">
        <f t="shared" ref="L1220:L1283" si="484">IF(K1220="",0,IF(MATCH(K1220,$K$4:$K$2003,0)=ROW()-3,1,0))</f>
        <v>0</v>
      </c>
      <c r="M1220">
        <f t="shared" ref="M1220:M1283" si="485">N(M1219)+L1220</f>
        <v>9</v>
      </c>
      <c r="Q1220" t="str">
        <f>IF(周转筐出入库明细!$D1221="","",周转筐出入库明细!$D1221)</f>
        <v/>
      </c>
      <c r="R1220">
        <f t="shared" ref="R1220:R1283" si="486">IF(Q1220="",0,IF(MATCH(Q1220,$Q$4:$Q$2003,0)=ROW()-3,1,0))</f>
        <v>0</v>
      </c>
      <c r="S1220">
        <f t="shared" ref="S1220:S1283" si="487">N(S1219)+R1220</f>
        <v>5</v>
      </c>
      <c r="W1220" t="str">
        <f>IF(周转筐出入库明细!$C1221="","",周转筐出入库明细!$C1221)</f>
        <v/>
      </c>
      <c r="X1220">
        <f t="shared" ref="X1220:X1283" si="488">IF(W1220="",0,IF(MATCH(W1220,$W$4:$W$2003,0)=ROW()-3,1,0))</f>
        <v>0</v>
      </c>
      <c r="Y1220">
        <f t="shared" ref="Y1220:Y1283" si="489">N(Y1219)+X1220</f>
        <v>12</v>
      </c>
      <c r="AI1220" t="str">
        <f>IF(OR(对接源_01水果筐数!$B21="",LEFT(对接源_01水果筐数!$C21,2)&lt;&gt;"自备"),"",对接源_01水果筐数!$B21)</f>
        <v/>
      </c>
      <c r="AJ1220">
        <f t="shared" ref="AJ1220:AJ1283" si="490">IF(AI1220="",0,IF(MATCH(AI1220,$AI$4:$AI$1503,0)=ROW()-3,1,0))</f>
        <v>0</v>
      </c>
      <c r="AK1220">
        <f t="shared" ref="AK1220:AK1283" si="491">N(AK1219)+AJ1220</f>
        <v>6</v>
      </c>
      <c r="CP1220">
        <f>IF(包装物料出入库明细!$D1220="",0,1)</f>
        <v>0</v>
      </c>
      <c r="CQ1220">
        <f t="shared" ref="CQ1220:CQ1283" si="492">N(CQ1219)+$CP1220</f>
        <v>37</v>
      </c>
      <c r="CS1220" t="str">
        <f>IF(OR(周转筐出入库明细!$C1221="",周转筐出入库明细!$F1221&lt;&gt;"采购入库"),"",周转筐出入库明细!$C1221)</f>
        <v/>
      </c>
      <c r="CT1220">
        <f t="shared" ref="CT1220:CT1283" si="493">IF(CS1220="",0,IF(MATCH(CS1220,$CS$4:$CS$2003,0)=ROW()-3,1,0))</f>
        <v>0</v>
      </c>
      <c r="CU1220">
        <f t="shared" ref="CU1220:CU1283" si="494">N(CU1219)+CT1220</f>
        <v>1</v>
      </c>
    </row>
    <row r="1221" spans="1:99">
      <c r="A1221" t="str">
        <f>IF(包装物料出入库明细!$E1221="","",包装物料出入库明细!$E1221)</f>
        <v/>
      </c>
      <c r="B1221">
        <f t="shared" si="482"/>
        <v>0</v>
      </c>
      <c r="C1221">
        <f t="shared" si="483"/>
        <v>7</v>
      </c>
      <c r="D1221" t="str">
        <f>IF(包装物料出入库明细!$E1221="","",包装物料出入库明细!$F1221)</f>
        <v/>
      </c>
      <c r="E1221" t="str">
        <f>IF(包装物料出入库明细!$E1221="","",包装物料出入库明细!$G1221)</f>
        <v/>
      </c>
      <c r="K1221" t="str">
        <f>IF(包装物料出入库明细!$D1221="","",包装物料出入库明细!$D1221)</f>
        <v/>
      </c>
      <c r="L1221">
        <f t="shared" si="484"/>
        <v>0</v>
      </c>
      <c r="M1221">
        <f t="shared" si="485"/>
        <v>9</v>
      </c>
      <c r="Q1221" t="str">
        <f>IF(周转筐出入库明细!$D1222="","",周转筐出入库明细!$D1222)</f>
        <v/>
      </c>
      <c r="R1221">
        <f t="shared" si="486"/>
        <v>0</v>
      </c>
      <c r="S1221">
        <f t="shared" si="487"/>
        <v>5</v>
      </c>
      <c r="W1221" t="str">
        <f>IF(周转筐出入库明细!$C1222="","",周转筐出入库明细!$C1222)</f>
        <v/>
      </c>
      <c r="X1221">
        <f t="shared" si="488"/>
        <v>0</v>
      </c>
      <c r="Y1221">
        <f t="shared" si="489"/>
        <v>12</v>
      </c>
      <c r="AI1221" t="str">
        <f>IF(OR(对接源_01水果筐数!$B22="",LEFT(对接源_01水果筐数!$C22,2)&lt;&gt;"自备"),"",对接源_01水果筐数!$B22)</f>
        <v/>
      </c>
      <c r="AJ1221">
        <f t="shared" si="490"/>
        <v>0</v>
      </c>
      <c r="AK1221">
        <f t="shared" si="491"/>
        <v>6</v>
      </c>
      <c r="CP1221">
        <f>IF(包装物料出入库明细!$D1221="",0,1)</f>
        <v>0</v>
      </c>
      <c r="CQ1221">
        <f t="shared" si="492"/>
        <v>37</v>
      </c>
      <c r="CS1221" t="str">
        <f>IF(OR(周转筐出入库明细!$C1222="",周转筐出入库明细!$F1222&lt;&gt;"采购入库"),"",周转筐出入库明细!$C1222)</f>
        <v/>
      </c>
      <c r="CT1221">
        <f t="shared" si="493"/>
        <v>0</v>
      </c>
      <c r="CU1221">
        <f t="shared" si="494"/>
        <v>1</v>
      </c>
    </row>
    <row r="1222" spans="1:99">
      <c r="A1222" t="str">
        <f>IF(包装物料出入库明细!$E1222="","",包装物料出入库明细!$E1222)</f>
        <v/>
      </c>
      <c r="B1222">
        <f t="shared" si="482"/>
        <v>0</v>
      </c>
      <c r="C1222">
        <f t="shared" si="483"/>
        <v>7</v>
      </c>
      <c r="D1222" t="str">
        <f>IF(包装物料出入库明细!$E1222="","",包装物料出入库明细!$F1222)</f>
        <v/>
      </c>
      <c r="E1222" t="str">
        <f>IF(包装物料出入库明细!$E1222="","",包装物料出入库明细!$G1222)</f>
        <v/>
      </c>
      <c r="K1222" t="str">
        <f>IF(包装物料出入库明细!$D1222="","",包装物料出入库明细!$D1222)</f>
        <v/>
      </c>
      <c r="L1222">
        <f t="shared" si="484"/>
        <v>0</v>
      </c>
      <c r="M1222">
        <f t="shared" si="485"/>
        <v>9</v>
      </c>
      <c r="Q1222" t="str">
        <f>IF(周转筐出入库明细!$D1223="","",周转筐出入库明细!$D1223)</f>
        <v/>
      </c>
      <c r="R1222">
        <f t="shared" si="486"/>
        <v>0</v>
      </c>
      <c r="S1222">
        <f t="shared" si="487"/>
        <v>5</v>
      </c>
      <c r="W1222" t="str">
        <f>IF(周转筐出入库明细!$C1223="","",周转筐出入库明细!$C1223)</f>
        <v/>
      </c>
      <c r="X1222">
        <f t="shared" si="488"/>
        <v>0</v>
      </c>
      <c r="Y1222">
        <f t="shared" si="489"/>
        <v>12</v>
      </c>
      <c r="AI1222" t="str">
        <f>IF(OR(对接源_01水果筐数!$B23="",LEFT(对接源_01水果筐数!$C23,2)&lt;&gt;"自备"),"",对接源_01水果筐数!$B23)</f>
        <v/>
      </c>
      <c r="AJ1222">
        <f t="shared" si="490"/>
        <v>0</v>
      </c>
      <c r="AK1222">
        <f t="shared" si="491"/>
        <v>6</v>
      </c>
      <c r="CP1222">
        <f>IF(包装物料出入库明细!$D1222="",0,1)</f>
        <v>0</v>
      </c>
      <c r="CQ1222">
        <f t="shared" si="492"/>
        <v>37</v>
      </c>
      <c r="CS1222" t="str">
        <f>IF(OR(周转筐出入库明细!$C1223="",周转筐出入库明细!$F1223&lt;&gt;"采购入库"),"",周转筐出入库明细!$C1223)</f>
        <v/>
      </c>
      <c r="CT1222">
        <f t="shared" si="493"/>
        <v>0</v>
      </c>
      <c r="CU1222">
        <f t="shared" si="494"/>
        <v>1</v>
      </c>
    </row>
    <row r="1223" spans="1:99">
      <c r="A1223" t="str">
        <f>IF(包装物料出入库明细!$E1223="","",包装物料出入库明细!$E1223)</f>
        <v/>
      </c>
      <c r="B1223">
        <f t="shared" si="482"/>
        <v>0</v>
      </c>
      <c r="C1223">
        <f t="shared" si="483"/>
        <v>7</v>
      </c>
      <c r="D1223" t="str">
        <f>IF(包装物料出入库明细!$E1223="","",包装物料出入库明细!$F1223)</f>
        <v/>
      </c>
      <c r="E1223" t="str">
        <f>IF(包装物料出入库明细!$E1223="","",包装物料出入库明细!$G1223)</f>
        <v/>
      </c>
      <c r="K1223" t="str">
        <f>IF(包装物料出入库明细!$D1223="","",包装物料出入库明细!$D1223)</f>
        <v/>
      </c>
      <c r="L1223">
        <f t="shared" si="484"/>
        <v>0</v>
      </c>
      <c r="M1223">
        <f t="shared" si="485"/>
        <v>9</v>
      </c>
      <c r="Q1223" t="str">
        <f>IF(周转筐出入库明细!$D1224="","",周转筐出入库明细!$D1224)</f>
        <v/>
      </c>
      <c r="R1223">
        <f t="shared" si="486"/>
        <v>0</v>
      </c>
      <c r="S1223">
        <f t="shared" si="487"/>
        <v>5</v>
      </c>
      <c r="W1223" t="str">
        <f>IF(周转筐出入库明细!$C1224="","",周转筐出入库明细!$C1224)</f>
        <v/>
      </c>
      <c r="X1223">
        <f t="shared" si="488"/>
        <v>0</v>
      </c>
      <c r="Y1223">
        <f t="shared" si="489"/>
        <v>12</v>
      </c>
      <c r="AI1223" t="str">
        <f>IF(OR(对接源_01水果筐数!$B24="",LEFT(对接源_01水果筐数!$C24,2)&lt;&gt;"自备"),"",对接源_01水果筐数!$B24)</f>
        <v/>
      </c>
      <c r="AJ1223">
        <f t="shared" si="490"/>
        <v>0</v>
      </c>
      <c r="AK1223">
        <f t="shared" si="491"/>
        <v>6</v>
      </c>
      <c r="CP1223">
        <f>IF(包装物料出入库明细!$D1223="",0,1)</f>
        <v>0</v>
      </c>
      <c r="CQ1223">
        <f t="shared" si="492"/>
        <v>37</v>
      </c>
      <c r="CS1223" t="str">
        <f>IF(OR(周转筐出入库明细!$C1224="",周转筐出入库明细!$F1224&lt;&gt;"采购入库"),"",周转筐出入库明细!$C1224)</f>
        <v/>
      </c>
      <c r="CT1223">
        <f t="shared" si="493"/>
        <v>0</v>
      </c>
      <c r="CU1223">
        <f t="shared" si="494"/>
        <v>1</v>
      </c>
    </row>
    <row r="1224" spans="1:99">
      <c r="A1224" t="str">
        <f>IF(包装物料出入库明细!$E1224="","",包装物料出入库明细!$E1224)</f>
        <v/>
      </c>
      <c r="B1224">
        <f t="shared" si="482"/>
        <v>0</v>
      </c>
      <c r="C1224">
        <f t="shared" si="483"/>
        <v>7</v>
      </c>
      <c r="D1224" t="str">
        <f>IF(包装物料出入库明细!$E1224="","",包装物料出入库明细!$F1224)</f>
        <v/>
      </c>
      <c r="E1224" t="str">
        <f>IF(包装物料出入库明细!$E1224="","",包装物料出入库明细!$G1224)</f>
        <v/>
      </c>
      <c r="K1224" t="str">
        <f>IF(包装物料出入库明细!$D1224="","",包装物料出入库明细!$D1224)</f>
        <v/>
      </c>
      <c r="L1224">
        <f t="shared" si="484"/>
        <v>0</v>
      </c>
      <c r="M1224">
        <f t="shared" si="485"/>
        <v>9</v>
      </c>
      <c r="Q1224" t="str">
        <f>IF(周转筐出入库明细!$D1225="","",周转筐出入库明细!$D1225)</f>
        <v/>
      </c>
      <c r="R1224">
        <f t="shared" si="486"/>
        <v>0</v>
      </c>
      <c r="S1224">
        <f t="shared" si="487"/>
        <v>5</v>
      </c>
      <c r="W1224" t="str">
        <f>IF(周转筐出入库明细!$C1225="","",周转筐出入库明细!$C1225)</f>
        <v/>
      </c>
      <c r="X1224">
        <f t="shared" si="488"/>
        <v>0</v>
      </c>
      <c r="Y1224">
        <f t="shared" si="489"/>
        <v>12</v>
      </c>
      <c r="AI1224" t="str">
        <f>IF(OR(对接源_01水果筐数!$B25="",LEFT(对接源_01水果筐数!$C25,2)&lt;&gt;"自备"),"",对接源_01水果筐数!$B25)</f>
        <v/>
      </c>
      <c r="AJ1224">
        <f t="shared" si="490"/>
        <v>0</v>
      </c>
      <c r="AK1224">
        <f t="shared" si="491"/>
        <v>6</v>
      </c>
      <c r="CP1224">
        <f>IF(包装物料出入库明细!$D1224="",0,1)</f>
        <v>0</v>
      </c>
      <c r="CQ1224">
        <f t="shared" si="492"/>
        <v>37</v>
      </c>
      <c r="CS1224" t="str">
        <f>IF(OR(周转筐出入库明细!$C1225="",周转筐出入库明细!$F1225&lt;&gt;"采购入库"),"",周转筐出入库明细!$C1225)</f>
        <v/>
      </c>
      <c r="CT1224">
        <f t="shared" si="493"/>
        <v>0</v>
      </c>
      <c r="CU1224">
        <f t="shared" si="494"/>
        <v>1</v>
      </c>
    </row>
    <row r="1225" spans="1:99">
      <c r="A1225" t="str">
        <f>IF(包装物料出入库明细!$E1225="","",包装物料出入库明细!$E1225)</f>
        <v/>
      </c>
      <c r="B1225">
        <f t="shared" si="482"/>
        <v>0</v>
      </c>
      <c r="C1225">
        <f t="shared" si="483"/>
        <v>7</v>
      </c>
      <c r="D1225" t="str">
        <f>IF(包装物料出入库明细!$E1225="","",包装物料出入库明细!$F1225)</f>
        <v/>
      </c>
      <c r="E1225" t="str">
        <f>IF(包装物料出入库明细!$E1225="","",包装物料出入库明细!$G1225)</f>
        <v/>
      </c>
      <c r="K1225" t="str">
        <f>IF(包装物料出入库明细!$D1225="","",包装物料出入库明细!$D1225)</f>
        <v/>
      </c>
      <c r="L1225">
        <f t="shared" si="484"/>
        <v>0</v>
      </c>
      <c r="M1225">
        <f t="shared" si="485"/>
        <v>9</v>
      </c>
      <c r="Q1225" t="str">
        <f>IF(周转筐出入库明细!$D1226="","",周转筐出入库明细!$D1226)</f>
        <v/>
      </c>
      <c r="R1225">
        <f t="shared" si="486"/>
        <v>0</v>
      </c>
      <c r="S1225">
        <f t="shared" si="487"/>
        <v>5</v>
      </c>
      <c r="W1225" t="str">
        <f>IF(周转筐出入库明细!$C1226="","",周转筐出入库明细!$C1226)</f>
        <v/>
      </c>
      <c r="X1225">
        <f t="shared" si="488"/>
        <v>0</v>
      </c>
      <c r="Y1225">
        <f t="shared" si="489"/>
        <v>12</v>
      </c>
      <c r="AI1225" t="str">
        <f>IF(OR(对接源_01水果筐数!$B26="",LEFT(对接源_01水果筐数!$C26,2)&lt;&gt;"自备"),"",对接源_01水果筐数!$B26)</f>
        <v/>
      </c>
      <c r="AJ1225">
        <f t="shared" si="490"/>
        <v>0</v>
      </c>
      <c r="AK1225">
        <f t="shared" si="491"/>
        <v>6</v>
      </c>
      <c r="CP1225">
        <f>IF(包装物料出入库明细!$D1225="",0,1)</f>
        <v>0</v>
      </c>
      <c r="CQ1225">
        <f t="shared" si="492"/>
        <v>37</v>
      </c>
      <c r="CS1225" t="str">
        <f>IF(OR(周转筐出入库明细!$C1226="",周转筐出入库明细!$F1226&lt;&gt;"采购入库"),"",周转筐出入库明细!$C1226)</f>
        <v/>
      </c>
      <c r="CT1225">
        <f t="shared" si="493"/>
        <v>0</v>
      </c>
      <c r="CU1225">
        <f t="shared" si="494"/>
        <v>1</v>
      </c>
    </row>
    <row r="1226" spans="1:99">
      <c r="A1226" t="str">
        <f>IF(包装物料出入库明细!$E1226="","",包装物料出入库明细!$E1226)</f>
        <v/>
      </c>
      <c r="B1226">
        <f t="shared" si="482"/>
        <v>0</v>
      </c>
      <c r="C1226">
        <f t="shared" si="483"/>
        <v>7</v>
      </c>
      <c r="D1226" t="str">
        <f>IF(包装物料出入库明细!$E1226="","",包装物料出入库明细!$F1226)</f>
        <v/>
      </c>
      <c r="E1226" t="str">
        <f>IF(包装物料出入库明细!$E1226="","",包装物料出入库明细!$G1226)</f>
        <v/>
      </c>
      <c r="K1226" t="str">
        <f>IF(包装物料出入库明细!$D1226="","",包装物料出入库明细!$D1226)</f>
        <v/>
      </c>
      <c r="L1226">
        <f t="shared" si="484"/>
        <v>0</v>
      </c>
      <c r="M1226">
        <f t="shared" si="485"/>
        <v>9</v>
      </c>
      <c r="Q1226" t="str">
        <f>IF(周转筐出入库明细!$D1227="","",周转筐出入库明细!$D1227)</f>
        <v/>
      </c>
      <c r="R1226">
        <f t="shared" si="486"/>
        <v>0</v>
      </c>
      <c r="S1226">
        <f t="shared" si="487"/>
        <v>5</v>
      </c>
      <c r="W1226" t="str">
        <f>IF(周转筐出入库明细!$C1227="","",周转筐出入库明细!$C1227)</f>
        <v/>
      </c>
      <c r="X1226">
        <f t="shared" si="488"/>
        <v>0</v>
      </c>
      <c r="Y1226">
        <f t="shared" si="489"/>
        <v>12</v>
      </c>
      <c r="AI1226" t="str">
        <f>IF(OR(对接源_01水果筐数!$B27="",LEFT(对接源_01水果筐数!$C27,2)&lt;&gt;"自备"),"",对接源_01水果筐数!$B27)</f>
        <v/>
      </c>
      <c r="AJ1226">
        <f t="shared" si="490"/>
        <v>0</v>
      </c>
      <c r="AK1226">
        <f t="shared" si="491"/>
        <v>6</v>
      </c>
      <c r="CP1226">
        <f>IF(包装物料出入库明细!$D1226="",0,1)</f>
        <v>0</v>
      </c>
      <c r="CQ1226">
        <f t="shared" si="492"/>
        <v>37</v>
      </c>
      <c r="CS1226" t="str">
        <f>IF(OR(周转筐出入库明细!$C1227="",周转筐出入库明细!$F1227&lt;&gt;"采购入库"),"",周转筐出入库明细!$C1227)</f>
        <v/>
      </c>
      <c r="CT1226">
        <f t="shared" si="493"/>
        <v>0</v>
      </c>
      <c r="CU1226">
        <f t="shared" si="494"/>
        <v>1</v>
      </c>
    </row>
    <row r="1227" spans="1:99">
      <c r="A1227" t="str">
        <f>IF(包装物料出入库明细!$E1227="","",包装物料出入库明细!$E1227)</f>
        <v/>
      </c>
      <c r="B1227">
        <f t="shared" si="482"/>
        <v>0</v>
      </c>
      <c r="C1227">
        <f t="shared" si="483"/>
        <v>7</v>
      </c>
      <c r="D1227" t="str">
        <f>IF(包装物料出入库明细!$E1227="","",包装物料出入库明细!$F1227)</f>
        <v/>
      </c>
      <c r="E1227" t="str">
        <f>IF(包装物料出入库明细!$E1227="","",包装物料出入库明细!$G1227)</f>
        <v/>
      </c>
      <c r="K1227" t="str">
        <f>IF(包装物料出入库明细!$D1227="","",包装物料出入库明细!$D1227)</f>
        <v/>
      </c>
      <c r="L1227">
        <f t="shared" si="484"/>
        <v>0</v>
      </c>
      <c r="M1227">
        <f t="shared" si="485"/>
        <v>9</v>
      </c>
      <c r="Q1227" t="str">
        <f>IF(周转筐出入库明细!$D1228="","",周转筐出入库明细!$D1228)</f>
        <v/>
      </c>
      <c r="R1227">
        <f t="shared" si="486"/>
        <v>0</v>
      </c>
      <c r="S1227">
        <f t="shared" si="487"/>
        <v>5</v>
      </c>
      <c r="W1227" t="str">
        <f>IF(周转筐出入库明细!$C1228="","",周转筐出入库明细!$C1228)</f>
        <v/>
      </c>
      <c r="X1227">
        <f t="shared" si="488"/>
        <v>0</v>
      </c>
      <c r="Y1227">
        <f t="shared" si="489"/>
        <v>12</v>
      </c>
      <c r="AI1227" t="str">
        <f>IF(OR(对接源_01水果筐数!$B28="",LEFT(对接源_01水果筐数!$C28,2)&lt;&gt;"自备"),"",对接源_01水果筐数!$B28)</f>
        <v/>
      </c>
      <c r="AJ1227">
        <f t="shared" si="490"/>
        <v>0</v>
      </c>
      <c r="AK1227">
        <f t="shared" si="491"/>
        <v>6</v>
      </c>
      <c r="CP1227">
        <f>IF(包装物料出入库明细!$D1227="",0,1)</f>
        <v>0</v>
      </c>
      <c r="CQ1227">
        <f t="shared" si="492"/>
        <v>37</v>
      </c>
      <c r="CS1227" t="str">
        <f>IF(OR(周转筐出入库明细!$C1228="",周转筐出入库明细!$F1228&lt;&gt;"采购入库"),"",周转筐出入库明细!$C1228)</f>
        <v/>
      </c>
      <c r="CT1227">
        <f t="shared" si="493"/>
        <v>0</v>
      </c>
      <c r="CU1227">
        <f t="shared" si="494"/>
        <v>1</v>
      </c>
    </row>
    <row r="1228" spans="1:99">
      <c r="A1228" t="str">
        <f>IF(包装物料出入库明细!$E1228="","",包装物料出入库明细!$E1228)</f>
        <v/>
      </c>
      <c r="B1228">
        <f t="shared" si="482"/>
        <v>0</v>
      </c>
      <c r="C1228">
        <f t="shared" si="483"/>
        <v>7</v>
      </c>
      <c r="D1228" t="str">
        <f>IF(包装物料出入库明细!$E1228="","",包装物料出入库明细!$F1228)</f>
        <v/>
      </c>
      <c r="E1228" t="str">
        <f>IF(包装物料出入库明细!$E1228="","",包装物料出入库明细!$G1228)</f>
        <v/>
      </c>
      <c r="K1228" t="str">
        <f>IF(包装物料出入库明细!$D1228="","",包装物料出入库明细!$D1228)</f>
        <v/>
      </c>
      <c r="L1228">
        <f t="shared" si="484"/>
        <v>0</v>
      </c>
      <c r="M1228">
        <f t="shared" si="485"/>
        <v>9</v>
      </c>
      <c r="Q1228" t="str">
        <f>IF(周转筐出入库明细!$D1229="","",周转筐出入库明细!$D1229)</f>
        <v/>
      </c>
      <c r="R1228">
        <f t="shared" si="486"/>
        <v>0</v>
      </c>
      <c r="S1228">
        <f t="shared" si="487"/>
        <v>5</v>
      </c>
      <c r="W1228" t="str">
        <f>IF(周转筐出入库明细!$C1229="","",周转筐出入库明细!$C1229)</f>
        <v/>
      </c>
      <c r="X1228">
        <f t="shared" si="488"/>
        <v>0</v>
      </c>
      <c r="Y1228">
        <f t="shared" si="489"/>
        <v>12</v>
      </c>
      <c r="AI1228" t="str">
        <f>IF(OR(对接源_01水果筐数!$B29="",LEFT(对接源_01水果筐数!$C29,2)&lt;&gt;"自备"),"",对接源_01水果筐数!$B29)</f>
        <v/>
      </c>
      <c r="AJ1228">
        <f t="shared" si="490"/>
        <v>0</v>
      </c>
      <c r="AK1228">
        <f t="shared" si="491"/>
        <v>6</v>
      </c>
      <c r="CP1228">
        <f>IF(包装物料出入库明细!$D1228="",0,1)</f>
        <v>0</v>
      </c>
      <c r="CQ1228">
        <f t="shared" si="492"/>
        <v>37</v>
      </c>
      <c r="CS1228" t="str">
        <f>IF(OR(周转筐出入库明细!$C1229="",周转筐出入库明细!$F1229&lt;&gt;"采购入库"),"",周转筐出入库明细!$C1229)</f>
        <v/>
      </c>
      <c r="CT1228">
        <f t="shared" si="493"/>
        <v>0</v>
      </c>
      <c r="CU1228">
        <f t="shared" si="494"/>
        <v>1</v>
      </c>
    </row>
    <row r="1229" spans="1:99">
      <c r="A1229" t="str">
        <f>IF(包装物料出入库明细!$E1229="","",包装物料出入库明细!$E1229)</f>
        <v/>
      </c>
      <c r="B1229">
        <f t="shared" si="482"/>
        <v>0</v>
      </c>
      <c r="C1229">
        <f t="shared" si="483"/>
        <v>7</v>
      </c>
      <c r="D1229" t="str">
        <f>IF(包装物料出入库明细!$E1229="","",包装物料出入库明细!$F1229)</f>
        <v/>
      </c>
      <c r="E1229" t="str">
        <f>IF(包装物料出入库明细!$E1229="","",包装物料出入库明细!$G1229)</f>
        <v/>
      </c>
      <c r="K1229" t="str">
        <f>IF(包装物料出入库明细!$D1229="","",包装物料出入库明细!$D1229)</f>
        <v/>
      </c>
      <c r="L1229">
        <f t="shared" si="484"/>
        <v>0</v>
      </c>
      <c r="M1229">
        <f t="shared" si="485"/>
        <v>9</v>
      </c>
      <c r="Q1229" t="str">
        <f>IF(周转筐出入库明细!$D1230="","",周转筐出入库明细!$D1230)</f>
        <v/>
      </c>
      <c r="R1229">
        <f t="shared" si="486"/>
        <v>0</v>
      </c>
      <c r="S1229">
        <f t="shared" si="487"/>
        <v>5</v>
      </c>
      <c r="W1229" t="str">
        <f>IF(周转筐出入库明细!$C1230="","",周转筐出入库明细!$C1230)</f>
        <v/>
      </c>
      <c r="X1229">
        <f t="shared" si="488"/>
        <v>0</v>
      </c>
      <c r="Y1229">
        <f t="shared" si="489"/>
        <v>12</v>
      </c>
      <c r="AI1229" t="str">
        <f>IF(OR(对接源_01水果筐数!$B30="",LEFT(对接源_01水果筐数!$C30,2)&lt;&gt;"自备"),"",对接源_01水果筐数!$B30)</f>
        <v/>
      </c>
      <c r="AJ1229">
        <f t="shared" si="490"/>
        <v>0</v>
      </c>
      <c r="AK1229">
        <f t="shared" si="491"/>
        <v>6</v>
      </c>
      <c r="CP1229">
        <f>IF(包装物料出入库明细!$D1229="",0,1)</f>
        <v>0</v>
      </c>
      <c r="CQ1229">
        <f t="shared" si="492"/>
        <v>37</v>
      </c>
      <c r="CS1229" t="str">
        <f>IF(OR(周转筐出入库明细!$C1230="",周转筐出入库明细!$F1230&lt;&gt;"采购入库"),"",周转筐出入库明细!$C1230)</f>
        <v/>
      </c>
      <c r="CT1229">
        <f t="shared" si="493"/>
        <v>0</v>
      </c>
      <c r="CU1229">
        <f t="shared" si="494"/>
        <v>1</v>
      </c>
    </row>
    <row r="1230" spans="1:99">
      <c r="A1230" t="str">
        <f>IF(包装物料出入库明细!$E1230="","",包装物料出入库明细!$E1230)</f>
        <v/>
      </c>
      <c r="B1230">
        <f t="shared" si="482"/>
        <v>0</v>
      </c>
      <c r="C1230">
        <f t="shared" si="483"/>
        <v>7</v>
      </c>
      <c r="D1230" t="str">
        <f>IF(包装物料出入库明细!$E1230="","",包装物料出入库明细!$F1230)</f>
        <v/>
      </c>
      <c r="E1230" t="str">
        <f>IF(包装物料出入库明细!$E1230="","",包装物料出入库明细!$G1230)</f>
        <v/>
      </c>
      <c r="K1230" t="str">
        <f>IF(包装物料出入库明细!$D1230="","",包装物料出入库明细!$D1230)</f>
        <v/>
      </c>
      <c r="L1230">
        <f t="shared" si="484"/>
        <v>0</v>
      </c>
      <c r="M1230">
        <f t="shared" si="485"/>
        <v>9</v>
      </c>
      <c r="Q1230" t="str">
        <f>IF(周转筐出入库明细!$D1231="","",周转筐出入库明细!$D1231)</f>
        <v/>
      </c>
      <c r="R1230">
        <f t="shared" si="486"/>
        <v>0</v>
      </c>
      <c r="S1230">
        <f t="shared" si="487"/>
        <v>5</v>
      </c>
      <c r="W1230" t="str">
        <f>IF(周转筐出入库明细!$C1231="","",周转筐出入库明细!$C1231)</f>
        <v/>
      </c>
      <c r="X1230">
        <f t="shared" si="488"/>
        <v>0</v>
      </c>
      <c r="Y1230">
        <f t="shared" si="489"/>
        <v>12</v>
      </c>
      <c r="AI1230" t="str">
        <f>IF(OR(对接源_01水果筐数!$B31="",LEFT(对接源_01水果筐数!$C31,2)&lt;&gt;"自备"),"",对接源_01水果筐数!$B31)</f>
        <v/>
      </c>
      <c r="AJ1230">
        <f t="shared" si="490"/>
        <v>0</v>
      </c>
      <c r="AK1230">
        <f t="shared" si="491"/>
        <v>6</v>
      </c>
      <c r="CP1230">
        <f>IF(包装物料出入库明细!$D1230="",0,1)</f>
        <v>0</v>
      </c>
      <c r="CQ1230">
        <f t="shared" si="492"/>
        <v>37</v>
      </c>
      <c r="CS1230" t="str">
        <f>IF(OR(周转筐出入库明细!$C1231="",周转筐出入库明细!$F1231&lt;&gt;"采购入库"),"",周转筐出入库明细!$C1231)</f>
        <v/>
      </c>
      <c r="CT1230">
        <f t="shared" si="493"/>
        <v>0</v>
      </c>
      <c r="CU1230">
        <f t="shared" si="494"/>
        <v>1</v>
      </c>
    </row>
    <row r="1231" spans="1:99">
      <c r="A1231" t="str">
        <f>IF(包装物料出入库明细!$E1231="","",包装物料出入库明细!$E1231)</f>
        <v/>
      </c>
      <c r="B1231">
        <f t="shared" si="482"/>
        <v>0</v>
      </c>
      <c r="C1231">
        <f t="shared" si="483"/>
        <v>7</v>
      </c>
      <c r="D1231" t="str">
        <f>IF(包装物料出入库明细!$E1231="","",包装物料出入库明细!$F1231)</f>
        <v/>
      </c>
      <c r="E1231" t="str">
        <f>IF(包装物料出入库明细!$E1231="","",包装物料出入库明细!$G1231)</f>
        <v/>
      </c>
      <c r="K1231" t="str">
        <f>IF(包装物料出入库明细!$D1231="","",包装物料出入库明细!$D1231)</f>
        <v/>
      </c>
      <c r="L1231">
        <f t="shared" si="484"/>
        <v>0</v>
      </c>
      <c r="M1231">
        <f t="shared" si="485"/>
        <v>9</v>
      </c>
      <c r="Q1231" t="str">
        <f>IF(周转筐出入库明细!$D1232="","",周转筐出入库明细!$D1232)</f>
        <v/>
      </c>
      <c r="R1231">
        <f t="shared" si="486"/>
        <v>0</v>
      </c>
      <c r="S1231">
        <f t="shared" si="487"/>
        <v>5</v>
      </c>
      <c r="W1231" t="str">
        <f>IF(周转筐出入库明细!$C1232="","",周转筐出入库明细!$C1232)</f>
        <v/>
      </c>
      <c r="X1231">
        <f t="shared" si="488"/>
        <v>0</v>
      </c>
      <c r="Y1231">
        <f t="shared" si="489"/>
        <v>12</v>
      </c>
      <c r="AI1231" t="str">
        <f>IF(OR(对接源_01水果筐数!$B32="",LEFT(对接源_01水果筐数!$C32,2)&lt;&gt;"自备"),"",对接源_01水果筐数!$B32)</f>
        <v/>
      </c>
      <c r="AJ1231">
        <f t="shared" si="490"/>
        <v>0</v>
      </c>
      <c r="AK1231">
        <f t="shared" si="491"/>
        <v>6</v>
      </c>
      <c r="CP1231">
        <f>IF(包装物料出入库明细!$D1231="",0,1)</f>
        <v>0</v>
      </c>
      <c r="CQ1231">
        <f t="shared" si="492"/>
        <v>37</v>
      </c>
      <c r="CS1231" t="str">
        <f>IF(OR(周转筐出入库明细!$C1232="",周转筐出入库明细!$F1232&lt;&gt;"采购入库"),"",周转筐出入库明细!$C1232)</f>
        <v/>
      </c>
      <c r="CT1231">
        <f t="shared" si="493"/>
        <v>0</v>
      </c>
      <c r="CU1231">
        <f t="shared" si="494"/>
        <v>1</v>
      </c>
    </row>
    <row r="1232" spans="1:99">
      <c r="A1232" t="str">
        <f>IF(包装物料出入库明细!$E1232="","",包装物料出入库明细!$E1232)</f>
        <v/>
      </c>
      <c r="B1232">
        <f t="shared" si="482"/>
        <v>0</v>
      </c>
      <c r="C1232">
        <f t="shared" si="483"/>
        <v>7</v>
      </c>
      <c r="D1232" t="str">
        <f>IF(包装物料出入库明细!$E1232="","",包装物料出入库明细!$F1232)</f>
        <v/>
      </c>
      <c r="E1232" t="str">
        <f>IF(包装物料出入库明细!$E1232="","",包装物料出入库明细!$G1232)</f>
        <v/>
      </c>
      <c r="K1232" t="str">
        <f>IF(包装物料出入库明细!$D1232="","",包装物料出入库明细!$D1232)</f>
        <v/>
      </c>
      <c r="L1232">
        <f t="shared" si="484"/>
        <v>0</v>
      </c>
      <c r="M1232">
        <f t="shared" si="485"/>
        <v>9</v>
      </c>
      <c r="Q1232" t="str">
        <f>IF(周转筐出入库明细!$D1233="","",周转筐出入库明细!$D1233)</f>
        <v/>
      </c>
      <c r="R1232">
        <f t="shared" si="486"/>
        <v>0</v>
      </c>
      <c r="S1232">
        <f t="shared" si="487"/>
        <v>5</v>
      </c>
      <c r="W1232" t="str">
        <f>IF(周转筐出入库明细!$C1233="","",周转筐出入库明细!$C1233)</f>
        <v/>
      </c>
      <c r="X1232">
        <f t="shared" si="488"/>
        <v>0</v>
      </c>
      <c r="Y1232">
        <f t="shared" si="489"/>
        <v>12</v>
      </c>
      <c r="AI1232" t="str">
        <f>IF(OR(对接源_01水果筐数!$B33="",LEFT(对接源_01水果筐数!$C33,2)&lt;&gt;"自备"),"",对接源_01水果筐数!$B33)</f>
        <v/>
      </c>
      <c r="AJ1232">
        <f t="shared" si="490"/>
        <v>0</v>
      </c>
      <c r="AK1232">
        <f t="shared" si="491"/>
        <v>6</v>
      </c>
      <c r="CP1232">
        <f>IF(包装物料出入库明细!$D1232="",0,1)</f>
        <v>0</v>
      </c>
      <c r="CQ1232">
        <f t="shared" si="492"/>
        <v>37</v>
      </c>
      <c r="CS1232" t="str">
        <f>IF(OR(周转筐出入库明细!$C1233="",周转筐出入库明细!$F1233&lt;&gt;"采购入库"),"",周转筐出入库明细!$C1233)</f>
        <v/>
      </c>
      <c r="CT1232">
        <f t="shared" si="493"/>
        <v>0</v>
      </c>
      <c r="CU1232">
        <f t="shared" si="494"/>
        <v>1</v>
      </c>
    </row>
    <row r="1233" spans="1:99">
      <c r="A1233" t="str">
        <f>IF(包装物料出入库明细!$E1233="","",包装物料出入库明细!$E1233)</f>
        <v/>
      </c>
      <c r="B1233">
        <f t="shared" si="482"/>
        <v>0</v>
      </c>
      <c r="C1233">
        <f t="shared" si="483"/>
        <v>7</v>
      </c>
      <c r="D1233" t="str">
        <f>IF(包装物料出入库明细!$E1233="","",包装物料出入库明细!$F1233)</f>
        <v/>
      </c>
      <c r="E1233" t="str">
        <f>IF(包装物料出入库明细!$E1233="","",包装物料出入库明细!$G1233)</f>
        <v/>
      </c>
      <c r="K1233" t="str">
        <f>IF(包装物料出入库明细!$D1233="","",包装物料出入库明细!$D1233)</f>
        <v/>
      </c>
      <c r="L1233">
        <f t="shared" si="484"/>
        <v>0</v>
      </c>
      <c r="M1233">
        <f t="shared" si="485"/>
        <v>9</v>
      </c>
      <c r="Q1233" t="str">
        <f>IF(周转筐出入库明细!$D1234="","",周转筐出入库明细!$D1234)</f>
        <v/>
      </c>
      <c r="R1233">
        <f t="shared" si="486"/>
        <v>0</v>
      </c>
      <c r="S1233">
        <f t="shared" si="487"/>
        <v>5</v>
      </c>
      <c r="W1233" t="str">
        <f>IF(周转筐出入库明细!$C1234="","",周转筐出入库明细!$C1234)</f>
        <v/>
      </c>
      <c r="X1233">
        <f t="shared" si="488"/>
        <v>0</v>
      </c>
      <c r="Y1233">
        <f t="shared" si="489"/>
        <v>12</v>
      </c>
      <c r="AI1233" t="str">
        <f>IF(OR(对接源_01水果筐数!$B34="",LEFT(对接源_01水果筐数!$C34,2)&lt;&gt;"自备"),"",对接源_01水果筐数!$B34)</f>
        <v/>
      </c>
      <c r="AJ1233">
        <f t="shared" si="490"/>
        <v>0</v>
      </c>
      <c r="AK1233">
        <f t="shared" si="491"/>
        <v>6</v>
      </c>
      <c r="CP1233">
        <f>IF(包装物料出入库明细!$D1233="",0,1)</f>
        <v>0</v>
      </c>
      <c r="CQ1233">
        <f t="shared" si="492"/>
        <v>37</v>
      </c>
      <c r="CS1233" t="str">
        <f>IF(OR(周转筐出入库明细!$C1234="",周转筐出入库明细!$F1234&lt;&gt;"采购入库"),"",周转筐出入库明细!$C1234)</f>
        <v/>
      </c>
      <c r="CT1233">
        <f t="shared" si="493"/>
        <v>0</v>
      </c>
      <c r="CU1233">
        <f t="shared" si="494"/>
        <v>1</v>
      </c>
    </row>
    <row r="1234" spans="1:99">
      <c r="A1234" t="str">
        <f>IF(包装物料出入库明细!$E1234="","",包装物料出入库明细!$E1234)</f>
        <v/>
      </c>
      <c r="B1234">
        <f t="shared" si="482"/>
        <v>0</v>
      </c>
      <c r="C1234">
        <f t="shared" si="483"/>
        <v>7</v>
      </c>
      <c r="D1234" t="str">
        <f>IF(包装物料出入库明细!$E1234="","",包装物料出入库明细!$F1234)</f>
        <v/>
      </c>
      <c r="E1234" t="str">
        <f>IF(包装物料出入库明细!$E1234="","",包装物料出入库明细!$G1234)</f>
        <v/>
      </c>
      <c r="K1234" t="str">
        <f>IF(包装物料出入库明细!$D1234="","",包装物料出入库明细!$D1234)</f>
        <v/>
      </c>
      <c r="L1234">
        <f t="shared" si="484"/>
        <v>0</v>
      </c>
      <c r="M1234">
        <f t="shared" si="485"/>
        <v>9</v>
      </c>
      <c r="Q1234" t="str">
        <f>IF(周转筐出入库明细!$D1235="","",周转筐出入库明细!$D1235)</f>
        <v/>
      </c>
      <c r="R1234">
        <f t="shared" si="486"/>
        <v>0</v>
      </c>
      <c r="S1234">
        <f t="shared" si="487"/>
        <v>5</v>
      </c>
      <c r="W1234" t="str">
        <f>IF(周转筐出入库明细!$C1235="","",周转筐出入库明细!$C1235)</f>
        <v/>
      </c>
      <c r="X1234">
        <f t="shared" si="488"/>
        <v>0</v>
      </c>
      <c r="Y1234">
        <f t="shared" si="489"/>
        <v>12</v>
      </c>
      <c r="AI1234" t="str">
        <f>IF(OR(对接源_01水果筐数!$B35="",LEFT(对接源_01水果筐数!$C35,2)&lt;&gt;"自备"),"",对接源_01水果筐数!$B35)</f>
        <v/>
      </c>
      <c r="AJ1234">
        <f t="shared" si="490"/>
        <v>0</v>
      </c>
      <c r="AK1234">
        <f t="shared" si="491"/>
        <v>6</v>
      </c>
      <c r="CP1234">
        <f>IF(包装物料出入库明细!$D1234="",0,1)</f>
        <v>0</v>
      </c>
      <c r="CQ1234">
        <f t="shared" si="492"/>
        <v>37</v>
      </c>
      <c r="CS1234" t="str">
        <f>IF(OR(周转筐出入库明细!$C1235="",周转筐出入库明细!$F1235&lt;&gt;"采购入库"),"",周转筐出入库明细!$C1235)</f>
        <v/>
      </c>
      <c r="CT1234">
        <f t="shared" si="493"/>
        <v>0</v>
      </c>
      <c r="CU1234">
        <f t="shared" si="494"/>
        <v>1</v>
      </c>
    </row>
    <row r="1235" spans="1:99">
      <c r="A1235" t="str">
        <f>IF(包装物料出入库明细!$E1235="","",包装物料出入库明细!$E1235)</f>
        <v/>
      </c>
      <c r="B1235">
        <f t="shared" si="482"/>
        <v>0</v>
      </c>
      <c r="C1235">
        <f t="shared" si="483"/>
        <v>7</v>
      </c>
      <c r="D1235" t="str">
        <f>IF(包装物料出入库明细!$E1235="","",包装物料出入库明细!$F1235)</f>
        <v/>
      </c>
      <c r="E1235" t="str">
        <f>IF(包装物料出入库明细!$E1235="","",包装物料出入库明细!$G1235)</f>
        <v/>
      </c>
      <c r="K1235" t="str">
        <f>IF(包装物料出入库明细!$D1235="","",包装物料出入库明细!$D1235)</f>
        <v/>
      </c>
      <c r="L1235">
        <f t="shared" si="484"/>
        <v>0</v>
      </c>
      <c r="M1235">
        <f t="shared" si="485"/>
        <v>9</v>
      </c>
      <c r="Q1235" t="str">
        <f>IF(周转筐出入库明细!$D1236="","",周转筐出入库明细!$D1236)</f>
        <v/>
      </c>
      <c r="R1235">
        <f t="shared" si="486"/>
        <v>0</v>
      </c>
      <c r="S1235">
        <f t="shared" si="487"/>
        <v>5</v>
      </c>
      <c r="W1235" t="str">
        <f>IF(周转筐出入库明细!$C1236="","",周转筐出入库明细!$C1236)</f>
        <v/>
      </c>
      <c r="X1235">
        <f t="shared" si="488"/>
        <v>0</v>
      </c>
      <c r="Y1235">
        <f t="shared" si="489"/>
        <v>12</v>
      </c>
      <c r="AI1235" t="str">
        <f>IF(OR(对接源_01水果筐数!$B36="",LEFT(对接源_01水果筐数!$C36,2)&lt;&gt;"自备"),"",对接源_01水果筐数!$B36)</f>
        <v/>
      </c>
      <c r="AJ1235">
        <f t="shared" si="490"/>
        <v>0</v>
      </c>
      <c r="AK1235">
        <f t="shared" si="491"/>
        <v>6</v>
      </c>
      <c r="CP1235">
        <f>IF(包装物料出入库明细!$D1235="",0,1)</f>
        <v>0</v>
      </c>
      <c r="CQ1235">
        <f t="shared" si="492"/>
        <v>37</v>
      </c>
      <c r="CS1235" t="str">
        <f>IF(OR(周转筐出入库明细!$C1236="",周转筐出入库明细!$F1236&lt;&gt;"采购入库"),"",周转筐出入库明细!$C1236)</f>
        <v/>
      </c>
      <c r="CT1235">
        <f t="shared" si="493"/>
        <v>0</v>
      </c>
      <c r="CU1235">
        <f t="shared" si="494"/>
        <v>1</v>
      </c>
    </row>
    <row r="1236" spans="1:99">
      <c r="A1236" t="str">
        <f>IF(包装物料出入库明细!$E1236="","",包装物料出入库明细!$E1236)</f>
        <v/>
      </c>
      <c r="B1236">
        <f t="shared" si="482"/>
        <v>0</v>
      </c>
      <c r="C1236">
        <f t="shared" si="483"/>
        <v>7</v>
      </c>
      <c r="D1236" t="str">
        <f>IF(包装物料出入库明细!$E1236="","",包装物料出入库明细!$F1236)</f>
        <v/>
      </c>
      <c r="E1236" t="str">
        <f>IF(包装物料出入库明细!$E1236="","",包装物料出入库明细!$G1236)</f>
        <v/>
      </c>
      <c r="K1236" t="str">
        <f>IF(包装物料出入库明细!$D1236="","",包装物料出入库明细!$D1236)</f>
        <v/>
      </c>
      <c r="L1236">
        <f t="shared" si="484"/>
        <v>0</v>
      </c>
      <c r="M1236">
        <f t="shared" si="485"/>
        <v>9</v>
      </c>
      <c r="Q1236" t="str">
        <f>IF(周转筐出入库明细!$D1237="","",周转筐出入库明细!$D1237)</f>
        <v/>
      </c>
      <c r="R1236">
        <f t="shared" si="486"/>
        <v>0</v>
      </c>
      <c r="S1236">
        <f t="shared" si="487"/>
        <v>5</v>
      </c>
      <c r="W1236" t="str">
        <f>IF(周转筐出入库明细!$C1237="","",周转筐出入库明细!$C1237)</f>
        <v/>
      </c>
      <c r="X1236">
        <f t="shared" si="488"/>
        <v>0</v>
      </c>
      <c r="Y1236">
        <f t="shared" si="489"/>
        <v>12</v>
      </c>
      <c r="AI1236" t="str">
        <f>IF(OR(对接源_01水果筐数!$B37="",LEFT(对接源_01水果筐数!$C37,2)&lt;&gt;"自备"),"",对接源_01水果筐数!$B37)</f>
        <v/>
      </c>
      <c r="AJ1236">
        <f t="shared" si="490"/>
        <v>0</v>
      </c>
      <c r="AK1236">
        <f t="shared" si="491"/>
        <v>6</v>
      </c>
      <c r="CP1236">
        <f>IF(包装物料出入库明细!$D1236="",0,1)</f>
        <v>0</v>
      </c>
      <c r="CQ1236">
        <f t="shared" si="492"/>
        <v>37</v>
      </c>
      <c r="CS1236" t="str">
        <f>IF(OR(周转筐出入库明细!$C1237="",周转筐出入库明细!$F1237&lt;&gt;"采购入库"),"",周转筐出入库明细!$C1237)</f>
        <v/>
      </c>
      <c r="CT1236">
        <f t="shared" si="493"/>
        <v>0</v>
      </c>
      <c r="CU1236">
        <f t="shared" si="494"/>
        <v>1</v>
      </c>
    </row>
    <row r="1237" spans="1:99">
      <c r="A1237" t="str">
        <f>IF(包装物料出入库明细!$E1237="","",包装物料出入库明细!$E1237)</f>
        <v/>
      </c>
      <c r="B1237">
        <f t="shared" si="482"/>
        <v>0</v>
      </c>
      <c r="C1237">
        <f t="shared" si="483"/>
        <v>7</v>
      </c>
      <c r="D1237" t="str">
        <f>IF(包装物料出入库明细!$E1237="","",包装物料出入库明细!$F1237)</f>
        <v/>
      </c>
      <c r="E1237" t="str">
        <f>IF(包装物料出入库明细!$E1237="","",包装物料出入库明细!$G1237)</f>
        <v/>
      </c>
      <c r="K1237" t="str">
        <f>IF(包装物料出入库明细!$D1237="","",包装物料出入库明细!$D1237)</f>
        <v/>
      </c>
      <c r="L1237">
        <f t="shared" si="484"/>
        <v>0</v>
      </c>
      <c r="M1237">
        <f t="shared" si="485"/>
        <v>9</v>
      </c>
      <c r="Q1237" t="str">
        <f>IF(周转筐出入库明细!$D1238="","",周转筐出入库明细!$D1238)</f>
        <v/>
      </c>
      <c r="R1237">
        <f t="shared" si="486"/>
        <v>0</v>
      </c>
      <c r="S1237">
        <f t="shared" si="487"/>
        <v>5</v>
      </c>
      <c r="W1237" t="str">
        <f>IF(周转筐出入库明细!$C1238="","",周转筐出入库明细!$C1238)</f>
        <v/>
      </c>
      <c r="X1237">
        <f t="shared" si="488"/>
        <v>0</v>
      </c>
      <c r="Y1237">
        <f t="shared" si="489"/>
        <v>12</v>
      </c>
      <c r="AI1237" t="str">
        <f>IF(OR(对接源_01水果筐数!$B38="",LEFT(对接源_01水果筐数!$C38,2)&lt;&gt;"自备"),"",对接源_01水果筐数!$B38)</f>
        <v/>
      </c>
      <c r="AJ1237">
        <f t="shared" si="490"/>
        <v>0</v>
      </c>
      <c r="AK1237">
        <f t="shared" si="491"/>
        <v>6</v>
      </c>
      <c r="CP1237">
        <f>IF(包装物料出入库明细!$D1237="",0,1)</f>
        <v>0</v>
      </c>
      <c r="CQ1237">
        <f t="shared" si="492"/>
        <v>37</v>
      </c>
      <c r="CS1237" t="str">
        <f>IF(OR(周转筐出入库明细!$C1238="",周转筐出入库明细!$F1238&lt;&gt;"采购入库"),"",周转筐出入库明细!$C1238)</f>
        <v/>
      </c>
      <c r="CT1237">
        <f t="shared" si="493"/>
        <v>0</v>
      </c>
      <c r="CU1237">
        <f t="shared" si="494"/>
        <v>1</v>
      </c>
    </row>
    <row r="1238" spans="1:99">
      <c r="A1238" t="str">
        <f>IF(包装物料出入库明细!$E1238="","",包装物料出入库明细!$E1238)</f>
        <v/>
      </c>
      <c r="B1238">
        <f t="shared" si="482"/>
        <v>0</v>
      </c>
      <c r="C1238">
        <f t="shared" si="483"/>
        <v>7</v>
      </c>
      <c r="D1238" t="str">
        <f>IF(包装物料出入库明细!$E1238="","",包装物料出入库明细!$F1238)</f>
        <v/>
      </c>
      <c r="E1238" t="str">
        <f>IF(包装物料出入库明细!$E1238="","",包装物料出入库明细!$G1238)</f>
        <v/>
      </c>
      <c r="K1238" t="str">
        <f>IF(包装物料出入库明细!$D1238="","",包装物料出入库明细!$D1238)</f>
        <v/>
      </c>
      <c r="L1238">
        <f t="shared" si="484"/>
        <v>0</v>
      </c>
      <c r="M1238">
        <f t="shared" si="485"/>
        <v>9</v>
      </c>
      <c r="Q1238" t="str">
        <f>IF(周转筐出入库明细!$D1239="","",周转筐出入库明细!$D1239)</f>
        <v/>
      </c>
      <c r="R1238">
        <f t="shared" si="486"/>
        <v>0</v>
      </c>
      <c r="S1238">
        <f t="shared" si="487"/>
        <v>5</v>
      </c>
      <c r="W1238" t="str">
        <f>IF(周转筐出入库明细!$C1239="","",周转筐出入库明细!$C1239)</f>
        <v/>
      </c>
      <c r="X1238">
        <f t="shared" si="488"/>
        <v>0</v>
      </c>
      <c r="Y1238">
        <f t="shared" si="489"/>
        <v>12</v>
      </c>
      <c r="AI1238" t="str">
        <f>IF(OR(对接源_01水果筐数!$B39="",LEFT(对接源_01水果筐数!$C39,2)&lt;&gt;"自备"),"",对接源_01水果筐数!$B39)</f>
        <v/>
      </c>
      <c r="AJ1238">
        <f t="shared" si="490"/>
        <v>0</v>
      </c>
      <c r="AK1238">
        <f t="shared" si="491"/>
        <v>6</v>
      </c>
      <c r="CP1238">
        <f>IF(包装物料出入库明细!$D1238="",0,1)</f>
        <v>0</v>
      </c>
      <c r="CQ1238">
        <f t="shared" si="492"/>
        <v>37</v>
      </c>
      <c r="CS1238" t="str">
        <f>IF(OR(周转筐出入库明细!$C1239="",周转筐出入库明细!$F1239&lt;&gt;"采购入库"),"",周转筐出入库明细!$C1239)</f>
        <v/>
      </c>
      <c r="CT1238">
        <f t="shared" si="493"/>
        <v>0</v>
      </c>
      <c r="CU1238">
        <f t="shared" si="494"/>
        <v>1</v>
      </c>
    </row>
    <row r="1239" spans="1:99">
      <c r="A1239" t="str">
        <f>IF(包装物料出入库明细!$E1239="","",包装物料出入库明细!$E1239)</f>
        <v/>
      </c>
      <c r="B1239">
        <f t="shared" si="482"/>
        <v>0</v>
      </c>
      <c r="C1239">
        <f t="shared" si="483"/>
        <v>7</v>
      </c>
      <c r="D1239" t="str">
        <f>IF(包装物料出入库明细!$E1239="","",包装物料出入库明细!$F1239)</f>
        <v/>
      </c>
      <c r="E1239" t="str">
        <f>IF(包装物料出入库明细!$E1239="","",包装物料出入库明细!$G1239)</f>
        <v/>
      </c>
      <c r="K1239" t="str">
        <f>IF(包装物料出入库明细!$D1239="","",包装物料出入库明细!$D1239)</f>
        <v/>
      </c>
      <c r="L1239">
        <f t="shared" si="484"/>
        <v>0</v>
      </c>
      <c r="M1239">
        <f t="shared" si="485"/>
        <v>9</v>
      </c>
      <c r="Q1239" t="str">
        <f>IF(周转筐出入库明细!$D1240="","",周转筐出入库明细!$D1240)</f>
        <v/>
      </c>
      <c r="R1239">
        <f t="shared" si="486"/>
        <v>0</v>
      </c>
      <c r="S1239">
        <f t="shared" si="487"/>
        <v>5</v>
      </c>
      <c r="W1239" t="str">
        <f>IF(周转筐出入库明细!$C1240="","",周转筐出入库明细!$C1240)</f>
        <v/>
      </c>
      <c r="X1239">
        <f t="shared" si="488"/>
        <v>0</v>
      </c>
      <c r="Y1239">
        <f t="shared" si="489"/>
        <v>12</v>
      </c>
      <c r="AI1239" t="str">
        <f>IF(OR(对接源_01水果筐数!$B40="",LEFT(对接源_01水果筐数!$C40,2)&lt;&gt;"自备"),"",对接源_01水果筐数!$B40)</f>
        <v/>
      </c>
      <c r="AJ1239">
        <f t="shared" si="490"/>
        <v>0</v>
      </c>
      <c r="AK1239">
        <f t="shared" si="491"/>
        <v>6</v>
      </c>
      <c r="CP1239">
        <f>IF(包装物料出入库明细!$D1239="",0,1)</f>
        <v>0</v>
      </c>
      <c r="CQ1239">
        <f t="shared" si="492"/>
        <v>37</v>
      </c>
      <c r="CS1239" t="str">
        <f>IF(OR(周转筐出入库明细!$C1240="",周转筐出入库明细!$F1240&lt;&gt;"采购入库"),"",周转筐出入库明细!$C1240)</f>
        <v/>
      </c>
      <c r="CT1239">
        <f t="shared" si="493"/>
        <v>0</v>
      </c>
      <c r="CU1239">
        <f t="shared" si="494"/>
        <v>1</v>
      </c>
    </row>
    <row r="1240" spans="1:99">
      <c r="A1240" t="str">
        <f>IF(包装物料出入库明细!$E1240="","",包装物料出入库明细!$E1240)</f>
        <v/>
      </c>
      <c r="B1240">
        <f t="shared" si="482"/>
        <v>0</v>
      </c>
      <c r="C1240">
        <f t="shared" si="483"/>
        <v>7</v>
      </c>
      <c r="D1240" t="str">
        <f>IF(包装物料出入库明细!$E1240="","",包装物料出入库明细!$F1240)</f>
        <v/>
      </c>
      <c r="E1240" t="str">
        <f>IF(包装物料出入库明细!$E1240="","",包装物料出入库明细!$G1240)</f>
        <v/>
      </c>
      <c r="K1240" t="str">
        <f>IF(包装物料出入库明细!$D1240="","",包装物料出入库明细!$D1240)</f>
        <v/>
      </c>
      <c r="L1240">
        <f t="shared" si="484"/>
        <v>0</v>
      </c>
      <c r="M1240">
        <f t="shared" si="485"/>
        <v>9</v>
      </c>
      <c r="Q1240" t="str">
        <f>IF(周转筐出入库明细!$D1241="","",周转筐出入库明细!$D1241)</f>
        <v/>
      </c>
      <c r="R1240">
        <f t="shared" si="486"/>
        <v>0</v>
      </c>
      <c r="S1240">
        <f t="shared" si="487"/>
        <v>5</v>
      </c>
      <c r="W1240" t="str">
        <f>IF(周转筐出入库明细!$C1241="","",周转筐出入库明细!$C1241)</f>
        <v/>
      </c>
      <c r="X1240">
        <f t="shared" si="488"/>
        <v>0</v>
      </c>
      <c r="Y1240">
        <f t="shared" si="489"/>
        <v>12</v>
      </c>
      <c r="AI1240" t="str">
        <f>IF(OR(对接源_01水果筐数!$B41="",LEFT(对接源_01水果筐数!$C41,2)&lt;&gt;"自备"),"",对接源_01水果筐数!$B41)</f>
        <v/>
      </c>
      <c r="AJ1240">
        <f t="shared" si="490"/>
        <v>0</v>
      </c>
      <c r="AK1240">
        <f t="shared" si="491"/>
        <v>6</v>
      </c>
      <c r="CP1240">
        <f>IF(包装物料出入库明细!$D1240="",0,1)</f>
        <v>0</v>
      </c>
      <c r="CQ1240">
        <f t="shared" si="492"/>
        <v>37</v>
      </c>
      <c r="CS1240" t="str">
        <f>IF(OR(周转筐出入库明细!$C1241="",周转筐出入库明细!$F1241&lt;&gt;"采购入库"),"",周转筐出入库明细!$C1241)</f>
        <v/>
      </c>
      <c r="CT1240">
        <f t="shared" si="493"/>
        <v>0</v>
      </c>
      <c r="CU1240">
        <f t="shared" si="494"/>
        <v>1</v>
      </c>
    </row>
    <row r="1241" spans="1:99">
      <c r="A1241" t="str">
        <f>IF(包装物料出入库明细!$E1241="","",包装物料出入库明细!$E1241)</f>
        <v/>
      </c>
      <c r="B1241">
        <f t="shared" si="482"/>
        <v>0</v>
      </c>
      <c r="C1241">
        <f t="shared" si="483"/>
        <v>7</v>
      </c>
      <c r="D1241" t="str">
        <f>IF(包装物料出入库明细!$E1241="","",包装物料出入库明细!$F1241)</f>
        <v/>
      </c>
      <c r="E1241" t="str">
        <f>IF(包装物料出入库明细!$E1241="","",包装物料出入库明细!$G1241)</f>
        <v/>
      </c>
      <c r="K1241" t="str">
        <f>IF(包装物料出入库明细!$D1241="","",包装物料出入库明细!$D1241)</f>
        <v/>
      </c>
      <c r="L1241">
        <f t="shared" si="484"/>
        <v>0</v>
      </c>
      <c r="M1241">
        <f t="shared" si="485"/>
        <v>9</v>
      </c>
      <c r="Q1241" t="str">
        <f>IF(周转筐出入库明细!$D1242="","",周转筐出入库明细!$D1242)</f>
        <v/>
      </c>
      <c r="R1241">
        <f t="shared" si="486"/>
        <v>0</v>
      </c>
      <c r="S1241">
        <f t="shared" si="487"/>
        <v>5</v>
      </c>
      <c r="W1241" t="str">
        <f>IF(周转筐出入库明细!$C1242="","",周转筐出入库明细!$C1242)</f>
        <v/>
      </c>
      <c r="X1241">
        <f t="shared" si="488"/>
        <v>0</v>
      </c>
      <c r="Y1241">
        <f t="shared" si="489"/>
        <v>12</v>
      </c>
      <c r="AI1241" t="str">
        <f>IF(OR(对接源_01水果筐数!$B42="",LEFT(对接源_01水果筐数!$C42,2)&lt;&gt;"自备"),"",对接源_01水果筐数!$B42)</f>
        <v/>
      </c>
      <c r="AJ1241">
        <f t="shared" si="490"/>
        <v>0</v>
      </c>
      <c r="AK1241">
        <f t="shared" si="491"/>
        <v>6</v>
      </c>
      <c r="CP1241">
        <f>IF(包装物料出入库明细!$D1241="",0,1)</f>
        <v>0</v>
      </c>
      <c r="CQ1241">
        <f t="shared" si="492"/>
        <v>37</v>
      </c>
      <c r="CS1241" t="str">
        <f>IF(OR(周转筐出入库明细!$C1242="",周转筐出入库明细!$F1242&lt;&gt;"采购入库"),"",周转筐出入库明细!$C1242)</f>
        <v/>
      </c>
      <c r="CT1241">
        <f t="shared" si="493"/>
        <v>0</v>
      </c>
      <c r="CU1241">
        <f t="shared" si="494"/>
        <v>1</v>
      </c>
    </row>
    <row r="1242" spans="1:99">
      <c r="A1242" t="str">
        <f>IF(包装物料出入库明细!$E1242="","",包装物料出入库明细!$E1242)</f>
        <v/>
      </c>
      <c r="B1242">
        <f t="shared" si="482"/>
        <v>0</v>
      </c>
      <c r="C1242">
        <f t="shared" si="483"/>
        <v>7</v>
      </c>
      <c r="D1242" t="str">
        <f>IF(包装物料出入库明细!$E1242="","",包装物料出入库明细!$F1242)</f>
        <v/>
      </c>
      <c r="E1242" t="str">
        <f>IF(包装物料出入库明细!$E1242="","",包装物料出入库明细!$G1242)</f>
        <v/>
      </c>
      <c r="K1242" t="str">
        <f>IF(包装物料出入库明细!$D1242="","",包装物料出入库明细!$D1242)</f>
        <v/>
      </c>
      <c r="L1242">
        <f t="shared" si="484"/>
        <v>0</v>
      </c>
      <c r="M1242">
        <f t="shared" si="485"/>
        <v>9</v>
      </c>
      <c r="Q1242" t="str">
        <f>IF(周转筐出入库明细!$D1243="","",周转筐出入库明细!$D1243)</f>
        <v/>
      </c>
      <c r="R1242">
        <f t="shared" si="486"/>
        <v>0</v>
      </c>
      <c r="S1242">
        <f t="shared" si="487"/>
        <v>5</v>
      </c>
      <c r="W1242" t="str">
        <f>IF(周转筐出入库明细!$C1243="","",周转筐出入库明细!$C1243)</f>
        <v/>
      </c>
      <c r="X1242">
        <f t="shared" si="488"/>
        <v>0</v>
      </c>
      <c r="Y1242">
        <f t="shared" si="489"/>
        <v>12</v>
      </c>
      <c r="AI1242" t="str">
        <f>IF(OR(对接源_01水果筐数!$B43="",LEFT(对接源_01水果筐数!$C43,2)&lt;&gt;"自备"),"",对接源_01水果筐数!$B43)</f>
        <v/>
      </c>
      <c r="AJ1242">
        <f t="shared" si="490"/>
        <v>0</v>
      </c>
      <c r="AK1242">
        <f t="shared" si="491"/>
        <v>6</v>
      </c>
      <c r="CP1242">
        <f>IF(包装物料出入库明细!$D1242="",0,1)</f>
        <v>0</v>
      </c>
      <c r="CQ1242">
        <f t="shared" si="492"/>
        <v>37</v>
      </c>
      <c r="CS1242" t="str">
        <f>IF(OR(周转筐出入库明细!$C1243="",周转筐出入库明细!$F1243&lt;&gt;"采购入库"),"",周转筐出入库明细!$C1243)</f>
        <v/>
      </c>
      <c r="CT1242">
        <f t="shared" si="493"/>
        <v>0</v>
      </c>
      <c r="CU1242">
        <f t="shared" si="494"/>
        <v>1</v>
      </c>
    </row>
    <row r="1243" spans="1:99">
      <c r="A1243" t="str">
        <f>IF(包装物料出入库明细!$E1243="","",包装物料出入库明细!$E1243)</f>
        <v/>
      </c>
      <c r="B1243">
        <f t="shared" si="482"/>
        <v>0</v>
      </c>
      <c r="C1243">
        <f t="shared" si="483"/>
        <v>7</v>
      </c>
      <c r="D1243" t="str">
        <f>IF(包装物料出入库明细!$E1243="","",包装物料出入库明细!$F1243)</f>
        <v/>
      </c>
      <c r="E1243" t="str">
        <f>IF(包装物料出入库明细!$E1243="","",包装物料出入库明细!$G1243)</f>
        <v/>
      </c>
      <c r="K1243" t="str">
        <f>IF(包装物料出入库明细!$D1243="","",包装物料出入库明细!$D1243)</f>
        <v/>
      </c>
      <c r="L1243">
        <f t="shared" si="484"/>
        <v>0</v>
      </c>
      <c r="M1243">
        <f t="shared" si="485"/>
        <v>9</v>
      </c>
      <c r="Q1243" t="str">
        <f>IF(周转筐出入库明细!$D1244="","",周转筐出入库明细!$D1244)</f>
        <v/>
      </c>
      <c r="R1243">
        <f t="shared" si="486"/>
        <v>0</v>
      </c>
      <c r="S1243">
        <f t="shared" si="487"/>
        <v>5</v>
      </c>
      <c r="W1243" t="str">
        <f>IF(周转筐出入库明细!$C1244="","",周转筐出入库明细!$C1244)</f>
        <v/>
      </c>
      <c r="X1243">
        <f t="shared" si="488"/>
        <v>0</v>
      </c>
      <c r="Y1243">
        <f t="shared" si="489"/>
        <v>12</v>
      </c>
      <c r="AI1243" t="str">
        <f>IF(OR(对接源_01水果筐数!$B44="",LEFT(对接源_01水果筐数!$C44,2)&lt;&gt;"自备"),"",对接源_01水果筐数!$B44)</f>
        <v/>
      </c>
      <c r="AJ1243">
        <f t="shared" si="490"/>
        <v>0</v>
      </c>
      <c r="AK1243">
        <f t="shared" si="491"/>
        <v>6</v>
      </c>
      <c r="CP1243">
        <f>IF(包装物料出入库明细!$D1243="",0,1)</f>
        <v>0</v>
      </c>
      <c r="CQ1243">
        <f t="shared" si="492"/>
        <v>37</v>
      </c>
      <c r="CS1243" t="str">
        <f>IF(OR(周转筐出入库明细!$C1244="",周转筐出入库明细!$F1244&lt;&gt;"采购入库"),"",周转筐出入库明细!$C1244)</f>
        <v/>
      </c>
      <c r="CT1243">
        <f t="shared" si="493"/>
        <v>0</v>
      </c>
      <c r="CU1243">
        <f t="shared" si="494"/>
        <v>1</v>
      </c>
    </row>
    <row r="1244" spans="1:99">
      <c r="A1244" t="str">
        <f>IF(包装物料出入库明细!$E1244="","",包装物料出入库明细!$E1244)</f>
        <v/>
      </c>
      <c r="B1244">
        <f t="shared" si="482"/>
        <v>0</v>
      </c>
      <c r="C1244">
        <f t="shared" si="483"/>
        <v>7</v>
      </c>
      <c r="D1244" t="str">
        <f>IF(包装物料出入库明细!$E1244="","",包装物料出入库明细!$F1244)</f>
        <v/>
      </c>
      <c r="E1244" t="str">
        <f>IF(包装物料出入库明细!$E1244="","",包装物料出入库明细!$G1244)</f>
        <v/>
      </c>
      <c r="K1244" t="str">
        <f>IF(包装物料出入库明细!$D1244="","",包装物料出入库明细!$D1244)</f>
        <v/>
      </c>
      <c r="L1244">
        <f t="shared" si="484"/>
        <v>0</v>
      </c>
      <c r="M1244">
        <f t="shared" si="485"/>
        <v>9</v>
      </c>
      <c r="Q1244" t="str">
        <f>IF(周转筐出入库明细!$D1245="","",周转筐出入库明细!$D1245)</f>
        <v/>
      </c>
      <c r="R1244">
        <f t="shared" si="486"/>
        <v>0</v>
      </c>
      <c r="S1244">
        <f t="shared" si="487"/>
        <v>5</v>
      </c>
      <c r="W1244" t="str">
        <f>IF(周转筐出入库明细!$C1245="","",周转筐出入库明细!$C1245)</f>
        <v/>
      </c>
      <c r="X1244">
        <f t="shared" si="488"/>
        <v>0</v>
      </c>
      <c r="Y1244">
        <f t="shared" si="489"/>
        <v>12</v>
      </c>
      <c r="AI1244" t="str">
        <f>IF(OR(对接源_01水果筐数!$B45="",LEFT(对接源_01水果筐数!$C45,2)&lt;&gt;"自备"),"",对接源_01水果筐数!$B45)</f>
        <v/>
      </c>
      <c r="AJ1244">
        <f t="shared" si="490"/>
        <v>0</v>
      </c>
      <c r="AK1244">
        <f t="shared" si="491"/>
        <v>6</v>
      </c>
      <c r="CP1244">
        <f>IF(包装物料出入库明细!$D1244="",0,1)</f>
        <v>0</v>
      </c>
      <c r="CQ1244">
        <f t="shared" si="492"/>
        <v>37</v>
      </c>
      <c r="CS1244" t="str">
        <f>IF(OR(周转筐出入库明细!$C1245="",周转筐出入库明细!$F1245&lt;&gt;"采购入库"),"",周转筐出入库明细!$C1245)</f>
        <v/>
      </c>
      <c r="CT1244">
        <f t="shared" si="493"/>
        <v>0</v>
      </c>
      <c r="CU1244">
        <f t="shared" si="494"/>
        <v>1</v>
      </c>
    </row>
    <row r="1245" spans="1:99">
      <c r="A1245" t="str">
        <f>IF(包装物料出入库明细!$E1245="","",包装物料出入库明细!$E1245)</f>
        <v/>
      </c>
      <c r="B1245">
        <f t="shared" si="482"/>
        <v>0</v>
      </c>
      <c r="C1245">
        <f t="shared" si="483"/>
        <v>7</v>
      </c>
      <c r="D1245" t="str">
        <f>IF(包装物料出入库明细!$E1245="","",包装物料出入库明细!$F1245)</f>
        <v/>
      </c>
      <c r="E1245" t="str">
        <f>IF(包装物料出入库明细!$E1245="","",包装物料出入库明细!$G1245)</f>
        <v/>
      </c>
      <c r="K1245" t="str">
        <f>IF(包装物料出入库明细!$D1245="","",包装物料出入库明细!$D1245)</f>
        <v/>
      </c>
      <c r="L1245">
        <f t="shared" si="484"/>
        <v>0</v>
      </c>
      <c r="M1245">
        <f t="shared" si="485"/>
        <v>9</v>
      </c>
      <c r="Q1245" t="str">
        <f>IF(周转筐出入库明细!$D1246="","",周转筐出入库明细!$D1246)</f>
        <v/>
      </c>
      <c r="R1245">
        <f t="shared" si="486"/>
        <v>0</v>
      </c>
      <c r="S1245">
        <f t="shared" si="487"/>
        <v>5</v>
      </c>
      <c r="W1245" t="str">
        <f>IF(周转筐出入库明细!$C1246="","",周转筐出入库明细!$C1246)</f>
        <v/>
      </c>
      <c r="X1245">
        <f t="shared" si="488"/>
        <v>0</v>
      </c>
      <c r="Y1245">
        <f t="shared" si="489"/>
        <v>12</v>
      </c>
      <c r="AI1245" t="str">
        <f>IF(OR(对接源_01水果筐数!$B46="",LEFT(对接源_01水果筐数!$C46,2)&lt;&gt;"自备"),"",对接源_01水果筐数!$B46)</f>
        <v/>
      </c>
      <c r="AJ1245">
        <f t="shared" si="490"/>
        <v>0</v>
      </c>
      <c r="AK1245">
        <f t="shared" si="491"/>
        <v>6</v>
      </c>
      <c r="CP1245">
        <f>IF(包装物料出入库明细!$D1245="",0,1)</f>
        <v>0</v>
      </c>
      <c r="CQ1245">
        <f t="shared" si="492"/>
        <v>37</v>
      </c>
      <c r="CS1245" t="str">
        <f>IF(OR(周转筐出入库明细!$C1246="",周转筐出入库明细!$F1246&lt;&gt;"采购入库"),"",周转筐出入库明细!$C1246)</f>
        <v/>
      </c>
      <c r="CT1245">
        <f t="shared" si="493"/>
        <v>0</v>
      </c>
      <c r="CU1245">
        <f t="shared" si="494"/>
        <v>1</v>
      </c>
    </row>
    <row r="1246" spans="1:99">
      <c r="A1246" t="str">
        <f>IF(包装物料出入库明细!$E1246="","",包装物料出入库明细!$E1246)</f>
        <v/>
      </c>
      <c r="B1246">
        <f t="shared" si="482"/>
        <v>0</v>
      </c>
      <c r="C1246">
        <f t="shared" si="483"/>
        <v>7</v>
      </c>
      <c r="D1246" t="str">
        <f>IF(包装物料出入库明细!$E1246="","",包装物料出入库明细!$F1246)</f>
        <v/>
      </c>
      <c r="E1246" t="str">
        <f>IF(包装物料出入库明细!$E1246="","",包装物料出入库明细!$G1246)</f>
        <v/>
      </c>
      <c r="K1246" t="str">
        <f>IF(包装物料出入库明细!$D1246="","",包装物料出入库明细!$D1246)</f>
        <v/>
      </c>
      <c r="L1246">
        <f t="shared" si="484"/>
        <v>0</v>
      </c>
      <c r="M1246">
        <f t="shared" si="485"/>
        <v>9</v>
      </c>
      <c r="Q1246" t="str">
        <f>IF(周转筐出入库明细!$D1247="","",周转筐出入库明细!$D1247)</f>
        <v/>
      </c>
      <c r="R1246">
        <f t="shared" si="486"/>
        <v>0</v>
      </c>
      <c r="S1246">
        <f t="shared" si="487"/>
        <v>5</v>
      </c>
      <c r="W1246" t="str">
        <f>IF(周转筐出入库明细!$C1247="","",周转筐出入库明细!$C1247)</f>
        <v/>
      </c>
      <c r="X1246">
        <f t="shared" si="488"/>
        <v>0</v>
      </c>
      <c r="Y1246">
        <f t="shared" si="489"/>
        <v>12</v>
      </c>
      <c r="AI1246" t="str">
        <f>IF(OR(对接源_01水果筐数!$B47="",LEFT(对接源_01水果筐数!$C47,2)&lt;&gt;"自备"),"",对接源_01水果筐数!$B47)</f>
        <v/>
      </c>
      <c r="AJ1246">
        <f t="shared" si="490"/>
        <v>0</v>
      </c>
      <c r="AK1246">
        <f t="shared" si="491"/>
        <v>6</v>
      </c>
      <c r="CP1246">
        <f>IF(包装物料出入库明细!$D1246="",0,1)</f>
        <v>0</v>
      </c>
      <c r="CQ1246">
        <f t="shared" si="492"/>
        <v>37</v>
      </c>
      <c r="CS1246" t="str">
        <f>IF(OR(周转筐出入库明细!$C1247="",周转筐出入库明细!$F1247&lt;&gt;"采购入库"),"",周转筐出入库明细!$C1247)</f>
        <v/>
      </c>
      <c r="CT1246">
        <f t="shared" si="493"/>
        <v>0</v>
      </c>
      <c r="CU1246">
        <f t="shared" si="494"/>
        <v>1</v>
      </c>
    </row>
    <row r="1247" spans="1:99">
      <c r="A1247" t="str">
        <f>IF(包装物料出入库明细!$E1247="","",包装物料出入库明细!$E1247)</f>
        <v/>
      </c>
      <c r="B1247">
        <f t="shared" si="482"/>
        <v>0</v>
      </c>
      <c r="C1247">
        <f t="shared" si="483"/>
        <v>7</v>
      </c>
      <c r="D1247" t="str">
        <f>IF(包装物料出入库明细!$E1247="","",包装物料出入库明细!$F1247)</f>
        <v/>
      </c>
      <c r="E1247" t="str">
        <f>IF(包装物料出入库明细!$E1247="","",包装物料出入库明细!$G1247)</f>
        <v/>
      </c>
      <c r="K1247" t="str">
        <f>IF(包装物料出入库明细!$D1247="","",包装物料出入库明细!$D1247)</f>
        <v/>
      </c>
      <c r="L1247">
        <f t="shared" si="484"/>
        <v>0</v>
      </c>
      <c r="M1247">
        <f t="shared" si="485"/>
        <v>9</v>
      </c>
      <c r="Q1247" t="str">
        <f>IF(周转筐出入库明细!$D1248="","",周转筐出入库明细!$D1248)</f>
        <v/>
      </c>
      <c r="R1247">
        <f t="shared" si="486"/>
        <v>0</v>
      </c>
      <c r="S1247">
        <f t="shared" si="487"/>
        <v>5</v>
      </c>
      <c r="W1247" t="str">
        <f>IF(周转筐出入库明细!$C1248="","",周转筐出入库明细!$C1248)</f>
        <v/>
      </c>
      <c r="X1247">
        <f t="shared" si="488"/>
        <v>0</v>
      </c>
      <c r="Y1247">
        <f t="shared" si="489"/>
        <v>12</v>
      </c>
      <c r="AI1247" t="str">
        <f>IF(OR(对接源_01水果筐数!$B48="",LEFT(对接源_01水果筐数!$C48,2)&lt;&gt;"自备"),"",对接源_01水果筐数!$B48)</f>
        <v/>
      </c>
      <c r="AJ1247">
        <f t="shared" si="490"/>
        <v>0</v>
      </c>
      <c r="AK1247">
        <f t="shared" si="491"/>
        <v>6</v>
      </c>
      <c r="CP1247">
        <f>IF(包装物料出入库明细!$D1247="",0,1)</f>
        <v>0</v>
      </c>
      <c r="CQ1247">
        <f t="shared" si="492"/>
        <v>37</v>
      </c>
      <c r="CS1247" t="str">
        <f>IF(OR(周转筐出入库明细!$C1248="",周转筐出入库明细!$F1248&lt;&gt;"采购入库"),"",周转筐出入库明细!$C1248)</f>
        <v/>
      </c>
      <c r="CT1247">
        <f t="shared" si="493"/>
        <v>0</v>
      </c>
      <c r="CU1247">
        <f t="shared" si="494"/>
        <v>1</v>
      </c>
    </row>
    <row r="1248" spans="1:99">
      <c r="A1248" t="str">
        <f>IF(包装物料出入库明细!$E1248="","",包装物料出入库明细!$E1248)</f>
        <v/>
      </c>
      <c r="B1248">
        <f t="shared" si="482"/>
        <v>0</v>
      </c>
      <c r="C1248">
        <f t="shared" si="483"/>
        <v>7</v>
      </c>
      <c r="D1248" t="str">
        <f>IF(包装物料出入库明细!$E1248="","",包装物料出入库明细!$F1248)</f>
        <v/>
      </c>
      <c r="E1248" t="str">
        <f>IF(包装物料出入库明细!$E1248="","",包装物料出入库明细!$G1248)</f>
        <v/>
      </c>
      <c r="K1248" t="str">
        <f>IF(包装物料出入库明细!$D1248="","",包装物料出入库明细!$D1248)</f>
        <v/>
      </c>
      <c r="L1248">
        <f t="shared" si="484"/>
        <v>0</v>
      </c>
      <c r="M1248">
        <f t="shared" si="485"/>
        <v>9</v>
      </c>
      <c r="Q1248" t="str">
        <f>IF(周转筐出入库明细!$D1249="","",周转筐出入库明细!$D1249)</f>
        <v/>
      </c>
      <c r="R1248">
        <f t="shared" si="486"/>
        <v>0</v>
      </c>
      <c r="S1248">
        <f t="shared" si="487"/>
        <v>5</v>
      </c>
      <c r="W1248" t="str">
        <f>IF(周转筐出入库明细!$C1249="","",周转筐出入库明细!$C1249)</f>
        <v/>
      </c>
      <c r="X1248">
        <f t="shared" si="488"/>
        <v>0</v>
      </c>
      <c r="Y1248">
        <f t="shared" si="489"/>
        <v>12</v>
      </c>
      <c r="AI1248" t="str">
        <f>IF(OR(对接源_01水果筐数!$B49="",LEFT(对接源_01水果筐数!$C49,2)&lt;&gt;"自备"),"",对接源_01水果筐数!$B49)</f>
        <v/>
      </c>
      <c r="AJ1248">
        <f t="shared" si="490"/>
        <v>0</v>
      </c>
      <c r="AK1248">
        <f t="shared" si="491"/>
        <v>6</v>
      </c>
      <c r="CP1248">
        <f>IF(包装物料出入库明细!$D1248="",0,1)</f>
        <v>0</v>
      </c>
      <c r="CQ1248">
        <f t="shared" si="492"/>
        <v>37</v>
      </c>
      <c r="CS1248" t="str">
        <f>IF(OR(周转筐出入库明细!$C1249="",周转筐出入库明细!$F1249&lt;&gt;"采购入库"),"",周转筐出入库明细!$C1249)</f>
        <v/>
      </c>
      <c r="CT1248">
        <f t="shared" si="493"/>
        <v>0</v>
      </c>
      <c r="CU1248">
        <f t="shared" si="494"/>
        <v>1</v>
      </c>
    </row>
    <row r="1249" spans="1:99">
      <c r="A1249" t="str">
        <f>IF(包装物料出入库明细!$E1249="","",包装物料出入库明细!$E1249)</f>
        <v/>
      </c>
      <c r="B1249">
        <f t="shared" si="482"/>
        <v>0</v>
      </c>
      <c r="C1249">
        <f t="shared" si="483"/>
        <v>7</v>
      </c>
      <c r="D1249" t="str">
        <f>IF(包装物料出入库明细!$E1249="","",包装物料出入库明细!$F1249)</f>
        <v/>
      </c>
      <c r="E1249" t="str">
        <f>IF(包装物料出入库明细!$E1249="","",包装物料出入库明细!$G1249)</f>
        <v/>
      </c>
      <c r="K1249" t="str">
        <f>IF(包装物料出入库明细!$D1249="","",包装物料出入库明细!$D1249)</f>
        <v/>
      </c>
      <c r="L1249">
        <f t="shared" si="484"/>
        <v>0</v>
      </c>
      <c r="M1249">
        <f t="shared" si="485"/>
        <v>9</v>
      </c>
      <c r="Q1249" t="str">
        <f>IF(周转筐出入库明细!$D1250="","",周转筐出入库明细!$D1250)</f>
        <v/>
      </c>
      <c r="R1249">
        <f t="shared" si="486"/>
        <v>0</v>
      </c>
      <c r="S1249">
        <f t="shared" si="487"/>
        <v>5</v>
      </c>
      <c r="W1249" t="str">
        <f>IF(周转筐出入库明细!$C1250="","",周转筐出入库明细!$C1250)</f>
        <v/>
      </c>
      <c r="X1249">
        <f t="shared" si="488"/>
        <v>0</v>
      </c>
      <c r="Y1249">
        <f t="shared" si="489"/>
        <v>12</v>
      </c>
      <c r="AI1249" t="str">
        <f>IF(OR(对接源_01水果筐数!$B50="",LEFT(对接源_01水果筐数!$C50,2)&lt;&gt;"自备"),"",对接源_01水果筐数!$B50)</f>
        <v/>
      </c>
      <c r="AJ1249">
        <f t="shared" si="490"/>
        <v>0</v>
      </c>
      <c r="AK1249">
        <f t="shared" si="491"/>
        <v>6</v>
      </c>
      <c r="CP1249">
        <f>IF(包装物料出入库明细!$D1249="",0,1)</f>
        <v>0</v>
      </c>
      <c r="CQ1249">
        <f t="shared" si="492"/>
        <v>37</v>
      </c>
      <c r="CS1249" t="str">
        <f>IF(OR(周转筐出入库明细!$C1250="",周转筐出入库明细!$F1250&lt;&gt;"采购入库"),"",周转筐出入库明细!$C1250)</f>
        <v/>
      </c>
      <c r="CT1249">
        <f t="shared" si="493"/>
        <v>0</v>
      </c>
      <c r="CU1249">
        <f t="shared" si="494"/>
        <v>1</v>
      </c>
    </row>
    <row r="1250" spans="1:99">
      <c r="A1250" t="str">
        <f>IF(包装物料出入库明细!$E1250="","",包装物料出入库明细!$E1250)</f>
        <v/>
      </c>
      <c r="B1250">
        <f t="shared" si="482"/>
        <v>0</v>
      </c>
      <c r="C1250">
        <f t="shared" si="483"/>
        <v>7</v>
      </c>
      <c r="D1250" t="str">
        <f>IF(包装物料出入库明细!$E1250="","",包装物料出入库明细!$F1250)</f>
        <v/>
      </c>
      <c r="E1250" t="str">
        <f>IF(包装物料出入库明细!$E1250="","",包装物料出入库明细!$G1250)</f>
        <v/>
      </c>
      <c r="K1250" t="str">
        <f>IF(包装物料出入库明细!$D1250="","",包装物料出入库明细!$D1250)</f>
        <v/>
      </c>
      <c r="L1250">
        <f t="shared" si="484"/>
        <v>0</v>
      </c>
      <c r="M1250">
        <f t="shared" si="485"/>
        <v>9</v>
      </c>
      <c r="Q1250" t="str">
        <f>IF(周转筐出入库明细!$D1251="","",周转筐出入库明细!$D1251)</f>
        <v/>
      </c>
      <c r="R1250">
        <f t="shared" si="486"/>
        <v>0</v>
      </c>
      <c r="S1250">
        <f t="shared" si="487"/>
        <v>5</v>
      </c>
      <c r="W1250" t="str">
        <f>IF(周转筐出入库明细!$C1251="","",周转筐出入库明细!$C1251)</f>
        <v/>
      </c>
      <c r="X1250">
        <f t="shared" si="488"/>
        <v>0</v>
      </c>
      <c r="Y1250">
        <f t="shared" si="489"/>
        <v>12</v>
      </c>
      <c r="AI1250" t="str">
        <f>IF(OR(对接源_01水果筐数!$B51="",LEFT(对接源_01水果筐数!$C51,2)&lt;&gt;"自备"),"",对接源_01水果筐数!$B51)</f>
        <v/>
      </c>
      <c r="AJ1250">
        <f t="shared" si="490"/>
        <v>0</v>
      </c>
      <c r="AK1250">
        <f t="shared" si="491"/>
        <v>6</v>
      </c>
      <c r="CP1250">
        <f>IF(包装物料出入库明细!$D1250="",0,1)</f>
        <v>0</v>
      </c>
      <c r="CQ1250">
        <f t="shared" si="492"/>
        <v>37</v>
      </c>
      <c r="CS1250" t="str">
        <f>IF(OR(周转筐出入库明细!$C1251="",周转筐出入库明细!$F1251&lt;&gt;"采购入库"),"",周转筐出入库明细!$C1251)</f>
        <v/>
      </c>
      <c r="CT1250">
        <f t="shared" si="493"/>
        <v>0</v>
      </c>
      <c r="CU1250">
        <f t="shared" si="494"/>
        <v>1</v>
      </c>
    </row>
    <row r="1251" spans="1:99">
      <c r="A1251" t="str">
        <f>IF(包装物料出入库明细!$E1251="","",包装物料出入库明细!$E1251)</f>
        <v/>
      </c>
      <c r="B1251">
        <f t="shared" si="482"/>
        <v>0</v>
      </c>
      <c r="C1251">
        <f t="shared" si="483"/>
        <v>7</v>
      </c>
      <c r="D1251" t="str">
        <f>IF(包装物料出入库明细!$E1251="","",包装物料出入库明细!$F1251)</f>
        <v/>
      </c>
      <c r="E1251" t="str">
        <f>IF(包装物料出入库明细!$E1251="","",包装物料出入库明细!$G1251)</f>
        <v/>
      </c>
      <c r="K1251" t="str">
        <f>IF(包装物料出入库明细!$D1251="","",包装物料出入库明细!$D1251)</f>
        <v/>
      </c>
      <c r="L1251">
        <f t="shared" si="484"/>
        <v>0</v>
      </c>
      <c r="M1251">
        <f t="shared" si="485"/>
        <v>9</v>
      </c>
      <c r="Q1251" t="str">
        <f>IF(周转筐出入库明细!$D1252="","",周转筐出入库明细!$D1252)</f>
        <v/>
      </c>
      <c r="R1251">
        <f t="shared" si="486"/>
        <v>0</v>
      </c>
      <c r="S1251">
        <f t="shared" si="487"/>
        <v>5</v>
      </c>
      <c r="W1251" t="str">
        <f>IF(周转筐出入库明细!$C1252="","",周转筐出入库明细!$C1252)</f>
        <v/>
      </c>
      <c r="X1251">
        <f t="shared" si="488"/>
        <v>0</v>
      </c>
      <c r="Y1251">
        <f t="shared" si="489"/>
        <v>12</v>
      </c>
      <c r="AI1251" t="str">
        <f>IF(OR(对接源_01水果筐数!$B52="",LEFT(对接源_01水果筐数!$C52,2)&lt;&gt;"自备"),"",对接源_01水果筐数!$B52)</f>
        <v/>
      </c>
      <c r="AJ1251">
        <f t="shared" si="490"/>
        <v>0</v>
      </c>
      <c r="AK1251">
        <f t="shared" si="491"/>
        <v>6</v>
      </c>
      <c r="CP1251">
        <f>IF(包装物料出入库明细!$D1251="",0,1)</f>
        <v>0</v>
      </c>
      <c r="CQ1251">
        <f t="shared" si="492"/>
        <v>37</v>
      </c>
      <c r="CS1251" t="str">
        <f>IF(OR(周转筐出入库明细!$C1252="",周转筐出入库明细!$F1252&lt;&gt;"采购入库"),"",周转筐出入库明细!$C1252)</f>
        <v/>
      </c>
      <c r="CT1251">
        <f t="shared" si="493"/>
        <v>0</v>
      </c>
      <c r="CU1251">
        <f t="shared" si="494"/>
        <v>1</v>
      </c>
    </row>
    <row r="1252" spans="1:99">
      <c r="A1252" t="str">
        <f>IF(包装物料出入库明细!$E1252="","",包装物料出入库明细!$E1252)</f>
        <v/>
      </c>
      <c r="B1252">
        <f t="shared" si="482"/>
        <v>0</v>
      </c>
      <c r="C1252">
        <f t="shared" si="483"/>
        <v>7</v>
      </c>
      <c r="D1252" t="str">
        <f>IF(包装物料出入库明细!$E1252="","",包装物料出入库明细!$F1252)</f>
        <v/>
      </c>
      <c r="E1252" t="str">
        <f>IF(包装物料出入库明细!$E1252="","",包装物料出入库明细!$G1252)</f>
        <v/>
      </c>
      <c r="K1252" t="str">
        <f>IF(包装物料出入库明细!$D1252="","",包装物料出入库明细!$D1252)</f>
        <v/>
      </c>
      <c r="L1252">
        <f t="shared" si="484"/>
        <v>0</v>
      </c>
      <c r="M1252">
        <f t="shared" si="485"/>
        <v>9</v>
      </c>
      <c r="Q1252" t="str">
        <f>IF(周转筐出入库明细!$D1253="","",周转筐出入库明细!$D1253)</f>
        <v/>
      </c>
      <c r="R1252">
        <f t="shared" si="486"/>
        <v>0</v>
      </c>
      <c r="S1252">
        <f t="shared" si="487"/>
        <v>5</v>
      </c>
      <c r="W1252" t="str">
        <f>IF(周转筐出入库明细!$C1253="","",周转筐出入库明细!$C1253)</f>
        <v/>
      </c>
      <c r="X1252">
        <f t="shared" si="488"/>
        <v>0</v>
      </c>
      <c r="Y1252">
        <f t="shared" si="489"/>
        <v>12</v>
      </c>
      <c r="AI1252" t="str">
        <f>IF(OR(对接源_01水果筐数!$B53="",LEFT(对接源_01水果筐数!$C53,2)&lt;&gt;"自备"),"",对接源_01水果筐数!$B53)</f>
        <v/>
      </c>
      <c r="AJ1252">
        <f t="shared" si="490"/>
        <v>0</v>
      </c>
      <c r="AK1252">
        <f t="shared" si="491"/>
        <v>6</v>
      </c>
      <c r="CP1252">
        <f>IF(包装物料出入库明细!$D1252="",0,1)</f>
        <v>0</v>
      </c>
      <c r="CQ1252">
        <f t="shared" si="492"/>
        <v>37</v>
      </c>
      <c r="CS1252" t="str">
        <f>IF(OR(周转筐出入库明细!$C1253="",周转筐出入库明细!$F1253&lt;&gt;"采购入库"),"",周转筐出入库明细!$C1253)</f>
        <v/>
      </c>
      <c r="CT1252">
        <f t="shared" si="493"/>
        <v>0</v>
      </c>
      <c r="CU1252">
        <f t="shared" si="494"/>
        <v>1</v>
      </c>
    </row>
    <row r="1253" spans="1:99">
      <c r="A1253" t="str">
        <f>IF(包装物料出入库明细!$E1253="","",包装物料出入库明细!$E1253)</f>
        <v/>
      </c>
      <c r="B1253">
        <f t="shared" si="482"/>
        <v>0</v>
      </c>
      <c r="C1253">
        <f t="shared" si="483"/>
        <v>7</v>
      </c>
      <c r="D1253" t="str">
        <f>IF(包装物料出入库明细!$E1253="","",包装物料出入库明细!$F1253)</f>
        <v/>
      </c>
      <c r="E1253" t="str">
        <f>IF(包装物料出入库明细!$E1253="","",包装物料出入库明细!$G1253)</f>
        <v/>
      </c>
      <c r="K1253" t="str">
        <f>IF(包装物料出入库明细!$D1253="","",包装物料出入库明细!$D1253)</f>
        <v/>
      </c>
      <c r="L1253">
        <f t="shared" si="484"/>
        <v>0</v>
      </c>
      <c r="M1253">
        <f t="shared" si="485"/>
        <v>9</v>
      </c>
      <c r="Q1253" t="str">
        <f>IF(周转筐出入库明细!$D1254="","",周转筐出入库明细!$D1254)</f>
        <v/>
      </c>
      <c r="R1253">
        <f t="shared" si="486"/>
        <v>0</v>
      </c>
      <c r="S1253">
        <f t="shared" si="487"/>
        <v>5</v>
      </c>
      <c r="W1253" t="str">
        <f>IF(周转筐出入库明细!$C1254="","",周转筐出入库明细!$C1254)</f>
        <v/>
      </c>
      <c r="X1253">
        <f t="shared" si="488"/>
        <v>0</v>
      </c>
      <c r="Y1253">
        <f t="shared" si="489"/>
        <v>12</v>
      </c>
      <c r="AI1253" t="str">
        <f>IF(OR(对接源_01水果筐数!$B54="",LEFT(对接源_01水果筐数!$C54,2)&lt;&gt;"自备"),"",对接源_01水果筐数!$B54)</f>
        <v/>
      </c>
      <c r="AJ1253">
        <f t="shared" si="490"/>
        <v>0</v>
      </c>
      <c r="AK1253">
        <f t="shared" si="491"/>
        <v>6</v>
      </c>
      <c r="CP1253">
        <f>IF(包装物料出入库明细!$D1253="",0,1)</f>
        <v>0</v>
      </c>
      <c r="CQ1253">
        <f t="shared" si="492"/>
        <v>37</v>
      </c>
      <c r="CS1253" t="str">
        <f>IF(OR(周转筐出入库明细!$C1254="",周转筐出入库明细!$F1254&lt;&gt;"采购入库"),"",周转筐出入库明细!$C1254)</f>
        <v/>
      </c>
      <c r="CT1253">
        <f t="shared" si="493"/>
        <v>0</v>
      </c>
      <c r="CU1253">
        <f t="shared" si="494"/>
        <v>1</v>
      </c>
    </row>
    <row r="1254" spans="1:99">
      <c r="A1254" t="str">
        <f>IF(包装物料出入库明细!$E1254="","",包装物料出入库明细!$E1254)</f>
        <v/>
      </c>
      <c r="B1254">
        <f t="shared" si="482"/>
        <v>0</v>
      </c>
      <c r="C1254">
        <f t="shared" si="483"/>
        <v>7</v>
      </c>
      <c r="D1254" t="str">
        <f>IF(包装物料出入库明细!$E1254="","",包装物料出入库明细!$F1254)</f>
        <v/>
      </c>
      <c r="E1254" t="str">
        <f>IF(包装物料出入库明细!$E1254="","",包装物料出入库明细!$G1254)</f>
        <v/>
      </c>
      <c r="K1254" t="str">
        <f>IF(包装物料出入库明细!$D1254="","",包装物料出入库明细!$D1254)</f>
        <v/>
      </c>
      <c r="L1254">
        <f t="shared" si="484"/>
        <v>0</v>
      </c>
      <c r="M1254">
        <f t="shared" si="485"/>
        <v>9</v>
      </c>
      <c r="Q1254" t="str">
        <f>IF(周转筐出入库明细!$D1255="","",周转筐出入库明细!$D1255)</f>
        <v/>
      </c>
      <c r="R1254">
        <f t="shared" si="486"/>
        <v>0</v>
      </c>
      <c r="S1254">
        <f t="shared" si="487"/>
        <v>5</v>
      </c>
      <c r="W1254" t="str">
        <f>IF(周转筐出入库明细!$C1255="","",周转筐出入库明细!$C1255)</f>
        <v/>
      </c>
      <c r="X1254">
        <f t="shared" si="488"/>
        <v>0</v>
      </c>
      <c r="Y1254">
        <f t="shared" si="489"/>
        <v>12</v>
      </c>
      <c r="AI1254" t="str">
        <f>IF(OR(对接源_01水果筐数!$B55="",LEFT(对接源_01水果筐数!$C55,2)&lt;&gt;"自备"),"",对接源_01水果筐数!$B55)</f>
        <v/>
      </c>
      <c r="AJ1254">
        <f t="shared" si="490"/>
        <v>0</v>
      </c>
      <c r="AK1254">
        <f t="shared" si="491"/>
        <v>6</v>
      </c>
      <c r="CP1254">
        <f>IF(包装物料出入库明细!$D1254="",0,1)</f>
        <v>0</v>
      </c>
      <c r="CQ1254">
        <f t="shared" si="492"/>
        <v>37</v>
      </c>
      <c r="CS1254" t="str">
        <f>IF(OR(周转筐出入库明细!$C1255="",周转筐出入库明细!$F1255&lt;&gt;"采购入库"),"",周转筐出入库明细!$C1255)</f>
        <v/>
      </c>
      <c r="CT1254">
        <f t="shared" si="493"/>
        <v>0</v>
      </c>
      <c r="CU1254">
        <f t="shared" si="494"/>
        <v>1</v>
      </c>
    </row>
    <row r="1255" spans="1:99">
      <c r="A1255" t="str">
        <f>IF(包装物料出入库明细!$E1255="","",包装物料出入库明细!$E1255)</f>
        <v/>
      </c>
      <c r="B1255">
        <f t="shared" si="482"/>
        <v>0</v>
      </c>
      <c r="C1255">
        <f t="shared" si="483"/>
        <v>7</v>
      </c>
      <c r="D1255" t="str">
        <f>IF(包装物料出入库明细!$E1255="","",包装物料出入库明细!$F1255)</f>
        <v/>
      </c>
      <c r="E1255" t="str">
        <f>IF(包装物料出入库明细!$E1255="","",包装物料出入库明细!$G1255)</f>
        <v/>
      </c>
      <c r="K1255" t="str">
        <f>IF(包装物料出入库明细!$D1255="","",包装物料出入库明细!$D1255)</f>
        <v/>
      </c>
      <c r="L1255">
        <f t="shared" si="484"/>
        <v>0</v>
      </c>
      <c r="M1255">
        <f t="shared" si="485"/>
        <v>9</v>
      </c>
      <c r="Q1255" t="str">
        <f>IF(周转筐出入库明细!$D1256="","",周转筐出入库明细!$D1256)</f>
        <v/>
      </c>
      <c r="R1255">
        <f t="shared" si="486"/>
        <v>0</v>
      </c>
      <c r="S1255">
        <f t="shared" si="487"/>
        <v>5</v>
      </c>
      <c r="W1255" t="str">
        <f>IF(周转筐出入库明细!$C1256="","",周转筐出入库明细!$C1256)</f>
        <v/>
      </c>
      <c r="X1255">
        <f t="shared" si="488"/>
        <v>0</v>
      </c>
      <c r="Y1255">
        <f t="shared" si="489"/>
        <v>12</v>
      </c>
      <c r="AI1255" t="str">
        <f>IF(OR(对接源_01水果筐数!$B56="",LEFT(对接源_01水果筐数!$C56,2)&lt;&gt;"自备"),"",对接源_01水果筐数!$B56)</f>
        <v/>
      </c>
      <c r="AJ1255">
        <f t="shared" si="490"/>
        <v>0</v>
      </c>
      <c r="AK1255">
        <f t="shared" si="491"/>
        <v>6</v>
      </c>
      <c r="CP1255">
        <f>IF(包装物料出入库明细!$D1255="",0,1)</f>
        <v>0</v>
      </c>
      <c r="CQ1255">
        <f t="shared" si="492"/>
        <v>37</v>
      </c>
      <c r="CS1255" t="str">
        <f>IF(OR(周转筐出入库明细!$C1256="",周转筐出入库明细!$F1256&lt;&gt;"采购入库"),"",周转筐出入库明细!$C1256)</f>
        <v/>
      </c>
      <c r="CT1255">
        <f t="shared" si="493"/>
        <v>0</v>
      </c>
      <c r="CU1255">
        <f t="shared" si="494"/>
        <v>1</v>
      </c>
    </row>
    <row r="1256" spans="1:99">
      <c r="A1256" t="str">
        <f>IF(包装物料出入库明细!$E1256="","",包装物料出入库明细!$E1256)</f>
        <v/>
      </c>
      <c r="B1256">
        <f t="shared" si="482"/>
        <v>0</v>
      </c>
      <c r="C1256">
        <f t="shared" si="483"/>
        <v>7</v>
      </c>
      <c r="D1256" t="str">
        <f>IF(包装物料出入库明细!$E1256="","",包装物料出入库明细!$F1256)</f>
        <v/>
      </c>
      <c r="E1256" t="str">
        <f>IF(包装物料出入库明细!$E1256="","",包装物料出入库明细!$G1256)</f>
        <v/>
      </c>
      <c r="K1256" t="str">
        <f>IF(包装物料出入库明细!$D1256="","",包装物料出入库明细!$D1256)</f>
        <v/>
      </c>
      <c r="L1256">
        <f t="shared" si="484"/>
        <v>0</v>
      </c>
      <c r="M1256">
        <f t="shared" si="485"/>
        <v>9</v>
      </c>
      <c r="Q1256" t="str">
        <f>IF(周转筐出入库明细!$D1257="","",周转筐出入库明细!$D1257)</f>
        <v/>
      </c>
      <c r="R1256">
        <f t="shared" si="486"/>
        <v>0</v>
      </c>
      <c r="S1256">
        <f t="shared" si="487"/>
        <v>5</v>
      </c>
      <c r="W1256" t="str">
        <f>IF(周转筐出入库明细!$C1257="","",周转筐出入库明细!$C1257)</f>
        <v/>
      </c>
      <c r="X1256">
        <f t="shared" si="488"/>
        <v>0</v>
      </c>
      <c r="Y1256">
        <f t="shared" si="489"/>
        <v>12</v>
      </c>
      <c r="AI1256" t="str">
        <f>IF(OR(对接源_01水果筐数!$B57="",LEFT(对接源_01水果筐数!$C57,2)&lt;&gt;"自备"),"",对接源_01水果筐数!$B57)</f>
        <v/>
      </c>
      <c r="AJ1256">
        <f t="shared" si="490"/>
        <v>0</v>
      </c>
      <c r="AK1256">
        <f t="shared" si="491"/>
        <v>6</v>
      </c>
      <c r="CP1256">
        <f>IF(包装物料出入库明细!$D1256="",0,1)</f>
        <v>0</v>
      </c>
      <c r="CQ1256">
        <f t="shared" si="492"/>
        <v>37</v>
      </c>
      <c r="CS1256" t="str">
        <f>IF(OR(周转筐出入库明细!$C1257="",周转筐出入库明细!$F1257&lt;&gt;"采购入库"),"",周转筐出入库明细!$C1257)</f>
        <v/>
      </c>
      <c r="CT1256">
        <f t="shared" si="493"/>
        <v>0</v>
      </c>
      <c r="CU1256">
        <f t="shared" si="494"/>
        <v>1</v>
      </c>
    </row>
    <row r="1257" spans="1:99">
      <c r="A1257" t="str">
        <f>IF(包装物料出入库明细!$E1257="","",包装物料出入库明细!$E1257)</f>
        <v/>
      </c>
      <c r="B1257">
        <f t="shared" si="482"/>
        <v>0</v>
      </c>
      <c r="C1257">
        <f t="shared" si="483"/>
        <v>7</v>
      </c>
      <c r="D1257" t="str">
        <f>IF(包装物料出入库明细!$E1257="","",包装物料出入库明细!$F1257)</f>
        <v/>
      </c>
      <c r="E1257" t="str">
        <f>IF(包装物料出入库明细!$E1257="","",包装物料出入库明细!$G1257)</f>
        <v/>
      </c>
      <c r="K1257" t="str">
        <f>IF(包装物料出入库明细!$D1257="","",包装物料出入库明细!$D1257)</f>
        <v/>
      </c>
      <c r="L1257">
        <f t="shared" si="484"/>
        <v>0</v>
      </c>
      <c r="M1257">
        <f t="shared" si="485"/>
        <v>9</v>
      </c>
      <c r="Q1257" t="str">
        <f>IF(周转筐出入库明细!$D1258="","",周转筐出入库明细!$D1258)</f>
        <v/>
      </c>
      <c r="R1257">
        <f t="shared" si="486"/>
        <v>0</v>
      </c>
      <c r="S1257">
        <f t="shared" si="487"/>
        <v>5</v>
      </c>
      <c r="W1257" t="str">
        <f>IF(周转筐出入库明细!$C1258="","",周转筐出入库明细!$C1258)</f>
        <v/>
      </c>
      <c r="X1257">
        <f t="shared" si="488"/>
        <v>0</v>
      </c>
      <c r="Y1257">
        <f t="shared" si="489"/>
        <v>12</v>
      </c>
      <c r="AI1257" t="str">
        <f>IF(OR(对接源_01水果筐数!$B58="",LEFT(对接源_01水果筐数!$C58,2)&lt;&gt;"自备"),"",对接源_01水果筐数!$B58)</f>
        <v/>
      </c>
      <c r="AJ1257">
        <f t="shared" si="490"/>
        <v>0</v>
      </c>
      <c r="AK1257">
        <f t="shared" si="491"/>
        <v>6</v>
      </c>
      <c r="CP1257">
        <f>IF(包装物料出入库明细!$D1257="",0,1)</f>
        <v>0</v>
      </c>
      <c r="CQ1257">
        <f t="shared" si="492"/>
        <v>37</v>
      </c>
      <c r="CS1257" t="str">
        <f>IF(OR(周转筐出入库明细!$C1258="",周转筐出入库明细!$F1258&lt;&gt;"采购入库"),"",周转筐出入库明细!$C1258)</f>
        <v/>
      </c>
      <c r="CT1257">
        <f t="shared" si="493"/>
        <v>0</v>
      </c>
      <c r="CU1257">
        <f t="shared" si="494"/>
        <v>1</v>
      </c>
    </row>
    <row r="1258" spans="1:99">
      <c r="A1258" t="str">
        <f>IF(包装物料出入库明细!$E1258="","",包装物料出入库明细!$E1258)</f>
        <v/>
      </c>
      <c r="B1258">
        <f t="shared" si="482"/>
        <v>0</v>
      </c>
      <c r="C1258">
        <f t="shared" si="483"/>
        <v>7</v>
      </c>
      <c r="D1258" t="str">
        <f>IF(包装物料出入库明细!$E1258="","",包装物料出入库明细!$F1258)</f>
        <v/>
      </c>
      <c r="E1258" t="str">
        <f>IF(包装物料出入库明细!$E1258="","",包装物料出入库明细!$G1258)</f>
        <v/>
      </c>
      <c r="K1258" t="str">
        <f>IF(包装物料出入库明细!$D1258="","",包装物料出入库明细!$D1258)</f>
        <v/>
      </c>
      <c r="L1258">
        <f t="shared" si="484"/>
        <v>0</v>
      </c>
      <c r="M1258">
        <f t="shared" si="485"/>
        <v>9</v>
      </c>
      <c r="Q1258" t="str">
        <f>IF(周转筐出入库明细!$D1259="","",周转筐出入库明细!$D1259)</f>
        <v/>
      </c>
      <c r="R1258">
        <f t="shared" si="486"/>
        <v>0</v>
      </c>
      <c r="S1258">
        <f t="shared" si="487"/>
        <v>5</v>
      </c>
      <c r="W1258" t="str">
        <f>IF(周转筐出入库明细!$C1259="","",周转筐出入库明细!$C1259)</f>
        <v/>
      </c>
      <c r="X1258">
        <f t="shared" si="488"/>
        <v>0</v>
      </c>
      <c r="Y1258">
        <f t="shared" si="489"/>
        <v>12</v>
      </c>
      <c r="AI1258" t="str">
        <f>IF(OR(对接源_01水果筐数!$B59="",LEFT(对接源_01水果筐数!$C59,2)&lt;&gt;"自备"),"",对接源_01水果筐数!$B59)</f>
        <v/>
      </c>
      <c r="AJ1258">
        <f t="shared" si="490"/>
        <v>0</v>
      </c>
      <c r="AK1258">
        <f t="shared" si="491"/>
        <v>6</v>
      </c>
      <c r="CP1258">
        <f>IF(包装物料出入库明细!$D1258="",0,1)</f>
        <v>0</v>
      </c>
      <c r="CQ1258">
        <f t="shared" si="492"/>
        <v>37</v>
      </c>
      <c r="CS1258" t="str">
        <f>IF(OR(周转筐出入库明细!$C1259="",周转筐出入库明细!$F1259&lt;&gt;"采购入库"),"",周转筐出入库明细!$C1259)</f>
        <v/>
      </c>
      <c r="CT1258">
        <f t="shared" si="493"/>
        <v>0</v>
      </c>
      <c r="CU1258">
        <f t="shared" si="494"/>
        <v>1</v>
      </c>
    </row>
    <row r="1259" spans="1:99">
      <c r="A1259" t="str">
        <f>IF(包装物料出入库明细!$E1259="","",包装物料出入库明细!$E1259)</f>
        <v/>
      </c>
      <c r="B1259">
        <f t="shared" si="482"/>
        <v>0</v>
      </c>
      <c r="C1259">
        <f t="shared" si="483"/>
        <v>7</v>
      </c>
      <c r="D1259" t="str">
        <f>IF(包装物料出入库明细!$E1259="","",包装物料出入库明细!$F1259)</f>
        <v/>
      </c>
      <c r="E1259" t="str">
        <f>IF(包装物料出入库明细!$E1259="","",包装物料出入库明细!$G1259)</f>
        <v/>
      </c>
      <c r="K1259" t="str">
        <f>IF(包装物料出入库明细!$D1259="","",包装物料出入库明细!$D1259)</f>
        <v/>
      </c>
      <c r="L1259">
        <f t="shared" si="484"/>
        <v>0</v>
      </c>
      <c r="M1259">
        <f t="shared" si="485"/>
        <v>9</v>
      </c>
      <c r="Q1259" t="str">
        <f>IF(周转筐出入库明细!$D1260="","",周转筐出入库明细!$D1260)</f>
        <v/>
      </c>
      <c r="R1259">
        <f t="shared" si="486"/>
        <v>0</v>
      </c>
      <c r="S1259">
        <f t="shared" si="487"/>
        <v>5</v>
      </c>
      <c r="W1259" t="str">
        <f>IF(周转筐出入库明细!$C1260="","",周转筐出入库明细!$C1260)</f>
        <v/>
      </c>
      <c r="X1259">
        <f t="shared" si="488"/>
        <v>0</v>
      </c>
      <c r="Y1259">
        <f t="shared" si="489"/>
        <v>12</v>
      </c>
      <c r="AI1259" t="str">
        <f>IF(OR(对接源_01水果筐数!$B60="",LEFT(对接源_01水果筐数!$C60,2)&lt;&gt;"自备"),"",对接源_01水果筐数!$B60)</f>
        <v/>
      </c>
      <c r="AJ1259">
        <f t="shared" si="490"/>
        <v>0</v>
      </c>
      <c r="AK1259">
        <f t="shared" si="491"/>
        <v>6</v>
      </c>
      <c r="CP1259">
        <f>IF(包装物料出入库明细!$D1259="",0,1)</f>
        <v>0</v>
      </c>
      <c r="CQ1259">
        <f t="shared" si="492"/>
        <v>37</v>
      </c>
      <c r="CS1259" t="str">
        <f>IF(OR(周转筐出入库明细!$C1260="",周转筐出入库明细!$F1260&lt;&gt;"采购入库"),"",周转筐出入库明细!$C1260)</f>
        <v/>
      </c>
      <c r="CT1259">
        <f t="shared" si="493"/>
        <v>0</v>
      </c>
      <c r="CU1259">
        <f t="shared" si="494"/>
        <v>1</v>
      </c>
    </row>
    <row r="1260" spans="1:99">
      <c r="A1260" t="str">
        <f>IF(包装物料出入库明细!$E1260="","",包装物料出入库明细!$E1260)</f>
        <v/>
      </c>
      <c r="B1260">
        <f t="shared" si="482"/>
        <v>0</v>
      </c>
      <c r="C1260">
        <f t="shared" si="483"/>
        <v>7</v>
      </c>
      <c r="D1260" t="str">
        <f>IF(包装物料出入库明细!$E1260="","",包装物料出入库明细!$F1260)</f>
        <v/>
      </c>
      <c r="E1260" t="str">
        <f>IF(包装物料出入库明细!$E1260="","",包装物料出入库明细!$G1260)</f>
        <v/>
      </c>
      <c r="K1260" t="str">
        <f>IF(包装物料出入库明细!$D1260="","",包装物料出入库明细!$D1260)</f>
        <v/>
      </c>
      <c r="L1260">
        <f t="shared" si="484"/>
        <v>0</v>
      </c>
      <c r="M1260">
        <f t="shared" si="485"/>
        <v>9</v>
      </c>
      <c r="Q1260" t="str">
        <f>IF(周转筐出入库明细!$D1261="","",周转筐出入库明细!$D1261)</f>
        <v/>
      </c>
      <c r="R1260">
        <f t="shared" si="486"/>
        <v>0</v>
      </c>
      <c r="S1260">
        <f t="shared" si="487"/>
        <v>5</v>
      </c>
      <c r="W1260" t="str">
        <f>IF(周转筐出入库明细!$C1261="","",周转筐出入库明细!$C1261)</f>
        <v/>
      </c>
      <c r="X1260">
        <f t="shared" si="488"/>
        <v>0</v>
      </c>
      <c r="Y1260">
        <f t="shared" si="489"/>
        <v>12</v>
      </c>
      <c r="AI1260" t="str">
        <f>IF(OR(对接源_01水果筐数!$B61="",LEFT(对接源_01水果筐数!$C61,2)&lt;&gt;"自备"),"",对接源_01水果筐数!$B61)</f>
        <v/>
      </c>
      <c r="AJ1260">
        <f t="shared" si="490"/>
        <v>0</v>
      </c>
      <c r="AK1260">
        <f t="shared" si="491"/>
        <v>6</v>
      </c>
      <c r="CP1260">
        <f>IF(包装物料出入库明细!$D1260="",0,1)</f>
        <v>0</v>
      </c>
      <c r="CQ1260">
        <f t="shared" si="492"/>
        <v>37</v>
      </c>
      <c r="CS1260" t="str">
        <f>IF(OR(周转筐出入库明细!$C1261="",周转筐出入库明细!$F1261&lt;&gt;"采购入库"),"",周转筐出入库明细!$C1261)</f>
        <v/>
      </c>
      <c r="CT1260">
        <f t="shared" si="493"/>
        <v>0</v>
      </c>
      <c r="CU1260">
        <f t="shared" si="494"/>
        <v>1</v>
      </c>
    </row>
    <row r="1261" spans="1:99">
      <c r="A1261" t="str">
        <f>IF(包装物料出入库明细!$E1261="","",包装物料出入库明细!$E1261)</f>
        <v/>
      </c>
      <c r="B1261">
        <f t="shared" si="482"/>
        <v>0</v>
      </c>
      <c r="C1261">
        <f t="shared" si="483"/>
        <v>7</v>
      </c>
      <c r="D1261" t="str">
        <f>IF(包装物料出入库明细!$E1261="","",包装物料出入库明细!$F1261)</f>
        <v/>
      </c>
      <c r="E1261" t="str">
        <f>IF(包装物料出入库明细!$E1261="","",包装物料出入库明细!$G1261)</f>
        <v/>
      </c>
      <c r="K1261" t="str">
        <f>IF(包装物料出入库明细!$D1261="","",包装物料出入库明细!$D1261)</f>
        <v/>
      </c>
      <c r="L1261">
        <f t="shared" si="484"/>
        <v>0</v>
      </c>
      <c r="M1261">
        <f t="shared" si="485"/>
        <v>9</v>
      </c>
      <c r="Q1261" t="str">
        <f>IF(周转筐出入库明细!$D1262="","",周转筐出入库明细!$D1262)</f>
        <v/>
      </c>
      <c r="R1261">
        <f t="shared" si="486"/>
        <v>0</v>
      </c>
      <c r="S1261">
        <f t="shared" si="487"/>
        <v>5</v>
      </c>
      <c r="W1261" t="str">
        <f>IF(周转筐出入库明细!$C1262="","",周转筐出入库明细!$C1262)</f>
        <v/>
      </c>
      <c r="X1261">
        <f t="shared" si="488"/>
        <v>0</v>
      </c>
      <c r="Y1261">
        <f t="shared" si="489"/>
        <v>12</v>
      </c>
      <c r="AI1261" t="str">
        <f>IF(OR(对接源_01水果筐数!$B62="",LEFT(对接源_01水果筐数!$C62,2)&lt;&gt;"自备"),"",对接源_01水果筐数!$B62)</f>
        <v/>
      </c>
      <c r="AJ1261">
        <f t="shared" si="490"/>
        <v>0</v>
      </c>
      <c r="AK1261">
        <f t="shared" si="491"/>
        <v>6</v>
      </c>
      <c r="CP1261">
        <f>IF(包装物料出入库明细!$D1261="",0,1)</f>
        <v>0</v>
      </c>
      <c r="CQ1261">
        <f t="shared" si="492"/>
        <v>37</v>
      </c>
      <c r="CS1261" t="str">
        <f>IF(OR(周转筐出入库明细!$C1262="",周转筐出入库明细!$F1262&lt;&gt;"采购入库"),"",周转筐出入库明细!$C1262)</f>
        <v/>
      </c>
      <c r="CT1261">
        <f t="shared" si="493"/>
        <v>0</v>
      </c>
      <c r="CU1261">
        <f t="shared" si="494"/>
        <v>1</v>
      </c>
    </row>
    <row r="1262" spans="1:99">
      <c r="A1262" t="str">
        <f>IF(包装物料出入库明细!$E1262="","",包装物料出入库明细!$E1262)</f>
        <v/>
      </c>
      <c r="B1262">
        <f t="shared" si="482"/>
        <v>0</v>
      </c>
      <c r="C1262">
        <f t="shared" si="483"/>
        <v>7</v>
      </c>
      <c r="D1262" t="str">
        <f>IF(包装物料出入库明细!$E1262="","",包装物料出入库明细!$F1262)</f>
        <v/>
      </c>
      <c r="E1262" t="str">
        <f>IF(包装物料出入库明细!$E1262="","",包装物料出入库明细!$G1262)</f>
        <v/>
      </c>
      <c r="K1262" t="str">
        <f>IF(包装物料出入库明细!$D1262="","",包装物料出入库明细!$D1262)</f>
        <v/>
      </c>
      <c r="L1262">
        <f t="shared" si="484"/>
        <v>0</v>
      </c>
      <c r="M1262">
        <f t="shared" si="485"/>
        <v>9</v>
      </c>
      <c r="Q1262" t="str">
        <f>IF(周转筐出入库明细!$D1263="","",周转筐出入库明细!$D1263)</f>
        <v/>
      </c>
      <c r="R1262">
        <f t="shared" si="486"/>
        <v>0</v>
      </c>
      <c r="S1262">
        <f t="shared" si="487"/>
        <v>5</v>
      </c>
      <c r="W1262" t="str">
        <f>IF(周转筐出入库明细!$C1263="","",周转筐出入库明细!$C1263)</f>
        <v/>
      </c>
      <c r="X1262">
        <f t="shared" si="488"/>
        <v>0</v>
      </c>
      <c r="Y1262">
        <f t="shared" si="489"/>
        <v>12</v>
      </c>
      <c r="AI1262" t="str">
        <f>IF(OR(对接源_01水果筐数!$B63="",LEFT(对接源_01水果筐数!$C63,2)&lt;&gt;"自备"),"",对接源_01水果筐数!$B63)</f>
        <v/>
      </c>
      <c r="AJ1262">
        <f t="shared" si="490"/>
        <v>0</v>
      </c>
      <c r="AK1262">
        <f t="shared" si="491"/>
        <v>6</v>
      </c>
      <c r="CP1262">
        <f>IF(包装物料出入库明细!$D1262="",0,1)</f>
        <v>0</v>
      </c>
      <c r="CQ1262">
        <f t="shared" si="492"/>
        <v>37</v>
      </c>
      <c r="CS1262" t="str">
        <f>IF(OR(周转筐出入库明细!$C1263="",周转筐出入库明细!$F1263&lt;&gt;"采购入库"),"",周转筐出入库明细!$C1263)</f>
        <v/>
      </c>
      <c r="CT1262">
        <f t="shared" si="493"/>
        <v>0</v>
      </c>
      <c r="CU1262">
        <f t="shared" si="494"/>
        <v>1</v>
      </c>
    </row>
    <row r="1263" spans="1:99">
      <c r="A1263" t="str">
        <f>IF(包装物料出入库明细!$E1263="","",包装物料出入库明细!$E1263)</f>
        <v/>
      </c>
      <c r="B1263">
        <f t="shared" si="482"/>
        <v>0</v>
      </c>
      <c r="C1263">
        <f t="shared" si="483"/>
        <v>7</v>
      </c>
      <c r="D1263" t="str">
        <f>IF(包装物料出入库明细!$E1263="","",包装物料出入库明细!$F1263)</f>
        <v/>
      </c>
      <c r="E1263" t="str">
        <f>IF(包装物料出入库明细!$E1263="","",包装物料出入库明细!$G1263)</f>
        <v/>
      </c>
      <c r="K1263" t="str">
        <f>IF(包装物料出入库明细!$D1263="","",包装物料出入库明细!$D1263)</f>
        <v/>
      </c>
      <c r="L1263">
        <f t="shared" si="484"/>
        <v>0</v>
      </c>
      <c r="M1263">
        <f t="shared" si="485"/>
        <v>9</v>
      </c>
      <c r="Q1263" t="str">
        <f>IF(周转筐出入库明细!$D1264="","",周转筐出入库明细!$D1264)</f>
        <v/>
      </c>
      <c r="R1263">
        <f t="shared" si="486"/>
        <v>0</v>
      </c>
      <c r="S1263">
        <f t="shared" si="487"/>
        <v>5</v>
      </c>
      <c r="W1263" t="str">
        <f>IF(周转筐出入库明细!$C1264="","",周转筐出入库明细!$C1264)</f>
        <v/>
      </c>
      <c r="X1263">
        <f t="shared" si="488"/>
        <v>0</v>
      </c>
      <c r="Y1263">
        <f t="shared" si="489"/>
        <v>12</v>
      </c>
      <c r="AI1263" t="str">
        <f>IF(OR(对接源_01水果筐数!$B64="",LEFT(对接源_01水果筐数!$C64,2)&lt;&gt;"自备"),"",对接源_01水果筐数!$B64)</f>
        <v/>
      </c>
      <c r="AJ1263">
        <f t="shared" si="490"/>
        <v>0</v>
      </c>
      <c r="AK1263">
        <f t="shared" si="491"/>
        <v>6</v>
      </c>
      <c r="CP1263">
        <f>IF(包装物料出入库明细!$D1263="",0,1)</f>
        <v>0</v>
      </c>
      <c r="CQ1263">
        <f t="shared" si="492"/>
        <v>37</v>
      </c>
      <c r="CS1263" t="str">
        <f>IF(OR(周转筐出入库明细!$C1264="",周转筐出入库明细!$F1264&lt;&gt;"采购入库"),"",周转筐出入库明细!$C1264)</f>
        <v/>
      </c>
      <c r="CT1263">
        <f t="shared" si="493"/>
        <v>0</v>
      </c>
      <c r="CU1263">
        <f t="shared" si="494"/>
        <v>1</v>
      </c>
    </row>
    <row r="1264" spans="1:99">
      <c r="A1264" t="str">
        <f>IF(包装物料出入库明细!$E1264="","",包装物料出入库明细!$E1264)</f>
        <v/>
      </c>
      <c r="B1264">
        <f t="shared" si="482"/>
        <v>0</v>
      </c>
      <c r="C1264">
        <f t="shared" si="483"/>
        <v>7</v>
      </c>
      <c r="D1264" t="str">
        <f>IF(包装物料出入库明细!$E1264="","",包装物料出入库明细!$F1264)</f>
        <v/>
      </c>
      <c r="E1264" t="str">
        <f>IF(包装物料出入库明细!$E1264="","",包装物料出入库明细!$G1264)</f>
        <v/>
      </c>
      <c r="K1264" t="str">
        <f>IF(包装物料出入库明细!$D1264="","",包装物料出入库明细!$D1264)</f>
        <v/>
      </c>
      <c r="L1264">
        <f t="shared" si="484"/>
        <v>0</v>
      </c>
      <c r="M1264">
        <f t="shared" si="485"/>
        <v>9</v>
      </c>
      <c r="Q1264" t="str">
        <f>IF(周转筐出入库明细!$D1265="","",周转筐出入库明细!$D1265)</f>
        <v/>
      </c>
      <c r="R1264">
        <f t="shared" si="486"/>
        <v>0</v>
      </c>
      <c r="S1264">
        <f t="shared" si="487"/>
        <v>5</v>
      </c>
      <c r="W1264" t="str">
        <f>IF(周转筐出入库明细!$C1265="","",周转筐出入库明细!$C1265)</f>
        <v/>
      </c>
      <c r="X1264">
        <f t="shared" si="488"/>
        <v>0</v>
      </c>
      <c r="Y1264">
        <f t="shared" si="489"/>
        <v>12</v>
      </c>
      <c r="AI1264" t="str">
        <f>IF(OR(对接源_01水果筐数!$B65="",LEFT(对接源_01水果筐数!$C65,2)&lt;&gt;"自备"),"",对接源_01水果筐数!$B65)</f>
        <v/>
      </c>
      <c r="AJ1264">
        <f t="shared" si="490"/>
        <v>0</v>
      </c>
      <c r="AK1264">
        <f t="shared" si="491"/>
        <v>6</v>
      </c>
      <c r="CP1264">
        <f>IF(包装物料出入库明细!$D1264="",0,1)</f>
        <v>0</v>
      </c>
      <c r="CQ1264">
        <f t="shared" si="492"/>
        <v>37</v>
      </c>
      <c r="CS1264" t="str">
        <f>IF(OR(周转筐出入库明细!$C1265="",周转筐出入库明细!$F1265&lt;&gt;"采购入库"),"",周转筐出入库明细!$C1265)</f>
        <v/>
      </c>
      <c r="CT1264">
        <f t="shared" si="493"/>
        <v>0</v>
      </c>
      <c r="CU1264">
        <f t="shared" si="494"/>
        <v>1</v>
      </c>
    </row>
    <row r="1265" spans="1:99">
      <c r="A1265" t="str">
        <f>IF(包装物料出入库明细!$E1265="","",包装物料出入库明细!$E1265)</f>
        <v/>
      </c>
      <c r="B1265">
        <f t="shared" si="482"/>
        <v>0</v>
      </c>
      <c r="C1265">
        <f t="shared" si="483"/>
        <v>7</v>
      </c>
      <c r="D1265" t="str">
        <f>IF(包装物料出入库明细!$E1265="","",包装物料出入库明细!$F1265)</f>
        <v/>
      </c>
      <c r="E1265" t="str">
        <f>IF(包装物料出入库明细!$E1265="","",包装物料出入库明细!$G1265)</f>
        <v/>
      </c>
      <c r="K1265" t="str">
        <f>IF(包装物料出入库明细!$D1265="","",包装物料出入库明细!$D1265)</f>
        <v/>
      </c>
      <c r="L1265">
        <f t="shared" si="484"/>
        <v>0</v>
      </c>
      <c r="M1265">
        <f t="shared" si="485"/>
        <v>9</v>
      </c>
      <c r="Q1265" t="str">
        <f>IF(周转筐出入库明细!$D1266="","",周转筐出入库明细!$D1266)</f>
        <v/>
      </c>
      <c r="R1265">
        <f t="shared" si="486"/>
        <v>0</v>
      </c>
      <c r="S1265">
        <f t="shared" si="487"/>
        <v>5</v>
      </c>
      <c r="W1265" t="str">
        <f>IF(周转筐出入库明细!$C1266="","",周转筐出入库明细!$C1266)</f>
        <v/>
      </c>
      <c r="X1265">
        <f t="shared" si="488"/>
        <v>0</v>
      </c>
      <c r="Y1265">
        <f t="shared" si="489"/>
        <v>12</v>
      </c>
      <c r="AI1265" t="str">
        <f>IF(OR(对接源_01水果筐数!$B66="",LEFT(对接源_01水果筐数!$C66,2)&lt;&gt;"自备"),"",对接源_01水果筐数!$B66)</f>
        <v/>
      </c>
      <c r="AJ1265">
        <f t="shared" si="490"/>
        <v>0</v>
      </c>
      <c r="AK1265">
        <f t="shared" si="491"/>
        <v>6</v>
      </c>
      <c r="CP1265">
        <f>IF(包装物料出入库明细!$D1265="",0,1)</f>
        <v>0</v>
      </c>
      <c r="CQ1265">
        <f t="shared" si="492"/>
        <v>37</v>
      </c>
      <c r="CS1265" t="str">
        <f>IF(OR(周转筐出入库明细!$C1266="",周转筐出入库明细!$F1266&lt;&gt;"采购入库"),"",周转筐出入库明细!$C1266)</f>
        <v/>
      </c>
      <c r="CT1265">
        <f t="shared" si="493"/>
        <v>0</v>
      </c>
      <c r="CU1265">
        <f t="shared" si="494"/>
        <v>1</v>
      </c>
    </row>
    <row r="1266" spans="1:99">
      <c r="A1266" t="str">
        <f>IF(包装物料出入库明细!$E1266="","",包装物料出入库明细!$E1266)</f>
        <v/>
      </c>
      <c r="B1266">
        <f t="shared" si="482"/>
        <v>0</v>
      </c>
      <c r="C1266">
        <f t="shared" si="483"/>
        <v>7</v>
      </c>
      <c r="D1266" t="str">
        <f>IF(包装物料出入库明细!$E1266="","",包装物料出入库明细!$F1266)</f>
        <v/>
      </c>
      <c r="E1266" t="str">
        <f>IF(包装物料出入库明细!$E1266="","",包装物料出入库明细!$G1266)</f>
        <v/>
      </c>
      <c r="K1266" t="str">
        <f>IF(包装物料出入库明细!$D1266="","",包装物料出入库明细!$D1266)</f>
        <v/>
      </c>
      <c r="L1266">
        <f t="shared" si="484"/>
        <v>0</v>
      </c>
      <c r="M1266">
        <f t="shared" si="485"/>
        <v>9</v>
      </c>
      <c r="Q1266" t="str">
        <f>IF(周转筐出入库明细!$D1267="","",周转筐出入库明细!$D1267)</f>
        <v/>
      </c>
      <c r="R1266">
        <f t="shared" si="486"/>
        <v>0</v>
      </c>
      <c r="S1266">
        <f t="shared" si="487"/>
        <v>5</v>
      </c>
      <c r="W1266" t="str">
        <f>IF(周转筐出入库明细!$C1267="","",周转筐出入库明细!$C1267)</f>
        <v/>
      </c>
      <c r="X1266">
        <f t="shared" si="488"/>
        <v>0</v>
      </c>
      <c r="Y1266">
        <f t="shared" si="489"/>
        <v>12</v>
      </c>
      <c r="AI1266" t="str">
        <f>IF(OR(对接源_01水果筐数!$B67="",LEFT(对接源_01水果筐数!$C67,2)&lt;&gt;"自备"),"",对接源_01水果筐数!$B67)</f>
        <v/>
      </c>
      <c r="AJ1266">
        <f t="shared" si="490"/>
        <v>0</v>
      </c>
      <c r="AK1266">
        <f t="shared" si="491"/>
        <v>6</v>
      </c>
      <c r="CP1266">
        <f>IF(包装物料出入库明细!$D1266="",0,1)</f>
        <v>0</v>
      </c>
      <c r="CQ1266">
        <f t="shared" si="492"/>
        <v>37</v>
      </c>
      <c r="CS1266" t="str">
        <f>IF(OR(周转筐出入库明细!$C1267="",周转筐出入库明细!$F1267&lt;&gt;"采购入库"),"",周转筐出入库明细!$C1267)</f>
        <v/>
      </c>
      <c r="CT1266">
        <f t="shared" si="493"/>
        <v>0</v>
      </c>
      <c r="CU1266">
        <f t="shared" si="494"/>
        <v>1</v>
      </c>
    </row>
    <row r="1267" spans="1:99">
      <c r="A1267" t="str">
        <f>IF(包装物料出入库明细!$E1267="","",包装物料出入库明细!$E1267)</f>
        <v/>
      </c>
      <c r="B1267">
        <f t="shared" si="482"/>
        <v>0</v>
      </c>
      <c r="C1267">
        <f t="shared" si="483"/>
        <v>7</v>
      </c>
      <c r="D1267" t="str">
        <f>IF(包装物料出入库明细!$E1267="","",包装物料出入库明细!$F1267)</f>
        <v/>
      </c>
      <c r="E1267" t="str">
        <f>IF(包装物料出入库明细!$E1267="","",包装物料出入库明细!$G1267)</f>
        <v/>
      </c>
      <c r="K1267" t="str">
        <f>IF(包装物料出入库明细!$D1267="","",包装物料出入库明细!$D1267)</f>
        <v/>
      </c>
      <c r="L1267">
        <f t="shared" si="484"/>
        <v>0</v>
      </c>
      <c r="M1267">
        <f t="shared" si="485"/>
        <v>9</v>
      </c>
      <c r="Q1267" t="str">
        <f>IF(周转筐出入库明细!$D1268="","",周转筐出入库明细!$D1268)</f>
        <v/>
      </c>
      <c r="R1267">
        <f t="shared" si="486"/>
        <v>0</v>
      </c>
      <c r="S1267">
        <f t="shared" si="487"/>
        <v>5</v>
      </c>
      <c r="W1267" t="str">
        <f>IF(周转筐出入库明细!$C1268="","",周转筐出入库明细!$C1268)</f>
        <v/>
      </c>
      <c r="X1267">
        <f t="shared" si="488"/>
        <v>0</v>
      </c>
      <c r="Y1267">
        <f t="shared" si="489"/>
        <v>12</v>
      </c>
      <c r="AI1267" t="str">
        <f>IF(OR(对接源_01水果筐数!$B68="",LEFT(对接源_01水果筐数!$C68,2)&lt;&gt;"自备"),"",对接源_01水果筐数!$B68)</f>
        <v/>
      </c>
      <c r="AJ1267">
        <f t="shared" si="490"/>
        <v>0</v>
      </c>
      <c r="AK1267">
        <f t="shared" si="491"/>
        <v>6</v>
      </c>
      <c r="CP1267">
        <f>IF(包装物料出入库明细!$D1267="",0,1)</f>
        <v>0</v>
      </c>
      <c r="CQ1267">
        <f t="shared" si="492"/>
        <v>37</v>
      </c>
      <c r="CS1267" t="str">
        <f>IF(OR(周转筐出入库明细!$C1268="",周转筐出入库明细!$F1268&lt;&gt;"采购入库"),"",周转筐出入库明细!$C1268)</f>
        <v/>
      </c>
      <c r="CT1267">
        <f t="shared" si="493"/>
        <v>0</v>
      </c>
      <c r="CU1267">
        <f t="shared" si="494"/>
        <v>1</v>
      </c>
    </row>
    <row r="1268" spans="1:99">
      <c r="A1268" t="str">
        <f>IF(包装物料出入库明细!$E1268="","",包装物料出入库明细!$E1268)</f>
        <v/>
      </c>
      <c r="B1268">
        <f t="shared" si="482"/>
        <v>0</v>
      </c>
      <c r="C1268">
        <f t="shared" si="483"/>
        <v>7</v>
      </c>
      <c r="D1268" t="str">
        <f>IF(包装物料出入库明细!$E1268="","",包装物料出入库明细!$F1268)</f>
        <v/>
      </c>
      <c r="E1268" t="str">
        <f>IF(包装物料出入库明细!$E1268="","",包装物料出入库明细!$G1268)</f>
        <v/>
      </c>
      <c r="K1268" t="str">
        <f>IF(包装物料出入库明细!$D1268="","",包装物料出入库明细!$D1268)</f>
        <v/>
      </c>
      <c r="L1268">
        <f t="shared" si="484"/>
        <v>0</v>
      </c>
      <c r="M1268">
        <f t="shared" si="485"/>
        <v>9</v>
      </c>
      <c r="Q1268" t="str">
        <f>IF(周转筐出入库明细!$D1269="","",周转筐出入库明细!$D1269)</f>
        <v/>
      </c>
      <c r="R1268">
        <f t="shared" si="486"/>
        <v>0</v>
      </c>
      <c r="S1268">
        <f t="shared" si="487"/>
        <v>5</v>
      </c>
      <c r="W1268" t="str">
        <f>IF(周转筐出入库明细!$C1269="","",周转筐出入库明细!$C1269)</f>
        <v/>
      </c>
      <c r="X1268">
        <f t="shared" si="488"/>
        <v>0</v>
      </c>
      <c r="Y1268">
        <f t="shared" si="489"/>
        <v>12</v>
      </c>
      <c r="AI1268" t="str">
        <f>IF(OR(对接源_01水果筐数!$B69="",LEFT(对接源_01水果筐数!$C69,2)&lt;&gt;"自备"),"",对接源_01水果筐数!$B69)</f>
        <v/>
      </c>
      <c r="AJ1268">
        <f t="shared" si="490"/>
        <v>0</v>
      </c>
      <c r="AK1268">
        <f t="shared" si="491"/>
        <v>6</v>
      </c>
      <c r="CP1268">
        <f>IF(包装物料出入库明细!$D1268="",0,1)</f>
        <v>0</v>
      </c>
      <c r="CQ1268">
        <f t="shared" si="492"/>
        <v>37</v>
      </c>
      <c r="CS1268" t="str">
        <f>IF(OR(周转筐出入库明细!$C1269="",周转筐出入库明细!$F1269&lt;&gt;"采购入库"),"",周转筐出入库明细!$C1269)</f>
        <v/>
      </c>
      <c r="CT1268">
        <f t="shared" si="493"/>
        <v>0</v>
      </c>
      <c r="CU1268">
        <f t="shared" si="494"/>
        <v>1</v>
      </c>
    </row>
    <row r="1269" spans="1:99">
      <c r="A1269" t="str">
        <f>IF(包装物料出入库明细!$E1269="","",包装物料出入库明细!$E1269)</f>
        <v/>
      </c>
      <c r="B1269">
        <f t="shared" si="482"/>
        <v>0</v>
      </c>
      <c r="C1269">
        <f t="shared" si="483"/>
        <v>7</v>
      </c>
      <c r="D1269" t="str">
        <f>IF(包装物料出入库明细!$E1269="","",包装物料出入库明细!$F1269)</f>
        <v/>
      </c>
      <c r="E1269" t="str">
        <f>IF(包装物料出入库明细!$E1269="","",包装物料出入库明细!$G1269)</f>
        <v/>
      </c>
      <c r="K1269" t="str">
        <f>IF(包装物料出入库明细!$D1269="","",包装物料出入库明细!$D1269)</f>
        <v/>
      </c>
      <c r="L1269">
        <f t="shared" si="484"/>
        <v>0</v>
      </c>
      <c r="M1269">
        <f t="shared" si="485"/>
        <v>9</v>
      </c>
      <c r="Q1269" t="str">
        <f>IF(周转筐出入库明细!$D1270="","",周转筐出入库明细!$D1270)</f>
        <v/>
      </c>
      <c r="R1269">
        <f t="shared" si="486"/>
        <v>0</v>
      </c>
      <c r="S1269">
        <f t="shared" si="487"/>
        <v>5</v>
      </c>
      <c r="W1269" t="str">
        <f>IF(周转筐出入库明细!$C1270="","",周转筐出入库明细!$C1270)</f>
        <v/>
      </c>
      <c r="X1269">
        <f t="shared" si="488"/>
        <v>0</v>
      </c>
      <c r="Y1269">
        <f t="shared" si="489"/>
        <v>12</v>
      </c>
      <c r="AI1269" t="str">
        <f>IF(OR(对接源_01水果筐数!$B70="",LEFT(对接源_01水果筐数!$C70,2)&lt;&gt;"自备"),"",对接源_01水果筐数!$B70)</f>
        <v/>
      </c>
      <c r="AJ1269">
        <f t="shared" si="490"/>
        <v>0</v>
      </c>
      <c r="AK1269">
        <f t="shared" si="491"/>
        <v>6</v>
      </c>
      <c r="CP1269">
        <f>IF(包装物料出入库明细!$D1269="",0,1)</f>
        <v>0</v>
      </c>
      <c r="CQ1269">
        <f t="shared" si="492"/>
        <v>37</v>
      </c>
      <c r="CS1269" t="str">
        <f>IF(OR(周转筐出入库明细!$C1270="",周转筐出入库明细!$F1270&lt;&gt;"采购入库"),"",周转筐出入库明细!$C1270)</f>
        <v/>
      </c>
      <c r="CT1269">
        <f t="shared" si="493"/>
        <v>0</v>
      </c>
      <c r="CU1269">
        <f t="shared" si="494"/>
        <v>1</v>
      </c>
    </row>
    <row r="1270" spans="1:99">
      <c r="A1270" t="str">
        <f>IF(包装物料出入库明细!$E1270="","",包装物料出入库明细!$E1270)</f>
        <v/>
      </c>
      <c r="B1270">
        <f t="shared" si="482"/>
        <v>0</v>
      </c>
      <c r="C1270">
        <f t="shared" si="483"/>
        <v>7</v>
      </c>
      <c r="D1270" t="str">
        <f>IF(包装物料出入库明细!$E1270="","",包装物料出入库明细!$F1270)</f>
        <v/>
      </c>
      <c r="E1270" t="str">
        <f>IF(包装物料出入库明细!$E1270="","",包装物料出入库明细!$G1270)</f>
        <v/>
      </c>
      <c r="K1270" t="str">
        <f>IF(包装物料出入库明细!$D1270="","",包装物料出入库明细!$D1270)</f>
        <v/>
      </c>
      <c r="L1270">
        <f t="shared" si="484"/>
        <v>0</v>
      </c>
      <c r="M1270">
        <f t="shared" si="485"/>
        <v>9</v>
      </c>
      <c r="Q1270" t="str">
        <f>IF(周转筐出入库明细!$D1271="","",周转筐出入库明细!$D1271)</f>
        <v/>
      </c>
      <c r="R1270">
        <f t="shared" si="486"/>
        <v>0</v>
      </c>
      <c r="S1270">
        <f t="shared" si="487"/>
        <v>5</v>
      </c>
      <c r="W1270" t="str">
        <f>IF(周转筐出入库明细!$C1271="","",周转筐出入库明细!$C1271)</f>
        <v/>
      </c>
      <c r="X1270">
        <f t="shared" si="488"/>
        <v>0</v>
      </c>
      <c r="Y1270">
        <f t="shared" si="489"/>
        <v>12</v>
      </c>
      <c r="AI1270" t="str">
        <f>IF(OR(对接源_01水果筐数!$B71="",LEFT(对接源_01水果筐数!$C71,2)&lt;&gt;"自备"),"",对接源_01水果筐数!$B71)</f>
        <v/>
      </c>
      <c r="AJ1270">
        <f t="shared" si="490"/>
        <v>0</v>
      </c>
      <c r="AK1270">
        <f t="shared" si="491"/>
        <v>6</v>
      </c>
      <c r="CP1270">
        <f>IF(包装物料出入库明细!$D1270="",0,1)</f>
        <v>0</v>
      </c>
      <c r="CQ1270">
        <f t="shared" si="492"/>
        <v>37</v>
      </c>
      <c r="CS1270" t="str">
        <f>IF(OR(周转筐出入库明细!$C1271="",周转筐出入库明细!$F1271&lt;&gt;"采购入库"),"",周转筐出入库明细!$C1271)</f>
        <v/>
      </c>
      <c r="CT1270">
        <f t="shared" si="493"/>
        <v>0</v>
      </c>
      <c r="CU1270">
        <f t="shared" si="494"/>
        <v>1</v>
      </c>
    </row>
    <row r="1271" spans="1:99">
      <c r="A1271" t="str">
        <f>IF(包装物料出入库明细!$E1271="","",包装物料出入库明细!$E1271)</f>
        <v/>
      </c>
      <c r="B1271">
        <f t="shared" si="482"/>
        <v>0</v>
      </c>
      <c r="C1271">
        <f t="shared" si="483"/>
        <v>7</v>
      </c>
      <c r="D1271" t="str">
        <f>IF(包装物料出入库明细!$E1271="","",包装物料出入库明细!$F1271)</f>
        <v/>
      </c>
      <c r="E1271" t="str">
        <f>IF(包装物料出入库明细!$E1271="","",包装物料出入库明细!$G1271)</f>
        <v/>
      </c>
      <c r="K1271" t="str">
        <f>IF(包装物料出入库明细!$D1271="","",包装物料出入库明细!$D1271)</f>
        <v/>
      </c>
      <c r="L1271">
        <f t="shared" si="484"/>
        <v>0</v>
      </c>
      <c r="M1271">
        <f t="shared" si="485"/>
        <v>9</v>
      </c>
      <c r="Q1271" t="str">
        <f>IF(周转筐出入库明细!$D1272="","",周转筐出入库明细!$D1272)</f>
        <v/>
      </c>
      <c r="R1271">
        <f t="shared" si="486"/>
        <v>0</v>
      </c>
      <c r="S1271">
        <f t="shared" si="487"/>
        <v>5</v>
      </c>
      <c r="W1271" t="str">
        <f>IF(周转筐出入库明细!$C1272="","",周转筐出入库明细!$C1272)</f>
        <v/>
      </c>
      <c r="X1271">
        <f t="shared" si="488"/>
        <v>0</v>
      </c>
      <c r="Y1271">
        <f t="shared" si="489"/>
        <v>12</v>
      </c>
      <c r="AI1271" t="str">
        <f>IF(OR(对接源_01水果筐数!$B72="",LEFT(对接源_01水果筐数!$C72,2)&lt;&gt;"自备"),"",对接源_01水果筐数!$B72)</f>
        <v/>
      </c>
      <c r="AJ1271">
        <f t="shared" si="490"/>
        <v>0</v>
      </c>
      <c r="AK1271">
        <f t="shared" si="491"/>
        <v>6</v>
      </c>
      <c r="CP1271">
        <f>IF(包装物料出入库明细!$D1271="",0,1)</f>
        <v>0</v>
      </c>
      <c r="CQ1271">
        <f t="shared" si="492"/>
        <v>37</v>
      </c>
      <c r="CS1271" t="str">
        <f>IF(OR(周转筐出入库明细!$C1272="",周转筐出入库明细!$F1272&lt;&gt;"采购入库"),"",周转筐出入库明细!$C1272)</f>
        <v/>
      </c>
      <c r="CT1271">
        <f t="shared" si="493"/>
        <v>0</v>
      </c>
      <c r="CU1271">
        <f t="shared" si="494"/>
        <v>1</v>
      </c>
    </row>
    <row r="1272" spans="1:99">
      <c r="A1272" t="str">
        <f>IF(包装物料出入库明细!$E1272="","",包装物料出入库明细!$E1272)</f>
        <v/>
      </c>
      <c r="B1272">
        <f t="shared" si="482"/>
        <v>0</v>
      </c>
      <c r="C1272">
        <f t="shared" si="483"/>
        <v>7</v>
      </c>
      <c r="D1272" t="str">
        <f>IF(包装物料出入库明细!$E1272="","",包装物料出入库明细!$F1272)</f>
        <v/>
      </c>
      <c r="E1272" t="str">
        <f>IF(包装物料出入库明细!$E1272="","",包装物料出入库明细!$G1272)</f>
        <v/>
      </c>
      <c r="K1272" t="str">
        <f>IF(包装物料出入库明细!$D1272="","",包装物料出入库明细!$D1272)</f>
        <v/>
      </c>
      <c r="L1272">
        <f t="shared" si="484"/>
        <v>0</v>
      </c>
      <c r="M1272">
        <f t="shared" si="485"/>
        <v>9</v>
      </c>
      <c r="Q1272" t="str">
        <f>IF(周转筐出入库明细!$D1273="","",周转筐出入库明细!$D1273)</f>
        <v/>
      </c>
      <c r="R1272">
        <f t="shared" si="486"/>
        <v>0</v>
      </c>
      <c r="S1272">
        <f t="shared" si="487"/>
        <v>5</v>
      </c>
      <c r="W1272" t="str">
        <f>IF(周转筐出入库明细!$C1273="","",周转筐出入库明细!$C1273)</f>
        <v/>
      </c>
      <c r="X1272">
        <f t="shared" si="488"/>
        <v>0</v>
      </c>
      <c r="Y1272">
        <f t="shared" si="489"/>
        <v>12</v>
      </c>
      <c r="AI1272" t="str">
        <f>IF(OR(对接源_01水果筐数!$B73="",LEFT(对接源_01水果筐数!$C73,2)&lt;&gt;"自备"),"",对接源_01水果筐数!$B73)</f>
        <v/>
      </c>
      <c r="AJ1272">
        <f t="shared" si="490"/>
        <v>0</v>
      </c>
      <c r="AK1272">
        <f t="shared" si="491"/>
        <v>6</v>
      </c>
      <c r="CP1272">
        <f>IF(包装物料出入库明细!$D1272="",0,1)</f>
        <v>0</v>
      </c>
      <c r="CQ1272">
        <f t="shared" si="492"/>
        <v>37</v>
      </c>
      <c r="CS1272" t="str">
        <f>IF(OR(周转筐出入库明细!$C1273="",周转筐出入库明细!$F1273&lt;&gt;"采购入库"),"",周转筐出入库明细!$C1273)</f>
        <v/>
      </c>
      <c r="CT1272">
        <f t="shared" si="493"/>
        <v>0</v>
      </c>
      <c r="CU1272">
        <f t="shared" si="494"/>
        <v>1</v>
      </c>
    </row>
    <row r="1273" spans="1:99">
      <c r="A1273" t="str">
        <f>IF(包装物料出入库明细!$E1273="","",包装物料出入库明细!$E1273)</f>
        <v/>
      </c>
      <c r="B1273">
        <f t="shared" si="482"/>
        <v>0</v>
      </c>
      <c r="C1273">
        <f t="shared" si="483"/>
        <v>7</v>
      </c>
      <c r="D1273" t="str">
        <f>IF(包装物料出入库明细!$E1273="","",包装物料出入库明细!$F1273)</f>
        <v/>
      </c>
      <c r="E1273" t="str">
        <f>IF(包装物料出入库明细!$E1273="","",包装物料出入库明细!$G1273)</f>
        <v/>
      </c>
      <c r="K1273" t="str">
        <f>IF(包装物料出入库明细!$D1273="","",包装物料出入库明细!$D1273)</f>
        <v/>
      </c>
      <c r="L1273">
        <f t="shared" si="484"/>
        <v>0</v>
      </c>
      <c r="M1273">
        <f t="shared" si="485"/>
        <v>9</v>
      </c>
      <c r="Q1273" t="str">
        <f>IF(周转筐出入库明细!$D1274="","",周转筐出入库明细!$D1274)</f>
        <v/>
      </c>
      <c r="R1273">
        <f t="shared" si="486"/>
        <v>0</v>
      </c>
      <c r="S1273">
        <f t="shared" si="487"/>
        <v>5</v>
      </c>
      <c r="W1273" t="str">
        <f>IF(周转筐出入库明细!$C1274="","",周转筐出入库明细!$C1274)</f>
        <v/>
      </c>
      <c r="X1273">
        <f t="shared" si="488"/>
        <v>0</v>
      </c>
      <c r="Y1273">
        <f t="shared" si="489"/>
        <v>12</v>
      </c>
      <c r="AI1273" t="str">
        <f>IF(OR(对接源_01水果筐数!$B74="",LEFT(对接源_01水果筐数!$C74,2)&lt;&gt;"自备"),"",对接源_01水果筐数!$B74)</f>
        <v/>
      </c>
      <c r="AJ1273">
        <f t="shared" si="490"/>
        <v>0</v>
      </c>
      <c r="AK1273">
        <f t="shared" si="491"/>
        <v>6</v>
      </c>
      <c r="CP1273">
        <f>IF(包装物料出入库明细!$D1273="",0,1)</f>
        <v>0</v>
      </c>
      <c r="CQ1273">
        <f t="shared" si="492"/>
        <v>37</v>
      </c>
      <c r="CS1273" t="str">
        <f>IF(OR(周转筐出入库明细!$C1274="",周转筐出入库明细!$F1274&lt;&gt;"采购入库"),"",周转筐出入库明细!$C1274)</f>
        <v/>
      </c>
      <c r="CT1273">
        <f t="shared" si="493"/>
        <v>0</v>
      </c>
      <c r="CU1273">
        <f t="shared" si="494"/>
        <v>1</v>
      </c>
    </row>
    <row r="1274" spans="1:99">
      <c r="A1274" t="str">
        <f>IF(包装物料出入库明细!$E1274="","",包装物料出入库明细!$E1274)</f>
        <v/>
      </c>
      <c r="B1274">
        <f t="shared" si="482"/>
        <v>0</v>
      </c>
      <c r="C1274">
        <f t="shared" si="483"/>
        <v>7</v>
      </c>
      <c r="D1274" t="str">
        <f>IF(包装物料出入库明细!$E1274="","",包装物料出入库明细!$F1274)</f>
        <v/>
      </c>
      <c r="E1274" t="str">
        <f>IF(包装物料出入库明细!$E1274="","",包装物料出入库明细!$G1274)</f>
        <v/>
      </c>
      <c r="K1274" t="str">
        <f>IF(包装物料出入库明细!$D1274="","",包装物料出入库明细!$D1274)</f>
        <v/>
      </c>
      <c r="L1274">
        <f t="shared" si="484"/>
        <v>0</v>
      </c>
      <c r="M1274">
        <f t="shared" si="485"/>
        <v>9</v>
      </c>
      <c r="Q1274" t="str">
        <f>IF(周转筐出入库明细!$D1275="","",周转筐出入库明细!$D1275)</f>
        <v/>
      </c>
      <c r="R1274">
        <f t="shared" si="486"/>
        <v>0</v>
      </c>
      <c r="S1274">
        <f t="shared" si="487"/>
        <v>5</v>
      </c>
      <c r="W1274" t="str">
        <f>IF(周转筐出入库明细!$C1275="","",周转筐出入库明细!$C1275)</f>
        <v/>
      </c>
      <c r="X1274">
        <f t="shared" si="488"/>
        <v>0</v>
      </c>
      <c r="Y1274">
        <f t="shared" si="489"/>
        <v>12</v>
      </c>
      <c r="AI1274" t="str">
        <f>IF(OR(对接源_01水果筐数!$B75="",LEFT(对接源_01水果筐数!$C75,2)&lt;&gt;"自备"),"",对接源_01水果筐数!$B75)</f>
        <v/>
      </c>
      <c r="AJ1274">
        <f t="shared" si="490"/>
        <v>0</v>
      </c>
      <c r="AK1274">
        <f t="shared" si="491"/>
        <v>6</v>
      </c>
      <c r="CP1274">
        <f>IF(包装物料出入库明细!$D1274="",0,1)</f>
        <v>0</v>
      </c>
      <c r="CQ1274">
        <f t="shared" si="492"/>
        <v>37</v>
      </c>
      <c r="CS1274" t="str">
        <f>IF(OR(周转筐出入库明细!$C1275="",周转筐出入库明细!$F1275&lt;&gt;"采购入库"),"",周转筐出入库明细!$C1275)</f>
        <v/>
      </c>
      <c r="CT1274">
        <f t="shared" si="493"/>
        <v>0</v>
      </c>
      <c r="CU1274">
        <f t="shared" si="494"/>
        <v>1</v>
      </c>
    </row>
    <row r="1275" spans="1:99">
      <c r="A1275" t="str">
        <f>IF(包装物料出入库明细!$E1275="","",包装物料出入库明细!$E1275)</f>
        <v/>
      </c>
      <c r="B1275">
        <f t="shared" si="482"/>
        <v>0</v>
      </c>
      <c r="C1275">
        <f t="shared" si="483"/>
        <v>7</v>
      </c>
      <c r="D1275" t="str">
        <f>IF(包装物料出入库明细!$E1275="","",包装物料出入库明细!$F1275)</f>
        <v/>
      </c>
      <c r="E1275" t="str">
        <f>IF(包装物料出入库明细!$E1275="","",包装物料出入库明细!$G1275)</f>
        <v/>
      </c>
      <c r="K1275" t="str">
        <f>IF(包装物料出入库明细!$D1275="","",包装物料出入库明细!$D1275)</f>
        <v/>
      </c>
      <c r="L1275">
        <f t="shared" si="484"/>
        <v>0</v>
      </c>
      <c r="M1275">
        <f t="shared" si="485"/>
        <v>9</v>
      </c>
      <c r="Q1275" t="str">
        <f>IF(周转筐出入库明细!$D1276="","",周转筐出入库明细!$D1276)</f>
        <v/>
      </c>
      <c r="R1275">
        <f t="shared" si="486"/>
        <v>0</v>
      </c>
      <c r="S1275">
        <f t="shared" si="487"/>
        <v>5</v>
      </c>
      <c r="W1275" t="str">
        <f>IF(周转筐出入库明细!$C1276="","",周转筐出入库明细!$C1276)</f>
        <v/>
      </c>
      <c r="X1275">
        <f t="shared" si="488"/>
        <v>0</v>
      </c>
      <c r="Y1275">
        <f t="shared" si="489"/>
        <v>12</v>
      </c>
      <c r="AI1275" t="str">
        <f>IF(OR(对接源_01水果筐数!$B76="",LEFT(对接源_01水果筐数!$C76,2)&lt;&gt;"自备"),"",对接源_01水果筐数!$B76)</f>
        <v/>
      </c>
      <c r="AJ1275">
        <f t="shared" si="490"/>
        <v>0</v>
      </c>
      <c r="AK1275">
        <f t="shared" si="491"/>
        <v>6</v>
      </c>
      <c r="CP1275">
        <f>IF(包装物料出入库明细!$D1275="",0,1)</f>
        <v>0</v>
      </c>
      <c r="CQ1275">
        <f t="shared" si="492"/>
        <v>37</v>
      </c>
      <c r="CS1275" t="str">
        <f>IF(OR(周转筐出入库明细!$C1276="",周转筐出入库明细!$F1276&lt;&gt;"采购入库"),"",周转筐出入库明细!$C1276)</f>
        <v/>
      </c>
      <c r="CT1275">
        <f t="shared" si="493"/>
        <v>0</v>
      </c>
      <c r="CU1275">
        <f t="shared" si="494"/>
        <v>1</v>
      </c>
    </row>
    <row r="1276" spans="1:99">
      <c r="A1276" t="str">
        <f>IF(包装物料出入库明细!$E1276="","",包装物料出入库明细!$E1276)</f>
        <v/>
      </c>
      <c r="B1276">
        <f t="shared" si="482"/>
        <v>0</v>
      </c>
      <c r="C1276">
        <f t="shared" si="483"/>
        <v>7</v>
      </c>
      <c r="D1276" t="str">
        <f>IF(包装物料出入库明细!$E1276="","",包装物料出入库明细!$F1276)</f>
        <v/>
      </c>
      <c r="E1276" t="str">
        <f>IF(包装物料出入库明细!$E1276="","",包装物料出入库明细!$G1276)</f>
        <v/>
      </c>
      <c r="K1276" t="str">
        <f>IF(包装物料出入库明细!$D1276="","",包装物料出入库明细!$D1276)</f>
        <v/>
      </c>
      <c r="L1276">
        <f t="shared" si="484"/>
        <v>0</v>
      </c>
      <c r="M1276">
        <f t="shared" si="485"/>
        <v>9</v>
      </c>
      <c r="Q1276" t="str">
        <f>IF(周转筐出入库明细!$D1277="","",周转筐出入库明细!$D1277)</f>
        <v/>
      </c>
      <c r="R1276">
        <f t="shared" si="486"/>
        <v>0</v>
      </c>
      <c r="S1276">
        <f t="shared" si="487"/>
        <v>5</v>
      </c>
      <c r="W1276" t="str">
        <f>IF(周转筐出入库明细!$C1277="","",周转筐出入库明细!$C1277)</f>
        <v/>
      </c>
      <c r="X1276">
        <f t="shared" si="488"/>
        <v>0</v>
      </c>
      <c r="Y1276">
        <f t="shared" si="489"/>
        <v>12</v>
      </c>
      <c r="AI1276" t="str">
        <f>IF(OR(对接源_01水果筐数!$B77="",LEFT(对接源_01水果筐数!$C77,2)&lt;&gt;"自备"),"",对接源_01水果筐数!$B77)</f>
        <v/>
      </c>
      <c r="AJ1276">
        <f t="shared" si="490"/>
        <v>0</v>
      </c>
      <c r="AK1276">
        <f t="shared" si="491"/>
        <v>6</v>
      </c>
      <c r="CP1276">
        <f>IF(包装物料出入库明细!$D1276="",0,1)</f>
        <v>0</v>
      </c>
      <c r="CQ1276">
        <f t="shared" si="492"/>
        <v>37</v>
      </c>
      <c r="CS1276" t="str">
        <f>IF(OR(周转筐出入库明细!$C1277="",周转筐出入库明细!$F1277&lt;&gt;"采购入库"),"",周转筐出入库明细!$C1277)</f>
        <v/>
      </c>
      <c r="CT1276">
        <f t="shared" si="493"/>
        <v>0</v>
      </c>
      <c r="CU1276">
        <f t="shared" si="494"/>
        <v>1</v>
      </c>
    </row>
    <row r="1277" spans="1:99">
      <c r="A1277" t="str">
        <f>IF(包装物料出入库明细!$E1277="","",包装物料出入库明细!$E1277)</f>
        <v/>
      </c>
      <c r="B1277">
        <f t="shared" si="482"/>
        <v>0</v>
      </c>
      <c r="C1277">
        <f t="shared" si="483"/>
        <v>7</v>
      </c>
      <c r="D1277" t="str">
        <f>IF(包装物料出入库明细!$E1277="","",包装物料出入库明细!$F1277)</f>
        <v/>
      </c>
      <c r="E1277" t="str">
        <f>IF(包装物料出入库明细!$E1277="","",包装物料出入库明细!$G1277)</f>
        <v/>
      </c>
      <c r="K1277" t="str">
        <f>IF(包装物料出入库明细!$D1277="","",包装物料出入库明细!$D1277)</f>
        <v/>
      </c>
      <c r="L1277">
        <f t="shared" si="484"/>
        <v>0</v>
      </c>
      <c r="M1277">
        <f t="shared" si="485"/>
        <v>9</v>
      </c>
      <c r="Q1277" t="str">
        <f>IF(周转筐出入库明细!$D1278="","",周转筐出入库明细!$D1278)</f>
        <v/>
      </c>
      <c r="R1277">
        <f t="shared" si="486"/>
        <v>0</v>
      </c>
      <c r="S1277">
        <f t="shared" si="487"/>
        <v>5</v>
      </c>
      <c r="W1277" t="str">
        <f>IF(周转筐出入库明细!$C1278="","",周转筐出入库明细!$C1278)</f>
        <v/>
      </c>
      <c r="X1277">
        <f t="shared" si="488"/>
        <v>0</v>
      </c>
      <c r="Y1277">
        <f t="shared" si="489"/>
        <v>12</v>
      </c>
      <c r="AI1277" t="str">
        <f>IF(OR(对接源_01水果筐数!$B78="",LEFT(对接源_01水果筐数!$C78,2)&lt;&gt;"自备"),"",对接源_01水果筐数!$B78)</f>
        <v/>
      </c>
      <c r="AJ1277">
        <f t="shared" si="490"/>
        <v>0</v>
      </c>
      <c r="AK1277">
        <f t="shared" si="491"/>
        <v>6</v>
      </c>
      <c r="CP1277">
        <f>IF(包装物料出入库明细!$D1277="",0,1)</f>
        <v>0</v>
      </c>
      <c r="CQ1277">
        <f t="shared" si="492"/>
        <v>37</v>
      </c>
      <c r="CS1277" t="str">
        <f>IF(OR(周转筐出入库明细!$C1278="",周转筐出入库明细!$F1278&lt;&gt;"采购入库"),"",周转筐出入库明细!$C1278)</f>
        <v/>
      </c>
      <c r="CT1277">
        <f t="shared" si="493"/>
        <v>0</v>
      </c>
      <c r="CU1277">
        <f t="shared" si="494"/>
        <v>1</v>
      </c>
    </row>
    <row r="1278" spans="1:99">
      <c r="A1278" t="str">
        <f>IF(包装物料出入库明细!$E1278="","",包装物料出入库明细!$E1278)</f>
        <v/>
      </c>
      <c r="B1278">
        <f t="shared" si="482"/>
        <v>0</v>
      </c>
      <c r="C1278">
        <f t="shared" si="483"/>
        <v>7</v>
      </c>
      <c r="D1278" t="str">
        <f>IF(包装物料出入库明细!$E1278="","",包装物料出入库明细!$F1278)</f>
        <v/>
      </c>
      <c r="E1278" t="str">
        <f>IF(包装物料出入库明细!$E1278="","",包装物料出入库明细!$G1278)</f>
        <v/>
      </c>
      <c r="K1278" t="str">
        <f>IF(包装物料出入库明细!$D1278="","",包装物料出入库明细!$D1278)</f>
        <v/>
      </c>
      <c r="L1278">
        <f t="shared" si="484"/>
        <v>0</v>
      </c>
      <c r="M1278">
        <f t="shared" si="485"/>
        <v>9</v>
      </c>
      <c r="Q1278" t="str">
        <f>IF(周转筐出入库明细!$D1279="","",周转筐出入库明细!$D1279)</f>
        <v/>
      </c>
      <c r="R1278">
        <f t="shared" si="486"/>
        <v>0</v>
      </c>
      <c r="S1278">
        <f t="shared" si="487"/>
        <v>5</v>
      </c>
      <c r="W1278" t="str">
        <f>IF(周转筐出入库明细!$C1279="","",周转筐出入库明细!$C1279)</f>
        <v/>
      </c>
      <c r="X1278">
        <f t="shared" si="488"/>
        <v>0</v>
      </c>
      <c r="Y1278">
        <f t="shared" si="489"/>
        <v>12</v>
      </c>
      <c r="AI1278" t="str">
        <f>IF(OR(对接源_01水果筐数!$B79="",LEFT(对接源_01水果筐数!$C79,2)&lt;&gt;"自备"),"",对接源_01水果筐数!$B79)</f>
        <v/>
      </c>
      <c r="AJ1278">
        <f t="shared" si="490"/>
        <v>0</v>
      </c>
      <c r="AK1278">
        <f t="shared" si="491"/>
        <v>6</v>
      </c>
      <c r="CP1278">
        <f>IF(包装物料出入库明细!$D1278="",0,1)</f>
        <v>0</v>
      </c>
      <c r="CQ1278">
        <f t="shared" si="492"/>
        <v>37</v>
      </c>
      <c r="CS1278" t="str">
        <f>IF(OR(周转筐出入库明细!$C1279="",周转筐出入库明细!$F1279&lt;&gt;"采购入库"),"",周转筐出入库明细!$C1279)</f>
        <v/>
      </c>
      <c r="CT1278">
        <f t="shared" si="493"/>
        <v>0</v>
      </c>
      <c r="CU1278">
        <f t="shared" si="494"/>
        <v>1</v>
      </c>
    </row>
    <row r="1279" spans="1:99">
      <c r="A1279" t="str">
        <f>IF(包装物料出入库明细!$E1279="","",包装物料出入库明细!$E1279)</f>
        <v/>
      </c>
      <c r="B1279">
        <f t="shared" si="482"/>
        <v>0</v>
      </c>
      <c r="C1279">
        <f t="shared" si="483"/>
        <v>7</v>
      </c>
      <c r="D1279" t="str">
        <f>IF(包装物料出入库明细!$E1279="","",包装物料出入库明细!$F1279)</f>
        <v/>
      </c>
      <c r="E1279" t="str">
        <f>IF(包装物料出入库明细!$E1279="","",包装物料出入库明细!$G1279)</f>
        <v/>
      </c>
      <c r="K1279" t="str">
        <f>IF(包装物料出入库明细!$D1279="","",包装物料出入库明细!$D1279)</f>
        <v/>
      </c>
      <c r="L1279">
        <f t="shared" si="484"/>
        <v>0</v>
      </c>
      <c r="M1279">
        <f t="shared" si="485"/>
        <v>9</v>
      </c>
      <c r="Q1279" t="str">
        <f>IF(周转筐出入库明细!$D1280="","",周转筐出入库明细!$D1280)</f>
        <v/>
      </c>
      <c r="R1279">
        <f t="shared" si="486"/>
        <v>0</v>
      </c>
      <c r="S1279">
        <f t="shared" si="487"/>
        <v>5</v>
      </c>
      <c r="W1279" t="str">
        <f>IF(周转筐出入库明细!$C1280="","",周转筐出入库明细!$C1280)</f>
        <v/>
      </c>
      <c r="X1279">
        <f t="shared" si="488"/>
        <v>0</v>
      </c>
      <c r="Y1279">
        <f t="shared" si="489"/>
        <v>12</v>
      </c>
      <c r="AI1279" t="str">
        <f>IF(OR(对接源_01水果筐数!$B80="",LEFT(对接源_01水果筐数!$C80,2)&lt;&gt;"自备"),"",对接源_01水果筐数!$B80)</f>
        <v/>
      </c>
      <c r="AJ1279">
        <f t="shared" si="490"/>
        <v>0</v>
      </c>
      <c r="AK1279">
        <f t="shared" si="491"/>
        <v>6</v>
      </c>
      <c r="CP1279">
        <f>IF(包装物料出入库明细!$D1279="",0,1)</f>
        <v>0</v>
      </c>
      <c r="CQ1279">
        <f t="shared" si="492"/>
        <v>37</v>
      </c>
      <c r="CS1279" t="str">
        <f>IF(OR(周转筐出入库明细!$C1280="",周转筐出入库明细!$F1280&lt;&gt;"采购入库"),"",周转筐出入库明细!$C1280)</f>
        <v/>
      </c>
      <c r="CT1279">
        <f t="shared" si="493"/>
        <v>0</v>
      </c>
      <c r="CU1279">
        <f t="shared" si="494"/>
        <v>1</v>
      </c>
    </row>
    <row r="1280" spans="1:99">
      <c r="A1280" t="str">
        <f>IF(包装物料出入库明细!$E1280="","",包装物料出入库明细!$E1280)</f>
        <v/>
      </c>
      <c r="B1280">
        <f t="shared" si="482"/>
        <v>0</v>
      </c>
      <c r="C1280">
        <f t="shared" si="483"/>
        <v>7</v>
      </c>
      <c r="D1280" t="str">
        <f>IF(包装物料出入库明细!$E1280="","",包装物料出入库明细!$F1280)</f>
        <v/>
      </c>
      <c r="E1280" t="str">
        <f>IF(包装物料出入库明细!$E1280="","",包装物料出入库明细!$G1280)</f>
        <v/>
      </c>
      <c r="K1280" t="str">
        <f>IF(包装物料出入库明细!$D1280="","",包装物料出入库明细!$D1280)</f>
        <v/>
      </c>
      <c r="L1280">
        <f t="shared" si="484"/>
        <v>0</v>
      </c>
      <c r="M1280">
        <f t="shared" si="485"/>
        <v>9</v>
      </c>
      <c r="Q1280" t="str">
        <f>IF(周转筐出入库明细!$D1281="","",周转筐出入库明细!$D1281)</f>
        <v/>
      </c>
      <c r="R1280">
        <f t="shared" si="486"/>
        <v>0</v>
      </c>
      <c r="S1280">
        <f t="shared" si="487"/>
        <v>5</v>
      </c>
      <c r="W1280" t="str">
        <f>IF(周转筐出入库明细!$C1281="","",周转筐出入库明细!$C1281)</f>
        <v/>
      </c>
      <c r="X1280">
        <f t="shared" si="488"/>
        <v>0</v>
      </c>
      <c r="Y1280">
        <f t="shared" si="489"/>
        <v>12</v>
      </c>
      <c r="AI1280" t="str">
        <f>IF(OR(对接源_01水果筐数!$B81="",LEFT(对接源_01水果筐数!$C81,2)&lt;&gt;"自备"),"",对接源_01水果筐数!$B81)</f>
        <v/>
      </c>
      <c r="AJ1280">
        <f t="shared" si="490"/>
        <v>0</v>
      </c>
      <c r="AK1280">
        <f t="shared" si="491"/>
        <v>6</v>
      </c>
      <c r="CP1280">
        <f>IF(包装物料出入库明细!$D1280="",0,1)</f>
        <v>0</v>
      </c>
      <c r="CQ1280">
        <f t="shared" si="492"/>
        <v>37</v>
      </c>
      <c r="CS1280" t="str">
        <f>IF(OR(周转筐出入库明细!$C1281="",周转筐出入库明细!$F1281&lt;&gt;"采购入库"),"",周转筐出入库明细!$C1281)</f>
        <v/>
      </c>
      <c r="CT1280">
        <f t="shared" si="493"/>
        <v>0</v>
      </c>
      <c r="CU1280">
        <f t="shared" si="494"/>
        <v>1</v>
      </c>
    </row>
    <row r="1281" spans="1:99">
      <c r="A1281" t="str">
        <f>IF(包装物料出入库明细!$E1281="","",包装物料出入库明细!$E1281)</f>
        <v/>
      </c>
      <c r="B1281">
        <f t="shared" si="482"/>
        <v>0</v>
      </c>
      <c r="C1281">
        <f t="shared" si="483"/>
        <v>7</v>
      </c>
      <c r="D1281" t="str">
        <f>IF(包装物料出入库明细!$E1281="","",包装物料出入库明细!$F1281)</f>
        <v/>
      </c>
      <c r="E1281" t="str">
        <f>IF(包装物料出入库明细!$E1281="","",包装物料出入库明细!$G1281)</f>
        <v/>
      </c>
      <c r="K1281" t="str">
        <f>IF(包装物料出入库明细!$D1281="","",包装物料出入库明细!$D1281)</f>
        <v/>
      </c>
      <c r="L1281">
        <f t="shared" si="484"/>
        <v>0</v>
      </c>
      <c r="M1281">
        <f t="shared" si="485"/>
        <v>9</v>
      </c>
      <c r="Q1281" t="str">
        <f>IF(周转筐出入库明细!$D1282="","",周转筐出入库明细!$D1282)</f>
        <v/>
      </c>
      <c r="R1281">
        <f t="shared" si="486"/>
        <v>0</v>
      </c>
      <c r="S1281">
        <f t="shared" si="487"/>
        <v>5</v>
      </c>
      <c r="W1281" t="str">
        <f>IF(周转筐出入库明细!$C1282="","",周转筐出入库明细!$C1282)</f>
        <v/>
      </c>
      <c r="X1281">
        <f t="shared" si="488"/>
        <v>0</v>
      </c>
      <c r="Y1281">
        <f t="shared" si="489"/>
        <v>12</v>
      </c>
      <c r="AI1281" t="str">
        <f>IF(OR(对接源_01水果筐数!$B82="",LEFT(对接源_01水果筐数!$C82,2)&lt;&gt;"自备"),"",对接源_01水果筐数!$B82)</f>
        <v/>
      </c>
      <c r="AJ1281">
        <f t="shared" si="490"/>
        <v>0</v>
      </c>
      <c r="AK1281">
        <f t="shared" si="491"/>
        <v>6</v>
      </c>
      <c r="CP1281">
        <f>IF(包装物料出入库明细!$D1281="",0,1)</f>
        <v>0</v>
      </c>
      <c r="CQ1281">
        <f t="shared" si="492"/>
        <v>37</v>
      </c>
      <c r="CS1281" t="str">
        <f>IF(OR(周转筐出入库明细!$C1282="",周转筐出入库明细!$F1282&lt;&gt;"采购入库"),"",周转筐出入库明细!$C1282)</f>
        <v/>
      </c>
      <c r="CT1281">
        <f t="shared" si="493"/>
        <v>0</v>
      </c>
      <c r="CU1281">
        <f t="shared" si="494"/>
        <v>1</v>
      </c>
    </row>
    <row r="1282" spans="1:99">
      <c r="A1282" t="str">
        <f>IF(包装物料出入库明细!$E1282="","",包装物料出入库明细!$E1282)</f>
        <v/>
      </c>
      <c r="B1282">
        <f t="shared" si="482"/>
        <v>0</v>
      </c>
      <c r="C1282">
        <f t="shared" si="483"/>
        <v>7</v>
      </c>
      <c r="D1282" t="str">
        <f>IF(包装物料出入库明细!$E1282="","",包装物料出入库明细!$F1282)</f>
        <v/>
      </c>
      <c r="E1282" t="str">
        <f>IF(包装物料出入库明细!$E1282="","",包装物料出入库明细!$G1282)</f>
        <v/>
      </c>
      <c r="K1282" t="str">
        <f>IF(包装物料出入库明细!$D1282="","",包装物料出入库明细!$D1282)</f>
        <v/>
      </c>
      <c r="L1282">
        <f t="shared" si="484"/>
        <v>0</v>
      </c>
      <c r="M1282">
        <f t="shared" si="485"/>
        <v>9</v>
      </c>
      <c r="Q1282" t="str">
        <f>IF(周转筐出入库明细!$D1283="","",周转筐出入库明细!$D1283)</f>
        <v/>
      </c>
      <c r="R1282">
        <f t="shared" si="486"/>
        <v>0</v>
      </c>
      <c r="S1282">
        <f t="shared" si="487"/>
        <v>5</v>
      </c>
      <c r="W1282" t="str">
        <f>IF(周转筐出入库明细!$C1283="","",周转筐出入库明细!$C1283)</f>
        <v/>
      </c>
      <c r="X1282">
        <f t="shared" si="488"/>
        <v>0</v>
      </c>
      <c r="Y1282">
        <f t="shared" si="489"/>
        <v>12</v>
      </c>
      <c r="AI1282" t="str">
        <f>IF(OR(对接源_01水果筐数!$B83="",LEFT(对接源_01水果筐数!$C83,2)&lt;&gt;"自备"),"",对接源_01水果筐数!$B83)</f>
        <v/>
      </c>
      <c r="AJ1282">
        <f t="shared" si="490"/>
        <v>0</v>
      </c>
      <c r="AK1282">
        <f t="shared" si="491"/>
        <v>6</v>
      </c>
      <c r="CP1282">
        <f>IF(包装物料出入库明细!$D1282="",0,1)</f>
        <v>0</v>
      </c>
      <c r="CQ1282">
        <f t="shared" si="492"/>
        <v>37</v>
      </c>
      <c r="CS1282" t="str">
        <f>IF(OR(周转筐出入库明细!$C1283="",周转筐出入库明细!$F1283&lt;&gt;"采购入库"),"",周转筐出入库明细!$C1283)</f>
        <v/>
      </c>
      <c r="CT1282">
        <f t="shared" si="493"/>
        <v>0</v>
      </c>
      <c r="CU1282">
        <f t="shared" si="494"/>
        <v>1</v>
      </c>
    </row>
    <row r="1283" spans="1:99">
      <c r="A1283" t="str">
        <f>IF(包装物料出入库明细!$E1283="","",包装物料出入库明细!$E1283)</f>
        <v/>
      </c>
      <c r="B1283">
        <f t="shared" si="482"/>
        <v>0</v>
      </c>
      <c r="C1283">
        <f t="shared" si="483"/>
        <v>7</v>
      </c>
      <c r="D1283" t="str">
        <f>IF(包装物料出入库明细!$E1283="","",包装物料出入库明细!$F1283)</f>
        <v/>
      </c>
      <c r="E1283" t="str">
        <f>IF(包装物料出入库明细!$E1283="","",包装物料出入库明细!$G1283)</f>
        <v/>
      </c>
      <c r="K1283" t="str">
        <f>IF(包装物料出入库明细!$D1283="","",包装物料出入库明细!$D1283)</f>
        <v/>
      </c>
      <c r="L1283">
        <f t="shared" si="484"/>
        <v>0</v>
      </c>
      <c r="M1283">
        <f t="shared" si="485"/>
        <v>9</v>
      </c>
      <c r="Q1283" t="str">
        <f>IF(周转筐出入库明细!$D1284="","",周转筐出入库明细!$D1284)</f>
        <v/>
      </c>
      <c r="R1283">
        <f t="shared" si="486"/>
        <v>0</v>
      </c>
      <c r="S1283">
        <f t="shared" si="487"/>
        <v>5</v>
      </c>
      <c r="W1283" t="str">
        <f>IF(周转筐出入库明细!$C1284="","",周转筐出入库明细!$C1284)</f>
        <v/>
      </c>
      <c r="X1283">
        <f t="shared" si="488"/>
        <v>0</v>
      </c>
      <c r="Y1283">
        <f t="shared" si="489"/>
        <v>12</v>
      </c>
      <c r="AI1283" t="str">
        <f>IF(OR(对接源_01水果筐数!$B84="",LEFT(对接源_01水果筐数!$C84,2)&lt;&gt;"自备"),"",对接源_01水果筐数!$B84)</f>
        <v/>
      </c>
      <c r="AJ1283">
        <f t="shared" si="490"/>
        <v>0</v>
      </c>
      <c r="AK1283">
        <f t="shared" si="491"/>
        <v>6</v>
      </c>
      <c r="CP1283">
        <f>IF(包装物料出入库明细!$D1283="",0,1)</f>
        <v>0</v>
      </c>
      <c r="CQ1283">
        <f t="shared" si="492"/>
        <v>37</v>
      </c>
      <c r="CS1283" t="str">
        <f>IF(OR(周转筐出入库明细!$C1284="",周转筐出入库明细!$F1284&lt;&gt;"采购入库"),"",周转筐出入库明细!$C1284)</f>
        <v/>
      </c>
      <c r="CT1283">
        <f t="shared" si="493"/>
        <v>0</v>
      </c>
      <c r="CU1283">
        <f t="shared" si="494"/>
        <v>1</v>
      </c>
    </row>
    <row r="1284" spans="1:99">
      <c r="A1284" t="str">
        <f>IF(包装物料出入库明细!$E1284="","",包装物料出入库明细!$E1284)</f>
        <v/>
      </c>
      <c r="B1284">
        <f t="shared" ref="B1284:B1347" si="495">IF(A1284="",0,IF(MATCH(A1284,$A$4:$A$2003,0)=ROW()-3,1,0))</f>
        <v>0</v>
      </c>
      <c r="C1284">
        <f t="shared" ref="C1284:C1347" si="496">N(C1283)+B1284</f>
        <v>7</v>
      </c>
      <c r="D1284" t="str">
        <f>IF(包装物料出入库明细!$E1284="","",包装物料出入库明细!$F1284)</f>
        <v/>
      </c>
      <c r="E1284" t="str">
        <f>IF(包装物料出入库明细!$E1284="","",包装物料出入库明细!$G1284)</f>
        <v/>
      </c>
      <c r="K1284" t="str">
        <f>IF(包装物料出入库明细!$D1284="","",包装物料出入库明细!$D1284)</f>
        <v/>
      </c>
      <c r="L1284">
        <f t="shared" ref="L1284:L1347" si="497">IF(K1284="",0,IF(MATCH(K1284,$K$4:$K$2003,0)=ROW()-3,1,0))</f>
        <v>0</v>
      </c>
      <c r="M1284">
        <f t="shared" ref="M1284:M1347" si="498">N(M1283)+L1284</f>
        <v>9</v>
      </c>
      <c r="Q1284" t="str">
        <f>IF(周转筐出入库明细!$D1285="","",周转筐出入库明细!$D1285)</f>
        <v/>
      </c>
      <c r="R1284">
        <f t="shared" ref="R1284:R1347" si="499">IF(Q1284="",0,IF(MATCH(Q1284,$Q$4:$Q$2003,0)=ROW()-3,1,0))</f>
        <v>0</v>
      </c>
      <c r="S1284">
        <f t="shared" ref="S1284:S1347" si="500">N(S1283)+R1284</f>
        <v>5</v>
      </c>
      <c r="W1284" t="str">
        <f>IF(周转筐出入库明细!$C1285="","",周转筐出入库明细!$C1285)</f>
        <v/>
      </c>
      <c r="X1284">
        <f t="shared" ref="X1284:X1347" si="501">IF(W1284="",0,IF(MATCH(W1284,$W$4:$W$2003,0)=ROW()-3,1,0))</f>
        <v>0</v>
      </c>
      <c r="Y1284">
        <f t="shared" ref="Y1284:Y1347" si="502">N(Y1283)+X1284</f>
        <v>12</v>
      </c>
      <c r="AI1284" t="str">
        <f>IF(OR(对接源_01水果筐数!$B85="",LEFT(对接源_01水果筐数!$C85,2)&lt;&gt;"自备"),"",对接源_01水果筐数!$B85)</f>
        <v/>
      </c>
      <c r="AJ1284">
        <f t="shared" ref="AJ1284:AJ1347" si="503">IF(AI1284="",0,IF(MATCH(AI1284,$AI$4:$AI$1503,0)=ROW()-3,1,0))</f>
        <v>0</v>
      </c>
      <c r="AK1284">
        <f t="shared" ref="AK1284:AK1347" si="504">N(AK1283)+AJ1284</f>
        <v>6</v>
      </c>
      <c r="CP1284">
        <f>IF(包装物料出入库明细!$D1284="",0,1)</f>
        <v>0</v>
      </c>
      <c r="CQ1284">
        <f t="shared" ref="CQ1284:CQ1347" si="505">N(CQ1283)+$CP1284</f>
        <v>37</v>
      </c>
      <c r="CS1284" t="str">
        <f>IF(OR(周转筐出入库明细!$C1285="",周转筐出入库明细!$F1285&lt;&gt;"采购入库"),"",周转筐出入库明细!$C1285)</f>
        <v/>
      </c>
      <c r="CT1284">
        <f t="shared" ref="CT1284:CT1347" si="506">IF(CS1284="",0,IF(MATCH(CS1284,$CS$4:$CS$2003,0)=ROW()-3,1,0))</f>
        <v>0</v>
      </c>
      <c r="CU1284">
        <f t="shared" ref="CU1284:CU1347" si="507">N(CU1283)+CT1284</f>
        <v>1</v>
      </c>
    </row>
    <row r="1285" spans="1:99">
      <c r="A1285" t="str">
        <f>IF(包装物料出入库明细!$E1285="","",包装物料出入库明细!$E1285)</f>
        <v/>
      </c>
      <c r="B1285">
        <f t="shared" si="495"/>
        <v>0</v>
      </c>
      <c r="C1285">
        <f t="shared" si="496"/>
        <v>7</v>
      </c>
      <c r="D1285" t="str">
        <f>IF(包装物料出入库明细!$E1285="","",包装物料出入库明细!$F1285)</f>
        <v/>
      </c>
      <c r="E1285" t="str">
        <f>IF(包装物料出入库明细!$E1285="","",包装物料出入库明细!$G1285)</f>
        <v/>
      </c>
      <c r="K1285" t="str">
        <f>IF(包装物料出入库明细!$D1285="","",包装物料出入库明细!$D1285)</f>
        <v/>
      </c>
      <c r="L1285">
        <f t="shared" si="497"/>
        <v>0</v>
      </c>
      <c r="M1285">
        <f t="shared" si="498"/>
        <v>9</v>
      </c>
      <c r="Q1285" t="str">
        <f>IF(周转筐出入库明细!$D1286="","",周转筐出入库明细!$D1286)</f>
        <v/>
      </c>
      <c r="R1285">
        <f t="shared" si="499"/>
        <v>0</v>
      </c>
      <c r="S1285">
        <f t="shared" si="500"/>
        <v>5</v>
      </c>
      <c r="W1285" t="str">
        <f>IF(周转筐出入库明细!$C1286="","",周转筐出入库明细!$C1286)</f>
        <v/>
      </c>
      <c r="X1285">
        <f t="shared" si="501"/>
        <v>0</v>
      </c>
      <c r="Y1285">
        <f t="shared" si="502"/>
        <v>12</v>
      </c>
      <c r="AI1285" t="str">
        <f>IF(OR(对接源_01水果筐数!$B86="",LEFT(对接源_01水果筐数!$C86,2)&lt;&gt;"自备"),"",对接源_01水果筐数!$B86)</f>
        <v/>
      </c>
      <c r="AJ1285">
        <f t="shared" si="503"/>
        <v>0</v>
      </c>
      <c r="AK1285">
        <f t="shared" si="504"/>
        <v>6</v>
      </c>
      <c r="CP1285">
        <f>IF(包装物料出入库明细!$D1285="",0,1)</f>
        <v>0</v>
      </c>
      <c r="CQ1285">
        <f t="shared" si="505"/>
        <v>37</v>
      </c>
      <c r="CS1285" t="str">
        <f>IF(OR(周转筐出入库明细!$C1286="",周转筐出入库明细!$F1286&lt;&gt;"采购入库"),"",周转筐出入库明细!$C1286)</f>
        <v/>
      </c>
      <c r="CT1285">
        <f t="shared" si="506"/>
        <v>0</v>
      </c>
      <c r="CU1285">
        <f t="shared" si="507"/>
        <v>1</v>
      </c>
    </row>
    <row r="1286" spans="1:99">
      <c r="A1286" t="str">
        <f>IF(包装物料出入库明细!$E1286="","",包装物料出入库明细!$E1286)</f>
        <v/>
      </c>
      <c r="B1286">
        <f t="shared" si="495"/>
        <v>0</v>
      </c>
      <c r="C1286">
        <f t="shared" si="496"/>
        <v>7</v>
      </c>
      <c r="D1286" t="str">
        <f>IF(包装物料出入库明细!$E1286="","",包装物料出入库明细!$F1286)</f>
        <v/>
      </c>
      <c r="E1286" t="str">
        <f>IF(包装物料出入库明细!$E1286="","",包装物料出入库明细!$G1286)</f>
        <v/>
      </c>
      <c r="K1286" t="str">
        <f>IF(包装物料出入库明细!$D1286="","",包装物料出入库明细!$D1286)</f>
        <v/>
      </c>
      <c r="L1286">
        <f t="shared" si="497"/>
        <v>0</v>
      </c>
      <c r="M1286">
        <f t="shared" si="498"/>
        <v>9</v>
      </c>
      <c r="Q1286" t="str">
        <f>IF(周转筐出入库明细!$D1287="","",周转筐出入库明细!$D1287)</f>
        <v/>
      </c>
      <c r="R1286">
        <f t="shared" si="499"/>
        <v>0</v>
      </c>
      <c r="S1286">
        <f t="shared" si="500"/>
        <v>5</v>
      </c>
      <c r="W1286" t="str">
        <f>IF(周转筐出入库明细!$C1287="","",周转筐出入库明细!$C1287)</f>
        <v/>
      </c>
      <c r="X1286">
        <f t="shared" si="501"/>
        <v>0</v>
      </c>
      <c r="Y1286">
        <f t="shared" si="502"/>
        <v>12</v>
      </c>
      <c r="AI1286" t="str">
        <f>IF(OR(对接源_01水果筐数!$B87="",LEFT(对接源_01水果筐数!$C87,2)&lt;&gt;"自备"),"",对接源_01水果筐数!$B87)</f>
        <v/>
      </c>
      <c r="AJ1286">
        <f t="shared" si="503"/>
        <v>0</v>
      </c>
      <c r="AK1286">
        <f t="shared" si="504"/>
        <v>6</v>
      </c>
      <c r="CP1286">
        <f>IF(包装物料出入库明细!$D1286="",0,1)</f>
        <v>0</v>
      </c>
      <c r="CQ1286">
        <f t="shared" si="505"/>
        <v>37</v>
      </c>
      <c r="CS1286" t="str">
        <f>IF(OR(周转筐出入库明细!$C1287="",周转筐出入库明细!$F1287&lt;&gt;"采购入库"),"",周转筐出入库明细!$C1287)</f>
        <v/>
      </c>
      <c r="CT1286">
        <f t="shared" si="506"/>
        <v>0</v>
      </c>
      <c r="CU1286">
        <f t="shared" si="507"/>
        <v>1</v>
      </c>
    </row>
    <row r="1287" spans="1:99">
      <c r="A1287" t="str">
        <f>IF(包装物料出入库明细!$E1287="","",包装物料出入库明细!$E1287)</f>
        <v/>
      </c>
      <c r="B1287">
        <f t="shared" si="495"/>
        <v>0</v>
      </c>
      <c r="C1287">
        <f t="shared" si="496"/>
        <v>7</v>
      </c>
      <c r="D1287" t="str">
        <f>IF(包装物料出入库明细!$E1287="","",包装物料出入库明细!$F1287)</f>
        <v/>
      </c>
      <c r="E1287" t="str">
        <f>IF(包装物料出入库明细!$E1287="","",包装物料出入库明细!$G1287)</f>
        <v/>
      </c>
      <c r="K1287" t="str">
        <f>IF(包装物料出入库明细!$D1287="","",包装物料出入库明细!$D1287)</f>
        <v/>
      </c>
      <c r="L1287">
        <f t="shared" si="497"/>
        <v>0</v>
      </c>
      <c r="M1287">
        <f t="shared" si="498"/>
        <v>9</v>
      </c>
      <c r="Q1287" t="str">
        <f>IF(周转筐出入库明细!$D1288="","",周转筐出入库明细!$D1288)</f>
        <v/>
      </c>
      <c r="R1287">
        <f t="shared" si="499"/>
        <v>0</v>
      </c>
      <c r="S1287">
        <f t="shared" si="500"/>
        <v>5</v>
      </c>
      <c r="W1287" t="str">
        <f>IF(周转筐出入库明细!$C1288="","",周转筐出入库明细!$C1288)</f>
        <v/>
      </c>
      <c r="X1287">
        <f t="shared" si="501"/>
        <v>0</v>
      </c>
      <c r="Y1287">
        <f t="shared" si="502"/>
        <v>12</v>
      </c>
      <c r="AI1287" t="str">
        <f>IF(OR(对接源_01水果筐数!$B88="",LEFT(对接源_01水果筐数!$C88,2)&lt;&gt;"自备"),"",对接源_01水果筐数!$B88)</f>
        <v/>
      </c>
      <c r="AJ1287">
        <f t="shared" si="503"/>
        <v>0</v>
      </c>
      <c r="AK1287">
        <f t="shared" si="504"/>
        <v>6</v>
      </c>
      <c r="CP1287">
        <f>IF(包装物料出入库明细!$D1287="",0,1)</f>
        <v>0</v>
      </c>
      <c r="CQ1287">
        <f t="shared" si="505"/>
        <v>37</v>
      </c>
      <c r="CS1287" t="str">
        <f>IF(OR(周转筐出入库明细!$C1288="",周转筐出入库明细!$F1288&lt;&gt;"采购入库"),"",周转筐出入库明细!$C1288)</f>
        <v/>
      </c>
      <c r="CT1287">
        <f t="shared" si="506"/>
        <v>0</v>
      </c>
      <c r="CU1287">
        <f t="shared" si="507"/>
        <v>1</v>
      </c>
    </row>
    <row r="1288" spans="1:99">
      <c r="A1288" t="str">
        <f>IF(包装物料出入库明细!$E1288="","",包装物料出入库明细!$E1288)</f>
        <v/>
      </c>
      <c r="B1288">
        <f t="shared" si="495"/>
        <v>0</v>
      </c>
      <c r="C1288">
        <f t="shared" si="496"/>
        <v>7</v>
      </c>
      <c r="D1288" t="str">
        <f>IF(包装物料出入库明细!$E1288="","",包装物料出入库明细!$F1288)</f>
        <v/>
      </c>
      <c r="E1288" t="str">
        <f>IF(包装物料出入库明细!$E1288="","",包装物料出入库明细!$G1288)</f>
        <v/>
      </c>
      <c r="K1288" t="str">
        <f>IF(包装物料出入库明细!$D1288="","",包装物料出入库明细!$D1288)</f>
        <v/>
      </c>
      <c r="L1288">
        <f t="shared" si="497"/>
        <v>0</v>
      </c>
      <c r="M1288">
        <f t="shared" si="498"/>
        <v>9</v>
      </c>
      <c r="Q1288" t="str">
        <f>IF(周转筐出入库明细!$D1289="","",周转筐出入库明细!$D1289)</f>
        <v/>
      </c>
      <c r="R1288">
        <f t="shared" si="499"/>
        <v>0</v>
      </c>
      <c r="S1288">
        <f t="shared" si="500"/>
        <v>5</v>
      </c>
      <c r="W1288" t="str">
        <f>IF(周转筐出入库明细!$C1289="","",周转筐出入库明细!$C1289)</f>
        <v/>
      </c>
      <c r="X1288">
        <f t="shared" si="501"/>
        <v>0</v>
      </c>
      <c r="Y1288">
        <f t="shared" si="502"/>
        <v>12</v>
      </c>
      <c r="AI1288" t="str">
        <f>IF(OR(对接源_01水果筐数!$B89="",LEFT(对接源_01水果筐数!$C89,2)&lt;&gt;"自备"),"",对接源_01水果筐数!$B89)</f>
        <v/>
      </c>
      <c r="AJ1288">
        <f t="shared" si="503"/>
        <v>0</v>
      </c>
      <c r="AK1288">
        <f t="shared" si="504"/>
        <v>6</v>
      </c>
      <c r="CP1288">
        <f>IF(包装物料出入库明细!$D1288="",0,1)</f>
        <v>0</v>
      </c>
      <c r="CQ1288">
        <f t="shared" si="505"/>
        <v>37</v>
      </c>
      <c r="CS1288" t="str">
        <f>IF(OR(周转筐出入库明细!$C1289="",周转筐出入库明细!$F1289&lt;&gt;"采购入库"),"",周转筐出入库明细!$C1289)</f>
        <v/>
      </c>
      <c r="CT1288">
        <f t="shared" si="506"/>
        <v>0</v>
      </c>
      <c r="CU1288">
        <f t="shared" si="507"/>
        <v>1</v>
      </c>
    </row>
    <row r="1289" spans="1:99">
      <c r="A1289" t="str">
        <f>IF(包装物料出入库明细!$E1289="","",包装物料出入库明细!$E1289)</f>
        <v/>
      </c>
      <c r="B1289">
        <f t="shared" si="495"/>
        <v>0</v>
      </c>
      <c r="C1289">
        <f t="shared" si="496"/>
        <v>7</v>
      </c>
      <c r="D1289" t="str">
        <f>IF(包装物料出入库明细!$E1289="","",包装物料出入库明细!$F1289)</f>
        <v/>
      </c>
      <c r="E1289" t="str">
        <f>IF(包装物料出入库明细!$E1289="","",包装物料出入库明细!$G1289)</f>
        <v/>
      </c>
      <c r="K1289" t="str">
        <f>IF(包装物料出入库明细!$D1289="","",包装物料出入库明细!$D1289)</f>
        <v/>
      </c>
      <c r="L1289">
        <f t="shared" si="497"/>
        <v>0</v>
      </c>
      <c r="M1289">
        <f t="shared" si="498"/>
        <v>9</v>
      </c>
      <c r="Q1289" t="str">
        <f>IF(周转筐出入库明细!$D1290="","",周转筐出入库明细!$D1290)</f>
        <v/>
      </c>
      <c r="R1289">
        <f t="shared" si="499"/>
        <v>0</v>
      </c>
      <c r="S1289">
        <f t="shared" si="500"/>
        <v>5</v>
      </c>
      <c r="W1289" t="str">
        <f>IF(周转筐出入库明细!$C1290="","",周转筐出入库明细!$C1290)</f>
        <v/>
      </c>
      <c r="X1289">
        <f t="shared" si="501"/>
        <v>0</v>
      </c>
      <c r="Y1289">
        <f t="shared" si="502"/>
        <v>12</v>
      </c>
      <c r="AI1289" t="str">
        <f>IF(OR(对接源_01水果筐数!$B90="",LEFT(对接源_01水果筐数!$C90,2)&lt;&gt;"自备"),"",对接源_01水果筐数!$B90)</f>
        <v/>
      </c>
      <c r="AJ1289">
        <f t="shared" si="503"/>
        <v>0</v>
      </c>
      <c r="AK1289">
        <f t="shared" si="504"/>
        <v>6</v>
      </c>
      <c r="CP1289">
        <f>IF(包装物料出入库明细!$D1289="",0,1)</f>
        <v>0</v>
      </c>
      <c r="CQ1289">
        <f t="shared" si="505"/>
        <v>37</v>
      </c>
      <c r="CS1289" t="str">
        <f>IF(OR(周转筐出入库明细!$C1290="",周转筐出入库明细!$F1290&lt;&gt;"采购入库"),"",周转筐出入库明细!$C1290)</f>
        <v/>
      </c>
      <c r="CT1289">
        <f t="shared" si="506"/>
        <v>0</v>
      </c>
      <c r="CU1289">
        <f t="shared" si="507"/>
        <v>1</v>
      </c>
    </row>
    <row r="1290" spans="1:99">
      <c r="A1290" t="str">
        <f>IF(包装物料出入库明细!$E1290="","",包装物料出入库明细!$E1290)</f>
        <v/>
      </c>
      <c r="B1290">
        <f t="shared" si="495"/>
        <v>0</v>
      </c>
      <c r="C1290">
        <f t="shared" si="496"/>
        <v>7</v>
      </c>
      <c r="D1290" t="str">
        <f>IF(包装物料出入库明细!$E1290="","",包装物料出入库明细!$F1290)</f>
        <v/>
      </c>
      <c r="E1290" t="str">
        <f>IF(包装物料出入库明细!$E1290="","",包装物料出入库明细!$G1290)</f>
        <v/>
      </c>
      <c r="K1290" t="str">
        <f>IF(包装物料出入库明细!$D1290="","",包装物料出入库明细!$D1290)</f>
        <v/>
      </c>
      <c r="L1290">
        <f t="shared" si="497"/>
        <v>0</v>
      </c>
      <c r="M1290">
        <f t="shared" si="498"/>
        <v>9</v>
      </c>
      <c r="Q1290" t="str">
        <f>IF(周转筐出入库明细!$D1291="","",周转筐出入库明细!$D1291)</f>
        <v/>
      </c>
      <c r="R1290">
        <f t="shared" si="499"/>
        <v>0</v>
      </c>
      <c r="S1290">
        <f t="shared" si="500"/>
        <v>5</v>
      </c>
      <c r="W1290" t="str">
        <f>IF(周转筐出入库明细!$C1291="","",周转筐出入库明细!$C1291)</f>
        <v/>
      </c>
      <c r="X1290">
        <f t="shared" si="501"/>
        <v>0</v>
      </c>
      <c r="Y1290">
        <f t="shared" si="502"/>
        <v>12</v>
      </c>
      <c r="AI1290" t="str">
        <f>IF(OR(对接源_01水果筐数!$B91="",LEFT(对接源_01水果筐数!$C91,2)&lt;&gt;"自备"),"",对接源_01水果筐数!$B91)</f>
        <v/>
      </c>
      <c r="AJ1290">
        <f t="shared" si="503"/>
        <v>0</v>
      </c>
      <c r="AK1290">
        <f t="shared" si="504"/>
        <v>6</v>
      </c>
      <c r="CP1290">
        <f>IF(包装物料出入库明细!$D1290="",0,1)</f>
        <v>0</v>
      </c>
      <c r="CQ1290">
        <f t="shared" si="505"/>
        <v>37</v>
      </c>
      <c r="CS1290" t="str">
        <f>IF(OR(周转筐出入库明细!$C1291="",周转筐出入库明细!$F1291&lt;&gt;"采购入库"),"",周转筐出入库明细!$C1291)</f>
        <v/>
      </c>
      <c r="CT1290">
        <f t="shared" si="506"/>
        <v>0</v>
      </c>
      <c r="CU1290">
        <f t="shared" si="507"/>
        <v>1</v>
      </c>
    </row>
    <row r="1291" spans="1:99">
      <c r="A1291" t="str">
        <f>IF(包装物料出入库明细!$E1291="","",包装物料出入库明细!$E1291)</f>
        <v/>
      </c>
      <c r="B1291">
        <f t="shared" si="495"/>
        <v>0</v>
      </c>
      <c r="C1291">
        <f t="shared" si="496"/>
        <v>7</v>
      </c>
      <c r="D1291" t="str">
        <f>IF(包装物料出入库明细!$E1291="","",包装物料出入库明细!$F1291)</f>
        <v/>
      </c>
      <c r="E1291" t="str">
        <f>IF(包装物料出入库明细!$E1291="","",包装物料出入库明细!$G1291)</f>
        <v/>
      </c>
      <c r="K1291" t="str">
        <f>IF(包装物料出入库明细!$D1291="","",包装物料出入库明细!$D1291)</f>
        <v/>
      </c>
      <c r="L1291">
        <f t="shared" si="497"/>
        <v>0</v>
      </c>
      <c r="M1291">
        <f t="shared" si="498"/>
        <v>9</v>
      </c>
      <c r="Q1291" t="str">
        <f>IF(周转筐出入库明细!$D1292="","",周转筐出入库明细!$D1292)</f>
        <v/>
      </c>
      <c r="R1291">
        <f t="shared" si="499"/>
        <v>0</v>
      </c>
      <c r="S1291">
        <f t="shared" si="500"/>
        <v>5</v>
      </c>
      <c r="W1291" t="str">
        <f>IF(周转筐出入库明细!$C1292="","",周转筐出入库明细!$C1292)</f>
        <v/>
      </c>
      <c r="X1291">
        <f t="shared" si="501"/>
        <v>0</v>
      </c>
      <c r="Y1291">
        <f t="shared" si="502"/>
        <v>12</v>
      </c>
      <c r="AI1291" t="str">
        <f>IF(OR(对接源_01水果筐数!$B92="",LEFT(对接源_01水果筐数!$C92,2)&lt;&gt;"自备"),"",对接源_01水果筐数!$B92)</f>
        <v/>
      </c>
      <c r="AJ1291">
        <f t="shared" si="503"/>
        <v>0</v>
      </c>
      <c r="AK1291">
        <f t="shared" si="504"/>
        <v>6</v>
      </c>
      <c r="CP1291">
        <f>IF(包装物料出入库明细!$D1291="",0,1)</f>
        <v>0</v>
      </c>
      <c r="CQ1291">
        <f t="shared" si="505"/>
        <v>37</v>
      </c>
      <c r="CS1291" t="str">
        <f>IF(OR(周转筐出入库明细!$C1292="",周转筐出入库明细!$F1292&lt;&gt;"采购入库"),"",周转筐出入库明细!$C1292)</f>
        <v/>
      </c>
      <c r="CT1291">
        <f t="shared" si="506"/>
        <v>0</v>
      </c>
      <c r="CU1291">
        <f t="shared" si="507"/>
        <v>1</v>
      </c>
    </row>
    <row r="1292" spans="1:99">
      <c r="A1292" t="str">
        <f>IF(包装物料出入库明细!$E1292="","",包装物料出入库明细!$E1292)</f>
        <v/>
      </c>
      <c r="B1292">
        <f t="shared" si="495"/>
        <v>0</v>
      </c>
      <c r="C1292">
        <f t="shared" si="496"/>
        <v>7</v>
      </c>
      <c r="D1292" t="str">
        <f>IF(包装物料出入库明细!$E1292="","",包装物料出入库明细!$F1292)</f>
        <v/>
      </c>
      <c r="E1292" t="str">
        <f>IF(包装物料出入库明细!$E1292="","",包装物料出入库明细!$G1292)</f>
        <v/>
      </c>
      <c r="K1292" t="str">
        <f>IF(包装物料出入库明细!$D1292="","",包装物料出入库明细!$D1292)</f>
        <v/>
      </c>
      <c r="L1292">
        <f t="shared" si="497"/>
        <v>0</v>
      </c>
      <c r="M1292">
        <f t="shared" si="498"/>
        <v>9</v>
      </c>
      <c r="Q1292" t="str">
        <f>IF(周转筐出入库明细!$D1293="","",周转筐出入库明细!$D1293)</f>
        <v/>
      </c>
      <c r="R1292">
        <f t="shared" si="499"/>
        <v>0</v>
      </c>
      <c r="S1292">
        <f t="shared" si="500"/>
        <v>5</v>
      </c>
      <c r="W1292" t="str">
        <f>IF(周转筐出入库明细!$C1293="","",周转筐出入库明细!$C1293)</f>
        <v/>
      </c>
      <c r="X1292">
        <f t="shared" si="501"/>
        <v>0</v>
      </c>
      <c r="Y1292">
        <f t="shared" si="502"/>
        <v>12</v>
      </c>
      <c r="AI1292" t="str">
        <f>IF(OR(对接源_01水果筐数!$B93="",LEFT(对接源_01水果筐数!$C93,2)&lt;&gt;"自备"),"",对接源_01水果筐数!$B93)</f>
        <v/>
      </c>
      <c r="AJ1292">
        <f t="shared" si="503"/>
        <v>0</v>
      </c>
      <c r="AK1292">
        <f t="shared" si="504"/>
        <v>6</v>
      </c>
      <c r="CP1292">
        <f>IF(包装物料出入库明细!$D1292="",0,1)</f>
        <v>0</v>
      </c>
      <c r="CQ1292">
        <f t="shared" si="505"/>
        <v>37</v>
      </c>
      <c r="CS1292" t="str">
        <f>IF(OR(周转筐出入库明细!$C1293="",周转筐出入库明细!$F1293&lt;&gt;"采购入库"),"",周转筐出入库明细!$C1293)</f>
        <v/>
      </c>
      <c r="CT1292">
        <f t="shared" si="506"/>
        <v>0</v>
      </c>
      <c r="CU1292">
        <f t="shared" si="507"/>
        <v>1</v>
      </c>
    </row>
    <row r="1293" spans="1:99">
      <c r="A1293" t="str">
        <f>IF(包装物料出入库明细!$E1293="","",包装物料出入库明细!$E1293)</f>
        <v/>
      </c>
      <c r="B1293">
        <f t="shared" si="495"/>
        <v>0</v>
      </c>
      <c r="C1293">
        <f t="shared" si="496"/>
        <v>7</v>
      </c>
      <c r="D1293" t="str">
        <f>IF(包装物料出入库明细!$E1293="","",包装物料出入库明细!$F1293)</f>
        <v/>
      </c>
      <c r="E1293" t="str">
        <f>IF(包装物料出入库明细!$E1293="","",包装物料出入库明细!$G1293)</f>
        <v/>
      </c>
      <c r="K1293" t="str">
        <f>IF(包装物料出入库明细!$D1293="","",包装物料出入库明细!$D1293)</f>
        <v/>
      </c>
      <c r="L1293">
        <f t="shared" si="497"/>
        <v>0</v>
      </c>
      <c r="M1293">
        <f t="shared" si="498"/>
        <v>9</v>
      </c>
      <c r="Q1293" t="str">
        <f>IF(周转筐出入库明细!$D1294="","",周转筐出入库明细!$D1294)</f>
        <v/>
      </c>
      <c r="R1293">
        <f t="shared" si="499"/>
        <v>0</v>
      </c>
      <c r="S1293">
        <f t="shared" si="500"/>
        <v>5</v>
      </c>
      <c r="W1293" t="str">
        <f>IF(周转筐出入库明细!$C1294="","",周转筐出入库明细!$C1294)</f>
        <v/>
      </c>
      <c r="X1293">
        <f t="shared" si="501"/>
        <v>0</v>
      </c>
      <c r="Y1293">
        <f t="shared" si="502"/>
        <v>12</v>
      </c>
      <c r="AI1293" t="str">
        <f>IF(OR(对接源_01水果筐数!$B94="",LEFT(对接源_01水果筐数!$C94,2)&lt;&gt;"自备"),"",对接源_01水果筐数!$B94)</f>
        <v/>
      </c>
      <c r="AJ1293">
        <f t="shared" si="503"/>
        <v>0</v>
      </c>
      <c r="AK1293">
        <f t="shared" si="504"/>
        <v>6</v>
      </c>
      <c r="CP1293">
        <f>IF(包装物料出入库明细!$D1293="",0,1)</f>
        <v>0</v>
      </c>
      <c r="CQ1293">
        <f t="shared" si="505"/>
        <v>37</v>
      </c>
      <c r="CS1293" t="str">
        <f>IF(OR(周转筐出入库明细!$C1294="",周转筐出入库明细!$F1294&lt;&gt;"采购入库"),"",周转筐出入库明细!$C1294)</f>
        <v/>
      </c>
      <c r="CT1293">
        <f t="shared" si="506"/>
        <v>0</v>
      </c>
      <c r="CU1293">
        <f t="shared" si="507"/>
        <v>1</v>
      </c>
    </row>
    <row r="1294" spans="1:99">
      <c r="A1294" t="str">
        <f>IF(包装物料出入库明细!$E1294="","",包装物料出入库明细!$E1294)</f>
        <v/>
      </c>
      <c r="B1294">
        <f t="shared" si="495"/>
        <v>0</v>
      </c>
      <c r="C1294">
        <f t="shared" si="496"/>
        <v>7</v>
      </c>
      <c r="D1294" t="str">
        <f>IF(包装物料出入库明细!$E1294="","",包装物料出入库明细!$F1294)</f>
        <v/>
      </c>
      <c r="E1294" t="str">
        <f>IF(包装物料出入库明细!$E1294="","",包装物料出入库明细!$G1294)</f>
        <v/>
      </c>
      <c r="K1294" t="str">
        <f>IF(包装物料出入库明细!$D1294="","",包装物料出入库明细!$D1294)</f>
        <v/>
      </c>
      <c r="L1294">
        <f t="shared" si="497"/>
        <v>0</v>
      </c>
      <c r="M1294">
        <f t="shared" si="498"/>
        <v>9</v>
      </c>
      <c r="Q1294" t="str">
        <f>IF(周转筐出入库明细!$D1295="","",周转筐出入库明细!$D1295)</f>
        <v/>
      </c>
      <c r="R1294">
        <f t="shared" si="499"/>
        <v>0</v>
      </c>
      <c r="S1294">
        <f t="shared" si="500"/>
        <v>5</v>
      </c>
      <c r="W1294" t="str">
        <f>IF(周转筐出入库明细!$C1295="","",周转筐出入库明细!$C1295)</f>
        <v/>
      </c>
      <c r="X1294">
        <f t="shared" si="501"/>
        <v>0</v>
      </c>
      <c r="Y1294">
        <f t="shared" si="502"/>
        <v>12</v>
      </c>
      <c r="AI1294" t="str">
        <f>IF(OR(对接源_01水果筐数!$B95="",LEFT(对接源_01水果筐数!$C95,2)&lt;&gt;"自备"),"",对接源_01水果筐数!$B95)</f>
        <v/>
      </c>
      <c r="AJ1294">
        <f t="shared" si="503"/>
        <v>0</v>
      </c>
      <c r="AK1294">
        <f t="shared" si="504"/>
        <v>6</v>
      </c>
      <c r="CP1294">
        <f>IF(包装物料出入库明细!$D1294="",0,1)</f>
        <v>0</v>
      </c>
      <c r="CQ1294">
        <f t="shared" si="505"/>
        <v>37</v>
      </c>
      <c r="CS1294" t="str">
        <f>IF(OR(周转筐出入库明细!$C1295="",周转筐出入库明细!$F1295&lt;&gt;"采购入库"),"",周转筐出入库明细!$C1295)</f>
        <v/>
      </c>
      <c r="CT1294">
        <f t="shared" si="506"/>
        <v>0</v>
      </c>
      <c r="CU1294">
        <f t="shared" si="507"/>
        <v>1</v>
      </c>
    </row>
    <row r="1295" spans="1:99">
      <c r="A1295" t="str">
        <f>IF(包装物料出入库明细!$E1295="","",包装物料出入库明细!$E1295)</f>
        <v/>
      </c>
      <c r="B1295">
        <f t="shared" si="495"/>
        <v>0</v>
      </c>
      <c r="C1295">
        <f t="shared" si="496"/>
        <v>7</v>
      </c>
      <c r="D1295" t="str">
        <f>IF(包装物料出入库明细!$E1295="","",包装物料出入库明细!$F1295)</f>
        <v/>
      </c>
      <c r="E1295" t="str">
        <f>IF(包装物料出入库明细!$E1295="","",包装物料出入库明细!$G1295)</f>
        <v/>
      </c>
      <c r="K1295" t="str">
        <f>IF(包装物料出入库明细!$D1295="","",包装物料出入库明细!$D1295)</f>
        <v/>
      </c>
      <c r="L1295">
        <f t="shared" si="497"/>
        <v>0</v>
      </c>
      <c r="M1295">
        <f t="shared" si="498"/>
        <v>9</v>
      </c>
      <c r="Q1295" t="str">
        <f>IF(周转筐出入库明细!$D1296="","",周转筐出入库明细!$D1296)</f>
        <v/>
      </c>
      <c r="R1295">
        <f t="shared" si="499"/>
        <v>0</v>
      </c>
      <c r="S1295">
        <f t="shared" si="500"/>
        <v>5</v>
      </c>
      <c r="W1295" t="str">
        <f>IF(周转筐出入库明细!$C1296="","",周转筐出入库明细!$C1296)</f>
        <v/>
      </c>
      <c r="X1295">
        <f t="shared" si="501"/>
        <v>0</v>
      </c>
      <c r="Y1295">
        <f t="shared" si="502"/>
        <v>12</v>
      </c>
      <c r="AI1295" t="str">
        <f>IF(OR(对接源_01水果筐数!$B96="",LEFT(对接源_01水果筐数!$C96,2)&lt;&gt;"自备"),"",对接源_01水果筐数!$B96)</f>
        <v/>
      </c>
      <c r="AJ1295">
        <f t="shared" si="503"/>
        <v>0</v>
      </c>
      <c r="AK1295">
        <f t="shared" si="504"/>
        <v>6</v>
      </c>
      <c r="CP1295">
        <f>IF(包装物料出入库明细!$D1295="",0,1)</f>
        <v>0</v>
      </c>
      <c r="CQ1295">
        <f t="shared" si="505"/>
        <v>37</v>
      </c>
      <c r="CS1295" t="str">
        <f>IF(OR(周转筐出入库明细!$C1296="",周转筐出入库明细!$F1296&lt;&gt;"采购入库"),"",周转筐出入库明细!$C1296)</f>
        <v/>
      </c>
      <c r="CT1295">
        <f t="shared" si="506"/>
        <v>0</v>
      </c>
      <c r="CU1295">
        <f t="shared" si="507"/>
        <v>1</v>
      </c>
    </row>
    <row r="1296" spans="1:99">
      <c r="A1296" t="str">
        <f>IF(包装物料出入库明细!$E1296="","",包装物料出入库明细!$E1296)</f>
        <v/>
      </c>
      <c r="B1296">
        <f t="shared" si="495"/>
        <v>0</v>
      </c>
      <c r="C1296">
        <f t="shared" si="496"/>
        <v>7</v>
      </c>
      <c r="D1296" t="str">
        <f>IF(包装物料出入库明细!$E1296="","",包装物料出入库明细!$F1296)</f>
        <v/>
      </c>
      <c r="E1296" t="str">
        <f>IF(包装物料出入库明细!$E1296="","",包装物料出入库明细!$G1296)</f>
        <v/>
      </c>
      <c r="K1296" t="str">
        <f>IF(包装物料出入库明细!$D1296="","",包装物料出入库明细!$D1296)</f>
        <v/>
      </c>
      <c r="L1296">
        <f t="shared" si="497"/>
        <v>0</v>
      </c>
      <c r="M1296">
        <f t="shared" si="498"/>
        <v>9</v>
      </c>
      <c r="Q1296" t="str">
        <f>IF(周转筐出入库明细!$D1297="","",周转筐出入库明细!$D1297)</f>
        <v/>
      </c>
      <c r="R1296">
        <f t="shared" si="499"/>
        <v>0</v>
      </c>
      <c r="S1296">
        <f t="shared" si="500"/>
        <v>5</v>
      </c>
      <c r="W1296" t="str">
        <f>IF(周转筐出入库明细!$C1297="","",周转筐出入库明细!$C1297)</f>
        <v/>
      </c>
      <c r="X1296">
        <f t="shared" si="501"/>
        <v>0</v>
      </c>
      <c r="Y1296">
        <f t="shared" si="502"/>
        <v>12</v>
      </c>
      <c r="AI1296" t="str">
        <f>IF(OR(对接源_01水果筐数!$B97="",LEFT(对接源_01水果筐数!$C97,2)&lt;&gt;"自备"),"",对接源_01水果筐数!$B97)</f>
        <v/>
      </c>
      <c r="AJ1296">
        <f t="shared" si="503"/>
        <v>0</v>
      </c>
      <c r="AK1296">
        <f t="shared" si="504"/>
        <v>6</v>
      </c>
      <c r="CP1296">
        <f>IF(包装物料出入库明细!$D1296="",0,1)</f>
        <v>0</v>
      </c>
      <c r="CQ1296">
        <f t="shared" si="505"/>
        <v>37</v>
      </c>
      <c r="CS1296" t="str">
        <f>IF(OR(周转筐出入库明细!$C1297="",周转筐出入库明细!$F1297&lt;&gt;"采购入库"),"",周转筐出入库明细!$C1297)</f>
        <v/>
      </c>
      <c r="CT1296">
        <f t="shared" si="506"/>
        <v>0</v>
      </c>
      <c r="CU1296">
        <f t="shared" si="507"/>
        <v>1</v>
      </c>
    </row>
    <row r="1297" spans="1:99">
      <c r="A1297" t="str">
        <f>IF(包装物料出入库明细!$E1297="","",包装物料出入库明细!$E1297)</f>
        <v/>
      </c>
      <c r="B1297">
        <f t="shared" si="495"/>
        <v>0</v>
      </c>
      <c r="C1297">
        <f t="shared" si="496"/>
        <v>7</v>
      </c>
      <c r="D1297" t="str">
        <f>IF(包装物料出入库明细!$E1297="","",包装物料出入库明细!$F1297)</f>
        <v/>
      </c>
      <c r="E1297" t="str">
        <f>IF(包装物料出入库明细!$E1297="","",包装物料出入库明细!$G1297)</f>
        <v/>
      </c>
      <c r="K1297" t="str">
        <f>IF(包装物料出入库明细!$D1297="","",包装物料出入库明细!$D1297)</f>
        <v/>
      </c>
      <c r="L1297">
        <f t="shared" si="497"/>
        <v>0</v>
      </c>
      <c r="M1297">
        <f t="shared" si="498"/>
        <v>9</v>
      </c>
      <c r="Q1297" t="str">
        <f>IF(周转筐出入库明细!$D1298="","",周转筐出入库明细!$D1298)</f>
        <v/>
      </c>
      <c r="R1297">
        <f t="shared" si="499"/>
        <v>0</v>
      </c>
      <c r="S1297">
        <f t="shared" si="500"/>
        <v>5</v>
      </c>
      <c r="W1297" t="str">
        <f>IF(周转筐出入库明细!$C1298="","",周转筐出入库明细!$C1298)</f>
        <v/>
      </c>
      <c r="X1297">
        <f t="shared" si="501"/>
        <v>0</v>
      </c>
      <c r="Y1297">
        <f t="shared" si="502"/>
        <v>12</v>
      </c>
      <c r="AI1297" t="str">
        <f>IF(OR(对接源_01水果筐数!$B98="",LEFT(对接源_01水果筐数!$C98,2)&lt;&gt;"自备"),"",对接源_01水果筐数!$B98)</f>
        <v/>
      </c>
      <c r="AJ1297">
        <f t="shared" si="503"/>
        <v>0</v>
      </c>
      <c r="AK1297">
        <f t="shared" si="504"/>
        <v>6</v>
      </c>
      <c r="CP1297">
        <f>IF(包装物料出入库明细!$D1297="",0,1)</f>
        <v>0</v>
      </c>
      <c r="CQ1297">
        <f t="shared" si="505"/>
        <v>37</v>
      </c>
      <c r="CS1297" t="str">
        <f>IF(OR(周转筐出入库明细!$C1298="",周转筐出入库明细!$F1298&lt;&gt;"采购入库"),"",周转筐出入库明细!$C1298)</f>
        <v/>
      </c>
      <c r="CT1297">
        <f t="shared" si="506"/>
        <v>0</v>
      </c>
      <c r="CU1297">
        <f t="shared" si="507"/>
        <v>1</v>
      </c>
    </row>
    <row r="1298" spans="1:99">
      <c r="A1298" t="str">
        <f>IF(包装物料出入库明细!$E1298="","",包装物料出入库明细!$E1298)</f>
        <v/>
      </c>
      <c r="B1298">
        <f t="shared" si="495"/>
        <v>0</v>
      </c>
      <c r="C1298">
        <f t="shared" si="496"/>
        <v>7</v>
      </c>
      <c r="D1298" t="str">
        <f>IF(包装物料出入库明细!$E1298="","",包装物料出入库明细!$F1298)</f>
        <v/>
      </c>
      <c r="E1298" t="str">
        <f>IF(包装物料出入库明细!$E1298="","",包装物料出入库明细!$G1298)</f>
        <v/>
      </c>
      <c r="K1298" t="str">
        <f>IF(包装物料出入库明细!$D1298="","",包装物料出入库明细!$D1298)</f>
        <v/>
      </c>
      <c r="L1298">
        <f t="shared" si="497"/>
        <v>0</v>
      </c>
      <c r="M1298">
        <f t="shared" si="498"/>
        <v>9</v>
      </c>
      <c r="Q1298" t="str">
        <f>IF(周转筐出入库明细!$D1299="","",周转筐出入库明细!$D1299)</f>
        <v/>
      </c>
      <c r="R1298">
        <f t="shared" si="499"/>
        <v>0</v>
      </c>
      <c r="S1298">
        <f t="shared" si="500"/>
        <v>5</v>
      </c>
      <c r="W1298" t="str">
        <f>IF(周转筐出入库明细!$C1299="","",周转筐出入库明细!$C1299)</f>
        <v/>
      </c>
      <c r="X1298">
        <f t="shared" si="501"/>
        <v>0</v>
      </c>
      <c r="Y1298">
        <f t="shared" si="502"/>
        <v>12</v>
      </c>
      <c r="AI1298" t="str">
        <f>IF(OR(对接源_01水果筐数!$B99="",LEFT(对接源_01水果筐数!$C99,2)&lt;&gt;"自备"),"",对接源_01水果筐数!$B99)</f>
        <v/>
      </c>
      <c r="AJ1298">
        <f t="shared" si="503"/>
        <v>0</v>
      </c>
      <c r="AK1298">
        <f t="shared" si="504"/>
        <v>6</v>
      </c>
      <c r="CP1298">
        <f>IF(包装物料出入库明细!$D1298="",0,1)</f>
        <v>0</v>
      </c>
      <c r="CQ1298">
        <f t="shared" si="505"/>
        <v>37</v>
      </c>
      <c r="CS1298" t="str">
        <f>IF(OR(周转筐出入库明细!$C1299="",周转筐出入库明细!$F1299&lt;&gt;"采购入库"),"",周转筐出入库明细!$C1299)</f>
        <v/>
      </c>
      <c r="CT1298">
        <f t="shared" si="506"/>
        <v>0</v>
      </c>
      <c r="CU1298">
        <f t="shared" si="507"/>
        <v>1</v>
      </c>
    </row>
    <row r="1299" spans="1:99">
      <c r="A1299" t="str">
        <f>IF(包装物料出入库明细!$E1299="","",包装物料出入库明细!$E1299)</f>
        <v/>
      </c>
      <c r="B1299">
        <f t="shared" si="495"/>
        <v>0</v>
      </c>
      <c r="C1299">
        <f t="shared" si="496"/>
        <v>7</v>
      </c>
      <c r="D1299" t="str">
        <f>IF(包装物料出入库明细!$E1299="","",包装物料出入库明细!$F1299)</f>
        <v/>
      </c>
      <c r="E1299" t="str">
        <f>IF(包装物料出入库明细!$E1299="","",包装物料出入库明细!$G1299)</f>
        <v/>
      </c>
      <c r="K1299" t="str">
        <f>IF(包装物料出入库明细!$D1299="","",包装物料出入库明细!$D1299)</f>
        <v/>
      </c>
      <c r="L1299">
        <f t="shared" si="497"/>
        <v>0</v>
      </c>
      <c r="M1299">
        <f t="shared" si="498"/>
        <v>9</v>
      </c>
      <c r="Q1299" t="str">
        <f>IF(周转筐出入库明细!$D1300="","",周转筐出入库明细!$D1300)</f>
        <v/>
      </c>
      <c r="R1299">
        <f t="shared" si="499"/>
        <v>0</v>
      </c>
      <c r="S1299">
        <f t="shared" si="500"/>
        <v>5</v>
      </c>
      <c r="W1299" t="str">
        <f>IF(周转筐出入库明细!$C1300="","",周转筐出入库明细!$C1300)</f>
        <v/>
      </c>
      <c r="X1299">
        <f t="shared" si="501"/>
        <v>0</v>
      </c>
      <c r="Y1299">
        <f t="shared" si="502"/>
        <v>12</v>
      </c>
      <c r="AI1299" t="str">
        <f>IF(OR(对接源_01水果筐数!$B100="",LEFT(对接源_01水果筐数!$C100,2)&lt;&gt;"自备"),"",对接源_01水果筐数!$B100)</f>
        <v/>
      </c>
      <c r="AJ1299">
        <f t="shared" si="503"/>
        <v>0</v>
      </c>
      <c r="AK1299">
        <f t="shared" si="504"/>
        <v>6</v>
      </c>
      <c r="CP1299">
        <f>IF(包装物料出入库明细!$D1299="",0,1)</f>
        <v>0</v>
      </c>
      <c r="CQ1299">
        <f t="shared" si="505"/>
        <v>37</v>
      </c>
      <c r="CS1299" t="str">
        <f>IF(OR(周转筐出入库明细!$C1300="",周转筐出入库明细!$F1300&lt;&gt;"采购入库"),"",周转筐出入库明细!$C1300)</f>
        <v/>
      </c>
      <c r="CT1299">
        <f t="shared" si="506"/>
        <v>0</v>
      </c>
      <c r="CU1299">
        <f t="shared" si="507"/>
        <v>1</v>
      </c>
    </row>
    <row r="1300" spans="1:99">
      <c r="A1300" t="str">
        <f>IF(包装物料出入库明细!$E1300="","",包装物料出入库明细!$E1300)</f>
        <v/>
      </c>
      <c r="B1300">
        <f t="shared" si="495"/>
        <v>0</v>
      </c>
      <c r="C1300">
        <f t="shared" si="496"/>
        <v>7</v>
      </c>
      <c r="D1300" t="str">
        <f>IF(包装物料出入库明细!$E1300="","",包装物料出入库明细!$F1300)</f>
        <v/>
      </c>
      <c r="E1300" t="str">
        <f>IF(包装物料出入库明细!$E1300="","",包装物料出入库明细!$G1300)</f>
        <v/>
      </c>
      <c r="K1300" t="str">
        <f>IF(包装物料出入库明细!$D1300="","",包装物料出入库明细!$D1300)</f>
        <v/>
      </c>
      <c r="L1300">
        <f t="shared" si="497"/>
        <v>0</v>
      </c>
      <c r="M1300">
        <f t="shared" si="498"/>
        <v>9</v>
      </c>
      <c r="Q1300" t="str">
        <f>IF(周转筐出入库明细!$D1301="","",周转筐出入库明细!$D1301)</f>
        <v/>
      </c>
      <c r="R1300">
        <f t="shared" si="499"/>
        <v>0</v>
      </c>
      <c r="S1300">
        <f t="shared" si="500"/>
        <v>5</v>
      </c>
      <c r="W1300" t="str">
        <f>IF(周转筐出入库明细!$C1301="","",周转筐出入库明细!$C1301)</f>
        <v/>
      </c>
      <c r="X1300">
        <f t="shared" si="501"/>
        <v>0</v>
      </c>
      <c r="Y1300">
        <f t="shared" si="502"/>
        <v>12</v>
      </c>
      <c r="AI1300" t="str">
        <f>IF(OR(对接源_01水果筐数!$B101="",LEFT(对接源_01水果筐数!$C101,2)&lt;&gt;"自备"),"",对接源_01水果筐数!$B101)</f>
        <v/>
      </c>
      <c r="AJ1300">
        <f t="shared" si="503"/>
        <v>0</v>
      </c>
      <c r="AK1300">
        <f t="shared" si="504"/>
        <v>6</v>
      </c>
      <c r="CP1300">
        <f>IF(包装物料出入库明细!$D1300="",0,1)</f>
        <v>0</v>
      </c>
      <c r="CQ1300">
        <f t="shared" si="505"/>
        <v>37</v>
      </c>
      <c r="CS1300" t="str">
        <f>IF(OR(周转筐出入库明细!$C1301="",周转筐出入库明细!$F1301&lt;&gt;"采购入库"),"",周转筐出入库明细!$C1301)</f>
        <v/>
      </c>
      <c r="CT1300">
        <f t="shared" si="506"/>
        <v>0</v>
      </c>
      <c r="CU1300">
        <f t="shared" si="507"/>
        <v>1</v>
      </c>
    </row>
    <row r="1301" spans="1:99">
      <c r="A1301" t="str">
        <f>IF(包装物料出入库明细!$E1301="","",包装物料出入库明细!$E1301)</f>
        <v/>
      </c>
      <c r="B1301">
        <f t="shared" si="495"/>
        <v>0</v>
      </c>
      <c r="C1301">
        <f t="shared" si="496"/>
        <v>7</v>
      </c>
      <c r="D1301" t="str">
        <f>IF(包装物料出入库明细!$E1301="","",包装物料出入库明细!$F1301)</f>
        <v/>
      </c>
      <c r="E1301" t="str">
        <f>IF(包装物料出入库明细!$E1301="","",包装物料出入库明细!$G1301)</f>
        <v/>
      </c>
      <c r="K1301" t="str">
        <f>IF(包装物料出入库明细!$D1301="","",包装物料出入库明细!$D1301)</f>
        <v/>
      </c>
      <c r="L1301">
        <f t="shared" si="497"/>
        <v>0</v>
      </c>
      <c r="M1301">
        <f t="shared" si="498"/>
        <v>9</v>
      </c>
      <c r="Q1301" t="str">
        <f>IF(周转筐出入库明细!$D1302="","",周转筐出入库明细!$D1302)</f>
        <v/>
      </c>
      <c r="R1301">
        <f t="shared" si="499"/>
        <v>0</v>
      </c>
      <c r="S1301">
        <f t="shared" si="500"/>
        <v>5</v>
      </c>
      <c r="W1301" t="str">
        <f>IF(周转筐出入库明细!$C1302="","",周转筐出入库明细!$C1302)</f>
        <v/>
      </c>
      <c r="X1301">
        <f t="shared" si="501"/>
        <v>0</v>
      </c>
      <c r="Y1301">
        <f t="shared" si="502"/>
        <v>12</v>
      </c>
      <c r="AI1301" t="str">
        <f>IF(OR(对接源_01水果筐数!$B102="",LEFT(对接源_01水果筐数!$C102,2)&lt;&gt;"自备"),"",对接源_01水果筐数!$B102)</f>
        <v/>
      </c>
      <c r="AJ1301">
        <f t="shared" si="503"/>
        <v>0</v>
      </c>
      <c r="AK1301">
        <f t="shared" si="504"/>
        <v>6</v>
      </c>
      <c r="CP1301">
        <f>IF(包装物料出入库明细!$D1301="",0,1)</f>
        <v>0</v>
      </c>
      <c r="CQ1301">
        <f t="shared" si="505"/>
        <v>37</v>
      </c>
      <c r="CS1301" t="str">
        <f>IF(OR(周转筐出入库明细!$C1302="",周转筐出入库明细!$F1302&lt;&gt;"采购入库"),"",周转筐出入库明细!$C1302)</f>
        <v/>
      </c>
      <c r="CT1301">
        <f t="shared" si="506"/>
        <v>0</v>
      </c>
      <c r="CU1301">
        <f t="shared" si="507"/>
        <v>1</v>
      </c>
    </row>
    <row r="1302" spans="1:99">
      <c r="A1302" t="str">
        <f>IF(包装物料出入库明细!$E1302="","",包装物料出入库明细!$E1302)</f>
        <v/>
      </c>
      <c r="B1302">
        <f t="shared" si="495"/>
        <v>0</v>
      </c>
      <c r="C1302">
        <f t="shared" si="496"/>
        <v>7</v>
      </c>
      <c r="D1302" t="str">
        <f>IF(包装物料出入库明细!$E1302="","",包装物料出入库明细!$F1302)</f>
        <v/>
      </c>
      <c r="E1302" t="str">
        <f>IF(包装物料出入库明细!$E1302="","",包装物料出入库明细!$G1302)</f>
        <v/>
      </c>
      <c r="K1302" t="str">
        <f>IF(包装物料出入库明细!$D1302="","",包装物料出入库明细!$D1302)</f>
        <v/>
      </c>
      <c r="L1302">
        <f t="shared" si="497"/>
        <v>0</v>
      </c>
      <c r="M1302">
        <f t="shared" si="498"/>
        <v>9</v>
      </c>
      <c r="Q1302" t="str">
        <f>IF(周转筐出入库明细!$D1303="","",周转筐出入库明细!$D1303)</f>
        <v/>
      </c>
      <c r="R1302">
        <f t="shared" si="499"/>
        <v>0</v>
      </c>
      <c r="S1302">
        <f t="shared" si="500"/>
        <v>5</v>
      </c>
      <c r="W1302" t="str">
        <f>IF(周转筐出入库明细!$C1303="","",周转筐出入库明细!$C1303)</f>
        <v/>
      </c>
      <c r="X1302">
        <f t="shared" si="501"/>
        <v>0</v>
      </c>
      <c r="Y1302">
        <f t="shared" si="502"/>
        <v>12</v>
      </c>
      <c r="AI1302" t="str">
        <f>IF(OR(对接源_01水果筐数!$B103="",LEFT(对接源_01水果筐数!$C103,2)&lt;&gt;"自备"),"",对接源_01水果筐数!$B103)</f>
        <v/>
      </c>
      <c r="AJ1302">
        <f t="shared" si="503"/>
        <v>0</v>
      </c>
      <c r="AK1302">
        <f t="shared" si="504"/>
        <v>6</v>
      </c>
      <c r="CP1302">
        <f>IF(包装物料出入库明细!$D1302="",0,1)</f>
        <v>0</v>
      </c>
      <c r="CQ1302">
        <f t="shared" si="505"/>
        <v>37</v>
      </c>
      <c r="CS1302" t="str">
        <f>IF(OR(周转筐出入库明细!$C1303="",周转筐出入库明细!$F1303&lt;&gt;"采购入库"),"",周转筐出入库明细!$C1303)</f>
        <v/>
      </c>
      <c r="CT1302">
        <f t="shared" si="506"/>
        <v>0</v>
      </c>
      <c r="CU1302">
        <f t="shared" si="507"/>
        <v>1</v>
      </c>
    </row>
    <row r="1303" spans="1:99">
      <c r="A1303" t="str">
        <f>IF(包装物料出入库明细!$E1303="","",包装物料出入库明细!$E1303)</f>
        <v/>
      </c>
      <c r="B1303">
        <f t="shared" si="495"/>
        <v>0</v>
      </c>
      <c r="C1303">
        <f t="shared" si="496"/>
        <v>7</v>
      </c>
      <c r="D1303" t="str">
        <f>IF(包装物料出入库明细!$E1303="","",包装物料出入库明细!$F1303)</f>
        <v/>
      </c>
      <c r="E1303" t="str">
        <f>IF(包装物料出入库明细!$E1303="","",包装物料出入库明细!$G1303)</f>
        <v/>
      </c>
      <c r="K1303" t="str">
        <f>IF(包装物料出入库明细!$D1303="","",包装物料出入库明细!$D1303)</f>
        <v/>
      </c>
      <c r="L1303">
        <f t="shared" si="497"/>
        <v>0</v>
      </c>
      <c r="M1303">
        <f t="shared" si="498"/>
        <v>9</v>
      </c>
      <c r="Q1303" t="str">
        <f>IF(周转筐出入库明细!$D1304="","",周转筐出入库明细!$D1304)</f>
        <v/>
      </c>
      <c r="R1303">
        <f t="shared" si="499"/>
        <v>0</v>
      </c>
      <c r="S1303">
        <f t="shared" si="500"/>
        <v>5</v>
      </c>
      <c r="W1303" t="str">
        <f>IF(周转筐出入库明细!$C1304="","",周转筐出入库明细!$C1304)</f>
        <v/>
      </c>
      <c r="X1303">
        <f t="shared" si="501"/>
        <v>0</v>
      </c>
      <c r="Y1303">
        <f t="shared" si="502"/>
        <v>12</v>
      </c>
      <c r="AI1303" t="str">
        <f>IF(OR(对接源_01水果筐数!$B104="",LEFT(对接源_01水果筐数!$C104,2)&lt;&gt;"自备"),"",对接源_01水果筐数!$B104)</f>
        <v/>
      </c>
      <c r="AJ1303">
        <f t="shared" si="503"/>
        <v>0</v>
      </c>
      <c r="AK1303">
        <f t="shared" si="504"/>
        <v>6</v>
      </c>
      <c r="CP1303">
        <f>IF(包装物料出入库明细!$D1303="",0,1)</f>
        <v>0</v>
      </c>
      <c r="CQ1303">
        <f t="shared" si="505"/>
        <v>37</v>
      </c>
      <c r="CS1303" t="str">
        <f>IF(OR(周转筐出入库明细!$C1304="",周转筐出入库明细!$F1304&lt;&gt;"采购入库"),"",周转筐出入库明细!$C1304)</f>
        <v/>
      </c>
      <c r="CT1303">
        <f t="shared" si="506"/>
        <v>0</v>
      </c>
      <c r="CU1303">
        <f t="shared" si="507"/>
        <v>1</v>
      </c>
    </row>
    <row r="1304" spans="1:99">
      <c r="A1304" t="str">
        <f>IF(包装物料出入库明细!$E1304="","",包装物料出入库明细!$E1304)</f>
        <v/>
      </c>
      <c r="B1304">
        <f t="shared" si="495"/>
        <v>0</v>
      </c>
      <c r="C1304">
        <f t="shared" si="496"/>
        <v>7</v>
      </c>
      <c r="D1304" t="str">
        <f>IF(包装物料出入库明细!$E1304="","",包装物料出入库明细!$F1304)</f>
        <v/>
      </c>
      <c r="E1304" t="str">
        <f>IF(包装物料出入库明细!$E1304="","",包装物料出入库明细!$G1304)</f>
        <v/>
      </c>
      <c r="K1304" t="str">
        <f>IF(包装物料出入库明细!$D1304="","",包装物料出入库明细!$D1304)</f>
        <v/>
      </c>
      <c r="L1304">
        <f t="shared" si="497"/>
        <v>0</v>
      </c>
      <c r="M1304">
        <f t="shared" si="498"/>
        <v>9</v>
      </c>
      <c r="Q1304" t="str">
        <f>IF(周转筐出入库明细!$D1305="","",周转筐出入库明细!$D1305)</f>
        <v/>
      </c>
      <c r="R1304">
        <f t="shared" si="499"/>
        <v>0</v>
      </c>
      <c r="S1304">
        <f t="shared" si="500"/>
        <v>5</v>
      </c>
      <c r="W1304" t="str">
        <f>IF(周转筐出入库明细!$C1305="","",周转筐出入库明细!$C1305)</f>
        <v/>
      </c>
      <c r="X1304">
        <f t="shared" si="501"/>
        <v>0</v>
      </c>
      <c r="Y1304">
        <f t="shared" si="502"/>
        <v>12</v>
      </c>
      <c r="AI1304" t="str">
        <f>IF(OR(对接源_01水果筐数!$B105="",LEFT(对接源_01水果筐数!$C105,2)&lt;&gt;"自备"),"",对接源_01水果筐数!$B105)</f>
        <v/>
      </c>
      <c r="AJ1304">
        <f t="shared" si="503"/>
        <v>0</v>
      </c>
      <c r="AK1304">
        <f t="shared" si="504"/>
        <v>6</v>
      </c>
      <c r="CP1304">
        <f>IF(包装物料出入库明细!$D1304="",0,1)</f>
        <v>0</v>
      </c>
      <c r="CQ1304">
        <f t="shared" si="505"/>
        <v>37</v>
      </c>
      <c r="CS1304" t="str">
        <f>IF(OR(周转筐出入库明细!$C1305="",周转筐出入库明细!$F1305&lt;&gt;"采购入库"),"",周转筐出入库明细!$C1305)</f>
        <v/>
      </c>
      <c r="CT1304">
        <f t="shared" si="506"/>
        <v>0</v>
      </c>
      <c r="CU1304">
        <f t="shared" si="507"/>
        <v>1</v>
      </c>
    </row>
    <row r="1305" spans="1:99">
      <c r="A1305" t="str">
        <f>IF(包装物料出入库明细!$E1305="","",包装物料出入库明细!$E1305)</f>
        <v/>
      </c>
      <c r="B1305">
        <f t="shared" si="495"/>
        <v>0</v>
      </c>
      <c r="C1305">
        <f t="shared" si="496"/>
        <v>7</v>
      </c>
      <c r="D1305" t="str">
        <f>IF(包装物料出入库明细!$E1305="","",包装物料出入库明细!$F1305)</f>
        <v/>
      </c>
      <c r="E1305" t="str">
        <f>IF(包装物料出入库明细!$E1305="","",包装物料出入库明细!$G1305)</f>
        <v/>
      </c>
      <c r="K1305" t="str">
        <f>IF(包装物料出入库明细!$D1305="","",包装物料出入库明细!$D1305)</f>
        <v/>
      </c>
      <c r="L1305">
        <f t="shared" si="497"/>
        <v>0</v>
      </c>
      <c r="M1305">
        <f t="shared" si="498"/>
        <v>9</v>
      </c>
      <c r="Q1305" t="str">
        <f>IF(周转筐出入库明细!$D1306="","",周转筐出入库明细!$D1306)</f>
        <v/>
      </c>
      <c r="R1305">
        <f t="shared" si="499"/>
        <v>0</v>
      </c>
      <c r="S1305">
        <f t="shared" si="500"/>
        <v>5</v>
      </c>
      <c r="W1305" t="str">
        <f>IF(周转筐出入库明细!$C1306="","",周转筐出入库明细!$C1306)</f>
        <v/>
      </c>
      <c r="X1305">
        <f t="shared" si="501"/>
        <v>0</v>
      </c>
      <c r="Y1305">
        <f t="shared" si="502"/>
        <v>12</v>
      </c>
      <c r="AI1305" t="str">
        <f>IF(OR(对接源_01水果筐数!$B106="",LEFT(对接源_01水果筐数!$C106,2)&lt;&gt;"自备"),"",对接源_01水果筐数!$B106)</f>
        <v/>
      </c>
      <c r="AJ1305">
        <f t="shared" si="503"/>
        <v>0</v>
      </c>
      <c r="AK1305">
        <f t="shared" si="504"/>
        <v>6</v>
      </c>
      <c r="CP1305">
        <f>IF(包装物料出入库明细!$D1305="",0,1)</f>
        <v>0</v>
      </c>
      <c r="CQ1305">
        <f t="shared" si="505"/>
        <v>37</v>
      </c>
      <c r="CS1305" t="str">
        <f>IF(OR(周转筐出入库明细!$C1306="",周转筐出入库明细!$F1306&lt;&gt;"采购入库"),"",周转筐出入库明细!$C1306)</f>
        <v/>
      </c>
      <c r="CT1305">
        <f t="shared" si="506"/>
        <v>0</v>
      </c>
      <c r="CU1305">
        <f t="shared" si="507"/>
        <v>1</v>
      </c>
    </row>
    <row r="1306" spans="1:99">
      <c r="A1306" t="str">
        <f>IF(包装物料出入库明细!$E1306="","",包装物料出入库明细!$E1306)</f>
        <v/>
      </c>
      <c r="B1306">
        <f t="shared" si="495"/>
        <v>0</v>
      </c>
      <c r="C1306">
        <f t="shared" si="496"/>
        <v>7</v>
      </c>
      <c r="D1306" t="str">
        <f>IF(包装物料出入库明细!$E1306="","",包装物料出入库明细!$F1306)</f>
        <v/>
      </c>
      <c r="E1306" t="str">
        <f>IF(包装物料出入库明细!$E1306="","",包装物料出入库明细!$G1306)</f>
        <v/>
      </c>
      <c r="K1306" t="str">
        <f>IF(包装物料出入库明细!$D1306="","",包装物料出入库明细!$D1306)</f>
        <v/>
      </c>
      <c r="L1306">
        <f t="shared" si="497"/>
        <v>0</v>
      </c>
      <c r="M1306">
        <f t="shared" si="498"/>
        <v>9</v>
      </c>
      <c r="Q1306" t="str">
        <f>IF(周转筐出入库明细!$D1307="","",周转筐出入库明细!$D1307)</f>
        <v/>
      </c>
      <c r="R1306">
        <f t="shared" si="499"/>
        <v>0</v>
      </c>
      <c r="S1306">
        <f t="shared" si="500"/>
        <v>5</v>
      </c>
      <c r="W1306" t="str">
        <f>IF(周转筐出入库明细!$C1307="","",周转筐出入库明细!$C1307)</f>
        <v/>
      </c>
      <c r="X1306">
        <f t="shared" si="501"/>
        <v>0</v>
      </c>
      <c r="Y1306">
        <f t="shared" si="502"/>
        <v>12</v>
      </c>
      <c r="AI1306" t="str">
        <f>IF(OR(对接源_01水果筐数!$B107="",LEFT(对接源_01水果筐数!$C107,2)&lt;&gt;"自备"),"",对接源_01水果筐数!$B107)</f>
        <v/>
      </c>
      <c r="AJ1306">
        <f t="shared" si="503"/>
        <v>0</v>
      </c>
      <c r="AK1306">
        <f t="shared" si="504"/>
        <v>6</v>
      </c>
      <c r="CP1306">
        <f>IF(包装物料出入库明细!$D1306="",0,1)</f>
        <v>0</v>
      </c>
      <c r="CQ1306">
        <f t="shared" si="505"/>
        <v>37</v>
      </c>
      <c r="CS1306" t="str">
        <f>IF(OR(周转筐出入库明细!$C1307="",周转筐出入库明细!$F1307&lt;&gt;"采购入库"),"",周转筐出入库明细!$C1307)</f>
        <v/>
      </c>
      <c r="CT1306">
        <f t="shared" si="506"/>
        <v>0</v>
      </c>
      <c r="CU1306">
        <f t="shared" si="507"/>
        <v>1</v>
      </c>
    </row>
    <row r="1307" spans="1:99">
      <c r="A1307" t="str">
        <f>IF(包装物料出入库明细!$E1307="","",包装物料出入库明细!$E1307)</f>
        <v/>
      </c>
      <c r="B1307">
        <f t="shared" si="495"/>
        <v>0</v>
      </c>
      <c r="C1307">
        <f t="shared" si="496"/>
        <v>7</v>
      </c>
      <c r="D1307" t="str">
        <f>IF(包装物料出入库明细!$E1307="","",包装物料出入库明细!$F1307)</f>
        <v/>
      </c>
      <c r="E1307" t="str">
        <f>IF(包装物料出入库明细!$E1307="","",包装物料出入库明细!$G1307)</f>
        <v/>
      </c>
      <c r="K1307" t="str">
        <f>IF(包装物料出入库明细!$D1307="","",包装物料出入库明细!$D1307)</f>
        <v/>
      </c>
      <c r="L1307">
        <f t="shared" si="497"/>
        <v>0</v>
      </c>
      <c r="M1307">
        <f t="shared" si="498"/>
        <v>9</v>
      </c>
      <c r="Q1307" t="str">
        <f>IF(周转筐出入库明细!$D1308="","",周转筐出入库明细!$D1308)</f>
        <v/>
      </c>
      <c r="R1307">
        <f t="shared" si="499"/>
        <v>0</v>
      </c>
      <c r="S1307">
        <f t="shared" si="500"/>
        <v>5</v>
      </c>
      <c r="W1307" t="str">
        <f>IF(周转筐出入库明细!$C1308="","",周转筐出入库明细!$C1308)</f>
        <v/>
      </c>
      <c r="X1307">
        <f t="shared" si="501"/>
        <v>0</v>
      </c>
      <c r="Y1307">
        <f t="shared" si="502"/>
        <v>12</v>
      </c>
      <c r="AI1307" t="str">
        <f>IF(OR(对接源_01水果筐数!$B108="",LEFT(对接源_01水果筐数!$C108,2)&lt;&gt;"自备"),"",对接源_01水果筐数!$B108)</f>
        <v/>
      </c>
      <c r="AJ1307">
        <f t="shared" si="503"/>
        <v>0</v>
      </c>
      <c r="AK1307">
        <f t="shared" si="504"/>
        <v>6</v>
      </c>
      <c r="CP1307">
        <f>IF(包装物料出入库明细!$D1307="",0,1)</f>
        <v>0</v>
      </c>
      <c r="CQ1307">
        <f t="shared" si="505"/>
        <v>37</v>
      </c>
      <c r="CS1307" t="str">
        <f>IF(OR(周转筐出入库明细!$C1308="",周转筐出入库明细!$F1308&lt;&gt;"采购入库"),"",周转筐出入库明细!$C1308)</f>
        <v/>
      </c>
      <c r="CT1307">
        <f t="shared" si="506"/>
        <v>0</v>
      </c>
      <c r="CU1307">
        <f t="shared" si="507"/>
        <v>1</v>
      </c>
    </row>
    <row r="1308" spans="1:99">
      <c r="A1308" t="str">
        <f>IF(包装物料出入库明细!$E1308="","",包装物料出入库明细!$E1308)</f>
        <v/>
      </c>
      <c r="B1308">
        <f t="shared" si="495"/>
        <v>0</v>
      </c>
      <c r="C1308">
        <f t="shared" si="496"/>
        <v>7</v>
      </c>
      <c r="D1308" t="str">
        <f>IF(包装物料出入库明细!$E1308="","",包装物料出入库明细!$F1308)</f>
        <v/>
      </c>
      <c r="E1308" t="str">
        <f>IF(包装物料出入库明细!$E1308="","",包装物料出入库明细!$G1308)</f>
        <v/>
      </c>
      <c r="K1308" t="str">
        <f>IF(包装物料出入库明细!$D1308="","",包装物料出入库明细!$D1308)</f>
        <v/>
      </c>
      <c r="L1308">
        <f t="shared" si="497"/>
        <v>0</v>
      </c>
      <c r="M1308">
        <f t="shared" si="498"/>
        <v>9</v>
      </c>
      <c r="Q1308" t="str">
        <f>IF(周转筐出入库明细!$D1309="","",周转筐出入库明细!$D1309)</f>
        <v/>
      </c>
      <c r="R1308">
        <f t="shared" si="499"/>
        <v>0</v>
      </c>
      <c r="S1308">
        <f t="shared" si="500"/>
        <v>5</v>
      </c>
      <c r="W1308" t="str">
        <f>IF(周转筐出入库明细!$C1309="","",周转筐出入库明细!$C1309)</f>
        <v/>
      </c>
      <c r="X1308">
        <f t="shared" si="501"/>
        <v>0</v>
      </c>
      <c r="Y1308">
        <f t="shared" si="502"/>
        <v>12</v>
      </c>
      <c r="AI1308" t="str">
        <f>IF(OR(对接源_01水果筐数!$B109="",LEFT(对接源_01水果筐数!$C109,2)&lt;&gt;"自备"),"",对接源_01水果筐数!$B109)</f>
        <v/>
      </c>
      <c r="AJ1308">
        <f t="shared" si="503"/>
        <v>0</v>
      </c>
      <c r="AK1308">
        <f t="shared" si="504"/>
        <v>6</v>
      </c>
      <c r="CP1308">
        <f>IF(包装物料出入库明细!$D1308="",0,1)</f>
        <v>0</v>
      </c>
      <c r="CQ1308">
        <f t="shared" si="505"/>
        <v>37</v>
      </c>
      <c r="CS1308" t="str">
        <f>IF(OR(周转筐出入库明细!$C1309="",周转筐出入库明细!$F1309&lt;&gt;"采购入库"),"",周转筐出入库明细!$C1309)</f>
        <v/>
      </c>
      <c r="CT1308">
        <f t="shared" si="506"/>
        <v>0</v>
      </c>
      <c r="CU1308">
        <f t="shared" si="507"/>
        <v>1</v>
      </c>
    </row>
    <row r="1309" spans="1:99">
      <c r="A1309" t="str">
        <f>IF(包装物料出入库明细!$E1309="","",包装物料出入库明细!$E1309)</f>
        <v/>
      </c>
      <c r="B1309">
        <f t="shared" si="495"/>
        <v>0</v>
      </c>
      <c r="C1309">
        <f t="shared" si="496"/>
        <v>7</v>
      </c>
      <c r="D1309" t="str">
        <f>IF(包装物料出入库明细!$E1309="","",包装物料出入库明细!$F1309)</f>
        <v/>
      </c>
      <c r="E1309" t="str">
        <f>IF(包装物料出入库明细!$E1309="","",包装物料出入库明细!$G1309)</f>
        <v/>
      </c>
      <c r="K1309" t="str">
        <f>IF(包装物料出入库明细!$D1309="","",包装物料出入库明细!$D1309)</f>
        <v/>
      </c>
      <c r="L1309">
        <f t="shared" si="497"/>
        <v>0</v>
      </c>
      <c r="M1309">
        <f t="shared" si="498"/>
        <v>9</v>
      </c>
      <c r="Q1309" t="str">
        <f>IF(周转筐出入库明细!$D1310="","",周转筐出入库明细!$D1310)</f>
        <v/>
      </c>
      <c r="R1309">
        <f t="shared" si="499"/>
        <v>0</v>
      </c>
      <c r="S1309">
        <f t="shared" si="500"/>
        <v>5</v>
      </c>
      <c r="W1309" t="str">
        <f>IF(周转筐出入库明细!$C1310="","",周转筐出入库明细!$C1310)</f>
        <v/>
      </c>
      <c r="X1309">
        <f t="shared" si="501"/>
        <v>0</v>
      </c>
      <c r="Y1309">
        <f t="shared" si="502"/>
        <v>12</v>
      </c>
      <c r="AI1309" t="str">
        <f>IF(OR(对接源_01水果筐数!$B110="",LEFT(对接源_01水果筐数!$C110,2)&lt;&gt;"自备"),"",对接源_01水果筐数!$B110)</f>
        <v/>
      </c>
      <c r="AJ1309">
        <f t="shared" si="503"/>
        <v>0</v>
      </c>
      <c r="AK1309">
        <f t="shared" si="504"/>
        <v>6</v>
      </c>
      <c r="CP1309">
        <f>IF(包装物料出入库明细!$D1309="",0,1)</f>
        <v>0</v>
      </c>
      <c r="CQ1309">
        <f t="shared" si="505"/>
        <v>37</v>
      </c>
      <c r="CS1309" t="str">
        <f>IF(OR(周转筐出入库明细!$C1310="",周转筐出入库明细!$F1310&lt;&gt;"采购入库"),"",周转筐出入库明细!$C1310)</f>
        <v/>
      </c>
      <c r="CT1309">
        <f t="shared" si="506"/>
        <v>0</v>
      </c>
      <c r="CU1309">
        <f t="shared" si="507"/>
        <v>1</v>
      </c>
    </row>
    <row r="1310" spans="1:99">
      <c r="A1310" t="str">
        <f>IF(包装物料出入库明细!$E1310="","",包装物料出入库明细!$E1310)</f>
        <v/>
      </c>
      <c r="B1310">
        <f t="shared" si="495"/>
        <v>0</v>
      </c>
      <c r="C1310">
        <f t="shared" si="496"/>
        <v>7</v>
      </c>
      <c r="D1310" t="str">
        <f>IF(包装物料出入库明细!$E1310="","",包装物料出入库明细!$F1310)</f>
        <v/>
      </c>
      <c r="E1310" t="str">
        <f>IF(包装物料出入库明细!$E1310="","",包装物料出入库明细!$G1310)</f>
        <v/>
      </c>
      <c r="K1310" t="str">
        <f>IF(包装物料出入库明细!$D1310="","",包装物料出入库明细!$D1310)</f>
        <v/>
      </c>
      <c r="L1310">
        <f t="shared" si="497"/>
        <v>0</v>
      </c>
      <c r="M1310">
        <f t="shared" si="498"/>
        <v>9</v>
      </c>
      <c r="Q1310" t="str">
        <f>IF(周转筐出入库明细!$D1311="","",周转筐出入库明细!$D1311)</f>
        <v/>
      </c>
      <c r="R1310">
        <f t="shared" si="499"/>
        <v>0</v>
      </c>
      <c r="S1310">
        <f t="shared" si="500"/>
        <v>5</v>
      </c>
      <c r="W1310" t="str">
        <f>IF(周转筐出入库明细!$C1311="","",周转筐出入库明细!$C1311)</f>
        <v/>
      </c>
      <c r="X1310">
        <f t="shared" si="501"/>
        <v>0</v>
      </c>
      <c r="Y1310">
        <f t="shared" si="502"/>
        <v>12</v>
      </c>
      <c r="AI1310" t="str">
        <f>IF(OR(对接源_01水果筐数!$B111="",LEFT(对接源_01水果筐数!$C111,2)&lt;&gt;"自备"),"",对接源_01水果筐数!$B111)</f>
        <v/>
      </c>
      <c r="AJ1310">
        <f t="shared" si="503"/>
        <v>0</v>
      </c>
      <c r="AK1310">
        <f t="shared" si="504"/>
        <v>6</v>
      </c>
      <c r="CP1310">
        <f>IF(包装物料出入库明细!$D1310="",0,1)</f>
        <v>0</v>
      </c>
      <c r="CQ1310">
        <f t="shared" si="505"/>
        <v>37</v>
      </c>
      <c r="CS1310" t="str">
        <f>IF(OR(周转筐出入库明细!$C1311="",周转筐出入库明细!$F1311&lt;&gt;"采购入库"),"",周转筐出入库明细!$C1311)</f>
        <v/>
      </c>
      <c r="CT1310">
        <f t="shared" si="506"/>
        <v>0</v>
      </c>
      <c r="CU1310">
        <f t="shared" si="507"/>
        <v>1</v>
      </c>
    </row>
    <row r="1311" spans="1:99">
      <c r="A1311" t="str">
        <f>IF(包装物料出入库明细!$E1311="","",包装物料出入库明细!$E1311)</f>
        <v/>
      </c>
      <c r="B1311">
        <f t="shared" si="495"/>
        <v>0</v>
      </c>
      <c r="C1311">
        <f t="shared" si="496"/>
        <v>7</v>
      </c>
      <c r="D1311" t="str">
        <f>IF(包装物料出入库明细!$E1311="","",包装物料出入库明细!$F1311)</f>
        <v/>
      </c>
      <c r="E1311" t="str">
        <f>IF(包装物料出入库明细!$E1311="","",包装物料出入库明细!$G1311)</f>
        <v/>
      </c>
      <c r="K1311" t="str">
        <f>IF(包装物料出入库明细!$D1311="","",包装物料出入库明细!$D1311)</f>
        <v/>
      </c>
      <c r="L1311">
        <f t="shared" si="497"/>
        <v>0</v>
      </c>
      <c r="M1311">
        <f t="shared" si="498"/>
        <v>9</v>
      </c>
      <c r="Q1311" t="str">
        <f>IF(周转筐出入库明细!$D1312="","",周转筐出入库明细!$D1312)</f>
        <v/>
      </c>
      <c r="R1311">
        <f t="shared" si="499"/>
        <v>0</v>
      </c>
      <c r="S1311">
        <f t="shared" si="500"/>
        <v>5</v>
      </c>
      <c r="W1311" t="str">
        <f>IF(周转筐出入库明细!$C1312="","",周转筐出入库明细!$C1312)</f>
        <v/>
      </c>
      <c r="X1311">
        <f t="shared" si="501"/>
        <v>0</v>
      </c>
      <c r="Y1311">
        <f t="shared" si="502"/>
        <v>12</v>
      </c>
      <c r="AI1311" t="str">
        <f>IF(OR(对接源_01水果筐数!$B112="",LEFT(对接源_01水果筐数!$C112,2)&lt;&gt;"自备"),"",对接源_01水果筐数!$B112)</f>
        <v/>
      </c>
      <c r="AJ1311">
        <f t="shared" si="503"/>
        <v>0</v>
      </c>
      <c r="AK1311">
        <f t="shared" si="504"/>
        <v>6</v>
      </c>
      <c r="CP1311">
        <f>IF(包装物料出入库明细!$D1311="",0,1)</f>
        <v>0</v>
      </c>
      <c r="CQ1311">
        <f t="shared" si="505"/>
        <v>37</v>
      </c>
      <c r="CS1311" t="str">
        <f>IF(OR(周转筐出入库明细!$C1312="",周转筐出入库明细!$F1312&lt;&gt;"采购入库"),"",周转筐出入库明细!$C1312)</f>
        <v/>
      </c>
      <c r="CT1311">
        <f t="shared" si="506"/>
        <v>0</v>
      </c>
      <c r="CU1311">
        <f t="shared" si="507"/>
        <v>1</v>
      </c>
    </row>
    <row r="1312" spans="1:99">
      <c r="A1312" t="str">
        <f>IF(包装物料出入库明细!$E1312="","",包装物料出入库明细!$E1312)</f>
        <v/>
      </c>
      <c r="B1312">
        <f t="shared" si="495"/>
        <v>0</v>
      </c>
      <c r="C1312">
        <f t="shared" si="496"/>
        <v>7</v>
      </c>
      <c r="D1312" t="str">
        <f>IF(包装物料出入库明细!$E1312="","",包装物料出入库明细!$F1312)</f>
        <v/>
      </c>
      <c r="E1312" t="str">
        <f>IF(包装物料出入库明细!$E1312="","",包装物料出入库明细!$G1312)</f>
        <v/>
      </c>
      <c r="K1312" t="str">
        <f>IF(包装物料出入库明细!$D1312="","",包装物料出入库明细!$D1312)</f>
        <v/>
      </c>
      <c r="L1312">
        <f t="shared" si="497"/>
        <v>0</v>
      </c>
      <c r="M1312">
        <f t="shared" si="498"/>
        <v>9</v>
      </c>
      <c r="Q1312" t="str">
        <f>IF(周转筐出入库明细!$D1313="","",周转筐出入库明细!$D1313)</f>
        <v/>
      </c>
      <c r="R1312">
        <f t="shared" si="499"/>
        <v>0</v>
      </c>
      <c r="S1312">
        <f t="shared" si="500"/>
        <v>5</v>
      </c>
      <c r="W1312" t="str">
        <f>IF(周转筐出入库明细!$C1313="","",周转筐出入库明细!$C1313)</f>
        <v/>
      </c>
      <c r="X1312">
        <f t="shared" si="501"/>
        <v>0</v>
      </c>
      <c r="Y1312">
        <f t="shared" si="502"/>
        <v>12</v>
      </c>
      <c r="AI1312" t="str">
        <f>IF(OR(对接源_01水果筐数!$B113="",LEFT(对接源_01水果筐数!$C113,2)&lt;&gt;"自备"),"",对接源_01水果筐数!$B113)</f>
        <v/>
      </c>
      <c r="AJ1312">
        <f t="shared" si="503"/>
        <v>0</v>
      </c>
      <c r="AK1312">
        <f t="shared" si="504"/>
        <v>6</v>
      </c>
      <c r="CP1312">
        <f>IF(包装物料出入库明细!$D1312="",0,1)</f>
        <v>0</v>
      </c>
      <c r="CQ1312">
        <f t="shared" si="505"/>
        <v>37</v>
      </c>
      <c r="CS1312" t="str">
        <f>IF(OR(周转筐出入库明细!$C1313="",周转筐出入库明细!$F1313&lt;&gt;"采购入库"),"",周转筐出入库明细!$C1313)</f>
        <v/>
      </c>
      <c r="CT1312">
        <f t="shared" si="506"/>
        <v>0</v>
      </c>
      <c r="CU1312">
        <f t="shared" si="507"/>
        <v>1</v>
      </c>
    </row>
    <row r="1313" spans="1:99">
      <c r="A1313" t="str">
        <f>IF(包装物料出入库明细!$E1313="","",包装物料出入库明细!$E1313)</f>
        <v/>
      </c>
      <c r="B1313">
        <f t="shared" si="495"/>
        <v>0</v>
      </c>
      <c r="C1313">
        <f t="shared" si="496"/>
        <v>7</v>
      </c>
      <c r="D1313" t="str">
        <f>IF(包装物料出入库明细!$E1313="","",包装物料出入库明细!$F1313)</f>
        <v/>
      </c>
      <c r="E1313" t="str">
        <f>IF(包装物料出入库明细!$E1313="","",包装物料出入库明细!$G1313)</f>
        <v/>
      </c>
      <c r="K1313" t="str">
        <f>IF(包装物料出入库明细!$D1313="","",包装物料出入库明细!$D1313)</f>
        <v/>
      </c>
      <c r="L1313">
        <f t="shared" si="497"/>
        <v>0</v>
      </c>
      <c r="M1313">
        <f t="shared" si="498"/>
        <v>9</v>
      </c>
      <c r="Q1313" t="str">
        <f>IF(周转筐出入库明细!$D1314="","",周转筐出入库明细!$D1314)</f>
        <v/>
      </c>
      <c r="R1313">
        <f t="shared" si="499"/>
        <v>0</v>
      </c>
      <c r="S1313">
        <f t="shared" si="500"/>
        <v>5</v>
      </c>
      <c r="W1313" t="str">
        <f>IF(周转筐出入库明细!$C1314="","",周转筐出入库明细!$C1314)</f>
        <v/>
      </c>
      <c r="X1313">
        <f t="shared" si="501"/>
        <v>0</v>
      </c>
      <c r="Y1313">
        <f t="shared" si="502"/>
        <v>12</v>
      </c>
      <c r="AI1313" t="str">
        <f>IF(OR(对接源_01水果筐数!$B114="",LEFT(对接源_01水果筐数!$C114,2)&lt;&gt;"自备"),"",对接源_01水果筐数!$B114)</f>
        <v/>
      </c>
      <c r="AJ1313">
        <f t="shared" si="503"/>
        <v>0</v>
      </c>
      <c r="AK1313">
        <f t="shared" si="504"/>
        <v>6</v>
      </c>
      <c r="CP1313">
        <f>IF(包装物料出入库明细!$D1313="",0,1)</f>
        <v>0</v>
      </c>
      <c r="CQ1313">
        <f t="shared" si="505"/>
        <v>37</v>
      </c>
      <c r="CS1313" t="str">
        <f>IF(OR(周转筐出入库明细!$C1314="",周转筐出入库明细!$F1314&lt;&gt;"采购入库"),"",周转筐出入库明细!$C1314)</f>
        <v/>
      </c>
      <c r="CT1313">
        <f t="shared" si="506"/>
        <v>0</v>
      </c>
      <c r="CU1313">
        <f t="shared" si="507"/>
        <v>1</v>
      </c>
    </row>
    <row r="1314" spans="1:99">
      <c r="A1314" t="str">
        <f>IF(包装物料出入库明细!$E1314="","",包装物料出入库明细!$E1314)</f>
        <v/>
      </c>
      <c r="B1314">
        <f t="shared" si="495"/>
        <v>0</v>
      </c>
      <c r="C1314">
        <f t="shared" si="496"/>
        <v>7</v>
      </c>
      <c r="D1314" t="str">
        <f>IF(包装物料出入库明细!$E1314="","",包装物料出入库明细!$F1314)</f>
        <v/>
      </c>
      <c r="E1314" t="str">
        <f>IF(包装物料出入库明细!$E1314="","",包装物料出入库明细!$G1314)</f>
        <v/>
      </c>
      <c r="K1314" t="str">
        <f>IF(包装物料出入库明细!$D1314="","",包装物料出入库明细!$D1314)</f>
        <v/>
      </c>
      <c r="L1314">
        <f t="shared" si="497"/>
        <v>0</v>
      </c>
      <c r="M1314">
        <f t="shared" si="498"/>
        <v>9</v>
      </c>
      <c r="Q1314" t="str">
        <f>IF(周转筐出入库明细!$D1315="","",周转筐出入库明细!$D1315)</f>
        <v/>
      </c>
      <c r="R1314">
        <f t="shared" si="499"/>
        <v>0</v>
      </c>
      <c r="S1314">
        <f t="shared" si="500"/>
        <v>5</v>
      </c>
      <c r="W1314" t="str">
        <f>IF(周转筐出入库明细!$C1315="","",周转筐出入库明细!$C1315)</f>
        <v/>
      </c>
      <c r="X1314">
        <f t="shared" si="501"/>
        <v>0</v>
      </c>
      <c r="Y1314">
        <f t="shared" si="502"/>
        <v>12</v>
      </c>
      <c r="AI1314" t="str">
        <f>IF(OR(对接源_01水果筐数!$B115="",LEFT(对接源_01水果筐数!$C115,2)&lt;&gt;"自备"),"",对接源_01水果筐数!$B115)</f>
        <v/>
      </c>
      <c r="AJ1314">
        <f t="shared" si="503"/>
        <v>0</v>
      </c>
      <c r="AK1314">
        <f t="shared" si="504"/>
        <v>6</v>
      </c>
      <c r="CP1314">
        <f>IF(包装物料出入库明细!$D1314="",0,1)</f>
        <v>0</v>
      </c>
      <c r="CQ1314">
        <f t="shared" si="505"/>
        <v>37</v>
      </c>
      <c r="CS1314" t="str">
        <f>IF(OR(周转筐出入库明细!$C1315="",周转筐出入库明细!$F1315&lt;&gt;"采购入库"),"",周转筐出入库明细!$C1315)</f>
        <v/>
      </c>
      <c r="CT1314">
        <f t="shared" si="506"/>
        <v>0</v>
      </c>
      <c r="CU1314">
        <f t="shared" si="507"/>
        <v>1</v>
      </c>
    </row>
    <row r="1315" spans="1:99">
      <c r="A1315" t="str">
        <f>IF(包装物料出入库明细!$E1315="","",包装物料出入库明细!$E1315)</f>
        <v/>
      </c>
      <c r="B1315">
        <f t="shared" si="495"/>
        <v>0</v>
      </c>
      <c r="C1315">
        <f t="shared" si="496"/>
        <v>7</v>
      </c>
      <c r="D1315" t="str">
        <f>IF(包装物料出入库明细!$E1315="","",包装物料出入库明细!$F1315)</f>
        <v/>
      </c>
      <c r="E1315" t="str">
        <f>IF(包装物料出入库明细!$E1315="","",包装物料出入库明细!$G1315)</f>
        <v/>
      </c>
      <c r="K1315" t="str">
        <f>IF(包装物料出入库明细!$D1315="","",包装物料出入库明细!$D1315)</f>
        <v/>
      </c>
      <c r="L1315">
        <f t="shared" si="497"/>
        <v>0</v>
      </c>
      <c r="M1315">
        <f t="shared" si="498"/>
        <v>9</v>
      </c>
      <c r="Q1315" t="str">
        <f>IF(周转筐出入库明细!$D1316="","",周转筐出入库明细!$D1316)</f>
        <v/>
      </c>
      <c r="R1315">
        <f t="shared" si="499"/>
        <v>0</v>
      </c>
      <c r="S1315">
        <f t="shared" si="500"/>
        <v>5</v>
      </c>
      <c r="W1315" t="str">
        <f>IF(周转筐出入库明细!$C1316="","",周转筐出入库明细!$C1316)</f>
        <v/>
      </c>
      <c r="X1315">
        <f t="shared" si="501"/>
        <v>0</v>
      </c>
      <c r="Y1315">
        <f t="shared" si="502"/>
        <v>12</v>
      </c>
      <c r="AI1315" t="str">
        <f>IF(OR(对接源_01水果筐数!$B116="",LEFT(对接源_01水果筐数!$C116,2)&lt;&gt;"自备"),"",对接源_01水果筐数!$B116)</f>
        <v/>
      </c>
      <c r="AJ1315">
        <f t="shared" si="503"/>
        <v>0</v>
      </c>
      <c r="AK1315">
        <f t="shared" si="504"/>
        <v>6</v>
      </c>
      <c r="CP1315">
        <f>IF(包装物料出入库明细!$D1315="",0,1)</f>
        <v>0</v>
      </c>
      <c r="CQ1315">
        <f t="shared" si="505"/>
        <v>37</v>
      </c>
      <c r="CS1315" t="str">
        <f>IF(OR(周转筐出入库明细!$C1316="",周转筐出入库明细!$F1316&lt;&gt;"采购入库"),"",周转筐出入库明细!$C1316)</f>
        <v/>
      </c>
      <c r="CT1315">
        <f t="shared" si="506"/>
        <v>0</v>
      </c>
      <c r="CU1315">
        <f t="shared" si="507"/>
        <v>1</v>
      </c>
    </row>
    <row r="1316" spans="1:99">
      <c r="A1316" t="str">
        <f>IF(包装物料出入库明细!$E1316="","",包装物料出入库明细!$E1316)</f>
        <v/>
      </c>
      <c r="B1316">
        <f t="shared" si="495"/>
        <v>0</v>
      </c>
      <c r="C1316">
        <f t="shared" si="496"/>
        <v>7</v>
      </c>
      <c r="D1316" t="str">
        <f>IF(包装物料出入库明细!$E1316="","",包装物料出入库明细!$F1316)</f>
        <v/>
      </c>
      <c r="E1316" t="str">
        <f>IF(包装物料出入库明细!$E1316="","",包装物料出入库明细!$G1316)</f>
        <v/>
      </c>
      <c r="K1316" t="str">
        <f>IF(包装物料出入库明细!$D1316="","",包装物料出入库明细!$D1316)</f>
        <v/>
      </c>
      <c r="L1316">
        <f t="shared" si="497"/>
        <v>0</v>
      </c>
      <c r="M1316">
        <f t="shared" si="498"/>
        <v>9</v>
      </c>
      <c r="Q1316" t="str">
        <f>IF(周转筐出入库明细!$D1317="","",周转筐出入库明细!$D1317)</f>
        <v/>
      </c>
      <c r="R1316">
        <f t="shared" si="499"/>
        <v>0</v>
      </c>
      <c r="S1316">
        <f t="shared" si="500"/>
        <v>5</v>
      </c>
      <c r="W1316" t="str">
        <f>IF(周转筐出入库明细!$C1317="","",周转筐出入库明细!$C1317)</f>
        <v/>
      </c>
      <c r="X1316">
        <f t="shared" si="501"/>
        <v>0</v>
      </c>
      <c r="Y1316">
        <f t="shared" si="502"/>
        <v>12</v>
      </c>
      <c r="AI1316" t="str">
        <f>IF(OR(对接源_01水果筐数!$B117="",LEFT(对接源_01水果筐数!$C117,2)&lt;&gt;"自备"),"",对接源_01水果筐数!$B117)</f>
        <v/>
      </c>
      <c r="AJ1316">
        <f t="shared" si="503"/>
        <v>0</v>
      </c>
      <c r="AK1316">
        <f t="shared" si="504"/>
        <v>6</v>
      </c>
      <c r="CP1316">
        <f>IF(包装物料出入库明细!$D1316="",0,1)</f>
        <v>0</v>
      </c>
      <c r="CQ1316">
        <f t="shared" si="505"/>
        <v>37</v>
      </c>
      <c r="CS1316" t="str">
        <f>IF(OR(周转筐出入库明细!$C1317="",周转筐出入库明细!$F1317&lt;&gt;"采购入库"),"",周转筐出入库明细!$C1317)</f>
        <v/>
      </c>
      <c r="CT1316">
        <f t="shared" si="506"/>
        <v>0</v>
      </c>
      <c r="CU1316">
        <f t="shared" si="507"/>
        <v>1</v>
      </c>
    </row>
    <row r="1317" spans="1:99">
      <c r="A1317" t="str">
        <f>IF(包装物料出入库明细!$E1317="","",包装物料出入库明细!$E1317)</f>
        <v/>
      </c>
      <c r="B1317">
        <f t="shared" si="495"/>
        <v>0</v>
      </c>
      <c r="C1317">
        <f t="shared" si="496"/>
        <v>7</v>
      </c>
      <c r="D1317" t="str">
        <f>IF(包装物料出入库明细!$E1317="","",包装物料出入库明细!$F1317)</f>
        <v/>
      </c>
      <c r="E1317" t="str">
        <f>IF(包装物料出入库明细!$E1317="","",包装物料出入库明细!$G1317)</f>
        <v/>
      </c>
      <c r="K1317" t="str">
        <f>IF(包装物料出入库明细!$D1317="","",包装物料出入库明细!$D1317)</f>
        <v/>
      </c>
      <c r="L1317">
        <f t="shared" si="497"/>
        <v>0</v>
      </c>
      <c r="M1317">
        <f t="shared" si="498"/>
        <v>9</v>
      </c>
      <c r="Q1317" t="str">
        <f>IF(周转筐出入库明细!$D1318="","",周转筐出入库明细!$D1318)</f>
        <v/>
      </c>
      <c r="R1317">
        <f t="shared" si="499"/>
        <v>0</v>
      </c>
      <c r="S1317">
        <f t="shared" si="500"/>
        <v>5</v>
      </c>
      <c r="W1317" t="str">
        <f>IF(周转筐出入库明细!$C1318="","",周转筐出入库明细!$C1318)</f>
        <v/>
      </c>
      <c r="X1317">
        <f t="shared" si="501"/>
        <v>0</v>
      </c>
      <c r="Y1317">
        <f t="shared" si="502"/>
        <v>12</v>
      </c>
      <c r="AI1317" t="str">
        <f>IF(OR(对接源_01水果筐数!$B118="",LEFT(对接源_01水果筐数!$C118,2)&lt;&gt;"自备"),"",对接源_01水果筐数!$B118)</f>
        <v/>
      </c>
      <c r="AJ1317">
        <f t="shared" si="503"/>
        <v>0</v>
      </c>
      <c r="AK1317">
        <f t="shared" si="504"/>
        <v>6</v>
      </c>
      <c r="CP1317">
        <f>IF(包装物料出入库明细!$D1317="",0,1)</f>
        <v>0</v>
      </c>
      <c r="CQ1317">
        <f t="shared" si="505"/>
        <v>37</v>
      </c>
      <c r="CS1317" t="str">
        <f>IF(OR(周转筐出入库明细!$C1318="",周转筐出入库明细!$F1318&lt;&gt;"采购入库"),"",周转筐出入库明细!$C1318)</f>
        <v/>
      </c>
      <c r="CT1317">
        <f t="shared" si="506"/>
        <v>0</v>
      </c>
      <c r="CU1317">
        <f t="shared" si="507"/>
        <v>1</v>
      </c>
    </row>
    <row r="1318" spans="1:99">
      <c r="A1318" t="str">
        <f>IF(包装物料出入库明细!$E1318="","",包装物料出入库明细!$E1318)</f>
        <v/>
      </c>
      <c r="B1318">
        <f t="shared" si="495"/>
        <v>0</v>
      </c>
      <c r="C1318">
        <f t="shared" si="496"/>
        <v>7</v>
      </c>
      <c r="D1318" t="str">
        <f>IF(包装物料出入库明细!$E1318="","",包装物料出入库明细!$F1318)</f>
        <v/>
      </c>
      <c r="E1318" t="str">
        <f>IF(包装物料出入库明细!$E1318="","",包装物料出入库明细!$G1318)</f>
        <v/>
      </c>
      <c r="K1318" t="str">
        <f>IF(包装物料出入库明细!$D1318="","",包装物料出入库明细!$D1318)</f>
        <v/>
      </c>
      <c r="L1318">
        <f t="shared" si="497"/>
        <v>0</v>
      </c>
      <c r="M1318">
        <f t="shared" si="498"/>
        <v>9</v>
      </c>
      <c r="Q1318" t="str">
        <f>IF(周转筐出入库明细!$D1319="","",周转筐出入库明细!$D1319)</f>
        <v/>
      </c>
      <c r="R1318">
        <f t="shared" si="499"/>
        <v>0</v>
      </c>
      <c r="S1318">
        <f t="shared" si="500"/>
        <v>5</v>
      </c>
      <c r="W1318" t="str">
        <f>IF(周转筐出入库明细!$C1319="","",周转筐出入库明细!$C1319)</f>
        <v/>
      </c>
      <c r="X1318">
        <f t="shared" si="501"/>
        <v>0</v>
      </c>
      <c r="Y1318">
        <f t="shared" si="502"/>
        <v>12</v>
      </c>
      <c r="AI1318" t="str">
        <f>IF(OR(对接源_01水果筐数!$B119="",LEFT(对接源_01水果筐数!$C119,2)&lt;&gt;"自备"),"",对接源_01水果筐数!$B119)</f>
        <v/>
      </c>
      <c r="AJ1318">
        <f t="shared" si="503"/>
        <v>0</v>
      </c>
      <c r="AK1318">
        <f t="shared" si="504"/>
        <v>6</v>
      </c>
      <c r="CP1318">
        <f>IF(包装物料出入库明细!$D1318="",0,1)</f>
        <v>0</v>
      </c>
      <c r="CQ1318">
        <f t="shared" si="505"/>
        <v>37</v>
      </c>
      <c r="CS1318" t="str">
        <f>IF(OR(周转筐出入库明细!$C1319="",周转筐出入库明细!$F1319&lt;&gt;"采购入库"),"",周转筐出入库明细!$C1319)</f>
        <v/>
      </c>
      <c r="CT1318">
        <f t="shared" si="506"/>
        <v>0</v>
      </c>
      <c r="CU1318">
        <f t="shared" si="507"/>
        <v>1</v>
      </c>
    </row>
    <row r="1319" spans="1:99">
      <c r="A1319" t="str">
        <f>IF(包装物料出入库明细!$E1319="","",包装物料出入库明细!$E1319)</f>
        <v/>
      </c>
      <c r="B1319">
        <f t="shared" si="495"/>
        <v>0</v>
      </c>
      <c r="C1319">
        <f t="shared" si="496"/>
        <v>7</v>
      </c>
      <c r="D1319" t="str">
        <f>IF(包装物料出入库明细!$E1319="","",包装物料出入库明细!$F1319)</f>
        <v/>
      </c>
      <c r="E1319" t="str">
        <f>IF(包装物料出入库明细!$E1319="","",包装物料出入库明细!$G1319)</f>
        <v/>
      </c>
      <c r="K1319" t="str">
        <f>IF(包装物料出入库明细!$D1319="","",包装物料出入库明细!$D1319)</f>
        <v/>
      </c>
      <c r="L1319">
        <f t="shared" si="497"/>
        <v>0</v>
      </c>
      <c r="M1319">
        <f t="shared" si="498"/>
        <v>9</v>
      </c>
      <c r="Q1319" t="str">
        <f>IF(周转筐出入库明细!$D1320="","",周转筐出入库明细!$D1320)</f>
        <v/>
      </c>
      <c r="R1319">
        <f t="shared" si="499"/>
        <v>0</v>
      </c>
      <c r="S1319">
        <f t="shared" si="500"/>
        <v>5</v>
      </c>
      <c r="W1319" t="str">
        <f>IF(周转筐出入库明细!$C1320="","",周转筐出入库明细!$C1320)</f>
        <v/>
      </c>
      <c r="X1319">
        <f t="shared" si="501"/>
        <v>0</v>
      </c>
      <c r="Y1319">
        <f t="shared" si="502"/>
        <v>12</v>
      </c>
      <c r="AI1319" t="str">
        <f>IF(OR(对接源_01水果筐数!$B120="",LEFT(对接源_01水果筐数!$C120,2)&lt;&gt;"自备"),"",对接源_01水果筐数!$B120)</f>
        <v/>
      </c>
      <c r="AJ1319">
        <f t="shared" si="503"/>
        <v>0</v>
      </c>
      <c r="AK1319">
        <f t="shared" si="504"/>
        <v>6</v>
      </c>
      <c r="CP1319">
        <f>IF(包装物料出入库明细!$D1319="",0,1)</f>
        <v>0</v>
      </c>
      <c r="CQ1319">
        <f t="shared" si="505"/>
        <v>37</v>
      </c>
      <c r="CS1319" t="str">
        <f>IF(OR(周转筐出入库明细!$C1320="",周转筐出入库明细!$F1320&lt;&gt;"采购入库"),"",周转筐出入库明细!$C1320)</f>
        <v/>
      </c>
      <c r="CT1319">
        <f t="shared" si="506"/>
        <v>0</v>
      </c>
      <c r="CU1319">
        <f t="shared" si="507"/>
        <v>1</v>
      </c>
    </row>
    <row r="1320" spans="1:99">
      <c r="A1320" t="str">
        <f>IF(包装物料出入库明细!$E1320="","",包装物料出入库明细!$E1320)</f>
        <v/>
      </c>
      <c r="B1320">
        <f t="shared" si="495"/>
        <v>0</v>
      </c>
      <c r="C1320">
        <f t="shared" si="496"/>
        <v>7</v>
      </c>
      <c r="D1320" t="str">
        <f>IF(包装物料出入库明细!$E1320="","",包装物料出入库明细!$F1320)</f>
        <v/>
      </c>
      <c r="E1320" t="str">
        <f>IF(包装物料出入库明细!$E1320="","",包装物料出入库明细!$G1320)</f>
        <v/>
      </c>
      <c r="K1320" t="str">
        <f>IF(包装物料出入库明细!$D1320="","",包装物料出入库明细!$D1320)</f>
        <v/>
      </c>
      <c r="L1320">
        <f t="shared" si="497"/>
        <v>0</v>
      </c>
      <c r="M1320">
        <f t="shared" si="498"/>
        <v>9</v>
      </c>
      <c r="Q1320" t="str">
        <f>IF(周转筐出入库明细!$D1321="","",周转筐出入库明细!$D1321)</f>
        <v/>
      </c>
      <c r="R1320">
        <f t="shared" si="499"/>
        <v>0</v>
      </c>
      <c r="S1320">
        <f t="shared" si="500"/>
        <v>5</v>
      </c>
      <c r="W1320" t="str">
        <f>IF(周转筐出入库明细!$C1321="","",周转筐出入库明细!$C1321)</f>
        <v/>
      </c>
      <c r="X1320">
        <f t="shared" si="501"/>
        <v>0</v>
      </c>
      <c r="Y1320">
        <f t="shared" si="502"/>
        <v>12</v>
      </c>
      <c r="AI1320" t="str">
        <f>IF(OR(对接源_01水果筐数!$B121="",LEFT(对接源_01水果筐数!$C121,2)&lt;&gt;"自备"),"",对接源_01水果筐数!$B121)</f>
        <v/>
      </c>
      <c r="AJ1320">
        <f t="shared" si="503"/>
        <v>0</v>
      </c>
      <c r="AK1320">
        <f t="shared" si="504"/>
        <v>6</v>
      </c>
      <c r="CP1320">
        <f>IF(包装物料出入库明细!$D1320="",0,1)</f>
        <v>0</v>
      </c>
      <c r="CQ1320">
        <f t="shared" si="505"/>
        <v>37</v>
      </c>
      <c r="CS1320" t="str">
        <f>IF(OR(周转筐出入库明细!$C1321="",周转筐出入库明细!$F1321&lt;&gt;"采购入库"),"",周转筐出入库明细!$C1321)</f>
        <v/>
      </c>
      <c r="CT1320">
        <f t="shared" si="506"/>
        <v>0</v>
      </c>
      <c r="CU1320">
        <f t="shared" si="507"/>
        <v>1</v>
      </c>
    </row>
    <row r="1321" spans="1:99">
      <c r="A1321" t="str">
        <f>IF(包装物料出入库明细!$E1321="","",包装物料出入库明细!$E1321)</f>
        <v/>
      </c>
      <c r="B1321">
        <f t="shared" si="495"/>
        <v>0</v>
      </c>
      <c r="C1321">
        <f t="shared" si="496"/>
        <v>7</v>
      </c>
      <c r="D1321" t="str">
        <f>IF(包装物料出入库明细!$E1321="","",包装物料出入库明细!$F1321)</f>
        <v/>
      </c>
      <c r="E1321" t="str">
        <f>IF(包装物料出入库明细!$E1321="","",包装物料出入库明细!$G1321)</f>
        <v/>
      </c>
      <c r="K1321" t="str">
        <f>IF(包装物料出入库明细!$D1321="","",包装物料出入库明细!$D1321)</f>
        <v/>
      </c>
      <c r="L1321">
        <f t="shared" si="497"/>
        <v>0</v>
      </c>
      <c r="M1321">
        <f t="shared" si="498"/>
        <v>9</v>
      </c>
      <c r="Q1321" t="str">
        <f>IF(周转筐出入库明细!$D1322="","",周转筐出入库明细!$D1322)</f>
        <v/>
      </c>
      <c r="R1321">
        <f t="shared" si="499"/>
        <v>0</v>
      </c>
      <c r="S1321">
        <f t="shared" si="500"/>
        <v>5</v>
      </c>
      <c r="W1321" t="str">
        <f>IF(周转筐出入库明细!$C1322="","",周转筐出入库明细!$C1322)</f>
        <v/>
      </c>
      <c r="X1321">
        <f t="shared" si="501"/>
        <v>0</v>
      </c>
      <c r="Y1321">
        <f t="shared" si="502"/>
        <v>12</v>
      </c>
      <c r="AI1321" t="str">
        <f>IF(OR(对接源_01水果筐数!$B122="",LEFT(对接源_01水果筐数!$C122,2)&lt;&gt;"自备"),"",对接源_01水果筐数!$B122)</f>
        <v/>
      </c>
      <c r="AJ1321">
        <f t="shared" si="503"/>
        <v>0</v>
      </c>
      <c r="AK1321">
        <f t="shared" si="504"/>
        <v>6</v>
      </c>
      <c r="CP1321">
        <f>IF(包装物料出入库明细!$D1321="",0,1)</f>
        <v>0</v>
      </c>
      <c r="CQ1321">
        <f t="shared" si="505"/>
        <v>37</v>
      </c>
      <c r="CS1321" t="str">
        <f>IF(OR(周转筐出入库明细!$C1322="",周转筐出入库明细!$F1322&lt;&gt;"采购入库"),"",周转筐出入库明细!$C1322)</f>
        <v/>
      </c>
      <c r="CT1321">
        <f t="shared" si="506"/>
        <v>0</v>
      </c>
      <c r="CU1321">
        <f t="shared" si="507"/>
        <v>1</v>
      </c>
    </row>
    <row r="1322" spans="1:99">
      <c r="A1322" t="str">
        <f>IF(包装物料出入库明细!$E1322="","",包装物料出入库明细!$E1322)</f>
        <v/>
      </c>
      <c r="B1322">
        <f t="shared" si="495"/>
        <v>0</v>
      </c>
      <c r="C1322">
        <f t="shared" si="496"/>
        <v>7</v>
      </c>
      <c r="D1322" t="str">
        <f>IF(包装物料出入库明细!$E1322="","",包装物料出入库明细!$F1322)</f>
        <v/>
      </c>
      <c r="E1322" t="str">
        <f>IF(包装物料出入库明细!$E1322="","",包装物料出入库明细!$G1322)</f>
        <v/>
      </c>
      <c r="K1322" t="str">
        <f>IF(包装物料出入库明细!$D1322="","",包装物料出入库明细!$D1322)</f>
        <v/>
      </c>
      <c r="L1322">
        <f t="shared" si="497"/>
        <v>0</v>
      </c>
      <c r="M1322">
        <f t="shared" si="498"/>
        <v>9</v>
      </c>
      <c r="Q1322" t="str">
        <f>IF(周转筐出入库明细!$D1323="","",周转筐出入库明细!$D1323)</f>
        <v/>
      </c>
      <c r="R1322">
        <f t="shared" si="499"/>
        <v>0</v>
      </c>
      <c r="S1322">
        <f t="shared" si="500"/>
        <v>5</v>
      </c>
      <c r="W1322" t="str">
        <f>IF(周转筐出入库明细!$C1323="","",周转筐出入库明细!$C1323)</f>
        <v/>
      </c>
      <c r="X1322">
        <f t="shared" si="501"/>
        <v>0</v>
      </c>
      <c r="Y1322">
        <f t="shared" si="502"/>
        <v>12</v>
      </c>
      <c r="AI1322" t="str">
        <f>IF(OR(对接源_01水果筐数!$B123="",LEFT(对接源_01水果筐数!$C123,2)&lt;&gt;"自备"),"",对接源_01水果筐数!$B123)</f>
        <v/>
      </c>
      <c r="AJ1322">
        <f t="shared" si="503"/>
        <v>0</v>
      </c>
      <c r="AK1322">
        <f t="shared" si="504"/>
        <v>6</v>
      </c>
      <c r="CP1322">
        <f>IF(包装物料出入库明细!$D1322="",0,1)</f>
        <v>0</v>
      </c>
      <c r="CQ1322">
        <f t="shared" si="505"/>
        <v>37</v>
      </c>
      <c r="CS1322" t="str">
        <f>IF(OR(周转筐出入库明细!$C1323="",周转筐出入库明细!$F1323&lt;&gt;"采购入库"),"",周转筐出入库明细!$C1323)</f>
        <v/>
      </c>
      <c r="CT1322">
        <f t="shared" si="506"/>
        <v>0</v>
      </c>
      <c r="CU1322">
        <f t="shared" si="507"/>
        <v>1</v>
      </c>
    </row>
    <row r="1323" spans="1:99">
      <c r="A1323" t="str">
        <f>IF(包装物料出入库明细!$E1323="","",包装物料出入库明细!$E1323)</f>
        <v/>
      </c>
      <c r="B1323">
        <f t="shared" si="495"/>
        <v>0</v>
      </c>
      <c r="C1323">
        <f t="shared" si="496"/>
        <v>7</v>
      </c>
      <c r="D1323" t="str">
        <f>IF(包装物料出入库明细!$E1323="","",包装物料出入库明细!$F1323)</f>
        <v/>
      </c>
      <c r="E1323" t="str">
        <f>IF(包装物料出入库明细!$E1323="","",包装物料出入库明细!$G1323)</f>
        <v/>
      </c>
      <c r="K1323" t="str">
        <f>IF(包装物料出入库明细!$D1323="","",包装物料出入库明细!$D1323)</f>
        <v/>
      </c>
      <c r="L1323">
        <f t="shared" si="497"/>
        <v>0</v>
      </c>
      <c r="M1323">
        <f t="shared" si="498"/>
        <v>9</v>
      </c>
      <c r="Q1323" t="str">
        <f>IF(周转筐出入库明细!$D1324="","",周转筐出入库明细!$D1324)</f>
        <v/>
      </c>
      <c r="R1323">
        <f t="shared" si="499"/>
        <v>0</v>
      </c>
      <c r="S1323">
        <f t="shared" si="500"/>
        <v>5</v>
      </c>
      <c r="W1323" t="str">
        <f>IF(周转筐出入库明细!$C1324="","",周转筐出入库明细!$C1324)</f>
        <v/>
      </c>
      <c r="X1323">
        <f t="shared" si="501"/>
        <v>0</v>
      </c>
      <c r="Y1323">
        <f t="shared" si="502"/>
        <v>12</v>
      </c>
      <c r="AI1323" t="str">
        <f>IF(OR(对接源_01水果筐数!$B124="",LEFT(对接源_01水果筐数!$C124,2)&lt;&gt;"自备"),"",对接源_01水果筐数!$B124)</f>
        <v/>
      </c>
      <c r="AJ1323">
        <f t="shared" si="503"/>
        <v>0</v>
      </c>
      <c r="AK1323">
        <f t="shared" si="504"/>
        <v>6</v>
      </c>
      <c r="CP1323">
        <f>IF(包装物料出入库明细!$D1323="",0,1)</f>
        <v>0</v>
      </c>
      <c r="CQ1323">
        <f t="shared" si="505"/>
        <v>37</v>
      </c>
      <c r="CS1323" t="str">
        <f>IF(OR(周转筐出入库明细!$C1324="",周转筐出入库明细!$F1324&lt;&gt;"采购入库"),"",周转筐出入库明细!$C1324)</f>
        <v/>
      </c>
      <c r="CT1323">
        <f t="shared" si="506"/>
        <v>0</v>
      </c>
      <c r="CU1323">
        <f t="shared" si="507"/>
        <v>1</v>
      </c>
    </row>
    <row r="1324" spans="1:99">
      <c r="A1324" t="str">
        <f>IF(包装物料出入库明细!$E1324="","",包装物料出入库明细!$E1324)</f>
        <v/>
      </c>
      <c r="B1324">
        <f t="shared" si="495"/>
        <v>0</v>
      </c>
      <c r="C1324">
        <f t="shared" si="496"/>
        <v>7</v>
      </c>
      <c r="D1324" t="str">
        <f>IF(包装物料出入库明细!$E1324="","",包装物料出入库明细!$F1324)</f>
        <v/>
      </c>
      <c r="E1324" t="str">
        <f>IF(包装物料出入库明细!$E1324="","",包装物料出入库明细!$G1324)</f>
        <v/>
      </c>
      <c r="K1324" t="str">
        <f>IF(包装物料出入库明细!$D1324="","",包装物料出入库明细!$D1324)</f>
        <v/>
      </c>
      <c r="L1324">
        <f t="shared" si="497"/>
        <v>0</v>
      </c>
      <c r="M1324">
        <f t="shared" si="498"/>
        <v>9</v>
      </c>
      <c r="Q1324" t="str">
        <f>IF(周转筐出入库明细!$D1325="","",周转筐出入库明细!$D1325)</f>
        <v/>
      </c>
      <c r="R1324">
        <f t="shared" si="499"/>
        <v>0</v>
      </c>
      <c r="S1324">
        <f t="shared" si="500"/>
        <v>5</v>
      </c>
      <c r="W1324" t="str">
        <f>IF(周转筐出入库明细!$C1325="","",周转筐出入库明细!$C1325)</f>
        <v/>
      </c>
      <c r="X1324">
        <f t="shared" si="501"/>
        <v>0</v>
      </c>
      <c r="Y1324">
        <f t="shared" si="502"/>
        <v>12</v>
      </c>
      <c r="AI1324" t="str">
        <f>IF(OR(对接源_01水果筐数!$B125="",LEFT(对接源_01水果筐数!$C125,2)&lt;&gt;"自备"),"",对接源_01水果筐数!$B125)</f>
        <v/>
      </c>
      <c r="AJ1324">
        <f t="shared" si="503"/>
        <v>0</v>
      </c>
      <c r="AK1324">
        <f t="shared" si="504"/>
        <v>6</v>
      </c>
      <c r="CP1324">
        <f>IF(包装物料出入库明细!$D1324="",0,1)</f>
        <v>0</v>
      </c>
      <c r="CQ1324">
        <f t="shared" si="505"/>
        <v>37</v>
      </c>
      <c r="CS1324" t="str">
        <f>IF(OR(周转筐出入库明细!$C1325="",周转筐出入库明细!$F1325&lt;&gt;"采购入库"),"",周转筐出入库明细!$C1325)</f>
        <v/>
      </c>
      <c r="CT1324">
        <f t="shared" si="506"/>
        <v>0</v>
      </c>
      <c r="CU1324">
        <f t="shared" si="507"/>
        <v>1</v>
      </c>
    </row>
    <row r="1325" spans="1:99">
      <c r="A1325" t="str">
        <f>IF(包装物料出入库明细!$E1325="","",包装物料出入库明细!$E1325)</f>
        <v/>
      </c>
      <c r="B1325">
        <f t="shared" si="495"/>
        <v>0</v>
      </c>
      <c r="C1325">
        <f t="shared" si="496"/>
        <v>7</v>
      </c>
      <c r="D1325" t="str">
        <f>IF(包装物料出入库明细!$E1325="","",包装物料出入库明细!$F1325)</f>
        <v/>
      </c>
      <c r="E1325" t="str">
        <f>IF(包装物料出入库明细!$E1325="","",包装物料出入库明细!$G1325)</f>
        <v/>
      </c>
      <c r="K1325" t="str">
        <f>IF(包装物料出入库明细!$D1325="","",包装物料出入库明细!$D1325)</f>
        <v/>
      </c>
      <c r="L1325">
        <f t="shared" si="497"/>
        <v>0</v>
      </c>
      <c r="M1325">
        <f t="shared" si="498"/>
        <v>9</v>
      </c>
      <c r="Q1325" t="str">
        <f>IF(周转筐出入库明细!$D1326="","",周转筐出入库明细!$D1326)</f>
        <v/>
      </c>
      <c r="R1325">
        <f t="shared" si="499"/>
        <v>0</v>
      </c>
      <c r="S1325">
        <f t="shared" si="500"/>
        <v>5</v>
      </c>
      <c r="W1325" t="str">
        <f>IF(周转筐出入库明细!$C1326="","",周转筐出入库明细!$C1326)</f>
        <v/>
      </c>
      <c r="X1325">
        <f t="shared" si="501"/>
        <v>0</v>
      </c>
      <c r="Y1325">
        <f t="shared" si="502"/>
        <v>12</v>
      </c>
      <c r="AI1325" t="str">
        <f>IF(OR(对接源_01水果筐数!$B126="",LEFT(对接源_01水果筐数!$C126,2)&lt;&gt;"自备"),"",对接源_01水果筐数!$B126)</f>
        <v/>
      </c>
      <c r="AJ1325">
        <f t="shared" si="503"/>
        <v>0</v>
      </c>
      <c r="AK1325">
        <f t="shared" si="504"/>
        <v>6</v>
      </c>
      <c r="CP1325">
        <f>IF(包装物料出入库明细!$D1325="",0,1)</f>
        <v>0</v>
      </c>
      <c r="CQ1325">
        <f t="shared" si="505"/>
        <v>37</v>
      </c>
      <c r="CS1325" t="str">
        <f>IF(OR(周转筐出入库明细!$C1326="",周转筐出入库明细!$F1326&lt;&gt;"采购入库"),"",周转筐出入库明细!$C1326)</f>
        <v/>
      </c>
      <c r="CT1325">
        <f t="shared" si="506"/>
        <v>0</v>
      </c>
      <c r="CU1325">
        <f t="shared" si="507"/>
        <v>1</v>
      </c>
    </row>
    <row r="1326" spans="1:99">
      <c r="A1326" t="str">
        <f>IF(包装物料出入库明细!$E1326="","",包装物料出入库明细!$E1326)</f>
        <v/>
      </c>
      <c r="B1326">
        <f t="shared" si="495"/>
        <v>0</v>
      </c>
      <c r="C1326">
        <f t="shared" si="496"/>
        <v>7</v>
      </c>
      <c r="D1326" t="str">
        <f>IF(包装物料出入库明细!$E1326="","",包装物料出入库明细!$F1326)</f>
        <v/>
      </c>
      <c r="E1326" t="str">
        <f>IF(包装物料出入库明细!$E1326="","",包装物料出入库明细!$G1326)</f>
        <v/>
      </c>
      <c r="K1326" t="str">
        <f>IF(包装物料出入库明细!$D1326="","",包装物料出入库明细!$D1326)</f>
        <v/>
      </c>
      <c r="L1326">
        <f t="shared" si="497"/>
        <v>0</v>
      </c>
      <c r="M1326">
        <f t="shared" si="498"/>
        <v>9</v>
      </c>
      <c r="Q1326" t="str">
        <f>IF(周转筐出入库明细!$D1327="","",周转筐出入库明细!$D1327)</f>
        <v/>
      </c>
      <c r="R1326">
        <f t="shared" si="499"/>
        <v>0</v>
      </c>
      <c r="S1326">
        <f t="shared" si="500"/>
        <v>5</v>
      </c>
      <c r="W1326" t="str">
        <f>IF(周转筐出入库明细!$C1327="","",周转筐出入库明细!$C1327)</f>
        <v/>
      </c>
      <c r="X1326">
        <f t="shared" si="501"/>
        <v>0</v>
      </c>
      <c r="Y1326">
        <f t="shared" si="502"/>
        <v>12</v>
      </c>
      <c r="AI1326" t="str">
        <f>IF(OR(对接源_01水果筐数!$B127="",LEFT(对接源_01水果筐数!$C127,2)&lt;&gt;"自备"),"",对接源_01水果筐数!$B127)</f>
        <v/>
      </c>
      <c r="AJ1326">
        <f t="shared" si="503"/>
        <v>0</v>
      </c>
      <c r="AK1326">
        <f t="shared" si="504"/>
        <v>6</v>
      </c>
      <c r="CP1326">
        <f>IF(包装物料出入库明细!$D1326="",0,1)</f>
        <v>0</v>
      </c>
      <c r="CQ1326">
        <f t="shared" si="505"/>
        <v>37</v>
      </c>
      <c r="CS1326" t="str">
        <f>IF(OR(周转筐出入库明细!$C1327="",周转筐出入库明细!$F1327&lt;&gt;"采购入库"),"",周转筐出入库明细!$C1327)</f>
        <v/>
      </c>
      <c r="CT1326">
        <f t="shared" si="506"/>
        <v>0</v>
      </c>
      <c r="CU1326">
        <f t="shared" si="507"/>
        <v>1</v>
      </c>
    </row>
    <row r="1327" spans="1:99">
      <c r="A1327" t="str">
        <f>IF(包装物料出入库明细!$E1327="","",包装物料出入库明细!$E1327)</f>
        <v/>
      </c>
      <c r="B1327">
        <f t="shared" si="495"/>
        <v>0</v>
      </c>
      <c r="C1327">
        <f t="shared" si="496"/>
        <v>7</v>
      </c>
      <c r="D1327" t="str">
        <f>IF(包装物料出入库明细!$E1327="","",包装物料出入库明细!$F1327)</f>
        <v/>
      </c>
      <c r="E1327" t="str">
        <f>IF(包装物料出入库明细!$E1327="","",包装物料出入库明细!$G1327)</f>
        <v/>
      </c>
      <c r="K1327" t="str">
        <f>IF(包装物料出入库明细!$D1327="","",包装物料出入库明细!$D1327)</f>
        <v/>
      </c>
      <c r="L1327">
        <f t="shared" si="497"/>
        <v>0</v>
      </c>
      <c r="M1327">
        <f t="shared" si="498"/>
        <v>9</v>
      </c>
      <c r="Q1327" t="str">
        <f>IF(周转筐出入库明细!$D1328="","",周转筐出入库明细!$D1328)</f>
        <v/>
      </c>
      <c r="R1327">
        <f t="shared" si="499"/>
        <v>0</v>
      </c>
      <c r="S1327">
        <f t="shared" si="500"/>
        <v>5</v>
      </c>
      <c r="W1327" t="str">
        <f>IF(周转筐出入库明细!$C1328="","",周转筐出入库明细!$C1328)</f>
        <v/>
      </c>
      <c r="X1327">
        <f t="shared" si="501"/>
        <v>0</v>
      </c>
      <c r="Y1327">
        <f t="shared" si="502"/>
        <v>12</v>
      </c>
      <c r="AI1327" t="str">
        <f>IF(OR(对接源_01水果筐数!$B128="",LEFT(对接源_01水果筐数!$C128,2)&lt;&gt;"自备"),"",对接源_01水果筐数!$B128)</f>
        <v/>
      </c>
      <c r="AJ1327">
        <f t="shared" si="503"/>
        <v>0</v>
      </c>
      <c r="AK1327">
        <f t="shared" si="504"/>
        <v>6</v>
      </c>
      <c r="CP1327">
        <f>IF(包装物料出入库明细!$D1327="",0,1)</f>
        <v>0</v>
      </c>
      <c r="CQ1327">
        <f t="shared" si="505"/>
        <v>37</v>
      </c>
      <c r="CS1327" t="str">
        <f>IF(OR(周转筐出入库明细!$C1328="",周转筐出入库明细!$F1328&lt;&gt;"采购入库"),"",周转筐出入库明细!$C1328)</f>
        <v/>
      </c>
      <c r="CT1327">
        <f t="shared" si="506"/>
        <v>0</v>
      </c>
      <c r="CU1327">
        <f t="shared" si="507"/>
        <v>1</v>
      </c>
    </row>
    <row r="1328" spans="1:99">
      <c r="A1328" t="str">
        <f>IF(包装物料出入库明细!$E1328="","",包装物料出入库明细!$E1328)</f>
        <v/>
      </c>
      <c r="B1328">
        <f t="shared" si="495"/>
        <v>0</v>
      </c>
      <c r="C1328">
        <f t="shared" si="496"/>
        <v>7</v>
      </c>
      <c r="D1328" t="str">
        <f>IF(包装物料出入库明细!$E1328="","",包装物料出入库明细!$F1328)</f>
        <v/>
      </c>
      <c r="E1328" t="str">
        <f>IF(包装物料出入库明细!$E1328="","",包装物料出入库明细!$G1328)</f>
        <v/>
      </c>
      <c r="K1328" t="str">
        <f>IF(包装物料出入库明细!$D1328="","",包装物料出入库明细!$D1328)</f>
        <v/>
      </c>
      <c r="L1328">
        <f t="shared" si="497"/>
        <v>0</v>
      </c>
      <c r="M1328">
        <f t="shared" si="498"/>
        <v>9</v>
      </c>
      <c r="Q1328" t="str">
        <f>IF(周转筐出入库明细!$D1329="","",周转筐出入库明细!$D1329)</f>
        <v/>
      </c>
      <c r="R1328">
        <f t="shared" si="499"/>
        <v>0</v>
      </c>
      <c r="S1328">
        <f t="shared" si="500"/>
        <v>5</v>
      </c>
      <c r="W1328" t="str">
        <f>IF(周转筐出入库明细!$C1329="","",周转筐出入库明细!$C1329)</f>
        <v/>
      </c>
      <c r="X1328">
        <f t="shared" si="501"/>
        <v>0</v>
      </c>
      <c r="Y1328">
        <f t="shared" si="502"/>
        <v>12</v>
      </c>
      <c r="AI1328" t="str">
        <f>IF(OR(对接源_01水果筐数!$B129="",LEFT(对接源_01水果筐数!$C129,2)&lt;&gt;"自备"),"",对接源_01水果筐数!$B129)</f>
        <v/>
      </c>
      <c r="AJ1328">
        <f t="shared" si="503"/>
        <v>0</v>
      </c>
      <c r="AK1328">
        <f t="shared" si="504"/>
        <v>6</v>
      </c>
      <c r="CP1328">
        <f>IF(包装物料出入库明细!$D1328="",0,1)</f>
        <v>0</v>
      </c>
      <c r="CQ1328">
        <f t="shared" si="505"/>
        <v>37</v>
      </c>
      <c r="CS1328" t="str">
        <f>IF(OR(周转筐出入库明细!$C1329="",周转筐出入库明细!$F1329&lt;&gt;"采购入库"),"",周转筐出入库明细!$C1329)</f>
        <v/>
      </c>
      <c r="CT1328">
        <f t="shared" si="506"/>
        <v>0</v>
      </c>
      <c r="CU1328">
        <f t="shared" si="507"/>
        <v>1</v>
      </c>
    </row>
    <row r="1329" spans="1:99">
      <c r="A1329" t="str">
        <f>IF(包装物料出入库明细!$E1329="","",包装物料出入库明细!$E1329)</f>
        <v/>
      </c>
      <c r="B1329">
        <f t="shared" si="495"/>
        <v>0</v>
      </c>
      <c r="C1329">
        <f t="shared" si="496"/>
        <v>7</v>
      </c>
      <c r="D1329" t="str">
        <f>IF(包装物料出入库明细!$E1329="","",包装物料出入库明细!$F1329)</f>
        <v/>
      </c>
      <c r="E1329" t="str">
        <f>IF(包装物料出入库明细!$E1329="","",包装物料出入库明细!$G1329)</f>
        <v/>
      </c>
      <c r="K1329" t="str">
        <f>IF(包装物料出入库明细!$D1329="","",包装物料出入库明细!$D1329)</f>
        <v/>
      </c>
      <c r="L1329">
        <f t="shared" si="497"/>
        <v>0</v>
      </c>
      <c r="M1329">
        <f t="shared" si="498"/>
        <v>9</v>
      </c>
      <c r="Q1329" t="str">
        <f>IF(周转筐出入库明细!$D1330="","",周转筐出入库明细!$D1330)</f>
        <v/>
      </c>
      <c r="R1329">
        <f t="shared" si="499"/>
        <v>0</v>
      </c>
      <c r="S1329">
        <f t="shared" si="500"/>
        <v>5</v>
      </c>
      <c r="W1329" t="str">
        <f>IF(周转筐出入库明细!$C1330="","",周转筐出入库明细!$C1330)</f>
        <v/>
      </c>
      <c r="X1329">
        <f t="shared" si="501"/>
        <v>0</v>
      </c>
      <c r="Y1329">
        <f t="shared" si="502"/>
        <v>12</v>
      </c>
      <c r="AI1329" t="str">
        <f>IF(OR(对接源_01水果筐数!$B130="",LEFT(对接源_01水果筐数!$C130,2)&lt;&gt;"自备"),"",对接源_01水果筐数!$B130)</f>
        <v/>
      </c>
      <c r="AJ1329">
        <f t="shared" si="503"/>
        <v>0</v>
      </c>
      <c r="AK1329">
        <f t="shared" si="504"/>
        <v>6</v>
      </c>
      <c r="CP1329">
        <f>IF(包装物料出入库明细!$D1329="",0,1)</f>
        <v>0</v>
      </c>
      <c r="CQ1329">
        <f t="shared" si="505"/>
        <v>37</v>
      </c>
      <c r="CS1329" t="str">
        <f>IF(OR(周转筐出入库明细!$C1330="",周转筐出入库明细!$F1330&lt;&gt;"采购入库"),"",周转筐出入库明细!$C1330)</f>
        <v/>
      </c>
      <c r="CT1329">
        <f t="shared" si="506"/>
        <v>0</v>
      </c>
      <c r="CU1329">
        <f t="shared" si="507"/>
        <v>1</v>
      </c>
    </row>
    <row r="1330" spans="1:99">
      <c r="A1330" t="str">
        <f>IF(包装物料出入库明细!$E1330="","",包装物料出入库明细!$E1330)</f>
        <v/>
      </c>
      <c r="B1330">
        <f t="shared" si="495"/>
        <v>0</v>
      </c>
      <c r="C1330">
        <f t="shared" si="496"/>
        <v>7</v>
      </c>
      <c r="D1330" t="str">
        <f>IF(包装物料出入库明细!$E1330="","",包装物料出入库明细!$F1330)</f>
        <v/>
      </c>
      <c r="E1330" t="str">
        <f>IF(包装物料出入库明细!$E1330="","",包装物料出入库明细!$G1330)</f>
        <v/>
      </c>
      <c r="K1330" t="str">
        <f>IF(包装物料出入库明细!$D1330="","",包装物料出入库明细!$D1330)</f>
        <v/>
      </c>
      <c r="L1330">
        <f t="shared" si="497"/>
        <v>0</v>
      </c>
      <c r="M1330">
        <f t="shared" si="498"/>
        <v>9</v>
      </c>
      <c r="Q1330" t="str">
        <f>IF(周转筐出入库明细!$D1331="","",周转筐出入库明细!$D1331)</f>
        <v/>
      </c>
      <c r="R1330">
        <f t="shared" si="499"/>
        <v>0</v>
      </c>
      <c r="S1330">
        <f t="shared" si="500"/>
        <v>5</v>
      </c>
      <c r="W1330" t="str">
        <f>IF(周转筐出入库明细!$C1331="","",周转筐出入库明细!$C1331)</f>
        <v/>
      </c>
      <c r="X1330">
        <f t="shared" si="501"/>
        <v>0</v>
      </c>
      <c r="Y1330">
        <f t="shared" si="502"/>
        <v>12</v>
      </c>
      <c r="AI1330" t="str">
        <f>IF(OR(对接源_01水果筐数!$B131="",LEFT(对接源_01水果筐数!$C131,2)&lt;&gt;"自备"),"",对接源_01水果筐数!$B131)</f>
        <v/>
      </c>
      <c r="AJ1330">
        <f t="shared" si="503"/>
        <v>0</v>
      </c>
      <c r="AK1330">
        <f t="shared" si="504"/>
        <v>6</v>
      </c>
      <c r="CP1330">
        <f>IF(包装物料出入库明细!$D1330="",0,1)</f>
        <v>0</v>
      </c>
      <c r="CQ1330">
        <f t="shared" si="505"/>
        <v>37</v>
      </c>
      <c r="CS1330" t="str">
        <f>IF(OR(周转筐出入库明细!$C1331="",周转筐出入库明细!$F1331&lt;&gt;"采购入库"),"",周转筐出入库明细!$C1331)</f>
        <v/>
      </c>
      <c r="CT1330">
        <f t="shared" si="506"/>
        <v>0</v>
      </c>
      <c r="CU1330">
        <f t="shared" si="507"/>
        <v>1</v>
      </c>
    </row>
    <row r="1331" spans="1:99">
      <c r="A1331" t="str">
        <f>IF(包装物料出入库明细!$E1331="","",包装物料出入库明细!$E1331)</f>
        <v/>
      </c>
      <c r="B1331">
        <f t="shared" si="495"/>
        <v>0</v>
      </c>
      <c r="C1331">
        <f t="shared" si="496"/>
        <v>7</v>
      </c>
      <c r="D1331" t="str">
        <f>IF(包装物料出入库明细!$E1331="","",包装物料出入库明细!$F1331)</f>
        <v/>
      </c>
      <c r="E1331" t="str">
        <f>IF(包装物料出入库明细!$E1331="","",包装物料出入库明细!$G1331)</f>
        <v/>
      </c>
      <c r="K1331" t="str">
        <f>IF(包装物料出入库明细!$D1331="","",包装物料出入库明细!$D1331)</f>
        <v/>
      </c>
      <c r="L1331">
        <f t="shared" si="497"/>
        <v>0</v>
      </c>
      <c r="M1331">
        <f t="shared" si="498"/>
        <v>9</v>
      </c>
      <c r="Q1331" t="str">
        <f>IF(周转筐出入库明细!$D1332="","",周转筐出入库明细!$D1332)</f>
        <v/>
      </c>
      <c r="R1331">
        <f t="shared" si="499"/>
        <v>0</v>
      </c>
      <c r="S1331">
        <f t="shared" si="500"/>
        <v>5</v>
      </c>
      <c r="W1331" t="str">
        <f>IF(周转筐出入库明细!$C1332="","",周转筐出入库明细!$C1332)</f>
        <v/>
      </c>
      <c r="X1331">
        <f t="shared" si="501"/>
        <v>0</v>
      </c>
      <c r="Y1331">
        <f t="shared" si="502"/>
        <v>12</v>
      </c>
      <c r="AI1331" t="str">
        <f>IF(OR(对接源_01水果筐数!$B132="",LEFT(对接源_01水果筐数!$C132,2)&lt;&gt;"自备"),"",对接源_01水果筐数!$B132)</f>
        <v/>
      </c>
      <c r="AJ1331">
        <f t="shared" si="503"/>
        <v>0</v>
      </c>
      <c r="AK1331">
        <f t="shared" si="504"/>
        <v>6</v>
      </c>
      <c r="CP1331">
        <f>IF(包装物料出入库明细!$D1331="",0,1)</f>
        <v>0</v>
      </c>
      <c r="CQ1331">
        <f t="shared" si="505"/>
        <v>37</v>
      </c>
      <c r="CS1331" t="str">
        <f>IF(OR(周转筐出入库明细!$C1332="",周转筐出入库明细!$F1332&lt;&gt;"采购入库"),"",周转筐出入库明细!$C1332)</f>
        <v/>
      </c>
      <c r="CT1331">
        <f t="shared" si="506"/>
        <v>0</v>
      </c>
      <c r="CU1331">
        <f t="shared" si="507"/>
        <v>1</v>
      </c>
    </row>
    <row r="1332" spans="1:99">
      <c r="A1332" t="str">
        <f>IF(包装物料出入库明细!$E1332="","",包装物料出入库明细!$E1332)</f>
        <v/>
      </c>
      <c r="B1332">
        <f t="shared" si="495"/>
        <v>0</v>
      </c>
      <c r="C1332">
        <f t="shared" si="496"/>
        <v>7</v>
      </c>
      <c r="D1332" t="str">
        <f>IF(包装物料出入库明细!$E1332="","",包装物料出入库明细!$F1332)</f>
        <v/>
      </c>
      <c r="E1332" t="str">
        <f>IF(包装物料出入库明细!$E1332="","",包装物料出入库明细!$G1332)</f>
        <v/>
      </c>
      <c r="K1332" t="str">
        <f>IF(包装物料出入库明细!$D1332="","",包装物料出入库明细!$D1332)</f>
        <v/>
      </c>
      <c r="L1332">
        <f t="shared" si="497"/>
        <v>0</v>
      </c>
      <c r="M1332">
        <f t="shared" si="498"/>
        <v>9</v>
      </c>
      <c r="Q1332" t="str">
        <f>IF(周转筐出入库明细!$D1333="","",周转筐出入库明细!$D1333)</f>
        <v/>
      </c>
      <c r="R1332">
        <f t="shared" si="499"/>
        <v>0</v>
      </c>
      <c r="S1332">
        <f t="shared" si="500"/>
        <v>5</v>
      </c>
      <c r="W1332" t="str">
        <f>IF(周转筐出入库明细!$C1333="","",周转筐出入库明细!$C1333)</f>
        <v/>
      </c>
      <c r="X1332">
        <f t="shared" si="501"/>
        <v>0</v>
      </c>
      <c r="Y1332">
        <f t="shared" si="502"/>
        <v>12</v>
      </c>
      <c r="AI1332" t="str">
        <f>IF(OR(对接源_01水果筐数!$B133="",LEFT(对接源_01水果筐数!$C133,2)&lt;&gt;"自备"),"",对接源_01水果筐数!$B133)</f>
        <v/>
      </c>
      <c r="AJ1332">
        <f t="shared" si="503"/>
        <v>0</v>
      </c>
      <c r="AK1332">
        <f t="shared" si="504"/>
        <v>6</v>
      </c>
      <c r="CP1332">
        <f>IF(包装物料出入库明细!$D1332="",0,1)</f>
        <v>0</v>
      </c>
      <c r="CQ1332">
        <f t="shared" si="505"/>
        <v>37</v>
      </c>
      <c r="CS1332" t="str">
        <f>IF(OR(周转筐出入库明细!$C1333="",周转筐出入库明细!$F1333&lt;&gt;"采购入库"),"",周转筐出入库明细!$C1333)</f>
        <v/>
      </c>
      <c r="CT1332">
        <f t="shared" si="506"/>
        <v>0</v>
      </c>
      <c r="CU1332">
        <f t="shared" si="507"/>
        <v>1</v>
      </c>
    </row>
    <row r="1333" spans="1:99">
      <c r="A1333" t="str">
        <f>IF(包装物料出入库明细!$E1333="","",包装物料出入库明细!$E1333)</f>
        <v/>
      </c>
      <c r="B1333">
        <f t="shared" si="495"/>
        <v>0</v>
      </c>
      <c r="C1333">
        <f t="shared" si="496"/>
        <v>7</v>
      </c>
      <c r="D1333" t="str">
        <f>IF(包装物料出入库明细!$E1333="","",包装物料出入库明细!$F1333)</f>
        <v/>
      </c>
      <c r="E1333" t="str">
        <f>IF(包装物料出入库明细!$E1333="","",包装物料出入库明细!$G1333)</f>
        <v/>
      </c>
      <c r="K1333" t="str">
        <f>IF(包装物料出入库明细!$D1333="","",包装物料出入库明细!$D1333)</f>
        <v/>
      </c>
      <c r="L1333">
        <f t="shared" si="497"/>
        <v>0</v>
      </c>
      <c r="M1333">
        <f t="shared" si="498"/>
        <v>9</v>
      </c>
      <c r="Q1333" t="str">
        <f>IF(周转筐出入库明细!$D1334="","",周转筐出入库明细!$D1334)</f>
        <v/>
      </c>
      <c r="R1333">
        <f t="shared" si="499"/>
        <v>0</v>
      </c>
      <c r="S1333">
        <f t="shared" si="500"/>
        <v>5</v>
      </c>
      <c r="W1333" t="str">
        <f>IF(周转筐出入库明细!$C1334="","",周转筐出入库明细!$C1334)</f>
        <v/>
      </c>
      <c r="X1333">
        <f t="shared" si="501"/>
        <v>0</v>
      </c>
      <c r="Y1333">
        <f t="shared" si="502"/>
        <v>12</v>
      </c>
      <c r="AI1333" t="str">
        <f>IF(OR(对接源_01水果筐数!$B134="",LEFT(对接源_01水果筐数!$C134,2)&lt;&gt;"自备"),"",对接源_01水果筐数!$B134)</f>
        <v/>
      </c>
      <c r="AJ1333">
        <f t="shared" si="503"/>
        <v>0</v>
      </c>
      <c r="AK1333">
        <f t="shared" si="504"/>
        <v>6</v>
      </c>
      <c r="CP1333">
        <f>IF(包装物料出入库明细!$D1333="",0,1)</f>
        <v>0</v>
      </c>
      <c r="CQ1333">
        <f t="shared" si="505"/>
        <v>37</v>
      </c>
      <c r="CS1333" t="str">
        <f>IF(OR(周转筐出入库明细!$C1334="",周转筐出入库明细!$F1334&lt;&gt;"采购入库"),"",周转筐出入库明细!$C1334)</f>
        <v/>
      </c>
      <c r="CT1333">
        <f t="shared" si="506"/>
        <v>0</v>
      </c>
      <c r="CU1333">
        <f t="shared" si="507"/>
        <v>1</v>
      </c>
    </row>
    <row r="1334" spans="1:99">
      <c r="A1334" t="str">
        <f>IF(包装物料出入库明细!$E1334="","",包装物料出入库明细!$E1334)</f>
        <v/>
      </c>
      <c r="B1334">
        <f t="shared" si="495"/>
        <v>0</v>
      </c>
      <c r="C1334">
        <f t="shared" si="496"/>
        <v>7</v>
      </c>
      <c r="D1334" t="str">
        <f>IF(包装物料出入库明细!$E1334="","",包装物料出入库明细!$F1334)</f>
        <v/>
      </c>
      <c r="E1334" t="str">
        <f>IF(包装物料出入库明细!$E1334="","",包装物料出入库明细!$G1334)</f>
        <v/>
      </c>
      <c r="K1334" t="str">
        <f>IF(包装物料出入库明细!$D1334="","",包装物料出入库明细!$D1334)</f>
        <v/>
      </c>
      <c r="L1334">
        <f t="shared" si="497"/>
        <v>0</v>
      </c>
      <c r="M1334">
        <f t="shared" si="498"/>
        <v>9</v>
      </c>
      <c r="Q1334" t="str">
        <f>IF(周转筐出入库明细!$D1335="","",周转筐出入库明细!$D1335)</f>
        <v/>
      </c>
      <c r="R1334">
        <f t="shared" si="499"/>
        <v>0</v>
      </c>
      <c r="S1334">
        <f t="shared" si="500"/>
        <v>5</v>
      </c>
      <c r="W1334" t="str">
        <f>IF(周转筐出入库明细!$C1335="","",周转筐出入库明细!$C1335)</f>
        <v/>
      </c>
      <c r="X1334">
        <f t="shared" si="501"/>
        <v>0</v>
      </c>
      <c r="Y1334">
        <f t="shared" si="502"/>
        <v>12</v>
      </c>
      <c r="AI1334" t="str">
        <f>IF(OR(对接源_01水果筐数!$B135="",LEFT(对接源_01水果筐数!$C135,2)&lt;&gt;"自备"),"",对接源_01水果筐数!$B135)</f>
        <v/>
      </c>
      <c r="AJ1334">
        <f t="shared" si="503"/>
        <v>0</v>
      </c>
      <c r="AK1334">
        <f t="shared" si="504"/>
        <v>6</v>
      </c>
      <c r="CP1334">
        <f>IF(包装物料出入库明细!$D1334="",0,1)</f>
        <v>0</v>
      </c>
      <c r="CQ1334">
        <f t="shared" si="505"/>
        <v>37</v>
      </c>
      <c r="CS1334" t="str">
        <f>IF(OR(周转筐出入库明细!$C1335="",周转筐出入库明细!$F1335&lt;&gt;"采购入库"),"",周转筐出入库明细!$C1335)</f>
        <v/>
      </c>
      <c r="CT1334">
        <f t="shared" si="506"/>
        <v>0</v>
      </c>
      <c r="CU1334">
        <f t="shared" si="507"/>
        <v>1</v>
      </c>
    </row>
    <row r="1335" spans="1:99">
      <c r="A1335" t="str">
        <f>IF(包装物料出入库明细!$E1335="","",包装物料出入库明细!$E1335)</f>
        <v/>
      </c>
      <c r="B1335">
        <f t="shared" si="495"/>
        <v>0</v>
      </c>
      <c r="C1335">
        <f t="shared" si="496"/>
        <v>7</v>
      </c>
      <c r="D1335" t="str">
        <f>IF(包装物料出入库明细!$E1335="","",包装物料出入库明细!$F1335)</f>
        <v/>
      </c>
      <c r="E1335" t="str">
        <f>IF(包装物料出入库明细!$E1335="","",包装物料出入库明细!$G1335)</f>
        <v/>
      </c>
      <c r="K1335" t="str">
        <f>IF(包装物料出入库明细!$D1335="","",包装物料出入库明细!$D1335)</f>
        <v/>
      </c>
      <c r="L1335">
        <f t="shared" si="497"/>
        <v>0</v>
      </c>
      <c r="M1335">
        <f t="shared" si="498"/>
        <v>9</v>
      </c>
      <c r="Q1335" t="str">
        <f>IF(周转筐出入库明细!$D1336="","",周转筐出入库明细!$D1336)</f>
        <v/>
      </c>
      <c r="R1335">
        <f t="shared" si="499"/>
        <v>0</v>
      </c>
      <c r="S1335">
        <f t="shared" si="500"/>
        <v>5</v>
      </c>
      <c r="W1335" t="str">
        <f>IF(周转筐出入库明细!$C1336="","",周转筐出入库明细!$C1336)</f>
        <v/>
      </c>
      <c r="X1335">
        <f t="shared" si="501"/>
        <v>0</v>
      </c>
      <c r="Y1335">
        <f t="shared" si="502"/>
        <v>12</v>
      </c>
      <c r="AI1335" t="str">
        <f>IF(OR(对接源_01水果筐数!$B136="",LEFT(对接源_01水果筐数!$C136,2)&lt;&gt;"自备"),"",对接源_01水果筐数!$B136)</f>
        <v/>
      </c>
      <c r="AJ1335">
        <f t="shared" si="503"/>
        <v>0</v>
      </c>
      <c r="AK1335">
        <f t="shared" si="504"/>
        <v>6</v>
      </c>
      <c r="CP1335">
        <f>IF(包装物料出入库明细!$D1335="",0,1)</f>
        <v>0</v>
      </c>
      <c r="CQ1335">
        <f t="shared" si="505"/>
        <v>37</v>
      </c>
      <c r="CS1335" t="str">
        <f>IF(OR(周转筐出入库明细!$C1336="",周转筐出入库明细!$F1336&lt;&gt;"采购入库"),"",周转筐出入库明细!$C1336)</f>
        <v/>
      </c>
      <c r="CT1335">
        <f t="shared" si="506"/>
        <v>0</v>
      </c>
      <c r="CU1335">
        <f t="shared" si="507"/>
        <v>1</v>
      </c>
    </row>
    <row r="1336" spans="1:99">
      <c r="A1336" t="str">
        <f>IF(包装物料出入库明细!$E1336="","",包装物料出入库明细!$E1336)</f>
        <v/>
      </c>
      <c r="B1336">
        <f t="shared" si="495"/>
        <v>0</v>
      </c>
      <c r="C1336">
        <f t="shared" si="496"/>
        <v>7</v>
      </c>
      <c r="D1336" t="str">
        <f>IF(包装物料出入库明细!$E1336="","",包装物料出入库明细!$F1336)</f>
        <v/>
      </c>
      <c r="E1336" t="str">
        <f>IF(包装物料出入库明细!$E1336="","",包装物料出入库明细!$G1336)</f>
        <v/>
      </c>
      <c r="K1336" t="str">
        <f>IF(包装物料出入库明细!$D1336="","",包装物料出入库明细!$D1336)</f>
        <v/>
      </c>
      <c r="L1336">
        <f t="shared" si="497"/>
        <v>0</v>
      </c>
      <c r="M1336">
        <f t="shared" si="498"/>
        <v>9</v>
      </c>
      <c r="Q1336" t="str">
        <f>IF(周转筐出入库明细!$D1337="","",周转筐出入库明细!$D1337)</f>
        <v/>
      </c>
      <c r="R1336">
        <f t="shared" si="499"/>
        <v>0</v>
      </c>
      <c r="S1336">
        <f t="shared" si="500"/>
        <v>5</v>
      </c>
      <c r="W1336" t="str">
        <f>IF(周转筐出入库明细!$C1337="","",周转筐出入库明细!$C1337)</f>
        <v/>
      </c>
      <c r="X1336">
        <f t="shared" si="501"/>
        <v>0</v>
      </c>
      <c r="Y1336">
        <f t="shared" si="502"/>
        <v>12</v>
      </c>
      <c r="AI1336" t="str">
        <f>IF(OR(对接源_01水果筐数!$B137="",LEFT(对接源_01水果筐数!$C137,2)&lt;&gt;"自备"),"",对接源_01水果筐数!$B137)</f>
        <v/>
      </c>
      <c r="AJ1336">
        <f t="shared" si="503"/>
        <v>0</v>
      </c>
      <c r="AK1336">
        <f t="shared" si="504"/>
        <v>6</v>
      </c>
      <c r="CP1336">
        <f>IF(包装物料出入库明细!$D1336="",0,1)</f>
        <v>0</v>
      </c>
      <c r="CQ1336">
        <f t="shared" si="505"/>
        <v>37</v>
      </c>
      <c r="CS1336" t="str">
        <f>IF(OR(周转筐出入库明细!$C1337="",周转筐出入库明细!$F1337&lt;&gt;"采购入库"),"",周转筐出入库明细!$C1337)</f>
        <v/>
      </c>
      <c r="CT1336">
        <f t="shared" si="506"/>
        <v>0</v>
      </c>
      <c r="CU1336">
        <f t="shared" si="507"/>
        <v>1</v>
      </c>
    </row>
    <row r="1337" spans="1:99">
      <c r="A1337" t="str">
        <f>IF(包装物料出入库明细!$E1337="","",包装物料出入库明细!$E1337)</f>
        <v/>
      </c>
      <c r="B1337">
        <f t="shared" si="495"/>
        <v>0</v>
      </c>
      <c r="C1337">
        <f t="shared" si="496"/>
        <v>7</v>
      </c>
      <c r="D1337" t="str">
        <f>IF(包装物料出入库明细!$E1337="","",包装物料出入库明细!$F1337)</f>
        <v/>
      </c>
      <c r="E1337" t="str">
        <f>IF(包装物料出入库明细!$E1337="","",包装物料出入库明细!$G1337)</f>
        <v/>
      </c>
      <c r="K1337" t="str">
        <f>IF(包装物料出入库明细!$D1337="","",包装物料出入库明细!$D1337)</f>
        <v/>
      </c>
      <c r="L1337">
        <f t="shared" si="497"/>
        <v>0</v>
      </c>
      <c r="M1337">
        <f t="shared" si="498"/>
        <v>9</v>
      </c>
      <c r="Q1337" t="str">
        <f>IF(周转筐出入库明细!$D1338="","",周转筐出入库明细!$D1338)</f>
        <v/>
      </c>
      <c r="R1337">
        <f t="shared" si="499"/>
        <v>0</v>
      </c>
      <c r="S1337">
        <f t="shared" si="500"/>
        <v>5</v>
      </c>
      <c r="W1337" t="str">
        <f>IF(周转筐出入库明细!$C1338="","",周转筐出入库明细!$C1338)</f>
        <v/>
      </c>
      <c r="X1337">
        <f t="shared" si="501"/>
        <v>0</v>
      </c>
      <c r="Y1337">
        <f t="shared" si="502"/>
        <v>12</v>
      </c>
      <c r="AI1337" t="str">
        <f>IF(OR(对接源_01水果筐数!$B138="",LEFT(对接源_01水果筐数!$C138,2)&lt;&gt;"自备"),"",对接源_01水果筐数!$B138)</f>
        <v/>
      </c>
      <c r="AJ1337">
        <f t="shared" si="503"/>
        <v>0</v>
      </c>
      <c r="AK1337">
        <f t="shared" si="504"/>
        <v>6</v>
      </c>
      <c r="CP1337">
        <f>IF(包装物料出入库明细!$D1337="",0,1)</f>
        <v>0</v>
      </c>
      <c r="CQ1337">
        <f t="shared" si="505"/>
        <v>37</v>
      </c>
      <c r="CS1337" t="str">
        <f>IF(OR(周转筐出入库明细!$C1338="",周转筐出入库明细!$F1338&lt;&gt;"采购入库"),"",周转筐出入库明细!$C1338)</f>
        <v/>
      </c>
      <c r="CT1337">
        <f t="shared" si="506"/>
        <v>0</v>
      </c>
      <c r="CU1337">
        <f t="shared" si="507"/>
        <v>1</v>
      </c>
    </row>
    <row r="1338" spans="1:99">
      <c r="A1338" t="str">
        <f>IF(包装物料出入库明细!$E1338="","",包装物料出入库明细!$E1338)</f>
        <v/>
      </c>
      <c r="B1338">
        <f t="shared" si="495"/>
        <v>0</v>
      </c>
      <c r="C1338">
        <f t="shared" si="496"/>
        <v>7</v>
      </c>
      <c r="D1338" t="str">
        <f>IF(包装物料出入库明细!$E1338="","",包装物料出入库明细!$F1338)</f>
        <v/>
      </c>
      <c r="E1338" t="str">
        <f>IF(包装物料出入库明细!$E1338="","",包装物料出入库明细!$G1338)</f>
        <v/>
      </c>
      <c r="K1338" t="str">
        <f>IF(包装物料出入库明细!$D1338="","",包装物料出入库明细!$D1338)</f>
        <v/>
      </c>
      <c r="L1338">
        <f t="shared" si="497"/>
        <v>0</v>
      </c>
      <c r="M1338">
        <f t="shared" si="498"/>
        <v>9</v>
      </c>
      <c r="Q1338" t="str">
        <f>IF(周转筐出入库明细!$D1339="","",周转筐出入库明细!$D1339)</f>
        <v/>
      </c>
      <c r="R1338">
        <f t="shared" si="499"/>
        <v>0</v>
      </c>
      <c r="S1338">
        <f t="shared" si="500"/>
        <v>5</v>
      </c>
      <c r="W1338" t="str">
        <f>IF(周转筐出入库明细!$C1339="","",周转筐出入库明细!$C1339)</f>
        <v/>
      </c>
      <c r="X1338">
        <f t="shared" si="501"/>
        <v>0</v>
      </c>
      <c r="Y1338">
        <f t="shared" si="502"/>
        <v>12</v>
      </c>
      <c r="AI1338" t="str">
        <f>IF(OR(对接源_01水果筐数!$B139="",LEFT(对接源_01水果筐数!$C139,2)&lt;&gt;"自备"),"",对接源_01水果筐数!$B139)</f>
        <v/>
      </c>
      <c r="AJ1338">
        <f t="shared" si="503"/>
        <v>0</v>
      </c>
      <c r="AK1338">
        <f t="shared" si="504"/>
        <v>6</v>
      </c>
      <c r="CP1338">
        <f>IF(包装物料出入库明细!$D1338="",0,1)</f>
        <v>0</v>
      </c>
      <c r="CQ1338">
        <f t="shared" si="505"/>
        <v>37</v>
      </c>
      <c r="CS1338" t="str">
        <f>IF(OR(周转筐出入库明细!$C1339="",周转筐出入库明细!$F1339&lt;&gt;"采购入库"),"",周转筐出入库明细!$C1339)</f>
        <v/>
      </c>
      <c r="CT1338">
        <f t="shared" si="506"/>
        <v>0</v>
      </c>
      <c r="CU1338">
        <f t="shared" si="507"/>
        <v>1</v>
      </c>
    </row>
    <row r="1339" spans="1:99">
      <c r="A1339" t="str">
        <f>IF(包装物料出入库明细!$E1339="","",包装物料出入库明细!$E1339)</f>
        <v/>
      </c>
      <c r="B1339">
        <f t="shared" si="495"/>
        <v>0</v>
      </c>
      <c r="C1339">
        <f t="shared" si="496"/>
        <v>7</v>
      </c>
      <c r="D1339" t="str">
        <f>IF(包装物料出入库明细!$E1339="","",包装物料出入库明细!$F1339)</f>
        <v/>
      </c>
      <c r="E1339" t="str">
        <f>IF(包装物料出入库明细!$E1339="","",包装物料出入库明细!$G1339)</f>
        <v/>
      </c>
      <c r="K1339" t="str">
        <f>IF(包装物料出入库明细!$D1339="","",包装物料出入库明细!$D1339)</f>
        <v/>
      </c>
      <c r="L1339">
        <f t="shared" si="497"/>
        <v>0</v>
      </c>
      <c r="M1339">
        <f t="shared" si="498"/>
        <v>9</v>
      </c>
      <c r="Q1339" t="str">
        <f>IF(周转筐出入库明细!$D1340="","",周转筐出入库明细!$D1340)</f>
        <v/>
      </c>
      <c r="R1339">
        <f t="shared" si="499"/>
        <v>0</v>
      </c>
      <c r="S1339">
        <f t="shared" si="500"/>
        <v>5</v>
      </c>
      <c r="W1339" t="str">
        <f>IF(周转筐出入库明细!$C1340="","",周转筐出入库明细!$C1340)</f>
        <v/>
      </c>
      <c r="X1339">
        <f t="shared" si="501"/>
        <v>0</v>
      </c>
      <c r="Y1339">
        <f t="shared" si="502"/>
        <v>12</v>
      </c>
      <c r="AI1339" t="str">
        <f>IF(OR(对接源_01水果筐数!$B140="",LEFT(对接源_01水果筐数!$C140,2)&lt;&gt;"自备"),"",对接源_01水果筐数!$B140)</f>
        <v/>
      </c>
      <c r="AJ1339">
        <f t="shared" si="503"/>
        <v>0</v>
      </c>
      <c r="AK1339">
        <f t="shared" si="504"/>
        <v>6</v>
      </c>
      <c r="CP1339">
        <f>IF(包装物料出入库明细!$D1339="",0,1)</f>
        <v>0</v>
      </c>
      <c r="CQ1339">
        <f t="shared" si="505"/>
        <v>37</v>
      </c>
      <c r="CS1339" t="str">
        <f>IF(OR(周转筐出入库明细!$C1340="",周转筐出入库明细!$F1340&lt;&gt;"采购入库"),"",周转筐出入库明细!$C1340)</f>
        <v/>
      </c>
      <c r="CT1339">
        <f t="shared" si="506"/>
        <v>0</v>
      </c>
      <c r="CU1339">
        <f t="shared" si="507"/>
        <v>1</v>
      </c>
    </row>
    <row r="1340" spans="1:99">
      <c r="A1340" t="str">
        <f>IF(包装物料出入库明细!$E1340="","",包装物料出入库明细!$E1340)</f>
        <v/>
      </c>
      <c r="B1340">
        <f t="shared" si="495"/>
        <v>0</v>
      </c>
      <c r="C1340">
        <f t="shared" si="496"/>
        <v>7</v>
      </c>
      <c r="D1340" t="str">
        <f>IF(包装物料出入库明细!$E1340="","",包装物料出入库明细!$F1340)</f>
        <v/>
      </c>
      <c r="E1340" t="str">
        <f>IF(包装物料出入库明细!$E1340="","",包装物料出入库明细!$G1340)</f>
        <v/>
      </c>
      <c r="K1340" t="str">
        <f>IF(包装物料出入库明细!$D1340="","",包装物料出入库明细!$D1340)</f>
        <v/>
      </c>
      <c r="L1340">
        <f t="shared" si="497"/>
        <v>0</v>
      </c>
      <c r="M1340">
        <f t="shared" si="498"/>
        <v>9</v>
      </c>
      <c r="Q1340" t="str">
        <f>IF(周转筐出入库明细!$D1341="","",周转筐出入库明细!$D1341)</f>
        <v/>
      </c>
      <c r="R1340">
        <f t="shared" si="499"/>
        <v>0</v>
      </c>
      <c r="S1340">
        <f t="shared" si="500"/>
        <v>5</v>
      </c>
      <c r="W1340" t="str">
        <f>IF(周转筐出入库明细!$C1341="","",周转筐出入库明细!$C1341)</f>
        <v/>
      </c>
      <c r="X1340">
        <f t="shared" si="501"/>
        <v>0</v>
      </c>
      <c r="Y1340">
        <f t="shared" si="502"/>
        <v>12</v>
      </c>
      <c r="AI1340" t="str">
        <f>IF(OR(对接源_01水果筐数!$B141="",LEFT(对接源_01水果筐数!$C141,2)&lt;&gt;"自备"),"",对接源_01水果筐数!$B141)</f>
        <v/>
      </c>
      <c r="AJ1340">
        <f t="shared" si="503"/>
        <v>0</v>
      </c>
      <c r="AK1340">
        <f t="shared" si="504"/>
        <v>6</v>
      </c>
      <c r="CP1340">
        <f>IF(包装物料出入库明细!$D1340="",0,1)</f>
        <v>0</v>
      </c>
      <c r="CQ1340">
        <f t="shared" si="505"/>
        <v>37</v>
      </c>
      <c r="CS1340" t="str">
        <f>IF(OR(周转筐出入库明细!$C1341="",周转筐出入库明细!$F1341&lt;&gt;"采购入库"),"",周转筐出入库明细!$C1341)</f>
        <v/>
      </c>
      <c r="CT1340">
        <f t="shared" si="506"/>
        <v>0</v>
      </c>
      <c r="CU1340">
        <f t="shared" si="507"/>
        <v>1</v>
      </c>
    </row>
    <row r="1341" spans="1:99">
      <c r="A1341" t="str">
        <f>IF(包装物料出入库明细!$E1341="","",包装物料出入库明细!$E1341)</f>
        <v/>
      </c>
      <c r="B1341">
        <f t="shared" si="495"/>
        <v>0</v>
      </c>
      <c r="C1341">
        <f t="shared" si="496"/>
        <v>7</v>
      </c>
      <c r="D1341" t="str">
        <f>IF(包装物料出入库明细!$E1341="","",包装物料出入库明细!$F1341)</f>
        <v/>
      </c>
      <c r="E1341" t="str">
        <f>IF(包装物料出入库明细!$E1341="","",包装物料出入库明细!$G1341)</f>
        <v/>
      </c>
      <c r="K1341" t="str">
        <f>IF(包装物料出入库明细!$D1341="","",包装物料出入库明细!$D1341)</f>
        <v/>
      </c>
      <c r="L1341">
        <f t="shared" si="497"/>
        <v>0</v>
      </c>
      <c r="M1341">
        <f t="shared" si="498"/>
        <v>9</v>
      </c>
      <c r="Q1341" t="str">
        <f>IF(周转筐出入库明细!$D1342="","",周转筐出入库明细!$D1342)</f>
        <v/>
      </c>
      <c r="R1341">
        <f t="shared" si="499"/>
        <v>0</v>
      </c>
      <c r="S1341">
        <f t="shared" si="500"/>
        <v>5</v>
      </c>
      <c r="W1341" t="str">
        <f>IF(周转筐出入库明细!$C1342="","",周转筐出入库明细!$C1342)</f>
        <v/>
      </c>
      <c r="X1341">
        <f t="shared" si="501"/>
        <v>0</v>
      </c>
      <c r="Y1341">
        <f t="shared" si="502"/>
        <v>12</v>
      </c>
      <c r="AI1341" t="str">
        <f>IF(OR(对接源_01水果筐数!$B142="",LEFT(对接源_01水果筐数!$C142,2)&lt;&gt;"自备"),"",对接源_01水果筐数!$B142)</f>
        <v/>
      </c>
      <c r="AJ1341">
        <f t="shared" si="503"/>
        <v>0</v>
      </c>
      <c r="AK1341">
        <f t="shared" si="504"/>
        <v>6</v>
      </c>
      <c r="CP1341">
        <f>IF(包装物料出入库明细!$D1341="",0,1)</f>
        <v>0</v>
      </c>
      <c r="CQ1341">
        <f t="shared" si="505"/>
        <v>37</v>
      </c>
      <c r="CS1341" t="str">
        <f>IF(OR(周转筐出入库明细!$C1342="",周转筐出入库明细!$F1342&lt;&gt;"采购入库"),"",周转筐出入库明细!$C1342)</f>
        <v/>
      </c>
      <c r="CT1341">
        <f t="shared" si="506"/>
        <v>0</v>
      </c>
      <c r="CU1341">
        <f t="shared" si="507"/>
        <v>1</v>
      </c>
    </row>
    <row r="1342" spans="1:99">
      <c r="A1342" t="str">
        <f>IF(包装物料出入库明细!$E1342="","",包装物料出入库明细!$E1342)</f>
        <v/>
      </c>
      <c r="B1342">
        <f t="shared" si="495"/>
        <v>0</v>
      </c>
      <c r="C1342">
        <f t="shared" si="496"/>
        <v>7</v>
      </c>
      <c r="D1342" t="str">
        <f>IF(包装物料出入库明细!$E1342="","",包装物料出入库明细!$F1342)</f>
        <v/>
      </c>
      <c r="E1342" t="str">
        <f>IF(包装物料出入库明细!$E1342="","",包装物料出入库明细!$G1342)</f>
        <v/>
      </c>
      <c r="K1342" t="str">
        <f>IF(包装物料出入库明细!$D1342="","",包装物料出入库明细!$D1342)</f>
        <v/>
      </c>
      <c r="L1342">
        <f t="shared" si="497"/>
        <v>0</v>
      </c>
      <c r="M1342">
        <f t="shared" si="498"/>
        <v>9</v>
      </c>
      <c r="Q1342" t="str">
        <f>IF(周转筐出入库明细!$D1343="","",周转筐出入库明细!$D1343)</f>
        <v/>
      </c>
      <c r="R1342">
        <f t="shared" si="499"/>
        <v>0</v>
      </c>
      <c r="S1342">
        <f t="shared" si="500"/>
        <v>5</v>
      </c>
      <c r="W1342" t="str">
        <f>IF(周转筐出入库明细!$C1343="","",周转筐出入库明细!$C1343)</f>
        <v/>
      </c>
      <c r="X1342">
        <f t="shared" si="501"/>
        <v>0</v>
      </c>
      <c r="Y1342">
        <f t="shared" si="502"/>
        <v>12</v>
      </c>
      <c r="AI1342" t="str">
        <f>IF(OR(对接源_01水果筐数!$B143="",LEFT(对接源_01水果筐数!$C143,2)&lt;&gt;"自备"),"",对接源_01水果筐数!$B143)</f>
        <v/>
      </c>
      <c r="AJ1342">
        <f t="shared" si="503"/>
        <v>0</v>
      </c>
      <c r="AK1342">
        <f t="shared" si="504"/>
        <v>6</v>
      </c>
      <c r="CP1342">
        <f>IF(包装物料出入库明细!$D1342="",0,1)</f>
        <v>0</v>
      </c>
      <c r="CQ1342">
        <f t="shared" si="505"/>
        <v>37</v>
      </c>
      <c r="CS1342" t="str">
        <f>IF(OR(周转筐出入库明细!$C1343="",周转筐出入库明细!$F1343&lt;&gt;"采购入库"),"",周转筐出入库明细!$C1343)</f>
        <v/>
      </c>
      <c r="CT1342">
        <f t="shared" si="506"/>
        <v>0</v>
      </c>
      <c r="CU1342">
        <f t="shared" si="507"/>
        <v>1</v>
      </c>
    </row>
    <row r="1343" spans="1:99">
      <c r="A1343" t="str">
        <f>IF(包装物料出入库明细!$E1343="","",包装物料出入库明细!$E1343)</f>
        <v/>
      </c>
      <c r="B1343">
        <f t="shared" si="495"/>
        <v>0</v>
      </c>
      <c r="C1343">
        <f t="shared" si="496"/>
        <v>7</v>
      </c>
      <c r="D1343" t="str">
        <f>IF(包装物料出入库明细!$E1343="","",包装物料出入库明细!$F1343)</f>
        <v/>
      </c>
      <c r="E1343" t="str">
        <f>IF(包装物料出入库明细!$E1343="","",包装物料出入库明细!$G1343)</f>
        <v/>
      </c>
      <c r="K1343" t="str">
        <f>IF(包装物料出入库明细!$D1343="","",包装物料出入库明细!$D1343)</f>
        <v/>
      </c>
      <c r="L1343">
        <f t="shared" si="497"/>
        <v>0</v>
      </c>
      <c r="M1343">
        <f t="shared" si="498"/>
        <v>9</v>
      </c>
      <c r="Q1343" t="str">
        <f>IF(周转筐出入库明细!$D1344="","",周转筐出入库明细!$D1344)</f>
        <v/>
      </c>
      <c r="R1343">
        <f t="shared" si="499"/>
        <v>0</v>
      </c>
      <c r="S1343">
        <f t="shared" si="500"/>
        <v>5</v>
      </c>
      <c r="W1343" t="str">
        <f>IF(周转筐出入库明细!$C1344="","",周转筐出入库明细!$C1344)</f>
        <v/>
      </c>
      <c r="X1343">
        <f t="shared" si="501"/>
        <v>0</v>
      </c>
      <c r="Y1343">
        <f t="shared" si="502"/>
        <v>12</v>
      </c>
      <c r="AI1343" t="str">
        <f>IF(OR(对接源_01水果筐数!$B144="",LEFT(对接源_01水果筐数!$C144,2)&lt;&gt;"自备"),"",对接源_01水果筐数!$B144)</f>
        <v/>
      </c>
      <c r="AJ1343">
        <f t="shared" si="503"/>
        <v>0</v>
      </c>
      <c r="AK1343">
        <f t="shared" si="504"/>
        <v>6</v>
      </c>
      <c r="CP1343">
        <f>IF(包装物料出入库明细!$D1343="",0,1)</f>
        <v>0</v>
      </c>
      <c r="CQ1343">
        <f t="shared" si="505"/>
        <v>37</v>
      </c>
      <c r="CS1343" t="str">
        <f>IF(OR(周转筐出入库明细!$C1344="",周转筐出入库明细!$F1344&lt;&gt;"采购入库"),"",周转筐出入库明细!$C1344)</f>
        <v/>
      </c>
      <c r="CT1343">
        <f t="shared" si="506"/>
        <v>0</v>
      </c>
      <c r="CU1343">
        <f t="shared" si="507"/>
        <v>1</v>
      </c>
    </row>
    <row r="1344" spans="1:99">
      <c r="A1344" t="str">
        <f>IF(包装物料出入库明细!$E1344="","",包装物料出入库明细!$E1344)</f>
        <v/>
      </c>
      <c r="B1344">
        <f t="shared" si="495"/>
        <v>0</v>
      </c>
      <c r="C1344">
        <f t="shared" si="496"/>
        <v>7</v>
      </c>
      <c r="D1344" t="str">
        <f>IF(包装物料出入库明细!$E1344="","",包装物料出入库明细!$F1344)</f>
        <v/>
      </c>
      <c r="E1344" t="str">
        <f>IF(包装物料出入库明细!$E1344="","",包装物料出入库明细!$G1344)</f>
        <v/>
      </c>
      <c r="K1344" t="str">
        <f>IF(包装物料出入库明细!$D1344="","",包装物料出入库明细!$D1344)</f>
        <v/>
      </c>
      <c r="L1344">
        <f t="shared" si="497"/>
        <v>0</v>
      </c>
      <c r="M1344">
        <f t="shared" si="498"/>
        <v>9</v>
      </c>
      <c r="Q1344" t="str">
        <f>IF(周转筐出入库明细!$D1345="","",周转筐出入库明细!$D1345)</f>
        <v/>
      </c>
      <c r="R1344">
        <f t="shared" si="499"/>
        <v>0</v>
      </c>
      <c r="S1344">
        <f t="shared" si="500"/>
        <v>5</v>
      </c>
      <c r="W1344" t="str">
        <f>IF(周转筐出入库明细!$C1345="","",周转筐出入库明细!$C1345)</f>
        <v/>
      </c>
      <c r="X1344">
        <f t="shared" si="501"/>
        <v>0</v>
      </c>
      <c r="Y1344">
        <f t="shared" si="502"/>
        <v>12</v>
      </c>
      <c r="AI1344" t="str">
        <f>IF(OR(对接源_01水果筐数!$B145="",LEFT(对接源_01水果筐数!$C145,2)&lt;&gt;"自备"),"",对接源_01水果筐数!$B145)</f>
        <v/>
      </c>
      <c r="AJ1344">
        <f t="shared" si="503"/>
        <v>0</v>
      </c>
      <c r="AK1344">
        <f t="shared" si="504"/>
        <v>6</v>
      </c>
      <c r="CP1344">
        <f>IF(包装物料出入库明细!$D1344="",0,1)</f>
        <v>0</v>
      </c>
      <c r="CQ1344">
        <f t="shared" si="505"/>
        <v>37</v>
      </c>
      <c r="CS1344" t="str">
        <f>IF(OR(周转筐出入库明细!$C1345="",周转筐出入库明细!$F1345&lt;&gt;"采购入库"),"",周转筐出入库明细!$C1345)</f>
        <v/>
      </c>
      <c r="CT1344">
        <f t="shared" si="506"/>
        <v>0</v>
      </c>
      <c r="CU1344">
        <f t="shared" si="507"/>
        <v>1</v>
      </c>
    </row>
    <row r="1345" spans="1:99">
      <c r="A1345" t="str">
        <f>IF(包装物料出入库明细!$E1345="","",包装物料出入库明细!$E1345)</f>
        <v/>
      </c>
      <c r="B1345">
        <f t="shared" si="495"/>
        <v>0</v>
      </c>
      <c r="C1345">
        <f t="shared" si="496"/>
        <v>7</v>
      </c>
      <c r="D1345" t="str">
        <f>IF(包装物料出入库明细!$E1345="","",包装物料出入库明细!$F1345)</f>
        <v/>
      </c>
      <c r="E1345" t="str">
        <f>IF(包装物料出入库明细!$E1345="","",包装物料出入库明细!$G1345)</f>
        <v/>
      </c>
      <c r="K1345" t="str">
        <f>IF(包装物料出入库明细!$D1345="","",包装物料出入库明细!$D1345)</f>
        <v/>
      </c>
      <c r="L1345">
        <f t="shared" si="497"/>
        <v>0</v>
      </c>
      <c r="M1345">
        <f t="shared" si="498"/>
        <v>9</v>
      </c>
      <c r="Q1345" t="str">
        <f>IF(周转筐出入库明细!$D1346="","",周转筐出入库明细!$D1346)</f>
        <v/>
      </c>
      <c r="R1345">
        <f t="shared" si="499"/>
        <v>0</v>
      </c>
      <c r="S1345">
        <f t="shared" si="500"/>
        <v>5</v>
      </c>
      <c r="W1345" t="str">
        <f>IF(周转筐出入库明细!$C1346="","",周转筐出入库明细!$C1346)</f>
        <v/>
      </c>
      <c r="X1345">
        <f t="shared" si="501"/>
        <v>0</v>
      </c>
      <c r="Y1345">
        <f t="shared" si="502"/>
        <v>12</v>
      </c>
      <c r="AI1345" t="str">
        <f>IF(OR(对接源_01水果筐数!$B146="",LEFT(对接源_01水果筐数!$C146,2)&lt;&gt;"自备"),"",对接源_01水果筐数!$B146)</f>
        <v/>
      </c>
      <c r="AJ1345">
        <f t="shared" si="503"/>
        <v>0</v>
      </c>
      <c r="AK1345">
        <f t="shared" si="504"/>
        <v>6</v>
      </c>
      <c r="CP1345">
        <f>IF(包装物料出入库明细!$D1345="",0,1)</f>
        <v>0</v>
      </c>
      <c r="CQ1345">
        <f t="shared" si="505"/>
        <v>37</v>
      </c>
      <c r="CS1345" t="str">
        <f>IF(OR(周转筐出入库明细!$C1346="",周转筐出入库明细!$F1346&lt;&gt;"采购入库"),"",周转筐出入库明细!$C1346)</f>
        <v/>
      </c>
      <c r="CT1345">
        <f t="shared" si="506"/>
        <v>0</v>
      </c>
      <c r="CU1345">
        <f t="shared" si="507"/>
        <v>1</v>
      </c>
    </row>
    <row r="1346" spans="1:99">
      <c r="A1346" t="str">
        <f>IF(包装物料出入库明细!$E1346="","",包装物料出入库明细!$E1346)</f>
        <v/>
      </c>
      <c r="B1346">
        <f t="shared" si="495"/>
        <v>0</v>
      </c>
      <c r="C1346">
        <f t="shared" si="496"/>
        <v>7</v>
      </c>
      <c r="D1346" t="str">
        <f>IF(包装物料出入库明细!$E1346="","",包装物料出入库明细!$F1346)</f>
        <v/>
      </c>
      <c r="E1346" t="str">
        <f>IF(包装物料出入库明细!$E1346="","",包装物料出入库明细!$G1346)</f>
        <v/>
      </c>
      <c r="K1346" t="str">
        <f>IF(包装物料出入库明细!$D1346="","",包装物料出入库明细!$D1346)</f>
        <v/>
      </c>
      <c r="L1346">
        <f t="shared" si="497"/>
        <v>0</v>
      </c>
      <c r="M1346">
        <f t="shared" si="498"/>
        <v>9</v>
      </c>
      <c r="Q1346" t="str">
        <f>IF(周转筐出入库明细!$D1347="","",周转筐出入库明细!$D1347)</f>
        <v/>
      </c>
      <c r="R1346">
        <f t="shared" si="499"/>
        <v>0</v>
      </c>
      <c r="S1346">
        <f t="shared" si="500"/>
        <v>5</v>
      </c>
      <c r="W1346" t="str">
        <f>IF(周转筐出入库明细!$C1347="","",周转筐出入库明细!$C1347)</f>
        <v/>
      </c>
      <c r="X1346">
        <f t="shared" si="501"/>
        <v>0</v>
      </c>
      <c r="Y1346">
        <f t="shared" si="502"/>
        <v>12</v>
      </c>
      <c r="AI1346" t="str">
        <f>IF(OR(对接源_01水果筐数!$B147="",LEFT(对接源_01水果筐数!$C147,2)&lt;&gt;"自备"),"",对接源_01水果筐数!$B147)</f>
        <v/>
      </c>
      <c r="AJ1346">
        <f t="shared" si="503"/>
        <v>0</v>
      </c>
      <c r="AK1346">
        <f t="shared" si="504"/>
        <v>6</v>
      </c>
      <c r="CP1346">
        <f>IF(包装物料出入库明细!$D1346="",0,1)</f>
        <v>0</v>
      </c>
      <c r="CQ1346">
        <f t="shared" si="505"/>
        <v>37</v>
      </c>
      <c r="CS1346" t="str">
        <f>IF(OR(周转筐出入库明细!$C1347="",周转筐出入库明细!$F1347&lt;&gt;"采购入库"),"",周转筐出入库明细!$C1347)</f>
        <v/>
      </c>
      <c r="CT1346">
        <f t="shared" si="506"/>
        <v>0</v>
      </c>
      <c r="CU1346">
        <f t="shared" si="507"/>
        <v>1</v>
      </c>
    </row>
    <row r="1347" spans="1:99">
      <c r="A1347" t="str">
        <f>IF(包装物料出入库明细!$E1347="","",包装物料出入库明细!$E1347)</f>
        <v/>
      </c>
      <c r="B1347">
        <f t="shared" si="495"/>
        <v>0</v>
      </c>
      <c r="C1347">
        <f t="shared" si="496"/>
        <v>7</v>
      </c>
      <c r="D1347" t="str">
        <f>IF(包装物料出入库明细!$E1347="","",包装物料出入库明细!$F1347)</f>
        <v/>
      </c>
      <c r="E1347" t="str">
        <f>IF(包装物料出入库明细!$E1347="","",包装物料出入库明细!$G1347)</f>
        <v/>
      </c>
      <c r="K1347" t="str">
        <f>IF(包装物料出入库明细!$D1347="","",包装物料出入库明细!$D1347)</f>
        <v/>
      </c>
      <c r="L1347">
        <f t="shared" si="497"/>
        <v>0</v>
      </c>
      <c r="M1347">
        <f t="shared" si="498"/>
        <v>9</v>
      </c>
      <c r="Q1347" t="str">
        <f>IF(周转筐出入库明细!$D1348="","",周转筐出入库明细!$D1348)</f>
        <v/>
      </c>
      <c r="R1347">
        <f t="shared" si="499"/>
        <v>0</v>
      </c>
      <c r="S1347">
        <f t="shared" si="500"/>
        <v>5</v>
      </c>
      <c r="W1347" t="str">
        <f>IF(周转筐出入库明细!$C1348="","",周转筐出入库明细!$C1348)</f>
        <v/>
      </c>
      <c r="X1347">
        <f t="shared" si="501"/>
        <v>0</v>
      </c>
      <c r="Y1347">
        <f t="shared" si="502"/>
        <v>12</v>
      </c>
      <c r="AI1347" t="str">
        <f>IF(OR(对接源_01水果筐数!$B148="",LEFT(对接源_01水果筐数!$C148,2)&lt;&gt;"自备"),"",对接源_01水果筐数!$B148)</f>
        <v/>
      </c>
      <c r="AJ1347">
        <f t="shared" si="503"/>
        <v>0</v>
      </c>
      <c r="AK1347">
        <f t="shared" si="504"/>
        <v>6</v>
      </c>
      <c r="CP1347">
        <f>IF(包装物料出入库明细!$D1347="",0,1)</f>
        <v>0</v>
      </c>
      <c r="CQ1347">
        <f t="shared" si="505"/>
        <v>37</v>
      </c>
      <c r="CS1347" t="str">
        <f>IF(OR(周转筐出入库明细!$C1348="",周转筐出入库明细!$F1348&lt;&gt;"采购入库"),"",周转筐出入库明细!$C1348)</f>
        <v/>
      </c>
      <c r="CT1347">
        <f t="shared" si="506"/>
        <v>0</v>
      </c>
      <c r="CU1347">
        <f t="shared" si="507"/>
        <v>1</v>
      </c>
    </row>
    <row r="1348" spans="1:99">
      <c r="A1348" t="str">
        <f>IF(包装物料出入库明细!$E1348="","",包装物料出入库明细!$E1348)</f>
        <v/>
      </c>
      <c r="B1348">
        <f t="shared" ref="B1348:B1411" si="508">IF(A1348="",0,IF(MATCH(A1348,$A$4:$A$2003,0)=ROW()-3,1,0))</f>
        <v>0</v>
      </c>
      <c r="C1348">
        <f t="shared" ref="C1348:C1411" si="509">N(C1347)+B1348</f>
        <v>7</v>
      </c>
      <c r="D1348" t="str">
        <f>IF(包装物料出入库明细!$E1348="","",包装物料出入库明细!$F1348)</f>
        <v/>
      </c>
      <c r="E1348" t="str">
        <f>IF(包装物料出入库明细!$E1348="","",包装物料出入库明细!$G1348)</f>
        <v/>
      </c>
      <c r="K1348" t="str">
        <f>IF(包装物料出入库明细!$D1348="","",包装物料出入库明细!$D1348)</f>
        <v/>
      </c>
      <c r="L1348">
        <f t="shared" ref="L1348:L1411" si="510">IF(K1348="",0,IF(MATCH(K1348,$K$4:$K$2003,0)=ROW()-3,1,0))</f>
        <v>0</v>
      </c>
      <c r="M1348">
        <f t="shared" ref="M1348:M1411" si="511">N(M1347)+L1348</f>
        <v>9</v>
      </c>
      <c r="Q1348" t="str">
        <f>IF(周转筐出入库明细!$D1349="","",周转筐出入库明细!$D1349)</f>
        <v/>
      </c>
      <c r="R1348">
        <f t="shared" ref="R1348:R1411" si="512">IF(Q1348="",0,IF(MATCH(Q1348,$Q$4:$Q$2003,0)=ROW()-3,1,0))</f>
        <v>0</v>
      </c>
      <c r="S1348">
        <f t="shared" ref="S1348:S1411" si="513">N(S1347)+R1348</f>
        <v>5</v>
      </c>
      <c r="W1348" t="str">
        <f>IF(周转筐出入库明细!$C1349="","",周转筐出入库明细!$C1349)</f>
        <v/>
      </c>
      <c r="X1348">
        <f t="shared" ref="X1348:X1411" si="514">IF(W1348="",0,IF(MATCH(W1348,$W$4:$W$2003,0)=ROW()-3,1,0))</f>
        <v>0</v>
      </c>
      <c r="Y1348">
        <f t="shared" ref="Y1348:Y1411" si="515">N(Y1347)+X1348</f>
        <v>12</v>
      </c>
      <c r="AI1348" t="str">
        <f>IF(OR(对接源_01水果筐数!$B149="",LEFT(对接源_01水果筐数!$C149,2)&lt;&gt;"自备"),"",对接源_01水果筐数!$B149)</f>
        <v/>
      </c>
      <c r="AJ1348">
        <f t="shared" ref="AJ1348:AJ1411" si="516">IF(AI1348="",0,IF(MATCH(AI1348,$AI$4:$AI$1503,0)=ROW()-3,1,0))</f>
        <v>0</v>
      </c>
      <c r="AK1348">
        <f t="shared" ref="AK1348:AK1411" si="517">N(AK1347)+AJ1348</f>
        <v>6</v>
      </c>
      <c r="CP1348">
        <f>IF(包装物料出入库明细!$D1348="",0,1)</f>
        <v>0</v>
      </c>
      <c r="CQ1348">
        <f t="shared" ref="CQ1348:CQ1411" si="518">N(CQ1347)+$CP1348</f>
        <v>37</v>
      </c>
      <c r="CS1348" t="str">
        <f>IF(OR(周转筐出入库明细!$C1349="",周转筐出入库明细!$F1349&lt;&gt;"采购入库"),"",周转筐出入库明细!$C1349)</f>
        <v/>
      </c>
      <c r="CT1348">
        <f t="shared" ref="CT1348:CT1411" si="519">IF(CS1348="",0,IF(MATCH(CS1348,$CS$4:$CS$2003,0)=ROW()-3,1,0))</f>
        <v>0</v>
      </c>
      <c r="CU1348">
        <f t="shared" ref="CU1348:CU1411" si="520">N(CU1347)+CT1348</f>
        <v>1</v>
      </c>
    </row>
    <row r="1349" spans="1:99">
      <c r="A1349" t="str">
        <f>IF(包装物料出入库明细!$E1349="","",包装物料出入库明细!$E1349)</f>
        <v/>
      </c>
      <c r="B1349">
        <f t="shared" si="508"/>
        <v>0</v>
      </c>
      <c r="C1349">
        <f t="shared" si="509"/>
        <v>7</v>
      </c>
      <c r="D1349" t="str">
        <f>IF(包装物料出入库明细!$E1349="","",包装物料出入库明细!$F1349)</f>
        <v/>
      </c>
      <c r="E1349" t="str">
        <f>IF(包装物料出入库明细!$E1349="","",包装物料出入库明细!$G1349)</f>
        <v/>
      </c>
      <c r="K1349" t="str">
        <f>IF(包装物料出入库明细!$D1349="","",包装物料出入库明细!$D1349)</f>
        <v/>
      </c>
      <c r="L1349">
        <f t="shared" si="510"/>
        <v>0</v>
      </c>
      <c r="M1349">
        <f t="shared" si="511"/>
        <v>9</v>
      </c>
      <c r="Q1349" t="str">
        <f>IF(周转筐出入库明细!$D1350="","",周转筐出入库明细!$D1350)</f>
        <v/>
      </c>
      <c r="R1349">
        <f t="shared" si="512"/>
        <v>0</v>
      </c>
      <c r="S1349">
        <f t="shared" si="513"/>
        <v>5</v>
      </c>
      <c r="W1349" t="str">
        <f>IF(周转筐出入库明细!$C1350="","",周转筐出入库明细!$C1350)</f>
        <v/>
      </c>
      <c r="X1349">
        <f t="shared" si="514"/>
        <v>0</v>
      </c>
      <c r="Y1349">
        <f t="shared" si="515"/>
        <v>12</v>
      </c>
      <c r="AI1349" t="str">
        <f>IF(OR(对接源_01水果筐数!$B150="",LEFT(对接源_01水果筐数!$C150,2)&lt;&gt;"自备"),"",对接源_01水果筐数!$B150)</f>
        <v/>
      </c>
      <c r="AJ1349">
        <f t="shared" si="516"/>
        <v>0</v>
      </c>
      <c r="AK1349">
        <f t="shared" si="517"/>
        <v>6</v>
      </c>
      <c r="CP1349">
        <f>IF(包装物料出入库明细!$D1349="",0,1)</f>
        <v>0</v>
      </c>
      <c r="CQ1349">
        <f t="shared" si="518"/>
        <v>37</v>
      </c>
      <c r="CS1349" t="str">
        <f>IF(OR(周转筐出入库明细!$C1350="",周转筐出入库明细!$F1350&lt;&gt;"采购入库"),"",周转筐出入库明细!$C1350)</f>
        <v/>
      </c>
      <c r="CT1349">
        <f t="shared" si="519"/>
        <v>0</v>
      </c>
      <c r="CU1349">
        <f t="shared" si="520"/>
        <v>1</v>
      </c>
    </row>
    <row r="1350" spans="1:99">
      <c r="A1350" t="str">
        <f>IF(包装物料出入库明细!$E1350="","",包装物料出入库明细!$E1350)</f>
        <v/>
      </c>
      <c r="B1350">
        <f t="shared" si="508"/>
        <v>0</v>
      </c>
      <c r="C1350">
        <f t="shared" si="509"/>
        <v>7</v>
      </c>
      <c r="D1350" t="str">
        <f>IF(包装物料出入库明细!$E1350="","",包装物料出入库明细!$F1350)</f>
        <v/>
      </c>
      <c r="E1350" t="str">
        <f>IF(包装物料出入库明细!$E1350="","",包装物料出入库明细!$G1350)</f>
        <v/>
      </c>
      <c r="K1350" t="str">
        <f>IF(包装物料出入库明细!$D1350="","",包装物料出入库明细!$D1350)</f>
        <v/>
      </c>
      <c r="L1350">
        <f t="shared" si="510"/>
        <v>0</v>
      </c>
      <c r="M1350">
        <f t="shared" si="511"/>
        <v>9</v>
      </c>
      <c r="Q1350" t="str">
        <f>IF(周转筐出入库明细!$D1351="","",周转筐出入库明细!$D1351)</f>
        <v/>
      </c>
      <c r="R1350">
        <f t="shared" si="512"/>
        <v>0</v>
      </c>
      <c r="S1350">
        <f t="shared" si="513"/>
        <v>5</v>
      </c>
      <c r="W1350" t="str">
        <f>IF(周转筐出入库明细!$C1351="","",周转筐出入库明细!$C1351)</f>
        <v/>
      </c>
      <c r="X1350">
        <f t="shared" si="514"/>
        <v>0</v>
      </c>
      <c r="Y1350">
        <f t="shared" si="515"/>
        <v>12</v>
      </c>
      <c r="AI1350" t="str">
        <f>IF(OR(对接源_01水果筐数!$B151="",LEFT(对接源_01水果筐数!$C151,2)&lt;&gt;"自备"),"",对接源_01水果筐数!$B151)</f>
        <v/>
      </c>
      <c r="AJ1350">
        <f t="shared" si="516"/>
        <v>0</v>
      </c>
      <c r="AK1350">
        <f t="shared" si="517"/>
        <v>6</v>
      </c>
      <c r="CP1350">
        <f>IF(包装物料出入库明细!$D1350="",0,1)</f>
        <v>0</v>
      </c>
      <c r="CQ1350">
        <f t="shared" si="518"/>
        <v>37</v>
      </c>
      <c r="CS1350" t="str">
        <f>IF(OR(周转筐出入库明细!$C1351="",周转筐出入库明细!$F1351&lt;&gt;"采购入库"),"",周转筐出入库明细!$C1351)</f>
        <v/>
      </c>
      <c r="CT1350">
        <f t="shared" si="519"/>
        <v>0</v>
      </c>
      <c r="CU1350">
        <f t="shared" si="520"/>
        <v>1</v>
      </c>
    </row>
    <row r="1351" spans="1:99">
      <c r="A1351" t="str">
        <f>IF(包装物料出入库明细!$E1351="","",包装物料出入库明细!$E1351)</f>
        <v/>
      </c>
      <c r="B1351">
        <f t="shared" si="508"/>
        <v>0</v>
      </c>
      <c r="C1351">
        <f t="shared" si="509"/>
        <v>7</v>
      </c>
      <c r="D1351" t="str">
        <f>IF(包装物料出入库明细!$E1351="","",包装物料出入库明细!$F1351)</f>
        <v/>
      </c>
      <c r="E1351" t="str">
        <f>IF(包装物料出入库明细!$E1351="","",包装物料出入库明细!$G1351)</f>
        <v/>
      </c>
      <c r="K1351" t="str">
        <f>IF(包装物料出入库明细!$D1351="","",包装物料出入库明细!$D1351)</f>
        <v/>
      </c>
      <c r="L1351">
        <f t="shared" si="510"/>
        <v>0</v>
      </c>
      <c r="M1351">
        <f t="shared" si="511"/>
        <v>9</v>
      </c>
      <c r="Q1351" t="str">
        <f>IF(周转筐出入库明细!$D1352="","",周转筐出入库明细!$D1352)</f>
        <v/>
      </c>
      <c r="R1351">
        <f t="shared" si="512"/>
        <v>0</v>
      </c>
      <c r="S1351">
        <f t="shared" si="513"/>
        <v>5</v>
      </c>
      <c r="W1351" t="str">
        <f>IF(周转筐出入库明细!$C1352="","",周转筐出入库明细!$C1352)</f>
        <v/>
      </c>
      <c r="X1351">
        <f t="shared" si="514"/>
        <v>0</v>
      </c>
      <c r="Y1351">
        <f t="shared" si="515"/>
        <v>12</v>
      </c>
      <c r="AI1351" t="str">
        <f>IF(OR(对接源_01水果筐数!$B152="",LEFT(对接源_01水果筐数!$C152,2)&lt;&gt;"自备"),"",对接源_01水果筐数!$B152)</f>
        <v/>
      </c>
      <c r="AJ1351">
        <f t="shared" si="516"/>
        <v>0</v>
      </c>
      <c r="AK1351">
        <f t="shared" si="517"/>
        <v>6</v>
      </c>
      <c r="CP1351">
        <f>IF(包装物料出入库明细!$D1351="",0,1)</f>
        <v>0</v>
      </c>
      <c r="CQ1351">
        <f t="shared" si="518"/>
        <v>37</v>
      </c>
      <c r="CS1351" t="str">
        <f>IF(OR(周转筐出入库明细!$C1352="",周转筐出入库明细!$F1352&lt;&gt;"采购入库"),"",周转筐出入库明细!$C1352)</f>
        <v/>
      </c>
      <c r="CT1351">
        <f t="shared" si="519"/>
        <v>0</v>
      </c>
      <c r="CU1351">
        <f t="shared" si="520"/>
        <v>1</v>
      </c>
    </row>
    <row r="1352" spans="1:99">
      <c r="A1352" t="str">
        <f>IF(包装物料出入库明细!$E1352="","",包装物料出入库明细!$E1352)</f>
        <v/>
      </c>
      <c r="B1352">
        <f t="shared" si="508"/>
        <v>0</v>
      </c>
      <c r="C1352">
        <f t="shared" si="509"/>
        <v>7</v>
      </c>
      <c r="D1352" t="str">
        <f>IF(包装物料出入库明细!$E1352="","",包装物料出入库明细!$F1352)</f>
        <v/>
      </c>
      <c r="E1352" t="str">
        <f>IF(包装物料出入库明细!$E1352="","",包装物料出入库明细!$G1352)</f>
        <v/>
      </c>
      <c r="K1352" t="str">
        <f>IF(包装物料出入库明细!$D1352="","",包装物料出入库明细!$D1352)</f>
        <v/>
      </c>
      <c r="L1352">
        <f t="shared" si="510"/>
        <v>0</v>
      </c>
      <c r="M1352">
        <f t="shared" si="511"/>
        <v>9</v>
      </c>
      <c r="Q1352" t="str">
        <f>IF(周转筐出入库明细!$D1353="","",周转筐出入库明细!$D1353)</f>
        <v/>
      </c>
      <c r="R1352">
        <f t="shared" si="512"/>
        <v>0</v>
      </c>
      <c r="S1352">
        <f t="shared" si="513"/>
        <v>5</v>
      </c>
      <c r="W1352" t="str">
        <f>IF(周转筐出入库明细!$C1353="","",周转筐出入库明细!$C1353)</f>
        <v/>
      </c>
      <c r="X1352">
        <f t="shared" si="514"/>
        <v>0</v>
      </c>
      <c r="Y1352">
        <f t="shared" si="515"/>
        <v>12</v>
      </c>
      <c r="AI1352" t="str">
        <f>IF(OR(对接源_01水果筐数!$B153="",LEFT(对接源_01水果筐数!$C153,2)&lt;&gt;"自备"),"",对接源_01水果筐数!$B153)</f>
        <v/>
      </c>
      <c r="AJ1352">
        <f t="shared" si="516"/>
        <v>0</v>
      </c>
      <c r="AK1352">
        <f t="shared" si="517"/>
        <v>6</v>
      </c>
      <c r="CP1352">
        <f>IF(包装物料出入库明细!$D1352="",0,1)</f>
        <v>0</v>
      </c>
      <c r="CQ1352">
        <f t="shared" si="518"/>
        <v>37</v>
      </c>
      <c r="CS1352" t="str">
        <f>IF(OR(周转筐出入库明细!$C1353="",周转筐出入库明细!$F1353&lt;&gt;"采购入库"),"",周转筐出入库明细!$C1353)</f>
        <v/>
      </c>
      <c r="CT1352">
        <f t="shared" si="519"/>
        <v>0</v>
      </c>
      <c r="CU1352">
        <f t="shared" si="520"/>
        <v>1</v>
      </c>
    </row>
    <row r="1353" spans="1:99">
      <c r="A1353" t="str">
        <f>IF(包装物料出入库明细!$E1353="","",包装物料出入库明细!$E1353)</f>
        <v/>
      </c>
      <c r="B1353">
        <f t="shared" si="508"/>
        <v>0</v>
      </c>
      <c r="C1353">
        <f t="shared" si="509"/>
        <v>7</v>
      </c>
      <c r="D1353" t="str">
        <f>IF(包装物料出入库明细!$E1353="","",包装物料出入库明细!$F1353)</f>
        <v/>
      </c>
      <c r="E1353" t="str">
        <f>IF(包装物料出入库明细!$E1353="","",包装物料出入库明细!$G1353)</f>
        <v/>
      </c>
      <c r="K1353" t="str">
        <f>IF(包装物料出入库明细!$D1353="","",包装物料出入库明细!$D1353)</f>
        <v/>
      </c>
      <c r="L1353">
        <f t="shared" si="510"/>
        <v>0</v>
      </c>
      <c r="M1353">
        <f t="shared" si="511"/>
        <v>9</v>
      </c>
      <c r="Q1353" t="str">
        <f>IF(周转筐出入库明细!$D1354="","",周转筐出入库明细!$D1354)</f>
        <v/>
      </c>
      <c r="R1353">
        <f t="shared" si="512"/>
        <v>0</v>
      </c>
      <c r="S1353">
        <f t="shared" si="513"/>
        <v>5</v>
      </c>
      <c r="W1353" t="str">
        <f>IF(周转筐出入库明细!$C1354="","",周转筐出入库明细!$C1354)</f>
        <v/>
      </c>
      <c r="X1353">
        <f t="shared" si="514"/>
        <v>0</v>
      </c>
      <c r="Y1353">
        <f t="shared" si="515"/>
        <v>12</v>
      </c>
      <c r="AI1353" t="str">
        <f>IF(OR(对接源_01水果筐数!$B154="",LEFT(对接源_01水果筐数!$C154,2)&lt;&gt;"自备"),"",对接源_01水果筐数!$B154)</f>
        <v/>
      </c>
      <c r="AJ1353">
        <f t="shared" si="516"/>
        <v>0</v>
      </c>
      <c r="AK1353">
        <f t="shared" si="517"/>
        <v>6</v>
      </c>
      <c r="CP1353">
        <f>IF(包装物料出入库明细!$D1353="",0,1)</f>
        <v>0</v>
      </c>
      <c r="CQ1353">
        <f t="shared" si="518"/>
        <v>37</v>
      </c>
      <c r="CS1353" t="str">
        <f>IF(OR(周转筐出入库明细!$C1354="",周转筐出入库明细!$F1354&lt;&gt;"采购入库"),"",周转筐出入库明细!$C1354)</f>
        <v/>
      </c>
      <c r="CT1353">
        <f t="shared" si="519"/>
        <v>0</v>
      </c>
      <c r="CU1353">
        <f t="shared" si="520"/>
        <v>1</v>
      </c>
    </row>
    <row r="1354" spans="1:99">
      <c r="A1354" t="str">
        <f>IF(包装物料出入库明细!$E1354="","",包装物料出入库明细!$E1354)</f>
        <v/>
      </c>
      <c r="B1354">
        <f t="shared" si="508"/>
        <v>0</v>
      </c>
      <c r="C1354">
        <f t="shared" si="509"/>
        <v>7</v>
      </c>
      <c r="D1354" t="str">
        <f>IF(包装物料出入库明细!$E1354="","",包装物料出入库明细!$F1354)</f>
        <v/>
      </c>
      <c r="E1354" t="str">
        <f>IF(包装物料出入库明细!$E1354="","",包装物料出入库明细!$G1354)</f>
        <v/>
      </c>
      <c r="K1354" t="str">
        <f>IF(包装物料出入库明细!$D1354="","",包装物料出入库明细!$D1354)</f>
        <v/>
      </c>
      <c r="L1354">
        <f t="shared" si="510"/>
        <v>0</v>
      </c>
      <c r="M1354">
        <f t="shared" si="511"/>
        <v>9</v>
      </c>
      <c r="Q1354" t="str">
        <f>IF(周转筐出入库明细!$D1355="","",周转筐出入库明细!$D1355)</f>
        <v/>
      </c>
      <c r="R1354">
        <f t="shared" si="512"/>
        <v>0</v>
      </c>
      <c r="S1354">
        <f t="shared" si="513"/>
        <v>5</v>
      </c>
      <c r="W1354" t="str">
        <f>IF(周转筐出入库明细!$C1355="","",周转筐出入库明细!$C1355)</f>
        <v/>
      </c>
      <c r="X1354">
        <f t="shared" si="514"/>
        <v>0</v>
      </c>
      <c r="Y1354">
        <f t="shared" si="515"/>
        <v>12</v>
      </c>
      <c r="AI1354" t="str">
        <f>IF(OR(对接源_01水果筐数!$B155="",LEFT(对接源_01水果筐数!$C155,2)&lt;&gt;"自备"),"",对接源_01水果筐数!$B155)</f>
        <v/>
      </c>
      <c r="AJ1354">
        <f t="shared" si="516"/>
        <v>0</v>
      </c>
      <c r="AK1354">
        <f t="shared" si="517"/>
        <v>6</v>
      </c>
      <c r="CP1354">
        <f>IF(包装物料出入库明细!$D1354="",0,1)</f>
        <v>0</v>
      </c>
      <c r="CQ1354">
        <f t="shared" si="518"/>
        <v>37</v>
      </c>
      <c r="CS1354" t="str">
        <f>IF(OR(周转筐出入库明细!$C1355="",周转筐出入库明细!$F1355&lt;&gt;"采购入库"),"",周转筐出入库明细!$C1355)</f>
        <v/>
      </c>
      <c r="CT1354">
        <f t="shared" si="519"/>
        <v>0</v>
      </c>
      <c r="CU1354">
        <f t="shared" si="520"/>
        <v>1</v>
      </c>
    </row>
    <row r="1355" spans="1:99">
      <c r="A1355" t="str">
        <f>IF(包装物料出入库明细!$E1355="","",包装物料出入库明细!$E1355)</f>
        <v/>
      </c>
      <c r="B1355">
        <f t="shared" si="508"/>
        <v>0</v>
      </c>
      <c r="C1355">
        <f t="shared" si="509"/>
        <v>7</v>
      </c>
      <c r="D1355" t="str">
        <f>IF(包装物料出入库明细!$E1355="","",包装物料出入库明细!$F1355)</f>
        <v/>
      </c>
      <c r="E1355" t="str">
        <f>IF(包装物料出入库明细!$E1355="","",包装物料出入库明细!$G1355)</f>
        <v/>
      </c>
      <c r="K1355" t="str">
        <f>IF(包装物料出入库明细!$D1355="","",包装物料出入库明细!$D1355)</f>
        <v/>
      </c>
      <c r="L1355">
        <f t="shared" si="510"/>
        <v>0</v>
      </c>
      <c r="M1355">
        <f t="shared" si="511"/>
        <v>9</v>
      </c>
      <c r="Q1355" t="str">
        <f>IF(周转筐出入库明细!$D1356="","",周转筐出入库明细!$D1356)</f>
        <v/>
      </c>
      <c r="R1355">
        <f t="shared" si="512"/>
        <v>0</v>
      </c>
      <c r="S1355">
        <f t="shared" si="513"/>
        <v>5</v>
      </c>
      <c r="W1355" t="str">
        <f>IF(周转筐出入库明细!$C1356="","",周转筐出入库明细!$C1356)</f>
        <v/>
      </c>
      <c r="X1355">
        <f t="shared" si="514"/>
        <v>0</v>
      </c>
      <c r="Y1355">
        <f t="shared" si="515"/>
        <v>12</v>
      </c>
      <c r="AI1355" t="str">
        <f>IF(OR(对接源_01水果筐数!$B156="",LEFT(对接源_01水果筐数!$C156,2)&lt;&gt;"自备"),"",对接源_01水果筐数!$B156)</f>
        <v/>
      </c>
      <c r="AJ1355">
        <f t="shared" si="516"/>
        <v>0</v>
      </c>
      <c r="AK1355">
        <f t="shared" si="517"/>
        <v>6</v>
      </c>
      <c r="CP1355">
        <f>IF(包装物料出入库明细!$D1355="",0,1)</f>
        <v>0</v>
      </c>
      <c r="CQ1355">
        <f t="shared" si="518"/>
        <v>37</v>
      </c>
      <c r="CS1355" t="str">
        <f>IF(OR(周转筐出入库明细!$C1356="",周转筐出入库明细!$F1356&lt;&gt;"采购入库"),"",周转筐出入库明细!$C1356)</f>
        <v/>
      </c>
      <c r="CT1355">
        <f t="shared" si="519"/>
        <v>0</v>
      </c>
      <c r="CU1355">
        <f t="shared" si="520"/>
        <v>1</v>
      </c>
    </row>
    <row r="1356" spans="1:99">
      <c r="A1356" t="str">
        <f>IF(包装物料出入库明细!$E1356="","",包装物料出入库明细!$E1356)</f>
        <v/>
      </c>
      <c r="B1356">
        <f t="shared" si="508"/>
        <v>0</v>
      </c>
      <c r="C1356">
        <f t="shared" si="509"/>
        <v>7</v>
      </c>
      <c r="D1356" t="str">
        <f>IF(包装物料出入库明细!$E1356="","",包装物料出入库明细!$F1356)</f>
        <v/>
      </c>
      <c r="E1356" t="str">
        <f>IF(包装物料出入库明细!$E1356="","",包装物料出入库明细!$G1356)</f>
        <v/>
      </c>
      <c r="K1356" t="str">
        <f>IF(包装物料出入库明细!$D1356="","",包装物料出入库明细!$D1356)</f>
        <v/>
      </c>
      <c r="L1356">
        <f t="shared" si="510"/>
        <v>0</v>
      </c>
      <c r="M1356">
        <f t="shared" si="511"/>
        <v>9</v>
      </c>
      <c r="Q1356" t="str">
        <f>IF(周转筐出入库明细!$D1357="","",周转筐出入库明细!$D1357)</f>
        <v/>
      </c>
      <c r="R1356">
        <f t="shared" si="512"/>
        <v>0</v>
      </c>
      <c r="S1356">
        <f t="shared" si="513"/>
        <v>5</v>
      </c>
      <c r="W1356" t="str">
        <f>IF(周转筐出入库明细!$C1357="","",周转筐出入库明细!$C1357)</f>
        <v/>
      </c>
      <c r="X1356">
        <f t="shared" si="514"/>
        <v>0</v>
      </c>
      <c r="Y1356">
        <f t="shared" si="515"/>
        <v>12</v>
      </c>
      <c r="AI1356" t="str">
        <f>IF(OR(对接源_01水果筐数!$B157="",LEFT(对接源_01水果筐数!$C157,2)&lt;&gt;"自备"),"",对接源_01水果筐数!$B157)</f>
        <v/>
      </c>
      <c r="AJ1356">
        <f t="shared" si="516"/>
        <v>0</v>
      </c>
      <c r="AK1356">
        <f t="shared" si="517"/>
        <v>6</v>
      </c>
      <c r="CP1356">
        <f>IF(包装物料出入库明细!$D1356="",0,1)</f>
        <v>0</v>
      </c>
      <c r="CQ1356">
        <f t="shared" si="518"/>
        <v>37</v>
      </c>
      <c r="CS1356" t="str">
        <f>IF(OR(周转筐出入库明细!$C1357="",周转筐出入库明细!$F1357&lt;&gt;"采购入库"),"",周转筐出入库明细!$C1357)</f>
        <v/>
      </c>
      <c r="CT1356">
        <f t="shared" si="519"/>
        <v>0</v>
      </c>
      <c r="CU1356">
        <f t="shared" si="520"/>
        <v>1</v>
      </c>
    </row>
    <row r="1357" spans="1:99">
      <c r="A1357" t="str">
        <f>IF(包装物料出入库明细!$E1357="","",包装物料出入库明细!$E1357)</f>
        <v/>
      </c>
      <c r="B1357">
        <f t="shared" si="508"/>
        <v>0</v>
      </c>
      <c r="C1357">
        <f t="shared" si="509"/>
        <v>7</v>
      </c>
      <c r="D1357" t="str">
        <f>IF(包装物料出入库明细!$E1357="","",包装物料出入库明细!$F1357)</f>
        <v/>
      </c>
      <c r="E1357" t="str">
        <f>IF(包装物料出入库明细!$E1357="","",包装物料出入库明细!$G1357)</f>
        <v/>
      </c>
      <c r="K1357" t="str">
        <f>IF(包装物料出入库明细!$D1357="","",包装物料出入库明细!$D1357)</f>
        <v/>
      </c>
      <c r="L1357">
        <f t="shared" si="510"/>
        <v>0</v>
      </c>
      <c r="M1357">
        <f t="shared" si="511"/>
        <v>9</v>
      </c>
      <c r="Q1357" t="str">
        <f>IF(周转筐出入库明细!$D1358="","",周转筐出入库明细!$D1358)</f>
        <v/>
      </c>
      <c r="R1357">
        <f t="shared" si="512"/>
        <v>0</v>
      </c>
      <c r="S1357">
        <f t="shared" si="513"/>
        <v>5</v>
      </c>
      <c r="W1357" t="str">
        <f>IF(周转筐出入库明细!$C1358="","",周转筐出入库明细!$C1358)</f>
        <v/>
      </c>
      <c r="X1357">
        <f t="shared" si="514"/>
        <v>0</v>
      </c>
      <c r="Y1357">
        <f t="shared" si="515"/>
        <v>12</v>
      </c>
      <c r="AI1357" t="str">
        <f>IF(OR(对接源_01水果筐数!$B158="",LEFT(对接源_01水果筐数!$C158,2)&lt;&gt;"自备"),"",对接源_01水果筐数!$B158)</f>
        <v/>
      </c>
      <c r="AJ1357">
        <f t="shared" si="516"/>
        <v>0</v>
      </c>
      <c r="AK1357">
        <f t="shared" si="517"/>
        <v>6</v>
      </c>
      <c r="CP1357">
        <f>IF(包装物料出入库明细!$D1357="",0,1)</f>
        <v>0</v>
      </c>
      <c r="CQ1357">
        <f t="shared" si="518"/>
        <v>37</v>
      </c>
      <c r="CS1357" t="str">
        <f>IF(OR(周转筐出入库明细!$C1358="",周转筐出入库明细!$F1358&lt;&gt;"采购入库"),"",周转筐出入库明细!$C1358)</f>
        <v/>
      </c>
      <c r="CT1357">
        <f t="shared" si="519"/>
        <v>0</v>
      </c>
      <c r="CU1357">
        <f t="shared" si="520"/>
        <v>1</v>
      </c>
    </row>
    <row r="1358" spans="1:99">
      <c r="A1358" t="str">
        <f>IF(包装物料出入库明细!$E1358="","",包装物料出入库明细!$E1358)</f>
        <v/>
      </c>
      <c r="B1358">
        <f t="shared" si="508"/>
        <v>0</v>
      </c>
      <c r="C1358">
        <f t="shared" si="509"/>
        <v>7</v>
      </c>
      <c r="D1358" t="str">
        <f>IF(包装物料出入库明细!$E1358="","",包装物料出入库明细!$F1358)</f>
        <v/>
      </c>
      <c r="E1358" t="str">
        <f>IF(包装物料出入库明细!$E1358="","",包装物料出入库明细!$G1358)</f>
        <v/>
      </c>
      <c r="K1358" t="str">
        <f>IF(包装物料出入库明细!$D1358="","",包装物料出入库明细!$D1358)</f>
        <v/>
      </c>
      <c r="L1358">
        <f t="shared" si="510"/>
        <v>0</v>
      </c>
      <c r="M1358">
        <f t="shared" si="511"/>
        <v>9</v>
      </c>
      <c r="Q1358" t="str">
        <f>IF(周转筐出入库明细!$D1359="","",周转筐出入库明细!$D1359)</f>
        <v/>
      </c>
      <c r="R1358">
        <f t="shared" si="512"/>
        <v>0</v>
      </c>
      <c r="S1358">
        <f t="shared" si="513"/>
        <v>5</v>
      </c>
      <c r="W1358" t="str">
        <f>IF(周转筐出入库明细!$C1359="","",周转筐出入库明细!$C1359)</f>
        <v/>
      </c>
      <c r="X1358">
        <f t="shared" si="514"/>
        <v>0</v>
      </c>
      <c r="Y1358">
        <f t="shared" si="515"/>
        <v>12</v>
      </c>
      <c r="AI1358" t="str">
        <f>IF(OR(对接源_01水果筐数!$B159="",LEFT(对接源_01水果筐数!$C159,2)&lt;&gt;"自备"),"",对接源_01水果筐数!$B159)</f>
        <v/>
      </c>
      <c r="AJ1358">
        <f t="shared" si="516"/>
        <v>0</v>
      </c>
      <c r="AK1358">
        <f t="shared" si="517"/>
        <v>6</v>
      </c>
      <c r="CP1358">
        <f>IF(包装物料出入库明细!$D1358="",0,1)</f>
        <v>0</v>
      </c>
      <c r="CQ1358">
        <f t="shared" si="518"/>
        <v>37</v>
      </c>
      <c r="CS1358" t="str">
        <f>IF(OR(周转筐出入库明细!$C1359="",周转筐出入库明细!$F1359&lt;&gt;"采购入库"),"",周转筐出入库明细!$C1359)</f>
        <v/>
      </c>
      <c r="CT1358">
        <f t="shared" si="519"/>
        <v>0</v>
      </c>
      <c r="CU1358">
        <f t="shared" si="520"/>
        <v>1</v>
      </c>
    </row>
    <row r="1359" spans="1:99">
      <c r="A1359" t="str">
        <f>IF(包装物料出入库明细!$E1359="","",包装物料出入库明细!$E1359)</f>
        <v/>
      </c>
      <c r="B1359">
        <f t="shared" si="508"/>
        <v>0</v>
      </c>
      <c r="C1359">
        <f t="shared" si="509"/>
        <v>7</v>
      </c>
      <c r="D1359" t="str">
        <f>IF(包装物料出入库明细!$E1359="","",包装物料出入库明细!$F1359)</f>
        <v/>
      </c>
      <c r="E1359" t="str">
        <f>IF(包装物料出入库明细!$E1359="","",包装物料出入库明细!$G1359)</f>
        <v/>
      </c>
      <c r="K1359" t="str">
        <f>IF(包装物料出入库明细!$D1359="","",包装物料出入库明细!$D1359)</f>
        <v/>
      </c>
      <c r="L1359">
        <f t="shared" si="510"/>
        <v>0</v>
      </c>
      <c r="M1359">
        <f t="shared" si="511"/>
        <v>9</v>
      </c>
      <c r="Q1359" t="str">
        <f>IF(周转筐出入库明细!$D1360="","",周转筐出入库明细!$D1360)</f>
        <v/>
      </c>
      <c r="R1359">
        <f t="shared" si="512"/>
        <v>0</v>
      </c>
      <c r="S1359">
        <f t="shared" si="513"/>
        <v>5</v>
      </c>
      <c r="W1359" t="str">
        <f>IF(周转筐出入库明细!$C1360="","",周转筐出入库明细!$C1360)</f>
        <v/>
      </c>
      <c r="X1359">
        <f t="shared" si="514"/>
        <v>0</v>
      </c>
      <c r="Y1359">
        <f t="shared" si="515"/>
        <v>12</v>
      </c>
      <c r="AI1359" t="str">
        <f>IF(OR(对接源_01水果筐数!$B160="",LEFT(对接源_01水果筐数!$C160,2)&lt;&gt;"自备"),"",对接源_01水果筐数!$B160)</f>
        <v/>
      </c>
      <c r="AJ1359">
        <f t="shared" si="516"/>
        <v>0</v>
      </c>
      <c r="AK1359">
        <f t="shared" si="517"/>
        <v>6</v>
      </c>
      <c r="CP1359">
        <f>IF(包装物料出入库明细!$D1359="",0,1)</f>
        <v>0</v>
      </c>
      <c r="CQ1359">
        <f t="shared" si="518"/>
        <v>37</v>
      </c>
      <c r="CS1359" t="str">
        <f>IF(OR(周转筐出入库明细!$C1360="",周转筐出入库明细!$F1360&lt;&gt;"采购入库"),"",周转筐出入库明细!$C1360)</f>
        <v/>
      </c>
      <c r="CT1359">
        <f t="shared" si="519"/>
        <v>0</v>
      </c>
      <c r="CU1359">
        <f t="shared" si="520"/>
        <v>1</v>
      </c>
    </row>
    <row r="1360" spans="1:99">
      <c r="A1360" t="str">
        <f>IF(包装物料出入库明细!$E1360="","",包装物料出入库明细!$E1360)</f>
        <v/>
      </c>
      <c r="B1360">
        <f t="shared" si="508"/>
        <v>0</v>
      </c>
      <c r="C1360">
        <f t="shared" si="509"/>
        <v>7</v>
      </c>
      <c r="D1360" t="str">
        <f>IF(包装物料出入库明细!$E1360="","",包装物料出入库明细!$F1360)</f>
        <v/>
      </c>
      <c r="E1360" t="str">
        <f>IF(包装物料出入库明细!$E1360="","",包装物料出入库明细!$G1360)</f>
        <v/>
      </c>
      <c r="K1360" t="str">
        <f>IF(包装物料出入库明细!$D1360="","",包装物料出入库明细!$D1360)</f>
        <v/>
      </c>
      <c r="L1360">
        <f t="shared" si="510"/>
        <v>0</v>
      </c>
      <c r="M1360">
        <f t="shared" si="511"/>
        <v>9</v>
      </c>
      <c r="Q1360" t="str">
        <f>IF(周转筐出入库明细!$D1361="","",周转筐出入库明细!$D1361)</f>
        <v/>
      </c>
      <c r="R1360">
        <f t="shared" si="512"/>
        <v>0</v>
      </c>
      <c r="S1360">
        <f t="shared" si="513"/>
        <v>5</v>
      </c>
      <c r="W1360" t="str">
        <f>IF(周转筐出入库明细!$C1361="","",周转筐出入库明细!$C1361)</f>
        <v/>
      </c>
      <c r="X1360">
        <f t="shared" si="514"/>
        <v>0</v>
      </c>
      <c r="Y1360">
        <f t="shared" si="515"/>
        <v>12</v>
      </c>
      <c r="AI1360" t="str">
        <f>IF(OR(对接源_01水果筐数!$B161="",LEFT(对接源_01水果筐数!$C161,2)&lt;&gt;"自备"),"",对接源_01水果筐数!$B161)</f>
        <v/>
      </c>
      <c r="AJ1360">
        <f t="shared" si="516"/>
        <v>0</v>
      </c>
      <c r="AK1360">
        <f t="shared" si="517"/>
        <v>6</v>
      </c>
      <c r="CP1360">
        <f>IF(包装物料出入库明细!$D1360="",0,1)</f>
        <v>0</v>
      </c>
      <c r="CQ1360">
        <f t="shared" si="518"/>
        <v>37</v>
      </c>
      <c r="CS1360" t="str">
        <f>IF(OR(周转筐出入库明细!$C1361="",周转筐出入库明细!$F1361&lt;&gt;"采购入库"),"",周转筐出入库明细!$C1361)</f>
        <v/>
      </c>
      <c r="CT1360">
        <f t="shared" si="519"/>
        <v>0</v>
      </c>
      <c r="CU1360">
        <f t="shared" si="520"/>
        <v>1</v>
      </c>
    </row>
    <row r="1361" spans="1:99">
      <c r="A1361" t="str">
        <f>IF(包装物料出入库明细!$E1361="","",包装物料出入库明细!$E1361)</f>
        <v/>
      </c>
      <c r="B1361">
        <f t="shared" si="508"/>
        <v>0</v>
      </c>
      <c r="C1361">
        <f t="shared" si="509"/>
        <v>7</v>
      </c>
      <c r="D1361" t="str">
        <f>IF(包装物料出入库明细!$E1361="","",包装物料出入库明细!$F1361)</f>
        <v/>
      </c>
      <c r="E1361" t="str">
        <f>IF(包装物料出入库明细!$E1361="","",包装物料出入库明细!$G1361)</f>
        <v/>
      </c>
      <c r="K1361" t="str">
        <f>IF(包装物料出入库明细!$D1361="","",包装物料出入库明细!$D1361)</f>
        <v/>
      </c>
      <c r="L1361">
        <f t="shared" si="510"/>
        <v>0</v>
      </c>
      <c r="M1361">
        <f t="shared" si="511"/>
        <v>9</v>
      </c>
      <c r="Q1361" t="str">
        <f>IF(周转筐出入库明细!$D1362="","",周转筐出入库明细!$D1362)</f>
        <v/>
      </c>
      <c r="R1361">
        <f t="shared" si="512"/>
        <v>0</v>
      </c>
      <c r="S1361">
        <f t="shared" si="513"/>
        <v>5</v>
      </c>
      <c r="W1361" t="str">
        <f>IF(周转筐出入库明细!$C1362="","",周转筐出入库明细!$C1362)</f>
        <v/>
      </c>
      <c r="X1361">
        <f t="shared" si="514"/>
        <v>0</v>
      </c>
      <c r="Y1361">
        <f t="shared" si="515"/>
        <v>12</v>
      </c>
      <c r="AI1361" t="str">
        <f>IF(OR(对接源_01水果筐数!$B162="",LEFT(对接源_01水果筐数!$C162,2)&lt;&gt;"自备"),"",对接源_01水果筐数!$B162)</f>
        <v/>
      </c>
      <c r="AJ1361">
        <f t="shared" si="516"/>
        <v>0</v>
      </c>
      <c r="AK1361">
        <f t="shared" si="517"/>
        <v>6</v>
      </c>
      <c r="CP1361">
        <f>IF(包装物料出入库明细!$D1361="",0,1)</f>
        <v>0</v>
      </c>
      <c r="CQ1361">
        <f t="shared" si="518"/>
        <v>37</v>
      </c>
      <c r="CS1361" t="str">
        <f>IF(OR(周转筐出入库明细!$C1362="",周转筐出入库明细!$F1362&lt;&gt;"采购入库"),"",周转筐出入库明细!$C1362)</f>
        <v/>
      </c>
      <c r="CT1361">
        <f t="shared" si="519"/>
        <v>0</v>
      </c>
      <c r="CU1361">
        <f t="shared" si="520"/>
        <v>1</v>
      </c>
    </row>
    <row r="1362" spans="1:99">
      <c r="A1362" t="str">
        <f>IF(包装物料出入库明细!$E1362="","",包装物料出入库明细!$E1362)</f>
        <v/>
      </c>
      <c r="B1362">
        <f t="shared" si="508"/>
        <v>0</v>
      </c>
      <c r="C1362">
        <f t="shared" si="509"/>
        <v>7</v>
      </c>
      <c r="D1362" t="str">
        <f>IF(包装物料出入库明细!$E1362="","",包装物料出入库明细!$F1362)</f>
        <v/>
      </c>
      <c r="E1362" t="str">
        <f>IF(包装物料出入库明细!$E1362="","",包装物料出入库明细!$G1362)</f>
        <v/>
      </c>
      <c r="K1362" t="str">
        <f>IF(包装物料出入库明细!$D1362="","",包装物料出入库明细!$D1362)</f>
        <v/>
      </c>
      <c r="L1362">
        <f t="shared" si="510"/>
        <v>0</v>
      </c>
      <c r="M1362">
        <f t="shared" si="511"/>
        <v>9</v>
      </c>
      <c r="Q1362" t="str">
        <f>IF(周转筐出入库明细!$D1363="","",周转筐出入库明细!$D1363)</f>
        <v/>
      </c>
      <c r="R1362">
        <f t="shared" si="512"/>
        <v>0</v>
      </c>
      <c r="S1362">
        <f t="shared" si="513"/>
        <v>5</v>
      </c>
      <c r="W1362" t="str">
        <f>IF(周转筐出入库明细!$C1363="","",周转筐出入库明细!$C1363)</f>
        <v/>
      </c>
      <c r="X1362">
        <f t="shared" si="514"/>
        <v>0</v>
      </c>
      <c r="Y1362">
        <f t="shared" si="515"/>
        <v>12</v>
      </c>
      <c r="AI1362" t="str">
        <f>IF(OR(对接源_01水果筐数!$B163="",LEFT(对接源_01水果筐数!$C163,2)&lt;&gt;"自备"),"",对接源_01水果筐数!$B163)</f>
        <v/>
      </c>
      <c r="AJ1362">
        <f t="shared" si="516"/>
        <v>0</v>
      </c>
      <c r="AK1362">
        <f t="shared" si="517"/>
        <v>6</v>
      </c>
      <c r="CP1362">
        <f>IF(包装物料出入库明细!$D1362="",0,1)</f>
        <v>0</v>
      </c>
      <c r="CQ1362">
        <f t="shared" si="518"/>
        <v>37</v>
      </c>
      <c r="CS1362" t="str">
        <f>IF(OR(周转筐出入库明细!$C1363="",周转筐出入库明细!$F1363&lt;&gt;"采购入库"),"",周转筐出入库明细!$C1363)</f>
        <v/>
      </c>
      <c r="CT1362">
        <f t="shared" si="519"/>
        <v>0</v>
      </c>
      <c r="CU1362">
        <f t="shared" si="520"/>
        <v>1</v>
      </c>
    </row>
    <row r="1363" spans="1:99">
      <c r="A1363" t="str">
        <f>IF(包装物料出入库明细!$E1363="","",包装物料出入库明细!$E1363)</f>
        <v/>
      </c>
      <c r="B1363">
        <f t="shared" si="508"/>
        <v>0</v>
      </c>
      <c r="C1363">
        <f t="shared" si="509"/>
        <v>7</v>
      </c>
      <c r="D1363" t="str">
        <f>IF(包装物料出入库明细!$E1363="","",包装物料出入库明细!$F1363)</f>
        <v/>
      </c>
      <c r="E1363" t="str">
        <f>IF(包装物料出入库明细!$E1363="","",包装物料出入库明细!$G1363)</f>
        <v/>
      </c>
      <c r="K1363" t="str">
        <f>IF(包装物料出入库明细!$D1363="","",包装物料出入库明细!$D1363)</f>
        <v/>
      </c>
      <c r="L1363">
        <f t="shared" si="510"/>
        <v>0</v>
      </c>
      <c r="M1363">
        <f t="shared" si="511"/>
        <v>9</v>
      </c>
      <c r="Q1363" t="str">
        <f>IF(周转筐出入库明细!$D1364="","",周转筐出入库明细!$D1364)</f>
        <v/>
      </c>
      <c r="R1363">
        <f t="shared" si="512"/>
        <v>0</v>
      </c>
      <c r="S1363">
        <f t="shared" si="513"/>
        <v>5</v>
      </c>
      <c r="W1363" t="str">
        <f>IF(周转筐出入库明细!$C1364="","",周转筐出入库明细!$C1364)</f>
        <v/>
      </c>
      <c r="X1363">
        <f t="shared" si="514"/>
        <v>0</v>
      </c>
      <c r="Y1363">
        <f t="shared" si="515"/>
        <v>12</v>
      </c>
      <c r="AI1363" t="str">
        <f>IF(OR(对接源_01水果筐数!$B164="",LEFT(对接源_01水果筐数!$C164,2)&lt;&gt;"自备"),"",对接源_01水果筐数!$B164)</f>
        <v/>
      </c>
      <c r="AJ1363">
        <f t="shared" si="516"/>
        <v>0</v>
      </c>
      <c r="AK1363">
        <f t="shared" si="517"/>
        <v>6</v>
      </c>
      <c r="CP1363">
        <f>IF(包装物料出入库明细!$D1363="",0,1)</f>
        <v>0</v>
      </c>
      <c r="CQ1363">
        <f t="shared" si="518"/>
        <v>37</v>
      </c>
      <c r="CS1363" t="str">
        <f>IF(OR(周转筐出入库明细!$C1364="",周转筐出入库明细!$F1364&lt;&gt;"采购入库"),"",周转筐出入库明细!$C1364)</f>
        <v/>
      </c>
      <c r="CT1363">
        <f t="shared" si="519"/>
        <v>0</v>
      </c>
      <c r="CU1363">
        <f t="shared" si="520"/>
        <v>1</v>
      </c>
    </row>
    <row r="1364" spans="1:99">
      <c r="A1364" t="str">
        <f>IF(包装物料出入库明细!$E1364="","",包装物料出入库明细!$E1364)</f>
        <v/>
      </c>
      <c r="B1364">
        <f t="shared" si="508"/>
        <v>0</v>
      </c>
      <c r="C1364">
        <f t="shared" si="509"/>
        <v>7</v>
      </c>
      <c r="D1364" t="str">
        <f>IF(包装物料出入库明细!$E1364="","",包装物料出入库明细!$F1364)</f>
        <v/>
      </c>
      <c r="E1364" t="str">
        <f>IF(包装物料出入库明细!$E1364="","",包装物料出入库明细!$G1364)</f>
        <v/>
      </c>
      <c r="K1364" t="str">
        <f>IF(包装物料出入库明细!$D1364="","",包装物料出入库明细!$D1364)</f>
        <v/>
      </c>
      <c r="L1364">
        <f t="shared" si="510"/>
        <v>0</v>
      </c>
      <c r="M1364">
        <f t="shared" si="511"/>
        <v>9</v>
      </c>
      <c r="Q1364" t="str">
        <f>IF(周转筐出入库明细!$D1365="","",周转筐出入库明细!$D1365)</f>
        <v/>
      </c>
      <c r="R1364">
        <f t="shared" si="512"/>
        <v>0</v>
      </c>
      <c r="S1364">
        <f t="shared" si="513"/>
        <v>5</v>
      </c>
      <c r="W1364" t="str">
        <f>IF(周转筐出入库明细!$C1365="","",周转筐出入库明细!$C1365)</f>
        <v/>
      </c>
      <c r="X1364">
        <f t="shared" si="514"/>
        <v>0</v>
      </c>
      <c r="Y1364">
        <f t="shared" si="515"/>
        <v>12</v>
      </c>
      <c r="AI1364" t="str">
        <f>IF(OR(对接源_01水果筐数!$B165="",LEFT(对接源_01水果筐数!$C165,2)&lt;&gt;"自备"),"",对接源_01水果筐数!$B165)</f>
        <v/>
      </c>
      <c r="AJ1364">
        <f t="shared" si="516"/>
        <v>0</v>
      </c>
      <c r="AK1364">
        <f t="shared" si="517"/>
        <v>6</v>
      </c>
      <c r="CP1364">
        <f>IF(包装物料出入库明细!$D1364="",0,1)</f>
        <v>0</v>
      </c>
      <c r="CQ1364">
        <f t="shared" si="518"/>
        <v>37</v>
      </c>
      <c r="CS1364" t="str">
        <f>IF(OR(周转筐出入库明细!$C1365="",周转筐出入库明细!$F1365&lt;&gt;"采购入库"),"",周转筐出入库明细!$C1365)</f>
        <v/>
      </c>
      <c r="CT1364">
        <f t="shared" si="519"/>
        <v>0</v>
      </c>
      <c r="CU1364">
        <f t="shared" si="520"/>
        <v>1</v>
      </c>
    </row>
    <row r="1365" spans="1:99">
      <c r="A1365" t="str">
        <f>IF(包装物料出入库明细!$E1365="","",包装物料出入库明细!$E1365)</f>
        <v/>
      </c>
      <c r="B1365">
        <f t="shared" si="508"/>
        <v>0</v>
      </c>
      <c r="C1365">
        <f t="shared" si="509"/>
        <v>7</v>
      </c>
      <c r="D1365" t="str">
        <f>IF(包装物料出入库明细!$E1365="","",包装物料出入库明细!$F1365)</f>
        <v/>
      </c>
      <c r="E1365" t="str">
        <f>IF(包装物料出入库明细!$E1365="","",包装物料出入库明细!$G1365)</f>
        <v/>
      </c>
      <c r="K1365" t="str">
        <f>IF(包装物料出入库明细!$D1365="","",包装物料出入库明细!$D1365)</f>
        <v/>
      </c>
      <c r="L1365">
        <f t="shared" si="510"/>
        <v>0</v>
      </c>
      <c r="M1365">
        <f t="shared" si="511"/>
        <v>9</v>
      </c>
      <c r="Q1365" t="str">
        <f>IF(周转筐出入库明细!$D1366="","",周转筐出入库明细!$D1366)</f>
        <v/>
      </c>
      <c r="R1365">
        <f t="shared" si="512"/>
        <v>0</v>
      </c>
      <c r="S1365">
        <f t="shared" si="513"/>
        <v>5</v>
      </c>
      <c r="W1365" t="str">
        <f>IF(周转筐出入库明细!$C1366="","",周转筐出入库明细!$C1366)</f>
        <v/>
      </c>
      <c r="X1365">
        <f t="shared" si="514"/>
        <v>0</v>
      </c>
      <c r="Y1365">
        <f t="shared" si="515"/>
        <v>12</v>
      </c>
      <c r="AI1365" t="str">
        <f>IF(OR(对接源_01水果筐数!$B166="",LEFT(对接源_01水果筐数!$C166,2)&lt;&gt;"自备"),"",对接源_01水果筐数!$B166)</f>
        <v/>
      </c>
      <c r="AJ1365">
        <f t="shared" si="516"/>
        <v>0</v>
      </c>
      <c r="AK1365">
        <f t="shared" si="517"/>
        <v>6</v>
      </c>
      <c r="CP1365">
        <f>IF(包装物料出入库明细!$D1365="",0,1)</f>
        <v>0</v>
      </c>
      <c r="CQ1365">
        <f t="shared" si="518"/>
        <v>37</v>
      </c>
      <c r="CS1365" t="str">
        <f>IF(OR(周转筐出入库明细!$C1366="",周转筐出入库明细!$F1366&lt;&gt;"采购入库"),"",周转筐出入库明细!$C1366)</f>
        <v/>
      </c>
      <c r="CT1365">
        <f t="shared" si="519"/>
        <v>0</v>
      </c>
      <c r="CU1365">
        <f t="shared" si="520"/>
        <v>1</v>
      </c>
    </row>
    <row r="1366" spans="1:99">
      <c r="A1366" t="str">
        <f>IF(包装物料出入库明细!$E1366="","",包装物料出入库明细!$E1366)</f>
        <v/>
      </c>
      <c r="B1366">
        <f t="shared" si="508"/>
        <v>0</v>
      </c>
      <c r="C1366">
        <f t="shared" si="509"/>
        <v>7</v>
      </c>
      <c r="D1366" t="str">
        <f>IF(包装物料出入库明细!$E1366="","",包装物料出入库明细!$F1366)</f>
        <v/>
      </c>
      <c r="E1366" t="str">
        <f>IF(包装物料出入库明细!$E1366="","",包装物料出入库明细!$G1366)</f>
        <v/>
      </c>
      <c r="K1366" t="str">
        <f>IF(包装物料出入库明细!$D1366="","",包装物料出入库明细!$D1366)</f>
        <v/>
      </c>
      <c r="L1366">
        <f t="shared" si="510"/>
        <v>0</v>
      </c>
      <c r="M1366">
        <f t="shared" si="511"/>
        <v>9</v>
      </c>
      <c r="Q1366" t="str">
        <f>IF(周转筐出入库明细!$D1367="","",周转筐出入库明细!$D1367)</f>
        <v/>
      </c>
      <c r="R1366">
        <f t="shared" si="512"/>
        <v>0</v>
      </c>
      <c r="S1366">
        <f t="shared" si="513"/>
        <v>5</v>
      </c>
      <c r="W1366" t="str">
        <f>IF(周转筐出入库明细!$C1367="","",周转筐出入库明细!$C1367)</f>
        <v/>
      </c>
      <c r="X1366">
        <f t="shared" si="514"/>
        <v>0</v>
      </c>
      <c r="Y1366">
        <f t="shared" si="515"/>
        <v>12</v>
      </c>
      <c r="AI1366" t="str">
        <f>IF(OR(对接源_01水果筐数!$B167="",LEFT(对接源_01水果筐数!$C167,2)&lt;&gt;"自备"),"",对接源_01水果筐数!$B167)</f>
        <v/>
      </c>
      <c r="AJ1366">
        <f t="shared" si="516"/>
        <v>0</v>
      </c>
      <c r="AK1366">
        <f t="shared" si="517"/>
        <v>6</v>
      </c>
      <c r="CP1366">
        <f>IF(包装物料出入库明细!$D1366="",0,1)</f>
        <v>0</v>
      </c>
      <c r="CQ1366">
        <f t="shared" si="518"/>
        <v>37</v>
      </c>
      <c r="CS1366" t="str">
        <f>IF(OR(周转筐出入库明细!$C1367="",周转筐出入库明细!$F1367&lt;&gt;"采购入库"),"",周转筐出入库明细!$C1367)</f>
        <v/>
      </c>
      <c r="CT1366">
        <f t="shared" si="519"/>
        <v>0</v>
      </c>
      <c r="CU1366">
        <f t="shared" si="520"/>
        <v>1</v>
      </c>
    </row>
    <row r="1367" spans="1:99">
      <c r="A1367" t="str">
        <f>IF(包装物料出入库明细!$E1367="","",包装物料出入库明细!$E1367)</f>
        <v/>
      </c>
      <c r="B1367">
        <f t="shared" si="508"/>
        <v>0</v>
      </c>
      <c r="C1367">
        <f t="shared" si="509"/>
        <v>7</v>
      </c>
      <c r="D1367" t="str">
        <f>IF(包装物料出入库明细!$E1367="","",包装物料出入库明细!$F1367)</f>
        <v/>
      </c>
      <c r="E1367" t="str">
        <f>IF(包装物料出入库明细!$E1367="","",包装物料出入库明细!$G1367)</f>
        <v/>
      </c>
      <c r="K1367" t="str">
        <f>IF(包装物料出入库明细!$D1367="","",包装物料出入库明细!$D1367)</f>
        <v/>
      </c>
      <c r="L1367">
        <f t="shared" si="510"/>
        <v>0</v>
      </c>
      <c r="M1367">
        <f t="shared" si="511"/>
        <v>9</v>
      </c>
      <c r="Q1367" t="str">
        <f>IF(周转筐出入库明细!$D1368="","",周转筐出入库明细!$D1368)</f>
        <v/>
      </c>
      <c r="R1367">
        <f t="shared" si="512"/>
        <v>0</v>
      </c>
      <c r="S1367">
        <f t="shared" si="513"/>
        <v>5</v>
      </c>
      <c r="W1367" t="str">
        <f>IF(周转筐出入库明细!$C1368="","",周转筐出入库明细!$C1368)</f>
        <v/>
      </c>
      <c r="X1367">
        <f t="shared" si="514"/>
        <v>0</v>
      </c>
      <c r="Y1367">
        <f t="shared" si="515"/>
        <v>12</v>
      </c>
      <c r="AI1367" t="str">
        <f>IF(OR(对接源_01水果筐数!$B168="",LEFT(对接源_01水果筐数!$C168,2)&lt;&gt;"自备"),"",对接源_01水果筐数!$B168)</f>
        <v/>
      </c>
      <c r="AJ1367">
        <f t="shared" si="516"/>
        <v>0</v>
      </c>
      <c r="AK1367">
        <f t="shared" si="517"/>
        <v>6</v>
      </c>
      <c r="CP1367">
        <f>IF(包装物料出入库明细!$D1367="",0,1)</f>
        <v>0</v>
      </c>
      <c r="CQ1367">
        <f t="shared" si="518"/>
        <v>37</v>
      </c>
      <c r="CS1367" t="str">
        <f>IF(OR(周转筐出入库明细!$C1368="",周转筐出入库明细!$F1368&lt;&gt;"采购入库"),"",周转筐出入库明细!$C1368)</f>
        <v/>
      </c>
      <c r="CT1367">
        <f t="shared" si="519"/>
        <v>0</v>
      </c>
      <c r="CU1367">
        <f t="shared" si="520"/>
        <v>1</v>
      </c>
    </row>
    <row r="1368" spans="1:99">
      <c r="A1368" t="str">
        <f>IF(包装物料出入库明细!$E1368="","",包装物料出入库明细!$E1368)</f>
        <v/>
      </c>
      <c r="B1368">
        <f t="shared" si="508"/>
        <v>0</v>
      </c>
      <c r="C1368">
        <f t="shared" si="509"/>
        <v>7</v>
      </c>
      <c r="D1368" t="str">
        <f>IF(包装物料出入库明细!$E1368="","",包装物料出入库明细!$F1368)</f>
        <v/>
      </c>
      <c r="E1368" t="str">
        <f>IF(包装物料出入库明细!$E1368="","",包装物料出入库明细!$G1368)</f>
        <v/>
      </c>
      <c r="K1368" t="str">
        <f>IF(包装物料出入库明细!$D1368="","",包装物料出入库明细!$D1368)</f>
        <v/>
      </c>
      <c r="L1368">
        <f t="shared" si="510"/>
        <v>0</v>
      </c>
      <c r="M1368">
        <f t="shared" si="511"/>
        <v>9</v>
      </c>
      <c r="Q1368" t="str">
        <f>IF(周转筐出入库明细!$D1369="","",周转筐出入库明细!$D1369)</f>
        <v/>
      </c>
      <c r="R1368">
        <f t="shared" si="512"/>
        <v>0</v>
      </c>
      <c r="S1368">
        <f t="shared" si="513"/>
        <v>5</v>
      </c>
      <c r="W1368" t="str">
        <f>IF(周转筐出入库明细!$C1369="","",周转筐出入库明细!$C1369)</f>
        <v/>
      </c>
      <c r="X1368">
        <f t="shared" si="514"/>
        <v>0</v>
      </c>
      <c r="Y1368">
        <f t="shared" si="515"/>
        <v>12</v>
      </c>
      <c r="AI1368" t="str">
        <f>IF(OR(对接源_01水果筐数!$B169="",LEFT(对接源_01水果筐数!$C169,2)&lt;&gt;"自备"),"",对接源_01水果筐数!$B169)</f>
        <v/>
      </c>
      <c r="AJ1368">
        <f t="shared" si="516"/>
        <v>0</v>
      </c>
      <c r="AK1368">
        <f t="shared" si="517"/>
        <v>6</v>
      </c>
      <c r="CP1368">
        <f>IF(包装物料出入库明细!$D1368="",0,1)</f>
        <v>0</v>
      </c>
      <c r="CQ1368">
        <f t="shared" si="518"/>
        <v>37</v>
      </c>
      <c r="CS1368" t="str">
        <f>IF(OR(周转筐出入库明细!$C1369="",周转筐出入库明细!$F1369&lt;&gt;"采购入库"),"",周转筐出入库明细!$C1369)</f>
        <v/>
      </c>
      <c r="CT1368">
        <f t="shared" si="519"/>
        <v>0</v>
      </c>
      <c r="CU1368">
        <f t="shared" si="520"/>
        <v>1</v>
      </c>
    </row>
    <row r="1369" spans="1:99">
      <c r="A1369" t="str">
        <f>IF(包装物料出入库明细!$E1369="","",包装物料出入库明细!$E1369)</f>
        <v/>
      </c>
      <c r="B1369">
        <f t="shared" si="508"/>
        <v>0</v>
      </c>
      <c r="C1369">
        <f t="shared" si="509"/>
        <v>7</v>
      </c>
      <c r="D1369" t="str">
        <f>IF(包装物料出入库明细!$E1369="","",包装物料出入库明细!$F1369)</f>
        <v/>
      </c>
      <c r="E1369" t="str">
        <f>IF(包装物料出入库明细!$E1369="","",包装物料出入库明细!$G1369)</f>
        <v/>
      </c>
      <c r="K1369" t="str">
        <f>IF(包装物料出入库明细!$D1369="","",包装物料出入库明细!$D1369)</f>
        <v/>
      </c>
      <c r="L1369">
        <f t="shared" si="510"/>
        <v>0</v>
      </c>
      <c r="M1369">
        <f t="shared" si="511"/>
        <v>9</v>
      </c>
      <c r="Q1369" t="str">
        <f>IF(周转筐出入库明细!$D1370="","",周转筐出入库明细!$D1370)</f>
        <v/>
      </c>
      <c r="R1369">
        <f t="shared" si="512"/>
        <v>0</v>
      </c>
      <c r="S1369">
        <f t="shared" si="513"/>
        <v>5</v>
      </c>
      <c r="W1369" t="str">
        <f>IF(周转筐出入库明细!$C1370="","",周转筐出入库明细!$C1370)</f>
        <v/>
      </c>
      <c r="X1369">
        <f t="shared" si="514"/>
        <v>0</v>
      </c>
      <c r="Y1369">
        <f t="shared" si="515"/>
        <v>12</v>
      </c>
      <c r="AI1369" t="str">
        <f>IF(OR(对接源_01水果筐数!$B170="",LEFT(对接源_01水果筐数!$C170,2)&lt;&gt;"自备"),"",对接源_01水果筐数!$B170)</f>
        <v/>
      </c>
      <c r="AJ1369">
        <f t="shared" si="516"/>
        <v>0</v>
      </c>
      <c r="AK1369">
        <f t="shared" si="517"/>
        <v>6</v>
      </c>
      <c r="CP1369">
        <f>IF(包装物料出入库明细!$D1369="",0,1)</f>
        <v>0</v>
      </c>
      <c r="CQ1369">
        <f t="shared" si="518"/>
        <v>37</v>
      </c>
      <c r="CS1369" t="str">
        <f>IF(OR(周转筐出入库明细!$C1370="",周转筐出入库明细!$F1370&lt;&gt;"采购入库"),"",周转筐出入库明细!$C1370)</f>
        <v/>
      </c>
      <c r="CT1369">
        <f t="shared" si="519"/>
        <v>0</v>
      </c>
      <c r="CU1369">
        <f t="shared" si="520"/>
        <v>1</v>
      </c>
    </row>
    <row r="1370" spans="1:99">
      <c r="A1370" t="str">
        <f>IF(包装物料出入库明细!$E1370="","",包装物料出入库明细!$E1370)</f>
        <v/>
      </c>
      <c r="B1370">
        <f t="shared" si="508"/>
        <v>0</v>
      </c>
      <c r="C1370">
        <f t="shared" si="509"/>
        <v>7</v>
      </c>
      <c r="D1370" t="str">
        <f>IF(包装物料出入库明细!$E1370="","",包装物料出入库明细!$F1370)</f>
        <v/>
      </c>
      <c r="E1370" t="str">
        <f>IF(包装物料出入库明细!$E1370="","",包装物料出入库明细!$G1370)</f>
        <v/>
      </c>
      <c r="K1370" t="str">
        <f>IF(包装物料出入库明细!$D1370="","",包装物料出入库明细!$D1370)</f>
        <v/>
      </c>
      <c r="L1370">
        <f t="shared" si="510"/>
        <v>0</v>
      </c>
      <c r="M1370">
        <f t="shared" si="511"/>
        <v>9</v>
      </c>
      <c r="Q1370" t="str">
        <f>IF(周转筐出入库明细!$D1371="","",周转筐出入库明细!$D1371)</f>
        <v/>
      </c>
      <c r="R1370">
        <f t="shared" si="512"/>
        <v>0</v>
      </c>
      <c r="S1370">
        <f t="shared" si="513"/>
        <v>5</v>
      </c>
      <c r="W1370" t="str">
        <f>IF(周转筐出入库明细!$C1371="","",周转筐出入库明细!$C1371)</f>
        <v/>
      </c>
      <c r="X1370">
        <f t="shared" si="514"/>
        <v>0</v>
      </c>
      <c r="Y1370">
        <f t="shared" si="515"/>
        <v>12</v>
      </c>
      <c r="AI1370" t="str">
        <f>IF(OR(对接源_01水果筐数!$B171="",LEFT(对接源_01水果筐数!$C171,2)&lt;&gt;"自备"),"",对接源_01水果筐数!$B171)</f>
        <v/>
      </c>
      <c r="AJ1370">
        <f t="shared" si="516"/>
        <v>0</v>
      </c>
      <c r="AK1370">
        <f t="shared" si="517"/>
        <v>6</v>
      </c>
      <c r="CP1370">
        <f>IF(包装物料出入库明细!$D1370="",0,1)</f>
        <v>0</v>
      </c>
      <c r="CQ1370">
        <f t="shared" si="518"/>
        <v>37</v>
      </c>
      <c r="CS1370" t="str">
        <f>IF(OR(周转筐出入库明细!$C1371="",周转筐出入库明细!$F1371&lt;&gt;"采购入库"),"",周转筐出入库明细!$C1371)</f>
        <v/>
      </c>
      <c r="CT1370">
        <f t="shared" si="519"/>
        <v>0</v>
      </c>
      <c r="CU1370">
        <f t="shared" si="520"/>
        <v>1</v>
      </c>
    </row>
    <row r="1371" spans="1:99">
      <c r="A1371" t="str">
        <f>IF(包装物料出入库明细!$E1371="","",包装物料出入库明细!$E1371)</f>
        <v/>
      </c>
      <c r="B1371">
        <f t="shared" si="508"/>
        <v>0</v>
      </c>
      <c r="C1371">
        <f t="shared" si="509"/>
        <v>7</v>
      </c>
      <c r="D1371" t="str">
        <f>IF(包装物料出入库明细!$E1371="","",包装物料出入库明细!$F1371)</f>
        <v/>
      </c>
      <c r="E1371" t="str">
        <f>IF(包装物料出入库明细!$E1371="","",包装物料出入库明细!$G1371)</f>
        <v/>
      </c>
      <c r="K1371" t="str">
        <f>IF(包装物料出入库明细!$D1371="","",包装物料出入库明细!$D1371)</f>
        <v/>
      </c>
      <c r="L1371">
        <f t="shared" si="510"/>
        <v>0</v>
      </c>
      <c r="M1371">
        <f t="shared" si="511"/>
        <v>9</v>
      </c>
      <c r="Q1371" t="str">
        <f>IF(周转筐出入库明细!$D1372="","",周转筐出入库明细!$D1372)</f>
        <v/>
      </c>
      <c r="R1371">
        <f t="shared" si="512"/>
        <v>0</v>
      </c>
      <c r="S1371">
        <f t="shared" si="513"/>
        <v>5</v>
      </c>
      <c r="W1371" t="str">
        <f>IF(周转筐出入库明细!$C1372="","",周转筐出入库明细!$C1372)</f>
        <v/>
      </c>
      <c r="X1371">
        <f t="shared" si="514"/>
        <v>0</v>
      </c>
      <c r="Y1371">
        <f t="shared" si="515"/>
        <v>12</v>
      </c>
      <c r="AI1371" t="str">
        <f>IF(OR(对接源_01水果筐数!$B172="",LEFT(对接源_01水果筐数!$C172,2)&lt;&gt;"自备"),"",对接源_01水果筐数!$B172)</f>
        <v/>
      </c>
      <c r="AJ1371">
        <f t="shared" si="516"/>
        <v>0</v>
      </c>
      <c r="AK1371">
        <f t="shared" si="517"/>
        <v>6</v>
      </c>
      <c r="CP1371">
        <f>IF(包装物料出入库明细!$D1371="",0,1)</f>
        <v>0</v>
      </c>
      <c r="CQ1371">
        <f t="shared" si="518"/>
        <v>37</v>
      </c>
      <c r="CS1371" t="str">
        <f>IF(OR(周转筐出入库明细!$C1372="",周转筐出入库明细!$F1372&lt;&gt;"采购入库"),"",周转筐出入库明细!$C1372)</f>
        <v/>
      </c>
      <c r="CT1371">
        <f t="shared" si="519"/>
        <v>0</v>
      </c>
      <c r="CU1371">
        <f t="shared" si="520"/>
        <v>1</v>
      </c>
    </row>
    <row r="1372" spans="1:99">
      <c r="A1372" t="str">
        <f>IF(包装物料出入库明细!$E1372="","",包装物料出入库明细!$E1372)</f>
        <v/>
      </c>
      <c r="B1372">
        <f t="shared" si="508"/>
        <v>0</v>
      </c>
      <c r="C1372">
        <f t="shared" si="509"/>
        <v>7</v>
      </c>
      <c r="D1372" t="str">
        <f>IF(包装物料出入库明细!$E1372="","",包装物料出入库明细!$F1372)</f>
        <v/>
      </c>
      <c r="E1372" t="str">
        <f>IF(包装物料出入库明细!$E1372="","",包装物料出入库明细!$G1372)</f>
        <v/>
      </c>
      <c r="K1372" t="str">
        <f>IF(包装物料出入库明细!$D1372="","",包装物料出入库明细!$D1372)</f>
        <v/>
      </c>
      <c r="L1372">
        <f t="shared" si="510"/>
        <v>0</v>
      </c>
      <c r="M1372">
        <f t="shared" si="511"/>
        <v>9</v>
      </c>
      <c r="Q1372" t="str">
        <f>IF(周转筐出入库明细!$D1373="","",周转筐出入库明细!$D1373)</f>
        <v/>
      </c>
      <c r="R1372">
        <f t="shared" si="512"/>
        <v>0</v>
      </c>
      <c r="S1372">
        <f t="shared" si="513"/>
        <v>5</v>
      </c>
      <c r="W1372" t="str">
        <f>IF(周转筐出入库明细!$C1373="","",周转筐出入库明细!$C1373)</f>
        <v/>
      </c>
      <c r="X1372">
        <f t="shared" si="514"/>
        <v>0</v>
      </c>
      <c r="Y1372">
        <f t="shared" si="515"/>
        <v>12</v>
      </c>
      <c r="AI1372" t="str">
        <f>IF(OR(对接源_01水果筐数!$B173="",LEFT(对接源_01水果筐数!$C173,2)&lt;&gt;"自备"),"",对接源_01水果筐数!$B173)</f>
        <v/>
      </c>
      <c r="AJ1372">
        <f t="shared" si="516"/>
        <v>0</v>
      </c>
      <c r="AK1372">
        <f t="shared" si="517"/>
        <v>6</v>
      </c>
      <c r="CP1372">
        <f>IF(包装物料出入库明细!$D1372="",0,1)</f>
        <v>0</v>
      </c>
      <c r="CQ1372">
        <f t="shared" si="518"/>
        <v>37</v>
      </c>
      <c r="CS1372" t="str">
        <f>IF(OR(周转筐出入库明细!$C1373="",周转筐出入库明细!$F1373&lt;&gt;"采购入库"),"",周转筐出入库明细!$C1373)</f>
        <v/>
      </c>
      <c r="CT1372">
        <f t="shared" si="519"/>
        <v>0</v>
      </c>
      <c r="CU1372">
        <f t="shared" si="520"/>
        <v>1</v>
      </c>
    </row>
    <row r="1373" spans="1:99">
      <c r="A1373" t="str">
        <f>IF(包装物料出入库明细!$E1373="","",包装物料出入库明细!$E1373)</f>
        <v/>
      </c>
      <c r="B1373">
        <f t="shared" si="508"/>
        <v>0</v>
      </c>
      <c r="C1373">
        <f t="shared" si="509"/>
        <v>7</v>
      </c>
      <c r="D1373" t="str">
        <f>IF(包装物料出入库明细!$E1373="","",包装物料出入库明细!$F1373)</f>
        <v/>
      </c>
      <c r="E1373" t="str">
        <f>IF(包装物料出入库明细!$E1373="","",包装物料出入库明细!$G1373)</f>
        <v/>
      </c>
      <c r="K1373" t="str">
        <f>IF(包装物料出入库明细!$D1373="","",包装物料出入库明细!$D1373)</f>
        <v/>
      </c>
      <c r="L1373">
        <f t="shared" si="510"/>
        <v>0</v>
      </c>
      <c r="M1373">
        <f t="shared" si="511"/>
        <v>9</v>
      </c>
      <c r="Q1373" t="str">
        <f>IF(周转筐出入库明细!$D1374="","",周转筐出入库明细!$D1374)</f>
        <v/>
      </c>
      <c r="R1373">
        <f t="shared" si="512"/>
        <v>0</v>
      </c>
      <c r="S1373">
        <f t="shared" si="513"/>
        <v>5</v>
      </c>
      <c r="W1373" t="str">
        <f>IF(周转筐出入库明细!$C1374="","",周转筐出入库明细!$C1374)</f>
        <v/>
      </c>
      <c r="X1373">
        <f t="shared" si="514"/>
        <v>0</v>
      </c>
      <c r="Y1373">
        <f t="shared" si="515"/>
        <v>12</v>
      </c>
      <c r="AI1373" t="str">
        <f>IF(OR(对接源_01水果筐数!$B174="",LEFT(对接源_01水果筐数!$C174,2)&lt;&gt;"自备"),"",对接源_01水果筐数!$B174)</f>
        <v/>
      </c>
      <c r="AJ1373">
        <f t="shared" si="516"/>
        <v>0</v>
      </c>
      <c r="AK1373">
        <f t="shared" si="517"/>
        <v>6</v>
      </c>
      <c r="CP1373">
        <f>IF(包装物料出入库明细!$D1373="",0,1)</f>
        <v>0</v>
      </c>
      <c r="CQ1373">
        <f t="shared" si="518"/>
        <v>37</v>
      </c>
      <c r="CS1373" t="str">
        <f>IF(OR(周转筐出入库明细!$C1374="",周转筐出入库明细!$F1374&lt;&gt;"采购入库"),"",周转筐出入库明细!$C1374)</f>
        <v/>
      </c>
      <c r="CT1373">
        <f t="shared" si="519"/>
        <v>0</v>
      </c>
      <c r="CU1373">
        <f t="shared" si="520"/>
        <v>1</v>
      </c>
    </row>
    <row r="1374" spans="1:99">
      <c r="A1374" t="str">
        <f>IF(包装物料出入库明细!$E1374="","",包装物料出入库明细!$E1374)</f>
        <v/>
      </c>
      <c r="B1374">
        <f t="shared" si="508"/>
        <v>0</v>
      </c>
      <c r="C1374">
        <f t="shared" si="509"/>
        <v>7</v>
      </c>
      <c r="D1374" t="str">
        <f>IF(包装物料出入库明细!$E1374="","",包装物料出入库明细!$F1374)</f>
        <v/>
      </c>
      <c r="E1374" t="str">
        <f>IF(包装物料出入库明细!$E1374="","",包装物料出入库明细!$G1374)</f>
        <v/>
      </c>
      <c r="K1374" t="str">
        <f>IF(包装物料出入库明细!$D1374="","",包装物料出入库明细!$D1374)</f>
        <v/>
      </c>
      <c r="L1374">
        <f t="shared" si="510"/>
        <v>0</v>
      </c>
      <c r="M1374">
        <f t="shared" si="511"/>
        <v>9</v>
      </c>
      <c r="Q1374" t="str">
        <f>IF(周转筐出入库明细!$D1375="","",周转筐出入库明细!$D1375)</f>
        <v/>
      </c>
      <c r="R1374">
        <f t="shared" si="512"/>
        <v>0</v>
      </c>
      <c r="S1374">
        <f t="shared" si="513"/>
        <v>5</v>
      </c>
      <c r="W1374" t="str">
        <f>IF(周转筐出入库明细!$C1375="","",周转筐出入库明细!$C1375)</f>
        <v/>
      </c>
      <c r="X1374">
        <f t="shared" si="514"/>
        <v>0</v>
      </c>
      <c r="Y1374">
        <f t="shared" si="515"/>
        <v>12</v>
      </c>
      <c r="AI1374" t="str">
        <f>IF(OR(对接源_01水果筐数!$B175="",LEFT(对接源_01水果筐数!$C175,2)&lt;&gt;"自备"),"",对接源_01水果筐数!$B175)</f>
        <v/>
      </c>
      <c r="AJ1374">
        <f t="shared" si="516"/>
        <v>0</v>
      </c>
      <c r="AK1374">
        <f t="shared" si="517"/>
        <v>6</v>
      </c>
      <c r="CP1374">
        <f>IF(包装物料出入库明细!$D1374="",0,1)</f>
        <v>0</v>
      </c>
      <c r="CQ1374">
        <f t="shared" si="518"/>
        <v>37</v>
      </c>
      <c r="CS1374" t="str">
        <f>IF(OR(周转筐出入库明细!$C1375="",周转筐出入库明细!$F1375&lt;&gt;"采购入库"),"",周转筐出入库明细!$C1375)</f>
        <v/>
      </c>
      <c r="CT1374">
        <f t="shared" si="519"/>
        <v>0</v>
      </c>
      <c r="CU1374">
        <f t="shared" si="520"/>
        <v>1</v>
      </c>
    </row>
    <row r="1375" spans="1:99">
      <c r="A1375" t="str">
        <f>IF(包装物料出入库明细!$E1375="","",包装物料出入库明细!$E1375)</f>
        <v/>
      </c>
      <c r="B1375">
        <f t="shared" si="508"/>
        <v>0</v>
      </c>
      <c r="C1375">
        <f t="shared" si="509"/>
        <v>7</v>
      </c>
      <c r="D1375" t="str">
        <f>IF(包装物料出入库明细!$E1375="","",包装物料出入库明细!$F1375)</f>
        <v/>
      </c>
      <c r="E1375" t="str">
        <f>IF(包装物料出入库明细!$E1375="","",包装物料出入库明细!$G1375)</f>
        <v/>
      </c>
      <c r="K1375" t="str">
        <f>IF(包装物料出入库明细!$D1375="","",包装物料出入库明细!$D1375)</f>
        <v/>
      </c>
      <c r="L1375">
        <f t="shared" si="510"/>
        <v>0</v>
      </c>
      <c r="M1375">
        <f t="shared" si="511"/>
        <v>9</v>
      </c>
      <c r="Q1375" t="str">
        <f>IF(周转筐出入库明细!$D1376="","",周转筐出入库明细!$D1376)</f>
        <v/>
      </c>
      <c r="R1375">
        <f t="shared" si="512"/>
        <v>0</v>
      </c>
      <c r="S1375">
        <f t="shared" si="513"/>
        <v>5</v>
      </c>
      <c r="W1375" t="str">
        <f>IF(周转筐出入库明细!$C1376="","",周转筐出入库明细!$C1376)</f>
        <v/>
      </c>
      <c r="X1375">
        <f t="shared" si="514"/>
        <v>0</v>
      </c>
      <c r="Y1375">
        <f t="shared" si="515"/>
        <v>12</v>
      </c>
      <c r="AI1375" t="str">
        <f>IF(OR(对接源_01水果筐数!$B176="",LEFT(对接源_01水果筐数!$C176,2)&lt;&gt;"自备"),"",对接源_01水果筐数!$B176)</f>
        <v/>
      </c>
      <c r="AJ1375">
        <f t="shared" si="516"/>
        <v>0</v>
      </c>
      <c r="AK1375">
        <f t="shared" si="517"/>
        <v>6</v>
      </c>
      <c r="CP1375">
        <f>IF(包装物料出入库明细!$D1375="",0,1)</f>
        <v>0</v>
      </c>
      <c r="CQ1375">
        <f t="shared" si="518"/>
        <v>37</v>
      </c>
      <c r="CS1375" t="str">
        <f>IF(OR(周转筐出入库明细!$C1376="",周转筐出入库明细!$F1376&lt;&gt;"采购入库"),"",周转筐出入库明细!$C1376)</f>
        <v/>
      </c>
      <c r="CT1375">
        <f t="shared" si="519"/>
        <v>0</v>
      </c>
      <c r="CU1375">
        <f t="shared" si="520"/>
        <v>1</v>
      </c>
    </row>
    <row r="1376" spans="1:99">
      <c r="A1376" t="str">
        <f>IF(包装物料出入库明细!$E1376="","",包装物料出入库明细!$E1376)</f>
        <v/>
      </c>
      <c r="B1376">
        <f t="shared" si="508"/>
        <v>0</v>
      </c>
      <c r="C1376">
        <f t="shared" si="509"/>
        <v>7</v>
      </c>
      <c r="D1376" t="str">
        <f>IF(包装物料出入库明细!$E1376="","",包装物料出入库明细!$F1376)</f>
        <v/>
      </c>
      <c r="E1376" t="str">
        <f>IF(包装物料出入库明细!$E1376="","",包装物料出入库明细!$G1376)</f>
        <v/>
      </c>
      <c r="K1376" t="str">
        <f>IF(包装物料出入库明细!$D1376="","",包装物料出入库明细!$D1376)</f>
        <v/>
      </c>
      <c r="L1376">
        <f t="shared" si="510"/>
        <v>0</v>
      </c>
      <c r="M1376">
        <f t="shared" si="511"/>
        <v>9</v>
      </c>
      <c r="Q1376" t="str">
        <f>IF(周转筐出入库明细!$D1377="","",周转筐出入库明细!$D1377)</f>
        <v/>
      </c>
      <c r="R1376">
        <f t="shared" si="512"/>
        <v>0</v>
      </c>
      <c r="S1376">
        <f t="shared" si="513"/>
        <v>5</v>
      </c>
      <c r="W1376" t="str">
        <f>IF(周转筐出入库明细!$C1377="","",周转筐出入库明细!$C1377)</f>
        <v/>
      </c>
      <c r="X1376">
        <f t="shared" si="514"/>
        <v>0</v>
      </c>
      <c r="Y1376">
        <f t="shared" si="515"/>
        <v>12</v>
      </c>
      <c r="AI1376" t="str">
        <f>IF(OR(对接源_01水果筐数!$B177="",LEFT(对接源_01水果筐数!$C177,2)&lt;&gt;"自备"),"",对接源_01水果筐数!$B177)</f>
        <v/>
      </c>
      <c r="AJ1376">
        <f t="shared" si="516"/>
        <v>0</v>
      </c>
      <c r="AK1376">
        <f t="shared" si="517"/>
        <v>6</v>
      </c>
      <c r="CP1376">
        <f>IF(包装物料出入库明细!$D1376="",0,1)</f>
        <v>0</v>
      </c>
      <c r="CQ1376">
        <f t="shared" si="518"/>
        <v>37</v>
      </c>
      <c r="CS1376" t="str">
        <f>IF(OR(周转筐出入库明细!$C1377="",周转筐出入库明细!$F1377&lt;&gt;"采购入库"),"",周转筐出入库明细!$C1377)</f>
        <v/>
      </c>
      <c r="CT1376">
        <f t="shared" si="519"/>
        <v>0</v>
      </c>
      <c r="CU1376">
        <f t="shared" si="520"/>
        <v>1</v>
      </c>
    </row>
    <row r="1377" spans="1:99">
      <c r="A1377" t="str">
        <f>IF(包装物料出入库明细!$E1377="","",包装物料出入库明细!$E1377)</f>
        <v/>
      </c>
      <c r="B1377">
        <f t="shared" si="508"/>
        <v>0</v>
      </c>
      <c r="C1377">
        <f t="shared" si="509"/>
        <v>7</v>
      </c>
      <c r="D1377" t="str">
        <f>IF(包装物料出入库明细!$E1377="","",包装物料出入库明细!$F1377)</f>
        <v/>
      </c>
      <c r="E1377" t="str">
        <f>IF(包装物料出入库明细!$E1377="","",包装物料出入库明细!$G1377)</f>
        <v/>
      </c>
      <c r="K1377" t="str">
        <f>IF(包装物料出入库明细!$D1377="","",包装物料出入库明细!$D1377)</f>
        <v/>
      </c>
      <c r="L1377">
        <f t="shared" si="510"/>
        <v>0</v>
      </c>
      <c r="M1377">
        <f t="shared" si="511"/>
        <v>9</v>
      </c>
      <c r="Q1377" t="str">
        <f>IF(周转筐出入库明细!$D1378="","",周转筐出入库明细!$D1378)</f>
        <v/>
      </c>
      <c r="R1377">
        <f t="shared" si="512"/>
        <v>0</v>
      </c>
      <c r="S1377">
        <f t="shared" si="513"/>
        <v>5</v>
      </c>
      <c r="W1377" t="str">
        <f>IF(周转筐出入库明细!$C1378="","",周转筐出入库明细!$C1378)</f>
        <v/>
      </c>
      <c r="X1377">
        <f t="shared" si="514"/>
        <v>0</v>
      </c>
      <c r="Y1377">
        <f t="shared" si="515"/>
        <v>12</v>
      </c>
      <c r="AI1377" t="str">
        <f>IF(OR(对接源_01水果筐数!$B178="",LEFT(对接源_01水果筐数!$C178,2)&lt;&gt;"自备"),"",对接源_01水果筐数!$B178)</f>
        <v/>
      </c>
      <c r="AJ1377">
        <f t="shared" si="516"/>
        <v>0</v>
      </c>
      <c r="AK1377">
        <f t="shared" si="517"/>
        <v>6</v>
      </c>
      <c r="CP1377">
        <f>IF(包装物料出入库明细!$D1377="",0,1)</f>
        <v>0</v>
      </c>
      <c r="CQ1377">
        <f t="shared" si="518"/>
        <v>37</v>
      </c>
      <c r="CS1377" t="str">
        <f>IF(OR(周转筐出入库明细!$C1378="",周转筐出入库明细!$F1378&lt;&gt;"采购入库"),"",周转筐出入库明细!$C1378)</f>
        <v/>
      </c>
      <c r="CT1377">
        <f t="shared" si="519"/>
        <v>0</v>
      </c>
      <c r="CU1377">
        <f t="shared" si="520"/>
        <v>1</v>
      </c>
    </row>
    <row r="1378" spans="1:99">
      <c r="A1378" t="str">
        <f>IF(包装物料出入库明细!$E1378="","",包装物料出入库明细!$E1378)</f>
        <v/>
      </c>
      <c r="B1378">
        <f t="shared" si="508"/>
        <v>0</v>
      </c>
      <c r="C1378">
        <f t="shared" si="509"/>
        <v>7</v>
      </c>
      <c r="D1378" t="str">
        <f>IF(包装物料出入库明细!$E1378="","",包装物料出入库明细!$F1378)</f>
        <v/>
      </c>
      <c r="E1378" t="str">
        <f>IF(包装物料出入库明细!$E1378="","",包装物料出入库明细!$G1378)</f>
        <v/>
      </c>
      <c r="K1378" t="str">
        <f>IF(包装物料出入库明细!$D1378="","",包装物料出入库明细!$D1378)</f>
        <v/>
      </c>
      <c r="L1378">
        <f t="shared" si="510"/>
        <v>0</v>
      </c>
      <c r="M1378">
        <f t="shared" si="511"/>
        <v>9</v>
      </c>
      <c r="Q1378" t="str">
        <f>IF(周转筐出入库明细!$D1379="","",周转筐出入库明细!$D1379)</f>
        <v/>
      </c>
      <c r="R1378">
        <f t="shared" si="512"/>
        <v>0</v>
      </c>
      <c r="S1378">
        <f t="shared" si="513"/>
        <v>5</v>
      </c>
      <c r="W1378" t="str">
        <f>IF(周转筐出入库明细!$C1379="","",周转筐出入库明细!$C1379)</f>
        <v/>
      </c>
      <c r="X1378">
        <f t="shared" si="514"/>
        <v>0</v>
      </c>
      <c r="Y1378">
        <f t="shared" si="515"/>
        <v>12</v>
      </c>
      <c r="AI1378" t="str">
        <f>IF(OR(对接源_01水果筐数!$B179="",LEFT(对接源_01水果筐数!$C179,2)&lt;&gt;"自备"),"",对接源_01水果筐数!$B179)</f>
        <v/>
      </c>
      <c r="AJ1378">
        <f t="shared" si="516"/>
        <v>0</v>
      </c>
      <c r="AK1378">
        <f t="shared" si="517"/>
        <v>6</v>
      </c>
      <c r="CP1378">
        <f>IF(包装物料出入库明细!$D1378="",0,1)</f>
        <v>0</v>
      </c>
      <c r="CQ1378">
        <f t="shared" si="518"/>
        <v>37</v>
      </c>
      <c r="CS1378" t="str">
        <f>IF(OR(周转筐出入库明细!$C1379="",周转筐出入库明细!$F1379&lt;&gt;"采购入库"),"",周转筐出入库明细!$C1379)</f>
        <v/>
      </c>
      <c r="CT1378">
        <f t="shared" si="519"/>
        <v>0</v>
      </c>
      <c r="CU1378">
        <f t="shared" si="520"/>
        <v>1</v>
      </c>
    </row>
    <row r="1379" spans="1:99">
      <c r="A1379" t="str">
        <f>IF(包装物料出入库明细!$E1379="","",包装物料出入库明细!$E1379)</f>
        <v/>
      </c>
      <c r="B1379">
        <f t="shared" si="508"/>
        <v>0</v>
      </c>
      <c r="C1379">
        <f t="shared" si="509"/>
        <v>7</v>
      </c>
      <c r="D1379" t="str">
        <f>IF(包装物料出入库明细!$E1379="","",包装物料出入库明细!$F1379)</f>
        <v/>
      </c>
      <c r="E1379" t="str">
        <f>IF(包装物料出入库明细!$E1379="","",包装物料出入库明细!$G1379)</f>
        <v/>
      </c>
      <c r="K1379" t="str">
        <f>IF(包装物料出入库明细!$D1379="","",包装物料出入库明细!$D1379)</f>
        <v/>
      </c>
      <c r="L1379">
        <f t="shared" si="510"/>
        <v>0</v>
      </c>
      <c r="M1379">
        <f t="shared" si="511"/>
        <v>9</v>
      </c>
      <c r="Q1379" t="str">
        <f>IF(周转筐出入库明细!$D1380="","",周转筐出入库明细!$D1380)</f>
        <v/>
      </c>
      <c r="R1379">
        <f t="shared" si="512"/>
        <v>0</v>
      </c>
      <c r="S1379">
        <f t="shared" si="513"/>
        <v>5</v>
      </c>
      <c r="W1379" t="str">
        <f>IF(周转筐出入库明细!$C1380="","",周转筐出入库明细!$C1380)</f>
        <v/>
      </c>
      <c r="X1379">
        <f t="shared" si="514"/>
        <v>0</v>
      </c>
      <c r="Y1379">
        <f t="shared" si="515"/>
        <v>12</v>
      </c>
      <c r="AI1379" t="str">
        <f>IF(OR(对接源_01水果筐数!$B180="",LEFT(对接源_01水果筐数!$C180,2)&lt;&gt;"自备"),"",对接源_01水果筐数!$B180)</f>
        <v/>
      </c>
      <c r="AJ1379">
        <f t="shared" si="516"/>
        <v>0</v>
      </c>
      <c r="AK1379">
        <f t="shared" si="517"/>
        <v>6</v>
      </c>
      <c r="CP1379">
        <f>IF(包装物料出入库明细!$D1379="",0,1)</f>
        <v>0</v>
      </c>
      <c r="CQ1379">
        <f t="shared" si="518"/>
        <v>37</v>
      </c>
      <c r="CS1379" t="str">
        <f>IF(OR(周转筐出入库明细!$C1380="",周转筐出入库明细!$F1380&lt;&gt;"采购入库"),"",周转筐出入库明细!$C1380)</f>
        <v/>
      </c>
      <c r="CT1379">
        <f t="shared" si="519"/>
        <v>0</v>
      </c>
      <c r="CU1379">
        <f t="shared" si="520"/>
        <v>1</v>
      </c>
    </row>
    <row r="1380" spans="1:99">
      <c r="A1380" t="str">
        <f>IF(包装物料出入库明细!$E1380="","",包装物料出入库明细!$E1380)</f>
        <v/>
      </c>
      <c r="B1380">
        <f t="shared" si="508"/>
        <v>0</v>
      </c>
      <c r="C1380">
        <f t="shared" si="509"/>
        <v>7</v>
      </c>
      <c r="D1380" t="str">
        <f>IF(包装物料出入库明细!$E1380="","",包装物料出入库明细!$F1380)</f>
        <v/>
      </c>
      <c r="E1380" t="str">
        <f>IF(包装物料出入库明细!$E1380="","",包装物料出入库明细!$G1380)</f>
        <v/>
      </c>
      <c r="K1380" t="str">
        <f>IF(包装物料出入库明细!$D1380="","",包装物料出入库明细!$D1380)</f>
        <v/>
      </c>
      <c r="L1380">
        <f t="shared" si="510"/>
        <v>0</v>
      </c>
      <c r="M1380">
        <f t="shared" si="511"/>
        <v>9</v>
      </c>
      <c r="Q1380" t="str">
        <f>IF(周转筐出入库明细!$D1381="","",周转筐出入库明细!$D1381)</f>
        <v/>
      </c>
      <c r="R1380">
        <f t="shared" si="512"/>
        <v>0</v>
      </c>
      <c r="S1380">
        <f t="shared" si="513"/>
        <v>5</v>
      </c>
      <c r="W1380" t="str">
        <f>IF(周转筐出入库明细!$C1381="","",周转筐出入库明细!$C1381)</f>
        <v/>
      </c>
      <c r="X1380">
        <f t="shared" si="514"/>
        <v>0</v>
      </c>
      <c r="Y1380">
        <f t="shared" si="515"/>
        <v>12</v>
      </c>
      <c r="AI1380" t="str">
        <f>IF(OR(对接源_01水果筐数!$B181="",LEFT(对接源_01水果筐数!$C181,2)&lt;&gt;"自备"),"",对接源_01水果筐数!$B181)</f>
        <v/>
      </c>
      <c r="AJ1380">
        <f t="shared" si="516"/>
        <v>0</v>
      </c>
      <c r="AK1380">
        <f t="shared" si="517"/>
        <v>6</v>
      </c>
      <c r="CP1380">
        <f>IF(包装物料出入库明细!$D1380="",0,1)</f>
        <v>0</v>
      </c>
      <c r="CQ1380">
        <f t="shared" si="518"/>
        <v>37</v>
      </c>
      <c r="CS1380" t="str">
        <f>IF(OR(周转筐出入库明细!$C1381="",周转筐出入库明细!$F1381&lt;&gt;"采购入库"),"",周转筐出入库明细!$C1381)</f>
        <v/>
      </c>
      <c r="CT1380">
        <f t="shared" si="519"/>
        <v>0</v>
      </c>
      <c r="CU1380">
        <f t="shared" si="520"/>
        <v>1</v>
      </c>
    </row>
    <row r="1381" spans="1:99">
      <c r="A1381" t="str">
        <f>IF(包装物料出入库明细!$E1381="","",包装物料出入库明细!$E1381)</f>
        <v/>
      </c>
      <c r="B1381">
        <f t="shared" si="508"/>
        <v>0</v>
      </c>
      <c r="C1381">
        <f t="shared" si="509"/>
        <v>7</v>
      </c>
      <c r="D1381" t="str">
        <f>IF(包装物料出入库明细!$E1381="","",包装物料出入库明细!$F1381)</f>
        <v/>
      </c>
      <c r="E1381" t="str">
        <f>IF(包装物料出入库明细!$E1381="","",包装物料出入库明细!$G1381)</f>
        <v/>
      </c>
      <c r="K1381" t="str">
        <f>IF(包装物料出入库明细!$D1381="","",包装物料出入库明细!$D1381)</f>
        <v/>
      </c>
      <c r="L1381">
        <f t="shared" si="510"/>
        <v>0</v>
      </c>
      <c r="M1381">
        <f t="shared" si="511"/>
        <v>9</v>
      </c>
      <c r="Q1381" t="str">
        <f>IF(周转筐出入库明细!$D1382="","",周转筐出入库明细!$D1382)</f>
        <v/>
      </c>
      <c r="R1381">
        <f t="shared" si="512"/>
        <v>0</v>
      </c>
      <c r="S1381">
        <f t="shared" si="513"/>
        <v>5</v>
      </c>
      <c r="W1381" t="str">
        <f>IF(周转筐出入库明细!$C1382="","",周转筐出入库明细!$C1382)</f>
        <v/>
      </c>
      <c r="X1381">
        <f t="shared" si="514"/>
        <v>0</v>
      </c>
      <c r="Y1381">
        <f t="shared" si="515"/>
        <v>12</v>
      </c>
      <c r="AI1381" t="str">
        <f>IF(OR(对接源_01水果筐数!$B182="",LEFT(对接源_01水果筐数!$C182,2)&lt;&gt;"自备"),"",对接源_01水果筐数!$B182)</f>
        <v/>
      </c>
      <c r="AJ1381">
        <f t="shared" si="516"/>
        <v>0</v>
      </c>
      <c r="AK1381">
        <f t="shared" si="517"/>
        <v>6</v>
      </c>
      <c r="CP1381">
        <f>IF(包装物料出入库明细!$D1381="",0,1)</f>
        <v>0</v>
      </c>
      <c r="CQ1381">
        <f t="shared" si="518"/>
        <v>37</v>
      </c>
      <c r="CS1381" t="str">
        <f>IF(OR(周转筐出入库明细!$C1382="",周转筐出入库明细!$F1382&lt;&gt;"采购入库"),"",周转筐出入库明细!$C1382)</f>
        <v/>
      </c>
      <c r="CT1381">
        <f t="shared" si="519"/>
        <v>0</v>
      </c>
      <c r="CU1381">
        <f t="shared" si="520"/>
        <v>1</v>
      </c>
    </row>
    <row r="1382" spans="1:99">
      <c r="A1382" t="str">
        <f>IF(包装物料出入库明细!$E1382="","",包装物料出入库明细!$E1382)</f>
        <v/>
      </c>
      <c r="B1382">
        <f t="shared" si="508"/>
        <v>0</v>
      </c>
      <c r="C1382">
        <f t="shared" si="509"/>
        <v>7</v>
      </c>
      <c r="D1382" t="str">
        <f>IF(包装物料出入库明细!$E1382="","",包装物料出入库明细!$F1382)</f>
        <v/>
      </c>
      <c r="E1382" t="str">
        <f>IF(包装物料出入库明细!$E1382="","",包装物料出入库明细!$G1382)</f>
        <v/>
      </c>
      <c r="K1382" t="str">
        <f>IF(包装物料出入库明细!$D1382="","",包装物料出入库明细!$D1382)</f>
        <v/>
      </c>
      <c r="L1382">
        <f t="shared" si="510"/>
        <v>0</v>
      </c>
      <c r="M1382">
        <f t="shared" si="511"/>
        <v>9</v>
      </c>
      <c r="Q1382" t="str">
        <f>IF(周转筐出入库明细!$D1383="","",周转筐出入库明细!$D1383)</f>
        <v/>
      </c>
      <c r="R1382">
        <f t="shared" si="512"/>
        <v>0</v>
      </c>
      <c r="S1382">
        <f t="shared" si="513"/>
        <v>5</v>
      </c>
      <c r="W1382" t="str">
        <f>IF(周转筐出入库明细!$C1383="","",周转筐出入库明细!$C1383)</f>
        <v/>
      </c>
      <c r="X1382">
        <f t="shared" si="514"/>
        <v>0</v>
      </c>
      <c r="Y1382">
        <f t="shared" si="515"/>
        <v>12</v>
      </c>
      <c r="AI1382" t="str">
        <f>IF(OR(对接源_01水果筐数!$B183="",LEFT(对接源_01水果筐数!$C183,2)&lt;&gt;"自备"),"",对接源_01水果筐数!$B183)</f>
        <v/>
      </c>
      <c r="AJ1382">
        <f t="shared" si="516"/>
        <v>0</v>
      </c>
      <c r="AK1382">
        <f t="shared" si="517"/>
        <v>6</v>
      </c>
      <c r="CP1382">
        <f>IF(包装物料出入库明细!$D1382="",0,1)</f>
        <v>0</v>
      </c>
      <c r="CQ1382">
        <f t="shared" si="518"/>
        <v>37</v>
      </c>
      <c r="CS1382" t="str">
        <f>IF(OR(周转筐出入库明细!$C1383="",周转筐出入库明细!$F1383&lt;&gt;"采购入库"),"",周转筐出入库明细!$C1383)</f>
        <v/>
      </c>
      <c r="CT1382">
        <f t="shared" si="519"/>
        <v>0</v>
      </c>
      <c r="CU1382">
        <f t="shared" si="520"/>
        <v>1</v>
      </c>
    </row>
    <row r="1383" spans="1:99">
      <c r="A1383" t="str">
        <f>IF(包装物料出入库明细!$E1383="","",包装物料出入库明细!$E1383)</f>
        <v/>
      </c>
      <c r="B1383">
        <f t="shared" si="508"/>
        <v>0</v>
      </c>
      <c r="C1383">
        <f t="shared" si="509"/>
        <v>7</v>
      </c>
      <c r="D1383" t="str">
        <f>IF(包装物料出入库明细!$E1383="","",包装物料出入库明细!$F1383)</f>
        <v/>
      </c>
      <c r="E1383" t="str">
        <f>IF(包装物料出入库明细!$E1383="","",包装物料出入库明细!$G1383)</f>
        <v/>
      </c>
      <c r="K1383" t="str">
        <f>IF(包装物料出入库明细!$D1383="","",包装物料出入库明细!$D1383)</f>
        <v/>
      </c>
      <c r="L1383">
        <f t="shared" si="510"/>
        <v>0</v>
      </c>
      <c r="M1383">
        <f t="shared" si="511"/>
        <v>9</v>
      </c>
      <c r="Q1383" t="str">
        <f>IF(周转筐出入库明细!$D1384="","",周转筐出入库明细!$D1384)</f>
        <v/>
      </c>
      <c r="R1383">
        <f t="shared" si="512"/>
        <v>0</v>
      </c>
      <c r="S1383">
        <f t="shared" si="513"/>
        <v>5</v>
      </c>
      <c r="W1383" t="str">
        <f>IF(周转筐出入库明细!$C1384="","",周转筐出入库明细!$C1384)</f>
        <v/>
      </c>
      <c r="X1383">
        <f t="shared" si="514"/>
        <v>0</v>
      </c>
      <c r="Y1383">
        <f t="shared" si="515"/>
        <v>12</v>
      </c>
      <c r="AI1383" t="str">
        <f>IF(OR(对接源_01水果筐数!$B184="",LEFT(对接源_01水果筐数!$C184,2)&lt;&gt;"自备"),"",对接源_01水果筐数!$B184)</f>
        <v/>
      </c>
      <c r="AJ1383">
        <f t="shared" si="516"/>
        <v>0</v>
      </c>
      <c r="AK1383">
        <f t="shared" si="517"/>
        <v>6</v>
      </c>
      <c r="CP1383">
        <f>IF(包装物料出入库明细!$D1383="",0,1)</f>
        <v>0</v>
      </c>
      <c r="CQ1383">
        <f t="shared" si="518"/>
        <v>37</v>
      </c>
      <c r="CS1383" t="str">
        <f>IF(OR(周转筐出入库明细!$C1384="",周转筐出入库明细!$F1384&lt;&gt;"采购入库"),"",周转筐出入库明细!$C1384)</f>
        <v/>
      </c>
      <c r="CT1383">
        <f t="shared" si="519"/>
        <v>0</v>
      </c>
      <c r="CU1383">
        <f t="shared" si="520"/>
        <v>1</v>
      </c>
    </row>
    <row r="1384" spans="1:99">
      <c r="A1384" t="str">
        <f>IF(包装物料出入库明细!$E1384="","",包装物料出入库明细!$E1384)</f>
        <v/>
      </c>
      <c r="B1384">
        <f t="shared" si="508"/>
        <v>0</v>
      </c>
      <c r="C1384">
        <f t="shared" si="509"/>
        <v>7</v>
      </c>
      <c r="D1384" t="str">
        <f>IF(包装物料出入库明细!$E1384="","",包装物料出入库明细!$F1384)</f>
        <v/>
      </c>
      <c r="E1384" t="str">
        <f>IF(包装物料出入库明细!$E1384="","",包装物料出入库明细!$G1384)</f>
        <v/>
      </c>
      <c r="K1384" t="str">
        <f>IF(包装物料出入库明细!$D1384="","",包装物料出入库明细!$D1384)</f>
        <v/>
      </c>
      <c r="L1384">
        <f t="shared" si="510"/>
        <v>0</v>
      </c>
      <c r="M1384">
        <f t="shared" si="511"/>
        <v>9</v>
      </c>
      <c r="Q1384" t="str">
        <f>IF(周转筐出入库明细!$D1385="","",周转筐出入库明细!$D1385)</f>
        <v/>
      </c>
      <c r="R1384">
        <f t="shared" si="512"/>
        <v>0</v>
      </c>
      <c r="S1384">
        <f t="shared" si="513"/>
        <v>5</v>
      </c>
      <c r="W1384" t="str">
        <f>IF(周转筐出入库明细!$C1385="","",周转筐出入库明细!$C1385)</f>
        <v/>
      </c>
      <c r="X1384">
        <f t="shared" si="514"/>
        <v>0</v>
      </c>
      <c r="Y1384">
        <f t="shared" si="515"/>
        <v>12</v>
      </c>
      <c r="AI1384" t="str">
        <f>IF(OR(对接源_01水果筐数!$B185="",LEFT(对接源_01水果筐数!$C185,2)&lt;&gt;"自备"),"",对接源_01水果筐数!$B185)</f>
        <v/>
      </c>
      <c r="AJ1384">
        <f t="shared" si="516"/>
        <v>0</v>
      </c>
      <c r="AK1384">
        <f t="shared" si="517"/>
        <v>6</v>
      </c>
      <c r="CP1384">
        <f>IF(包装物料出入库明细!$D1384="",0,1)</f>
        <v>0</v>
      </c>
      <c r="CQ1384">
        <f t="shared" si="518"/>
        <v>37</v>
      </c>
      <c r="CS1384" t="str">
        <f>IF(OR(周转筐出入库明细!$C1385="",周转筐出入库明细!$F1385&lt;&gt;"采购入库"),"",周转筐出入库明细!$C1385)</f>
        <v/>
      </c>
      <c r="CT1384">
        <f t="shared" si="519"/>
        <v>0</v>
      </c>
      <c r="CU1384">
        <f t="shared" si="520"/>
        <v>1</v>
      </c>
    </row>
    <row r="1385" spans="1:99">
      <c r="A1385" t="str">
        <f>IF(包装物料出入库明细!$E1385="","",包装物料出入库明细!$E1385)</f>
        <v/>
      </c>
      <c r="B1385">
        <f t="shared" si="508"/>
        <v>0</v>
      </c>
      <c r="C1385">
        <f t="shared" si="509"/>
        <v>7</v>
      </c>
      <c r="D1385" t="str">
        <f>IF(包装物料出入库明细!$E1385="","",包装物料出入库明细!$F1385)</f>
        <v/>
      </c>
      <c r="E1385" t="str">
        <f>IF(包装物料出入库明细!$E1385="","",包装物料出入库明细!$G1385)</f>
        <v/>
      </c>
      <c r="K1385" t="str">
        <f>IF(包装物料出入库明细!$D1385="","",包装物料出入库明细!$D1385)</f>
        <v/>
      </c>
      <c r="L1385">
        <f t="shared" si="510"/>
        <v>0</v>
      </c>
      <c r="M1385">
        <f t="shared" si="511"/>
        <v>9</v>
      </c>
      <c r="Q1385" t="str">
        <f>IF(周转筐出入库明细!$D1386="","",周转筐出入库明细!$D1386)</f>
        <v/>
      </c>
      <c r="R1385">
        <f t="shared" si="512"/>
        <v>0</v>
      </c>
      <c r="S1385">
        <f t="shared" si="513"/>
        <v>5</v>
      </c>
      <c r="W1385" t="str">
        <f>IF(周转筐出入库明细!$C1386="","",周转筐出入库明细!$C1386)</f>
        <v/>
      </c>
      <c r="X1385">
        <f t="shared" si="514"/>
        <v>0</v>
      </c>
      <c r="Y1385">
        <f t="shared" si="515"/>
        <v>12</v>
      </c>
      <c r="AI1385" t="str">
        <f>IF(OR(对接源_01水果筐数!$B186="",LEFT(对接源_01水果筐数!$C186,2)&lt;&gt;"自备"),"",对接源_01水果筐数!$B186)</f>
        <v/>
      </c>
      <c r="AJ1385">
        <f t="shared" si="516"/>
        <v>0</v>
      </c>
      <c r="AK1385">
        <f t="shared" si="517"/>
        <v>6</v>
      </c>
      <c r="CP1385">
        <f>IF(包装物料出入库明细!$D1385="",0,1)</f>
        <v>0</v>
      </c>
      <c r="CQ1385">
        <f t="shared" si="518"/>
        <v>37</v>
      </c>
      <c r="CS1385" t="str">
        <f>IF(OR(周转筐出入库明细!$C1386="",周转筐出入库明细!$F1386&lt;&gt;"采购入库"),"",周转筐出入库明细!$C1386)</f>
        <v/>
      </c>
      <c r="CT1385">
        <f t="shared" si="519"/>
        <v>0</v>
      </c>
      <c r="CU1385">
        <f t="shared" si="520"/>
        <v>1</v>
      </c>
    </row>
    <row r="1386" spans="1:99">
      <c r="A1386" t="str">
        <f>IF(包装物料出入库明细!$E1386="","",包装物料出入库明细!$E1386)</f>
        <v/>
      </c>
      <c r="B1386">
        <f t="shared" si="508"/>
        <v>0</v>
      </c>
      <c r="C1386">
        <f t="shared" si="509"/>
        <v>7</v>
      </c>
      <c r="D1386" t="str">
        <f>IF(包装物料出入库明细!$E1386="","",包装物料出入库明细!$F1386)</f>
        <v/>
      </c>
      <c r="E1386" t="str">
        <f>IF(包装物料出入库明细!$E1386="","",包装物料出入库明细!$G1386)</f>
        <v/>
      </c>
      <c r="K1386" t="str">
        <f>IF(包装物料出入库明细!$D1386="","",包装物料出入库明细!$D1386)</f>
        <v/>
      </c>
      <c r="L1386">
        <f t="shared" si="510"/>
        <v>0</v>
      </c>
      <c r="M1386">
        <f t="shared" si="511"/>
        <v>9</v>
      </c>
      <c r="Q1386" t="str">
        <f>IF(周转筐出入库明细!$D1387="","",周转筐出入库明细!$D1387)</f>
        <v/>
      </c>
      <c r="R1386">
        <f t="shared" si="512"/>
        <v>0</v>
      </c>
      <c r="S1386">
        <f t="shared" si="513"/>
        <v>5</v>
      </c>
      <c r="W1386" t="str">
        <f>IF(周转筐出入库明细!$C1387="","",周转筐出入库明细!$C1387)</f>
        <v/>
      </c>
      <c r="X1386">
        <f t="shared" si="514"/>
        <v>0</v>
      </c>
      <c r="Y1386">
        <f t="shared" si="515"/>
        <v>12</v>
      </c>
      <c r="AI1386" t="str">
        <f>IF(OR(对接源_01水果筐数!$B187="",LEFT(对接源_01水果筐数!$C187,2)&lt;&gt;"自备"),"",对接源_01水果筐数!$B187)</f>
        <v/>
      </c>
      <c r="AJ1386">
        <f t="shared" si="516"/>
        <v>0</v>
      </c>
      <c r="AK1386">
        <f t="shared" si="517"/>
        <v>6</v>
      </c>
      <c r="CP1386">
        <f>IF(包装物料出入库明细!$D1386="",0,1)</f>
        <v>0</v>
      </c>
      <c r="CQ1386">
        <f t="shared" si="518"/>
        <v>37</v>
      </c>
      <c r="CS1386" t="str">
        <f>IF(OR(周转筐出入库明细!$C1387="",周转筐出入库明细!$F1387&lt;&gt;"采购入库"),"",周转筐出入库明细!$C1387)</f>
        <v/>
      </c>
      <c r="CT1386">
        <f t="shared" si="519"/>
        <v>0</v>
      </c>
      <c r="CU1386">
        <f t="shared" si="520"/>
        <v>1</v>
      </c>
    </row>
    <row r="1387" spans="1:99">
      <c r="A1387" t="str">
        <f>IF(包装物料出入库明细!$E1387="","",包装物料出入库明细!$E1387)</f>
        <v/>
      </c>
      <c r="B1387">
        <f t="shared" si="508"/>
        <v>0</v>
      </c>
      <c r="C1387">
        <f t="shared" si="509"/>
        <v>7</v>
      </c>
      <c r="D1387" t="str">
        <f>IF(包装物料出入库明细!$E1387="","",包装物料出入库明细!$F1387)</f>
        <v/>
      </c>
      <c r="E1387" t="str">
        <f>IF(包装物料出入库明细!$E1387="","",包装物料出入库明细!$G1387)</f>
        <v/>
      </c>
      <c r="K1387" t="str">
        <f>IF(包装物料出入库明细!$D1387="","",包装物料出入库明细!$D1387)</f>
        <v/>
      </c>
      <c r="L1387">
        <f t="shared" si="510"/>
        <v>0</v>
      </c>
      <c r="M1387">
        <f t="shared" si="511"/>
        <v>9</v>
      </c>
      <c r="Q1387" t="str">
        <f>IF(周转筐出入库明细!$D1388="","",周转筐出入库明细!$D1388)</f>
        <v/>
      </c>
      <c r="R1387">
        <f t="shared" si="512"/>
        <v>0</v>
      </c>
      <c r="S1387">
        <f t="shared" si="513"/>
        <v>5</v>
      </c>
      <c r="W1387" t="str">
        <f>IF(周转筐出入库明细!$C1388="","",周转筐出入库明细!$C1388)</f>
        <v/>
      </c>
      <c r="X1387">
        <f t="shared" si="514"/>
        <v>0</v>
      </c>
      <c r="Y1387">
        <f t="shared" si="515"/>
        <v>12</v>
      </c>
      <c r="AI1387" t="str">
        <f>IF(OR(对接源_01水果筐数!$B188="",LEFT(对接源_01水果筐数!$C188,2)&lt;&gt;"自备"),"",对接源_01水果筐数!$B188)</f>
        <v/>
      </c>
      <c r="AJ1387">
        <f t="shared" si="516"/>
        <v>0</v>
      </c>
      <c r="AK1387">
        <f t="shared" si="517"/>
        <v>6</v>
      </c>
      <c r="CP1387">
        <f>IF(包装物料出入库明细!$D1387="",0,1)</f>
        <v>0</v>
      </c>
      <c r="CQ1387">
        <f t="shared" si="518"/>
        <v>37</v>
      </c>
      <c r="CS1387" t="str">
        <f>IF(OR(周转筐出入库明细!$C1388="",周转筐出入库明细!$F1388&lt;&gt;"采购入库"),"",周转筐出入库明细!$C1388)</f>
        <v/>
      </c>
      <c r="CT1387">
        <f t="shared" si="519"/>
        <v>0</v>
      </c>
      <c r="CU1387">
        <f t="shared" si="520"/>
        <v>1</v>
      </c>
    </row>
    <row r="1388" spans="1:99">
      <c r="A1388" t="str">
        <f>IF(包装物料出入库明细!$E1388="","",包装物料出入库明细!$E1388)</f>
        <v/>
      </c>
      <c r="B1388">
        <f t="shared" si="508"/>
        <v>0</v>
      </c>
      <c r="C1388">
        <f t="shared" si="509"/>
        <v>7</v>
      </c>
      <c r="D1388" t="str">
        <f>IF(包装物料出入库明细!$E1388="","",包装物料出入库明细!$F1388)</f>
        <v/>
      </c>
      <c r="E1388" t="str">
        <f>IF(包装物料出入库明细!$E1388="","",包装物料出入库明细!$G1388)</f>
        <v/>
      </c>
      <c r="K1388" t="str">
        <f>IF(包装物料出入库明细!$D1388="","",包装物料出入库明细!$D1388)</f>
        <v/>
      </c>
      <c r="L1388">
        <f t="shared" si="510"/>
        <v>0</v>
      </c>
      <c r="M1388">
        <f t="shared" si="511"/>
        <v>9</v>
      </c>
      <c r="Q1388" t="str">
        <f>IF(周转筐出入库明细!$D1389="","",周转筐出入库明细!$D1389)</f>
        <v/>
      </c>
      <c r="R1388">
        <f t="shared" si="512"/>
        <v>0</v>
      </c>
      <c r="S1388">
        <f t="shared" si="513"/>
        <v>5</v>
      </c>
      <c r="W1388" t="str">
        <f>IF(周转筐出入库明细!$C1389="","",周转筐出入库明细!$C1389)</f>
        <v/>
      </c>
      <c r="X1388">
        <f t="shared" si="514"/>
        <v>0</v>
      </c>
      <c r="Y1388">
        <f t="shared" si="515"/>
        <v>12</v>
      </c>
      <c r="AI1388" t="str">
        <f>IF(OR(对接源_01水果筐数!$B189="",LEFT(对接源_01水果筐数!$C189,2)&lt;&gt;"自备"),"",对接源_01水果筐数!$B189)</f>
        <v/>
      </c>
      <c r="AJ1388">
        <f t="shared" si="516"/>
        <v>0</v>
      </c>
      <c r="AK1388">
        <f t="shared" si="517"/>
        <v>6</v>
      </c>
      <c r="CP1388">
        <f>IF(包装物料出入库明细!$D1388="",0,1)</f>
        <v>0</v>
      </c>
      <c r="CQ1388">
        <f t="shared" si="518"/>
        <v>37</v>
      </c>
      <c r="CS1388" t="str">
        <f>IF(OR(周转筐出入库明细!$C1389="",周转筐出入库明细!$F1389&lt;&gt;"采购入库"),"",周转筐出入库明细!$C1389)</f>
        <v/>
      </c>
      <c r="CT1388">
        <f t="shared" si="519"/>
        <v>0</v>
      </c>
      <c r="CU1388">
        <f t="shared" si="520"/>
        <v>1</v>
      </c>
    </row>
    <row r="1389" spans="1:99">
      <c r="A1389" t="str">
        <f>IF(包装物料出入库明细!$E1389="","",包装物料出入库明细!$E1389)</f>
        <v/>
      </c>
      <c r="B1389">
        <f t="shared" si="508"/>
        <v>0</v>
      </c>
      <c r="C1389">
        <f t="shared" si="509"/>
        <v>7</v>
      </c>
      <c r="D1389" t="str">
        <f>IF(包装物料出入库明细!$E1389="","",包装物料出入库明细!$F1389)</f>
        <v/>
      </c>
      <c r="E1389" t="str">
        <f>IF(包装物料出入库明细!$E1389="","",包装物料出入库明细!$G1389)</f>
        <v/>
      </c>
      <c r="K1389" t="str">
        <f>IF(包装物料出入库明细!$D1389="","",包装物料出入库明细!$D1389)</f>
        <v/>
      </c>
      <c r="L1389">
        <f t="shared" si="510"/>
        <v>0</v>
      </c>
      <c r="M1389">
        <f t="shared" si="511"/>
        <v>9</v>
      </c>
      <c r="Q1389" t="str">
        <f>IF(周转筐出入库明细!$D1390="","",周转筐出入库明细!$D1390)</f>
        <v/>
      </c>
      <c r="R1389">
        <f t="shared" si="512"/>
        <v>0</v>
      </c>
      <c r="S1389">
        <f t="shared" si="513"/>
        <v>5</v>
      </c>
      <c r="W1389" t="str">
        <f>IF(周转筐出入库明细!$C1390="","",周转筐出入库明细!$C1390)</f>
        <v/>
      </c>
      <c r="X1389">
        <f t="shared" si="514"/>
        <v>0</v>
      </c>
      <c r="Y1389">
        <f t="shared" si="515"/>
        <v>12</v>
      </c>
      <c r="AI1389" t="str">
        <f>IF(OR(对接源_01水果筐数!$B190="",LEFT(对接源_01水果筐数!$C190,2)&lt;&gt;"自备"),"",对接源_01水果筐数!$B190)</f>
        <v/>
      </c>
      <c r="AJ1389">
        <f t="shared" si="516"/>
        <v>0</v>
      </c>
      <c r="AK1389">
        <f t="shared" si="517"/>
        <v>6</v>
      </c>
      <c r="CP1389">
        <f>IF(包装物料出入库明细!$D1389="",0,1)</f>
        <v>0</v>
      </c>
      <c r="CQ1389">
        <f t="shared" si="518"/>
        <v>37</v>
      </c>
      <c r="CS1389" t="str">
        <f>IF(OR(周转筐出入库明细!$C1390="",周转筐出入库明细!$F1390&lt;&gt;"采购入库"),"",周转筐出入库明细!$C1390)</f>
        <v/>
      </c>
      <c r="CT1389">
        <f t="shared" si="519"/>
        <v>0</v>
      </c>
      <c r="CU1389">
        <f t="shared" si="520"/>
        <v>1</v>
      </c>
    </row>
    <row r="1390" spans="1:99">
      <c r="A1390" t="str">
        <f>IF(包装物料出入库明细!$E1390="","",包装物料出入库明细!$E1390)</f>
        <v/>
      </c>
      <c r="B1390">
        <f t="shared" si="508"/>
        <v>0</v>
      </c>
      <c r="C1390">
        <f t="shared" si="509"/>
        <v>7</v>
      </c>
      <c r="D1390" t="str">
        <f>IF(包装物料出入库明细!$E1390="","",包装物料出入库明细!$F1390)</f>
        <v/>
      </c>
      <c r="E1390" t="str">
        <f>IF(包装物料出入库明细!$E1390="","",包装物料出入库明细!$G1390)</f>
        <v/>
      </c>
      <c r="K1390" t="str">
        <f>IF(包装物料出入库明细!$D1390="","",包装物料出入库明细!$D1390)</f>
        <v/>
      </c>
      <c r="L1390">
        <f t="shared" si="510"/>
        <v>0</v>
      </c>
      <c r="M1390">
        <f t="shared" si="511"/>
        <v>9</v>
      </c>
      <c r="Q1390" t="str">
        <f>IF(周转筐出入库明细!$D1391="","",周转筐出入库明细!$D1391)</f>
        <v/>
      </c>
      <c r="R1390">
        <f t="shared" si="512"/>
        <v>0</v>
      </c>
      <c r="S1390">
        <f t="shared" si="513"/>
        <v>5</v>
      </c>
      <c r="W1390" t="str">
        <f>IF(周转筐出入库明细!$C1391="","",周转筐出入库明细!$C1391)</f>
        <v/>
      </c>
      <c r="X1390">
        <f t="shared" si="514"/>
        <v>0</v>
      </c>
      <c r="Y1390">
        <f t="shared" si="515"/>
        <v>12</v>
      </c>
      <c r="AI1390" t="str">
        <f>IF(OR(对接源_01水果筐数!$B191="",LEFT(对接源_01水果筐数!$C191,2)&lt;&gt;"自备"),"",对接源_01水果筐数!$B191)</f>
        <v/>
      </c>
      <c r="AJ1390">
        <f t="shared" si="516"/>
        <v>0</v>
      </c>
      <c r="AK1390">
        <f t="shared" si="517"/>
        <v>6</v>
      </c>
      <c r="CP1390">
        <f>IF(包装物料出入库明细!$D1390="",0,1)</f>
        <v>0</v>
      </c>
      <c r="CQ1390">
        <f t="shared" si="518"/>
        <v>37</v>
      </c>
      <c r="CS1390" t="str">
        <f>IF(OR(周转筐出入库明细!$C1391="",周转筐出入库明细!$F1391&lt;&gt;"采购入库"),"",周转筐出入库明细!$C1391)</f>
        <v/>
      </c>
      <c r="CT1390">
        <f t="shared" si="519"/>
        <v>0</v>
      </c>
      <c r="CU1390">
        <f t="shared" si="520"/>
        <v>1</v>
      </c>
    </row>
    <row r="1391" spans="1:99">
      <c r="A1391" t="str">
        <f>IF(包装物料出入库明细!$E1391="","",包装物料出入库明细!$E1391)</f>
        <v/>
      </c>
      <c r="B1391">
        <f t="shared" si="508"/>
        <v>0</v>
      </c>
      <c r="C1391">
        <f t="shared" si="509"/>
        <v>7</v>
      </c>
      <c r="D1391" t="str">
        <f>IF(包装物料出入库明细!$E1391="","",包装物料出入库明细!$F1391)</f>
        <v/>
      </c>
      <c r="E1391" t="str">
        <f>IF(包装物料出入库明细!$E1391="","",包装物料出入库明细!$G1391)</f>
        <v/>
      </c>
      <c r="K1391" t="str">
        <f>IF(包装物料出入库明细!$D1391="","",包装物料出入库明细!$D1391)</f>
        <v/>
      </c>
      <c r="L1391">
        <f t="shared" si="510"/>
        <v>0</v>
      </c>
      <c r="M1391">
        <f t="shared" si="511"/>
        <v>9</v>
      </c>
      <c r="Q1391" t="str">
        <f>IF(周转筐出入库明细!$D1392="","",周转筐出入库明细!$D1392)</f>
        <v/>
      </c>
      <c r="R1391">
        <f t="shared" si="512"/>
        <v>0</v>
      </c>
      <c r="S1391">
        <f t="shared" si="513"/>
        <v>5</v>
      </c>
      <c r="W1391" t="str">
        <f>IF(周转筐出入库明细!$C1392="","",周转筐出入库明细!$C1392)</f>
        <v/>
      </c>
      <c r="X1391">
        <f t="shared" si="514"/>
        <v>0</v>
      </c>
      <c r="Y1391">
        <f t="shared" si="515"/>
        <v>12</v>
      </c>
      <c r="AI1391" t="str">
        <f>IF(OR(对接源_01水果筐数!$B192="",LEFT(对接源_01水果筐数!$C192,2)&lt;&gt;"自备"),"",对接源_01水果筐数!$B192)</f>
        <v/>
      </c>
      <c r="AJ1391">
        <f t="shared" si="516"/>
        <v>0</v>
      </c>
      <c r="AK1391">
        <f t="shared" si="517"/>
        <v>6</v>
      </c>
      <c r="CP1391">
        <f>IF(包装物料出入库明细!$D1391="",0,1)</f>
        <v>0</v>
      </c>
      <c r="CQ1391">
        <f t="shared" si="518"/>
        <v>37</v>
      </c>
      <c r="CS1391" t="str">
        <f>IF(OR(周转筐出入库明细!$C1392="",周转筐出入库明细!$F1392&lt;&gt;"采购入库"),"",周转筐出入库明细!$C1392)</f>
        <v/>
      </c>
      <c r="CT1391">
        <f t="shared" si="519"/>
        <v>0</v>
      </c>
      <c r="CU1391">
        <f t="shared" si="520"/>
        <v>1</v>
      </c>
    </row>
    <row r="1392" spans="1:99">
      <c r="A1392" t="str">
        <f>IF(包装物料出入库明细!$E1392="","",包装物料出入库明细!$E1392)</f>
        <v/>
      </c>
      <c r="B1392">
        <f t="shared" si="508"/>
        <v>0</v>
      </c>
      <c r="C1392">
        <f t="shared" si="509"/>
        <v>7</v>
      </c>
      <c r="D1392" t="str">
        <f>IF(包装物料出入库明细!$E1392="","",包装物料出入库明细!$F1392)</f>
        <v/>
      </c>
      <c r="E1392" t="str">
        <f>IF(包装物料出入库明细!$E1392="","",包装物料出入库明细!$G1392)</f>
        <v/>
      </c>
      <c r="K1392" t="str">
        <f>IF(包装物料出入库明细!$D1392="","",包装物料出入库明细!$D1392)</f>
        <v/>
      </c>
      <c r="L1392">
        <f t="shared" si="510"/>
        <v>0</v>
      </c>
      <c r="M1392">
        <f t="shared" si="511"/>
        <v>9</v>
      </c>
      <c r="Q1392" t="str">
        <f>IF(周转筐出入库明细!$D1393="","",周转筐出入库明细!$D1393)</f>
        <v/>
      </c>
      <c r="R1392">
        <f t="shared" si="512"/>
        <v>0</v>
      </c>
      <c r="S1392">
        <f t="shared" si="513"/>
        <v>5</v>
      </c>
      <c r="W1392" t="str">
        <f>IF(周转筐出入库明细!$C1393="","",周转筐出入库明细!$C1393)</f>
        <v/>
      </c>
      <c r="X1392">
        <f t="shared" si="514"/>
        <v>0</v>
      </c>
      <c r="Y1392">
        <f t="shared" si="515"/>
        <v>12</v>
      </c>
      <c r="AI1392" t="str">
        <f>IF(OR(对接源_01水果筐数!$B193="",LEFT(对接源_01水果筐数!$C193,2)&lt;&gt;"自备"),"",对接源_01水果筐数!$B193)</f>
        <v/>
      </c>
      <c r="AJ1392">
        <f t="shared" si="516"/>
        <v>0</v>
      </c>
      <c r="AK1392">
        <f t="shared" si="517"/>
        <v>6</v>
      </c>
      <c r="CP1392">
        <f>IF(包装物料出入库明细!$D1392="",0,1)</f>
        <v>0</v>
      </c>
      <c r="CQ1392">
        <f t="shared" si="518"/>
        <v>37</v>
      </c>
      <c r="CS1392" t="str">
        <f>IF(OR(周转筐出入库明细!$C1393="",周转筐出入库明细!$F1393&lt;&gt;"采购入库"),"",周转筐出入库明细!$C1393)</f>
        <v/>
      </c>
      <c r="CT1392">
        <f t="shared" si="519"/>
        <v>0</v>
      </c>
      <c r="CU1392">
        <f t="shared" si="520"/>
        <v>1</v>
      </c>
    </row>
    <row r="1393" spans="1:99">
      <c r="A1393" t="str">
        <f>IF(包装物料出入库明细!$E1393="","",包装物料出入库明细!$E1393)</f>
        <v/>
      </c>
      <c r="B1393">
        <f t="shared" si="508"/>
        <v>0</v>
      </c>
      <c r="C1393">
        <f t="shared" si="509"/>
        <v>7</v>
      </c>
      <c r="D1393" t="str">
        <f>IF(包装物料出入库明细!$E1393="","",包装物料出入库明细!$F1393)</f>
        <v/>
      </c>
      <c r="E1393" t="str">
        <f>IF(包装物料出入库明细!$E1393="","",包装物料出入库明细!$G1393)</f>
        <v/>
      </c>
      <c r="K1393" t="str">
        <f>IF(包装物料出入库明细!$D1393="","",包装物料出入库明细!$D1393)</f>
        <v/>
      </c>
      <c r="L1393">
        <f t="shared" si="510"/>
        <v>0</v>
      </c>
      <c r="M1393">
        <f t="shared" si="511"/>
        <v>9</v>
      </c>
      <c r="Q1393" t="str">
        <f>IF(周转筐出入库明细!$D1394="","",周转筐出入库明细!$D1394)</f>
        <v/>
      </c>
      <c r="R1393">
        <f t="shared" si="512"/>
        <v>0</v>
      </c>
      <c r="S1393">
        <f t="shared" si="513"/>
        <v>5</v>
      </c>
      <c r="W1393" t="str">
        <f>IF(周转筐出入库明细!$C1394="","",周转筐出入库明细!$C1394)</f>
        <v/>
      </c>
      <c r="X1393">
        <f t="shared" si="514"/>
        <v>0</v>
      </c>
      <c r="Y1393">
        <f t="shared" si="515"/>
        <v>12</v>
      </c>
      <c r="AI1393" t="str">
        <f>IF(OR(对接源_01水果筐数!$B194="",LEFT(对接源_01水果筐数!$C194,2)&lt;&gt;"自备"),"",对接源_01水果筐数!$B194)</f>
        <v/>
      </c>
      <c r="AJ1393">
        <f t="shared" si="516"/>
        <v>0</v>
      </c>
      <c r="AK1393">
        <f t="shared" si="517"/>
        <v>6</v>
      </c>
      <c r="CP1393">
        <f>IF(包装物料出入库明细!$D1393="",0,1)</f>
        <v>0</v>
      </c>
      <c r="CQ1393">
        <f t="shared" si="518"/>
        <v>37</v>
      </c>
      <c r="CS1393" t="str">
        <f>IF(OR(周转筐出入库明细!$C1394="",周转筐出入库明细!$F1394&lt;&gt;"采购入库"),"",周转筐出入库明细!$C1394)</f>
        <v/>
      </c>
      <c r="CT1393">
        <f t="shared" si="519"/>
        <v>0</v>
      </c>
      <c r="CU1393">
        <f t="shared" si="520"/>
        <v>1</v>
      </c>
    </row>
    <row r="1394" spans="1:99">
      <c r="A1394" t="str">
        <f>IF(包装物料出入库明细!$E1394="","",包装物料出入库明细!$E1394)</f>
        <v/>
      </c>
      <c r="B1394">
        <f t="shared" si="508"/>
        <v>0</v>
      </c>
      <c r="C1394">
        <f t="shared" si="509"/>
        <v>7</v>
      </c>
      <c r="D1394" t="str">
        <f>IF(包装物料出入库明细!$E1394="","",包装物料出入库明细!$F1394)</f>
        <v/>
      </c>
      <c r="E1394" t="str">
        <f>IF(包装物料出入库明细!$E1394="","",包装物料出入库明细!$G1394)</f>
        <v/>
      </c>
      <c r="K1394" t="str">
        <f>IF(包装物料出入库明细!$D1394="","",包装物料出入库明细!$D1394)</f>
        <v/>
      </c>
      <c r="L1394">
        <f t="shared" si="510"/>
        <v>0</v>
      </c>
      <c r="M1394">
        <f t="shared" si="511"/>
        <v>9</v>
      </c>
      <c r="Q1394" t="str">
        <f>IF(周转筐出入库明细!$D1395="","",周转筐出入库明细!$D1395)</f>
        <v/>
      </c>
      <c r="R1394">
        <f t="shared" si="512"/>
        <v>0</v>
      </c>
      <c r="S1394">
        <f t="shared" si="513"/>
        <v>5</v>
      </c>
      <c r="W1394" t="str">
        <f>IF(周转筐出入库明细!$C1395="","",周转筐出入库明细!$C1395)</f>
        <v/>
      </c>
      <c r="X1394">
        <f t="shared" si="514"/>
        <v>0</v>
      </c>
      <c r="Y1394">
        <f t="shared" si="515"/>
        <v>12</v>
      </c>
      <c r="AI1394" t="str">
        <f>IF(OR(对接源_01水果筐数!$B195="",LEFT(对接源_01水果筐数!$C195,2)&lt;&gt;"自备"),"",对接源_01水果筐数!$B195)</f>
        <v/>
      </c>
      <c r="AJ1394">
        <f t="shared" si="516"/>
        <v>0</v>
      </c>
      <c r="AK1394">
        <f t="shared" si="517"/>
        <v>6</v>
      </c>
      <c r="CP1394">
        <f>IF(包装物料出入库明细!$D1394="",0,1)</f>
        <v>0</v>
      </c>
      <c r="CQ1394">
        <f t="shared" si="518"/>
        <v>37</v>
      </c>
      <c r="CS1394" t="str">
        <f>IF(OR(周转筐出入库明细!$C1395="",周转筐出入库明细!$F1395&lt;&gt;"采购入库"),"",周转筐出入库明细!$C1395)</f>
        <v/>
      </c>
      <c r="CT1394">
        <f t="shared" si="519"/>
        <v>0</v>
      </c>
      <c r="CU1394">
        <f t="shared" si="520"/>
        <v>1</v>
      </c>
    </row>
    <row r="1395" spans="1:99">
      <c r="A1395" t="str">
        <f>IF(包装物料出入库明细!$E1395="","",包装物料出入库明细!$E1395)</f>
        <v/>
      </c>
      <c r="B1395">
        <f t="shared" si="508"/>
        <v>0</v>
      </c>
      <c r="C1395">
        <f t="shared" si="509"/>
        <v>7</v>
      </c>
      <c r="D1395" t="str">
        <f>IF(包装物料出入库明细!$E1395="","",包装物料出入库明细!$F1395)</f>
        <v/>
      </c>
      <c r="E1395" t="str">
        <f>IF(包装物料出入库明细!$E1395="","",包装物料出入库明细!$G1395)</f>
        <v/>
      </c>
      <c r="K1395" t="str">
        <f>IF(包装物料出入库明细!$D1395="","",包装物料出入库明细!$D1395)</f>
        <v/>
      </c>
      <c r="L1395">
        <f t="shared" si="510"/>
        <v>0</v>
      </c>
      <c r="M1395">
        <f t="shared" si="511"/>
        <v>9</v>
      </c>
      <c r="Q1395" t="str">
        <f>IF(周转筐出入库明细!$D1396="","",周转筐出入库明细!$D1396)</f>
        <v/>
      </c>
      <c r="R1395">
        <f t="shared" si="512"/>
        <v>0</v>
      </c>
      <c r="S1395">
        <f t="shared" si="513"/>
        <v>5</v>
      </c>
      <c r="W1395" t="str">
        <f>IF(周转筐出入库明细!$C1396="","",周转筐出入库明细!$C1396)</f>
        <v/>
      </c>
      <c r="X1395">
        <f t="shared" si="514"/>
        <v>0</v>
      </c>
      <c r="Y1395">
        <f t="shared" si="515"/>
        <v>12</v>
      </c>
      <c r="AI1395" t="str">
        <f>IF(OR(对接源_01水果筐数!$B196="",LEFT(对接源_01水果筐数!$C196,2)&lt;&gt;"自备"),"",对接源_01水果筐数!$B196)</f>
        <v/>
      </c>
      <c r="AJ1395">
        <f t="shared" si="516"/>
        <v>0</v>
      </c>
      <c r="AK1395">
        <f t="shared" si="517"/>
        <v>6</v>
      </c>
      <c r="CP1395">
        <f>IF(包装物料出入库明细!$D1395="",0,1)</f>
        <v>0</v>
      </c>
      <c r="CQ1395">
        <f t="shared" si="518"/>
        <v>37</v>
      </c>
      <c r="CS1395" t="str">
        <f>IF(OR(周转筐出入库明细!$C1396="",周转筐出入库明细!$F1396&lt;&gt;"采购入库"),"",周转筐出入库明细!$C1396)</f>
        <v/>
      </c>
      <c r="CT1395">
        <f t="shared" si="519"/>
        <v>0</v>
      </c>
      <c r="CU1395">
        <f t="shared" si="520"/>
        <v>1</v>
      </c>
    </row>
    <row r="1396" spans="1:99">
      <c r="A1396" t="str">
        <f>IF(包装物料出入库明细!$E1396="","",包装物料出入库明细!$E1396)</f>
        <v/>
      </c>
      <c r="B1396">
        <f t="shared" si="508"/>
        <v>0</v>
      </c>
      <c r="C1396">
        <f t="shared" si="509"/>
        <v>7</v>
      </c>
      <c r="D1396" t="str">
        <f>IF(包装物料出入库明细!$E1396="","",包装物料出入库明细!$F1396)</f>
        <v/>
      </c>
      <c r="E1396" t="str">
        <f>IF(包装物料出入库明细!$E1396="","",包装物料出入库明细!$G1396)</f>
        <v/>
      </c>
      <c r="K1396" t="str">
        <f>IF(包装物料出入库明细!$D1396="","",包装物料出入库明细!$D1396)</f>
        <v/>
      </c>
      <c r="L1396">
        <f t="shared" si="510"/>
        <v>0</v>
      </c>
      <c r="M1396">
        <f t="shared" si="511"/>
        <v>9</v>
      </c>
      <c r="Q1396" t="str">
        <f>IF(周转筐出入库明细!$D1397="","",周转筐出入库明细!$D1397)</f>
        <v/>
      </c>
      <c r="R1396">
        <f t="shared" si="512"/>
        <v>0</v>
      </c>
      <c r="S1396">
        <f t="shared" si="513"/>
        <v>5</v>
      </c>
      <c r="W1396" t="str">
        <f>IF(周转筐出入库明细!$C1397="","",周转筐出入库明细!$C1397)</f>
        <v/>
      </c>
      <c r="X1396">
        <f t="shared" si="514"/>
        <v>0</v>
      </c>
      <c r="Y1396">
        <f t="shared" si="515"/>
        <v>12</v>
      </c>
      <c r="AI1396" t="str">
        <f>IF(OR(对接源_01水果筐数!$B197="",LEFT(对接源_01水果筐数!$C197,2)&lt;&gt;"自备"),"",对接源_01水果筐数!$B197)</f>
        <v/>
      </c>
      <c r="AJ1396">
        <f t="shared" si="516"/>
        <v>0</v>
      </c>
      <c r="AK1396">
        <f t="shared" si="517"/>
        <v>6</v>
      </c>
      <c r="CP1396">
        <f>IF(包装物料出入库明细!$D1396="",0,1)</f>
        <v>0</v>
      </c>
      <c r="CQ1396">
        <f t="shared" si="518"/>
        <v>37</v>
      </c>
      <c r="CS1396" t="str">
        <f>IF(OR(周转筐出入库明细!$C1397="",周转筐出入库明细!$F1397&lt;&gt;"采购入库"),"",周转筐出入库明细!$C1397)</f>
        <v/>
      </c>
      <c r="CT1396">
        <f t="shared" si="519"/>
        <v>0</v>
      </c>
      <c r="CU1396">
        <f t="shared" si="520"/>
        <v>1</v>
      </c>
    </row>
    <row r="1397" spans="1:99">
      <c r="A1397" t="str">
        <f>IF(包装物料出入库明细!$E1397="","",包装物料出入库明细!$E1397)</f>
        <v/>
      </c>
      <c r="B1397">
        <f t="shared" si="508"/>
        <v>0</v>
      </c>
      <c r="C1397">
        <f t="shared" si="509"/>
        <v>7</v>
      </c>
      <c r="D1397" t="str">
        <f>IF(包装物料出入库明细!$E1397="","",包装物料出入库明细!$F1397)</f>
        <v/>
      </c>
      <c r="E1397" t="str">
        <f>IF(包装物料出入库明细!$E1397="","",包装物料出入库明细!$G1397)</f>
        <v/>
      </c>
      <c r="K1397" t="str">
        <f>IF(包装物料出入库明细!$D1397="","",包装物料出入库明细!$D1397)</f>
        <v/>
      </c>
      <c r="L1397">
        <f t="shared" si="510"/>
        <v>0</v>
      </c>
      <c r="M1397">
        <f t="shared" si="511"/>
        <v>9</v>
      </c>
      <c r="Q1397" t="str">
        <f>IF(周转筐出入库明细!$D1398="","",周转筐出入库明细!$D1398)</f>
        <v/>
      </c>
      <c r="R1397">
        <f t="shared" si="512"/>
        <v>0</v>
      </c>
      <c r="S1397">
        <f t="shared" si="513"/>
        <v>5</v>
      </c>
      <c r="W1397" t="str">
        <f>IF(周转筐出入库明细!$C1398="","",周转筐出入库明细!$C1398)</f>
        <v/>
      </c>
      <c r="X1397">
        <f t="shared" si="514"/>
        <v>0</v>
      </c>
      <c r="Y1397">
        <f t="shared" si="515"/>
        <v>12</v>
      </c>
      <c r="AI1397" t="str">
        <f>IF(OR(对接源_01水果筐数!$B198="",LEFT(对接源_01水果筐数!$C198,2)&lt;&gt;"自备"),"",对接源_01水果筐数!$B198)</f>
        <v/>
      </c>
      <c r="AJ1397">
        <f t="shared" si="516"/>
        <v>0</v>
      </c>
      <c r="AK1397">
        <f t="shared" si="517"/>
        <v>6</v>
      </c>
      <c r="CP1397">
        <f>IF(包装物料出入库明细!$D1397="",0,1)</f>
        <v>0</v>
      </c>
      <c r="CQ1397">
        <f t="shared" si="518"/>
        <v>37</v>
      </c>
      <c r="CS1397" t="str">
        <f>IF(OR(周转筐出入库明细!$C1398="",周转筐出入库明细!$F1398&lt;&gt;"采购入库"),"",周转筐出入库明细!$C1398)</f>
        <v/>
      </c>
      <c r="CT1397">
        <f t="shared" si="519"/>
        <v>0</v>
      </c>
      <c r="CU1397">
        <f t="shared" si="520"/>
        <v>1</v>
      </c>
    </row>
    <row r="1398" spans="1:99">
      <c r="A1398" t="str">
        <f>IF(包装物料出入库明细!$E1398="","",包装物料出入库明细!$E1398)</f>
        <v/>
      </c>
      <c r="B1398">
        <f t="shared" si="508"/>
        <v>0</v>
      </c>
      <c r="C1398">
        <f t="shared" si="509"/>
        <v>7</v>
      </c>
      <c r="D1398" t="str">
        <f>IF(包装物料出入库明细!$E1398="","",包装物料出入库明细!$F1398)</f>
        <v/>
      </c>
      <c r="E1398" t="str">
        <f>IF(包装物料出入库明细!$E1398="","",包装物料出入库明细!$G1398)</f>
        <v/>
      </c>
      <c r="K1398" t="str">
        <f>IF(包装物料出入库明细!$D1398="","",包装物料出入库明细!$D1398)</f>
        <v/>
      </c>
      <c r="L1398">
        <f t="shared" si="510"/>
        <v>0</v>
      </c>
      <c r="M1398">
        <f t="shared" si="511"/>
        <v>9</v>
      </c>
      <c r="Q1398" t="str">
        <f>IF(周转筐出入库明细!$D1399="","",周转筐出入库明细!$D1399)</f>
        <v/>
      </c>
      <c r="R1398">
        <f t="shared" si="512"/>
        <v>0</v>
      </c>
      <c r="S1398">
        <f t="shared" si="513"/>
        <v>5</v>
      </c>
      <c r="W1398" t="str">
        <f>IF(周转筐出入库明细!$C1399="","",周转筐出入库明细!$C1399)</f>
        <v/>
      </c>
      <c r="X1398">
        <f t="shared" si="514"/>
        <v>0</v>
      </c>
      <c r="Y1398">
        <f t="shared" si="515"/>
        <v>12</v>
      </c>
      <c r="AI1398" t="str">
        <f>IF(OR(对接源_01水果筐数!$B199="",LEFT(对接源_01水果筐数!$C199,2)&lt;&gt;"自备"),"",对接源_01水果筐数!$B199)</f>
        <v/>
      </c>
      <c r="AJ1398">
        <f t="shared" si="516"/>
        <v>0</v>
      </c>
      <c r="AK1398">
        <f t="shared" si="517"/>
        <v>6</v>
      </c>
      <c r="CP1398">
        <f>IF(包装物料出入库明细!$D1398="",0,1)</f>
        <v>0</v>
      </c>
      <c r="CQ1398">
        <f t="shared" si="518"/>
        <v>37</v>
      </c>
      <c r="CS1398" t="str">
        <f>IF(OR(周转筐出入库明细!$C1399="",周转筐出入库明细!$F1399&lt;&gt;"采购入库"),"",周转筐出入库明细!$C1399)</f>
        <v/>
      </c>
      <c r="CT1398">
        <f t="shared" si="519"/>
        <v>0</v>
      </c>
      <c r="CU1398">
        <f t="shared" si="520"/>
        <v>1</v>
      </c>
    </row>
    <row r="1399" spans="1:99">
      <c r="A1399" t="str">
        <f>IF(包装物料出入库明细!$E1399="","",包装物料出入库明细!$E1399)</f>
        <v/>
      </c>
      <c r="B1399">
        <f t="shared" si="508"/>
        <v>0</v>
      </c>
      <c r="C1399">
        <f t="shared" si="509"/>
        <v>7</v>
      </c>
      <c r="D1399" t="str">
        <f>IF(包装物料出入库明细!$E1399="","",包装物料出入库明细!$F1399)</f>
        <v/>
      </c>
      <c r="E1399" t="str">
        <f>IF(包装物料出入库明细!$E1399="","",包装物料出入库明细!$G1399)</f>
        <v/>
      </c>
      <c r="K1399" t="str">
        <f>IF(包装物料出入库明细!$D1399="","",包装物料出入库明细!$D1399)</f>
        <v/>
      </c>
      <c r="L1399">
        <f t="shared" si="510"/>
        <v>0</v>
      </c>
      <c r="M1399">
        <f t="shared" si="511"/>
        <v>9</v>
      </c>
      <c r="Q1399" t="str">
        <f>IF(周转筐出入库明细!$D1400="","",周转筐出入库明细!$D1400)</f>
        <v/>
      </c>
      <c r="R1399">
        <f t="shared" si="512"/>
        <v>0</v>
      </c>
      <c r="S1399">
        <f t="shared" si="513"/>
        <v>5</v>
      </c>
      <c r="W1399" t="str">
        <f>IF(周转筐出入库明细!$C1400="","",周转筐出入库明细!$C1400)</f>
        <v/>
      </c>
      <c r="X1399">
        <f t="shared" si="514"/>
        <v>0</v>
      </c>
      <c r="Y1399">
        <f t="shared" si="515"/>
        <v>12</v>
      </c>
      <c r="AI1399" t="str">
        <f>IF(OR(对接源_01水果筐数!$B200="",LEFT(对接源_01水果筐数!$C200,2)&lt;&gt;"自备"),"",对接源_01水果筐数!$B200)</f>
        <v/>
      </c>
      <c r="AJ1399">
        <f t="shared" si="516"/>
        <v>0</v>
      </c>
      <c r="AK1399">
        <f t="shared" si="517"/>
        <v>6</v>
      </c>
      <c r="CP1399">
        <f>IF(包装物料出入库明细!$D1399="",0,1)</f>
        <v>0</v>
      </c>
      <c r="CQ1399">
        <f t="shared" si="518"/>
        <v>37</v>
      </c>
      <c r="CS1399" t="str">
        <f>IF(OR(周转筐出入库明细!$C1400="",周转筐出入库明细!$F1400&lt;&gt;"采购入库"),"",周转筐出入库明细!$C1400)</f>
        <v/>
      </c>
      <c r="CT1399">
        <f t="shared" si="519"/>
        <v>0</v>
      </c>
      <c r="CU1399">
        <f t="shared" si="520"/>
        <v>1</v>
      </c>
    </row>
    <row r="1400" spans="1:99">
      <c r="A1400" t="str">
        <f>IF(包装物料出入库明细!$E1400="","",包装物料出入库明细!$E1400)</f>
        <v/>
      </c>
      <c r="B1400">
        <f t="shared" si="508"/>
        <v>0</v>
      </c>
      <c r="C1400">
        <f t="shared" si="509"/>
        <v>7</v>
      </c>
      <c r="D1400" t="str">
        <f>IF(包装物料出入库明细!$E1400="","",包装物料出入库明细!$F1400)</f>
        <v/>
      </c>
      <c r="E1400" t="str">
        <f>IF(包装物料出入库明细!$E1400="","",包装物料出入库明细!$G1400)</f>
        <v/>
      </c>
      <c r="K1400" t="str">
        <f>IF(包装物料出入库明细!$D1400="","",包装物料出入库明细!$D1400)</f>
        <v/>
      </c>
      <c r="L1400">
        <f t="shared" si="510"/>
        <v>0</v>
      </c>
      <c r="M1400">
        <f t="shared" si="511"/>
        <v>9</v>
      </c>
      <c r="Q1400" t="str">
        <f>IF(周转筐出入库明细!$D1401="","",周转筐出入库明细!$D1401)</f>
        <v/>
      </c>
      <c r="R1400">
        <f t="shared" si="512"/>
        <v>0</v>
      </c>
      <c r="S1400">
        <f t="shared" si="513"/>
        <v>5</v>
      </c>
      <c r="W1400" t="str">
        <f>IF(周转筐出入库明细!$C1401="","",周转筐出入库明细!$C1401)</f>
        <v/>
      </c>
      <c r="X1400">
        <f t="shared" si="514"/>
        <v>0</v>
      </c>
      <c r="Y1400">
        <f t="shared" si="515"/>
        <v>12</v>
      </c>
      <c r="AI1400" t="str">
        <f>IF(OR(对接源_01水果筐数!$B201="",LEFT(对接源_01水果筐数!$C201,2)&lt;&gt;"自备"),"",对接源_01水果筐数!$B201)</f>
        <v/>
      </c>
      <c r="AJ1400">
        <f t="shared" si="516"/>
        <v>0</v>
      </c>
      <c r="AK1400">
        <f t="shared" si="517"/>
        <v>6</v>
      </c>
      <c r="CP1400">
        <f>IF(包装物料出入库明细!$D1400="",0,1)</f>
        <v>0</v>
      </c>
      <c r="CQ1400">
        <f t="shared" si="518"/>
        <v>37</v>
      </c>
      <c r="CS1400" t="str">
        <f>IF(OR(周转筐出入库明细!$C1401="",周转筐出入库明细!$F1401&lt;&gt;"采购入库"),"",周转筐出入库明细!$C1401)</f>
        <v/>
      </c>
      <c r="CT1400">
        <f t="shared" si="519"/>
        <v>0</v>
      </c>
      <c r="CU1400">
        <f t="shared" si="520"/>
        <v>1</v>
      </c>
    </row>
    <row r="1401" spans="1:99">
      <c r="A1401" t="str">
        <f>IF(包装物料出入库明细!$E1401="","",包装物料出入库明细!$E1401)</f>
        <v/>
      </c>
      <c r="B1401">
        <f t="shared" si="508"/>
        <v>0</v>
      </c>
      <c r="C1401">
        <f t="shared" si="509"/>
        <v>7</v>
      </c>
      <c r="D1401" t="str">
        <f>IF(包装物料出入库明细!$E1401="","",包装物料出入库明细!$F1401)</f>
        <v/>
      </c>
      <c r="E1401" t="str">
        <f>IF(包装物料出入库明细!$E1401="","",包装物料出入库明细!$G1401)</f>
        <v/>
      </c>
      <c r="K1401" t="str">
        <f>IF(包装物料出入库明细!$D1401="","",包装物料出入库明细!$D1401)</f>
        <v/>
      </c>
      <c r="L1401">
        <f t="shared" si="510"/>
        <v>0</v>
      </c>
      <c r="M1401">
        <f t="shared" si="511"/>
        <v>9</v>
      </c>
      <c r="Q1401" t="str">
        <f>IF(周转筐出入库明细!$D1402="","",周转筐出入库明细!$D1402)</f>
        <v/>
      </c>
      <c r="R1401">
        <f t="shared" si="512"/>
        <v>0</v>
      </c>
      <c r="S1401">
        <f t="shared" si="513"/>
        <v>5</v>
      </c>
      <c r="W1401" t="str">
        <f>IF(周转筐出入库明细!$C1402="","",周转筐出入库明细!$C1402)</f>
        <v/>
      </c>
      <c r="X1401">
        <f t="shared" si="514"/>
        <v>0</v>
      </c>
      <c r="Y1401">
        <f t="shared" si="515"/>
        <v>12</v>
      </c>
      <c r="AI1401" t="str">
        <f>IF(OR(对接源_01水果筐数!$B202="",LEFT(对接源_01水果筐数!$C202,2)&lt;&gt;"自备"),"",对接源_01水果筐数!$B202)</f>
        <v/>
      </c>
      <c r="AJ1401">
        <f t="shared" si="516"/>
        <v>0</v>
      </c>
      <c r="AK1401">
        <f t="shared" si="517"/>
        <v>6</v>
      </c>
      <c r="CP1401">
        <f>IF(包装物料出入库明细!$D1401="",0,1)</f>
        <v>0</v>
      </c>
      <c r="CQ1401">
        <f t="shared" si="518"/>
        <v>37</v>
      </c>
      <c r="CS1401" t="str">
        <f>IF(OR(周转筐出入库明细!$C1402="",周转筐出入库明细!$F1402&lt;&gt;"采购入库"),"",周转筐出入库明细!$C1402)</f>
        <v/>
      </c>
      <c r="CT1401">
        <f t="shared" si="519"/>
        <v>0</v>
      </c>
      <c r="CU1401">
        <f t="shared" si="520"/>
        <v>1</v>
      </c>
    </row>
    <row r="1402" spans="1:99">
      <c r="A1402" t="str">
        <f>IF(包装物料出入库明细!$E1402="","",包装物料出入库明细!$E1402)</f>
        <v/>
      </c>
      <c r="B1402">
        <f t="shared" si="508"/>
        <v>0</v>
      </c>
      <c r="C1402">
        <f t="shared" si="509"/>
        <v>7</v>
      </c>
      <c r="D1402" t="str">
        <f>IF(包装物料出入库明细!$E1402="","",包装物料出入库明细!$F1402)</f>
        <v/>
      </c>
      <c r="E1402" t="str">
        <f>IF(包装物料出入库明细!$E1402="","",包装物料出入库明细!$G1402)</f>
        <v/>
      </c>
      <c r="K1402" t="str">
        <f>IF(包装物料出入库明细!$D1402="","",包装物料出入库明细!$D1402)</f>
        <v/>
      </c>
      <c r="L1402">
        <f t="shared" si="510"/>
        <v>0</v>
      </c>
      <c r="M1402">
        <f t="shared" si="511"/>
        <v>9</v>
      </c>
      <c r="Q1402" t="str">
        <f>IF(周转筐出入库明细!$D1403="","",周转筐出入库明细!$D1403)</f>
        <v/>
      </c>
      <c r="R1402">
        <f t="shared" si="512"/>
        <v>0</v>
      </c>
      <c r="S1402">
        <f t="shared" si="513"/>
        <v>5</v>
      </c>
      <c r="W1402" t="str">
        <f>IF(周转筐出入库明细!$C1403="","",周转筐出入库明细!$C1403)</f>
        <v/>
      </c>
      <c r="X1402">
        <f t="shared" si="514"/>
        <v>0</v>
      </c>
      <c r="Y1402">
        <f t="shared" si="515"/>
        <v>12</v>
      </c>
      <c r="AI1402" t="str">
        <f>IF(OR(对接源_01水果筐数!$B203="",LEFT(对接源_01水果筐数!$C203,2)&lt;&gt;"自备"),"",对接源_01水果筐数!$B203)</f>
        <v/>
      </c>
      <c r="AJ1402">
        <f t="shared" si="516"/>
        <v>0</v>
      </c>
      <c r="AK1402">
        <f t="shared" si="517"/>
        <v>6</v>
      </c>
      <c r="CP1402">
        <f>IF(包装物料出入库明细!$D1402="",0,1)</f>
        <v>0</v>
      </c>
      <c r="CQ1402">
        <f t="shared" si="518"/>
        <v>37</v>
      </c>
      <c r="CS1402" t="str">
        <f>IF(OR(周转筐出入库明细!$C1403="",周转筐出入库明细!$F1403&lt;&gt;"采购入库"),"",周转筐出入库明细!$C1403)</f>
        <v/>
      </c>
      <c r="CT1402">
        <f t="shared" si="519"/>
        <v>0</v>
      </c>
      <c r="CU1402">
        <f t="shared" si="520"/>
        <v>1</v>
      </c>
    </row>
    <row r="1403" spans="1:99">
      <c r="A1403" t="str">
        <f>IF(包装物料出入库明细!$E1403="","",包装物料出入库明细!$E1403)</f>
        <v/>
      </c>
      <c r="B1403">
        <f t="shared" si="508"/>
        <v>0</v>
      </c>
      <c r="C1403">
        <f t="shared" si="509"/>
        <v>7</v>
      </c>
      <c r="D1403" t="str">
        <f>IF(包装物料出入库明细!$E1403="","",包装物料出入库明细!$F1403)</f>
        <v/>
      </c>
      <c r="E1403" t="str">
        <f>IF(包装物料出入库明细!$E1403="","",包装物料出入库明细!$G1403)</f>
        <v/>
      </c>
      <c r="K1403" t="str">
        <f>IF(包装物料出入库明细!$D1403="","",包装物料出入库明细!$D1403)</f>
        <v/>
      </c>
      <c r="L1403">
        <f t="shared" si="510"/>
        <v>0</v>
      </c>
      <c r="M1403">
        <f t="shared" si="511"/>
        <v>9</v>
      </c>
      <c r="Q1403" t="str">
        <f>IF(周转筐出入库明细!$D1404="","",周转筐出入库明细!$D1404)</f>
        <v/>
      </c>
      <c r="R1403">
        <f t="shared" si="512"/>
        <v>0</v>
      </c>
      <c r="S1403">
        <f t="shared" si="513"/>
        <v>5</v>
      </c>
      <c r="W1403" t="str">
        <f>IF(周转筐出入库明细!$C1404="","",周转筐出入库明细!$C1404)</f>
        <v/>
      </c>
      <c r="X1403">
        <f t="shared" si="514"/>
        <v>0</v>
      </c>
      <c r="Y1403">
        <f t="shared" si="515"/>
        <v>12</v>
      </c>
      <c r="AI1403" t="str">
        <f>IF(OR(对接源_01水果筐数!$B204="",LEFT(对接源_01水果筐数!$C204,2)&lt;&gt;"自备"),"",对接源_01水果筐数!$B204)</f>
        <v/>
      </c>
      <c r="AJ1403">
        <f t="shared" si="516"/>
        <v>0</v>
      </c>
      <c r="AK1403">
        <f t="shared" si="517"/>
        <v>6</v>
      </c>
      <c r="CP1403">
        <f>IF(包装物料出入库明细!$D1403="",0,1)</f>
        <v>0</v>
      </c>
      <c r="CQ1403">
        <f t="shared" si="518"/>
        <v>37</v>
      </c>
      <c r="CS1403" t="str">
        <f>IF(OR(周转筐出入库明细!$C1404="",周转筐出入库明细!$F1404&lt;&gt;"采购入库"),"",周转筐出入库明细!$C1404)</f>
        <v/>
      </c>
      <c r="CT1403">
        <f t="shared" si="519"/>
        <v>0</v>
      </c>
      <c r="CU1403">
        <f t="shared" si="520"/>
        <v>1</v>
      </c>
    </row>
    <row r="1404" spans="1:99">
      <c r="A1404" t="str">
        <f>IF(包装物料出入库明细!$E1404="","",包装物料出入库明细!$E1404)</f>
        <v/>
      </c>
      <c r="B1404">
        <f t="shared" si="508"/>
        <v>0</v>
      </c>
      <c r="C1404">
        <f t="shared" si="509"/>
        <v>7</v>
      </c>
      <c r="D1404" t="str">
        <f>IF(包装物料出入库明细!$E1404="","",包装物料出入库明细!$F1404)</f>
        <v/>
      </c>
      <c r="E1404" t="str">
        <f>IF(包装物料出入库明细!$E1404="","",包装物料出入库明细!$G1404)</f>
        <v/>
      </c>
      <c r="K1404" t="str">
        <f>IF(包装物料出入库明细!$D1404="","",包装物料出入库明细!$D1404)</f>
        <v/>
      </c>
      <c r="L1404">
        <f t="shared" si="510"/>
        <v>0</v>
      </c>
      <c r="M1404">
        <f t="shared" si="511"/>
        <v>9</v>
      </c>
      <c r="Q1404" t="str">
        <f>IF(周转筐出入库明细!$D1405="","",周转筐出入库明细!$D1405)</f>
        <v/>
      </c>
      <c r="R1404">
        <f t="shared" si="512"/>
        <v>0</v>
      </c>
      <c r="S1404">
        <f t="shared" si="513"/>
        <v>5</v>
      </c>
      <c r="W1404" t="str">
        <f>IF(周转筐出入库明细!$C1405="","",周转筐出入库明细!$C1405)</f>
        <v/>
      </c>
      <c r="X1404">
        <f t="shared" si="514"/>
        <v>0</v>
      </c>
      <c r="Y1404">
        <f t="shared" si="515"/>
        <v>12</v>
      </c>
      <c r="AI1404" t="str">
        <f>IF(OR(对接源_01水果筐数!$B205="",LEFT(对接源_01水果筐数!$C205,2)&lt;&gt;"自备"),"",对接源_01水果筐数!$B205)</f>
        <v/>
      </c>
      <c r="AJ1404">
        <f t="shared" si="516"/>
        <v>0</v>
      </c>
      <c r="AK1404">
        <f t="shared" si="517"/>
        <v>6</v>
      </c>
      <c r="CP1404">
        <f>IF(包装物料出入库明细!$D1404="",0,1)</f>
        <v>0</v>
      </c>
      <c r="CQ1404">
        <f t="shared" si="518"/>
        <v>37</v>
      </c>
      <c r="CS1404" t="str">
        <f>IF(OR(周转筐出入库明细!$C1405="",周转筐出入库明细!$F1405&lt;&gt;"采购入库"),"",周转筐出入库明细!$C1405)</f>
        <v/>
      </c>
      <c r="CT1404">
        <f t="shared" si="519"/>
        <v>0</v>
      </c>
      <c r="CU1404">
        <f t="shared" si="520"/>
        <v>1</v>
      </c>
    </row>
    <row r="1405" spans="1:99">
      <c r="A1405" t="str">
        <f>IF(包装物料出入库明细!$E1405="","",包装物料出入库明细!$E1405)</f>
        <v/>
      </c>
      <c r="B1405">
        <f t="shared" si="508"/>
        <v>0</v>
      </c>
      <c r="C1405">
        <f t="shared" si="509"/>
        <v>7</v>
      </c>
      <c r="D1405" t="str">
        <f>IF(包装物料出入库明细!$E1405="","",包装物料出入库明细!$F1405)</f>
        <v/>
      </c>
      <c r="E1405" t="str">
        <f>IF(包装物料出入库明细!$E1405="","",包装物料出入库明细!$G1405)</f>
        <v/>
      </c>
      <c r="K1405" t="str">
        <f>IF(包装物料出入库明细!$D1405="","",包装物料出入库明细!$D1405)</f>
        <v/>
      </c>
      <c r="L1405">
        <f t="shared" si="510"/>
        <v>0</v>
      </c>
      <c r="M1405">
        <f t="shared" si="511"/>
        <v>9</v>
      </c>
      <c r="Q1405" t="str">
        <f>IF(周转筐出入库明细!$D1406="","",周转筐出入库明细!$D1406)</f>
        <v/>
      </c>
      <c r="R1405">
        <f t="shared" si="512"/>
        <v>0</v>
      </c>
      <c r="S1405">
        <f t="shared" si="513"/>
        <v>5</v>
      </c>
      <c r="W1405" t="str">
        <f>IF(周转筐出入库明细!$C1406="","",周转筐出入库明细!$C1406)</f>
        <v/>
      </c>
      <c r="X1405">
        <f t="shared" si="514"/>
        <v>0</v>
      </c>
      <c r="Y1405">
        <f t="shared" si="515"/>
        <v>12</v>
      </c>
      <c r="AI1405" t="str">
        <f>IF(OR(对接源_01水果筐数!$B206="",LEFT(对接源_01水果筐数!$C206,2)&lt;&gt;"自备"),"",对接源_01水果筐数!$B206)</f>
        <v/>
      </c>
      <c r="AJ1405">
        <f t="shared" si="516"/>
        <v>0</v>
      </c>
      <c r="AK1405">
        <f t="shared" si="517"/>
        <v>6</v>
      </c>
      <c r="CP1405">
        <f>IF(包装物料出入库明细!$D1405="",0,1)</f>
        <v>0</v>
      </c>
      <c r="CQ1405">
        <f t="shared" si="518"/>
        <v>37</v>
      </c>
      <c r="CS1405" t="str">
        <f>IF(OR(周转筐出入库明细!$C1406="",周转筐出入库明细!$F1406&lt;&gt;"采购入库"),"",周转筐出入库明细!$C1406)</f>
        <v/>
      </c>
      <c r="CT1405">
        <f t="shared" si="519"/>
        <v>0</v>
      </c>
      <c r="CU1405">
        <f t="shared" si="520"/>
        <v>1</v>
      </c>
    </row>
    <row r="1406" spans="1:99">
      <c r="A1406" t="str">
        <f>IF(包装物料出入库明细!$E1406="","",包装物料出入库明细!$E1406)</f>
        <v/>
      </c>
      <c r="B1406">
        <f t="shared" si="508"/>
        <v>0</v>
      </c>
      <c r="C1406">
        <f t="shared" si="509"/>
        <v>7</v>
      </c>
      <c r="D1406" t="str">
        <f>IF(包装物料出入库明细!$E1406="","",包装物料出入库明细!$F1406)</f>
        <v/>
      </c>
      <c r="E1406" t="str">
        <f>IF(包装物料出入库明细!$E1406="","",包装物料出入库明细!$G1406)</f>
        <v/>
      </c>
      <c r="K1406" t="str">
        <f>IF(包装物料出入库明细!$D1406="","",包装物料出入库明细!$D1406)</f>
        <v/>
      </c>
      <c r="L1406">
        <f t="shared" si="510"/>
        <v>0</v>
      </c>
      <c r="M1406">
        <f t="shared" si="511"/>
        <v>9</v>
      </c>
      <c r="Q1406" t="str">
        <f>IF(周转筐出入库明细!$D1407="","",周转筐出入库明细!$D1407)</f>
        <v/>
      </c>
      <c r="R1406">
        <f t="shared" si="512"/>
        <v>0</v>
      </c>
      <c r="S1406">
        <f t="shared" si="513"/>
        <v>5</v>
      </c>
      <c r="W1406" t="str">
        <f>IF(周转筐出入库明细!$C1407="","",周转筐出入库明细!$C1407)</f>
        <v/>
      </c>
      <c r="X1406">
        <f t="shared" si="514"/>
        <v>0</v>
      </c>
      <c r="Y1406">
        <f t="shared" si="515"/>
        <v>12</v>
      </c>
      <c r="AI1406" t="str">
        <f>IF(OR(对接源_01水果筐数!$B207="",LEFT(对接源_01水果筐数!$C207,2)&lt;&gt;"自备"),"",对接源_01水果筐数!$B207)</f>
        <v/>
      </c>
      <c r="AJ1406">
        <f t="shared" si="516"/>
        <v>0</v>
      </c>
      <c r="AK1406">
        <f t="shared" si="517"/>
        <v>6</v>
      </c>
      <c r="CP1406">
        <f>IF(包装物料出入库明细!$D1406="",0,1)</f>
        <v>0</v>
      </c>
      <c r="CQ1406">
        <f t="shared" si="518"/>
        <v>37</v>
      </c>
      <c r="CS1406" t="str">
        <f>IF(OR(周转筐出入库明细!$C1407="",周转筐出入库明细!$F1407&lt;&gt;"采购入库"),"",周转筐出入库明细!$C1407)</f>
        <v/>
      </c>
      <c r="CT1406">
        <f t="shared" si="519"/>
        <v>0</v>
      </c>
      <c r="CU1406">
        <f t="shared" si="520"/>
        <v>1</v>
      </c>
    </row>
    <row r="1407" spans="1:99">
      <c r="A1407" t="str">
        <f>IF(包装物料出入库明细!$E1407="","",包装物料出入库明细!$E1407)</f>
        <v/>
      </c>
      <c r="B1407">
        <f t="shared" si="508"/>
        <v>0</v>
      </c>
      <c r="C1407">
        <f t="shared" si="509"/>
        <v>7</v>
      </c>
      <c r="D1407" t="str">
        <f>IF(包装物料出入库明细!$E1407="","",包装物料出入库明细!$F1407)</f>
        <v/>
      </c>
      <c r="E1407" t="str">
        <f>IF(包装物料出入库明细!$E1407="","",包装物料出入库明细!$G1407)</f>
        <v/>
      </c>
      <c r="K1407" t="str">
        <f>IF(包装物料出入库明细!$D1407="","",包装物料出入库明细!$D1407)</f>
        <v/>
      </c>
      <c r="L1407">
        <f t="shared" si="510"/>
        <v>0</v>
      </c>
      <c r="M1407">
        <f t="shared" si="511"/>
        <v>9</v>
      </c>
      <c r="Q1407" t="str">
        <f>IF(周转筐出入库明细!$D1408="","",周转筐出入库明细!$D1408)</f>
        <v/>
      </c>
      <c r="R1407">
        <f t="shared" si="512"/>
        <v>0</v>
      </c>
      <c r="S1407">
        <f t="shared" si="513"/>
        <v>5</v>
      </c>
      <c r="W1407" t="str">
        <f>IF(周转筐出入库明细!$C1408="","",周转筐出入库明细!$C1408)</f>
        <v/>
      </c>
      <c r="X1407">
        <f t="shared" si="514"/>
        <v>0</v>
      </c>
      <c r="Y1407">
        <f t="shared" si="515"/>
        <v>12</v>
      </c>
      <c r="AI1407" t="str">
        <f>IF(OR(对接源_01水果筐数!$B208="",LEFT(对接源_01水果筐数!$C208,2)&lt;&gt;"自备"),"",对接源_01水果筐数!$B208)</f>
        <v/>
      </c>
      <c r="AJ1407">
        <f t="shared" si="516"/>
        <v>0</v>
      </c>
      <c r="AK1407">
        <f t="shared" si="517"/>
        <v>6</v>
      </c>
      <c r="CP1407">
        <f>IF(包装物料出入库明细!$D1407="",0,1)</f>
        <v>0</v>
      </c>
      <c r="CQ1407">
        <f t="shared" si="518"/>
        <v>37</v>
      </c>
      <c r="CS1407" t="str">
        <f>IF(OR(周转筐出入库明细!$C1408="",周转筐出入库明细!$F1408&lt;&gt;"采购入库"),"",周转筐出入库明细!$C1408)</f>
        <v/>
      </c>
      <c r="CT1407">
        <f t="shared" si="519"/>
        <v>0</v>
      </c>
      <c r="CU1407">
        <f t="shared" si="520"/>
        <v>1</v>
      </c>
    </row>
    <row r="1408" spans="1:99">
      <c r="A1408" t="str">
        <f>IF(包装物料出入库明细!$E1408="","",包装物料出入库明细!$E1408)</f>
        <v/>
      </c>
      <c r="B1408">
        <f t="shared" si="508"/>
        <v>0</v>
      </c>
      <c r="C1408">
        <f t="shared" si="509"/>
        <v>7</v>
      </c>
      <c r="D1408" t="str">
        <f>IF(包装物料出入库明细!$E1408="","",包装物料出入库明细!$F1408)</f>
        <v/>
      </c>
      <c r="E1408" t="str">
        <f>IF(包装物料出入库明细!$E1408="","",包装物料出入库明细!$G1408)</f>
        <v/>
      </c>
      <c r="K1408" t="str">
        <f>IF(包装物料出入库明细!$D1408="","",包装物料出入库明细!$D1408)</f>
        <v/>
      </c>
      <c r="L1408">
        <f t="shared" si="510"/>
        <v>0</v>
      </c>
      <c r="M1408">
        <f t="shared" si="511"/>
        <v>9</v>
      </c>
      <c r="Q1408" t="str">
        <f>IF(周转筐出入库明细!$D1409="","",周转筐出入库明细!$D1409)</f>
        <v/>
      </c>
      <c r="R1408">
        <f t="shared" si="512"/>
        <v>0</v>
      </c>
      <c r="S1408">
        <f t="shared" si="513"/>
        <v>5</v>
      </c>
      <c r="W1408" t="str">
        <f>IF(周转筐出入库明细!$C1409="","",周转筐出入库明细!$C1409)</f>
        <v/>
      </c>
      <c r="X1408">
        <f t="shared" si="514"/>
        <v>0</v>
      </c>
      <c r="Y1408">
        <f t="shared" si="515"/>
        <v>12</v>
      </c>
      <c r="AI1408" t="str">
        <f>IF(OR(对接源_01水果筐数!$B209="",LEFT(对接源_01水果筐数!$C209,2)&lt;&gt;"自备"),"",对接源_01水果筐数!$B209)</f>
        <v/>
      </c>
      <c r="AJ1408">
        <f t="shared" si="516"/>
        <v>0</v>
      </c>
      <c r="AK1408">
        <f t="shared" si="517"/>
        <v>6</v>
      </c>
      <c r="CP1408">
        <f>IF(包装物料出入库明细!$D1408="",0,1)</f>
        <v>0</v>
      </c>
      <c r="CQ1408">
        <f t="shared" si="518"/>
        <v>37</v>
      </c>
      <c r="CS1408" t="str">
        <f>IF(OR(周转筐出入库明细!$C1409="",周转筐出入库明细!$F1409&lt;&gt;"采购入库"),"",周转筐出入库明细!$C1409)</f>
        <v/>
      </c>
      <c r="CT1408">
        <f t="shared" si="519"/>
        <v>0</v>
      </c>
      <c r="CU1408">
        <f t="shared" si="520"/>
        <v>1</v>
      </c>
    </row>
    <row r="1409" spans="1:99">
      <c r="A1409" t="str">
        <f>IF(包装物料出入库明细!$E1409="","",包装物料出入库明细!$E1409)</f>
        <v/>
      </c>
      <c r="B1409">
        <f t="shared" si="508"/>
        <v>0</v>
      </c>
      <c r="C1409">
        <f t="shared" si="509"/>
        <v>7</v>
      </c>
      <c r="D1409" t="str">
        <f>IF(包装物料出入库明细!$E1409="","",包装物料出入库明细!$F1409)</f>
        <v/>
      </c>
      <c r="E1409" t="str">
        <f>IF(包装物料出入库明细!$E1409="","",包装物料出入库明细!$G1409)</f>
        <v/>
      </c>
      <c r="K1409" t="str">
        <f>IF(包装物料出入库明细!$D1409="","",包装物料出入库明细!$D1409)</f>
        <v/>
      </c>
      <c r="L1409">
        <f t="shared" si="510"/>
        <v>0</v>
      </c>
      <c r="M1409">
        <f t="shared" si="511"/>
        <v>9</v>
      </c>
      <c r="Q1409" t="str">
        <f>IF(周转筐出入库明细!$D1410="","",周转筐出入库明细!$D1410)</f>
        <v/>
      </c>
      <c r="R1409">
        <f t="shared" si="512"/>
        <v>0</v>
      </c>
      <c r="S1409">
        <f t="shared" si="513"/>
        <v>5</v>
      </c>
      <c r="W1409" t="str">
        <f>IF(周转筐出入库明细!$C1410="","",周转筐出入库明细!$C1410)</f>
        <v/>
      </c>
      <c r="X1409">
        <f t="shared" si="514"/>
        <v>0</v>
      </c>
      <c r="Y1409">
        <f t="shared" si="515"/>
        <v>12</v>
      </c>
      <c r="AI1409" t="str">
        <f>IF(OR(对接源_01水果筐数!$B210="",LEFT(对接源_01水果筐数!$C210,2)&lt;&gt;"自备"),"",对接源_01水果筐数!$B210)</f>
        <v/>
      </c>
      <c r="AJ1409">
        <f t="shared" si="516"/>
        <v>0</v>
      </c>
      <c r="AK1409">
        <f t="shared" si="517"/>
        <v>6</v>
      </c>
      <c r="CP1409">
        <f>IF(包装物料出入库明细!$D1409="",0,1)</f>
        <v>0</v>
      </c>
      <c r="CQ1409">
        <f t="shared" si="518"/>
        <v>37</v>
      </c>
      <c r="CS1409" t="str">
        <f>IF(OR(周转筐出入库明细!$C1410="",周转筐出入库明细!$F1410&lt;&gt;"采购入库"),"",周转筐出入库明细!$C1410)</f>
        <v/>
      </c>
      <c r="CT1409">
        <f t="shared" si="519"/>
        <v>0</v>
      </c>
      <c r="CU1409">
        <f t="shared" si="520"/>
        <v>1</v>
      </c>
    </row>
    <row r="1410" spans="1:99">
      <c r="A1410" t="str">
        <f>IF(包装物料出入库明细!$E1410="","",包装物料出入库明细!$E1410)</f>
        <v/>
      </c>
      <c r="B1410">
        <f t="shared" si="508"/>
        <v>0</v>
      </c>
      <c r="C1410">
        <f t="shared" si="509"/>
        <v>7</v>
      </c>
      <c r="D1410" t="str">
        <f>IF(包装物料出入库明细!$E1410="","",包装物料出入库明细!$F1410)</f>
        <v/>
      </c>
      <c r="E1410" t="str">
        <f>IF(包装物料出入库明细!$E1410="","",包装物料出入库明细!$G1410)</f>
        <v/>
      </c>
      <c r="K1410" t="str">
        <f>IF(包装物料出入库明细!$D1410="","",包装物料出入库明细!$D1410)</f>
        <v/>
      </c>
      <c r="L1410">
        <f t="shared" si="510"/>
        <v>0</v>
      </c>
      <c r="M1410">
        <f t="shared" si="511"/>
        <v>9</v>
      </c>
      <c r="Q1410" t="str">
        <f>IF(周转筐出入库明细!$D1411="","",周转筐出入库明细!$D1411)</f>
        <v/>
      </c>
      <c r="R1410">
        <f t="shared" si="512"/>
        <v>0</v>
      </c>
      <c r="S1410">
        <f t="shared" si="513"/>
        <v>5</v>
      </c>
      <c r="W1410" t="str">
        <f>IF(周转筐出入库明细!$C1411="","",周转筐出入库明细!$C1411)</f>
        <v/>
      </c>
      <c r="X1410">
        <f t="shared" si="514"/>
        <v>0</v>
      </c>
      <c r="Y1410">
        <f t="shared" si="515"/>
        <v>12</v>
      </c>
      <c r="AI1410" t="str">
        <f>IF(OR(对接源_01水果筐数!$B211="",LEFT(对接源_01水果筐数!$C211,2)&lt;&gt;"自备"),"",对接源_01水果筐数!$B211)</f>
        <v/>
      </c>
      <c r="AJ1410">
        <f t="shared" si="516"/>
        <v>0</v>
      </c>
      <c r="AK1410">
        <f t="shared" si="517"/>
        <v>6</v>
      </c>
      <c r="CP1410">
        <f>IF(包装物料出入库明细!$D1410="",0,1)</f>
        <v>0</v>
      </c>
      <c r="CQ1410">
        <f t="shared" si="518"/>
        <v>37</v>
      </c>
      <c r="CS1410" t="str">
        <f>IF(OR(周转筐出入库明细!$C1411="",周转筐出入库明细!$F1411&lt;&gt;"采购入库"),"",周转筐出入库明细!$C1411)</f>
        <v/>
      </c>
      <c r="CT1410">
        <f t="shared" si="519"/>
        <v>0</v>
      </c>
      <c r="CU1410">
        <f t="shared" si="520"/>
        <v>1</v>
      </c>
    </row>
    <row r="1411" spans="1:99">
      <c r="A1411" t="str">
        <f>IF(包装物料出入库明细!$E1411="","",包装物料出入库明细!$E1411)</f>
        <v/>
      </c>
      <c r="B1411">
        <f t="shared" si="508"/>
        <v>0</v>
      </c>
      <c r="C1411">
        <f t="shared" si="509"/>
        <v>7</v>
      </c>
      <c r="D1411" t="str">
        <f>IF(包装物料出入库明细!$E1411="","",包装物料出入库明细!$F1411)</f>
        <v/>
      </c>
      <c r="E1411" t="str">
        <f>IF(包装物料出入库明细!$E1411="","",包装物料出入库明细!$G1411)</f>
        <v/>
      </c>
      <c r="K1411" t="str">
        <f>IF(包装物料出入库明细!$D1411="","",包装物料出入库明细!$D1411)</f>
        <v/>
      </c>
      <c r="L1411">
        <f t="shared" si="510"/>
        <v>0</v>
      </c>
      <c r="M1411">
        <f t="shared" si="511"/>
        <v>9</v>
      </c>
      <c r="Q1411" t="str">
        <f>IF(周转筐出入库明细!$D1412="","",周转筐出入库明细!$D1412)</f>
        <v/>
      </c>
      <c r="R1411">
        <f t="shared" si="512"/>
        <v>0</v>
      </c>
      <c r="S1411">
        <f t="shared" si="513"/>
        <v>5</v>
      </c>
      <c r="W1411" t="str">
        <f>IF(周转筐出入库明细!$C1412="","",周转筐出入库明细!$C1412)</f>
        <v/>
      </c>
      <c r="X1411">
        <f t="shared" si="514"/>
        <v>0</v>
      </c>
      <c r="Y1411">
        <f t="shared" si="515"/>
        <v>12</v>
      </c>
      <c r="AI1411" t="str">
        <f>IF(OR(对接源_01水果筐数!$B212="",LEFT(对接源_01水果筐数!$C212,2)&lt;&gt;"自备"),"",对接源_01水果筐数!$B212)</f>
        <v/>
      </c>
      <c r="AJ1411">
        <f t="shared" si="516"/>
        <v>0</v>
      </c>
      <c r="AK1411">
        <f t="shared" si="517"/>
        <v>6</v>
      </c>
      <c r="CP1411">
        <f>IF(包装物料出入库明细!$D1411="",0,1)</f>
        <v>0</v>
      </c>
      <c r="CQ1411">
        <f t="shared" si="518"/>
        <v>37</v>
      </c>
      <c r="CS1411" t="str">
        <f>IF(OR(周转筐出入库明细!$C1412="",周转筐出入库明细!$F1412&lt;&gt;"采购入库"),"",周转筐出入库明细!$C1412)</f>
        <v/>
      </c>
      <c r="CT1411">
        <f t="shared" si="519"/>
        <v>0</v>
      </c>
      <c r="CU1411">
        <f t="shared" si="520"/>
        <v>1</v>
      </c>
    </row>
    <row r="1412" spans="1:99">
      <c r="A1412" t="str">
        <f>IF(包装物料出入库明细!$E1412="","",包装物料出入库明细!$E1412)</f>
        <v/>
      </c>
      <c r="B1412">
        <f t="shared" ref="B1412:B1475" si="521">IF(A1412="",0,IF(MATCH(A1412,$A$4:$A$2003,0)=ROW()-3,1,0))</f>
        <v>0</v>
      </c>
      <c r="C1412">
        <f t="shared" ref="C1412:C1475" si="522">N(C1411)+B1412</f>
        <v>7</v>
      </c>
      <c r="D1412" t="str">
        <f>IF(包装物料出入库明细!$E1412="","",包装物料出入库明细!$F1412)</f>
        <v/>
      </c>
      <c r="E1412" t="str">
        <f>IF(包装物料出入库明细!$E1412="","",包装物料出入库明细!$G1412)</f>
        <v/>
      </c>
      <c r="K1412" t="str">
        <f>IF(包装物料出入库明细!$D1412="","",包装物料出入库明细!$D1412)</f>
        <v/>
      </c>
      <c r="L1412">
        <f t="shared" ref="L1412:L1475" si="523">IF(K1412="",0,IF(MATCH(K1412,$K$4:$K$2003,0)=ROW()-3,1,0))</f>
        <v>0</v>
      </c>
      <c r="M1412">
        <f t="shared" ref="M1412:M1475" si="524">N(M1411)+L1412</f>
        <v>9</v>
      </c>
      <c r="Q1412" t="str">
        <f>IF(周转筐出入库明细!$D1413="","",周转筐出入库明细!$D1413)</f>
        <v/>
      </c>
      <c r="R1412">
        <f t="shared" ref="R1412:R1475" si="525">IF(Q1412="",0,IF(MATCH(Q1412,$Q$4:$Q$2003,0)=ROW()-3,1,0))</f>
        <v>0</v>
      </c>
      <c r="S1412">
        <f t="shared" ref="S1412:S1475" si="526">N(S1411)+R1412</f>
        <v>5</v>
      </c>
      <c r="W1412" t="str">
        <f>IF(周转筐出入库明细!$C1413="","",周转筐出入库明细!$C1413)</f>
        <v/>
      </c>
      <c r="X1412">
        <f t="shared" ref="X1412:X1475" si="527">IF(W1412="",0,IF(MATCH(W1412,$W$4:$W$2003,0)=ROW()-3,1,0))</f>
        <v>0</v>
      </c>
      <c r="Y1412">
        <f t="shared" ref="Y1412:Y1475" si="528">N(Y1411)+X1412</f>
        <v>12</v>
      </c>
      <c r="AI1412" t="str">
        <f>IF(OR(对接源_01水果筐数!$B213="",LEFT(对接源_01水果筐数!$C213,2)&lt;&gt;"自备"),"",对接源_01水果筐数!$B213)</f>
        <v/>
      </c>
      <c r="AJ1412">
        <f t="shared" ref="AJ1412:AJ1475" si="529">IF(AI1412="",0,IF(MATCH(AI1412,$AI$4:$AI$1503,0)=ROW()-3,1,0))</f>
        <v>0</v>
      </c>
      <c r="AK1412">
        <f t="shared" ref="AK1412:AK1475" si="530">N(AK1411)+AJ1412</f>
        <v>6</v>
      </c>
      <c r="CP1412">
        <f>IF(包装物料出入库明细!$D1412="",0,1)</f>
        <v>0</v>
      </c>
      <c r="CQ1412">
        <f t="shared" ref="CQ1412:CQ1475" si="531">N(CQ1411)+$CP1412</f>
        <v>37</v>
      </c>
      <c r="CS1412" t="str">
        <f>IF(OR(周转筐出入库明细!$C1413="",周转筐出入库明细!$F1413&lt;&gt;"采购入库"),"",周转筐出入库明细!$C1413)</f>
        <v/>
      </c>
      <c r="CT1412">
        <f t="shared" ref="CT1412:CT1475" si="532">IF(CS1412="",0,IF(MATCH(CS1412,$CS$4:$CS$2003,0)=ROW()-3,1,0))</f>
        <v>0</v>
      </c>
      <c r="CU1412">
        <f t="shared" ref="CU1412:CU1475" si="533">N(CU1411)+CT1412</f>
        <v>1</v>
      </c>
    </row>
    <row r="1413" spans="1:99">
      <c r="A1413" t="str">
        <f>IF(包装物料出入库明细!$E1413="","",包装物料出入库明细!$E1413)</f>
        <v/>
      </c>
      <c r="B1413">
        <f t="shared" si="521"/>
        <v>0</v>
      </c>
      <c r="C1413">
        <f t="shared" si="522"/>
        <v>7</v>
      </c>
      <c r="D1413" t="str">
        <f>IF(包装物料出入库明细!$E1413="","",包装物料出入库明细!$F1413)</f>
        <v/>
      </c>
      <c r="E1413" t="str">
        <f>IF(包装物料出入库明细!$E1413="","",包装物料出入库明细!$G1413)</f>
        <v/>
      </c>
      <c r="K1413" t="str">
        <f>IF(包装物料出入库明细!$D1413="","",包装物料出入库明细!$D1413)</f>
        <v/>
      </c>
      <c r="L1413">
        <f t="shared" si="523"/>
        <v>0</v>
      </c>
      <c r="M1413">
        <f t="shared" si="524"/>
        <v>9</v>
      </c>
      <c r="Q1413" t="str">
        <f>IF(周转筐出入库明细!$D1414="","",周转筐出入库明细!$D1414)</f>
        <v/>
      </c>
      <c r="R1413">
        <f t="shared" si="525"/>
        <v>0</v>
      </c>
      <c r="S1413">
        <f t="shared" si="526"/>
        <v>5</v>
      </c>
      <c r="W1413" t="str">
        <f>IF(周转筐出入库明细!$C1414="","",周转筐出入库明细!$C1414)</f>
        <v/>
      </c>
      <c r="X1413">
        <f t="shared" si="527"/>
        <v>0</v>
      </c>
      <c r="Y1413">
        <f t="shared" si="528"/>
        <v>12</v>
      </c>
      <c r="AI1413" t="str">
        <f>IF(OR(对接源_01水果筐数!$B214="",LEFT(对接源_01水果筐数!$C214,2)&lt;&gt;"自备"),"",对接源_01水果筐数!$B214)</f>
        <v/>
      </c>
      <c r="AJ1413">
        <f t="shared" si="529"/>
        <v>0</v>
      </c>
      <c r="AK1413">
        <f t="shared" si="530"/>
        <v>6</v>
      </c>
      <c r="CP1413">
        <f>IF(包装物料出入库明细!$D1413="",0,1)</f>
        <v>0</v>
      </c>
      <c r="CQ1413">
        <f t="shared" si="531"/>
        <v>37</v>
      </c>
      <c r="CS1413" t="str">
        <f>IF(OR(周转筐出入库明细!$C1414="",周转筐出入库明细!$F1414&lt;&gt;"采购入库"),"",周转筐出入库明细!$C1414)</f>
        <v/>
      </c>
      <c r="CT1413">
        <f t="shared" si="532"/>
        <v>0</v>
      </c>
      <c r="CU1413">
        <f t="shared" si="533"/>
        <v>1</v>
      </c>
    </row>
    <row r="1414" spans="1:99">
      <c r="A1414" t="str">
        <f>IF(包装物料出入库明细!$E1414="","",包装物料出入库明细!$E1414)</f>
        <v/>
      </c>
      <c r="B1414">
        <f t="shared" si="521"/>
        <v>0</v>
      </c>
      <c r="C1414">
        <f t="shared" si="522"/>
        <v>7</v>
      </c>
      <c r="D1414" t="str">
        <f>IF(包装物料出入库明细!$E1414="","",包装物料出入库明细!$F1414)</f>
        <v/>
      </c>
      <c r="E1414" t="str">
        <f>IF(包装物料出入库明细!$E1414="","",包装物料出入库明细!$G1414)</f>
        <v/>
      </c>
      <c r="K1414" t="str">
        <f>IF(包装物料出入库明细!$D1414="","",包装物料出入库明细!$D1414)</f>
        <v/>
      </c>
      <c r="L1414">
        <f t="shared" si="523"/>
        <v>0</v>
      </c>
      <c r="M1414">
        <f t="shared" si="524"/>
        <v>9</v>
      </c>
      <c r="Q1414" t="str">
        <f>IF(周转筐出入库明细!$D1415="","",周转筐出入库明细!$D1415)</f>
        <v/>
      </c>
      <c r="R1414">
        <f t="shared" si="525"/>
        <v>0</v>
      </c>
      <c r="S1414">
        <f t="shared" si="526"/>
        <v>5</v>
      </c>
      <c r="W1414" t="str">
        <f>IF(周转筐出入库明细!$C1415="","",周转筐出入库明细!$C1415)</f>
        <v/>
      </c>
      <c r="X1414">
        <f t="shared" si="527"/>
        <v>0</v>
      </c>
      <c r="Y1414">
        <f t="shared" si="528"/>
        <v>12</v>
      </c>
      <c r="AI1414" t="str">
        <f>IF(OR(对接源_01水果筐数!$B215="",LEFT(对接源_01水果筐数!$C215,2)&lt;&gt;"自备"),"",对接源_01水果筐数!$B215)</f>
        <v/>
      </c>
      <c r="AJ1414">
        <f t="shared" si="529"/>
        <v>0</v>
      </c>
      <c r="AK1414">
        <f t="shared" si="530"/>
        <v>6</v>
      </c>
      <c r="CP1414">
        <f>IF(包装物料出入库明细!$D1414="",0,1)</f>
        <v>0</v>
      </c>
      <c r="CQ1414">
        <f t="shared" si="531"/>
        <v>37</v>
      </c>
      <c r="CS1414" t="str">
        <f>IF(OR(周转筐出入库明细!$C1415="",周转筐出入库明细!$F1415&lt;&gt;"采购入库"),"",周转筐出入库明细!$C1415)</f>
        <v/>
      </c>
      <c r="CT1414">
        <f t="shared" si="532"/>
        <v>0</v>
      </c>
      <c r="CU1414">
        <f t="shared" si="533"/>
        <v>1</v>
      </c>
    </row>
    <row r="1415" spans="1:99">
      <c r="A1415" t="str">
        <f>IF(包装物料出入库明细!$E1415="","",包装物料出入库明细!$E1415)</f>
        <v/>
      </c>
      <c r="B1415">
        <f t="shared" si="521"/>
        <v>0</v>
      </c>
      <c r="C1415">
        <f t="shared" si="522"/>
        <v>7</v>
      </c>
      <c r="D1415" t="str">
        <f>IF(包装物料出入库明细!$E1415="","",包装物料出入库明细!$F1415)</f>
        <v/>
      </c>
      <c r="E1415" t="str">
        <f>IF(包装物料出入库明细!$E1415="","",包装物料出入库明细!$G1415)</f>
        <v/>
      </c>
      <c r="K1415" t="str">
        <f>IF(包装物料出入库明细!$D1415="","",包装物料出入库明细!$D1415)</f>
        <v/>
      </c>
      <c r="L1415">
        <f t="shared" si="523"/>
        <v>0</v>
      </c>
      <c r="M1415">
        <f t="shared" si="524"/>
        <v>9</v>
      </c>
      <c r="Q1415" t="str">
        <f>IF(周转筐出入库明细!$D1416="","",周转筐出入库明细!$D1416)</f>
        <v/>
      </c>
      <c r="R1415">
        <f t="shared" si="525"/>
        <v>0</v>
      </c>
      <c r="S1415">
        <f t="shared" si="526"/>
        <v>5</v>
      </c>
      <c r="W1415" t="str">
        <f>IF(周转筐出入库明细!$C1416="","",周转筐出入库明细!$C1416)</f>
        <v/>
      </c>
      <c r="X1415">
        <f t="shared" si="527"/>
        <v>0</v>
      </c>
      <c r="Y1415">
        <f t="shared" si="528"/>
        <v>12</v>
      </c>
      <c r="AI1415" t="str">
        <f>IF(OR(对接源_01水果筐数!$B216="",LEFT(对接源_01水果筐数!$C216,2)&lt;&gt;"自备"),"",对接源_01水果筐数!$B216)</f>
        <v/>
      </c>
      <c r="AJ1415">
        <f t="shared" si="529"/>
        <v>0</v>
      </c>
      <c r="AK1415">
        <f t="shared" si="530"/>
        <v>6</v>
      </c>
      <c r="CP1415">
        <f>IF(包装物料出入库明细!$D1415="",0,1)</f>
        <v>0</v>
      </c>
      <c r="CQ1415">
        <f t="shared" si="531"/>
        <v>37</v>
      </c>
      <c r="CS1415" t="str">
        <f>IF(OR(周转筐出入库明细!$C1416="",周转筐出入库明细!$F1416&lt;&gt;"采购入库"),"",周转筐出入库明细!$C1416)</f>
        <v/>
      </c>
      <c r="CT1415">
        <f t="shared" si="532"/>
        <v>0</v>
      </c>
      <c r="CU1415">
        <f t="shared" si="533"/>
        <v>1</v>
      </c>
    </row>
    <row r="1416" spans="1:99">
      <c r="A1416" t="str">
        <f>IF(包装物料出入库明细!$E1416="","",包装物料出入库明细!$E1416)</f>
        <v/>
      </c>
      <c r="B1416">
        <f t="shared" si="521"/>
        <v>0</v>
      </c>
      <c r="C1416">
        <f t="shared" si="522"/>
        <v>7</v>
      </c>
      <c r="D1416" t="str">
        <f>IF(包装物料出入库明细!$E1416="","",包装物料出入库明细!$F1416)</f>
        <v/>
      </c>
      <c r="E1416" t="str">
        <f>IF(包装物料出入库明细!$E1416="","",包装物料出入库明细!$G1416)</f>
        <v/>
      </c>
      <c r="K1416" t="str">
        <f>IF(包装物料出入库明细!$D1416="","",包装物料出入库明细!$D1416)</f>
        <v/>
      </c>
      <c r="L1416">
        <f t="shared" si="523"/>
        <v>0</v>
      </c>
      <c r="M1416">
        <f t="shared" si="524"/>
        <v>9</v>
      </c>
      <c r="Q1416" t="str">
        <f>IF(周转筐出入库明细!$D1417="","",周转筐出入库明细!$D1417)</f>
        <v/>
      </c>
      <c r="R1416">
        <f t="shared" si="525"/>
        <v>0</v>
      </c>
      <c r="S1416">
        <f t="shared" si="526"/>
        <v>5</v>
      </c>
      <c r="W1416" t="str">
        <f>IF(周转筐出入库明细!$C1417="","",周转筐出入库明细!$C1417)</f>
        <v/>
      </c>
      <c r="X1416">
        <f t="shared" si="527"/>
        <v>0</v>
      </c>
      <c r="Y1416">
        <f t="shared" si="528"/>
        <v>12</v>
      </c>
      <c r="AI1416" t="str">
        <f>IF(OR(对接源_01水果筐数!$B217="",LEFT(对接源_01水果筐数!$C217,2)&lt;&gt;"自备"),"",对接源_01水果筐数!$B217)</f>
        <v/>
      </c>
      <c r="AJ1416">
        <f t="shared" si="529"/>
        <v>0</v>
      </c>
      <c r="AK1416">
        <f t="shared" si="530"/>
        <v>6</v>
      </c>
      <c r="CP1416">
        <f>IF(包装物料出入库明细!$D1416="",0,1)</f>
        <v>0</v>
      </c>
      <c r="CQ1416">
        <f t="shared" si="531"/>
        <v>37</v>
      </c>
      <c r="CS1416" t="str">
        <f>IF(OR(周转筐出入库明细!$C1417="",周转筐出入库明细!$F1417&lt;&gt;"采购入库"),"",周转筐出入库明细!$C1417)</f>
        <v/>
      </c>
      <c r="CT1416">
        <f t="shared" si="532"/>
        <v>0</v>
      </c>
      <c r="CU1416">
        <f t="shared" si="533"/>
        <v>1</v>
      </c>
    </row>
    <row r="1417" spans="1:99">
      <c r="A1417" t="str">
        <f>IF(包装物料出入库明细!$E1417="","",包装物料出入库明细!$E1417)</f>
        <v/>
      </c>
      <c r="B1417">
        <f t="shared" si="521"/>
        <v>0</v>
      </c>
      <c r="C1417">
        <f t="shared" si="522"/>
        <v>7</v>
      </c>
      <c r="D1417" t="str">
        <f>IF(包装物料出入库明细!$E1417="","",包装物料出入库明细!$F1417)</f>
        <v/>
      </c>
      <c r="E1417" t="str">
        <f>IF(包装物料出入库明细!$E1417="","",包装物料出入库明细!$G1417)</f>
        <v/>
      </c>
      <c r="K1417" t="str">
        <f>IF(包装物料出入库明细!$D1417="","",包装物料出入库明细!$D1417)</f>
        <v/>
      </c>
      <c r="L1417">
        <f t="shared" si="523"/>
        <v>0</v>
      </c>
      <c r="M1417">
        <f t="shared" si="524"/>
        <v>9</v>
      </c>
      <c r="Q1417" t="str">
        <f>IF(周转筐出入库明细!$D1418="","",周转筐出入库明细!$D1418)</f>
        <v/>
      </c>
      <c r="R1417">
        <f t="shared" si="525"/>
        <v>0</v>
      </c>
      <c r="S1417">
        <f t="shared" si="526"/>
        <v>5</v>
      </c>
      <c r="W1417" t="str">
        <f>IF(周转筐出入库明细!$C1418="","",周转筐出入库明细!$C1418)</f>
        <v/>
      </c>
      <c r="X1417">
        <f t="shared" si="527"/>
        <v>0</v>
      </c>
      <c r="Y1417">
        <f t="shared" si="528"/>
        <v>12</v>
      </c>
      <c r="AI1417" t="str">
        <f>IF(OR(对接源_01水果筐数!$B218="",LEFT(对接源_01水果筐数!$C218,2)&lt;&gt;"自备"),"",对接源_01水果筐数!$B218)</f>
        <v/>
      </c>
      <c r="AJ1417">
        <f t="shared" si="529"/>
        <v>0</v>
      </c>
      <c r="AK1417">
        <f t="shared" si="530"/>
        <v>6</v>
      </c>
      <c r="CP1417">
        <f>IF(包装物料出入库明细!$D1417="",0,1)</f>
        <v>0</v>
      </c>
      <c r="CQ1417">
        <f t="shared" si="531"/>
        <v>37</v>
      </c>
      <c r="CS1417" t="str">
        <f>IF(OR(周转筐出入库明细!$C1418="",周转筐出入库明细!$F1418&lt;&gt;"采购入库"),"",周转筐出入库明细!$C1418)</f>
        <v/>
      </c>
      <c r="CT1417">
        <f t="shared" si="532"/>
        <v>0</v>
      </c>
      <c r="CU1417">
        <f t="shared" si="533"/>
        <v>1</v>
      </c>
    </row>
    <row r="1418" spans="1:99">
      <c r="A1418" t="str">
        <f>IF(包装物料出入库明细!$E1418="","",包装物料出入库明细!$E1418)</f>
        <v/>
      </c>
      <c r="B1418">
        <f t="shared" si="521"/>
        <v>0</v>
      </c>
      <c r="C1418">
        <f t="shared" si="522"/>
        <v>7</v>
      </c>
      <c r="D1418" t="str">
        <f>IF(包装物料出入库明细!$E1418="","",包装物料出入库明细!$F1418)</f>
        <v/>
      </c>
      <c r="E1418" t="str">
        <f>IF(包装物料出入库明细!$E1418="","",包装物料出入库明细!$G1418)</f>
        <v/>
      </c>
      <c r="K1418" t="str">
        <f>IF(包装物料出入库明细!$D1418="","",包装物料出入库明细!$D1418)</f>
        <v/>
      </c>
      <c r="L1418">
        <f t="shared" si="523"/>
        <v>0</v>
      </c>
      <c r="M1418">
        <f t="shared" si="524"/>
        <v>9</v>
      </c>
      <c r="Q1418" t="str">
        <f>IF(周转筐出入库明细!$D1419="","",周转筐出入库明细!$D1419)</f>
        <v/>
      </c>
      <c r="R1418">
        <f t="shared" si="525"/>
        <v>0</v>
      </c>
      <c r="S1418">
        <f t="shared" si="526"/>
        <v>5</v>
      </c>
      <c r="W1418" t="str">
        <f>IF(周转筐出入库明细!$C1419="","",周转筐出入库明细!$C1419)</f>
        <v/>
      </c>
      <c r="X1418">
        <f t="shared" si="527"/>
        <v>0</v>
      </c>
      <c r="Y1418">
        <f t="shared" si="528"/>
        <v>12</v>
      </c>
      <c r="AI1418" t="str">
        <f>IF(OR(对接源_01水果筐数!$B219="",LEFT(对接源_01水果筐数!$C219,2)&lt;&gt;"自备"),"",对接源_01水果筐数!$B219)</f>
        <v/>
      </c>
      <c r="AJ1418">
        <f t="shared" si="529"/>
        <v>0</v>
      </c>
      <c r="AK1418">
        <f t="shared" si="530"/>
        <v>6</v>
      </c>
      <c r="CP1418">
        <f>IF(包装物料出入库明细!$D1418="",0,1)</f>
        <v>0</v>
      </c>
      <c r="CQ1418">
        <f t="shared" si="531"/>
        <v>37</v>
      </c>
      <c r="CS1418" t="str">
        <f>IF(OR(周转筐出入库明细!$C1419="",周转筐出入库明细!$F1419&lt;&gt;"采购入库"),"",周转筐出入库明细!$C1419)</f>
        <v/>
      </c>
      <c r="CT1418">
        <f t="shared" si="532"/>
        <v>0</v>
      </c>
      <c r="CU1418">
        <f t="shared" si="533"/>
        <v>1</v>
      </c>
    </row>
    <row r="1419" spans="1:99">
      <c r="A1419" t="str">
        <f>IF(包装物料出入库明细!$E1419="","",包装物料出入库明细!$E1419)</f>
        <v/>
      </c>
      <c r="B1419">
        <f t="shared" si="521"/>
        <v>0</v>
      </c>
      <c r="C1419">
        <f t="shared" si="522"/>
        <v>7</v>
      </c>
      <c r="D1419" t="str">
        <f>IF(包装物料出入库明细!$E1419="","",包装物料出入库明细!$F1419)</f>
        <v/>
      </c>
      <c r="E1419" t="str">
        <f>IF(包装物料出入库明细!$E1419="","",包装物料出入库明细!$G1419)</f>
        <v/>
      </c>
      <c r="K1419" t="str">
        <f>IF(包装物料出入库明细!$D1419="","",包装物料出入库明细!$D1419)</f>
        <v/>
      </c>
      <c r="L1419">
        <f t="shared" si="523"/>
        <v>0</v>
      </c>
      <c r="M1419">
        <f t="shared" si="524"/>
        <v>9</v>
      </c>
      <c r="Q1419" t="str">
        <f>IF(周转筐出入库明细!$D1420="","",周转筐出入库明细!$D1420)</f>
        <v/>
      </c>
      <c r="R1419">
        <f t="shared" si="525"/>
        <v>0</v>
      </c>
      <c r="S1419">
        <f t="shared" si="526"/>
        <v>5</v>
      </c>
      <c r="W1419" t="str">
        <f>IF(周转筐出入库明细!$C1420="","",周转筐出入库明细!$C1420)</f>
        <v/>
      </c>
      <c r="X1419">
        <f t="shared" si="527"/>
        <v>0</v>
      </c>
      <c r="Y1419">
        <f t="shared" si="528"/>
        <v>12</v>
      </c>
      <c r="AI1419" t="str">
        <f>IF(OR(对接源_01水果筐数!$B220="",LEFT(对接源_01水果筐数!$C220,2)&lt;&gt;"自备"),"",对接源_01水果筐数!$B220)</f>
        <v/>
      </c>
      <c r="AJ1419">
        <f t="shared" si="529"/>
        <v>0</v>
      </c>
      <c r="AK1419">
        <f t="shared" si="530"/>
        <v>6</v>
      </c>
      <c r="CP1419">
        <f>IF(包装物料出入库明细!$D1419="",0,1)</f>
        <v>0</v>
      </c>
      <c r="CQ1419">
        <f t="shared" si="531"/>
        <v>37</v>
      </c>
      <c r="CS1419" t="str">
        <f>IF(OR(周转筐出入库明细!$C1420="",周转筐出入库明细!$F1420&lt;&gt;"采购入库"),"",周转筐出入库明细!$C1420)</f>
        <v/>
      </c>
      <c r="CT1419">
        <f t="shared" si="532"/>
        <v>0</v>
      </c>
      <c r="CU1419">
        <f t="shared" si="533"/>
        <v>1</v>
      </c>
    </row>
    <row r="1420" spans="1:99">
      <c r="A1420" t="str">
        <f>IF(包装物料出入库明细!$E1420="","",包装物料出入库明细!$E1420)</f>
        <v/>
      </c>
      <c r="B1420">
        <f t="shared" si="521"/>
        <v>0</v>
      </c>
      <c r="C1420">
        <f t="shared" si="522"/>
        <v>7</v>
      </c>
      <c r="D1420" t="str">
        <f>IF(包装物料出入库明细!$E1420="","",包装物料出入库明细!$F1420)</f>
        <v/>
      </c>
      <c r="E1420" t="str">
        <f>IF(包装物料出入库明细!$E1420="","",包装物料出入库明细!$G1420)</f>
        <v/>
      </c>
      <c r="K1420" t="str">
        <f>IF(包装物料出入库明细!$D1420="","",包装物料出入库明细!$D1420)</f>
        <v/>
      </c>
      <c r="L1420">
        <f t="shared" si="523"/>
        <v>0</v>
      </c>
      <c r="M1420">
        <f t="shared" si="524"/>
        <v>9</v>
      </c>
      <c r="Q1420" t="str">
        <f>IF(周转筐出入库明细!$D1421="","",周转筐出入库明细!$D1421)</f>
        <v/>
      </c>
      <c r="R1420">
        <f t="shared" si="525"/>
        <v>0</v>
      </c>
      <c r="S1420">
        <f t="shared" si="526"/>
        <v>5</v>
      </c>
      <c r="W1420" t="str">
        <f>IF(周转筐出入库明细!$C1421="","",周转筐出入库明细!$C1421)</f>
        <v/>
      </c>
      <c r="X1420">
        <f t="shared" si="527"/>
        <v>0</v>
      </c>
      <c r="Y1420">
        <f t="shared" si="528"/>
        <v>12</v>
      </c>
      <c r="AI1420" t="str">
        <f>IF(OR(对接源_01水果筐数!$B221="",LEFT(对接源_01水果筐数!$C221,2)&lt;&gt;"自备"),"",对接源_01水果筐数!$B221)</f>
        <v/>
      </c>
      <c r="AJ1420">
        <f t="shared" si="529"/>
        <v>0</v>
      </c>
      <c r="AK1420">
        <f t="shared" si="530"/>
        <v>6</v>
      </c>
      <c r="CP1420">
        <f>IF(包装物料出入库明细!$D1420="",0,1)</f>
        <v>0</v>
      </c>
      <c r="CQ1420">
        <f t="shared" si="531"/>
        <v>37</v>
      </c>
      <c r="CS1420" t="str">
        <f>IF(OR(周转筐出入库明细!$C1421="",周转筐出入库明细!$F1421&lt;&gt;"采购入库"),"",周转筐出入库明细!$C1421)</f>
        <v/>
      </c>
      <c r="CT1420">
        <f t="shared" si="532"/>
        <v>0</v>
      </c>
      <c r="CU1420">
        <f t="shared" si="533"/>
        <v>1</v>
      </c>
    </row>
    <row r="1421" spans="1:99">
      <c r="A1421" t="str">
        <f>IF(包装物料出入库明细!$E1421="","",包装物料出入库明细!$E1421)</f>
        <v/>
      </c>
      <c r="B1421">
        <f t="shared" si="521"/>
        <v>0</v>
      </c>
      <c r="C1421">
        <f t="shared" si="522"/>
        <v>7</v>
      </c>
      <c r="D1421" t="str">
        <f>IF(包装物料出入库明细!$E1421="","",包装物料出入库明细!$F1421)</f>
        <v/>
      </c>
      <c r="E1421" t="str">
        <f>IF(包装物料出入库明细!$E1421="","",包装物料出入库明细!$G1421)</f>
        <v/>
      </c>
      <c r="K1421" t="str">
        <f>IF(包装物料出入库明细!$D1421="","",包装物料出入库明细!$D1421)</f>
        <v/>
      </c>
      <c r="L1421">
        <f t="shared" si="523"/>
        <v>0</v>
      </c>
      <c r="M1421">
        <f t="shared" si="524"/>
        <v>9</v>
      </c>
      <c r="Q1421" t="str">
        <f>IF(周转筐出入库明细!$D1422="","",周转筐出入库明细!$D1422)</f>
        <v/>
      </c>
      <c r="R1421">
        <f t="shared" si="525"/>
        <v>0</v>
      </c>
      <c r="S1421">
        <f t="shared" si="526"/>
        <v>5</v>
      </c>
      <c r="W1421" t="str">
        <f>IF(周转筐出入库明细!$C1422="","",周转筐出入库明细!$C1422)</f>
        <v/>
      </c>
      <c r="X1421">
        <f t="shared" si="527"/>
        <v>0</v>
      </c>
      <c r="Y1421">
        <f t="shared" si="528"/>
        <v>12</v>
      </c>
      <c r="AI1421" t="str">
        <f>IF(OR(对接源_01水果筐数!$B222="",LEFT(对接源_01水果筐数!$C222,2)&lt;&gt;"自备"),"",对接源_01水果筐数!$B222)</f>
        <v/>
      </c>
      <c r="AJ1421">
        <f t="shared" si="529"/>
        <v>0</v>
      </c>
      <c r="AK1421">
        <f t="shared" si="530"/>
        <v>6</v>
      </c>
      <c r="CP1421">
        <f>IF(包装物料出入库明细!$D1421="",0,1)</f>
        <v>0</v>
      </c>
      <c r="CQ1421">
        <f t="shared" si="531"/>
        <v>37</v>
      </c>
      <c r="CS1421" t="str">
        <f>IF(OR(周转筐出入库明细!$C1422="",周转筐出入库明细!$F1422&lt;&gt;"采购入库"),"",周转筐出入库明细!$C1422)</f>
        <v/>
      </c>
      <c r="CT1421">
        <f t="shared" si="532"/>
        <v>0</v>
      </c>
      <c r="CU1421">
        <f t="shared" si="533"/>
        <v>1</v>
      </c>
    </row>
    <row r="1422" spans="1:99">
      <c r="A1422" t="str">
        <f>IF(包装物料出入库明细!$E1422="","",包装物料出入库明细!$E1422)</f>
        <v/>
      </c>
      <c r="B1422">
        <f t="shared" si="521"/>
        <v>0</v>
      </c>
      <c r="C1422">
        <f t="shared" si="522"/>
        <v>7</v>
      </c>
      <c r="D1422" t="str">
        <f>IF(包装物料出入库明细!$E1422="","",包装物料出入库明细!$F1422)</f>
        <v/>
      </c>
      <c r="E1422" t="str">
        <f>IF(包装物料出入库明细!$E1422="","",包装物料出入库明细!$G1422)</f>
        <v/>
      </c>
      <c r="K1422" t="str">
        <f>IF(包装物料出入库明细!$D1422="","",包装物料出入库明细!$D1422)</f>
        <v/>
      </c>
      <c r="L1422">
        <f t="shared" si="523"/>
        <v>0</v>
      </c>
      <c r="M1422">
        <f t="shared" si="524"/>
        <v>9</v>
      </c>
      <c r="Q1422" t="str">
        <f>IF(周转筐出入库明细!$D1423="","",周转筐出入库明细!$D1423)</f>
        <v/>
      </c>
      <c r="R1422">
        <f t="shared" si="525"/>
        <v>0</v>
      </c>
      <c r="S1422">
        <f t="shared" si="526"/>
        <v>5</v>
      </c>
      <c r="W1422" t="str">
        <f>IF(周转筐出入库明细!$C1423="","",周转筐出入库明细!$C1423)</f>
        <v/>
      </c>
      <c r="X1422">
        <f t="shared" si="527"/>
        <v>0</v>
      </c>
      <c r="Y1422">
        <f t="shared" si="528"/>
        <v>12</v>
      </c>
      <c r="AI1422" t="str">
        <f>IF(OR(对接源_01水果筐数!$B223="",LEFT(对接源_01水果筐数!$C223,2)&lt;&gt;"自备"),"",对接源_01水果筐数!$B223)</f>
        <v/>
      </c>
      <c r="AJ1422">
        <f t="shared" si="529"/>
        <v>0</v>
      </c>
      <c r="AK1422">
        <f t="shared" si="530"/>
        <v>6</v>
      </c>
      <c r="CP1422">
        <f>IF(包装物料出入库明细!$D1422="",0,1)</f>
        <v>0</v>
      </c>
      <c r="CQ1422">
        <f t="shared" si="531"/>
        <v>37</v>
      </c>
      <c r="CS1422" t="str">
        <f>IF(OR(周转筐出入库明细!$C1423="",周转筐出入库明细!$F1423&lt;&gt;"采购入库"),"",周转筐出入库明细!$C1423)</f>
        <v/>
      </c>
      <c r="CT1422">
        <f t="shared" si="532"/>
        <v>0</v>
      </c>
      <c r="CU1422">
        <f t="shared" si="533"/>
        <v>1</v>
      </c>
    </row>
    <row r="1423" spans="1:99">
      <c r="A1423" t="str">
        <f>IF(包装物料出入库明细!$E1423="","",包装物料出入库明细!$E1423)</f>
        <v/>
      </c>
      <c r="B1423">
        <f t="shared" si="521"/>
        <v>0</v>
      </c>
      <c r="C1423">
        <f t="shared" si="522"/>
        <v>7</v>
      </c>
      <c r="D1423" t="str">
        <f>IF(包装物料出入库明细!$E1423="","",包装物料出入库明细!$F1423)</f>
        <v/>
      </c>
      <c r="E1423" t="str">
        <f>IF(包装物料出入库明细!$E1423="","",包装物料出入库明细!$G1423)</f>
        <v/>
      </c>
      <c r="K1423" t="str">
        <f>IF(包装物料出入库明细!$D1423="","",包装物料出入库明细!$D1423)</f>
        <v/>
      </c>
      <c r="L1423">
        <f t="shared" si="523"/>
        <v>0</v>
      </c>
      <c r="M1423">
        <f t="shared" si="524"/>
        <v>9</v>
      </c>
      <c r="Q1423" t="str">
        <f>IF(周转筐出入库明细!$D1424="","",周转筐出入库明细!$D1424)</f>
        <v/>
      </c>
      <c r="R1423">
        <f t="shared" si="525"/>
        <v>0</v>
      </c>
      <c r="S1423">
        <f t="shared" si="526"/>
        <v>5</v>
      </c>
      <c r="W1423" t="str">
        <f>IF(周转筐出入库明细!$C1424="","",周转筐出入库明细!$C1424)</f>
        <v/>
      </c>
      <c r="X1423">
        <f t="shared" si="527"/>
        <v>0</v>
      </c>
      <c r="Y1423">
        <f t="shared" si="528"/>
        <v>12</v>
      </c>
      <c r="AI1423" t="str">
        <f>IF(OR(对接源_01水果筐数!$B224="",LEFT(对接源_01水果筐数!$C224,2)&lt;&gt;"自备"),"",对接源_01水果筐数!$B224)</f>
        <v/>
      </c>
      <c r="AJ1423">
        <f t="shared" si="529"/>
        <v>0</v>
      </c>
      <c r="AK1423">
        <f t="shared" si="530"/>
        <v>6</v>
      </c>
      <c r="CP1423">
        <f>IF(包装物料出入库明细!$D1423="",0,1)</f>
        <v>0</v>
      </c>
      <c r="CQ1423">
        <f t="shared" si="531"/>
        <v>37</v>
      </c>
      <c r="CS1423" t="str">
        <f>IF(OR(周转筐出入库明细!$C1424="",周转筐出入库明细!$F1424&lt;&gt;"采购入库"),"",周转筐出入库明细!$C1424)</f>
        <v/>
      </c>
      <c r="CT1423">
        <f t="shared" si="532"/>
        <v>0</v>
      </c>
      <c r="CU1423">
        <f t="shared" si="533"/>
        <v>1</v>
      </c>
    </row>
    <row r="1424" spans="1:99">
      <c r="A1424" t="str">
        <f>IF(包装物料出入库明细!$E1424="","",包装物料出入库明细!$E1424)</f>
        <v/>
      </c>
      <c r="B1424">
        <f t="shared" si="521"/>
        <v>0</v>
      </c>
      <c r="C1424">
        <f t="shared" si="522"/>
        <v>7</v>
      </c>
      <c r="D1424" t="str">
        <f>IF(包装物料出入库明细!$E1424="","",包装物料出入库明细!$F1424)</f>
        <v/>
      </c>
      <c r="E1424" t="str">
        <f>IF(包装物料出入库明细!$E1424="","",包装物料出入库明细!$G1424)</f>
        <v/>
      </c>
      <c r="K1424" t="str">
        <f>IF(包装物料出入库明细!$D1424="","",包装物料出入库明细!$D1424)</f>
        <v/>
      </c>
      <c r="L1424">
        <f t="shared" si="523"/>
        <v>0</v>
      </c>
      <c r="M1424">
        <f t="shared" si="524"/>
        <v>9</v>
      </c>
      <c r="Q1424" t="str">
        <f>IF(周转筐出入库明细!$D1425="","",周转筐出入库明细!$D1425)</f>
        <v/>
      </c>
      <c r="R1424">
        <f t="shared" si="525"/>
        <v>0</v>
      </c>
      <c r="S1424">
        <f t="shared" si="526"/>
        <v>5</v>
      </c>
      <c r="W1424" t="str">
        <f>IF(周转筐出入库明细!$C1425="","",周转筐出入库明细!$C1425)</f>
        <v/>
      </c>
      <c r="X1424">
        <f t="shared" si="527"/>
        <v>0</v>
      </c>
      <c r="Y1424">
        <f t="shared" si="528"/>
        <v>12</v>
      </c>
      <c r="AI1424" t="str">
        <f>IF(OR(对接源_01水果筐数!$B225="",LEFT(对接源_01水果筐数!$C225,2)&lt;&gt;"自备"),"",对接源_01水果筐数!$B225)</f>
        <v/>
      </c>
      <c r="AJ1424">
        <f t="shared" si="529"/>
        <v>0</v>
      </c>
      <c r="AK1424">
        <f t="shared" si="530"/>
        <v>6</v>
      </c>
      <c r="CP1424">
        <f>IF(包装物料出入库明细!$D1424="",0,1)</f>
        <v>0</v>
      </c>
      <c r="CQ1424">
        <f t="shared" si="531"/>
        <v>37</v>
      </c>
      <c r="CS1424" t="str">
        <f>IF(OR(周转筐出入库明细!$C1425="",周转筐出入库明细!$F1425&lt;&gt;"采购入库"),"",周转筐出入库明细!$C1425)</f>
        <v/>
      </c>
      <c r="CT1424">
        <f t="shared" si="532"/>
        <v>0</v>
      </c>
      <c r="CU1424">
        <f t="shared" si="533"/>
        <v>1</v>
      </c>
    </row>
    <row r="1425" spans="1:99">
      <c r="A1425" t="str">
        <f>IF(包装物料出入库明细!$E1425="","",包装物料出入库明细!$E1425)</f>
        <v/>
      </c>
      <c r="B1425">
        <f t="shared" si="521"/>
        <v>0</v>
      </c>
      <c r="C1425">
        <f t="shared" si="522"/>
        <v>7</v>
      </c>
      <c r="D1425" t="str">
        <f>IF(包装物料出入库明细!$E1425="","",包装物料出入库明细!$F1425)</f>
        <v/>
      </c>
      <c r="E1425" t="str">
        <f>IF(包装物料出入库明细!$E1425="","",包装物料出入库明细!$G1425)</f>
        <v/>
      </c>
      <c r="K1425" t="str">
        <f>IF(包装物料出入库明细!$D1425="","",包装物料出入库明细!$D1425)</f>
        <v/>
      </c>
      <c r="L1425">
        <f t="shared" si="523"/>
        <v>0</v>
      </c>
      <c r="M1425">
        <f t="shared" si="524"/>
        <v>9</v>
      </c>
      <c r="Q1425" t="str">
        <f>IF(周转筐出入库明细!$D1426="","",周转筐出入库明细!$D1426)</f>
        <v/>
      </c>
      <c r="R1425">
        <f t="shared" si="525"/>
        <v>0</v>
      </c>
      <c r="S1425">
        <f t="shared" si="526"/>
        <v>5</v>
      </c>
      <c r="W1425" t="str">
        <f>IF(周转筐出入库明细!$C1426="","",周转筐出入库明细!$C1426)</f>
        <v/>
      </c>
      <c r="X1425">
        <f t="shared" si="527"/>
        <v>0</v>
      </c>
      <c r="Y1425">
        <f t="shared" si="528"/>
        <v>12</v>
      </c>
      <c r="AI1425" t="str">
        <f>IF(OR(对接源_01水果筐数!$B226="",LEFT(对接源_01水果筐数!$C226,2)&lt;&gt;"自备"),"",对接源_01水果筐数!$B226)</f>
        <v/>
      </c>
      <c r="AJ1425">
        <f t="shared" si="529"/>
        <v>0</v>
      </c>
      <c r="AK1425">
        <f t="shared" si="530"/>
        <v>6</v>
      </c>
      <c r="CP1425">
        <f>IF(包装物料出入库明细!$D1425="",0,1)</f>
        <v>0</v>
      </c>
      <c r="CQ1425">
        <f t="shared" si="531"/>
        <v>37</v>
      </c>
      <c r="CS1425" t="str">
        <f>IF(OR(周转筐出入库明细!$C1426="",周转筐出入库明细!$F1426&lt;&gt;"采购入库"),"",周转筐出入库明细!$C1426)</f>
        <v/>
      </c>
      <c r="CT1425">
        <f t="shared" si="532"/>
        <v>0</v>
      </c>
      <c r="CU1425">
        <f t="shared" si="533"/>
        <v>1</v>
      </c>
    </row>
    <row r="1426" spans="1:99">
      <c r="A1426" t="str">
        <f>IF(包装物料出入库明细!$E1426="","",包装物料出入库明细!$E1426)</f>
        <v/>
      </c>
      <c r="B1426">
        <f t="shared" si="521"/>
        <v>0</v>
      </c>
      <c r="C1426">
        <f t="shared" si="522"/>
        <v>7</v>
      </c>
      <c r="D1426" t="str">
        <f>IF(包装物料出入库明细!$E1426="","",包装物料出入库明细!$F1426)</f>
        <v/>
      </c>
      <c r="E1426" t="str">
        <f>IF(包装物料出入库明细!$E1426="","",包装物料出入库明细!$G1426)</f>
        <v/>
      </c>
      <c r="K1426" t="str">
        <f>IF(包装物料出入库明细!$D1426="","",包装物料出入库明细!$D1426)</f>
        <v/>
      </c>
      <c r="L1426">
        <f t="shared" si="523"/>
        <v>0</v>
      </c>
      <c r="M1426">
        <f t="shared" si="524"/>
        <v>9</v>
      </c>
      <c r="Q1426" t="str">
        <f>IF(周转筐出入库明细!$D1427="","",周转筐出入库明细!$D1427)</f>
        <v/>
      </c>
      <c r="R1426">
        <f t="shared" si="525"/>
        <v>0</v>
      </c>
      <c r="S1426">
        <f t="shared" si="526"/>
        <v>5</v>
      </c>
      <c r="W1426" t="str">
        <f>IF(周转筐出入库明细!$C1427="","",周转筐出入库明细!$C1427)</f>
        <v/>
      </c>
      <c r="X1426">
        <f t="shared" si="527"/>
        <v>0</v>
      </c>
      <c r="Y1426">
        <f t="shared" si="528"/>
        <v>12</v>
      </c>
      <c r="AI1426" t="str">
        <f>IF(OR(对接源_01水果筐数!$B227="",LEFT(对接源_01水果筐数!$C227,2)&lt;&gt;"自备"),"",对接源_01水果筐数!$B227)</f>
        <v/>
      </c>
      <c r="AJ1426">
        <f t="shared" si="529"/>
        <v>0</v>
      </c>
      <c r="AK1426">
        <f t="shared" si="530"/>
        <v>6</v>
      </c>
      <c r="CP1426">
        <f>IF(包装物料出入库明细!$D1426="",0,1)</f>
        <v>0</v>
      </c>
      <c r="CQ1426">
        <f t="shared" si="531"/>
        <v>37</v>
      </c>
      <c r="CS1426" t="str">
        <f>IF(OR(周转筐出入库明细!$C1427="",周转筐出入库明细!$F1427&lt;&gt;"采购入库"),"",周转筐出入库明细!$C1427)</f>
        <v/>
      </c>
      <c r="CT1426">
        <f t="shared" si="532"/>
        <v>0</v>
      </c>
      <c r="CU1426">
        <f t="shared" si="533"/>
        <v>1</v>
      </c>
    </row>
    <row r="1427" spans="1:99">
      <c r="A1427" t="str">
        <f>IF(包装物料出入库明细!$E1427="","",包装物料出入库明细!$E1427)</f>
        <v/>
      </c>
      <c r="B1427">
        <f t="shared" si="521"/>
        <v>0</v>
      </c>
      <c r="C1427">
        <f t="shared" si="522"/>
        <v>7</v>
      </c>
      <c r="D1427" t="str">
        <f>IF(包装物料出入库明细!$E1427="","",包装物料出入库明细!$F1427)</f>
        <v/>
      </c>
      <c r="E1427" t="str">
        <f>IF(包装物料出入库明细!$E1427="","",包装物料出入库明细!$G1427)</f>
        <v/>
      </c>
      <c r="K1427" t="str">
        <f>IF(包装物料出入库明细!$D1427="","",包装物料出入库明细!$D1427)</f>
        <v/>
      </c>
      <c r="L1427">
        <f t="shared" si="523"/>
        <v>0</v>
      </c>
      <c r="M1427">
        <f t="shared" si="524"/>
        <v>9</v>
      </c>
      <c r="Q1427" t="str">
        <f>IF(周转筐出入库明细!$D1428="","",周转筐出入库明细!$D1428)</f>
        <v/>
      </c>
      <c r="R1427">
        <f t="shared" si="525"/>
        <v>0</v>
      </c>
      <c r="S1427">
        <f t="shared" si="526"/>
        <v>5</v>
      </c>
      <c r="W1427" t="str">
        <f>IF(周转筐出入库明细!$C1428="","",周转筐出入库明细!$C1428)</f>
        <v/>
      </c>
      <c r="X1427">
        <f t="shared" si="527"/>
        <v>0</v>
      </c>
      <c r="Y1427">
        <f t="shared" si="528"/>
        <v>12</v>
      </c>
      <c r="AI1427" t="str">
        <f>IF(OR(对接源_01水果筐数!$B228="",LEFT(对接源_01水果筐数!$C228,2)&lt;&gt;"自备"),"",对接源_01水果筐数!$B228)</f>
        <v/>
      </c>
      <c r="AJ1427">
        <f t="shared" si="529"/>
        <v>0</v>
      </c>
      <c r="AK1427">
        <f t="shared" si="530"/>
        <v>6</v>
      </c>
      <c r="CP1427">
        <f>IF(包装物料出入库明细!$D1427="",0,1)</f>
        <v>0</v>
      </c>
      <c r="CQ1427">
        <f t="shared" si="531"/>
        <v>37</v>
      </c>
      <c r="CS1427" t="str">
        <f>IF(OR(周转筐出入库明细!$C1428="",周转筐出入库明细!$F1428&lt;&gt;"采购入库"),"",周转筐出入库明细!$C1428)</f>
        <v/>
      </c>
      <c r="CT1427">
        <f t="shared" si="532"/>
        <v>0</v>
      </c>
      <c r="CU1427">
        <f t="shared" si="533"/>
        <v>1</v>
      </c>
    </row>
    <row r="1428" spans="1:99">
      <c r="A1428" t="str">
        <f>IF(包装物料出入库明细!$E1428="","",包装物料出入库明细!$E1428)</f>
        <v/>
      </c>
      <c r="B1428">
        <f t="shared" si="521"/>
        <v>0</v>
      </c>
      <c r="C1428">
        <f t="shared" si="522"/>
        <v>7</v>
      </c>
      <c r="D1428" t="str">
        <f>IF(包装物料出入库明细!$E1428="","",包装物料出入库明细!$F1428)</f>
        <v/>
      </c>
      <c r="E1428" t="str">
        <f>IF(包装物料出入库明细!$E1428="","",包装物料出入库明细!$G1428)</f>
        <v/>
      </c>
      <c r="K1428" t="str">
        <f>IF(包装物料出入库明细!$D1428="","",包装物料出入库明细!$D1428)</f>
        <v/>
      </c>
      <c r="L1428">
        <f t="shared" si="523"/>
        <v>0</v>
      </c>
      <c r="M1428">
        <f t="shared" si="524"/>
        <v>9</v>
      </c>
      <c r="Q1428" t="str">
        <f>IF(周转筐出入库明细!$D1429="","",周转筐出入库明细!$D1429)</f>
        <v/>
      </c>
      <c r="R1428">
        <f t="shared" si="525"/>
        <v>0</v>
      </c>
      <c r="S1428">
        <f t="shared" si="526"/>
        <v>5</v>
      </c>
      <c r="W1428" t="str">
        <f>IF(周转筐出入库明细!$C1429="","",周转筐出入库明细!$C1429)</f>
        <v/>
      </c>
      <c r="X1428">
        <f t="shared" si="527"/>
        <v>0</v>
      </c>
      <c r="Y1428">
        <f t="shared" si="528"/>
        <v>12</v>
      </c>
      <c r="AI1428" t="str">
        <f>IF(OR(对接源_01水果筐数!$B229="",LEFT(对接源_01水果筐数!$C229,2)&lt;&gt;"自备"),"",对接源_01水果筐数!$B229)</f>
        <v/>
      </c>
      <c r="AJ1428">
        <f t="shared" si="529"/>
        <v>0</v>
      </c>
      <c r="AK1428">
        <f t="shared" si="530"/>
        <v>6</v>
      </c>
      <c r="CP1428">
        <f>IF(包装物料出入库明细!$D1428="",0,1)</f>
        <v>0</v>
      </c>
      <c r="CQ1428">
        <f t="shared" si="531"/>
        <v>37</v>
      </c>
      <c r="CS1428" t="str">
        <f>IF(OR(周转筐出入库明细!$C1429="",周转筐出入库明细!$F1429&lt;&gt;"采购入库"),"",周转筐出入库明细!$C1429)</f>
        <v/>
      </c>
      <c r="CT1428">
        <f t="shared" si="532"/>
        <v>0</v>
      </c>
      <c r="CU1428">
        <f t="shared" si="533"/>
        <v>1</v>
      </c>
    </row>
    <row r="1429" spans="1:99">
      <c r="A1429" t="str">
        <f>IF(包装物料出入库明细!$E1429="","",包装物料出入库明细!$E1429)</f>
        <v/>
      </c>
      <c r="B1429">
        <f t="shared" si="521"/>
        <v>0</v>
      </c>
      <c r="C1429">
        <f t="shared" si="522"/>
        <v>7</v>
      </c>
      <c r="D1429" t="str">
        <f>IF(包装物料出入库明细!$E1429="","",包装物料出入库明细!$F1429)</f>
        <v/>
      </c>
      <c r="E1429" t="str">
        <f>IF(包装物料出入库明细!$E1429="","",包装物料出入库明细!$G1429)</f>
        <v/>
      </c>
      <c r="K1429" t="str">
        <f>IF(包装物料出入库明细!$D1429="","",包装物料出入库明细!$D1429)</f>
        <v/>
      </c>
      <c r="L1429">
        <f t="shared" si="523"/>
        <v>0</v>
      </c>
      <c r="M1429">
        <f t="shared" si="524"/>
        <v>9</v>
      </c>
      <c r="Q1429" t="str">
        <f>IF(周转筐出入库明细!$D1430="","",周转筐出入库明细!$D1430)</f>
        <v/>
      </c>
      <c r="R1429">
        <f t="shared" si="525"/>
        <v>0</v>
      </c>
      <c r="S1429">
        <f t="shared" si="526"/>
        <v>5</v>
      </c>
      <c r="W1429" t="str">
        <f>IF(周转筐出入库明细!$C1430="","",周转筐出入库明细!$C1430)</f>
        <v/>
      </c>
      <c r="X1429">
        <f t="shared" si="527"/>
        <v>0</v>
      </c>
      <c r="Y1429">
        <f t="shared" si="528"/>
        <v>12</v>
      </c>
      <c r="AI1429" t="str">
        <f>IF(OR(对接源_01水果筐数!$B230="",LEFT(对接源_01水果筐数!$C230,2)&lt;&gt;"自备"),"",对接源_01水果筐数!$B230)</f>
        <v/>
      </c>
      <c r="AJ1429">
        <f t="shared" si="529"/>
        <v>0</v>
      </c>
      <c r="AK1429">
        <f t="shared" si="530"/>
        <v>6</v>
      </c>
      <c r="CP1429">
        <f>IF(包装物料出入库明细!$D1429="",0,1)</f>
        <v>0</v>
      </c>
      <c r="CQ1429">
        <f t="shared" si="531"/>
        <v>37</v>
      </c>
      <c r="CS1429" t="str">
        <f>IF(OR(周转筐出入库明细!$C1430="",周转筐出入库明细!$F1430&lt;&gt;"采购入库"),"",周转筐出入库明细!$C1430)</f>
        <v/>
      </c>
      <c r="CT1429">
        <f t="shared" si="532"/>
        <v>0</v>
      </c>
      <c r="CU1429">
        <f t="shared" si="533"/>
        <v>1</v>
      </c>
    </row>
    <row r="1430" spans="1:99">
      <c r="A1430" t="str">
        <f>IF(包装物料出入库明细!$E1430="","",包装物料出入库明细!$E1430)</f>
        <v/>
      </c>
      <c r="B1430">
        <f t="shared" si="521"/>
        <v>0</v>
      </c>
      <c r="C1430">
        <f t="shared" si="522"/>
        <v>7</v>
      </c>
      <c r="D1430" t="str">
        <f>IF(包装物料出入库明细!$E1430="","",包装物料出入库明细!$F1430)</f>
        <v/>
      </c>
      <c r="E1430" t="str">
        <f>IF(包装物料出入库明细!$E1430="","",包装物料出入库明细!$G1430)</f>
        <v/>
      </c>
      <c r="K1430" t="str">
        <f>IF(包装物料出入库明细!$D1430="","",包装物料出入库明细!$D1430)</f>
        <v/>
      </c>
      <c r="L1430">
        <f t="shared" si="523"/>
        <v>0</v>
      </c>
      <c r="M1430">
        <f t="shared" si="524"/>
        <v>9</v>
      </c>
      <c r="Q1430" t="str">
        <f>IF(周转筐出入库明细!$D1431="","",周转筐出入库明细!$D1431)</f>
        <v/>
      </c>
      <c r="R1430">
        <f t="shared" si="525"/>
        <v>0</v>
      </c>
      <c r="S1430">
        <f t="shared" si="526"/>
        <v>5</v>
      </c>
      <c r="W1430" t="str">
        <f>IF(周转筐出入库明细!$C1431="","",周转筐出入库明细!$C1431)</f>
        <v/>
      </c>
      <c r="X1430">
        <f t="shared" si="527"/>
        <v>0</v>
      </c>
      <c r="Y1430">
        <f t="shared" si="528"/>
        <v>12</v>
      </c>
      <c r="AI1430" t="str">
        <f>IF(OR(对接源_01水果筐数!$B231="",LEFT(对接源_01水果筐数!$C231,2)&lt;&gt;"自备"),"",对接源_01水果筐数!$B231)</f>
        <v/>
      </c>
      <c r="AJ1430">
        <f t="shared" si="529"/>
        <v>0</v>
      </c>
      <c r="AK1430">
        <f t="shared" si="530"/>
        <v>6</v>
      </c>
      <c r="CP1430">
        <f>IF(包装物料出入库明细!$D1430="",0,1)</f>
        <v>0</v>
      </c>
      <c r="CQ1430">
        <f t="shared" si="531"/>
        <v>37</v>
      </c>
      <c r="CS1430" t="str">
        <f>IF(OR(周转筐出入库明细!$C1431="",周转筐出入库明细!$F1431&lt;&gt;"采购入库"),"",周转筐出入库明细!$C1431)</f>
        <v/>
      </c>
      <c r="CT1430">
        <f t="shared" si="532"/>
        <v>0</v>
      </c>
      <c r="CU1430">
        <f t="shared" si="533"/>
        <v>1</v>
      </c>
    </row>
    <row r="1431" spans="1:99">
      <c r="A1431" t="str">
        <f>IF(包装物料出入库明细!$E1431="","",包装物料出入库明细!$E1431)</f>
        <v/>
      </c>
      <c r="B1431">
        <f t="shared" si="521"/>
        <v>0</v>
      </c>
      <c r="C1431">
        <f t="shared" si="522"/>
        <v>7</v>
      </c>
      <c r="D1431" t="str">
        <f>IF(包装物料出入库明细!$E1431="","",包装物料出入库明细!$F1431)</f>
        <v/>
      </c>
      <c r="E1431" t="str">
        <f>IF(包装物料出入库明细!$E1431="","",包装物料出入库明细!$G1431)</f>
        <v/>
      </c>
      <c r="K1431" t="str">
        <f>IF(包装物料出入库明细!$D1431="","",包装物料出入库明细!$D1431)</f>
        <v/>
      </c>
      <c r="L1431">
        <f t="shared" si="523"/>
        <v>0</v>
      </c>
      <c r="M1431">
        <f t="shared" si="524"/>
        <v>9</v>
      </c>
      <c r="Q1431" t="str">
        <f>IF(周转筐出入库明细!$D1432="","",周转筐出入库明细!$D1432)</f>
        <v/>
      </c>
      <c r="R1431">
        <f t="shared" si="525"/>
        <v>0</v>
      </c>
      <c r="S1431">
        <f t="shared" si="526"/>
        <v>5</v>
      </c>
      <c r="W1431" t="str">
        <f>IF(周转筐出入库明细!$C1432="","",周转筐出入库明细!$C1432)</f>
        <v/>
      </c>
      <c r="X1431">
        <f t="shared" si="527"/>
        <v>0</v>
      </c>
      <c r="Y1431">
        <f t="shared" si="528"/>
        <v>12</v>
      </c>
      <c r="AI1431" t="str">
        <f>IF(OR(对接源_01水果筐数!$B232="",LEFT(对接源_01水果筐数!$C232,2)&lt;&gt;"自备"),"",对接源_01水果筐数!$B232)</f>
        <v/>
      </c>
      <c r="AJ1431">
        <f t="shared" si="529"/>
        <v>0</v>
      </c>
      <c r="AK1431">
        <f t="shared" si="530"/>
        <v>6</v>
      </c>
      <c r="CP1431">
        <f>IF(包装物料出入库明细!$D1431="",0,1)</f>
        <v>0</v>
      </c>
      <c r="CQ1431">
        <f t="shared" si="531"/>
        <v>37</v>
      </c>
      <c r="CS1431" t="str">
        <f>IF(OR(周转筐出入库明细!$C1432="",周转筐出入库明细!$F1432&lt;&gt;"采购入库"),"",周转筐出入库明细!$C1432)</f>
        <v/>
      </c>
      <c r="CT1431">
        <f t="shared" si="532"/>
        <v>0</v>
      </c>
      <c r="CU1431">
        <f t="shared" si="533"/>
        <v>1</v>
      </c>
    </row>
    <row r="1432" spans="1:99">
      <c r="A1432" t="str">
        <f>IF(包装物料出入库明细!$E1432="","",包装物料出入库明细!$E1432)</f>
        <v/>
      </c>
      <c r="B1432">
        <f t="shared" si="521"/>
        <v>0</v>
      </c>
      <c r="C1432">
        <f t="shared" si="522"/>
        <v>7</v>
      </c>
      <c r="D1432" t="str">
        <f>IF(包装物料出入库明细!$E1432="","",包装物料出入库明细!$F1432)</f>
        <v/>
      </c>
      <c r="E1432" t="str">
        <f>IF(包装物料出入库明细!$E1432="","",包装物料出入库明细!$G1432)</f>
        <v/>
      </c>
      <c r="K1432" t="str">
        <f>IF(包装物料出入库明细!$D1432="","",包装物料出入库明细!$D1432)</f>
        <v/>
      </c>
      <c r="L1432">
        <f t="shared" si="523"/>
        <v>0</v>
      </c>
      <c r="M1432">
        <f t="shared" si="524"/>
        <v>9</v>
      </c>
      <c r="Q1432" t="str">
        <f>IF(周转筐出入库明细!$D1433="","",周转筐出入库明细!$D1433)</f>
        <v/>
      </c>
      <c r="R1432">
        <f t="shared" si="525"/>
        <v>0</v>
      </c>
      <c r="S1432">
        <f t="shared" si="526"/>
        <v>5</v>
      </c>
      <c r="W1432" t="str">
        <f>IF(周转筐出入库明细!$C1433="","",周转筐出入库明细!$C1433)</f>
        <v/>
      </c>
      <c r="X1432">
        <f t="shared" si="527"/>
        <v>0</v>
      </c>
      <c r="Y1432">
        <f t="shared" si="528"/>
        <v>12</v>
      </c>
      <c r="AI1432" t="str">
        <f>IF(OR(对接源_01水果筐数!$B233="",LEFT(对接源_01水果筐数!$C233,2)&lt;&gt;"自备"),"",对接源_01水果筐数!$B233)</f>
        <v/>
      </c>
      <c r="AJ1432">
        <f t="shared" si="529"/>
        <v>0</v>
      </c>
      <c r="AK1432">
        <f t="shared" si="530"/>
        <v>6</v>
      </c>
      <c r="CP1432">
        <f>IF(包装物料出入库明细!$D1432="",0,1)</f>
        <v>0</v>
      </c>
      <c r="CQ1432">
        <f t="shared" si="531"/>
        <v>37</v>
      </c>
      <c r="CS1432" t="str">
        <f>IF(OR(周转筐出入库明细!$C1433="",周转筐出入库明细!$F1433&lt;&gt;"采购入库"),"",周转筐出入库明细!$C1433)</f>
        <v/>
      </c>
      <c r="CT1432">
        <f t="shared" si="532"/>
        <v>0</v>
      </c>
      <c r="CU1432">
        <f t="shared" si="533"/>
        <v>1</v>
      </c>
    </row>
    <row r="1433" spans="1:99">
      <c r="A1433" t="str">
        <f>IF(包装物料出入库明细!$E1433="","",包装物料出入库明细!$E1433)</f>
        <v/>
      </c>
      <c r="B1433">
        <f t="shared" si="521"/>
        <v>0</v>
      </c>
      <c r="C1433">
        <f t="shared" si="522"/>
        <v>7</v>
      </c>
      <c r="D1433" t="str">
        <f>IF(包装物料出入库明细!$E1433="","",包装物料出入库明细!$F1433)</f>
        <v/>
      </c>
      <c r="E1433" t="str">
        <f>IF(包装物料出入库明细!$E1433="","",包装物料出入库明细!$G1433)</f>
        <v/>
      </c>
      <c r="K1433" t="str">
        <f>IF(包装物料出入库明细!$D1433="","",包装物料出入库明细!$D1433)</f>
        <v/>
      </c>
      <c r="L1433">
        <f t="shared" si="523"/>
        <v>0</v>
      </c>
      <c r="M1433">
        <f t="shared" si="524"/>
        <v>9</v>
      </c>
      <c r="Q1433" t="str">
        <f>IF(周转筐出入库明细!$D1434="","",周转筐出入库明细!$D1434)</f>
        <v/>
      </c>
      <c r="R1433">
        <f t="shared" si="525"/>
        <v>0</v>
      </c>
      <c r="S1433">
        <f t="shared" si="526"/>
        <v>5</v>
      </c>
      <c r="W1433" t="str">
        <f>IF(周转筐出入库明细!$C1434="","",周转筐出入库明细!$C1434)</f>
        <v/>
      </c>
      <c r="X1433">
        <f t="shared" si="527"/>
        <v>0</v>
      </c>
      <c r="Y1433">
        <f t="shared" si="528"/>
        <v>12</v>
      </c>
      <c r="AI1433" t="str">
        <f>IF(OR(对接源_01水果筐数!$B234="",LEFT(对接源_01水果筐数!$C234,2)&lt;&gt;"自备"),"",对接源_01水果筐数!$B234)</f>
        <v/>
      </c>
      <c r="AJ1433">
        <f t="shared" si="529"/>
        <v>0</v>
      </c>
      <c r="AK1433">
        <f t="shared" si="530"/>
        <v>6</v>
      </c>
      <c r="CP1433">
        <f>IF(包装物料出入库明细!$D1433="",0,1)</f>
        <v>0</v>
      </c>
      <c r="CQ1433">
        <f t="shared" si="531"/>
        <v>37</v>
      </c>
      <c r="CS1433" t="str">
        <f>IF(OR(周转筐出入库明细!$C1434="",周转筐出入库明细!$F1434&lt;&gt;"采购入库"),"",周转筐出入库明细!$C1434)</f>
        <v/>
      </c>
      <c r="CT1433">
        <f t="shared" si="532"/>
        <v>0</v>
      </c>
      <c r="CU1433">
        <f t="shared" si="533"/>
        <v>1</v>
      </c>
    </row>
    <row r="1434" spans="1:99">
      <c r="A1434" t="str">
        <f>IF(包装物料出入库明细!$E1434="","",包装物料出入库明细!$E1434)</f>
        <v/>
      </c>
      <c r="B1434">
        <f t="shared" si="521"/>
        <v>0</v>
      </c>
      <c r="C1434">
        <f t="shared" si="522"/>
        <v>7</v>
      </c>
      <c r="D1434" t="str">
        <f>IF(包装物料出入库明细!$E1434="","",包装物料出入库明细!$F1434)</f>
        <v/>
      </c>
      <c r="E1434" t="str">
        <f>IF(包装物料出入库明细!$E1434="","",包装物料出入库明细!$G1434)</f>
        <v/>
      </c>
      <c r="K1434" t="str">
        <f>IF(包装物料出入库明细!$D1434="","",包装物料出入库明细!$D1434)</f>
        <v/>
      </c>
      <c r="L1434">
        <f t="shared" si="523"/>
        <v>0</v>
      </c>
      <c r="M1434">
        <f t="shared" si="524"/>
        <v>9</v>
      </c>
      <c r="Q1434" t="str">
        <f>IF(周转筐出入库明细!$D1435="","",周转筐出入库明细!$D1435)</f>
        <v/>
      </c>
      <c r="R1434">
        <f t="shared" si="525"/>
        <v>0</v>
      </c>
      <c r="S1434">
        <f t="shared" si="526"/>
        <v>5</v>
      </c>
      <c r="W1434" t="str">
        <f>IF(周转筐出入库明细!$C1435="","",周转筐出入库明细!$C1435)</f>
        <v/>
      </c>
      <c r="X1434">
        <f t="shared" si="527"/>
        <v>0</v>
      </c>
      <c r="Y1434">
        <f t="shared" si="528"/>
        <v>12</v>
      </c>
      <c r="AI1434" t="str">
        <f>IF(OR(对接源_01水果筐数!$B235="",LEFT(对接源_01水果筐数!$C235,2)&lt;&gt;"自备"),"",对接源_01水果筐数!$B235)</f>
        <v/>
      </c>
      <c r="AJ1434">
        <f t="shared" si="529"/>
        <v>0</v>
      </c>
      <c r="AK1434">
        <f t="shared" si="530"/>
        <v>6</v>
      </c>
      <c r="CP1434">
        <f>IF(包装物料出入库明细!$D1434="",0,1)</f>
        <v>0</v>
      </c>
      <c r="CQ1434">
        <f t="shared" si="531"/>
        <v>37</v>
      </c>
      <c r="CS1434" t="str">
        <f>IF(OR(周转筐出入库明细!$C1435="",周转筐出入库明细!$F1435&lt;&gt;"采购入库"),"",周转筐出入库明细!$C1435)</f>
        <v/>
      </c>
      <c r="CT1434">
        <f t="shared" si="532"/>
        <v>0</v>
      </c>
      <c r="CU1434">
        <f t="shared" si="533"/>
        <v>1</v>
      </c>
    </row>
    <row r="1435" spans="1:99">
      <c r="A1435" t="str">
        <f>IF(包装物料出入库明细!$E1435="","",包装物料出入库明细!$E1435)</f>
        <v/>
      </c>
      <c r="B1435">
        <f t="shared" si="521"/>
        <v>0</v>
      </c>
      <c r="C1435">
        <f t="shared" si="522"/>
        <v>7</v>
      </c>
      <c r="D1435" t="str">
        <f>IF(包装物料出入库明细!$E1435="","",包装物料出入库明细!$F1435)</f>
        <v/>
      </c>
      <c r="E1435" t="str">
        <f>IF(包装物料出入库明细!$E1435="","",包装物料出入库明细!$G1435)</f>
        <v/>
      </c>
      <c r="K1435" t="str">
        <f>IF(包装物料出入库明细!$D1435="","",包装物料出入库明细!$D1435)</f>
        <v/>
      </c>
      <c r="L1435">
        <f t="shared" si="523"/>
        <v>0</v>
      </c>
      <c r="M1435">
        <f t="shared" si="524"/>
        <v>9</v>
      </c>
      <c r="Q1435" t="str">
        <f>IF(周转筐出入库明细!$D1436="","",周转筐出入库明细!$D1436)</f>
        <v/>
      </c>
      <c r="R1435">
        <f t="shared" si="525"/>
        <v>0</v>
      </c>
      <c r="S1435">
        <f t="shared" si="526"/>
        <v>5</v>
      </c>
      <c r="W1435" t="str">
        <f>IF(周转筐出入库明细!$C1436="","",周转筐出入库明细!$C1436)</f>
        <v/>
      </c>
      <c r="X1435">
        <f t="shared" si="527"/>
        <v>0</v>
      </c>
      <c r="Y1435">
        <f t="shared" si="528"/>
        <v>12</v>
      </c>
      <c r="AI1435" t="str">
        <f>IF(OR(对接源_01水果筐数!$B236="",LEFT(对接源_01水果筐数!$C236,2)&lt;&gt;"自备"),"",对接源_01水果筐数!$B236)</f>
        <v/>
      </c>
      <c r="AJ1435">
        <f t="shared" si="529"/>
        <v>0</v>
      </c>
      <c r="AK1435">
        <f t="shared" si="530"/>
        <v>6</v>
      </c>
      <c r="CP1435">
        <f>IF(包装物料出入库明细!$D1435="",0,1)</f>
        <v>0</v>
      </c>
      <c r="CQ1435">
        <f t="shared" si="531"/>
        <v>37</v>
      </c>
      <c r="CS1435" t="str">
        <f>IF(OR(周转筐出入库明细!$C1436="",周转筐出入库明细!$F1436&lt;&gt;"采购入库"),"",周转筐出入库明细!$C1436)</f>
        <v/>
      </c>
      <c r="CT1435">
        <f t="shared" si="532"/>
        <v>0</v>
      </c>
      <c r="CU1435">
        <f t="shared" si="533"/>
        <v>1</v>
      </c>
    </row>
    <row r="1436" spans="1:99">
      <c r="A1436" t="str">
        <f>IF(包装物料出入库明细!$E1436="","",包装物料出入库明细!$E1436)</f>
        <v/>
      </c>
      <c r="B1436">
        <f t="shared" si="521"/>
        <v>0</v>
      </c>
      <c r="C1436">
        <f t="shared" si="522"/>
        <v>7</v>
      </c>
      <c r="D1436" t="str">
        <f>IF(包装物料出入库明细!$E1436="","",包装物料出入库明细!$F1436)</f>
        <v/>
      </c>
      <c r="E1436" t="str">
        <f>IF(包装物料出入库明细!$E1436="","",包装物料出入库明细!$G1436)</f>
        <v/>
      </c>
      <c r="K1436" t="str">
        <f>IF(包装物料出入库明细!$D1436="","",包装物料出入库明细!$D1436)</f>
        <v/>
      </c>
      <c r="L1436">
        <f t="shared" si="523"/>
        <v>0</v>
      </c>
      <c r="M1436">
        <f t="shared" si="524"/>
        <v>9</v>
      </c>
      <c r="Q1436" t="str">
        <f>IF(周转筐出入库明细!$D1437="","",周转筐出入库明细!$D1437)</f>
        <v/>
      </c>
      <c r="R1436">
        <f t="shared" si="525"/>
        <v>0</v>
      </c>
      <c r="S1436">
        <f t="shared" si="526"/>
        <v>5</v>
      </c>
      <c r="W1436" t="str">
        <f>IF(周转筐出入库明细!$C1437="","",周转筐出入库明细!$C1437)</f>
        <v/>
      </c>
      <c r="X1436">
        <f t="shared" si="527"/>
        <v>0</v>
      </c>
      <c r="Y1436">
        <f t="shared" si="528"/>
        <v>12</v>
      </c>
      <c r="AI1436" t="str">
        <f>IF(OR(对接源_01水果筐数!$B237="",LEFT(对接源_01水果筐数!$C237,2)&lt;&gt;"自备"),"",对接源_01水果筐数!$B237)</f>
        <v/>
      </c>
      <c r="AJ1436">
        <f t="shared" si="529"/>
        <v>0</v>
      </c>
      <c r="AK1436">
        <f t="shared" si="530"/>
        <v>6</v>
      </c>
      <c r="CP1436">
        <f>IF(包装物料出入库明细!$D1436="",0,1)</f>
        <v>0</v>
      </c>
      <c r="CQ1436">
        <f t="shared" si="531"/>
        <v>37</v>
      </c>
      <c r="CS1436" t="str">
        <f>IF(OR(周转筐出入库明细!$C1437="",周转筐出入库明细!$F1437&lt;&gt;"采购入库"),"",周转筐出入库明细!$C1437)</f>
        <v/>
      </c>
      <c r="CT1436">
        <f t="shared" si="532"/>
        <v>0</v>
      </c>
      <c r="CU1436">
        <f t="shared" si="533"/>
        <v>1</v>
      </c>
    </row>
    <row r="1437" spans="1:99">
      <c r="A1437" t="str">
        <f>IF(包装物料出入库明细!$E1437="","",包装物料出入库明细!$E1437)</f>
        <v/>
      </c>
      <c r="B1437">
        <f t="shared" si="521"/>
        <v>0</v>
      </c>
      <c r="C1437">
        <f t="shared" si="522"/>
        <v>7</v>
      </c>
      <c r="D1437" t="str">
        <f>IF(包装物料出入库明细!$E1437="","",包装物料出入库明细!$F1437)</f>
        <v/>
      </c>
      <c r="E1437" t="str">
        <f>IF(包装物料出入库明细!$E1437="","",包装物料出入库明细!$G1437)</f>
        <v/>
      </c>
      <c r="K1437" t="str">
        <f>IF(包装物料出入库明细!$D1437="","",包装物料出入库明细!$D1437)</f>
        <v/>
      </c>
      <c r="L1437">
        <f t="shared" si="523"/>
        <v>0</v>
      </c>
      <c r="M1437">
        <f t="shared" si="524"/>
        <v>9</v>
      </c>
      <c r="Q1437" t="str">
        <f>IF(周转筐出入库明细!$D1438="","",周转筐出入库明细!$D1438)</f>
        <v/>
      </c>
      <c r="R1437">
        <f t="shared" si="525"/>
        <v>0</v>
      </c>
      <c r="S1437">
        <f t="shared" si="526"/>
        <v>5</v>
      </c>
      <c r="W1437" t="str">
        <f>IF(周转筐出入库明细!$C1438="","",周转筐出入库明细!$C1438)</f>
        <v/>
      </c>
      <c r="X1437">
        <f t="shared" si="527"/>
        <v>0</v>
      </c>
      <c r="Y1437">
        <f t="shared" si="528"/>
        <v>12</v>
      </c>
      <c r="AI1437" t="str">
        <f>IF(OR(对接源_01水果筐数!$B238="",LEFT(对接源_01水果筐数!$C238,2)&lt;&gt;"自备"),"",对接源_01水果筐数!$B238)</f>
        <v/>
      </c>
      <c r="AJ1437">
        <f t="shared" si="529"/>
        <v>0</v>
      </c>
      <c r="AK1437">
        <f t="shared" si="530"/>
        <v>6</v>
      </c>
      <c r="CP1437">
        <f>IF(包装物料出入库明细!$D1437="",0,1)</f>
        <v>0</v>
      </c>
      <c r="CQ1437">
        <f t="shared" si="531"/>
        <v>37</v>
      </c>
      <c r="CS1437" t="str">
        <f>IF(OR(周转筐出入库明细!$C1438="",周转筐出入库明细!$F1438&lt;&gt;"采购入库"),"",周转筐出入库明细!$C1438)</f>
        <v/>
      </c>
      <c r="CT1437">
        <f t="shared" si="532"/>
        <v>0</v>
      </c>
      <c r="CU1437">
        <f t="shared" si="533"/>
        <v>1</v>
      </c>
    </row>
    <row r="1438" spans="1:99">
      <c r="A1438" t="str">
        <f>IF(包装物料出入库明细!$E1438="","",包装物料出入库明细!$E1438)</f>
        <v/>
      </c>
      <c r="B1438">
        <f t="shared" si="521"/>
        <v>0</v>
      </c>
      <c r="C1438">
        <f t="shared" si="522"/>
        <v>7</v>
      </c>
      <c r="D1438" t="str">
        <f>IF(包装物料出入库明细!$E1438="","",包装物料出入库明细!$F1438)</f>
        <v/>
      </c>
      <c r="E1438" t="str">
        <f>IF(包装物料出入库明细!$E1438="","",包装物料出入库明细!$G1438)</f>
        <v/>
      </c>
      <c r="K1438" t="str">
        <f>IF(包装物料出入库明细!$D1438="","",包装物料出入库明细!$D1438)</f>
        <v/>
      </c>
      <c r="L1438">
        <f t="shared" si="523"/>
        <v>0</v>
      </c>
      <c r="M1438">
        <f t="shared" si="524"/>
        <v>9</v>
      </c>
      <c r="Q1438" t="str">
        <f>IF(周转筐出入库明细!$D1439="","",周转筐出入库明细!$D1439)</f>
        <v/>
      </c>
      <c r="R1438">
        <f t="shared" si="525"/>
        <v>0</v>
      </c>
      <c r="S1438">
        <f t="shared" si="526"/>
        <v>5</v>
      </c>
      <c r="W1438" t="str">
        <f>IF(周转筐出入库明细!$C1439="","",周转筐出入库明细!$C1439)</f>
        <v/>
      </c>
      <c r="X1438">
        <f t="shared" si="527"/>
        <v>0</v>
      </c>
      <c r="Y1438">
        <f t="shared" si="528"/>
        <v>12</v>
      </c>
      <c r="AI1438" t="str">
        <f>IF(OR(对接源_01水果筐数!$B239="",LEFT(对接源_01水果筐数!$C239,2)&lt;&gt;"自备"),"",对接源_01水果筐数!$B239)</f>
        <v/>
      </c>
      <c r="AJ1438">
        <f t="shared" si="529"/>
        <v>0</v>
      </c>
      <c r="AK1438">
        <f t="shared" si="530"/>
        <v>6</v>
      </c>
      <c r="CP1438">
        <f>IF(包装物料出入库明细!$D1438="",0,1)</f>
        <v>0</v>
      </c>
      <c r="CQ1438">
        <f t="shared" si="531"/>
        <v>37</v>
      </c>
      <c r="CS1438" t="str">
        <f>IF(OR(周转筐出入库明细!$C1439="",周转筐出入库明细!$F1439&lt;&gt;"采购入库"),"",周转筐出入库明细!$C1439)</f>
        <v/>
      </c>
      <c r="CT1438">
        <f t="shared" si="532"/>
        <v>0</v>
      </c>
      <c r="CU1438">
        <f t="shared" si="533"/>
        <v>1</v>
      </c>
    </row>
    <row r="1439" spans="1:99">
      <c r="A1439" t="str">
        <f>IF(包装物料出入库明细!$E1439="","",包装物料出入库明细!$E1439)</f>
        <v/>
      </c>
      <c r="B1439">
        <f t="shared" si="521"/>
        <v>0</v>
      </c>
      <c r="C1439">
        <f t="shared" si="522"/>
        <v>7</v>
      </c>
      <c r="D1439" t="str">
        <f>IF(包装物料出入库明细!$E1439="","",包装物料出入库明细!$F1439)</f>
        <v/>
      </c>
      <c r="E1439" t="str">
        <f>IF(包装物料出入库明细!$E1439="","",包装物料出入库明细!$G1439)</f>
        <v/>
      </c>
      <c r="K1439" t="str">
        <f>IF(包装物料出入库明细!$D1439="","",包装物料出入库明细!$D1439)</f>
        <v/>
      </c>
      <c r="L1439">
        <f t="shared" si="523"/>
        <v>0</v>
      </c>
      <c r="M1439">
        <f t="shared" si="524"/>
        <v>9</v>
      </c>
      <c r="Q1439" t="str">
        <f>IF(周转筐出入库明细!$D1440="","",周转筐出入库明细!$D1440)</f>
        <v/>
      </c>
      <c r="R1439">
        <f t="shared" si="525"/>
        <v>0</v>
      </c>
      <c r="S1439">
        <f t="shared" si="526"/>
        <v>5</v>
      </c>
      <c r="W1439" t="str">
        <f>IF(周转筐出入库明细!$C1440="","",周转筐出入库明细!$C1440)</f>
        <v/>
      </c>
      <c r="X1439">
        <f t="shared" si="527"/>
        <v>0</v>
      </c>
      <c r="Y1439">
        <f t="shared" si="528"/>
        <v>12</v>
      </c>
      <c r="AI1439" t="str">
        <f>IF(OR(对接源_01水果筐数!$B240="",LEFT(对接源_01水果筐数!$C240,2)&lt;&gt;"自备"),"",对接源_01水果筐数!$B240)</f>
        <v/>
      </c>
      <c r="AJ1439">
        <f t="shared" si="529"/>
        <v>0</v>
      </c>
      <c r="AK1439">
        <f t="shared" si="530"/>
        <v>6</v>
      </c>
      <c r="CP1439">
        <f>IF(包装物料出入库明细!$D1439="",0,1)</f>
        <v>0</v>
      </c>
      <c r="CQ1439">
        <f t="shared" si="531"/>
        <v>37</v>
      </c>
      <c r="CS1439" t="str">
        <f>IF(OR(周转筐出入库明细!$C1440="",周转筐出入库明细!$F1440&lt;&gt;"采购入库"),"",周转筐出入库明细!$C1440)</f>
        <v/>
      </c>
      <c r="CT1439">
        <f t="shared" si="532"/>
        <v>0</v>
      </c>
      <c r="CU1439">
        <f t="shared" si="533"/>
        <v>1</v>
      </c>
    </row>
    <row r="1440" spans="1:99">
      <c r="A1440" t="str">
        <f>IF(包装物料出入库明细!$E1440="","",包装物料出入库明细!$E1440)</f>
        <v/>
      </c>
      <c r="B1440">
        <f t="shared" si="521"/>
        <v>0</v>
      </c>
      <c r="C1440">
        <f t="shared" si="522"/>
        <v>7</v>
      </c>
      <c r="D1440" t="str">
        <f>IF(包装物料出入库明细!$E1440="","",包装物料出入库明细!$F1440)</f>
        <v/>
      </c>
      <c r="E1440" t="str">
        <f>IF(包装物料出入库明细!$E1440="","",包装物料出入库明细!$G1440)</f>
        <v/>
      </c>
      <c r="K1440" t="str">
        <f>IF(包装物料出入库明细!$D1440="","",包装物料出入库明细!$D1440)</f>
        <v/>
      </c>
      <c r="L1440">
        <f t="shared" si="523"/>
        <v>0</v>
      </c>
      <c r="M1440">
        <f t="shared" si="524"/>
        <v>9</v>
      </c>
      <c r="Q1440" t="str">
        <f>IF(周转筐出入库明细!$D1441="","",周转筐出入库明细!$D1441)</f>
        <v/>
      </c>
      <c r="R1440">
        <f t="shared" si="525"/>
        <v>0</v>
      </c>
      <c r="S1440">
        <f t="shared" si="526"/>
        <v>5</v>
      </c>
      <c r="W1440" t="str">
        <f>IF(周转筐出入库明细!$C1441="","",周转筐出入库明细!$C1441)</f>
        <v/>
      </c>
      <c r="X1440">
        <f t="shared" si="527"/>
        <v>0</v>
      </c>
      <c r="Y1440">
        <f t="shared" si="528"/>
        <v>12</v>
      </c>
      <c r="AI1440" t="str">
        <f>IF(OR(对接源_01水果筐数!$B241="",LEFT(对接源_01水果筐数!$C241,2)&lt;&gt;"自备"),"",对接源_01水果筐数!$B241)</f>
        <v/>
      </c>
      <c r="AJ1440">
        <f t="shared" si="529"/>
        <v>0</v>
      </c>
      <c r="AK1440">
        <f t="shared" si="530"/>
        <v>6</v>
      </c>
      <c r="CP1440">
        <f>IF(包装物料出入库明细!$D1440="",0,1)</f>
        <v>0</v>
      </c>
      <c r="CQ1440">
        <f t="shared" si="531"/>
        <v>37</v>
      </c>
      <c r="CS1440" t="str">
        <f>IF(OR(周转筐出入库明细!$C1441="",周转筐出入库明细!$F1441&lt;&gt;"采购入库"),"",周转筐出入库明细!$C1441)</f>
        <v/>
      </c>
      <c r="CT1440">
        <f t="shared" si="532"/>
        <v>0</v>
      </c>
      <c r="CU1440">
        <f t="shared" si="533"/>
        <v>1</v>
      </c>
    </row>
    <row r="1441" spans="1:99">
      <c r="A1441" t="str">
        <f>IF(包装物料出入库明细!$E1441="","",包装物料出入库明细!$E1441)</f>
        <v/>
      </c>
      <c r="B1441">
        <f t="shared" si="521"/>
        <v>0</v>
      </c>
      <c r="C1441">
        <f t="shared" si="522"/>
        <v>7</v>
      </c>
      <c r="D1441" t="str">
        <f>IF(包装物料出入库明细!$E1441="","",包装物料出入库明细!$F1441)</f>
        <v/>
      </c>
      <c r="E1441" t="str">
        <f>IF(包装物料出入库明细!$E1441="","",包装物料出入库明细!$G1441)</f>
        <v/>
      </c>
      <c r="K1441" t="str">
        <f>IF(包装物料出入库明细!$D1441="","",包装物料出入库明细!$D1441)</f>
        <v/>
      </c>
      <c r="L1441">
        <f t="shared" si="523"/>
        <v>0</v>
      </c>
      <c r="M1441">
        <f t="shared" si="524"/>
        <v>9</v>
      </c>
      <c r="Q1441" t="str">
        <f>IF(周转筐出入库明细!$D1442="","",周转筐出入库明细!$D1442)</f>
        <v/>
      </c>
      <c r="R1441">
        <f t="shared" si="525"/>
        <v>0</v>
      </c>
      <c r="S1441">
        <f t="shared" si="526"/>
        <v>5</v>
      </c>
      <c r="W1441" t="str">
        <f>IF(周转筐出入库明细!$C1442="","",周转筐出入库明细!$C1442)</f>
        <v/>
      </c>
      <c r="X1441">
        <f t="shared" si="527"/>
        <v>0</v>
      </c>
      <c r="Y1441">
        <f t="shared" si="528"/>
        <v>12</v>
      </c>
      <c r="AI1441" t="str">
        <f>IF(OR(对接源_01水果筐数!$B242="",LEFT(对接源_01水果筐数!$C242,2)&lt;&gt;"自备"),"",对接源_01水果筐数!$B242)</f>
        <v/>
      </c>
      <c r="AJ1441">
        <f t="shared" si="529"/>
        <v>0</v>
      </c>
      <c r="AK1441">
        <f t="shared" si="530"/>
        <v>6</v>
      </c>
      <c r="CP1441">
        <f>IF(包装物料出入库明细!$D1441="",0,1)</f>
        <v>0</v>
      </c>
      <c r="CQ1441">
        <f t="shared" si="531"/>
        <v>37</v>
      </c>
      <c r="CS1441" t="str">
        <f>IF(OR(周转筐出入库明细!$C1442="",周转筐出入库明细!$F1442&lt;&gt;"采购入库"),"",周转筐出入库明细!$C1442)</f>
        <v/>
      </c>
      <c r="CT1441">
        <f t="shared" si="532"/>
        <v>0</v>
      </c>
      <c r="CU1441">
        <f t="shared" si="533"/>
        <v>1</v>
      </c>
    </row>
    <row r="1442" spans="1:99">
      <c r="A1442" t="str">
        <f>IF(包装物料出入库明细!$E1442="","",包装物料出入库明细!$E1442)</f>
        <v/>
      </c>
      <c r="B1442">
        <f t="shared" si="521"/>
        <v>0</v>
      </c>
      <c r="C1442">
        <f t="shared" si="522"/>
        <v>7</v>
      </c>
      <c r="D1442" t="str">
        <f>IF(包装物料出入库明细!$E1442="","",包装物料出入库明细!$F1442)</f>
        <v/>
      </c>
      <c r="E1442" t="str">
        <f>IF(包装物料出入库明细!$E1442="","",包装物料出入库明细!$G1442)</f>
        <v/>
      </c>
      <c r="K1442" t="str">
        <f>IF(包装物料出入库明细!$D1442="","",包装物料出入库明细!$D1442)</f>
        <v/>
      </c>
      <c r="L1442">
        <f t="shared" si="523"/>
        <v>0</v>
      </c>
      <c r="M1442">
        <f t="shared" si="524"/>
        <v>9</v>
      </c>
      <c r="Q1442" t="str">
        <f>IF(周转筐出入库明细!$D1443="","",周转筐出入库明细!$D1443)</f>
        <v/>
      </c>
      <c r="R1442">
        <f t="shared" si="525"/>
        <v>0</v>
      </c>
      <c r="S1442">
        <f t="shared" si="526"/>
        <v>5</v>
      </c>
      <c r="W1442" t="str">
        <f>IF(周转筐出入库明细!$C1443="","",周转筐出入库明细!$C1443)</f>
        <v/>
      </c>
      <c r="X1442">
        <f t="shared" si="527"/>
        <v>0</v>
      </c>
      <c r="Y1442">
        <f t="shared" si="528"/>
        <v>12</v>
      </c>
      <c r="AI1442" t="str">
        <f>IF(OR(对接源_01水果筐数!$B243="",LEFT(对接源_01水果筐数!$C243,2)&lt;&gt;"自备"),"",对接源_01水果筐数!$B243)</f>
        <v/>
      </c>
      <c r="AJ1442">
        <f t="shared" si="529"/>
        <v>0</v>
      </c>
      <c r="AK1442">
        <f t="shared" si="530"/>
        <v>6</v>
      </c>
      <c r="CP1442">
        <f>IF(包装物料出入库明细!$D1442="",0,1)</f>
        <v>0</v>
      </c>
      <c r="CQ1442">
        <f t="shared" si="531"/>
        <v>37</v>
      </c>
      <c r="CS1442" t="str">
        <f>IF(OR(周转筐出入库明细!$C1443="",周转筐出入库明细!$F1443&lt;&gt;"采购入库"),"",周转筐出入库明细!$C1443)</f>
        <v/>
      </c>
      <c r="CT1442">
        <f t="shared" si="532"/>
        <v>0</v>
      </c>
      <c r="CU1442">
        <f t="shared" si="533"/>
        <v>1</v>
      </c>
    </row>
    <row r="1443" spans="1:99">
      <c r="A1443" t="str">
        <f>IF(包装物料出入库明细!$E1443="","",包装物料出入库明细!$E1443)</f>
        <v/>
      </c>
      <c r="B1443">
        <f t="shared" si="521"/>
        <v>0</v>
      </c>
      <c r="C1443">
        <f t="shared" si="522"/>
        <v>7</v>
      </c>
      <c r="D1443" t="str">
        <f>IF(包装物料出入库明细!$E1443="","",包装物料出入库明细!$F1443)</f>
        <v/>
      </c>
      <c r="E1443" t="str">
        <f>IF(包装物料出入库明细!$E1443="","",包装物料出入库明细!$G1443)</f>
        <v/>
      </c>
      <c r="K1443" t="str">
        <f>IF(包装物料出入库明细!$D1443="","",包装物料出入库明细!$D1443)</f>
        <v/>
      </c>
      <c r="L1443">
        <f t="shared" si="523"/>
        <v>0</v>
      </c>
      <c r="M1443">
        <f t="shared" si="524"/>
        <v>9</v>
      </c>
      <c r="Q1443" t="str">
        <f>IF(周转筐出入库明细!$D1444="","",周转筐出入库明细!$D1444)</f>
        <v/>
      </c>
      <c r="R1443">
        <f t="shared" si="525"/>
        <v>0</v>
      </c>
      <c r="S1443">
        <f t="shared" si="526"/>
        <v>5</v>
      </c>
      <c r="W1443" t="str">
        <f>IF(周转筐出入库明细!$C1444="","",周转筐出入库明细!$C1444)</f>
        <v/>
      </c>
      <c r="X1443">
        <f t="shared" si="527"/>
        <v>0</v>
      </c>
      <c r="Y1443">
        <f t="shared" si="528"/>
        <v>12</v>
      </c>
      <c r="AI1443" t="str">
        <f>IF(OR(对接源_01水果筐数!$B244="",LEFT(对接源_01水果筐数!$C244,2)&lt;&gt;"自备"),"",对接源_01水果筐数!$B244)</f>
        <v/>
      </c>
      <c r="AJ1443">
        <f t="shared" si="529"/>
        <v>0</v>
      </c>
      <c r="AK1443">
        <f t="shared" si="530"/>
        <v>6</v>
      </c>
      <c r="CP1443">
        <f>IF(包装物料出入库明细!$D1443="",0,1)</f>
        <v>0</v>
      </c>
      <c r="CQ1443">
        <f t="shared" si="531"/>
        <v>37</v>
      </c>
      <c r="CS1443" t="str">
        <f>IF(OR(周转筐出入库明细!$C1444="",周转筐出入库明细!$F1444&lt;&gt;"采购入库"),"",周转筐出入库明细!$C1444)</f>
        <v/>
      </c>
      <c r="CT1443">
        <f t="shared" si="532"/>
        <v>0</v>
      </c>
      <c r="CU1443">
        <f t="shared" si="533"/>
        <v>1</v>
      </c>
    </row>
    <row r="1444" spans="1:99">
      <c r="A1444" t="str">
        <f>IF(包装物料出入库明细!$E1444="","",包装物料出入库明细!$E1444)</f>
        <v/>
      </c>
      <c r="B1444">
        <f t="shared" si="521"/>
        <v>0</v>
      </c>
      <c r="C1444">
        <f t="shared" si="522"/>
        <v>7</v>
      </c>
      <c r="D1444" t="str">
        <f>IF(包装物料出入库明细!$E1444="","",包装物料出入库明细!$F1444)</f>
        <v/>
      </c>
      <c r="E1444" t="str">
        <f>IF(包装物料出入库明细!$E1444="","",包装物料出入库明细!$G1444)</f>
        <v/>
      </c>
      <c r="K1444" t="str">
        <f>IF(包装物料出入库明细!$D1444="","",包装物料出入库明细!$D1444)</f>
        <v/>
      </c>
      <c r="L1444">
        <f t="shared" si="523"/>
        <v>0</v>
      </c>
      <c r="M1444">
        <f t="shared" si="524"/>
        <v>9</v>
      </c>
      <c r="Q1444" t="str">
        <f>IF(周转筐出入库明细!$D1445="","",周转筐出入库明细!$D1445)</f>
        <v/>
      </c>
      <c r="R1444">
        <f t="shared" si="525"/>
        <v>0</v>
      </c>
      <c r="S1444">
        <f t="shared" si="526"/>
        <v>5</v>
      </c>
      <c r="W1444" t="str">
        <f>IF(周转筐出入库明细!$C1445="","",周转筐出入库明细!$C1445)</f>
        <v/>
      </c>
      <c r="X1444">
        <f t="shared" si="527"/>
        <v>0</v>
      </c>
      <c r="Y1444">
        <f t="shared" si="528"/>
        <v>12</v>
      </c>
      <c r="AI1444" t="str">
        <f>IF(OR(对接源_01水果筐数!$B245="",LEFT(对接源_01水果筐数!$C245,2)&lt;&gt;"自备"),"",对接源_01水果筐数!$B245)</f>
        <v/>
      </c>
      <c r="AJ1444">
        <f t="shared" si="529"/>
        <v>0</v>
      </c>
      <c r="AK1444">
        <f t="shared" si="530"/>
        <v>6</v>
      </c>
      <c r="CP1444">
        <f>IF(包装物料出入库明细!$D1444="",0,1)</f>
        <v>0</v>
      </c>
      <c r="CQ1444">
        <f t="shared" si="531"/>
        <v>37</v>
      </c>
      <c r="CS1444" t="str">
        <f>IF(OR(周转筐出入库明细!$C1445="",周转筐出入库明细!$F1445&lt;&gt;"采购入库"),"",周转筐出入库明细!$C1445)</f>
        <v/>
      </c>
      <c r="CT1444">
        <f t="shared" si="532"/>
        <v>0</v>
      </c>
      <c r="CU1444">
        <f t="shared" si="533"/>
        <v>1</v>
      </c>
    </row>
    <row r="1445" spans="1:99">
      <c r="A1445" t="str">
        <f>IF(包装物料出入库明细!$E1445="","",包装物料出入库明细!$E1445)</f>
        <v/>
      </c>
      <c r="B1445">
        <f t="shared" si="521"/>
        <v>0</v>
      </c>
      <c r="C1445">
        <f t="shared" si="522"/>
        <v>7</v>
      </c>
      <c r="D1445" t="str">
        <f>IF(包装物料出入库明细!$E1445="","",包装物料出入库明细!$F1445)</f>
        <v/>
      </c>
      <c r="E1445" t="str">
        <f>IF(包装物料出入库明细!$E1445="","",包装物料出入库明细!$G1445)</f>
        <v/>
      </c>
      <c r="K1445" t="str">
        <f>IF(包装物料出入库明细!$D1445="","",包装物料出入库明细!$D1445)</f>
        <v/>
      </c>
      <c r="L1445">
        <f t="shared" si="523"/>
        <v>0</v>
      </c>
      <c r="M1445">
        <f t="shared" si="524"/>
        <v>9</v>
      </c>
      <c r="Q1445" t="str">
        <f>IF(周转筐出入库明细!$D1446="","",周转筐出入库明细!$D1446)</f>
        <v/>
      </c>
      <c r="R1445">
        <f t="shared" si="525"/>
        <v>0</v>
      </c>
      <c r="S1445">
        <f t="shared" si="526"/>
        <v>5</v>
      </c>
      <c r="W1445" t="str">
        <f>IF(周转筐出入库明细!$C1446="","",周转筐出入库明细!$C1446)</f>
        <v/>
      </c>
      <c r="X1445">
        <f t="shared" si="527"/>
        <v>0</v>
      </c>
      <c r="Y1445">
        <f t="shared" si="528"/>
        <v>12</v>
      </c>
      <c r="AI1445" t="str">
        <f>IF(OR(对接源_01水果筐数!$B246="",LEFT(对接源_01水果筐数!$C246,2)&lt;&gt;"自备"),"",对接源_01水果筐数!$B246)</f>
        <v/>
      </c>
      <c r="AJ1445">
        <f t="shared" si="529"/>
        <v>0</v>
      </c>
      <c r="AK1445">
        <f t="shared" si="530"/>
        <v>6</v>
      </c>
      <c r="CP1445">
        <f>IF(包装物料出入库明细!$D1445="",0,1)</f>
        <v>0</v>
      </c>
      <c r="CQ1445">
        <f t="shared" si="531"/>
        <v>37</v>
      </c>
      <c r="CS1445" t="str">
        <f>IF(OR(周转筐出入库明细!$C1446="",周转筐出入库明细!$F1446&lt;&gt;"采购入库"),"",周转筐出入库明细!$C1446)</f>
        <v/>
      </c>
      <c r="CT1445">
        <f t="shared" si="532"/>
        <v>0</v>
      </c>
      <c r="CU1445">
        <f t="shared" si="533"/>
        <v>1</v>
      </c>
    </row>
    <row r="1446" spans="1:99">
      <c r="A1446" t="str">
        <f>IF(包装物料出入库明细!$E1446="","",包装物料出入库明细!$E1446)</f>
        <v/>
      </c>
      <c r="B1446">
        <f t="shared" si="521"/>
        <v>0</v>
      </c>
      <c r="C1446">
        <f t="shared" si="522"/>
        <v>7</v>
      </c>
      <c r="D1446" t="str">
        <f>IF(包装物料出入库明细!$E1446="","",包装物料出入库明细!$F1446)</f>
        <v/>
      </c>
      <c r="E1446" t="str">
        <f>IF(包装物料出入库明细!$E1446="","",包装物料出入库明细!$G1446)</f>
        <v/>
      </c>
      <c r="K1446" t="str">
        <f>IF(包装物料出入库明细!$D1446="","",包装物料出入库明细!$D1446)</f>
        <v/>
      </c>
      <c r="L1446">
        <f t="shared" si="523"/>
        <v>0</v>
      </c>
      <c r="M1446">
        <f t="shared" si="524"/>
        <v>9</v>
      </c>
      <c r="Q1446" t="str">
        <f>IF(周转筐出入库明细!$D1447="","",周转筐出入库明细!$D1447)</f>
        <v/>
      </c>
      <c r="R1446">
        <f t="shared" si="525"/>
        <v>0</v>
      </c>
      <c r="S1446">
        <f t="shared" si="526"/>
        <v>5</v>
      </c>
      <c r="W1446" t="str">
        <f>IF(周转筐出入库明细!$C1447="","",周转筐出入库明细!$C1447)</f>
        <v/>
      </c>
      <c r="X1446">
        <f t="shared" si="527"/>
        <v>0</v>
      </c>
      <c r="Y1446">
        <f t="shared" si="528"/>
        <v>12</v>
      </c>
      <c r="AI1446" t="str">
        <f>IF(OR(对接源_01水果筐数!$B247="",LEFT(对接源_01水果筐数!$C247,2)&lt;&gt;"自备"),"",对接源_01水果筐数!$B247)</f>
        <v/>
      </c>
      <c r="AJ1446">
        <f t="shared" si="529"/>
        <v>0</v>
      </c>
      <c r="AK1446">
        <f t="shared" si="530"/>
        <v>6</v>
      </c>
      <c r="CP1446">
        <f>IF(包装物料出入库明细!$D1446="",0,1)</f>
        <v>0</v>
      </c>
      <c r="CQ1446">
        <f t="shared" si="531"/>
        <v>37</v>
      </c>
      <c r="CS1446" t="str">
        <f>IF(OR(周转筐出入库明细!$C1447="",周转筐出入库明细!$F1447&lt;&gt;"采购入库"),"",周转筐出入库明细!$C1447)</f>
        <v/>
      </c>
      <c r="CT1446">
        <f t="shared" si="532"/>
        <v>0</v>
      </c>
      <c r="CU1446">
        <f t="shared" si="533"/>
        <v>1</v>
      </c>
    </row>
    <row r="1447" spans="1:99">
      <c r="A1447" t="str">
        <f>IF(包装物料出入库明细!$E1447="","",包装物料出入库明细!$E1447)</f>
        <v/>
      </c>
      <c r="B1447">
        <f t="shared" si="521"/>
        <v>0</v>
      </c>
      <c r="C1447">
        <f t="shared" si="522"/>
        <v>7</v>
      </c>
      <c r="D1447" t="str">
        <f>IF(包装物料出入库明细!$E1447="","",包装物料出入库明细!$F1447)</f>
        <v/>
      </c>
      <c r="E1447" t="str">
        <f>IF(包装物料出入库明细!$E1447="","",包装物料出入库明细!$G1447)</f>
        <v/>
      </c>
      <c r="K1447" t="str">
        <f>IF(包装物料出入库明细!$D1447="","",包装物料出入库明细!$D1447)</f>
        <v/>
      </c>
      <c r="L1447">
        <f t="shared" si="523"/>
        <v>0</v>
      </c>
      <c r="M1447">
        <f t="shared" si="524"/>
        <v>9</v>
      </c>
      <c r="Q1447" t="str">
        <f>IF(周转筐出入库明细!$D1448="","",周转筐出入库明细!$D1448)</f>
        <v/>
      </c>
      <c r="R1447">
        <f t="shared" si="525"/>
        <v>0</v>
      </c>
      <c r="S1447">
        <f t="shared" si="526"/>
        <v>5</v>
      </c>
      <c r="W1447" t="str">
        <f>IF(周转筐出入库明细!$C1448="","",周转筐出入库明细!$C1448)</f>
        <v/>
      </c>
      <c r="X1447">
        <f t="shared" si="527"/>
        <v>0</v>
      </c>
      <c r="Y1447">
        <f t="shared" si="528"/>
        <v>12</v>
      </c>
      <c r="AI1447" t="str">
        <f>IF(OR(对接源_01水果筐数!$B248="",LEFT(对接源_01水果筐数!$C248,2)&lt;&gt;"自备"),"",对接源_01水果筐数!$B248)</f>
        <v/>
      </c>
      <c r="AJ1447">
        <f t="shared" si="529"/>
        <v>0</v>
      </c>
      <c r="AK1447">
        <f t="shared" si="530"/>
        <v>6</v>
      </c>
      <c r="CP1447">
        <f>IF(包装物料出入库明细!$D1447="",0,1)</f>
        <v>0</v>
      </c>
      <c r="CQ1447">
        <f t="shared" si="531"/>
        <v>37</v>
      </c>
      <c r="CS1447" t="str">
        <f>IF(OR(周转筐出入库明细!$C1448="",周转筐出入库明细!$F1448&lt;&gt;"采购入库"),"",周转筐出入库明细!$C1448)</f>
        <v/>
      </c>
      <c r="CT1447">
        <f t="shared" si="532"/>
        <v>0</v>
      </c>
      <c r="CU1447">
        <f t="shared" si="533"/>
        <v>1</v>
      </c>
    </row>
    <row r="1448" spans="1:99">
      <c r="A1448" t="str">
        <f>IF(包装物料出入库明细!$E1448="","",包装物料出入库明细!$E1448)</f>
        <v/>
      </c>
      <c r="B1448">
        <f t="shared" si="521"/>
        <v>0</v>
      </c>
      <c r="C1448">
        <f t="shared" si="522"/>
        <v>7</v>
      </c>
      <c r="D1448" t="str">
        <f>IF(包装物料出入库明细!$E1448="","",包装物料出入库明细!$F1448)</f>
        <v/>
      </c>
      <c r="E1448" t="str">
        <f>IF(包装物料出入库明细!$E1448="","",包装物料出入库明细!$G1448)</f>
        <v/>
      </c>
      <c r="K1448" t="str">
        <f>IF(包装物料出入库明细!$D1448="","",包装物料出入库明细!$D1448)</f>
        <v/>
      </c>
      <c r="L1448">
        <f t="shared" si="523"/>
        <v>0</v>
      </c>
      <c r="M1448">
        <f t="shared" si="524"/>
        <v>9</v>
      </c>
      <c r="Q1448" t="str">
        <f>IF(周转筐出入库明细!$D1449="","",周转筐出入库明细!$D1449)</f>
        <v/>
      </c>
      <c r="R1448">
        <f t="shared" si="525"/>
        <v>0</v>
      </c>
      <c r="S1448">
        <f t="shared" si="526"/>
        <v>5</v>
      </c>
      <c r="W1448" t="str">
        <f>IF(周转筐出入库明细!$C1449="","",周转筐出入库明细!$C1449)</f>
        <v/>
      </c>
      <c r="X1448">
        <f t="shared" si="527"/>
        <v>0</v>
      </c>
      <c r="Y1448">
        <f t="shared" si="528"/>
        <v>12</v>
      </c>
      <c r="AI1448" t="str">
        <f>IF(OR(对接源_01水果筐数!$B249="",LEFT(对接源_01水果筐数!$C249,2)&lt;&gt;"自备"),"",对接源_01水果筐数!$B249)</f>
        <v/>
      </c>
      <c r="AJ1448">
        <f t="shared" si="529"/>
        <v>0</v>
      </c>
      <c r="AK1448">
        <f t="shared" si="530"/>
        <v>6</v>
      </c>
      <c r="CP1448">
        <f>IF(包装物料出入库明细!$D1448="",0,1)</f>
        <v>0</v>
      </c>
      <c r="CQ1448">
        <f t="shared" si="531"/>
        <v>37</v>
      </c>
      <c r="CS1448" t="str">
        <f>IF(OR(周转筐出入库明细!$C1449="",周转筐出入库明细!$F1449&lt;&gt;"采购入库"),"",周转筐出入库明细!$C1449)</f>
        <v/>
      </c>
      <c r="CT1448">
        <f t="shared" si="532"/>
        <v>0</v>
      </c>
      <c r="CU1448">
        <f t="shared" si="533"/>
        <v>1</v>
      </c>
    </row>
    <row r="1449" spans="1:99">
      <c r="A1449" t="str">
        <f>IF(包装物料出入库明细!$E1449="","",包装物料出入库明细!$E1449)</f>
        <v/>
      </c>
      <c r="B1449">
        <f t="shared" si="521"/>
        <v>0</v>
      </c>
      <c r="C1449">
        <f t="shared" si="522"/>
        <v>7</v>
      </c>
      <c r="D1449" t="str">
        <f>IF(包装物料出入库明细!$E1449="","",包装物料出入库明细!$F1449)</f>
        <v/>
      </c>
      <c r="E1449" t="str">
        <f>IF(包装物料出入库明细!$E1449="","",包装物料出入库明细!$G1449)</f>
        <v/>
      </c>
      <c r="K1449" t="str">
        <f>IF(包装物料出入库明细!$D1449="","",包装物料出入库明细!$D1449)</f>
        <v/>
      </c>
      <c r="L1449">
        <f t="shared" si="523"/>
        <v>0</v>
      </c>
      <c r="M1449">
        <f t="shared" si="524"/>
        <v>9</v>
      </c>
      <c r="Q1449" t="str">
        <f>IF(周转筐出入库明细!$D1450="","",周转筐出入库明细!$D1450)</f>
        <v/>
      </c>
      <c r="R1449">
        <f t="shared" si="525"/>
        <v>0</v>
      </c>
      <c r="S1449">
        <f t="shared" si="526"/>
        <v>5</v>
      </c>
      <c r="W1449" t="str">
        <f>IF(周转筐出入库明细!$C1450="","",周转筐出入库明细!$C1450)</f>
        <v/>
      </c>
      <c r="X1449">
        <f t="shared" si="527"/>
        <v>0</v>
      </c>
      <c r="Y1449">
        <f t="shared" si="528"/>
        <v>12</v>
      </c>
      <c r="AI1449" t="str">
        <f>IF(OR(对接源_01水果筐数!$B250="",LEFT(对接源_01水果筐数!$C250,2)&lt;&gt;"自备"),"",对接源_01水果筐数!$B250)</f>
        <v/>
      </c>
      <c r="AJ1449">
        <f t="shared" si="529"/>
        <v>0</v>
      </c>
      <c r="AK1449">
        <f t="shared" si="530"/>
        <v>6</v>
      </c>
      <c r="CP1449">
        <f>IF(包装物料出入库明细!$D1449="",0,1)</f>
        <v>0</v>
      </c>
      <c r="CQ1449">
        <f t="shared" si="531"/>
        <v>37</v>
      </c>
      <c r="CS1449" t="str">
        <f>IF(OR(周转筐出入库明细!$C1450="",周转筐出入库明细!$F1450&lt;&gt;"采购入库"),"",周转筐出入库明细!$C1450)</f>
        <v/>
      </c>
      <c r="CT1449">
        <f t="shared" si="532"/>
        <v>0</v>
      </c>
      <c r="CU1449">
        <f t="shared" si="533"/>
        <v>1</v>
      </c>
    </row>
    <row r="1450" spans="1:99">
      <c r="A1450" t="str">
        <f>IF(包装物料出入库明细!$E1450="","",包装物料出入库明细!$E1450)</f>
        <v/>
      </c>
      <c r="B1450">
        <f t="shared" si="521"/>
        <v>0</v>
      </c>
      <c r="C1450">
        <f t="shared" si="522"/>
        <v>7</v>
      </c>
      <c r="D1450" t="str">
        <f>IF(包装物料出入库明细!$E1450="","",包装物料出入库明细!$F1450)</f>
        <v/>
      </c>
      <c r="E1450" t="str">
        <f>IF(包装物料出入库明细!$E1450="","",包装物料出入库明细!$G1450)</f>
        <v/>
      </c>
      <c r="K1450" t="str">
        <f>IF(包装物料出入库明细!$D1450="","",包装物料出入库明细!$D1450)</f>
        <v/>
      </c>
      <c r="L1450">
        <f t="shared" si="523"/>
        <v>0</v>
      </c>
      <c r="M1450">
        <f t="shared" si="524"/>
        <v>9</v>
      </c>
      <c r="Q1450" t="str">
        <f>IF(周转筐出入库明细!$D1451="","",周转筐出入库明细!$D1451)</f>
        <v/>
      </c>
      <c r="R1450">
        <f t="shared" si="525"/>
        <v>0</v>
      </c>
      <c r="S1450">
        <f t="shared" si="526"/>
        <v>5</v>
      </c>
      <c r="W1450" t="str">
        <f>IF(周转筐出入库明细!$C1451="","",周转筐出入库明细!$C1451)</f>
        <v/>
      </c>
      <c r="X1450">
        <f t="shared" si="527"/>
        <v>0</v>
      </c>
      <c r="Y1450">
        <f t="shared" si="528"/>
        <v>12</v>
      </c>
      <c r="AI1450" t="str">
        <f>IF(OR(对接源_01水果筐数!$B251="",LEFT(对接源_01水果筐数!$C251,2)&lt;&gt;"自备"),"",对接源_01水果筐数!$B251)</f>
        <v/>
      </c>
      <c r="AJ1450">
        <f t="shared" si="529"/>
        <v>0</v>
      </c>
      <c r="AK1450">
        <f t="shared" si="530"/>
        <v>6</v>
      </c>
      <c r="CP1450">
        <f>IF(包装物料出入库明细!$D1450="",0,1)</f>
        <v>0</v>
      </c>
      <c r="CQ1450">
        <f t="shared" si="531"/>
        <v>37</v>
      </c>
      <c r="CS1450" t="str">
        <f>IF(OR(周转筐出入库明细!$C1451="",周转筐出入库明细!$F1451&lt;&gt;"采购入库"),"",周转筐出入库明细!$C1451)</f>
        <v/>
      </c>
      <c r="CT1450">
        <f t="shared" si="532"/>
        <v>0</v>
      </c>
      <c r="CU1450">
        <f t="shared" si="533"/>
        <v>1</v>
      </c>
    </row>
    <row r="1451" spans="1:99">
      <c r="A1451" t="str">
        <f>IF(包装物料出入库明细!$E1451="","",包装物料出入库明细!$E1451)</f>
        <v/>
      </c>
      <c r="B1451">
        <f t="shared" si="521"/>
        <v>0</v>
      </c>
      <c r="C1451">
        <f t="shared" si="522"/>
        <v>7</v>
      </c>
      <c r="D1451" t="str">
        <f>IF(包装物料出入库明细!$E1451="","",包装物料出入库明细!$F1451)</f>
        <v/>
      </c>
      <c r="E1451" t="str">
        <f>IF(包装物料出入库明细!$E1451="","",包装物料出入库明细!$G1451)</f>
        <v/>
      </c>
      <c r="K1451" t="str">
        <f>IF(包装物料出入库明细!$D1451="","",包装物料出入库明细!$D1451)</f>
        <v/>
      </c>
      <c r="L1451">
        <f t="shared" si="523"/>
        <v>0</v>
      </c>
      <c r="M1451">
        <f t="shared" si="524"/>
        <v>9</v>
      </c>
      <c r="Q1451" t="str">
        <f>IF(周转筐出入库明细!$D1452="","",周转筐出入库明细!$D1452)</f>
        <v/>
      </c>
      <c r="R1451">
        <f t="shared" si="525"/>
        <v>0</v>
      </c>
      <c r="S1451">
        <f t="shared" si="526"/>
        <v>5</v>
      </c>
      <c r="W1451" t="str">
        <f>IF(周转筐出入库明细!$C1452="","",周转筐出入库明细!$C1452)</f>
        <v/>
      </c>
      <c r="X1451">
        <f t="shared" si="527"/>
        <v>0</v>
      </c>
      <c r="Y1451">
        <f t="shared" si="528"/>
        <v>12</v>
      </c>
      <c r="AI1451" t="str">
        <f>IF(OR(对接源_01水果筐数!$B252="",LEFT(对接源_01水果筐数!$C252,2)&lt;&gt;"自备"),"",对接源_01水果筐数!$B252)</f>
        <v/>
      </c>
      <c r="AJ1451">
        <f t="shared" si="529"/>
        <v>0</v>
      </c>
      <c r="AK1451">
        <f t="shared" si="530"/>
        <v>6</v>
      </c>
      <c r="CP1451">
        <f>IF(包装物料出入库明细!$D1451="",0,1)</f>
        <v>0</v>
      </c>
      <c r="CQ1451">
        <f t="shared" si="531"/>
        <v>37</v>
      </c>
      <c r="CS1451" t="str">
        <f>IF(OR(周转筐出入库明细!$C1452="",周转筐出入库明细!$F1452&lt;&gt;"采购入库"),"",周转筐出入库明细!$C1452)</f>
        <v/>
      </c>
      <c r="CT1451">
        <f t="shared" si="532"/>
        <v>0</v>
      </c>
      <c r="CU1451">
        <f t="shared" si="533"/>
        <v>1</v>
      </c>
    </row>
    <row r="1452" spans="1:99">
      <c r="A1452" t="str">
        <f>IF(包装物料出入库明细!$E1452="","",包装物料出入库明细!$E1452)</f>
        <v/>
      </c>
      <c r="B1452">
        <f t="shared" si="521"/>
        <v>0</v>
      </c>
      <c r="C1452">
        <f t="shared" si="522"/>
        <v>7</v>
      </c>
      <c r="D1452" t="str">
        <f>IF(包装物料出入库明细!$E1452="","",包装物料出入库明细!$F1452)</f>
        <v/>
      </c>
      <c r="E1452" t="str">
        <f>IF(包装物料出入库明细!$E1452="","",包装物料出入库明细!$G1452)</f>
        <v/>
      </c>
      <c r="K1452" t="str">
        <f>IF(包装物料出入库明细!$D1452="","",包装物料出入库明细!$D1452)</f>
        <v/>
      </c>
      <c r="L1452">
        <f t="shared" si="523"/>
        <v>0</v>
      </c>
      <c r="M1452">
        <f t="shared" si="524"/>
        <v>9</v>
      </c>
      <c r="Q1452" t="str">
        <f>IF(周转筐出入库明细!$D1453="","",周转筐出入库明细!$D1453)</f>
        <v/>
      </c>
      <c r="R1452">
        <f t="shared" si="525"/>
        <v>0</v>
      </c>
      <c r="S1452">
        <f t="shared" si="526"/>
        <v>5</v>
      </c>
      <c r="W1452" t="str">
        <f>IF(周转筐出入库明细!$C1453="","",周转筐出入库明细!$C1453)</f>
        <v/>
      </c>
      <c r="X1452">
        <f t="shared" si="527"/>
        <v>0</v>
      </c>
      <c r="Y1452">
        <f t="shared" si="528"/>
        <v>12</v>
      </c>
      <c r="AI1452" t="str">
        <f>IF(OR(对接源_01水果筐数!$B253="",LEFT(对接源_01水果筐数!$C253,2)&lt;&gt;"自备"),"",对接源_01水果筐数!$B253)</f>
        <v/>
      </c>
      <c r="AJ1452">
        <f t="shared" si="529"/>
        <v>0</v>
      </c>
      <c r="AK1452">
        <f t="shared" si="530"/>
        <v>6</v>
      </c>
      <c r="CP1452">
        <f>IF(包装物料出入库明细!$D1452="",0,1)</f>
        <v>0</v>
      </c>
      <c r="CQ1452">
        <f t="shared" si="531"/>
        <v>37</v>
      </c>
      <c r="CS1452" t="str">
        <f>IF(OR(周转筐出入库明细!$C1453="",周转筐出入库明细!$F1453&lt;&gt;"采购入库"),"",周转筐出入库明细!$C1453)</f>
        <v/>
      </c>
      <c r="CT1452">
        <f t="shared" si="532"/>
        <v>0</v>
      </c>
      <c r="CU1452">
        <f t="shared" si="533"/>
        <v>1</v>
      </c>
    </row>
    <row r="1453" spans="1:99">
      <c r="A1453" t="str">
        <f>IF(包装物料出入库明细!$E1453="","",包装物料出入库明细!$E1453)</f>
        <v/>
      </c>
      <c r="B1453">
        <f t="shared" si="521"/>
        <v>0</v>
      </c>
      <c r="C1453">
        <f t="shared" si="522"/>
        <v>7</v>
      </c>
      <c r="D1453" t="str">
        <f>IF(包装物料出入库明细!$E1453="","",包装物料出入库明细!$F1453)</f>
        <v/>
      </c>
      <c r="E1453" t="str">
        <f>IF(包装物料出入库明细!$E1453="","",包装物料出入库明细!$G1453)</f>
        <v/>
      </c>
      <c r="K1453" t="str">
        <f>IF(包装物料出入库明细!$D1453="","",包装物料出入库明细!$D1453)</f>
        <v/>
      </c>
      <c r="L1453">
        <f t="shared" si="523"/>
        <v>0</v>
      </c>
      <c r="M1453">
        <f t="shared" si="524"/>
        <v>9</v>
      </c>
      <c r="Q1453" t="str">
        <f>IF(周转筐出入库明细!$D1454="","",周转筐出入库明细!$D1454)</f>
        <v/>
      </c>
      <c r="R1453">
        <f t="shared" si="525"/>
        <v>0</v>
      </c>
      <c r="S1453">
        <f t="shared" si="526"/>
        <v>5</v>
      </c>
      <c r="W1453" t="str">
        <f>IF(周转筐出入库明细!$C1454="","",周转筐出入库明细!$C1454)</f>
        <v/>
      </c>
      <c r="X1453">
        <f t="shared" si="527"/>
        <v>0</v>
      </c>
      <c r="Y1453">
        <f t="shared" si="528"/>
        <v>12</v>
      </c>
      <c r="AI1453" t="str">
        <f>IF(OR(对接源_01水果筐数!$B254="",LEFT(对接源_01水果筐数!$C254,2)&lt;&gt;"自备"),"",对接源_01水果筐数!$B254)</f>
        <v/>
      </c>
      <c r="AJ1453">
        <f t="shared" si="529"/>
        <v>0</v>
      </c>
      <c r="AK1453">
        <f t="shared" si="530"/>
        <v>6</v>
      </c>
      <c r="CP1453">
        <f>IF(包装物料出入库明细!$D1453="",0,1)</f>
        <v>0</v>
      </c>
      <c r="CQ1453">
        <f t="shared" si="531"/>
        <v>37</v>
      </c>
      <c r="CS1453" t="str">
        <f>IF(OR(周转筐出入库明细!$C1454="",周转筐出入库明细!$F1454&lt;&gt;"采购入库"),"",周转筐出入库明细!$C1454)</f>
        <v/>
      </c>
      <c r="CT1453">
        <f t="shared" si="532"/>
        <v>0</v>
      </c>
      <c r="CU1453">
        <f t="shared" si="533"/>
        <v>1</v>
      </c>
    </row>
    <row r="1454" spans="1:99">
      <c r="A1454" t="str">
        <f>IF(包装物料出入库明细!$E1454="","",包装物料出入库明细!$E1454)</f>
        <v/>
      </c>
      <c r="B1454">
        <f t="shared" si="521"/>
        <v>0</v>
      </c>
      <c r="C1454">
        <f t="shared" si="522"/>
        <v>7</v>
      </c>
      <c r="D1454" t="str">
        <f>IF(包装物料出入库明细!$E1454="","",包装物料出入库明细!$F1454)</f>
        <v/>
      </c>
      <c r="E1454" t="str">
        <f>IF(包装物料出入库明细!$E1454="","",包装物料出入库明细!$G1454)</f>
        <v/>
      </c>
      <c r="K1454" t="str">
        <f>IF(包装物料出入库明细!$D1454="","",包装物料出入库明细!$D1454)</f>
        <v/>
      </c>
      <c r="L1454">
        <f t="shared" si="523"/>
        <v>0</v>
      </c>
      <c r="M1454">
        <f t="shared" si="524"/>
        <v>9</v>
      </c>
      <c r="Q1454" t="str">
        <f>IF(周转筐出入库明细!$D1455="","",周转筐出入库明细!$D1455)</f>
        <v/>
      </c>
      <c r="R1454">
        <f t="shared" si="525"/>
        <v>0</v>
      </c>
      <c r="S1454">
        <f t="shared" si="526"/>
        <v>5</v>
      </c>
      <c r="W1454" t="str">
        <f>IF(周转筐出入库明细!$C1455="","",周转筐出入库明细!$C1455)</f>
        <v/>
      </c>
      <c r="X1454">
        <f t="shared" si="527"/>
        <v>0</v>
      </c>
      <c r="Y1454">
        <f t="shared" si="528"/>
        <v>12</v>
      </c>
      <c r="AI1454" t="str">
        <f>IF(OR(对接源_01水果筐数!$B255="",LEFT(对接源_01水果筐数!$C255,2)&lt;&gt;"自备"),"",对接源_01水果筐数!$B255)</f>
        <v/>
      </c>
      <c r="AJ1454">
        <f t="shared" si="529"/>
        <v>0</v>
      </c>
      <c r="AK1454">
        <f t="shared" si="530"/>
        <v>6</v>
      </c>
      <c r="CP1454">
        <f>IF(包装物料出入库明细!$D1454="",0,1)</f>
        <v>0</v>
      </c>
      <c r="CQ1454">
        <f t="shared" si="531"/>
        <v>37</v>
      </c>
      <c r="CS1454" t="str">
        <f>IF(OR(周转筐出入库明细!$C1455="",周转筐出入库明细!$F1455&lt;&gt;"采购入库"),"",周转筐出入库明细!$C1455)</f>
        <v/>
      </c>
      <c r="CT1454">
        <f t="shared" si="532"/>
        <v>0</v>
      </c>
      <c r="CU1454">
        <f t="shared" si="533"/>
        <v>1</v>
      </c>
    </row>
    <row r="1455" spans="1:99">
      <c r="A1455" t="str">
        <f>IF(包装物料出入库明细!$E1455="","",包装物料出入库明细!$E1455)</f>
        <v/>
      </c>
      <c r="B1455">
        <f t="shared" si="521"/>
        <v>0</v>
      </c>
      <c r="C1455">
        <f t="shared" si="522"/>
        <v>7</v>
      </c>
      <c r="D1455" t="str">
        <f>IF(包装物料出入库明细!$E1455="","",包装物料出入库明细!$F1455)</f>
        <v/>
      </c>
      <c r="E1455" t="str">
        <f>IF(包装物料出入库明细!$E1455="","",包装物料出入库明细!$G1455)</f>
        <v/>
      </c>
      <c r="K1455" t="str">
        <f>IF(包装物料出入库明细!$D1455="","",包装物料出入库明细!$D1455)</f>
        <v/>
      </c>
      <c r="L1455">
        <f t="shared" si="523"/>
        <v>0</v>
      </c>
      <c r="M1455">
        <f t="shared" si="524"/>
        <v>9</v>
      </c>
      <c r="Q1455" t="str">
        <f>IF(周转筐出入库明细!$D1456="","",周转筐出入库明细!$D1456)</f>
        <v/>
      </c>
      <c r="R1455">
        <f t="shared" si="525"/>
        <v>0</v>
      </c>
      <c r="S1455">
        <f t="shared" si="526"/>
        <v>5</v>
      </c>
      <c r="W1455" t="str">
        <f>IF(周转筐出入库明细!$C1456="","",周转筐出入库明细!$C1456)</f>
        <v/>
      </c>
      <c r="X1455">
        <f t="shared" si="527"/>
        <v>0</v>
      </c>
      <c r="Y1455">
        <f t="shared" si="528"/>
        <v>12</v>
      </c>
      <c r="AI1455" t="str">
        <f>IF(OR(对接源_01水果筐数!$B256="",LEFT(对接源_01水果筐数!$C256,2)&lt;&gt;"自备"),"",对接源_01水果筐数!$B256)</f>
        <v/>
      </c>
      <c r="AJ1455">
        <f t="shared" si="529"/>
        <v>0</v>
      </c>
      <c r="AK1455">
        <f t="shared" si="530"/>
        <v>6</v>
      </c>
      <c r="CP1455">
        <f>IF(包装物料出入库明细!$D1455="",0,1)</f>
        <v>0</v>
      </c>
      <c r="CQ1455">
        <f t="shared" si="531"/>
        <v>37</v>
      </c>
      <c r="CS1455" t="str">
        <f>IF(OR(周转筐出入库明细!$C1456="",周转筐出入库明细!$F1456&lt;&gt;"采购入库"),"",周转筐出入库明细!$C1456)</f>
        <v/>
      </c>
      <c r="CT1455">
        <f t="shared" si="532"/>
        <v>0</v>
      </c>
      <c r="CU1455">
        <f t="shared" si="533"/>
        <v>1</v>
      </c>
    </row>
    <row r="1456" spans="1:99">
      <c r="A1456" t="str">
        <f>IF(包装物料出入库明细!$E1456="","",包装物料出入库明细!$E1456)</f>
        <v/>
      </c>
      <c r="B1456">
        <f t="shared" si="521"/>
        <v>0</v>
      </c>
      <c r="C1456">
        <f t="shared" si="522"/>
        <v>7</v>
      </c>
      <c r="D1456" t="str">
        <f>IF(包装物料出入库明细!$E1456="","",包装物料出入库明细!$F1456)</f>
        <v/>
      </c>
      <c r="E1456" t="str">
        <f>IF(包装物料出入库明细!$E1456="","",包装物料出入库明细!$G1456)</f>
        <v/>
      </c>
      <c r="K1456" t="str">
        <f>IF(包装物料出入库明细!$D1456="","",包装物料出入库明细!$D1456)</f>
        <v/>
      </c>
      <c r="L1456">
        <f t="shared" si="523"/>
        <v>0</v>
      </c>
      <c r="M1456">
        <f t="shared" si="524"/>
        <v>9</v>
      </c>
      <c r="Q1456" t="str">
        <f>IF(周转筐出入库明细!$D1457="","",周转筐出入库明细!$D1457)</f>
        <v/>
      </c>
      <c r="R1456">
        <f t="shared" si="525"/>
        <v>0</v>
      </c>
      <c r="S1456">
        <f t="shared" si="526"/>
        <v>5</v>
      </c>
      <c r="W1456" t="str">
        <f>IF(周转筐出入库明细!$C1457="","",周转筐出入库明细!$C1457)</f>
        <v/>
      </c>
      <c r="X1456">
        <f t="shared" si="527"/>
        <v>0</v>
      </c>
      <c r="Y1456">
        <f t="shared" si="528"/>
        <v>12</v>
      </c>
      <c r="AI1456" t="str">
        <f>IF(OR(对接源_01水果筐数!$B257="",LEFT(对接源_01水果筐数!$C257,2)&lt;&gt;"自备"),"",对接源_01水果筐数!$B257)</f>
        <v/>
      </c>
      <c r="AJ1456">
        <f t="shared" si="529"/>
        <v>0</v>
      </c>
      <c r="AK1456">
        <f t="shared" si="530"/>
        <v>6</v>
      </c>
      <c r="CP1456">
        <f>IF(包装物料出入库明细!$D1456="",0,1)</f>
        <v>0</v>
      </c>
      <c r="CQ1456">
        <f t="shared" si="531"/>
        <v>37</v>
      </c>
      <c r="CS1456" t="str">
        <f>IF(OR(周转筐出入库明细!$C1457="",周转筐出入库明细!$F1457&lt;&gt;"采购入库"),"",周转筐出入库明细!$C1457)</f>
        <v/>
      </c>
      <c r="CT1456">
        <f t="shared" si="532"/>
        <v>0</v>
      </c>
      <c r="CU1456">
        <f t="shared" si="533"/>
        <v>1</v>
      </c>
    </row>
    <row r="1457" spans="1:99">
      <c r="A1457" t="str">
        <f>IF(包装物料出入库明细!$E1457="","",包装物料出入库明细!$E1457)</f>
        <v/>
      </c>
      <c r="B1457">
        <f t="shared" si="521"/>
        <v>0</v>
      </c>
      <c r="C1457">
        <f t="shared" si="522"/>
        <v>7</v>
      </c>
      <c r="D1457" t="str">
        <f>IF(包装物料出入库明细!$E1457="","",包装物料出入库明细!$F1457)</f>
        <v/>
      </c>
      <c r="E1457" t="str">
        <f>IF(包装物料出入库明细!$E1457="","",包装物料出入库明细!$G1457)</f>
        <v/>
      </c>
      <c r="K1457" t="str">
        <f>IF(包装物料出入库明细!$D1457="","",包装物料出入库明细!$D1457)</f>
        <v/>
      </c>
      <c r="L1457">
        <f t="shared" si="523"/>
        <v>0</v>
      </c>
      <c r="M1457">
        <f t="shared" si="524"/>
        <v>9</v>
      </c>
      <c r="Q1457" t="str">
        <f>IF(周转筐出入库明细!$D1458="","",周转筐出入库明细!$D1458)</f>
        <v/>
      </c>
      <c r="R1457">
        <f t="shared" si="525"/>
        <v>0</v>
      </c>
      <c r="S1457">
        <f t="shared" si="526"/>
        <v>5</v>
      </c>
      <c r="W1457" t="str">
        <f>IF(周转筐出入库明细!$C1458="","",周转筐出入库明细!$C1458)</f>
        <v/>
      </c>
      <c r="X1457">
        <f t="shared" si="527"/>
        <v>0</v>
      </c>
      <c r="Y1457">
        <f t="shared" si="528"/>
        <v>12</v>
      </c>
      <c r="AI1457" t="str">
        <f>IF(OR(对接源_01水果筐数!$B258="",LEFT(对接源_01水果筐数!$C258,2)&lt;&gt;"自备"),"",对接源_01水果筐数!$B258)</f>
        <v/>
      </c>
      <c r="AJ1457">
        <f t="shared" si="529"/>
        <v>0</v>
      </c>
      <c r="AK1457">
        <f t="shared" si="530"/>
        <v>6</v>
      </c>
      <c r="CP1457">
        <f>IF(包装物料出入库明细!$D1457="",0,1)</f>
        <v>0</v>
      </c>
      <c r="CQ1457">
        <f t="shared" si="531"/>
        <v>37</v>
      </c>
      <c r="CS1457" t="str">
        <f>IF(OR(周转筐出入库明细!$C1458="",周转筐出入库明细!$F1458&lt;&gt;"采购入库"),"",周转筐出入库明细!$C1458)</f>
        <v/>
      </c>
      <c r="CT1457">
        <f t="shared" si="532"/>
        <v>0</v>
      </c>
      <c r="CU1457">
        <f t="shared" si="533"/>
        <v>1</v>
      </c>
    </row>
    <row r="1458" spans="1:99">
      <c r="A1458" t="str">
        <f>IF(包装物料出入库明细!$E1458="","",包装物料出入库明细!$E1458)</f>
        <v/>
      </c>
      <c r="B1458">
        <f t="shared" si="521"/>
        <v>0</v>
      </c>
      <c r="C1458">
        <f t="shared" si="522"/>
        <v>7</v>
      </c>
      <c r="D1458" t="str">
        <f>IF(包装物料出入库明细!$E1458="","",包装物料出入库明细!$F1458)</f>
        <v/>
      </c>
      <c r="E1458" t="str">
        <f>IF(包装物料出入库明细!$E1458="","",包装物料出入库明细!$G1458)</f>
        <v/>
      </c>
      <c r="K1458" t="str">
        <f>IF(包装物料出入库明细!$D1458="","",包装物料出入库明细!$D1458)</f>
        <v/>
      </c>
      <c r="L1458">
        <f t="shared" si="523"/>
        <v>0</v>
      </c>
      <c r="M1458">
        <f t="shared" si="524"/>
        <v>9</v>
      </c>
      <c r="Q1458" t="str">
        <f>IF(周转筐出入库明细!$D1459="","",周转筐出入库明细!$D1459)</f>
        <v/>
      </c>
      <c r="R1458">
        <f t="shared" si="525"/>
        <v>0</v>
      </c>
      <c r="S1458">
        <f t="shared" si="526"/>
        <v>5</v>
      </c>
      <c r="W1458" t="str">
        <f>IF(周转筐出入库明细!$C1459="","",周转筐出入库明细!$C1459)</f>
        <v/>
      </c>
      <c r="X1458">
        <f t="shared" si="527"/>
        <v>0</v>
      </c>
      <c r="Y1458">
        <f t="shared" si="528"/>
        <v>12</v>
      </c>
      <c r="AI1458" t="str">
        <f>IF(OR(对接源_01水果筐数!$B259="",LEFT(对接源_01水果筐数!$C259,2)&lt;&gt;"自备"),"",对接源_01水果筐数!$B259)</f>
        <v/>
      </c>
      <c r="AJ1458">
        <f t="shared" si="529"/>
        <v>0</v>
      </c>
      <c r="AK1458">
        <f t="shared" si="530"/>
        <v>6</v>
      </c>
      <c r="CP1458">
        <f>IF(包装物料出入库明细!$D1458="",0,1)</f>
        <v>0</v>
      </c>
      <c r="CQ1458">
        <f t="shared" si="531"/>
        <v>37</v>
      </c>
      <c r="CS1458" t="str">
        <f>IF(OR(周转筐出入库明细!$C1459="",周转筐出入库明细!$F1459&lt;&gt;"采购入库"),"",周转筐出入库明细!$C1459)</f>
        <v/>
      </c>
      <c r="CT1458">
        <f t="shared" si="532"/>
        <v>0</v>
      </c>
      <c r="CU1458">
        <f t="shared" si="533"/>
        <v>1</v>
      </c>
    </row>
    <row r="1459" spans="1:99">
      <c r="A1459" t="str">
        <f>IF(包装物料出入库明细!$E1459="","",包装物料出入库明细!$E1459)</f>
        <v/>
      </c>
      <c r="B1459">
        <f t="shared" si="521"/>
        <v>0</v>
      </c>
      <c r="C1459">
        <f t="shared" si="522"/>
        <v>7</v>
      </c>
      <c r="D1459" t="str">
        <f>IF(包装物料出入库明细!$E1459="","",包装物料出入库明细!$F1459)</f>
        <v/>
      </c>
      <c r="E1459" t="str">
        <f>IF(包装物料出入库明细!$E1459="","",包装物料出入库明细!$G1459)</f>
        <v/>
      </c>
      <c r="K1459" t="str">
        <f>IF(包装物料出入库明细!$D1459="","",包装物料出入库明细!$D1459)</f>
        <v/>
      </c>
      <c r="L1459">
        <f t="shared" si="523"/>
        <v>0</v>
      </c>
      <c r="M1459">
        <f t="shared" si="524"/>
        <v>9</v>
      </c>
      <c r="Q1459" t="str">
        <f>IF(周转筐出入库明细!$D1460="","",周转筐出入库明细!$D1460)</f>
        <v/>
      </c>
      <c r="R1459">
        <f t="shared" si="525"/>
        <v>0</v>
      </c>
      <c r="S1459">
        <f t="shared" si="526"/>
        <v>5</v>
      </c>
      <c r="W1459" t="str">
        <f>IF(周转筐出入库明细!$C1460="","",周转筐出入库明细!$C1460)</f>
        <v/>
      </c>
      <c r="X1459">
        <f t="shared" si="527"/>
        <v>0</v>
      </c>
      <c r="Y1459">
        <f t="shared" si="528"/>
        <v>12</v>
      </c>
      <c r="AI1459" t="str">
        <f>IF(OR(对接源_01水果筐数!$B260="",LEFT(对接源_01水果筐数!$C260,2)&lt;&gt;"自备"),"",对接源_01水果筐数!$B260)</f>
        <v/>
      </c>
      <c r="AJ1459">
        <f t="shared" si="529"/>
        <v>0</v>
      </c>
      <c r="AK1459">
        <f t="shared" si="530"/>
        <v>6</v>
      </c>
      <c r="CP1459">
        <f>IF(包装物料出入库明细!$D1459="",0,1)</f>
        <v>0</v>
      </c>
      <c r="CQ1459">
        <f t="shared" si="531"/>
        <v>37</v>
      </c>
      <c r="CS1459" t="str">
        <f>IF(OR(周转筐出入库明细!$C1460="",周转筐出入库明细!$F1460&lt;&gt;"采购入库"),"",周转筐出入库明细!$C1460)</f>
        <v/>
      </c>
      <c r="CT1459">
        <f t="shared" si="532"/>
        <v>0</v>
      </c>
      <c r="CU1459">
        <f t="shared" si="533"/>
        <v>1</v>
      </c>
    </row>
    <row r="1460" spans="1:99">
      <c r="A1460" t="str">
        <f>IF(包装物料出入库明细!$E1460="","",包装物料出入库明细!$E1460)</f>
        <v/>
      </c>
      <c r="B1460">
        <f t="shared" si="521"/>
        <v>0</v>
      </c>
      <c r="C1460">
        <f t="shared" si="522"/>
        <v>7</v>
      </c>
      <c r="D1460" t="str">
        <f>IF(包装物料出入库明细!$E1460="","",包装物料出入库明细!$F1460)</f>
        <v/>
      </c>
      <c r="E1460" t="str">
        <f>IF(包装物料出入库明细!$E1460="","",包装物料出入库明细!$G1460)</f>
        <v/>
      </c>
      <c r="K1460" t="str">
        <f>IF(包装物料出入库明细!$D1460="","",包装物料出入库明细!$D1460)</f>
        <v/>
      </c>
      <c r="L1460">
        <f t="shared" si="523"/>
        <v>0</v>
      </c>
      <c r="M1460">
        <f t="shared" si="524"/>
        <v>9</v>
      </c>
      <c r="Q1460" t="str">
        <f>IF(周转筐出入库明细!$D1461="","",周转筐出入库明细!$D1461)</f>
        <v/>
      </c>
      <c r="R1460">
        <f t="shared" si="525"/>
        <v>0</v>
      </c>
      <c r="S1460">
        <f t="shared" si="526"/>
        <v>5</v>
      </c>
      <c r="W1460" t="str">
        <f>IF(周转筐出入库明细!$C1461="","",周转筐出入库明细!$C1461)</f>
        <v/>
      </c>
      <c r="X1460">
        <f t="shared" si="527"/>
        <v>0</v>
      </c>
      <c r="Y1460">
        <f t="shared" si="528"/>
        <v>12</v>
      </c>
      <c r="AI1460" t="str">
        <f>IF(OR(对接源_01水果筐数!$B261="",LEFT(对接源_01水果筐数!$C261,2)&lt;&gt;"自备"),"",对接源_01水果筐数!$B261)</f>
        <v/>
      </c>
      <c r="AJ1460">
        <f t="shared" si="529"/>
        <v>0</v>
      </c>
      <c r="AK1460">
        <f t="shared" si="530"/>
        <v>6</v>
      </c>
      <c r="CP1460">
        <f>IF(包装物料出入库明细!$D1460="",0,1)</f>
        <v>0</v>
      </c>
      <c r="CQ1460">
        <f t="shared" si="531"/>
        <v>37</v>
      </c>
      <c r="CS1460" t="str">
        <f>IF(OR(周转筐出入库明细!$C1461="",周转筐出入库明细!$F1461&lt;&gt;"采购入库"),"",周转筐出入库明细!$C1461)</f>
        <v/>
      </c>
      <c r="CT1460">
        <f t="shared" si="532"/>
        <v>0</v>
      </c>
      <c r="CU1460">
        <f t="shared" si="533"/>
        <v>1</v>
      </c>
    </row>
    <row r="1461" spans="1:99">
      <c r="A1461" t="str">
        <f>IF(包装物料出入库明细!$E1461="","",包装物料出入库明细!$E1461)</f>
        <v/>
      </c>
      <c r="B1461">
        <f t="shared" si="521"/>
        <v>0</v>
      </c>
      <c r="C1461">
        <f t="shared" si="522"/>
        <v>7</v>
      </c>
      <c r="D1461" t="str">
        <f>IF(包装物料出入库明细!$E1461="","",包装物料出入库明细!$F1461)</f>
        <v/>
      </c>
      <c r="E1461" t="str">
        <f>IF(包装物料出入库明细!$E1461="","",包装物料出入库明细!$G1461)</f>
        <v/>
      </c>
      <c r="K1461" t="str">
        <f>IF(包装物料出入库明细!$D1461="","",包装物料出入库明细!$D1461)</f>
        <v/>
      </c>
      <c r="L1461">
        <f t="shared" si="523"/>
        <v>0</v>
      </c>
      <c r="M1461">
        <f t="shared" si="524"/>
        <v>9</v>
      </c>
      <c r="Q1461" t="str">
        <f>IF(周转筐出入库明细!$D1462="","",周转筐出入库明细!$D1462)</f>
        <v/>
      </c>
      <c r="R1461">
        <f t="shared" si="525"/>
        <v>0</v>
      </c>
      <c r="S1461">
        <f t="shared" si="526"/>
        <v>5</v>
      </c>
      <c r="W1461" t="str">
        <f>IF(周转筐出入库明细!$C1462="","",周转筐出入库明细!$C1462)</f>
        <v/>
      </c>
      <c r="X1461">
        <f t="shared" si="527"/>
        <v>0</v>
      </c>
      <c r="Y1461">
        <f t="shared" si="528"/>
        <v>12</v>
      </c>
      <c r="AI1461" t="str">
        <f>IF(OR(对接源_01水果筐数!$B262="",LEFT(对接源_01水果筐数!$C262,2)&lt;&gt;"自备"),"",对接源_01水果筐数!$B262)</f>
        <v/>
      </c>
      <c r="AJ1461">
        <f t="shared" si="529"/>
        <v>0</v>
      </c>
      <c r="AK1461">
        <f t="shared" si="530"/>
        <v>6</v>
      </c>
      <c r="CP1461">
        <f>IF(包装物料出入库明细!$D1461="",0,1)</f>
        <v>0</v>
      </c>
      <c r="CQ1461">
        <f t="shared" si="531"/>
        <v>37</v>
      </c>
      <c r="CS1461" t="str">
        <f>IF(OR(周转筐出入库明细!$C1462="",周转筐出入库明细!$F1462&lt;&gt;"采购入库"),"",周转筐出入库明细!$C1462)</f>
        <v/>
      </c>
      <c r="CT1461">
        <f t="shared" si="532"/>
        <v>0</v>
      </c>
      <c r="CU1461">
        <f t="shared" si="533"/>
        <v>1</v>
      </c>
    </row>
    <row r="1462" spans="1:99">
      <c r="A1462" t="str">
        <f>IF(包装物料出入库明细!$E1462="","",包装物料出入库明细!$E1462)</f>
        <v/>
      </c>
      <c r="B1462">
        <f t="shared" si="521"/>
        <v>0</v>
      </c>
      <c r="C1462">
        <f t="shared" si="522"/>
        <v>7</v>
      </c>
      <c r="D1462" t="str">
        <f>IF(包装物料出入库明细!$E1462="","",包装物料出入库明细!$F1462)</f>
        <v/>
      </c>
      <c r="E1462" t="str">
        <f>IF(包装物料出入库明细!$E1462="","",包装物料出入库明细!$G1462)</f>
        <v/>
      </c>
      <c r="K1462" t="str">
        <f>IF(包装物料出入库明细!$D1462="","",包装物料出入库明细!$D1462)</f>
        <v/>
      </c>
      <c r="L1462">
        <f t="shared" si="523"/>
        <v>0</v>
      </c>
      <c r="M1462">
        <f t="shared" si="524"/>
        <v>9</v>
      </c>
      <c r="Q1462" t="str">
        <f>IF(周转筐出入库明细!$D1463="","",周转筐出入库明细!$D1463)</f>
        <v/>
      </c>
      <c r="R1462">
        <f t="shared" si="525"/>
        <v>0</v>
      </c>
      <c r="S1462">
        <f t="shared" si="526"/>
        <v>5</v>
      </c>
      <c r="W1462" t="str">
        <f>IF(周转筐出入库明细!$C1463="","",周转筐出入库明细!$C1463)</f>
        <v/>
      </c>
      <c r="X1462">
        <f t="shared" si="527"/>
        <v>0</v>
      </c>
      <c r="Y1462">
        <f t="shared" si="528"/>
        <v>12</v>
      </c>
      <c r="AI1462" t="str">
        <f>IF(OR(对接源_01水果筐数!$B263="",LEFT(对接源_01水果筐数!$C263,2)&lt;&gt;"自备"),"",对接源_01水果筐数!$B263)</f>
        <v/>
      </c>
      <c r="AJ1462">
        <f t="shared" si="529"/>
        <v>0</v>
      </c>
      <c r="AK1462">
        <f t="shared" si="530"/>
        <v>6</v>
      </c>
      <c r="CP1462">
        <f>IF(包装物料出入库明细!$D1462="",0,1)</f>
        <v>0</v>
      </c>
      <c r="CQ1462">
        <f t="shared" si="531"/>
        <v>37</v>
      </c>
      <c r="CS1462" t="str">
        <f>IF(OR(周转筐出入库明细!$C1463="",周转筐出入库明细!$F1463&lt;&gt;"采购入库"),"",周转筐出入库明细!$C1463)</f>
        <v/>
      </c>
      <c r="CT1462">
        <f t="shared" si="532"/>
        <v>0</v>
      </c>
      <c r="CU1462">
        <f t="shared" si="533"/>
        <v>1</v>
      </c>
    </row>
    <row r="1463" spans="1:99">
      <c r="A1463" t="str">
        <f>IF(包装物料出入库明细!$E1463="","",包装物料出入库明细!$E1463)</f>
        <v/>
      </c>
      <c r="B1463">
        <f t="shared" si="521"/>
        <v>0</v>
      </c>
      <c r="C1463">
        <f t="shared" si="522"/>
        <v>7</v>
      </c>
      <c r="D1463" t="str">
        <f>IF(包装物料出入库明细!$E1463="","",包装物料出入库明细!$F1463)</f>
        <v/>
      </c>
      <c r="E1463" t="str">
        <f>IF(包装物料出入库明细!$E1463="","",包装物料出入库明细!$G1463)</f>
        <v/>
      </c>
      <c r="K1463" t="str">
        <f>IF(包装物料出入库明细!$D1463="","",包装物料出入库明细!$D1463)</f>
        <v/>
      </c>
      <c r="L1463">
        <f t="shared" si="523"/>
        <v>0</v>
      </c>
      <c r="M1463">
        <f t="shared" si="524"/>
        <v>9</v>
      </c>
      <c r="Q1463" t="str">
        <f>IF(周转筐出入库明细!$D1464="","",周转筐出入库明细!$D1464)</f>
        <v/>
      </c>
      <c r="R1463">
        <f t="shared" si="525"/>
        <v>0</v>
      </c>
      <c r="S1463">
        <f t="shared" si="526"/>
        <v>5</v>
      </c>
      <c r="W1463" t="str">
        <f>IF(周转筐出入库明细!$C1464="","",周转筐出入库明细!$C1464)</f>
        <v/>
      </c>
      <c r="X1463">
        <f t="shared" si="527"/>
        <v>0</v>
      </c>
      <c r="Y1463">
        <f t="shared" si="528"/>
        <v>12</v>
      </c>
      <c r="AI1463" t="str">
        <f>IF(OR(对接源_01水果筐数!$B264="",LEFT(对接源_01水果筐数!$C264,2)&lt;&gt;"自备"),"",对接源_01水果筐数!$B264)</f>
        <v/>
      </c>
      <c r="AJ1463">
        <f t="shared" si="529"/>
        <v>0</v>
      </c>
      <c r="AK1463">
        <f t="shared" si="530"/>
        <v>6</v>
      </c>
      <c r="CP1463">
        <f>IF(包装物料出入库明细!$D1463="",0,1)</f>
        <v>0</v>
      </c>
      <c r="CQ1463">
        <f t="shared" si="531"/>
        <v>37</v>
      </c>
      <c r="CS1463" t="str">
        <f>IF(OR(周转筐出入库明细!$C1464="",周转筐出入库明细!$F1464&lt;&gt;"采购入库"),"",周转筐出入库明细!$C1464)</f>
        <v/>
      </c>
      <c r="CT1463">
        <f t="shared" si="532"/>
        <v>0</v>
      </c>
      <c r="CU1463">
        <f t="shared" si="533"/>
        <v>1</v>
      </c>
    </row>
    <row r="1464" spans="1:99">
      <c r="A1464" t="str">
        <f>IF(包装物料出入库明细!$E1464="","",包装物料出入库明细!$E1464)</f>
        <v/>
      </c>
      <c r="B1464">
        <f t="shared" si="521"/>
        <v>0</v>
      </c>
      <c r="C1464">
        <f t="shared" si="522"/>
        <v>7</v>
      </c>
      <c r="D1464" t="str">
        <f>IF(包装物料出入库明细!$E1464="","",包装物料出入库明细!$F1464)</f>
        <v/>
      </c>
      <c r="E1464" t="str">
        <f>IF(包装物料出入库明细!$E1464="","",包装物料出入库明细!$G1464)</f>
        <v/>
      </c>
      <c r="K1464" t="str">
        <f>IF(包装物料出入库明细!$D1464="","",包装物料出入库明细!$D1464)</f>
        <v/>
      </c>
      <c r="L1464">
        <f t="shared" si="523"/>
        <v>0</v>
      </c>
      <c r="M1464">
        <f t="shared" si="524"/>
        <v>9</v>
      </c>
      <c r="Q1464" t="str">
        <f>IF(周转筐出入库明细!$D1465="","",周转筐出入库明细!$D1465)</f>
        <v/>
      </c>
      <c r="R1464">
        <f t="shared" si="525"/>
        <v>0</v>
      </c>
      <c r="S1464">
        <f t="shared" si="526"/>
        <v>5</v>
      </c>
      <c r="W1464" t="str">
        <f>IF(周转筐出入库明细!$C1465="","",周转筐出入库明细!$C1465)</f>
        <v/>
      </c>
      <c r="X1464">
        <f t="shared" si="527"/>
        <v>0</v>
      </c>
      <c r="Y1464">
        <f t="shared" si="528"/>
        <v>12</v>
      </c>
      <c r="AI1464" t="str">
        <f>IF(OR(对接源_01水果筐数!$B265="",LEFT(对接源_01水果筐数!$C265,2)&lt;&gt;"自备"),"",对接源_01水果筐数!$B265)</f>
        <v/>
      </c>
      <c r="AJ1464">
        <f t="shared" si="529"/>
        <v>0</v>
      </c>
      <c r="AK1464">
        <f t="shared" si="530"/>
        <v>6</v>
      </c>
      <c r="CP1464">
        <f>IF(包装物料出入库明细!$D1464="",0,1)</f>
        <v>0</v>
      </c>
      <c r="CQ1464">
        <f t="shared" si="531"/>
        <v>37</v>
      </c>
      <c r="CS1464" t="str">
        <f>IF(OR(周转筐出入库明细!$C1465="",周转筐出入库明细!$F1465&lt;&gt;"采购入库"),"",周转筐出入库明细!$C1465)</f>
        <v/>
      </c>
      <c r="CT1464">
        <f t="shared" si="532"/>
        <v>0</v>
      </c>
      <c r="CU1464">
        <f t="shared" si="533"/>
        <v>1</v>
      </c>
    </row>
    <row r="1465" spans="1:99">
      <c r="A1465" t="str">
        <f>IF(包装物料出入库明细!$E1465="","",包装物料出入库明细!$E1465)</f>
        <v/>
      </c>
      <c r="B1465">
        <f t="shared" si="521"/>
        <v>0</v>
      </c>
      <c r="C1465">
        <f t="shared" si="522"/>
        <v>7</v>
      </c>
      <c r="D1465" t="str">
        <f>IF(包装物料出入库明细!$E1465="","",包装物料出入库明细!$F1465)</f>
        <v/>
      </c>
      <c r="E1465" t="str">
        <f>IF(包装物料出入库明细!$E1465="","",包装物料出入库明细!$G1465)</f>
        <v/>
      </c>
      <c r="K1465" t="str">
        <f>IF(包装物料出入库明细!$D1465="","",包装物料出入库明细!$D1465)</f>
        <v/>
      </c>
      <c r="L1465">
        <f t="shared" si="523"/>
        <v>0</v>
      </c>
      <c r="M1465">
        <f t="shared" si="524"/>
        <v>9</v>
      </c>
      <c r="Q1465" t="str">
        <f>IF(周转筐出入库明细!$D1466="","",周转筐出入库明细!$D1466)</f>
        <v/>
      </c>
      <c r="R1465">
        <f t="shared" si="525"/>
        <v>0</v>
      </c>
      <c r="S1465">
        <f t="shared" si="526"/>
        <v>5</v>
      </c>
      <c r="W1465" t="str">
        <f>IF(周转筐出入库明细!$C1466="","",周转筐出入库明细!$C1466)</f>
        <v/>
      </c>
      <c r="X1465">
        <f t="shared" si="527"/>
        <v>0</v>
      </c>
      <c r="Y1465">
        <f t="shared" si="528"/>
        <v>12</v>
      </c>
      <c r="AI1465" t="str">
        <f>IF(OR(对接源_01水果筐数!$B266="",LEFT(对接源_01水果筐数!$C266,2)&lt;&gt;"自备"),"",对接源_01水果筐数!$B266)</f>
        <v/>
      </c>
      <c r="AJ1465">
        <f t="shared" si="529"/>
        <v>0</v>
      </c>
      <c r="AK1465">
        <f t="shared" si="530"/>
        <v>6</v>
      </c>
      <c r="CP1465">
        <f>IF(包装物料出入库明细!$D1465="",0,1)</f>
        <v>0</v>
      </c>
      <c r="CQ1465">
        <f t="shared" si="531"/>
        <v>37</v>
      </c>
      <c r="CS1465" t="str">
        <f>IF(OR(周转筐出入库明细!$C1466="",周转筐出入库明细!$F1466&lt;&gt;"采购入库"),"",周转筐出入库明细!$C1466)</f>
        <v/>
      </c>
      <c r="CT1465">
        <f t="shared" si="532"/>
        <v>0</v>
      </c>
      <c r="CU1465">
        <f t="shared" si="533"/>
        <v>1</v>
      </c>
    </row>
    <row r="1466" spans="1:99">
      <c r="A1466" t="str">
        <f>IF(包装物料出入库明细!$E1466="","",包装物料出入库明细!$E1466)</f>
        <v/>
      </c>
      <c r="B1466">
        <f t="shared" si="521"/>
        <v>0</v>
      </c>
      <c r="C1466">
        <f t="shared" si="522"/>
        <v>7</v>
      </c>
      <c r="D1466" t="str">
        <f>IF(包装物料出入库明细!$E1466="","",包装物料出入库明细!$F1466)</f>
        <v/>
      </c>
      <c r="E1466" t="str">
        <f>IF(包装物料出入库明细!$E1466="","",包装物料出入库明细!$G1466)</f>
        <v/>
      </c>
      <c r="K1466" t="str">
        <f>IF(包装物料出入库明细!$D1466="","",包装物料出入库明细!$D1466)</f>
        <v/>
      </c>
      <c r="L1466">
        <f t="shared" si="523"/>
        <v>0</v>
      </c>
      <c r="M1466">
        <f t="shared" si="524"/>
        <v>9</v>
      </c>
      <c r="Q1466" t="str">
        <f>IF(周转筐出入库明细!$D1467="","",周转筐出入库明细!$D1467)</f>
        <v/>
      </c>
      <c r="R1466">
        <f t="shared" si="525"/>
        <v>0</v>
      </c>
      <c r="S1466">
        <f t="shared" si="526"/>
        <v>5</v>
      </c>
      <c r="W1466" t="str">
        <f>IF(周转筐出入库明细!$C1467="","",周转筐出入库明细!$C1467)</f>
        <v/>
      </c>
      <c r="X1466">
        <f t="shared" si="527"/>
        <v>0</v>
      </c>
      <c r="Y1466">
        <f t="shared" si="528"/>
        <v>12</v>
      </c>
      <c r="AI1466" t="str">
        <f>IF(OR(对接源_01水果筐数!$B267="",LEFT(对接源_01水果筐数!$C267,2)&lt;&gt;"自备"),"",对接源_01水果筐数!$B267)</f>
        <v/>
      </c>
      <c r="AJ1466">
        <f t="shared" si="529"/>
        <v>0</v>
      </c>
      <c r="AK1466">
        <f t="shared" si="530"/>
        <v>6</v>
      </c>
      <c r="CP1466">
        <f>IF(包装物料出入库明细!$D1466="",0,1)</f>
        <v>0</v>
      </c>
      <c r="CQ1466">
        <f t="shared" si="531"/>
        <v>37</v>
      </c>
      <c r="CS1466" t="str">
        <f>IF(OR(周转筐出入库明细!$C1467="",周转筐出入库明细!$F1467&lt;&gt;"采购入库"),"",周转筐出入库明细!$C1467)</f>
        <v/>
      </c>
      <c r="CT1466">
        <f t="shared" si="532"/>
        <v>0</v>
      </c>
      <c r="CU1466">
        <f t="shared" si="533"/>
        <v>1</v>
      </c>
    </row>
    <row r="1467" spans="1:99">
      <c r="A1467" t="str">
        <f>IF(包装物料出入库明细!$E1467="","",包装物料出入库明细!$E1467)</f>
        <v/>
      </c>
      <c r="B1467">
        <f t="shared" si="521"/>
        <v>0</v>
      </c>
      <c r="C1467">
        <f t="shared" si="522"/>
        <v>7</v>
      </c>
      <c r="D1467" t="str">
        <f>IF(包装物料出入库明细!$E1467="","",包装物料出入库明细!$F1467)</f>
        <v/>
      </c>
      <c r="E1467" t="str">
        <f>IF(包装物料出入库明细!$E1467="","",包装物料出入库明细!$G1467)</f>
        <v/>
      </c>
      <c r="K1467" t="str">
        <f>IF(包装物料出入库明细!$D1467="","",包装物料出入库明细!$D1467)</f>
        <v/>
      </c>
      <c r="L1467">
        <f t="shared" si="523"/>
        <v>0</v>
      </c>
      <c r="M1467">
        <f t="shared" si="524"/>
        <v>9</v>
      </c>
      <c r="Q1467" t="str">
        <f>IF(周转筐出入库明细!$D1468="","",周转筐出入库明细!$D1468)</f>
        <v/>
      </c>
      <c r="R1467">
        <f t="shared" si="525"/>
        <v>0</v>
      </c>
      <c r="S1467">
        <f t="shared" si="526"/>
        <v>5</v>
      </c>
      <c r="W1467" t="str">
        <f>IF(周转筐出入库明细!$C1468="","",周转筐出入库明细!$C1468)</f>
        <v/>
      </c>
      <c r="X1467">
        <f t="shared" si="527"/>
        <v>0</v>
      </c>
      <c r="Y1467">
        <f t="shared" si="528"/>
        <v>12</v>
      </c>
      <c r="AI1467" t="str">
        <f>IF(OR(对接源_01水果筐数!$B268="",LEFT(对接源_01水果筐数!$C268,2)&lt;&gt;"自备"),"",对接源_01水果筐数!$B268)</f>
        <v/>
      </c>
      <c r="AJ1467">
        <f t="shared" si="529"/>
        <v>0</v>
      </c>
      <c r="AK1467">
        <f t="shared" si="530"/>
        <v>6</v>
      </c>
      <c r="CP1467">
        <f>IF(包装物料出入库明细!$D1467="",0,1)</f>
        <v>0</v>
      </c>
      <c r="CQ1467">
        <f t="shared" si="531"/>
        <v>37</v>
      </c>
      <c r="CS1467" t="str">
        <f>IF(OR(周转筐出入库明细!$C1468="",周转筐出入库明细!$F1468&lt;&gt;"采购入库"),"",周转筐出入库明细!$C1468)</f>
        <v/>
      </c>
      <c r="CT1467">
        <f t="shared" si="532"/>
        <v>0</v>
      </c>
      <c r="CU1467">
        <f t="shared" si="533"/>
        <v>1</v>
      </c>
    </row>
    <row r="1468" spans="1:99">
      <c r="A1468" t="str">
        <f>IF(包装物料出入库明细!$E1468="","",包装物料出入库明细!$E1468)</f>
        <v/>
      </c>
      <c r="B1468">
        <f t="shared" si="521"/>
        <v>0</v>
      </c>
      <c r="C1468">
        <f t="shared" si="522"/>
        <v>7</v>
      </c>
      <c r="D1468" t="str">
        <f>IF(包装物料出入库明细!$E1468="","",包装物料出入库明细!$F1468)</f>
        <v/>
      </c>
      <c r="E1468" t="str">
        <f>IF(包装物料出入库明细!$E1468="","",包装物料出入库明细!$G1468)</f>
        <v/>
      </c>
      <c r="K1468" t="str">
        <f>IF(包装物料出入库明细!$D1468="","",包装物料出入库明细!$D1468)</f>
        <v/>
      </c>
      <c r="L1468">
        <f t="shared" si="523"/>
        <v>0</v>
      </c>
      <c r="M1468">
        <f t="shared" si="524"/>
        <v>9</v>
      </c>
      <c r="Q1468" t="str">
        <f>IF(周转筐出入库明细!$D1469="","",周转筐出入库明细!$D1469)</f>
        <v/>
      </c>
      <c r="R1468">
        <f t="shared" si="525"/>
        <v>0</v>
      </c>
      <c r="S1468">
        <f t="shared" si="526"/>
        <v>5</v>
      </c>
      <c r="W1468" t="str">
        <f>IF(周转筐出入库明细!$C1469="","",周转筐出入库明细!$C1469)</f>
        <v/>
      </c>
      <c r="X1468">
        <f t="shared" si="527"/>
        <v>0</v>
      </c>
      <c r="Y1468">
        <f t="shared" si="528"/>
        <v>12</v>
      </c>
      <c r="AI1468" t="str">
        <f>IF(OR(对接源_01水果筐数!$B269="",LEFT(对接源_01水果筐数!$C269,2)&lt;&gt;"自备"),"",对接源_01水果筐数!$B269)</f>
        <v/>
      </c>
      <c r="AJ1468">
        <f t="shared" si="529"/>
        <v>0</v>
      </c>
      <c r="AK1468">
        <f t="shared" si="530"/>
        <v>6</v>
      </c>
      <c r="CP1468">
        <f>IF(包装物料出入库明细!$D1468="",0,1)</f>
        <v>0</v>
      </c>
      <c r="CQ1468">
        <f t="shared" si="531"/>
        <v>37</v>
      </c>
      <c r="CS1468" t="str">
        <f>IF(OR(周转筐出入库明细!$C1469="",周转筐出入库明细!$F1469&lt;&gt;"采购入库"),"",周转筐出入库明细!$C1469)</f>
        <v/>
      </c>
      <c r="CT1468">
        <f t="shared" si="532"/>
        <v>0</v>
      </c>
      <c r="CU1468">
        <f t="shared" si="533"/>
        <v>1</v>
      </c>
    </row>
    <row r="1469" spans="1:99">
      <c r="A1469" t="str">
        <f>IF(包装物料出入库明细!$E1469="","",包装物料出入库明细!$E1469)</f>
        <v/>
      </c>
      <c r="B1469">
        <f t="shared" si="521"/>
        <v>0</v>
      </c>
      <c r="C1469">
        <f t="shared" si="522"/>
        <v>7</v>
      </c>
      <c r="D1469" t="str">
        <f>IF(包装物料出入库明细!$E1469="","",包装物料出入库明细!$F1469)</f>
        <v/>
      </c>
      <c r="E1469" t="str">
        <f>IF(包装物料出入库明细!$E1469="","",包装物料出入库明细!$G1469)</f>
        <v/>
      </c>
      <c r="K1469" t="str">
        <f>IF(包装物料出入库明细!$D1469="","",包装物料出入库明细!$D1469)</f>
        <v/>
      </c>
      <c r="L1469">
        <f t="shared" si="523"/>
        <v>0</v>
      </c>
      <c r="M1469">
        <f t="shared" si="524"/>
        <v>9</v>
      </c>
      <c r="Q1469" t="str">
        <f>IF(周转筐出入库明细!$D1470="","",周转筐出入库明细!$D1470)</f>
        <v/>
      </c>
      <c r="R1469">
        <f t="shared" si="525"/>
        <v>0</v>
      </c>
      <c r="S1469">
        <f t="shared" si="526"/>
        <v>5</v>
      </c>
      <c r="W1469" t="str">
        <f>IF(周转筐出入库明细!$C1470="","",周转筐出入库明细!$C1470)</f>
        <v/>
      </c>
      <c r="X1469">
        <f t="shared" si="527"/>
        <v>0</v>
      </c>
      <c r="Y1469">
        <f t="shared" si="528"/>
        <v>12</v>
      </c>
      <c r="AI1469" t="str">
        <f>IF(OR(对接源_01水果筐数!$B270="",LEFT(对接源_01水果筐数!$C270,2)&lt;&gt;"自备"),"",对接源_01水果筐数!$B270)</f>
        <v/>
      </c>
      <c r="AJ1469">
        <f t="shared" si="529"/>
        <v>0</v>
      </c>
      <c r="AK1469">
        <f t="shared" si="530"/>
        <v>6</v>
      </c>
      <c r="CP1469">
        <f>IF(包装物料出入库明细!$D1469="",0,1)</f>
        <v>0</v>
      </c>
      <c r="CQ1469">
        <f t="shared" si="531"/>
        <v>37</v>
      </c>
      <c r="CS1469" t="str">
        <f>IF(OR(周转筐出入库明细!$C1470="",周转筐出入库明细!$F1470&lt;&gt;"采购入库"),"",周转筐出入库明细!$C1470)</f>
        <v/>
      </c>
      <c r="CT1469">
        <f t="shared" si="532"/>
        <v>0</v>
      </c>
      <c r="CU1469">
        <f t="shared" si="533"/>
        <v>1</v>
      </c>
    </row>
    <row r="1470" spans="1:99">
      <c r="A1470" t="str">
        <f>IF(包装物料出入库明细!$E1470="","",包装物料出入库明细!$E1470)</f>
        <v/>
      </c>
      <c r="B1470">
        <f t="shared" si="521"/>
        <v>0</v>
      </c>
      <c r="C1470">
        <f t="shared" si="522"/>
        <v>7</v>
      </c>
      <c r="D1470" t="str">
        <f>IF(包装物料出入库明细!$E1470="","",包装物料出入库明细!$F1470)</f>
        <v/>
      </c>
      <c r="E1470" t="str">
        <f>IF(包装物料出入库明细!$E1470="","",包装物料出入库明细!$G1470)</f>
        <v/>
      </c>
      <c r="K1470" t="str">
        <f>IF(包装物料出入库明细!$D1470="","",包装物料出入库明细!$D1470)</f>
        <v/>
      </c>
      <c r="L1470">
        <f t="shared" si="523"/>
        <v>0</v>
      </c>
      <c r="M1470">
        <f t="shared" si="524"/>
        <v>9</v>
      </c>
      <c r="Q1470" t="str">
        <f>IF(周转筐出入库明细!$D1471="","",周转筐出入库明细!$D1471)</f>
        <v/>
      </c>
      <c r="R1470">
        <f t="shared" si="525"/>
        <v>0</v>
      </c>
      <c r="S1470">
        <f t="shared" si="526"/>
        <v>5</v>
      </c>
      <c r="W1470" t="str">
        <f>IF(周转筐出入库明细!$C1471="","",周转筐出入库明细!$C1471)</f>
        <v/>
      </c>
      <c r="X1470">
        <f t="shared" si="527"/>
        <v>0</v>
      </c>
      <c r="Y1470">
        <f t="shared" si="528"/>
        <v>12</v>
      </c>
      <c r="AI1470" t="str">
        <f>IF(OR(对接源_01水果筐数!$B271="",LEFT(对接源_01水果筐数!$C271,2)&lt;&gt;"自备"),"",对接源_01水果筐数!$B271)</f>
        <v/>
      </c>
      <c r="AJ1470">
        <f t="shared" si="529"/>
        <v>0</v>
      </c>
      <c r="AK1470">
        <f t="shared" si="530"/>
        <v>6</v>
      </c>
      <c r="CP1470">
        <f>IF(包装物料出入库明细!$D1470="",0,1)</f>
        <v>0</v>
      </c>
      <c r="CQ1470">
        <f t="shared" si="531"/>
        <v>37</v>
      </c>
      <c r="CS1470" t="str">
        <f>IF(OR(周转筐出入库明细!$C1471="",周转筐出入库明细!$F1471&lt;&gt;"采购入库"),"",周转筐出入库明细!$C1471)</f>
        <v/>
      </c>
      <c r="CT1470">
        <f t="shared" si="532"/>
        <v>0</v>
      </c>
      <c r="CU1470">
        <f t="shared" si="533"/>
        <v>1</v>
      </c>
    </row>
    <row r="1471" spans="1:99">
      <c r="A1471" t="str">
        <f>IF(包装物料出入库明细!$E1471="","",包装物料出入库明细!$E1471)</f>
        <v/>
      </c>
      <c r="B1471">
        <f t="shared" si="521"/>
        <v>0</v>
      </c>
      <c r="C1471">
        <f t="shared" si="522"/>
        <v>7</v>
      </c>
      <c r="D1471" t="str">
        <f>IF(包装物料出入库明细!$E1471="","",包装物料出入库明细!$F1471)</f>
        <v/>
      </c>
      <c r="E1471" t="str">
        <f>IF(包装物料出入库明细!$E1471="","",包装物料出入库明细!$G1471)</f>
        <v/>
      </c>
      <c r="K1471" t="str">
        <f>IF(包装物料出入库明细!$D1471="","",包装物料出入库明细!$D1471)</f>
        <v/>
      </c>
      <c r="L1471">
        <f t="shared" si="523"/>
        <v>0</v>
      </c>
      <c r="M1471">
        <f t="shared" si="524"/>
        <v>9</v>
      </c>
      <c r="Q1471" t="str">
        <f>IF(周转筐出入库明细!$D1472="","",周转筐出入库明细!$D1472)</f>
        <v/>
      </c>
      <c r="R1471">
        <f t="shared" si="525"/>
        <v>0</v>
      </c>
      <c r="S1471">
        <f t="shared" si="526"/>
        <v>5</v>
      </c>
      <c r="W1471" t="str">
        <f>IF(周转筐出入库明细!$C1472="","",周转筐出入库明细!$C1472)</f>
        <v/>
      </c>
      <c r="X1471">
        <f t="shared" si="527"/>
        <v>0</v>
      </c>
      <c r="Y1471">
        <f t="shared" si="528"/>
        <v>12</v>
      </c>
      <c r="AI1471" t="str">
        <f>IF(OR(对接源_01水果筐数!$B272="",LEFT(对接源_01水果筐数!$C272,2)&lt;&gt;"自备"),"",对接源_01水果筐数!$B272)</f>
        <v/>
      </c>
      <c r="AJ1471">
        <f t="shared" si="529"/>
        <v>0</v>
      </c>
      <c r="AK1471">
        <f t="shared" si="530"/>
        <v>6</v>
      </c>
      <c r="CP1471">
        <f>IF(包装物料出入库明细!$D1471="",0,1)</f>
        <v>0</v>
      </c>
      <c r="CQ1471">
        <f t="shared" si="531"/>
        <v>37</v>
      </c>
      <c r="CS1471" t="str">
        <f>IF(OR(周转筐出入库明细!$C1472="",周转筐出入库明细!$F1472&lt;&gt;"采购入库"),"",周转筐出入库明细!$C1472)</f>
        <v/>
      </c>
      <c r="CT1471">
        <f t="shared" si="532"/>
        <v>0</v>
      </c>
      <c r="CU1471">
        <f t="shared" si="533"/>
        <v>1</v>
      </c>
    </row>
    <row r="1472" spans="1:99">
      <c r="A1472" t="str">
        <f>IF(包装物料出入库明细!$E1472="","",包装物料出入库明细!$E1472)</f>
        <v/>
      </c>
      <c r="B1472">
        <f t="shared" si="521"/>
        <v>0</v>
      </c>
      <c r="C1472">
        <f t="shared" si="522"/>
        <v>7</v>
      </c>
      <c r="D1472" t="str">
        <f>IF(包装物料出入库明细!$E1472="","",包装物料出入库明细!$F1472)</f>
        <v/>
      </c>
      <c r="E1472" t="str">
        <f>IF(包装物料出入库明细!$E1472="","",包装物料出入库明细!$G1472)</f>
        <v/>
      </c>
      <c r="K1472" t="str">
        <f>IF(包装物料出入库明细!$D1472="","",包装物料出入库明细!$D1472)</f>
        <v/>
      </c>
      <c r="L1472">
        <f t="shared" si="523"/>
        <v>0</v>
      </c>
      <c r="M1472">
        <f t="shared" si="524"/>
        <v>9</v>
      </c>
      <c r="Q1472" t="str">
        <f>IF(周转筐出入库明细!$D1473="","",周转筐出入库明细!$D1473)</f>
        <v/>
      </c>
      <c r="R1472">
        <f t="shared" si="525"/>
        <v>0</v>
      </c>
      <c r="S1472">
        <f t="shared" si="526"/>
        <v>5</v>
      </c>
      <c r="W1472" t="str">
        <f>IF(周转筐出入库明细!$C1473="","",周转筐出入库明细!$C1473)</f>
        <v/>
      </c>
      <c r="X1472">
        <f t="shared" si="527"/>
        <v>0</v>
      </c>
      <c r="Y1472">
        <f t="shared" si="528"/>
        <v>12</v>
      </c>
      <c r="AI1472" t="str">
        <f>IF(OR(对接源_01水果筐数!$B273="",LEFT(对接源_01水果筐数!$C273,2)&lt;&gt;"自备"),"",对接源_01水果筐数!$B273)</f>
        <v/>
      </c>
      <c r="AJ1472">
        <f t="shared" si="529"/>
        <v>0</v>
      </c>
      <c r="AK1472">
        <f t="shared" si="530"/>
        <v>6</v>
      </c>
      <c r="CP1472">
        <f>IF(包装物料出入库明细!$D1472="",0,1)</f>
        <v>0</v>
      </c>
      <c r="CQ1472">
        <f t="shared" si="531"/>
        <v>37</v>
      </c>
      <c r="CS1472" t="str">
        <f>IF(OR(周转筐出入库明细!$C1473="",周转筐出入库明细!$F1473&lt;&gt;"采购入库"),"",周转筐出入库明细!$C1473)</f>
        <v/>
      </c>
      <c r="CT1472">
        <f t="shared" si="532"/>
        <v>0</v>
      </c>
      <c r="CU1472">
        <f t="shared" si="533"/>
        <v>1</v>
      </c>
    </row>
    <row r="1473" spans="1:99">
      <c r="A1473" t="str">
        <f>IF(包装物料出入库明细!$E1473="","",包装物料出入库明细!$E1473)</f>
        <v/>
      </c>
      <c r="B1473">
        <f t="shared" si="521"/>
        <v>0</v>
      </c>
      <c r="C1473">
        <f t="shared" si="522"/>
        <v>7</v>
      </c>
      <c r="D1473" t="str">
        <f>IF(包装物料出入库明细!$E1473="","",包装物料出入库明细!$F1473)</f>
        <v/>
      </c>
      <c r="E1473" t="str">
        <f>IF(包装物料出入库明细!$E1473="","",包装物料出入库明细!$G1473)</f>
        <v/>
      </c>
      <c r="K1473" t="str">
        <f>IF(包装物料出入库明细!$D1473="","",包装物料出入库明细!$D1473)</f>
        <v/>
      </c>
      <c r="L1473">
        <f t="shared" si="523"/>
        <v>0</v>
      </c>
      <c r="M1473">
        <f t="shared" si="524"/>
        <v>9</v>
      </c>
      <c r="Q1473" t="str">
        <f>IF(周转筐出入库明细!$D1474="","",周转筐出入库明细!$D1474)</f>
        <v/>
      </c>
      <c r="R1473">
        <f t="shared" si="525"/>
        <v>0</v>
      </c>
      <c r="S1473">
        <f t="shared" si="526"/>
        <v>5</v>
      </c>
      <c r="W1473" t="str">
        <f>IF(周转筐出入库明细!$C1474="","",周转筐出入库明细!$C1474)</f>
        <v/>
      </c>
      <c r="X1473">
        <f t="shared" si="527"/>
        <v>0</v>
      </c>
      <c r="Y1473">
        <f t="shared" si="528"/>
        <v>12</v>
      </c>
      <c r="AI1473" t="str">
        <f>IF(OR(对接源_01水果筐数!$B274="",LEFT(对接源_01水果筐数!$C274,2)&lt;&gt;"自备"),"",对接源_01水果筐数!$B274)</f>
        <v/>
      </c>
      <c r="AJ1473">
        <f t="shared" si="529"/>
        <v>0</v>
      </c>
      <c r="AK1473">
        <f t="shared" si="530"/>
        <v>6</v>
      </c>
      <c r="CP1473">
        <f>IF(包装物料出入库明细!$D1473="",0,1)</f>
        <v>0</v>
      </c>
      <c r="CQ1473">
        <f t="shared" si="531"/>
        <v>37</v>
      </c>
      <c r="CS1473" t="str">
        <f>IF(OR(周转筐出入库明细!$C1474="",周转筐出入库明细!$F1474&lt;&gt;"采购入库"),"",周转筐出入库明细!$C1474)</f>
        <v/>
      </c>
      <c r="CT1473">
        <f t="shared" si="532"/>
        <v>0</v>
      </c>
      <c r="CU1473">
        <f t="shared" si="533"/>
        <v>1</v>
      </c>
    </row>
    <row r="1474" spans="1:99">
      <c r="A1474" t="str">
        <f>IF(包装物料出入库明细!$E1474="","",包装物料出入库明细!$E1474)</f>
        <v/>
      </c>
      <c r="B1474">
        <f t="shared" si="521"/>
        <v>0</v>
      </c>
      <c r="C1474">
        <f t="shared" si="522"/>
        <v>7</v>
      </c>
      <c r="D1474" t="str">
        <f>IF(包装物料出入库明细!$E1474="","",包装物料出入库明细!$F1474)</f>
        <v/>
      </c>
      <c r="E1474" t="str">
        <f>IF(包装物料出入库明细!$E1474="","",包装物料出入库明细!$G1474)</f>
        <v/>
      </c>
      <c r="K1474" t="str">
        <f>IF(包装物料出入库明细!$D1474="","",包装物料出入库明细!$D1474)</f>
        <v/>
      </c>
      <c r="L1474">
        <f t="shared" si="523"/>
        <v>0</v>
      </c>
      <c r="M1474">
        <f t="shared" si="524"/>
        <v>9</v>
      </c>
      <c r="Q1474" t="str">
        <f>IF(周转筐出入库明细!$D1475="","",周转筐出入库明细!$D1475)</f>
        <v/>
      </c>
      <c r="R1474">
        <f t="shared" si="525"/>
        <v>0</v>
      </c>
      <c r="S1474">
        <f t="shared" si="526"/>
        <v>5</v>
      </c>
      <c r="W1474" t="str">
        <f>IF(周转筐出入库明细!$C1475="","",周转筐出入库明细!$C1475)</f>
        <v/>
      </c>
      <c r="X1474">
        <f t="shared" si="527"/>
        <v>0</v>
      </c>
      <c r="Y1474">
        <f t="shared" si="528"/>
        <v>12</v>
      </c>
      <c r="AI1474" t="str">
        <f>IF(OR(对接源_01水果筐数!$B275="",LEFT(对接源_01水果筐数!$C275,2)&lt;&gt;"自备"),"",对接源_01水果筐数!$B275)</f>
        <v/>
      </c>
      <c r="AJ1474">
        <f t="shared" si="529"/>
        <v>0</v>
      </c>
      <c r="AK1474">
        <f t="shared" si="530"/>
        <v>6</v>
      </c>
      <c r="CP1474">
        <f>IF(包装物料出入库明细!$D1474="",0,1)</f>
        <v>0</v>
      </c>
      <c r="CQ1474">
        <f t="shared" si="531"/>
        <v>37</v>
      </c>
      <c r="CS1474" t="str">
        <f>IF(OR(周转筐出入库明细!$C1475="",周转筐出入库明细!$F1475&lt;&gt;"采购入库"),"",周转筐出入库明细!$C1475)</f>
        <v/>
      </c>
      <c r="CT1474">
        <f t="shared" si="532"/>
        <v>0</v>
      </c>
      <c r="CU1474">
        <f t="shared" si="533"/>
        <v>1</v>
      </c>
    </row>
    <row r="1475" spans="1:99">
      <c r="A1475" t="str">
        <f>IF(包装物料出入库明细!$E1475="","",包装物料出入库明细!$E1475)</f>
        <v/>
      </c>
      <c r="B1475">
        <f t="shared" si="521"/>
        <v>0</v>
      </c>
      <c r="C1475">
        <f t="shared" si="522"/>
        <v>7</v>
      </c>
      <c r="D1475" t="str">
        <f>IF(包装物料出入库明细!$E1475="","",包装物料出入库明细!$F1475)</f>
        <v/>
      </c>
      <c r="E1475" t="str">
        <f>IF(包装物料出入库明细!$E1475="","",包装物料出入库明细!$G1475)</f>
        <v/>
      </c>
      <c r="K1475" t="str">
        <f>IF(包装物料出入库明细!$D1475="","",包装物料出入库明细!$D1475)</f>
        <v/>
      </c>
      <c r="L1475">
        <f t="shared" si="523"/>
        <v>0</v>
      </c>
      <c r="M1475">
        <f t="shared" si="524"/>
        <v>9</v>
      </c>
      <c r="Q1475" t="str">
        <f>IF(周转筐出入库明细!$D1476="","",周转筐出入库明细!$D1476)</f>
        <v/>
      </c>
      <c r="R1475">
        <f t="shared" si="525"/>
        <v>0</v>
      </c>
      <c r="S1475">
        <f t="shared" si="526"/>
        <v>5</v>
      </c>
      <c r="W1475" t="str">
        <f>IF(周转筐出入库明细!$C1476="","",周转筐出入库明细!$C1476)</f>
        <v/>
      </c>
      <c r="X1475">
        <f t="shared" si="527"/>
        <v>0</v>
      </c>
      <c r="Y1475">
        <f t="shared" si="528"/>
        <v>12</v>
      </c>
      <c r="AI1475" t="str">
        <f>IF(OR(对接源_01水果筐数!$B276="",LEFT(对接源_01水果筐数!$C276,2)&lt;&gt;"自备"),"",对接源_01水果筐数!$B276)</f>
        <v/>
      </c>
      <c r="AJ1475">
        <f t="shared" si="529"/>
        <v>0</v>
      </c>
      <c r="AK1475">
        <f t="shared" si="530"/>
        <v>6</v>
      </c>
      <c r="CP1475">
        <f>IF(包装物料出入库明细!$D1475="",0,1)</f>
        <v>0</v>
      </c>
      <c r="CQ1475">
        <f t="shared" si="531"/>
        <v>37</v>
      </c>
      <c r="CS1475" t="str">
        <f>IF(OR(周转筐出入库明细!$C1476="",周转筐出入库明细!$F1476&lt;&gt;"采购入库"),"",周转筐出入库明细!$C1476)</f>
        <v/>
      </c>
      <c r="CT1475">
        <f t="shared" si="532"/>
        <v>0</v>
      </c>
      <c r="CU1475">
        <f t="shared" si="533"/>
        <v>1</v>
      </c>
    </row>
    <row r="1476" spans="1:99">
      <c r="A1476" t="str">
        <f>IF(包装物料出入库明细!$E1476="","",包装物料出入库明细!$E1476)</f>
        <v/>
      </c>
      <c r="B1476">
        <f t="shared" ref="B1476:B1539" si="534">IF(A1476="",0,IF(MATCH(A1476,$A$4:$A$2003,0)=ROW()-3,1,0))</f>
        <v>0</v>
      </c>
      <c r="C1476">
        <f t="shared" ref="C1476:C1539" si="535">N(C1475)+B1476</f>
        <v>7</v>
      </c>
      <c r="D1476" t="str">
        <f>IF(包装物料出入库明细!$E1476="","",包装物料出入库明细!$F1476)</f>
        <v/>
      </c>
      <c r="E1476" t="str">
        <f>IF(包装物料出入库明细!$E1476="","",包装物料出入库明细!$G1476)</f>
        <v/>
      </c>
      <c r="K1476" t="str">
        <f>IF(包装物料出入库明细!$D1476="","",包装物料出入库明细!$D1476)</f>
        <v/>
      </c>
      <c r="L1476">
        <f t="shared" ref="L1476:L1539" si="536">IF(K1476="",0,IF(MATCH(K1476,$K$4:$K$2003,0)=ROW()-3,1,0))</f>
        <v>0</v>
      </c>
      <c r="M1476">
        <f t="shared" ref="M1476:M1539" si="537">N(M1475)+L1476</f>
        <v>9</v>
      </c>
      <c r="Q1476" t="str">
        <f>IF(周转筐出入库明细!$D1477="","",周转筐出入库明细!$D1477)</f>
        <v/>
      </c>
      <c r="R1476">
        <f t="shared" ref="R1476:R1539" si="538">IF(Q1476="",0,IF(MATCH(Q1476,$Q$4:$Q$2003,0)=ROW()-3,1,0))</f>
        <v>0</v>
      </c>
      <c r="S1476">
        <f t="shared" ref="S1476:S1539" si="539">N(S1475)+R1476</f>
        <v>5</v>
      </c>
      <c r="W1476" t="str">
        <f>IF(周转筐出入库明细!$C1477="","",周转筐出入库明细!$C1477)</f>
        <v/>
      </c>
      <c r="X1476">
        <f t="shared" ref="X1476:X1539" si="540">IF(W1476="",0,IF(MATCH(W1476,$W$4:$W$2003,0)=ROW()-3,1,0))</f>
        <v>0</v>
      </c>
      <c r="Y1476">
        <f t="shared" ref="Y1476:Y1539" si="541">N(Y1475)+X1476</f>
        <v>12</v>
      </c>
      <c r="AI1476" t="str">
        <f>IF(OR(对接源_01水果筐数!$B277="",LEFT(对接源_01水果筐数!$C277,2)&lt;&gt;"自备"),"",对接源_01水果筐数!$B277)</f>
        <v/>
      </c>
      <c r="AJ1476">
        <f t="shared" ref="AJ1476:AJ1503" si="542">IF(AI1476="",0,IF(MATCH(AI1476,$AI$4:$AI$1503,0)=ROW()-3,1,0))</f>
        <v>0</v>
      </c>
      <c r="AK1476">
        <f t="shared" ref="AK1476:AK1503" si="543">N(AK1475)+AJ1476</f>
        <v>6</v>
      </c>
      <c r="CP1476">
        <f>IF(包装物料出入库明细!$D1476="",0,1)</f>
        <v>0</v>
      </c>
      <c r="CQ1476">
        <f t="shared" ref="CQ1476:CQ1539" si="544">N(CQ1475)+$CP1476</f>
        <v>37</v>
      </c>
      <c r="CS1476" t="str">
        <f>IF(OR(周转筐出入库明细!$C1477="",周转筐出入库明细!$F1477&lt;&gt;"采购入库"),"",周转筐出入库明细!$C1477)</f>
        <v/>
      </c>
      <c r="CT1476">
        <f t="shared" ref="CT1476:CT1539" si="545">IF(CS1476="",0,IF(MATCH(CS1476,$CS$4:$CS$2003,0)=ROW()-3,1,0))</f>
        <v>0</v>
      </c>
      <c r="CU1476">
        <f t="shared" ref="CU1476:CU1539" si="546">N(CU1475)+CT1476</f>
        <v>1</v>
      </c>
    </row>
    <row r="1477" spans="1:99">
      <c r="A1477" t="str">
        <f>IF(包装物料出入库明细!$E1477="","",包装物料出入库明细!$E1477)</f>
        <v/>
      </c>
      <c r="B1477">
        <f t="shared" si="534"/>
        <v>0</v>
      </c>
      <c r="C1477">
        <f t="shared" si="535"/>
        <v>7</v>
      </c>
      <c r="D1477" t="str">
        <f>IF(包装物料出入库明细!$E1477="","",包装物料出入库明细!$F1477)</f>
        <v/>
      </c>
      <c r="E1477" t="str">
        <f>IF(包装物料出入库明细!$E1477="","",包装物料出入库明细!$G1477)</f>
        <v/>
      </c>
      <c r="K1477" t="str">
        <f>IF(包装物料出入库明细!$D1477="","",包装物料出入库明细!$D1477)</f>
        <v/>
      </c>
      <c r="L1477">
        <f t="shared" si="536"/>
        <v>0</v>
      </c>
      <c r="M1477">
        <f t="shared" si="537"/>
        <v>9</v>
      </c>
      <c r="Q1477" t="str">
        <f>IF(周转筐出入库明细!$D1478="","",周转筐出入库明细!$D1478)</f>
        <v/>
      </c>
      <c r="R1477">
        <f t="shared" si="538"/>
        <v>0</v>
      </c>
      <c r="S1477">
        <f t="shared" si="539"/>
        <v>5</v>
      </c>
      <c r="W1477" t="str">
        <f>IF(周转筐出入库明细!$C1478="","",周转筐出入库明细!$C1478)</f>
        <v/>
      </c>
      <c r="X1477">
        <f t="shared" si="540"/>
        <v>0</v>
      </c>
      <c r="Y1477">
        <f t="shared" si="541"/>
        <v>12</v>
      </c>
      <c r="AI1477" t="str">
        <f>IF(OR(对接源_01水果筐数!$B278="",LEFT(对接源_01水果筐数!$C278,2)&lt;&gt;"自备"),"",对接源_01水果筐数!$B278)</f>
        <v/>
      </c>
      <c r="AJ1477">
        <f t="shared" si="542"/>
        <v>0</v>
      </c>
      <c r="AK1477">
        <f t="shared" si="543"/>
        <v>6</v>
      </c>
      <c r="CP1477">
        <f>IF(包装物料出入库明细!$D1477="",0,1)</f>
        <v>0</v>
      </c>
      <c r="CQ1477">
        <f t="shared" si="544"/>
        <v>37</v>
      </c>
      <c r="CS1477" t="str">
        <f>IF(OR(周转筐出入库明细!$C1478="",周转筐出入库明细!$F1478&lt;&gt;"采购入库"),"",周转筐出入库明细!$C1478)</f>
        <v/>
      </c>
      <c r="CT1477">
        <f t="shared" si="545"/>
        <v>0</v>
      </c>
      <c r="CU1477">
        <f t="shared" si="546"/>
        <v>1</v>
      </c>
    </row>
    <row r="1478" spans="1:99">
      <c r="A1478" t="str">
        <f>IF(包装物料出入库明细!$E1478="","",包装物料出入库明细!$E1478)</f>
        <v/>
      </c>
      <c r="B1478">
        <f t="shared" si="534"/>
        <v>0</v>
      </c>
      <c r="C1478">
        <f t="shared" si="535"/>
        <v>7</v>
      </c>
      <c r="D1478" t="str">
        <f>IF(包装物料出入库明细!$E1478="","",包装物料出入库明细!$F1478)</f>
        <v/>
      </c>
      <c r="E1478" t="str">
        <f>IF(包装物料出入库明细!$E1478="","",包装物料出入库明细!$G1478)</f>
        <v/>
      </c>
      <c r="K1478" t="str">
        <f>IF(包装物料出入库明细!$D1478="","",包装物料出入库明细!$D1478)</f>
        <v/>
      </c>
      <c r="L1478">
        <f t="shared" si="536"/>
        <v>0</v>
      </c>
      <c r="M1478">
        <f t="shared" si="537"/>
        <v>9</v>
      </c>
      <c r="Q1478" t="str">
        <f>IF(周转筐出入库明细!$D1479="","",周转筐出入库明细!$D1479)</f>
        <v/>
      </c>
      <c r="R1478">
        <f t="shared" si="538"/>
        <v>0</v>
      </c>
      <c r="S1478">
        <f t="shared" si="539"/>
        <v>5</v>
      </c>
      <c r="W1478" t="str">
        <f>IF(周转筐出入库明细!$C1479="","",周转筐出入库明细!$C1479)</f>
        <v/>
      </c>
      <c r="X1478">
        <f t="shared" si="540"/>
        <v>0</v>
      </c>
      <c r="Y1478">
        <f t="shared" si="541"/>
        <v>12</v>
      </c>
      <c r="AI1478" t="str">
        <f>IF(OR(对接源_01水果筐数!$B279="",LEFT(对接源_01水果筐数!$C279,2)&lt;&gt;"自备"),"",对接源_01水果筐数!$B279)</f>
        <v/>
      </c>
      <c r="AJ1478">
        <f t="shared" si="542"/>
        <v>0</v>
      </c>
      <c r="AK1478">
        <f t="shared" si="543"/>
        <v>6</v>
      </c>
      <c r="CP1478">
        <f>IF(包装物料出入库明细!$D1478="",0,1)</f>
        <v>0</v>
      </c>
      <c r="CQ1478">
        <f t="shared" si="544"/>
        <v>37</v>
      </c>
      <c r="CS1478" t="str">
        <f>IF(OR(周转筐出入库明细!$C1479="",周转筐出入库明细!$F1479&lt;&gt;"采购入库"),"",周转筐出入库明细!$C1479)</f>
        <v/>
      </c>
      <c r="CT1478">
        <f t="shared" si="545"/>
        <v>0</v>
      </c>
      <c r="CU1478">
        <f t="shared" si="546"/>
        <v>1</v>
      </c>
    </row>
    <row r="1479" spans="1:99">
      <c r="A1479" t="str">
        <f>IF(包装物料出入库明细!$E1479="","",包装物料出入库明细!$E1479)</f>
        <v/>
      </c>
      <c r="B1479">
        <f t="shared" si="534"/>
        <v>0</v>
      </c>
      <c r="C1479">
        <f t="shared" si="535"/>
        <v>7</v>
      </c>
      <c r="D1479" t="str">
        <f>IF(包装物料出入库明细!$E1479="","",包装物料出入库明细!$F1479)</f>
        <v/>
      </c>
      <c r="E1479" t="str">
        <f>IF(包装物料出入库明细!$E1479="","",包装物料出入库明细!$G1479)</f>
        <v/>
      </c>
      <c r="K1479" t="str">
        <f>IF(包装物料出入库明细!$D1479="","",包装物料出入库明细!$D1479)</f>
        <v/>
      </c>
      <c r="L1479">
        <f t="shared" si="536"/>
        <v>0</v>
      </c>
      <c r="M1479">
        <f t="shared" si="537"/>
        <v>9</v>
      </c>
      <c r="Q1479" t="str">
        <f>IF(周转筐出入库明细!$D1480="","",周转筐出入库明细!$D1480)</f>
        <v/>
      </c>
      <c r="R1479">
        <f t="shared" si="538"/>
        <v>0</v>
      </c>
      <c r="S1479">
        <f t="shared" si="539"/>
        <v>5</v>
      </c>
      <c r="W1479" t="str">
        <f>IF(周转筐出入库明细!$C1480="","",周转筐出入库明细!$C1480)</f>
        <v/>
      </c>
      <c r="X1479">
        <f t="shared" si="540"/>
        <v>0</v>
      </c>
      <c r="Y1479">
        <f t="shared" si="541"/>
        <v>12</v>
      </c>
      <c r="AI1479" t="str">
        <f>IF(OR(对接源_01水果筐数!$B280="",LEFT(对接源_01水果筐数!$C280,2)&lt;&gt;"自备"),"",对接源_01水果筐数!$B280)</f>
        <v/>
      </c>
      <c r="AJ1479">
        <f t="shared" si="542"/>
        <v>0</v>
      </c>
      <c r="AK1479">
        <f t="shared" si="543"/>
        <v>6</v>
      </c>
      <c r="CP1479">
        <f>IF(包装物料出入库明细!$D1479="",0,1)</f>
        <v>0</v>
      </c>
      <c r="CQ1479">
        <f t="shared" si="544"/>
        <v>37</v>
      </c>
      <c r="CS1479" t="str">
        <f>IF(OR(周转筐出入库明细!$C1480="",周转筐出入库明细!$F1480&lt;&gt;"采购入库"),"",周转筐出入库明细!$C1480)</f>
        <v/>
      </c>
      <c r="CT1479">
        <f t="shared" si="545"/>
        <v>0</v>
      </c>
      <c r="CU1479">
        <f t="shared" si="546"/>
        <v>1</v>
      </c>
    </row>
    <row r="1480" spans="1:99">
      <c r="A1480" t="str">
        <f>IF(包装物料出入库明细!$E1480="","",包装物料出入库明细!$E1480)</f>
        <v/>
      </c>
      <c r="B1480">
        <f t="shared" si="534"/>
        <v>0</v>
      </c>
      <c r="C1480">
        <f t="shared" si="535"/>
        <v>7</v>
      </c>
      <c r="D1480" t="str">
        <f>IF(包装物料出入库明细!$E1480="","",包装物料出入库明细!$F1480)</f>
        <v/>
      </c>
      <c r="E1480" t="str">
        <f>IF(包装物料出入库明细!$E1480="","",包装物料出入库明细!$G1480)</f>
        <v/>
      </c>
      <c r="K1480" t="str">
        <f>IF(包装物料出入库明细!$D1480="","",包装物料出入库明细!$D1480)</f>
        <v/>
      </c>
      <c r="L1480">
        <f t="shared" si="536"/>
        <v>0</v>
      </c>
      <c r="M1480">
        <f t="shared" si="537"/>
        <v>9</v>
      </c>
      <c r="Q1480" t="str">
        <f>IF(周转筐出入库明细!$D1481="","",周转筐出入库明细!$D1481)</f>
        <v/>
      </c>
      <c r="R1480">
        <f t="shared" si="538"/>
        <v>0</v>
      </c>
      <c r="S1480">
        <f t="shared" si="539"/>
        <v>5</v>
      </c>
      <c r="W1480" t="str">
        <f>IF(周转筐出入库明细!$C1481="","",周转筐出入库明细!$C1481)</f>
        <v/>
      </c>
      <c r="X1480">
        <f t="shared" si="540"/>
        <v>0</v>
      </c>
      <c r="Y1480">
        <f t="shared" si="541"/>
        <v>12</v>
      </c>
      <c r="AI1480" t="str">
        <f>IF(OR(对接源_01水果筐数!$B281="",LEFT(对接源_01水果筐数!$C281,2)&lt;&gt;"自备"),"",对接源_01水果筐数!$B281)</f>
        <v/>
      </c>
      <c r="AJ1480">
        <f t="shared" si="542"/>
        <v>0</v>
      </c>
      <c r="AK1480">
        <f t="shared" si="543"/>
        <v>6</v>
      </c>
      <c r="CP1480">
        <f>IF(包装物料出入库明细!$D1480="",0,1)</f>
        <v>0</v>
      </c>
      <c r="CQ1480">
        <f t="shared" si="544"/>
        <v>37</v>
      </c>
      <c r="CS1480" t="str">
        <f>IF(OR(周转筐出入库明细!$C1481="",周转筐出入库明细!$F1481&lt;&gt;"采购入库"),"",周转筐出入库明细!$C1481)</f>
        <v/>
      </c>
      <c r="CT1480">
        <f t="shared" si="545"/>
        <v>0</v>
      </c>
      <c r="CU1480">
        <f t="shared" si="546"/>
        <v>1</v>
      </c>
    </row>
    <row r="1481" spans="1:99">
      <c r="A1481" t="str">
        <f>IF(包装物料出入库明细!$E1481="","",包装物料出入库明细!$E1481)</f>
        <v/>
      </c>
      <c r="B1481">
        <f t="shared" si="534"/>
        <v>0</v>
      </c>
      <c r="C1481">
        <f t="shared" si="535"/>
        <v>7</v>
      </c>
      <c r="D1481" t="str">
        <f>IF(包装物料出入库明细!$E1481="","",包装物料出入库明细!$F1481)</f>
        <v/>
      </c>
      <c r="E1481" t="str">
        <f>IF(包装物料出入库明细!$E1481="","",包装物料出入库明细!$G1481)</f>
        <v/>
      </c>
      <c r="K1481" t="str">
        <f>IF(包装物料出入库明细!$D1481="","",包装物料出入库明细!$D1481)</f>
        <v/>
      </c>
      <c r="L1481">
        <f t="shared" si="536"/>
        <v>0</v>
      </c>
      <c r="M1481">
        <f t="shared" si="537"/>
        <v>9</v>
      </c>
      <c r="Q1481" t="str">
        <f>IF(周转筐出入库明细!$D1482="","",周转筐出入库明细!$D1482)</f>
        <v/>
      </c>
      <c r="R1481">
        <f t="shared" si="538"/>
        <v>0</v>
      </c>
      <c r="S1481">
        <f t="shared" si="539"/>
        <v>5</v>
      </c>
      <c r="W1481" t="str">
        <f>IF(周转筐出入库明细!$C1482="","",周转筐出入库明细!$C1482)</f>
        <v/>
      </c>
      <c r="X1481">
        <f t="shared" si="540"/>
        <v>0</v>
      </c>
      <c r="Y1481">
        <f t="shared" si="541"/>
        <v>12</v>
      </c>
      <c r="AI1481" t="str">
        <f>IF(OR(对接源_01水果筐数!$B282="",LEFT(对接源_01水果筐数!$C282,2)&lt;&gt;"自备"),"",对接源_01水果筐数!$B282)</f>
        <v/>
      </c>
      <c r="AJ1481">
        <f t="shared" si="542"/>
        <v>0</v>
      </c>
      <c r="AK1481">
        <f t="shared" si="543"/>
        <v>6</v>
      </c>
      <c r="CP1481">
        <f>IF(包装物料出入库明细!$D1481="",0,1)</f>
        <v>0</v>
      </c>
      <c r="CQ1481">
        <f t="shared" si="544"/>
        <v>37</v>
      </c>
      <c r="CS1481" t="str">
        <f>IF(OR(周转筐出入库明细!$C1482="",周转筐出入库明细!$F1482&lt;&gt;"采购入库"),"",周转筐出入库明细!$C1482)</f>
        <v/>
      </c>
      <c r="CT1481">
        <f t="shared" si="545"/>
        <v>0</v>
      </c>
      <c r="CU1481">
        <f t="shared" si="546"/>
        <v>1</v>
      </c>
    </row>
    <row r="1482" spans="1:99">
      <c r="A1482" t="str">
        <f>IF(包装物料出入库明细!$E1482="","",包装物料出入库明细!$E1482)</f>
        <v/>
      </c>
      <c r="B1482">
        <f t="shared" si="534"/>
        <v>0</v>
      </c>
      <c r="C1482">
        <f t="shared" si="535"/>
        <v>7</v>
      </c>
      <c r="D1482" t="str">
        <f>IF(包装物料出入库明细!$E1482="","",包装物料出入库明细!$F1482)</f>
        <v/>
      </c>
      <c r="E1482" t="str">
        <f>IF(包装物料出入库明细!$E1482="","",包装物料出入库明细!$G1482)</f>
        <v/>
      </c>
      <c r="K1482" t="str">
        <f>IF(包装物料出入库明细!$D1482="","",包装物料出入库明细!$D1482)</f>
        <v/>
      </c>
      <c r="L1482">
        <f t="shared" si="536"/>
        <v>0</v>
      </c>
      <c r="M1482">
        <f t="shared" si="537"/>
        <v>9</v>
      </c>
      <c r="Q1482" t="str">
        <f>IF(周转筐出入库明细!$D1483="","",周转筐出入库明细!$D1483)</f>
        <v/>
      </c>
      <c r="R1482">
        <f t="shared" si="538"/>
        <v>0</v>
      </c>
      <c r="S1482">
        <f t="shared" si="539"/>
        <v>5</v>
      </c>
      <c r="W1482" t="str">
        <f>IF(周转筐出入库明细!$C1483="","",周转筐出入库明细!$C1483)</f>
        <v/>
      </c>
      <c r="X1482">
        <f t="shared" si="540"/>
        <v>0</v>
      </c>
      <c r="Y1482">
        <f t="shared" si="541"/>
        <v>12</v>
      </c>
      <c r="AI1482" t="str">
        <f>IF(OR(对接源_01水果筐数!$B283="",LEFT(对接源_01水果筐数!$C283,2)&lt;&gt;"自备"),"",对接源_01水果筐数!$B283)</f>
        <v/>
      </c>
      <c r="AJ1482">
        <f t="shared" si="542"/>
        <v>0</v>
      </c>
      <c r="AK1482">
        <f t="shared" si="543"/>
        <v>6</v>
      </c>
      <c r="CP1482">
        <f>IF(包装物料出入库明细!$D1482="",0,1)</f>
        <v>0</v>
      </c>
      <c r="CQ1482">
        <f t="shared" si="544"/>
        <v>37</v>
      </c>
      <c r="CS1482" t="str">
        <f>IF(OR(周转筐出入库明细!$C1483="",周转筐出入库明细!$F1483&lt;&gt;"采购入库"),"",周转筐出入库明细!$C1483)</f>
        <v/>
      </c>
      <c r="CT1482">
        <f t="shared" si="545"/>
        <v>0</v>
      </c>
      <c r="CU1482">
        <f t="shared" si="546"/>
        <v>1</v>
      </c>
    </row>
    <row r="1483" spans="1:99">
      <c r="A1483" t="str">
        <f>IF(包装物料出入库明细!$E1483="","",包装物料出入库明细!$E1483)</f>
        <v/>
      </c>
      <c r="B1483">
        <f t="shared" si="534"/>
        <v>0</v>
      </c>
      <c r="C1483">
        <f t="shared" si="535"/>
        <v>7</v>
      </c>
      <c r="D1483" t="str">
        <f>IF(包装物料出入库明细!$E1483="","",包装物料出入库明细!$F1483)</f>
        <v/>
      </c>
      <c r="E1483" t="str">
        <f>IF(包装物料出入库明细!$E1483="","",包装物料出入库明细!$G1483)</f>
        <v/>
      </c>
      <c r="K1483" t="str">
        <f>IF(包装物料出入库明细!$D1483="","",包装物料出入库明细!$D1483)</f>
        <v/>
      </c>
      <c r="L1483">
        <f t="shared" si="536"/>
        <v>0</v>
      </c>
      <c r="M1483">
        <f t="shared" si="537"/>
        <v>9</v>
      </c>
      <c r="Q1483" t="str">
        <f>IF(周转筐出入库明细!$D1484="","",周转筐出入库明细!$D1484)</f>
        <v/>
      </c>
      <c r="R1483">
        <f t="shared" si="538"/>
        <v>0</v>
      </c>
      <c r="S1483">
        <f t="shared" si="539"/>
        <v>5</v>
      </c>
      <c r="W1483" t="str">
        <f>IF(周转筐出入库明细!$C1484="","",周转筐出入库明细!$C1484)</f>
        <v/>
      </c>
      <c r="X1483">
        <f t="shared" si="540"/>
        <v>0</v>
      </c>
      <c r="Y1483">
        <f t="shared" si="541"/>
        <v>12</v>
      </c>
      <c r="AI1483" t="str">
        <f>IF(OR(对接源_01水果筐数!$B284="",LEFT(对接源_01水果筐数!$C284,2)&lt;&gt;"自备"),"",对接源_01水果筐数!$B284)</f>
        <v/>
      </c>
      <c r="AJ1483">
        <f t="shared" si="542"/>
        <v>0</v>
      </c>
      <c r="AK1483">
        <f t="shared" si="543"/>
        <v>6</v>
      </c>
      <c r="CP1483">
        <f>IF(包装物料出入库明细!$D1483="",0,1)</f>
        <v>0</v>
      </c>
      <c r="CQ1483">
        <f t="shared" si="544"/>
        <v>37</v>
      </c>
      <c r="CS1483" t="str">
        <f>IF(OR(周转筐出入库明细!$C1484="",周转筐出入库明细!$F1484&lt;&gt;"采购入库"),"",周转筐出入库明细!$C1484)</f>
        <v/>
      </c>
      <c r="CT1483">
        <f t="shared" si="545"/>
        <v>0</v>
      </c>
      <c r="CU1483">
        <f t="shared" si="546"/>
        <v>1</v>
      </c>
    </row>
    <row r="1484" spans="1:99">
      <c r="A1484" t="str">
        <f>IF(包装物料出入库明细!$E1484="","",包装物料出入库明细!$E1484)</f>
        <v/>
      </c>
      <c r="B1484">
        <f t="shared" si="534"/>
        <v>0</v>
      </c>
      <c r="C1484">
        <f t="shared" si="535"/>
        <v>7</v>
      </c>
      <c r="D1484" t="str">
        <f>IF(包装物料出入库明细!$E1484="","",包装物料出入库明细!$F1484)</f>
        <v/>
      </c>
      <c r="E1484" t="str">
        <f>IF(包装物料出入库明细!$E1484="","",包装物料出入库明细!$G1484)</f>
        <v/>
      </c>
      <c r="K1484" t="str">
        <f>IF(包装物料出入库明细!$D1484="","",包装物料出入库明细!$D1484)</f>
        <v/>
      </c>
      <c r="L1484">
        <f t="shared" si="536"/>
        <v>0</v>
      </c>
      <c r="M1484">
        <f t="shared" si="537"/>
        <v>9</v>
      </c>
      <c r="Q1484" t="str">
        <f>IF(周转筐出入库明细!$D1485="","",周转筐出入库明细!$D1485)</f>
        <v/>
      </c>
      <c r="R1484">
        <f t="shared" si="538"/>
        <v>0</v>
      </c>
      <c r="S1484">
        <f t="shared" si="539"/>
        <v>5</v>
      </c>
      <c r="W1484" t="str">
        <f>IF(周转筐出入库明细!$C1485="","",周转筐出入库明细!$C1485)</f>
        <v/>
      </c>
      <c r="X1484">
        <f t="shared" si="540"/>
        <v>0</v>
      </c>
      <c r="Y1484">
        <f t="shared" si="541"/>
        <v>12</v>
      </c>
      <c r="AI1484" t="str">
        <f>IF(OR(对接源_01水果筐数!$B285="",LEFT(对接源_01水果筐数!$C285,2)&lt;&gt;"自备"),"",对接源_01水果筐数!$B285)</f>
        <v/>
      </c>
      <c r="AJ1484">
        <f t="shared" si="542"/>
        <v>0</v>
      </c>
      <c r="AK1484">
        <f t="shared" si="543"/>
        <v>6</v>
      </c>
      <c r="CP1484">
        <f>IF(包装物料出入库明细!$D1484="",0,1)</f>
        <v>0</v>
      </c>
      <c r="CQ1484">
        <f t="shared" si="544"/>
        <v>37</v>
      </c>
      <c r="CS1484" t="str">
        <f>IF(OR(周转筐出入库明细!$C1485="",周转筐出入库明细!$F1485&lt;&gt;"采购入库"),"",周转筐出入库明细!$C1485)</f>
        <v/>
      </c>
      <c r="CT1484">
        <f t="shared" si="545"/>
        <v>0</v>
      </c>
      <c r="CU1484">
        <f t="shared" si="546"/>
        <v>1</v>
      </c>
    </row>
    <row r="1485" spans="1:99">
      <c r="A1485" t="str">
        <f>IF(包装物料出入库明细!$E1485="","",包装物料出入库明细!$E1485)</f>
        <v/>
      </c>
      <c r="B1485">
        <f t="shared" si="534"/>
        <v>0</v>
      </c>
      <c r="C1485">
        <f t="shared" si="535"/>
        <v>7</v>
      </c>
      <c r="D1485" t="str">
        <f>IF(包装物料出入库明细!$E1485="","",包装物料出入库明细!$F1485)</f>
        <v/>
      </c>
      <c r="E1485" t="str">
        <f>IF(包装物料出入库明细!$E1485="","",包装物料出入库明细!$G1485)</f>
        <v/>
      </c>
      <c r="K1485" t="str">
        <f>IF(包装物料出入库明细!$D1485="","",包装物料出入库明细!$D1485)</f>
        <v/>
      </c>
      <c r="L1485">
        <f t="shared" si="536"/>
        <v>0</v>
      </c>
      <c r="M1485">
        <f t="shared" si="537"/>
        <v>9</v>
      </c>
      <c r="Q1485" t="str">
        <f>IF(周转筐出入库明细!$D1486="","",周转筐出入库明细!$D1486)</f>
        <v/>
      </c>
      <c r="R1485">
        <f t="shared" si="538"/>
        <v>0</v>
      </c>
      <c r="S1485">
        <f t="shared" si="539"/>
        <v>5</v>
      </c>
      <c r="W1485" t="str">
        <f>IF(周转筐出入库明细!$C1486="","",周转筐出入库明细!$C1486)</f>
        <v/>
      </c>
      <c r="X1485">
        <f t="shared" si="540"/>
        <v>0</v>
      </c>
      <c r="Y1485">
        <f t="shared" si="541"/>
        <v>12</v>
      </c>
      <c r="AI1485" t="str">
        <f>IF(OR(对接源_01水果筐数!$B286="",LEFT(对接源_01水果筐数!$C286,2)&lt;&gt;"自备"),"",对接源_01水果筐数!$B286)</f>
        <v/>
      </c>
      <c r="AJ1485">
        <f t="shared" si="542"/>
        <v>0</v>
      </c>
      <c r="AK1485">
        <f t="shared" si="543"/>
        <v>6</v>
      </c>
      <c r="CP1485">
        <f>IF(包装物料出入库明细!$D1485="",0,1)</f>
        <v>0</v>
      </c>
      <c r="CQ1485">
        <f t="shared" si="544"/>
        <v>37</v>
      </c>
      <c r="CS1485" t="str">
        <f>IF(OR(周转筐出入库明细!$C1486="",周转筐出入库明细!$F1486&lt;&gt;"采购入库"),"",周转筐出入库明细!$C1486)</f>
        <v/>
      </c>
      <c r="CT1485">
        <f t="shared" si="545"/>
        <v>0</v>
      </c>
      <c r="CU1485">
        <f t="shared" si="546"/>
        <v>1</v>
      </c>
    </row>
    <row r="1486" spans="1:99">
      <c r="A1486" t="str">
        <f>IF(包装物料出入库明细!$E1486="","",包装物料出入库明细!$E1486)</f>
        <v/>
      </c>
      <c r="B1486">
        <f t="shared" si="534"/>
        <v>0</v>
      </c>
      <c r="C1486">
        <f t="shared" si="535"/>
        <v>7</v>
      </c>
      <c r="D1486" t="str">
        <f>IF(包装物料出入库明细!$E1486="","",包装物料出入库明细!$F1486)</f>
        <v/>
      </c>
      <c r="E1486" t="str">
        <f>IF(包装物料出入库明细!$E1486="","",包装物料出入库明细!$G1486)</f>
        <v/>
      </c>
      <c r="K1486" t="str">
        <f>IF(包装物料出入库明细!$D1486="","",包装物料出入库明细!$D1486)</f>
        <v/>
      </c>
      <c r="L1486">
        <f t="shared" si="536"/>
        <v>0</v>
      </c>
      <c r="M1486">
        <f t="shared" si="537"/>
        <v>9</v>
      </c>
      <c r="Q1486" t="str">
        <f>IF(周转筐出入库明细!$D1487="","",周转筐出入库明细!$D1487)</f>
        <v/>
      </c>
      <c r="R1486">
        <f t="shared" si="538"/>
        <v>0</v>
      </c>
      <c r="S1486">
        <f t="shared" si="539"/>
        <v>5</v>
      </c>
      <c r="W1486" t="str">
        <f>IF(周转筐出入库明细!$C1487="","",周转筐出入库明细!$C1487)</f>
        <v/>
      </c>
      <c r="X1486">
        <f t="shared" si="540"/>
        <v>0</v>
      </c>
      <c r="Y1486">
        <f t="shared" si="541"/>
        <v>12</v>
      </c>
      <c r="AI1486" t="str">
        <f>IF(OR(对接源_01水果筐数!$B287="",LEFT(对接源_01水果筐数!$C287,2)&lt;&gt;"自备"),"",对接源_01水果筐数!$B287)</f>
        <v/>
      </c>
      <c r="AJ1486">
        <f t="shared" si="542"/>
        <v>0</v>
      </c>
      <c r="AK1486">
        <f t="shared" si="543"/>
        <v>6</v>
      </c>
      <c r="CP1486">
        <f>IF(包装物料出入库明细!$D1486="",0,1)</f>
        <v>0</v>
      </c>
      <c r="CQ1486">
        <f t="shared" si="544"/>
        <v>37</v>
      </c>
      <c r="CS1486" t="str">
        <f>IF(OR(周转筐出入库明细!$C1487="",周转筐出入库明细!$F1487&lt;&gt;"采购入库"),"",周转筐出入库明细!$C1487)</f>
        <v/>
      </c>
      <c r="CT1486">
        <f t="shared" si="545"/>
        <v>0</v>
      </c>
      <c r="CU1486">
        <f t="shared" si="546"/>
        <v>1</v>
      </c>
    </row>
    <row r="1487" spans="1:99">
      <c r="A1487" t="str">
        <f>IF(包装物料出入库明细!$E1487="","",包装物料出入库明细!$E1487)</f>
        <v/>
      </c>
      <c r="B1487">
        <f t="shared" si="534"/>
        <v>0</v>
      </c>
      <c r="C1487">
        <f t="shared" si="535"/>
        <v>7</v>
      </c>
      <c r="D1487" t="str">
        <f>IF(包装物料出入库明细!$E1487="","",包装物料出入库明细!$F1487)</f>
        <v/>
      </c>
      <c r="E1487" t="str">
        <f>IF(包装物料出入库明细!$E1487="","",包装物料出入库明细!$G1487)</f>
        <v/>
      </c>
      <c r="K1487" t="str">
        <f>IF(包装物料出入库明细!$D1487="","",包装物料出入库明细!$D1487)</f>
        <v/>
      </c>
      <c r="L1487">
        <f t="shared" si="536"/>
        <v>0</v>
      </c>
      <c r="M1487">
        <f t="shared" si="537"/>
        <v>9</v>
      </c>
      <c r="Q1487" t="str">
        <f>IF(周转筐出入库明细!$D1488="","",周转筐出入库明细!$D1488)</f>
        <v/>
      </c>
      <c r="R1487">
        <f t="shared" si="538"/>
        <v>0</v>
      </c>
      <c r="S1487">
        <f t="shared" si="539"/>
        <v>5</v>
      </c>
      <c r="W1487" t="str">
        <f>IF(周转筐出入库明细!$C1488="","",周转筐出入库明细!$C1488)</f>
        <v/>
      </c>
      <c r="X1487">
        <f t="shared" si="540"/>
        <v>0</v>
      </c>
      <c r="Y1487">
        <f t="shared" si="541"/>
        <v>12</v>
      </c>
      <c r="AI1487" t="str">
        <f>IF(OR(对接源_01水果筐数!$B288="",LEFT(对接源_01水果筐数!$C288,2)&lt;&gt;"自备"),"",对接源_01水果筐数!$B288)</f>
        <v/>
      </c>
      <c r="AJ1487">
        <f t="shared" si="542"/>
        <v>0</v>
      </c>
      <c r="AK1487">
        <f t="shared" si="543"/>
        <v>6</v>
      </c>
      <c r="CP1487">
        <f>IF(包装物料出入库明细!$D1487="",0,1)</f>
        <v>0</v>
      </c>
      <c r="CQ1487">
        <f t="shared" si="544"/>
        <v>37</v>
      </c>
      <c r="CS1487" t="str">
        <f>IF(OR(周转筐出入库明细!$C1488="",周转筐出入库明细!$F1488&lt;&gt;"采购入库"),"",周转筐出入库明细!$C1488)</f>
        <v/>
      </c>
      <c r="CT1487">
        <f t="shared" si="545"/>
        <v>0</v>
      </c>
      <c r="CU1487">
        <f t="shared" si="546"/>
        <v>1</v>
      </c>
    </row>
    <row r="1488" spans="1:99">
      <c r="A1488" t="str">
        <f>IF(包装物料出入库明细!$E1488="","",包装物料出入库明细!$E1488)</f>
        <v/>
      </c>
      <c r="B1488">
        <f t="shared" si="534"/>
        <v>0</v>
      </c>
      <c r="C1488">
        <f t="shared" si="535"/>
        <v>7</v>
      </c>
      <c r="D1488" t="str">
        <f>IF(包装物料出入库明细!$E1488="","",包装物料出入库明细!$F1488)</f>
        <v/>
      </c>
      <c r="E1488" t="str">
        <f>IF(包装物料出入库明细!$E1488="","",包装物料出入库明细!$G1488)</f>
        <v/>
      </c>
      <c r="K1488" t="str">
        <f>IF(包装物料出入库明细!$D1488="","",包装物料出入库明细!$D1488)</f>
        <v/>
      </c>
      <c r="L1488">
        <f t="shared" si="536"/>
        <v>0</v>
      </c>
      <c r="M1488">
        <f t="shared" si="537"/>
        <v>9</v>
      </c>
      <c r="Q1488" t="str">
        <f>IF(周转筐出入库明细!$D1489="","",周转筐出入库明细!$D1489)</f>
        <v/>
      </c>
      <c r="R1488">
        <f t="shared" si="538"/>
        <v>0</v>
      </c>
      <c r="S1488">
        <f t="shared" si="539"/>
        <v>5</v>
      </c>
      <c r="W1488" t="str">
        <f>IF(周转筐出入库明细!$C1489="","",周转筐出入库明细!$C1489)</f>
        <v/>
      </c>
      <c r="X1488">
        <f t="shared" si="540"/>
        <v>0</v>
      </c>
      <c r="Y1488">
        <f t="shared" si="541"/>
        <v>12</v>
      </c>
      <c r="AI1488" t="str">
        <f>IF(OR(对接源_01水果筐数!$B289="",LEFT(对接源_01水果筐数!$C289,2)&lt;&gt;"自备"),"",对接源_01水果筐数!$B289)</f>
        <v/>
      </c>
      <c r="AJ1488">
        <f t="shared" si="542"/>
        <v>0</v>
      </c>
      <c r="AK1488">
        <f t="shared" si="543"/>
        <v>6</v>
      </c>
      <c r="CP1488">
        <f>IF(包装物料出入库明细!$D1488="",0,1)</f>
        <v>0</v>
      </c>
      <c r="CQ1488">
        <f t="shared" si="544"/>
        <v>37</v>
      </c>
      <c r="CS1488" t="str">
        <f>IF(OR(周转筐出入库明细!$C1489="",周转筐出入库明细!$F1489&lt;&gt;"采购入库"),"",周转筐出入库明细!$C1489)</f>
        <v/>
      </c>
      <c r="CT1488">
        <f t="shared" si="545"/>
        <v>0</v>
      </c>
      <c r="CU1488">
        <f t="shared" si="546"/>
        <v>1</v>
      </c>
    </row>
    <row r="1489" spans="1:99">
      <c r="A1489" t="str">
        <f>IF(包装物料出入库明细!$E1489="","",包装物料出入库明细!$E1489)</f>
        <v/>
      </c>
      <c r="B1489">
        <f t="shared" si="534"/>
        <v>0</v>
      </c>
      <c r="C1489">
        <f t="shared" si="535"/>
        <v>7</v>
      </c>
      <c r="D1489" t="str">
        <f>IF(包装物料出入库明细!$E1489="","",包装物料出入库明细!$F1489)</f>
        <v/>
      </c>
      <c r="E1489" t="str">
        <f>IF(包装物料出入库明细!$E1489="","",包装物料出入库明细!$G1489)</f>
        <v/>
      </c>
      <c r="K1489" t="str">
        <f>IF(包装物料出入库明细!$D1489="","",包装物料出入库明细!$D1489)</f>
        <v/>
      </c>
      <c r="L1489">
        <f t="shared" si="536"/>
        <v>0</v>
      </c>
      <c r="M1489">
        <f t="shared" si="537"/>
        <v>9</v>
      </c>
      <c r="Q1489" t="str">
        <f>IF(周转筐出入库明细!$D1490="","",周转筐出入库明细!$D1490)</f>
        <v/>
      </c>
      <c r="R1489">
        <f t="shared" si="538"/>
        <v>0</v>
      </c>
      <c r="S1489">
        <f t="shared" si="539"/>
        <v>5</v>
      </c>
      <c r="W1489" t="str">
        <f>IF(周转筐出入库明细!$C1490="","",周转筐出入库明细!$C1490)</f>
        <v/>
      </c>
      <c r="X1489">
        <f t="shared" si="540"/>
        <v>0</v>
      </c>
      <c r="Y1489">
        <f t="shared" si="541"/>
        <v>12</v>
      </c>
      <c r="AI1489" t="str">
        <f>IF(OR(对接源_01水果筐数!$B290="",LEFT(对接源_01水果筐数!$C290,2)&lt;&gt;"自备"),"",对接源_01水果筐数!$B290)</f>
        <v/>
      </c>
      <c r="AJ1489">
        <f t="shared" si="542"/>
        <v>0</v>
      </c>
      <c r="AK1489">
        <f t="shared" si="543"/>
        <v>6</v>
      </c>
      <c r="CP1489">
        <f>IF(包装物料出入库明细!$D1489="",0,1)</f>
        <v>0</v>
      </c>
      <c r="CQ1489">
        <f t="shared" si="544"/>
        <v>37</v>
      </c>
      <c r="CS1489" t="str">
        <f>IF(OR(周转筐出入库明细!$C1490="",周转筐出入库明细!$F1490&lt;&gt;"采购入库"),"",周转筐出入库明细!$C1490)</f>
        <v/>
      </c>
      <c r="CT1489">
        <f t="shared" si="545"/>
        <v>0</v>
      </c>
      <c r="CU1489">
        <f t="shared" si="546"/>
        <v>1</v>
      </c>
    </row>
    <row r="1490" spans="1:99">
      <c r="A1490" t="str">
        <f>IF(包装物料出入库明细!$E1490="","",包装物料出入库明细!$E1490)</f>
        <v/>
      </c>
      <c r="B1490">
        <f t="shared" si="534"/>
        <v>0</v>
      </c>
      <c r="C1490">
        <f t="shared" si="535"/>
        <v>7</v>
      </c>
      <c r="D1490" t="str">
        <f>IF(包装物料出入库明细!$E1490="","",包装物料出入库明细!$F1490)</f>
        <v/>
      </c>
      <c r="E1490" t="str">
        <f>IF(包装物料出入库明细!$E1490="","",包装物料出入库明细!$G1490)</f>
        <v/>
      </c>
      <c r="K1490" t="str">
        <f>IF(包装物料出入库明细!$D1490="","",包装物料出入库明细!$D1490)</f>
        <v/>
      </c>
      <c r="L1490">
        <f t="shared" si="536"/>
        <v>0</v>
      </c>
      <c r="M1490">
        <f t="shared" si="537"/>
        <v>9</v>
      </c>
      <c r="Q1490" t="str">
        <f>IF(周转筐出入库明细!$D1491="","",周转筐出入库明细!$D1491)</f>
        <v/>
      </c>
      <c r="R1490">
        <f t="shared" si="538"/>
        <v>0</v>
      </c>
      <c r="S1490">
        <f t="shared" si="539"/>
        <v>5</v>
      </c>
      <c r="W1490" t="str">
        <f>IF(周转筐出入库明细!$C1491="","",周转筐出入库明细!$C1491)</f>
        <v/>
      </c>
      <c r="X1490">
        <f t="shared" si="540"/>
        <v>0</v>
      </c>
      <c r="Y1490">
        <f t="shared" si="541"/>
        <v>12</v>
      </c>
      <c r="AI1490" t="str">
        <f>IF(OR(对接源_01水果筐数!$B291="",LEFT(对接源_01水果筐数!$C291,2)&lt;&gt;"自备"),"",对接源_01水果筐数!$B291)</f>
        <v/>
      </c>
      <c r="AJ1490">
        <f t="shared" si="542"/>
        <v>0</v>
      </c>
      <c r="AK1490">
        <f t="shared" si="543"/>
        <v>6</v>
      </c>
      <c r="CP1490">
        <f>IF(包装物料出入库明细!$D1490="",0,1)</f>
        <v>0</v>
      </c>
      <c r="CQ1490">
        <f t="shared" si="544"/>
        <v>37</v>
      </c>
      <c r="CS1490" t="str">
        <f>IF(OR(周转筐出入库明细!$C1491="",周转筐出入库明细!$F1491&lt;&gt;"采购入库"),"",周转筐出入库明细!$C1491)</f>
        <v/>
      </c>
      <c r="CT1490">
        <f t="shared" si="545"/>
        <v>0</v>
      </c>
      <c r="CU1490">
        <f t="shared" si="546"/>
        <v>1</v>
      </c>
    </row>
    <row r="1491" spans="1:99">
      <c r="A1491" t="str">
        <f>IF(包装物料出入库明细!$E1491="","",包装物料出入库明细!$E1491)</f>
        <v/>
      </c>
      <c r="B1491">
        <f t="shared" si="534"/>
        <v>0</v>
      </c>
      <c r="C1491">
        <f t="shared" si="535"/>
        <v>7</v>
      </c>
      <c r="D1491" t="str">
        <f>IF(包装物料出入库明细!$E1491="","",包装物料出入库明细!$F1491)</f>
        <v/>
      </c>
      <c r="E1491" t="str">
        <f>IF(包装物料出入库明细!$E1491="","",包装物料出入库明细!$G1491)</f>
        <v/>
      </c>
      <c r="K1491" t="str">
        <f>IF(包装物料出入库明细!$D1491="","",包装物料出入库明细!$D1491)</f>
        <v/>
      </c>
      <c r="L1491">
        <f t="shared" si="536"/>
        <v>0</v>
      </c>
      <c r="M1491">
        <f t="shared" si="537"/>
        <v>9</v>
      </c>
      <c r="Q1491" t="str">
        <f>IF(周转筐出入库明细!$D1492="","",周转筐出入库明细!$D1492)</f>
        <v/>
      </c>
      <c r="R1491">
        <f t="shared" si="538"/>
        <v>0</v>
      </c>
      <c r="S1491">
        <f t="shared" si="539"/>
        <v>5</v>
      </c>
      <c r="W1491" t="str">
        <f>IF(周转筐出入库明细!$C1492="","",周转筐出入库明细!$C1492)</f>
        <v/>
      </c>
      <c r="X1491">
        <f t="shared" si="540"/>
        <v>0</v>
      </c>
      <c r="Y1491">
        <f t="shared" si="541"/>
        <v>12</v>
      </c>
      <c r="AI1491" t="str">
        <f>IF(OR(对接源_01水果筐数!$B292="",LEFT(对接源_01水果筐数!$C292,2)&lt;&gt;"自备"),"",对接源_01水果筐数!$B292)</f>
        <v/>
      </c>
      <c r="AJ1491">
        <f t="shared" si="542"/>
        <v>0</v>
      </c>
      <c r="AK1491">
        <f t="shared" si="543"/>
        <v>6</v>
      </c>
      <c r="CP1491">
        <f>IF(包装物料出入库明细!$D1491="",0,1)</f>
        <v>0</v>
      </c>
      <c r="CQ1491">
        <f t="shared" si="544"/>
        <v>37</v>
      </c>
      <c r="CS1491" t="str">
        <f>IF(OR(周转筐出入库明细!$C1492="",周转筐出入库明细!$F1492&lt;&gt;"采购入库"),"",周转筐出入库明细!$C1492)</f>
        <v/>
      </c>
      <c r="CT1491">
        <f t="shared" si="545"/>
        <v>0</v>
      </c>
      <c r="CU1491">
        <f t="shared" si="546"/>
        <v>1</v>
      </c>
    </row>
    <row r="1492" spans="1:99">
      <c r="A1492" t="str">
        <f>IF(包装物料出入库明细!$E1492="","",包装物料出入库明细!$E1492)</f>
        <v/>
      </c>
      <c r="B1492">
        <f t="shared" si="534"/>
        <v>0</v>
      </c>
      <c r="C1492">
        <f t="shared" si="535"/>
        <v>7</v>
      </c>
      <c r="D1492" t="str">
        <f>IF(包装物料出入库明细!$E1492="","",包装物料出入库明细!$F1492)</f>
        <v/>
      </c>
      <c r="E1492" t="str">
        <f>IF(包装物料出入库明细!$E1492="","",包装物料出入库明细!$G1492)</f>
        <v/>
      </c>
      <c r="K1492" t="str">
        <f>IF(包装物料出入库明细!$D1492="","",包装物料出入库明细!$D1492)</f>
        <v/>
      </c>
      <c r="L1492">
        <f t="shared" si="536"/>
        <v>0</v>
      </c>
      <c r="M1492">
        <f t="shared" si="537"/>
        <v>9</v>
      </c>
      <c r="Q1492" t="str">
        <f>IF(周转筐出入库明细!$D1493="","",周转筐出入库明细!$D1493)</f>
        <v/>
      </c>
      <c r="R1492">
        <f t="shared" si="538"/>
        <v>0</v>
      </c>
      <c r="S1492">
        <f t="shared" si="539"/>
        <v>5</v>
      </c>
      <c r="W1492" t="str">
        <f>IF(周转筐出入库明细!$C1493="","",周转筐出入库明细!$C1493)</f>
        <v/>
      </c>
      <c r="X1492">
        <f t="shared" si="540"/>
        <v>0</v>
      </c>
      <c r="Y1492">
        <f t="shared" si="541"/>
        <v>12</v>
      </c>
      <c r="AI1492" t="str">
        <f>IF(OR(对接源_01水果筐数!$B293="",LEFT(对接源_01水果筐数!$C293,2)&lt;&gt;"自备"),"",对接源_01水果筐数!$B293)</f>
        <v/>
      </c>
      <c r="AJ1492">
        <f t="shared" si="542"/>
        <v>0</v>
      </c>
      <c r="AK1492">
        <f t="shared" si="543"/>
        <v>6</v>
      </c>
      <c r="CP1492">
        <f>IF(包装物料出入库明细!$D1492="",0,1)</f>
        <v>0</v>
      </c>
      <c r="CQ1492">
        <f t="shared" si="544"/>
        <v>37</v>
      </c>
      <c r="CS1492" t="str">
        <f>IF(OR(周转筐出入库明细!$C1493="",周转筐出入库明细!$F1493&lt;&gt;"采购入库"),"",周转筐出入库明细!$C1493)</f>
        <v/>
      </c>
      <c r="CT1492">
        <f t="shared" si="545"/>
        <v>0</v>
      </c>
      <c r="CU1492">
        <f t="shared" si="546"/>
        <v>1</v>
      </c>
    </row>
    <row r="1493" spans="1:99">
      <c r="A1493" t="str">
        <f>IF(包装物料出入库明细!$E1493="","",包装物料出入库明细!$E1493)</f>
        <v/>
      </c>
      <c r="B1493">
        <f t="shared" si="534"/>
        <v>0</v>
      </c>
      <c r="C1493">
        <f t="shared" si="535"/>
        <v>7</v>
      </c>
      <c r="D1493" t="str">
        <f>IF(包装物料出入库明细!$E1493="","",包装物料出入库明细!$F1493)</f>
        <v/>
      </c>
      <c r="E1493" t="str">
        <f>IF(包装物料出入库明细!$E1493="","",包装物料出入库明细!$G1493)</f>
        <v/>
      </c>
      <c r="K1493" t="str">
        <f>IF(包装物料出入库明细!$D1493="","",包装物料出入库明细!$D1493)</f>
        <v/>
      </c>
      <c r="L1493">
        <f t="shared" si="536"/>
        <v>0</v>
      </c>
      <c r="M1493">
        <f t="shared" si="537"/>
        <v>9</v>
      </c>
      <c r="Q1493" t="str">
        <f>IF(周转筐出入库明细!$D1494="","",周转筐出入库明细!$D1494)</f>
        <v/>
      </c>
      <c r="R1493">
        <f t="shared" si="538"/>
        <v>0</v>
      </c>
      <c r="S1493">
        <f t="shared" si="539"/>
        <v>5</v>
      </c>
      <c r="W1493" t="str">
        <f>IF(周转筐出入库明细!$C1494="","",周转筐出入库明细!$C1494)</f>
        <v/>
      </c>
      <c r="X1493">
        <f t="shared" si="540"/>
        <v>0</v>
      </c>
      <c r="Y1493">
        <f t="shared" si="541"/>
        <v>12</v>
      </c>
      <c r="AI1493" t="str">
        <f>IF(OR(对接源_01水果筐数!$B294="",LEFT(对接源_01水果筐数!$C294,2)&lt;&gt;"自备"),"",对接源_01水果筐数!$B294)</f>
        <v/>
      </c>
      <c r="AJ1493">
        <f t="shared" si="542"/>
        <v>0</v>
      </c>
      <c r="AK1493">
        <f t="shared" si="543"/>
        <v>6</v>
      </c>
      <c r="CP1493">
        <f>IF(包装物料出入库明细!$D1493="",0,1)</f>
        <v>0</v>
      </c>
      <c r="CQ1493">
        <f t="shared" si="544"/>
        <v>37</v>
      </c>
      <c r="CS1493" t="str">
        <f>IF(OR(周转筐出入库明细!$C1494="",周转筐出入库明细!$F1494&lt;&gt;"采购入库"),"",周转筐出入库明细!$C1494)</f>
        <v/>
      </c>
      <c r="CT1493">
        <f t="shared" si="545"/>
        <v>0</v>
      </c>
      <c r="CU1493">
        <f t="shared" si="546"/>
        <v>1</v>
      </c>
    </row>
    <row r="1494" spans="1:99">
      <c r="A1494" t="str">
        <f>IF(包装物料出入库明细!$E1494="","",包装物料出入库明细!$E1494)</f>
        <v/>
      </c>
      <c r="B1494">
        <f t="shared" si="534"/>
        <v>0</v>
      </c>
      <c r="C1494">
        <f t="shared" si="535"/>
        <v>7</v>
      </c>
      <c r="D1494" t="str">
        <f>IF(包装物料出入库明细!$E1494="","",包装物料出入库明细!$F1494)</f>
        <v/>
      </c>
      <c r="E1494" t="str">
        <f>IF(包装物料出入库明细!$E1494="","",包装物料出入库明细!$G1494)</f>
        <v/>
      </c>
      <c r="K1494" t="str">
        <f>IF(包装物料出入库明细!$D1494="","",包装物料出入库明细!$D1494)</f>
        <v/>
      </c>
      <c r="L1494">
        <f t="shared" si="536"/>
        <v>0</v>
      </c>
      <c r="M1494">
        <f t="shared" si="537"/>
        <v>9</v>
      </c>
      <c r="Q1494" t="str">
        <f>IF(周转筐出入库明细!$D1495="","",周转筐出入库明细!$D1495)</f>
        <v/>
      </c>
      <c r="R1494">
        <f t="shared" si="538"/>
        <v>0</v>
      </c>
      <c r="S1494">
        <f t="shared" si="539"/>
        <v>5</v>
      </c>
      <c r="W1494" t="str">
        <f>IF(周转筐出入库明细!$C1495="","",周转筐出入库明细!$C1495)</f>
        <v/>
      </c>
      <c r="X1494">
        <f t="shared" si="540"/>
        <v>0</v>
      </c>
      <c r="Y1494">
        <f t="shared" si="541"/>
        <v>12</v>
      </c>
      <c r="AI1494" t="str">
        <f>IF(OR(对接源_01水果筐数!$B295="",LEFT(对接源_01水果筐数!$C295,2)&lt;&gt;"自备"),"",对接源_01水果筐数!$B295)</f>
        <v/>
      </c>
      <c r="AJ1494">
        <f t="shared" si="542"/>
        <v>0</v>
      </c>
      <c r="AK1494">
        <f t="shared" si="543"/>
        <v>6</v>
      </c>
      <c r="CP1494">
        <f>IF(包装物料出入库明细!$D1494="",0,1)</f>
        <v>0</v>
      </c>
      <c r="CQ1494">
        <f t="shared" si="544"/>
        <v>37</v>
      </c>
      <c r="CS1494" t="str">
        <f>IF(OR(周转筐出入库明细!$C1495="",周转筐出入库明细!$F1495&lt;&gt;"采购入库"),"",周转筐出入库明细!$C1495)</f>
        <v/>
      </c>
      <c r="CT1494">
        <f t="shared" si="545"/>
        <v>0</v>
      </c>
      <c r="CU1494">
        <f t="shared" si="546"/>
        <v>1</v>
      </c>
    </row>
    <row r="1495" spans="1:99">
      <c r="A1495" t="str">
        <f>IF(包装物料出入库明细!$E1495="","",包装物料出入库明细!$E1495)</f>
        <v/>
      </c>
      <c r="B1495">
        <f t="shared" si="534"/>
        <v>0</v>
      </c>
      <c r="C1495">
        <f t="shared" si="535"/>
        <v>7</v>
      </c>
      <c r="D1495" t="str">
        <f>IF(包装物料出入库明细!$E1495="","",包装物料出入库明细!$F1495)</f>
        <v/>
      </c>
      <c r="E1495" t="str">
        <f>IF(包装物料出入库明细!$E1495="","",包装物料出入库明细!$G1495)</f>
        <v/>
      </c>
      <c r="K1495" t="str">
        <f>IF(包装物料出入库明细!$D1495="","",包装物料出入库明细!$D1495)</f>
        <v/>
      </c>
      <c r="L1495">
        <f t="shared" si="536"/>
        <v>0</v>
      </c>
      <c r="M1495">
        <f t="shared" si="537"/>
        <v>9</v>
      </c>
      <c r="Q1495" t="str">
        <f>IF(周转筐出入库明细!$D1496="","",周转筐出入库明细!$D1496)</f>
        <v/>
      </c>
      <c r="R1495">
        <f t="shared" si="538"/>
        <v>0</v>
      </c>
      <c r="S1495">
        <f t="shared" si="539"/>
        <v>5</v>
      </c>
      <c r="W1495" t="str">
        <f>IF(周转筐出入库明细!$C1496="","",周转筐出入库明细!$C1496)</f>
        <v/>
      </c>
      <c r="X1495">
        <f t="shared" si="540"/>
        <v>0</v>
      </c>
      <c r="Y1495">
        <f t="shared" si="541"/>
        <v>12</v>
      </c>
      <c r="AI1495" t="str">
        <f>IF(OR(对接源_01水果筐数!$B296="",LEFT(对接源_01水果筐数!$C296,2)&lt;&gt;"自备"),"",对接源_01水果筐数!$B296)</f>
        <v/>
      </c>
      <c r="AJ1495">
        <f t="shared" si="542"/>
        <v>0</v>
      </c>
      <c r="AK1495">
        <f t="shared" si="543"/>
        <v>6</v>
      </c>
      <c r="CP1495">
        <f>IF(包装物料出入库明细!$D1495="",0,1)</f>
        <v>0</v>
      </c>
      <c r="CQ1495">
        <f t="shared" si="544"/>
        <v>37</v>
      </c>
      <c r="CS1495" t="str">
        <f>IF(OR(周转筐出入库明细!$C1496="",周转筐出入库明细!$F1496&lt;&gt;"采购入库"),"",周转筐出入库明细!$C1496)</f>
        <v/>
      </c>
      <c r="CT1495">
        <f t="shared" si="545"/>
        <v>0</v>
      </c>
      <c r="CU1495">
        <f t="shared" si="546"/>
        <v>1</v>
      </c>
    </row>
    <row r="1496" spans="1:99">
      <c r="A1496" t="str">
        <f>IF(包装物料出入库明细!$E1496="","",包装物料出入库明细!$E1496)</f>
        <v/>
      </c>
      <c r="B1496">
        <f t="shared" si="534"/>
        <v>0</v>
      </c>
      <c r="C1496">
        <f t="shared" si="535"/>
        <v>7</v>
      </c>
      <c r="D1496" t="str">
        <f>IF(包装物料出入库明细!$E1496="","",包装物料出入库明细!$F1496)</f>
        <v/>
      </c>
      <c r="E1496" t="str">
        <f>IF(包装物料出入库明细!$E1496="","",包装物料出入库明细!$G1496)</f>
        <v/>
      </c>
      <c r="K1496" t="str">
        <f>IF(包装物料出入库明细!$D1496="","",包装物料出入库明细!$D1496)</f>
        <v/>
      </c>
      <c r="L1496">
        <f t="shared" si="536"/>
        <v>0</v>
      </c>
      <c r="M1496">
        <f t="shared" si="537"/>
        <v>9</v>
      </c>
      <c r="Q1496" t="str">
        <f>IF(周转筐出入库明细!$D1497="","",周转筐出入库明细!$D1497)</f>
        <v/>
      </c>
      <c r="R1496">
        <f t="shared" si="538"/>
        <v>0</v>
      </c>
      <c r="S1496">
        <f t="shared" si="539"/>
        <v>5</v>
      </c>
      <c r="W1496" t="str">
        <f>IF(周转筐出入库明细!$C1497="","",周转筐出入库明细!$C1497)</f>
        <v/>
      </c>
      <c r="X1496">
        <f t="shared" si="540"/>
        <v>0</v>
      </c>
      <c r="Y1496">
        <f t="shared" si="541"/>
        <v>12</v>
      </c>
      <c r="AI1496" t="str">
        <f>IF(OR(对接源_01水果筐数!$B297="",LEFT(对接源_01水果筐数!$C297,2)&lt;&gt;"自备"),"",对接源_01水果筐数!$B297)</f>
        <v/>
      </c>
      <c r="AJ1496">
        <f t="shared" si="542"/>
        <v>0</v>
      </c>
      <c r="AK1496">
        <f t="shared" si="543"/>
        <v>6</v>
      </c>
      <c r="CP1496">
        <f>IF(包装物料出入库明细!$D1496="",0,1)</f>
        <v>0</v>
      </c>
      <c r="CQ1496">
        <f t="shared" si="544"/>
        <v>37</v>
      </c>
      <c r="CS1496" t="str">
        <f>IF(OR(周转筐出入库明细!$C1497="",周转筐出入库明细!$F1497&lt;&gt;"采购入库"),"",周转筐出入库明细!$C1497)</f>
        <v/>
      </c>
      <c r="CT1496">
        <f t="shared" si="545"/>
        <v>0</v>
      </c>
      <c r="CU1496">
        <f t="shared" si="546"/>
        <v>1</v>
      </c>
    </row>
    <row r="1497" spans="1:99">
      <c r="A1497" t="str">
        <f>IF(包装物料出入库明细!$E1497="","",包装物料出入库明细!$E1497)</f>
        <v/>
      </c>
      <c r="B1497">
        <f t="shared" si="534"/>
        <v>0</v>
      </c>
      <c r="C1497">
        <f t="shared" si="535"/>
        <v>7</v>
      </c>
      <c r="D1497" t="str">
        <f>IF(包装物料出入库明细!$E1497="","",包装物料出入库明细!$F1497)</f>
        <v/>
      </c>
      <c r="E1497" t="str">
        <f>IF(包装物料出入库明细!$E1497="","",包装物料出入库明细!$G1497)</f>
        <v/>
      </c>
      <c r="K1497" t="str">
        <f>IF(包装物料出入库明细!$D1497="","",包装物料出入库明细!$D1497)</f>
        <v/>
      </c>
      <c r="L1497">
        <f t="shared" si="536"/>
        <v>0</v>
      </c>
      <c r="M1497">
        <f t="shared" si="537"/>
        <v>9</v>
      </c>
      <c r="Q1497" t="str">
        <f>IF(周转筐出入库明细!$D1498="","",周转筐出入库明细!$D1498)</f>
        <v/>
      </c>
      <c r="R1497">
        <f t="shared" si="538"/>
        <v>0</v>
      </c>
      <c r="S1497">
        <f t="shared" si="539"/>
        <v>5</v>
      </c>
      <c r="W1497" t="str">
        <f>IF(周转筐出入库明细!$C1498="","",周转筐出入库明细!$C1498)</f>
        <v/>
      </c>
      <c r="X1497">
        <f t="shared" si="540"/>
        <v>0</v>
      </c>
      <c r="Y1497">
        <f t="shared" si="541"/>
        <v>12</v>
      </c>
      <c r="AI1497" t="str">
        <f>IF(OR(对接源_01水果筐数!$B298="",LEFT(对接源_01水果筐数!$C298,2)&lt;&gt;"自备"),"",对接源_01水果筐数!$B298)</f>
        <v/>
      </c>
      <c r="AJ1497">
        <f t="shared" si="542"/>
        <v>0</v>
      </c>
      <c r="AK1497">
        <f t="shared" si="543"/>
        <v>6</v>
      </c>
      <c r="CP1497">
        <f>IF(包装物料出入库明细!$D1497="",0,1)</f>
        <v>0</v>
      </c>
      <c r="CQ1497">
        <f t="shared" si="544"/>
        <v>37</v>
      </c>
      <c r="CS1497" t="str">
        <f>IF(OR(周转筐出入库明细!$C1498="",周转筐出入库明细!$F1498&lt;&gt;"采购入库"),"",周转筐出入库明细!$C1498)</f>
        <v/>
      </c>
      <c r="CT1497">
        <f t="shared" si="545"/>
        <v>0</v>
      </c>
      <c r="CU1497">
        <f t="shared" si="546"/>
        <v>1</v>
      </c>
    </row>
    <row r="1498" spans="1:99">
      <c r="A1498" t="str">
        <f>IF(包装物料出入库明细!$E1498="","",包装物料出入库明细!$E1498)</f>
        <v/>
      </c>
      <c r="B1498">
        <f t="shared" si="534"/>
        <v>0</v>
      </c>
      <c r="C1498">
        <f t="shared" si="535"/>
        <v>7</v>
      </c>
      <c r="D1498" t="str">
        <f>IF(包装物料出入库明细!$E1498="","",包装物料出入库明细!$F1498)</f>
        <v/>
      </c>
      <c r="E1498" t="str">
        <f>IF(包装物料出入库明细!$E1498="","",包装物料出入库明细!$G1498)</f>
        <v/>
      </c>
      <c r="K1498" t="str">
        <f>IF(包装物料出入库明细!$D1498="","",包装物料出入库明细!$D1498)</f>
        <v/>
      </c>
      <c r="L1498">
        <f t="shared" si="536"/>
        <v>0</v>
      </c>
      <c r="M1498">
        <f t="shared" si="537"/>
        <v>9</v>
      </c>
      <c r="Q1498" t="str">
        <f>IF(周转筐出入库明细!$D1499="","",周转筐出入库明细!$D1499)</f>
        <v/>
      </c>
      <c r="R1498">
        <f t="shared" si="538"/>
        <v>0</v>
      </c>
      <c r="S1498">
        <f t="shared" si="539"/>
        <v>5</v>
      </c>
      <c r="W1498" t="str">
        <f>IF(周转筐出入库明细!$C1499="","",周转筐出入库明细!$C1499)</f>
        <v/>
      </c>
      <c r="X1498">
        <f t="shared" si="540"/>
        <v>0</v>
      </c>
      <c r="Y1498">
        <f t="shared" si="541"/>
        <v>12</v>
      </c>
      <c r="AI1498" t="str">
        <f>IF(OR(对接源_01水果筐数!$B299="",LEFT(对接源_01水果筐数!$C299,2)&lt;&gt;"自备"),"",对接源_01水果筐数!$B299)</f>
        <v/>
      </c>
      <c r="AJ1498">
        <f t="shared" si="542"/>
        <v>0</v>
      </c>
      <c r="AK1498">
        <f t="shared" si="543"/>
        <v>6</v>
      </c>
      <c r="CP1498">
        <f>IF(包装物料出入库明细!$D1498="",0,1)</f>
        <v>0</v>
      </c>
      <c r="CQ1498">
        <f t="shared" si="544"/>
        <v>37</v>
      </c>
      <c r="CS1498" t="str">
        <f>IF(OR(周转筐出入库明细!$C1499="",周转筐出入库明细!$F1499&lt;&gt;"采购入库"),"",周转筐出入库明细!$C1499)</f>
        <v/>
      </c>
      <c r="CT1498">
        <f t="shared" si="545"/>
        <v>0</v>
      </c>
      <c r="CU1498">
        <f t="shared" si="546"/>
        <v>1</v>
      </c>
    </row>
    <row r="1499" spans="1:99">
      <c r="A1499" t="str">
        <f>IF(包装物料出入库明细!$E1499="","",包装物料出入库明细!$E1499)</f>
        <v/>
      </c>
      <c r="B1499">
        <f t="shared" si="534"/>
        <v>0</v>
      </c>
      <c r="C1499">
        <f t="shared" si="535"/>
        <v>7</v>
      </c>
      <c r="D1499" t="str">
        <f>IF(包装物料出入库明细!$E1499="","",包装物料出入库明细!$F1499)</f>
        <v/>
      </c>
      <c r="E1499" t="str">
        <f>IF(包装物料出入库明细!$E1499="","",包装物料出入库明细!$G1499)</f>
        <v/>
      </c>
      <c r="K1499" t="str">
        <f>IF(包装物料出入库明细!$D1499="","",包装物料出入库明细!$D1499)</f>
        <v/>
      </c>
      <c r="L1499">
        <f t="shared" si="536"/>
        <v>0</v>
      </c>
      <c r="M1499">
        <f t="shared" si="537"/>
        <v>9</v>
      </c>
      <c r="Q1499" t="str">
        <f>IF(周转筐出入库明细!$D1500="","",周转筐出入库明细!$D1500)</f>
        <v/>
      </c>
      <c r="R1499">
        <f t="shared" si="538"/>
        <v>0</v>
      </c>
      <c r="S1499">
        <f t="shared" si="539"/>
        <v>5</v>
      </c>
      <c r="W1499" t="str">
        <f>IF(周转筐出入库明细!$C1500="","",周转筐出入库明细!$C1500)</f>
        <v/>
      </c>
      <c r="X1499">
        <f t="shared" si="540"/>
        <v>0</v>
      </c>
      <c r="Y1499">
        <f t="shared" si="541"/>
        <v>12</v>
      </c>
      <c r="AI1499" t="str">
        <f>IF(OR(对接源_01水果筐数!$B300="",LEFT(对接源_01水果筐数!$C300,2)&lt;&gt;"自备"),"",对接源_01水果筐数!$B300)</f>
        <v/>
      </c>
      <c r="AJ1499">
        <f t="shared" si="542"/>
        <v>0</v>
      </c>
      <c r="AK1499">
        <f t="shared" si="543"/>
        <v>6</v>
      </c>
      <c r="CP1499">
        <f>IF(包装物料出入库明细!$D1499="",0,1)</f>
        <v>0</v>
      </c>
      <c r="CQ1499">
        <f t="shared" si="544"/>
        <v>37</v>
      </c>
      <c r="CS1499" t="str">
        <f>IF(OR(周转筐出入库明细!$C1500="",周转筐出入库明细!$F1500&lt;&gt;"采购入库"),"",周转筐出入库明细!$C1500)</f>
        <v/>
      </c>
      <c r="CT1499">
        <f t="shared" si="545"/>
        <v>0</v>
      </c>
      <c r="CU1499">
        <f t="shared" si="546"/>
        <v>1</v>
      </c>
    </row>
    <row r="1500" spans="1:99">
      <c r="A1500" t="str">
        <f>IF(包装物料出入库明细!$E1500="","",包装物料出入库明细!$E1500)</f>
        <v/>
      </c>
      <c r="B1500">
        <f t="shared" si="534"/>
        <v>0</v>
      </c>
      <c r="C1500">
        <f t="shared" si="535"/>
        <v>7</v>
      </c>
      <c r="D1500" t="str">
        <f>IF(包装物料出入库明细!$E1500="","",包装物料出入库明细!$F1500)</f>
        <v/>
      </c>
      <c r="E1500" t="str">
        <f>IF(包装物料出入库明细!$E1500="","",包装物料出入库明细!$G1500)</f>
        <v/>
      </c>
      <c r="K1500" t="str">
        <f>IF(包装物料出入库明细!$D1500="","",包装物料出入库明细!$D1500)</f>
        <v/>
      </c>
      <c r="L1500">
        <f t="shared" si="536"/>
        <v>0</v>
      </c>
      <c r="M1500">
        <f t="shared" si="537"/>
        <v>9</v>
      </c>
      <c r="Q1500" t="str">
        <f>IF(周转筐出入库明细!$D1501="","",周转筐出入库明细!$D1501)</f>
        <v/>
      </c>
      <c r="R1500">
        <f t="shared" si="538"/>
        <v>0</v>
      </c>
      <c r="S1500">
        <f t="shared" si="539"/>
        <v>5</v>
      </c>
      <c r="W1500" t="str">
        <f>IF(周转筐出入库明细!$C1501="","",周转筐出入库明细!$C1501)</f>
        <v/>
      </c>
      <c r="X1500">
        <f t="shared" si="540"/>
        <v>0</v>
      </c>
      <c r="Y1500">
        <f t="shared" si="541"/>
        <v>12</v>
      </c>
      <c r="AI1500" t="str">
        <f>IF(OR(对接源_01水果筐数!$B301="",LEFT(对接源_01水果筐数!$C301,2)&lt;&gt;"自备"),"",对接源_01水果筐数!$B301)</f>
        <v/>
      </c>
      <c r="AJ1500">
        <f t="shared" si="542"/>
        <v>0</v>
      </c>
      <c r="AK1500">
        <f t="shared" si="543"/>
        <v>6</v>
      </c>
      <c r="CP1500">
        <f>IF(包装物料出入库明细!$D1500="",0,1)</f>
        <v>0</v>
      </c>
      <c r="CQ1500">
        <f t="shared" si="544"/>
        <v>37</v>
      </c>
      <c r="CS1500" t="str">
        <f>IF(OR(周转筐出入库明细!$C1501="",周转筐出入库明细!$F1501&lt;&gt;"采购入库"),"",周转筐出入库明细!$C1501)</f>
        <v/>
      </c>
      <c r="CT1500">
        <f t="shared" si="545"/>
        <v>0</v>
      </c>
      <c r="CU1500">
        <f t="shared" si="546"/>
        <v>1</v>
      </c>
    </row>
    <row r="1501" spans="1:99">
      <c r="A1501" t="str">
        <f>IF(包装物料出入库明细!$E1501="","",包装物料出入库明细!$E1501)</f>
        <v/>
      </c>
      <c r="B1501">
        <f t="shared" si="534"/>
        <v>0</v>
      </c>
      <c r="C1501">
        <f t="shared" si="535"/>
        <v>7</v>
      </c>
      <c r="D1501" t="str">
        <f>IF(包装物料出入库明细!$E1501="","",包装物料出入库明细!$F1501)</f>
        <v/>
      </c>
      <c r="E1501" t="str">
        <f>IF(包装物料出入库明细!$E1501="","",包装物料出入库明细!$G1501)</f>
        <v/>
      </c>
      <c r="K1501" t="str">
        <f>IF(包装物料出入库明细!$D1501="","",包装物料出入库明细!$D1501)</f>
        <v/>
      </c>
      <c r="L1501">
        <f t="shared" si="536"/>
        <v>0</v>
      </c>
      <c r="M1501">
        <f t="shared" si="537"/>
        <v>9</v>
      </c>
      <c r="Q1501" t="str">
        <f>IF(周转筐出入库明细!$D1502="","",周转筐出入库明细!$D1502)</f>
        <v/>
      </c>
      <c r="R1501">
        <f t="shared" si="538"/>
        <v>0</v>
      </c>
      <c r="S1501">
        <f t="shared" si="539"/>
        <v>5</v>
      </c>
      <c r="W1501" t="str">
        <f>IF(周转筐出入库明细!$C1502="","",周转筐出入库明细!$C1502)</f>
        <v/>
      </c>
      <c r="X1501">
        <f t="shared" si="540"/>
        <v>0</v>
      </c>
      <c r="Y1501">
        <f t="shared" si="541"/>
        <v>12</v>
      </c>
      <c r="AI1501" t="str">
        <f>IF(OR(对接源_01水果筐数!$B302="",LEFT(对接源_01水果筐数!$C302,2)&lt;&gt;"自备"),"",对接源_01水果筐数!$B302)</f>
        <v/>
      </c>
      <c r="AJ1501">
        <f t="shared" si="542"/>
        <v>0</v>
      </c>
      <c r="AK1501">
        <f t="shared" si="543"/>
        <v>6</v>
      </c>
      <c r="CP1501">
        <f>IF(包装物料出入库明细!$D1501="",0,1)</f>
        <v>0</v>
      </c>
      <c r="CQ1501">
        <f t="shared" si="544"/>
        <v>37</v>
      </c>
      <c r="CS1501" t="str">
        <f>IF(OR(周转筐出入库明细!$C1502="",周转筐出入库明细!$F1502&lt;&gt;"采购入库"),"",周转筐出入库明细!$C1502)</f>
        <v/>
      </c>
      <c r="CT1501">
        <f t="shared" si="545"/>
        <v>0</v>
      </c>
      <c r="CU1501">
        <f t="shared" si="546"/>
        <v>1</v>
      </c>
    </row>
    <row r="1502" spans="1:99">
      <c r="A1502" t="str">
        <f>IF(包装物料出入库明细!$E1502="","",包装物料出入库明细!$E1502)</f>
        <v/>
      </c>
      <c r="B1502">
        <f t="shared" si="534"/>
        <v>0</v>
      </c>
      <c r="C1502">
        <f t="shared" si="535"/>
        <v>7</v>
      </c>
      <c r="D1502" t="str">
        <f>IF(包装物料出入库明细!$E1502="","",包装物料出入库明细!$F1502)</f>
        <v/>
      </c>
      <c r="E1502" t="str">
        <f>IF(包装物料出入库明细!$E1502="","",包装物料出入库明细!$G1502)</f>
        <v/>
      </c>
      <c r="K1502" t="str">
        <f>IF(包装物料出入库明细!$D1502="","",包装物料出入库明细!$D1502)</f>
        <v/>
      </c>
      <c r="L1502">
        <f t="shared" si="536"/>
        <v>0</v>
      </c>
      <c r="M1502">
        <f t="shared" si="537"/>
        <v>9</v>
      </c>
      <c r="Q1502" t="str">
        <f>IF(周转筐出入库明细!$D1503="","",周转筐出入库明细!$D1503)</f>
        <v/>
      </c>
      <c r="R1502">
        <f t="shared" si="538"/>
        <v>0</v>
      </c>
      <c r="S1502">
        <f t="shared" si="539"/>
        <v>5</v>
      </c>
      <c r="W1502" t="str">
        <f>IF(周转筐出入库明细!$C1503="","",周转筐出入库明细!$C1503)</f>
        <v/>
      </c>
      <c r="X1502">
        <f t="shared" si="540"/>
        <v>0</v>
      </c>
      <c r="Y1502">
        <f t="shared" si="541"/>
        <v>12</v>
      </c>
      <c r="AI1502" t="str">
        <f>IF(OR(对接源_01水果筐数!$B303="",LEFT(对接源_01水果筐数!$C303,2)&lt;&gt;"自备"),"",对接源_01水果筐数!$B303)</f>
        <v/>
      </c>
      <c r="AJ1502">
        <f t="shared" si="542"/>
        <v>0</v>
      </c>
      <c r="AK1502">
        <f t="shared" si="543"/>
        <v>6</v>
      </c>
      <c r="CP1502">
        <f>IF(包装物料出入库明细!$D1502="",0,1)</f>
        <v>0</v>
      </c>
      <c r="CQ1502">
        <f t="shared" si="544"/>
        <v>37</v>
      </c>
      <c r="CS1502" t="str">
        <f>IF(OR(周转筐出入库明细!$C1503="",周转筐出入库明细!$F1503&lt;&gt;"采购入库"),"",周转筐出入库明细!$C1503)</f>
        <v/>
      </c>
      <c r="CT1502">
        <f t="shared" si="545"/>
        <v>0</v>
      </c>
      <c r="CU1502">
        <f t="shared" si="546"/>
        <v>1</v>
      </c>
    </row>
    <row r="1503" spans="1:99">
      <c r="A1503" t="str">
        <f>IF(包装物料出入库明细!$E1503="","",包装物料出入库明细!$E1503)</f>
        <v/>
      </c>
      <c r="B1503">
        <f t="shared" si="534"/>
        <v>0</v>
      </c>
      <c r="C1503">
        <f t="shared" si="535"/>
        <v>7</v>
      </c>
      <c r="D1503" t="str">
        <f>IF(包装物料出入库明细!$E1503="","",包装物料出入库明细!$F1503)</f>
        <v/>
      </c>
      <c r="E1503" t="str">
        <f>IF(包装物料出入库明细!$E1503="","",包装物料出入库明细!$G1503)</f>
        <v/>
      </c>
      <c r="K1503" t="str">
        <f>IF(包装物料出入库明细!$D1503="","",包装物料出入库明细!$D1503)</f>
        <v/>
      </c>
      <c r="L1503">
        <f t="shared" si="536"/>
        <v>0</v>
      </c>
      <c r="M1503">
        <f t="shared" si="537"/>
        <v>9</v>
      </c>
      <c r="Q1503" t="str">
        <f>IF(周转筐出入库明细!$D1504="","",周转筐出入库明细!$D1504)</f>
        <v/>
      </c>
      <c r="R1503">
        <f t="shared" si="538"/>
        <v>0</v>
      </c>
      <c r="S1503">
        <f t="shared" si="539"/>
        <v>5</v>
      </c>
      <c r="W1503" t="str">
        <f>IF(周转筐出入库明细!$C1504="","",周转筐出入库明细!$C1504)</f>
        <v/>
      </c>
      <c r="X1503">
        <f t="shared" si="540"/>
        <v>0</v>
      </c>
      <c r="Y1503">
        <f t="shared" si="541"/>
        <v>12</v>
      </c>
      <c r="AI1503" t="str">
        <f>IF(OR(对接源_01水果筐数!$B304="",LEFT(对接源_01水果筐数!$C304,2)&lt;&gt;"自备"),"",对接源_01水果筐数!$B304)</f>
        <v/>
      </c>
      <c r="AJ1503">
        <f t="shared" si="542"/>
        <v>0</v>
      </c>
      <c r="AK1503">
        <f t="shared" si="543"/>
        <v>6</v>
      </c>
      <c r="CP1503">
        <f>IF(包装物料出入库明细!$D1503="",0,1)</f>
        <v>0</v>
      </c>
      <c r="CQ1503">
        <f t="shared" si="544"/>
        <v>37</v>
      </c>
      <c r="CS1503" t="str">
        <f>IF(OR(周转筐出入库明细!$C1504="",周转筐出入库明细!$F1504&lt;&gt;"采购入库"),"",周转筐出入库明细!$C1504)</f>
        <v/>
      </c>
      <c r="CT1503">
        <f t="shared" si="545"/>
        <v>0</v>
      </c>
      <c r="CU1503">
        <f t="shared" si="546"/>
        <v>1</v>
      </c>
    </row>
    <row r="1504" spans="1:99">
      <c r="A1504" t="str">
        <f>IF(包装物料出入库明细!$E1504="","",包装物料出入库明细!$E1504)</f>
        <v/>
      </c>
      <c r="B1504">
        <f t="shared" si="534"/>
        <v>0</v>
      </c>
      <c r="C1504">
        <f t="shared" si="535"/>
        <v>7</v>
      </c>
      <c r="D1504" t="str">
        <f>IF(包装物料出入库明细!$E1504="","",包装物料出入库明细!$F1504)</f>
        <v/>
      </c>
      <c r="E1504" t="str">
        <f>IF(包装物料出入库明细!$E1504="","",包装物料出入库明细!$G1504)</f>
        <v/>
      </c>
      <c r="K1504" t="str">
        <f>IF(包装物料出入库明细!$D1504="","",包装物料出入库明细!$D1504)</f>
        <v/>
      </c>
      <c r="L1504">
        <f t="shared" si="536"/>
        <v>0</v>
      </c>
      <c r="M1504">
        <f t="shared" si="537"/>
        <v>9</v>
      </c>
      <c r="Q1504" t="str">
        <f>IF(周转筐出入库明细!$D1505="","",周转筐出入库明细!$D1505)</f>
        <v/>
      </c>
      <c r="R1504">
        <f t="shared" si="538"/>
        <v>0</v>
      </c>
      <c r="S1504">
        <f t="shared" si="539"/>
        <v>5</v>
      </c>
      <c r="W1504" t="str">
        <f>IF(周转筐出入库明细!$C1505="","",周转筐出入库明细!$C1505)</f>
        <v/>
      </c>
      <c r="X1504">
        <f t="shared" si="540"/>
        <v>0</v>
      </c>
      <c r="Y1504">
        <f t="shared" si="541"/>
        <v>12</v>
      </c>
      <c r="CP1504">
        <f>IF(包装物料出入库明细!$D1504="",0,1)</f>
        <v>0</v>
      </c>
      <c r="CQ1504">
        <f t="shared" si="544"/>
        <v>37</v>
      </c>
      <c r="CS1504" t="str">
        <f>IF(OR(周转筐出入库明细!$C1505="",周转筐出入库明细!$F1505&lt;&gt;"采购入库"),"",周转筐出入库明细!$C1505)</f>
        <v/>
      </c>
      <c r="CT1504">
        <f t="shared" si="545"/>
        <v>0</v>
      </c>
      <c r="CU1504">
        <f t="shared" si="546"/>
        <v>1</v>
      </c>
    </row>
    <row r="1505" spans="1:99">
      <c r="A1505" t="str">
        <f>IF(包装物料出入库明细!$E1505="","",包装物料出入库明细!$E1505)</f>
        <v/>
      </c>
      <c r="B1505">
        <f t="shared" si="534"/>
        <v>0</v>
      </c>
      <c r="C1505">
        <f t="shared" si="535"/>
        <v>7</v>
      </c>
      <c r="D1505" t="str">
        <f>IF(包装物料出入库明细!$E1505="","",包装物料出入库明细!$F1505)</f>
        <v/>
      </c>
      <c r="E1505" t="str">
        <f>IF(包装物料出入库明细!$E1505="","",包装物料出入库明细!$G1505)</f>
        <v/>
      </c>
      <c r="K1505" t="str">
        <f>IF(包装物料出入库明细!$D1505="","",包装物料出入库明细!$D1505)</f>
        <v/>
      </c>
      <c r="L1505">
        <f t="shared" si="536"/>
        <v>0</v>
      </c>
      <c r="M1505">
        <f t="shared" si="537"/>
        <v>9</v>
      </c>
      <c r="Q1505" t="str">
        <f>IF(周转筐出入库明细!$D1506="","",周转筐出入库明细!$D1506)</f>
        <v/>
      </c>
      <c r="R1505">
        <f t="shared" si="538"/>
        <v>0</v>
      </c>
      <c r="S1505">
        <f t="shared" si="539"/>
        <v>5</v>
      </c>
      <c r="W1505" t="str">
        <f>IF(周转筐出入库明细!$C1506="","",周转筐出入库明细!$C1506)</f>
        <v/>
      </c>
      <c r="X1505">
        <f t="shared" si="540"/>
        <v>0</v>
      </c>
      <c r="Y1505">
        <f t="shared" si="541"/>
        <v>12</v>
      </c>
      <c r="CP1505">
        <f>IF(包装物料出入库明细!$D1505="",0,1)</f>
        <v>0</v>
      </c>
      <c r="CQ1505">
        <f t="shared" si="544"/>
        <v>37</v>
      </c>
      <c r="CS1505" t="str">
        <f>IF(OR(周转筐出入库明细!$C1506="",周转筐出入库明细!$F1506&lt;&gt;"采购入库"),"",周转筐出入库明细!$C1506)</f>
        <v/>
      </c>
      <c r="CT1505">
        <f t="shared" si="545"/>
        <v>0</v>
      </c>
      <c r="CU1505">
        <f t="shared" si="546"/>
        <v>1</v>
      </c>
    </row>
    <row r="1506" spans="1:99">
      <c r="A1506" t="str">
        <f>IF(包装物料出入库明细!$E1506="","",包装物料出入库明细!$E1506)</f>
        <v/>
      </c>
      <c r="B1506">
        <f t="shared" si="534"/>
        <v>0</v>
      </c>
      <c r="C1506">
        <f t="shared" si="535"/>
        <v>7</v>
      </c>
      <c r="D1506" t="str">
        <f>IF(包装物料出入库明细!$E1506="","",包装物料出入库明细!$F1506)</f>
        <v/>
      </c>
      <c r="E1506" t="str">
        <f>IF(包装物料出入库明细!$E1506="","",包装物料出入库明细!$G1506)</f>
        <v/>
      </c>
      <c r="K1506" t="str">
        <f>IF(包装物料出入库明细!$D1506="","",包装物料出入库明细!$D1506)</f>
        <v/>
      </c>
      <c r="L1506">
        <f t="shared" si="536"/>
        <v>0</v>
      </c>
      <c r="M1506">
        <f t="shared" si="537"/>
        <v>9</v>
      </c>
      <c r="Q1506" t="str">
        <f>IF(周转筐出入库明细!$D1507="","",周转筐出入库明细!$D1507)</f>
        <v/>
      </c>
      <c r="R1506">
        <f t="shared" si="538"/>
        <v>0</v>
      </c>
      <c r="S1506">
        <f t="shared" si="539"/>
        <v>5</v>
      </c>
      <c r="W1506" t="str">
        <f>IF(周转筐出入库明细!$C1507="","",周转筐出入库明细!$C1507)</f>
        <v/>
      </c>
      <c r="X1506">
        <f t="shared" si="540"/>
        <v>0</v>
      </c>
      <c r="Y1506">
        <f t="shared" si="541"/>
        <v>12</v>
      </c>
      <c r="CP1506">
        <f>IF(包装物料出入库明细!$D1506="",0,1)</f>
        <v>0</v>
      </c>
      <c r="CQ1506">
        <f t="shared" si="544"/>
        <v>37</v>
      </c>
      <c r="CS1506" t="str">
        <f>IF(OR(周转筐出入库明细!$C1507="",周转筐出入库明细!$F1507&lt;&gt;"采购入库"),"",周转筐出入库明细!$C1507)</f>
        <v/>
      </c>
      <c r="CT1506">
        <f t="shared" si="545"/>
        <v>0</v>
      </c>
      <c r="CU1506">
        <f t="shared" si="546"/>
        <v>1</v>
      </c>
    </row>
    <row r="1507" spans="1:99">
      <c r="A1507" t="str">
        <f>IF(包装物料出入库明细!$E1507="","",包装物料出入库明细!$E1507)</f>
        <v/>
      </c>
      <c r="B1507">
        <f t="shared" si="534"/>
        <v>0</v>
      </c>
      <c r="C1507">
        <f t="shared" si="535"/>
        <v>7</v>
      </c>
      <c r="D1507" t="str">
        <f>IF(包装物料出入库明细!$E1507="","",包装物料出入库明细!$F1507)</f>
        <v/>
      </c>
      <c r="E1507" t="str">
        <f>IF(包装物料出入库明细!$E1507="","",包装物料出入库明细!$G1507)</f>
        <v/>
      </c>
      <c r="K1507" t="str">
        <f>IF(包装物料出入库明细!$D1507="","",包装物料出入库明细!$D1507)</f>
        <v/>
      </c>
      <c r="L1507">
        <f t="shared" si="536"/>
        <v>0</v>
      </c>
      <c r="M1507">
        <f t="shared" si="537"/>
        <v>9</v>
      </c>
      <c r="Q1507" t="str">
        <f>IF(周转筐出入库明细!$D1508="","",周转筐出入库明细!$D1508)</f>
        <v/>
      </c>
      <c r="R1507">
        <f t="shared" si="538"/>
        <v>0</v>
      </c>
      <c r="S1507">
        <f t="shared" si="539"/>
        <v>5</v>
      </c>
      <c r="W1507" t="str">
        <f>IF(周转筐出入库明细!$C1508="","",周转筐出入库明细!$C1508)</f>
        <v/>
      </c>
      <c r="X1507">
        <f t="shared" si="540"/>
        <v>0</v>
      </c>
      <c r="Y1507">
        <f t="shared" si="541"/>
        <v>12</v>
      </c>
      <c r="CP1507">
        <f>IF(包装物料出入库明细!$D1507="",0,1)</f>
        <v>0</v>
      </c>
      <c r="CQ1507">
        <f t="shared" si="544"/>
        <v>37</v>
      </c>
      <c r="CS1507" t="str">
        <f>IF(OR(周转筐出入库明细!$C1508="",周转筐出入库明细!$F1508&lt;&gt;"采购入库"),"",周转筐出入库明细!$C1508)</f>
        <v/>
      </c>
      <c r="CT1507">
        <f t="shared" si="545"/>
        <v>0</v>
      </c>
      <c r="CU1507">
        <f t="shared" si="546"/>
        <v>1</v>
      </c>
    </row>
    <row r="1508" spans="1:99">
      <c r="A1508" t="str">
        <f>IF(包装物料出入库明细!$E1508="","",包装物料出入库明细!$E1508)</f>
        <v/>
      </c>
      <c r="B1508">
        <f t="shared" si="534"/>
        <v>0</v>
      </c>
      <c r="C1508">
        <f t="shared" si="535"/>
        <v>7</v>
      </c>
      <c r="D1508" t="str">
        <f>IF(包装物料出入库明细!$E1508="","",包装物料出入库明细!$F1508)</f>
        <v/>
      </c>
      <c r="E1508" t="str">
        <f>IF(包装物料出入库明细!$E1508="","",包装物料出入库明细!$G1508)</f>
        <v/>
      </c>
      <c r="K1508" t="str">
        <f>IF(包装物料出入库明细!$D1508="","",包装物料出入库明细!$D1508)</f>
        <v/>
      </c>
      <c r="L1508">
        <f t="shared" si="536"/>
        <v>0</v>
      </c>
      <c r="M1508">
        <f t="shared" si="537"/>
        <v>9</v>
      </c>
      <c r="Q1508" t="str">
        <f>IF(周转筐出入库明细!$D1509="","",周转筐出入库明细!$D1509)</f>
        <v/>
      </c>
      <c r="R1508">
        <f t="shared" si="538"/>
        <v>0</v>
      </c>
      <c r="S1508">
        <f t="shared" si="539"/>
        <v>5</v>
      </c>
      <c r="W1508" t="str">
        <f>IF(周转筐出入库明细!$C1509="","",周转筐出入库明细!$C1509)</f>
        <v/>
      </c>
      <c r="X1508">
        <f t="shared" si="540"/>
        <v>0</v>
      </c>
      <c r="Y1508">
        <f t="shared" si="541"/>
        <v>12</v>
      </c>
      <c r="CP1508">
        <f>IF(包装物料出入库明细!$D1508="",0,1)</f>
        <v>0</v>
      </c>
      <c r="CQ1508">
        <f t="shared" si="544"/>
        <v>37</v>
      </c>
      <c r="CS1508" t="str">
        <f>IF(OR(周转筐出入库明细!$C1509="",周转筐出入库明细!$F1509&lt;&gt;"采购入库"),"",周转筐出入库明细!$C1509)</f>
        <v/>
      </c>
      <c r="CT1508">
        <f t="shared" si="545"/>
        <v>0</v>
      </c>
      <c r="CU1508">
        <f t="shared" si="546"/>
        <v>1</v>
      </c>
    </row>
    <row r="1509" spans="1:99">
      <c r="A1509" t="str">
        <f>IF(包装物料出入库明细!$E1509="","",包装物料出入库明细!$E1509)</f>
        <v/>
      </c>
      <c r="B1509">
        <f t="shared" si="534"/>
        <v>0</v>
      </c>
      <c r="C1509">
        <f t="shared" si="535"/>
        <v>7</v>
      </c>
      <c r="D1509" t="str">
        <f>IF(包装物料出入库明细!$E1509="","",包装物料出入库明细!$F1509)</f>
        <v/>
      </c>
      <c r="E1509" t="str">
        <f>IF(包装物料出入库明细!$E1509="","",包装物料出入库明细!$G1509)</f>
        <v/>
      </c>
      <c r="K1509" t="str">
        <f>IF(包装物料出入库明细!$D1509="","",包装物料出入库明细!$D1509)</f>
        <v/>
      </c>
      <c r="L1509">
        <f t="shared" si="536"/>
        <v>0</v>
      </c>
      <c r="M1509">
        <f t="shared" si="537"/>
        <v>9</v>
      </c>
      <c r="Q1509" t="str">
        <f>IF(周转筐出入库明细!$D1510="","",周转筐出入库明细!$D1510)</f>
        <v/>
      </c>
      <c r="R1509">
        <f t="shared" si="538"/>
        <v>0</v>
      </c>
      <c r="S1509">
        <f t="shared" si="539"/>
        <v>5</v>
      </c>
      <c r="W1509" t="str">
        <f>IF(周转筐出入库明细!$C1510="","",周转筐出入库明细!$C1510)</f>
        <v/>
      </c>
      <c r="X1509">
        <f t="shared" si="540"/>
        <v>0</v>
      </c>
      <c r="Y1509">
        <f t="shared" si="541"/>
        <v>12</v>
      </c>
      <c r="CP1509">
        <f>IF(包装物料出入库明细!$D1509="",0,1)</f>
        <v>0</v>
      </c>
      <c r="CQ1509">
        <f t="shared" si="544"/>
        <v>37</v>
      </c>
      <c r="CS1509" t="str">
        <f>IF(OR(周转筐出入库明细!$C1510="",周转筐出入库明细!$F1510&lt;&gt;"采购入库"),"",周转筐出入库明细!$C1510)</f>
        <v/>
      </c>
      <c r="CT1509">
        <f t="shared" si="545"/>
        <v>0</v>
      </c>
      <c r="CU1509">
        <f t="shared" si="546"/>
        <v>1</v>
      </c>
    </row>
    <row r="1510" spans="1:99">
      <c r="A1510" t="str">
        <f>IF(包装物料出入库明细!$E1510="","",包装物料出入库明细!$E1510)</f>
        <v/>
      </c>
      <c r="B1510">
        <f t="shared" si="534"/>
        <v>0</v>
      </c>
      <c r="C1510">
        <f t="shared" si="535"/>
        <v>7</v>
      </c>
      <c r="D1510" t="str">
        <f>IF(包装物料出入库明细!$E1510="","",包装物料出入库明细!$F1510)</f>
        <v/>
      </c>
      <c r="E1510" t="str">
        <f>IF(包装物料出入库明细!$E1510="","",包装物料出入库明细!$G1510)</f>
        <v/>
      </c>
      <c r="K1510" t="str">
        <f>IF(包装物料出入库明细!$D1510="","",包装物料出入库明细!$D1510)</f>
        <v/>
      </c>
      <c r="L1510">
        <f t="shared" si="536"/>
        <v>0</v>
      </c>
      <c r="M1510">
        <f t="shared" si="537"/>
        <v>9</v>
      </c>
      <c r="Q1510" t="str">
        <f>IF(周转筐出入库明细!$D1511="","",周转筐出入库明细!$D1511)</f>
        <v/>
      </c>
      <c r="R1510">
        <f t="shared" si="538"/>
        <v>0</v>
      </c>
      <c r="S1510">
        <f t="shared" si="539"/>
        <v>5</v>
      </c>
      <c r="W1510" t="str">
        <f>IF(周转筐出入库明细!$C1511="","",周转筐出入库明细!$C1511)</f>
        <v/>
      </c>
      <c r="X1510">
        <f t="shared" si="540"/>
        <v>0</v>
      </c>
      <c r="Y1510">
        <f t="shared" si="541"/>
        <v>12</v>
      </c>
      <c r="CP1510">
        <f>IF(包装物料出入库明细!$D1510="",0,1)</f>
        <v>0</v>
      </c>
      <c r="CQ1510">
        <f t="shared" si="544"/>
        <v>37</v>
      </c>
      <c r="CS1510" t="str">
        <f>IF(OR(周转筐出入库明细!$C1511="",周转筐出入库明细!$F1511&lt;&gt;"采购入库"),"",周转筐出入库明细!$C1511)</f>
        <v/>
      </c>
      <c r="CT1510">
        <f t="shared" si="545"/>
        <v>0</v>
      </c>
      <c r="CU1510">
        <f t="shared" si="546"/>
        <v>1</v>
      </c>
    </row>
    <row r="1511" spans="1:99">
      <c r="A1511" t="str">
        <f>IF(包装物料出入库明细!$E1511="","",包装物料出入库明细!$E1511)</f>
        <v/>
      </c>
      <c r="B1511">
        <f t="shared" si="534"/>
        <v>0</v>
      </c>
      <c r="C1511">
        <f t="shared" si="535"/>
        <v>7</v>
      </c>
      <c r="D1511" t="str">
        <f>IF(包装物料出入库明细!$E1511="","",包装物料出入库明细!$F1511)</f>
        <v/>
      </c>
      <c r="E1511" t="str">
        <f>IF(包装物料出入库明细!$E1511="","",包装物料出入库明细!$G1511)</f>
        <v/>
      </c>
      <c r="K1511" t="str">
        <f>IF(包装物料出入库明细!$D1511="","",包装物料出入库明细!$D1511)</f>
        <v/>
      </c>
      <c r="L1511">
        <f t="shared" si="536"/>
        <v>0</v>
      </c>
      <c r="M1511">
        <f t="shared" si="537"/>
        <v>9</v>
      </c>
      <c r="Q1511" t="str">
        <f>IF(周转筐出入库明细!$D1512="","",周转筐出入库明细!$D1512)</f>
        <v/>
      </c>
      <c r="R1511">
        <f t="shared" si="538"/>
        <v>0</v>
      </c>
      <c r="S1511">
        <f t="shared" si="539"/>
        <v>5</v>
      </c>
      <c r="W1511" t="str">
        <f>IF(周转筐出入库明细!$C1512="","",周转筐出入库明细!$C1512)</f>
        <v/>
      </c>
      <c r="X1511">
        <f t="shared" si="540"/>
        <v>0</v>
      </c>
      <c r="Y1511">
        <f t="shared" si="541"/>
        <v>12</v>
      </c>
      <c r="CP1511">
        <f>IF(包装物料出入库明细!$D1511="",0,1)</f>
        <v>0</v>
      </c>
      <c r="CQ1511">
        <f t="shared" si="544"/>
        <v>37</v>
      </c>
      <c r="CS1511" t="str">
        <f>IF(OR(周转筐出入库明细!$C1512="",周转筐出入库明细!$F1512&lt;&gt;"采购入库"),"",周转筐出入库明细!$C1512)</f>
        <v/>
      </c>
      <c r="CT1511">
        <f t="shared" si="545"/>
        <v>0</v>
      </c>
      <c r="CU1511">
        <f t="shared" si="546"/>
        <v>1</v>
      </c>
    </row>
    <row r="1512" spans="1:99">
      <c r="A1512" t="str">
        <f>IF(包装物料出入库明细!$E1512="","",包装物料出入库明细!$E1512)</f>
        <v/>
      </c>
      <c r="B1512">
        <f t="shared" si="534"/>
        <v>0</v>
      </c>
      <c r="C1512">
        <f t="shared" si="535"/>
        <v>7</v>
      </c>
      <c r="D1512" t="str">
        <f>IF(包装物料出入库明细!$E1512="","",包装物料出入库明细!$F1512)</f>
        <v/>
      </c>
      <c r="E1512" t="str">
        <f>IF(包装物料出入库明细!$E1512="","",包装物料出入库明细!$G1512)</f>
        <v/>
      </c>
      <c r="K1512" t="str">
        <f>IF(包装物料出入库明细!$D1512="","",包装物料出入库明细!$D1512)</f>
        <v/>
      </c>
      <c r="L1512">
        <f t="shared" si="536"/>
        <v>0</v>
      </c>
      <c r="M1512">
        <f t="shared" si="537"/>
        <v>9</v>
      </c>
      <c r="Q1512" t="str">
        <f>IF(周转筐出入库明细!$D1513="","",周转筐出入库明细!$D1513)</f>
        <v/>
      </c>
      <c r="R1512">
        <f t="shared" si="538"/>
        <v>0</v>
      </c>
      <c r="S1512">
        <f t="shared" si="539"/>
        <v>5</v>
      </c>
      <c r="W1512" t="str">
        <f>IF(周转筐出入库明细!$C1513="","",周转筐出入库明细!$C1513)</f>
        <v/>
      </c>
      <c r="X1512">
        <f t="shared" si="540"/>
        <v>0</v>
      </c>
      <c r="Y1512">
        <f t="shared" si="541"/>
        <v>12</v>
      </c>
      <c r="CP1512">
        <f>IF(包装物料出入库明细!$D1512="",0,1)</f>
        <v>0</v>
      </c>
      <c r="CQ1512">
        <f t="shared" si="544"/>
        <v>37</v>
      </c>
      <c r="CS1512" t="str">
        <f>IF(OR(周转筐出入库明细!$C1513="",周转筐出入库明细!$F1513&lt;&gt;"采购入库"),"",周转筐出入库明细!$C1513)</f>
        <v/>
      </c>
      <c r="CT1512">
        <f t="shared" si="545"/>
        <v>0</v>
      </c>
      <c r="CU1512">
        <f t="shared" si="546"/>
        <v>1</v>
      </c>
    </row>
    <row r="1513" spans="1:99">
      <c r="A1513" t="str">
        <f>IF(包装物料出入库明细!$E1513="","",包装物料出入库明细!$E1513)</f>
        <v/>
      </c>
      <c r="B1513">
        <f t="shared" si="534"/>
        <v>0</v>
      </c>
      <c r="C1513">
        <f t="shared" si="535"/>
        <v>7</v>
      </c>
      <c r="D1513" t="str">
        <f>IF(包装物料出入库明细!$E1513="","",包装物料出入库明细!$F1513)</f>
        <v/>
      </c>
      <c r="E1513" t="str">
        <f>IF(包装物料出入库明细!$E1513="","",包装物料出入库明细!$G1513)</f>
        <v/>
      </c>
      <c r="K1513" t="str">
        <f>IF(包装物料出入库明细!$D1513="","",包装物料出入库明细!$D1513)</f>
        <v/>
      </c>
      <c r="L1513">
        <f t="shared" si="536"/>
        <v>0</v>
      </c>
      <c r="M1513">
        <f t="shared" si="537"/>
        <v>9</v>
      </c>
      <c r="Q1513" t="str">
        <f>IF(周转筐出入库明细!$D1514="","",周转筐出入库明细!$D1514)</f>
        <v/>
      </c>
      <c r="R1513">
        <f t="shared" si="538"/>
        <v>0</v>
      </c>
      <c r="S1513">
        <f t="shared" si="539"/>
        <v>5</v>
      </c>
      <c r="W1513" t="str">
        <f>IF(周转筐出入库明细!$C1514="","",周转筐出入库明细!$C1514)</f>
        <v/>
      </c>
      <c r="X1513">
        <f t="shared" si="540"/>
        <v>0</v>
      </c>
      <c r="Y1513">
        <f t="shared" si="541"/>
        <v>12</v>
      </c>
      <c r="CP1513">
        <f>IF(包装物料出入库明细!$D1513="",0,1)</f>
        <v>0</v>
      </c>
      <c r="CQ1513">
        <f t="shared" si="544"/>
        <v>37</v>
      </c>
      <c r="CS1513" t="str">
        <f>IF(OR(周转筐出入库明细!$C1514="",周转筐出入库明细!$F1514&lt;&gt;"采购入库"),"",周转筐出入库明细!$C1514)</f>
        <v/>
      </c>
      <c r="CT1513">
        <f t="shared" si="545"/>
        <v>0</v>
      </c>
      <c r="CU1513">
        <f t="shared" si="546"/>
        <v>1</v>
      </c>
    </row>
    <row r="1514" spans="1:99">
      <c r="A1514" t="str">
        <f>IF(包装物料出入库明细!$E1514="","",包装物料出入库明细!$E1514)</f>
        <v/>
      </c>
      <c r="B1514">
        <f t="shared" si="534"/>
        <v>0</v>
      </c>
      <c r="C1514">
        <f t="shared" si="535"/>
        <v>7</v>
      </c>
      <c r="D1514" t="str">
        <f>IF(包装物料出入库明细!$E1514="","",包装物料出入库明细!$F1514)</f>
        <v/>
      </c>
      <c r="E1514" t="str">
        <f>IF(包装物料出入库明细!$E1514="","",包装物料出入库明细!$G1514)</f>
        <v/>
      </c>
      <c r="K1514" t="str">
        <f>IF(包装物料出入库明细!$D1514="","",包装物料出入库明细!$D1514)</f>
        <v/>
      </c>
      <c r="L1514">
        <f t="shared" si="536"/>
        <v>0</v>
      </c>
      <c r="M1514">
        <f t="shared" si="537"/>
        <v>9</v>
      </c>
      <c r="Q1514" t="str">
        <f>IF(周转筐出入库明细!$D1515="","",周转筐出入库明细!$D1515)</f>
        <v/>
      </c>
      <c r="R1514">
        <f t="shared" si="538"/>
        <v>0</v>
      </c>
      <c r="S1514">
        <f t="shared" si="539"/>
        <v>5</v>
      </c>
      <c r="W1514" t="str">
        <f>IF(周转筐出入库明细!$C1515="","",周转筐出入库明细!$C1515)</f>
        <v/>
      </c>
      <c r="X1514">
        <f t="shared" si="540"/>
        <v>0</v>
      </c>
      <c r="Y1514">
        <f t="shared" si="541"/>
        <v>12</v>
      </c>
      <c r="CP1514">
        <f>IF(包装物料出入库明细!$D1514="",0,1)</f>
        <v>0</v>
      </c>
      <c r="CQ1514">
        <f t="shared" si="544"/>
        <v>37</v>
      </c>
      <c r="CS1514" t="str">
        <f>IF(OR(周转筐出入库明细!$C1515="",周转筐出入库明细!$F1515&lt;&gt;"采购入库"),"",周转筐出入库明细!$C1515)</f>
        <v/>
      </c>
      <c r="CT1514">
        <f t="shared" si="545"/>
        <v>0</v>
      </c>
      <c r="CU1514">
        <f t="shared" si="546"/>
        <v>1</v>
      </c>
    </row>
    <row r="1515" spans="1:99">
      <c r="A1515" t="str">
        <f>IF(包装物料出入库明细!$E1515="","",包装物料出入库明细!$E1515)</f>
        <v/>
      </c>
      <c r="B1515">
        <f t="shared" si="534"/>
        <v>0</v>
      </c>
      <c r="C1515">
        <f t="shared" si="535"/>
        <v>7</v>
      </c>
      <c r="D1515" t="str">
        <f>IF(包装物料出入库明细!$E1515="","",包装物料出入库明细!$F1515)</f>
        <v/>
      </c>
      <c r="E1515" t="str">
        <f>IF(包装物料出入库明细!$E1515="","",包装物料出入库明细!$G1515)</f>
        <v/>
      </c>
      <c r="K1515" t="str">
        <f>IF(包装物料出入库明细!$D1515="","",包装物料出入库明细!$D1515)</f>
        <v/>
      </c>
      <c r="L1515">
        <f t="shared" si="536"/>
        <v>0</v>
      </c>
      <c r="M1515">
        <f t="shared" si="537"/>
        <v>9</v>
      </c>
      <c r="Q1515" t="str">
        <f>IF(周转筐出入库明细!$D1516="","",周转筐出入库明细!$D1516)</f>
        <v/>
      </c>
      <c r="R1515">
        <f t="shared" si="538"/>
        <v>0</v>
      </c>
      <c r="S1515">
        <f t="shared" si="539"/>
        <v>5</v>
      </c>
      <c r="W1515" t="str">
        <f>IF(周转筐出入库明细!$C1516="","",周转筐出入库明细!$C1516)</f>
        <v/>
      </c>
      <c r="X1515">
        <f t="shared" si="540"/>
        <v>0</v>
      </c>
      <c r="Y1515">
        <f t="shared" si="541"/>
        <v>12</v>
      </c>
      <c r="CP1515">
        <f>IF(包装物料出入库明细!$D1515="",0,1)</f>
        <v>0</v>
      </c>
      <c r="CQ1515">
        <f t="shared" si="544"/>
        <v>37</v>
      </c>
      <c r="CS1515" t="str">
        <f>IF(OR(周转筐出入库明细!$C1516="",周转筐出入库明细!$F1516&lt;&gt;"采购入库"),"",周转筐出入库明细!$C1516)</f>
        <v/>
      </c>
      <c r="CT1515">
        <f t="shared" si="545"/>
        <v>0</v>
      </c>
      <c r="CU1515">
        <f t="shared" si="546"/>
        <v>1</v>
      </c>
    </row>
    <row r="1516" spans="1:99">
      <c r="A1516" t="str">
        <f>IF(包装物料出入库明细!$E1516="","",包装物料出入库明细!$E1516)</f>
        <v/>
      </c>
      <c r="B1516">
        <f t="shared" si="534"/>
        <v>0</v>
      </c>
      <c r="C1516">
        <f t="shared" si="535"/>
        <v>7</v>
      </c>
      <c r="D1516" t="str">
        <f>IF(包装物料出入库明细!$E1516="","",包装物料出入库明细!$F1516)</f>
        <v/>
      </c>
      <c r="E1516" t="str">
        <f>IF(包装物料出入库明细!$E1516="","",包装物料出入库明细!$G1516)</f>
        <v/>
      </c>
      <c r="K1516" t="str">
        <f>IF(包装物料出入库明细!$D1516="","",包装物料出入库明细!$D1516)</f>
        <v/>
      </c>
      <c r="L1516">
        <f t="shared" si="536"/>
        <v>0</v>
      </c>
      <c r="M1516">
        <f t="shared" si="537"/>
        <v>9</v>
      </c>
      <c r="Q1516" t="str">
        <f>IF(周转筐出入库明细!$D1517="","",周转筐出入库明细!$D1517)</f>
        <v/>
      </c>
      <c r="R1516">
        <f t="shared" si="538"/>
        <v>0</v>
      </c>
      <c r="S1516">
        <f t="shared" si="539"/>
        <v>5</v>
      </c>
      <c r="W1516" t="str">
        <f>IF(周转筐出入库明细!$C1517="","",周转筐出入库明细!$C1517)</f>
        <v/>
      </c>
      <c r="X1516">
        <f t="shared" si="540"/>
        <v>0</v>
      </c>
      <c r="Y1516">
        <f t="shared" si="541"/>
        <v>12</v>
      </c>
      <c r="CP1516">
        <f>IF(包装物料出入库明细!$D1516="",0,1)</f>
        <v>0</v>
      </c>
      <c r="CQ1516">
        <f t="shared" si="544"/>
        <v>37</v>
      </c>
      <c r="CS1516" t="str">
        <f>IF(OR(周转筐出入库明细!$C1517="",周转筐出入库明细!$F1517&lt;&gt;"采购入库"),"",周转筐出入库明细!$C1517)</f>
        <v/>
      </c>
      <c r="CT1516">
        <f t="shared" si="545"/>
        <v>0</v>
      </c>
      <c r="CU1516">
        <f t="shared" si="546"/>
        <v>1</v>
      </c>
    </row>
    <row r="1517" spans="1:99">
      <c r="A1517" t="str">
        <f>IF(包装物料出入库明细!$E1517="","",包装物料出入库明细!$E1517)</f>
        <v/>
      </c>
      <c r="B1517">
        <f t="shared" si="534"/>
        <v>0</v>
      </c>
      <c r="C1517">
        <f t="shared" si="535"/>
        <v>7</v>
      </c>
      <c r="D1517" t="str">
        <f>IF(包装物料出入库明细!$E1517="","",包装物料出入库明细!$F1517)</f>
        <v/>
      </c>
      <c r="E1517" t="str">
        <f>IF(包装物料出入库明细!$E1517="","",包装物料出入库明细!$G1517)</f>
        <v/>
      </c>
      <c r="K1517" t="str">
        <f>IF(包装物料出入库明细!$D1517="","",包装物料出入库明细!$D1517)</f>
        <v/>
      </c>
      <c r="L1517">
        <f t="shared" si="536"/>
        <v>0</v>
      </c>
      <c r="M1517">
        <f t="shared" si="537"/>
        <v>9</v>
      </c>
      <c r="Q1517" t="str">
        <f>IF(周转筐出入库明细!$D1518="","",周转筐出入库明细!$D1518)</f>
        <v/>
      </c>
      <c r="R1517">
        <f t="shared" si="538"/>
        <v>0</v>
      </c>
      <c r="S1517">
        <f t="shared" si="539"/>
        <v>5</v>
      </c>
      <c r="W1517" t="str">
        <f>IF(周转筐出入库明细!$C1518="","",周转筐出入库明细!$C1518)</f>
        <v/>
      </c>
      <c r="X1517">
        <f t="shared" si="540"/>
        <v>0</v>
      </c>
      <c r="Y1517">
        <f t="shared" si="541"/>
        <v>12</v>
      </c>
      <c r="CP1517">
        <f>IF(包装物料出入库明细!$D1517="",0,1)</f>
        <v>0</v>
      </c>
      <c r="CQ1517">
        <f t="shared" si="544"/>
        <v>37</v>
      </c>
      <c r="CS1517" t="str">
        <f>IF(OR(周转筐出入库明细!$C1518="",周转筐出入库明细!$F1518&lt;&gt;"采购入库"),"",周转筐出入库明细!$C1518)</f>
        <v/>
      </c>
      <c r="CT1517">
        <f t="shared" si="545"/>
        <v>0</v>
      </c>
      <c r="CU1517">
        <f t="shared" si="546"/>
        <v>1</v>
      </c>
    </row>
    <row r="1518" spans="1:99">
      <c r="A1518" t="str">
        <f>IF(包装物料出入库明细!$E1518="","",包装物料出入库明细!$E1518)</f>
        <v/>
      </c>
      <c r="B1518">
        <f t="shared" si="534"/>
        <v>0</v>
      </c>
      <c r="C1518">
        <f t="shared" si="535"/>
        <v>7</v>
      </c>
      <c r="D1518" t="str">
        <f>IF(包装物料出入库明细!$E1518="","",包装物料出入库明细!$F1518)</f>
        <v/>
      </c>
      <c r="E1518" t="str">
        <f>IF(包装物料出入库明细!$E1518="","",包装物料出入库明细!$G1518)</f>
        <v/>
      </c>
      <c r="K1518" t="str">
        <f>IF(包装物料出入库明细!$D1518="","",包装物料出入库明细!$D1518)</f>
        <v/>
      </c>
      <c r="L1518">
        <f t="shared" si="536"/>
        <v>0</v>
      </c>
      <c r="M1518">
        <f t="shared" si="537"/>
        <v>9</v>
      </c>
      <c r="Q1518" t="str">
        <f>IF(周转筐出入库明细!$D1519="","",周转筐出入库明细!$D1519)</f>
        <v/>
      </c>
      <c r="R1518">
        <f t="shared" si="538"/>
        <v>0</v>
      </c>
      <c r="S1518">
        <f t="shared" si="539"/>
        <v>5</v>
      </c>
      <c r="W1518" t="str">
        <f>IF(周转筐出入库明细!$C1519="","",周转筐出入库明细!$C1519)</f>
        <v/>
      </c>
      <c r="X1518">
        <f t="shared" si="540"/>
        <v>0</v>
      </c>
      <c r="Y1518">
        <f t="shared" si="541"/>
        <v>12</v>
      </c>
      <c r="CP1518">
        <f>IF(包装物料出入库明细!$D1518="",0,1)</f>
        <v>0</v>
      </c>
      <c r="CQ1518">
        <f t="shared" si="544"/>
        <v>37</v>
      </c>
      <c r="CS1518" t="str">
        <f>IF(OR(周转筐出入库明细!$C1519="",周转筐出入库明细!$F1519&lt;&gt;"采购入库"),"",周转筐出入库明细!$C1519)</f>
        <v/>
      </c>
      <c r="CT1518">
        <f t="shared" si="545"/>
        <v>0</v>
      </c>
      <c r="CU1518">
        <f t="shared" si="546"/>
        <v>1</v>
      </c>
    </row>
    <row r="1519" spans="1:99">
      <c r="A1519" t="str">
        <f>IF(包装物料出入库明细!$E1519="","",包装物料出入库明细!$E1519)</f>
        <v/>
      </c>
      <c r="B1519">
        <f t="shared" si="534"/>
        <v>0</v>
      </c>
      <c r="C1519">
        <f t="shared" si="535"/>
        <v>7</v>
      </c>
      <c r="D1519" t="str">
        <f>IF(包装物料出入库明细!$E1519="","",包装物料出入库明细!$F1519)</f>
        <v/>
      </c>
      <c r="E1519" t="str">
        <f>IF(包装物料出入库明细!$E1519="","",包装物料出入库明细!$G1519)</f>
        <v/>
      </c>
      <c r="K1519" t="str">
        <f>IF(包装物料出入库明细!$D1519="","",包装物料出入库明细!$D1519)</f>
        <v/>
      </c>
      <c r="L1519">
        <f t="shared" si="536"/>
        <v>0</v>
      </c>
      <c r="M1519">
        <f t="shared" si="537"/>
        <v>9</v>
      </c>
      <c r="Q1519" t="str">
        <f>IF(周转筐出入库明细!$D1520="","",周转筐出入库明细!$D1520)</f>
        <v/>
      </c>
      <c r="R1519">
        <f t="shared" si="538"/>
        <v>0</v>
      </c>
      <c r="S1519">
        <f t="shared" si="539"/>
        <v>5</v>
      </c>
      <c r="W1519" t="str">
        <f>IF(周转筐出入库明细!$C1520="","",周转筐出入库明细!$C1520)</f>
        <v/>
      </c>
      <c r="X1519">
        <f t="shared" si="540"/>
        <v>0</v>
      </c>
      <c r="Y1519">
        <f t="shared" si="541"/>
        <v>12</v>
      </c>
      <c r="CP1519">
        <f>IF(包装物料出入库明细!$D1519="",0,1)</f>
        <v>0</v>
      </c>
      <c r="CQ1519">
        <f t="shared" si="544"/>
        <v>37</v>
      </c>
      <c r="CS1519" t="str">
        <f>IF(OR(周转筐出入库明细!$C1520="",周转筐出入库明细!$F1520&lt;&gt;"采购入库"),"",周转筐出入库明细!$C1520)</f>
        <v/>
      </c>
      <c r="CT1519">
        <f t="shared" si="545"/>
        <v>0</v>
      </c>
      <c r="CU1519">
        <f t="shared" si="546"/>
        <v>1</v>
      </c>
    </row>
    <row r="1520" spans="1:99">
      <c r="A1520" t="str">
        <f>IF(包装物料出入库明细!$E1520="","",包装物料出入库明细!$E1520)</f>
        <v/>
      </c>
      <c r="B1520">
        <f t="shared" si="534"/>
        <v>0</v>
      </c>
      <c r="C1520">
        <f t="shared" si="535"/>
        <v>7</v>
      </c>
      <c r="D1520" t="str">
        <f>IF(包装物料出入库明细!$E1520="","",包装物料出入库明细!$F1520)</f>
        <v/>
      </c>
      <c r="E1520" t="str">
        <f>IF(包装物料出入库明细!$E1520="","",包装物料出入库明细!$G1520)</f>
        <v/>
      </c>
      <c r="K1520" t="str">
        <f>IF(包装物料出入库明细!$D1520="","",包装物料出入库明细!$D1520)</f>
        <v/>
      </c>
      <c r="L1520">
        <f t="shared" si="536"/>
        <v>0</v>
      </c>
      <c r="M1520">
        <f t="shared" si="537"/>
        <v>9</v>
      </c>
      <c r="Q1520" t="str">
        <f>IF(周转筐出入库明细!$D1521="","",周转筐出入库明细!$D1521)</f>
        <v/>
      </c>
      <c r="R1520">
        <f t="shared" si="538"/>
        <v>0</v>
      </c>
      <c r="S1520">
        <f t="shared" si="539"/>
        <v>5</v>
      </c>
      <c r="W1520" t="str">
        <f>IF(周转筐出入库明细!$C1521="","",周转筐出入库明细!$C1521)</f>
        <v/>
      </c>
      <c r="X1520">
        <f t="shared" si="540"/>
        <v>0</v>
      </c>
      <c r="Y1520">
        <f t="shared" si="541"/>
        <v>12</v>
      </c>
      <c r="CP1520">
        <f>IF(包装物料出入库明细!$D1520="",0,1)</f>
        <v>0</v>
      </c>
      <c r="CQ1520">
        <f t="shared" si="544"/>
        <v>37</v>
      </c>
      <c r="CS1520" t="str">
        <f>IF(OR(周转筐出入库明细!$C1521="",周转筐出入库明细!$F1521&lt;&gt;"采购入库"),"",周转筐出入库明细!$C1521)</f>
        <v/>
      </c>
      <c r="CT1520">
        <f t="shared" si="545"/>
        <v>0</v>
      </c>
      <c r="CU1520">
        <f t="shared" si="546"/>
        <v>1</v>
      </c>
    </row>
    <row r="1521" spans="1:99">
      <c r="A1521" t="str">
        <f>IF(包装物料出入库明细!$E1521="","",包装物料出入库明细!$E1521)</f>
        <v/>
      </c>
      <c r="B1521">
        <f t="shared" si="534"/>
        <v>0</v>
      </c>
      <c r="C1521">
        <f t="shared" si="535"/>
        <v>7</v>
      </c>
      <c r="D1521" t="str">
        <f>IF(包装物料出入库明细!$E1521="","",包装物料出入库明细!$F1521)</f>
        <v/>
      </c>
      <c r="E1521" t="str">
        <f>IF(包装物料出入库明细!$E1521="","",包装物料出入库明细!$G1521)</f>
        <v/>
      </c>
      <c r="K1521" t="str">
        <f>IF(包装物料出入库明细!$D1521="","",包装物料出入库明细!$D1521)</f>
        <v/>
      </c>
      <c r="L1521">
        <f t="shared" si="536"/>
        <v>0</v>
      </c>
      <c r="M1521">
        <f t="shared" si="537"/>
        <v>9</v>
      </c>
      <c r="Q1521" t="str">
        <f>IF(周转筐出入库明细!$D1522="","",周转筐出入库明细!$D1522)</f>
        <v/>
      </c>
      <c r="R1521">
        <f t="shared" si="538"/>
        <v>0</v>
      </c>
      <c r="S1521">
        <f t="shared" si="539"/>
        <v>5</v>
      </c>
      <c r="W1521" t="str">
        <f>IF(周转筐出入库明细!$C1522="","",周转筐出入库明细!$C1522)</f>
        <v/>
      </c>
      <c r="X1521">
        <f t="shared" si="540"/>
        <v>0</v>
      </c>
      <c r="Y1521">
        <f t="shared" si="541"/>
        <v>12</v>
      </c>
      <c r="CP1521">
        <f>IF(包装物料出入库明细!$D1521="",0,1)</f>
        <v>0</v>
      </c>
      <c r="CQ1521">
        <f t="shared" si="544"/>
        <v>37</v>
      </c>
      <c r="CS1521" t="str">
        <f>IF(OR(周转筐出入库明细!$C1522="",周转筐出入库明细!$F1522&lt;&gt;"采购入库"),"",周转筐出入库明细!$C1522)</f>
        <v/>
      </c>
      <c r="CT1521">
        <f t="shared" si="545"/>
        <v>0</v>
      </c>
      <c r="CU1521">
        <f t="shared" si="546"/>
        <v>1</v>
      </c>
    </row>
    <row r="1522" spans="1:99">
      <c r="A1522" t="str">
        <f>IF(包装物料出入库明细!$E1522="","",包装物料出入库明细!$E1522)</f>
        <v/>
      </c>
      <c r="B1522">
        <f t="shared" si="534"/>
        <v>0</v>
      </c>
      <c r="C1522">
        <f t="shared" si="535"/>
        <v>7</v>
      </c>
      <c r="D1522" t="str">
        <f>IF(包装物料出入库明细!$E1522="","",包装物料出入库明细!$F1522)</f>
        <v/>
      </c>
      <c r="E1522" t="str">
        <f>IF(包装物料出入库明细!$E1522="","",包装物料出入库明细!$G1522)</f>
        <v/>
      </c>
      <c r="K1522" t="str">
        <f>IF(包装物料出入库明细!$D1522="","",包装物料出入库明细!$D1522)</f>
        <v/>
      </c>
      <c r="L1522">
        <f t="shared" si="536"/>
        <v>0</v>
      </c>
      <c r="M1522">
        <f t="shared" si="537"/>
        <v>9</v>
      </c>
      <c r="Q1522" t="str">
        <f>IF(周转筐出入库明细!$D1523="","",周转筐出入库明细!$D1523)</f>
        <v/>
      </c>
      <c r="R1522">
        <f t="shared" si="538"/>
        <v>0</v>
      </c>
      <c r="S1522">
        <f t="shared" si="539"/>
        <v>5</v>
      </c>
      <c r="W1522" t="str">
        <f>IF(周转筐出入库明细!$C1523="","",周转筐出入库明细!$C1523)</f>
        <v/>
      </c>
      <c r="X1522">
        <f t="shared" si="540"/>
        <v>0</v>
      </c>
      <c r="Y1522">
        <f t="shared" si="541"/>
        <v>12</v>
      </c>
      <c r="CP1522">
        <f>IF(包装物料出入库明细!$D1522="",0,1)</f>
        <v>0</v>
      </c>
      <c r="CQ1522">
        <f t="shared" si="544"/>
        <v>37</v>
      </c>
      <c r="CS1522" t="str">
        <f>IF(OR(周转筐出入库明细!$C1523="",周转筐出入库明细!$F1523&lt;&gt;"采购入库"),"",周转筐出入库明细!$C1523)</f>
        <v/>
      </c>
      <c r="CT1522">
        <f t="shared" si="545"/>
        <v>0</v>
      </c>
      <c r="CU1522">
        <f t="shared" si="546"/>
        <v>1</v>
      </c>
    </row>
    <row r="1523" spans="1:99">
      <c r="A1523" t="str">
        <f>IF(包装物料出入库明细!$E1523="","",包装物料出入库明细!$E1523)</f>
        <v/>
      </c>
      <c r="B1523">
        <f t="shared" si="534"/>
        <v>0</v>
      </c>
      <c r="C1523">
        <f t="shared" si="535"/>
        <v>7</v>
      </c>
      <c r="D1523" t="str">
        <f>IF(包装物料出入库明细!$E1523="","",包装物料出入库明细!$F1523)</f>
        <v/>
      </c>
      <c r="E1523" t="str">
        <f>IF(包装物料出入库明细!$E1523="","",包装物料出入库明细!$G1523)</f>
        <v/>
      </c>
      <c r="K1523" t="str">
        <f>IF(包装物料出入库明细!$D1523="","",包装物料出入库明细!$D1523)</f>
        <v/>
      </c>
      <c r="L1523">
        <f t="shared" si="536"/>
        <v>0</v>
      </c>
      <c r="M1523">
        <f t="shared" si="537"/>
        <v>9</v>
      </c>
      <c r="Q1523" t="str">
        <f>IF(周转筐出入库明细!$D1524="","",周转筐出入库明细!$D1524)</f>
        <v/>
      </c>
      <c r="R1523">
        <f t="shared" si="538"/>
        <v>0</v>
      </c>
      <c r="S1523">
        <f t="shared" si="539"/>
        <v>5</v>
      </c>
      <c r="W1523" t="str">
        <f>IF(周转筐出入库明细!$C1524="","",周转筐出入库明细!$C1524)</f>
        <v/>
      </c>
      <c r="X1523">
        <f t="shared" si="540"/>
        <v>0</v>
      </c>
      <c r="Y1523">
        <f t="shared" si="541"/>
        <v>12</v>
      </c>
      <c r="CP1523">
        <f>IF(包装物料出入库明细!$D1523="",0,1)</f>
        <v>0</v>
      </c>
      <c r="CQ1523">
        <f t="shared" si="544"/>
        <v>37</v>
      </c>
      <c r="CS1523" t="str">
        <f>IF(OR(周转筐出入库明细!$C1524="",周转筐出入库明细!$F1524&lt;&gt;"采购入库"),"",周转筐出入库明细!$C1524)</f>
        <v/>
      </c>
      <c r="CT1523">
        <f t="shared" si="545"/>
        <v>0</v>
      </c>
      <c r="CU1523">
        <f t="shared" si="546"/>
        <v>1</v>
      </c>
    </row>
    <row r="1524" spans="1:99">
      <c r="A1524" t="str">
        <f>IF(包装物料出入库明细!$E1524="","",包装物料出入库明细!$E1524)</f>
        <v/>
      </c>
      <c r="B1524">
        <f t="shared" si="534"/>
        <v>0</v>
      </c>
      <c r="C1524">
        <f t="shared" si="535"/>
        <v>7</v>
      </c>
      <c r="D1524" t="str">
        <f>IF(包装物料出入库明细!$E1524="","",包装物料出入库明细!$F1524)</f>
        <v/>
      </c>
      <c r="E1524" t="str">
        <f>IF(包装物料出入库明细!$E1524="","",包装物料出入库明细!$G1524)</f>
        <v/>
      </c>
      <c r="K1524" t="str">
        <f>IF(包装物料出入库明细!$D1524="","",包装物料出入库明细!$D1524)</f>
        <v/>
      </c>
      <c r="L1524">
        <f t="shared" si="536"/>
        <v>0</v>
      </c>
      <c r="M1524">
        <f t="shared" si="537"/>
        <v>9</v>
      </c>
      <c r="Q1524" t="str">
        <f>IF(周转筐出入库明细!$D1525="","",周转筐出入库明细!$D1525)</f>
        <v/>
      </c>
      <c r="R1524">
        <f t="shared" si="538"/>
        <v>0</v>
      </c>
      <c r="S1524">
        <f t="shared" si="539"/>
        <v>5</v>
      </c>
      <c r="W1524" t="str">
        <f>IF(周转筐出入库明细!$C1525="","",周转筐出入库明细!$C1525)</f>
        <v/>
      </c>
      <c r="X1524">
        <f t="shared" si="540"/>
        <v>0</v>
      </c>
      <c r="Y1524">
        <f t="shared" si="541"/>
        <v>12</v>
      </c>
      <c r="CP1524">
        <f>IF(包装物料出入库明细!$D1524="",0,1)</f>
        <v>0</v>
      </c>
      <c r="CQ1524">
        <f t="shared" si="544"/>
        <v>37</v>
      </c>
      <c r="CS1524" t="str">
        <f>IF(OR(周转筐出入库明细!$C1525="",周转筐出入库明细!$F1525&lt;&gt;"采购入库"),"",周转筐出入库明细!$C1525)</f>
        <v/>
      </c>
      <c r="CT1524">
        <f t="shared" si="545"/>
        <v>0</v>
      </c>
      <c r="CU1524">
        <f t="shared" si="546"/>
        <v>1</v>
      </c>
    </row>
    <row r="1525" spans="1:99">
      <c r="A1525" t="str">
        <f>IF(包装物料出入库明细!$E1525="","",包装物料出入库明细!$E1525)</f>
        <v/>
      </c>
      <c r="B1525">
        <f t="shared" si="534"/>
        <v>0</v>
      </c>
      <c r="C1525">
        <f t="shared" si="535"/>
        <v>7</v>
      </c>
      <c r="D1525" t="str">
        <f>IF(包装物料出入库明细!$E1525="","",包装物料出入库明细!$F1525)</f>
        <v/>
      </c>
      <c r="E1525" t="str">
        <f>IF(包装物料出入库明细!$E1525="","",包装物料出入库明细!$G1525)</f>
        <v/>
      </c>
      <c r="K1525" t="str">
        <f>IF(包装物料出入库明细!$D1525="","",包装物料出入库明细!$D1525)</f>
        <v/>
      </c>
      <c r="L1525">
        <f t="shared" si="536"/>
        <v>0</v>
      </c>
      <c r="M1525">
        <f t="shared" si="537"/>
        <v>9</v>
      </c>
      <c r="Q1525" t="str">
        <f>IF(周转筐出入库明细!$D1526="","",周转筐出入库明细!$D1526)</f>
        <v/>
      </c>
      <c r="R1525">
        <f t="shared" si="538"/>
        <v>0</v>
      </c>
      <c r="S1525">
        <f t="shared" si="539"/>
        <v>5</v>
      </c>
      <c r="W1525" t="str">
        <f>IF(周转筐出入库明细!$C1526="","",周转筐出入库明细!$C1526)</f>
        <v/>
      </c>
      <c r="X1525">
        <f t="shared" si="540"/>
        <v>0</v>
      </c>
      <c r="Y1525">
        <f t="shared" si="541"/>
        <v>12</v>
      </c>
      <c r="CP1525">
        <f>IF(包装物料出入库明细!$D1525="",0,1)</f>
        <v>0</v>
      </c>
      <c r="CQ1525">
        <f t="shared" si="544"/>
        <v>37</v>
      </c>
      <c r="CS1525" t="str">
        <f>IF(OR(周转筐出入库明细!$C1526="",周转筐出入库明细!$F1526&lt;&gt;"采购入库"),"",周转筐出入库明细!$C1526)</f>
        <v/>
      </c>
      <c r="CT1525">
        <f t="shared" si="545"/>
        <v>0</v>
      </c>
      <c r="CU1525">
        <f t="shared" si="546"/>
        <v>1</v>
      </c>
    </row>
    <row r="1526" spans="1:99">
      <c r="A1526" t="str">
        <f>IF(包装物料出入库明细!$E1526="","",包装物料出入库明细!$E1526)</f>
        <v/>
      </c>
      <c r="B1526">
        <f t="shared" si="534"/>
        <v>0</v>
      </c>
      <c r="C1526">
        <f t="shared" si="535"/>
        <v>7</v>
      </c>
      <c r="D1526" t="str">
        <f>IF(包装物料出入库明细!$E1526="","",包装物料出入库明细!$F1526)</f>
        <v/>
      </c>
      <c r="E1526" t="str">
        <f>IF(包装物料出入库明细!$E1526="","",包装物料出入库明细!$G1526)</f>
        <v/>
      </c>
      <c r="K1526" t="str">
        <f>IF(包装物料出入库明细!$D1526="","",包装物料出入库明细!$D1526)</f>
        <v/>
      </c>
      <c r="L1526">
        <f t="shared" si="536"/>
        <v>0</v>
      </c>
      <c r="M1526">
        <f t="shared" si="537"/>
        <v>9</v>
      </c>
      <c r="Q1526" t="str">
        <f>IF(周转筐出入库明细!$D1527="","",周转筐出入库明细!$D1527)</f>
        <v/>
      </c>
      <c r="R1526">
        <f t="shared" si="538"/>
        <v>0</v>
      </c>
      <c r="S1526">
        <f t="shared" si="539"/>
        <v>5</v>
      </c>
      <c r="W1526" t="str">
        <f>IF(周转筐出入库明细!$C1527="","",周转筐出入库明细!$C1527)</f>
        <v/>
      </c>
      <c r="X1526">
        <f t="shared" si="540"/>
        <v>0</v>
      </c>
      <c r="Y1526">
        <f t="shared" si="541"/>
        <v>12</v>
      </c>
      <c r="CP1526">
        <f>IF(包装物料出入库明细!$D1526="",0,1)</f>
        <v>0</v>
      </c>
      <c r="CQ1526">
        <f t="shared" si="544"/>
        <v>37</v>
      </c>
      <c r="CS1526" t="str">
        <f>IF(OR(周转筐出入库明细!$C1527="",周转筐出入库明细!$F1527&lt;&gt;"采购入库"),"",周转筐出入库明细!$C1527)</f>
        <v/>
      </c>
      <c r="CT1526">
        <f t="shared" si="545"/>
        <v>0</v>
      </c>
      <c r="CU1526">
        <f t="shared" si="546"/>
        <v>1</v>
      </c>
    </row>
    <row r="1527" spans="1:99">
      <c r="A1527" t="str">
        <f>IF(包装物料出入库明细!$E1527="","",包装物料出入库明细!$E1527)</f>
        <v/>
      </c>
      <c r="B1527">
        <f t="shared" si="534"/>
        <v>0</v>
      </c>
      <c r="C1527">
        <f t="shared" si="535"/>
        <v>7</v>
      </c>
      <c r="D1527" t="str">
        <f>IF(包装物料出入库明细!$E1527="","",包装物料出入库明细!$F1527)</f>
        <v/>
      </c>
      <c r="E1527" t="str">
        <f>IF(包装物料出入库明细!$E1527="","",包装物料出入库明细!$G1527)</f>
        <v/>
      </c>
      <c r="K1527" t="str">
        <f>IF(包装物料出入库明细!$D1527="","",包装物料出入库明细!$D1527)</f>
        <v/>
      </c>
      <c r="L1527">
        <f t="shared" si="536"/>
        <v>0</v>
      </c>
      <c r="M1527">
        <f t="shared" si="537"/>
        <v>9</v>
      </c>
      <c r="Q1527" t="str">
        <f>IF(周转筐出入库明细!$D1528="","",周转筐出入库明细!$D1528)</f>
        <v/>
      </c>
      <c r="R1527">
        <f t="shared" si="538"/>
        <v>0</v>
      </c>
      <c r="S1527">
        <f t="shared" si="539"/>
        <v>5</v>
      </c>
      <c r="W1527" t="str">
        <f>IF(周转筐出入库明细!$C1528="","",周转筐出入库明细!$C1528)</f>
        <v/>
      </c>
      <c r="X1527">
        <f t="shared" si="540"/>
        <v>0</v>
      </c>
      <c r="Y1527">
        <f t="shared" si="541"/>
        <v>12</v>
      </c>
      <c r="CP1527">
        <f>IF(包装物料出入库明细!$D1527="",0,1)</f>
        <v>0</v>
      </c>
      <c r="CQ1527">
        <f t="shared" si="544"/>
        <v>37</v>
      </c>
      <c r="CS1527" t="str">
        <f>IF(OR(周转筐出入库明细!$C1528="",周转筐出入库明细!$F1528&lt;&gt;"采购入库"),"",周转筐出入库明细!$C1528)</f>
        <v/>
      </c>
      <c r="CT1527">
        <f t="shared" si="545"/>
        <v>0</v>
      </c>
      <c r="CU1527">
        <f t="shared" si="546"/>
        <v>1</v>
      </c>
    </row>
    <row r="1528" spans="1:99">
      <c r="A1528" t="str">
        <f>IF(包装物料出入库明细!$E1528="","",包装物料出入库明细!$E1528)</f>
        <v/>
      </c>
      <c r="B1528">
        <f t="shared" si="534"/>
        <v>0</v>
      </c>
      <c r="C1528">
        <f t="shared" si="535"/>
        <v>7</v>
      </c>
      <c r="D1528" t="str">
        <f>IF(包装物料出入库明细!$E1528="","",包装物料出入库明细!$F1528)</f>
        <v/>
      </c>
      <c r="E1528" t="str">
        <f>IF(包装物料出入库明细!$E1528="","",包装物料出入库明细!$G1528)</f>
        <v/>
      </c>
      <c r="K1528" t="str">
        <f>IF(包装物料出入库明细!$D1528="","",包装物料出入库明细!$D1528)</f>
        <v/>
      </c>
      <c r="L1528">
        <f t="shared" si="536"/>
        <v>0</v>
      </c>
      <c r="M1528">
        <f t="shared" si="537"/>
        <v>9</v>
      </c>
      <c r="Q1528" t="str">
        <f>IF(周转筐出入库明细!$D1529="","",周转筐出入库明细!$D1529)</f>
        <v/>
      </c>
      <c r="R1528">
        <f t="shared" si="538"/>
        <v>0</v>
      </c>
      <c r="S1528">
        <f t="shared" si="539"/>
        <v>5</v>
      </c>
      <c r="W1528" t="str">
        <f>IF(周转筐出入库明细!$C1529="","",周转筐出入库明细!$C1529)</f>
        <v/>
      </c>
      <c r="X1528">
        <f t="shared" si="540"/>
        <v>0</v>
      </c>
      <c r="Y1528">
        <f t="shared" si="541"/>
        <v>12</v>
      </c>
      <c r="CP1528">
        <f>IF(包装物料出入库明细!$D1528="",0,1)</f>
        <v>0</v>
      </c>
      <c r="CQ1528">
        <f t="shared" si="544"/>
        <v>37</v>
      </c>
      <c r="CS1528" t="str">
        <f>IF(OR(周转筐出入库明细!$C1529="",周转筐出入库明细!$F1529&lt;&gt;"采购入库"),"",周转筐出入库明细!$C1529)</f>
        <v/>
      </c>
      <c r="CT1528">
        <f t="shared" si="545"/>
        <v>0</v>
      </c>
      <c r="CU1528">
        <f t="shared" si="546"/>
        <v>1</v>
      </c>
    </row>
    <row r="1529" spans="1:99">
      <c r="A1529" t="str">
        <f>IF(包装物料出入库明细!$E1529="","",包装物料出入库明细!$E1529)</f>
        <v/>
      </c>
      <c r="B1529">
        <f t="shared" si="534"/>
        <v>0</v>
      </c>
      <c r="C1529">
        <f t="shared" si="535"/>
        <v>7</v>
      </c>
      <c r="D1529" t="str">
        <f>IF(包装物料出入库明细!$E1529="","",包装物料出入库明细!$F1529)</f>
        <v/>
      </c>
      <c r="E1529" t="str">
        <f>IF(包装物料出入库明细!$E1529="","",包装物料出入库明细!$G1529)</f>
        <v/>
      </c>
      <c r="K1529" t="str">
        <f>IF(包装物料出入库明细!$D1529="","",包装物料出入库明细!$D1529)</f>
        <v/>
      </c>
      <c r="L1529">
        <f t="shared" si="536"/>
        <v>0</v>
      </c>
      <c r="M1529">
        <f t="shared" si="537"/>
        <v>9</v>
      </c>
      <c r="Q1529" t="str">
        <f>IF(周转筐出入库明细!$D1530="","",周转筐出入库明细!$D1530)</f>
        <v/>
      </c>
      <c r="R1529">
        <f t="shared" si="538"/>
        <v>0</v>
      </c>
      <c r="S1529">
        <f t="shared" si="539"/>
        <v>5</v>
      </c>
      <c r="W1529" t="str">
        <f>IF(周转筐出入库明细!$C1530="","",周转筐出入库明细!$C1530)</f>
        <v/>
      </c>
      <c r="X1529">
        <f t="shared" si="540"/>
        <v>0</v>
      </c>
      <c r="Y1529">
        <f t="shared" si="541"/>
        <v>12</v>
      </c>
      <c r="CP1529">
        <f>IF(包装物料出入库明细!$D1529="",0,1)</f>
        <v>0</v>
      </c>
      <c r="CQ1529">
        <f t="shared" si="544"/>
        <v>37</v>
      </c>
      <c r="CS1529" t="str">
        <f>IF(OR(周转筐出入库明细!$C1530="",周转筐出入库明细!$F1530&lt;&gt;"采购入库"),"",周转筐出入库明细!$C1530)</f>
        <v/>
      </c>
      <c r="CT1529">
        <f t="shared" si="545"/>
        <v>0</v>
      </c>
      <c r="CU1529">
        <f t="shared" si="546"/>
        <v>1</v>
      </c>
    </row>
    <row r="1530" spans="1:99">
      <c r="A1530" t="str">
        <f>IF(包装物料出入库明细!$E1530="","",包装物料出入库明细!$E1530)</f>
        <v/>
      </c>
      <c r="B1530">
        <f t="shared" si="534"/>
        <v>0</v>
      </c>
      <c r="C1530">
        <f t="shared" si="535"/>
        <v>7</v>
      </c>
      <c r="D1530" t="str">
        <f>IF(包装物料出入库明细!$E1530="","",包装物料出入库明细!$F1530)</f>
        <v/>
      </c>
      <c r="E1530" t="str">
        <f>IF(包装物料出入库明细!$E1530="","",包装物料出入库明细!$G1530)</f>
        <v/>
      </c>
      <c r="K1530" t="str">
        <f>IF(包装物料出入库明细!$D1530="","",包装物料出入库明细!$D1530)</f>
        <v/>
      </c>
      <c r="L1530">
        <f t="shared" si="536"/>
        <v>0</v>
      </c>
      <c r="M1530">
        <f t="shared" si="537"/>
        <v>9</v>
      </c>
      <c r="Q1530" t="str">
        <f>IF(周转筐出入库明细!$D1531="","",周转筐出入库明细!$D1531)</f>
        <v/>
      </c>
      <c r="R1530">
        <f t="shared" si="538"/>
        <v>0</v>
      </c>
      <c r="S1530">
        <f t="shared" si="539"/>
        <v>5</v>
      </c>
      <c r="W1530" t="str">
        <f>IF(周转筐出入库明细!$C1531="","",周转筐出入库明细!$C1531)</f>
        <v/>
      </c>
      <c r="X1530">
        <f t="shared" si="540"/>
        <v>0</v>
      </c>
      <c r="Y1530">
        <f t="shared" si="541"/>
        <v>12</v>
      </c>
      <c r="CP1530">
        <f>IF(包装物料出入库明细!$D1530="",0,1)</f>
        <v>0</v>
      </c>
      <c r="CQ1530">
        <f t="shared" si="544"/>
        <v>37</v>
      </c>
      <c r="CS1530" t="str">
        <f>IF(OR(周转筐出入库明细!$C1531="",周转筐出入库明细!$F1531&lt;&gt;"采购入库"),"",周转筐出入库明细!$C1531)</f>
        <v/>
      </c>
      <c r="CT1530">
        <f t="shared" si="545"/>
        <v>0</v>
      </c>
      <c r="CU1530">
        <f t="shared" si="546"/>
        <v>1</v>
      </c>
    </row>
    <row r="1531" spans="1:99">
      <c r="A1531" t="str">
        <f>IF(包装物料出入库明细!$E1531="","",包装物料出入库明细!$E1531)</f>
        <v/>
      </c>
      <c r="B1531">
        <f t="shared" si="534"/>
        <v>0</v>
      </c>
      <c r="C1531">
        <f t="shared" si="535"/>
        <v>7</v>
      </c>
      <c r="D1531" t="str">
        <f>IF(包装物料出入库明细!$E1531="","",包装物料出入库明细!$F1531)</f>
        <v/>
      </c>
      <c r="E1531" t="str">
        <f>IF(包装物料出入库明细!$E1531="","",包装物料出入库明细!$G1531)</f>
        <v/>
      </c>
      <c r="K1531" t="str">
        <f>IF(包装物料出入库明细!$D1531="","",包装物料出入库明细!$D1531)</f>
        <v/>
      </c>
      <c r="L1531">
        <f t="shared" si="536"/>
        <v>0</v>
      </c>
      <c r="M1531">
        <f t="shared" si="537"/>
        <v>9</v>
      </c>
      <c r="Q1531" t="str">
        <f>IF(周转筐出入库明细!$D1532="","",周转筐出入库明细!$D1532)</f>
        <v/>
      </c>
      <c r="R1531">
        <f t="shared" si="538"/>
        <v>0</v>
      </c>
      <c r="S1531">
        <f t="shared" si="539"/>
        <v>5</v>
      </c>
      <c r="W1531" t="str">
        <f>IF(周转筐出入库明细!$C1532="","",周转筐出入库明细!$C1532)</f>
        <v/>
      </c>
      <c r="X1531">
        <f t="shared" si="540"/>
        <v>0</v>
      </c>
      <c r="Y1531">
        <f t="shared" si="541"/>
        <v>12</v>
      </c>
      <c r="CP1531">
        <f>IF(包装物料出入库明细!$D1531="",0,1)</f>
        <v>0</v>
      </c>
      <c r="CQ1531">
        <f t="shared" si="544"/>
        <v>37</v>
      </c>
      <c r="CS1531" t="str">
        <f>IF(OR(周转筐出入库明细!$C1532="",周转筐出入库明细!$F1532&lt;&gt;"采购入库"),"",周转筐出入库明细!$C1532)</f>
        <v/>
      </c>
      <c r="CT1531">
        <f t="shared" si="545"/>
        <v>0</v>
      </c>
      <c r="CU1531">
        <f t="shared" si="546"/>
        <v>1</v>
      </c>
    </row>
    <row r="1532" spans="1:99">
      <c r="A1532" t="str">
        <f>IF(包装物料出入库明细!$E1532="","",包装物料出入库明细!$E1532)</f>
        <v/>
      </c>
      <c r="B1532">
        <f t="shared" si="534"/>
        <v>0</v>
      </c>
      <c r="C1532">
        <f t="shared" si="535"/>
        <v>7</v>
      </c>
      <c r="D1532" t="str">
        <f>IF(包装物料出入库明细!$E1532="","",包装物料出入库明细!$F1532)</f>
        <v/>
      </c>
      <c r="E1532" t="str">
        <f>IF(包装物料出入库明细!$E1532="","",包装物料出入库明细!$G1532)</f>
        <v/>
      </c>
      <c r="K1532" t="str">
        <f>IF(包装物料出入库明细!$D1532="","",包装物料出入库明细!$D1532)</f>
        <v/>
      </c>
      <c r="L1532">
        <f t="shared" si="536"/>
        <v>0</v>
      </c>
      <c r="M1532">
        <f t="shared" si="537"/>
        <v>9</v>
      </c>
      <c r="Q1532" t="str">
        <f>IF(周转筐出入库明细!$D1533="","",周转筐出入库明细!$D1533)</f>
        <v/>
      </c>
      <c r="R1532">
        <f t="shared" si="538"/>
        <v>0</v>
      </c>
      <c r="S1532">
        <f t="shared" si="539"/>
        <v>5</v>
      </c>
      <c r="W1532" t="str">
        <f>IF(周转筐出入库明细!$C1533="","",周转筐出入库明细!$C1533)</f>
        <v/>
      </c>
      <c r="X1532">
        <f t="shared" si="540"/>
        <v>0</v>
      </c>
      <c r="Y1532">
        <f t="shared" si="541"/>
        <v>12</v>
      </c>
      <c r="CP1532">
        <f>IF(包装物料出入库明细!$D1532="",0,1)</f>
        <v>0</v>
      </c>
      <c r="CQ1532">
        <f t="shared" si="544"/>
        <v>37</v>
      </c>
      <c r="CS1532" t="str">
        <f>IF(OR(周转筐出入库明细!$C1533="",周转筐出入库明细!$F1533&lt;&gt;"采购入库"),"",周转筐出入库明细!$C1533)</f>
        <v/>
      </c>
      <c r="CT1532">
        <f t="shared" si="545"/>
        <v>0</v>
      </c>
      <c r="CU1532">
        <f t="shared" si="546"/>
        <v>1</v>
      </c>
    </row>
    <row r="1533" spans="1:99">
      <c r="A1533" t="str">
        <f>IF(包装物料出入库明细!$E1533="","",包装物料出入库明细!$E1533)</f>
        <v/>
      </c>
      <c r="B1533">
        <f t="shared" si="534"/>
        <v>0</v>
      </c>
      <c r="C1533">
        <f t="shared" si="535"/>
        <v>7</v>
      </c>
      <c r="D1533" t="str">
        <f>IF(包装物料出入库明细!$E1533="","",包装物料出入库明细!$F1533)</f>
        <v/>
      </c>
      <c r="E1533" t="str">
        <f>IF(包装物料出入库明细!$E1533="","",包装物料出入库明细!$G1533)</f>
        <v/>
      </c>
      <c r="K1533" t="str">
        <f>IF(包装物料出入库明细!$D1533="","",包装物料出入库明细!$D1533)</f>
        <v/>
      </c>
      <c r="L1533">
        <f t="shared" si="536"/>
        <v>0</v>
      </c>
      <c r="M1533">
        <f t="shared" si="537"/>
        <v>9</v>
      </c>
      <c r="Q1533" t="str">
        <f>IF(周转筐出入库明细!$D1534="","",周转筐出入库明细!$D1534)</f>
        <v/>
      </c>
      <c r="R1533">
        <f t="shared" si="538"/>
        <v>0</v>
      </c>
      <c r="S1533">
        <f t="shared" si="539"/>
        <v>5</v>
      </c>
      <c r="W1533" t="str">
        <f>IF(周转筐出入库明细!$C1534="","",周转筐出入库明细!$C1534)</f>
        <v/>
      </c>
      <c r="X1533">
        <f t="shared" si="540"/>
        <v>0</v>
      </c>
      <c r="Y1533">
        <f t="shared" si="541"/>
        <v>12</v>
      </c>
      <c r="CP1533">
        <f>IF(包装物料出入库明细!$D1533="",0,1)</f>
        <v>0</v>
      </c>
      <c r="CQ1533">
        <f t="shared" si="544"/>
        <v>37</v>
      </c>
      <c r="CS1533" t="str">
        <f>IF(OR(周转筐出入库明细!$C1534="",周转筐出入库明细!$F1534&lt;&gt;"采购入库"),"",周转筐出入库明细!$C1534)</f>
        <v/>
      </c>
      <c r="CT1533">
        <f t="shared" si="545"/>
        <v>0</v>
      </c>
      <c r="CU1533">
        <f t="shared" si="546"/>
        <v>1</v>
      </c>
    </row>
    <row r="1534" spans="1:99">
      <c r="A1534" t="str">
        <f>IF(包装物料出入库明细!$E1534="","",包装物料出入库明细!$E1534)</f>
        <v/>
      </c>
      <c r="B1534">
        <f t="shared" si="534"/>
        <v>0</v>
      </c>
      <c r="C1534">
        <f t="shared" si="535"/>
        <v>7</v>
      </c>
      <c r="D1534" t="str">
        <f>IF(包装物料出入库明细!$E1534="","",包装物料出入库明细!$F1534)</f>
        <v/>
      </c>
      <c r="E1534" t="str">
        <f>IF(包装物料出入库明细!$E1534="","",包装物料出入库明细!$G1534)</f>
        <v/>
      </c>
      <c r="K1534" t="str">
        <f>IF(包装物料出入库明细!$D1534="","",包装物料出入库明细!$D1534)</f>
        <v/>
      </c>
      <c r="L1534">
        <f t="shared" si="536"/>
        <v>0</v>
      </c>
      <c r="M1534">
        <f t="shared" si="537"/>
        <v>9</v>
      </c>
      <c r="Q1534" t="str">
        <f>IF(周转筐出入库明细!$D1535="","",周转筐出入库明细!$D1535)</f>
        <v/>
      </c>
      <c r="R1534">
        <f t="shared" si="538"/>
        <v>0</v>
      </c>
      <c r="S1534">
        <f t="shared" si="539"/>
        <v>5</v>
      </c>
      <c r="W1534" t="str">
        <f>IF(周转筐出入库明细!$C1535="","",周转筐出入库明细!$C1535)</f>
        <v/>
      </c>
      <c r="X1534">
        <f t="shared" si="540"/>
        <v>0</v>
      </c>
      <c r="Y1534">
        <f t="shared" si="541"/>
        <v>12</v>
      </c>
      <c r="CP1534">
        <f>IF(包装物料出入库明细!$D1534="",0,1)</f>
        <v>0</v>
      </c>
      <c r="CQ1534">
        <f t="shared" si="544"/>
        <v>37</v>
      </c>
      <c r="CS1534" t="str">
        <f>IF(OR(周转筐出入库明细!$C1535="",周转筐出入库明细!$F1535&lt;&gt;"采购入库"),"",周转筐出入库明细!$C1535)</f>
        <v/>
      </c>
      <c r="CT1534">
        <f t="shared" si="545"/>
        <v>0</v>
      </c>
      <c r="CU1534">
        <f t="shared" si="546"/>
        <v>1</v>
      </c>
    </row>
    <row r="1535" spans="1:99">
      <c r="A1535" t="str">
        <f>IF(包装物料出入库明细!$E1535="","",包装物料出入库明细!$E1535)</f>
        <v/>
      </c>
      <c r="B1535">
        <f t="shared" si="534"/>
        <v>0</v>
      </c>
      <c r="C1535">
        <f t="shared" si="535"/>
        <v>7</v>
      </c>
      <c r="D1535" t="str">
        <f>IF(包装物料出入库明细!$E1535="","",包装物料出入库明细!$F1535)</f>
        <v/>
      </c>
      <c r="E1535" t="str">
        <f>IF(包装物料出入库明细!$E1535="","",包装物料出入库明细!$G1535)</f>
        <v/>
      </c>
      <c r="K1535" t="str">
        <f>IF(包装物料出入库明细!$D1535="","",包装物料出入库明细!$D1535)</f>
        <v/>
      </c>
      <c r="L1535">
        <f t="shared" si="536"/>
        <v>0</v>
      </c>
      <c r="M1535">
        <f t="shared" si="537"/>
        <v>9</v>
      </c>
      <c r="Q1535" t="str">
        <f>IF(周转筐出入库明细!$D1536="","",周转筐出入库明细!$D1536)</f>
        <v/>
      </c>
      <c r="R1535">
        <f t="shared" si="538"/>
        <v>0</v>
      </c>
      <c r="S1535">
        <f t="shared" si="539"/>
        <v>5</v>
      </c>
      <c r="W1535" t="str">
        <f>IF(周转筐出入库明细!$C1536="","",周转筐出入库明细!$C1536)</f>
        <v/>
      </c>
      <c r="X1535">
        <f t="shared" si="540"/>
        <v>0</v>
      </c>
      <c r="Y1535">
        <f t="shared" si="541"/>
        <v>12</v>
      </c>
      <c r="CP1535">
        <f>IF(包装物料出入库明细!$D1535="",0,1)</f>
        <v>0</v>
      </c>
      <c r="CQ1535">
        <f t="shared" si="544"/>
        <v>37</v>
      </c>
      <c r="CS1535" t="str">
        <f>IF(OR(周转筐出入库明细!$C1536="",周转筐出入库明细!$F1536&lt;&gt;"采购入库"),"",周转筐出入库明细!$C1536)</f>
        <v/>
      </c>
      <c r="CT1535">
        <f t="shared" si="545"/>
        <v>0</v>
      </c>
      <c r="CU1535">
        <f t="shared" si="546"/>
        <v>1</v>
      </c>
    </row>
    <row r="1536" spans="1:99">
      <c r="A1536" t="str">
        <f>IF(包装物料出入库明细!$E1536="","",包装物料出入库明细!$E1536)</f>
        <v/>
      </c>
      <c r="B1536">
        <f t="shared" si="534"/>
        <v>0</v>
      </c>
      <c r="C1536">
        <f t="shared" si="535"/>
        <v>7</v>
      </c>
      <c r="D1536" t="str">
        <f>IF(包装物料出入库明细!$E1536="","",包装物料出入库明细!$F1536)</f>
        <v/>
      </c>
      <c r="E1536" t="str">
        <f>IF(包装物料出入库明细!$E1536="","",包装物料出入库明细!$G1536)</f>
        <v/>
      </c>
      <c r="K1536" t="str">
        <f>IF(包装物料出入库明细!$D1536="","",包装物料出入库明细!$D1536)</f>
        <v/>
      </c>
      <c r="L1536">
        <f t="shared" si="536"/>
        <v>0</v>
      </c>
      <c r="M1536">
        <f t="shared" si="537"/>
        <v>9</v>
      </c>
      <c r="Q1536" t="str">
        <f>IF(周转筐出入库明细!$D1537="","",周转筐出入库明细!$D1537)</f>
        <v/>
      </c>
      <c r="R1536">
        <f t="shared" si="538"/>
        <v>0</v>
      </c>
      <c r="S1536">
        <f t="shared" si="539"/>
        <v>5</v>
      </c>
      <c r="W1536" t="str">
        <f>IF(周转筐出入库明细!$C1537="","",周转筐出入库明细!$C1537)</f>
        <v/>
      </c>
      <c r="X1536">
        <f t="shared" si="540"/>
        <v>0</v>
      </c>
      <c r="Y1536">
        <f t="shared" si="541"/>
        <v>12</v>
      </c>
      <c r="CP1536">
        <f>IF(包装物料出入库明细!$D1536="",0,1)</f>
        <v>0</v>
      </c>
      <c r="CQ1536">
        <f t="shared" si="544"/>
        <v>37</v>
      </c>
      <c r="CS1536" t="str">
        <f>IF(OR(周转筐出入库明细!$C1537="",周转筐出入库明细!$F1537&lt;&gt;"采购入库"),"",周转筐出入库明细!$C1537)</f>
        <v/>
      </c>
      <c r="CT1536">
        <f t="shared" si="545"/>
        <v>0</v>
      </c>
      <c r="CU1536">
        <f t="shared" si="546"/>
        <v>1</v>
      </c>
    </row>
    <row r="1537" spans="1:99">
      <c r="A1537" t="str">
        <f>IF(包装物料出入库明细!$E1537="","",包装物料出入库明细!$E1537)</f>
        <v/>
      </c>
      <c r="B1537">
        <f t="shared" si="534"/>
        <v>0</v>
      </c>
      <c r="C1537">
        <f t="shared" si="535"/>
        <v>7</v>
      </c>
      <c r="D1537" t="str">
        <f>IF(包装物料出入库明细!$E1537="","",包装物料出入库明细!$F1537)</f>
        <v/>
      </c>
      <c r="E1537" t="str">
        <f>IF(包装物料出入库明细!$E1537="","",包装物料出入库明细!$G1537)</f>
        <v/>
      </c>
      <c r="K1537" t="str">
        <f>IF(包装物料出入库明细!$D1537="","",包装物料出入库明细!$D1537)</f>
        <v/>
      </c>
      <c r="L1537">
        <f t="shared" si="536"/>
        <v>0</v>
      </c>
      <c r="M1537">
        <f t="shared" si="537"/>
        <v>9</v>
      </c>
      <c r="Q1537" t="str">
        <f>IF(周转筐出入库明细!$D1538="","",周转筐出入库明细!$D1538)</f>
        <v/>
      </c>
      <c r="R1537">
        <f t="shared" si="538"/>
        <v>0</v>
      </c>
      <c r="S1537">
        <f t="shared" si="539"/>
        <v>5</v>
      </c>
      <c r="W1537" t="str">
        <f>IF(周转筐出入库明细!$C1538="","",周转筐出入库明细!$C1538)</f>
        <v/>
      </c>
      <c r="X1537">
        <f t="shared" si="540"/>
        <v>0</v>
      </c>
      <c r="Y1537">
        <f t="shared" si="541"/>
        <v>12</v>
      </c>
      <c r="CP1537">
        <f>IF(包装物料出入库明细!$D1537="",0,1)</f>
        <v>0</v>
      </c>
      <c r="CQ1537">
        <f t="shared" si="544"/>
        <v>37</v>
      </c>
      <c r="CS1537" t="str">
        <f>IF(OR(周转筐出入库明细!$C1538="",周转筐出入库明细!$F1538&lt;&gt;"采购入库"),"",周转筐出入库明细!$C1538)</f>
        <v/>
      </c>
      <c r="CT1537">
        <f t="shared" si="545"/>
        <v>0</v>
      </c>
      <c r="CU1537">
        <f t="shared" si="546"/>
        <v>1</v>
      </c>
    </row>
    <row r="1538" spans="1:99">
      <c r="A1538" t="str">
        <f>IF(包装物料出入库明细!$E1538="","",包装物料出入库明细!$E1538)</f>
        <v/>
      </c>
      <c r="B1538">
        <f t="shared" si="534"/>
        <v>0</v>
      </c>
      <c r="C1538">
        <f t="shared" si="535"/>
        <v>7</v>
      </c>
      <c r="D1538" t="str">
        <f>IF(包装物料出入库明细!$E1538="","",包装物料出入库明细!$F1538)</f>
        <v/>
      </c>
      <c r="E1538" t="str">
        <f>IF(包装物料出入库明细!$E1538="","",包装物料出入库明细!$G1538)</f>
        <v/>
      </c>
      <c r="K1538" t="str">
        <f>IF(包装物料出入库明细!$D1538="","",包装物料出入库明细!$D1538)</f>
        <v/>
      </c>
      <c r="L1538">
        <f t="shared" si="536"/>
        <v>0</v>
      </c>
      <c r="M1538">
        <f t="shared" si="537"/>
        <v>9</v>
      </c>
      <c r="Q1538" t="str">
        <f>IF(周转筐出入库明细!$D1539="","",周转筐出入库明细!$D1539)</f>
        <v/>
      </c>
      <c r="R1538">
        <f t="shared" si="538"/>
        <v>0</v>
      </c>
      <c r="S1538">
        <f t="shared" si="539"/>
        <v>5</v>
      </c>
      <c r="W1538" t="str">
        <f>IF(周转筐出入库明细!$C1539="","",周转筐出入库明细!$C1539)</f>
        <v/>
      </c>
      <c r="X1538">
        <f t="shared" si="540"/>
        <v>0</v>
      </c>
      <c r="Y1538">
        <f t="shared" si="541"/>
        <v>12</v>
      </c>
      <c r="CP1538">
        <f>IF(包装物料出入库明细!$D1538="",0,1)</f>
        <v>0</v>
      </c>
      <c r="CQ1538">
        <f t="shared" si="544"/>
        <v>37</v>
      </c>
      <c r="CS1538" t="str">
        <f>IF(OR(周转筐出入库明细!$C1539="",周转筐出入库明细!$F1539&lt;&gt;"采购入库"),"",周转筐出入库明细!$C1539)</f>
        <v/>
      </c>
      <c r="CT1538">
        <f t="shared" si="545"/>
        <v>0</v>
      </c>
      <c r="CU1538">
        <f t="shared" si="546"/>
        <v>1</v>
      </c>
    </row>
    <row r="1539" spans="1:99">
      <c r="A1539" t="str">
        <f>IF(包装物料出入库明细!$E1539="","",包装物料出入库明细!$E1539)</f>
        <v/>
      </c>
      <c r="B1539">
        <f t="shared" si="534"/>
        <v>0</v>
      </c>
      <c r="C1539">
        <f t="shared" si="535"/>
        <v>7</v>
      </c>
      <c r="D1539" t="str">
        <f>IF(包装物料出入库明细!$E1539="","",包装物料出入库明细!$F1539)</f>
        <v/>
      </c>
      <c r="E1539" t="str">
        <f>IF(包装物料出入库明细!$E1539="","",包装物料出入库明细!$G1539)</f>
        <v/>
      </c>
      <c r="K1539" t="str">
        <f>IF(包装物料出入库明细!$D1539="","",包装物料出入库明细!$D1539)</f>
        <v/>
      </c>
      <c r="L1539">
        <f t="shared" si="536"/>
        <v>0</v>
      </c>
      <c r="M1539">
        <f t="shared" si="537"/>
        <v>9</v>
      </c>
      <c r="Q1539" t="str">
        <f>IF(周转筐出入库明细!$D1540="","",周转筐出入库明细!$D1540)</f>
        <v/>
      </c>
      <c r="R1539">
        <f t="shared" si="538"/>
        <v>0</v>
      </c>
      <c r="S1539">
        <f t="shared" si="539"/>
        <v>5</v>
      </c>
      <c r="W1539" t="str">
        <f>IF(周转筐出入库明细!$C1540="","",周转筐出入库明细!$C1540)</f>
        <v/>
      </c>
      <c r="X1539">
        <f t="shared" si="540"/>
        <v>0</v>
      </c>
      <c r="Y1539">
        <f t="shared" si="541"/>
        <v>12</v>
      </c>
      <c r="CP1539">
        <f>IF(包装物料出入库明细!$D1539="",0,1)</f>
        <v>0</v>
      </c>
      <c r="CQ1539">
        <f t="shared" si="544"/>
        <v>37</v>
      </c>
      <c r="CS1539" t="str">
        <f>IF(OR(周转筐出入库明细!$C1540="",周转筐出入库明细!$F1540&lt;&gt;"采购入库"),"",周转筐出入库明细!$C1540)</f>
        <v/>
      </c>
      <c r="CT1539">
        <f t="shared" si="545"/>
        <v>0</v>
      </c>
      <c r="CU1539">
        <f t="shared" si="546"/>
        <v>1</v>
      </c>
    </row>
    <row r="1540" spans="1:99">
      <c r="A1540" t="str">
        <f>IF(包装物料出入库明细!$E1540="","",包装物料出入库明细!$E1540)</f>
        <v/>
      </c>
      <c r="B1540">
        <f t="shared" ref="B1540:B1603" si="547">IF(A1540="",0,IF(MATCH(A1540,$A$4:$A$2003,0)=ROW()-3,1,0))</f>
        <v>0</v>
      </c>
      <c r="C1540">
        <f t="shared" ref="C1540:C1603" si="548">N(C1539)+B1540</f>
        <v>7</v>
      </c>
      <c r="D1540" t="str">
        <f>IF(包装物料出入库明细!$E1540="","",包装物料出入库明细!$F1540)</f>
        <v/>
      </c>
      <c r="E1540" t="str">
        <f>IF(包装物料出入库明细!$E1540="","",包装物料出入库明细!$G1540)</f>
        <v/>
      </c>
      <c r="K1540" t="str">
        <f>IF(包装物料出入库明细!$D1540="","",包装物料出入库明细!$D1540)</f>
        <v/>
      </c>
      <c r="L1540">
        <f t="shared" ref="L1540:L1603" si="549">IF(K1540="",0,IF(MATCH(K1540,$K$4:$K$2003,0)=ROW()-3,1,0))</f>
        <v>0</v>
      </c>
      <c r="M1540">
        <f t="shared" ref="M1540:M1603" si="550">N(M1539)+L1540</f>
        <v>9</v>
      </c>
      <c r="Q1540" t="str">
        <f>IF(周转筐出入库明细!$D1541="","",周转筐出入库明细!$D1541)</f>
        <v/>
      </c>
      <c r="R1540">
        <f t="shared" ref="R1540:R1603" si="551">IF(Q1540="",0,IF(MATCH(Q1540,$Q$4:$Q$2003,0)=ROW()-3,1,0))</f>
        <v>0</v>
      </c>
      <c r="S1540">
        <f t="shared" ref="S1540:S1603" si="552">N(S1539)+R1540</f>
        <v>5</v>
      </c>
      <c r="W1540" t="str">
        <f>IF(周转筐出入库明细!$C1541="","",周转筐出入库明细!$C1541)</f>
        <v/>
      </c>
      <c r="X1540">
        <f t="shared" ref="X1540:X1603" si="553">IF(W1540="",0,IF(MATCH(W1540,$W$4:$W$2003,0)=ROW()-3,1,0))</f>
        <v>0</v>
      </c>
      <c r="Y1540">
        <f t="shared" ref="Y1540:Y1603" si="554">N(Y1539)+X1540</f>
        <v>12</v>
      </c>
      <c r="CP1540">
        <f>IF(包装物料出入库明细!$D1540="",0,1)</f>
        <v>0</v>
      </c>
      <c r="CQ1540">
        <f t="shared" ref="CQ1540:CQ1603" si="555">N(CQ1539)+$CP1540</f>
        <v>37</v>
      </c>
      <c r="CS1540" t="str">
        <f>IF(OR(周转筐出入库明细!$C1541="",周转筐出入库明细!$F1541&lt;&gt;"采购入库"),"",周转筐出入库明细!$C1541)</f>
        <v/>
      </c>
      <c r="CT1540">
        <f t="shared" ref="CT1540:CT1603" si="556">IF(CS1540="",0,IF(MATCH(CS1540,$CS$4:$CS$2003,0)=ROW()-3,1,0))</f>
        <v>0</v>
      </c>
      <c r="CU1540">
        <f t="shared" ref="CU1540:CU1603" si="557">N(CU1539)+CT1540</f>
        <v>1</v>
      </c>
    </row>
    <row r="1541" spans="1:99">
      <c r="A1541" t="str">
        <f>IF(包装物料出入库明细!$E1541="","",包装物料出入库明细!$E1541)</f>
        <v/>
      </c>
      <c r="B1541">
        <f t="shared" si="547"/>
        <v>0</v>
      </c>
      <c r="C1541">
        <f t="shared" si="548"/>
        <v>7</v>
      </c>
      <c r="D1541" t="str">
        <f>IF(包装物料出入库明细!$E1541="","",包装物料出入库明细!$F1541)</f>
        <v/>
      </c>
      <c r="E1541" t="str">
        <f>IF(包装物料出入库明细!$E1541="","",包装物料出入库明细!$G1541)</f>
        <v/>
      </c>
      <c r="K1541" t="str">
        <f>IF(包装物料出入库明细!$D1541="","",包装物料出入库明细!$D1541)</f>
        <v/>
      </c>
      <c r="L1541">
        <f t="shared" si="549"/>
        <v>0</v>
      </c>
      <c r="M1541">
        <f t="shared" si="550"/>
        <v>9</v>
      </c>
      <c r="Q1541" t="str">
        <f>IF(周转筐出入库明细!$D1542="","",周转筐出入库明细!$D1542)</f>
        <v/>
      </c>
      <c r="R1541">
        <f t="shared" si="551"/>
        <v>0</v>
      </c>
      <c r="S1541">
        <f t="shared" si="552"/>
        <v>5</v>
      </c>
      <c r="W1541" t="str">
        <f>IF(周转筐出入库明细!$C1542="","",周转筐出入库明细!$C1542)</f>
        <v/>
      </c>
      <c r="X1541">
        <f t="shared" si="553"/>
        <v>0</v>
      </c>
      <c r="Y1541">
        <f t="shared" si="554"/>
        <v>12</v>
      </c>
      <c r="CP1541">
        <f>IF(包装物料出入库明细!$D1541="",0,1)</f>
        <v>0</v>
      </c>
      <c r="CQ1541">
        <f t="shared" si="555"/>
        <v>37</v>
      </c>
      <c r="CS1541" t="str">
        <f>IF(OR(周转筐出入库明细!$C1542="",周转筐出入库明细!$F1542&lt;&gt;"采购入库"),"",周转筐出入库明细!$C1542)</f>
        <v/>
      </c>
      <c r="CT1541">
        <f t="shared" si="556"/>
        <v>0</v>
      </c>
      <c r="CU1541">
        <f t="shared" si="557"/>
        <v>1</v>
      </c>
    </row>
    <row r="1542" spans="1:99">
      <c r="A1542" t="str">
        <f>IF(包装物料出入库明细!$E1542="","",包装物料出入库明细!$E1542)</f>
        <v/>
      </c>
      <c r="B1542">
        <f t="shared" si="547"/>
        <v>0</v>
      </c>
      <c r="C1542">
        <f t="shared" si="548"/>
        <v>7</v>
      </c>
      <c r="D1542" t="str">
        <f>IF(包装物料出入库明细!$E1542="","",包装物料出入库明细!$F1542)</f>
        <v/>
      </c>
      <c r="E1542" t="str">
        <f>IF(包装物料出入库明细!$E1542="","",包装物料出入库明细!$G1542)</f>
        <v/>
      </c>
      <c r="K1542" t="str">
        <f>IF(包装物料出入库明细!$D1542="","",包装物料出入库明细!$D1542)</f>
        <v/>
      </c>
      <c r="L1542">
        <f t="shared" si="549"/>
        <v>0</v>
      </c>
      <c r="M1542">
        <f t="shared" si="550"/>
        <v>9</v>
      </c>
      <c r="Q1542" t="str">
        <f>IF(周转筐出入库明细!$D1543="","",周转筐出入库明细!$D1543)</f>
        <v/>
      </c>
      <c r="R1542">
        <f t="shared" si="551"/>
        <v>0</v>
      </c>
      <c r="S1542">
        <f t="shared" si="552"/>
        <v>5</v>
      </c>
      <c r="W1542" t="str">
        <f>IF(周转筐出入库明细!$C1543="","",周转筐出入库明细!$C1543)</f>
        <v/>
      </c>
      <c r="X1542">
        <f t="shared" si="553"/>
        <v>0</v>
      </c>
      <c r="Y1542">
        <f t="shared" si="554"/>
        <v>12</v>
      </c>
      <c r="CP1542">
        <f>IF(包装物料出入库明细!$D1542="",0,1)</f>
        <v>0</v>
      </c>
      <c r="CQ1542">
        <f t="shared" si="555"/>
        <v>37</v>
      </c>
      <c r="CS1542" t="str">
        <f>IF(OR(周转筐出入库明细!$C1543="",周转筐出入库明细!$F1543&lt;&gt;"采购入库"),"",周转筐出入库明细!$C1543)</f>
        <v/>
      </c>
      <c r="CT1542">
        <f t="shared" si="556"/>
        <v>0</v>
      </c>
      <c r="CU1542">
        <f t="shared" si="557"/>
        <v>1</v>
      </c>
    </row>
    <row r="1543" spans="1:99">
      <c r="A1543" t="str">
        <f>IF(包装物料出入库明细!$E1543="","",包装物料出入库明细!$E1543)</f>
        <v/>
      </c>
      <c r="B1543">
        <f t="shared" si="547"/>
        <v>0</v>
      </c>
      <c r="C1543">
        <f t="shared" si="548"/>
        <v>7</v>
      </c>
      <c r="D1543" t="str">
        <f>IF(包装物料出入库明细!$E1543="","",包装物料出入库明细!$F1543)</f>
        <v/>
      </c>
      <c r="E1543" t="str">
        <f>IF(包装物料出入库明细!$E1543="","",包装物料出入库明细!$G1543)</f>
        <v/>
      </c>
      <c r="K1543" t="str">
        <f>IF(包装物料出入库明细!$D1543="","",包装物料出入库明细!$D1543)</f>
        <v/>
      </c>
      <c r="L1543">
        <f t="shared" si="549"/>
        <v>0</v>
      </c>
      <c r="M1543">
        <f t="shared" si="550"/>
        <v>9</v>
      </c>
      <c r="Q1543" t="str">
        <f>IF(周转筐出入库明细!$D1544="","",周转筐出入库明细!$D1544)</f>
        <v/>
      </c>
      <c r="R1543">
        <f t="shared" si="551"/>
        <v>0</v>
      </c>
      <c r="S1543">
        <f t="shared" si="552"/>
        <v>5</v>
      </c>
      <c r="W1543" t="str">
        <f>IF(周转筐出入库明细!$C1544="","",周转筐出入库明细!$C1544)</f>
        <v/>
      </c>
      <c r="X1543">
        <f t="shared" si="553"/>
        <v>0</v>
      </c>
      <c r="Y1543">
        <f t="shared" si="554"/>
        <v>12</v>
      </c>
      <c r="CP1543">
        <f>IF(包装物料出入库明细!$D1543="",0,1)</f>
        <v>0</v>
      </c>
      <c r="CQ1543">
        <f t="shared" si="555"/>
        <v>37</v>
      </c>
      <c r="CS1543" t="str">
        <f>IF(OR(周转筐出入库明细!$C1544="",周转筐出入库明细!$F1544&lt;&gt;"采购入库"),"",周转筐出入库明细!$C1544)</f>
        <v/>
      </c>
      <c r="CT1543">
        <f t="shared" si="556"/>
        <v>0</v>
      </c>
      <c r="CU1543">
        <f t="shared" si="557"/>
        <v>1</v>
      </c>
    </row>
    <row r="1544" spans="1:99">
      <c r="A1544" t="str">
        <f>IF(包装物料出入库明细!$E1544="","",包装物料出入库明细!$E1544)</f>
        <v/>
      </c>
      <c r="B1544">
        <f t="shared" si="547"/>
        <v>0</v>
      </c>
      <c r="C1544">
        <f t="shared" si="548"/>
        <v>7</v>
      </c>
      <c r="D1544" t="str">
        <f>IF(包装物料出入库明细!$E1544="","",包装物料出入库明细!$F1544)</f>
        <v/>
      </c>
      <c r="E1544" t="str">
        <f>IF(包装物料出入库明细!$E1544="","",包装物料出入库明细!$G1544)</f>
        <v/>
      </c>
      <c r="K1544" t="str">
        <f>IF(包装物料出入库明细!$D1544="","",包装物料出入库明细!$D1544)</f>
        <v/>
      </c>
      <c r="L1544">
        <f t="shared" si="549"/>
        <v>0</v>
      </c>
      <c r="M1544">
        <f t="shared" si="550"/>
        <v>9</v>
      </c>
      <c r="Q1544" t="str">
        <f>IF(周转筐出入库明细!$D1545="","",周转筐出入库明细!$D1545)</f>
        <v/>
      </c>
      <c r="R1544">
        <f t="shared" si="551"/>
        <v>0</v>
      </c>
      <c r="S1544">
        <f t="shared" si="552"/>
        <v>5</v>
      </c>
      <c r="W1544" t="str">
        <f>IF(周转筐出入库明细!$C1545="","",周转筐出入库明细!$C1545)</f>
        <v/>
      </c>
      <c r="X1544">
        <f t="shared" si="553"/>
        <v>0</v>
      </c>
      <c r="Y1544">
        <f t="shared" si="554"/>
        <v>12</v>
      </c>
      <c r="CP1544">
        <f>IF(包装物料出入库明细!$D1544="",0,1)</f>
        <v>0</v>
      </c>
      <c r="CQ1544">
        <f t="shared" si="555"/>
        <v>37</v>
      </c>
      <c r="CS1544" t="str">
        <f>IF(OR(周转筐出入库明细!$C1545="",周转筐出入库明细!$F1545&lt;&gt;"采购入库"),"",周转筐出入库明细!$C1545)</f>
        <v/>
      </c>
      <c r="CT1544">
        <f t="shared" si="556"/>
        <v>0</v>
      </c>
      <c r="CU1544">
        <f t="shared" si="557"/>
        <v>1</v>
      </c>
    </row>
    <row r="1545" spans="1:99">
      <c r="A1545" t="str">
        <f>IF(包装物料出入库明细!$E1545="","",包装物料出入库明细!$E1545)</f>
        <v/>
      </c>
      <c r="B1545">
        <f t="shared" si="547"/>
        <v>0</v>
      </c>
      <c r="C1545">
        <f t="shared" si="548"/>
        <v>7</v>
      </c>
      <c r="D1545" t="str">
        <f>IF(包装物料出入库明细!$E1545="","",包装物料出入库明细!$F1545)</f>
        <v/>
      </c>
      <c r="E1545" t="str">
        <f>IF(包装物料出入库明细!$E1545="","",包装物料出入库明细!$G1545)</f>
        <v/>
      </c>
      <c r="K1545" t="str">
        <f>IF(包装物料出入库明细!$D1545="","",包装物料出入库明细!$D1545)</f>
        <v/>
      </c>
      <c r="L1545">
        <f t="shared" si="549"/>
        <v>0</v>
      </c>
      <c r="M1545">
        <f t="shared" si="550"/>
        <v>9</v>
      </c>
      <c r="Q1545" t="str">
        <f>IF(周转筐出入库明细!$D1546="","",周转筐出入库明细!$D1546)</f>
        <v/>
      </c>
      <c r="R1545">
        <f t="shared" si="551"/>
        <v>0</v>
      </c>
      <c r="S1545">
        <f t="shared" si="552"/>
        <v>5</v>
      </c>
      <c r="W1545" t="str">
        <f>IF(周转筐出入库明细!$C1546="","",周转筐出入库明细!$C1546)</f>
        <v/>
      </c>
      <c r="X1545">
        <f t="shared" si="553"/>
        <v>0</v>
      </c>
      <c r="Y1545">
        <f t="shared" si="554"/>
        <v>12</v>
      </c>
      <c r="CP1545">
        <f>IF(包装物料出入库明细!$D1545="",0,1)</f>
        <v>0</v>
      </c>
      <c r="CQ1545">
        <f t="shared" si="555"/>
        <v>37</v>
      </c>
      <c r="CS1545" t="str">
        <f>IF(OR(周转筐出入库明细!$C1546="",周转筐出入库明细!$F1546&lt;&gt;"采购入库"),"",周转筐出入库明细!$C1546)</f>
        <v/>
      </c>
      <c r="CT1545">
        <f t="shared" si="556"/>
        <v>0</v>
      </c>
      <c r="CU1545">
        <f t="shared" si="557"/>
        <v>1</v>
      </c>
    </row>
    <row r="1546" spans="1:99">
      <c r="A1546" t="str">
        <f>IF(包装物料出入库明细!$E1546="","",包装物料出入库明细!$E1546)</f>
        <v/>
      </c>
      <c r="B1546">
        <f t="shared" si="547"/>
        <v>0</v>
      </c>
      <c r="C1546">
        <f t="shared" si="548"/>
        <v>7</v>
      </c>
      <c r="D1546" t="str">
        <f>IF(包装物料出入库明细!$E1546="","",包装物料出入库明细!$F1546)</f>
        <v/>
      </c>
      <c r="E1546" t="str">
        <f>IF(包装物料出入库明细!$E1546="","",包装物料出入库明细!$G1546)</f>
        <v/>
      </c>
      <c r="K1546" t="str">
        <f>IF(包装物料出入库明细!$D1546="","",包装物料出入库明细!$D1546)</f>
        <v/>
      </c>
      <c r="L1546">
        <f t="shared" si="549"/>
        <v>0</v>
      </c>
      <c r="M1546">
        <f t="shared" si="550"/>
        <v>9</v>
      </c>
      <c r="Q1546" t="str">
        <f>IF(周转筐出入库明细!$D1547="","",周转筐出入库明细!$D1547)</f>
        <v/>
      </c>
      <c r="R1546">
        <f t="shared" si="551"/>
        <v>0</v>
      </c>
      <c r="S1546">
        <f t="shared" si="552"/>
        <v>5</v>
      </c>
      <c r="W1546" t="str">
        <f>IF(周转筐出入库明细!$C1547="","",周转筐出入库明细!$C1547)</f>
        <v/>
      </c>
      <c r="X1546">
        <f t="shared" si="553"/>
        <v>0</v>
      </c>
      <c r="Y1546">
        <f t="shared" si="554"/>
        <v>12</v>
      </c>
      <c r="CP1546">
        <f>IF(包装物料出入库明细!$D1546="",0,1)</f>
        <v>0</v>
      </c>
      <c r="CQ1546">
        <f t="shared" si="555"/>
        <v>37</v>
      </c>
      <c r="CS1546" t="str">
        <f>IF(OR(周转筐出入库明细!$C1547="",周转筐出入库明细!$F1547&lt;&gt;"采购入库"),"",周转筐出入库明细!$C1547)</f>
        <v/>
      </c>
      <c r="CT1546">
        <f t="shared" si="556"/>
        <v>0</v>
      </c>
      <c r="CU1546">
        <f t="shared" si="557"/>
        <v>1</v>
      </c>
    </row>
    <row r="1547" spans="1:99">
      <c r="A1547" t="str">
        <f>IF(包装物料出入库明细!$E1547="","",包装物料出入库明细!$E1547)</f>
        <v/>
      </c>
      <c r="B1547">
        <f t="shared" si="547"/>
        <v>0</v>
      </c>
      <c r="C1547">
        <f t="shared" si="548"/>
        <v>7</v>
      </c>
      <c r="D1547" t="str">
        <f>IF(包装物料出入库明细!$E1547="","",包装物料出入库明细!$F1547)</f>
        <v/>
      </c>
      <c r="E1547" t="str">
        <f>IF(包装物料出入库明细!$E1547="","",包装物料出入库明细!$G1547)</f>
        <v/>
      </c>
      <c r="K1547" t="str">
        <f>IF(包装物料出入库明细!$D1547="","",包装物料出入库明细!$D1547)</f>
        <v/>
      </c>
      <c r="L1547">
        <f t="shared" si="549"/>
        <v>0</v>
      </c>
      <c r="M1547">
        <f t="shared" si="550"/>
        <v>9</v>
      </c>
      <c r="Q1547" t="str">
        <f>IF(周转筐出入库明细!$D1548="","",周转筐出入库明细!$D1548)</f>
        <v/>
      </c>
      <c r="R1547">
        <f t="shared" si="551"/>
        <v>0</v>
      </c>
      <c r="S1547">
        <f t="shared" si="552"/>
        <v>5</v>
      </c>
      <c r="W1547" t="str">
        <f>IF(周转筐出入库明细!$C1548="","",周转筐出入库明细!$C1548)</f>
        <v/>
      </c>
      <c r="X1547">
        <f t="shared" si="553"/>
        <v>0</v>
      </c>
      <c r="Y1547">
        <f t="shared" si="554"/>
        <v>12</v>
      </c>
      <c r="CP1547">
        <f>IF(包装物料出入库明细!$D1547="",0,1)</f>
        <v>0</v>
      </c>
      <c r="CQ1547">
        <f t="shared" si="555"/>
        <v>37</v>
      </c>
      <c r="CS1547" t="str">
        <f>IF(OR(周转筐出入库明细!$C1548="",周转筐出入库明细!$F1548&lt;&gt;"采购入库"),"",周转筐出入库明细!$C1548)</f>
        <v/>
      </c>
      <c r="CT1547">
        <f t="shared" si="556"/>
        <v>0</v>
      </c>
      <c r="CU1547">
        <f t="shared" si="557"/>
        <v>1</v>
      </c>
    </row>
    <row r="1548" spans="1:99">
      <c r="A1548" t="str">
        <f>IF(包装物料出入库明细!$E1548="","",包装物料出入库明细!$E1548)</f>
        <v/>
      </c>
      <c r="B1548">
        <f t="shared" si="547"/>
        <v>0</v>
      </c>
      <c r="C1548">
        <f t="shared" si="548"/>
        <v>7</v>
      </c>
      <c r="D1548" t="str">
        <f>IF(包装物料出入库明细!$E1548="","",包装物料出入库明细!$F1548)</f>
        <v/>
      </c>
      <c r="E1548" t="str">
        <f>IF(包装物料出入库明细!$E1548="","",包装物料出入库明细!$G1548)</f>
        <v/>
      </c>
      <c r="K1548" t="str">
        <f>IF(包装物料出入库明细!$D1548="","",包装物料出入库明细!$D1548)</f>
        <v/>
      </c>
      <c r="L1548">
        <f t="shared" si="549"/>
        <v>0</v>
      </c>
      <c r="M1548">
        <f t="shared" si="550"/>
        <v>9</v>
      </c>
      <c r="Q1548" t="str">
        <f>IF(周转筐出入库明细!$D1549="","",周转筐出入库明细!$D1549)</f>
        <v/>
      </c>
      <c r="R1548">
        <f t="shared" si="551"/>
        <v>0</v>
      </c>
      <c r="S1548">
        <f t="shared" si="552"/>
        <v>5</v>
      </c>
      <c r="W1548" t="str">
        <f>IF(周转筐出入库明细!$C1549="","",周转筐出入库明细!$C1549)</f>
        <v/>
      </c>
      <c r="X1548">
        <f t="shared" si="553"/>
        <v>0</v>
      </c>
      <c r="Y1548">
        <f t="shared" si="554"/>
        <v>12</v>
      </c>
      <c r="CP1548">
        <f>IF(包装物料出入库明细!$D1548="",0,1)</f>
        <v>0</v>
      </c>
      <c r="CQ1548">
        <f t="shared" si="555"/>
        <v>37</v>
      </c>
      <c r="CS1548" t="str">
        <f>IF(OR(周转筐出入库明细!$C1549="",周转筐出入库明细!$F1549&lt;&gt;"采购入库"),"",周转筐出入库明细!$C1549)</f>
        <v/>
      </c>
      <c r="CT1548">
        <f t="shared" si="556"/>
        <v>0</v>
      </c>
      <c r="CU1548">
        <f t="shared" si="557"/>
        <v>1</v>
      </c>
    </row>
    <row r="1549" spans="1:99">
      <c r="A1549" t="str">
        <f>IF(包装物料出入库明细!$E1549="","",包装物料出入库明细!$E1549)</f>
        <v/>
      </c>
      <c r="B1549">
        <f t="shared" si="547"/>
        <v>0</v>
      </c>
      <c r="C1549">
        <f t="shared" si="548"/>
        <v>7</v>
      </c>
      <c r="D1549" t="str">
        <f>IF(包装物料出入库明细!$E1549="","",包装物料出入库明细!$F1549)</f>
        <v/>
      </c>
      <c r="E1549" t="str">
        <f>IF(包装物料出入库明细!$E1549="","",包装物料出入库明细!$G1549)</f>
        <v/>
      </c>
      <c r="K1549" t="str">
        <f>IF(包装物料出入库明细!$D1549="","",包装物料出入库明细!$D1549)</f>
        <v/>
      </c>
      <c r="L1549">
        <f t="shared" si="549"/>
        <v>0</v>
      </c>
      <c r="M1549">
        <f t="shared" si="550"/>
        <v>9</v>
      </c>
      <c r="Q1549" t="str">
        <f>IF(周转筐出入库明细!$D1550="","",周转筐出入库明细!$D1550)</f>
        <v/>
      </c>
      <c r="R1549">
        <f t="shared" si="551"/>
        <v>0</v>
      </c>
      <c r="S1549">
        <f t="shared" si="552"/>
        <v>5</v>
      </c>
      <c r="W1549" t="str">
        <f>IF(周转筐出入库明细!$C1550="","",周转筐出入库明细!$C1550)</f>
        <v/>
      </c>
      <c r="X1549">
        <f t="shared" si="553"/>
        <v>0</v>
      </c>
      <c r="Y1549">
        <f t="shared" si="554"/>
        <v>12</v>
      </c>
      <c r="CP1549">
        <f>IF(包装物料出入库明细!$D1549="",0,1)</f>
        <v>0</v>
      </c>
      <c r="CQ1549">
        <f t="shared" si="555"/>
        <v>37</v>
      </c>
      <c r="CS1549" t="str">
        <f>IF(OR(周转筐出入库明细!$C1550="",周转筐出入库明细!$F1550&lt;&gt;"采购入库"),"",周转筐出入库明细!$C1550)</f>
        <v/>
      </c>
      <c r="CT1549">
        <f t="shared" si="556"/>
        <v>0</v>
      </c>
      <c r="CU1549">
        <f t="shared" si="557"/>
        <v>1</v>
      </c>
    </row>
    <row r="1550" spans="1:99">
      <c r="A1550" t="str">
        <f>IF(包装物料出入库明细!$E1550="","",包装物料出入库明细!$E1550)</f>
        <v/>
      </c>
      <c r="B1550">
        <f t="shared" si="547"/>
        <v>0</v>
      </c>
      <c r="C1550">
        <f t="shared" si="548"/>
        <v>7</v>
      </c>
      <c r="D1550" t="str">
        <f>IF(包装物料出入库明细!$E1550="","",包装物料出入库明细!$F1550)</f>
        <v/>
      </c>
      <c r="E1550" t="str">
        <f>IF(包装物料出入库明细!$E1550="","",包装物料出入库明细!$G1550)</f>
        <v/>
      </c>
      <c r="K1550" t="str">
        <f>IF(包装物料出入库明细!$D1550="","",包装物料出入库明细!$D1550)</f>
        <v/>
      </c>
      <c r="L1550">
        <f t="shared" si="549"/>
        <v>0</v>
      </c>
      <c r="M1550">
        <f t="shared" si="550"/>
        <v>9</v>
      </c>
      <c r="Q1550" t="str">
        <f>IF(周转筐出入库明细!$D1551="","",周转筐出入库明细!$D1551)</f>
        <v/>
      </c>
      <c r="R1550">
        <f t="shared" si="551"/>
        <v>0</v>
      </c>
      <c r="S1550">
        <f t="shared" si="552"/>
        <v>5</v>
      </c>
      <c r="W1550" t="str">
        <f>IF(周转筐出入库明细!$C1551="","",周转筐出入库明细!$C1551)</f>
        <v/>
      </c>
      <c r="X1550">
        <f t="shared" si="553"/>
        <v>0</v>
      </c>
      <c r="Y1550">
        <f t="shared" si="554"/>
        <v>12</v>
      </c>
      <c r="CP1550">
        <f>IF(包装物料出入库明细!$D1550="",0,1)</f>
        <v>0</v>
      </c>
      <c r="CQ1550">
        <f t="shared" si="555"/>
        <v>37</v>
      </c>
      <c r="CS1550" t="str">
        <f>IF(OR(周转筐出入库明细!$C1551="",周转筐出入库明细!$F1551&lt;&gt;"采购入库"),"",周转筐出入库明细!$C1551)</f>
        <v/>
      </c>
      <c r="CT1550">
        <f t="shared" si="556"/>
        <v>0</v>
      </c>
      <c r="CU1550">
        <f t="shared" si="557"/>
        <v>1</v>
      </c>
    </row>
    <row r="1551" spans="1:99">
      <c r="A1551" t="str">
        <f>IF(包装物料出入库明细!$E1551="","",包装物料出入库明细!$E1551)</f>
        <v/>
      </c>
      <c r="B1551">
        <f t="shared" si="547"/>
        <v>0</v>
      </c>
      <c r="C1551">
        <f t="shared" si="548"/>
        <v>7</v>
      </c>
      <c r="D1551" t="str">
        <f>IF(包装物料出入库明细!$E1551="","",包装物料出入库明细!$F1551)</f>
        <v/>
      </c>
      <c r="E1551" t="str">
        <f>IF(包装物料出入库明细!$E1551="","",包装物料出入库明细!$G1551)</f>
        <v/>
      </c>
      <c r="K1551" t="str">
        <f>IF(包装物料出入库明细!$D1551="","",包装物料出入库明细!$D1551)</f>
        <v/>
      </c>
      <c r="L1551">
        <f t="shared" si="549"/>
        <v>0</v>
      </c>
      <c r="M1551">
        <f t="shared" si="550"/>
        <v>9</v>
      </c>
      <c r="Q1551" t="str">
        <f>IF(周转筐出入库明细!$D1552="","",周转筐出入库明细!$D1552)</f>
        <v/>
      </c>
      <c r="R1551">
        <f t="shared" si="551"/>
        <v>0</v>
      </c>
      <c r="S1551">
        <f t="shared" si="552"/>
        <v>5</v>
      </c>
      <c r="W1551" t="str">
        <f>IF(周转筐出入库明细!$C1552="","",周转筐出入库明细!$C1552)</f>
        <v/>
      </c>
      <c r="X1551">
        <f t="shared" si="553"/>
        <v>0</v>
      </c>
      <c r="Y1551">
        <f t="shared" si="554"/>
        <v>12</v>
      </c>
      <c r="CP1551">
        <f>IF(包装物料出入库明细!$D1551="",0,1)</f>
        <v>0</v>
      </c>
      <c r="CQ1551">
        <f t="shared" si="555"/>
        <v>37</v>
      </c>
      <c r="CS1551" t="str">
        <f>IF(OR(周转筐出入库明细!$C1552="",周转筐出入库明细!$F1552&lt;&gt;"采购入库"),"",周转筐出入库明细!$C1552)</f>
        <v/>
      </c>
      <c r="CT1551">
        <f t="shared" si="556"/>
        <v>0</v>
      </c>
      <c r="CU1551">
        <f t="shared" si="557"/>
        <v>1</v>
      </c>
    </row>
    <row r="1552" spans="1:99">
      <c r="A1552" t="str">
        <f>IF(包装物料出入库明细!$E1552="","",包装物料出入库明细!$E1552)</f>
        <v/>
      </c>
      <c r="B1552">
        <f t="shared" si="547"/>
        <v>0</v>
      </c>
      <c r="C1552">
        <f t="shared" si="548"/>
        <v>7</v>
      </c>
      <c r="D1552" t="str">
        <f>IF(包装物料出入库明细!$E1552="","",包装物料出入库明细!$F1552)</f>
        <v/>
      </c>
      <c r="E1552" t="str">
        <f>IF(包装物料出入库明细!$E1552="","",包装物料出入库明细!$G1552)</f>
        <v/>
      </c>
      <c r="K1552" t="str">
        <f>IF(包装物料出入库明细!$D1552="","",包装物料出入库明细!$D1552)</f>
        <v/>
      </c>
      <c r="L1552">
        <f t="shared" si="549"/>
        <v>0</v>
      </c>
      <c r="M1552">
        <f t="shared" si="550"/>
        <v>9</v>
      </c>
      <c r="Q1552" t="str">
        <f>IF(周转筐出入库明细!$D1553="","",周转筐出入库明细!$D1553)</f>
        <v/>
      </c>
      <c r="R1552">
        <f t="shared" si="551"/>
        <v>0</v>
      </c>
      <c r="S1552">
        <f t="shared" si="552"/>
        <v>5</v>
      </c>
      <c r="W1552" t="str">
        <f>IF(周转筐出入库明细!$C1553="","",周转筐出入库明细!$C1553)</f>
        <v/>
      </c>
      <c r="X1552">
        <f t="shared" si="553"/>
        <v>0</v>
      </c>
      <c r="Y1552">
        <f t="shared" si="554"/>
        <v>12</v>
      </c>
      <c r="CP1552">
        <f>IF(包装物料出入库明细!$D1552="",0,1)</f>
        <v>0</v>
      </c>
      <c r="CQ1552">
        <f t="shared" si="555"/>
        <v>37</v>
      </c>
      <c r="CS1552" t="str">
        <f>IF(OR(周转筐出入库明细!$C1553="",周转筐出入库明细!$F1553&lt;&gt;"采购入库"),"",周转筐出入库明细!$C1553)</f>
        <v/>
      </c>
      <c r="CT1552">
        <f t="shared" si="556"/>
        <v>0</v>
      </c>
      <c r="CU1552">
        <f t="shared" si="557"/>
        <v>1</v>
      </c>
    </row>
    <row r="1553" spans="1:99">
      <c r="A1553" t="str">
        <f>IF(包装物料出入库明细!$E1553="","",包装物料出入库明细!$E1553)</f>
        <v/>
      </c>
      <c r="B1553">
        <f t="shared" si="547"/>
        <v>0</v>
      </c>
      <c r="C1553">
        <f t="shared" si="548"/>
        <v>7</v>
      </c>
      <c r="D1553" t="str">
        <f>IF(包装物料出入库明细!$E1553="","",包装物料出入库明细!$F1553)</f>
        <v/>
      </c>
      <c r="E1553" t="str">
        <f>IF(包装物料出入库明细!$E1553="","",包装物料出入库明细!$G1553)</f>
        <v/>
      </c>
      <c r="K1553" t="str">
        <f>IF(包装物料出入库明细!$D1553="","",包装物料出入库明细!$D1553)</f>
        <v/>
      </c>
      <c r="L1553">
        <f t="shared" si="549"/>
        <v>0</v>
      </c>
      <c r="M1553">
        <f t="shared" si="550"/>
        <v>9</v>
      </c>
      <c r="Q1553" t="str">
        <f>IF(周转筐出入库明细!$D1554="","",周转筐出入库明细!$D1554)</f>
        <v/>
      </c>
      <c r="R1553">
        <f t="shared" si="551"/>
        <v>0</v>
      </c>
      <c r="S1553">
        <f t="shared" si="552"/>
        <v>5</v>
      </c>
      <c r="W1553" t="str">
        <f>IF(周转筐出入库明细!$C1554="","",周转筐出入库明细!$C1554)</f>
        <v/>
      </c>
      <c r="X1553">
        <f t="shared" si="553"/>
        <v>0</v>
      </c>
      <c r="Y1553">
        <f t="shared" si="554"/>
        <v>12</v>
      </c>
      <c r="CP1553">
        <f>IF(包装物料出入库明细!$D1553="",0,1)</f>
        <v>0</v>
      </c>
      <c r="CQ1553">
        <f t="shared" si="555"/>
        <v>37</v>
      </c>
      <c r="CS1553" t="str">
        <f>IF(OR(周转筐出入库明细!$C1554="",周转筐出入库明细!$F1554&lt;&gt;"采购入库"),"",周转筐出入库明细!$C1554)</f>
        <v/>
      </c>
      <c r="CT1553">
        <f t="shared" si="556"/>
        <v>0</v>
      </c>
      <c r="CU1553">
        <f t="shared" si="557"/>
        <v>1</v>
      </c>
    </row>
    <row r="1554" spans="1:99">
      <c r="A1554" t="str">
        <f>IF(包装物料出入库明细!$E1554="","",包装物料出入库明细!$E1554)</f>
        <v/>
      </c>
      <c r="B1554">
        <f t="shared" si="547"/>
        <v>0</v>
      </c>
      <c r="C1554">
        <f t="shared" si="548"/>
        <v>7</v>
      </c>
      <c r="D1554" t="str">
        <f>IF(包装物料出入库明细!$E1554="","",包装物料出入库明细!$F1554)</f>
        <v/>
      </c>
      <c r="E1554" t="str">
        <f>IF(包装物料出入库明细!$E1554="","",包装物料出入库明细!$G1554)</f>
        <v/>
      </c>
      <c r="K1554" t="str">
        <f>IF(包装物料出入库明细!$D1554="","",包装物料出入库明细!$D1554)</f>
        <v/>
      </c>
      <c r="L1554">
        <f t="shared" si="549"/>
        <v>0</v>
      </c>
      <c r="M1554">
        <f t="shared" si="550"/>
        <v>9</v>
      </c>
      <c r="Q1554" t="str">
        <f>IF(周转筐出入库明细!$D1555="","",周转筐出入库明细!$D1555)</f>
        <v/>
      </c>
      <c r="R1554">
        <f t="shared" si="551"/>
        <v>0</v>
      </c>
      <c r="S1554">
        <f t="shared" si="552"/>
        <v>5</v>
      </c>
      <c r="W1554" t="str">
        <f>IF(周转筐出入库明细!$C1555="","",周转筐出入库明细!$C1555)</f>
        <v/>
      </c>
      <c r="X1554">
        <f t="shared" si="553"/>
        <v>0</v>
      </c>
      <c r="Y1554">
        <f t="shared" si="554"/>
        <v>12</v>
      </c>
      <c r="CP1554">
        <f>IF(包装物料出入库明细!$D1554="",0,1)</f>
        <v>0</v>
      </c>
      <c r="CQ1554">
        <f t="shared" si="555"/>
        <v>37</v>
      </c>
      <c r="CS1554" t="str">
        <f>IF(OR(周转筐出入库明细!$C1555="",周转筐出入库明细!$F1555&lt;&gt;"采购入库"),"",周转筐出入库明细!$C1555)</f>
        <v/>
      </c>
      <c r="CT1554">
        <f t="shared" si="556"/>
        <v>0</v>
      </c>
      <c r="CU1554">
        <f t="shared" si="557"/>
        <v>1</v>
      </c>
    </row>
    <row r="1555" spans="1:99">
      <c r="A1555" t="str">
        <f>IF(包装物料出入库明细!$E1555="","",包装物料出入库明细!$E1555)</f>
        <v/>
      </c>
      <c r="B1555">
        <f t="shared" si="547"/>
        <v>0</v>
      </c>
      <c r="C1555">
        <f t="shared" si="548"/>
        <v>7</v>
      </c>
      <c r="D1555" t="str">
        <f>IF(包装物料出入库明细!$E1555="","",包装物料出入库明细!$F1555)</f>
        <v/>
      </c>
      <c r="E1555" t="str">
        <f>IF(包装物料出入库明细!$E1555="","",包装物料出入库明细!$G1555)</f>
        <v/>
      </c>
      <c r="K1555" t="str">
        <f>IF(包装物料出入库明细!$D1555="","",包装物料出入库明细!$D1555)</f>
        <v/>
      </c>
      <c r="L1555">
        <f t="shared" si="549"/>
        <v>0</v>
      </c>
      <c r="M1555">
        <f t="shared" si="550"/>
        <v>9</v>
      </c>
      <c r="Q1555" t="str">
        <f>IF(周转筐出入库明细!$D1556="","",周转筐出入库明细!$D1556)</f>
        <v/>
      </c>
      <c r="R1555">
        <f t="shared" si="551"/>
        <v>0</v>
      </c>
      <c r="S1555">
        <f t="shared" si="552"/>
        <v>5</v>
      </c>
      <c r="W1555" t="str">
        <f>IF(周转筐出入库明细!$C1556="","",周转筐出入库明细!$C1556)</f>
        <v/>
      </c>
      <c r="X1555">
        <f t="shared" si="553"/>
        <v>0</v>
      </c>
      <c r="Y1555">
        <f t="shared" si="554"/>
        <v>12</v>
      </c>
      <c r="CP1555">
        <f>IF(包装物料出入库明细!$D1555="",0,1)</f>
        <v>0</v>
      </c>
      <c r="CQ1555">
        <f t="shared" si="555"/>
        <v>37</v>
      </c>
      <c r="CS1555" t="str">
        <f>IF(OR(周转筐出入库明细!$C1556="",周转筐出入库明细!$F1556&lt;&gt;"采购入库"),"",周转筐出入库明细!$C1556)</f>
        <v/>
      </c>
      <c r="CT1555">
        <f t="shared" si="556"/>
        <v>0</v>
      </c>
      <c r="CU1555">
        <f t="shared" si="557"/>
        <v>1</v>
      </c>
    </row>
    <row r="1556" spans="1:99">
      <c r="A1556" t="str">
        <f>IF(包装物料出入库明细!$E1556="","",包装物料出入库明细!$E1556)</f>
        <v/>
      </c>
      <c r="B1556">
        <f t="shared" si="547"/>
        <v>0</v>
      </c>
      <c r="C1556">
        <f t="shared" si="548"/>
        <v>7</v>
      </c>
      <c r="D1556" t="str">
        <f>IF(包装物料出入库明细!$E1556="","",包装物料出入库明细!$F1556)</f>
        <v/>
      </c>
      <c r="E1556" t="str">
        <f>IF(包装物料出入库明细!$E1556="","",包装物料出入库明细!$G1556)</f>
        <v/>
      </c>
      <c r="K1556" t="str">
        <f>IF(包装物料出入库明细!$D1556="","",包装物料出入库明细!$D1556)</f>
        <v/>
      </c>
      <c r="L1556">
        <f t="shared" si="549"/>
        <v>0</v>
      </c>
      <c r="M1556">
        <f t="shared" si="550"/>
        <v>9</v>
      </c>
      <c r="Q1556" t="str">
        <f>IF(周转筐出入库明细!$D1557="","",周转筐出入库明细!$D1557)</f>
        <v/>
      </c>
      <c r="R1556">
        <f t="shared" si="551"/>
        <v>0</v>
      </c>
      <c r="S1556">
        <f t="shared" si="552"/>
        <v>5</v>
      </c>
      <c r="W1556" t="str">
        <f>IF(周转筐出入库明细!$C1557="","",周转筐出入库明细!$C1557)</f>
        <v/>
      </c>
      <c r="X1556">
        <f t="shared" si="553"/>
        <v>0</v>
      </c>
      <c r="Y1556">
        <f t="shared" si="554"/>
        <v>12</v>
      </c>
      <c r="CP1556">
        <f>IF(包装物料出入库明细!$D1556="",0,1)</f>
        <v>0</v>
      </c>
      <c r="CQ1556">
        <f t="shared" si="555"/>
        <v>37</v>
      </c>
      <c r="CS1556" t="str">
        <f>IF(OR(周转筐出入库明细!$C1557="",周转筐出入库明细!$F1557&lt;&gt;"采购入库"),"",周转筐出入库明细!$C1557)</f>
        <v/>
      </c>
      <c r="CT1556">
        <f t="shared" si="556"/>
        <v>0</v>
      </c>
      <c r="CU1556">
        <f t="shared" si="557"/>
        <v>1</v>
      </c>
    </row>
    <row r="1557" spans="1:99">
      <c r="A1557" t="str">
        <f>IF(包装物料出入库明细!$E1557="","",包装物料出入库明细!$E1557)</f>
        <v/>
      </c>
      <c r="B1557">
        <f t="shared" si="547"/>
        <v>0</v>
      </c>
      <c r="C1557">
        <f t="shared" si="548"/>
        <v>7</v>
      </c>
      <c r="D1557" t="str">
        <f>IF(包装物料出入库明细!$E1557="","",包装物料出入库明细!$F1557)</f>
        <v/>
      </c>
      <c r="E1557" t="str">
        <f>IF(包装物料出入库明细!$E1557="","",包装物料出入库明细!$G1557)</f>
        <v/>
      </c>
      <c r="K1557" t="str">
        <f>IF(包装物料出入库明细!$D1557="","",包装物料出入库明细!$D1557)</f>
        <v/>
      </c>
      <c r="L1557">
        <f t="shared" si="549"/>
        <v>0</v>
      </c>
      <c r="M1557">
        <f t="shared" si="550"/>
        <v>9</v>
      </c>
      <c r="Q1557" t="str">
        <f>IF(周转筐出入库明细!$D1558="","",周转筐出入库明细!$D1558)</f>
        <v/>
      </c>
      <c r="R1557">
        <f t="shared" si="551"/>
        <v>0</v>
      </c>
      <c r="S1557">
        <f t="shared" si="552"/>
        <v>5</v>
      </c>
      <c r="W1557" t="str">
        <f>IF(周转筐出入库明细!$C1558="","",周转筐出入库明细!$C1558)</f>
        <v/>
      </c>
      <c r="X1557">
        <f t="shared" si="553"/>
        <v>0</v>
      </c>
      <c r="Y1557">
        <f t="shared" si="554"/>
        <v>12</v>
      </c>
      <c r="CP1557">
        <f>IF(包装物料出入库明细!$D1557="",0,1)</f>
        <v>0</v>
      </c>
      <c r="CQ1557">
        <f t="shared" si="555"/>
        <v>37</v>
      </c>
      <c r="CS1557" t="str">
        <f>IF(OR(周转筐出入库明细!$C1558="",周转筐出入库明细!$F1558&lt;&gt;"采购入库"),"",周转筐出入库明细!$C1558)</f>
        <v/>
      </c>
      <c r="CT1557">
        <f t="shared" si="556"/>
        <v>0</v>
      </c>
      <c r="CU1557">
        <f t="shared" si="557"/>
        <v>1</v>
      </c>
    </row>
    <row r="1558" spans="1:99">
      <c r="A1558" t="str">
        <f>IF(包装物料出入库明细!$E1558="","",包装物料出入库明细!$E1558)</f>
        <v/>
      </c>
      <c r="B1558">
        <f t="shared" si="547"/>
        <v>0</v>
      </c>
      <c r="C1558">
        <f t="shared" si="548"/>
        <v>7</v>
      </c>
      <c r="D1558" t="str">
        <f>IF(包装物料出入库明细!$E1558="","",包装物料出入库明细!$F1558)</f>
        <v/>
      </c>
      <c r="E1558" t="str">
        <f>IF(包装物料出入库明细!$E1558="","",包装物料出入库明细!$G1558)</f>
        <v/>
      </c>
      <c r="K1558" t="str">
        <f>IF(包装物料出入库明细!$D1558="","",包装物料出入库明细!$D1558)</f>
        <v/>
      </c>
      <c r="L1558">
        <f t="shared" si="549"/>
        <v>0</v>
      </c>
      <c r="M1558">
        <f t="shared" si="550"/>
        <v>9</v>
      </c>
      <c r="Q1558" t="str">
        <f>IF(周转筐出入库明细!$D1559="","",周转筐出入库明细!$D1559)</f>
        <v/>
      </c>
      <c r="R1558">
        <f t="shared" si="551"/>
        <v>0</v>
      </c>
      <c r="S1558">
        <f t="shared" si="552"/>
        <v>5</v>
      </c>
      <c r="W1558" t="str">
        <f>IF(周转筐出入库明细!$C1559="","",周转筐出入库明细!$C1559)</f>
        <v/>
      </c>
      <c r="X1558">
        <f t="shared" si="553"/>
        <v>0</v>
      </c>
      <c r="Y1558">
        <f t="shared" si="554"/>
        <v>12</v>
      </c>
      <c r="CP1558">
        <f>IF(包装物料出入库明细!$D1558="",0,1)</f>
        <v>0</v>
      </c>
      <c r="CQ1558">
        <f t="shared" si="555"/>
        <v>37</v>
      </c>
      <c r="CS1558" t="str">
        <f>IF(OR(周转筐出入库明细!$C1559="",周转筐出入库明细!$F1559&lt;&gt;"采购入库"),"",周转筐出入库明细!$C1559)</f>
        <v/>
      </c>
      <c r="CT1558">
        <f t="shared" si="556"/>
        <v>0</v>
      </c>
      <c r="CU1558">
        <f t="shared" si="557"/>
        <v>1</v>
      </c>
    </row>
    <row r="1559" spans="1:99">
      <c r="A1559" t="str">
        <f>IF(包装物料出入库明细!$E1559="","",包装物料出入库明细!$E1559)</f>
        <v/>
      </c>
      <c r="B1559">
        <f t="shared" si="547"/>
        <v>0</v>
      </c>
      <c r="C1559">
        <f t="shared" si="548"/>
        <v>7</v>
      </c>
      <c r="D1559" t="str">
        <f>IF(包装物料出入库明细!$E1559="","",包装物料出入库明细!$F1559)</f>
        <v/>
      </c>
      <c r="E1559" t="str">
        <f>IF(包装物料出入库明细!$E1559="","",包装物料出入库明细!$G1559)</f>
        <v/>
      </c>
      <c r="K1559" t="str">
        <f>IF(包装物料出入库明细!$D1559="","",包装物料出入库明细!$D1559)</f>
        <v/>
      </c>
      <c r="L1559">
        <f t="shared" si="549"/>
        <v>0</v>
      </c>
      <c r="M1559">
        <f t="shared" si="550"/>
        <v>9</v>
      </c>
      <c r="Q1559" t="str">
        <f>IF(周转筐出入库明细!$D1560="","",周转筐出入库明细!$D1560)</f>
        <v/>
      </c>
      <c r="R1559">
        <f t="shared" si="551"/>
        <v>0</v>
      </c>
      <c r="S1559">
        <f t="shared" si="552"/>
        <v>5</v>
      </c>
      <c r="W1559" t="str">
        <f>IF(周转筐出入库明细!$C1560="","",周转筐出入库明细!$C1560)</f>
        <v/>
      </c>
      <c r="X1559">
        <f t="shared" si="553"/>
        <v>0</v>
      </c>
      <c r="Y1559">
        <f t="shared" si="554"/>
        <v>12</v>
      </c>
      <c r="CP1559">
        <f>IF(包装物料出入库明细!$D1559="",0,1)</f>
        <v>0</v>
      </c>
      <c r="CQ1559">
        <f t="shared" si="555"/>
        <v>37</v>
      </c>
      <c r="CS1559" t="str">
        <f>IF(OR(周转筐出入库明细!$C1560="",周转筐出入库明细!$F1560&lt;&gt;"采购入库"),"",周转筐出入库明细!$C1560)</f>
        <v/>
      </c>
      <c r="CT1559">
        <f t="shared" si="556"/>
        <v>0</v>
      </c>
      <c r="CU1559">
        <f t="shared" si="557"/>
        <v>1</v>
      </c>
    </row>
    <row r="1560" spans="1:99">
      <c r="A1560" t="str">
        <f>IF(包装物料出入库明细!$E1560="","",包装物料出入库明细!$E1560)</f>
        <v/>
      </c>
      <c r="B1560">
        <f t="shared" si="547"/>
        <v>0</v>
      </c>
      <c r="C1560">
        <f t="shared" si="548"/>
        <v>7</v>
      </c>
      <c r="D1560" t="str">
        <f>IF(包装物料出入库明细!$E1560="","",包装物料出入库明细!$F1560)</f>
        <v/>
      </c>
      <c r="E1560" t="str">
        <f>IF(包装物料出入库明细!$E1560="","",包装物料出入库明细!$G1560)</f>
        <v/>
      </c>
      <c r="K1560" t="str">
        <f>IF(包装物料出入库明细!$D1560="","",包装物料出入库明细!$D1560)</f>
        <v/>
      </c>
      <c r="L1560">
        <f t="shared" si="549"/>
        <v>0</v>
      </c>
      <c r="M1560">
        <f t="shared" si="550"/>
        <v>9</v>
      </c>
      <c r="Q1560" t="str">
        <f>IF(周转筐出入库明细!$D1561="","",周转筐出入库明细!$D1561)</f>
        <v/>
      </c>
      <c r="R1560">
        <f t="shared" si="551"/>
        <v>0</v>
      </c>
      <c r="S1560">
        <f t="shared" si="552"/>
        <v>5</v>
      </c>
      <c r="W1560" t="str">
        <f>IF(周转筐出入库明细!$C1561="","",周转筐出入库明细!$C1561)</f>
        <v/>
      </c>
      <c r="X1560">
        <f t="shared" si="553"/>
        <v>0</v>
      </c>
      <c r="Y1560">
        <f t="shared" si="554"/>
        <v>12</v>
      </c>
      <c r="CP1560">
        <f>IF(包装物料出入库明细!$D1560="",0,1)</f>
        <v>0</v>
      </c>
      <c r="CQ1560">
        <f t="shared" si="555"/>
        <v>37</v>
      </c>
      <c r="CS1560" t="str">
        <f>IF(OR(周转筐出入库明细!$C1561="",周转筐出入库明细!$F1561&lt;&gt;"采购入库"),"",周转筐出入库明细!$C1561)</f>
        <v/>
      </c>
      <c r="CT1560">
        <f t="shared" si="556"/>
        <v>0</v>
      </c>
      <c r="CU1560">
        <f t="shared" si="557"/>
        <v>1</v>
      </c>
    </row>
    <row r="1561" spans="1:99">
      <c r="A1561" t="str">
        <f>IF(包装物料出入库明细!$E1561="","",包装物料出入库明细!$E1561)</f>
        <v/>
      </c>
      <c r="B1561">
        <f t="shared" si="547"/>
        <v>0</v>
      </c>
      <c r="C1561">
        <f t="shared" si="548"/>
        <v>7</v>
      </c>
      <c r="D1561" t="str">
        <f>IF(包装物料出入库明细!$E1561="","",包装物料出入库明细!$F1561)</f>
        <v/>
      </c>
      <c r="E1561" t="str">
        <f>IF(包装物料出入库明细!$E1561="","",包装物料出入库明细!$G1561)</f>
        <v/>
      </c>
      <c r="K1561" t="str">
        <f>IF(包装物料出入库明细!$D1561="","",包装物料出入库明细!$D1561)</f>
        <v/>
      </c>
      <c r="L1561">
        <f t="shared" si="549"/>
        <v>0</v>
      </c>
      <c r="M1561">
        <f t="shared" si="550"/>
        <v>9</v>
      </c>
      <c r="Q1561" t="str">
        <f>IF(周转筐出入库明细!$D1562="","",周转筐出入库明细!$D1562)</f>
        <v/>
      </c>
      <c r="R1561">
        <f t="shared" si="551"/>
        <v>0</v>
      </c>
      <c r="S1561">
        <f t="shared" si="552"/>
        <v>5</v>
      </c>
      <c r="W1561" t="str">
        <f>IF(周转筐出入库明细!$C1562="","",周转筐出入库明细!$C1562)</f>
        <v/>
      </c>
      <c r="X1561">
        <f t="shared" si="553"/>
        <v>0</v>
      </c>
      <c r="Y1561">
        <f t="shared" si="554"/>
        <v>12</v>
      </c>
      <c r="CP1561">
        <f>IF(包装物料出入库明细!$D1561="",0,1)</f>
        <v>0</v>
      </c>
      <c r="CQ1561">
        <f t="shared" si="555"/>
        <v>37</v>
      </c>
      <c r="CS1561" t="str">
        <f>IF(OR(周转筐出入库明细!$C1562="",周转筐出入库明细!$F1562&lt;&gt;"采购入库"),"",周转筐出入库明细!$C1562)</f>
        <v/>
      </c>
      <c r="CT1561">
        <f t="shared" si="556"/>
        <v>0</v>
      </c>
      <c r="CU1561">
        <f t="shared" si="557"/>
        <v>1</v>
      </c>
    </row>
    <row r="1562" spans="1:99">
      <c r="A1562" t="str">
        <f>IF(包装物料出入库明细!$E1562="","",包装物料出入库明细!$E1562)</f>
        <v/>
      </c>
      <c r="B1562">
        <f t="shared" si="547"/>
        <v>0</v>
      </c>
      <c r="C1562">
        <f t="shared" si="548"/>
        <v>7</v>
      </c>
      <c r="D1562" t="str">
        <f>IF(包装物料出入库明细!$E1562="","",包装物料出入库明细!$F1562)</f>
        <v/>
      </c>
      <c r="E1562" t="str">
        <f>IF(包装物料出入库明细!$E1562="","",包装物料出入库明细!$G1562)</f>
        <v/>
      </c>
      <c r="K1562" t="str">
        <f>IF(包装物料出入库明细!$D1562="","",包装物料出入库明细!$D1562)</f>
        <v/>
      </c>
      <c r="L1562">
        <f t="shared" si="549"/>
        <v>0</v>
      </c>
      <c r="M1562">
        <f t="shared" si="550"/>
        <v>9</v>
      </c>
      <c r="Q1562" t="str">
        <f>IF(周转筐出入库明细!$D1563="","",周转筐出入库明细!$D1563)</f>
        <v/>
      </c>
      <c r="R1562">
        <f t="shared" si="551"/>
        <v>0</v>
      </c>
      <c r="S1562">
        <f t="shared" si="552"/>
        <v>5</v>
      </c>
      <c r="W1562" t="str">
        <f>IF(周转筐出入库明细!$C1563="","",周转筐出入库明细!$C1563)</f>
        <v/>
      </c>
      <c r="X1562">
        <f t="shared" si="553"/>
        <v>0</v>
      </c>
      <c r="Y1562">
        <f t="shared" si="554"/>
        <v>12</v>
      </c>
      <c r="CP1562">
        <f>IF(包装物料出入库明细!$D1562="",0,1)</f>
        <v>0</v>
      </c>
      <c r="CQ1562">
        <f t="shared" si="555"/>
        <v>37</v>
      </c>
      <c r="CS1562" t="str">
        <f>IF(OR(周转筐出入库明细!$C1563="",周转筐出入库明细!$F1563&lt;&gt;"采购入库"),"",周转筐出入库明细!$C1563)</f>
        <v/>
      </c>
      <c r="CT1562">
        <f t="shared" si="556"/>
        <v>0</v>
      </c>
      <c r="CU1562">
        <f t="shared" si="557"/>
        <v>1</v>
      </c>
    </row>
    <row r="1563" spans="1:99">
      <c r="A1563" t="str">
        <f>IF(包装物料出入库明细!$E1563="","",包装物料出入库明细!$E1563)</f>
        <v/>
      </c>
      <c r="B1563">
        <f t="shared" si="547"/>
        <v>0</v>
      </c>
      <c r="C1563">
        <f t="shared" si="548"/>
        <v>7</v>
      </c>
      <c r="D1563" t="str">
        <f>IF(包装物料出入库明细!$E1563="","",包装物料出入库明细!$F1563)</f>
        <v/>
      </c>
      <c r="E1563" t="str">
        <f>IF(包装物料出入库明细!$E1563="","",包装物料出入库明细!$G1563)</f>
        <v/>
      </c>
      <c r="K1563" t="str">
        <f>IF(包装物料出入库明细!$D1563="","",包装物料出入库明细!$D1563)</f>
        <v/>
      </c>
      <c r="L1563">
        <f t="shared" si="549"/>
        <v>0</v>
      </c>
      <c r="M1563">
        <f t="shared" si="550"/>
        <v>9</v>
      </c>
      <c r="Q1563" t="str">
        <f>IF(周转筐出入库明细!$D1564="","",周转筐出入库明细!$D1564)</f>
        <v/>
      </c>
      <c r="R1563">
        <f t="shared" si="551"/>
        <v>0</v>
      </c>
      <c r="S1563">
        <f t="shared" si="552"/>
        <v>5</v>
      </c>
      <c r="W1563" t="str">
        <f>IF(周转筐出入库明细!$C1564="","",周转筐出入库明细!$C1564)</f>
        <v/>
      </c>
      <c r="X1563">
        <f t="shared" si="553"/>
        <v>0</v>
      </c>
      <c r="Y1563">
        <f t="shared" si="554"/>
        <v>12</v>
      </c>
      <c r="CP1563">
        <f>IF(包装物料出入库明细!$D1563="",0,1)</f>
        <v>0</v>
      </c>
      <c r="CQ1563">
        <f t="shared" si="555"/>
        <v>37</v>
      </c>
      <c r="CS1563" t="str">
        <f>IF(OR(周转筐出入库明细!$C1564="",周转筐出入库明细!$F1564&lt;&gt;"采购入库"),"",周转筐出入库明细!$C1564)</f>
        <v/>
      </c>
      <c r="CT1563">
        <f t="shared" si="556"/>
        <v>0</v>
      </c>
      <c r="CU1563">
        <f t="shared" si="557"/>
        <v>1</v>
      </c>
    </row>
    <row r="1564" spans="1:99">
      <c r="A1564" t="str">
        <f>IF(包装物料出入库明细!$E1564="","",包装物料出入库明细!$E1564)</f>
        <v/>
      </c>
      <c r="B1564">
        <f t="shared" si="547"/>
        <v>0</v>
      </c>
      <c r="C1564">
        <f t="shared" si="548"/>
        <v>7</v>
      </c>
      <c r="D1564" t="str">
        <f>IF(包装物料出入库明细!$E1564="","",包装物料出入库明细!$F1564)</f>
        <v/>
      </c>
      <c r="E1564" t="str">
        <f>IF(包装物料出入库明细!$E1564="","",包装物料出入库明细!$G1564)</f>
        <v/>
      </c>
      <c r="K1564" t="str">
        <f>IF(包装物料出入库明细!$D1564="","",包装物料出入库明细!$D1564)</f>
        <v/>
      </c>
      <c r="L1564">
        <f t="shared" si="549"/>
        <v>0</v>
      </c>
      <c r="M1564">
        <f t="shared" si="550"/>
        <v>9</v>
      </c>
      <c r="Q1564" t="str">
        <f>IF(周转筐出入库明细!$D1565="","",周转筐出入库明细!$D1565)</f>
        <v/>
      </c>
      <c r="R1564">
        <f t="shared" si="551"/>
        <v>0</v>
      </c>
      <c r="S1564">
        <f t="shared" si="552"/>
        <v>5</v>
      </c>
      <c r="W1564" t="str">
        <f>IF(周转筐出入库明细!$C1565="","",周转筐出入库明细!$C1565)</f>
        <v/>
      </c>
      <c r="X1564">
        <f t="shared" si="553"/>
        <v>0</v>
      </c>
      <c r="Y1564">
        <f t="shared" si="554"/>
        <v>12</v>
      </c>
      <c r="CP1564">
        <f>IF(包装物料出入库明细!$D1564="",0,1)</f>
        <v>0</v>
      </c>
      <c r="CQ1564">
        <f t="shared" si="555"/>
        <v>37</v>
      </c>
      <c r="CS1564" t="str">
        <f>IF(OR(周转筐出入库明细!$C1565="",周转筐出入库明细!$F1565&lt;&gt;"采购入库"),"",周转筐出入库明细!$C1565)</f>
        <v/>
      </c>
      <c r="CT1564">
        <f t="shared" si="556"/>
        <v>0</v>
      </c>
      <c r="CU1564">
        <f t="shared" si="557"/>
        <v>1</v>
      </c>
    </row>
    <row r="1565" spans="1:99">
      <c r="A1565" t="str">
        <f>IF(包装物料出入库明细!$E1565="","",包装物料出入库明细!$E1565)</f>
        <v/>
      </c>
      <c r="B1565">
        <f t="shared" si="547"/>
        <v>0</v>
      </c>
      <c r="C1565">
        <f t="shared" si="548"/>
        <v>7</v>
      </c>
      <c r="D1565" t="str">
        <f>IF(包装物料出入库明细!$E1565="","",包装物料出入库明细!$F1565)</f>
        <v/>
      </c>
      <c r="E1565" t="str">
        <f>IF(包装物料出入库明细!$E1565="","",包装物料出入库明细!$G1565)</f>
        <v/>
      </c>
      <c r="K1565" t="str">
        <f>IF(包装物料出入库明细!$D1565="","",包装物料出入库明细!$D1565)</f>
        <v/>
      </c>
      <c r="L1565">
        <f t="shared" si="549"/>
        <v>0</v>
      </c>
      <c r="M1565">
        <f t="shared" si="550"/>
        <v>9</v>
      </c>
      <c r="Q1565" t="str">
        <f>IF(周转筐出入库明细!$D1566="","",周转筐出入库明细!$D1566)</f>
        <v/>
      </c>
      <c r="R1565">
        <f t="shared" si="551"/>
        <v>0</v>
      </c>
      <c r="S1565">
        <f t="shared" si="552"/>
        <v>5</v>
      </c>
      <c r="W1565" t="str">
        <f>IF(周转筐出入库明细!$C1566="","",周转筐出入库明细!$C1566)</f>
        <v/>
      </c>
      <c r="X1565">
        <f t="shared" si="553"/>
        <v>0</v>
      </c>
      <c r="Y1565">
        <f t="shared" si="554"/>
        <v>12</v>
      </c>
      <c r="CP1565">
        <f>IF(包装物料出入库明细!$D1565="",0,1)</f>
        <v>0</v>
      </c>
      <c r="CQ1565">
        <f t="shared" si="555"/>
        <v>37</v>
      </c>
      <c r="CS1565" t="str">
        <f>IF(OR(周转筐出入库明细!$C1566="",周转筐出入库明细!$F1566&lt;&gt;"采购入库"),"",周转筐出入库明细!$C1566)</f>
        <v/>
      </c>
      <c r="CT1565">
        <f t="shared" si="556"/>
        <v>0</v>
      </c>
      <c r="CU1565">
        <f t="shared" si="557"/>
        <v>1</v>
      </c>
    </row>
    <row r="1566" spans="1:99">
      <c r="A1566" t="str">
        <f>IF(包装物料出入库明细!$E1566="","",包装物料出入库明细!$E1566)</f>
        <v/>
      </c>
      <c r="B1566">
        <f t="shared" si="547"/>
        <v>0</v>
      </c>
      <c r="C1566">
        <f t="shared" si="548"/>
        <v>7</v>
      </c>
      <c r="D1566" t="str">
        <f>IF(包装物料出入库明细!$E1566="","",包装物料出入库明细!$F1566)</f>
        <v/>
      </c>
      <c r="E1566" t="str">
        <f>IF(包装物料出入库明细!$E1566="","",包装物料出入库明细!$G1566)</f>
        <v/>
      </c>
      <c r="K1566" t="str">
        <f>IF(包装物料出入库明细!$D1566="","",包装物料出入库明细!$D1566)</f>
        <v/>
      </c>
      <c r="L1566">
        <f t="shared" si="549"/>
        <v>0</v>
      </c>
      <c r="M1566">
        <f t="shared" si="550"/>
        <v>9</v>
      </c>
      <c r="Q1566" t="str">
        <f>IF(周转筐出入库明细!$D1567="","",周转筐出入库明细!$D1567)</f>
        <v/>
      </c>
      <c r="R1566">
        <f t="shared" si="551"/>
        <v>0</v>
      </c>
      <c r="S1566">
        <f t="shared" si="552"/>
        <v>5</v>
      </c>
      <c r="W1566" t="str">
        <f>IF(周转筐出入库明细!$C1567="","",周转筐出入库明细!$C1567)</f>
        <v/>
      </c>
      <c r="X1566">
        <f t="shared" si="553"/>
        <v>0</v>
      </c>
      <c r="Y1566">
        <f t="shared" si="554"/>
        <v>12</v>
      </c>
      <c r="CP1566">
        <f>IF(包装物料出入库明细!$D1566="",0,1)</f>
        <v>0</v>
      </c>
      <c r="CQ1566">
        <f t="shared" si="555"/>
        <v>37</v>
      </c>
      <c r="CS1566" t="str">
        <f>IF(OR(周转筐出入库明细!$C1567="",周转筐出入库明细!$F1567&lt;&gt;"采购入库"),"",周转筐出入库明细!$C1567)</f>
        <v/>
      </c>
      <c r="CT1566">
        <f t="shared" si="556"/>
        <v>0</v>
      </c>
      <c r="CU1566">
        <f t="shared" si="557"/>
        <v>1</v>
      </c>
    </row>
    <row r="1567" spans="1:99">
      <c r="A1567" t="str">
        <f>IF(包装物料出入库明细!$E1567="","",包装物料出入库明细!$E1567)</f>
        <v/>
      </c>
      <c r="B1567">
        <f t="shared" si="547"/>
        <v>0</v>
      </c>
      <c r="C1567">
        <f t="shared" si="548"/>
        <v>7</v>
      </c>
      <c r="D1567" t="str">
        <f>IF(包装物料出入库明细!$E1567="","",包装物料出入库明细!$F1567)</f>
        <v/>
      </c>
      <c r="E1567" t="str">
        <f>IF(包装物料出入库明细!$E1567="","",包装物料出入库明细!$G1567)</f>
        <v/>
      </c>
      <c r="K1567" t="str">
        <f>IF(包装物料出入库明细!$D1567="","",包装物料出入库明细!$D1567)</f>
        <v/>
      </c>
      <c r="L1567">
        <f t="shared" si="549"/>
        <v>0</v>
      </c>
      <c r="M1567">
        <f t="shared" si="550"/>
        <v>9</v>
      </c>
      <c r="Q1567" t="str">
        <f>IF(周转筐出入库明细!$D1568="","",周转筐出入库明细!$D1568)</f>
        <v/>
      </c>
      <c r="R1567">
        <f t="shared" si="551"/>
        <v>0</v>
      </c>
      <c r="S1567">
        <f t="shared" si="552"/>
        <v>5</v>
      </c>
      <c r="W1567" t="str">
        <f>IF(周转筐出入库明细!$C1568="","",周转筐出入库明细!$C1568)</f>
        <v/>
      </c>
      <c r="X1567">
        <f t="shared" si="553"/>
        <v>0</v>
      </c>
      <c r="Y1567">
        <f t="shared" si="554"/>
        <v>12</v>
      </c>
      <c r="CP1567">
        <f>IF(包装物料出入库明细!$D1567="",0,1)</f>
        <v>0</v>
      </c>
      <c r="CQ1567">
        <f t="shared" si="555"/>
        <v>37</v>
      </c>
      <c r="CS1567" t="str">
        <f>IF(OR(周转筐出入库明细!$C1568="",周转筐出入库明细!$F1568&lt;&gt;"采购入库"),"",周转筐出入库明细!$C1568)</f>
        <v/>
      </c>
      <c r="CT1567">
        <f t="shared" si="556"/>
        <v>0</v>
      </c>
      <c r="CU1567">
        <f t="shared" si="557"/>
        <v>1</v>
      </c>
    </row>
    <row r="1568" spans="1:99">
      <c r="A1568" t="str">
        <f>IF(包装物料出入库明细!$E1568="","",包装物料出入库明细!$E1568)</f>
        <v/>
      </c>
      <c r="B1568">
        <f t="shared" si="547"/>
        <v>0</v>
      </c>
      <c r="C1568">
        <f t="shared" si="548"/>
        <v>7</v>
      </c>
      <c r="D1568" t="str">
        <f>IF(包装物料出入库明细!$E1568="","",包装物料出入库明细!$F1568)</f>
        <v/>
      </c>
      <c r="E1568" t="str">
        <f>IF(包装物料出入库明细!$E1568="","",包装物料出入库明细!$G1568)</f>
        <v/>
      </c>
      <c r="K1568" t="str">
        <f>IF(包装物料出入库明细!$D1568="","",包装物料出入库明细!$D1568)</f>
        <v/>
      </c>
      <c r="L1568">
        <f t="shared" si="549"/>
        <v>0</v>
      </c>
      <c r="M1568">
        <f t="shared" si="550"/>
        <v>9</v>
      </c>
      <c r="Q1568" t="str">
        <f>IF(周转筐出入库明细!$D1569="","",周转筐出入库明细!$D1569)</f>
        <v/>
      </c>
      <c r="R1568">
        <f t="shared" si="551"/>
        <v>0</v>
      </c>
      <c r="S1568">
        <f t="shared" si="552"/>
        <v>5</v>
      </c>
      <c r="W1568" t="str">
        <f>IF(周转筐出入库明细!$C1569="","",周转筐出入库明细!$C1569)</f>
        <v/>
      </c>
      <c r="X1568">
        <f t="shared" si="553"/>
        <v>0</v>
      </c>
      <c r="Y1568">
        <f t="shared" si="554"/>
        <v>12</v>
      </c>
      <c r="CP1568">
        <f>IF(包装物料出入库明细!$D1568="",0,1)</f>
        <v>0</v>
      </c>
      <c r="CQ1568">
        <f t="shared" si="555"/>
        <v>37</v>
      </c>
      <c r="CS1568" t="str">
        <f>IF(OR(周转筐出入库明细!$C1569="",周转筐出入库明细!$F1569&lt;&gt;"采购入库"),"",周转筐出入库明细!$C1569)</f>
        <v/>
      </c>
      <c r="CT1568">
        <f t="shared" si="556"/>
        <v>0</v>
      </c>
      <c r="CU1568">
        <f t="shared" si="557"/>
        <v>1</v>
      </c>
    </row>
    <row r="1569" spans="1:99">
      <c r="A1569" t="str">
        <f>IF(包装物料出入库明细!$E1569="","",包装物料出入库明细!$E1569)</f>
        <v/>
      </c>
      <c r="B1569">
        <f t="shared" si="547"/>
        <v>0</v>
      </c>
      <c r="C1569">
        <f t="shared" si="548"/>
        <v>7</v>
      </c>
      <c r="D1569" t="str">
        <f>IF(包装物料出入库明细!$E1569="","",包装物料出入库明细!$F1569)</f>
        <v/>
      </c>
      <c r="E1569" t="str">
        <f>IF(包装物料出入库明细!$E1569="","",包装物料出入库明细!$G1569)</f>
        <v/>
      </c>
      <c r="K1569" t="str">
        <f>IF(包装物料出入库明细!$D1569="","",包装物料出入库明细!$D1569)</f>
        <v/>
      </c>
      <c r="L1569">
        <f t="shared" si="549"/>
        <v>0</v>
      </c>
      <c r="M1569">
        <f t="shared" si="550"/>
        <v>9</v>
      </c>
      <c r="Q1569" t="str">
        <f>IF(周转筐出入库明细!$D1570="","",周转筐出入库明细!$D1570)</f>
        <v/>
      </c>
      <c r="R1569">
        <f t="shared" si="551"/>
        <v>0</v>
      </c>
      <c r="S1569">
        <f t="shared" si="552"/>
        <v>5</v>
      </c>
      <c r="W1569" t="str">
        <f>IF(周转筐出入库明细!$C1570="","",周转筐出入库明细!$C1570)</f>
        <v/>
      </c>
      <c r="X1569">
        <f t="shared" si="553"/>
        <v>0</v>
      </c>
      <c r="Y1569">
        <f t="shared" si="554"/>
        <v>12</v>
      </c>
      <c r="CP1569">
        <f>IF(包装物料出入库明细!$D1569="",0,1)</f>
        <v>0</v>
      </c>
      <c r="CQ1569">
        <f t="shared" si="555"/>
        <v>37</v>
      </c>
      <c r="CS1569" t="str">
        <f>IF(OR(周转筐出入库明细!$C1570="",周转筐出入库明细!$F1570&lt;&gt;"采购入库"),"",周转筐出入库明细!$C1570)</f>
        <v/>
      </c>
      <c r="CT1569">
        <f t="shared" si="556"/>
        <v>0</v>
      </c>
      <c r="CU1569">
        <f t="shared" si="557"/>
        <v>1</v>
      </c>
    </row>
    <row r="1570" spans="1:99">
      <c r="A1570" t="str">
        <f>IF(包装物料出入库明细!$E1570="","",包装物料出入库明细!$E1570)</f>
        <v/>
      </c>
      <c r="B1570">
        <f t="shared" si="547"/>
        <v>0</v>
      </c>
      <c r="C1570">
        <f t="shared" si="548"/>
        <v>7</v>
      </c>
      <c r="D1570" t="str">
        <f>IF(包装物料出入库明细!$E1570="","",包装物料出入库明细!$F1570)</f>
        <v/>
      </c>
      <c r="E1570" t="str">
        <f>IF(包装物料出入库明细!$E1570="","",包装物料出入库明细!$G1570)</f>
        <v/>
      </c>
      <c r="K1570" t="str">
        <f>IF(包装物料出入库明细!$D1570="","",包装物料出入库明细!$D1570)</f>
        <v/>
      </c>
      <c r="L1570">
        <f t="shared" si="549"/>
        <v>0</v>
      </c>
      <c r="M1570">
        <f t="shared" si="550"/>
        <v>9</v>
      </c>
      <c r="Q1570" t="str">
        <f>IF(周转筐出入库明细!$D1571="","",周转筐出入库明细!$D1571)</f>
        <v/>
      </c>
      <c r="R1570">
        <f t="shared" si="551"/>
        <v>0</v>
      </c>
      <c r="S1570">
        <f t="shared" si="552"/>
        <v>5</v>
      </c>
      <c r="W1570" t="str">
        <f>IF(周转筐出入库明细!$C1571="","",周转筐出入库明细!$C1571)</f>
        <v/>
      </c>
      <c r="X1570">
        <f t="shared" si="553"/>
        <v>0</v>
      </c>
      <c r="Y1570">
        <f t="shared" si="554"/>
        <v>12</v>
      </c>
      <c r="CP1570">
        <f>IF(包装物料出入库明细!$D1570="",0,1)</f>
        <v>0</v>
      </c>
      <c r="CQ1570">
        <f t="shared" si="555"/>
        <v>37</v>
      </c>
      <c r="CS1570" t="str">
        <f>IF(OR(周转筐出入库明细!$C1571="",周转筐出入库明细!$F1571&lt;&gt;"采购入库"),"",周转筐出入库明细!$C1571)</f>
        <v/>
      </c>
      <c r="CT1570">
        <f t="shared" si="556"/>
        <v>0</v>
      </c>
      <c r="CU1570">
        <f t="shared" si="557"/>
        <v>1</v>
      </c>
    </row>
    <row r="1571" spans="1:99">
      <c r="A1571" t="str">
        <f>IF(包装物料出入库明细!$E1571="","",包装物料出入库明细!$E1571)</f>
        <v/>
      </c>
      <c r="B1571">
        <f t="shared" si="547"/>
        <v>0</v>
      </c>
      <c r="C1571">
        <f t="shared" si="548"/>
        <v>7</v>
      </c>
      <c r="D1571" t="str">
        <f>IF(包装物料出入库明细!$E1571="","",包装物料出入库明细!$F1571)</f>
        <v/>
      </c>
      <c r="E1571" t="str">
        <f>IF(包装物料出入库明细!$E1571="","",包装物料出入库明细!$G1571)</f>
        <v/>
      </c>
      <c r="K1571" t="str">
        <f>IF(包装物料出入库明细!$D1571="","",包装物料出入库明细!$D1571)</f>
        <v/>
      </c>
      <c r="L1571">
        <f t="shared" si="549"/>
        <v>0</v>
      </c>
      <c r="M1571">
        <f t="shared" si="550"/>
        <v>9</v>
      </c>
      <c r="Q1571" t="str">
        <f>IF(周转筐出入库明细!$D1572="","",周转筐出入库明细!$D1572)</f>
        <v/>
      </c>
      <c r="R1571">
        <f t="shared" si="551"/>
        <v>0</v>
      </c>
      <c r="S1571">
        <f t="shared" si="552"/>
        <v>5</v>
      </c>
      <c r="W1571" t="str">
        <f>IF(周转筐出入库明细!$C1572="","",周转筐出入库明细!$C1572)</f>
        <v/>
      </c>
      <c r="X1571">
        <f t="shared" si="553"/>
        <v>0</v>
      </c>
      <c r="Y1571">
        <f t="shared" si="554"/>
        <v>12</v>
      </c>
      <c r="CP1571">
        <f>IF(包装物料出入库明细!$D1571="",0,1)</f>
        <v>0</v>
      </c>
      <c r="CQ1571">
        <f t="shared" si="555"/>
        <v>37</v>
      </c>
      <c r="CS1571" t="str">
        <f>IF(OR(周转筐出入库明细!$C1572="",周转筐出入库明细!$F1572&lt;&gt;"采购入库"),"",周转筐出入库明细!$C1572)</f>
        <v/>
      </c>
      <c r="CT1571">
        <f t="shared" si="556"/>
        <v>0</v>
      </c>
      <c r="CU1571">
        <f t="shared" si="557"/>
        <v>1</v>
      </c>
    </row>
    <row r="1572" spans="1:99">
      <c r="A1572" t="str">
        <f>IF(包装物料出入库明细!$E1572="","",包装物料出入库明细!$E1572)</f>
        <v/>
      </c>
      <c r="B1572">
        <f t="shared" si="547"/>
        <v>0</v>
      </c>
      <c r="C1572">
        <f t="shared" si="548"/>
        <v>7</v>
      </c>
      <c r="D1572" t="str">
        <f>IF(包装物料出入库明细!$E1572="","",包装物料出入库明细!$F1572)</f>
        <v/>
      </c>
      <c r="E1572" t="str">
        <f>IF(包装物料出入库明细!$E1572="","",包装物料出入库明细!$G1572)</f>
        <v/>
      </c>
      <c r="K1572" t="str">
        <f>IF(包装物料出入库明细!$D1572="","",包装物料出入库明细!$D1572)</f>
        <v/>
      </c>
      <c r="L1572">
        <f t="shared" si="549"/>
        <v>0</v>
      </c>
      <c r="M1572">
        <f t="shared" si="550"/>
        <v>9</v>
      </c>
      <c r="Q1572" t="str">
        <f>IF(周转筐出入库明细!$D1573="","",周转筐出入库明细!$D1573)</f>
        <v/>
      </c>
      <c r="R1572">
        <f t="shared" si="551"/>
        <v>0</v>
      </c>
      <c r="S1572">
        <f t="shared" si="552"/>
        <v>5</v>
      </c>
      <c r="W1572" t="str">
        <f>IF(周转筐出入库明细!$C1573="","",周转筐出入库明细!$C1573)</f>
        <v/>
      </c>
      <c r="X1572">
        <f t="shared" si="553"/>
        <v>0</v>
      </c>
      <c r="Y1572">
        <f t="shared" si="554"/>
        <v>12</v>
      </c>
      <c r="CP1572">
        <f>IF(包装物料出入库明细!$D1572="",0,1)</f>
        <v>0</v>
      </c>
      <c r="CQ1572">
        <f t="shared" si="555"/>
        <v>37</v>
      </c>
      <c r="CS1572" t="str">
        <f>IF(OR(周转筐出入库明细!$C1573="",周转筐出入库明细!$F1573&lt;&gt;"采购入库"),"",周转筐出入库明细!$C1573)</f>
        <v/>
      </c>
      <c r="CT1572">
        <f t="shared" si="556"/>
        <v>0</v>
      </c>
      <c r="CU1572">
        <f t="shared" si="557"/>
        <v>1</v>
      </c>
    </row>
    <row r="1573" spans="1:99">
      <c r="A1573" t="str">
        <f>IF(包装物料出入库明细!$E1573="","",包装物料出入库明细!$E1573)</f>
        <v/>
      </c>
      <c r="B1573">
        <f t="shared" si="547"/>
        <v>0</v>
      </c>
      <c r="C1573">
        <f t="shared" si="548"/>
        <v>7</v>
      </c>
      <c r="D1573" t="str">
        <f>IF(包装物料出入库明细!$E1573="","",包装物料出入库明细!$F1573)</f>
        <v/>
      </c>
      <c r="E1573" t="str">
        <f>IF(包装物料出入库明细!$E1573="","",包装物料出入库明细!$G1573)</f>
        <v/>
      </c>
      <c r="K1573" t="str">
        <f>IF(包装物料出入库明细!$D1573="","",包装物料出入库明细!$D1573)</f>
        <v/>
      </c>
      <c r="L1573">
        <f t="shared" si="549"/>
        <v>0</v>
      </c>
      <c r="M1573">
        <f t="shared" si="550"/>
        <v>9</v>
      </c>
      <c r="Q1573" t="str">
        <f>IF(周转筐出入库明细!$D1574="","",周转筐出入库明细!$D1574)</f>
        <v/>
      </c>
      <c r="R1573">
        <f t="shared" si="551"/>
        <v>0</v>
      </c>
      <c r="S1573">
        <f t="shared" si="552"/>
        <v>5</v>
      </c>
      <c r="W1573" t="str">
        <f>IF(周转筐出入库明细!$C1574="","",周转筐出入库明细!$C1574)</f>
        <v/>
      </c>
      <c r="X1573">
        <f t="shared" si="553"/>
        <v>0</v>
      </c>
      <c r="Y1573">
        <f t="shared" si="554"/>
        <v>12</v>
      </c>
      <c r="CP1573">
        <f>IF(包装物料出入库明细!$D1573="",0,1)</f>
        <v>0</v>
      </c>
      <c r="CQ1573">
        <f t="shared" si="555"/>
        <v>37</v>
      </c>
      <c r="CS1573" t="str">
        <f>IF(OR(周转筐出入库明细!$C1574="",周转筐出入库明细!$F1574&lt;&gt;"采购入库"),"",周转筐出入库明细!$C1574)</f>
        <v/>
      </c>
      <c r="CT1573">
        <f t="shared" si="556"/>
        <v>0</v>
      </c>
      <c r="CU1573">
        <f t="shared" si="557"/>
        <v>1</v>
      </c>
    </row>
    <row r="1574" spans="1:99">
      <c r="A1574" t="str">
        <f>IF(包装物料出入库明细!$E1574="","",包装物料出入库明细!$E1574)</f>
        <v/>
      </c>
      <c r="B1574">
        <f t="shared" si="547"/>
        <v>0</v>
      </c>
      <c r="C1574">
        <f t="shared" si="548"/>
        <v>7</v>
      </c>
      <c r="D1574" t="str">
        <f>IF(包装物料出入库明细!$E1574="","",包装物料出入库明细!$F1574)</f>
        <v/>
      </c>
      <c r="E1574" t="str">
        <f>IF(包装物料出入库明细!$E1574="","",包装物料出入库明细!$G1574)</f>
        <v/>
      </c>
      <c r="K1574" t="str">
        <f>IF(包装物料出入库明细!$D1574="","",包装物料出入库明细!$D1574)</f>
        <v/>
      </c>
      <c r="L1574">
        <f t="shared" si="549"/>
        <v>0</v>
      </c>
      <c r="M1574">
        <f t="shared" si="550"/>
        <v>9</v>
      </c>
      <c r="Q1574" t="str">
        <f>IF(周转筐出入库明细!$D1575="","",周转筐出入库明细!$D1575)</f>
        <v/>
      </c>
      <c r="R1574">
        <f t="shared" si="551"/>
        <v>0</v>
      </c>
      <c r="S1574">
        <f t="shared" si="552"/>
        <v>5</v>
      </c>
      <c r="W1574" t="str">
        <f>IF(周转筐出入库明细!$C1575="","",周转筐出入库明细!$C1575)</f>
        <v/>
      </c>
      <c r="X1574">
        <f t="shared" si="553"/>
        <v>0</v>
      </c>
      <c r="Y1574">
        <f t="shared" si="554"/>
        <v>12</v>
      </c>
      <c r="CP1574">
        <f>IF(包装物料出入库明细!$D1574="",0,1)</f>
        <v>0</v>
      </c>
      <c r="CQ1574">
        <f t="shared" si="555"/>
        <v>37</v>
      </c>
      <c r="CS1574" t="str">
        <f>IF(OR(周转筐出入库明细!$C1575="",周转筐出入库明细!$F1575&lt;&gt;"采购入库"),"",周转筐出入库明细!$C1575)</f>
        <v/>
      </c>
      <c r="CT1574">
        <f t="shared" si="556"/>
        <v>0</v>
      </c>
      <c r="CU1574">
        <f t="shared" si="557"/>
        <v>1</v>
      </c>
    </row>
    <row r="1575" spans="1:99">
      <c r="A1575" t="str">
        <f>IF(包装物料出入库明细!$E1575="","",包装物料出入库明细!$E1575)</f>
        <v/>
      </c>
      <c r="B1575">
        <f t="shared" si="547"/>
        <v>0</v>
      </c>
      <c r="C1575">
        <f t="shared" si="548"/>
        <v>7</v>
      </c>
      <c r="D1575" t="str">
        <f>IF(包装物料出入库明细!$E1575="","",包装物料出入库明细!$F1575)</f>
        <v/>
      </c>
      <c r="E1575" t="str">
        <f>IF(包装物料出入库明细!$E1575="","",包装物料出入库明细!$G1575)</f>
        <v/>
      </c>
      <c r="K1575" t="str">
        <f>IF(包装物料出入库明细!$D1575="","",包装物料出入库明细!$D1575)</f>
        <v/>
      </c>
      <c r="L1575">
        <f t="shared" si="549"/>
        <v>0</v>
      </c>
      <c r="M1575">
        <f t="shared" si="550"/>
        <v>9</v>
      </c>
      <c r="Q1575" t="str">
        <f>IF(周转筐出入库明细!$D1576="","",周转筐出入库明细!$D1576)</f>
        <v/>
      </c>
      <c r="R1575">
        <f t="shared" si="551"/>
        <v>0</v>
      </c>
      <c r="S1575">
        <f t="shared" si="552"/>
        <v>5</v>
      </c>
      <c r="W1575" t="str">
        <f>IF(周转筐出入库明细!$C1576="","",周转筐出入库明细!$C1576)</f>
        <v/>
      </c>
      <c r="X1575">
        <f t="shared" si="553"/>
        <v>0</v>
      </c>
      <c r="Y1575">
        <f t="shared" si="554"/>
        <v>12</v>
      </c>
      <c r="CP1575">
        <f>IF(包装物料出入库明细!$D1575="",0,1)</f>
        <v>0</v>
      </c>
      <c r="CQ1575">
        <f t="shared" si="555"/>
        <v>37</v>
      </c>
      <c r="CS1575" t="str">
        <f>IF(OR(周转筐出入库明细!$C1576="",周转筐出入库明细!$F1576&lt;&gt;"采购入库"),"",周转筐出入库明细!$C1576)</f>
        <v/>
      </c>
      <c r="CT1575">
        <f t="shared" si="556"/>
        <v>0</v>
      </c>
      <c r="CU1575">
        <f t="shared" si="557"/>
        <v>1</v>
      </c>
    </row>
    <row r="1576" spans="1:99">
      <c r="A1576" t="str">
        <f>IF(包装物料出入库明细!$E1576="","",包装物料出入库明细!$E1576)</f>
        <v/>
      </c>
      <c r="B1576">
        <f t="shared" si="547"/>
        <v>0</v>
      </c>
      <c r="C1576">
        <f t="shared" si="548"/>
        <v>7</v>
      </c>
      <c r="D1576" t="str">
        <f>IF(包装物料出入库明细!$E1576="","",包装物料出入库明细!$F1576)</f>
        <v/>
      </c>
      <c r="E1576" t="str">
        <f>IF(包装物料出入库明细!$E1576="","",包装物料出入库明细!$G1576)</f>
        <v/>
      </c>
      <c r="K1576" t="str">
        <f>IF(包装物料出入库明细!$D1576="","",包装物料出入库明细!$D1576)</f>
        <v/>
      </c>
      <c r="L1576">
        <f t="shared" si="549"/>
        <v>0</v>
      </c>
      <c r="M1576">
        <f t="shared" si="550"/>
        <v>9</v>
      </c>
      <c r="Q1576" t="str">
        <f>IF(周转筐出入库明细!$D1577="","",周转筐出入库明细!$D1577)</f>
        <v/>
      </c>
      <c r="R1576">
        <f t="shared" si="551"/>
        <v>0</v>
      </c>
      <c r="S1576">
        <f t="shared" si="552"/>
        <v>5</v>
      </c>
      <c r="W1576" t="str">
        <f>IF(周转筐出入库明细!$C1577="","",周转筐出入库明细!$C1577)</f>
        <v/>
      </c>
      <c r="X1576">
        <f t="shared" si="553"/>
        <v>0</v>
      </c>
      <c r="Y1576">
        <f t="shared" si="554"/>
        <v>12</v>
      </c>
      <c r="CP1576">
        <f>IF(包装物料出入库明细!$D1576="",0,1)</f>
        <v>0</v>
      </c>
      <c r="CQ1576">
        <f t="shared" si="555"/>
        <v>37</v>
      </c>
      <c r="CS1576" t="str">
        <f>IF(OR(周转筐出入库明细!$C1577="",周转筐出入库明细!$F1577&lt;&gt;"采购入库"),"",周转筐出入库明细!$C1577)</f>
        <v/>
      </c>
      <c r="CT1576">
        <f t="shared" si="556"/>
        <v>0</v>
      </c>
      <c r="CU1576">
        <f t="shared" si="557"/>
        <v>1</v>
      </c>
    </row>
    <row r="1577" spans="1:99">
      <c r="A1577" t="str">
        <f>IF(包装物料出入库明细!$E1577="","",包装物料出入库明细!$E1577)</f>
        <v/>
      </c>
      <c r="B1577">
        <f t="shared" si="547"/>
        <v>0</v>
      </c>
      <c r="C1577">
        <f t="shared" si="548"/>
        <v>7</v>
      </c>
      <c r="D1577" t="str">
        <f>IF(包装物料出入库明细!$E1577="","",包装物料出入库明细!$F1577)</f>
        <v/>
      </c>
      <c r="E1577" t="str">
        <f>IF(包装物料出入库明细!$E1577="","",包装物料出入库明细!$G1577)</f>
        <v/>
      </c>
      <c r="K1577" t="str">
        <f>IF(包装物料出入库明细!$D1577="","",包装物料出入库明细!$D1577)</f>
        <v/>
      </c>
      <c r="L1577">
        <f t="shared" si="549"/>
        <v>0</v>
      </c>
      <c r="M1577">
        <f t="shared" si="550"/>
        <v>9</v>
      </c>
      <c r="Q1577" t="str">
        <f>IF(周转筐出入库明细!$D1578="","",周转筐出入库明细!$D1578)</f>
        <v/>
      </c>
      <c r="R1577">
        <f t="shared" si="551"/>
        <v>0</v>
      </c>
      <c r="S1577">
        <f t="shared" si="552"/>
        <v>5</v>
      </c>
      <c r="W1577" t="str">
        <f>IF(周转筐出入库明细!$C1578="","",周转筐出入库明细!$C1578)</f>
        <v/>
      </c>
      <c r="X1577">
        <f t="shared" si="553"/>
        <v>0</v>
      </c>
      <c r="Y1577">
        <f t="shared" si="554"/>
        <v>12</v>
      </c>
      <c r="CP1577">
        <f>IF(包装物料出入库明细!$D1577="",0,1)</f>
        <v>0</v>
      </c>
      <c r="CQ1577">
        <f t="shared" si="555"/>
        <v>37</v>
      </c>
      <c r="CS1577" t="str">
        <f>IF(OR(周转筐出入库明细!$C1578="",周转筐出入库明细!$F1578&lt;&gt;"采购入库"),"",周转筐出入库明细!$C1578)</f>
        <v/>
      </c>
      <c r="CT1577">
        <f t="shared" si="556"/>
        <v>0</v>
      </c>
      <c r="CU1577">
        <f t="shared" si="557"/>
        <v>1</v>
      </c>
    </row>
    <row r="1578" spans="1:99">
      <c r="A1578" t="str">
        <f>IF(包装物料出入库明细!$E1578="","",包装物料出入库明细!$E1578)</f>
        <v/>
      </c>
      <c r="B1578">
        <f t="shared" si="547"/>
        <v>0</v>
      </c>
      <c r="C1578">
        <f t="shared" si="548"/>
        <v>7</v>
      </c>
      <c r="D1578" t="str">
        <f>IF(包装物料出入库明细!$E1578="","",包装物料出入库明细!$F1578)</f>
        <v/>
      </c>
      <c r="E1578" t="str">
        <f>IF(包装物料出入库明细!$E1578="","",包装物料出入库明细!$G1578)</f>
        <v/>
      </c>
      <c r="K1578" t="str">
        <f>IF(包装物料出入库明细!$D1578="","",包装物料出入库明细!$D1578)</f>
        <v/>
      </c>
      <c r="L1578">
        <f t="shared" si="549"/>
        <v>0</v>
      </c>
      <c r="M1578">
        <f t="shared" si="550"/>
        <v>9</v>
      </c>
      <c r="Q1578" t="str">
        <f>IF(周转筐出入库明细!$D1579="","",周转筐出入库明细!$D1579)</f>
        <v/>
      </c>
      <c r="R1578">
        <f t="shared" si="551"/>
        <v>0</v>
      </c>
      <c r="S1578">
        <f t="shared" si="552"/>
        <v>5</v>
      </c>
      <c r="W1578" t="str">
        <f>IF(周转筐出入库明细!$C1579="","",周转筐出入库明细!$C1579)</f>
        <v/>
      </c>
      <c r="X1578">
        <f t="shared" si="553"/>
        <v>0</v>
      </c>
      <c r="Y1578">
        <f t="shared" si="554"/>
        <v>12</v>
      </c>
      <c r="CP1578">
        <f>IF(包装物料出入库明细!$D1578="",0,1)</f>
        <v>0</v>
      </c>
      <c r="CQ1578">
        <f t="shared" si="555"/>
        <v>37</v>
      </c>
      <c r="CS1578" t="str">
        <f>IF(OR(周转筐出入库明细!$C1579="",周转筐出入库明细!$F1579&lt;&gt;"采购入库"),"",周转筐出入库明细!$C1579)</f>
        <v/>
      </c>
      <c r="CT1578">
        <f t="shared" si="556"/>
        <v>0</v>
      </c>
      <c r="CU1578">
        <f t="shared" si="557"/>
        <v>1</v>
      </c>
    </row>
    <row r="1579" spans="1:99">
      <c r="A1579" t="str">
        <f>IF(包装物料出入库明细!$E1579="","",包装物料出入库明细!$E1579)</f>
        <v/>
      </c>
      <c r="B1579">
        <f t="shared" si="547"/>
        <v>0</v>
      </c>
      <c r="C1579">
        <f t="shared" si="548"/>
        <v>7</v>
      </c>
      <c r="D1579" t="str">
        <f>IF(包装物料出入库明细!$E1579="","",包装物料出入库明细!$F1579)</f>
        <v/>
      </c>
      <c r="E1579" t="str">
        <f>IF(包装物料出入库明细!$E1579="","",包装物料出入库明细!$G1579)</f>
        <v/>
      </c>
      <c r="K1579" t="str">
        <f>IF(包装物料出入库明细!$D1579="","",包装物料出入库明细!$D1579)</f>
        <v/>
      </c>
      <c r="L1579">
        <f t="shared" si="549"/>
        <v>0</v>
      </c>
      <c r="M1579">
        <f t="shared" si="550"/>
        <v>9</v>
      </c>
      <c r="Q1579" t="str">
        <f>IF(周转筐出入库明细!$D1580="","",周转筐出入库明细!$D1580)</f>
        <v/>
      </c>
      <c r="R1579">
        <f t="shared" si="551"/>
        <v>0</v>
      </c>
      <c r="S1579">
        <f t="shared" si="552"/>
        <v>5</v>
      </c>
      <c r="W1579" t="str">
        <f>IF(周转筐出入库明细!$C1580="","",周转筐出入库明细!$C1580)</f>
        <v/>
      </c>
      <c r="X1579">
        <f t="shared" si="553"/>
        <v>0</v>
      </c>
      <c r="Y1579">
        <f t="shared" si="554"/>
        <v>12</v>
      </c>
      <c r="CP1579">
        <f>IF(包装物料出入库明细!$D1579="",0,1)</f>
        <v>0</v>
      </c>
      <c r="CQ1579">
        <f t="shared" si="555"/>
        <v>37</v>
      </c>
      <c r="CS1579" t="str">
        <f>IF(OR(周转筐出入库明细!$C1580="",周转筐出入库明细!$F1580&lt;&gt;"采购入库"),"",周转筐出入库明细!$C1580)</f>
        <v/>
      </c>
      <c r="CT1579">
        <f t="shared" si="556"/>
        <v>0</v>
      </c>
      <c r="CU1579">
        <f t="shared" si="557"/>
        <v>1</v>
      </c>
    </row>
    <row r="1580" spans="1:99">
      <c r="A1580" t="str">
        <f>IF(包装物料出入库明细!$E1580="","",包装物料出入库明细!$E1580)</f>
        <v/>
      </c>
      <c r="B1580">
        <f t="shared" si="547"/>
        <v>0</v>
      </c>
      <c r="C1580">
        <f t="shared" si="548"/>
        <v>7</v>
      </c>
      <c r="D1580" t="str">
        <f>IF(包装物料出入库明细!$E1580="","",包装物料出入库明细!$F1580)</f>
        <v/>
      </c>
      <c r="E1580" t="str">
        <f>IF(包装物料出入库明细!$E1580="","",包装物料出入库明细!$G1580)</f>
        <v/>
      </c>
      <c r="K1580" t="str">
        <f>IF(包装物料出入库明细!$D1580="","",包装物料出入库明细!$D1580)</f>
        <v/>
      </c>
      <c r="L1580">
        <f t="shared" si="549"/>
        <v>0</v>
      </c>
      <c r="M1580">
        <f t="shared" si="550"/>
        <v>9</v>
      </c>
      <c r="Q1580" t="str">
        <f>IF(周转筐出入库明细!$D1581="","",周转筐出入库明细!$D1581)</f>
        <v/>
      </c>
      <c r="R1580">
        <f t="shared" si="551"/>
        <v>0</v>
      </c>
      <c r="S1580">
        <f t="shared" si="552"/>
        <v>5</v>
      </c>
      <c r="W1580" t="str">
        <f>IF(周转筐出入库明细!$C1581="","",周转筐出入库明细!$C1581)</f>
        <v/>
      </c>
      <c r="X1580">
        <f t="shared" si="553"/>
        <v>0</v>
      </c>
      <c r="Y1580">
        <f t="shared" si="554"/>
        <v>12</v>
      </c>
      <c r="CP1580">
        <f>IF(包装物料出入库明细!$D1580="",0,1)</f>
        <v>0</v>
      </c>
      <c r="CQ1580">
        <f t="shared" si="555"/>
        <v>37</v>
      </c>
      <c r="CS1580" t="str">
        <f>IF(OR(周转筐出入库明细!$C1581="",周转筐出入库明细!$F1581&lt;&gt;"采购入库"),"",周转筐出入库明细!$C1581)</f>
        <v/>
      </c>
      <c r="CT1580">
        <f t="shared" si="556"/>
        <v>0</v>
      </c>
      <c r="CU1580">
        <f t="shared" si="557"/>
        <v>1</v>
      </c>
    </row>
    <row r="1581" spans="1:99">
      <c r="A1581" t="str">
        <f>IF(包装物料出入库明细!$E1581="","",包装物料出入库明细!$E1581)</f>
        <v/>
      </c>
      <c r="B1581">
        <f t="shared" si="547"/>
        <v>0</v>
      </c>
      <c r="C1581">
        <f t="shared" si="548"/>
        <v>7</v>
      </c>
      <c r="D1581" t="str">
        <f>IF(包装物料出入库明细!$E1581="","",包装物料出入库明细!$F1581)</f>
        <v/>
      </c>
      <c r="E1581" t="str">
        <f>IF(包装物料出入库明细!$E1581="","",包装物料出入库明细!$G1581)</f>
        <v/>
      </c>
      <c r="K1581" t="str">
        <f>IF(包装物料出入库明细!$D1581="","",包装物料出入库明细!$D1581)</f>
        <v/>
      </c>
      <c r="L1581">
        <f t="shared" si="549"/>
        <v>0</v>
      </c>
      <c r="M1581">
        <f t="shared" si="550"/>
        <v>9</v>
      </c>
      <c r="Q1581" t="str">
        <f>IF(周转筐出入库明细!$D1582="","",周转筐出入库明细!$D1582)</f>
        <v/>
      </c>
      <c r="R1581">
        <f t="shared" si="551"/>
        <v>0</v>
      </c>
      <c r="S1581">
        <f t="shared" si="552"/>
        <v>5</v>
      </c>
      <c r="W1581" t="str">
        <f>IF(周转筐出入库明细!$C1582="","",周转筐出入库明细!$C1582)</f>
        <v/>
      </c>
      <c r="X1581">
        <f t="shared" si="553"/>
        <v>0</v>
      </c>
      <c r="Y1581">
        <f t="shared" si="554"/>
        <v>12</v>
      </c>
      <c r="CP1581">
        <f>IF(包装物料出入库明细!$D1581="",0,1)</f>
        <v>0</v>
      </c>
      <c r="CQ1581">
        <f t="shared" si="555"/>
        <v>37</v>
      </c>
      <c r="CS1581" t="str">
        <f>IF(OR(周转筐出入库明细!$C1582="",周转筐出入库明细!$F1582&lt;&gt;"采购入库"),"",周转筐出入库明细!$C1582)</f>
        <v/>
      </c>
      <c r="CT1581">
        <f t="shared" si="556"/>
        <v>0</v>
      </c>
      <c r="CU1581">
        <f t="shared" si="557"/>
        <v>1</v>
      </c>
    </row>
    <row r="1582" spans="1:99">
      <c r="A1582" t="str">
        <f>IF(包装物料出入库明细!$E1582="","",包装物料出入库明细!$E1582)</f>
        <v/>
      </c>
      <c r="B1582">
        <f t="shared" si="547"/>
        <v>0</v>
      </c>
      <c r="C1582">
        <f t="shared" si="548"/>
        <v>7</v>
      </c>
      <c r="D1582" t="str">
        <f>IF(包装物料出入库明细!$E1582="","",包装物料出入库明细!$F1582)</f>
        <v/>
      </c>
      <c r="E1582" t="str">
        <f>IF(包装物料出入库明细!$E1582="","",包装物料出入库明细!$G1582)</f>
        <v/>
      </c>
      <c r="K1582" t="str">
        <f>IF(包装物料出入库明细!$D1582="","",包装物料出入库明细!$D1582)</f>
        <v/>
      </c>
      <c r="L1582">
        <f t="shared" si="549"/>
        <v>0</v>
      </c>
      <c r="M1582">
        <f t="shared" si="550"/>
        <v>9</v>
      </c>
      <c r="Q1582" t="str">
        <f>IF(周转筐出入库明细!$D1583="","",周转筐出入库明细!$D1583)</f>
        <v/>
      </c>
      <c r="R1582">
        <f t="shared" si="551"/>
        <v>0</v>
      </c>
      <c r="S1582">
        <f t="shared" si="552"/>
        <v>5</v>
      </c>
      <c r="W1582" t="str">
        <f>IF(周转筐出入库明细!$C1583="","",周转筐出入库明细!$C1583)</f>
        <v/>
      </c>
      <c r="X1582">
        <f t="shared" si="553"/>
        <v>0</v>
      </c>
      <c r="Y1582">
        <f t="shared" si="554"/>
        <v>12</v>
      </c>
      <c r="CP1582">
        <f>IF(包装物料出入库明细!$D1582="",0,1)</f>
        <v>0</v>
      </c>
      <c r="CQ1582">
        <f t="shared" si="555"/>
        <v>37</v>
      </c>
      <c r="CS1582" t="str">
        <f>IF(OR(周转筐出入库明细!$C1583="",周转筐出入库明细!$F1583&lt;&gt;"采购入库"),"",周转筐出入库明细!$C1583)</f>
        <v/>
      </c>
      <c r="CT1582">
        <f t="shared" si="556"/>
        <v>0</v>
      </c>
      <c r="CU1582">
        <f t="shared" si="557"/>
        <v>1</v>
      </c>
    </row>
    <row r="1583" spans="1:99">
      <c r="A1583" t="str">
        <f>IF(包装物料出入库明细!$E1583="","",包装物料出入库明细!$E1583)</f>
        <v/>
      </c>
      <c r="B1583">
        <f t="shared" si="547"/>
        <v>0</v>
      </c>
      <c r="C1583">
        <f t="shared" si="548"/>
        <v>7</v>
      </c>
      <c r="D1583" t="str">
        <f>IF(包装物料出入库明细!$E1583="","",包装物料出入库明细!$F1583)</f>
        <v/>
      </c>
      <c r="E1583" t="str">
        <f>IF(包装物料出入库明细!$E1583="","",包装物料出入库明细!$G1583)</f>
        <v/>
      </c>
      <c r="K1583" t="str">
        <f>IF(包装物料出入库明细!$D1583="","",包装物料出入库明细!$D1583)</f>
        <v/>
      </c>
      <c r="L1583">
        <f t="shared" si="549"/>
        <v>0</v>
      </c>
      <c r="M1583">
        <f t="shared" si="550"/>
        <v>9</v>
      </c>
      <c r="Q1583" t="str">
        <f>IF(周转筐出入库明细!$D1584="","",周转筐出入库明细!$D1584)</f>
        <v/>
      </c>
      <c r="R1583">
        <f t="shared" si="551"/>
        <v>0</v>
      </c>
      <c r="S1583">
        <f t="shared" si="552"/>
        <v>5</v>
      </c>
      <c r="W1583" t="str">
        <f>IF(周转筐出入库明细!$C1584="","",周转筐出入库明细!$C1584)</f>
        <v/>
      </c>
      <c r="X1583">
        <f t="shared" si="553"/>
        <v>0</v>
      </c>
      <c r="Y1583">
        <f t="shared" si="554"/>
        <v>12</v>
      </c>
      <c r="CP1583">
        <f>IF(包装物料出入库明细!$D1583="",0,1)</f>
        <v>0</v>
      </c>
      <c r="CQ1583">
        <f t="shared" si="555"/>
        <v>37</v>
      </c>
      <c r="CS1583" t="str">
        <f>IF(OR(周转筐出入库明细!$C1584="",周转筐出入库明细!$F1584&lt;&gt;"采购入库"),"",周转筐出入库明细!$C1584)</f>
        <v/>
      </c>
      <c r="CT1583">
        <f t="shared" si="556"/>
        <v>0</v>
      </c>
      <c r="CU1583">
        <f t="shared" si="557"/>
        <v>1</v>
      </c>
    </row>
    <row r="1584" spans="1:99">
      <c r="A1584" t="str">
        <f>IF(包装物料出入库明细!$E1584="","",包装物料出入库明细!$E1584)</f>
        <v/>
      </c>
      <c r="B1584">
        <f t="shared" si="547"/>
        <v>0</v>
      </c>
      <c r="C1584">
        <f t="shared" si="548"/>
        <v>7</v>
      </c>
      <c r="D1584" t="str">
        <f>IF(包装物料出入库明细!$E1584="","",包装物料出入库明细!$F1584)</f>
        <v/>
      </c>
      <c r="E1584" t="str">
        <f>IF(包装物料出入库明细!$E1584="","",包装物料出入库明细!$G1584)</f>
        <v/>
      </c>
      <c r="K1584" t="str">
        <f>IF(包装物料出入库明细!$D1584="","",包装物料出入库明细!$D1584)</f>
        <v/>
      </c>
      <c r="L1584">
        <f t="shared" si="549"/>
        <v>0</v>
      </c>
      <c r="M1584">
        <f t="shared" si="550"/>
        <v>9</v>
      </c>
      <c r="Q1584" t="str">
        <f>IF(周转筐出入库明细!$D1585="","",周转筐出入库明细!$D1585)</f>
        <v/>
      </c>
      <c r="R1584">
        <f t="shared" si="551"/>
        <v>0</v>
      </c>
      <c r="S1584">
        <f t="shared" si="552"/>
        <v>5</v>
      </c>
      <c r="W1584" t="str">
        <f>IF(周转筐出入库明细!$C1585="","",周转筐出入库明细!$C1585)</f>
        <v/>
      </c>
      <c r="X1584">
        <f t="shared" si="553"/>
        <v>0</v>
      </c>
      <c r="Y1584">
        <f t="shared" si="554"/>
        <v>12</v>
      </c>
      <c r="CP1584">
        <f>IF(包装物料出入库明细!$D1584="",0,1)</f>
        <v>0</v>
      </c>
      <c r="CQ1584">
        <f t="shared" si="555"/>
        <v>37</v>
      </c>
      <c r="CS1584" t="str">
        <f>IF(OR(周转筐出入库明细!$C1585="",周转筐出入库明细!$F1585&lt;&gt;"采购入库"),"",周转筐出入库明细!$C1585)</f>
        <v/>
      </c>
      <c r="CT1584">
        <f t="shared" si="556"/>
        <v>0</v>
      </c>
      <c r="CU1584">
        <f t="shared" si="557"/>
        <v>1</v>
      </c>
    </row>
    <row r="1585" spans="1:99">
      <c r="A1585" t="str">
        <f>IF(包装物料出入库明细!$E1585="","",包装物料出入库明细!$E1585)</f>
        <v/>
      </c>
      <c r="B1585">
        <f t="shared" si="547"/>
        <v>0</v>
      </c>
      <c r="C1585">
        <f t="shared" si="548"/>
        <v>7</v>
      </c>
      <c r="D1585" t="str">
        <f>IF(包装物料出入库明细!$E1585="","",包装物料出入库明细!$F1585)</f>
        <v/>
      </c>
      <c r="E1585" t="str">
        <f>IF(包装物料出入库明细!$E1585="","",包装物料出入库明细!$G1585)</f>
        <v/>
      </c>
      <c r="K1585" t="str">
        <f>IF(包装物料出入库明细!$D1585="","",包装物料出入库明细!$D1585)</f>
        <v/>
      </c>
      <c r="L1585">
        <f t="shared" si="549"/>
        <v>0</v>
      </c>
      <c r="M1585">
        <f t="shared" si="550"/>
        <v>9</v>
      </c>
      <c r="Q1585" t="str">
        <f>IF(周转筐出入库明细!$D1586="","",周转筐出入库明细!$D1586)</f>
        <v/>
      </c>
      <c r="R1585">
        <f t="shared" si="551"/>
        <v>0</v>
      </c>
      <c r="S1585">
        <f t="shared" si="552"/>
        <v>5</v>
      </c>
      <c r="W1585" t="str">
        <f>IF(周转筐出入库明细!$C1586="","",周转筐出入库明细!$C1586)</f>
        <v/>
      </c>
      <c r="X1585">
        <f t="shared" si="553"/>
        <v>0</v>
      </c>
      <c r="Y1585">
        <f t="shared" si="554"/>
        <v>12</v>
      </c>
      <c r="CP1585">
        <f>IF(包装物料出入库明细!$D1585="",0,1)</f>
        <v>0</v>
      </c>
      <c r="CQ1585">
        <f t="shared" si="555"/>
        <v>37</v>
      </c>
      <c r="CS1585" t="str">
        <f>IF(OR(周转筐出入库明细!$C1586="",周转筐出入库明细!$F1586&lt;&gt;"采购入库"),"",周转筐出入库明细!$C1586)</f>
        <v/>
      </c>
      <c r="CT1585">
        <f t="shared" si="556"/>
        <v>0</v>
      </c>
      <c r="CU1585">
        <f t="shared" si="557"/>
        <v>1</v>
      </c>
    </row>
    <row r="1586" spans="1:99">
      <c r="A1586" t="str">
        <f>IF(包装物料出入库明细!$E1586="","",包装物料出入库明细!$E1586)</f>
        <v/>
      </c>
      <c r="B1586">
        <f t="shared" si="547"/>
        <v>0</v>
      </c>
      <c r="C1586">
        <f t="shared" si="548"/>
        <v>7</v>
      </c>
      <c r="D1586" t="str">
        <f>IF(包装物料出入库明细!$E1586="","",包装物料出入库明细!$F1586)</f>
        <v/>
      </c>
      <c r="E1586" t="str">
        <f>IF(包装物料出入库明细!$E1586="","",包装物料出入库明细!$G1586)</f>
        <v/>
      </c>
      <c r="K1586" t="str">
        <f>IF(包装物料出入库明细!$D1586="","",包装物料出入库明细!$D1586)</f>
        <v/>
      </c>
      <c r="L1586">
        <f t="shared" si="549"/>
        <v>0</v>
      </c>
      <c r="M1586">
        <f t="shared" si="550"/>
        <v>9</v>
      </c>
      <c r="Q1586" t="str">
        <f>IF(周转筐出入库明细!$D1587="","",周转筐出入库明细!$D1587)</f>
        <v/>
      </c>
      <c r="R1586">
        <f t="shared" si="551"/>
        <v>0</v>
      </c>
      <c r="S1586">
        <f t="shared" si="552"/>
        <v>5</v>
      </c>
      <c r="W1586" t="str">
        <f>IF(周转筐出入库明细!$C1587="","",周转筐出入库明细!$C1587)</f>
        <v/>
      </c>
      <c r="X1586">
        <f t="shared" si="553"/>
        <v>0</v>
      </c>
      <c r="Y1586">
        <f t="shared" si="554"/>
        <v>12</v>
      </c>
      <c r="CP1586">
        <f>IF(包装物料出入库明细!$D1586="",0,1)</f>
        <v>0</v>
      </c>
      <c r="CQ1586">
        <f t="shared" si="555"/>
        <v>37</v>
      </c>
      <c r="CS1586" t="str">
        <f>IF(OR(周转筐出入库明细!$C1587="",周转筐出入库明细!$F1587&lt;&gt;"采购入库"),"",周转筐出入库明细!$C1587)</f>
        <v/>
      </c>
      <c r="CT1586">
        <f t="shared" si="556"/>
        <v>0</v>
      </c>
      <c r="CU1586">
        <f t="shared" si="557"/>
        <v>1</v>
      </c>
    </row>
    <row r="1587" spans="1:99">
      <c r="A1587" t="str">
        <f>IF(包装物料出入库明细!$E1587="","",包装物料出入库明细!$E1587)</f>
        <v/>
      </c>
      <c r="B1587">
        <f t="shared" si="547"/>
        <v>0</v>
      </c>
      <c r="C1587">
        <f t="shared" si="548"/>
        <v>7</v>
      </c>
      <c r="D1587" t="str">
        <f>IF(包装物料出入库明细!$E1587="","",包装物料出入库明细!$F1587)</f>
        <v/>
      </c>
      <c r="E1587" t="str">
        <f>IF(包装物料出入库明细!$E1587="","",包装物料出入库明细!$G1587)</f>
        <v/>
      </c>
      <c r="K1587" t="str">
        <f>IF(包装物料出入库明细!$D1587="","",包装物料出入库明细!$D1587)</f>
        <v/>
      </c>
      <c r="L1587">
        <f t="shared" si="549"/>
        <v>0</v>
      </c>
      <c r="M1587">
        <f t="shared" si="550"/>
        <v>9</v>
      </c>
      <c r="Q1587" t="str">
        <f>IF(周转筐出入库明细!$D1588="","",周转筐出入库明细!$D1588)</f>
        <v/>
      </c>
      <c r="R1587">
        <f t="shared" si="551"/>
        <v>0</v>
      </c>
      <c r="S1587">
        <f t="shared" si="552"/>
        <v>5</v>
      </c>
      <c r="W1587" t="str">
        <f>IF(周转筐出入库明细!$C1588="","",周转筐出入库明细!$C1588)</f>
        <v/>
      </c>
      <c r="X1587">
        <f t="shared" si="553"/>
        <v>0</v>
      </c>
      <c r="Y1587">
        <f t="shared" si="554"/>
        <v>12</v>
      </c>
      <c r="CP1587">
        <f>IF(包装物料出入库明细!$D1587="",0,1)</f>
        <v>0</v>
      </c>
      <c r="CQ1587">
        <f t="shared" si="555"/>
        <v>37</v>
      </c>
      <c r="CS1587" t="str">
        <f>IF(OR(周转筐出入库明细!$C1588="",周转筐出入库明细!$F1588&lt;&gt;"采购入库"),"",周转筐出入库明细!$C1588)</f>
        <v/>
      </c>
      <c r="CT1587">
        <f t="shared" si="556"/>
        <v>0</v>
      </c>
      <c r="CU1587">
        <f t="shared" si="557"/>
        <v>1</v>
      </c>
    </row>
    <row r="1588" spans="1:99">
      <c r="A1588" t="str">
        <f>IF(包装物料出入库明细!$E1588="","",包装物料出入库明细!$E1588)</f>
        <v/>
      </c>
      <c r="B1588">
        <f t="shared" si="547"/>
        <v>0</v>
      </c>
      <c r="C1588">
        <f t="shared" si="548"/>
        <v>7</v>
      </c>
      <c r="D1588" t="str">
        <f>IF(包装物料出入库明细!$E1588="","",包装物料出入库明细!$F1588)</f>
        <v/>
      </c>
      <c r="E1588" t="str">
        <f>IF(包装物料出入库明细!$E1588="","",包装物料出入库明细!$G1588)</f>
        <v/>
      </c>
      <c r="K1588" t="str">
        <f>IF(包装物料出入库明细!$D1588="","",包装物料出入库明细!$D1588)</f>
        <v/>
      </c>
      <c r="L1588">
        <f t="shared" si="549"/>
        <v>0</v>
      </c>
      <c r="M1588">
        <f t="shared" si="550"/>
        <v>9</v>
      </c>
      <c r="Q1588" t="str">
        <f>IF(周转筐出入库明细!$D1589="","",周转筐出入库明细!$D1589)</f>
        <v/>
      </c>
      <c r="R1588">
        <f t="shared" si="551"/>
        <v>0</v>
      </c>
      <c r="S1588">
        <f t="shared" si="552"/>
        <v>5</v>
      </c>
      <c r="W1588" t="str">
        <f>IF(周转筐出入库明细!$C1589="","",周转筐出入库明细!$C1589)</f>
        <v/>
      </c>
      <c r="X1588">
        <f t="shared" si="553"/>
        <v>0</v>
      </c>
      <c r="Y1588">
        <f t="shared" si="554"/>
        <v>12</v>
      </c>
      <c r="CP1588">
        <f>IF(包装物料出入库明细!$D1588="",0,1)</f>
        <v>0</v>
      </c>
      <c r="CQ1588">
        <f t="shared" si="555"/>
        <v>37</v>
      </c>
      <c r="CS1588" t="str">
        <f>IF(OR(周转筐出入库明细!$C1589="",周转筐出入库明细!$F1589&lt;&gt;"采购入库"),"",周转筐出入库明细!$C1589)</f>
        <v/>
      </c>
      <c r="CT1588">
        <f t="shared" si="556"/>
        <v>0</v>
      </c>
      <c r="CU1588">
        <f t="shared" si="557"/>
        <v>1</v>
      </c>
    </row>
    <row r="1589" spans="1:99">
      <c r="A1589" t="str">
        <f>IF(包装物料出入库明细!$E1589="","",包装物料出入库明细!$E1589)</f>
        <v/>
      </c>
      <c r="B1589">
        <f t="shared" si="547"/>
        <v>0</v>
      </c>
      <c r="C1589">
        <f t="shared" si="548"/>
        <v>7</v>
      </c>
      <c r="D1589" t="str">
        <f>IF(包装物料出入库明细!$E1589="","",包装物料出入库明细!$F1589)</f>
        <v/>
      </c>
      <c r="E1589" t="str">
        <f>IF(包装物料出入库明细!$E1589="","",包装物料出入库明细!$G1589)</f>
        <v/>
      </c>
      <c r="K1589" t="str">
        <f>IF(包装物料出入库明细!$D1589="","",包装物料出入库明细!$D1589)</f>
        <v/>
      </c>
      <c r="L1589">
        <f t="shared" si="549"/>
        <v>0</v>
      </c>
      <c r="M1589">
        <f t="shared" si="550"/>
        <v>9</v>
      </c>
      <c r="Q1589" t="str">
        <f>IF(周转筐出入库明细!$D1590="","",周转筐出入库明细!$D1590)</f>
        <v/>
      </c>
      <c r="R1589">
        <f t="shared" si="551"/>
        <v>0</v>
      </c>
      <c r="S1589">
        <f t="shared" si="552"/>
        <v>5</v>
      </c>
      <c r="W1589" t="str">
        <f>IF(周转筐出入库明细!$C1590="","",周转筐出入库明细!$C1590)</f>
        <v/>
      </c>
      <c r="X1589">
        <f t="shared" si="553"/>
        <v>0</v>
      </c>
      <c r="Y1589">
        <f t="shared" si="554"/>
        <v>12</v>
      </c>
      <c r="CP1589">
        <f>IF(包装物料出入库明细!$D1589="",0,1)</f>
        <v>0</v>
      </c>
      <c r="CQ1589">
        <f t="shared" si="555"/>
        <v>37</v>
      </c>
      <c r="CS1589" t="str">
        <f>IF(OR(周转筐出入库明细!$C1590="",周转筐出入库明细!$F1590&lt;&gt;"采购入库"),"",周转筐出入库明细!$C1590)</f>
        <v/>
      </c>
      <c r="CT1589">
        <f t="shared" si="556"/>
        <v>0</v>
      </c>
      <c r="CU1589">
        <f t="shared" si="557"/>
        <v>1</v>
      </c>
    </row>
    <row r="1590" spans="1:99">
      <c r="A1590" t="str">
        <f>IF(包装物料出入库明细!$E1590="","",包装物料出入库明细!$E1590)</f>
        <v/>
      </c>
      <c r="B1590">
        <f t="shared" si="547"/>
        <v>0</v>
      </c>
      <c r="C1590">
        <f t="shared" si="548"/>
        <v>7</v>
      </c>
      <c r="D1590" t="str">
        <f>IF(包装物料出入库明细!$E1590="","",包装物料出入库明细!$F1590)</f>
        <v/>
      </c>
      <c r="E1590" t="str">
        <f>IF(包装物料出入库明细!$E1590="","",包装物料出入库明细!$G1590)</f>
        <v/>
      </c>
      <c r="K1590" t="str">
        <f>IF(包装物料出入库明细!$D1590="","",包装物料出入库明细!$D1590)</f>
        <v/>
      </c>
      <c r="L1590">
        <f t="shared" si="549"/>
        <v>0</v>
      </c>
      <c r="M1590">
        <f t="shared" si="550"/>
        <v>9</v>
      </c>
      <c r="Q1590" t="str">
        <f>IF(周转筐出入库明细!$D1591="","",周转筐出入库明细!$D1591)</f>
        <v/>
      </c>
      <c r="R1590">
        <f t="shared" si="551"/>
        <v>0</v>
      </c>
      <c r="S1590">
        <f t="shared" si="552"/>
        <v>5</v>
      </c>
      <c r="W1590" t="str">
        <f>IF(周转筐出入库明细!$C1591="","",周转筐出入库明细!$C1591)</f>
        <v/>
      </c>
      <c r="X1590">
        <f t="shared" si="553"/>
        <v>0</v>
      </c>
      <c r="Y1590">
        <f t="shared" si="554"/>
        <v>12</v>
      </c>
      <c r="CP1590">
        <f>IF(包装物料出入库明细!$D1590="",0,1)</f>
        <v>0</v>
      </c>
      <c r="CQ1590">
        <f t="shared" si="555"/>
        <v>37</v>
      </c>
      <c r="CS1590" t="str">
        <f>IF(OR(周转筐出入库明细!$C1591="",周转筐出入库明细!$F1591&lt;&gt;"采购入库"),"",周转筐出入库明细!$C1591)</f>
        <v/>
      </c>
      <c r="CT1590">
        <f t="shared" si="556"/>
        <v>0</v>
      </c>
      <c r="CU1590">
        <f t="shared" si="557"/>
        <v>1</v>
      </c>
    </row>
    <row r="1591" spans="1:99">
      <c r="A1591" t="str">
        <f>IF(包装物料出入库明细!$E1591="","",包装物料出入库明细!$E1591)</f>
        <v/>
      </c>
      <c r="B1591">
        <f t="shared" si="547"/>
        <v>0</v>
      </c>
      <c r="C1591">
        <f t="shared" si="548"/>
        <v>7</v>
      </c>
      <c r="D1591" t="str">
        <f>IF(包装物料出入库明细!$E1591="","",包装物料出入库明细!$F1591)</f>
        <v/>
      </c>
      <c r="E1591" t="str">
        <f>IF(包装物料出入库明细!$E1591="","",包装物料出入库明细!$G1591)</f>
        <v/>
      </c>
      <c r="K1591" t="str">
        <f>IF(包装物料出入库明细!$D1591="","",包装物料出入库明细!$D1591)</f>
        <v/>
      </c>
      <c r="L1591">
        <f t="shared" si="549"/>
        <v>0</v>
      </c>
      <c r="M1591">
        <f t="shared" si="550"/>
        <v>9</v>
      </c>
      <c r="Q1591" t="str">
        <f>IF(周转筐出入库明细!$D1592="","",周转筐出入库明细!$D1592)</f>
        <v/>
      </c>
      <c r="R1591">
        <f t="shared" si="551"/>
        <v>0</v>
      </c>
      <c r="S1591">
        <f t="shared" si="552"/>
        <v>5</v>
      </c>
      <c r="W1591" t="str">
        <f>IF(周转筐出入库明细!$C1592="","",周转筐出入库明细!$C1592)</f>
        <v/>
      </c>
      <c r="X1591">
        <f t="shared" si="553"/>
        <v>0</v>
      </c>
      <c r="Y1591">
        <f t="shared" si="554"/>
        <v>12</v>
      </c>
      <c r="CP1591">
        <f>IF(包装物料出入库明细!$D1591="",0,1)</f>
        <v>0</v>
      </c>
      <c r="CQ1591">
        <f t="shared" si="555"/>
        <v>37</v>
      </c>
      <c r="CS1591" t="str">
        <f>IF(OR(周转筐出入库明细!$C1592="",周转筐出入库明细!$F1592&lt;&gt;"采购入库"),"",周转筐出入库明细!$C1592)</f>
        <v/>
      </c>
      <c r="CT1591">
        <f t="shared" si="556"/>
        <v>0</v>
      </c>
      <c r="CU1591">
        <f t="shared" si="557"/>
        <v>1</v>
      </c>
    </row>
    <row r="1592" spans="1:99">
      <c r="A1592" t="str">
        <f>IF(包装物料出入库明细!$E1592="","",包装物料出入库明细!$E1592)</f>
        <v/>
      </c>
      <c r="B1592">
        <f t="shared" si="547"/>
        <v>0</v>
      </c>
      <c r="C1592">
        <f t="shared" si="548"/>
        <v>7</v>
      </c>
      <c r="D1592" t="str">
        <f>IF(包装物料出入库明细!$E1592="","",包装物料出入库明细!$F1592)</f>
        <v/>
      </c>
      <c r="E1592" t="str">
        <f>IF(包装物料出入库明细!$E1592="","",包装物料出入库明细!$G1592)</f>
        <v/>
      </c>
      <c r="K1592" t="str">
        <f>IF(包装物料出入库明细!$D1592="","",包装物料出入库明细!$D1592)</f>
        <v/>
      </c>
      <c r="L1592">
        <f t="shared" si="549"/>
        <v>0</v>
      </c>
      <c r="M1592">
        <f t="shared" si="550"/>
        <v>9</v>
      </c>
      <c r="Q1592" t="str">
        <f>IF(周转筐出入库明细!$D1593="","",周转筐出入库明细!$D1593)</f>
        <v/>
      </c>
      <c r="R1592">
        <f t="shared" si="551"/>
        <v>0</v>
      </c>
      <c r="S1592">
        <f t="shared" si="552"/>
        <v>5</v>
      </c>
      <c r="W1592" t="str">
        <f>IF(周转筐出入库明细!$C1593="","",周转筐出入库明细!$C1593)</f>
        <v/>
      </c>
      <c r="X1592">
        <f t="shared" si="553"/>
        <v>0</v>
      </c>
      <c r="Y1592">
        <f t="shared" si="554"/>
        <v>12</v>
      </c>
      <c r="CP1592">
        <f>IF(包装物料出入库明细!$D1592="",0,1)</f>
        <v>0</v>
      </c>
      <c r="CQ1592">
        <f t="shared" si="555"/>
        <v>37</v>
      </c>
      <c r="CS1592" t="str">
        <f>IF(OR(周转筐出入库明细!$C1593="",周转筐出入库明细!$F1593&lt;&gt;"采购入库"),"",周转筐出入库明细!$C1593)</f>
        <v/>
      </c>
      <c r="CT1592">
        <f t="shared" si="556"/>
        <v>0</v>
      </c>
      <c r="CU1592">
        <f t="shared" si="557"/>
        <v>1</v>
      </c>
    </row>
    <row r="1593" spans="1:99">
      <c r="A1593" t="str">
        <f>IF(包装物料出入库明细!$E1593="","",包装物料出入库明细!$E1593)</f>
        <v/>
      </c>
      <c r="B1593">
        <f t="shared" si="547"/>
        <v>0</v>
      </c>
      <c r="C1593">
        <f t="shared" si="548"/>
        <v>7</v>
      </c>
      <c r="D1593" t="str">
        <f>IF(包装物料出入库明细!$E1593="","",包装物料出入库明细!$F1593)</f>
        <v/>
      </c>
      <c r="E1593" t="str">
        <f>IF(包装物料出入库明细!$E1593="","",包装物料出入库明细!$G1593)</f>
        <v/>
      </c>
      <c r="K1593" t="str">
        <f>IF(包装物料出入库明细!$D1593="","",包装物料出入库明细!$D1593)</f>
        <v/>
      </c>
      <c r="L1593">
        <f t="shared" si="549"/>
        <v>0</v>
      </c>
      <c r="M1593">
        <f t="shared" si="550"/>
        <v>9</v>
      </c>
      <c r="Q1593" t="str">
        <f>IF(周转筐出入库明细!$D1594="","",周转筐出入库明细!$D1594)</f>
        <v/>
      </c>
      <c r="R1593">
        <f t="shared" si="551"/>
        <v>0</v>
      </c>
      <c r="S1593">
        <f t="shared" si="552"/>
        <v>5</v>
      </c>
      <c r="W1593" t="str">
        <f>IF(周转筐出入库明细!$C1594="","",周转筐出入库明细!$C1594)</f>
        <v/>
      </c>
      <c r="X1593">
        <f t="shared" si="553"/>
        <v>0</v>
      </c>
      <c r="Y1593">
        <f t="shared" si="554"/>
        <v>12</v>
      </c>
      <c r="CP1593">
        <f>IF(包装物料出入库明细!$D1593="",0,1)</f>
        <v>0</v>
      </c>
      <c r="CQ1593">
        <f t="shared" si="555"/>
        <v>37</v>
      </c>
      <c r="CS1593" t="str">
        <f>IF(OR(周转筐出入库明细!$C1594="",周转筐出入库明细!$F1594&lt;&gt;"采购入库"),"",周转筐出入库明细!$C1594)</f>
        <v/>
      </c>
      <c r="CT1593">
        <f t="shared" si="556"/>
        <v>0</v>
      </c>
      <c r="CU1593">
        <f t="shared" si="557"/>
        <v>1</v>
      </c>
    </row>
    <row r="1594" spans="1:99">
      <c r="A1594" t="str">
        <f>IF(包装物料出入库明细!$E1594="","",包装物料出入库明细!$E1594)</f>
        <v/>
      </c>
      <c r="B1594">
        <f t="shared" si="547"/>
        <v>0</v>
      </c>
      <c r="C1594">
        <f t="shared" si="548"/>
        <v>7</v>
      </c>
      <c r="D1594" t="str">
        <f>IF(包装物料出入库明细!$E1594="","",包装物料出入库明细!$F1594)</f>
        <v/>
      </c>
      <c r="E1594" t="str">
        <f>IF(包装物料出入库明细!$E1594="","",包装物料出入库明细!$G1594)</f>
        <v/>
      </c>
      <c r="K1594" t="str">
        <f>IF(包装物料出入库明细!$D1594="","",包装物料出入库明细!$D1594)</f>
        <v/>
      </c>
      <c r="L1594">
        <f t="shared" si="549"/>
        <v>0</v>
      </c>
      <c r="M1594">
        <f t="shared" si="550"/>
        <v>9</v>
      </c>
      <c r="Q1594" t="str">
        <f>IF(周转筐出入库明细!$D1595="","",周转筐出入库明细!$D1595)</f>
        <v/>
      </c>
      <c r="R1594">
        <f t="shared" si="551"/>
        <v>0</v>
      </c>
      <c r="S1594">
        <f t="shared" si="552"/>
        <v>5</v>
      </c>
      <c r="W1594" t="str">
        <f>IF(周转筐出入库明细!$C1595="","",周转筐出入库明细!$C1595)</f>
        <v/>
      </c>
      <c r="X1594">
        <f t="shared" si="553"/>
        <v>0</v>
      </c>
      <c r="Y1594">
        <f t="shared" si="554"/>
        <v>12</v>
      </c>
      <c r="CP1594">
        <f>IF(包装物料出入库明细!$D1594="",0,1)</f>
        <v>0</v>
      </c>
      <c r="CQ1594">
        <f t="shared" si="555"/>
        <v>37</v>
      </c>
      <c r="CS1594" t="str">
        <f>IF(OR(周转筐出入库明细!$C1595="",周转筐出入库明细!$F1595&lt;&gt;"采购入库"),"",周转筐出入库明细!$C1595)</f>
        <v/>
      </c>
      <c r="CT1594">
        <f t="shared" si="556"/>
        <v>0</v>
      </c>
      <c r="CU1594">
        <f t="shared" si="557"/>
        <v>1</v>
      </c>
    </row>
    <row r="1595" spans="1:99">
      <c r="A1595" t="str">
        <f>IF(包装物料出入库明细!$E1595="","",包装物料出入库明细!$E1595)</f>
        <v/>
      </c>
      <c r="B1595">
        <f t="shared" si="547"/>
        <v>0</v>
      </c>
      <c r="C1595">
        <f t="shared" si="548"/>
        <v>7</v>
      </c>
      <c r="D1595" t="str">
        <f>IF(包装物料出入库明细!$E1595="","",包装物料出入库明细!$F1595)</f>
        <v/>
      </c>
      <c r="E1595" t="str">
        <f>IF(包装物料出入库明细!$E1595="","",包装物料出入库明细!$G1595)</f>
        <v/>
      </c>
      <c r="K1595" t="str">
        <f>IF(包装物料出入库明细!$D1595="","",包装物料出入库明细!$D1595)</f>
        <v/>
      </c>
      <c r="L1595">
        <f t="shared" si="549"/>
        <v>0</v>
      </c>
      <c r="M1595">
        <f t="shared" si="550"/>
        <v>9</v>
      </c>
      <c r="Q1595" t="str">
        <f>IF(周转筐出入库明细!$D1596="","",周转筐出入库明细!$D1596)</f>
        <v/>
      </c>
      <c r="R1595">
        <f t="shared" si="551"/>
        <v>0</v>
      </c>
      <c r="S1595">
        <f t="shared" si="552"/>
        <v>5</v>
      </c>
      <c r="W1595" t="str">
        <f>IF(周转筐出入库明细!$C1596="","",周转筐出入库明细!$C1596)</f>
        <v/>
      </c>
      <c r="X1595">
        <f t="shared" si="553"/>
        <v>0</v>
      </c>
      <c r="Y1595">
        <f t="shared" si="554"/>
        <v>12</v>
      </c>
      <c r="CP1595">
        <f>IF(包装物料出入库明细!$D1595="",0,1)</f>
        <v>0</v>
      </c>
      <c r="CQ1595">
        <f t="shared" si="555"/>
        <v>37</v>
      </c>
      <c r="CS1595" t="str">
        <f>IF(OR(周转筐出入库明细!$C1596="",周转筐出入库明细!$F1596&lt;&gt;"采购入库"),"",周转筐出入库明细!$C1596)</f>
        <v/>
      </c>
      <c r="CT1595">
        <f t="shared" si="556"/>
        <v>0</v>
      </c>
      <c r="CU1595">
        <f t="shared" si="557"/>
        <v>1</v>
      </c>
    </row>
    <row r="1596" spans="1:99">
      <c r="A1596" t="str">
        <f>IF(包装物料出入库明细!$E1596="","",包装物料出入库明细!$E1596)</f>
        <v/>
      </c>
      <c r="B1596">
        <f t="shared" si="547"/>
        <v>0</v>
      </c>
      <c r="C1596">
        <f t="shared" si="548"/>
        <v>7</v>
      </c>
      <c r="D1596" t="str">
        <f>IF(包装物料出入库明细!$E1596="","",包装物料出入库明细!$F1596)</f>
        <v/>
      </c>
      <c r="E1596" t="str">
        <f>IF(包装物料出入库明细!$E1596="","",包装物料出入库明细!$G1596)</f>
        <v/>
      </c>
      <c r="K1596" t="str">
        <f>IF(包装物料出入库明细!$D1596="","",包装物料出入库明细!$D1596)</f>
        <v/>
      </c>
      <c r="L1596">
        <f t="shared" si="549"/>
        <v>0</v>
      </c>
      <c r="M1596">
        <f t="shared" si="550"/>
        <v>9</v>
      </c>
      <c r="Q1596" t="str">
        <f>IF(周转筐出入库明细!$D1597="","",周转筐出入库明细!$D1597)</f>
        <v/>
      </c>
      <c r="R1596">
        <f t="shared" si="551"/>
        <v>0</v>
      </c>
      <c r="S1596">
        <f t="shared" si="552"/>
        <v>5</v>
      </c>
      <c r="W1596" t="str">
        <f>IF(周转筐出入库明细!$C1597="","",周转筐出入库明细!$C1597)</f>
        <v/>
      </c>
      <c r="X1596">
        <f t="shared" si="553"/>
        <v>0</v>
      </c>
      <c r="Y1596">
        <f t="shared" si="554"/>
        <v>12</v>
      </c>
      <c r="CP1596">
        <f>IF(包装物料出入库明细!$D1596="",0,1)</f>
        <v>0</v>
      </c>
      <c r="CQ1596">
        <f t="shared" si="555"/>
        <v>37</v>
      </c>
      <c r="CS1596" t="str">
        <f>IF(OR(周转筐出入库明细!$C1597="",周转筐出入库明细!$F1597&lt;&gt;"采购入库"),"",周转筐出入库明细!$C1597)</f>
        <v/>
      </c>
      <c r="CT1596">
        <f t="shared" si="556"/>
        <v>0</v>
      </c>
      <c r="CU1596">
        <f t="shared" si="557"/>
        <v>1</v>
      </c>
    </row>
    <row r="1597" spans="1:99">
      <c r="A1597" t="str">
        <f>IF(包装物料出入库明细!$E1597="","",包装物料出入库明细!$E1597)</f>
        <v/>
      </c>
      <c r="B1597">
        <f t="shared" si="547"/>
        <v>0</v>
      </c>
      <c r="C1597">
        <f t="shared" si="548"/>
        <v>7</v>
      </c>
      <c r="D1597" t="str">
        <f>IF(包装物料出入库明细!$E1597="","",包装物料出入库明细!$F1597)</f>
        <v/>
      </c>
      <c r="E1597" t="str">
        <f>IF(包装物料出入库明细!$E1597="","",包装物料出入库明细!$G1597)</f>
        <v/>
      </c>
      <c r="K1597" t="str">
        <f>IF(包装物料出入库明细!$D1597="","",包装物料出入库明细!$D1597)</f>
        <v/>
      </c>
      <c r="L1597">
        <f t="shared" si="549"/>
        <v>0</v>
      </c>
      <c r="M1597">
        <f t="shared" si="550"/>
        <v>9</v>
      </c>
      <c r="Q1597" t="str">
        <f>IF(周转筐出入库明细!$D1598="","",周转筐出入库明细!$D1598)</f>
        <v/>
      </c>
      <c r="R1597">
        <f t="shared" si="551"/>
        <v>0</v>
      </c>
      <c r="S1597">
        <f t="shared" si="552"/>
        <v>5</v>
      </c>
      <c r="W1597" t="str">
        <f>IF(周转筐出入库明细!$C1598="","",周转筐出入库明细!$C1598)</f>
        <v/>
      </c>
      <c r="X1597">
        <f t="shared" si="553"/>
        <v>0</v>
      </c>
      <c r="Y1597">
        <f t="shared" si="554"/>
        <v>12</v>
      </c>
      <c r="CP1597">
        <f>IF(包装物料出入库明细!$D1597="",0,1)</f>
        <v>0</v>
      </c>
      <c r="CQ1597">
        <f t="shared" si="555"/>
        <v>37</v>
      </c>
      <c r="CS1597" t="str">
        <f>IF(OR(周转筐出入库明细!$C1598="",周转筐出入库明细!$F1598&lt;&gt;"采购入库"),"",周转筐出入库明细!$C1598)</f>
        <v/>
      </c>
      <c r="CT1597">
        <f t="shared" si="556"/>
        <v>0</v>
      </c>
      <c r="CU1597">
        <f t="shared" si="557"/>
        <v>1</v>
      </c>
    </row>
    <row r="1598" spans="1:99">
      <c r="A1598" t="str">
        <f>IF(包装物料出入库明细!$E1598="","",包装物料出入库明细!$E1598)</f>
        <v/>
      </c>
      <c r="B1598">
        <f t="shared" si="547"/>
        <v>0</v>
      </c>
      <c r="C1598">
        <f t="shared" si="548"/>
        <v>7</v>
      </c>
      <c r="D1598" t="str">
        <f>IF(包装物料出入库明细!$E1598="","",包装物料出入库明细!$F1598)</f>
        <v/>
      </c>
      <c r="E1598" t="str">
        <f>IF(包装物料出入库明细!$E1598="","",包装物料出入库明细!$G1598)</f>
        <v/>
      </c>
      <c r="K1598" t="str">
        <f>IF(包装物料出入库明细!$D1598="","",包装物料出入库明细!$D1598)</f>
        <v/>
      </c>
      <c r="L1598">
        <f t="shared" si="549"/>
        <v>0</v>
      </c>
      <c r="M1598">
        <f t="shared" si="550"/>
        <v>9</v>
      </c>
      <c r="Q1598" t="str">
        <f>IF(周转筐出入库明细!$D1599="","",周转筐出入库明细!$D1599)</f>
        <v/>
      </c>
      <c r="R1598">
        <f t="shared" si="551"/>
        <v>0</v>
      </c>
      <c r="S1598">
        <f t="shared" si="552"/>
        <v>5</v>
      </c>
      <c r="W1598" t="str">
        <f>IF(周转筐出入库明细!$C1599="","",周转筐出入库明细!$C1599)</f>
        <v/>
      </c>
      <c r="X1598">
        <f t="shared" si="553"/>
        <v>0</v>
      </c>
      <c r="Y1598">
        <f t="shared" si="554"/>
        <v>12</v>
      </c>
      <c r="CP1598">
        <f>IF(包装物料出入库明细!$D1598="",0,1)</f>
        <v>0</v>
      </c>
      <c r="CQ1598">
        <f t="shared" si="555"/>
        <v>37</v>
      </c>
      <c r="CS1598" t="str">
        <f>IF(OR(周转筐出入库明细!$C1599="",周转筐出入库明细!$F1599&lt;&gt;"采购入库"),"",周转筐出入库明细!$C1599)</f>
        <v/>
      </c>
      <c r="CT1598">
        <f t="shared" si="556"/>
        <v>0</v>
      </c>
      <c r="CU1598">
        <f t="shared" si="557"/>
        <v>1</v>
      </c>
    </row>
    <row r="1599" spans="1:99">
      <c r="A1599" t="str">
        <f>IF(包装物料出入库明细!$E1599="","",包装物料出入库明细!$E1599)</f>
        <v/>
      </c>
      <c r="B1599">
        <f t="shared" si="547"/>
        <v>0</v>
      </c>
      <c r="C1599">
        <f t="shared" si="548"/>
        <v>7</v>
      </c>
      <c r="D1599" t="str">
        <f>IF(包装物料出入库明细!$E1599="","",包装物料出入库明细!$F1599)</f>
        <v/>
      </c>
      <c r="E1599" t="str">
        <f>IF(包装物料出入库明细!$E1599="","",包装物料出入库明细!$G1599)</f>
        <v/>
      </c>
      <c r="K1599" t="str">
        <f>IF(包装物料出入库明细!$D1599="","",包装物料出入库明细!$D1599)</f>
        <v/>
      </c>
      <c r="L1599">
        <f t="shared" si="549"/>
        <v>0</v>
      </c>
      <c r="M1599">
        <f t="shared" si="550"/>
        <v>9</v>
      </c>
      <c r="Q1599" t="str">
        <f>IF(周转筐出入库明细!$D1600="","",周转筐出入库明细!$D1600)</f>
        <v/>
      </c>
      <c r="R1599">
        <f t="shared" si="551"/>
        <v>0</v>
      </c>
      <c r="S1599">
        <f t="shared" si="552"/>
        <v>5</v>
      </c>
      <c r="W1599" t="str">
        <f>IF(周转筐出入库明细!$C1600="","",周转筐出入库明细!$C1600)</f>
        <v/>
      </c>
      <c r="X1599">
        <f t="shared" si="553"/>
        <v>0</v>
      </c>
      <c r="Y1599">
        <f t="shared" si="554"/>
        <v>12</v>
      </c>
      <c r="CP1599">
        <f>IF(包装物料出入库明细!$D1599="",0,1)</f>
        <v>0</v>
      </c>
      <c r="CQ1599">
        <f t="shared" si="555"/>
        <v>37</v>
      </c>
      <c r="CS1599" t="str">
        <f>IF(OR(周转筐出入库明细!$C1600="",周转筐出入库明细!$F1600&lt;&gt;"采购入库"),"",周转筐出入库明细!$C1600)</f>
        <v/>
      </c>
      <c r="CT1599">
        <f t="shared" si="556"/>
        <v>0</v>
      </c>
      <c r="CU1599">
        <f t="shared" si="557"/>
        <v>1</v>
      </c>
    </row>
    <row r="1600" spans="1:99">
      <c r="A1600" t="str">
        <f>IF(包装物料出入库明细!$E1600="","",包装物料出入库明细!$E1600)</f>
        <v/>
      </c>
      <c r="B1600">
        <f t="shared" si="547"/>
        <v>0</v>
      </c>
      <c r="C1600">
        <f t="shared" si="548"/>
        <v>7</v>
      </c>
      <c r="D1600" t="str">
        <f>IF(包装物料出入库明细!$E1600="","",包装物料出入库明细!$F1600)</f>
        <v/>
      </c>
      <c r="E1600" t="str">
        <f>IF(包装物料出入库明细!$E1600="","",包装物料出入库明细!$G1600)</f>
        <v/>
      </c>
      <c r="K1600" t="str">
        <f>IF(包装物料出入库明细!$D1600="","",包装物料出入库明细!$D1600)</f>
        <v/>
      </c>
      <c r="L1600">
        <f t="shared" si="549"/>
        <v>0</v>
      </c>
      <c r="M1600">
        <f t="shared" si="550"/>
        <v>9</v>
      </c>
      <c r="Q1600" t="str">
        <f>IF(周转筐出入库明细!$D1601="","",周转筐出入库明细!$D1601)</f>
        <v/>
      </c>
      <c r="R1600">
        <f t="shared" si="551"/>
        <v>0</v>
      </c>
      <c r="S1600">
        <f t="shared" si="552"/>
        <v>5</v>
      </c>
      <c r="W1600" t="str">
        <f>IF(周转筐出入库明细!$C1601="","",周转筐出入库明细!$C1601)</f>
        <v/>
      </c>
      <c r="X1600">
        <f t="shared" si="553"/>
        <v>0</v>
      </c>
      <c r="Y1600">
        <f t="shared" si="554"/>
        <v>12</v>
      </c>
      <c r="CP1600">
        <f>IF(包装物料出入库明细!$D1600="",0,1)</f>
        <v>0</v>
      </c>
      <c r="CQ1600">
        <f t="shared" si="555"/>
        <v>37</v>
      </c>
      <c r="CS1600" t="str">
        <f>IF(OR(周转筐出入库明细!$C1601="",周转筐出入库明细!$F1601&lt;&gt;"采购入库"),"",周转筐出入库明细!$C1601)</f>
        <v/>
      </c>
      <c r="CT1600">
        <f t="shared" si="556"/>
        <v>0</v>
      </c>
      <c r="CU1600">
        <f t="shared" si="557"/>
        <v>1</v>
      </c>
    </row>
    <row r="1601" spans="1:99">
      <c r="A1601" t="str">
        <f>IF(包装物料出入库明细!$E1601="","",包装物料出入库明细!$E1601)</f>
        <v/>
      </c>
      <c r="B1601">
        <f t="shared" si="547"/>
        <v>0</v>
      </c>
      <c r="C1601">
        <f t="shared" si="548"/>
        <v>7</v>
      </c>
      <c r="D1601" t="str">
        <f>IF(包装物料出入库明细!$E1601="","",包装物料出入库明细!$F1601)</f>
        <v/>
      </c>
      <c r="E1601" t="str">
        <f>IF(包装物料出入库明细!$E1601="","",包装物料出入库明细!$G1601)</f>
        <v/>
      </c>
      <c r="K1601" t="str">
        <f>IF(包装物料出入库明细!$D1601="","",包装物料出入库明细!$D1601)</f>
        <v/>
      </c>
      <c r="L1601">
        <f t="shared" si="549"/>
        <v>0</v>
      </c>
      <c r="M1601">
        <f t="shared" si="550"/>
        <v>9</v>
      </c>
      <c r="Q1601" t="str">
        <f>IF(周转筐出入库明细!$D1602="","",周转筐出入库明细!$D1602)</f>
        <v/>
      </c>
      <c r="R1601">
        <f t="shared" si="551"/>
        <v>0</v>
      </c>
      <c r="S1601">
        <f t="shared" si="552"/>
        <v>5</v>
      </c>
      <c r="W1601" t="str">
        <f>IF(周转筐出入库明细!$C1602="","",周转筐出入库明细!$C1602)</f>
        <v/>
      </c>
      <c r="X1601">
        <f t="shared" si="553"/>
        <v>0</v>
      </c>
      <c r="Y1601">
        <f t="shared" si="554"/>
        <v>12</v>
      </c>
      <c r="CP1601">
        <f>IF(包装物料出入库明细!$D1601="",0,1)</f>
        <v>0</v>
      </c>
      <c r="CQ1601">
        <f t="shared" si="555"/>
        <v>37</v>
      </c>
      <c r="CS1601" t="str">
        <f>IF(OR(周转筐出入库明细!$C1602="",周转筐出入库明细!$F1602&lt;&gt;"采购入库"),"",周转筐出入库明细!$C1602)</f>
        <v/>
      </c>
      <c r="CT1601">
        <f t="shared" si="556"/>
        <v>0</v>
      </c>
      <c r="CU1601">
        <f t="shared" si="557"/>
        <v>1</v>
      </c>
    </row>
    <row r="1602" spans="1:99">
      <c r="A1602" t="str">
        <f>IF(包装物料出入库明细!$E1602="","",包装物料出入库明细!$E1602)</f>
        <v/>
      </c>
      <c r="B1602">
        <f t="shared" si="547"/>
        <v>0</v>
      </c>
      <c r="C1602">
        <f t="shared" si="548"/>
        <v>7</v>
      </c>
      <c r="D1602" t="str">
        <f>IF(包装物料出入库明细!$E1602="","",包装物料出入库明细!$F1602)</f>
        <v/>
      </c>
      <c r="E1602" t="str">
        <f>IF(包装物料出入库明细!$E1602="","",包装物料出入库明细!$G1602)</f>
        <v/>
      </c>
      <c r="K1602" t="str">
        <f>IF(包装物料出入库明细!$D1602="","",包装物料出入库明细!$D1602)</f>
        <v/>
      </c>
      <c r="L1602">
        <f t="shared" si="549"/>
        <v>0</v>
      </c>
      <c r="M1602">
        <f t="shared" si="550"/>
        <v>9</v>
      </c>
      <c r="Q1602" t="str">
        <f>IF(周转筐出入库明细!$D1603="","",周转筐出入库明细!$D1603)</f>
        <v/>
      </c>
      <c r="R1602">
        <f t="shared" si="551"/>
        <v>0</v>
      </c>
      <c r="S1602">
        <f t="shared" si="552"/>
        <v>5</v>
      </c>
      <c r="W1602" t="str">
        <f>IF(周转筐出入库明细!$C1603="","",周转筐出入库明细!$C1603)</f>
        <v/>
      </c>
      <c r="X1602">
        <f t="shared" si="553"/>
        <v>0</v>
      </c>
      <c r="Y1602">
        <f t="shared" si="554"/>
        <v>12</v>
      </c>
      <c r="CP1602">
        <f>IF(包装物料出入库明细!$D1602="",0,1)</f>
        <v>0</v>
      </c>
      <c r="CQ1602">
        <f t="shared" si="555"/>
        <v>37</v>
      </c>
      <c r="CS1602" t="str">
        <f>IF(OR(周转筐出入库明细!$C1603="",周转筐出入库明细!$F1603&lt;&gt;"采购入库"),"",周转筐出入库明细!$C1603)</f>
        <v/>
      </c>
      <c r="CT1602">
        <f t="shared" si="556"/>
        <v>0</v>
      </c>
      <c r="CU1602">
        <f t="shared" si="557"/>
        <v>1</v>
      </c>
    </row>
    <row r="1603" spans="1:99">
      <c r="A1603" t="str">
        <f>IF(包装物料出入库明细!$E1603="","",包装物料出入库明细!$E1603)</f>
        <v/>
      </c>
      <c r="B1603">
        <f t="shared" si="547"/>
        <v>0</v>
      </c>
      <c r="C1603">
        <f t="shared" si="548"/>
        <v>7</v>
      </c>
      <c r="D1603" t="str">
        <f>IF(包装物料出入库明细!$E1603="","",包装物料出入库明细!$F1603)</f>
        <v/>
      </c>
      <c r="E1603" t="str">
        <f>IF(包装物料出入库明细!$E1603="","",包装物料出入库明细!$G1603)</f>
        <v/>
      </c>
      <c r="K1603" t="str">
        <f>IF(包装物料出入库明细!$D1603="","",包装物料出入库明细!$D1603)</f>
        <v/>
      </c>
      <c r="L1603">
        <f t="shared" si="549"/>
        <v>0</v>
      </c>
      <c r="M1603">
        <f t="shared" si="550"/>
        <v>9</v>
      </c>
      <c r="Q1603" t="str">
        <f>IF(周转筐出入库明细!$D1604="","",周转筐出入库明细!$D1604)</f>
        <v/>
      </c>
      <c r="R1603">
        <f t="shared" si="551"/>
        <v>0</v>
      </c>
      <c r="S1603">
        <f t="shared" si="552"/>
        <v>5</v>
      </c>
      <c r="W1603" t="str">
        <f>IF(周转筐出入库明细!$C1604="","",周转筐出入库明细!$C1604)</f>
        <v/>
      </c>
      <c r="X1603">
        <f t="shared" si="553"/>
        <v>0</v>
      </c>
      <c r="Y1603">
        <f t="shared" si="554"/>
        <v>12</v>
      </c>
      <c r="CP1603">
        <f>IF(包装物料出入库明细!$D1603="",0,1)</f>
        <v>0</v>
      </c>
      <c r="CQ1603">
        <f t="shared" si="555"/>
        <v>37</v>
      </c>
      <c r="CS1603" t="str">
        <f>IF(OR(周转筐出入库明细!$C1604="",周转筐出入库明细!$F1604&lt;&gt;"采购入库"),"",周转筐出入库明细!$C1604)</f>
        <v/>
      </c>
      <c r="CT1603">
        <f t="shared" si="556"/>
        <v>0</v>
      </c>
      <c r="CU1603">
        <f t="shared" si="557"/>
        <v>1</v>
      </c>
    </row>
    <row r="1604" spans="1:99">
      <c r="A1604" t="str">
        <f>IF(包装物料出入库明细!$E1604="","",包装物料出入库明细!$E1604)</f>
        <v/>
      </c>
      <c r="B1604">
        <f t="shared" ref="B1604:B1667" si="558">IF(A1604="",0,IF(MATCH(A1604,$A$4:$A$2003,0)=ROW()-3,1,0))</f>
        <v>0</v>
      </c>
      <c r="C1604">
        <f t="shared" ref="C1604:C1667" si="559">N(C1603)+B1604</f>
        <v>7</v>
      </c>
      <c r="D1604" t="str">
        <f>IF(包装物料出入库明细!$E1604="","",包装物料出入库明细!$F1604)</f>
        <v/>
      </c>
      <c r="E1604" t="str">
        <f>IF(包装物料出入库明细!$E1604="","",包装物料出入库明细!$G1604)</f>
        <v/>
      </c>
      <c r="K1604" t="str">
        <f>IF(包装物料出入库明细!$D1604="","",包装物料出入库明细!$D1604)</f>
        <v/>
      </c>
      <c r="L1604">
        <f t="shared" ref="L1604:L1667" si="560">IF(K1604="",0,IF(MATCH(K1604,$K$4:$K$2003,0)=ROW()-3,1,0))</f>
        <v>0</v>
      </c>
      <c r="M1604">
        <f t="shared" ref="M1604:M1667" si="561">N(M1603)+L1604</f>
        <v>9</v>
      </c>
      <c r="Q1604" t="str">
        <f>IF(周转筐出入库明细!$D1605="","",周转筐出入库明细!$D1605)</f>
        <v/>
      </c>
      <c r="R1604">
        <f t="shared" ref="R1604:R1667" si="562">IF(Q1604="",0,IF(MATCH(Q1604,$Q$4:$Q$2003,0)=ROW()-3,1,0))</f>
        <v>0</v>
      </c>
      <c r="S1604">
        <f t="shared" ref="S1604:S1667" si="563">N(S1603)+R1604</f>
        <v>5</v>
      </c>
      <c r="W1604" t="str">
        <f>IF(周转筐出入库明细!$C1605="","",周转筐出入库明细!$C1605)</f>
        <v/>
      </c>
      <c r="X1604">
        <f t="shared" ref="X1604:X1667" si="564">IF(W1604="",0,IF(MATCH(W1604,$W$4:$W$2003,0)=ROW()-3,1,0))</f>
        <v>0</v>
      </c>
      <c r="Y1604">
        <f t="shared" ref="Y1604:Y1667" si="565">N(Y1603)+X1604</f>
        <v>12</v>
      </c>
      <c r="CP1604">
        <f>IF(包装物料出入库明细!$D1604="",0,1)</f>
        <v>0</v>
      </c>
      <c r="CQ1604">
        <f t="shared" ref="CQ1604:CQ1667" si="566">N(CQ1603)+$CP1604</f>
        <v>37</v>
      </c>
      <c r="CS1604" t="str">
        <f>IF(OR(周转筐出入库明细!$C1605="",周转筐出入库明细!$F1605&lt;&gt;"采购入库"),"",周转筐出入库明细!$C1605)</f>
        <v/>
      </c>
      <c r="CT1604">
        <f t="shared" ref="CT1604:CT1667" si="567">IF(CS1604="",0,IF(MATCH(CS1604,$CS$4:$CS$2003,0)=ROW()-3,1,0))</f>
        <v>0</v>
      </c>
      <c r="CU1604">
        <f t="shared" ref="CU1604:CU1667" si="568">N(CU1603)+CT1604</f>
        <v>1</v>
      </c>
    </row>
    <row r="1605" spans="1:99">
      <c r="A1605" t="str">
        <f>IF(包装物料出入库明细!$E1605="","",包装物料出入库明细!$E1605)</f>
        <v/>
      </c>
      <c r="B1605">
        <f t="shared" si="558"/>
        <v>0</v>
      </c>
      <c r="C1605">
        <f t="shared" si="559"/>
        <v>7</v>
      </c>
      <c r="D1605" t="str">
        <f>IF(包装物料出入库明细!$E1605="","",包装物料出入库明细!$F1605)</f>
        <v/>
      </c>
      <c r="E1605" t="str">
        <f>IF(包装物料出入库明细!$E1605="","",包装物料出入库明细!$G1605)</f>
        <v/>
      </c>
      <c r="K1605" t="str">
        <f>IF(包装物料出入库明细!$D1605="","",包装物料出入库明细!$D1605)</f>
        <v/>
      </c>
      <c r="L1605">
        <f t="shared" si="560"/>
        <v>0</v>
      </c>
      <c r="M1605">
        <f t="shared" si="561"/>
        <v>9</v>
      </c>
      <c r="Q1605" t="str">
        <f>IF(周转筐出入库明细!$D1606="","",周转筐出入库明细!$D1606)</f>
        <v/>
      </c>
      <c r="R1605">
        <f t="shared" si="562"/>
        <v>0</v>
      </c>
      <c r="S1605">
        <f t="shared" si="563"/>
        <v>5</v>
      </c>
      <c r="W1605" t="str">
        <f>IF(周转筐出入库明细!$C1606="","",周转筐出入库明细!$C1606)</f>
        <v/>
      </c>
      <c r="X1605">
        <f t="shared" si="564"/>
        <v>0</v>
      </c>
      <c r="Y1605">
        <f t="shared" si="565"/>
        <v>12</v>
      </c>
      <c r="CP1605">
        <f>IF(包装物料出入库明细!$D1605="",0,1)</f>
        <v>0</v>
      </c>
      <c r="CQ1605">
        <f t="shared" si="566"/>
        <v>37</v>
      </c>
      <c r="CS1605" t="str">
        <f>IF(OR(周转筐出入库明细!$C1606="",周转筐出入库明细!$F1606&lt;&gt;"采购入库"),"",周转筐出入库明细!$C1606)</f>
        <v/>
      </c>
      <c r="CT1605">
        <f t="shared" si="567"/>
        <v>0</v>
      </c>
      <c r="CU1605">
        <f t="shared" si="568"/>
        <v>1</v>
      </c>
    </row>
    <row r="1606" spans="1:99">
      <c r="A1606" t="str">
        <f>IF(包装物料出入库明细!$E1606="","",包装物料出入库明细!$E1606)</f>
        <v/>
      </c>
      <c r="B1606">
        <f t="shared" si="558"/>
        <v>0</v>
      </c>
      <c r="C1606">
        <f t="shared" si="559"/>
        <v>7</v>
      </c>
      <c r="D1606" t="str">
        <f>IF(包装物料出入库明细!$E1606="","",包装物料出入库明细!$F1606)</f>
        <v/>
      </c>
      <c r="E1606" t="str">
        <f>IF(包装物料出入库明细!$E1606="","",包装物料出入库明细!$G1606)</f>
        <v/>
      </c>
      <c r="K1606" t="str">
        <f>IF(包装物料出入库明细!$D1606="","",包装物料出入库明细!$D1606)</f>
        <v/>
      </c>
      <c r="L1606">
        <f t="shared" si="560"/>
        <v>0</v>
      </c>
      <c r="M1606">
        <f t="shared" si="561"/>
        <v>9</v>
      </c>
      <c r="Q1606" t="str">
        <f>IF(周转筐出入库明细!$D1607="","",周转筐出入库明细!$D1607)</f>
        <v/>
      </c>
      <c r="R1606">
        <f t="shared" si="562"/>
        <v>0</v>
      </c>
      <c r="S1606">
        <f t="shared" si="563"/>
        <v>5</v>
      </c>
      <c r="W1606" t="str">
        <f>IF(周转筐出入库明细!$C1607="","",周转筐出入库明细!$C1607)</f>
        <v/>
      </c>
      <c r="X1606">
        <f t="shared" si="564"/>
        <v>0</v>
      </c>
      <c r="Y1606">
        <f t="shared" si="565"/>
        <v>12</v>
      </c>
      <c r="CP1606">
        <f>IF(包装物料出入库明细!$D1606="",0,1)</f>
        <v>0</v>
      </c>
      <c r="CQ1606">
        <f t="shared" si="566"/>
        <v>37</v>
      </c>
      <c r="CS1606" t="str">
        <f>IF(OR(周转筐出入库明细!$C1607="",周转筐出入库明细!$F1607&lt;&gt;"采购入库"),"",周转筐出入库明细!$C1607)</f>
        <v/>
      </c>
      <c r="CT1606">
        <f t="shared" si="567"/>
        <v>0</v>
      </c>
      <c r="CU1606">
        <f t="shared" si="568"/>
        <v>1</v>
      </c>
    </row>
    <row r="1607" spans="1:99">
      <c r="A1607" t="str">
        <f>IF(包装物料出入库明细!$E1607="","",包装物料出入库明细!$E1607)</f>
        <v/>
      </c>
      <c r="B1607">
        <f t="shared" si="558"/>
        <v>0</v>
      </c>
      <c r="C1607">
        <f t="shared" si="559"/>
        <v>7</v>
      </c>
      <c r="D1607" t="str">
        <f>IF(包装物料出入库明细!$E1607="","",包装物料出入库明细!$F1607)</f>
        <v/>
      </c>
      <c r="E1607" t="str">
        <f>IF(包装物料出入库明细!$E1607="","",包装物料出入库明细!$G1607)</f>
        <v/>
      </c>
      <c r="K1607" t="str">
        <f>IF(包装物料出入库明细!$D1607="","",包装物料出入库明细!$D1607)</f>
        <v/>
      </c>
      <c r="L1607">
        <f t="shared" si="560"/>
        <v>0</v>
      </c>
      <c r="M1607">
        <f t="shared" si="561"/>
        <v>9</v>
      </c>
      <c r="Q1607" t="str">
        <f>IF(周转筐出入库明细!$D1608="","",周转筐出入库明细!$D1608)</f>
        <v/>
      </c>
      <c r="R1607">
        <f t="shared" si="562"/>
        <v>0</v>
      </c>
      <c r="S1607">
        <f t="shared" si="563"/>
        <v>5</v>
      </c>
      <c r="W1607" t="str">
        <f>IF(周转筐出入库明细!$C1608="","",周转筐出入库明细!$C1608)</f>
        <v/>
      </c>
      <c r="X1607">
        <f t="shared" si="564"/>
        <v>0</v>
      </c>
      <c r="Y1607">
        <f t="shared" si="565"/>
        <v>12</v>
      </c>
      <c r="CP1607">
        <f>IF(包装物料出入库明细!$D1607="",0,1)</f>
        <v>0</v>
      </c>
      <c r="CQ1607">
        <f t="shared" si="566"/>
        <v>37</v>
      </c>
      <c r="CS1607" t="str">
        <f>IF(OR(周转筐出入库明细!$C1608="",周转筐出入库明细!$F1608&lt;&gt;"采购入库"),"",周转筐出入库明细!$C1608)</f>
        <v/>
      </c>
      <c r="CT1607">
        <f t="shared" si="567"/>
        <v>0</v>
      </c>
      <c r="CU1607">
        <f t="shared" si="568"/>
        <v>1</v>
      </c>
    </row>
    <row r="1608" spans="1:99">
      <c r="A1608" t="str">
        <f>IF(包装物料出入库明细!$E1608="","",包装物料出入库明细!$E1608)</f>
        <v/>
      </c>
      <c r="B1608">
        <f t="shared" si="558"/>
        <v>0</v>
      </c>
      <c r="C1608">
        <f t="shared" si="559"/>
        <v>7</v>
      </c>
      <c r="D1608" t="str">
        <f>IF(包装物料出入库明细!$E1608="","",包装物料出入库明细!$F1608)</f>
        <v/>
      </c>
      <c r="E1608" t="str">
        <f>IF(包装物料出入库明细!$E1608="","",包装物料出入库明细!$G1608)</f>
        <v/>
      </c>
      <c r="K1608" t="str">
        <f>IF(包装物料出入库明细!$D1608="","",包装物料出入库明细!$D1608)</f>
        <v/>
      </c>
      <c r="L1608">
        <f t="shared" si="560"/>
        <v>0</v>
      </c>
      <c r="M1608">
        <f t="shared" si="561"/>
        <v>9</v>
      </c>
      <c r="Q1608" t="str">
        <f>IF(周转筐出入库明细!$D1609="","",周转筐出入库明细!$D1609)</f>
        <v/>
      </c>
      <c r="R1608">
        <f t="shared" si="562"/>
        <v>0</v>
      </c>
      <c r="S1608">
        <f t="shared" si="563"/>
        <v>5</v>
      </c>
      <c r="W1608" t="str">
        <f>IF(周转筐出入库明细!$C1609="","",周转筐出入库明细!$C1609)</f>
        <v/>
      </c>
      <c r="X1608">
        <f t="shared" si="564"/>
        <v>0</v>
      </c>
      <c r="Y1608">
        <f t="shared" si="565"/>
        <v>12</v>
      </c>
      <c r="CP1608">
        <f>IF(包装物料出入库明细!$D1608="",0,1)</f>
        <v>0</v>
      </c>
      <c r="CQ1608">
        <f t="shared" si="566"/>
        <v>37</v>
      </c>
      <c r="CS1608" t="str">
        <f>IF(OR(周转筐出入库明细!$C1609="",周转筐出入库明细!$F1609&lt;&gt;"采购入库"),"",周转筐出入库明细!$C1609)</f>
        <v/>
      </c>
      <c r="CT1608">
        <f t="shared" si="567"/>
        <v>0</v>
      </c>
      <c r="CU1608">
        <f t="shared" si="568"/>
        <v>1</v>
      </c>
    </row>
    <row r="1609" spans="1:99">
      <c r="A1609" t="str">
        <f>IF(包装物料出入库明细!$E1609="","",包装物料出入库明细!$E1609)</f>
        <v/>
      </c>
      <c r="B1609">
        <f t="shared" si="558"/>
        <v>0</v>
      </c>
      <c r="C1609">
        <f t="shared" si="559"/>
        <v>7</v>
      </c>
      <c r="D1609" t="str">
        <f>IF(包装物料出入库明细!$E1609="","",包装物料出入库明细!$F1609)</f>
        <v/>
      </c>
      <c r="E1609" t="str">
        <f>IF(包装物料出入库明细!$E1609="","",包装物料出入库明细!$G1609)</f>
        <v/>
      </c>
      <c r="K1609" t="str">
        <f>IF(包装物料出入库明细!$D1609="","",包装物料出入库明细!$D1609)</f>
        <v/>
      </c>
      <c r="L1609">
        <f t="shared" si="560"/>
        <v>0</v>
      </c>
      <c r="M1609">
        <f t="shared" si="561"/>
        <v>9</v>
      </c>
      <c r="Q1609" t="str">
        <f>IF(周转筐出入库明细!$D1610="","",周转筐出入库明细!$D1610)</f>
        <v/>
      </c>
      <c r="R1609">
        <f t="shared" si="562"/>
        <v>0</v>
      </c>
      <c r="S1609">
        <f t="shared" si="563"/>
        <v>5</v>
      </c>
      <c r="W1609" t="str">
        <f>IF(周转筐出入库明细!$C1610="","",周转筐出入库明细!$C1610)</f>
        <v/>
      </c>
      <c r="X1609">
        <f t="shared" si="564"/>
        <v>0</v>
      </c>
      <c r="Y1609">
        <f t="shared" si="565"/>
        <v>12</v>
      </c>
      <c r="CP1609">
        <f>IF(包装物料出入库明细!$D1609="",0,1)</f>
        <v>0</v>
      </c>
      <c r="CQ1609">
        <f t="shared" si="566"/>
        <v>37</v>
      </c>
      <c r="CS1609" t="str">
        <f>IF(OR(周转筐出入库明细!$C1610="",周转筐出入库明细!$F1610&lt;&gt;"采购入库"),"",周转筐出入库明细!$C1610)</f>
        <v/>
      </c>
      <c r="CT1609">
        <f t="shared" si="567"/>
        <v>0</v>
      </c>
      <c r="CU1609">
        <f t="shared" si="568"/>
        <v>1</v>
      </c>
    </row>
    <row r="1610" spans="1:99">
      <c r="A1610" t="str">
        <f>IF(包装物料出入库明细!$E1610="","",包装物料出入库明细!$E1610)</f>
        <v/>
      </c>
      <c r="B1610">
        <f t="shared" si="558"/>
        <v>0</v>
      </c>
      <c r="C1610">
        <f t="shared" si="559"/>
        <v>7</v>
      </c>
      <c r="D1610" t="str">
        <f>IF(包装物料出入库明细!$E1610="","",包装物料出入库明细!$F1610)</f>
        <v/>
      </c>
      <c r="E1610" t="str">
        <f>IF(包装物料出入库明细!$E1610="","",包装物料出入库明细!$G1610)</f>
        <v/>
      </c>
      <c r="K1610" t="str">
        <f>IF(包装物料出入库明细!$D1610="","",包装物料出入库明细!$D1610)</f>
        <v/>
      </c>
      <c r="L1610">
        <f t="shared" si="560"/>
        <v>0</v>
      </c>
      <c r="M1610">
        <f t="shared" si="561"/>
        <v>9</v>
      </c>
      <c r="Q1610" t="str">
        <f>IF(周转筐出入库明细!$D1611="","",周转筐出入库明细!$D1611)</f>
        <v/>
      </c>
      <c r="R1610">
        <f t="shared" si="562"/>
        <v>0</v>
      </c>
      <c r="S1610">
        <f t="shared" si="563"/>
        <v>5</v>
      </c>
      <c r="W1610" t="str">
        <f>IF(周转筐出入库明细!$C1611="","",周转筐出入库明细!$C1611)</f>
        <v/>
      </c>
      <c r="X1610">
        <f t="shared" si="564"/>
        <v>0</v>
      </c>
      <c r="Y1610">
        <f t="shared" si="565"/>
        <v>12</v>
      </c>
      <c r="CP1610">
        <f>IF(包装物料出入库明细!$D1610="",0,1)</f>
        <v>0</v>
      </c>
      <c r="CQ1610">
        <f t="shared" si="566"/>
        <v>37</v>
      </c>
      <c r="CS1610" t="str">
        <f>IF(OR(周转筐出入库明细!$C1611="",周转筐出入库明细!$F1611&lt;&gt;"采购入库"),"",周转筐出入库明细!$C1611)</f>
        <v/>
      </c>
      <c r="CT1610">
        <f t="shared" si="567"/>
        <v>0</v>
      </c>
      <c r="CU1610">
        <f t="shared" si="568"/>
        <v>1</v>
      </c>
    </row>
    <row r="1611" spans="1:99">
      <c r="A1611" t="str">
        <f>IF(包装物料出入库明细!$E1611="","",包装物料出入库明细!$E1611)</f>
        <v/>
      </c>
      <c r="B1611">
        <f t="shared" si="558"/>
        <v>0</v>
      </c>
      <c r="C1611">
        <f t="shared" si="559"/>
        <v>7</v>
      </c>
      <c r="D1611" t="str">
        <f>IF(包装物料出入库明细!$E1611="","",包装物料出入库明细!$F1611)</f>
        <v/>
      </c>
      <c r="E1611" t="str">
        <f>IF(包装物料出入库明细!$E1611="","",包装物料出入库明细!$G1611)</f>
        <v/>
      </c>
      <c r="K1611" t="str">
        <f>IF(包装物料出入库明细!$D1611="","",包装物料出入库明细!$D1611)</f>
        <v/>
      </c>
      <c r="L1611">
        <f t="shared" si="560"/>
        <v>0</v>
      </c>
      <c r="M1611">
        <f t="shared" si="561"/>
        <v>9</v>
      </c>
      <c r="Q1611" t="str">
        <f>IF(周转筐出入库明细!$D1612="","",周转筐出入库明细!$D1612)</f>
        <v/>
      </c>
      <c r="R1611">
        <f t="shared" si="562"/>
        <v>0</v>
      </c>
      <c r="S1611">
        <f t="shared" si="563"/>
        <v>5</v>
      </c>
      <c r="W1611" t="str">
        <f>IF(周转筐出入库明细!$C1612="","",周转筐出入库明细!$C1612)</f>
        <v/>
      </c>
      <c r="X1611">
        <f t="shared" si="564"/>
        <v>0</v>
      </c>
      <c r="Y1611">
        <f t="shared" si="565"/>
        <v>12</v>
      </c>
      <c r="CP1611">
        <f>IF(包装物料出入库明细!$D1611="",0,1)</f>
        <v>0</v>
      </c>
      <c r="CQ1611">
        <f t="shared" si="566"/>
        <v>37</v>
      </c>
      <c r="CS1611" t="str">
        <f>IF(OR(周转筐出入库明细!$C1612="",周转筐出入库明细!$F1612&lt;&gt;"采购入库"),"",周转筐出入库明细!$C1612)</f>
        <v/>
      </c>
      <c r="CT1611">
        <f t="shared" si="567"/>
        <v>0</v>
      </c>
      <c r="CU1611">
        <f t="shared" si="568"/>
        <v>1</v>
      </c>
    </row>
    <row r="1612" spans="1:99">
      <c r="A1612" t="str">
        <f>IF(包装物料出入库明细!$E1612="","",包装物料出入库明细!$E1612)</f>
        <v/>
      </c>
      <c r="B1612">
        <f t="shared" si="558"/>
        <v>0</v>
      </c>
      <c r="C1612">
        <f t="shared" si="559"/>
        <v>7</v>
      </c>
      <c r="D1612" t="str">
        <f>IF(包装物料出入库明细!$E1612="","",包装物料出入库明细!$F1612)</f>
        <v/>
      </c>
      <c r="E1612" t="str">
        <f>IF(包装物料出入库明细!$E1612="","",包装物料出入库明细!$G1612)</f>
        <v/>
      </c>
      <c r="K1612" t="str">
        <f>IF(包装物料出入库明细!$D1612="","",包装物料出入库明细!$D1612)</f>
        <v/>
      </c>
      <c r="L1612">
        <f t="shared" si="560"/>
        <v>0</v>
      </c>
      <c r="M1612">
        <f t="shared" si="561"/>
        <v>9</v>
      </c>
      <c r="Q1612" t="str">
        <f>IF(周转筐出入库明细!$D1613="","",周转筐出入库明细!$D1613)</f>
        <v/>
      </c>
      <c r="R1612">
        <f t="shared" si="562"/>
        <v>0</v>
      </c>
      <c r="S1612">
        <f t="shared" si="563"/>
        <v>5</v>
      </c>
      <c r="W1612" t="str">
        <f>IF(周转筐出入库明细!$C1613="","",周转筐出入库明细!$C1613)</f>
        <v/>
      </c>
      <c r="X1612">
        <f t="shared" si="564"/>
        <v>0</v>
      </c>
      <c r="Y1612">
        <f t="shared" si="565"/>
        <v>12</v>
      </c>
      <c r="CP1612">
        <f>IF(包装物料出入库明细!$D1612="",0,1)</f>
        <v>0</v>
      </c>
      <c r="CQ1612">
        <f t="shared" si="566"/>
        <v>37</v>
      </c>
      <c r="CS1612" t="str">
        <f>IF(OR(周转筐出入库明细!$C1613="",周转筐出入库明细!$F1613&lt;&gt;"采购入库"),"",周转筐出入库明细!$C1613)</f>
        <v/>
      </c>
      <c r="CT1612">
        <f t="shared" si="567"/>
        <v>0</v>
      </c>
      <c r="CU1612">
        <f t="shared" si="568"/>
        <v>1</v>
      </c>
    </row>
    <row r="1613" spans="1:99">
      <c r="A1613" t="str">
        <f>IF(包装物料出入库明细!$E1613="","",包装物料出入库明细!$E1613)</f>
        <v/>
      </c>
      <c r="B1613">
        <f t="shared" si="558"/>
        <v>0</v>
      </c>
      <c r="C1613">
        <f t="shared" si="559"/>
        <v>7</v>
      </c>
      <c r="D1613" t="str">
        <f>IF(包装物料出入库明细!$E1613="","",包装物料出入库明细!$F1613)</f>
        <v/>
      </c>
      <c r="E1613" t="str">
        <f>IF(包装物料出入库明细!$E1613="","",包装物料出入库明细!$G1613)</f>
        <v/>
      </c>
      <c r="K1613" t="str">
        <f>IF(包装物料出入库明细!$D1613="","",包装物料出入库明细!$D1613)</f>
        <v/>
      </c>
      <c r="L1613">
        <f t="shared" si="560"/>
        <v>0</v>
      </c>
      <c r="M1613">
        <f t="shared" si="561"/>
        <v>9</v>
      </c>
      <c r="Q1613" t="str">
        <f>IF(周转筐出入库明细!$D1614="","",周转筐出入库明细!$D1614)</f>
        <v/>
      </c>
      <c r="R1613">
        <f t="shared" si="562"/>
        <v>0</v>
      </c>
      <c r="S1613">
        <f t="shared" si="563"/>
        <v>5</v>
      </c>
      <c r="W1613" t="str">
        <f>IF(周转筐出入库明细!$C1614="","",周转筐出入库明细!$C1614)</f>
        <v/>
      </c>
      <c r="X1613">
        <f t="shared" si="564"/>
        <v>0</v>
      </c>
      <c r="Y1613">
        <f t="shared" si="565"/>
        <v>12</v>
      </c>
      <c r="CP1613">
        <f>IF(包装物料出入库明细!$D1613="",0,1)</f>
        <v>0</v>
      </c>
      <c r="CQ1613">
        <f t="shared" si="566"/>
        <v>37</v>
      </c>
      <c r="CS1613" t="str">
        <f>IF(OR(周转筐出入库明细!$C1614="",周转筐出入库明细!$F1614&lt;&gt;"采购入库"),"",周转筐出入库明细!$C1614)</f>
        <v/>
      </c>
      <c r="CT1613">
        <f t="shared" si="567"/>
        <v>0</v>
      </c>
      <c r="CU1613">
        <f t="shared" si="568"/>
        <v>1</v>
      </c>
    </row>
    <row r="1614" spans="1:99">
      <c r="A1614" t="str">
        <f>IF(包装物料出入库明细!$E1614="","",包装物料出入库明细!$E1614)</f>
        <v/>
      </c>
      <c r="B1614">
        <f t="shared" si="558"/>
        <v>0</v>
      </c>
      <c r="C1614">
        <f t="shared" si="559"/>
        <v>7</v>
      </c>
      <c r="D1614" t="str">
        <f>IF(包装物料出入库明细!$E1614="","",包装物料出入库明细!$F1614)</f>
        <v/>
      </c>
      <c r="E1614" t="str">
        <f>IF(包装物料出入库明细!$E1614="","",包装物料出入库明细!$G1614)</f>
        <v/>
      </c>
      <c r="K1614" t="str">
        <f>IF(包装物料出入库明细!$D1614="","",包装物料出入库明细!$D1614)</f>
        <v/>
      </c>
      <c r="L1614">
        <f t="shared" si="560"/>
        <v>0</v>
      </c>
      <c r="M1614">
        <f t="shared" si="561"/>
        <v>9</v>
      </c>
      <c r="Q1614" t="str">
        <f>IF(周转筐出入库明细!$D1615="","",周转筐出入库明细!$D1615)</f>
        <v/>
      </c>
      <c r="R1614">
        <f t="shared" si="562"/>
        <v>0</v>
      </c>
      <c r="S1614">
        <f t="shared" si="563"/>
        <v>5</v>
      </c>
      <c r="W1614" t="str">
        <f>IF(周转筐出入库明细!$C1615="","",周转筐出入库明细!$C1615)</f>
        <v/>
      </c>
      <c r="X1614">
        <f t="shared" si="564"/>
        <v>0</v>
      </c>
      <c r="Y1614">
        <f t="shared" si="565"/>
        <v>12</v>
      </c>
      <c r="CP1614">
        <f>IF(包装物料出入库明细!$D1614="",0,1)</f>
        <v>0</v>
      </c>
      <c r="CQ1614">
        <f t="shared" si="566"/>
        <v>37</v>
      </c>
      <c r="CS1614" t="str">
        <f>IF(OR(周转筐出入库明细!$C1615="",周转筐出入库明细!$F1615&lt;&gt;"采购入库"),"",周转筐出入库明细!$C1615)</f>
        <v/>
      </c>
      <c r="CT1614">
        <f t="shared" si="567"/>
        <v>0</v>
      </c>
      <c r="CU1614">
        <f t="shared" si="568"/>
        <v>1</v>
      </c>
    </row>
    <row r="1615" spans="1:99">
      <c r="A1615" t="str">
        <f>IF(包装物料出入库明细!$E1615="","",包装物料出入库明细!$E1615)</f>
        <v/>
      </c>
      <c r="B1615">
        <f t="shared" si="558"/>
        <v>0</v>
      </c>
      <c r="C1615">
        <f t="shared" si="559"/>
        <v>7</v>
      </c>
      <c r="D1615" t="str">
        <f>IF(包装物料出入库明细!$E1615="","",包装物料出入库明细!$F1615)</f>
        <v/>
      </c>
      <c r="E1615" t="str">
        <f>IF(包装物料出入库明细!$E1615="","",包装物料出入库明细!$G1615)</f>
        <v/>
      </c>
      <c r="K1615" t="str">
        <f>IF(包装物料出入库明细!$D1615="","",包装物料出入库明细!$D1615)</f>
        <v/>
      </c>
      <c r="L1615">
        <f t="shared" si="560"/>
        <v>0</v>
      </c>
      <c r="M1615">
        <f t="shared" si="561"/>
        <v>9</v>
      </c>
      <c r="Q1615" t="str">
        <f>IF(周转筐出入库明细!$D1616="","",周转筐出入库明细!$D1616)</f>
        <v/>
      </c>
      <c r="R1615">
        <f t="shared" si="562"/>
        <v>0</v>
      </c>
      <c r="S1615">
        <f t="shared" si="563"/>
        <v>5</v>
      </c>
      <c r="W1615" t="str">
        <f>IF(周转筐出入库明细!$C1616="","",周转筐出入库明细!$C1616)</f>
        <v/>
      </c>
      <c r="X1615">
        <f t="shared" si="564"/>
        <v>0</v>
      </c>
      <c r="Y1615">
        <f t="shared" si="565"/>
        <v>12</v>
      </c>
      <c r="CP1615">
        <f>IF(包装物料出入库明细!$D1615="",0,1)</f>
        <v>0</v>
      </c>
      <c r="CQ1615">
        <f t="shared" si="566"/>
        <v>37</v>
      </c>
      <c r="CS1615" t="str">
        <f>IF(OR(周转筐出入库明细!$C1616="",周转筐出入库明细!$F1616&lt;&gt;"采购入库"),"",周转筐出入库明细!$C1616)</f>
        <v/>
      </c>
      <c r="CT1615">
        <f t="shared" si="567"/>
        <v>0</v>
      </c>
      <c r="CU1615">
        <f t="shared" si="568"/>
        <v>1</v>
      </c>
    </row>
    <row r="1616" spans="1:99">
      <c r="A1616" t="str">
        <f>IF(包装物料出入库明细!$E1616="","",包装物料出入库明细!$E1616)</f>
        <v/>
      </c>
      <c r="B1616">
        <f t="shared" si="558"/>
        <v>0</v>
      </c>
      <c r="C1616">
        <f t="shared" si="559"/>
        <v>7</v>
      </c>
      <c r="D1616" t="str">
        <f>IF(包装物料出入库明细!$E1616="","",包装物料出入库明细!$F1616)</f>
        <v/>
      </c>
      <c r="E1616" t="str">
        <f>IF(包装物料出入库明细!$E1616="","",包装物料出入库明细!$G1616)</f>
        <v/>
      </c>
      <c r="K1616" t="str">
        <f>IF(包装物料出入库明细!$D1616="","",包装物料出入库明细!$D1616)</f>
        <v/>
      </c>
      <c r="L1616">
        <f t="shared" si="560"/>
        <v>0</v>
      </c>
      <c r="M1616">
        <f t="shared" si="561"/>
        <v>9</v>
      </c>
      <c r="Q1616" t="str">
        <f>IF(周转筐出入库明细!$D1617="","",周转筐出入库明细!$D1617)</f>
        <v/>
      </c>
      <c r="R1616">
        <f t="shared" si="562"/>
        <v>0</v>
      </c>
      <c r="S1616">
        <f t="shared" si="563"/>
        <v>5</v>
      </c>
      <c r="W1616" t="str">
        <f>IF(周转筐出入库明细!$C1617="","",周转筐出入库明细!$C1617)</f>
        <v/>
      </c>
      <c r="X1616">
        <f t="shared" si="564"/>
        <v>0</v>
      </c>
      <c r="Y1616">
        <f t="shared" si="565"/>
        <v>12</v>
      </c>
      <c r="CP1616">
        <f>IF(包装物料出入库明细!$D1616="",0,1)</f>
        <v>0</v>
      </c>
      <c r="CQ1616">
        <f t="shared" si="566"/>
        <v>37</v>
      </c>
      <c r="CS1616" t="str">
        <f>IF(OR(周转筐出入库明细!$C1617="",周转筐出入库明细!$F1617&lt;&gt;"采购入库"),"",周转筐出入库明细!$C1617)</f>
        <v/>
      </c>
      <c r="CT1616">
        <f t="shared" si="567"/>
        <v>0</v>
      </c>
      <c r="CU1616">
        <f t="shared" si="568"/>
        <v>1</v>
      </c>
    </row>
    <row r="1617" spans="1:99">
      <c r="A1617" t="str">
        <f>IF(包装物料出入库明细!$E1617="","",包装物料出入库明细!$E1617)</f>
        <v/>
      </c>
      <c r="B1617">
        <f t="shared" si="558"/>
        <v>0</v>
      </c>
      <c r="C1617">
        <f t="shared" si="559"/>
        <v>7</v>
      </c>
      <c r="D1617" t="str">
        <f>IF(包装物料出入库明细!$E1617="","",包装物料出入库明细!$F1617)</f>
        <v/>
      </c>
      <c r="E1617" t="str">
        <f>IF(包装物料出入库明细!$E1617="","",包装物料出入库明细!$G1617)</f>
        <v/>
      </c>
      <c r="K1617" t="str">
        <f>IF(包装物料出入库明细!$D1617="","",包装物料出入库明细!$D1617)</f>
        <v/>
      </c>
      <c r="L1617">
        <f t="shared" si="560"/>
        <v>0</v>
      </c>
      <c r="M1617">
        <f t="shared" si="561"/>
        <v>9</v>
      </c>
      <c r="Q1617" t="str">
        <f>IF(周转筐出入库明细!$D1618="","",周转筐出入库明细!$D1618)</f>
        <v/>
      </c>
      <c r="R1617">
        <f t="shared" si="562"/>
        <v>0</v>
      </c>
      <c r="S1617">
        <f t="shared" si="563"/>
        <v>5</v>
      </c>
      <c r="W1617" t="str">
        <f>IF(周转筐出入库明细!$C1618="","",周转筐出入库明细!$C1618)</f>
        <v/>
      </c>
      <c r="X1617">
        <f t="shared" si="564"/>
        <v>0</v>
      </c>
      <c r="Y1617">
        <f t="shared" si="565"/>
        <v>12</v>
      </c>
      <c r="CP1617">
        <f>IF(包装物料出入库明细!$D1617="",0,1)</f>
        <v>0</v>
      </c>
      <c r="CQ1617">
        <f t="shared" si="566"/>
        <v>37</v>
      </c>
      <c r="CS1617" t="str">
        <f>IF(OR(周转筐出入库明细!$C1618="",周转筐出入库明细!$F1618&lt;&gt;"采购入库"),"",周转筐出入库明细!$C1618)</f>
        <v/>
      </c>
      <c r="CT1617">
        <f t="shared" si="567"/>
        <v>0</v>
      </c>
      <c r="CU1617">
        <f t="shared" si="568"/>
        <v>1</v>
      </c>
    </row>
    <row r="1618" spans="1:99">
      <c r="A1618" t="str">
        <f>IF(包装物料出入库明细!$E1618="","",包装物料出入库明细!$E1618)</f>
        <v/>
      </c>
      <c r="B1618">
        <f t="shared" si="558"/>
        <v>0</v>
      </c>
      <c r="C1618">
        <f t="shared" si="559"/>
        <v>7</v>
      </c>
      <c r="D1618" t="str">
        <f>IF(包装物料出入库明细!$E1618="","",包装物料出入库明细!$F1618)</f>
        <v/>
      </c>
      <c r="E1618" t="str">
        <f>IF(包装物料出入库明细!$E1618="","",包装物料出入库明细!$G1618)</f>
        <v/>
      </c>
      <c r="K1618" t="str">
        <f>IF(包装物料出入库明细!$D1618="","",包装物料出入库明细!$D1618)</f>
        <v/>
      </c>
      <c r="L1618">
        <f t="shared" si="560"/>
        <v>0</v>
      </c>
      <c r="M1618">
        <f t="shared" si="561"/>
        <v>9</v>
      </c>
      <c r="Q1618" t="str">
        <f>IF(周转筐出入库明细!$D1619="","",周转筐出入库明细!$D1619)</f>
        <v/>
      </c>
      <c r="R1618">
        <f t="shared" si="562"/>
        <v>0</v>
      </c>
      <c r="S1618">
        <f t="shared" si="563"/>
        <v>5</v>
      </c>
      <c r="W1618" t="str">
        <f>IF(周转筐出入库明细!$C1619="","",周转筐出入库明细!$C1619)</f>
        <v/>
      </c>
      <c r="X1618">
        <f t="shared" si="564"/>
        <v>0</v>
      </c>
      <c r="Y1618">
        <f t="shared" si="565"/>
        <v>12</v>
      </c>
      <c r="CP1618">
        <f>IF(包装物料出入库明细!$D1618="",0,1)</f>
        <v>0</v>
      </c>
      <c r="CQ1618">
        <f t="shared" si="566"/>
        <v>37</v>
      </c>
      <c r="CS1618" t="str">
        <f>IF(OR(周转筐出入库明细!$C1619="",周转筐出入库明细!$F1619&lt;&gt;"采购入库"),"",周转筐出入库明细!$C1619)</f>
        <v/>
      </c>
      <c r="CT1618">
        <f t="shared" si="567"/>
        <v>0</v>
      </c>
      <c r="CU1618">
        <f t="shared" si="568"/>
        <v>1</v>
      </c>
    </row>
    <row r="1619" spans="1:99">
      <c r="A1619" t="str">
        <f>IF(包装物料出入库明细!$E1619="","",包装物料出入库明细!$E1619)</f>
        <v/>
      </c>
      <c r="B1619">
        <f t="shared" si="558"/>
        <v>0</v>
      </c>
      <c r="C1619">
        <f t="shared" si="559"/>
        <v>7</v>
      </c>
      <c r="D1619" t="str">
        <f>IF(包装物料出入库明细!$E1619="","",包装物料出入库明细!$F1619)</f>
        <v/>
      </c>
      <c r="E1619" t="str">
        <f>IF(包装物料出入库明细!$E1619="","",包装物料出入库明细!$G1619)</f>
        <v/>
      </c>
      <c r="K1619" t="str">
        <f>IF(包装物料出入库明细!$D1619="","",包装物料出入库明细!$D1619)</f>
        <v/>
      </c>
      <c r="L1619">
        <f t="shared" si="560"/>
        <v>0</v>
      </c>
      <c r="M1619">
        <f t="shared" si="561"/>
        <v>9</v>
      </c>
      <c r="Q1619" t="str">
        <f>IF(周转筐出入库明细!$D1620="","",周转筐出入库明细!$D1620)</f>
        <v/>
      </c>
      <c r="R1619">
        <f t="shared" si="562"/>
        <v>0</v>
      </c>
      <c r="S1619">
        <f t="shared" si="563"/>
        <v>5</v>
      </c>
      <c r="W1619" t="str">
        <f>IF(周转筐出入库明细!$C1620="","",周转筐出入库明细!$C1620)</f>
        <v/>
      </c>
      <c r="X1619">
        <f t="shared" si="564"/>
        <v>0</v>
      </c>
      <c r="Y1619">
        <f t="shared" si="565"/>
        <v>12</v>
      </c>
      <c r="CP1619">
        <f>IF(包装物料出入库明细!$D1619="",0,1)</f>
        <v>0</v>
      </c>
      <c r="CQ1619">
        <f t="shared" si="566"/>
        <v>37</v>
      </c>
      <c r="CS1619" t="str">
        <f>IF(OR(周转筐出入库明细!$C1620="",周转筐出入库明细!$F1620&lt;&gt;"采购入库"),"",周转筐出入库明细!$C1620)</f>
        <v/>
      </c>
      <c r="CT1619">
        <f t="shared" si="567"/>
        <v>0</v>
      </c>
      <c r="CU1619">
        <f t="shared" si="568"/>
        <v>1</v>
      </c>
    </row>
    <row r="1620" spans="1:99">
      <c r="A1620" t="str">
        <f>IF(包装物料出入库明细!$E1620="","",包装物料出入库明细!$E1620)</f>
        <v/>
      </c>
      <c r="B1620">
        <f t="shared" si="558"/>
        <v>0</v>
      </c>
      <c r="C1620">
        <f t="shared" si="559"/>
        <v>7</v>
      </c>
      <c r="D1620" t="str">
        <f>IF(包装物料出入库明细!$E1620="","",包装物料出入库明细!$F1620)</f>
        <v/>
      </c>
      <c r="E1620" t="str">
        <f>IF(包装物料出入库明细!$E1620="","",包装物料出入库明细!$G1620)</f>
        <v/>
      </c>
      <c r="K1620" t="str">
        <f>IF(包装物料出入库明细!$D1620="","",包装物料出入库明细!$D1620)</f>
        <v/>
      </c>
      <c r="L1620">
        <f t="shared" si="560"/>
        <v>0</v>
      </c>
      <c r="M1620">
        <f t="shared" si="561"/>
        <v>9</v>
      </c>
      <c r="Q1620" t="str">
        <f>IF(周转筐出入库明细!$D1621="","",周转筐出入库明细!$D1621)</f>
        <v/>
      </c>
      <c r="R1620">
        <f t="shared" si="562"/>
        <v>0</v>
      </c>
      <c r="S1620">
        <f t="shared" si="563"/>
        <v>5</v>
      </c>
      <c r="W1620" t="str">
        <f>IF(周转筐出入库明细!$C1621="","",周转筐出入库明细!$C1621)</f>
        <v/>
      </c>
      <c r="X1620">
        <f t="shared" si="564"/>
        <v>0</v>
      </c>
      <c r="Y1620">
        <f t="shared" si="565"/>
        <v>12</v>
      </c>
      <c r="CP1620">
        <f>IF(包装物料出入库明细!$D1620="",0,1)</f>
        <v>0</v>
      </c>
      <c r="CQ1620">
        <f t="shared" si="566"/>
        <v>37</v>
      </c>
      <c r="CS1620" t="str">
        <f>IF(OR(周转筐出入库明细!$C1621="",周转筐出入库明细!$F1621&lt;&gt;"采购入库"),"",周转筐出入库明细!$C1621)</f>
        <v/>
      </c>
      <c r="CT1620">
        <f t="shared" si="567"/>
        <v>0</v>
      </c>
      <c r="CU1620">
        <f t="shared" si="568"/>
        <v>1</v>
      </c>
    </row>
    <row r="1621" spans="1:99">
      <c r="A1621" t="str">
        <f>IF(包装物料出入库明细!$E1621="","",包装物料出入库明细!$E1621)</f>
        <v/>
      </c>
      <c r="B1621">
        <f t="shared" si="558"/>
        <v>0</v>
      </c>
      <c r="C1621">
        <f t="shared" si="559"/>
        <v>7</v>
      </c>
      <c r="D1621" t="str">
        <f>IF(包装物料出入库明细!$E1621="","",包装物料出入库明细!$F1621)</f>
        <v/>
      </c>
      <c r="E1621" t="str">
        <f>IF(包装物料出入库明细!$E1621="","",包装物料出入库明细!$G1621)</f>
        <v/>
      </c>
      <c r="K1621" t="str">
        <f>IF(包装物料出入库明细!$D1621="","",包装物料出入库明细!$D1621)</f>
        <v/>
      </c>
      <c r="L1621">
        <f t="shared" si="560"/>
        <v>0</v>
      </c>
      <c r="M1621">
        <f t="shared" si="561"/>
        <v>9</v>
      </c>
      <c r="Q1621" t="str">
        <f>IF(周转筐出入库明细!$D1622="","",周转筐出入库明细!$D1622)</f>
        <v/>
      </c>
      <c r="R1621">
        <f t="shared" si="562"/>
        <v>0</v>
      </c>
      <c r="S1621">
        <f t="shared" si="563"/>
        <v>5</v>
      </c>
      <c r="W1621" t="str">
        <f>IF(周转筐出入库明细!$C1622="","",周转筐出入库明细!$C1622)</f>
        <v/>
      </c>
      <c r="X1621">
        <f t="shared" si="564"/>
        <v>0</v>
      </c>
      <c r="Y1621">
        <f t="shared" si="565"/>
        <v>12</v>
      </c>
      <c r="CP1621">
        <f>IF(包装物料出入库明细!$D1621="",0,1)</f>
        <v>0</v>
      </c>
      <c r="CQ1621">
        <f t="shared" si="566"/>
        <v>37</v>
      </c>
      <c r="CS1621" t="str">
        <f>IF(OR(周转筐出入库明细!$C1622="",周转筐出入库明细!$F1622&lt;&gt;"采购入库"),"",周转筐出入库明细!$C1622)</f>
        <v/>
      </c>
      <c r="CT1621">
        <f t="shared" si="567"/>
        <v>0</v>
      </c>
      <c r="CU1621">
        <f t="shared" si="568"/>
        <v>1</v>
      </c>
    </row>
    <row r="1622" spans="1:99">
      <c r="A1622" t="str">
        <f>IF(包装物料出入库明细!$E1622="","",包装物料出入库明细!$E1622)</f>
        <v/>
      </c>
      <c r="B1622">
        <f t="shared" si="558"/>
        <v>0</v>
      </c>
      <c r="C1622">
        <f t="shared" si="559"/>
        <v>7</v>
      </c>
      <c r="D1622" t="str">
        <f>IF(包装物料出入库明细!$E1622="","",包装物料出入库明细!$F1622)</f>
        <v/>
      </c>
      <c r="E1622" t="str">
        <f>IF(包装物料出入库明细!$E1622="","",包装物料出入库明细!$G1622)</f>
        <v/>
      </c>
      <c r="K1622" t="str">
        <f>IF(包装物料出入库明细!$D1622="","",包装物料出入库明细!$D1622)</f>
        <v/>
      </c>
      <c r="L1622">
        <f t="shared" si="560"/>
        <v>0</v>
      </c>
      <c r="M1622">
        <f t="shared" si="561"/>
        <v>9</v>
      </c>
      <c r="Q1622" t="str">
        <f>IF(周转筐出入库明细!$D1623="","",周转筐出入库明细!$D1623)</f>
        <v/>
      </c>
      <c r="R1622">
        <f t="shared" si="562"/>
        <v>0</v>
      </c>
      <c r="S1622">
        <f t="shared" si="563"/>
        <v>5</v>
      </c>
      <c r="W1622" t="str">
        <f>IF(周转筐出入库明细!$C1623="","",周转筐出入库明细!$C1623)</f>
        <v/>
      </c>
      <c r="X1622">
        <f t="shared" si="564"/>
        <v>0</v>
      </c>
      <c r="Y1622">
        <f t="shared" si="565"/>
        <v>12</v>
      </c>
      <c r="CP1622">
        <f>IF(包装物料出入库明细!$D1622="",0,1)</f>
        <v>0</v>
      </c>
      <c r="CQ1622">
        <f t="shared" si="566"/>
        <v>37</v>
      </c>
      <c r="CS1622" t="str">
        <f>IF(OR(周转筐出入库明细!$C1623="",周转筐出入库明细!$F1623&lt;&gt;"采购入库"),"",周转筐出入库明细!$C1623)</f>
        <v/>
      </c>
      <c r="CT1622">
        <f t="shared" si="567"/>
        <v>0</v>
      </c>
      <c r="CU1622">
        <f t="shared" si="568"/>
        <v>1</v>
      </c>
    </row>
    <row r="1623" spans="1:99">
      <c r="A1623" t="str">
        <f>IF(包装物料出入库明细!$E1623="","",包装物料出入库明细!$E1623)</f>
        <v/>
      </c>
      <c r="B1623">
        <f t="shared" si="558"/>
        <v>0</v>
      </c>
      <c r="C1623">
        <f t="shared" si="559"/>
        <v>7</v>
      </c>
      <c r="D1623" t="str">
        <f>IF(包装物料出入库明细!$E1623="","",包装物料出入库明细!$F1623)</f>
        <v/>
      </c>
      <c r="E1623" t="str">
        <f>IF(包装物料出入库明细!$E1623="","",包装物料出入库明细!$G1623)</f>
        <v/>
      </c>
      <c r="K1623" t="str">
        <f>IF(包装物料出入库明细!$D1623="","",包装物料出入库明细!$D1623)</f>
        <v/>
      </c>
      <c r="L1623">
        <f t="shared" si="560"/>
        <v>0</v>
      </c>
      <c r="M1623">
        <f t="shared" si="561"/>
        <v>9</v>
      </c>
      <c r="Q1623" t="str">
        <f>IF(周转筐出入库明细!$D1624="","",周转筐出入库明细!$D1624)</f>
        <v/>
      </c>
      <c r="R1623">
        <f t="shared" si="562"/>
        <v>0</v>
      </c>
      <c r="S1623">
        <f t="shared" si="563"/>
        <v>5</v>
      </c>
      <c r="W1623" t="str">
        <f>IF(周转筐出入库明细!$C1624="","",周转筐出入库明细!$C1624)</f>
        <v/>
      </c>
      <c r="X1623">
        <f t="shared" si="564"/>
        <v>0</v>
      </c>
      <c r="Y1623">
        <f t="shared" si="565"/>
        <v>12</v>
      </c>
      <c r="CP1623">
        <f>IF(包装物料出入库明细!$D1623="",0,1)</f>
        <v>0</v>
      </c>
      <c r="CQ1623">
        <f t="shared" si="566"/>
        <v>37</v>
      </c>
      <c r="CS1623" t="str">
        <f>IF(OR(周转筐出入库明细!$C1624="",周转筐出入库明细!$F1624&lt;&gt;"采购入库"),"",周转筐出入库明细!$C1624)</f>
        <v/>
      </c>
      <c r="CT1623">
        <f t="shared" si="567"/>
        <v>0</v>
      </c>
      <c r="CU1623">
        <f t="shared" si="568"/>
        <v>1</v>
      </c>
    </row>
    <row r="1624" spans="1:99">
      <c r="A1624" t="str">
        <f>IF(包装物料出入库明细!$E1624="","",包装物料出入库明细!$E1624)</f>
        <v/>
      </c>
      <c r="B1624">
        <f t="shared" si="558"/>
        <v>0</v>
      </c>
      <c r="C1624">
        <f t="shared" si="559"/>
        <v>7</v>
      </c>
      <c r="D1624" t="str">
        <f>IF(包装物料出入库明细!$E1624="","",包装物料出入库明细!$F1624)</f>
        <v/>
      </c>
      <c r="E1624" t="str">
        <f>IF(包装物料出入库明细!$E1624="","",包装物料出入库明细!$G1624)</f>
        <v/>
      </c>
      <c r="K1624" t="str">
        <f>IF(包装物料出入库明细!$D1624="","",包装物料出入库明细!$D1624)</f>
        <v/>
      </c>
      <c r="L1624">
        <f t="shared" si="560"/>
        <v>0</v>
      </c>
      <c r="M1624">
        <f t="shared" si="561"/>
        <v>9</v>
      </c>
      <c r="Q1624" t="str">
        <f>IF(周转筐出入库明细!$D1625="","",周转筐出入库明细!$D1625)</f>
        <v/>
      </c>
      <c r="R1624">
        <f t="shared" si="562"/>
        <v>0</v>
      </c>
      <c r="S1624">
        <f t="shared" si="563"/>
        <v>5</v>
      </c>
      <c r="W1624" t="str">
        <f>IF(周转筐出入库明细!$C1625="","",周转筐出入库明细!$C1625)</f>
        <v/>
      </c>
      <c r="X1624">
        <f t="shared" si="564"/>
        <v>0</v>
      </c>
      <c r="Y1624">
        <f t="shared" si="565"/>
        <v>12</v>
      </c>
      <c r="CP1624">
        <f>IF(包装物料出入库明细!$D1624="",0,1)</f>
        <v>0</v>
      </c>
      <c r="CQ1624">
        <f t="shared" si="566"/>
        <v>37</v>
      </c>
      <c r="CS1624" t="str">
        <f>IF(OR(周转筐出入库明细!$C1625="",周转筐出入库明细!$F1625&lt;&gt;"采购入库"),"",周转筐出入库明细!$C1625)</f>
        <v/>
      </c>
      <c r="CT1624">
        <f t="shared" si="567"/>
        <v>0</v>
      </c>
      <c r="CU1624">
        <f t="shared" si="568"/>
        <v>1</v>
      </c>
    </row>
    <row r="1625" spans="1:99">
      <c r="A1625" t="str">
        <f>IF(包装物料出入库明细!$E1625="","",包装物料出入库明细!$E1625)</f>
        <v/>
      </c>
      <c r="B1625">
        <f t="shared" si="558"/>
        <v>0</v>
      </c>
      <c r="C1625">
        <f t="shared" si="559"/>
        <v>7</v>
      </c>
      <c r="D1625" t="str">
        <f>IF(包装物料出入库明细!$E1625="","",包装物料出入库明细!$F1625)</f>
        <v/>
      </c>
      <c r="E1625" t="str">
        <f>IF(包装物料出入库明细!$E1625="","",包装物料出入库明细!$G1625)</f>
        <v/>
      </c>
      <c r="K1625" t="str">
        <f>IF(包装物料出入库明细!$D1625="","",包装物料出入库明细!$D1625)</f>
        <v/>
      </c>
      <c r="L1625">
        <f t="shared" si="560"/>
        <v>0</v>
      </c>
      <c r="M1625">
        <f t="shared" si="561"/>
        <v>9</v>
      </c>
      <c r="Q1625" t="str">
        <f>IF(周转筐出入库明细!$D1626="","",周转筐出入库明细!$D1626)</f>
        <v/>
      </c>
      <c r="R1625">
        <f t="shared" si="562"/>
        <v>0</v>
      </c>
      <c r="S1625">
        <f t="shared" si="563"/>
        <v>5</v>
      </c>
      <c r="W1625" t="str">
        <f>IF(周转筐出入库明细!$C1626="","",周转筐出入库明细!$C1626)</f>
        <v/>
      </c>
      <c r="X1625">
        <f t="shared" si="564"/>
        <v>0</v>
      </c>
      <c r="Y1625">
        <f t="shared" si="565"/>
        <v>12</v>
      </c>
      <c r="CP1625">
        <f>IF(包装物料出入库明细!$D1625="",0,1)</f>
        <v>0</v>
      </c>
      <c r="CQ1625">
        <f t="shared" si="566"/>
        <v>37</v>
      </c>
      <c r="CS1625" t="str">
        <f>IF(OR(周转筐出入库明细!$C1626="",周转筐出入库明细!$F1626&lt;&gt;"采购入库"),"",周转筐出入库明细!$C1626)</f>
        <v/>
      </c>
      <c r="CT1625">
        <f t="shared" si="567"/>
        <v>0</v>
      </c>
      <c r="CU1625">
        <f t="shared" si="568"/>
        <v>1</v>
      </c>
    </row>
    <row r="1626" spans="1:99">
      <c r="A1626" t="str">
        <f>IF(包装物料出入库明细!$E1626="","",包装物料出入库明细!$E1626)</f>
        <v/>
      </c>
      <c r="B1626">
        <f t="shared" si="558"/>
        <v>0</v>
      </c>
      <c r="C1626">
        <f t="shared" si="559"/>
        <v>7</v>
      </c>
      <c r="D1626" t="str">
        <f>IF(包装物料出入库明细!$E1626="","",包装物料出入库明细!$F1626)</f>
        <v/>
      </c>
      <c r="E1626" t="str">
        <f>IF(包装物料出入库明细!$E1626="","",包装物料出入库明细!$G1626)</f>
        <v/>
      </c>
      <c r="K1626" t="str">
        <f>IF(包装物料出入库明细!$D1626="","",包装物料出入库明细!$D1626)</f>
        <v/>
      </c>
      <c r="L1626">
        <f t="shared" si="560"/>
        <v>0</v>
      </c>
      <c r="M1626">
        <f t="shared" si="561"/>
        <v>9</v>
      </c>
      <c r="Q1626" t="str">
        <f>IF(周转筐出入库明细!$D1627="","",周转筐出入库明细!$D1627)</f>
        <v/>
      </c>
      <c r="R1626">
        <f t="shared" si="562"/>
        <v>0</v>
      </c>
      <c r="S1626">
        <f t="shared" si="563"/>
        <v>5</v>
      </c>
      <c r="W1626" t="str">
        <f>IF(周转筐出入库明细!$C1627="","",周转筐出入库明细!$C1627)</f>
        <v/>
      </c>
      <c r="X1626">
        <f t="shared" si="564"/>
        <v>0</v>
      </c>
      <c r="Y1626">
        <f t="shared" si="565"/>
        <v>12</v>
      </c>
      <c r="CP1626">
        <f>IF(包装物料出入库明细!$D1626="",0,1)</f>
        <v>0</v>
      </c>
      <c r="CQ1626">
        <f t="shared" si="566"/>
        <v>37</v>
      </c>
      <c r="CS1626" t="str">
        <f>IF(OR(周转筐出入库明细!$C1627="",周转筐出入库明细!$F1627&lt;&gt;"采购入库"),"",周转筐出入库明细!$C1627)</f>
        <v/>
      </c>
      <c r="CT1626">
        <f t="shared" si="567"/>
        <v>0</v>
      </c>
      <c r="CU1626">
        <f t="shared" si="568"/>
        <v>1</v>
      </c>
    </row>
    <row r="1627" spans="1:99">
      <c r="A1627" t="str">
        <f>IF(包装物料出入库明细!$E1627="","",包装物料出入库明细!$E1627)</f>
        <v/>
      </c>
      <c r="B1627">
        <f t="shared" si="558"/>
        <v>0</v>
      </c>
      <c r="C1627">
        <f t="shared" si="559"/>
        <v>7</v>
      </c>
      <c r="D1627" t="str">
        <f>IF(包装物料出入库明细!$E1627="","",包装物料出入库明细!$F1627)</f>
        <v/>
      </c>
      <c r="E1627" t="str">
        <f>IF(包装物料出入库明细!$E1627="","",包装物料出入库明细!$G1627)</f>
        <v/>
      </c>
      <c r="K1627" t="str">
        <f>IF(包装物料出入库明细!$D1627="","",包装物料出入库明细!$D1627)</f>
        <v/>
      </c>
      <c r="L1627">
        <f t="shared" si="560"/>
        <v>0</v>
      </c>
      <c r="M1627">
        <f t="shared" si="561"/>
        <v>9</v>
      </c>
      <c r="Q1627" t="str">
        <f>IF(周转筐出入库明细!$D1628="","",周转筐出入库明细!$D1628)</f>
        <v/>
      </c>
      <c r="R1627">
        <f t="shared" si="562"/>
        <v>0</v>
      </c>
      <c r="S1627">
        <f t="shared" si="563"/>
        <v>5</v>
      </c>
      <c r="W1627" t="str">
        <f>IF(周转筐出入库明细!$C1628="","",周转筐出入库明细!$C1628)</f>
        <v/>
      </c>
      <c r="X1627">
        <f t="shared" si="564"/>
        <v>0</v>
      </c>
      <c r="Y1627">
        <f t="shared" si="565"/>
        <v>12</v>
      </c>
      <c r="CP1627">
        <f>IF(包装物料出入库明细!$D1627="",0,1)</f>
        <v>0</v>
      </c>
      <c r="CQ1627">
        <f t="shared" si="566"/>
        <v>37</v>
      </c>
      <c r="CS1627" t="str">
        <f>IF(OR(周转筐出入库明细!$C1628="",周转筐出入库明细!$F1628&lt;&gt;"采购入库"),"",周转筐出入库明细!$C1628)</f>
        <v/>
      </c>
      <c r="CT1627">
        <f t="shared" si="567"/>
        <v>0</v>
      </c>
      <c r="CU1627">
        <f t="shared" si="568"/>
        <v>1</v>
      </c>
    </row>
    <row r="1628" spans="1:99">
      <c r="A1628" t="str">
        <f>IF(包装物料出入库明细!$E1628="","",包装物料出入库明细!$E1628)</f>
        <v/>
      </c>
      <c r="B1628">
        <f t="shared" si="558"/>
        <v>0</v>
      </c>
      <c r="C1628">
        <f t="shared" si="559"/>
        <v>7</v>
      </c>
      <c r="D1628" t="str">
        <f>IF(包装物料出入库明细!$E1628="","",包装物料出入库明细!$F1628)</f>
        <v/>
      </c>
      <c r="E1628" t="str">
        <f>IF(包装物料出入库明细!$E1628="","",包装物料出入库明细!$G1628)</f>
        <v/>
      </c>
      <c r="K1628" t="str">
        <f>IF(包装物料出入库明细!$D1628="","",包装物料出入库明细!$D1628)</f>
        <v/>
      </c>
      <c r="L1628">
        <f t="shared" si="560"/>
        <v>0</v>
      </c>
      <c r="M1628">
        <f t="shared" si="561"/>
        <v>9</v>
      </c>
      <c r="Q1628" t="str">
        <f>IF(周转筐出入库明细!$D1629="","",周转筐出入库明细!$D1629)</f>
        <v/>
      </c>
      <c r="R1628">
        <f t="shared" si="562"/>
        <v>0</v>
      </c>
      <c r="S1628">
        <f t="shared" si="563"/>
        <v>5</v>
      </c>
      <c r="W1628" t="str">
        <f>IF(周转筐出入库明细!$C1629="","",周转筐出入库明细!$C1629)</f>
        <v/>
      </c>
      <c r="X1628">
        <f t="shared" si="564"/>
        <v>0</v>
      </c>
      <c r="Y1628">
        <f t="shared" si="565"/>
        <v>12</v>
      </c>
      <c r="CP1628">
        <f>IF(包装物料出入库明细!$D1628="",0,1)</f>
        <v>0</v>
      </c>
      <c r="CQ1628">
        <f t="shared" si="566"/>
        <v>37</v>
      </c>
      <c r="CS1628" t="str">
        <f>IF(OR(周转筐出入库明细!$C1629="",周转筐出入库明细!$F1629&lt;&gt;"采购入库"),"",周转筐出入库明细!$C1629)</f>
        <v/>
      </c>
      <c r="CT1628">
        <f t="shared" si="567"/>
        <v>0</v>
      </c>
      <c r="CU1628">
        <f t="shared" si="568"/>
        <v>1</v>
      </c>
    </row>
    <row r="1629" spans="1:99">
      <c r="A1629" t="str">
        <f>IF(包装物料出入库明细!$E1629="","",包装物料出入库明细!$E1629)</f>
        <v/>
      </c>
      <c r="B1629">
        <f t="shared" si="558"/>
        <v>0</v>
      </c>
      <c r="C1629">
        <f t="shared" si="559"/>
        <v>7</v>
      </c>
      <c r="D1629" t="str">
        <f>IF(包装物料出入库明细!$E1629="","",包装物料出入库明细!$F1629)</f>
        <v/>
      </c>
      <c r="E1629" t="str">
        <f>IF(包装物料出入库明细!$E1629="","",包装物料出入库明细!$G1629)</f>
        <v/>
      </c>
      <c r="K1629" t="str">
        <f>IF(包装物料出入库明细!$D1629="","",包装物料出入库明细!$D1629)</f>
        <v/>
      </c>
      <c r="L1629">
        <f t="shared" si="560"/>
        <v>0</v>
      </c>
      <c r="M1629">
        <f t="shared" si="561"/>
        <v>9</v>
      </c>
      <c r="Q1629" t="str">
        <f>IF(周转筐出入库明细!$D1630="","",周转筐出入库明细!$D1630)</f>
        <v/>
      </c>
      <c r="R1629">
        <f t="shared" si="562"/>
        <v>0</v>
      </c>
      <c r="S1629">
        <f t="shared" si="563"/>
        <v>5</v>
      </c>
      <c r="W1629" t="str">
        <f>IF(周转筐出入库明细!$C1630="","",周转筐出入库明细!$C1630)</f>
        <v/>
      </c>
      <c r="X1629">
        <f t="shared" si="564"/>
        <v>0</v>
      </c>
      <c r="Y1629">
        <f t="shared" si="565"/>
        <v>12</v>
      </c>
      <c r="CP1629">
        <f>IF(包装物料出入库明细!$D1629="",0,1)</f>
        <v>0</v>
      </c>
      <c r="CQ1629">
        <f t="shared" si="566"/>
        <v>37</v>
      </c>
      <c r="CS1629" t="str">
        <f>IF(OR(周转筐出入库明细!$C1630="",周转筐出入库明细!$F1630&lt;&gt;"采购入库"),"",周转筐出入库明细!$C1630)</f>
        <v/>
      </c>
      <c r="CT1629">
        <f t="shared" si="567"/>
        <v>0</v>
      </c>
      <c r="CU1629">
        <f t="shared" si="568"/>
        <v>1</v>
      </c>
    </row>
    <row r="1630" spans="1:99">
      <c r="A1630" t="str">
        <f>IF(包装物料出入库明细!$E1630="","",包装物料出入库明细!$E1630)</f>
        <v/>
      </c>
      <c r="B1630">
        <f t="shared" si="558"/>
        <v>0</v>
      </c>
      <c r="C1630">
        <f t="shared" si="559"/>
        <v>7</v>
      </c>
      <c r="D1630" t="str">
        <f>IF(包装物料出入库明细!$E1630="","",包装物料出入库明细!$F1630)</f>
        <v/>
      </c>
      <c r="E1630" t="str">
        <f>IF(包装物料出入库明细!$E1630="","",包装物料出入库明细!$G1630)</f>
        <v/>
      </c>
      <c r="K1630" t="str">
        <f>IF(包装物料出入库明细!$D1630="","",包装物料出入库明细!$D1630)</f>
        <v/>
      </c>
      <c r="L1630">
        <f t="shared" si="560"/>
        <v>0</v>
      </c>
      <c r="M1630">
        <f t="shared" si="561"/>
        <v>9</v>
      </c>
      <c r="Q1630" t="str">
        <f>IF(周转筐出入库明细!$D1631="","",周转筐出入库明细!$D1631)</f>
        <v/>
      </c>
      <c r="R1630">
        <f t="shared" si="562"/>
        <v>0</v>
      </c>
      <c r="S1630">
        <f t="shared" si="563"/>
        <v>5</v>
      </c>
      <c r="W1630" t="str">
        <f>IF(周转筐出入库明细!$C1631="","",周转筐出入库明细!$C1631)</f>
        <v/>
      </c>
      <c r="X1630">
        <f t="shared" si="564"/>
        <v>0</v>
      </c>
      <c r="Y1630">
        <f t="shared" si="565"/>
        <v>12</v>
      </c>
      <c r="CP1630">
        <f>IF(包装物料出入库明细!$D1630="",0,1)</f>
        <v>0</v>
      </c>
      <c r="CQ1630">
        <f t="shared" si="566"/>
        <v>37</v>
      </c>
      <c r="CS1630" t="str">
        <f>IF(OR(周转筐出入库明细!$C1631="",周转筐出入库明细!$F1631&lt;&gt;"采购入库"),"",周转筐出入库明细!$C1631)</f>
        <v/>
      </c>
      <c r="CT1630">
        <f t="shared" si="567"/>
        <v>0</v>
      </c>
      <c r="CU1630">
        <f t="shared" si="568"/>
        <v>1</v>
      </c>
    </row>
    <row r="1631" spans="1:99">
      <c r="A1631" t="str">
        <f>IF(包装物料出入库明细!$E1631="","",包装物料出入库明细!$E1631)</f>
        <v/>
      </c>
      <c r="B1631">
        <f t="shared" si="558"/>
        <v>0</v>
      </c>
      <c r="C1631">
        <f t="shared" si="559"/>
        <v>7</v>
      </c>
      <c r="D1631" t="str">
        <f>IF(包装物料出入库明细!$E1631="","",包装物料出入库明细!$F1631)</f>
        <v/>
      </c>
      <c r="E1631" t="str">
        <f>IF(包装物料出入库明细!$E1631="","",包装物料出入库明细!$G1631)</f>
        <v/>
      </c>
      <c r="K1631" t="str">
        <f>IF(包装物料出入库明细!$D1631="","",包装物料出入库明细!$D1631)</f>
        <v/>
      </c>
      <c r="L1631">
        <f t="shared" si="560"/>
        <v>0</v>
      </c>
      <c r="M1631">
        <f t="shared" si="561"/>
        <v>9</v>
      </c>
      <c r="Q1631" t="str">
        <f>IF(周转筐出入库明细!$D1632="","",周转筐出入库明细!$D1632)</f>
        <v/>
      </c>
      <c r="R1631">
        <f t="shared" si="562"/>
        <v>0</v>
      </c>
      <c r="S1631">
        <f t="shared" si="563"/>
        <v>5</v>
      </c>
      <c r="W1631" t="str">
        <f>IF(周转筐出入库明细!$C1632="","",周转筐出入库明细!$C1632)</f>
        <v/>
      </c>
      <c r="X1631">
        <f t="shared" si="564"/>
        <v>0</v>
      </c>
      <c r="Y1631">
        <f t="shared" si="565"/>
        <v>12</v>
      </c>
      <c r="CP1631">
        <f>IF(包装物料出入库明细!$D1631="",0,1)</f>
        <v>0</v>
      </c>
      <c r="CQ1631">
        <f t="shared" si="566"/>
        <v>37</v>
      </c>
      <c r="CS1631" t="str">
        <f>IF(OR(周转筐出入库明细!$C1632="",周转筐出入库明细!$F1632&lt;&gt;"采购入库"),"",周转筐出入库明细!$C1632)</f>
        <v/>
      </c>
      <c r="CT1631">
        <f t="shared" si="567"/>
        <v>0</v>
      </c>
      <c r="CU1631">
        <f t="shared" si="568"/>
        <v>1</v>
      </c>
    </row>
    <row r="1632" spans="1:99">
      <c r="A1632" t="str">
        <f>IF(包装物料出入库明细!$E1632="","",包装物料出入库明细!$E1632)</f>
        <v/>
      </c>
      <c r="B1632">
        <f t="shared" si="558"/>
        <v>0</v>
      </c>
      <c r="C1632">
        <f t="shared" si="559"/>
        <v>7</v>
      </c>
      <c r="D1632" t="str">
        <f>IF(包装物料出入库明细!$E1632="","",包装物料出入库明细!$F1632)</f>
        <v/>
      </c>
      <c r="E1632" t="str">
        <f>IF(包装物料出入库明细!$E1632="","",包装物料出入库明细!$G1632)</f>
        <v/>
      </c>
      <c r="K1632" t="str">
        <f>IF(包装物料出入库明细!$D1632="","",包装物料出入库明细!$D1632)</f>
        <v/>
      </c>
      <c r="L1632">
        <f t="shared" si="560"/>
        <v>0</v>
      </c>
      <c r="M1632">
        <f t="shared" si="561"/>
        <v>9</v>
      </c>
      <c r="Q1632" t="str">
        <f>IF(周转筐出入库明细!$D1633="","",周转筐出入库明细!$D1633)</f>
        <v/>
      </c>
      <c r="R1632">
        <f t="shared" si="562"/>
        <v>0</v>
      </c>
      <c r="S1632">
        <f t="shared" si="563"/>
        <v>5</v>
      </c>
      <c r="W1632" t="str">
        <f>IF(周转筐出入库明细!$C1633="","",周转筐出入库明细!$C1633)</f>
        <v/>
      </c>
      <c r="X1632">
        <f t="shared" si="564"/>
        <v>0</v>
      </c>
      <c r="Y1632">
        <f t="shared" si="565"/>
        <v>12</v>
      </c>
      <c r="CP1632">
        <f>IF(包装物料出入库明细!$D1632="",0,1)</f>
        <v>0</v>
      </c>
      <c r="CQ1632">
        <f t="shared" si="566"/>
        <v>37</v>
      </c>
      <c r="CS1632" t="str">
        <f>IF(OR(周转筐出入库明细!$C1633="",周转筐出入库明细!$F1633&lt;&gt;"采购入库"),"",周转筐出入库明细!$C1633)</f>
        <v/>
      </c>
      <c r="CT1632">
        <f t="shared" si="567"/>
        <v>0</v>
      </c>
      <c r="CU1632">
        <f t="shared" si="568"/>
        <v>1</v>
      </c>
    </row>
    <row r="1633" spans="1:99">
      <c r="A1633" t="str">
        <f>IF(包装物料出入库明细!$E1633="","",包装物料出入库明细!$E1633)</f>
        <v/>
      </c>
      <c r="B1633">
        <f t="shared" si="558"/>
        <v>0</v>
      </c>
      <c r="C1633">
        <f t="shared" si="559"/>
        <v>7</v>
      </c>
      <c r="D1633" t="str">
        <f>IF(包装物料出入库明细!$E1633="","",包装物料出入库明细!$F1633)</f>
        <v/>
      </c>
      <c r="E1633" t="str">
        <f>IF(包装物料出入库明细!$E1633="","",包装物料出入库明细!$G1633)</f>
        <v/>
      </c>
      <c r="K1633" t="str">
        <f>IF(包装物料出入库明细!$D1633="","",包装物料出入库明细!$D1633)</f>
        <v/>
      </c>
      <c r="L1633">
        <f t="shared" si="560"/>
        <v>0</v>
      </c>
      <c r="M1633">
        <f t="shared" si="561"/>
        <v>9</v>
      </c>
      <c r="Q1633" t="str">
        <f>IF(周转筐出入库明细!$D1634="","",周转筐出入库明细!$D1634)</f>
        <v/>
      </c>
      <c r="R1633">
        <f t="shared" si="562"/>
        <v>0</v>
      </c>
      <c r="S1633">
        <f t="shared" si="563"/>
        <v>5</v>
      </c>
      <c r="W1633" t="str">
        <f>IF(周转筐出入库明细!$C1634="","",周转筐出入库明细!$C1634)</f>
        <v/>
      </c>
      <c r="X1633">
        <f t="shared" si="564"/>
        <v>0</v>
      </c>
      <c r="Y1633">
        <f t="shared" si="565"/>
        <v>12</v>
      </c>
      <c r="CP1633">
        <f>IF(包装物料出入库明细!$D1633="",0,1)</f>
        <v>0</v>
      </c>
      <c r="CQ1633">
        <f t="shared" si="566"/>
        <v>37</v>
      </c>
      <c r="CS1633" t="str">
        <f>IF(OR(周转筐出入库明细!$C1634="",周转筐出入库明细!$F1634&lt;&gt;"采购入库"),"",周转筐出入库明细!$C1634)</f>
        <v/>
      </c>
      <c r="CT1633">
        <f t="shared" si="567"/>
        <v>0</v>
      </c>
      <c r="CU1633">
        <f t="shared" si="568"/>
        <v>1</v>
      </c>
    </row>
    <row r="1634" spans="1:99">
      <c r="A1634" t="str">
        <f>IF(包装物料出入库明细!$E1634="","",包装物料出入库明细!$E1634)</f>
        <v/>
      </c>
      <c r="B1634">
        <f t="shared" si="558"/>
        <v>0</v>
      </c>
      <c r="C1634">
        <f t="shared" si="559"/>
        <v>7</v>
      </c>
      <c r="D1634" t="str">
        <f>IF(包装物料出入库明细!$E1634="","",包装物料出入库明细!$F1634)</f>
        <v/>
      </c>
      <c r="E1634" t="str">
        <f>IF(包装物料出入库明细!$E1634="","",包装物料出入库明细!$G1634)</f>
        <v/>
      </c>
      <c r="K1634" t="str">
        <f>IF(包装物料出入库明细!$D1634="","",包装物料出入库明细!$D1634)</f>
        <v/>
      </c>
      <c r="L1634">
        <f t="shared" si="560"/>
        <v>0</v>
      </c>
      <c r="M1634">
        <f t="shared" si="561"/>
        <v>9</v>
      </c>
      <c r="Q1634" t="str">
        <f>IF(周转筐出入库明细!$D1635="","",周转筐出入库明细!$D1635)</f>
        <v/>
      </c>
      <c r="R1634">
        <f t="shared" si="562"/>
        <v>0</v>
      </c>
      <c r="S1634">
        <f t="shared" si="563"/>
        <v>5</v>
      </c>
      <c r="W1634" t="str">
        <f>IF(周转筐出入库明细!$C1635="","",周转筐出入库明细!$C1635)</f>
        <v/>
      </c>
      <c r="X1634">
        <f t="shared" si="564"/>
        <v>0</v>
      </c>
      <c r="Y1634">
        <f t="shared" si="565"/>
        <v>12</v>
      </c>
      <c r="CP1634">
        <f>IF(包装物料出入库明细!$D1634="",0,1)</f>
        <v>0</v>
      </c>
      <c r="CQ1634">
        <f t="shared" si="566"/>
        <v>37</v>
      </c>
      <c r="CS1634" t="str">
        <f>IF(OR(周转筐出入库明细!$C1635="",周转筐出入库明细!$F1635&lt;&gt;"采购入库"),"",周转筐出入库明细!$C1635)</f>
        <v/>
      </c>
      <c r="CT1634">
        <f t="shared" si="567"/>
        <v>0</v>
      </c>
      <c r="CU1634">
        <f t="shared" si="568"/>
        <v>1</v>
      </c>
    </row>
    <row r="1635" spans="1:99">
      <c r="A1635" t="str">
        <f>IF(包装物料出入库明细!$E1635="","",包装物料出入库明细!$E1635)</f>
        <v/>
      </c>
      <c r="B1635">
        <f t="shared" si="558"/>
        <v>0</v>
      </c>
      <c r="C1635">
        <f t="shared" si="559"/>
        <v>7</v>
      </c>
      <c r="D1635" t="str">
        <f>IF(包装物料出入库明细!$E1635="","",包装物料出入库明细!$F1635)</f>
        <v/>
      </c>
      <c r="E1635" t="str">
        <f>IF(包装物料出入库明细!$E1635="","",包装物料出入库明细!$G1635)</f>
        <v/>
      </c>
      <c r="K1635" t="str">
        <f>IF(包装物料出入库明细!$D1635="","",包装物料出入库明细!$D1635)</f>
        <v/>
      </c>
      <c r="L1635">
        <f t="shared" si="560"/>
        <v>0</v>
      </c>
      <c r="M1635">
        <f t="shared" si="561"/>
        <v>9</v>
      </c>
      <c r="Q1635" t="str">
        <f>IF(周转筐出入库明细!$D1636="","",周转筐出入库明细!$D1636)</f>
        <v/>
      </c>
      <c r="R1635">
        <f t="shared" si="562"/>
        <v>0</v>
      </c>
      <c r="S1635">
        <f t="shared" si="563"/>
        <v>5</v>
      </c>
      <c r="W1635" t="str">
        <f>IF(周转筐出入库明细!$C1636="","",周转筐出入库明细!$C1636)</f>
        <v/>
      </c>
      <c r="X1635">
        <f t="shared" si="564"/>
        <v>0</v>
      </c>
      <c r="Y1635">
        <f t="shared" si="565"/>
        <v>12</v>
      </c>
      <c r="CP1635">
        <f>IF(包装物料出入库明细!$D1635="",0,1)</f>
        <v>0</v>
      </c>
      <c r="CQ1635">
        <f t="shared" si="566"/>
        <v>37</v>
      </c>
      <c r="CS1635" t="str">
        <f>IF(OR(周转筐出入库明细!$C1636="",周转筐出入库明细!$F1636&lt;&gt;"采购入库"),"",周转筐出入库明细!$C1636)</f>
        <v/>
      </c>
      <c r="CT1635">
        <f t="shared" si="567"/>
        <v>0</v>
      </c>
      <c r="CU1635">
        <f t="shared" si="568"/>
        <v>1</v>
      </c>
    </row>
    <row r="1636" spans="1:99">
      <c r="A1636" t="str">
        <f>IF(包装物料出入库明细!$E1636="","",包装物料出入库明细!$E1636)</f>
        <v/>
      </c>
      <c r="B1636">
        <f t="shared" si="558"/>
        <v>0</v>
      </c>
      <c r="C1636">
        <f t="shared" si="559"/>
        <v>7</v>
      </c>
      <c r="D1636" t="str">
        <f>IF(包装物料出入库明细!$E1636="","",包装物料出入库明细!$F1636)</f>
        <v/>
      </c>
      <c r="E1636" t="str">
        <f>IF(包装物料出入库明细!$E1636="","",包装物料出入库明细!$G1636)</f>
        <v/>
      </c>
      <c r="K1636" t="str">
        <f>IF(包装物料出入库明细!$D1636="","",包装物料出入库明细!$D1636)</f>
        <v/>
      </c>
      <c r="L1636">
        <f t="shared" si="560"/>
        <v>0</v>
      </c>
      <c r="M1636">
        <f t="shared" si="561"/>
        <v>9</v>
      </c>
      <c r="Q1636" t="str">
        <f>IF(周转筐出入库明细!$D1637="","",周转筐出入库明细!$D1637)</f>
        <v/>
      </c>
      <c r="R1636">
        <f t="shared" si="562"/>
        <v>0</v>
      </c>
      <c r="S1636">
        <f t="shared" si="563"/>
        <v>5</v>
      </c>
      <c r="W1636" t="str">
        <f>IF(周转筐出入库明细!$C1637="","",周转筐出入库明细!$C1637)</f>
        <v/>
      </c>
      <c r="X1636">
        <f t="shared" si="564"/>
        <v>0</v>
      </c>
      <c r="Y1636">
        <f t="shared" si="565"/>
        <v>12</v>
      </c>
      <c r="CP1636">
        <f>IF(包装物料出入库明细!$D1636="",0,1)</f>
        <v>0</v>
      </c>
      <c r="CQ1636">
        <f t="shared" si="566"/>
        <v>37</v>
      </c>
      <c r="CS1636" t="str">
        <f>IF(OR(周转筐出入库明细!$C1637="",周转筐出入库明细!$F1637&lt;&gt;"采购入库"),"",周转筐出入库明细!$C1637)</f>
        <v/>
      </c>
      <c r="CT1636">
        <f t="shared" si="567"/>
        <v>0</v>
      </c>
      <c r="CU1636">
        <f t="shared" si="568"/>
        <v>1</v>
      </c>
    </row>
    <row r="1637" spans="1:99">
      <c r="A1637" t="str">
        <f>IF(包装物料出入库明细!$E1637="","",包装物料出入库明细!$E1637)</f>
        <v/>
      </c>
      <c r="B1637">
        <f t="shared" si="558"/>
        <v>0</v>
      </c>
      <c r="C1637">
        <f t="shared" si="559"/>
        <v>7</v>
      </c>
      <c r="D1637" t="str">
        <f>IF(包装物料出入库明细!$E1637="","",包装物料出入库明细!$F1637)</f>
        <v/>
      </c>
      <c r="E1637" t="str">
        <f>IF(包装物料出入库明细!$E1637="","",包装物料出入库明细!$G1637)</f>
        <v/>
      </c>
      <c r="K1637" t="str">
        <f>IF(包装物料出入库明细!$D1637="","",包装物料出入库明细!$D1637)</f>
        <v/>
      </c>
      <c r="L1637">
        <f t="shared" si="560"/>
        <v>0</v>
      </c>
      <c r="M1637">
        <f t="shared" si="561"/>
        <v>9</v>
      </c>
      <c r="Q1637" t="str">
        <f>IF(周转筐出入库明细!$D1638="","",周转筐出入库明细!$D1638)</f>
        <v/>
      </c>
      <c r="R1637">
        <f t="shared" si="562"/>
        <v>0</v>
      </c>
      <c r="S1637">
        <f t="shared" si="563"/>
        <v>5</v>
      </c>
      <c r="W1637" t="str">
        <f>IF(周转筐出入库明细!$C1638="","",周转筐出入库明细!$C1638)</f>
        <v/>
      </c>
      <c r="X1637">
        <f t="shared" si="564"/>
        <v>0</v>
      </c>
      <c r="Y1637">
        <f t="shared" si="565"/>
        <v>12</v>
      </c>
      <c r="CP1637">
        <f>IF(包装物料出入库明细!$D1637="",0,1)</f>
        <v>0</v>
      </c>
      <c r="CQ1637">
        <f t="shared" si="566"/>
        <v>37</v>
      </c>
      <c r="CS1637" t="str">
        <f>IF(OR(周转筐出入库明细!$C1638="",周转筐出入库明细!$F1638&lt;&gt;"采购入库"),"",周转筐出入库明细!$C1638)</f>
        <v/>
      </c>
      <c r="CT1637">
        <f t="shared" si="567"/>
        <v>0</v>
      </c>
      <c r="CU1637">
        <f t="shared" si="568"/>
        <v>1</v>
      </c>
    </row>
    <row r="1638" spans="1:99">
      <c r="A1638" t="str">
        <f>IF(包装物料出入库明细!$E1638="","",包装物料出入库明细!$E1638)</f>
        <v/>
      </c>
      <c r="B1638">
        <f t="shared" si="558"/>
        <v>0</v>
      </c>
      <c r="C1638">
        <f t="shared" si="559"/>
        <v>7</v>
      </c>
      <c r="D1638" t="str">
        <f>IF(包装物料出入库明细!$E1638="","",包装物料出入库明细!$F1638)</f>
        <v/>
      </c>
      <c r="E1638" t="str">
        <f>IF(包装物料出入库明细!$E1638="","",包装物料出入库明细!$G1638)</f>
        <v/>
      </c>
      <c r="K1638" t="str">
        <f>IF(包装物料出入库明细!$D1638="","",包装物料出入库明细!$D1638)</f>
        <v/>
      </c>
      <c r="L1638">
        <f t="shared" si="560"/>
        <v>0</v>
      </c>
      <c r="M1638">
        <f t="shared" si="561"/>
        <v>9</v>
      </c>
      <c r="Q1638" t="str">
        <f>IF(周转筐出入库明细!$D1639="","",周转筐出入库明细!$D1639)</f>
        <v/>
      </c>
      <c r="R1638">
        <f t="shared" si="562"/>
        <v>0</v>
      </c>
      <c r="S1638">
        <f t="shared" si="563"/>
        <v>5</v>
      </c>
      <c r="W1638" t="str">
        <f>IF(周转筐出入库明细!$C1639="","",周转筐出入库明细!$C1639)</f>
        <v/>
      </c>
      <c r="X1638">
        <f t="shared" si="564"/>
        <v>0</v>
      </c>
      <c r="Y1638">
        <f t="shared" si="565"/>
        <v>12</v>
      </c>
      <c r="CP1638">
        <f>IF(包装物料出入库明细!$D1638="",0,1)</f>
        <v>0</v>
      </c>
      <c r="CQ1638">
        <f t="shared" si="566"/>
        <v>37</v>
      </c>
      <c r="CS1638" t="str">
        <f>IF(OR(周转筐出入库明细!$C1639="",周转筐出入库明细!$F1639&lt;&gt;"采购入库"),"",周转筐出入库明细!$C1639)</f>
        <v/>
      </c>
      <c r="CT1638">
        <f t="shared" si="567"/>
        <v>0</v>
      </c>
      <c r="CU1638">
        <f t="shared" si="568"/>
        <v>1</v>
      </c>
    </row>
    <row r="1639" spans="1:99">
      <c r="A1639" t="str">
        <f>IF(包装物料出入库明细!$E1639="","",包装物料出入库明细!$E1639)</f>
        <v/>
      </c>
      <c r="B1639">
        <f t="shared" si="558"/>
        <v>0</v>
      </c>
      <c r="C1639">
        <f t="shared" si="559"/>
        <v>7</v>
      </c>
      <c r="D1639" t="str">
        <f>IF(包装物料出入库明细!$E1639="","",包装物料出入库明细!$F1639)</f>
        <v/>
      </c>
      <c r="E1639" t="str">
        <f>IF(包装物料出入库明细!$E1639="","",包装物料出入库明细!$G1639)</f>
        <v/>
      </c>
      <c r="K1639" t="str">
        <f>IF(包装物料出入库明细!$D1639="","",包装物料出入库明细!$D1639)</f>
        <v/>
      </c>
      <c r="L1639">
        <f t="shared" si="560"/>
        <v>0</v>
      </c>
      <c r="M1639">
        <f t="shared" si="561"/>
        <v>9</v>
      </c>
      <c r="Q1639" t="str">
        <f>IF(周转筐出入库明细!$D1640="","",周转筐出入库明细!$D1640)</f>
        <v/>
      </c>
      <c r="R1639">
        <f t="shared" si="562"/>
        <v>0</v>
      </c>
      <c r="S1639">
        <f t="shared" si="563"/>
        <v>5</v>
      </c>
      <c r="W1639" t="str">
        <f>IF(周转筐出入库明细!$C1640="","",周转筐出入库明细!$C1640)</f>
        <v/>
      </c>
      <c r="X1639">
        <f t="shared" si="564"/>
        <v>0</v>
      </c>
      <c r="Y1639">
        <f t="shared" si="565"/>
        <v>12</v>
      </c>
      <c r="CP1639">
        <f>IF(包装物料出入库明细!$D1639="",0,1)</f>
        <v>0</v>
      </c>
      <c r="CQ1639">
        <f t="shared" si="566"/>
        <v>37</v>
      </c>
      <c r="CS1639" t="str">
        <f>IF(OR(周转筐出入库明细!$C1640="",周转筐出入库明细!$F1640&lt;&gt;"采购入库"),"",周转筐出入库明细!$C1640)</f>
        <v/>
      </c>
      <c r="CT1639">
        <f t="shared" si="567"/>
        <v>0</v>
      </c>
      <c r="CU1639">
        <f t="shared" si="568"/>
        <v>1</v>
      </c>
    </row>
    <row r="1640" spans="1:99">
      <c r="A1640" t="str">
        <f>IF(包装物料出入库明细!$E1640="","",包装物料出入库明细!$E1640)</f>
        <v/>
      </c>
      <c r="B1640">
        <f t="shared" si="558"/>
        <v>0</v>
      </c>
      <c r="C1640">
        <f t="shared" si="559"/>
        <v>7</v>
      </c>
      <c r="D1640" t="str">
        <f>IF(包装物料出入库明细!$E1640="","",包装物料出入库明细!$F1640)</f>
        <v/>
      </c>
      <c r="E1640" t="str">
        <f>IF(包装物料出入库明细!$E1640="","",包装物料出入库明细!$G1640)</f>
        <v/>
      </c>
      <c r="K1640" t="str">
        <f>IF(包装物料出入库明细!$D1640="","",包装物料出入库明细!$D1640)</f>
        <v/>
      </c>
      <c r="L1640">
        <f t="shared" si="560"/>
        <v>0</v>
      </c>
      <c r="M1640">
        <f t="shared" si="561"/>
        <v>9</v>
      </c>
      <c r="Q1640" t="str">
        <f>IF(周转筐出入库明细!$D1641="","",周转筐出入库明细!$D1641)</f>
        <v/>
      </c>
      <c r="R1640">
        <f t="shared" si="562"/>
        <v>0</v>
      </c>
      <c r="S1640">
        <f t="shared" si="563"/>
        <v>5</v>
      </c>
      <c r="W1640" t="str">
        <f>IF(周转筐出入库明细!$C1641="","",周转筐出入库明细!$C1641)</f>
        <v/>
      </c>
      <c r="X1640">
        <f t="shared" si="564"/>
        <v>0</v>
      </c>
      <c r="Y1640">
        <f t="shared" si="565"/>
        <v>12</v>
      </c>
      <c r="CP1640">
        <f>IF(包装物料出入库明细!$D1640="",0,1)</f>
        <v>0</v>
      </c>
      <c r="CQ1640">
        <f t="shared" si="566"/>
        <v>37</v>
      </c>
      <c r="CS1640" t="str">
        <f>IF(OR(周转筐出入库明细!$C1641="",周转筐出入库明细!$F1641&lt;&gt;"采购入库"),"",周转筐出入库明细!$C1641)</f>
        <v/>
      </c>
      <c r="CT1640">
        <f t="shared" si="567"/>
        <v>0</v>
      </c>
      <c r="CU1640">
        <f t="shared" si="568"/>
        <v>1</v>
      </c>
    </row>
    <row r="1641" spans="1:99">
      <c r="A1641" t="str">
        <f>IF(包装物料出入库明细!$E1641="","",包装物料出入库明细!$E1641)</f>
        <v/>
      </c>
      <c r="B1641">
        <f t="shared" si="558"/>
        <v>0</v>
      </c>
      <c r="C1641">
        <f t="shared" si="559"/>
        <v>7</v>
      </c>
      <c r="D1641" t="str">
        <f>IF(包装物料出入库明细!$E1641="","",包装物料出入库明细!$F1641)</f>
        <v/>
      </c>
      <c r="E1641" t="str">
        <f>IF(包装物料出入库明细!$E1641="","",包装物料出入库明细!$G1641)</f>
        <v/>
      </c>
      <c r="K1641" t="str">
        <f>IF(包装物料出入库明细!$D1641="","",包装物料出入库明细!$D1641)</f>
        <v/>
      </c>
      <c r="L1641">
        <f t="shared" si="560"/>
        <v>0</v>
      </c>
      <c r="M1641">
        <f t="shared" si="561"/>
        <v>9</v>
      </c>
      <c r="Q1641" t="str">
        <f>IF(周转筐出入库明细!$D1642="","",周转筐出入库明细!$D1642)</f>
        <v/>
      </c>
      <c r="R1641">
        <f t="shared" si="562"/>
        <v>0</v>
      </c>
      <c r="S1641">
        <f t="shared" si="563"/>
        <v>5</v>
      </c>
      <c r="W1641" t="str">
        <f>IF(周转筐出入库明细!$C1642="","",周转筐出入库明细!$C1642)</f>
        <v/>
      </c>
      <c r="X1641">
        <f t="shared" si="564"/>
        <v>0</v>
      </c>
      <c r="Y1641">
        <f t="shared" si="565"/>
        <v>12</v>
      </c>
      <c r="CP1641">
        <f>IF(包装物料出入库明细!$D1641="",0,1)</f>
        <v>0</v>
      </c>
      <c r="CQ1641">
        <f t="shared" si="566"/>
        <v>37</v>
      </c>
      <c r="CS1641" t="str">
        <f>IF(OR(周转筐出入库明细!$C1642="",周转筐出入库明细!$F1642&lt;&gt;"采购入库"),"",周转筐出入库明细!$C1642)</f>
        <v/>
      </c>
      <c r="CT1641">
        <f t="shared" si="567"/>
        <v>0</v>
      </c>
      <c r="CU1641">
        <f t="shared" si="568"/>
        <v>1</v>
      </c>
    </row>
    <row r="1642" spans="1:99">
      <c r="A1642" t="str">
        <f>IF(包装物料出入库明细!$E1642="","",包装物料出入库明细!$E1642)</f>
        <v/>
      </c>
      <c r="B1642">
        <f t="shared" si="558"/>
        <v>0</v>
      </c>
      <c r="C1642">
        <f t="shared" si="559"/>
        <v>7</v>
      </c>
      <c r="D1642" t="str">
        <f>IF(包装物料出入库明细!$E1642="","",包装物料出入库明细!$F1642)</f>
        <v/>
      </c>
      <c r="E1642" t="str">
        <f>IF(包装物料出入库明细!$E1642="","",包装物料出入库明细!$G1642)</f>
        <v/>
      </c>
      <c r="K1642" t="str">
        <f>IF(包装物料出入库明细!$D1642="","",包装物料出入库明细!$D1642)</f>
        <v/>
      </c>
      <c r="L1642">
        <f t="shared" si="560"/>
        <v>0</v>
      </c>
      <c r="M1642">
        <f t="shared" si="561"/>
        <v>9</v>
      </c>
      <c r="Q1642" t="str">
        <f>IF(周转筐出入库明细!$D1643="","",周转筐出入库明细!$D1643)</f>
        <v/>
      </c>
      <c r="R1642">
        <f t="shared" si="562"/>
        <v>0</v>
      </c>
      <c r="S1642">
        <f t="shared" si="563"/>
        <v>5</v>
      </c>
      <c r="W1642" t="str">
        <f>IF(周转筐出入库明细!$C1643="","",周转筐出入库明细!$C1643)</f>
        <v/>
      </c>
      <c r="X1642">
        <f t="shared" si="564"/>
        <v>0</v>
      </c>
      <c r="Y1642">
        <f t="shared" si="565"/>
        <v>12</v>
      </c>
      <c r="CP1642">
        <f>IF(包装物料出入库明细!$D1642="",0,1)</f>
        <v>0</v>
      </c>
      <c r="CQ1642">
        <f t="shared" si="566"/>
        <v>37</v>
      </c>
      <c r="CS1642" t="str">
        <f>IF(OR(周转筐出入库明细!$C1643="",周转筐出入库明细!$F1643&lt;&gt;"采购入库"),"",周转筐出入库明细!$C1643)</f>
        <v/>
      </c>
      <c r="CT1642">
        <f t="shared" si="567"/>
        <v>0</v>
      </c>
      <c r="CU1642">
        <f t="shared" si="568"/>
        <v>1</v>
      </c>
    </row>
    <row r="1643" spans="1:99">
      <c r="A1643" t="str">
        <f>IF(包装物料出入库明细!$E1643="","",包装物料出入库明细!$E1643)</f>
        <v/>
      </c>
      <c r="B1643">
        <f t="shared" si="558"/>
        <v>0</v>
      </c>
      <c r="C1643">
        <f t="shared" si="559"/>
        <v>7</v>
      </c>
      <c r="D1643" t="str">
        <f>IF(包装物料出入库明细!$E1643="","",包装物料出入库明细!$F1643)</f>
        <v/>
      </c>
      <c r="E1643" t="str">
        <f>IF(包装物料出入库明细!$E1643="","",包装物料出入库明细!$G1643)</f>
        <v/>
      </c>
      <c r="K1643" t="str">
        <f>IF(包装物料出入库明细!$D1643="","",包装物料出入库明细!$D1643)</f>
        <v/>
      </c>
      <c r="L1643">
        <f t="shared" si="560"/>
        <v>0</v>
      </c>
      <c r="M1643">
        <f t="shared" si="561"/>
        <v>9</v>
      </c>
      <c r="Q1643" t="str">
        <f>IF(周转筐出入库明细!$D1644="","",周转筐出入库明细!$D1644)</f>
        <v/>
      </c>
      <c r="R1643">
        <f t="shared" si="562"/>
        <v>0</v>
      </c>
      <c r="S1643">
        <f t="shared" si="563"/>
        <v>5</v>
      </c>
      <c r="W1643" t="str">
        <f>IF(周转筐出入库明细!$C1644="","",周转筐出入库明细!$C1644)</f>
        <v/>
      </c>
      <c r="X1643">
        <f t="shared" si="564"/>
        <v>0</v>
      </c>
      <c r="Y1643">
        <f t="shared" si="565"/>
        <v>12</v>
      </c>
      <c r="CP1643">
        <f>IF(包装物料出入库明细!$D1643="",0,1)</f>
        <v>0</v>
      </c>
      <c r="CQ1643">
        <f t="shared" si="566"/>
        <v>37</v>
      </c>
      <c r="CS1643" t="str">
        <f>IF(OR(周转筐出入库明细!$C1644="",周转筐出入库明细!$F1644&lt;&gt;"采购入库"),"",周转筐出入库明细!$C1644)</f>
        <v/>
      </c>
      <c r="CT1643">
        <f t="shared" si="567"/>
        <v>0</v>
      </c>
      <c r="CU1643">
        <f t="shared" si="568"/>
        <v>1</v>
      </c>
    </row>
    <row r="1644" spans="1:99">
      <c r="A1644" t="str">
        <f>IF(包装物料出入库明细!$E1644="","",包装物料出入库明细!$E1644)</f>
        <v/>
      </c>
      <c r="B1644">
        <f t="shared" si="558"/>
        <v>0</v>
      </c>
      <c r="C1644">
        <f t="shared" si="559"/>
        <v>7</v>
      </c>
      <c r="D1644" t="str">
        <f>IF(包装物料出入库明细!$E1644="","",包装物料出入库明细!$F1644)</f>
        <v/>
      </c>
      <c r="E1644" t="str">
        <f>IF(包装物料出入库明细!$E1644="","",包装物料出入库明细!$G1644)</f>
        <v/>
      </c>
      <c r="K1644" t="str">
        <f>IF(包装物料出入库明细!$D1644="","",包装物料出入库明细!$D1644)</f>
        <v/>
      </c>
      <c r="L1644">
        <f t="shared" si="560"/>
        <v>0</v>
      </c>
      <c r="M1644">
        <f t="shared" si="561"/>
        <v>9</v>
      </c>
      <c r="Q1644" t="str">
        <f>IF(周转筐出入库明细!$D1645="","",周转筐出入库明细!$D1645)</f>
        <v/>
      </c>
      <c r="R1644">
        <f t="shared" si="562"/>
        <v>0</v>
      </c>
      <c r="S1644">
        <f t="shared" si="563"/>
        <v>5</v>
      </c>
      <c r="W1644" t="str">
        <f>IF(周转筐出入库明细!$C1645="","",周转筐出入库明细!$C1645)</f>
        <v/>
      </c>
      <c r="X1644">
        <f t="shared" si="564"/>
        <v>0</v>
      </c>
      <c r="Y1644">
        <f t="shared" si="565"/>
        <v>12</v>
      </c>
      <c r="CP1644">
        <f>IF(包装物料出入库明细!$D1644="",0,1)</f>
        <v>0</v>
      </c>
      <c r="CQ1644">
        <f t="shared" si="566"/>
        <v>37</v>
      </c>
      <c r="CS1644" t="str">
        <f>IF(OR(周转筐出入库明细!$C1645="",周转筐出入库明细!$F1645&lt;&gt;"采购入库"),"",周转筐出入库明细!$C1645)</f>
        <v/>
      </c>
      <c r="CT1644">
        <f t="shared" si="567"/>
        <v>0</v>
      </c>
      <c r="CU1644">
        <f t="shared" si="568"/>
        <v>1</v>
      </c>
    </row>
    <row r="1645" spans="1:99">
      <c r="A1645" t="str">
        <f>IF(包装物料出入库明细!$E1645="","",包装物料出入库明细!$E1645)</f>
        <v/>
      </c>
      <c r="B1645">
        <f t="shared" si="558"/>
        <v>0</v>
      </c>
      <c r="C1645">
        <f t="shared" si="559"/>
        <v>7</v>
      </c>
      <c r="D1645" t="str">
        <f>IF(包装物料出入库明细!$E1645="","",包装物料出入库明细!$F1645)</f>
        <v/>
      </c>
      <c r="E1645" t="str">
        <f>IF(包装物料出入库明细!$E1645="","",包装物料出入库明细!$G1645)</f>
        <v/>
      </c>
      <c r="K1645" t="str">
        <f>IF(包装物料出入库明细!$D1645="","",包装物料出入库明细!$D1645)</f>
        <v/>
      </c>
      <c r="L1645">
        <f t="shared" si="560"/>
        <v>0</v>
      </c>
      <c r="M1645">
        <f t="shared" si="561"/>
        <v>9</v>
      </c>
      <c r="Q1645" t="str">
        <f>IF(周转筐出入库明细!$D1646="","",周转筐出入库明细!$D1646)</f>
        <v/>
      </c>
      <c r="R1645">
        <f t="shared" si="562"/>
        <v>0</v>
      </c>
      <c r="S1645">
        <f t="shared" si="563"/>
        <v>5</v>
      </c>
      <c r="W1645" t="str">
        <f>IF(周转筐出入库明细!$C1646="","",周转筐出入库明细!$C1646)</f>
        <v/>
      </c>
      <c r="X1645">
        <f t="shared" si="564"/>
        <v>0</v>
      </c>
      <c r="Y1645">
        <f t="shared" si="565"/>
        <v>12</v>
      </c>
      <c r="CP1645">
        <f>IF(包装物料出入库明细!$D1645="",0,1)</f>
        <v>0</v>
      </c>
      <c r="CQ1645">
        <f t="shared" si="566"/>
        <v>37</v>
      </c>
      <c r="CS1645" t="str">
        <f>IF(OR(周转筐出入库明细!$C1646="",周转筐出入库明细!$F1646&lt;&gt;"采购入库"),"",周转筐出入库明细!$C1646)</f>
        <v/>
      </c>
      <c r="CT1645">
        <f t="shared" si="567"/>
        <v>0</v>
      </c>
      <c r="CU1645">
        <f t="shared" si="568"/>
        <v>1</v>
      </c>
    </row>
    <row r="1646" spans="1:99">
      <c r="A1646" t="str">
        <f>IF(包装物料出入库明细!$E1646="","",包装物料出入库明细!$E1646)</f>
        <v/>
      </c>
      <c r="B1646">
        <f t="shared" si="558"/>
        <v>0</v>
      </c>
      <c r="C1646">
        <f t="shared" si="559"/>
        <v>7</v>
      </c>
      <c r="D1646" t="str">
        <f>IF(包装物料出入库明细!$E1646="","",包装物料出入库明细!$F1646)</f>
        <v/>
      </c>
      <c r="E1646" t="str">
        <f>IF(包装物料出入库明细!$E1646="","",包装物料出入库明细!$G1646)</f>
        <v/>
      </c>
      <c r="K1646" t="str">
        <f>IF(包装物料出入库明细!$D1646="","",包装物料出入库明细!$D1646)</f>
        <v/>
      </c>
      <c r="L1646">
        <f t="shared" si="560"/>
        <v>0</v>
      </c>
      <c r="M1646">
        <f t="shared" si="561"/>
        <v>9</v>
      </c>
      <c r="Q1646" t="str">
        <f>IF(周转筐出入库明细!$D1647="","",周转筐出入库明细!$D1647)</f>
        <v/>
      </c>
      <c r="R1646">
        <f t="shared" si="562"/>
        <v>0</v>
      </c>
      <c r="S1646">
        <f t="shared" si="563"/>
        <v>5</v>
      </c>
      <c r="W1646" t="str">
        <f>IF(周转筐出入库明细!$C1647="","",周转筐出入库明细!$C1647)</f>
        <v/>
      </c>
      <c r="X1646">
        <f t="shared" si="564"/>
        <v>0</v>
      </c>
      <c r="Y1646">
        <f t="shared" si="565"/>
        <v>12</v>
      </c>
      <c r="CP1646">
        <f>IF(包装物料出入库明细!$D1646="",0,1)</f>
        <v>0</v>
      </c>
      <c r="CQ1646">
        <f t="shared" si="566"/>
        <v>37</v>
      </c>
      <c r="CS1646" t="str">
        <f>IF(OR(周转筐出入库明细!$C1647="",周转筐出入库明细!$F1647&lt;&gt;"采购入库"),"",周转筐出入库明细!$C1647)</f>
        <v/>
      </c>
      <c r="CT1646">
        <f t="shared" si="567"/>
        <v>0</v>
      </c>
      <c r="CU1646">
        <f t="shared" si="568"/>
        <v>1</v>
      </c>
    </row>
    <row r="1647" spans="1:99">
      <c r="A1647" t="str">
        <f>IF(包装物料出入库明细!$E1647="","",包装物料出入库明细!$E1647)</f>
        <v/>
      </c>
      <c r="B1647">
        <f t="shared" si="558"/>
        <v>0</v>
      </c>
      <c r="C1647">
        <f t="shared" si="559"/>
        <v>7</v>
      </c>
      <c r="D1647" t="str">
        <f>IF(包装物料出入库明细!$E1647="","",包装物料出入库明细!$F1647)</f>
        <v/>
      </c>
      <c r="E1647" t="str">
        <f>IF(包装物料出入库明细!$E1647="","",包装物料出入库明细!$G1647)</f>
        <v/>
      </c>
      <c r="K1647" t="str">
        <f>IF(包装物料出入库明细!$D1647="","",包装物料出入库明细!$D1647)</f>
        <v/>
      </c>
      <c r="L1647">
        <f t="shared" si="560"/>
        <v>0</v>
      </c>
      <c r="M1647">
        <f t="shared" si="561"/>
        <v>9</v>
      </c>
      <c r="Q1647" t="str">
        <f>IF(周转筐出入库明细!$D1648="","",周转筐出入库明细!$D1648)</f>
        <v/>
      </c>
      <c r="R1647">
        <f t="shared" si="562"/>
        <v>0</v>
      </c>
      <c r="S1647">
        <f t="shared" si="563"/>
        <v>5</v>
      </c>
      <c r="W1647" t="str">
        <f>IF(周转筐出入库明细!$C1648="","",周转筐出入库明细!$C1648)</f>
        <v/>
      </c>
      <c r="X1647">
        <f t="shared" si="564"/>
        <v>0</v>
      </c>
      <c r="Y1647">
        <f t="shared" si="565"/>
        <v>12</v>
      </c>
      <c r="CP1647">
        <f>IF(包装物料出入库明细!$D1647="",0,1)</f>
        <v>0</v>
      </c>
      <c r="CQ1647">
        <f t="shared" si="566"/>
        <v>37</v>
      </c>
      <c r="CS1647" t="str">
        <f>IF(OR(周转筐出入库明细!$C1648="",周转筐出入库明细!$F1648&lt;&gt;"采购入库"),"",周转筐出入库明细!$C1648)</f>
        <v/>
      </c>
      <c r="CT1647">
        <f t="shared" si="567"/>
        <v>0</v>
      </c>
      <c r="CU1647">
        <f t="shared" si="568"/>
        <v>1</v>
      </c>
    </row>
    <row r="1648" spans="1:99">
      <c r="A1648" t="str">
        <f>IF(包装物料出入库明细!$E1648="","",包装物料出入库明细!$E1648)</f>
        <v/>
      </c>
      <c r="B1648">
        <f t="shared" si="558"/>
        <v>0</v>
      </c>
      <c r="C1648">
        <f t="shared" si="559"/>
        <v>7</v>
      </c>
      <c r="D1648" t="str">
        <f>IF(包装物料出入库明细!$E1648="","",包装物料出入库明细!$F1648)</f>
        <v/>
      </c>
      <c r="E1648" t="str">
        <f>IF(包装物料出入库明细!$E1648="","",包装物料出入库明细!$G1648)</f>
        <v/>
      </c>
      <c r="K1648" t="str">
        <f>IF(包装物料出入库明细!$D1648="","",包装物料出入库明细!$D1648)</f>
        <v/>
      </c>
      <c r="L1648">
        <f t="shared" si="560"/>
        <v>0</v>
      </c>
      <c r="M1648">
        <f t="shared" si="561"/>
        <v>9</v>
      </c>
      <c r="Q1648" t="str">
        <f>IF(周转筐出入库明细!$D1649="","",周转筐出入库明细!$D1649)</f>
        <v/>
      </c>
      <c r="R1648">
        <f t="shared" si="562"/>
        <v>0</v>
      </c>
      <c r="S1648">
        <f t="shared" si="563"/>
        <v>5</v>
      </c>
      <c r="W1648" t="str">
        <f>IF(周转筐出入库明细!$C1649="","",周转筐出入库明细!$C1649)</f>
        <v/>
      </c>
      <c r="X1648">
        <f t="shared" si="564"/>
        <v>0</v>
      </c>
      <c r="Y1648">
        <f t="shared" si="565"/>
        <v>12</v>
      </c>
      <c r="CP1648">
        <f>IF(包装物料出入库明细!$D1648="",0,1)</f>
        <v>0</v>
      </c>
      <c r="CQ1648">
        <f t="shared" si="566"/>
        <v>37</v>
      </c>
      <c r="CS1648" t="str">
        <f>IF(OR(周转筐出入库明细!$C1649="",周转筐出入库明细!$F1649&lt;&gt;"采购入库"),"",周转筐出入库明细!$C1649)</f>
        <v/>
      </c>
      <c r="CT1648">
        <f t="shared" si="567"/>
        <v>0</v>
      </c>
      <c r="CU1648">
        <f t="shared" si="568"/>
        <v>1</v>
      </c>
    </row>
    <row r="1649" spans="1:99">
      <c r="A1649" t="str">
        <f>IF(包装物料出入库明细!$E1649="","",包装物料出入库明细!$E1649)</f>
        <v/>
      </c>
      <c r="B1649">
        <f t="shared" si="558"/>
        <v>0</v>
      </c>
      <c r="C1649">
        <f t="shared" si="559"/>
        <v>7</v>
      </c>
      <c r="D1649" t="str">
        <f>IF(包装物料出入库明细!$E1649="","",包装物料出入库明细!$F1649)</f>
        <v/>
      </c>
      <c r="E1649" t="str">
        <f>IF(包装物料出入库明细!$E1649="","",包装物料出入库明细!$G1649)</f>
        <v/>
      </c>
      <c r="K1649" t="str">
        <f>IF(包装物料出入库明细!$D1649="","",包装物料出入库明细!$D1649)</f>
        <v/>
      </c>
      <c r="L1649">
        <f t="shared" si="560"/>
        <v>0</v>
      </c>
      <c r="M1649">
        <f t="shared" si="561"/>
        <v>9</v>
      </c>
      <c r="Q1649" t="str">
        <f>IF(周转筐出入库明细!$D1650="","",周转筐出入库明细!$D1650)</f>
        <v/>
      </c>
      <c r="R1649">
        <f t="shared" si="562"/>
        <v>0</v>
      </c>
      <c r="S1649">
        <f t="shared" si="563"/>
        <v>5</v>
      </c>
      <c r="W1649" t="str">
        <f>IF(周转筐出入库明细!$C1650="","",周转筐出入库明细!$C1650)</f>
        <v/>
      </c>
      <c r="X1649">
        <f t="shared" si="564"/>
        <v>0</v>
      </c>
      <c r="Y1649">
        <f t="shared" si="565"/>
        <v>12</v>
      </c>
      <c r="CP1649">
        <f>IF(包装物料出入库明细!$D1649="",0,1)</f>
        <v>0</v>
      </c>
      <c r="CQ1649">
        <f t="shared" si="566"/>
        <v>37</v>
      </c>
      <c r="CS1649" t="str">
        <f>IF(OR(周转筐出入库明细!$C1650="",周转筐出入库明细!$F1650&lt;&gt;"采购入库"),"",周转筐出入库明细!$C1650)</f>
        <v/>
      </c>
      <c r="CT1649">
        <f t="shared" si="567"/>
        <v>0</v>
      </c>
      <c r="CU1649">
        <f t="shared" si="568"/>
        <v>1</v>
      </c>
    </row>
    <row r="1650" spans="1:99">
      <c r="A1650" t="str">
        <f>IF(包装物料出入库明细!$E1650="","",包装物料出入库明细!$E1650)</f>
        <v/>
      </c>
      <c r="B1650">
        <f t="shared" si="558"/>
        <v>0</v>
      </c>
      <c r="C1650">
        <f t="shared" si="559"/>
        <v>7</v>
      </c>
      <c r="D1650" t="str">
        <f>IF(包装物料出入库明细!$E1650="","",包装物料出入库明细!$F1650)</f>
        <v/>
      </c>
      <c r="E1650" t="str">
        <f>IF(包装物料出入库明细!$E1650="","",包装物料出入库明细!$G1650)</f>
        <v/>
      </c>
      <c r="K1650" t="str">
        <f>IF(包装物料出入库明细!$D1650="","",包装物料出入库明细!$D1650)</f>
        <v/>
      </c>
      <c r="L1650">
        <f t="shared" si="560"/>
        <v>0</v>
      </c>
      <c r="M1650">
        <f t="shared" si="561"/>
        <v>9</v>
      </c>
      <c r="Q1650" t="str">
        <f>IF(周转筐出入库明细!$D1651="","",周转筐出入库明细!$D1651)</f>
        <v/>
      </c>
      <c r="R1650">
        <f t="shared" si="562"/>
        <v>0</v>
      </c>
      <c r="S1650">
        <f t="shared" si="563"/>
        <v>5</v>
      </c>
      <c r="W1650" t="str">
        <f>IF(周转筐出入库明细!$C1651="","",周转筐出入库明细!$C1651)</f>
        <v/>
      </c>
      <c r="X1650">
        <f t="shared" si="564"/>
        <v>0</v>
      </c>
      <c r="Y1650">
        <f t="shared" si="565"/>
        <v>12</v>
      </c>
      <c r="CP1650">
        <f>IF(包装物料出入库明细!$D1650="",0,1)</f>
        <v>0</v>
      </c>
      <c r="CQ1650">
        <f t="shared" si="566"/>
        <v>37</v>
      </c>
      <c r="CS1650" t="str">
        <f>IF(OR(周转筐出入库明细!$C1651="",周转筐出入库明细!$F1651&lt;&gt;"采购入库"),"",周转筐出入库明细!$C1651)</f>
        <v/>
      </c>
      <c r="CT1650">
        <f t="shared" si="567"/>
        <v>0</v>
      </c>
      <c r="CU1650">
        <f t="shared" si="568"/>
        <v>1</v>
      </c>
    </row>
    <row r="1651" spans="1:99">
      <c r="A1651" t="str">
        <f>IF(包装物料出入库明细!$E1651="","",包装物料出入库明细!$E1651)</f>
        <v/>
      </c>
      <c r="B1651">
        <f t="shared" si="558"/>
        <v>0</v>
      </c>
      <c r="C1651">
        <f t="shared" si="559"/>
        <v>7</v>
      </c>
      <c r="D1651" t="str">
        <f>IF(包装物料出入库明细!$E1651="","",包装物料出入库明细!$F1651)</f>
        <v/>
      </c>
      <c r="E1651" t="str">
        <f>IF(包装物料出入库明细!$E1651="","",包装物料出入库明细!$G1651)</f>
        <v/>
      </c>
      <c r="K1651" t="str">
        <f>IF(包装物料出入库明细!$D1651="","",包装物料出入库明细!$D1651)</f>
        <v/>
      </c>
      <c r="L1651">
        <f t="shared" si="560"/>
        <v>0</v>
      </c>
      <c r="M1651">
        <f t="shared" si="561"/>
        <v>9</v>
      </c>
      <c r="Q1651" t="str">
        <f>IF(周转筐出入库明细!$D1652="","",周转筐出入库明细!$D1652)</f>
        <v/>
      </c>
      <c r="R1651">
        <f t="shared" si="562"/>
        <v>0</v>
      </c>
      <c r="S1651">
        <f t="shared" si="563"/>
        <v>5</v>
      </c>
      <c r="W1651" t="str">
        <f>IF(周转筐出入库明细!$C1652="","",周转筐出入库明细!$C1652)</f>
        <v/>
      </c>
      <c r="X1651">
        <f t="shared" si="564"/>
        <v>0</v>
      </c>
      <c r="Y1651">
        <f t="shared" si="565"/>
        <v>12</v>
      </c>
      <c r="CP1651">
        <f>IF(包装物料出入库明细!$D1651="",0,1)</f>
        <v>0</v>
      </c>
      <c r="CQ1651">
        <f t="shared" si="566"/>
        <v>37</v>
      </c>
      <c r="CS1651" t="str">
        <f>IF(OR(周转筐出入库明细!$C1652="",周转筐出入库明细!$F1652&lt;&gt;"采购入库"),"",周转筐出入库明细!$C1652)</f>
        <v/>
      </c>
      <c r="CT1651">
        <f t="shared" si="567"/>
        <v>0</v>
      </c>
      <c r="CU1651">
        <f t="shared" si="568"/>
        <v>1</v>
      </c>
    </row>
    <row r="1652" spans="1:99">
      <c r="A1652" t="str">
        <f>IF(包装物料出入库明细!$E1652="","",包装物料出入库明细!$E1652)</f>
        <v/>
      </c>
      <c r="B1652">
        <f t="shared" si="558"/>
        <v>0</v>
      </c>
      <c r="C1652">
        <f t="shared" si="559"/>
        <v>7</v>
      </c>
      <c r="D1652" t="str">
        <f>IF(包装物料出入库明细!$E1652="","",包装物料出入库明细!$F1652)</f>
        <v/>
      </c>
      <c r="E1652" t="str">
        <f>IF(包装物料出入库明细!$E1652="","",包装物料出入库明细!$G1652)</f>
        <v/>
      </c>
      <c r="K1652" t="str">
        <f>IF(包装物料出入库明细!$D1652="","",包装物料出入库明细!$D1652)</f>
        <v/>
      </c>
      <c r="L1652">
        <f t="shared" si="560"/>
        <v>0</v>
      </c>
      <c r="M1652">
        <f t="shared" si="561"/>
        <v>9</v>
      </c>
      <c r="Q1652" t="str">
        <f>IF(周转筐出入库明细!$D1653="","",周转筐出入库明细!$D1653)</f>
        <v/>
      </c>
      <c r="R1652">
        <f t="shared" si="562"/>
        <v>0</v>
      </c>
      <c r="S1652">
        <f t="shared" si="563"/>
        <v>5</v>
      </c>
      <c r="W1652" t="str">
        <f>IF(周转筐出入库明细!$C1653="","",周转筐出入库明细!$C1653)</f>
        <v/>
      </c>
      <c r="X1652">
        <f t="shared" si="564"/>
        <v>0</v>
      </c>
      <c r="Y1652">
        <f t="shared" si="565"/>
        <v>12</v>
      </c>
      <c r="CP1652">
        <f>IF(包装物料出入库明细!$D1652="",0,1)</f>
        <v>0</v>
      </c>
      <c r="CQ1652">
        <f t="shared" si="566"/>
        <v>37</v>
      </c>
      <c r="CS1652" t="str">
        <f>IF(OR(周转筐出入库明细!$C1653="",周转筐出入库明细!$F1653&lt;&gt;"采购入库"),"",周转筐出入库明细!$C1653)</f>
        <v/>
      </c>
      <c r="CT1652">
        <f t="shared" si="567"/>
        <v>0</v>
      </c>
      <c r="CU1652">
        <f t="shared" si="568"/>
        <v>1</v>
      </c>
    </row>
    <row r="1653" spans="1:99">
      <c r="A1653" t="str">
        <f>IF(包装物料出入库明细!$E1653="","",包装物料出入库明细!$E1653)</f>
        <v/>
      </c>
      <c r="B1653">
        <f t="shared" si="558"/>
        <v>0</v>
      </c>
      <c r="C1653">
        <f t="shared" si="559"/>
        <v>7</v>
      </c>
      <c r="D1653" t="str">
        <f>IF(包装物料出入库明细!$E1653="","",包装物料出入库明细!$F1653)</f>
        <v/>
      </c>
      <c r="E1653" t="str">
        <f>IF(包装物料出入库明细!$E1653="","",包装物料出入库明细!$G1653)</f>
        <v/>
      </c>
      <c r="K1653" t="str">
        <f>IF(包装物料出入库明细!$D1653="","",包装物料出入库明细!$D1653)</f>
        <v/>
      </c>
      <c r="L1653">
        <f t="shared" si="560"/>
        <v>0</v>
      </c>
      <c r="M1653">
        <f t="shared" si="561"/>
        <v>9</v>
      </c>
      <c r="Q1653" t="str">
        <f>IF(周转筐出入库明细!$D1654="","",周转筐出入库明细!$D1654)</f>
        <v/>
      </c>
      <c r="R1653">
        <f t="shared" si="562"/>
        <v>0</v>
      </c>
      <c r="S1653">
        <f t="shared" si="563"/>
        <v>5</v>
      </c>
      <c r="W1653" t="str">
        <f>IF(周转筐出入库明细!$C1654="","",周转筐出入库明细!$C1654)</f>
        <v/>
      </c>
      <c r="X1653">
        <f t="shared" si="564"/>
        <v>0</v>
      </c>
      <c r="Y1653">
        <f t="shared" si="565"/>
        <v>12</v>
      </c>
      <c r="CP1653">
        <f>IF(包装物料出入库明细!$D1653="",0,1)</f>
        <v>0</v>
      </c>
      <c r="CQ1653">
        <f t="shared" si="566"/>
        <v>37</v>
      </c>
      <c r="CS1653" t="str">
        <f>IF(OR(周转筐出入库明细!$C1654="",周转筐出入库明细!$F1654&lt;&gt;"采购入库"),"",周转筐出入库明细!$C1654)</f>
        <v/>
      </c>
      <c r="CT1653">
        <f t="shared" si="567"/>
        <v>0</v>
      </c>
      <c r="CU1653">
        <f t="shared" si="568"/>
        <v>1</v>
      </c>
    </row>
    <row r="1654" spans="1:99">
      <c r="A1654" t="str">
        <f>IF(包装物料出入库明细!$E1654="","",包装物料出入库明细!$E1654)</f>
        <v/>
      </c>
      <c r="B1654">
        <f t="shared" si="558"/>
        <v>0</v>
      </c>
      <c r="C1654">
        <f t="shared" si="559"/>
        <v>7</v>
      </c>
      <c r="D1654" t="str">
        <f>IF(包装物料出入库明细!$E1654="","",包装物料出入库明细!$F1654)</f>
        <v/>
      </c>
      <c r="E1654" t="str">
        <f>IF(包装物料出入库明细!$E1654="","",包装物料出入库明细!$G1654)</f>
        <v/>
      </c>
      <c r="K1654" t="str">
        <f>IF(包装物料出入库明细!$D1654="","",包装物料出入库明细!$D1654)</f>
        <v/>
      </c>
      <c r="L1654">
        <f t="shared" si="560"/>
        <v>0</v>
      </c>
      <c r="M1654">
        <f t="shared" si="561"/>
        <v>9</v>
      </c>
      <c r="Q1654" t="str">
        <f>IF(周转筐出入库明细!$D1655="","",周转筐出入库明细!$D1655)</f>
        <v/>
      </c>
      <c r="R1654">
        <f t="shared" si="562"/>
        <v>0</v>
      </c>
      <c r="S1654">
        <f t="shared" si="563"/>
        <v>5</v>
      </c>
      <c r="W1654" t="str">
        <f>IF(周转筐出入库明细!$C1655="","",周转筐出入库明细!$C1655)</f>
        <v/>
      </c>
      <c r="X1654">
        <f t="shared" si="564"/>
        <v>0</v>
      </c>
      <c r="Y1654">
        <f t="shared" si="565"/>
        <v>12</v>
      </c>
      <c r="CP1654">
        <f>IF(包装物料出入库明细!$D1654="",0,1)</f>
        <v>0</v>
      </c>
      <c r="CQ1654">
        <f t="shared" si="566"/>
        <v>37</v>
      </c>
      <c r="CS1654" t="str">
        <f>IF(OR(周转筐出入库明细!$C1655="",周转筐出入库明细!$F1655&lt;&gt;"采购入库"),"",周转筐出入库明细!$C1655)</f>
        <v/>
      </c>
      <c r="CT1654">
        <f t="shared" si="567"/>
        <v>0</v>
      </c>
      <c r="CU1654">
        <f t="shared" si="568"/>
        <v>1</v>
      </c>
    </row>
    <row r="1655" spans="1:99">
      <c r="A1655" t="str">
        <f>IF(包装物料出入库明细!$E1655="","",包装物料出入库明细!$E1655)</f>
        <v/>
      </c>
      <c r="B1655">
        <f t="shared" si="558"/>
        <v>0</v>
      </c>
      <c r="C1655">
        <f t="shared" si="559"/>
        <v>7</v>
      </c>
      <c r="D1655" t="str">
        <f>IF(包装物料出入库明细!$E1655="","",包装物料出入库明细!$F1655)</f>
        <v/>
      </c>
      <c r="E1655" t="str">
        <f>IF(包装物料出入库明细!$E1655="","",包装物料出入库明细!$G1655)</f>
        <v/>
      </c>
      <c r="K1655" t="str">
        <f>IF(包装物料出入库明细!$D1655="","",包装物料出入库明细!$D1655)</f>
        <v/>
      </c>
      <c r="L1655">
        <f t="shared" si="560"/>
        <v>0</v>
      </c>
      <c r="M1655">
        <f t="shared" si="561"/>
        <v>9</v>
      </c>
      <c r="Q1655" t="str">
        <f>IF(周转筐出入库明细!$D1656="","",周转筐出入库明细!$D1656)</f>
        <v/>
      </c>
      <c r="R1655">
        <f t="shared" si="562"/>
        <v>0</v>
      </c>
      <c r="S1655">
        <f t="shared" si="563"/>
        <v>5</v>
      </c>
      <c r="W1655" t="str">
        <f>IF(周转筐出入库明细!$C1656="","",周转筐出入库明细!$C1656)</f>
        <v/>
      </c>
      <c r="X1655">
        <f t="shared" si="564"/>
        <v>0</v>
      </c>
      <c r="Y1655">
        <f t="shared" si="565"/>
        <v>12</v>
      </c>
      <c r="CP1655">
        <f>IF(包装物料出入库明细!$D1655="",0,1)</f>
        <v>0</v>
      </c>
      <c r="CQ1655">
        <f t="shared" si="566"/>
        <v>37</v>
      </c>
      <c r="CS1655" t="str">
        <f>IF(OR(周转筐出入库明细!$C1656="",周转筐出入库明细!$F1656&lt;&gt;"采购入库"),"",周转筐出入库明细!$C1656)</f>
        <v/>
      </c>
      <c r="CT1655">
        <f t="shared" si="567"/>
        <v>0</v>
      </c>
      <c r="CU1655">
        <f t="shared" si="568"/>
        <v>1</v>
      </c>
    </row>
    <row r="1656" spans="1:99">
      <c r="A1656" t="str">
        <f>IF(包装物料出入库明细!$E1656="","",包装物料出入库明细!$E1656)</f>
        <v/>
      </c>
      <c r="B1656">
        <f t="shared" si="558"/>
        <v>0</v>
      </c>
      <c r="C1656">
        <f t="shared" si="559"/>
        <v>7</v>
      </c>
      <c r="D1656" t="str">
        <f>IF(包装物料出入库明细!$E1656="","",包装物料出入库明细!$F1656)</f>
        <v/>
      </c>
      <c r="E1656" t="str">
        <f>IF(包装物料出入库明细!$E1656="","",包装物料出入库明细!$G1656)</f>
        <v/>
      </c>
      <c r="K1656" t="str">
        <f>IF(包装物料出入库明细!$D1656="","",包装物料出入库明细!$D1656)</f>
        <v/>
      </c>
      <c r="L1656">
        <f t="shared" si="560"/>
        <v>0</v>
      </c>
      <c r="M1656">
        <f t="shared" si="561"/>
        <v>9</v>
      </c>
      <c r="Q1656" t="str">
        <f>IF(周转筐出入库明细!$D1657="","",周转筐出入库明细!$D1657)</f>
        <v/>
      </c>
      <c r="R1656">
        <f t="shared" si="562"/>
        <v>0</v>
      </c>
      <c r="S1656">
        <f t="shared" si="563"/>
        <v>5</v>
      </c>
      <c r="W1656" t="str">
        <f>IF(周转筐出入库明细!$C1657="","",周转筐出入库明细!$C1657)</f>
        <v/>
      </c>
      <c r="X1656">
        <f t="shared" si="564"/>
        <v>0</v>
      </c>
      <c r="Y1656">
        <f t="shared" si="565"/>
        <v>12</v>
      </c>
      <c r="CP1656">
        <f>IF(包装物料出入库明细!$D1656="",0,1)</f>
        <v>0</v>
      </c>
      <c r="CQ1656">
        <f t="shared" si="566"/>
        <v>37</v>
      </c>
      <c r="CS1656" t="str">
        <f>IF(OR(周转筐出入库明细!$C1657="",周转筐出入库明细!$F1657&lt;&gt;"采购入库"),"",周转筐出入库明细!$C1657)</f>
        <v/>
      </c>
      <c r="CT1656">
        <f t="shared" si="567"/>
        <v>0</v>
      </c>
      <c r="CU1656">
        <f t="shared" si="568"/>
        <v>1</v>
      </c>
    </row>
    <row r="1657" spans="1:99">
      <c r="A1657" t="str">
        <f>IF(包装物料出入库明细!$E1657="","",包装物料出入库明细!$E1657)</f>
        <v/>
      </c>
      <c r="B1657">
        <f t="shared" si="558"/>
        <v>0</v>
      </c>
      <c r="C1657">
        <f t="shared" si="559"/>
        <v>7</v>
      </c>
      <c r="D1657" t="str">
        <f>IF(包装物料出入库明细!$E1657="","",包装物料出入库明细!$F1657)</f>
        <v/>
      </c>
      <c r="E1657" t="str">
        <f>IF(包装物料出入库明细!$E1657="","",包装物料出入库明细!$G1657)</f>
        <v/>
      </c>
      <c r="K1657" t="str">
        <f>IF(包装物料出入库明细!$D1657="","",包装物料出入库明细!$D1657)</f>
        <v/>
      </c>
      <c r="L1657">
        <f t="shared" si="560"/>
        <v>0</v>
      </c>
      <c r="M1657">
        <f t="shared" si="561"/>
        <v>9</v>
      </c>
      <c r="Q1657" t="str">
        <f>IF(周转筐出入库明细!$D1658="","",周转筐出入库明细!$D1658)</f>
        <v/>
      </c>
      <c r="R1657">
        <f t="shared" si="562"/>
        <v>0</v>
      </c>
      <c r="S1657">
        <f t="shared" si="563"/>
        <v>5</v>
      </c>
      <c r="W1657" t="str">
        <f>IF(周转筐出入库明细!$C1658="","",周转筐出入库明细!$C1658)</f>
        <v/>
      </c>
      <c r="X1657">
        <f t="shared" si="564"/>
        <v>0</v>
      </c>
      <c r="Y1657">
        <f t="shared" si="565"/>
        <v>12</v>
      </c>
      <c r="CP1657">
        <f>IF(包装物料出入库明细!$D1657="",0,1)</f>
        <v>0</v>
      </c>
      <c r="CQ1657">
        <f t="shared" si="566"/>
        <v>37</v>
      </c>
      <c r="CS1657" t="str">
        <f>IF(OR(周转筐出入库明细!$C1658="",周转筐出入库明细!$F1658&lt;&gt;"采购入库"),"",周转筐出入库明细!$C1658)</f>
        <v/>
      </c>
      <c r="CT1657">
        <f t="shared" si="567"/>
        <v>0</v>
      </c>
      <c r="CU1657">
        <f t="shared" si="568"/>
        <v>1</v>
      </c>
    </row>
    <row r="1658" spans="1:99">
      <c r="A1658" t="str">
        <f>IF(包装物料出入库明细!$E1658="","",包装物料出入库明细!$E1658)</f>
        <v/>
      </c>
      <c r="B1658">
        <f t="shared" si="558"/>
        <v>0</v>
      </c>
      <c r="C1658">
        <f t="shared" si="559"/>
        <v>7</v>
      </c>
      <c r="D1658" t="str">
        <f>IF(包装物料出入库明细!$E1658="","",包装物料出入库明细!$F1658)</f>
        <v/>
      </c>
      <c r="E1658" t="str">
        <f>IF(包装物料出入库明细!$E1658="","",包装物料出入库明细!$G1658)</f>
        <v/>
      </c>
      <c r="K1658" t="str">
        <f>IF(包装物料出入库明细!$D1658="","",包装物料出入库明细!$D1658)</f>
        <v/>
      </c>
      <c r="L1658">
        <f t="shared" si="560"/>
        <v>0</v>
      </c>
      <c r="M1658">
        <f t="shared" si="561"/>
        <v>9</v>
      </c>
      <c r="Q1658" t="str">
        <f>IF(周转筐出入库明细!$D1659="","",周转筐出入库明细!$D1659)</f>
        <v/>
      </c>
      <c r="R1658">
        <f t="shared" si="562"/>
        <v>0</v>
      </c>
      <c r="S1658">
        <f t="shared" si="563"/>
        <v>5</v>
      </c>
      <c r="W1658" t="str">
        <f>IF(周转筐出入库明细!$C1659="","",周转筐出入库明细!$C1659)</f>
        <v/>
      </c>
      <c r="X1658">
        <f t="shared" si="564"/>
        <v>0</v>
      </c>
      <c r="Y1658">
        <f t="shared" si="565"/>
        <v>12</v>
      </c>
      <c r="CP1658">
        <f>IF(包装物料出入库明细!$D1658="",0,1)</f>
        <v>0</v>
      </c>
      <c r="CQ1658">
        <f t="shared" si="566"/>
        <v>37</v>
      </c>
      <c r="CS1658" t="str">
        <f>IF(OR(周转筐出入库明细!$C1659="",周转筐出入库明细!$F1659&lt;&gt;"采购入库"),"",周转筐出入库明细!$C1659)</f>
        <v/>
      </c>
      <c r="CT1658">
        <f t="shared" si="567"/>
        <v>0</v>
      </c>
      <c r="CU1658">
        <f t="shared" si="568"/>
        <v>1</v>
      </c>
    </row>
    <row r="1659" spans="1:99">
      <c r="A1659" t="str">
        <f>IF(包装物料出入库明细!$E1659="","",包装物料出入库明细!$E1659)</f>
        <v/>
      </c>
      <c r="B1659">
        <f t="shared" si="558"/>
        <v>0</v>
      </c>
      <c r="C1659">
        <f t="shared" si="559"/>
        <v>7</v>
      </c>
      <c r="D1659" t="str">
        <f>IF(包装物料出入库明细!$E1659="","",包装物料出入库明细!$F1659)</f>
        <v/>
      </c>
      <c r="E1659" t="str">
        <f>IF(包装物料出入库明细!$E1659="","",包装物料出入库明细!$G1659)</f>
        <v/>
      </c>
      <c r="K1659" t="str">
        <f>IF(包装物料出入库明细!$D1659="","",包装物料出入库明细!$D1659)</f>
        <v/>
      </c>
      <c r="L1659">
        <f t="shared" si="560"/>
        <v>0</v>
      </c>
      <c r="M1659">
        <f t="shared" si="561"/>
        <v>9</v>
      </c>
      <c r="Q1659" t="str">
        <f>IF(周转筐出入库明细!$D1660="","",周转筐出入库明细!$D1660)</f>
        <v/>
      </c>
      <c r="R1659">
        <f t="shared" si="562"/>
        <v>0</v>
      </c>
      <c r="S1659">
        <f t="shared" si="563"/>
        <v>5</v>
      </c>
      <c r="W1659" t="str">
        <f>IF(周转筐出入库明细!$C1660="","",周转筐出入库明细!$C1660)</f>
        <v/>
      </c>
      <c r="X1659">
        <f t="shared" si="564"/>
        <v>0</v>
      </c>
      <c r="Y1659">
        <f t="shared" si="565"/>
        <v>12</v>
      </c>
      <c r="CP1659">
        <f>IF(包装物料出入库明细!$D1659="",0,1)</f>
        <v>0</v>
      </c>
      <c r="CQ1659">
        <f t="shared" si="566"/>
        <v>37</v>
      </c>
      <c r="CS1659" t="str">
        <f>IF(OR(周转筐出入库明细!$C1660="",周转筐出入库明细!$F1660&lt;&gt;"采购入库"),"",周转筐出入库明细!$C1660)</f>
        <v/>
      </c>
      <c r="CT1659">
        <f t="shared" si="567"/>
        <v>0</v>
      </c>
      <c r="CU1659">
        <f t="shared" si="568"/>
        <v>1</v>
      </c>
    </row>
    <row r="1660" spans="1:99">
      <c r="A1660" t="str">
        <f>IF(包装物料出入库明细!$E1660="","",包装物料出入库明细!$E1660)</f>
        <v/>
      </c>
      <c r="B1660">
        <f t="shared" si="558"/>
        <v>0</v>
      </c>
      <c r="C1660">
        <f t="shared" si="559"/>
        <v>7</v>
      </c>
      <c r="D1660" t="str">
        <f>IF(包装物料出入库明细!$E1660="","",包装物料出入库明细!$F1660)</f>
        <v/>
      </c>
      <c r="E1660" t="str">
        <f>IF(包装物料出入库明细!$E1660="","",包装物料出入库明细!$G1660)</f>
        <v/>
      </c>
      <c r="K1660" t="str">
        <f>IF(包装物料出入库明细!$D1660="","",包装物料出入库明细!$D1660)</f>
        <v/>
      </c>
      <c r="L1660">
        <f t="shared" si="560"/>
        <v>0</v>
      </c>
      <c r="M1660">
        <f t="shared" si="561"/>
        <v>9</v>
      </c>
      <c r="Q1660" t="str">
        <f>IF(周转筐出入库明细!$D1661="","",周转筐出入库明细!$D1661)</f>
        <v/>
      </c>
      <c r="R1660">
        <f t="shared" si="562"/>
        <v>0</v>
      </c>
      <c r="S1660">
        <f t="shared" si="563"/>
        <v>5</v>
      </c>
      <c r="W1660" t="str">
        <f>IF(周转筐出入库明细!$C1661="","",周转筐出入库明细!$C1661)</f>
        <v/>
      </c>
      <c r="X1660">
        <f t="shared" si="564"/>
        <v>0</v>
      </c>
      <c r="Y1660">
        <f t="shared" si="565"/>
        <v>12</v>
      </c>
      <c r="CP1660">
        <f>IF(包装物料出入库明细!$D1660="",0,1)</f>
        <v>0</v>
      </c>
      <c r="CQ1660">
        <f t="shared" si="566"/>
        <v>37</v>
      </c>
      <c r="CS1660" t="str">
        <f>IF(OR(周转筐出入库明细!$C1661="",周转筐出入库明细!$F1661&lt;&gt;"采购入库"),"",周转筐出入库明细!$C1661)</f>
        <v/>
      </c>
      <c r="CT1660">
        <f t="shared" si="567"/>
        <v>0</v>
      </c>
      <c r="CU1660">
        <f t="shared" si="568"/>
        <v>1</v>
      </c>
    </row>
    <row r="1661" spans="1:99">
      <c r="A1661" t="str">
        <f>IF(包装物料出入库明细!$E1661="","",包装物料出入库明细!$E1661)</f>
        <v/>
      </c>
      <c r="B1661">
        <f t="shared" si="558"/>
        <v>0</v>
      </c>
      <c r="C1661">
        <f t="shared" si="559"/>
        <v>7</v>
      </c>
      <c r="D1661" t="str">
        <f>IF(包装物料出入库明细!$E1661="","",包装物料出入库明细!$F1661)</f>
        <v/>
      </c>
      <c r="E1661" t="str">
        <f>IF(包装物料出入库明细!$E1661="","",包装物料出入库明细!$G1661)</f>
        <v/>
      </c>
      <c r="K1661" t="str">
        <f>IF(包装物料出入库明细!$D1661="","",包装物料出入库明细!$D1661)</f>
        <v/>
      </c>
      <c r="L1661">
        <f t="shared" si="560"/>
        <v>0</v>
      </c>
      <c r="M1661">
        <f t="shared" si="561"/>
        <v>9</v>
      </c>
      <c r="Q1661" t="str">
        <f>IF(周转筐出入库明细!$D1662="","",周转筐出入库明细!$D1662)</f>
        <v/>
      </c>
      <c r="R1661">
        <f t="shared" si="562"/>
        <v>0</v>
      </c>
      <c r="S1661">
        <f t="shared" si="563"/>
        <v>5</v>
      </c>
      <c r="W1661" t="str">
        <f>IF(周转筐出入库明细!$C1662="","",周转筐出入库明细!$C1662)</f>
        <v/>
      </c>
      <c r="X1661">
        <f t="shared" si="564"/>
        <v>0</v>
      </c>
      <c r="Y1661">
        <f t="shared" si="565"/>
        <v>12</v>
      </c>
      <c r="CP1661">
        <f>IF(包装物料出入库明细!$D1661="",0,1)</f>
        <v>0</v>
      </c>
      <c r="CQ1661">
        <f t="shared" si="566"/>
        <v>37</v>
      </c>
      <c r="CS1661" t="str">
        <f>IF(OR(周转筐出入库明细!$C1662="",周转筐出入库明细!$F1662&lt;&gt;"采购入库"),"",周转筐出入库明细!$C1662)</f>
        <v/>
      </c>
      <c r="CT1661">
        <f t="shared" si="567"/>
        <v>0</v>
      </c>
      <c r="CU1661">
        <f t="shared" si="568"/>
        <v>1</v>
      </c>
    </row>
    <row r="1662" spans="1:99">
      <c r="A1662" t="str">
        <f>IF(包装物料出入库明细!$E1662="","",包装物料出入库明细!$E1662)</f>
        <v/>
      </c>
      <c r="B1662">
        <f t="shared" si="558"/>
        <v>0</v>
      </c>
      <c r="C1662">
        <f t="shared" si="559"/>
        <v>7</v>
      </c>
      <c r="D1662" t="str">
        <f>IF(包装物料出入库明细!$E1662="","",包装物料出入库明细!$F1662)</f>
        <v/>
      </c>
      <c r="E1662" t="str">
        <f>IF(包装物料出入库明细!$E1662="","",包装物料出入库明细!$G1662)</f>
        <v/>
      </c>
      <c r="K1662" t="str">
        <f>IF(包装物料出入库明细!$D1662="","",包装物料出入库明细!$D1662)</f>
        <v/>
      </c>
      <c r="L1662">
        <f t="shared" si="560"/>
        <v>0</v>
      </c>
      <c r="M1662">
        <f t="shared" si="561"/>
        <v>9</v>
      </c>
      <c r="Q1662" t="str">
        <f>IF(周转筐出入库明细!$D1663="","",周转筐出入库明细!$D1663)</f>
        <v/>
      </c>
      <c r="R1662">
        <f t="shared" si="562"/>
        <v>0</v>
      </c>
      <c r="S1662">
        <f t="shared" si="563"/>
        <v>5</v>
      </c>
      <c r="W1662" t="str">
        <f>IF(周转筐出入库明细!$C1663="","",周转筐出入库明细!$C1663)</f>
        <v/>
      </c>
      <c r="X1662">
        <f t="shared" si="564"/>
        <v>0</v>
      </c>
      <c r="Y1662">
        <f t="shared" si="565"/>
        <v>12</v>
      </c>
      <c r="CP1662">
        <f>IF(包装物料出入库明细!$D1662="",0,1)</f>
        <v>0</v>
      </c>
      <c r="CQ1662">
        <f t="shared" si="566"/>
        <v>37</v>
      </c>
      <c r="CS1662" t="str">
        <f>IF(OR(周转筐出入库明细!$C1663="",周转筐出入库明细!$F1663&lt;&gt;"采购入库"),"",周转筐出入库明细!$C1663)</f>
        <v/>
      </c>
      <c r="CT1662">
        <f t="shared" si="567"/>
        <v>0</v>
      </c>
      <c r="CU1662">
        <f t="shared" si="568"/>
        <v>1</v>
      </c>
    </row>
    <row r="1663" spans="1:99">
      <c r="A1663" t="str">
        <f>IF(包装物料出入库明细!$E1663="","",包装物料出入库明细!$E1663)</f>
        <v/>
      </c>
      <c r="B1663">
        <f t="shared" si="558"/>
        <v>0</v>
      </c>
      <c r="C1663">
        <f t="shared" si="559"/>
        <v>7</v>
      </c>
      <c r="D1663" t="str">
        <f>IF(包装物料出入库明细!$E1663="","",包装物料出入库明细!$F1663)</f>
        <v/>
      </c>
      <c r="E1663" t="str">
        <f>IF(包装物料出入库明细!$E1663="","",包装物料出入库明细!$G1663)</f>
        <v/>
      </c>
      <c r="K1663" t="str">
        <f>IF(包装物料出入库明细!$D1663="","",包装物料出入库明细!$D1663)</f>
        <v/>
      </c>
      <c r="L1663">
        <f t="shared" si="560"/>
        <v>0</v>
      </c>
      <c r="M1663">
        <f t="shared" si="561"/>
        <v>9</v>
      </c>
      <c r="Q1663" t="str">
        <f>IF(周转筐出入库明细!$D1664="","",周转筐出入库明细!$D1664)</f>
        <v/>
      </c>
      <c r="R1663">
        <f t="shared" si="562"/>
        <v>0</v>
      </c>
      <c r="S1663">
        <f t="shared" si="563"/>
        <v>5</v>
      </c>
      <c r="W1663" t="str">
        <f>IF(周转筐出入库明细!$C1664="","",周转筐出入库明细!$C1664)</f>
        <v/>
      </c>
      <c r="X1663">
        <f t="shared" si="564"/>
        <v>0</v>
      </c>
      <c r="Y1663">
        <f t="shared" si="565"/>
        <v>12</v>
      </c>
      <c r="CP1663">
        <f>IF(包装物料出入库明细!$D1663="",0,1)</f>
        <v>0</v>
      </c>
      <c r="CQ1663">
        <f t="shared" si="566"/>
        <v>37</v>
      </c>
      <c r="CS1663" t="str">
        <f>IF(OR(周转筐出入库明细!$C1664="",周转筐出入库明细!$F1664&lt;&gt;"采购入库"),"",周转筐出入库明细!$C1664)</f>
        <v/>
      </c>
      <c r="CT1663">
        <f t="shared" si="567"/>
        <v>0</v>
      </c>
      <c r="CU1663">
        <f t="shared" si="568"/>
        <v>1</v>
      </c>
    </row>
    <row r="1664" spans="1:99">
      <c r="A1664" t="str">
        <f>IF(包装物料出入库明细!$E1664="","",包装物料出入库明细!$E1664)</f>
        <v/>
      </c>
      <c r="B1664">
        <f t="shared" si="558"/>
        <v>0</v>
      </c>
      <c r="C1664">
        <f t="shared" si="559"/>
        <v>7</v>
      </c>
      <c r="D1664" t="str">
        <f>IF(包装物料出入库明细!$E1664="","",包装物料出入库明细!$F1664)</f>
        <v/>
      </c>
      <c r="E1664" t="str">
        <f>IF(包装物料出入库明细!$E1664="","",包装物料出入库明细!$G1664)</f>
        <v/>
      </c>
      <c r="K1664" t="str">
        <f>IF(包装物料出入库明细!$D1664="","",包装物料出入库明细!$D1664)</f>
        <v/>
      </c>
      <c r="L1664">
        <f t="shared" si="560"/>
        <v>0</v>
      </c>
      <c r="M1664">
        <f t="shared" si="561"/>
        <v>9</v>
      </c>
      <c r="Q1664" t="str">
        <f>IF(周转筐出入库明细!$D1665="","",周转筐出入库明细!$D1665)</f>
        <v/>
      </c>
      <c r="R1664">
        <f t="shared" si="562"/>
        <v>0</v>
      </c>
      <c r="S1664">
        <f t="shared" si="563"/>
        <v>5</v>
      </c>
      <c r="W1664" t="str">
        <f>IF(周转筐出入库明细!$C1665="","",周转筐出入库明细!$C1665)</f>
        <v/>
      </c>
      <c r="X1664">
        <f t="shared" si="564"/>
        <v>0</v>
      </c>
      <c r="Y1664">
        <f t="shared" si="565"/>
        <v>12</v>
      </c>
      <c r="CP1664">
        <f>IF(包装物料出入库明细!$D1664="",0,1)</f>
        <v>0</v>
      </c>
      <c r="CQ1664">
        <f t="shared" si="566"/>
        <v>37</v>
      </c>
      <c r="CS1664" t="str">
        <f>IF(OR(周转筐出入库明细!$C1665="",周转筐出入库明细!$F1665&lt;&gt;"采购入库"),"",周转筐出入库明细!$C1665)</f>
        <v/>
      </c>
      <c r="CT1664">
        <f t="shared" si="567"/>
        <v>0</v>
      </c>
      <c r="CU1664">
        <f t="shared" si="568"/>
        <v>1</v>
      </c>
    </row>
    <row r="1665" spans="1:99">
      <c r="A1665" t="str">
        <f>IF(包装物料出入库明细!$E1665="","",包装物料出入库明细!$E1665)</f>
        <v/>
      </c>
      <c r="B1665">
        <f t="shared" si="558"/>
        <v>0</v>
      </c>
      <c r="C1665">
        <f t="shared" si="559"/>
        <v>7</v>
      </c>
      <c r="D1665" t="str">
        <f>IF(包装物料出入库明细!$E1665="","",包装物料出入库明细!$F1665)</f>
        <v/>
      </c>
      <c r="E1665" t="str">
        <f>IF(包装物料出入库明细!$E1665="","",包装物料出入库明细!$G1665)</f>
        <v/>
      </c>
      <c r="K1665" t="str">
        <f>IF(包装物料出入库明细!$D1665="","",包装物料出入库明细!$D1665)</f>
        <v/>
      </c>
      <c r="L1665">
        <f t="shared" si="560"/>
        <v>0</v>
      </c>
      <c r="M1665">
        <f t="shared" si="561"/>
        <v>9</v>
      </c>
      <c r="Q1665" t="str">
        <f>IF(周转筐出入库明细!$D1666="","",周转筐出入库明细!$D1666)</f>
        <v/>
      </c>
      <c r="R1665">
        <f t="shared" si="562"/>
        <v>0</v>
      </c>
      <c r="S1665">
        <f t="shared" si="563"/>
        <v>5</v>
      </c>
      <c r="W1665" t="str">
        <f>IF(周转筐出入库明细!$C1666="","",周转筐出入库明细!$C1666)</f>
        <v/>
      </c>
      <c r="X1665">
        <f t="shared" si="564"/>
        <v>0</v>
      </c>
      <c r="Y1665">
        <f t="shared" si="565"/>
        <v>12</v>
      </c>
      <c r="CP1665">
        <f>IF(包装物料出入库明细!$D1665="",0,1)</f>
        <v>0</v>
      </c>
      <c r="CQ1665">
        <f t="shared" si="566"/>
        <v>37</v>
      </c>
      <c r="CS1665" t="str">
        <f>IF(OR(周转筐出入库明细!$C1666="",周转筐出入库明细!$F1666&lt;&gt;"采购入库"),"",周转筐出入库明细!$C1666)</f>
        <v/>
      </c>
      <c r="CT1665">
        <f t="shared" si="567"/>
        <v>0</v>
      </c>
      <c r="CU1665">
        <f t="shared" si="568"/>
        <v>1</v>
      </c>
    </row>
    <row r="1666" spans="1:99">
      <c r="A1666" t="str">
        <f>IF(包装物料出入库明细!$E1666="","",包装物料出入库明细!$E1666)</f>
        <v/>
      </c>
      <c r="B1666">
        <f t="shared" si="558"/>
        <v>0</v>
      </c>
      <c r="C1666">
        <f t="shared" si="559"/>
        <v>7</v>
      </c>
      <c r="D1666" t="str">
        <f>IF(包装物料出入库明细!$E1666="","",包装物料出入库明细!$F1666)</f>
        <v/>
      </c>
      <c r="E1666" t="str">
        <f>IF(包装物料出入库明细!$E1666="","",包装物料出入库明细!$G1666)</f>
        <v/>
      </c>
      <c r="K1666" t="str">
        <f>IF(包装物料出入库明细!$D1666="","",包装物料出入库明细!$D1666)</f>
        <v/>
      </c>
      <c r="L1666">
        <f t="shared" si="560"/>
        <v>0</v>
      </c>
      <c r="M1666">
        <f t="shared" si="561"/>
        <v>9</v>
      </c>
      <c r="Q1666" t="str">
        <f>IF(周转筐出入库明细!$D1667="","",周转筐出入库明细!$D1667)</f>
        <v/>
      </c>
      <c r="R1666">
        <f t="shared" si="562"/>
        <v>0</v>
      </c>
      <c r="S1666">
        <f t="shared" si="563"/>
        <v>5</v>
      </c>
      <c r="W1666" t="str">
        <f>IF(周转筐出入库明细!$C1667="","",周转筐出入库明细!$C1667)</f>
        <v/>
      </c>
      <c r="X1666">
        <f t="shared" si="564"/>
        <v>0</v>
      </c>
      <c r="Y1666">
        <f t="shared" si="565"/>
        <v>12</v>
      </c>
      <c r="CP1666">
        <f>IF(包装物料出入库明细!$D1666="",0,1)</f>
        <v>0</v>
      </c>
      <c r="CQ1666">
        <f t="shared" si="566"/>
        <v>37</v>
      </c>
      <c r="CS1666" t="str">
        <f>IF(OR(周转筐出入库明细!$C1667="",周转筐出入库明细!$F1667&lt;&gt;"采购入库"),"",周转筐出入库明细!$C1667)</f>
        <v/>
      </c>
      <c r="CT1666">
        <f t="shared" si="567"/>
        <v>0</v>
      </c>
      <c r="CU1666">
        <f t="shared" si="568"/>
        <v>1</v>
      </c>
    </row>
    <row r="1667" spans="1:99">
      <c r="A1667" t="str">
        <f>IF(包装物料出入库明细!$E1667="","",包装物料出入库明细!$E1667)</f>
        <v/>
      </c>
      <c r="B1667">
        <f t="shared" si="558"/>
        <v>0</v>
      </c>
      <c r="C1667">
        <f t="shared" si="559"/>
        <v>7</v>
      </c>
      <c r="D1667" t="str">
        <f>IF(包装物料出入库明细!$E1667="","",包装物料出入库明细!$F1667)</f>
        <v/>
      </c>
      <c r="E1667" t="str">
        <f>IF(包装物料出入库明细!$E1667="","",包装物料出入库明细!$G1667)</f>
        <v/>
      </c>
      <c r="K1667" t="str">
        <f>IF(包装物料出入库明细!$D1667="","",包装物料出入库明细!$D1667)</f>
        <v/>
      </c>
      <c r="L1667">
        <f t="shared" si="560"/>
        <v>0</v>
      </c>
      <c r="M1667">
        <f t="shared" si="561"/>
        <v>9</v>
      </c>
      <c r="Q1667" t="str">
        <f>IF(周转筐出入库明细!$D1668="","",周转筐出入库明细!$D1668)</f>
        <v/>
      </c>
      <c r="R1667">
        <f t="shared" si="562"/>
        <v>0</v>
      </c>
      <c r="S1667">
        <f t="shared" si="563"/>
        <v>5</v>
      </c>
      <c r="W1667" t="str">
        <f>IF(周转筐出入库明细!$C1668="","",周转筐出入库明细!$C1668)</f>
        <v/>
      </c>
      <c r="X1667">
        <f t="shared" si="564"/>
        <v>0</v>
      </c>
      <c r="Y1667">
        <f t="shared" si="565"/>
        <v>12</v>
      </c>
      <c r="CP1667">
        <f>IF(包装物料出入库明细!$D1667="",0,1)</f>
        <v>0</v>
      </c>
      <c r="CQ1667">
        <f t="shared" si="566"/>
        <v>37</v>
      </c>
      <c r="CS1667" t="str">
        <f>IF(OR(周转筐出入库明细!$C1668="",周转筐出入库明细!$F1668&lt;&gt;"采购入库"),"",周转筐出入库明细!$C1668)</f>
        <v/>
      </c>
      <c r="CT1667">
        <f t="shared" si="567"/>
        <v>0</v>
      </c>
      <c r="CU1667">
        <f t="shared" si="568"/>
        <v>1</v>
      </c>
    </row>
    <row r="1668" spans="1:99">
      <c r="A1668" t="str">
        <f>IF(包装物料出入库明细!$E1668="","",包装物料出入库明细!$E1668)</f>
        <v/>
      </c>
      <c r="B1668">
        <f t="shared" ref="B1668:B1731" si="569">IF(A1668="",0,IF(MATCH(A1668,$A$4:$A$2003,0)=ROW()-3,1,0))</f>
        <v>0</v>
      </c>
      <c r="C1668">
        <f t="shared" ref="C1668:C1731" si="570">N(C1667)+B1668</f>
        <v>7</v>
      </c>
      <c r="D1668" t="str">
        <f>IF(包装物料出入库明细!$E1668="","",包装物料出入库明细!$F1668)</f>
        <v/>
      </c>
      <c r="E1668" t="str">
        <f>IF(包装物料出入库明细!$E1668="","",包装物料出入库明细!$G1668)</f>
        <v/>
      </c>
      <c r="K1668" t="str">
        <f>IF(包装物料出入库明细!$D1668="","",包装物料出入库明细!$D1668)</f>
        <v/>
      </c>
      <c r="L1668">
        <f t="shared" ref="L1668:L1731" si="571">IF(K1668="",0,IF(MATCH(K1668,$K$4:$K$2003,0)=ROW()-3,1,0))</f>
        <v>0</v>
      </c>
      <c r="M1668">
        <f t="shared" ref="M1668:M1731" si="572">N(M1667)+L1668</f>
        <v>9</v>
      </c>
      <c r="Q1668" t="str">
        <f>IF(周转筐出入库明细!$D1669="","",周转筐出入库明细!$D1669)</f>
        <v/>
      </c>
      <c r="R1668">
        <f t="shared" ref="R1668:R1731" si="573">IF(Q1668="",0,IF(MATCH(Q1668,$Q$4:$Q$2003,0)=ROW()-3,1,0))</f>
        <v>0</v>
      </c>
      <c r="S1668">
        <f t="shared" ref="S1668:S1731" si="574">N(S1667)+R1668</f>
        <v>5</v>
      </c>
      <c r="W1668" t="str">
        <f>IF(周转筐出入库明细!$C1669="","",周转筐出入库明细!$C1669)</f>
        <v/>
      </c>
      <c r="X1668">
        <f t="shared" ref="X1668:X1731" si="575">IF(W1668="",0,IF(MATCH(W1668,$W$4:$W$2003,0)=ROW()-3,1,0))</f>
        <v>0</v>
      </c>
      <c r="Y1668">
        <f t="shared" ref="Y1668:Y1731" si="576">N(Y1667)+X1668</f>
        <v>12</v>
      </c>
      <c r="CP1668">
        <f>IF(包装物料出入库明细!$D1668="",0,1)</f>
        <v>0</v>
      </c>
      <c r="CQ1668">
        <f t="shared" ref="CQ1668:CQ1731" si="577">N(CQ1667)+$CP1668</f>
        <v>37</v>
      </c>
      <c r="CS1668" t="str">
        <f>IF(OR(周转筐出入库明细!$C1669="",周转筐出入库明细!$F1669&lt;&gt;"采购入库"),"",周转筐出入库明细!$C1669)</f>
        <v/>
      </c>
      <c r="CT1668">
        <f t="shared" ref="CT1668:CT1731" si="578">IF(CS1668="",0,IF(MATCH(CS1668,$CS$4:$CS$2003,0)=ROW()-3,1,0))</f>
        <v>0</v>
      </c>
      <c r="CU1668">
        <f t="shared" ref="CU1668:CU1731" si="579">N(CU1667)+CT1668</f>
        <v>1</v>
      </c>
    </row>
    <row r="1669" spans="1:99">
      <c r="A1669" t="str">
        <f>IF(包装物料出入库明细!$E1669="","",包装物料出入库明细!$E1669)</f>
        <v/>
      </c>
      <c r="B1669">
        <f t="shared" si="569"/>
        <v>0</v>
      </c>
      <c r="C1669">
        <f t="shared" si="570"/>
        <v>7</v>
      </c>
      <c r="D1669" t="str">
        <f>IF(包装物料出入库明细!$E1669="","",包装物料出入库明细!$F1669)</f>
        <v/>
      </c>
      <c r="E1669" t="str">
        <f>IF(包装物料出入库明细!$E1669="","",包装物料出入库明细!$G1669)</f>
        <v/>
      </c>
      <c r="K1669" t="str">
        <f>IF(包装物料出入库明细!$D1669="","",包装物料出入库明细!$D1669)</f>
        <v/>
      </c>
      <c r="L1669">
        <f t="shared" si="571"/>
        <v>0</v>
      </c>
      <c r="M1669">
        <f t="shared" si="572"/>
        <v>9</v>
      </c>
      <c r="Q1669" t="str">
        <f>IF(周转筐出入库明细!$D1670="","",周转筐出入库明细!$D1670)</f>
        <v/>
      </c>
      <c r="R1669">
        <f t="shared" si="573"/>
        <v>0</v>
      </c>
      <c r="S1669">
        <f t="shared" si="574"/>
        <v>5</v>
      </c>
      <c r="W1669" t="str">
        <f>IF(周转筐出入库明细!$C1670="","",周转筐出入库明细!$C1670)</f>
        <v/>
      </c>
      <c r="X1669">
        <f t="shared" si="575"/>
        <v>0</v>
      </c>
      <c r="Y1669">
        <f t="shared" si="576"/>
        <v>12</v>
      </c>
      <c r="CP1669">
        <f>IF(包装物料出入库明细!$D1669="",0,1)</f>
        <v>0</v>
      </c>
      <c r="CQ1669">
        <f t="shared" si="577"/>
        <v>37</v>
      </c>
      <c r="CS1669" t="str">
        <f>IF(OR(周转筐出入库明细!$C1670="",周转筐出入库明细!$F1670&lt;&gt;"采购入库"),"",周转筐出入库明细!$C1670)</f>
        <v/>
      </c>
      <c r="CT1669">
        <f t="shared" si="578"/>
        <v>0</v>
      </c>
      <c r="CU1669">
        <f t="shared" si="579"/>
        <v>1</v>
      </c>
    </row>
    <row r="1670" spans="1:99">
      <c r="A1670" t="str">
        <f>IF(包装物料出入库明细!$E1670="","",包装物料出入库明细!$E1670)</f>
        <v/>
      </c>
      <c r="B1670">
        <f t="shared" si="569"/>
        <v>0</v>
      </c>
      <c r="C1670">
        <f t="shared" si="570"/>
        <v>7</v>
      </c>
      <c r="D1670" t="str">
        <f>IF(包装物料出入库明细!$E1670="","",包装物料出入库明细!$F1670)</f>
        <v/>
      </c>
      <c r="E1670" t="str">
        <f>IF(包装物料出入库明细!$E1670="","",包装物料出入库明细!$G1670)</f>
        <v/>
      </c>
      <c r="K1670" t="str">
        <f>IF(包装物料出入库明细!$D1670="","",包装物料出入库明细!$D1670)</f>
        <v/>
      </c>
      <c r="L1670">
        <f t="shared" si="571"/>
        <v>0</v>
      </c>
      <c r="M1670">
        <f t="shared" si="572"/>
        <v>9</v>
      </c>
      <c r="Q1670" t="str">
        <f>IF(周转筐出入库明细!$D1671="","",周转筐出入库明细!$D1671)</f>
        <v/>
      </c>
      <c r="R1670">
        <f t="shared" si="573"/>
        <v>0</v>
      </c>
      <c r="S1670">
        <f t="shared" si="574"/>
        <v>5</v>
      </c>
      <c r="W1670" t="str">
        <f>IF(周转筐出入库明细!$C1671="","",周转筐出入库明细!$C1671)</f>
        <v/>
      </c>
      <c r="X1670">
        <f t="shared" si="575"/>
        <v>0</v>
      </c>
      <c r="Y1670">
        <f t="shared" si="576"/>
        <v>12</v>
      </c>
      <c r="CP1670">
        <f>IF(包装物料出入库明细!$D1670="",0,1)</f>
        <v>0</v>
      </c>
      <c r="CQ1670">
        <f t="shared" si="577"/>
        <v>37</v>
      </c>
      <c r="CS1670" t="str">
        <f>IF(OR(周转筐出入库明细!$C1671="",周转筐出入库明细!$F1671&lt;&gt;"采购入库"),"",周转筐出入库明细!$C1671)</f>
        <v/>
      </c>
      <c r="CT1670">
        <f t="shared" si="578"/>
        <v>0</v>
      </c>
      <c r="CU1670">
        <f t="shared" si="579"/>
        <v>1</v>
      </c>
    </row>
    <row r="1671" spans="1:99">
      <c r="A1671" t="str">
        <f>IF(包装物料出入库明细!$E1671="","",包装物料出入库明细!$E1671)</f>
        <v/>
      </c>
      <c r="B1671">
        <f t="shared" si="569"/>
        <v>0</v>
      </c>
      <c r="C1671">
        <f t="shared" si="570"/>
        <v>7</v>
      </c>
      <c r="D1671" t="str">
        <f>IF(包装物料出入库明细!$E1671="","",包装物料出入库明细!$F1671)</f>
        <v/>
      </c>
      <c r="E1671" t="str">
        <f>IF(包装物料出入库明细!$E1671="","",包装物料出入库明细!$G1671)</f>
        <v/>
      </c>
      <c r="K1671" t="str">
        <f>IF(包装物料出入库明细!$D1671="","",包装物料出入库明细!$D1671)</f>
        <v/>
      </c>
      <c r="L1671">
        <f t="shared" si="571"/>
        <v>0</v>
      </c>
      <c r="M1671">
        <f t="shared" si="572"/>
        <v>9</v>
      </c>
      <c r="Q1671" t="str">
        <f>IF(周转筐出入库明细!$D1672="","",周转筐出入库明细!$D1672)</f>
        <v/>
      </c>
      <c r="R1671">
        <f t="shared" si="573"/>
        <v>0</v>
      </c>
      <c r="S1671">
        <f t="shared" si="574"/>
        <v>5</v>
      </c>
      <c r="W1671" t="str">
        <f>IF(周转筐出入库明细!$C1672="","",周转筐出入库明细!$C1672)</f>
        <v/>
      </c>
      <c r="X1671">
        <f t="shared" si="575"/>
        <v>0</v>
      </c>
      <c r="Y1671">
        <f t="shared" si="576"/>
        <v>12</v>
      </c>
      <c r="CP1671">
        <f>IF(包装物料出入库明细!$D1671="",0,1)</f>
        <v>0</v>
      </c>
      <c r="CQ1671">
        <f t="shared" si="577"/>
        <v>37</v>
      </c>
      <c r="CS1671" t="str">
        <f>IF(OR(周转筐出入库明细!$C1672="",周转筐出入库明细!$F1672&lt;&gt;"采购入库"),"",周转筐出入库明细!$C1672)</f>
        <v/>
      </c>
      <c r="CT1671">
        <f t="shared" si="578"/>
        <v>0</v>
      </c>
      <c r="CU1671">
        <f t="shared" si="579"/>
        <v>1</v>
      </c>
    </row>
    <row r="1672" spans="1:99">
      <c r="A1672" t="str">
        <f>IF(包装物料出入库明细!$E1672="","",包装物料出入库明细!$E1672)</f>
        <v/>
      </c>
      <c r="B1672">
        <f t="shared" si="569"/>
        <v>0</v>
      </c>
      <c r="C1672">
        <f t="shared" si="570"/>
        <v>7</v>
      </c>
      <c r="D1672" t="str">
        <f>IF(包装物料出入库明细!$E1672="","",包装物料出入库明细!$F1672)</f>
        <v/>
      </c>
      <c r="E1672" t="str">
        <f>IF(包装物料出入库明细!$E1672="","",包装物料出入库明细!$G1672)</f>
        <v/>
      </c>
      <c r="K1672" t="str">
        <f>IF(包装物料出入库明细!$D1672="","",包装物料出入库明细!$D1672)</f>
        <v/>
      </c>
      <c r="L1672">
        <f t="shared" si="571"/>
        <v>0</v>
      </c>
      <c r="M1672">
        <f t="shared" si="572"/>
        <v>9</v>
      </c>
      <c r="Q1672" t="str">
        <f>IF(周转筐出入库明细!$D1673="","",周转筐出入库明细!$D1673)</f>
        <v/>
      </c>
      <c r="R1672">
        <f t="shared" si="573"/>
        <v>0</v>
      </c>
      <c r="S1672">
        <f t="shared" si="574"/>
        <v>5</v>
      </c>
      <c r="W1672" t="str">
        <f>IF(周转筐出入库明细!$C1673="","",周转筐出入库明细!$C1673)</f>
        <v/>
      </c>
      <c r="X1672">
        <f t="shared" si="575"/>
        <v>0</v>
      </c>
      <c r="Y1672">
        <f t="shared" si="576"/>
        <v>12</v>
      </c>
      <c r="CP1672">
        <f>IF(包装物料出入库明细!$D1672="",0,1)</f>
        <v>0</v>
      </c>
      <c r="CQ1672">
        <f t="shared" si="577"/>
        <v>37</v>
      </c>
      <c r="CS1672" t="str">
        <f>IF(OR(周转筐出入库明细!$C1673="",周转筐出入库明细!$F1673&lt;&gt;"采购入库"),"",周转筐出入库明细!$C1673)</f>
        <v/>
      </c>
      <c r="CT1672">
        <f t="shared" si="578"/>
        <v>0</v>
      </c>
      <c r="CU1672">
        <f t="shared" si="579"/>
        <v>1</v>
      </c>
    </row>
    <row r="1673" spans="1:99">
      <c r="A1673" t="str">
        <f>IF(包装物料出入库明细!$E1673="","",包装物料出入库明细!$E1673)</f>
        <v/>
      </c>
      <c r="B1673">
        <f t="shared" si="569"/>
        <v>0</v>
      </c>
      <c r="C1673">
        <f t="shared" si="570"/>
        <v>7</v>
      </c>
      <c r="D1673" t="str">
        <f>IF(包装物料出入库明细!$E1673="","",包装物料出入库明细!$F1673)</f>
        <v/>
      </c>
      <c r="E1673" t="str">
        <f>IF(包装物料出入库明细!$E1673="","",包装物料出入库明细!$G1673)</f>
        <v/>
      </c>
      <c r="K1673" t="str">
        <f>IF(包装物料出入库明细!$D1673="","",包装物料出入库明细!$D1673)</f>
        <v/>
      </c>
      <c r="L1673">
        <f t="shared" si="571"/>
        <v>0</v>
      </c>
      <c r="M1673">
        <f t="shared" si="572"/>
        <v>9</v>
      </c>
      <c r="Q1673" t="str">
        <f>IF(周转筐出入库明细!$D1674="","",周转筐出入库明细!$D1674)</f>
        <v/>
      </c>
      <c r="R1673">
        <f t="shared" si="573"/>
        <v>0</v>
      </c>
      <c r="S1673">
        <f t="shared" si="574"/>
        <v>5</v>
      </c>
      <c r="W1673" t="str">
        <f>IF(周转筐出入库明细!$C1674="","",周转筐出入库明细!$C1674)</f>
        <v/>
      </c>
      <c r="X1673">
        <f t="shared" si="575"/>
        <v>0</v>
      </c>
      <c r="Y1673">
        <f t="shared" si="576"/>
        <v>12</v>
      </c>
      <c r="CP1673">
        <f>IF(包装物料出入库明细!$D1673="",0,1)</f>
        <v>0</v>
      </c>
      <c r="CQ1673">
        <f t="shared" si="577"/>
        <v>37</v>
      </c>
      <c r="CS1673" t="str">
        <f>IF(OR(周转筐出入库明细!$C1674="",周转筐出入库明细!$F1674&lt;&gt;"采购入库"),"",周转筐出入库明细!$C1674)</f>
        <v/>
      </c>
      <c r="CT1673">
        <f t="shared" si="578"/>
        <v>0</v>
      </c>
      <c r="CU1673">
        <f t="shared" si="579"/>
        <v>1</v>
      </c>
    </row>
    <row r="1674" spans="1:99">
      <c r="A1674" t="str">
        <f>IF(包装物料出入库明细!$E1674="","",包装物料出入库明细!$E1674)</f>
        <v/>
      </c>
      <c r="B1674">
        <f t="shared" si="569"/>
        <v>0</v>
      </c>
      <c r="C1674">
        <f t="shared" si="570"/>
        <v>7</v>
      </c>
      <c r="D1674" t="str">
        <f>IF(包装物料出入库明细!$E1674="","",包装物料出入库明细!$F1674)</f>
        <v/>
      </c>
      <c r="E1674" t="str">
        <f>IF(包装物料出入库明细!$E1674="","",包装物料出入库明细!$G1674)</f>
        <v/>
      </c>
      <c r="K1674" t="str">
        <f>IF(包装物料出入库明细!$D1674="","",包装物料出入库明细!$D1674)</f>
        <v/>
      </c>
      <c r="L1674">
        <f t="shared" si="571"/>
        <v>0</v>
      </c>
      <c r="M1674">
        <f t="shared" si="572"/>
        <v>9</v>
      </c>
      <c r="Q1674" t="str">
        <f>IF(周转筐出入库明细!$D1675="","",周转筐出入库明细!$D1675)</f>
        <v/>
      </c>
      <c r="R1674">
        <f t="shared" si="573"/>
        <v>0</v>
      </c>
      <c r="S1674">
        <f t="shared" si="574"/>
        <v>5</v>
      </c>
      <c r="W1674" t="str">
        <f>IF(周转筐出入库明细!$C1675="","",周转筐出入库明细!$C1675)</f>
        <v/>
      </c>
      <c r="X1674">
        <f t="shared" si="575"/>
        <v>0</v>
      </c>
      <c r="Y1674">
        <f t="shared" si="576"/>
        <v>12</v>
      </c>
      <c r="CP1674">
        <f>IF(包装物料出入库明细!$D1674="",0,1)</f>
        <v>0</v>
      </c>
      <c r="CQ1674">
        <f t="shared" si="577"/>
        <v>37</v>
      </c>
      <c r="CS1674" t="str">
        <f>IF(OR(周转筐出入库明细!$C1675="",周转筐出入库明细!$F1675&lt;&gt;"采购入库"),"",周转筐出入库明细!$C1675)</f>
        <v/>
      </c>
      <c r="CT1674">
        <f t="shared" si="578"/>
        <v>0</v>
      </c>
      <c r="CU1674">
        <f t="shared" si="579"/>
        <v>1</v>
      </c>
    </row>
    <row r="1675" spans="1:99">
      <c r="A1675" t="str">
        <f>IF(包装物料出入库明细!$E1675="","",包装物料出入库明细!$E1675)</f>
        <v/>
      </c>
      <c r="B1675">
        <f t="shared" si="569"/>
        <v>0</v>
      </c>
      <c r="C1675">
        <f t="shared" si="570"/>
        <v>7</v>
      </c>
      <c r="D1675" t="str">
        <f>IF(包装物料出入库明细!$E1675="","",包装物料出入库明细!$F1675)</f>
        <v/>
      </c>
      <c r="E1675" t="str">
        <f>IF(包装物料出入库明细!$E1675="","",包装物料出入库明细!$G1675)</f>
        <v/>
      </c>
      <c r="K1675" t="str">
        <f>IF(包装物料出入库明细!$D1675="","",包装物料出入库明细!$D1675)</f>
        <v/>
      </c>
      <c r="L1675">
        <f t="shared" si="571"/>
        <v>0</v>
      </c>
      <c r="M1675">
        <f t="shared" si="572"/>
        <v>9</v>
      </c>
      <c r="Q1675" t="str">
        <f>IF(周转筐出入库明细!$D1676="","",周转筐出入库明细!$D1676)</f>
        <v/>
      </c>
      <c r="R1675">
        <f t="shared" si="573"/>
        <v>0</v>
      </c>
      <c r="S1675">
        <f t="shared" si="574"/>
        <v>5</v>
      </c>
      <c r="W1675" t="str">
        <f>IF(周转筐出入库明细!$C1676="","",周转筐出入库明细!$C1676)</f>
        <v/>
      </c>
      <c r="X1675">
        <f t="shared" si="575"/>
        <v>0</v>
      </c>
      <c r="Y1675">
        <f t="shared" si="576"/>
        <v>12</v>
      </c>
      <c r="CP1675">
        <f>IF(包装物料出入库明细!$D1675="",0,1)</f>
        <v>0</v>
      </c>
      <c r="CQ1675">
        <f t="shared" si="577"/>
        <v>37</v>
      </c>
      <c r="CS1675" t="str">
        <f>IF(OR(周转筐出入库明细!$C1676="",周转筐出入库明细!$F1676&lt;&gt;"采购入库"),"",周转筐出入库明细!$C1676)</f>
        <v/>
      </c>
      <c r="CT1675">
        <f t="shared" si="578"/>
        <v>0</v>
      </c>
      <c r="CU1675">
        <f t="shared" si="579"/>
        <v>1</v>
      </c>
    </row>
    <row r="1676" spans="1:99">
      <c r="A1676" t="str">
        <f>IF(包装物料出入库明细!$E1676="","",包装物料出入库明细!$E1676)</f>
        <v/>
      </c>
      <c r="B1676">
        <f t="shared" si="569"/>
        <v>0</v>
      </c>
      <c r="C1676">
        <f t="shared" si="570"/>
        <v>7</v>
      </c>
      <c r="D1676" t="str">
        <f>IF(包装物料出入库明细!$E1676="","",包装物料出入库明细!$F1676)</f>
        <v/>
      </c>
      <c r="E1676" t="str">
        <f>IF(包装物料出入库明细!$E1676="","",包装物料出入库明细!$G1676)</f>
        <v/>
      </c>
      <c r="K1676" t="str">
        <f>IF(包装物料出入库明细!$D1676="","",包装物料出入库明细!$D1676)</f>
        <v/>
      </c>
      <c r="L1676">
        <f t="shared" si="571"/>
        <v>0</v>
      </c>
      <c r="M1676">
        <f t="shared" si="572"/>
        <v>9</v>
      </c>
      <c r="Q1676" t="str">
        <f>IF(周转筐出入库明细!$D1677="","",周转筐出入库明细!$D1677)</f>
        <v/>
      </c>
      <c r="R1676">
        <f t="shared" si="573"/>
        <v>0</v>
      </c>
      <c r="S1676">
        <f t="shared" si="574"/>
        <v>5</v>
      </c>
      <c r="W1676" t="str">
        <f>IF(周转筐出入库明细!$C1677="","",周转筐出入库明细!$C1677)</f>
        <v/>
      </c>
      <c r="X1676">
        <f t="shared" si="575"/>
        <v>0</v>
      </c>
      <c r="Y1676">
        <f t="shared" si="576"/>
        <v>12</v>
      </c>
      <c r="CP1676">
        <f>IF(包装物料出入库明细!$D1676="",0,1)</f>
        <v>0</v>
      </c>
      <c r="CQ1676">
        <f t="shared" si="577"/>
        <v>37</v>
      </c>
      <c r="CS1676" t="str">
        <f>IF(OR(周转筐出入库明细!$C1677="",周转筐出入库明细!$F1677&lt;&gt;"采购入库"),"",周转筐出入库明细!$C1677)</f>
        <v/>
      </c>
      <c r="CT1676">
        <f t="shared" si="578"/>
        <v>0</v>
      </c>
      <c r="CU1676">
        <f t="shared" si="579"/>
        <v>1</v>
      </c>
    </row>
    <row r="1677" spans="1:99">
      <c r="A1677" t="str">
        <f>IF(包装物料出入库明细!$E1677="","",包装物料出入库明细!$E1677)</f>
        <v/>
      </c>
      <c r="B1677">
        <f t="shared" si="569"/>
        <v>0</v>
      </c>
      <c r="C1677">
        <f t="shared" si="570"/>
        <v>7</v>
      </c>
      <c r="D1677" t="str">
        <f>IF(包装物料出入库明细!$E1677="","",包装物料出入库明细!$F1677)</f>
        <v/>
      </c>
      <c r="E1677" t="str">
        <f>IF(包装物料出入库明细!$E1677="","",包装物料出入库明细!$G1677)</f>
        <v/>
      </c>
      <c r="K1677" t="str">
        <f>IF(包装物料出入库明细!$D1677="","",包装物料出入库明细!$D1677)</f>
        <v/>
      </c>
      <c r="L1677">
        <f t="shared" si="571"/>
        <v>0</v>
      </c>
      <c r="M1677">
        <f t="shared" si="572"/>
        <v>9</v>
      </c>
      <c r="Q1677" t="str">
        <f>IF(周转筐出入库明细!$D1678="","",周转筐出入库明细!$D1678)</f>
        <v/>
      </c>
      <c r="R1677">
        <f t="shared" si="573"/>
        <v>0</v>
      </c>
      <c r="S1677">
        <f t="shared" si="574"/>
        <v>5</v>
      </c>
      <c r="W1677" t="str">
        <f>IF(周转筐出入库明细!$C1678="","",周转筐出入库明细!$C1678)</f>
        <v/>
      </c>
      <c r="X1677">
        <f t="shared" si="575"/>
        <v>0</v>
      </c>
      <c r="Y1677">
        <f t="shared" si="576"/>
        <v>12</v>
      </c>
      <c r="CP1677">
        <f>IF(包装物料出入库明细!$D1677="",0,1)</f>
        <v>0</v>
      </c>
      <c r="CQ1677">
        <f t="shared" si="577"/>
        <v>37</v>
      </c>
      <c r="CS1677" t="str">
        <f>IF(OR(周转筐出入库明细!$C1678="",周转筐出入库明细!$F1678&lt;&gt;"采购入库"),"",周转筐出入库明细!$C1678)</f>
        <v/>
      </c>
      <c r="CT1677">
        <f t="shared" si="578"/>
        <v>0</v>
      </c>
      <c r="CU1677">
        <f t="shared" si="579"/>
        <v>1</v>
      </c>
    </row>
    <row r="1678" spans="1:99">
      <c r="A1678" t="str">
        <f>IF(包装物料出入库明细!$E1678="","",包装物料出入库明细!$E1678)</f>
        <v/>
      </c>
      <c r="B1678">
        <f t="shared" si="569"/>
        <v>0</v>
      </c>
      <c r="C1678">
        <f t="shared" si="570"/>
        <v>7</v>
      </c>
      <c r="D1678" t="str">
        <f>IF(包装物料出入库明细!$E1678="","",包装物料出入库明细!$F1678)</f>
        <v/>
      </c>
      <c r="E1678" t="str">
        <f>IF(包装物料出入库明细!$E1678="","",包装物料出入库明细!$G1678)</f>
        <v/>
      </c>
      <c r="K1678" t="str">
        <f>IF(包装物料出入库明细!$D1678="","",包装物料出入库明细!$D1678)</f>
        <v/>
      </c>
      <c r="L1678">
        <f t="shared" si="571"/>
        <v>0</v>
      </c>
      <c r="M1678">
        <f t="shared" si="572"/>
        <v>9</v>
      </c>
      <c r="Q1678" t="str">
        <f>IF(周转筐出入库明细!$D1679="","",周转筐出入库明细!$D1679)</f>
        <v/>
      </c>
      <c r="R1678">
        <f t="shared" si="573"/>
        <v>0</v>
      </c>
      <c r="S1678">
        <f t="shared" si="574"/>
        <v>5</v>
      </c>
      <c r="W1678" t="str">
        <f>IF(周转筐出入库明细!$C1679="","",周转筐出入库明细!$C1679)</f>
        <v/>
      </c>
      <c r="X1678">
        <f t="shared" si="575"/>
        <v>0</v>
      </c>
      <c r="Y1678">
        <f t="shared" si="576"/>
        <v>12</v>
      </c>
      <c r="CP1678">
        <f>IF(包装物料出入库明细!$D1678="",0,1)</f>
        <v>0</v>
      </c>
      <c r="CQ1678">
        <f t="shared" si="577"/>
        <v>37</v>
      </c>
      <c r="CS1678" t="str">
        <f>IF(OR(周转筐出入库明细!$C1679="",周转筐出入库明细!$F1679&lt;&gt;"采购入库"),"",周转筐出入库明细!$C1679)</f>
        <v/>
      </c>
      <c r="CT1678">
        <f t="shared" si="578"/>
        <v>0</v>
      </c>
      <c r="CU1678">
        <f t="shared" si="579"/>
        <v>1</v>
      </c>
    </row>
    <row r="1679" spans="1:99">
      <c r="A1679" t="str">
        <f>IF(包装物料出入库明细!$E1679="","",包装物料出入库明细!$E1679)</f>
        <v/>
      </c>
      <c r="B1679">
        <f t="shared" si="569"/>
        <v>0</v>
      </c>
      <c r="C1679">
        <f t="shared" si="570"/>
        <v>7</v>
      </c>
      <c r="D1679" t="str">
        <f>IF(包装物料出入库明细!$E1679="","",包装物料出入库明细!$F1679)</f>
        <v/>
      </c>
      <c r="E1679" t="str">
        <f>IF(包装物料出入库明细!$E1679="","",包装物料出入库明细!$G1679)</f>
        <v/>
      </c>
      <c r="K1679" t="str">
        <f>IF(包装物料出入库明细!$D1679="","",包装物料出入库明细!$D1679)</f>
        <v/>
      </c>
      <c r="L1679">
        <f t="shared" si="571"/>
        <v>0</v>
      </c>
      <c r="M1679">
        <f t="shared" si="572"/>
        <v>9</v>
      </c>
      <c r="Q1679" t="str">
        <f>IF(周转筐出入库明细!$D1680="","",周转筐出入库明细!$D1680)</f>
        <v/>
      </c>
      <c r="R1679">
        <f t="shared" si="573"/>
        <v>0</v>
      </c>
      <c r="S1679">
        <f t="shared" si="574"/>
        <v>5</v>
      </c>
      <c r="W1679" t="str">
        <f>IF(周转筐出入库明细!$C1680="","",周转筐出入库明细!$C1680)</f>
        <v/>
      </c>
      <c r="X1679">
        <f t="shared" si="575"/>
        <v>0</v>
      </c>
      <c r="Y1679">
        <f t="shared" si="576"/>
        <v>12</v>
      </c>
      <c r="CP1679">
        <f>IF(包装物料出入库明细!$D1679="",0,1)</f>
        <v>0</v>
      </c>
      <c r="CQ1679">
        <f t="shared" si="577"/>
        <v>37</v>
      </c>
      <c r="CS1679" t="str">
        <f>IF(OR(周转筐出入库明细!$C1680="",周转筐出入库明细!$F1680&lt;&gt;"采购入库"),"",周转筐出入库明细!$C1680)</f>
        <v/>
      </c>
      <c r="CT1679">
        <f t="shared" si="578"/>
        <v>0</v>
      </c>
      <c r="CU1679">
        <f t="shared" si="579"/>
        <v>1</v>
      </c>
    </row>
    <row r="1680" spans="1:99">
      <c r="A1680" t="str">
        <f>IF(包装物料出入库明细!$E1680="","",包装物料出入库明细!$E1680)</f>
        <v/>
      </c>
      <c r="B1680">
        <f t="shared" si="569"/>
        <v>0</v>
      </c>
      <c r="C1680">
        <f t="shared" si="570"/>
        <v>7</v>
      </c>
      <c r="D1680" t="str">
        <f>IF(包装物料出入库明细!$E1680="","",包装物料出入库明细!$F1680)</f>
        <v/>
      </c>
      <c r="E1680" t="str">
        <f>IF(包装物料出入库明细!$E1680="","",包装物料出入库明细!$G1680)</f>
        <v/>
      </c>
      <c r="K1680" t="str">
        <f>IF(包装物料出入库明细!$D1680="","",包装物料出入库明细!$D1680)</f>
        <v/>
      </c>
      <c r="L1680">
        <f t="shared" si="571"/>
        <v>0</v>
      </c>
      <c r="M1680">
        <f t="shared" si="572"/>
        <v>9</v>
      </c>
      <c r="Q1680" t="str">
        <f>IF(周转筐出入库明细!$D1681="","",周转筐出入库明细!$D1681)</f>
        <v/>
      </c>
      <c r="R1680">
        <f t="shared" si="573"/>
        <v>0</v>
      </c>
      <c r="S1680">
        <f t="shared" si="574"/>
        <v>5</v>
      </c>
      <c r="W1680" t="str">
        <f>IF(周转筐出入库明细!$C1681="","",周转筐出入库明细!$C1681)</f>
        <v/>
      </c>
      <c r="X1680">
        <f t="shared" si="575"/>
        <v>0</v>
      </c>
      <c r="Y1680">
        <f t="shared" si="576"/>
        <v>12</v>
      </c>
      <c r="CP1680">
        <f>IF(包装物料出入库明细!$D1680="",0,1)</f>
        <v>0</v>
      </c>
      <c r="CQ1680">
        <f t="shared" si="577"/>
        <v>37</v>
      </c>
      <c r="CS1680" t="str">
        <f>IF(OR(周转筐出入库明细!$C1681="",周转筐出入库明细!$F1681&lt;&gt;"采购入库"),"",周转筐出入库明细!$C1681)</f>
        <v/>
      </c>
      <c r="CT1680">
        <f t="shared" si="578"/>
        <v>0</v>
      </c>
      <c r="CU1680">
        <f t="shared" si="579"/>
        <v>1</v>
      </c>
    </row>
    <row r="1681" spans="1:99">
      <c r="A1681" t="str">
        <f>IF(包装物料出入库明细!$E1681="","",包装物料出入库明细!$E1681)</f>
        <v/>
      </c>
      <c r="B1681">
        <f t="shared" si="569"/>
        <v>0</v>
      </c>
      <c r="C1681">
        <f t="shared" si="570"/>
        <v>7</v>
      </c>
      <c r="D1681" t="str">
        <f>IF(包装物料出入库明细!$E1681="","",包装物料出入库明细!$F1681)</f>
        <v/>
      </c>
      <c r="E1681" t="str">
        <f>IF(包装物料出入库明细!$E1681="","",包装物料出入库明细!$G1681)</f>
        <v/>
      </c>
      <c r="K1681" t="str">
        <f>IF(包装物料出入库明细!$D1681="","",包装物料出入库明细!$D1681)</f>
        <v/>
      </c>
      <c r="L1681">
        <f t="shared" si="571"/>
        <v>0</v>
      </c>
      <c r="M1681">
        <f t="shared" si="572"/>
        <v>9</v>
      </c>
      <c r="Q1681" t="str">
        <f>IF(周转筐出入库明细!$D1682="","",周转筐出入库明细!$D1682)</f>
        <v/>
      </c>
      <c r="R1681">
        <f t="shared" si="573"/>
        <v>0</v>
      </c>
      <c r="S1681">
        <f t="shared" si="574"/>
        <v>5</v>
      </c>
      <c r="W1681" t="str">
        <f>IF(周转筐出入库明细!$C1682="","",周转筐出入库明细!$C1682)</f>
        <v/>
      </c>
      <c r="X1681">
        <f t="shared" si="575"/>
        <v>0</v>
      </c>
      <c r="Y1681">
        <f t="shared" si="576"/>
        <v>12</v>
      </c>
      <c r="CP1681">
        <f>IF(包装物料出入库明细!$D1681="",0,1)</f>
        <v>0</v>
      </c>
      <c r="CQ1681">
        <f t="shared" si="577"/>
        <v>37</v>
      </c>
      <c r="CS1681" t="str">
        <f>IF(OR(周转筐出入库明细!$C1682="",周转筐出入库明细!$F1682&lt;&gt;"采购入库"),"",周转筐出入库明细!$C1682)</f>
        <v/>
      </c>
      <c r="CT1681">
        <f t="shared" si="578"/>
        <v>0</v>
      </c>
      <c r="CU1681">
        <f t="shared" si="579"/>
        <v>1</v>
      </c>
    </row>
    <row r="1682" spans="1:99">
      <c r="A1682" t="str">
        <f>IF(包装物料出入库明细!$E1682="","",包装物料出入库明细!$E1682)</f>
        <v/>
      </c>
      <c r="B1682">
        <f t="shared" si="569"/>
        <v>0</v>
      </c>
      <c r="C1682">
        <f t="shared" si="570"/>
        <v>7</v>
      </c>
      <c r="D1682" t="str">
        <f>IF(包装物料出入库明细!$E1682="","",包装物料出入库明细!$F1682)</f>
        <v/>
      </c>
      <c r="E1682" t="str">
        <f>IF(包装物料出入库明细!$E1682="","",包装物料出入库明细!$G1682)</f>
        <v/>
      </c>
      <c r="K1682" t="str">
        <f>IF(包装物料出入库明细!$D1682="","",包装物料出入库明细!$D1682)</f>
        <v/>
      </c>
      <c r="L1682">
        <f t="shared" si="571"/>
        <v>0</v>
      </c>
      <c r="M1682">
        <f t="shared" si="572"/>
        <v>9</v>
      </c>
      <c r="Q1682" t="str">
        <f>IF(周转筐出入库明细!$D1683="","",周转筐出入库明细!$D1683)</f>
        <v/>
      </c>
      <c r="R1682">
        <f t="shared" si="573"/>
        <v>0</v>
      </c>
      <c r="S1682">
        <f t="shared" si="574"/>
        <v>5</v>
      </c>
      <c r="W1682" t="str">
        <f>IF(周转筐出入库明细!$C1683="","",周转筐出入库明细!$C1683)</f>
        <v/>
      </c>
      <c r="X1682">
        <f t="shared" si="575"/>
        <v>0</v>
      </c>
      <c r="Y1682">
        <f t="shared" si="576"/>
        <v>12</v>
      </c>
      <c r="CP1682">
        <f>IF(包装物料出入库明细!$D1682="",0,1)</f>
        <v>0</v>
      </c>
      <c r="CQ1682">
        <f t="shared" si="577"/>
        <v>37</v>
      </c>
      <c r="CS1682" t="str">
        <f>IF(OR(周转筐出入库明细!$C1683="",周转筐出入库明细!$F1683&lt;&gt;"采购入库"),"",周转筐出入库明细!$C1683)</f>
        <v/>
      </c>
      <c r="CT1682">
        <f t="shared" si="578"/>
        <v>0</v>
      </c>
      <c r="CU1682">
        <f t="shared" si="579"/>
        <v>1</v>
      </c>
    </row>
    <row r="1683" spans="1:99">
      <c r="A1683" t="str">
        <f>IF(包装物料出入库明细!$E1683="","",包装物料出入库明细!$E1683)</f>
        <v/>
      </c>
      <c r="B1683">
        <f t="shared" si="569"/>
        <v>0</v>
      </c>
      <c r="C1683">
        <f t="shared" si="570"/>
        <v>7</v>
      </c>
      <c r="D1683" t="str">
        <f>IF(包装物料出入库明细!$E1683="","",包装物料出入库明细!$F1683)</f>
        <v/>
      </c>
      <c r="E1683" t="str">
        <f>IF(包装物料出入库明细!$E1683="","",包装物料出入库明细!$G1683)</f>
        <v/>
      </c>
      <c r="K1683" t="str">
        <f>IF(包装物料出入库明细!$D1683="","",包装物料出入库明细!$D1683)</f>
        <v/>
      </c>
      <c r="L1683">
        <f t="shared" si="571"/>
        <v>0</v>
      </c>
      <c r="M1683">
        <f t="shared" si="572"/>
        <v>9</v>
      </c>
      <c r="Q1683" t="str">
        <f>IF(周转筐出入库明细!$D1684="","",周转筐出入库明细!$D1684)</f>
        <v/>
      </c>
      <c r="R1683">
        <f t="shared" si="573"/>
        <v>0</v>
      </c>
      <c r="S1683">
        <f t="shared" si="574"/>
        <v>5</v>
      </c>
      <c r="W1683" t="str">
        <f>IF(周转筐出入库明细!$C1684="","",周转筐出入库明细!$C1684)</f>
        <v/>
      </c>
      <c r="X1683">
        <f t="shared" si="575"/>
        <v>0</v>
      </c>
      <c r="Y1683">
        <f t="shared" si="576"/>
        <v>12</v>
      </c>
      <c r="CP1683">
        <f>IF(包装物料出入库明细!$D1683="",0,1)</f>
        <v>0</v>
      </c>
      <c r="CQ1683">
        <f t="shared" si="577"/>
        <v>37</v>
      </c>
      <c r="CS1683" t="str">
        <f>IF(OR(周转筐出入库明细!$C1684="",周转筐出入库明细!$F1684&lt;&gt;"采购入库"),"",周转筐出入库明细!$C1684)</f>
        <v/>
      </c>
      <c r="CT1683">
        <f t="shared" si="578"/>
        <v>0</v>
      </c>
      <c r="CU1683">
        <f t="shared" si="579"/>
        <v>1</v>
      </c>
    </row>
    <row r="1684" spans="1:99">
      <c r="A1684" t="str">
        <f>IF(包装物料出入库明细!$E1684="","",包装物料出入库明细!$E1684)</f>
        <v/>
      </c>
      <c r="B1684">
        <f t="shared" si="569"/>
        <v>0</v>
      </c>
      <c r="C1684">
        <f t="shared" si="570"/>
        <v>7</v>
      </c>
      <c r="D1684" t="str">
        <f>IF(包装物料出入库明细!$E1684="","",包装物料出入库明细!$F1684)</f>
        <v/>
      </c>
      <c r="E1684" t="str">
        <f>IF(包装物料出入库明细!$E1684="","",包装物料出入库明细!$G1684)</f>
        <v/>
      </c>
      <c r="K1684" t="str">
        <f>IF(包装物料出入库明细!$D1684="","",包装物料出入库明细!$D1684)</f>
        <v/>
      </c>
      <c r="L1684">
        <f t="shared" si="571"/>
        <v>0</v>
      </c>
      <c r="M1684">
        <f t="shared" si="572"/>
        <v>9</v>
      </c>
      <c r="Q1684" t="str">
        <f>IF(周转筐出入库明细!$D1685="","",周转筐出入库明细!$D1685)</f>
        <v/>
      </c>
      <c r="R1684">
        <f t="shared" si="573"/>
        <v>0</v>
      </c>
      <c r="S1684">
        <f t="shared" si="574"/>
        <v>5</v>
      </c>
      <c r="W1684" t="str">
        <f>IF(周转筐出入库明细!$C1685="","",周转筐出入库明细!$C1685)</f>
        <v/>
      </c>
      <c r="X1684">
        <f t="shared" si="575"/>
        <v>0</v>
      </c>
      <c r="Y1684">
        <f t="shared" si="576"/>
        <v>12</v>
      </c>
      <c r="CP1684">
        <f>IF(包装物料出入库明细!$D1684="",0,1)</f>
        <v>0</v>
      </c>
      <c r="CQ1684">
        <f t="shared" si="577"/>
        <v>37</v>
      </c>
      <c r="CS1684" t="str">
        <f>IF(OR(周转筐出入库明细!$C1685="",周转筐出入库明细!$F1685&lt;&gt;"采购入库"),"",周转筐出入库明细!$C1685)</f>
        <v/>
      </c>
      <c r="CT1684">
        <f t="shared" si="578"/>
        <v>0</v>
      </c>
      <c r="CU1684">
        <f t="shared" si="579"/>
        <v>1</v>
      </c>
    </row>
    <row r="1685" spans="1:99">
      <c r="A1685" t="str">
        <f>IF(包装物料出入库明细!$E1685="","",包装物料出入库明细!$E1685)</f>
        <v/>
      </c>
      <c r="B1685">
        <f t="shared" si="569"/>
        <v>0</v>
      </c>
      <c r="C1685">
        <f t="shared" si="570"/>
        <v>7</v>
      </c>
      <c r="D1685" t="str">
        <f>IF(包装物料出入库明细!$E1685="","",包装物料出入库明细!$F1685)</f>
        <v/>
      </c>
      <c r="E1685" t="str">
        <f>IF(包装物料出入库明细!$E1685="","",包装物料出入库明细!$G1685)</f>
        <v/>
      </c>
      <c r="K1685" t="str">
        <f>IF(包装物料出入库明细!$D1685="","",包装物料出入库明细!$D1685)</f>
        <v/>
      </c>
      <c r="L1685">
        <f t="shared" si="571"/>
        <v>0</v>
      </c>
      <c r="M1685">
        <f t="shared" si="572"/>
        <v>9</v>
      </c>
      <c r="Q1685" t="str">
        <f>IF(周转筐出入库明细!$D1686="","",周转筐出入库明细!$D1686)</f>
        <v/>
      </c>
      <c r="R1685">
        <f t="shared" si="573"/>
        <v>0</v>
      </c>
      <c r="S1685">
        <f t="shared" si="574"/>
        <v>5</v>
      </c>
      <c r="W1685" t="str">
        <f>IF(周转筐出入库明细!$C1686="","",周转筐出入库明细!$C1686)</f>
        <v/>
      </c>
      <c r="X1685">
        <f t="shared" si="575"/>
        <v>0</v>
      </c>
      <c r="Y1685">
        <f t="shared" si="576"/>
        <v>12</v>
      </c>
      <c r="CP1685">
        <f>IF(包装物料出入库明细!$D1685="",0,1)</f>
        <v>0</v>
      </c>
      <c r="CQ1685">
        <f t="shared" si="577"/>
        <v>37</v>
      </c>
      <c r="CS1685" t="str">
        <f>IF(OR(周转筐出入库明细!$C1686="",周转筐出入库明细!$F1686&lt;&gt;"采购入库"),"",周转筐出入库明细!$C1686)</f>
        <v/>
      </c>
      <c r="CT1685">
        <f t="shared" si="578"/>
        <v>0</v>
      </c>
      <c r="CU1685">
        <f t="shared" si="579"/>
        <v>1</v>
      </c>
    </row>
    <row r="1686" spans="1:99">
      <c r="A1686" t="str">
        <f>IF(包装物料出入库明细!$E1686="","",包装物料出入库明细!$E1686)</f>
        <v/>
      </c>
      <c r="B1686">
        <f t="shared" si="569"/>
        <v>0</v>
      </c>
      <c r="C1686">
        <f t="shared" si="570"/>
        <v>7</v>
      </c>
      <c r="D1686" t="str">
        <f>IF(包装物料出入库明细!$E1686="","",包装物料出入库明细!$F1686)</f>
        <v/>
      </c>
      <c r="E1686" t="str">
        <f>IF(包装物料出入库明细!$E1686="","",包装物料出入库明细!$G1686)</f>
        <v/>
      </c>
      <c r="K1686" t="str">
        <f>IF(包装物料出入库明细!$D1686="","",包装物料出入库明细!$D1686)</f>
        <v/>
      </c>
      <c r="L1686">
        <f t="shared" si="571"/>
        <v>0</v>
      </c>
      <c r="M1686">
        <f t="shared" si="572"/>
        <v>9</v>
      </c>
      <c r="Q1686" t="str">
        <f>IF(周转筐出入库明细!$D1687="","",周转筐出入库明细!$D1687)</f>
        <v/>
      </c>
      <c r="R1686">
        <f t="shared" si="573"/>
        <v>0</v>
      </c>
      <c r="S1686">
        <f t="shared" si="574"/>
        <v>5</v>
      </c>
      <c r="W1686" t="str">
        <f>IF(周转筐出入库明细!$C1687="","",周转筐出入库明细!$C1687)</f>
        <v/>
      </c>
      <c r="X1686">
        <f t="shared" si="575"/>
        <v>0</v>
      </c>
      <c r="Y1686">
        <f t="shared" si="576"/>
        <v>12</v>
      </c>
      <c r="CP1686">
        <f>IF(包装物料出入库明细!$D1686="",0,1)</f>
        <v>0</v>
      </c>
      <c r="CQ1686">
        <f t="shared" si="577"/>
        <v>37</v>
      </c>
      <c r="CS1686" t="str">
        <f>IF(OR(周转筐出入库明细!$C1687="",周转筐出入库明细!$F1687&lt;&gt;"采购入库"),"",周转筐出入库明细!$C1687)</f>
        <v/>
      </c>
      <c r="CT1686">
        <f t="shared" si="578"/>
        <v>0</v>
      </c>
      <c r="CU1686">
        <f t="shared" si="579"/>
        <v>1</v>
      </c>
    </row>
    <row r="1687" spans="1:99">
      <c r="A1687" t="str">
        <f>IF(包装物料出入库明细!$E1687="","",包装物料出入库明细!$E1687)</f>
        <v/>
      </c>
      <c r="B1687">
        <f t="shared" si="569"/>
        <v>0</v>
      </c>
      <c r="C1687">
        <f t="shared" si="570"/>
        <v>7</v>
      </c>
      <c r="D1687" t="str">
        <f>IF(包装物料出入库明细!$E1687="","",包装物料出入库明细!$F1687)</f>
        <v/>
      </c>
      <c r="E1687" t="str">
        <f>IF(包装物料出入库明细!$E1687="","",包装物料出入库明细!$G1687)</f>
        <v/>
      </c>
      <c r="K1687" t="str">
        <f>IF(包装物料出入库明细!$D1687="","",包装物料出入库明细!$D1687)</f>
        <v/>
      </c>
      <c r="L1687">
        <f t="shared" si="571"/>
        <v>0</v>
      </c>
      <c r="M1687">
        <f t="shared" si="572"/>
        <v>9</v>
      </c>
      <c r="Q1687" t="str">
        <f>IF(周转筐出入库明细!$D1688="","",周转筐出入库明细!$D1688)</f>
        <v/>
      </c>
      <c r="R1687">
        <f t="shared" si="573"/>
        <v>0</v>
      </c>
      <c r="S1687">
        <f t="shared" si="574"/>
        <v>5</v>
      </c>
      <c r="W1687" t="str">
        <f>IF(周转筐出入库明细!$C1688="","",周转筐出入库明细!$C1688)</f>
        <v/>
      </c>
      <c r="X1687">
        <f t="shared" si="575"/>
        <v>0</v>
      </c>
      <c r="Y1687">
        <f t="shared" si="576"/>
        <v>12</v>
      </c>
      <c r="CP1687">
        <f>IF(包装物料出入库明细!$D1687="",0,1)</f>
        <v>0</v>
      </c>
      <c r="CQ1687">
        <f t="shared" si="577"/>
        <v>37</v>
      </c>
      <c r="CS1687" t="str">
        <f>IF(OR(周转筐出入库明细!$C1688="",周转筐出入库明细!$F1688&lt;&gt;"采购入库"),"",周转筐出入库明细!$C1688)</f>
        <v/>
      </c>
      <c r="CT1687">
        <f t="shared" si="578"/>
        <v>0</v>
      </c>
      <c r="CU1687">
        <f t="shared" si="579"/>
        <v>1</v>
      </c>
    </row>
    <row r="1688" spans="1:99">
      <c r="A1688" t="str">
        <f>IF(包装物料出入库明细!$E1688="","",包装物料出入库明细!$E1688)</f>
        <v/>
      </c>
      <c r="B1688">
        <f t="shared" si="569"/>
        <v>0</v>
      </c>
      <c r="C1688">
        <f t="shared" si="570"/>
        <v>7</v>
      </c>
      <c r="D1688" t="str">
        <f>IF(包装物料出入库明细!$E1688="","",包装物料出入库明细!$F1688)</f>
        <v/>
      </c>
      <c r="E1688" t="str">
        <f>IF(包装物料出入库明细!$E1688="","",包装物料出入库明细!$G1688)</f>
        <v/>
      </c>
      <c r="K1688" t="str">
        <f>IF(包装物料出入库明细!$D1688="","",包装物料出入库明细!$D1688)</f>
        <v/>
      </c>
      <c r="L1688">
        <f t="shared" si="571"/>
        <v>0</v>
      </c>
      <c r="M1688">
        <f t="shared" si="572"/>
        <v>9</v>
      </c>
      <c r="Q1688" t="str">
        <f>IF(周转筐出入库明细!$D1689="","",周转筐出入库明细!$D1689)</f>
        <v/>
      </c>
      <c r="R1688">
        <f t="shared" si="573"/>
        <v>0</v>
      </c>
      <c r="S1688">
        <f t="shared" si="574"/>
        <v>5</v>
      </c>
      <c r="W1688" t="str">
        <f>IF(周转筐出入库明细!$C1689="","",周转筐出入库明细!$C1689)</f>
        <v/>
      </c>
      <c r="X1688">
        <f t="shared" si="575"/>
        <v>0</v>
      </c>
      <c r="Y1688">
        <f t="shared" si="576"/>
        <v>12</v>
      </c>
      <c r="CP1688">
        <f>IF(包装物料出入库明细!$D1688="",0,1)</f>
        <v>0</v>
      </c>
      <c r="CQ1688">
        <f t="shared" si="577"/>
        <v>37</v>
      </c>
      <c r="CS1688" t="str">
        <f>IF(OR(周转筐出入库明细!$C1689="",周转筐出入库明细!$F1689&lt;&gt;"采购入库"),"",周转筐出入库明细!$C1689)</f>
        <v/>
      </c>
      <c r="CT1688">
        <f t="shared" si="578"/>
        <v>0</v>
      </c>
      <c r="CU1688">
        <f t="shared" si="579"/>
        <v>1</v>
      </c>
    </row>
    <row r="1689" spans="1:99">
      <c r="A1689" t="str">
        <f>IF(包装物料出入库明细!$E1689="","",包装物料出入库明细!$E1689)</f>
        <v/>
      </c>
      <c r="B1689">
        <f t="shared" si="569"/>
        <v>0</v>
      </c>
      <c r="C1689">
        <f t="shared" si="570"/>
        <v>7</v>
      </c>
      <c r="D1689" t="str">
        <f>IF(包装物料出入库明细!$E1689="","",包装物料出入库明细!$F1689)</f>
        <v/>
      </c>
      <c r="E1689" t="str">
        <f>IF(包装物料出入库明细!$E1689="","",包装物料出入库明细!$G1689)</f>
        <v/>
      </c>
      <c r="K1689" t="str">
        <f>IF(包装物料出入库明细!$D1689="","",包装物料出入库明细!$D1689)</f>
        <v/>
      </c>
      <c r="L1689">
        <f t="shared" si="571"/>
        <v>0</v>
      </c>
      <c r="M1689">
        <f t="shared" si="572"/>
        <v>9</v>
      </c>
      <c r="Q1689" t="str">
        <f>IF(周转筐出入库明细!$D1690="","",周转筐出入库明细!$D1690)</f>
        <v/>
      </c>
      <c r="R1689">
        <f t="shared" si="573"/>
        <v>0</v>
      </c>
      <c r="S1689">
        <f t="shared" si="574"/>
        <v>5</v>
      </c>
      <c r="W1689" t="str">
        <f>IF(周转筐出入库明细!$C1690="","",周转筐出入库明细!$C1690)</f>
        <v/>
      </c>
      <c r="X1689">
        <f t="shared" si="575"/>
        <v>0</v>
      </c>
      <c r="Y1689">
        <f t="shared" si="576"/>
        <v>12</v>
      </c>
      <c r="CP1689">
        <f>IF(包装物料出入库明细!$D1689="",0,1)</f>
        <v>0</v>
      </c>
      <c r="CQ1689">
        <f t="shared" si="577"/>
        <v>37</v>
      </c>
      <c r="CS1689" t="str">
        <f>IF(OR(周转筐出入库明细!$C1690="",周转筐出入库明细!$F1690&lt;&gt;"采购入库"),"",周转筐出入库明细!$C1690)</f>
        <v/>
      </c>
      <c r="CT1689">
        <f t="shared" si="578"/>
        <v>0</v>
      </c>
      <c r="CU1689">
        <f t="shared" si="579"/>
        <v>1</v>
      </c>
    </row>
    <row r="1690" spans="1:99">
      <c r="A1690" t="str">
        <f>IF(包装物料出入库明细!$E1690="","",包装物料出入库明细!$E1690)</f>
        <v/>
      </c>
      <c r="B1690">
        <f t="shared" si="569"/>
        <v>0</v>
      </c>
      <c r="C1690">
        <f t="shared" si="570"/>
        <v>7</v>
      </c>
      <c r="D1690" t="str">
        <f>IF(包装物料出入库明细!$E1690="","",包装物料出入库明细!$F1690)</f>
        <v/>
      </c>
      <c r="E1690" t="str">
        <f>IF(包装物料出入库明细!$E1690="","",包装物料出入库明细!$G1690)</f>
        <v/>
      </c>
      <c r="K1690" t="str">
        <f>IF(包装物料出入库明细!$D1690="","",包装物料出入库明细!$D1690)</f>
        <v/>
      </c>
      <c r="L1690">
        <f t="shared" si="571"/>
        <v>0</v>
      </c>
      <c r="M1690">
        <f t="shared" si="572"/>
        <v>9</v>
      </c>
      <c r="Q1690" t="str">
        <f>IF(周转筐出入库明细!$D1691="","",周转筐出入库明细!$D1691)</f>
        <v/>
      </c>
      <c r="R1690">
        <f t="shared" si="573"/>
        <v>0</v>
      </c>
      <c r="S1690">
        <f t="shared" si="574"/>
        <v>5</v>
      </c>
      <c r="W1690" t="str">
        <f>IF(周转筐出入库明细!$C1691="","",周转筐出入库明细!$C1691)</f>
        <v/>
      </c>
      <c r="X1690">
        <f t="shared" si="575"/>
        <v>0</v>
      </c>
      <c r="Y1690">
        <f t="shared" si="576"/>
        <v>12</v>
      </c>
      <c r="CP1690">
        <f>IF(包装物料出入库明细!$D1690="",0,1)</f>
        <v>0</v>
      </c>
      <c r="CQ1690">
        <f t="shared" si="577"/>
        <v>37</v>
      </c>
      <c r="CS1690" t="str">
        <f>IF(OR(周转筐出入库明细!$C1691="",周转筐出入库明细!$F1691&lt;&gt;"采购入库"),"",周转筐出入库明细!$C1691)</f>
        <v/>
      </c>
      <c r="CT1690">
        <f t="shared" si="578"/>
        <v>0</v>
      </c>
      <c r="CU1690">
        <f t="shared" si="579"/>
        <v>1</v>
      </c>
    </row>
    <row r="1691" spans="1:99">
      <c r="A1691" t="str">
        <f>IF(包装物料出入库明细!$E1691="","",包装物料出入库明细!$E1691)</f>
        <v/>
      </c>
      <c r="B1691">
        <f t="shared" si="569"/>
        <v>0</v>
      </c>
      <c r="C1691">
        <f t="shared" si="570"/>
        <v>7</v>
      </c>
      <c r="D1691" t="str">
        <f>IF(包装物料出入库明细!$E1691="","",包装物料出入库明细!$F1691)</f>
        <v/>
      </c>
      <c r="E1691" t="str">
        <f>IF(包装物料出入库明细!$E1691="","",包装物料出入库明细!$G1691)</f>
        <v/>
      </c>
      <c r="K1691" t="str">
        <f>IF(包装物料出入库明细!$D1691="","",包装物料出入库明细!$D1691)</f>
        <v/>
      </c>
      <c r="L1691">
        <f t="shared" si="571"/>
        <v>0</v>
      </c>
      <c r="M1691">
        <f t="shared" si="572"/>
        <v>9</v>
      </c>
      <c r="Q1691" t="str">
        <f>IF(周转筐出入库明细!$D1692="","",周转筐出入库明细!$D1692)</f>
        <v/>
      </c>
      <c r="R1691">
        <f t="shared" si="573"/>
        <v>0</v>
      </c>
      <c r="S1691">
        <f t="shared" si="574"/>
        <v>5</v>
      </c>
      <c r="W1691" t="str">
        <f>IF(周转筐出入库明细!$C1692="","",周转筐出入库明细!$C1692)</f>
        <v/>
      </c>
      <c r="X1691">
        <f t="shared" si="575"/>
        <v>0</v>
      </c>
      <c r="Y1691">
        <f t="shared" si="576"/>
        <v>12</v>
      </c>
      <c r="CP1691">
        <f>IF(包装物料出入库明细!$D1691="",0,1)</f>
        <v>0</v>
      </c>
      <c r="CQ1691">
        <f t="shared" si="577"/>
        <v>37</v>
      </c>
      <c r="CS1691" t="str">
        <f>IF(OR(周转筐出入库明细!$C1692="",周转筐出入库明细!$F1692&lt;&gt;"采购入库"),"",周转筐出入库明细!$C1692)</f>
        <v/>
      </c>
      <c r="CT1691">
        <f t="shared" si="578"/>
        <v>0</v>
      </c>
      <c r="CU1691">
        <f t="shared" si="579"/>
        <v>1</v>
      </c>
    </row>
    <row r="1692" spans="1:99">
      <c r="A1692" t="str">
        <f>IF(包装物料出入库明细!$E1692="","",包装物料出入库明细!$E1692)</f>
        <v/>
      </c>
      <c r="B1692">
        <f t="shared" si="569"/>
        <v>0</v>
      </c>
      <c r="C1692">
        <f t="shared" si="570"/>
        <v>7</v>
      </c>
      <c r="D1692" t="str">
        <f>IF(包装物料出入库明细!$E1692="","",包装物料出入库明细!$F1692)</f>
        <v/>
      </c>
      <c r="E1692" t="str">
        <f>IF(包装物料出入库明细!$E1692="","",包装物料出入库明细!$G1692)</f>
        <v/>
      </c>
      <c r="K1692" t="str">
        <f>IF(包装物料出入库明细!$D1692="","",包装物料出入库明细!$D1692)</f>
        <v/>
      </c>
      <c r="L1692">
        <f t="shared" si="571"/>
        <v>0</v>
      </c>
      <c r="M1692">
        <f t="shared" si="572"/>
        <v>9</v>
      </c>
      <c r="Q1692" t="str">
        <f>IF(周转筐出入库明细!$D1693="","",周转筐出入库明细!$D1693)</f>
        <v/>
      </c>
      <c r="R1692">
        <f t="shared" si="573"/>
        <v>0</v>
      </c>
      <c r="S1692">
        <f t="shared" si="574"/>
        <v>5</v>
      </c>
      <c r="W1692" t="str">
        <f>IF(周转筐出入库明细!$C1693="","",周转筐出入库明细!$C1693)</f>
        <v/>
      </c>
      <c r="X1692">
        <f t="shared" si="575"/>
        <v>0</v>
      </c>
      <c r="Y1692">
        <f t="shared" si="576"/>
        <v>12</v>
      </c>
      <c r="CP1692">
        <f>IF(包装物料出入库明细!$D1692="",0,1)</f>
        <v>0</v>
      </c>
      <c r="CQ1692">
        <f t="shared" si="577"/>
        <v>37</v>
      </c>
      <c r="CS1692" t="str">
        <f>IF(OR(周转筐出入库明细!$C1693="",周转筐出入库明细!$F1693&lt;&gt;"采购入库"),"",周转筐出入库明细!$C1693)</f>
        <v/>
      </c>
      <c r="CT1692">
        <f t="shared" si="578"/>
        <v>0</v>
      </c>
      <c r="CU1692">
        <f t="shared" si="579"/>
        <v>1</v>
      </c>
    </row>
    <row r="1693" spans="1:99">
      <c r="A1693" t="str">
        <f>IF(包装物料出入库明细!$E1693="","",包装物料出入库明细!$E1693)</f>
        <v/>
      </c>
      <c r="B1693">
        <f t="shared" si="569"/>
        <v>0</v>
      </c>
      <c r="C1693">
        <f t="shared" si="570"/>
        <v>7</v>
      </c>
      <c r="D1693" t="str">
        <f>IF(包装物料出入库明细!$E1693="","",包装物料出入库明细!$F1693)</f>
        <v/>
      </c>
      <c r="E1693" t="str">
        <f>IF(包装物料出入库明细!$E1693="","",包装物料出入库明细!$G1693)</f>
        <v/>
      </c>
      <c r="K1693" t="str">
        <f>IF(包装物料出入库明细!$D1693="","",包装物料出入库明细!$D1693)</f>
        <v/>
      </c>
      <c r="L1693">
        <f t="shared" si="571"/>
        <v>0</v>
      </c>
      <c r="M1693">
        <f t="shared" si="572"/>
        <v>9</v>
      </c>
      <c r="Q1693" t="str">
        <f>IF(周转筐出入库明细!$D1694="","",周转筐出入库明细!$D1694)</f>
        <v/>
      </c>
      <c r="R1693">
        <f t="shared" si="573"/>
        <v>0</v>
      </c>
      <c r="S1693">
        <f t="shared" si="574"/>
        <v>5</v>
      </c>
      <c r="W1693" t="str">
        <f>IF(周转筐出入库明细!$C1694="","",周转筐出入库明细!$C1694)</f>
        <v/>
      </c>
      <c r="X1693">
        <f t="shared" si="575"/>
        <v>0</v>
      </c>
      <c r="Y1693">
        <f t="shared" si="576"/>
        <v>12</v>
      </c>
      <c r="CP1693">
        <f>IF(包装物料出入库明细!$D1693="",0,1)</f>
        <v>0</v>
      </c>
      <c r="CQ1693">
        <f t="shared" si="577"/>
        <v>37</v>
      </c>
      <c r="CS1693" t="str">
        <f>IF(OR(周转筐出入库明细!$C1694="",周转筐出入库明细!$F1694&lt;&gt;"采购入库"),"",周转筐出入库明细!$C1694)</f>
        <v/>
      </c>
      <c r="CT1693">
        <f t="shared" si="578"/>
        <v>0</v>
      </c>
      <c r="CU1693">
        <f t="shared" si="579"/>
        <v>1</v>
      </c>
    </row>
    <row r="1694" spans="1:99">
      <c r="A1694" t="str">
        <f>IF(包装物料出入库明细!$E1694="","",包装物料出入库明细!$E1694)</f>
        <v/>
      </c>
      <c r="B1694">
        <f t="shared" si="569"/>
        <v>0</v>
      </c>
      <c r="C1694">
        <f t="shared" si="570"/>
        <v>7</v>
      </c>
      <c r="D1694" t="str">
        <f>IF(包装物料出入库明细!$E1694="","",包装物料出入库明细!$F1694)</f>
        <v/>
      </c>
      <c r="E1694" t="str">
        <f>IF(包装物料出入库明细!$E1694="","",包装物料出入库明细!$G1694)</f>
        <v/>
      </c>
      <c r="K1694" t="str">
        <f>IF(包装物料出入库明细!$D1694="","",包装物料出入库明细!$D1694)</f>
        <v/>
      </c>
      <c r="L1694">
        <f t="shared" si="571"/>
        <v>0</v>
      </c>
      <c r="M1694">
        <f t="shared" si="572"/>
        <v>9</v>
      </c>
      <c r="Q1694" t="str">
        <f>IF(周转筐出入库明细!$D1695="","",周转筐出入库明细!$D1695)</f>
        <v/>
      </c>
      <c r="R1694">
        <f t="shared" si="573"/>
        <v>0</v>
      </c>
      <c r="S1694">
        <f t="shared" si="574"/>
        <v>5</v>
      </c>
      <c r="W1694" t="str">
        <f>IF(周转筐出入库明细!$C1695="","",周转筐出入库明细!$C1695)</f>
        <v/>
      </c>
      <c r="X1694">
        <f t="shared" si="575"/>
        <v>0</v>
      </c>
      <c r="Y1694">
        <f t="shared" si="576"/>
        <v>12</v>
      </c>
      <c r="CP1694">
        <f>IF(包装物料出入库明细!$D1694="",0,1)</f>
        <v>0</v>
      </c>
      <c r="CQ1694">
        <f t="shared" si="577"/>
        <v>37</v>
      </c>
      <c r="CS1694" t="str">
        <f>IF(OR(周转筐出入库明细!$C1695="",周转筐出入库明细!$F1695&lt;&gt;"采购入库"),"",周转筐出入库明细!$C1695)</f>
        <v/>
      </c>
      <c r="CT1694">
        <f t="shared" si="578"/>
        <v>0</v>
      </c>
      <c r="CU1694">
        <f t="shared" si="579"/>
        <v>1</v>
      </c>
    </row>
    <row r="1695" spans="1:99">
      <c r="A1695" t="str">
        <f>IF(包装物料出入库明细!$E1695="","",包装物料出入库明细!$E1695)</f>
        <v/>
      </c>
      <c r="B1695">
        <f t="shared" si="569"/>
        <v>0</v>
      </c>
      <c r="C1695">
        <f t="shared" si="570"/>
        <v>7</v>
      </c>
      <c r="D1695" t="str">
        <f>IF(包装物料出入库明细!$E1695="","",包装物料出入库明细!$F1695)</f>
        <v/>
      </c>
      <c r="E1695" t="str">
        <f>IF(包装物料出入库明细!$E1695="","",包装物料出入库明细!$G1695)</f>
        <v/>
      </c>
      <c r="K1695" t="str">
        <f>IF(包装物料出入库明细!$D1695="","",包装物料出入库明细!$D1695)</f>
        <v/>
      </c>
      <c r="L1695">
        <f t="shared" si="571"/>
        <v>0</v>
      </c>
      <c r="M1695">
        <f t="shared" si="572"/>
        <v>9</v>
      </c>
      <c r="Q1695" t="str">
        <f>IF(周转筐出入库明细!$D1696="","",周转筐出入库明细!$D1696)</f>
        <v/>
      </c>
      <c r="R1695">
        <f t="shared" si="573"/>
        <v>0</v>
      </c>
      <c r="S1695">
        <f t="shared" si="574"/>
        <v>5</v>
      </c>
      <c r="W1695" t="str">
        <f>IF(周转筐出入库明细!$C1696="","",周转筐出入库明细!$C1696)</f>
        <v/>
      </c>
      <c r="X1695">
        <f t="shared" si="575"/>
        <v>0</v>
      </c>
      <c r="Y1695">
        <f t="shared" si="576"/>
        <v>12</v>
      </c>
      <c r="CP1695">
        <f>IF(包装物料出入库明细!$D1695="",0,1)</f>
        <v>0</v>
      </c>
      <c r="CQ1695">
        <f t="shared" si="577"/>
        <v>37</v>
      </c>
      <c r="CS1695" t="str">
        <f>IF(OR(周转筐出入库明细!$C1696="",周转筐出入库明细!$F1696&lt;&gt;"采购入库"),"",周转筐出入库明细!$C1696)</f>
        <v/>
      </c>
      <c r="CT1695">
        <f t="shared" si="578"/>
        <v>0</v>
      </c>
      <c r="CU1695">
        <f t="shared" si="579"/>
        <v>1</v>
      </c>
    </row>
    <row r="1696" spans="1:99">
      <c r="A1696" t="str">
        <f>IF(包装物料出入库明细!$E1696="","",包装物料出入库明细!$E1696)</f>
        <v/>
      </c>
      <c r="B1696">
        <f t="shared" si="569"/>
        <v>0</v>
      </c>
      <c r="C1696">
        <f t="shared" si="570"/>
        <v>7</v>
      </c>
      <c r="D1696" t="str">
        <f>IF(包装物料出入库明细!$E1696="","",包装物料出入库明细!$F1696)</f>
        <v/>
      </c>
      <c r="E1696" t="str">
        <f>IF(包装物料出入库明细!$E1696="","",包装物料出入库明细!$G1696)</f>
        <v/>
      </c>
      <c r="K1696" t="str">
        <f>IF(包装物料出入库明细!$D1696="","",包装物料出入库明细!$D1696)</f>
        <v/>
      </c>
      <c r="L1696">
        <f t="shared" si="571"/>
        <v>0</v>
      </c>
      <c r="M1696">
        <f t="shared" si="572"/>
        <v>9</v>
      </c>
      <c r="Q1696" t="str">
        <f>IF(周转筐出入库明细!$D1697="","",周转筐出入库明细!$D1697)</f>
        <v/>
      </c>
      <c r="R1696">
        <f t="shared" si="573"/>
        <v>0</v>
      </c>
      <c r="S1696">
        <f t="shared" si="574"/>
        <v>5</v>
      </c>
      <c r="W1696" t="str">
        <f>IF(周转筐出入库明细!$C1697="","",周转筐出入库明细!$C1697)</f>
        <v/>
      </c>
      <c r="X1696">
        <f t="shared" si="575"/>
        <v>0</v>
      </c>
      <c r="Y1696">
        <f t="shared" si="576"/>
        <v>12</v>
      </c>
      <c r="CP1696">
        <f>IF(包装物料出入库明细!$D1696="",0,1)</f>
        <v>0</v>
      </c>
      <c r="CQ1696">
        <f t="shared" si="577"/>
        <v>37</v>
      </c>
      <c r="CS1696" t="str">
        <f>IF(OR(周转筐出入库明细!$C1697="",周转筐出入库明细!$F1697&lt;&gt;"采购入库"),"",周转筐出入库明细!$C1697)</f>
        <v/>
      </c>
      <c r="CT1696">
        <f t="shared" si="578"/>
        <v>0</v>
      </c>
      <c r="CU1696">
        <f t="shared" si="579"/>
        <v>1</v>
      </c>
    </row>
    <row r="1697" spans="1:99">
      <c r="A1697" t="str">
        <f>IF(包装物料出入库明细!$E1697="","",包装物料出入库明细!$E1697)</f>
        <v/>
      </c>
      <c r="B1697">
        <f t="shared" si="569"/>
        <v>0</v>
      </c>
      <c r="C1697">
        <f t="shared" si="570"/>
        <v>7</v>
      </c>
      <c r="D1697" t="str">
        <f>IF(包装物料出入库明细!$E1697="","",包装物料出入库明细!$F1697)</f>
        <v/>
      </c>
      <c r="E1697" t="str">
        <f>IF(包装物料出入库明细!$E1697="","",包装物料出入库明细!$G1697)</f>
        <v/>
      </c>
      <c r="K1697" t="str">
        <f>IF(包装物料出入库明细!$D1697="","",包装物料出入库明细!$D1697)</f>
        <v/>
      </c>
      <c r="L1697">
        <f t="shared" si="571"/>
        <v>0</v>
      </c>
      <c r="M1697">
        <f t="shared" si="572"/>
        <v>9</v>
      </c>
      <c r="Q1697" t="str">
        <f>IF(周转筐出入库明细!$D1698="","",周转筐出入库明细!$D1698)</f>
        <v/>
      </c>
      <c r="R1697">
        <f t="shared" si="573"/>
        <v>0</v>
      </c>
      <c r="S1697">
        <f t="shared" si="574"/>
        <v>5</v>
      </c>
      <c r="W1697" t="str">
        <f>IF(周转筐出入库明细!$C1698="","",周转筐出入库明细!$C1698)</f>
        <v/>
      </c>
      <c r="X1697">
        <f t="shared" si="575"/>
        <v>0</v>
      </c>
      <c r="Y1697">
        <f t="shared" si="576"/>
        <v>12</v>
      </c>
      <c r="CP1697">
        <f>IF(包装物料出入库明细!$D1697="",0,1)</f>
        <v>0</v>
      </c>
      <c r="CQ1697">
        <f t="shared" si="577"/>
        <v>37</v>
      </c>
      <c r="CS1697" t="str">
        <f>IF(OR(周转筐出入库明细!$C1698="",周转筐出入库明细!$F1698&lt;&gt;"采购入库"),"",周转筐出入库明细!$C1698)</f>
        <v/>
      </c>
      <c r="CT1697">
        <f t="shared" si="578"/>
        <v>0</v>
      </c>
      <c r="CU1697">
        <f t="shared" si="579"/>
        <v>1</v>
      </c>
    </row>
    <row r="1698" spans="1:99">
      <c r="A1698" t="str">
        <f>IF(包装物料出入库明细!$E1698="","",包装物料出入库明细!$E1698)</f>
        <v/>
      </c>
      <c r="B1698">
        <f t="shared" si="569"/>
        <v>0</v>
      </c>
      <c r="C1698">
        <f t="shared" si="570"/>
        <v>7</v>
      </c>
      <c r="D1698" t="str">
        <f>IF(包装物料出入库明细!$E1698="","",包装物料出入库明细!$F1698)</f>
        <v/>
      </c>
      <c r="E1698" t="str">
        <f>IF(包装物料出入库明细!$E1698="","",包装物料出入库明细!$G1698)</f>
        <v/>
      </c>
      <c r="K1698" t="str">
        <f>IF(包装物料出入库明细!$D1698="","",包装物料出入库明细!$D1698)</f>
        <v/>
      </c>
      <c r="L1698">
        <f t="shared" si="571"/>
        <v>0</v>
      </c>
      <c r="M1698">
        <f t="shared" si="572"/>
        <v>9</v>
      </c>
      <c r="Q1698" t="str">
        <f>IF(周转筐出入库明细!$D1699="","",周转筐出入库明细!$D1699)</f>
        <v/>
      </c>
      <c r="R1698">
        <f t="shared" si="573"/>
        <v>0</v>
      </c>
      <c r="S1698">
        <f t="shared" si="574"/>
        <v>5</v>
      </c>
      <c r="W1698" t="str">
        <f>IF(周转筐出入库明细!$C1699="","",周转筐出入库明细!$C1699)</f>
        <v/>
      </c>
      <c r="X1698">
        <f t="shared" si="575"/>
        <v>0</v>
      </c>
      <c r="Y1698">
        <f t="shared" si="576"/>
        <v>12</v>
      </c>
      <c r="CP1698">
        <f>IF(包装物料出入库明细!$D1698="",0,1)</f>
        <v>0</v>
      </c>
      <c r="CQ1698">
        <f t="shared" si="577"/>
        <v>37</v>
      </c>
      <c r="CS1698" t="str">
        <f>IF(OR(周转筐出入库明细!$C1699="",周转筐出入库明细!$F1699&lt;&gt;"采购入库"),"",周转筐出入库明细!$C1699)</f>
        <v/>
      </c>
      <c r="CT1698">
        <f t="shared" si="578"/>
        <v>0</v>
      </c>
      <c r="CU1698">
        <f t="shared" si="579"/>
        <v>1</v>
      </c>
    </row>
    <row r="1699" spans="1:99">
      <c r="A1699" t="str">
        <f>IF(包装物料出入库明细!$E1699="","",包装物料出入库明细!$E1699)</f>
        <v/>
      </c>
      <c r="B1699">
        <f t="shared" si="569"/>
        <v>0</v>
      </c>
      <c r="C1699">
        <f t="shared" si="570"/>
        <v>7</v>
      </c>
      <c r="D1699" t="str">
        <f>IF(包装物料出入库明细!$E1699="","",包装物料出入库明细!$F1699)</f>
        <v/>
      </c>
      <c r="E1699" t="str">
        <f>IF(包装物料出入库明细!$E1699="","",包装物料出入库明细!$G1699)</f>
        <v/>
      </c>
      <c r="K1699" t="str">
        <f>IF(包装物料出入库明细!$D1699="","",包装物料出入库明细!$D1699)</f>
        <v/>
      </c>
      <c r="L1699">
        <f t="shared" si="571"/>
        <v>0</v>
      </c>
      <c r="M1699">
        <f t="shared" si="572"/>
        <v>9</v>
      </c>
      <c r="Q1699" t="str">
        <f>IF(周转筐出入库明细!$D1700="","",周转筐出入库明细!$D1700)</f>
        <v/>
      </c>
      <c r="R1699">
        <f t="shared" si="573"/>
        <v>0</v>
      </c>
      <c r="S1699">
        <f t="shared" si="574"/>
        <v>5</v>
      </c>
      <c r="W1699" t="str">
        <f>IF(周转筐出入库明细!$C1700="","",周转筐出入库明细!$C1700)</f>
        <v/>
      </c>
      <c r="X1699">
        <f t="shared" si="575"/>
        <v>0</v>
      </c>
      <c r="Y1699">
        <f t="shared" si="576"/>
        <v>12</v>
      </c>
      <c r="CP1699">
        <f>IF(包装物料出入库明细!$D1699="",0,1)</f>
        <v>0</v>
      </c>
      <c r="CQ1699">
        <f t="shared" si="577"/>
        <v>37</v>
      </c>
      <c r="CS1699" t="str">
        <f>IF(OR(周转筐出入库明细!$C1700="",周转筐出入库明细!$F1700&lt;&gt;"采购入库"),"",周转筐出入库明细!$C1700)</f>
        <v/>
      </c>
      <c r="CT1699">
        <f t="shared" si="578"/>
        <v>0</v>
      </c>
      <c r="CU1699">
        <f t="shared" si="579"/>
        <v>1</v>
      </c>
    </row>
    <row r="1700" spans="1:99">
      <c r="A1700" t="str">
        <f>IF(包装物料出入库明细!$E1700="","",包装物料出入库明细!$E1700)</f>
        <v/>
      </c>
      <c r="B1700">
        <f t="shared" si="569"/>
        <v>0</v>
      </c>
      <c r="C1700">
        <f t="shared" si="570"/>
        <v>7</v>
      </c>
      <c r="D1700" t="str">
        <f>IF(包装物料出入库明细!$E1700="","",包装物料出入库明细!$F1700)</f>
        <v/>
      </c>
      <c r="E1700" t="str">
        <f>IF(包装物料出入库明细!$E1700="","",包装物料出入库明细!$G1700)</f>
        <v/>
      </c>
      <c r="K1700" t="str">
        <f>IF(包装物料出入库明细!$D1700="","",包装物料出入库明细!$D1700)</f>
        <v/>
      </c>
      <c r="L1700">
        <f t="shared" si="571"/>
        <v>0</v>
      </c>
      <c r="M1700">
        <f t="shared" si="572"/>
        <v>9</v>
      </c>
      <c r="Q1700" t="str">
        <f>IF(周转筐出入库明细!$D1701="","",周转筐出入库明细!$D1701)</f>
        <v/>
      </c>
      <c r="R1700">
        <f t="shared" si="573"/>
        <v>0</v>
      </c>
      <c r="S1700">
        <f t="shared" si="574"/>
        <v>5</v>
      </c>
      <c r="W1700" t="str">
        <f>IF(周转筐出入库明细!$C1701="","",周转筐出入库明细!$C1701)</f>
        <v/>
      </c>
      <c r="X1700">
        <f t="shared" si="575"/>
        <v>0</v>
      </c>
      <c r="Y1700">
        <f t="shared" si="576"/>
        <v>12</v>
      </c>
      <c r="CP1700">
        <f>IF(包装物料出入库明细!$D1700="",0,1)</f>
        <v>0</v>
      </c>
      <c r="CQ1700">
        <f t="shared" si="577"/>
        <v>37</v>
      </c>
      <c r="CS1700" t="str">
        <f>IF(OR(周转筐出入库明细!$C1701="",周转筐出入库明细!$F1701&lt;&gt;"采购入库"),"",周转筐出入库明细!$C1701)</f>
        <v/>
      </c>
      <c r="CT1700">
        <f t="shared" si="578"/>
        <v>0</v>
      </c>
      <c r="CU1700">
        <f t="shared" si="579"/>
        <v>1</v>
      </c>
    </row>
    <row r="1701" spans="1:99">
      <c r="A1701" t="str">
        <f>IF(包装物料出入库明细!$E1701="","",包装物料出入库明细!$E1701)</f>
        <v/>
      </c>
      <c r="B1701">
        <f t="shared" si="569"/>
        <v>0</v>
      </c>
      <c r="C1701">
        <f t="shared" si="570"/>
        <v>7</v>
      </c>
      <c r="D1701" t="str">
        <f>IF(包装物料出入库明细!$E1701="","",包装物料出入库明细!$F1701)</f>
        <v/>
      </c>
      <c r="E1701" t="str">
        <f>IF(包装物料出入库明细!$E1701="","",包装物料出入库明细!$G1701)</f>
        <v/>
      </c>
      <c r="K1701" t="str">
        <f>IF(包装物料出入库明细!$D1701="","",包装物料出入库明细!$D1701)</f>
        <v/>
      </c>
      <c r="L1701">
        <f t="shared" si="571"/>
        <v>0</v>
      </c>
      <c r="M1701">
        <f t="shared" si="572"/>
        <v>9</v>
      </c>
      <c r="Q1701" t="str">
        <f>IF(周转筐出入库明细!$D1702="","",周转筐出入库明细!$D1702)</f>
        <v/>
      </c>
      <c r="R1701">
        <f t="shared" si="573"/>
        <v>0</v>
      </c>
      <c r="S1701">
        <f t="shared" si="574"/>
        <v>5</v>
      </c>
      <c r="W1701" t="str">
        <f>IF(周转筐出入库明细!$C1702="","",周转筐出入库明细!$C1702)</f>
        <v/>
      </c>
      <c r="X1701">
        <f t="shared" si="575"/>
        <v>0</v>
      </c>
      <c r="Y1701">
        <f t="shared" si="576"/>
        <v>12</v>
      </c>
      <c r="CP1701">
        <f>IF(包装物料出入库明细!$D1701="",0,1)</f>
        <v>0</v>
      </c>
      <c r="CQ1701">
        <f t="shared" si="577"/>
        <v>37</v>
      </c>
      <c r="CS1701" t="str">
        <f>IF(OR(周转筐出入库明细!$C1702="",周转筐出入库明细!$F1702&lt;&gt;"采购入库"),"",周转筐出入库明细!$C1702)</f>
        <v/>
      </c>
      <c r="CT1701">
        <f t="shared" si="578"/>
        <v>0</v>
      </c>
      <c r="CU1701">
        <f t="shared" si="579"/>
        <v>1</v>
      </c>
    </row>
    <row r="1702" spans="1:99">
      <c r="A1702" t="str">
        <f>IF(包装物料出入库明细!$E1702="","",包装物料出入库明细!$E1702)</f>
        <v/>
      </c>
      <c r="B1702">
        <f t="shared" si="569"/>
        <v>0</v>
      </c>
      <c r="C1702">
        <f t="shared" si="570"/>
        <v>7</v>
      </c>
      <c r="D1702" t="str">
        <f>IF(包装物料出入库明细!$E1702="","",包装物料出入库明细!$F1702)</f>
        <v/>
      </c>
      <c r="E1702" t="str">
        <f>IF(包装物料出入库明细!$E1702="","",包装物料出入库明细!$G1702)</f>
        <v/>
      </c>
      <c r="K1702" t="str">
        <f>IF(包装物料出入库明细!$D1702="","",包装物料出入库明细!$D1702)</f>
        <v/>
      </c>
      <c r="L1702">
        <f t="shared" si="571"/>
        <v>0</v>
      </c>
      <c r="M1702">
        <f t="shared" si="572"/>
        <v>9</v>
      </c>
      <c r="Q1702" t="str">
        <f>IF(周转筐出入库明细!$D1703="","",周转筐出入库明细!$D1703)</f>
        <v/>
      </c>
      <c r="R1702">
        <f t="shared" si="573"/>
        <v>0</v>
      </c>
      <c r="S1702">
        <f t="shared" si="574"/>
        <v>5</v>
      </c>
      <c r="W1702" t="str">
        <f>IF(周转筐出入库明细!$C1703="","",周转筐出入库明细!$C1703)</f>
        <v/>
      </c>
      <c r="X1702">
        <f t="shared" si="575"/>
        <v>0</v>
      </c>
      <c r="Y1702">
        <f t="shared" si="576"/>
        <v>12</v>
      </c>
      <c r="CP1702">
        <f>IF(包装物料出入库明细!$D1702="",0,1)</f>
        <v>0</v>
      </c>
      <c r="CQ1702">
        <f t="shared" si="577"/>
        <v>37</v>
      </c>
      <c r="CS1702" t="str">
        <f>IF(OR(周转筐出入库明细!$C1703="",周转筐出入库明细!$F1703&lt;&gt;"采购入库"),"",周转筐出入库明细!$C1703)</f>
        <v/>
      </c>
      <c r="CT1702">
        <f t="shared" si="578"/>
        <v>0</v>
      </c>
      <c r="CU1702">
        <f t="shared" si="579"/>
        <v>1</v>
      </c>
    </row>
    <row r="1703" spans="1:99">
      <c r="A1703" t="str">
        <f>IF(包装物料出入库明细!$E1703="","",包装物料出入库明细!$E1703)</f>
        <v/>
      </c>
      <c r="B1703">
        <f t="shared" si="569"/>
        <v>0</v>
      </c>
      <c r="C1703">
        <f t="shared" si="570"/>
        <v>7</v>
      </c>
      <c r="D1703" t="str">
        <f>IF(包装物料出入库明细!$E1703="","",包装物料出入库明细!$F1703)</f>
        <v/>
      </c>
      <c r="E1703" t="str">
        <f>IF(包装物料出入库明细!$E1703="","",包装物料出入库明细!$G1703)</f>
        <v/>
      </c>
      <c r="K1703" t="str">
        <f>IF(包装物料出入库明细!$D1703="","",包装物料出入库明细!$D1703)</f>
        <v/>
      </c>
      <c r="L1703">
        <f t="shared" si="571"/>
        <v>0</v>
      </c>
      <c r="M1703">
        <f t="shared" si="572"/>
        <v>9</v>
      </c>
      <c r="Q1703" t="str">
        <f>IF(周转筐出入库明细!$D1704="","",周转筐出入库明细!$D1704)</f>
        <v/>
      </c>
      <c r="R1703">
        <f t="shared" si="573"/>
        <v>0</v>
      </c>
      <c r="S1703">
        <f t="shared" si="574"/>
        <v>5</v>
      </c>
      <c r="W1703" t="str">
        <f>IF(周转筐出入库明细!$C1704="","",周转筐出入库明细!$C1704)</f>
        <v/>
      </c>
      <c r="X1703">
        <f t="shared" si="575"/>
        <v>0</v>
      </c>
      <c r="Y1703">
        <f t="shared" si="576"/>
        <v>12</v>
      </c>
      <c r="CP1703">
        <f>IF(包装物料出入库明细!$D1703="",0,1)</f>
        <v>0</v>
      </c>
      <c r="CQ1703">
        <f t="shared" si="577"/>
        <v>37</v>
      </c>
      <c r="CS1703" t="str">
        <f>IF(OR(周转筐出入库明细!$C1704="",周转筐出入库明细!$F1704&lt;&gt;"采购入库"),"",周转筐出入库明细!$C1704)</f>
        <v/>
      </c>
      <c r="CT1703">
        <f t="shared" si="578"/>
        <v>0</v>
      </c>
      <c r="CU1703">
        <f t="shared" si="579"/>
        <v>1</v>
      </c>
    </row>
    <row r="1704" spans="1:99">
      <c r="A1704" t="str">
        <f>IF(包装物料出入库明细!$E1704="","",包装物料出入库明细!$E1704)</f>
        <v/>
      </c>
      <c r="B1704">
        <f t="shared" si="569"/>
        <v>0</v>
      </c>
      <c r="C1704">
        <f t="shared" si="570"/>
        <v>7</v>
      </c>
      <c r="D1704" t="str">
        <f>IF(包装物料出入库明细!$E1704="","",包装物料出入库明细!$F1704)</f>
        <v/>
      </c>
      <c r="E1704" t="str">
        <f>IF(包装物料出入库明细!$E1704="","",包装物料出入库明细!$G1704)</f>
        <v/>
      </c>
      <c r="K1704" t="str">
        <f>IF(包装物料出入库明细!$D1704="","",包装物料出入库明细!$D1704)</f>
        <v/>
      </c>
      <c r="L1704">
        <f t="shared" si="571"/>
        <v>0</v>
      </c>
      <c r="M1704">
        <f t="shared" si="572"/>
        <v>9</v>
      </c>
      <c r="Q1704" t="str">
        <f>IF(周转筐出入库明细!$D1705="","",周转筐出入库明细!$D1705)</f>
        <v/>
      </c>
      <c r="R1704">
        <f t="shared" si="573"/>
        <v>0</v>
      </c>
      <c r="S1704">
        <f t="shared" si="574"/>
        <v>5</v>
      </c>
      <c r="W1704" t="str">
        <f>IF(周转筐出入库明细!$C1705="","",周转筐出入库明细!$C1705)</f>
        <v/>
      </c>
      <c r="X1704">
        <f t="shared" si="575"/>
        <v>0</v>
      </c>
      <c r="Y1704">
        <f t="shared" si="576"/>
        <v>12</v>
      </c>
      <c r="CP1704">
        <f>IF(包装物料出入库明细!$D1704="",0,1)</f>
        <v>0</v>
      </c>
      <c r="CQ1704">
        <f t="shared" si="577"/>
        <v>37</v>
      </c>
      <c r="CS1704" t="str">
        <f>IF(OR(周转筐出入库明细!$C1705="",周转筐出入库明细!$F1705&lt;&gt;"采购入库"),"",周转筐出入库明细!$C1705)</f>
        <v/>
      </c>
      <c r="CT1704">
        <f t="shared" si="578"/>
        <v>0</v>
      </c>
      <c r="CU1704">
        <f t="shared" si="579"/>
        <v>1</v>
      </c>
    </row>
    <row r="1705" spans="1:99">
      <c r="A1705" t="str">
        <f>IF(包装物料出入库明细!$E1705="","",包装物料出入库明细!$E1705)</f>
        <v/>
      </c>
      <c r="B1705">
        <f t="shared" si="569"/>
        <v>0</v>
      </c>
      <c r="C1705">
        <f t="shared" si="570"/>
        <v>7</v>
      </c>
      <c r="D1705" t="str">
        <f>IF(包装物料出入库明细!$E1705="","",包装物料出入库明细!$F1705)</f>
        <v/>
      </c>
      <c r="E1705" t="str">
        <f>IF(包装物料出入库明细!$E1705="","",包装物料出入库明细!$G1705)</f>
        <v/>
      </c>
      <c r="K1705" t="str">
        <f>IF(包装物料出入库明细!$D1705="","",包装物料出入库明细!$D1705)</f>
        <v/>
      </c>
      <c r="L1705">
        <f t="shared" si="571"/>
        <v>0</v>
      </c>
      <c r="M1705">
        <f t="shared" si="572"/>
        <v>9</v>
      </c>
      <c r="Q1705" t="str">
        <f>IF(周转筐出入库明细!$D1706="","",周转筐出入库明细!$D1706)</f>
        <v/>
      </c>
      <c r="R1705">
        <f t="shared" si="573"/>
        <v>0</v>
      </c>
      <c r="S1705">
        <f t="shared" si="574"/>
        <v>5</v>
      </c>
      <c r="W1705" t="str">
        <f>IF(周转筐出入库明细!$C1706="","",周转筐出入库明细!$C1706)</f>
        <v/>
      </c>
      <c r="X1705">
        <f t="shared" si="575"/>
        <v>0</v>
      </c>
      <c r="Y1705">
        <f t="shared" si="576"/>
        <v>12</v>
      </c>
      <c r="CP1705">
        <f>IF(包装物料出入库明细!$D1705="",0,1)</f>
        <v>0</v>
      </c>
      <c r="CQ1705">
        <f t="shared" si="577"/>
        <v>37</v>
      </c>
      <c r="CS1705" t="str">
        <f>IF(OR(周转筐出入库明细!$C1706="",周转筐出入库明细!$F1706&lt;&gt;"采购入库"),"",周转筐出入库明细!$C1706)</f>
        <v/>
      </c>
      <c r="CT1705">
        <f t="shared" si="578"/>
        <v>0</v>
      </c>
      <c r="CU1705">
        <f t="shared" si="579"/>
        <v>1</v>
      </c>
    </row>
    <row r="1706" spans="1:99">
      <c r="A1706" t="str">
        <f>IF(包装物料出入库明细!$E1706="","",包装物料出入库明细!$E1706)</f>
        <v/>
      </c>
      <c r="B1706">
        <f t="shared" si="569"/>
        <v>0</v>
      </c>
      <c r="C1706">
        <f t="shared" si="570"/>
        <v>7</v>
      </c>
      <c r="D1706" t="str">
        <f>IF(包装物料出入库明细!$E1706="","",包装物料出入库明细!$F1706)</f>
        <v/>
      </c>
      <c r="E1706" t="str">
        <f>IF(包装物料出入库明细!$E1706="","",包装物料出入库明细!$G1706)</f>
        <v/>
      </c>
      <c r="K1706" t="str">
        <f>IF(包装物料出入库明细!$D1706="","",包装物料出入库明细!$D1706)</f>
        <v/>
      </c>
      <c r="L1706">
        <f t="shared" si="571"/>
        <v>0</v>
      </c>
      <c r="M1706">
        <f t="shared" si="572"/>
        <v>9</v>
      </c>
      <c r="Q1706" t="str">
        <f>IF(周转筐出入库明细!$D1707="","",周转筐出入库明细!$D1707)</f>
        <v/>
      </c>
      <c r="R1706">
        <f t="shared" si="573"/>
        <v>0</v>
      </c>
      <c r="S1706">
        <f t="shared" si="574"/>
        <v>5</v>
      </c>
      <c r="W1706" t="str">
        <f>IF(周转筐出入库明细!$C1707="","",周转筐出入库明细!$C1707)</f>
        <v/>
      </c>
      <c r="X1706">
        <f t="shared" si="575"/>
        <v>0</v>
      </c>
      <c r="Y1706">
        <f t="shared" si="576"/>
        <v>12</v>
      </c>
      <c r="CP1706">
        <f>IF(包装物料出入库明细!$D1706="",0,1)</f>
        <v>0</v>
      </c>
      <c r="CQ1706">
        <f t="shared" si="577"/>
        <v>37</v>
      </c>
      <c r="CS1706" t="str">
        <f>IF(OR(周转筐出入库明细!$C1707="",周转筐出入库明细!$F1707&lt;&gt;"采购入库"),"",周转筐出入库明细!$C1707)</f>
        <v/>
      </c>
      <c r="CT1706">
        <f t="shared" si="578"/>
        <v>0</v>
      </c>
      <c r="CU1706">
        <f t="shared" si="579"/>
        <v>1</v>
      </c>
    </row>
    <row r="1707" spans="1:99">
      <c r="A1707" t="str">
        <f>IF(包装物料出入库明细!$E1707="","",包装物料出入库明细!$E1707)</f>
        <v/>
      </c>
      <c r="B1707">
        <f t="shared" si="569"/>
        <v>0</v>
      </c>
      <c r="C1707">
        <f t="shared" si="570"/>
        <v>7</v>
      </c>
      <c r="D1707" t="str">
        <f>IF(包装物料出入库明细!$E1707="","",包装物料出入库明细!$F1707)</f>
        <v/>
      </c>
      <c r="E1707" t="str">
        <f>IF(包装物料出入库明细!$E1707="","",包装物料出入库明细!$G1707)</f>
        <v/>
      </c>
      <c r="K1707" t="str">
        <f>IF(包装物料出入库明细!$D1707="","",包装物料出入库明细!$D1707)</f>
        <v/>
      </c>
      <c r="L1707">
        <f t="shared" si="571"/>
        <v>0</v>
      </c>
      <c r="M1707">
        <f t="shared" si="572"/>
        <v>9</v>
      </c>
      <c r="Q1707" t="str">
        <f>IF(周转筐出入库明细!$D1708="","",周转筐出入库明细!$D1708)</f>
        <v/>
      </c>
      <c r="R1707">
        <f t="shared" si="573"/>
        <v>0</v>
      </c>
      <c r="S1707">
        <f t="shared" si="574"/>
        <v>5</v>
      </c>
      <c r="W1707" t="str">
        <f>IF(周转筐出入库明细!$C1708="","",周转筐出入库明细!$C1708)</f>
        <v/>
      </c>
      <c r="X1707">
        <f t="shared" si="575"/>
        <v>0</v>
      </c>
      <c r="Y1707">
        <f t="shared" si="576"/>
        <v>12</v>
      </c>
      <c r="CP1707">
        <f>IF(包装物料出入库明细!$D1707="",0,1)</f>
        <v>0</v>
      </c>
      <c r="CQ1707">
        <f t="shared" si="577"/>
        <v>37</v>
      </c>
      <c r="CS1707" t="str">
        <f>IF(OR(周转筐出入库明细!$C1708="",周转筐出入库明细!$F1708&lt;&gt;"采购入库"),"",周转筐出入库明细!$C1708)</f>
        <v/>
      </c>
      <c r="CT1707">
        <f t="shared" si="578"/>
        <v>0</v>
      </c>
      <c r="CU1707">
        <f t="shared" si="579"/>
        <v>1</v>
      </c>
    </row>
    <row r="1708" spans="1:99">
      <c r="A1708" t="str">
        <f>IF(包装物料出入库明细!$E1708="","",包装物料出入库明细!$E1708)</f>
        <v/>
      </c>
      <c r="B1708">
        <f t="shared" si="569"/>
        <v>0</v>
      </c>
      <c r="C1708">
        <f t="shared" si="570"/>
        <v>7</v>
      </c>
      <c r="D1708" t="str">
        <f>IF(包装物料出入库明细!$E1708="","",包装物料出入库明细!$F1708)</f>
        <v/>
      </c>
      <c r="E1708" t="str">
        <f>IF(包装物料出入库明细!$E1708="","",包装物料出入库明细!$G1708)</f>
        <v/>
      </c>
      <c r="K1708" t="str">
        <f>IF(包装物料出入库明细!$D1708="","",包装物料出入库明细!$D1708)</f>
        <v/>
      </c>
      <c r="L1708">
        <f t="shared" si="571"/>
        <v>0</v>
      </c>
      <c r="M1708">
        <f t="shared" si="572"/>
        <v>9</v>
      </c>
      <c r="Q1708" t="str">
        <f>IF(周转筐出入库明细!$D1709="","",周转筐出入库明细!$D1709)</f>
        <v/>
      </c>
      <c r="R1708">
        <f t="shared" si="573"/>
        <v>0</v>
      </c>
      <c r="S1708">
        <f t="shared" si="574"/>
        <v>5</v>
      </c>
      <c r="W1708" t="str">
        <f>IF(周转筐出入库明细!$C1709="","",周转筐出入库明细!$C1709)</f>
        <v/>
      </c>
      <c r="X1708">
        <f t="shared" si="575"/>
        <v>0</v>
      </c>
      <c r="Y1708">
        <f t="shared" si="576"/>
        <v>12</v>
      </c>
      <c r="CP1708">
        <f>IF(包装物料出入库明细!$D1708="",0,1)</f>
        <v>0</v>
      </c>
      <c r="CQ1708">
        <f t="shared" si="577"/>
        <v>37</v>
      </c>
      <c r="CS1708" t="str">
        <f>IF(OR(周转筐出入库明细!$C1709="",周转筐出入库明细!$F1709&lt;&gt;"采购入库"),"",周转筐出入库明细!$C1709)</f>
        <v/>
      </c>
      <c r="CT1708">
        <f t="shared" si="578"/>
        <v>0</v>
      </c>
      <c r="CU1708">
        <f t="shared" si="579"/>
        <v>1</v>
      </c>
    </row>
    <row r="1709" spans="1:99">
      <c r="A1709" t="str">
        <f>IF(包装物料出入库明细!$E1709="","",包装物料出入库明细!$E1709)</f>
        <v/>
      </c>
      <c r="B1709">
        <f t="shared" si="569"/>
        <v>0</v>
      </c>
      <c r="C1709">
        <f t="shared" si="570"/>
        <v>7</v>
      </c>
      <c r="D1709" t="str">
        <f>IF(包装物料出入库明细!$E1709="","",包装物料出入库明细!$F1709)</f>
        <v/>
      </c>
      <c r="E1709" t="str">
        <f>IF(包装物料出入库明细!$E1709="","",包装物料出入库明细!$G1709)</f>
        <v/>
      </c>
      <c r="K1709" t="str">
        <f>IF(包装物料出入库明细!$D1709="","",包装物料出入库明细!$D1709)</f>
        <v/>
      </c>
      <c r="L1709">
        <f t="shared" si="571"/>
        <v>0</v>
      </c>
      <c r="M1709">
        <f t="shared" si="572"/>
        <v>9</v>
      </c>
      <c r="Q1709" t="str">
        <f>IF(周转筐出入库明细!$D1710="","",周转筐出入库明细!$D1710)</f>
        <v/>
      </c>
      <c r="R1709">
        <f t="shared" si="573"/>
        <v>0</v>
      </c>
      <c r="S1709">
        <f t="shared" si="574"/>
        <v>5</v>
      </c>
      <c r="W1709" t="str">
        <f>IF(周转筐出入库明细!$C1710="","",周转筐出入库明细!$C1710)</f>
        <v/>
      </c>
      <c r="X1709">
        <f t="shared" si="575"/>
        <v>0</v>
      </c>
      <c r="Y1709">
        <f t="shared" si="576"/>
        <v>12</v>
      </c>
      <c r="CP1709">
        <f>IF(包装物料出入库明细!$D1709="",0,1)</f>
        <v>0</v>
      </c>
      <c r="CQ1709">
        <f t="shared" si="577"/>
        <v>37</v>
      </c>
      <c r="CS1709" t="str">
        <f>IF(OR(周转筐出入库明细!$C1710="",周转筐出入库明细!$F1710&lt;&gt;"采购入库"),"",周转筐出入库明细!$C1710)</f>
        <v/>
      </c>
      <c r="CT1709">
        <f t="shared" si="578"/>
        <v>0</v>
      </c>
      <c r="CU1709">
        <f t="shared" si="579"/>
        <v>1</v>
      </c>
    </row>
    <row r="1710" spans="1:99">
      <c r="A1710" t="str">
        <f>IF(包装物料出入库明细!$E1710="","",包装物料出入库明细!$E1710)</f>
        <v/>
      </c>
      <c r="B1710">
        <f t="shared" si="569"/>
        <v>0</v>
      </c>
      <c r="C1710">
        <f t="shared" si="570"/>
        <v>7</v>
      </c>
      <c r="D1710" t="str">
        <f>IF(包装物料出入库明细!$E1710="","",包装物料出入库明细!$F1710)</f>
        <v/>
      </c>
      <c r="E1710" t="str">
        <f>IF(包装物料出入库明细!$E1710="","",包装物料出入库明细!$G1710)</f>
        <v/>
      </c>
      <c r="K1710" t="str">
        <f>IF(包装物料出入库明细!$D1710="","",包装物料出入库明细!$D1710)</f>
        <v/>
      </c>
      <c r="L1710">
        <f t="shared" si="571"/>
        <v>0</v>
      </c>
      <c r="M1710">
        <f t="shared" si="572"/>
        <v>9</v>
      </c>
      <c r="Q1710" t="str">
        <f>IF(周转筐出入库明细!$D1711="","",周转筐出入库明细!$D1711)</f>
        <v/>
      </c>
      <c r="R1710">
        <f t="shared" si="573"/>
        <v>0</v>
      </c>
      <c r="S1710">
        <f t="shared" si="574"/>
        <v>5</v>
      </c>
      <c r="W1710" t="str">
        <f>IF(周转筐出入库明细!$C1711="","",周转筐出入库明细!$C1711)</f>
        <v/>
      </c>
      <c r="X1710">
        <f t="shared" si="575"/>
        <v>0</v>
      </c>
      <c r="Y1710">
        <f t="shared" si="576"/>
        <v>12</v>
      </c>
      <c r="CP1710">
        <f>IF(包装物料出入库明细!$D1710="",0,1)</f>
        <v>0</v>
      </c>
      <c r="CQ1710">
        <f t="shared" si="577"/>
        <v>37</v>
      </c>
      <c r="CS1710" t="str">
        <f>IF(OR(周转筐出入库明细!$C1711="",周转筐出入库明细!$F1711&lt;&gt;"采购入库"),"",周转筐出入库明细!$C1711)</f>
        <v/>
      </c>
      <c r="CT1710">
        <f t="shared" si="578"/>
        <v>0</v>
      </c>
      <c r="CU1710">
        <f t="shared" si="579"/>
        <v>1</v>
      </c>
    </row>
    <row r="1711" spans="1:99">
      <c r="A1711" t="str">
        <f>IF(包装物料出入库明细!$E1711="","",包装物料出入库明细!$E1711)</f>
        <v/>
      </c>
      <c r="B1711">
        <f t="shared" si="569"/>
        <v>0</v>
      </c>
      <c r="C1711">
        <f t="shared" si="570"/>
        <v>7</v>
      </c>
      <c r="D1711" t="str">
        <f>IF(包装物料出入库明细!$E1711="","",包装物料出入库明细!$F1711)</f>
        <v/>
      </c>
      <c r="E1711" t="str">
        <f>IF(包装物料出入库明细!$E1711="","",包装物料出入库明细!$G1711)</f>
        <v/>
      </c>
      <c r="K1711" t="str">
        <f>IF(包装物料出入库明细!$D1711="","",包装物料出入库明细!$D1711)</f>
        <v/>
      </c>
      <c r="L1711">
        <f t="shared" si="571"/>
        <v>0</v>
      </c>
      <c r="M1711">
        <f t="shared" si="572"/>
        <v>9</v>
      </c>
      <c r="Q1711" t="str">
        <f>IF(周转筐出入库明细!$D1712="","",周转筐出入库明细!$D1712)</f>
        <v/>
      </c>
      <c r="R1711">
        <f t="shared" si="573"/>
        <v>0</v>
      </c>
      <c r="S1711">
        <f t="shared" si="574"/>
        <v>5</v>
      </c>
      <c r="W1711" t="str">
        <f>IF(周转筐出入库明细!$C1712="","",周转筐出入库明细!$C1712)</f>
        <v/>
      </c>
      <c r="X1711">
        <f t="shared" si="575"/>
        <v>0</v>
      </c>
      <c r="Y1711">
        <f t="shared" si="576"/>
        <v>12</v>
      </c>
      <c r="CP1711">
        <f>IF(包装物料出入库明细!$D1711="",0,1)</f>
        <v>0</v>
      </c>
      <c r="CQ1711">
        <f t="shared" si="577"/>
        <v>37</v>
      </c>
      <c r="CS1711" t="str">
        <f>IF(OR(周转筐出入库明细!$C1712="",周转筐出入库明细!$F1712&lt;&gt;"采购入库"),"",周转筐出入库明细!$C1712)</f>
        <v/>
      </c>
      <c r="CT1711">
        <f t="shared" si="578"/>
        <v>0</v>
      </c>
      <c r="CU1711">
        <f t="shared" si="579"/>
        <v>1</v>
      </c>
    </row>
    <row r="1712" spans="1:99">
      <c r="A1712" t="str">
        <f>IF(包装物料出入库明细!$E1712="","",包装物料出入库明细!$E1712)</f>
        <v/>
      </c>
      <c r="B1712">
        <f t="shared" si="569"/>
        <v>0</v>
      </c>
      <c r="C1712">
        <f t="shared" si="570"/>
        <v>7</v>
      </c>
      <c r="D1712" t="str">
        <f>IF(包装物料出入库明细!$E1712="","",包装物料出入库明细!$F1712)</f>
        <v/>
      </c>
      <c r="E1712" t="str">
        <f>IF(包装物料出入库明细!$E1712="","",包装物料出入库明细!$G1712)</f>
        <v/>
      </c>
      <c r="K1712" t="str">
        <f>IF(包装物料出入库明细!$D1712="","",包装物料出入库明细!$D1712)</f>
        <v/>
      </c>
      <c r="L1712">
        <f t="shared" si="571"/>
        <v>0</v>
      </c>
      <c r="M1712">
        <f t="shared" si="572"/>
        <v>9</v>
      </c>
      <c r="Q1712" t="str">
        <f>IF(周转筐出入库明细!$D1713="","",周转筐出入库明细!$D1713)</f>
        <v/>
      </c>
      <c r="R1712">
        <f t="shared" si="573"/>
        <v>0</v>
      </c>
      <c r="S1712">
        <f t="shared" si="574"/>
        <v>5</v>
      </c>
      <c r="W1712" t="str">
        <f>IF(周转筐出入库明细!$C1713="","",周转筐出入库明细!$C1713)</f>
        <v/>
      </c>
      <c r="X1712">
        <f t="shared" si="575"/>
        <v>0</v>
      </c>
      <c r="Y1712">
        <f t="shared" si="576"/>
        <v>12</v>
      </c>
      <c r="CP1712">
        <f>IF(包装物料出入库明细!$D1712="",0,1)</f>
        <v>0</v>
      </c>
      <c r="CQ1712">
        <f t="shared" si="577"/>
        <v>37</v>
      </c>
      <c r="CS1712" t="str">
        <f>IF(OR(周转筐出入库明细!$C1713="",周转筐出入库明细!$F1713&lt;&gt;"采购入库"),"",周转筐出入库明细!$C1713)</f>
        <v/>
      </c>
      <c r="CT1712">
        <f t="shared" si="578"/>
        <v>0</v>
      </c>
      <c r="CU1712">
        <f t="shared" si="579"/>
        <v>1</v>
      </c>
    </row>
    <row r="1713" spans="1:99">
      <c r="A1713" t="str">
        <f>IF(包装物料出入库明细!$E1713="","",包装物料出入库明细!$E1713)</f>
        <v/>
      </c>
      <c r="B1713">
        <f t="shared" si="569"/>
        <v>0</v>
      </c>
      <c r="C1713">
        <f t="shared" si="570"/>
        <v>7</v>
      </c>
      <c r="D1713" t="str">
        <f>IF(包装物料出入库明细!$E1713="","",包装物料出入库明细!$F1713)</f>
        <v/>
      </c>
      <c r="E1713" t="str">
        <f>IF(包装物料出入库明细!$E1713="","",包装物料出入库明细!$G1713)</f>
        <v/>
      </c>
      <c r="K1713" t="str">
        <f>IF(包装物料出入库明细!$D1713="","",包装物料出入库明细!$D1713)</f>
        <v/>
      </c>
      <c r="L1713">
        <f t="shared" si="571"/>
        <v>0</v>
      </c>
      <c r="M1713">
        <f t="shared" si="572"/>
        <v>9</v>
      </c>
      <c r="Q1713" t="str">
        <f>IF(周转筐出入库明细!$D1714="","",周转筐出入库明细!$D1714)</f>
        <v/>
      </c>
      <c r="R1713">
        <f t="shared" si="573"/>
        <v>0</v>
      </c>
      <c r="S1713">
        <f t="shared" si="574"/>
        <v>5</v>
      </c>
      <c r="W1713" t="str">
        <f>IF(周转筐出入库明细!$C1714="","",周转筐出入库明细!$C1714)</f>
        <v/>
      </c>
      <c r="X1713">
        <f t="shared" si="575"/>
        <v>0</v>
      </c>
      <c r="Y1713">
        <f t="shared" si="576"/>
        <v>12</v>
      </c>
      <c r="CP1713">
        <f>IF(包装物料出入库明细!$D1713="",0,1)</f>
        <v>0</v>
      </c>
      <c r="CQ1713">
        <f t="shared" si="577"/>
        <v>37</v>
      </c>
      <c r="CS1713" t="str">
        <f>IF(OR(周转筐出入库明细!$C1714="",周转筐出入库明细!$F1714&lt;&gt;"采购入库"),"",周转筐出入库明细!$C1714)</f>
        <v/>
      </c>
      <c r="CT1713">
        <f t="shared" si="578"/>
        <v>0</v>
      </c>
      <c r="CU1713">
        <f t="shared" si="579"/>
        <v>1</v>
      </c>
    </row>
    <row r="1714" spans="1:99">
      <c r="A1714" t="str">
        <f>IF(包装物料出入库明细!$E1714="","",包装物料出入库明细!$E1714)</f>
        <v/>
      </c>
      <c r="B1714">
        <f t="shared" si="569"/>
        <v>0</v>
      </c>
      <c r="C1714">
        <f t="shared" si="570"/>
        <v>7</v>
      </c>
      <c r="D1714" t="str">
        <f>IF(包装物料出入库明细!$E1714="","",包装物料出入库明细!$F1714)</f>
        <v/>
      </c>
      <c r="E1714" t="str">
        <f>IF(包装物料出入库明细!$E1714="","",包装物料出入库明细!$G1714)</f>
        <v/>
      </c>
      <c r="K1714" t="str">
        <f>IF(包装物料出入库明细!$D1714="","",包装物料出入库明细!$D1714)</f>
        <v/>
      </c>
      <c r="L1714">
        <f t="shared" si="571"/>
        <v>0</v>
      </c>
      <c r="M1714">
        <f t="shared" si="572"/>
        <v>9</v>
      </c>
      <c r="Q1714" t="str">
        <f>IF(周转筐出入库明细!$D1715="","",周转筐出入库明细!$D1715)</f>
        <v/>
      </c>
      <c r="R1714">
        <f t="shared" si="573"/>
        <v>0</v>
      </c>
      <c r="S1714">
        <f t="shared" si="574"/>
        <v>5</v>
      </c>
      <c r="W1714" t="str">
        <f>IF(周转筐出入库明细!$C1715="","",周转筐出入库明细!$C1715)</f>
        <v/>
      </c>
      <c r="X1714">
        <f t="shared" si="575"/>
        <v>0</v>
      </c>
      <c r="Y1714">
        <f t="shared" si="576"/>
        <v>12</v>
      </c>
      <c r="CP1714">
        <f>IF(包装物料出入库明细!$D1714="",0,1)</f>
        <v>0</v>
      </c>
      <c r="CQ1714">
        <f t="shared" si="577"/>
        <v>37</v>
      </c>
      <c r="CS1714" t="str">
        <f>IF(OR(周转筐出入库明细!$C1715="",周转筐出入库明细!$F1715&lt;&gt;"采购入库"),"",周转筐出入库明细!$C1715)</f>
        <v/>
      </c>
      <c r="CT1714">
        <f t="shared" si="578"/>
        <v>0</v>
      </c>
      <c r="CU1714">
        <f t="shared" si="579"/>
        <v>1</v>
      </c>
    </row>
    <row r="1715" spans="1:99">
      <c r="A1715" t="str">
        <f>IF(包装物料出入库明细!$E1715="","",包装物料出入库明细!$E1715)</f>
        <v/>
      </c>
      <c r="B1715">
        <f t="shared" si="569"/>
        <v>0</v>
      </c>
      <c r="C1715">
        <f t="shared" si="570"/>
        <v>7</v>
      </c>
      <c r="D1715" t="str">
        <f>IF(包装物料出入库明细!$E1715="","",包装物料出入库明细!$F1715)</f>
        <v/>
      </c>
      <c r="E1715" t="str">
        <f>IF(包装物料出入库明细!$E1715="","",包装物料出入库明细!$G1715)</f>
        <v/>
      </c>
      <c r="K1715" t="str">
        <f>IF(包装物料出入库明细!$D1715="","",包装物料出入库明细!$D1715)</f>
        <v/>
      </c>
      <c r="L1715">
        <f t="shared" si="571"/>
        <v>0</v>
      </c>
      <c r="M1715">
        <f t="shared" si="572"/>
        <v>9</v>
      </c>
      <c r="Q1715" t="str">
        <f>IF(周转筐出入库明细!$D1716="","",周转筐出入库明细!$D1716)</f>
        <v/>
      </c>
      <c r="R1715">
        <f t="shared" si="573"/>
        <v>0</v>
      </c>
      <c r="S1715">
        <f t="shared" si="574"/>
        <v>5</v>
      </c>
      <c r="W1715" t="str">
        <f>IF(周转筐出入库明细!$C1716="","",周转筐出入库明细!$C1716)</f>
        <v/>
      </c>
      <c r="X1715">
        <f t="shared" si="575"/>
        <v>0</v>
      </c>
      <c r="Y1715">
        <f t="shared" si="576"/>
        <v>12</v>
      </c>
      <c r="CP1715">
        <f>IF(包装物料出入库明细!$D1715="",0,1)</f>
        <v>0</v>
      </c>
      <c r="CQ1715">
        <f t="shared" si="577"/>
        <v>37</v>
      </c>
      <c r="CS1715" t="str">
        <f>IF(OR(周转筐出入库明细!$C1716="",周转筐出入库明细!$F1716&lt;&gt;"采购入库"),"",周转筐出入库明细!$C1716)</f>
        <v/>
      </c>
      <c r="CT1715">
        <f t="shared" si="578"/>
        <v>0</v>
      </c>
      <c r="CU1715">
        <f t="shared" si="579"/>
        <v>1</v>
      </c>
    </row>
    <row r="1716" spans="1:99">
      <c r="A1716" t="str">
        <f>IF(包装物料出入库明细!$E1716="","",包装物料出入库明细!$E1716)</f>
        <v/>
      </c>
      <c r="B1716">
        <f t="shared" si="569"/>
        <v>0</v>
      </c>
      <c r="C1716">
        <f t="shared" si="570"/>
        <v>7</v>
      </c>
      <c r="D1716" t="str">
        <f>IF(包装物料出入库明细!$E1716="","",包装物料出入库明细!$F1716)</f>
        <v/>
      </c>
      <c r="E1716" t="str">
        <f>IF(包装物料出入库明细!$E1716="","",包装物料出入库明细!$G1716)</f>
        <v/>
      </c>
      <c r="K1716" t="str">
        <f>IF(包装物料出入库明细!$D1716="","",包装物料出入库明细!$D1716)</f>
        <v/>
      </c>
      <c r="L1716">
        <f t="shared" si="571"/>
        <v>0</v>
      </c>
      <c r="M1716">
        <f t="shared" si="572"/>
        <v>9</v>
      </c>
      <c r="Q1716" t="str">
        <f>IF(周转筐出入库明细!$D1717="","",周转筐出入库明细!$D1717)</f>
        <v/>
      </c>
      <c r="R1716">
        <f t="shared" si="573"/>
        <v>0</v>
      </c>
      <c r="S1716">
        <f t="shared" si="574"/>
        <v>5</v>
      </c>
      <c r="W1716" t="str">
        <f>IF(周转筐出入库明细!$C1717="","",周转筐出入库明细!$C1717)</f>
        <v/>
      </c>
      <c r="X1716">
        <f t="shared" si="575"/>
        <v>0</v>
      </c>
      <c r="Y1716">
        <f t="shared" si="576"/>
        <v>12</v>
      </c>
      <c r="CP1716">
        <f>IF(包装物料出入库明细!$D1716="",0,1)</f>
        <v>0</v>
      </c>
      <c r="CQ1716">
        <f t="shared" si="577"/>
        <v>37</v>
      </c>
      <c r="CS1716" t="str">
        <f>IF(OR(周转筐出入库明细!$C1717="",周转筐出入库明细!$F1717&lt;&gt;"采购入库"),"",周转筐出入库明细!$C1717)</f>
        <v/>
      </c>
      <c r="CT1716">
        <f t="shared" si="578"/>
        <v>0</v>
      </c>
      <c r="CU1716">
        <f t="shared" si="579"/>
        <v>1</v>
      </c>
    </row>
    <row r="1717" spans="1:99">
      <c r="A1717" t="str">
        <f>IF(包装物料出入库明细!$E1717="","",包装物料出入库明细!$E1717)</f>
        <v/>
      </c>
      <c r="B1717">
        <f t="shared" si="569"/>
        <v>0</v>
      </c>
      <c r="C1717">
        <f t="shared" si="570"/>
        <v>7</v>
      </c>
      <c r="D1717" t="str">
        <f>IF(包装物料出入库明细!$E1717="","",包装物料出入库明细!$F1717)</f>
        <v/>
      </c>
      <c r="E1717" t="str">
        <f>IF(包装物料出入库明细!$E1717="","",包装物料出入库明细!$G1717)</f>
        <v/>
      </c>
      <c r="K1717" t="str">
        <f>IF(包装物料出入库明细!$D1717="","",包装物料出入库明细!$D1717)</f>
        <v/>
      </c>
      <c r="L1717">
        <f t="shared" si="571"/>
        <v>0</v>
      </c>
      <c r="M1717">
        <f t="shared" si="572"/>
        <v>9</v>
      </c>
      <c r="Q1717" t="str">
        <f>IF(周转筐出入库明细!$D1718="","",周转筐出入库明细!$D1718)</f>
        <v/>
      </c>
      <c r="R1717">
        <f t="shared" si="573"/>
        <v>0</v>
      </c>
      <c r="S1717">
        <f t="shared" si="574"/>
        <v>5</v>
      </c>
      <c r="W1717" t="str">
        <f>IF(周转筐出入库明细!$C1718="","",周转筐出入库明细!$C1718)</f>
        <v/>
      </c>
      <c r="X1717">
        <f t="shared" si="575"/>
        <v>0</v>
      </c>
      <c r="Y1717">
        <f t="shared" si="576"/>
        <v>12</v>
      </c>
      <c r="CP1717">
        <f>IF(包装物料出入库明细!$D1717="",0,1)</f>
        <v>0</v>
      </c>
      <c r="CQ1717">
        <f t="shared" si="577"/>
        <v>37</v>
      </c>
      <c r="CS1717" t="str">
        <f>IF(OR(周转筐出入库明细!$C1718="",周转筐出入库明细!$F1718&lt;&gt;"采购入库"),"",周转筐出入库明细!$C1718)</f>
        <v/>
      </c>
      <c r="CT1717">
        <f t="shared" si="578"/>
        <v>0</v>
      </c>
      <c r="CU1717">
        <f t="shared" si="579"/>
        <v>1</v>
      </c>
    </row>
    <row r="1718" spans="1:99">
      <c r="A1718" t="str">
        <f>IF(包装物料出入库明细!$E1718="","",包装物料出入库明细!$E1718)</f>
        <v/>
      </c>
      <c r="B1718">
        <f t="shared" si="569"/>
        <v>0</v>
      </c>
      <c r="C1718">
        <f t="shared" si="570"/>
        <v>7</v>
      </c>
      <c r="D1718" t="str">
        <f>IF(包装物料出入库明细!$E1718="","",包装物料出入库明细!$F1718)</f>
        <v/>
      </c>
      <c r="E1718" t="str">
        <f>IF(包装物料出入库明细!$E1718="","",包装物料出入库明细!$G1718)</f>
        <v/>
      </c>
      <c r="K1718" t="str">
        <f>IF(包装物料出入库明细!$D1718="","",包装物料出入库明细!$D1718)</f>
        <v/>
      </c>
      <c r="L1718">
        <f t="shared" si="571"/>
        <v>0</v>
      </c>
      <c r="M1718">
        <f t="shared" si="572"/>
        <v>9</v>
      </c>
      <c r="Q1718" t="str">
        <f>IF(周转筐出入库明细!$D1719="","",周转筐出入库明细!$D1719)</f>
        <v/>
      </c>
      <c r="R1718">
        <f t="shared" si="573"/>
        <v>0</v>
      </c>
      <c r="S1718">
        <f t="shared" si="574"/>
        <v>5</v>
      </c>
      <c r="W1718" t="str">
        <f>IF(周转筐出入库明细!$C1719="","",周转筐出入库明细!$C1719)</f>
        <v/>
      </c>
      <c r="X1718">
        <f t="shared" si="575"/>
        <v>0</v>
      </c>
      <c r="Y1718">
        <f t="shared" si="576"/>
        <v>12</v>
      </c>
      <c r="CP1718">
        <f>IF(包装物料出入库明细!$D1718="",0,1)</f>
        <v>0</v>
      </c>
      <c r="CQ1718">
        <f t="shared" si="577"/>
        <v>37</v>
      </c>
      <c r="CS1718" t="str">
        <f>IF(OR(周转筐出入库明细!$C1719="",周转筐出入库明细!$F1719&lt;&gt;"采购入库"),"",周转筐出入库明细!$C1719)</f>
        <v/>
      </c>
      <c r="CT1718">
        <f t="shared" si="578"/>
        <v>0</v>
      </c>
      <c r="CU1718">
        <f t="shared" si="579"/>
        <v>1</v>
      </c>
    </row>
    <row r="1719" spans="1:99">
      <c r="A1719" t="str">
        <f>IF(包装物料出入库明细!$E1719="","",包装物料出入库明细!$E1719)</f>
        <v/>
      </c>
      <c r="B1719">
        <f t="shared" si="569"/>
        <v>0</v>
      </c>
      <c r="C1719">
        <f t="shared" si="570"/>
        <v>7</v>
      </c>
      <c r="D1719" t="str">
        <f>IF(包装物料出入库明细!$E1719="","",包装物料出入库明细!$F1719)</f>
        <v/>
      </c>
      <c r="E1719" t="str">
        <f>IF(包装物料出入库明细!$E1719="","",包装物料出入库明细!$G1719)</f>
        <v/>
      </c>
      <c r="K1719" t="str">
        <f>IF(包装物料出入库明细!$D1719="","",包装物料出入库明细!$D1719)</f>
        <v/>
      </c>
      <c r="L1719">
        <f t="shared" si="571"/>
        <v>0</v>
      </c>
      <c r="M1719">
        <f t="shared" si="572"/>
        <v>9</v>
      </c>
      <c r="Q1719" t="str">
        <f>IF(周转筐出入库明细!$D1720="","",周转筐出入库明细!$D1720)</f>
        <v/>
      </c>
      <c r="R1719">
        <f t="shared" si="573"/>
        <v>0</v>
      </c>
      <c r="S1719">
        <f t="shared" si="574"/>
        <v>5</v>
      </c>
      <c r="W1719" t="str">
        <f>IF(周转筐出入库明细!$C1720="","",周转筐出入库明细!$C1720)</f>
        <v/>
      </c>
      <c r="X1719">
        <f t="shared" si="575"/>
        <v>0</v>
      </c>
      <c r="Y1719">
        <f t="shared" si="576"/>
        <v>12</v>
      </c>
      <c r="CP1719">
        <f>IF(包装物料出入库明细!$D1719="",0,1)</f>
        <v>0</v>
      </c>
      <c r="CQ1719">
        <f t="shared" si="577"/>
        <v>37</v>
      </c>
      <c r="CS1719" t="str">
        <f>IF(OR(周转筐出入库明细!$C1720="",周转筐出入库明细!$F1720&lt;&gt;"采购入库"),"",周转筐出入库明细!$C1720)</f>
        <v/>
      </c>
      <c r="CT1719">
        <f t="shared" si="578"/>
        <v>0</v>
      </c>
      <c r="CU1719">
        <f t="shared" si="579"/>
        <v>1</v>
      </c>
    </row>
    <row r="1720" spans="1:99">
      <c r="A1720" t="str">
        <f>IF(包装物料出入库明细!$E1720="","",包装物料出入库明细!$E1720)</f>
        <v/>
      </c>
      <c r="B1720">
        <f t="shared" si="569"/>
        <v>0</v>
      </c>
      <c r="C1720">
        <f t="shared" si="570"/>
        <v>7</v>
      </c>
      <c r="D1720" t="str">
        <f>IF(包装物料出入库明细!$E1720="","",包装物料出入库明细!$F1720)</f>
        <v/>
      </c>
      <c r="E1720" t="str">
        <f>IF(包装物料出入库明细!$E1720="","",包装物料出入库明细!$G1720)</f>
        <v/>
      </c>
      <c r="K1720" t="str">
        <f>IF(包装物料出入库明细!$D1720="","",包装物料出入库明细!$D1720)</f>
        <v/>
      </c>
      <c r="L1720">
        <f t="shared" si="571"/>
        <v>0</v>
      </c>
      <c r="M1720">
        <f t="shared" si="572"/>
        <v>9</v>
      </c>
      <c r="Q1720" t="str">
        <f>IF(周转筐出入库明细!$D1721="","",周转筐出入库明细!$D1721)</f>
        <v/>
      </c>
      <c r="R1720">
        <f t="shared" si="573"/>
        <v>0</v>
      </c>
      <c r="S1720">
        <f t="shared" si="574"/>
        <v>5</v>
      </c>
      <c r="W1720" t="str">
        <f>IF(周转筐出入库明细!$C1721="","",周转筐出入库明细!$C1721)</f>
        <v/>
      </c>
      <c r="X1720">
        <f t="shared" si="575"/>
        <v>0</v>
      </c>
      <c r="Y1720">
        <f t="shared" si="576"/>
        <v>12</v>
      </c>
      <c r="CP1720">
        <f>IF(包装物料出入库明细!$D1720="",0,1)</f>
        <v>0</v>
      </c>
      <c r="CQ1720">
        <f t="shared" si="577"/>
        <v>37</v>
      </c>
      <c r="CS1720" t="str">
        <f>IF(OR(周转筐出入库明细!$C1721="",周转筐出入库明细!$F1721&lt;&gt;"采购入库"),"",周转筐出入库明细!$C1721)</f>
        <v/>
      </c>
      <c r="CT1720">
        <f t="shared" si="578"/>
        <v>0</v>
      </c>
      <c r="CU1720">
        <f t="shared" si="579"/>
        <v>1</v>
      </c>
    </row>
    <row r="1721" spans="1:99">
      <c r="A1721" t="str">
        <f>IF(包装物料出入库明细!$E1721="","",包装物料出入库明细!$E1721)</f>
        <v/>
      </c>
      <c r="B1721">
        <f t="shared" si="569"/>
        <v>0</v>
      </c>
      <c r="C1721">
        <f t="shared" si="570"/>
        <v>7</v>
      </c>
      <c r="D1721" t="str">
        <f>IF(包装物料出入库明细!$E1721="","",包装物料出入库明细!$F1721)</f>
        <v/>
      </c>
      <c r="E1721" t="str">
        <f>IF(包装物料出入库明细!$E1721="","",包装物料出入库明细!$G1721)</f>
        <v/>
      </c>
      <c r="K1721" t="str">
        <f>IF(包装物料出入库明细!$D1721="","",包装物料出入库明细!$D1721)</f>
        <v/>
      </c>
      <c r="L1721">
        <f t="shared" si="571"/>
        <v>0</v>
      </c>
      <c r="M1721">
        <f t="shared" si="572"/>
        <v>9</v>
      </c>
      <c r="Q1721" t="str">
        <f>IF(周转筐出入库明细!$D1722="","",周转筐出入库明细!$D1722)</f>
        <v/>
      </c>
      <c r="R1721">
        <f t="shared" si="573"/>
        <v>0</v>
      </c>
      <c r="S1721">
        <f t="shared" si="574"/>
        <v>5</v>
      </c>
      <c r="W1721" t="str">
        <f>IF(周转筐出入库明细!$C1722="","",周转筐出入库明细!$C1722)</f>
        <v/>
      </c>
      <c r="X1721">
        <f t="shared" si="575"/>
        <v>0</v>
      </c>
      <c r="Y1721">
        <f t="shared" si="576"/>
        <v>12</v>
      </c>
      <c r="CP1721">
        <f>IF(包装物料出入库明细!$D1721="",0,1)</f>
        <v>0</v>
      </c>
      <c r="CQ1721">
        <f t="shared" si="577"/>
        <v>37</v>
      </c>
      <c r="CS1721" t="str">
        <f>IF(OR(周转筐出入库明细!$C1722="",周转筐出入库明细!$F1722&lt;&gt;"采购入库"),"",周转筐出入库明细!$C1722)</f>
        <v/>
      </c>
      <c r="CT1721">
        <f t="shared" si="578"/>
        <v>0</v>
      </c>
      <c r="CU1721">
        <f t="shared" si="579"/>
        <v>1</v>
      </c>
    </row>
    <row r="1722" spans="1:99">
      <c r="A1722" t="str">
        <f>IF(包装物料出入库明细!$E1722="","",包装物料出入库明细!$E1722)</f>
        <v/>
      </c>
      <c r="B1722">
        <f t="shared" si="569"/>
        <v>0</v>
      </c>
      <c r="C1722">
        <f t="shared" si="570"/>
        <v>7</v>
      </c>
      <c r="D1722" t="str">
        <f>IF(包装物料出入库明细!$E1722="","",包装物料出入库明细!$F1722)</f>
        <v/>
      </c>
      <c r="E1722" t="str">
        <f>IF(包装物料出入库明细!$E1722="","",包装物料出入库明细!$G1722)</f>
        <v/>
      </c>
      <c r="K1722" t="str">
        <f>IF(包装物料出入库明细!$D1722="","",包装物料出入库明细!$D1722)</f>
        <v/>
      </c>
      <c r="L1722">
        <f t="shared" si="571"/>
        <v>0</v>
      </c>
      <c r="M1722">
        <f t="shared" si="572"/>
        <v>9</v>
      </c>
      <c r="Q1722" t="str">
        <f>IF(周转筐出入库明细!$D1723="","",周转筐出入库明细!$D1723)</f>
        <v/>
      </c>
      <c r="R1722">
        <f t="shared" si="573"/>
        <v>0</v>
      </c>
      <c r="S1722">
        <f t="shared" si="574"/>
        <v>5</v>
      </c>
      <c r="W1722" t="str">
        <f>IF(周转筐出入库明细!$C1723="","",周转筐出入库明细!$C1723)</f>
        <v/>
      </c>
      <c r="X1722">
        <f t="shared" si="575"/>
        <v>0</v>
      </c>
      <c r="Y1722">
        <f t="shared" si="576"/>
        <v>12</v>
      </c>
      <c r="CP1722">
        <f>IF(包装物料出入库明细!$D1722="",0,1)</f>
        <v>0</v>
      </c>
      <c r="CQ1722">
        <f t="shared" si="577"/>
        <v>37</v>
      </c>
      <c r="CS1722" t="str">
        <f>IF(OR(周转筐出入库明细!$C1723="",周转筐出入库明细!$F1723&lt;&gt;"采购入库"),"",周转筐出入库明细!$C1723)</f>
        <v/>
      </c>
      <c r="CT1722">
        <f t="shared" si="578"/>
        <v>0</v>
      </c>
      <c r="CU1722">
        <f t="shared" si="579"/>
        <v>1</v>
      </c>
    </row>
    <row r="1723" spans="1:99">
      <c r="A1723" t="str">
        <f>IF(包装物料出入库明细!$E1723="","",包装物料出入库明细!$E1723)</f>
        <v/>
      </c>
      <c r="B1723">
        <f t="shared" si="569"/>
        <v>0</v>
      </c>
      <c r="C1723">
        <f t="shared" si="570"/>
        <v>7</v>
      </c>
      <c r="D1723" t="str">
        <f>IF(包装物料出入库明细!$E1723="","",包装物料出入库明细!$F1723)</f>
        <v/>
      </c>
      <c r="E1723" t="str">
        <f>IF(包装物料出入库明细!$E1723="","",包装物料出入库明细!$G1723)</f>
        <v/>
      </c>
      <c r="K1723" t="str">
        <f>IF(包装物料出入库明细!$D1723="","",包装物料出入库明细!$D1723)</f>
        <v/>
      </c>
      <c r="L1723">
        <f t="shared" si="571"/>
        <v>0</v>
      </c>
      <c r="M1723">
        <f t="shared" si="572"/>
        <v>9</v>
      </c>
      <c r="Q1723" t="str">
        <f>IF(周转筐出入库明细!$D1724="","",周转筐出入库明细!$D1724)</f>
        <v/>
      </c>
      <c r="R1723">
        <f t="shared" si="573"/>
        <v>0</v>
      </c>
      <c r="S1723">
        <f t="shared" si="574"/>
        <v>5</v>
      </c>
      <c r="W1723" t="str">
        <f>IF(周转筐出入库明细!$C1724="","",周转筐出入库明细!$C1724)</f>
        <v/>
      </c>
      <c r="X1723">
        <f t="shared" si="575"/>
        <v>0</v>
      </c>
      <c r="Y1723">
        <f t="shared" si="576"/>
        <v>12</v>
      </c>
      <c r="CP1723">
        <f>IF(包装物料出入库明细!$D1723="",0,1)</f>
        <v>0</v>
      </c>
      <c r="CQ1723">
        <f t="shared" si="577"/>
        <v>37</v>
      </c>
      <c r="CS1723" t="str">
        <f>IF(OR(周转筐出入库明细!$C1724="",周转筐出入库明细!$F1724&lt;&gt;"采购入库"),"",周转筐出入库明细!$C1724)</f>
        <v/>
      </c>
      <c r="CT1723">
        <f t="shared" si="578"/>
        <v>0</v>
      </c>
      <c r="CU1723">
        <f t="shared" si="579"/>
        <v>1</v>
      </c>
    </row>
    <row r="1724" spans="1:99">
      <c r="A1724" t="str">
        <f>IF(包装物料出入库明细!$E1724="","",包装物料出入库明细!$E1724)</f>
        <v/>
      </c>
      <c r="B1724">
        <f t="shared" si="569"/>
        <v>0</v>
      </c>
      <c r="C1724">
        <f t="shared" si="570"/>
        <v>7</v>
      </c>
      <c r="D1724" t="str">
        <f>IF(包装物料出入库明细!$E1724="","",包装物料出入库明细!$F1724)</f>
        <v/>
      </c>
      <c r="E1724" t="str">
        <f>IF(包装物料出入库明细!$E1724="","",包装物料出入库明细!$G1724)</f>
        <v/>
      </c>
      <c r="K1724" t="str">
        <f>IF(包装物料出入库明细!$D1724="","",包装物料出入库明细!$D1724)</f>
        <v/>
      </c>
      <c r="L1724">
        <f t="shared" si="571"/>
        <v>0</v>
      </c>
      <c r="M1724">
        <f t="shared" si="572"/>
        <v>9</v>
      </c>
      <c r="Q1724" t="str">
        <f>IF(周转筐出入库明细!$D1725="","",周转筐出入库明细!$D1725)</f>
        <v/>
      </c>
      <c r="R1724">
        <f t="shared" si="573"/>
        <v>0</v>
      </c>
      <c r="S1724">
        <f t="shared" si="574"/>
        <v>5</v>
      </c>
      <c r="W1724" t="str">
        <f>IF(周转筐出入库明细!$C1725="","",周转筐出入库明细!$C1725)</f>
        <v/>
      </c>
      <c r="X1724">
        <f t="shared" si="575"/>
        <v>0</v>
      </c>
      <c r="Y1724">
        <f t="shared" si="576"/>
        <v>12</v>
      </c>
      <c r="CP1724">
        <f>IF(包装物料出入库明细!$D1724="",0,1)</f>
        <v>0</v>
      </c>
      <c r="CQ1724">
        <f t="shared" si="577"/>
        <v>37</v>
      </c>
      <c r="CS1724" t="str">
        <f>IF(OR(周转筐出入库明细!$C1725="",周转筐出入库明细!$F1725&lt;&gt;"采购入库"),"",周转筐出入库明细!$C1725)</f>
        <v/>
      </c>
      <c r="CT1724">
        <f t="shared" si="578"/>
        <v>0</v>
      </c>
      <c r="CU1724">
        <f t="shared" si="579"/>
        <v>1</v>
      </c>
    </row>
    <row r="1725" spans="1:99">
      <c r="A1725" t="str">
        <f>IF(包装物料出入库明细!$E1725="","",包装物料出入库明细!$E1725)</f>
        <v/>
      </c>
      <c r="B1725">
        <f t="shared" si="569"/>
        <v>0</v>
      </c>
      <c r="C1725">
        <f t="shared" si="570"/>
        <v>7</v>
      </c>
      <c r="D1725" t="str">
        <f>IF(包装物料出入库明细!$E1725="","",包装物料出入库明细!$F1725)</f>
        <v/>
      </c>
      <c r="E1725" t="str">
        <f>IF(包装物料出入库明细!$E1725="","",包装物料出入库明细!$G1725)</f>
        <v/>
      </c>
      <c r="K1725" t="str">
        <f>IF(包装物料出入库明细!$D1725="","",包装物料出入库明细!$D1725)</f>
        <v/>
      </c>
      <c r="L1725">
        <f t="shared" si="571"/>
        <v>0</v>
      </c>
      <c r="M1725">
        <f t="shared" si="572"/>
        <v>9</v>
      </c>
      <c r="Q1725" t="str">
        <f>IF(周转筐出入库明细!$D1726="","",周转筐出入库明细!$D1726)</f>
        <v/>
      </c>
      <c r="R1725">
        <f t="shared" si="573"/>
        <v>0</v>
      </c>
      <c r="S1725">
        <f t="shared" si="574"/>
        <v>5</v>
      </c>
      <c r="W1725" t="str">
        <f>IF(周转筐出入库明细!$C1726="","",周转筐出入库明细!$C1726)</f>
        <v/>
      </c>
      <c r="X1725">
        <f t="shared" si="575"/>
        <v>0</v>
      </c>
      <c r="Y1725">
        <f t="shared" si="576"/>
        <v>12</v>
      </c>
      <c r="CP1725">
        <f>IF(包装物料出入库明细!$D1725="",0,1)</f>
        <v>0</v>
      </c>
      <c r="CQ1725">
        <f t="shared" si="577"/>
        <v>37</v>
      </c>
      <c r="CS1725" t="str">
        <f>IF(OR(周转筐出入库明细!$C1726="",周转筐出入库明细!$F1726&lt;&gt;"采购入库"),"",周转筐出入库明细!$C1726)</f>
        <v/>
      </c>
      <c r="CT1725">
        <f t="shared" si="578"/>
        <v>0</v>
      </c>
      <c r="CU1725">
        <f t="shared" si="579"/>
        <v>1</v>
      </c>
    </row>
    <row r="1726" spans="1:99">
      <c r="A1726" t="str">
        <f>IF(包装物料出入库明细!$E1726="","",包装物料出入库明细!$E1726)</f>
        <v/>
      </c>
      <c r="B1726">
        <f t="shared" si="569"/>
        <v>0</v>
      </c>
      <c r="C1726">
        <f t="shared" si="570"/>
        <v>7</v>
      </c>
      <c r="D1726" t="str">
        <f>IF(包装物料出入库明细!$E1726="","",包装物料出入库明细!$F1726)</f>
        <v/>
      </c>
      <c r="E1726" t="str">
        <f>IF(包装物料出入库明细!$E1726="","",包装物料出入库明细!$G1726)</f>
        <v/>
      </c>
      <c r="K1726" t="str">
        <f>IF(包装物料出入库明细!$D1726="","",包装物料出入库明细!$D1726)</f>
        <v/>
      </c>
      <c r="L1726">
        <f t="shared" si="571"/>
        <v>0</v>
      </c>
      <c r="M1726">
        <f t="shared" si="572"/>
        <v>9</v>
      </c>
      <c r="Q1726" t="str">
        <f>IF(周转筐出入库明细!$D1727="","",周转筐出入库明细!$D1727)</f>
        <v/>
      </c>
      <c r="R1726">
        <f t="shared" si="573"/>
        <v>0</v>
      </c>
      <c r="S1726">
        <f t="shared" si="574"/>
        <v>5</v>
      </c>
      <c r="W1726" t="str">
        <f>IF(周转筐出入库明细!$C1727="","",周转筐出入库明细!$C1727)</f>
        <v/>
      </c>
      <c r="X1726">
        <f t="shared" si="575"/>
        <v>0</v>
      </c>
      <c r="Y1726">
        <f t="shared" si="576"/>
        <v>12</v>
      </c>
      <c r="CP1726">
        <f>IF(包装物料出入库明细!$D1726="",0,1)</f>
        <v>0</v>
      </c>
      <c r="CQ1726">
        <f t="shared" si="577"/>
        <v>37</v>
      </c>
      <c r="CS1726" t="str">
        <f>IF(OR(周转筐出入库明细!$C1727="",周转筐出入库明细!$F1727&lt;&gt;"采购入库"),"",周转筐出入库明细!$C1727)</f>
        <v/>
      </c>
      <c r="CT1726">
        <f t="shared" si="578"/>
        <v>0</v>
      </c>
      <c r="CU1726">
        <f t="shared" si="579"/>
        <v>1</v>
      </c>
    </row>
    <row r="1727" spans="1:99">
      <c r="A1727" t="str">
        <f>IF(包装物料出入库明细!$E1727="","",包装物料出入库明细!$E1727)</f>
        <v/>
      </c>
      <c r="B1727">
        <f t="shared" si="569"/>
        <v>0</v>
      </c>
      <c r="C1727">
        <f t="shared" si="570"/>
        <v>7</v>
      </c>
      <c r="D1727" t="str">
        <f>IF(包装物料出入库明细!$E1727="","",包装物料出入库明细!$F1727)</f>
        <v/>
      </c>
      <c r="E1727" t="str">
        <f>IF(包装物料出入库明细!$E1727="","",包装物料出入库明细!$G1727)</f>
        <v/>
      </c>
      <c r="K1727" t="str">
        <f>IF(包装物料出入库明细!$D1727="","",包装物料出入库明细!$D1727)</f>
        <v/>
      </c>
      <c r="L1727">
        <f t="shared" si="571"/>
        <v>0</v>
      </c>
      <c r="M1727">
        <f t="shared" si="572"/>
        <v>9</v>
      </c>
      <c r="Q1727" t="str">
        <f>IF(周转筐出入库明细!$D1728="","",周转筐出入库明细!$D1728)</f>
        <v/>
      </c>
      <c r="R1727">
        <f t="shared" si="573"/>
        <v>0</v>
      </c>
      <c r="S1727">
        <f t="shared" si="574"/>
        <v>5</v>
      </c>
      <c r="W1727" t="str">
        <f>IF(周转筐出入库明细!$C1728="","",周转筐出入库明细!$C1728)</f>
        <v/>
      </c>
      <c r="X1727">
        <f t="shared" si="575"/>
        <v>0</v>
      </c>
      <c r="Y1727">
        <f t="shared" si="576"/>
        <v>12</v>
      </c>
      <c r="CP1727">
        <f>IF(包装物料出入库明细!$D1727="",0,1)</f>
        <v>0</v>
      </c>
      <c r="CQ1727">
        <f t="shared" si="577"/>
        <v>37</v>
      </c>
      <c r="CS1727" t="str">
        <f>IF(OR(周转筐出入库明细!$C1728="",周转筐出入库明细!$F1728&lt;&gt;"采购入库"),"",周转筐出入库明细!$C1728)</f>
        <v/>
      </c>
      <c r="CT1727">
        <f t="shared" si="578"/>
        <v>0</v>
      </c>
      <c r="CU1727">
        <f t="shared" si="579"/>
        <v>1</v>
      </c>
    </row>
    <row r="1728" spans="1:99">
      <c r="A1728" t="str">
        <f>IF(包装物料出入库明细!$E1728="","",包装物料出入库明细!$E1728)</f>
        <v/>
      </c>
      <c r="B1728">
        <f t="shared" si="569"/>
        <v>0</v>
      </c>
      <c r="C1728">
        <f t="shared" si="570"/>
        <v>7</v>
      </c>
      <c r="D1728" t="str">
        <f>IF(包装物料出入库明细!$E1728="","",包装物料出入库明细!$F1728)</f>
        <v/>
      </c>
      <c r="E1728" t="str">
        <f>IF(包装物料出入库明细!$E1728="","",包装物料出入库明细!$G1728)</f>
        <v/>
      </c>
      <c r="K1728" t="str">
        <f>IF(包装物料出入库明细!$D1728="","",包装物料出入库明细!$D1728)</f>
        <v/>
      </c>
      <c r="L1728">
        <f t="shared" si="571"/>
        <v>0</v>
      </c>
      <c r="M1728">
        <f t="shared" si="572"/>
        <v>9</v>
      </c>
      <c r="Q1728" t="str">
        <f>IF(周转筐出入库明细!$D1729="","",周转筐出入库明细!$D1729)</f>
        <v/>
      </c>
      <c r="R1728">
        <f t="shared" si="573"/>
        <v>0</v>
      </c>
      <c r="S1728">
        <f t="shared" si="574"/>
        <v>5</v>
      </c>
      <c r="W1728" t="str">
        <f>IF(周转筐出入库明细!$C1729="","",周转筐出入库明细!$C1729)</f>
        <v/>
      </c>
      <c r="X1728">
        <f t="shared" si="575"/>
        <v>0</v>
      </c>
      <c r="Y1728">
        <f t="shared" si="576"/>
        <v>12</v>
      </c>
      <c r="CP1728">
        <f>IF(包装物料出入库明细!$D1728="",0,1)</f>
        <v>0</v>
      </c>
      <c r="CQ1728">
        <f t="shared" si="577"/>
        <v>37</v>
      </c>
      <c r="CS1728" t="str">
        <f>IF(OR(周转筐出入库明细!$C1729="",周转筐出入库明细!$F1729&lt;&gt;"采购入库"),"",周转筐出入库明细!$C1729)</f>
        <v/>
      </c>
      <c r="CT1728">
        <f t="shared" si="578"/>
        <v>0</v>
      </c>
      <c r="CU1728">
        <f t="shared" si="579"/>
        <v>1</v>
      </c>
    </row>
    <row r="1729" spans="1:99">
      <c r="A1729" t="str">
        <f>IF(包装物料出入库明细!$E1729="","",包装物料出入库明细!$E1729)</f>
        <v/>
      </c>
      <c r="B1729">
        <f t="shared" si="569"/>
        <v>0</v>
      </c>
      <c r="C1729">
        <f t="shared" si="570"/>
        <v>7</v>
      </c>
      <c r="D1729" t="str">
        <f>IF(包装物料出入库明细!$E1729="","",包装物料出入库明细!$F1729)</f>
        <v/>
      </c>
      <c r="E1729" t="str">
        <f>IF(包装物料出入库明细!$E1729="","",包装物料出入库明细!$G1729)</f>
        <v/>
      </c>
      <c r="K1729" t="str">
        <f>IF(包装物料出入库明细!$D1729="","",包装物料出入库明细!$D1729)</f>
        <v/>
      </c>
      <c r="L1729">
        <f t="shared" si="571"/>
        <v>0</v>
      </c>
      <c r="M1729">
        <f t="shared" si="572"/>
        <v>9</v>
      </c>
      <c r="Q1729" t="str">
        <f>IF(周转筐出入库明细!$D1730="","",周转筐出入库明细!$D1730)</f>
        <v/>
      </c>
      <c r="R1729">
        <f t="shared" si="573"/>
        <v>0</v>
      </c>
      <c r="S1729">
        <f t="shared" si="574"/>
        <v>5</v>
      </c>
      <c r="W1729" t="str">
        <f>IF(周转筐出入库明细!$C1730="","",周转筐出入库明细!$C1730)</f>
        <v/>
      </c>
      <c r="X1729">
        <f t="shared" si="575"/>
        <v>0</v>
      </c>
      <c r="Y1729">
        <f t="shared" si="576"/>
        <v>12</v>
      </c>
      <c r="CP1729">
        <f>IF(包装物料出入库明细!$D1729="",0,1)</f>
        <v>0</v>
      </c>
      <c r="CQ1729">
        <f t="shared" si="577"/>
        <v>37</v>
      </c>
      <c r="CS1729" t="str">
        <f>IF(OR(周转筐出入库明细!$C1730="",周转筐出入库明细!$F1730&lt;&gt;"采购入库"),"",周转筐出入库明细!$C1730)</f>
        <v/>
      </c>
      <c r="CT1729">
        <f t="shared" si="578"/>
        <v>0</v>
      </c>
      <c r="CU1729">
        <f t="shared" si="579"/>
        <v>1</v>
      </c>
    </row>
    <row r="1730" spans="1:99">
      <c r="A1730" t="str">
        <f>IF(包装物料出入库明细!$E1730="","",包装物料出入库明细!$E1730)</f>
        <v/>
      </c>
      <c r="B1730">
        <f t="shared" si="569"/>
        <v>0</v>
      </c>
      <c r="C1730">
        <f t="shared" si="570"/>
        <v>7</v>
      </c>
      <c r="D1730" t="str">
        <f>IF(包装物料出入库明细!$E1730="","",包装物料出入库明细!$F1730)</f>
        <v/>
      </c>
      <c r="E1730" t="str">
        <f>IF(包装物料出入库明细!$E1730="","",包装物料出入库明细!$G1730)</f>
        <v/>
      </c>
      <c r="K1730" t="str">
        <f>IF(包装物料出入库明细!$D1730="","",包装物料出入库明细!$D1730)</f>
        <v/>
      </c>
      <c r="L1730">
        <f t="shared" si="571"/>
        <v>0</v>
      </c>
      <c r="M1730">
        <f t="shared" si="572"/>
        <v>9</v>
      </c>
      <c r="Q1730" t="str">
        <f>IF(周转筐出入库明细!$D1731="","",周转筐出入库明细!$D1731)</f>
        <v/>
      </c>
      <c r="R1730">
        <f t="shared" si="573"/>
        <v>0</v>
      </c>
      <c r="S1730">
        <f t="shared" si="574"/>
        <v>5</v>
      </c>
      <c r="W1730" t="str">
        <f>IF(周转筐出入库明细!$C1731="","",周转筐出入库明细!$C1731)</f>
        <v/>
      </c>
      <c r="X1730">
        <f t="shared" si="575"/>
        <v>0</v>
      </c>
      <c r="Y1730">
        <f t="shared" si="576"/>
        <v>12</v>
      </c>
      <c r="CP1730">
        <f>IF(包装物料出入库明细!$D1730="",0,1)</f>
        <v>0</v>
      </c>
      <c r="CQ1730">
        <f t="shared" si="577"/>
        <v>37</v>
      </c>
      <c r="CS1730" t="str">
        <f>IF(OR(周转筐出入库明细!$C1731="",周转筐出入库明细!$F1731&lt;&gt;"采购入库"),"",周转筐出入库明细!$C1731)</f>
        <v/>
      </c>
      <c r="CT1730">
        <f t="shared" si="578"/>
        <v>0</v>
      </c>
      <c r="CU1730">
        <f t="shared" si="579"/>
        <v>1</v>
      </c>
    </row>
    <row r="1731" spans="1:99">
      <c r="A1731" t="str">
        <f>IF(包装物料出入库明细!$E1731="","",包装物料出入库明细!$E1731)</f>
        <v/>
      </c>
      <c r="B1731">
        <f t="shared" si="569"/>
        <v>0</v>
      </c>
      <c r="C1731">
        <f t="shared" si="570"/>
        <v>7</v>
      </c>
      <c r="D1731" t="str">
        <f>IF(包装物料出入库明细!$E1731="","",包装物料出入库明细!$F1731)</f>
        <v/>
      </c>
      <c r="E1731" t="str">
        <f>IF(包装物料出入库明细!$E1731="","",包装物料出入库明细!$G1731)</f>
        <v/>
      </c>
      <c r="K1731" t="str">
        <f>IF(包装物料出入库明细!$D1731="","",包装物料出入库明细!$D1731)</f>
        <v/>
      </c>
      <c r="L1731">
        <f t="shared" si="571"/>
        <v>0</v>
      </c>
      <c r="M1731">
        <f t="shared" si="572"/>
        <v>9</v>
      </c>
      <c r="Q1731" t="str">
        <f>IF(周转筐出入库明细!$D1732="","",周转筐出入库明细!$D1732)</f>
        <v/>
      </c>
      <c r="R1731">
        <f t="shared" si="573"/>
        <v>0</v>
      </c>
      <c r="S1731">
        <f t="shared" si="574"/>
        <v>5</v>
      </c>
      <c r="W1731" t="str">
        <f>IF(周转筐出入库明细!$C1732="","",周转筐出入库明细!$C1732)</f>
        <v/>
      </c>
      <c r="X1731">
        <f t="shared" si="575"/>
        <v>0</v>
      </c>
      <c r="Y1731">
        <f t="shared" si="576"/>
        <v>12</v>
      </c>
      <c r="CP1731">
        <f>IF(包装物料出入库明细!$D1731="",0,1)</f>
        <v>0</v>
      </c>
      <c r="CQ1731">
        <f t="shared" si="577"/>
        <v>37</v>
      </c>
      <c r="CS1731" t="str">
        <f>IF(OR(周转筐出入库明细!$C1732="",周转筐出入库明细!$F1732&lt;&gt;"采购入库"),"",周转筐出入库明细!$C1732)</f>
        <v/>
      </c>
      <c r="CT1731">
        <f t="shared" si="578"/>
        <v>0</v>
      </c>
      <c r="CU1731">
        <f t="shared" si="579"/>
        <v>1</v>
      </c>
    </row>
    <row r="1732" spans="1:99">
      <c r="A1732" t="str">
        <f>IF(包装物料出入库明细!$E1732="","",包装物料出入库明细!$E1732)</f>
        <v/>
      </c>
      <c r="B1732">
        <f t="shared" ref="B1732:B1795" si="580">IF(A1732="",0,IF(MATCH(A1732,$A$4:$A$2003,0)=ROW()-3,1,0))</f>
        <v>0</v>
      </c>
      <c r="C1732">
        <f t="shared" ref="C1732:C1795" si="581">N(C1731)+B1732</f>
        <v>7</v>
      </c>
      <c r="D1732" t="str">
        <f>IF(包装物料出入库明细!$E1732="","",包装物料出入库明细!$F1732)</f>
        <v/>
      </c>
      <c r="E1732" t="str">
        <f>IF(包装物料出入库明细!$E1732="","",包装物料出入库明细!$G1732)</f>
        <v/>
      </c>
      <c r="K1732" t="str">
        <f>IF(包装物料出入库明细!$D1732="","",包装物料出入库明细!$D1732)</f>
        <v/>
      </c>
      <c r="L1732">
        <f t="shared" ref="L1732:L1795" si="582">IF(K1732="",0,IF(MATCH(K1732,$K$4:$K$2003,0)=ROW()-3,1,0))</f>
        <v>0</v>
      </c>
      <c r="M1732">
        <f t="shared" ref="M1732:M1795" si="583">N(M1731)+L1732</f>
        <v>9</v>
      </c>
      <c r="Q1732" t="str">
        <f>IF(周转筐出入库明细!$D1733="","",周转筐出入库明细!$D1733)</f>
        <v/>
      </c>
      <c r="R1732">
        <f t="shared" ref="R1732:R1795" si="584">IF(Q1732="",0,IF(MATCH(Q1732,$Q$4:$Q$2003,0)=ROW()-3,1,0))</f>
        <v>0</v>
      </c>
      <c r="S1732">
        <f t="shared" ref="S1732:S1795" si="585">N(S1731)+R1732</f>
        <v>5</v>
      </c>
      <c r="W1732" t="str">
        <f>IF(周转筐出入库明细!$C1733="","",周转筐出入库明细!$C1733)</f>
        <v/>
      </c>
      <c r="X1732">
        <f t="shared" ref="X1732:X1795" si="586">IF(W1732="",0,IF(MATCH(W1732,$W$4:$W$2003,0)=ROW()-3,1,0))</f>
        <v>0</v>
      </c>
      <c r="Y1732">
        <f t="shared" ref="Y1732:Y1795" si="587">N(Y1731)+X1732</f>
        <v>12</v>
      </c>
      <c r="CP1732">
        <f>IF(包装物料出入库明细!$D1732="",0,1)</f>
        <v>0</v>
      </c>
      <c r="CQ1732">
        <f t="shared" ref="CQ1732:CQ1795" si="588">N(CQ1731)+$CP1732</f>
        <v>37</v>
      </c>
      <c r="CS1732" t="str">
        <f>IF(OR(周转筐出入库明细!$C1733="",周转筐出入库明细!$F1733&lt;&gt;"采购入库"),"",周转筐出入库明细!$C1733)</f>
        <v/>
      </c>
      <c r="CT1732">
        <f t="shared" ref="CT1732:CT1795" si="589">IF(CS1732="",0,IF(MATCH(CS1732,$CS$4:$CS$2003,0)=ROW()-3,1,0))</f>
        <v>0</v>
      </c>
      <c r="CU1732">
        <f t="shared" ref="CU1732:CU1795" si="590">N(CU1731)+CT1732</f>
        <v>1</v>
      </c>
    </row>
    <row r="1733" spans="1:99">
      <c r="A1733" t="str">
        <f>IF(包装物料出入库明细!$E1733="","",包装物料出入库明细!$E1733)</f>
        <v/>
      </c>
      <c r="B1733">
        <f t="shared" si="580"/>
        <v>0</v>
      </c>
      <c r="C1733">
        <f t="shared" si="581"/>
        <v>7</v>
      </c>
      <c r="D1733" t="str">
        <f>IF(包装物料出入库明细!$E1733="","",包装物料出入库明细!$F1733)</f>
        <v/>
      </c>
      <c r="E1733" t="str">
        <f>IF(包装物料出入库明细!$E1733="","",包装物料出入库明细!$G1733)</f>
        <v/>
      </c>
      <c r="K1733" t="str">
        <f>IF(包装物料出入库明细!$D1733="","",包装物料出入库明细!$D1733)</f>
        <v/>
      </c>
      <c r="L1733">
        <f t="shared" si="582"/>
        <v>0</v>
      </c>
      <c r="M1733">
        <f t="shared" si="583"/>
        <v>9</v>
      </c>
      <c r="Q1733" t="str">
        <f>IF(周转筐出入库明细!$D1734="","",周转筐出入库明细!$D1734)</f>
        <v/>
      </c>
      <c r="R1733">
        <f t="shared" si="584"/>
        <v>0</v>
      </c>
      <c r="S1733">
        <f t="shared" si="585"/>
        <v>5</v>
      </c>
      <c r="W1733" t="str">
        <f>IF(周转筐出入库明细!$C1734="","",周转筐出入库明细!$C1734)</f>
        <v/>
      </c>
      <c r="X1733">
        <f t="shared" si="586"/>
        <v>0</v>
      </c>
      <c r="Y1733">
        <f t="shared" si="587"/>
        <v>12</v>
      </c>
      <c r="CP1733">
        <f>IF(包装物料出入库明细!$D1733="",0,1)</f>
        <v>0</v>
      </c>
      <c r="CQ1733">
        <f t="shared" si="588"/>
        <v>37</v>
      </c>
      <c r="CS1733" t="str">
        <f>IF(OR(周转筐出入库明细!$C1734="",周转筐出入库明细!$F1734&lt;&gt;"采购入库"),"",周转筐出入库明细!$C1734)</f>
        <v/>
      </c>
      <c r="CT1733">
        <f t="shared" si="589"/>
        <v>0</v>
      </c>
      <c r="CU1733">
        <f t="shared" si="590"/>
        <v>1</v>
      </c>
    </row>
    <row r="1734" spans="1:99">
      <c r="A1734" t="str">
        <f>IF(包装物料出入库明细!$E1734="","",包装物料出入库明细!$E1734)</f>
        <v/>
      </c>
      <c r="B1734">
        <f t="shared" si="580"/>
        <v>0</v>
      </c>
      <c r="C1734">
        <f t="shared" si="581"/>
        <v>7</v>
      </c>
      <c r="D1734" t="str">
        <f>IF(包装物料出入库明细!$E1734="","",包装物料出入库明细!$F1734)</f>
        <v/>
      </c>
      <c r="E1734" t="str">
        <f>IF(包装物料出入库明细!$E1734="","",包装物料出入库明细!$G1734)</f>
        <v/>
      </c>
      <c r="K1734" t="str">
        <f>IF(包装物料出入库明细!$D1734="","",包装物料出入库明细!$D1734)</f>
        <v/>
      </c>
      <c r="L1734">
        <f t="shared" si="582"/>
        <v>0</v>
      </c>
      <c r="M1734">
        <f t="shared" si="583"/>
        <v>9</v>
      </c>
      <c r="Q1734" t="str">
        <f>IF(周转筐出入库明细!$D1735="","",周转筐出入库明细!$D1735)</f>
        <v/>
      </c>
      <c r="R1734">
        <f t="shared" si="584"/>
        <v>0</v>
      </c>
      <c r="S1734">
        <f t="shared" si="585"/>
        <v>5</v>
      </c>
      <c r="W1734" t="str">
        <f>IF(周转筐出入库明细!$C1735="","",周转筐出入库明细!$C1735)</f>
        <v/>
      </c>
      <c r="X1734">
        <f t="shared" si="586"/>
        <v>0</v>
      </c>
      <c r="Y1734">
        <f t="shared" si="587"/>
        <v>12</v>
      </c>
      <c r="CP1734">
        <f>IF(包装物料出入库明细!$D1734="",0,1)</f>
        <v>0</v>
      </c>
      <c r="CQ1734">
        <f t="shared" si="588"/>
        <v>37</v>
      </c>
      <c r="CS1734" t="str">
        <f>IF(OR(周转筐出入库明细!$C1735="",周转筐出入库明细!$F1735&lt;&gt;"采购入库"),"",周转筐出入库明细!$C1735)</f>
        <v/>
      </c>
      <c r="CT1734">
        <f t="shared" si="589"/>
        <v>0</v>
      </c>
      <c r="CU1734">
        <f t="shared" si="590"/>
        <v>1</v>
      </c>
    </row>
    <row r="1735" spans="1:99">
      <c r="A1735" t="str">
        <f>IF(包装物料出入库明细!$E1735="","",包装物料出入库明细!$E1735)</f>
        <v/>
      </c>
      <c r="B1735">
        <f t="shared" si="580"/>
        <v>0</v>
      </c>
      <c r="C1735">
        <f t="shared" si="581"/>
        <v>7</v>
      </c>
      <c r="D1735" t="str">
        <f>IF(包装物料出入库明细!$E1735="","",包装物料出入库明细!$F1735)</f>
        <v/>
      </c>
      <c r="E1735" t="str">
        <f>IF(包装物料出入库明细!$E1735="","",包装物料出入库明细!$G1735)</f>
        <v/>
      </c>
      <c r="K1735" t="str">
        <f>IF(包装物料出入库明细!$D1735="","",包装物料出入库明细!$D1735)</f>
        <v/>
      </c>
      <c r="L1735">
        <f t="shared" si="582"/>
        <v>0</v>
      </c>
      <c r="M1735">
        <f t="shared" si="583"/>
        <v>9</v>
      </c>
      <c r="Q1735" t="str">
        <f>IF(周转筐出入库明细!$D1736="","",周转筐出入库明细!$D1736)</f>
        <v/>
      </c>
      <c r="R1735">
        <f t="shared" si="584"/>
        <v>0</v>
      </c>
      <c r="S1735">
        <f t="shared" si="585"/>
        <v>5</v>
      </c>
      <c r="W1735" t="str">
        <f>IF(周转筐出入库明细!$C1736="","",周转筐出入库明细!$C1736)</f>
        <v/>
      </c>
      <c r="X1735">
        <f t="shared" si="586"/>
        <v>0</v>
      </c>
      <c r="Y1735">
        <f t="shared" si="587"/>
        <v>12</v>
      </c>
      <c r="CP1735">
        <f>IF(包装物料出入库明细!$D1735="",0,1)</f>
        <v>0</v>
      </c>
      <c r="CQ1735">
        <f t="shared" si="588"/>
        <v>37</v>
      </c>
      <c r="CS1735" t="str">
        <f>IF(OR(周转筐出入库明细!$C1736="",周转筐出入库明细!$F1736&lt;&gt;"采购入库"),"",周转筐出入库明细!$C1736)</f>
        <v/>
      </c>
      <c r="CT1735">
        <f t="shared" si="589"/>
        <v>0</v>
      </c>
      <c r="CU1735">
        <f t="shared" si="590"/>
        <v>1</v>
      </c>
    </row>
    <row r="1736" spans="1:99">
      <c r="A1736" t="str">
        <f>IF(包装物料出入库明细!$E1736="","",包装物料出入库明细!$E1736)</f>
        <v/>
      </c>
      <c r="B1736">
        <f t="shared" si="580"/>
        <v>0</v>
      </c>
      <c r="C1736">
        <f t="shared" si="581"/>
        <v>7</v>
      </c>
      <c r="D1736" t="str">
        <f>IF(包装物料出入库明细!$E1736="","",包装物料出入库明细!$F1736)</f>
        <v/>
      </c>
      <c r="E1736" t="str">
        <f>IF(包装物料出入库明细!$E1736="","",包装物料出入库明细!$G1736)</f>
        <v/>
      </c>
      <c r="K1736" t="str">
        <f>IF(包装物料出入库明细!$D1736="","",包装物料出入库明细!$D1736)</f>
        <v/>
      </c>
      <c r="L1736">
        <f t="shared" si="582"/>
        <v>0</v>
      </c>
      <c r="M1736">
        <f t="shared" si="583"/>
        <v>9</v>
      </c>
      <c r="Q1736" t="str">
        <f>IF(周转筐出入库明细!$D1737="","",周转筐出入库明细!$D1737)</f>
        <v/>
      </c>
      <c r="R1736">
        <f t="shared" si="584"/>
        <v>0</v>
      </c>
      <c r="S1736">
        <f t="shared" si="585"/>
        <v>5</v>
      </c>
      <c r="W1736" t="str">
        <f>IF(周转筐出入库明细!$C1737="","",周转筐出入库明细!$C1737)</f>
        <v/>
      </c>
      <c r="X1736">
        <f t="shared" si="586"/>
        <v>0</v>
      </c>
      <c r="Y1736">
        <f t="shared" si="587"/>
        <v>12</v>
      </c>
      <c r="CP1736">
        <f>IF(包装物料出入库明细!$D1736="",0,1)</f>
        <v>0</v>
      </c>
      <c r="CQ1736">
        <f t="shared" si="588"/>
        <v>37</v>
      </c>
      <c r="CS1736" t="str">
        <f>IF(OR(周转筐出入库明细!$C1737="",周转筐出入库明细!$F1737&lt;&gt;"采购入库"),"",周转筐出入库明细!$C1737)</f>
        <v/>
      </c>
      <c r="CT1736">
        <f t="shared" si="589"/>
        <v>0</v>
      </c>
      <c r="CU1736">
        <f t="shared" si="590"/>
        <v>1</v>
      </c>
    </row>
    <row r="1737" spans="1:99">
      <c r="A1737" t="str">
        <f>IF(包装物料出入库明细!$E1737="","",包装物料出入库明细!$E1737)</f>
        <v/>
      </c>
      <c r="B1737">
        <f t="shared" si="580"/>
        <v>0</v>
      </c>
      <c r="C1737">
        <f t="shared" si="581"/>
        <v>7</v>
      </c>
      <c r="D1737" t="str">
        <f>IF(包装物料出入库明细!$E1737="","",包装物料出入库明细!$F1737)</f>
        <v/>
      </c>
      <c r="E1737" t="str">
        <f>IF(包装物料出入库明细!$E1737="","",包装物料出入库明细!$G1737)</f>
        <v/>
      </c>
      <c r="K1737" t="str">
        <f>IF(包装物料出入库明细!$D1737="","",包装物料出入库明细!$D1737)</f>
        <v/>
      </c>
      <c r="L1737">
        <f t="shared" si="582"/>
        <v>0</v>
      </c>
      <c r="M1737">
        <f t="shared" si="583"/>
        <v>9</v>
      </c>
      <c r="Q1737" t="str">
        <f>IF(周转筐出入库明细!$D1738="","",周转筐出入库明细!$D1738)</f>
        <v/>
      </c>
      <c r="R1737">
        <f t="shared" si="584"/>
        <v>0</v>
      </c>
      <c r="S1737">
        <f t="shared" si="585"/>
        <v>5</v>
      </c>
      <c r="W1737" t="str">
        <f>IF(周转筐出入库明细!$C1738="","",周转筐出入库明细!$C1738)</f>
        <v/>
      </c>
      <c r="X1737">
        <f t="shared" si="586"/>
        <v>0</v>
      </c>
      <c r="Y1737">
        <f t="shared" si="587"/>
        <v>12</v>
      </c>
      <c r="CP1737">
        <f>IF(包装物料出入库明细!$D1737="",0,1)</f>
        <v>0</v>
      </c>
      <c r="CQ1737">
        <f t="shared" si="588"/>
        <v>37</v>
      </c>
      <c r="CS1737" t="str">
        <f>IF(OR(周转筐出入库明细!$C1738="",周转筐出入库明细!$F1738&lt;&gt;"采购入库"),"",周转筐出入库明细!$C1738)</f>
        <v/>
      </c>
      <c r="CT1737">
        <f t="shared" si="589"/>
        <v>0</v>
      </c>
      <c r="CU1737">
        <f t="shared" si="590"/>
        <v>1</v>
      </c>
    </row>
    <row r="1738" spans="1:99">
      <c r="A1738" t="str">
        <f>IF(包装物料出入库明细!$E1738="","",包装物料出入库明细!$E1738)</f>
        <v/>
      </c>
      <c r="B1738">
        <f t="shared" si="580"/>
        <v>0</v>
      </c>
      <c r="C1738">
        <f t="shared" si="581"/>
        <v>7</v>
      </c>
      <c r="D1738" t="str">
        <f>IF(包装物料出入库明细!$E1738="","",包装物料出入库明细!$F1738)</f>
        <v/>
      </c>
      <c r="E1738" t="str">
        <f>IF(包装物料出入库明细!$E1738="","",包装物料出入库明细!$G1738)</f>
        <v/>
      </c>
      <c r="K1738" t="str">
        <f>IF(包装物料出入库明细!$D1738="","",包装物料出入库明细!$D1738)</f>
        <v/>
      </c>
      <c r="L1738">
        <f t="shared" si="582"/>
        <v>0</v>
      </c>
      <c r="M1738">
        <f t="shared" si="583"/>
        <v>9</v>
      </c>
      <c r="Q1738" t="str">
        <f>IF(周转筐出入库明细!$D1739="","",周转筐出入库明细!$D1739)</f>
        <v/>
      </c>
      <c r="R1738">
        <f t="shared" si="584"/>
        <v>0</v>
      </c>
      <c r="S1738">
        <f t="shared" si="585"/>
        <v>5</v>
      </c>
      <c r="W1738" t="str">
        <f>IF(周转筐出入库明细!$C1739="","",周转筐出入库明细!$C1739)</f>
        <v/>
      </c>
      <c r="X1738">
        <f t="shared" si="586"/>
        <v>0</v>
      </c>
      <c r="Y1738">
        <f t="shared" si="587"/>
        <v>12</v>
      </c>
      <c r="CP1738">
        <f>IF(包装物料出入库明细!$D1738="",0,1)</f>
        <v>0</v>
      </c>
      <c r="CQ1738">
        <f t="shared" si="588"/>
        <v>37</v>
      </c>
      <c r="CS1738" t="str">
        <f>IF(OR(周转筐出入库明细!$C1739="",周转筐出入库明细!$F1739&lt;&gt;"采购入库"),"",周转筐出入库明细!$C1739)</f>
        <v/>
      </c>
      <c r="CT1738">
        <f t="shared" si="589"/>
        <v>0</v>
      </c>
      <c r="CU1738">
        <f t="shared" si="590"/>
        <v>1</v>
      </c>
    </row>
    <row r="1739" spans="1:99">
      <c r="A1739" t="str">
        <f>IF(包装物料出入库明细!$E1739="","",包装物料出入库明细!$E1739)</f>
        <v/>
      </c>
      <c r="B1739">
        <f t="shared" si="580"/>
        <v>0</v>
      </c>
      <c r="C1739">
        <f t="shared" si="581"/>
        <v>7</v>
      </c>
      <c r="D1739" t="str">
        <f>IF(包装物料出入库明细!$E1739="","",包装物料出入库明细!$F1739)</f>
        <v/>
      </c>
      <c r="E1739" t="str">
        <f>IF(包装物料出入库明细!$E1739="","",包装物料出入库明细!$G1739)</f>
        <v/>
      </c>
      <c r="K1739" t="str">
        <f>IF(包装物料出入库明细!$D1739="","",包装物料出入库明细!$D1739)</f>
        <v/>
      </c>
      <c r="L1739">
        <f t="shared" si="582"/>
        <v>0</v>
      </c>
      <c r="M1739">
        <f t="shared" si="583"/>
        <v>9</v>
      </c>
      <c r="Q1739" t="str">
        <f>IF(周转筐出入库明细!$D1740="","",周转筐出入库明细!$D1740)</f>
        <v/>
      </c>
      <c r="R1739">
        <f t="shared" si="584"/>
        <v>0</v>
      </c>
      <c r="S1739">
        <f t="shared" si="585"/>
        <v>5</v>
      </c>
      <c r="W1739" t="str">
        <f>IF(周转筐出入库明细!$C1740="","",周转筐出入库明细!$C1740)</f>
        <v/>
      </c>
      <c r="X1739">
        <f t="shared" si="586"/>
        <v>0</v>
      </c>
      <c r="Y1739">
        <f t="shared" si="587"/>
        <v>12</v>
      </c>
      <c r="CP1739">
        <f>IF(包装物料出入库明细!$D1739="",0,1)</f>
        <v>0</v>
      </c>
      <c r="CQ1739">
        <f t="shared" si="588"/>
        <v>37</v>
      </c>
      <c r="CS1739" t="str">
        <f>IF(OR(周转筐出入库明细!$C1740="",周转筐出入库明细!$F1740&lt;&gt;"采购入库"),"",周转筐出入库明细!$C1740)</f>
        <v/>
      </c>
      <c r="CT1739">
        <f t="shared" si="589"/>
        <v>0</v>
      </c>
      <c r="CU1739">
        <f t="shared" si="590"/>
        <v>1</v>
      </c>
    </row>
    <row r="1740" spans="1:99">
      <c r="A1740" t="str">
        <f>IF(包装物料出入库明细!$E1740="","",包装物料出入库明细!$E1740)</f>
        <v/>
      </c>
      <c r="B1740">
        <f t="shared" si="580"/>
        <v>0</v>
      </c>
      <c r="C1740">
        <f t="shared" si="581"/>
        <v>7</v>
      </c>
      <c r="D1740" t="str">
        <f>IF(包装物料出入库明细!$E1740="","",包装物料出入库明细!$F1740)</f>
        <v/>
      </c>
      <c r="E1740" t="str">
        <f>IF(包装物料出入库明细!$E1740="","",包装物料出入库明细!$G1740)</f>
        <v/>
      </c>
      <c r="K1740" t="str">
        <f>IF(包装物料出入库明细!$D1740="","",包装物料出入库明细!$D1740)</f>
        <v/>
      </c>
      <c r="L1740">
        <f t="shared" si="582"/>
        <v>0</v>
      </c>
      <c r="M1740">
        <f t="shared" si="583"/>
        <v>9</v>
      </c>
      <c r="Q1740" t="str">
        <f>IF(周转筐出入库明细!$D1741="","",周转筐出入库明细!$D1741)</f>
        <v/>
      </c>
      <c r="R1740">
        <f t="shared" si="584"/>
        <v>0</v>
      </c>
      <c r="S1740">
        <f t="shared" si="585"/>
        <v>5</v>
      </c>
      <c r="W1740" t="str">
        <f>IF(周转筐出入库明细!$C1741="","",周转筐出入库明细!$C1741)</f>
        <v/>
      </c>
      <c r="X1740">
        <f t="shared" si="586"/>
        <v>0</v>
      </c>
      <c r="Y1740">
        <f t="shared" si="587"/>
        <v>12</v>
      </c>
      <c r="CP1740">
        <f>IF(包装物料出入库明细!$D1740="",0,1)</f>
        <v>0</v>
      </c>
      <c r="CQ1740">
        <f t="shared" si="588"/>
        <v>37</v>
      </c>
      <c r="CS1740" t="str">
        <f>IF(OR(周转筐出入库明细!$C1741="",周转筐出入库明细!$F1741&lt;&gt;"采购入库"),"",周转筐出入库明细!$C1741)</f>
        <v/>
      </c>
      <c r="CT1740">
        <f t="shared" si="589"/>
        <v>0</v>
      </c>
      <c r="CU1740">
        <f t="shared" si="590"/>
        <v>1</v>
      </c>
    </row>
    <row r="1741" spans="1:99">
      <c r="A1741" t="str">
        <f>IF(包装物料出入库明细!$E1741="","",包装物料出入库明细!$E1741)</f>
        <v/>
      </c>
      <c r="B1741">
        <f t="shared" si="580"/>
        <v>0</v>
      </c>
      <c r="C1741">
        <f t="shared" si="581"/>
        <v>7</v>
      </c>
      <c r="D1741" t="str">
        <f>IF(包装物料出入库明细!$E1741="","",包装物料出入库明细!$F1741)</f>
        <v/>
      </c>
      <c r="E1741" t="str">
        <f>IF(包装物料出入库明细!$E1741="","",包装物料出入库明细!$G1741)</f>
        <v/>
      </c>
      <c r="K1741" t="str">
        <f>IF(包装物料出入库明细!$D1741="","",包装物料出入库明细!$D1741)</f>
        <v/>
      </c>
      <c r="L1741">
        <f t="shared" si="582"/>
        <v>0</v>
      </c>
      <c r="M1741">
        <f t="shared" si="583"/>
        <v>9</v>
      </c>
      <c r="Q1741" t="str">
        <f>IF(周转筐出入库明细!$D1742="","",周转筐出入库明细!$D1742)</f>
        <v/>
      </c>
      <c r="R1741">
        <f t="shared" si="584"/>
        <v>0</v>
      </c>
      <c r="S1741">
        <f t="shared" si="585"/>
        <v>5</v>
      </c>
      <c r="W1741" t="str">
        <f>IF(周转筐出入库明细!$C1742="","",周转筐出入库明细!$C1742)</f>
        <v/>
      </c>
      <c r="X1741">
        <f t="shared" si="586"/>
        <v>0</v>
      </c>
      <c r="Y1741">
        <f t="shared" si="587"/>
        <v>12</v>
      </c>
      <c r="CP1741">
        <f>IF(包装物料出入库明细!$D1741="",0,1)</f>
        <v>0</v>
      </c>
      <c r="CQ1741">
        <f t="shared" si="588"/>
        <v>37</v>
      </c>
      <c r="CS1741" t="str">
        <f>IF(OR(周转筐出入库明细!$C1742="",周转筐出入库明细!$F1742&lt;&gt;"采购入库"),"",周转筐出入库明细!$C1742)</f>
        <v/>
      </c>
      <c r="CT1741">
        <f t="shared" si="589"/>
        <v>0</v>
      </c>
      <c r="CU1741">
        <f t="shared" si="590"/>
        <v>1</v>
      </c>
    </row>
    <row r="1742" spans="1:99">
      <c r="A1742" t="str">
        <f>IF(包装物料出入库明细!$E1742="","",包装物料出入库明细!$E1742)</f>
        <v/>
      </c>
      <c r="B1742">
        <f t="shared" si="580"/>
        <v>0</v>
      </c>
      <c r="C1742">
        <f t="shared" si="581"/>
        <v>7</v>
      </c>
      <c r="D1742" t="str">
        <f>IF(包装物料出入库明细!$E1742="","",包装物料出入库明细!$F1742)</f>
        <v/>
      </c>
      <c r="E1742" t="str">
        <f>IF(包装物料出入库明细!$E1742="","",包装物料出入库明细!$G1742)</f>
        <v/>
      </c>
      <c r="K1742" t="str">
        <f>IF(包装物料出入库明细!$D1742="","",包装物料出入库明细!$D1742)</f>
        <v/>
      </c>
      <c r="L1742">
        <f t="shared" si="582"/>
        <v>0</v>
      </c>
      <c r="M1742">
        <f t="shared" si="583"/>
        <v>9</v>
      </c>
      <c r="Q1742" t="str">
        <f>IF(周转筐出入库明细!$D1743="","",周转筐出入库明细!$D1743)</f>
        <v/>
      </c>
      <c r="R1742">
        <f t="shared" si="584"/>
        <v>0</v>
      </c>
      <c r="S1742">
        <f t="shared" si="585"/>
        <v>5</v>
      </c>
      <c r="W1742" t="str">
        <f>IF(周转筐出入库明细!$C1743="","",周转筐出入库明细!$C1743)</f>
        <v/>
      </c>
      <c r="X1742">
        <f t="shared" si="586"/>
        <v>0</v>
      </c>
      <c r="Y1742">
        <f t="shared" si="587"/>
        <v>12</v>
      </c>
      <c r="CP1742">
        <f>IF(包装物料出入库明细!$D1742="",0,1)</f>
        <v>0</v>
      </c>
      <c r="CQ1742">
        <f t="shared" si="588"/>
        <v>37</v>
      </c>
      <c r="CS1742" t="str">
        <f>IF(OR(周转筐出入库明细!$C1743="",周转筐出入库明细!$F1743&lt;&gt;"采购入库"),"",周转筐出入库明细!$C1743)</f>
        <v/>
      </c>
      <c r="CT1742">
        <f t="shared" si="589"/>
        <v>0</v>
      </c>
      <c r="CU1742">
        <f t="shared" si="590"/>
        <v>1</v>
      </c>
    </row>
    <row r="1743" spans="1:99">
      <c r="A1743" t="str">
        <f>IF(包装物料出入库明细!$E1743="","",包装物料出入库明细!$E1743)</f>
        <v/>
      </c>
      <c r="B1743">
        <f t="shared" si="580"/>
        <v>0</v>
      </c>
      <c r="C1743">
        <f t="shared" si="581"/>
        <v>7</v>
      </c>
      <c r="D1743" t="str">
        <f>IF(包装物料出入库明细!$E1743="","",包装物料出入库明细!$F1743)</f>
        <v/>
      </c>
      <c r="E1743" t="str">
        <f>IF(包装物料出入库明细!$E1743="","",包装物料出入库明细!$G1743)</f>
        <v/>
      </c>
      <c r="K1743" t="str">
        <f>IF(包装物料出入库明细!$D1743="","",包装物料出入库明细!$D1743)</f>
        <v/>
      </c>
      <c r="L1743">
        <f t="shared" si="582"/>
        <v>0</v>
      </c>
      <c r="M1743">
        <f t="shared" si="583"/>
        <v>9</v>
      </c>
      <c r="Q1743" t="str">
        <f>IF(周转筐出入库明细!$D1744="","",周转筐出入库明细!$D1744)</f>
        <v/>
      </c>
      <c r="R1743">
        <f t="shared" si="584"/>
        <v>0</v>
      </c>
      <c r="S1743">
        <f t="shared" si="585"/>
        <v>5</v>
      </c>
      <c r="W1743" t="str">
        <f>IF(周转筐出入库明细!$C1744="","",周转筐出入库明细!$C1744)</f>
        <v/>
      </c>
      <c r="X1743">
        <f t="shared" si="586"/>
        <v>0</v>
      </c>
      <c r="Y1743">
        <f t="shared" si="587"/>
        <v>12</v>
      </c>
      <c r="CP1743">
        <f>IF(包装物料出入库明细!$D1743="",0,1)</f>
        <v>0</v>
      </c>
      <c r="CQ1743">
        <f t="shared" si="588"/>
        <v>37</v>
      </c>
      <c r="CS1743" t="str">
        <f>IF(OR(周转筐出入库明细!$C1744="",周转筐出入库明细!$F1744&lt;&gt;"采购入库"),"",周转筐出入库明细!$C1744)</f>
        <v/>
      </c>
      <c r="CT1743">
        <f t="shared" si="589"/>
        <v>0</v>
      </c>
      <c r="CU1743">
        <f t="shared" si="590"/>
        <v>1</v>
      </c>
    </row>
    <row r="1744" spans="1:99">
      <c r="A1744" t="str">
        <f>IF(包装物料出入库明细!$E1744="","",包装物料出入库明细!$E1744)</f>
        <v/>
      </c>
      <c r="B1744">
        <f t="shared" si="580"/>
        <v>0</v>
      </c>
      <c r="C1744">
        <f t="shared" si="581"/>
        <v>7</v>
      </c>
      <c r="D1744" t="str">
        <f>IF(包装物料出入库明细!$E1744="","",包装物料出入库明细!$F1744)</f>
        <v/>
      </c>
      <c r="E1744" t="str">
        <f>IF(包装物料出入库明细!$E1744="","",包装物料出入库明细!$G1744)</f>
        <v/>
      </c>
      <c r="K1744" t="str">
        <f>IF(包装物料出入库明细!$D1744="","",包装物料出入库明细!$D1744)</f>
        <v/>
      </c>
      <c r="L1744">
        <f t="shared" si="582"/>
        <v>0</v>
      </c>
      <c r="M1744">
        <f t="shared" si="583"/>
        <v>9</v>
      </c>
      <c r="Q1744" t="str">
        <f>IF(周转筐出入库明细!$D1745="","",周转筐出入库明细!$D1745)</f>
        <v/>
      </c>
      <c r="R1744">
        <f t="shared" si="584"/>
        <v>0</v>
      </c>
      <c r="S1744">
        <f t="shared" si="585"/>
        <v>5</v>
      </c>
      <c r="W1744" t="str">
        <f>IF(周转筐出入库明细!$C1745="","",周转筐出入库明细!$C1745)</f>
        <v/>
      </c>
      <c r="X1744">
        <f t="shared" si="586"/>
        <v>0</v>
      </c>
      <c r="Y1744">
        <f t="shared" si="587"/>
        <v>12</v>
      </c>
      <c r="CP1744">
        <f>IF(包装物料出入库明细!$D1744="",0,1)</f>
        <v>0</v>
      </c>
      <c r="CQ1744">
        <f t="shared" si="588"/>
        <v>37</v>
      </c>
      <c r="CS1744" t="str">
        <f>IF(OR(周转筐出入库明细!$C1745="",周转筐出入库明细!$F1745&lt;&gt;"采购入库"),"",周转筐出入库明细!$C1745)</f>
        <v/>
      </c>
      <c r="CT1744">
        <f t="shared" si="589"/>
        <v>0</v>
      </c>
      <c r="CU1744">
        <f t="shared" si="590"/>
        <v>1</v>
      </c>
    </row>
    <row r="1745" spans="1:99">
      <c r="A1745" t="str">
        <f>IF(包装物料出入库明细!$E1745="","",包装物料出入库明细!$E1745)</f>
        <v/>
      </c>
      <c r="B1745">
        <f t="shared" si="580"/>
        <v>0</v>
      </c>
      <c r="C1745">
        <f t="shared" si="581"/>
        <v>7</v>
      </c>
      <c r="D1745" t="str">
        <f>IF(包装物料出入库明细!$E1745="","",包装物料出入库明细!$F1745)</f>
        <v/>
      </c>
      <c r="E1745" t="str">
        <f>IF(包装物料出入库明细!$E1745="","",包装物料出入库明细!$G1745)</f>
        <v/>
      </c>
      <c r="K1745" t="str">
        <f>IF(包装物料出入库明细!$D1745="","",包装物料出入库明细!$D1745)</f>
        <v/>
      </c>
      <c r="L1745">
        <f t="shared" si="582"/>
        <v>0</v>
      </c>
      <c r="M1745">
        <f t="shared" si="583"/>
        <v>9</v>
      </c>
      <c r="Q1745" t="str">
        <f>IF(周转筐出入库明细!$D1746="","",周转筐出入库明细!$D1746)</f>
        <v/>
      </c>
      <c r="R1745">
        <f t="shared" si="584"/>
        <v>0</v>
      </c>
      <c r="S1745">
        <f t="shared" si="585"/>
        <v>5</v>
      </c>
      <c r="W1745" t="str">
        <f>IF(周转筐出入库明细!$C1746="","",周转筐出入库明细!$C1746)</f>
        <v/>
      </c>
      <c r="X1745">
        <f t="shared" si="586"/>
        <v>0</v>
      </c>
      <c r="Y1745">
        <f t="shared" si="587"/>
        <v>12</v>
      </c>
      <c r="CP1745">
        <f>IF(包装物料出入库明细!$D1745="",0,1)</f>
        <v>0</v>
      </c>
      <c r="CQ1745">
        <f t="shared" si="588"/>
        <v>37</v>
      </c>
      <c r="CS1745" t="str">
        <f>IF(OR(周转筐出入库明细!$C1746="",周转筐出入库明细!$F1746&lt;&gt;"采购入库"),"",周转筐出入库明细!$C1746)</f>
        <v/>
      </c>
      <c r="CT1745">
        <f t="shared" si="589"/>
        <v>0</v>
      </c>
      <c r="CU1745">
        <f t="shared" si="590"/>
        <v>1</v>
      </c>
    </row>
    <row r="1746" spans="1:99">
      <c r="A1746" t="str">
        <f>IF(包装物料出入库明细!$E1746="","",包装物料出入库明细!$E1746)</f>
        <v/>
      </c>
      <c r="B1746">
        <f t="shared" si="580"/>
        <v>0</v>
      </c>
      <c r="C1746">
        <f t="shared" si="581"/>
        <v>7</v>
      </c>
      <c r="D1746" t="str">
        <f>IF(包装物料出入库明细!$E1746="","",包装物料出入库明细!$F1746)</f>
        <v/>
      </c>
      <c r="E1746" t="str">
        <f>IF(包装物料出入库明细!$E1746="","",包装物料出入库明细!$G1746)</f>
        <v/>
      </c>
      <c r="K1746" t="str">
        <f>IF(包装物料出入库明细!$D1746="","",包装物料出入库明细!$D1746)</f>
        <v/>
      </c>
      <c r="L1746">
        <f t="shared" si="582"/>
        <v>0</v>
      </c>
      <c r="M1746">
        <f t="shared" si="583"/>
        <v>9</v>
      </c>
      <c r="Q1746" t="str">
        <f>IF(周转筐出入库明细!$D1747="","",周转筐出入库明细!$D1747)</f>
        <v/>
      </c>
      <c r="R1746">
        <f t="shared" si="584"/>
        <v>0</v>
      </c>
      <c r="S1746">
        <f t="shared" si="585"/>
        <v>5</v>
      </c>
      <c r="W1746" t="str">
        <f>IF(周转筐出入库明细!$C1747="","",周转筐出入库明细!$C1747)</f>
        <v/>
      </c>
      <c r="X1746">
        <f t="shared" si="586"/>
        <v>0</v>
      </c>
      <c r="Y1746">
        <f t="shared" si="587"/>
        <v>12</v>
      </c>
      <c r="CP1746">
        <f>IF(包装物料出入库明细!$D1746="",0,1)</f>
        <v>0</v>
      </c>
      <c r="CQ1746">
        <f t="shared" si="588"/>
        <v>37</v>
      </c>
      <c r="CS1746" t="str">
        <f>IF(OR(周转筐出入库明细!$C1747="",周转筐出入库明细!$F1747&lt;&gt;"采购入库"),"",周转筐出入库明细!$C1747)</f>
        <v/>
      </c>
      <c r="CT1746">
        <f t="shared" si="589"/>
        <v>0</v>
      </c>
      <c r="CU1746">
        <f t="shared" si="590"/>
        <v>1</v>
      </c>
    </row>
    <row r="1747" spans="1:99">
      <c r="A1747" t="str">
        <f>IF(包装物料出入库明细!$E1747="","",包装物料出入库明细!$E1747)</f>
        <v/>
      </c>
      <c r="B1747">
        <f t="shared" si="580"/>
        <v>0</v>
      </c>
      <c r="C1747">
        <f t="shared" si="581"/>
        <v>7</v>
      </c>
      <c r="D1747" t="str">
        <f>IF(包装物料出入库明细!$E1747="","",包装物料出入库明细!$F1747)</f>
        <v/>
      </c>
      <c r="E1747" t="str">
        <f>IF(包装物料出入库明细!$E1747="","",包装物料出入库明细!$G1747)</f>
        <v/>
      </c>
      <c r="K1747" t="str">
        <f>IF(包装物料出入库明细!$D1747="","",包装物料出入库明细!$D1747)</f>
        <v/>
      </c>
      <c r="L1747">
        <f t="shared" si="582"/>
        <v>0</v>
      </c>
      <c r="M1747">
        <f t="shared" si="583"/>
        <v>9</v>
      </c>
      <c r="Q1747" t="str">
        <f>IF(周转筐出入库明细!$D1748="","",周转筐出入库明细!$D1748)</f>
        <v/>
      </c>
      <c r="R1747">
        <f t="shared" si="584"/>
        <v>0</v>
      </c>
      <c r="S1747">
        <f t="shared" si="585"/>
        <v>5</v>
      </c>
      <c r="W1747" t="str">
        <f>IF(周转筐出入库明细!$C1748="","",周转筐出入库明细!$C1748)</f>
        <v/>
      </c>
      <c r="X1747">
        <f t="shared" si="586"/>
        <v>0</v>
      </c>
      <c r="Y1747">
        <f t="shared" si="587"/>
        <v>12</v>
      </c>
      <c r="CP1747">
        <f>IF(包装物料出入库明细!$D1747="",0,1)</f>
        <v>0</v>
      </c>
      <c r="CQ1747">
        <f t="shared" si="588"/>
        <v>37</v>
      </c>
      <c r="CS1747" t="str">
        <f>IF(OR(周转筐出入库明细!$C1748="",周转筐出入库明细!$F1748&lt;&gt;"采购入库"),"",周转筐出入库明细!$C1748)</f>
        <v/>
      </c>
      <c r="CT1747">
        <f t="shared" si="589"/>
        <v>0</v>
      </c>
      <c r="CU1747">
        <f t="shared" si="590"/>
        <v>1</v>
      </c>
    </row>
    <row r="1748" spans="1:99">
      <c r="A1748" t="str">
        <f>IF(包装物料出入库明细!$E1748="","",包装物料出入库明细!$E1748)</f>
        <v/>
      </c>
      <c r="B1748">
        <f t="shared" si="580"/>
        <v>0</v>
      </c>
      <c r="C1748">
        <f t="shared" si="581"/>
        <v>7</v>
      </c>
      <c r="D1748" t="str">
        <f>IF(包装物料出入库明细!$E1748="","",包装物料出入库明细!$F1748)</f>
        <v/>
      </c>
      <c r="E1748" t="str">
        <f>IF(包装物料出入库明细!$E1748="","",包装物料出入库明细!$G1748)</f>
        <v/>
      </c>
      <c r="K1748" t="str">
        <f>IF(包装物料出入库明细!$D1748="","",包装物料出入库明细!$D1748)</f>
        <v/>
      </c>
      <c r="L1748">
        <f t="shared" si="582"/>
        <v>0</v>
      </c>
      <c r="M1748">
        <f t="shared" si="583"/>
        <v>9</v>
      </c>
      <c r="Q1748" t="str">
        <f>IF(周转筐出入库明细!$D1749="","",周转筐出入库明细!$D1749)</f>
        <v/>
      </c>
      <c r="R1748">
        <f t="shared" si="584"/>
        <v>0</v>
      </c>
      <c r="S1748">
        <f t="shared" si="585"/>
        <v>5</v>
      </c>
      <c r="W1748" t="str">
        <f>IF(周转筐出入库明细!$C1749="","",周转筐出入库明细!$C1749)</f>
        <v/>
      </c>
      <c r="X1748">
        <f t="shared" si="586"/>
        <v>0</v>
      </c>
      <c r="Y1748">
        <f t="shared" si="587"/>
        <v>12</v>
      </c>
      <c r="CP1748">
        <f>IF(包装物料出入库明细!$D1748="",0,1)</f>
        <v>0</v>
      </c>
      <c r="CQ1748">
        <f t="shared" si="588"/>
        <v>37</v>
      </c>
      <c r="CS1748" t="str">
        <f>IF(OR(周转筐出入库明细!$C1749="",周转筐出入库明细!$F1749&lt;&gt;"采购入库"),"",周转筐出入库明细!$C1749)</f>
        <v/>
      </c>
      <c r="CT1748">
        <f t="shared" si="589"/>
        <v>0</v>
      </c>
      <c r="CU1748">
        <f t="shared" si="590"/>
        <v>1</v>
      </c>
    </row>
    <row r="1749" spans="1:99">
      <c r="A1749" t="str">
        <f>IF(包装物料出入库明细!$E1749="","",包装物料出入库明细!$E1749)</f>
        <v/>
      </c>
      <c r="B1749">
        <f t="shared" si="580"/>
        <v>0</v>
      </c>
      <c r="C1749">
        <f t="shared" si="581"/>
        <v>7</v>
      </c>
      <c r="D1749" t="str">
        <f>IF(包装物料出入库明细!$E1749="","",包装物料出入库明细!$F1749)</f>
        <v/>
      </c>
      <c r="E1749" t="str">
        <f>IF(包装物料出入库明细!$E1749="","",包装物料出入库明细!$G1749)</f>
        <v/>
      </c>
      <c r="K1749" t="str">
        <f>IF(包装物料出入库明细!$D1749="","",包装物料出入库明细!$D1749)</f>
        <v/>
      </c>
      <c r="L1749">
        <f t="shared" si="582"/>
        <v>0</v>
      </c>
      <c r="M1749">
        <f t="shared" si="583"/>
        <v>9</v>
      </c>
      <c r="Q1749" t="str">
        <f>IF(周转筐出入库明细!$D1750="","",周转筐出入库明细!$D1750)</f>
        <v/>
      </c>
      <c r="R1749">
        <f t="shared" si="584"/>
        <v>0</v>
      </c>
      <c r="S1749">
        <f t="shared" si="585"/>
        <v>5</v>
      </c>
      <c r="W1749" t="str">
        <f>IF(周转筐出入库明细!$C1750="","",周转筐出入库明细!$C1750)</f>
        <v/>
      </c>
      <c r="X1749">
        <f t="shared" si="586"/>
        <v>0</v>
      </c>
      <c r="Y1749">
        <f t="shared" si="587"/>
        <v>12</v>
      </c>
      <c r="CP1749">
        <f>IF(包装物料出入库明细!$D1749="",0,1)</f>
        <v>0</v>
      </c>
      <c r="CQ1749">
        <f t="shared" si="588"/>
        <v>37</v>
      </c>
      <c r="CS1749" t="str">
        <f>IF(OR(周转筐出入库明细!$C1750="",周转筐出入库明细!$F1750&lt;&gt;"采购入库"),"",周转筐出入库明细!$C1750)</f>
        <v/>
      </c>
      <c r="CT1749">
        <f t="shared" si="589"/>
        <v>0</v>
      </c>
      <c r="CU1749">
        <f t="shared" si="590"/>
        <v>1</v>
      </c>
    </row>
    <row r="1750" spans="1:99">
      <c r="A1750" t="str">
        <f>IF(包装物料出入库明细!$E1750="","",包装物料出入库明细!$E1750)</f>
        <v/>
      </c>
      <c r="B1750">
        <f t="shared" si="580"/>
        <v>0</v>
      </c>
      <c r="C1750">
        <f t="shared" si="581"/>
        <v>7</v>
      </c>
      <c r="D1750" t="str">
        <f>IF(包装物料出入库明细!$E1750="","",包装物料出入库明细!$F1750)</f>
        <v/>
      </c>
      <c r="E1750" t="str">
        <f>IF(包装物料出入库明细!$E1750="","",包装物料出入库明细!$G1750)</f>
        <v/>
      </c>
      <c r="K1750" t="str">
        <f>IF(包装物料出入库明细!$D1750="","",包装物料出入库明细!$D1750)</f>
        <v/>
      </c>
      <c r="L1750">
        <f t="shared" si="582"/>
        <v>0</v>
      </c>
      <c r="M1750">
        <f t="shared" si="583"/>
        <v>9</v>
      </c>
      <c r="Q1750" t="str">
        <f>IF(周转筐出入库明细!$D1751="","",周转筐出入库明细!$D1751)</f>
        <v/>
      </c>
      <c r="R1750">
        <f t="shared" si="584"/>
        <v>0</v>
      </c>
      <c r="S1750">
        <f t="shared" si="585"/>
        <v>5</v>
      </c>
      <c r="W1750" t="str">
        <f>IF(周转筐出入库明细!$C1751="","",周转筐出入库明细!$C1751)</f>
        <v/>
      </c>
      <c r="X1750">
        <f t="shared" si="586"/>
        <v>0</v>
      </c>
      <c r="Y1750">
        <f t="shared" si="587"/>
        <v>12</v>
      </c>
      <c r="CP1750">
        <f>IF(包装物料出入库明细!$D1750="",0,1)</f>
        <v>0</v>
      </c>
      <c r="CQ1750">
        <f t="shared" si="588"/>
        <v>37</v>
      </c>
      <c r="CS1750" t="str">
        <f>IF(OR(周转筐出入库明细!$C1751="",周转筐出入库明细!$F1751&lt;&gt;"采购入库"),"",周转筐出入库明细!$C1751)</f>
        <v/>
      </c>
      <c r="CT1750">
        <f t="shared" si="589"/>
        <v>0</v>
      </c>
      <c r="CU1750">
        <f t="shared" si="590"/>
        <v>1</v>
      </c>
    </row>
    <row r="1751" spans="1:99">
      <c r="A1751" t="str">
        <f>IF(包装物料出入库明细!$E1751="","",包装物料出入库明细!$E1751)</f>
        <v/>
      </c>
      <c r="B1751">
        <f t="shared" si="580"/>
        <v>0</v>
      </c>
      <c r="C1751">
        <f t="shared" si="581"/>
        <v>7</v>
      </c>
      <c r="D1751" t="str">
        <f>IF(包装物料出入库明细!$E1751="","",包装物料出入库明细!$F1751)</f>
        <v/>
      </c>
      <c r="E1751" t="str">
        <f>IF(包装物料出入库明细!$E1751="","",包装物料出入库明细!$G1751)</f>
        <v/>
      </c>
      <c r="K1751" t="str">
        <f>IF(包装物料出入库明细!$D1751="","",包装物料出入库明细!$D1751)</f>
        <v/>
      </c>
      <c r="L1751">
        <f t="shared" si="582"/>
        <v>0</v>
      </c>
      <c r="M1751">
        <f t="shared" si="583"/>
        <v>9</v>
      </c>
      <c r="Q1751" t="str">
        <f>IF(周转筐出入库明细!$D1752="","",周转筐出入库明细!$D1752)</f>
        <v/>
      </c>
      <c r="R1751">
        <f t="shared" si="584"/>
        <v>0</v>
      </c>
      <c r="S1751">
        <f t="shared" si="585"/>
        <v>5</v>
      </c>
      <c r="W1751" t="str">
        <f>IF(周转筐出入库明细!$C1752="","",周转筐出入库明细!$C1752)</f>
        <v/>
      </c>
      <c r="X1751">
        <f t="shared" si="586"/>
        <v>0</v>
      </c>
      <c r="Y1751">
        <f t="shared" si="587"/>
        <v>12</v>
      </c>
      <c r="CP1751">
        <f>IF(包装物料出入库明细!$D1751="",0,1)</f>
        <v>0</v>
      </c>
      <c r="CQ1751">
        <f t="shared" si="588"/>
        <v>37</v>
      </c>
      <c r="CS1751" t="str">
        <f>IF(OR(周转筐出入库明细!$C1752="",周转筐出入库明细!$F1752&lt;&gt;"采购入库"),"",周转筐出入库明细!$C1752)</f>
        <v/>
      </c>
      <c r="CT1751">
        <f t="shared" si="589"/>
        <v>0</v>
      </c>
      <c r="CU1751">
        <f t="shared" si="590"/>
        <v>1</v>
      </c>
    </row>
    <row r="1752" spans="1:99">
      <c r="A1752" t="str">
        <f>IF(包装物料出入库明细!$E1752="","",包装物料出入库明细!$E1752)</f>
        <v/>
      </c>
      <c r="B1752">
        <f t="shared" si="580"/>
        <v>0</v>
      </c>
      <c r="C1752">
        <f t="shared" si="581"/>
        <v>7</v>
      </c>
      <c r="D1752" t="str">
        <f>IF(包装物料出入库明细!$E1752="","",包装物料出入库明细!$F1752)</f>
        <v/>
      </c>
      <c r="E1752" t="str">
        <f>IF(包装物料出入库明细!$E1752="","",包装物料出入库明细!$G1752)</f>
        <v/>
      </c>
      <c r="K1752" t="str">
        <f>IF(包装物料出入库明细!$D1752="","",包装物料出入库明细!$D1752)</f>
        <v/>
      </c>
      <c r="L1752">
        <f t="shared" si="582"/>
        <v>0</v>
      </c>
      <c r="M1752">
        <f t="shared" si="583"/>
        <v>9</v>
      </c>
      <c r="Q1752" t="str">
        <f>IF(周转筐出入库明细!$D1753="","",周转筐出入库明细!$D1753)</f>
        <v/>
      </c>
      <c r="R1752">
        <f t="shared" si="584"/>
        <v>0</v>
      </c>
      <c r="S1752">
        <f t="shared" si="585"/>
        <v>5</v>
      </c>
      <c r="W1752" t="str">
        <f>IF(周转筐出入库明细!$C1753="","",周转筐出入库明细!$C1753)</f>
        <v/>
      </c>
      <c r="X1752">
        <f t="shared" si="586"/>
        <v>0</v>
      </c>
      <c r="Y1752">
        <f t="shared" si="587"/>
        <v>12</v>
      </c>
      <c r="CP1752">
        <f>IF(包装物料出入库明细!$D1752="",0,1)</f>
        <v>0</v>
      </c>
      <c r="CQ1752">
        <f t="shared" si="588"/>
        <v>37</v>
      </c>
      <c r="CS1752" t="str">
        <f>IF(OR(周转筐出入库明细!$C1753="",周转筐出入库明细!$F1753&lt;&gt;"采购入库"),"",周转筐出入库明细!$C1753)</f>
        <v/>
      </c>
      <c r="CT1752">
        <f t="shared" si="589"/>
        <v>0</v>
      </c>
      <c r="CU1752">
        <f t="shared" si="590"/>
        <v>1</v>
      </c>
    </row>
    <row r="1753" spans="1:99">
      <c r="A1753" t="str">
        <f>IF(包装物料出入库明细!$E1753="","",包装物料出入库明细!$E1753)</f>
        <v/>
      </c>
      <c r="B1753">
        <f t="shared" si="580"/>
        <v>0</v>
      </c>
      <c r="C1753">
        <f t="shared" si="581"/>
        <v>7</v>
      </c>
      <c r="D1753" t="str">
        <f>IF(包装物料出入库明细!$E1753="","",包装物料出入库明细!$F1753)</f>
        <v/>
      </c>
      <c r="E1753" t="str">
        <f>IF(包装物料出入库明细!$E1753="","",包装物料出入库明细!$G1753)</f>
        <v/>
      </c>
      <c r="K1753" t="str">
        <f>IF(包装物料出入库明细!$D1753="","",包装物料出入库明细!$D1753)</f>
        <v/>
      </c>
      <c r="L1753">
        <f t="shared" si="582"/>
        <v>0</v>
      </c>
      <c r="M1753">
        <f t="shared" si="583"/>
        <v>9</v>
      </c>
      <c r="Q1753" t="str">
        <f>IF(周转筐出入库明细!$D1754="","",周转筐出入库明细!$D1754)</f>
        <v/>
      </c>
      <c r="R1753">
        <f t="shared" si="584"/>
        <v>0</v>
      </c>
      <c r="S1753">
        <f t="shared" si="585"/>
        <v>5</v>
      </c>
      <c r="W1753" t="str">
        <f>IF(周转筐出入库明细!$C1754="","",周转筐出入库明细!$C1754)</f>
        <v/>
      </c>
      <c r="X1753">
        <f t="shared" si="586"/>
        <v>0</v>
      </c>
      <c r="Y1753">
        <f t="shared" si="587"/>
        <v>12</v>
      </c>
      <c r="CP1753">
        <f>IF(包装物料出入库明细!$D1753="",0,1)</f>
        <v>0</v>
      </c>
      <c r="CQ1753">
        <f t="shared" si="588"/>
        <v>37</v>
      </c>
      <c r="CS1753" t="str">
        <f>IF(OR(周转筐出入库明细!$C1754="",周转筐出入库明细!$F1754&lt;&gt;"采购入库"),"",周转筐出入库明细!$C1754)</f>
        <v/>
      </c>
      <c r="CT1753">
        <f t="shared" si="589"/>
        <v>0</v>
      </c>
      <c r="CU1753">
        <f t="shared" si="590"/>
        <v>1</v>
      </c>
    </row>
    <row r="1754" spans="1:99">
      <c r="A1754" t="str">
        <f>IF(包装物料出入库明细!$E1754="","",包装物料出入库明细!$E1754)</f>
        <v/>
      </c>
      <c r="B1754">
        <f t="shared" si="580"/>
        <v>0</v>
      </c>
      <c r="C1754">
        <f t="shared" si="581"/>
        <v>7</v>
      </c>
      <c r="D1754" t="str">
        <f>IF(包装物料出入库明细!$E1754="","",包装物料出入库明细!$F1754)</f>
        <v/>
      </c>
      <c r="E1754" t="str">
        <f>IF(包装物料出入库明细!$E1754="","",包装物料出入库明细!$G1754)</f>
        <v/>
      </c>
      <c r="K1754" t="str">
        <f>IF(包装物料出入库明细!$D1754="","",包装物料出入库明细!$D1754)</f>
        <v/>
      </c>
      <c r="L1754">
        <f t="shared" si="582"/>
        <v>0</v>
      </c>
      <c r="M1754">
        <f t="shared" si="583"/>
        <v>9</v>
      </c>
      <c r="Q1754" t="str">
        <f>IF(周转筐出入库明细!$D1755="","",周转筐出入库明细!$D1755)</f>
        <v/>
      </c>
      <c r="R1754">
        <f t="shared" si="584"/>
        <v>0</v>
      </c>
      <c r="S1754">
        <f t="shared" si="585"/>
        <v>5</v>
      </c>
      <c r="W1754" t="str">
        <f>IF(周转筐出入库明细!$C1755="","",周转筐出入库明细!$C1755)</f>
        <v/>
      </c>
      <c r="X1754">
        <f t="shared" si="586"/>
        <v>0</v>
      </c>
      <c r="Y1754">
        <f t="shared" si="587"/>
        <v>12</v>
      </c>
      <c r="CP1754">
        <f>IF(包装物料出入库明细!$D1754="",0,1)</f>
        <v>0</v>
      </c>
      <c r="CQ1754">
        <f t="shared" si="588"/>
        <v>37</v>
      </c>
      <c r="CS1754" t="str">
        <f>IF(OR(周转筐出入库明细!$C1755="",周转筐出入库明细!$F1755&lt;&gt;"采购入库"),"",周转筐出入库明细!$C1755)</f>
        <v/>
      </c>
      <c r="CT1754">
        <f t="shared" si="589"/>
        <v>0</v>
      </c>
      <c r="CU1754">
        <f t="shared" si="590"/>
        <v>1</v>
      </c>
    </row>
    <row r="1755" spans="1:99">
      <c r="A1755" t="str">
        <f>IF(包装物料出入库明细!$E1755="","",包装物料出入库明细!$E1755)</f>
        <v/>
      </c>
      <c r="B1755">
        <f t="shared" si="580"/>
        <v>0</v>
      </c>
      <c r="C1755">
        <f t="shared" si="581"/>
        <v>7</v>
      </c>
      <c r="D1755" t="str">
        <f>IF(包装物料出入库明细!$E1755="","",包装物料出入库明细!$F1755)</f>
        <v/>
      </c>
      <c r="E1755" t="str">
        <f>IF(包装物料出入库明细!$E1755="","",包装物料出入库明细!$G1755)</f>
        <v/>
      </c>
      <c r="K1755" t="str">
        <f>IF(包装物料出入库明细!$D1755="","",包装物料出入库明细!$D1755)</f>
        <v/>
      </c>
      <c r="L1755">
        <f t="shared" si="582"/>
        <v>0</v>
      </c>
      <c r="M1755">
        <f t="shared" si="583"/>
        <v>9</v>
      </c>
      <c r="Q1755" t="str">
        <f>IF(周转筐出入库明细!$D1756="","",周转筐出入库明细!$D1756)</f>
        <v/>
      </c>
      <c r="R1755">
        <f t="shared" si="584"/>
        <v>0</v>
      </c>
      <c r="S1755">
        <f t="shared" si="585"/>
        <v>5</v>
      </c>
      <c r="W1755" t="str">
        <f>IF(周转筐出入库明细!$C1756="","",周转筐出入库明细!$C1756)</f>
        <v/>
      </c>
      <c r="X1755">
        <f t="shared" si="586"/>
        <v>0</v>
      </c>
      <c r="Y1755">
        <f t="shared" si="587"/>
        <v>12</v>
      </c>
      <c r="CP1755">
        <f>IF(包装物料出入库明细!$D1755="",0,1)</f>
        <v>0</v>
      </c>
      <c r="CQ1755">
        <f t="shared" si="588"/>
        <v>37</v>
      </c>
      <c r="CS1755" t="str">
        <f>IF(OR(周转筐出入库明细!$C1756="",周转筐出入库明细!$F1756&lt;&gt;"采购入库"),"",周转筐出入库明细!$C1756)</f>
        <v/>
      </c>
      <c r="CT1755">
        <f t="shared" si="589"/>
        <v>0</v>
      </c>
      <c r="CU1755">
        <f t="shared" si="590"/>
        <v>1</v>
      </c>
    </row>
    <row r="1756" spans="1:99">
      <c r="A1756" t="str">
        <f>IF(包装物料出入库明细!$E1756="","",包装物料出入库明细!$E1756)</f>
        <v/>
      </c>
      <c r="B1756">
        <f t="shared" si="580"/>
        <v>0</v>
      </c>
      <c r="C1756">
        <f t="shared" si="581"/>
        <v>7</v>
      </c>
      <c r="D1756" t="str">
        <f>IF(包装物料出入库明细!$E1756="","",包装物料出入库明细!$F1756)</f>
        <v/>
      </c>
      <c r="E1756" t="str">
        <f>IF(包装物料出入库明细!$E1756="","",包装物料出入库明细!$G1756)</f>
        <v/>
      </c>
      <c r="K1756" t="str">
        <f>IF(包装物料出入库明细!$D1756="","",包装物料出入库明细!$D1756)</f>
        <v/>
      </c>
      <c r="L1756">
        <f t="shared" si="582"/>
        <v>0</v>
      </c>
      <c r="M1756">
        <f t="shared" si="583"/>
        <v>9</v>
      </c>
      <c r="Q1756" t="str">
        <f>IF(周转筐出入库明细!$D1757="","",周转筐出入库明细!$D1757)</f>
        <v/>
      </c>
      <c r="R1756">
        <f t="shared" si="584"/>
        <v>0</v>
      </c>
      <c r="S1756">
        <f t="shared" si="585"/>
        <v>5</v>
      </c>
      <c r="W1756" t="str">
        <f>IF(周转筐出入库明细!$C1757="","",周转筐出入库明细!$C1757)</f>
        <v/>
      </c>
      <c r="X1756">
        <f t="shared" si="586"/>
        <v>0</v>
      </c>
      <c r="Y1756">
        <f t="shared" si="587"/>
        <v>12</v>
      </c>
      <c r="CP1756">
        <f>IF(包装物料出入库明细!$D1756="",0,1)</f>
        <v>0</v>
      </c>
      <c r="CQ1756">
        <f t="shared" si="588"/>
        <v>37</v>
      </c>
      <c r="CS1756" t="str">
        <f>IF(OR(周转筐出入库明细!$C1757="",周转筐出入库明细!$F1757&lt;&gt;"采购入库"),"",周转筐出入库明细!$C1757)</f>
        <v/>
      </c>
      <c r="CT1756">
        <f t="shared" si="589"/>
        <v>0</v>
      </c>
      <c r="CU1756">
        <f t="shared" si="590"/>
        <v>1</v>
      </c>
    </row>
    <row r="1757" spans="1:99">
      <c r="A1757" t="str">
        <f>IF(包装物料出入库明细!$E1757="","",包装物料出入库明细!$E1757)</f>
        <v/>
      </c>
      <c r="B1757">
        <f t="shared" si="580"/>
        <v>0</v>
      </c>
      <c r="C1757">
        <f t="shared" si="581"/>
        <v>7</v>
      </c>
      <c r="D1757" t="str">
        <f>IF(包装物料出入库明细!$E1757="","",包装物料出入库明细!$F1757)</f>
        <v/>
      </c>
      <c r="E1757" t="str">
        <f>IF(包装物料出入库明细!$E1757="","",包装物料出入库明细!$G1757)</f>
        <v/>
      </c>
      <c r="K1757" t="str">
        <f>IF(包装物料出入库明细!$D1757="","",包装物料出入库明细!$D1757)</f>
        <v/>
      </c>
      <c r="L1757">
        <f t="shared" si="582"/>
        <v>0</v>
      </c>
      <c r="M1757">
        <f t="shared" si="583"/>
        <v>9</v>
      </c>
      <c r="Q1757" t="str">
        <f>IF(周转筐出入库明细!$D1758="","",周转筐出入库明细!$D1758)</f>
        <v/>
      </c>
      <c r="R1757">
        <f t="shared" si="584"/>
        <v>0</v>
      </c>
      <c r="S1757">
        <f t="shared" si="585"/>
        <v>5</v>
      </c>
      <c r="W1757" t="str">
        <f>IF(周转筐出入库明细!$C1758="","",周转筐出入库明细!$C1758)</f>
        <v/>
      </c>
      <c r="X1757">
        <f t="shared" si="586"/>
        <v>0</v>
      </c>
      <c r="Y1757">
        <f t="shared" si="587"/>
        <v>12</v>
      </c>
      <c r="CP1757">
        <f>IF(包装物料出入库明细!$D1757="",0,1)</f>
        <v>0</v>
      </c>
      <c r="CQ1757">
        <f t="shared" si="588"/>
        <v>37</v>
      </c>
      <c r="CS1757" t="str">
        <f>IF(OR(周转筐出入库明细!$C1758="",周转筐出入库明细!$F1758&lt;&gt;"采购入库"),"",周转筐出入库明细!$C1758)</f>
        <v/>
      </c>
      <c r="CT1757">
        <f t="shared" si="589"/>
        <v>0</v>
      </c>
      <c r="CU1757">
        <f t="shared" si="590"/>
        <v>1</v>
      </c>
    </row>
    <row r="1758" spans="1:99">
      <c r="A1758" t="str">
        <f>IF(包装物料出入库明细!$E1758="","",包装物料出入库明细!$E1758)</f>
        <v/>
      </c>
      <c r="B1758">
        <f t="shared" si="580"/>
        <v>0</v>
      </c>
      <c r="C1758">
        <f t="shared" si="581"/>
        <v>7</v>
      </c>
      <c r="D1758" t="str">
        <f>IF(包装物料出入库明细!$E1758="","",包装物料出入库明细!$F1758)</f>
        <v/>
      </c>
      <c r="E1758" t="str">
        <f>IF(包装物料出入库明细!$E1758="","",包装物料出入库明细!$G1758)</f>
        <v/>
      </c>
      <c r="K1758" t="str">
        <f>IF(包装物料出入库明细!$D1758="","",包装物料出入库明细!$D1758)</f>
        <v/>
      </c>
      <c r="L1758">
        <f t="shared" si="582"/>
        <v>0</v>
      </c>
      <c r="M1758">
        <f t="shared" si="583"/>
        <v>9</v>
      </c>
      <c r="Q1758" t="str">
        <f>IF(周转筐出入库明细!$D1759="","",周转筐出入库明细!$D1759)</f>
        <v/>
      </c>
      <c r="R1758">
        <f t="shared" si="584"/>
        <v>0</v>
      </c>
      <c r="S1758">
        <f t="shared" si="585"/>
        <v>5</v>
      </c>
      <c r="W1758" t="str">
        <f>IF(周转筐出入库明细!$C1759="","",周转筐出入库明细!$C1759)</f>
        <v/>
      </c>
      <c r="X1758">
        <f t="shared" si="586"/>
        <v>0</v>
      </c>
      <c r="Y1758">
        <f t="shared" si="587"/>
        <v>12</v>
      </c>
      <c r="CP1758">
        <f>IF(包装物料出入库明细!$D1758="",0,1)</f>
        <v>0</v>
      </c>
      <c r="CQ1758">
        <f t="shared" si="588"/>
        <v>37</v>
      </c>
      <c r="CS1758" t="str">
        <f>IF(OR(周转筐出入库明细!$C1759="",周转筐出入库明细!$F1759&lt;&gt;"采购入库"),"",周转筐出入库明细!$C1759)</f>
        <v/>
      </c>
      <c r="CT1758">
        <f t="shared" si="589"/>
        <v>0</v>
      </c>
      <c r="CU1758">
        <f t="shared" si="590"/>
        <v>1</v>
      </c>
    </row>
    <row r="1759" spans="1:99">
      <c r="A1759" t="str">
        <f>IF(包装物料出入库明细!$E1759="","",包装物料出入库明细!$E1759)</f>
        <v/>
      </c>
      <c r="B1759">
        <f t="shared" si="580"/>
        <v>0</v>
      </c>
      <c r="C1759">
        <f t="shared" si="581"/>
        <v>7</v>
      </c>
      <c r="D1759" t="str">
        <f>IF(包装物料出入库明细!$E1759="","",包装物料出入库明细!$F1759)</f>
        <v/>
      </c>
      <c r="E1759" t="str">
        <f>IF(包装物料出入库明细!$E1759="","",包装物料出入库明细!$G1759)</f>
        <v/>
      </c>
      <c r="K1759" t="str">
        <f>IF(包装物料出入库明细!$D1759="","",包装物料出入库明细!$D1759)</f>
        <v/>
      </c>
      <c r="L1759">
        <f t="shared" si="582"/>
        <v>0</v>
      </c>
      <c r="M1759">
        <f t="shared" si="583"/>
        <v>9</v>
      </c>
      <c r="Q1759" t="str">
        <f>IF(周转筐出入库明细!$D1760="","",周转筐出入库明细!$D1760)</f>
        <v/>
      </c>
      <c r="R1759">
        <f t="shared" si="584"/>
        <v>0</v>
      </c>
      <c r="S1759">
        <f t="shared" si="585"/>
        <v>5</v>
      </c>
      <c r="W1759" t="str">
        <f>IF(周转筐出入库明细!$C1760="","",周转筐出入库明细!$C1760)</f>
        <v/>
      </c>
      <c r="X1759">
        <f t="shared" si="586"/>
        <v>0</v>
      </c>
      <c r="Y1759">
        <f t="shared" si="587"/>
        <v>12</v>
      </c>
      <c r="CP1759">
        <f>IF(包装物料出入库明细!$D1759="",0,1)</f>
        <v>0</v>
      </c>
      <c r="CQ1759">
        <f t="shared" si="588"/>
        <v>37</v>
      </c>
      <c r="CS1759" t="str">
        <f>IF(OR(周转筐出入库明细!$C1760="",周转筐出入库明细!$F1760&lt;&gt;"采购入库"),"",周转筐出入库明细!$C1760)</f>
        <v/>
      </c>
      <c r="CT1759">
        <f t="shared" si="589"/>
        <v>0</v>
      </c>
      <c r="CU1759">
        <f t="shared" si="590"/>
        <v>1</v>
      </c>
    </row>
    <row r="1760" spans="1:99">
      <c r="A1760" t="str">
        <f>IF(包装物料出入库明细!$E1760="","",包装物料出入库明细!$E1760)</f>
        <v/>
      </c>
      <c r="B1760">
        <f t="shared" si="580"/>
        <v>0</v>
      </c>
      <c r="C1760">
        <f t="shared" si="581"/>
        <v>7</v>
      </c>
      <c r="D1760" t="str">
        <f>IF(包装物料出入库明细!$E1760="","",包装物料出入库明细!$F1760)</f>
        <v/>
      </c>
      <c r="E1760" t="str">
        <f>IF(包装物料出入库明细!$E1760="","",包装物料出入库明细!$G1760)</f>
        <v/>
      </c>
      <c r="K1760" t="str">
        <f>IF(包装物料出入库明细!$D1760="","",包装物料出入库明细!$D1760)</f>
        <v/>
      </c>
      <c r="L1760">
        <f t="shared" si="582"/>
        <v>0</v>
      </c>
      <c r="M1760">
        <f t="shared" si="583"/>
        <v>9</v>
      </c>
      <c r="Q1760" t="str">
        <f>IF(周转筐出入库明细!$D1761="","",周转筐出入库明细!$D1761)</f>
        <v/>
      </c>
      <c r="R1760">
        <f t="shared" si="584"/>
        <v>0</v>
      </c>
      <c r="S1760">
        <f t="shared" si="585"/>
        <v>5</v>
      </c>
      <c r="W1760" t="str">
        <f>IF(周转筐出入库明细!$C1761="","",周转筐出入库明细!$C1761)</f>
        <v/>
      </c>
      <c r="X1760">
        <f t="shared" si="586"/>
        <v>0</v>
      </c>
      <c r="Y1760">
        <f t="shared" si="587"/>
        <v>12</v>
      </c>
      <c r="CP1760">
        <f>IF(包装物料出入库明细!$D1760="",0,1)</f>
        <v>0</v>
      </c>
      <c r="CQ1760">
        <f t="shared" si="588"/>
        <v>37</v>
      </c>
      <c r="CS1760" t="str">
        <f>IF(OR(周转筐出入库明细!$C1761="",周转筐出入库明细!$F1761&lt;&gt;"采购入库"),"",周转筐出入库明细!$C1761)</f>
        <v/>
      </c>
      <c r="CT1760">
        <f t="shared" si="589"/>
        <v>0</v>
      </c>
      <c r="CU1760">
        <f t="shared" si="590"/>
        <v>1</v>
      </c>
    </row>
    <row r="1761" spans="1:99">
      <c r="A1761" t="str">
        <f>IF(包装物料出入库明细!$E1761="","",包装物料出入库明细!$E1761)</f>
        <v/>
      </c>
      <c r="B1761">
        <f t="shared" si="580"/>
        <v>0</v>
      </c>
      <c r="C1761">
        <f t="shared" si="581"/>
        <v>7</v>
      </c>
      <c r="D1761" t="str">
        <f>IF(包装物料出入库明细!$E1761="","",包装物料出入库明细!$F1761)</f>
        <v/>
      </c>
      <c r="E1761" t="str">
        <f>IF(包装物料出入库明细!$E1761="","",包装物料出入库明细!$G1761)</f>
        <v/>
      </c>
      <c r="K1761" t="str">
        <f>IF(包装物料出入库明细!$D1761="","",包装物料出入库明细!$D1761)</f>
        <v/>
      </c>
      <c r="L1761">
        <f t="shared" si="582"/>
        <v>0</v>
      </c>
      <c r="M1761">
        <f t="shared" si="583"/>
        <v>9</v>
      </c>
      <c r="Q1761" t="str">
        <f>IF(周转筐出入库明细!$D1762="","",周转筐出入库明细!$D1762)</f>
        <v/>
      </c>
      <c r="R1761">
        <f t="shared" si="584"/>
        <v>0</v>
      </c>
      <c r="S1761">
        <f t="shared" si="585"/>
        <v>5</v>
      </c>
      <c r="W1761" t="str">
        <f>IF(周转筐出入库明细!$C1762="","",周转筐出入库明细!$C1762)</f>
        <v/>
      </c>
      <c r="X1761">
        <f t="shared" si="586"/>
        <v>0</v>
      </c>
      <c r="Y1761">
        <f t="shared" si="587"/>
        <v>12</v>
      </c>
      <c r="CP1761">
        <f>IF(包装物料出入库明细!$D1761="",0,1)</f>
        <v>0</v>
      </c>
      <c r="CQ1761">
        <f t="shared" si="588"/>
        <v>37</v>
      </c>
      <c r="CS1761" t="str">
        <f>IF(OR(周转筐出入库明细!$C1762="",周转筐出入库明细!$F1762&lt;&gt;"采购入库"),"",周转筐出入库明细!$C1762)</f>
        <v/>
      </c>
      <c r="CT1761">
        <f t="shared" si="589"/>
        <v>0</v>
      </c>
      <c r="CU1761">
        <f t="shared" si="590"/>
        <v>1</v>
      </c>
    </row>
    <row r="1762" spans="1:99">
      <c r="A1762" t="str">
        <f>IF(包装物料出入库明细!$E1762="","",包装物料出入库明细!$E1762)</f>
        <v/>
      </c>
      <c r="B1762">
        <f t="shared" si="580"/>
        <v>0</v>
      </c>
      <c r="C1762">
        <f t="shared" si="581"/>
        <v>7</v>
      </c>
      <c r="D1762" t="str">
        <f>IF(包装物料出入库明细!$E1762="","",包装物料出入库明细!$F1762)</f>
        <v/>
      </c>
      <c r="E1762" t="str">
        <f>IF(包装物料出入库明细!$E1762="","",包装物料出入库明细!$G1762)</f>
        <v/>
      </c>
      <c r="K1762" t="str">
        <f>IF(包装物料出入库明细!$D1762="","",包装物料出入库明细!$D1762)</f>
        <v/>
      </c>
      <c r="L1762">
        <f t="shared" si="582"/>
        <v>0</v>
      </c>
      <c r="M1762">
        <f t="shared" si="583"/>
        <v>9</v>
      </c>
      <c r="Q1762" t="str">
        <f>IF(周转筐出入库明细!$D1763="","",周转筐出入库明细!$D1763)</f>
        <v/>
      </c>
      <c r="R1762">
        <f t="shared" si="584"/>
        <v>0</v>
      </c>
      <c r="S1762">
        <f t="shared" si="585"/>
        <v>5</v>
      </c>
      <c r="W1762" t="str">
        <f>IF(周转筐出入库明细!$C1763="","",周转筐出入库明细!$C1763)</f>
        <v/>
      </c>
      <c r="X1762">
        <f t="shared" si="586"/>
        <v>0</v>
      </c>
      <c r="Y1762">
        <f t="shared" si="587"/>
        <v>12</v>
      </c>
      <c r="CP1762">
        <f>IF(包装物料出入库明细!$D1762="",0,1)</f>
        <v>0</v>
      </c>
      <c r="CQ1762">
        <f t="shared" si="588"/>
        <v>37</v>
      </c>
      <c r="CS1762" t="str">
        <f>IF(OR(周转筐出入库明细!$C1763="",周转筐出入库明细!$F1763&lt;&gt;"采购入库"),"",周转筐出入库明细!$C1763)</f>
        <v/>
      </c>
      <c r="CT1762">
        <f t="shared" si="589"/>
        <v>0</v>
      </c>
      <c r="CU1762">
        <f t="shared" si="590"/>
        <v>1</v>
      </c>
    </row>
    <row r="1763" spans="1:99">
      <c r="A1763" t="str">
        <f>IF(包装物料出入库明细!$E1763="","",包装物料出入库明细!$E1763)</f>
        <v/>
      </c>
      <c r="B1763">
        <f t="shared" si="580"/>
        <v>0</v>
      </c>
      <c r="C1763">
        <f t="shared" si="581"/>
        <v>7</v>
      </c>
      <c r="D1763" t="str">
        <f>IF(包装物料出入库明细!$E1763="","",包装物料出入库明细!$F1763)</f>
        <v/>
      </c>
      <c r="E1763" t="str">
        <f>IF(包装物料出入库明细!$E1763="","",包装物料出入库明细!$G1763)</f>
        <v/>
      </c>
      <c r="K1763" t="str">
        <f>IF(包装物料出入库明细!$D1763="","",包装物料出入库明细!$D1763)</f>
        <v/>
      </c>
      <c r="L1763">
        <f t="shared" si="582"/>
        <v>0</v>
      </c>
      <c r="M1763">
        <f t="shared" si="583"/>
        <v>9</v>
      </c>
      <c r="Q1763" t="str">
        <f>IF(周转筐出入库明细!$D1764="","",周转筐出入库明细!$D1764)</f>
        <v/>
      </c>
      <c r="R1763">
        <f t="shared" si="584"/>
        <v>0</v>
      </c>
      <c r="S1763">
        <f t="shared" si="585"/>
        <v>5</v>
      </c>
      <c r="W1763" t="str">
        <f>IF(周转筐出入库明细!$C1764="","",周转筐出入库明细!$C1764)</f>
        <v/>
      </c>
      <c r="X1763">
        <f t="shared" si="586"/>
        <v>0</v>
      </c>
      <c r="Y1763">
        <f t="shared" si="587"/>
        <v>12</v>
      </c>
      <c r="CP1763">
        <f>IF(包装物料出入库明细!$D1763="",0,1)</f>
        <v>0</v>
      </c>
      <c r="CQ1763">
        <f t="shared" si="588"/>
        <v>37</v>
      </c>
      <c r="CS1763" t="str">
        <f>IF(OR(周转筐出入库明细!$C1764="",周转筐出入库明细!$F1764&lt;&gt;"采购入库"),"",周转筐出入库明细!$C1764)</f>
        <v/>
      </c>
      <c r="CT1763">
        <f t="shared" si="589"/>
        <v>0</v>
      </c>
      <c r="CU1763">
        <f t="shared" si="590"/>
        <v>1</v>
      </c>
    </row>
    <row r="1764" spans="1:99">
      <c r="A1764" t="str">
        <f>IF(包装物料出入库明细!$E1764="","",包装物料出入库明细!$E1764)</f>
        <v/>
      </c>
      <c r="B1764">
        <f t="shared" si="580"/>
        <v>0</v>
      </c>
      <c r="C1764">
        <f t="shared" si="581"/>
        <v>7</v>
      </c>
      <c r="D1764" t="str">
        <f>IF(包装物料出入库明细!$E1764="","",包装物料出入库明细!$F1764)</f>
        <v/>
      </c>
      <c r="E1764" t="str">
        <f>IF(包装物料出入库明细!$E1764="","",包装物料出入库明细!$G1764)</f>
        <v/>
      </c>
      <c r="K1764" t="str">
        <f>IF(包装物料出入库明细!$D1764="","",包装物料出入库明细!$D1764)</f>
        <v/>
      </c>
      <c r="L1764">
        <f t="shared" si="582"/>
        <v>0</v>
      </c>
      <c r="M1764">
        <f t="shared" si="583"/>
        <v>9</v>
      </c>
      <c r="Q1764" t="str">
        <f>IF(周转筐出入库明细!$D1765="","",周转筐出入库明细!$D1765)</f>
        <v/>
      </c>
      <c r="R1764">
        <f t="shared" si="584"/>
        <v>0</v>
      </c>
      <c r="S1764">
        <f t="shared" si="585"/>
        <v>5</v>
      </c>
      <c r="W1764" t="str">
        <f>IF(周转筐出入库明细!$C1765="","",周转筐出入库明细!$C1765)</f>
        <v/>
      </c>
      <c r="X1764">
        <f t="shared" si="586"/>
        <v>0</v>
      </c>
      <c r="Y1764">
        <f t="shared" si="587"/>
        <v>12</v>
      </c>
      <c r="CP1764">
        <f>IF(包装物料出入库明细!$D1764="",0,1)</f>
        <v>0</v>
      </c>
      <c r="CQ1764">
        <f t="shared" si="588"/>
        <v>37</v>
      </c>
      <c r="CS1764" t="str">
        <f>IF(OR(周转筐出入库明细!$C1765="",周转筐出入库明细!$F1765&lt;&gt;"采购入库"),"",周转筐出入库明细!$C1765)</f>
        <v/>
      </c>
      <c r="CT1764">
        <f t="shared" si="589"/>
        <v>0</v>
      </c>
      <c r="CU1764">
        <f t="shared" si="590"/>
        <v>1</v>
      </c>
    </row>
    <row r="1765" spans="1:99">
      <c r="A1765" t="str">
        <f>IF(包装物料出入库明细!$E1765="","",包装物料出入库明细!$E1765)</f>
        <v/>
      </c>
      <c r="B1765">
        <f t="shared" si="580"/>
        <v>0</v>
      </c>
      <c r="C1765">
        <f t="shared" si="581"/>
        <v>7</v>
      </c>
      <c r="D1765" t="str">
        <f>IF(包装物料出入库明细!$E1765="","",包装物料出入库明细!$F1765)</f>
        <v/>
      </c>
      <c r="E1765" t="str">
        <f>IF(包装物料出入库明细!$E1765="","",包装物料出入库明细!$G1765)</f>
        <v/>
      </c>
      <c r="K1765" t="str">
        <f>IF(包装物料出入库明细!$D1765="","",包装物料出入库明细!$D1765)</f>
        <v/>
      </c>
      <c r="L1765">
        <f t="shared" si="582"/>
        <v>0</v>
      </c>
      <c r="M1765">
        <f t="shared" si="583"/>
        <v>9</v>
      </c>
      <c r="Q1765" t="str">
        <f>IF(周转筐出入库明细!$D1766="","",周转筐出入库明细!$D1766)</f>
        <v/>
      </c>
      <c r="R1765">
        <f t="shared" si="584"/>
        <v>0</v>
      </c>
      <c r="S1765">
        <f t="shared" si="585"/>
        <v>5</v>
      </c>
      <c r="W1765" t="str">
        <f>IF(周转筐出入库明细!$C1766="","",周转筐出入库明细!$C1766)</f>
        <v/>
      </c>
      <c r="X1765">
        <f t="shared" si="586"/>
        <v>0</v>
      </c>
      <c r="Y1765">
        <f t="shared" si="587"/>
        <v>12</v>
      </c>
      <c r="CP1765">
        <f>IF(包装物料出入库明细!$D1765="",0,1)</f>
        <v>0</v>
      </c>
      <c r="CQ1765">
        <f t="shared" si="588"/>
        <v>37</v>
      </c>
      <c r="CS1765" t="str">
        <f>IF(OR(周转筐出入库明细!$C1766="",周转筐出入库明细!$F1766&lt;&gt;"采购入库"),"",周转筐出入库明细!$C1766)</f>
        <v/>
      </c>
      <c r="CT1765">
        <f t="shared" si="589"/>
        <v>0</v>
      </c>
      <c r="CU1765">
        <f t="shared" si="590"/>
        <v>1</v>
      </c>
    </row>
    <row r="1766" spans="1:99">
      <c r="A1766" t="str">
        <f>IF(包装物料出入库明细!$E1766="","",包装物料出入库明细!$E1766)</f>
        <v/>
      </c>
      <c r="B1766">
        <f t="shared" si="580"/>
        <v>0</v>
      </c>
      <c r="C1766">
        <f t="shared" si="581"/>
        <v>7</v>
      </c>
      <c r="D1766" t="str">
        <f>IF(包装物料出入库明细!$E1766="","",包装物料出入库明细!$F1766)</f>
        <v/>
      </c>
      <c r="E1766" t="str">
        <f>IF(包装物料出入库明细!$E1766="","",包装物料出入库明细!$G1766)</f>
        <v/>
      </c>
      <c r="K1766" t="str">
        <f>IF(包装物料出入库明细!$D1766="","",包装物料出入库明细!$D1766)</f>
        <v/>
      </c>
      <c r="L1766">
        <f t="shared" si="582"/>
        <v>0</v>
      </c>
      <c r="M1766">
        <f t="shared" si="583"/>
        <v>9</v>
      </c>
      <c r="Q1766" t="str">
        <f>IF(周转筐出入库明细!$D1767="","",周转筐出入库明细!$D1767)</f>
        <v/>
      </c>
      <c r="R1766">
        <f t="shared" si="584"/>
        <v>0</v>
      </c>
      <c r="S1766">
        <f t="shared" si="585"/>
        <v>5</v>
      </c>
      <c r="W1766" t="str">
        <f>IF(周转筐出入库明细!$C1767="","",周转筐出入库明细!$C1767)</f>
        <v/>
      </c>
      <c r="X1766">
        <f t="shared" si="586"/>
        <v>0</v>
      </c>
      <c r="Y1766">
        <f t="shared" si="587"/>
        <v>12</v>
      </c>
      <c r="CP1766">
        <f>IF(包装物料出入库明细!$D1766="",0,1)</f>
        <v>0</v>
      </c>
      <c r="CQ1766">
        <f t="shared" si="588"/>
        <v>37</v>
      </c>
      <c r="CS1766" t="str">
        <f>IF(OR(周转筐出入库明细!$C1767="",周转筐出入库明细!$F1767&lt;&gt;"采购入库"),"",周转筐出入库明细!$C1767)</f>
        <v/>
      </c>
      <c r="CT1766">
        <f t="shared" si="589"/>
        <v>0</v>
      </c>
      <c r="CU1766">
        <f t="shared" si="590"/>
        <v>1</v>
      </c>
    </row>
    <row r="1767" spans="1:99">
      <c r="A1767" t="str">
        <f>IF(包装物料出入库明细!$E1767="","",包装物料出入库明细!$E1767)</f>
        <v/>
      </c>
      <c r="B1767">
        <f t="shared" si="580"/>
        <v>0</v>
      </c>
      <c r="C1767">
        <f t="shared" si="581"/>
        <v>7</v>
      </c>
      <c r="D1767" t="str">
        <f>IF(包装物料出入库明细!$E1767="","",包装物料出入库明细!$F1767)</f>
        <v/>
      </c>
      <c r="E1767" t="str">
        <f>IF(包装物料出入库明细!$E1767="","",包装物料出入库明细!$G1767)</f>
        <v/>
      </c>
      <c r="K1767" t="str">
        <f>IF(包装物料出入库明细!$D1767="","",包装物料出入库明细!$D1767)</f>
        <v/>
      </c>
      <c r="L1767">
        <f t="shared" si="582"/>
        <v>0</v>
      </c>
      <c r="M1767">
        <f t="shared" si="583"/>
        <v>9</v>
      </c>
      <c r="Q1767" t="str">
        <f>IF(周转筐出入库明细!$D1768="","",周转筐出入库明细!$D1768)</f>
        <v/>
      </c>
      <c r="R1767">
        <f t="shared" si="584"/>
        <v>0</v>
      </c>
      <c r="S1767">
        <f t="shared" si="585"/>
        <v>5</v>
      </c>
      <c r="W1767" t="str">
        <f>IF(周转筐出入库明细!$C1768="","",周转筐出入库明细!$C1768)</f>
        <v/>
      </c>
      <c r="X1767">
        <f t="shared" si="586"/>
        <v>0</v>
      </c>
      <c r="Y1767">
        <f t="shared" si="587"/>
        <v>12</v>
      </c>
      <c r="CP1767">
        <f>IF(包装物料出入库明细!$D1767="",0,1)</f>
        <v>0</v>
      </c>
      <c r="CQ1767">
        <f t="shared" si="588"/>
        <v>37</v>
      </c>
      <c r="CS1767" t="str">
        <f>IF(OR(周转筐出入库明细!$C1768="",周转筐出入库明细!$F1768&lt;&gt;"采购入库"),"",周转筐出入库明细!$C1768)</f>
        <v/>
      </c>
      <c r="CT1767">
        <f t="shared" si="589"/>
        <v>0</v>
      </c>
      <c r="CU1767">
        <f t="shared" si="590"/>
        <v>1</v>
      </c>
    </row>
    <row r="1768" spans="1:99">
      <c r="A1768" t="str">
        <f>IF(包装物料出入库明细!$E1768="","",包装物料出入库明细!$E1768)</f>
        <v/>
      </c>
      <c r="B1768">
        <f t="shared" si="580"/>
        <v>0</v>
      </c>
      <c r="C1768">
        <f t="shared" si="581"/>
        <v>7</v>
      </c>
      <c r="D1768" t="str">
        <f>IF(包装物料出入库明细!$E1768="","",包装物料出入库明细!$F1768)</f>
        <v/>
      </c>
      <c r="E1768" t="str">
        <f>IF(包装物料出入库明细!$E1768="","",包装物料出入库明细!$G1768)</f>
        <v/>
      </c>
      <c r="K1768" t="str">
        <f>IF(包装物料出入库明细!$D1768="","",包装物料出入库明细!$D1768)</f>
        <v/>
      </c>
      <c r="L1768">
        <f t="shared" si="582"/>
        <v>0</v>
      </c>
      <c r="M1768">
        <f t="shared" si="583"/>
        <v>9</v>
      </c>
      <c r="Q1768" t="str">
        <f>IF(周转筐出入库明细!$D1769="","",周转筐出入库明细!$D1769)</f>
        <v/>
      </c>
      <c r="R1768">
        <f t="shared" si="584"/>
        <v>0</v>
      </c>
      <c r="S1768">
        <f t="shared" si="585"/>
        <v>5</v>
      </c>
      <c r="W1768" t="str">
        <f>IF(周转筐出入库明细!$C1769="","",周转筐出入库明细!$C1769)</f>
        <v/>
      </c>
      <c r="X1768">
        <f t="shared" si="586"/>
        <v>0</v>
      </c>
      <c r="Y1768">
        <f t="shared" si="587"/>
        <v>12</v>
      </c>
      <c r="CP1768">
        <f>IF(包装物料出入库明细!$D1768="",0,1)</f>
        <v>0</v>
      </c>
      <c r="CQ1768">
        <f t="shared" si="588"/>
        <v>37</v>
      </c>
      <c r="CS1768" t="str">
        <f>IF(OR(周转筐出入库明细!$C1769="",周转筐出入库明细!$F1769&lt;&gt;"采购入库"),"",周转筐出入库明细!$C1769)</f>
        <v/>
      </c>
      <c r="CT1768">
        <f t="shared" si="589"/>
        <v>0</v>
      </c>
      <c r="CU1768">
        <f t="shared" si="590"/>
        <v>1</v>
      </c>
    </row>
    <row r="1769" spans="1:99">
      <c r="A1769" t="str">
        <f>IF(包装物料出入库明细!$E1769="","",包装物料出入库明细!$E1769)</f>
        <v/>
      </c>
      <c r="B1769">
        <f t="shared" si="580"/>
        <v>0</v>
      </c>
      <c r="C1769">
        <f t="shared" si="581"/>
        <v>7</v>
      </c>
      <c r="D1769" t="str">
        <f>IF(包装物料出入库明细!$E1769="","",包装物料出入库明细!$F1769)</f>
        <v/>
      </c>
      <c r="E1769" t="str">
        <f>IF(包装物料出入库明细!$E1769="","",包装物料出入库明细!$G1769)</f>
        <v/>
      </c>
      <c r="K1769" t="str">
        <f>IF(包装物料出入库明细!$D1769="","",包装物料出入库明细!$D1769)</f>
        <v/>
      </c>
      <c r="L1769">
        <f t="shared" si="582"/>
        <v>0</v>
      </c>
      <c r="M1769">
        <f t="shared" si="583"/>
        <v>9</v>
      </c>
      <c r="Q1769" t="str">
        <f>IF(周转筐出入库明细!$D1770="","",周转筐出入库明细!$D1770)</f>
        <v/>
      </c>
      <c r="R1769">
        <f t="shared" si="584"/>
        <v>0</v>
      </c>
      <c r="S1769">
        <f t="shared" si="585"/>
        <v>5</v>
      </c>
      <c r="W1769" t="str">
        <f>IF(周转筐出入库明细!$C1770="","",周转筐出入库明细!$C1770)</f>
        <v/>
      </c>
      <c r="X1769">
        <f t="shared" si="586"/>
        <v>0</v>
      </c>
      <c r="Y1769">
        <f t="shared" si="587"/>
        <v>12</v>
      </c>
      <c r="CP1769">
        <f>IF(包装物料出入库明细!$D1769="",0,1)</f>
        <v>0</v>
      </c>
      <c r="CQ1769">
        <f t="shared" si="588"/>
        <v>37</v>
      </c>
      <c r="CS1769" t="str">
        <f>IF(OR(周转筐出入库明细!$C1770="",周转筐出入库明细!$F1770&lt;&gt;"采购入库"),"",周转筐出入库明细!$C1770)</f>
        <v/>
      </c>
      <c r="CT1769">
        <f t="shared" si="589"/>
        <v>0</v>
      </c>
      <c r="CU1769">
        <f t="shared" si="590"/>
        <v>1</v>
      </c>
    </row>
    <row r="1770" spans="1:99">
      <c r="A1770" t="str">
        <f>IF(包装物料出入库明细!$E1770="","",包装物料出入库明细!$E1770)</f>
        <v/>
      </c>
      <c r="B1770">
        <f t="shared" si="580"/>
        <v>0</v>
      </c>
      <c r="C1770">
        <f t="shared" si="581"/>
        <v>7</v>
      </c>
      <c r="D1770" t="str">
        <f>IF(包装物料出入库明细!$E1770="","",包装物料出入库明细!$F1770)</f>
        <v/>
      </c>
      <c r="E1770" t="str">
        <f>IF(包装物料出入库明细!$E1770="","",包装物料出入库明细!$G1770)</f>
        <v/>
      </c>
      <c r="K1770" t="str">
        <f>IF(包装物料出入库明细!$D1770="","",包装物料出入库明细!$D1770)</f>
        <v/>
      </c>
      <c r="L1770">
        <f t="shared" si="582"/>
        <v>0</v>
      </c>
      <c r="M1770">
        <f t="shared" si="583"/>
        <v>9</v>
      </c>
      <c r="Q1770" t="str">
        <f>IF(周转筐出入库明细!$D1771="","",周转筐出入库明细!$D1771)</f>
        <v/>
      </c>
      <c r="R1770">
        <f t="shared" si="584"/>
        <v>0</v>
      </c>
      <c r="S1770">
        <f t="shared" si="585"/>
        <v>5</v>
      </c>
      <c r="W1770" t="str">
        <f>IF(周转筐出入库明细!$C1771="","",周转筐出入库明细!$C1771)</f>
        <v/>
      </c>
      <c r="X1770">
        <f t="shared" si="586"/>
        <v>0</v>
      </c>
      <c r="Y1770">
        <f t="shared" si="587"/>
        <v>12</v>
      </c>
      <c r="CP1770">
        <f>IF(包装物料出入库明细!$D1770="",0,1)</f>
        <v>0</v>
      </c>
      <c r="CQ1770">
        <f t="shared" si="588"/>
        <v>37</v>
      </c>
      <c r="CS1770" t="str">
        <f>IF(OR(周转筐出入库明细!$C1771="",周转筐出入库明细!$F1771&lt;&gt;"采购入库"),"",周转筐出入库明细!$C1771)</f>
        <v/>
      </c>
      <c r="CT1770">
        <f t="shared" si="589"/>
        <v>0</v>
      </c>
      <c r="CU1770">
        <f t="shared" si="590"/>
        <v>1</v>
      </c>
    </row>
    <row r="1771" spans="1:99">
      <c r="A1771" t="str">
        <f>IF(包装物料出入库明细!$E1771="","",包装物料出入库明细!$E1771)</f>
        <v/>
      </c>
      <c r="B1771">
        <f t="shared" si="580"/>
        <v>0</v>
      </c>
      <c r="C1771">
        <f t="shared" si="581"/>
        <v>7</v>
      </c>
      <c r="D1771" t="str">
        <f>IF(包装物料出入库明细!$E1771="","",包装物料出入库明细!$F1771)</f>
        <v/>
      </c>
      <c r="E1771" t="str">
        <f>IF(包装物料出入库明细!$E1771="","",包装物料出入库明细!$G1771)</f>
        <v/>
      </c>
      <c r="K1771" t="str">
        <f>IF(包装物料出入库明细!$D1771="","",包装物料出入库明细!$D1771)</f>
        <v/>
      </c>
      <c r="L1771">
        <f t="shared" si="582"/>
        <v>0</v>
      </c>
      <c r="M1771">
        <f t="shared" si="583"/>
        <v>9</v>
      </c>
      <c r="Q1771" t="str">
        <f>IF(周转筐出入库明细!$D1772="","",周转筐出入库明细!$D1772)</f>
        <v/>
      </c>
      <c r="R1771">
        <f t="shared" si="584"/>
        <v>0</v>
      </c>
      <c r="S1771">
        <f t="shared" si="585"/>
        <v>5</v>
      </c>
      <c r="W1771" t="str">
        <f>IF(周转筐出入库明细!$C1772="","",周转筐出入库明细!$C1772)</f>
        <v/>
      </c>
      <c r="X1771">
        <f t="shared" si="586"/>
        <v>0</v>
      </c>
      <c r="Y1771">
        <f t="shared" si="587"/>
        <v>12</v>
      </c>
      <c r="CP1771">
        <f>IF(包装物料出入库明细!$D1771="",0,1)</f>
        <v>0</v>
      </c>
      <c r="CQ1771">
        <f t="shared" si="588"/>
        <v>37</v>
      </c>
      <c r="CS1771" t="str">
        <f>IF(OR(周转筐出入库明细!$C1772="",周转筐出入库明细!$F1772&lt;&gt;"采购入库"),"",周转筐出入库明细!$C1772)</f>
        <v/>
      </c>
      <c r="CT1771">
        <f t="shared" si="589"/>
        <v>0</v>
      </c>
      <c r="CU1771">
        <f t="shared" si="590"/>
        <v>1</v>
      </c>
    </row>
    <row r="1772" spans="1:99">
      <c r="A1772" t="str">
        <f>IF(包装物料出入库明细!$E1772="","",包装物料出入库明细!$E1772)</f>
        <v/>
      </c>
      <c r="B1772">
        <f t="shared" si="580"/>
        <v>0</v>
      </c>
      <c r="C1772">
        <f t="shared" si="581"/>
        <v>7</v>
      </c>
      <c r="D1772" t="str">
        <f>IF(包装物料出入库明细!$E1772="","",包装物料出入库明细!$F1772)</f>
        <v/>
      </c>
      <c r="E1772" t="str">
        <f>IF(包装物料出入库明细!$E1772="","",包装物料出入库明细!$G1772)</f>
        <v/>
      </c>
      <c r="K1772" t="str">
        <f>IF(包装物料出入库明细!$D1772="","",包装物料出入库明细!$D1772)</f>
        <v/>
      </c>
      <c r="L1772">
        <f t="shared" si="582"/>
        <v>0</v>
      </c>
      <c r="M1772">
        <f t="shared" si="583"/>
        <v>9</v>
      </c>
      <c r="Q1772" t="str">
        <f>IF(周转筐出入库明细!$D1773="","",周转筐出入库明细!$D1773)</f>
        <v/>
      </c>
      <c r="R1772">
        <f t="shared" si="584"/>
        <v>0</v>
      </c>
      <c r="S1772">
        <f t="shared" si="585"/>
        <v>5</v>
      </c>
      <c r="W1772" t="str">
        <f>IF(周转筐出入库明细!$C1773="","",周转筐出入库明细!$C1773)</f>
        <v/>
      </c>
      <c r="X1772">
        <f t="shared" si="586"/>
        <v>0</v>
      </c>
      <c r="Y1772">
        <f t="shared" si="587"/>
        <v>12</v>
      </c>
      <c r="CP1772">
        <f>IF(包装物料出入库明细!$D1772="",0,1)</f>
        <v>0</v>
      </c>
      <c r="CQ1772">
        <f t="shared" si="588"/>
        <v>37</v>
      </c>
      <c r="CS1772" t="str">
        <f>IF(OR(周转筐出入库明细!$C1773="",周转筐出入库明细!$F1773&lt;&gt;"采购入库"),"",周转筐出入库明细!$C1773)</f>
        <v/>
      </c>
      <c r="CT1772">
        <f t="shared" si="589"/>
        <v>0</v>
      </c>
      <c r="CU1772">
        <f t="shared" si="590"/>
        <v>1</v>
      </c>
    </row>
    <row r="1773" spans="1:99">
      <c r="A1773" t="str">
        <f>IF(包装物料出入库明细!$E1773="","",包装物料出入库明细!$E1773)</f>
        <v/>
      </c>
      <c r="B1773">
        <f t="shared" si="580"/>
        <v>0</v>
      </c>
      <c r="C1773">
        <f t="shared" si="581"/>
        <v>7</v>
      </c>
      <c r="D1773" t="str">
        <f>IF(包装物料出入库明细!$E1773="","",包装物料出入库明细!$F1773)</f>
        <v/>
      </c>
      <c r="E1773" t="str">
        <f>IF(包装物料出入库明细!$E1773="","",包装物料出入库明细!$G1773)</f>
        <v/>
      </c>
      <c r="K1773" t="str">
        <f>IF(包装物料出入库明细!$D1773="","",包装物料出入库明细!$D1773)</f>
        <v/>
      </c>
      <c r="L1773">
        <f t="shared" si="582"/>
        <v>0</v>
      </c>
      <c r="M1773">
        <f t="shared" si="583"/>
        <v>9</v>
      </c>
      <c r="Q1773" t="str">
        <f>IF(周转筐出入库明细!$D1774="","",周转筐出入库明细!$D1774)</f>
        <v/>
      </c>
      <c r="R1773">
        <f t="shared" si="584"/>
        <v>0</v>
      </c>
      <c r="S1773">
        <f t="shared" si="585"/>
        <v>5</v>
      </c>
      <c r="W1773" t="str">
        <f>IF(周转筐出入库明细!$C1774="","",周转筐出入库明细!$C1774)</f>
        <v/>
      </c>
      <c r="X1773">
        <f t="shared" si="586"/>
        <v>0</v>
      </c>
      <c r="Y1773">
        <f t="shared" si="587"/>
        <v>12</v>
      </c>
      <c r="CP1773">
        <f>IF(包装物料出入库明细!$D1773="",0,1)</f>
        <v>0</v>
      </c>
      <c r="CQ1773">
        <f t="shared" si="588"/>
        <v>37</v>
      </c>
      <c r="CS1773" t="str">
        <f>IF(OR(周转筐出入库明细!$C1774="",周转筐出入库明细!$F1774&lt;&gt;"采购入库"),"",周转筐出入库明细!$C1774)</f>
        <v/>
      </c>
      <c r="CT1773">
        <f t="shared" si="589"/>
        <v>0</v>
      </c>
      <c r="CU1773">
        <f t="shared" si="590"/>
        <v>1</v>
      </c>
    </row>
    <row r="1774" spans="1:99">
      <c r="A1774" t="str">
        <f>IF(包装物料出入库明细!$E1774="","",包装物料出入库明细!$E1774)</f>
        <v/>
      </c>
      <c r="B1774">
        <f t="shared" si="580"/>
        <v>0</v>
      </c>
      <c r="C1774">
        <f t="shared" si="581"/>
        <v>7</v>
      </c>
      <c r="D1774" t="str">
        <f>IF(包装物料出入库明细!$E1774="","",包装物料出入库明细!$F1774)</f>
        <v/>
      </c>
      <c r="E1774" t="str">
        <f>IF(包装物料出入库明细!$E1774="","",包装物料出入库明细!$G1774)</f>
        <v/>
      </c>
      <c r="K1774" t="str">
        <f>IF(包装物料出入库明细!$D1774="","",包装物料出入库明细!$D1774)</f>
        <v/>
      </c>
      <c r="L1774">
        <f t="shared" si="582"/>
        <v>0</v>
      </c>
      <c r="M1774">
        <f t="shared" si="583"/>
        <v>9</v>
      </c>
      <c r="Q1774" t="str">
        <f>IF(周转筐出入库明细!$D1775="","",周转筐出入库明细!$D1775)</f>
        <v/>
      </c>
      <c r="R1774">
        <f t="shared" si="584"/>
        <v>0</v>
      </c>
      <c r="S1774">
        <f t="shared" si="585"/>
        <v>5</v>
      </c>
      <c r="W1774" t="str">
        <f>IF(周转筐出入库明细!$C1775="","",周转筐出入库明细!$C1775)</f>
        <v/>
      </c>
      <c r="X1774">
        <f t="shared" si="586"/>
        <v>0</v>
      </c>
      <c r="Y1774">
        <f t="shared" si="587"/>
        <v>12</v>
      </c>
      <c r="CP1774">
        <f>IF(包装物料出入库明细!$D1774="",0,1)</f>
        <v>0</v>
      </c>
      <c r="CQ1774">
        <f t="shared" si="588"/>
        <v>37</v>
      </c>
      <c r="CS1774" t="str">
        <f>IF(OR(周转筐出入库明细!$C1775="",周转筐出入库明细!$F1775&lt;&gt;"采购入库"),"",周转筐出入库明细!$C1775)</f>
        <v/>
      </c>
      <c r="CT1774">
        <f t="shared" si="589"/>
        <v>0</v>
      </c>
      <c r="CU1774">
        <f t="shared" si="590"/>
        <v>1</v>
      </c>
    </row>
    <row r="1775" spans="1:99">
      <c r="A1775" t="str">
        <f>IF(包装物料出入库明细!$E1775="","",包装物料出入库明细!$E1775)</f>
        <v/>
      </c>
      <c r="B1775">
        <f t="shared" si="580"/>
        <v>0</v>
      </c>
      <c r="C1775">
        <f t="shared" si="581"/>
        <v>7</v>
      </c>
      <c r="D1775" t="str">
        <f>IF(包装物料出入库明细!$E1775="","",包装物料出入库明细!$F1775)</f>
        <v/>
      </c>
      <c r="E1775" t="str">
        <f>IF(包装物料出入库明细!$E1775="","",包装物料出入库明细!$G1775)</f>
        <v/>
      </c>
      <c r="K1775" t="str">
        <f>IF(包装物料出入库明细!$D1775="","",包装物料出入库明细!$D1775)</f>
        <v/>
      </c>
      <c r="L1775">
        <f t="shared" si="582"/>
        <v>0</v>
      </c>
      <c r="M1775">
        <f t="shared" si="583"/>
        <v>9</v>
      </c>
      <c r="Q1775" t="str">
        <f>IF(周转筐出入库明细!$D1776="","",周转筐出入库明细!$D1776)</f>
        <v/>
      </c>
      <c r="R1775">
        <f t="shared" si="584"/>
        <v>0</v>
      </c>
      <c r="S1775">
        <f t="shared" si="585"/>
        <v>5</v>
      </c>
      <c r="W1775" t="str">
        <f>IF(周转筐出入库明细!$C1776="","",周转筐出入库明细!$C1776)</f>
        <v/>
      </c>
      <c r="X1775">
        <f t="shared" si="586"/>
        <v>0</v>
      </c>
      <c r="Y1775">
        <f t="shared" si="587"/>
        <v>12</v>
      </c>
      <c r="CP1775">
        <f>IF(包装物料出入库明细!$D1775="",0,1)</f>
        <v>0</v>
      </c>
      <c r="CQ1775">
        <f t="shared" si="588"/>
        <v>37</v>
      </c>
      <c r="CS1775" t="str">
        <f>IF(OR(周转筐出入库明细!$C1776="",周转筐出入库明细!$F1776&lt;&gt;"采购入库"),"",周转筐出入库明细!$C1776)</f>
        <v/>
      </c>
      <c r="CT1775">
        <f t="shared" si="589"/>
        <v>0</v>
      </c>
      <c r="CU1775">
        <f t="shared" si="590"/>
        <v>1</v>
      </c>
    </row>
    <row r="1776" spans="1:99">
      <c r="A1776" t="str">
        <f>IF(包装物料出入库明细!$E1776="","",包装物料出入库明细!$E1776)</f>
        <v/>
      </c>
      <c r="B1776">
        <f t="shared" si="580"/>
        <v>0</v>
      </c>
      <c r="C1776">
        <f t="shared" si="581"/>
        <v>7</v>
      </c>
      <c r="D1776" t="str">
        <f>IF(包装物料出入库明细!$E1776="","",包装物料出入库明细!$F1776)</f>
        <v/>
      </c>
      <c r="E1776" t="str">
        <f>IF(包装物料出入库明细!$E1776="","",包装物料出入库明细!$G1776)</f>
        <v/>
      </c>
      <c r="K1776" t="str">
        <f>IF(包装物料出入库明细!$D1776="","",包装物料出入库明细!$D1776)</f>
        <v/>
      </c>
      <c r="L1776">
        <f t="shared" si="582"/>
        <v>0</v>
      </c>
      <c r="M1776">
        <f t="shared" si="583"/>
        <v>9</v>
      </c>
      <c r="Q1776" t="str">
        <f>IF(周转筐出入库明细!$D1777="","",周转筐出入库明细!$D1777)</f>
        <v/>
      </c>
      <c r="R1776">
        <f t="shared" si="584"/>
        <v>0</v>
      </c>
      <c r="S1776">
        <f t="shared" si="585"/>
        <v>5</v>
      </c>
      <c r="W1776" t="str">
        <f>IF(周转筐出入库明细!$C1777="","",周转筐出入库明细!$C1777)</f>
        <v/>
      </c>
      <c r="X1776">
        <f t="shared" si="586"/>
        <v>0</v>
      </c>
      <c r="Y1776">
        <f t="shared" si="587"/>
        <v>12</v>
      </c>
      <c r="CP1776">
        <f>IF(包装物料出入库明细!$D1776="",0,1)</f>
        <v>0</v>
      </c>
      <c r="CQ1776">
        <f t="shared" si="588"/>
        <v>37</v>
      </c>
      <c r="CS1776" t="str">
        <f>IF(OR(周转筐出入库明细!$C1777="",周转筐出入库明细!$F1777&lt;&gt;"采购入库"),"",周转筐出入库明细!$C1777)</f>
        <v/>
      </c>
      <c r="CT1776">
        <f t="shared" si="589"/>
        <v>0</v>
      </c>
      <c r="CU1776">
        <f t="shared" si="590"/>
        <v>1</v>
      </c>
    </row>
    <row r="1777" spans="1:99">
      <c r="A1777" t="str">
        <f>IF(包装物料出入库明细!$E1777="","",包装物料出入库明细!$E1777)</f>
        <v/>
      </c>
      <c r="B1777">
        <f t="shared" si="580"/>
        <v>0</v>
      </c>
      <c r="C1777">
        <f t="shared" si="581"/>
        <v>7</v>
      </c>
      <c r="D1777" t="str">
        <f>IF(包装物料出入库明细!$E1777="","",包装物料出入库明细!$F1777)</f>
        <v/>
      </c>
      <c r="E1777" t="str">
        <f>IF(包装物料出入库明细!$E1777="","",包装物料出入库明细!$G1777)</f>
        <v/>
      </c>
      <c r="K1777" t="str">
        <f>IF(包装物料出入库明细!$D1777="","",包装物料出入库明细!$D1777)</f>
        <v/>
      </c>
      <c r="L1777">
        <f t="shared" si="582"/>
        <v>0</v>
      </c>
      <c r="M1777">
        <f t="shared" si="583"/>
        <v>9</v>
      </c>
      <c r="Q1777" t="str">
        <f>IF(周转筐出入库明细!$D1778="","",周转筐出入库明细!$D1778)</f>
        <v/>
      </c>
      <c r="R1777">
        <f t="shared" si="584"/>
        <v>0</v>
      </c>
      <c r="S1777">
        <f t="shared" si="585"/>
        <v>5</v>
      </c>
      <c r="W1777" t="str">
        <f>IF(周转筐出入库明细!$C1778="","",周转筐出入库明细!$C1778)</f>
        <v/>
      </c>
      <c r="X1777">
        <f t="shared" si="586"/>
        <v>0</v>
      </c>
      <c r="Y1777">
        <f t="shared" si="587"/>
        <v>12</v>
      </c>
      <c r="CP1777">
        <f>IF(包装物料出入库明细!$D1777="",0,1)</f>
        <v>0</v>
      </c>
      <c r="CQ1777">
        <f t="shared" si="588"/>
        <v>37</v>
      </c>
      <c r="CS1777" t="str">
        <f>IF(OR(周转筐出入库明细!$C1778="",周转筐出入库明细!$F1778&lt;&gt;"采购入库"),"",周转筐出入库明细!$C1778)</f>
        <v/>
      </c>
      <c r="CT1777">
        <f t="shared" si="589"/>
        <v>0</v>
      </c>
      <c r="CU1777">
        <f t="shared" si="590"/>
        <v>1</v>
      </c>
    </row>
    <row r="1778" spans="1:99">
      <c r="A1778" t="str">
        <f>IF(包装物料出入库明细!$E1778="","",包装物料出入库明细!$E1778)</f>
        <v/>
      </c>
      <c r="B1778">
        <f t="shared" si="580"/>
        <v>0</v>
      </c>
      <c r="C1778">
        <f t="shared" si="581"/>
        <v>7</v>
      </c>
      <c r="D1778" t="str">
        <f>IF(包装物料出入库明细!$E1778="","",包装物料出入库明细!$F1778)</f>
        <v/>
      </c>
      <c r="E1778" t="str">
        <f>IF(包装物料出入库明细!$E1778="","",包装物料出入库明细!$G1778)</f>
        <v/>
      </c>
      <c r="K1778" t="str">
        <f>IF(包装物料出入库明细!$D1778="","",包装物料出入库明细!$D1778)</f>
        <v/>
      </c>
      <c r="L1778">
        <f t="shared" si="582"/>
        <v>0</v>
      </c>
      <c r="M1778">
        <f t="shared" si="583"/>
        <v>9</v>
      </c>
      <c r="Q1778" t="str">
        <f>IF(周转筐出入库明细!$D1779="","",周转筐出入库明细!$D1779)</f>
        <v/>
      </c>
      <c r="R1778">
        <f t="shared" si="584"/>
        <v>0</v>
      </c>
      <c r="S1778">
        <f t="shared" si="585"/>
        <v>5</v>
      </c>
      <c r="W1778" t="str">
        <f>IF(周转筐出入库明细!$C1779="","",周转筐出入库明细!$C1779)</f>
        <v/>
      </c>
      <c r="X1778">
        <f t="shared" si="586"/>
        <v>0</v>
      </c>
      <c r="Y1778">
        <f t="shared" si="587"/>
        <v>12</v>
      </c>
      <c r="CP1778">
        <f>IF(包装物料出入库明细!$D1778="",0,1)</f>
        <v>0</v>
      </c>
      <c r="CQ1778">
        <f t="shared" si="588"/>
        <v>37</v>
      </c>
      <c r="CS1778" t="str">
        <f>IF(OR(周转筐出入库明细!$C1779="",周转筐出入库明细!$F1779&lt;&gt;"采购入库"),"",周转筐出入库明细!$C1779)</f>
        <v/>
      </c>
      <c r="CT1778">
        <f t="shared" si="589"/>
        <v>0</v>
      </c>
      <c r="CU1778">
        <f t="shared" si="590"/>
        <v>1</v>
      </c>
    </row>
    <row r="1779" spans="1:99">
      <c r="A1779" t="str">
        <f>IF(包装物料出入库明细!$E1779="","",包装物料出入库明细!$E1779)</f>
        <v/>
      </c>
      <c r="B1779">
        <f t="shared" si="580"/>
        <v>0</v>
      </c>
      <c r="C1779">
        <f t="shared" si="581"/>
        <v>7</v>
      </c>
      <c r="D1779" t="str">
        <f>IF(包装物料出入库明细!$E1779="","",包装物料出入库明细!$F1779)</f>
        <v/>
      </c>
      <c r="E1779" t="str">
        <f>IF(包装物料出入库明细!$E1779="","",包装物料出入库明细!$G1779)</f>
        <v/>
      </c>
      <c r="K1779" t="str">
        <f>IF(包装物料出入库明细!$D1779="","",包装物料出入库明细!$D1779)</f>
        <v/>
      </c>
      <c r="L1779">
        <f t="shared" si="582"/>
        <v>0</v>
      </c>
      <c r="M1779">
        <f t="shared" si="583"/>
        <v>9</v>
      </c>
      <c r="Q1779" t="str">
        <f>IF(周转筐出入库明细!$D1780="","",周转筐出入库明细!$D1780)</f>
        <v/>
      </c>
      <c r="R1779">
        <f t="shared" si="584"/>
        <v>0</v>
      </c>
      <c r="S1779">
        <f t="shared" si="585"/>
        <v>5</v>
      </c>
      <c r="W1779" t="str">
        <f>IF(周转筐出入库明细!$C1780="","",周转筐出入库明细!$C1780)</f>
        <v/>
      </c>
      <c r="X1779">
        <f t="shared" si="586"/>
        <v>0</v>
      </c>
      <c r="Y1779">
        <f t="shared" si="587"/>
        <v>12</v>
      </c>
      <c r="CP1779">
        <f>IF(包装物料出入库明细!$D1779="",0,1)</f>
        <v>0</v>
      </c>
      <c r="CQ1779">
        <f t="shared" si="588"/>
        <v>37</v>
      </c>
      <c r="CS1779" t="str">
        <f>IF(OR(周转筐出入库明细!$C1780="",周转筐出入库明细!$F1780&lt;&gt;"采购入库"),"",周转筐出入库明细!$C1780)</f>
        <v/>
      </c>
      <c r="CT1779">
        <f t="shared" si="589"/>
        <v>0</v>
      </c>
      <c r="CU1779">
        <f t="shared" si="590"/>
        <v>1</v>
      </c>
    </row>
    <row r="1780" spans="1:99">
      <c r="A1780" t="str">
        <f>IF(包装物料出入库明细!$E1780="","",包装物料出入库明细!$E1780)</f>
        <v/>
      </c>
      <c r="B1780">
        <f t="shared" si="580"/>
        <v>0</v>
      </c>
      <c r="C1780">
        <f t="shared" si="581"/>
        <v>7</v>
      </c>
      <c r="D1780" t="str">
        <f>IF(包装物料出入库明细!$E1780="","",包装物料出入库明细!$F1780)</f>
        <v/>
      </c>
      <c r="E1780" t="str">
        <f>IF(包装物料出入库明细!$E1780="","",包装物料出入库明细!$G1780)</f>
        <v/>
      </c>
      <c r="K1780" t="str">
        <f>IF(包装物料出入库明细!$D1780="","",包装物料出入库明细!$D1780)</f>
        <v/>
      </c>
      <c r="L1780">
        <f t="shared" si="582"/>
        <v>0</v>
      </c>
      <c r="M1780">
        <f t="shared" si="583"/>
        <v>9</v>
      </c>
      <c r="Q1780" t="str">
        <f>IF(周转筐出入库明细!$D1781="","",周转筐出入库明细!$D1781)</f>
        <v/>
      </c>
      <c r="R1780">
        <f t="shared" si="584"/>
        <v>0</v>
      </c>
      <c r="S1780">
        <f t="shared" si="585"/>
        <v>5</v>
      </c>
      <c r="W1780" t="str">
        <f>IF(周转筐出入库明细!$C1781="","",周转筐出入库明细!$C1781)</f>
        <v/>
      </c>
      <c r="X1780">
        <f t="shared" si="586"/>
        <v>0</v>
      </c>
      <c r="Y1780">
        <f t="shared" si="587"/>
        <v>12</v>
      </c>
      <c r="CP1780">
        <f>IF(包装物料出入库明细!$D1780="",0,1)</f>
        <v>0</v>
      </c>
      <c r="CQ1780">
        <f t="shared" si="588"/>
        <v>37</v>
      </c>
      <c r="CS1780" t="str">
        <f>IF(OR(周转筐出入库明细!$C1781="",周转筐出入库明细!$F1781&lt;&gt;"采购入库"),"",周转筐出入库明细!$C1781)</f>
        <v/>
      </c>
      <c r="CT1780">
        <f t="shared" si="589"/>
        <v>0</v>
      </c>
      <c r="CU1780">
        <f t="shared" si="590"/>
        <v>1</v>
      </c>
    </row>
    <row r="1781" spans="1:99">
      <c r="A1781" t="str">
        <f>IF(包装物料出入库明细!$E1781="","",包装物料出入库明细!$E1781)</f>
        <v/>
      </c>
      <c r="B1781">
        <f t="shared" si="580"/>
        <v>0</v>
      </c>
      <c r="C1781">
        <f t="shared" si="581"/>
        <v>7</v>
      </c>
      <c r="D1781" t="str">
        <f>IF(包装物料出入库明细!$E1781="","",包装物料出入库明细!$F1781)</f>
        <v/>
      </c>
      <c r="E1781" t="str">
        <f>IF(包装物料出入库明细!$E1781="","",包装物料出入库明细!$G1781)</f>
        <v/>
      </c>
      <c r="K1781" t="str">
        <f>IF(包装物料出入库明细!$D1781="","",包装物料出入库明细!$D1781)</f>
        <v/>
      </c>
      <c r="L1781">
        <f t="shared" si="582"/>
        <v>0</v>
      </c>
      <c r="M1781">
        <f t="shared" si="583"/>
        <v>9</v>
      </c>
      <c r="Q1781" t="str">
        <f>IF(周转筐出入库明细!$D1782="","",周转筐出入库明细!$D1782)</f>
        <v/>
      </c>
      <c r="R1781">
        <f t="shared" si="584"/>
        <v>0</v>
      </c>
      <c r="S1781">
        <f t="shared" si="585"/>
        <v>5</v>
      </c>
      <c r="W1781" t="str">
        <f>IF(周转筐出入库明细!$C1782="","",周转筐出入库明细!$C1782)</f>
        <v/>
      </c>
      <c r="X1781">
        <f t="shared" si="586"/>
        <v>0</v>
      </c>
      <c r="Y1781">
        <f t="shared" si="587"/>
        <v>12</v>
      </c>
      <c r="CP1781">
        <f>IF(包装物料出入库明细!$D1781="",0,1)</f>
        <v>0</v>
      </c>
      <c r="CQ1781">
        <f t="shared" si="588"/>
        <v>37</v>
      </c>
      <c r="CS1781" t="str">
        <f>IF(OR(周转筐出入库明细!$C1782="",周转筐出入库明细!$F1782&lt;&gt;"采购入库"),"",周转筐出入库明细!$C1782)</f>
        <v/>
      </c>
      <c r="CT1781">
        <f t="shared" si="589"/>
        <v>0</v>
      </c>
      <c r="CU1781">
        <f t="shared" si="590"/>
        <v>1</v>
      </c>
    </row>
    <row r="1782" spans="1:99">
      <c r="A1782" t="str">
        <f>IF(包装物料出入库明细!$E1782="","",包装物料出入库明细!$E1782)</f>
        <v/>
      </c>
      <c r="B1782">
        <f t="shared" si="580"/>
        <v>0</v>
      </c>
      <c r="C1782">
        <f t="shared" si="581"/>
        <v>7</v>
      </c>
      <c r="D1782" t="str">
        <f>IF(包装物料出入库明细!$E1782="","",包装物料出入库明细!$F1782)</f>
        <v/>
      </c>
      <c r="E1782" t="str">
        <f>IF(包装物料出入库明细!$E1782="","",包装物料出入库明细!$G1782)</f>
        <v/>
      </c>
      <c r="K1782" t="str">
        <f>IF(包装物料出入库明细!$D1782="","",包装物料出入库明细!$D1782)</f>
        <v/>
      </c>
      <c r="L1782">
        <f t="shared" si="582"/>
        <v>0</v>
      </c>
      <c r="M1782">
        <f t="shared" si="583"/>
        <v>9</v>
      </c>
      <c r="Q1782" t="str">
        <f>IF(周转筐出入库明细!$D1783="","",周转筐出入库明细!$D1783)</f>
        <v/>
      </c>
      <c r="R1782">
        <f t="shared" si="584"/>
        <v>0</v>
      </c>
      <c r="S1782">
        <f t="shared" si="585"/>
        <v>5</v>
      </c>
      <c r="W1782" t="str">
        <f>IF(周转筐出入库明细!$C1783="","",周转筐出入库明细!$C1783)</f>
        <v/>
      </c>
      <c r="X1782">
        <f t="shared" si="586"/>
        <v>0</v>
      </c>
      <c r="Y1782">
        <f t="shared" si="587"/>
        <v>12</v>
      </c>
      <c r="CP1782">
        <f>IF(包装物料出入库明细!$D1782="",0,1)</f>
        <v>0</v>
      </c>
      <c r="CQ1782">
        <f t="shared" si="588"/>
        <v>37</v>
      </c>
      <c r="CS1782" t="str">
        <f>IF(OR(周转筐出入库明细!$C1783="",周转筐出入库明细!$F1783&lt;&gt;"采购入库"),"",周转筐出入库明细!$C1783)</f>
        <v/>
      </c>
      <c r="CT1782">
        <f t="shared" si="589"/>
        <v>0</v>
      </c>
      <c r="CU1782">
        <f t="shared" si="590"/>
        <v>1</v>
      </c>
    </row>
    <row r="1783" spans="1:99">
      <c r="A1783" t="str">
        <f>IF(包装物料出入库明细!$E1783="","",包装物料出入库明细!$E1783)</f>
        <v/>
      </c>
      <c r="B1783">
        <f t="shared" si="580"/>
        <v>0</v>
      </c>
      <c r="C1783">
        <f t="shared" si="581"/>
        <v>7</v>
      </c>
      <c r="D1783" t="str">
        <f>IF(包装物料出入库明细!$E1783="","",包装物料出入库明细!$F1783)</f>
        <v/>
      </c>
      <c r="E1783" t="str">
        <f>IF(包装物料出入库明细!$E1783="","",包装物料出入库明细!$G1783)</f>
        <v/>
      </c>
      <c r="K1783" t="str">
        <f>IF(包装物料出入库明细!$D1783="","",包装物料出入库明细!$D1783)</f>
        <v/>
      </c>
      <c r="L1783">
        <f t="shared" si="582"/>
        <v>0</v>
      </c>
      <c r="M1783">
        <f t="shared" si="583"/>
        <v>9</v>
      </c>
      <c r="Q1783" t="str">
        <f>IF(周转筐出入库明细!$D1784="","",周转筐出入库明细!$D1784)</f>
        <v/>
      </c>
      <c r="R1783">
        <f t="shared" si="584"/>
        <v>0</v>
      </c>
      <c r="S1783">
        <f t="shared" si="585"/>
        <v>5</v>
      </c>
      <c r="W1783" t="str">
        <f>IF(周转筐出入库明细!$C1784="","",周转筐出入库明细!$C1784)</f>
        <v/>
      </c>
      <c r="X1783">
        <f t="shared" si="586"/>
        <v>0</v>
      </c>
      <c r="Y1783">
        <f t="shared" si="587"/>
        <v>12</v>
      </c>
      <c r="CP1783">
        <f>IF(包装物料出入库明细!$D1783="",0,1)</f>
        <v>0</v>
      </c>
      <c r="CQ1783">
        <f t="shared" si="588"/>
        <v>37</v>
      </c>
      <c r="CS1783" t="str">
        <f>IF(OR(周转筐出入库明细!$C1784="",周转筐出入库明细!$F1784&lt;&gt;"采购入库"),"",周转筐出入库明细!$C1784)</f>
        <v/>
      </c>
      <c r="CT1783">
        <f t="shared" si="589"/>
        <v>0</v>
      </c>
      <c r="CU1783">
        <f t="shared" si="590"/>
        <v>1</v>
      </c>
    </row>
    <row r="1784" spans="1:99">
      <c r="A1784" t="str">
        <f>IF(包装物料出入库明细!$E1784="","",包装物料出入库明细!$E1784)</f>
        <v/>
      </c>
      <c r="B1784">
        <f t="shared" si="580"/>
        <v>0</v>
      </c>
      <c r="C1784">
        <f t="shared" si="581"/>
        <v>7</v>
      </c>
      <c r="D1784" t="str">
        <f>IF(包装物料出入库明细!$E1784="","",包装物料出入库明细!$F1784)</f>
        <v/>
      </c>
      <c r="E1784" t="str">
        <f>IF(包装物料出入库明细!$E1784="","",包装物料出入库明细!$G1784)</f>
        <v/>
      </c>
      <c r="K1784" t="str">
        <f>IF(包装物料出入库明细!$D1784="","",包装物料出入库明细!$D1784)</f>
        <v/>
      </c>
      <c r="L1784">
        <f t="shared" si="582"/>
        <v>0</v>
      </c>
      <c r="M1784">
        <f t="shared" si="583"/>
        <v>9</v>
      </c>
      <c r="Q1784" t="str">
        <f>IF(周转筐出入库明细!$D1785="","",周转筐出入库明细!$D1785)</f>
        <v/>
      </c>
      <c r="R1784">
        <f t="shared" si="584"/>
        <v>0</v>
      </c>
      <c r="S1784">
        <f t="shared" si="585"/>
        <v>5</v>
      </c>
      <c r="W1784" t="str">
        <f>IF(周转筐出入库明细!$C1785="","",周转筐出入库明细!$C1785)</f>
        <v/>
      </c>
      <c r="X1784">
        <f t="shared" si="586"/>
        <v>0</v>
      </c>
      <c r="Y1784">
        <f t="shared" si="587"/>
        <v>12</v>
      </c>
      <c r="CP1784">
        <f>IF(包装物料出入库明细!$D1784="",0,1)</f>
        <v>0</v>
      </c>
      <c r="CQ1784">
        <f t="shared" si="588"/>
        <v>37</v>
      </c>
      <c r="CS1784" t="str">
        <f>IF(OR(周转筐出入库明细!$C1785="",周转筐出入库明细!$F1785&lt;&gt;"采购入库"),"",周转筐出入库明细!$C1785)</f>
        <v/>
      </c>
      <c r="CT1784">
        <f t="shared" si="589"/>
        <v>0</v>
      </c>
      <c r="CU1784">
        <f t="shared" si="590"/>
        <v>1</v>
      </c>
    </row>
    <row r="1785" spans="1:99">
      <c r="A1785" t="str">
        <f>IF(包装物料出入库明细!$E1785="","",包装物料出入库明细!$E1785)</f>
        <v/>
      </c>
      <c r="B1785">
        <f t="shared" si="580"/>
        <v>0</v>
      </c>
      <c r="C1785">
        <f t="shared" si="581"/>
        <v>7</v>
      </c>
      <c r="D1785" t="str">
        <f>IF(包装物料出入库明细!$E1785="","",包装物料出入库明细!$F1785)</f>
        <v/>
      </c>
      <c r="E1785" t="str">
        <f>IF(包装物料出入库明细!$E1785="","",包装物料出入库明细!$G1785)</f>
        <v/>
      </c>
      <c r="K1785" t="str">
        <f>IF(包装物料出入库明细!$D1785="","",包装物料出入库明细!$D1785)</f>
        <v/>
      </c>
      <c r="L1785">
        <f t="shared" si="582"/>
        <v>0</v>
      </c>
      <c r="M1785">
        <f t="shared" si="583"/>
        <v>9</v>
      </c>
      <c r="Q1785" t="str">
        <f>IF(周转筐出入库明细!$D1786="","",周转筐出入库明细!$D1786)</f>
        <v/>
      </c>
      <c r="R1785">
        <f t="shared" si="584"/>
        <v>0</v>
      </c>
      <c r="S1785">
        <f t="shared" si="585"/>
        <v>5</v>
      </c>
      <c r="W1785" t="str">
        <f>IF(周转筐出入库明细!$C1786="","",周转筐出入库明细!$C1786)</f>
        <v/>
      </c>
      <c r="X1785">
        <f t="shared" si="586"/>
        <v>0</v>
      </c>
      <c r="Y1785">
        <f t="shared" si="587"/>
        <v>12</v>
      </c>
      <c r="CP1785">
        <f>IF(包装物料出入库明细!$D1785="",0,1)</f>
        <v>0</v>
      </c>
      <c r="CQ1785">
        <f t="shared" si="588"/>
        <v>37</v>
      </c>
      <c r="CS1785" t="str">
        <f>IF(OR(周转筐出入库明细!$C1786="",周转筐出入库明细!$F1786&lt;&gt;"采购入库"),"",周转筐出入库明细!$C1786)</f>
        <v/>
      </c>
      <c r="CT1785">
        <f t="shared" si="589"/>
        <v>0</v>
      </c>
      <c r="CU1785">
        <f t="shared" si="590"/>
        <v>1</v>
      </c>
    </row>
    <row r="1786" spans="1:99">
      <c r="A1786" t="str">
        <f>IF(包装物料出入库明细!$E1786="","",包装物料出入库明细!$E1786)</f>
        <v/>
      </c>
      <c r="B1786">
        <f t="shared" si="580"/>
        <v>0</v>
      </c>
      <c r="C1786">
        <f t="shared" si="581"/>
        <v>7</v>
      </c>
      <c r="D1786" t="str">
        <f>IF(包装物料出入库明细!$E1786="","",包装物料出入库明细!$F1786)</f>
        <v/>
      </c>
      <c r="E1786" t="str">
        <f>IF(包装物料出入库明细!$E1786="","",包装物料出入库明细!$G1786)</f>
        <v/>
      </c>
      <c r="K1786" t="str">
        <f>IF(包装物料出入库明细!$D1786="","",包装物料出入库明细!$D1786)</f>
        <v/>
      </c>
      <c r="L1786">
        <f t="shared" si="582"/>
        <v>0</v>
      </c>
      <c r="M1786">
        <f t="shared" si="583"/>
        <v>9</v>
      </c>
      <c r="Q1786" t="str">
        <f>IF(周转筐出入库明细!$D1787="","",周转筐出入库明细!$D1787)</f>
        <v/>
      </c>
      <c r="R1786">
        <f t="shared" si="584"/>
        <v>0</v>
      </c>
      <c r="S1786">
        <f t="shared" si="585"/>
        <v>5</v>
      </c>
      <c r="W1786" t="str">
        <f>IF(周转筐出入库明细!$C1787="","",周转筐出入库明细!$C1787)</f>
        <v/>
      </c>
      <c r="X1786">
        <f t="shared" si="586"/>
        <v>0</v>
      </c>
      <c r="Y1786">
        <f t="shared" si="587"/>
        <v>12</v>
      </c>
      <c r="CP1786">
        <f>IF(包装物料出入库明细!$D1786="",0,1)</f>
        <v>0</v>
      </c>
      <c r="CQ1786">
        <f t="shared" si="588"/>
        <v>37</v>
      </c>
      <c r="CS1786" t="str">
        <f>IF(OR(周转筐出入库明细!$C1787="",周转筐出入库明细!$F1787&lt;&gt;"采购入库"),"",周转筐出入库明细!$C1787)</f>
        <v/>
      </c>
      <c r="CT1786">
        <f t="shared" si="589"/>
        <v>0</v>
      </c>
      <c r="CU1786">
        <f t="shared" si="590"/>
        <v>1</v>
      </c>
    </row>
    <row r="1787" spans="1:99">
      <c r="A1787" t="str">
        <f>IF(包装物料出入库明细!$E1787="","",包装物料出入库明细!$E1787)</f>
        <v/>
      </c>
      <c r="B1787">
        <f t="shared" si="580"/>
        <v>0</v>
      </c>
      <c r="C1787">
        <f t="shared" si="581"/>
        <v>7</v>
      </c>
      <c r="D1787" t="str">
        <f>IF(包装物料出入库明细!$E1787="","",包装物料出入库明细!$F1787)</f>
        <v/>
      </c>
      <c r="E1787" t="str">
        <f>IF(包装物料出入库明细!$E1787="","",包装物料出入库明细!$G1787)</f>
        <v/>
      </c>
      <c r="K1787" t="str">
        <f>IF(包装物料出入库明细!$D1787="","",包装物料出入库明细!$D1787)</f>
        <v/>
      </c>
      <c r="L1787">
        <f t="shared" si="582"/>
        <v>0</v>
      </c>
      <c r="M1787">
        <f t="shared" si="583"/>
        <v>9</v>
      </c>
      <c r="Q1787" t="str">
        <f>IF(周转筐出入库明细!$D1788="","",周转筐出入库明细!$D1788)</f>
        <v/>
      </c>
      <c r="R1787">
        <f t="shared" si="584"/>
        <v>0</v>
      </c>
      <c r="S1787">
        <f t="shared" si="585"/>
        <v>5</v>
      </c>
      <c r="W1787" t="str">
        <f>IF(周转筐出入库明细!$C1788="","",周转筐出入库明细!$C1788)</f>
        <v/>
      </c>
      <c r="X1787">
        <f t="shared" si="586"/>
        <v>0</v>
      </c>
      <c r="Y1787">
        <f t="shared" si="587"/>
        <v>12</v>
      </c>
      <c r="CP1787">
        <f>IF(包装物料出入库明细!$D1787="",0,1)</f>
        <v>0</v>
      </c>
      <c r="CQ1787">
        <f t="shared" si="588"/>
        <v>37</v>
      </c>
      <c r="CS1787" t="str">
        <f>IF(OR(周转筐出入库明细!$C1788="",周转筐出入库明细!$F1788&lt;&gt;"采购入库"),"",周转筐出入库明细!$C1788)</f>
        <v/>
      </c>
      <c r="CT1787">
        <f t="shared" si="589"/>
        <v>0</v>
      </c>
      <c r="CU1787">
        <f t="shared" si="590"/>
        <v>1</v>
      </c>
    </row>
    <row r="1788" spans="1:99">
      <c r="A1788" t="str">
        <f>IF(包装物料出入库明细!$E1788="","",包装物料出入库明细!$E1788)</f>
        <v/>
      </c>
      <c r="B1788">
        <f t="shared" si="580"/>
        <v>0</v>
      </c>
      <c r="C1788">
        <f t="shared" si="581"/>
        <v>7</v>
      </c>
      <c r="D1788" t="str">
        <f>IF(包装物料出入库明细!$E1788="","",包装物料出入库明细!$F1788)</f>
        <v/>
      </c>
      <c r="E1788" t="str">
        <f>IF(包装物料出入库明细!$E1788="","",包装物料出入库明细!$G1788)</f>
        <v/>
      </c>
      <c r="K1788" t="str">
        <f>IF(包装物料出入库明细!$D1788="","",包装物料出入库明细!$D1788)</f>
        <v/>
      </c>
      <c r="L1788">
        <f t="shared" si="582"/>
        <v>0</v>
      </c>
      <c r="M1788">
        <f t="shared" si="583"/>
        <v>9</v>
      </c>
      <c r="Q1788" t="str">
        <f>IF(周转筐出入库明细!$D1789="","",周转筐出入库明细!$D1789)</f>
        <v/>
      </c>
      <c r="R1788">
        <f t="shared" si="584"/>
        <v>0</v>
      </c>
      <c r="S1788">
        <f t="shared" si="585"/>
        <v>5</v>
      </c>
      <c r="W1788" t="str">
        <f>IF(周转筐出入库明细!$C1789="","",周转筐出入库明细!$C1789)</f>
        <v/>
      </c>
      <c r="X1788">
        <f t="shared" si="586"/>
        <v>0</v>
      </c>
      <c r="Y1788">
        <f t="shared" si="587"/>
        <v>12</v>
      </c>
      <c r="CP1788">
        <f>IF(包装物料出入库明细!$D1788="",0,1)</f>
        <v>0</v>
      </c>
      <c r="CQ1788">
        <f t="shared" si="588"/>
        <v>37</v>
      </c>
      <c r="CS1788" t="str">
        <f>IF(OR(周转筐出入库明细!$C1789="",周转筐出入库明细!$F1789&lt;&gt;"采购入库"),"",周转筐出入库明细!$C1789)</f>
        <v/>
      </c>
      <c r="CT1788">
        <f t="shared" si="589"/>
        <v>0</v>
      </c>
      <c r="CU1788">
        <f t="shared" si="590"/>
        <v>1</v>
      </c>
    </row>
    <row r="1789" spans="1:99">
      <c r="A1789" t="str">
        <f>IF(包装物料出入库明细!$E1789="","",包装物料出入库明细!$E1789)</f>
        <v/>
      </c>
      <c r="B1789">
        <f t="shared" si="580"/>
        <v>0</v>
      </c>
      <c r="C1789">
        <f t="shared" si="581"/>
        <v>7</v>
      </c>
      <c r="D1789" t="str">
        <f>IF(包装物料出入库明细!$E1789="","",包装物料出入库明细!$F1789)</f>
        <v/>
      </c>
      <c r="E1789" t="str">
        <f>IF(包装物料出入库明细!$E1789="","",包装物料出入库明细!$G1789)</f>
        <v/>
      </c>
      <c r="K1789" t="str">
        <f>IF(包装物料出入库明细!$D1789="","",包装物料出入库明细!$D1789)</f>
        <v/>
      </c>
      <c r="L1789">
        <f t="shared" si="582"/>
        <v>0</v>
      </c>
      <c r="M1789">
        <f t="shared" si="583"/>
        <v>9</v>
      </c>
      <c r="Q1789" t="str">
        <f>IF(周转筐出入库明细!$D1790="","",周转筐出入库明细!$D1790)</f>
        <v/>
      </c>
      <c r="R1789">
        <f t="shared" si="584"/>
        <v>0</v>
      </c>
      <c r="S1789">
        <f t="shared" si="585"/>
        <v>5</v>
      </c>
      <c r="W1789" t="str">
        <f>IF(周转筐出入库明细!$C1790="","",周转筐出入库明细!$C1790)</f>
        <v/>
      </c>
      <c r="X1789">
        <f t="shared" si="586"/>
        <v>0</v>
      </c>
      <c r="Y1789">
        <f t="shared" si="587"/>
        <v>12</v>
      </c>
      <c r="CP1789">
        <f>IF(包装物料出入库明细!$D1789="",0,1)</f>
        <v>0</v>
      </c>
      <c r="CQ1789">
        <f t="shared" si="588"/>
        <v>37</v>
      </c>
      <c r="CS1789" t="str">
        <f>IF(OR(周转筐出入库明细!$C1790="",周转筐出入库明细!$F1790&lt;&gt;"采购入库"),"",周转筐出入库明细!$C1790)</f>
        <v/>
      </c>
      <c r="CT1789">
        <f t="shared" si="589"/>
        <v>0</v>
      </c>
      <c r="CU1789">
        <f t="shared" si="590"/>
        <v>1</v>
      </c>
    </row>
    <row r="1790" spans="1:99">
      <c r="A1790" t="str">
        <f>IF(包装物料出入库明细!$E1790="","",包装物料出入库明细!$E1790)</f>
        <v/>
      </c>
      <c r="B1790">
        <f t="shared" si="580"/>
        <v>0</v>
      </c>
      <c r="C1790">
        <f t="shared" si="581"/>
        <v>7</v>
      </c>
      <c r="D1790" t="str">
        <f>IF(包装物料出入库明细!$E1790="","",包装物料出入库明细!$F1790)</f>
        <v/>
      </c>
      <c r="E1790" t="str">
        <f>IF(包装物料出入库明细!$E1790="","",包装物料出入库明细!$G1790)</f>
        <v/>
      </c>
      <c r="K1790" t="str">
        <f>IF(包装物料出入库明细!$D1790="","",包装物料出入库明细!$D1790)</f>
        <v/>
      </c>
      <c r="L1790">
        <f t="shared" si="582"/>
        <v>0</v>
      </c>
      <c r="M1790">
        <f t="shared" si="583"/>
        <v>9</v>
      </c>
      <c r="Q1790" t="str">
        <f>IF(周转筐出入库明细!$D1791="","",周转筐出入库明细!$D1791)</f>
        <v/>
      </c>
      <c r="R1790">
        <f t="shared" si="584"/>
        <v>0</v>
      </c>
      <c r="S1790">
        <f t="shared" si="585"/>
        <v>5</v>
      </c>
      <c r="W1790" t="str">
        <f>IF(周转筐出入库明细!$C1791="","",周转筐出入库明细!$C1791)</f>
        <v/>
      </c>
      <c r="X1790">
        <f t="shared" si="586"/>
        <v>0</v>
      </c>
      <c r="Y1790">
        <f t="shared" si="587"/>
        <v>12</v>
      </c>
      <c r="CP1790">
        <f>IF(包装物料出入库明细!$D1790="",0,1)</f>
        <v>0</v>
      </c>
      <c r="CQ1790">
        <f t="shared" si="588"/>
        <v>37</v>
      </c>
      <c r="CS1790" t="str">
        <f>IF(OR(周转筐出入库明细!$C1791="",周转筐出入库明细!$F1791&lt;&gt;"采购入库"),"",周转筐出入库明细!$C1791)</f>
        <v/>
      </c>
      <c r="CT1790">
        <f t="shared" si="589"/>
        <v>0</v>
      </c>
      <c r="CU1790">
        <f t="shared" si="590"/>
        <v>1</v>
      </c>
    </row>
    <row r="1791" spans="1:99">
      <c r="A1791" t="str">
        <f>IF(包装物料出入库明细!$E1791="","",包装物料出入库明细!$E1791)</f>
        <v/>
      </c>
      <c r="B1791">
        <f t="shared" si="580"/>
        <v>0</v>
      </c>
      <c r="C1791">
        <f t="shared" si="581"/>
        <v>7</v>
      </c>
      <c r="D1791" t="str">
        <f>IF(包装物料出入库明细!$E1791="","",包装物料出入库明细!$F1791)</f>
        <v/>
      </c>
      <c r="E1791" t="str">
        <f>IF(包装物料出入库明细!$E1791="","",包装物料出入库明细!$G1791)</f>
        <v/>
      </c>
      <c r="K1791" t="str">
        <f>IF(包装物料出入库明细!$D1791="","",包装物料出入库明细!$D1791)</f>
        <v/>
      </c>
      <c r="L1791">
        <f t="shared" si="582"/>
        <v>0</v>
      </c>
      <c r="M1791">
        <f t="shared" si="583"/>
        <v>9</v>
      </c>
      <c r="Q1791" t="str">
        <f>IF(周转筐出入库明细!$D1792="","",周转筐出入库明细!$D1792)</f>
        <v/>
      </c>
      <c r="R1791">
        <f t="shared" si="584"/>
        <v>0</v>
      </c>
      <c r="S1791">
        <f t="shared" si="585"/>
        <v>5</v>
      </c>
      <c r="W1791" t="str">
        <f>IF(周转筐出入库明细!$C1792="","",周转筐出入库明细!$C1792)</f>
        <v/>
      </c>
      <c r="X1791">
        <f t="shared" si="586"/>
        <v>0</v>
      </c>
      <c r="Y1791">
        <f t="shared" si="587"/>
        <v>12</v>
      </c>
      <c r="CP1791">
        <f>IF(包装物料出入库明细!$D1791="",0,1)</f>
        <v>0</v>
      </c>
      <c r="CQ1791">
        <f t="shared" si="588"/>
        <v>37</v>
      </c>
      <c r="CS1791" t="str">
        <f>IF(OR(周转筐出入库明细!$C1792="",周转筐出入库明细!$F1792&lt;&gt;"采购入库"),"",周转筐出入库明细!$C1792)</f>
        <v/>
      </c>
      <c r="CT1791">
        <f t="shared" si="589"/>
        <v>0</v>
      </c>
      <c r="CU1791">
        <f t="shared" si="590"/>
        <v>1</v>
      </c>
    </row>
    <row r="1792" spans="1:99">
      <c r="A1792" t="str">
        <f>IF(包装物料出入库明细!$E1792="","",包装物料出入库明细!$E1792)</f>
        <v/>
      </c>
      <c r="B1792">
        <f t="shared" si="580"/>
        <v>0</v>
      </c>
      <c r="C1792">
        <f t="shared" si="581"/>
        <v>7</v>
      </c>
      <c r="D1792" t="str">
        <f>IF(包装物料出入库明细!$E1792="","",包装物料出入库明细!$F1792)</f>
        <v/>
      </c>
      <c r="E1792" t="str">
        <f>IF(包装物料出入库明细!$E1792="","",包装物料出入库明细!$G1792)</f>
        <v/>
      </c>
      <c r="K1792" t="str">
        <f>IF(包装物料出入库明细!$D1792="","",包装物料出入库明细!$D1792)</f>
        <v/>
      </c>
      <c r="L1792">
        <f t="shared" si="582"/>
        <v>0</v>
      </c>
      <c r="M1792">
        <f t="shared" si="583"/>
        <v>9</v>
      </c>
      <c r="Q1792" t="str">
        <f>IF(周转筐出入库明细!$D1793="","",周转筐出入库明细!$D1793)</f>
        <v/>
      </c>
      <c r="R1792">
        <f t="shared" si="584"/>
        <v>0</v>
      </c>
      <c r="S1792">
        <f t="shared" si="585"/>
        <v>5</v>
      </c>
      <c r="W1792" t="str">
        <f>IF(周转筐出入库明细!$C1793="","",周转筐出入库明细!$C1793)</f>
        <v/>
      </c>
      <c r="X1792">
        <f t="shared" si="586"/>
        <v>0</v>
      </c>
      <c r="Y1792">
        <f t="shared" si="587"/>
        <v>12</v>
      </c>
      <c r="CP1792">
        <f>IF(包装物料出入库明细!$D1792="",0,1)</f>
        <v>0</v>
      </c>
      <c r="CQ1792">
        <f t="shared" si="588"/>
        <v>37</v>
      </c>
      <c r="CS1792" t="str">
        <f>IF(OR(周转筐出入库明细!$C1793="",周转筐出入库明细!$F1793&lt;&gt;"采购入库"),"",周转筐出入库明细!$C1793)</f>
        <v/>
      </c>
      <c r="CT1792">
        <f t="shared" si="589"/>
        <v>0</v>
      </c>
      <c r="CU1792">
        <f t="shared" si="590"/>
        <v>1</v>
      </c>
    </row>
    <row r="1793" spans="1:99">
      <c r="A1793" t="str">
        <f>IF(包装物料出入库明细!$E1793="","",包装物料出入库明细!$E1793)</f>
        <v/>
      </c>
      <c r="B1793">
        <f t="shared" si="580"/>
        <v>0</v>
      </c>
      <c r="C1793">
        <f t="shared" si="581"/>
        <v>7</v>
      </c>
      <c r="D1793" t="str">
        <f>IF(包装物料出入库明细!$E1793="","",包装物料出入库明细!$F1793)</f>
        <v/>
      </c>
      <c r="E1793" t="str">
        <f>IF(包装物料出入库明细!$E1793="","",包装物料出入库明细!$G1793)</f>
        <v/>
      </c>
      <c r="K1793" t="str">
        <f>IF(包装物料出入库明细!$D1793="","",包装物料出入库明细!$D1793)</f>
        <v/>
      </c>
      <c r="L1793">
        <f t="shared" si="582"/>
        <v>0</v>
      </c>
      <c r="M1793">
        <f t="shared" si="583"/>
        <v>9</v>
      </c>
      <c r="Q1793" t="str">
        <f>IF(周转筐出入库明细!$D1794="","",周转筐出入库明细!$D1794)</f>
        <v/>
      </c>
      <c r="R1793">
        <f t="shared" si="584"/>
        <v>0</v>
      </c>
      <c r="S1793">
        <f t="shared" si="585"/>
        <v>5</v>
      </c>
      <c r="W1793" t="str">
        <f>IF(周转筐出入库明细!$C1794="","",周转筐出入库明细!$C1794)</f>
        <v/>
      </c>
      <c r="X1793">
        <f t="shared" si="586"/>
        <v>0</v>
      </c>
      <c r="Y1793">
        <f t="shared" si="587"/>
        <v>12</v>
      </c>
      <c r="CP1793">
        <f>IF(包装物料出入库明细!$D1793="",0,1)</f>
        <v>0</v>
      </c>
      <c r="CQ1793">
        <f t="shared" si="588"/>
        <v>37</v>
      </c>
      <c r="CS1793" t="str">
        <f>IF(OR(周转筐出入库明细!$C1794="",周转筐出入库明细!$F1794&lt;&gt;"采购入库"),"",周转筐出入库明细!$C1794)</f>
        <v/>
      </c>
      <c r="CT1793">
        <f t="shared" si="589"/>
        <v>0</v>
      </c>
      <c r="CU1793">
        <f t="shared" si="590"/>
        <v>1</v>
      </c>
    </row>
    <row r="1794" spans="1:99">
      <c r="A1794" t="str">
        <f>IF(包装物料出入库明细!$E1794="","",包装物料出入库明细!$E1794)</f>
        <v/>
      </c>
      <c r="B1794">
        <f t="shared" si="580"/>
        <v>0</v>
      </c>
      <c r="C1794">
        <f t="shared" si="581"/>
        <v>7</v>
      </c>
      <c r="D1794" t="str">
        <f>IF(包装物料出入库明细!$E1794="","",包装物料出入库明细!$F1794)</f>
        <v/>
      </c>
      <c r="E1794" t="str">
        <f>IF(包装物料出入库明细!$E1794="","",包装物料出入库明细!$G1794)</f>
        <v/>
      </c>
      <c r="K1794" t="str">
        <f>IF(包装物料出入库明细!$D1794="","",包装物料出入库明细!$D1794)</f>
        <v/>
      </c>
      <c r="L1794">
        <f t="shared" si="582"/>
        <v>0</v>
      </c>
      <c r="M1794">
        <f t="shared" si="583"/>
        <v>9</v>
      </c>
      <c r="Q1794" t="str">
        <f>IF(周转筐出入库明细!$D1795="","",周转筐出入库明细!$D1795)</f>
        <v/>
      </c>
      <c r="R1794">
        <f t="shared" si="584"/>
        <v>0</v>
      </c>
      <c r="S1794">
        <f t="shared" si="585"/>
        <v>5</v>
      </c>
      <c r="W1794" t="str">
        <f>IF(周转筐出入库明细!$C1795="","",周转筐出入库明细!$C1795)</f>
        <v/>
      </c>
      <c r="X1794">
        <f t="shared" si="586"/>
        <v>0</v>
      </c>
      <c r="Y1794">
        <f t="shared" si="587"/>
        <v>12</v>
      </c>
      <c r="CP1794">
        <f>IF(包装物料出入库明细!$D1794="",0,1)</f>
        <v>0</v>
      </c>
      <c r="CQ1794">
        <f t="shared" si="588"/>
        <v>37</v>
      </c>
      <c r="CS1794" t="str">
        <f>IF(OR(周转筐出入库明细!$C1795="",周转筐出入库明细!$F1795&lt;&gt;"采购入库"),"",周转筐出入库明细!$C1795)</f>
        <v/>
      </c>
      <c r="CT1794">
        <f t="shared" si="589"/>
        <v>0</v>
      </c>
      <c r="CU1794">
        <f t="shared" si="590"/>
        <v>1</v>
      </c>
    </row>
    <row r="1795" spans="1:99">
      <c r="A1795" t="str">
        <f>IF(包装物料出入库明细!$E1795="","",包装物料出入库明细!$E1795)</f>
        <v/>
      </c>
      <c r="B1795">
        <f t="shared" si="580"/>
        <v>0</v>
      </c>
      <c r="C1795">
        <f t="shared" si="581"/>
        <v>7</v>
      </c>
      <c r="D1795" t="str">
        <f>IF(包装物料出入库明细!$E1795="","",包装物料出入库明细!$F1795)</f>
        <v/>
      </c>
      <c r="E1795" t="str">
        <f>IF(包装物料出入库明细!$E1795="","",包装物料出入库明细!$G1795)</f>
        <v/>
      </c>
      <c r="K1795" t="str">
        <f>IF(包装物料出入库明细!$D1795="","",包装物料出入库明细!$D1795)</f>
        <v/>
      </c>
      <c r="L1795">
        <f t="shared" si="582"/>
        <v>0</v>
      </c>
      <c r="M1795">
        <f t="shared" si="583"/>
        <v>9</v>
      </c>
      <c r="Q1795" t="str">
        <f>IF(周转筐出入库明细!$D1796="","",周转筐出入库明细!$D1796)</f>
        <v/>
      </c>
      <c r="R1795">
        <f t="shared" si="584"/>
        <v>0</v>
      </c>
      <c r="S1795">
        <f t="shared" si="585"/>
        <v>5</v>
      </c>
      <c r="W1795" t="str">
        <f>IF(周转筐出入库明细!$C1796="","",周转筐出入库明细!$C1796)</f>
        <v/>
      </c>
      <c r="X1795">
        <f t="shared" si="586"/>
        <v>0</v>
      </c>
      <c r="Y1795">
        <f t="shared" si="587"/>
        <v>12</v>
      </c>
      <c r="CP1795">
        <f>IF(包装物料出入库明细!$D1795="",0,1)</f>
        <v>0</v>
      </c>
      <c r="CQ1795">
        <f t="shared" si="588"/>
        <v>37</v>
      </c>
      <c r="CS1795" t="str">
        <f>IF(OR(周转筐出入库明细!$C1796="",周转筐出入库明细!$F1796&lt;&gt;"采购入库"),"",周转筐出入库明细!$C1796)</f>
        <v/>
      </c>
      <c r="CT1795">
        <f t="shared" si="589"/>
        <v>0</v>
      </c>
      <c r="CU1795">
        <f t="shared" si="590"/>
        <v>1</v>
      </c>
    </row>
    <row r="1796" spans="1:99">
      <c r="A1796" t="str">
        <f>IF(包装物料出入库明细!$E1796="","",包装物料出入库明细!$E1796)</f>
        <v/>
      </c>
      <c r="B1796">
        <f t="shared" ref="B1796:B1859" si="591">IF(A1796="",0,IF(MATCH(A1796,$A$4:$A$2003,0)=ROW()-3,1,0))</f>
        <v>0</v>
      </c>
      <c r="C1796">
        <f t="shared" ref="C1796:C1859" si="592">N(C1795)+B1796</f>
        <v>7</v>
      </c>
      <c r="D1796" t="str">
        <f>IF(包装物料出入库明细!$E1796="","",包装物料出入库明细!$F1796)</f>
        <v/>
      </c>
      <c r="E1796" t="str">
        <f>IF(包装物料出入库明细!$E1796="","",包装物料出入库明细!$G1796)</f>
        <v/>
      </c>
      <c r="K1796" t="str">
        <f>IF(包装物料出入库明细!$D1796="","",包装物料出入库明细!$D1796)</f>
        <v/>
      </c>
      <c r="L1796">
        <f t="shared" ref="L1796:L1859" si="593">IF(K1796="",0,IF(MATCH(K1796,$K$4:$K$2003,0)=ROW()-3,1,0))</f>
        <v>0</v>
      </c>
      <c r="M1796">
        <f t="shared" ref="M1796:M1859" si="594">N(M1795)+L1796</f>
        <v>9</v>
      </c>
      <c r="Q1796" t="str">
        <f>IF(周转筐出入库明细!$D1797="","",周转筐出入库明细!$D1797)</f>
        <v/>
      </c>
      <c r="R1796">
        <f t="shared" ref="R1796:R1859" si="595">IF(Q1796="",0,IF(MATCH(Q1796,$Q$4:$Q$2003,0)=ROW()-3,1,0))</f>
        <v>0</v>
      </c>
      <c r="S1796">
        <f t="shared" ref="S1796:S1859" si="596">N(S1795)+R1796</f>
        <v>5</v>
      </c>
      <c r="W1796" t="str">
        <f>IF(周转筐出入库明细!$C1797="","",周转筐出入库明细!$C1797)</f>
        <v/>
      </c>
      <c r="X1796">
        <f t="shared" ref="X1796:X1859" si="597">IF(W1796="",0,IF(MATCH(W1796,$W$4:$W$2003,0)=ROW()-3,1,0))</f>
        <v>0</v>
      </c>
      <c r="Y1796">
        <f t="shared" ref="Y1796:Y1859" si="598">N(Y1795)+X1796</f>
        <v>12</v>
      </c>
      <c r="CP1796">
        <f>IF(包装物料出入库明细!$D1796="",0,1)</f>
        <v>0</v>
      </c>
      <c r="CQ1796">
        <f t="shared" ref="CQ1796:CQ1859" si="599">N(CQ1795)+$CP1796</f>
        <v>37</v>
      </c>
      <c r="CS1796" t="str">
        <f>IF(OR(周转筐出入库明细!$C1797="",周转筐出入库明细!$F1797&lt;&gt;"采购入库"),"",周转筐出入库明细!$C1797)</f>
        <v/>
      </c>
      <c r="CT1796">
        <f t="shared" ref="CT1796:CT1859" si="600">IF(CS1796="",0,IF(MATCH(CS1796,$CS$4:$CS$2003,0)=ROW()-3,1,0))</f>
        <v>0</v>
      </c>
      <c r="CU1796">
        <f t="shared" ref="CU1796:CU1859" si="601">N(CU1795)+CT1796</f>
        <v>1</v>
      </c>
    </row>
    <row r="1797" spans="1:99">
      <c r="A1797" t="str">
        <f>IF(包装物料出入库明细!$E1797="","",包装物料出入库明细!$E1797)</f>
        <v/>
      </c>
      <c r="B1797">
        <f t="shared" si="591"/>
        <v>0</v>
      </c>
      <c r="C1797">
        <f t="shared" si="592"/>
        <v>7</v>
      </c>
      <c r="D1797" t="str">
        <f>IF(包装物料出入库明细!$E1797="","",包装物料出入库明细!$F1797)</f>
        <v/>
      </c>
      <c r="E1797" t="str">
        <f>IF(包装物料出入库明细!$E1797="","",包装物料出入库明细!$G1797)</f>
        <v/>
      </c>
      <c r="K1797" t="str">
        <f>IF(包装物料出入库明细!$D1797="","",包装物料出入库明细!$D1797)</f>
        <v/>
      </c>
      <c r="L1797">
        <f t="shared" si="593"/>
        <v>0</v>
      </c>
      <c r="M1797">
        <f t="shared" si="594"/>
        <v>9</v>
      </c>
      <c r="Q1797" t="str">
        <f>IF(周转筐出入库明细!$D1798="","",周转筐出入库明细!$D1798)</f>
        <v/>
      </c>
      <c r="R1797">
        <f t="shared" si="595"/>
        <v>0</v>
      </c>
      <c r="S1797">
        <f t="shared" si="596"/>
        <v>5</v>
      </c>
      <c r="W1797" t="str">
        <f>IF(周转筐出入库明细!$C1798="","",周转筐出入库明细!$C1798)</f>
        <v/>
      </c>
      <c r="X1797">
        <f t="shared" si="597"/>
        <v>0</v>
      </c>
      <c r="Y1797">
        <f t="shared" si="598"/>
        <v>12</v>
      </c>
      <c r="CP1797">
        <f>IF(包装物料出入库明细!$D1797="",0,1)</f>
        <v>0</v>
      </c>
      <c r="CQ1797">
        <f t="shared" si="599"/>
        <v>37</v>
      </c>
      <c r="CS1797" t="str">
        <f>IF(OR(周转筐出入库明细!$C1798="",周转筐出入库明细!$F1798&lt;&gt;"采购入库"),"",周转筐出入库明细!$C1798)</f>
        <v/>
      </c>
      <c r="CT1797">
        <f t="shared" si="600"/>
        <v>0</v>
      </c>
      <c r="CU1797">
        <f t="shared" si="601"/>
        <v>1</v>
      </c>
    </row>
    <row r="1798" spans="1:99">
      <c r="A1798" t="str">
        <f>IF(包装物料出入库明细!$E1798="","",包装物料出入库明细!$E1798)</f>
        <v/>
      </c>
      <c r="B1798">
        <f t="shared" si="591"/>
        <v>0</v>
      </c>
      <c r="C1798">
        <f t="shared" si="592"/>
        <v>7</v>
      </c>
      <c r="D1798" t="str">
        <f>IF(包装物料出入库明细!$E1798="","",包装物料出入库明细!$F1798)</f>
        <v/>
      </c>
      <c r="E1798" t="str">
        <f>IF(包装物料出入库明细!$E1798="","",包装物料出入库明细!$G1798)</f>
        <v/>
      </c>
      <c r="K1798" t="str">
        <f>IF(包装物料出入库明细!$D1798="","",包装物料出入库明细!$D1798)</f>
        <v/>
      </c>
      <c r="L1798">
        <f t="shared" si="593"/>
        <v>0</v>
      </c>
      <c r="M1798">
        <f t="shared" si="594"/>
        <v>9</v>
      </c>
      <c r="Q1798" t="str">
        <f>IF(周转筐出入库明细!$D1799="","",周转筐出入库明细!$D1799)</f>
        <v/>
      </c>
      <c r="R1798">
        <f t="shared" si="595"/>
        <v>0</v>
      </c>
      <c r="S1798">
        <f t="shared" si="596"/>
        <v>5</v>
      </c>
      <c r="W1798" t="str">
        <f>IF(周转筐出入库明细!$C1799="","",周转筐出入库明细!$C1799)</f>
        <v/>
      </c>
      <c r="X1798">
        <f t="shared" si="597"/>
        <v>0</v>
      </c>
      <c r="Y1798">
        <f t="shared" si="598"/>
        <v>12</v>
      </c>
      <c r="CP1798">
        <f>IF(包装物料出入库明细!$D1798="",0,1)</f>
        <v>0</v>
      </c>
      <c r="CQ1798">
        <f t="shared" si="599"/>
        <v>37</v>
      </c>
      <c r="CS1798" t="str">
        <f>IF(OR(周转筐出入库明细!$C1799="",周转筐出入库明细!$F1799&lt;&gt;"采购入库"),"",周转筐出入库明细!$C1799)</f>
        <v/>
      </c>
      <c r="CT1798">
        <f t="shared" si="600"/>
        <v>0</v>
      </c>
      <c r="CU1798">
        <f t="shared" si="601"/>
        <v>1</v>
      </c>
    </row>
    <row r="1799" spans="1:99">
      <c r="A1799" t="str">
        <f>IF(包装物料出入库明细!$E1799="","",包装物料出入库明细!$E1799)</f>
        <v/>
      </c>
      <c r="B1799">
        <f t="shared" si="591"/>
        <v>0</v>
      </c>
      <c r="C1799">
        <f t="shared" si="592"/>
        <v>7</v>
      </c>
      <c r="D1799" t="str">
        <f>IF(包装物料出入库明细!$E1799="","",包装物料出入库明细!$F1799)</f>
        <v/>
      </c>
      <c r="E1799" t="str">
        <f>IF(包装物料出入库明细!$E1799="","",包装物料出入库明细!$G1799)</f>
        <v/>
      </c>
      <c r="K1799" t="str">
        <f>IF(包装物料出入库明细!$D1799="","",包装物料出入库明细!$D1799)</f>
        <v/>
      </c>
      <c r="L1799">
        <f t="shared" si="593"/>
        <v>0</v>
      </c>
      <c r="M1799">
        <f t="shared" si="594"/>
        <v>9</v>
      </c>
      <c r="Q1799" t="str">
        <f>IF(周转筐出入库明细!$D1800="","",周转筐出入库明细!$D1800)</f>
        <v/>
      </c>
      <c r="R1799">
        <f t="shared" si="595"/>
        <v>0</v>
      </c>
      <c r="S1799">
        <f t="shared" si="596"/>
        <v>5</v>
      </c>
      <c r="W1799" t="str">
        <f>IF(周转筐出入库明细!$C1800="","",周转筐出入库明细!$C1800)</f>
        <v/>
      </c>
      <c r="X1799">
        <f t="shared" si="597"/>
        <v>0</v>
      </c>
      <c r="Y1799">
        <f t="shared" si="598"/>
        <v>12</v>
      </c>
      <c r="CP1799">
        <f>IF(包装物料出入库明细!$D1799="",0,1)</f>
        <v>0</v>
      </c>
      <c r="CQ1799">
        <f t="shared" si="599"/>
        <v>37</v>
      </c>
      <c r="CS1799" t="str">
        <f>IF(OR(周转筐出入库明细!$C1800="",周转筐出入库明细!$F1800&lt;&gt;"采购入库"),"",周转筐出入库明细!$C1800)</f>
        <v/>
      </c>
      <c r="CT1799">
        <f t="shared" si="600"/>
        <v>0</v>
      </c>
      <c r="CU1799">
        <f t="shared" si="601"/>
        <v>1</v>
      </c>
    </row>
    <row r="1800" spans="1:99">
      <c r="A1800" t="str">
        <f>IF(包装物料出入库明细!$E1800="","",包装物料出入库明细!$E1800)</f>
        <v/>
      </c>
      <c r="B1800">
        <f t="shared" si="591"/>
        <v>0</v>
      </c>
      <c r="C1800">
        <f t="shared" si="592"/>
        <v>7</v>
      </c>
      <c r="D1800" t="str">
        <f>IF(包装物料出入库明细!$E1800="","",包装物料出入库明细!$F1800)</f>
        <v/>
      </c>
      <c r="E1800" t="str">
        <f>IF(包装物料出入库明细!$E1800="","",包装物料出入库明细!$G1800)</f>
        <v/>
      </c>
      <c r="K1800" t="str">
        <f>IF(包装物料出入库明细!$D1800="","",包装物料出入库明细!$D1800)</f>
        <v/>
      </c>
      <c r="L1800">
        <f t="shared" si="593"/>
        <v>0</v>
      </c>
      <c r="M1800">
        <f t="shared" si="594"/>
        <v>9</v>
      </c>
      <c r="Q1800" t="str">
        <f>IF(周转筐出入库明细!$D1801="","",周转筐出入库明细!$D1801)</f>
        <v/>
      </c>
      <c r="R1800">
        <f t="shared" si="595"/>
        <v>0</v>
      </c>
      <c r="S1800">
        <f t="shared" si="596"/>
        <v>5</v>
      </c>
      <c r="W1800" t="str">
        <f>IF(周转筐出入库明细!$C1801="","",周转筐出入库明细!$C1801)</f>
        <v/>
      </c>
      <c r="X1800">
        <f t="shared" si="597"/>
        <v>0</v>
      </c>
      <c r="Y1800">
        <f t="shared" si="598"/>
        <v>12</v>
      </c>
      <c r="CP1800">
        <f>IF(包装物料出入库明细!$D1800="",0,1)</f>
        <v>0</v>
      </c>
      <c r="CQ1800">
        <f t="shared" si="599"/>
        <v>37</v>
      </c>
      <c r="CS1800" t="str">
        <f>IF(OR(周转筐出入库明细!$C1801="",周转筐出入库明细!$F1801&lt;&gt;"采购入库"),"",周转筐出入库明细!$C1801)</f>
        <v/>
      </c>
      <c r="CT1800">
        <f t="shared" si="600"/>
        <v>0</v>
      </c>
      <c r="CU1800">
        <f t="shared" si="601"/>
        <v>1</v>
      </c>
    </row>
    <row r="1801" spans="1:99">
      <c r="A1801" t="str">
        <f>IF(包装物料出入库明细!$E1801="","",包装物料出入库明细!$E1801)</f>
        <v/>
      </c>
      <c r="B1801">
        <f t="shared" si="591"/>
        <v>0</v>
      </c>
      <c r="C1801">
        <f t="shared" si="592"/>
        <v>7</v>
      </c>
      <c r="D1801" t="str">
        <f>IF(包装物料出入库明细!$E1801="","",包装物料出入库明细!$F1801)</f>
        <v/>
      </c>
      <c r="E1801" t="str">
        <f>IF(包装物料出入库明细!$E1801="","",包装物料出入库明细!$G1801)</f>
        <v/>
      </c>
      <c r="K1801" t="str">
        <f>IF(包装物料出入库明细!$D1801="","",包装物料出入库明细!$D1801)</f>
        <v/>
      </c>
      <c r="L1801">
        <f t="shared" si="593"/>
        <v>0</v>
      </c>
      <c r="M1801">
        <f t="shared" si="594"/>
        <v>9</v>
      </c>
      <c r="Q1801" t="str">
        <f>IF(周转筐出入库明细!$D1802="","",周转筐出入库明细!$D1802)</f>
        <v/>
      </c>
      <c r="R1801">
        <f t="shared" si="595"/>
        <v>0</v>
      </c>
      <c r="S1801">
        <f t="shared" si="596"/>
        <v>5</v>
      </c>
      <c r="W1801" t="str">
        <f>IF(周转筐出入库明细!$C1802="","",周转筐出入库明细!$C1802)</f>
        <v/>
      </c>
      <c r="X1801">
        <f t="shared" si="597"/>
        <v>0</v>
      </c>
      <c r="Y1801">
        <f t="shared" si="598"/>
        <v>12</v>
      </c>
      <c r="CP1801">
        <f>IF(包装物料出入库明细!$D1801="",0,1)</f>
        <v>0</v>
      </c>
      <c r="CQ1801">
        <f t="shared" si="599"/>
        <v>37</v>
      </c>
      <c r="CS1801" t="str">
        <f>IF(OR(周转筐出入库明细!$C1802="",周转筐出入库明细!$F1802&lt;&gt;"采购入库"),"",周转筐出入库明细!$C1802)</f>
        <v/>
      </c>
      <c r="CT1801">
        <f t="shared" si="600"/>
        <v>0</v>
      </c>
      <c r="CU1801">
        <f t="shared" si="601"/>
        <v>1</v>
      </c>
    </row>
    <row r="1802" spans="1:99">
      <c r="A1802" t="str">
        <f>IF(包装物料出入库明细!$E1802="","",包装物料出入库明细!$E1802)</f>
        <v/>
      </c>
      <c r="B1802">
        <f t="shared" si="591"/>
        <v>0</v>
      </c>
      <c r="C1802">
        <f t="shared" si="592"/>
        <v>7</v>
      </c>
      <c r="D1802" t="str">
        <f>IF(包装物料出入库明细!$E1802="","",包装物料出入库明细!$F1802)</f>
        <v/>
      </c>
      <c r="E1802" t="str">
        <f>IF(包装物料出入库明细!$E1802="","",包装物料出入库明细!$G1802)</f>
        <v/>
      </c>
      <c r="K1802" t="str">
        <f>IF(包装物料出入库明细!$D1802="","",包装物料出入库明细!$D1802)</f>
        <v/>
      </c>
      <c r="L1802">
        <f t="shared" si="593"/>
        <v>0</v>
      </c>
      <c r="M1802">
        <f t="shared" si="594"/>
        <v>9</v>
      </c>
      <c r="Q1802" t="str">
        <f>IF(周转筐出入库明细!$D1803="","",周转筐出入库明细!$D1803)</f>
        <v/>
      </c>
      <c r="R1802">
        <f t="shared" si="595"/>
        <v>0</v>
      </c>
      <c r="S1802">
        <f t="shared" si="596"/>
        <v>5</v>
      </c>
      <c r="W1802" t="str">
        <f>IF(周转筐出入库明细!$C1803="","",周转筐出入库明细!$C1803)</f>
        <v/>
      </c>
      <c r="X1802">
        <f t="shared" si="597"/>
        <v>0</v>
      </c>
      <c r="Y1802">
        <f t="shared" si="598"/>
        <v>12</v>
      </c>
      <c r="CP1802">
        <f>IF(包装物料出入库明细!$D1802="",0,1)</f>
        <v>0</v>
      </c>
      <c r="CQ1802">
        <f t="shared" si="599"/>
        <v>37</v>
      </c>
      <c r="CS1802" t="str">
        <f>IF(OR(周转筐出入库明细!$C1803="",周转筐出入库明细!$F1803&lt;&gt;"采购入库"),"",周转筐出入库明细!$C1803)</f>
        <v/>
      </c>
      <c r="CT1802">
        <f t="shared" si="600"/>
        <v>0</v>
      </c>
      <c r="CU1802">
        <f t="shared" si="601"/>
        <v>1</v>
      </c>
    </row>
    <row r="1803" spans="1:99">
      <c r="A1803" t="str">
        <f>IF(包装物料出入库明细!$E1803="","",包装物料出入库明细!$E1803)</f>
        <v/>
      </c>
      <c r="B1803">
        <f t="shared" si="591"/>
        <v>0</v>
      </c>
      <c r="C1803">
        <f t="shared" si="592"/>
        <v>7</v>
      </c>
      <c r="D1803" t="str">
        <f>IF(包装物料出入库明细!$E1803="","",包装物料出入库明细!$F1803)</f>
        <v/>
      </c>
      <c r="E1803" t="str">
        <f>IF(包装物料出入库明细!$E1803="","",包装物料出入库明细!$G1803)</f>
        <v/>
      </c>
      <c r="K1803" t="str">
        <f>IF(包装物料出入库明细!$D1803="","",包装物料出入库明细!$D1803)</f>
        <v/>
      </c>
      <c r="L1803">
        <f t="shared" si="593"/>
        <v>0</v>
      </c>
      <c r="M1803">
        <f t="shared" si="594"/>
        <v>9</v>
      </c>
      <c r="Q1803" t="str">
        <f>IF(周转筐出入库明细!$D1804="","",周转筐出入库明细!$D1804)</f>
        <v/>
      </c>
      <c r="R1803">
        <f t="shared" si="595"/>
        <v>0</v>
      </c>
      <c r="S1803">
        <f t="shared" si="596"/>
        <v>5</v>
      </c>
      <c r="W1803" t="str">
        <f>IF(周转筐出入库明细!$C1804="","",周转筐出入库明细!$C1804)</f>
        <v/>
      </c>
      <c r="X1803">
        <f t="shared" si="597"/>
        <v>0</v>
      </c>
      <c r="Y1803">
        <f t="shared" si="598"/>
        <v>12</v>
      </c>
      <c r="CP1803">
        <f>IF(包装物料出入库明细!$D1803="",0,1)</f>
        <v>0</v>
      </c>
      <c r="CQ1803">
        <f t="shared" si="599"/>
        <v>37</v>
      </c>
      <c r="CS1803" t="str">
        <f>IF(OR(周转筐出入库明细!$C1804="",周转筐出入库明细!$F1804&lt;&gt;"采购入库"),"",周转筐出入库明细!$C1804)</f>
        <v/>
      </c>
      <c r="CT1803">
        <f t="shared" si="600"/>
        <v>0</v>
      </c>
      <c r="CU1803">
        <f t="shared" si="601"/>
        <v>1</v>
      </c>
    </row>
    <row r="1804" spans="1:99">
      <c r="A1804" t="str">
        <f>IF(包装物料出入库明细!$E1804="","",包装物料出入库明细!$E1804)</f>
        <v/>
      </c>
      <c r="B1804">
        <f t="shared" si="591"/>
        <v>0</v>
      </c>
      <c r="C1804">
        <f t="shared" si="592"/>
        <v>7</v>
      </c>
      <c r="D1804" t="str">
        <f>IF(包装物料出入库明细!$E1804="","",包装物料出入库明细!$F1804)</f>
        <v/>
      </c>
      <c r="E1804" t="str">
        <f>IF(包装物料出入库明细!$E1804="","",包装物料出入库明细!$G1804)</f>
        <v/>
      </c>
      <c r="K1804" t="str">
        <f>IF(包装物料出入库明细!$D1804="","",包装物料出入库明细!$D1804)</f>
        <v/>
      </c>
      <c r="L1804">
        <f t="shared" si="593"/>
        <v>0</v>
      </c>
      <c r="M1804">
        <f t="shared" si="594"/>
        <v>9</v>
      </c>
      <c r="Q1804" t="str">
        <f>IF(周转筐出入库明细!$D1805="","",周转筐出入库明细!$D1805)</f>
        <v/>
      </c>
      <c r="R1804">
        <f t="shared" si="595"/>
        <v>0</v>
      </c>
      <c r="S1804">
        <f t="shared" si="596"/>
        <v>5</v>
      </c>
      <c r="W1804" t="str">
        <f>IF(周转筐出入库明细!$C1805="","",周转筐出入库明细!$C1805)</f>
        <v/>
      </c>
      <c r="X1804">
        <f t="shared" si="597"/>
        <v>0</v>
      </c>
      <c r="Y1804">
        <f t="shared" si="598"/>
        <v>12</v>
      </c>
      <c r="CP1804">
        <f>IF(包装物料出入库明细!$D1804="",0,1)</f>
        <v>0</v>
      </c>
      <c r="CQ1804">
        <f t="shared" si="599"/>
        <v>37</v>
      </c>
      <c r="CS1804" t="str">
        <f>IF(OR(周转筐出入库明细!$C1805="",周转筐出入库明细!$F1805&lt;&gt;"采购入库"),"",周转筐出入库明细!$C1805)</f>
        <v/>
      </c>
      <c r="CT1804">
        <f t="shared" si="600"/>
        <v>0</v>
      </c>
      <c r="CU1804">
        <f t="shared" si="601"/>
        <v>1</v>
      </c>
    </row>
    <row r="1805" spans="1:99">
      <c r="A1805" t="str">
        <f>IF(包装物料出入库明细!$E1805="","",包装物料出入库明细!$E1805)</f>
        <v/>
      </c>
      <c r="B1805">
        <f t="shared" si="591"/>
        <v>0</v>
      </c>
      <c r="C1805">
        <f t="shared" si="592"/>
        <v>7</v>
      </c>
      <c r="D1805" t="str">
        <f>IF(包装物料出入库明细!$E1805="","",包装物料出入库明细!$F1805)</f>
        <v/>
      </c>
      <c r="E1805" t="str">
        <f>IF(包装物料出入库明细!$E1805="","",包装物料出入库明细!$G1805)</f>
        <v/>
      </c>
      <c r="K1805" t="str">
        <f>IF(包装物料出入库明细!$D1805="","",包装物料出入库明细!$D1805)</f>
        <v/>
      </c>
      <c r="L1805">
        <f t="shared" si="593"/>
        <v>0</v>
      </c>
      <c r="M1805">
        <f t="shared" si="594"/>
        <v>9</v>
      </c>
      <c r="Q1805" t="str">
        <f>IF(周转筐出入库明细!$D1806="","",周转筐出入库明细!$D1806)</f>
        <v/>
      </c>
      <c r="R1805">
        <f t="shared" si="595"/>
        <v>0</v>
      </c>
      <c r="S1805">
        <f t="shared" si="596"/>
        <v>5</v>
      </c>
      <c r="W1805" t="str">
        <f>IF(周转筐出入库明细!$C1806="","",周转筐出入库明细!$C1806)</f>
        <v/>
      </c>
      <c r="X1805">
        <f t="shared" si="597"/>
        <v>0</v>
      </c>
      <c r="Y1805">
        <f t="shared" si="598"/>
        <v>12</v>
      </c>
      <c r="CP1805">
        <f>IF(包装物料出入库明细!$D1805="",0,1)</f>
        <v>0</v>
      </c>
      <c r="CQ1805">
        <f t="shared" si="599"/>
        <v>37</v>
      </c>
      <c r="CS1805" t="str">
        <f>IF(OR(周转筐出入库明细!$C1806="",周转筐出入库明细!$F1806&lt;&gt;"采购入库"),"",周转筐出入库明细!$C1806)</f>
        <v/>
      </c>
      <c r="CT1805">
        <f t="shared" si="600"/>
        <v>0</v>
      </c>
      <c r="CU1805">
        <f t="shared" si="601"/>
        <v>1</v>
      </c>
    </row>
    <row r="1806" spans="1:99">
      <c r="A1806" t="str">
        <f>IF(包装物料出入库明细!$E1806="","",包装物料出入库明细!$E1806)</f>
        <v/>
      </c>
      <c r="B1806">
        <f t="shared" si="591"/>
        <v>0</v>
      </c>
      <c r="C1806">
        <f t="shared" si="592"/>
        <v>7</v>
      </c>
      <c r="D1806" t="str">
        <f>IF(包装物料出入库明细!$E1806="","",包装物料出入库明细!$F1806)</f>
        <v/>
      </c>
      <c r="E1806" t="str">
        <f>IF(包装物料出入库明细!$E1806="","",包装物料出入库明细!$G1806)</f>
        <v/>
      </c>
      <c r="K1806" t="str">
        <f>IF(包装物料出入库明细!$D1806="","",包装物料出入库明细!$D1806)</f>
        <v/>
      </c>
      <c r="L1806">
        <f t="shared" si="593"/>
        <v>0</v>
      </c>
      <c r="M1806">
        <f t="shared" si="594"/>
        <v>9</v>
      </c>
      <c r="Q1806" t="str">
        <f>IF(周转筐出入库明细!$D1807="","",周转筐出入库明细!$D1807)</f>
        <v/>
      </c>
      <c r="R1806">
        <f t="shared" si="595"/>
        <v>0</v>
      </c>
      <c r="S1806">
        <f t="shared" si="596"/>
        <v>5</v>
      </c>
      <c r="W1806" t="str">
        <f>IF(周转筐出入库明细!$C1807="","",周转筐出入库明细!$C1807)</f>
        <v/>
      </c>
      <c r="X1806">
        <f t="shared" si="597"/>
        <v>0</v>
      </c>
      <c r="Y1806">
        <f t="shared" si="598"/>
        <v>12</v>
      </c>
      <c r="CP1806">
        <f>IF(包装物料出入库明细!$D1806="",0,1)</f>
        <v>0</v>
      </c>
      <c r="CQ1806">
        <f t="shared" si="599"/>
        <v>37</v>
      </c>
      <c r="CS1806" t="str">
        <f>IF(OR(周转筐出入库明细!$C1807="",周转筐出入库明细!$F1807&lt;&gt;"采购入库"),"",周转筐出入库明细!$C1807)</f>
        <v/>
      </c>
      <c r="CT1806">
        <f t="shared" si="600"/>
        <v>0</v>
      </c>
      <c r="CU1806">
        <f t="shared" si="601"/>
        <v>1</v>
      </c>
    </row>
    <row r="1807" spans="1:99">
      <c r="A1807" t="str">
        <f>IF(包装物料出入库明细!$E1807="","",包装物料出入库明细!$E1807)</f>
        <v/>
      </c>
      <c r="B1807">
        <f t="shared" si="591"/>
        <v>0</v>
      </c>
      <c r="C1807">
        <f t="shared" si="592"/>
        <v>7</v>
      </c>
      <c r="D1807" t="str">
        <f>IF(包装物料出入库明细!$E1807="","",包装物料出入库明细!$F1807)</f>
        <v/>
      </c>
      <c r="E1807" t="str">
        <f>IF(包装物料出入库明细!$E1807="","",包装物料出入库明细!$G1807)</f>
        <v/>
      </c>
      <c r="K1807" t="str">
        <f>IF(包装物料出入库明细!$D1807="","",包装物料出入库明细!$D1807)</f>
        <v/>
      </c>
      <c r="L1807">
        <f t="shared" si="593"/>
        <v>0</v>
      </c>
      <c r="M1807">
        <f t="shared" si="594"/>
        <v>9</v>
      </c>
      <c r="Q1807" t="str">
        <f>IF(周转筐出入库明细!$D1808="","",周转筐出入库明细!$D1808)</f>
        <v/>
      </c>
      <c r="R1807">
        <f t="shared" si="595"/>
        <v>0</v>
      </c>
      <c r="S1807">
        <f t="shared" si="596"/>
        <v>5</v>
      </c>
      <c r="W1807" t="str">
        <f>IF(周转筐出入库明细!$C1808="","",周转筐出入库明细!$C1808)</f>
        <v/>
      </c>
      <c r="X1807">
        <f t="shared" si="597"/>
        <v>0</v>
      </c>
      <c r="Y1807">
        <f t="shared" si="598"/>
        <v>12</v>
      </c>
      <c r="CP1807">
        <f>IF(包装物料出入库明细!$D1807="",0,1)</f>
        <v>0</v>
      </c>
      <c r="CQ1807">
        <f t="shared" si="599"/>
        <v>37</v>
      </c>
      <c r="CS1807" t="str">
        <f>IF(OR(周转筐出入库明细!$C1808="",周转筐出入库明细!$F1808&lt;&gt;"采购入库"),"",周转筐出入库明细!$C1808)</f>
        <v/>
      </c>
      <c r="CT1807">
        <f t="shared" si="600"/>
        <v>0</v>
      </c>
      <c r="CU1807">
        <f t="shared" si="601"/>
        <v>1</v>
      </c>
    </row>
    <row r="1808" spans="1:99">
      <c r="A1808" t="str">
        <f>IF(包装物料出入库明细!$E1808="","",包装物料出入库明细!$E1808)</f>
        <v/>
      </c>
      <c r="B1808">
        <f t="shared" si="591"/>
        <v>0</v>
      </c>
      <c r="C1808">
        <f t="shared" si="592"/>
        <v>7</v>
      </c>
      <c r="D1808" t="str">
        <f>IF(包装物料出入库明细!$E1808="","",包装物料出入库明细!$F1808)</f>
        <v/>
      </c>
      <c r="E1808" t="str">
        <f>IF(包装物料出入库明细!$E1808="","",包装物料出入库明细!$G1808)</f>
        <v/>
      </c>
      <c r="K1808" t="str">
        <f>IF(包装物料出入库明细!$D1808="","",包装物料出入库明细!$D1808)</f>
        <v/>
      </c>
      <c r="L1808">
        <f t="shared" si="593"/>
        <v>0</v>
      </c>
      <c r="M1808">
        <f t="shared" si="594"/>
        <v>9</v>
      </c>
      <c r="Q1808" t="str">
        <f>IF(周转筐出入库明细!$D1809="","",周转筐出入库明细!$D1809)</f>
        <v/>
      </c>
      <c r="R1808">
        <f t="shared" si="595"/>
        <v>0</v>
      </c>
      <c r="S1808">
        <f t="shared" si="596"/>
        <v>5</v>
      </c>
      <c r="W1808" t="str">
        <f>IF(周转筐出入库明细!$C1809="","",周转筐出入库明细!$C1809)</f>
        <v/>
      </c>
      <c r="X1808">
        <f t="shared" si="597"/>
        <v>0</v>
      </c>
      <c r="Y1808">
        <f t="shared" si="598"/>
        <v>12</v>
      </c>
      <c r="CP1808">
        <f>IF(包装物料出入库明细!$D1808="",0,1)</f>
        <v>0</v>
      </c>
      <c r="CQ1808">
        <f t="shared" si="599"/>
        <v>37</v>
      </c>
      <c r="CS1808" t="str">
        <f>IF(OR(周转筐出入库明细!$C1809="",周转筐出入库明细!$F1809&lt;&gt;"采购入库"),"",周转筐出入库明细!$C1809)</f>
        <v/>
      </c>
      <c r="CT1808">
        <f t="shared" si="600"/>
        <v>0</v>
      </c>
      <c r="CU1808">
        <f t="shared" si="601"/>
        <v>1</v>
      </c>
    </row>
    <row r="1809" spans="1:99">
      <c r="A1809" t="str">
        <f>IF(包装物料出入库明细!$E1809="","",包装物料出入库明细!$E1809)</f>
        <v/>
      </c>
      <c r="B1809">
        <f t="shared" si="591"/>
        <v>0</v>
      </c>
      <c r="C1809">
        <f t="shared" si="592"/>
        <v>7</v>
      </c>
      <c r="D1809" t="str">
        <f>IF(包装物料出入库明细!$E1809="","",包装物料出入库明细!$F1809)</f>
        <v/>
      </c>
      <c r="E1809" t="str">
        <f>IF(包装物料出入库明细!$E1809="","",包装物料出入库明细!$G1809)</f>
        <v/>
      </c>
      <c r="K1809" t="str">
        <f>IF(包装物料出入库明细!$D1809="","",包装物料出入库明细!$D1809)</f>
        <v/>
      </c>
      <c r="L1809">
        <f t="shared" si="593"/>
        <v>0</v>
      </c>
      <c r="M1809">
        <f t="shared" si="594"/>
        <v>9</v>
      </c>
      <c r="Q1809" t="str">
        <f>IF(周转筐出入库明细!$D1810="","",周转筐出入库明细!$D1810)</f>
        <v/>
      </c>
      <c r="R1809">
        <f t="shared" si="595"/>
        <v>0</v>
      </c>
      <c r="S1809">
        <f t="shared" si="596"/>
        <v>5</v>
      </c>
      <c r="W1809" t="str">
        <f>IF(周转筐出入库明细!$C1810="","",周转筐出入库明细!$C1810)</f>
        <v/>
      </c>
      <c r="X1809">
        <f t="shared" si="597"/>
        <v>0</v>
      </c>
      <c r="Y1809">
        <f t="shared" si="598"/>
        <v>12</v>
      </c>
      <c r="CP1809">
        <f>IF(包装物料出入库明细!$D1809="",0,1)</f>
        <v>0</v>
      </c>
      <c r="CQ1809">
        <f t="shared" si="599"/>
        <v>37</v>
      </c>
      <c r="CS1809" t="str">
        <f>IF(OR(周转筐出入库明细!$C1810="",周转筐出入库明细!$F1810&lt;&gt;"采购入库"),"",周转筐出入库明细!$C1810)</f>
        <v/>
      </c>
      <c r="CT1809">
        <f t="shared" si="600"/>
        <v>0</v>
      </c>
      <c r="CU1809">
        <f t="shared" si="601"/>
        <v>1</v>
      </c>
    </row>
    <row r="1810" spans="1:99">
      <c r="A1810" t="str">
        <f>IF(包装物料出入库明细!$E1810="","",包装物料出入库明细!$E1810)</f>
        <v/>
      </c>
      <c r="B1810">
        <f t="shared" si="591"/>
        <v>0</v>
      </c>
      <c r="C1810">
        <f t="shared" si="592"/>
        <v>7</v>
      </c>
      <c r="D1810" t="str">
        <f>IF(包装物料出入库明细!$E1810="","",包装物料出入库明细!$F1810)</f>
        <v/>
      </c>
      <c r="E1810" t="str">
        <f>IF(包装物料出入库明细!$E1810="","",包装物料出入库明细!$G1810)</f>
        <v/>
      </c>
      <c r="K1810" t="str">
        <f>IF(包装物料出入库明细!$D1810="","",包装物料出入库明细!$D1810)</f>
        <v/>
      </c>
      <c r="L1810">
        <f t="shared" si="593"/>
        <v>0</v>
      </c>
      <c r="M1810">
        <f t="shared" si="594"/>
        <v>9</v>
      </c>
      <c r="Q1810" t="str">
        <f>IF(周转筐出入库明细!$D1811="","",周转筐出入库明细!$D1811)</f>
        <v/>
      </c>
      <c r="R1810">
        <f t="shared" si="595"/>
        <v>0</v>
      </c>
      <c r="S1810">
        <f t="shared" si="596"/>
        <v>5</v>
      </c>
      <c r="W1810" t="str">
        <f>IF(周转筐出入库明细!$C1811="","",周转筐出入库明细!$C1811)</f>
        <v/>
      </c>
      <c r="X1810">
        <f t="shared" si="597"/>
        <v>0</v>
      </c>
      <c r="Y1810">
        <f t="shared" si="598"/>
        <v>12</v>
      </c>
      <c r="CP1810">
        <f>IF(包装物料出入库明细!$D1810="",0,1)</f>
        <v>0</v>
      </c>
      <c r="CQ1810">
        <f t="shared" si="599"/>
        <v>37</v>
      </c>
      <c r="CS1810" t="str">
        <f>IF(OR(周转筐出入库明细!$C1811="",周转筐出入库明细!$F1811&lt;&gt;"采购入库"),"",周转筐出入库明细!$C1811)</f>
        <v/>
      </c>
      <c r="CT1810">
        <f t="shared" si="600"/>
        <v>0</v>
      </c>
      <c r="CU1810">
        <f t="shared" si="601"/>
        <v>1</v>
      </c>
    </row>
    <row r="1811" spans="1:99">
      <c r="A1811" t="str">
        <f>IF(包装物料出入库明细!$E1811="","",包装物料出入库明细!$E1811)</f>
        <v/>
      </c>
      <c r="B1811">
        <f t="shared" si="591"/>
        <v>0</v>
      </c>
      <c r="C1811">
        <f t="shared" si="592"/>
        <v>7</v>
      </c>
      <c r="D1811" t="str">
        <f>IF(包装物料出入库明细!$E1811="","",包装物料出入库明细!$F1811)</f>
        <v/>
      </c>
      <c r="E1811" t="str">
        <f>IF(包装物料出入库明细!$E1811="","",包装物料出入库明细!$G1811)</f>
        <v/>
      </c>
      <c r="K1811" t="str">
        <f>IF(包装物料出入库明细!$D1811="","",包装物料出入库明细!$D1811)</f>
        <v/>
      </c>
      <c r="L1811">
        <f t="shared" si="593"/>
        <v>0</v>
      </c>
      <c r="M1811">
        <f t="shared" si="594"/>
        <v>9</v>
      </c>
      <c r="Q1811" t="str">
        <f>IF(周转筐出入库明细!$D1812="","",周转筐出入库明细!$D1812)</f>
        <v/>
      </c>
      <c r="R1811">
        <f t="shared" si="595"/>
        <v>0</v>
      </c>
      <c r="S1811">
        <f t="shared" si="596"/>
        <v>5</v>
      </c>
      <c r="W1811" t="str">
        <f>IF(周转筐出入库明细!$C1812="","",周转筐出入库明细!$C1812)</f>
        <v/>
      </c>
      <c r="X1811">
        <f t="shared" si="597"/>
        <v>0</v>
      </c>
      <c r="Y1811">
        <f t="shared" si="598"/>
        <v>12</v>
      </c>
      <c r="CP1811">
        <f>IF(包装物料出入库明细!$D1811="",0,1)</f>
        <v>0</v>
      </c>
      <c r="CQ1811">
        <f t="shared" si="599"/>
        <v>37</v>
      </c>
      <c r="CS1811" t="str">
        <f>IF(OR(周转筐出入库明细!$C1812="",周转筐出入库明细!$F1812&lt;&gt;"采购入库"),"",周转筐出入库明细!$C1812)</f>
        <v/>
      </c>
      <c r="CT1811">
        <f t="shared" si="600"/>
        <v>0</v>
      </c>
      <c r="CU1811">
        <f t="shared" si="601"/>
        <v>1</v>
      </c>
    </row>
    <row r="1812" spans="1:99">
      <c r="A1812" t="str">
        <f>IF(包装物料出入库明细!$E1812="","",包装物料出入库明细!$E1812)</f>
        <v/>
      </c>
      <c r="B1812">
        <f t="shared" si="591"/>
        <v>0</v>
      </c>
      <c r="C1812">
        <f t="shared" si="592"/>
        <v>7</v>
      </c>
      <c r="D1812" t="str">
        <f>IF(包装物料出入库明细!$E1812="","",包装物料出入库明细!$F1812)</f>
        <v/>
      </c>
      <c r="E1812" t="str">
        <f>IF(包装物料出入库明细!$E1812="","",包装物料出入库明细!$G1812)</f>
        <v/>
      </c>
      <c r="K1812" t="str">
        <f>IF(包装物料出入库明细!$D1812="","",包装物料出入库明细!$D1812)</f>
        <v/>
      </c>
      <c r="L1812">
        <f t="shared" si="593"/>
        <v>0</v>
      </c>
      <c r="M1812">
        <f t="shared" si="594"/>
        <v>9</v>
      </c>
      <c r="Q1812" t="str">
        <f>IF(周转筐出入库明细!$D1813="","",周转筐出入库明细!$D1813)</f>
        <v/>
      </c>
      <c r="R1812">
        <f t="shared" si="595"/>
        <v>0</v>
      </c>
      <c r="S1812">
        <f t="shared" si="596"/>
        <v>5</v>
      </c>
      <c r="W1812" t="str">
        <f>IF(周转筐出入库明细!$C1813="","",周转筐出入库明细!$C1813)</f>
        <v/>
      </c>
      <c r="X1812">
        <f t="shared" si="597"/>
        <v>0</v>
      </c>
      <c r="Y1812">
        <f t="shared" si="598"/>
        <v>12</v>
      </c>
      <c r="CP1812">
        <f>IF(包装物料出入库明细!$D1812="",0,1)</f>
        <v>0</v>
      </c>
      <c r="CQ1812">
        <f t="shared" si="599"/>
        <v>37</v>
      </c>
      <c r="CS1812" t="str">
        <f>IF(OR(周转筐出入库明细!$C1813="",周转筐出入库明细!$F1813&lt;&gt;"采购入库"),"",周转筐出入库明细!$C1813)</f>
        <v/>
      </c>
      <c r="CT1812">
        <f t="shared" si="600"/>
        <v>0</v>
      </c>
      <c r="CU1812">
        <f t="shared" si="601"/>
        <v>1</v>
      </c>
    </row>
    <row r="1813" spans="1:99">
      <c r="A1813" t="str">
        <f>IF(包装物料出入库明细!$E1813="","",包装物料出入库明细!$E1813)</f>
        <v/>
      </c>
      <c r="B1813">
        <f t="shared" si="591"/>
        <v>0</v>
      </c>
      <c r="C1813">
        <f t="shared" si="592"/>
        <v>7</v>
      </c>
      <c r="D1813" t="str">
        <f>IF(包装物料出入库明细!$E1813="","",包装物料出入库明细!$F1813)</f>
        <v/>
      </c>
      <c r="E1813" t="str">
        <f>IF(包装物料出入库明细!$E1813="","",包装物料出入库明细!$G1813)</f>
        <v/>
      </c>
      <c r="K1813" t="str">
        <f>IF(包装物料出入库明细!$D1813="","",包装物料出入库明细!$D1813)</f>
        <v/>
      </c>
      <c r="L1813">
        <f t="shared" si="593"/>
        <v>0</v>
      </c>
      <c r="M1813">
        <f t="shared" si="594"/>
        <v>9</v>
      </c>
      <c r="Q1813" t="str">
        <f>IF(周转筐出入库明细!$D1814="","",周转筐出入库明细!$D1814)</f>
        <v/>
      </c>
      <c r="R1813">
        <f t="shared" si="595"/>
        <v>0</v>
      </c>
      <c r="S1813">
        <f t="shared" si="596"/>
        <v>5</v>
      </c>
      <c r="W1813" t="str">
        <f>IF(周转筐出入库明细!$C1814="","",周转筐出入库明细!$C1814)</f>
        <v/>
      </c>
      <c r="X1813">
        <f t="shared" si="597"/>
        <v>0</v>
      </c>
      <c r="Y1813">
        <f t="shared" si="598"/>
        <v>12</v>
      </c>
      <c r="CP1813">
        <f>IF(包装物料出入库明细!$D1813="",0,1)</f>
        <v>0</v>
      </c>
      <c r="CQ1813">
        <f t="shared" si="599"/>
        <v>37</v>
      </c>
      <c r="CS1813" t="str">
        <f>IF(OR(周转筐出入库明细!$C1814="",周转筐出入库明细!$F1814&lt;&gt;"采购入库"),"",周转筐出入库明细!$C1814)</f>
        <v/>
      </c>
      <c r="CT1813">
        <f t="shared" si="600"/>
        <v>0</v>
      </c>
      <c r="CU1813">
        <f t="shared" si="601"/>
        <v>1</v>
      </c>
    </row>
    <row r="1814" spans="1:99">
      <c r="A1814" t="str">
        <f>IF(包装物料出入库明细!$E1814="","",包装物料出入库明细!$E1814)</f>
        <v/>
      </c>
      <c r="B1814">
        <f t="shared" si="591"/>
        <v>0</v>
      </c>
      <c r="C1814">
        <f t="shared" si="592"/>
        <v>7</v>
      </c>
      <c r="D1814" t="str">
        <f>IF(包装物料出入库明细!$E1814="","",包装物料出入库明细!$F1814)</f>
        <v/>
      </c>
      <c r="E1814" t="str">
        <f>IF(包装物料出入库明细!$E1814="","",包装物料出入库明细!$G1814)</f>
        <v/>
      </c>
      <c r="K1814" t="str">
        <f>IF(包装物料出入库明细!$D1814="","",包装物料出入库明细!$D1814)</f>
        <v/>
      </c>
      <c r="L1814">
        <f t="shared" si="593"/>
        <v>0</v>
      </c>
      <c r="M1814">
        <f t="shared" si="594"/>
        <v>9</v>
      </c>
      <c r="Q1814" t="str">
        <f>IF(周转筐出入库明细!$D1815="","",周转筐出入库明细!$D1815)</f>
        <v/>
      </c>
      <c r="R1814">
        <f t="shared" si="595"/>
        <v>0</v>
      </c>
      <c r="S1814">
        <f t="shared" si="596"/>
        <v>5</v>
      </c>
      <c r="W1814" t="str">
        <f>IF(周转筐出入库明细!$C1815="","",周转筐出入库明细!$C1815)</f>
        <v/>
      </c>
      <c r="X1814">
        <f t="shared" si="597"/>
        <v>0</v>
      </c>
      <c r="Y1814">
        <f t="shared" si="598"/>
        <v>12</v>
      </c>
      <c r="CP1814">
        <f>IF(包装物料出入库明细!$D1814="",0,1)</f>
        <v>0</v>
      </c>
      <c r="CQ1814">
        <f t="shared" si="599"/>
        <v>37</v>
      </c>
      <c r="CS1814" t="str">
        <f>IF(OR(周转筐出入库明细!$C1815="",周转筐出入库明细!$F1815&lt;&gt;"采购入库"),"",周转筐出入库明细!$C1815)</f>
        <v/>
      </c>
      <c r="CT1814">
        <f t="shared" si="600"/>
        <v>0</v>
      </c>
      <c r="CU1814">
        <f t="shared" si="601"/>
        <v>1</v>
      </c>
    </row>
    <row r="1815" spans="1:99">
      <c r="A1815" t="str">
        <f>IF(包装物料出入库明细!$E1815="","",包装物料出入库明细!$E1815)</f>
        <v/>
      </c>
      <c r="B1815">
        <f t="shared" si="591"/>
        <v>0</v>
      </c>
      <c r="C1815">
        <f t="shared" si="592"/>
        <v>7</v>
      </c>
      <c r="D1815" t="str">
        <f>IF(包装物料出入库明细!$E1815="","",包装物料出入库明细!$F1815)</f>
        <v/>
      </c>
      <c r="E1815" t="str">
        <f>IF(包装物料出入库明细!$E1815="","",包装物料出入库明细!$G1815)</f>
        <v/>
      </c>
      <c r="K1815" t="str">
        <f>IF(包装物料出入库明细!$D1815="","",包装物料出入库明细!$D1815)</f>
        <v/>
      </c>
      <c r="L1815">
        <f t="shared" si="593"/>
        <v>0</v>
      </c>
      <c r="M1815">
        <f t="shared" si="594"/>
        <v>9</v>
      </c>
      <c r="Q1815" t="str">
        <f>IF(周转筐出入库明细!$D1816="","",周转筐出入库明细!$D1816)</f>
        <v/>
      </c>
      <c r="R1815">
        <f t="shared" si="595"/>
        <v>0</v>
      </c>
      <c r="S1815">
        <f t="shared" si="596"/>
        <v>5</v>
      </c>
      <c r="W1815" t="str">
        <f>IF(周转筐出入库明细!$C1816="","",周转筐出入库明细!$C1816)</f>
        <v/>
      </c>
      <c r="X1815">
        <f t="shared" si="597"/>
        <v>0</v>
      </c>
      <c r="Y1815">
        <f t="shared" si="598"/>
        <v>12</v>
      </c>
      <c r="CP1815">
        <f>IF(包装物料出入库明细!$D1815="",0,1)</f>
        <v>0</v>
      </c>
      <c r="CQ1815">
        <f t="shared" si="599"/>
        <v>37</v>
      </c>
      <c r="CS1815" t="str">
        <f>IF(OR(周转筐出入库明细!$C1816="",周转筐出入库明细!$F1816&lt;&gt;"采购入库"),"",周转筐出入库明细!$C1816)</f>
        <v/>
      </c>
      <c r="CT1815">
        <f t="shared" si="600"/>
        <v>0</v>
      </c>
      <c r="CU1815">
        <f t="shared" si="601"/>
        <v>1</v>
      </c>
    </row>
    <row r="1816" spans="1:99">
      <c r="A1816" t="str">
        <f>IF(包装物料出入库明细!$E1816="","",包装物料出入库明细!$E1816)</f>
        <v/>
      </c>
      <c r="B1816">
        <f t="shared" si="591"/>
        <v>0</v>
      </c>
      <c r="C1816">
        <f t="shared" si="592"/>
        <v>7</v>
      </c>
      <c r="D1816" t="str">
        <f>IF(包装物料出入库明细!$E1816="","",包装物料出入库明细!$F1816)</f>
        <v/>
      </c>
      <c r="E1816" t="str">
        <f>IF(包装物料出入库明细!$E1816="","",包装物料出入库明细!$G1816)</f>
        <v/>
      </c>
      <c r="K1816" t="str">
        <f>IF(包装物料出入库明细!$D1816="","",包装物料出入库明细!$D1816)</f>
        <v/>
      </c>
      <c r="L1816">
        <f t="shared" si="593"/>
        <v>0</v>
      </c>
      <c r="M1816">
        <f t="shared" si="594"/>
        <v>9</v>
      </c>
      <c r="Q1816" t="str">
        <f>IF(周转筐出入库明细!$D1817="","",周转筐出入库明细!$D1817)</f>
        <v/>
      </c>
      <c r="R1816">
        <f t="shared" si="595"/>
        <v>0</v>
      </c>
      <c r="S1816">
        <f t="shared" si="596"/>
        <v>5</v>
      </c>
      <c r="W1816" t="str">
        <f>IF(周转筐出入库明细!$C1817="","",周转筐出入库明细!$C1817)</f>
        <v/>
      </c>
      <c r="X1816">
        <f t="shared" si="597"/>
        <v>0</v>
      </c>
      <c r="Y1816">
        <f t="shared" si="598"/>
        <v>12</v>
      </c>
      <c r="CP1816">
        <f>IF(包装物料出入库明细!$D1816="",0,1)</f>
        <v>0</v>
      </c>
      <c r="CQ1816">
        <f t="shared" si="599"/>
        <v>37</v>
      </c>
      <c r="CS1816" t="str">
        <f>IF(OR(周转筐出入库明细!$C1817="",周转筐出入库明细!$F1817&lt;&gt;"采购入库"),"",周转筐出入库明细!$C1817)</f>
        <v/>
      </c>
      <c r="CT1816">
        <f t="shared" si="600"/>
        <v>0</v>
      </c>
      <c r="CU1816">
        <f t="shared" si="601"/>
        <v>1</v>
      </c>
    </row>
    <row r="1817" spans="1:99">
      <c r="A1817" t="str">
        <f>IF(包装物料出入库明细!$E1817="","",包装物料出入库明细!$E1817)</f>
        <v/>
      </c>
      <c r="B1817">
        <f t="shared" si="591"/>
        <v>0</v>
      </c>
      <c r="C1817">
        <f t="shared" si="592"/>
        <v>7</v>
      </c>
      <c r="D1817" t="str">
        <f>IF(包装物料出入库明细!$E1817="","",包装物料出入库明细!$F1817)</f>
        <v/>
      </c>
      <c r="E1817" t="str">
        <f>IF(包装物料出入库明细!$E1817="","",包装物料出入库明细!$G1817)</f>
        <v/>
      </c>
      <c r="K1817" t="str">
        <f>IF(包装物料出入库明细!$D1817="","",包装物料出入库明细!$D1817)</f>
        <v/>
      </c>
      <c r="L1817">
        <f t="shared" si="593"/>
        <v>0</v>
      </c>
      <c r="M1817">
        <f t="shared" si="594"/>
        <v>9</v>
      </c>
      <c r="Q1817" t="str">
        <f>IF(周转筐出入库明细!$D1818="","",周转筐出入库明细!$D1818)</f>
        <v/>
      </c>
      <c r="R1817">
        <f t="shared" si="595"/>
        <v>0</v>
      </c>
      <c r="S1817">
        <f t="shared" si="596"/>
        <v>5</v>
      </c>
      <c r="W1817" t="str">
        <f>IF(周转筐出入库明细!$C1818="","",周转筐出入库明细!$C1818)</f>
        <v/>
      </c>
      <c r="X1817">
        <f t="shared" si="597"/>
        <v>0</v>
      </c>
      <c r="Y1817">
        <f t="shared" si="598"/>
        <v>12</v>
      </c>
      <c r="CP1817">
        <f>IF(包装物料出入库明细!$D1817="",0,1)</f>
        <v>0</v>
      </c>
      <c r="CQ1817">
        <f t="shared" si="599"/>
        <v>37</v>
      </c>
      <c r="CS1817" t="str">
        <f>IF(OR(周转筐出入库明细!$C1818="",周转筐出入库明细!$F1818&lt;&gt;"采购入库"),"",周转筐出入库明细!$C1818)</f>
        <v/>
      </c>
      <c r="CT1817">
        <f t="shared" si="600"/>
        <v>0</v>
      </c>
      <c r="CU1817">
        <f t="shared" si="601"/>
        <v>1</v>
      </c>
    </row>
    <row r="1818" spans="1:99">
      <c r="A1818" t="str">
        <f>IF(包装物料出入库明细!$E1818="","",包装物料出入库明细!$E1818)</f>
        <v/>
      </c>
      <c r="B1818">
        <f t="shared" si="591"/>
        <v>0</v>
      </c>
      <c r="C1818">
        <f t="shared" si="592"/>
        <v>7</v>
      </c>
      <c r="D1818" t="str">
        <f>IF(包装物料出入库明细!$E1818="","",包装物料出入库明细!$F1818)</f>
        <v/>
      </c>
      <c r="E1818" t="str">
        <f>IF(包装物料出入库明细!$E1818="","",包装物料出入库明细!$G1818)</f>
        <v/>
      </c>
      <c r="K1818" t="str">
        <f>IF(包装物料出入库明细!$D1818="","",包装物料出入库明细!$D1818)</f>
        <v/>
      </c>
      <c r="L1818">
        <f t="shared" si="593"/>
        <v>0</v>
      </c>
      <c r="M1818">
        <f t="shared" si="594"/>
        <v>9</v>
      </c>
      <c r="Q1818" t="str">
        <f>IF(周转筐出入库明细!$D1819="","",周转筐出入库明细!$D1819)</f>
        <v/>
      </c>
      <c r="R1818">
        <f t="shared" si="595"/>
        <v>0</v>
      </c>
      <c r="S1818">
        <f t="shared" si="596"/>
        <v>5</v>
      </c>
      <c r="W1818" t="str">
        <f>IF(周转筐出入库明细!$C1819="","",周转筐出入库明细!$C1819)</f>
        <v/>
      </c>
      <c r="X1818">
        <f t="shared" si="597"/>
        <v>0</v>
      </c>
      <c r="Y1818">
        <f t="shared" si="598"/>
        <v>12</v>
      </c>
      <c r="CP1818">
        <f>IF(包装物料出入库明细!$D1818="",0,1)</f>
        <v>0</v>
      </c>
      <c r="CQ1818">
        <f t="shared" si="599"/>
        <v>37</v>
      </c>
      <c r="CS1818" t="str">
        <f>IF(OR(周转筐出入库明细!$C1819="",周转筐出入库明细!$F1819&lt;&gt;"采购入库"),"",周转筐出入库明细!$C1819)</f>
        <v/>
      </c>
      <c r="CT1818">
        <f t="shared" si="600"/>
        <v>0</v>
      </c>
      <c r="CU1818">
        <f t="shared" si="601"/>
        <v>1</v>
      </c>
    </row>
    <row r="1819" spans="1:99">
      <c r="A1819" t="str">
        <f>IF(包装物料出入库明细!$E1819="","",包装物料出入库明细!$E1819)</f>
        <v/>
      </c>
      <c r="B1819">
        <f t="shared" si="591"/>
        <v>0</v>
      </c>
      <c r="C1819">
        <f t="shared" si="592"/>
        <v>7</v>
      </c>
      <c r="D1819" t="str">
        <f>IF(包装物料出入库明细!$E1819="","",包装物料出入库明细!$F1819)</f>
        <v/>
      </c>
      <c r="E1819" t="str">
        <f>IF(包装物料出入库明细!$E1819="","",包装物料出入库明细!$G1819)</f>
        <v/>
      </c>
      <c r="K1819" t="str">
        <f>IF(包装物料出入库明细!$D1819="","",包装物料出入库明细!$D1819)</f>
        <v/>
      </c>
      <c r="L1819">
        <f t="shared" si="593"/>
        <v>0</v>
      </c>
      <c r="M1819">
        <f t="shared" si="594"/>
        <v>9</v>
      </c>
      <c r="Q1819" t="str">
        <f>IF(周转筐出入库明细!$D1820="","",周转筐出入库明细!$D1820)</f>
        <v/>
      </c>
      <c r="R1819">
        <f t="shared" si="595"/>
        <v>0</v>
      </c>
      <c r="S1819">
        <f t="shared" si="596"/>
        <v>5</v>
      </c>
      <c r="W1819" t="str">
        <f>IF(周转筐出入库明细!$C1820="","",周转筐出入库明细!$C1820)</f>
        <v/>
      </c>
      <c r="X1819">
        <f t="shared" si="597"/>
        <v>0</v>
      </c>
      <c r="Y1819">
        <f t="shared" si="598"/>
        <v>12</v>
      </c>
      <c r="CP1819">
        <f>IF(包装物料出入库明细!$D1819="",0,1)</f>
        <v>0</v>
      </c>
      <c r="CQ1819">
        <f t="shared" si="599"/>
        <v>37</v>
      </c>
      <c r="CS1819" t="str">
        <f>IF(OR(周转筐出入库明细!$C1820="",周转筐出入库明细!$F1820&lt;&gt;"采购入库"),"",周转筐出入库明细!$C1820)</f>
        <v/>
      </c>
      <c r="CT1819">
        <f t="shared" si="600"/>
        <v>0</v>
      </c>
      <c r="CU1819">
        <f t="shared" si="601"/>
        <v>1</v>
      </c>
    </row>
    <row r="1820" spans="1:99">
      <c r="A1820" t="str">
        <f>IF(包装物料出入库明细!$E1820="","",包装物料出入库明细!$E1820)</f>
        <v/>
      </c>
      <c r="B1820">
        <f t="shared" si="591"/>
        <v>0</v>
      </c>
      <c r="C1820">
        <f t="shared" si="592"/>
        <v>7</v>
      </c>
      <c r="D1820" t="str">
        <f>IF(包装物料出入库明细!$E1820="","",包装物料出入库明细!$F1820)</f>
        <v/>
      </c>
      <c r="E1820" t="str">
        <f>IF(包装物料出入库明细!$E1820="","",包装物料出入库明细!$G1820)</f>
        <v/>
      </c>
      <c r="K1820" t="str">
        <f>IF(包装物料出入库明细!$D1820="","",包装物料出入库明细!$D1820)</f>
        <v/>
      </c>
      <c r="L1820">
        <f t="shared" si="593"/>
        <v>0</v>
      </c>
      <c r="M1820">
        <f t="shared" si="594"/>
        <v>9</v>
      </c>
      <c r="Q1820" t="str">
        <f>IF(周转筐出入库明细!$D1821="","",周转筐出入库明细!$D1821)</f>
        <v/>
      </c>
      <c r="R1820">
        <f t="shared" si="595"/>
        <v>0</v>
      </c>
      <c r="S1820">
        <f t="shared" si="596"/>
        <v>5</v>
      </c>
      <c r="W1820" t="str">
        <f>IF(周转筐出入库明细!$C1821="","",周转筐出入库明细!$C1821)</f>
        <v/>
      </c>
      <c r="X1820">
        <f t="shared" si="597"/>
        <v>0</v>
      </c>
      <c r="Y1820">
        <f t="shared" si="598"/>
        <v>12</v>
      </c>
      <c r="CP1820">
        <f>IF(包装物料出入库明细!$D1820="",0,1)</f>
        <v>0</v>
      </c>
      <c r="CQ1820">
        <f t="shared" si="599"/>
        <v>37</v>
      </c>
      <c r="CS1820" t="str">
        <f>IF(OR(周转筐出入库明细!$C1821="",周转筐出入库明细!$F1821&lt;&gt;"采购入库"),"",周转筐出入库明细!$C1821)</f>
        <v/>
      </c>
      <c r="CT1820">
        <f t="shared" si="600"/>
        <v>0</v>
      </c>
      <c r="CU1820">
        <f t="shared" si="601"/>
        <v>1</v>
      </c>
    </row>
    <row r="1821" spans="1:99">
      <c r="A1821" t="str">
        <f>IF(包装物料出入库明细!$E1821="","",包装物料出入库明细!$E1821)</f>
        <v/>
      </c>
      <c r="B1821">
        <f t="shared" si="591"/>
        <v>0</v>
      </c>
      <c r="C1821">
        <f t="shared" si="592"/>
        <v>7</v>
      </c>
      <c r="D1821" t="str">
        <f>IF(包装物料出入库明细!$E1821="","",包装物料出入库明细!$F1821)</f>
        <v/>
      </c>
      <c r="E1821" t="str">
        <f>IF(包装物料出入库明细!$E1821="","",包装物料出入库明细!$G1821)</f>
        <v/>
      </c>
      <c r="K1821" t="str">
        <f>IF(包装物料出入库明细!$D1821="","",包装物料出入库明细!$D1821)</f>
        <v/>
      </c>
      <c r="L1821">
        <f t="shared" si="593"/>
        <v>0</v>
      </c>
      <c r="M1821">
        <f t="shared" si="594"/>
        <v>9</v>
      </c>
      <c r="Q1821" t="str">
        <f>IF(周转筐出入库明细!$D1822="","",周转筐出入库明细!$D1822)</f>
        <v/>
      </c>
      <c r="R1821">
        <f t="shared" si="595"/>
        <v>0</v>
      </c>
      <c r="S1821">
        <f t="shared" si="596"/>
        <v>5</v>
      </c>
      <c r="W1821" t="str">
        <f>IF(周转筐出入库明细!$C1822="","",周转筐出入库明细!$C1822)</f>
        <v/>
      </c>
      <c r="X1821">
        <f t="shared" si="597"/>
        <v>0</v>
      </c>
      <c r="Y1821">
        <f t="shared" si="598"/>
        <v>12</v>
      </c>
      <c r="CP1821">
        <f>IF(包装物料出入库明细!$D1821="",0,1)</f>
        <v>0</v>
      </c>
      <c r="CQ1821">
        <f t="shared" si="599"/>
        <v>37</v>
      </c>
      <c r="CS1821" t="str">
        <f>IF(OR(周转筐出入库明细!$C1822="",周转筐出入库明细!$F1822&lt;&gt;"采购入库"),"",周转筐出入库明细!$C1822)</f>
        <v/>
      </c>
      <c r="CT1821">
        <f t="shared" si="600"/>
        <v>0</v>
      </c>
      <c r="CU1821">
        <f t="shared" si="601"/>
        <v>1</v>
      </c>
    </row>
    <row r="1822" spans="1:99">
      <c r="A1822" t="str">
        <f>IF(包装物料出入库明细!$E1822="","",包装物料出入库明细!$E1822)</f>
        <v/>
      </c>
      <c r="B1822">
        <f t="shared" si="591"/>
        <v>0</v>
      </c>
      <c r="C1822">
        <f t="shared" si="592"/>
        <v>7</v>
      </c>
      <c r="D1822" t="str">
        <f>IF(包装物料出入库明细!$E1822="","",包装物料出入库明细!$F1822)</f>
        <v/>
      </c>
      <c r="E1822" t="str">
        <f>IF(包装物料出入库明细!$E1822="","",包装物料出入库明细!$G1822)</f>
        <v/>
      </c>
      <c r="K1822" t="str">
        <f>IF(包装物料出入库明细!$D1822="","",包装物料出入库明细!$D1822)</f>
        <v/>
      </c>
      <c r="L1822">
        <f t="shared" si="593"/>
        <v>0</v>
      </c>
      <c r="M1822">
        <f t="shared" si="594"/>
        <v>9</v>
      </c>
      <c r="Q1822" t="str">
        <f>IF(周转筐出入库明细!$D1823="","",周转筐出入库明细!$D1823)</f>
        <v/>
      </c>
      <c r="R1822">
        <f t="shared" si="595"/>
        <v>0</v>
      </c>
      <c r="S1822">
        <f t="shared" si="596"/>
        <v>5</v>
      </c>
      <c r="W1822" t="str">
        <f>IF(周转筐出入库明细!$C1823="","",周转筐出入库明细!$C1823)</f>
        <v/>
      </c>
      <c r="X1822">
        <f t="shared" si="597"/>
        <v>0</v>
      </c>
      <c r="Y1822">
        <f t="shared" si="598"/>
        <v>12</v>
      </c>
      <c r="CP1822">
        <f>IF(包装物料出入库明细!$D1822="",0,1)</f>
        <v>0</v>
      </c>
      <c r="CQ1822">
        <f t="shared" si="599"/>
        <v>37</v>
      </c>
      <c r="CS1822" t="str">
        <f>IF(OR(周转筐出入库明细!$C1823="",周转筐出入库明细!$F1823&lt;&gt;"采购入库"),"",周转筐出入库明细!$C1823)</f>
        <v/>
      </c>
      <c r="CT1822">
        <f t="shared" si="600"/>
        <v>0</v>
      </c>
      <c r="CU1822">
        <f t="shared" si="601"/>
        <v>1</v>
      </c>
    </row>
    <row r="1823" spans="1:99">
      <c r="A1823" t="str">
        <f>IF(包装物料出入库明细!$E1823="","",包装物料出入库明细!$E1823)</f>
        <v/>
      </c>
      <c r="B1823">
        <f t="shared" si="591"/>
        <v>0</v>
      </c>
      <c r="C1823">
        <f t="shared" si="592"/>
        <v>7</v>
      </c>
      <c r="D1823" t="str">
        <f>IF(包装物料出入库明细!$E1823="","",包装物料出入库明细!$F1823)</f>
        <v/>
      </c>
      <c r="E1823" t="str">
        <f>IF(包装物料出入库明细!$E1823="","",包装物料出入库明细!$G1823)</f>
        <v/>
      </c>
      <c r="K1823" t="str">
        <f>IF(包装物料出入库明细!$D1823="","",包装物料出入库明细!$D1823)</f>
        <v/>
      </c>
      <c r="L1823">
        <f t="shared" si="593"/>
        <v>0</v>
      </c>
      <c r="M1823">
        <f t="shared" si="594"/>
        <v>9</v>
      </c>
      <c r="Q1823" t="str">
        <f>IF(周转筐出入库明细!$D1824="","",周转筐出入库明细!$D1824)</f>
        <v/>
      </c>
      <c r="R1823">
        <f t="shared" si="595"/>
        <v>0</v>
      </c>
      <c r="S1823">
        <f t="shared" si="596"/>
        <v>5</v>
      </c>
      <c r="W1823" t="str">
        <f>IF(周转筐出入库明细!$C1824="","",周转筐出入库明细!$C1824)</f>
        <v/>
      </c>
      <c r="X1823">
        <f t="shared" si="597"/>
        <v>0</v>
      </c>
      <c r="Y1823">
        <f t="shared" si="598"/>
        <v>12</v>
      </c>
      <c r="CP1823">
        <f>IF(包装物料出入库明细!$D1823="",0,1)</f>
        <v>0</v>
      </c>
      <c r="CQ1823">
        <f t="shared" si="599"/>
        <v>37</v>
      </c>
      <c r="CS1823" t="str">
        <f>IF(OR(周转筐出入库明细!$C1824="",周转筐出入库明细!$F1824&lt;&gt;"采购入库"),"",周转筐出入库明细!$C1824)</f>
        <v/>
      </c>
      <c r="CT1823">
        <f t="shared" si="600"/>
        <v>0</v>
      </c>
      <c r="CU1823">
        <f t="shared" si="601"/>
        <v>1</v>
      </c>
    </row>
    <row r="1824" spans="1:99">
      <c r="A1824" t="str">
        <f>IF(包装物料出入库明细!$E1824="","",包装物料出入库明细!$E1824)</f>
        <v/>
      </c>
      <c r="B1824">
        <f t="shared" si="591"/>
        <v>0</v>
      </c>
      <c r="C1824">
        <f t="shared" si="592"/>
        <v>7</v>
      </c>
      <c r="D1824" t="str">
        <f>IF(包装物料出入库明细!$E1824="","",包装物料出入库明细!$F1824)</f>
        <v/>
      </c>
      <c r="E1824" t="str">
        <f>IF(包装物料出入库明细!$E1824="","",包装物料出入库明细!$G1824)</f>
        <v/>
      </c>
      <c r="K1824" t="str">
        <f>IF(包装物料出入库明细!$D1824="","",包装物料出入库明细!$D1824)</f>
        <v/>
      </c>
      <c r="L1824">
        <f t="shared" si="593"/>
        <v>0</v>
      </c>
      <c r="M1824">
        <f t="shared" si="594"/>
        <v>9</v>
      </c>
      <c r="Q1824" t="str">
        <f>IF(周转筐出入库明细!$D1825="","",周转筐出入库明细!$D1825)</f>
        <v/>
      </c>
      <c r="R1824">
        <f t="shared" si="595"/>
        <v>0</v>
      </c>
      <c r="S1824">
        <f t="shared" si="596"/>
        <v>5</v>
      </c>
      <c r="W1824" t="str">
        <f>IF(周转筐出入库明细!$C1825="","",周转筐出入库明细!$C1825)</f>
        <v/>
      </c>
      <c r="X1824">
        <f t="shared" si="597"/>
        <v>0</v>
      </c>
      <c r="Y1824">
        <f t="shared" si="598"/>
        <v>12</v>
      </c>
      <c r="CP1824">
        <f>IF(包装物料出入库明细!$D1824="",0,1)</f>
        <v>0</v>
      </c>
      <c r="CQ1824">
        <f t="shared" si="599"/>
        <v>37</v>
      </c>
      <c r="CS1824" t="str">
        <f>IF(OR(周转筐出入库明细!$C1825="",周转筐出入库明细!$F1825&lt;&gt;"采购入库"),"",周转筐出入库明细!$C1825)</f>
        <v/>
      </c>
      <c r="CT1824">
        <f t="shared" si="600"/>
        <v>0</v>
      </c>
      <c r="CU1824">
        <f t="shared" si="601"/>
        <v>1</v>
      </c>
    </row>
    <row r="1825" spans="1:99">
      <c r="A1825" t="str">
        <f>IF(包装物料出入库明细!$E1825="","",包装物料出入库明细!$E1825)</f>
        <v/>
      </c>
      <c r="B1825">
        <f t="shared" si="591"/>
        <v>0</v>
      </c>
      <c r="C1825">
        <f t="shared" si="592"/>
        <v>7</v>
      </c>
      <c r="D1825" t="str">
        <f>IF(包装物料出入库明细!$E1825="","",包装物料出入库明细!$F1825)</f>
        <v/>
      </c>
      <c r="E1825" t="str">
        <f>IF(包装物料出入库明细!$E1825="","",包装物料出入库明细!$G1825)</f>
        <v/>
      </c>
      <c r="K1825" t="str">
        <f>IF(包装物料出入库明细!$D1825="","",包装物料出入库明细!$D1825)</f>
        <v/>
      </c>
      <c r="L1825">
        <f t="shared" si="593"/>
        <v>0</v>
      </c>
      <c r="M1825">
        <f t="shared" si="594"/>
        <v>9</v>
      </c>
      <c r="Q1825" t="str">
        <f>IF(周转筐出入库明细!$D1826="","",周转筐出入库明细!$D1826)</f>
        <v/>
      </c>
      <c r="R1825">
        <f t="shared" si="595"/>
        <v>0</v>
      </c>
      <c r="S1825">
        <f t="shared" si="596"/>
        <v>5</v>
      </c>
      <c r="W1825" t="str">
        <f>IF(周转筐出入库明细!$C1826="","",周转筐出入库明细!$C1826)</f>
        <v/>
      </c>
      <c r="X1825">
        <f t="shared" si="597"/>
        <v>0</v>
      </c>
      <c r="Y1825">
        <f t="shared" si="598"/>
        <v>12</v>
      </c>
      <c r="CP1825">
        <f>IF(包装物料出入库明细!$D1825="",0,1)</f>
        <v>0</v>
      </c>
      <c r="CQ1825">
        <f t="shared" si="599"/>
        <v>37</v>
      </c>
      <c r="CS1825" t="str">
        <f>IF(OR(周转筐出入库明细!$C1826="",周转筐出入库明细!$F1826&lt;&gt;"采购入库"),"",周转筐出入库明细!$C1826)</f>
        <v/>
      </c>
      <c r="CT1825">
        <f t="shared" si="600"/>
        <v>0</v>
      </c>
      <c r="CU1825">
        <f t="shared" si="601"/>
        <v>1</v>
      </c>
    </row>
    <row r="1826" spans="1:99">
      <c r="A1826" t="str">
        <f>IF(包装物料出入库明细!$E1826="","",包装物料出入库明细!$E1826)</f>
        <v/>
      </c>
      <c r="B1826">
        <f t="shared" si="591"/>
        <v>0</v>
      </c>
      <c r="C1826">
        <f t="shared" si="592"/>
        <v>7</v>
      </c>
      <c r="D1826" t="str">
        <f>IF(包装物料出入库明细!$E1826="","",包装物料出入库明细!$F1826)</f>
        <v/>
      </c>
      <c r="E1826" t="str">
        <f>IF(包装物料出入库明细!$E1826="","",包装物料出入库明细!$G1826)</f>
        <v/>
      </c>
      <c r="K1826" t="str">
        <f>IF(包装物料出入库明细!$D1826="","",包装物料出入库明细!$D1826)</f>
        <v/>
      </c>
      <c r="L1826">
        <f t="shared" si="593"/>
        <v>0</v>
      </c>
      <c r="M1826">
        <f t="shared" si="594"/>
        <v>9</v>
      </c>
      <c r="Q1826" t="str">
        <f>IF(周转筐出入库明细!$D1827="","",周转筐出入库明细!$D1827)</f>
        <v/>
      </c>
      <c r="R1826">
        <f t="shared" si="595"/>
        <v>0</v>
      </c>
      <c r="S1826">
        <f t="shared" si="596"/>
        <v>5</v>
      </c>
      <c r="W1826" t="str">
        <f>IF(周转筐出入库明细!$C1827="","",周转筐出入库明细!$C1827)</f>
        <v/>
      </c>
      <c r="X1826">
        <f t="shared" si="597"/>
        <v>0</v>
      </c>
      <c r="Y1826">
        <f t="shared" si="598"/>
        <v>12</v>
      </c>
      <c r="CP1826">
        <f>IF(包装物料出入库明细!$D1826="",0,1)</f>
        <v>0</v>
      </c>
      <c r="CQ1826">
        <f t="shared" si="599"/>
        <v>37</v>
      </c>
      <c r="CS1826" t="str">
        <f>IF(OR(周转筐出入库明细!$C1827="",周转筐出入库明细!$F1827&lt;&gt;"采购入库"),"",周转筐出入库明细!$C1827)</f>
        <v/>
      </c>
      <c r="CT1826">
        <f t="shared" si="600"/>
        <v>0</v>
      </c>
      <c r="CU1826">
        <f t="shared" si="601"/>
        <v>1</v>
      </c>
    </row>
    <row r="1827" spans="1:99">
      <c r="A1827" t="str">
        <f>IF(包装物料出入库明细!$E1827="","",包装物料出入库明细!$E1827)</f>
        <v/>
      </c>
      <c r="B1827">
        <f t="shared" si="591"/>
        <v>0</v>
      </c>
      <c r="C1827">
        <f t="shared" si="592"/>
        <v>7</v>
      </c>
      <c r="D1827" t="str">
        <f>IF(包装物料出入库明细!$E1827="","",包装物料出入库明细!$F1827)</f>
        <v/>
      </c>
      <c r="E1827" t="str">
        <f>IF(包装物料出入库明细!$E1827="","",包装物料出入库明细!$G1827)</f>
        <v/>
      </c>
      <c r="K1827" t="str">
        <f>IF(包装物料出入库明细!$D1827="","",包装物料出入库明细!$D1827)</f>
        <v/>
      </c>
      <c r="L1827">
        <f t="shared" si="593"/>
        <v>0</v>
      </c>
      <c r="M1827">
        <f t="shared" si="594"/>
        <v>9</v>
      </c>
      <c r="Q1827" t="str">
        <f>IF(周转筐出入库明细!$D1828="","",周转筐出入库明细!$D1828)</f>
        <v/>
      </c>
      <c r="R1827">
        <f t="shared" si="595"/>
        <v>0</v>
      </c>
      <c r="S1827">
        <f t="shared" si="596"/>
        <v>5</v>
      </c>
      <c r="W1827" t="str">
        <f>IF(周转筐出入库明细!$C1828="","",周转筐出入库明细!$C1828)</f>
        <v/>
      </c>
      <c r="X1827">
        <f t="shared" si="597"/>
        <v>0</v>
      </c>
      <c r="Y1827">
        <f t="shared" si="598"/>
        <v>12</v>
      </c>
      <c r="CP1827">
        <f>IF(包装物料出入库明细!$D1827="",0,1)</f>
        <v>0</v>
      </c>
      <c r="CQ1827">
        <f t="shared" si="599"/>
        <v>37</v>
      </c>
      <c r="CS1827" t="str">
        <f>IF(OR(周转筐出入库明细!$C1828="",周转筐出入库明细!$F1828&lt;&gt;"采购入库"),"",周转筐出入库明细!$C1828)</f>
        <v/>
      </c>
      <c r="CT1827">
        <f t="shared" si="600"/>
        <v>0</v>
      </c>
      <c r="CU1827">
        <f t="shared" si="601"/>
        <v>1</v>
      </c>
    </row>
    <row r="1828" spans="1:99">
      <c r="A1828" t="str">
        <f>IF(包装物料出入库明细!$E1828="","",包装物料出入库明细!$E1828)</f>
        <v/>
      </c>
      <c r="B1828">
        <f t="shared" si="591"/>
        <v>0</v>
      </c>
      <c r="C1828">
        <f t="shared" si="592"/>
        <v>7</v>
      </c>
      <c r="D1828" t="str">
        <f>IF(包装物料出入库明细!$E1828="","",包装物料出入库明细!$F1828)</f>
        <v/>
      </c>
      <c r="E1828" t="str">
        <f>IF(包装物料出入库明细!$E1828="","",包装物料出入库明细!$G1828)</f>
        <v/>
      </c>
      <c r="K1828" t="str">
        <f>IF(包装物料出入库明细!$D1828="","",包装物料出入库明细!$D1828)</f>
        <v/>
      </c>
      <c r="L1828">
        <f t="shared" si="593"/>
        <v>0</v>
      </c>
      <c r="M1828">
        <f t="shared" si="594"/>
        <v>9</v>
      </c>
      <c r="Q1828" t="str">
        <f>IF(周转筐出入库明细!$D1829="","",周转筐出入库明细!$D1829)</f>
        <v/>
      </c>
      <c r="R1828">
        <f t="shared" si="595"/>
        <v>0</v>
      </c>
      <c r="S1828">
        <f t="shared" si="596"/>
        <v>5</v>
      </c>
      <c r="W1828" t="str">
        <f>IF(周转筐出入库明细!$C1829="","",周转筐出入库明细!$C1829)</f>
        <v/>
      </c>
      <c r="X1828">
        <f t="shared" si="597"/>
        <v>0</v>
      </c>
      <c r="Y1828">
        <f t="shared" si="598"/>
        <v>12</v>
      </c>
      <c r="CP1828">
        <f>IF(包装物料出入库明细!$D1828="",0,1)</f>
        <v>0</v>
      </c>
      <c r="CQ1828">
        <f t="shared" si="599"/>
        <v>37</v>
      </c>
      <c r="CS1828" t="str">
        <f>IF(OR(周转筐出入库明细!$C1829="",周转筐出入库明细!$F1829&lt;&gt;"采购入库"),"",周转筐出入库明细!$C1829)</f>
        <v/>
      </c>
      <c r="CT1828">
        <f t="shared" si="600"/>
        <v>0</v>
      </c>
      <c r="CU1828">
        <f t="shared" si="601"/>
        <v>1</v>
      </c>
    </row>
    <row r="1829" spans="1:99">
      <c r="A1829" t="str">
        <f>IF(包装物料出入库明细!$E1829="","",包装物料出入库明细!$E1829)</f>
        <v/>
      </c>
      <c r="B1829">
        <f t="shared" si="591"/>
        <v>0</v>
      </c>
      <c r="C1829">
        <f t="shared" si="592"/>
        <v>7</v>
      </c>
      <c r="D1829" t="str">
        <f>IF(包装物料出入库明细!$E1829="","",包装物料出入库明细!$F1829)</f>
        <v/>
      </c>
      <c r="E1829" t="str">
        <f>IF(包装物料出入库明细!$E1829="","",包装物料出入库明细!$G1829)</f>
        <v/>
      </c>
      <c r="K1829" t="str">
        <f>IF(包装物料出入库明细!$D1829="","",包装物料出入库明细!$D1829)</f>
        <v/>
      </c>
      <c r="L1829">
        <f t="shared" si="593"/>
        <v>0</v>
      </c>
      <c r="M1829">
        <f t="shared" si="594"/>
        <v>9</v>
      </c>
      <c r="Q1829" t="str">
        <f>IF(周转筐出入库明细!$D1830="","",周转筐出入库明细!$D1830)</f>
        <v/>
      </c>
      <c r="R1829">
        <f t="shared" si="595"/>
        <v>0</v>
      </c>
      <c r="S1829">
        <f t="shared" si="596"/>
        <v>5</v>
      </c>
      <c r="W1829" t="str">
        <f>IF(周转筐出入库明细!$C1830="","",周转筐出入库明细!$C1830)</f>
        <v/>
      </c>
      <c r="X1829">
        <f t="shared" si="597"/>
        <v>0</v>
      </c>
      <c r="Y1829">
        <f t="shared" si="598"/>
        <v>12</v>
      </c>
      <c r="CP1829">
        <f>IF(包装物料出入库明细!$D1829="",0,1)</f>
        <v>0</v>
      </c>
      <c r="CQ1829">
        <f t="shared" si="599"/>
        <v>37</v>
      </c>
      <c r="CS1829" t="str">
        <f>IF(OR(周转筐出入库明细!$C1830="",周转筐出入库明细!$F1830&lt;&gt;"采购入库"),"",周转筐出入库明细!$C1830)</f>
        <v/>
      </c>
      <c r="CT1829">
        <f t="shared" si="600"/>
        <v>0</v>
      </c>
      <c r="CU1829">
        <f t="shared" si="601"/>
        <v>1</v>
      </c>
    </row>
    <row r="1830" spans="1:99">
      <c r="A1830" t="str">
        <f>IF(包装物料出入库明细!$E1830="","",包装物料出入库明细!$E1830)</f>
        <v/>
      </c>
      <c r="B1830">
        <f t="shared" si="591"/>
        <v>0</v>
      </c>
      <c r="C1830">
        <f t="shared" si="592"/>
        <v>7</v>
      </c>
      <c r="D1830" t="str">
        <f>IF(包装物料出入库明细!$E1830="","",包装物料出入库明细!$F1830)</f>
        <v/>
      </c>
      <c r="E1830" t="str">
        <f>IF(包装物料出入库明细!$E1830="","",包装物料出入库明细!$G1830)</f>
        <v/>
      </c>
      <c r="K1830" t="str">
        <f>IF(包装物料出入库明细!$D1830="","",包装物料出入库明细!$D1830)</f>
        <v/>
      </c>
      <c r="L1830">
        <f t="shared" si="593"/>
        <v>0</v>
      </c>
      <c r="M1830">
        <f t="shared" si="594"/>
        <v>9</v>
      </c>
      <c r="Q1830" t="str">
        <f>IF(周转筐出入库明细!$D1831="","",周转筐出入库明细!$D1831)</f>
        <v/>
      </c>
      <c r="R1830">
        <f t="shared" si="595"/>
        <v>0</v>
      </c>
      <c r="S1830">
        <f t="shared" si="596"/>
        <v>5</v>
      </c>
      <c r="W1830" t="str">
        <f>IF(周转筐出入库明细!$C1831="","",周转筐出入库明细!$C1831)</f>
        <v/>
      </c>
      <c r="X1830">
        <f t="shared" si="597"/>
        <v>0</v>
      </c>
      <c r="Y1830">
        <f t="shared" si="598"/>
        <v>12</v>
      </c>
      <c r="CP1830">
        <f>IF(包装物料出入库明细!$D1830="",0,1)</f>
        <v>0</v>
      </c>
      <c r="CQ1830">
        <f t="shared" si="599"/>
        <v>37</v>
      </c>
      <c r="CS1830" t="str">
        <f>IF(OR(周转筐出入库明细!$C1831="",周转筐出入库明细!$F1831&lt;&gt;"采购入库"),"",周转筐出入库明细!$C1831)</f>
        <v/>
      </c>
      <c r="CT1830">
        <f t="shared" si="600"/>
        <v>0</v>
      </c>
      <c r="CU1830">
        <f t="shared" si="601"/>
        <v>1</v>
      </c>
    </row>
    <row r="1831" spans="1:99">
      <c r="A1831" t="str">
        <f>IF(包装物料出入库明细!$E1831="","",包装物料出入库明细!$E1831)</f>
        <v/>
      </c>
      <c r="B1831">
        <f t="shared" si="591"/>
        <v>0</v>
      </c>
      <c r="C1831">
        <f t="shared" si="592"/>
        <v>7</v>
      </c>
      <c r="D1831" t="str">
        <f>IF(包装物料出入库明细!$E1831="","",包装物料出入库明细!$F1831)</f>
        <v/>
      </c>
      <c r="E1831" t="str">
        <f>IF(包装物料出入库明细!$E1831="","",包装物料出入库明细!$G1831)</f>
        <v/>
      </c>
      <c r="K1831" t="str">
        <f>IF(包装物料出入库明细!$D1831="","",包装物料出入库明细!$D1831)</f>
        <v/>
      </c>
      <c r="L1831">
        <f t="shared" si="593"/>
        <v>0</v>
      </c>
      <c r="M1831">
        <f t="shared" si="594"/>
        <v>9</v>
      </c>
      <c r="Q1831" t="str">
        <f>IF(周转筐出入库明细!$D1832="","",周转筐出入库明细!$D1832)</f>
        <v/>
      </c>
      <c r="R1831">
        <f t="shared" si="595"/>
        <v>0</v>
      </c>
      <c r="S1831">
        <f t="shared" si="596"/>
        <v>5</v>
      </c>
      <c r="W1831" t="str">
        <f>IF(周转筐出入库明细!$C1832="","",周转筐出入库明细!$C1832)</f>
        <v/>
      </c>
      <c r="X1831">
        <f t="shared" si="597"/>
        <v>0</v>
      </c>
      <c r="Y1831">
        <f t="shared" si="598"/>
        <v>12</v>
      </c>
      <c r="CP1831">
        <f>IF(包装物料出入库明细!$D1831="",0,1)</f>
        <v>0</v>
      </c>
      <c r="CQ1831">
        <f t="shared" si="599"/>
        <v>37</v>
      </c>
      <c r="CS1831" t="str">
        <f>IF(OR(周转筐出入库明细!$C1832="",周转筐出入库明细!$F1832&lt;&gt;"采购入库"),"",周转筐出入库明细!$C1832)</f>
        <v/>
      </c>
      <c r="CT1831">
        <f t="shared" si="600"/>
        <v>0</v>
      </c>
      <c r="CU1831">
        <f t="shared" si="601"/>
        <v>1</v>
      </c>
    </row>
    <row r="1832" spans="1:99">
      <c r="A1832" t="str">
        <f>IF(包装物料出入库明细!$E1832="","",包装物料出入库明细!$E1832)</f>
        <v/>
      </c>
      <c r="B1832">
        <f t="shared" si="591"/>
        <v>0</v>
      </c>
      <c r="C1832">
        <f t="shared" si="592"/>
        <v>7</v>
      </c>
      <c r="D1832" t="str">
        <f>IF(包装物料出入库明细!$E1832="","",包装物料出入库明细!$F1832)</f>
        <v/>
      </c>
      <c r="E1832" t="str">
        <f>IF(包装物料出入库明细!$E1832="","",包装物料出入库明细!$G1832)</f>
        <v/>
      </c>
      <c r="K1832" t="str">
        <f>IF(包装物料出入库明细!$D1832="","",包装物料出入库明细!$D1832)</f>
        <v/>
      </c>
      <c r="L1832">
        <f t="shared" si="593"/>
        <v>0</v>
      </c>
      <c r="M1832">
        <f t="shared" si="594"/>
        <v>9</v>
      </c>
      <c r="Q1832" t="str">
        <f>IF(周转筐出入库明细!$D1833="","",周转筐出入库明细!$D1833)</f>
        <v/>
      </c>
      <c r="R1832">
        <f t="shared" si="595"/>
        <v>0</v>
      </c>
      <c r="S1832">
        <f t="shared" si="596"/>
        <v>5</v>
      </c>
      <c r="W1832" t="str">
        <f>IF(周转筐出入库明细!$C1833="","",周转筐出入库明细!$C1833)</f>
        <v/>
      </c>
      <c r="X1832">
        <f t="shared" si="597"/>
        <v>0</v>
      </c>
      <c r="Y1832">
        <f t="shared" si="598"/>
        <v>12</v>
      </c>
      <c r="CP1832">
        <f>IF(包装物料出入库明细!$D1832="",0,1)</f>
        <v>0</v>
      </c>
      <c r="CQ1832">
        <f t="shared" si="599"/>
        <v>37</v>
      </c>
      <c r="CS1832" t="str">
        <f>IF(OR(周转筐出入库明细!$C1833="",周转筐出入库明细!$F1833&lt;&gt;"采购入库"),"",周转筐出入库明细!$C1833)</f>
        <v/>
      </c>
      <c r="CT1832">
        <f t="shared" si="600"/>
        <v>0</v>
      </c>
      <c r="CU1832">
        <f t="shared" si="601"/>
        <v>1</v>
      </c>
    </row>
    <row r="1833" spans="1:99">
      <c r="A1833" t="str">
        <f>IF(包装物料出入库明细!$E1833="","",包装物料出入库明细!$E1833)</f>
        <v/>
      </c>
      <c r="B1833">
        <f t="shared" si="591"/>
        <v>0</v>
      </c>
      <c r="C1833">
        <f t="shared" si="592"/>
        <v>7</v>
      </c>
      <c r="D1833" t="str">
        <f>IF(包装物料出入库明细!$E1833="","",包装物料出入库明细!$F1833)</f>
        <v/>
      </c>
      <c r="E1833" t="str">
        <f>IF(包装物料出入库明细!$E1833="","",包装物料出入库明细!$G1833)</f>
        <v/>
      </c>
      <c r="K1833" t="str">
        <f>IF(包装物料出入库明细!$D1833="","",包装物料出入库明细!$D1833)</f>
        <v/>
      </c>
      <c r="L1833">
        <f t="shared" si="593"/>
        <v>0</v>
      </c>
      <c r="M1833">
        <f t="shared" si="594"/>
        <v>9</v>
      </c>
      <c r="Q1833" t="str">
        <f>IF(周转筐出入库明细!$D1834="","",周转筐出入库明细!$D1834)</f>
        <v/>
      </c>
      <c r="R1833">
        <f t="shared" si="595"/>
        <v>0</v>
      </c>
      <c r="S1833">
        <f t="shared" si="596"/>
        <v>5</v>
      </c>
      <c r="W1833" t="str">
        <f>IF(周转筐出入库明细!$C1834="","",周转筐出入库明细!$C1834)</f>
        <v/>
      </c>
      <c r="X1833">
        <f t="shared" si="597"/>
        <v>0</v>
      </c>
      <c r="Y1833">
        <f t="shared" si="598"/>
        <v>12</v>
      </c>
      <c r="CP1833">
        <f>IF(包装物料出入库明细!$D1833="",0,1)</f>
        <v>0</v>
      </c>
      <c r="CQ1833">
        <f t="shared" si="599"/>
        <v>37</v>
      </c>
      <c r="CS1833" t="str">
        <f>IF(OR(周转筐出入库明细!$C1834="",周转筐出入库明细!$F1834&lt;&gt;"采购入库"),"",周转筐出入库明细!$C1834)</f>
        <v/>
      </c>
      <c r="CT1833">
        <f t="shared" si="600"/>
        <v>0</v>
      </c>
      <c r="CU1833">
        <f t="shared" si="601"/>
        <v>1</v>
      </c>
    </row>
    <row r="1834" spans="1:99">
      <c r="A1834" t="str">
        <f>IF(包装物料出入库明细!$E1834="","",包装物料出入库明细!$E1834)</f>
        <v/>
      </c>
      <c r="B1834">
        <f t="shared" si="591"/>
        <v>0</v>
      </c>
      <c r="C1834">
        <f t="shared" si="592"/>
        <v>7</v>
      </c>
      <c r="D1834" t="str">
        <f>IF(包装物料出入库明细!$E1834="","",包装物料出入库明细!$F1834)</f>
        <v/>
      </c>
      <c r="E1834" t="str">
        <f>IF(包装物料出入库明细!$E1834="","",包装物料出入库明细!$G1834)</f>
        <v/>
      </c>
      <c r="K1834" t="str">
        <f>IF(包装物料出入库明细!$D1834="","",包装物料出入库明细!$D1834)</f>
        <v/>
      </c>
      <c r="L1834">
        <f t="shared" si="593"/>
        <v>0</v>
      </c>
      <c r="M1834">
        <f t="shared" si="594"/>
        <v>9</v>
      </c>
      <c r="Q1834" t="str">
        <f>IF(周转筐出入库明细!$D1835="","",周转筐出入库明细!$D1835)</f>
        <v/>
      </c>
      <c r="R1834">
        <f t="shared" si="595"/>
        <v>0</v>
      </c>
      <c r="S1834">
        <f t="shared" si="596"/>
        <v>5</v>
      </c>
      <c r="W1834" t="str">
        <f>IF(周转筐出入库明细!$C1835="","",周转筐出入库明细!$C1835)</f>
        <v/>
      </c>
      <c r="X1834">
        <f t="shared" si="597"/>
        <v>0</v>
      </c>
      <c r="Y1834">
        <f t="shared" si="598"/>
        <v>12</v>
      </c>
      <c r="CP1834">
        <f>IF(包装物料出入库明细!$D1834="",0,1)</f>
        <v>0</v>
      </c>
      <c r="CQ1834">
        <f t="shared" si="599"/>
        <v>37</v>
      </c>
      <c r="CS1834" t="str">
        <f>IF(OR(周转筐出入库明细!$C1835="",周转筐出入库明细!$F1835&lt;&gt;"采购入库"),"",周转筐出入库明细!$C1835)</f>
        <v/>
      </c>
      <c r="CT1834">
        <f t="shared" si="600"/>
        <v>0</v>
      </c>
      <c r="CU1834">
        <f t="shared" si="601"/>
        <v>1</v>
      </c>
    </row>
    <row r="1835" spans="1:99">
      <c r="A1835" t="str">
        <f>IF(包装物料出入库明细!$E1835="","",包装物料出入库明细!$E1835)</f>
        <v/>
      </c>
      <c r="B1835">
        <f t="shared" si="591"/>
        <v>0</v>
      </c>
      <c r="C1835">
        <f t="shared" si="592"/>
        <v>7</v>
      </c>
      <c r="D1835" t="str">
        <f>IF(包装物料出入库明细!$E1835="","",包装物料出入库明细!$F1835)</f>
        <v/>
      </c>
      <c r="E1835" t="str">
        <f>IF(包装物料出入库明细!$E1835="","",包装物料出入库明细!$G1835)</f>
        <v/>
      </c>
      <c r="K1835" t="str">
        <f>IF(包装物料出入库明细!$D1835="","",包装物料出入库明细!$D1835)</f>
        <v/>
      </c>
      <c r="L1835">
        <f t="shared" si="593"/>
        <v>0</v>
      </c>
      <c r="M1835">
        <f t="shared" si="594"/>
        <v>9</v>
      </c>
      <c r="Q1835" t="str">
        <f>IF(周转筐出入库明细!$D1836="","",周转筐出入库明细!$D1836)</f>
        <v/>
      </c>
      <c r="R1835">
        <f t="shared" si="595"/>
        <v>0</v>
      </c>
      <c r="S1835">
        <f t="shared" si="596"/>
        <v>5</v>
      </c>
      <c r="W1835" t="str">
        <f>IF(周转筐出入库明细!$C1836="","",周转筐出入库明细!$C1836)</f>
        <v/>
      </c>
      <c r="X1835">
        <f t="shared" si="597"/>
        <v>0</v>
      </c>
      <c r="Y1835">
        <f t="shared" si="598"/>
        <v>12</v>
      </c>
      <c r="CP1835">
        <f>IF(包装物料出入库明细!$D1835="",0,1)</f>
        <v>0</v>
      </c>
      <c r="CQ1835">
        <f t="shared" si="599"/>
        <v>37</v>
      </c>
      <c r="CS1835" t="str">
        <f>IF(OR(周转筐出入库明细!$C1836="",周转筐出入库明细!$F1836&lt;&gt;"采购入库"),"",周转筐出入库明细!$C1836)</f>
        <v/>
      </c>
      <c r="CT1835">
        <f t="shared" si="600"/>
        <v>0</v>
      </c>
      <c r="CU1835">
        <f t="shared" si="601"/>
        <v>1</v>
      </c>
    </row>
    <row r="1836" spans="1:99">
      <c r="A1836" t="str">
        <f>IF(包装物料出入库明细!$E1836="","",包装物料出入库明细!$E1836)</f>
        <v/>
      </c>
      <c r="B1836">
        <f t="shared" si="591"/>
        <v>0</v>
      </c>
      <c r="C1836">
        <f t="shared" si="592"/>
        <v>7</v>
      </c>
      <c r="D1836" t="str">
        <f>IF(包装物料出入库明细!$E1836="","",包装物料出入库明细!$F1836)</f>
        <v/>
      </c>
      <c r="E1836" t="str">
        <f>IF(包装物料出入库明细!$E1836="","",包装物料出入库明细!$G1836)</f>
        <v/>
      </c>
      <c r="K1836" t="str">
        <f>IF(包装物料出入库明细!$D1836="","",包装物料出入库明细!$D1836)</f>
        <v/>
      </c>
      <c r="L1836">
        <f t="shared" si="593"/>
        <v>0</v>
      </c>
      <c r="M1836">
        <f t="shared" si="594"/>
        <v>9</v>
      </c>
      <c r="Q1836" t="str">
        <f>IF(周转筐出入库明细!$D1837="","",周转筐出入库明细!$D1837)</f>
        <v/>
      </c>
      <c r="R1836">
        <f t="shared" si="595"/>
        <v>0</v>
      </c>
      <c r="S1836">
        <f t="shared" si="596"/>
        <v>5</v>
      </c>
      <c r="W1836" t="str">
        <f>IF(周转筐出入库明细!$C1837="","",周转筐出入库明细!$C1837)</f>
        <v/>
      </c>
      <c r="X1836">
        <f t="shared" si="597"/>
        <v>0</v>
      </c>
      <c r="Y1836">
        <f t="shared" si="598"/>
        <v>12</v>
      </c>
      <c r="CP1836">
        <f>IF(包装物料出入库明细!$D1836="",0,1)</f>
        <v>0</v>
      </c>
      <c r="CQ1836">
        <f t="shared" si="599"/>
        <v>37</v>
      </c>
      <c r="CS1836" t="str">
        <f>IF(OR(周转筐出入库明细!$C1837="",周转筐出入库明细!$F1837&lt;&gt;"采购入库"),"",周转筐出入库明细!$C1837)</f>
        <v/>
      </c>
      <c r="CT1836">
        <f t="shared" si="600"/>
        <v>0</v>
      </c>
      <c r="CU1836">
        <f t="shared" si="601"/>
        <v>1</v>
      </c>
    </row>
    <row r="1837" spans="1:99">
      <c r="A1837" t="str">
        <f>IF(包装物料出入库明细!$E1837="","",包装物料出入库明细!$E1837)</f>
        <v/>
      </c>
      <c r="B1837">
        <f t="shared" si="591"/>
        <v>0</v>
      </c>
      <c r="C1837">
        <f t="shared" si="592"/>
        <v>7</v>
      </c>
      <c r="D1837" t="str">
        <f>IF(包装物料出入库明细!$E1837="","",包装物料出入库明细!$F1837)</f>
        <v/>
      </c>
      <c r="E1837" t="str">
        <f>IF(包装物料出入库明细!$E1837="","",包装物料出入库明细!$G1837)</f>
        <v/>
      </c>
      <c r="K1837" t="str">
        <f>IF(包装物料出入库明细!$D1837="","",包装物料出入库明细!$D1837)</f>
        <v/>
      </c>
      <c r="L1837">
        <f t="shared" si="593"/>
        <v>0</v>
      </c>
      <c r="M1837">
        <f t="shared" si="594"/>
        <v>9</v>
      </c>
      <c r="Q1837" t="str">
        <f>IF(周转筐出入库明细!$D1838="","",周转筐出入库明细!$D1838)</f>
        <v/>
      </c>
      <c r="R1837">
        <f t="shared" si="595"/>
        <v>0</v>
      </c>
      <c r="S1837">
        <f t="shared" si="596"/>
        <v>5</v>
      </c>
      <c r="W1837" t="str">
        <f>IF(周转筐出入库明细!$C1838="","",周转筐出入库明细!$C1838)</f>
        <v/>
      </c>
      <c r="X1837">
        <f t="shared" si="597"/>
        <v>0</v>
      </c>
      <c r="Y1837">
        <f t="shared" si="598"/>
        <v>12</v>
      </c>
      <c r="CP1837">
        <f>IF(包装物料出入库明细!$D1837="",0,1)</f>
        <v>0</v>
      </c>
      <c r="CQ1837">
        <f t="shared" si="599"/>
        <v>37</v>
      </c>
      <c r="CS1837" t="str">
        <f>IF(OR(周转筐出入库明细!$C1838="",周转筐出入库明细!$F1838&lt;&gt;"采购入库"),"",周转筐出入库明细!$C1838)</f>
        <v/>
      </c>
      <c r="CT1837">
        <f t="shared" si="600"/>
        <v>0</v>
      </c>
      <c r="CU1837">
        <f t="shared" si="601"/>
        <v>1</v>
      </c>
    </row>
    <row r="1838" spans="1:99">
      <c r="A1838" t="str">
        <f>IF(包装物料出入库明细!$E1838="","",包装物料出入库明细!$E1838)</f>
        <v/>
      </c>
      <c r="B1838">
        <f t="shared" si="591"/>
        <v>0</v>
      </c>
      <c r="C1838">
        <f t="shared" si="592"/>
        <v>7</v>
      </c>
      <c r="D1838" t="str">
        <f>IF(包装物料出入库明细!$E1838="","",包装物料出入库明细!$F1838)</f>
        <v/>
      </c>
      <c r="E1838" t="str">
        <f>IF(包装物料出入库明细!$E1838="","",包装物料出入库明细!$G1838)</f>
        <v/>
      </c>
      <c r="K1838" t="str">
        <f>IF(包装物料出入库明细!$D1838="","",包装物料出入库明细!$D1838)</f>
        <v/>
      </c>
      <c r="L1838">
        <f t="shared" si="593"/>
        <v>0</v>
      </c>
      <c r="M1838">
        <f t="shared" si="594"/>
        <v>9</v>
      </c>
      <c r="Q1838" t="str">
        <f>IF(周转筐出入库明细!$D1839="","",周转筐出入库明细!$D1839)</f>
        <v/>
      </c>
      <c r="R1838">
        <f t="shared" si="595"/>
        <v>0</v>
      </c>
      <c r="S1838">
        <f t="shared" si="596"/>
        <v>5</v>
      </c>
      <c r="W1838" t="str">
        <f>IF(周转筐出入库明细!$C1839="","",周转筐出入库明细!$C1839)</f>
        <v/>
      </c>
      <c r="X1838">
        <f t="shared" si="597"/>
        <v>0</v>
      </c>
      <c r="Y1838">
        <f t="shared" si="598"/>
        <v>12</v>
      </c>
      <c r="CP1838">
        <f>IF(包装物料出入库明细!$D1838="",0,1)</f>
        <v>0</v>
      </c>
      <c r="CQ1838">
        <f t="shared" si="599"/>
        <v>37</v>
      </c>
      <c r="CS1838" t="str">
        <f>IF(OR(周转筐出入库明细!$C1839="",周转筐出入库明细!$F1839&lt;&gt;"采购入库"),"",周转筐出入库明细!$C1839)</f>
        <v/>
      </c>
      <c r="CT1838">
        <f t="shared" si="600"/>
        <v>0</v>
      </c>
      <c r="CU1838">
        <f t="shared" si="601"/>
        <v>1</v>
      </c>
    </row>
    <row r="1839" spans="1:99">
      <c r="A1839" t="str">
        <f>IF(包装物料出入库明细!$E1839="","",包装物料出入库明细!$E1839)</f>
        <v/>
      </c>
      <c r="B1839">
        <f t="shared" si="591"/>
        <v>0</v>
      </c>
      <c r="C1839">
        <f t="shared" si="592"/>
        <v>7</v>
      </c>
      <c r="D1839" t="str">
        <f>IF(包装物料出入库明细!$E1839="","",包装物料出入库明细!$F1839)</f>
        <v/>
      </c>
      <c r="E1839" t="str">
        <f>IF(包装物料出入库明细!$E1839="","",包装物料出入库明细!$G1839)</f>
        <v/>
      </c>
      <c r="K1839" t="str">
        <f>IF(包装物料出入库明细!$D1839="","",包装物料出入库明细!$D1839)</f>
        <v/>
      </c>
      <c r="L1839">
        <f t="shared" si="593"/>
        <v>0</v>
      </c>
      <c r="M1839">
        <f t="shared" si="594"/>
        <v>9</v>
      </c>
      <c r="Q1839" t="str">
        <f>IF(周转筐出入库明细!$D1840="","",周转筐出入库明细!$D1840)</f>
        <v/>
      </c>
      <c r="R1839">
        <f t="shared" si="595"/>
        <v>0</v>
      </c>
      <c r="S1839">
        <f t="shared" si="596"/>
        <v>5</v>
      </c>
      <c r="W1839" t="str">
        <f>IF(周转筐出入库明细!$C1840="","",周转筐出入库明细!$C1840)</f>
        <v/>
      </c>
      <c r="X1839">
        <f t="shared" si="597"/>
        <v>0</v>
      </c>
      <c r="Y1839">
        <f t="shared" si="598"/>
        <v>12</v>
      </c>
      <c r="CP1839">
        <f>IF(包装物料出入库明细!$D1839="",0,1)</f>
        <v>0</v>
      </c>
      <c r="CQ1839">
        <f t="shared" si="599"/>
        <v>37</v>
      </c>
      <c r="CS1839" t="str">
        <f>IF(OR(周转筐出入库明细!$C1840="",周转筐出入库明细!$F1840&lt;&gt;"采购入库"),"",周转筐出入库明细!$C1840)</f>
        <v/>
      </c>
      <c r="CT1839">
        <f t="shared" si="600"/>
        <v>0</v>
      </c>
      <c r="CU1839">
        <f t="shared" si="601"/>
        <v>1</v>
      </c>
    </row>
    <row r="1840" spans="1:99">
      <c r="A1840" t="str">
        <f>IF(包装物料出入库明细!$E1840="","",包装物料出入库明细!$E1840)</f>
        <v/>
      </c>
      <c r="B1840">
        <f t="shared" si="591"/>
        <v>0</v>
      </c>
      <c r="C1840">
        <f t="shared" si="592"/>
        <v>7</v>
      </c>
      <c r="D1840" t="str">
        <f>IF(包装物料出入库明细!$E1840="","",包装物料出入库明细!$F1840)</f>
        <v/>
      </c>
      <c r="E1840" t="str">
        <f>IF(包装物料出入库明细!$E1840="","",包装物料出入库明细!$G1840)</f>
        <v/>
      </c>
      <c r="K1840" t="str">
        <f>IF(包装物料出入库明细!$D1840="","",包装物料出入库明细!$D1840)</f>
        <v/>
      </c>
      <c r="L1840">
        <f t="shared" si="593"/>
        <v>0</v>
      </c>
      <c r="M1840">
        <f t="shared" si="594"/>
        <v>9</v>
      </c>
      <c r="Q1840" t="str">
        <f>IF(周转筐出入库明细!$D1841="","",周转筐出入库明细!$D1841)</f>
        <v/>
      </c>
      <c r="R1840">
        <f t="shared" si="595"/>
        <v>0</v>
      </c>
      <c r="S1840">
        <f t="shared" si="596"/>
        <v>5</v>
      </c>
      <c r="W1840" t="str">
        <f>IF(周转筐出入库明细!$C1841="","",周转筐出入库明细!$C1841)</f>
        <v/>
      </c>
      <c r="X1840">
        <f t="shared" si="597"/>
        <v>0</v>
      </c>
      <c r="Y1840">
        <f t="shared" si="598"/>
        <v>12</v>
      </c>
      <c r="CP1840">
        <f>IF(包装物料出入库明细!$D1840="",0,1)</f>
        <v>0</v>
      </c>
      <c r="CQ1840">
        <f t="shared" si="599"/>
        <v>37</v>
      </c>
      <c r="CS1840" t="str">
        <f>IF(OR(周转筐出入库明细!$C1841="",周转筐出入库明细!$F1841&lt;&gt;"采购入库"),"",周转筐出入库明细!$C1841)</f>
        <v/>
      </c>
      <c r="CT1840">
        <f t="shared" si="600"/>
        <v>0</v>
      </c>
      <c r="CU1840">
        <f t="shared" si="601"/>
        <v>1</v>
      </c>
    </row>
    <row r="1841" spans="1:99">
      <c r="A1841" t="str">
        <f>IF(包装物料出入库明细!$E1841="","",包装物料出入库明细!$E1841)</f>
        <v/>
      </c>
      <c r="B1841">
        <f t="shared" si="591"/>
        <v>0</v>
      </c>
      <c r="C1841">
        <f t="shared" si="592"/>
        <v>7</v>
      </c>
      <c r="D1841" t="str">
        <f>IF(包装物料出入库明细!$E1841="","",包装物料出入库明细!$F1841)</f>
        <v/>
      </c>
      <c r="E1841" t="str">
        <f>IF(包装物料出入库明细!$E1841="","",包装物料出入库明细!$G1841)</f>
        <v/>
      </c>
      <c r="K1841" t="str">
        <f>IF(包装物料出入库明细!$D1841="","",包装物料出入库明细!$D1841)</f>
        <v/>
      </c>
      <c r="L1841">
        <f t="shared" si="593"/>
        <v>0</v>
      </c>
      <c r="M1841">
        <f t="shared" si="594"/>
        <v>9</v>
      </c>
      <c r="Q1841" t="str">
        <f>IF(周转筐出入库明细!$D1842="","",周转筐出入库明细!$D1842)</f>
        <v/>
      </c>
      <c r="R1841">
        <f t="shared" si="595"/>
        <v>0</v>
      </c>
      <c r="S1841">
        <f t="shared" si="596"/>
        <v>5</v>
      </c>
      <c r="W1841" t="str">
        <f>IF(周转筐出入库明细!$C1842="","",周转筐出入库明细!$C1842)</f>
        <v/>
      </c>
      <c r="X1841">
        <f t="shared" si="597"/>
        <v>0</v>
      </c>
      <c r="Y1841">
        <f t="shared" si="598"/>
        <v>12</v>
      </c>
      <c r="CP1841">
        <f>IF(包装物料出入库明细!$D1841="",0,1)</f>
        <v>0</v>
      </c>
      <c r="CQ1841">
        <f t="shared" si="599"/>
        <v>37</v>
      </c>
      <c r="CS1841" t="str">
        <f>IF(OR(周转筐出入库明细!$C1842="",周转筐出入库明细!$F1842&lt;&gt;"采购入库"),"",周转筐出入库明细!$C1842)</f>
        <v/>
      </c>
      <c r="CT1841">
        <f t="shared" si="600"/>
        <v>0</v>
      </c>
      <c r="CU1841">
        <f t="shared" si="601"/>
        <v>1</v>
      </c>
    </row>
    <row r="1842" spans="1:99">
      <c r="A1842" t="str">
        <f>IF(包装物料出入库明细!$E1842="","",包装物料出入库明细!$E1842)</f>
        <v/>
      </c>
      <c r="B1842">
        <f t="shared" si="591"/>
        <v>0</v>
      </c>
      <c r="C1842">
        <f t="shared" si="592"/>
        <v>7</v>
      </c>
      <c r="D1842" t="str">
        <f>IF(包装物料出入库明细!$E1842="","",包装物料出入库明细!$F1842)</f>
        <v/>
      </c>
      <c r="E1842" t="str">
        <f>IF(包装物料出入库明细!$E1842="","",包装物料出入库明细!$G1842)</f>
        <v/>
      </c>
      <c r="K1842" t="str">
        <f>IF(包装物料出入库明细!$D1842="","",包装物料出入库明细!$D1842)</f>
        <v/>
      </c>
      <c r="L1842">
        <f t="shared" si="593"/>
        <v>0</v>
      </c>
      <c r="M1842">
        <f t="shared" si="594"/>
        <v>9</v>
      </c>
      <c r="Q1842" t="str">
        <f>IF(周转筐出入库明细!$D1843="","",周转筐出入库明细!$D1843)</f>
        <v/>
      </c>
      <c r="R1842">
        <f t="shared" si="595"/>
        <v>0</v>
      </c>
      <c r="S1842">
        <f t="shared" si="596"/>
        <v>5</v>
      </c>
      <c r="W1842" t="str">
        <f>IF(周转筐出入库明细!$C1843="","",周转筐出入库明细!$C1843)</f>
        <v/>
      </c>
      <c r="X1842">
        <f t="shared" si="597"/>
        <v>0</v>
      </c>
      <c r="Y1842">
        <f t="shared" si="598"/>
        <v>12</v>
      </c>
      <c r="CP1842">
        <f>IF(包装物料出入库明细!$D1842="",0,1)</f>
        <v>0</v>
      </c>
      <c r="CQ1842">
        <f t="shared" si="599"/>
        <v>37</v>
      </c>
      <c r="CS1842" t="str">
        <f>IF(OR(周转筐出入库明细!$C1843="",周转筐出入库明细!$F1843&lt;&gt;"采购入库"),"",周转筐出入库明细!$C1843)</f>
        <v/>
      </c>
      <c r="CT1842">
        <f t="shared" si="600"/>
        <v>0</v>
      </c>
      <c r="CU1842">
        <f t="shared" si="601"/>
        <v>1</v>
      </c>
    </row>
    <row r="1843" spans="1:99">
      <c r="A1843" t="str">
        <f>IF(包装物料出入库明细!$E1843="","",包装物料出入库明细!$E1843)</f>
        <v/>
      </c>
      <c r="B1843">
        <f t="shared" si="591"/>
        <v>0</v>
      </c>
      <c r="C1843">
        <f t="shared" si="592"/>
        <v>7</v>
      </c>
      <c r="D1843" t="str">
        <f>IF(包装物料出入库明细!$E1843="","",包装物料出入库明细!$F1843)</f>
        <v/>
      </c>
      <c r="E1843" t="str">
        <f>IF(包装物料出入库明细!$E1843="","",包装物料出入库明细!$G1843)</f>
        <v/>
      </c>
      <c r="K1843" t="str">
        <f>IF(包装物料出入库明细!$D1843="","",包装物料出入库明细!$D1843)</f>
        <v/>
      </c>
      <c r="L1843">
        <f t="shared" si="593"/>
        <v>0</v>
      </c>
      <c r="M1843">
        <f t="shared" si="594"/>
        <v>9</v>
      </c>
      <c r="Q1843" t="str">
        <f>IF(周转筐出入库明细!$D1844="","",周转筐出入库明细!$D1844)</f>
        <v/>
      </c>
      <c r="R1843">
        <f t="shared" si="595"/>
        <v>0</v>
      </c>
      <c r="S1843">
        <f t="shared" si="596"/>
        <v>5</v>
      </c>
      <c r="W1843" t="str">
        <f>IF(周转筐出入库明细!$C1844="","",周转筐出入库明细!$C1844)</f>
        <v/>
      </c>
      <c r="X1843">
        <f t="shared" si="597"/>
        <v>0</v>
      </c>
      <c r="Y1843">
        <f t="shared" si="598"/>
        <v>12</v>
      </c>
      <c r="CP1843">
        <f>IF(包装物料出入库明细!$D1843="",0,1)</f>
        <v>0</v>
      </c>
      <c r="CQ1843">
        <f t="shared" si="599"/>
        <v>37</v>
      </c>
      <c r="CS1843" t="str">
        <f>IF(OR(周转筐出入库明细!$C1844="",周转筐出入库明细!$F1844&lt;&gt;"采购入库"),"",周转筐出入库明细!$C1844)</f>
        <v/>
      </c>
      <c r="CT1843">
        <f t="shared" si="600"/>
        <v>0</v>
      </c>
      <c r="CU1843">
        <f t="shared" si="601"/>
        <v>1</v>
      </c>
    </row>
    <row r="1844" spans="1:99">
      <c r="A1844" t="str">
        <f>IF(包装物料出入库明细!$E1844="","",包装物料出入库明细!$E1844)</f>
        <v/>
      </c>
      <c r="B1844">
        <f t="shared" si="591"/>
        <v>0</v>
      </c>
      <c r="C1844">
        <f t="shared" si="592"/>
        <v>7</v>
      </c>
      <c r="D1844" t="str">
        <f>IF(包装物料出入库明细!$E1844="","",包装物料出入库明细!$F1844)</f>
        <v/>
      </c>
      <c r="E1844" t="str">
        <f>IF(包装物料出入库明细!$E1844="","",包装物料出入库明细!$G1844)</f>
        <v/>
      </c>
      <c r="K1844" t="str">
        <f>IF(包装物料出入库明细!$D1844="","",包装物料出入库明细!$D1844)</f>
        <v/>
      </c>
      <c r="L1844">
        <f t="shared" si="593"/>
        <v>0</v>
      </c>
      <c r="M1844">
        <f t="shared" si="594"/>
        <v>9</v>
      </c>
      <c r="Q1844" t="str">
        <f>IF(周转筐出入库明细!$D1845="","",周转筐出入库明细!$D1845)</f>
        <v/>
      </c>
      <c r="R1844">
        <f t="shared" si="595"/>
        <v>0</v>
      </c>
      <c r="S1844">
        <f t="shared" si="596"/>
        <v>5</v>
      </c>
      <c r="W1844" t="str">
        <f>IF(周转筐出入库明细!$C1845="","",周转筐出入库明细!$C1845)</f>
        <v/>
      </c>
      <c r="X1844">
        <f t="shared" si="597"/>
        <v>0</v>
      </c>
      <c r="Y1844">
        <f t="shared" si="598"/>
        <v>12</v>
      </c>
      <c r="CP1844">
        <f>IF(包装物料出入库明细!$D1844="",0,1)</f>
        <v>0</v>
      </c>
      <c r="CQ1844">
        <f t="shared" si="599"/>
        <v>37</v>
      </c>
      <c r="CS1844" t="str">
        <f>IF(OR(周转筐出入库明细!$C1845="",周转筐出入库明细!$F1845&lt;&gt;"采购入库"),"",周转筐出入库明细!$C1845)</f>
        <v/>
      </c>
      <c r="CT1844">
        <f t="shared" si="600"/>
        <v>0</v>
      </c>
      <c r="CU1844">
        <f t="shared" si="601"/>
        <v>1</v>
      </c>
    </row>
    <row r="1845" spans="1:99">
      <c r="A1845" t="str">
        <f>IF(包装物料出入库明细!$E1845="","",包装物料出入库明细!$E1845)</f>
        <v/>
      </c>
      <c r="B1845">
        <f t="shared" si="591"/>
        <v>0</v>
      </c>
      <c r="C1845">
        <f t="shared" si="592"/>
        <v>7</v>
      </c>
      <c r="D1845" t="str">
        <f>IF(包装物料出入库明细!$E1845="","",包装物料出入库明细!$F1845)</f>
        <v/>
      </c>
      <c r="E1845" t="str">
        <f>IF(包装物料出入库明细!$E1845="","",包装物料出入库明细!$G1845)</f>
        <v/>
      </c>
      <c r="K1845" t="str">
        <f>IF(包装物料出入库明细!$D1845="","",包装物料出入库明细!$D1845)</f>
        <v/>
      </c>
      <c r="L1845">
        <f t="shared" si="593"/>
        <v>0</v>
      </c>
      <c r="M1845">
        <f t="shared" si="594"/>
        <v>9</v>
      </c>
      <c r="Q1845" t="str">
        <f>IF(周转筐出入库明细!$D1846="","",周转筐出入库明细!$D1846)</f>
        <v/>
      </c>
      <c r="R1845">
        <f t="shared" si="595"/>
        <v>0</v>
      </c>
      <c r="S1845">
        <f t="shared" si="596"/>
        <v>5</v>
      </c>
      <c r="W1845" t="str">
        <f>IF(周转筐出入库明细!$C1846="","",周转筐出入库明细!$C1846)</f>
        <v/>
      </c>
      <c r="X1845">
        <f t="shared" si="597"/>
        <v>0</v>
      </c>
      <c r="Y1845">
        <f t="shared" si="598"/>
        <v>12</v>
      </c>
      <c r="CP1845">
        <f>IF(包装物料出入库明细!$D1845="",0,1)</f>
        <v>0</v>
      </c>
      <c r="CQ1845">
        <f t="shared" si="599"/>
        <v>37</v>
      </c>
      <c r="CS1845" t="str">
        <f>IF(OR(周转筐出入库明细!$C1846="",周转筐出入库明细!$F1846&lt;&gt;"采购入库"),"",周转筐出入库明细!$C1846)</f>
        <v/>
      </c>
      <c r="CT1845">
        <f t="shared" si="600"/>
        <v>0</v>
      </c>
      <c r="CU1845">
        <f t="shared" si="601"/>
        <v>1</v>
      </c>
    </row>
    <row r="1846" spans="1:99">
      <c r="A1846" t="str">
        <f>IF(包装物料出入库明细!$E1846="","",包装物料出入库明细!$E1846)</f>
        <v/>
      </c>
      <c r="B1846">
        <f t="shared" si="591"/>
        <v>0</v>
      </c>
      <c r="C1846">
        <f t="shared" si="592"/>
        <v>7</v>
      </c>
      <c r="D1846" t="str">
        <f>IF(包装物料出入库明细!$E1846="","",包装物料出入库明细!$F1846)</f>
        <v/>
      </c>
      <c r="E1846" t="str">
        <f>IF(包装物料出入库明细!$E1846="","",包装物料出入库明细!$G1846)</f>
        <v/>
      </c>
      <c r="K1846" t="str">
        <f>IF(包装物料出入库明细!$D1846="","",包装物料出入库明细!$D1846)</f>
        <v/>
      </c>
      <c r="L1846">
        <f t="shared" si="593"/>
        <v>0</v>
      </c>
      <c r="M1846">
        <f t="shared" si="594"/>
        <v>9</v>
      </c>
      <c r="Q1846" t="str">
        <f>IF(周转筐出入库明细!$D1847="","",周转筐出入库明细!$D1847)</f>
        <v/>
      </c>
      <c r="R1846">
        <f t="shared" si="595"/>
        <v>0</v>
      </c>
      <c r="S1846">
        <f t="shared" si="596"/>
        <v>5</v>
      </c>
      <c r="W1846" t="str">
        <f>IF(周转筐出入库明细!$C1847="","",周转筐出入库明细!$C1847)</f>
        <v/>
      </c>
      <c r="X1846">
        <f t="shared" si="597"/>
        <v>0</v>
      </c>
      <c r="Y1846">
        <f t="shared" si="598"/>
        <v>12</v>
      </c>
      <c r="CP1846">
        <f>IF(包装物料出入库明细!$D1846="",0,1)</f>
        <v>0</v>
      </c>
      <c r="CQ1846">
        <f t="shared" si="599"/>
        <v>37</v>
      </c>
      <c r="CS1846" t="str">
        <f>IF(OR(周转筐出入库明细!$C1847="",周转筐出入库明细!$F1847&lt;&gt;"采购入库"),"",周转筐出入库明细!$C1847)</f>
        <v/>
      </c>
      <c r="CT1846">
        <f t="shared" si="600"/>
        <v>0</v>
      </c>
      <c r="CU1846">
        <f t="shared" si="601"/>
        <v>1</v>
      </c>
    </row>
    <row r="1847" spans="1:99">
      <c r="A1847" t="str">
        <f>IF(包装物料出入库明细!$E1847="","",包装物料出入库明细!$E1847)</f>
        <v/>
      </c>
      <c r="B1847">
        <f t="shared" si="591"/>
        <v>0</v>
      </c>
      <c r="C1847">
        <f t="shared" si="592"/>
        <v>7</v>
      </c>
      <c r="D1847" t="str">
        <f>IF(包装物料出入库明细!$E1847="","",包装物料出入库明细!$F1847)</f>
        <v/>
      </c>
      <c r="E1847" t="str">
        <f>IF(包装物料出入库明细!$E1847="","",包装物料出入库明细!$G1847)</f>
        <v/>
      </c>
      <c r="K1847" t="str">
        <f>IF(包装物料出入库明细!$D1847="","",包装物料出入库明细!$D1847)</f>
        <v/>
      </c>
      <c r="L1847">
        <f t="shared" si="593"/>
        <v>0</v>
      </c>
      <c r="M1847">
        <f t="shared" si="594"/>
        <v>9</v>
      </c>
      <c r="Q1847" t="str">
        <f>IF(周转筐出入库明细!$D1848="","",周转筐出入库明细!$D1848)</f>
        <v/>
      </c>
      <c r="R1847">
        <f t="shared" si="595"/>
        <v>0</v>
      </c>
      <c r="S1847">
        <f t="shared" si="596"/>
        <v>5</v>
      </c>
      <c r="W1847" t="str">
        <f>IF(周转筐出入库明细!$C1848="","",周转筐出入库明细!$C1848)</f>
        <v/>
      </c>
      <c r="X1847">
        <f t="shared" si="597"/>
        <v>0</v>
      </c>
      <c r="Y1847">
        <f t="shared" si="598"/>
        <v>12</v>
      </c>
      <c r="CP1847">
        <f>IF(包装物料出入库明细!$D1847="",0,1)</f>
        <v>0</v>
      </c>
      <c r="CQ1847">
        <f t="shared" si="599"/>
        <v>37</v>
      </c>
      <c r="CS1847" t="str">
        <f>IF(OR(周转筐出入库明细!$C1848="",周转筐出入库明细!$F1848&lt;&gt;"采购入库"),"",周转筐出入库明细!$C1848)</f>
        <v/>
      </c>
      <c r="CT1847">
        <f t="shared" si="600"/>
        <v>0</v>
      </c>
      <c r="CU1847">
        <f t="shared" si="601"/>
        <v>1</v>
      </c>
    </row>
    <row r="1848" spans="1:99">
      <c r="A1848" t="str">
        <f>IF(包装物料出入库明细!$E1848="","",包装物料出入库明细!$E1848)</f>
        <v/>
      </c>
      <c r="B1848">
        <f t="shared" si="591"/>
        <v>0</v>
      </c>
      <c r="C1848">
        <f t="shared" si="592"/>
        <v>7</v>
      </c>
      <c r="D1848" t="str">
        <f>IF(包装物料出入库明细!$E1848="","",包装物料出入库明细!$F1848)</f>
        <v/>
      </c>
      <c r="E1848" t="str">
        <f>IF(包装物料出入库明细!$E1848="","",包装物料出入库明细!$G1848)</f>
        <v/>
      </c>
      <c r="K1848" t="str">
        <f>IF(包装物料出入库明细!$D1848="","",包装物料出入库明细!$D1848)</f>
        <v/>
      </c>
      <c r="L1848">
        <f t="shared" si="593"/>
        <v>0</v>
      </c>
      <c r="M1848">
        <f t="shared" si="594"/>
        <v>9</v>
      </c>
      <c r="Q1848" t="str">
        <f>IF(周转筐出入库明细!$D1849="","",周转筐出入库明细!$D1849)</f>
        <v/>
      </c>
      <c r="R1848">
        <f t="shared" si="595"/>
        <v>0</v>
      </c>
      <c r="S1848">
        <f t="shared" si="596"/>
        <v>5</v>
      </c>
      <c r="W1848" t="str">
        <f>IF(周转筐出入库明细!$C1849="","",周转筐出入库明细!$C1849)</f>
        <v/>
      </c>
      <c r="X1848">
        <f t="shared" si="597"/>
        <v>0</v>
      </c>
      <c r="Y1848">
        <f t="shared" si="598"/>
        <v>12</v>
      </c>
      <c r="CP1848">
        <f>IF(包装物料出入库明细!$D1848="",0,1)</f>
        <v>0</v>
      </c>
      <c r="CQ1848">
        <f t="shared" si="599"/>
        <v>37</v>
      </c>
      <c r="CS1848" t="str">
        <f>IF(OR(周转筐出入库明细!$C1849="",周转筐出入库明细!$F1849&lt;&gt;"采购入库"),"",周转筐出入库明细!$C1849)</f>
        <v/>
      </c>
      <c r="CT1848">
        <f t="shared" si="600"/>
        <v>0</v>
      </c>
      <c r="CU1848">
        <f t="shared" si="601"/>
        <v>1</v>
      </c>
    </row>
    <row r="1849" spans="1:99">
      <c r="A1849" t="str">
        <f>IF(包装物料出入库明细!$E1849="","",包装物料出入库明细!$E1849)</f>
        <v/>
      </c>
      <c r="B1849">
        <f t="shared" si="591"/>
        <v>0</v>
      </c>
      <c r="C1849">
        <f t="shared" si="592"/>
        <v>7</v>
      </c>
      <c r="D1849" t="str">
        <f>IF(包装物料出入库明细!$E1849="","",包装物料出入库明细!$F1849)</f>
        <v/>
      </c>
      <c r="E1849" t="str">
        <f>IF(包装物料出入库明细!$E1849="","",包装物料出入库明细!$G1849)</f>
        <v/>
      </c>
      <c r="K1849" t="str">
        <f>IF(包装物料出入库明细!$D1849="","",包装物料出入库明细!$D1849)</f>
        <v/>
      </c>
      <c r="L1849">
        <f t="shared" si="593"/>
        <v>0</v>
      </c>
      <c r="M1849">
        <f t="shared" si="594"/>
        <v>9</v>
      </c>
      <c r="Q1849" t="str">
        <f>IF(周转筐出入库明细!$D1850="","",周转筐出入库明细!$D1850)</f>
        <v/>
      </c>
      <c r="R1849">
        <f t="shared" si="595"/>
        <v>0</v>
      </c>
      <c r="S1849">
        <f t="shared" si="596"/>
        <v>5</v>
      </c>
      <c r="W1849" t="str">
        <f>IF(周转筐出入库明细!$C1850="","",周转筐出入库明细!$C1850)</f>
        <v/>
      </c>
      <c r="X1849">
        <f t="shared" si="597"/>
        <v>0</v>
      </c>
      <c r="Y1849">
        <f t="shared" si="598"/>
        <v>12</v>
      </c>
      <c r="CP1849">
        <f>IF(包装物料出入库明细!$D1849="",0,1)</f>
        <v>0</v>
      </c>
      <c r="CQ1849">
        <f t="shared" si="599"/>
        <v>37</v>
      </c>
      <c r="CS1849" t="str">
        <f>IF(OR(周转筐出入库明细!$C1850="",周转筐出入库明细!$F1850&lt;&gt;"采购入库"),"",周转筐出入库明细!$C1850)</f>
        <v/>
      </c>
      <c r="CT1849">
        <f t="shared" si="600"/>
        <v>0</v>
      </c>
      <c r="CU1849">
        <f t="shared" si="601"/>
        <v>1</v>
      </c>
    </row>
    <row r="1850" spans="1:99">
      <c r="A1850" t="str">
        <f>IF(包装物料出入库明细!$E1850="","",包装物料出入库明细!$E1850)</f>
        <v/>
      </c>
      <c r="B1850">
        <f t="shared" si="591"/>
        <v>0</v>
      </c>
      <c r="C1850">
        <f t="shared" si="592"/>
        <v>7</v>
      </c>
      <c r="D1850" t="str">
        <f>IF(包装物料出入库明细!$E1850="","",包装物料出入库明细!$F1850)</f>
        <v/>
      </c>
      <c r="E1850" t="str">
        <f>IF(包装物料出入库明细!$E1850="","",包装物料出入库明细!$G1850)</f>
        <v/>
      </c>
      <c r="K1850" t="str">
        <f>IF(包装物料出入库明细!$D1850="","",包装物料出入库明细!$D1850)</f>
        <v/>
      </c>
      <c r="L1850">
        <f t="shared" si="593"/>
        <v>0</v>
      </c>
      <c r="M1850">
        <f t="shared" si="594"/>
        <v>9</v>
      </c>
      <c r="Q1850" t="str">
        <f>IF(周转筐出入库明细!$D1851="","",周转筐出入库明细!$D1851)</f>
        <v/>
      </c>
      <c r="R1850">
        <f t="shared" si="595"/>
        <v>0</v>
      </c>
      <c r="S1850">
        <f t="shared" si="596"/>
        <v>5</v>
      </c>
      <c r="W1850" t="str">
        <f>IF(周转筐出入库明细!$C1851="","",周转筐出入库明细!$C1851)</f>
        <v/>
      </c>
      <c r="X1850">
        <f t="shared" si="597"/>
        <v>0</v>
      </c>
      <c r="Y1850">
        <f t="shared" si="598"/>
        <v>12</v>
      </c>
      <c r="CP1850">
        <f>IF(包装物料出入库明细!$D1850="",0,1)</f>
        <v>0</v>
      </c>
      <c r="CQ1850">
        <f t="shared" si="599"/>
        <v>37</v>
      </c>
      <c r="CS1850" t="str">
        <f>IF(OR(周转筐出入库明细!$C1851="",周转筐出入库明细!$F1851&lt;&gt;"采购入库"),"",周转筐出入库明细!$C1851)</f>
        <v/>
      </c>
      <c r="CT1850">
        <f t="shared" si="600"/>
        <v>0</v>
      </c>
      <c r="CU1850">
        <f t="shared" si="601"/>
        <v>1</v>
      </c>
    </row>
    <row r="1851" spans="1:99">
      <c r="A1851" t="str">
        <f>IF(包装物料出入库明细!$E1851="","",包装物料出入库明细!$E1851)</f>
        <v/>
      </c>
      <c r="B1851">
        <f t="shared" si="591"/>
        <v>0</v>
      </c>
      <c r="C1851">
        <f t="shared" si="592"/>
        <v>7</v>
      </c>
      <c r="D1851" t="str">
        <f>IF(包装物料出入库明细!$E1851="","",包装物料出入库明细!$F1851)</f>
        <v/>
      </c>
      <c r="E1851" t="str">
        <f>IF(包装物料出入库明细!$E1851="","",包装物料出入库明细!$G1851)</f>
        <v/>
      </c>
      <c r="K1851" t="str">
        <f>IF(包装物料出入库明细!$D1851="","",包装物料出入库明细!$D1851)</f>
        <v/>
      </c>
      <c r="L1851">
        <f t="shared" si="593"/>
        <v>0</v>
      </c>
      <c r="M1851">
        <f t="shared" si="594"/>
        <v>9</v>
      </c>
      <c r="Q1851" t="str">
        <f>IF(周转筐出入库明细!$D1852="","",周转筐出入库明细!$D1852)</f>
        <v/>
      </c>
      <c r="R1851">
        <f t="shared" si="595"/>
        <v>0</v>
      </c>
      <c r="S1851">
        <f t="shared" si="596"/>
        <v>5</v>
      </c>
      <c r="W1851" t="str">
        <f>IF(周转筐出入库明细!$C1852="","",周转筐出入库明细!$C1852)</f>
        <v/>
      </c>
      <c r="X1851">
        <f t="shared" si="597"/>
        <v>0</v>
      </c>
      <c r="Y1851">
        <f t="shared" si="598"/>
        <v>12</v>
      </c>
      <c r="CP1851">
        <f>IF(包装物料出入库明细!$D1851="",0,1)</f>
        <v>0</v>
      </c>
      <c r="CQ1851">
        <f t="shared" si="599"/>
        <v>37</v>
      </c>
      <c r="CS1851" t="str">
        <f>IF(OR(周转筐出入库明细!$C1852="",周转筐出入库明细!$F1852&lt;&gt;"采购入库"),"",周转筐出入库明细!$C1852)</f>
        <v/>
      </c>
      <c r="CT1851">
        <f t="shared" si="600"/>
        <v>0</v>
      </c>
      <c r="CU1851">
        <f t="shared" si="601"/>
        <v>1</v>
      </c>
    </row>
    <row r="1852" spans="1:99">
      <c r="A1852" t="str">
        <f>IF(包装物料出入库明细!$E1852="","",包装物料出入库明细!$E1852)</f>
        <v/>
      </c>
      <c r="B1852">
        <f t="shared" si="591"/>
        <v>0</v>
      </c>
      <c r="C1852">
        <f t="shared" si="592"/>
        <v>7</v>
      </c>
      <c r="D1852" t="str">
        <f>IF(包装物料出入库明细!$E1852="","",包装物料出入库明细!$F1852)</f>
        <v/>
      </c>
      <c r="E1852" t="str">
        <f>IF(包装物料出入库明细!$E1852="","",包装物料出入库明细!$G1852)</f>
        <v/>
      </c>
      <c r="K1852" t="str">
        <f>IF(包装物料出入库明细!$D1852="","",包装物料出入库明细!$D1852)</f>
        <v/>
      </c>
      <c r="L1852">
        <f t="shared" si="593"/>
        <v>0</v>
      </c>
      <c r="M1852">
        <f t="shared" si="594"/>
        <v>9</v>
      </c>
      <c r="Q1852" t="str">
        <f>IF(周转筐出入库明细!$D1853="","",周转筐出入库明细!$D1853)</f>
        <v/>
      </c>
      <c r="R1852">
        <f t="shared" si="595"/>
        <v>0</v>
      </c>
      <c r="S1852">
        <f t="shared" si="596"/>
        <v>5</v>
      </c>
      <c r="W1852" t="str">
        <f>IF(周转筐出入库明细!$C1853="","",周转筐出入库明细!$C1853)</f>
        <v/>
      </c>
      <c r="X1852">
        <f t="shared" si="597"/>
        <v>0</v>
      </c>
      <c r="Y1852">
        <f t="shared" si="598"/>
        <v>12</v>
      </c>
      <c r="CP1852">
        <f>IF(包装物料出入库明细!$D1852="",0,1)</f>
        <v>0</v>
      </c>
      <c r="CQ1852">
        <f t="shared" si="599"/>
        <v>37</v>
      </c>
      <c r="CS1852" t="str">
        <f>IF(OR(周转筐出入库明细!$C1853="",周转筐出入库明细!$F1853&lt;&gt;"采购入库"),"",周转筐出入库明细!$C1853)</f>
        <v/>
      </c>
      <c r="CT1852">
        <f t="shared" si="600"/>
        <v>0</v>
      </c>
      <c r="CU1852">
        <f t="shared" si="601"/>
        <v>1</v>
      </c>
    </row>
    <row r="1853" spans="1:99">
      <c r="A1853" t="str">
        <f>IF(包装物料出入库明细!$E1853="","",包装物料出入库明细!$E1853)</f>
        <v/>
      </c>
      <c r="B1853">
        <f t="shared" si="591"/>
        <v>0</v>
      </c>
      <c r="C1853">
        <f t="shared" si="592"/>
        <v>7</v>
      </c>
      <c r="D1853" t="str">
        <f>IF(包装物料出入库明细!$E1853="","",包装物料出入库明细!$F1853)</f>
        <v/>
      </c>
      <c r="E1853" t="str">
        <f>IF(包装物料出入库明细!$E1853="","",包装物料出入库明细!$G1853)</f>
        <v/>
      </c>
      <c r="K1853" t="str">
        <f>IF(包装物料出入库明细!$D1853="","",包装物料出入库明细!$D1853)</f>
        <v/>
      </c>
      <c r="L1853">
        <f t="shared" si="593"/>
        <v>0</v>
      </c>
      <c r="M1853">
        <f t="shared" si="594"/>
        <v>9</v>
      </c>
      <c r="Q1853" t="str">
        <f>IF(周转筐出入库明细!$D1854="","",周转筐出入库明细!$D1854)</f>
        <v/>
      </c>
      <c r="R1853">
        <f t="shared" si="595"/>
        <v>0</v>
      </c>
      <c r="S1853">
        <f t="shared" si="596"/>
        <v>5</v>
      </c>
      <c r="W1853" t="str">
        <f>IF(周转筐出入库明细!$C1854="","",周转筐出入库明细!$C1854)</f>
        <v/>
      </c>
      <c r="X1853">
        <f t="shared" si="597"/>
        <v>0</v>
      </c>
      <c r="Y1853">
        <f t="shared" si="598"/>
        <v>12</v>
      </c>
      <c r="CP1853">
        <f>IF(包装物料出入库明细!$D1853="",0,1)</f>
        <v>0</v>
      </c>
      <c r="CQ1853">
        <f t="shared" si="599"/>
        <v>37</v>
      </c>
      <c r="CS1853" t="str">
        <f>IF(OR(周转筐出入库明细!$C1854="",周转筐出入库明细!$F1854&lt;&gt;"采购入库"),"",周转筐出入库明细!$C1854)</f>
        <v/>
      </c>
      <c r="CT1853">
        <f t="shared" si="600"/>
        <v>0</v>
      </c>
      <c r="CU1853">
        <f t="shared" si="601"/>
        <v>1</v>
      </c>
    </row>
    <row r="1854" spans="1:99">
      <c r="A1854" t="str">
        <f>IF(包装物料出入库明细!$E1854="","",包装物料出入库明细!$E1854)</f>
        <v/>
      </c>
      <c r="B1854">
        <f t="shared" si="591"/>
        <v>0</v>
      </c>
      <c r="C1854">
        <f t="shared" si="592"/>
        <v>7</v>
      </c>
      <c r="D1854" t="str">
        <f>IF(包装物料出入库明细!$E1854="","",包装物料出入库明细!$F1854)</f>
        <v/>
      </c>
      <c r="E1854" t="str">
        <f>IF(包装物料出入库明细!$E1854="","",包装物料出入库明细!$G1854)</f>
        <v/>
      </c>
      <c r="K1854" t="str">
        <f>IF(包装物料出入库明细!$D1854="","",包装物料出入库明细!$D1854)</f>
        <v/>
      </c>
      <c r="L1854">
        <f t="shared" si="593"/>
        <v>0</v>
      </c>
      <c r="M1854">
        <f t="shared" si="594"/>
        <v>9</v>
      </c>
      <c r="Q1854" t="str">
        <f>IF(周转筐出入库明细!$D1855="","",周转筐出入库明细!$D1855)</f>
        <v/>
      </c>
      <c r="R1854">
        <f t="shared" si="595"/>
        <v>0</v>
      </c>
      <c r="S1854">
        <f t="shared" si="596"/>
        <v>5</v>
      </c>
      <c r="W1854" t="str">
        <f>IF(周转筐出入库明细!$C1855="","",周转筐出入库明细!$C1855)</f>
        <v/>
      </c>
      <c r="X1854">
        <f t="shared" si="597"/>
        <v>0</v>
      </c>
      <c r="Y1854">
        <f t="shared" si="598"/>
        <v>12</v>
      </c>
      <c r="CP1854">
        <f>IF(包装物料出入库明细!$D1854="",0,1)</f>
        <v>0</v>
      </c>
      <c r="CQ1854">
        <f t="shared" si="599"/>
        <v>37</v>
      </c>
      <c r="CS1854" t="str">
        <f>IF(OR(周转筐出入库明细!$C1855="",周转筐出入库明细!$F1855&lt;&gt;"采购入库"),"",周转筐出入库明细!$C1855)</f>
        <v/>
      </c>
      <c r="CT1854">
        <f t="shared" si="600"/>
        <v>0</v>
      </c>
      <c r="CU1854">
        <f t="shared" si="601"/>
        <v>1</v>
      </c>
    </row>
    <row r="1855" spans="1:99">
      <c r="A1855" t="str">
        <f>IF(包装物料出入库明细!$E1855="","",包装物料出入库明细!$E1855)</f>
        <v/>
      </c>
      <c r="B1855">
        <f t="shared" si="591"/>
        <v>0</v>
      </c>
      <c r="C1855">
        <f t="shared" si="592"/>
        <v>7</v>
      </c>
      <c r="D1855" t="str">
        <f>IF(包装物料出入库明细!$E1855="","",包装物料出入库明细!$F1855)</f>
        <v/>
      </c>
      <c r="E1855" t="str">
        <f>IF(包装物料出入库明细!$E1855="","",包装物料出入库明细!$G1855)</f>
        <v/>
      </c>
      <c r="K1855" t="str">
        <f>IF(包装物料出入库明细!$D1855="","",包装物料出入库明细!$D1855)</f>
        <v/>
      </c>
      <c r="L1855">
        <f t="shared" si="593"/>
        <v>0</v>
      </c>
      <c r="M1855">
        <f t="shared" si="594"/>
        <v>9</v>
      </c>
      <c r="Q1855" t="str">
        <f>IF(周转筐出入库明细!$D1856="","",周转筐出入库明细!$D1856)</f>
        <v/>
      </c>
      <c r="R1855">
        <f t="shared" si="595"/>
        <v>0</v>
      </c>
      <c r="S1855">
        <f t="shared" si="596"/>
        <v>5</v>
      </c>
      <c r="W1855" t="str">
        <f>IF(周转筐出入库明细!$C1856="","",周转筐出入库明细!$C1856)</f>
        <v/>
      </c>
      <c r="X1855">
        <f t="shared" si="597"/>
        <v>0</v>
      </c>
      <c r="Y1855">
        <f t="shared" si="598"/>
        <v>12</v>
      </c>
      <c r="CP1855">
        <f>IF(包装物料出入库明细!$D1855="",0,1)</f>
        <v>0</v>
      </c>
      <c r="CQ1855">
        <f t="shared" si="599"/>
        <v>37</v>
      </c>
      <c r="CS1855" t="str">
        <f>IF(OR(周转筐出入库明细!$C1856="",周转筐出入库明细!$F1856&lt;&gt;"采购入库"),"",周转筐出入库明细!$C1856)</f>
        <v/>
      </c>
      <c r="CT1855">
        <f t="shared" si="600"/>
        <v>0</v>
      </c>
      <c r="CU1855">
        <f t="shared" si="601"/>
        <v>1</v>
      </c>
    </row>
    <row r="1856" spans="1:99">
      <c r="A1856" t="str">
        <f>IF(包装物料出入库明细!$E1856="","",包装物料出入库明细!$E1856)</f>
        <v/>
      </c>
      <c r="B1856">
        <f t="shared" si="591"/>
        <v>0</v>
      </c>
      <c r="C1856">
        <f t="shared" si="592"/>
        <v>7</v>
      </c>
      <c r="D1856" t="str">
        <f>IF(包装物料出入库明细!$E1856="","",包装物料出入库明细!$F1856)</f>
        <v/>
      </c>
      <c r="E1856" t="str">
        <f>IF(包装物料出入库明细!$E1856="","",包装物料出入库明细!$G1856)</f>
        <v/>
      </c>
      <c r="K1856" t="str">
        <f>IF(包装物料出入库明细!$D1856="","",包装物料出入库明细!$D1856)</f>
        <v/>
      </c>
      <c r="L1856">
        <f t="shared" si="593"/>
        <v>0</v>
      </c>
      <c r="M1856">
        <f t="shared" si="594"/>
        <v>9</v>
      </c>
      <c r="Q1856" t="str">
        <f>IF(周转筐出入库明细!$D1857="","",周转筐出入库明细!$D1857)</f>
        <v/>
      </c>
      <c r="R1856">
        <f t="shared" si="595"/>
        <v>0</v>
      </c>
      <c r="S1856">
        <f t="shared" si="596"/>
        <v>5</v>
      </c>
      <c r="W1856" t="str">
        <f>IF(周转筐出入库明细!$C1857="","",周转筐出入库明细!$C1857)</f>
        <v/>
      </c>
      <c r="X1856">
        <f t="shared" si="597"/>
        <v>0</v>
      </c>
      <c r="Y1856">
        <f t="shared" si="598"/>
        <v>12</v>
      </c>
      <c r="CP1856">
        <f>IF(包装物料出入库明细!$D1856="",0,1)</f>
        <v>0</v>
      </c>
      <c r="CQ1856">
        <f t="shared" si="599"/>
        <v>37</v>
      </c>
      <c r="CS1856" t="str">
        <f>IF(OR(周转筐出入库明细!$C1857="",周转筐出入库明细!$F1857&lt;&gt;"采购入库"),"",周转筐出入库明细!$C1857)</f>
        <v/>
      </c>
      <c r="CT1856">
        <f t="shared" si="600"/>
        <v>0</v>
      </c>
      <c r="CU1856">
        <f t="shared" si="601"/>
        <v>1</v>
      </c>
    </row>
    <row r="1857" spans="1:99">
      <c r="A1857" t="str">
        <f>IF(包装物料出入库明细!$E1857="","",包装物料出入库明细!$E1857)</f>
        <v/>
      </c>
      <c r="B1857">
        <f t="shared" si="591"/>
        <v>0</v>
      </c>
      <c r="C1857">
        <f t="shared" si="592"/>
        <v>7</v>
      </c>
      <c r="D1857" t="str">
        <f>IF(包装物料出入库明细!$E1857="","",包装物料出入库明细!$F1857)</f>
        <v/>
      </c>
      <c r="E1857" t="str">
        <f>IF(包装物料出入库明细!$E1857="","",包装物料出入库明细!$G1857)</f>
        <v/>
      </c>
      <c r="K1857" t="str">
        <f>IF(包装物料出入库明细!$D1857="","",包装物料出入库明细!$D1857)</f>
        <v/>
      </c>
      <c r="L1857">
        <f t="shared" si="593"/>
        <v>0</v>
      </c>
      <c r="M1857">
        <f t="shared" si="594"/>
        <v>9</v>
      </c>
      <c r="Q1857" t="str">
        <f>IF(周转筐出入库明细!$D1858="","",周转筐出入库明细!$D1858)</f>
        <v/>
      </c>
      <c r="R1857">
        <f t="shared" si="595"/>
        <v>0</v>
      </c>
      <c r="S1857">
        <f t="shared" si="596"/>
        <v>5</v>
      </c>
      <c r="W1857" t="str">
        <f>IF(周转筐出入库明细!$C1858="","",周转筐出入库明细!$C1858)</f>
        <v/>
      </c>
      <c r="X1857">
        <f t="shared" si="597"/>
        <v>0</v>
      </c>
      <c r="Y1857">
        <f t="shared" si="598"/>
        <v>12</v>
      </c>
      <c r="CP1857">
        <f>IF(包装物料出入库明细!$D1857="",0,1)</f>
        <v>0</v>
      </c>
      <c r="CQ1857">
        <f t="shared" si="599"/>
        <v>37</v>
      </c>
      <c r="CS1857" t="str">
        <f>IF(OR(周转筐出入库明细!$C1858="",周转筐出入库明细!$F1858&lt;&gt;"采购入库"),"",周转筐出入库明细!$C1858)</f>
        <v/>
      </c>
      <c r="CT1857">
        <f t="shared" si="600"/>
        <v>0</v>
      </c>
      <c r="CU1857">
        <f t="shared" si="601"/>
        <v>1</v>
      </c>
    </row>
    <row r="1858" spans="1:99">
      <c r="A1858" t="str">
        <f>IF(包装物料出入库明细!$E1858="","",包装物料出入库明细!$E1858)</f>
        <v/>
      </c>
      <c r="B1858">
        <f t="shared" si="591"/>
        <v>0</v>
      </c>
      <c r="C1858">
        <f t="shared" si="592"/>
        <v>7</v>
      </c>
      <c r="D1858" t="str">
        <f>IF(包装物料出入库明细!$E1858="","",包装物料出入库明细!$F1858)</f>
        <v/>
      </c>
      <c r="E1858" t="str">
        <f>IF(包装物料出入库明细!$E1858="","",包装物料出入库明细!$G1858)</f>
        <v/>
      </c>
      <c r="K1858" t="str">
        <f>IF(包装物料出入库明细!$D1858="","",包装物料出入库明细!$D1858)</f>
        <v/>
      </c>
      <c r="L1858">
        <f t="shared" si="593"/>
        <v>0</v>
      </c>
      <c r="M1858">
        <f t="shared" si="594"/>
        <v>9</v>
      </c>
      <c r="Q1858" t="str">
        <f>IF(周转筐出入库明细!$D1859="","",周转筐出入库明细!$D1859)</f>
        <v/>
      </c>
      <c r="R1858">
        <f t="shared" si="595"/>
        <v>0</v>
      </c>
      <c r="S1858">
        <f t="shared" si="596"/>
        <v>5</v>
      </c>
      <c r="W1858" t="str">
        <f>IF(周转筐出入库明细!$C1859="","",周转筐出入库明细!$C1859)</f>
        <v/>
      </c>
      <c r="X1858">
        <f t="shared" si="597"/>
        <v>0</v>
      </c>
      <c r="Y1858">
        <f t="shared" si="598"/>
        <v>12</v>
      </c>
      <c r="CP1858">
        <f>IF(包装物料出入库明细!$D1858="",0,1)</f>
        <v>0</v>
      </c>
      <c r="CQ1858">
        <f t="shared" si="599"/>
        <v>37</v>
      </c>
      <c r="CS1858" t="str">
        <f>IF(OR(周转筐出入库明细!$C1859="",周转筐出入库明细!$F1859&lt;&gt;"采购入库"),"",周转筐出入库明细!$C1859)</f>
        <v/>
      </c>
      <c r="CT1858">
        <f t="shared" si="600"/>
        <v>0</v>
      </c>
      <c r="CU1858">
        <f t="shared" si="601"/>
        <v>1</v>
      </c>
    </row>
    <row r="1859" spans="1:99">
      <c r="A1859" t="str">
        <f>IF(包装物料出入库明细!$E1859="","",包装物料出入库明细!$E1859)</f>
        <v/>
      </c>
      <c r="B1859">
        <f t="shared" si="591"/>
        <v>0</v>
      </c>
      <c r="C1859">
        <f t="shared" si="592"/>
        <v>7</v>
      </c>
      <c r="D1859" t="str">
        <f>IF(包装物料出入库明细!$E1859="","",包装物料出入库明细!$F1859)</f>
        <v/>
      </c>
      <c r="E1859" t="str">
        <f>IF(包装物料出入库明细!$E1859="","",包装物料出入库明细!$G1859)</f>
        <v/>
      </c>
      <c r="K1859" t="str">
        <f>IF(包装物料出入库明细!$D1859="","",包装物料出入库明细!$D1859)</f>
        <v/>
      </c>
      <c r="L1859">
        <f t="shared" si="593"/>
        <v>0</v>
      </c>
      <c r="M1859">
        <f t="shared" si="594"/>
        <v>9</v>
      </c>
      <c r="Q1859" t="str">
        <f>IF(周转筐出入库明细!$D1860="","",周转筐出入库明细!$D1860)</f>
        <v/>
      </c>
      <c r="R1859">
        <f t="shared" si="595"/>
        <v>0</v>
      </c>
      <c r="S1859">
        <f t="shared" si="596"/>
        <v>5</v>
      </c>
      <c r="W1859" t="str">
        <f>IF(周转筐出入库明细!$C1860="","",周转筐出入库明细!$C1860)</f>
        <v/>
      </c>
      <c r="X1859">
        <f t="shared" si="597"/>
        <v>0</v>
      </c>
      <c r="Y1859">
        <f t="shared" si="598"/>
        <v>12</v>
      </c>
      <c r="CP1859">
        <f>IF(包装物料出入库明细!$D1859="",0,1)</f>
        <v>0</v>
      </c>
      <c r="CQ1859">
        <f t="shared" si="599"/>
        <v>37</v>
      </c>
      <c r="CS1859" t="str">
        <f>IF(OR(周转筐出入库明细!$C1860="",周转筐出入库明细!$F1860&lt;&gt;"采购入库"),"",周转筐出入库明细!$C1860)</f>
        <v/>
      </c>
      <c r="CT1859">
        <f t="shared" si="600"/>
        <v>0</v>
      </c>
      <c r="CU1859">
        <f t="shared" si="601"/>
        <v>1</v>
      </c>
    </row>
    <row r="1860" spans="1:99">
      <c r="A1860" t="str">
        <f>IF(包装物料出入库明细!$E1860="","",包装物料出入库明细!$E1860)</f>
        <v/>
      </c>
      <c r="B1860">
        <f t="shared" ref="B1860:B1923" si="602">IF(A1860="",0,IF(MATCH(A1860,$A$4:$A$2003,0)=ROW()-3,1,0))</f>
        <v>0</v>
      </c>
      <c r="C1860">
        <f t="shared" ref="C1860:C1923" si="603">N(C1859)+B1860</f>
        <v>7</v>
      </c>
      <c r="D1860" t="str">
        <f>IF(包装物料出入库明细!$E1860="","",包装物料出入库明细!$F1860)</f>
        <v/>
      </c>
      <c r="E1860" t="str">
        <f>IF(包装物料出入库明细!$E1860="","",包装物料出入库明细!$G1860)</f>
        <v/>
      </c>
      <c r="K1860" t="str">
        <f>IF(包装物料出入库明细!$D1860="","",包装物料出入库明细!$D1860)</f>
        <v/>
      </c>
      <c r="L1860">
        <f t="shared" ref="L1860:L1923" si="604">IF(K1860="",0,IF(MATCH(K1860,$K$4:$K$2003,0)=ROW()-3,1,0))</f>
        <v>0</v>
      </c>
      <c r="M1860">
        <f t="shared" ref="M1860:M1923" si="605">N(M1859)+L1860</f>
        <v>9</v>
      </c>
      <c r="Q1860" t="str">
        <f>IF(周转筐出入库明细!$D1861="","",周转筐出入库明细!$D1861)</f>
        <v/>
      </c>
      <c r="R1860">
        <f t="shared" ref="R1860:R1923" si="606">IF(Q1860="",0,IF(MATCH(Q1860,$Q$4:$Q$2003,0)=ROW()-3,1,0))</f>
        <v>0</v>
      </c>
      <c r="S1860">
        <f t="shared" ref="S1860:S1923" si="607">N(S1859)+R1860</f>
        <v>5</v>
      </c>
      <c r="W1860" t="str">
        <f>IF(周转筐出入库明细!$C1861="","",周转筐出入库明细!$C1861)</f>
        <v/>
      </c>
      <c r="X1860">
        <f t="shared" ref="X1860:X1923" si="608">IF(W1860="",0,IF(MATCH(W1860,$W$4:$W$2003,0)=ROW()-3,1,0))</f>
        <v>0</v>
      </c>
      <c r="Y1860">
        <f t="shared" ref="Y1860:Y1923" si="609">N(Y1859)+X1860</f>
        <v>12</v>
      </c>
      <c r="CP1860">
        <f>IF(包装物料出入库明细!$D1860="",0,1)</f>
        <v>0</v>
      </c>
      <c r="CQ1860">
        <f t="shared" ref="CQ1860:CQ1923" si="610">N(CQ1859)+$CP1860</f>
        <v>37</v>
      </c>
      <c r="CS1860" t="str">
        <f>IF(OR(周转筐出入库明细!$C1861="",周转筐出入库明细!$F1861&lt;&gt;"采购入库"),"",周转筐出入库明细!$C1861)</f>
        <v/>
      </c>
      <c r="CT1860">
        <f t="shared" ref="CT1860:CT1923" si="611">IF(CS1860="",0,IF(MATCH(CS1860,$CS$4:$CS$2003,0)=ROW()-3,1,0))</f>
        <v>0</v>
      </c>
      <c r="CU1860">
        <f t="shared" ref="CU1860:CU1923" si="612">N(CU1859)+CT1860</f>
        <v>1</v>
      </c>
    </row>
    <row r="1861" spans="1:99">
      <c r="A1861" t="str">
        <f>IF(包装物料出入库明细!$E1861="","",包装物料出入库明细!$E1861)</f>
        <v/>
      </c>
      <c r="B1861">
        <f t="shared" si="602"/>
        <v>0</v>
      </c>
      <c r="C1861">
        <f t="shared" si="603"/>
        <v>7</v>
      </c>
      <c r="D1861" t="str">
        <f>IF(包装物料出入库明细!$E1861="","",包装物料出入库明细!$F1861)</f>
        <v/>
      </c>
      <c r="E1861" t="str">
        <f>IF(包装物料出入库明细!$E1861="","",包装物料出入库明细!$G1861)</f>
        <v/>
      </c>
      <c r="K1861" t="str">
        <f>IF(包装物料出入库明细!$D1861="","",包装物料出入库明细!$D1861)</f>
        <v/>
      </c>
      <c r="L1861">
        <f t="shared" si="604"/>
        <v>0</v>
      </c>
      <c r="M1861">
        <f t="shared" si="605"/>
        <v>9</v>
      </c>
      <c r="Q1861" t="str">
        <f>IF(周转筐出入库明细!$D1862="","",周转筐出入库明细!$D1862)</f>
        <v/>
      </c>
      <c r="R1861">
        <f t="shared" si="606"/>
        <v>0</v>
      </c>
      <c r="S1861">
        <f t="shared" si="607"/>
        <v>5</v>
      </c>
      <c r="W1861" t="str">
        <f>IF(周转筐出入库明细!$C1862="","",周转筐出入库明细!$C1862)</f>
        <v/>
      </c>
      <c r="X1861">
        <f t="shared" si="608"/>
        <v>0</v>
      </c>
      <c r="Y1861">
        <f t="shared" si="609"/>
        <v>12</v>
      </c>
      <c r="CP1861">
        <f>IF(包装物料出入库明细!$D1861="",0,1)</f>
        <v>0</v>
      </c>
      <c r="CQ1861">
        <f t="shared" si="610"/>
        <v>37</v>
      </c>
      <c r="CS1861" t="str">
        <f>IF(OR(周转筐出入库明细!$C1862="",周转筐出入库明细!$F1862&lt;&gt;"采购入库"),"",周转筐出入库明细!$C1862)</f>
        <v/>
      </c>
      <c r="CT1861">
        <f t="shared" si="611"/>
        <v>0</v>
      </c>
      <c r="CU1861">
        <f t="shared" si="612"/>
        <v>1</v>
      </c>
    </row>
    <row r="1862" spans="1:99">
      <c r="A1862" t="str">
        <f>IF(包装物料出入库明细!$E1862="","",包装物料出入库明细!$E1862)</f>
        <v/>
      </c>
      <c r="B1862">
        <f t="shared" si="602"/>
        <v>0</v>
      </c>
      <c r="C1862">
        <f t="shared" si="603"/>
        <v>7</v>
      </c>
      <c r="D1862" t="str">
        <f>IF(包装物料出入库明细!$E1862="","",包装物料出入库明细!$F1862)</f>
        <v/>
      </c>
      <c r="E1862" t="str">
        <f>IF(包装物料出入库明细!$E1862="","",包装物料出入库明细!$G1862)</f>
        <v/>
      </c>
      <c r="K1862" t="str">
        <f>IF(包装物料出入库明细!$D1862="","",包装物料出入库明细!$D1862)</f>
        <v/>
      </c>
      <c r="L1862">
        <f t="shared" si="604"/>
        <v>0</v>
      </c>
      <c r="M1862">
        <f t="shared" si="605"/>
        <v>9</v>
      </c>
      <c r="Q1862" t="str">
        <f>IF(周转筐出入库明细!$D1863="","",周转筐出入库明细!$D1863)</f>
        <v/>
      </c>
      <c r="R1862">
        <f t="shared" si="606"/>
        <v>0</v>
      </c>
      <c r="S1862">
        <f t="shared" si="607"/>
        <v>5</v>
      </c>
      <c r="W1862" t="str">
        <f>IF(周转筐出入库明细!$C1863="","",周转筐出入库明细!$C1863)</f>
        <v/>
      </c>
      <c r="X1862">
        <f t="shared" si="608"/>
        <v>0</v>
      </c>
      <c r="Y1862">
        <f t="shared" si="609"/>
        <v>12</v>
      </c>
      <c r="CP1862">
        <f>IF(包装物料出入库明细!$D1862="",0,1)</f>
        <v>0</v>
      </c>
      <c r="CQ1862">
        <f t="shared" si="610"/>
        <v>37</v>
      </c>
      <c r="CS1862" t="str">
        <f>IF(OR(周转筐出入库明细!$C1863="",周转筐出入库明细!$F1863&lt;&gt;"采购入库"),"",周转筐出入库明细!$C1863)</f>
        <v/>
      </c>
      <c r="CT1862">
        <f t="shared" si="611"/>
        <v>0</v>
      </c>
      <c r="CU1862">
        <f t="shared" si="612"/>
        <v>1</v>
      </c>
    </row>
    <row r="1863" spans="1:99">
      <c r="A1863" t="str">
        <f>IF(包装物料出入库明细!$E1863="","",包装物料出入库明细!$E1863)</f>
        <v/>
      </c>
      <c r="B1863">
        <f t="shared" si="602"/>
        <v>0</v>
      </c>
      <c r="C1863">
        <f t="shared" si="603"/>
        <v>7</v>
      </c>
      <c r="D1863" t="str">
        <f>IF(包装物料出入库明细!$E1863="","",包装物料出入库明细!$F1863)</f>
        <v/>
      </c>
      <c r="E1863" t="str">
        <f>IF(包装物料出入库明细!$E1863="","",包装物料出入库明细!$G1863)</f>
        <v/>
      </c>
      <c r="K1863" t="str">
        <f>IF(包装物料出入库明细!$D1863="","",包装物料出入库明细!$D1863)</f>
        <v/>
      </c>
      <c r="L1863">
        <f t="shared" si="604"/>
        <v>0</v>
      </c>
      <c r="M1863">
        <f t="shared" si="605"/>
        <v>9</v>
      </c>
      <c r="Q1863" t="str">
        <f>IF(周转筐出入库明细!$D1864="","",周转筐出入库明细!$D1864)</f>
        <v/>
      </c>
      <c r="R1863">
        <f t="shared" si="606"/>
        <v>0</v>
      </c>
      <c r="S1863">
        <f t="shared" si="607"/>
        <v>5</v>
      </c>
      <c r="W1863" t="str">
        <f>IF(周转筐出入库明细!$C1864="","",周转筐出入库明细!$C1864)</f>
        <v/>
      </c>
      <c r="X1863">
        <f t="shared" si="608"/>
        <v>0</v>
      </c>
      <c r="Y1863">
        <f t="shared" si="609"/>
        <v>12</v>
      </c>
      <c r="CP1863">
        <f>IF(包装物料出入库明细!$D1863="",0,1)</f>
        <v>0</v>
      </c>
      <c r="CQ1863">
        <f t="shared" si="610"/>
        <v>37</v>
      </c>
      <c r="CS1863" t="str">
        <f>IF(OR(周转筐出入库明细!$C1864="",周转筐出入库明细!$F1864&lt;&gt;"采购入库"),"",周转筐出入库明细!$C1864)</f>
        <v/>
      </c>
      <c r="CT1863">
        <f t="shared" si="611"/>
        <v>0</v>
      </c>
      <c r="CU1863">
        <f t="shared" si="612"/>
        <v>1</v>
      </c>
    </row>
    <row r="1864" spans="1:99">
      <c r="A1864" t="str">
        <f>IF(包装物料出入库明细!$E1864="","",包装物料出入库明细!$E1864)</f>
        <v/>
      </c>
      <c r="B1864">
        <f t="shared" si="602"/>
        <v>0</v>
      </c>
      <c r="C1864">
        <f t="shared" si="603"/>
        <v>7</v>
      </c>
      <c r="D1864" t="str">
        <f>IF(包装物料出入库明细!$E1864="","",包装物料出入库明细!$F1864)</f>
        <v/>
      </c>
      <c r="E1864" t="str">
        <f>IF(包装物料出入库明细!$E1864="","",包装物料出入库明细!$G1864)</f>
        <v/>
      </c>
      <c r="K1864" t="str">
        <f>IF(包装物料出入库明细!$D1864="","",包装物料出入库明细!$D1864)</f>
        <v/>
      </c>
      <c r="L1864">
        <f t="shared" si="604"/>
        <v>0</v>
      </c>
      <c r="M1864">
        <f t="shared" si="605"/>
        <v>9</v>
      </c>
      <c r="Q1864" t="str">
        <f>IF(周转筐出入库明细!$D1865="","",周转筐出入库明细!$D1865)</f>
        <v/>
      </c>
      <c r="R1864">
        <f t="shared" si="606"/>
        <v>0</v>
      </c>
      <c r="S1864">
        <f t="shared" si="607"/>
        <v>5</v>
      </c>
      <c r="W1864" t="str">
        <f>IF(周转筐出入库明细!$C1865="","",周转筐出入库明细!$C1865)</f>
        <v/>
      </c>
      <c r="X1864">
        <f t="shared" si="608"/>
        <v>0</v>
      </c>
      <c r="Y1864">
        <f t="shared" si="609"/>
        <v>12</v>
      </c>
      <c r="CP1864">
        <f>IF(包装物料出入库明细!$D1864="",0,1)</f>
        <v>0</v>
      </c>
      <c r="CQ1864">
        <f t="shared" si="610"/>
        <v>37</v>
      </c>
      <c r="CS1864" t="str">
        <f>IF(OR(周转筐出入库明细!$C1865="",周转筐出入库明细!$F1865&lt;&gt;"采购入库"),"",周转筐出入库明细!$C1865)</f>
        <v/>
      </c>
      <c r="CT1864">
        <f t="shared" si="611"/>
        <v>0</v>
      </c>
      <c r="CU1864">
        <f t="shared" si="612"/>
        <v>1</v>
      </c>
    </row>
    <row r="1865" spans="1:99">
      <c r="A1865" t="str">
        <f>IF(包装物料出入库明细!$E1865="","",包装物料出入库明细!$E1865)</f>
        <v/>
      </c>
      <c r="B1865">
        <f t="shared" si="602"/>
        <v>0</v>
      </c>
      <c r="C1865">
        <f t="shared" si="603"/>
        <v>7</v>
      </c>
      <c r="D1865" t="str">
        <f>IF(包装物料出入库明细!$E1865="","",包装物料出入库明细!$F1865)</f>
        <v/>
      </c>
      <c r="E1865" t="str">
        <f>IF(包装物料出入库明细!$E1865="","",包装物料出入库明细!$G1865)</f>
        <v/>
      </c>
      <c r="K1865" t="str">
        <f>IF(包装物料出入库明细!$D1865="","",包装物料出入库明细!$D1865)</f>
        <v/>
      </c>
      <c r="L1865">
        <f t="shared" si="604"/>
        <v>0</v>
      </c>
      <c r="M1865">
        <f t="shared" si="605"/>
        <v>9</v>
      </c>
      <c r="Q1865" t="str">
        <f>IF(周转筐出入库明细!$D1866="","",周转筐出入库明细!$D1866)</f>
        <v/>
      </c>
      <c r="R1865">
        <f t="shared" si="606"/>
        <v>0</v>
      </c>
      <c r="S1865">
        <f t="shared" si="607"/>
        <v>5</v>
      </c>
      <c r="W1865" t="str">
        <f>IF(周转筐出入库明细!$C1866="","",周转筐出入库明细!$C1866)</f>
        <v/>
      </c>
      <c r="X1865">
        <f t="shared" si="608"/>
        <v>0</v>
      </c>
      <c r="Y1865">
        <f t="shared" si="609"/>
        <v>12</v>
      </c>
      <c r="CP1865">
        <f>IF(包装物料出入库明细!$D1865="",0,1)</f>
        <v>0</v>
      </c>
      <c r="CQ1865">
        <f t="shared" si="610"/>
        <v>37</v>
      </c>
      <c r="CS1865" t="str">
        <f>IF(OR(周转筐出入库明细!$C1866="",周转筐出入库明细!$F1866&lt;&gt;"采购入库"),"",周转筐出入库明细!$C1866)</f>
        <v/>
      </c>
      <c r="CT1865">
        <f t="shared" si="611"/>
        <v>0</v>
      </c>
      <c r="CU1865">
        <f t="shared" si="612"/>
        <v>1</v>
      </c>
    </row>
    <row r="1866" spans="1:99">
      <c r="A1866" t="str">
        <f>IF(包装物料出入库明细!$E1866="","",包装物料出入库明细!$E1866)</f>
        <v/>
      </c>
      <c r="B1866">
        <f t="shared" si="602"/>
        <v>0</v>
      </c>
      <c r="C1866">
        <f t="shared" si="603"/>
        <v>7</v>
      </c>
      <c r="D1866" t="str">
        <f>IF(包装物料出入库明细!$E1866="","",包装物料出入库明细!$F1866)</f>
        <v/>
      </c>
      <c r="E1866" t="str">
        <f>IF(包装物料出入库明细!$E1866="","",包装物料出入库明细!$G1866)</f>
        <v/>
      </c>
      <c r="K1866" t="str">
        <f>IF(包装物料出入库明细!$D1866="","",包装物料出入库明细!$D1866)</f>
        <v/>
      </c>
      <c r="L1866">
        <f t="shared" si="604"/>
        <v>0</v>
      </c>
      <c r="M1866">
        <f t="shared" si="605"/>
        <v>9</v>
      </c>
      <c r="Q1866" t="str">
        <f>IF(周转筐出入库明细!$D1867="","",周转筐出入库明细!$D1867)</f>
        <v/>
      </c>
      <c r="R1866">
        <f t="shared" si="606"/>
        <v>0</v>
      </c>
      <c r="S1866">
        <f t="shared" si="607"/>
        <v>5</v>
      </c>
      <c r="W1866" t="str">
        <f>IF(周转筐出入库明细!$C1867="","",周转筐出入库明细!$C1867)</f>
        <v/>
      </c>
      <c r="X1866">
        <f t="shared" si="608"/>
        <v>0</v>
      </c>
      <c r="Y1866">
        <f t="shared" si="609"/>
        <v>12</v>
      </c>
      <c r="CP1866">
        <f>IF(包装物料出入库明细!$D1866="",0,1)</f>
        <v>0</v>
      </c>
      <c r="CQ1866">
        <f t="shared" si="610"/>
        <v>37</v>
      </c>
      <c r="CS1866" t="str">
        <f>IF(OR(周转筐出入库明细!$C1867="",周转筐出入库明细!$F1867&lt;&gt;"采购入库"),"",周转筐出入库明细!$C1867)</f>
        <v/>
      </c>
      <c r="CT1866">
        <f t="shared" si="611"/>
        <v>0</v>
      </c>
      <c r="CU1866">
        <f t="shared" si="612"/>
        <v>1</v>
      </c>
    </row>
    <row r="1867" spans="1:99">
      <c r="A1867" t="str">
        <f>IF(包装物料出入库明细!$E1867="","",包装物料出入库明细!$E1867)</f>
        <v/>
      </c>
      <c r="B1867">
        <f t="shared" si="602"/>
        <v>0</v>
      </c>
      <c r="C1867">
        <f t="shared" si="603"/>
        <v>7</v>
      </c>
      <c r="D1867" t="str">
        <f>IF(包装物料出入库明细!$E1867="","",包装物料出入库明细!$F1867)</f>
        <v/>
      </c>
      <c r="E1867" t="str">
        <f>IF(包装物料出入库明细!$E1867="","",包装物料出入库明细!$G1867)</f>
        <v/>
      </c>
      <c r="K1867" t="str">
        <f>IF(包装物料出入库明细!$D1867="","",包装物料出入库明细!$D1867)</f>
        <v/>
      </c>
      <c r="L1867">
        <f t="shared" si="604"/>
        <v>0</v>
      </c>
      <c r="M1867">
        <f t="shared" si="605"/>
        <v>9</v>
      </c>
      <c r="Q1867" t="str">
        <f>IF(周转筐出入库明细!$D1868="","",周转筐出入库明细!$D1868)</f>
        <v/>
      </c>
      <c r="R1867">
        <f t="shared" si="606"/>
        <v>0</v>
      </c>
      <c r="S1867">
        <f t="shared" si="607"/>
        <v>5</v>
      </c>
      <c r="W1867" t="str">
        <f>IF(周转筐出入库明细!$C1868="","",周转筐出入库明细!$C1868)</f>
        <v/>
      </c>
      <c r="X1867">
        <f t="shared" si="608"/>
        <v>0</v>
      </c>
      <c r="Y1867">
        <f t="shared" si="609"/>
        <v>12</v>
      </c>
      <c r="CP1867">
        <f>IF(包装物料出入库明细!$D1867="",0,1)</f>
        <v>0</v>
      </c>
      <c r="CQ1867">
        <f t="shared" si="610"/>
        <v>37</v>
      </c>
      <c r="CS1867" t="str">
        <f>IF(OR(周转筐出入库明细!$C1868="",周转筐出入库明细!$F1868&lt;&gt;"采购入库"),"",周转筐出入库明细!$C1868)</f>
        <v/>
      </c>
      <c r="CT1867">
        <f t="shared" si="611"/>
        <v>0</v>
      </c>
      <c r="CU1867">
        <f t="shared" si="612"/>
        <v>1</v>
      </c>
    </row>
    <row r="1868" spans="1:99">
      <c r="A1868" t="str">
        <f>IF(包装物料出入库明细!$E1868="","",包装物料出入库明细!$E1868)</f>
        <v/>
      </c>
      <c r="B1868">
        <f t="shared" si="602"/>
        <v>0</v>
      </c>
      <c r="C1868">
        <f t="shared" si="603"/>
        <v>7</v>
      </c>
      <c r="D1868" t="str">
        <f>IF(包装物料出入库明细!$E1868="","",包装物料出入库明细!$F1868)</f>
        <v/>
      </c>
      <c r="E1868" t="str">
        <f>IF(包装物料出入库明细!$E1868="","",包装物料出入库明细!$G1868)</f>
        <v/>
      </c>
      <c r="K1868" t="str">
        <f>IF(包装物料出入库明细!$D1868="","",包装物料出入库明细!$D1868)</f>
        <v/>
      </c>
      <c r="L1868">
        <f t="shared" si="604"/>
        <v>0</v>
      </c>
      <c r="M1868">
        <f t="shared" si="605"/>
        <v>9</v>
      </c>
      <c r="Q1868" t="str">
        <f>IF(周转筐出入库明细!$D1869="","",周转筐出入库明细!$D1869)</f>
        <v/>
      </c>
      <c r="R1868">
        <f t="shared" si="606"/>
        <v>0</v>
      </c>
      <c r="S1868">
        <f t="shared" si="607"/>
        <v>5</v>
      </c>
      <c r="W1868" t="str">
        <f>IF(周转筐出入库明细!$C1869="","",周转筐出入库明细!$C1869)</f>
        <v/>
      </c>
      <c r="X1868">
        <f t="shared" si="608"/>
        <v>0</v>
      </c>
      <c r="Y1868">
        <f t="shared" si="609"/>
        <v>12</v>
      </c>
      <c r="CP1868">
        <f>IF(包装物料出入库明细!$D1868="",0,1)</f>
        <v>0</v>
      </c>
      <c r="CQ1868">
        <f t="shared" si="610"/>
        <v>37</v>
      </c>
      <c r="CS1868" t="str">
        <f>IF(OR(周转筐出入库明细!$C1869="",周转筐出入库明细!$F1869&lt;&gt;"采购入库"),"",周转筐出入库明细!$C1869)</f>
        <v/>
      </c>
      <c r="CT1868">
        <f t="shared" si="611"/>
        <v>0</v>
      </c>
      <c r="CU1868">
        <f t="shared" si="612"/>
        <v>1</v>
      </c>
    </row>
    <row r="1869" spans="1:99">
      <c r="A1869" t="str">
        <f>IF(包装物料出入库明细!$E1869="","",包装物料出入库明细!$E1869)</f>
        <v/>
      </c>
      <c r="B1869">
        <f t="shared" si="602"/>
        <v>0</v>
      </c>
      <c r="C1869">
        <f t="shared" si="603"/>
        <v>7</v>
      </c>
      <c r="D1869" t="str">
        <f>IF(包装物料出入库明细!$E1869="","",包装物料出入库明细!$F1869)</f>
        <v/>
      </c>
      <c r="E1869" t="str">
        <f>IF(包装物料出入库明细!$E1869="","",包装物料出入库明细!$G1869)</f>
        <v/>
      </c>
      <c r="K1869" t="str">
        <f>IF(包装物料出入库明细!$D1869="","",包装物料出入库明细!$D1869)</f>
        <v/>
      </c>
      <c r="L1869">
        <f t="shared" si="604"/>
        <v>0</v>
      </c>
      <c r="M1869">
        <f t="shared" si="605"/>
        <v>9</v>
      </c>
      <c r="Q1869" t="str">
        <f>IF(周转筐出入库明细!$D1870="","",周转筐出入库明细!$D1870)</f>
        <v/>
      </c>
      <c r="R1869">
        <f t="shared" si="606"/>
        <v>0</v>
      </c>
      <c r="S1869">
        <f t="shared" si="607"/>
        <v>5</v>
      </c>
      <c r="W1869" t="str">
        <f>IF(周转筐出入库明细!$C1870="","",周转筐出入库明细!$C1870)</f>
        <v/>
      </c>
      <c r="X1869">
        <f t="shared" si="608"/>
        <v>0</v>
      </c>
      <c r="Y1869">
        <f t="shared" si="609"/>
        <v>12</v>
      </c>
      <c r="CP1869">
        <f>IF(包装物料出入库明细!$D1869="",0,1)</f>
        <v>0</v>
      </c>
      <c r="CQ1869">
        <f t="shared" si="610"/>
        <v>37</v>
      </c>
      <c r="CS1869" t="str">
        <f>IF(OR(周转筐出入库明细!$C1870="",周转筐出入库明细!$F1870&lt;&gt;"采购入库"),"",周转筐出入库明细!$C1870)</f>
        <v/>
      </c>
      <c r="CT1869">
        <f t="shared" si="611"/>
        <v>0</v>
      </c>
      <c r="CU1869">
        <f t="shared" si="612"/>
        <v>1</v>
      </c>
    </row>
    <row r="1870" spans="1:99">
      <c r="A1870" t="str">
        <f>IF(包装物料出入库明细!$E1870="","",包装物料出入库明细!$E1870)</f>
        <v/>
      </c>
      <c r="B1870">
        <f t="shared" si="602"/>
        <v>0</v>
      </c>
      <c r="C1870">
        <f t="shared" si="603"/>
        <v>7</v>
      </c>
      <c r="D1870" t="str">
        <f>IF(包装物料出入库明细!$E1870="","",包装物料出入库明细!$F1870)</f>
        <v/>
      </c>
      <c r="E1870" t="str">
        <f>IF(包装物料出入库明细!$E1870="","",包装物料出入库明细!$G1870)</f>
        <v/>
      </c>
      <c r="K1870" t="str">
        <f>IF(包装物料出入库明细!$D1870="","",包装物料出入库明细!$D1870)</f>
        <v/>
      </c>
      <c r="L1870">
        <f t="shared" si="604"/>
        <v>0</v>
      </c>
      <c r="M1870">
        <f t="shared" si="605"/>
        <v>9</v>
      </c>
      <c r="Q1870" t="str">
        <f>IF(周转筐出入库明细!$D1871="","",周转筐出入库明细!$D1871)</f>
        <v/>
      </c>
      <c r="R1870">
        <f t="shared" si="606"/>
        <v>0</v>
      </c>
      <c r="S1870">
        <f t="shared" si="607"/>
        <v>5</v>
      </c>
      <c r="W1870" t="str">
        <f>IF(周转筐出入库明细!$C1871="","",周转筐出入库明细!$C1871)</f>
        <v/>
      </c>
      <c r="X1870">
        <f t="shared" si="608"/>
        <v>0</v>
      </c>
      <c r="Y1870">
        <f t="shared" si="609"/>
        <v>12</v>
      </c>
      <c r="CP1870">
        <f>IF(包装物料出入库明细!$D1870="",0,1)</f>
        <v>0</v>
      </c>
      <c r="CQ1870">
        <f t="shared" si="610"/>
        <v>37</v>
      </c>
      <c r="CS1870" t="str">
        <f>IF(OR(周转筐出入库明细!$C1871="",周转筐出入库明细!$F1871&lt;&gt;"采购入库"),"",周转筐出入库明细!$C1871)</f>
        <v/>
      </c>
      <c r="CT1870">
        <f t="shared" si="611"/>
        <v>0</v>
      </c>
      <c r="CU1870">
        <f t="shared" si="612"/>
        <v>1</v>
      </c>
    </row>
    <row r="1871" spans="1:99">
      <c r="A1871" t="str">
        <f>IF(包装物料出入库明细!$E1871="","",包装物料出入库明细!$E1871)</f>
        <v/>
      </c>
      <c r="B1871">
        <f t="shared" si="602"/>
        <v>0</v>
      </c>
      <c r="C1871">
        <f t="shared" si="603"/>
        <v>7</v>
      </c>
      <c r="D1871" t="str">
        <f>IF(包装物料出入库明细!$E1871="","",包装物料出入库明细!$F1871)</f>
        <v/>
      </c>
      <c r="E1871" t="str">
        <f>IF(包装物料出入库明细!$E1871="","",包装物料出入库明细!$G1871)</f>
        <v/>
      </c>
      <c r="K1871" t="str">
        <f>IF(包装物料出入库明细!$D1871="","",包装物料出入库明细!$D1871)</f>
        <v/>
      </c>
      <c r="L1871">
        <f t="shared" si="604"/>
        <v>0</v>
      </c>
      <c r="M1871">
        <f t="shared" si="605"/>
        <v>9</v>
      </c>
      <c r="Q1871" t="str">
        <f>IF(周转筐出入库明细!$D1872="","",周转筐出入库明细!$D1872)</f>
        <v/>
      </c>
      <c r="R1871">
        <f t="shared" si="606"/>
        <v>0</v>
      </c>
      <c r="S1871">
        <f t="shared" si="607"/>
        <v>5</v>
      </c>
      <c r="W1871" t="str">
        <f>IF(周转筐出入库明细!$C1872="","",周转筐出入库明细!$C1872)</f>
        <v/>
      </c>
      <c r="X1871">
        <f t="shared" si="608"/>
        <v>0</v>
      </c>
      <c r="Y1871">
        <f t="shared" si="609"/>
        <v>12</v>
      </c>
      <c r="CP1871">
        <f>IF(包装物料出入库明细!$D1871="",0,1)</f>
        <v>0</v>
      </c>
      <c r="CQ1871">
        <f t="shared" si="610"/>
        <v>37</v>
      </c>
      <c r="CS1871" t="str">
        <f>IF(OR(周转筐出入库明细!$C1872="",周转筐出入库明细!$F1872&lt;&gt;"采购入库"),"",周转筐出入库明细!$C1872)</f>
        <v/>
      </c>
      <c r="CT1871">
        <f t="shared" si="611"/>
        <v>0</v>
      </c>
      <c r="CU1871">
        <f t="shared" si="612"/>
        <v>1</v>
      </c>
    </row>
    <row r="1872" spans="1:99">
      <c r="A1872" t="str">
        <f>IF(包装物料出入库明细!$E1872="","",包装物料出入库明细!$E1872)</f>
        <v/>
      </c>
      <c r="B1872">
        <f t="shared" si="602"/>
        <v>0</v>
      </c>
      <c r="C1872">
        <f t="shared" si="603"/>
        <v>7</v>
      </c>
      <c r="D1872" t="str">
        <f>IF(包装物料出入库明细!$E1872="","",包装物料出入库明细!$F1872)</f>
        <v/>
      </c>
      <c r="E1872" t="str">
        <f>IF(包装物料出入库明细!$E1872="","",包装物料出入库明细!$G1872)</f>
        <v/>
      </c>
      <c r="K1872" t="str">
        <f>IF(包装物料出入库明细!$D1872="","",包装物料出入库明细!$D1872)</f>
        <v/>
      </c>
      <c r="L1872">
        <f t="shared" si="604"/>
        <v>0</v>
      </c>
      <c r="M1872">
        <f t="shared" si="605"/>
        <v>9</v>
      </c>
      <c r="Q1872" t="str">
        <f>IF(周转筐出入库明细!$D1873="","",周转筐出入库明细!$D1873)</f>
        <v/>
      </c>
      <c r="R1872">
        <f t="shared" si="606"/>
        <v>0</v>
      </c>
      <c r="S1872">
        <f t="shared" si="607"/>
        <v>5</v>
      </c>
      <c r="W1872" t="str">
        <f>IF(周转筐出入库明细!$C1873="","",周转筐出入库明细!$C1873)</f>
        <v/>
      </c>
      <c r="X1872">
        <f t="shared" si="608"/>
        <v>0</v>
      </c>
      <c r="Y1872">
        <f t="shared" si="609"/>
        <v>12</v>
      </c>
      <c r="CP1872">
        <f>IF(包装物料出入库明细!$D1872="",0,1)</f>
        <v>0</v>
      </c>
      <c r="CQ1872">
        <f t="shared" si="610"/>
        <v>37</v>
      </c>
      <c r="CS1872" t="str">
        <f>IF(OR(周转筐出入库明细!$C1873="",周转筐出入库明细!$F1873&lt;&gt;"采购入库"),"",周转筐出入库明细!$C1873)</f>
        <v/>
      </c>
      <c r="CT1872">
        <f t="shared" si="611"/>
        <v>0</v>
      </c>
      <c r="CU1872">
        <f t="shared" si="612"/>
        <v>1</v>
      </c>
    </row>
    <row r="1873" spans="1:99">
      <c r="A1873" t="str">
        <f>IF(包装物料出入库明细!$E1873="","",包装物料出入库明细!$E1873)</f>
        <v/>
      </c>
      <c r="B1873">
        <f t="shared" si="602"/>
        <v>0</v>
      </c>
      <c r="C1873">
        <f t="shared" si="603"/>
        <v>7</v>
      </c>
      <c r="D1873" t="str">
        <f>IF(包装物料出入库明细!$E1873="","",包装物料出入库明细!$F1873)</f>
        <v/>
      </c>
      <c r="E1873" t="str">
        <f>IF(包装物料出入库明细!$E1873="","",包装物料出入库明细!$G1873)</f>
        <v/>
      </c>
      <c r="K1873" t="str">
        <f>IF(包装物料出入库明细!$D1873="","",包装物料出入库明细!$D1873)</f>
        <v/>
      </c>
      <c r="L1873">
        <f t="shared" si="604"/>
        <v>0</v>
      </c>
      <c r="M1873">
        <f t="shared" si="605"/>
        <v>9</v>
      </c>
      <c r="Q1873" t="str">
        <f>IF(周转筐出入库明细!$D1874="","",周转筐出入库明细!$D1874)</f>
        <v/>
      </c>
      <c r="R1873">
        <f t="shared" si="606"/>
        <v>0</v>
      </c>
      <c r="S1873">
        <f t="shared" si="607"/>
        <v>5</v>
      </c>
      <c r="W1873" t="str">
        <f>IF(周转筐出入库明细!$C1874="","",周转筐出入库明细!$C1874)</f>
        <v/>
      </c>
      <c r="X1873">
        <f t="shared" si="608"/>
        <v>0</v>
      </c>
      <c r="Y1873">
        <f t="shared" si="609"/>
        <v>12</v>
      </c>
      <c r="CP1873">
        <f>IF(包装物料出入库明细!$D1873="",0,1)</f>
        <v>0</v>
      </c>
      <c r="CQ1873">
        <f t="shared" si="610"/>
        <v>37</v>
      </c>
      <c r="CS1873" t="str">
        <f>IF(OR(周转筐出入库明细!$C1874="",周转筐出入库明细!$F1874&lt;&gt;"采购入库"),"",周转筐出入库明细!$C1874)</f>
        <v/>
      </c>
      <c r="CT1873">
        <f t="shared" si="611"/>
        <v>0</v>
      </c>
      <c r="CU1873">
        <f t="shared" si="612"/>
        <v>1</v>
      </c>
    </row>
    <row r="1874" spans="1:99">
      <c r="A1874" t="str">
        <f>IF(包装物料出入库明细!$E1874="","",包装物料出入库明细!$E1874)</f>
        <v/>
      </c>
      <c r="B1874">
        <f t="shared" si="602"/>
        <v>0</v>
      </c>
      <c r="C1874">
        <f t="shared" si="603"/>
        <v>7</v>
      </c>
      <c r="D1874" t="str">
        <f>IF(包装物料出入库明细!$E1874="","",包装物料出入库明细!$F1874)</f>
        <v/>
      </c>
      <c r="E1874" t="str">
        <f>IF(包装物料出入库明细!$E1874="","",包装物料出入库明细!$G1874)</f>
        <v/>
      </c>
      <c r="K1874" t="str">
        <f>IF(包装物料出入库明细!$D1874="","",包装物料出入库明细!$D1874)</f>
        <v/>
      </c>
      <c r="L1874">
        <f t="shared" si="604"/>
        <v>0</v>
      </c>
      <c r="M1874">
        <f t="shared" si="605"/>
        <v>9</v>
      </c>
      <c r="Q1874" t="str">
        <f>IF(周转筐出入库明细!$D1875="","",周转筐出入库明细!$D1875)</f>
        <v/>
      </c>
      <c r="R1874">
        <f t="shared" si="606"/>
        <v>0</v>
      </c>
      <c r="S1874">
        <f t="shared" si="607"/>
        <v>5</v>
      </c>
      <c r="W1874" t="str">
        <f>IF(周转筐出入库明细!$C1875="","",周转筐出入库明细!$C1875)</f>
        <v/>
      </c>
      <c r="X1874">
        <f t="shared" si="608"/>
        <v>0</v>
      </c>
      <c r="Y1874">
        <f t="shared" si="609"/>
        <v>12</v>
      </c>
      <c r="CP1874">
        <f>IF(包装物料出入库明细!$D1874="",0,1)</f>
        <v>0</v>
      </c>
      <c r="CQ1874">
        <f t="shared" si="610"/>
        <v>37</v>
      </c>
      <c r="CS1874" t="str">
        <f>IF(OR(周转筐出入库明细!$C1875="",周转筐出入库明细!$F1875&lt;&gt;"采购入库"),"",周转筐出入库明细!$C1875)</f>
        <v/>
      </c>
      <c r="CT1874">
        <f t="shared" si="611"/>
        <v>0</v>
      </c>
      <c r="CU1874">
        <f t="shared" si="612"/>
        <v>1</v>
      </c>
    </row>
    <row r="1875" spans="1:99">
      <c r="A1875" t="str">
        <f>IF(包装物料出入库明细!$E1875="","",包装物料出入库明细!$E1875)</f>
        <v/>
      </c>
      <c r="B1875">
        <f t="shared" si="602"/>
        <v>0</v>
      </c>
      <c r="C1875">
        <f t="shared" si="603"/>
        <v>7</v>
      </c>
      <c r="D1875" t="str">
        <f>IF(包装物料出入库明细!$E1875="","",包装物料出入库明细!$F1875)</f>
        <v/>
      </c>
      <c r="E1875" t="str">
        <f>IF(包装物料出入库明细!$E1875="","",包装物料出入库明细!$G1875)</f>
        <v/>
      </c>
      <c r="K1875" t="str">
        <f>IF(包装物料出入库明细!$D1875="","",包装物料出入库明细!$D1875)</f>
        <v/>
      </c>
      <c r="L1875">
        <f t="shared" si="604"/>
        <v>0</v>
      </c>
      <c r="M1875">
        <f t="shared" si="605"/>
        <v>9</v>
      </c>
      <c r="Q1875" t="str">
        <f>IF(周转筐出入库明细!$D1876="","",周转筐出入库明细!$D1876)</f>
        <v/>
      </c>
      <c r="R1875">
        <f t="shared" si="606"/>
        <v>0</v>
      </c>
      <c r="S1875">
        <f t="shared" si="607"/>
        <v>5</v>
      </c>
      <c r="W1875" t="str">
        <f>IF(周转筐出入库明细!$C1876="","",周转筐出入库明细!$C1876)</f>
        <v/>
      </c>
      <c r="X1875">
        <f t="shared" si="608"/>
        <v>0</v>
      </c>
      <c r="Y1875">
        <f t="shared" si="609"/>
        <v>12</v>
      </c>
      <c r="CP1875">
        <f>IF(包装物料出入库明细!$D1875="",0,1)</f>
        <v>0</v>
      </c>
      <c r="CQ1875">
        <f t="shared" si="610"/>
        <v>37</v>
      </c>
      <c r="CS1875" t="str">
        <f>IF(OR(周转筐出入库明细!$C1876="",周转筐出入库明细!$F1876&lt;&gt;"采购入库"),"",周转筐出入库明细!$C1876)</f>
        <v/>
      </c>
      <c r="CT1875">
        <f t="shared" si="611"/>
        <v>0</v>
      </c>
      <c r="CU1875">
        <f t="shared" si="612"/>
        <v>1</v>
      </c>
    </row>
    <row r="1876" spans="1:99">
      <c r="A1876" t="str">
        <f>IF(包装物料出入库明细!$E1876="","",包装物料出入库明细!$E1876)</f>
        <v/>
      </c>
      <c r="B1876">
        <f t="shared" si="602"/>
        <v>0</v>
      </c>
      <c r="C1876">
        <f t="shared" si="603"/>
        <v>7</v>
      </c>
      <c r="D1876" t="str">
        <f>IF(包装物料出入库明细!$E1876="","",包装物料出入库明细!$F1876)</f>
        <v/>
      </c>
      <c r="E1876" t="str">
        <f>IF(包装物料出入库明细!$E1876="","",包装物料出入库明细!$G1876)</f>
        <v/>
      </c>
      <c r="K1876" t="str">
        <f>IF(包装物料出入库明细!$D1876="","",包装物料出入库明细!$D1876)</f>
        <v/>
      </c>
      <c r="L1876">
        <f t="shared" si="604"/>
        <v>0</v>
      </c>
      <c r="M1876">
        <f t="shared" si="605"/>
        <v>9</v>
      </c>
      <c r="Q1876" t="str">
        <f>IF(周转筐出入库明细!$D1877="","",周转筐出入库明细!$D1877)</f>
        <v/>
      </c>
      <c r="R1876">
        <f t="shared" si="606"/>
        <v>0</v>
      </c>
      <c r="S1876">
        <f t="shared" si="607"/>
        <v>5</v>
      </c>
      <c r="W1876" t="str">
        <f>IF(周转筐出入库明细!$C1877="","",周转筐出入库明细!$C1877)</f>
        <v/>
      </c>
      <c r="X1876">
        <f t="shared" si="608"/>
        <v>0</v>
      </c>
      <c r="Y1876">
        <f t="shared" si="609"/>
        <v>12</v>
      </c>
      <c r="CP1876">
        <f>IF(包装物料出入库明细!$D1876="",0,1)</f>
        <v>0</v>
      </c>
      <c r="CQ1876">
        <f t="shared" si="610"/>
        <v>37</v>
      </c>
      <c r="CS1876" t="str">
        <f>IF(OR(周转筐出入库明细!$C1877="",周转筐出入库明细!$F1877&lt;&gt;"采购入库"),"",周转筐出入库明细!$C1877)</f>
        <v/>
      </c>
      <c r="CT1876">
        <f t="shared" si="611"/>
        <v>0</v>
      </c>
      <c r="CU1876">
        <f t="shared" si="612"/>
        <v>1</v>
      </c>
    </row>
    <row r="1877" spans="1:99">
      <c r="A1877" t="str">
        <f>IF(包装物料出入库明细!$E1877="","",包装物料出入库明细!$E1877)</f>
        <v/>
      </c>
      <c r="B1877">
        <f t="shared" si="602"/>
        <v>0</v>
      </c>
      <c r="C1877">
        <f t="shared" si="603"/>
        <v>7</v>
      </c>
      <c r="D1877" t="str">
        <f>IF(包装物料出入库明细!$E1877="","",包装物料出入库明细!$F1877)</f>
        <v/>
      </c>
      <c r="E1877" t="str">
        <f>IF(包装物料出入库明细!$E1877="","",包装物料出入库明细!$G1877)</f>
        <v/>
      </c>
      <c r="K1877" t="str">
        <f>IF(包装物料出入库明细!$D1877="","",包装物料出入库明细!$D1877)</f>
        <v/>
      </c>
      <c r="L1877">
        <f t="shared" si="604"/>
        <v>0</v>
      </c>
      <c r="M1877">
        <f t="shared" si="605"/>
        <v>9</v>
      </c>
      <c r="Q1877" t="str">
        <f>IF(周转筐出入库明细!$D1878="","",周转筐出入库明细!$D1878)</f>
        <v/>
      </c>
      <c r="R1877">
        <f t="shared" si="606"/>
        <v>0</v>
      </c>
      <c r="S1877">
        <f t="shared" si="607"/>
        <v>5</v>
      </c>
      <c r="W1877" t="str">
        <f>IF(周转筐出入库明细!$C1878="","",周转筐出入库明细!$C1878)</f>
        <v/>
      </c>
      <c r="X1877">
        <f t="shared" si="608"/>
        <v>0</v>
      </c>
      <c r="Y1877">
        <f t="shared" si="609"/>
        <v>12</v>
      </c>
      <c r="CP1877">
        <f>IF(包装物料出入库明细!$D1877="",0,1)</f>
        <v>0</v>
      </c>
      <c r="CQ1877">
        <f t="shared" si="610"/>
        <v>37</v>
      </c>
      <c r="CS1877" t="str">
        <f>IF(OR(周转筐出入库明细!$C1878="",周转筐出入库明细!$F1878&lt;&gt;"采购入库"),"",周转筐出入库明细!$C1878)</f>
        <v/>
      </c>
      <c r="CT1877">
        <f t="shared" si="611"/>
        <v>0</v>
      </c>
      <c r="CU1877">
        <f t="shared" si="612"/>
        <v>1</v>
      </c>
    </row>
    <row r="1878" spans="1:99">
      <c r="A1878" t="str">
        <f>IF(包装物料出入库明细!$E1878="","",包装物料出入库明细!$E1878)</f>
        <v/>
      </c>
      <c r="B1878">
        <f t="shared" si="602"/>
        <v>0</v>
      </c>
      <c r="C1878">
        <f t="shared" si="603"/>
        <v>7</v>
      </c>
      <c r="D1878" t="str">
        <f>IF(包装物料出入库明细!$E1878="","",包装物料出入库明细!$F1878)</f>
        <v/>
      </c>
      <c r="E1878" t="str">
        <f>IF(包装物料出入库明细!$E1878="","",包装物料出入库明细!$G1878)</f>
        <v/>
      </c>
      <c r="K1878" t="str">
        <f>IF(包装物料出入库明细!$D1878="","",包装物料出入库明细!$D1878)</f>
        <v/>
      </c>
      <c r="L1878">
        <f t="shared" si="604"/>
        <v>0</v>
      </c>
      <c r="M1878">
        <f t="shared" si="605"/>
        <v>9</v>
      </c>
      <c r="Q1878" t="str">
        <f>IF(周转筐出入库明细!$D1879="","",周转筐出入库明细!$D1879)</f>
        <v/>
      </c>
      <c r="R1878">
        <f t="shared" si="606"/>
        <v>0</v>
      </c>
      <c r="S1878">
        <f t="shared" si="607"/>
        <v>5</v>
      </c>
      <c r="W1878" t="str">
        <f>IF(周转筐出入库明细!$C1879="","",周转筐出入库明细!$C1879)</f>
        <v/>
      </c>
      <c r="X1878">
        <f t="shared" si="608"/>
        <v>0</v>
      </c>
      <c r="Y1878">
        <f t="shared" si="609"/>
        <v>12</v>
      </c>
      <c r="CP1878">
        <f>IF(包装物料出入库明细!$D1878="",0,1)</f>
        <v>0</v>
      </c>
      <c r="CQ1878">
        <f t="shared" si="610"/>
        <v>37</v>
      </c>
      <c r="CS1878" t="str">
        <f>IF(OR(周转筐出入库明细!$C1879="",周转筐出入库明细!$F1879&lt;&gt;"采购入库"),"",周转筐出入库明细!$C1879)</f>
        <v/>
      </c>
      <c r="CT1878">
        <f t="shared" si="611"/>
        <v>0</v>
      </c>
      <c r="CU1878">
        <f t="shared" si="612"/>
        <v>1</v>
      </c>
    </row>
    <row r="1879" spans="1:99">
      <c r="A1879" t="str">
        <f>IF(包装物料出入库明细!$E1879="","",包装物料出入库明细!$E1879)</f>
        <v/>
      </c>
      <c r="B1879">
        <f t="shared" si="602"/>
        <v>0</v>
      </c>
      <c r="C1879">
        <f t="shared" si="603"/>
        <v>7</v>
      </c>
      <c r="D1879" t="str">
        <f>IF(包装物料出入库明细!$E1879="","",包装物料出入库明细!$F1879)</f>
        <v/>
      </c>
      <c r="E1879" t="str">
        <f>IF(包装物料出入库明细!$E1879="","",包装物料出入库明细!$G1879)</f>
        <v/>
      </c>
      <c r="K1879" t="str">
        <f>IF(包装物料出入库明细!$D1879="","",包装物料出入库明细!$D1879)</f>
        <v/>
      </c>
      <c r="L1879">
        <f t="shared" si="604"/>
        <v>0</v>
      </c>
      <c r="M1879">
        <f t="shared" si="605"/>
        <v>9</v>
      </c>
      <c r="Q1879" t="str">
        <f>IF(周转筐出入库明细!$D1880="","",周转筐出入库明细!$D1880)</f>
        <v/>
      </c>
      <c r="R1879">
        <f t="shared" si="606"/>
        <v>0</v>
      </c>
      <c r="S1879">
        <f t="shared" si="607"/>
        <v>5</v>
      </c>
      <c r="W1879" t="str">
        <f>IF(周转筐出入库明细!$C1880="","",周转筐出入库明细!$C1880)</f>
        <v/>
      </c>
      <c r="X1879">
        <f t="shared" si="608"/>
        <v>0</v>
      </c>
      <c r="Y1879">
        <f t="shared" si="609"/>
        <v>12</v>
      </c>
      <c r="CP1879">
        <f>IF(包装物料出入库明细!$D1879="",0,1)</f>
        <v>0</v>
      </c>
      <c r="CQ1879">
        <f t="shared" si="610"/>
        <v>37</v>
      </c>
      <c r="CS1879" t="str">
        <f>IF(OR(周转筐出入库明细!$C1880="",周转筐出入库明细!$F1880&lt;&gt;"采购入库"),"",周转筐出入库明细!$C1880)</f>
        <v/>
      </c>
      <c r="CT1879">
        <f t="shared" si="611"/>
        <v>0</v>
      </c>
      <c r="CU1879">
        <f t="shared" si="612"/>
        <v>1</v>
      </c>
    </row>
    <row r="1880" spans="1:99">
      <c r="A1880" t="str">
        <f>IF(包装物料出入库明细!$E1880="","",包装物料出入库明细!$E1880)</f>
        <v/>
      </c>
      <c r="B1880">
        <f t="shared" si="602"/>
        <v>0</v>
      </c>
      <c r="C1880">
        <f t="shared" si="603"/>
        <v>7</v>
      </c>
      <c r="D1880" t="str">
        <f>IF(包装物料出入库明细!$E1880="","",包装物料出入库明细!$F1880)</f>
        <v/>
      </c>
      <c r="E1880" t="str">
        <f>IF(包装物料出入库明细!$E1880="","",包装物料出入库明细!$G1880)</f>
        <v/>
      </c>
      <c r="K1880" t="str">
        <f>IF(包装物料出入库明细!$D1880="","",包装物料出入库明细!$D1880)</f>
        <v/>
      </c>
      <c r="L1880">
        <f t="shared" si="604"/>
        <v>0</v>
      </c>
      <c r="M1880">
        <f t="shared" si="605"/>
        <v>9</v>
      </c>
      <c r="Q1880" t="str">
        <f>IF(周转筐出入库明细!$D1881="","",周转筐出入库明细!$D1881)</f>
        <v/>
      </c>
      <c r="R1880">
        <f t="shared" si="606"/>
        <v>0</v>
      </c>
      <c r="S1880">
        <f t="shared" si="607"/>
        <v>5</v>
      </c>
      <c r="W1880" t="str">
        <f>IF(周转筐出入库明细!$C1881="","",周转筐出入库明细!$C1881)</f>
        <v/>
      </c>
      <c r="X1880">
        <f t="shared" si="608"/>
        <v>0</v>
      </c>
      <c r="Y1880">
        <f t="shared" si="609"/>
        <v>12</v>
      </c>
      <c r="CP1880">
        <f>IF(包装物料出入库明细!$D1880="",0,1)</f>
        <v>0</v>
      </c>
      <c r="CQ1880">
        <f t="shared" si="610"/>
        <v>37</v>
      </c>
      <c r="CS1880" t="str">
        <f>IF(OR(周转筐出入库明细!$C1881="",周转筐出入库明细!$F1881&lt;&gt;"采购入库"),"",周转筐出入库明细!$C1881)</f>
        <v/>
      </c>
      <c r="CT1880">
        <f t="shared" si="611"/>
        <v>0</v>
      </c>
      <c r="CU1880">
        <f t="shared" si="612"/>
        <v>1</v>
      </c>
    </row>
    <row r="1881" spans="1:99">
      <c r="A1881" t="str">
        <f>IF(包装物料出入库明细!$E1881="","",包装物料出入库明细!$E1881)</f>
        <v/>
      </c>
      <c r="B1881">
        <f t="shared" si="602"/>
        <v>0</v>
      </c>
      <c r="C1881">
        <f t="shared" si="603"/>
        <v>7</v>
      </c>
      <c r="D1881" t="str">
        <f>IF(包装物料出入库明细!$E1881="","",包装物料出入库明细!$F1881)</f>
        <v/>
      </c>
      <c r="E1881" t="str">
        <f>IF(包装物料出入库明细!$E1881="","",包装物料出入库明细!$G1881)</f>
        <v/>
      </c>
      <c r="K1881" t="str">
        <f>IF(包装物料出入库明细!$D1881="","",包装物料出入库明细!$D1881)</f>
        <v/>
      </c>
      <c r="L1881">
        <f t="shared" si="604"/>
        <v>0</v>
      </c>
      <c r="M1881">
        <f t="shared" si="605"/>
        <v>9</v>
      </c>
      <c r="Q1881" t="str">
        <f>IF(周转筐出入库明细!$D1882="","",周转筐出入库明细!$D1882)</f>
        <v/>
      </c>
      <c r="R1881">
        <f t="shared" si="606"/>
        <v>0</v>
      </c>
      <c r="S1881">
        <f t="shared" si="607"/>
        <v>5</v>
      </c>
      <c r="W1881" t="str">
        <f>IF(周转筐出入库明细!$C1882="","",周转筐出入库明细!$C1882)</f>
        <v/>
      </c>
      <c r="X1881">
        <f t="shared" si="608"/>
        <v>0</v>
      </c>
      <c r="Y1881">
        <f t="shared" si="609"/>
        <v>12</v>
      </c>
      <c r="CP1881">
        <f>IF(包装物料出入库明细!$D1881="",0,1)</f>
        <v>0</v>
      </c>
      <c r="CQ1881">
        <f t="shared" si="610"/>
        <v>37</v>
      </c>
      <c r="CS1881" t="str">
        <f>IF(OR(周转筐出入库明细!$C1882="",周转筐出入库明细!$F1882&lt;&gt;"采购入库"),"",周转筐出入库明细!$C1882)</f>
        <v/>
      </c>
      <c r="CT1881">
        <f t="shared" si="611"/>
        <v>0</v>
      </c>
      <c r="CU1881">
        <f t="shared" si="612"/>
        <v>1</v>
      </c>
    </row>
    <row r="1882" spans="1:99">
      <c r="A1882" t="str">
        <f>IF(包装物料出入库明细!$E1882="","",包装物料出入库明细!$E1882)</f>
        <v/>
      </c>
      <c r="B1882">
        <f t="shared" si="602"/>
        <v>0</v>
      </c>
      <c r="C1882">
        <f t="shared" si="603"/>
        <v>7</v>
      </c>
      <c r="D1882" t="str">
        <f>IF(包装物料出入库明细!$E1882="","",包装物料出入库明细!$F1882)</f>
        <v/>
      </c>
      <c r="E1882" t="str">
        <f>IF(包装物料出入库明细!$E1882="","",包装物料出入库明细!$G1882)</f>
        <v/>
      </c>
      <c r="K1882" t="str">
        <f>IF(包装物料出入库明细!$D1882="","",包装物料出入库明细!$D1882)</f>
        <v/>
      </c>
      <c r="L1882">
        <f t="shared" si="604"/>
        <v>0</v>
      </c>
      <c r="M1882">
        <f t="shared" si="605"/>
        <v>9</v>
      </c>
      <c r="Q1882" t="str">
        <f>IF(周转筐出入库明细!$D1883="","",周转筐出入库明细!$D1883)</f>
        <v/>
      </c>
      <c r="R1882">
        <f t="shared" si="606"/>
        <v>0</v>
      </c>
      <c r="S1882">
        <f t="shared" si="607"/>
        <v>5</v>
      </c>
      <c r="W1882" t="str">
        <f>IF(周转筐出入库明细!$C1883="","",周转筐出入库明细!$C1883)</f>
        <v/>
      </c>
      <c r="X1882">
        <f t="shared" si="608"/>
        <v>0</v>
      </c>
      <c r="Y1882">
        <f t="shared" si="609"/>
        <v>12</v>
      </c>
      <c r="CP1882">
        <f>IF(包装物料出入库明细!$D1882="",0,1)</f>
        <v>0</v>
      </c>
      <c r="CQ1882">
        <f t="shared" si="610"/>
        <v>37</v>
      </c>
      <c r="CS1882" t="str">
        <f>IF(OR(周转筐出入库明细!$C1883="",周转筐出入库明细!$F1883&lt;&gt;"采购入库"),"",周转筐出入库明细!$C1883)</f>
        <v/>
      </c>
      <c r="CT1882">
        <f t="shared" si="611"/>
        <v>0</v>
      </c>
      <c r="CU1882">
        <f t="shared" si="612"/>
        <v>1</v>
      </c>
    </row>
    <row r="1883" spans="1:99">
      <c r="A1883" t="str">
        <f>IF(包装物料出入库明细!$E1883="","",包装物料出入库明细!$E1883)</f>
        <v/>
      </c>
      <c r="B1883">
        <f t="shared" si="602"/>
        <v>0</v>
      </c>
      <c r="C1883">
        <f t="shared" si="603"/>
        <v>7</v>
      </c>
      <c r="D1883" t="str">
        <f>IF(包装物料出入库明细!$E1883="","",包装物料出入库明细!$F1883)</f>
        <v/>
      </c>
      <c r="E1883" t="str">
        <f>IF(包装物料出入库明细!$E1883="","",包装物料出入库明细!$G1883)</f>
        <v/>
      </c>
      <c r="K1883" t="str">
        <f>IF(包装物料出入库明细!$D1883="","",包装物料出入库明细!$D1883)</f>
        <v/>
      </c>
      <c r="L1883">
        <f t="shared" si="604"/>
        <v>0</v>
      </c>
      <c r="M1883">
        <f t="shared" si="605"/>
        <v>9</v>
      </c>
      <c r="Q1883" t="str">
        <f>IF(周转筐出入库明细!$D1884="","",周转筐出入库明细!$D1884)</f>
        <v/>
      </c>
      <c r="R1883">
        <f t="shared" si="606"/>
        <v>0</v>
      </c>
      <c r="S1883">
        <f t="shared" si="607"/>
        <v>5</v>
      </c>
      <c r="W1883" t="str">
        <f>IF(周转筐出入库明细!$C1884="","",周转筐出入库明细!$C1884)</f>
        <v/>
      </c>
      <c r="X1883">
        <f t="shared" si="608"/>
        <v>0</v>
      </c>
      <c r="Y1883">
        <f t="shared" si="609"/>
        <v>12</v>
      </c>
      <c r="CP1883">
        <f>IF(包装物料出入库明细!$D1883="",0,1)</f>
        <v>0</v>
      </c>
      <c r="CQ1883">
        <f t="shared" si="610"/>
        <v>37</v>
      </c>
      <c r="CS1883" t="str">
        <f>IF(OR(周转筐出入库明细!$C1884="",周转筐出入库明细!$F1884&lt;&gt;"采购入库"),"",周转筐出入库明细!$C1884)</f>
        <v/>
      </c>
      <c r="CT1883">
        <f t="shared" si="611"/>
        <v>0</v>
      </c>
      <c r="CU1883">
        <f t="shared" si="612"/>
        <v>1</v>
      </c>
    </row>
    <row r="1884" spans="1:99">
      <c r="A1884" t="str">
        <f>IF(包装物料出入库明细!$E1884="","",包装物料出入库明细!$E1884)</f>
        <v/>
      </c>
      <c r="B1884">
        <f t="shared" si="602"/>
        <v>0</v>
      </c>
      <c r="C1884">
        <f t="shared" si="603"/>
        <v>7</v>
      </c>
      <c r="D1884" t="str">
        <f>IF(包装物料出入库明细!$E1884="","",包装物料出入库明细!$F1884)</f>
        <v/>
      </c>
      <c r="E1884" t="str">
        <f>IF(包装物料出入库明细!$E1884="","",包装物料出入库明细!$G1884)</f>
        <v/>
      </c>
      <c r="K1884" t="str">
        <f>IF(包装物料出入库明细!$D1884="","",包装物料出入库明细!$D1884)</f>
        <v/>
      </c>
      <c r="L1884">
        <f t="shared" si="604"/>
        <v>0</v>
      </c>
      <c r="M1884">
        <f t="shared" si="605"/>
        <v>9</v>
      </c>
      <c r="Q1884" t="str">
        <f>IF(周转筐出入库明细!$D1885="","",周转筐出入库明细!$D1885)</f>
        <v/>
      </c>
      <c r="R1884">
        <f t="shared" si="606"/>
        <v>0</v>
      </c>
      <c r="S1884">
        <f t="shared" si="607"/>
        <v>5</v>
      </c>
      <c r="W1884" t="str">
        <f>IF(周转筐出入库明细!$C1885="","",周转筐出入库明细!$C1885)</f>
        <v/>
      </c>
      <c r="X1884">
        <f t="shared" si="608"/>
        <v>0</v>
      </c>
      <c r="Y1884">
        <f t="shared" si="609"/>
        <v>12</v>
      </c>
      <c r="CP1884">
        <f>IF(包装物料出入库明细!$D1884="",0,1)</f>
        <v>0</v>
      </c>
      <c r="CQ1884">
        <f t="shared" si="610"/>
        <v>37</v>
      </c>
      <c r="CS1884" t="str">
        <f>IF(OR(周转筐出入库明细!$C1885="",周转筐出入库明细!$F1885&lt;&gt;"采购入库"),"",周转筐出入库明细!$C1885)</f>
        <v/>
      </c>
      <c r="CT1884">
        <f t="shared" si="611"/>
        <v>0</v>
      </c>
      <c r="CU1884">
        <f t="shared" si="612"/>
        <v>1</v>
      </c>
    </row>
    <row r="1885" spans="1:99">
      <c r="A1885" t="str">
        <f>IF(包装物料出入库明细!$E1885="","",包装物料出入库明细!$E1885)</f>
        <v/>
      </c>
      <c r="B1885">
        <f t="shared" si="602"/>
        <v>0</v>
      </c>
      <c r="C1885">
        <f t="shared" si="603"/>
        <v>7</v>
      </c>
      <c r="D1885" t="str">
        <f>IF(包装物料出入库明细!$E1885="","",包装物料出入库明细!$F1885)</f>
        <v/>
      </c>
      <c r="E1885" t="str">
        <f>IF(包装物料出入库明细!$E1885="","",包装物料出入库明细!$G1885)</f>
        <v/>
      </c>
      <c r="K1885" t="str">
        <f>IF(包装物料出入库明细!$D1885="","",包装物料出入库明细!$D1885)</f>
        <v/>
      </c>
      <c r="L1885">
        <f t="shared" si="604"/>
        <v>0</v>
      </c>
      <c r="M1885">
        <f t="shared" si="605"/>
        <v>9</v>
      </c>
      <c r="Q1885" t="str">
        <f>IF(周转筐出入库明细!$D1886="","",周转筐出入库明细!$D1886)</f>
        <v/>
      </c>
      <c r="R1885">
        <f t="shared" si="606"/>
        <v>0</v>
      </c>
      <c r="S1885">
        <f t="shared" si="607"/>
        <v>5</v>
      </c>
      <c r="W1885" t="str">
        <f>IF(周转筐出入库明细!$C1886="","",周转筐出入库明细!$C1886)</f>
        <v/>
      </c>
      <c r="X1885">
        <f t="shared" si="608"/>
        <v>0</v>
      </c>
      <c r="Y1885">
        <f t="shared" si="609"/>
        <v>12</v>
      </c>
      <c r="CP1885">
        <f>IF(包装物料出入库明细!$D1885="",0,1)</f>
        <v>0</v>
      </c>
      <c r="CQ1885">
        <f t="shared" si="610"/>
        <v>37</v>
      </c>
      <c r="CS1885" t="str">
        <f>IF(OR(周转筐出入库明细!$C1886="",周转筐出入库明细!$F1886&lt;&gt;"采购入库"),"",周转筐出入库明细!$C1886)</f>
        <v/>
      </c>
      <c r="CT1885">
        <f t="shared" si="611"/>
        <v>0</v>
      </c>
      <c r="CU1885">
        <f t="shared" si="612"/>
        <v>1</v>
      </c>
    </row>
    <row r="1886" spans="1:99">
      <c r="A1886" t="str">
        <f>IF(包装物料出入库明细!$E1886="","",包装物料出入库明细!$E1886)</f>
        <v/>
      </c>
      <c r="B1886">
        <f t="shared" si="602"/>
        <v>0</v>
      </c>
      <c r="C1886">
        <f t="shared" si="603"/>
        <v>7</v>
      </c>
      <c r="D1886" t="str">
        <f>IF(包装物料出入库明细!$E1886="","",包装物料出入库明细!$F1886)</f>
        <v/>
      </c>
      <c r="E1886" t="str">
        <f>IF(包装物料出入库明细!$E1886="","",包装物料出入库明细!$G1886)</f>
        <v/>
      </c>
      <c r="K1886" t="str">
        <f>IF(包装物料出入库明细!$D1886="","",包装物料出入库明细!$D1886)</f>
        <v/>
      </c>
      <c r="L1886">
        <f t="shared" si="604"/>
        <v>0</v>
      </c>
      <c r="M1886">
        <f t="shared" si="605"/>
        <v>9</v>
      </c>
      <c r="Q1886" t="str">
        <f>IF(周转筐出入库明细!$D1887="","",周转筐出入库明细!$D1887)</f>
        <v/>
      </c>
      <c r="R1886">
        <f t="shared" si="606"/>
        <v>0</v>
      </c>
      <c r="S1886">
        <f t="shared" si="607"/>
        <v>5</v>
      </c>
      <c r="W1886" t="str">
        <f>IF(周转筐出入库明细!$C1887="","",周转筐出入库明细!$C1887)</f>
        <v/>
      </c>
      <c r="X1886">
        <f t="shared" si="608"/>
        <v>0</v>
      </c>
      <c r="Y1886">
        <f t="shared" si="609"/>
        <v>12</v>
      </c>
      <c r="CP1886">
        <f>IF(包装物料出入库明细!$D1886="",0,1)</f>
        <v>0</v>
      </c>
      <c r="CQ1886">
        <f t="shared" si="610"/>
        <v>37</v>
      </c>
      <c r="CS1886" t="str">
        <f>IF(OR(周转筐出入库明细!$C1887="",周转筐出入库明细!$F1887&lt;&gt;"采购入库"),"",周转筐出入库明细!$C1887)</f>
        <v/>
      </c>
      <c r="CT1886">
        <f t="shared" si="611"/>
        <v>0</v>
      </c>
      <c r="CU1886">
        <f t="shared" si="612"/>
        <v>1</v>
      </c>
    </row>
    <row r="1887" spans="1:99">
      <c r="A1887" t="str">
        <f>IF(包装物料出入库明细!$E1887="","",包装物料出入库明细!$E1887)</f>
        <v/>
      </c>
      <c r="B1887">
        <f t="shared" si="602"/>
        <v>0</v>
      </c>
      <c r="C1887">
        <f t="shared" si="603"/>
        <v>7</v>
      </c>
      <c r="D1887" t="str">
        <f>IF(包装物料出入库明细!$E1887="","",包装物料出入库明细!$F1887)</f>
        <v/>
      </c>
      <c r="E1887" t="str">
        <f>IF(包装物料出入库明细!$E1887="","",包装物料出入库明细!$G1887)</f>
        <v/>
      </c>
      <c r="K1887" t="str">
        <f>IF(包装物料出入库明细!$D1887="","",包装物料出入库明细!$D1887)</f>
        <v/>
      </c>
      <c r="L1887">
        <f t="shared" si="604"/>
        <v>0</v>
      </c>
      <c r="M1887">
        <f t="shared" si="605"/>
        <v>9</v>
      </c>
      <c r="Q1887" t="str">
        <f>IF(周转筐出入库明细!$D1888="","",周转筐出入库明细!$D1888)</f>
        <v/>
      </c>
      <c r="R1887">
        <f t="shared" si="606"/>
        <v>0</v>
      </c>
      <c r="S1887">
        <f t="shared" si="607"/>
        <v>5</v>
      </c>
      <c r="W1887" t="str">
        <f>IF(周转筐出入库明细!$C1888="","",周转筐出入库明细!$C1888)</f>
        <v/>
      </c>
      <c r="X1887">
        <f t="shared" si="608"/>
        <v>0</v>
      </c>
      <c r="Y1887">
        <f t="shared" si="609"/>
        <v>12</v>
      </c>
      <c r="CP1887">
        <f>IF(包装物料出入库明细!$D1887="",0,1)</f>
        <v>0</v>
      </c>
      <c r="CQ1887">
        <f t="shared" si="610"/>
        <v>37</v>
      </c>
      <c r="CS1887" t="str">
        <f>IF(OR(周转筐出入库明细!$C1888="",周转筐出入库明细!$F1888&lt;&gt;"采购入库"),"",周转筐出入库明细!$C1888)</f>
        <v/>
      </c>
      <c r="CT1887">
        <f t="shared" si="611"/>
        <v>0</v>
      </c>
      <c r="CU1887">
        <f t="shared" si="612"/>
        <v>1</v>
      </c>
    </row>
    <row r="1888" spans="1:99">
      <c r="A1888" t="str">
        <f>IF(包装物料出入库明细!$E1888="","",包装物料出入库明细!$E1888)</f>
        <v/>
      </c>
      <c r="B1888">
        <f t="shared" si="602"/>
        <v>0</v>
      </c>
      <c r="C1888">
        <f t="shared" si="603"/>
        <v>7</v>
      </c>
      <c r="D1888" t="str">
        <f>IF(包装物料出入库明细!$E1888="","",包装物料出入库明细!$F1888)</f>
        <v/>
      </c>
      <c r="E1888" t="str">
        <f>IF(包装物料出入库明细!$E1888="","",包装物料出入库明细!$G1888)</f>
        <v/>
      </c>
      <c r="K1888" t="str">
        <f>IF(包装物料出入库明细!$D1888="","",包装物料出入库明细!$D1888)</f>
        <v/>
      </c>
      <c r="L1888">
        <f t="shared" si="604"/>
        <v>0</v>
      </c>
      <c r="M1888">
        <f t="shared" si="605"/>
        <v>9</v>
      </c>
      <c r="Q1888" t="str">
        <f>IF(周转筐出入库明细!$D1889="","",周转筐出入库明细!$D1889)</f>
        <v/>
      </c>
      <c r="R1888">
        <f t="shared" si="606"/>
        <v>0</v>
      </c>
      <c r="S1888">
        <f t="shared" si="607"/>
        <v>5</v>
      </c>
      <c r="W1888" t="str">
        <f>IF(周转筐出入库明细!$C1889="","",周转筐出入库明细!$C1889)</f>
        <v/>
      </c>
      <c r="X1888">
        <f t="shared" si="608"/>
        <v>0</v>
      </c>
      <c r="Y1888">
        <f t="shared" si="609"/>
        <v>12</v>
      </c>
      <c r="CP1888">
        <f>IF(包装物料出入库明细!$D1888="",0,1)</f>
        <v>0</v>
      </c>
      <c r="CQ1888">
        <f t="shared" si="610"/>
        <v>37</v>
      </c>
      <c r="CS1888" t="str">
        <f>IF(OR(周转筐出入库明细!$C1889="",周转筐出入库明细!$F1889&lt;&gt;"采购入库"),"",周转筐出入库明细!$C1889)</f>
        <v/>
      </c>
      <c r="CT1888">
        <f t="shared" si="611"/>
        <v>0</v>
      </c>
      <c r="CU1888">
        <f t="shared" si="612"/>
        <v>1</v>
      </c>
    </row>
    <row r="1889" spans="1:99">
      <c r="A1889" t="str">
        <f>IF(包装物料出入库明细!$E1889="","",包装物料出入库明细!$E1889)</f>
        <v/>
      </c>
      <c r="B1889">
        <f t="shared" si="602"/>
        <v>0</v>
      </c>
      <c r="C1889">
        <f t="shared" si="603"/>
        <v>7</v>
      </c>
      <c r="D1889" t="str">
        <f>IF(包装物料出入库明细!$E1889="","",包装物料出入库明细!$F1889)</f>
        <v/>
      </c>
      <c r="E1889" t="str">
        <f>IF(包装物料出入库明细!$E1889="","",包装物料出入库明细!$G1889)</f>
        <v/>
      </c>
      <c r="K1889" t="str">
        <f>IF(包装物料出入库明细!$D1889="","",包装物料出入库明细!$D1889)</f>
        <v/>
      </c>
      <c r="L1889">
        <f t="shared" si="604"/>
        <v>0</v>
      </c>
      <c r="M1889">
        <f t="shared" si="605"/>
        <v>9</v>
      </c>
      <c r="Q1889" t="str">
        <f>IF(周转筐出入库明细!$D1890="","",周转筐出入库明细!$D1890)</f>
        <v/>
      </c>
      <c r="R1889">
        <f t="shared" si="606"/>
        <v>0</v>
      </c>
      <c r="S1889">
        <f t="shared" si="607"/>
        <v>5</v>
      </c>
      <c r="W1889" t="str">
        <f>IF(周转筐出入库明细!$C1890="","",周转筐出入库明细!$C1890)</f>
        <v/>
      </c>
      <c r="X1889">
        <f t="shared" si="608"/>
        <v>0</v>
      </c>
      <c r="Y1889">
        <f t="shared" si="609"/>
        <v>12</v>
      </c>
      <c r="CP1889">
        <f>IF(包装物料出入库明细!$D1889="",0,1)</f>
        <v>0</v>
      </c>
      <c r="CQ1889">
        <f t="shared" si="610"/>
        <v>37</v>
      </c>
      <c r="CS1889" t="str">
        <f>IF(OR(周转筐出入库明细!$C1890="",周转筐出入库明细!$F1890&lt;&gt;"采购入库"),"",周转筐出入库明细!$C1890)</f>
        <v/>
      </c>
      <c r="CT1889">
        <f t="shared" si="611"/>
        <v>0</v>
      </c>
      <c r="CU1889">
        <f t="shared" si="612"/>
        <v>1</v>
      </c>
    </row>
    <row r="1890" spans="1:99">
      <c r="A1890" t="str">
        <f>IF(包装物料出入库明细!$E1890="","",包装物料出入库明细!$E1890)</f>
        <v/>
      </c>
      <c r="B1890">
        <f t="shared" si="602"/>
        <v>0</v>
      </c>
      <c r="C1890">
        <f t="shared" si="603"/>
        <v>7</v>
      </c>
      <c r="D1890" t="str">
        <f>IF(包装物料出入库明细!$E1890="","",包装物料出入库明细!$F1890)</f>
        <v/>
      </c>
      <c r="E1890" t="str">
        <f>IF(包装物料出入库明细!$E1890="","",包装物料出入库明细!$G1890)</f>
        <v/>
      </c>
      <c r="K1890" t="str">
        <f>IF(包装物料出入库明细!$D1890="","",包装物料出入库明细!$D1890)</f>
        <v/>
      </c>
      <c r="L1890">
        <f t="shared" si="604"/>
        <v>0</v>
      </c>
      <c r="M1890">
        <f t="shared" si="605"/>
        <v>9</v>
      </c>
      <c r="Q1890" t="str">
        <f>IF(周转筐出入库明细!$D1891="","",周转筐出入库明细!$D1891)</f>
        <v/>
      </c>
      <c r="R1890">
        <f t="shared" si="606"/>
        <v>0</v>
      </c>
      <c r="S1890">
        <f t="shared" si="607"/>
        <v>5</v>
      </c>
      <c r="W1890" t="str">
        <f>IF(周转筐出入库明细!$C1891="","",周转筐出入库明细!$C1891)</f>
        <v/>
      </c>
      <c r="X1890">
        <f t="shared" si="608"/>
        <v>0</v>
      </c>
      <c r="Y1890">
        <f t="shared" si="609"/>
        <v>12</v>
      </c>
      <c r="CP1890">
        <f>IF(包装物料出入库明细!$D1890="",0,1)</f>
        <v>0</v>
      </c>
      <c r="CQ1890">
        <f t="shared" si="610"/>
        <v>37</v>
      </c>
      <c r="CS1890" t="str">
        <f>IF(OR(周转筐出入库明细!$C1891="",周转筐出入库明细!$F1891&lt;&gt;"采购入库"),"",周转筐出入库明细!$C1891)</f>
        <v/>
      </c>
      <c r="CT1890">
        <f t="shared" si="611"/>
        <v>0</v>
      </c>
      <c r="CU1890">
        <f t="shared" si="612"/>
        <v>1</v>
      </c>
    </row>
    <row r="1891" spans="1:99">
      <c r="A1891" t="str">
        <f>IF(包装物料出入库明细!$E1891="","",包装物料出入库明细!$E1891)</f>
        <v/>
      </c>
      <c r="B1891">
        <f t="shared" si="602"/>
        <v>0</v>
      </c>
      <c r="C1891">
        <f t="shared" si="603"/>
        <v>7</v>
      </c>
      <c r="D1891" t="str">
        <f>IF(包装物料出入库明细!$E1891="","",包装物料出入库明细!$F1891)</f>
        <v/>
      </c>
      <c r="E1891" t="str">
        <f>IF(包装物料出入库明细!$E1891="","",包装物料出入库明细!$G1891)</f>
        <v/>
      </c>
      <c r="K1891" t="str">
        <f>IF(包装物料出入库明细!$D1891="","",包装物料出入库明细!$D1891)</f>
        <v/>
      </c>
      <c r="L1891">
        <f t="shared" si="604"/>
        <v>0</v>
      </c>
      <c r="M1891">
        <f t="shared" si="605"/>
        <v>9</v>
      </c>
      <c r="Q1891" t="str">
        <f>IF(周转筐出入库明细!$D1892="","",周转筐出入库明细!$D1892)</f>
        <v/>
      </c>
      <c r="R1891">
        <f t="shared" si="606"/>
        <v>0</v>
      </c>
      <c r="S1891">
        <f t="shared" si="607"/>
        <v>5</v>
      </c>
      <c r="W1891" t="str">
        <f>IF(周转筐出入库明细!$C1892="","",周转筐出入库明细!$C1892)</f>
        <v/>
      </c>
      <c r="X1891">
        <f t="shared" si="608"/>
        <v>0</v>
      </c>
      <c r="Y1891">
        <f t="shared" si="609"/>
        <v>12</v>
      </c>
      <c r="CP1891">
        <f>IF(包装物料出入库明细!$D1891="",0,1)</f>
        <v>0</v>
      </c>
      <c r="CQ1891">
        <f t="shared" si="610"/>
        <v>37</v>
      </c>
      <c r="CS1891" t="str">
        <f>IF(OR(周转筐出入库明细!$C1892="",周转筐出入库明细!$F1892&lt;&gt;"采购入库"),"",周转筐出入库明细!$C1892)</f>
        <v/>
      </c>
      <c r="CT1891">
        <f t="shared" si="611"/>
        <v>0</v>
      </c>
      <c r="CU1891">
        <f t="shared" si="612"/>
        <v>1</v>
      </c>
    </row>
    <row r="1892" spans="1:99">
      <c r="A1892" t="str">
        <f>IF(包装物料出入库明细!$E1892="","",包装物料出入库明细!$E1892)</f>
        <v/>
      </c>
      <c r="B1892">
        <f t="shared" si="602"/>
        <v>0</v>
      </c>
      <c r="C1892">
        <f t="shared" si="603"/>
        <v>7</v>
      </c>
      <c r="D1892" t="str">
        <f>IF(包装物料出入库明细!$E1892="","",包装物料出入库明细!$F1892)</f>
        <v/>
      </c>
      <c r="E1892" t="str">
        <f>IF(包装物料出入库明细!$E1892="","",包装物料出入库明细!$G1892)</f>
        <v/>
      </c>
      <c r="K1892" t="str">
        <f>IF(包装物料出入库明细!$D1892="","",包装物料出入库明细!$D1892)</f>
        <v/>
      </c>
      <c r="L1892">
        <f t="shared" si="604"/>
        <v>0</v>
      </c>
      <c r="M1892">
        <f t="shared" si="605"/>
        <v>9</v>
      </c>
      <c r="Q1892" t="str">
        <f>IF(周转筐出入库明细!$D1893="","",周转筐出入库明细!$D1893)</f>
        <v/>
      </c>
      <c r="R1892">
        <f t="shared" si="606"/>
        <v>0</v>
      </c>
      <c r="S1892">
        <f t="shared" si="607"/>
        <v>5</v>
      </c>
      <c r="W1892" t="str">
        <f>IF(周转筐出入库明细!$C1893="","",周转筐出入库明细!$C1893)</f>
        <v/>
      </c>
      <c r="X1892">
        <f t="shared" si="608"/>
        <v>0</v>
      </c>
      <c r="Y1892">
        <f t="shared" si="609"/>
        <v>12</v>
      </c>
      <c r="CP1892">
        <f>IF(包装物料出入库明细!$D1892="",0,1)</f>
        <v>0</v>
      </c>
      <c r="CQ1892">
        <f t="shared" si="610"/>
        <v>37</v>
      </c>
      <c r="CS1892" t="str">
        <f>IF(OR(周转筐出入库明细!$C1893="",周转筐出入库明细!$F1893&lt;&gt;"采购入库"),"",周转筐出入库明细!$C1893)</f>
        <v/>
      </c>
      <c r="CT1892">
        <f t="shared" si="611"/>
        <v>0</v>
      </c>
      <c r="CU1892">
        <f t="shared" si="612"/>
        <v>1</v>
      </c>
    </row>
    <row r="1893" spans="1:99">
      <c r="A1893" t="str">
        <f>IF(包装物料出入库明细!$E1893="","",包装物料出入库明细!$E1893)</f>
        <v/>
      </c>
      <c r="B1893">
        <f t="shared" si="602"/>
        <v>0</v>
      </c>
      <c r="C1893">
        <f t="shared" si="603"/>
        <v>7</v>
      </c>
      <c r="D1893" t="str">
        <f>IF(包装物料出入库明细!$E1893="","",包装物料出入库明细!$F1893)</f>
        <v/>
      </c>
      <c r="E1893" t="str">
        <f>IF(包装物料出入库明细!$E1893="","",包装物料出入库明细!$G1893)</f>
        <v/>
      </c>
      <c r="K1893" t="str">
        <f>IF(包装物料出入库明细!$D1893="","",包装物料出入库明细!$D1893)</f>
        <v/>
      </c>
      <c r="L1893">
        <f t="shared" si="604"/>
        <v>0</v>
      </c>
      <c r="M1893">
        <f t="shared" si="605"/>
        <v>9</v>
      </c>
      <c r="Q1893" t="str">
        <f>IF(周转筐出入库明细!$D1894="","",周转筐出入库明细!$D1894)</f>
        <v/>
      </c>
      <c r="R1893">
        <f t="shared" si="606"/>
        <v>0</v>
      </c>
      <c r="S1893">
        <f t="shared" si="607"/>
        <v>5</v>
      </c>
      <c r="W1893" t="str">
        <f>IF(周转筐出入库明细!$C1894="","",周转筐出入库明细!$C1894)</f>
        <v/>
      </c>
      <c r="X1893">
        <f t="shared" si="608"/>
        <v>0</v>
      </c>
      <c r="Y1893">
        <f t="shared" si="609"/>
        <v>12</v>
      </c>
      <c r="CP1893">
        <f>IF(包装物料出入库明细!$D1893="",0,1)</f>
        <v>0</v>
      </c>
      <c r="CQ1893">
        <f t="shared" si="610"/>
        <v>37</v>
      </c>
      <c r="CS1893" t="str">
        <f>IF(OR(周转筐出入库明细!$C1894="",周转筐出入库明细!$F1894&lt;&gt;"采购入库"),"",周转筐出入库明细!$C1894)</f>
        <v/>
      </c>
      <c r="CT1893">
        <f t="shared" si="611"/>
        <v>0</v>
      </c>
      <c r="CU1893">
        <f t="shared" si="612"/>
        <v>1</v>
      </c>
    </row>
    <row r="1894" spans="1:99">
      <c r="A1894" t="str">
        <f>IF(包装物料出入库明细!$E1894="","",包装物料出入库明细!$E1894)</f>
        <v/>
      </c>
      <c r="B1894">
        <f t="shared" si="602"/>
        <v>0</v>
      </c>
      <c r="C1894">
        <f t="shared" si="603"/>
        <v>7</v>
      </c>
      <c r="D1894" t="str">
        <f>IF(包装物料出入库明细!$E1894="","",包装物料出入库明细!$F1894)</f>
        <v/>
      </c>
      <c r="E1894" t="str">
        <f>IF(包装物料出入库明细!$E1894="","",包装物料出入库明细!$G1894)</f>
        <v/>
      </c>
      <c r="K1894" t="str">
        <f>IF(包装物料出入库明细!$D1894="","",包装物料出入库明细!$D1894)</f>
        <v/>
      </c>
      <c r="L1894">
        <f t="shared" si="604"/>
        <v>0</v>
      </c>
      <c r="M1894">
        <f t="shared" si="605"/>
        <v>9</v>
      </c>
      <c r="Q1894" t="str">
        <f>IF(周转筐出入库明细!$D1895="","",周转筐出入库明细!$D1895)</f>
        <v/>
      </c>
      <c r="R1894">
        <f t="shared" si="606"/>
        <v>0</v>
      </c>
      <c r="S1894">
        <f t="shared" si="607"/>
        <v>5</v>
      </c>
      <c r="W1894" t="str">
        <f>IF(周转筐出入库明细!$C1895="","",周转筐出入库明细!$C1895)</f>
        <v/>
      </c>
      <c r="X1894">
        <f t="shared" si="608"/>
        <v>0</v>
      </c>
      <c r="Y1894">
        <f t="shared" si="609"/>
        <v>12</v>
      </c>
      <c r="CP1894">
        <f>IF(包装物料出入库明细!$D1894="",0,1)</f>
        <v>0</v>
      </c>
      <c r="CQ1894">
        <f t="shared" si="610"/>
        <v>37</v>
      </c>
      <c r="CS1894" t="str">
        <f>IF(OR(周转筐出入库明细!$C1895="",周转筐出入库明细!$F1895&lt;&gt;"采购入库"),"",周转筐出入库明细!$C1895)</f>
        <v/>
      </c>
      <c r="CT1894">
        <f t="shared" si="611"/>
        <v>0</v>
      </c>
      <c r="CU1894">
        <f t="shared" si="612"/>
        <v>1</v>
      </c>
    </row>
    <row r="1895" spans="1:99">
      <c r="A1895" t="str">
        <f>IF(包装物料出入库明细!$E1895="","",包装物料出入库明细!$E1895)</f>
        <v/>
      </c>
      <c r="B1895">
        <f t="shared" si="602"/>
        <v>0</v>
      </c>
      <c r="C1895">
        <f t="shared" si="603"/>
        <v>7</v>
      </c>
      <c r="D1895" t="str">
        <f>IF(包装物料出入库明细!$E1895="","",包装物料出入库明细!$F1895)</f>
        <v/>
      </c>
      <c r="E1895" t="str">
        <f>IF(包装物料出入库明细!$E1895="","",包装物料出入库明细!$G1895)</f>
        <v/>
      </c>
      <c r="K1895" t="str">
        <f>IF(包装物料出入库明细!$D1895="","",包装物料出入库明细!$D1895)</f>
        <v/>
      </c>
      <c r="L1895">
        <f t="shared" si="604"/>
        <v>0</v>
      </c>
      <c r="M1895">
        <f t="shared" si="605"/>
        <v>9</v>
      </c>
      <c r="Q1895" t="str">
        <f>IF(周转筐出入库明细!$D1896="","",周转筐出入库明细!$D1896)</f>
        <v/>
      </c>
      <c r="R1895">
        <f t="shared" si="606"/>
        <v>0</v>
      </c>
      <c r="S1895">
        <f t="shared" si="607"/>
        <v>5</v>
      </c>
      <c r="W1895" t="str">
        <f>IF(周转筐出入库明细!$C1896="","",周转筐出入库明细!$C1896)</f>
        <v/>
      </c>
      <c r="X1895">
        <f t="shared" si="608"/>
        <v>0</v>
      </c>
      <c r="Y1895">
        <f t="shared" si="609"/>
        <v>12</v>
      </c>
      <c r="CP1895">
        <f>IF(包装物料出入库明细!$D1895="",0,1)</f>
        <v>0</v>
      </c>
      <c r="CQ1895">
        <f t="shared" si="610"/>
        <v>37</v>
      </c>
      <c r="CS1895" t="str">
        <f>IF(OR(周转筐出入库明细!$C1896="",周转筐出入库明细!$F1896&lt;&gt;"采购入库"),"",周转筐出入库明细!$C1896)</f>
        <v/>
      </c>
      <c r="CT1895">
        <f t="shared" si="611"/>
        <v>0</v>
      </c>
      <c r="CU1895">
        <f t="shared" si="612"/>
        <v>1</v>
      </c>
    </row>
    <row r="1896" spans="1:99">
      <c r="A1896" t="str">
        <f>IF(包装物料出入库明细!$E1896="","",包装物料出入库明细!$E1896)</f>
        <v/>
      </c>
      <c r="B1896">
        <f t="shared" si="602"/>
        <v>0</v>
      </c>
      <c r="C1896">
        <f t="shared" si="603"/>
        <v>7</v>
      </c>
      <c r="D1896" t="str">
        <f>IF(包装物料出入库明细!$E1896="","",包装物料出入库明细!$F1896)</f>
        <v/>
      </c>
      <c r="E1896" t="str">
        <f>IF(包装物料出入库明细!$E1896="","",包装物料出入库明细!$G1896)</f>
        <v/>
      </c>
      <c r="K1896" t="str">
        <f>IF(包装物料出入库明细!$D1896="","",包装物料出入库明细!$D1896)</f>
        <v/>
      </c>
      <c r="L1896">
        <f t="shared" si="604"/>
        <v>0</v>
      </c>
      <c r="M1896">
        <f t="shared" si="605"/>
        <v>9</v>
      </c>
      <c r="Q1896" t="str">
        <f>IF(周转筐出入库明细!$D1897="","",周转筐出入库明细!$D1897)</f>
        <v/>
      </c>
      <c r="R1896">
        <f t="shared" si="606"/>
        <v>0</v>
      </c>
      <c r="S1896">
        <f t="shared" si="607"/>
        <v>5</v>
      </c>
      <c r="W1896" t="str">
        <f>IF(周转筐出入库明细!$C1897="","",周转筐出入库明细!$C1897)</f>
        <v/>
      </c>
      <c r="X1896">
        <f t="shared" si="608"/>
        <v>0</v>
      </c>
      <c r="Y1896">
        <f t="shared" si="609"/>
        <v>12</v>
      </c>
      <c r="CP1896">
        <f>IF(包装物料出入库明细!$D1896="",0,1)</f>
        <v>0</v>
      </c>
      <c r="CQ1896">
        <f t="shared" si="610"/>
        <v>37</v>
      </c>
      <c r="CS1896" t="str">
        <f>IF(OR(周转筐出入库明细!$C1897="",周转筐出入库明细!$F1897&lt;&gt;"采购入库"),"",周转筐出入库明细!$C1897)</f>
        <v/>
      </c>
      <c r="CT1896">
        <f t="shared" si="611"/>
        <v>0</v>
      </c>
      <c r="CU1896">
        <f t="shared" si="612"/>
        <v>1</v>
      </c>
    </row>
    <row r="1897" spans="1:99">
      <c r="A1897" t="str">
        <f>IF(包装物料出入库明细!$E1897="","",包装物料出入库明细!$E1897)</f>
        <v/>
      </c>
      <c r="B1897">
        <f t="shared" si="602"/>
        <v>0</v>
      </c>
      <c r="C1897">
        <f t="shared" si="603"/>
        <v>7</v>
      </c>
      <c r="D1897" t="str">
        <f>IF(包装物料出入库明细!$E1897="","",包装物料出入库明细!$F1897)</f>
        <v/>
      </c>
      <c r="E1897" t="str">
        <f>IF(包装物料出入库明细!$E1897="","",包装物料出入库明细!$G1897)</f>
        <v/>
      </c>
      <c r="K1897" t="str">
        <f>IF(包装物料出入库明细!$D1897="","",包装物料出入库明细!$D1897)</f>
        <v/>
      </c>
      <c r="L1897">
        <f t="shared" si="604"/>
        <v>0</v>
      </c>
      <c r="M1897">
        <f t="shared" si="605"/>
        <v>9</v>
      </c>
      <c r="Q1897" t="str">
        <f>IF(周转筐出入库明细!$D1898="","",周转筐出入库明细!$D1898)</f>
        <v/>
      </c>
      <c r="R1897">
        <f t="shared" si="606"/>
        <v>0</v>
      </c>
      <c r="S1897">
        <f t="shared" si="607"/>
        <v>5</v>
      </c>
      <c r="W1897" t="str">
        <f>IF(周转筐出入库明细!$C1898="","",周转筐出入库明细!$C1898)</f>
        <v/>
      </c>
      <c r="X1897">
        <f t="shared" si="608"/>
        <v>0</v>
      </c>
      <c r="Y1897">
        <f t="shared" si="609"/>
        <v>12</v>
      </c>
      <c r="CP1897">
        <f>IF(包装物料出入库明细!$D1897="",0,1)</f>
        <v>0</v>
      </c>
      <c r="CQ1897">
        <f t="shared" si="610"/>
        <v>37</v>
      </c>
      <c r="CS1897" t="str">
        <f>IF(OR(周转筐出入库明细!$C1898="",周转筐出入库明细!$F1898&lt;&gt;"采购入库"),"",周转筐出入库明细!$C1898)</f>
        <v/>
      </c>
      <c r="CT1897">
        <f t="shared" si="611"/>
        <v>0</v>
      </c>
      <c r="CU1897">
        <f t="shared" si="612"/>
        <v>1</v>
      </c>
    </row>
    <row r="1898" spans="1:99">
      <c r="A1898" t="str">
        <f>IF(包装物料出入库明细!$E1898="","",包装物料出入库明细!$E1898)</f>
        <v/>
      </c>
      <c r="B1898">
        <f t="shared" si="602"/>
        <v>0</v>
      </c>
      <c r="C1898">
        <f t="shared" si="603"/>
        <v>7</v>
      </c>
      <c r="D1898" t="str">
        <f>IF(包装物料出入库明细!$E1898="","",包装物料出入库明细!$F1898)</f>
        <v/>
      </c>
      <c r="E1898" t="str">
        <f>IF(包装物料出入库明细!$E1898="","",包装物料出入库明细!$G1898)</f>
        <v/>
      </c>
      <c r="K1898" t="str">
        <f>IF(包装物料出入库明细!$D1898="","",包装物料出入库明细!$D1898)</f>
        <v/>
      </c>
      <c r="L1898">
        <f t="shared" si="604"/>
        <v>0</v>
      </c>
      <c r="M1898">
        <f t="shared" si="605"/>
        <v>9</v>
      </c>
      <c r="Q1898" t="str">
        <f>IF(周转筐出入库明细!$D1899="","",周转筐出入库明细!$D1899)</f>
        <v/>
      </c>
      <c r="R1898">
        <f t="shared" si="606"/>
        <v>0</v>
      </c>
      <c r="S1898">
        <f t="shared" si="607"/>
        <v>5</v>
      </c>
      <c r="W1898" t="str">
        <f>IF(周转筐出入库明细!$C1899="","",周转筐出入库明细!$C1899)</f>
        <v/>
      </c>
      <c r="X1898">
        <f t="shared" si="608"/>
        <v>0</v>
      </c>
      <c r="Y1898">
        <f t="shared" si="609"/>
        <v>12</v>
      </c>
      <c r="CP1898">
        <f>IF(包装物料出入库明细!$D1898="",0,1)</f>
        <v>0</v>
      </c>
      <c r="CQ1898">
        <f t="shared" si="610"/>
        <v>37</v>
      </c>
      <c r="CS1898" t="str">
        <f>IF(OR(周转筐出入库明细!$C1899="",周转筐出入库明细!$F1899&lt;&gt;"采购入库"),"",周转筐出入库明细!$C1899)</f>
        <v/>
      </c>
      <c r="CT1898">
        <f t="shared" si="611"/>
        <v>0</v>
      </c>
      <c r="CU1898">
        <f t="shared" si="612"/>
        <v>1</v>
      </c>
    </row>
    <row r="1899" spans="1:99">
      <c r="A1899" t="str">
        <f>IF(包装物料出入库明细!$E1899="","",包装物料出入库明细!$E1899)</f>
        <v/>
      </c>
      <c r="B1899">
        <f t="shared" si="602"/>
        <v>0</v>
      </c>
      <c r="C1899">
        <f t="shared" si="603"/>
        <v>7</v>
      </c>
      <c r="D1899" t="str">
        <f>IF(包装物料出入库明细!$E1899="","",包装物料出入库明细!$F1899)</f>
        <v/>
      </c>
      <c r="E1899" t="str">
        <f>IF(包装物料出入库明细!$E1899="","",包装物料出入库明细!$G1899)</f>
        <v/>
      </c>
      <c r="K1899" t="str">
        <f>IF(包装物料出入库明细!$D1899="","",包装物料出入库明细!$D1899)</f>
        <v/>
      </c>
      <c r="L1899">
        <f t="shared" si="604"/>
        <v>0</v>
      </c>
      <c r="M1899">
        <f t="shared" si="605"/>
        <v>9</v>
      </c>
      <c r="Q1899" t="str">
        <f>IF(周转筐出入库明细!$D1900="","",周转筐出入库明细!$D1900)</f>
        <v/>
      </c>
      <c r="R1899">
        <f t="shared" si="606"/>
        <v>0</v>
      </c>
      <c r="S1899">
        <f t="shared" si="607"/>
        <v>5</v>
      </c>
      <c r="W1899" t="str">
        <f>IF(周转筐出入库明细!$C1900="","",周转筐出入库明细!$C1900)</f>
        <v/>
      </c>
      <c r="X1899">
        <f t="shared" si="608"/>
        <v>0</v>
      </c>
      <c r="Y1899">
        <f t="shared" si="609"/>
        <v>12</v>
      </c>
      <c r="CP1899">
        <f>IF(包装物料出入库明细!$D1899="",0,1)</f>
        <v>0</v>
      </c>
      <c r="CQ1899">
        <f t="shared" si="610"/>
        <v>37</v>
      </c>
      <c r="CS1899" t="str">
        <f>IF(OR(周转筐出入库明细!$C1900="",周转筐出入库明细!$F1900&lt;&gt;"采购入库"),"",周转筐出入库明细!$C1900)</f>
        <v/>
      </c>
      <c r="CT1899">
        <f t="shared" si="611"/>
        <v>0</v>
      </c>
      <c r="CU1899">
        <f t="shared" si="612"/>
        <v>1</v>
      </c>
    </row>
    <row r="1900" spans="1:99">
      <c r="A1900" t="str">
        <f>IF(包装物料出入库明细!$E1900="","",包装物料出入库明细!$E1900)</f>
        <v/>
      </c>
      <c r="B1900">
        <f t="shared" si="602"/>
        <v>0</v>
      </c>
      <c r="C1900">
        <f t="shared" si="603"/>
        <v>7</v>
      </c>
      <c r="D1900" t="str">
        <f>IF(包装物料出入库明细!$E1900="","",包装物料出入库明细!$F1900)</f>
        <v/>
      </c>
      <c r="E1900" t="str">
        <f>IF(包装物料出入库明细!$E1900="","",包装物料出入库明细!$G1900)</f>
        <v/>
      </c>
      <c r="K1900" t="str">
        <f>IF(包装物料出入库明细!$D1900="","",包装物料出入库明细!$D1900)</f>
        <v/>
      </c>
      <c r="L1900">
        <f t="shared" si="604"/>
        <v>0</v>
      </c>
      <c r="M1900">
        <f t="shared" si="605"/>
        <v>9</v>
      </c>
      <c r="Q1900" t="str">
        <f>IF(周转筐出入库明细!$D1901="","",周转筐出入库明细!$D1901)</f>
        <v/>
      </c>
      <c r="R1900">
        <f t="shared" si="606"/>
        <v>0</v>
      </c>
      <c r="S1900">
        <f t="shared" si="607"/>
        <v>5</v>
      </c>
      <c r="W1900" t="str">
        <f>IF(周转筐出入库明细!$C1901="","",周转筐出入库明细!$C1901)</f>
        <v/>
      </c>
      <c r="X1900">
        <f t="shared" si="608"/>
        <v>0</v>
      </c>
      <c r="Y1900">
        <f t="shared" si="609"/>
        <v>12</v>
      </c>
      <c r="CP1900">
        <f>IF(包装物料出入库明细!$D1900="",0,1)</f>
        <v>0</v>
      </c>
      <c r="CQ1900">
        <f t="shared" si="610"/>
        <v>37</v>
      </c>
      <c r="CS1900" t="str">
        <f>IF(OR(周转筐出入库明细!$C1901="",周转筐出入库明细!$F1901&lt;&gt;"采购入库"),"",周转筐出入库明细!$C1901)</f>
        <v/>
      </c>
      <c r="CT1900">
        <f t="shared" si="611"/>
        <v>0</v>
      </c>
      <c r="CU1900">
        <f t="shared" si="612"/>
        <v>1</v>
      </c>
    </row>
    <row r="1901" spans="1:99">
      <c r="A1901" t="str">
        <f>IF(包装物料出入库明细!$E1901="","",包装物料出入库明细!$E1901)</f>
        <v/>
      </c>
      <c r="B1901">
        <f t="shared" si="602"/>
        <v>0</v>
      </c>
      <c r="C1901">
        <f t="shared" si="603"/>
        <v>7</v>
      </c>
      <c r="D1901" t="str">
        <f>IF(包装物料出入库明细!$E1901="","",包装物料出入库明细!$F1901)</f>
        <v/>
      </c>
      <c r="E1901" t="str">
        <f>IF(包装物料出入库明细!$E1901="","",包装物料出入库明细!$G1901)</f>
        <v/>
      </c>
      <c r="K1901" t="str">
        <f>IF(包装物料出入库明细!$D1901="","",包装物料出入库明细!$D1901)</f>
        <v/>
      </c>
      <c r="L1901">
        <f t="shared" si="604"/>
        <v>0</v>
      </c>
      <c r="M1901">
        <f t="shared" si="605"/>
        <v>9</v>
      </c>
      <c r="Q1901" t="str">
        <f>IF(周转筐出入库明细!$D1902="","",周转筐出入库明细!$D1902)</f>
        <v/>
      </c>
      <c r="R1901">
        <f t="shared" si="606"/>
        <v>0</v>
      </c>
      <c r="S1901">
        <f t="shared" si="607"/>
        <v>5</v>
      </c>
      <c r="W1901" t="str">
        <f>IF(周转筐出入库明细!$C1902="","",周转筐出入库明细!$C1902)</f>
        <v/>
      </c>
      <c r="X1901">
        <f t="shared" si="608"/>
        <v>0</v>
      </c>
      <c r="Y1901">
        <f t="shared" si="609"/>
        <v>12</v>
      </c>
      <c r="CP1901">
        <f>IF(包装物料出入库明细!$D1901="",0,1)</f>
        <v>0</v>
      </c>
      <c r="CQ1901">
        <f t="shared" si="610"/>
        <v>37</v>
      </c>
      <c r="CS1901" t="str">
        <f>IF(OR(周转筐出入库明细!$C1902="",周转筐出入库明细!$F1902&lt;&gt;"采购入库"),"",周转筐出入库明细!$C1902)</f>
        <v/>
      </c>
      <c r="CT1901">
        <f t="shared" si="611"/>
        <v>0</v>
      </c>
      <c r="CU1901">
        <f t="shared" si="612"/>
        <v>1</v>
      </c>
    </row>
    <row r="1902" spans="1:99">
      <c r="A1902" t="str">
        <f>IF(包装物料出入库明细!$E1902="","",包装物料出入库明细!$E1902)</f>
        <v/>
      </c>
      <c r="B1902">
        <f t="shared" si="602"/>
        <v>0</v>
      </c>
      <c r="C1902">
        <f t="shared" si="603"/>
        <v>7</v>
      </c>
      <c r="D1902" t="str">
        <f>IF(包装物料出入库明细!$E1902="","",包装物料出入库明细!$F1902)</f>
        <v/>
      </c>
      <c r="E1902" t="str">
        <f>IF(包装物料出入库明细!$E1902="","",包装物料出入库明细!$G1902)</f>
        <v/>
      </c>
      <c r="K1902" t="str">
        <f>IF(包装物料出入库明细!$D1902="","",包装物料出入库明细!$D1902)</f>
        <v/>
      </c>
      <c r="L1902">
        <f t="shared" si="604"/>
        <v>0</v>
      </c>
      <c r="M1902">
        <f t="shared" si="605"/>
        <v>9</v>
      </c>
      <c r="Q1902" t="str">
        <f>IF(周转筐出入库明细!$D1903="","",周转筐出入库明细!$D1903)</f>
        <v/>
      </c>
      <c r="R1902">
        <f t="shared" si="606"/>
        <v>0</v>
      </c>
      <c r="S1902">
        <f t="shared" si="607"/>
        <v>5</v>
      </c>
      <c r="W1902" t="str">
        <f>IF(周转筐出入库明细!$C1903="","",周转筐出入库明细!$C1903)</f>
        <v/>
      </c>
      <c r="X1902">
        <f t="shared" si="608"/>
        <v>0</v>
      </c>
      <c r="Y1902">
        <f t="shared" si="609"/>
        <v>12</v>
      </c>
      <c r="CP1902">
        <f>IF(包装物料出入库明细!$D1902="",0,1)</f>
        <v>0</v>
      </c>
      <c r="CQ1902">
        <f t="shared" si="610"/>
        <v>37</v>
      </c>
      <c r="CS1902" t="str">
        <f>IF(OR(周转筐出入库明细!$C1903="",周转筐出入库明细!$F1903&lt;&gt;"采购入库"),"",周转筐出入库明细!$C1903)</f>
        <v/>
      </c>
      <c r="CT1902">
        <f t="shared" si="611"/>
        <v>0</v>
      </c>
      <c r="CU1902">
        <f t="shared" si="612"/>
        <v>1</v>
      </c>
    </row>
    <row r="1903" spans="1:99">
      <c r="A1903" t="str">
        <f>IF(包装物料出入库明细!$E1903="","",包装物料出入库明细!$E1903)</f>
        <v/>
      </c>
      <c r="B1903">
        <f t="shared" si="602"/>
        <v>0</v>
      </c>
      <c r="C1903">
        <f t="shared" si="603"/>
        <v>7</v>
      </c>
      <c r="D1903" t="str">
        <f>IF(包装物料出入库明细!$E1903="","",包装物料出入库明细!$F1903)</f>
        <v/>
      </c>
      <c r="E1903" t="str">
        <f>IF(包装物料出入库明细!$E1903="","",包装物料出入库明细!$G1903)</f>
        <v/>
      </c>
      <c r="K1903" t="str">
        <f>IF(包装物料出入库明细!$D1903="","",包装物料出入库明细!$D1903)</f>
        <v/>
      </c>
      <c r="L1903">
        <f t="shared" si="604"/>
        <v>0</v>
      </c>
      <c r="M1903">
        <f t="shared" si="605"/>
        <v>9</v>
      </c>
      <c r="Q1903" t="str">
        <f>IF(周转筐出入库明细!$D1904="","",周转筐出入库明细!$D1904)</f>
        <v/>
      </c>
      <c r="R1903">
        <f t="shared" si="606"/>
        <v>0</v>
      </c>
      <c r="S1903">
        <f t="shared" si="607"/>
        <v>5</v>
      </c>
      <c r="W1903" t="str">
        <f>IF(周转筐出入库明细!$C1904="","",周转筐出入库明细!$C1904)</f>
        <v/>
      </c>
      <c r="X1903">
        <f t="shared" si="608"/>
        <v>0</v>
      </c>
      <c r="Y1903">
        <f t="shared" si="609"/>
        <v>12</v>
      </c>
      <c r="CP1903">
        <f>IF(包装物料出入库明细!$D1903="",0,1)</f>
        <v>0</v>
      </c>
      <c r="CQ1903">
        <f t="shared" si="610"/>
        <v>37</v>
      </c>
      <c r="CS1903" t="str">
        <f>IF(OR(周转筐出入库明细!$C1904="",周转筐出入库明细!$F1904&lt;&gt;"采购入库"),"",周转筐出入库明细!$C1904)</f>
        <v/>
      </c>
      <c r="CT1903">
        <f t="shared" si="611"/>
        <v>0</v>
      </c>
      <c r="CU1903">
        <f t="shared" si="612"/>
        <v>1</v>
      </c>
    </row>
    <row r="1904" spans="1:99">
      <c r="A1904" t="str">
        <f>IF(包装物料出入库明细!$E1904="","",包装物料出入库明细!$E1904)</f>
        <v/>
      </c>
      <c r="B1904">
        <f t="shared" si="602"/>
        <v>0</v>
      </c>
      <c r="C1904">
        <f t="shared" si="603"/>
        <v>7</v>
      </c>
      <c r="D1904" t="str">
        <f>IF(包装物料出入库明细!$E1904="","",包装物料出入库明细!$F1904)</f>
        <v/>
      </c>
      <c r="E1904" t="str">
        <f>IF(包装物料出入库明细!$E1904="","",包装物料出入库明细!$G1904)</f>
        <v/>
      </c>
      <c r="K1904" t="str">
        <f>IF(包装物料出入库明细!$D1904="","",包装物料出入库明细!$D1904)</f>
        <v/>
      </c>
      <c r="L1904">
        <f t="shared" si="604"/>
        <v>0</v>
      </c>
      <c r="M1904">
        <f t="shared" si="605"/>
        <v>9</v>
      </c>
      <c r="Q1904" t="str">
        <f>IF(周转筐出入库明细!$D1905="","",周转筐出入库明细!$D1905)</f>
        <v/>
      </c>
      <c r="R1904">
        <f t="shared" si="606"/>
        <v>0</v>
      </c>
      <c r="S1904">
        <f t="shared" si="607"/>
        <v>5</v>
      </c>
      <c r="W1904" t="str">
        <f>IF(周转筐出入库明细!$C1905="","",周转筐出入库明细!$C1905)</f>
        <v/>
      </c>
      <c r="X1904">
        <f t="shared" si="608"/>
        <v>0</v>
      </c>
      <c r="Y1904">
        <f t="shared" si="609"/>
        <v>12</v>
      </c>
      <c r="CP1904">
        <f>IF(包装物料出入库明细!$D1904="",0,1)</f>
        <v>0</v>
      </c>
      <c r="CQ1904">
        <f t="shared" si="610"/>
        <v>37</v>
      </c>
      <c r="CS1904" t="str">
        <f>IF(OR(周转筐出入库明细!$C1905="",周转筐出入库明细!$F1905&lt;&gt;"采购入库"),"",周转筐出入库明细!$C1905)</f>
        <v/>
      </c>
      <c r="CT1904">
        <f t="shared" si="611"/>
        <v>0</v>
      </c>
      <c r="CU1904">
        <f t="shared" si="612"/>
        <v>1</v>
      </c>
    </row>
    <row r="1905" spans="1:99">
      <c r="A1905" t="str">
        <f>IF(包装物料出入库明细!$E1905="","",包装物料出入库明细!$E1905)</f>
        <v/>
      </c>
      <c r="B1905">
        <f t="shared" si="602"/>
        <v>0</v>
      </c>
      <c r="C1905">
        <f t="shared" si="603"/>
        <v>7</v>
      </c>
      <c r="D1905" t="str">
        <f>IF(包装物料出入库明细!$E1905="","",包装物料出入库明细!$F1905)</f>
        <v/>
      </c>
      <c r="E1905" t="str">
        <f>IF(包装物料出入库明细!$E1905="","",包装物料出入库明细!$G1905)</f>
        <v/>
      </c>
      <c r="K1905" t="str">
        <f>IF(包装物料出入库明细!$D1905="","",包装物料出入库明细!$D1905)</f>
        <v/>
      </c>
      <c r="L1905">
        <f t="shared" si="604"/>
        <v>0</v>
      </c>
      <c r="M1905">
        <f t="shared" si="605"/>
        <v>9</v>
      </c>
      <c r="Q1905" t="str">
        <f>IF(周转筐出入库明细!$D1906="","",周转筐出入库明细!$D1906)</f>
        <v/>
      </c>
      <c r="R1905">
        <f t="shared" si="606"/>
        <v>0</v>
      </c>
      <c r="S1905">
        <f t="shared" si="607"/>
        <v>5</v>
      </c>
      <c r="W1905" t="str">
        <f>IF(周转筐出入库明细!$C1906="","",周转筐出入库明细!$C1906)</f>
        <v/>
      </c>
      <c r="X1905">
        <f t="shared" si="608"/>
        <v>0</v>
      </c>
      <c r="Y1905">
        <f t="shared" si="609"/>
        <v>12</v>
      </c>
      <c r="CP1905">
        <f>IF(包装物料出入库明细!$D1905="",0,1)</f>
        <v>0</v>
      </c>
      <c r="CQ1905">
        <f t="shared" si="610"/>
        <v>37</v>
      </c>
      <c r="CS1905" t="str">
        <f>IF(OR(周转筐出入库明细!$C1906="",周转筐出入库明细!$F1906&lt;&gt;"采购入库"),"",周转筐出入库明细!$C1906)</f>
        <v/>
      </c>
      <c r="CT1905">
        <f t="shared" si="611"/>
        <v>0</v>
      </c>
      <c r="CU1905">
        <f t="shared" si="612"/>
        <v>1</v>
      </c>
    </row>
    <row r="1906" spans="1:99">
      <c r="A1906" t="str">
        <f>IF(包装物料出入库明细!$E1906="","",包装物料出入库明细!$E1906)</f>
        <v/>
      </c>
      <c r="B1906">
        <f t="shared" si="602"/>
        <v>0</v>
      </c>
      <c r="C1906">
        <f t="shared" si="603"/>
        <v>7</v>
      </c>
      <c r="D1906" t="str">
        <f>IF(包装物料出入库明细!$E1906="","",包装物料出入库明细!$F1906)</f>
        <v/>
      </c>
      <c r="E1906" t="str">
        <f>IF(包装物料出入库明细!$E1906="","",包装物料出入库明细!$G1906)</f>
        <v/>
      </c>
      <c r="K1906" t="str">
        <f>IF(包装物料出入库明细!$D1906="","",包装物料出入库明细!$D1906)</f>
        <v/>
      </c>
      <c r="L1906">
        <f t="shared" si="604"/>
        <v>0</v>
      </c>
      <c r="M1906">
        <f t="shared" si="605"/>
        <v>9</v>
      </c>
      <c r="Q1906" t="str">
        <f>IF(周转筐出入库明细!$D1907="","",周转筐出入库明细!$D1907)</f>
        <v/>
      </c>
      <c r="R1906">
        <f t="shared" si="606"/>
        <v>0</v>
      </c>
      <c r="S1906">
        <f t="shared" si="607"/>
        <v>5</v>
      </c>
      <c r="W1906" t="str">
        <f>IF(周转筐出入库明细!$C1907="","",周转筐出入库明细!$C1907)</f>
        <v/>
      </c>
      <c r="X1906">
        <f t="shared" si="608"/>
        <v>0</v>
      </c>
      <c r="Y1906">
        <f t="shared" si="609"/>
        <v>12</v>
      </c>
      <c r="CP1906">
        <f>IF(包装物料出入库明细!$D1906="",0,1)</f>
        <v>0</v>
      </c>
      <c r="CQ1906">
        <f t="shared" si="610"/>
        <v>37</v>
      </c>
      <c r="CS1906" t="str">
        <f>IF(OR(周转筐出入库明细!$C1907="",周转筐出入库明细!$F1907&lt;&gt;"采购入库"),"",周转筐出入库明细!$C1907)</f>
        <v/>
      </c>
      <c r="CT1906">
        <f t="shared" si="611"/>
        <v>0</v>
      </c>
      <c r="CU1906">
        <f t="shared" si="612"/>
        <v>1</v>
      </c>
    </row>
    <row r="1907" spans="1:99">
      <c r="A1907" t="str">
        <f>IF(包装物料出入库明细!$E1907="","",包装物料出入库明细!$E1907)</f>
        <v/>
      </c>
      <c r="B1907">
        <f t="shared" si="602"/>
        <v>0</v>
      </c>
      <c r="C1907">
        <f t="shared" si="603"/>
        <v>7</v>
      </c>
      <c r="D1907" t="str">
        <f>IF(包装物料出入库明细!$E1907="","",包装物料出入库明细!$F1907)</f>
        <v/>
      </c>
      <c r="E1907" t="str">
        <f>IF(包装物料出入库明细!$E1907="","",包装物料出入库明细!$G1907)</f>
        <v/>
      </c>
      <c r="K1907" t="str">
        <f>IF(包装物料出入库明细!$D1907="","",包装物料出入库明细!$D1907)</f>
        <v/>
      </c>
      <c r="L1907">
        <f t="shared" si="604"/>
        <v>0</v>
      </c>
      <c r="M1907">
        <f t="shared" si="605"/>
        <v>9</v>
      </c>
      <c r="Q1907" t="str">
        <f>IF(周转筐出入库明细!$D1908="","",周转筐出入库明细!$D1908)</f>
        <v/>
      </c>
      <c r="R1907">
        <f t="shared" si="606"/>
        <v>0</v>
      </c>
      <c r="S1907">
        <f t="shared" si="607"/>
        <v>5</v>
      </c>
      <c r="W1907" t="str">
        <f>IF(周转筐出入库明细!$C1908="","",周转筐出入库明细!$C1908)</f>
        <v/>
      </c>
      <c r="X1907">
        <f t="shared" si="608"/>
        <v>0</v>
      </c>
      <c r="Y1907">
        <f t="shared" si="609"/>
        <v>12</v>
      </c>
      <c r="CP1907">
        <f>IF(包装物料出入库明细!$D1907="",0,1)</f>
        <v>0</v>
      </c>
      <c r="CQ1907">
        <f t="shared" si="610"/>
        <v>37</v>
      </c>
      <c r="CS1907" t="str">
        <f>IF(OR(周转筐出入库明细!$C1908="",周转筐出入库明细!$F1908&lt;&gt;"采购入库"),"",周转筐出入库明细!$C1908)</f>
        <v/>
      </c>
      <c r="CT1907">
        <f t="shared" si="611"/>
        <v>0</v>
      </c>
      <c r="CU1907">
        <f t="shared" si="612"/>
        <v>1</v>
      </c>
    </row>
    <row r="1908" spans="1:99">
      <c r="A1908" t="str">
        <f>IF(包装物料出入库明细!$E1908="","",包装物料出入库明细!$E1908)</f>
        <v/>
      </c>
      <c r="B1908">
        <f t="shared" si="602"/>
        <v>0</v>
      </c>
      <c r="C1908">
        <f t="shared" si="603"/>
        <v>7</v>
      </c>
      <c r="D1908" t="str">
        <f>IF(包装物料出入库明细!$E1908="","",包装物料出入库明细!$F1908)</f>
        <v/>
      </c>
      <c r="E1908" t="str">
        <f>IF(包装物料出入库明细!$E1908="","",包装物料出入库明细!$G1908)</f>
        <v/>
      </c>
      <c r="K1908" t="str">
        <f>IF(包装物料出入库明细!$D1908="","",包装物料出入库明细!$D1908)</f>
        <v/>
      </c>
      <c r="L1908">
        <f t="shared" si="604"/>
        <v>0</v>
      </c>
      <c r="M1908">
        <f t="shared" si="605"/>
        <v>9</v>
      </c>
      <c r="Q1908" t="str">
        <f>IF(周转筐出入库明细!$D1909="","",周转筐出入库明细!$D1909)</f>
        <v/>
      </c>
      <c r="R1908">
        <f t="shared" si="606"/>
        <v>0</v>
      </c>
      <c r="S1908">
        <f t="shared" si="607"/>
        <v>5</v>
      </c>
      <c r="W1908" t="str">
        <f>IF(周转筐出入库明细!$C1909="","",周转筐出入库明细!$C1909)</f>
        <v/>
      </c>
      <c r="X1908">
        <f t="shared" si="608"/>
        <v>0</v>
      </c>
      <c r="Y1908">
        <f t="shared" si="609"/>
        <v>12</v>
      </c>
      <c r="CP1908">
        <f>IF(包装物料出入库明细!$D1908="",0,1)</f>
        <v>0</v>
      </c>
      <c r="CQ1908">
        <f t="shared" si="610"/>
        <v>37</v>
      </c>
      <c r="CS1908" t="str">
        <f>IF(OR(周转筐出入库明细!$C1909="",周转筐出入库明细!$F1909&lt;&gt;"采购入库"),"",周转筐出入库明细!$C1909)</f>
        <v/>
      </c>
      <c r="CT1908">
        <f t="shared" si="611"/>
        <v>0</v>
      </c>
      <c r="CU1908">
        <f t="shared" si="612"/>
        <v>1</v>
      </c>
    </row>
    <row r="1909" spans="1:99">
      <c r="A1909" t="str">
        <f>IF(包装物料出入库明细!$E1909="","",包装物料出入库明细!$E1909)</f>
        <v/>
      </c>
      <c r="B1909">
        <f t="shared" si="602"/>
        <v>0</v>
      </c>
      <c r="C1909">
        <f t="shared" si="603"/>
        <v>7</v>
      </c>
      <c r="D1909" t="str">
        <f>IF(包装物料出入库明细!$E1909="","",包装物料出入库明细!$F1909)</f>
        <v/>
      </c>
      <c r="E1909" t="str">
        <f>IF(包装物料出入库明细!$E1909="","",包装物料出入库明细!$G1909)</f>
        <v/>
      </c>
      <c r="K1909" t="str">
        <f>IF(包装物料出入库明细!$D1909="","",包装物料出入库明细!$D1909)</f>
        <v/>
      </c>
      <c r="L1909">
        <f t="shared" si="604"/>
        <v>0</v>
      </c>
      <c r="M1909">
        <f t="shared" si="605"/>
        <v>9</v>
      </c>
      <c r="Q1909" t="str">
        <f>IF(周转筐出入库明细!$D1910="","",周转筐出入库明细!$D1910)</f>
        <v/>
      </c>
      <c r="R1909">
        <f t="shared" si="606"/>
        <v>0</v>
      </c>
      <c r="S1909">
        <f t="shared" si="607"/>
        <v>5</v>
      </c>
      <c r="W1909" t="str">
        <f>IF(周转筐出入库明细!$C1910="","",周转筐出入库明细!$C1910)</f>
        <v/>
      </c>
      <c r="X1909">
        <f t="shared" si="608"/>
        <v>0</v>
      </c>
      <c r="Y1909">
        <f t="shared" si="609"/>
        <v>12</v>
      </c>
      <c r="CP1909">
        <f>IF(包装物料出入库明细!$D1909="",0,1)</f>
        <v>0</v>
      </c>
      <c r="CQ1909">
        <f t="shared" si="610"/>
        <v>37</v>
      </c>
      <c r="CS1909" t="str">
        <f>IF(OR(周转筐出入库明细!$C1910="",周转筐出入库明细!$F1910&lt;&gt;"采购入库"),"",周转筐出入库明细!$C1910)</f>
        <v/>
      </c>
      <c r="CT1909">
        <f t="shared" si="611"/>
        <v>0</v>
      </c>
      <c r="CU1909">
        <f t="shared" si="612"/>
        <v>1</v>
      </c>
    </row>
    <row r="1910" spans="1:99">
      <c r="A1910" t="str">
        <f>IF(包装物料出入库明细!$E1910="","",包装物料出入库明细!$E1910)</f>
        <v/>
      </c>
      <c r="B1910">
        <f t="shared" si="602"/>
        <v>0</v>
      </c>
      <c r="C1910">
        <f t="shared" si="603"/>
        <v>7</v>
      </c>
      <c r="D1910" t="str">
        <f>IF(包装物料出入库明细!$E1910="","",包装物料出入库明细!$F1910)</f>
        <v/>
      </c>
      <c r="E1910" t="str">
        <f>IF(包装物料出入库明细!$E1910="","",包装物料出入库明细!$G1910)</f>
        <v/>
      </c>
      <c r="K1910" t="str">
        <f>IF(包装物料出入库明细!$D1910="","",包装物料出入库明细!$D1910)</f>
        <v/>
      </c>
      <c r="L1910">
        <f t="shared" si="604"/>
        <v>0</v>
      </c>
      <c r="M1910">
        <f t="shared" si="605"/>
        <v>9</v>
      </c>
      <c r="Q1910" t="str">
        <f>IF(周转筐出入库明细!$D1911="","",周转筐出入库明细!$D1911)</f>
        <v/>
      </c>
      <c r="R1910">
        <f t="shared" si="606"/>
        <v>0</v>
      </c>
      <c r="S1910">
        <f t="shared" si="607"/>
        <v>5</v>
      </c>
      <c r="W1910" t="str">
        <f>IF(周转筐出入库明细!$C1911="","",周转筐出入库明细!$C1911)</f>
        <v/>
      </c>
      <c r="X1910">
        <f t="shared" si="608"/>
        <v>0</v>
      </c>
      <c r="Y1910">
        <f t="shared" si="609"/>
        <v>12</v>
      </c>
      <c r="CP1910">
        <f>IF(包装物料出入库明细!$D1910="",0,1)</f>
        <v>0</v>
      </c>
      <c r="CQ1910">
        <f t="shared" si="610"/>
        <v>37</v>
      </c>
      <c r="CS1910" t="str">
        <f>IF(OR(周转筐出入库明细!$C1911="",周转筐出入库明细!$F1911&lt;&gt;"采购入库"),"",周转筐出入库明细!$C1911)</f>
        <v/>
      </c>
      <c r="CT1910">
        <f t="shared" si="611"/>
        <v>0</v>
      </c>
      <c r="CU1910">
        <f t="shared" si="612"/>
        <v>1</v>
      </c>
    </row>
    <row r="1911" spans="1:99">
      <c r="A1911" t="str">
        <f>IF(包装物料出入库明细!$E1911="","",包装物料出入库明细!$E1911)</f>
        <v/>
      </c>
      <c r="B1911">
        <f t="shared" si="602"/>
        <v>0</v>
      </c>
      <c r="C1911">
        <f t="shared" si="603"/>
        <v>7</v>
      </c>
      <c r="D1911" t="str">
        <f>IF(包装物料出入库明细!$E1911="","",包装物料出入库明细!$F1911)</f>
        <v/>
      </c>
      <c r="E1911" t="str">
        <f>IF(包装物料出入库明细!$E1911="","",包装物料出入库明细!$G1911)</f>
        <v/>
      </c>
      <c r="K1911" t="str">
        <f>IF(包装物料出入库明细!$D1911="","",包装物料出入库明细!$D1911)</f>
        <v/>
      </c>
      <c r="L1911">
        <f t="shared" si="604"/>
        <v>0</v>
      </c>
      <c r="M1911">
        <f t="shared" si="605"/>
        <v>9</v>
      </c>
      <c r="Q1911" t="str">
        <f>IF(周转筐出入库明细!$D1912="","",周转筐出入库明细!$D1912)</f>
        <v/>
      </c>
      <c r="R1911">
        <f t="shared" si="606"/>
        <v>0</v>
      </c>
      <c r="S1911">
        <f t="shared" si="607"/>
        <v>5</v>
      </c>
      <c r="W1911" t="str">
        <f>IF(周转筐出入库明细!$C1912="","",周转筐出入库明细!$C1912)</f>
        <v/>
      </c>
      <c r="X1911">
        <f t="shared" si="608"/>
        <v>0</v>
      </c>
      <c r="Y1911">
        <f t="shared" si="609"/>
        <v>12</v>
      </c>
      <c r="CP1911">
        <f>IF(包装物料出入库明细!$D1911="",0,1)</f>
        <v>0</v>
      </c>
      <c r="CQ1911">
        <f t="shared" si="610"/>
        <v>37</v>
      </c>
      <c r="CS1911" t="str">
        <f>IF(OR(周转筐出入库明细!$C1912="",周转筐出入库明细!$F1912&lt;&gt;"采购入库"),"",周转筐出入库明细!$C1912)</f>
        <v/>
      </c>
      <c r="CT1911">
        <f t="shared" si="611"/>
        <v>0</v>
      </c>
      <c r="CU1911">
        <f t="shared" si="612"/>
        <v>1</v>
      </c>
    </row>
    <row r="1912" spans="1:99">
      <c r="A1912" t="str">
        <f>IF(包装物料出入库明细!$E1912="","",包装物料出入库明细!$E1912)</f>
        <v/>
      </c>
      <c r="B1912">
        <f t="shared" si="602"/>
        <v>0</v>
      </c>
      <c r="C1912">
        <f t="shared" si="603"/>
        <v>7</v>
      </c>
      <c r="D1912" t="str">
        <f>IF(包装物料出入库明细!$E1912="","",包装物料出入库明细!$F1912)</f>
        <v/>
      </c>
      <c r="E1912" t="str">
        <f>IF(包装物料出入库明细!$E1912="","",包装物料出入库明细!$G1912)</f>
        <v/>
      </c>
      <c r="K1912" t="str">
        <f>IF(包装物料出入库明细!$D1912="","",包装物料出入库明细!$D1912)</f>
        <v/>
      </c>
      <c r="L1912">
        <f t="shared" si="604"/>
        <v>0</v>
      </c>
      <c r="M1912">
        <f t="shared" si="605"/>
        <v>9</v>
      </c>
      <c r="Q1912" t="str">
        <f>IF(周转筐出入库明细!$D1913="","",周转筐出入库明细!$D1913)</f>
        <v/>
      </c>
      <c r="R1912">
        <f t="shared" si="606"/>
        <v>0</v>
      </c>
      <c r="S1912">
        <f t="shared" si="607"/>
        <v>5</v>
      </c>
      <c r="W1912" t="str">
        <f>IF(周转筐出入库明细!$C1913="","",周转筐出入库明细!$C1913)</f>
        <v/>
      </c>
      <c r="X1912">
        <f t="shared" si="608"/>
        <v>0</v>
      </c>
      <c r="Y1912">
        <f t="shared" si="609"/>
        <v>12</v>
      </c>
      <c r="CP1912">
        <f>IF(包装物料出入库明细!$D1912="",0,1)</f>
        <v>0</v>
      </c>
      <c r="CQ1912">
        <f t="shared" si="610"/>
        <v>37</v>
      </c>
      <c r="CS1912" t="str">
        <f>IF(OR(周转筐出入库明细!$C1913="",周转筐出入库明细!$F1913&lt;&gt;"采购入库"),"",周转筐出入库明细!$C1913)</f>
        <v/>
      </c>
      <c r="CT1912">
        <f t="shared" si="611"/>
        <v>0</v>
      </c>
      <c r="CU1912">
        <f t="shared" si="612"/>
        <v>1</v>
      </c>
    </row>
    <row r="1913" spans="1:99">
      <c r="A1913" t="str">
        <f>IF(包装物料出入库明细!$E1913="","",包装物料出入库明细!$E1913)</f>
        <v/>
      </c>
      <c r="B1913">
        <f t="shared" si="602"/>
        <v>0</v>
      </c>
      <c r="C1913">
        <f t="shared" si="603"/>
        <v>7</v>
      </c>
      <c r="D1913" t="str">
        <f>IF(包装物料出入库明细!$E1913="","",包装物料出入库明细!$F1913)</f>
        <v/>
      </c>
      <c r="E1913" t="str">
        <f>IF(包装物料出入库明细!$E1913="","",包装物料出入库明细!$G1913)</f>
        <v/>
      </c>
      <c r="K1913" t="str">
        <f>IF(包装物料出入库明细!$D1913="","",包装物料出入库明细!$D1913)</f>
        <v/>
      </c>
      <c r="L1913">
        <f t="shared" si="604"/>
        <v>0</v>
      </c>
      <c r="M1913">
        <f t="shared" si="605"/>
        <v>9</v>
      </c>
      <c r="Q1913" t="str">
        <f>IF(周转筐出入库明细!$D1914="","",周转筐出入库明细!$D1914)</f>
        <v/>
      </c>
      <c r="R1913">
        <f t="shared" si="606"/>
        <v>0</v>
      </c>
      <c r="S1913">
        <f t="shared" si="607"/>
        <v>5</v>
      </c>
      <c r="W1913" t="str">
        <f>IF(周转筐出入库明细!$C1914="","",周转筐出入库明细!$C1914)</f>
        <v/>
      </c>
      <c r="X1913">
        <f t="shared" si="608"/>
        <v>0</v>
      </c>
      <c r="Y1913">
        <f t="shared" si="609"/>
        <v>12</v>
      </c>
      <c r="CP1913">
        <f>IF(包装物料出入库明细!$D1913="",0,1)</f>
        <v>0</v>
      </c>
      <c r="CQ1913">
        <f t="shared" si="610"/>
        <v>37</v>
      </c>
      <c r="CS1913" t="str">
        <f>IF(OR(周转筐出入库明细!$C1914="",周转筐出入库明细!$F1914&lt;&gt;"采购入库"),"",周转筐出入库明细!$C1914)</f>
        <v/>
      </c>
      <c r="CT1913">
        <f t="shared" si="611"/>
        <v>0</v>
      </c>
      <c r="CU1913">
        <f t="shared" si="612"/>
        <v>1</v>
      </c>
    </row>
    <row r="1914" spans="1:99">
      <c r="A1914" t="str">
        <f>IF(包装物料出入库明细!$E1914="","",包装物料出入库明细!$E1914)</f>
        <v/>
      </c>
      <c r="B1914">
        <f t="shared" si="602"/>
        <v>0</v>
      </c>
      <c r="C1914">
        <f t="shared" si="603"/>
        <v>7</v>
      </c>
      <c r="D1914" t="str">
        <f>IF(包装物料出入库明细!$E1914="","",包装物料出入库明细!$F1914)</f>
        <v/>
      </c>
      <c r="E1914" t="str">
        <f>IF(包装物料出入库明细!$E1914="","",包装物料出入库明细!$G1914)</f>
        <v/>
      </c>
      <c r="K1914" t="str">
        <f>IF(包装物料出入库明细!$D1914="","",包装物料出入库明细!$D1914)</f>
        <v/>
      </c>
      <c r="L1914">
        <f t="shared" si="604"/>
        <v>0</v>
      </c>
      <c r="M1914">
        <f t="shared" si="605"/>
        <v>9</v>
      </c>
      <c r="Q1914" t="str">
        <f>IF(周转筐出入库明细!$D1915="","",周转筐出入库明细!$D1915)</f>
        <v/>
      </c>
      <c r="R1914">
        <f t="shared" si="606"/>
        <v>0</v>
      </c>
      <c r="S1914">
        <f t="shared" si="607"/>
        <v>5</v>
      </c>
      <c r="W1914" t="str">
        <f>IF(周转筐出入库明细!$C1915="","",周转筐出入库明细!$C1915)</f>
        <v/>
      </c>
      <c r="X1914">
        <f t="shared" si="608"/>
        <v>0</v>
      </c>
      <c r="Y1914">
        <f t="shared" si="609"/>
        <v>12</v>
      </c>
      <c r="CP1914">
        <f>IF(包装物料出入库明细!$D1914="",0,1)</f>
        <v>0</v>
      </c>
      <c r="CQ1914">
        <f t="shared" si="610"/>
        <v>37</v>
      </c>
      <c r="CS1914" t="str">
        <f>IF(OR(周转筐出入库明细!$C1915="",周转筐出入库明细!$F1915&lt;&gt;"采购入库"),"",周转筐出入库明细!$C1915)</f>
        <v/>
      </c>
      <c r="CT1914">
        <f t="shared" si="611"/>
        <v>0</v>
      </c>
      <c r="CU1914">
        <f t="shared" si="612"/>
        <v>1</v>
      </c>
    </row>
    <row r="1915" spans="1:99">
      <c r="A1915" t="str">
        <f>IF(包装物料出入库明细!$E1915="","",包装物料出入库明细!$E1915)</f>
        <v/>
      </c>
      <c r="B1915">
        <f t="shared" si="602"/>
        <v>0</v>
      </c>
      <c r="C1915">
        <f t="shared" si="603"/>
        <v>7</v>
      </c>
      <c r="D1915" t="str">
        <f>IF(包装物料出入库明细!$E1915="","",包装物料出入库明细!$F1915)</f>
        <v/>
      </c>
      <c r="E1915" t="str">
        <f>IF(包装物料出入库明细!$E1915="","",包装物料出入库明细!$G1915)</f>
        <v/>
      </c>
      <c r="K1915" t="str">
        <f>IF(包装物料出入库明细!$D1915="","",包装物料出入库明细!$D1915)</f>
        <v/>
      </c>
      <c r="L1915">
        <f t="shared" si="604"/>
        <v>0</v>
      </c>
      <c r="M1915">
        <f t="shared" si="605"/>
        <v>9</v>
      </c>
      <c r="Q1915" t="str">
        <f>IF(周转筐出入库明细!$D1916="","",周转筐出入库明细!$D1916)</f>
        <v/>
      </c>
      <c r="R1915">
        <f t="shared" si="606"/>
        <v>0</v>
      </c>
      <c r="S1915">
        <f t="shared" si="607"/>
        <v>5</v>
      </c>
      <c r="W1915" t="str">
        <f>IF(周转筐出入库明细!$C1916="","",周转筐出入库明细!$C1916)</f>
        <v/>
      </c>
      <c r="X1915">
        <f t="shared" si="608"/>
        <v>0</v>
      </c>
      <c r="Y1915">
        <f t="shared" si="609"/>
        <v>12</v>
      </c>
      <c r="CP1915">
        <f>IF(包装物料出入库明细!$D1915="",0,1)</f>
        <v>0</v>
      </c>
      <c r="CQ1915">
        <f t="shared" si="610"/>
        <v>37</v>
      </c>
      <c r="CS1915" t="str">
        <f>IF(OR(周转筐出入库明细!$C1916="",周转筐出入库明细!$F1916&lt;&gt;"采购入库"),"",周转筐出入库明细!$C1916)</f>
        <v/>
      </c>
      <c r="CT1915">
        <f t="shared" si="611"/>
        <v>0</v>
      </c>
      <c r="CU1915">
        <f t="shared" si="612"/>
        <v>1</v>
      </c>
    </row>
    <row r="1916" spans="1:99">
      <c r="A1916" t="str">
        <f>IF(包装物料出入库明细!$E1916="","",包装物料出入库明细!$E1916)</f>
        <v/>
      </c>
      <c r="B1916">
        <f t="shared" si="602"/>
        <v>0</v>
      </c>
      <c r="C1916">
        <f t="shared" si="603"/>
        <v>7</v>
      </c>
      <c r="D1916" t="str">
        <f>IF(包装物料出入库明细!$E1916="","",包装物料出入库明细!$F1916)</f>
        <v/>
      </c>
      <c r="E1916" t="str">
        <f>IF(包装物料出入库明细!$E1916="","",包装物料出入库明细!$G1916)</f>
        <v/>
      </c>
      <c r="K1916" t="str">
        <f>IF(包装物料出入库明细!$D1916="","",包装物料出入库明细!$D1916)</f>
        <v/>
      </c>
      <c r="L1916">
        <f t="shared" si="604"/>
        <v>0</v>
      </c>
      <c r="M1916">
        <f t="shared" si="605"/>
        <v>9</v>
      </c>
      <c r="Q1916" t="str">
        <f>IF(周转筐出入库明细!$D1917="","",周转筐出入库明细!$D1917)</f>
        <v/>
      </c>
      <c r="R1916">
        <f t="shared" si="606"/>
        <v>0</v>
      </c>
      <c r="S1916">
        <f t="shared" si="607"/>
        <v>5</v>
      </c>
      <c r="W1916" t="str">
        <f>IF(周转筐出入库明细!$C1917="","",周转筐出入库明细!$C1917)</f>
        <v/>
      </c>
      <c r="X1916">
        <f t="shared" si="608"/>
        <v>0</v>
      </c>
      <c r="Y1916">
        <f t="shared" si="609"/>
        <v>12</v>
      </c>
      <c r="CP1916">
        <f>IF(包装物料出入库明细!$D1916="",0,1)</f>
        <v>0</v>
      </c>
      <c r="CQ1916">
        <f t="shared" si="610"/>
        <v>37</v>
      </c>
      <c r="CS1916" t="str">
        <f>IF(OR(周转筐出入库明细!$C1917="",周转筐出入库明细!$F1917&lt;&gt;"采购入库"),"",周转筐出入库明细!$C1917)</f>
        <v/>
      </c>
      <c r="CT1916">
        <f t="shared" si="611"/>
        <v>0</v>
      </c>
      <c r="CU1916">
        <f t="shared" si="612"/>
        <v>1</v>
      </c>
    </row>
    <row r="1917" spans="1:99">
      <c r="A1917" t="str">
        <f>IF(包装物料出入库明细!$E1917="","",包装物料出入库明细!$E1917)</f>
        <v/>
      </c>
      <c r="B1917">
        <f t="shared" si="602"/>
        <v>0</v>
      </c>
      <c r="C1917">
        <f t="shared" si="603"/>
        <v>7</v>
      </c>
      <c r="D1917" t="str">
        <f>IF(包装物料出入库明细!$E1917="","",包装物料出入库明细!$F1917)</f>
        <v/>
      </c>
      <c r="E1917" t="str">
        <f>IF(包装物料出入库明细!$E1917="","",包装物料出入库明细!$G1917)</f>
        <v/>
      </c>
      <c r="K1917" t="str">
        <f>IF(包装物料出入库明细!$D1917="","",包装物料出入库明细!$D1917)</f>
        <v/>
      </c>
      <c r="L1917">
        <f t="shared" si="604"/>
        <v>0</v>
      </c>
      <c r="M1917">
        <f t="shared" si="605"/>
        <v>9</v>
      </c>
      <c r="Q1917" t="str">
        <f>IF(周转筐出入库明细!$D1918="","",周转筐出入库明细!$D1918)</f>
        <v/>
      </c>
      <c r="R1917">
        <f t="shared" si="606"/>
        <v>0</v>
      </c>
      <c r="S1917">
        <f t="shared" si="607"/>
        <v>5</v>
      </c>
      <c r="W1917" t="str">
        <f>IF(周转筐出入库明细!$C1918="","",周转筐出入库明细!$C1918)</f>
        <v/>
      </c>
      <c r="X1917">
        <f t="shared" si="608"/>
        <v>0</v>
      </c>
      <c r="Y1917">
        <f t="shared" si="609"/>
        <v>12</v>
      </c>
      <c r="CP1917">
        <f>IF(包装物料出入库明细!$D1917="",0,1)</f>
        <v>0</v>
      </c>
      <c r="CQ1917">
        <f t="shared" si="610"/>
        <v>37</v>
      </c>
      <c r="CS1917" t="str">
        <f>IF(OR(周转筐出入库明细!$C1918="",周转筐出入库明细!$F1918&lt;&gt;"采购入库"),"",周转筐出入库明细!$C1918)</f>
        <v/>
      </c>
      <c r="CT1917">
        <f t="shared" si="611"/>
        <v>0</v>
      </c>
      <c r="CU1917">
        <f t="shared" si="612"/>
        <v>1</v>
      </c>
    </row>
    <row r="1918" spans="1:99">
      <c r="A1918" t="str">
        <f>IF(包装物料出入库明细!$E1918="","",包装物料出入库明细!$E1918)</f>
        <v/>
      </c>
      <c r="B1918">
        <f t="shared" si="602"/>
        <v>0</v>
      </c>
      <c r="C1918">
        <f t="shared" si="603"/>
        <v>7</v>
      </c>
      <c r="D1918" t="str">
        <f>IF(包装物料出入库明细!$E1918="","",包装物料出入库明细!$F1918)</f>
        <v/>
      </c>
      <c r="E1918" t="str">
        <f>IF(包装物料出入库明细!$E1918="","",包装物料出入库明细!$G1918)</f>
        <v/>
      </c>
      <c r="K1918" t="str">
        <f>IF(包装物料出入库明细!$D1918="","",包装物料出入库明细!$D1918)</f>
        <v/>
      </c>
      <c r="L1918">
        <f t="shared" si="604"/>
        <v>0</v>
      </c>
      <c r="M1918">
        <f t="shared" si="605"/>
        <v>9</v>
      </c>
      <c r="Q1918" t="str">
        <f>IF(周转筐出入库明细!$D1919="","",周转筐出入库明细!$D1919)</f>
        <v/>
      </c>
      <c r="R1918">
        <f t="shared" si="606"/>
        <v>0</v>
      </c>
      <c r="S1918">
        <f t="shared" si="607"/>
        <v>5</v>
      </c>
      <c r="W1918" t="str">
        <f>IF(周转筐出入库明细!$C1919="","",周转筐出入库明细!$C1919)</f>
        <v/>
      </c>
      <c r="X1918">
        <f t="shared" si="608"/>
        <v>0</v>
      </c>
      <c r="Y1918">
        <f t="shared" si="609"/>
        <v>12</v>
      </c>
      <c r="CP1918">
        <f>IF(包装物料出入库明细!$D1918="",0,1)</f>
        <v>0</v>
      </c>
      <c r="CQ1918">
        <f t="shared" si="610"/>
        <v>37</v>
      </c>
      <c r="CS1918" t="str">
        <f>IF(OR(周转筐出入库明细!$C1919="",周转筐出入库明细!$F1919&lt;&gt;"采购入库"),"",周转筐出入库明细!$C1919)</f>
        <v/>
      </c>
      <c r="CT1918">
        <f t="shared" si="611"/>
        <v>0</v>
      </c>
      <c r="CU1918">
        <f t="shared" si="612"/>
        <v>1</v>
      </c>
    </row>
    <row r="1919" spans="1:99">
      <c r="A1919" t="str">
        <f>IF(包装物料出入库明细!$E1919="","",包装物料出入库明细!$E1919)</f>
        <v/>
      </c>
      <c r="B1919">
        <f t="shared" si="602"/>
        <v>0</v>
      </c>
      <c r="C1919">
        <f t="shared" si="603"/>
        <v>7</v>
      </c>
      <c r="D1919" t="str">
        <f>IF(包装物料出入库明细!$E1919="","",包装物料出入库明细!$F1919)</f>
        <v/>
      </c>
      <c r="E1919" t="str">
        <f>IF(包装物料出入库明细!$E1919="","",包装物料出入库明细!$G1919)</f>
        <v/>
      </c>
      <c r="K1919" t="str">
        <f>IF(包装物料出入库明细!$D1919="","",包装物料出入库明细!$D1919)</f>
        <v/>
      </c>
      <c r="L1919">
        <f t="shared" si="604"/>
        <v>0</v>
      </c>
      <c r="M1919">
        <f t="shared" si="605"/>
        <v>9</v>
      </c>
      <c r="Q1919" t="str">
        <f>IF(周转筐出入库明细!$D1920="","",周转筐出入库明细!$D1920)</f>
        <v/>
      </c>
      <c r="R1919">
        <f t="shared" si="606"/>
        <v>0</v>
      </c>
      <c r="S1919">
        <f t="shared" si="607"/>
        <v>5</v>
      </c>
      <c r="W1919" t="str">
        <f>IF(周转筐出入库明细!$C1920="","",周转筐出入库明细!$C1920)</f>
        <v/>
      </c>
      <c r="X1919">
        <f t="shared" si="608"/>
        <v>0</v>
      </c>
      <c r="Y1919">
        <f t="shared" si="609"/>
        <v>12</v>
      </c>
      <c r="CP1919">
        <f>IF(包装物料出入库明细!$D1919="",0,1)</f>
        <v>0</v>
      </c>
      <c r="CQ1919">
        <f t="shared" si="610"/>
        <v>37</v>
      </c>
      <c r="CS1919" t="str">
        <f>IF(OR(周转筐出入库明细!$C1920="",周转筐出入库明细!$F1920&lt;&gt;"采购入库"),"",周转筐出入库明细!$C1920)</f>
        <v/>
      </c>
      <c r="CT1919">
        <f t="shared" si="611"/>
        <v>0</v>
      </c>
      <c r="CU1919">
        <f t="shared" si="612"/>
        <v>1</v>
      </c>
    </row>
    <row r="1920" spans="1:99">
      <c r="A1920" t="str">
        <f>IF(包装物料出入库明细!$E1920="","",包装物料出入库明细!$E1920)</f>
        <v/>
      </c>
      <c r="B1920">
        <f t="shared" si="602"/>
        <v>0</v>
      </c>
      <c r="C1920">
        <f t="shared" si="603"/>
        <v>7</v>
      </c>
      <c r="D1920" t="str">
        <f>IF(包装物料出入库明细!$E1920="","",包装物料出入库明细!$F1920)</f>
        <v/>
      </c>
      <c r="E1920" t="str">
        <f>IF(包装物料出入库明细!$E1920="","",包装物料出入库明细!$G1920)</f>
        <v/>
      </c>
      <c r="K1920" t="str">
        <f>IF(包装物料出入库明细!$D1920="","",包装物料出入库明细!$D1920)</f>
        <v/>
      </c>
      <c r="L1920">
        <f t="shared" si="604"/>
        <v>0</v>
      </c>
      <c r="M1920">
        <f t="shared" si="605"/>
        <v>9</v>
      </c>
      <c r="Q1920" t="str">
        <f>IF(周转筐出入库明细!$D1921="","",周转筐出入库明细!$D1921)</f>
        <v/>
      </c>
      <c r="R1920">
        <f t="shared" si="606"/>
        <v>0</v>
      </c>
      <c r="S1920">
        <f t="shared" si="607"/>
        <v>5</v>
      </c>
      <c r="W1920" t="str">
        <f>IF(周转筐出入库明细!$C1921="","",周转筐出入库明细!$C1921)</f>
        <v/>
      </c>
      <c r="X1920">
        <f t="shared" si="608"/>
        <v>0</v>
      </c>
      <c r="Y1920">
        <f t="shared" si="609"/>
        <v>12</v>
      </c>
      <c r="CP1920">
        <f>IF(包装物料出入库明细!$D1920="",0,1)</f>
        <v>0</v>
      </c>
      <c r="CQ1920">
        <f t="shared" si="610"/>
        <v>37</v>
      </c>
      <c r="CS1920" t="str">
        <f>IF(OR(周转筐出入库明细!$C1921="",周转筐出入库明细!$F1921&lt;&gt;"采购入库"),"",周转筐出入库明细!$C1921)</f>
        <v/>
      </c>
      <c r="CT1920">
        <f t="shared" si="611"/>
        <v>0</v>
      </c>
      <c r="CU1920">
        <f t="shared" si="612"/>
        <v>1</v>
      </c>
    </row>
    <row r="1921" spans="1:99">
      <c r="A1921" t="str">
        <f>IF(包装物料出入库明细!$E1921="","",包装物料出入库明细!$E1921)</f>
        <v/>
      </c>
      <c r="B1921">
        <f t="shared" si="602"/>
        <v>0</v>
      </c>
      <c r="C1921">
        <f t="shared" si="603"/>
        <v>7</v>
      </c>
      <c r="D1921" t="str">
        <f>IF(包装物料出入库明细!$E1921="","",包装物料出入库明细!$F1921)</f>
        <v/>
      </c>
      <c r="E1921" t="str">
        <f>IF(包装物料出入库明细!$E1921="","",包装物料出入库明细!$G1921)</f>
        <v/>
      </c>
      <c r="K1921" t="str">
        <f>IF(包装物料出入库明细!$D1921="","",包装物料出入库明细!$D1921)</f>
        <v/>
      </c>
      <c r="L1921">
        <f t="shared" si="604"/>
        <v>0</v>
      </c>
      <c r="M1921">
        <f t="shared" si="605"/>
        <v>9</v>
      </c>
      <c r="Q1921" t="str">
        <f>IF(周转筐出入库明细!$D1922="","",周转筐出入库明细!$D1922)</f>
        <v/>
      </c>
      <c r="R1921">
        <f t="shared" si="606"/>
        <v>0</v>
      </c>
      <c r="S1921">
        <f t="shared" si="607"/>
        <v>5</v>
      </c>
      <c r="W1921" t="str">
        <f>IF(周转筐出入库明细!$C1922="","",周转筐出入库明细!$C1922)</f>
        <v/>
      </c>
      <c r="X1921">
        <f t="shared" si="608"/>
        <v>0</v>
      </c>
      <c r="Y1921">
        <f t="shared" si="609"/>
        <v>12</v>
      </c>
      <c r="CP1921">
        <f>IF(包装物料出入库明细!$D1921="",0,1)</f>
        <v>0</v>
      </c>
      <c r="CQ1921">
        <f t="shared" si="610"/>
        <v>37</v>
      </c>
      <c r="CS1921" t="str">
        <f>IF(OR(周转筐出入库明细!$C1922="",周转筐出入库明细!$F1922&lt;&gt;"采购入库"),"",周转筐出入库明细!$C1922)</f>
        <v/>
      </c>
      <c r="CT1921">
        <f t="shared" si="611"/>
        <v>0</v>
      </c>
      <c r="CU1921">
        <f t="shared" si="612"/>
        <v>1</v>
      </c>
    </row>
    <row r="1922" spans="1:99">
      <c r="A1922" t="str">
        <f>IF(包装物料出入库明细!$E1922="","",包装物料出入库明细!$E1922)</f>
        <v/>
      </c>
      <c r="B1922">
        <f t="shared" si="602"/>
        <v>0</v>
      </c>
      <c r="C1922">
        <f t="shared" si="603"/>
        <v>7</v>
      </c>
      <c r="D1922" t="str">
        <f>IF(包装物料出入库明细!$E1922="","",包装物料出入库明细!$F1922)</f>
        <v/>
      </c>
      <c r="E1922" t="str">
        <f>IF(包装物料出入库明细!$E1922="","",包装物料出入库明细!$G1922)</f>
        <v/>
      </c>
      <c r="K1922" t="str">
        <f>IF(包装物料出入库明细!$D1922="","",包装物料出入库明细!$D1922)</f>
        <v/>
      </c>
      <c r="L1922">
        <f t="shared" si="604"/>
        <v>0</v>
      </c>
      <c r="M1922">
        <f t="shared" si="605"/>
        <v>9</v>
      </c>
      <c r="Q1922" t="str">
        <f>IF(周转筐出入库明细!$D1923="","",周转筐出入库明细!$D1923)</f>
        <v/>
      </c>
      <c r="R1922">
        <f t="shared" si="606"/>
        <v>0</v>
      </c>
      <c r="S1922">
        <f t="shared" si="607"/>
        <v>5</v>
      </c>
      <c r="W1922" t="str">
        <f>IF(周转筐出入库明细!$C1923="","",周转筐出入库明细!$C1923)</f>
        <v/>
      </c>
      <c r="X1922">
        <f t="shared" si="608"/>
        <v>0</v>
      </c>
      <c r="Y1922">
        <f t="shared" si="609"/>
        <v>12</v>
      </c>
      <c r="CP1922">
        <f>IF(包装物料出入库明细!$D1922="",0,1)</f>
        <v>0</v>
      </c>
      <c r="CQ1922">
        <f t="shared" si="610"/>
        <v>37</v>
      </c>
      <c r="CS1922" t="str">
        <f>IF(OR(周转筐出入库明细!$C1923="",周转筐出入库明细!$F1923&lt;&gt;"采购入库"),"",周转筐出入库明细!$C1923)</f>
        <v/>
      </c>
      <c r="CT1922">
        <f t="shared" si="611"/>
        <v>0</v>
      </c>
      <c r="CU1922">
        <f t="shared" si="612"/>
        <v>1</v>
      </c>
    </row>
    <row r="1923" spans="1:99">
      <c r="A1923" t="str">
        <f>IF(包装物料出入库明细!$E1923="","",包装物料出入库明细!$E1923)</f>
        <v/>
      </c>
      <c r="B1923">
        <f t="shared" si="602"/>
        <v>0</v>
      </c>
      <c r="C1923">
        <f t="shared" si="603"/>
        <v>7</v>
      </c>
      <c r="D1923" t="str">
        <f>IF(包装物料出入库明细!$E1923="","",包装物料出入库明细!$F1923)</f>
        <v/>
      </c>
      <c r="E1923" t="str">
        <f>IF(包装物料出入库明细!$E1923="","",包装物料出入库明细!$G1923)</f>
        <v/>
      </c>
      <c r="K1923" t="str">
        <f>IF(包装物料出入库明细!$D1923="","",包装物料出入库明细!$D1923)</f>
        <v/>
      </c>
      <c r="L1923">
        <f t="shared" si="604"/>
        <v>0</v>
      </c>
      <c r="M1923">
        <f t="shared" si="605"/>
        <v>9</v>
      </c>
      <c r="Q1923" t="str">
        <f>IF(周转筐出入库明细!$D1924="","",周转筐出入库明细!$D1924)</f>
        <v/>
      </c>
      <c r="R1923">
        <f t="shared" si="606"/>
        <v>0</v>
      </c>
      <c r="S1923">
        <f t="shared" si="607"/>
        <v>5</v>
      </c>
      <c r="W1923" t="str">
        <f>IF(周转筐出入库明细!$C1924="","",周转筐出入库明细!$C1924)</f>
        <v/>
      </c>
      <c r="X1923">
        <f t="shared" si="608"/>
        <v>0</v>
      </c>
      <c r="Y1923">
        <f t="shared" si="609"/>
        <v>12</v>
      </c>
      <c r="CP1923">
        <f>IF(包装物料出入库明细!$D1923="",0,1)</f>
        <v>0</v>
      </c>
      <c r="CQ1923">
        <f t="shared" si="610"/>
        <v>37</v>
      </c>
      <c r="CS1923" t="str">
        <f>IF(OR(周转筐出入库明细!$C1924="",周转筐出入库明细!$F1924&lt;&gt;"采购入库"),"",周转筐出入库明细!$C1924)</f>
        <v/>
      </c>
      <c r="CT1923">
        <f t="shared" si="611"/>
        <v>0</v>
      </c>
      <c r="CU1923">
        <f t="shared" si="612"/>
        <v>1</v>
      </c>
    </row>
    <row r="1924" spans="1:99">
      <c r="A1924" t="str">
        <f>IF(包装物料出入库明细!$E1924="","",包装物料出入库明细!$E1924)</f>
        <v/>
      </c>
      <c r="B1924">
        <f t="shared" ref="B1924:B1987" si="613">IF(A1924="",0,IF(MATCH(A1924,$A$4:$A$2003,0)=ROW()-3,1,0))</f>
        <v>0</v>
      </c>
      <c r="C1924">
        <f t="shared" ref="C1924:C1987" si="614">N(C1923)+B1924</f>
        <v>7</v>
      </c>
      <c r="D1924" t="str">
        <f>IF(包装物料出入库明细!$E1924="","",包装物料出入库明细!$F1924)</f>
        <v/>
      </c>
      <c r="E1924" t="str">
        <f>IF(包装物料出入库明细!$E1924="","",包装物料出入库明细!$G1924)</f>
        <v/>
      </c>
      <c r="K1924" t="str">
        <f>IF(包装物料出入库明细!$D1924="","",包装物料出入库明细!$D1924)</f>
        <v/>
      </c>
      <c r="L1924">
        <f t="shared" ref="L1924:L1987" si="615">IF(K1924="",0,IF(MATCH(K1924,$K$4:$K$2003,0)=ROW()-3,1,0))</f>
        <v>0</v>
      </c>
      <c r="M1924">
        <f t="shared" ref="M1924:M1987" si="616">N(M1923)+L1924</f>
        <v>9</v>
      </c>
      <c r="Q1924" t="str">
        <f>IF(周转筐出入库明细!$D1925="","",周转筐出入库明细!$D1925)</f>
        <v/>
      </c>
      <c r="R1924">
        <f t="shared" ref="R1924:R1987" si="617">IF(Q1924="",0,IF(MATCH(Q1924,$Q$4:$Q$2003,0)=ROW()-3,1,0))</f>
        <v>0</v>
      </c>
      <c r="S1924">
        <f t="shared" ref="S1924:S1987" si="618">N(S1923)+R1924</f>
        <v>5</v>
      </c>
      <c r="W1924" t="str">
        <f>IF(周转筐出入库明细!$C1925="","",周转筐出入库明细!$C1925)</f>
        <v/>
      </c>
      <c r="X1924">
        <f t="shared" ref="X1924:X1987" si="619">IF(W1924="",0,IF(MATCH(W1924,$W$4:$W$2003,0)=ROW()-3,1,0))</f>
        <v>0</v>
      </c>
      <c r="Y1924">
        <f t="shared" ref="Y1924:Y1987" si="620">N(Y1923)+X1924</f>
        <v>12</v>
      </c>
      <c r="CP1924">
        <f>IF(包装物料出入库明细!$D1924="",0,1)</f>
        <v>0</v>
      </c>
      <c r="CQ1924">
        <f t="shared" ref="CQ1924:CQ1987" si="621">N(CQ1923)+$CP1924</f>
        <v>37</v>
      </c>
      <c r="CS1924" t="str">
        <f>IF(OR(周转筐出入库明细!$C1925="",周转筐出入库明细!$F1925&lt;&gt;"采购入库"),"",周转筐出入库明细!$C1925)</f>
        <v/>
      </c>
      <c r="CT1924">
        <f t="shared" ref="CT1924:CT1987" si="622">IF(CS1924="",0,IF(MATCH(CS1924,$CS$4:$CS$2003,0)=ROW()-3,1,0))</f>
        <v>0</v>
      </c>
      <c r="CU1924">
        <f t="shared" ref="CU1924:CU1987" si="623">N(CU1923)+CT1924</f>
        <v>1</v>
      </c>
    </row>
    <row r="1925" spans="1:99">
      <c r="A1925" t="str">
        <f>IF(包装物料出入库明细!$E1925="","",包装物料出入库明细!$E1925)</f>
        <v/>
      </c>
      <c r="B1925">
        <f t="shared" si="613"/>
        <v>0</v>
      </c>
      <c r="C1925">
        <f t="shared" si="614"/>
        <v>7</v>
      </c>
      <c r="D1925" t="str">
        <f>IF(包装物料出入库明细!$E1925="","",包装物料出入库明细!$F1925)</f>
        <v/>
      </c>
      <c r="E1925" t="str">
        <f>IF(包装物料出入库明细!$E1925="","",包装物料出入库明细!$G1925)</f>
        <v/>
      </c>
      <c r="K1925" t="str">
        <f>IF(包装物料出入库明细!$D1925="","",包装物料出入库明细!$D1925)</f>
        <v/>
      </c>
      <c r="L1925">
        <f t="shared" si="615"/>
        <v>0</v>
      </c>
      <c r="M1925">
        <f t="shared" si="616"/>
        <v>9</v>
      </c>
      <c r="Q1925" t="str">
        <f>IF(周转筐出入库明细!$D1926="","",周转筐出入库明细!$D1926)</f>
        <v/>
      </c>
      <c r="R1925">
        <f t="shared" si="617"/>
        <v>0</v>
      </c>
      <c r="S1925">
        <f t="shared" si="618"/>
        <v>5</v>
      </c>
      <c r="W1925" t="str">
        <f>IF(周转筐出入库明细!$C1926="","",周转筐出入库明细!$C1926)</f>
        <v/>
      </c>
      <c r="X1925">
        <f t="shared" si="619"/>
        <v>0</v>
      </c>
      <c r="Y1925">
        <f t="shared" si="620"/>
        <v>12</v>
      </c>
      <c r="CP1925">
        <f>IF(包装物料出入库明细!$D1925="",0,1)</f>
        <v>0</v>
      </c>
      <c r="CQ1925">
        <f t="shared" si="621"/>
        <v>37</v>
      </c>
      <c r="CS1925" t="str">
        <f>IF(OR(周转筐出入库明细!$C1926="",周转筐出入库明细!$F1926&lt;&gt;"采购入库"),"",周转筐出入库明细!$C1926)</f>
        <v/>
      </c>
      <c r="CT1925">
        <f t="shared" si="622"/>
        <v>0</v>
      </c>
      <c r="CU1925">
        <f t="shared" si="623"/>
        <v>1</v>
      </c>
    </row>
    <row r="1926" spans="1:99">
      <c r="A1926" t="str">
        <f>IF(包装物料出入库明细!$E1926="","",包装物料出入库明细!$E1926)</f>
        <v/>
      </c>
      <c r="B1926">
        <f t="shared" si="613"/>
        <v>0</v>
      </c>
      <c r="C1926">
        <f t="shared" si="614"/>
        <v>7</v>
      </c>
      <c r="D1926" t="str">
        <f>IF(包装物料出入库明细!$E1926="","",包装物料出入库明细!$F1926)</f>
        <v/>
      </c>
      <c r="E1926" t="str">
        <f>IF(包装物料出入库明细!$E1926="","",包装物料出入库明细!$G1926)</f>
        <v/>
      </c>
      <c r="K1926" t="str">
        <f>IF(包装物料出入库明细!$D1926="","",包装物料出入库明细!$D1926)</f>
        <v/>
      </c>
      <c r="L1926">
        <f t="shared" si="615"/>
        <v>0</v>
      </c>
      <c r="M1926">
        <f t="shared" si="616"/>
        <v>9</v>
      </c>
      <c r="Q1926" t="str">
        <f>IF(周转筐出入库明细!$D1927="","",周转筐出入库明细!$D1927)</f>
        <v/>
      </c>
      <c r="R1926">
        <f t="shared" si="617"/>
        <v>0</v>
      </c>
      <c r="S1926">
        <f t="shared" si="618"/>
        <v>5</v>
      </c>
      <c r="W1926" t="str">
        <f>IF(周转筐出入库明细!$C1927="","",周转筐出入库明细!$C1927)</f>
        <v/>
      </c>
      <c r="X1926">
        <f t="shared" si="619"/>
        <v>0</v>
      </c>
      <c r="Y1926">
        <f t="shared" si="620"/>
        <v>12</v>
      </c>
      <c r="CP1926">
        <f>IF(包装物料出入库明细!$D1926="",0,1)</f>
        <v>0</v>
      </c>
      <c r="CQ1926">
        <f t="shared" si="621"/>
        <v>37</v>
      </c>
      <c r="CS1926" t="str">
        <f>IF(OR(周转筐出入库明细!$C1927="",周转筐出入库明细!$F1927&lt;&gt;"采购入库"),"",周转筐出入库明细!$C1927)</f>
        <v/>
      </c>
      <c r="CT1926">
        <f t="shared" si="622"/>
        <v>0</v>
      </c>
      <c r="CU1926">
        <f t="shared" si="623"/>
        <v>1</v>
      </c>
    </row>
    <row r="1927" spans="1:99">
      <c r="A1927" t="str">
        <f>IF(包装物料出入库明细!$E1927="","",包装物料出入库明细!$E1927)</f>
        <v/>
      </c>
      <c r="B1927">
        <f t="shared" si="613"/>
        <v>0</v>
      </c>
      <c r="C1927">
        <f t="shared" si="614"/>
        <v>7</v>
      </c>
      <c r="D1927" t="str">
        <f>IF(包装物料出入库明细!$E1927="","",包装物料出入库明细!$F1927)</f>
        <v/>
      </c>
      <c r="E1927" t="str">
        <f>IF(包装物料出入库明细!$E1927="","",包装物料出入库明细!$G1927)</f>
        <v/>
      </c>
      <c r="K1927" t="str">
        <f>IF(包装物料出入库明细!$D1927="","",包装物料出入库明细!$D1927)</f>
        <v/>
      </c>
      <c r="L1927">
        <f t="shared" si="615"/>
        <v>0</v>
      </c>
      <c r="M1927">
        <f t="shared" si="616"/>
        <v>9</v>
      </c>
      <c r="Q1927" t="str">
        <f>IF(周转筐出入库明细!$D1928="","",周转筐出入库明细!$D1928)</f>
        <v/>
      </c>
      <c r="R1927">
        <f t="shared" si="617"/>
        <v>0</v>
      </c>
      <c r="S1927">
        <f t="shared" si="618"/>
        <v>5</v>
      </c>
      <c r="W1927" t="str">
        <f>IF(周转筐出入库明细!$C1928="","",周转筐出入库明细!$C1928)</f>
        <v/>
      </c>
      <c r="X1927">
        <f t="shared" si="619"/>
        <v>0</v>
      </c>
      <c r="Y1927">
        <f t="shared" si="620"/>
        <v>12</v>
      </c>
      <c r="CP1927">
        <f>IF(包装物料出入库明细!$D1927="",0,1)</f>
        <v>0</v>
      </c>
      <c r="CQ1927">
        <f t="shared" si="621"/>
        <v>37</v>
      </c>
      <c r="CS1927" t="str">
        <f>IF(OR(周转筐出入库明细!$C1928="",周转筐出入库明细!$F1928&lt;&gt;"采购入库"),"",周转筐出入库明细!$C1928)</f>
        <v/>
      </c>
      <c r="CT1927">
        <f t="shared" si="622"/>
        <v>0</v>
      </c>
      <c r="CU1927">
        <f t="shared" si="623"/>
        <v>1</v>
      </c>
    </row>
    <row r="1928" spans="1:99">
      <c r="A1928" t="str">
        <f>IF(包装物料出入库明细!$E1928="","",包装物料出入库明细!$E1928)</f>
        <v/>
      </c>
      <c r="B1928">
        <f t="shared" si="613"/>
        <v>0</v>
      </c>
      <c r="C1928">
        <f t="shared" si="614"/>
        <v>7</v>
      </c>
      <c r="D1928" t="str">
        <f>IF(包装物料出入库明细!$E1928="","",包装物料出入库明细!$F1928)</f>
        <v/>
      </c>
      <c r="E1928" t="str">
        <f>IF(包装物料出入库明细!$E1928="","",包装物料出入库明细!$G1928)</f>
        <v/>
      </c>
      <c r="K1928" t="str">
        <f>IF(包装物料出入库明细!$D1928="","",包装物料出入库明细!$D1928)</f>
        <v/>
      </c>
      <c r="L1928">
        <f t="shared" si="615"/>
        <v>0</v>
      </c>
      <c r="M1928">
        <f t="shared" si="616"/>
        <v>9</v>
      </c>
      <c r="Q1928" t="str">
        <f>IF(周转筐出入库明细!$D1929="","",周转筐出入库明细!$D1929)</f>
        <v/>
      </c>
      <c r="R1928">
        <f t="shared" si="617"/>
        <v>0</v>
      </c>
      <c r="S1928">
        <f t="shared" si="618"/>
        <v>5</v>
      </c>
      <c r="W1928" t="str">
        <f>IF(周转筐出入库明细!$C1929="","",周转筐出入库明细!$C1929)</f>
        <v/>
      </c>
      <c r="X1928">
        <f t="shared" si="619"/>
        <v>0</v>
      </c>
      <c r="Y1928">
        <f t="shared" si="620"/>
        <v>12</v>
      </c>
      <c r="CP1928">
        <f>IF(包装物料出入库明细!$D1928="",0,1)</f>
        <v>0</v>
      </c>
      <c r="CQ1928">
        <f t="shared" si="621"/>
        <v>37</v>
      </c>
      <c r="CS1928" t="str">
        <f>IF(OR(周转筐出入库明细!$C1929="",周转筐出入库明细!$F1929&lt;&gt;"采购入库"),"",周转筐出入库明细!$C1929)</f>
        <v/>
      </c>
      <c r="CT1928">
        <f t="shared" si="622"/>
        <v>0</v>
      </c>
      <c r="CU1928">
        <f t="shared" si="623"/>
        <v>1</v>
      </c>
    </row>
    <row r="1929" spans="1:99">
      <c r="A1929" t="str">
        <f>IF(包装物料出入库明细!$E1929="","",包装物料出入库明细!$E1929)</f>
        <v/>
      </c>
      <c r="B1929">
        <f t="shared" si="613"/>
        <v>0</v>
      </c>
      <c r="C1929">
        <f t="shared" si="614"/>
        <v>7</v>
      </c>
      <c r="D1929" t="str">
        <f>IF(包装物料出入库明细!$E1929="","",包装物料出入库明细!$F1929)</f>
        <v/>
      </c>
      <c r="E1929" t="str">
        <f>IF(包装物料出入库明细!$E1929="","",包装物料出入库明细!$G1929)</f>
        <v/>
      </c>
      <c r="K1929" t="str">
        <f>IF(包装物料出入库明细!$D1929="","",包装物料出入库明细!$D1929)</f>
        <v/>
      </c>
      <c r="L1929">
        <f t="shared" si="615"/>
        <v>0</v>
      </c>
      <c r="M1929">
        <f t="shared" si="616"/>
        <v>9</v>
      </c>
      <c r="Q1929" t="str">
        <f>IF(周转筐出入库明细!$D1930="","",周转筐出入库明细!$D1930)</f>
        <v/>
      </c>
      <c r="R1929">
        <f t="shared" si="617"/>
        <v>0</v>
      </c>
      <c r="S1929">
        <f t="shared" si="618"/>
        <v>5</v>
      </c>
      <c r="W1929" t="str">
        <f>IF(周转筐出入库明细!$C1930="","",周转筐出入库明细!$C1930)</f>
        <v/>
      </c>
      <c r="X1929">
        <f t="shared" si="619"/>
        <v>0</v>
      </c>
      <c r="Y1929">
        <f t="shared" si="620"/>
        <v>12</v>
      </c>
      <c r="CP1929">
        <f>IF(包装物料出入库明细!$D1929="",0,1)</f>
        <v>0</v>
      </c>
      <c r="CQ1929">
        <f t="shared" si="621"/>
        <v>37</v>
      </c>
      <c r="CS1929" t="str">
        <f>IF(OR(周转筐出入库明细!$C1930="",周转筐出入库明细!$F1930&lt;&gt;"采购入库"),"",周转筐出入库明细!$C1930)</f>
        <v/>
      </c>
      <c r="CT1929">
        <f t="shared" si="622"/>
        <v>0</v>
      </c>
      <c r="CU1929">
        <f t="shared" si="623"/>
        <v>1</v>
      </c>
    </row>
    <row r="1930" spans="1:99">
      <c r="A1930" t="str">
        <f>IF(包装物料出入库明细!$E1930="","",包装物料出入库明细!$E1930)</f>
        <v/>
      </c>
      <c r="B1930">
        <f t="shared" si="613"/>
        <v>0</v>
      </c>
      <c r="C1930">
        <f t="shared" si="614"/>
        <v>7</v>
      </c>
      <c r="D1930" t="str">
        <f>IF(包装物料出入库明细!$E1930="","",包装物料出入库明细!$F1930)</f>
        <v/>
      </c>
      <c r="E1930" t="str">
        <f>IF(包装物料出入库明细!$E1930="","",包装物料出入库明细!$G1930)</f>
        <v/>
      </c>
      <c r="K1930" t="str">
        <f>IF(包装物料出入库明细!$D1930="","",包装物料出入库明细!$D1930)</f>
        <v/>
      </c>
      <c r="L1930">
        <f t="shared" si="615"/>
        <v>0</v>
      </c>
      <c r="M1930">
        <f t="shared" si="616"/>
        <v>9</v>
      </c>
      <c r="Q1930" t="str">
        <f>IF(周转筐出入库明细!$D1931="","",周转筐出入库明细!$D1931)</f>
        <v/>
      </c>
      <c r="R1930">
        <f t="shared" si="617"/>
        <v>0</v>
      </c>
      <c r="S1930">
        <f t="shared" si="618"/>
        <v>5</v>
      </c>
      <c r="W1930" t="str">
        <f>IF(周转筐出入库明细!$C1931="","",周转筐出入库明细!$C1931)</f>
        <v/>
      </c>
      <c r="X1930">
        <f t="shared" si="619"/>
        <v>0</v>
      </c>
      <c r="Y1930">
        <f t="shared" si="620"/>
        <v>12</v>
      </c>
      <c r="CP1930">
        <f>IF(包装物料出入库明细!$D1930="",0,1)</f>
        <v>0</v>
      </c>
      <c r="CQ1930">
        <f t="shared" si="621"/>
        <v>37</v>
      </c>
      <c r="CS1930" t="str">
        <f>IF(OR(周转筐出入库明细!$C1931="",周转筐出入库明细!$F1931&lt;&gt;"采购入库"),"",周转筐出入库明细!$C1931)</f>
        <v/>
      </c>
      <c r="CT1930">
        <f t="shared" si="622"/>
        <v>0</v>
      </c>
      <c r="CU1930">
        <f t="shared" si="623"/>
        <v>1</v>
      </c>
    </row>
    <row r="1931" spans="1:99">
      <c r="A1931" t="str">
        <f>IF(包装物料出入库明细!$E1931="","",包装物料出入库明细!$E1931)</f>
        <v/>
      </c>
      <c r="B1931">
        <f t="shared" si="613"/>
        <v>0</v>
      </c>
      <c r="C1931">
        <f t="shared" si="614"/>
        <v>7</v>
      </c>
      <c r="D1931" t="str">
        <f>IF(包装物料出入库明细!$E1931="","",包装物料出入库明细!$F1931)</f>
        <v/>
      </c>
      <c r="E1931" t="str">
        <f>IF(包装物料出入库明细!$E1931="","",包装物料出入库明细!$G1931)</f>
        <v/>
      </c>
      <c r="K1931" t="str">
        <f>IF(包装物料出入库明细!$D1931="","",包装物料出入库明细!$D1931)</f>
        <v/>
      </c>
      <c r="L1931">
        <f t="shared" si="615"/>
        <v>0</v>
      </c>
      <c r="M1931">
        <f t="shared" si="616"/>
        <v>9</v>
      </c>
      <c r="Q1931" t="str">
        <f>IF(周转筐出入库明细!$D1932="","",周转筐出入库明细!$D1932)</f>
        <v/>
      </c>
      <c r="R1931">
        <f t="shared" si="617"/>
        <v>0</v>
      </c>
      <c r="S1931">
        <f t="shared" si="618"/>
        <v>5</v>
      </c>
      <c r="W1931" t="str">
        <f>IF(周转筐出入库明细!$C1932="","",周转筐出入库明细!$C1932)</f>
        <v/>
      </c>
      <c r="X1931">
        <f t="shared" si="619"/>
        <v>0</v>
      </c>
      <c r="Y1931">
        <f t="shared" si="620"/>
        <v>12</v>
      </c>
      <c r="CP1931">
        <f>IF(包装物料出入库明细!$D1931="",0,1)</f>
        <v>0</v>
      </c>
      <c r="CQ1931">
        <f t="shared" si="621"/>
        <v>37</v>
      </c>
      <c r="CS1931" t="str">
        <f>IF(OR(周转筐出入库明细!$C1932="",周转筐出入库明细!$F1932&lt;&gt;"采购入库"),"",周转筐出入库明细!$C1932)</f>
        <v/>
      </c>
      <c r="CT1931">
        <f t="shared" si="622"/>
        <v>0</v>
      </c>
      <c r="CU1931">
        <f t="shared" si="623"/>
        <v>1</v>
      </c>
    </row>
    <row r="1932" spans="1:99">
      <c r="A1932" t="str">
        <f>IF(包装物料出入库明细!$E1932="","",包装物料出入库明细!$E1932)</f>
        <v/>
      </c>
      <c r="B1932">
        <f t="shared" si="613"/>
        <v>0</v>
      </c>
      <c r="C1932">
        <f t="shared" si="614"/>
        <v>7</v>
      </c>
      <c r="D1932" t="str">
        <f>IF(包装物料出入库明细!$E1932="","",包装物料出入库明细!$F1932)</f>
        <v/>
      </c>
      <c r="E1932" t="str">
        <f>IF(包装物料出入库明细!$E1932="","",包装物料出入库明细!$G1932)</f>
        <v/>
      </c>
      <c r="K1932" t="str">
        <f>IF(包装物料出入库明细!$D1932="","",包装物料出入库明细!$D1932)</f>
        <v/>
      </c>
      <c r="L1932">
        <f t="shared" si="615"/>
        <v>0</v>
      </c>
      <c r="M1932">
        <f t="shared" si="616"/>
        <v>9</v>
      </c>
      <c r="Q1932" t="str">
        <f>IF(周转筐出入库明细!$D1933="","",周转筐出入库明细!$D1933)</f>
        <v/>
      </c>
      <c r="R1932">
        <f t="shared" si="617"/>
        <v>0</v>
      </c>
      <c r="S1932">
        <f t="shared" si="618"/>
        <v>5</v>
      </c>
      <c r="W1932" t="str">
        <f>IF(周转筐出入库明细!$C1933="","",周转筐出入库明细!$C1933)</f>
        <v/>
      </c>
      <c r="X1932">
        <f t="shared" si="619"/>
        <v>0</v>
      </c>
      <c r="Y1932">
        <f t="shared" si="620"/>
        <v>12</v>
      </c>
      <c r="CP1932">
        <f>IF(包装物料出入库明细!$D1932="",0,1)</f>
        <v>0</v>
      </c>
      <c r="CQ1932">
        <f t="shared" si="621"/>
        <v>37</v>
      </c>
      <c r="CS1932" t="str">
        <f>IF(OR(周转筐出入库明细!$C1933="",周转筐出入库明细!$F1933&lt;&gt;"采购入库"),"",周转筐出入库明细!$C1933)</f>
        <v/>
      </c>
      <c r="CT1932">
        <f t="shared" si="622"/>
        <v>0</v>
      </c>
      <c r="CU1932">
        <f t="shared" si="623"/>
        <v>1</v>
      </c>
    </row>
    <row r="1933" spans="1:99">
      <c r="A1933" t="str">
        <f>IF(包装物料出入库明细!$E1933="","",包装物料出入库明细!$E1933)</f>
        <v/>
      </c>
      <c r="B1933">
        <f t="shared" si="613"/>
        <v>0</v>
      </c>
      <c r="C1933">
        <f t="shared" si="614"/>
        <v>7</v>
      </c>
      <c r="D1933" t="str">
        <f>IF(包装物料出入库明细!$E1933="","",包装物料出入库明细!$F1933)</f>
        <v/>
      </c>
      <c r="E1933" t="str">
        <f>IF(包装物料出入库明细!$E1933="","",包装物料出入库明细!$G1933)</f>
        <v/>
      </c>
      <c r="K1933" t="str">
        <f>IF(包装物料出入库明细!$D1933="","",包装物料出入库明细!$D1933)</f>
        <v/>
      </c>
      <c r="L1933">
        <f t="shared" si="615"/>
        <v>0</v>
      </c>
      <c r="M1933">
        <f t="shared" si="616"/>
        <v>9</v>
      </c>
      <c r="Q1933" t="str">
        <f>IF(周转筐出入库明细!$D1934="","",周转筐出入库明细!$D1934)</f>
        <v/>
      </c>
      <c r="R1933">
        <f t="shared" si="617"/>
        <v>0</v>
      </c>
      <c r="S1933">
        <f t="shared" si="618"/>
        <v>5</v>
      </c>
      <c r="W1933" t="str">
        <f>IF(周转筐出入库明细!$C1934="","",周转筐出入库明细!$C1934)</f>
        <v/>
      </c>
      <c r="X1933">
        <f t="shared" si="619"/>
        <v>0</v>
      </c>
      <c r="Y1933">
        <f t="shared" si="620"/>
        <v>12</v>
      </c>
      <c r="CP1933">
        <f>IF(包装物料出入库明细!$D1933="",0,1)</f>
        <v>0</v>
      </c>
      <c r="CQ1933">
        <f t="shared" si="621"/>
        <v>37</v>
      </c>
      <c r="CS1933" t="str">
        <f>IF(OR(周转筐出入库明细!$C1934="",周转筐出入库明细!$F1934&lt;&gt;"采购入库"),"",周转筐出入库明细!$C1934)</f>
        <v/>
      </c>
      <c r="CT1933">
        <f t="shared" si="622"/>
        <v>0</v>
      </c>
      <c r="CU1933">
        <f t="shared" si="623"/>
        <v>1</v>
      </c>
    </row>
    <row r="1934" spans="1:99">
      <c r="A1934" t="str">
        <f>IF(包装物料出入库明细!$E1934="","",包装物料出入库明细!$E1934)</f>
        <v/>
      </c>
      <c r="B1934">
        <f t="shared" si="613"/>
        <v>0</v>
      </c>
      <c r="C1934">
        <f t="shared" si="614"/>
        <v>7</v>
      </c>
      <c r="D1934" t="str">
        <f>IF(包装物料出入库明细!$E1934="","",包装物料出入库明细!$F1934)</f>
        <v/>
      </c>
      <c r="E1934" t="str">
        <f>IF(包装物料出入库明细!$E1934="","",包装物料出入库明细!$G1934)</f>
        <v/>
      </c>
      <c r="K1934" t="str">
        <f>IF(包装物料出入库明细!$D1934="","",包装物料出入库明细!$D1934)</f>
        <v/>
      </c>
      <c r="L1934">
        <f t="shared" si="615"/>
        <v>0</v>
      </c>
      <c r="M1934">
        <f t="shared" si="616"/>
        <v>9</v>
      </c>
      <c r="Q1934" t="str">
        <f>IF(周转筐出入库明细!$D1935="","",周转筐出入库明细!$D1935)</f>
        <v/>
      </c>
      <c r="R1934">
        <f t="shared" si="617"/>
        <v>0</v>
      </c>
      <c r="S1934">
        <f t="shared" si="618"/>
        <v>5</v>
      </c>
      <c r="W1934" t="str">
        <f>IF(周转筐出入库明细!$C1935="","",周转筐出入库明细!$C1935)</f>
        <v/>
      </c>
      <c r="X1934">
        <f t="shared" si="619"/>
        <v>0</v>
      </c>
      <c r="Y1934">
        <f t="shared" si="620"/>
        <v>12</v>
      </c>
      <c r="CP1934">
        <f>IF(包装物料出入库明细!$D1934="",0,1)</f>
        <v>0</v>
      </c>
      <c r="CQ1934">
        <f t="shared" si="621"/>
        <v>37</v>
      </c>
      <c r="CS1934" t="str">
        <f>IF(OR(周转筐出入库明细!$C1935="",周转筐出入库明细!$F1935&lt;&gt;"采购入库"),"",周转筐出入库明细!$C1935)</f>
        <v/>
      </c>
      <c r="CT1934">
        <f t="shared" si="622"/>
        <v>0</v>
      </c>
      <c r="CU1934">
        <f t="shared" si="623"/>
        <v>1</v>
      </c>
    </row>
    <row r="1935" spans="1:99">
      <c r="A1935" t="str">
        <f>IF(包装物料出入库明细!$E1935="","",包装物料出入库明细!$E1935)</f>
        <v/>
      </c>
      <c r="B1935">
        <f t="shared" si="613"/>
        <v>0</v>
      </c>
      <c r="C1935">
        <f t="shared" si="614"/>
        <v>7</v>
      </c>
      <c r="D1935" t="str">
        <f>IF(包装物料出入库明细!$E1935="","",包装物料出入库明细!$F1935)</f>
        <v/>
      </c>
      <c r="E1935" t="str">
        <f>IF(包装物料出入库明细!$E1935="","",包装物料出入库明细!$G1935)</f>
        <v/>
      </c>
      <c r="K1935" t="str">
        <f>IF(包装物料出入库明细!$D1935="","",包装物料出入库明细!$D1935)</f>
        <v/>
      </c>
      <c r="L1935">
        <f t="shared" si="615"/>
        <v>0</v>
      </c>
      <c r="M1935">
        <f t="shared" si="616"/>
        <v>9</v>
      </c>
      <c r="Q1935" t="str">
        <f>IF(周转筐出入库明细!$D1936="","",周转筐出入库明细!$D1936)</f>
        <v/>
      </c>
      <c r="R1935">
        <f t="shared" si="617"/>
        <v>0</v>
      </c>
      <c r="S1935">
        <f t="shared" si="618"/>
        <v>5</v>
      </c>
      <c r="W1935" t="str">
        <f>IF(周转筐出入库明细!$C1936="","",周转筐出入库明细!$C1936)</f>
        <v/>
      </c>
      <c r="X1935">
        <f t="shared" si="619"/>
        <v>0</v>
      </c>
      <c r="Y1935">
        <f t="shared" si="620"/>
        <v>12</v>
      </c>
      <c r="CP1935">
        <f>IF(包装物料出入库明细!$D1935="",0,1)</f>
        <v>0</v>
      </c>
      <c r="CQ1935">
        <f t="shared" si="621"/>
        <v>37</v>
      </c>
      <c r="CS1935" t="str">
        <f>IF(OR(周转筐出入库明细!$C1936="",周转筐出入库明细!$F1936&lt;&gt;"采购入库"),"",周转筐出入库明细!$C1936)</f>
        <v/>
      </c>
      <c r="CT1935">
        <f t="shared" si="622"/>
        <v>0</v>
      </c>
      <c r="CU1935">
        <f t="shared" si="623"/>
        <v>1</v>
      </c>
    </row>
    <row r="1936" spans="1:99">
      <c r="A1936" t="str">
        <f>IF(包装物料出入库明细!$E1936="","",包装物料出入库明细!$E1936)</f>
        <v/>
      </c>
      <c r="B1936">
        <f t="shared" si="613"/>
        <v>0</v>
      </c>
      <c r="C1936">
        <f t="shared" si="614"/>
        <v>7</v>
      </c>
      <c r="D1936" t="str">
        <f>IF(包装物料出入库明细!$E1936="","",包装物料出入库明细!$F1936)</f>
        <v/>
      </c>
      <c r="E1936" t="str">
        <f>IF(包装物料出入库明细!$E1936="","",包装物料出入库明细!$G1936)</f>
        <v/>
      </c>
      <c r="K1936" t="str">
        <f>IF(包装物料出入库明细!$D1936="","",包装物料出入库明细!$D1936)</f>
        <v/>
      </c>
      <c r="L1936">
        <f t="shared" si="615"/>
        <v>0</v>
      </c>
      <c r="M1936">
        <f t="shared" si="616"/>
        <v>9</v>
      </c>
      <c r="Q1936" t="str">
        <f>IF(周转筐出入库明细!$D1937="","",周转筐出入库明细!$D1937)</f>
        <v/>
      </c>
      <c r="R1936">
        <f t="shared" si="617"/>
        <v>0</v>
      </c>
      <c r="S1936">
        <f t="shared" si="618"/>
        <v>5</v>
      </c>
      <c r="W1936" t="str">
        <f>IF(周转筐出入库明细!$C1937="","",周转筐出入库明细!$C1937)</f>
        <v/>
      </c>
      <c r="X1936">
        <f t="shared" si="619"/>
        <v>0</v>
      </c>
      <c r="Y1936">
        <f t="shared" si="620"/>
        <v>12</v>
      </c>
      <c r="CP1936">
        <f>IF(包装物料出入库明细!$D1936="",0,1)</f>
        <v>0</v>
      </c>
      <c r="CQ1936">
        <f t="shared" si="621"/>
        <v>37</v>
      </c>
      <c r="CS1936" t="str">
        <f>IF(OR(周转筐出入库明细!$C1937="",周转筐出入库明细!$F1937&lt;&gt;"采购入库"),"",周转筐出入库明细!$C1937)</f>
        <v/>
      </c>
      <c r="CT1936">
        <f t="shared" si="622"/>
        <v>0</v>
      </c>
      <c r="CU1936">
        <f t="shared" si="623"/>
        <v>1</v>
      </c>
    </row>
    <row r="1937" spans="1:99">
      <c r="A1937" t="str">
        <f>IF(包装物料出入库明细!$E1937="","",包装物料出入库明细!$E1937)</f>
        <v/>
      </c>
      <c r="B1937">
        <f t="shared" si="613"/>
        <v>0</v>
      </c>
      <c r="C1937">
        <f t="shared" si="614"/>
        <v>7</v>
      </c>
      <c r="D1937" t="str">
        <f>IF(包装物料出入库明细!$E1937="","",包装物料出入库明细!$F1937)</f>
        <v/>
      </c>
      <c r="E1937" t="str">
        <f>IF(包装物料出入库明细!$E1937="","",包装物料出入库明细!$G1937)</f>
        <v/>
      </c>
      <c r="K1937" t="str">
        <f>IF(包装物料出入库明细!$D1937="","",包装物料出入库明细!$D1937)</f>
        <v/>
      </c>
      <c r="L1937">
        <f t="shared" si="615"/>
        <v>0</v>
      </c>
      <c r="M1937">
        <f t="shared" si="616"/>
        <v>9</v>
      </c>
      <c r="Q1937" t="str">
        <f>IF(周转筐出入库明细!$D1938="","",周转筐出入库明细!$D1938)</f>
        <v/>
      </c>
      <c r="R1937">
        <f t="shared" si="617"/>
        <v>0</v>
      </c>
      <c r="S1937">
        <f t="shared" si="618"/>
        <v>5</v>
      </c>
      <c r="W1937" t="str">
        <f>IF(周转筐出入库明细!$C1938="","",周转筐出入库明细!$C1938)</f>
        <v/>
      </c>
      <c r="X1937">
        <f t="shared" si="619"/>
        <v>0</v>
      </c>
      <c r="Y1937">
        <f t="shared" si="620"/>
        <v>12</v>
      </c>
      <c r="CP1937">
        <f>IF(包装物料出入库明细!$D1937="",0,1)</f>
        <v>0</v>
      </c>
      <c r="CQ1937">
        <f t="shared" si="621"/>
        <v>37</v>
      </c>
      <c r="CS1937" t="str">
        <f>IF(OR(周转筐出入库明细!$C1938="",周转筐出入库明细!$F1938&lt;&gt;"采购入库"),"",周转筐出入库明细!$C1938)</f>
        <v/>
      </c>
      <c r="CT1937">
        <f t="shared" si="622"/>
        <v>0</v>
      </c>
      <c r="CU1937">
        <f t="shared" si="623"/>
        <v>1</v>
      </c>
    </row>
    <row r="1938" spans="1:99">
      <c r="A1938" t="str">
        <f>IF(包装物料出入库明细!$E1938="","",包装物料出入库明细!$E1938)</f>
        <v/>
      </c>
      <c r="B1938">
        <f t="shared" si="613"/>
        <v>0</v>
      </c>
      <c r="C1938">
        <f t="shared" si="614"/>
        <v>7</v>
      </c>
      <c r="D1938" t="str">
        <f>IF(包装物料出入库明细!$E1938="","",包装物料出入库明细!$F1938)</f>
        <v/>
      </c>
      <c r="E1938" t="str">
        <f>IF(包装物料出入库明细!$E1938="","",包装物料出入库明细!$G1938)</f>
        <v/>
      </c>
      <c r="K1938" t="str">
        <f>IF(包装物料出入库明细!$D1938="","",包装物料出入库明细!$D1938)</f>
        <v/>
      </c>
      <c r="L1938">
        <f t="shared" si="615"/>
        <v>0</v>
      </c>
      <c r="M1938">
        <f t="shared" si="616"/>
        <v>9</v>
      </c>
      <c r="Q1938" t="str">
        <f>IF(周转筐出入库明细!$D1939="","",周转筐出入库明细!$D1939)</f>
        <v/>
      </c>
      <c r="R1938">
        <f t="shared" si="617"/>
        <v>0</v>
      </c>
      <c r="S1938">
        <f t="shared" si="618"/>
        <v>5</v>
      </c>
      <c r="W1938" t="str">
        <f>IF(周转筐出入库明细!$C1939="","",周转筐出入库明细!$C1939)</f>
        <v/>
      </c>
      <c r="X1938">
        <f t="shared" si="619"/>
        <v>0</v>
      </c>
      <c r="Y1938">
        <f t="shared" si="620"/>
        <v>12</v>
      </c>
      <c r="CP1938">
        <f>IF(包装物料出入库明细!$D1938="",0,1)</f>
        <v>0</v>
      </c>
      <c r="CQ1938">
        <f t="shared" si="621"/>
        <v>37</v>
      </c>
      <c r="CS1938" t="str">
        <f>IF(OR(周转筐出入库明细!$C1939="",周转筐出入库明细!$F1939&lt;&gt;"采购入库"),"",周转筐出入库明细!$C1939)</f>
        <v/>
      </c>
      <c r="CT1938">
        <f t="shared" si="622"/>
        <v>0</v>
      </c>
      <c r="CU1938">
        <f t="shared" si="623"/>
        <v>1</v>
      </c>
    </row>
    <row r="1939" spans="1:99">
      <c r="A1939" t="str">
        <f>IF(包装物料出入库明细!$E1939="","",包装物料出入库明细!$E1939)</f>
        <v/>
      </c>
      <c r="B1939">
        <f t="shared" si="613"/>
        <v>0</v>
      </c>
      <c r="C1939">
        <f t="shared" si="614"/>
        <v>7</v>
      </c>
      <c r="D1939" t="str">
        <f>IF(包装物料出入库明细!$E1939="","",包装物料出入库明细!$F1939)</f>
        <v/>
      </c>
      <c r="E1939" t="str">
        <f>IF(包装物料出入库明细!$E1939="","",包装物料出入库明细!$G1939)</f>
        <v/>
      </c>
      <c r="K1939" t="str">
        <f>IF(包装物料出入库明细!$D1939="","",包装物料出入库明细!$D1939)</f>
        <v/>
      </c>
      <c r="L1939">
        <f t="shared" si="615"/>
        <v>0</v>
      </c>
      <c r="M1939">
        <f t="shared" si="616"/>
        <v>9</v>
      </c>
      <c r="Q1939" t="str">
        <f>IF(周转筐出入库明细!$D1940="","",周转筐出入库明细!$D1940)</f>
        <v/>
      </c>
      <c r="R1939">
        <f t="shared" si="617"/>
        <v>0</v>
      </c>
      <c r="S1939">
        <f t="shared" si="618"/>
        <v>5</v>
      </c>
      <c r="W1939" t="str">
        <f>IF(周转筐出入库明细!$C1940="","",周转筐出入库明细!$C1940)</f>
        <v/>
      </c>
      <c r="X1939">
        <f t="shared" si="619"/>
        <v>0</v>
      </c>
      <c r="Y1939">
        <f t="shared" si="620"/>
        <v>12</v>
      </c>
      <c r="CP1939">
        <f>IF(包装物料出入库明细!$D1939="",0,1)</f>
        <v>0</v>
      </c>
      <c r="CQ1939">
        <f t="shared" si="621"/>
        <v>37</v>
      </c>
      <c r="CS1939" t="str">
        <f>IF(OR(周转筐出入库明细!$C1940="",周转筐出入库明细!$F1940&lt;&gt;"采购入库"),"",周转筐出入库明细!$C1940)</f>
        <v/>
      </c>
      <c r="CT1939">
        <f t="shared" si="622"/>
        <v>0</v>
      </c>
      <c r="CU1939">
        <f t="shared" si="623"/>
        <v>1</v>
      </c>
    </row>
    <row r="1940" spans="1:99">
      <c r="A1940" t="str">
        <f>IF(包装物料出入库明细!$E1940="","",包装物料出入库明细!$E1940)</f>
        <v/>
      </c>
      <c r="B1940">
        <f t="shared" si="613"/>
        <v>0</v>
      </c>
      <c r="C1940">
        <f t="shared" si="614"/>
        <v>7</v>
      </c>
      <c r="D1940" t="str">
        <f>IF(包装物料出入库明细!$E1940="","",包装物料出入库明细!$F1940)</f>
        <v/>
      </c>
      <c r="E1940" t="str">
        <f>IF(包装物料出入库明细!$E1940="","",包装物料出入库明细!$G1940)</f>
        <v/>
      </c>
      <c r="K1940" t="str">
        <f>IF(包装物料出入库明细!$D1940="","",包装物料出入库明细!$D1940)</f>
        <v/>
      </c>
      <c r="L1940">
        <f t="shared" si="615"/>
        <v>0</v>
      </c>
      <c r="M1940">
        <f t="shared" si="616"/>
        <v>9</v>
      </c>
      <c r="Q1940" t="str">
        <f>IF(周转筐出入库明细!$D1941="","",周转筐出入库明细!$D1941)</f>
        <v/>
      </c>
      <c r="R1940">
        <f t="shared" si="617"/>
        <v>0</v>
      </c>
      <c r="S1940">
        <f t="shared" si="618"/>
        <v>5</v>
      </c>
      <c r="W1940" t="str">
        <f>IF(周转筐出入库明细!$C1941="","",周转筐出入库明细!$C1941)</f>
        <v/>
      </c>
      <c r="X1940">
        <f t="shared" si="619"/>
        <v>0</v>
      </c>
      <c r="Y1940">
        <f t="shared" si="620"/>
        <v>12</v>
      </c>
      <c r="CP1940">
        <f>IF(包装物料出入库明细!$D1940="",0,1)</f>
        <v>0</v>
      </c>
      <c r="CQ1940">
        <f t="shared" si="621"/>
        <v>37</v>
      </c>
      <c r="CS1940" t="str">
        <f>IF(OR(周转筐出入库明细!$C1941="",周转筐出入库明细!$F1941&lt;&gt;"采购入库"),"",周转筐出入库明细!$C1941)</f>
        <v/>
      </c>
      <c r="CT1940">
        <f t="shared" si="622"/>
        <v>0</v>
      </c>
      <c r="CU1940">
        <f t="shared" si="623"/>
        <v>1</v>
      </c>
    </row>
    <row r="1941" spans="1:99">
      <c r="A1941" t="str">
        <f>IF(包装物料出入库明细!$E1941="","",包装物料出入库明细!$E1941)</f>
        <v/>
      </c>
      <c r="B1941">
        <f t="shared" si="613"/>
        <v>0</v>
      </c>
      <c r="C1941">
        <f t="shared" si="614"/>
        <v>7</v>
      </c>
      <c r="D1941" t="str">
        <f>IF(包装物料出入库明细!$E1941="","",包装物料出入库明细!$F1941)</f>
        <v/>
      </c>
      <c r="E1941" t="str">
        <f>IF(包装物料出入库明细!$E1941="","",包装物料出入库明细!$G1941)</f>
        <v/>
      </c>
      <c r="K1941" t="str">
        <f>IF(包装物料出入库明细!$D1941="","",包装物料出入库明细!$D1941)</f>
        <v/>
      </c>
      <c r="L1941">
        <f t="shared" si="615"/>
        <v>0</v>
      </c>
      <c r="M1941">
        <f t="shared" si="616"/>
        <v>9</v>
      </c>
      <c r="Q1941" t="str">
        <f>IF(周转筐出入库明细!$D1942="","",周转筐出入库明细!$D1942)</f>
        <v/>
      </c>
      <c r="R1941">
        <f t="shared" si="617"/>
        <v>0</v>
      </c>
      <c r="S1941">
        <f t="shared" si="618"/>
        <v>5</v>
      </c>
      <c r="W1941" t="str">
        <f>IF(周转筐出入库明细!$C1942="","",周转筐出入库明细!$C1942)</f>
        <v/>
      </c>
      <c r="X1941">
        <f t="shared" si="619"/>
        <v>0</v>
      </c>
      <c r="Y1941">
        <f t="shared" si="620"/>
        <v>12</v>
      </c>
      <c r="CP1941">
        <f>IF(包装物料出入库明细!$D1941="",0,1)</f>
        <v>0</v>
      </c>
      <c r="CQ1941">
        <f t="shared" si="621"/>
        <v>37</v>
      </c>
      <c r="CS1941" t="str">
        <f>IF(OR(周转筐出入库明细!$C1942="",周转筐出入库明细!$F1942&lt;&gt;"采购入库"),"",周转筐出入库明细!$C1942)</f>
        <v/>
      </c>
      <c r="CT1941">
        <f t="shared" si="622"/>
        <v>0</v>
      </c>
      <c r="CU1941">
        <f t="shared" si="623"/>
        <v>1</v>
      </c>
    </row>
    <row r="1942" spans="1:99">
      <c r="A1942" t="str">
        <f>IF(包装物料出入库明细!$E1942="","",包装物料出入库明细!$E1942)</f>
        <v/>
      </c>
      <c r="B1942">
        <f t="shared" si="613"/>
        <v>0</v>
      </c>
      <c r="C1942">
        <f t="shared" si="614"/>
        <v>7</v>
      </c>
      <c r="D1942" t="str">
        <f>IF(包装物料出入库明细!$E1942="","",包装物料出入库明细!$F1942)</f>
        <v/>
      </c>
      <c r="E1942" t="str">
        <f>IF(包装物料出入库明细!$E1942="","",包装物料出入库明细!$G1942)</f>
        <v/>
      </c>
      <c r="K1942" t="str">
        <f>IF(包装物料出入库明细!$D1942="","",包装物料出入库明细!$D1942)</f>
        <v/>
      </c>
      <c r="L1942">
        <f t="shared" si="615"/>
        <v>0</v>
      </c>
      <c r="M1942">
        <f t="shared" si="616"/>
        <v>9</v>
      </c>
      <c r="Q1942" t="str">
        <f>IF(周转筐出入库明细!$D1943="","",周转筐出入库明细!$D1943)</f>
        <v/>
      </c>
      <c r="R1942">
        <f t="shared" si="617"/>
        <v>0</v>
      </c>
      <c r="S1942">
        <f t="shared" si="618"/>
        <v>5</v>
      </c>
      <c r="W1942" t="str">
        <f>IF(周转筐出入库明细!$C1943="","",周转筐出入库明细!$C1943)</f>
        <v/>
      </c>
      <c r="X1942">
        <f t="shared" si="619"/>
        <v>0</v>
      </c>
      <c r="Y1942">
        <f t="shared" si="620"/>
        <v>12</v>
      </c>
      <c r="CP1942">
        <f>IF(包装物料出入库明细!$D1942="",0,1)</f>
        <v>0</v>
      </c>
      <c r="CQ1942">
        <f t="shared" si="621"/>
        <v>37</v>
      </c>
      <c r="CS1942" t="str">
        <f>IF(OR(周转筐出入库明细!$C1943="",周转筐出入库明细!$F1943&lt;&gt;"采购入库"),"",周转筐出入库明细!$C1943)</f>
        <v/>
      </c>
      <c r="CT1942">
        <f t="shared" si="622"/>
        <v>0</v>
      </c>
      <c r="CU1942">
        <f t="shared" si="623"/>
        <v>1</v>
      </c>
    </row>
    <row r="1943" spans="1:99">
      <c r="A1943" t="str">
        <f>IF(包装物料出入库明细!$E1943="","",包装物料出入库明细!$E1943)</f>
        <v/>
      </c>
      <c r="B1943">
        <f t="shared" si="613"/>
        <v>0</v>
      </c>
      <c r="C1943">
        <f t="shared" si="614"/>
        <v>7</v>
      </c>
      <c r="D1943" t="str">
        <f>IF(包装物料出入库明细!$E1943="","",包装物料出入库明细!$F1943)</f>
        <v/>
      </c>
      <c r="E1943" t="str">
        <f>IF(包装物料出入库明细!$E1943="","",包装物料出入库明细!$G1943)</f>
        <v/>
      </c>
      <c r="K1943" t="str">
        <f>IF(包装物料出入库明细!$D1943="","",包装物料出入库明细!$D1943)</f>
        <v/>
      </c>
      <c r="L1943">
        <f t="shared" si="615"/>
        <v>0</v>
      </c>
      <c r="M1943">
        <f t="shared" si="616"/>
        <v>9</v>
      </c>
      <c r="Q1943" t="str">
        <f>IF(周转筐出入库明细!$D1944="","",周转筐出入库明细!$D1944)</f>
        <v/>
      </c>
      <c r="R1943">
        <f t="shared" si="617"/>
        <v>0</v>
      </c>
      <c r="S1943">
        <f t="shared" si="618"/>
        <v>5</v>
      </c>
      <c r="W1943" t="str">
        <f>IF(周转筐出入库明细!$C1944="","",周转筐出入库明细!$C1944)</f>
        <v/>
      </c>
      <c r="X1943">
        <f t="shared" si="619"/>
        <v>0</v>
      </c>
      <c r="Y1943">
        <f t="shared" si="620"/>
        <v>12</v>
      </c>
      <c r="CP1943">
        <f>IF(包装物料出入库明细!$D1943="",0,1)</f>
        <v>0</v>
      </c>
      <c r="CQ1943">
        <f t="shared" si="621"/>
        <v>37</v>
      </c>
      <c r="CS1943" t="str">
        <f>IF(OR(周转筐出入库明细!$C1944="",周转筐出入库明细!$F1944&lt;&gt;"采购入库"),"",周转筐出入库明细!$C1944)</f>
        <v/>
      </c>
      <c r="CT1943">
        <f t="shared" si="622"/>
        <v>0</v>
      </c>
      <c r="CU1943">
        <f t="shared" si="623"/>
        <v>1</v>
      </c>
    </row>
    <row r="1944" spans="1:99">
      <c r="A1944" t="str">
        <f>IF(包装物料出入库明细!$E1944="","",包装物料出入库明细!$E1944)</f>
        <v/>
      </c>
      <c r="B1944">
        <f t="shared" si="613"/>
        <v>0</v>
      </c>
      <c r="C1944">
        <f t="shared" si="614"/>
        <v>7</v>
      </c>
      <c r="D1944" t="str">
        <f>IF(包装物料出入库明细!$E1944="","",包装物料出入库明细!$F1944)</f>
        <v/>
      </c>
      <c r="E1944" t="str">
        <f>IF(包装物料出入库明细!$E1944="","",包装物料出入库明细!$G1944)</f>
        <v/>
      </c>
      <c r="K1944" t="str">
        <f>IF(包装物料出入库明细!$D1944="","",包装物料出入库明细!$D1944)</f>
        <v/>
      </c>
      <c r="L1944">
        <f t="shared" si="615"/>
        <v>0</v>
      </c>
      <c r="M1944">
        <f t="shared" si="616"/>
        <v>9</v>
      </c>
      <c r="Q1944" t="str">
        <f>IF(周转筐出入库明细!$D1945="","",周转筐出入库明细!$D1945)</f>
        <v/>
      </c>
      <c r="R1944">
        <f t="shared" si="617"/>
        <v>0</v>
      </c>
      <c r="S1944">
        <f t="shared" si="618"/>
        <v>5</v>
      </c>
      <c r="W1944" t="str">
        <f>IF(周转筐出入库明细!$C1945="","",周转筐出入库明细!$C1945)</f>
        <v/>
      </c>
      <c r="X1944">
        <f t="shared" si="619"/>
        <v>0</v>
      </c>
      <c r="Y1944">
        <f t="shared" si="620"/>
        <v>12</v>
      </c>
      <c r="CP1944">
        <f>IF(包装物料出入库明细!$D1944="",0,1)</f>
        <v>0</v>
      </c>
      <c r="CQ1944">
        <f t="shared" si="621"/>
        <v>37</v>
      </c>
      <c r="CS1944" t="str">
        <f>IF(OR(周转筐出入库明细!$C1945="",周转筐出入库明细!$F1945&lt;&gt;"采购入库"),"",周转筐出入库明细!$C1945)</f>
        <v/>
      </c>
      <c r="CT1944">
        <f t="shared" si="622"/>
        <v>0</v>
      </c>
      <c r="CU1944">
        <f t="shared" si="623"/>
        <v>1</v>
      </c>
    </row>
    <row r="1945" spans="1:99">
      <c r="A1945" t="str">
        <f>IF(包装物料出入库明细!$E1945="","",包装物料出入库明细!$E1945)</f>
        <v/>
      </c>
      <c r="B1945">
        <f t="shared" si="613"/>
        <v>0</v>
      </c>
      <c r="C1945">
        <f t="shared" si="614"/>
        <v>7</v>
      </c>
      <c r="D1945" t="str">
        <f>IF(包装物料出入库明细!$E1945="","",包装物料出入库明细!$F1945)</f>
        <v/>
      </c>
      <c r="E1945" t="str">
        <f>IF(包装物料出入库明细!$E1945="","",包装物料出入库明细!$G1945)</f>
        <v/>
      </c>
      <c r="K1945" t="str">
        <f>IF(包装物料出入库明细!$D1945="","",包装物料出入库明细!$D1945)</f>
        <v/>
      </c>
      <c r="L1945">
        <f t="shared" si="615"/>
        <v>0</v>
      </c>
      <c r="M1945">
        <f t="shared" si="616"/>
        <v>9</v>
      </c>
      <c r="Q1945" t="str">
        <f>IF(周转筐出入库明细!$D1946="","",周转筐出入库明细!$D1946)</f>
        <v/>
      </c>
      <c r="R1945">
        <f t="shared" si="617"/>
        <v>0</v>
      </c>
      <c r="S1945">
        <f t="shared" si="618"/>
        <v>5</v>
      </c>
      <c r="W1945" t="str">
        <f>IF(周转筐出入库明细!$C1946="","",周转筐出入库明细!$C1946)</f>
        <v/>
      </c>
      <c r="X1945">
        <f t="shared" si="619"/>
        <v>0</v>
      </c>
      <c r="Y1945">
        <f t="shared" si="620"/>
        <v>12</v>
      </c>
      <c r="CP1945">
        <f>IF(包装物料出入库明细!$D1945="",0,1)</f>
        <v>0</v>
      </c>
      <c r="CQ1945">
        <f t="shared" si="621"/>
        <v>37</v>
      </c>
      <c r="CS1945" t="str">
        <f>IF(OR(周转筐出入库明细!$C1946="",周转筐出入库明细!$F1946&lt;&gt;"采购入库"),"",周转筐出入库明细!$C1946)</f>
        <v/>
      </c>
      <c r="CT1945">
        <f t="shared" si="622"/>
        <v>0</v>
      </c>
      <c r="CU1945">
        <f t="shared" si="623"/>
        <v>1</v>
      </c>
    </row>
    <row r="1946" spans="1:99">
      <c r="A1946" t="str">
        <f>IF(包装物料出入库明细!$E1946="","",包装物料出入库明细!$E1946)</f>
        <v/>
      </c>
      <c r="B1946">
        <f t="shared" si="613"/>
        <v>0</v>
      </c>
      <c r="C1946">
        <f t="shared" si="614"/>
        <v>7</v>
      </c>
      <c r="D1946" t="str">
        <f>IF(包装物料出入库明细!$E1946="","",包装物料出入库明细!$F1946)</f>
        <v/>
      </c>
      <c r="E1946" t="str">
        <f>IF(包装物料出入库明细!$E1946="","",包装物料出入库明细!$G1946)</f>
        <v/>
      </c>
      <c r="K1946" t="str">
        <f>IF(包装物料出入库明细!$D1946="","",包装物料出入库明细!$D1946)</f>
        <v/>
      </c>
      <c r="L1946">
        <f t="shared" si="615"/>
        <v>0</v>
      </c>
      <c r="M1946">
        <f t="shared" si="616"/>
        <v>9</v>
      </c>
      <c r="Q1946" t="str">
        <f>IF(周转筐出入库明细!$D1947="","",周转筐出入库明细!$D1947)</f>
        <v/>
      </c>
      <c r="R1946">
        <f t="shared" si="617"/>
        <v>0</v>
      </c>
      <c r="S1946">
        <f t="shared" si="618"/>
        <v>5</v>
      </c>
      <c r="W1946" t="str">
        <f>IF(周转筐出入库明细!$C1947="","",周转筐出入库明细!$C1947)</f>
        <v/>
      </c>
      <c r="X1946">
        <f t="shared" si="619"/>
        <v>0</v>
      </c>
      <c r="Y1946">
        <f t="shared" si="620"/>
        <v>12</v>
      </c>
      <c r="CP1946">
        <f>IF(包装物料出入库明细!$D1946="",0,1)</f>
        <v>0</v>
      </c>
      <c r="CQ1946">
        <f t="shared" si="621"/>
        <v>37</v>
      </c>
      <c r="CS1946" t="str">
        <f>IF(OR(周转筐出入库明细!$C1947="",周转筐出入库明细!$F1947&lt;&gt;"采购入库"),"",周转筐出入库明细!$C1947)</f>
        <v/>
      </c>
      <c r="CT1946">
        <f t="shared" si="622"/>
        <v>0</v>
      </c>
      <c r="CU1946">
        <f t="shared" si="623"/>
        <v>1</v>
      </c>
    </row>
    <row r="1947" spans="1:99">
      <c r="A1947" t="str">
        <f>IF(包装物料出入库明细!$E1947="","",包装物料出入库明细!$E1947)</f>
        <v/>
      </c>
      <c r="B1947">
        <f t="shared" si="613"/>
        <v>0</v>
      </c>
      <c r="C1947">
        <f t="shared" si="614"/>
        <v>7</v>
      </c>
      <c r="D1947" t="str">
        <f>IF(包装物料出入库明细!$E1947="","",包装物料出入库明细!$F1947)</f>
        <v/>
      </c>
      <c r="E1947" t="str">
        <f>IF(包装物料出入库明细!$E1947="","",包装物料出入库明细!$G1947)</f>
        <v/>
      </c>
      <c r="K1947" t="str">
        <f>IF(包装物料出入库明细!$D1947="","",包装物料出入库明细!$D1947)</f>
        <v/>
      </c>
      <c r="L1947">
        <f t="shared" si="615"/>
        <v>0</v>
      </c>
      <c r="M1947">
        <f t="shared" si="616"/>
        <v>9</v>
      </c>
      <c r="Q1947" t="str">
        <f>IF(周转筐出入库明细!$D1948="","",周转筐出入库明细!$D1948)</f>
        <v/>
      </c>
      <c r="R1947">
        <f t="shared" si="617"/>
        <v>0</v>
      </c>
      <c r="S1947">
        <f t="shared" si="618"/>
        <v>5</v>
      </c>
      <c r="W1947" t="str">
        <f>IF(周转筐出入库明细!$C1948="","",周转筐出入库明细!$C1948)</f>
        <v/>
      </c>
      <c r="X1947">
        <f t="shared" si="619"/>
        <v>0</v>
      </c>
      <c r="Y1947">
        <f t="shared" si="620"/>
        <v>12</v>
      </c>
      <c r="CP1947">
        <f>IF(包装物料出入库明细!$D1947="",0,1)</f>
        <v>0</v>
      </c>
      <c r="CQ1947">
        <f t="shared" si="621"/>
        <v>37</v>
      </c>
      <c r="CS1947" t="str">
        <f>IF(OR(周转筐出入库明细!$C1948="",周转筐出入库明细!$F1948&lt;&gt;"采购入库"),"",周转筐出入库明细!$C1948)</f>
        <v/>
      </c>
      <c r="CT1947">
        <f t="shared" si="622"/>
        <v>0</v>
      </c>
      <c r="CU1947">
        <f t="shared" si="623"/>
        <v>1</v>
      </c>
    </row>
    <row r="1948" spans="1:99">
      <c r="A1948" t="str">
        <f>IF(包装物料出入库明细!$E1948="","",包装物料出入库明细!$E1948)</f>
        <v/>
      </c>
      <c r="B1948">
        <f t="shared" si="613"/>
        <v>0</v>
      </c>
      <c r="C1948">
        <f t="shared" si="614"/>
        <v>7</v>
      </c>
      <c r="D1948" t="str">
        <f>IF(包装物料出入库明细!$E1948="","",包装物料出入库明细!$F1948)</f>
        <v/>
      </c>
      <c r="E1948" t="str">
        <f>IF(包装物料出入库明细!$E1948="","",包装物料出入库明细!$G1948)</f>
        <v/>
      </c>
      <c r="K1948" t="str">
        <f>IF(包装物料出入库明细!$D1948="","",包装物料出入库明细!$D1948)</f>
        <v/>
      </c>
      <c r="L1948">
        <f t="shared" si="615"/>
        <v>0</v>
      </c>
      <c r="M1948">
        <f t="shared" si="616"/>
        <v>9</v>
      </c>
      <c r="Q1948" t="str">
        <f>IF(周转筐出入库明细!$D1949="","",周转筐出入库明细!$D1949)</f>
        <v/>
      </c>
      <c r="R1948">
        <f t="shared" si="617"/>
        <v>0</v>
      </c>
      <c r="S1948">
        <f t="shared" si="618"/>
        <v>5</v>
      </c>
      <c r="W1948" t="str">
        <f>IF(周转筐出入库明细!$C1949="","",周转筐出入库明细!$C1949)</f>
        <v/>
      </c>
      <c r="X1948">
        <f t="shared" si="619"/>
        <v>0</v>
      </c>
      <c r="Y1948">
        <f t="shared" si="620"/>
        <v>12</v>
      </c>
      <c r="CP1948">
        <f>IF(包装物料出入库明细!$D1948="",0,1)</f>
        <v>0</v>
      </c>
      <c r="CQ1948">
        <f t="shared" si="621"/>
        <v>37</v>
      </c>
      <c r="CS1948" t="str">
        <f>IF(OR(周转筐出入库明细!$C1949="",周转筐出入库明细!$F1949&lt;&gt;"采购入库"),"",周转筐出入库明细!$C1949)</f>
        <v/>
      </c>
      <c r="CT1948">
        <f t="shared" si="622"/>
        <v>0</v>
      </c>
      <c r="CU1948">
        <f t="shared" si="623"/>
        <v>1</v>
      </c>
    </row>
    <row r="1949" spans="1:99">
      <c r="A1949" t="str">
        <f>IF(包装物料出入库明细!$E1949="","",包装物料出入库明细!$E1949)</f>
        <v/>
      </c>
      <c r="B1949">
        <f t="shared" si="613"/>
        <v>0</v>
      </c>
      <c r="C1949">
        <f t="shared" si="614"/>
        <v>7</v>
      </c>
      <c r="D1949" t="str">
        <f>IF(包装物料出入库明细!$E1949="","",包装物料出入库明细!$F1949)</f>
        <v/>
      </c>
      <c r="E1949" t="str">
        <f>IF(包装物料出入库明细!$E1949="","",包装物料出入库明细!$G1949)</f>
        <v/>
      </c>
      <c r="K1949" t="str">
        <f>IF(包装物料出入库明细!$D1949="","",包装物料出入库明细!$D1949)</f>
        <v/>
      </c>
      <c r="L1949">
        <f t="shared" si="615"/>
        <v>0</v>
      </c>
      <c r="M1949">
        <f t="shared" si="616"/>
        <v>9</v>
      </c>
      <c r="Q1949" t="str">
        <f>IF(周转筐出入库明细!$D1950="","",周转筐出入库明细!$D1950)</f>
        <v/>
      </c>
      <c r="R1949">
        <f t="shared" si="617"/>
        <v>0</v>
      </c>
      <c r="S1949">
        <f t="shared" si="618"/>
        <v>5</v>
      </c>
      <c r="W1949" t="str">
        <f>IF(周转筐出入库明细!$C1950="","",周转筐出入库明细!$C1950)</f>
        <v/>
      </c>
      <c r="X1949">
        <f t="shared" si="619"/>
        <v>0</v>
      </c>
      <c r="Y1949">
        <f t="shared" si="620"/>
        <v>12</v>
      </c>
      <c r="CP1949">
        <f>IF(包装物料出入库明细!$D1949="",0,1)</f>
        <v>0</v>
      </c>
      <c r="CQ1949">
        <f t="shared" si="621"/>
        <v>37</v>
      </c>
      <c r="CS1949" t="str">
        <f>IF(OR(周转筐出入库明细!$C1950="",周转筐出入库明细!$F1950&lt;&gt;"采购入库"),"",周转筐出入库明细!$C1950)</f>
        <v/>
      </c>
      <c r="CT1949">
        <f t="shared" si="622"/>
        <v>0</v>
      </c>
      <c r="CU1949">
        <f t="shared" si="623"/>
        <v>1</v>
      </c>
    </row>
    <row r="1950" spans="1:99">
      <c r="A1950" t="str">
        <f>IF(包装物料出入库明细!$E1950="","",包装物料出入库明细!$E1950)</f>
        <v/>
      </c>
      <c r="B1950">
        <f t="shared" si="613"/>
        <v>0</v>
      </c>
      <c r="C1950">
        <f t="shared" si="614"/>
        <v>7</v>
      </c>
      <c r="D1950" t="str">
        <f>IF(包装物料出入库明细!$E1950="","",包装物料出入库明细!$F1950)</f>
        <v/>
      </c>
      <c r="E1950" t="str">
        <f>IF(包装物料出入库明细!$E1950="","",包装物料出入库明细!$G1950)</f>
        <v/>
      </c>
      <c r="K1950" t="str">
        <f>IF(包装物料出入库明细!$D1950="","",包装物料出入库明细!$D1950)</f>
        <v/>
      </c>
      <c r="L1950">
        <f t="shared" si="615"/>
        <v>0</v>
      </c>
      <c r="M1950">
        <f t="shared" si="616"/>
        <v>9</v>
      </c>
      <c r="Q1950" t="str">
        <f>IF(周转筐出入库明细!$D1951="","",周转筐出入库明细!$D1951)</f>
        <v/>
      </c>
      <c r="R1950">
        <f t="shared" si="617"/>
        <v>0</v>
      </c>
      <c r="S1950">
        <f t="shared" si="618"/>
        <v>5</v>
      </c>
      <c r="W1950" t="str">
        <f>IF(周转筐出入库明细!$C1951="","",周转筐出入库明细!$C1951)</f>
        <v/>
      </c>
      <c r="X1950">
        <f t="shared" si="619"/>
        <v>0</v>
      </c>
      <c r="Y1950">
        <f t="shared" si="620"/>
        <v>12</v>
      </c>
      <c r="CP1950">
        <f>IF(包装物料出入库明细!$D1950="",0,1)</f>
        <v>0</v>
      </c>
      <c r="CQ1950">
        <f t="shared" si="621"/>
        <v>37</v>
      </c>
      <c r="CS1950" t="str">
        <f>IF(OR(周转筐出入库明细!$C1951="",周转筐出入库明细!$F1951&lt;&gt;"采购入库"),"",周转筐出入库明细!$C1951)</f>
        <v/>
      </c>
      <c r="CT1950">
        <f t="shared" si="622"/>
        <v>0</v>
      </c>
      <c r="CU1950">
        <f t="shared" si="623"/>
        <v>1</v>
      </c>
    </row>
    <row r="1951" spans="1:99">
      <c r="A1951" t="str">
        <f>IF(包装物料出入库明细!$E1951="","",包装物料出入库明细!$E1951)</f>
        <v/>
      </c>
      <c r="B1951">
        <f t="shared" si="613"/>
        <v>0</v>
      </c>
      <c r="C1951">
        <f t="shared" si="614"/>
        <v>7</v>
      </c>
      <c r="D1951" t="str">
        <f>IF(包装物料出入库明细!$E1951="","",包装物料出入库明细!$F1951)</f>
        <v/>
      </c>
      <c r="E1951" t="str">
        <f>IF(包装物料出入库明细!$E1951="","",包装物料出入库明细!$G1951)</f>
        <v/>
      </c>
      <c r="K1951" t="str">
        <f>IF(包装物料出入库明细!$D1951="","",包装物料出入库明细!$D1951)</f>
        <v/>
      </c>
      <c r="L1951">
        <f t="shared" si="615"/>
        <v>0</v>
      </c>
      <c r="M1951">
        <f t="shared" si="616"/>
        <v>9</v>
      </c>
      <c r="Q1951" t="str">
        <f>IF(周转筐出入库明细!$D1952="","",周转筐出入库明细!$D1952)</f>
        <v/>
      </c>
      <c r="R1951">
        <f t="shared" si="617"/>
        <v>0</v>
      </c>
      <c r="S1951">
        <f t="shared" si="618"/>
        <v>5</v>
      </c>
      <c r="W1951" t="str">
        <f>IF(周转筐出入库明细!$C1952="","",周转筐出入库明细!$C1952)</f>
        <v/>
      </c>
      <c r="X1951">
        <f t="shared" si="619"/>
        <v>0</v>
      </c>
      <c r="Y1951">
        <f t="shared" si="620"/>
        <v>12</v>
      </c>
      <c r="CP1951">
        <f>IF(包装物料出入库明细!$D1951="",0,1)</f>
        <v>0</v>
      </c>
      <c r="CQ1951">
        <f t="shared" si="621"/>
        <v>37</v>
      </c>
      <c r="CS1951" t="str">
        <f>IF(OR(周转筐出入库明细!$C1952="",周转筐出入库明细!$F1952&lt;&gt;"采购入库"),"",周转筐出入库明细!$C1952)</f>
        <v/>
      </c>
      <c r="CT1951">
        <f t="shared" si="622"/>
        <v>0</v>
      </c>
      <c r="CU1951">
        <f t="shared" si="623"/>
        <v>1</v>
      </c>
    </row>
    <row r="1952" spans="1:99">
      <c r="A1952" t="str">
        <f>IF(包装物料出入库明细!$E1952="","",包装物料出入库明细!$E1952)</f>
        <v/>
      </c>
      <c r="B1952">
        <f t="shared" si="613"/>
        <v>0</v>
      </c>
      <c r="C1952">
        <f t="shared" si="614"/>
        <v>7</v>
      </c>
      <c r="D1952" t="str">
        <f>IF(包装物料出入库明细!$E1952="","",包装物料出入库明细!$F1952)</f>
        <v/>
      </c>
      <c r="E1952" t="str">
        <f>IF(包装物料出入库明细!$E1952="","",包装物料出入库明细!$G1952)</f>
        <v/>
      </c>
      <c r="K1952" t="str">
        <f>IF(包装物料出入库明细!$D1952="","",包装物料出入库明细!$D1952)</f>
        <v/>
      </c>
      <c r="L1952">
        <f t="shared" si="615"/>
        <v>0</v>
      </c>
      <c r="M1952">
        <f t="shared" si="616"/>
        <v>9</v>
      </c>
      <c r="Q1952" t="str">
        <f>IF(周转筐出入库明细!$D1953="","",周转筐出入库明细!$D1953)</f>
        <v/>
      </c>
      <c r="R1952">
        <f t="shared" si="617"/>
        <v>0</v>
      </c>
      <c r="S1952">
        <f t="shared" si="618"/>
        <v>5</v>
      </c>
      <c r="W1952" t="str">
        <f>IF(周转筐出入库明细!$C1953="","",周转筐出入库明细!$C1953)</f>
        <v/>
      </c>
      <c r="X1952">
        <f t="shared" si="619"/>
        <v>0</v>
      </c>
      <c r="Y1952">
        <f t="shared" si="620"/>
        <v>12</v>
      </c>
      <c r="CP1952">
        <f>IF(包装物料出入库明细!$D1952="",0,1)</f>
        <v>0</v>
      </c>
      <c r="CQ1952">
        <f t="shared" si="621"/>
        <v>37</v>
      </c>
      <c r="CS1952" t="str">
        <f>IF(OR(周转筐出入库明细!$C1953="",周转筐出入库明细!$F1953&lt;&gt;"采购入库"),"",周转筐出入库明细!$C1953)</f>
        <v/>
      </c>
      <c r="CT1952">
        <f t="shared" si="622"/>
        <v>0</v>
      </c>
      <c r="CU1952">
        <f t="shared" si="623"/>
        <v>1</v>
      </c>
    </row>
    <row r="1953" spans="1:99">
      <c r="A1953" t="str">
        <f>IF(包装物料出入库明细!$E1953="","",包装物料出入库明细!$E1953)</f>
        <v/>
      </c>
      <c r="B1953">
        <f t="shared" si="613"/>
        <v>0</v>
      </c>
      <c r="C1953">
        <f t="shared" si="614"/>
        <v>7</v>
      </c>
      <c r="D1953" t="str">
        <f>IF(包装物料出入库明细!$E1953="","",包装物料出入库明细!$F1953)</f>
        <v/>
      </c>
      <c r="E1953" t="str">
        <f>IF(包装物料出入库明细!$E1953="","",包装物料出入库明细!$G1953)</f>
        <v/>
      </c>
      <c r="K1953" t="str">
        <f>IF(包装物料出入库明细!$D1953="","",包装物料出入库明细!$D1953)</f>
        <v/>
      </c>
      <c r="L1953">
        <f t="shared" si="615"/>
        <v>0</v>
      </c>
      <c r="M1953">
        <f t="shared" si="616"/>
        <v>9</v>
      </c>
      <c r="Q1953" t="str">
        <f>IF(周转筐出入库明细!$D1954="","",周转筐出入库明细!$D1954)</f>
        <v/>
      </c>
      <c r="R1953">
        <f t="shared" si="617"/>
        <v>0</v>
      </c>
      <c r="S1953">
        <f t="shared" si="618"/>
        <v>5</v>
      </c>
      <c r="W1953" t="str">
        <f>IF(周转筐出入库明细!$C1954="","",周转筐出入库明细!$C1954)</f>
        <v/>
      </c>
      <c r="X1953">
        <f t="shared" si="619"/>
        <v>0</v>
      </c>
      <c r="Y1953">
        <f t="shared" si="620"/>
        <v>12</v>
      </c>
      <c r="CP1953">
        <f>IF(包装物料出入库明细!$D1953="",0,1)</f>
        <v>0</v>
      </c>
      <c r="CQ1953">
        <f t="shared" si="621"/>
        <v>37</v>
      </c>
      <c r="CS1953" t="str">
        <f>IF(OR(周转筐出入库明细!$C1954="",周转筐出入库明细!$F1954&lt;&gt;"采购入库"),"",周转筐出入库明细!$C1954)</f>
        <v/>
      </c>
      <c r="CT1953">
        <f t="shared" si="622"/>
        <v>0</v>
      </c>
      <c r="CU1953">
        <f t="shared" si="623"/>
        <v>1</v>
      </c>
    </row>
    <row r="1954" spans="1:99">
      <c r="A1954" t="str">
        <f>IF(包装物料出入库明细!$E1954="","",包装物料出入库明细!$E1954)</f>
        <v/>
      </c>
      <c r="B1954">
        <f t="shared" si="613"/>
        <v>0</v>
      </c>
      <c r="C1954">
        <f t="shared" si="614"/>
        <v>7</v>
      </c>
      <c r="D1954" t="str">
        <f>IF(包装物料出入库明细!$E1954="","",包装物料出入库明细!$F1954)</f>
        <v/>
      </c>
      <c r="E1954" t="str">
        <f>IF(包装物料出入库明细!$E1954="","",包装物料出入库明细!$G1954)</f>
        <v/>
      </c>
      <c r="K1954" t="str">
        <f>IF(包装物料出入库明细!$D1954="","",包装物料出入库明细!$D1954)</f>
        <v/>
      </c>
      <c r="L1954">
        <f t="shared" si="615"/>
        <v>0</v>
      </c>
      <c r="M1954">
        <f t="shared" si="616"/>
        <v>9</v>
      </c>
      <c r="Q1954" t="str">
        <f>IF(周转筐出入库明细!$D1955="","",周转筐出入库明细!$D1955)</f>
        <v/>
      </c>
      <c r="R1954">
        <f t="shared" si="617"/>
        <v>0</v>
      </c>
      <c r="S1954">
        <f t="shared" si="618"/>
        <v>5</v>
      </c>
      <c r="W1954" t="str">
        <f>IF(周转筐出入库明细!$C1955="","",周转筐出入库明细!$C1955)</f>
        <v/>
      </c>
      <c r="X1954">
        <f t="shared" si="619"/>
        <v>0</v>
      </c>
      <c r="Y1954">
        <f t="shared" si="620"/>
        <v>12</v>
      </c>
      <c r="CP1954">
        <f>IF(包装物料出入库明细!$D1954="",0,1)</f>
        <v>0</v>
      </c>
      <c r="CQ1954">
        <f t="shared" si="621"/>
        <v>37</v>
      </c>
      <c r="CS1954" t="str">
        <f>IF(OR(周转筐出入库明细!$C1955="",周转筐出入库明细!$F1955&lt;&gt;"采购入库"),"",周转筐出入库明细!$C1955)</f>
        <v/>
      </c>
      <c r="CT1954">
        <f t="shared" si="622"/>
        <v>0</v>
      </c>
      <c r="CU1954">
        <f t="shared" si="623"/>
        <v>1</v>
      </c>
    </row>
    <row r="1955" spans="1:99">
      <c r="A1955" t="str">
        <f>IF(包装物料出入库明细!$E1955="","",包装物料出入库明细!$E1955)</f>
        <v/>
      </c>
      <c r="B1955">
        <f t="shared" si="613"/>
        <v>0</v>
      </c>
      <c r="C1955">
        <f t="shared" si="614"/>
        <v>7</v>
      </c>
      <c r="D1955" t="str">
        <f>IF(包装物料出入库明细!$E1955="","",包装物料出入库明细!$F1955)</f>
        <v/>
      </c>
      <c r="E1955" t="str">
        <f>IF(包装物料出入库明细!$E1955="","",包装物料出入库明细!$G1955)</f>
        <v/>
      </c>
      <c r="K1955" t="str">
        <f>IF(包装物料出入库明细!$D1955="","",包装物料出入库明细!$D1955)</f>
        <v/>
      </c>
      <c r="L1955">
        <f t="shared" si="615"/>
        <v>0</v>
      </c>
      <c r="M1955">
        <f t="shared" si="616"/>
        <v>9</v>
      </c>
      <c r="Q1955" t="str">
        <f>IF(周转筐出入库明细!$D1956="","",周转筐出入库明细!$D1956)</f>
        <v/>
      </c>
      <c r="R1955">
        <f t="shared" si="617"/>
        <v>0</v>
      </c>
      <c r="S1955">
        <f t="shared" si="618"/>
        <v>5</v>
      </c>
      <c r="W1955" t="str">
        <f>IF(周转筐出入库明细!$C1956="","",周转筐出入库明细!$C1956)</f>
        <v/>
      </c>
      <c r="X1955">
        <f t="shared" si="619"/>
        <v>0</v>
      </c>
      <c r="Y1955">
        <f t="shared" si="620"/>
        <v>12</v>
      </c>
      <c r="CP1955">
        <f>IF(包装物料出入库明细!$D1955="",0,1)</f>
        <v>0</v>
      </c>
      <c r="CQ1955">
        <f t="shared" si="621"/>
        <v>37</v>
      </c>
      <c r="CS1955" t="str">
        <f>IF(OR(周转筐出入库明细!$C1956="",周转筐出入库明细!$F1956&lt;&gt;"采购入库"),"",周转筐出入库明细!$C1956)</f>
        <v/>
      </c>
      <c r="CT1955">
        <f t="shared" si="622"/>
        <v>0</v>
      </c>
      <c r="CU1955">
        <f t="shared" si="623"/>
        <v>1</v>
      </c>
    </row>
    <row r="1956" spans="1:99">
      <c r="A1956" t="str">
        <f>IF(包装物料出入库明细!$E1956="","",包装物料出入库明细!$E1956)</f>
        <v/>
      </c>
      <c r="B1956">
        <f t="shared" si="613"/>
        <v>0</v>
      </c>
      <c r="C1956">
        <f t="shared" si="614"/>
        <v>7</v>
      </c>
      <c r="D1956" t="str">
        <f>IF(包装物料出入库明细!$E1956="","",包装物料出入库明细!$F1956)</f>
        <v/>
      </c>
      <c r="E1956" t="str">
        <f>IF(包装物料出入库明细!$E1956="","",包装物料出入库明细!$G1956)</f>
        <v/>
      </c>
      <c r="K1956" t="str">
        <f>IF(包装物料出入库明细!$D1956="","",包装物料出入库明细!$D1956)</f>
        <v/>
      </c>
      <c r="L1956">
        <f t="shared" si="615"/>
        <v>0</v>
      </c>
      <c r="M1956">
        <f t="shared" si="616"/>
        <v>9</v>
      </c>
      <c r="Q1956" t="str">
        <f>IF(周转筐出入库明细!$D1957="","",周转筐出入库明细!$D1957)</f>
        <v/>
      </c>
      <c r="R1956">
        <f t="shared" si="617"/>
        <v>0</v>
      </c>
      <c r="S1956">
        <f t="shared" si="618"/>
        <v>5</v>
      </c>
      <c r="W1956" t="str">
        <f>IF(周转筐出入库明细!$C1957="","",周转筐出入库明细!$C1957)</f>
        <v/>
      </c>
      <c r="X1956">
        <f t="shared" si="619"/>
        <v>0</v>
      </c>
      <c r="Y1956">
        <f t="shared" si="620"/>
        <v>12</v>
      </c>
      <c r="CP1956">
        <f>IF(包装物料出入库明细!$D1956="",0,1)</f>
        <v>0</v>
      </c>
      <c r="CQ1956">
        <f t="shared" si="621"/>
        <v>37</v>
      </c>
      <c r="CS1956" t="str">
        <f>IF(OR(周转筐出入库明细!$C1957="",周转筐出入库明细!$F1957&lt;&gt;"采购入库"),"",周转筐出入库明细!$C1957)</f>
        <v/>
      </c>
      <c r="CT1956">
        <f t="shared" si="622"/>
        <v>0</v>
      </c>
      <c r="CU1956">
        <f t="shared" si="623"/>
        <v>1</v>
      </c>
    </row>
    <row r="1957" spans="1:99">
      <c r="A1957" t="str">
        <f>IF(包装物料出入库明细!$E1957="","",包装物料出入库明细!$E1957)</f>
        <v/>
      </c>
      <c r="B1957">
        <f t="shared" si="613"/>
        <v>0</v>
      </c>
      <c r="C1957">
        <f t="shared" si="614"/>
        <v>7</v>
      </c>
      <c r="D1957" t="str">
        <f>IF(包装物料出入库明细!$E1957="","",包装物料出入库明细!$F1957)</f>
        <v/>
      </c>
      <c r="E1957" t="str">
        <f>IF(包装物料出入库明细!$E1957="","",包装物料出入库明细!$G1957)</f>
        <v/>
      </c>
      <c r="K1957" t="str">
        <f>IF(包装物料出入库明细!$D1957="","",包装物料出入库明细!$D1957)</f>
        <v/>
      </c>
      <c r="L1957">
        <f t="shared" si="615"/>
        <v>0</v>
      </c>
      <c r="M1957">
        <f t="shared" si="616"/>
        <v>9</v>
      </c>
      <c r="Q1957" t="str">
        <f>IF(周转筐出入库明细!$D1958="","",周转筐出入库明细!$D1958)</f>
        <v/>
      </c>
      <c r="R1957">
        <f t="shared" si="617"/>
        <v>0</v>
      </c>
      <c r="S1957">
        <f t="shared" si="618"/>
        <v>5</v>
      </c>
      <c r="W1957" t="str">
        <f>IF(周转筐出入库明细!$C1958="","",周转筐出入库明细!$C1958)</f>
        <v/>
      </c>
      <c r="X1957">
        <f t="shared" si="619"/>
        <v>0</v>
      </c>
      <c r="Y1957">
        <f t="shared" si="620"/>
        <v>12</v>
      </c>
      <c r="CP1957">
        <f>IF(包装物料出入库明细!$D1957="",0,1)</f>
        <v>0</v>
      </c>
      <c r="CQ1957">
        <f t="shared" si="621"/>
        <v>37</v>
      </c>
      <c r="CS1957" t="str">
        <f>IF(OR(周转筐出入库明细!$C1958="",周转筐出入库明细!$F1958&lt;&gt;"采购入库"),"",周转筐出入库明细!$C1958)</f>
        <v/>
      </c>
      <c r="CT1957">
        <f t="shared" si="622"/>
        <v>0</v>
      </c>
      <c r="CU1957">
        <f t="shared" si="623"/>
        <v>1</v>
      </c>
    </row>
    <row r="1958" spans="1:99">
      <c r="A1958" t="str">
        <f>IF(包装物料出入库明细!$E1958="","",包装物料出入库明细!$E1958)</f>
        <v/>
      </c>
      <c r="B1958">
        <f t="shared" si="613"/>
        <v>0</v>
      </c>
      <c r="C1958">
        <f t="shared" si="614"/>
        <v>7</v>
      </c>
      <c r="D1958" t="str">
        <f>IF(包装物料出入库明细!$E1958="","",包装物料出入库明细!$F1958)</f>
        <v/>
      </c>
      <c r="E1958" t="str">
        <f>IF(包装物料出入库明细!$E1958="","",包装物料出入库明细!$G1958)</f>
        <v/>
      </c>
      <c r="K1958" t="str">
        <f>IF(包装物料出入库明细!$D1958="","",包装物料出入库明细!$D1958)</f>
        <v/>
      </c>
      <c r="L1958">
        <f t="shared" si="615"/>
        <v>0</v>
      </c>
      <c r="M1958">
        <f t="shared" si="616"/>
        <v>9</v>
      </c>
      <c r="Q1958" t="str">
        <f>IF(周转筐出入库明细!$D1959="","",周转筐出入库明细!$D1959)</f>
        <v/>
      </c>
      <c r="R1958">
        <f t="shared" si="617"/>
        <v>0</v>
      </c>
      <c r="S1958">
        <f t="shared" si="618"/>
        <v>5</v>
      </c>
      <c r="W1958" t="str">
        <f>IF(周转筐出入库明细!$C1959="","",周转筐出入库明细!$C1959)</f>
        <v/>
      </c>
      <c r="X1958">
        <f t="shared" si="619"/>
        <v>0</v>
      </c>
      <c r="Y1958">
        <f t="shared" si="620"/>
        <v>12</v>
      </c>
      <c r="CP1958">
        <f>IF(包装物料出入库明细!$D1958="",0,1)</f>
        <v>0</v>
      </c>
      <c r="CQ1958">
        <f t="shared" si="621"/>
        <v>37</v>
      </c>
      <c r="CS1958" t="str">
        <f>IF(OR(周转筐出入库明细!$C1959="",周转筐出入库明细!$F1959&lt;&gt;"采购入库"),"",周转筐出入库明细!$C1959)</f>
        <v/>
      </c>
      <c r="CT1958">
        <f t="shared" si="622"/>
        <v>0</v>
      </c>
      <c r="CU1958">
        <f t="shared" si="623"/>
        <v>1</v>
      </c>
    </row>
    <row r="1959" spans="1:99">
      <c r="A1959" t="str">
        <f>IF(包装物料出入库明细!$E1959="","",包装物料出入库明细!$E1959)</f>
        <v/>
      </c>
      <c r="B1959">
        <f t="shared" si="613"/>
        <v>0</v>
      </c>
      <c r="C1959">
        <f t="shared" si="614"/>
        <v>7</v>
      </c>
      <c r="D1959" t="str">
        <f>IF(包装物料出入库明细!$E1959="","",包装物料出入库明细!$F1959)</f>
        <v/>
      </c>
      <c r="E1959" t="str">
        <f>IF(包装物料出入库明细!$E1959="","",包装物料出入库明细!$G1959)</f>
        <v/>
      </c>
      <c r="K1959" t="str">
        <f>IF(包装物料出入库明细!$D1959="","",包装物料出入库明细!$D1959)</f>
        <v/>
      </c>
      <c r="L1959">
        <f t="shared" si="615"/>
        <v>0</v>
      </c>
      <c r="M1959">
        <f t="shared" si="616"/>
        <v>9</v>
      </c>
      <c r="Q1959" t="str">
        <f>IF(周转筐出入库明细!$D1960="","",周转筐出入库明细!$D1960)</f>
        <v/>
      </c>
      <c r="R1959">
        <f t="shared" si="617"/>
        <v>0</v>
      </c>
      <c r="S1959">
        <f t="shared" si="618"/>
        <v>5</v>
      </c>
      <c r="W1959" t="str">
        <f>IF(周转筐出入库明细!$C1960="","",周转筐出入库明细!$C1960)</f>
        <v/>
      </c>
      <c r="X1959">
        <f t="shared" si="619"/>
        <v>0</v>
      </c>
      <c r="Y1959">
        <f t="shared" si="620"/>
        <v>12</v>
      </c>
      <c r="CP1959">
        <f>IF(包装物料出入库明细!$D1959="",0,1)</f>
        <v>0</v>
      </c>
      <c r="CQ1959">
        <f t="shared" si="621"/>
        <v>37</v>
      </c>
      <c r="CS1959" t="str">
        <f>IF(OR(周转筐出入库明细!$C1960="",周转筐出入库明细!$F1960&lt;&gt;"采购入库"),"",周转筐出入库明细!$C1960)</f>
        <v/>
      </c>
      <c r="CT1959">
        <f t="shared" si="622"/>
        <v>0</v>
      </c>
      <c r="CU1959">
        <f t="shared" si="623"/>
        <v>1</v>
      </c>
    </row>
    <row r="1960" spans="1:99">
      <c r="A1960" t="str">
        <f>IF(包装物料出入库明细!$E1960="","",包装物料出入库明细!$E1960)</f>
        <v/>
      </c>
      <c r="B1960">
        <f t="shared" si="613"/>
        <v>0</v>
      </c>
      <c r="C1960">
        <f t="shared" si="614"/>
        <v>7</v>
      </c>
      <c r="D1960" t="str">
        <f>IF(包装物料出入库明细!$E1960="","",包装物料出入库明细!$F1960)</f>
        <v/>
      </c>
      <c r="E1960" t="str">
        <f>IF(包装物料出入库明细!$E1960="","",包装物料出入库明细!$G1960)</f>
        <v/>
      </c>
      <c r="K1960" t="str">
        <f>IF(包装物料出入库明细!$D1960="","",包装物料出入库明细!$D1960)</f>
        <v/>
      </c>
      <c r="L1960">
        <f t="shared" si="615"/>
        <v>0</v>
      </c>
      <c r="M1960">
        <f t="shared" si="616"/>
        <v>9</v>
      </c>
      <c r="Q1960" t="str">
        <f>IF(周转筐出入库明细!$D1961="","",周转筐出入库明细!$D1961)</f>
        <v/>
      </c>
      <c r="R1960">
        <f t="shared" si="617"/>
        <v>0</v>
      </c>
      <c r="S1960">
        <f t="shared" si="618"/>
        <v>5</v>
      </c>
      <c r="W1960" t="str">
        <f>IF(周转筐出入库明细!$C1961="","",周转筐出入库明细!$C1961)</f>
        <v/>
      </c>
      <c r="X1960">
        <f t="shared" si="619"/>
        <v>0</v>
      </c>
      <c r="Y1960">
        <f t="shared" si="620"/>
        <v>12</v>
      </c>
      <c r="CP1960">
        <f>IF(包装物料出入库明细!$D1960="",0,1)</f>
        <v>0</v>
      </c>
      <c r="CQ1960">
        <f t="shared" si="621"/>
        <v>37</v>
      </c>
      <c r="CS1960" t="str">
        <f>IF(OR(周转筐出入库明细!$C1961="",周转筐出入库明细!$F1961&lt;&gt;"采购入库"),"",周转筐出入库明细!$C1961)</f>
        <v/>
      </c>
      <c r="CT1960">
        <f t="shared" si="622"/>
        <v>0</v>
      </c>
      <c r="CU1960">
        <f t="shared" si="623"/>
        <v>1</v>
      </c>
    </row>
    <row r="1961" spans="1:99">
      <c r="A1961" t="str">
        <f>IF(包装物料出入库明细!$E1961="","",包装物料出入库明细!$E1961)</f>
        <v/>
      </c>
      <c r="B1961">
        <f t="shared" si="613"/>
        <v>0</v>
      </c>
      <c r="C1961">
        <f t="shared" si="614"/>
        <v>7</v>
      </c>
      <c r="D1961" t="str">
        <f>IF(包装物料出入库明细!$E1961="","",包装物料出入库明细!$F1961)</f>
        <v/>
      </c>
      <c r="E1961" t="str">
        <f>IF(包装物料出入库明细!$E1961="","",包装物料出入库明细!$G1961)</f>
        <v/>
      </c>
      <c r="K1961" t="str">
        <f>IF(包装物料出入库明细!$D1961="","",包装物料出入库明细!$D1961)</f>
        <v/>
      </c>
      <c r="L1961">
        <f t="shared" si="615"/>
        <v>0</v>
      </c>
      <c r="M1961">
        <f t="shared" si="616"/>
        <v>9</v>
      </c>
      <c r="Q1961" t="str">
        <f>IF(周转筐出入库明细!$D1962="","",周转筐出入库明细!$D1962)</f>
        <v/>
      </c>
      <c r="R1961">
        <f t="shared" si="617"/>
        <v>0</v>
      </c>
      <c r="S1961">
        <f t="shared" si="618"/>
        <v>5</v>
      </c>
      <c r="W1961" t="str">
        <f>IF(周转筐出入库明细!$C1962="","",周转筐出入库明细!$C1962)</f>
        <v/>
      </c>
      <c r="X1961">
        <f t="shared" si="619"/>
        <v>0</v>
      </c>
      <c r="Y1961">
        <f t="shared" si="620"/>
        <v>12</v>
      </c>
      <c r="CP1961">
        <f>IF(包装物料出入库明细!$D1961="",0,1)</f>
        <v>0</v>
      </c>
      <c r="CQ1961">
        <f t="shared" si="621"/>
        <v>37</v>
      </c>
      <c r="CS1961" t="str">
        <f>IF(OR(周转筐出入库明细!$C1962="",周转筐出入库明细!$F1962&lt;&gt;"采购入库"),"",周转筐出入库明细!$C1962)</f>
        <v/>
      </c>
      <c r="CT1961">
        <f t="shared" si="622"/>
        <v>0</v>
      </c>
      <c r="CU1961">
        <f t="shared" si="623"/>
        <v>1</v>
      </c>
    </row>
    <row r="1962" spans="1:99">
      <c r="A1962" t="str">
        <f>IF(包装物料出入库明细!$E1962="","",包装物料出入库明细!$E1962)</f>
        <v/>
      </c>
      <c r="B1962">
        <f t="shared" si="613"/>
        <v>0</v>
      </c>
      <c r="C1962">
        <f t="shared" si="614"/>
        <v>7</v>
      </c>
      <c r="D1962" t="str">
        <f>IF(包装物料出入库明细!$E1962="","",包装物料出入库明细!$F1962)</f>
        <v/>
      </c>
      <c r="E1962" t="str">
        <f>IF(包装物料出入库明细!$E1962="","",包装物料出入库明细!$G1962)</f>
        <v/>
      </c>
      <c r="K1962" t="str">
        <f>IF(包装物料出入库明细!$D1962="","",包装物料出入库明细!$D1962)</f>
        <v/>
      </c>
      <c r="L1962">
        <f t="shared" si="615"/>
        <v>0</v>
      </c>
      <c r="M1962">
        <f t="shared" si="616"/>
        <v>9</v>
      </c>
      <c r="Q1962" t="str">
        <f>IF(周转筐出入库明细!$D1963="","",周转筐出入库明细!$D1963)</f>
        <v/>
      </c>
      <c r="R1962">
        <f t="shared" si="617"/>
        <v>0</v>
      </c>
      <c r="S1962">
        <f t="shared" si="618"/>
        <v>5</v>
      </c>
      <c r="W1962" t="str">
        <f>IF(周转筐出入库明细!$C1963="","",周转筐出入库明细!$C1963)</f>
        <v/>
      </c>
      <c r="X1962">
        <f t="shared" si="619"/>
        <v>0</v>
      </c>
      <c r="Y1962">
        <f t="shared" si="620"/>
        <v>12</v>
      </c>
      <c r="CP1962">
        <f>IF(包装物料出入库明细!$D1962="",0,1)</f>
        <v>0</v>
      </c>
      <c r="CQ1962">
        <f t="shared" si="621"/>
        <v>37</v>
      </c>
      <c r="CS1962" t="str">
        <f>IF(OR(周转筐出入库明细!$C1963="",周转筐出入库明细!$F1963&lt;&gt;"采购入库"),"",周转筐出入库明细!$C1963)</f>
        <v/>
      </c>
      <c r="CT1962">
        <f t="shared" si="622"/>
        <v>0</v>
      </c>
      <c r="CU1962">
        <f t="shared" si="623"/>
        <v>1</v>
      </c>
    </row>
    <row r="1963" spans="1:99">
      <c r="A1963" t="str">
        <f>IF(包装物料出入库明细!$E1963="","",包装物料出入库明细!$E1963)</f>
        <v/>
      </c>
      <c r="B1963">
        <f t="shared" si="613"/>
        <v>0</v>
      </c>
      <c r="C1963">
        <f t="shared" si="614"/>
        <v>7</v>
      </c>
      <c r="D1963" t="str">
        <f>IF(包装物料出入库明细!$E1963="","",包装物料出入库明细!$F1963)</f>
        <v/>
      </c>
      <c r="E1963" t="str">
        <f>IF(包装物料出入库明细!$E1963="","",包装物料出入库明细!$G1963)</f>
        <v/>
      </c>
      <c r="K1963" t="str">
        <f>IF(包装物料出入库明细!$D1963="","",包装物料出入库明细!$D1963)</f>
        <v/>
      </c>
      <c r="L1963">
        <f t="shared" si="615"/>
        <v>0</v>
      </c>
      <c r="M1963">
        <f t="shared" si="616"/>
        <v>9</v>
      </c>
      <c r="Q1963" t="str">
        <f>IF(周转筐出入库明细!$D1964="","",周转筐出入库明细!$D1964)</f>
        <v/>
      </c>
      <c r="R1963">
        <f t="shared" si="617"/>
        <v>0</v>
      </c>
      <c r="S1963">
        <f t="shared" si="618"/>
        <v>5</v>
      </c>
      <c r="W1963" t="str">
        <f>IF(周转筐出入库明细!$C1964="","",周转筐出入库明细!$C1964)</f>
        <v/>
      </c>
      <c r="X1963">
        <f t="shared" si="619"/>
        <v>0</v>
      </c>
      <c r="Y1963">
        <f t="shared" si="620"/>
        <v>12</v>
      </c>
      <c r="CP1963">
        <f>IF(包装物料出入库明细!$D1963="",0,1)</f>
        <v>0</v>
      </c>
      <c r="CQ1963">
        <f t="shared" si="621"/>
        <v>37</v>
      </c>
      <c r="CS1963" t="str">
        <f>IF(OR(周转筐出入库明细!$C1964="",周转筐出入库明细!$F1964&lt;&gt;"采购入库"),"",周转筐出入库明细!$C1964)</f>
        <v/>
      </c>
      <c r="CT1963">
        <f t="shared" si="622"/>
        <v>0</v>
      </c>
      <c r="CU1963">
        <f t="shared" si="623"/>
        <v>1</v>
      </c>
    </row>
    <row r="1964" spans="1:99">
      <c r="A1964" t="str">
        <f>IF(包装物料出入库明细!$E1964="","",包装物料出入库明细!$E1964)</f>
        <v/>
      </c>
      <c r="B1964">
        <f t="shared" si="613"/>
        <v>0</v>
      </c>
      <c r="C1964">
        <f t="shared" si="614"/>
        <v>7</v>
      </c>
      <c r="D1964" t="str">
        <f>IF(包装物料出入库明细!$E1964="","",包装物料出入库明细!$F1964)</f>
        <v/>
      </c>
      <c r="E1964" t="str">
        <f>IF(包装物料出入库明细!$E1964="","",包装物料出入库明细!$G1964)</f>
        <v/>
      </c>
      <c r="K1964" t="str">
        <f>IF(包装物料出入库明细!$D1964="","",包装物料出入库明细!$D1964)</f>
        <v/>
      </c>
      <c r="L1964">
        <f t="shared" si="615"/>
        <v>0</v>
      </c>
      <c r="M1964">
        <f t="shared" si="616"/>
        <v>9</v>
      </c>
      <c r="Q1964" t="str">
        <f>IF(周转筐出入库明细!$D1965="","",周转筐出入库明细!$D1965)</f>
        <v/>
      </c>
      <c r="R1964">
        <f t="shared" si="617"/>
        <v>0</v>
      </c>
      <c r="S1964">
        <f t="shared" si="618"/>
        <v>5</v>
      </c>
      <c r="W1964" t="str">
        <f>IF(周转筐出入库明细!$C1965="","",周转筐出入库明细!$C1965)</f>
        <v/>
      </c>
      <c r="X1964">
        <f t="shared" si="619"/>
        <v>0</v>
      </c>
      <c r="Y1964">
        <f t="shared" si="620"/>
        <v>12</v>
      </c>
      <c r="CP1964">
        <f>IF(包装物料出入库明细!$D1964="",0,1)</f>
        <v>0</v>
      </c>
      <c r="CQ1964">
        <f t="shared" si="621"/>
        <v>37</v>
      </c>
      <c r="CS1964" t="str">
        <f>IF(OR(周转筐出入库明细!$C1965="",周转筐出入库明细!$F1965&lt;&gt;"采购入库"),"",周转筐出入库明细!$C1965)</f>
        <v/>
      </c>
      <c r="CT1964">
        <f t="shared" si="622"/>
        <v>0</v>
      </c>
      <c r="CU1964">
        <f t="shared" si="623"/>
        <v>1</v>
      </c>
    </row>
    <row r="1965" spans="1:99">
      <c r="A1965" t="str">
        <f>IF(包装物料出入库明细!$E1965="","",包装物料出入库明细!$E1965)</f>
        <v/>
      </c>
      <c r="B1965">
        <f t="shared" si="613"/>
        <v>0</v>
      </c>
      <c r="C1965">
        <f t="shared" si="614"/>
        <v>7</v>
      </c>
      <c r="D1965" t="str">
        <f>IF(包装物料出入库明细!$E1965="","",包装物料出入库明细!$F1965)</f>
        <v/>
      </c>
      <c r="E1965" t="str">
        <f>IF(包装物料出入库明细!$E1965="","",包装物料出入库明细!$G1965)</f>
        <v/>
      </c>
      <c r="K1965" t="str">
        <f>IF(包装物料出入库明细!$D1965="","",包装物料出入库明细!$D1965)</f>
        <v/>
      </c>
      <c r="L1965">
        <f t="shared" si="615"/>
        <v>0</v>
      </c>
      <c r="M1965">
        <f t="shared" si="616"/>
        <v>9</v>
      </c>
      <c r="Q1965" t="str">
        <f>IF(周转筐出入库明细!$D1966="","",周转筐出入库明细!$D1966)</f>
        <v/>
      </c>
      <c r="R1965">
        <f t="shared" si="617"/>
        <v>0</v>
      </c>
      <c r="S1965">
        <f t="shared" si="618"/>
        <v>5</v>
      </c>
      <c r="W1965" t="str">
        <f>IF(周转筐出入库明细!$C1966="","",周转筐出入库明细!$C1966)</f>
        <v/>
      </c>
      <c r="X1965">
        <f t="shared" si="619"/>
        <v>0</v>
      </c>
      <c r="Y1965">
        <f t="shared" si="620"/>
        <v>12</v>
      </c>
      <c r="CP1965">
        <f>IF(包装物料出入库明细!$D1965="",0,1)</f>
        <v>0</v>
      </c>
      <c r="CQ1965">
        <f t="shared" si="621"/>
        <v>37</v>
      </c>
      <c r="CS1965" t="str">
        <f>IF(OR(周转筐出入库明细!$C1966="",周转筐出入库明细!$F1966&lt;&gt;"采购入库"),"",周转筐出入库明细!$C1966)</f>
        <v/>
      </c>
      <c r="CT1965">
        <f t="shared" si="622"/>
        <v>0</v>
      </c>
      <c r="CU1965">
        <f t="shared" si="623"/>
        <v>1</v>
      </c>
    </row>
    <row r="1966" spans="1:99">
      <c r="A1966" t="str">
        <f>IF(包装物料出入库明细!$E1966="","",包装物料出入库明细!$E1966)</f>
        <v/>
      </c>
      <c r="B1966">
        <f t="shared" si="613"/>
        <v>0</v>
      </c>
      <c r="C1966">
        <f t="shared" si="614"/>
        <v>7</v>
      </c>
      <c r="D1966" t="str">
        <f>IF(包装物料出入库明细!$E1966="","",包装物料出入库明细!$F1966)</f>
        <v/>
      </c>
      <c r="E1966" t="str">
        <f>IF(包装物料出入库明细!$E1966="","",包装物料出入库明细!$G1966)</f>
        <v/>
      </c>
      <c r="K1966" t="str">
        <f>IF(包装物料出入库明细!$D1966="","",包装物料出入库明细!$D1966)</f>
        <v/>
      </c>
      <c r="L1966">
        <f t="shared" si="615"/>
        <v>0</v>
      </c>
      <c r="M1966">
        <f t="shared" si="616"/>
        <v>9</v>
      </c>
      <c r="Q1966" t="str">
        <f>IF(周转筐出入库明细!$D1967="","",周转筐出入库明细!$D1967)</f>
        <v/>
      </c>
      <c r="R1966">
        <f t="shared" si="617"/>
        <v>0</v>
      </c>
      <c r="S1966">
        <f t="shared" si="618"/>
        <v>5</v>
      </c>
      <c r="W1966" t="str">
        <f>IF(周转筐出入库明细!$C1967="","",周转筐出入库明细!$C1967)</f>
        <v/>
      </c>
      <c r="X1966">
        <f t="shared" si="619"/>
        <v>0</v>
      </c>
      <c r="Y1966">
        <f t="shared" si="620"/>
        <v>12</v>
      </c>
      <c r="CP1966">
        <f>IF(包装物料出入库明细!$D1966="",0,1)</f>
        <v>0</v>
      </c>
      <c r="CQ1966">
        <f t="shared" si="621"/>
        <v>37</v>
      </c>
      <c r="CS1966" t="str">
        <f>IF(OR(周转筐出入库明细!$C1967="",周转筐出入库明细!$F1967&lt;&gt;"采购入库"),"",周转筐出入库明细!$C1967)</f>
        <v/>
      </c>
      <c r="CT1966">
        <f t="shared" si="622"/>
        <v>0</v>
      </c>
      <c r="CU1966">
        <f t="shared" si="623"/>
        <v>1</v>
      </c>
    </row>
    <row r="1967" spans="1:99">
      <c r="A1967" t="str">
        <f>IF(包装物料出入库明细!$E1967="","",包装物料出入库明细!$E1967)</f>
        <v/>
      </c>
      <c r="B1967">
        <f t="shared" si="613"/>
        <v>0</v>
      </c>
      <c r="C1967">
        <f t="shared" si="614"/>
        <v>7</v>
      </c>
      <c r="D1967" t="str">
        <f>IF(包装物料出入库明细!$E1967="","",包装物料出入库明细!$F1967)</f>
        <v/>
      </c>
      <c r="E1967" t="str">
        <f>IF(包装物料出入库明细!$E1967="","",包装物料出入库明细!$G1967)</f>
        <v/>
      </c>
      <c r="K1967" t="str">
        <f>IF(包装物料出入库明细!$D1967="","",包装物料出入库明细!$D1967)</f>
        <v/>
      </c>
      <c r="L1967">
        <f t="shared" si="615"/>
        <v>0</v>
      </c>
      <c r="M1967">
        <f t="shared" si="616"/>
        <v>9</v>
      </c>
      <c r="Q1967" t="str">
        <f>IF(周转筐出入库明细!$D1968="","",周转筐出入库明细!$D1968)</f>
        <v/>
      </c>
      <c r="R1967">
        <f t="shared" si="617"/>
        <v>0</v>
      </c>
      <c r="S1967">
        <f t="shared" si="618"/>
        <v>5</v>
      </c>
      <c r="W1967" t="str">
        <f>IF(周转筐出入库明细!$C1968="","",周转筐出入库明细!$C1968)</f>
        <v/>
      </c>
      <c r="X1967">
        <f t="shared" si="619"/>
        <v>0</v>
      </c>
      <c r="Y1967">
        <f t="shared" si="620"/>
        <v>12</v>
      </c>
      <c r="CP1967">
        <f>IF(包装物料出入库明细!$D1967="",0,1)</f>
        <v>0</v>
      </c>
      <c r="CQ1967">
        <f t="shared" si="621"/>
        <v>37</v>
      </c>
      <c r="CS1967" t="str">
        <f>IF(OR(周转筐出入库明细!$C1968="",周转筐出入库明细!$F1968&lt;&gt;"采购入库"),"",周转筐出入库明细!$C1968)</f>
        <v/>
      </c>
      <c r="CT1967">
        <f t="shared" si="622"/>
        <v>0</v>
      </c>
      <c r="CU1967">
        <f t="shared" si="623"/>
        <v>1</v>
      </c>
    </row>
    <row r="1968" spans="1:99">
      <c r="A1968" t="str">
        <f>IF(包装物料出入库明细!$E1968="","",包装物料出入库明细!$E1968)</f>
        <v/>
      </c>
      <c r="B1968">
        <f t="shared" si="613"/>
        <v>0</v>
      </c>
      <c r="C1968">
        <f t="shared" si="614"/>
        <v>7</v>
      </c>
      <c r="D1968" t="str">
        <f>IF(包装物料出入库明细!$E1968="","",包装物料出入库明细!$F1968)</f>
        <v/>
      </c>
      <c r="E1968" t="str">
        <f>IF(包装物料出入库明细!$E1968="","",包装物料出入库明细!$G1968)</f>
        <v/>
      </c>
      <c r="K1968" t="str">
        <f>IF(包装物料出入库明细!$D1968="","",包装物料出入库明细!$D1968)</f>
        <v/>
      </c>
      <c r="L1968">
        <f t="shared" si="615"/>
        <v>0</v>
      </c>
      <c r="M1968">
        <f t="shared" si="616"/>
        <v>9</v>
      </c>
      <c r="Q1968" t="str">
        <f>IF(周转筐出入库明细!$D1969="","",周转筐出入库明细!$D1969)</f>
        <v/>
      </c>
      <c r="R1968">
        <f t="shared" si="617"/>
        <v>0</v>
      </c>
      <c r="S1968">
        <f t="shared" si="618"/>
        <v>5</v>
      </c>
      <c r="W1968" t="str">
        <f>IF(周转筐出入库明细!$C1969="","",周转筐出入库明细!$C1969)</f>
        <v/>
      </c>
      <c r="X1968">
        <f t="shared" si="619"/>
        <v>0</v>
      </c>
      <c r="Y1968">
        <f t="shared" si="620"/>
        <v>12</v>
      </c>
      <c r="CP1968">
        <f>IF(包装物料出入库明细!$D1968="",0,1)</f>
        <v>0</v>
      </c>
      <c r="CQ1968">
        <f t="shared" si="621"/>
        <v>37</v>
      </c>
      <c r="CS1968" t="str">
        <f>IF(OR(周转筐出入库明细!$C1969="",周转筐出入库明细!$F1969&lt;&gt;"采购入库"),"",周转筐出入库明细!$C1969)</f>
        <v/>
      </c>
      <c r="CT1968">
        <f t="shared" si="622"/>
        <v>0</v>
      </c>
      <c r="CU1968">
        <f t="shared" si="623"/>
        <v>1</v>
      </c>
    </row>
    <row r="1969" spans="1:99">
      <c r="A1969" t="str">
        <f>IF(包装物料出入库明细!$E1969="","",包装物料出入库明细!$E1969)</f>
        <v/>
      </c>
      <c r="B1969">
        <f t="shared" si="613"/>
        <v>0</v>
      </c>
      <c r="C1969">
        <f t="shared" si="614"/>
        <v>7</v>
      </c>
      <c r="D1969" t="str">
        <f>IF(包装物料出入库明细!$E1969="","",包装物料出入库明细!$F1969)</f>
        <v/>
      </c>
      <c r="E1969" t="str">
        <f>IF(包装物料出入库明细!$E1969="","",包装物料出入库明细!$G1969)</f>
        <v/>
      </c>
      <c r="K1969" t="str">
        <f>IF(包装物料出入库明细!$D1969="","",包装物料出入库明细!$D1969)</f>
        <v/>
      </c>
      <c r="L1969">
        <f t="shared" si="615"/>
        <v>0</v>
      </c>
      <c r="M1969">
        <f t="shared" si="616"/>
        <v>9</v>
      </c>
      <c r="Q1969" t="str">
        <f>IF(周转筐出入库明细!$D1970="","",周转筐出入库明细!$D1970)</f>
        <v/>
      </c>
      <c r="R1969">
        <f t="shared" si="617"/>
        <v>0</v>
      </c>
      <c r="S1969">
        <f t="shared" si="618"/>
        <v>5</v>
      </c>
      <c r="W1969" t="str">
        <f>IF(周转筐出入库明细!$C1970="","",周转筐出入库明细!$C1970)</f>
        <v/>
      </c>
      <c r="X1969">
        <f t="shared" si="619"/>
        <v>0</v>
      </c>
      <c r="Y1969">
        <f t="shared" si="620"/>
        <v>12</v>
      </c>
      <c r="CP1969">
        <f>IF(包装物料出入库明细!$D1969="",0,1)</f>
        <v>0</v>
      </c>
      <c r="CQ1969">
        <f t="shared" si="621"/>
        <v>37</v>
      </c>
      <c r="CS1969" t="str">
        <f>IF(OR(周转筐出入库明细!$C1970="",周转筐出入库明细!$F1970&lt;&gt;"采购入库"),"",周转筐出入库明细!$C1970)</f>
        <v/>
      </c>
      <c r="CT1969">
        <f t="shared" si="622"/>
        <v>0</v>
      </c>
      <c r="CU1969">
        <f t="shared" si="623"/>
        <v>1</v>
      </c>
    </row>
    <row r="1970" spans="1:99">
      <c r="A1970" t="str">
        <f>IF(包装物料出入库明细!$E1970="","",包装物料出入库明细!$E1970)</f>
        <v/>
      </c>
      <c r="B1970">
        <f t="shared" si="613"/>
        <v>0</v>
      </c>
      <c r="C1970">
        <f t="shared" si="614"/>
        <v>7</v>
      </c>
      <c r="D1970" t="str">
        <f>IF(包装物料出入库明细!$E1970="","",包装物料出入库明细!$F1970)</f>
        <v/>
      </c>
      <c r="E1970" t="str">
        <f>IF(包装物料出入库明细!$E1970="","",包装物料出入库明细!$G1970)</f>
        <v/>
      </c>
      <c r="K1970" t="str">
        <f>IF(包装物料出入库明细!$D1970="","",包装物料出入库明细!$D1970)</f>
        <v/>
      </c>
      <c r="L1970">
        <f t="shared" si="615"/>
        <v>0</v>
      </c>
      <c r="M1970">
        <f t="shared" si="616"/>
        <v>9</v>
      </c>
      <c r="Q1970" t="str">
        <f>IF(周转筐出入库明细!$D1971="","",周转筐出入库明细!$D1971)</f>
        <v/>
      </c>
      <c r="R1970">
        <f t="shared" si="617"/>
        <v>0</v>
      </c>
      <c r="S1970">
        <f t="shared" si="618"/>
        <v>5</v>
      </c>
      <c r="W1970" t="str">
        <f>IF(周转筐出入库明细!$C1971="","",周转筐出入库明细!$C1971)</f>
        <v/>
      </c>
      <c r="X1970">
        <f t="shared" si="619"/>
        <v>0</v>
      </c>
      <c r="Y1970">
        <f t="shared" si="620"/>
        <v>12</v>
      </c>
      <c r="CP1970">
        <f>IF(包装物料出入库明细!$D1970="",0,1)</f>
        <v>0</v>
      </c>
      <c r="CQ1970">
        <f t="shared" si="621"/>
        <v>37</v>
      </c>
      <c r="CS1970" t="str">
        <f>IF(OR(周转筐出入库明细!$C1971="",周转筐出入库明细!$F1971&lt;&gt;"采购入库"),"",周转筐出入库明细!$C1971)</f>
        <v/>
      </c>
      <c r="CT1970">
        <f t="shared" si="622"/>
        <v>0</v>
      </c>
      <c r="CU1970">
        <f t="shared" si="623"/>
        <v>1</v>
      </c>
    </row>
    <row r="1971" spans="1:99">
      <c r="A1971" t="str">
        <f>IF(包装物料出入库明细!$E1971="","",包装物料出入库明细!$E1971)</f>
        <v/>
      </c>
      <c r="B1971">
        <f t="shared" si="613"/>
        <v>0</v>
      </c>
      <c r="C1971">
        <f t="shared" si="614"/>
        <v>7</v>
      </c>
      <c r="D1971" t="str">
        <f>IF(包装物料出入库明细!$E1971="","",包装物料出入库明细!$F1971)</f>
        <v/>
      </c>
      <c r="E1971" t="str">
        <f>IF(包装物料出入库明细!$E1971="","",包装物料出入库明细!$G1971)</f>
        <v/>
      </c>
      <c r="K1971" t="str">
        <f>IF(包装物料出入库明细!$D1971="","",包装物料出入库明细!$D1971)</f>
        <v/>
      </c>
      <c r="L1971">
        <f t="shared" si="615"/>
        <v>0</v>
      </c>
      <c r="M1971">
        <f t="shared" si="616"/>
        <v>9</v>
      </c>
      <c r="Q1971" t="str">
        <f>IF(周转筐出入库明细!$D1972="","",周转筐出入库明细!$D1972)</f>
        <v/>
      </c>
      <c r="R1971">
        <f t="shared" si="617"/>
        <v>0</v>
      </c>
      <c r="S1971">
        <f t="shared" si="618"/>
        <v>5</v>
      </c>
      <c r="W1971" t="str">
        <f>IF(周转筐出入库明细!$C1972="","",周转筐出入库明细!$C1972)</f>
        <v/>
      </c>
      <c r="X1971">
        <f t="shared" si="619"/>
        <v>0</v>
      </c>
      <c r="Y1971">
        <f t="shared" si="620"/>
        <v>12</v>
      </c>
      <c r="CP1971">
        <f>IF(包装物料出入库明细!$D1971="",0,1)</f>
        <v>0</v>
      </c>
      <c r="CQ1971">
        <f t="shared" si="621"/>
        <v>37</v>
      </c>
      <c r="CS1971" t="str">
        <f>IF(OR(周转筐出入库明细!$C1972="",周转筐出入库明细!$F1972&lt;&gt;"采购入库"),"",周转筐出入库明细!$C1972)</f>
        <v/>
      </c>
      <c r="CT1971">
        <f t="shared" si="622"/>
        <v>0</v>
      </c>
      <c r="CU1971">
        <f t="shared" si="623"/>
        <v>1</v>
      </c>
    </row>
    <row r="1972" spans="1:99">
      <c r="A1972" t="str">
        <f>IF(包装物料出入库明细!$E1972="","",包装物料出入库明细!$E1972)</f>
        <v/>
      </c>
      <c r="B1972">
        <f t="shared" si="613"/>
        <v>0</v>
      </c>
      <c r="C1972">
        <f t="shared" si="614"/>
        <v>7</v>
      </c>
      <c r="D1972" t="str">
        <f>IF(包装物料出入库明细!$E1972="","",包装物料出入库明细!$F1972)</f>
        <v/>
      </c>
      <c r="E1972" t="str">
        <f>IF(包装物料出入库明细!$E1972="","",包装物料出入库明细!$G1972)</f>
        <v/>
      </c>
      <c r="K1972" t="str">
        <f>IF(包装物料出入库明细!$D1972="","",包装物料出入库明细!$D1972)</f>
        <v/>
      </c>
      <c r="L1972">
        <f t="shared" si="615"/>
        <v>0</v>
      </c>
      <c r="M1972">
        <f t="shared" si="616"/>
        <v>9</v>
      </c>
      <c r="Q1972" t="str">
        <f>IF(周转筐出入库明细!$D1973="","",周转筐出入库明细!$D1973)</f>
        <v/>
      </c>
      <c r="R1972">
        <f t="shared" si="617"/>
        <v>0</v>
      </c>
      <c r="S1972">
        <f t="shared" si="618"/>
        <v>5</v>
      </c>
      <c r="W1972" t="str">
        <f>IF(周转筐出入库明细!$C1973="","",周转筐出入库明细!$C1973)</f>
        <v/>
      </c>
      <c r="X1972">
        <f t="shared" si="619"/>
        <v>0</v>
      </c>
      <c r="Y1972">
        <f t="shared" si="620"/>
        <v>12</v>
      </c>
      <c r="CP1972">
        <f>IF(包装物料出入库明细!$D1972="",0,1)</f>
        <v>0</v>
      </c>
      <c r="CQ1972">
        <f t="shared" si="621"/>
        <v>37</v>
      </c>
      <c r="CS1972" t="str">
        <f>IF(OR(周转筐出入库明细!$C1973="",周转筐出入库明细!$F1973&lt;&gt;"采购入库"),"",周转筐出入库明细!$C1973)</f>
        <v/>
      </c>
      <c r="CT1972">
        <f t="shared" si="622"/>
        <v>0</v>
      </c>
      <c r="CU1972">
        <f t="shared" si="623"/>
        <v>1</v>
      </c>
    </row>
    <row r="1973" spans="1:99">
      <c r="A1973" t="str">
        <f>IF(包装物料出入库明细!$E1973="","",包装物料出入库明细!$E1973)</f>
        <v/>
      </c>
      <c r="B1973">
        <f t="shared" si="613"/>
        <v>0</v>
      </c>
      <c r="C1973">
        <f t="shared" si="614"/>
        <v>7</v>
      </c>
      <c r="D1973" t="str">
        <f>IF(包装物料出入库明细!$E1973="","",包装物料出入库明细!$F1973)</f>
        <v/>
      </c>
      <c r="E1973" t="str">
        <f>IF(包装物料出入库明细!$E1973="","",包装物料出入库明细!$G1973)</f>
        <v/>
      </c>
      <c r="K1973" t="str">
        <f>IF(包装物料出入库明细!$D1973="","",包装物料出入库明细!$D1973)</f>
        <v/>
      </c>
      <c r="L1973">
        <f t="shared" si="615"/>
        <v>0</v>
      </c>
      <c r="M1973">
        <f t="shared" si="616"/>
        <v>9</v>
      </c>
      <c r="Q1973" t="str">
        <f>IF(周转筐出入库明细!$D1974="","",周转筐出入库明细!$D1974)</f>
        <v/>
      </c>
      <c r="R1973">
        <f t="shared" si="617"/>
        <v>0</v>
      </c>
      <c r="S1973">
        <f t="shared" si="618"/>
        <v>5</v>
      </c>
      <c r="W1973" t="str">
        <f>IF(周转筐出入库明细!$C1974="","",周转筐出入库明细!$C1974)</f>
        <v/>
      </c>
      <c r="X1973">
        <f t="shared" si="619"/>
        <v>0</v>
      </c>
      <c r="Y1973">
        <f t="shared" si="620"/>
        <v>12</v>
      </c>
      <c r="CP1973">
        <f>IF(包装物料出入库明细!$D1973="",0,1)</f>
        <v>0</v>
      </c>
      <c r="CQ1973">
        <f t="shared" si="621"/>
        <v>37</v>
      </c>
      <c r="CS1973" t="str">
        <f>IF(OR(周转筐出入库明细!$C1974="",周转筐出入库明细!$F1974&lt;&gt;"采购入库"),"",周转筐出入库明细!$C1974)</f>
        <v/>
      </c>
      <c r="CT1973">
        <f t="shared" si="622"/>
        <v>0</v>
      </c>
      <c r="CU1973">
        <f t="shared" si="623"/>
        <v>1</v>
      </c>
    </row>
    <row r="1974" spans="1:99">
      <c r="A1974" t="str">
        <f>IF(包装物料出入库明细!$E1974="","",包装物料出入库明细!$E1974)</f>
        <v/>
      </c>
      <c r="B1974">
        <f t="shared" si="613"/>
        <v>0</v>
      </c>
      <c r="C1974">
        <f t="shared" si="614"/>
        <v>7</v>
      </c>
      <c r="D1974" t="str">
        <f>IF(包装物料出入库明细!$E1974="","",包装物料出入库明细!$F1974)</f>
        <v/>
      </c>
      <c r="E1974" t="str">
        <f>IF(包装物料出入库明细!$E1974="","",包装物料出入库明细!$G1974)</f>
        <v/>
      </c>
      <c r="K1974" t="str">
        <f>IF(包装物料出入库明细!$D1974="","",包装物料出入库明细!$D1974)</f>
        <v/>
      </c>
      <c r="L1974">
        <f t="shared" si="615"/>
        <v>0</v>
      </c>
      <c r="M1974">
        <f t="shared" si="616"/>
        <v>9</v>
      </c>
      <c r="Q1974" t="str">
        <f>IF(周转筐出入库明细!$D1975="","",周转筐出入库明细!$D1975)</f>
        <v/>
      </c>
      <c r="R1974">
        <f t="shared" si="617"/>
        <v>0</v>
      </c>
      <c r="S1974">
        <f t="shared" si="618"/>
        <v>5</v>
      </c>
      <c r="W1974" t="str">
        <f>IF(周转筐出入库明细!$C1975="","",周转筐出入库明细!$C1975)</f>
        <v/>
      </c>
      <c r="X1974">
        <f t="shared" si="619"/>
        <v>0</v>
      </c>
      <c r="Y1974">
        <f t="shared" si="620"/>
        <v>12</v>
      </c>
      <c r="CP1974">
        <f>IF(包装物料出入库明细!$D1974="",0,1)</f>
        <v>0</v>
      </c>
      <c r="CQ1974">
        <f t="shared" si="621"/>
        <v>37</v>
      </c>
      <c r="CS1974" t="str">
        <f>IF(OR(周转筐出入库明细!$C1975="",周转筐出入库明细!$F1975&lt;&gt;"采购入库"),"",周转筐出入库明细!$C1975)</f>
        <v/>
      </c>
      <c r="CT1974">
        <f t="shared" si="622"/>
        <v>0</v>
      </c>
      <c r="CU1974">
        <f t="shared" si="623"/>
        <v>1</v>
      </c>
    </row>
    <row r="1975" spans="1:99">
      <c r="A1975" t="str">
        <f>IF(包装物料出入库明细!$E1975="","",包装物料出入库明细!$E1975)</f>
        <v/>
      </c>
      <c r="B1975">
        <f t="shared" si="613"/>
        <v>0</v>
      </c>
      <c r="C1975">
        <f t="shared" si="614"/>
        <v>7</v>
      </c>
      <c r="D1975" t="str">
        <f>IF(包装物料出入库明细!$E1975="","",包装物料出入库明细!$F1975)</f>
        <v/>
      </c>
      <c r="E1975" t="str">
        <f>IF(包装物料出入库明细!$E1975="","",包装物料出入库明细!$G1975)</f>
        <v/>
      </c>
      <c r="K1975" t="str">
        <f>IF(包装物料出入库明细!$D1975="","",包装物料出入库明细!$D1975)</f>
        <v/>
      </c>
      <c r="L1975">
        <f t="shared" si="615"/>
        <v>0</v>
      </c>
      <c r="M1975">
        <f t="shared" si="616"/>
        <v>9</v>
      </c>
      <c r="Q1975" t="str">
        <f>IF(周转筐出入库明细!$D1976="","",周转筐出入库明细!$D1976)</f>
        <v/>
      </c>
      <c r="R1975">
        <f t="shared" si="617"/>
        <v>0</v>
      </c>
      <c r="S1975">
        <f t="shared" si="618"/>
        <v>5</v>
      </c>
      <c r="W1975" t="str">
        <f>IF(周转筐出入库明细!$C1976="","",周转筐出入库明细!$C1976)</f>
        <v/>
      </c>
      <c r="X1975">
        <f t="shared" si="619"/>
        <v>0</v>
      </c>
      <c r="Y1975">
        <f t="shared" si="620"/>
        <v>12</v>
      </c>
      <c r="CP1975">
        <f>IF(包装物料出入库明细!$D1975="",0,1)</f>
        <v>0</v>
      </c>
      <c r="CQ1975">
        <f t="shared" si="621"/>
        <v>37</v>
      </c>
      <c r="CS1975" t="str">
        <f>IF(OR(周转筐出入库明细!$C1976="",周转筐出入库明细!$F1976&lt;&gt;"采购入库"),"",周转筐出入库明细!$C1976)</f>
        <v/>
      </c>
      <c r="CT1975">
        <f t="shared" si="622"/>
        <v>0</v>
      </c>
      <c r="CU1975">
        <f t="shared" si="623"/>
        <v>1</v>
      </c>
    </row>
    <row r="1976" spans="1:99">
      <c r="A1976" t="str">
        <f>IF(包装物料出入库明细!$E1976="","",包装物料出入库明细!$E1976)</f>
        <v/>
      </c>
      <c r="B1976">
        <f t="shared" si="613"/>
        <v>0</v>
      </c>
      <c r="C1976">
        <f t="shared" si="614"/>
        <v>7</v>
      </c>
      <c r="D1976" t="str">
        <f>IF(包装物料出入库明细!$E1976="","",包装物料出入库明细!$F1976)</f>
        <v/>
      </c>
      <c r="E1976" t="str">
        <f>IF(包装物料出入库明细!$E1976="","",包装物料出入库明细!$G1976)</f>
        <v/>
      </c>
      <c r="K1976" t="str">
        <f>IF(包装物料出入库明细!$D1976="","",包装物料出入库明细!$D1976)</f>
        <v/>
      </c>
      <c r="L1976">
        <f t="shared" si="615"/>
        <v>0</v>
      </c>
      <c r="M1976">
        <f t="shared" si="616"/>
        <v>9</v>
      </c>
      <c r="Q1976" t="str">
        <f>IF(周转筐出入库明细!$D1977="","",周转筐出入库明细!$D1977)</f>
        <v/>
      </c>
      <c r="R1976">
        <f t="shared" si="617"/>
        <v>0</v>
      </c>
      <c r="S1976">
        <f t="shared" si="618"/>
        <v>5</v>
      </c>
      <c r="W1976" t="str">
        <f>IF(周转筐出入库明细!$C1977="","",周转筐出入库明细!$C1977)</f>
        <v/>
      </c>
      <c r="X1976">
        <f t="shared" si="619"/>
        <v>0</v>
      </c>
      <c r="Y1976">
        <f t="shared" si="620"/>
        <v>12</v>
      </c>
      <c r="CP1976">
        <f>IF(包装物料出入库明细!$D1976="",0,1)</f>
        <v>0</v>
      </c>
      <c r="CQ1976">
        <f t="shared" si="621"/>
        <v>37</v>
      </c>
      <c r="CS1976" t="str">
        <f>IF(OR(周转筐出入库明细!$C1977="",周转筐出入库明细!$F1977&lt;&gt;"采购入库"),"",周转筐出入库明细!$C1977)</f>
        <v/>
      </c>
      <c r="CT1976">
        <f t="shared" si="622"/>
        <v>0</v>
      </c>
      <c r="CU1976">
        <f t="shared" si="623"/>
        <v>1</v>
      </c>
    </row>
    <row r="1977" spans="1:99">
      <c r="A1977" t="str">
        <f>IF(包装物料出入库明细!$E1977="","",包装物料出入库明细!$E1977)</f>
        <v/>
      </c>
      <c r="B1977">
        <f t="shared" si="613"/>
        <v>0</v>
      </c>
      <c r="C1977">
        <f t="shared" si="614"/>
        <v>7</v>
      </c>
      <c r="D1977" t="str">
        <f>IF(包装物料出入库明细!$E1977="","",包装物料出入库明细!$F1977)</f>
        <v/>
      </c>
      <c r="E1977" t="str">
        <f>IF(包装物料出入库明细!$E1977="","",包装物料出入库明细!$G1977)</f>
        <v/>
      </c>
      <c r="K1977" t="str">
        <f>IF(包装物料出入库明细!$D1977="","",包装物料出入库明细!$D1977)</f>
        <v/>
      </c>
      <c r="L1977">
        <f t="shared" si="615"/>
        <v>0</v>
      </c>
      <c r="M1977">
        <f t="shared" si="616"/>
        <v>9</v>
      </c>
      <c r="Q1977" t="str">
        <f>IF(周转筐出入库明细!$D1978="","",周转筐出入库明细!$D1978)</f>
        <v/>
      </c>
      <c r="R1977">
        <f t="shared" si="617"/>
        <v>0</v>
      </c>
      <c r="S1977">
        <f t="shared" si="618"/>
        <v>5</v>
      </c>
      <c r="W1977" t="str">
        <f>IF(周转筐出入库明细!$C1978="","",周转筐出入库明细!$C1978)</f>
        <v/>
      </c>
      <c r="X1977">
        <f t="shared" si="619"/>
        <v>0</v>
      </c>
      <c r="Y1977">
        <f t="shared" si="620"/>
        <v>12</v>
      </c>
      <c r="CP1977">
        <f>IF(包装物料出入库明细!$D1977="",0,1)</f>
        <v>0</v>
      </c>
      <c r="CQ1977">
        <f t="shared" si="621"/>
        <v>37</v>
      </c>
      <c r="CS1977" t="str">
        <f>IF(OR(周转筐出入库明细!$C1978="",周转筐出入库明细!$F1978&lt;&gt;"采购入库"),"",周转筐出入库明细!$C1978)</f>
        <v/>
      </c>
      <c r="CT1977">
        <f t="shared" si="622"/>
        <v>0</v>
      </c>
      <c r="CU1977">
        <f t="shared" si="623"/>
        <v>1</v>
      </c>
    </row>
    <row r="1978" spans="1:99">
      <c r="A1978" t="str">
        <f>IF(包装物料出入库明细!$E1978="","",包装物料出入库明细!$E1978)</f>
        <v/>
      </c>
      <c r="B1978">
        <f t="shared" si="613"/>
        <v>0</v>
      </c>
      <c r="C1978">
        <f t="shared" si="614"/>
        <v>7</v>
      </c>
      <c r="D1978" t="str">
        <f>IF(包装物料出入库明细!$E1978="","",包装物料出入库明细!$F1978)</f>
        <v/>
      </c>
      <c r="E1978" t="str">
        <f>IF(包装物料出入库明细!$E1978="","",包装物料出入库明细!$G1978)</f>
        <v/>
      </c>
      <c r="K1978" t="str">
        <f>IF(包装物料出入库明细!$D1978="","",包装物料出入库明细!$D1978)</f>
        <v/>
      </c>
      <c r="L1978">
        <f t="shared" si="615"/>
        <v>0</v>
      </c>
      <c r="M1978">
        <f t="shared" si="616"/>
        <v>9</v>
      </c>
      <c r="Q1978" t="str">
        <f>IF(周转筐出入库明细!$D1979="","",周转筐出入库明细!$D1979)</f>
        <v/>
      </c>
      <c r="R1978">
        <f t="shared" si="617"/>
        <v>0</v>
      </c>
      <c r="S1978">
        <f t="shared" si="618"/>
        <v>5</v>
      </c>
      <c r="W1978" t="str">
        <f>IF(周转筐出入库明细!$C1979="","",周转筐出入库明细!$C1979)</f>
        <v/>
      </c>
      <c r="X1978">
        <f t="shared" si="619"/>
        <v>0</v>
      </c>
      <c r="Y1978">
        <f t="shared" si="620"/>
        <v>12</v>
      </c>
      <c r="CP1978">
        <f>IF(包装物料出入库明细!$D1978="",0,1)</f>
        <v>0</v>
      </c>
      <c r="CQ1978">
        <f t="shared" si="621"/>
        <v>37</v>
      </c>
      <c r="CS1978" t="str">
        <f>IF(OR(周转筐出入库明细!$C1979="",周转筐出入库明细!$F1979&lt;&gt;"采购入库"),"",周转筐出入库明细!$C1979)</f>
        <v/>
      </c>
      <c r="CT1978">
        <f t="shared" si="622"/>
        <v>0</v>
      </c>
      <c r="CU1978">
        <f t="shared" si="623"/>
        <v>1</v>
      </c>
    </row>
    <row r="1979" spans="1:99">
      <c r="A1979" t="str">
        <f>IF(包装物料出入库明细!$E1979="","",包装物料出入库明细!$E1979)</f>
        <v/>
      </c>
      <c r="B1979">
        <f t="shared" si="613"/>
        <v>0</v>
      </c>
      <c r="C1979">
        <f t="shared" si="614"/>
        <v>7</v>
      </c>
      <c r="D1979" t="str">
        <f>IF(包装物料出入库明细!$E1979="","",包装物料出入库明细!$F1979)</f>
        <v/>
      </c>
      <c r="E1979" t="str">
        <f>IF(包装物料出入库明细!$E1979="","",包装物料出入库明细!$G1979)</f>
        <v/>
      </c>
      <c r="K1979" t="str">
        <f>IF(包装物料出入库明细!$D1979="","",包装物料出入库明细!$D1979)</f>
        <v/>
      </c>
      <c r="L1979">
        <f t="shared" si="615"/>
        <v>0</v>
      </c>
      <c r="M1979">
        <f t="shared" si="616"/>
        <v>9</v>
      </c>
      <c r="Q1979" t="str">
        <f>IF(周转筐出入库明细!$D1980="","",周转筐出入库明细!$D1980)</f>
        <v/>
      </c>
      <c r="R1979">
        <f t="shared" si="617"/>
        <v>0</v>
      </c>
      <c r="S1979">
        <f t="shared" si="618"/>
        <v>5</v>
      </c>
      <c r="W1979" t="str">
        <f>IF(周转筐出入库明细!$C1980="","",周转筐出入库明细!$C1980)</f>
        <v/>
      </c>
      <c r="X1979">
        <f t="shared" si="619"/>
        <v>0</v>
      </c>
      <c r="Y1979">
        <f t="shared" si="620"/>
        <v>12</v>
      </c>
      <c r="CP1979">
        <f>IF(包装物料出入库明细!$D1979="",0,1)</f>
        <v>0</v>
      </c>
      <c r="CQ1979">
        <f t="shared" si="621"/>
        <v>37</v>
      </c>
      <c r="CS1979" t="str">
        <f>IF(OR(周转筐出入库明细!$C1980="",周转筐出入库明细!$F1980&lt;&gt;"采购入库"),"",周转筐出入库明细!$C1980)</f>
        <v/>
      </c>
      <c r="CT1979">
        <f t="shared" si="622"/>
        <v>0</v>
      </c>
      <c r="CU1979">
        <f t="shared" si="623"/>
        <v>1</v>
      </c>
    </row>
    <row r="1980" spans="1:99">
      <c r="A1980" t="str">
        <f>IF(包装物料出入库明细!$E1980="","",包装物料出入库明细!$E1980)</f>
        <v/>
      </c>
      <c r="B1980">
        <f t="shared" si="613"/>
        <v>0</v>
      </c>
      <c r="C1980">
        <f t="shared" si="614"/>
        <v>7</v>
      </c>
      <c r="D1980" t="str">
        <f>IF(包装物料出入库明细!$E1980="","",包装物料出入库明细!$F1980)</f>
        <v/>
      </c>
      <c r="E1980" t="str">
        <f>IF(包装物料出入库明细!$E1980="","",包装物料出入库明细!$G1980)</f>
        <v/>
      </c>
      <c r="K1980" t="str">
        <f>IF(包装物料出入库明细!$D1980="","",包装物料出入库明细!$D1980)</f>
        <v/>
      </c>
      <c r="L1980">
        <f t="shared" si="615"/>
        <v>0</v>
      </c>
      <c r="M1980">
        <f t="shared" si="616"/>
        <v>9</v>
      </c>
      <c r="Q1980" t="str">
        <f>IF(周转筐出入库明细!$D1981="","",周转筐出入库明细!$D1981)</f>
        <v/>
      </c>
      <c r="R1980">
        <f t="shared" si="617"/>
        <v>0</v>
      </c>
      <c r="S1980">
        <f t="shared" si="618"/>
        <v>5</v>
      </c>
      <c r="W1980" t="str">
        <f>IF(周转筐出入库明细!$C1981="","",周转筐出入库明细!$C1981)</f>
        <v/>
      </c>
      <c r="X1980">
        <f t="shared" si="619"/>
        <v>0</v>
      </c>
      <c r="Y1980">
        <f t="shared" si="620"/>
        <v>12</v>
      </c>
      <c r="CP1980">
        <f>IF(包装物料出入库明细!$D1980="",0,1)</f>
        <v>0</v>
      </c>
      <c r="CQ1980">
        <f t="shared" si="621"/>
        <v>37</v>
      </c>
      <c r="CS1980" t="str">
        <f>IF(OR(周转筐出入库明细!$C1981="",周转筐出入库明细!$F1981&lt;&gt;"采购入库"),"",周转筐出入库明细!$C1981)</f>
        <v/>
      </c>
      <c r="CT1980">
        <f t="shared" si="622"/>
        <v>0</v>
      </c>
      <c r="CU1980">
        <f t="shared" si="623"/>
        <v>1</v>
      </c>
    </row>
    <row r="1981" spans="1:99">
      <c r="A1981" t="str">
        <f>IF(包装物料出入库明细!$E1981="","",包装物料出入库明细!$E1981)</f>
        <v/>
      </c>
      <c r="B1981">
        <f t="shared" si="613"/>
        <v>0</v>
      </c>
      <c r="C1981">
        <f t="shared" si="614"/>
        <v>7</v>
      </c>
      <c r="D1981" t="str">
        <f>IF(包装物料出入库明细!$E1981="","",包装物料出入库明细!$F1981)</f>
        <v/>
      </c>
      <c r="E1981" t="str">
        <f>IF(包装物料出入库明细!$E1981="","",包装物料出入库明细!$G1981)</f>
        <v/>
      </c>
      <c r="K1981" t="str">
        <f>IF(包装物料出入库明细!$D1981="","",包装物料出入库明细!$D1981)</f>
        <v/>
      </c>
      <c r="L1981">
        <f t="shared" si="615"/>
        <v>0</v>
      </c>
      <c r="M1981">
        <f t="shared" si="616"/>
        <v>9</v>
      </c>
      <c r="Q1981" t="str">
        <f>IF(周转筐出入库明细!$D1982="","",周转筐出入库明细!$D1982)</f>
        <v/>
      </c>
      <c r="R1981">
        <f t="shared" si="617"/>
        <v>0</v>
      </c>
      <c r="S1981">
        <f t="shared" si="618"/>
        <v>5</v>
      </c>
      <c r="W1981" t="str">
        <f>IF(周转筐出入库明细!$C1982="","",周转筐出入库明细!$C1982)</f>
        <v/>
      </c>
      <c r="X1981">
        <f t="shared" si="619"/>
        <v>0</v>
      </c>
      <c r="Y1981">
        <f t="shared" si="620"/>
        <v>12</v>
      </c>
      <c r="CP1981">
        <f>IF(包装物料出入库明细!$D1981="",0,1)</f>
        <v>0</v>
      </c>
      <c r="CQ1981">
        <f t="shared" si="621"/>
        <v>37</v>
      </c>
      <c r="CS1981" t="str">
        <f>IF(OR(周转筐出入库明细!$C1982="",周转筐出入库明细!$F1982&lt;&gt;"采购入库"),"",周转筐出入库明细!$C1982)</f>
        <v/>
      </c>
      <c r="CT1981">
        <f t="shared" si="622"/>
        <v>0</v>
      </c>
      <c r="CU1981">
        <f t="shared" si="623"/>
        <v>1</v>
      </c>
    </row>
    <row r="1982" spans="1:99">
      <c r="A1982" t="str">
        <f>IF(包装物料出入库明细!$E1982="","",包装物料出入库明细!$E1982)</f>
        <v/>
      </c>
      <c r="B1982">
        <f t="shared" si="613"/>
        <v>0</v>
      </c>
      <c r="C1982">
        <f t="shared" si="614"/>
        <v>7</v>
      </c>
      <c r="D1982" t="str">
        <f>IF(包装物料出入库明细!$E1982="","",包装物料出入库明细!$F1982)</f>
        <v/>
      </c>
      <c r="E1982" t="str">
        <f>IF(包装物料出入库明细!$E1982="","",包装物料出入库明细!$G1982)</f>
        <v/>
      </c>
      <c r="K1982" t="str">
        <f>IF(包装物料出入库明细!$D1982="","",包装物料出入库明细!$D1982)</f>
        <v/>
      </c>
      <c r="L1982">
        <f t="shared" si="615"/>
        <v>0</v>
      </c>
      <c r="M1982">
        <f t="shared" si="616"/>
        <v>9</v>
      </c>
      <c r="Q1982" t="str">
        <f>IF(周转筐出入库明细!$D1983="","",周转筐出入库明细!$D1983)</f>
        <v/>
      </c>
      <c r="R1982">
        <f t="shared" si="617"/>
        <v>0</v>
      </c>
      <c r="S1982">
        <f t="shared" si="618"/>
        <v>5</v>
      </c>
      <c r="W1982" t="str">
        <f>IF(周转筐出入库明细!$C1983="","",周转筐出入库明细!$C1983)</f>
        <v/>
      </c>
      <c r="X1982">
        <f t="shared" si="619"/>
        <v>0</v>
      </c>
      <c r="Y1982">
        <f t="shared" si="620"/>
        <v>12</v>
      </c>
      <c r="CP1982">
        <f>IF(包装物料出入库明细!$D1982="",0,1)</f>
        <v>0</v>
      </c>
      <c r="CQ1982">
        <f t="shared" si="621"/>
        <v>37</v>
      </c>
      <c r="CS1982" t="str">
        <f>IF(OR(周转筐出入库明细!$C1983="",周转筐出入库明细!$F1983&lt;&gt;"采购入库"),"",周转筐出入库明细!$C1983)</f>
        <v/>
      </c>
      <c r="CT1982">
        <f t="shared" si="622"/>
        <v>0</v>
      </c>
      <c r="CU1982">
        <f t="shared" si="623"/>
        <v>1</v>
      </c>
    </row>
    <row r="1983" spans="1:99">
      <c r="A1983" t="str">
        <f>IF(包装物料出入库明细!$E1983="","",包装物料出入库明细!$E1983)</f>
        <v/>
      </c>
      <c r="B1983">
        <f t="shared" si="613"/>
        <v>0</v>
      </c>
      <c r="C1983">
        <f t="shared" si="614"/>
        <v>7</v>
      </c>
      <c r="D1983" t="str">
        <f>IF(包装物料出入库明细!$E1983="","",包装物料出入库明细!$F1983)</f>
        <v/>
      </c>
      <c r="E1983" t="str">
        <f>IF(包装物料出入库明细!$E1983="","",包装物料出入库明细!$G1983)</f>
        <v/>
      </c>
      <c r="K1983" t="str">
        <f>IF(包装物料出入库明细!$D1983="","",包装物料出入库明细!$D1983)</f>
        <v/>
      </c>
      <c r="L1983">
        <f t="shared" si="615"/>
        <v>0</v>
      </c>
      <c r="M1983">
        <f t="shared" si="616"/>
        <v>9</v>
      </c>
      <c r="Q1983" t="str">
        <f>IF(周转筐出入库明细!$D1984="","",周转筐出入库明细!$D1984)</f>
        <v/>
      </c>
      <c r="R1983">
        <f t="shared" si="617"/>
        <v>0</v>
      </c>
      <c r="S1983">
        <f t="shared" si="618"/>
        <v>5</v>
      </c>
      <c r="W1983" t="str">
        <f>IF(周转筐出入库明细!$C1984="","",周转筐出入库明细!$C1984)</f>
        <v/>
      </c>
      <c r="X1983">
        <f t="shared" si="619"/>
        <v>0</v>
      </c>
      <c r="Y1983">
        <f t="shared" si="620"/>
        <v>12</v>
      </c>
      <c r="CP1983">
        <f>IF(包装物料出入库明细!$D1983="",0,1)</f>
        <v>0</v>
      </c>
      <c r="CQ1983">
        <f t="shared" si="621"/>
        <v>37</v>
      </c>
      <c r="CS1983" t="str">
        <f>IF(OR(周转筐出入库明细!$C1984="",周转筐出入库明细!$F1984&lt;&gt;"采购入库"),"",周转筐出入库明细!$C1984)</f>
        <v/>
      </c>
      <c r="CT1983">
        <f t="shared" si="622"/>
        <v>0</v>
      </c>
      <c r="CU1983">
        <f t="shared" si="623"/>
        <v>1</v>
      </c>
    </row>
    <row r="1984" spans="1:99">
      <c r="A1984" t="str">
        <f>IF(包装物料出入库明细!$E1984="","",包装物料出入库明细!$E1984)</f>
        <v/>
      </c>
      <c r="B1984">
        <f t="shared" si="613"/>
        <v>0</v>
      </c>
      <c r="C1984">
        <f t="shared" si="614"/>
        <v>7</v>
      </c>
      <c r="D1984" t="str">
        <f>IF(包装物料出入库明细!$E1984="","",包装物料出入库明细!$F1984)</f>
        <v/>
      </c>
      <c r="E1984" t="str">
        <f>IF(包装物料出入库明细!$E1984="","",包装物料出入库明细!$G1984)</f>
        <v/>
      </c>
      <c r="K1984" t="str">
        <f>IF(包装物料出入库明细!$D1984="","",包装物料出入库明细!$D1984)</f>
        <v/>
      </c>
      <c r="L1984">
        <f t="shared" si="615"/>
        <v>0</v>
      </c>
      <c r="M1984">
        <f t="shared" si="616"/>
        <v>9</v>
      </c>
      <c r="Q1984" t="str">
        <f>IF(周转筐出入库明细!$D1985="","",周转筐出入库明细!$D1985)</f>
        <v/>
      </c>
      <c r="R1984">
        <f t="shared" si="617"/>
        <v>0</v>
      </c>
      <c r="S1984">
        <f t="shared" si="618"/>
        <v>5</v>
      </c>
      <c r="W1984" t="str">
        <f>IF(周转筐出入库明细!$C1985="","",周转筐出入库明细!$C1985)</f>
        <v/>
      </c>
      <c r="X1984">
        <f t="shared" si="619"/>
        <v>0</v>
      </c>
      <c r="Y1984">
        <f t="shared" si="620"/>
        <v>12</v>
      </c>
      <c r="CP1984">
        <f>IF(包装物料出入库明细!$D1984="",0,1)</f>
        <v>0</v>
      </c>
      <c r="CQ1984">
        <f t="shared" si="621"/>
        <v>37</v>
      </c>
      <c r="CS1984" t="str">
        <f>IF(OR(周转筐出入库明细!$C1985="",周转筐出入库明细!$F1985&lt;&gt;"采购入库"),"",周转筐出入库明细!$C1985)</f>
        <v/>
      </c>
      <c r="CT1984">
        <f t="shared" si="622"/>
        <v>0</v>
      </c>
      <c r="CU1984">
        <f t="shared" si="623"/>
        <v>1</v>
      </c>
    </row>
    <row r="1985" spans="1:99">
      <c r="A1985" t="str">
        <f>IF(包装物料出入库明细!$E1985="","",包装物料出入库明细!$E1985)</f>
        <v/>
      </c>
      <c r="B1985">
        <f t="shared" si="613"/>
        <v>0</v>
      </c>
      <c r="C1985">
        <f t="shared" si="614"/>
        <v>7</v>
      </c>
      <c r="D1985" t="str">
        <f>IF(包装物料出入库明细!$E1985="","",包装物料出入库明细!$F1985)</f>
        <v/>
      </c>
      <c r="E1985" t="str">
        <f>IF(包装物料出入库明细!$E1985="","",包装物料出入库明细!$G1985)</f>
        <v/>
      </c>
      <c r="K1985" t="str">
        <f>IF(包装物料出入库明细!$D1985="","",包装物料出入库明细!$D1985)</f>
        <v/>
      </c>
      <c r="L1985">
        <f t="shared" si="615"/>
        <v>0</v>
      </c>
      <c r="M1985">
        <f t="shared" si="616"/>
        <v>9</v>
      </c>
      <c r="Q1985" t="str">
        <f>IF(周转筐出入库明细!$D1986="","",周转筐出入库明细!$D1986)</f>
        <v/>
      </c>
      <c r="R1985">
        <f t="shared" si="617"/>
        <v>0</v>
      </c>
      <c r="S1985">
        <f t="shared" si="618"/>
        <v>5</v>
      </c>
      <c r="W1985" t="str">
        <f>IF(周转筐出入库明细!$C1986="","",周转筐出入库明细!$C1986)</f>
        <v/>
      </c>
      <c r="X1985">
        <f t="shared" si="619"/>
        <v>0</v>
      </c>
      <c r="Y1985">
        <f t="shared" si="620"/>
        <v>12</v>
      </c>
      <c r="CP1985">
        <f>IF(包装物料出入库明细!$D1985="",0,1)</f>
        <v>0</v>
      </c>
      <c r="CQ1985">
        <f t="shared" si="621"/>
        <v>37</v>
      </c>
      <c r="CS1985" t="str">
        <f>IF(OR(周转筐出入库明细!$C1986="",周转筐出入库明细!$F1986&lt;&gt;"采购入库"),"",周转筐出入库明细!$C1986)</f>
        <v/>
      </c>
      <c r="CT1985">
        <f t="shared" si="622"/>
        <v>0</v>
      </c>
      <c r="CU1985">
        <f t="shared" si="623"/>
        <v>1</v>
      </c>
    </row>
    <row r="1986" spans="1:99">
      <c r="A1986" t="str">
        <f>IF(包装物料出入库明细!$E1986="","",包装物料出入库明细!$E1986)</f>
        <v/>
      </c>
      <c r="B1986">
        <f t="shared" si="613"/>
        <v>0</v>
      </c>
      <c r="C1986">
        <f t="shared" si="614"/>
        <v>7</v>
      </c>
      <c r="D1986" t="str">
        <f>IF(包装物料出入库明细!$E1986="","",包装物料出入库明细!$F1986)</f>
        <v/>
      </c>
      <c r="E1986" t="str">
        <f>IF(包装物料出入库明细!$E1986="","",包装物料出入库明细!$G1986)</f>
        <v/>
      </c>
      <c r="K1986" t="str">
        <f>IF(包装物料出入库明细!$D1986="","",包装物料出入库明细!$D1986)</f>
        <v/>
      </c>
      <c r="L1986">
        <f t="shared" si="615"/>
        <v>0</v>
      </c>
      <c r="M1986">
        <f t="shared" si="616"/>
        <v>9</v>
      </c>
      <c r="Q1986" t="str">
        <f>IF(周转筐出入库明细!$D1987="","",周转筐出入库明细!$D1987)</f>
        <v/>
      </c>
      <c r="R1986">
        <f t="shared" si="617"/>
        <v>0</v>
      </c>
      <c r="S1986">
        <f t="shared" si="618"/>
        <v>5</v>
      </c>
      <c r="W1986" t="str">
        <f>IF(周转筐出入库明细!$C1987="","",周转筐出入库明细!$C1987)</f>
        <v/>
      </c>
      <c r="X1986">
        <f t="shared" si="619"/>
        <v>0</v>
      </c>
      <c r="Y1986">
        <f t="shared" si="620"/>
        <v>12</v>
      </c>
      <c r="CP1986">
        <f>IF(包装物料出入库明细!$D1986="",0,1)</f>
        <v>0</v>
      </c>
      <c r="CQ1986">
        <f t="shared" si="621"/>
        <v>37</v>
      </c>
      <c r="CS1986" t="str">
        <f>IF(OR(周转筐出入库明细!$C1987="",周转筐出入库明细!$F1987&lt;&gt;"采购入库"),"",周转筐出入库明细!$C1987)</f>
        <v/>
      </c>
      <c r="CT1986">
        <f t="shared" si="622"/>
        <v>0</v>
      </c>
      <c r="CU1986">
        <f t="shared" si="623"/>
        <v>1</v>
      </c>
    </row>
    <row r="1987" spans="1:99">
      <c r="A1987" t="str">
        <f>IF(包装物料出入库明细!$E1987="","",包装物料出入库明细!$E1987)</f>
        <v/>
      </c>
      <c r="B1987">
        <f t="shared" si="613"/>
        <v>0</v>
      </c>
      <c r="C1987">
        <f t="shared" si="614"/>
        <v>7</v>
      </c>
      <c r="D1987" t="str">
        <f>IF(包装物料出入库明细!$E1987="","",包装物料出入库明细!$F1987)</f>
        <v/>
      </c>
      <c r="E1987" t="str">
        <f>IF(包装物料出入库明细!$E1987="","",包装物料出入库明细!$G1987)</f>
        <v/>
      </c>
      <c r="K1987" t="str">
        <f>IF(包装物料出入库明细!$D1987="","",包装物料出入库明细!$D1987)</f>
        <v/>
      </c>
      <c r="L1987">
        <f t="shared" si="615"/>
        <v>0</v>
      </c>
      <c r="M1987">
        <f t="shared" si="616"/>
        <v>9</v>
      </c>
      <c r="Q1987" t="str">
        <f>IF(周转筐出入库明细!$D1988="","",周转筐出入库明细!$D1988)</f>
        <v/>
      </c>
      <c r="R1987">
        <f t="shared" si="617"/>
        <v>0</v>
      </c>
      <c r="S1987">
        <f t="shared" si="618"/>
        <v>5</v>
      </c>
      <c r="W1987" t="str">
        <f>IF(周转筐出入库明细!$C1988="","",周转筐出入库明细!$C1988)</f>
        <v/>
      </c>
      <c r="X1987">
        <f t="shared" si="619"/>
        <v>0</v>
      </c>
      <c r="Y1987">
        <f t="shared" si="620"/>
        <v>12</v>
      </c>
      <c r="CP1987">
        <f>IF(包装物料出入库明细!$D1987="",0,1)</f>
        <v>0</v>
      </c>
      <c r="CQ1987">
        <f t="shared" si="621"/>
        <v>37</v>
      </c>
      <c r="CS1987" t="str">
        <f>IF(OR(周转筐出入库明细!$C1988="",周转筐出入库明细!$F1988&lt;&gt;"采购入库"),"",周转筐出入库明细!$C1988)</f>
        <v/>
      </c>
      <c r="CT1987">
        <f t="shared" si="622"/>
        <v>0</v>
      </c>
      <c r="CU1987">
        <f t="shared" si="623"/>
        <v>1</v>
      </c>
    </row>
    <row r="1988" spans="1:99">
      <c r="A1988" t="str">
        <f>IF(包装物料出入库明细!$E1988="","",包装物料出入库明细!$E1988)</f>
        <v/>
      </c>
      <c r="B1988">
        <f t="shared" ref="B1988:B2003" si="624">IF(A1988="",0,IF(MATCH(A1988,$A$4:$A$2003,0)=ROW()-3,1,0))</f>
        <v>0</v>
      </c>
      <c r="C1988">
        <f t="shared" ref="C1988:C2003" si="625">N(C1987)+B1988</f>
        <v>7</v>
      </c>
      <c r="D1988" t="str">
        <f>IF(包装物料出入库明细!$E1988="","",包装物料出入库明细!$F1988)</f>
        <v/>
      </c>
      <c r="E1988" t="str">
        <f>IF(包装物料出入库明细!$E1988="","",包装物料出入库明细!$G1988)</f>
        <v/>
      </c>
      <c r="K1988" t="str">
        <f>IF(包装物料出入库明细!$D1988="","",包装物料出入库明细!$D1988)</f>
        <v/>
      </c>
      <c r="L1988">
        <f t="shared" ref="L1988:L2003" si="626">IF(K1988="",0,IF(MATCH(K1988,$K$4:$K$2003,0)=ROW()-3,1,0))</f>
        <v>0</v>
      </c>
      <c r="M1988">
        <f t="shared" ref="M1988:M2003" si="627">N(M1987)+L1988</f>
        <v>9</v>
      </c>
      <c r="Q1988" t="str">
        <f>IF(周转筐出入库明细!$D1989="","",周转筐出入库明细!$D1989)</f>
        <v/>
      </c>
      <c r="R1988">
        <f t="shared" ref="R1988:R2003" si="628">IF(Q1988="",0,IF(MATCH(Q1988,$Q$4:$Q$2003,0)=ROW()-3,1,0))</f>
        <v>0</v>
      </c>
      <c r="S1988">
        <f t="shared" ref="S1988:S2003" si="629">N(S1987)+R1988</f>
        <v>5</v>
      </c>
      <c r="W1988" t="str">
        <f>IF(周转筐出入库明细!$C1989="","",周转筐出入库明细!$C1989)</f>
        <v/>
      </c>
      <c r="X1988">
        <f t="shared" ref="X1988:X2003" si="630">IF(W1988="",0,IF(MATCH(W1988,$W$4:$W$2003,0)=ROW()-3,1,0))</f>
        <v>0</v>
      </c>
      <c r="Y1988">
        <f t="shared" ref="Y1988:Y2003" si="631">N(Y1987)+X1988</f>
        <v>12</v>
      </c>
      <c r="CP1988">
        <f>IF(包装物料出入库明细!$D1988="",0,1)</f>
        <v>0</v>
      </c>
      <c r="CQ1988">
        <f t="shared" ref="CQ1988:CQ2051" si="632">N(CQ1987)+$CP1988</f>
        <v>37</v>
      </c>
      <c r="CS1988" t="str">
        <f>IF(OR(周转筐出入库明细!$C1989="",周转筐出入库明细!$F1989&lt;&gt;"采购入库"),"",周转筐出入库明细!$C1989)</f>
        <v/>
      </c>
      <c r="CT1988">
        <f t="shared" ref="CT1988:CT2003" si="633">IF(CS1988="",0,IF(MATCH(CS1988,$CS$4:$CS$2003,0)=ROW()-3,1,0))</f>
        <v>0</v>
      </c>
      <c r="CU1988">
        <f t="shared" ref="CU1988:CU2003" si="634">N(CU1987)+CT1988</f>
        <v>1</v>
      </c>
    </row>
    <row r="1989" spans="1:99">
      <c r="A1989" t="str">
        <f>IF(包装物料出入库明细!$E1989="","",包装物料出入库明细!$E1989)</f>
        <v/>
      </c>
      <c r="B1989">
        <f t="shared" si="624"/>
        <v>0</v>
      </c>
      <c r="C1989">
        <f t="shared" si="625"/>
        <v>7</v>
      </c>
      <c r="D1989" t="str">
        <f>IF(包装物料出入库明细!$E1989="","",包装物料出入库明细!$F1989)</f>
        <v/>
      </c>
      <c r="E1989" t="str">
        <f>IF(包装物料出入库明细!$E1989="","",包装物料出入库明细!$G1989)</f>
        <v/>
      </c>
      <c r="K1989" t="str">
        <f>IF(包装物料出入库明细!$D1989="","",包装物料出入库明细!$D1989)</f>
        <v/>
      </c>
      <c r="L1989">
        <f t="shared" si="626"/>
        <v>0</v>
      </c>
      <c r="M1989">
        <f t="shared" si="627"/>
        <v>9</v>
      </c>
      <c r="Q1989" t="str">
        <f>IF(周转筐出入库明细!$D1990="","",周转筐出入库明细!$D1990)</f>
        <v/>
      </c>
      <c r="R1989">
        <f t="shared" si="628"/>
        <v>0</v>
      </c>
      <c r="S1989">
        <f t="shared" si="629"/>
        <v>5</v>
      </c>
      <c r="W1989" t="str">
        <f>IF(周转筐出入库明细!$C1990="","",周转筐出入库明细!$C1990)</f>
        <v/>
      </c>
      <c r="X1989">
        <f t="shared" si="630"/>
        <v>0</v>
      </c>
      <c r="Y1989">
        <f t="shared" si="631"/>
        <v>12</v>
      </c>
      <c r="CP1989">
        <f>IF(包装物料出入库明细!$D1989="",0,1)</f>
        <v>0</v>
      </c>
      <c r="CQ1989">
        <f t="shared" si="632"/>
        <v>37</v>
      </c>
      <c r="CS1989" t="str">
        <f>IF(OR(周转筐出入库明细!$C1990="",周转筐出入库明细!$F1990&lt;&gt;"采购入库"),"",周转筐出入库明细!$C1990)</f>
        <v/>
      </c>
      <c r="CT1989">
        <f t="shared" si="633"/>
        <v>0</v>
      </c>
      <c r="CU1989">
        <f t="shared" si="634"/>
        <v>1</v>
      </c>
    </row>
    <row r="1990" spans="1:99">
      <c r="A1990" t="str">
        <f>IF(包装物料出入库明细!$E1990="","",包装物料出入库明细!$E1990)</f>
        <v/>
      </c>
      <c r="B1990">
        <f t="shared" si="624"/>
        <v>0</v>
      </c>
      <c r="C1990">
        <f t="shared" si="625"/>
        <v>7</v>
      </c>
      <c r="D1990" t="str">
        <f>IF(包装物料出入库明细!$E1990="","",包装物料出入库明细!$F1990)</f>
        <v/>
      </c>
      <c r="E1990" t="str">
        <f>IF(包装物料出入库明细!$E1990="","",包装物料出入库明细!$G1990)</f>
        <v/>
      </c>
      <c r="K1990" t="str">
        <f>IF(包装物料出入库明细!$D1990="","",包装物料出入库明细!$D1990)</f>
        <v/>
      </c>
      <c r="L1990">
        <f t="shared" si="626"/>
        <v>0</v>
      </c>
      <c r="M1990">
        <f t="shared" si="627"/>
        <v>9</v>
      </c>
      <c r="Q1990" t="str">
        <f>IF(周转筐出入库明细!$D1991="","",周转筐出入库明细!$D1991)</f>
        <v/>
      </c>
      <c r="R1990">
        <f t="shared" si="628"/>
        <v>0</v>
      </c>
      <c r="S1990">
        <f t="shared" si="629"/>
        <v>5</v>
      </c>
      <c r="W1990" t="str">
        <f>IF(周转筐出入库明细!$C1991="","",周转筐出入库明细!$C1991)</f>
        <v/>
      </c>
      <c r="X1990">
        <f t="shared" si="630"/>
        <v>0</v>
      </c>
      <c r="Y1990">
        <f t="shared" si="631"/>
        <v>12</v>
      </c>
      <c r="CP1990">
        <f>IF(包装物料出入库明细!$D1990="",0,1)</f>
        <v>0</v>
      </c>
      <c r="CQ1990">
        <f t="shared" si="632"/>
        <v>37</v>
      </c>
      <c r="CS1990" t="str">
        <f>IF(OR(周转筐出入库明细!$C1991="",周转筐出入库明细!$F1991&lt;&gt;"采购入库"),"",周转筐出入库明细!$C1991)</f>
        <v/>
      </c>
      <c r="CT1990">
        <f t="shared" si="633"/>
        <v>0</v>
      </c>
      <c r="CU1990">
        <f t="shared" si="634"/>
        <v>1</v>
      </c>
    </row>
    <row r="1991" spans="1:99">
      <c r="A1991" t="str">
        <f>IF(包装物料出入库明细!$E1991="","",包装物料出入库明细!$E1991)</f>
        <v/>
      </c>
      <c r="B1991">
        <f t="shared" si="624"/>
        <v>0</v>
      </c>
      <c r="C1991">
        <f t="shared" si="625"/>
        <v>7</v>
      </c>
      <c r="D1991" t="str">
        <f>IF(包装物料出入库明细!$E1991="","",包装物料出入库明细!$F1991)</f>
        <v/>
      </c>
      <c r="E1991" t="str">
        <f>IF(包装物料出入库明细!$E1991="","",包装物料出入库明细!$G1991)</f>
        <v/>
      </c>
      <c r="K1991" t="str">
        <f>IF(包装物料出入库明细!$D1991="","",包装物料出入库明细!$D1991)</f>
        <v/>
      </c>
      <c r="L1991">
        <f t="shared" si="626"/>
        <v>0</v>
      </c>
      <c r="M1991">
        <f t="shared" si="627"/>
        <v>9</v>
      </c>
      <c r="Q1991" t="str">
        <f>IF(周转筐出入库明细!$D1992="","",周转筐出入库明细!$D1992)</f>
        <v/>
      </c>
      <c r="R1991">
        <f t="shared" si="628"/>
        <v>0</v>
      </c>
      <c r="S1991">
        <f t="shared" si="629"/>
        <v>5</v>
      </c>
      <c r="W1991" t="str">
        <f>IF(周转筐出入库明细!$C1992="","",周转筐出入库明细!$C1992)</f>
        <v/>
      </c>
      <c r="X1991">
        <f t="shared" si="630"/>
        <v>0</v>
      </c>
      <c r="Y1991">
        <f t="shared" si="631"/>
        <v>12</v>
      </c>
      <c r="CP1991">
        <f>IF(包装物料出入库明细!$D1991="",0,1)</f>
        <v>0</v>
      </c>
      <c r="CQ1991">
        <f t="shared" si="632"/>
        <v>37</v>
      </c>
      <c r="CS1991" t="str">
        <f>IF(OR(周转筐出入库明细!$C1992="",周转筐出入库明细!$F1992&lt;&gt;"采购入库"),"",周转筐出入库明细!$C1992)</f>
        <v/>
      </c>
      <c r="CT1991">
        <f t="shared" si="633"/>
        <v>0</v>
      </c>
      <c r="CU1991">
        <f t="shared" si="634"/>
        <v>1</v>
      </c>
    </row>
    <row r="1992" spans="1:99">
      <c r="A1992" t="str">
        <f>IF(包装物料出入库明细!$E1992="","",包装物料出入库明细!$E1992)</f>
        <v/>
      </c>
      <c r="B1992">
        <f t="shared" si="624"/>
        <v>0</v>
      </c>
      <c r="C1992">
        <f t="shared" si="625"/>
        <v>7</v>
      </c>
      <c r="D1992" t="str">
        <f>IF(包装物料出入库明细!$E1992="","",包装物料出入库明细!$F1992)</f>
        <v/>
      </c>
      <c r="E1992" t="str">
        <f>IF(包装物料出入库明细!$E1992="","",包装物料出入库明细!$G1992)</f>
        <v/>
      </c>
      <c r="K1992" t="str">
        <f>IF(包装物料出入库明细!$D1992="","",包装物料出入库明细!$D1992)</f>
        <v/>
      </c>
      <c r="L1992">
        <f t="shared" si="626"/>
        <v>0</v>
      </c>
      <c r="M1992">
        <f t="shared" si="627"/>
        <v>9</v>
      </c>
      <c r="Q1992" t="str">
        <f>IF(周转筐出入库明细!$D1993="","",周转筐出入库明细!$D1993)</f>
        <v/>
      </c>
      <c r="R1992">
        <f t="shared" si="628"/>
        <v>0</v>
      </c>
      <c r="S1992">
        <f t="shared" si="629"/>
        <v>5</v>
      </c>
      <c r="W1992" t="str">
        <f>IF(周转筐出入库明细!$C1993="","",周转筐出入库明细!$C1993)</f>
        <v/>
      </c>
      <c r="X1992">
        <f t="shared" si="630"/>
        <v>0</v>
      </c>
      <c r="Y1992">
        <f t="shared" si="631"/>
        <v>12</v>
      </c>
      <c r="CP1992">
        <f>IF(包装物料出入库明细!$D1992="",0,1)</f>
        <v>0</v>
      </c>
      <c r="CQ1992">
        <f t="shared" si="632"/>
        <v>37</v>
      </c>
      <c r="CS1992" t="str">
        <f>IF(OR(周转筐出入库明细!$C1993="",周转筐出入库明细!$F1993&lt;&gt;"采购入库"),"",周转筐出入库明细!$C1993)</f>
        <v/>
      </c>
      <c r="CT1992">
        <f t="shared" si="633"/>
        <v>0</v>
      </c>
      <c r="CU1992">
        <f t="shared" si="634"/>
        <v>1</v>
      </c>
    </row>
    <row r="1993" spans="1:99">
      <c r="A1993" t="str">
        <f>IF(包装物料出入库明细!$E1993="","",包装物料出入库明细!$E1993)</f>
        <v/>
      </c>
      <c r="B1993">
        <f t="shared" si="624"/>
        <v>0</v>
      </c>
      <c r="C1993">
        <f t="shared" si="625"/>
        <v>7</v>
      </c>
      <c r="D1993" t="str">
        <f>IF(包装物料出入库明细!$E1993="","",包装物料出入库明细!$F1993)</f>
        <v/>
      </c>
      <c r="E1993" t="str">
        <f>IF(包装物料出入库明细!$E1993="","",包装物料出入库明细!$G1993)</f>
        <v/>
      </c>
      <c r="K1993" t="str">
        <f>IF(包装物料出入库明细!$D1993="","",包装物料出入库明细!$D1993)</f>
        <v/>
      </c>
      <c r="L1993">
        <f t="shared" si="626"/>
        <v>0</v>
      </c>
      <c r="M1993">
        <f t="shared" si="627"/>
        <v>9</v>
      </c>
      <c r="Q1993" t="str">
        <f>IF(周转筐出入库明细!$D1994="","",周转筐出入库明细!$D1994)</f>
        <v/>
      </c>
      <c r="R1993">
        <f t="shared" si="628"/>
        <v>0</v>
      </c>
      <c r="S1993">
        <f t="shared" si="629"/>
        <v>5</v>
      </c>
      <c r="W1993" t="str">
        <f>IF(周转筐出入库明细!$C1994="","",周转筐出入库明细!$C1994)</f>
        <v/>
      </c>
      <c r="X1993">
        <f t="shared" si="630"/>
        <v>0</v>
      </c>
      <c r="Y1993">
        <f t="shared" si="631"/>
        <v>12</v>
      </c>
      <c r="CP1993">
        <f>IF(包装物料出入库明细!$D1993="",0,1)</f>
        <v>0</v>
      </c>
      <c r="CQ1993">
        <f t="shared" si="632"/>
        <v>37</v>
      </c>
      <c r="CS1993" t="str">
        <f>IF(OR(周转筐出入库明细!$C1994="",周转筐出入库明细!$F1994&lt;&gt;"采购入库"),"",周转筐出入库明细!$C1994)</f>
        <v/>
      </c>
      <c r="CT1993">
        <f t="shared" si="633"/>
        <v>0</v>
      </c>
      <c r="CU1993">
        <f t="shared" si="634"/>
        <v>1</v>
      </c>
    </row>
    <row r="1994" spans="1:99">
      <c r="A1994" t="str">
        <f>IF(包装物料出入库明细!$E1994="","",包装物料出入库明细!$E1994)</f>
        <v/>
      </c>
      <c r="B1994">
        <f t="shared" si="624"/>
        <v>0</v>
      </c>
      <c r="C1994">
        <f t="shared" si="625"/>
        <v>7</v>
      </c>
      <c r="D1994" t="str">
        <f>IF(包装物料出入库明细!$E1994="","",包装物料出入库明细!$F1994)</f>
        <v/>
      </c>
      <c r="E1994" t="str">
        <f>IF(包装物料出入库明细!$E1994="","",包装物料出入库明细!$G1994)</f>
        <v/>
      </c>
      <c r="K1994" t="str">
        <f>IF(包装物料出入库明细!$D1994="","",包装物料出入库明细!$D1994)</f>
        <v/>
      </c>
      <c r="L1994">
        <f t="shared" si="626"/>
        <v>0</v>
      </c>
      <c r="M1994">
        <f t="shared" si="627"/>
        <v>9</v>
      </c>
      <c r="Q1994" t="str">
        <f>IF(周转筐出入库明细!$D1995="","",周转筐出入库明细!$D1995)</f>
        <v/>
      </c>
      <c r="R1994">
        <f t="shared" si="628"/>
        <v>0</v>
      </c>
      <c r="S1994">
        <f t="shared" si="629"/>
        <v>5</v>
      </c>
      <c r="W1994" t="str">
        <f>IF(周转筐出入库明细!$C1995="","",周转筐出入库明细!$C1995)</f>
        <v/>
      </c>
      <c r="X1994">
        <f t="shared" si="630"/>
        <v>0</v>
      </c>
      <c r="Y1994">
        <f t="shared" si="631"/>
        <v>12</v>
      </c>
      <c r="CP1994">
        <f>IF(包装物料出入库明细!$D1994="",0,1)</f>
        <v>0</v>
      </c>
      <c r="CQ1994">
        <f t="shared" si="632"/>
        <v>37</v>
      </c>
      <c r="CS1994" t="str">
        <f>IF(OR(周转筐出入库明细!$C1995="",周转筐出入库明细!$F1995&lt;&gt;"采购入库"),"",周转筐出入库明细!$C1995)</f>
        <v/>
      </c>
      <c r="CT1994">
        <f t="shared" si="633"/>
        <v>0</v>
      </c>
      <c r="CU1994">
        <f t="shared" si="634"/>
        <v>1</v>
      </c>
    </row>
    <row r="1995" spans="1:99">
      <c r="A1995" t="str">
        <f>IF(包装物料出入库明细!$E1995="","",包装物料出入库明细!$E1995)</f>
        <v/>
      </c>
      <c r="B1995">
        <f t="shared" si="624"/>
        <v>0</v>
      </c>
      <c r="C1995">
        <f t="shared" si="625"/>
        <v>7</v>
      </c>
      <c r="D1995" t="str">
        <f>IF(包装物料出入库明细!$E1995="","",包装物料出入库明细!$F1995)</f>
        <v/>
      </c>
      <c r="E1995" t="str">
        <f>IF(包装物料出入库明细!$E1995="","",包装物料出入库明细!$G1995)</f>
        <v/>
      </c>
      <c r="K1995" t="str">
        <f>IF(包装物料出入库明细!$D1995="","",包装物料出入库明细!$D1995)</f>
        <v/>
      </c>
      <c r="L1995">
        <f t="shared" si="626"/>
        <v>0</v>
      </c>
      <c r="M1995">
        <f t="shared" si="627"/>
        <v>9</v>
      </c>
      <c r="Q1995" t="str">
        <f>IF(周转筐出入库明细!$D1996="","",周转筐出入库明细!$D1996)</f>
        <v/>
      </c>
      <c r="R1995">
        <f t="shared" si="628"/>
        <v>0</v>
      </c>
      <c r="S1995">
        <f t="shared" si="629"/>
        <v>5</v>
      </c>
      <c r="W1995" t="str">
        <f>IF(周转筐出入库明细!$C1996="","",周转筐出入库明细!$C1996)</f>
        <v/>
      </c>
      <c r="X1995">
        <f t="shared" si="630"/>
        <v>0</v>
      </c>
      <c r="Y1995">
        <f t="shared" si="631"/>
        <v>12</v>
      </c>
      <c r="CP1995">
        <f>IF(包装物料出入库明细!$D1995="",0,1)</f>
        <v>0</v>
      </c>
      <c r="CQ1995">
        <f t="shared" si="632"/>
        <v>37</v>
      </c>
      <c r="CS1995" t="str">
        <f>IF(OR(周转筐出入库明细!$C1996="",周转筐出入库明细!$F1996&lt;&gt;"采购入库"),"",周转筐出入库明细!$C1996)</f>
        <v/>
      </c>
      <c r="CT1995">
        <f t="shared" si="633"/>
        <v>0</v>
      </c>
      <c r="CU1995">
        <f t="shared" si="634"/>
        <v>1</v>
      </c>
    </row>
    <row r="1996" spans="1:99">
      <c r="A1996" t="str">
        <f>IF(包装物料出入库明细!$E1996="","",包装物料出入库明细!$E1996)</f>
        <v/>
      </c>
      <c r="B1996">
        <f t="shared" si="624"/>
        <v>0</v>
      </c>
      <c r="C1996">
        <f t="shared" si="625"/>
        <v>7</v>
      </c>
      <c r="D1996" t="str">
        <f>IF(包装物料出入库明细!$E1996="","",包装物料出入库明细!$F1996)</f>
        <v/>
      </c>
      <c r="E1996" t="str">
        <f>IF(包装物料出入库明细!$E1996="","",包装物料出入库明细!$G1996)</f>
        <v/>
      </c>
      <c r="K1996" t="str">
        <f>IF(包装物料出入库明细!$D1996="","",包装物料出入库明细!$D1996)</f>
        <v/>
      </c>
      <c r="L1996">
        <f t="shared" si="626"/>
        <v>0</v>
      </c>
      <c r="M1996">
        <f t="shared" si="627"/>
        <v>9</v>
      </c>
      <c r="Q1996" t="str">
        <f>IF(周转筐出入库明细!$D1997="","",周转筐出入库明细!$D1997)</f>
        <v/>
      </c>
      <c r="R1996">
        <f t="shared" si="628"/>
        <v>0</v>
      </c>
      <c r="S1996">
        <f t="shared" si="629"/>
        <v>5</v>
      </c>
      <c r="W1996" t="str">
        <f>IF(周转筐出入库明细!$C1997="","",周转筐出入库明细!$C1997)</f>
        <v/>
      </c>
      <c r="X1996">
        <f t="shared" si="630"/>
        <v>0</v>
      </c>
      <c r="Y1996">
        <f t="shared" si="631"/>
        <v>12</v>
      </c>
      <c r="CP1996">
        <f>IF(包装物料出入库明细!$D1996="",0,1)</f>
        <v>0</v>
      </c>
      <c r="CQ1996">
        <f t="shared" si="632"/>
        <v>37</v>
      </c>
      <c r="CS1996" t="str">
        <f>IF(OR(周转筐出入库明细!$C1997="",周转筐出入库明细!$F1997&lt;&gt;"采购入库"),"",周转筐出入库明细!$C1997)</f>
        <v/>
      </c>
      <c r="CT1996">
        <f t="shared" si="633"/>
        <v>0</v>
      </c>
      <c r="CU1996">
        <f t="shared" si="634"/>
        <v>1</v>
      </c>
    </row>
    <row r="1997" spans="1:99">
      <c r="A1997" t="str">
        <f>IF(包装物料出入库明细!$E1997="","",包装物料出入库明细!$E1997)</f>
        <v/>
      </c>
      <c r="B1997">
        <f t="shared" si="624"/>
        <v>0</v>
      </c>
      <c r="C1997">
        <f t="shared" si="625"/>
        <v>7</v>
      </c>
      <c r="D1997" t="str">
        <f>IF(包装物料出入库明细!$E1997="","",包装物料出入库明细!$F1997)</f>
        <v/>
      </c>
      <c r="E1997" t="str">
        <f>IF(包装物料出入库明细!$E1997="","",包装物料出入库明细!$G1997)</f>
        <v/>
      </c>
      <c r="K1997" t="str">
        <f>IF(包装物料出入库明细!$D1997="","",包装物料出入库明细!$D1997)</f>
        <v/>
      </c>
      <c r="L1997">
        <f t="shared" si="626"/>
        <v>0</v>
      </c>
      <c r="M1997">
        <f t="shared" si="627"/>
        <v>9</v>
      </c>
      <c r="Q1997" t="str">
        <f>IF(周转筐出入库明细!$D1998="","",周转筐出入库明细!$D1998)</f>
        <v/>
      </c>
      <c r="R1997">
        <f t="shared" si="628"/>
        <v>0</v>
      </c>
      <c r="S1997">
        <f t="shared" si="629"/>
        <v>5</v>
      </c>
      <c r="W1997" t="str">
        <f>IF(周转筐出入库明细!$C1998="","",周转筐出入库明细!$C1998)</f>
        <v/>
      </c>
      <c r="X1997">
        <f t="shared" si="630"/>
        <v>0</v>
      </c>
      <c r="Y1997">
        <f t="shared" si="631"/>
        <v>12</v>
      </c>
      <c r="CP1997">
        <f>IF(包装物料出入库明细!$D1997="",0,1)</f>
        <v>0</v>
      </c>
      <c r="CQ1997">
        <f t="shared" si="632"/>
        <v>37</v>
      </c>
      <c r="CS1997" t="str">
        <f>IF(OR(周转筐出入库明细!$C1998="",周转筐出入库明细!$F1998&lt;&gt;"采购入库"),"",周转筐出入库明细!$C1998)</f>
        <v/>
      </c>
      <c r="CT1997">
        <f t="shared" si="633"/>
        <v>0</v>
      </c>
      <c r="CU1997">
        <f t="shared" si="634"/>
        <v>1</v>
      </c>
    </row>
    <row r="1998" spans="1:99">
      <c r="A1998" t="str">
        <f>IF(包装物料出入库明细!$E1998="","",包装物料出入库明细!$E1998)</f>
        <v/>
      </c>
      <c r="B1998">
        <f t="shared" si="624"/>
        <v>0</v>
      </c>
      <c r="C1998">
        <f t="shared" si="625"/>
        <v>7</v>
      </c>
      <c r="D1998" t="str">
        <f>IF(包装物料出入库明细!$E1998="","",包装物料出入库明细!$F1998)</f>
        <v/>
      </c>
      <c r="E1998" t="str">
        <f>IF(包装物料出入库明细!$E1998="","",包装物料出入库明细!$G1998)</f>
        <v/>
      </c>
      <c r="K1998" t="str">
        <f>IF(包装物料出入库明细!$D1998="","",包装物料出入库明细!$D1998)</f>
        <v/>
      </c>
      <c r="L1998">
        <f t="shared" si="626"/>
        <v>0</v>
      </c>
      <c r="M1998">
        <f t="shared" si="627"/>
        <v>9</v>
      </c>
      <c r="Q1998" t="str">
        <f>IF(周转筐出入库明细!$D1999="","",周转筐出入库明细!$D1999)</f>
        <v/>
      </c>
      <c r="R1998">
        <f t="shared" si="628"/>
        <v>0</v>
      </c>
      <c r="S1998">
        <f t="shared" si="629"/>
        <v>5</v>
      </c>
      <c r="W1998" t="str">
        <f>IF(周转筐出入库明细!$C1999="","",周转筐出入库明细!$C1999)</f>
        <v/>
      </c>
      <c r="X1998">
        <f t="shared" si="630"/>
        <v>0</v>
      </c>
      <c r="Y1998">
        <f t="shared" si="631"/>
        <v>12</v>
      </c>
      <c r="CP1998">
        <f>IF(包装物料出入库明细!$D1998="",0,1)</f>
        <v>0</v>
      </c>
      <c r="CQ1998">
        <f t="shared" si="632"/>
        <v>37</v>
      </c>
      <c r="CS1998" t="str">
        <f>IF(OR(周转筐出入库明细!$C1999="",周转筐出入库明细!$F1999&lt;&gt;"采购入库"),"",周转筐出入库明细!$C1999)</f>
        <v/>
      </c>
      <c r="CT1998">
        <f t="shared" si="633"/>
        <v>0</v>
      </c>
      <c r="CU1998">
        <f t="shared" si="634"/>
        <v>1</v>
      </c>
    </row>
    <row r="1999" spans="1:99">
      <c r="A1999" t="str">
        <f>IF(包装物料出入库明细!$E1999="","",包装物料出入库明细!$E1999)</f>
        <v/>
      </c>
      <c r="B1999">
        <f t="shared" si="624"/>
        <v>0</v>
      </c>
      <c r="C1999">
        <f t="shared" si="625"/>
        <v>7</v>
      </c>
      <c r="D1999" t="str">
        <f>IF(包装物料出入库明细!$E1999="","",包装物料出入库明细!$F1999)</f>
        <v/>
      </c>
      <c r="E1999" t="str">
        <f>IF(包装物料出入库明细!$E1999="","",包装物料出入库明细!$G1999)</f>
        <v/>
      </c>
      <c r="K1999" t="str">
        <f>IF(包装物料出入库明细!$D1999="","",包装物料出入库明细!$D1999)</f>
        <v/>
      </c>
      <c r="L1999">
        <f t="shared" si="626"/>
        <v>0</v>
      </c>
      <c r="M1999">
        <f t="shared" si="627"/>
        <v>9</v>
      </c>
      <c r="Q1999" t="str">
        <f>IF(周转筐出入库明细!$D2000="","",周转筐出入库明细!$D2000)</f>
        <v/>
      </c>
      <c r="R1999">
        <f t="shared" si="628"/>
        <v>0</v>
      </c>
      <c r="S1999">
        <f t="shared" si="629"/>
        <v>5</v>
      </c>
      <c r="W1999" t="str">
        <f>IF(周转筐出入库明细!$C2000="","",周转筐出入库明细!$C2000)</f>
        <v/>
      </c>
      <c r="X1999">
        <f t="shared" si="630"/>
        <v>0</v>
      </c>
      <c r="Y1999">
        <f t="shared" si="631"/>
        <v>12</v>
      </c>
      <c r="CP1999">
        <f>IF(包装物料出入库明细!$D1999="",0,1)</f>
        <v>0</v>
      </c>
      <c r="CQ1999">
        <f t="shared" si="632"/>
        <v>37</v>
      </c>
      <c r="CS1999" t="str">
        <f>IF(OR(周转筐出入库明细!$C2000="",周转筐出入库明细!$F2000&lt;&gt;"采购入库"),"",周转筐出入库明细!$C2000)</f>
        <v/>
      </c>
      <c r="CT1999">
        <f t="shared" si="633"/>
        <v>0</v>
      </c>
      <c r="CU1999">
        <f t="shared" si="634"/>
        <v>1</v>
      </c>
    </row>
    <row r="2000" spans="1:99">
      <c r="A2000" t="str">
        <f>IF(包装物料出入库明细!$E2000="","",包装物料出入库明细!$E2000)</f>
        <v/>
      </c>
      <c r="B2000">
        <f t="shared" si="624"/>
        <v>0</v>
      </c>
      <c r="C2000">
        <f t="shared" si="625"/>
        <v>7</v>
      </c>
      <c r="D2000" t="str">
        <f>IF(包装物料出入库明细!$E2000="","",包装物料出入库明细!$F2000)</f>
        <v/>
      </c>
      <c r="E2000" t="str">
        <f>IF(包装物料出入库明细!$E2000="","",包装物料出入库明细!$G2000)</f>
        <v/>
      </c>
      <c r="K2000" t="str">
        <f>IF(包装物料出入库明细!$D2000="","",包装物料出入库明细!$D2000)</f>
        <v/>
      </c>
      <c r="L2000">
        <f t="shared" si="626"/>
        <v>0</v>
      </c>
      <c r="M2000">
        <f t="shared" si="627"/>
        <v>9</v>
      </c>
      <c r="Q2000" t="str">
        <f>IF(周转筐出入库明细!$D2001="","",周转筐出入库明细!$D2001)</f>
        <v/>
      </c>
      <c r="R2000">
        <f t="shared" si="628"/>
        <v>0</v>
      </c>
      <c r="S2000">
        <f t="shared" si="629"/>
        <v>5</v>
      </c>
      <c r="W2000" t="str">
        <f>IF(周转筐出入库明细!$C2001="","",周转筐出入库明细!$C2001)</f>
        <v/>
      </c>
      <c r="X2000">
        <f t="shared" si="630"/>
        <v>0</v>
      </c>
      <c r="Y2000">
        <f t="shared" si="631"/>
        <v>12</v>
      </c>
      <c r="CP2000">
        <f>IF(包装物料出入库明细!$D2000="",0,1)</f>
        <v>0</v>
      </c>
      <c r="CQ2000">
        <f t="shared" si="632"/>
        <v>37</v>
      </c>
      <c r="CS2000" t="str">
        <f>IF(OR(周转筐出入库明细!$C2001="",周转筐出入库明细!$F2001&lt;&gt;"采购入库"),"",周转筐出入库明细!$C2001)</f>
        <v/>
      </c>
      <c r="CT2000">
        <f t="shared" si="633"/>
        <v>0</v>
      </c>
      <c r="CU2000">
        <f t="shared" si="634"/>
        <v>1</v>
      </c>
    </row>
    <row r="2001" spans="1:99">
      <c r="A2001" t="str">
        <f>IF(包装物料出入库明细!$E2001="","",包装物料出入库明细!$E2001)</f>
        <v/>
      </c>
      <c r="B2001">
        <f t="shared" si="624"/>
        <v>0</v>
      </c>
      <c r="C2001">
        <f t="shared" si="625"/>
        <v>7</v>
      </c>
      <c r="D2001" t="str">
        <f>IF(包装物料出入库明细!$E2001="","",包装物料出入库明细!$F2001)</f>
        <v/>
      </c>
      <c r="E2001" t="str">
        <f>IF(包装物料出入库明细!$E2001="","",包装物料出入库明细!$G2001)</f>
        <v/>
      </c>
      <c r="K2001" t="str">
        <f>IF(包装物料出入库明细!$D2001="","",包装物料出入库明细!$D2001)</f>
        <v/>
      </c>
      <c r="L2001">
        <f t="shared" si="626"/>
        <v>0</v>
      </c>
      <c r="M2001">
        <f t="shared" si="627"/>
        <v>9</v>
      </c>
      <c r="Q2001" t="str">
        <f>IF(周转筐出入库明细!$D2002="","",周转筐出入库明细!$D2002)</f>
        <v/>
      </c>
      <c r="R2001">
        <f t="shared" si="628"/>
        <v>0</v>
      </c>
      <c r="S2001">
        <f t="shared" si="629"/>
        <v>5</v>
      </c>
      <c r="W2001" t="str">
        <f>IF(周转筐出入库明细!$C2002="","",周转筐出入库明细!$C2002)</f>
        <v/>
      </c>
      <c r="X2001">
        <f t="shared" si="630"/>
        <v>0</v>
      </c>
      <c r="Y2001">
        <f t="shared" si="631"/>
        <v>12</v>
      </c>
      <c r="CP2001">
        <f>IF(包装物料出入库明细!$D2001="",0,1)</f>
        <v>0</v>
      </c>
      <c r="CQ2001">
        <f t="shared" si="632"/>
        <v>37</v>
      </c>
      <c r="CS2001" t="str">
        <f>IF(OR(周转筐出入库明细!$C2002="",周转筐出入库明细!$F2002&lt;&gt;"采购入库"),"",周转筐出入库明细!$C2002)</f>
        <v/>
      </c>
      <c r="CT2001">
        <f t="shared" si="633"/>
        <v>0</v>
      </c>
      <c r="CU2001">
        <f t="shared" si="634"/>
        <v>1</v>
      </c>
    </row>
    <row r="2002" spans="1:99">
      <c r="A2002" t="str">
        <f>IF(包装物料出入库明细!$E2002="","",包装物料出入库明细!$E2002)</f>
        <v/>
      </c>
      <c r="B2002">
        <f t="shared" si="624"/>
        <v>0</v>
      </c>
      <c r="C2002">
        <f t="shared" si="625"/>
        <v>7</v>
      </c>
      <c r="D2002" t="str">
        <f>IF(包装物料出入库明细!$E2002="","",包装物料出入库明细!$F2002)</f>
        <v/>
      </c>
      <c r="E2002" t="str">
        <f>IF(包装物料出入库明细!$E2002="","",包装物料出入库明细!$G2002)</f>
        <v/>
      </c>
      <c r="K2002" t="str">
        <f>IF(包装物料出入库明细!$D2002="","",包装物料出入库明细!$D2002)</f>
        <v/>
      </c>
      <c r="L2002">
        <f t="shared" si="626"/>
        <v>0</v>
      </c>
      <c r="M2002">
        <f t="shared" si="627"/>
        <v>9</v>
      </c>
      <c r="Q2002" t="str">
        <f>IF(周转筐出入库明细!$D2003="","",周转筐出入库明细!$D2003)</f>
        <v/>
      </c>
      <c r="R2002">
        <f t="shared" si="628"/>
        <v>0</v>
      </c>
      <c r="S2002">
        <f t="shared" si="629"/>
        <v>5</v>
      </c>
      <c r="W2002" t="str">
        <f>IF(周转筐出入库明细!$C2003="","",周转筐出入库明细!$C2003)</f>
        <v/>
      </c>
      <c r="X2002">
        <f t="shared" si="630"/>
        <v>0</v>
      </c>
      <c r="Y2002">
        <f t="shared" si="631"/>
        <v>12</v>
      </c>
      <c r="CP2002">
        <f>IF(包装物料出入库明细!$D2002="",0,1)</f>
        <v>0</v>
      </c>
      <c r="CQ2002">
        <f t="shared" si="632"/>
        <v>37</v>
      </c>
      <c r="CS2002" t="str">
        <f>IF(OR(周转筐出入库明细!$C2003="",周转筐出入库明细!$F2003&lt;&gt;"采购入库"),"",周转筐出入库明细!$C2003)</f>
        <v/>
      </c>
      <c r="CT2002">
        <f t="shared" si="633"/>
        <v>0</v>
      </c>
      <c r="CU2002">
        <f t="shared" si="634"/>
        <v>1</v>
      </c>
    </row>
    <row r="2003" spans="1:99">
      <c r="A2003" t="str">
        <f>IF(包装物料出入库明细!$E2003="","",包装物料出入库明细!$E2003)</f>
        <v/>
      </c>
      <c r="B2003">
        <f t="shared" si="624"/>
        <v>0</v>
      </c>
      <c r="C2003">
        <f t="shared" si="625"/>
        <v>7</v>
      </c>
      <c r="D2003" t="str">
        <f>IF(包装物料出入库明细!$E2003="","",包装物料出入库明细!$F2003)</f>
        <v/>
      </c>
      <c r="E2003" t="str">
        <f>IF(包装物料出入库明细!$E2003="","",包装物料出入库明细!$G2003)</f>
        <v/>
      </c>
      <c r="K2003" t="str">
        <f>IF(包装物料出入库明细!$D2003="","",包装物料出入库明细!$D2003)</f>
        <v/>
      </c>
      <c r="L2003">
        <f t="shared" si="626"/>
        <v>0</v>
      </c>
      <c r="M2003">
        <f t="shared" si="627"/>
        <v>9</v>
      </c>
      <c r="Q2003" t="str">
        <f>IF(周转筐出入库明细!$D2004="","",周转筐出入库明细!$D2004)</f>
        <v/>
      </c>
      <c r="R2003">
        <f t="shared" si="628"/>
        <v>0</v>
      </c>
      <c r="S2003">
        <f t="shared" si="629"/>
        <v>5</v>
      </c>
      <c r="W2003" t="str">
        <f>IF(周转筐出入库明细!$C2004="","",周转筐出入库明细!$C2004)</f>
        <v/>
      </c>
      <c r="X2003">
        <f t="shared" si="630"/>
        <v>0</v>
      </c>
      <c r="Y2003">
        <f t="shared" si="631"/>
        <v>12</v>
      </c>
      <c r="CP2003">
        <f>IF(包装物料出入库明细!$D2003="",0,1)</f>
        <v>0</v>
      </c>
      <c r="CQ2003">
        <f t="shared" si="632"/>
        <v>37</v>
      </c>
      <c r="CS2003" t="str">
        <f>IF(OR(周转筐出入库明细!$C2004="",周转筐出入库明细!$F2004&lt;&gt;"采购入库"),"",周转筐出入库明细!$C2004)</f>
        <v/>
      </c>
      <c r="CT2003">
        <f t="shared" si="633"/>
        <v>0</v>
      </c>
      <c r="CU2003">
        <f t="shared" si="634"/>
        <v>1</v>
      </c>
    </row>
    <row r="2004" spans="1:99">
      <c r="CP2004">
        <f>IF(周转筐出入库明细!$C4="",0,1)</f>
        <v>0</v>
      </c>
      <c r="CQ2004">
        <f t="shared" si="632"/>
        <v>37</v>
      </c>
    </row>
    <row r="2005" spans="1:99">
      <c r="CP2005">
        <f>IF(周转筐出入库明细!$C5="",0,1)</f>
        <v>0</v>
      </c>
      <c r="CQ2005">
        <f t="shared" si="632"/>
        <v>37</v>
      </c>
    </row>
    <row r="2006" spans="1:99">
      <c r="CP2006">
        <f>IF(周转筐出入库明细!$C6="",0,1)</f>
        <v>0</v>
      </c>
      <c r="CQ2006">
        <f t="shared" si="632"/>
        <v>37</v>
      </c>
    </row>
    <row r="2007" spans="1:99">
      <c r="CP2007">
        <f>IF(周转筐出入库明细!$C7="",0,1)</f>
        <v>0</v>
      </c>
      <c r="CQ2007">
        <f t="shared" si="632"/>
        <v>37</v>
      </c>
    </row>
    <row r="2008" spans="1:99">
      <c r="CP2008">
        <f>IF(周转筐出入库明细!$C8="",0,1)</f>
        <v>1</v>
      </c>
      <c r="CQ2008">
        <f t="shared" si="632"/>
        <v>38</v>
      </c>
    </row>
    <row r="2009" spans="1:99">
      <c r="CP2009">
        <f>IF(周转筐出入库明细!$C9="",0,1)</f>
        <v>1</v>
      </c>
      <c r="CQ2009">
        <f t="shared" si="632"/>
        <v>39</v>
      </c>
    </row>
    <row r="2010" spans="1:99">
      <c r="CP2010">
        <f>IF(周转筐出入库明细!$C10="",0,1)</f>
        <v>1</v>
      </c>
      <c r="CQ2010">
        <f t="shared" si="632"/>
        <v>40</v>
      </c>
    </row>
    <row r="2011" spans="1:99">
      <c r="CP2011">
        <f>IF(周转筐出入库明细!$C11="",0,1)</f>
        <v>1</v>
      </c>
      <c r="CQ2011">
        <f t="shared" si="632"/>
        <v>41</v>
      </c>
    </row>
    <row r="2012" spans="1:99">
      <c r="CP2012">
        <f>IF(周转筐出入库明细!$C12="",0,1)</f>
        <v>1</v>
      </c>
      <c r="CQ2012">
        <f t="shared" si="632"/>
        <v>42</v>
      </c>
    </row>
    <row r="2013" spans="1:99">
      <c r="CP2013">
        <f>IF(周转筐出入库明细!$C13="",0,1)</f>
        <v>1</v>
      </c>
      <c r="CQ2013">
        <f t="shared" si="632"/>
        <v>43</v>
      </c>
    </row>
    <row r="2014" spans="1:99">
      <c r="CP2014">
        <f>IF(周转筐出入库明细!$C14="",0,1)</f>
        <v>1</v>
      </c>
      <c r="CQ2014">
        <f t="shared" si="632"/>
        <v>44</v>
      </c>
    </row>
    <row r="2015" spans="1:99">
      <c r="CP2015">
        <f>IF(周转筐出入库明细!$C15="",0,1)</f>
        <v>1</v>
      </c>
      <c r="CQ2015">
        <f t="shared" si="632"/>
        <v>45</v>
      </c>
    </row>
    <row r="2016" spans="1:99">
      <c r="CP2016">
        <f>IF(周转筐出入库明细!$C16="",0,1)</f>
        <v>1</v>
      </c>
      <c r="CQ2016">
        <f t="shared" si="632"/>
        <v>46</v>
      </c>
    </row>
    <row r="2017" spans="94:95">
      <c r="CP2017">
        <f>IF(周转筐出入库明细!$C17="",0,1)</f>
        <v>1</v>
      </c>
      <c r="CQ2017">
        <f t="shared" si="632"/>
        <v>47</v>
      </c>
    </row>
    <row r="2018" spans="94:95">
      <c r="CP2018">
        <f>IF(周转筐出入库明细!$C18="",0,1)</f>
        <v>1</v>
      </c>
      <c r="CQ2018">
        <f t="shared" si="632"/>
        <v>48</v>
      </c>
    </row>
    <row r="2019" spans="94:95">
      <c r="CP2019">
        <f>IF(周转筐出入库明细!$C19="",0,1)</f>
        <v>1</v>
      </c>
      <c r="CQ2019">
        <f t="shared" si="632"/>
        <v>49</v>
      </c>
    </row>
    <row r="2020" spans="94:95">
      <c r="CP2020">
        <f>IF(周转筐出入库明细!$C20="",0,1)</f>
        <v>1</v>
      </c>
      <c r="CQ2020">
        <f t="shared" si="632"/>
        <v>50</v>
      </c>
    </row>
    <row r="2021" spans="94:95">
      <c r="CP2021">
        <f>IF(周转筐出入库明细!$C21="",0,1)</f>
        <v>1</v>
      </c>
      <c r="CQ2021">
        <f t="shared" si="632"/>
        <v>51</v>
      </c>
    </row>
    <row r="2022" spans="94:95">
      <c r="CP2022">
        <f>IF(周转筐出入库明细!$C22="",0,1)</f>
        <v>1</v>
      </c>
      <c r="CQ2022">
        <f t="shared" si="632"/>
        <v>52</v>
      </c>
    </row>
    <row r="2023" spans="94:95">
      <c r="CP2023">
        <f>IF(周转筐出入库明细!$C23="",0,1)</f>
        <v>1</v>
      </c>
      <c r="CQ2023">
        <f t="shared" si="632"/>
        <v>53</v>
      </c>
    </row>
    <row r="2024" spans="94:95">
      <c r="CP2024">
        <f>IF(周转筐出入库明细!$C24="",0,1)</f>
        <v>1</v>
      </c>
      <c r="CQ2024">
        <f t="shared" si="632"/>
        <v>54</v>
      </c>
    </row>
    <row r="2025" spans="94:95">
      <c r="CP2025">
        <f>IF(周转筐出入库明细!$C25="",0,1)</f>
        <v>1</v>
      </c>
      <c r="CQ2025">
        <f t="shared" si="632"/>
        <v>55</v>
      </c>
    </row>
    <row r="2026" spans="94:95">
      <c r="CP2026">
        <f>IF(周转筐出入库明细!$C26="",0,1)</f>
        <v>1</v>
      </c>
      <c r="CQ2026">
        <f t="shared" si="632"/>
        <v>56</v>
      </c>
    </row>
    <row r="2027" spans="94:95">
      <c r="CP2027">
        <f>IF(周转筐出入库明细!$C27="",0,1)</f>
        <v>1</v>
      </c>
      <c r="CQ2027">
        <f t="shared" si="632"/>
        <v>57</v>
      </c>
    </row>
    <row r="2028" spans="94:95">
      <c r="CP2028">
        <f>IF(周转筐出入库明细!$C28="",0,1)</f>
        <v>1</v>
      </c>
      <c r="CQ2028">
        <f t="shared" si="632"/>
        <v>58</v>
      </c>
    </row>
    <row r="2029" spans="94:95">
      <c r="CP2029">
        <f>IF(周转筐出入库明细!$C29="",0,1)</f>
        <v>1</v>
      </c>
      <c r="CQ2029">
        <f t="shared" si="632"/>
        <v>59</v>
      </c>
    </row>
    <row r="2030" spans="94:95">
      <c r="CP2030">
        <f>IF(周转筐出入库明细!$C30="",0,1)</f>
        <v>1</v>
      </c>
      <c r="CQ2030">
        <f t="shared" si="632"/>
        <v>60</v>
      </c>
    </row>
    <row r="2031" spans="94:95">
      <c r="CP2031">
        <f>IF(周转筐出入库明细!$C31="",0,1)</f>
        <v>1</v>
      </c>
      <c r="CQ2031">
        <f t="shared" si="632"/>
        <v>61</v>
      </c>
    </row>
    <row r="2032" spans="94:95">
      <c r="CP2032">
        <f>IF(周转筐出入库明细!$C32="",0,1)</f>
        <v>1</v>
      </c>
      <c r="CQ2032">
        <f t="shared" si="632"/>
        <v>62</v>
      </c>
    </row>
    <row r="2033" spans="94:95">
      <c r="CP2033">
        <f>IF(周转筐出入库明细!$C33="",0,1)</f>
        <v>1</v>
      </c>
      <c r="CQ2033">
        <f t="shared" si="632"/>
        <v>63</v>
      </c>
    </row>
    <row r="2034" spans="94:95">
      <c r="CP2034">
        <f>IF(周转筐出入库明细!$C34="",0,1)</f>
        <v>1</v>
      </c>
      <c r="CQ2034">
        <f t="shared" si="632"/>
        <v>64</v>
      </c>
    </row>
    <row r="2035" spans="94:95">
      <c r="CP2035">
        <f>IF(周转筐出入库明细!$C35="",0,1)</f>
        <v>1</v>
      </c>
      <c r="CQ2035">
        <f t="shared" si="632"/>
        <v>65</v>
      </c>
    </row>
    <row r="2036" spans="94:95">
      <c r="CP2036">
        <f>IF(周转筐出入库明细!$C36="",0,1)</f>
        <v>1</v>
      </c>
      <c r="CQ2036">
        <f t="shared" si="632"/>
        <v>66</v>
      </c>
    </row>
    <row r="2037" spans="94:95">
      <c r="CP2037">
        <f>IF(周转筐出入库明细!$C37="",0,1)</f>
        <v>1</v>
      </c>
      <c r="CQ2037">
        <f t="shared" si="632"/>
        <v>67</v>
      </c>
    </row>
    <row r="2038" spans="94:95">
      <c r="CP2038">
        <f>IF(周转筐出入库明细!$C38="",0,1)</f>
        <v>1</v>
      </c>
      <c r="CQ2038">
        <f t="shared" si="632"/>
        <v>68</v>
      </c>
    </row>
    <row r="2039" spans="94:95">
      <c r="CP2039">
        <f>IF(周转筐出入库明细!$C39="",0,1)</f>
        <v>1</v>
      </c>
      <c r="CQ2039">
        <f t="shared" si="632"/>
        <v>69</v>
      </c>
    </row>
    <row r="2040" spans="94:95">
      <c r="CP2040">
        <f>IF(周转筐出入库明细!$C40="",0,1)</f>
        <v>1</v>
      </c>
      <c r="CQ2040">
        <f t="shared" si="632"/>
        <v>70</v>
      </c>
    </row>
    <row r="2041" spans="94:95">
      <c r="CP2041">
        <f>IF(周转筐出入库明细!$C41="",0,1)</f>
        <v>1</v>
      </c>
      <c r="CQ2041">
        <f t="shared" si="632"/>
        <v>71</v>
      </c>
    </row>
    <row r="2042" spans="94:95">
      <c r="CP2042">
        <f>IF(周转筐出入库明细!$C42="",0,1)</f>
        <v>1</v>
      </c>
      <c r="CQ2042">
        <f t="shared" si="632"/>
        <v>72</v>
      </c>
    </row>
    <row r="2043" spans="94:95">
      <c r="CP2043">
        <f>IF(周转筐出入库明细!$C44="",0,1)</f>
        <v>1</v>
      </c>
      <c r="CQ2043">
        <f t="shared" si="632"/>
        <v>73</v>
      </c>
    </row>
    <row r="2044" spans="94:95">
      <c r="CP2044">
        <f>IF(周转筐出入库明细!$C45="",0,1)</f>
        <v>1</v>
      </c>
      <c r="CQ2044">
        <f t="shared" si="632"/>
        <v>74</v>
      </c>
    </row>
    <row r="2045" spans="94:95">
      <c r="CP2045">
        <f>IF(周转筐出入库明细!$C46="",0,1)</f>
        <v>1</v>
      </c>
      <c r="CQ2045">
        <f t="shared" si="632"/>
        <v>75</v>
      </c>
    </row>
    <row r="2046" spans="94:95">
      <c r="CP2046">
        <f>IF(周转筐出入库明细!$C47="",0,1)</f>
        <v>1</v>
      </c>
      <c r="CQ2046">
        <f t="shared" si="632"/>
        <v>76</v>
      </c>
    </row>
    <row r="2047" spans="94:95">
      <c r="CP2047">
        <f>IF(周转筐出入库明细!$C48="",0,1)</f>
        <v>1</v>
      </c>
      <c r="CQ2047">
        <f t="shared" si="632"/>
        <v>77</v>
      </c>
    </row>
    <row r="2048" spans="94:95">
      <c r="CP2048">
        <f>IF(周转筐出入库明细!$C49="",0,1)</f>
        <v>1</v>
      </c>
      <c r="CQ2048">
        <f t="shared" si="632"/>
        <v>78</v>
      </c>
    </row>
    <row r="2049" spans="94:95">
      <c r="CP2049">
        <f>IF(周转筐出入库明细!$C50="",0,1)</f>
        <v>1</v>
      </c>
      <c r="CQ2049">
        <f t="shared" si="632"/>
        <v>79</v>
      </c>
    </row>
    <row r="2050" spans="94:95">
      <c r="CP2050">
        <f>IF(周转筐出入库明细!$C51="",0,1)</f>
        <v>1</v>
      </c>
      <c r="CQ2050">
        <f t="shared" si="632"/>
        <v>80</v>
      </c>
    </row>
    <row r="2051" spans="94:95">
      <c r="CP2051">
        <f>IF(周转筐出入库明细!$C52="",0,1)</f>
        <v>1</v>
      </c>
      <c r="CQ2051">
        <f t="shared" si="632"/>
        <v>81</v>
      </c>
    </row>
    <row r="2052" spans="94:95">
      <c r="CP2052">
        <f>IF(周转筐出入库明细!$C53="",0,1)</f>
        <v>1</v>
      </c>
      <c r="CQ2052">
        <f t="shared" ref="CQ2052:CQ2115" si="635">N(CQ2051)+$CP2052</f>
        <v>82</v>
      </c>
    </row>
    <row r="2053" spans="94:95">
      <c r="CP2053">
        <f>IF(周转筐出入库明细!$C54="",0,1)</f>
        <v>1</v>
      </c>
      <c r="CQ2053">
        <f t="shared" si="635"/>
        <v>83</v>
      </c>
    </row>
    <row r="2054" spans="94:95">
      <c r="CP2054">
        <f>IF(周转筐出入库明细!$C55="",0,1)</f>
        <v>1</v>
      </c>
      <c r="CQ2054">
        <f t="shared" si="635"/>
        <v>84</v>
      </c>
    </row>
    <row r="2055" spans="94:95">
      <c r="CP2055">
        <f>IF(周转筐出入库明细!$C56="",0,1)</f>
        <v>1</v>
      </c>
      <c r="CQ2055">
        <f t="shared" si="635"/>
        <v>85</v>
      </c>
    </row>
    <row r="2056" spans="94:95">
      <c r="CP2056">
        <f>IF(周转筐出入库明细!$C57="",0,1)</f>
        <v>1</v>
      </c>
      <c r="CQ2056">
        <f t="shared" si="635"/>
        <v>86</v>
      </c>
    </row>
    <row r="2057" spans="94:95">
      <c r="CP2057">
        <f>IF(周转筐出入库明细!$C58="",0,1)</f>
        <v>1</v>
      </c>
      <c r="CQ2057">
        <f t="shared" si="635"/>
        <v>87</v>
      </c>
    </row>
    <row r="2058" spans="94:95">
      <c r="CP2058">
        <f>IF(周转筐出入库明细!$C59="",0,1)</f>
        <v>1</v>
      </c>
      <c r="CQ2058">
        <f t="shared" si="635"/>
        <v>88</v>
      </c>
    </row>
    <row r="2059" spans="94:95">
      <c r="CP2059">
        <f>IF(周转筐出入库明细!$C60="",0,1)</f>
        <v>1</v>
      </c>
      <c r="CQ2059">
        <f t="shared" si="635"/>
        <v>89</v>
      </c>
    </row>
    <row r="2060" spans="94:95">
      <c r="CP2060">
        <f>IF(周转筐出入库明细!$C61="",0,1)</f>
        <v>1</v>
      </c>
      <c r="CQ2060">
        <f t="shared" si="635"/>
        <v>90</v>
      </c>
    </row>
    <row r="2061" spans="94:95">
      <c r="CP2061">
        <f>IF(周转筐出入库明细!$C62="",0,1)</f>
        <v>1</v>
      </c>
      <c r="CQ2061">
        <f t="shared" si="635"/>
        <v>91</v>
      </c>
    </row>
    <row r="2062" spans="94:95">
      <c r="CP2062">
        <f>IF(周转筐出入库明细!$C63="",0,1)</f>
        <v>1</v>
      </c>
      <c r="CQ2062">
        <f t="shared" si="635"/>
        <v>92</v>
      </c>
    </row>
    <row r="2063" spans="94:95">
      <c r="CP2063">
        <f>IF(周转筐出入库明细!$C64="",0,1)</f>
        <v>1</v>
      </c>
      <c r="CQ2063">
        <f t="shared" si="635"/>
        <v>93</v>
      </c>
    </row>
    <row r="2064" spans="94:95">
      <c r="CP2064">
        <f>IF(周转筐出入库明细!$C65="",0,1)</f>
        <v>1</v>
      </c>
      <c r="CQ2064">
        <f t="shared" si="635"/>
        <v>94</v>
      </c>
    </row>
    <row r="2065" spans="94:95">
      <c r="CP2065">
        <f>IF(周转筐出入库明细!$C66="",0,1)</f>
        <v>1</v>
      </c>
      <c r="CQ2065">
        <f t="shared" si="635"/>
        <v>95</v>
      </c>
    </row>
    <row r="2066" spans="94:95">
      <c r="CP2066">
        <f>IF(周转筐出入库明细!$C67="",0,1)</f>
        <v>1</v>
      </c>
      <c r="CQ2066">
        <f t="shared" si="635"/>
        <v>96</v>
      </c>
    </row>
    <row r="2067" spans="94:95">
      <c r="CP2067">
        <f>IF(周转筐出入库明细!$C68="",0,1)</f>
        <v>1</v>
      </c>
      <c r="CQ2067">
        <f t="shared" si="635"/>
        <v>97</v>
      </c>
    </row>
    <row r="2068" spans="94:95">
      <c r="CP2068">
        <f>IF(周转筐出入库明细!$C69="",0,1)</f>
        <v>1</v>
      </c>
      <c r="CQ2068">
        <f t="shared" si="635"/>
        <v>98</v>
      </c>
    </row>
    <row r="2069" spans="94:95">
      <c r="CP2069">
        <f>IF(周转筐出入库明细!$C70="",0,1)</f>
        <v>1</v>
      </c>
      <c r="CQ2069">
        <f t="shared" si="635"/>
        <v>99</v>
      </c>
    </row>
    <row r="2070" spans="94:95">
      <c r="CP2070">
        <f>IF(周转筐出入库明细!$C71="",0,1)</f>
        <v>1</v>
      </c>
      <c r="CQ2070">
        <f t="shared" si="635"/>
        <v>100</v>
      </c>
    </row>
    <row r="2071" spans="94:95">
      <c r="CP2071">
        <f>IF(周转筐出入库明细!$C72="",0,1)</f>
        <v>1</v>
      </c>
      <c r="CQ2071">
        <f t="shared" si="635"/>
        <v>101</v>
      </c>
    </row>
    <row r="2072" spans="94:95">
      <c r="CP2072">
        <f>IF(周转筐出入库明细!$C73="",0,1)</f>
        <v>1</v>
      </c>
      <c r="CQ2072">
        <f t="shared" si="635"/>
        <v>102</v>
      </c>
    </row>
    <row r="2073" spans="94:95">
      <c r="CP2073">
        <f>IF(周转筐出入库明细!$C74="",0,1)</f>
        <v>1</v>
      </c>
      <c r="CQ2073">
        <f t="shared" si="635"/>
        <v>103</v>
      </c>
    </row>
    <row r="2074" spans="94:95">
      <c r="CP2074">
        <f>IF(周转筐出入库明细!$C75="",0,1)</f>
        <v>1</v>
      </c>
      <c r="CQ2074">
        <f t="shared" si="635"/>
        <v>104</v>
      </c>
    </row>
    <row r="2075" spans="94:95">
      <c r="CP2075">
        <f>IF(周转筐出入库明细!$C76="",0,1)</f>
        <v>1</v>
      </c>
      <c r="CQ2075">
        <f t="shared" si="635"/>
        <v>105</v>
      </c>
    </row>
    <row r="2076" spans="94:95">
      <c r="CP2076">
        <f>IF(周转筐出入库明细!$C77="",0,1)</f>
        <v>1</v>
      </c>
      <c r="CQ2076">
        <f t="shared" si="635"/>
        <v>106</v>
      </c>
    </row>
    <row r="2077" spans="94:95">
      <c r="CP2077">
        <f>IF(周转筐出入库明细!$C78="",0,1)</f>
        <v>1</v>
      </c>
      <c r="CQ2077">
        <f t="shared" si="635"/>
        <v>107</v>
      </c>
    </row>
    <row r="2078" spans="94:95">
      <c r="CP2078">
        <f>IF(周转筐出入库明细!$C79="",0,1)</f>
        <v>1</v>
      </c>
      <c r="CQ2078">
        <f t="shared" si="635"/>
        <v>108</v>
      </c>
    </row>
    <row r="2079" spans="94:95">
      <c r="CP2079">
        <f>IF(周转筐出入库明细!$C80="",0,1)</f>
        <v>0</v>
      </c>
      <c r="CQ2079">
        <f t="shared" si="635"/>
        <v>108</v>
      </c>
    </row>
    <row r="2080" spans="94:95">
      <c r="CP2080">
        <f>IF(周转筐出入库明细!$C81="",0,1)</f>
        <v>0</v>
      </c>
      <c r="CQ2080">
        <f t="shared" si="635"/>
        <v>108</v>
      </c>
    </row>
    <row r="2081" spans="94:95">
      <c r="CP2081">
        <f>IF(周转筐出入库明细!$C82="",0,1)</f>
        <v>0</v>
      </c>
      <c r="CQ2081">
        <f t="shared" si="635"/>
        <v>108</v>
      </c>
    </row>
    <row r="2082" spans="94:95">
      <c r="CP2082">
        <f>IF(周转筐出入库明细!$C83="",0,1)</f>
        <v>0</v>
      </c>
      <c r="CQ2082">
        <f t="shared" si="635"/>
        <v>108</v>
      </c>
    </row>
    <row r="2083" spans="94:95">
      <c r="CP2083">
        <f>IF(周转筐出入库明细!$C84="",0,1)</f>
        <v>0</v>
      </c>
      <c r="CQ2083">
        <f t="shared" si="635"/>
        <v>108</v>
      </c>
    </row>
    <row r="2084" spans="94:95">
      <c r="CP2084">
        <f>IF(周转筐出入库明细!$C85="",0,1)</f>
        <v>0</v>
      </c>
      <c r="CQ2084">
        <f t="shared" si="635"/>
        <v>108</v>
      </c>
    </row>
    <row r="2085" spans="94:95">
      <c r="CP2085">
        <f>IF(周转筐出入库明细!$C86="",0,1)</f>
        <v>0</v>
      </c>
      <c r="CQ2085">
        <f t="shared" si="635"/>
        <v>108</v>
      </c>
    </row>
    <row r="2086" spans="94:95">
      <c r="CP2086">
        <f>IF(周转筐出入库明细!$C87="",0,1)</f>
        <v>0</v>
      </c>
      <c r="CQ2086">
        <f t="shared" si="635"/>
        <v>108</v>
      </c>
    </row>
    <row r="2087" spans="94:95">
      <c r="CP2087">
        <f>IF(周转筐出入库明细!$C88="",0,1)</f>
        <v>0</v>
      </c>
      <c r="CQ2087">
        <f t="shared" si="635"/>
        <v>108</v>
      </c>
    </row>
    <row r="2088" spans="94:95">
      <c r="CP2088">
        <f>IF(周转筐出入库明细!$C89="",0,1)</f>
        <v>0</v>
      </c>
      <c r="CQ2088">
        <f t="shared" si="635"/>
        <v>108</v>
      </c>
    </row>
    <row r="2089" spans="94:95">
      <c r="CP2089">
        <f>IF(周转筐出入库明细!$C90="",0,1)</f>
        <v>0</v>
      </c>
      <c r="CQ2089">
        <f t="shared" si="635"/>
        <v>108</v>
      </c>
    </row>
    <row r="2090" spans="94:95">
      <c r="CP2090">
        <f>IF(周转筐出入库明细!$C91="",0,1)</f>
        <v>0</v>
      </c>
      <c r="CQ2090">
        <f t="shared" si="635"/>
        <v>108</v>
      </c>
    </row>
    <row r="2091" spans="94:95">
      <c r="CP2091">
        <f>IF(周转筐出入库明细!$C92="",0,1)</f>
        <v>0</v>
      </c>
      <c r="CQ2091">
        <f t="shared" si="635"/>
        <v>108</v>
      </c>
    </row>
    <row r="2092" spans="94:95">
      <c r="CP2092">
        <f>IF(周转筐出入库明细!$C93="",0,1)</f>
        <v>0</v>
      </c>
      <c r="CQ2092">
        <f t="shared" si="635"/>
        <v>108</v>
      </c>
    </row>
    <row r="2093" spans="94:95">
      <c r="CP2093">
        <f>IF(周转筐出入库明细!$C94="",0,1)</f>
        <v>0</v>
      </c>
      <c r="CQ2093">
        <f t="shared" si="635"/>
        <v>108</v>
      </c>
    </row>
    <row r="2094" spans="94:95">
      <c r="CP2094">
        <f>IF(周转筐出入库明细!$C95="",0,1)</f>
        <v>0</v>
      </c>
      <c r="CQ2094">
        <f t="shared" si="635"/>
        <v>108</v>
      </c>
    </row>
    <row r="2095" spans="94:95">
      <c r="CP2095">
        <f>IF(周转筐出入库明细!$C96="",0,1)</f>
        <v>0</v>
      </c>
      <c r="CQ2095">
        <f t="shared" si="635"/>
        <v>108</v>
      </c>
    </row>
    <row r="2096" spans="94:95">
      <c r="CP2096">
        <f>IF(周转筐出入库明细!$C97="",0,1)</f>
        <v>0</v>
      </c>
      <c r="CQ2096">
        <f t="shared" si="635"/>
        <v>108</v>
      </c>
    </row>
    <row r="2097" spans="94:95">
      <c r="CP2097">
        <f>IF(周转筐出入库明细!$C98="",0,1)</f>
        <v>0</v>
      </c>
      <c r="CQ2097">
        <f t="shared" si="635"/>
        <v>108</v>
      </c>
    </row>
    <row r="2098" spans="94:95">
      <c r="CP2098">
        <f>IF(周转筐出入库明细!$C99="",0,1)</f>
        <v>0</v>
      </c>
      <c r="CQ2098">
        <f t="shared" si="635"/>
        <v>108</v>
      </c>
    </row>
    <row r="2099" spans="94:95">
      <c r="CP2099">
        <f>IF(周转筐出入库明细!$C100="",0,1)</f>
        <v>0</v>
      </c>
      <c r="CQ2099">
        <f t="shared" si="635"/>
        <v>108</v>
      </c>
    </row>
    <row r="2100" spans="94:95">
      <c r="CP2100">
        <f>IF(周转筐出入库明细!$C101="",0,1)</f>
        <v>0</v>
      </c>
      <c r="CQ2100">
        <f t="shared" si="635"/>
        <v>108</v>
      </c>
    </row>
    <row r="2101" spans="94:95">
      <c r="CP2101">
        <f>IF(周转筐出入库明细!$C102="",0,1)</f>
        <v>0</v>
      </c>
      <c r="CQ2101">
        <f t="shared" si="635"/>
        <v>108</v>
      </c>
    </row>
    <row r="2102" spans="94:95">
      <c r="CP2102">
        <f>IF(周转筐出入库明细!$C103="",0,1)</f>
        <v>0</v>
      </c>
      <c r="CQ2102">
        <f t="shared" si="635"/>
        <v>108</v>
      </c>
    </row>
    <row r="2103" spans="94:95">
      <c r="CP2103">
        <f>IF(周转筐出入库明细!$C104="",0,1)</f>
        <v>0</v>
      </c>
      <c r="CQ2103">
        <f t="shared" si="635"/>
        <v>108</v>
      </c>
    </row>
    <row r="2104" spans="94:95">
      <c r="CP2104">
        <f>IF(周转筐出入库明细!$C105="",0,1)</f>
        <v>0</v>
      </c>
      <c r="CQ2104">
        <f t="shared" si="635"/>
        <v>108</v>
      </c>
    </row>
    <row r="2105" spans="94:95">
      <c r="CP2105">
        <f>IF(周转筐出入库明细!$C106="",0,1)</f>
        <v>0</v>
      </c>
      <c r="CQ2105">
        <f t="shared" si="635"/>
        <v>108</v>
      </c>
    </row>
    <row r="2106" spans="94:95">
      <c r="CP2106">
        <f>IF(周转筐出入库明细!$C107="",0,1)</f>
        <v>0</v>
      </c>
      <c r="CQ2106">
        <f t="shared" si="635"/>
        <v>108</v>
      </c>
    </row>
    <row r="2107" spans="94:95">
      <c r="CP2107">
        <f>IF(周转筐出入库明细!$C108="",0,1)</f>
        <v>0</v>
      </c>
      <c r="CQ2107">
        <f t="shared" si="635"/>
        <v>108</v>
      </c>
    </row>
    <row r="2108" spans="94:95">
      <c r="CP2108">
        <f>IF(周转筐出入库明细!$C109="",0,1)</f>
        <v>0</v>
      </c>
      <c r="CQ2108">
        <f t="shared" si="635"/>
        <v>108</v>
      </c>
    </row>
    <row r="2109" spans="94:95">
      <c r="CP2109">
        <f>IF(周转筐出入库明细!$C110="",0,1)</f>
        <v>0</v>
      </c>
      <c r="CQ2109">
        <f t="shared" si="635"/>
        <v>108</v>
      </c>
    </row>
    <row r="2110" spans="94:95">
      <c r="CP2110">
        <f>IF(周转筐出入库明细!$C111="",0,1)</f>
        <v>0</v>
      </c>
      <c r="CQ2110">
        <f t="shared" si="635"/>
        <v>108</v>
      </c>
    </row>
    <row r="2111" spans="94:95">
      <c r="CP2111">
        <f>IF(周转筐出入库明细!$C112="",0,1)</f>
        <v>0</v>
      </c>
      <c r="CQ2111">
        <f t="shared" si="635"/>
        <v>108</v>
      </c>
    </row>
    <row r="2112" spans="94:95">
      <c r="CP2112">
        <f>IF(周转筐出入库明细!$C113="",0,1)</f>
        <v>0</v>
      </c>
      <c r="CQ2112">
        <f t="shared" si="635"/>
        <v>108</v>
      </c>
    </row>
    <row r="2113" spans="94:95">
      <c r="CP2113">
        <f>IF(周转筐出入库明细!$C114="",0,1)</f>
        <v>0</v>
      </c>
      <c r="CQ2113">
        <f t="shared" si="635"/>
        <v>108</v>
      </c>
    </row>
    <row r="2114" spans="94:95">
      <c r="CP2114">
        <f>IF(周转筐出入库明细!$C115="",0,1)</f>
        <v>0</v>
      </c>
      <c r="CQ2114">
        <f t="shared" si="635"/>
        <v>108</v>
      </c>
    </row>
    <row r="2115" spans="94:95">
      <c r="CP2115">
        <f>IF(周转筐出入库明细!$C116="",0,1)</f>
        <v>0</v>
      </c>
      <c r="CQ2115">
        <f t="shared" si="635"/>
        <v>108</v>
      </c>
    </row>
    <row r="2116" spans="94:95">
      <c r="CP2116">
        <f>IF(周转筐出入库明细!$C117="",0,1)</f>
        <v>0</v>
      </c>
      <c r="CQ2116">
        <f t="shared" ref="CQ2116:CQ2179" si="636">N(CQ2115)+$CP2116</f>
        <v>108</v>
      </c>
    </row>
    <row r="2117" spans="94:95">
      <c r="CP2117">
        <f>IF(周转筐出入库明细!$C118="",0,1)</f>
        <v>0</v>
      </c>
      <c r="CQ2117">
        <f t="shared" si="636"/>
        <v>108</v>
      </c>
    </row>
    <row r="2118" spans="94:95">
      <c r="CP2118">
        <f>IF(周转筐出入库明细!$C119="",0,1)</f>
        <v>0</v>
      </c>
      <c r="CQ2118">
        <f t="shared" si="636"/>
        <v>108</v>
      </c>
    </row>
    <row r="2119" spans="94:95">
      <c r="CP2119">
        <f>IF(周转筐出入库明细!$C120="",0,1)</f>
        <v>0</v>
      </c>
      <c r="CQ2119">
        <f t="shared" si="636"/>
        <v>108</v>
      </c>
    </row>
    <row r="2120" spans="94:95">
      <c r="CP2120">
        <f>IF(周转筐出入库明细!$C121="",0,1)</f>
        <v>0</v>
      </c>
      <c r="CQ2120">
        <f t="shared" si="636"/>
        <v>108</v>
      </c>
    </row>
    <row r="2121" spans="94:95">
      <c r="CP2121">
        <f>IF(周转筐出入库明细!$C122="",0,1)</f>
        <v>0</v>
      </c>
      <c r="CQ2121">
        <f t="shared" si="636"/>
        <v>108</v>
      </c>
    </row>
    <row r="2122" spans="94:95">
      <c r="CP2122">
        <f>IF(周转筐出入库明细!$C123="",0,1)</f>
        <v>0</v>
      </c>
      <c r="CQ2122">
        <f t="shared" si="636"/>
        <v>108</v>
      </c>
    </row>
    <row r="2123" spans="94:95">
      <c r="CP2123">
        <f>IF(周转筐出入库明细!$C124="",0,1)</f>
        <v>0</v>
      </c>
      <c r="CQ2123">
        <f t="shared" si="636"/>
        <v>108</v>
      </c>
    </row>
    <row r="2124" spans="94:95">
      <c r="CP2124">
        <f>IF(周转筐出入库明细!$C125="",0,1)</f>
        <v>0</v>
      </c>
      <c r="CQ2124">
        <f t="shared" si="636"/>
        <v>108</v>
      </c>
    </row>
    <row r="2125" spans="94:95">
      <c r="CP2125">
        <f>IF(周转筐出入库明细!$C126="",0,1)</f>
        <v>0</v>
      </c>
      <c r="CQ2125">
        <f t="shared" si="636"/>
        <v>108</v>
      </c>
    </row>
    <row r="2126" spans="94:95">
      <c r="CP2126">
        <f>IF(周转筐出入库明细!$C127="",0,1)</f>
        <v>0</v>
      </c>
      <c r="CQ2126">
        <f t="shared" si="636"/>
        <v>108</v>
      </c>
    </row>
    <row r="2127" spans="94:95">
      <c r="CP2127">
        <f>IF(周转筐出入库明细!$C128="",0,1)</f>
        <v>0</v>
      </c>
      <c r="CQ2127">
        <f t="shared" si="636"/>
        <v>108</v>
      </c>
    </row>
    <row r="2128" spans="94:95">
      <c r="CP2128">
        <f>IF(周转筐出入库明细!$C129="",0,1)</f>
        <v>0</v>
      </c>
      <c r="CQ2128">
        <f t="shared" si="636"/>
        <v>108</v>
      </c>
    </row>
    <row r="2129" spans="94:95">
      <c r="CP2129">
        <f>IF(周转筐出入库明细!$C130="",0,1)</f>
        <v>0</v>
      </c>
      <c r="CQ2129">
        <f t="shared" si="636"/>
        <v>108</v>
      </c>
    </row>
    <row r="2130" spans="94:95">
      <c r="CP2130">
        <f>IF(周转筐出入库明细!$C131="",0,1)</f>
        <v>0</v>
      </c>
      <c r="CQ2130">
        <f t="shared" si="636"/>
        <v>108</v>
      </c>
    </row>
    <row r="2131" spans="94:95">
      <c r="CP2131">
        <f>IF(周转筐出入库明细!$C132="",0,1)</f>
        <v>0</v>
      </c>
      <c r="CQ2131">
        <f t="shared" si="636"/>
        <v>108</v>
      </c>
    </row>
    <row r="2132" spans="94:95">
      <c r="CP2132">
        <f>IF(周转筐出入库明细!$C133="",0,1)</f>
        <v>0</v>
      </c>
      <c r="CQ2132">
        <f t="shared" si="636"/>
        <v>108</v>
      </c>
    </row>
    <row r="2133" spans="94:95">
      <c r="CP2133">
        <f>IF(周转筐出入库明细!$C134="",0,1)</f>
        <v>0</v>
      </c>
      <c r="CQ2133">
        <f t="shared" si="636"/>
        <v>108</v>
      </c>
    </row>
    <row r="2134" spans="94:95">
      <c r="CP2134">
        <f>IF(周转筐出入库明细!$C135="",0,1)</f>
        <v>0</v>
      </c>
      <c r="CQ2134">
        <f t="shared" si="636"/>
        <v>108</v>
      </c>
    </row>
    <row r="2135" spans="94:95">
      <c r="CP2135">
        <f>IF(周转筐出入库明细!$C136="",0,1)</f>
        <v>0</v>
      </c>
      <c r="CQ2135">
        <f t="shared" si="636"/>
        <v>108</v>
      </c>
    </row>
    <row r="2136" spans="94:95">
      <c r="CP2136">
        <f>IF(周转筐出入库明细!$C137="",0,1)</f>
        <v>0</v>
      </c>
      <c r="CQ2136">
        <f t="shared" si="636"/>
        <v>108</v>
      </c>
    </row>
    <row r="2137" spans="94:95">
      <c r="CP2137">
        <f>IF(周转筐出入库明细!$C138="",0,1)</f>
        <v>0</v>
      </c>
      <c r="CQ2137">
        <f t="shared" si="636"/>
        <v>108</v>
      </c>
    </row>
    <row r="2138" spans="94:95">
      <c r="CP2138">
        <f>IF(周转筐出入库明细!$C139="",0,1)</f>
        <v>0</v>
      </c>
      <c r="CQ2138">
        <f t="shared" si="636"/>
        <v>108</v>
      </c>
    </row>
    <row r="2139" spans="94:95">
      <c r="CP2139">
        <f>IF(周转筐出入库明细!$C140="",0,1)</f>
        <v>0</v>
      </c>
      <c r="CQ2139">
        <f t="shared" si="636"/>
        <v>108</v>
      </c>
    </row>
    <row r="2140" spans="94:95">
      <c r="CP2140">
        <f>IF(周转筐出入库明细!$C141="",0,1)</f>
        <v>0</v>
      </c>
      <c r="CQ2140">
        <f t="shared" si="636"/>
        <v>108</v>
      </c>
    </row>
    <row r="2141" spans="94:95">
      <c r="CP2141">
        <f>IF(周转筐出入库明细!$C142="",0,1)</f>
        <v>0</v>
      </c>
      <c r="CQ2141">
        <f t="shared" si="636"/>
        <v>108</v>
      </c>
    </row>
    <row r="2142" spans="94:95">
      <c r="CP2142">
        <f>IF(周转筐出入库明细!$C143="",0,1)</f>
        <v>0</v>
      </c>
      <c r="CQ2142">
        <f t="shared" si="636"/>
        <v>108</v>
      </c>
    </row>
    <row r="2143" spans="94:95">
      <c r="CP2143">
        <f>IF(周转筐出入库明细!$C144="",0,1)</f>
        <v>0</v>
      </c>
      <c r="CQ2143">
        <f t="shared" si="636"/>
        <v>108</v>
      </c>
    </row>
    <row r="2144" spans="94:95">
      <c r="CP2144">
        <f>IF(周转筐出入库明细!$C145="",0,1)</f>
        <v>0</v>
      </c>
      <c r="CQ2144">
        <f t="shared" si="636"/>
        <v>108</v>
      </c>
    </row>
    <row r="2145" spans="94:95">
      <c r="CP2145">
        <f>IF(周转筐出入库明细!$C146="",0,1)</f>
        <v>0</v>
      </c>
      <c r="CQ2145">
        <f t="shared" si="636"/>
        <v>108</v>
      </c>
    </row>
    <row r="2146" spans="94:95">
      <c r="CP2146">
        <f>IF(周转筐出入库明细!$C147="",0,1)</f>
        <v>0</v>
      </c>
      <c r="CQ2146">
        <f t="shared" si="636"/>
        <v>108</v>
      </c>
    </row>
    <row r="2147" spans="94:95">
      <c r="CP2147">
        <f>IF(周转筐出入库明细!$C148="",0,1)</f>
        <v>0</v>
      </c>
      <c r="CQ2147">
        <f t="shared" si="636"/>
        <v>108</v>
      </c>
    </row>
    <row r="2148" spans="94:95">
      <c r="CP2148">
        <f>IF(周转筐出入库明细!$C149="",0,1)</f>
        <v>0</v>
      </c>
      <c r="CQ2148">
        <f t="shared" si="636"/>
        <v>108</v>
      </c>
    </row>
    <row r="2149" spans="94:95">
      <c r="CP2149">
        <f>IF(周转筐出入库明细!$C150="",0,1)</f>
        <v>0</v>
      </c>
      <c r="CQ2149">
        <f t="shared" si="636"/>
        <v>108</v>
      </c>
    </row>
    <row r="2150" spans="94:95">
      <c r="CP2150">
        <f>IF(周转筐出入库明细!$C151="",0,1)</f>
        <v>0</v>
      </c>
      <c r="CQ2150">
        <f t="shared" si="636"/>
        <v>108</v>
      </c>
    </row>
    <row r="2151" spans="94:95">
      <c r="CP2151">
        <f>IF(周转筐出入库明细!$C152="",0,1)</f>
        <v>0</v>
      </c>
      <c r="CQ2151">
        <f t="shared" si="636"/>
        <v>108</v>
      </c>
    </row>
    <row r="2152" spans="94:95">
      <c r="CP2152">
        <f>IF(周转筐出入库明细!$C153="",0,1)</f>
        <v>0</v>
      </c>
      <c r="CQ2152">
        <f t="shared" si="636"/>
        <v>108</v>
      </c>
    </row>
    <row r="2153" spans="94:95">
      <c r="CP2153">
        <f>IF(周转筐出入库明细!$C154="",0,1)</f>
        <v>0</v>
      </c>
      <c r="CQ2153">
        <f t="shared" si="636"/>
        <v>108</v>
      </c>
    </row>
    <row r="2154" spans="94:95">
      <c r="CP2154">
        <f>IF(周转筐出入库明细!$C155="",0,1)</f>
        <v>0</v>
      </c>
      <c r="CQ2154">
        <f t="shared" si="636"/>
        <v>108</v>
      </c>
    </row>
    <row r="2155" spans="94:95">
      <c r="CP2155">
        <f>IF(周转筐出入库明细!$C156="",0,1)</f>
        <v>0</v>
      </c>
      <c r="CQ2155">
        <f t="shared" si="636"/>
        <v>108</v>
      </c>
    </row>
    <row r="2156" spans="94:95">
      <c r="CP2156">
        <f>IF(周转筐出入库明细!$C157="",0,1)</f>
        <v>0</v>
      </c>
      <c r="CQ2156">
        <f t="shared" si="636"/>
        <v>108</v>
      </c>
    </row>
    <row r="2157" spans="94:95">
      <c r="CP2157">
        <f>IF(周转筐出入库明细!$C158="",0,1)</f>
        <v>0</v>
      </c>
      <c r="CQ2157">
        <f t="shared" si="636"/>
        <v>108</v>
      </c>
    </row>
    <row r="2158" spans="94:95">
      <c r="CP2158">
        <f>IF(周转筐出入库明细!$C159="",0,1)</f>
        <v>0</v>
      </c>
      <c r="CQ2158">
        <f t="shared" si="636"/>
        <v>108</v>
      </c>
    </row>
    <row r="2159" spans="94:95">
      <c r="CP2159">
        <f>IF(周转筐出入库明细!$C160="",0,1)</f>
        <v>0</v>
      </c>
      <c r="CQ2159">
        <f t="shared" si="636"/>
        <v>108</v>
      </c>
    </row>
    <row r="2160" spans="94:95">
      <c r="CP2160">
        <f>IF(周转筐出入库明细!$C161="",0,1)</f>
        <v>0</v>
      </c>
      <c r="CQ2160">
        <f t="shared" si="636"/>
        <v>108</v>
      </c>
    </row>
    <row r="2161" spans="94:95">
      <c r="CP2161">
        <f>IF(周转筐出入库明细!$C162="",0,1)</f>
        <v>0</v>
      </c>
      <c r="CQ2161">
        <f t="shared" si="636"/>
        <v>108</v>
      </c>
    </row>
    <row r="2162" spans="94:95">
      <c r="CP2162">
        <f>IF(周转筐出入库明细!$C163="",0,1)</f>
        <v>0</v>
      </c>
      <c r="CQ2162">
        <f t="shared" si="636"/>
        <v>108</v>
      </c>
    </row>
    <row r="2163" spans="94:95">
      <c r="CP2163">
        <f>IF(周转筐出入库明细!$C164="",0,1)</f>
        <v>0</v>
      </c>
      <c r="CQ2163">
        <f t="shared" si="636"/>
        <v>108</v>
      </c>
    </row>
    <row r="2164" spans="94:95">
      <c r="CP2164">
        <f>IF(周转筐出入库明细!$C165="",0,1)</f>
        <v>0</v>
      </c>
      <c r="CQ2164">
        <f t="shared" si="636"/>
        <v>108</v>
      </c>
    </row>
    <row r="2165" spans="94:95">
      <c r="CP2165">
        <f>IF(周转筐出入库明细!$C166="",0,1)</f>
        <v>0</v>
      </c>
      <c r="CQ2165">
        <f t="shared" si="636"/>
        <v>108</v>
      </c>
    </row>
    <row r="2166" spans="94:95">
      <c r="CP2166">
        <f>IF(周转筐出入库明细!$C167="",0,1)</f>
        <v>0</v>
      </c>
      <c r="CQ2166">
        <f t="shared" si="636"/>
        <v>108</v>
      </c>
    </row>
    <row r="2167" spans="94:95">
      <c r="CP2167">
        <f>IF(周转筐出入库明细!$C168="",0,1)</f>
        <v>0</v>
      </c>
      <c r="CQ2167">
        <f t="shared" si="636"/>
        <v>108</v>
      </c>
    </row>
    <row r="2168" spans="94:95">
      <c r="CP2168">
        <f>IF(周转筐出入库明细!$C169="",0,1)</f>
        <v>0</v>
      </c>
      <c r="CQ2168">
        <f t="shared" si="636"/>
        <v>108</v>
      </c>
    </row>
    <row r="2169" spans="94:95">
      <c r="CP2169">
        <f>IF(周转筐出入库明细!$C170="",0,1)</f>
        <v>0</v>
      </c>
      <c r="CQ2169">
        <f t="shared" si="636"/>
        <v>108</v>
      </c>
    </row>
    <row r="2170" spans="94:95">
      <c r="CP2170">
        <f>IF(周转筐出入库明细!$C171="",0,1)</f>
        <v>0</v>
      </c>
      <c r="CQ2170">
        <f t="shared" si="636"/>
        <v>108</v>
      </c>
    </row>
    <row r="2171" spans="94:95">
      <c r="CP2171">
        <f>IF(周转筐出入库明细!$C172="",0,1)</f>
        <v>0</v>
      </c>
      <c r="CQ2171">
        <f t="shared" si="636"/>
        <v>108</v>
      </c>
    </row>
    <row r="2172" spans="94:95">
      <c r="CP2172">
        <f>IF(周转筐出入库明细!$C173="",0,1)</f>
        <v>0</v>
      </c>
      <c r="CQ2172">
        <f t="shared" si="636"/>
        <v>108</v>
      </c>
    </row>
    <row r="2173" spans="94:95">
      <c r="CP2173">
        <f>IF(周转筐出入库明细!$C174="",0,1)</f>
        <v>0</v>
      </c>
      <c r="CQ2173">
        <f t="shared" si="636"/>
        <v>108</v>
      </c>
    </row>
    <row r="2174" spans="94:95">
      <c r="CP2174">
        <f>IF(周转筐出入库明细!$C175="",0,1)</f>
        <v>0</v>
      </c>
      <c r="CQ2174">
        <f t="shared" si="636"/>
        <v>108</v>
      </c>
    </row>
    <row r="2175" spans="94:95">
      <c r="CP2175">
        <f>IF(周转筐出入库明细!$C176="",0,1)</f>
        <v>0</v>
      </c>
      <c r="CQ2175">
        <f t="shared" si="636"/>
        <v>108</v>
      </c>
    </row>
    <row r="2176" spans="94:95">
      <c r="CP2176">
        <f>IF(周转筐出入库明细!$C177="",0,1)</f>
        <v>0</v>
      </c>
      <c r="CQ2176">
        <f t="shared" si="636"/>
        <v>108</v>
      </c>
    </row>
    <row r="2177" spans="94:95">
      <c r="CP2177">
        <f>IF(周转筐出入库明细!$C178="",0,1)</f>
        <v>0</v>
      </c>
      <c r="CQ2177">
        <f t="shared" si="636"/>
        <v>108</v>
      </c>
    </row>
    <row r="2178" spans="94:95">
      <c r="CP2178">
        <f>IF(周转筐出入库明细!$C179="",0,1)</f>
        <v>0</v>
      </c>
      <c r="CQ2178">
        <f t="shared" si="636"/>
        <v>108</v>
      </c>
    </row>
    <row r="2179" spans="94:95">
      <c r="CP2179">
        <f>IF(周转筐出入库明细!$C180="",0,1)</f>
        <v>0</v>
      </c>
      <c r="CQ2179">
        <f t="shared" si="636"/>
        <v>108</v>
      </c>
    </row>
    <row r="2180" spans="94:95">
      <c r="CP2180">
        <f>IF(周转筐出入库明细!$C181="",0,1)</f>
        <v>0</v>
      </c>
      <c r="CQ2180">
        <f t="shared" ref="CQ2180:CQ2243" si="637">N(CQ2179)+$CP2180</f>
        <v>108</v>
      </c>
    </row>
    <row r="2181" spans="94:95">
      <c r="CP2181">
        <f>IF(周转筐出入库明细!$C182="",0,1)</f>
        <v>0</v>
      </c>
      <c r="CQ2181">
        <f t="shared" si="637"/>
        <v>108</v>
      </c>
    </row>
    <row r="2182" spans="94:95">
      <c r="CP2182">
        <f>IF(周转筐出入库明细!$C183="",0,1)</f>
        <v>0</v>
      </c>
      <c r="CQ2182">
        <f t="shared" si="637"/>
        <v>108</v>
      </c>
    </row>
    <row r="2183" spans="94:95">
      <c r="CP2183">
        <f>IF(周转筐出入库明细!$C184="",0,1)</f>
        <v>0</v>
      </c>
      <c r="CQ2183">
        <f t="shared" si="637"/>
        <v>108</v>
      </c>
    </row>
    <row r="2184" spans="94:95">
      <c r="CP2184">
        <f>IF(周转筐出入库明细!$C185="",0,1)</f>
        <v>0</v>
      </c>
      <c r="CQ2184">
        <f t="shared" si="637"/>
        <v>108</v>
      </c>
    </row>
    <row r="2185" spans="94:95">
      <c r="CP2185">
        <f>IF(周转筐出入库明细!$C186="",0,1)</f>
        <v>0</v>
      </c>
      <c r="CQ2185">
        <f t="shared" si="637"/>
        <v>108</v>
      </c>
    </row>
    <row r="2186" spans="94:95">
      <c r="CP2186">
        <f>IF(周转筐出入库明细!$C187="",0,1)</f>
        <v>0</v>
      </c>
      <c r="CQ2186">
        <f t="shared" si="637"/>
        <v>108</v>
      </c>
    </row>
    <row r="2187" spans="94:95">
      <c r="CP2187">
        <f>IF(周转筐出入库明细!$C188="",0,1)</f>
        <v>0</v>
      </c>
      <c r="CQ2187">
        <f t="shared" si="637"/>
        <v>108</v>
      </c>
    </row>
    <row r="2188" spans="94:95">
      <c r="CP2188">
        <f>IF(周转筐出入库明细!$C189="",0,1)</f>
        <v>0</v>
      </c>
      <c r="CQ2188">
        <f t="shared" si="637"/>
        <v>108</v>
      </c>
    </row>
    <row r="2189" spans="94:95">
      <c r="CP2189">
        <f>IF(周转筐出入库明细!$C190="",0,1)</f>
        <v>0</v>
      </c>
      <c r="CQ2189">
        <f t="shared" si="637"/>
        <v>108</v>
      </c>
    </row>
    <row r="2190" spans="94:95">
      <c r="CP2190">
        <f>IF(周转筐出入库明细!$C191="",0,1)</f>
        <v>0</v>
      </c>
      <c r="CQ2190">
        <f t="shared" si="637"/>
        <v>108</v>
      </c>
    </row>
    <row r="2191" spans="94:95">
      <c r="CP2191">
        <f>IF(周转筐出入库明细!$C192="",0,1)</f>
        <v>0</v>
      </c>
      <c r="CQ2191">
        <f t="shared" si="637"/>
        <v>108</v>
      </c>
    </row>
    <row r="2192" spans="94:95">
      <c r="CP2192">
        <f>IF(周转筐出入库明细!$C193="",0,1)</f>
        <v>0</v>
      </c>
      <c r="CQ2192">
        <f t="shared" si="637"/>
        <v>108</v>
      </c>
    </row>
    <row r="2193" spans="94:95">
      <c r="CP2193">
        <f>IF(周转筐出入库明细!$C194="",0,1)</f>
        <v>0</v>
      </c>
      <c r="CQ2193">
        <f t="shared" si="637"/>
        <v>108</v>
      </c>
    </row>
    <row r="2194" spans="94:95">
      <c r="CP2194">
        <f>IF(周转筐出入库明细!$C195="",0,1)</f>
        <v>0</v>
      </c>
      <c r="CQ2194">
        <f t="shared" si="637"/>
        <v>108</v>
      </c>
    </row>
    <row r="2195" spans="94:95">
      <c r="CP2195">
        <f>IF(周转筐出入库明细!$C196="",0,1)</f>
        <v>0</v>
      </c>
      <c r="CQ2195">
        <f t="shared" si="637"/>
        <v>108</v>
      </c>
    </row>
    <row r="2196" spans="94:95">
      <c r="CP2196">
        <f>IF(周转筐出入库明细!$C197="",0,1)</f>
        <v>0</v>
      </c>
      <c r="CQ2196">
        <f t="shared" si="637"/>
        <v>108</v>
      </c>
    </row>
    <row r="2197" spans="94:95">
      <c r="CP2197">
        <f>IF(周转筐出入库明细!$C198="",0,1)</f>
        <v>0</v>
      </c>
      <c r="CQ2197">
        <f t="shared" si="637"/>
        <v>108</v>
      </c>
    </row>
    <row r="2198" spans="94:95">
      <c r="CP2198">
        <f>IF(周转筐出入库明细!$C199="",0,1)</f>
        <v>0</v>
      </c>
      <c r="CQ2198">
        <f t="shared" si="637"/>
        <v>108</v>
      </c>
    </row>
    <row r="2199" spans="94:95">
      <c r="CP2199">
        <f>IF(周转筐出入库明细!$C200="",0,1)</f>
        <v>0</v>
      </c>
      <c r="CQ2199">
        <f t="shared" si="637"/>
        <v>108</v>
      </c>
    </row>
    <row r="2200" spans="94:95">
      <c r="CP2200">
        <f>IF(周转筐出入库明细!$C201="",0,1)</f>
        <v>0</v>
      </c>
      <c r="CQ2200">
        <f t="shared" si="637"/>
        <v>108</v>
      </c>
    </row>
    <row r="2201" spans="94:95">
      <c r="CP2201">
        <f>IF(周转筐出入库明细!$C202="",0,1)</f>
        <v>0</v>
      </c>
      <c r="CQ2201">
        <f t="shared" si="637"/>
        <v>108</v>
      </c>
    </row>
    <row r="2202" spans="94:95">
      <c r="CP2202">
        <f>IF(周转筐出入库明细!$C203="",0,1)</f>
        <v>0</v>
      </c>
      <c r="CQ2202">
        <f t="shared" si="637"/>
        <v>108</v>
      </c>
    </row>
    <row r="2203" spans="94:95">
      <c r="CP2203">
        <f>IF(周转筐出入库明细!$C204="",0,1)</f>
        <v>0</v>
      </c>
      <c r="CQ2203">
        <f t="shared" si="637"/>
        <v>108</v>
      </c>
    </row>
    <row r="2204" spans="94:95">
      <c r="CP2204">
        <f>IF(周转筐出入库明细!$C205="",0,1)</f>
        <v>0</v>
      </c>
      <c r="CQ2204">
        <f t="shared" si="637"/>
        <v>108</v>
      </c>
    </row>
    <row r="2205" spans="94:95">
      <c r="CP2205">
        <f>IF(周转筐出入库明细!$C206="",0,1)</f>
        <v>0</v>
      </c>
      <c r="CQ2205">
        <f t="shared" si="637"/>
        <v>108</v>
      </c>
    </row>
    <row r="2206" spans="94:95">
      <c r="CP2206">
        <f>IF(周转筐出入库明细!$C207="",0,1)</f>
        <v>0</v>
      </c>
      <c r="CQ2206">
        <f t="shared" si="637"/>
        <v>108</v>
      </c>
    </row>
    <row r="2207" spans="94:95">
      <c r="CP2207">
        <f>IF(周转筐出入库明细!$C208="",0,1)</f>
        <v>0</v>
      </c>
      <c r="CQ2207">
        <f t="shared" si="637"/>
        <v>108</v>
      </c>
    </row>
    <row r="2208" spans="94:95">
      <c r="CP2208">
        <f>IF(周转筐出入库明细!$C209="",0,1)</f>
        <v>0</v>
      </c>
      <c r="CQ2208">
        <f t="shared" si="637"/>
        <v>108</v>
      </c>
    </row>
    <row r="2209" spans="94:95">
      <c r="CP2209">
        <f>IF(周转筐出入库明细!$C210="",0,1)</f>
        <v>0</v>
      </c>
      <c r="CQ2209">
        <f t="shared" si="637"/>
        <v>108</v>
      </c>
    </row>
    <row r="2210" spans="94:95">
      <c r="CP2210">
        <f>IF(周转筐出入库明细!$C211="",0,1)</f>
        <v>0</v>
      </c>
      <c r="CQ2210">
        <f t="shared" si="637"/>
        <v>108</v>
      </c>
    </row>
    <row r="2211" spans="94:95">
      <c r="CP2211">
        <f>IF(周转筐出入库明细!$C212="",0,1)</f>
        <v>0</v>
      </c>
      <c r="CQ2211">
        <f t="shared" si="637"/>
        <v>108</v>
      </c>
    </row>
    <row r="2212" spans="94:95">
      <c r="CP2212">
        <f>IF(周转筐出入库明细!$C213="",0,1)</f>
        <v>0</v>
      </c>
      <c r="CQ2212">
        <f t="shared" si="637"/>
        <v>108</v>
      </c>
    </row>
    <row r="2213" spans="94:95">
      <c r="CP2213">
        <f>IF(周转筐出入库明细!$C214="",0,1)</f>
        <v>0</v>
      </c>
      <c r="CQ2213">
        <f t="shared" si="637"/>
        <v>108</v>
      </c>
    </row>
    <row r="2214" spans="94:95">
      <c r="CP2214">
        <f>IF(周转筐出入库明细!$C215="",0,1)</f>
        <v>0</v>
      </c>
      <c r="CQ2214">
        <f t="shared" si="637"/>
        <v>108</v>
      </c>
    </row>
    <row r="2215" spans="94:95">
      <c r="CP2215">
        <f>IF(周转筐出入库明细!$C216="",0,1)</f>
        <v>0</v>
      </c>
      <c r="CQ2215">
        <f t="shared" si="637"/>
        <v>108</v>
      </c>
    </row>
    <row r="2216" spans="94:95">
      <c r="CP2216">
        <f>IF(周转筐出入库明细!$C217="",0,1)</f>
        <v>0</v>
      </c>
      <c r="CQ2216">
        <f t="shared" si="637"/>
        <v>108</v>
      </c>
    </row>
    <row r="2217" spans="94:95">
      <c r="CP2217">
        <f>IF(周转筐出入库明细!$C218="",0,1)</f>
        <v>0</v>
      </c>
      <c r="CQ2217">
        <f t="shared" si="637"/>
        <v>108</v>
      </c>
    </row>
    <row r="2218" spans="94:95">
      <c r="CP2218">
        <f>IF(周转筐出入库明细!$C219="",0,1)</f>
        <v>0</v>
      </c>
      <c r="CQ2218">
        <f t="shared" si="637"/>
        <v>108</v>
      </c>
    </row>
    <row r="2219" spans="94:95">
      <c r="CP2219">
        <f>IF(周转筐出入库明细!$C220="",0,1)</f>
        <v>0</v>
      </c>
      <c r="CQ2219">
        <f t="shared" si="637"/>
        <v>108</v>
      </c>
    </row>
    <row r="2220" spans="94:95">
      <c r="CP2220">
        <f>IF(周转筐出入库明细!$C221="",0,1)</f>
        <v>0</v>
      </c>
      <c r="CQ2220">
        <f t="shared" si="637"/>
        <v>108</v>
      </c>
    </row>
    <row r="2221" spans="94:95">
      <c r="CP2221">
        <f>IF(周转筐出入库明细!$C222="",0,1)</f>
        <v>0</v>
      </c>
      <c r="CQ2221">
        <f t="shared" si="637"/>
        <v>108</v>
      </c>
    </row>
    <row r="2222" spans="94:95">
      <c r="CP2222">
        <f>IF(周转筐出入库明细!$C223="",0,1)</f>
        <v>0</v>
      </c>
      <c r="CQ2222">
        <f t="shared" si="637"/>
        <v>108</v>
      </c>
    </row>
    <row r="2223" spans="94:95">
      <c r="CP2223">
        <f>IF(周转筐出入库明细!$C224="",0,1)</f>
        <v>0</v>
      </c>
      <c r="CQ2223">
        <f t="shared" si="637"/>
        <v>108</v>
      </c>
    </row>
    <row r="2224" spans="94:95">
      <c r="CP2224">
        <f>IF(周转筐出入库明细!$C225="",0,1)</f>
        <v>0</v>
      </c>
      <c r="CQ2224">
        <f t="shared" si="637"/>
        <v>108</v>
      </c>
    </row>
    <row r="2225" spans="94:95">
      <c r="CP2225">
        <f>IF(周转筐出入库明细!$C226="",0,1)</f>
        <v>0</v>
      </c>
      <c r="CQ2225">
        <f t="shared" si="637"/>
        <v>108</v>
      </c>
    </row>
    <row r="2226" spans="94:95">
      <c r="CP2226">
        <f>IF(周转筐出入库明细!$C227="",0,1)</f>
        <v>0</v>
      </c>
      <c r="CQ2226">
        <f t="shared" si="637"/>
        <v>108</v>
      </c>
    </row>
    <row r="2227" spans="94:95">
      <c r="CP2227">
        <f>IF(周转筐出入库明细!$C228="",0,1)</f>
        <v>0</v>
      </c>
      <c r="CQ2227">
        <f t="shared" si="637"/>
        <v>108</v>
      </c>
    </row>
    <row r="2228" spans="94:95">
      <c r="CP2228">
        <f>IF(周转筐出入库明细!$C229="",0,1)</f>
        <v>0</v>
      </c>
      <c r="CQ2228">
        <f t="shared" si="637"/>
        <v>108</v>
      </c>
    </row>
    <row r="2229" spans="94:95">
      <c r="CP2229">
        <f>IF(周转筐出入库明细!$C230="",0,1)</f>
        <v>0</v>
      </c>
      <c r="CQ2229">
        <f t="shared" si="637"/>
        <v>108</v>
      </c>
    </row>
    <row r="2230" spans="94:95">
      <c r="CP2230">
        <f>IF(周转筐出入库明细!$C231="",0,1)</f>
        <v>0</v>
      </c>
      <c r="CQ2230">
        <f t="shared" si="637"/>
        <v>108</v>
      </c>
    </row>
    <row r="2231" spans="94:95">
      <c r="CP2231">
        <f>IF(周转筐出入库明细!$C232="",0,1)</f>
        <v>0</v>
      </c>
      <c r="CQ2231">
        <f t="shared" si="637"/>
        <v>108</v>
      </c>
    </row>
    <row r="2232" spans="94:95">
      <c r="CP2232">
        <f>IF(周转筐出入库明细!$C233="",0,1)</f>
        <v>0</v>
      </c>
      <c r="CQ2232">
        <f t="shared" si="637"/>
        <v>108</v>
      </c>
    </row>
    <row r="2233" spans="94:95">
      <c r="CP2233">
        <f>IF(周转筐出入库明细!$C234="",0,1)</f>
        <v>0</v>
      </c>
      <c r="CQ2233">
        <f t="shared" si="637"/>
        <v>108</v>
      </c>
    </row>
    <row r="2234" spans="94:95">
      <c r="CP2234">
        <f>IF(周转筐出入库明细!$C235="",0,1)</f>
        <v>0</v>
      </c>
      <c r="CQ2234">
        <f t="shared" si="637"/>
        <v>108</v>
      </c>
    </row>
    <row r="2235" spans="94:95">
      <c r="CP2235">
        <f>IF(周转筐出入库明细!$C236="",0,1)</f>
        <v>0</v>
      </c>
      <c r="CQ2235">
        <f t="shared" si="637"/>
        <v>108</v>
      </c>
    </row>
    <row r="2236" spans="94:95">
      <c r="CP2236">
        <f>IF(周转筐出入库明细!$C237="",0,1)</f>
        <v>0</v>
      </c>
      <c r="CQ2236">
        <f t="shared" si="637"/>
        <v>108</v>
      </c>
    </row>
    <row r="2237" spans="94:95">
      <c r="CP2237">
        <f>IF(周转筐出入库明细!$C238="",0,1)</f>
        <v>0</v>
      </c>
      <c r="CQ2237">
        <f t="shared" si="637"/>
        <v>108</v>
      </c>
    </row>
    <row r="2238" spans="94:95">
      <c r="CP2238">
        <f>IF(周转筐出入库明细!$C239="",0,1)</f>
        <v>0</v>
      </c>
      <c r="CQ2238">
        <f t="shared" si="637"/>
        <v>108</v>
      </c>
    </row>
    <row r="2239" spans="94:95">
      <c r="CP2239">
        <f>IF(周转筐出入库明细!$C240="",0,1)</f>
        <v>0</v>
      </c>
      <c r="CQ2239">
        <f t="shared" si="637"/>
        <v>108</v>
      </c>
    </row>
    <row r="2240" spans="94:95">
      <c r="CP2240">
        <f>IF(周转筐出入库明细!$C241="",0,1)</f>
        <v>0</v>
      </c>
      <c r="CQ2240">
        <f t="shared" si="637"/>
        <v>108</v>
      </c>
    </row>
    <row r="2241" spans="94:95">
      <c r="CP2241">
        <f>IF(周转筐出入库明细!$C242="",0,1)</f>
        <v>0</v>
      </c>
      <c r="CQ2241">
        <f t="shared" si="637"/>
        <v>108</v>
      </c>
    </row>
    <row r="2242" spans="94:95">
      <c r="CP2242">
        <f>IF(周转筐出入库明细!$C243="",0,1)</f>
        <v>0</v>
      </c>
      <c r="CQ2242">
        <f t="shared" si="637"/>
        <v>108</v>
      </c>
    </row>
    <row r="2243" spans="94:95">
      <c r="CP2243">
        <f>IF(周转筐出入库明细!$C244="",0,1)</f>
        <v>0</v>
      </c>
      <c r="CQ2243">
        <f t="shared" si="637"/>
        <v>108</v>
      </c>
    </row>
    <row r="2244" spans="94:95">
      <c r="CP2244">
        <f>IF(周转筐出入库明细!$C245="",0,1)</f>
        <v>0</v>
      </c>
      <c r="CQ2244">
        <f t="shared" ref="CQ2244:CQ2307" si="638">N(CQ2243)+$CP2244</f>
        <v>108</v>
      </c>
    </row>
    <row r="2245" spans="94:95">
      <c r="CP2245">
        <f>IF(周转筐出入库明细!$C246="",0,1)</f>
        <v>0</v>
      </c>
      <c r="CQ2245">
        <f t="shared" si="638"/>
        <v>108</v>
      </c>
    </row>
    <row r="2246" spans="94:95">
      <c r="CP2246">
        <f>IF(周转筐出入库明细!$C247="",0,1)</f>
        <v>0</v>
      </c>
      <c r="CQ2246">
        <f t="shared" si="638"/>
        <v>108</v>
      </c>
    </row>
    <row r="2247" spans="94:95">
      <c r="CP2247">
        <f>IF(周转筐出入库明细!$C248="",0,1)</f>
        <v>0</v>
      </c>
      <c r="CQ2247">
        <f t="shared" si="638"/>
        <v>108</v>
      </c>
    </row>
    <row r="2248" spans="94:95">
      <c r="CP2248">
        <f>IF(周转筐出入库明细!$C249="",0,1)</f>
        <v>0</v>
      </c>
      <c r="CQ2248">
        <f t="shared" si="638"/>
        <v>108</v>
      </c>
    </row>
    <row r="2249" spans="94:95">
      <c r="CP2249">
        <f>IF(周转筐出入库明细!$C250="",0,1)</f>
        <v>0</v>
      </c>
      <c r="CQ2249">
        <f t="shared" si="638"/>
        <v>108</v>
      </c>
    </row>
    <row r="2250" spans="94:95">
      <c r="CP2250">
        <f>IF(周转筐出入库明细!$C251="",0,1)</f>
        <v>0</v>
      </c>
      <c r="CQ2250">
        <f t="shared" si="638"/>
        <v>108</v>
      </c>
    </row>
    <row r="2251" spans="94:95">
      <c r="CP2251">
        <f>IF(周转筐出入库明细!$C252="",0,1)</f>
        <v>0</v>
      </c>
      <c r="CQ2251">
        <f t="shared" si="638"/>
        <v>108</v>
      </c>
    </row>
    <row r="2252" spans="94:95">
      <c r="CP2252">
        <f>IF(周转筐出入库明细!$C253="",0,1)</f>
        <v>0</v>
      </c>
      <c r="CQ2252">
        <f t="shared" si="638"/>
        <v>108</v>
      </c>
    </row>
    <row r="2253" spans="94:95">
      <c r="CP2253">
        <f>IF(周转筐出入库明细!$C254="",0,1)</f>
        <v>0</v>
      </c>
      <c r="CQ2253">
        <f t="shared" si="638"/>
        <v>108</v>
      </c>
    </row>
    <row r="2254" spans="94:95">
      <c r="CP2254">
        <f>IF(周转筐出入库明细!$C255="",0,1)</f>
        <v>0</v>
      </c>
      <c r="CQ2254">
        <f t="shared" si="638"/>
        <v>108</v>
      </c>
    </row>
    <row r="2255" spans="94:95">
      <c r="CP2255">
        <f>IF(周转筐出入库明细!$C256="",0,1)</f>
        <v>0</v>
      </c>
      <c r="CQ2255">
        <f t="shared" si="638"/>
        <v>108</v>
      </c>
    </row>
    <row r="2256" spans="94:95">
      <c r="CP2256">
        <f>IF(周转筐出入库明细!$C257="",0,1)</f>
        <v>0</v>
      </c>
      <c r="CQ2256">
        <f t="shared" si="638"/>
        <v>108</v>
      </c>
    </row>
    <row r="2257" spans="94:95">
      <c r="CP2257">
        <f>IF(周转筐出入库明细!$C258="",0,1)</f>
        <v>0</v>
      </c>
      <c r="CQ2257">
        <f t="shared" si="638"/>
        <v>108</v>
      </c>
    </row>
    <row r="2258" spans="94:95">
      <c r="CP2258">
        <f>IF(周转筐出入库明细!$C259="",0,1)</f>
        <v>0</v>
      </c>
      <c r="CQ2258">
        <f t="shared" si="638"/>
        <v>108</v>
      </c>
    </row>
    <row r="2259" spans="94:95">
      <c r="CP2259">
        <f>IF(周转筐出入库明细!$C260="",0,1)</f>
        <v>0</v>
      </c>
      <c r="CQ2259">
        <f t="shared" si="638"/>
        <v>108</v>
      </c>
    </row>
    <row r="2260" spans="94:95">
      <c r="CP2260">
        <f>IF(周转筐出入库明细!$C261="",0,1)</f>
        <v>0</v>
      </c>
      <c r="CQ2260">
        <f t="shared" si="638"/>
        <v>108</v>
      </c>
    </row>
    <row r="2261" spans="94:95">
      <c r="CP2261">
        <f>IF(周转筐出入库明细!$C262="",0,1)</f>
        <v>0</v>
      </c>
      <c r="CQ2261">
        <f t="shared" si="638"/>
        <v>108</v>
      </c>
    </row>
    <row r="2262" spans="94:95">
      <c r="CP2262">
        <f>IF(周转筐出入库明细!$C263="",0,1)</f>
        <v>0</v>
      </c>
      <c r="CQ2262">
        <f t="shared" si="638"/>
        <v>108</v>
      </c>
    </row>
    <row r="2263" spans="94:95">
      <c r="CP2263">
        <f>IF(周转筐出入库明细!$C264="",0,1)</f>
        <v>0</v>
      </c>
      <c r="CQ2263">
        <f t="shared" si="638"/>
        <v>108</v>
      </c>
    </row>
    <row r="2264" spans="94:95">
      <c r="CP2264">
        <f>IF(周转筐出入库明细!$C265="",0,1)</f>
        <v>0</v>
      </c>
      <c r="CQ2264">
        <f t="shared" si="638"/>
        <v>108</v>
      </c>
    </row>
    <row r="2265" spans="94:95">
      <c r="CP2265">
        <f>IF(周转筐出入库明细!$C266="",0,1)</f>
        <v>0</v>
      </c>
      <c r="CQ2265">
        <f t="shared" si="638"/>
        <v>108</v>
      </c>
    </row>
    <row r="2266" spans="94:95">
      <c r="CP2266">
        <f>IF(周转筐出入库明细!$C267="",0,1)</f>
        <v>0</v>
      </c>
      <c r="CQ2266">
        <f t="shared" si="638"/>
        <v>108</v>
      </c>
    </row>
    <row r="2267" spans="94:95">
      <c r="CP2267">
        <f>IF(周转筐出入库明细!$C268="",0,1)</f>
        <v>0</v>
      </c>
      <c r="CQ2267">
        <f t="shared" si="638"/>
        <v>108</v>
      </c>
    </row>
    <row r="2268" spans="94:95">
      <c r="CP2268">
        <f>IF(周转筐出入库明细!$C269="",0,1)</f>
        <v>0</v>
      </c>
      <c r="CQ2268">
        <f t="shared" si="638"/>
        <v>108</v>
      </c>
    </row>
    <row r="2269" spans="94:95">
      <c r="CP2269">
        <f>IF(周转筐出入库明细!$C270="",0,1)</f>
        <v>0</v>
      </c>
      <c r="CQ2269">
        <f t="shared" si="638"/>
        <v>108</v>
      </c>
    </row>
    <row r="2270" spans="94:95">
      <c r="CP2270">
        <f>IF(周转筐出入库明细!$C271="",0,1)</f>
        <v>0</v>
      </c>
      <c r="CQ2270">
        <f t="shared" si="638"/>
        <v>108</v>
      </c>
    </row>
    <row r="2271" spans="94:95">
      <c r="CP2271">
        <f>IF(周转筐出入库明细!$C272="",0,1)</f>
        <v>0</v>
      </c>
      <c r="CQ2271">
        <f t="shared" si="638"/>
        <v>108</v>
      </c>
    </row>
    <row r="2272" spans="94:95">
      <c r="CP2272">
        <f>IF(周转筐出入库明细!$C273="",0,1)</f>
        <v>0</v>
      </c>
      <c r="CQ2272">
        <f t="shared" si="638"/>
        <v>108</v>
      </c>
    </row>
    <row r="2273" spans="94:95">
      <c r="CP2273">
        <f>IF(周转筐出入库明细!$C274="",0,1)</f>
        <v>0</v>
      </c>
      <c r="CQ2273">
        <f t="shared" si="638"/>
        <v>108</v>
      </c>
    </row>
    <row r="2274" spans="94:95">
      <c r="CP2274">
        <f>IF(周转筐出入库明细!$C275="",0,1)</f>
        <v>0</v>
      </c>
      <c r="CQ2274">
        <f t="shared" si="638"/>
        <v>108</v>
      </c>
    </row>
    <row r="2275" spans="94:95">
      <c r="CP2275">
        <f>IF(周转筐出入库明细!$C276="",0,1)</f>
        <v>0</v>
      </c>
      <c r="CQ2275">
        <f t="shared" si="638"/>
        <v>108</v>
      </c>
    </row>
    <row r="2276" spans="94:95">
      <c r="CP2276">
        <f>IF(周转筐出入库明细!$C277="",0,1)</f>
        <v>0</v>
      </c>
      <c r="CQ2276">
        <f t="shared" si="638"/>
        <v>108</v>
      </c>
    </row>
    <row r="2277" spans="94:95">
      <c r="CP2277">
        <f>IF(周转筐出入库明细!$C278="",0,1)</f>
        <v>0</v>
      </c>
      <c r="CQ2277">
        <f t="shared" si="638"/>
        <v>108</v>
      </c>
    </row>
    <row r="2278" spans="94:95">
      <c r="CP2278">
        <f>IF(周转筐出入库明细!$C279="",0,1)</f>
        <v>0</v>
      </c>
      <c r="CQ2278">
        <f t="shared" si="638"/>
        <v>108</v>
      </c>
    </row>
    <row r="2279" spans="94:95">
      <c r="CP2279">
        <f>IF(周转筐出入库明细!$C280="",0,1)</f>
        <v>0</v>
      </c>
      <c r="CQ2279">
        <f t="shared" si="638"/>
        <v>108</v>
      </c>
    </row>
    <row r="2280" spans="94:95">
      <c r="CP2280">
        <f>IF(周转筐出入库明细!$C281="",0,1)</f>
        <v>0</v>
      </c>
      <c r="CQ2280">
        <f t="shared" si="638"/>
        <v>108</v>
      </c>
    </row>
    <row r="2281" spans="94:95">
      <c r="CP2281">
        <f>IF(周转筐出入库明细!$C282="",0,1)</f>
        <v>0</v>
      </c>
      <c r="CQ2281">
        <f t="shared" si="638"/>
        <v>108</v>
      </c>
    </row>
    <row r="2282" spans="94:95">
      <c r="CP2282">
        <f>IF(周转筐出入库明细!$C283="",0,1)</f>
        <v>0</v>
      </c>
      <c r="CQ2282">
        <f t="shared" si="638"/>
        <v>108</v>
      </c>
    </row>
    <row r="2283" spans="94:95">
      <c r="CP2283">
        <f>IF(周转筐出入库明细!$C284="",0,1)</f>
        <v>0</v>
      </c>
      <c r="CQ2283">
        <f t="shared" si="638"/>
        <v>108</v>
      </c>
    </row>
    <row r="2284" spans="94:95">
      <c r="CP2284">
        <f>IF(周转筐出入库明细!$C285="",0,1)</f>
        <v>0</v>
      </c>
      <c r="CQ2284">
        <f t="shared" si="638"/>
        <v>108</v>
      </c>
    </row>
    <row r="2285" spans="94:95">
      <c r="CP2285">
        <f>IF(周转筐出入库明细!$C286="",0,1)</f>
        <v>0</v>
      </c>
      <c r="CQ2285">
        <f t="shared" si="638"/>
        <v>108</v>
      </c>
    </row>
    <row r="2286" spans="94:95">
      <c r="CP2286">
        <f>IF(周转筐出入库明细!$C287="",0,1)</f>
        <v>0</v>
      </c>
      <c r="CQ2286">
        <f t="shared" si="638"/>
        <v>108</v>
      </c>
    </row>
    <row r="2287" spans="94:95">
      <c r="CP2287">
        <f>IF(周转筐出入库明细!$C288="",0,1)</f>
        <v>0</v>
      </c>
      <c r="CQ2287">
        <f t="shared" si="638"/>
        <v>108</v>
      </c>
    </row>
    <row r="2288" spans="94:95">
      <c r="CP2288">
        <f>IF(周转筐出入库明细!$C289="",0,1)</f>
        <v>0</v>
      </c>
      <c r="CQ2288">
        <f t="shared" si="638"/>
        <v>108</v>
      </c>
    </row>
    <row r="2289" spans="94:95">
      <c r="CP2289">
        <f>IF(周转筐出入库明细!$C290="",0,1)</f>
        <v>0</v>
      </c>
      <c r="CQ2289">
        <f t="shared" si="638"/>
        <v>108</v>
      </c>
    </row>
    <row r="2290" spans="94:95">
      <c r="CP2290">
        <f>IF(周转筐出入库明细!$C291="",0,1)</f>
        <v>0</v>
      </c>
      <c r="CQ2290">
        <f t="shared" si="638"/>
        <v>108</v>
      </c>
    </row>
    <row r="2291" spans="94:95">
      <c r="CP2291">
        <f>IF(周转筐出入库明细!$C292="",0,1)</f>
        <v>0</v>
      </c>
      <c r="CQ2291">
        <f t="shared" si="638"/>
        <v>108</v>
      </c>
    </row>
    <row r="2292" spans="94:95">
      <c r="CP2292">
        <f>IF(周转筐出入库明细!$C293="",0,1)</f>
        <v>0</v>
      </c>
      <c r="CQ2292">
        <f t="shared" si="638"/>
        <v>108</v>
      </c>
    </row>
    <row r="2293" spans="94:95">
      <c r="CP2293">
        <f>IF(周转筐出入库明细!$C294="",0,1)</f>
        <v>0</v>
      </c>
      <c r="CQ2293">
        <f t="shared" si="638"/>
        <v>108</v>
      </c>
    </row>
    <row r="2294" spans="94:95">
      <c r="CP2294">
        <f>IF(周转筐出入库明细!$C295="",0,1)</f>
        <v>0</v>
      </c>
      <c r="CQ2294">
        <f t="shared" si="638"/>
        <v>108</v>
      </c>
    </row>
    <row r="2295" spans="94:95">
      <c r="CP2295">
        <f>IF(周转筐出入库明细!$C296="",0,1)</f>
        <v>0</v>
      </c>
      <c r="CQ2295">
        <f t="shared" si="638"/>
        <v>108</v>
      </c>
    </row>
    <row r="2296" spans="94:95">
      <c r="CP2296">
        <f>IF(周转筐出入库明细!$C297="",0,1)</f>
        <v>0</v>
      </c>
      <c r="CQ2296">
        <f t="shared" si="638"/>
        <v>108</v>
      </c>
    </row>
    <row r="2297" spans="94:95">
      <c r="CP2297">
        <f>IF(周转筐出入库明细!$C298="",0,1)</f>
        <v>0</v>
      </c>
      <c r="CQ2297">
        <f t="shared" si="638"/>
        <v>108</v>
      </c>
    </row>
    <row r="2298" spans="94:95">
      <c r="CP2298">
        <f>IF(周转筐出入库明细!$C299="",0,1)</f>
        <v>0</v>
      </c>
      <c r="CQ2298">
        <f t="shared" si="638"/>
        <v>108</v>
      </c>
    </row>
    <row r="2299" spans="94:95">
      <c r="CP2299">
        <f>IF(周转筐出入库明细!$C300="",0,1)</f>
        <v>0</v>
      </c>
      <c r="CQ2299">
        <f t="shared" si="638"/>
        <v>108</v>
      </c>
    </row>
    <row r="2300" spans="94:95">
      <c r="CP2300">
        <f>IF(周转筐出入库明细!$C301="",0,1)</f>
        <v>0</v>
      </c>
      <c r="CQ2300">
        <f t="shared" si="638"/>
        <v>108</v>
      </c>
    </row>
    <row r="2301" spans="94:95">
      <c r="CP2301">
        <f>IF(周转筐出入库明细!$C302="",0,1)</f>
        <v>0</v>
      </c>
      <c r="CQ2301">
        <f t="shared" si="638"/>
        <v>108</v>
      </c>
    </row>
    <row r="2302" spans="94:95">
      <c r="CP2302">
        <f>IF(周转筐出入库明细!$C303="",0,1)</f>
        <v>0</v>
      </c>
      <c r="CQ2302">
        <f t="shared" si="638"/>
        <v>108</v>
      </c>
    </row>
    <row r="2303" spans="94:95">
      <c r="CP2303">
        <f>IF(周转筐出入库明细!$C304="",0,1)</f>
        <v>0</v>
      </c>
      <c r="CQ2303">
        <f t="shared" si="638"/>
        <v>108</v>
      </c>
    </row>
    <row r="2304" spans="94:95">
      <c r="CP2304">
        <f>IF(周转筐出入库明细!$C305="",0,1)</f>
        <v>0</v>
      </c>
      <c r="CQ2304">
        <f t="shared" si="638"/>
        <v>108</v>
      </c>
    </row>
    <row r="2305" spans="94:95">
      <c r="CP2305">
        <f>IF(周转筐出入库明细!$C306="",0,1)</f>
        <v>0</v>
      </c>
      <c r="CQ2305">
        <f t="shared" si="638"/>
        <v>108</v>
      </c>
    </row>
    <row r="2306" spans="94:95">
      <c r="CP2306">
        <f>IF(周转筐出入库明细!$C307="",0,1)</f>
        <v>0</v>
      </c>
      <c r="CQ2306">
        <f t="shared" si="638"/>
        <v>108</v>
      </c>
    </row>
    <row r="2307" spans="94:95">
      <c r="CP2307">
        <f>IF(周转筐出入库明细!$C308="",0,1)</f>
        <v>0</v>
      </c>
      <c r="CQ2307">
        <f t="shared" si="638"/>
        <v>108</v>
      </c>
    </row>
    <row r="2308" spans="94:95">
      <c r="CP2308">
        <f>IF(周转筐出入库明细!$C309="",0,1)</f>
        <v>0</v>
      </c>
      <c r="CQ2308">
        <f t="shared" ref="CQ2308:CQ2371" si="639">N(CQ2307)+$CP2308</f>
        <v>108</v>
      </c>
    </row>
    <row r="2309" spans="94:95">
      <c r="CP2309">
        <f>IF(周转筐出入库明细!$C310="",0,1)</f>
        <v>0</v>
      </c>
      <c r="CQ2309">
        <f t="shared" si="639"/>
        <v>108</v>
      </c>
    </row>
    <row r="2310" spans="94:95">
      <c r="CP2310">
        <f>IF(周转筐出入库明细!$C311="",0,1)</f>
        <v>0</v>
      </c>
      <c r="CQ2310">
        <f t="shared" si="639"/>
        <v>108</v>
      </c>
    </row>
    <row r="2311" spans="94:95">
      <c r="CP2311">
        <f>IF(周转筐出入库明细!$C312="",0,1)</f>
        <v>0</v>
      </c>
      <c r="CQ2311">
        <f t="shared" si="639"/>
        <v>108</v>
      </c>
    </row>
    <row r="2312" spans="94:95">
      <c r="CP2312">
        <f>IF(周转筐出入库明细!$C313="",0,1)</f>
        <v>0</v>
      </c>
      <c r="CQ2312">
        <f t="shared" si="639"/>
        <v>108</v>
      </c>
    </row>
    <row r="2313" spans="94:95">
      <c r="CP2313">
        <f>IF(周转筐出入库明细!$C314="",0,1)</f>
        <v>0</v>
      </c>
      <c r="CQ2313">
        <f t="shared" si="639"/>
        <v>108</v>
      </c>
    </row>
    <row r="2314" spans="94:95">
      <c r="CP2314">
        <f>IF(周转筐出入库明细!$C315="",0,1)</f>
        <v>0</v>
      </c>
      <c r="CQ2314">
        <f t="shared" si="639"/>
        <v>108</v>
      </c>
    </row>
    <row r="2315" spans="94:95">
      <c r="CP2315">
        <f>IF(周转筐出入库明细!$C316="",0,1)</f>
        <v>0</v>
      </c>
      <c r="CQ2315">
        <f t="shared" si="639"/>
        <v>108</v>
      </c>
    </row>
    <row r="2316" spans="94:95">
      <c r="CP2316">
        <f>IF(周转筐出入库明细!$C317="",0,1)</f>
        <v>0</v>
      </c>
      <c r="CQ2316">
        <f t="shared" si="639"/>
        <v>108</v>
      </c>
    </row>
    <row r="2317" spans="94:95">
      <c r="CP2317">
        <f>IF(周转筐出入库明细!$C318="",0,1)</f>
        <v>0</v>
      </c>
      <c r="CQ2317">
        <f t="shared" si="639"/>
        <v>108</v>
      </c>
    </row>
    <row r="2318" spans="94:95">
      <c r="CP2318">
        <f>IF(周转筐出入库明细!$C319="",0,1)</f>
        <v>0</v>
      </c>
      <c r="CQ2318">
        <f t="shared" si="639"/>
        <v>108</v>
      </c>
    </row>
    <row r="2319" spans="94:95">
      <c r="CP2319">
        <f>IF(周转筐出入库明细!$C320="",0,1)</f>
        <v>0</v>
      </c>
      <c r="CQ2319">
        <f t="shared" si="639"/>
        <v>108</v>
      </c>
    </row>
    <row r="2320" spans="94:95">
      <c r="CP2320">
        <f>IF(周转筐出入库明细!$C321="",0,1)</f>
        <v>0</v>
      </c>
      <c r="CQ2320">
        <f t="shared" si="639"/>
        <v>108</v>
      </c>
    </row>
    <row r="2321" spans="94:95">
      <c r="CP2321">
        <f>IF(周转筐出入库明细!$C322="",0,1)</f>
        <v>0</v>
      </c>
      <c r="CQ2321">
        <f t="shared" si="639"/>
        <v>108</v>
      </c>
    </row>
    <row r="2322" spans="94:95">
      <c r="CP2322">
        <f>IF(周转筐出入库明细!$C323="",0,1)</f>
        <v>0</v>
      </c>
      <c r="CQ2322">
        <f t="shared" si="639"/>
        <v>108</v>
      </c>
    </row>
    <row r="2323" spans="94:95">
      <c r="CP2323">
        <f>IF(周转筐出入库明细!$C324="",0,1)</f>
        <v>0</v>
      </c>
      <c r="CQ2323">
        <f t="shared" si="639"/>
        <v>108</v>
      </c>
    </row>
    <row r="2324" spans="94:95">
      <c r="CP2324">
        <f>IF(周转筐出入库明细!$C325="",0,1)</f>
        <v>0</v>
      </c>
      <c r="CQ2324">
        <f t="shared" si="639"/>
        <v>108</v>
      </c>
    </row>
    <row r="2325" spans="94:95">
      <c r="CP2325">
        <f>IF(周转筐出入库明细!$C326="",0,1)</f>
        <v>0</v>
      </c>
      <c r="CQ2325">
        <f t="shared" si="639"/>
        <v>108</v>
      </c>
    </row>
    <row r="2326" spans="94:95">
      <c r="CP2326">
        <f>IF(周转筐出入库明细!$C327="",0,1)</f>
        <v>0</v>
      </c>
      <c r="CQ2326">
        <f t="shared" si="639"/>
        <v>108</v>
      </c>
    </row>
    <row r="2327" spans="94:95">
      <c r="CP2327">
        <f>IF(周转筐出入库明细!$C328="",0,1)</f>
        <v>0</v>
      </c>
      <c r="CQ2327">
        <f t="shared" si="639"/>
        <v>108</v>
      </c>
    </row>
    <row r="2328" spans="94:95">
      <c r="CP2328">
        <f>IF(周转筐出入库明细!$C329="",0,1)</f>
        <v>0</v>
      </c>
      <c r="CQ2328">
        <f t="shared" si="639"/>
        <v>108</v>
      </c>
    </row>
    <row r="2329" spans="94:95">
      <c r="CP2329">
        <f>IF(周转筐出入库明细!$C330="",0,1)</f>
        <v>0</v>
      </c>
      <c r="CQ2329">
        <f t="shared" si="639"/>
        <v>108</v>
      </c>
    </row>
    <row r="2330" spans="94:95">
      <c r="CP2330">
        <f>IF(周转筐出入库明细!$C331="",0,1)</f>
        <v>0</v>
      </c>
      <c r="CQ2330">
        <f t="shared" si="639"/>
        <v>108</v>
      </c>
    </row>
    <row r="2331" spans="94:95">
      <c r="CP2331">
        <f>IF(周转筐出入库明细!$C332="",0,1)</f>
        <v>0</v>
      </c>
      <c r="CQ2331">
        <f t="shared" si="639"/>
        <v>108</v>
      </c>
    </row>
    <row r="2332" spans="94:95">
      <c r="CP2332">
        <f>IF(周转筐出入库明细!$C333="",0,1)</f>
        <v>0</v>
      </c>
      <c r="CQ2332">
        <f t="shared" si="639"/>
        <v>108</v>
      </c>
    </row>
    <row r="2333" spans="94:95">
      <c r="CP2333">
        <f>IF(周转筐出入库明细!$C334="",0,1)</f>
        <v>0</v>
      </c>
      <c r="CQ2333">
        <f t="shared" si="639"/>
        <v>108</v>
      </c>
    </row>
    <row r="2334" spans="94:95">
      <c r="CP2334">
        <f>IF(周转筐出入库明细!$C335="",0,1)</f>
        <v>0</v>
      </c>
      <c r="CQ2334">
        <f t="shared" si="639"/>
        <v>108</v>
      </c>
    </row>
    <row r="2335" spans="94:95">
      <c r="CP2335">
        <f>IF(周转筐出入库明细!$C336="",0,1)</f>
        <v>0</v>
      </c>
      <c r="CQ2335">
        <f t="shared" si="639"/>
        <v>108</v>
      </c>
    </row>
    <row r="2336" spans="94:95">
      <c r="CP2336">
        <f>IF(周转筐出入库明细!$C337="",0,1)</f>
        <v>0</v>
      </c>
      <c r="CQ2336">
        <f t="shared" si="639"/>
        <v>108</v>
      </c>
    </row>
    <row r="2337" spans="94:95">
      <c r="CP2337">
        <f>IF(周转筐出入库明细!$C338="",0,1)</f>
        <v>0</v>
      </c>
      <c r="CQ2337">
        <f t="shared" si="639"/>
        <v>108</v>
      </c>
    </row>
    <row r="2338" spans="94:95">
      <c r="CP2338">
        <f>IF(周转筐出入库明细!$C339="",0,1)</f>
        <v>0</v>
      </c>
      <c r="CQ2338">
        <f t="shared" si="639"/>
        <v>108</v>
      </c>
    </row>
    <row r="2339" spans="94:95">
      <c r="CP2339">
        <f>IF(周转筐出入库明细!$C340="",0,1)</f>
        <v>0</v>
      </c>
      <c r="CQ2339">
        <f t="shared" si="639"/>
        <v>108</v>
      </c>
    </row>
    <row r="2340" spans="94:95">
      <c r="CP2340">
        <f>IF(周转筐出入库明细!$C341="",0,1)</f>
        <v>0</v>
      </c>
      <c r="CQ2340">
        <f t="shared" si="639"/>
        <v>108</v>
      </c>
    </row>
    <row r="2341" spans="94:95">
      <c r="CP2341">
        <f>IF(周转筐出入库明细!$C342="",0,1)</f>
        <v>0</v>
      </c>
      <c r="CQ2341">
        <f t="shared" si="639"/>
        <v>108</v>
      </c>
    </row>
    <row r="2342" spans="94:95">
      <c r="CP2342">
        <f>IF(周转筐出入库明细!$C343="",0,1)</f>
        <v>0</v>
      </c>
      <c r="CQ2342">
        <f t="shared" si="639"/>
        <v>108</v>
      </c>
    </row>
    <row r="2343" spans="94:95">
      <c r="CP2343">
        <f>IF(周转筐出入库明细!$C344="",0,1)</f>
        <v>0</v>
      </c>
      <c r="CQ2343">
        <f t="shared" si="639"/>
        <v>108</v>
      </c>
    </row>
    <row r="2344" spans="94:95">
      <c r="CP2344">
        <f>IF(周转筐出入库明细!$C345="",0,1)</f>
        <v>0</v>
      </c>
      <c r="CQ2344">
        <f t="shared" si="639"/>
        <v>108</v>
      </c>
    </row>
    <row r="2345" spans="94:95">
      <c r="CP2345">
        <f>IF(周转筐出入库明细!$C346="",0,1)</f>
        <v>0</v>
      </c>
      <c r="CQ2345">
        <f t="shared" si="639"/>
        <v>108</v>
      </c>
    </row>
    <row r="2346" spans="94:95">
      <c r="CP2346">
        <f>IF(周转筐出入库明细!$C347="",0,1)</f>
        <v>0</v>
      </c>
      <c r="CQ2346">
        <f t="shared" si="639"/>
        <v>108</v>
      </c>
    </row>
    <row r="2347" spans="94:95">
      <c r="CP2347">
        <f>IF(周转筐出入库明细!$C348="",0,1)</f>
        <v>0</v>
      </c>
      <c r="CQ2347">
        <f t="shared" si="639"/>
        <v>108</v>
      </c>
    </row>
    <row r="2348" spans="94:95">
      <c r="CP2348">
        <f>IF(周转筐出入库明细!$C349="",0,1)</f>
        <v>0</v>
      </c>
      <c r="CQ2348">
        <f t="shared" si="639"/>
        <v>108</v>
      </c>
    </row>
    <row r="2349" spans="94:95">
      <c r="CP2349">
        <f>IF(周转筐出入库明细!$C350="",0,1)</f>
        <v>0</v>
      </c>
      <c r="CQ2349">
        <f t="shared" si="639"/>
        <v>108</v>
      </c>
    </row>
    <row r="2350" spans="94:95">
      <c r="CP2350">
        <f>IF(周转筐出入库明细!$C351="",0,1)</f>
        <v>0</v>
      </c>
      <c r="CQ2350">
        <f t="shared" si="639"/>
        <v>108</v>
      </c>
    </row>
    <row r="2351" spans="94:95">
      <c r="CP2351">
        <f>IF(周转筐出入库明细!$C352="",0,1)</f>
        <v>0</v>
      </c>
      <c r="CQ2351">
        <f t="shared" si="639"/>
        <v>108</v>
      </c>
    </row>
    <row r="2352" spans="94:95">
      <c r="CP2352">
        <f>IF(周转筐出入库明细!$C353="",0,1)</f>
        <v>0</v>
      </c>
      <c r="CQ2352">
        <f t="shared" si="639"/>
        <v>108</v>
      </c>
    </row>
    <row r="2353" spans="94:95">
      <c r="CP2353">
        <f>IF(周转筐出入库明细!$C354="",0,1)</f>
        <v>0</v>
      </c>
      <c r="CQ2353">
        <f t="shared" si="639"/>
        <v>108</v>
      </c>
    </row>
    <row r="2354" spans="94:95">
      <c r="CP2354">
        <f>IF(周转筐出入库明细!$C355="",0,1)</f>
        <v>0</v>
      </c>
      <c r="CQ2354">
        <f t="shared" si="639"/>
        <v>108</v>
      </c>
    </row>
    <row r="2355" spans="94:95">
      <c r="CP2355">
        <f>IF(周转筐出入库明细!$C356="",0,1)</f>
        <v>0</v>
      </c>
      <c r="CQ2355">
        <f t="shared" si="639"/>
        <v>108</v>
      </c>
    </row>
    <row r="2356" spans="94:95">
      <c r="CP2356">
        <f>IF(周转筐出入库明细!$C357="",0,1)</f>
        <v>0</v>
      </c>
      <c r="CQ2356">
        <f t="shared" si="639"/>
        <v>108</v>
      </c>
    </row>
    <row r="2357" spans="94:95">
      <c r="CP2357">
        <f>IF(周转筐出入库明细!$C358="",0,1)</f>
        <v>0</v>
      </c>
      <c r="CQ2357">
        <f t="shared" si="639"/>
        <v>108</v>
      </c>
    </row>
    <row r="2358" spans="94:95">
      <c r="CP2358">
        <f>IF(周转筐出入库明细!$C359="",0,1)</f>
        <v>0</v>
      </c>
      <c r="CQ2358">
        <f t="shared" si="639"/>
        <v>108</v>
      </c>
    </row>
    <row r="2359" spans="94:95">
      <c r="CP2359">
        <f>IF(周转筐出入库明细!$C360="",0,1)</f>
        <v>0</v>
      </c>
      <c r="CQ2359">
        <f t="shared" si="639"/>
        <v>108</v>
      </c>
    </row>
    <row r="2360" spans="94:95">
      <c r="CP2360">
        <f>IF(周转筐出入库明细!$C361="",0,1)</f>
        <v>0</v>
      </c>
      <c r="CQ2360">
        <f t="shared" si="639"/>
        <v>108</v>
      </c>
    </row>
    <row r="2361" spans="94:95">
      <c r="CP2361">
        <f>IF(周转筐出入库明细!$C362="",0,1)</f>
        <v>0</v>
      </c>
      <c r="CQ2361">
        <f t="shared" si="639"/>
        <v>108</v>
      </c>
    </row>
    <row r="2362" spans="94:95">
      <c r="CP2362">
        <f>IF(周转筐出入库明细!$C363="",0,1)</f>
        <v>0</v>
      </c>
      <c r="CQ2362">
        <f t="shared" si="639"/>
        <v>108</v>
      </c>
    </row>
    <row r="2363" spans="94:95">
      <c r="CP2363">
        <f>IF(周转筐出入库明细!$C364="",0,1)</f>
        <v>0</v>
      </c>
      <c r="CQ2363">
        <f t="shared" si="639"/>
        <v>108</v>
      </c>
    </row>
    <row r="2364" spans="94:95">
      <c r="CP2364">
        <f>IF(周转筐出入库明细!$C365="",0,1)</f>
        <v>0</v>
      </c>
      <c r="CQ2364">
        <f t="shared" si="639"/>
        <v>108</v>
      </c>
    </row>
    <row r="2365" spans="94:95">
      <c r="CP2365">
        <f>IF(周转筐出入库明细!$C366="",0,1)</f>
        <v>0</v>
      </c>
      <c r="CQ2365">
        <f t="shared" si="639"/>
        <v>108</v>
      </c>
    </row>
    <row r="2366" spans="94:95">
      <c r="CP2366">
        <f>IF(周转筐出入库明细!$C367="",0,1)</f>
        <v>0</v>
      </c>
      <c r="CQ2366">
        <f t="shared" si="639"/>
        <v>108</v>
      </c>
    </row>
    <row r="2367" spans="94:95">
      <c r="CP2367">
        <f>IF(周转筐出入库明细!$C368="",0,1)</f>
        <v>0</v>
      </c>
      <c r="CQ2367">
        <f t="shared" si="639"/>
        <v>108</v>
      </c>
    </row>
    <row r="2368" spans="94:95">
      <c r="CP2368">
        <f>IF(周转筐出入库明细!$C369="",0,1)</f>
        <v>0</v>
      </c>
      <c r="CQ2368">
        <f t="shared" si="639"/>
        <v>108</v>
      </c>
    </row>
    <row r="2369" spans="94:95">
      <c r="CP2369">
        <f>IF(周转筐出入库明细!$C370="",0,1)</f>
        <v>0</v>
      </c>
      <c r="CQ2369">
        <f t="shared" si="639"/>
        <v>108</v>
      </c>
    </row>
    <row r="2370" spans="94:95">
      <c r="CP2370">
        <f>IF(周转筐出入库明细!$C371="",0,1)</f>
        <v>0</v>
      </c>
      <c r="CQ2370">
        <f t="shared" si="639"/>
        <v>108</v>
      </c>
    </row>
    <row r="2371" spans="94:95">
      <c r="CP2371">
        <f>IF(周转筐出入库明细!$C372="",0,1)</f>
        <v>0</v>
      </c>
      <c r="CQ2371">
        <f t="shared" si="639"/>
        <v>108</v>
      </c>
    </row>
    <row r="2372" spans="94:95">
      <c r="CP2372">
        <f>IF(周转筐出入库明细!$C373="",0,1)</f>
        <v>0</v>
      </c>
      <c r="CQ2372">
        <f t="shared" ref="CQ2372:CQ2435" si="640">N(CQ2371)+$CP2372</f>
        <v>108</v>
      </c>
    </row>
    <row r="2373" spans="94:95">
      <c r="CP2373">
        <f>IF(周转筐出入库明细!$C374="",0,1)</f>
        <v>0</v>
      </c>
      <c r="CQ2373">
        <f t="shared" si="640"/>
        <v>108</v>
      </c>
    </row>
    <row r="2374" spans="94:95">
      <c r="CP2374">
        <f>IF(周转筐出入库明细!$C375="",0,1)</f>
        <v>0</v>
      </c>
      <c r="CQ2374">
        <f t="shared" si="640"/>
        <v>108</v>
      </c>
    </row>
    <row r="2375" spans="94:95">
      <c r="CP2375">
        <f>IF(周转筐出入库明细!$C376="",0,1)</f>
        <v>0</v>
      </c>
      <c r="CQ2375">
        <f t="shared" si="640"/>
        <v>108</v>
      </c>
    </row>
    <row r="2376" spans="94:95">
      <c r="CP2376">
        <f>IF(周转筐出入库明细!$C377="",0,1)</f>
        <v>0</v>
      </c>
      <c r="CQ2376">
        <f t="shared" si="640"/>
        <v>108</v>
      </c>
    </row>
    <row r="2377" spans="94:95">
      <c r="CP2377">
        <f>IF(周转筐出入库明细!$C378="",0,1)</f>
        <v>0</v>
      </c>
      <c r="CQ2377">
        <f t="shared" si="640"/>
        <v>108</v>
      </c>
    </row>
    <row r="2378" spans="94:95">
      <c r="CP2378">
        <f>IF(周转筐出入库明细!$C379="",0,1)</f>
        <v>0</v>
      </c>
      <c r="CQ2378">
        <f t="shared" si="640"/>
        <v>108</v>
      </c>
    </row>
    <row r="2379" spans="94:95">
      <c r="CP2379">
        <f>IF(周转筐出入库明细!$C380="",0,1)</f>
        <v>0</v>
      </c>
      <c r="CQ2379">
        <f t="shared" si="640"/>
        <v>108</v>
      </c>
    </row>
    <row r="2380" spans="94:95">
      <c r="CP2380">
        <f>IF(周转筐出入库明细!$C381="",0,1)</f>
        <v>0</v>
      </c>
      <c r="CQ2380">
        <f t="shared" si="640"/>
        <v>108</v>
      </c>
    </row>
    <row r="2381" spans="94:95">
      <c r="CP2381">
        <f>IF(周转筐出入库明细!$C382="",0,1)</f>
        <v>0</v>
      </c>
      <c r="CQ2381">
        <f t="shared" si="640"/>
        <v>108</v>
      </c>
    </row>
    <row r="2382" spans="94:95">
      <c r="CP2382">
        <f>IF(周转筐出入库明细!$C383="",0,1)</f>
        <v>0</v>
      </c>
      <c r="CQ2382">
        <f t="shared" si="640"/>
        <v>108</v>
      </c>
    </row>
    <row r="2383" spans="94:95">
      <c r="CP2383">
        <f>IF(周转筐出入库明细!$C384="",0,1)</f>
        <v>0</v>
      </c>
      <c r="CQ2383">
        <f t="shared" si="640"/>
        <v>108</v>
      </c>
    </row>
    <row r="2384" spans="94:95">
      <c r="CP2384">
        <f>IF(周转筐出入库明细!$C385="",0,1)</f>
        <v>0</v>
      </c>
      <c r="CQ2384">
        <f t="shared" si="640"/>
        <v>108</v>
      </c>
    </row>
    <row r="2385" spans="94:95">
      <c r="CP2385">
        <f>IF(周转筐出入库明细!$C386="",0,1)</f>
        <v>0</v>
      </c>
      <c r="CQ2385">
        <f t="shared" si="640"/>
        <v>108</v>
      </c>
    </row>
    <row r="2386" spans="94:95">
      <c r="CP2386">
        <f>IF(周转筐出入库明细!$C387="",0,1)</f>
        <v>0</v>
      </c>
      <c r="CQ2386">
        <f t="shared" si="640"/>
        <v>108</v>
      </c>
    </row>
    <row r="2387" spans="94:95">
      <c r="CP2387">
        <f>IF(周转筐出入库明细!$C388="",0,1)</f>
        <v>0</v>
      </c>
      <c r="CQ2387">
        <f t="shared" si="640"/>
        <v>108</v>
      </c>
    </row>
    <row r="2388" spans="94:95">
      <c r="CP2388">
        <f>IF(周转筐出入库明细!$C389="",0,1)</f>
        <v>0</v>
      </c>
      <c r="CQ2388">
        <f t="shared" si="640"/>
        <v>108</v>
      </c>
    </row>
    <row r="2389" spans="94:95">
      <c r="CP2389">
        <f>IF(周转筐出入库明细!$C390="",0,1)</f>
        <v>0</v>
      </c>
      <c r="CQ2389">
        <f t="shared" si="640"/>
        <v>108</v>
      </c>
    </row>
    <row r="2390" spans="94:95">
      <c r="CP2390">
        <f>IF(周转筐出入库明细!$C391="",0,1)</f>
        <v>0</v>
      </c>
      <c r="CQ2390">
        <f t="shared" si="640"/>
        <v>108</v>
      </c>
    </row>
    <row r="2391" spans="94:95">
      <c r="CP2391">
        <f>IF(周转筐出入库明细!$C392="",0,1)</f>
        <v>0</v>
      </c>
      <c r="CQ2391">
        <f t="shared" si="640"/>
        <v>108</v>
      </c>
    </row>
    <row r="2392" spans="94:95">
      <c r="CP2392">
        <f>IF(周转筐出入库明细!$C393="",0,1)</f>
        <v>0</v>
      </c>
      <c r="CQ2392">
        <f t="shared" si="640"/>
        <v>108</v>
      </c>
    </row>
    <row r="2393" spans="94:95">
      <c r="CP2393">
        <f>IF(周转筐出入库明细!$C394="",0,1)</f>
        <v>0</v>
      </c>
      <c r="CQ2393">
        <f t="shared" si="640"/>
        <v>108</v>
      </c>
    </row>
    <row r="2394" spans="94:95">
      <c r="CP2394">
        <f>IF(周转筐出入库明细!$C395="",0,1)</f>
        <v>0</v>
      </c>
      <c r="CQ2394">
        <f t="shared" si="640"/>
        <v>108</v>
      </c>
    </row>
    <row r="2395" spans="94:95">
      <c r="CP2395">
        <f>IF(周转筐出入库明细!$C396="",0,1)</f>
        <v>0</v>
      </c>
      <c r="CQ2395">
        <f t="shared" si="640"/>
        <v>108</v>
      </c>
    </row>
    <row r="2396" spans="94:95">
      <c r="CP2396">
        <f>IF(周转筐出入库明细!$C397="",0,1)</f>
        <v>0</v>
      </c>
      <c r="CQ2396">
        <f t="shared" si="640"/>
        <v>108</v>
      </c>
    </row>
    <row r="2397" spans="94:95">
      <c r="CP2397">
        <f>IF(周转筐出入库明细!$C398="",0,1)</f>
        <v>0</v>
      </c>
      <c r="CQ2397">
        <f t="shared" si="640"/>
        <v>108</v>
      </c>
    </row>
    <row r="2398" spans="94:95">
      <c r="CP2398">
        <f>IF(周转筐出入库明细!$C399="",0,1)</f>
        <v>0</v>
      </c>
      <c r="CQ2398">
        <f t="shared" si="640"/>
        <v>108</v>
      </c>
    </row>
    <row r="2399" spans="94:95">
      <c r="CP2399">
        <f>IF(周转筐出入库明细!$C400="",0,1)</f>
        <v>0</v>
      </c>
      <c r="CQ2399">
        <f t="shared" si="640"/>
        <v>108</v>
      </c>
    </row>
    <row r="2400" spans="94:95">
      <c r="CP2400">
        <f>IF(周转筐出入库明细!$C401="",0,1)</f>
        <v>0</v>
      </c>
      <c r="CQ2400">
        <f t="shared" si="640"/>
        <v>108</v>
      </c>
    </row>
    <row r="2401" spans="94:95">
      <c r="CP2401">
        <f>IF(周转筐出入库明细!$C402="",0,1)</f>
        <v>0</v>
      </c>
      <c r="CQ2401">
        <f t="shared" si="640"/>
        <v>108</v>
      </c>
    </row>
    <row r="2402" spans="94:95">
      <c r="CP2402">
        <f>IF(周转筐出入库明细!$C403="",0,1)</f>
        <v>0</v>
      </c>
      <c r="CQ2402">
        <f t="shared" si="640"/>
        <v>108</v>
      </c>
    </row>
    <row r="2403" spans="94:95">
      <c r="CP2403">
        <f>IF(周转筐出入库明细!$C404="",0,1)</f>
        <v>0</v>
      </c>
      <c r="CQ2403">
        <f t="shared" si="640"/>
        <v>108</v>
      </c>
    </row>
    <row r="2404" spans="94:95">
      <c r="CP2404">
        <f>IF(周转筐出入库明细!$C405="",0,1)</f>
        <v>0</v>
      </c>
      <c r="CQ2404">
        <f t="shared" si="640"/>
        <v>108</v>
      </c>
    </row>
    <row r="2405" spans="94:95">
      <c r="CP2405">
        <f>IF(周转筐出入库明细!$C406="",0,1)</f>
        <v>0</v>
      </c>
      <c r="CQ2405">
        <f t="shared" si="640"/>
        <v>108</v>
      </c>
    </row>
    <row r="2406" spans="94:95">
      <c r="CP2406">
        <f>IF(周转筐出入库明细!$C407="",0,1)</f>
        <v>0</v>
      </c>
      <c r="CQ2406">
        <f t="shared" si="640"/>
        <v>108</v>
      </c>
    </row>
    <row r="2407" spans="94:95">
      <c r="CP2407">
        <f>IF(周转筐出入库明细!$C408="",0,1)</f>
        <v>0</v>
      </c>
      <c r="CQ2407">
        <f t="shared" si="640"/>
        <v>108</v>
      </c>
    </row>
    <row r="2408" spans="94:95">
      <c r="CP2408">
        <f>IF(周转筐出入库明细!$C409="",0,1)</f>
        <v>0</v>
      </c>
      <c r="CQ2408">
        <f t="shared" si="640"/>
        <v>108</v>
      </c>
    </row>
    <row r="2409" spans="94:95">
      <c r="CP2409">
        <f>IF(周转筐出入库明细!$C410="",0,1)</f>
        <v>0</v>
      </c>
      <c r="CQ2409">
        <f t="shared" si="640"/>
        <v>108</v>
      </c>
    </row>
    <row r="2410" spans="94:95">
      <c r="CP2410">
        <f>IF(周转筐出入库明细!$C411="",0,1)</f>
        <v>0</v>
      </c>
      <c r="CQ2410">
        <f t="shared" si="640"/>
        <v>108</v>
      </c>
    </row>
    <row r="2411" spans="94:95">
      <c r="CP2411">
        <f>IF(周转筐出入库明细!$C412="",0,1)</f>
        <v>0</v>
      </c>
      <c r="CQ2411">
        <f t="shared" si="640"/>
        <v>108</v>
      </c>
    </row>
    <row r="2412" spans="94:95">
      <c r="CP2412">
        <f>IF(周转筐出入库明细!$C413="",0,1)</f>
        <v>0</v>
      </c>
      <c r="CQ2412">
        <f t="shared" si="640"/>
        <v>108</v>
      </c>
    </row>
    <row r="2413" spans="94:95">
      <c r="CP2413">
        <f>IF(周转筐出入库明细!$C414="",0,1)</f>
        <v>0</v>
      </c>
      <c r="CQ2413">
        <f t="shared" si="640"/>
        <v>108</v>
      </c>
    </row>
    <row r="2414" spans="94:95">
      <c r="CP2414">
        <f>IF(周转筐出入库明细!$C415="",0,1)</f>
        <v>0</v>
      </c>
      <c r="CQ2414">
        <f t="shared" si="640"/>
        <v>108</v>
      </c>
    </row>
    <row r="2415" spans="94:95">
      <c r="CP2415">
        <f>IF(周转筐出入库明细!$C416="",0,1)</f>
        <v>0</v>
      </c>
      <c r="CQ2415">
        <f t="shared" si="640"/>
        <v>108</v>
      </c>
    </row>
    <row r="2416" spans="94:95">
      <c r="CP2416">
        <f>IF(周转筐出入库明细!$C417="",0,1)</f>
        <v>0</v>
      </c>
      <c r="CQ2416">
        <f t="shared" si="640"/>
        <v>108</v>
      </c>
    </row>
    <row r="2417" spans="94:95">
      <c r="CP2417">
        <f>IF(周转筐出入库明细!$C418="",0,1)</f>
        <v>0</v>
      </c>
      <c r="CQ2417">
        <f t="shared" si="640"/>
        <v>108</v>
      </c>
    </row>
    <row r="2418" spans="94:95">
      <c r="CP2418">
        <f>IF(周转筐出入库明细!$C419="",0,1)</f>
        <v>0</v>
      </c>
      <c r="CQ2418">
        <f t="shared" si="640"/>
        <v>108</v>
      </c>
    </row>
    <row r="2419" spans="94:95">
      <c r="CP2419">
        <f>IF(周转筐出入库明细!$C420="",0,1)</f>
        <v>0</v>
      </c>
      <c r="CQ2419">
        <f t="shared" si="640"/>
        <v>108</v>
      </c>
    </row>
    <row r="2420" spans="94:95">
      <c r="CP2420">
        <f>IF(周转筐出入库明细!$C421="",0,1)</f>
        <v>0</v>
      </c>
      <c r="CQ2420">
        <f t="shared" si="640"/>
        <v>108</v>
      </c>
    </row>
    <row r="2421" spans="94:95">
      <c r="CP2421">
        <f>IF(周转筐出入库明细!$C422="",0,1)</f>
        <v>0</v>
      </c>
      <c r="CQ2421">
        <f t="shared" si="640"/>
        <v>108</v>
      </c>
    </row>
    <row r="2422" spans="94:95">
      <c r="CP2422">
        <f>IF(周转筐出入库明细!$C423="",0,1)</f>
        <v>0</v>
      </c>
      <c r="CQ2422">
        <f t="shared" si="640"/>
        <v>108</v>
      </c>
    </row>
    <row r="2423" spans="94:95">
      <c r="CP2423">
        <f>IF(周转筐出入库明细!$C424="",0,1)</f>
        <v>0</v>
      </c>
      <c r="CQ2423">
        <f t="shared" si="640"/>
        <v>108</v>
      </c>
    </row>
    <row r="2424" spans="94:95">
      <c r="CP2424">
        <f>IF(周转筐出入库明细!$C425="",0,1)</f>
        <v>0</v>
      </c>
      <c r="CQ2424">
        <f t="shared" si="640"/>
        <v>108</v>
      </c>
    </row>
    <row r="2425" spans="94:95">
      <c r="CP2425">
        <f>IF(周转筐出入库明细!$C426="",0,1)</f>
        <v>0</v>
      </c>
      <c r="CQ2425">
        <f t="shared" si="640"/>
        <v>108</v>
      </c>
    </row>
    <row r="2426" spans="94:95">
      <c r="CP2426">
        <f>IF(周转筐出入库明细!$C427="",0,1)</f>
        <v>0</v>
      </c>
      <c r="CQ2426">
        <f t="shared" si="640"/>
        <v>108</v>
      </c>
    </row>
    <row r="2427" spans="94:95">
      <c r="CP2427">
        <f>IF(周转筐出入库明细!$C428="",0,1)</f>
        <v>0</v>
      </c>
      <c r="CQ2427">
        <f t="shared" si="640"/>
        <v>108</v>
      </c>
    </row>
    <row r="2428" spans="94:95">
      <c r="CP2428">
        <f>IF(周转筐出入库明细!$C429="",0,1)</f>
        <v>0</v>
      </c>
      <c r="CQ2428">
        <f t="shared" si="640"/>
        <v>108</v>
      </c>
    </row>
    <row r="2429" spans="94:95">
      <c r="CP2429">
        <f>IF(周转筐出入库明细!$C430="",0,1)</f>
        <v>0</v>
      </c>
      <c r="CQ2429">
        <f t="shared" si="640"/>
        <v>108</v>
      </c>
    </row>
    <row r="2430" spans="94:95">
      <c r="CP2430">
        <f>IF(周转筐出入库明细!$C431="",0,1)</f>
        <v>0</v>
      </c>
      <c r="CQ2430">
        <f t="shared" si="640"/>
        <v>108</v>
      </c>
    </row>
    <row r="2431" spans="94:95">
      <c r="CP2431">
        <f>IF(周转筐出入库明细!$C432="",0,1)</f>
        <v>0</v>
      </c>
      <c r="CQ2431">
        <f t="shared" si="640"/>
        <v>108</v>
      </c>
    </row>
    <row r="2432" spans="94:95">
      <c r="CP2432">
        <f>IF(周转筐出入库明细!$C433="",0,1)</f>
        <v>0</v>
      </c>
      <c r="CQ2432">
        <f t="shared" si="640"/>
        <v>108</v>
      </c>
    </row>
    <row r="2433" spans="94:95">
      <c r="CP2433">
        <f>IF(周转筐出入库明细!$C434="",0,1)</f>
        <v>0</v>
      </c>
      <c r="CQ2433">
        <f t="shared" si="640"/>
        <v>108</v>
      </c>
    </row>
    <row r="2434" spans="94:95">
      <c r="CP2434">
        <f>IF(周转筐出入库明细!$C435="",0,1)</f>
        <v>0</v>
      </c>
      <c r="CQ2434">
        <f t="shared" si="640"/>
        <v>108</v>
      </c>
    </row>
    <row r="2435" spans="94:95">
      <c r="CP2435">
        <f>IF(周转筐出入库明细!$C436="",0,1)</f>
        <v>0</v>
      </c>
      <c r="CQ2435">
        <f t="shared" si="640"/>
        <v>108</v>
      </c>
    </row>
    <row r="2436" spans="94:95">
      <c r="CP2436">
        <f>IF(周转筐出入库明细!$C437="",0,1)</f>
        <v>0</v>
      </c>
      <c r="CQ2436">
        <f t="shared" ref="CQ2436:CQ2499" si="641">N(CQ2435)+$CP2436</f>
        <v>108</v>
      </c>
    </row>
    <row r="2437" spans="94:95">
      <c r="CP2437">
        <f>IF(周转筐出入库明细!$C438="",0,1)</f>
        <v>0</v>
      </c>
      <c r="CQ2437">
        <f t="shared" si="641"/>
        <v>108</v>
      </c>
    </row>
    <row r="2438" spans="94:95">
      <c r="CP2438">
        <f>IF(周转筐出入库明细!$C439="",0,1)</f>
        <v>0</v>
      </c>
      <c r="CQ2438">
        <f t="shared" si="641"/>
        <v>108</v>
      </c>
    </row>
    <row r="2439" spans="94:95">
      <c r="CP2439">
        <f>IF(周转筐出入库明细!$C440="",0,1)</f>
        <v>0</v>
      </c>
      <c r="CQ2439">
        <f t="shared" si="641"/>
        <v>108</v>
      </c>
    </row>
    <row r="2440" spans="94:95">
      <c r="CP2440">
        <f>IF(周转筐出入库明细!$C441="",0,1)</f>
        <v>0</v>
      </c>
      <c r="CQ2440">
        <f t="shared" si="641"/>
        <v>108</v>
      </c>
    </row>
    <row r="2441" spans="94:95">
      <c r="CP2441">
        <f>IF(周转筐出入库明细!$C442="",0,1)</f>
        <v>0</v>
      </c>
      <c r="CQ2441">
        <f t="shared" si="641"/>
        <v>108</v>
      </c>
    </row>
    <row r="2442" spans="94:95">
      <c r="CP2442">
        <f>IF(周转筐出入库明细!$C443="",0,1)</f>
        <v>0</v>
      </c>
      <c r="CQ2442">
        <f t="shared" si="641"/>
        <v>108</v>
      </c>
    </row>
    <row r="2443" spans="94:95">
      <c r="CP2443">
        <f>IF(周转筐出入库明细!$C444="",0,1)</f>
        <v>0</v>
      </c>
      <c r="CQ2443">
        <f t="shared" si="641"/>
        <v>108</v>
      </c>
    </row>
    <row r="2444" spans="94:95">
      <c r="CP2444">
        <f>IF(周转筐出入库明细!$C445="",0,1)</f>
        <v>0</v>
      </c>
      <c r="CQ2444">
        <f t="shared" si="641"/>
        <v>108</v>
      </c>
    </row>
    <row r="2445" spans="94:95">
      <c r="CP2445">
        <f>IF(周转筐出入库明细!$C446="",0,1)</f>
        <v>0</v>
      </c>
      <c r="CQ2445">
        <f t="shared" si="641"/>
        <v>108</v>
      </c>
    </row>
    <row r="2446" spans="94:95">
      <c r="CP2446">
        <f>IF(周转筐出入库明细!$C447="",0,1)</f>
        <v>0</v>
      </c>
      <c r="CQ2446">
        <f t="shared" si="641"/>
        <v>108</v>
      </c>
    </row>
    <row r="2447" spans="94:95">
      <c r="CP2447">
        <f>IF(周转筐出入库明细!$C448="",0,1)</f>
        <v>0</v>
      </c>
      <c r="CQ2447">
        <f t="shared" si="641"/>
        <v>108</v>
      </c>
    </row>
    <row r="2448" spans="94:95">
      <c r="CP2448">
        <f>IF(周转筐出入库明细!$C449="",0,1)</f>
        <v>0</v>
      </c>
      <c r="CQ2448">
        <f t="shared" si="641"/>
        <v>108</v>
      </c>
    </row>
    <row r="2449" spans="94:95">
      <c r="CP2449">
        <f>IF(周转筐出入库明细!$C450="",0,1)</f>
        <v>0</v>
      </c>
      <c r="CQ2449">
        <f t="shared" si="641"/>
        <v>108</v>
      </c>
    </row>
    <row r="2450" spans="94:95">
      <c r="CP2450">
        <f>IF(周转筐出入库明细!$C451="",0,1)</f>
        <v>0</v>
      </c>
      <c r="CQ2450">
        <f t="shared" si="641"/>
        <v>108</v>
      </c>
    </row>
    <row r="2451" spans="94:95">
      <c r="CP2451">
        <f>IF(周转筐出入库明细!$C452="",0,1)</f>
        <v>0</v>
      </c>
      <c r="CQ2451">
        <f t="shared" si="641"/>
        <v>108</v>
      </c>
    </row>
    <row r="2452" spans="94:95">
      <c r="CP2452">
        <f>IF(周转筐出入库明细!$C453="",0,1)</f>
        <v>0</v>
      </c>
      <c r="CQ2452">
        <f t="shared" si="641"/>
        <v>108</v>
      </c>
    </row>
    <row r="2453" spans="94:95">
      <c r="CP2453">
        <f>IF(周转筐出入库明细!$C454="",0,1)</f>
        <v>0</v>
      </c>
      <c r="CQ2453">
        <f t="shared" si="641"/>
        <v>108</v>
      </c>
    </row>
    <row r="2454" spans="94:95">
      <c r="CP2454">
        <f>IF(周转筐出入库明细!$C455="",0,1)</f>
        <v>0</v>
      </c>
      <c r="CQ2454">
        <f t="shared" si="641"/>
        <v>108</v>
      </c>
    </row>
    <row r="2455" spans="94:95">
      <c r="CP2455">
        <f>IF(周转筐出入库明细!$C456="",0,1)</f>
        <v>0</v>
      </c>
      <c r="CQ2455">
        <f t="shared" si="641"/>
        <v>108</v>
      </c>
    </row>
    <row r="2456" spans="94:95">
      <c r="CP2456">
        <f>IF(周转筐出入库明细!$C457="",0,1)</f>
        <v>0</v>
      </c>
      <c r="CQ2456">
        <f t="shared" si="641"/>
        <v>108</v>
      </c>
    </row>
    <row r="2457" spans="94:95">
      <c r="CP2457">
        <f>IF(周转筐出入库明细!$C458="",0,1)</f>
        <v>0</v>
      </c>
      <c r="CQ2457">
        <f t="shared" si="641"/>
        <v>108</v>
      </c>
    </row>
    <row r="2458" spans="94:95">
      <c r="CP2458">
        <f>IF(周转筐出入库明细!$C459="",0,1)</f>
        <v>0</v>
      </c>
      <c r="CQ2458">
        <f t="shared" si="641"/>
        <v>108</v>
      </c>
    </row>
    <row r="2459" spans="94:95">
      <c r="CP2459">
        <f>IF(周转筐出入库明细!$C460="",0,1)</f>
        <v>0</v>
      </c>
      <c r="CQ2459">
        <f t="shared" si="641"/>
        <v>108</v>
      </c>
    </row>
    <row r="2460" spans="94:95">
      <c r="CP2460">
        <f>IF(周转筐出入库明细!$C461="",0,1)</f>
        <v>0</v>
      </c>
      <c r="CQ2460">
        <f t="shared" si="641"/>
        <v>108</v>
      </c>
    </row>
    <row r="2461" spans="94:95">
      <c r="CP2461">
        <f>IF(周转筐出入库明细!$C462="",0,1)</f>
        <v>0</v>
      </c>
      <c r="CQ2461">
        <f t="shared" si="641"/>
        <v>108</v>
      </c>
    </row>
    <row r="2462" spans="94:95">
      <c r="CP2462">
        <f>IF(周转筐出入库明细!$C463="",0,1)</f>
        <v>0</v>
      </c>
      <c r="CQ2462">
        <f t="shared" si="641"/>
        <v>108</v>
      </c>
    </row>
    <row r="2463" spans="94:95">
      <c r="CP2463">
        <f>IF(周转筐出入库明细!$C464="",0,1)</f>
        <v>0</v>
      </c>
      <c r="CQ2463">
        <f t="shared" si="641"/>
        <v>108</v>
      </c>
    </row>
    <row r="2464" spans="94:95">
      <c r="CP2464">
        <f>IF(周转筐出入库明细!$C465="",0,1)</f>
        <v>0</v>
      </c>
      <c r="CQ2464">
        <f t="shared" si="641"/>
        <v>108</v>
      </c>
    </row>
    <row r="2465" spans="94:95">
      <c r="CP2465">
        <f>IF(周转筐出入库明细!$C466="",0,1)</f>
        <v>0</v>
      </c>
      <c r="CQ2465">
        <f t="shared" si="641"/>
        <v>108</v>
      </c>
    </row>
    <row r="2466" spans="94:95">
      <c r="CP2466">
        <f>IF(周转筐出入库明细!$C467="",0,1)</f>
        <v>0</v>
      </c>
      <c r="CQ2466">
        <f t="shared" si="641"/>
        <v>108</v>
      </c>
    </row>
    <row r="2467" spans="94:95">
      <c r="CP2467">
        <f>IF(周转筐出入库明细!$C468="",0,1)</f>
        <v>0</v>
      </c>
      <c r="CQ2467">
        <f t="shared" si="641"/>
        <v>108</v>
      </c>
    </row>
    <row r="2468" spans="94:95">
      <c r="CP2468">
        <f>IF(周转筐出入库明细!$C469="",0,1)</f>
        <v>0</v>
      </c>
      <c r="CQ2468">
        <f t="shared" si="641"/>
        <v>108</v>
      </c>
    </row>
    <row r="2469" spans="94:95">
      <c r="CP2469">
        <f>IF(周转筐出入库明细!$C470="",0,1)</f>
        <v>0</v>
      </c>
      <c r="CQ2469">
        <f t="shared" si="641"/>
        <v>108</v>
      </c>
    </row>
    <row r="2470" spans="94:95">
      <c r="CP2470">
        <f>IF(周转筐出入库明细!$C471="",0,1)</f>
        <v>0</v>
      </c>
      <c r="CQ2470">
        <f t="shared" si="641"/>
        <v>108</v>
      </c>
    </row>
    <row r="2471" spans="94:95">
      <c r="CP2471">
        <f>IF(周转筐出入库明细!$C472="",0,1)</f>
        <v>0</v>
      </c>
      <c r="CQ2471">
        <f t="shared" si="641"/>
        <v>108</v>
      </c>
    </row>
    <row r="2472" spans="94:95">
      <c r="CP2472">
        <f>IF(周转筐出入库明细!$C473="",0,1)</f>
        <v>0</v>
      </c>
      <c r="CQ2472">
        <f t="shared" si="641"/>
        <v>108</v>
      </c>
    </row>
    <row r="2473" spans="94:95">
      <c r="CP2473">
        <f>IF(周转筐出入库明细!$C474="",0,1)</f>
        <v>0</v>
      </c>
      <c r="CQ2473">
        <f t="shared" si="641"/>
        <v>108</v>
      </c>
    </row>
    <row r="2474" spans="94:95">
      <c r="CP2474">
        <f>IF(周转筐出入库明细!$C475="",0,1)</f>
        <v>0</v>
      </c>
      <c r="CQ2474">
        <f t="shared" si="641"/>
        <v>108</v>
      </c>
    </row>
    <row r="2475" spans="94:95">
      <c r="CP2475">
        <f>IF(周转筐出入库明细!$C476="",0,1)</f>
        <v>0</v>
      </c>
      <c r="CQ2475">
        <f t="shared" si="641"/>
        <v>108</v>
      </c>
    </row>
    <row r="2476" spans="94:95">
      <c r="CP2476">
        <f>IF(周转筐出入库明细!$C477="",0,1)</f>
        <v>0</v>
      </c>
      <c r="CQ2476">
        <f t="shared" si="641"/>
        <v>108</v>
      </c>
    </row>
    <row r="2477" spans="94:95">
      <c r="CP2477">
        <f>IF(周转筐出入库明细!$C478="",0,1)</f>
        <v>0</v>
      </c>
      <c r="CQ2477">
        <f t="shared" si="641"/>
        <v>108</v>
      </c>
    </row>
    <row r="2478" spans="94:95">
      <c r="CP2478">
        <f>IF(周转筐出入库明细!$C479="",0,1)</f>
        <v>0</v>
      </c>
      <c r="CQ2478">
        <f t="shared" si="641"/>
        <v>108</v>
      </c>
    </row>
    <row r="2479" spans="94:95">
      <c r="CP2479">
        <f>IF(周转筐出入库明细!$C480="",0,1)</f>
        <v>0</v>
      </c>
      <c r="CQ2479">
        <f t="shared" si="641"/>
        <v>108</v>
      </c>
    </row>
    <row r="2480" spans="94:95">
      <c r="CP2480">
        <f>IF(周转筐出入库明细!$C481="",0,1)</f>
        <v>0</v>
      </c>
      <c r="CQ2480">
        <f t="shared" si="641"/>
        <v>108</v>
      </c>
    </row>
    <row r="2481" spans="94:95">
      <c r="CP2481">
        <f>IF(周转筐出入库明细!$C482="",0,1)</f>
        <v>0</v>
      </c>
      <c r="CQ2481">
        <f t="shared" si="641"/>
        <v>108</v>
      </c>
    </row>
    <row r="2482" spans="94:95">
      <c r="CP2482">
        <f>IF(周转筐出入库明细!$C483="",0,1)</f>
        <v>0</v>
      </c>
      <c r="CQ2482">
        <f t="shared" si="641"/>
        <v>108</v>
      </c>
    </row>
    <row r="2483" spans="94:95">
      <c r="CP2483">
        <f>IF(周转筐出入库明细!$C484="",0,1)</f>
        <v>0</v>
      </c>
      <c r="CQ2483">
        <f t="shared" si="641"/>
        <v>108</v>
      </c>
    </row>
    <row r="2484" spans="94:95">
      <c r="CP2484">
        <f>IF(周转筐出入库明细!$C485="",0,1)</f>
        <v>0</v>
      </c>
      <c r="CQ2484">
        <f t="shared" si="641"/>
        <v>108</v>
      </c>
    </row>
    <row r="2485" spans="94:95">
      <c r="CP2485">
        <f>IF(周转筐出入库明细!$C486="",0,1)</f>
        <v>0</v>
      </c>
      <c r="CQ2485">
        <f t="shared" si="641"/>
        <v>108</v>
      </c>
    </row>
    <row r="2486" spans="94:95">
      <c r="CP2486">
        <f>IF(周转筐出入库明细!$C487="",0,1)</f>
        <v>0</v>
      </c>
      <c r="CQ2486">
        <f t="shared" si="641"/>
        <v>108</v>
      </c>
    </row>
    <row r="2487" spans="94:95">
      <c r="CP2487">
        <f>IF(周转筐出入库明细!$C488="",0,1)</f>
        <v>0</v>
      </c>
      <c r="CQ2487">
        <f t="shared" si="641"/>
        <v>108</v>
      </c>
    </row>
    <row r="2488" spans="94:95">
      <c r="CP2488">
        <f>IF(周转筐出入库明细!$C489="",0,1)</f>
        <v>0</v>
      </c>
      <c r="CQ2488">
        <f t="shared" si="641"/>
        <v>108</v>
      </c>
    </row>
    <row r="2489" spans="94:95">
      <c r="CP2489">
        <f>IF(周转筐出入库明细!$C490="",0,1)</f>
        <v>0</v>
      </c>
      <c r="CQ2489">
        <f t="shared" si="641"/>
        <v>108</v>
      </c>
    </row>
    <row r="2490" spans="94:95">
      <c r="CP2490">
        <f>IF(周转筐出入库明细!$C491="",0,1)</f>
        <v>0</v>
      </c>
      <c r="CQ2490">
        <f t="shared" si="641"/>
        <v>108</v>
      </c>
    </row>
    <row r="2491" spans="94:95">
      <c r="CP2491">
        <f>IF(周转筐出入库明细!$C492="",0,1)</f>
        <v>0</v>
      </c>
      <c r="CQ2491">
        <f t="shared" si="641"/>
        <v>108</v>
      </c>
    </row>
    <row r="2492" spans="94:95">
      <c r="CP2492">
        <f>IF(周转筐出入库明细!$C493="",0,1)</f>
        <v>0</v>
      </c>
      <c r="CQ2492">
        <f t="shared" si="641"/>
        <v>108</v>
      </c>
    </row>
    <row r="2493" spans="94:95">
      <c r="CP2493">
        <f>IF(周转筐出入库明细!$C494="",0,1)</f>
        <v>0</v>
      </c>
      <c r="CQ2493">
        <f t="shared" si="641"/>
        <v>108</v>
      </c>
    </row>
    <row r="2494" spans="94:95">
      <c r="CP2494">
        <f>IF(周转筐出入库明细!$C495="",0,1)</f>
        <v>0</v>
      </c>
      <c r="CQ2494">
        <f t="shared" si="641"/>
        <v>108</v>
      </c>
    </row>
    <row r="2495" spans="94:95">
      <c r="CP2495">
        <f>IF(周转筐出入库明细!$C496="",0,1)</f>
        <v>0</v>
      </c>
      <c r="CQ2495">
        <f t="shared" si="641"/>
        <v>108</v>
      </c>
    </row>
    <row r="2496" spans="94:95">
      <c r="CP2496">
        <f>IF(周转筐出入库明细!$C497="",0,1)</f>
        <v>0</v>
      </c>
      <c r="CQ2496">
        <f t="shared" si="641"/>
        <v>108</v>
      </c>
    </row>
    <row r="2497" spans="94:95">
      <c r="CP2497">
        <f>IF(周转筐出入库明细!$C498="",0,1)</f>
        <v>0</v>
      </c>
      <c r="CQ2497">
        <f t="shared" si="641"/>
        <v>108</v>
      </c>
    </row>
    <row r="2498" spans="94:95">
      <c r="CP2498">
        <f>IF(周转筐出入库明细!$C499="",0,1)</f>
        <v>0</v>
      </c>
      <c r="CQ2498">
        <f t="shared" si="641"/>
        <v>108</v>
      </c>
    </row>
    <row r="2499" spans="94:95">
      <c r="CP2499">
        <f>IF(周转筐出入库明细!$C500="",0,1)</f>
        <v>0</v>
      </c>
      <c r="CQ2499">
        <f t="shared" si="641"/>
        <v>108</v>
      </c>
    </row>
    <row r="2500" spans="94:95">
      <c r="CP2500">
        <f>IF(周转筐出入库明细!$C501="",0,1)</f>
        <v>0</v>
      </c>
      <c r="CQ2500">
        <f t="shared" ref="CQ2500:CQ2563" si="642">N(CQ2499)+$CP2500</f>
        <v>108</v>
      </c>
    </row>
    <row r="2501" spans="94:95">
      <c r="CP2501">
        <f>IF(周转筐出入库明细!$C502="",0,1)</f>
        <v>0</v>
      </c>
      <c r="CQ2501">
        <f t="shared" si="642"/>
        <v>108</v>
      </c>
    </row>
    <row r="2502" spans="94:95">
      <c r="CP2502">
        <f>IF(周转筐出入库明细!$C503="",0,1)</f>
        <v>0</v>
      </c>
      <c r="CQ2502">
        <f t="shared" si="642"/>
        <v>108</v>
      </c>
    </row>
    <row r="2503" spans="94:95">
      <c r="CP2503">
        <f>IF(周转筐出入库明细!$C504="",0,1)</f>
        <v>0</v>
      </c>
      <c r="CQ2503">
        <f t="shared" si="642"/>
        <v>108</v>
      </c>
    </row>
    <row r="2504" spans="94:95">
      <c r="CP2504">
        <f>IF(周转筐出入库明细!$C505="",0,1)</f>
        <v>0</v>
      </c>
      <c r="CQ2504">
        <f t="shared" si="642"/>
        <v>108</v>
      </c>
    </row>
    <row r="2505" spans="94:95">
      <c r="CP2505">
        <f>IF(周转筐出入库明细!$C506="",0,1)</f>
        <v>0</v>
      </c>
      <c r="CQ2505">
        <f t="shared" si="642"/>
        <v>108</v>
      </c>
    </row>
    <row r="2506" spans="94:95">
      <c r="CP2506">
        <f>IF(周转筐出入库明细!$C507="",0,1)</f>
        <v>0</v>
      </c>
      <c r="CQ2506">
        <f t="shared" si="642"/>
        <v>108</v>
      </c>
    </row>
    <row r="2507" spans="94:95">
      <c r="CP2507">
        <f>IF(周转筐出入库明细!$C508="",0,1)</f>
        <v>0</v>
      </c>
      <c r="CQ2507">
        <f t="shared" si="642"/>
        <v>108</v>
      </c>
    </row>
    <row r="2508" spans="94:95">
      <c r="CP2508">
        <f>IF(周转筐出入库明细!$C509="",0,1)</f>
        <v>0</v>
      </c>
      <c r="CQ2508">
        <f t="shared" si="642"/>
        <v>108</v>
      </c>
    </row>
    <row r="2509" spans="94:95">
      <c r="CP2509">
        <f>IF(周转筐出入库明细!$C510="",0,1)</f>
        <v>0</v>
      </c>
      <c r="CQ2509">
        <f t="shared" si="642"/>
        <v>108</v>
      </c>
    </row>
    <row r="2510" spans="94:95">
      <c r="CP2510">
        <f>IF(周转筐出入库明细!$C511="",0,1)</f>
        <v>0</v>
      </c>
      <c r="CQ2510">
        <f t="shared" si="642"/>
        <v>108</v>
      </c>
    </row>
    <row r="2511" spans="94:95">
      <c r="CP2511">
        <f>IF(周转筐出入库明细!$C512="",0,1)</f>
        <v>0</v>
      </c>
      <c r="CQ2511">
        <f t="shared" si="642"/>
        <v>108</v>
      </c>
    </row>
    <row r="2512" spans="94:95">
      <c r="CP2512">
        <f>IF(周转筐出入库明细!$C513="",0,1)</f>
        <v>0</v>
      </c>
      <c r="CQ2512">
        <f t="shared" si="642"/>
        <v>108</v>
      </c>
    </row>
    <row r="2513" spans="94:95">
      <c r="CP2513">
        <f>IF(周转筐出入库明细!$C514="",0,1)</f>
        <v>0</v>
      </c>
      <c r="CQ2513">
        <f t="shared" si="642"/>
        <v>108</v>
      </c>
    </row>
    <row r="2514" spans="94:95">
      <c r="CP2514">
        <f>IF(周转筐出入库明细!$C515="",0,1)</f>
        <v>0</v>
      </c>
      <c r="CQ2514">
        <f t="shared" si="642"/>
        <v>108</v>
      </c>
    </row>
    <row r="2515" spans="94:95">
      <c r="CP2515">
        <f>IF(周转筐出入库明细!$C516="",0,1)</f>
        <v>0</v>
      </c>
      <c r="CQ2515">
        <f t="shared" si="642"/>
        <v>108</v>
      </c>
    </row>
    <row r="2516" spans="94:95">
      <c r="CP2516">
        <f>IF(周转筐出入库明细!$C517="",0,1)</f>
        <v>0</v>
      </c>
      <c r="CQ2516">
        <f t="shared" si="642"/>
        <v>108</v>
      </c>
    </row>
    <row r="2517" spans="94:95">
      <c r="CP2517">
        <f>IF(周转筐出入库明细!$C518="",0,1)</f>
        <v>0</v>
      </c>
      <c r="CQ2517">
        <f t="shared" si="642"/>
        <v>108</v>
      </c>
    </row>
    <row r="2518" spans="94:95">
      <c r="CP2518">
        <f>IF(周转筐出入库明细!$C519="",0,1)</f>
        <v>0</v>
      </c>
      <c r="CQ2518">
        <f t="shared" si="642"/>
        <v>108</v>
      </c>
    </row>
    <row r="2519" spans="94:95">
      <c r="CP2519">
        <f>IF(周转筐出入库明细!$C520="",0,1)</f>
        <v>0</v>
      </c>
      <c r="CQ2519">
        <f t="shared" si="642"/>
        <v>108</v>
      </c>
    </row>
    <row r="2520" spans="94:95">
      <c r="CP2520">
        <f>IF(周转筐出入库明细!$C521="",0,1)</f>
        <v>0</v>
      </c>
      <c r="CQ2520">
        <f t="shared" si="642"/>
        <v>108</v>
      </c>
    </row>
    <row r="2521" spans="94:95">
      <c r="CP2521">
        <f>IF(周转筐出入库明细!$C522="",0,1)</f>
        <v>0</v>
      </c>
      <c r="CQ2521">
        <f t="shared" si="642"/>
        <v>108</v>
      </c>
    </row>
    <row r="2522" spans="94:95">
      <c r="CP2522">
        <f>IF(周转筐出入库明细!$C523="",0,1)</f>
        <v>0</v>
      </c>
      <c r="CQ2522">
        <f t="shared" si="642"/>
        <v>108</v>
      </c>
    </row>
    <row r="2523" spans="94:95">
      <c r="CP2523">
        <f>IF(周转筐出入库明细!$C524="",0,1)</f>
        <v>0</v>
      </c>
      <c r="CQ2523">
        <f t="shared" si="642"/>
        <v>108</v>
      </c>
    </row>
    <row r="2524" spans="94:95">
      <c r="CP2524">
        <f>IF(周转筐出入库明细!$C525="",0,1)</f>
        <v>0</v>
      </c>
      <c r="CQ2524">
        <f t="shared" si="642"/>
        <v>108</v>
      </c>
    </row>
    <row r="2525" spans="94:95">
      <c r="CP2525">
        <f>IF(周转筐出入库明细!$C526="",0,1)</f>
        <v>0</v>
      </c>
      <c r="CQ2525">
        <f t="shared" si="642"/>
        <v>108</v>
      </c>
    </row>
    <row r="2526" spans="94:95">
      <c r="CP2526">
        <f>IF(周转筐出入库明细!$C527="",0,1)</f>
        <v>0</v>
      </c>
      <c r="CQ2526">
        <f t="shared" si="642"/>
        <v>108</v>
      </c>
    </row>
    <row r="2527" spans="94:95">
      <c r="CP2527">
        <f>IF(周转筐出入库明细!$C528="",0,1)</f>
        <v>0</v>
      </c>
      <c r="CQ2527">
        <f t="shared" si="642"/>
        <v>108</v>
      </c>
    </row>
    <row r="2528" spans="94:95">
      <c r="CP2528">
        <f>IF(周转筐出入库明细!$C529="",0,1)</f>
        <v>0</v>
      </c>
      <c r="CQ2528">
        <f t="shared" si="642"/>
        <v>108</v>
      </c>
    </row>
    <row r="2529" spans="94:95">
      <c r="CP2529">
        <f>IF(周转筐出入库明细!$C530="",0,1)</f>
        <v>0</v>
      </c>
      <c r="CQ2529">
        <f t="shared" si="642"/>
        <v>108</v>
      </c>
    </row>
    <row r="2530" spans="94:95">
      <c r="CP2530">
        <f>IF(周转筐出入库明细!$C531="",0,1)</f>
        <v>0</v>
      </c>
      <c r="CQ2530">
        <f t="shared" si="642"/>
        <v>108</v>
      </c>
    </row>
    <row r="2531" spans="94:95">
      <c r="CP2531">
        <f>IF(周转筐出入库明细!$C532="",0,1)</f>
        <v>0</v>
      </c>
      <c r="CQ2531">
        <f t="shared" si="642"/>
        <v>108</v>
      </c>
    </row>
    <row r="2532" spans="94:95">
      <c r="CP2532">
        <f>IF(周转筐出入库明细!$C533="",0,1)</f>
        <v>0</v>
      </c>
      <c r="CQ2532">
        <f t="shared" si="642"/>
        <v>108</v>
      </c>
    </row>
    <row r="2533" spans="94:95">
      <c r="CP2533">
        <f>IF(周转筐出入库明细!$C534="",0,1)</f>
        <v>0</v>
      </c>
      <c r="CQ2533">
        <f t="shared" si="642"/>
        <v>108</v>
      </c>
    </row>
    <row r="2534" spans="94:95">
      <c r="CP2534">
        <f>IF(周转筐出入库明细!$C535="",0,1)</f>
        <v>0</v>
      </c>
      <c r="CQ2534">
        <f t="shared" si="642"/>
        <v>108</v>
      </c>
    </row>
    <row r="2535" spans="94:95">
      <c r="CP2535">
        <f>IF(周转筐出入库明细!$C536="",0,1)</f>
        <v>0</v>
      </c>
      <c r="CQ2535">
        <f t="shared" si="642"/>
        <v>108</v>
      </c>
    </row>
    <row r="2536" spans="94:95">
      <c r="CP2536">
        <f>IF(周转筐出入库明细!$C537="",0,1)</f>
        <v>0</v>
      </c>
      <c r="CQ2536">
        <f t="shared" si="642"/>
        <v>108</v>
      </c>
    </row>
    <row r="2537" spans="94:95">
      <c r="CP2537">
        <f>IF(周转筐出入库明细!$C538="",0,1)</f>
        <v>0</v>
      </c>
      <c r="CQ2537">
        <f t="shared" si="642"/>
        <v>108</v>
      </c>
    </row>
    <row r="2538" spans="94:95">
      <c r="CP2538">
        <f>IF(周转筐出入库明细!$C539="",0,1)</f>
        <v>0</v>
      </c>
      <c r="CQ2538">
        <f t="shared" si="642"/>
        <v>108</v>
      </c>
    </row>
    <row r="2539" spans="94:95">
      <c r="CP2539">
        <f>IF(周转筐出入库明细!$C540="",0,1)</f>
        <v>0</v>
      </c>
      <c r="CQ2539">
        <f t="shared" si="642"/>
        <v>108</v>
      </c>
    </row>
    <row r="2540" spans="94:95">
      <c r="CP2540">
        <f>IF(周转筐出入库明细!$C541="",0,1)</f>
        <v>0</v>
      </c>
      <c r="CQ2540">
        <f t="shared" si="642"/>
        <v>108</v>
      </c>
    </row>
    <row r="2541" spans="94:95">
      <c r="CP2541">
        <f>IF(周转筐出入库明细!$C542="",0,1)</f>
        <v>0</v>
      </c>
      <c r="CQ2541">
        <f t="shared" si="642"/>
        <v>108</v>
      </c>
    </row>
    <row r="2542" spans="94:95">
      <c r="CP2542">
        <f>IF(周转筐出入库明细!$C543="",0,1)</f>
        <v>0</v>
      </c>
      <c r="CQ2542">
        <f t="shared" si="642"/>
        <v>108</v>
      </c>
    </row>
    <row r="2543" spans="94:95">
      <c r="CP2543">
        <f>IF(周转筐出入库明细!$C544="",0,1)</f>
        <v>0</v>
      </c>
      <c r="CQ2543">
        <f t="shared" si="642"/>
        <v>108</v>
      </c>
    </row>
    <row r="2544" spans="94:95">
      <c r="CP2544">
        <f>IF(周转筐出入库明细!$C545="",0,1)</f>
        <v>0</v>
      </c>
      <c r="CQ2544">
        <f t="shared" si="642"/>
        <v>108</v>
      </c>
    </row>
    <row r="2545" spans="94:95">
      <c r="CP2545">
        <f>IF(周转筐出入库明细!$C546="",0,1)</f>
        <v>0</v>
      </c>
      <c r="CQ2545">
        <f t="shared" si="642"/>
        <v>108</v>
      </c>
    </row>
    <row r="2546" spans="94:95">
      <c r="CP2546">
        <f>IF(周转筐出入库明细!$C547="",0,1)</f>
        <v>0</v>
      </c>
      <c r="CQ2546">
        <f t="shared" si="642"/>
        <v>108</v>
      </c>
    </row>
    <row r="2547" spans="94:95">
      <c r="CP2547">
        <f>IF(周转筐出入库明细!$C548="",0,1)</f>
        <v>0</v>
      </c>
      <c r="CQ2547">
        <f t="shared" si="642"/>
        <v>108</v>
      </c>
    </row>
    <row r="2548" spans="94:95">
      <c r="CP2548">
        <f>IF(周转筐出入库明细!$C549="",0,1)</f>
        <v>0</v>
      </c>
      <c r="CQ2548">
        <f t="shared" si="642"/>
        <v>108</v>
      </c>
    </row>
    <row r="2549" spans="94:95">
      <c r="CP2549">
        <f>IF(周转筐出入库明细!$C550="",0,1)</f>
        <v>0</v>
      </c>
      <c r="CQ2549">
        <f t="shared" si="642"/>
        <v>108</v>
      </c>
    </row>
    <row r="2550" spans="94:95">
      <c r="CP2550">
        <f>IF(周转筐出入库明细!$C551="",0,1)</f>
        <v>0</v>
      </c>
      <c r="CQ2550">
        <f t="shared" si="642"/>
        <v>108</v>
      </c>
    </row>
    <row r="2551" spans="94:95">
      <c r="CP2551">
        <f>IF(周转筐出入库明细!$C552="",0,1)</f>
        <v>0</v>
      </c>
      <c r="CQ2551">
        <f t="shared" si="642"/>
        <v>108</v>
      </c>
    </row>
    <row r="2552" spans="94:95">
      <c r="CP2552">
        <f>IF(周转筐出入库明细!$C553="",0,1)</f>
        <v>0</v>
      </c>
      <c r="CQ2552">
        <f t="shared" si="642"/>
        <v>108</v>
      </c>
    </row>
    <row r="2553" spans="94:95">
      <c r="CP2553">
        <f>IF(周转筐出入库明细!$C554="",0,1)</f>
        <v>0</v>
      </c>
      <c r="CQ2553">
        <f t="shared" si="642"/>
        <v>108</v>
      </c>
    </row>
    <row r="2554" spans="94:95">
      <c r="CP2554">
        <f>IF(周转筐出入库明细!$C555="",0,1)</f>
        <v>0</v>
      </c>
      <c r="CQ2554">
        <f t="shared" si="642"/>
        <v>108</v>
      </c>
    </row>
    <row r="2555" spans="94:95">
      <c r="CP2555">
        <f>IF(周转筐出入库明细!$C556="",0,1)</f>
        <v>0</v>
      </c>
      <c r="CQ2555">
        <f t="shared" si="642"/>
        <v>108</v>
      </c>
    </row>
    <row r="2556" spans="94:95">
      <c r="CP2556">
        <f>IF(周转筐出入库明细!$C557="",0,1)</f>
        <v>0</v>
      </c>
      <c r="CQ2556">
        <f t="shared" si="642"/>
        <v>108</v>
      </c>
    </row>
    <row r="2557" spans="94:95">
      <c r="CP2557">
        <f>IF(周转筐出入库明细!$C558="",0,1)</f>
        <v>0</v>
      </c>
      <c r="CQ2557">
        <f t="shared" si="642"/>
        <v>108</v>
      </c>
    </row>
    <row r="2558" spans="94:95">
      <c r="CP2558">
        <f>IF(周转筐出入库明细!$C559="",0,1)</f>
        <v>0</v>
      </c>
      <c r="CQ2558">
        <f t="shared" si="642"/>
        <v>108</v>
      </c>
    </row>
    <row r="2559" spans="94:95">
      <c r="CP2559">
        <f>IF(周转筐出入库明细!$C560="",0,1)</f>
        <v>0</v>
      </c>
      <c r="CQ2559">
        <f t="shared" si="642"/>
        <v>108</v>
      </c>
    </row>
    <row r="2560" spans="94:95">
      <c r="CP2560">
        <f>IF(周转筐出入库明细!$C561="",0,1)</f>
        <v>0</v>
      </c>
      <c r="CQ2560">
        <f t="shared" si="642"/>
        <v>108</v>
      </c>
    </row>
    <row r="2561" spans="94:95">
      <c r="CP2561">
        <f>IF(周转筐出入库明细!$C562="",0,1)</f>
        <v>0</v>
      </c>
      <c r="CQ2561">
        <f t="shared" si="642"/>
        <v>108</v>
      </c>
    </row>
    <row r="2562" spans="94:95">
      <c r="CP2562">
        <f>IF(周转筐出入库明细!$C563="",0,1)</f>
        <v>0</v>
      </c>
      <c r="CQ2562">
        <f t="shared" si="642"/>
        <v>108</v>
      </c>
    </row>
    <row r="2563" spans="94:95">
      <c r="CP2563">
        <f>IF(周转筐出入库明细!$C564="",0,1)</f>
        <v>0</v>
      </c>
      <c r="CQ2563">
        <f t="shared" si="642"/>
        <v>108</v>
      </c>
    </row>
    <row r="2564" spans="94:95">
      <c r="CP2564">
        <f>IF(周转筐出入库明细!$C565="",0,1)</f>
        <v>0</v>
      </c>
      <c r="CQ2564">
        <f t="shared" ref="CQ2564:CQ2627" si="643">N(CQ2563)+$CP2564</f>
        <v>108</v>
      </c>
    </row>
    <row r="2565" spans="94:95">
      <c r="CP2565">
        <f>IF(周转筐出入库明细!$C566="",0,1)</f>
        <v>0</v>
      </c>
      <c r="CQ2565">
        <f t="shared" si="643"/>
        <v>108</v>
      </c>
    </row>
    <row r="2566" spans="94:95">
      <c r="CP2566">
        <f>IF(周转筐出入库明细!$C567="",0,1)</f>
        <v>0</v>
      </c>
      <c r="CQ2566">
        <f t="shared" si="643"/>
        <v>108</v>
      </c>
    </row>
    <row r="2567" spans="94:95">
      <c r="CP2567">
        <f>IF(周转筐出入库明细!$C568="",0,1)</f>
        <v>0</v>
      </c>
      <c r="CQ2567">
        <f t="shared" si="643"/>
        <v>108</v>
      </c>
    </row>
    <row r="2568" spans="94:95">
      <c r="CP2568">
        <f>IF(周转筐出入库明细!$C569="",0,1)</f>
        <v>0</v>
      </c>
      <c r="CQ2568">
        <f t="shared" si="643"/>
        <v>108</v>
      </c>
    </row>
    <row r="2569" spans="94:95">
      <c r="CP2569">
        <f>IF(周转筐出入库明细!$C570="",0,1)</f>
        <v>0</v>
      </c>
      <c r="CQ2569">
        <f t="shared" si="643"/>
        <v>108</v>
      </c>
    </row>
    <row r="2570" spans="94:95">
      <c r="CP2570">
        <f>IF(周转筐出入库明细!$C571="",0,1)</f>
        <v>0</v>
      </c>
      <c r="CQ2570">
        <f t="shared" si="643"/>
        <v>108</v>
      </c>
    </row>
    <row r="2571" spans="94:95">
      <c r="CP2571">
        <f>IF(周转筐出入库明细!$C572="",0,1)</f>
        <v>0</v>
      </c>
      <c r="CQ2571">
        <f t="shared" si="643"/>
        <v>108</v>
      </c>
    </row>
    <row r="2572" spans="94:95">
      <c r="CP2572">
        <f>IF(周转筐出入库明细!$C573="",0,1)</f>
        <v>0</v>
      </c>
      <c r="CQ2572">
        <f t="shared" si="643"/>
        <v>108</v>
      </c>
    </row>
    <row r="2573" spans="94:95">
      <c r="CP2573">
        <f>IF(周转筐出入库明细!$C574="",0,1)</f>
        <v>0</v>
      </c>
      <c r="CQ2573">
        <f t="shared" si="643"/>
        <v>108</v>
      </c>
    </row>
    <row r="2574" spans="94:95">
      <c r="CP2574">
        <f>IF(周转筐出入库明细!$C575="",0,1)</f>
        <v>0</v>
      </c>
      <c r="CQ2574">
        <f t="shared" si="643"/>
        <v>108</v>
      </c>
    </row>
    <row r="2575" spans="94:95">
      <c r="CP2575">
        <f>IF(周转筐出入库明细!$C576="",0,1)</f>
        <v>0</v>
      </c>
      <c r="CQ2575">
        <f t="shared" si="643"/>
        <v>108</v>
      </c>
    </row>
    <row r="2576" spans="94:95">
      <c r="CP2576">
        <f>IF(周转筐出入库明细!$C577="",0,1)</f>
        <v>0</v>
      </c>
      <c r="CQ2576">
        <f t="shared" si="643"/>
        <v>108</v>
      </c>
    </row>
    <row r="2577" spans="94:95">
      <c r="CP2577">
        <f>IF(周转筐出入库明细!$C578="",0,1)</f>
        <v>0</v>
      </c>
      <c r="CQ2577">
        <f t="shared" si="643"/>
        <v>108</v>
      </c>
    </row>
    <row r="2578" spans="94:95">
      <c r="CP2578">
        <f>IF(周转筐出入库明细!$C579="",0,1)</f>
        <v>0</v>
      </c>
      <c r="CQ2578">
        <f t="shared" si="643"/>
        <v>108</v>
      </c>
    </row>
    <row r="2579" spans="94:95">
      <c r="CP2579">
        <f>IF(周转筐出入库明细!$C580="",0,1)</f>
        <v>0</v>
      </c>
      <c r="CQ2579">
        <f t="shared" si="643"/>
        <v>108</v>
      </c>
    </row>
    <row r="2580" spans="94:95">
      <c r="CP2580">
        <f>IF(周转筐出入库明细!$C581="",0,1)</f>
        <v>0</v>
      </c>
      <c r="CQ2580">
        <f t="shared" si="643"/>
        <v>108</v>
      </c>
    </row>
    <row r="2581" spans="94:95">
      <c r="CP2581">
        <f>IF(周转筐出入库明细!$C582="",0,1)</f>
        <v>0</v>
      </c>
      <c r="CQ2581">
        <f t="shared" si="643"/>
        <v>108</v>
      </c>
    </row>
    <row r="2582" spans="94:95">
      <c r="CP2582">
        <f>IF(周转筐出入库明细!$C583="",0,1)</f>
        <v>0</v>
      </c>
      <c r="CQ2582">
        <f t="shared" si="643"/>
        <v>108</v>
      </c>
    </row>
    <row r="2583" spans="94:95">
      <c r="CP2583">
        <f>IF(周转筐出入库明细!$C584="",0,1)</f>
        <v>0</v>
      </c>
      <c r="CQ2583">
        <f t="shared" si="643"/>
        <v>108</v>
      </c>
    </row>
    <row r="2584" spans="94:95">
      <c r="CP2584">
        <f>IF(周转筐出入库明细!$C585="",0,1)</f>
        <v>0</v>
      </c>
      <c r="CQ2584">
        <f t="shared" si="643"/>
        <v>108</v>
      </c>
    </row>
    <row r="2585" spans="94:95">
      <c r="CP2585">
        <f>IF(周转筐出入库明细!$C586="",0,1)</f>
        <v>0</v>
      </c>
      <c r="CQ2585">
        <f t="shared" si="643"/>
        <v>108</v>
      </c>
    </row>
    <row r="2586" spans="94:95">
      <c r="CP2586">
        <f>IF(周转筐出入库明细!$C587="",0,1)</f>
        <v>0</v>
      </c>
      <c r="CQ2586">
        <f t="shared" si="643"/>
        <v>108</v>
      </c>
    </row>
    <row r="2587" spans="94:95">
      <c r="CP2587">
        <f>IF(周转筐出入库明细!$C588="",0,1)</f>
        <v>0</v>
      </c>
      <c r="CQ2587">
        <f t="shared" si="643"/>
        <v>108</v>
      </c>
    </row>
    <row r="2588" spans="94:95">
      <c r="CP2588">
        <f>IF(周转筐出入库明细!$C589="",0,1)</f>
        <v>0</v>
      </c>
      <c r="CQ2588">
        <f t="shared" si="643"/>
        <v>108</v>
      </c>
    </row>
    <row r="2589" spans="94:95">
      <c r="CP2589">
        <f>IF(周转筐出入库明细!$C590="",0,1)</f>
        <v>0</v>
      </c>
      <c r="CQ2589">
        <f t="shared" si="643"/>
        <v>108</v>
      </c>
    </row>
    <row r="2590" spans="94:95">
      <c r="CP2590">
        <f>IF(周转筐出入库明细!$C591="",0,1)</f>
        <v>0</v>
      </c>
      <c r="CQ2590">
        <f t="shared" si="643"/>
        <v>108</v>
      </c>
    </row>
    <row r="2591" spans="94:95">
      <c r="CP2591">
        <f>IF(周转筐出入库明细!$C592="",0,1)</f>
        <v>0</v>
      </c>
      <c r="CQ2591">
        <f t="shared" si="643"/>
        <v>108</v>
      </c>
    </row>
    <row r="2592" spans="94:95">
      <c r="CP2592">
        <f>IF(周转筐出入库明细!$C593="",0,1)</f>
        <v>0</v>
      </c>
      <c r="CQ2592">
        <f t="shared" si="643"/>
        <v>108</v>
      </c>
    </row>
    <row r="2593" spans="94:95">
      <c r="CP2593">
        <f>IF(周转筐出入库明细!$C594="",0,1)</f>
        <v>0</v>
      </c>
      <c r="CQ2593">
        <f t="shared" si="643"/>
        <v>108</v>
      </c>
    </row>
    <row r="2594" spans="94:95">
      <c r="CP2594">
        <f>IF(周转筐出入库明细!$C595="",0,1)</f>
        <v>0</v>
      </c>
      <c r="CQ2594">
        <f t="shared" si="643"/>
        <v>108</v>
      </c>
    </row>
    <row r="2595" spans="94:95">
      <c r="CP2595">
        <f>IF(周转筐出入库明细!$C596="",0,1)</f>
        <v>0</v>
      </c>
      <c r="CQ2595">
        <f t="shared" si="643"/>
        <v>108</v>
      </c>
    </row>
    <row r="2596" spans="94:95">
      <c r="CP2596">
        <f>IF(周转筐出入库明细!$C597="",0,1)</f>
        <v>0</v>
      </c>
      <c r="CQ2596">
        <f t="shared" si="643"/>
        <v>108</v>
      </c>
    </row>
    <row r="2597" spans="94:95">
      <c r="CP2597">
        <f>IF(周转筐出入库明细!$C598="",0,1)</f>
        <v>0</v>
      </c>
      <c r="CQ2597">
        <f t="shared" si="643"/>
        <v>108</v>
      </c>
    </row>
    <row r="2598" spans="94:95">
      <c r="CP2598">
        <f>IF(周转筐出入库明细!$C599="",0,1)</f>
        <v>0</v>
      </c>
      <c r="CQ2598">
        <f t="shared" si="643"/>
        <v>108</v>
      </c>
    </row>
    <row r="2599" spans="94:95">
      <c r="CP2599">
        <f>IF(周转筐出入库明细!$C600="",0,1)</f>
        <v>0</v>
      </c>
      <c r="CQ2599">
        <f t="shared" si="643"/>
        <v>108</v>
      </c>
    </row>
    <row r="2600" spans="94:95">
      <c r="CP2600">
        <f>IF(周转筐出入库明细!$C601="",0,1)</f>
        <v>0</v>
      </c>
      <c r="CQ2600">
        <f t="shared" si="643"/>
        <v>108</v>
      </c>
    </row>
    <row r="2601" spans="94:95">
      <c r="CP2601">
        <f>IF(周转筐出入库明细!$C602="",0,1)</f>
        <v>0</v>
      </c>
      <c r="CQ2601">
        <f t="shared" si="643"/>
        <v>108</v>
      </c>
    </row>
    <row r="2602" spans="94:95">
      <c r="CP2602">
        <f>IF(周转筐出入库明细!$C603="",0,1)</f>
        <v>0</v>
      </c>
      <c r="CQ2602">
        <f t="shared" si="643"/>
        <v>108</v>
      </c>
    </row>
    <row r="2603" spans="94:95">
      <c r="CP2603">
        <f>IF(周转筐出入库明细!$C604="",0,1)</f>
        <v>0</v>
      </c>
      <c r="CQ2603">
        <f t="shared" si="643"/>
        <v>108</v>
      </c>
    </row>
    <row r="2604" spans="94:95">
      <c r="CP2604">
        <f>IF(周转筐出入库明细!$C605="",0,1)</f>
        <v>0</v>
      </c>
      <c r="CQ2604">
        <f t="shared" si="643"/>
        <v>108</v>
      </c>
    </row>
    <row r="2605" spans="94:95">
      <c r="CP2605">
        <f>IF(周转筐出入库明细!$C606="",0,1)</f>
        <v>0</v>
      </c>
      <c r="CQ2605">
        <f t="shared" si="643"/>
        <v>108</v>
      </c>
    </row>
    <row r="2606" spans="94:95">
      <c r="CP2606">
        <f>IF(周转筐出入库明细!$C607="",0,1)</f>
        <v>0</v>
      </c>
      <c r="CQ2606">
        <f t="shared" si="643"/>
        <v>108</v>
      </c>
    </row>
    <row r="2607" spans="94:95">
      <c r="CP2607">
        <f>IF(周转筐出入库明细!$C608="",0,1)</f>
        <v>0</v>
      </c>
      <c r="CQ2607">
        <f t="shared" si="643"/>
        <v>108</v>
      </c>
    </row>
    <row r="2608" spans="94:95">
      <c r="CP2608">
        <f>IF(周转筐出入库明细!$C609="",0,1)</f>
        <v>0</v>
      </c>
      <c r="CQ2608">
        <f t="shared" si="643"/>
        <v>108</v>
      </c>
    </row>
    <row r="2609" spans="94:95">
      <c r="CP2609">
        <f>IF(周转筐出入库明细!$C610="",0,1)</f>
        <v>0</v>
      </c>
      <c r="CQ2609">
        <f t="shared" si="643"/>
        <v>108</v>
      </c>
    </row>
    <row r="2610" spans="94:95">
      <c r="CP2610">
        <f>IF(周转筐出入库明细!$C611="",0,1)</f>
        <v>0</v>
      </c>
      <c r="CQ2610">
        <f t="shared" si="643"/>
        <v>108</v>
      </c>
    </row>
    <row r="2611" spans="94:95">
      <c r="CP2611">
        <f>IF(周转筐出入库明细!$C612="",0,1)</f>
        <v>0</v>
      </c>
      <c r="CQ2611">
        <f t="shared" si="643"/>
        <v>108</v>
      </c>
    </row>
    <row r="2612" spans="94:95">
      <c r="CP2612">
        <f>IF(周转筐出入库明细!$C613="",0,1)</f>
        <v>0</v>
      </c>
      <c r="CQ2612">
        <f t="shared" si="643"/>
        <v>108</v>
      </c>
    </row>
    <row r="2613" spans="94:95">
      <c r="CP2613">
        <f>IF(周转筐出入库明细!$C614="",0,1)</f>
        <v>0</v>
      </c>
      <c r="CQ2613">
        <f t="shared" si="643"/>
        <v>108</v>
      </c>
    </row>
    <row r="2614" spans="94:95">
      <c r="CP2614">
        <f>IF(周转筐出入库明细!$C615="",0,1)</f>
        <v>0</v>
      </c>
      <c r="CQ2614">
        <f t="shared" si="643"/>
        <v>108</v>
      </c>
    </row>
    <row r="2615" spans="94:95">
      <c r="CP2615">
        <f>IF(周转筐出入库明细!$C616="",0,1)</f>
        <v>0</v>
      </c>
      <c r="CQ2615">
        <f t="shared" si="643"/>
        <v>108</v>
      </c>
    </row>
    <row r="2616" spans="94:95">
      <c r="CP2616">
        <f>IF(周转筐出入库明细!$C617="",0,1)</f>
        <v>0</v>
      </c>
      <c r="CQ2616">
        <f t="shared" si="643"/>
        <v>108</v>
      </c>
    </row>
    <row r="2617" spans="94:95">
      <c r="CP2617">
        <f>IF(周转筐出入库明细!$C618="",0,1)</f>
        <v>0</v>
      </c>
      <c r="CQ2617">
        <f t="shared" si="643"/>
        <v>108</v>
      </c>
    </row>
    <row r="2618" spans="94:95">
      <c r="CP2618">
        <f>IF(周转筐出入库明细!$C619="",0,1)</f>
        <v>0</v>
      </c>
      <c r="CQ2618">
        <f t="shared" si="643"/>
        <v>108</v>
      </c>
    </row>
    <row r="2619" spans="94:95">
      <c r="CP2619">
        <f>IF(周转筐出入库明细!$C620="",0,1)</f>
        <v>0</v>
      </c>
      <c r="CQ2619">
        <f t="shared" si="643"/>
        <v>108</v>
      </c>
    </row>
    <row r="2620" spans="94:95">
      <c r="CP2620">
        <f>IF(周转筐出入库明细!$C621="",0,1)</f>
        <v>0</v>
      </c>
      <c r="CQ2620">
        <f t="shared" si="643"/>
        <v>108</v>
      </c>
    </row>
    <row r="2621" spans="94:95">
      <c r="CP2621">
        <f>IF(周转筐出入库明细!$C622="",0,1)</f>
        <v>0</v>
      </c>
      <c r="CQ2621">
        <f t="shared" si="643"/>
        <v>108</v>
      </c>
    </row>
    <row r="2622" spans="94:95">
      <c r="CP2622">
        <f>IF(周转筐出入库明细!$C623="",0,1)</f>
        <v>0</v>
      </c>
      <c r="CQ2622">
        <f t="shared" si="643"/>
        <v>108</v>
      </c>
    </row>
    <row r="2623" spans="94:95">
      <c r="CP2623">
        <f>IF(周转筐出入库明细!$C624="",0,1)</f>
        <v>0</v>
      </c>
      <c r="CQ2623">
        <f t="shared" si="643"/>
        <v>108</v>
      </c>
    </row>
    <row r="2624" spans="94:95">
      <c r="CP2624">
        <f>IF(周转筐出入库明细!$C625="",0,1)</f>
        <v>0</v>
      </c>
      <c r="CQ2624">
        <f t="shared" si="643"/>
        <v>108</v>
      </c>
    </row>
    <row r="2625" spans="94:95">
      <c r="CP2625">
        <f>IF(周转筐出入库明细!$C626="",0,1)</f>
        <v>0</v>
      </c>
      <c r="CQ2625">
        <f t="shared" si="643"/>
        <v>108</v>
      </c>
    </row>
    <row r="2626" spans="94:95">
      <c r="CP2626">
        <f>IF(周转筐出入库明细!$C627="",0,1)</f>
        <v>0</v>
      </c>
      <c r="CQ2626">
        <f t="shared" si="643"/>
        <v>108</v>
      </c>
    </row>
    <row r="2627" spans="94:95">
      <c r="CP2627">
        <f>IF(周转筐出入库明细!$C628="",0,1)</f>
        <v>0</v>
      </c>
      <c r="CQ2627">
        <f t="shared" si="643"/>
        <v>108</v>
      </c>
    </row>
    <row r="2628" spans="94:95">
      <c r="CP2628">
        <f>IF(周转筐出入库明细!$C629="",0,1)</f>
        <v>0</v>
      </c>
      <c r="CQ2628">
        <f t="shared" ref="CQ2628:CQ2691" si="644">N(CQ2627)+$CP2628</f>
        <v>108</v>
      </c>
    </row>
    <row r="2629" spans="94:95">
      <c r="CP2629">
        <f>IF(周转筐出入库明细!$C630="",0,1)</f>
        <v>0</v>
      </c>
      <c r="CQ2629">
        <f t="shared" si="644"/>
        <v>108</v>
      </c>
    </row>
    <row r="2630" spans="94:95">
      <c r="CP2630">
        <f>IF(周转筐出入库明细!$C631="",0,1)</f>
        <v>0</v>
      </c>
      <c r="CQ2630">
        <f t="shared" si="644"/>
        <v>108</v>
      </c>
    </row>
    <row r="2631" spans="94:95">
      <c r="CP2631">
        <f>IF(周转筐出入库明细!$C632="",0,1)</f>
        <v>0</v>
      </c>
      <c r="CQ2631">
        <f t="shared" si="644"/>
        <v>108</v>
      </c>
    </row>
    <row r="2632" spans="94:95">
      <c r="CP2632">
        <f>IF(周转筐出入库明细!$C633="",0,1)</f>
        <v>0</v>
      </c>
      <c r="CQ2632">
        <f t="shared" si="644"/>
        <v>108</v>
      </c>
    </row>
    <row r="2633" spans="94:95">
      <c r="CP2633">
        <f>IF(周转筐出入库明细!$C634="",0,1)</f>
        <v>0</v>
      </c>
      <c r="CQ2633">
        <f t="shared" si="644"/>
        <v>108</v>
      </c>
    </row>
    <row r="2634" spans="94:95">
      <c r="CP2634">
        <f>IF(周转筐出入库明细!$C635="",0,1)</f>
        <v>0</v>
      </c>
      <c r="CQ2634">
        <f t="shared" si="644"/>
        <v>108</v>
      </c>
    </row>
    <row r="2635" spans="94:95">
      <c r="CP2635">
        <f>IF(周转筐出入库明细!$C636="",0,1)</f>
        <v>0</v>
      </c>
      <c r="CQ2635">
        <f t="shared" si="644"/>
        <v>108</v>
      </c>
    </row>
    <row r="2636" spans="94:95">
      <c r="CP2636">
        <f>IF(周转筐出入库明细!$C637="",0,1)</f>
        <v>0</v>
      </c>
      <c r="CQ2636">
        <f t="shared" si="644"/>
        <v>108</v>
      </c>
    </row>
    <row r="2637" spans="94:95">
      <c r="CP2637">
        <f>IF(周转筐出入库明细!$C638="",0,1)</f>
        <v>0</v>
      </c>
      <c r="CQ2637">
        <f t="shared" si="644"/>
        <v>108</v>
      </c>
    </row>
    <row r="2638" spans="94:95">
      <c r="CP2638">
        <f>IF(周转筐出入库明细!$C639="",0,1)</f>
        <v>0</v>
      </c>
      <c r="CQ2638">
        <f t="shared" si="644"/>
        <v>108</v>
      </c>
    </row>
    <row r="2639" spans="94:95">
      <c r="CP2639">
        <f>IF(周转筐出入库明细!$C640="",0,1)</f>
        <v>0</v>
      </c>
      <c r="CQ2639">
        <f t="shared" si="644"/>
        <v>108</v>
      </c>
    </row>
    <row r="2640" spans="94:95">
      <c r="CP2640">
        <f>IF(周转筐出入库明细!$C641="",0,1)</f>
        <v>0</v>
      </c>
      <c r="CQ2640">
        <f t="shared" si="644"/>
        <v>108</v>
      </c>
    </row>
    <row r="2641" spans="94:95">
      <c r="CP2641">
        <f>IF(周转筐出入库明细!$C642="",0,1)</f>
        <v>0</v>
      </c>
      <c r="CQ2641">
        <f t="shared" si="644"/>
        <v>108</v>
      </c>
    </row>
    <row r="2642" spans="94:95">
      <c r="CP2642">
        <f>IF(周转筐出入库明细!$C643="",0,1)</f>
        <v>0</v>
      </c>
      <c r="CQ2642">
        <f t="shared" si="644"/>
        <v>108</v>
      </c>
    </row>
    <row r="2643" spans="94:95">
      <c r="CP2643">
        <f>IF(周转筐出入库明细!$C644="",0,1)</f>
        <v>0</v>
      </c>
      <c r="CQ2643">
        <f t="shared" si="644"/>
        <v>108</v>
      </c>
    </row>
    <row r="2644" spans="94:95">
      <c r="CP2644">
        <f>IF(周转筐出入库明细!$C645="",0,1)</f>
        <v>0</v>
      </c>
      <c r="CQ2644">
        <f t="shared" si="644"/>
        <v>108</v>
      </c>
    </row>
    <row r="2645" spans="94:95">
      <c r="CP2645">
        <f>IF(周转筐出入库明细!$C646="",0,1)</f>
        <v>0</v>
      </c>
      <c r="CQ2645">
        <f t="shared" si="644"/>
        <v>108</v>
      </c>
    </row>
    <row r="2646" spans="94:95">
      <c r="CP2646">
        <f>IF(周转筐出入库明细!$C647="",0,1)</f>
        <v>0</v>
      </c>
      <c r="CQ2646">
        <f t="shared" si="644"/>
        <v>108</v>
      </c>
    </row>
    <row r="2647" spans="94:95">
      <c r="CP2647">
        <f>IF(周转筐出入库明细!$C648="",0,1)</f>
        <v>0</v>
      </c>
      <c r="CQ2647">
        <f t="shared" si="644"/>
        <v>108</v>
      </c>
    </row>
    <row r="2648" spans="94:95">
      <c r="CP2648">
        <f>IF(周转筐出入库明细!$C649="",0,1)</f>
        <v>0</v>
      </c>
      <c r="CQ2648">
        <f t="shared" si="644"/>
        <v>108</v>
      </c>
    </row>
    <row r="2649" spans="94:95">
      <c r="CP2649">
        <f>IF(周转筐出入库明细!$C650="",0,1)</f>
        <v>0</v>
      </c>
      <c r="CQ2649">
        <f t="shared" si="644"/>
        <v>108</v>
      </c>
    </row>
    <row r="2650" spans="94:95">
      <c r="CP2650">
        <f>IF(周转筐出入库明细!$C651="",0,1)</f>
        <v>0</v>
      </c>
      <c r="CQ2650">
        <f t="shared" si="644"/>
        <v>108</v>
      </c>
    </row>
    <row r="2651" spans="94:95">
      <c r="CP2651">
        <f>IF(周转筐出入库明细!$C652="",0,1)</f>
        <v>0</v>
      </c>
      <c r="CQ2651">
        <f t="shared" si="644"/>
        <v>108</v>
      </c>
    </row>
    <row r="2652" spans="94:95">
      <c r="CP2652">
        <f>IF(周转筐出入库明细!$C653="",0,1)</f>
        <v>0</v>
      </c>
      <c r="CQ2652">
        <f t="shared" si="644"/>
        <v>108</v>
      </c>
    </row>
    <row r="2653" spans="94:95">
      <c r="CP2653">
        <f>IF(周转筐出入库明细!$C654="",0,1)</f>
        <v>0</v>
      </c>
      <c r="CQ2653">
        <f t="shared" si="644"/>
        <v>108</v>
      </c>
    </row>
    <row r="2654" spans="94:95">
      <c r="CP2654">
        <f>IF(周转筐出入库明细!$C655="",0,1)</f>
        <v>0</v>
      </c>
      <c r="CQ2654">
        <f t="shared" si="644"/>
        <v>108</v>
      </c>
    </row>
    <row r="2655" spans="94:95">
      <c r="CP2655">
        <f>IF(周转筐出入库明细!$C656="",0,1)</f>
        <v>0</v>
      </c>
      <c r="CQ2655">
        <f t="shared" si="644"/>
        <v>108</v>
      </c>
    </row>
    <row r="2656" spans="94:95">
      <c r="CP2656">
        <f>IF(周转筐出入库明细!$C657="",0,1)</f>
        <v>0</v>
      </c>
      <c r="CQ2656">
        <f t="shared" si="644"/>
        <v>108</v>
      </c>
    </row>
    <row r="2657" spans="94:95">
      <c r="CP2657">
        <f>IF(周转筐出入库明细!$C658="",0,1)</f>
        <v>0</v>
      </c>
      <c r="CQ2657">
        <f t="shared" si="644"/>
        <v>108</v>
      </c>
    </row>
    <row r="2658" spans="94:95">
      <c r="CP2658">
        <f>IF(周转筐出入库明细!$C659="",0,1)</f>
        <v>0</v>
      </c>
      <c r="CQ2658">
        <f t="shared" si="644"/>
        <v>108</v>
      </c>
    </row>
    <row r="2659" spans="94:95">
      <c r="CP2659">
        <f>IF(周转筐出入库明细!$C660="",0,1)</f>
        <v>0</v>
      </c>
      <c r="CQ2659">
        <f t="shared" si="644"/>
        <v>108</v>
      </c>
    </row>
    <row r="2660" spans="94:95">
      <c r="CP2660">
        <f>IF(周转筐出入库明细!$C661="",0,1)</f>
        <v>0</v>
      </c>
      <c r="CQ2660">
        <f t="shared" si="644"/>
        <v>108</v>
      </c>
    </row>
    <row r="2661" spans="94:95">
      <c r="CP2661">
        <f>IF(周转筐出入库明细!$C662="",0,1)</f>
        <v>0</v>
      </c>
      <c r="CQ2661">
        <f t="shared" si="644"/>
        <v>108</v>
      </c>
    </row>
    <row r="2662" spans="94:95">
      <c r="CP2662">
        <f>IF(周转筐出入库明细!$C663="",0,1)</f>
        <v>0</v>
      </c>
      <c r="CQ2662">
        <f t="shared" si="644"/>
        <v>108</v>
      </c>
    </row>
    <row r="2663" spans="94:95">
      <c r="CP2663">
        <f>IF(周转筐出入库明细!$C664="",0,1)</f>
        <v>0</v>
      </c>
      <c r="CQ2663">
        <f t="shared" si="644"/>
        <v>108</v>
      </c>
    </row>
    <row r="2664" spans="94:95">
      <c r="CP2664">
        <f>IF(周转筐出入库明细!$C665="",0,1)</f>
        <v>0</v>
      </c>
      <c r="CQ2664">
        <f t="shared" si="644"/>
        <v>108</v>
      </c>
    </row>
    <row r="2665" spans="94:95">
      <c r="CP2665">
        <f>IF(周转筐出入库明细!$C666="",0,1)</f>
        <v>0</v>
      </c>
      <c r="CQ2665">
        <f t="shared" si="644"/>
        <v>108</v>
      </c>
    </row>
    <row r="2666" spans="94:95">
      <c r="CP2666">
        <f>IF(周转筐出入库明细!$C667="",0,1)</f>
        <v>0</v>
      </c>
      <c r="CQ2666">
        <f t="shared" si="644"/>
        <v>108</v>
      </c>
    </row>
    <row r="2667" spans="94:95">
      <c r="CP2667">
        <f>IF(周转筐出入库明细!$C668="",0,1)</f>
        <v>0</v>
      </c>
      <c r="CQ2667">
        <f t="shared" si="644"/>
        <v>108</v>
      </c>
    </row>
    <row r="2668" spans="94:95">
      <c r="CP2668">
        <f>IF(周转筐出入库明细!$C669="",0,1)</f>
        <v>0</v>
      </c>
      <c r="CQ2668">
        <f t="shared" si="644"/>
        <v>108</v>
      </c>
    </row>
    <row r="2669" spans="94:95">
      <c r="CP2669">
        <f>IF(周转筐出入库明细!$C670="",0,1)</f>
        <v>0</v>
      </c>
      <c r="CQ2669">
        <f t="shared" si="644"/>
        <v>108</v>
      </c>
    </row>
    <row r="2670" spans="94:95">
      <c r="CP2670">
        <f>IF(周转筐出入库明细!$C671="",0,1)</f>
        <v>0</v>
      </c>
      <c r="CQ2670">
        <f t="shared" si="644"/>
        <v>108</v>
      </c>
    </row>
    <row r="2671" spans="94:95">
      <c r="CP2671">
        <f>IF(周转筐出入库明细!$C672="",0,1)</f>
        <v>0</v>
      </c>
      <c r="CQ2671">
        <f t="shared" si="644"/>
        <v>108</v>
      </c>
    </row>
    <row r="2672" spans="94:95">
      <c r="CP2672">
        <f>IF(周转筐出入库明细!$C673="",0,1)</f>
        <v>0</v>
      </c>
      <c r="CQ2672">
        <f t="shared" si="644"/>
        <v>108</v>
      </c>
    </row>
    <row r="2673" spans="94:95">
      <c r="CP2673">
        <f>IF(周转筐出入库明细!$C674="",0,1)</f>
        <v>0</v>
      </c>
      <c r="CQ2673">
        <f t="shared" si="644"/>
        <v>108</v>
      </c>
    </row>
    <row r="2674" spans="94:95">
      <c r="CP2674">
        <f>IF(周转筐出入库明细!$C675="",0,1)</f>
        <v>0</v>
      </c>
      <c r="CQ2674">
        <f t="shared" si="644"/>
        <v>108</v>
      </c>
    </row>
    <row r="2675" spans="94:95">
      <c r="CP2675">
        <f>IF(周转筐出入库明细!$C676="",0,1)</f>
        <v>0</v>
      </c>
      <c r="CQ2675">
        <f t="shared" si="644"/>
        <v>108</v>
      </c>
    </row>
    <row r="2676" spans="94:95">
      <c r="CP2676">
        <f>IF(周转筐出入库明细!$C677="",0,1)</f>
        <v>0</v>
      </c>
      <c r="CQ2676">
        <f t="shared" si="644"/>
        <v>108</v>
      </c>
    </row>
    <row r="2677" spans="94:95">
      <c r="CP2677">
        <f>IF(周转筐出入库明细!$C678="",0,1)</f>
        <v>0</v>
      </c>
      <c r="CQ2677">
        <f t="shared" si="644"/>
        <v>108</v>
      </c>
    </row>
    <row r="2678" spans="94:95">
      <c r="CP2678">
        <f>IF(周转筐出入库明细!$C679="",0,1)</f>
        <v>0</v>
      </c>
      <c r="CQ2678">
        <f t="shared" si="644"/>
        <v>108</v>
      </c>
    </row>
    <row r="2679" spans="94:95">
      <c r="CP2679">
        <f>IF(周转筐出入库明细!$C680="",0,1)</f>
        <v>0</v>
      </c>
      <c r="CQ2679">
        <f t="shared" si="644"/>
        <v>108</v>
      </c>
    </row>
    <row r="2680" spans="94:95">
      <c r="CP2680">
        <f>IF(周转筐出入库明细!$C681="",0,1)</f>
        <v>0</v>
      </c>
      <c r="CQ2680">
        <f t="shared" si="644"/>
        <v>108</v>
      </c>
    </row>
    <row r="2681" spans="94:95">
      <c r="CP2681">
        <f>IF(周转筐出入库明细!$C682="",0,1)</f>
        <v>0</v>
      </c>
      <c r="CQ2681">
        <f t="shared" si="644"/>
        <v>108</v>
      </c>
    </row>
    <row r="2682" spans="94:95">
      <c r="CP2682">
        <f>IF(周转筐出入库明细!$C683="",0,1)</f>
        <v>0</v>
      </c>
      <c r="CQ2682">
        <f t="shared" si="644"/>
        <v>108</v>
      </c>
    </row>
    <row r="2683" spans="94:95">
      <c r="CP2683">
        <f>IF(周转筐出入库明细!$C684="",0,1)</f>
        <v>0</v>
      </c>
      <c r="CQ2683">
        <f t="shared" si="644"/>
        <v>108</v>
      </c>
    </row>
    <row r="2684" spans="94:95">
      <c r="CP2684">
        <f>IF(周转筐出入库明细!$C685="",0,1)</f>
        <v>0</v>
      </c>
      <c r="CQ2684">
        <f t="shared" si="644"/>
        <v>108</v>
      </c>
    </row>
    <row r="2685" spans="94:95">
      <c r="CP2685">
        <f>IF(周转筐出入库明细!$C686="",0,1)</f>
        <v>0</v>
      </c>
      <c r="CQ2685">
        <f t="shared" si="644"/>
        <v>108</v>
      </c>
    </row>
    <row r="2686" spans="94:95">
      <c r="CP2686">
        <f>IF(周转筐出入库明细!$C687="",0,1)</f>
        <v>0</v>
      </c>
      <c r="CQ2686">
        <f t="shared" si="644"/>
        <v>108</v>
      </c>
    </row>
    <row r="2687" spans="94:95">
      <c r="CP2687">
        <f>IF(周转筐出入库明细!$C688="",0,1)</f>
        <v>0</v>
      </c>
      <c r="CQ2687">
        <f t="shared" si="644"/>
        <v>108</v>
      </c>
    </row>
    <row r="2688" spans="94:95">
      <c r="CP2688">
        <f>IF(周转筐出入库明细!$C689="",0,1)</f>
        <v>0</v>
      </c>
      <c r="CQ2688">
        <f t="shared" si="644"/>
        <v>108</v>
      </c>
    </row>
    <row r="2689" spans="94:95">
      <c r="CP2689">
        <f>IF(周转筐出入库明细!$C690="",0,1)</f>
        <v>0</v>
      </c>
      <c r="CQ2689">
        <f t="shared" si="644"/>
        <v>108</v>
      </c>
    </row>
    <row r="2690" spans="94:95">
      <c r="CP2690">
        <f>IF(周转筐出入库明细!$C691="",0,1)</f>
        <v>0</v>
      </c>
      <c r="CQ2690">
        <f t="shared" si="644"/>
        <v>108</v>
      </c>
    </row>
    <row r="2691" spans="94:95">
      <c r="CP2691">
        <f>IF(周转筐出入库明细!$C692="",0,1)</f>
        <v>0</v>
      </c>
      <c r="CQ2691">
        <f t="shared" si="644"/>
        <v>108</v>
      </c>
    </row>
    <row r="2692" spans="94:95">
      <c r="CP2692">
        <f>IF(周转筐出入库明细!$C693="",0,1)</f>
        <v>0</v>
      </c>
      <c r="CQ2692">
        <f t="shared" ref="CQ2692:CQ2755" si="645">N(CQ2691)+$CP2692</f>
        <v>108</v>
      </c>
    </row>
    <row r="2693" spans="94:95">
      <c r="CP2693">
        <f>IF(周转筐出入库明细!$C694="",0,1)</f>
        <v>0</v>
      </c>
      <c r="CQ2693">
        <f t="shared" si="645"/>
        <v>108</v>
      </c>
    </row>
    <row r="2694" spans="94:95">
      <c r="CP2694">
        <f>IF(周转筐出入库明细!$C695="",0,1)</f>
        <v>0</v>
      </c>
      <c r="CQ2694">
        <f t="shared" si="645"/>
        <v>108</v>
      </c>
    </row>
    <row r="2695" spans="94:95">
      <c r="CP2695">
        <f>IF(周转筐出入库明细!$C696="",0,1)</f>
        <v>0</v>
      </c>
      <c r="CQ2695">
        <f t="shared" si="645"/>
        <v>108</v>
      </c>
    </row>
    <row r="2696" spans="94:95">
      <c r="CP2696">
        <f>IF(周转筐出入库明细!$C697="",0,1)</f>
        <v>0</v>
      </c>
      <c r="CQ2696">
        <f t="shared" si="645"/>
        <v>108</v>
      </c>
    </row>
    <row r="2697" spans="94:95">
      <c r="CP2697">
        <f>IF(周转筐出入库明细!$C698="",0,1)</f>
        <v>0</v>
      </c>
      <c r="CQ2697">
        <f t="shared" si="645"/>
        <v>108</v>
      </c>
    </row>
    <row r="2698" spans="94:95">
      <c r="CP2698">
        <f>IF(周转筐出入库明细!$C699="",0,1)</f>
        <v>0</v>
      </c>
      <c r="CQ2698">
        <f t="shared" si="645"/>
        <v>108</v>
      </c>
    </row>
    <row r="2699" spans="94:95">
      <c r="CP2699">
        <f>IF(周转筐出入库明细!$C700="",0,1)</f>
        <v>0</v>
      </c>
      <c r="CQ2699">
        <f t="shared" si="645"/>
        <v>108</v>
      </c>
    </row>
    <row r="2700" spans="94:95">
      <c r="CP2700">
        <f>IF(周转筐出入库明细!$C701="",0,1)</f>
        <v>0</v>
      </c>
      <c r="CQ2700">
        <f t="shared" si="645"/>
        <v>108</v>
      </c>
    </row>
    <row r="2701" spans="94:95">
      <c r="CP2701">
        <f>IF(周转筐出入库明细!$C702="",0,1)</f>
        <v>0</v>
      </c>
      <c r="CQ2701">
        <f t="shared" si="645"/>
        <v>108</v>
      </c>
    </row>
    <row r="2702" spans="94:95">
      <c r="CP2702">
        <f>IF(周转筐出入库明细!$C703="",0,1)</f>
        <v>0</v>
      </c>
      <c r="CQ2702">
        <f t="shared" si="645"/>
        <v>108</v>
      </c>
    </row>
    <row r="2703" spans="94:95">
      <c r="CP2703">
        <f>IF(周转筐出入库明细!$C704="",0,1)</f>
        <v>0</v>
      </c>
      <c r="CQ2703">
        <f t="shared" si="645"/>
        <v>108</v>
      </c>
    </row>
    <row r="2704" spans="94:95">
      <c r="CP2704">
        <f>IF(周转筐出入库明细!$C705="",0,1)</f>
        <v>0</v>
      </c>
      <c r="CQ2704">
        <f t="shared" si="645"/>
        <v>108</v>
      </c>
    </row>
    <row r="2705" spans="94:95">
      <c r="CP2705">
        <f>IF(周转筐出入库明细!$C706="",0,1)</f>
        <v>0</v>
      </c>
      <c r="CQ2705">
        <f t="shared" si="645"/>
        <v>108</v>
      </c>
    </row>
    <row r="2706" spans="94:95">
      <c r="CP2706">
        <f>IF(周转筐出入库明细!$C707="",0,1)</f>
        <v>0</v>
      </c>
      <c r="CQ2706">
        <f t="shared" si="645"/>
        <v>108</v>
      </c>
    </row>
    <row r="2707" spans="94:95">
      <c r="CP2707">
        <f>IF(周转筐出入库明细!$C708="",0,1)</f>
        <v>0</v>
      </c>
      <c r="CQ2707">
        <f t="shared" si="645"/>
        <v>108</v>
      </c>
    </row>
    <row r="2708" spans="94:95">
      <c r="CP2708">
        <f>IF(周转筐出入库明细!$C709="",0,1)</f>
        <v>0</v>
      </c>
      <c r="CQ2708">
        <f t="shared" si="645"/>
        <v>108</v>
      </c>
    </row>
    <row r="2709" spans="94:95">
      <c r="CP2709">
        <f>IF(周转筐出入库明细!$C710="",0,1)</f>
        <v>0</v>
      </c>
      <c r="CQ2709">
        <f t="shared" si="645"/>
        <v>108</v>
      </c>
    </row>
    <row r="2710" spans="94:95">
      <c r="CP2710">
        <f>IF(周转筐出入库明细!$C711="",0,1)</f>
        <v>0</v>
      </c>
      <c r="CQ2710">
        <f t="shared" si="645"/>
        <v>108</v>
      </c>
    </row>
    <row r="2711" spans="94:95">
      <c r="CP2711">
        <f>IF(周转筐出入库明细!$C712="",0,1)</f>
        <v>0</v>
      </c>
      <c r="CQ2711">
        <f t="shared" si="645"/>
        <v>108</v>
      </c>
    </row>
    <row r="2712" spans="94:95">
      <c r="CP2712">
        <f>IF(周转筐出入库明细!$C713="",0,1)</f>
        <v>0</v>
      </c>
      <c r="CQ2712">
        <f t="shared" si="645"/>
        <v>108</v>
      </c>
    </row>
    <row r="2713" spans="94:95">
      <c r="CP2713">
        <f>IF(周转筐出入库明细!$C714="",0,1)</f>
        <v>0</v>
      </c>
      <c r="CQ2713">
        <f t="shared" si="645"/>
        <v>108</v>
      </c>
    </row>
    <row r="2714" spans="94:95">
      <c r="CP2714">
        <f>IF(周转筐出入库明细!$C715="",0,1)</f>
        <v>0</v>
      </c>
      <c r="CQ2714">
        <f t="shared" si="645"/>
        <v>108</v>
      </c>
    </row>
    <row r="2715" spans="94:95">
      <c r="CP2715">
        <f>IF(周转筐出入库明细!$C716="",0,1)</f>
        <v>0</v>
      </c>
      <c r="CQ2715">
        <f t="shared" si="645"/>
        <v>108</v>
      </c>
    </row>
    <row r="2716" spans="94:95">
      <c r="CP2716">
        <f>IF(周转筐出入库明细!$C717="",0,1)</f>
        <v>0</v>
      </c>
      <c r="CQ2716">
        <f t="shared" si="645"/>
        <v>108</v>
      </c>
    </row>
    <row r="2717" spans="94:95">
      <c r="CP2717">
        <f>IF(周转筐出入库明细!$C718="",0,1)</f>
        <v>0</v>
      </c>
      <c r="CQ2717">
        <f t="shared" si="645"/>
        <v>108</v>
      </c>
    </row>
    <row r="2718" spans="94:95">
      <c r="CP2718">
        <f>IF(周转筐出入库明细!$C719="",0,1)</f>
        <v>0</v>
      </c>
      <c r="CQ2718">
        <f t="shared" si="645"/>
        <v>108</v>
      </c>
    </row>
    <row r="2719" spans="94:95">
      <c r="CP2719">
        <f>IF(周转筐出入库明细!$C720="",0,1)</f>
        <v>0</v>
      </c>
      <c r="CQ2719">
        <f t="shared" si="645"/>
        <v>108</v>
      </c>
    </row>
    <row r="2720" spans="94:95">
      <c r="CP2720">
        <f>IF(周转筐出入库明细!$C721="",0,1)</f>
        <v>0</v>
      </c>
      <c r="CQ2720">
        <f t="shared" si="645"/>
        <v>108</v>
      </c>
    </row>
    <row r="2721" spans="94:95">
      <c r="CP2721">
        <f>IF(周转筐出入库明细!$C722="",0,1)</f>
        <v>0</v>
      </c>
      <c r="CQ2721">
        <f t="shared" si="645"/>
        <v>108</v>
      </c>
    </row>
    <row r="2722" spans="94:95">
      <c r="CP2722">
        <f>IF(周转筐出入库明细!$C723="",0,1)</f>
        <v>0</v>
      </c>
      <c r="CQ2722">
        <f t="shared" si="645"/>
        <v>108</v>
      </c>
    </row>
    <row r="2723" spans="94:95">
      <c r="CP2723">
        <f>IF(周转筐出入库明细!$C724="",0,1)</f>
        <v>0</v>
      </c>
      <c r="CQ2723">
        <f t="shared" si="645"/>
        <v>108</v>
      </c>
    </row>
    <row r="2724" spans="94:95">
      <c r="CP2724">
        <f>IF(周转筐出入库明细!$C725="",0,1)</f>
        <v>0</v>
      </c>
      <c r="CQ2724">
        <f t="shared" si="645"/>
        <v>108</v>
      </c>
    </row>
    <row r="2725" spans="94:95">
      <c r="CP2725">
        <f>IF(周转筐出入库明细!$C726="",0,1)</f>
        <v>0</v>
      </c>
      <c r="CQ2725">
        <f t="shared" si="645"/>
        <v>108</v>
      </c>
    </row>
    <row r="2726" spans="94:95">
      <c r="CP2726">
        <f>IF(周转筐出入库明细!$C727="",0,1)</f>
        <v>0</v>
      </c>
      <c r="CQ2726">
        <f t="shared" si="645"/>
        <v>108</v>
      </c>
    </row>
    <row r="2727" spans="94:95">
      <c r="CP2727">
        <f>IF(周转筐出入库明细!$C728="",0,1)</f>
        <v>0</v>
      </c>
      <c r="CQ2727">
        <f t="shared" si="645"/>
        <v>108</v>
      </c>
    </row>
    <row r="2728" spans="94:95">
      <c r="CP2728">
        <f>IF(周转筐出入库明细!$C729="",0,1)</f>
        <v>0</v>
      </c>
      <c r="CQ2728">
        <f t="shared" si="645"/>
        <v>108</v>
      </c>
    </row>
    <row r="2729" spans="94:95">
      <c r="CP2729">
        <f>IF(周转筐出入库明细!$C730="",0,1)</f>
        <v>0</v>
      </c>
      <c r="CQ2729">
        <f t="shared" si="645"/>
        <v>108</v>
      </c>
    </row>
    <row r="2730" spans="94:95">
      <c r="CP2730">
        <f>IF(周转筐出入库明细!$C731="",0,1)</f>
        <v>0</v>
      </c>
      <c r="CQ2730">
        <f t="shared" si="645"/>
        <v>108</v>
      </c>
    </row>
    <row r="2731" spans="94:95">
      <c r="CP2731">
        <f>IF(周转筐出入库明细!$C732="",0,1)</f>
        <v>0</v>
      </c>
      <c r="CQ2731">
        <f t="shared" si="645"/>
        <v>108</v>
      </c>
    </row>
    <row r="2732" spans="94:95">
      <c r="CP2732">
        <f>IF(周转筐出入库明细!$C733="",0,1)</f>
        <v>0</v>
      </c>
      <c r="CQ2732">
        <f t="shared" si="645"/>
        <v>108</v>
      </c>
    </row>
    <row r="2733" spans="94:95">
      <c r="CP2733">
        <f>IF(周转筐出入库明细!$C734="",0,1)</f>
        <v>0</v>
      </c>
      <c r="CQ2733">
        <f t="shared" si="645"/>
        <v>108</v>
      </c>
    </row>
    <row r="2734" spans="94:95">
      <c r="CP2734">
        <f>IF(周转筐出入库明细!$C735="",0,1)</f>
        <v>0</v>
      </c>
      <c r="CQ2734">
        <f t="shared" si="645"/>
        <v>108</v>
      </c>
    </row>
    <row r="2735" spans="94:95">
      <c r="CP2735">
        <f>IF(周转筐出入库明细!$C736="",0,1)</f>
        <v>0</v>
      </c>
      <c r="CQ2735">
        <f t="shared" si="645"/>
        <v>108</v>
      </c>
    </row>
    <row r="2736" spans="94:95">
      <c r="CP2736">
        <f>IF(周转筐出入库明细!$C737="",0,1)</f>
        <v>0</v>
      </c>
      <c r="CQ2736">
        <f t="shared" si="645"/>
        <v>108</v>
      </c>
    </row>
    <row r="2737" spans="94:95">
      <c r="CP2737">
        <f>IF(周转筐出入库明细!$C738="",0,1)</f>
        <v>0</v>
      </c>
      <c r="CQ2737">
        <f t="shared" si="645"/>
        <v>108</v>
      </c>
    </row>
    <row r="2738" spans="94:95">
      <c r="CP2738">
        <f>IF(周转筐出入库明细!$C739="",0,1)</f>
        <v>0</v>
      </c>
      <c r="CQ2738">
        <f t="shared" si="645"/>
        <v>108</v>
      </c>
    </row>
    <row r="2739" spans="94:95">
      <c r="CP2739">
        <f>IF(周转筐出入库明细!$C740="",0,1)</f>
        <v>0</v>
      </c>
      <c r="CQ2739">
        <f t="shared" si="645"/>
        <v>108</v>
      </c>
    </row>
    <row r="2740" spans="94:95">
      <c r="CP2740">
        <f>IF(周转筐出入库明细!$C741="",0,1)</f>
        <v>0</v>
      </c>
      <c r="CQ2740">
        <f t="shared" si="645"/>
        <v>108</v>
      </c>
    </row>
    <row r="2741" spans="94:95">
      <c r="CP2741">
        <f>IF(周转筐出入库明细!$C742="",0,1)</f>
        <v>0</v>
      </c>
      <c r="CQ2741">
        <f t="shared" si="645"/>
        <v>108</v>
      </c>
    </row>
    <row r="2742" spans="94:95">
      <c r="CP2742">
        <f>IF(周转筐出入库明细!$C743="",0,1)</f>
        <v>0</v>
      </c>
      <c r="CQ2742">
        <f t="shared" si="645"/>
        <v>108</v>
      </c>
    </row>
    <row r="2743" spans="94:95">
      <c r="CP2743">
        <f>IF(周转筐出入库明细!$C744="",0,1)</f>
        <v>0</v>
      </c>
      <c r="CQ2743">
        <f t="shared" si="645"/>
        <v>108</v>
      </c>
    </row>
    <row r="2744" spans="94:95">
      <c r="CP2744">
        <f>IF(周转筐出入库明细!$C745="",0,1)</f>
        <v>0</v>
      </c>
      <c r="CQ2744">
        <f t="shared" si="645"/>
        <v>108</v>
      </c>
    </row>
    <row r="2745" spans="94:95">
      <c r="CP2745">
        <f>IF(周转筐出入库明细!$C746="",0,1)</f>
        <v>0</v>
      </c>
      <c r="CQ2745">
        <f t="shared" si="645"/>
        <v>108</v>
      </c>
    </row>
    <row r="2746" spans="94:95">
      <c r="CP2746">
        <f>IF(周转筐出入库明细!$C747="",0,1)</f>
        <v>0</v>
      </c>
      <c r="CQ2746">
        <f t="shared" si="645"/>
        <v>108</v>
      </c>
    </row>
    <row r="2747" spans="94:95">
      <c r="CP2747">
        <f>IF(周转筐出入库明细!$C748="",0,1)</f>
        <v>0</v>
      </c>
      <c r="CQ2747">
        <f t="shared" si="645"/>
        <v>108</v>
      </c>
    </row>
    <row r="2748" spans="94:95">
      <c r="CP2748">
        <f>IF(周转筐出入库明细!$C749="",0,1)</f>
        <v>0</v>
      </c>
      <c r="CQ2748">
        <f t="shared" si="645"/>
        <v>108</v>
      </c>
    </row>
    <row r="2749" spans="94:95">
      <c r="CP2749">
        <f>IF(周转筐出入库明细!$C750="",0,1)</f>
        <v>0</v>
      </c>
      <c r="CQ2749">
        <f t="shared" si="645"/>
        <v>108</v>
      </c>
    </row>
    <row r="2750" spans="94:95">
      <c r="CP2750">
        <f>IF(周转筐出入库明细!$C751="",0,1)</f>
        <v>0</v>
      </c>
      <c r="CQ2750">
        <f t="shared" si="645"/>
        <v>108</v>
      </c>
    </row>
    <row r="2751" spans="94:95">
      <c r="CP2751">
        <f>IF(周转筐出入库明细!$C752="",0,1)</f>
        <v>0</v>
      </c>
      <c r="CQ2751">
        <f t="shared" si="645"/>
        <v>108</v>
      </c>
    </row>
    <row r="2752" spans="94:95">
      <c r="CP2752">
        <f>IF(周转筐出入库明细!$C753="",0,1)</f>
        <v>0</v>
      </c>
      <c r="CQ2752">
        <f t="shared" si="645"/>
        <v>108</v>
      </c>
    </row>
    <row r="2753" spans="94:95">
      <c r="CP2753">
        <f>IF(周转筐出入库明细!$C754="",0,1)</f>
        <v>0</v>
      </c>
      <c r="CQ2753">
        <f t="shared" si="645"/>
        <v>108</v>
      </c>
    </row>
    <row r="2754" spans="94:95">
      <c r="CP2754">
        <f>IF(周转筐出入库明细!$C755="",0,1)</f>
        <v>0</v>
      </c>
      <c r="CQ2754">
        <f t="shared" si="645"/>
        <v>108</v>
      </c>
    </row>
    <row r="2755" spans="94:95">
      <c r="CP2755">
        <f>IF(周转筐出入库明细!$C756="",0,1)</f>
        <v>0</v>
      </c>
      <c r="CQ2755">
        <f t="shared" si="645"/>
        <v>108</v>
      </c>
    </row>
    <row r="2756" spans="94:95">
      <c r="CP2756">
        <f>IF(周转筐出入库明细!$C757="",0,1)</f>
        <v>0</v>
      </c>
      <c r="CQ2756">
        <f t="shared" ref="CQ2756:CQ2819" si="646">N(CQ2755)+$CP2756</f>
        <v>108</v>
      </c>
    </row>
    <row r="2757" spans="94:95">
      <c r="CP2757">
        <f>IF(周转筐出入库明细!$C758="",0,1)</f>
        <v>0</v>
      </c>
      <c r="CQ2757">
        <f t="shared" si="646"/>
        <v>108</v>
      </c>
    </row>
    <row r="2758" spans="94:95">
      <c r="CP2758">
        <f>IF(周转筐出入库明细!$C759="",0,1)</f>
        <v>0</v>
      </c>
      <c r="CQ2758">
        <f t="shared" si="646"/>
        <v>108</v>
      </c>
    </row>
    <row r="2759" spans="94:95">
      <c r="CP2759">
        <f>IF(周转筐出入库明细!$C760="",0,1)</f>
        <v>0</v>
      </c>
      <c r="CQ2759">
        <f t="shared" si="646"/>
        <v>108</v>
      </c>
    </row>
    <row r="2760" spans="94:95">
      <c r="CP2760">
        <f>IF(周转筐出入库明细!$C761="",0,1)</f>
        <v>0</v>
      </c>
      <c r="CQ2760">
        <f t="shared" si="646"/>
        <v>108</v>
      </c>
    </row>
    <row r="2761" spans="94:95">
      <c r="CP2761">
        <f>IF(周转筐出入库明细!$C762="",0,1)</f>
        <v>0</v>
      </c>
      <c r="CQ2761">
        <f t="shared" si="646"/>
        <v>108</v>
      </c>
    </row>
    <row r="2762" spans="94:95">
      <c r="CP2762">
        <f>IF(周转筐出入库明细!$C763="",0,1)</f>
        <v>0</v>
      </c>
      <c r="CQ2762">
        <f t="shared" si="646"/>
        <v>108</v>
      </c>
    </row>
    <row r="2763" spans="94:95">
      <c r="CP2763">
        <f>IF(周转筐出入库明细!$C764="",0,1)</f>
        <v>0</v>
      </c>
      <c r="CQ2763">
        <f t="shared" si="646"/>
        <v>108</v>
      </c>
    </row>
    <row r="2764" spans="94:95">
      <c r="CP2764">
        <f>IF(周转筐出入库明细!$C765="",0,1)</f>
        <v>0</v>
      </c>
      <c r="CQ2764">
        <f t="shared" si="646"/>
        <v>108</v>
      </c>
    </row>
    <row r="2765" spans="94:95">
      <c r="CP2765">
        <f>IF(周转筐出入库明细!$C766="",0,1)</f>
        <v>0</v>
      </c>
      <c r="CQ2765">
        <f t="shared" si="646"/>
        <v>108</v>
      </c>
    </row>
    <row r="2766" spans="94:95">
      <c r="CP2766">
        <f>IF(周转筐出入库明细!$C767="",0,1)</f>
        <v>0</v>
      </c>
      <c r="CQ2766">
        <f t="shared" si="646"/>
        <v>108</v>
      </c>
    </row>
    <row r="2767" spans="94:95">
      <c r="CP2767">
        <f>IF(周转筐出入库明细!$C768="",0,1)</f>
        <v>0</v>
      </c>
      <c r="CQ2767">
        <f t="shared" si="646"/>
        <v>108</v>
      </c>
    </row>
    <row r="2768" spans="94:95">
      <c r="CP2768">
        <f>IF(周转筐出入库明细!$C769="",0,1)</f>
        <v>0</v>
      </c>
      <c r="CQ2768">
        <f t="shared" si="646"/>
        <v>108</v>
      </c>
    </row>
    <row r="2769" spans="94:95">
      <c r="CP2769">
        <f>IF(周转筐出入库明细!$C770="",0,1)</f>
        <v>0</v>
      </c>
      <c r="CQ2769">
        <f t="shared" si="646"/>
        <v>108</v>
      </c>
    </row>
    <row r="2770" spans="94:95">
      <c r="CP2770">
        <f>IF(周转筐出入库明细!$C771="",0,1)</f>
        <v>0</v>
      </c>
      <c r="CQ2770">
        <f t="shared" si="646"/>
        <v>108</v>
      </c>
    </row>
    <row r="2771" spans="94:95">
      <c r="CP2771">
        <f>IF(周转筐出入库明细!$C772="",0,1)</f>
        <v>0</v>
      </c>
      <c r="CQ2771">
        <f t="shared" si="646"/>
        <v>108</v>
      </c>
    </row>
    <row r="2772" spans="94:95">
      <c r="CP2772">
        <f>IF(周转筐出入库明细!$C773="",0,1)</f>
        <v>0</v>
      </c>
      <c r="CQ2772">
        <f t="shared" si="646"/>
        <v>108</v>
      </c>
    </row>
    <row r="2773" spans="94:95">
      <c r="CP2773">
        <f>IF(周转筐出入库明细!$C774="",0,1)</f>
        <v>0</v>
      </c>
      <c r="CQ2773">
        <f t="shared" si="646"/>
        <v>108</v>
      </c>
    </row>
    <row r="2774" spans="94:95">
      <c r="CP2774">
        <f>IF(周转筐出入库明细!$C775="",0,1)</f>
        <v>0</v>
      </c>
      <c r="CQ2774">
        <f t="shared" si="646"/>
        <v>108</v>
      </c>
    </row>
    <row r="2775" spans="94:95">
      <c r="CP2775">
        <f>IF(周转筐出入库明细!$C776="",0,1)</f>
        <v>0</v>
      </c>
      <c r="CQ2775">
        <f t="shared" si="646"/>
        <v>108</v>
      </c>
    </row>
    <row r="2776" spans="94:95">
      <c r="CP2776">
        <f>IF(周转筐出入库明细!$C777="",0,1)</f>
        <v>0</v>
      </c>
      <c r="CQ2776">
        <f t="shared" si="646"/>
        <v>108</v>
      </c>
    </row>
    <row r="2777" spans="94:95">
      <c r="CP2777">
        <f>IF(周转筐出入库明细!$C778="",0,1)</f>
        <v>0</v>
      </c>
      <c r="CQ2777">
        <f t="shared" si="646"/>
        <v>108</v>
      </c>
    </row>
    <row r="2778" spans="94:95">
      <c r="CP2778">
        <f>IF(周转筐出入库明细!$C779="",0,1)</f>
        <v>0</v>
      </c>
      <c r="CQ2778">
        <f t="shared" si="646"/>
        <v>108</v>
      </c>
    </row>
    <row r="2779" spans="94:95">
      <c r="CP2779">
        <f>IF(周转筐出入库明细!$C780="",0,1)</f>
        <v>0</v>
      </c>
      <c r="CQ2779">
        <f t="shared" si="646"/>
        <v>108</v>
      </c>
    </row>
    <row r="2780" spans="94:95">
      <c r="CP2780">
        <f>IF(周转筐出入库明细!$C781="",0,1)</f>
        <v>0</v>
      </c>
      <c r="CQ2780">
        <f t="shared" si="646"/>
        <v>108</v>
      </c>
    </row>
    <row r="2781" spans="94:95">
      <c r="CP2781">
        <f>IF(周转筐出入库明细!$C782="",0,1)</f>
        <v>0</v>
      </c>
      <c r="CQ2781">
        <f t="shared" si="646"/>
        <v>108</v>
      </c>
    </row>
    <row r="2782" spans="94:95">
      <c r="CP2782">
        <f>IF(周转筐出入库明细!$C783="",0,1)</f>
        <v>0</v>
      </c>
      <c r="CQ2782">
        <f t="shared" si="646"/>
        <v>108</v>
      </c>
    </row>
    <row r="2783" spans="94:95">
      <c r="CP2783">
        <f>IF(周转筐出入库明细!$C784="",0,1)</f>
        <v>0</v>
      </c>
      <c r="CQ2783">
        <f t="shared" si="646"/>
        <v>108</v>
      </c>
    </row>
    <row r="2784" spans="94:95">
      <c r="CP2784">
        <f>IF(周转筐出入库明细!$C785="",0,1)</f>
        <v>0</v>
      </c>
      <c r="CQ2784">
        <f t="shared" si="646"/>
        <v>108</v>
      </c>
    </row>
    <row r="2785" spans="94:95">
      <c r="CP2785">
        <f>IF(周转筐出入库明细!$C786="",0,1)</f>
        <v>0</v>
      </c>
      <c r="CQ2785">
        <f t="shared" si="646"/>
        <v>108</v>
      </c>
    </row>
    <row r="2786" spans="94:95">
      <c r="CP2786">
        <f>IF(周转筐出入库明细!$C787="",0,1)</f>
        <v>0</v>
      </c>
      <c r="CQ2786">
        <f t="shared" si="646"/>
        <v>108</v>
      </c>
    </row>
    <row r="2787" spans="94:95">
      <c r="CP2787">
        <f>IF(周转筐出入库明细!$C788="",0,1)</f>
        <v>0</v>
      </c>
      <c r="CQ2787">
        <f t="shared" si="646"/>
        <v>108</v>
      </c>
    </row>
    <row r="2788" spans="94:95">
      <c r="CP2788">
        <f>IF(周转筐出入库明细!$C789="",0,1)</f>
        <v>0</v>
      </c>
      <c r="CQ2788">
        <f t="shared" si="646"/>
        <v>108</v>
      </c>
    </row>
    <row r="2789" spans="94:95">
      <c r="CP2789">
        <f>IF(周转筐出入库明细!$C790="",0,1)</f>
        <v>0</v>
      </c>
      <c r="CQ2789">
        <f t="shared" si="646"/>
        <v>108</v>
      </c>
    </row>
    <row r="2790" spans="94:95">
      <c r="CP2790">
        <f>IF(周转筐出入库明细!$C791="",0,1)</f>
        <v>0</v>
      </c>
      <c r="CQ2790">
        <f t="shared" si="646"/>
        <v>108</v>
      </c>
    </row>
    <row r="2791" spans="94:95">
      <c r="CP2791">
        <f>IF(周转筐出入库明细!$C792="",0,1)</f>
        <v>0</v>
      </c>
      <c r="CQ2791">
        <f t="shared" si="646"/>
        <v>108</v>
      </c>
    </row>
    <row r="2792" spans="94:95">
      <c r="CP2792">
        <f>IF(周转筐出入库明细!$C793="",0,1)</f>
        <v>0</v>
      </c>
      <c r="CQ2792">
        <f t="shared" si="646"/>
        <v>108</v>
      </c>
    </row>
    <row r="2793" spans="94:95">
      <c r="CP2793">
        <f>IF(周转筐出入库明细!$C794="",0,1)</f>
        <v>0</v>
      </c>
      <c r="CQ2793">
        <f t="shared" si="646"/>
        <v>108</v>
      </c>
    </row>
    <row r="2794" spans="94:95">
      <c r="CP2794">
        <f>IF(周转筐出入库明细!$C795="",0,1)</f>
        <v>0</v>
      </c>
      <c r="CQ2794">
        <f t="shared" si="646"/>
        <v>108</v>
      </c>
    </row>
    <row r="2795" spans="94:95">
      <c r="CP2795">
        <f>IF(周转筐出入库明细!$C796="",0,1)</f>
        <v>0</v>
      </c>
      <c r="CQ2795">
        <f t="shared" si="646"/>
        <v>108</v>
      </c>
    </row>
    <row r="2796" spans="94:95">
      <c r="CP2796">
        <f>IF(周转筐出入库明细!$C797="",0,1)</f>
        <v>0</v>
      </c>
      <c r="CQ2796">
        <f t="shared" si="646"/>
        <v>108</v>
      </c>
    </row>
    <row r="2797" spans="94:95">
      <c r="CP2797">
        <f>IF(周转筐出入库明细!$C798="",0,1)</f>
        <v>0</v>
      </c>
      <c r="CQ2797">
        <f t="shared" si="646"/>
        <v>108</v>
      </c>
    </row>
    <row r="2798" spans="94:95">
      <c r="CP2798">
        <f>IF(周转筐出入库明细!$C799="",0,1)</f>
        <v>0</v>
      </c>
      <c r="CQ2798">
        <f t="shared" si="646"/>
        <v>108</v>
      </c>
    </row>
    <row r="2799" spans="94:95">
      <c r="CP2799">
        <f>IF(周转筐出入库明细!$C800="",0,1)</f>
        <v>0</v>
      </c>
      <c r="CQ2799">
        <f t="shared" si="646"/>
        <v>108</v>
      </c>
    </row>
    <row r="2800" spans="94:95">
      <c r="CP2800">
        <f>IF(周转筐出入库明细!$C801="",0,1)</f>
        <v>0</v>
      </c>
      <c r="CQ2800">
        <f t="shared" si="646"/>
        <v>108</v>
      </c>
    </row>
    <row r="2801" spans="94:95">
      <c r="CP2801">
        <f>IF(周转筐出入库明细!$C802="",0,1)</f>
        <v>0</v>
      </c>
      <c r="CQ2801">
        <f t="shared" si="646"/>
        <v>108</v>
      </c>
    </row>
    <row r="2802" spans="94:95">
      <c r="CP2802">
        <f>IF(周转筐出入库明细!$C803="",0,1)</f>
        <v>0</v>
      </c>
      <c r="CQ2802">
        <f t="shared" si="646"/>
        <v>108</v>
      </c>
    </row>
    <row r="2803" spans="94:95">
      <c r="CP2803">
        <f>IF(周转筐出入库明细!$C804="",0,1)</f>
        <v>0</v>
      </c>
      <c r="CQ2803">
        <f t="shared" si="646"/>
        <v>108</v>
      </c>
    </row>
    <row r="2804" spans="94:95">
      <c r="CP2804">
        <f>IF(周转筐出入库明细!$C805="",0,1)</f>
        <v>0</v>
      </c>
      <c r="CQ2804">
        <f t="shared" si="646"/>
        <v>108</v>
      </c>
    </row>
    <row r="2805" spans="94:95">
      <c r="CP2805">
        <f>IF(周转筐出入库明细!$C806="",0,1)</f>
        <v>0</v>
      </c>
      <c r="CQ2805">
        <f t="shared" si="646"/>
        <v>108</v>
      </c>
    </row>
    <row r="2806" spans="94:95">
      <c r="CP2806">
        <f>IF(周转筐出入库明细!$C807="",0,1)</f>
        <v>0</v>
      </c>
      <c r="CQ2806">
        <f t="shared" si="646"/>
        <v>108</v>
      </c>
    </row>
    <row r="2807" spans="94:95">
      <c r="CP2807">
        <f>IF(周转筐出入库明细!$C808="",0,1)</f>
        <v>0</v>
      </c>
      <c r="CQ2807">
        <f t="shared" si="646"/>
        <v>108</v>
      </c>
    </row>
    <row r="2808" spans="94:95">
      <c r="CP2808">
        <f>IF(周转筐出入库明细!$C809="",0,1)</f>
        <v>0</v>
      </c>
      <c r="CQ2808">
        <f t="shared" si="646"/>
        <v>108</v>
      </c>
    </row>
    <row r="2809" spans="94:95">
      <c r="CP2809">
        <f>IF(周转筐出入库明细!$C810="",0,1)</f>
        <v>0</v>
      </c>
      <c r="CQ2809">
        <f t="shared" si="646"/>
        <v>108</v>
      </c>
    </row>
    <row r="2810" spans="94:95">
      <c r="CP2810">
        <f>IF(周转筐出入库明细!$C811="",0,1)</f>
        <v>0</v>
      </c>
      <c r="CQ2810">
        <f t="shared" si="646"/>
        <v>108</v>
      </c>
    </row>
    <row r="2811" spans="94:95">
      <c r="CP2811">
        <f>IF(周转筐出入库明细!$C812="",0,1)</f>
        <v>0</v>
      </c>
      <c r="CQ2811">
        <f t="shared" si="646"/>
        <v>108</v>
      </c>
    </row>
    <row r="2812" spans="94:95">
      <c r="CP2812">
        <f>IF(周转筐出入库明细!$C813="",0,1)</f>
        <v>0</v>
      </c>
      <c r="CQ2812">
        <f t="shared" si="646"/>
        <v>108</v>
      </c>
    </row>
    <row r="2813" spans="94:95">
      <c r="CP2813">
        <f>IF(周转筐出入库明细!$C814="",0,1)</f>
        <v>0</v>
      </c>
      <c r="CQ2813">
        <f t="shared" si="646"/>
        <v>108</v>
      </c>
    </row>
    <row r="2814" spans="94:95">
      <c r="CP2814">
        <f>IF(周转筐出入库明细!$C815="",0,1)</f>
        <v>0</v>
      </c>
      <c r="CQ2814">
        <f t="shared" si="646"/>
        <v>108</v>
      </c>
    </row>
    <row r="2815" spans="94:95">
      <c r="CP2815">
        <f>IF(周转筐出入库明细!$C816="",0,1)</f>
        <v>0</v>
      </c>
      <c r="CQ2815">
        <f t="shared" si="646"/>
        <v>108</v>
      </c>
    </row>
    <row r="2816" spans="94:95">
      <c r="CP2816">
        <f>IF(周转筐出入库明细!$C817="",0,1)</f>
        <v>0</v>
      </c>
      <c r="CQ2816">
        <f t="shared" si="646"/>
        <v>108</v>
      </c>
    </row>
    <row r="2817" spans="94:95">
      <c r="CP2817">
        <f>IF(周转筐出入库明细!$C818="",0,1)</f>
        <v>0</v>
      </c>
      <c r="CQ2817">
        <f t="shared" si="646"/>
        <v>108</v>
      </c>
    </row>
    <row r="2818" spans="94:95">
      <c r="CP2818">
        <f>IF(周转筐出入库明细!$C819="",0,1)</f>
        <v>0</v>
      </c>
      <c r="CQ2818">
        <f t="shared" si="646"/>
        <v>108</v>
      </c>
    </row>
    <row r="2819" spans="94:95">
      <c r="CP2819">
        <f>IF(周转筐出入库明细!$C820="",0,1)</f>
        <v>0</v>
      </c>
      <c r="CQ2819">
        <f t="shared" si="646"/>
        <v>108</v>
      </c>
    </row>
    <row r="2820" spans="94:95">
      <c r="CP2820">
        <f>IF(周转筐出入库明细!$C821="",0,1)</f>
        <v>0</v>
      </c>
      <c r="CQ2820">
        <f t="shared" ref="CQ2820:CQ2883" si="647">N(CQ2819)+$CP2820</f>
        <v>108</v>
      </c>
    </row>
    <row r="2821" spans="94:95">
      <c r="CP2821">
        <f>IF(周转筐出入库明细!$C822="",0,1)</f>
        <v>0</v>
      </c>
      <c r="CQ2821">
        <f t="shared" si="647"/>
        <v>108</v>
      </c>
    </row>
    <row r="2822" spans="94:95">
      <c r="CP2822">
        <f>IF(周转筐出入库明细!$C823="",0,1)</f>
        <v>0</v>
      </c>
      <c r="CQ2822">
        <f t="shared" si="647"/>
        <v>108</v>
      </c>
    </row>
    <row r="2823" spans="94:95">
      <c r="CP2823">
        <f>IF(周转筐出入库明细!$C824="",0,1)</f>
        <v>0</v>
      </c>
      <c r="CQ2823">
        <f t="shared" si="647"/>
        <v>108</v>
      </c>
    </row>
    <row r="2824" spans="94:95">
      <c r="CP2824">
        <f>IF(周转筐出入库明细!$C825="",0,1)</f>
        <v>0</v>
      </c>
      <c r="CQ2824">
        <f t="shared" si="647"/>
        <v>108</v>
      </c>
    </row>
    <row r="2825" spans="94:95">
      <c r="CP2825">
        <f>IF(周转筐出入库明细!$C826="",0,1)</f>
        <v>0</v>
      </c>
      <c r="CQ2825">
        <f t="shared" si="647"/>
        <v>108</v>
      </c>
    </row>
    <row r="2826" spans="94:95">
      <c r="CP2826">
        <f>IF(周转筐出入库明细!$C827="",0,1)</f>
        <v>0</v>
      </c>
      <c r="CQ2826">
        <f t="shared" si="647"/>
        <v>108</v>
      </c>
    </row>
    <row r="2827" spans="94:95">
      <c r="CP2827">
        <f>IF(周转筐出入库明细!$C828="",0,1)</f>
        <v>0</v>
      </c>
      <c r="CQ2827">
        <f t="shared" si="647"/>
        <v>108</v>
      </c>
    </row>
    <row r="2828" spans="94:95">
      <c r="CP2828">
        <f>IF(周转筐出入库明细!$C829="",0,1)</f>
        <v>0</v>
      </c>
      <c r="CQ2828">
        <f t="shared" si="647"/>
        <v>108</v>
      </c>
    </row>
    <row r="2829" spans="94:95">
      <c r="CP2829">
        <f>IF(周转筐出入库明细!$C830="",0,1)</f>
        <v>0</v>
      </c>
      <c r="CQ2829">
        <f t="shared" si="647"/>
        <v>108</v>
      </c>
    </row>
    <row r="2830" spans="94:95">
      <c r="CP2830">
        <f>IF(周转筐出入库明细!$C831="",0,1)</f>
        <v>0</v>
      </c>
      <c r="CQ2830">
        <f t="shared" si="647"/>
        <v>108</v>
      </c>
    </row>
    <row r="2831" spans="94:95">
      <c r="CP2831">
        <f>IF(周转筐出入库明细!$C832="",0,1)</f>
        <v>0</v>
      </c>
      <c r="CQ2831">
        <f t="shared" si="647"/>
        <v>108</v>
      </c>
    </row>
    <row r="2832" spans="94:95">
      <c r="CP2832">
        <f>IF(周转筐出入库明细!$C833="",0,1)</f>
        <v>0</v>
      </c>
      <c r="CQ2832">
        <f t="shared" si="647"/>
        <v>108</v>
      </c>
    </row>
    <row r="2833" spans="94:95">
      <c r="CP2833">
        <f>IF(周转筐出入库明细!$C834="",0,1)</f>
        <v>0</v>
      </c>
      <c r="CQ2833">
        <f t="shared" si="647"/>
        <v>108</v>
      </c>
    </row>
    <row r="2834" spans="94:95">
      <c r="CP2834">
        <f>IF(周转筐出入库明细!$C835="",0,1)</f>
        <v>0</v>
      </c>
      <c r="CQ2834">
        <f t="shared" si="647"/>
        <v>108</v>
      </c>
    </row>
    <row r="2835" spans="94:95">
      <c r="CP2835">
        <f>IF(周转筐出入库明细!$C836="",0,1)</f>
        <v>0</v>
      </c>
      <c r="CQ2835">
        <f t="shared" si="647"/>
        <v>108</v>
      </c>
    </row>
    <row r="2836" spans="94:95">
      <c r="CP2836">
        <f>IF(周转筐出入库明细!$C837="",0,1)</f>
        <v>0</v>
      </c>
      <c r="CQ2836">
        <f t="shared" si="647"/>
        <v>108</v>
      </c>
    </row>
    <row r="2837" spans="94:95">
      <c r="CP2837">
        <f>IF(周转筐出入库明细!$C838="",0,1)</f>
        <v>0</v>
      </c>
      <c r="CQ2837">
        <f t="shared" si="647"/>
        <v>108</v>
      </c>
    </row>
    <row r="2838" spans="94:95">
      <c r="CP2838">
        <f>IF(周转筐出入库明细!$C839="",0,1)</f>
        <v>0</v>
      </c>
      <c r="CQ2838">
        <f t="shared" si="647"/>
        <v>108</v>
      </c>
    </row>
    <row r="2839" spans="94:95">
      <c r="CP2839">
        <f>IF(周转筐出入库明细!$C840="",0,1)</f>
        <v>0</v>
      </c>
      <c r="CQ2839">
        <f t="shared" si="647"/>
        <v>108</v>
      </c>
    </row>
    <row r="2840" spans="94:95">
      <c r="CP2840">
        <f>IF(周转筐出入库明细!$C841="",0,1)</f>
        <v>0</v>
      </c>
      <c r="CQ2840">
        <f t="shared" si="647"/>
        <v>108</v>
      </c>
    </row>
    <row r="2841" spans="94:95">
      <c r="CP2841">
        <f>IF(周转筐出入库明细!$C842="",0,1)</f>
        <v>0</v>
      </c>
      <c r="CQ2841">
        <f t="shared" si="647"/>
        <v>108</v>
      </c>
    </row>
    <row r="2842" spans="94:95">
      <c r="CP2842">
        <f>IF(周转筐出入库明细!$C843="",0,1)</f>
        <v>0</v>
      </c>
      <c r="CQ2842">
        <f t="shared" si="647"/>
        <v>108</v>
      </c>
    </row>
    <row r="2843" spans="94:95">
      <c r="CP2843">
        <f>IF(周转筐出入库明细!$C844="",0,1)</f>
        <v>0</v>
      </c>
      <c r="CQ2843">
        <f t="shared" si="647"/>
        <v>108</v>
      </c>
    </row>
    <row r="2844" spans="94:95">
      <c r="CP2844">
        <f>IF(周转筐出入库明细!$C845="",0,1)</f>
        <v>0</v>
      </c>
      <c r="CQ2844">
        <f t="shared" si="647"/>
        <v>108</v>
      </c>
    </row>
    <row r="2845" spans="94:95">
      <c r="CP2845">
        <f>IF(周转筐出入库明细!$C846="",0,1)</f>
        <v>0</v>
      </c>
      <c r="CQ2845">
        <f t="shared" si="647"/>
        <v>108</v>
      </c>
    </row>
    <row r="2846" spans="94:95">
      <c r="CP2846">
        <f>IF(周转筐出入库明细!$C847="",0,1)</f>
        <v>0</v>
      </c>
      <c r="CQ2846">
        <f t="shared" si="647"/>
        <v>108</v>
      </c>
    </row>
    <row r="2847" spans="94:95">
      <c r="CP2847">
        <f>IF(周转筐出入库明细!$C848="",0,1)</f>
        <v>0</v>
      </c>
      <c r="CQ2847">
        <f t="shared" si="647"/>
        <v>108</v>
      </c>
    </row>
    <row r="2848" spans="94:95">
      <c r="CP2848">
        <f>IF(周转筐出入库明细!$C849="",0,1)</f>
        <v>0</v>
      </c>
      <c r="CQ2848">
        <f t="shared" si="647"/>
        <v>108</v>
      </c>
    </row>
    <row r="2849" spans="94:95">
      <c r="CP2849">
        <f>IF(周转筐出入库明细!$C850="",0,1)</f>
        <v>0</v>
      </c>
      <c r="CQ2849">
        <f t="shared" si="647"/>
        <v>108</v>
      </c>
    </row>
    <row r="2850" spans="94:95">
      <c r="CP2850">
        <f>IF(周转筐出入库明细!$C851="",0,1)</f>
        <v>0</v>
      </c>
      <c r="CQ2850">
        <f t="shared" si="647"/>
        <v>108</v>
      </c>
    </row>
    <row r="2851" spans="94:95">
      <c r="CP2851">
        <f>IF(周转筐出入库明细!$C852="",0,1)</f>
        <v>0</v>
      </c>
      <c r="CQ2851">
        <f t="shared" si="647"/>
        <v>108</v>
      </c>
    </row>
    <row r="2852" spans="94:95">
      <c r="CP2852">
        <f>IF(周转筐出入库明细!$C853="",0,1)</f>
        <v>0</v>
      </c>
      <c r="CQ2852">
        <f t="shared" si="647"/>
        <v>108</v>
      </c>
    </row>
    <row r="2853" spans="94:95">
      <c r="CP2853">
        <f>IF(周转筐出入库明细!$C854="",0,1)</f>
        <v>0</v>
      </c>
      <c r="CQ2853">
        <f t="shared" si="647"/>
        <v>108</v>
      </c>
    </row>
    <row r="2854" spans="94:95">
      <c r="CP2854">
        <f>IF(周转筐出入库明细!$C855="",0,1)</f>
        <v>0</v>
      </c>
      <c r="CQ2854">
        <f t="shared" si="647"/>
        <v>108</v>
      </c>
    </row>
    <row r="2855" spans="94:95">
      <c r="CP2855">
        <f>IF(周转筐出入库明细!$C856="",0,1)</f>
        <v>0</v>
      </c>
      <c r="CQ2855">
        <f t="shared" si="647"/>
        <v>108</v>
      </c>
    </row>
    <row r="2856" spans="94:95">
      <c r="CP2856">
        <f>IF(周转筐出入库明细!$C857="",0,1)</f>
        <v>0</v>
      </c>
      <c r="CQ2856">
        <f t="shared" si="647"/>
        <v>108</v>
      </c>
    </row>
    <row r="2857" spans="94:95">
      <c r="CP2857">
        <f>IF(周转筐出入库明细!$C858="",0,1)</f>
        <v>0</v>
      </c>
      <c r="CQ2857">
        <f t="shared" si="647"/>
        <v>108</v>
      </c>
    </row>
    <row r="2858" spans="94:95">
      <c r="CP2858">
        <f>IF(周转筐出入库明细!$C859="",0,1)</f>
        <v>0</v>
      </c>
      <c r="CQ2858">
        <f t="shared" si="647"/>
        <v>108</v>
      </c>
    </row>
    <row r="2859" spans="94:95">
      <c r="CP2859">
        <f>IF(周转筐出入库明细!$C860="",0,1)</f>
        <v>0</v>
      </c>
      <c r="CQ2859">
        <f t="shared" si="647"/>
        <v>108</v>
      </c>
    </row>
    <row r="2860" spans="94:95">
      <c r="CP2860">
        <f>IF(周转筐出入库明细!$C861="",0,1)</f>
        <v>0</v>
      </c>
      <c r="CQ2860">
        <f t="shared" si="647"/>
        <v>108</v>
      </c>
    </row>
    <row r="2861" spans="94:95">
      <c r="CP2861">
        <f>IF(周转筐出入库明细!$C862="",0,1)</f>
        <v>0</v>
      </c>
      <c r="CQ2861">
        <f t="shared" si="647"/>
        <v>108</v>
      </c>
    </row>
    <row r="2862" spans="94:95">
      <c r="CP2862">
        <f>IF(周转筐出入库明细!$C863="",0,1)</f>
        <v>0</v>
      </c>
      <c r="CQ2862">
        <f t="shared" si="647"/>
        <v>108</v>
      </c>
    </row>
    <row r="2863" spans="94:95">
      <c r="CP2863">
        <f>IF(周转筐出入库明细!$C864="",0,1)</f>
        <v>0</v>
      </c>
      <c r="CQ2863">
        <f t="shared" si="647"/>
        <v>108</v>
      </c>
    </row>
    <row r="2864" spans="94:95">
      <c r="CP2864">
        <f>IF(周转筐出入库明细!$C865="",0,1)</f>
        <v>0</v>
      </c>
      <c r="CQ2864">
        <f t="shared" si="647"/>
        <v>108</v>
      </c>
    </row>
    <row r="2865" spans="94:95">
      <c r="CP2865">
        <f>IF(周转筐出入库明细!$C866="",0,1)</f>
        <v>0</v>
      </c>
      <c r="CQ2865">
        <f t="shared" si="647"/>
        <v>108</v>
      </c>
    </row>
    <row r="2866" spans="94:95">
      <c r="CP2866">
        <f>IF(周转筐出入库明细!$C867="",0,1)</f>
        <v>0</v>
      </c>
      <c r="CQ2866">
        <f t="shared" si="647"/>
        <v>108</v>
      </c>
    </row>
    <row r="2867" spans="94:95">
      <c r="CP2867">
        <f>IF(周转筐出入库明细!$C868="",0,1)</f>
        <v>0</v>
      </c>
      <c r="CQ2867">
        <f t="shared" si="647"/>
        <v>108</v>
      </c>
    </row>
    <row r="2868" spans="94:95">
      <c r="CP2868">
        <f>IF(周转筐出入库明细!$C869="",0,1)</f>
        <v>0</v>
      </c>
      <c r="CQ2868">
        <f t="shared" si="647"/>
        <v>108</v>
      </c>
    </row>
    <row r="2869" spans="94:95">
      <c r="CP2869">
        <f>IF(周转筐出入库明细!$C870="",0,1)</f>
        <v>0</v>
      </c>
      <c r="CQ2869">
        <f t="shared" si="647"/>
        <v>108</v>
      </c>
    </row>
    <row r="2870" spans="94:95">
      <c r="CP2870">
        <f>IF(周转筐出入库明细!$C871="",0,1)</f>
        <v>0</v>
      </c>
      <c r="CQ2870">
        <f t="shared" si="647"/>
        <v>108</v>
      </c>
    </row>
    <row r="2871" spans="94:95">
      <c r="CP2871">
        <f>IF(周转筐出入库明细!$C872="",0,1)</f>
        <v>0</v>
      </c>
      <c r="CQ2871">
        <f t="shared" si="647"/>
        <v>108</v>
      </c>
    </row>
    <row r="2872" spans="94:95">
      <c r="CP2872">
        <f>IF(周转筐出入库明细!$C873="",0,1)</f>
        <v>0</v>
      </c>
      <c r="CQ2872">
        <f t="shared" si="647"/>
        <v>108</v>
      </c>
    </row>
    <row r="2873" spans="94:95">
      <c r="CP2873">
        <f>IF(周转筐出入库明细!$C874="",0,1)</f>
        <v>0</v>
      </c>
      <c r="CQ2873">
        <f t="shared" si="647"/>
        <v>108</v>
      </c>
    </row>
    <row r="2874" spans="94:95">
      <c r="CP2874">
        <f>IF(周转筐出入库明细!$C875="",0,1)</f>
        <v>0</v>
      </c>
      <c r="CQ2874">
        <f t="shared" si="647"/>
        <v>108</v>
      </c>
    </row>
    <row r="2875" spans="94:95">
      <c r="CP2875">
        <f>IF(周转筐出入库明细!$C876="",0,1)</f>
        <v>0</v>
      </c>
      <c r="CQ2875">
        <f t="shared" si="647"/>
        <v>108</v>
      </c>
    </row>
    <row r="2876" spans="94:95">
      <c r="CP2876">
        <f>IF(周转筐出入库明细!$C877="",0,1)</f>
        <v>0</v>
      </c>
      <c r="CQ2876">
        <f t="shared" si="647"/>
        <v>108</v>
      </c>
    </row>
    <row r="2877" spans="94:95">
      <c r="CP2877">
        <f>IF(周转筐出入库明细!$C878="",0,1)</f>
        <v>0</v>
      </c>
      <c r="CQ2877">
        <f t="shared" si="647"/>
        <v>108</v>
      </c>
    </row>
    <row r="2878" spans="94:95">
      <c r="CP2878">
        <f>IF(周转筐出入库明细!$C879="",0,1)</f>
        <v>0</v>
      </c>
      <c r="CQ2878">
        <f t="shared" si="647"/>
        <v>108</v>
      </c>
    </row>
    <row r="2879" spans="94:95">
      <c r="CP2879">
        <f>IF(周转筐出入库明细!$C880="",0,1)</f>
        <v>0</v>
      </c>
      <c r="CQ2879">
        <f t="shared" si="647"/>
        <v>108</v>
      </c>
    </row>
    <row r="2880" spans="94:95">
      <c r="CP2880">
        <f>IF(周转筐出入库明细!$C881="",0,1)</f>
        <v>0</v>
      </c>
      <c r="CQ2880">
        <f t="shared" si="647"/>
        <v>108</v>
      </c>
    </row>
    <row r="2881" spans="94:95">
      <c r="CP2881">
        <f>IF(周转筐出入库明细!$C882="",0,1)</f>
        <v>0</v>
      </c>
      <c r="CQ2881">
        <f t="shared" si="647"/>
        <v>108</v>
      </c>
    </row>
    <row r="2882" spans="94:95">
      <c r="CP2882">
        <f>IF(周转筐出入库明细!$C883="",0,1)</f>
        <v>0</v>
      </c>
      <c r="CQ2882">
        <f t="shared" si="647"/>
        <v>108</v>
      </c>
    </row>
    <row r="2883" spans="94:95">
      <c r="CP2883">
        <f>IF(周转筐出入库明细!$C884="",0,1)</f>
        <v>0</v>
      </c>
      <c r="CQ2883">
        <f t="shared" si="647"/>
        <v>108</v>
      </c>
    </row>
    <row r="2884" spans="94:95">
      <c r="CP2884">
        <f>IF(周转筐出入库明细!$C885="",0,1)</f>
        <v>0</v>
      </c>
      <c r="CQ2884">
        <f t="shared" ref="CQ2884:CQ2947" si="648">N(CQ2883)+$CP2884</f>
        <v>108</v>
      </c>
    </row>
    <row r="2885" spans="94:95">
      <c r="CP2885">
        <f>IF(周转筐出入库明细!$C886="",0,1)</f>
        <v>0</v>
      </c>
      <c r="CQ2885">
        <f t="shared" si="648"/>
        <v>108</v>
      </c>
    </row>
    <row r="2886" spans="94:95">
      <c r="CP2886">
        <f>IF(周转筐出入库明细!$C887="",0,1)</f>
        <v>0</v>
      </c>
      <c r="CQ2886">
        <f t="shared" si="648"/>
        <v>108</v>
      </c>
    </row>
    <row r="2887" spans="94:95">
      <c r="CP2887">
        <f>IF(周转筐出入库明细!$C888="",0,1)</f>
        <v>0</v>
      </c>
      <c r="CQ2887">
        <f t="shared" si="648"/>
        <v>108</v>
      </c>
    </row>
    <row r="2888" spans="94:95">
      <c r="CP2888">
        <f>IF(周转筐出入库明细!$C889="",0,1)</f>
        <v>0</v>
      </c>
      <c r="CQ2888">
        <f t="shared" si="648"/>
        <v>108</v>
      </c>
    </row>
    <row r="2889" spans="94:95">
      <c r="CP2889">
        <f>IF(周转筐出入库明细!$C890="",0,1)</f>
        <v>0</v>
      </c>
      <c r="CQ2889">
        <f t="shared" si="648"/>
        <v>108</v>
      </c>
    </row>
    <row r="2890" spans="94:95">
      <c r="CP2890">
        <f>IF(周转筐出入库明细!$C891="",0,1)</f>
        <v>0</v>
      </c>
      <c r="CQ2890">
        <f t="shared" si="648"/>
        <v>108</v>
      </c>
    </row>
    <row r="2891" spans="94:95">
      <c r="CP2891">
        <f>IF(周转筐出入库明细!$C892="",0,1)</f>
        <v>0</v>
      </c>
      <c r="CQ2891">
        <f t="shared" si="648"/>
        <v>108</v>
      </c>
    </row>
    <row r="2892" spans="94:95">
      <c r="CP2892">
        <f>IF(周转筐出入库明细!$C893="",0,1)</f>
        <v>0</v>
      </c>
      <c r="CQ2892">
        <f t="shared" si="648"/>
        <v>108</v>
      </c>
    </row>
    <row r="2893" spans="94:95">
      <c r="CP2893">
        <f>IF(周转筐出入库明细!$C894="",0,1)</f>
        <v>0</v>
      </c>
      <c r="CQ2893">
        <f t="shared" si="648"/>
        <v>108</v>
      </c>
    </row>
    <row r="2894" spans="94:95">
      <c r="CP2894">
        <f>IF(周转筐出入库明细!$C895="",0,1)</f>
        <v>0</v>
      </c>
      <c r="CQ2894">
        <f t="shared" si="648"/>
        <v>108</v>
      </c>
    </row>
    <row r="2895" spans="94:95">
      <c r="CP2895">
        <f>IF(周转筐出入库明细!$C896="",0,1)</f>
        <v>0</v>
      </c>
      <c r="CQ2895">
        <f t="shared" si="648"/>
        <v>108</v>
      </c>
    </row>
    <row r="2896" spans="94:95">
      <c r="CP2896">
        <f>IF(周转筐出入库明细!$C897="",0,1)</f>
        <v>0</v>
      </c>
      <c r="CQ2896">
        <f t="shared" si="648"/>
        <v>108</v>
      </c>
    </row>
    <row r="2897" spans="94:95">
      <c r="CP2897">
        <f>IF(周转筐出入库明细!$C898="",0,1)</f>
        <v>0</v>
      </c>
      <c r="CQ2897">
        <f t="shared" si="648"/>
        <v>108</v>
      </c>
    </row>
    <row r="2898" spans="94:95">
      <c r="CP2898">
        <f>IF(周转筐出入库明细!$C899="",0,1)</f>
        <v>0</v>
      </c>
      <c r="CQ2898">
        <f t="shared" si="648"/>
        <v>108</v>
      </c>
    </row>
    <row r="2899" spans="94:95">
      <c r="CP2899">
        <f>IF(周转筐出入库明细!$C900="",0,1)</f>
        <v>0</v>
      </c>
      <c r="CQ2899">
        <f t="shared" si="648"/>
        <v>108</v>
      </c>
    </row>
    <row r="2900" spans="94:95">
      <c r="CP2900">
        <f>IF(周转筐出入库明细!$C901="",0,1)</f>
        <v>0</v>
      </c>
      <c r="CQ2900">
        <f t="shared" si="648"/>
        <v>108</v>
      </c>
    </row>
    <row r="2901" spans="94:95">
      <c r="CP2901">
        <f>IF(周转筐出入库明细!$C902="",0,1)</f>
        <v>0</v>
      </c>
      <c r="CQ2901">
        <f t="shared" si="648"/>
        <v>108</v>
      </c>
    </row>
    <row r="2902" spans="94:95">
      <c r="CP2902">
        <f>IF(周转筐出入库明细!$C903="",0,1)</f>
        <v>0</v>
      </c>
      <c r="CQ2902">
        <f t="shared" si="648"/>
        <v>108</v>
      </c>
    </row>
    <row r="2903" spans="94:95">
      <c r="CP2903">
        <f>IF(周转筐出入库明细!$C904="",0,1)</f>
        <v>0</v>
      </c>
      <c r="CQ2903">
        <f t="shared" si="648"/>
        <v>108</v>
      </c>
    </row>
    <row r="2904" spans="94:95">
      <c r="CP2904">
        <f>IF(周转筐出入库明细!$C905="",0,1)</f>
        <v>0</v>
      </c>
      <c r="CQ2904">
        <f t="shared" si="648"/>
        <v>108</v>
      </c>
    </row>
    <row r="2905" spans="94:95">
      <c r="CP2905">
        <f>IF(周转筐出入库明细!$C906="",0,1)</f>
        <v>0</v>
      </c>
      <c r="CQ2905">
        <f t="shared" si="648"/>
        <v>108</v>
      </c>
    </row>
    <row r="2906" spans="94:95">
      <c r="CP2906">
        <f>IF(周转筐出入库明细!$C907="",0,1)</f>
        <v>0</v>
      </c>
      <c r="CQ2906">
        <f t="shared" si="648"/>
        <v>108</v>
      </c>
    </row>
    <row r="2907" spans="94:95">
      <c r="CP2907">
        <f>IF(周转筐出入库明细!$C908="",0,1)</f>
        <v>0</v>
      </c>
      <c r="CQ2907">
        <f t="shared" si="648"/>
        <v>108</v>
      </c>
    </row>
    <row r="2908" spans="94:95">
      <c r="CP2908">
        <f>IF(周转筐出入库明细!$C909="",0,1)</f>
        <v>0</v>
      </c>
      <c r="CQ2908">
        <f t="shared" si="648"/>
        <v>108</v>
      </c>
    </row>
    <row r="2909" spans="94:95">
      <c r="CP2909">
        <f>IF(周转筐出入库明细!$C910="",0,1)</f>
        <v>0</v>
      </c>
      <c r="CQ2909">
        <f t="shared" si="648"/>
        <v>108</v>
      </c>
    </row>
    <row r="2910" spans="94:95">
      <c r="CP2910">
        <f>IF(周转筐出入库明细!$C911="",0,1)</f>
        <v>0</v>
      </c>
      <c r="CQ2910">
        <f t="shared" si="648"/>
        <v>108</v>
      </c>
    </row>
    <row r="2911" spans="94:95">
      <c r="CP2911">
        <f>IF(周转筐出入库明细!$C912="",0,1)</f>
        <v>0</v>
      </c>
      <c r="CQ2911">
        <f t="shared" si="648"/>
        <v>108</v>
      </c>
    </row>
    <row r="2912" spans="94:95">
      <c r="CP2912">
        <f>IF(周转筐出入库明细!$C913="",0,1)</f>
        <v>0</v>
      </c>
      <c r="CQ2912">
        <f t="shared" si="648"/>
        <v>108</v>
      </c>
    </row>
    <row r="2913" spans="94:95">
      <c r="CP2913">
        <f>IF(周转筐出入库明细!$C914="",0,1)</f>
        <v>0</v>
      </c>
      <c r="CQ2913">
        <f t="shared" si="648"/>
        <v>108</v>
      </c>
    </row>
    <row r="2914" spans="94:95">
      <c r="CP2914">
        <f>IF(周转筐出入库明细!$C915="",0,1)</f>
        <v>0</v>
      </c>
      <c r="CQ2914">
        <f t="shared" si="648"/>
        <v>108</v>
      </c>
    </row>
    <row r="2915" spans="94:95">
      <c r="CP2915">
        <f>IF(周转筐出入库明细!$C916="",0,1)</f>
        <v>0</v>
      </c>
      <c r="CQ2915">
        <f t="shared" si="648"/>
        <v>108</v>
      </c>
    </row>
    <row r="2916" spans="94:95">
      <c r="CP2916">
        <f>IF(周转筐出入库明细!$C917="",0,1)</f>
        <v>0</v>
      </c>
      <c r="CQ2916">
        <f t="shared" si="648"/>
        <v>108</v>
      </c>
    </row>
    <row r="2917" spans="94:95">
      <c r="CP2917">
        <f>IF(周转筐出入库明细!$C918="",0,1)</f>
        <v>0</v>
      </c>
      <c r="CQ2917">
        <f t="shared" si="648"/>
        <v>108</v>
      </c>
    </row>
    <row r="2918" spans="94:95">
      <c r="CP2918">
        <f>IF(周转筐出入库明细!$C919="",0,1)</f>
        <v>0</v>
      </c>
      <c r="CQ2918">
        <f t="shared" si="648"/>
        <v>108</v>
      </c>
    </row>
    <row r="2919" spans="94:95">
      <c r="CP2919">
        <f>IF(周转筐出入库明细!$C920="",0,1)</f>
        <v>0</v>
      </c>
      <c r="CQ2919">
        <f t="shared" si="648"/>
        <v>108</v>
      </c>
    </row>
    <row r="2920" spans="94:95">
      <c r="CP2920">
        <f>IF(周转筐出入库明细!$C921="",0,1)</f>
        <v>0</v>
      </c>
      <c r="CQ2920">
        <f t="shared" si="648"/>
        <v>108</v>
      </c>
    </row>
    <row r="2921" spans="94:95">
      <c r="CP2921">
        <f>IF(周转筐出入库明细!$C922="",0,1)</f>
        <v>0</v>
      </c>
      <c r="CQ2921">
        <f t="shared" si="648"/>
        <v>108</v>
      </c>
    </row>
    <row r="2922" spans="94:95">
      <c r="CP2922">
        <f>IF(周转筐出入库明细!$C923="",0,1)</f>
        <v>0</v>
      </c>
      <c r="CQ2922">
        <f t="shared" si="648"/>
        <v>108</v>
      </c>
    </row>
    <row r="2923" spans="94:95">
      <c r="CP2923">
        <f>IF(周转筐出入库明细!$C924="",0,1)</f>
        <v>0</v>
      </c>
      <c r="CQ2923">
        <f t="shared" si="648"/>
        <v>108</v>
      </c>
    </row>
    <row r="2924" spans="94:95">
      <c r="CP2924">
        <f>IF(周转筐出入库明细!$C925="",0,1)</f>
        <v>0</v>
      </c>
      <c r="CQ2924">
        <f t="shared" si="648"/>
        <v>108</v>
      </c>
    </row>
    <row r="2925" spans="94:95">
      <c r="CP2925">
        <f>IF(周转筐出入库明细!$C926="",0,1)</f>
        <v>0</v>
      </c>
      <c r="CQ2925">
        <f t="shared" si="648"/>
        <v>108</v>
      </c>
    </row>
    <row r="2926" spans="94:95">
      <c r="CP2926">
        <f>IF(周转筐出入库明细!$C927="",0,1)</f>
        <v>0</v>
      </c>
      <c r="CQ2926">
        <f t="shared" si="648"/>
        <v>108</v>
      </c>
    </row>
    <row r="2927" spans="94:95">
      <c r="CP2927">
        <f>IF(周转筐出入库明细!$C928="",0,1)</f>
        <v>0</v>
      </c>
      <c r="CQ2927">
        <f t="shared" si="648"/>
        <v>108</v>
      </c>
    </row>
    <row r="2928" spans="94:95">
      <c r="CP2928">
        <f>IF(周转筐出入库明细!$C929="",0,1)</f>
        <v>0</v>
      </c>
      <c r="CQ2928">
        <f t="shared" si="648"/>
        <v>108</v>
      </c>
    </row>
    <row r="2929" spans="94:95">
      <c r="CP2929">
        <f>IF(周转筐出入库明细!$C930="",0,1)</f>
        <v>0</v>
      </c>
      <c r="CQ2929">
        <f t="shared" si="648"/>
        <v>108</v>
      </c>
    </row>
    <row r="2930" spans="94:95">
      <c r="CP2930">
        <f>IF(周转筐出入库明细!$C931="",0,1)</f>
        <v>0</v>
      </c>
      <c r="CQ2930">
        <f t="shared" si="648"/>
        <v>108</v>
      </c>
    </row>
    <row r="2931" spans="94:95">
      <c r="CP2931">
        <f>IF(周转筐出入库明细!$C932="",0,1)</f>
        <v>0</v>
      </c>
      <c r="CQ2931">
        <f t="shared" si="648"/>
        <v>108</v>
      </c>
    </row>
    <row r="2932" spans="94:95">
      <c r="CP2932">
        <f>IF(周转筐出入库明细!$C933="",0,1)</f>
        <v>0</v>
      </c>
      <c r="CQ2932">
        <f t="shared" si="648"/>
        <v>108</v>
      </c>
    </row>
    <row r="2933" spans="94:95">
      <c r="CP2933">
        <f>IF(周转筐出入库明细!$C934="",0,1)</f>
        <v>0</v>
      </c>
      <c r="CQ2933">
        <f t="shared" si="648"/>
        <v>108</v>
      </c>
    </row>
    <row r="2934" spans="94:95">
      <c r="CP2934">
        <f>IF(周转筐出入库明细!$C935="",0,1)</f>
        <v>0</v>
      </c>
      <c r="CQ2934">
        <f t="shared" si="648"/>
        <v>108</v>
      </c>
    </row>
    <row r="2935" spans="94:95">
      <c r="CP2935">
        <f>IF(周转筐出入库明细!$C936="",0,1)</f>
        <v>0</v>
      </c>
      <c r="CQ2935">
        <f t="shared" si="648"/>
        <v>108</v>
      </c>
    </row>
    <row r="2936" spans="94:95">
      <c r="CP2936">
        <f>IF(周转筐出入库明细!$C937="",0,1)</f>
        <v>0</v>
      </c>
      <c r="CQ2936">
        <f t="shared" si="648"/>
        <v>108</v>
      </c>
    </row>
    <row r="2937" spans="94:95">
      <c r="CP2937">
        <f>IF(周转筐出入库明细!$C938="",0,1)</f>
        <v>0</v>
      </c>
      <c r="CQ2937">
        <f t="shared" si="648"/>
        <v>108</v>
      </c>
    </row>
    <row r="2938" spans="94:95">
      <c r="CP2938">
        <f>IF(周转筐出入库明细!$C939="",0,1)</f>
        <v>0</v>
      </c>
      <c r="CQ2938">
        <f t="shared" si="648"/>
        <v>108</v>
      </c>
    </row>
    <row r="2939" spans="94:95">
      <c r="CP2939">
        <f>IF(周转筐出入库明细!$C940="",0,1)</f>
        <v>0</v>
      </c>
      <c r="CQ2939">
        <f t="shared" si="648"/>
        <v>108</v>
      </c>
    </row>
    <row r="2940" spans="94:95">
      <c r="CP2940">
        <f>IF(周转筐出入库明细!$C941="",0,1)</f>
        <v>0</v>
      </c>
      <c r="CQ2940">
        <f t="shared" si="648"/>
        <v>108</v>
      </c>
    </row>
    <row r="2941" spans="94:95">
      <c r="CP2941">
        <f>IF(周转筐出入库明细!$C942="",0,1)</f>
        <v>0</v>
      </c>
      <c r="CQ2941">
        <f t="shared" si="648"/>
        <v>108</v>
      </c>
    </row>
    <row r="2942" spans="94:95">
      <c r="CP2942">
        <f>IF(周转筐出入库明细!$C943="",0,1)</f>
        <v>0</v>
      </c>
      <c r="CQ2942">
        <f t="shared" si="648"/>
        <v>108</v>
      </c>
    </row>
    <row r="2943" spans="94:95">
      <c r="CP2943">
        <f>IF(周转筐出入库明细!$C944="",0,1)</f>
        <v>0</v>
      </c>
      <c r="CQ2943">
        <f t="shared" si="648"/>
        <v>108</v>
      </c>
    </row>
    <row r="2944" spans="94:95">
      <c r="CP2944">
        <f>IF(周转筐出入库明细!$C945="",0,1)</f>
        <v>0</v>
      </c>
      <c r="CQ2944">
        <f t="shared" si="648"/>
        <v>108</v>
      </c>
    </row>
    <row r="2945" spans="94:95">
      <c r="CP2945">
        <f>IF(周转筐出入库明细!$C946="",0,1)</f>
        <v>0</v>
      </c>
      <c r="CQ2945">
        <f t="shared" si="648"/>
        <v>108</v>
      </c>
    </row>
    <row r="2946" spans="94:95">
      <c r="CP2946">
        <f>IF(周转筐出入库明细!$C947="",0,1)</f>
        <v>0</v>
      </c>
      <c r="CQ2946">
        <f t="shared" si="648"/>
        <v>108</v>
      </c>
    </row>
    <row r="2947" spans="94:95">
      <c r="CP2947">
        <f>IF(周转筐出入库明细!$C948="",0,1)</f>
        <v>0</v>
      </c>
      <c r="CQ2947">
        <f t="shared" si="648"/>
        <v>108</v>
      </c>
    </row>
    <row r="2948" spans="94:95">
      <c r="CP2948">
        <f>IF(周转筐出入库明细!$C949="",0,1)</f>
        <v>0</v>
      </c>
      <c r="CQ2948">
        <f t="shared" ref="CQ2948:CQ3011" si="649">N(CQ2947)+$CP2948</f>
        <v>108</v>
      </c>
    </row>
    <row r="2949" spans="94:95">
      <c r="CP2949">
        <f>IF(周转筐出入库明细!$C950="",0,1)</f>
        <v>0</v>
      </c>
      <c r="CQ2949">
        <f t="shared" si="649"/>
        <v>108</v>
      </c>
    </row>
    <row r="2950" spans="94:95">
      <c r="CP2950">
        <f>IF(周转筐出入库明细!$C951="",0,1)</f>
        <v>0</v>
      </c>
      <c r="CQ2950">
        <f t="shared" si="649"/>
        <v>108</v>
      </c>
    </row>
    <row r="2951" spans="94:95">
      <c r="CP2951">
        <f>IF(周转筐出入库明细!$C952="",0,1)</f>
        <v>0</v>
      </c>
      <c r="CQ2951">
        <f t="shared" si="649"/>
        <v>108</v>
      </c>
    </row>
    <row r="2952" spans="94:95">
      <c r="CP2952">
        <f>IF(周转筐出入库明细!$C953="",0,1)</f>
        <v>0</v>
      </c>
      <c r="CQ2952">
        <f t="shared" si="649"/>
        <v>108</v>
      </c>
    </row>
    <row r="2953" spans="94:95">
      <c r="CP2953">
        <f>IF(周转筐出入库明细!$C954="",0,1)</f>
        <v>0</v>
      </c>
      <c r="CQ2953">
        <f t="shared" si="649"/>
        <v>108</v>
      </c>
    </row>
    <row r="2954" spans="94:95">
      <c r="CP2954">
        <f>IF(周转筐出入库明细!$C955="",0,1)</f>
        <v>0</v>
      </c>
      <c r="CQ2954">
        <f t="shared" si="649"/>
        <v>108</v>
      </c>
    </row>
    <row r="2955" spans="94:95">
      <c r="CP2955">
        <f>IF(周转筐出入库明细!$C956="",0,1)</f>
        <v>0</v>
      </c>
      <c r="CQ2955">
        <f t="shared" si="649"/>
        <v>108</v>
      </c>
    </row>
    <row r="2956" spans="94:95">
      <c r="CP2956">
        <f>IF(周转筐出入库明细!$C957="",0,1)</f>
        <v>0</v>
      </c>
      <c r="CQ2956">
        <f t="shared" si="649"/>
        <v>108</v>
      </c>
    </row>
    <row r="2957" spans="94:95">
      <c r="CP2957">
        <f>IF(周转筐出入库明细!$C958="",0,1)</f>
        <v>0</v>
      </c>
      <c r="CQ2957">
        <f t="shared" si="649"/>
        <v>108</v>
      </c>
    </row>
    <row r="2958" spans="94:95">
      <c r="CP2958">
        <f>IF(周转筐出入库明细!$C959="",0,1)</f>
        <v>0</v>
      </c>
      <c r="CQ2958">
        <f t="shared" si="649"/>
        <v>108</v>
      </c>
    </row>
    <row r="2959" spans="94:95">
      <c r="CP2959">
        <f>IF(周转筐出入库明细!$C960="",0,1)</f>
        <v>0</v>
      </c>
      <c r="CQ2959">
        <f t="shared" si="649"/>
        <v>108</v>
      </c>
    </row>
    <row r="2960" spans="94:95">
      <c r="CP2960">
        <f>IF(周转筐出入库明细!$C961="",0,1)</f>
        <v>0</v>
      </c>
      <c r="CQ2960">
        <f t="shared" si="649"/>
        <v>108</v>
      </c>
    </row>
    <row r="2961" spans="94:95">
      <c r="CP2961">
        <f>IF(周转筐出入库明细!$C962="",0,1)</f>
        <v>0</v>
      </c>
      <c r="CQ2961">
        <f t="shared" si="649"/>
        <v>108</v>
      </c>
    </row>
    <row r="2962" spans="94:95">
      <c r="CP2962">
        <f>IF(周转筐出入库明细!$C963="",0,1)</f>
        <v>0</v>
      </c>
      <c r="CQ2962">
        <f t="shared" si="649"/>
        <v>108</v>
      </c>
    </row>
    <row r="2963" spans="94:95">
      <c r="CP2963">
        <f>IF(周转筐出入库明细!$C964="",0,1)</f>
        <v>0</v>
      </c>
      <c r="CQ2963">
        <f t="shared" si="649"/>
        <v>108</v>
      </c>
    </row>
    <row r="2964" spans="94:95">
      <c r="CP2964">
        <f>IF(周转筐出入库明细!$C965="",0,1)</f>
        <v>0</v>
      </c>
      <c r="CQ2964">
        <f t="shared" si="649"/>
        <v>108</v>
      </c>
    </row>
    <row r="2965" spans="94:95">
      <c r="CP2965">
        <f>IF(周转筐出入库明细!$C966="",0,1)</f>
        <v>0</v>
      </c>
      <c r="CQ2965">
        <f t="shared" si="649"/>
        <v>108</v>
      </c>
    </row>
    <row r="2966" spans="94:95">
      <c r="CP2966">
        <f>IF(周转筐出入库明细!$C967="",0,1)</f>
        <v>0</v>
      </c>
      <c r="CQ2966">
        <f t="shared" si="649"/>
        <v>108</v>
      </c>
    </row>
    <row r="2967" spans="94:95">
      <c r="CP2967">
        <f>IF(周转筐出入库明细!$C968="",0,1)</f>
        <v>0</v>
      </c>
      <c r="CQ2967">
        <f t="shared" si="649"/>
        <v>108</v>
      </c>
    </row>
    <row r="2968" spans="94:95">
      <c r="CP2968">
        <f>IF(周转筐出入库明细!$C969="",0,1)</f>
        <v>0</v>
      </c>
      <c r="CQ2968">
        <f t="shared" si="649"/>
        <v>108</v>
      </c>
    </row>
    <row r="2969" spans="94:95">
      <c r="CP2969">
        <f>IF(周转筐出入库明细!$C970="",0,1)</f>
        <v>0</v>
      </c>
      <c r="CQ2969">
        <f t="shared" si="649"/>
        <v>108</v>
      </c>
    </row>
    <row r="2970" spans="94:95">
      <c r="CP2970">
        <f>IF(周转筐出入库明细!$C971="",0,1)</f>
        <v>0</v>
      </c>
      <c r="CQ2970">
        <f t="shared" si="649"/>
        <v>108</v>
      </c>
    </row>
    <row r="2971" spans="94:95">
      <c r="CP2971">
        <f>IF(周转筐出入库明细!$C972="",0,1)</f>
        <v>0</v>
      </c>
      <c r="CQ2971">
        <f t="shared" si="649"/>
        <v>108</v>
      </c>
    </row>
    <row r="2972" spans="94:95">
      <c r="CP2972">
        <f>IF(周转筐出入库明细!$C973="",0,1)</f>
        <v>0</v>
      </c>
      <c r="CQ2972">
        <f t="shared" si="649"/>
        <v>108</v>
      </c>
    </row>
    <row r="2973" spans="94:95">
      <c r="CP2973">
        <f>IF(周转筐出入库明细!$C974="",0,1)</f>
        <v>0</v>
      </c>
      <c r="CQ2973">
        <f t="shared" si="649"/>
        <v>108</v>
      </c>
    </row>
    <row r="2974" spans="94:95">
      <c r="CP2974">
        <f>IF(周转筐出入库明细!$C975="",0,1)</f>
        <v>0</v>
      </c>
      <c r="CQ2974">
        <f t="shared" si="649"/>
        <v>108</v>
      </c>
    </row>
    <row r="2975" spans="94:95">
      <c r="CP2975">
        <f>IF(周转筐出入库明细!$C976="",0,1)</f>
        <v>0</v>
      </c>
      <c r="CQ2975">
        <f t="shared" si="649"/>
        <v>108</v>
      </c>
    </row>
    <row r="2976" spans="94:95">
      <c r="CP2976">
        <f>IF(周转筐出入库明细!$C977="",0,1)</f>
        <v>0</v>
      </c>
      <c r="CQ2976">
        <f t="shared" si="649"/>
        <v>108</v>
      </c>
    </row>
    <row r="2977" spans="94:95">
      <c r="CP2977">
        <f>IF(周转筐出入库明细!$C978="",0,1)</f>
        <v>0</v>
      </c>
      <c r="CQ2977">
        <f t="shared" si="649"/>
        <v>108</v>
      </c>
    </row>
    <row r="2978" spans="94:95">
      <c r="CP2978">
        <f>IF(周转筐出入库明细!$C979="",0,1)</f>
        <v>0</v>
      </c>
      <c r="CQ2978">
        <f t="shared" si="649"/>
        <v>108</v>
      </c>
    </row>
    <row r="2979" spans="94:95">
      <c r="CP2979">
        <f>IF(周转筐出入库明细!$C980="",0,1)</f>
        <v>0</v>
      </c>
      <c r="CQ2979">
        <f t="shared" si="649"/>
        <v>108</v>
      </c>
    </row>
    <row r="2980" spans="94:95">
      <c r="CP2980">
        <f>IF(周转筐出入库明细!$C981="",0,1)</f>
        <v>0</v>
      </c>
      <c r="CQ2980">
        <f t="shared" si="649"/>
        <v>108</v>
      </c>
    </row>
    <row r="2981" spans="94:95">
      <c r="CP2981">
        <f>IF(周转筐出入库明细!$C982="",0,1)</f>
        <v>0</v>
      </c>
      <c r="CQ2981">
        <f t="shared" si="649"/>
        <v>108</v>
      </c>
    </row>
    <row r="2982" spans="94:95">
      <c r="CP2982">
        <f>IF(周转筐出入库明细!$C983="",0,1)</f>
        <v>0</v>
      </c>
      <c r="CQ2982">
        <f t="shared" si="649"/>
        <v>108</v>
      </c>
    </row>
    <row r="2983" spans="94:95">
      <c r="CP2983">
        <f>IF(周转筐出入库明细!$C984="",0,1)</f>
        <v>0</v>
      </c>
      <c r="CQ2983">
        <f t="shared" si="649"/>
        <v>108</v>
      </c>
    </row>
    <row r="2984" spans="94:95">
      <c r="CP2984">
        <f>IF(周转筐出入库明细!$C985="",0,1)</f>
        <v>0</v>
      </c>
      <c r="CQ2984">
        <f t="shared" si="649"/>
        <v>108</v>
      </c>
    </row>
    <row r="2985" spans="94:95">
      <c r="CP2985">
        <f>IF(周转筐出入库明细!$C986="",0,1)</f>
        <v>0</v>
      </c>
      <c r="CQ2985">
        <f t="shared" si="649"/>
        <v>108</v>
      </c>
    </row>
    <row r="2986" spans="94:95">
      <c r="CP2986">
        <f>IF(周转筐出入库明细!$C987="",0,1)</f>
        <v>0</v>
      </c>
      <c r="CQ2986">
        <f t="shared" si="649"/>
        <v>108</v>
      </c>
    </row>
    <row r="2987" spans="94:95">
      <c r="CP2987">
        <f>IF(周转筐出入库明细!$C988="",0,1)</f>
        <v>0</v>
      </c>
      <c r="CQ2987">
        <f t="shared" si="649"/>
        <v>108</v>
      </c>
    </row>
    <row r="2988" spans="94:95">
      <c r="CP2988">
        <f>IF(周转筐出入库明细!$C989="",0,1)</f>
        <v>0</v>
      </c>
      <c r="CQ2988">
        <f t="shared" si="649"/>
        <v>108</v>
      </c>
    </row>
    <row r="2989" spans="94:95">
      <c r="CP2989">
        <f>IF(周转筐出入库明细!$C990="",0,1)</f>
        <v>0</v>
      </c>
      <c r="CQ2989">
        <f t="shared" si="649"/>
        <v>108</v>
      </c>
    </row>
    <row r="2990" spans="94:95">
      <c r="CP2990">
        <f>IF(周转筐出入库明细!$C991="",0,1)</f>
        <v>0</v>
      </c>
      <c r="CQ2990">
        <f t="shared" si="649"/>
        <v>108</v>
      </c>
    </row>
    <row r="2991" spans="94:95">
      <c r="CP2991">
        <f>IF(周转筐出入库明细!$C992="",0,1)</f>
        <v>0</v>
      </c>
      <c r="CQ2991">
        <f t="shared" si="649"/>
        <v>108</v>
      </c>
    </row>
    <row r="2992" spans="94:95">
      <c r="CP2992">
        <f>IF(周转筐出入库明细!$C993="",0,1)</f>
        <v>0</v>
      </c>
      <c r="CQ2992">
        <f t="shared" si="649"/>
        <v>108</v>
      </c>
    </row>
    <row r="2993" spans="94:95">
      <c r="CP2993">
        <f>IF(周转筐出入库明细!$C994="",0,1)</f>
        <v>0</v>
      </c>
      <c r="CQ2993">
        <f t="shared" si="649"/>
        <v>108</v>
      </c>
    </row>
    <row r="2994" spans="94:95">
      <c r="CP2994">
        <f>IF(周转筐出入库明细!$C995="",0,1)</f>
        <v>0</v>
      </c>
      <c r="CQ2994">
        <f t="shared" si="649"/>
        <v>108</v>
      </c>
    </row>
    <row r="2995" spans="94:95">
      <c r="CP2995">
        <f>IF(周转筐出入库明细!$C996="",0,1)</f>
        <v>0</v>
      </c>
      <c r="CQ2995">
        <f t="shared" si="649"/>
        <v>108</v>
      </c>
    </row>
    <row r="2996" spans="94:95">
      <c r="CP2996">
        <f>IF(周转筐出入库明细!$C997="",0,1)</f>
        <v>0</v>
      </c>
      <c r="CQ2996">
        <f t="shared" si="649"/>
        <v>108</v>
      </c>
    </row>
    <row r="2997" spans="94:95">
      <c r="CP2997">
        <f>IF(周转筐出入库明细!$C998="",0,1)</f>
        <v>0</v>
      </c>
      <c r="CQ2997">
        <f t="shared" si="649"/>
        <v>108</v>
      </c>
    </row>
    <row r="2998" spans="94:95">
      <c r="CP2998">
        <f>IF(周转筐出入库明细!$C999="",0,1)</f>
        <v>0</v>
      </c>
      <c r="CQ2998">
        <f t="shared" si="649"/>
        <v>108</v>
      </c>
    </row>
    <row r="2999" spans="94:95">
      <c r="CP2999">
        <f>IF(周转筐出入库明细!$C1000="",0,1)</f>
        <v>0</v>
      </c>
      <c r="CQ2999">
        <f t="shared" si="649"/>
        <v>108</v>
      </c>
    </row>
    <row r="3000" spans="94:95">
      <c r="CP3000">
        <f>IF(周转筐出入库明细!$C1001="",0,1)</f>
        <v>0</v>
      </c>
      <c r="CQ3000">
        <f t="shared" si="649"/>
        <v>108</v>
      </c>
    </row>
    <row r="3001" spans="94:95">
      <c r="CP3001">
        <f>IF(周转筐出入库明细!$C1002="",0,1)</f>
        <v>0</v>
      </c>
      <c r="CQ3001">
        <f t="shared" si="649"/>
        <v>108</v>
      </c>
    </row>
    <row r="3002" spans="94:95">
      <c r="CP3002">
        <f>IF(周转筐出入库明细!$C1003="",0,1)</f>
        <v>0</v>
      </c>
      <c r="CQ3002">
        <f t="shared" si="649"/>
        <v>108</v>
      </c>
    </row>
    <row r="3003" spans="94:95">
      <c r="CP3003">
        <f>IF(周转筐出入库明细!$C1004="",0,1)</f>
        <v>0</v>
      </c>
      <c r="CQ3003">
        <f t="shared" si="649"/>
        <v>108</v>
      </c>
    </row>
    <row r="3004" spans="94:95">
      <c r="CP3004">
        <f>IF(周转筐出入库明细!$C1005="",0,1)</f>
        <v>0</v>
      </c>
      <c r="CQ3004">
        <f t="shared" si="649"/>
        <v>108</v>
      </c>
    </row>
    <row r="3005" spans="94:95">
      <c r="CP3005">
        <f>IF(周转筐出入库明细!$C1006="",0,1)</f>
        <v>0</v>
      </c>
      <c r="CQ3005">
        <f t="shared" si="649"/>
        <v>108</v>
      </c>
    </row>
    <row r="3006" spans="94:95">
      <c r="CP3006">
        <f>IF(周转筐出入库明细!$C1007="",0,1)</f>
        <v>0</v>
      </c>
      <c r="CQ3006">
        <f t="shared" si="649"/>
        <v>108</v>
      </c>
    </row>
    <row r="3007" spans="94:95">
      <c r="CP3007">
        <f>IF(周转筐出入库明细!$C1008="",0,1)</f>
        <v>0</v>
      </c>
      <c r="CQ3007">
        <f t="shared" si="649"/>
        <v>108</v>
      </c>
    </row>
    <row r="3008" spans="94:95">
      <c r="CP3008">
        <f>IF(周转筐出入库明细!$C1009="",0,1)</f>
        <v>0</v>
      </c>
      <c r="CQ3008">
        <f t="shared" si="649"/>
        <v>108</v>
      </c>
    </row>
    <row r="3009" spans="94:95">
      <c r="CP3009">
        <f>IF(周转筐出入库明细!$C1010="",0,1)</f>
        <v>0</v>
      </c>
      <c r="CQ3009">
        <f t="shared" si="649"/>
        <v>108</v>
      </c>
    </row>
    <row r="3010" spans="94:95">
      <c r="CP3010">
        <f>IF(周转筐出入库明细!$C1011="",0,1)</f>
        <v>0</v>
      </c>
      <c r="CQ3010">
        <f t="shared" si="649"/>
        <v>108</v>
      </c>
    </row>
    <row r="3011" spans="94:95">
      <c r="CP3011">
        <f>IF(周转筐出入库明细!$C1012="",0,1)</f>
        <v>0</v>
      </c>
      <c r="CQ3011">
        <f t="shared" si="649"/>
        <v>108</v>
      </c>
    </row>
    <row r="3012" spans="94:95">
      <c r="CP3012">
        <f>IF(周转筐出入库明细!$C1013="",0,1)</f>
        <v>0</v>
      </c>
      <c r="CQ3012">
        <f t="shared" ref="CQ3012:CQ3075" si="650">N(CQ3011)+$CP3012</f>
        <v>108</v>
      </c>
    </row>
    <row r="3013" spans="94:95">
      <c r="CP3013">
        <f>IF(周转筐出入库明细!$C1014="",0,1)</f>
        <v>0</v>
      </c>
      <c r="CQ3013">
        <f t="shared" si="650"/>
        <v>108</v>
      </c>
    </row>
    <row r="3014" spans="94:95">
      <c r="CP3014">
        <f>IF(周转筐出入库明细!$C1015="",0,1)</f>
        <v>0</v>
      </c>
      <c r="CQ3014">
        <f t="shared" si="650"/>
        <v>108</v>
      </c>
    </row>
    <row r="3015" spans="94:95">
      <c r="CP3015">
        <f>IF(周转筐出入库明细!$C1016="",0,1)</f>
        <v>0</v>
      </c>
      <c r="CQ3015">
        <f t="shared" si="650"/>
        <v>108</v>
      </c>
    </row>
    <row r="3016" spans="94:95">
      <c r="CP3016">
        <f>IF(周转筐出入库明细!$C1017="",0,1)</f>
        <v>0</v>
      </c>
      <c r="CQ3016">
        <f t="shared" si="650"/>
        <v>108</v>
      </c>
    </row>
    <row r="3017" spans="94:95">
      <c r="CP3017">
        <f>IF(周转筐出入库明细!$C1018="",0,1)</f>
        <v>0</v>
      </c>
      <c r="CQ3017">
        <f t="shared" si="650"/>
        <v>108</v>
      </c>
    </row>
    <row r="3018" spans="94:95">
      <c r="CP3018">
        <f>IF(周转筐出入库明细!$C1019="",0,1)</f>
        <v>0</v>
      </c>
      <c r="CQ3018">
        <f t="shared" si="650"/>
        <v>108</v>
      </c>
    </row>
    <row r="3019" spans="94:95">
      <c r="CP3019">
        <f>IF(周转筐出入库明细!$C1020="",0,1)</f>
        <v>0</v>
      </c>
      <c r="CQ3019">
        <f t="shared" si="650"/>
        <v>108</v>
      </c>
    </row>
    <row r="3020" spans="94:95">
      <c r="CP3020">
        <f>IF(周转筐出入库明细!$C1021="",0,1)</f>
        <v>0</v>
      </c>
      <c r="CQ3020">
        <f t="shared" si="650"/>
        <v>108</v>
      </c>
    </row>
    <row r="3021" spans="94:95">
      <c r="CP3021">
        <f>IF(周转筐出入库明细!$C1022="",0,1)</f>
        <v>0</v>
      </c>
      <c r="CQ3021">
        <f t="shared" si="650"/>
        <v>108</v>
      </c>
    </row>
    <row r="3022" spans="94:95">
      <c r="CP3022">
        <f>IF(周转筐出入库明细!$C1023="",0,1)</f>
        <v>0</v>
      </c>
      <c r="CQ3022">
        <f t="shared" si="650"/>
        <v>108</v>
      </c>
    </row>
    <row r="3023" spans="94:95">
      <c r="CP3023">
        <f>IF(周转筐出入库明细!$C1024="",0,1)</f>
        <v>0</v>
      </c>
      <c r="CQ3023">
        <f t="shared" si="650"/>
        <v>108</v>
      </c>
    </row>
    <row r="3024" spans="94:95">
      <c r="CP3024">
        <f>IF(周转筐出入库明细!$C1025="",0,1)</f>
        <v>0</v>
      </c>
      <c r="CQ3024">
        <f t="shared" si="650"/>
        <v>108</v>
      </c>
    </row>
    <row r="3025" spans="94:95">
      <c r="CP3025">
        <f>IF(周转筐出入库明细!$C1026="",0,1)</f>
        <v>0</v>
      </c>
      <c r="CQ3025">
        <f t="shared" si="650"/>
        <v>108</v>
      </c>
    </row>
    <row r="3026" spans="94:95">
      <c r="CP3026">
        <f>IF(周转筐出入库明细!$C1027="",0,1)</f>
        <v>0</v>
      </c>
      <c r="CQ3026">
        <f t="shared" si="650"/>
        <v>108</v>
      </c>
    </row>
    <row r="3027" spans="94:95">
      <c r="CP3027">
        <f>IF(周转筐出入库明细!$C1028="",0,1)</f>
        <v>0</v>
      </c>
      <c r="CQ3027">
        <f t="shared" si="650"/>
        <v>108</v>
      </c>
    </row>
    <row r="3028" spans="94:95">
      <c r="CP3028">
        <f>IF(周转筐出入库明细!$C1029="",0,1)</f>
        <v>0</v>
      </c>
      <c r="CQ3028">
        <f t="shared" si="650"/>
        <v>108</v>
      </c>
    </row>
    <row r="3029" spans="94:95">
      <c r="CP3029">
        <f>IF(周转筐出入库明细!$C1030="",0,1)</f>
        <v>0</v>
      </c>
      <c r="CQ3029">
        <f t="shared" si="650"/>
        <v>108</v>
      </c>
    </row>
    <row r="3030" spans="94:95">
      <c r="CP3030">
        <f>IF(周转筐出入库明细!$C1031="",0,1)</f>
        <v>0</v>
      </c>
      <c r="CQ3030">
        <f t="shared" si="650"/>
        <v>108</v>
      </c>
    </row>
    <row r="3031" spans="94:95">
      <c r="CP3031">
        <f>IF(周转筐出入库明细!$C1032="",0,1)</f>
        <v>0</v>
      </c>
      <c r="CQ3031">
        <f t="shared" si="650"/>
        <v>108</v>
      </c>
    </row>
    <row r="3032" spans="94:95">
      <c r="CP3032">
        <f>IF(周转筐出入库明细!$C1033="",0,1)</f>
        <v>0</v>
      </c>
      <c r="CQ3032">
        <f t="shared" si="650"/>
        <v>108</v>
      </c>
    </row>
    <row r="3033" spans="94:95">
      <c r="CP3033">
        <f>IF(周转筐出入库明细!$C1034="",0,1)</f>
        <v>0</v>
      </c>
      <c r="CQ3033">
        <f t="shared" si="650"/>
        <v>108</v>
      </c>
    </row>
    <row r="3034" spans="94:95">
      <c r="CP3034">
        <f>IF(周转筐出入库明细!$C1035="",0,1)</f>
        <v>0</v>
      </c>
      <c r="CQ3034">
        <f t="shared" si="650"/>
        <v>108</v>
      </c>
    </row>
    <row r="3035" spans="94:95">
      <c r="CP3035">
        <f>IF(周转筐出入库明细!$C1036="",0,1)</f>
        <v>0</v>
      </c>
      <c r="CQ3035">
        <f t="shared" si="650"/>
        <v>108</v>
      </c>
    </row>
    <row r="3036" spans="94:95">
      <c r="CP3036">
        <f>IF(周转筐出入库明细!$C1037="",0,1)</f>
        <v>0</v>
      </c>
      <c r="CQ3036">
        <f t="shared" si="650"/>
        <v>108</v>
      </c>
    </row>
    <row r="3037" spans="94:95">
      <c r="CP3037">
        <f>IF(周转筐出入库明细!$C1038="",0,1)</f>
        <v>0</v>
      </c>
      <c r="CQ3037">
        <f t="shared" si="650"/>
        <v>108</v>
      </c>
    </row>
    <row r="3038" spans="94:95">
      <c r="CP3038">
        <f>IF(周转筐出入库明细!$C1039="",0,1)</f>
        <v>0</v>
      </c>
      <c r="CQ3038">
        <f t="shared" si="650"/>
        <v>108</v>
      </c>
    </row>
    <row r="3039" spans="94:95">
      <c r="CP3039">
        <f>IF(周转筐出入库明细!$C1040="",0,1)</f>
        <v>0</v>
      </c>
      <c r="CQ3039">
        <f t="shared" si="650"/>
        <v>108</v>
      </c>
    </row>
    <row r="3040" spans="94:95">
      <c r="CP3040">
        <f>IF(周转筐出入库明细!$C1041="",0,1)</f>
        <v>0</v>
      </c>
      <c r="CQ3040">
        <f t="shared" si="650"/>
        <v>108</v>
      </c>
    </row>
    <row r="3041" spans="94:95">
      <c r="CP3041">
        <f>IF(周转筐出入库明细!$C1042="",0,1)</f>
        <v>0</v>
      </c>
      <c r="CQ3041">
        <f t="shared" si="650"/>
        <v>108</v>
      </c>
    </row>
    <row r="3042" spans="94:95">
      <c r="CP3042">
        <f>IF(周转筐出入库明细!$C1043="",0,1)</f>
        <v>0</v>
      </c>
      <c r="CQ3042">
        <f t="shared" si="650"/>
        <v>108</v>
      </c>
    </row>
    <row r="3043" spans="94:95">
      <c r="CP3043">
        <f>IF(周转筐出入库明细!$C1044="",0,1)</f>
        <v>0</v>
      </c>
      <c r="CQ3043">
        <f t="shared" si="650"/>
        <v>108</v>
      </c>
    </row>
    <row r="3044" spans="94:95">
      <c r="CP3044">
        <f>IF(周转筐出入库明细!$C1045="",0,1)</f>
        <v>0</v>
      </c>
      <c r="CQ3044">
        <f t="shared" si="650"/>
        <v>108</v>
      </c>
    </row>
    <row r="3045" spans="94:95">
      <c r="CP3045">
        <f>IF(周转筐出入库明细!$C1046="",0,1)</f>
        <v>0</v>
      </c>
      <c r="CQ3045">
        <f t="shared" si="650"/>
        <v>108</v>
      </c>
    </row>
    <row r="3046" spans="94:95">
      <c r="CP3046">
        <f>IF(周转筐出入库明细!$C1047="",0,1)</f>
        <v>0</v>
      </c>
      <c r="CQ3046">
        <f t="shared" si="650"/>
        <v>108</v>
      </c>
    </row>
    <row r="3047" spans="94:95">
      <c r="CP3047">
        <f>IF(周转筐出入库明细!$C1048="",0,1)</f>
        <v>0</v>
      </c>
      <c r="CQ3047">
        <f t="shared" si="650"/>
        <v>108</v>
      </c>
    </row>
    <row r="3048" spans="94:95">
      <c r="CP3048">
        <f>IF(周转筐出入库明细!$C1049="",0,1)</f>
        <v>0</v>
      </c>
      <c r="CQ3048">
        <f t="shared" si="650"/>
        <v>108</v>
      </c>
    </row>
    <row r="3049" spans="94:95">
      <c r="CP3049">
        <f>IF(周转筐出入库明细!$C1050="",0,1)</f>
        <v>0</v>
      </c>
      <c r="CQ3049">
        <f t="shared" si="650"/>
        <v>108</v>
      </c>
    </row>
    <row r="3050" spans="94:95">
      <c r="CP3050">
        <f>IF(周转筐出入库明细!$C1051="",0,1)</f>
        <v>0</v>
      </c>
      <c r="CQ3050">
        <f t="shared" si="650"/>
        <v>108</v>
      </c>
    </row>
    <row r="3051" spans="94:95">
      <c r="CP3051">
        <f>IF(周转筐出入库明细!$C1052="",0,1)</f>
        <v>0</v>
      </c>
      <c r="CQ3051">
        <f t="shared" si="650"/>
        <v>108</v>
      </c>
    </row>
    <row r="3052" spans="94:95">
      <c r="CP3052">
        <f>IF(周转筐出入库明细!$C1053="",0,1)</f>
        <v>0</v>
      </c>
      <c r="CQ3052">
        <f t="shared" si="650"/>
        <v>108</v>
      </c>
    </row>
    <row r="3053" spans="94:95">
      <c r="CP3053">
        <f>IF(周转筐出入库明细!$C1054="",0,1)</f>
        <v>0</v>
      </c>
      <c r="CQ3053">
        <f t="shared" si="650"/>
        <v>108</v>
      </c>
    </row>
    <row r="3054" spans="94:95">
      <c r="CP3054">
        <f>IF(周转筐出入库明细!$C1055="",0,1)</f>
        <v>0</v>
      </c>
      <c r="CQ3054">
        <f t="shared" si="650"/>
        <v>108</v>
      </c>
    </row>
    <row r="3055" spans="94:95">
      <c r="CP3055">
        <f>IF(周转筐出入库明细!$C1056="",0,1)</f>
        <v>0</v>
      </c>
      <c r="CQ3055">
        <f t="shared" si="650"/>
        <v>108</v>
      </c>
    </row>
    <row r="3056" spans="94:95">
      <c r="CP3056">
        <f>IF(周转筐出入库明细!$C1057="",0,1)</f>
        <v>0</v>
      </c>
      <c r="CQ3056">
        <f t="shared" si="650"/>
        <v>108</v>
      </c>
    </row>
    <row r="3057" spans="94:95">
      <c r="CP3057">
        <f>IF(周转筐出入库明细!$C1058="",0,1)</f>
        <v>0</v>
      </c>
      <c r="CQ3057">
        <f t="shared" si="650"/>
        <v>108</v>
      </c>
    </row>
    <row r="3058" spans="94:95">
      <c r="CP3058">
        <f>IF(周转筐出入库明细!$C1059="",0,1)</f>
        <v>0</v>
      </c>
      <c r="CQ3058">
        <f t="shared" si="650"/>
        <v>108</v>
      </c>
    </row>
    <row r="3059" spans="94:95">
      <c r="CP3059">
        <f>IF(周转筐出入库明细!$C1060="",0,1)</f>
        <v>0</v>
      </c>
      <c r="CQ3059">
        <f t="shared" si="650"/>
        <v>108</v>
      </c>
    </row>
    <row r="3060" spans="94:95">
      <c r="CP3060">
        <f>IF(周转筐出入库明细!$C1061="",0,1)</f>
        <v>0</v>
      </c>
      <c r="CQ3060">
        <f t="shared" si="650"/>
        <v>108</v>
      </c>
    </row>
    <row r="3061" spans="94:95">
      <c r="CP3061">
        <f>IF(周转筐出入库明细!$C1062="",0,1)</f>
        <v>0</v>
      </c>
      <c r="CQ3061">
        <f t="shared" si="650"/>
        <v>108</v>
      </c>
    </row>
    <row r="3062" spans="94:95">
      <c r="CP3062">
        <f>IF(周转筐出入库明细!$C1063="",0,1)</f>
        <v>0</v>
      </c>
      <c r="CQ3062">
        <f t="shared" si="650"/>
        <v>108</v>
      </c>
    </row>
    <row r="3063" spans="94:95">
      <c r="CP3063">
        <f>IF(周转筐出入库明细!$C1064="",0,1)</f>
        <v>0</v>
      </c>
      <c r="CQ3063">
        <f t="shared" si="650"/>
        <v>108</v>
      </c>
    </row>
    <row r="3064" spans="94:95">
      <c r="CP3064">
        <f>IF(周转筐出入库明细!$C1065="",0,1)</f>
        <v>0</v>
      </c>
      <c r="CQ3064">
        <f t="shared" si="650"/>
        <v>108</v>
      </c>
    </row>
    <row r="3065" spans="94:95">
      <c r="CP3065">
        <f>IF(周转筐出入库明细!$C1066="",0,1)</f>
        <v>0</v>
      </c>
      <c r="CQ3065">
        <f t="shared" si="650"/>
        <v>108</v>
      </c>
    </row>
    <row r="3066" spans="94:95">
      <c r="CP3066">
        <f>IF(周转筐出入库明细!$C1067="",0,1)</f>
        <v>0</v>
      </c>
      <c r="CQ3066">
        <f t="shared" si="650"/>
        <v>108</v>
      </c>
    </row>
    <row r="3067" spans="94:95">
      <c r="CP3067">
        <f>IF(周转筐出入库明细!$C1068="",0,1)</f>
        <v>0</v>
      </c>
      <c r="CQ3067">
        <f t="shared" si="650"/>
        <v>108</v>
      </c>
    </row>
    <row r="3068" spans="94:95">
      <c r="CP3068">
        <f>IF(周转筐出入库明细!$C1069="",0,1)</f>
        <v>0</v>
      </c>
      <c r="CQ3068">
        <f t="shared" si="650"/>
        <v>108</v>
      </c>
    </row>
    <row r="3069" spans="94:95">
      <c r="CP3069">
        <f>IF(周转筐出入库明细!$C1070="",0,1)</f>
        <v>0</v>
      </c>
      <c r="CQ3069">
        <f t="shared" si="650"/>
        <v>108</v>
      </c>
    </row>
    <row r="3070" spans="94:95">
      <c r="CP3070">
        <f>IF(周转筐出入库明细!$C1071="",0,1)</f>
        <v>0</v>
      </c>
      <c r="CQ3070">
        <f t="shared" si="650"/>
        <v>108</v>
      </c>
    </row>
    <row r="3071" spans="94:95">
      <c r="CP3071">
        <f>IF(周转筐出入库明细!$C1072="",0,1)</f>
        <v>0</v>
      </c>
      <c r="CQ3071">
        <f t="shared" si="650"/>
        <v>108</v>
      </c>
    </row>
    <row r="3072" spans="94:95">
      <c r="CP3072">
        <f>IF(周转筐出入库明细!$C1073="",0,1)</f>
        <v>0</v>
      </c>
      <c r="CQ3072">
        <f t="shared" si="650"/>
        <v>108</v>
      </c>
    </row>
    <row r="3073" spans="94:95">
      <c r="CP3073">
        <f>IF(周转筐出入库明细!$C1074="",0,1)</f>
        <v>0</v>
      </c>
      <c r="CQ3073">
        <f t="shared" si="650"/>
        <v>108</v>
      </c>
    </row>
    <row r="3074" spans="94:95">
      <c r="CP3074">
        <f>IF(周转筐出入库明细!$C1075="",0,1)</f>
        <v>0</v>
      </c>
      <c r="CQ3074">
        <f t="shared" si="650"/>
        <v>108</v>
      </c>
    </row>
    <row r="3075" spans="94:95">
      <c r="CP3075">
        <f>IF(周转筐出入库明细!$C1076="",0,1)</f>
        <v>0</v>
      </c>
      <c r="CQ3075">
        <f t="shared" si="650"/>
        <v>108</v>
      </c>
    </row>
    <row r="3076" spans="94:95">
      <c r="CP3076">
        <f>IF(周转筐出入库明细!$C1077="",0,1)</f>
        <v>0</v>
      </c>
      <c r="CQ3076">
        <f t="shared" ref="CQ3076:CQ3139" si="651">N(CQ3075)+$CP3076</f>
        <v>108</v>
      </c>
    </row>
    <row r="3077" spans="94:95">
      <c r="CP3077">
        <f>IF(周转筐出入库明细!$C1078="",0,1)</f>
        <v>0</v>
      </c>
      <c r="CQ3077">
        <f t="shared" si="651"/>
        <v>108</v>
      </c>
    </row>
    <row r="3078" spans="94:95">
      <c r="CP3078">
        <f>IF(周转筐出入库明细!$C1079="",0,1)</f>
        <v>0</v>
      </c>
      <c r="CQ3078">
        <f t="shared" si="651"/>
        <v>108</v>
      </c>
    </row>
    <row r="3079" spans="94:95">
      <c r="CP3079">
        <f>IF(周转筐出入库明细!$C1080="",0,1)</f>
        <v>0</v>
      </c>
      <c r="CQ3079">
        <f t="shared" si="651"/>
        <v>108</v>
      </c>
    </row>
    <row r="3080" spans="94:95">
      <c r="CP3080">
        <f>IF(周转筐出入库明细!$C1081="",0,1)</f>
        <v>0</v>
      </c>
      <c r="CQ3080">
        <f t="shared" si="651"/>
        <v>108</v>
      </c>
    </row>
    <row r="3081" spans="94:95">
      <c r="CP3081">
        <f>IF(周转筐出入库明细!$C1082="",0,1)</f>
        <v>0</v>
      </c>
      <c r="CQ3081">
        <f t="shared" si="651"/>
        <v>108</v>
      </c>
    </row>
    <row r="3082" spans="94:95">
      <c r="CP3082">
        <f>IF(周转筐出入库明细!$C1083="",0,1)</f>
        <v>0</v>
      </c>
      <c r="CQ3082">
        <f t="shared" si="651"/>
        <v>108</v>
      </c>
    </row>
    <row r="3083" spans="94:95">
      <c r="CP3083">
        <f>IF(周转筐出入库明细!$C1084="",0,1)</f>
        <v>0</v>
      </c>
      <c r="CQ3083">
        <f t="shared" si="651"/>
        <v>108</v>
      </c>
    </row>
    <row r="3084" spans="94:95">
      <c r="CP3084">
        <f>IF(周转筐出入库明细!$C1085="",0,1)</f>
        <v>0</v>
      </c>
      <c r="CQ3084">
        <f t="shared" si="651"/>
        <v>108</v>
      </c>
    </row>
    <row r="3085" spans="94:95">
      <c r="CP3085">
        <f>IF(周转筐出入库明细!$C1086="",0,1)</f>
        <v>0</v>
      </c>
      <c r="CQ3085">
        <f t="shared" si="651"/>
        <v>108</v>
      </c>
    </row>
    <row r="3086" spans="94:95">
      <c r="CP3086">
        <f>IF(周转筐出入库明细!$C1087="",0,1)</f>
        <v>0</v>
      </c>
      <c r="CQ3086">
        <f t="shared" si="651"/>
        <v>108</v>
      </c>
    </row>
    <row r="3087" spans="94:95">
      <c r="CP3087">
        <f>IF(周转筐出入库明细!$C1088="",0,1)</f>
        <v>0</v>
      </c>
      <c r="CQ3087">
        <f t="shared" si="651"/>
        <v>108</v>
      </c>
    </row>
    <row r="3088" spans="94:95">
      <c r="CP3088">
        <f>IF(周转筐出入库明细!$C1089="",0,1)</f>
        <v>0</v>
      </c>
      <c r="CQ3088">
        <f t="shared" si="651"/>
        <v>108</v>
      </c>
    </row>
    <row r="3089" spans="94:95">
      <c r="CP3089">
        <f>IF(周转筐出入库明细!$C1090="",0,1)</f>
        <v>0</v>
      </c>
      <c r="CQ3089">
        <f t="shared" si="651"/>
        <v>108</v>
      </c>
    </row>
    <row r="3090" spans="94:95">
      <c r="CP3090">
        <f>IF(周转筐出入库明细!$C1091="",0,1)</f>
        <v>0</v>
      </c>
      <c r="CQ3090">
        <f t="shared" si="651"/>
        <v>108</v>
      </c>
    </row>
    <row r="3091" spans="94:95">
      <c r="CP3091">
        <f>IF(周转筐出入库明细!$C1092="",0,1)</f>
        <v>0</v>
      </c>
      <c r="CQ3091">
        <f t="shared" si="651"/>
        <v>108</v>
      </c>
    </row>
    <row r="3092" spans="94:95">
      <c r="CP3092">
        <f>IF(周转筐出入库明细!$C1093="",0,1)</f>
        <v>0</v>
      </c>
      <c r="CQ3092">
        <f t="shared" si="651"/>
        <v>108</v>
      </c>
    </row>
    <row r="3093" spans="94:95">
      <c r="CP3093">
        <f>IF(周转筐出入库明细!$C1094="",0,1)</f>
        <v>0</v>
      </c>
      <c r="CQ3093">
        <f t="shared" si="651"/>
        <v>108</v>
      </c>
    </row>
    <row r="3094" spans="94:95">
      <c r="CP3094">
        <f>IF(周转筐出入库明细!$C1095="",0,1)</f>
        <v>0</v>
      </c>
      <c r="CQ3094">
        <f t="shared" si="651"/>
        <v>108</v>
      </c>
    </row>
    <row r="3095" spans="94:95">
      <c r="CP3095">
        <f>IF(周转筐出入库明细!$C1096="",0,1)</f>
        <v>0</v>
      </c>
      <c r="CQ3095">
        <f t="shared" si="651"/>
        <v>108</v>
      </c>
    </row>
    <row r="3096" spans="94:95">
      <c r="CP3096">
        <f>IF(周转筐出入库明细!$C1097="",0,1)</f>
        <v>0</v>
      </c>
      <c r="CQ3096">
        <f t="shared" si="651"/>
        <v>108</v>
      </c>
    </row>
    <row r="3097" spans="94:95">
      <c r="CP3097">
        <f>IF(周转筐出入库明细!$C1098="",0,1)</f>
        <v>0</v>
      </c>
      <c r="CQ3097">
        <f t="shared" si="651"/>
        <v>108</v>
      </c>
    </row>
    <row r="3098" spans="94:95">
      <c r="CP3098">
        <f>IF(周转筐出入库明细!$C1099="",0,1)</f>
        <v>0</v>
      </c>
      <c r="CQ3098">
        <f t="shared" si="651"/>
        <v>108</v>
      </c>
    </row>
    <row r="3099" spans="94:95">
      <c r="CP3099">
        <f>IF(周转筐出入库明细!$C1100="",0,1)</f>
        <v>0</v>
      </c>
      <c r="CQ3099">
        <f t="shared" si="651"/>
        <v>108</v>
      </c>
    </row>
    <row r="3100" spans="94:95">
      <c r="CP3100">
        <f>IF(周转筐出入库明细!$C1101="",0,1)</f>
        <v>0</v>
      </c>
      <c r="CQ3100">
        <f t="shared" si="651"/>
        <v>108</v>
      </c>
    </row>
    <row r="3101" spans="94:95">
      <c r="CP3101">
        <f>IF(周转筐出入库明细!$C1102="",0,1)</f>
        <v>0</v>
      </c>
      <c r="CQ3101">
        <f t="shared" si="651"/>
        <v>108</v>
      </c>
    </row>
    <row r="3102" spans="94:95">
      <c r="CP3102">
        <f>IF(周转筐出入库明细!$C1103="",0,1)</f>
        <v>0</v>
      </c>
      <c r="CQ3102">
        <f t="shared" si="651"/>
        <v>108</v>
      </c>
    </row>
    <row r="3103" spans="94:95">
      <c r="CP3103">
        <f>IF(周转筐出入库明细!$C1104="",0,1)</f>
        <v>0</v>
      </c>
      <c r="CQ3103">
        <f t="shared" si="651"/>
        <v>108</v>
      </c>
    </row>
    <row r="3104" spans="94:95">
      <c r="CP3104">
        <f>IF(周转筐出入库明细!$C1105="",0,1)</f>
        <v>0</v>
      </c>
      <c r="CQ3104">
        <f t="shared" si="651"/>
        <v>108</v>
      </c>
    </row>
    <row r="3105" spans="94:95">
      <c r="CP3105">
        <f>IF(周转筐出入库明细!$C1106="",0,1)</f>
        <v>0</v>
      </c>
      <c r="CQ3105">
        <f t="shared" si="651"/>
        <v>108</v>
      </c>
    </row>
    <row r="3106" spans="94:95">
      <c r="CP3106">
        <f>IF(周转筐出入库明细!$C1107="",0,1)</f>
        <v>0</v>
      </c>
      <c r="CQ3106">
        <f t="shared" si="651"/>
        <v>108</v>
      </c>
    </row>
    <row r="3107" spans="94:95">
      <c r="CP3107">
        <f>IF(周转筐出入库明细!$C1108="",0,1)</f>
        <v>0</v>
      </c>
      <c r="CQ3107">
        <f t="shared" si="651"/>
        <v>108</v>
      </c>
    </row>
    <row r="3108" spans="94:95">
      <c r="CP3108">
        <f>IF(周转筐出入库明细!$C1109="",0,1)</f>
        <v>0</v>
      </c>
      <c r="CQ3108">
        <f t="shared" si="651"/>
        <v>108</v>
      </c>
    </row>
    <row r="3109" spans="94:95">
      <c r="CP3109">
        <f>IF(周转筐出入库明细!$C1110="",0,1)</f>
        <v>0</v>
      </c>
      <c r="CQ3109">
        <f t="shared" si="651"/>
        <v>108</v>
      </c>
    </row>
    <row r="3110" spans="94:95">
      <c r="CP3110">
        <f>IF(周转筐出入库明细!$C1111="",0,1)</f>
        <v>0</v>
      </c>
      <c r="CQ3110">
        <f t="shared" si="651"/>
        <v>108</v>
      </c>
    </row>
    <row r="3111" spans="94:95">
      <c r="CP3111">
        <f>IF(周转筐出入库明细!$C1112="",0,1)</f>
        <v>0</v>
      </c>
      <c r="CQ3111">
        <f t="shared" si="651"/>
        <v>108</v>
      </c>
    </row>
    <row r="3112" spans="94:95">
      <c r="CP3112">
        <f>IF(周转筐出入库明细!$C1113="",0,1)</f>
        <v>0</v>
      </c>
      <c r="CQ3112">
        <f t="shared" si="651"/>
        <v>108</v>
      </c>
    </row>
    <row r="3113" spans="94:95">
      <c r="CP3113">
        <f>IF(周转筐出入库明细!$C1114="",0,1)</f>
        <v>0</v>
      </c>
      <c r="CQ3113">
        <f t="shared" si="651"/>
        <v>108</v>
      </c>
    </row>
    <row r="3114" spans="94:95">
      <c r="CP3114">
        <f>IF(周转筐出入库明细!$C1115="",0,1)</f>
        <v>0</v>
      </c>
      <c r="CQ3114">
        <f t="shared" si="651"/>
        <v>108</v>
      </c>
    </row>
    <row r="3115" spans="94:95">
      <c r="CP3115">
        <f>IF(周转筐出入库明细!$C1116="",0,1)</f>
        <v>0</v>
      </c>
      <c r="CQ3115">
        <f t="shared" si="651"/>
        <v>108</v>
      </c>
    </row>
    <row r="3116" spans="94:95">
      <c r="CP3116">
        <f>IF(周转筐出入库明细!$C1117="",0,1)</f>
        <v>0</v>
      </c>
      <c r="CQ3116">
        <f t="shared" si="651"/>
        <v>108</v>
      </c>
    </row>
    <row r="3117" spans="94:95">
      <c r="CP3117">
        <f>IF(周转筐出入库明细!$C1118="",0,1)</f>
        <v>0</v>
      </c>
      <c r="CQ3117">
        <f t="shared" si="651"/>
        <v>108</v>
      </c>
    </row>
    <row r="3118" spans="94:95">
      <c r="CP3118">
        <f>IF(周转筐出入库明细!$C1119="",0,1)</f>
        <v>0</v>
      </c>
      <c r="CQ3118">
        <f t="shared" si="651"/>
        <v>108</v>
      </c>
    </row>
    <row r="3119" spans="94:95">
      <c r="CP3119">
        <f>IF(周转筐出入库明细!$C1120="",0,1)</f>
        <v>0</v>
      </c>
      <c r="CQ3119">
        <f t="shared" si="651"/>
        <v>108</v>
      </c>
    </row>
    <row r="3120" spans="94:95">
      <c r="CP3120">
        <f>IF(周转筐出入库明细!$C1121="",0,1)</f>
        <v>0</v>
      </c>
      <c r="CQ3120">
        <f t="shared" si="651"/>
        <v>108</v>
      </c>
    </row>
    <row r="3121" spans="94:95">
      <c r="CP3121">
        <f>IF(周转筐出入库明细!$C1122="",0,1)</f>
        <v>0</v>
      </c>
      <c r="CQ3121">
        <f t="shared" si="651"/>
        <v>108</v>
      </c>
    </row>
    <row r="3122" spans="94:95">
      <c r="CP3122">
        <f>IF(周转筐出入库明细!$C1123="",0,1)</f>
        <v>0</v>
      </c>
      <c r="CQ3122">
        <f t="shared" si="651"/>
        <v>108</v>
      </c>
    </row>
    <row r="3123" spans="94:95">
      <c r="CP3123">
        <f>IF(周转筐出入库明细!$C1124="",0,1)</f>
        <v>0</v>
      </c>
      <c r="CQ3123">
        <f t="shared" si="651"/>
        <v>108</v>
      </c>
    </row>
    <row r="3124" spans="94:95">
      <c r="CP3124">
        <f>IF(周转筐出入库明细!$C1125="",0,1)</f>
        <v>0</v>
      </c>
      <c r="CQ3124">
        <f t="shared" si="651"/>
        <v>108</v>
      </c>
    </row>
    <row r="3125" spans="94:95">
      <c r="CP3125">
        <f>IF(周转筐出入库明细!$C1126="",0,1)</f>
        <v>0</v>
      </c>
      <c r="CQ3125">
        <f t="shared" si="651"/>
        <v>108</v>
      </c>
    </row>
    <row r="3126" spans="94:95">
      <c r="CP3126">
        <f>IF(周转筐出入库明细!$C1127="",0,1)</f>
        <v>0</v>
      </c>
      <c r="CQ3126">
        <f t="shared" si="651"/>
        <v>108</v>
      </c>
    </row>
    <row r="3127" spans="94:95">
      <c r="CP3127">
        <f>IF(周转筐出入库明细!$C1128="",0,1)</f>
        <v>0</v>
      </c>
      <c r="CQ3127">
        <f t="shared" si="651"/>
        <v>108</v>
      </c>
    </row>
    <row r="3128" spans="94:95">
      <c r="CP3128">
        <f>IF(周转筐出入库明细!$C1129="",0,1)</f>
        <v>0</v>
      </c>
      <c r="CQ3128">
        <f t="shared" si="651"/>
        <v>108</v>
      </c>
    </row>
    <row r="3129" spans="94:95">
      <c r="CP3129">
        <f>IF(周转筐出入库明细!$C1130="",0,1)</f>
        <v>0</v>
      </c>
      <c r="CQ3129">
        <f t="shared" si="651"/>
        <v>108</v>
      </c>
    </row>
    <row r="3130" spans="94:95">
      <c r="CP3130">
        <f>IF(周转筐出入库明细!$C1131="",0,1)</f>
        <v>0</v>
      </c>
      <c r="CQ3130">
        <f t="shared" si="651"/>
        <v>108</v>
      </c>
    </row>
    <row r="3131" spans="94:95">
      <c r="CP3131">
        <f>IF(周转筐出入库明细!$C1132="",0,1)</f>
        <v>0</v>
      </c>
      <c r="CQ3131">
        <f t="shared" si="651"/>
        <v>108</v>
      </c>
    </row>
    <row r="3132" spans="94:95">
      <c r="CP3132">
        <f>IF(周转筐出入库明细!$C1133="",0,1)</f>
        <v>0</v>
      </c>
      <c r="CQ3132">
        <f t="shared" si="651"/>
        <v>108</v>
      </c>
    </row>
    <row r="3133" spans="94:95">
      <c r="CP3133">
        <f>IF(周转筐出入库明细!$C1134="",0,1)</f>
        <v>0</v>
      </c>
      <c r="CQ3133">
        <f t="shared" si="651"/>
        <v>108</v>
      </c>
    </row>
    <row r="3134" spans="94:95">
      <c r="CP3134">
        <f>IF(周转筐出入库明细!$C1135="",0,1)</f>
        <v>0</v>
      </c>
      <c r="CQ3134">
        <f t="shared" si="651"/>
        <v>108</v>
      </c>
    </row>
    <row r="3135" spans="94:95">
      <c r="CP3135">
        <f>IF(周转筐出入库明细!$C1136="",0,1)</f>
        <v>0</v>
      </c>
      <c r="CQ3135">
        <f t="shared" si="651"/>
        <v>108</v>
      </c>
    </row>
    <row r="3136" spans="94:95">
      <c r="CP3136">
        <f>IF(周转筐出入库明细!$C1137="",0,1)</f>
        <v>0</v>
      </c>
      <c r="CQ3136">
        <f t="shared" si="651"/>
        <v>108</v>
      </c>
    </row>
    <row r="3137" spans="94:95">
      <c r="CP3137">
        <f>IF(周转筐出入库明细!$C1138="",0,1)</f>
        <v>0</v>
      </c>
      <c r="CQ3137">
        <f t="shared" si="651"/>
        <v>108</v>
      </c>
    </row>
    <row r="3138" spans="94:95">
      <c r="CP3138">
        <f>IF(周转筐出入库明细!$C1139="",0,1)</f>
        <v>0</v>
      </c>
      <c r="CQ3138">
        <f t="shared" si="651"/>
        <v>108</v>
      </c>
    </row>
    <row r="3139" spans="94:95">
      <c r="CP3139">
        <f>IF(周转筐出入库明细!$C1140="",0,1)</f>
        <v>0</v>
      </c>
      <c r="CQ3139">
        <f t="shared" si="651"/>
        <v>108</v>
      </c>
    </row>
    <row r="3140" spans="94:95">
      <c r="CP3140">
        <f>IF(周转筐出入库明细!$C1141="",0,1)</f>
        <v>0</v>
      </c>
      <c r="CQ3140">
        <f t="shared" ref="CQ3140:CQ3203" si="652">N(CQ3139)+$CP3140</f>
        <v>108</v>
      </c>
    </row>
    <row r="3141" spans="94:95">
      <c r="CP3141">
        <f>IF(周转筐出入库明细!$C1142="",0,1)</f>
        <v>0</v>
      </c>
      <c r="CQ3141">
        <f t="shared" si="652"/>
        <v>108</v>
      </c>
    </row>
    <row r="3142" spans="94:95">
      <c r="CP3142">
        <f>IF(周转筐出入库明细!$C1143="",0,1)</f>
        <v>0</v>
      </c>
      <c r="CQ3142">
        <f t="shared" si="652"/>
        <v>108</v>
      </c>
    </row>
    <row r="3143" spans="94:95">
      <c r="CP3143">
        <f>IF(周转筐出入库明细!$C1144="",0,1)</f>
        <v>0</v>
      </c>
      <c r="CQ3143">
        <f t="shared" si="652"/>
        <v>108</v>
      </c>
    </row>
    <row r="3144" spans="94:95">
      <c r="CP3144">
        <f>IF(周转筐出入库明细!$C1145="",0,1)</f>
        <v>0</v>
      </c>
      <c r="CQ3144">
        <f t="shared" si="652"/>
        <v>108</v>
      </c>
    </row>
    <row r="3145" spans="94:95">
      <c r="CP3145">
        <f>IF(周转筐出入库明细!$C1146="",0,1)</f>
        <v>0</v>
      </c>
      <c r="CQ3145">
        <f t="shared" si="652"/>
        <v>108</v>
      </c>
    </row>
    <row r="3146" spans="94:95">
      <c r="CP3146">
        <f>IF(周转筐出入库明细!$C1147="",0,1)</f>
        <v>0</v>
      </c>
      <c r="CQ3146">
        <f t="shared" si="652"/>
        <v>108</v>
      </c>
    </row>
    <row r="3147" spans="94:95">
      <c r="CP3147">
        <f>IF(周转筐出入库明细!$C1148="",0,1)</f>
        <v>0</v>
      </c>
      <c r="CQ3147">
        <f t="shared" si="652"/>
        <v>108</v>
      </c>
    </row>
    <row r="3148" spans="94:95">
      <c r="CP3148">
        <f>IF(周转筐出入库明细!$C1149="",0,1)</f>
        <v>0</v>
      </c>
      <c r="CQ3148">
        <f t="shared" si="652"/>
        <v>108</v>
      </c>
    </row>
    <row r="3149" spans="94:95">
      <c r="CP3149">
        <f>IF(周转筐出入库明细!$C1150="",0,1)</f>
        <v>0</v>
      </c>
      <c r="CQ3149">
        <f t="shared" si="652"/>
        <v>108</v>
      </c>
    </row>
    <row r="3150" spans="94:95">
      <c r="CP3150">
        <f>IF(周转筐出入库明细!$C1151="",0,1)</f>
        <v>0</v>
      </c>
      <c r="CQ3150">
        <f t="shared" si="652"/>
        <v>108</v>
      </c>
    </row>
    <row r="3151" spans="94:95">
      <c r="CP3151">
        <f>IF(周转筐出入库明细!$C1152="",0,1)</f>
        <v>0</v>
      </c>
      <c r="CQ3151">
        <f t="shared" si="652"/>
        <v>108</v>
      </c>
    </row>
    <row r="3152" spans="94:95">
      <c r="CP3152">
        <f>IF(周转筐出入库明细!$C1153="",0,1)</f>
        <v>0</v>
      </c>
      <c r="CQ3152">
        <f t="shared" si="652"/>
        <v>108</v>
      </c>
    </row>
    <row r="3153" spans="94:95">
      <c r="CP3153">
        <f>IF(周转筐出入库明细!$C1154="",0,1)</f>
        <v>0</v>
      </c>
      <c r="CQ3153">
        <f t="shared" si="652"/>
        <v>108</v>
      </c>
    </row>
    <row r="3154" spans="94:95">
      <c r="CP3154">
        <f>IF(周转筐出入库明细!$C1155="",0,1)</f>
        <v>0</v>
      </c>
      <c r="CQ3154">
        <f t="shared" si="652"/>
        <v>108</v>
      </c>
    </row>
    <row r="3155" spans="94:95">
      <c r="CP3155">
        <f>IF(周转筐出入库明细!$C1156="",0,1)</f>
        <v>0</v>
      </c>
      <c r="CQ3155">
        <f t="shared" si="652"/>
        <v>108</v>
      </c>
    </row>
    <row r="3156" spans="94:95">
      <c r="CP3156">
        <f>IF(周转筐出入库明细!$C1157="",0,1)</f>
        <v>0</v>
      </c>
      <c r="CQ3156">
        <f t="shared" si="652"/>
        <v>108</v>
      </c>
    </row>
    <row r="3157" spans="94:95">
      <c r="CP3157">
        <f>IF(周转筐出入库明细!$C1158="",0,1)</f>
        <v>0</v>
      </c>
      <c r="CQ3157">
        <f t="shared" si="652"/>
        <v>108</v>
      </c>
    </row>
    <row r="3158" spans="94:95">
      <c r="CP3158">
        <f>IF(周转筐出入库明细!$C1159="",0,1)</f>
        <v>0</v>
      </c>
      <c r="CQ3158">
        <f t="shared" si="652"/>
        <v>108</v>
      </c>
    </row>
    <row r="3159" spans="94:95">
      <c r="CP3159">
        <f>IF(周转筐出入库明细!$C1160="",0,1)</f>
        <v>0</v>
      </c>
      <c r="CQ3159">
        <f t="shared" si="652"/>
        <v>108</v>
      </c>
    </row>
    <row r="3160" spans="94:95">
      <c r="CP3160">
        <f>IF(周转筐出入库明细!$C1161="",0,1)</f>
        <v>0</v>
      </c>
      <c r="CQ3160">
        <f t="shared" si="652"/>
        <v>108</v>
      </c>
    </row>
    <row r="3161" spans="94:95">
      <c r="CP3161">
        <f>IF(周转筐出入库明细!$C1162="",0,1)</f>
        <v>0</v>
      </c>
      <c r="CQ3161">
        <f t="shared" si="652"/>
        <v>108</v>
      </c>
    </row>
    <row r="3162" spans="94:95">
      <c r="CP3162">
        <f>IF(周转筐出入库明细!$C1163="",0,1)</f>
        <v>0</v>
      </c>
      <c r="CQ3162">
        <f t="shared" si="652"/>
        <v>108</v>
      </c>
    </row>
    <row r="3163" spans="94:95">
      <c r="CP3163">
        <f>IF(周转筐出入库明细!$C1164="",0,1)</f>
        <v>0</v>
      </c>
      <c r="CQ3163">
        <f t="shared" si="652"/>
        <v>108</v>
      </c>
    </row>
    <row r="3164" spans="94:95">
      <c r="CP3164">
        <f>IF(周转筐出入库明细!$C1165="",0,1)</f>
        <v>0</v>
      </c>
      <c r="CQ3164">
        <f t="shared" si="652"/>
        <v>108</v>
      </c>
    </row>
    <row r="3165" spans="94:95">
      <c r="CP3165">
        <f>IF(周转筐出入库明细!$C1166="",0,1)</f>
        <v>0</v>
      </c>
      <c r="CQ3165">
        <f t="shared" si="652"/>
        <v>108</v>
      </c>
    </row>
    <row r="3166" spans="94:95">
      <c r="CP3166">
        <f>IF(周转筐出入库明细!$C1167="",0,1)</f>
        <v>0</v>
      </c>
      <c r="CQ3166">
        <f t="shared" si="652"/>
        <v>108</v>
      </c>
    </row>
    <row r="3167" spans="94:95">
      <c r="CP3167">
        <f>IF(周转筐出入库明细!$C1168="",0,1)</f>
        <v>0</v>
      </c>
      <c r="CQ3167">
        <f t="shared" si="652"/>
        <v>108</v>
      </c>
    </row>
    <row r="3168" spans="94:95">
      <c r="CP3168">
        <f>IF(周转筐出入库明细!$C1169="",0,1)</f>
        <v>0</v>
      </c>
      <c r="CQ3168">
        <f t="shared" si="652"/>
        <v>108</v>
      </c>
    </row>
    <row r="3169" spans="94:95">
      <c r="CP3169">
        <f>IF(周转筐出入库明细!$C1170="",0,1)</f>
        <v>0</v>
      </c>
      <c r="CQ3169">
        <f t="shared" si="652"/>
        <v>108</v>
      </c>
    </row>
    <row r="3170" spans="94:95">
      <c r="CP3170">
        <f>IF(周转筐出入库明细!$C1171="",0,1)</f>
        <v>0</v>
      </c>
      <c r="CQ3170">
        <f t="shared" si="652"/>
        <v>108</v>
      </c>
    </row>
    <row r="3171" spans="94:95">
      <c r="CP3171">
        <f>IF(周转筐出入库明细!$C1172="",0,1)</f>
        <v>0</v>
      </c>
      <c r="CQ3171">
        <f t="shared" si="652"/>
        <v>108</v>
      </c>
    </row>
    <row r="3172" spans="94:95">
      <c r="CP3172">
        <f>IF(周转筐出入库明细!$C1173="",0,1)</f>
        <v>0</v>
      </c>
      <c r="CQ3172">
        <f t="shared" si="652"/>
        <v>108</v>
      </c>
    </row>
    <row r="3173" spans="94:95">
      <c r="CP3173">
        <f>IF(周转筐出入库明细!$C1174="",0,1)</f>
        <v>0</v>
      </c>
      <c r="CQ3173">
        <f t="shared" si="652"/>
        <v>108</v>
      </c>
    </row>
    <row r="3174" spans="94:95">
      <c r="CP3174">
        <f>IF(周转筐出入库明细!$C1175="",0,1)</f>
        <v>0</v>
      </c>
      <c r="CQ3174">
        <f t="shared" si="652"/>
        <v>108</v>
      </c>
    </row>
    <row r="3175" spans="94:95">
      <c r="CP3175">
        <f>IF(周转筐出入库明细!$C1176="",0,1)</f>
        <v>0</v>
      </c>
      <c r="CQ3175">
        <f t="shared" si="652"/>
        <v>108</v>
      </c>
    </row>
    <row r="3176" spans="94:95">
      <c r="CP3176">
        <f>IF(周转筐出入库明细!$C1177="",0,1)</f>
        <v>0</v>
      </c>
      <c r="CQ3176">
        <f t="shared" si="652"/>
        <v>108</v>
      </c>
    </row>
    <row r="3177" spans="94:95">
      <c r="CP3177">
        <f>IF(周转筐出入库明细!$C1178="",0,1)</f>
        <v>0</v>
      </c>
      <c r="CQ3177">
        <f t="shared" si="652"/>
        <v>108</v>
      </c>
    </row>
    <row r="3178" spans="94:95">
      <c r="CP3178">
        <f>IF(周转筐出入库明细!$C1179="",0,1)</f>
        <v>0</v>
      </c>
      <c r="CQ3178">
        <f t="shared" si="652"/>
        <v>108</v>
      </c>
    </row>
    <row r="3179" spans="94:95">
      <c r="CP3179">
        <f>IF(周转筐出入库明细!$C1180="",0,1)</f>
        <v>0</v>
      </c>
      <c r="CQ3179">
        <f t="shared" si="652"/>
        <v>108</v>
      </c>
    </row>
    <row r="3180" spans="94:95">
      <c r="CP3180">
        <f>IF(周转筐出入库明细!$C1181="",0,1)</f>
        <v>0</v>
      </c>
      <c r="CQ3180">
        <f t="shared" si="652"/>
        <v>108</v>
      </c>
    </row>
    <row r="3181" spans="94:95">
      <c r="CP3181">
        <f>IF(周转筐出入库明细!$C1182="",0,1)</f>
        <v>0</v>
      </c>
      <c r="CQ3181">
        <f t="shared" si="652"/>
        <v>108</v>
      </c>
    </row>
    <row r="3182" spans="94:95">
      <c r="CP3182">
        <f>IF(周转筐出入库明细!$C1183="",0,1)</f>
        <v>0</v>
      </c>
      <c r="CQ3182">
        <f t="shared" si="652"/>
        <v>108</v>
      </c>
    </row>
    <row r="3183" spans="94:95">
      <c r="CP3183">
        <f>IF(周转筐出入库明细!$C1184="",0,1)</f>
        <v>0</v>
      </c>
      <c r="CQ3183">
        <f t="shared" si="652"/>
        <v>108</v>
      </c>
    </row>
    <row r="3184" spans="94:95">
      <c r="CP3184">
        <f>IF(周转筐出入库明细!$C1185="",0,1)</f>
        <v>0</v>
      </c>
      <c r="CQ3184">
        <f t="shared" si="652"/>
        <v>108</v>
      </c>
    </row>
    <row r="3185" spans="94:95">
      <c r="CP3185">
        <f>IF(周转筐出入库明细!$C1186="",0,1)</f>
        <v>0</v>
      </c>
      <c r="CQ3185">
        <f t="shared" si="652"/>
        <v>108</v>
      </c>
    </row>
    <row r="3186" spans="94:95">
      <c r="CP3186">
        <f>IF(周转筐出入库明细!$C1187="",0,1)</f>
        <v>0</v>
      </c>
      <c r="CQ3186">
        <f t="shared" si="652"/>
        <v>108</v>
      </c>
    </row>
    <row r="3187" spans="94:95">
      <c r="CP3187">
        <f>IF(周转筐出入库明细!$C1188="",0,1)</f>
        <v>0</v>
      </c>
      <c r="CQ3187">
        <f t="shared" si="652"/>
        <v>108</v>
      </c>
    </row>
    <row r="3188" spans="94:95">
      <c r="CP3188">
        <f>IF(周转筐出入库明细!$C1189="",0,1)</f>
        <v>0</v>
      </c>
      <c r="CQ3188">
        <f t="shared" si="652"/>
        <v>108</v>
      </c>
    </row>
    <row r="3189" spans="94:95">
      <c r="CP3189">
        <f>IF(周转筐出入库明细!$C1190="",0,1)</f>
        <v>0</v>
      </c>
      <c r="CQ3189">
        <f t="shared" si="652"/>
        <v>108</v>
      </c>
    </row>
    <row r="3190" spans="94:95">
      <c r="CP3190">
        <f>IF(周转筐出入库明细!$C1191="",0,1)</f>
        <v>0</v>
      </c>
      <c r="CQ3190">
        <f t="shared" si="652"/>
        <v>108</v>
      </c>
    </row>
    <row r="3191" spans="94:95">
      <c r="CP3191">
        <f>IF(周转筐出入库明细!$C1192="",0,1)</f>
        <v>0</v>
      </c>
      <c r="CQ3191">
        <f t="shared" si="652"/>
        <v>108</v>
      </c>
    </row>
    <row r="3192" spans="94:95">
      <c r="CP3192">
        <f>IF(周转筐出入库明细!$C1193="",0,1)</f>
        <v>0</v>
      </c>
      <c r="CQ3192">
        <f t="shared" si="652"/>
        <v>108</v>
      </c>
    </row>
    <row r="3193" spans="94:95">
      <c r="CP3193">
        <f>IF(周转筐出入库明细!$C1194="",0,1)</f>
        <v>0</v>
      </c>
      <c r="CQ3193">
        <f t="shared" si="652"/>
        <v>108</v>
      </c>
    </row>
    <row r="3194" spans="94:95">
      <c r="CP3194">
        <f>IF(周转筐出入库明细!$C1195="",0,1)</f>
        <v>0</v>
      </c>
      <c r="CQ3194">
        <f t="shared" si="652"/>
        <v>108</v>
      </c>
    </row>
    <row r="3195" spans="94:95">
      <c r="CP3195">
        <f>IF(周转筐出入库明细!$C1196="",0,1)</f>
        <v>0</v>
      </c>
      <c r="CQ3195">
        <f t="shared" si="652"/>
        <v>108</v>
      </c>
    </row>
    <row r="3196" spans="94:95">
      <c r="CP3196">
        <f>IF(周转筐出入库明细!$C1197="",0,1)</f>
        <v>0</v>
      </c>
      <c r="CQ3196">
        <f t="shared" si="652"/>
        <v>108</v>
      </c>
    </row>
    <row r="3197" spans="94:95">
      <c r="CP3197">
        <f>IF(周转筐出入库明细!$C1198="",0,1)</f>
        <v>0</v>
      </c>
      <c r="CQ3197">
        <f t="shared" si="652"/>
        <v>108</v>
      </c>
    </row>
    <row r="3198" spans="94:95">
      <c r="CP3198">
        <f>IF(周转筐出入库明细!$C1199="",0,1)</f>
        <v>0</v>
      </c>
      <c r="CQ3198">
        <f t="shared" si="652"/>
        <v>108</v>
      </c>
    </row>
    <row r="3199" spans="94:95">
      <c r="CP3199">
        <f>IF(周转筐出入库明细!$C1200="",0,1)</f>
        <v>0</v>
      </c>
      <c r="CQ3199">
        <f t="shared" si="652"/>
        <v>108</v>
      </c>
    </row>
    <row r="3200" spans="94:95">
      <c r="CP3200">
        <f>IF(周转筐出入库明细!$C1201="",0,1)</f>
        <v>0</v>
      </c>
      <c r="CQ3200">
        <f t="shared" si="652"/>
        <v>108</v>
      </c>
    </row>
    <row r="3201" spans="94:95">
      <c r="CP3201">
        <f>IF(周转筐出入库明细!$C1202="",0,1)</f>
        <v>0</v>
      </c>
      <c r="CQ3201">
        <f t="shared" si="652"/>
        <v>108</v>
      </c>
    </row>
    <row r="3202" spans="94:95">
      <c r="CP3202">
        <f>IF(周转筐出入库明细!$C1203="",0,1)</f>
        <v>0</v>
      </c>
      <c r="CQ3202">
        <f t="shared" si="652"/>
        <v>108</v>
      </c>
    </row>
    <row r="3203" spans="94:95">
      <c r="CP3203">
        <f>IF(周转筐出入库明细!$C1204="",0,1)</f>
        <v>0</v>
      </c>
      <c r="CQ3203">
        <f t="shared" si="652"/>
        <v>108</v>
      </c>
    </row>
    <row r="3204" spans="94:95">
      <c r="CP3204">
        <f>IF(周转筐出入库明细!$C1205="",0,1)</f>
        <v>0</v>
      </c>
      <c r="CQ3204">
        <f t="shared" ref="CQ3204:CQ3267" si="653">N(CQ3203)+$CP3204</f>
        <v>108</v>
      </c>
    </row>
    <row r="3205" spans="94:95">
      <c r="CP3205">
        <f>IF(周转筐出入库明细!$C1206="",0,1)</f>
        <v>0</v>
      </c>
      <c r="CQ3205">
        <f t="shared" si="653"/>
        <v>108</v>
      </c>
    </row>
    <row r="3206" spans="94:95">
      <c r="CP3206">
        <f>IF(周转筐出入库明细!$C1207="",0,1)</f>
        <v>0</v>
      </c>
      <c r="CQ3206">
        <f t="shared" si="653"/>
        <v>108</v>
      </c>
    </row>
    <row r="3207" spans="94:95">
      <c r="CP3207">
        <f>IF(周转筐出入库明细!$C1208="",0,1)</f>
        <v>0</v>
      </c>
      <c r="CQ3207">
        <f t="shared" si="653"/>
        <v>108</v>
      </c>
    </row>
    <row r="3208" spans="94:95">
      <c r="CP3208">
        <f>IF(周转筐出入库明细!$C1209="",0,1)</f>
        <v>0</v>
      </c>
      <c r="CQ3208">
        <f t="shared" si="653"/>
        <v>108</v>
      </c>
    </row>
    <row r="3209" spans="94:95">
      <c r="CP3209">
        <f>IF(周转筐出入库明细!$C1210="",0,1)</f>
        <v>0</v>
      </c>
      <c r="CQ3209">
        <f t="shared" si="653"/>
        <v>108</v>
      </c>
    </row>
    <row r="3210" spans="94:95">
      <c r="CP3210">
        <f>IF(周转筐出入库明细!$C1211="",0,1)</f>
        <v>0</v>
      </c>
      <c r="CQ3210">
        <f t="shared" si="653"/>
        <v>108</v>
      </c>
    </row>
    <row r="3211" spans="94:95">
      <c r="CP3211">
        <f>IF(周转筐出入库明细!$C1212="",0,1)</f>
        <v>0</v>
      </c>
      <c r="CQ3211">
        <f t="shared" si="653"/>
        <v>108</v>
      </c>
    </row>
    <row r="3212" spans="94:95">
      <c r="CP3212">
        <f>IF(周转筐出入库明细!$C1213="",0,1)</f>
        <v>0</v>
      </c>
      <c r="CQ3212">
        <f t="shared" si="653"/>
        <v>108</v>
      </c>
    </row>
    <row r="3213" spans="94:95">
      <c r="CP3213">
        <f>IF(周转筐出入库明细!$C1214="",0,1)</f>
        <v>0</v>
      </c>
      <c r="CQ3213">
        <f t="shared" si="653"/>
        <v>108</v>
      </c>
    </row>
    <row r="3214" spans="94:95">
      <c r="CP3214">
        <f>IF(周转筐出入库明细!$C1215="",0,1)</f>
        <v>0</v>
      </c>
      <c r="CQ3214">
        <f t="shared" si="653"/>
        <v>108</v>
      </c>
    </row>
    <row r="3215" spans="94:95">
      <c r="CP3215">
        <f>IF(周转筐出入库明细!$C1216="",0,1)</f>
        <v>0</v>
      </c>
      <c r="CQ3215">
        <f t="shared" si="653"/>
        <v>108</v>
      </c>
    </row>
    <row r="3216" spans="94:95">
      <c r="CP3216">
        <f>IF(周转筐出入库明细!$C1217="",0,1)</f>
        <v>0</v>
      </c>
      <c r="CQ3216">
        <f t="shared" si="653"/>
        <v>108</v>
      </c>
    </row>
    <row r="3217" spans="94:95">
      <c r="CP3217">
        <f>IF(周转筐出入库明细!$C1218="",0,1)</f>
        <v>0</v>
      </c>
      <c r="CQ3217">
        <f t="shared" si="653"/>
        <v>108</v>
      </c>
    </row>
    <row r="3218" spans="94:95">
      <c r="CP3218">
        <f>IF(周转筐出入库明细!$C1219="",0,1)</f>
        <v>0</v>
      </c>
      <c r="CQ3218">
        <f t="shared" si="653"/>
        <v>108</v>
      </c>
    </row>
    <row r="3219" spans="94:95">
      <c r="CP3219">
        <f>IF(周转筐出入库明细!$C1220="",0,1)</f>
        <v>0</v>
      </c>
      <c r="CQ3219">
        <f t="shared" si="653"/>
        <v>108</v>
      </c>
    </row>
    <row r="3220" spans="94:95">
      <c r="CP3220">
        <f>IF(周转筐出入库明细!$C1221="",0,1)</f>
        <v>0</v>
      </c>
      <c r="CQ3220">
        <f t="shared" si="653"/>
        <v>108</v>
      </c>
    </row>
    <row r="3221" spans="94:95">
      <c r="CP3221">
        <f>IF(周转筐出入库明细!$C1222="",0,1)</f>
        <v>0</v>
      </c>
      <c r="CQ3221">
        <f t="shared" si="653"/>
        <v>108</v>
      </c>
    </row>
    <row r="3222" spans="94:95">
      <c r="CP3222">
        <f>IF(周转筐出入库明细!$C1223="",0,1)</f>
        <v>0</v>
      </c>
      <c r="CQ3222">
        <f t="shared" si="653"/>
        <v>108</v>
      </c>
    </row>
    <row r="3223" spans="94:95">
      <c r="CP3223">
        <f>IF(周转筐出入库明细!$C1224="",0,1)</f>
        <v>0</v>
      </c>
      <c r="CQ3223">
        <f t="shared" si="653"/>
        <v>108</v>
      </c>
    </row>
    <row r="3224" spans="94:95">
      <c r="CP3224">
        <f>IF(周转筐出入库明细!$C1225="",0,1)</f>
        <v>0</v>
      </c>
      <c r="CQ3224">
        <f t="shared" si="653"/>
        <v>108</v>
      </c>
    </row>
    <row r="3225" spans="94:95">
      <c r="CP3225">
        <f>IF(周转筐出入库明细!$C1226="",0,1)</f>
        <v>0</v>
      </c>
      <c r="CQ3225">
        <f t="shared" si="653"/>
        <v>108</v>
      </c>
    </row>
    <row r="3226" spans="94:95">
      <c r="CP3226">
        <f>IF(周转筐出入库明细!$C1227="",0,1)</f>
        <v>0</v>
      </c>
      <c r="CQ3226">
        <f t="shared" si="653"/>
        <v>108</v>
      </c>
    </row>
    <row r="3227" spans="94:95">
      <c r="CP3227">
        <f>IF(周转筐出入库明细!$C1228="",0,1)</f>
        <v>0</v>
      </c>
      <c r="CQ3227">
        <f t="shared" si="653"/>
        <v>108</v>
      </c>
    </row>
    <row r="3228" spans="94:95">
      <c r="CP3228">
        <f>IF(周转筐出入库明细!$C1229="",0,1)</f>
        <v>0</v>
      </c>
      <c r="CQ3228">
        <f t="shared" si="653"/>
        <v>108</v>
      </c>
    </row>
    <row r="3229" spans="94:95">
      <c r="CP3229">
        <f>IF(周转筐出入库明细!$C1230="",0,1)</f>
        <v>0</v>
      </c>
      <c r="CQ3229">
        <f t="shared" si="653"/>
        <v>108</v>
      </c>
    </row>
    <row r="3230" spans="94:95">
      <c r="CP3230">
        <f>IF(周转筐出入库明细!$C1231="",0,1)</f>
        <v>0</v>
      </c>
      <c r="CQ3230">
        <f t="shared" si="653"/>
        <v>108</v>
      </c>
    </row>
    <row r="3231" spans="94:95">
      <c r="CP3231">
        <f>IF(周转筐出入库明细!$C1232="",0,1)</f>
        <v>0</v>
      </c>
      <c r="CQ3231">
        <f t="shared" si="653"/>
        <v>108</v>
      </c>
    </row>
    <row r="3232" spans="94:95">
      <c r="CP3232">
        <f>IF(周转筐出入库明细!$C1233="",0,1)</f>
        <v>0</v>
      </c>
      <c r="CQ3232">
        <f t="shared" si="653"/>
        <v>108</v>
      </c>
    </row>
    <row r="3233" spans="94:95">
      <c r="CP3233">
        <f>IF(周转筐出入库明细!$C1234="",0,1)</f>
        <v>0</v>
      </c>
      <c r="CQ3233">
        <f t="shared" si="653"/>
        <v>108</v>
      </c>
    </row>
    <row r="3234" spans="94:95">
      <c r="CP3234">
        <f>IF(周转筐出入库明细!$C1235="",0,1)</f>
        <v>0</v>
      </c>
      <c r="CQ3234">
        <f t="shared" si="653"/>
        <v>108</v>
      </c>
    </row>
    <row r="3235" spans="94:95">
      <c r="CP3235">
        <f>IF(周转筐出入库明细!$C1236="",0,1)</f>
        <v>0</v>
      </c>
      <c r="CQ3235">
        <f t="shared" si="653"/>
        <v>108</v>
      </c>
    </row>
    <row r="3236" spans="94:95">
      <c r="CP3236">
        <f>IF(周转筐出入库明细!$C1237="",0,1)</f>
        <v>0</v>
      </c>
      <c r="CQ3236">
        <f t="shared" si="653"/>
        <v>108</v>
      </c>
    </row>
    <row r="3237" spans="94:95">
      <c r="CP3237">
        <f>IF(周转筐出入库明细!$C1238="",0,1)</f>
        <v>0</v>
      </c>
      <c r="CQ3237">
        <f t="shared" si="653"/>
        <v>108</v>
      </c>
    </row>
    <row r="3238" spans="94:95">
      <c r="CP3238">
        <f>IF(周转筐出入库明细!$C1239="",0,1)</f>
        <v>0</v>
      </c>
      <c r="CQ3238">
        <f t="shared" si="653"/>
        <v>108</v>
      </c>
    </row>
    <row r="3239" spans="94:95">
      <c r="CP3239">
        <f>IF(周转筐出入库明细!$C1240="",0,1)</f>
        <v>0</v>
      </c>
      <c r="CQ3239">
        <f t="shared" si="653"/>
        <v>108</v>
      </c>
    </row>
    <row r="3240" spans="94:95">
      <c r="CP3240">
        <f>IF(周转筐出入库明细!$C1241="",0,1)</f>
        <v>0</v>
      </c>
      <c r="CQ3240">
        <f t="shared" si="653"/>
        <v>108</v>
      </c>
    </row>
    <row r="3241" spans="94:95">
      <c r="CP3241">
        <f>IF(周转筐出入库明细!$C1242="",0,1)</f>
        <v>0</v>
      </c>
      <c r="CQ3241">
        <f t="shared" si="653"/>
        <v>108</v>
      </c>
    </row>
    <row r="3242" spans="94:95">
      <c r="CP3242">
        <f>IF(周转筐出入库明细!$C1243="",0,1)</f>
        <v>0</v>
      </c>
      <c r="CQ3242">
        <f t="shared" si="653"/>
        <v>108</v>
      </c>
    </row>
    <row r="3243" spans="94:95">
      <c r="CP3243">
        <f>IF(周转筐出入库明细!$C1244="",0,1)</f>
        <v>0</v>
      </c>
      <c r="CQ3243">
        <f t="shared" si="653"/>
        <v>108</v>
      </c>
    </row>
    <row r="3244" spans="94:95">
      <c r="CP3244">
        <f>IF(周转筐出入库明细!$C1245="",0,1)</f>
        <v>0</v>
      </c>
      <c r="CQ3244">
        <f t="shared" si="653"/>
        <v>108</v>
      </c>
    </row>
    <row r="3245" spans="94:95">
      <c r="CP3245">
        <f>IF(周转筐出入库明细!$C1246="",0,1)</f>
        <v>0</v>
      </c>
      <c r="CQ3245">
        <f t="shared" si="653"/>
        <v>108</v>
      </c>
    </row>
    <row r="3246" spans="94:95">
      <c r="CP3246">
        <f>IF(周转筐出入库明细!$C1247="",0,1)</f>
        <v>0</v>
      </c>
      <c r="CQ3246">
        <f t="shared" si="653"/>
        <v>108</v>
      </c>
    </row>
    <row r="3247" spans="94:95">
      <c r="CP3247">
        <f>IF(周转筐出入库明细!$C1248="",0,1)</f>
        <v>0</v>
      </c>
      <c r="CQ3247">
        <f t="shared" si="653"/>
        <v>108</v>
      </c>
    </row>
    <row r="3248" spans="94:95">
      <c r="CP3248">
        <f>IF(周转筐出入库明细!$C1249="",0,1)</f>
        <v>0</v>
      </c>
      <c r="CQ3248">
        <f t="shared" si="653"/>
        <v>108</v>
      </c>
    </row>
    <row r="3249" spans="94:95">
      <c r="CP3249">
        <f>IF(周转筐出入库明细!$C1250="",0,1)</f>
        <v>0</v>
      </c>
      <c r="CQ3249">
        <f t="shared" si="653"/>
        <v>108</v>
      </c>
    </row>
    <row r="3250" spans="94:95">
      <c r="CP3250">
        <f>IF(周转筐出入库明细!$C1251="",0,1)</f>
        <v>0</v>
      </c>
      <c r="CQ3250">
        <f t="shared" si="653"/>
        <v>108</v>
      </c>
    </row>
    <row r="3251" spans="94:95">
      <c r="CP3251">
        <f>IF(周转筐出入库明细!$C1252="",0,1)</f>
        <v>0</v>
      </c>
      <c r="CQ3251">
        <f t="shared" si="653"/>
        <v>108</v>
      </c>
    </row>
    <row r="3252" spans="94:95">
      <c r="CP3252">
        <f>IF(周转筐出入库明细!$C1253="",0,1)</f>
        <v>0</v>
      </c>
      <c r="CQ3252">
        <f t="shared" si="653"/>
        <v>108</v>
      </c>
    </row>
    <row r="3253" spans="94:95">
      <c r="CP3253">
        <f>IF(周转筐出入库明细!$C1254="",0,1)</f>
        <v>0</v>
      </c>
      <c r="CQ3253">
        <f t="shared" si="653"/>
        <v>108</v>
      </c>
    </row>
    <row r="3254" spans="94:95">
      <c r="CP3254">
        <f>IF(周转筐出入库明细!$C1255="",0,1)</f>
        <v>0</v>
      </c>
      <c r="CQ3254">
        <f t="shared" si="653"/>
        <v>108</v>
      </c>
    </row>
    <row r="3255" spans="94:95">
      <c r="CP3255">
        <f>IF(周转筐出入库明细!$C1256="",0,1)</f>
        <v>0</v>
      </c>
      <c r="CQ3255">
        <f t="shared" si="653"/>
        <v>108</v>
      </c>
    </row>
    <row r="3256" spans="94:95">
      <c r="CP3256">
        <f>IF(周转筐出入库明细!$C1257="",0,1)</f>
        <v>0</v>
      </c>
      <c r="CQ3256">
        <f t="shared" si="653"/>
        <v>108</v>
      </c>
    </row>
    <row r="3257" spans="94:95">
      <c r="CP3257">
        <f>IF(周转筐出入库明细!$C1258="",0,1)</f>
        <v>0</v>
      </c>
      <c r="CQ3257">
        <f t="shared" si="653"/>
        <v>108</v>
      </c>
    </row>
    <row r="3258" spans="94:95">
      <c r="CP3258">
        <f>IF(周转筐出入库明细!$C1259="",0,1)</f>
        <v>0</v>
      </c>
      <c r="CQ3258">
        <f t="shared" si="653"/>
        <v>108</v>
      </c>
    </row>
    <row r="3259" spans="94:95">
      <c r="CP3259">
        <f>IF(周转筐出入库明细!$C1260="",0,1)</f>
        <v>0</v>
      </c>
      <c r="CQ3259">
        <f t="shared" si="653"/>
        <v>108</v>
      </c>
    </row>
    <row r="3260" spans="94:95">
      <c r="CP3260">
        <f>IF(周转筐出入库明细!$C1261="",0,1)</f>
        <v>0</v>
      </c>
      <c r="CQ3260">
        <f t="shared" si="653"/>
        <v>108</v>
      </c>
    </row>
    <row r="3261" spans="94:95">
      <c r="CP3261">
        <f>IF(周转筐出入库明细!$C1262="",0,1)</f>
        <v>0</v>
      </c>
      <c r="CQ3261">
        <f t="shared" si="653"/>
        <v>108</v>
      </c>
    </row>
    <row r="3262" spans="94:95">
      <c r="CP3262">
        <f>IF(周转筐出入库明细!$C1263="",0,1)</f>
        <v>0</v>
      </c>
      <c r="CQ3262">
        <f t="shared" si="653"/>
        <v>108</v>
      </c>
    </row>
    <row r="3263" spans="94:95">
      <c r="CP3263">
        <f>IF(周转筐出入库明细!$C1264="",0,1)</f>
        <v>0</v>
      </c>
      <c r="CQ3263">
        <f t="shared" si="653"/>
        <v>108</v>
      </c>
    </row>
    <row r="3264" spans="94:95">
      <c r="CP3264">
        <f>IF(周转筐出入库明细!$C1265="",0,1)</f>
        <v>0</v>
      </c>
      <c r="CQ3264">
        <f t="shared" si="653"/>
        <v>108</v>
      </c>
    </row>
    <row r="3265" spans="94:95">
      <c r="CP3265">
        <f>IF(周转筐出入库明细!$C1266="",0,1)</f>
        <v>0</v>
      </c>
      <c r="CQ3265">
        <f t="shared" si="653"/>
        <v>108</v>
      </c>
    </row>
    <row r="3266" spans="94:95">
      <c r="CP3266">
        <f>IF(周转筐出入库明细!$C1267="",0,1)</f>
        <v>0</v>
      </c>
      <c r="CQ3266">
        <f t="shared" si="653"/>
        <v>108</v>
      </c>
    </row>
    <row r="3267" spans="94:95">
      <c r="CP3267">
        <f>IF(周转筐出入库明细!$C1268="",0,1)</f>
        <v>0</v>
      </c>
      <c r="CQ3267">
        <f t="shared" si="653"/>
        <v>108</v>
      </c>
    </row>
    <row r="3268" spans="94:95">
      <c r="CP3268">
        <f>IF(周转筐出入库明细!$C1269="",0,1)</f>
        <v>0</v>
      </c>
      <c r="CQ3268">
        <f t="shared" ref="CQ3268:CQ3331" si="654">N(CQ3267)+$CP3268</f>
        <v>108</v>
      </c>
    </row>
    <row r="3269" spans="94:95">
      <c r="CP3269">
        <f>IF(周转筐出入库明细!$C1270="",0,1)</f>
        <v>0</v>
      </c>
      <c r="CQ3269">
        <f t="shared" si="654"/>
        <v>108</v>
      </c>
    </row>
    <row r="3270" spans="94:95">
      <c r="CP3270">
        <f>IF(周转筐出入库明细!$C1271="",0,1)</f>
        <v>0</v>
      </c>
      <c r="CQ3270">
        <f t="shared" si="654"/>
        <v>108</v>
      </c>
    </row>
    <row r="3271" spans="94:95">
      <c r="CP3271">
        <f>IF(周转筐出入库明细!$C1272="",0,1)</f>
        <v>0</v>
      </c>
      <c r="CQ3271">
        <f t="shared" si="654"/>
        <v>108</v>
      </c>
    </row>
    <row r="3272" spans="94:95">
      <c r="CP3272">
        <f>IF(周转筐出入库明细!$C1273="",0,1)</f>
        <v>0</v>
      </c>
      <c r="CQ3272">
        <f t="shared" si="654"/>
        <v>108</v>
      </c>
    </row>
    <row r="3273" spans="94:95">
      <c r="CP3273">
        <f>IF(周转筐出入库明细!$C1274="",0,1)</f>
        <v>0</v>
      </c>
      <c r="CQ3273">
        <f t="shared" si="654"/>
        <v>108</v>
      </c>
    </row>
    <row r="3274" spans="94:95">
      <c r="CP3274">
        <f>IF(周转筐出入库明细!$C1275="",0,1)</f>
        <v>0</v>
      </c>
      <c r="CQ3274">
        <f t="shared" si="654"/>
        <v>108</v>
      </c>
    </row>
    <row r="3275" spans="94:95">
      <c r="CP3275">
        <f>IF(周转筐出入库明细!$C1276="",0,1)</f>
        <v>0</v>
      </c>
      <c r="CQ3275">
        <f t="shared" si="654"/>
        <v>108</v>
      </c>
    </row>
    <row r="3276" spans="94:95">
      <c r="CP3276">
        <f>IF(周转筐出入库明细!$C1277="",0,1)</f>
        <v>0</v>
      </c>
      <c r="CQ3276">
        <f t="shared" si="654"/>
        <v>108</v>
      </c>
    </row>
    <row r="3277" spans="94:95">
      <c r="CP3277">
        <f>IF(周转筐出入库明细!$C1278="",0,1)</f>
        <v>0</v>
      </c>
      <c r="CQ3277">
        <f t="shared" si="654"/>
        <v>108</v>
      </c>
    </row>
    <row r="3278" spans="94:95">
      <c r="CP3278">
        <f>IF(周转筐出入库明细!$C1279="",0,1)</f>
        <v>0</v>
      </c>
      <c r="CQ3278">
        <f t="shared" si="654"/>
        <v>108</v>
      </c>
    </row>
    <row r="3279" spans="94:95">
      <c r="CP3279">
        <f>IF(周转筐出入库明细!$C1280="",0,1)</f>
        <v>0</v>
      </c>
      <c r="CQ3279">
        <f t="shared" si="654"/>
        <v>108</v>
      </c>
    </row>
    <row r="3280" spans="94:95">
      <c r="CP3280">
        <f>IF(周转筐出入库明细!$C1281="",0,1)</f>
        <v>0</v>
      </c>
      <c r="CQ3280">
        <f t="shared" si="654"/>
        <v>108</v>
      </c>
    </row>
    <row r="3281" spans="94:95">
      <c r="CP3281">
        <f>IF(周转筐出入库明细!$C1282="",0,1)</f>
        <v>0</v>
      </c>
      <c r="CQ3281">
        <f t="shared" si="654"/>
        <v>108</v>
      </c>
    </row>
    <row r="3282" spans="94:95">
      <c r="CP3282">
        <f>IF(周转筐出入库明细!$C1283="",0,1)</f>
        <v>0</v>
      </c>
      <c r="CQ3282">
        <f t="shared" si="654"/>
        <v>108</v>
      </c>
    </row>
    <row r="3283" spans="94:95">
      <c r="CP3283">
        <f>IF(周转筐出入库明细!$C1284="",0,1)</f>
        <v>0</v>
      </c>
      <c r="CQ3283">
        <f t="shared" si="654"/>
        <v>108</v>
      </c>
    </row>
    <row r="3284" spans="94:95">
      <c r="CP3284">
        <f>IF(周转筐出入库明细!$C1285="",0,1)</f>
        <v>0</v>
      </c>
      <c r="CQ3284">
        <f t="shared" si="654"/>
        <v>108</v>
      </c>
    </row>
    <row r="3285" spans="94:95">
      <c r="CP3285">
        <f>IF(周转筐出入库明细!$C1286="",0,1)</f>
        <v>0</v>
      </c>
      <c r="CQ3285">
        <f t="shared" si="654"/>
        <v>108</v>
      </c>
    </row>
    <row r="3286" spans="94:95">
      <c r="CP3286">
        <f>IF(周转筐出入库明细!$C1287="",0,1)</f>
        <v>0</v>
      </c>
      <c r="CQ3286">
        <f t="shared" si="654"/>
        <v>108</v>
      </c>
    </row>
    <row r="3287" spans="94:95">
      <c r="CP3287">
        <f>IF(周转筐出入库明细!$C1288="",0,1)</f>
        <v>0</v>
      </c>
      <c r="CQ3287">
        <f t="shared" si="654"/>
        <v>108</v>
      </c>
    </row>
    <row r="3288" spans="94:95">
      <c r="CP3288">
        <f>IF(周转筐出入库明细!$C1289="",0,1)</f>
        <v>0</v>
      </c>
      <c r="CQ3288">
        <f t="shared" si="654"/>
        <v>108</v>
      </c>
    </row>
    <row r="3289" spans="94:95">
      <c r="CP3289">
        <f>IF(周转筐出入库明细!$C1290="",0,1)</f>
        <v>0</v>
      </c>
      <c r="CQ3289">
        <f t="shared" si="654"/>
        <v>108</v>
      </c>
    </row>
    <row r="3290" spans="94:95">
      <c r="CP3290">
        <f>IF(周转筐出入库明细!$C1291="",0,1)</f>
        <v>0</v>
      </c>
      <c r="CQ3290">
        <f t="shared" si="654"/>
        <v>108</v>
      </c>
    </row>
    <row r="3291" spans="94:95">
      <c r="CP3291">
        <f>IF(周转筐出入库明细!$C1292="",0,1)</f>
        <v>0</v>
      </c>
      <c r="CQ3291">
        <f t="shared" si="654"/>
        <v>108</v>
      </c>
    </row>
    <row r="3292" spans="94:95">
      <c r="CP3292">
        <f>IF(周转筐出入库明细!$C1293="",0,1)</f>
        <v>0</v>
      </c>
      <c r="CQ3292">
        <f t="shared" si="654"/>
        <v>108</v>
      </c>
    </row>
    <row r="3293" spans="94:95">
      <c r="CP3293">
        <f>IF(周转筐出入库明细!$C1294="",0,1)</f>
        <v>0</v>
      </c>
      <c r="CQ3293">
        <f t="shared" si="654"/>
        <v>108</v>
      </c>
    </row>
    <row r="3294" spans="94:95">
      <c r="CP3294">
        <f>IF(周转筐出入库明细!$C1295="",0,1)</f>
        <v>0</v>
      </c>
      <c r="CQ3294">
        <f t="shared" si="654"/>
        <v>108</v>
      </c>
    </row>
    <row r="3295" spans="94:95">
      <c r="CP3295">
        <f>IF(周转筐出入库明细!$C1296="",0,1)</f>
        <v>0</v>
      </c>
      <c r="CQ3295">
        <f t="shared" si="654"/>
        <v>108</v>
      </c>
    </row>
    <row r="3296" spans="94:95">
      <c r="CP3296">
        <f>IF(周转筐出入库明细!$C1297="",0,1)</f>
        <v>0</v>
      </c>
      <c r="CQ3296">
        <f t="shared" si="654"/>
        <v>108</v>
      </c>
    </row>
    <row r="3297" spans="94:95">
      <c r="CP3297">
        <f>IF(周转筐出入库明细!$C1298="",0,1)</f>
        <v>0</v>
      </c>
      <c r="CQ3297">
        <f t="shared" si="654"/>
        <v>108</v>
      </c>
    </row>
    <row r="3298" spans="94:95">
      <c r="CP3298">
        <f>IF(周转筐出入库明细!$C1299="",0,1)</f>
        <v>0</v>
      </c>
      <c r="CQ3298">
        <f t="shared" si="654"/>
        <v>108</v>
      </c>
    </row>
    <row r="3299" spans="94:95">
      <c r="CP3299">
        <f>IF(周转筐出入库明细!$C1300="",0,1)</f>
        <v>0</v>
      </c>
      <c r="CQ3299">
        <f t="shared" si="654"/>
        <v>108</v>
      </c>
    </row>
    <row r="3300" spans="94:95">
      <c r="CP3300">
        <f>IF(周转筐出入库明细!$C1301="",0,1)</f>
        <v>0</v>
      </c>
      <c r="CQ3300">
        <f t="shared" si="654"/>
        <v>108</v>
      </c>
    </row>
    <row r="3301" spans="94:95">
      <c r="CP3301">
        <f>IF(周转筐出入库明细!$C1302="",0,1)</f>
        <v>0</v>
      </c>
      <c r="CQ3301">
        <f t="shared" si="654"/>
        <v>108</v>
      </c>
    </row>
    <row r="3302" spans="94:95">
      <c r="CP3302">
        <f>IF(周转筐出入库明细!$C1303="",0,1)</f>
        <v>0</v>
      </c>
      <c r="CQ3302">
        <f t="shared" si="654"/>
        <v>108</v>
      </c>
    </row>
    <row r="3303" spans="94:95">
      <c r="CP3303">
        <f>IF(周转筐出入库明细!$C1304="",0,1)</f>
        <v>0</v>
      </c>
      <c r="CQ3303">
        <f t="shared" si="654"/>
        <v>108</v>
      </c>
    </row>
    <row r="3304" spans="94:95">
      <c r="CP3304">
        <f>IF(周转筐出入库明细!$C1305="",0,1)</f>
        <v>0</v>
      </c>
      <c r="CQ3304">
        <f t="shared" si="654"/>
        <v>108</v>
      </c>
    </row>
    <row r="3305" spans="94:95">
      <c r="CP3305">
        <f>IF(周转筐出入库明细!$C1306="",0,1)</f>
        <v>0</v>
      </c>
      <c r="CQ3305">
        <f t="shared" si="654"/>
        <v>108</v>
      </c>
    </row>
    <row r="3306" spans="94:95">
      <c r="CP3306">
        <f>IF(周转筐出入库明细!$C1307="",0,1)</f>
        <v>0</v>
      </c>
      <c r="CQ3306">
        <f t="shared" si="654"/>
        <v>108</v>
      </c>
    </row>
    <row r="3307" spans="94:95">
      <c r="CP3307">
        <f>IF(周转筐出入库明细!$C1308="",0,1)</f>
        <v>0</v>
      </c>
      <c r="CQ3307">
        <f t="shared" si="654"/>
        <v>108</v>
      </c>
    </row>
    <row r="3308" spans="94:95">
      <c r="CP3308">
        <f>IF(周转筐出入库明细!$C1309="",0,1)</f>
        <v>0</v>
      </c>
      <c r="CQ3308">
        <f t="shared" si="654"/>
        <v>108</v>
      </c>
    </row>
    <row r="3309" spans="94:95">
      <c r="CP3309">
        <f>IF(周转筐出入库明细!$C1310="",0,1)</f>
        <v>0</v>
      </c>
      <c r="CQ3309">
        <f t="shared" si="654"/>
        <v>108</v>
      </c>
    </row>
    <row r="3310" spans="94:95">
      <c r="CP3310">
        <f>IF(周转筐出入库明细!$C1311="",0,1)</f>
        <v>0</v>
      </c>
      <c r="CQ3310">
        <f t="shared" si="654"/>
        <v>108</v>
      </c>
    </row>
    <row r="3311" spans="94:95">
      <c r="CP3311">
        <f>IF(周转筐出入库明细!$C1312="",0,1)</f>
        <v>0</v>
      </c>
      <c r="CQ3311">
        <f t="shared" si="654"/>
        <v>108</v>
      </c>
    </row>
    <row r="3312" spans="94:95">
      <c r="CP3312">
        <f>IF(周转筐出入库明细!$C1313="",0,1)</f>
        <v>0</v>
      </c>
      <c r="CQ3312">
        <f t="shared" si="654"/>
        <v>108</v>
      </c>
    </row>
    <row r="3313" spans="94:95">
      <c r="CP3313">
        <f>IF(周转筐出入库明细!$C1314="",0,1)</f>
        <v>0</v>
      </c>
      <c r="CQ3313">
        <f t="shared" si="654"/>
        <v>108</v>
      </c>
    </row>
    <row r="3314" spans="94:95">
      <c r="CP3314">
        <f>IF(周转筐出入库明细!$C1315="",0,1)</f>
        <v>0</v>
      </c>
      <c r="CQ3314">
        <f t="shared" si="654"/>
        <v>108</v>
      </c>
    </row>
    <row r="3315" spans="94:95">
      <c r="CP3315">
        <f>IF(周转筐出入库明细!$C1316="",0,1)</f>
        <v>0</v>
      </c>
      <c r="CQ3315">
        <f t="shared" si="654"/>
        <v>108</v>
      </c>
    </row>
    <row r="3316" spans="94:95">
      <c r="CP3316">
        <f>IF(周转筐出入库明细!$C1317="",0,1)</f>
        <v>0</v>
      </c>
      <c r="CQ3316">
        <f t="shared" si="654"/>
        <v>108</v>
      </c>
    </row>
    <row r="3317" spans="94:95">
      <c r="CP3317">
        <f>IF(周转筐出入库明细!$C1318="",0,1)</f>
        <v>0</v>
      </c>
      <c r="CQ3317">
        <f t="shared" si="654"/>
        <v>108</v>
      </c>
    </row>
    <row r="3318" spans="94:95">
      <c r="CP3318">
        <f>IF(周转筐出入库明细!$C1319="",0,1)</f>
        <v>0</v>
      </c>
      <c r="CQ3318">
        <f t="shared" si="654"/>
        <v>108</v>
      </c>
    </row>
    <row r="3319" spans="94:95">
      <c r="CP3319">
        <f>IF(周转筐出入库明细!$C1320="",0,1)</f>
        <v>0</v>
      </c>
      <c r="CQ3319">
        <f t="shared" si="654"/>
        <v>108</v>
      </c>
    </row>
    <row r="3320" spans="94:95">
      <c r="CP3320">
        <f>IF(周转筐出入库明细!$C1321="",0,1)</f>
        <v>0</v>
      </c>
      <c r="CQ3320">
        <f t="shared" si="654"/>
        <v>108</v>
      </c>
    </row>
    <row r="3321" spans="94:95">
      <c r="CP3321">
        <f>IF(周转筐出入库明细!$C1322="",0,1)</f>
        <v>0</v>
      </c>
      <c r="CQ3321">
        <f t="shared" si="654"/>
        <v>108</v>
      </c>
    </row>
    <row r="3322" spans="94:95">
      <c r="CP3322">
        <f>IF(周转筐出入库明细!$C1323="",0,1)</f>
        <v>0</v>
      </c>
      <c r="CQ3322">
        <f t="shared" si="654"/>
        <v>108</v>
      </c>
    </row>
    <row r="3323" spans="94:95">
      <c r="CP3323">
        <f>IF(周转筐出入库明细!$C1324="",0,1)</f>
        <v>0</v>
      </c>
      <c r="CQ3323">
        <f t="shared" si="654"/>
        <v>108</v>
      </c>
    </row>
    <row r="3324" spans="94:95">
      <c r="CP3324">
        <f>IF(周转筐出入库明细!$C1325="",0,1)</f>
        <v>0</v>
      </c>
      <c r="CQ3324">
        <f t="shared" si="654"/>
        <v>108</v>
      </c>
    </row>
    <row r="3325" spans="94:95">
      <c r="CP3325">
        <f>IF(周转筐出入库明细!$C1326="",0,1)</f>
        <v>0</v>
      </c>
      <c r="CQ3325">
        <f t="shared" si="654"/>
        <v>108</v>
      </c>
    </row>
    <row r="3326" spans="94:95">
      <c r="CP3326">
        <f>IF(周转筐出入库明细!$C1327="",0,1)</f>
        <v>0</v>
      </c>
      <c r="CQ3326">
        <f t="shared" si="654"/>
        <v>108</v>
      </c>
    </row>
    <row r="3327" spans="94:95">
      <c r="CP3327">
        <f>IF(周转筐出入库明细!$C1328="",0,1)</f>
        <v>0</v>
      </c>
      <c r="CQ3327">
        <f t="shared" si="654"/>
        <v>108</v>
      </c>
    </row>
    <row r="3328" spans="94:95">
      <c r="CP3328">
        <f>IF(周转筐出入库明细!$C1329="",0,1)</f>
        <v>0</v>
      </c>
      <c r="CQ3328">
        <f t="shared" si="654"/>
        <v>108</v>
      </c>
    </row>
    <row r="3329" spans="94:95">
      <c r="CP3329">
        <f>IF(周转筐出入库明细!$C1330="",0,1)</f>
        <v>0</v>
      </c>
      <c r="CQ3329">
        <f t="shared" si="654"/>
        <v>108</v>
      </c>
    </row>
    <row r="3330" spans="94:95">
      <c r="CP3330">
        <f>IF(周转筐出入库明细!$C1331="",0,1)</f>
        <v>0</v>
      </c>
      <c r="CQ3330">
        <f t="shared" si="654"/>
        <v>108</v>
      </c>
    </row>
    <row r="3331" spans="94:95">
      <c r="CP3331">
        <f>IF(周转筐出入库明细!$C1332="",0,1)</f>
        <v>0</v>
      </c>
      <c r="CQ3331">
        <f t="shared" si="654"/>
        <v>108</v>
      </c>
    </row>
    <row r="3332" spans="94:95">
      <c r="CP3332">
        <f>IF(周转筐出入库明细!$C1333="",0,1)</f>
        <v>0</v>
      </c>
      <c r="CQ3332">
        <f t="shared" ref="CQ3332:CQ3395" si="655">N(CQ3331)+$CP3332</f>
        <v>108</v>
      </c>
    </row>
    <row r="3333" spans="94:95">
      <c r="CP3333">
        <f>IF(周转筐出入库明细!$C1334="",0,1)</f>
        <v>0</v>
      </c>
      <c r="CQ3333">
        <f t="shared" si="655"/>
        <v>108</v>
      </c>
    </row>
    <row r="3334" spans="94:95">
      <c r="CP3334">
        <f>IF(周转筐出入库明细!$C1335="",0,1)</f>
        <v>0</v>
      </c>
      <c r="CQ3334">
        <f t="shared" si="655"/>
        <v>108</v>
      </c>
    </row>
    <row r="3335" spans="94:95">
      <c r="CP3335">
        <f>IF(周转筐出入库明细!$C1336="",0,1)</f>
        <v>0</v>
      </c>
      <c r="CQ3335">
        <f t="shared" si="655"/>
        <v>108</v>
      </c>
    </row>
    <row r="3336" spans="94:95">
      <c r="CP3336">
        <f>IF(周转筐出入库明细!$C1337="",0,1)</f>
        <v>0</v>
      </c>
      <c r="CQ3336">
        <f t="shared" si="655"/>
        <v>108</v>
      </c>
    </row>
    <row r="3337" spans="94:95">
      <c r="CP3337">
        <f>IF(周转筐出入库明细!$C1338="",0,1)</f>
        <v>0</v>
      </c>
      <c r="CQ3337">
        <f t="shared" si="655"/>
        <v>108</v>
      </c>
    </row>
    <row r="3338" spans="94:95">
      <c r="CP3338">
        <f>IF(周转筐出入库明细!$C1339="",0,1)</f>
        <v>0</v>
      </c>
      <c r="CQ3338">
        <f t="shared" si="655"/>
        <v>108</v>
      </c>
    </row>
    <row r="3339" spans="94:95">
      <c r="CP3339">
        <f>IF(周转筐出入库明细!$C1340="",0,1)</f>
        <v>0</v>
      </c>
      <c r="CQ3339">
        <f t="shared" si="655"/>
        <v>108</v>
      </c>
    </row>
    <row r="3340" spans="94:95">
      <c r="CP3340">
        <f>IF(周转筐出入库明细!$C1341="",0,1)</f>
        <v>0</v>
      </c>
      <c r="CQ3340">
        <f t="shared" si="655"/>
        <v>108</v>
      </c>
    </row>
    <row r="3341" spans="94:95">
      <c r="CP3341">
        <f>IF(周转筐出入库明细!$C1342="",0,1)</f>
        <v>0</v>
      </c>
      <c r="CQ3341">
        <f t="shared" si="655"/>
        <v>108</v>
      </c>
    </row>
    <row r="3342" spans="94:95">
      <c r="CP3342">
        <f>IF(周转筐出入库明细!$C1343="",0,1)</f>
        <v>0</v>
      </c>
      <c r="CQ3342">
        <f t="shared" si="655"/>
        <v>108</v>
      </c>
    </row>
    <row r="3343" spans="94:95">
      <c r="CP3343">
        <f>IF(周转筐出入库明细!$C1344="",0,1)</f>
        <v>0</v>
      </c>
      <c r="CQ3343">
        <f t="shared" si="655"/>
        <v>108</v>
      </c>
    </row>
    <row r="3344" spans="94:95">
      <c r="CP3344">
        <f>IF(周转筐出入库明细!$C1345="",0,1)</f>
        <v>0</v>
      </c>
      <c r="CQ3344">
        <f t="shared" si="655"/>
        <v>108</v>
      </c>
    </row>
    <row r="3345" spans="94:95">
      <c r="CP3345">
        <f>IF(周转筐出入库明细!$C1346="",0,1)</f>
        <v>0</v>
      </c>
      <c r="CQ3345">
        <f t="shared" si="655"/>
        <v>108</v>
      </c>
    </row>
    <row r="3346" spans="94:95">
      <c r="CP3346">
        <f>IF(周转筐出入库明细!$C1347="",0,1)</f>
        <v>0</v>
      </c>
      <c r="CQ3346">
        <f t="shared" si="655"/>
        <v>108</v>
      </c>
    </row>
    <row r="3347" spans="94:95">
      <c r="CP3347">
        <f>IF(周转筐出入库明细!$C1348="",0,1)</f>
        <v>0</v>
      </c>
      <c r="CQ3347">
        <f t="shared" si="655"/>
        <v>108</v>
      </c>
    </row>
    <row r="3348" spans="94:95">
      <c r="CP3348">
        <f>IF(周转筐出入库明细!$C1349="",0,1)</f>
        <v>0</v>
      </c>
      <c r="CQ3348">
        <f t="shared" si="655"/>
        <v>108</v>
      </c>
    </row>
    <row r="3349" spans="94:95">
      <c r="CP3349">
        <f>IF(周转筐出入库明细!$C1350="",0,1)</f>
        <v>0</v>
      </c>
      <c r="CQ3349">
        <f t="shared" si="655"/>
        <v>108</v>
      </c>
    </row>
    <row r="3350" spans="94:95">
      <c r="CP3350">
        <f>IF(周转筐出入库明细!$C1351="",0,1)</f>
        <v>0</v>
      </c>
      <c r="CQ3350">
        <f t="shared" si="655"/>
        <v>108</v>
      </c>
    </row>
    <row r="3351" spans="94:95">
      <c r="CP3351">
        <f>IF(周转筐出入库明细!$C1352="",0,1)</f>
        <v>0</v>
      </c>
      <c r="CQ3351">
        <f t="shared" si="655"/>
        <v>108</v>
      </c>
    </row>
    <row r="3352" spans="94:95">
      <c r="CP3352">
        <f>IF(周转筐出入库明细!$C1353="",0,1)</f>
        <v>0</v>
      </c>
      <c r="CQ3352">
        <f t="shared" si="655"/>
        <v>108</v>
      </c>
    </row>
    <row r="3353" spans="94:95">
      <c r="CP3353">
        <f>IF(周转筐出入库明细!$C1354="",0,1)</f>
        <v>0</v>
      </c>
      <c r="CQ3353">
        <f t="shared" si="655"/>
        <v>108</v>
      </c>
    </row>
    <row r="3354" spans="94:95">
      <c r="CP3354">
        <f>IF(周转筐出入库明细!$C1355="",0,1)</f>
        <v>0</v>
      </c>
      <c r="CQ3354">
        <f t="shared" si="655"/>
        <v>108</v>
      </c>
    </row>
    <row r="3355" spans="94:95">
      <c r="CP3355">
        <f>IF(周转筐出入库明细!$C1356="",0,1)</f>
        <v>0</v>
      </c>
      <c r="CQ3355">
        <f t="shared" si="655"/>
        <v>108</v>
      </c>
    </row>
    <row r="3356" spans="94:95">
      <c r="CP3356">
        <f>IF(周转筐出入库明细!$C1357="",0,1)</f>
        <v>0</v>
      </c>
      <c r="CQ3356">
        <f t="shared" si="655"/>
        <v>108</v>
      </c>
    </row>
    <row r="3357" spans="94:95">
      <c r="CP3357">
        <f>IF(周转筐出入库明细!$C1358="",0,1)</f>
        <v>0</v>
      </c>
      <c r="CQ3357">
        <f t="shared" si="655"/>
        <v>108</v>
      </c>
    </row>
    <row r="3358" spans="94:95">
      <c r="CP3358">
        <f>IF(周转筐出入库明细!$C1359="",0,1)</f>
        <v>0</v>
      </c>
      <c r="CQ3358">
        <f t="shared" si="655"/>
        <v>108</v>
      </c>
    </row>
    <row r="3359" spans="94:95">
      <c r="CP3359">
        <f>IF(周转筐出入库明细!$C1360="",0,1)</f>
        <v>0</v>
      </c>
      <c r="CQ3359">
        <f t="shared" si="655"/>
        <v>108</v>
      </c>
    </row>
    <row r="3360" spans="94:95">
      <c r="CP3360">
        <f>IF(周转筐出入库明细!$C1361="",0,1)</f>
        <v>0</v>
      </c>
      <c r="CQ3360">
        <f t="shared" si="655"/>
        <v>108</v>
      </c>
    </row>
    <row r="3361" spans="94:95">
      <c r="CP3361">
        <f>IF(周转筐出入库明细!$C1362="",0,1)</f>
        <v>0</v>
      </c>
      <c r="CQ3361">
        <f t="shared" si="655"/>
        <v>108</v>
      </c>
    </row>
    <row r="3362" spans="94:95">
      <c r="CP3362">
        <f>IF(周转筐出入库明细!$C1363="",0,1)</f>
        <v>0</v>
      </c>
      <c r="CQ3362">
        <f t="shared" si="655"/>
        <v>108</v>
      </c>
    </row>
    <row r="3363" spans="94:95">
      <c r="CP3363">
        <f>IF(周转筐出入库明细!$C1364="",0,1)</f>
        <v>0</v>
      </c>
      <c r="CQ3363">
        <f t="shared" si="655"/>
        <v>108</v>
      </c>
    </row>
    <row r="3364" spans="94:95">
      <c r="CP3364">
        <f>IF(周转筐出入库明细!$C1365="",0,1)</f>
        <v>0</v>
      </c>
      <c r="CQ3364">
        <f t="shared" si="655"/>
        <v>108</v>
      </c>
    </row>
    <row r="3365" spans="94:95">
      <c r="CP3365">
        <f>IF(周转筐出入库明细!$C1366="",0,1)</f>
        <v>0</v>
      </c>
      <c r="CQ3365">
        <f t="shared" si="655"/>
        <v>108</v>
      </c>
    </row>
    <row r="3366" spans="94:95">
      <c r="CP3366">
        <f>IF(周转筐出入库明细!$C1367="",0,1)</f>
        <v>0</v>
      </c>
      <c r="CQ3366">
        <f t="shared" si="655"/>
        <v>108</v>
      </c>
    </row>
    <row r="3367" spans="94:95">
      <c r="CP3367">
        <f>IF(周转筐出入库明细!$C1368="",0,1)</f>
        <v>0</v>
      </c>
      <c r="CQ3367">
        <f t="shared" si="655"/>
        <v>108</v>
      </c>
    </row>
    <row r="3368" spans="94:95">
      <c r="CP3368">
        <f>IF(周转筐出入库明细!$C1369="",0,1)</f>
        <v>0</v>
      </c>
      <c r="CQ3368">
        <f t="shared" si="655"/>
        <v>108</v>
      </c>
    </row>
    <row r="3369" spans="94:95">
      <c r="CP3369">
        <f>IF(周转筐出入库明细!$C1370="",0,1)</f>
        <v>0</v>
      </c>
      <c r="CQ3369">
        <f t="shared" si="655"/>
        <v>108</v>
      </c>
    </row>
    <row r="3370" spans="94:95">
      <c r="CP3370">
        <f>IF(周转筐出入库明细!$C1371="",0,1)</f>
        <v>0</v>
      </c>
      <c r="CQ3370">
        <f t="shared" si="655"/>
        <v>108</v>
      </c>
    </row>
    <row r="3371" spans="94:95">
      <c r="CP3371">
        <f>IF(周转筐出入库明细!$C1372="",0,1)</f>
        <v>0</v>
      </c>
      <c r="CQ3371">
        <f t="shared" si="655"/>
        <v>108</v>
      </c>
    </row>
    <row r="3372" spans="94:95">
      <c r="CP3372">
        <f>IF(周转筐出入库明细!$C1373="",0,1)</f>
        <v>0</v>
      </c>
      <c r="CQ3372">
        <f t="shared" si="655"/>
        <v>108</v>
      </c>
    </row>
    <row r="3373" spans="94:95">
      <c r="CP3373">
        <f>IF(周转筐出入库明细!$C1374="",0,1)</f>
        <v>0</v>
      </c>
      <c r="CQ3373">
        <f t="shared" si="655"/>
        <v>108</v>
      </c>
    </row>
    <row r="3374" spans="94:95">
      <c r="CP3374">
        <f>IF(周转筐出入库明细!$C1375="",0,1)</f>
        <v>0</v>
      </c>
      <c r="CQ3374">
        <f t="shared" si="655"/>
        <v>108</v>
      </c>
    </row>
    <row r="3375" spans="94:95">
      <c r="CP3375">
        <f>IF(周转筐出入库明细!$C1376="",0,1)</f>
        <v>0</v>
      </c>
      <c r="CQ3375">
        <f t="shared" si="655"/>
        <v>108</v>
      </c>
    </row>
    <row r="3376" spans="94:95">
      <c r="CP3376">
        <f>IF(周转筐出入库明细!$C1377="",0,1)</f>
        <v>0</v>
      </c>
      <c r="CQ3376">
        <f t="shared" si="655"/>
        <v>108</v>
      </c>
    </row>
    <row r="3377" spans="94:95">
      <c r="CP3377">
        <f>IF(周转筐出入库明细!$C1378="",0,1)</f>
        <v>0</v>
      </c>
      <c r="CQ3377">
        <f t="shared" si="655"/>
        <v>108</v>
      </c>
    </row>
    <row r="3378" spans="94:95">
      <c r="CP3378">
        <f>IF(周转筐出入库明细!$C1379="",0,1)</f>
        <v>0</v>
      </c>
      <c r="CQ3378">
        <f t="shared" si="655"/>
        <v>108</v>
      </c>
    </row>
    <row r="3379" spans="94:95">
      <c r="CP3379">
        <f>IF(周转筐出入库明细!$C1380="",0,1)</f>
        <v>0</v>
      </c>
      <c r="CQ3379">
        <f t="shared" si="655"/>
        <v>108</v>
      </c>
    </row>
    <row r="3380" spans="94:95">
      <c r="CP3380">
        <f>IF(周转筐出入库明细!$C1381="",0,1)</f>
        <v>0</v>
      </c>
      <c r="CQ3380">
        <f t="shared" si="655"/>
        <v>108</v>
      </c>
    </row>
    <row r="3381" spans="94:95">
      <c r="CP3381">
        <f>IF(周转筐出入库明细!$C1382="",0,1)</f>
        <v>0</v>
      </c>
      <c r="CQ3381">
        <f t="shared" si="655"/>
        <v>108</v>
      </c>
    </row>
    <row r="3382" spans="94:95">
      <c r="CP3382">
        <f>IF(周转筐出入库明细!$C1383="",0,1)</f>
        <v>0</v>
      </c>
      <c r="CQ3382">
        <f t="shared" si="655"/>
        <v>108</v>
      </c>
    </row>
    <row r="3383" spans="94:95">
      <c r="CP3383">
        <f>IF(周转筐出入库明细!$C1384="",0,1)</f>
        <v>0</v>
      </c>
      <c r="CQ3383">
        <f t="shared" si="655"/>
        <v>108</v>
      </c>
    </row>
    <row r="3384" spans="94:95">
      <c r="CP3384">
        <f>IF(周转筐出入库明细!$C1385="",0,1)</f>
        <v>0</v>
      </c>
      <c r="CQ3384">
        <f t="shared" si="655"/>
        <v>108</v>
      </c>
    </row>
    <row r="3385" spans="94:95">
      <c r="CP3385">
        <f>IF(周转筐出入库明细!$C1386="",0,1)</f>
        <v>0</v>
      </c>
      <c r="CQ3385">
        <f t="shared" si="655"/>
        <v>108</v>
      </c>
    </row>
    <row r="3386" spans="94:95">
      <c r="CP3386">
        <f>IF(周转筐出入库明细!$C1387="",0,1)</f>
        <v>0</v>
      </c>
      <c r="CQ3386">
        <f t="shared" si="655"/>
        <v>108</v>
      </c>
    </row>
    <row r="3387" spans="94:95">
      <c r="CP3387">
        <f>IF(周转筐出入库明细!$C1388="",0,1)</f>
        <v>0</v>
      </c>
      <c r="CQ3387">
        <f t="shared" si="655"/>
        <v>108</v>
      </c>
    </row>
    <row r="3388" spans="94:95">
      <c r="CP3388">
        <f>IF(周转筐出入库明细!$C1389="",0,1)</f>
        <v>0</v>
      </c>
      <c r="CQ3388">
        <f t="shared" si="655"/>
        <v>108</v>
      </c>
    </row>
    <row r="3389" spans="94:95">
      <c r="CP3389">
        <f>IF(周转筐出入库明细!$C1390="",0,1)</f>
        <v>0</v>
      </c>
      <c r="CQ3389">
        <f t="shared" si="655"/>
        <v>108</v>
      </c>
    </row>
    <row r="3390" spans="94:95">
      <c r="CP3390">
        <f>IF(周转筐出入库明细!$C1391="",0,1)</f>
        <v>0</v>
      </c>
      <c r="CQ3390">
        <f t="shared" si="655"/>
        <v>108</v>
      </c>
    </row>
    <row r="3391" spans="94:95">
      <c r="CP3391">
        <f>IF(周转筐出入库明细!$C1392="",0,1)</f>
        <v>0</v>
      </c>
      <c r="CQ3391">
        <f t="shared" si="655"/>
        <v>108</v>
      </c>
    </row>
    <row r="3392" spans="94:95">
      <c r="CP3392">
        <f>IF(周转筐出入库明细!$C1393="",0,1)</f>
        <v>0</v>
      </c>
      <c r="CQ3392">
        <f t="shared" si="655"/>
        <v>108</v>
      </c>
    </row>
    <row r="3393" spans="94:95">
      <c r="CP3393">
        <f>IF(周转筐出入库明细!$C1394="",0,1)</f>
        <v>0</v>
      </c>
      <c r="CQ3393">
        <f t="shared" si="655"/>
        <v>108</v>
      </c>
    </row>
    <row r="3394" spans="94:95">
      <c r="CP3394">
        <f>IF(周转筐出入库明细!$C1395="",0,1)</f>
        <v>0</v>
      </c>
      <c r="CQ3394">
        <f t="shared" si="655"/>
        <v>108</v>
      </c>
    </row>
    <row r="3395" spans="94:95">
      <c r="CP3395">
        <f>IF(周转筐出入库明细!$C1396="",0,1)</f>
        <v>0</v>
      </c>
      <c r="CQ3395">
        <f t="shared" si="655"/>
        <v>108</v>
      </c>
    </row>
    <row r="3396" spans="94:95">
      <c r="CP3396">
        <f>IF(周转筐出入库明细!$C1397="",0,1)</f>
        <v>0</v>
      </c>
      <c r="CQ3396">
        <f t="shared" ref="CQ3396:CQ3459" si="656">N(CQ3395)+$CP3396</f>
        <v>108</v>
      </c>
    </row>
    <row r="3397" spans="94:95">
      <c r="CP3397">
        <f>IF(周转筐出入库明细!$C1398="",0,1)</f>
        <v>0</v>
      </c>
      <c r="CQ3397">
        <f t="shared" si="656"/>
        <v>108</v>
      </c>
    </row>
    <row r="3398" spans="94:95">
      <c r="CP3398">
        <f>IF(周转筐出入库明细!$C1399="",0,1)</f>
        <v>0</v>
      </c>
      <c r="CQ3398">
        <f t="shared" si="656"/>
        <v>108</v>
      </c>
    </row>
    <row r="3399" spans="94:95">
      <c r="CP3399">
        <f>IF(周转筐出入库明细!$C1400="",0,1)</f>
        <v>0</v>
      </c>
      <c r="CQ3399">
        <f t="shared" si="656"/>
        <v>108</v>
      </c>
    </row>
    <row r="3400" spans="94:95">
      <c r="CP3400">
        <f>IF(周转筐出入库明细!$C1401="",0,1)</f>
        <v>0</v>
      </c>
      <c r="CQ3400">
        <f t="shared" si="656"/>
        <v>108</v>
      </c>
    </row>
    <row r="3401" spans="94:95">
      <c r="CP3401">
        <f>IF(周转筐出入库明细!$C1402="",0,1)</f>
        <v>0</v>
      </c>
      <c r="CQ3401">
        <f t="shared" si="656"/>
        <v>108</v>
      </c>
    </row>
    <row r="3402" spans="94:95">
      <c r="CP3402">
        <f>IF(周转筐出入库明细!$C1403="",0,1)</f>
        <v>0</v>
      </c>
      <c r="CQ3402">
        <f t="shared" si="656"/>
        <v>108</v>
      </c>
    </row>
    <row r="3403" spans="94:95">
      <c r="CP3403">
        <f>IF(周转筐出入库明细!$C1404="",0,1)</f>
        <v>0</v>
      </c>
      <c r="CQ3403">
        <f t="shared" si="656"/>
        <v>108</v>
      </c>
    </row>
    <row r="3404" spans="94:95">
      <c r="CP3404">
        <f>IF(周转筐出入库明细!$C1405="",0,1)</f>
        <v>0</v>
      </c>
      <c r="CQ3404">
        <f t="shared" si="656"/>
        <v>108</v>
      </c>
    </row>
    <row r="3405" spans="94:95">
      <c r="CP3405">
        <f>IF(周转筐出入库明细!$C1406="",0,1)</f>
        <v>0</v>
      </c>
      <c r="CQ3405">
        <f t="shared" si="656"/>
        <v>108</v>
      </c>
    </row>
    <row r="3406" spans="94:95">
      <c r="CP3406">
        <f>IF(周转筐出入库明细!$C1407="",0,1)</f>
        <v>0</v>
      </c>
      <c r="CQ3406">
        <f t="shared" si="656"/>
        <v>108</v>
      </c>
    </row>
    <row r="3407" spans="94:95">
      <c r="CP3407">
        <f>IF(周转筐出入库明细!$C1408="",0,1)</f>
        <v>0</v>
      </c>
      <c r="CQ3407">
        <f t="shared" si="656"/>
        <v>108</v>
      </c>
    </row>
    <row r="3408" spans="94:95">
      <c r="CP3408">
        <f>IF(周转筐出入库明细!$C1409="",0,1)</f>
        <v>0</v>
      </c>
      <c r="CQ3408">
        <f t="shared" si="656"/>
        <v>108</v>
      </c>
    </row>
    <row r="3409" spans="94:95">
      <c r="CP3409">
        <f>IF(周转筐出入库明细!$C1410="",0,1)</f>
        <v>0</v>
      </c>
      <c r="CQ3409">
        <f t="shared" si="656"/>
        <v>108</v>
      </c>
    </row>
    <row r="3410" spans="94:95">
      <c r="CP3410">
        <f>IF(周转筐出入库明细!$C1411="",0,1)</f>
        <v>0</v>
      </c>
      <c r="CQ3410">
        <f t="shared" si="656"/>
        <v>108</v>
      </c>
    </row>
    <row r="3411" spans="94:95">
      <c r="CP3411">
        <f>IF(周转筐出入库明细!$C1412="",0,1)</f>
        <v>0</v>
      </c>
      <c r="CQ3411">
        <f t="shared" si="656"/>
        <v>108</v>
      </c>
    </row>
    <row r="3412" spans="94:95">
      <c r="CP3412">
        <f>IF(周转筐出入库明细!$C1413="",0,1)</f>
        <v>0</v>
      </c>
      <c r="CQ3412">
        <f t="shared" si="656"/>
        <v>108</v>
      </c>
    </row>
    <row r="3413" spans="94:95">
      <c r="CP3413">
        <f>IF(周转筐出入库明细!$C1414="",0,1)</f>
        <v>0</v>
      </c>
      <c r="CQ3413">
        <f t="shared" si="656"/>
        <v>108</v>
      </c>
    </row>
    <row r="3414" spans="94:95">
      <c r="CP3414">
        <f>IF(周转筐出入库明细!$C1415="",0,1)</f>
        <v>0</v>
      </c>
      <c r="CQ3414">
        <f t="shared" si="656"/>
        <v>108</v>
      </c>
    </row>
    <row r="3415" spans="94:95">
      <c r="CP3415">
        <f>IF(周转筐出入库明细!$C1416="",0,1)</f>
        <v>0</v>
      </c>
      <c r="CQ3415">
        <f t="shared" si="656"/>
        <v>108</v>
      </c>
    </row>
    <row r="3416" spans="94:95">
      <c r="CP3416">
        <f>IF(周转筐出入库明细!$C1417="",0,1)</f>
        <v>0</v>
      </c>
      <c r="CQ3416">
        <f t="shared" si="656"/>
        <v>108</v>
      </c>
    </row>
    <row r="3417" spans="94:95">
      <c r="CP3417">
        <f>IF(周转筐出入库明细!$C1418="",0,1)</f>
        <v>0</v>
      </c>
      <c r="CQ3417">
        <f t="shared" si="656"/>
        <v>108</v>
      </c>
    </row>
    <row r="3418" spans="94:95">
      <c r="CP3418">
        <f>IF(周转筐出入库明细!$C1419="",0,1)</f>
        <v>0</v>
      </c>
      <c r="CQ3418">
        <f t="shared" si="656"/>
        <v>108</v>
      </c>
    </row>
    <row r="3419" spans="94:95">
      <c r="CP3419">
        <f>IF(周转筐出入库明细!$C1420="",0,1)</f>
        <v>0</v>
      </c>
      <c r="CQ3419">
        <f t="shared" si="656"/>
        <v>108</v>
      </c>
    </row>
    <row r="3420" spans="94:95">
      <c r="CP3420">
        <f>IF(周转筐出入库明细!$C1421="",0,1)</f>
        <v>0</v>
      </c>
      <c r="CQ3420">
        <f t="shared" si="656"/>
        <v>108</v>
      </c>
    </row>
    <row r="3421" spans="94:95">
      <c r="CP3421">
        <f>IF(周转筐出入库明细!$C1422="",0,1)</f>
        <v>0</v>
      </c>
      <c r="CQ3421">
        <f t="shared" si="656"/>
        <v>108</v>
      </c>
    </row>
    <row r="3422" spans="94:95">
      <c r="CP3422">
        <f>IF(周转筐出入库明细!$C1423="",0,1)</f>
        <v>0</v>
      </c>
      <c r="CQ3422">
        <f t="shared" si="656"/>
        <v>108</v>
      </c>
    </row>
    <row r="3423" spans="94:95">
      <c r="CP3423">
        <f>IF(周转筐出入库明细!$C1424="",0,1)</f>
        <v>0</v>
      </c>
      <c r="CQ3423">
        <f t="shared" si="656"/>
        <v>108</v>
      </c>
    </row>
    <row r="3424" spans="94:95">
      <c r="CP3424">
        <f>IF(周转筐出入库明细!$C1425="",0,1)</f>
        <v>0</v>
      </c>
      <c r="CQ3424">
        <f t="shared" si="656"/>
        <v>108</v>
      </c>
    </row>
    <row r="3425" spans="94:95">
      <c r="CP3425">
        <f>IF(周转筐出入库明细!$C1426="",0,1)</f>
        <v>0</v>
      </c>
      <c r="CQ3425">
        <f t="shared" si="656"/>
        <v>108</v>
      </c>
    </row>
    <row r="3426" spans="94:95">
      <c r="CP3426">
        <f>IF(周转筐出入库明细!$C1427="",0,1)</f>
        <v>0</v>
      </c>
      <c r="CQ3426">
        <f t="shared" si="656"/>
        <v>108</v>
      </c>
    </row>
    <row r="3427" spans="94:95">
      <c r="CP3427">
        <f>IF(周转筐出入库明细!$C1428="",0,1)</f>
        <v>0</v>
      </c>
      <c r="CQ3427">
        <f t="shared" si="656"/>
        <v>108</v>
      </c>
    </row>
    <row r="3428" spans="94:95">
      <c r="CP3428">
        <f>IF(周转筐出入库明细!$C1429="",0,1)</f>
        <v>0</v>
      </c>
      <c r="CQ3428">
        <f t="shared" si="656"/>
        <v>108</v>
      </c>
    </row>
    <row r="3429" spans="94:95">
      <c r="CP3429">
        <f>IF(周转筐出入库明细!$C1430="",0,1)</f>
        <v>0</v>
      </c>
      <c r="CQ3429">
        <f t="shared" si="656"/>
        <v>108</v>
      </c>
    </row>
    <row r="3430" spans="94:95">
      <c r="CP3430">
        <f>IF(周转筐出入库明细!$C1431="",0,1)</f>
        <v>0</v>
      </c>
      <c r="CQ3430">
        <f t="shared" si="656"/>
        <v>108</v>
      </c>
    </row>
    <row r="3431" spans="94:95">
      <c r="CP3431">
        <f>IF(周转筐出入库明细!$C1432="",0,1)</f>
        <v>0</v>
      </c>
      <c r="CQ3431">
        <f t="shared" si="656"/>
        <v>108</v>
      </c>
    </row>
    <row r="3432" spans="94:95">
      <c r="CP3432">
        <f>IF(周转筐出入库明细!$C1433="",0,1)</f>
        <v>0</v>
      </c>
      <c r="CQ3432">
        <f t="shared" si="656"/>
        <v>108</v>
      </c>
    </row>
    <row r="3433" spans="94:95">
      <c r="CP3433">
        <f>IF(周转筐出入库明细!$C1434="",0,1)</f>
        <v>0</v>
      </c>
      <c r="CQ3433">
        <f t="shared" si="656"/>
        <v>108</v>
      </c>
    </row>
    <row r="3434" spans="94:95">
      <c r="CP3434">
        <f>IF(周转筐出入库明细!$C1435="",0,1)</f>
        <v>0</v>
      </c>
      <c r="CQ3434">
        <f t="shared" si="656"/>
        <v>108</v>
      </c>
    </row>
    <row r="3435" spans="94:95">
      <c r="CP3435">
        <f>IF(周转筐出入库明细!$C1436="",0,1)</f>
        <v>0</v>
      </c>
      <c r="CQ3435">
        <f t="shared" si="656"/>
        <v>108</v>
      </c>
    </row>
    <row r="3436" spans="94:95">
      <c r="CP3436">
        <f>IF(周转筐出入库明细!$C1437="",0,1)</f>
        <v>0</v>
      </c>
      <c r="CQ3436">
        <f t="shared" si="656"/>
        <v>108</v>
      </c>
    </row>
    <row r="3437" spans="94:95">
      <c r="CP3437">
        <f>IF(周转筐出入库明细!$C1438="",0,1)</f>
        <v>0</v>
      </c>
      <c r="CQ3437">
        <f t="shared" si="656"/>
        <v>108</v>
      </c>
    </row>
    <row r="3438" spans="94:95">
      <c r="CP3438">
        <f>IF(周转筐出入库明细!$C1439="",0,1)</f>
        <v>0</v>
      </c>
      <c r="CQ3438">
        <f t="shared" si="656"/>
        <v>108</v>
      </c>
    </row>
    <row r="3439" spans="94:95">
      <c r="CP3439">
        <f>IF(周转筐出入库明细!$C1440="",0,1)</f>
        <v>0</v>
      </c>
      <c r="CQ3439">
        <f t="shared" si="656"/>
        <v>108</v>
      </c>
    </row>
    <row r="3440" spans="94:95">
      <c r="CP3440">
        <f>IF(周转筐出入库明细!$C1441="",0,1)</f>
        <v>0</v>
      </c>
      <c r="CQ3440">
        <f t="shared" si="656"/>
        <v>108</v>
      </c>
    </row>
    <row r="3441" spans="94:95">
      <c r="CP3441">
        <f>IF(周转筐出入库明细!$C1442="",0,1)</f>
        <v>0</v>
      </c>
      <c r="CQ3441">
        <f t="shared" si="656"/>
        <v>108</v>
      </c>
    </row>
    <row r="3442" spans="94:95">
      <c r="CP3442">
        <f>IF(周转筐出入库明细!$C1443="",0,1)</f>
        <v>0</v>
      </c>
      <c r="CQ3442">
        <f t="shared" si="656"/>
        <v>108</v>
      </c>
    </row>
    <row r="3443" spans="94:95">
      <c r="CP3443">
        <f>IF(周转筐出入库明细!$C1444="",0,1)</f>
        <v>0</v>
      </c>
      <c r="CQ3443">
        <f t="shared" si="656"/>
        <v>108</v>
      </c>
    </row>
    <row r="3444" spans="94:95">
      <c r="CP3444">
        <f>IF(周转筐出入库明细!$C1445="",0,1)</f>
        <v>0</v>
      </c>
      <c r="CQ3444">
        <f t="shared" si="656"/>
        <v>108</v>
      </c>
    </row>
    <row r="3445" spans="94:95">
      <c r="CP3445">
        <f>IF(周转筐出入库明细!$C1446="",0,1)</f>
        <v>0</v>
      </c>
      <c r="CQ3445">
        <f t="shared" si="656"/>
        <v>108</v>
      </c>
    </row>
    <row r="3446" spans="94:95">
      <c r="CP3446">
        <f>IF(周转筐出入库明细!$C1447="",0,1)</f>
        <v>0</v>
      </c>
      <c r="CQ3446">
        <f t="shared" si="656"/>
        <v>108</v>
      </c>
    </row>
    <row r="3447" spans="94:95">
      <c r="CP3447">
        <f>IF(周转筐出入库明细!$C1448="",0,1)</f>
        <v>0</v>
      </c>
      <c r="CQ3447">
        <f t="shared" si="656"/>
        <v>108</v>
      </c>
    </row>
    <row r="3448" spans="94:95">
      <c r="CP3448">
        <f>IF(周转筐出入库明细!$C1449="",0,1)</f>
        <v>0</v>
      </c>
      <c r="CQ3448">
        <f t="shared" si="656"/>
        <v>108</v>
      </c>
    </row>
    <row r="3449" spans="94:95">
      <c r="CP3449">
        <f>IF(周转筐出入库明细!$C1450="",0,1)</f>
        <v>0</v>
      </c>
      <c r="CQ3449">
        <f t="shared" si="656"/>
        <v>108</v>
      </c>
    </row>
    <row r="3450" spans="94:95">
      <c r="CP3450">
        <f>IF(周转筐出入库明细!$C1451="",0,1)</f>
        <v>0</v>
      </c>
      <c r="CQ3450">
        <f t="shared" si="656"/>
        <v>108</v>
      </c>
    </row>
    <row r="3451" spans="94:95">
      <c r="CP3451">
        <f>IF(周转筐出入库明细!$C1452="",0,1)</f>
        <v>0</v>
      </c>
      <c r="CQ3451">
        <f t="shared" si="656"/>
        <v>108</v>
      </c>
    </row>
    <row r="3452" spans="94:95">
      <c r="CP3452">
        <f>IF(周转筐出入库明细!$C1453="",0,1)</f>
        <v>0</v>
      </c>
      <c r="CQ3452">
        <f t="shared" si="656"/>
        <v>108</v>
      </c>
    </row>
    <row r="3453" spans="94:95">
      <c r="CP3453">
        <f>IF(周转筐出入库明细!$C1454="",0,1)</f>
        <v>0</v>
      </c>
      <c r="CQ3453">
        <f t="shared" si="656"/>
        <v>108</v>
      </c>
    </row>
    <row r="3454" spans="94:95">
      <c r="CP3454">
        <f>IF(周转筐出入库明细!$C1455="",0,1)</f>
        <v>0</v>
      </c>
      <c r="CQ3454">
        <f t="shared" si="656"/>
        <v>108</v>
      </c>
    </row>
    <row r="3455" spans="94:95">
      <c r="CP3455">
        <f>IF(周转筐出入库明细!$C1456="",0,1)</f>
        <v>0</v>
      </c>
      <c r="CQ3455">
        <f t="shared" si="656"/>
        <v>108</v>
      </c>
    </row>
    <row r="3456" spans="94:95">
      <c r="CP3456">
        <f>IF(周转筐出入库明细!$C1457="",0,1)</f>
        <v>0</v>
      </c>
      <c r="CQ3456">
        <f t="shared" si="656"/>
        <v>108</v>
      </c>
    </row>
    <row r="3457" spans="94:95">
      <c r="CP3457">
        <f>IF(周转筐出入库明细!$C1458="",0,1)</f>
        <v>0</v>
      </c>
      <c r="CQ3457">
        <f t="shared" si="656"/>
        <v>108</v>
      </c>
    </row>
    <row r="3458" spans="94:95">
      <c r="CP3458">
        <f>IF(周转筐出入库明细!$C1459="",0,1)</f>
        <v>0</v>
      </c>
      <c r="CQ3458">
        <f t="shared" si="656"/>
        <v>108</v>
      </c>
    </row>
    <row r="3459" spans="94:95">
      <c r="CP3459">
        <f>IF(周转筐出入库明细!$C1460="",0,1)</f>
        <v>0</v>
      </c>
      <c r="CQ3459">
        <f t="shared" si="656"/>
        <v>108</v>
      </c>
    </row>
    <row r="3460" spans="94:95">
      <c r="CP3460">
        <f>IF(周转筐出入库明细!$C1461="",0,1)</f>
        <v>0</v>
      </c>
      <c r="CQ3460">
        <f t="shared" ref="CQ3460:CQ3523" si="657">N(CQ3459)+$CP3460</f>
        <v>108</v>
      </c>
    </row>
    <row r="3461" spans="94:95">
      <c r="CP3461">
        <f>IF(周转筐出入库明细!$C1462="",0,1)</f>
        <v>0</v>
      </c>
      <c r="CQ3461">
        <f t="shared" si="657"/>
        <v>108</v>
      </c>
    </row>
    <row r="3462" spans="94:95">
      <c r="CP3462">
        <f>IF(周转筐出入库明细!$C1463="",0,1)</f>
        <v>0</v>
      </c>
      <c r="CQ3462">
        <f t="shared" si="657"/>
        <v>108</v>
      </c>
    </row>
    <row r="3463" spans="94:95">
      <c r="CP3463">
        <f>IF(周转筐出入库明细!$C1464="",0,1)</f>
        <v>0</v>
      </c>
      <c r="CQ3463">
        <f t="shared" si="657"/>
        <v>108</v>
      </c>
    </row>
    <row r="3464" spans="94:95">
      <c r="CP3464">
        <f>IF(周转筐出入库明细!$C1465="",0,1)</f>
        <v>0</v>
      </c>
      <c r="CQ3464">
        <f t="shared" si="657"/>
        <v>108</v>
      </c>
    </row>
    <row r="3465" spans="94:95">
      <c r="CP3465">
        <f>IF(周转筐出入库明细!$C1466="",0,1)</f>
        <v>0</v>
      </c>
      <c r="CQ3465">
        <f t="shared" si="657"/>
        <v>108</v>
      </c>
    </row>
    <row r="3466" spans="94:95">
      <c r="CP3466">
        <f>IF(周转筐出入库明细!$C1467="",0,1)</f>
        <v>0</v>
      </c>
      <c r="CQ3466">
        <f t="shared" si="657"/>
        <v>108</v>
      </c>
    </row>
    <row r="3467" spans="94:95">
      <c r="CP3467">
        <f>IF(周转筐出入库明细!$C1468="",0,1)</f>
        <v>0</v>
      </c>
      <c r="CQ3467">
        <f t="shared" si="657"/>
        <v>108</v>
      </c>
    </row>
    <row r="3468" spans="94:95">
      <c r="CP3468">
        <f>IF(周转筐出入库明细!$C1469="",0,1)</f>
        <v>0</v>
      </c>
      <c r="CQ3468">
        <f t="shared" si="657"/>
        <v>108</v>
      </c>
    </row>
    <row r="3469" spans="94:95">
      <c r="CP3469">
        <f>IF(周转筐出入库明细!$C1470="",0,1)</f>
        <v>0</v>
      </c>
      <c r="CQ3469">
        <f t="shared" si="657"/>
        <v>108</v>
      </c>
    </row>
    <row r="3470" spans="94:95">
      <c r="CP3470">
        <f>IF(周转筐出入库明细!$C1471="",0,1)</f>
        <v>0</v>
      </c>
      <c r="CQ3470">
        <f t="shared" si="657"/>
        <v>108</v>
      </c>
    </row>
    <row r="3471" spans="94:95">
      <c r="CP3471">
        <f>IF(周转筐出入库明细!$C1472="",0,1)</f>
        <v>0</v>
      </c>
      <c r="CQ3471">
        <f t="shared" si="657"/>
        <v>108</v>
      </c>
    </row>
    <row r="3472" spans="94:95">
      <c r="CP3472">
        <f>IF(周转筐出入库明细!$C1473="",0,1)</f>
        <v>0</v>
      </c>
      <c r="CQ3472">
        <f t="shared" si="657"/>
        <v>108</v>
      </c>
    </row>
    <row r="3473" spans="94:95">
      <c r="CP3473">
        <f>IF(周转筐出入库明细!$C1474="",0,1)</f>
        <v>0</v>
      </c>
      <c r="CQ3473">
        <f t="shared" si="657"/>
        <v>108</v>
      </c>
    </row>
    <row r="3474" spans="94:95">
      <c r="CP3474">
        <f>IF(周转筐出入库明细!$C1475="",0,1)</f>
        <v>0</v>
      </c>
      <c r="CQ3474">
        <f t="shared" si="657"/>
        <v>108</v>
      </c>
    </row>
    <row r="3475" spans="94:95">
      <c r="CP3475">
        <f>IF(周转筐出入库明细!$C1476="",0,1)</f>
        <v>0</v>
      </c>
      <c r="CQ3475">
        <f t="shared" si="657"/>
        <v>108</v>
      </c>
    </row>
    <row r="3476" spans="94:95">
      <c r="CP3476">
        <f>IF(周转筐出入库明细!$C1477="",0,1)</f>
        <v>0</v>
      </c>
      <c r="CQ3476">
        <f t="shared" si="657"/>
        <v>108</v>
      </c>
    </row>
    <row r="3477" spans="94:95">
      <c r="CP3477">
        <f>IF(周转筐出入库明细!$C1478="",0,1)</f>
        <v>0</v>
      </c>
      <c r="CQ3477">
        <f t="shared" si="657"/>
        <v>108</v>
      </c>
    </row>
    <row r="3478" spans="94:95">
      <c r="CP3478">
        <f>IF(周转筐出入库明细!$C1479="",0,1)</f>
        <v>0</v>
      </c>
      <c r="CQ3478">
        <f t="shared" si="657"/>
        <v>108</v>
      </c>
    </row>
    <row r="3479" spans="94:95">
      <c r="CP3479">
        <f>IF(周转筐出入库明细!$C1480="",0,1)</f>
        <v>0</v>
      </c>
      <c r="CQ3479">
        <f t="shared" si="657"/>
        <v>108</v>
      </c>
    </row>
    <row r="3480" spans="94:95">
      <c r="CP3480">
        <f>IF(周转筐出入库明细!$C1481="",0,1)</f>
        <v>0</v>
      </c>
      <c r="CQ3480">
        <f t="shared" si="657"/>
        <v>108</v>
      </c>
    </row>
    <row r="3481" spans="94:95">
      <c r="CP3481">
        <f>IF(周转筐出入库明细!$C1482="",0,1)</f>
        <v>0</v>
      </c>
      <c r="CQ3481">
        <f t="shared" si="657"/>
        <v>108</v>
      </c>
    </row>
    <row r="3482" spans="94:95">
      <c r="CP3482">
        <f>IF(周转筐出入库明细!$C1483="",0,1)</f>
        <v>0</v>
      </c>
      <c r="CQ3482">
        <f t="shared" si="657"/>
        <v>108</v>
      </c>
    </row>
    <row r="3483" spans="94:95">
      <c r="CP3483">
        <f>IF(周转筐出入库明细!$C1484="",0,1)</f>
        <v>0</v>
      </c>
      <c r="CQ3483">
        <f t="shared" si="657"/>
        <v>108</v>
      </c>
    </row>
    <row r="3484" spans="94:95">
      <c r="CP3484">
        <f>IF(周转筐出入库明细!$C1485="",0,1)</f>
        <v>0</v>
      </c>
      <c r="CQ3484">
        <f t="shared" si="657"/>
        <v>108</v>
      </c>
    </row>
    <row r="3485" spans="94:95">
      <c r="CP3485">
        <f>IF(周转筐出入库明细!$C1486="",0,1)</f>
        <v>0</v>
      </c>
      <c r="CQ3485">
        <f t="shared" si="657"/>
        <v>108</v>
      </c>
    </row>
    <row r="3486" spans="94:95">
      <c r="CP3486">
        <f>IF(周转筐出入库明细!$C1487="",0,1)</f>
        <v>0</v>
      </c>
      <c r="CQ3486">
        <f t="shared" si="657"/>
        <v>108</v>
      </c>
    </row>
    <row r="3487" spans="94:95">
      <c r="CP3487">
        <f>IF(周转筐出入库明细!$C1488="",0,1)</f>
        <v>0</v>
      </c>
      <c r="CQ3487">
        <f t="shared" si="657"/>
        <v>108</v>
      </c>
    </row>
    <row r="3488" spans="94:95">
      <c r="CP3488">
        <f>IF(周转筐出入库明细!$C1489="",0,1)</f>
        <v>0</v>
      </c>
      <c r="CQ3488">
        <f t="shared" si="657"/>
        <v>108</v>
      </c>
    </row>
    <row r="3489" spans="94:95">
      <c r="CP3489">
        <f>IF(周转筐出入库明细!$C1490="",0,1)</f>
        <v>0</v>
      </c>
      <c r="CQ3489">
        <f t="shared" si="657"/>
        <v>108</v>
      </c>
    </row>
    <row r="3490" spans="94:95">
      <c r="CP3490">
        <f>IF(周转筐出入库明细!$C1491="",0,1)</f>
        <v>0</v>
      </c>
      <c r="CQ3490">
        <f t="shared" si="657"/>
        <v>108</v>
      </c>
    </row>
    <row r="3491" spans="94:95">
      <c r="CP3491">
        <f>IF(周转筐出入库明细!$C1492="",0,1)</f>
        <v>0</v>
      </c>
      <c r="CQ3491">
        <f t="shared" si="657"/>
        <v>108</v>
      </c>
    </row>
    <row r="3492" spans="94:95">
      <c r="CP3492">
        <f>IF(周转筐出入库明细!$C1493="",0,1)</f>
        <v>0</v>
      </c>
      <c r="CQ3492">
        <f t="shared" si="657"/>
        <v>108</v>
      </c>
    </row>
    <row r="3493" spans="94:95">
      <c r="CP3493">
        <f>IF(周转筐出入库明细!$C1494="",0,1)</f>
        <v>0</v>
      </c>
      <c r="CQ3493">
        <f t="shared" si="657"/>
        <v>108</v>
      </c>
    </row>
    <row r="3494" spans="94:95">
      <c r="CP3494">
        <f>IF(周转筐出入库明细!$C1495="",0,1)</f>
        <v>0</v>
      </c>
      <c r="CQ3494">
        <f t="shared" si="657"/>
        <v>108</v>
      </c>
    </row>
    <row r="3495" spans="94:95">
      <c r="CP3495">
        <f>IF(周转筐出入库明细!$C1496="",0,1)</f>
        <v>0</v>
      </c>
      <c r="CQ3495">
        <f t="shared" si="657"/>
        <v>108</v>
      </c>
    </row>
    <row r="3496" spans="94:95">
      <c r="CP3496">
        <f>IF(周转筐出入库明细!$C1497="",0,1)</f>
        <v>0</v>
      </c>
      <c r="CQ3496">
        <f t="shared" si="657"/>
        <v>108</v>
      </c>
    </row>
    <row r="3497" spans="94:95">
      <c r="CP3497">
        <f>IF(周转筐出入库明细!$C1498="",0,1)</f>
        <v>0</v>
      </c>
      <c r="CQ3497">
        <f t="shared" si="657"/>
        <v>108</v>
      </c>
    </row>
    <row r="3498" spans="94:95">
      <c r="CP3498">
        <f>IF(周转筐出入库明细!$C1499="",0,1)</f>
        <v>0</v>
      </c>
      <c r="CQ3498">
        <f t="shared" si="657"/>
        <v>108</v>
      </c>
    </row>
    <row r="3499" spans="94:95">
      <c r="CP3499">
        <f>IF(周转筐出入库明细!$C1500="",0,1)</f>
        <v>0</v>
      </c>
      <c r="CQ3499">
        <f t="shared" si="657"/>
        <v>108</v>
      </c>
    </row>
    <row r="3500" spans="94:95">
      <c r="CP3500">
        <f>IF(周转筐出入库明细!$C1501="",0,1)</f>
        <v>0</v>
      </c>
      <c r="CQ3500">
        <f t="shared" si="657"/>
        <v>108</v>
      </c>
    </row>
    <row r="3501" spans="94:95">
      <c r="CP3501">
        <f>IF(周转筐出入库明细!$C1502="",0,1)</f>
        <v>0</v>
      </c>
      <c r="CQ3501">
        <f t="shared" si="657"/>
        <v>108</v>
      </c>
    </row>
    <row r="3502" spans="94:95">
      <c r="CP3502">
        <f>IF(周转筐出入库明细!$C1503="",0,1)</f>
        <v>0</v>
      </c>
      <c r="CQ3502">
        <f t="shared" si="657"/>
        <v>108</v>
      </c>
    </row>
    <row r="3503" spans="94:95">
      <c r="CP3503">
        <f>IF(周转筐出入库明细!$C1504="",0,1)</f>
        <v>0</v>
      </c>
      <c r="CQ3503">
        <f t="shared" si="657"/>
        <v>108</v>
      </c>
    </row>
    <row r="3504" spans="94:95">
      <c r="CP3504">
        <f>IF(周转筐出入库明细!$C1505="",0,1)</f>
        <v>0</v>
      </c>
      <c r="CQ3504">
        <f t="shared" si="657"/>
        <v>108</v>
      </c>
    </row>
    <row r="3505" spans="94:95">
      <c r="CP3505">
        <f>IF(周转筐出入库明细!$C1506="",0,1)</f>
        <v>0</v>
      </c>
      <c r="CQ3505">
        <f t="shared" si="657"/>
        <v>108</v>
      </c>
    </row>
    <row r="3506" spans="94:95">
      <c r="CP3506">
        <f>IF(周转筐出入库明细!$C1507="",0,1)</f>
        <v>0</v>
      </c>
      <c r="CQ3506">
        <f t="shared" si="657"/>
        <v>108</v>
      </c>
    </row>
    <row r="3507" spans="94:95">
      <c r="CP3507">
        <f>IF(周转筐出入库明细!$C1508="",0,1)</f>
        <v>0</v>
      </c>
      <c r="CQ3507">
        <f t="shared" si="657"/>
        <v>108</v>
      </c>
    </row>
    <row r="3508" spans="94:95">
      <c r="CP3508">
        <f>IF(周转筐出入库明细!$C1509="",0,1)</f>
        <v>0</v>
      </c>
      <c r="CQ3508">
        <f t="shared" si="657"/>
        <v>108</v>
      </c>
    </row>
    <row r="3509" spans="94:95">
      <c r="CP3509">
        <f>IF(周转筐出入库明细!$C1510="",0,1)</f>
        <v>0</v>
      </c>
      <c r="CQ3509">
        <f t="shared" si="657"/>
        <v>108</v>
      </c>
    </row>
    <row r="3510" spans="94:95">
      <c r="CP3510">
        <f>IF(周转筐出入库明细!$C1511="",0,1)</f>
        <v>0</v>
      </c>
      <c r="CQ3510">
        <f t="shared" si="657"/>
        <v>108</v>
      </c>
    </row>
    <row r="3511" spans="94:95">
      <c r="CP3511">
        <f>IF(周转筐出入库明细!$C1512="",0,1)</f>
        <v>0</v>
      </c>
      <c r="CQ3511">
        <f t="shared" si="657"/>
        <v>108</v>
      </c>
    </row>
    <row r="3512" spans="94:95">
      <c r="CP3512">
        <f>IF(周转筐出入库明细!$C1513="",0,1)</f>
        <v>0</v>
      </c>
      <c r="CQ3512">
        <f t="shared" si="657"/>
        <v>108</v>
      </c>
    </row>
    <row r="3513" spans="94:95">
      <c r="CP3513">
        <f>IF(周转筐出入库明细!$C1514="",0,1)</f>
        <v>0</v>
      </c>
      <c r="CQ3513">
        <f t="shared" si="657"/>
        <v>108</v>
      </c>
    </row>
    <row r="3514" spans="94:95">
      <c r="CP3514">
        <f>IF(周转筐出入库明细!$C1515="",0,1)</f>
        <v>0</v>
      </c>
      <c r="CQ3514">
        <f t="shared" si="657"/>
        <v>108</v>
      </c>
    </row>
    <row r="3515" spans="94:95">
      <c r="CP3515">
        <f>IF(周转筐出入库明细!$C1516="",0,1)</f>
        <v>0</v>
      </c>
      <c r="CQ3515">
        <f t="shared" si="657"/>
        <v>108</v>
      </c>
    </row>
    <row r="3516" spans="94:95">
      <c r="CP3516">
        <f>IF(周转筐出入库明细!$C1517="",0,1)</f>
        <v>0</v>
      </c>
      <c r="CQ3516">
        <f t="shared" si="657"/>
        <v>108</v>
      </c>
    </row>
    <row r="3517" spans="94:95">
      <c r="CP3517">
        <f>IF(周转筐出入库明细!$C1518="",0,1)</f>
        <v>0</v>
      </c>
      <c r="CQ3517">
        <f t="shared" si="657"/>
        <v>108</v>
      </c>
    </row>
    <row r="3518" spans="94:95">
      <c r="CP3518">
        <f>IF(周转筐出入库明细!$C1519="",0,1)</f>
        <v>0</v>
      </c>
      <c r="CQ3518">
        <f t="shared" si="657"/>
        <v>108</v>
      </c>
    </row>
    <row r="3519" spans="94:95">
      <c r="CP3519">
        <f>IF(周转筐出入库明细!$C1520="",0,1)</f>
        <v>0</v>
      </c>
      <c r="CQ3519">
        <f t="shared" si="657"/>
        <v>108</v>
      </c>
    </row>
    <row r="3520" spans="94:95">
      <c r="CP3520">
        <f>IF(周转筐出入库明细!$C1521="",0,1)</f>
        <v>0</v>
      </c>
      <c r="CQ3520">
        <f t="shared" si="657"/>
        <v>108</v>
      </c>
    </row>
    <row r="3521" spans="94:95">
      <c r="CP3521">
        <f>IF(周转筐出入库明细!$C1522="",0,1)</f>
        <v>0</v>
      </c>
      <c r="CQ3521">
        <f t="shared" si="657"/>
        <v>108</v>
      </c>
    </row>
    <row r="3522" spans="94:95">
      <c r="CP3522">
        <f>IF(周转筐出入库明细!$C1523="",0,1)</f>
        <v>0</v>
      </c>
      <c r="CQ3522">
        <f t="shared" si="657"/>
        <v>108</v>
      </c>
    </row>
    <row r="3523" spans="94:95">
      <c r="CP3523">
        <f>IF(周转筐出入库明细!$C1524="",0,1)</f>
        <v>0</v>
      </c>
      <c r="CQ3523">
        <f t="shared" si="657"/>
        <v>108</v>
      </c>
    </row>
    <row r="3524" spans="94:95">
      <c r="CP3524">
        <f>IF(周转筐出入库明细!$C1525="",0,1)</f>
        <v>0</v>
      </c>
      <c r="CQ3524">
        <f t="shared" ref="CQ3524:CQ3587" si="658">N(CQ3523)+$CP3524</f>
        <v>108</v>
      </c>
    </row>
    <row r="3525" spans="94:95">
      <c r="CP3525">
        <f>IF(周转筐出入库明细!$C1526="",0,1)</f>
        <v>0</v>
      </c>
      <c r="CQ3525">
        <f t="shared" si="658"/>
        <v>108</v>
      </c>
    </row>
    <row r="3526" spans="94:95">
      <c r="CP3526">
        <f>IF(周转筐出入库明细!$C1527="",0,1)</f>
        <v>0</v>
      </c>
      <c r="CQ3526">
        <f t="shared" si="658"/>
        <v>108</v>
      </c>
    </row>
    <row r="3527" spans="94:95">
      <c r="CP3527">
        <f>IF(周转筐出入库明细!$C1528="",0,1)</f>
        <v>0</v>
      </c>
      <c r="CQ3527">
        <f t="shared" si="658"/>
        <v>108</v>
      </c>
    </row>
    <row r="3528" spans="94:95">
      <c r="CP3528">
        <f>IF(周转筐出入库明细!$C1529="",0,1)</f>
        <v>0</v>
      </c>
      <c r="CQ3528">
        <f t="shared" si="658"/>
        <v>108</v>
      </c>
    </row>
    <row r="3529" spans="94:95">
      <c r="CP3529">
        <f>IF(周转筐出入库明细!$C1530="",0,1)</f>
        <v>0</v>
      </c>
      <c r="CQ3529">
        <f t="shared" si="658"/>
        <v>108</v>
      </c>
    </row>
    <row r="3530" spans="94:95">
      <c r="CP3530">
        <f>IF(周转筐出入库明细!$C1531="",0,1)</f>
        <v>0</v>
      </c>
      <c r="CQ3530">
        <f t="shared" si="658"/>
        <v>108</v>
      </c>
    </row>
    <row r="3531" spans="94:95">
      <c r="CP3531">
        <f>IF(周转筐出入库明细!$C1532="",0,1)</f>
        <v>0</v>
      </c>
      <c r="CQ3531">
        <f t="shared" si="658"/>
        <v>108</v>
      </c>
    </row>
    <row r="3532" spans="94:95">
      <c r="CP3532">
        <f>IF(周转筐出入库明细!$C1533="",0,1)</f>
        <v>0</v>
      </c>
      <c r="CQ3532">
        <f t="shared" si="658"/>
        <v>108</v>
      </c>
    </row>
    <row r="3533" spans="94:95">
      <c r="CP3533">
        <f>IF(周转筐出入库明细!$C1534="",0,1)</f>
        <v>0</v>
      </c>
      <c r="CQ3533">
        <f t="shared" si="658"/>
        <v>108</v>
      </c>
    </row>
    <row r="3534" spans="94:95">
      <c r="CP3534">
        <f>IF(周转筐出入库明细!$C1535="",0,1)</f>
        <v>0</v>
      </c>
      <c r="CQ3534">
        <f t="shared" si="658"/>
        <v>108</v>
      </c>
    </row>
    <row r="3535" spans="94:95">
      <c r="CP3535">
        <f>IF(周转筐出入库明细!$C1536="",0,1)</f>
        <v>0</v>
      </c>
      <c r="CQ3535">
        <f t="shared" si="658"/>
        <v>108</v>
      </c>
    </row>
    <row r="3536" spans="94:95">
      <c r="CP3536">
        <f>IF(周转筐出入库明细!$C1537="",0,1)</f>
        <v>0</v>
      </c>
      <c r="CQ3536">
        <f t="shared" si="658"/>
        <v>108</v>
      </c>
    </row>
    <row r="3537" spans="94:95">
      <c r="CP3537">
        <f>IF(周转筐出入库明细!$C1538="",0,1)</f>
        <v>0</v>
      </c>
      <c r="CQ3537">
        <f t="shared" si="658"/>
        <v>108</v>
      </c>
    </row>
    <row r="3538" spans="94:95">
      <c r="CP3538">
        <f>IF(周转筐出入库明细!$C1539="",0,1)</f>
        <v>0</v>
      </c>
      <c r="CQ3538">
        <f t="shared" si="658"/>
        <v>108</v>
      </c>
    </row>
    <row r="3539" spans="94:95">
      <c r="CP3539">
        <f>IF(周转筐出入库明细!$C1540="",0,1)</f>
        <v>0</v>
      </c>
      <c r="CQ3539">
        <f t="shared" si="658"/>
        <v>108</v>
      </c>
    </row>
    <row r="3540" spans="94:95">
      <c r="CP3540">
        <f>IF(周转筐出入库明细!$C1541="",0,1)</f>
        <v>0</v>
      </c>
      <c r="CQ3540">
        <f t="shared" si="658"/>
        <v>108</v>
      </c>
    </row>
    <row r="3541" spans="94:95">
      <c r="CP3541">
        <f>IF(周转筐出入库明细!$C1542="",0,1)</f>
        <v>0</v>
      </c>
      <c r="CQ3541">
        <f t="shared" si="658"/>
        <v>108</v>
      </c>
    </row>
    <row r="3542" spans="94:95">
      <c r="CP3542">
        <f>IF(周转筐出入库明细!$C1543="",0,1)</f>
        <v>0</v>
      </c>
      <c r="CQ3542">
        <f t="shared" si="658"/>
        <v>108</v>
      </c>
    </row>
    <row r="3543" spans="94:95">
      <c r="CP3543">
        <f>IF(周转筐出入库明细!$C1544="",0,1)</f>
        <v>0</v>
      </c>
      <c r="CQ3543">
        <f t="shared" si="658"/>
        <v>108</v>
      </c>
    </row>
    <row r="3544" spans="94:95">
      <c r="CP3544">
        <f>IF(周转筐出入库明细!$C1545="",0,1)</f>
        <v>0</v>
      </c>
      <c r="CQ3544">
        <f t="shared" si="658"/>
        <v>108</v>
      </c>
    </row>
    <row r="3545" spans="94:95">
      <c r="CP3545">
        <f>IF(周转筐出入库明细!$C1546="",0,1)</f>
        <v>0</v>
      </c>
      <c r="CQ3545">
        <f t="shared" si="658"/>
        <v>108</v>
      </c>
    </row>
    <row r="3546" spans="94:95">
      <c r="CP3546">
        <f>IF(周转筐出入库明细!$C1547="",0,1)</f>
        <v>0</v>
      </c>
      <c r="CQ3546">
        <f t="shared" si="658"/>
        <v>108</v>
      </c>
    </row>
    <row r="3547" spans="94:95">
      <c r="CP3547">
        <f>IF(周转筐出入库明细!$C1548="",0,1)</f>
        <v>0</v>
      </c>
      <c r="CQ3547">
        <f t="shared" si="658"/>
        <v>108</v>
      </c>
    </row>
    <row r="3548" spans="94:95">
      <c r="CP3548">
        <f>IF(周转筐出入库明细!$C1549="",0,1)</f>
        <v>0</v>
      </c>
      <c r="CQ3548">
        <f t="shared" si="658"/>
        <v>108</v>
      </c>
    </row>
    <row r="3549" spans="94:95">
      <c r="CP3549">
        <f>IF(周转筐出入库明细!$C1550="",0,1)</f>
        <v>0</v>
      </c>
      <c r="CQ3549">
        <f t="shared" si="658"/>
        <v>108</v>
      </c>
    </row>
    <row r="3550" spans="94:95">
      <c r="CP3550">
        <f>IF(周转筐出入库明细!$C1551="",0,1)</f>
        <v>0</v>
      </c>
      <c r="CQ3550">
        <f t="shared" si="658"/>
        <v>108</v>
      </c>
    </row>
    <row r="3551" spans="94:95">
      <c r="CP3551">
        <f>IF(周转筐出入库明细!$C1552="",0,1)</f>
        <v>0</v>
      </c>
      <c r="CQ3551">
        <f t="shared" si="658"/>
        <v>108</v>
      </c>
    </row>
    <row r="3552" spans="94:95">
      <c r="CP3552">
        <f>IF(周转筐出入库明细!$C1553="",0,1)</f>
        <v>0</v>
      </c>
      <c r="CQ3552">
        <f t="shared" si="658"/>
        <v>108</v>
      </c>
    </row>
    <row r="3553" spans="94:95">
      <c r="CP3553">
        <f>IF(周转筐出入库明细!$C1554="",0,1)</f>
        <v>0</v>
      </c>
      <c r="CQ3553">
        <f t="shared" si="658"/>
        <v>108</v>
      </c>
    </row>
    <row r="3554" spans="94:95">
      <c r="CP3554">
        <f>IF(周转筐出入库明细!$C1555="",0,1)</f>
        <v>0</v>
      </c>
      <c r="CQ3554">
        <f t="shared" si="658"/>
        <v>108</v>
      </c>
    </row>
    <row r="3555" spans="94:95">
      <c r="CP3555">
        <f>IF(周转筐出入库明细!$C1556="",0,1)</f>
        <v>0</v>
      </c>
      <c r="CQ3555">
        <f t="shared" si="658"/>
        <v>108</v>
      </c>
    </row>
    <row r="3556" spans="94:95">
      <c r="CP3556">
        <f>IF(周转筐出入库明细!$C1557="",0,1)</f>
        <v>0</v>
      </c>
      <c r="CQ3556">
        <f t="shared" si="658"/>
        <v>108</v>
      </c>
    </row>
    <row r="3557" spans="94:95">
      <c r="CP3557">
        <f>IF(周转筐出入库明细!$C1558="",0,1)</f>
        <v>0</v>
      </c>
      <c r="CQ3557">
        <f t="shared" si="658"/>
        <v>108</v>
      </c>
    </row>
    <row r="3558" spans="94:95">
      <c r="CP3558">
        <f>IF(周转筐出入库明细!$C1559="",0,1)</f>
        <v>0</v>
      </c>
      <c r="CQ3558">
        <f t="shared" si="658"/>
        <v>108</v>
      </c>
    </row>
    <row r="3559" spans="94:95">
      <c r="CP3559">
        <f>IF(周转筐出入库明细!$C1560="",0,1)</f>
        <v>0</v>
      </c>
      <c r="CQ3559">
        <f t="shared" si="658"/>
        <v>108</v>
      </c>
    </row>
    <row r="3560" spans="94:95">
      <c r="CP3560">
        <f>IF(周转筐出入库明细!$C1561="",0,1)</f>
        <v>0</v>
      </c>
      <c r="CQ3560">
        <f t="shared" si="658"/>
        <v>108</v>
      </c>
    </row>
    <row r="3561" spans="94:95">
      <c r="CP3561">
        <f>IF(周转筐出入库明细!$C1562="",0,1)</f>
        <v>0</v>
      </c>
      <c r="CQ3561">
        <f t="shared" si="658"/>
        <v>108</v>
      </c>
    </row>
    <row r="3562" spans="94:95">
      <c r="CP3562">
        <f>IF(周转筐出入库明细!$C1563="",0,1)</f>
        <v>0</v>
      </c>
      <c r="CQ3562">
        <f t="shared" si="658"/>
        <v>108</v>
      </c>
    </row>
    <row r="3563" spans="94:95">
      <c r="CP3563">
        <f>IF(周转筐出入库明细!$C1564="",0,1)</f>
        <v>0</v>
      </c>
      <c r="CQ3563">
        <f t="shared" si="658"/>
        <v>108</v>
      </c>
    </row>
    <row r="3564" spans="94:95">
      <c r="CP3564">
        <f>IF(周转筐出入库明细!$C1565="",0,1)</f>
        <v>0</v>
      </c>
      <c r="CQ3564">
        <f t="shared" si="658"/>
        <v>108</v>
      </c>
    </row>
    <row r="3565" spans="94:95">
      <c r="CP3565">
        <f>IF(周转筐出入库明细!$C1566="",0,1)</f>
        <v>0</v>
      </c>
      <c r="CQ3565">
        <f t="shared" si="658"/>
        <v>108</v>
      </c>
    </row>
    <row r="3566" spans="94:95">
      <c r="CP3566">
        <f>IF(周转筐出入库明细!$C1567="",0,1)</f>
        <v>0</v>
      </c>
      <c r="CQ3566">
        <f t="shared" si="658"/>
        <v>108</v>
      </c>
    </row>
    <row r="3567" spans="94:95">
      <c r="CP3567">
        <f>IF(周转筐出入库明细!$C1568="",0,1)</f>
        <v>0</v>
      </c>
      <c r="CQ3567">
        <f t="shared" si="658"/>
        <v>108</v>
      </c>
    </row>
    <row r="3568" spans="94:95">
      <c r="CP3568">
        <f>IF(周转筐出入库明细!$C1569="",0,1)</f>
        <v>0</v>
      </c>
      <c r="CQ3568">
        <f t="shared" si="658"/>
        <v>108</v>
      </c>
    </row>
    <row r="3569" spans="94:95">
      <c r="CP3569">
        <f>IF(周转筐出入库明细!$C1570="",0,1)</f>
        <v>0</v>
      </c>
      <c r="CQ3569">
        <f t="shared" si="658"/>
        <v>108</v>
      </c>
    </row>
    <row r="3570" spans="94:95">
      <c r="CP3570">
        <f>IF(周转筐出入库明细!$C1571="",0,1)</f>
        <v>0</v>
      </c>
      <c r="CQ3570">
        <f t="shared" si="658"/>
        <v>108</v>
      </c>
    </row>
    <row r="3571" spans="94:95">
      <c r="CP3571">
        <f>IF(周转筐出入库明细!$C1572="",0,1)</f>
        <v>0</v>
      </c>
      <c r="CQ3571">
        <f t="shared" si="658"/>
        <v>108</v>
      </c>
    </row>
    <row r="3572" spans="94:95">
      <c r="CP3572">
        <f>IF(周转筐出入库明细!$C1573="",0,1)</f>
        <v>0</v>
      </c>
      <c r="CQ3572">
        <f t="shared" si="658"/>
        <v>108</v>
      </c>
    </row>
    <row r="3573" spans="94:95">
      <c r="CP3573">
        <f>IF(周转筐出入库明细!$C1574="",0,1)</f>
        <v>0</v>
      </c>
      <c r="CQ3573">
        <f t="shared" si="658"/>
        <v>108</v>
      </c>
    </row>
    <row r="3574" spans="94:95">
      <c r="CP3574">
        <f>IF(周转筐出入库明细!$C1575="",0,1)</f>
        <v>0</v>
      </c>
      <c r="CQ3574">
        <f t="shared" si="658"/>
        <v>108</v>
      </c>
    </row>
    <row r="3575" spans="94:95">
      <c r="CP3575">
        <f>IF(周转筐出入库明细!$C1576="",0,1)</f>
        <v>0</v>
      </c>
      <c r="CQ3575">
        <f t="shared" si="658"/>
        <v>108</v>
      </c>
    </row>
    <row r="3576" spans="94:95">
      <c r="CP3576">
        <f>IF(周转筐出入库明细!$C1577="",0,1)</f>
        <v>0</v>
      </c>
      <c r="CQ3576">
        <f t="shared" si="658"/>
        <v>108</v>
      </c>
    </row>
    <row r="3577" spans="94:95">
      <c r="CP3577">
        <f>IF(周转筐出入库明细!$C1578="",0,1)</f>
        <v>0</v>
      </c>
      <c r="CQ3577">
        <f t="shared" si="658"/>
        <v>108</v>
      </c>
    </row>
    <row r="3578" spans="94:95">
      <c r="CP3578">
        <f>IF(周转筐出入库明细!$C1579="",0,1)</f>
        <v>0</v>
      </c>
      <c r="CQ3578">
        <f t="shared" si="658"/>
        <v>108</v>
      </c>
    </row>
    <row r="3579" spans="94:95">
      <c r="CP3579">
        <f>IF(周转筐出入库明细!$C1580="",0,1)</f>
        <v>0</v>
      </c>
      <c r="CQ3579">
        <f t="shared" si="658"/>
        <v>108</v>
      </c>
    </row>
    <row r="3580" spans="94:95">
      <c r="CP3580">
        <f>IF(周转筐出入库明细!$C1581="",0,1)</f>
        <v>0</v>
      </c>
      <c r="CQ3580">
        <f t="shared" si="658"/>
        <v>108</v>
      </c>
    </row>
    <row r="3581" spans="94:95">
      <c r="CP3581">
        <f>IF(周转筐出入库明细!$C1582="",0,1)</f>
        <v>0</v>
      </c>
      <c r="CQ3581">
        <f t="shared" si="658"/>
        <v>108</v>
      </c>
    </row>
    <row r="3582" spans="94:95">
      <c r="CP3582">
        <f>IF(周转筐出入库明细!$C1583="",0,1)</f>
        <v>0</v>
      </c>
      <c r="CQ3582">
        <f t="shared" si="658"/>
        <v>108</v>
      </c>
    </row>
    <row r="3583" spans="94:95">
      <c r="CP3583">
        <f>IF(周转筐出入库明细!$C1584="",0,1)</f>
        <v>0</v>
      </c>
      <c r="CQ3583">
        <f t="shared" si="658"/>
        <v>108</v>
      </c>
    </row>
    <row r="3584" spans="94:95">
      <c r="CP3584">
        <f>IF(周转筐出入库明细!$C1585="",0,1)</f>
        <v>0</v>
      </c>
      <c r="CQ3584">
        <f t="shared" si="658"/>
        <v>108</v>
      </c>
    </row>
    <row r="3585" spans="94:95">
      <c r="CP3585">
        <f>IF(周转筐出入库明细!$C1586="",0,1)</f>
        <v>0</v>
      </c>
      <c r="CQ3585">
        <f t="shared" si="658"/>
        <v>108</v>
      </c>
    </row>
    <row r="3586" spans="94:95">
      <c r="CP3586">
        <f>IF(周转筐出入库明细!$C1587="",0,1)</f>
        <v>0</v>
      </c>
      <c r="CQ3586">
        <f t="shared" si="658"/>
        <v>108</v>
      </c>
    </row>
    <row r="3587" spans="94:95">
      <c r="CP3587">
        <f>IF(周转筐出入库明细!$C1588="",0,1)</f>
        <v>0</v>
      </c>
      <c r="CQ3587">
        <f t="shared" si="658"/>
        <v>108</v>
      </c>
    </row>
    <row r="3588" spans="94:95">
      <c r="CP3588">
        <f>IF(周转筐出入库明细!$C1589="",0,1)</f>
        <v>0</v>
      </c>
      <c r="CQ3588">
        <f t="shared" ref="CQ3588:CQ3651" si="659">N(CQ3587)+$CP3588</f>
        <v>108</v>
      </c>
    </row>
    <row r="3589" spans="94:95">
      <c r="CP3589">
        <f>IF(周转筐出入库明细!$C1590="",0,1)</f>
        <v>0</v>
      </c>
      <c r="CQ3589">
        <f t="shared" si="659"/>
        <v>108</v>
      </c>
    </row>
    <row r="3590" spans="94:95">
      <c r="CP3590">
        <f>IF(周转筐出入库明细!$C1591="",0,1)</f>
        <v>0</v>
      </c>
      <c r="CQ3590">
        <f t="shared" si="659"/>
        <v>108</v>
      </c>
    </row>
    <row r="3591" spans="94:95">
      <c r="CP3591">
        <f>IF(周转筐出入库明细!$C1592="",0,1)</f>
        <v>0</v>
      </c>
      <c r="CQ3591">
        <f t="shared" si="659"/>
        <v>108</v>
      </c>
    </row>
    <row r="3592" spans="94:95">
      <c r="CP3592">
        <f>IF(周转筐出入库明细!$C1593="",0,1)</f>
        <v>0</v>
      </c>
      <c r="CQ3592">
        <f t="shared" si="659"/>
        <v>108</v>
      </c>
    </row>
    <row r="3593" spans="94:95">
      <c r="CP3593">
        <f>IF(周转筐出入库明细!$C1594="",0,1)</f>
        <v>0</v>
      </c>
      <c r="CQ3593">
        <f t="shared" si="659"/>
        <v>108</v>
      </c>
    </row>
    <row r="3594" spans="94:95">
      <c r="CP3594">
        <f>IF(周转筐出入库明细!$C1595="",0,1)</f>
        <v>0</v>
      </c>
      <c r="CQ3594">
        <f t="shared" si="659"/>
        <v>108</v>
      </c>
    </row>
    <row r="3595" spans="94:95">
      <c r="CP3595">
        <f>IF(周转筐出入库明细!$C1596="",0,1)</f>
        <v>0</v>
      </c>
      <c r="CQ3595">
        <f t="shared" si="659"/>
        <v>108</v>
      </c>
    </row>
    <row r="3596" spans="94:95">
      <c r="CP3596">
        <f>IF(周转筐出入库明细!$C1597="",0,1)</f>
        <v>0</v>
      </c>
      <c r="CQ3596">
        <f t="shared" si="659"/>
        <v>108</v>
      </c>
    </row>
    <row r="3597" spans="94:95">
      <c r="CP3597">
        <f>IF(周转筐出入库明细!$C1598="",0,1)</f>
        <v>0</v>
      </c>
      <c r="CQ3597">
        <f t="shared" si="659"/>
        <v>108</v>
      </c>
    </row>
    <row r="3598" spans="94:95">
      <c r="CP3598">
        <f>IF(周转筐出入库明细!$C1599="",0,1)</f>
        <v>0</v>
      </c>
      <c r="CQ3598">
        <f t="shared" si="659"/>
        <v>108</v>
      </c>
    </row>
    <row r="3599" spans="94:95">
      <c r="CP3599">
        <f>IF(周转筐出入库明细!$C1600="",0,1)</f>
        <v>0</v>
      </c>
      <c r="CQ3599">
        <f t="shared" si="659"/>
        <v>108</v>
      </c>
    </row>
    <row r="3600" spans="94:95">
      <c r="CP3600">
        <f>IF(周转筐出入库明细!$C1601="",0,1)</f>
        <v>0</v>
      </c>
      <c r="CQ3600">
        <f t="shared" si="659"/>
        <v>108</v>
      </c>
    </row>
    <row r="3601" spans="94:95">
      <c r="CP3601">
        <f>IF(周转筐出入库明细!$C1602="",0,1)</f>
        <v>0</v>
      </c>
      <c r="CQ3601">
        <f t="shared" si="659"/>
        <v>108</v>
      </c>
    </row>
    <row r="3602" spans="94:95">
      <c r="CP3602">
        <f>IF(周转筐出入库明细!$C1603="",0,1)</f>
        <v>0</v>
      </c>
      <c r="CQ3602">
        <f t="shared" si="659"/>
        <v>108</v>
      </c>
    </row>
    <row r="3603" spans="94:95">
      <c r="CP3603">
        <f>IF(周转筐出入库明细!$C1604="",0,1)</f>
        <v>0</v>
      </c>
      <c r="CQ3603">
        <f t="shared" si="659"/>
        <v>108</v>
      </c>
    </row>
    <row r="3604" spans="94:95">
      <c r="CP3604">
        <f>IF(周转筐出入库明细!$C1605="",0,1)</f>
        <v>0</v>
      </c>
      <c r="CQ3604">
        <f t="shared" si="659"/>
        <v>108</v>
      </c>
    </row>
    <row r="3605" spans="94:95">
      <c r="CP3605">
        <f>IF(周转筐出入库明细!$C1606="",0,1)</f>
        <v>0</v>
      </c>
      <c r="CQ3605">
        <f t="shared" si="659"/>
        <v>108</v>
      </c>
    </row>
    <row r="3606" spans="94:95">
      <c r="CP3606">
        <f>IF(周转筐出入库明细!$C1607="",0,1)</f>
        <v>0</v>
      </c>
      <c r="CQ3606">
        <f t="shared" si="659"/>
        <v>108</v>
      </c>
    </row>
    <row r="3607" spans="94:95">
      <c r="CP3607">
        <f>IF(周转筐出入库明细!$C1608="",0,1)</f>
        <v>0</v>
      </c>
      <c r="CQ3607">
        <f t="shared" si="659"/>
        <v>108</v>
      </c>
    </row>
    <row r="3608" spans="94:95">
      <c r="CP3608">
        <f>IF(周转筐出入库明细!$C1609="",0,1)</f>
        <v>0</v>
      </c>
      <c r="CQ3608">
        <f t="shared" si="659"/>
        <v>108</v>
      </c>
    </row>
    <row r="3609" spans="94:95">
      <c r="CP3609">
        <f>IF(周转筐出入库明细!$C1610="",0,1)</f>
        <v>0</v>
      </c>
      <c r="CQ3609">
        <f t="shared" si="659"/>
        <v>108</v>
      </c>
    </row>
    <row r="3610" spans="94:95">
      <c r="CP3610">
        <f>IF(周转筐出入库明细!$C1611="",0,1)</f>
        <v>0</v>
      </c>
      <c r="CQ3610">
        <f t="shared" si="659"/>
        <v>108</v>
      </c>
    </row>
    <row r="3611" spans="94:95">
      <c r="CP3611">
        <f>IF(周转筐出入库明细!$C1612="",0,1)</f>
        <v>0</v>
      </c>
      <c r="CQ3611">
        <f t="shared" si="659"/>
        <v>108</v>
      </c>
    </row>
    <row r="3612" spans="94:95">
      <c r="CP3612">
        <f>IF(周转筐出入库明细!$C1613="",0,1)</f>
        <v>0</v>
      </c>
      <c r="CQ3612">
        <f t="shared" si="659"/>
        <v>108</v>
      </c>
    </row>
    <row r="3613" spans="94:95">
      <c r="CP3613">
        <f>IF(周转筐出入库明细!$C1614="",0,1)</f>
        <v>0</v>
      </c>
      <c r="CQ3613">
        <f t="shared" si="659"/>
        <v>108</v>
      </c>
    </row>
    <row r="3614" spans="94:95">
      <c r="CP3614">
        <f>IF(周转筐出入库明细!$C1615="",0,1)</f>
        <v>0</v>
      </c>
      <c r="CQ3614">
        <f t="shared" si="659"/>
        <v>108</v>
      </c>
    </row>
    <row r="3615" spans="94:95">
      <c r="CP3615">
        <f>IF(周转筐出入库明细!$C1616="",0,1)</f>
        <v>0</v>
      </c>
      <c r="CQ3615">
        <f t="shared" si="659"/>
        <v>108</v>
      </c>
    </row>
    <row r="3616" spans="94:95">
      <c r="CP3616">
        <f>IF(周转筐出入库明细!$C1617="",0,1)</f>
        <v>0</v>
      </c>
      <c r="CQ3616">
        <f t="shared" si="659"/>
        <v>108</v>
      </c>
    </row>
    <row r="3617" spans="94:95">
      <c r="CP3617">
        <f>IF(周转筐出入库明细!$C1618="",0,1)</f>
        <v>0</v>
      </c>
      <c r="CQ3617">
        <f t="shared" si="659"/>
        <v>108</v>
      </c>
    </row>
    <row r="3618" spans="94:95">
      <c r="CP3618">
        <f>IF(周转筐出入库明细!$C1619="",0,1)</f>
        <v>0</v>
      </c>
      <c r="CQ3618">
        <f t="shared" si="659"/>
        <v>108</v>
      </c>
    </row>
    <row r="3619" spans="94:95">
      <c r="CP3619">
        <f>IF(周转筐出入库明细!$C1620="",0,1)</f>
        <v>0</v>
      </c>
      <c r="CQ3619">
        <f t="shared" si="659"/>
        <v>108</v>
      </c>
    </row>
    <row r="3620" spans="94:95">
      <c r="CP3620">
        <f>IF(周转筐出入库明细!$C1621="",0,1)</f>
        <v>0</v>
      </c>
      <c r="CQ3620">
        <f t="shared" si="659"/>
        <v>108</v>
      </c>
    </row>
    <row r="3621" spans="94:95">
      <c r="CP3621">
        <f>IF(周转筐出入库明细!$C1622="",0,1)</f>
        <v>0</v>
      </c>
      <c r="CQ3621">
        <f t="shared" si="659"/>
        <v>108</v>
      </c>
    </row>
    <row r="3622" spans="94:95">
      <c r="CP3622">
        <f>IF(周转筐出入库明细!$C1623="",0,1)</f>
        <v>0</v>
      </c>
      <c r="CQ3622">
        <f t="shared" si="659"/>
        <v>108</v>
      </c>
    </row>
    <row r="3623" spans="94:95">
      <c r="CP3623">
        <f>IF(周转筐出入库明细!$C1624="",0,1)</f>
        <v>0</v>
      </c>
      <c r="CQ3623">
        <f t="shared" si="659"/>
        <v>108</v>
      </c>
    </row>
    <row r="3624" spans="94:95">
      <c r="CP3624">
        <f>IF(周转筐出入库明细!$C1625="",0,1)</f>
        <v>0</v>
      </c>
      <c r="CQ3624">
        <f t="shared" si="659"/>
        <v>108</v>
      </c>
    </row>
    <row r="3625" spans="94:95">
      <c r="CP3625">
        <f>IF(周转筐出入库明细!$C1626="",0,1)</f>
        <v>0</v>
      </c>
      <c r="CQ3625">
        <f t="shared" si="659"/>
        <v>108</v>
      </c>
    </row>
    <row r="3626" spans="94:95">
      <c r="CP3626">
        <f>IF(周转筐出入库明细!$C1627="",0,1)</f>
        <v>0</v>
      </c>
      <c r="CQ3626">
        <f t="shared" si="659"/>
        <v>108</v>
      </c>
    </row>
    <row r="3627" spans="94:95">
      <c r="CP3627">
        <f>IF(周转筐出入库明细!$C1628="",0,1)</f>
        <v>0</v>
      </c>
      <c r="CQ3627">
        <f t="shared" si="659"/>
        <v>108</v>
      </c>
    </row>
    <row r="3628" spans="94:95">
      <c r="CP3628">
        <f>IF(周转筐出入库明细!$C1629="",0,1)</f>
        <v>0</v>
      </c>
      <c r="CQ3628">
        <f t="shared" si="659"/>
        <v>108</v>
      </c>
    </row>
    <row r="3629" spans="94:95">
      <c r="CP3629">
        <f>IF(周转筐出入库明细!$C1630="",0,1)</f>
        <v>0</v>
      </c>
      <c r="CQ3629">
        <f t="shared" si="659"/>
        <v>108</v>
      </c>
    </row>
    <row r="3630" spans="94:95">
      <c r="CP3630">
        <f>IF(周转筐出入库明细!$C1631="",0,1)</f>
        <v>0</v>
      </c>
      <c r="CQ3630">
        <f t="shared" si="659"/>
        <v>108</v>
      </c>
    </row>
    <row r="3631" spans="94:95">
      <c r="CP3631">
        <f>IF(周转筐出入库明细!$C1632="",0,1)</f>
        <v>0</v>
      </c>
      <c r="CQ3631">
        <f t="shared" si="659"/>
        <v>108</v>
      </c>
    </row>
    <row r="3632" spans="94:95">
      <c r="CP3632">
        <f>IF(周转筐出入库明细!$C1633="",0,1)</f>
        <v>0</v>
      </c>
      <c r="CQ3632">
        <f t="shared" si="659"/>
        <v>108</v>
      </c>
    </row>
    <row r="3633" spans="94:95">
      <c r="CP3633">
        <f>IF(周转筐出入库明细!$C1634="",0,1)</f>
        <v>0</v>
      </c>
      <c r="CQ3633">
        <f t="shared" si="659"/>
        <v>108</v>
      </c>
    </row>
    <row r="3634" spans="94:95">
      <c r="CP3634">
        <f>IF(周转筐出入库明细!$C1635="",0,1)</f>
        <v>0</v>
      </c>
      <c r="CQ3634">
        <f t="shared" si="659"/>
        <v>108</v>
      </c>
    </row>
    <row r="3635" spans="94:95">
      <c r="CP3635">
        <f>IF(周转筐出入库明细!$C1636="",0,1)</f>
        <v>0</v>
      </c>
      <c r="CQ3635">
        <f t="shared" si="659"/>
        <v>108</v>
      </c>
    </row>
    <row r="3636" spans="94:95">
      <c r="CP3636">
        <f>IF(周转筐出入库明细!$C1637="",0,1)</f>
        <v>0</v>
      </c>
      <c r="CQ3636">
        <f t="shared" si="659"/>
        <v>108</v>
      </c>
    </row>
    <row r="3637" spans="94:95">
      <c r="CP3637">
        <f>IF(周转筐出入库明细!$C1638="",0,1)</f>
        <v>0</v>
      </c>
      <c r="CQ3637">
        <f t="shared" si="659"/>
        <v>108</v>
      </c>
    </row>
    <row r="3638" spans="94:95">
      <c r="CP3638">
        <f>IF(周转筐出入库明细!$C1639="",0,1)</f>
        <v>0</v>
      </c>
      <c r="CQ3638">
        <f t="shared" si="659"/>
        <v>108</v>
      </c>
    </row>
    <row r="3639" spans="94:95">
      <c r="CP3639">
        <f>IF(周转筐出入库明细!$C1640="",0,1)</f>
        <v>0</v>
      </c>
      <c r="CQ3639">
        <f t="shared" si="659"/>
        <v>108</v>
      </c>
    </row>
    <row r="3640" spans="94:95">
      <c r="CP3640">
        <f>IF(周转筐出入库明细!$C1641="",0,1)</f>
        <v>0</v>
      </c>
      <c r="CQ3640">
        <f t="shared" si="659"/>
        <v>108</v>
      </c>
    </row>
    <row r="3641" spans="94:95">
      <c r="CP3641">
        <f>IF(周转筐出入库明细!$C1642="",0,1)</f>
        <v>0</v>
      </c>
      <c r="CQ3641">
        <f t="shared" si="659"/>
        <v>108</v>
      </c>
    </row>
    <row r="3642" spans="94:95">
      <c r="CP3642">
        <f>IF(周转筐出入库明细!$C1643="",0,1)</f>
        <v>0</v>
      </c>
      <c r="CQ3642">
        <f t="shared" si="659"/>
        <v>108</v>
      </c>
    </row>
    <row r="3643" spans="94:95">
      <c r="CP3643">
        <f>IF(周转筐出入库明细!$C1644="",0,1)</f>
        <v>0</v>
      </c>
      <c r="CQ3643">
        <f t="shared" si="659"/>
        <v>108</v>
      </c>
    </row>
    <row r="3644" spans="94:95">
      <c r="CP3644">
        <f>IF(周转筐出入库明细!$C1645="",0,1)</f>
        <v>0</v>
      </c>
      <c r="CQ3644">
        <f t="shared" si="659"/>
        <v>108</v>
      </c>
    </row>
    <row r="3645" spans="94:95">
      <c r="CP3645">
        <f>IF(周转筐出入库明细!$C1646="",0,1)</f>
        <v>0</v>
      </c>
      <c r="CQ3645">
        <f t="shared" si="659"/>
        <v>108</v>
      </c>
    </row>
    <row r="3646" spans="94:95">
      <c r="CP3646">
        <f>IF(周转筐出入库明细!$C1647="",0,1)</f>
        <v>0</v>
      </c>
      <c r="CQ3646">
        <f t="shared" si="659"/>
        <v>108</v>
      </c>
    </row>
    <row r="3647" spans="94:95">
      <c r="CP3647">
        <f>IF(周转筐出入库明细!$C1648="",0,1)</f>
        <v>0</v>
      </c>
      <c r="CQ3647">
        <f t="shared" si="659"/>
        <v>108</v>
      </c>
    </row>
    <row r="3648" spans="94:95">
      <c r="CP3648">
        <f>IF(周转筐出入库明细!$C1649="",0,1)</f>
        <v>0</v>
      </c>
      <c r="CQ3648">
        <f t="shared" si="659"/>
        <v>108</v>
      </c>
    </row>
    <row r="3649" spans="94:95">
      <c r="CP3649">
        <f>IF(周转筐出入库明细!$C1650="",0,1)</f>
        <v>0</v>
      </c>
      <c r="CQ3649">
        <f t="shared" si="659"/>
        <v>108</v>
      </c>
    </row>
    <row r="3650" spans="94:95">
      <c r="CP3650">
        <f>IF(周转筐出入库明细!$C1651="",0,1)</f>
        <v>0</v>
      </c>
      <c r="CQ3650">
        <f t="shared" si="659"/>
        <v>108</v>
      </c>
    </row>
    <row r="3651" spans="94:95">
      <c r="CP3651">
        <f>IF(周转筐出入库明细!$C1652="",0,1)</f>
        <v>0</v>
      </c>
      <c r="CQ3651">
        <f t="shared" si="659"/>
        <v>108</v>
      </c>
    </row>
    <row r="3652" spans="94:95">
      <c r="CP3652">
        <f>IF(周转筐出入库明细!$C1653="",0,1)</f>
        <v>0</v>
      </c>
      <c r="CQ3652">
        <f t="shared" ref="CQ3652:CQ3715" si="660">N(CQ3651)+$CP3652</f>
        <v>108</v>
      </c>
    </row>
    <row r="3653" spans="94:95">
      <c r="CP3653">
        <f>IF(周转筐出入库明细!$C1654="",0,1)</f>
        <v>0</v>
      </c>
      <c r="CQ3653">
        <f t="shared" si="660"/>
        <v>108</v>
      </c>
    </row>
    <row r="3654" spans="94:95">
      <c r="CP3654">
        <f>IF(周转筐出入库明细!$C1655="",0,1)</f>
        <v>0</v>
      </c>
      <c r="CQ3654">
        <f t="shared" si="660"/>
        <v>108</v>
      </c>
    </row>
    <row r="3655" spans="94:95">
      <c r="CP3655">
        <f>IF(周转筐出入库明细!$C1656="",0,1)</f>
        <v>0</v>
      </c>
      <c r="CQ3655">
        <f t="shared" si="660"/>
        <v>108</v>
      </c>
    </row>
    <row r="3656" spans="94:95">
      <c r="CP3656">
        <f>IF(周转筐出入库明细!$C1657="",0,1)</f>
        <v>0</v>
      </c>
      <c r="CQ3656">
        <f t="shared" si="660"/>
        <v>108</v>
      </c>
    </row>
    <row r="3657" spans="94:95">
      <c r="CP3657">
        <f>IF(周转筐出入库明细!$C1658="",0,1)</f>
        <v>0</v>
      </c>
      <c r="CQ3657">
        <f t="shared" si="660"/>
        <v>108</v>
      </c>
    </row>
    <row r="3658" spans="94:95">
      <c r="CP3658">
        <f>IF(周转筐出入库明细!$C1659="",0,1)</f>
        <v>0</v>
      </c>
      <c r="CQ3658">
        <f t="shared" si="660"/>
        <v>108</v>
      </c>
    </row>
    <row r="3659" spans="94:95">
      <c r="CP3659">
        <f>IF(周转筐出入库明细!$C1660="",0,1)</f>
        <v>0</v>
      </c>
      <c r="CQ3659">
        <f t="shared" si="660"/>
        <v>108</v>
      </c>
    </row>
    <row r="3660" spans="94:95">
      <c r="CP3660">
        <f>IF(周转筐出入库明细!$C1661="",0,1)</f>
        <v>0</v>
      </c>
      <c r="CQ3660">
        <f t="shared" si="660"/>
        <v>108</v>
      </c>
    </row>
    <row r="3661" spans="94:95">
      <c r="CP3661">
        <f>IF(周转筐出入库明细!$C1662="",0,1)</f>
        <v>0</v>
      </c>
      <c r="CQ3661">
        <f t="shared" si="660"/>
        <v>108</v>
      </c>
    </row>
    <row r="3662" spans="94:95">
      <c r="CP3662">
        <f>IF(周转筐出入库明细!$C1663="",0,1)</f>
        <v>0</v>
      </c>
      <c r="CQ3662">
        <f t="shared" si="660"/>
        <v>108</v>
      </c>
    </row>
    <row r="3663" spans="94:95">
      <c r="CP3663">
        <f>IF(周转筐出入库明细!$C1664="",0,1)</f>
        <v>0</v>
      </c>
      <c r="CQ3663">
        <f t="shared" si="660"/>
        <v>108</v>
      </c>
    </row>
    <row r="3664" spans="94:95">
      <c r="CP3664">
        <f>IF(周转筐出入库明细!$C1665="",0,1)</f>
        <v>0</v>
      </c>
      <c r="CQ3664">
        <f t="shared" si="660"/>
        <v>108</v>
      </c>
    </row>
    <row r="3665" spans="94:95">
      <c r="CP3665">
        <f>IF(周转筐出入库明细!$C1666="",0,1)</f>
        <v>0</v>
      </c>
      <c r="CQ3665">
        <f t="shared" si="660"/>
        <v>108</v>
      </c>
    </row>
    <row r="3666" spans="94:95">
      <c r="CP3666">
        <f>IF(周转筐出入库明细!$C1667="",0,1)</f>
        <v>0</v>
      </c>
      <c r="CQ3666">
        <f t="shared" si="660"/>
        <v>108</v>
      </c>
    </row>
    <row r="3667" spans="94:95">
      <c r="CP3667">
        <f>IF(周转筐出入库明细!$C1668="",0,1)</f>
        <v>0</v>
      </c>
      <c r="CQ3667">
        <f t="shared" si="660"/>
        <v>108</v>
      </c>
    </row>
    <row r="3668" spans="94:95">
      <c r="CP3668">
        <f>IF(周转筐出入库明细!$C1669="",0,1)</f>
        <v>0</v>
      </c>
      <c r="CQ3668">
        <f t="shared" si="660"/>
        <v>108</v>
      </c>
    </row>
    <row r="3669" spans="94:95">
      <c r="CP3669">
        <f>IF(周转筐出入库明细!$C1670="",0,1)</f>
        <v>0</v>
      </c>
      <c r="CQ3669">
        <f t="shared" si="660"/>
        <v>108</v>
      </c>
    </row>
    <row r="3670" spans="94:95">
      <c r="CP3670">
        <f>IF(周转筐出入库明细!$C1671="",0,1)</f>
        <v>0</v>
      </c>
      <c r="CQ3670">
        <f t="shared" si="660"/>
        <v>108</v>
      </c>
    </row>
    <row r="3671" spans="94:95">
      <c r="CP3671">
        <f>IF(周转筐出入库明细!$C1672="",0,1)</f>
        <v>0</v>
      </c>
      <c r="CQ3671">
        <f t="shared" si="660"/>
        <v>108</v>
      </c>
    </row>
    <row r="3672" spans="94:95">
      <c r="CP3672">
        <f>IF(周转筐出入库明细!$C1673="",0,1)</f>
        <v>0</v>
      </c>
      <c r="CQ3672">
        <f t="shared" si="660"/>
        <v>108</v>
      </c>
    </row>
    <row r="3673" spans="94:95">
      <c r="CP3673">
        <f>IF(周转筐出入库明细!$C1674="",0,1)</f>
        <v>0</v>
      </c>
      <c r="CQ3673">
        <f t="shared" si="660"/>
        <v>108</v>
      </c>
    </row>
    <row r="3674" spans="94:95">
      <c r="CP3674">
        <f>IF(周转筐出入库明细!$C1675="",0,1)</f>
        <v>0</v>
      </c>
      <c r="CQ3674">
        <f t="shared" si="660"/>
        <v>108</v>
      </c>
    </row>
    <row r="3675" spans="94:95">
      <c r="CP3675">
        <f>IF(周转筐出入库明细!$C1676="",0,1)</f>
        <v>0</v>
      </c>
      <c r="CQ3675">
        <f t="shared" si="660"/>
        <v>108</v>
      </c>
    </row>
    <row r="3676" spans="94:95">
      <c r="CP3676">
        <f>IF(周转筐出入库明细!$C1677="",0,1)</f>
        <v>0</v>
      </c>
      <c r="CQ3676">
        <f t="shared" si="660"/>
        <v>108</v>
      </c>
    </row>
    <row r="3677" spans="94:95">
      <c r="CP3677">
        <f>IF(周转筐出入库明细!$C1678="",0,1)</f>
        <v>0</v>
      </c>
      <c r="CQ3677">
        <f t="shared" si="660"/>
        <v>108</v>
      </c>
    </row>
    <row r="3678" spans="94:95">
      <c r="CP3678">
        <f>IF(周转筐出入库明细!$C1679="",0,1)</f>
        <v>0</v>
      </c>
      <c r="CQ3678">
        <f t="shared" si="660"/>
        <v>108</v>
      </c>
    </row>
    <row r="3679" spans="94:95">
      <c r="CP3679">
        <f>IF(周转筐出入库明细!$C1680="",0,1)</f>
        <v>0</v>
      </c>
      <c r="CQ3679">
        <f t="shared" si="660"/>
        <v>108</v>
      </c>
    </row>
    <row r="3680" spans="94:95">
      <c r="CP3680">
        <f>IF(周转筐出入库明细!$C1681="",0,1)</f>
        <v>0</v>
      </c>
      <c r="CQ3680">
        <f t="shared" si="660"/>
        <v>108</v>
      </c>
    </row>
    <row r="3681" spans="94:95">
      <c r="CP3681">
        <f>IF(周转筐出入库明细!$C1682="",0,1)</f>
        <v>0</v>
      </c>
      <c r="CQ3681">
        <f t="shared" si="660"/>
        <v>108</v>
      </c>
    </row>
    <row r="3682" spans="94:95">
      <c r="CP3682">
        <f>IF(周转筐出入库明细!$C1683="",0,1)</f>
        <v>0</v>
      </c>
      <c r="CQ3682">
        <f t="shared" si="660"/>
        <v>108</v>
      </c>
    </row>
    <row r="3683" spans="94:95">
      <c r="CP3683">
        <f>IF(周转筐出入库明细!$C1684="",0,1)</f>
        <v>0</v>
      </c>
      <c r="CQ3683">
        <f t="shared" si="660"/>
        <v>108</v>
      </c>
    </row>
    <row r="3684" spans="94:95">
      <c r="CP3684">
        <f>IF(周转筐出入库明细!$C1685="",0,1)</f>
        <v>0</v>
      </c>
      <c r="CQ3684">
        <f t="shared" si="660"/>
        <v>108</v>
      </c>
    </row>
    <row r="3685" spans="94:95">
      <c r="CP3685">
        <f>IF(周转筐出入库明细!$C1686="",0,1)</f>
        <v>0</v>
      </c>
      <c r="CQ3685">
        <f t="shared" si="660"/>
        <v>108</v>
      </c>
    </row>
    <row r="3686" spans="94:95">
      <c r="CP3686">
        <f>IF(周转筐出入库明细!$C1687="",0,1)</f>
        <v>0</v>
      </c>
      <c r="CQ3686">
        <f t="shared" si="660"/>
        <v>108</v>
      </c>
    </row>
    <row r="3687" spans="94:95">
      <c r="CP3687">
        <f>IF(周转筐出入库明细!$C1688="",0,1)</f>
        <v>0</v>
      </c>
      <c r="CQ3687">
        <f t="shared" si="660"/>
        <v>108</v>
      </c>
    </row>
    <row r="3688" spans="94:95">
      <c r="CP3688">
        <f>IF(周转筐出入库明细!$C1689="",0,1)</f>
        <v>0</v>
      </c>
      <c r="CQ3688">
        <f t="shared" si="660"/>
        <v>108</v>
      </c>
    </row>
    <row r="3689" spans="94:95">
      <c r="CP3689">
        <f>IF(周转筐出入库明细!$C1690="",0,1)</f>
        <v>0</v>
      </c>
      <c r="CQ3689">
        <f t="shared" si="660"/>
        <v>108</v>
      </c>
    </row>
    <row r="3690" spans="94:95">
      <c r="CP3690">
        <f>IF(周转筐出入库明细!$C1691="",0,1)</f>
        <v>0</v>
      </c>
      <c r="CQ3690">
        <f t="shared" si="660"/>
        <v>108</v>
      </c>
    </row>
    <row r="3691" spans="94:95">
      <c r="CP3691">
        <f>IF(周转筐出入库明细!$C1692="",0,1)</f>
        <v>0</v>
      </c>
      <c r="CQ3691">
        <f t="shared" si="660"/>
        <v>108</v>
      </c>
    </row>
    <row r="3692" spans="94:95">
      <c r="CP3692">
        <f>IF(周转筐出入库明细!$C1693="",0,1)</f>
        <v>0</v>
      </c>
      <c r="CQ3692">
        <f t="shared" si="660"/>
        <v>108</v>
      </c>
    </row>
    <row r="3693" spans="94:95">
      <c r="CP3693">
        <f>IF(周转筐出入库明细!$C1694="",0,1)</f>
        <v>0</v>
      </c>
      <c r="CQ3693">
        <f t="shared" si="660"/>
        <v>108</v>
      </c>
    </row>
    <row r="3694" spans="94:95">
      <c r="CP3694">
        <f>IF(周转筐出入库明细!$C1695="",0,1)</f>
        <v>0</v>
      </c>
      <c r="CQ3694">
        <f t="shared" si="660"/>
        <v>108</v>
      </c>
    </row>
    <row r="3695" spans="94:95">
      <c r="CP3695">
        <f>IF(周转筐出入库明细!$C1696="",0,1)</f>
        <v>0</v>
      </c>
      <c r="CQ3695">
        <f t="shared" si="660"/>
        <v>108</v>
      </c>
    </row>
    <row r="3696" spans="94:95">
      <c r="CP3696">
        <f>IF(周转筐出入库明细!$C1697="",0,1)</f>
        <v>0</v>
      </c>
      <c r="CQ3696">
        <f t="shared" si="660"/>
        <v>108</v>
      </c>
    </row>
    <row r="3697" spans="94:95">
      <c r="CP3697">
        <f>IF(周转筐出入库明细!$C1698="",0,1)</f>
        <v>0</v>
      </c>
      <c r="CQ3697">
        <f t="shared" si="660"/>
        <v>108</v>
      </c>
    </row>
    <row r="3698" spans="94:95">
      <c r="CP3698">
        <f>IF(周转筐出入库明细!$C1699="",0,1)</f>
        <v>0</v>
      </c>
      <c r="CQ3698">
        <f t="shared" si="660"/>
        <v>108</v>
      </c>
    </row>
    <row r="3699" spans="94:95">
      <c r="CP3699">
        <f>IF(周转筐出入库明细!$C1700="",0,1)</f>
        <v>0</v>
      </c>
      <c r="CQ3699">
        <f t="shared" si="660"/>
        <v>108</v>
      </c>
    </row>
    <row r="3700" spans="94:95">
      <c r="CP3700">
        <f>IF(周转筐出入库明细!$C1701="",0,1)</f>
        <v>0</v>
      </c>
      <c r="CQ3700">
        <f t="shared" si="660"/>
        <v>108</v>
      </c>
    </row>
    <row r="3701" spans="94:95">
      <c r="CP3701">
        <f>IF(周转筐出入库明细!$C1702="",0,1)</f>
        <v>0</v>
      </c>
      <c r="CQ3701">
        <f t="shared" si="660"/>
        <v>108</v>
      </c>
    </row>
    <row r="3702" spans="94:95">
      <c r="CP3702">
        <f>IF(周转筐出入库明细!$C1703="",0,1)</f>
        <v>0</v>
      </c>
      <c r="CQ3702">
        <f t="shared" si="660"/>
        <v>108</v>
      </c>
    </row>
    <row r="3703" spans="94:95">
      <c r="CP3703">
        <f>IF(周转筐出入库明细!$C1704="",0,1)</f>
        <v>0</v>
      </c>
      <c r="CQ3703">
        <f t="shared" si="660"/>
        <v>108</v>
      </c>
    </row>
    <row r="3704" spans="94:95">
      <c r="CP3704">
        <f>IF(周转筐出入库明细!$C1705="",0,1)</f>
        <v>0</v>
      </c>
      <c r="CQ3704">
        <f t="shared" si="660"/>
        <v>108</v>
      </c>
    </row>
    <row r="3705" spans="94:95">
      <c r="CP3705">
        <f>IF(周转筐出入库明细!$C1706="",0,1)</f>
        <v>0</v>
      </c>
      <c r="CQ3705">
        <f t="shared" si="660"/>
        <v>108</v>
      </c>
    </row>
    <row r="3706" spans="94:95">
      <c r="CP3706">
        <f>IF(周转筐出入库明细!$C1707="",0,1)</f>
        <v>0</v>
      </c>
      <c r="CQ3706">
        <f t="shared" si="660"/>
        <v>108</v>
      </c>
    </row>
    <row r="3707" spans="94:95">
      <c r="CP3707">
        <f>IF(周转筐出入库明细!$C1708="",0,1)</f>
        <v>0</v>
      </c>
      <c r="CQ3707">
        <f t="shared" si="660"/>
        <v>108</v>
      </c>
    </row>
    <row r="3708" spans="94:95">
      <c r="CP3708">
        <f>IF(周转筐出入库明细!$C1709="",0,1)</f>
        <v>0</v>
      </c>
      <c r="CQ3708">
        <f t="shared" si="660"/>
        <v>108</v>
      </c>
    </row>
    <row r="3709" spans="94:95">
      <c r="CP3709">
        <f>IF(周转筐出入库明细!$C1710="",0,1)</f>
        <v>0</v>
      </c>
      <c r="CQ3709">
        <f t="shared" si="660"/>
        <v>108</v>
      </c>
    </row>
    <row r="3710" spans="94:95">
      <c r="CP3710">
        <f>IF(周转筐出入库明细!$C1711="",0,1)</f>
        <v>0</v>
      </c>
      <c r="CQ3710">
        <f t="shared" si="660"/>
        <v>108</v>
      </c>
    </row>
    <row r="3711" spans="94:95">
      <c r="CP3711">
        <f>IF(周转筐出入库明细!$C1712="",0,1)</f>
        <v>0</v>
      </c>
      <c r="CQ3711">
        <f t="shared" si="660"/>
        <v>108</v>
      </c>
    </row>
    <row r="3712" spans="94:95">
      <c r="CP3712">
        <f>IF(周转筐出入库明细!$C1713="",0,1)</f>
        <v>0</v>
      </c>
      <c r="CQ3712">
        <f t="shared" si="660"/>
        <v>108</v>
      </c>
    </row>
    <row r="3713" spans="94:95">
      <c r="CP3713">
        <f>IF(周转筐出入库明细!$C1714="",0,1)</f>
        <v>0</v>
      </c>
      <c r="CQ3713">
        <f t="shared" si="660"/>
        <v>108</v>
      </c>
    </row>
    <row r="3714" spans="94:95">
      <c r="CP3714">
        <f>IF(周转筐出入库明细!$C1715="",0,1)</f>
        <v>0</v>
      </c>
      <c r="CQ3714">
        <f t="shared" si="660"/>
        <v>108</v>
      </c>
    </row>
    <row r="3715" spans="94:95">
      <c r="CP3715">
        <f>IF(周转筐出入库明细!$C1716="",0,1)</f>
        <v>0</v>
      </c>
      <c r="CQ3715">
        <f t="shared" si="660"/>
        <v>108</v>
      </c>
    </row>
    <row r="3716" spans="94:95">
      <c r="CP3716">
        <f>IF(周转筐出入库明细!$C1717="",0,1)</f>
        <v>0</v>
      </c>
      <c r="CQ3716">
        <f t="shared" ref="CQ3716:CQ3779" si="661">N(CQ3715)+$CP3716</f>
        <v>108</v>
      </c>
    </row>
    <row r="3717" spans="94:95">
      <c r="CP3717">
        <f>IF(周转筐出入库明细!$C1718="",0,1)</f>
        <v>0</v>
      </c>
      <c r="CQ3717">
        <f t="shared" si="661"/>
        <v>108</v>
      </c>
    </row>
    <row r="3718" spans="94:95">
      <c r="CP3718">
        <f>IF(周转筐出入库明细!$C1719="",0,1)</f>
        <v>0</v>
      </c>
      <c r="CQ3718">
        <f t="shared" si="661"/>
        <v>108</v>
      </c>
    </row>
    <row r="3719" spans="94:95">
      <c r="CP3719">
        <f>IF(周转筐出入库明细!$C1720="",0,1)</f>
        <v>0</v>
      </c>
      <c r="CQ3719">
        <f t="shared" si="661"/>
        <v>108</v>
      </c>
    </row>
    <row r="3720" spans="94:95">
      <c r="CP3720">
        <f>IF(周转筐出入库明细!$C1721="",0,1)</f>
        <v>0</v>
      </c>
      <c r="CQ3720">
        <f t="shared" si="661"/>
        <v>108</v>
      </c>
    </row>
    <row r="3721" spans="94:95">
      <c r="CP3721">
        <f>IF(周转筐出入库明细!$C1722="",0,1)</f>
        <v>0</v>
      </c>
      <c r="CQ3721">
        <f t="shared" si="661"/>
        <v>108</v>
      </c>
    </row>
    <row r="3722" spans="94:95">
      <c r="CP3722">
        <f>IF(周转筐出入库明细!$C1723="",0,1)</f>
        <v>0</v>
      </c>
      <c r="CQ3722">
        <f t="shared" si="661"/>
        <v>108</v>
      </c>
    </row>
    <row r="3723" spans="94:95">
      <c r="CP3723">
        <f>IF(周转筐出入库明细!$C1724="",0,1)</f>
        <v>0</v>
      </c>
      <c r="CQ3723">
        <f t="shared" si="661"/>
        <v>108</v>
      </c>
    </row>
    <row r="3724" spans="94:95">
      <c r="CP3724">
        <f>IF(周转筐出入库明细!$C1725="",0,1)</f>
        <v>0</v>
      </c>
      <c r="CQ3724">
        <f t="shared" si="661"/>
        <v>108</v>
      </c>
    </row>
    <row r="3725" spans="94:95">
      <c r="CP3725">
        <f>IF(周转筐出入库明细!$C1726="",0,1)</f>
        <v>0</v>
      </c>
      <c r="CQ3725">
        <f t="shared" si="661"/>
        <v>108</v>
      </c>
    </row>
    <row r="3726" spans="94:95">
      <c r="CP3726">
        <f>IF(周转筐出入库明细!$C1727="",0,1)</f>
        <v>0</v>
      </c>
      <c r="CQ3726">
        <f t="shared" si="661"/>
        <v>108</v>
      </c>
    </row>
    <row r="3727" spans="94:95">
      <c r="CP3727">
        <f>IF(周转筐出入库明细!$C1728="",0,1)</f>
        <v>0</v>
      </c>
      <c r="CQ3727">
        <f t="shared" si="661"/>
        <v>108</v>
      </c>
    </row>
    <row r="3728" spans="94:95">
      <c r="CP3728">
        <f>IF(周转筐出入库明细!$C1729="",0,1)</f>
        <v>0</v>
      </c>
      <c r="CQ3728">
        <f t="shared" si="661"/>
        <v>108</v>
      </c>
    </row>
    <row r="3729" spans="94:95">
      <c r="CP3729">
        <f>IF(周转筐出入库明细!$C1730="",0,1)</f>
        <v>0</v>
      </c>
      <c r="CQ3729">
        <f t="shared" si="661"/>
        <v>108</v>
      </c>
    </row>
    <row r="3730" spans="94:95">
      <c r="CP3730">
        <f>IF(周转筐出入库明细!$C1731="",0,1)</f>
        <v>0</v>
      </c>
      <c r="CQ3730">
        <f t="shared" si="661"/>
        <v>108</v>
      </c>
    </row>
    <row r="3731" spans="94:95">
      <c r="CP3731">
        <f>IF(周转筐出入库明细!$C1732="",0,1)</f>
        <v>0</v>
      </c>
      <c r="CQ3731">
        <f t="shared" si="661"/>
        <v>108</v>
      </c>
    </row>
    <row r="3732" spans="94:95">
      <c r="CP3732">
        <f>IF(周转筐出入库明细!$C1733="",0,1)</f>
        <v>0</v>
      </c>
      <c r="CQ3732">
        <f t="shared" si="661"/>
        <v>108</v>
      </c>
    </row>
    <row r="3733" spans="94:95">
      <c r="CP3733">
        <f>IF(周转筐出入库明细!$C1734="",0,1)</f>
        <v>0</v>
      </c>
      <c r="CQ3733">
        <f t="shared" si="661"/>
        <v>108</v>
      </c>
    </row>
    <row r="3734" spans="94:95">
      <c r="CP3734">
        <f>IF(周转筐出入库明细!$C1735="",0,1)</f>
        <v>0</v>
      </c>
      <c r="CQ3734">
        <f t="shared" si="661"/>
        <v>108</v>
      </c>
    </row>
    <row r="3735" spans="94:95">
      <c r="CP3735">
        <f>IF(周转筐出入库明细!$C1736="",0,1)</f>
        <v>0</v>
      </c>
      <c r="CQ3735">
        <f t="shared" si="661"/>
        <v>108</v>
      </c>
    </row>
    <row r="3736" spans="94:95">
      <c r="CP3736">
        <f>IF(周转筐出入库明细!$C1737="",0,1)</f>
        <v>0</v>
      </c>
      <c r="CQ3736">
        <f t="shared" si="661"/>
        <v>108</v>
      </c>
    </row>
    <row r="3737" spans="94:95">
      <c r="CP3737">
        <f>IF(周转筐出入库明细!$C1738="",0,1)</f>
        <v>0</v>
      </c>
      <c r="CQ3737">
        <f t="shared" si="661"/>
        <v>108</v>
      </c>
    </row>
    <row r="3738" spans="94:95">
      <c r="CP3738">
        <f>IF(周转筐出入库明细!$C1739="",0,1)</f>
        <v>0</v>
      </c>
      <c r="CQ3738">
        <f t="shared" si="661"/>
        <v>108</v>
      </c>
    </row>
    <row r="3739" spans="94:95">
      <c r="CP3739">
        <f>IF(周转筐出入库明细!$C1740="",0,1)</f>
        <v>0</v>
      </c>
      <c r="CQ3739">
        <f t="shared" si="661"/>
        <v>108</v>
      </c>
    </row>
    <row r="3740" spans="94:95">
      <c r="CP3740">
        <f>IF(周转筐出入库明细!$C1741="",0,1)</f>
        <v>0</v>
      </c>
      <c r="CQ3740">
        <f t="shared" si="661"/>
        <v>108</v>
      </c>
    </row>
    <row r="3741" spans="94:95">
      <c r="CP3741">
        <f>IF(周转筐出入库明细!$C1742="",0,1)</f>
        <v>0</v>
      </c>
      <c r="CQ3741">
        <f t="shared" si="661"/>
        <v>108</v>
      </c>
    </row>
    <row r="3742" spans="94:95">
      <c r="CP3742">
        <f>IF(周转筐出入库明细!$C1743="",0,1)</f>
        <v>0</v>
      </c>
      <c r="CQ3742">
        <f t="shared" si="661"/>
        <v>108</v>
      </c>
    </row>
    <row r="3743" spans="94:95">
      <c r="CP3743">
        <f>IF(周转筐出入库明细!$C1744="",0,1)</f>
        <v>0</v>
      </c>
      <c r="CQ3743">
        <f t="shared" si="661"/>
        <v>108</v>
      </c>
    </row>
    <row r="3744" spans="94:95">
      <c r="CP3744">
        <f>IF(周转筐出入库明细!$C1745="",0,1)</f>
        <v>0</v>
      </c>
      <c r="CQ3744">
        <f t="shared" si="661"/>
        <v>108</v>
      </c>
    </row>
    <row r="3745" spans="94:95">
      <c r="CP3745">
        <f>IF(周转筐出入库明细!$C1746="",0,1)</f>
        <v>0</v>
      </c>
      <c r="CQ3745">
        <f t="shared" si="661"/>
        <v>108</v>
      </c>
    </row>
    <row r="3746" spans="94:95">
      <c r="CP3746">
        <f>IF(周转筐出入库明细!$C1747="",0,1)</f>
        <v>0</v>
      </c>
      <c r="CQ3746">
        <f t="shared" si="661"/>
        <v>108</v>
      </c>
    </row>
    <row r="3747" spans="94:95">
      <c r="CP3747">
        <f>IF(周转筐出入库明细!$C1748="",0,1)</f>
        <v>0</v>
      </c>
      <c r="CQ3747">
        <f t="shared" si="661"/>
        <v>108</v>
      </c>
    </row>
    <row r="3748" spans="94:95">
      <c r="CP3748">
        <f>IF(周转筐出入库明细!$C1749="",0,1)</f>
        <v>0</v>
      </c>
      <c r="CQ3748">
        <f t="shared" si="661"/>
        <v>108</v>
      </c>
    </row>
    <row r="3749" spans="94:95">
      <c r="CP3749">
        <f>IF(周转筐出入库明细!$C1750="",0,1)</f>
        <v>0</v>
      </c>
      <c r="CQ3749">
        <f t="shared" si="661"/>
        <v>108</v>
      </c>
    </row>
    <row r="3750" spans="94:95">
      <c r="CP3750">
        <f>IF(周转筐出入库明细!$C1751="",0,1)</f>
        <v>0</v>
      </c>
      <c r="CQ3750">
        <f t="shared" si="661"/>
        <v>108</v>
      </c>
    </row>
    <row r="3751" spans="94:95">
      <c r="CP3751">
        <f>IF(周转筐出入库明细!$C1752="",0,1)</f>
        <v>0</v>
      </c>
      <c r="CQ3751">
        <f t="shared" si="661"/>
        <v>108</v>
      </c>
    </row>
    <row r="3752" spans="94:95">
      <c r="CP3752">
        <f>IF(周转筐出入库明细!$C1753="",0,1)</f>
        <v>0</v>
      </c>
      <c r="CQ3752">
        <f t="shared" si="661"/>
        <v>108</v>
      </c>
    </row>
    <row r="3753" spans="94:95">
      <c r="CP3753">
        <f>IF(周转筐出入库明细!$C1754="",0,1)</f>
        <v>0</v>
      </c>
      <c r="CQ3753">
        <f t="shared" si="661"/>
        <v>108</v>
      </c>
    </row>
    <row r="3754" spans="94:95">
      <c r="CP3754">
        <f>IF(周转筐出入库明细!$C1755="",0,1)</f>
        <v>0</v>
      </c>
      <c r="CQ3754">
        <f t="shared" si="661"/>
        <v>108</v>
      </c>
    </row>
    <row r="3755" spans="94:95">
      <c r="CP3755">
        <f>IF(周转筐出入库明细!$C1756="",0,1)</f>
        <v>0</v>
      </c>
      <c r="CQ3755">
        <f t="shared" si="661"/>
        <v>108</v>
      </c>
    </row>
    <row r="3756" spans="94:95">
      <c r="CP3756">
        <f>IF(周转筐出入库明细!$C1757="",0,1)</f>
        <v>0</v>
      </c>
      <c r="CQ3756">
        <f t="shared" si="661"/>
        <v>108</v>
      </c>
    </row>
    <row r="3757" spans="94:95">
      <c r="CP3757">
        <f>IF(周转筐出入库明细!$C1758="",0,1)</f>
        <v>0</v>
      </c>
      <c r="CQ3757">
        <f t="shared" si="661"/>
        <v>108</v>
      </c>
    </row>
    <row r="3758" spans="94:95">
      <c r="CP3758">
        <f>IF(周转筐出入库明细!$C1759="",0,1)</f>
        <v>0</v>
      </c>
      <c r="CQ3758">
        <f t="shared" si="661"/>
        <v>108</v>
      </c>
    </row>
    <row r="3759" spans="94:95">
      <c r="CP3759">
        <f>IF(周转筐出入库明细!$C1760="",0,1)</f>
        <v>0</v>
      </c>
      <c r="CQ3759">
        <f t="shared" si="661"/>
        <v>108</v>
      </c>
    </row>
    <row r="3760" spans="94:95">
      <c r="CP3760">
        <f>IF(周转筐出入库明细!$C1761="",0,1)</f>
        <v>0</v>
      </c>
      <c r="CQ3760">
        <f t="shared" si="661"/>
        <v>108</v>
      </c>
    </row>
    <row r="3761" spans="94:95">
      <c r="CP3761">
        <f>IF(周转筐出入库明细!$C1762="",0,1)</f>
        <v>0</v>
      </c>
      <c r="CQ3761">
        <f t="shared" si="661"/>
        <v>108</v>
      </c>
    </row>
    <row r="3762" spans="94:95">
      <c r="CP3762">
        <f>IF(周转筐出入库明细!$C1763="",0,1)</f>
        <v>0</v>
      </c>
      <c r="CQ3762">
        <f t="shared" si="661"/>
        <v>108</v>
      </c>
    </row>
    <row r="3763" spans="94:95">
      <c r="CP3763">
        <f>IF(周转筐出入库明细!$C1764="",0,1)</f>
        <v>0</v>
      </c>
      <c r="CQ3763">
        <f t="shared" si="661"/>
        <v>108</v>
      </c>
    </row>
    <row r="3764" spans="94:95">
      <c r="CP3764">
        <f>IF(周转筐出入库明细!$C1765="",0,1)</f>
        <v>0</v>
      </c>
      <c r="CQ3764">
        <f t="shared" si="661"/>
        <v>108</v>
      </c>
    </row>
    <row r="3765" spans="94:95">
      <c r="CP3765">
        <f>IF(周转筐出入库明细!$C1766="",0,1)</f>
        <v>0</v>
      </c>
      <c r="CQ3765">
        <f t="shared" si="661"/>
        <v>108</v>
      </c>
    </row>
    <row r="3766" spans="94:95">
      <c r="CP3766">
        <f>IF(周转筐出入库明细!$C1767="",0,1)</f>
        <v>0</v>
      </c>
      <c r="CQ3766">
        <f t="shared" si="661"/>
        <v>108</v>
      </c>
    </row>
    <row r="3767" spans="94:95">
      <c r="CP3767">
        <f>IF(周转筐出入库明细!$C1768="",0,1)</f>
        <v>0</v>
      </c>
      <c r="CQ3767">
        <f t="shared" si="661"/>
        <v>108</v>
      </c>
    </row>
    <row r="3768" spans="94:95">
      <c r="CP3768">
        <f>IF(周转筐出入库明细!$C1769="",0,1)</f>
        <v>0</v>
      </c>
      <c r="CQ3768">
        <f t="shared" si="661"/>
        <v>108</v>
      </c>
    </row>
    <row r="3769" spans="94:95">
      <c r="CP3769">
        <f>IF(周转筐出入库明细!$C1770="",0,1)</f>
        <v>0</v>
      </c>
      <c r="CQ3769">
        <f t="shared" si="661"/>
        <v>108</v>
      </c>
    </row>
    <row r="3770" spans="94:95">
      <c r="CP3770">
        <f>IF(周转筐出入库明细!$C1771="",0,1)</f>
        <v>0</v>
      </c>
      <c r="CQ3770">
        <f t="shared" si="661"/>
        <v>108</v>
      </c>
    </row>
    <row r="3771" spans="94:95">
      <c r="CP3771">
        <f>IF(周转筐出入库明细!$C1772="",0,1)</f>
        <v>0</v>
      </c>
      <c r="CQ3771">
        <f t="shared" si="661"/>
        <v>108</v>
      </c>
    </row>
    <row r="3772" spans="94:95">
      <c r="CP3772">
        <f>IF(周转筐出入库明细!$C1773="",0,1)</f>
        <v>0</v>
      </c>
      <c r="CQ3772">
        <f t="shared" si="661"/>
        <v>108</v>
      </c>
    </row>
    <row r="3773" spans="94:95">
      <c r="CP3773">
        <f>IF(周转筐出入库明细!$C1774="",0,1)</f>
        <v>0</v>
      </c>
      <c r="CQ3773">
        <f t="shared" si="661"/>
        <v>108</v>
      </c>
    </row>
    <row r="3774" spans="94:95">
      <c r="CP3774">
        <f>IF(周转筐出入库明细!$C1775="",0,1)</f>
        <v>0</v>
      </c>
      <c r="CQ3774">
        <f t="shared" si="661"/>
        <v>108</v>
      </c>
    </row>
    <row r="3775" spans="94:95">
      <c r="CP3775">
        <f>IF(周转筐出入库明细!$C1776="",0,1)</f>
        <v>0</v>
      </c>
      <c r="CQ3775">
        <f t="shared" si="661"/>
        <v>108</v>
      </c>
    </row>
    <row r="3776" spans="94:95">
      <c r="CP3776">
        <f>IF(周转筐出入库明细!$C1777="",0,1)</f>
        <v>0</v>
      </c>
      <c r="CQ3776">
        <f t="shared" si="661"/>
        <v>108</v>
      </c>
    </row>
    <row r="3777" spans="94:95">
      <c r="CP3777">
        <f>IF(周转筐出入库明细!$C1778="",0,1)</f>
        <v>0</v>
      </c>
      <c r="CQ3777">
        <f t="shared" si="661"/>
        <v>108</v>
      </c>
    </row>
    <row r="3778" spans="94:95">
      <c r="CP3778">
        <f>IF(周转筐出入库明细!$C1779="",0,1)</f>
        <v>0</v>
      </c>
      <c r="CQ3778">
        <f t="shared" si="661"/>
        <v>108</v>
      </c>
    </row>
    <row r="3779" spans="94:95">
      <c r="CP3779">
        <f>IF(周转筐出入库明细!$C1780="",0,1)</f>
        <v>0</v>
      </c>
      <c r="CQ3779">
        <f t="shared" si="661"/>
        <v>108</v>
      </c>
    </row>
    <row r="3780" spans="94:95">
      <c r="CP3780">
        <f>IF(周转筐出入库明细!$C1781="",0,1)</f>
        <v>0</v>
      </c>
      <c r="CQ3780">
        <f t="shared" ref="CQ3780:CQ3843" si="662">N(CQ3779)+$CP3780</f>
        <v>108</v>
      </c>
    </row>
    <row r="3781" spans="94:95">
      <c r="CP3781">
        <f>IF(周转筐出入库明细!$C1782="",0,1)</f>
        <v>0</v>
      </c>
      <c r="CQ3781">
        <f t="shared" si="662"/>
        <v>108</v>
      </c>
    </row>
    <row r="3782" spans="94:95">
      <c r="CP3782">
        <f>IF(周转筐出入库明细!$C1783="",0,1)</f>
        <v>0</v>
      </c>
      <c r="CQ3782">
        <f t="shared" si="662"/>
        <v>108</v>
      </c>
    </row>
    <row r="3783" spans="94:95">
      <c r="CP3783">
        <f>IF(周转筐出入库明细!$C1784="",0,1)</f>
        <v>0</v>
      </c>
      <c r="CQ3783">
        <f t="shared" si="662"/>
        <v>108</v>
      </c>
    </row>
    <row r="3784" spans="94:95">
      <c r="CP3784">
        <f>IF(周转筐出入库明细!$C1785="",0,1)</f>
        <v>0</v>
      </c>
      <c r="CQ3784">
        <f t="shared" si="662"/>
        <v>108</v>
      </c>
    </row>
    <row r="3785" spans="94:95">
      <c r="CP3785">
        <f>IF(周转筐出入库明细!$C1786="",0,1)</f>
        <v>0</v>
      </c>
      <c r="CQ3785">
        <f t="shared" si="662"/>
        <v>108</v>
      </c>
    </row>
    <row r="3786" spans="94:95">
      <c r="CP3786">
        <f>IF(周转筐出入库明细!$C1787="",0,1)</f>
        <v>0</v>
      </c>
      <c r="CQ3786">
        <f t="shared" si="662"/>
        <v>108</v>
      </c>
    </row>
    <row r="3787" spans="94:95">
      <c r="CP3787">
        <f>IF(周转筐出入库明细!$C1788="",0,1)</f>
        <v>0</v>
      </c>
      <c r="CQ3787">
        <f t="shared" si="662"/>
        <v>108</v>
      </c>
    </row>
    <row r="3788" spans="94:95">
      <c r="CP3788">
        <f>IF(周转筐出入库明细!$C1789="",0,1)</f>
        <v>0</v>
      </c>
      <c r="CQ3788">
        <f t="shared" si="662"/>
        <v>108</v>
      </c>
    </row>
    <row r="3789" spans="94:95">
      <c r="CP3789">
        <f>IF(周转筐出入库明细!$C1790="",0,1)</f>
        <v>0</v>
      </c>
      <c r="CQ3789">
        <f t="shared" si="662"/>
        <v>108</v>
      </c>
    </row>
    <row r="3790" spans="94:95">
      <c r="CP3790">
        <f>IF(周转筐出入库明细!$C1791="",0,1)</f>
        <v>0</v>
      </c>
      <c r="CQ3790">
        <f t="shared" si="662"/>
        <v>108</v>
      </c>
    </row>
    <row r="3791" spans="94:95">
      <c r="CP3791">
        <f>IF(周转筐出入库明细!$C1792="",0,1)</f>
        <v>0</v>
      </c>
      <c r="CQ3791">
        <f t="shared" si="662"/>
        <v>108</v>
      </c>
    </row>
    <row r="3792" spans="94:95">
      <c r="CP3792">
        <f>IF(周转筐出入库明细!$C1793="",0,1)</f>
        <v>0</v>
      </c>
      <c r="CQ3792">
        <f t="shared" si="662"/>
        <v>108</v>
      </c>
    </row>
    <row r="3793" spans="94:95">
      <c r="CP3793">
        <f>IF(周转筐出入库明细!$C1794="",0,1)</f>
        <v>0</v>
      </c>
      <c r="CQ3793">
        <f t="shared" si="662"/>
        <v>108</v>
      </c>
    </row>
    <row r="3794" spans="94:95">
      <c r="CP3794">
        <f>IF(周转筐出入库明细!$C1795="",0,1)</f>
        <v>0</v>
      </c>
      <c r="CQ3794">
        <f t="shared" si="662"/>
        <v>108</v>
      </c>
    </row>
    <row r="3795" spans="94:95">
      <c r="CP3795">
        <f>IF(周转筐出入库明细!$C1796="",0,1)</f>
        <v>0</v>
      </c>
      <c r="CQ3795">
        <f t="shared" si="662"/>
        <v>108</v>
      </c>
    </row>
    <row r="3796" spans="94:95">
      <c r="CP3796">
        <f>IF(周转筐出入库明细!$C1797="",0,1)</f>
        <v>0</v>
      </c>
      <c r="CQ3796">
        <f t="shared" si="662"/>
        <v>108</v>
      </c>
    </row>
    <row r="3797" spans="94:95">
      <c r="CP3797">
        <f>IF(周转筐出入库明细!$C1798="",0,1)</f>
        <v>0</v>
      </c>
      <c r="CQ3797">
        <f t="shared" si="662"/>
        <v>108</v>
      </c>
    </row>
    <row r="3798" spans="94:95">
      <c r="CP3798">
        <f>IF(周转筐出入库明细!$C1799="",0,1)</f>
        <v>0</v>
      </c>
      <c r="CQ3798">
        <f t="shared" si="662"/>
        <v>108</v>
      </c>
    </row>
    <row r="3799" spans="94:95">
      <c r="CP3799">
        <f>IF(周转筐出入库明细!$C1800="",0,1)</f>
        <v>0</v>
      </c>
      <c r="CQ3799">
        <f t="shared" si="662"/>
        <v>108</v>
      </c>
    </row>
    <row r="3800" spans="94:95">
      <c r="CP3800">
        <f>IF(周转筐出入库明细!$C1801="",0,1)</f>
        <v>0</v>
      </c>
      <c r="CQ3800">
        <f t="shared" si="662"/>
        <v>108</v>
      </c>
    </row>
    <row r="3801" spans="94:95">
      <c r="CP3801">
        <f>IF(周转筐出入库明细!$C1802="",0,1)</f>
        <v>0</v>
      </c>
      <c r="CQ3801">
        <f t="shared" si="662"/>
        <v>108</v>
      </c>
    </row>
    <row r="3802" spans="94:95">
      <c r="CP3802">
        <f>IF(周转筐出入库明细!$C1803="",0,1)</f>
        <v>0</v>
      </c>
      <c r="CQ3802">
        <f t="shared" si="662"/>
        <v>108</v>
      </c>
    </row>
    <row r="3803" spans="94:95">
      <c r="CP3803">
        <f>IF(周转筐出入库明细!$C1804="",0,1)</f>
        <v>0</v>
      </c>
      <c r="CQ3803">
        <f t="shared" si="662"/>
        <v>108</v>
      </c>
    </row>
    <row r="3804" spans="94:95">
      <c r="CP3804">
        <f>IF(周转筐出入库明细!$C1805="",0,1)</f>
        <v>0</v>
      </c>
      <c r="CQ3804">
        <f t="shared" si="662"/>
        <v>108</v>
      </c>
    </row>
    <row r="3805" spans="94:95">
      <c r="CP3805">
        <f>IF(周转筐出入库明细!$C1806="",0,1)</f>
        <v>0</v>
      </c>
      <c r="CQ3805">
        <f t="shared" si="662"/>
        <v>108</v>
      </c>
    </row>
    <row r="3806" spans="94:95">
      <c r="CP3806">
        <f>IF(周转筐出入库明细!$C1807="",0,1)</f>
        <v>0</v>
      </c>
      <c r="CQ3806">
        <f t="shared" si="662"/>
        <v>108</v>
      </c>
    </row>
    <row r="3807" spans="94:95">
      <c r="CP3807">
        <f>IF(周转筐出入库明细!$C1808="",0,1)</f>
        <v>0</v>
      </c>
      <c r="CQ3807">
        <f t="shared" si="662"/>
        <v>108</v>
      </c>
    </row>
    <row r="3808" spans="94:95">
      <c r="CP3808">
        <f>IF(周转筐出入库明细!$C1809="",0,1)</f>
        <v>0</v>
      </c>
      <c r="CQ3808">
        <f t="shared" si="662"/>
        <v>108</v>
      </c>
    </row>
    <row r="3809" spans="94:95">
      <c r="CP3809">
        <f>IF(周转筐出入库明细!$C1810="",0,1)</f>
        <v>0</v>
      </c>
      <c r="CQ3809">
        <f t="shared" si="662"/>
        <v>108</v>
      </c>
    </row>
    <row r="3810" spans="94:95">
      <c r="CP3810">
        <f>IF(周转筐出入库明细!$C1811="",0,1)</f>
        <v>0</v>
      </c>
      <c r="CQ3810">
        <f t="shared" si="662"/>
        <v>108</v>
      </c>
    </row>
    <row r="3811" spans="94:95">
      <c r="CP3811">
        <f>IF(周转筐出入库明细!$C1812="",0,1)</f>
        <v>0</v>
      </c>
      <c r="CQ3811">
        <f t="shared" si="662"/>
        <v>108</v>
      </c>
    </row>
    <row r="3812" spans="94:95">
      <c r="CP3812">
        <f>IF(周转筐出入库明细!$C1813="",0,1)</f>
        <v>0</v>
      </c>
      <c r="CQ3812">
        <f t="shared" si="662"/>
        <v>108</v>
      </c>
    </row>
    <row r="3813" spans="94:95">
      <c r="CP3813">
        <f>IF(周转筐出入库明细!$C1814="",0,1)</f>
        <v>0</v>
      </c>
      <c r="CQ3813">
        <f t="shared" si="662"/>
        <v>108</v>
      </c>
    </row>
    <row r="3814" spans="94:95">
      <c r="CP3814">
        <f>IF(周转筐出入库明细!$C1815="",0,1)</f>
        <v>0</v>
      </c>
      <c r="CQ3814">
        <f t="shared" si="662"/>
        <v>108</v>
      </c>
    </row>
    <row r="3815" spans="94:95">
      <c r="CP3815">
        <f>IF(周转筐出入库明细!$C1816="",0,1)</f>
        <v>0</v>
      </c>
      <c r="CQ3815">
        <f t="shared" si="662"/>
        <v>108</v>
      </c>
    </row>
    <row r="3816" spans="94:95">
      <c r="CP3816">
        <f>IF(周转筐出入库明细!$C1817="",0,1)</f>
        <v>0</v>
      </c>
      <c r="CQ3816">
        <f t="shared" si="662"/>
        <v>108</v>
      </c>
    </row>
    <row r="3817" spans="94:95">
      <c r="CP3817">
        <f>IF(周转筐出入库明细!$C1818="",0,1)</f>
        <v>0</v>
      </c>
      <c r="CQ3817">
        <f t="shared" si="662"/>
        <v>108</v>
      </c>
    </row>
    <row r="3818" spans="94:95">
      <c r="CP3818">
        <f>IF(周转筐出入库明细!$C1819="",0,1)</f>
        <v>0</v>
      </c>
      <c r="CQ3818">
        <f t="shared" si="662"/>
        <v>108</v>
      </c>
    </row>
    <row r="3819" spans="94:95">
      <c r="CP3819">
        <f>IF(周转筐出入库明细!$C1820="",0,1)</f>
        <v>0</v>
      </c>
      <c r="CQ3819">
        <f t="shared" si="662"/>
        <v>108</v>
      </c>
    </row>
    <row r="3820" spans="94:95">
      <c r="CP3820">
        <f>IF(周转筐出入库明细!$C1821="",0,1)</f>
        <v>0</v>
      </c>
      <c r="CQ3820">
        <f t="shared" si="662"/>
        <v>108</v>
      </c>
    </row>
    <row r="3821" spans="94:95">
      <c r="CP3821">
        <f>IF(周转筐出入库明细!$C1822="",0,1)</f>
        <v>0</v>
      </c>
      <c r="CQ3821">
        <f t="shared" si="662"/>
        <v>108</v>
      </c>
    </row>
    <row r="3822" spans="94:95">
      <c r="CP3822">
        <f>IF(周转筐出入库明细!$C1823="",0,1)</f>
        <v>0</v>
      </c>
      <c r="CQ3822">
        <f t="shared" si="662"/>
        <v>108</v>
      </c>
    </row>
    <row r="3823" spans="94:95">
      <c r="CP3823">
        <f>IF(周转筐出入库明细!$C1824="",0,1)</f>
        <v>0</v>
      </c>
      <c r="CQ3823">
        <f t="shared" si="662"/>
        <v>108</v>
      </c>
    </row>
    <row r="3824" spans="94:95">
      <c r="CP3824">
        <f>IF(周转筐出入库明细!$C1825="",0,1)</f>
        <v>0</v>
      </c>
      <c r="CQ3824">
        <f t="shared" si="662"/>
        <v>108</v>
      </c>
    </row>
    <row r="3825" spans="94:95">
      <c r="CP3825">
        <f>IF(周转筐出入库明细!$C1826="",0,1)</f>
        <v>0</v>
      </c>
      <c r="CQ3825">
        <f t="shared" si="662"/>
        <v>108</v>
      </c>
    </row>
    <row r="3826" spans="94:95">
      <c r="CP3826">
        <f>IF(周转筐出入库明细!$C1827="",0,1)</f>
        <v>0</v>
      </c>
      <c r="CQ3826">
        <f t="shared" si="662"/>
        <v>108</v>
      </c>
    </row>
    <row r="3827" spans="94:95">
      <c r="CP3827">
        <f>IF(周转筐出入库明细!$C1828="",0,1)</f>
        <v>0</v>
      </c>
      <c r="CQ3827">
        <f t="shared" si="662"/>
        <v>108</v>
      </c>
    </row>
    <row r="3828" spans="94:95">
      <c r="CP3828">
        <f>IF(周转筐出入库明细!$C1829="",0,1)</f>
        <v>0</v>
      </c>
      <c r="CQ3828">
        <f t="shared" si="662"/>
        <v>108</v>
      </c>
    </row>
    <row r="3829" spans="94:95">
      <c r="CP3829">
        <f>IF(周转筐出入库明细!$C1830="",0,1)</f>
        <v>0</v>
      </c>
      <c r="CQ3829">
        <f t="shared" si="662"/>
        <v>108</v>
      </c>
    </row>
    <row r="3830" spans="94:95">
      <c r="CP3830">
        <f>IF(周转筐出入库明细!$C1831="",0,1)</f>
        <v>0</v>
      </c>
      <c r="CQ3830">
        <f t="shared" si="662"/>
        <v>108</v>
      </c>
    </row>
    <row r="3831" spans="94:95">
      <c r="CP3831">
        <f>IF(周转筐出入库明细!$C1832="",0,1)</f>
        <v>0</v>
      </c>
      <c r="CQ3831">
        <f t="shared" si="662"/>
        <v>108</v>
      </c>
    </row>
    <row r="3832" spans="94:95">
      <c r="CP3832">
        <f>IF(周转筐出入库明细!$C1833="",0,1)</f>
        <v>0</v>
      </c>
      <c r="CQ3832">
        <f t="shared" si="662"/>
        <v>108</v>
      </c>
    </row>
    <row r="3833" spans="94:95">
      <c r="CP3833">
        <f>IF(周转筐出入库明细!$C1834="",0,1)</f>
        <v>0</v>
      </c>
      <c r="CQ3833">
        <f t="shared" si="662"/>
        <v>108</v>
      </c>
    </row>
    <row r="3834" spans="94:95">
      <c r="CP3834">
        <f>IF(周转筐出入库明细!$C1835="",0,1)</f>
        <v>0</v>
      </c>
      <c r="CQ3834">
        <f t="shared" si="662"/>
        <v>108</v>
      </c>
    </row>
    <row r="3835" spans="94:95">
      <c r="CP3835">
        <f>IF(周转筐出入库明细!$C1836="",0,1)</f>
        <v>0</v>
      </c>
      <c r="CQ3835">
        <f t="shared" si="662"/>
        <v>108</v>
      </c>
    </row>
    <row r="3836" spans="94:95">
      <c r="CP3836">
        <f>IF(周转筐出入库明细!$C1837="",0,1)</f>
        <v>0</v>
      </c>
      <c r="CQ3836">
        <f t="shared" si="662"/>
        <v>108</v>
      </c>
    </row>
    <row r="3837" spans="94:95">
      <c r="CP3837">
        <f>IF(周转筐出入库明细!$C1838="",0,1)</f>
        <v>0</v>
      </c>
      <c r="CQ3837">
        <f t="shared" si="662"/>
        <v>108</v>
      </c>
    </row>
    <row r="3838" spans="94:95">
      <c r="CP3838">
        <f>IF(周转筐出入库明细!$C1839="",0,1)</f>
        <v>0</v>
      </c>
      <c r="CQ3838">
        <f t="shared" si="662"/>
        <v>108</v>
      </c>
    </row>
    <row r="3839" spans="94:95">
      <c r="CP3839">
        <f>IF(周转筐出入库明细!$C1840="",0,1)</f>
        <v>0</v>
      </c>
      <c r="CQ3839">
        <f t="shared" si="662"/>
        <v>108</v>
      </c>
    </row>
    <row r="3840" spans="94:95">
      <c r="CP3840">
        <f>IF(周转筐出入库明细!$C1841="",0,1)</f>
        <v>0</v>
      </c>
      <c r="CQ3840">
        <f t="shared" si="662"/>
        <v>108</v>
      </c>
    </row>
    <row r="3841" spans="94:95">
      <c r="CP3841">
        <f>IF(周转筐出入库明细!$C1842="",0,1)</f>
        <v>0</v>
      </c>
      <c r="CQ3841">
        <f t="shared" si="662"/>
        <v>108</v>
      </c>
    </row>
    <row r="3842" spans="94:95">
      <c r="CP3842">
        <f>IF(周转筐出入库明细!$C1843="",0,1)</f>
        <v>0</v>
      </c>
      <c r="CQ3842">
        <f t="shared" si="662"/>
        <v>108</v>
      </c>
    </row>
    <row r="3843" spans="94:95">
      <c r="CP3843">
        <f>IF(周转筐出入库明细!$C1844="",0,1)</f>
        <v>0</v>
      </c>
      <c r="CQ3843">
        <f t="shared" si="662"/>
        <v>108</v>
      </c>
    </row>
    <row r="3844" spans="94:95">
      <c r="CP3844">
        <f>IF(周转筐出入库明细!$C1845="",0,1)</f>
        <v>0</v>
      </c>
      <c r="CQ3844">
        <f t="shared" ref="CQ3844:CQ3907" si="663">N(CQ3843)+$CP3844</f>
        <v>108</v>
      </c>
    </row>
    <row r="3845" spans="94:95">
      <c r="CP3845">
        <f>IF(周转筐出入库明细!$C1846="",0,1)</f>
        <v>0</v>
      </c>
      <c r="CQ3845">
        <f t="shared" si="663"/>
        <v>108</v>
      </c>
    </row>
    <row r="3846" spans="94:95">
      <c r="CP3846">
        <f>IF(周转筐出入库明细!$C1847="",0,1)</f>
        <v>0</v>
      </c>
      <c r="CQ3846">
        <f t="shared" si="663"/>
        <v>108</v>
      </c>
    </row>
    <row r="3847" spans="94:95">
      <c r="CP3847">
        <f>IF(周转筐出入库明细!$C1848="",0,1)</f>
        <v>0</v>
      </c>
      <c r="CQ3847">
        <f t="shared" si="663"/>
        <v>108</v>
      </c>
    </row>
    <row r="3848" spans="94:95">
      <c r="CP3848">
        <f>IF(周转筐出入库明细!$C1849="",0,1)</f>
        <v>0</v>
      </c>
      <c r="CQ3848">
        <f t="shared" si="663"/>
        <v>108</v>
      </c>
    </row>
    <row r="3849" spans="94:95">
      <c r="CP3849">
        <f>IF(周转筐出入库明细!$C1850="",0,1)</f>
        <v>0</v>
      </c>
      <c r="CQ3849">
        <f t="shared" si="663"/>
        <v>108</v>
      </c>
    </row>
    <row r="3850" spans="94:95">
      <c r="CP3850">
        <f>IF(周转筐出入库明细!$C1851="",0,1)</f>
        <v>0</v>
      </c>
      <c r="CQ3850">
        <f t="shared" si="663"/>
        <v>108</v>
      </c>
    </row>
    <row r="3851" spans="94:95">
      <c r="CP3851">
        <f>IF(周转筐出入库明细!$C1852="",0,1)</f>
        <v>0</v>
      </c>
      <c r="CQ3851">
        <f t="shared" si="663"/>
        <v>108</v>
      </c>
    </row>
    <row r="3852" spans="94:95">
      <c r="CP3852">
        <f>IF(周转筐出入库明细!$C1853="",0,1)</f>
        <v>0</v>
      </c>
      <c r="CQ3852">
        <f t="shared" si="663"/>
        <v>108</v>
      </c>
    </row>
    <row r="3853" spans="94:95">
      <c r="CP3853">
        <f>IF(周转筐出入库明细!$C1854="",0,1)</f>
        <v>0</v>
      </c>
      <c r="CQ3853">
        <f t="shared" si="663"/>
        <v>108</v>
      </c>
    </row>
    <row r="3854" spans="94:95">
      <c r="CP3854">
        <f>IF(周转筐出入库明细!$C1855="",0,1)</f>
        <v>0</v>
      </c>
      <c r="CQ3854">
        <f t="shared" si="663"/>
        <v>108</v>
      </c>
    </row>
    <row r="3855" spans="94:95">
      <c r="CP3855">
        <f>IF(周转筐出入库明细!$C1856="",0,1)</f>
        <v>0</v>
      </c>
      <c r="CQ3855">
        <f t="shared" si="663"/>
        <v>108</v>
      </c>
    </row>
    <row r="3856" spans="94:95">
      <c r="CP3856">
        <f>IF(周转筐出入库明细!$C1857="",0,1)</f>
        <v>0</v>
      </c>
      <c r="CQ3856">
        <f t="shared" si="663"/>
        <v>108</v>
      </c>
    </row>
    <row r="3857" spans="94:95">
      <c r="CP3857">
        <f>IF(周转筐出入库明细!$C1858="",0,1)</f>
        <v>0</v>
      </c>
      <c r="CQ3857">
        <f t="shared" si="663"/>
        <v>108</v>
      </c>
    </row>
    <row r="3858" spans="94:95">
      <c r="CP3858">
        <f>IF(周转筐出入库明细!$C1859="",0,1)</f>
        <v>0</v>
      </c>
      <c r="CQ3858">
        <f t="shared" si="663"/>
        <v>108</v>
      </c>
    </row>
    <row r="3859" spans="94:95">
      <c r="CP3859">
        <f>IF(周转筐出入库明细!$C1860="",0,1)</f>
        <v>0</v>
      </c>
      <c r="CQ3859">
        <f t="shared" si="663"/>
        <v>108</v>
      </c>
    </row>
    <row r="3860" spans="94:95">
      <c r="CP3860">
        <f>IF(周转筐出入库明细!$C1861="",0,1)</f>
        <v>0</v>
      </c>
      <c r="CQ3860">
        <f t="shared" si="663"/>
        <v>108</v>
      </c>
    </row>
    <row r="3861" spans="94:95">
      <c r="CP3861">
        <f>IF(周转筐出入库明细!$C1862="",0,1)</f>
        <v>0</v>
      </c>
      <c r="CQ3861">
        <f t="shared" si="663"/>
        <v>108</v>
      </c>
    </row>
    <row r="3862" spans="94:95">
      <c r="CP3862">
        <f>IF(周转筐出入库明细!$C1863="",0,1)</f>
        <v>0</v>
      </c>
      <c r="CQ3862">
        <f t="shared" si="663"/>
        <v>108</v>
      </c>
    </row>
    <row r="3863" spans="94:95">
      <c r="CP3863">
        <f>IF(周转筐出入库明细!$C1864="",0,1)</f>
        <v>0</v>
      </c>
      <c r="CQ3863">
        <f t="shared" si="663"/>
        <v>108</v>
      </c>
    </row>
    <row r="3864" spans="94:95">
      <c r="CP3864">
        <f>IF(周转筐出入库明细!$C1865="",0,1)</f>
        <v>0</v>
      </c>
      <c r="CQ3864">
        <f t="shared" si="663"/>
        <v>108</v>
      </c>
    </row>
    <row r="3865" spans="94:95">
      <c r="CP3865">
        <f>IF(周转筐出入库明细!$C1866="",0,1)</f>
        <v>0</v>
      </c>
      <c r="CQ3865">
        <f t="shared" si="663"/>
        <v>108</v>
      </c>
    </row>
    <row r="3866" spans="94:95">
      <c r="CP3866">
        <f>IF(周转筐出入库明细!$C1867="",0,1)</f>
        <v>0</v>
      </c>
      <c r="CQ3866">
        <f t="shared" si="663"/>
        <v>108</v>
      </c>
    </row>
    <row r="3867" spans="94:95">
      <c r="CP3867">
        <f>IF(周转筐出入库明细!$C1868="",0,1)</f>
        <v>0</v>
      </c>
      <c r="CQ3867">
        <f t="shared" si="663"/>
        <v>108</v>
      </c>
    </row>
    <row r="3868" spans="94:95">
      <c r="CP3868">
        <f>IF(周转筐出入库明细!$C1869="",0,1)</f>
        <v>0</v>
      </c>
      <c r="CQ3868">
        <f t="shared" si="663"/>
        <v>108</v>
      </c>
    </row>
    <row r="3869" spans="94:95">
      <c r="CP3869">
        <f>IF(周转筐出入库明细!$C1870="",0,1)</f>
        <v>0</v>
      </c>
      <c r="CQ3869">
        <f t="shared" si="663"/>
        <v>108</v>
      </c>
    </row>
    <row r="3870" spans="94:95">
      <c r="CP3870">
        <f>IF(周转筐出入库明细!$C1871="",0,1)</f>
        <v>0</v>
      </c>
      <c r="CQ3870">
        <f t="shared" si="663"/>
        <v>108</v>
      </c>
    </row>
    <row r="3871" spans="94:95">
      <c r="CP3871">
        <f>IF(周转筐出入库明细!$C1872="",0,1)</f>
        <v>0</v>
      </c>
      <c r="CQ3871">
        <f t="shared" si="663"/>
        <v>108</v>
      </c>
    </row>
    <row r="3872" spans="94:95">
      <c r="CP3872">
        <f>IF(周转筐出入库明细!$C1873="",0,1)</f>
        <v>0</v>
      </c>
      <c r="CQ3872">
        <f t="shared" si="663"/>
        <v>108</v>
      </c>
    </row>
    <row r="3873" spans="94:95">
      <c r="CP3873">
        <f>IF(周转筐出入库明细!$C1874="",0,1)</f>
        <v>0</v>
      </c>
      <c r="CQ3873">
        <f t="shared" si="663"/>
        <v>108</v>
      </c>
    </row>
    <row r="3874" spans="94:95">
      <c r="CP3874">
        <f>IF(周转筐出入库明细!$C1875="",0,1)</f>
        <v>0</v>
      </c>
      <c r="CQ3874">
        <f t="shared" si="663"/>
        <v>108</v>
      </c>
    </row>
    <row r="3875" spans="94:95">
      <c r="CP3875">
        <f>IF(周转筐出入库明细!$C1876="",0,1)</f>
        <v>0</v>
      </c>
      <c r="CQ3875">
        <f t="shared" si="663"/>
        <v>108</v>
      </c>
    </row>
    <row r="3876" spans="94:95">
      <c r="CP3876">
        <f>IF(周转筐出入库明细!$C1877="",0,1)</f>
        <v>0</v>
      </c>
      <c r="CQ3876">
        <f t="shared" si="663"/>
        <v>108</v>
      </c>
    </row>
    <row r="3877" spans="94:95">
      <c r="CP3877">
        <f>IF(周转筐出入库明细!$C1878="",0,1)</f>
        <v>0</v>
      </c>
      <c r="CQ3877">
        <f t="shared" si="663"/>
        <v>108</v>
      </c>
    </row>
    <row r="3878" spans="94:95">
      <c r="CP3878">
        <f>IF(周转筐出入库明细!$C1879="",0,1)</f>
        <v>0</v>
      </c>
      <c r="CQ3878">
        <f t="shared" si="663"/>
        <v>108</v>
      </c>
    </row>
    <row r="3879" spans="94:95">
      <c r="CP3879">
        <f>IF(周转筐出入库明细!$C1880="",0,1)</f>
        <v>0</v>
      </c>
      <c r="CQ3879">
        <f t="shared" si="663"/>
        <v>108</v>
      </c>
    </row>
    <row r="3880" spans="94:95">
      <c r="CP3880">
        <f>IF(周转筐出入库明细!$C1881="",0,1)</f>
        <v>0</v>
      </c>
      <c r="CQ3880">
        <f t="shared" si="663"/>
        <v>108</v>
      </c>
    </row>
    <row r="3881" spans="94:95">
      <c r="CP3881">
        <f>IF(周转筐出入库明细!$C1882="",0,1)</f>
        <v>0</v>
      </c>
      <c r="CQ3881">
        <f t="shared" si="663"/>
        <v>108</v>
      </c>
    </row>
    <row r="3882" spans="94:95">
      <c r="CP3882">
        <f>IF(周转筐出入库明细!$C1883="",0,1)</f>
        <v>0</v>
      </c>
      <c r="CQ3882">
        <f t="shared" si="663"/>
        <v>108</v>
      </c>
    </row>
    <row r="3883" spans="94:95">
      <c r="CP3883">
        <f>IF(周转筐出入库明细!$C1884="",0,1)</f>
        <v>0</v>
      </c>
      <c r="CQ3883">
        <f t="shared" si="663"/>
        <v>108</v>
      </c>
    </row>
    <row r="3884" spans="94:95">
      <c r="CP3884">
        <f>IF(周转筐出入库明细!$C1885="",0,1)</f>
        <v>0</v>
      </c>
      <c r="CQ3884">
        <f t="shared" si="663"/>
        <v>108</v>
      </c>
    </row>
    <row r="3885" spans="94:95">
      <c r="CP3885">
        <f>IF(周转筐出入库明细!$C1886="",0,1)</f>
        <v>0</v>
      </c>
      <c r="CQ3885">
        <f t="shared" si="663"/>
        <v>108</v>
      </c>
    </row>
    <row r="3886" spans="94:95">
      <c r="CP3886">
        <f>IF(周转筐出入库明细!$C1887="",0,1)</f>
        <v>0</v>
      </c>
      <c r="CQ3886">
        <f t="shared" si="663"/>
        <v>108</v>
      </c>
    </row>
    <row r="3887" spans="94:95">
      <c r="CP3887">
        <f>IF(周转筐出入库明细!$C1888="",0,1)</f>
        <v>0</v>
      </c>
      <c r="CQ3887">
        <f t="shared" si="663"/>
        <v>108</v>
      </c>
    </row>
    <row r="3888" spans="94:95">
      <c r="CP3888">
        <f>IF(周转筐出入库明细!$C1889="",0,1)</f>
        <v>0</v>
      </c>
      <c r="CQ3888">
        <f t="shared" si="663"/>
        <v>108</v>
      </c>
    </row>
    <row r="3889" spans="94:95">
      <c r="CP3889">
        <f>IF(周转筐出入库明细!$C1890="",0,1)</f>
        <v>0</v>
      </c>
      <c r="CQ3889">
        <f t="shared" si="663"/>
        <v>108</v>
      </c>
    </row>
    <row r="3890" spans="94:95">
      <c r="CP3890">
        <f>IF(周转筐出入库明细!$C1891="",0,1)</f>
        <v>0</v>
      </c>
      <c r="CQ3890">
        <f t="shared" si="663"/>
        <v>108</v>
      </c>
    </row>
    <row r="3891" spans="94:95">
      <c r="CP3891">
        <f>IF(周转筐出入库明细!$C1892="",0,1)</f>
        <v>0</v>
      </c>
      <c r="CQ3891">
        <f t="shared" si="663"/>
        <v>108</v>
      </c>
    </row>
    <row r="3892" spans="94:95">
      <c r="CP3892">
        <f>IF(周转筐出入库明细!$C1893="",0,1)</f>
        <v>0</v>
      </c>
      <c r="CQ3892">
        <f t="shared" si="663"/>
        <v>108</v>
      </c>
    </row>
    <row r="3893" spans="94:95">
      <c r="CP3893">
        <f>IF(周转筐出入库明细!$C1894="",0,1)</f>
        <v>0</v>
      </c>
      <c r="CQ3893">
        <f t="shared" si="663"/>
        <v>108</v>
      </c>
    </row>
    <row r="3894" spans="94:95">
      <c r="CP3894">
        <f>IF(周转筐出入库明细!$C1895="",0,1)</f>
        <v>0</v>
      </c>
      <c r="CQ3894">
        <f t="shared" si="663"/>
        <v>108</v>
      </c>
    </row>
    <row r="3895" spans="94:95">
      <c r="CP3895">
        <f>IF(周转筐出入库明细!$C1896="",0,1)</f>
        <v>0</v>
      </c>
      <c r="CQ3895">
        <f t="shared" si="663"/>
        <v>108</v>
      </c>
    </row>
    <row r="3896" spans="94:95">
      <c r="CP3896">
        <f>IF(周转筐出入库明细!$C1897="",0,1)</f>
        <v>0</v>
      </c>
      <c r="CQ3896">
        <f t="shared" si="663"/>
        <v>108</v>
      </c>
    </row>
    <row r="3897" spans="94:95">
      <c r="CP3897">
        <f>IF(周转筐出入库明细!$C1898="",0,1)</f>
        <v>0</v>
      </c>
      <c r="CQ3897">
        <f t="shared" si="663"/>
        <v>108</v>
      </c>
    </row>
    <row r="3898" spans="94:95">
      <c r="CP3898">
        <f>IF(周转筐出入库明细!$C1899="",0,1)</f>
        <v>0</v>
      </c>
      <c r="CQ3898">
        <f t="shared" si="663"/>
        <v>108</v>
      </c>
    </row>
    <row r="3899" spans="94:95">
      <c r="CP3899">
        <f>IF(周转筐出入库明细!$C1900="",0,1)</f>
        <v>0</v>
      </c>
      <c r="CQ3899">
        <f t="shared" si="663"/>
        <v>108</v>
      </c>
    </row>
    <row r="3900" spans="94:95">
      <c r="CP3900">
        <f>IF(周转筐出入库明细!$C1901="",0,1)</f>
        <v>0</v>
      </c>
      <c r="CQ3900">
        <f t="shared" si="663"/>
        <v>108</v>
      </c>
    </row>
    <row r="3901" spans="94:95">
      <c r="CP3901">
        <f>IF(周转筐出入库明细!$C1902="",0,1)</f>
        <v>0</v>
      </c>
      <c r="CQ3901">
        <f t="shared" si="663"/>
        <v>108</v>
      </c>
    </row>
    <row r="3902" spans="94:95">
      <c r="CP3902">
        <f>IF(周转筐出入库明细!$C1903="",0,1)</f>
        <v>0</v>
      </c>
      <c r="CQ3902">
        <f t="shared" si="663"/>
        <v>108</v>
      </c>
    </row>
    <row r="3903" spans="94:95">
      <c r="CP3903">
        <f>IF(周转筐出入库明细!$C1904="",0,1)</f>
        <v>0</v>
      </c>
      <c r="CQ3903">
        <f t="shared" si="663"/>
        <v>108</v>
      </c>
    </row>
    <row r="3904" spans="94:95">
      <c r="CP3904">
        <f>IF(周转筐出入库明细!$C1905="",0,1)</f>
        <v>0</v>
      </c>
      <c r="CQ3904">
        <f t="shared" si="663"/>
        <v>108</v>
      </c>
    </row>
    <row r="3905" spans="94:95">
      <c r="CP3905">
        <f>IF(周转筐出入库明细!$C1906="",0,1)</f>
        <v>0</v>
      </c>
      <c r="CQ3905">
        <f t="shared" si="663"/>
        <v>108</v>
      </c>
    </row>
    <row r="3906" spans="94:95">
      <c r="CP3906">
        <f>IF(周转筐出入库明细!$C1907="",0,1)</f>
        <v>0</v>
      </c>
      <c r="CQ3906">
        <f t="shared" si="663"/>
        <v>108</v>
      </c>
    </row>
    <row r="3907" spans="94:95">
      <c r="CP3907">
        <f>IF(周转筐出入库明细!$C1908="",0,1)</f>
        <v>0</v>
      </c>
      <c r="CQ3907">
        <f t="shared" si="663"/>
        <v>108</v>
      </c>
    </row>
    <row r="3908" spans="94:95">
      <c r="CP3908">
        <f>IF(周转筐出入库明细!$C1909="",0,1)</f>
        <v>0</v>
      </c>
      <c r="CQ3908">
        <f t="shared" ref="CQ3908:CQ3971" si="664">N(CQ3907)+$CP3908</f>
        <v>108</v>
      </c>
    </row>
    <row r="3909" spans="94:95">
      <c r="CP3909">
        <f>IF(周转筐出入库明细!$C1910="",0,1)</f>
        <v>0</v>
      </c>
      <c r="CQ3909">
        <f t="shared" si="664"/>
        <v>108</v>
      </c>
    </row>
    <row r="3910" spans="94:95">
      <c r="CP3910">
        <f>IF(周转筐出入库明细!$C1911="",0,1)</f>
        <v>0</v>
      </c>
      <c r="CQ3910">
        <f t="shared" si="664"/>
        <v>108</v>
      </c>
    </row>
    <row r="3911" spans="94:95">
      <c r="CP3911">
        <f>IF(周转筐出入库明细!$C1912="",0,1)</f>
        <v>0</v>
      </c>
      <c r="CQ3911">
        <f t="shared" si="664"/>
        <v>108</v>
      </c>
    </row>
    <row r="3912" spans="94:95">
      <c r="CP3912">
        <f>IF(周转筐出入库明细!$C1913="",0,1)</f>
        <v>0</v>
      </c>
      <c r="CQ3912">
        <f t="shared" si="664"/>
        <v>108</v>
      </c>
    </row>
    <row r="3913" spans="94:95">
      <c r="CP3913">
        <f>IF(周转筐出入库明细!$C1914="",0,1)</f>
        <v>0</v>
      </c>
      <c r="CQ3913">
        <f t="shared" si="664"/>
        <v>108</v>
      </c>
    </row>
    <row r="3914" spans="94:95">
      <c r="CP3914">
        <f>IF(周转筐出入库明细!$C1915="",0,1)</f>
        <v>0</v>
      </c>
      <c r="CQ3914">
        <f t="shared" si="664"/>
        <v>108</v>
      </c>
    </row>
    <row r="3915" spans="94:95">
      <c r="CP3915">
        <f>IF(周转筐出入库明细!$C1916="",0,1)</f>
        <v>0</v>
      </c>
      <c r="CQ3915">
        <f t="shared" si="664"/>
        <v>108</v>
      </c>
    </row>
    <row r="3916" spans="94:95">
      <c r="CP3916">
        <f>IF(周转筐出入库明细!$C1917="",0,1)</f>
        <v>0</v>
      </c>
      <c r="CQ3916">
        <f t="shared" si="664"/>
        <v>108</v>
      </c>
    </row>
    <row r="3917" spans="94:95">
      <c r="CP3917">
        <f>IF(周转筐出入库明细!$C1918="",0,1)</f>
        <v>0</v>
      </c>
      <c r="CQ3917">
        <f t="shared" si="664"/>
        <v>108</v>
      </c>
    </row>
    <row r="3918" spans="94:95">
      <c r="CP3918">
        <f>IF(周转筐出入库明细!$C1919="",0,1)</f>
        <v>0</v>
      </c>
      <c r="CQ3918">
        <f t="shared" si="664"/>
        <v>108</v>
      </c>
    </row>
    <row r="3919" spans="94:95">
      <c r="CP3919">
        <f>IF(周转筐出入库明细!$C1920="",0,1)</f>
        <v>0</v>
      </c>
      <c r="CQ3919">
        <f t="shared" si="664"/>
        <v>108</v>
      </c>
    </row>
    <row r="3920" spans="94:95">
      <c r="CP3920">
        <f>IF(周转筐出入库明细!$C1921="",0,1)</f>
        <v>0</v>
      </c>
      <c r="CQ3920">
        <f t="shared" si="664"/>
        <v>108</v>
      </c>
    </row>
    <row r="3921" spans="94:95">
      <c r="CP3921">
        <f>IF(周转筐出入库明细!$C1922="",0,1)</f>
        <v>0</v>
      </c>
      <c r="CQ3921">
        <f t="shared" si="664"/>
        <v>108</v>
      </c>
    </row>
    <row r="3922" spans="94:95">
      <c r="CP3922">
        <f>IF(周转筐出入库明细!$C1923="",0,1)</f>
        <v>0</v>
      </c>
      <c r="CQ3922">
        <f t="shared" si="664"/>
        <v>108</v>
      </c>
    </row>
    <row r="3923" spans="94:95">
      <c r="CP3923">
        <f>IF(周转筐出入库明细!$C1924="",0,1)</f>
        <v>0</v>
      </c>
      <c r="CQ3923">
        <f t="shared" si="664"/>
        <v>108</v>
      </c>
    </row>
    <row r="3924" spans="94:95">
      <c r="CP3924">
        <f>IF(周转筐出入库明细!$C1925="",0,1)</f>
        <v>0</v>
      </c>
      <c r="CQ3924">
        <f t="shared" si="664"/>
        <v>108</v>
      </c>
    </row>
    <row r="3925" spans="94:95">
      <c r="CP3925">
        <f>IF(周转筐出入库明细!$C1926="",0,1)</f>
        <v>0</v>
      </c>
      <c r="CQ3925">
        <f t="shared" si="664"/>
        <v>108</v>
      </c>
    </row>
    <row r="3926" spans="94:95">
      <c r="CP3926">
        <f>IF(周转筐出入库明细!$C1927="",0,1)</f>
        <v>0</v>
      </c>
      <c r="CQ3926">
        <f t="shared" si="664"/>
        <v>108</v>
      </c>
    </row>
    <row r="3927" spans="94:95">
      <c r="CP3927">
        <f>IF(周转筐出入库明细!$C1928="",0,1)</f>
        <v>0</v>
      </c>
      <c r="CQ3927">
        <f t="shared" si="664"/>
        <v>108</v>
      </c>
    </row>
    <row r="3928" spans="94:95">
      <c r="CP3928">
        <f>IF(周转筐出入库明细!$C1929="",0,1)</f>
        <v>0</v>
      </c>
      <c r="CQ3928">
        <f t="shared" si="664"/>
        <v>108</v>
      </c>
    </row>
    <row r="3929" spans="94:95">
      <c r="CP3929">
        <f>IF(周转筐出入库明细!$C1930="",0,1)</f>
        <v>0</v>
      </c>
      <c r="CQ3929">
        <f t="shared" si="664"/>
        <v>108</v>
      </c>
    </row>
    <row r="3930" spans="94:95">
      <c r="CP3930">
        <f>IF(周转筐出入库明细!$C1931="",0,1)</f>
        <v>0</v>
      </c>
      <c r="CQ3930">
        <f t="shared" si="664"/>
        <v>108</v>
      </c>
    </row>
    <row r="3931" spans="94:95">
      <c r="CP3931">
        <f>IF(周转筐出入库明细!$C1932="",0,1)</f>
        <v>0</v>
      </c>
      <c r="CQ3931">
        <f t="shared" si="664"/>
        <v>108</v>
      </c>
    </row>
    <row r="3932" spans="94:95">
      <c r="CP3932">
        <f>IF(周转筐出入库明细!$C1933="",0,1)</f>
        <v>0</v>
      </c>
      <c r="CQ3932">
        <f t="shared" si="664"/>
        <v>108</v>
      </c>
    </row>
    <row r="3933" spans="94:95">
      <c r="CP3933">
        <f>IF(周转筐出入库明细!$C1934="",0,1)</f>
        <v>0</v>
      </c>
      <c r="CQ3933">
        <f t="shared" si="664"/>
        <v>108</v>
      </c>
    </row>
    <row r="3934" spans="94:95">
      <c r="CP3934">
        <f>IF(周转筐出入库明细!$C1935="",0,1)</f>
        <v>0</v>
      </c>
      <c r="CQ3934">
        <f t="shared" si="664"/>
        <v>108</v>
      </c>
    </row>
    <row r="3935" spans="94:95">
      <c r="CP3935">
        <f>IF(周转筐出入库明细!$C1936="",0,1)</f>
        <v>0</v>
      </c>
      <c r="CQ3935">
        <f t="shared" si="664"/>
        <v>108</v>
      </c>
    </row>
    <row r="3936" spans="94:95">
      <c r="CP3936">
        <f>IF(周转筐出入库明细!$C1937="",0,1)</f>
        <v>0</v>
      </c>
      <c r="CQ3936">
        <f t="shared" si="664"/>
        <v>108</v>
      </c>
    </row>
    <row r="3937" spans="94:95">
      <c r="CP3937">
        <f>IF(周转筐出入库明细!$C1938="",0,1)</f>
        <v>0</v>
      </c>
      <c r="CQ3937">
        <f t="shared" si="664"/>
        <v>108</v>
      </c>
    </row>
    <row r="3938" spans="94:95">
      <c r="CP3938">
        <f>IF(周转筐出入库明细!$C1939="",0,1)</f>
        <v>0</v>
      </c>
      <c r="CQ3938">
        <f t="shared" si="664"/>
        <v>108</v>
      </c>
    </row>
    <row r="3939" spans="94:95">
      <c r="CP3939">
        <f>IF(周转筐出入库明细!$C1940="",0,1)</f>
        <v>0</v>
      </c>
      <c r="CQ3939">
        <f t="shared" si="664"/>
        <v>108</v>
      </c>
    </row>
    <row r="3940" spans="94:95">
      <c r="CP3940">
        <f>IF(周转筐出入库明细!$C1941="",0,1)</f>
        <v>0</v>
      </c>
      <c r="CQ3940">
        <f t="shared" si="664"/>
        <v>108</v>
      </c>
    </row>
    <row r="3941" spans="94:95">
      <c r="CP3941">
        <f>IF(周转筐出入库明细!$C1942="",0,1)</f>
        <v>0</v>
      </c>
      <c r="CQ3941">
        <f t="shared" si="664"/>
        <v>108</v>
      </c>
    </row>
    <row r="3942" spans="94:95">
      <c r="CP3942">
        <f>IF(周转筐出入库明细!$C1943="",0,1)</f>
        <v>0</v>
      </c>
      <c r="CQ3942">
        <f t="shared" si="664"/>
        <v>108</v>
      </c>
    </row>
    <row r="3943" spans="94:95">
      <c r="CP3943">
        <f>IF(周转筐出入库明细!$C1944="",0,1)</f>
        <v>0</v>
      </c>
      <c r="CQ3943">
        <f t="shared" si="664"/>
        <v>108</v>
      </c>
    </row>
    <row r="3944" spans="94:95">
      <c r="CP3944">
        <f>IF(周转筐出入库明细!$C1945="",0,1)</f>
        <v>0</v>
      </c>
      <c r="CQ3944">
        <f t="shared" si="664"/>
        <v>108</v>
      </c>
    </row>
    <row r="3945" spans="94:95">
      <c r="CP3945">
        <f>IF(周转筐出入库明细!$C1946="",0,1)</f>
        <v>0</v>
      </c>
      <c r="CQ3945">
        <f t="shared" si="664"/>
        <v>108</v>
      </c>
    </row>
    <row r="3946" spans="94:95">
      <c r="CP3946">
        <f>IF(周转筐出入库明细!$C1947="",0,1)</f>
        <v>0</v>
      </c>
      <c r="CQ3946">
        <f t="shared" si="664"/>
        <v>108</v>
      </c>
    </row>
    <row r="3947" spans="94:95">
      <c r="CP3947">
        <f>IF(周转筐出入库明细!$C1948="",0,1)</f>
        <v>0</v>
      </c>
      <c r="CQ3947">
        <f t="shared" si="664"/>
        <v>108</v>
      </c>
    </row>
    <row r="3948" spans="94:95">
      <c r="CP3948">
        <f>IF(周转筐出入库明细!$C1949="",0,1)</f>
        <v>0</v>
      </c>
      <c r="CQ3948">
        <f t="shared" si="664"/>
        <v>108</v>
      </c>
    </row>
    <row r="3949" spans="94:95">
      <c r="CP3949">
        <f>IF(周转筐出入库明细!$C1950="",0,1)</f>
        <v>0</v>
      </c>
      <c r="CQ3949">
        <f t="shared" si="664"/>
        <v>108</v>
      </c>
    </row>
    <row r="3950" spans="94:95">
      <c r="CP3950">
        <f>IF(周转筐出入库明细!$C1951="",0,1)</f>
        <v>0</v>
      </c>
      <c r="CQ3950">
        <f t="shared" si="664"/>
        <v>108</v>
      </c>
    </row>
    <row r="3951" spans="94:95">
      <c r="CP3951">
        <f>IF(周转筐出入库明细!$C1952="",0,1)</f>
        <v>0</v>
      </c>
      <c r="CQ3951">
        <f t="shared" si="664"/>
        <v>108</v>
      </c>
    </row>
    <row r="3952" spans="94:95">
      <c r="CP3952">
        <f>IF(周转筐出入库明细!$C1953="",0,1)</f>
        <v>0</v>
      </c>
      <c r="CQ3952">
        <f t="shared" si="664"/>
        <v>108</v>
      </c>
    </row>
    <row r="3953" spans="94:95">
      <c r="CP3953">
        <f>IF(周转筐出入库明细!$C1954="",0,1)</f>
        <v>0</v>
      </c>
      <c r="CQ3953">
        <f t="shared" si="664"/>
        <v>108</v>
      </c>
    </row>
    <row r="3954" spans="94:95">
      <c r="CP3954">
        <f>IF(周转筐出入库明细!$C1955="",0,1)</f>
        <v>0</v>
      </c>
      <c r="CQ3954">
        <f t="shared" si="664"/>
        <v>108</v>
      </c>
    </row>
    <row r="3955" spans="94:95">
      <c r="CP3955">
        <f>IF(周转筐出入库明细!$C1956="",0,1)</f>
        <v>0</v>
      </c>
      <c r="CQ3955">
        <f t="shared" si="664"/>
        <v>108</v>
      </c>
    </row>
    <row r="3956" spans="94:95">
      <c r="CP3956">
        <f>IF(周转筐出入库明细!$C1957="",0,1)</f>
        <v>0</v>
      </c>
      <c r="CQ3956">
        <f t="shared" si="664"/>
        <v>108</v>
      </c>
    </row>
    <row r="3957" spans="94:95">
      <c r="CP3957">
        <f>IF(周转筐出入库明细!$C1958="",0,1)</f>
        <v>0</v>
      </c>
      <c r="CQ3957">
        <f t="shared" si="664"/>
        <v>108</v>
      </c>
    </row>
    <row r="3958" spans="94:95">
      <c r="CP3958">
        <f>IF(周转筐出入库明细!$C1959="",0,1)</f>
        <v>0</v>
      </c>
      <c r="CQ3958">
        <f t="shared" si="664"/>
        <v>108</v>
      </c>
    </row>
    <row r="3959" spans="94:95">
      <c r="CP3959">
        <f>IF(周转筐出入库明细!$C1960="",0,1)</f>
        <v>0</v>
      </c>
      <c r="CQ3959">
        <f t="shared" si="664"/>
        <v>108</v>
      </c>
    </row>
    <row r="3960" spans="94:95">
      <c r="CP3960">
        <f>IF(周转筐出入库明细!$C1961="",0,1)</f>
        <v>0</v>
      </c>
      <c r="CQ3960">
        <f t="shared" si="664"/>
        <v>108</v>
      </c>
    </row>
    <row r="3961" spans="94:95">
      <c r="CP3961">
        <f>IF(周转筐出入库明细!$C1962="",0,1)</f>
        <v>0</v>
      </c>
      <c r="CQ3961">
        <f t="shared" si="664"/>
        <v>108</v>
      </c>
    </row>
    <row r="3962" spans="94:95">
      <c r="CP3962">
        <f>IF(周转筐出入库明细!$C1963="",0,1)</f>
        <v>0</v>
      </c>
      <c r="CQ3962">
        <f t="shared" si="664"/>
        <v>108</v>
      </c>
    </row>
    <row r="3963" spans="94:95">
      <c r="CP3963">
        <f>IF(周转筐出入库明细!$C1964="",0,1)</f>
        <v>0</v>
      </c>
      <c r="CQ3963">
        <f t="shared" si="664"/>
        <v>108</v>
      </c>
    </row>
    <row r="3964" spans="94:95">
      <c r="CP3964">
        <f>IF(周转筐出入库明细!$C1965="",0,1)</f>
        <v>0</v>
      </c>
      <c r="CQ3964">
        <f t="shared" si="664"/>
        <v>108</v>
      </c>
    </row>
    <row r="3965" spans="94:95">
      <c r="CP3965">
        <f>IF(周转筐出入库明细!$C1966="",0,1)</f>
        <v>0</v>
      </c>
      <c r="CQ3965">
        <f t="shared" si="664"/>
        <v>108</v>
      </c>
    </row>
    <row r="3966" spans="94:95">
      <c r="CP3966">
        <f>IF(周转筐出入库明细!$C1967="",0,1)</f>
        <v>0</v>
      </c>
      <c r="CQ3966">
        <f t="shared" si="664"/>
        <v>108</v>
      </c>
    </row>
    <row r="3967" spans="94:95">
      <c r="CP3967">
        <f>IF(周转筐出入库明细!$C1968="",0,1)</f>
        <v>0</v>
      </c>
      <c r="CQ3967">
        <f t="shared" si="664"/>
        <v>108</v>
      </c>
    </row>
    <row r="3968" spans="94:95">
      <c r="CP3968">
        <f>IF(周转筐出入库明细!$C1969="",0,1)</f>
        <v>0</v>
      </c>
      <c r="CQ3968">
        <f t="shared" si="664"/>
        <v>108</v>
      </c>
    </row>
    <row r="3969" spans="94:95">
      <c r="CP3969">
        <f>IF(周转筐出入库明细!$C1970="",0,1)</f>
        <v>0</v>
      </c>
      <c r="CQ3969">
        <f t="shared" si="664"/>
        <v>108</v>
      </c>
    </row>
    <row r="3970" spans="94:95">
      <c r="CP3970">
        <f>IF(周转筐出入库明细!$C1971="",0,1)</f>
        <v>0</v>
      </c>
      <c r="CQ3970">
        <f t="shared" si="664"/>
        <v>108</v>
      </c>
    </row>
    <row r="3971" spans="94:95">
      <c r="CP3971">
        <f>IF(周转筐出入库明细!$C1972="",0,1)</f>
        <v>0</v>
      </c>
      <c r="CQ3971">
        <f t="shared" si="664"/>
        <v>108</v>
      </c>
    </row>
    <row r="3972" spans="94:95">
      <c r="CP3972">
        <f>IF(周转筐出入库明细!$C1973="",0,1)</f>
        <v>0</v>
      </c>
      <c r="CQ3972">
        <f t="shared" ref="CQ3972:CQ4035" si="665">N(CQ3971)+$CP3972</f>
        <v>108</v>
      </c>
    </row>
    <row r="3973" spans="94:95">
      <c r="CP3973">
        <f>IF(周转筐出入库明细!$C1974="",0,1)</f>
        <v>0</v>
      </c>
      <c r="CQ3973">
        <f t="shared" si="665"/>
        <v>108</v>
      </c>
    </row>
    <row r="3974" spans="94:95">
      <c r="CP3974">
        <f>IF(周转筐出入库明细!$C1975="",0,1)</f>
        <v>0</v>
      </c>
      <c r="CQ3974">
        <f t="shared" si="665"/>
        <v>108</v>
      </c>
    </row>
    <row r="3975" spans="94:95">
      <c r="CP3975">
        <f>IF(周转筐出入库明细!$C1976="",0,1)</f>
        <v>0</v>
      </c>
      <c r="CQ3975">
        <f t="shared" si="665"/>
        <v>108</v>
      </c>
    </row>
    <row r="3976" spans="94:95">
      <c r="CP3976">
        <f>IF(周转筐出入库明细!$C1977="",0,1)</f>
        <v>0</v>
      </c>
      <c r="CQ3976">
        <f t="shared" si="665"/>
        <v>108</v>
      </c>
    </row>
    <row r="3977" spans="94:95">
      <c r="CP3977">
        <f>IF(周转筐出入库明细!$C1978="",0,1)</f>
        <v>0</v>
      </c>
      <c r="CQ3977">
        <f t="shared" si="665"/>
        <v>108</v>
      </c>
    </row>
    <row r="3978" spans="94:95">
      <c r="CP3978">
        <f>IF(周转筐出入库明细!$C1979="",0,1)</f>
        <v>0</v>
      </c>
      <c r="CQ3978">
        <f t="shared" si="665"/>
        <v>108</v>
      </c>
    </row>
    <row r="3979" spans="94:95">
      <c r="CP3979">
        <f>IF(周转筐出入库明细!$C1980="",0,1)</f>
        <v>0</v>
      </c>
      <c r="CQ3979">
        <f t="shared" si="665"/>
        <v>108</v>
      </c>
    </row>
    <row r="3980" spans="94:95">
      <c r="CP3980">
        <f>IF(周转筐出入库明细!$C1981="",0,1)</f>
        <v>0</v>
      </c>
      <c r="CQ3980">
        <f t="shared" si="665"/>
        <v>108</v>
      </c>
    </row>
    <row r="3981" spans="94:95">
      <c r="CP3981">
        <f>IF(周转筐出入库明细!$C1982="",0,1)</f>
        <v>0</v>
      </c>
      <c r="CQ3981">
        <f t="shared" si="665"/>
        <v>108</v>
      </c>
    </row>
    <row r="3982" spans="94:95">
      <c r="CP3982">
        <f>IF(周转筐出入库明细!$C1983="",0,1)</f>
        <v>0</v>
      </c>
      <c r="CQ3982">
        <f t="shared" si="665"/>
        <v>108</v>
      </c>
    </row>
    <row r="3983" spans="94:95">
      <c r="CP3983">
        <f>IF(周转筐出入库明细!$C1984="",0,1)</f>
        <v>0</v>
      </c>
      <c r="CQ3983">
        <f t="shared" si="665"/>
        <v>108</v>
      </c>
    </row>
    <row r="3984" spans="94:95">
      <c r="CP3984">
        <f>IF(周转筐出入库明细!$C1985="",0,1)</f>
        <v>0</v>
      </c>
      <c r="CQ3984">
        <f t="shared" si="665"/>
        <v>108</v>
      </c>
    </row>
    <row r="3985" spans="94:95">
      <c r="CP3985">
        <f>IF(周转筐出入库明细!$C1986="",0,1)</f>
        <v>0</v>
      </c>
      <c r="CQ3985">
        <f t="shared" si="665"/>
        <v>108</v>
      </c>
    </row>
    <row r="3986" spans="94:95">
      <c r="CP3986">
        <f>IF(周转筐出入库明细!$C1987="",0,1)</f>
        <v>0</v>
      </c>
      <c r="CQ3986">
        <f t="shared" si="665"/>
        <v>108</v>
      </c>
    </row>
    <row r="3987" spans="94:95">
      <c r="CP3987">
        <f>IF(周转筐出入库明细!$C1988="",0,1)</f>
        <v>0</v>
      </c>
      <c r="CQ3987">
        <f t="shared" si="665"/>
        <v>108</v>
      </c>
    </row>
    <row r="3988" spans="94:95">
      <c r="CP3988">
        <f>IF(周转筐出入库明细!$C1989="",0,1)</f>
        <v>0</v>
      </c>
      <c r="CQ3988">
        <f t="shared" si="665"/>
        <v>108</v>
      </c>
    </row>
    <row r="3989" spans="94:95">
      <c r="CP3989">
        <f>IF(周转筐出入库明细!$C1990="",0,1)</f>
        <v>0</v>
      </c>
      <c r="CQ3989">
        <f t="shared" si="665"/>
        <v>108</v>
      </c>
    </row>
    <row r="3990" spans="94:95">
      <c r="CP3990">
        <f>IF(周转筐出入库明细!$C1991="",0,1)</f>
        <v>0</v>
      </c>
      <c r="CQ3990">
        <f t="shared" si="665"/>
        <v>108</v>
      </c>
    </row>
    <row r="3991" spans="94:95">
      <c r="CP3991">
        <f>IF(周转筐出入库明细!$C1992="",0,1)</f>
        <v>0</v>
      </c>
      <c r="CQ3991">
        <f t="shared" si="665"/>
        <v>108</v>
      </c>
    </row>
    <row r="3992" spans="94:95">
      <c r="CP3992">
        <f>IF(周转筐出入库明细!$C1993="",0,1)</f>
        <v>0</v>
      </c>
      <c r="CQ3992">
        <f t="shared" si="665"/>
        <v>108</v>
      </c>
    </row>
    <row r="3993" spans="94:95">
      <c r="CP3993">
        <f>IF(周转筐出入库明细!$C1994="",0,1)</f>
        <v>0</v>
      </c>
      <c r="CQ3993">
        <f t="shared" si="665"/>
        <v>108</v>
      </c>
    </row>
    <row r="3994" spans="94:95">
      <c r="CP3994">
        <f>IF(周转筐出入库明细!$C1995="",0,1)</f>
        <v>0</v>
      </c>
      <c r="CQ3994">
        <f t="shared" si="665"/>
        <v>108</v>
      </c>
    </row>
    <row r="3995" spans="94:95">
      <c r="CP3995">
        <f>IF(周转筐出入库明细!$C1996="",0,1)</f>
        <v>0</v>
      </c>
      <c r="CQ3995">
        <f t="shared" si="665"/>
        <v>108</v>
      </c>
    </row>
    <row r="3996" spans="94:95">
      <c r="CP3996">
        <f>IF(周转筐出入库明细!$C1997="",0,1)</f>
        <v>0</v>
      </c>
      <c r="CQ3996">
        <f t="shared" si="665"/>
        <v>108</v>
      </c>
    </row>
    <row r="3997" spans="94:95">
      <c r="CP3997">
        <f>IF(周转筐出入库明细!$C1998="",0,1)</f>
        <v>0</v>
      </c>
      <c r="CQ3997">
        <f t="shared" si="665"/>
        <v>108</v>
      </c>
    </row>
    <row r="3998" spans="94:95">
      <c r="CP3998">
        <f>IF(周转筐出入库明细!$C1999="",0,1)</f>
        <v>0</v>
      </c>
      <c r="CQ3998">
        <f t="shared" si="665"/>
        <v>108</v>
      </c>
    </row>
    <row r="3999" spans="94:95">
      <c r="CP3999">
        <f>IF(周转筐出入库明细!$C2000="",0,1)</f>
        <v>0</v>
      </c>
      <c r="CQ3999">
        <f t="shared" si="665"/>
        <v>108</v>
      </c>
    </row>
    <row r="4000" spans="94:95">
      <c r="CP4000">
        <f>IF(周转筐出入库明细!$C2001="",0,1)</f>
        <v>0</v>
      </c>
      <c r="CQ4000">
        <f t="shared" si="665"/>
        <v>108</v>
      </c>
    </row>
    <row r="4001" spans="94:95">
      <c r="CP4001">
        <f>IF(周转筐出入库明细!$C2002="",0,1)</f>
        <v>0</v>
      </c>
      <c r="CQ4001">
        <f t="shared" si="665"/>
        <v>108</v>
      </c>
    </row>
    <row r="4002" spans="94:95">
      <c r="CP4002">
        <f>IF(周转筐出入库明细!$C2003="",0,1)</f>
        <v>0</v>
      </c>
      <c r="CQ4002">
        <f t="shared" si="665"/>
        <v>108</v>
      </c>
    </row>
    <row r="4003" spans="94:95">
      <c r="CP4003">
        <f>IF(周转筐出入库明细!$C2004="",0,1)</f>
        <v>0</v>
      </c>
      <c r="CQ4003">
        <f t="shared" si="665"/>
        <v>108</v>
      </c>
    </row>
    <row r="4004" spans="94:95">
      <c r="CP4004">
        <f>IF(客户自备加工筐明细!$E4="",0,1)</f>
        <v>1</v>
      </c>
      <c r="CQ4004">
        <f t="shared" si="665"/>
        <v>109</v>
      </c>
    </row>
    <row r="4005" spans="94:95">
      <c r="CP4005">
        <f>IF(客户自备加工筐明细!$E5="",0,1)</f>
        <v>0</v>
      </c>
      <c r="CQ4005">
        <f t="shared" si="665"/>
        <v>109</v>
      </c>
    </row>
    <row r="4006" spans="94:95">
      <c r="CP4006">
        <f>IF(客户自备加工筐明细!$E6="",0,1)</f>
        <v>0</v>
      </c>
      <c r="CQ4006">
        <f t="shared" si="665"/>
        <v>109</v>
      </c>
    </row>
    <row r="4007" spans="94:95">
      <c r="CP4007">
        <f>IF(客户自备加工筐明细!$E7="",0,1)</f>
        <v>0</v>
      </c>
      <c r="CQ4007">
        <f t="shared" si="665"/>
        <v>109</v>
      </c>
    </row>
    <row r="4008" spans="94:95">
      <c r="CP4008">
        <f>IF(客户自备加工筐明细!$E8="",0,1)</f>
        <v>0</v>
      </c>
      <c r="CQ4008">
        <f t="shared" si="665"/>
        <v>109</v>
      </c>
    </row>
    <row r="4009" spans="94:95">
      <c r="CP4009">
        <f>IF(客户自备加工筐明细!$E9="",0,1)</f>
        <v>0</v>
      </c>
      <c r="CQ4009">
        <f t="shared" si="665"/>
        <v>109</v>
      </c>
    </row>
    <row r="4010" spans="94:95">
      <c r="CP4010">
        <f>IF(客户自备加工筐明细!$E10="",0,1)</f>
        <v>0</v>
      </c>
      <c r="CQ4010">
        <f t="shared" si="665"/>
        <v>109</v>
      </c>
    </row>
    <row r="4011" spans="94:95">
      <c r="CP4011">
        <f>IF(客户自备加工筐明细!$E11="",0,1)</f>
        <v>0</v>
      </c>
      <c r="CQ4011">
        <f t="shared" si="665"/>
        <v>109</v>
      </c>
    </row>
    <row r="4012" spans="94:95">
      <c r="CP4012">
        <f>IF(客户自备加工筐明细!$E12="",0,1)</f>
        <v>0</v>
      </c>
      <c r="CQ4012">
        <f t="shared" si="665"/>
        <v>109</v>
      </c>
    </row>
    <row r="4013" spans="94:95">
      <c r="CP4013">
        <f>IF(客户自备加工筐明细!$E13="",0,1)</f>
        <v>0</v>
      </c>
      <c r="CQ4013">
        <f t="shared" si="665"/>
        <v>109</v>
      </c>
    </row>
    <row r="4014" spans="94:95">
      <c r="CP4014">
        <f>IF(客户自备加工筐明细!$E14="",0,1)</f>
        <v>0</v>
      </c>
      <c r="CQ4014">
        <f t="shared" si="665"/>
        <v>109</v>
      </c>
    </row>
    <row r="4015" spans="94:95">
      <c r="CP4015">
        <f>IF(客户自备加工筐明细!$E15="",0,1)</f>
        <v>0</v>
      </c>
      <c r="CQ4015">
        <f t="shared" si="665"/>
        <v>109</v>
      </c>
    </row>
    <row r="4016" spans="94:95">
      <c r="CP4016">
        <f>IF(客户自备加工筐明细!$E16="",0,1)</f>
        <v>0</v>
      </c>
      <c r="CQ4016">
        <f t="shared" si="665"/>
        <v>109</v>
      </c>
    </row>
    <row r="4017" spans="94:95">
      <c r="CP4017">
        <f>IF(客户自备加工筐明细!$E17="",0,1)</f>
        <v>0</v>
      </c>
      <c r="CQ4017">
        <f t="shared" si="665"/>
        <v>109</v>
      </c>
    </row>
    <row r="4018" spans="94:95">
      <c r="CP4018">
        <f>IF(客户自备加工筐明细!$E18="",0,1)</f>
        <v>0</v>
      </c>
      <c r="CQ4018">
        <f t="shared" si="665"/>
        <v>109</v>
      </c>
    </row>
    <row r="4019" spans="94:95">
      <c r="CP4019">
        <f>IF(客户自备加工筐明细!$E19="",0,1)</f>
        <v>0</v>
      </c>
      <c r="CQ4019">
        <f t="shared" si="665"/>
        <v>109</v>
      </c>
    </row>
    <row r="4020" spans="94:95">
      <c r="CP4020">
        <f>IF(客户自备加工筐明细!$E20="",0,1)</f>
        <v>0</v>
      </c>
      <c r="CQ4020">
        <f t="shared" si="665"/>
        <v>109</v>
      </c>
    </row>
    <row r="4021" spans="94:95">
      <c r="CP4021">
        <f>IF(客户自备加工筐明细!$E21="",0,1)</f>
        <v>0</v>
      </c>
      <c r="CQ4021">
        <f t="shared" si="665"/>
        <v>109</v>
      </c>
    </row>
    <row r="4022" spans="94:95">
      <c r="CP4022">
        <f>IF(客户自备加工筐明细!$E22="",0,1)</f>
        <v>0</v>
      </c>
      <c r="CQ4022">
        <f t="shared" si="665"/>
        <v>109</v>
      </c>
    </row>
    <row r="4023" spans="94:95">
      <c r="CP4023">
        <f>IF(客户自备加工筐明细!$E23="",0,1)</f>
        <v>0</v>
      </c>
      <c r="CQ4023">
        <f t="shared" si="665"/>
        <v>109</v>
      </c>
    </row>
    <row r="4024" spans="94:95">
      <c r="CP4024">
        <f>IF(客户自备加工筐明细!$E24="",0,1)</f>
        <v>0</v>
      </c>
      <c r="CQ4024">
        <f t="shared" si="665"/>
        <v>109</v>
      </c>
    </row>
    <row r="4025" spans="94:95">
      <c r="CP4025">
        <f>IF(客户自备加工筐明细!$E25="",0,1)</f>
        <v>0</v>
      </c>
      <c r="CQ4025">
        <f t="shared" si="665"/>
        <v>109</v>
      </c>
    </row>
    <row r="4026" spans="94:95">
      <c r="CP4026">
        <f>IF(客户自备加工筐明细!$E26="",0,1)</f>
        <v>0</v>
      </c>
      <c r="CQ4026">
        <f t="shared" si="665"/>
        <v>109</v>
      </c>
    </row>
    <row r="4027" spans="94:95">
      <c r="CP4027">
        <f>IF(客户自备加工筐明细!$E27="",0,1)</f>
        <v>0</v>
      </c>
      <c r="CQ4027">
        <f t="shared" si="665"/>
        <v>109</v>
      </c>
    </row>
    <row r="4028" spans="94:95">
      <c r="CP4028">
        <f>IF(客户自备加工筐明细!$E28="",0,1)</f>
        <v>0</v>
      </c>
      <c r="CQ4028">
        <f t="shared" si="665"/>
        <v>109</v>
      </c>
    </row>
    <row r="4029" spans="94:95">
      <c r="CP4029">
        <f>IF(客户自备加工筐明细!$E29="",0,1)</f>
        <v>0</v>
      </c>
      <c r="CQ4029">
        <f t="shared" si="665"/>
        <v>109</v>
      </c>
    </row>
    <row r="4030" spans="94:95">
      <c r="CP4030">
        <f>IF(客户自备加工筐明细!$E30="",0,1)</f>
        <v>0</v>
      </c>
      <c r="CQ4030">
        <f t="shared" si="665"/>
        <v>109</v>
      </c>
    </row>
    <row r="4031" spans="94:95">
      <c r="CP4031">
        <f>IF(客户自备加工筐明细!$E31="",0,1)</f>
        <v>0</v>
      </c>
      <c r="CQ4031">
        <f t="shared" si="665"/>
        <v>109</v>
      </c>
    </row>
    <row r="4032" spans="94:95">
      <c r="CP4032">
        <f>IF(客户自备加工筐明细!$E32="",0,1)</f>
        <v>0</v>
      </c>
      <c r="CQ4032">
        <f t="shared" si="665"/>
        <v>109</v>
      </c>
    </row>
    <row r="4033" spans="94:95">
      <c r="CP4033">
        <f>IF(客户自备加工筐明细!$E33="",0,1)</f>
        <v>0</v>
      </c>
      <c r="CQ4033">
        <f t="shared" si="665"/>
        <v>109</v>
      </c>
    </row>
    <row r="4034" spans="94:95">
      <c r="CP4034">
        <f>IF(客户自备加工筐明细!$E34="",0,1)</f>
        <v>0</v>
      </c>
      <c r="CQ4034">
        <f t="shared" si="665"/>
        <v>109</v>
      </c>
    </row>
    <row r="4035" spans="94:95">
      <c r="CP4035">
        <f>IF(客户自备加工筐明细!$E35="",0,1)</f>
        <v>0</v>
      </c>
      <c r="CQ4035">
        <f t="shared" si="665"/>
        <v>109</v>
      </c>
    </row>
    <row r="4036" spans="94:95">
      <c r="CP4036">
        <f>IF(客户自备加工筐明细!$E36="",0,1)</f>
        <v>0</v>
      </c>
      <c r="CQ4036">
        <f t="shared" ref="CQ4036:CQ4099" si="666">N(CQ4035)+$CP4036</f>
        <v>109</v>
      </c>
    </row>
    <row r="4037" spans="94:95">
      <c r="CP4037">
        <f>IF(客户自备加工筐明细!$E37="",0,1)</f>
        <v>0</v>
      </c>
      <c r="CQ4037">
        <f t="shared" si="666"/>
        <v>109</v>
      </c>
    </row>
    <row r="4038" spans="94:95">
      <c r="CP4038">
        <f>IF(客户自备加工筐明细!$E38="",0,1)</f>
        <v>0</v>
      </c>
      <c r="CQ4038">
        <f t="shared" si="666"/>
        <v>109</v>
      </c>
    </row>
    <row r="4039" spans="94:95">
      <c r="CP4039">
        <f>IF(客户自备加工筐明细!$E39="",0,1)</f>
        <v>0</v>
      </c>
      <c r="CQ4039">
        <f t="shared" si="666"/>
        <v>109</v>
      </c>
    </row>
    <row r="4040" spans="94:95">
      <c r="CP4040">
        <f>IF(客户自备加工筐明细!$E40="",0,1)</f>
        <v>0</v>
      </c>
      <c r="CQ4040">
        <f t="shared" si="666"/>
        <v>109</v>
      </c>
    </row>
    <row r="4041" spans="94:95">
      <c r="CP4041">
        <f>IF(客户自备加工筐明细!$E41="",0,1)</f>
        <v>0</v>
      </c>
      <c r="CQ4041">
        <f t="shared" si="666"/>
        <v>109</v>
      </c>
    </row>
    <row r="4042" spans="94:95">
      <c r="CP4042">
        <f>IF(客户自备加工筐明细!$E42="",0,1)</f>
        <v>0</v>
      </c>
      <c r="CQ4042">
        <f t="shared" si="666"/>
        <v>109</v>
      </c>
    </row>
    <row r="4043" spans="94:95">
      <c r="CP4043">
        <f>IF(客户自备加工筐明细!$E43="",0,1)</f>
        <v>0</v>
      </c>
      <c r="CQ4043">
        <f t="shared" si="666"/>
        <v>109</v>
      </c>
    </row>
    <row r="4044" spans="94:95">
      <c r="CP4044">
        <f>IF(客户自备加工筐明细!$E44="",0,1)</f>
        <v>0</v>
      </c>
      <c r="CQ4044">
        <f t="shared" si="666"/>
        <v>109</v>
      </c>
    </row>
    <row r="4045" spans="94:95">
      <c r="CP4045">
        <f>IF(客户自备加工筐明细!$E45="",0,1)</f>
        <v>0</v>
      </c>
      <c r="CQ4045">
        <f t="shared" si="666"/>
        <v>109</v>
      </c>
    </row>
    <row r="4046" spans="94:95">
      <c r="CP4046">
        <f>IF(客户自备加工筐明细!$E46="",0,1)</f>
        <v>0</v>
      </c>
      <c r="CQ4046">
        <f t="shared" si="666"/>
        <v>109</v>
      </c>
    </row>
    <row r="4047" spans="94:95">
      <c r="CP4047">
        <f>IF(客户自备加工筐明细!$E47="",0,1)</f>
        <v>0</v>
      </c>
      <c r="CQ4047">
        <f t="shared" si="666"/>
        <v>109</v>
      </c>
    </row>
    <row r="4048" spans="94:95">
      <c r="CP4048">
        <f>IF(客户自备加工筐明细!$E48="",0,1)</f>
        <v>0</v>
      </c>
      <c r="CQ4048">
        <f t="shared" si="666"/>
        <v>109</v>
      </c>
    </row>
    <row r="4049" spans="94:95">
      <c r="CP4049">
        <f>IF(客户自备加工筐明细!$E49="",0,1)</f>
        <v>0</v>
      </c>
      <c r="CQ4049">
        <f t="shared" si="666"/>
        <v>109</v>
      </c>
    </row>
    <row r="4050" spans="94:95">
      <c r="CP4050">
        <f>IF(客户自备加工筐明细!$E50="",0,1)</f>
        <v>0</v>
      </c>
      <c r="CQ4050">
        <f t="shared" si="666"/>
        <v>109</v>
      </c>
    </row>
    <row r="4051" spans="94:95">
      <c r="CP4051">
        <f>IF(客户自备加工筐明细!$E51="",0,1)</f>
        <v>0</v>
      </c>
      <c r="CQ4051">
        <f t="shared" si="666"/>
        <v>109</v>
      </c>
    </row>
    <row r="4052" spans="94:95">
      <c r="CP4052">
        <f>IF(客户自备加工筐明细!$E52="",0,1)</f>
        <v>0</v>
      </c>
      <c r="CQ4052">
        <f t="shared" si="666"/>
        <v>109</v>
      </c>
    </row>
    <row r="4053" spans="94:95">
      <c r="CP4053">
        <f>IF(客户自备加工筐明细!$E53="",0,1)</f>
        <v>0</v>
      </c>
      <c r="CQ4053">
        <f t="shared" si="666"/>
        <v>109</v>
      </c>
    </row>
    <row r="4054" spans="94:95">
      <c r="CP4054">
        <f>IF(客户自备加工筐明细!$E54="",0,1)</f>
        <v>0</v>
      </c>
      <c r="CQ4054">
        <f t="shared" si="666"/>
        <v>109</v>
      </c>
    </row>
    <row r="4055" spans="94:95">
      <c r="CP4055">
        <f>IF(客户自备加工筐明细!$E55="",0,1)</f>
        <v>0</v>
      </c>
      <c r="CQ4055">
        <f t="shared" si="666"/>
        <v>109</v>
      </c>
    </row>
    <row r="4056" spans="94:95">
      <c r="CP4056">
        <f>IF(客户自备加工筐明细!$E56="",0,1)</f>
        <v>0</v>
      </c>
      <c r="CQ4056">
        <f t="shared" si="666"/>
        <v>109</v>
      </c>
    </row>
    <row r="4057" spans="94:95">
      <c r="CP4057">
        <f>IF(客户自备加工筐明细!$E57="",0,1)</f>
        <v>0</v>
      </c>
      <c r="CQ4057">
        <f t="shared" si="666"/>
        <v>109</v>
      </c>
    </row>
    <row r="4058" spans="94:95">
      <c r="CP4058">
        <f>IF(客户自备加工筐明细!$E58="",0,1)</f>
        <v>0</v>
      </c>
      <c r="CQ4058">
        <f t="shared" si="666"/>
        <v>109</v>
      </c>
    </row>
    <row r="4059" spans="94:95">
      <c r="CP4059">
        <f>IF(客户自备加工筐明细!$E59="",0,1)</f>
        <v>0</v>
      </c>
      <c r="CQ4059">
        <f t="shared" si="666"/>
        <v>109</v>
      </c>
    </row>
    <row r="4060" spans="94:95">
      <c r="CP4060">
        <f>IF(客户自备加工筐明细!$E60="",0,1)</f>
        <v>0</v>
      </c>
      <c r="CQ4060">
        <f t="shared" si="666"/>
        <v>109</v>
      </c>
    </row>
    <row r="4061" spans="94:95">
      <c r="CP4061">
        <f>IF(客户自备加工筐明细!$E61="",0,1)</f>
        <v>0</v>
      </c>
      <c r="CQ4061">
        <f t="shared" si="666"/>
        <v>109</v>
      </c>
    </row>
    <row r="4062" spans="94:95">
      <c r="CP4062">
        <f>IF(客户自备加工筐明细!$E62="",0,1)</f>
        <v>0</v>
      </c>
      <c r="CQ4062">
        <f t="shared" si="666"/>
        <v>109</v>
      </c>
    </row>
    <row r="4063" spans="94:95">
      <c r="CP4063">
        <f>IF(客户自备加工筐明细!$E63="",0,1)</f>
        <v>0</v>
      </c>
      <c r="CQ4063">
        <f t="shared" si="666"/>
        <v>109</v>
      </c>
    </row>
    <row r="4064" spans="94:95">
      <c r="CP4064">
        <f>IF(客户自备加工筐明细!$E64="",0,1)</f>
        <v>0</v>
      </c>
      <c r="CQ4064">
        <f t="shared" si="666"/>
        <v>109</v>
      </c>
    </row>
    <row r="4065" spans="94:95">
      <c r="CP4065">
        <f>IF(客户自备加工筐明细!$E65="",0,1)</f>
        <v>0</v>
      </c>
      <c r="CQ4065">
        <f t="shared" si="666"/>
        <v>109</v>
      </c>
    </row>
    <row r="4066" spans="94:95">
      <c r="CP4066">
        <f>IF(客户自备加工筐明细!$E66="",0,1)</f>
        <v>0</v>
      </c>
      <c r="CQ4066">
        <f t="shared" si="666"/>
        <v>109</v>
      </c>
    </row>
    <row r="4067" spans="94:95">
      <c r="CP4067">
        <f>IF(客户自备加工筐明细!$E67="",0,1)</f>
        <v>0</v>
      </c>
      <c r="CQ4067">
        <f t="shared" si="666"/>
        <v>109</v>
      </c>
    </row>
    <row r="4068" spans="94:95">
      <c r="CP4068">
        <f>IF(客户自备加工筐明细!$E68="",0,1)</f>
        <v>0</v>
      </c>
      <c r="CQ4068">
        <f t="shared" si="666"/>
        <v>109</v>
      </c>
    </row>
    <row r="4069" spans="94:95">
      <c r="CP4069">
        <f>IF(客户自备加工筐明细!$E69="",0,1)</f>
        <v>0</v>
      </c>
      <c r="CQ4069">
        <f t="shared" si="666"/>
        <v>109</v>
      </c>
    </row>
    <row r="4070" spans="94:95">
      <c r="CP4070">
        <f>IF(客户自备加工筐明细!$E70="",0,1)</f>
        <v>0</v>
      </c>
      <c r="CQ4070">
        <f t="shared" si="666"/>
        <v>109</v>
      </c>
    </row>
    <row r="4071" spans="94:95">
      <c r="CP4071">
        <f>IF(客户自备加工筐明细!$E71="",0,1)</f>
        <v>0</v>
      </c>
      <c r="CQ4071">
        <f t="shared" si="666"/>
        <v>109</v>
      </c>
    </row>
    <row r="4072" spans="94:95">
      <c r="CP4072">
        <f>IF(客户自备加工筐明细!$E72="",0,1)</f>
        <v>0</v>
      </c>
      <c r="CQ4072">
        <f t="shared" si="666"/>
        <v>109</v>
      </c>
    </row>
    <row r="4073" spans="94:95">
      <c r="CP4073">
        <f>IF(客户自备加工筐明细!$E73="",0,1)</f>
        <v>0</v>
      </c>
      <c r="CQ4073">
        <f t="shared" si="666"/>
        <v>109</v>
      </c>
    </row>
    <row r="4074" spans="94:95">
      <c r="CP4074">
        <f>IF(客户自备加工筐明细!$E74="",0,1)</f>
        <v>0</v>
      </c>
      <c r="CQ4074">
        <f t="shared" si="666"/>
        <v>109</v>
      </c>
    </row>
    <row r="4075" spans="94:95">
      <c r="CP4075">
        <f>IF(客户自备加工筐明细!$E75="",0,1)</f>
        <v>0</v>
      </c>
      <c r="CQ4075">
        <f t="shared" si="666"/>
        <v>109</v>
      </c>
    </row>
    <row r="4076" spans="94:95">
      <c r="CP4076">
        <f>IF(客户自备加工筐明细!$E76="",0,1)</f>
        <v>0</v>
      </c>
      <c r="CQ4076">
        <f t="shared" si="666"/>
        <v>109</v>
      </c>
    </row>
    <row r="4077" spans="94:95">
      <c r="CP4077">
        <f>IF(客户自备加工筐明细!$E77="",0,1)</f>
        <v>0</v>
      </c>
      <c r="CQ4077">
        <f t="shared" si="666"/>
        <v>109</v>
      </c>
    </row>
    <row r="4078" spans="94:95">
      <c r="CP4078">
        <f>IF(客户自备加工筐明细!$E78="",0,1)</f>
        <v>0</v>
      </c>
      <c r="CQ4078">
        <f t="shared" si="666"/>
        <v>109</v>
      </c>
    </row>
    <row r="4079" spans="94:95">
      <c r="CP4079">
        <f>IF(客户自备加工筐明细!$E79="",0,1)</f>
        <v>0</v>
      </c>
      <c r="CQ4079">
        <f t="shared" si="666"/>
        <v>109</v>
      </c>
    </row>
    <row r="4080" spans="94:95">
      <c r="CP4080">
        <f>IF(客户自备加工筐明细!$E80="",0,1)</f>
        <v>0</v>
      </c>
      <c r="CQ4080">
        <f t="shared" si="666"/>
        <v>109</v>
      </c>
    </row>
    <row r="4081" spans="94:95">
      <c r="CP4081">
        <f>IF(客户自备加工筐明细!$E81="",0,1)</f>
        <v>0</v>
      </c>
      <c r="CQ4081">
        <f t="shared" si="666"/>
        <v>109</v>
      </c>
    </row>
    <row r="4082" spans="94:95">
      <c r="CP4082">
        <f>IF(客户自备加工筐明细!$E82="",0,1)</f>
        <v>0</v>
      </c>
      <c r="CQ4082">
        <f t="shared" si="666"/>
        <v>109</v>
      </c>
    </row>
    <row r="4083" spans="94:95">
      <c r="CP4083">
        <f>IF(客户自备加工筐明细!$E83="",0,1)</f>
        <v>0</v>
      </c>
      <c r="CQ4083">
        <f t="shared" si="666"/>
        <v>109</v>
      </c>
    </row>
    <row r="4084" spans="94:95">
      <c r="CP4084">
        <f>IF(客户自备加工筐明细!$E84="",0,1)</f>
        <v>0</v>
      </c>
      <c r="CQ4084">
        <f t="shared" si="666"/>
        <v>109</v>
      </c>
    </row>
    <row r="4085" spans="94:95">
      <c r="CP4085">
        <f>IF(客户自备加工筐明细!$E85="",0,1)</f>
        <v>0</v>
      </c>
      <c r="CQ4085">
        <f t="shared" si="666"/>
        <v>109</v>
      </c>
    </row>
    <row r="4086" spans="94:95">
      <c r="CP4086">
        <f>IF(客户自备加工筐明细!$E86="",0,1)</f>
        <v>0</v>
      </c>
      <c r="CQ4086">
        <f t="shared" si="666"/>
        <v>109</v>
      </c>
    </row>
    <row r="4087" spans="94:95">
      <c r="CP4087">
        <f>IF(客户自备加工筐明细!$E87="",0,1)</f>
        <v>0</v>
      </c>
      <c r="CQ4087">
        <f t="shared" si="666"/>
        <v>109</v>
      </c>
    </row>
    <row r="4088" spans="94:95">
      <c r="CP4088">
        <f>IF(客户自备加工筐明细!$E88="",0,1)</f>
        <v>0</v>
      </c>
      <c r="CQ4088">
        <f t="shared" si="666"/>
        <v>109</v>
      </c>
    </row>
    <row r="4089" spans="94:95">
      <c r="CP4089">
        <f>IF(客户自备加工筐明细!$E89="",0,1)</f>
        <v>0</v>
      </c>
      <c r="CQ4089">
        <f t="shared" si="666"/>
        <v>109</v>
      </c>
    </row>
    <row r="4090" spans="94:95">
      <c r="CP4090">
        <f>IF(客户自备加工筐明细!$E90="",0,1)</f>
        <v>0</v>
      </c>
      <c r="CQ4090">
        <f t="shared" si="666"/>
        <v>109</v>
      </c>
    </row>
    <row r="4091" spans="94:95">
      <c r="CP4091">
        <f>IF(客户自备加工筐明细!$E91="",0,1)</f>
        <v>0</v>
      </c>
      <c r="CQ4091">
        <f t="shared" si="666"/>
        <v>109</v>
      </c>
    </row>
    <row r="4092" spans="94:95">
      <c r="CP4092">
        <f>IF(客户自备加工筐明细!$E92="",0,1)</f>
        <v>0</v>
      </c>
      <c r="CQ4092">
        <f t="shared" si="666"/>
        <v>109</v>
      </c>
    </row>
    <row r="4093" spans="94:95">
      <c r="CP4093">
        <f>IF(客户自备加工筐明细!$E93="",0,1)</f>
        <v>0</v>
      </c>
      <c r="CQ4093">
        <f t="shared" si="666"/>
        <v>109</v>
      </c>
    </row>
    <row r="4094" spans="94:95">
      <c r="CP4094">
        <f>IF(客户自备加工筐明细!$E94="",0,1)</f>
        <v>0</v>
      </c>
      <c r="CQ4094">
        <f t="shared" si="666"/>
        <v>109</v>
      </c>
    </row>
    <row r="4095" spans="94:95">
      <c r="CP4095">
        <f>IF(客户自备加工筐明细!$E95="",0,1)</f>
        <v>0</v>
      </c>
      <c r="CQ4095">
        <f t="shared" si="666"/>
        <v>109</v>
      </c>
    </row>
    <row r="4096" spans="94:95">
      <c r="CP4096">
        <f>IF(客户自备加工筐明细!$E96="",0,1)</f>
        <v>0</v>
      </c>
      <c r="CQ4096">
        <f t="shared" si="666"/>
        <v>109</v>
      </c>
    </row>
    <row r="4097" spans="94:95">
      <c r="CP4097">
        <f>IF(客户自备加工筐明细!$E97="",0,1)</f>
        <v>0</v>
      </c>
      <c r="CQ4097">
        <f t="shared" si="666"/>
        <v>109</v>
      </c>
    </row>
    <row r="4098" spans="94:95">
      <c r="CP4098">
        <f>IF(客户自备加工筐明细!$E98="",0,1)</f>
        <v>0</v>
      </c>
      <c r="CQ4098">
        <f t="shared" si="666"/>
        <v>109</v>
      </c>
    </row>
    <row r="4099" spans="94:95">
      <c r="CP4099">
        <f>IF(客户自备加工筐明细!$E99="",0,1)</f>
        <v>0</v>
      </c>
      <c r="CQ4099">
        <f t="shared" si="666"/>
        <v>109</v>
      </c>
    </row>
    <row r="4100" spans="94:95">
      <c r="CP4100">
        <f>IF(客户自备加工筐明细!$E100="",0,1)</f>
        <v>0</v>
      </c>
      <c r="CQ4100">
        <f t="shared" ref="CQ4100:CQ4163" si="667">N(CQ4099)+$CP4100</f>
        <v>109</v>
      </c>
    </row>
    <row r="4101" spans="94:95">
      <c r="CP4101">
        <f>IF(客户自备加工筐明细!$E101="",0,1)</f>
        <v>0</v>
      </c>
      <c r="CQ4101">
        <f t="shared" si="667"/>
        <v>109</v>
      </c>
    </row>
    <row r="4102" spans="94:95">
      <c r="CP4102">
        <f>IF(客户自备加工筐明细!$E102="",0,1)</f>
        <v>0</v>
      </c>
      <c r="CQ4102">
        <f t="shared" si="667"/>
        <v>109</v>
      </c>
    </row>
    <row r="4103" spans="94:95">
      <c r="CP4103">
        <f>IF(客户自备加工筐明细!$E103="",0,1)</f>
        <v>0</v>
      </c>
      <c r="CQ4103">
        <f t="shared" si="667"/>
        <v>109</v>
      </c>
    </row>
    <row r="4104" spans="94:95">
      <c r="CP4104">
        <f>IF(客户自备加工筐明细!$E104="",0,1)</f>
        <v>0</v>
      </c>
      <c r="CQ4104">
        <f t="shared" si="667"/>
        <v>109</v>
      </c>
    </row>
    <row r="4105" spans="94:95">
      <c r="CP4105">
        <f>IF(客户自备加工筐明细!$E105="",0,1)</f>
        <v>0</v>
      </c>
      <c r="CQ4105">
        <f t="shared" si="667"/>
        <v>109</v>
      </c>
    </row>
    <row r="4106" spans="94:95">
      <c r="CP4106">
        <f>IF(客户自备加工筐明细!$E106="",0,1)</f>
        <v>0</v>
      </c>
      <c r="CQ4106">
        <f t="shared" si="667"/>
        <v>109</v>
      </c>
    </row>
    <row r="4107" spans="94:95">
      <c r="CP4107">
        <f>IF(客户自备加工筐明细!$E107="",0,1)</f>
        <v>0</v>
      </c>
      <c r="CQ4107">
        <f t="shared" si="667"/>
        <v>109</v>
      </c>
    </row>
    <row r="4108" spans="94:95">
      <c r="CP4108">
        <f>IF(客户自备加工筐明细!$E108="",0,1)</f>
        <v>0</v>
      </c>
      <c r="CQ4108">
        <f t="shared" si="667"/>
        <v>109</v>
      </c>
    </row>
    <row r="4109" spans="94:95">
      <c r="CP4109">
        <f>IF(客户自备加工筐明细!$E109="",0,1)</f>
        <v>0</v>
      </c>
      <c r="CQ4109">
        <f t="shared" si="667"/>
        <v>109</v>
      </c>
    </row>
    <row r="4110" spans="94:95">
      <c r="CP4110">
        <f>IF(客户自备加工筐明细!$E110="",0,1)</f>
        <v>0</v>
      </c>
      <c r="CQ4110">
        <f t="shared" si="667"/>
        <v>109</v>
      </c>
    </row>
    <row r="4111" spans="94:95">
      <c r="CP4111">
        <f>IF(客户自备加工筐明细!$E111="",0,1)</f>
        <v>0</v>
      </c>
      <c r="CQ4111">
        <f t="shared" si="667"/>
        <v>109</v>
      </c>
    </row>
    <row r="4112" spans="94:95">
      <c r="CP4112">
        <f>IF(客户自备加工筐明细!$E112="",0,1)</f>
        <v>0</v>
      </c>
      <c r="CQ4112">
        <f t="shared" si="667"/>
        <v>109</v>
      </c>
    </row>
    <row r="4113" spans="94:95">
      <c r="CP4113">
        <f>IF(客户自备加工筐明细!$E113="",0,1)</f>
        <v>0</v>
      </c>
      <c r="CQ4113">
        <f t="shared" si="667"/>
        <v>109</v>
      </c>
    </row>
    <row r="4114" spans="94:95">
      <c r="CP4114">
        <f>IF(客户自备加工筐明细!$E114="",0,1)</f>
        <v>0</v>
      </c>
      <c r="CQ4114">
        <f t="shared" si="667"/>
        <v>109</v>
      </c>
    </row>
    <row r="4115" spans="94:95">
      <c r="CP4115">
        <f>IF(客户自备加工筐明细!$E115="",0,1)</f>
        <v>0</v>
      </c>
      <c r="CQ4115">
        <f t="shared" si="667"/>
        <v>109</v>
      </c>
    </row>
    <row r="4116" spans="94:95">
      <c r="CP4116">
        <f>IF(客户自备加工筐明细!$E116="",0,1)</f>
        <v>0</v>
      </c>
      <c r="CQ4116">
        <f t="shared" si="667"/>
        <v>109</v>
      </c>
    </row>
    <row r="4117" spans="94:95">
      <c r="CP4117">
        <f>IF(客户自备加工筐明细!$E117="",0,1)</f>
        <v>0</v>
      </c>
      <c r="CQ4117">
        <f t="shared" si="667"/>
        <v>109</v>
      </c>
    </row>
    <row r="4118" spans="94:95">
      <c r="CP4118">
        <f>IF(客户自备加工筐明细!$E118="",0,1)</f>
        <v>0</v>
      </c>
      <c r="CQ4118">
        <f t="shared" si="667"/>
        <v>109</v>
      </c>
    </row>
    <row r="4119" spans="94:95">
      <c r="CP4119">
        <f>IF(客户自备加工筐明细!$E119="",0,1)</f>
        <v>0</v>
      </c>
      <c r="CQ4119">
        <f t="shared" si="667"/>
        <v>109</v>
      </c>
    </row>
    <row r="4120" spans="94:95">
      <c r="CP4120">
        <f>IF(客户自备加工筐明细!$E120="",0,1)</f>
        <v>0</v>
      </c>
      <c r="CQ4120">
        <f t="shared" si="667"/>
        <v>109</v>
      </c>
    </row>
    <row r="4121" spans="94:95">
      <c r="CP4121">
        <f>IF(客户自备加工筐明细!$E121="",0,1)</f>
        <v>0</v>
      </c>
      <c r="CQ4121">
        <f t="shared" si="667"/>
        <v>109</v>
      </c>
    </row>
    <row r="4122" spans="94:95">
      <c r="CP4122">
        <f>IF(客户自备加工筐明细!$E122="",0,1)</f>
        <v>0</v>
      </c>
      <c r="CQ4122">
        <f t="shared" si="667"/>
        <v>109</v>
      </c>
    </row>
    <row r="4123" spans="94:95">
      <c r="CP4123">
        <f>IF(客户自备加工筐明细!$E123="",0,1)</f>
        <v>0</v>
      </c>
      <c r="CQ4123">
        <f t="shared" si="667"/>
        <v>109</v>
      </c>
    </row>
    <row r="4124" spans="94:95">
      <c r="CP4124">
        <f>IF(客户自备加工筐明细!$E124="",0,1)</f>
        <v>0</v>
      </c>
      <c r="CQ4124">
        <f t="shared" si="667"/>
        <v>109</v>
      </c>
    </row>
    <row r="4125" spans="94:95">
      <c r="CP4125">
        <f>IF(客户自备加工筐明细!$E125="",0,1)</f>
        <v>0</v>
      </c>
      <c r="CQ4125">
        <f t="shared" si="667"/>
        <v>109</v>
      </c>
    </row>
    <row r="4126" spans="94:95">
      <c r="CP4126">
        <f>IF(客户自备加工筐明细!$E126="",0,1)</f>
        <v>0</v>
      </c>
      <c r="CQ4126">
        <f t="shared" si="667"/>
        <v>109</v>
      </c>
    </row>
    <row r="4127" spans="94:95">
      <c r="CP4127">
        <f>IF(客户自备加工筐明细!$E127="",0,1)</f>
        <v>0</v>
      </c>
      <c r="CQ4127">
        <f t="shared" si="667"/>
        <v>109</v>
      </c>
    </row>
    <row r="4128" spans="94:95">
      <c r="CP4128">
        <f>IF(客户自备加工筐明细!$E128="",0,1)</f>
        <v>0</v>
      </c>
      <c r="CQ4128">
        <f t="shared" si="667"/>
        <v>109</v>
      </c>
    </row>
    <row r="4129" spans="94:95">
      <c r="CP4129">
        <f>IF(客户自备加工筐明细!$E129="",0,1)</f>
        <v>0</v>
      </c>
      <c r="CQ4129">
        <f t="shared" si="667"/>
        <v>109</v>
      </c>
    </row>
    <row r="4130" spans="94:95">
      <c r="CP4130">
        <f>IF(客户自备加工筐明细!$E130="",0,1)</f>
        <v>0</v>
      </c>
      <c r="CQ4130">
        <f t="shared" si="667"/>
        <v>109</v>
      </c>
    </row>
    <row r="4131" spans="94:95">
      <c r="CP4131">
        <f>IF(客户自备加工筐明细!$E131="",0,1)</f>
        <v>0</v>
      </c>
      <c r="CQ4131">
        <f t="shared" si="667"/>
        <v>109</v>
      </c>
    </row>
    <row r="4132" spans="94:95">
      <c r="CP4132">
        <f>IF(客户自备加工筐明细!$E132="",0,1)</f>
        <v>0</v>
      </c>
      <c r="CQ4132">
        <f t="shared" si="667"/>
        <v>109</v>
      </c>
    </row>
    <row r="4133" spans="94:95">
      <c r="CP4133">
        <f>IF(客户自备加工筐明细!$E133="",0,1)</f>
        <v>0</v>
      </c>
      <c r="CQ4133">
        <f t="shared" si="667"/>
        <v>109</v>
      </c>
    </row>
    <row r="4134" spans="94:95">
      <c r="CP4134">
        <f>IF(客户自备加工筐明细!$E134="",0,1)</f>
        <v>0</v>
      </c>
      <c r="CQ4134">
        <f t="shared" si="667"/>
        <v>109</v>
      </c>
    </row>
    <row r="4135" spans="94:95">
      <c r="CP4135">
        <f>IF(客户自备加工筐明细!$E135="",0,1)</f>
        <v>0</v>
      </c>
      <c r="CQ4135">
        <f t="shared" si="667"/>
        <v>109</v>
      </c>
    </row>
    <row r="4136" spans="94:95">
      <c r="CP4136">
        <f>IF(客户自备加工筐明细!$E136="",0,1)</f>
        <v>0</v>
      </c>
      <c r="CQ4136">
        <f t="shared" si="667"/>
        <v>109</v>
      </c>
    </row>
    <row r="4137" spans="94:95">
      <c r="CP4137">
        <f>IF(客户自备加工筐明细!$E137="",0,1)</f>
        <v>0</v>
      </c>
      <c r="CQ4137">
        <f t="shared" si="667"/>
        <v>109</v>
      </c>
    </row>
    <row r="4138" spans="94:95">
      <c r="CP4138">
        <f>IF(客户自备加工筐明细!$E138="",0,1)</f>
        <v>0</v>
      </c>
      <c r="CQ4138">
        <f t="shared" si="667"/>
        <v>109</v>
      </c>
    </row>
    <row r="4139" spans="94:95">
      <c r="CP4139">
        <f>IF(客户自备加工筐明细!$E139="",0,1)</f>
        <v>0</v>
      </c>
      <c r="CQ4139">
        <f t="shared" si="667"/>
        <v>109</v>
      </c>
    </row>
    <row r="4140" spans="94:95">
      <c r="CP4140">
        <f>IF(客户自备加工筐明细!$E140="",0,1)</f>
        <v>0</v>
      </c>
      <c r="CQ4140">
        <f t="shared" si="667"/>
        <v>109</v>
      </c>
    </row>
    <row r="4141" spans="94:95">
      <c r="CP4141">
        <f>IF(客户自备加工筐明细!$E141="",0,1)</f>
        <v>0</v>
      </c>
      <c r="CQ4141">
        <f t="shared" si="667"/>
        <v>109</v>
      </c>
    </row>
    <row r="4142" spans="94:95">
      <c r="CP4142">
        <f>IF(客户自备加工筐明细!$E142="",0,1)</f>
        <v>0</v>
      </c>
      <c r="CQ4142">
        <f t="shared" si="667"/>
        <v>109</v>
      </c>
    </row>
    <row r="4143" spans="94:95">
      <c r="CP4143">
        <f>IF(客户自备加工筐明细!$E143="",0,1)</f>
        <v>0</v>
      </c>
      <c r="CQ4143">
        <f t="shared" si="667"/>
        <v>109</v>
      </c>
    </row>
    <row r="4144" spans="94:95">
      <c r="CP4144">
        <f>IF(客户自备加工筐明细!$E144="",0,1)</f>
        <v>0</v>
      </c>
      <c r="CQ4144">
        <f t="shared" si="667"/>
        <v>109</v>
      </c>
    </row>
    <row r="4145" spans="94:95">
      <c r="CP4145">
        <f>IF(客户自备加工筐明细!$E145="",0,1)</f>
        <v>0</v>
      </c>
      <c r="CQ4145">
        <f t="shared" si="667"/>
        <v>109</v>
      </c>
    </row>
    <row r="4146" spans="94:95">
      <c r="CP4146">
        <f>IF(客户自备加工筐明细!$E146="",0,1)</f>
        <v>0</v>
      </c>
      <c r="CQ4146">
        <f t="shared" si="667"/>
        <v>109</v>
      </c>
    </row>
    <row r="4147" spans="94:95">
      <c r="CP4147">
        <f>IF(客户自备加工筐明细!$E147="",0,1)</f>
        <v>0</v>
      </c>
      <c r="CQ4147">
        <f t="shared" si="667"/>
        <v>109</v>
      </c>
    </row>
    <row r="4148" spans="94:95">
      <c r="CP4148">
        <f>IF(客户自备加工筐明细!$E148="",0,1)</f>
        <v>0</v>
      </c>
      <c r="CQ4148">
        <f t="shared" si="667"/>
        <v>109</v>
      </c>
    </row>
    <row r="4149" spans="94:95">
      <c r="CP4149">
        <f>IF(客户自备加工筐明细!$E149="",0,1)</f>
        <v>0</v>
      </c>
      <c r="CQ4149">
        <f t="shared" si="667"/>
        <v>109</v>
      </c>
    </row>
    <row r="4150" spans="94:95">
      <c r="CP4150">
        <f>IF(客户自备加工筐明细!$E150="",0,1)</f>
        <v>0</v>
      </c>
      <c r="CQ4150">
        <f t="shared" si="667"/>
        <v>109</v>
      </c>
    </row>
    <row r="4151" spans="94:95">
      <c r="CP4151">
        <f>IF(客户自备加工筐明细!$E151="",0,1)</f>
        <v>0</v>
      </c>
      <c r="CQ4151">
        <f t="shared" si="667"/>
        <v>109</v>
      </c>
    </row>
    <row r="4152" spans="94:95">
      <c r="CP4152">
        <f>IF(客户自备加工筐明细!$E152="",0,1)</f>
        <v>0</v>
      </c>
      <c r="CQ4152">
        <f t="shared" si="667"/>
        <v>109</v>
      </c>
    </row>
    <row r="4153" spans="94:95">
      <c r="CP4153">
        <f>IF(客户自备加工筐明细!$E153="",0,1)</f>
        <v>0</v>
      </c>
      <c r="CQ4153">
        <f t="shared" si="667"/>
        <v>109</v>
      </c>
    </row>
    <row r="4154" spans="94:95">
      <c r="CP4154">
        <f>IF(客户自备加工筐明细!$E154="",0,1)</f>
        <v>0</v>
      </c>
      <c r="CQ4154">
        <f t="shared" si="667"/>
        <v>109</v>
      </c>
    </row>
    <row r="4155" spans="94:95">
      <c r="CP4155">
        <f>IF(客户自备加工筐明细!$E155="",0,1)</f>
        <v>0</v>
      </c>
      <c r="CQ4155">
        <f t="shared" si="667"/>
        <v>109</v>
      </c>
    </row>
    <row r="4156" spans="94:95">
      <c r="CP4156">
        <f>IF(客户自备加工筐明细!$E156="",0,1)</f>
        <v>0</v>
      </c>
      <c r="CQ4156">
        <f t="shared" si="667"/>
        <v>109</v>
      </c>
    </row>
    <row r="4157" spans="94:95">
      <c r="CP4157">
        <f>IF(客户自备加工筐明细!$E157="",0,1)</f>
        <v>0</v>
      </c>
      <c r="CQ4157">
        <f t="shared" si="667"/>
        <v>109</v>
      </c>
    </row>
    <row r="4158" spans="94:95">
      <c r="CP4158">
        <f>IF(客户自备加工筐明细!$E158="",0,1)</f>
        <v>0</v>
      </c>
      <c r="CQ4158">
        <f t="shared" si="667"/>
        <v>109</v>
      </c>
    </row>
    <row r="4159" spans="94:95">
      <c r="CP4159">
        <f>IF(客户自备加工筐明细!$E159="",0,1)</f>
        <v>0</v>
      </c>
      <c r="CQ4159">
        <f t="shared" si="667"/>
        <v>109</v>
      </c>
    </row>
    <row r="4160" spans="94:95">
      <c r="CP4160">
        <f>IF(客户自备加工筐明细!$E160="",0,1)</f>
        <v>0</v>
      </c>
      <c r="CQ4160">
        <f t="shared" si="667"/>
        <v>109</v>
      </c>
    </row>
    <row r="4161" spans="94:95">
      <c r="CP4161">
        <f>IF(客户自备加工筐明细!$E161="",0,1)</f>
        <v>0</v>
      </c>
      <c r="CQ4161">
        <f t="shared" si="667"/>
        <v>109</v>
      </c>
    </row>
    <row r="4162" spans="94:95">
      <c r="CP4162">
        <f>IF(客户自备加工筐明细!$E162="",0,1)</f>
        <v>0</v>
      </c>
      <c r="CQ4162">
        <f t="shared" si="667"/>
        <v>109</v>
      </c>
    </row>
    <row r="4163" spans="94:95">
      <c r="CP4163">
        <f>IF(客户自备加工筐明细!$E163="",0,1)</f>
        <v>0</v>
      </c>
      <c r="CQ4163">
        <f t="shared" si="667"/>
        <v>109</v>
      </c>
    </row>
    <row r="4164" spans="94:95">
      <c r="CP4164">
        <f>IF(客户自备加工筐明细!$E164="",0,1)</f>
        <v>0</v>
      </c>
      <c r="CQ4164">
        <f t="shared" ref="CQ4164:CQ4227" si="668">N(CQ4163)+$CP4164</f>
        <v>109</v>
      </c>
    </row>
    <row r="4165" spans="94:95">
      <c r="CP4165">
        <f>IF(客户自备加工筐明细!$E165="",0,1)</f>
        <v>0</v>
      </c>
      <c r="CQ4165">
        <f t="shared" si="668"/>
        <v>109</v>
      </c>
    </row>
    <row r="4166" spans="94:95">
      <c r="CP4166">
        <f>IF(客户自备加工筐明细!$E166="",0,1)</f>
        <v>0</v>
      </c>
      <c r="CQ4166">
        <f t="shared" si="668"/>
        <v>109</v>
      </c>
    </row>
    <row r="4167" spans="94:95">
      <c r="CP4167">
        <f>IF(客户自备加工筐明细!$E167="",0,1)</f>
        <v>0</v>
      </c>
      <c r="CQ4167">
        <f t="shared" si="668"/>
        <v>109</v>
      </c>
    </row>
    <row r="4168" spans="94:95">
      <c r="CP4168">
        <f>IF(客户自备加工筐明细!$E168="",0,1)</f>
        <v>0</v>
      </c>
      <c r="CQ4168">
        <f t="shared" si="668"/>
        <v>109</v>
      </c>
    </row>
    <row r="4169" spans="94:95">
      <c r="CP4169">
        <f>IF(客户自备加工筐明细!$E169="",0,1)</f>
        <v>0</v>
      </c>
      <c r="CQ4169">
        <f t="shared" si="668"/>
        <v>109</v>
      </c>
    </row>
    <row r="4170" spans="94:95">
      <c r="CP4170">
        <f>IF(客户自备加工筐明细!$E170="",0,1)</f>
        <v>0</v>
      </c>
      <c r="CQ4170">
        <f t="shared" si="668"/>
        <v>109</v>
      </c>
    </row>
    <row r="4171" spans="94:95">
      <c r="CP4171">
        <f>IF(客户自备加工筐明细!$E171="",0,1)</f>
        <v>0</v>
      </c>
      <c r="CQ4171">
        <f t="shared" si="668"/>
        <v>109</v>
      </c>
    </row>
    <row r="4172" spans="94:95">
      <c r="CP4172">
        <f>IF(客户自备加工筐明细!$E172="",0,1)</f>
        <v>0</v>
      </c>
      <c r="CQ4172">
        <f t="shared" si="668"/>
        <v>109</v>
      </c>
    </row>
    <row r="4173" spans="94:95">
      <c r="CP4173">
        <f>IF(客户自备加工筐明细!$E173="",0,1)</f>
        <v>0</v>
      </c>
      <c r="CQ4173">
        <f t="shared" si="668"/>
        <v>109</v>
      </c>
    </row>
    <row r="4174" spans="94:95">
      <c r="CP4174">
        <f>IF(客户自备加工筐明细!$E174="",0,1)</f>
        <v>0</v>
      </c>
      <c r="CQ4174">
        <f t="shared" si="668"/>
        <v>109</v>
      </c>
    </row>
    <row r="4175" spans="94:95">
      <c r="CP4175">
        <f>IF(客户自备加工筐明细!$E175="",0,1)</f>
        <v>0</v>
      </c>
      <c r="CQ4175">
        <f t="shared" si="668"/>
        <v>109</v>
      </c>
    </row>
    <row r="4176" spans="94:95">
      <c r="CP4176">
        <f>IF(客户自备加工筐明细!$E176="",0,1)</f>
        <v>0</v>
      </c>
      <c r="CQ4176">
        <f t="shared" si="668"/>
        <v>109</v>
      </c>
    </row>
    <row r="4177" spans="94:95">
      <c r="CP4177">
        <f>IF(客户自备加工筐明细!$E177="",0,1)</f>
        <v>0</v>
      </c>
      <c r="CQ4177">
        <f t="shared" si="668"/>
        <v>109</v>
      </c>
    </row>
    <row r="4178" spans="94:95">
      <c r="CP4178">
        <f>IF(客户自备加工筐明细!$E178="",0,1)</f>
        <v>0</v>
      </c>
      <c r="CQ4178">
        <f t="shared" si="668"/>
        <v>109</v>
      </c>
    </row>
    <row r="4179" spans="94:95">
      <c r="CP4179">
        <f>IF(客户自备加工筐明细!$E179="",0,1)</f>
        <v>0</v>
      </c>
      <c r="CQ4179">
        <f t="shared" si="668"/>
        <v>109</v>
      </c>
    </row>
    <row r="4180" spans="94:95">
      <c r="CP4180">
        <f>IF(客户自备加工筐明细!$E180="",0,1)</f>
        <v>0</v>
      </c>
      <c r="CQ4180">
        <f t="shared" si="668"/>
        <v>109</v>
      </c>
    </row>
    <row r="4181" spans="94:95">
      <c r="CP4181">
        <f>IF(客户自备加工筐明细!$E181="",0,1)</f>
        <v>0</v>
      </c>
      <c r="CQ4181">
        <f t="shared" si="668"/>
        <v>109</v>
      </c>
    </row>
    <row r="4182" spans="94:95">
      <c r="CP4182">
        <f>IF(客户自备加工筐明细!$E182="",0,1)</f>
        <v>0</v>
      </c>
      <c r="CQ4182">
        <f t="shared" si="668"/>
        <v>109</v>
      </c>
    </row>
    <row r="4183" spans="94:95">
      <c r="CP4183">
        <f>IF(客户自备加工筐明细!$E183="",0,1)</f>
        <v>0</v>
      </c>
      <c r="CQ4183">
        <f t="shared" si="668"/>
        <v>109</v>
      </c>
    </row>
    <row r="4184" spans="94:95">
      <c r="CP4184">
        <f>IF(客户自备加工筐明细!$E184="",0,1)</f>
        <v>0</v>
      </c>
      <c r="CQ4184">
        <f t="shared" si="668"/>
        <v>109</v>
      </c>
    </row>
    <row r="4185" spans="94:95">
      <c r="CP4185">
        <f>IF(客户自备加工筐明细!$E185="",0,1)</f>
        <v>0</v>
      </c>
      <c r="CQ4185">
        <f t="shared" si="668"/>
        <v>109</v>
      </c>
    </row>
    <row r="4186" spans="94:95">
      <c r="CP4186">
        <f>IF(客户自备加工筐明细!$E186="",0,1)</f>
        <v>0</v>
      </c>
      <c r="CQ4186">
        <f t="shared" si="668"/>
        <v>109</v>
      </c>
    </row>
    <row r="4187" spans="94:95">
      <c r="CP4187">
        <f>IF(客户自备加工筐明细!$E187="",0,1)</f>
        <v>0</v>
      </c>
      <c r="CQ4187">
        <f t="shared" si="668"/>
        <v>109</v>
      </c>
    </row>
    <row r="4188" spans="94:95">
      <c r="CP4188">
        <f>IF(客户自备加工筐明细!$E188="",0,1)</f>
        <v>0</v>
      </c>
      <c r="CQ4188">
        <f t="shared" si="668"/>
        <v>109</v>
      </c>
    </row>
    <row r="4189" spans="94:95">
      <c r="CP4189">
        <f>IF(客户自备加工筐明细!$E189="",0,1)</f>
        <v>0</v>
      </c>
      <c r="CQ4189">
        <f t="shared" si="668"/>
        <v>109</v>
      </c>
    </row>
    <row r="4190" spans="94:95">
      <c r="CP4190">
        <f>IF(客户自备加工筐明细!$E190="",0,1)</f>
        <v>0</v>
      </c>
      <c r="CQ4190">
        <f t="shared" si="668"/>
        <v>109</v>
      </c>
    </row>
    <row r="4191" spans="94:95">
      <c r="CP4191">
        <f>IF(客户自备加工筐明细!$E191="",0,1)</f>
        <v>0</v>
      </c>
      <c r="CQ4191">
        <f t="shared" si="668"/>
        <v>109</v>
      </c>
    </row>
    <row r="4192" spans="94:95">
      <c r="CP4192">
        <f>IF(客户自备加工筐明细!$E192="",0,1)</f>
        <v>0</v>
      </c>
      <c r="CQ4192">
        <f t="shared" si="668"/>
        <v>109</v>
      </c>
    </row>
    <row r="4193" spans="94:95">
      <c r="CP4193">
        <f>IF(客户自备加工筐明细!$E193="",0,1)</f>
        <v>0</v>
      </c>
      <c r="CQ4193">
        <f t="shared" si="668"/>
        <v>109</v>
      </c>
    </row>
    <row r="4194" spans="94:95">
      <c r="CP4194">
        <f>IF(客户自备加工筐明细!$E194="",0,1)</f>
        <v>0</v>
      </c>
      <c r="CQ4194">
        <f t="shared" si="668"/>
        <v>109</v>
      </c>
    </row>
    <row r="4195" spans="94:95">
      <c r="CP4195">
        <f>IF(客户自备加工筐明细!$E195="",0,1)</f>
        <v>0</v>
      </c>
      <c r="CQ4195">
        <f t="shared" si="668"/>
        <v>109</v>
      </c>
    </row>
    <row r="4196" spans="94:95">
      <c r="CP4196">
        <f>IF(客户自备加工筐明细!$E196="",0,1)</f>
        <v>0</v>
      </c>
      <c r="CQ4196">
        <f t="shared" si="668"/>
        <v>109</v>
      </c>
    </row>
    <row r="4197" spans="94:95">
      <c r="CP4197">
        <f>IF(客户自备加工筐明细!$E197="",0,1)</f>
        <v>0</v>
      </c>
      <c r="CQ4197">
        <f t="shared" si="668"/>
        <v>109</v>
      </c>
    </row>
    <row r="4198" spans="94:95">
      <c r="CP4198">
        <f>IF(客户自备加工筐明细!$E198="",0,1)</f>
        <v>0</v>
      </c>
      <c r="CQ4198">
        <f t="shared" si="668"/>
        <v>109</v>
      </c>
    </row>
    <row r="4199" spans="94:95">
      <c r="CP4199">
        <f>IF(客户自备加工筐明细!$E199="",0,1)</f>
        <v>0</v>
      </c>
      <c r="CQ4199">
        <f t="shared" si="668"/>
        <v>109</v>
      </c>
    </row>
    <row r="4200" spans="94:95">
      <c r="CP4200">
        <f>IF(客户自备加工筐明细!$E200="",0,1)</f>
        <v>0</v>
      </c>
      <c r="CQ4200">
        <f t="shared" si="668"/>
        <v>109</v>
      </c>
    </row>
    <row r="4201" spans="94:95">
      <c r="CP4201">
        <f>IF(客户自备加工筐明细!$E201="",0,1)</f>
        <v>0</v>
      </c>
      <c r="CQ4201">
        <f t="shared" si="668"/>
        <v>109</v>
      </c>
    </row>
    <row r="4202" spans="94:95">
      <c r="CP4202">
        <f>IF(客户自备加工筐明细!$E202="",0,1)</f>
        <v>0</v>
      </c>
      <c r="CQ4202">
        <f t="shared" si="668"/>
        <v>109</v>
      </c>
    </row>
    <row r="4203" spans="94:95">
      <c r="CP4203">
        <f>IF(客户自备加工筐明细!$E203="",0,1)</f>
        <v>0</v>
      </c>
      <c r="CQ4203">
        <f t="shared" si="668"/>
        <v>109</v>
      </c>
    </row>
    <row r="4204" spans="94:95">
      <c r="CP4204">
        <f>IF(客户自备加工筐明细!$E204="",0,1)</f>
        <v>0</v>
      </c>
      <c r="CQ4204">
        <f t="shared" si="668"/>
        <v>109</v>
      </c>
    </row>
    <row r="4205" spans="94:95">
      <c r="CP4205">
        <f>IF(客户自备加工筐明细!$E205="",0,1)</f>
        <v>0</v>
      </c>
      <c r="CQ4205">
        <f t="shared" si="668"/>
        <v>109</v>
      </c>
    </row>
    <row r="4206" spans="94:95">
      <c r="CP4206">
        <f>IF(客户自备加工筐明细!$E206="",0,1)</f>
        <v>0</v>
      </c>
      <c r="CQ4206">
        <f t="shared" si="668"/>
        <v>109</v>
      </c>
    </row>
    <row r="4207" spans="94:95">
      <c r="CP4207">
        <f>IF(客户自备加工筐明细!$E207="",0,1)</f>
        <v>0</v>
      </c>
      <c r="CQ4207">
        <f t="shared" si="668"/>
        <v>109</v>
      </c>
    </row>
    <row r="4208" spans="94:95">
      <c r="CP4208">
        <f>IF(客户自备加工筐明细!$E208="",0,1)</f>
        <v>0</v>
      </c>
      <c r="CQ4208">
        <f t="shared" si="668"/>
        <v>109</v>
      </c>
    </row>
    <row r="4209" spans="94:95">
      <c r="CP4209">
        <f>IF(客户自备加工筐明细!$E209="",0,1)</f>
        <v>0</v>
      </c>
      <c r="CQ4209">
        <f t="shared" si="668"/>
        <v>109</v>
      </c>
    </row>
    <row r="4210" spans="94:95">
      <c r="CP4210">
        <f>IF(客户自备加工筐明细!$E210="",0,1)</f>
        <v>0</v>
      </c>
      <c r="CQ4210">
        <f t="shared" si="668"/>
        <v>109</v>
      </c>
    </row>
    <row r="4211" spans="94:95">
      <c r="CP4211">
        <f>IF(客户自备加工筐明细!$E211="",0,1)</f>
        <v>0</v>
      </c>
      <c r="CQ4211">
        <f t="shared" si="668"/>
        <v>109</v>
      </c>
    </row>
    <row r="4212" spans="94:95">
      <c r="CP4212">
        <f>IF(客户自备加工筐明细!$E212="",0,1)</f>
        <v>0</v>
      </c>
      <c r="CQ4212">
        <f t="shared" si="668"/>
        <v>109</v>
      </c>
    </row>
    <row r="4213" spans="94:95">
      <c r="CP4213">
        <f>IF(客户自备加工筐明细!$E213="",0,1)</f>
        <v>0</v>
      </c>
      <c r="CQ4213">
        <f t="shared" si="668"/>
        <v>109</v>
      </c>
    </row>
    <row r="4214" spans="94:95">
      <c r="CP4214">
        <f>IF(客户自备加工筐明细!$E214="",0,1)</f>
        <v>0</v>
      </c>
      <c r="CQ4214">
        <f t="shared" si="668"/>
        <v>109</v>
      </c>
    </row>
    <row r="4215" spans="94:95">
      <c r="CP4215">
        <f>IF(客户自备加工筐明细!$E215="",0,1)</f>
        <v>0</v>
      </c>
      <c r="CQ4215">
        <f t="shared" si="668"/>
        <v>109</v>
      </c>
    </row>
    <row r="4216" spans="94:95">
      <c r="CP4216">
        <f>IF(客户自备加工筐明细!$E216="",0,1)</f>
        <v>0</v>
      </c>
      <c r="CQ4216">
        <f t="shared" si="668"/>
        <v>109</v>
      </c>
    </row>
    <row r="4217" spans="94:95">
      <c r="CP4217">
        <f>IF(客户自备加工筐明细!$E217="",0,1)</f>
        <v>0</v>
      </c>
      <c r="CQ4217">
        <f t="shared" si="668"/>
        <v>109</v>
      </c>
    </row>
    <row r="4218" spans="94:95">
      <c r="CP4218">
        <f>IF(客户自备加工筐明细!$E218="",0,1)</f>
        <v>0</v>
      </c>
      <c r="CQ4218">
        <f t="shared" si="668"/>
        <v>109</v>
      </c>
    </row>
    <row r="4219" spans="94:95">
      <c r="CP4219">
        <f>IF(客户自备加工筐明细!$E219="",0,1)</f>
        <v>0</v>
      </c>
      <c r="CQ4219">
        <f t="shared" si="668"/>
        <v>109</v>
      </c>
    </row>
    <row r="4220" spans="94:95">
      <c r="CP4220">
        <f>IF(客户自备加工筐明细!$E220="",0,1)</f>
        <v>0</v>
      </c>
      <c r="CQ4220">
        <f t="shared" si="668"/>
        <v>109</v>
      </c>
    </row>
    <row r="4221" spans="94:95">
      <c r="CP4221">
        <f>IF(客户自备加工筐明细!$E221="",0,1)</f>
        <v>0</v>
      </c>
      <c r="CQ4221">
        <f t="shared" si="668"/>
        <v>109</v>
      </c>
    </row>
    <row r="4222" spans="94:95">
      <c r="CP4222">
        <f>IF(客户自备加工筐明细!$E222="",0,1)</f>
        <v>0</v>
      </c>
      <c r="CQ4222">
        <f t="shared" si="668"/>
        <v>109</v>
      </c>
    </row>
    <row r="4223" spans="94:95">
      <c r="CP4223">
        <f>IF(客户自备加工筐明细!$E223="",0,1)</f>
        <v>0</v>
      </c>
      <c r="CQ4223">
        <f t="shared" si="668"/>
        <v>109</v>
      </c>
    </row>
    <row r="4224" spans="94:95">
      <c r="CP4224">
        <f>IF(客户自备加工筐明细!$E224="",0,1)</f>
        <v>0</v>
      </c>
      <c r="CQ4224">
        <f t="shared" si="668"/>
        <v>109</v>
      </c>
    </row>
    <row r="4225" spans="94:95">
      <c r="CP4225">
        <f>IF(客户自备加工筐明细!$E225="",0,1)</f>
        <v>0</v>
      </c>
      <c r="CQ4225">
        <f t="shared" si="668"/>
        <v>109</v>
      </c>
    </row>
    <row r="4226" spans="94:95">
      <c r="CP4226">
        <f>IF(客户自备加工筐明细!$E226="",0,1)</f>
        <v>0</v>
      </c>
      <c r="CQ4226">
        <f t="shared" si="668"/>
        <v>109</v>
      </c>
    </row>
    <row r="4227" spans="94:95">
      <c r="CP4227">
        <f>IF(客户自备加工筐明细!$E227="",0,1)</f>
        <v>0</v>
      </c>
      <c r="CQ4227">
        <f t="shared" si="668"/>
        <v>109</v>
      </c>
    </row>
    <row r="4228" spans="94:95">
      <c r="CP4228">
        <f>IF(客户自备加工筐明细!$E228="",0,1)</f>
        <v>0</v>
      </c>
      <c r="CQ4228">
        <f t="shared" ref="CQ4228:CQ4291" si="669">N(CQ4227)+$CP4228</f>
        <v>109</v>
      </c>
    </row>
    <row r="4229" spans="94:95">
      <c r="CP4229">
        <f>IF(客户自备加工筐明细!$E229="",0,1)</f>
        <v>0</v>
      </c>
      <c r="CQ4229">
        <f t="shared" si="669"/>
        <v>109</v>
      </c>
    </row>
    <row r="4230" spans="94:95">
      <c r="CP4230">
        <f>IF(客户自备加工筐明细!$E230="",0,1)</f>
        <v>0</v>
      </c>
      <c r="CQ4230">
        <f t="shared" si="669"/>
        <v>109</v>
      </c>
    </row>
    <row r="4231" spans="94:95">
      <c r="CP4231">
        <f>IF(客户自备加工筐明细!$E231="",0,1)</f>
        <v>0</v>
      </c>
      <c r="CQ4231">
        <f t="shared" si="669"/>
        <v>109</v>
      </c>
    </row>
    <row r="4232" spans="94:95">
      <c r="CP4232">
        <f>IF(客户自备加工筐明细!$E232="",0,1)</f>
        <v>0</v>
      </c>
      <c r="CQ4232">
        <f t="shared" si="669"/>
        <v>109</v>
      </c>
    </row>
    <row r="4233" spans="94:95">
      <c r="CP4233">
        <f>IF(客户自备加工筐明细!$E233="",0,1)</f>
        <v>0</v>
      </c>
      <c r="CQ4233">
        <f t="shared" si="669"/>
        <v>109</v>
      </c>
    </row>
    <row r="4234" spans="94:95">
      <c r="CP4234">
        <f>IF(客户自备加工筐明细!$E234="",0,1)</f>
        <v>0</v>
      </c>
      <c r="CQ4234">
        <f t="shared" si="669"/>
        <v>109</v>
      </c>
    </row>
    <row r="4235" spans="94:95">
      <c r="CP4235">
        <f>IF(客户自备加工筐明细!$E235="",0,1)</f>
        <v>0</v>
      </c>
      <c r="CQ4235">
        <f t="shared" si="669"/>
        <v>109</v>
      </c>
    </row>
    <row r="4236" spans="94:95">
      <c r="CP4236">
        <f>IF(客户自备加工筐明细!$E236="",0,1)</f>
        <v>0</v>
      </c>
      <c r="CQ4236">
        <f t="shared" si="669"/>
        <v>109</v>
      </c>
    </row>
    <row r="4237" spans="94:95">
      <c r="CP4237">
        <f>IF(客户自备加工筐明细!$E237="",0,1)</f>
        <v>0</v>
      </c>
      <c r="CQ4237">
        <f t="shared" si="669"/>
        <v>109</v>
      </c>
    </row>
    <row r="4238" spans="94:95">
      <c r="CP4238">
        <f>IF(客户自备加工筐明细!$E238="",0,1)</f>
        <v>0</v>
      </c>
      <c r="CQ4238">
        <f t="shared" si="669"/>
        <v>109</v>
      </c>
    </row>
    <row r="4239" spans="94:95">
      <c r="CP4239">
        <f>IF(客户自备加工筐明细!$E239="",0,1)</f>
        <v>0</v>
      </c>
      <c r="CQ4239">
        <f t="shared" si="669"/>
        <v>109</v>
      </c>
    </row>
    <row r="4240" spans="94:95">
      <c r="CP4240">
        <f>IF(客户自备加工筐明细!$E240="",0,1)</f>
        <v>0</v>
      </c>
      <c r="CQ4240">
        <f t="shared" si="669"/>
        <v>109</v>
      </c>
    </row>
    <row r="4241" spans="94:95">
      <c r="CP4241">
        <f>IF(客户自备加工筐明细!$E241="",0,1)</f>
        <v>0</v>
      </c>
      <c r="CQ4241">
        <f t="shared" si="669"/>
        <v>109</v>
      </c>
    </row>
    <row r="4242" spans="94:95">
      <c r="CP4242">
        <f>IF(客户自备加工筐明细!$E242="",0,1)</f>
        <v>0</v>
      </c>
      <c r="CQ4242">
        <f t="shared" si="669"/>
        <v>109</v>
      </c>
    </row>
    <row r="4243" spans="94:95">
      <c r="CP4243">
        <f>IF(客户自备加工筐明细!$E243="",0,1)</f>
        <v>0</v>
      </c>
      <c r="CQ4243">
        <f t="shared" si="669"/>
        <v>109</v>
      </c>
    </row>
    <row r="4244" spans="94:95">
      <c r="CP4244">
        <f>IF(客户自备加工筐明细!$E244="",0,1)</f>
        <v>0</v>
      </c>
      <c r="CQ4244">
        <f t="shared" si="669"/>
        <v>109</v>
      </c>
    </row>
    <row r="4245" spans="94:95">
      <c r="CP4245">
        <f>IF(客户自备加工筐明细!$E245="",0,1)</f>
        <v>0</v>
      </c>
      <c r="CQ4245">
        <f t="shared" si="669"/>
        <v>109</v>
      </c>
    </row>
    <row r="4246" spans="94:95">
      <c r="CP4246">
        <f>IF(客户自备加工筐明细!$E246="",0,1)</f>
        <v>0</v>
      </c>
      <c r="CQ4246">
        <f t="shared" si="669"/>
        <v>109</v>
      </c>
    </row>
    <row r="4247" spans="94:95">
      <c r="CP4247">
        <f>IF(客户自备加工筐明细!$E247="",0,1)</f>
        <v>0</v>
      </c>
      <c r="CQ4247">
        <f t="shared" si="669"/>
        <v>109</v>
      </c>
    </row>
    <row r="4248" spans="94:95">
      <c r="CP4248">
        <f>IF(客户自备加工筐明细!$E248="",0,1)</f>
        <v>0</v>
      </c>
      <c r="CQ4248">
        <f t="shared" si="669"/>
        <v>109</v>
      </c>
    </row>
    <row r="4249" spans="94:95">
      <c r="CP4249">
        <f>IF(客户自备加工筐明细!$E249="",0,1)</f>
        <v>0</v>
      </c>
      <c r="CQ4249">
        <f t="shared" si="669"/>
        <v>109</v>
      </c>
    </row>
    <row r="4250" spans="94:95">
      <c r="CP4250">
        <f>IF(客户自备加工筐明细!$E250="",0,1)</f>
        <v>0</v>
      </c>
      <c r="CQ4250">
        <f t="shared" si="669"/>
        <v>109</v>
      </c>
    </row>
    <row r="4251" spans="94:95">
      <c r="CP4251">
        <f>IF(客户自备加工筐明细!$E251="",0,1)</f>
        <v>0</v>
      </c>
      <c r="CQ4251">
        <f t="shared" si="669"/>
        <v>109</v>
      </c>
    </row>
    <row r="4252" spans="94:95">
      <c r="CP4252">
        <f>IF(客户自备加工筐明细!$E252="",0,1)</f>
        <v>0</v>
      </c>
      <c r="CQ4252">
        <f t="shared" si="669"/>
        <v>109</v>
      </c>
    </row>
    <row r="4253" spans="94:95">
      <c r="CP4253">
        <f>IF(客户自备加工筐明细!$E253="",0,1)</f>
        <v>0</v>
      </c>
      <c r="CQ4253">
        <f t="shared" si="669"/>
        <v>109</v>
      </c>
    </row>
    <row r="4254" spans="94:95">
      <c r="CP4254">
        <f>IF(客户自备加工筐明细!$E254="",0,1)</f>
        <v>0</v>
      </c>
      <c r="CQ4254">
        <f t="shared" si="669"/>
        <v>109</v>
      </c>
    </row>
    <row r="4255" spans="94:95">
      <c r="CP4255">
        <f>IF(客户自备加工筐明细!$E255="",0,1)</f>
        <v>0</v>
      </c>
      <c r="CQ4255">
        <f t="shared" si="669"/>
        <v>109</v>
      </c>
    </row>
    <row r="4256" spans="94:95">
      <c r="CP4256">
        <f>IF(客户自备加工筐明细!$E256="",0,1)</f>
        <v>0</v>
      </c>
      <c r="CQ4256">
        <f t="shared" si="669"/>
        <v>109</v>
      </c>
    </row>
    <row r="4257" spans="94:95">
      <c r="CP4257">
        <f>IF(客户自备加工筐明细!$E257="",0,1)</f>
        <v>0</v>
      </c>
      <c r="CQ4257">
        <f t="shared" si="669"/>
        <v>109</v>
      </c>
    </row>
    <row r="4258" spans="94:95">
      <c r="CP4258">
        <f>IF(客户自备加工筐明细!$E258="",0,1)</f>
        <v>0</v>
      </c>
      <c r="CQ4258">
        <f t="shared" si="669"/>
        <v>109</v>
      </c>
    </row>
    <row r="4259" spans="94:95">
      <c r="CP4259">
        <f>IF(客户自备加工筐明细!$E259="",0,1)</f>
        <v>0</v>
      </c>
      <c r="CQ4259">
        <f t="shared" si="669"/>
        <v>109</v>
      </c>
    </row>
    <row r="4260" spans="94:95">
      <c r="CP4260">
        <f>IF(客户自备加工筐明细!$E260="",0,1)</f>
        <v>0</v>
      </c>
      <c r="CQ4260">
        <f t="shared" si="669"/>
        <v>109</v>
      </c>
    </row>
    <row r="4261" spans="94:95">
      <c r="CP4261">
        <f>IF(客户自备加工筐明细!$E261="",0,1)</f>
        <v>0</v>
      </c>
      <c r="CQ4261">
        <f t="shared" si="669"/>
        <v>109</v>
      </c>
    </row>
    <row r="4262" spans="94:95">
      <c r="CP4262">
        <f>IF(客户自备加工筐明细!$E262="",0,1)</f>
        <v>0</v>
      </c>
      <c r="CQ4262">
        <f t="shared" si="669"/>
        <v>109</v>
      </c>
    </row>
    <row r="4263" spans="94:95">
      <c r="CP4263">
        <f>IF(客户自备加工筐明细!$E263="",0,1)</f>
        <v>0</v>
      </c>
      <c r="CQ4263">
        <f t="shared" si="669"/>
        <v>109</v>
      </c>
    </row>
    <row r="4264" spans="94:95">
      <c r="CP4264">
        <f>IF(客户自备加工筐明细!$E264="",0,1)</f>
        <v>0</v>
      </c>
      <c r="CQ4264">
        <f t="shared" si="669"/>
        <v>109</v>
      </c>
    </row>
    <row r="4265" spans="94:95">
      <c r="CP4265">
        <f>IF(客户自备加工筐明细!$E265="",0,1)</f>
        <v>0</v>
      </c>
      <c r="CQ4265">
        <f t="shared" si="669"/>
        <v>109</v>
      </c>
    </row>
    <row r="4266" spans="94:95">
      <c r="CP4266">
        <f>IF(客户自备加工筐明细!$E266="",0,1)</f>
        <v>0</v>
      </c>
      <c r="CQ4266">
        <f t="shared" si="669"/>
        <v>109</v>
      </c>
    </row>
    <row r="4267" spans="94:95">
      <c r="CP4267">
        <f>IF(客户自备加工筐明细!$E267="",0,1)</f>
        <v>0</v>
      </c>
      <c r="CQ4267">
        <f t="shared" si="669"/>
        <v>109</v>
      </c>
    </row>
    <row r="4268" spans="94:95">
      <c r="CP4268">
        <f>IF(客户自备加工筐明细!$E268="",0,1)</f>
        <v>0</v>
      </c>
      <c r="CQ4268">
        <f t="shared" si="669"/>
        <v>109</v>
      </c>
    </row>
    <row r="4269" spans="94:95">
      <c r="CP4269">
        <f>IF(客户自备加工筐明细!$E269="",0,1)</f>
        <v>0</v>
      </c>
      <c r="CQ4269">
        <f t="shared" si="669"/>
        <v>109</v>
      </c>
    </row>
    <row r="4270" spans="94:95">
      <c r="CP4270">
        <f>IF(客户自备加工筐明细!$E270="",0,1)</f>
        <v>0</v>
      </c>
      <c r="CQ4270">
        <f t="shared" si="669"/>
        <v>109</v>
      </c>
    </row>
    <row r="4271" spans="94:95">
      <c r="CP4271">
        <f>IF(客户自备加工筐明细!$E271="",0,1)</f>
        <v>0</v>
      </c>
      <c r="CQ4271">
        <f t="shared" si="669"/>
        <v>109</v>
      </c>
    </row>
    <row r="4272" spans="94:95">
      <c r="CP4272">
        <f>IF(客户自备加工筐明细!$E272="",0,1)</f>
        <v>0</v>
      </c>
      <c r="CQ4272">
        <f t="shared" si="669"/>
        <v>109</v>
      </c>
    </row>
    <row r="4273" spans="94:95">
      <c r="CP4273">
        <f>IF(客户自备加工筐明细!$E273="",0,1)</f>
        <v>0</v>
      </c>
      <c r="CQ4273">
        <f t="shared" si="669"/>
        <v>109</v>
      </c>
    </row>
    <row r="4274" spans="94:95">
      <c r="CP4274">
        <f>IF(客户自备加工筐明细!$E274="",0,1)</f>
        <v>0</v>
      </c>
      <c r="CQ4274">
        <f t="shared" si="669"/>
        <v>109</v>
      </c>
    </row>
    <row r="4275" spans="94:95">
      <c r="CP4275">
        <f>IF(客户自备加工筐明细!$E275="",0,1)</f>
        <v>0</v>
      </c>
      <c r="CQ4275">
        <f t="shared" si="669"/>
        <v>109</v>
      </c>
    </row>
    <row r="4276" spans="94:95">
      <c r="CP4276">
        <f>IF(客户自备加工筐明细!$E276="",0,1)</f>
        <v>0</v>
      </c>
      <c r="CQ4276">
        <f t="shared" si="669"/>
        <v>109</v>
      </c>
    </row>
    <row r="4277" spans="94:95">
      <c r="CP4277">
        <f>IF(客户自备加工筐明细!$E277="",0,1)</f>
        <v>0</v>
      </c>
      <c r="CQ4277">
        <f t="shared" si="669"/>
        <v>109</v>
      </c>
    </row>
    <row r="4278" spans="94:95">
      <c r="CP4278">
        <f>IF(客户自备加工筐明细!$E278="",0,1)</f>
        <v>0</v>
      </c>
      <c r="CQ4278">
        <f t="shared" si="669"/>
        <v>109</v>
      </c>
    </row>
    <row r="4279" spans="94:95">
      <c r="CP4279">
        <f>IF(客户自备加工筐明细!$E279="",0,1)</f>
        <v>0</v>
      </c>
      <c r="CQ4279">
        <f t="shared" si="669"/>
        <v>109</v>
      </c>
    </row>
    <row r="4280" spans="94:95">
      <c r="CP4280">
        <f>IF(客户自备加工筐明细!$E280="",0,1)</f>
        <v>0</v>
      </c>
      <c r="CQ4280">
        <f t="shared" si="669"/>
        <v>109</v>
      </c>
    </row>
    <row r="4281" spans="94:95">
      <c r="CP4281">
        <f>IF(客户自备加工筐明细!$E281="",0,1)</f>
        <v>0</v>
      </c>
      <c r="CQ4281">
        <f t="shared" si="669"/>
        <v>109</v>
      </c>
    </row>
    <row r="4282" spans="94:95">
      <c r="CP4282">
        <f>IF(客户自备加工筐明细!$E282="",0,1)</f>
        <v>0</v>
      </c>
      <c r="CQ4282">
        <f t="shared" si="669"/>
        <v>109</v>
      </c>
    </row>
    <row r="4283" spans="94:95">
      <c r="CP4283">
        <f>IF(客户自备加工筐明细!$E283="",0,1)</f>
        <v>0</v>
      </c>
      <c r="CQ4283">
        <f t="shared" si="669"/>
        <v>109</v>
      </c>
    </row>
    <row r="4284" spans="94:95">
      <c r="CP4284">
        <f>IF(客户自备加工筐明细!$E284="",0,1)</f>
        <v>0</v>
      </c>
      <c r="CQ4284">
        <f t="shared" si="669"/>
        <v>109</v>
      </c>
    </row>
    <row r="4285" spans="94:95">
      <c r="CP4285">
        <f>IF(客户自备加工筐明细!$E285="",0,1)</f>
        <v>0</v>
      </c>
      <c r="CQ4285">
        <f t="shared" si="669"/>
        <v>109</v>
      </c>
    </row>
    <row r="4286" spans="94:95">
      <c r="CP4286">
        <f>IF(客户自备加工筐明细!$E286="",0,1)</f>
        <v>0</v>
      </c>
      <c r="CQ4286">
        <f t="shared" si="669"/>
        <v>109</v>
      </c>
    </row>
    <row r="4287" spans="94:95">
      <c r="CP4287">
        <f>IF(客户自备加工筐明细!$E287="",0,1)</f>
        <v>0</v>
      </c>
      <c r="CQ4287">
        <f t="shared" si="669"/>
        <v>109</v>
      </c>
    </row>
    <row r="4288" spans="94:95">
      <c r="CP4288">
        <f>IF(客户自备加工筐明细!$E288="",0,1)</f>
        <v>0</v>
      </c>
      <c r="CQ4288">
        <f t="shared" si="669"/>
        <v>109</v>
      </c>
    </row>
    <row r="4289" spans="94:95">
      <c r="CP4289">
        <f>IF(客户自备加工筐明细!$E289="",0,1)</f>
        <v>0</v>
      </c>
      <c r="CQ4289">
        <f t="shared" si="669"/>
        <v>109</v>
      </c>
    </row>
    <row r="4290" spans="94:95">
      <c r="CP4290">
        <f>IF(客户自备加工筐明细!$E290="",0,1)</f>
        <v>0</v>
      </c>
      <c r="CQ4290">
        <f t="shared" si="669"/>
        <v>109</v>
      </c>
    </row>
    <row r="4291" spans="94:95">
      <c r="CP4291">
        <f>IF(客户自备加工筐明细!$E291="",0,1)</f>
        <v>0</v>
      </c>
      <c r="CQ4291">
        <f t="shared" si="669"/>
        <v>109</v>
      </c>
    </row>
    <row r="4292" spans="94:95">
      <c r="CP4292">
        <f>IF(客户自备加工筐明细!$E292="",0,1)</f>
        <v>0</v>
      </c>
      <c r="CQ4292">
        <f t="shared" ref="CQ4292:CQ4355" si="670">N(CQ4291)+$CP4292</f>
        <v>109</v>
      </c>
    </row>
    <row r="4293" spans="94:95">
      <c r="CP4293">
        <f>IF(客户自备加工筐明细!$E293="",0,1)</f>
        <v>0</v>
      </c>
      <c r="CQ4293">
        <f t="shared" si="670"/>
        <v>109</v>
      </c>
    </row>
    <row r="4294" spans="94:95">
      <c r="CP4294">
        <f>IF(客户自备加工筐明细!$E294="",0,1)</f>
        <v>0</v>
      </c>
      <c r="CQ4294">
        <f t="shared" si="670"/>
        <v>109</v>
      </c>
    </row>
    <row r="4295" spans="94:95">
      <c r="CP4295">
        <f>IF(客户自备加工筐明细!$E295="",0,1)</f>
        <v>0</v>
      </c>
      <c r="CQ4295">
        <f t="shared" si="670"/>
        <v>109</v>
      </c>
    </row>
    <row r="4296" spans="94:95">
      <c r="CP4296">
        <f>IF(客户自备加工筐明细!$E296="",0,1)</f>
        <v>0</v>
      </c>
      <c r="CQ4296">
        <f t="shared" si="670"/>
        <v>109</v>
      </c>
    </row>
    <row r="4297" spans="94:95">
      <c r="CP4297">
        <f>IF(客户自备加工筐明细!$E297="",0,1)</f>
        <v>0</v>
      </c>
      <c r="CQ4297">
        <f t="shared" si="670"/>
        <v>109</v>
      </c>
    </row>
    <row r="4298" spans="94:95">
      <c r="CP4298">
        <f>IF(客户自备加工筐明细!$E298="",0,1)</f>
        <v>0</v>
      </c>
      <c r="CQ4298">
        <f t="shared" si="670"/>
        <v>109</v>
      </c>
    </row>
    <row r="4299" spans="94:95">
      <c r="CP4299">
        <f>IF(客户自备加工筐明细!$E299="",0,1)</f>
        <v>0</v>
      </c>
      <c r="CQ4299">
        <f t="shared" si="670"/>
        <v>109</v>
      </c>
    </row>
    <row r="4300" spans="94:95">
      <c r="CP4300">
        <f>IF(客户自备加工筐明细!$E300="",0,1)</f>
        <v>0</v>
      </c>
      <c r="CQ4300">
        <f t="shared" si="670"/>
        <v>109</v>
      </c>
    </row>
    <row r="4301" spans="94:95">
      <c r="CP4301">
        <f>IF(客户自备加工筐明细!$E301="",0,1)</f>
        <v>0</v>
      </c>
      <c r="CQ4301">
        <f t="shared" si="670"/>
        <v>109</v>
      </c>
    </row>
    <row r="4302" spans="94:95">
      <c r="CP4302">
        <f>IF(客户自备加工筐明细!$E302="",0,1)</f>
        <v>0</v>
      </c>
      <c r="CQ4302">
        <f t="shared" si="670"/>
        <v>109</v>
      </c>
    </row>
    <row r="4303" spans="94:95">
      <c r="CP4303">
        <f>IF(客户自备加工筐明细!$E303="",0,1)</f>
        <v>0</v>
      </c>
      <c r="CQ4303">
        <f t="shared" si="670"/>
        <v>109</v>
      </c>
    </row>
    <row r="4304" spans="94:95">
      <c r="CP4304">
        <f>IF(客户自备加工筐明细!$E304="",0,1)</f>
        <v>0</v>
      </c>
      <c r="CQ4304">
        <f t="shared" si="670"/>
        <v>109</v>
      </c>
    </row>
    <row r="4305" spans="94:95">
      <c r="CP4305">
        <f>IF(客户自备加工筐明细!$E305="",0,1)</f>
        <v>0</v>
      </c>
      <c r="CQ4305">
        <f t="shared" si="670"/>
        <v>109</v>
      </c>
    </row>
    <row r="4306" spans="94:95">
      <c r="CP4306">
        <f>IF(客户自备加工筐明细!$E306="",0,1)</f>
        <v>0</v>
      </c>
      <c r="CQ4306">
        <f t="shared" si="670"/>
        <v>109</v>
      </c>
    </row>
    <row r="4307" spans="94:95">
      <c r="CP4307">
        <f>IF(客户自备加工筐明细!$E307="",0,1)</f>
        <v>0</v>
      </c>
      <c r="CQ4307">
        <f t="shared" si="670"/>
        <v>109</v>
      </c>
    </row>
    <row r="4308" spans="94:95">
      <c r="CP4308">
        <f>IF(客户自备加工筐明细!$E308="",0,1)</f>
        <v>0</v>
      </c>
      <c r="CQ4308">
        <f t="shared" si="670"/>
        <v>109</v>
      </c>
    </row>
    <row r="4309" spans="94:95">
      <c r="CP4309">
        <f>IF(客户自备加工筐明细!$E309="",0,1)</f>
        <v>0</v>
      </c>
      <c r="CQ4309">
        <f t="shared" si="670"/>
        <v>109</v>
      </c>
    </row>
    <row r="4310" spans="94:95">
      <c r="CP4310">
        <f>IF(客户自备加工筐明细!$E310="",0,1)</f>
        <v>0</v>
      </c>
      <c r="CQ4310">
        <f t="shared" si="670"/>
        <v>109</v>
      </c>
    </row>
    <row r="4311" spans="94:95">
      <c r="CP4311">
        <f>IF(客户自备加工筐明细!$E311="",0,1)</f>
        <v>0</v>
      </c>
      <c r="CQ4311">
        <f t="shared" si="670"/>
        <v>109</v>
      </c>
    </row>
    <row r="4312" spans="94:95">
      <c r="CP4312">
        <f>IF(客户自备加工筐明细!$E312="",0,1)</f>
        <v>0</v>
      </c>
      <c r="CQ4312">
        <f t="shared" si="670"/>
        <v>109</v>
      </c>
    </row>
    <row r="4313" spans="94:95">
      <c r="CP4313">
        <f>IF(客户自备加工筐明细!$E313="",0,1)</f>
        <v>0</v>
      </c>
      <c r="CQ4313">
        <f t="shared" si="670"/>
        <v>109</v>
      </c>
    </row>
    <row r="4314" spans="94:95">
      <c r="CP4314">
        <f>IF(客户自备加工筐明细!$E314="",0,1)</f>
        <v>0</v>
      </c>
      <c r="CQ4314">
        <f t="shared" si="670"/>
        <v>109</v>
      </c>
    </row>
    <row r="4315" spans="94:95">
      <c r="CP4315">
        <f>IF(客户自备加工筐明细!$E315="",0,1)</f>
        <v>0</v>
      </c>
      <c r="CQ4315">
        <f t="shared" si="670"/>
        <v>109</v>
      </c>
    </row>
    <row r="4316" spans="94:95">
      <c r="CP4316">
        <f>IF(客户自备加工筐明细!$E316="",0,1)</f>
        <v>0</v>
      </c>
      <c r="CQ4316">
        <f t="shared" si="670"/>
        <v>109</v>
      </c>
    </row>
    <row r="4317" spans="94:95">
      <c r="CP4317">
        <f>IF(客户自备加工筐明细!$E317="",0,1)</f>
        <v>0</v>
      </c>
      <c r="CQ4317">
        <f t="shared" si="670"/>
        <v>109</v>
      </c>
    </row>
    <row r="4318" spans="94:95">
      <c r="CP4318">
        <f>IF(客户自备加工筐明细!$E318="",0,1)</f>
        <v>0</v>
      </c>
      <c r="CQ4318">
        <f t="shared" si="670"/>
        <v>109</v>
      </c>
    </row>
    <row r="4319" spans="94:95">
      <c r="CP4319">
        <f>IF(客户自备加工筐明细!$E319="",0,1)</f>
        <v>0</v>
      </c>
      <c r="CQ4319">
        <f t="shared" si="670"/>
        <v>109</v>
      </c>
    </row>
    <row r="4320" spans="94:95">
      <c r="CP4320">
        <f>IF(客户自备加工筐明细!$E320="",0,1)</f>
        <v>0</v>
      </c>
      <c r="CQ4320">
        <f t="shared" si="670"/>
        <v>109</v>
      </c>
    </row>
    <row r="4321" spans="94:95">
      <c r="CP4321">
        <f>IF(客户自备加工筐明细!$E321="",0,1)</f>
        <v>0</v>
      </c>
      <c r="CQ4321">
        <f t="shared" si="670"/>
        <v>109</v>
      </c>
    </row>
    <row r="4322" spans="94:95">
      <c r="CP4322">
        <f>IF(客户自备加工筐明细!$E322="",0,1)</f>
        <v>0</v>
      </c>
      <c r="CQ4322">
        <f t="shared" si="670"/>
        <v>109</v>
      </c>
    </row>
    <row r="4323" spans="94:95">
      <c r="CP4323">
        <f>IF(客户自备加工筐明细!$E323="",0,1)</f>
        <v>0</v>
      </c>
      <c r="CQ4323">
        <f t="shared" si="670"/>
        <v>109</v>
      </c>
    </row>
    <row r="4324" spans="94:95">
      <c r="CP4324">
        <f>IF(客户自备加工筐明细!$E324="",0,1)</f>
        <v>0</v>
      </c>
      <c r="CQ4324">
        <f t="shared" si="670"/>
        <v>109</v>
      </c>
    </row>
    <row r="4325" spans="94:95">
      <c r="CP4325">
        <f>IF(客户自备加工筐明细!$E325="",0,1)</f>
        <v>0</v>
      </c>
      <c r="CQ4325">
        <f t="shared" si="670"/>
        <v>109</v>
      </c>
    </row>
    <row r="4326" spans="94:95">
      <c r="CP4326">
        <f>IF(客户自备加工筐明细!$E326="",0,1)</f>
        <v>0</v>
      </c>
      <c r="CQ4326">
        <f t="shared" si="670"/>
        <v>109</v>
      </c>
    </row>
    <row r="4327" spans="94:95">
      <c r="CP4327">
        <f>IF(客户自备加工筐明细!$E327="",0,1)</f>
        <v>0</v>
      </c>
      <c r="CQ4327">
        <f t="shared" si="670"/>
        <v>109</v>
      </c>
    </row>
    <row r="4328" spans="94:95">
      <c r="CP4328">
        <f>IF(客户自备加工筐明细!$E328="",0,1)</f>
        <v>0</v>
      </c>
      <c r="CQ4328">
        <f t="shared" si="670"/>
        <v>109</v>
      </c>
    </row>
    <row r="4329" spans="94:95">
      <c r="CP4329">
        <f>IF(客户自备加工筐明细!$E329="",0,1)</f>
        <v>0</v>
      </c>
      <c r="CQ4329">
        <f t="shared" si="670"/>
        <v>109</v>
      </c>
    </row>
    <row r="4330" spans="94:95">
      <c r="CP4330">
        <f>IF(客户自备加工筐明细!$E330="",0,1)</f>
        <v>0</v>
      </c>
      <c r="CQ4330">
        <f t="shared" si="670"/>
        <v>109</v>
      </c>
    </row>
    <row r="4331" spans="94:95">
      <c r="CP4331">
        <f>IF(客户自备加工筐明细!$E331="",0,1)</f>
        <v>0</v>
      </c>
      <c r="CQ4331">
        <f t="shared" si="670"/>
        <v>109</v>
      </c>
    </row>
    <row r="4332" spans="94:95">
      <c r="CP4332">
        <f>IF(客户自备加工筐明细!$E332="",0,1)</f>
        <v>0</v>
      </c>
      <c r="CQ4332">
        <f t="shared" si="670"/>
        <v>109</v>
      </c>
    </row>
    <row r="4333" spans="94:95">
      <c r="CP4333">
        <f>IF(客户自备加工筐明细!$E333="",0,1)</f>
        <v>0</v>
      </c>
      <c r="CQ4333">
        <f t="shared" si="670"/>
        <v>109</v>
      </c>
    </row>
    <row r="4334" spans="94:95">
      <c r="CP4334">
        <f>IF(客户自备加工筐明细!$E334="",0,1)</f>
        <v>0</v>
      </c>
      <c r="CQ4334">
        <f t="shared" si="670"/>
        <v>109</v>
      </c>
    </row>
    <row r="4335" spans="94:95">
      <c r="CP4335">
        <f>IF(客户自备加工筐明细!$E335="",0,1)</f>
        <v>0</v>
      </c>
      <c r="CQ4335">
        <f t="shared" si="670"/>
        <v>109</v>
      </c>
    </row>
    <row r="4336" spans="94:95">
      <c r="CP4336">
        <f>IF(客户自备加工筐明细!$E336="",0,1)</f>
        <v>0</v>
      </c>
      <c r="CQ4336">
        <f t="shared" si="670"/>
        <v>109</v>
      </c>
    </row>
    <row r="4337" spans="94:95">
      <c r="CP4337">
        <f>IF(客户自备加工筐明细!$E337="",0,1)</f>
        <v>0</v>
      </c>
      <c r="CQ4337">
        <f t="shared" si="670"/>
        <v>109</v>
      </c>
    </row>
    <row r="4338" spans="94:95">
      <c r="CP4338">
        <f>IF(客户自备加工筐明细!$E338="",0,1)</f>
        <v>0</v>
      </c>
      <c r="CQ4338">
        <f t="shared" si="670"/>
        <v>109</v>
      </c>
    </row>
    <row r="4339" spans="94:95">
      <c r="CP4339">
        <f>IF(客户自备加工筐明细!$E339="",0,1)</f>
        <v>0</v>
      </c>
      <c r="CQ4339">
        <f t="shared" si="670"/>
        <v>109</v>
      </c>
    </row>
    <row r="4340" spans="94:95">
      <c r="CP4340">
        <f>IF(客户自备加工筐明细!$E340="",0,1)</f>
        <v>0</v>
      </c>
      <c r="CQ4340">
        <f t="shared" si="670"/>
        <v>109</v>
      </c>
    </row>
    <row r="4341" spans="94:95">
      <c r="CP4341">
        <f>IF(客户自备加工筐明细!$E341="",0,1)</f>
        <v>0</v>
      </c>
      <c r="CQ4341">
        <f t="shared" si="670"/>
        <v>109</v>
      </c>
    </row>
    <row r="4342" spans="94:95">
      <c r="CP4342">
        <f>IF(客户自备加工筐明细!$E342="",0,1)</f>
        <v>0</v>
      </c>
      <c r="CQ4342">
        <f t="shared" si="670"/>
        <v>109</v>
      </c>
    </row>
    <row r="4343" spans="94:95">
      <c r="CP4343">
        <f>IF(客户自备加工筐明细!$E343="",0,1)</f>
        <v>0</v>
      </c>
      <c r="CQ4343">
        <f t="shared" si="670"/>
        <v>109</v>
      </c>
    </row>
    <row r="4344" spans="94:95">
      <c r="CP4344">
        <f>IF(客户自备加工筐明细!$E344="",0,1)</f>
        <v>0</v>
      </c>
      <c r="CQ4344">
        <f t="shared" si="670"/>
        <v>109</v>
      </c>
    </row>
    <row r="4345" spans="94:95">
      <c r="CP4345">
        <f>IF(客户自备加工筐明细!$E345="",0,1)</f>
        <v>0</v>
      </c>
      <c r="CQ4345">
        <f t="shared" si="670"/>
        <v>109</v>
      </c>
    </row>
    <row r="4346" spans="94:95">
      <c r="CP4346">
        <f>IF(客户自备加工筐明细!$E346="",0,1)</f>
        <v>0</v>
      </c>
      <c r="CQ4346">
        <f t="shared" si="670"/>
        <v>109</v>
      </c>
    </row>
    <row r="4347" spans="94:95">
      <c r="CP4347">
        <f>IF(客户自备加工筐明细!$E347="",0,1)</f>
        <v>0</v>
      </c>
      <c r="CQ4347">
        <f t="shared" si="670"/>
        <v>109</v>
      </c>
    </row>
    <row r="4348" spans="94:95">
      <c r="CP4348">
        <f>IF(客户自备加工筐明细!$E348="",0,1)</f>
        <v>0</v>
      </c>
      <c r="CQ4348">
        <f t="shared" si="670"/>
        <v>109</v>
      </c>
    </row>
    <row r="4349" spans="94:95">
      <c r="CP4349">
        <f>IF(客户自备加工筐明细!$E349="",0,1)</f>
        <v>0</v>
      </c>
      <c r="CQ4349">
        <f t="shared" si="670"/>
        <v>109</v>
      </c>
    </row>
    <row r="4350" spans="94:95">
      <c r="CP4350">
        <f>IF(客户自备加工筐明细!$E350="",0,1)</f>
        <v>0</v>
      </c>
      <c r="CQ4350">
        <f t="shared" si="670"/>
        <v>109</v>
      </c>
    </row>
    <row r="4351" spans="94:95">
      <c r="CP4351">
        <f>IF(客户自备加工筐明细!$E351="",0,1)</f>
        <v>0</v>
      </c>
      <c r="CQ4351">
        <f t="shared" si="670"/>
        <v>109</v>
      </c>
    </row>
    <row r="4352" spans="94:95">
      <c r="CP4352">
        <f>IF(客户自备加工筐明细!$E352="",0,1)</f>
        <v>0</v>
      </c>
      <c r="CQ4352">
        <f t="shared" si="670"/>
        <v>109</v>
      </c>
    </row>
    <row r="4353" spans="94:95">
      <c r="CP4353">
        <f>IF(客户自备加工筐明细!$E353="",0,1)</f>
        <v>0</v>
      </c>
      <c r="CQ4353">
        <f t="shared" si="670"/>
        <v>109</v>
      </c>
    </row>
    <row r="4354" spans="94:95">
      <c r="CP4354">
        <f>IF(客户自备加工筐明细!$E354="",0,1)</f>
        <v>0</v>
      </c>
      <c r="CQ4354">
        <f t="shared" si="670"/>
        <v>109</v>
      </c>
    </row>
    <row r="4355" spans="94:95">
      <c r="CP4355">
        <f>IF(客户自备加工筐明细!$E355="",0,1)</f>
        <v>0</v>
      </c>
      <c r="CQ4355">
        <f t="shared" si="670"/>
        <v>109</v>
      </c>
    </row>
    <row r="4356" spans="94:95">
      <c r="CP4356">
        <f>IF(客户自备加工筐明细!$E356="",0,1)</f>
        <v>0</v>
      </c>
      <c r="CQ4356">
        <f t="shared" ref="CQ4356:CQ4419" si="671">N(CQ4355)+$CP4356</f>
        <v>109</v>
      </c>
    </row>
    <row r="4357" spans="94:95">
      <c r="CP4357">
        <f>IF(客户自备加工筐明细!$E357="",0,1)</f>
        <v>0</v>
      </c>
      <c r="CQ4357">
        <f t="shared" si="671"/>
        <v>109</v>
      </c>
    </row>
    <row r="4358" spans="94:95">
      <c r="CP4358">
        <f>IF(客户自备加工筐明细!$E358="",0,1)</f>
        <v>0</v>
      </c>
      <c r="CQ4358">
        <f t="shared" si="671"/>
        <v>109</v>
      </c>
    </row>
    <row r="4359" spans="94:95">
      <c r="CP4359">
        <f>IF(客户自备加工筐明细!$E359="",0,1)</f>
        <v>0</v>
      </c>
      <c r="CQ4359">
        <f t="shared" si="671"/>
        <v>109</v>
      </c>
    </row>
    <row r="4360" spans="94:95">
      <c r="CP4360">
        <f>IF(客户自备加工筐明细!$E360="",0,1)</f>
        <v>0</v>
      </c>
      <c r="CQ4360">
        <f t="shared" si="671"/>
        <v>109</v>
      </c>
    </row>
    <row r="4361" spans="94:95">
      <c r="CP4361">
        <f>IF(客户自备加工筐明细!$E361="",0,1)</f>
        <v>0</v>
      </c>
      <c r="CQ4361">
        <f t="shared" si="671"/>
        <v>109</v>
      </c>
    </row>
    <row r="4362" spans="94:95">
      <c r="CP4362">
        <f>IF(客户自备加工筐明细!$E362="",0,1)</f>
        <v>0</v>
      </c>
      <c r="CQ4362">
        <f t="shared" si="671"/>
        <v>109</v>
      </c>
    </row>
    <row r="4363" spans="94:95">
      <c r="CP4363">
        <f>IF(客户自备加工筐明细!$E363="",0,1)</f>
        <v>0</v>
      </c>
      <c r="CQ4363">
        <f t="shared" si="671"/>
        <v>109</v>
      </c>
    </row>
    <row r="4364" spans="94:95">
      <c r="CP4364">
        <f>IF(客户自备加工筐明细!$E364="",0,1)</f>
        <v>0</v>
      </c>
      <c r="CQ4364">
        <f t="shared" si="671"/>
        <v>109</v>
      </c>
    </row>
    <row r="4365" spans="94:95">
      <c r="CP4365">
        <f>IF(客户自备加工筐明细!$E365="",0,1)</f>
        <v>0</v>
      </c>
      <c r="CQ4365">
        <f t="shared" si="671"/>
        <v>109</v>
      </c>
    </row>
    <row r="4366" spans="94:95">
      <c r="CP4366">
        <f>IF(客户自备加工筐明细!$E366="",0,1)</f>
        <v>0</v>
      </c>
      <c r="CQ4366">
        <f t="shared" si="671"/>
        <v>109</v>
      </c>
    </row>
    <row r="4367" spans="94:95">
      <c r="CP4367">
        <f>IF(客户自备加工筐明细!$E367="",0,1)</f>
        <v>0</v>
      </c>
      <c r="CQ4367">
        <f t="shared" si="671"/>
        <v>109</v>
      </c>
    </row>
    <row r="4368" spans="94:95">
      <c r="CP4368">
        <f>IF(客户自备加工筐明细!$E368="",0,1)</f>
        <v>0</v>
      </c>
      <c r="CQ4368">
        <f t="shared" si="671"/>
        <v>109</v>
      </c>
    </row>
    <row r="4369" spans="94:95">
      <c r="CP4369">
        <f>IF(客户自备加工筐明细!$E369="",0,1)</f>
        <v>0</v>
      </c>
      <c r="CQ4369">
        <f t="shared" si="671"/>
        <v>109</v>
      </c>
    </row>
    <row r="4370" spans="94:95">
      <c r="CP4370">
        <f>IF(客户自备加工筐明细!$E370="",0,1)</f>
        <v>0</v>
      </c>
      <c r="CQ4370">
        <f t="shared" si="671"/>
        <v>109</v>
      </c>
    </row>
    <row r="4371" spans="94:95">
      <c r="CP4371">
        <f>IF(客户自备加工筐明细!$E371="",0,1)</f>
        <v>0</v>
      </c>
      <c r="CQ4371">
        <f t="shared" si="671"/>
        <v>109</v>
      </c>
    </row>
    <row r="4372" spans="94:95">
      <c r="CP4372">
        <f>IF(客户自备加工筐明细!$E372="",0,1)</f>
        <v>0</v>
      </c>
      <c r="CQ4372">
        <f t="shared" si="671"/>
        <v>109</v>
      </c>
    </row>
    <row r="4373" spans="94:95">
      <c r="CP4373">
        <f>IF(客户自备加工筐明细!$E373="",0,1)</f>
        <v>0</v>
      </c>
      <c r="CQ4373">
        <f t="shared" si="671"/>
        <v>109</v>
      </c>
    </row>
    <row r="4374" spans="94:95">
      <c r="CP4374">
        <f>IF(客户自备加工筐明细!$E374="",0,1)</f>
        <v>0</v>
      </c>
      <c r="CQ4374">
        <f t="shared" si="671"/>
        <v>109</v>
      </c>
    </row>
    <row r="4375" spans="94:95">
      <c r="CP4375">
        <f>IF(客户自备加工筐明细!$E375="",0,1)</f>
        <v>0</v>
      </c>
      <c r="CQ4375">
        <f t="shared" si="671"/>
        <v>109</v>
      </c>
    </row>
    <row r="4376" spans="94:95">
      <c r="CP4376">
        <f>IF(客户自备加工筐明细!$E376="",0,1)</f>
        <v>0</v>
      </c>
      <c r="CQ4376">
        <f t="shared" si="671"/>
        <v>109</v>
      </c>
    </row>
    <row r="4377" spans="94:95">
      <c r="CP4377">
        <f>IF(客户自备加工筐明细!$E377="",0,1)</f>
        <v>0</v>
      </c>
      <c r="CQ4377">
        <f t="shared" si="671"/>
        <v>109</v>
      </c>
    </row>
    <row r="4378" spans="94:95">
      <c r="CP4378">
        <f>IF(客户自备加工筐明细!$E378="",0,1)</f>
        <v>0</v>
      </c>
      <c r="CQ4378">
        <f t="shared" si="671"/>
        <v>109</v>
      </c>
    </row>
    <row r="4379" spans="94:95">
      <c r="CP4379">
        <f>IF(客户自备加工筐明细!$E379="",0,1)</f>
        <v>0</v>
      </c>
      <c r="CQ4379">
        <f t="shared" si="671"/>
        <v>109</v>
      </c>
    </row>
    <row r="4380" spans="94:95">
      <c r="CP4380">
        <f>IF(客户自备加工筐明细!$E380="",0,1)</f>
        <v>0</v>
      </c>
      <c r="CQ4380">
        <f t="shared" si="671"/>
        <v>109</v>
      </c>
    </row>
    <row r="4381" spans="94:95">
      <c r="CP4381">
        <f>IF(客户自备加工筐明细!$E381="",0,1)</f>
        <v>0</v>
      </c>
      <c r="CQ4381">
        <f t="shared" si="671"/>
        <v>109</v>
      </c>
    </row>
    <row r="4382" spans="94:95">
      <c r="CP4382">
        <f>IF(客户自备加工筐明细!$E382="",0,1)</f>
        <v>0</v>
      </c>
      <c r="CQ4382">
        <f t="shared" si="671"/>
        <v>109</v>
      </c>
    </row>
    <row r="4383" spans="94:95">
      <c r="CP4383">
        <f>IF(客户自备加工筐明细!$E383="",0,1)</f>
        <v>0</v>
      </c>
      <c r="CQ4383">
        <f t="shared" si="671"/>
        <v>109</v>
      </c>
    </row>
    <row r="4384" spans="94:95">
      <c r="CP4384">
        <f>IF(客户自备加工筐明细!$E384="",0,1)</f>
        <v>0</v>
      </c>
      <c r="CQ4384">
        <f t="shared" si="671"/>
        <v>109</v>
      </c>
    </row>
    <row r="4385" spans="94:95">
      <c r="CP4385">
        <f>IF(客户自备加工筐明细!$E385="",0,1)</f>
        <v>0</v>
      </c>
      <c r="CQ4385">
        <f t="shared" si="671"/>
        <v>109</v>
      </c>
    </row>
    <row r="4386" spans="94:95">
      <c r="CP4386">
        <f>IF(客户自备加工筐明细!$E386="",0,1)</f>
        <v>0</v>
      </c>
      <c r="CQ4386">
        <f t="shared" si="671"/>
        <v>109</v>
      </c>
    </row>
    <row r="4387" spans="94:95">
      <c r="CP4387">
        <f>IF(客户自备加工筐明细!$E387="",0,1)</f>
        <v>0</v>
      </c>
      <c r="CQ4387">
        <f t="shared" si="671"/>
        <v>109</v>
      </c>
    </row>
    <row r="4388" spans="94:95">
      <c r="CP4388">
        <f>IF(客户自备加工筐明细!$E388="",0,1)</f>
        <v>0</v>
      </c>
      <c r="CQ4388">
        <f t="shared" si="671"/>
        <v>109</v>
      </c>
    </row>
    <row r="4389" spans="94:95">
      <c r="CP4389">
        <f>IF(客户自备加工筐明细!$E389="",0,1)</f>
        <v>0</v>
      </c>
      <c r="CQ4389">
        <f t="shared" si="671"/>
        <v>109</v>
      </c>
    </row>
    <row r="4390" spans="94:95">
      <c r="CP4390">
        <f>IF(客户自备加工筐明细!$E390="",0,1)</f>
        <v>0</v>
      </c>
      <c r="CQ4390">
        <f t="shared" si="671"/>
        <v>109</v>
      </c>
    </row>
    <row r="4391" spans="94:95">
      <c r="CP4391">
        <f>IF(客户自备加工筐明细!$E391="",0,1)</f>
        <v>0</v>
      </c>
      <c r="CQ4391">
        <f t="shared" si="671"/>
        <v>109</v>
      </c>
    </row>
    <row r="4392" spans="94:95">
      <c r="CP4392">
        <f>IF(客户自备加工筐明细!$E392="",0,1)</f>
        <v>0</v>
      </c>
      <c r="CQ4392">
        <f t="shared" si="671"/>
        <v>109</v>
      </c>
    </row>
    <row r="4393" spans="94:95">
      <c r="CP4393">
        <f>IF(客户自备加工筐明细!$E393="",0,1)</f>
        <v>0</v>
      </c>
      <c r="CQ4393">
        <f t="shared" si="671"/>
        <v>109</v>
      </c>
    </row>
    <row r="4394" spans="94:95">
      <c r="CP4394">
        <f>IF(客户自备加工筐明细!$E394="",0,1)</f>
        <v>0</v>
      </c>
      <c r="CQ4394">
        <f t="shared" si="671"/>
        <v>109</v>
      </c>
    </row>
    <row r="4395" spans="94:95">
      <c r="CP4395">
        <f>IF(客户自备加工筐明细!$E395="",0,1)</f>
        <v>0</v>
      </c>
      <c r="CQ4395">
        <f t="shared" si="671"/>
        <v>109</v>
      </c>
    </row>
    <row r="4396" spans="94:95">
      <c r="CP4396">
        <f>IF(客户自备加工筐明细!$E396="",0,1)</f>
        <v>0</v>
      </c>
      <c r="CQ4396">
        <f t="shared" si="671"/>
        <v>109</v>
      </c>
    </row>
    <row r="4397" spans="94:95">
      <c r="CP4397">
        <f>IF(客户自备加工筐明细!$E397="",0,1)</f>
        <v>0</v>
      </c>
      <c r="CQ4397">
        <f t="shared" si="671"/>
        <v>109</v>
      </c>
    </row>
    <row r="4398" spans="94:95">
      <c r="CP4398">
        <f>IF(客户自备加工筐明细!$E398="",0,1)</f>
        <v>0</v>
      </c>
      <c r="CQ4398">
        <f t="shared" si="671"/>
        <v>109</v>
      </c>
    </row>
    <row r="4399" spans="94:95">
      <c r="CP4399">
        <f>IF(客户自备加工筐明细!$E399="",0,1)</f>
        <v>0</v>
      </c>
      <c r="CQ4399">
        <f t="shared" si="671"/>
        <v>109</v>
      </c>
    </row>
    <row r="4400" spans="94:95">
      <c r="CP4400">
        <f>IF(客户自备加工筐明细!$E400="",0,1)</f>
        <v>0</v>
      </c>
      <c r="CQ4400">
        <f t="shared" si="671"/>
        <v>109</v>
      </c>
    </row>
    <row r="4401" spans="94:95">
      <c r="CP4401">
        <f>IF(客户自备加工筐明细!$E401="",0,1)</f>
        <v>0</v>
      </c>
      <c r="CQ4401">
        <f t="shared" si="671"/>
        <v>109</v>
      </c>
    </row>
    <row r="4402" spans="94:95">
      <c r="CP4402">
        <f>IF(客户自备加工筐明细!$E402="",0,1)</f>
        <v>0</v>
      </c>
      <c r="CQ4402">
        <f t="shared" si="671"/>
        <v>109</v>
      </c>
    </row>
    <row r="4403" spans="94:95">
      <c r="CP4403">
        <f>IF(客户自备加工筐明细!$E403="",0,1)</f>
        <v>0</v>
      </c>
      <c r="CQ4403">
        <f t="shared" si="671"/>
        <v>109</v>
      </c>
    </row>
    <row r="4404" spans="94:95">
      <c r="CP4404">
        <f>IF(客户自备加工筐明细!$E404="",0,1)</f>
        <v>0</v>
      </c>
      <c r="CQ4404">
        <f t="shared" si="671"/>
        <v>109</v>
      </c>
    </row>
    <row r="4405" spans="94:95">
      <c r="CP4405">
        <f>IF(客户自备加工筐明细!$E405="",0,1)</f>
        <v>0</v>
      </c>
      <c r="CQ4405">
        <f t="shared" si="671"/>
        <v>109</v>
      </c>
    </row>
    <row r="4406" spans="94:95">
      <c r="CP4406">
        <f>IF(客户自备加工筐明细!$E406="",0,1)</f>
        <v>0</v>
      </c>
      <c r="CQ4406">
        <f t="shared" si="671"/>
        <v>109</v>
      </c>
    </row>
    <row r="4407" spans="94:95">
      <c r="CP4407">
        <f>IF(客户自备加工筐明细!$E407="",0,1)</f>
        <v>0</v>
      </c>
      <c r="CQ4407">
        <f t="shared" si="671"/>
        <v>109</v>
      </c>
    </row>
    <row r="4408" spans="94:95">
      <c r="CP4408">
        <f>IF(客户自备加工筐明细!$E408="",0,1)</f>
        <v>0</v>
      </c>
      <c r="CQ4408">
        <f t="shared" si="671"/>
        <v>109</v>
      </c>
    </row>
    <row r="4409" spans="94:95">
      <c r="CP4409">
        <f>IF(客户自备加工筐明细!$E409="",0,1)</f>
        <v>0</v>
      </c>
      <c r="CQ4409">
        <f t="shared" si="671"/>
        <v>109</v>
      </c>
    </row>
    <row r="4410" spans="94:95">
      <c r="CP4410">
        <f>IF(客户自备加工筐明细!$E410="",0,1)</f>
        <v>0</v>
      </c>
      <c r="CQ4410">
        <f t="shared" si="671"/>
        <v>109</v>
      </c>
    </row>
    <row r="4411" spans="94:95">
      <c r="CP4411">
        <f>IF(客户自备加工筐明细!$E411="",0,1)</f>
        <v>0</v>
      </c>
      <c r="CQ4411">
        <f t="shared" si="671"/>
        <v>109</v>
      </c>
    </row>
    <row r="4412" spans="94:95">
      <c r="CP4412">
        <f>IF(客户自备加工筐明细!$E412="",0,1)</f>
        <v>0</v>
      </c>
      <c r="CQ4412">
        <f t="shared" si="671"/>
        <v>109</v>
      </c>
    </row>
    <row r="4413" spans="94:95">
      <c r="CP4413">
        <f>IF(客户自备加工筐明细!$E413="",0,1)</f>
        <v>0</v>
      </c>
      <c r="CQ4413">
        <f t="shared" si="671"/>
        <v>109</v>
      </c>
    </row>
    <row r="4414" spans="94:95">
      <c r="CP4414">
        <f>IF(客户自备加工筐明细!$E414="",0,1)</f>
        <v>0</v>
      </c>
      <c r="CQ4414">
        <f t="shared" si="671"/>
        <v>109</v>
      </c>
    </row>
    <row r="4415" spans="94:95">
      <c r="CP4415">
        <f>IF(客户自备加工筐明细!$E415="",0,1)</f>
        <v>0</v>
      </c>
      <c r="CQ4415">
        <f t="shared" si="671"/>
        <v>109</v>
      </c>
    </row>
    <row r="4416" spans="94:95">
      <c r="CP4416">
        <f>IF(客户自备加工筐明细!$E416="",0,1)</f>
        <v>0</v>
      </c>
      <c r="CQ4416">
        <f t="shared" si="671"/>
        <v>109</v>
      </c>
    </row>
    <row r="4417" spans="94:95">
      <c r="CP4417">
        <f>IF(客户自备加工筐明细!$E417="",0,1)</f>
        <v>0</v>
      </c>
      <c r="CQ4417">
        <f t="shared" si="671"/>
        <v>109</v>
      </c>
    </row>
    <row r="4418" spans="94:95">
      <c r="CP4418">
        <f>IF(客户自备加工筐明细!$E418="",0,1)</f>
        <v>0</v>
      </c>
      <c r="CQ4418">
        <f t="shared" si="671"/>
        <v>109</v>
      </c>
    </row>
    <row r="4419" spans="94:95">
      <c r="CP4419">
        <f>IF(客户自备加工筐明细!$E419="",0,1)</f>
        <v>0</v>
      </c>
      <c r="CQ4419">
        <f t="shared" si="671"/>
        <v>109</v>
      </c>
    </row>
    <row r="4420" spans="94:95">
      <c r="CP4420">
        <f>IF(客户自备加工筐明细!$E420="",0,1)</f>
        <v>0</v>
      </c>
      <c r="CQ4420">
        <f t="shared" ref="CQ4420:CQ4483" si="672">N(CQ4419)+$CP4420</f>
        <v>109</v>
      </c>
    </row>
    <row r="4421" spans="94:95">
      <c r="CP4421">
        <f>IF(客户自备加工筐明细!$E421="",0,1)</f>
        <v>0</v>
      </c>
      <c r="CQ4421">
        <f t="shared" si="672"/>
        <v>109</v>
      </c>
    </row>
    <row r="4422" spans="94:95">
      <c r="CP4422">
        <f>IF(客户自备加工筐明细!$E422="",0,1)</f>
        <v>0</v>
      </c>
      <c r="CQ4422">
        <f t="shared" si="672"/>
        <v>109</v>
      </c>
    </row>
    <row r="4423" spans="94:95">
      <c r="CP4423">
        <f>IF(客户自备加工筐明细!$E423="",0,1)</f>
        <v>0</v>
      </c>
      <c r="CQ4423">
        <f t="shared" si="672"/>
        <v>109</v>
      </c>
    </row>
    <row r="4424" spans="94:95">
      <c r="CP4424">
        <f>IF(客户自备加工筐明细!$E424="",0,1)</f>
        <v>0</v>
      </c>
      <c r="CQ4424">
        <f t="shared" si="672"/>
        <v>109</v>
      </c>
    </row>
    <row r="4425" spans="94:95">
      <c r="CP4425">
        <f>IF(客户自备加工筐明细!$E425="",0,1)</f>
        <v>0</v>
      </c>
      <c r="CQ4425">
        <f t="shared" si="672"/>
        <v>109</v>
      </c>
    </row>
    <row r="4426" spans="94:95">
      <c r="CP4426">
        <f>IF(客户自备加工筐明细!$E426="",0,1)</f>
        <v>0</v>
      </c>
      <c r="CQ4426">
        <f t="shared" si="672"/>
        <v>109</v>
      </c>
    </row>
    <row r="4427" spans="94:95">
      <c r="CP4427">
        <f>IF(客户自备加工筐明细!$E427="",0,1)</f>
        <v>0</v>
      </c>
      <c r="CQ4427">
        <f t="shared" si="672"/>
        <v>109</v>
      </c>
    </row>
    <row r="4428" spans="94:95">
      <c r="CP4428">
        <f>IF(客户自备加工筐明细!$E428="",0,1)</f>
        <v>0</v>
      </c>
      <c r="CQ4428">
        <f t="shared" si="672"/>
        <v>109</v>
      </c>
    </row>
    <row r="4429" spans="94:95">
      <c r="CP4429">
        <f>IF(客户自备加工筐明细!$E429="",0,1)</f>
        <v>0</v>
      </c>
      <c r="CQ4429">
        <f t="shared" si="672"/>
        <v>109</v>
      </c>
    </row>
    <row r="4430" spans="94:95">
      <c r="CP4430">
        <f>IF(客户自备加工筐明细!$E430="",0,1)</f>
        <v>0</v>
      </c>
      <c r="CQ4430">
        <f t="shared" si="672"/>
        <v>109</v>
      </c>
    </row>
    <row r="4431" spans="94:95">
      <c r="CP4431">
        <f>IF(客户自备加工筐明细!$E431="",0,1)</f>
        <v>0</v>
      </c>
      <c r="CQ4431">
        <f t="shared" si="672"/>
        <v>109</v>
      </c>
    </row>
    <row r="4432" spans="94:95">
      <c r="CP4432">
        <f>IF(客户自备加工筐明细!$E432="",0,1)</f>
        <v>0</v>
      </c>
      <c r="CQ4432">
        <f t="shared" si="672"/>
        <v>109</v>
      </c>
    </row>
    <row r="4433" spans="94:95">
      <c r="CP4433">
        <f>IF(客户自备加工筐明细!$E433="",0,1)</f>
        <v>0</v>
      </c>
      <c r="CQ4433">
        <f t="shared" si="672"/>
        <v>109</v>
      </c>
    </row>
    <row r="4434" spans="94:95">
      <c r="CP4434">
        <f>IF(客户自备加工筐明细!$E434="",0,1)</f>
        <v>0</v>
      </c>
      <c r="CQ4434">
        <f t="shared" si="672"/>
        <v>109</v>
      </c>
    </row>
    <row r="4435" spans="94:95">
      <c r="CP4435">
        <f>IF(客户自备加工筐明细!$E435="",0,1)</f>
        <v>0</v>
      </c>
      <c r="CQ4435">
        <f t="shared" si="672"/>
        <v>109</v>
      </c>
    </row>
    <row r="4436" spans="94:95">
      <c r="CP4436">
        <f>IF(客户自备加工筐明细!$E436="",0,1)</f>
        <v>0</v>
      </c>
      <c r="CQ4436">
        <f t="shared" si="672"/>
        <v>109</v>
      </c>
    </row>
    <row r="4437" spans="94:95">
      <c r="CP4437">
        <f>IF(客户自备加工筐明细!$E437="",0,1)</f>
        <v>0</v>
      </c>
      <c r="CQ4437">
        <f t="shared" si="672"/>
        <v>109</v>
      </c>
    </row>
    <row r="4438" spans="94:95">
      <c r="CP4438">
        <f>IF(客户自备加工筐明细!$E438="",0,1)</f>
        <v>0</v>
      </c>
      <c r="CQ4438">
        <f t="shared" si="672"/>
        <v>109</v>
      </c>
    </row>
    <row r="4439" spans="94:95">
      <c r="CP4439">
        <f>IF(客户自备加工筐明细!$E439="",0,1)</f>
        <v>0</v>
      </c>
      <c r="CQ4439">
        <f t="shared" si="672"/>
        <v>109</v>
      </c>
    </row>
    <row r="4440" spans="94:95">
      <c r="CP4440">
        <f>IF(客户自备加工筐明细!$E440="",0,1)</f>
        <v>0</v>
      </c>
      <c r="CQ4440">
        <f t="shared" si="672"/>
        <v>109</v>
      </c>
    </row>
    <row r="4441" spans="94:95">
      <c r="CP4441">
        <f>IF(客户自备加工筐明细!$E441="",0,1)</f>
        <v>0</v>
      </c>
      <c r="CQ4441">
        <f t="shared" si="672"/>
        <v>109</v>
      </c>
    </row>
    <row r="4442" spans="94:95">
      <c r="CP4442">
        <f>IF(客户自备加工筐明细!$E442="",0,1)</f>
        <v>0</v>
      </c>
      <c r="CQ4442">
        <f t="shared" si="672"/>
        <v>109</v>
      </c>
    </row>
    <row r="4443" spans="94:95">
      <c r="CP4443">
        <f>IF(客户自备加工筐明细!$E443="",0,1)</f>
        <v>0</v>
      </c>
      <c r="CQ4443">
        <f t="shared" si="672"/>
        <v>109</v>
      </c>
    </row>
    <row r="4444" spans="94:95">
      <c r="CP4444">
        <f>IF(客户自备加工筐明细!$E444="",0,1)</f>
        <v>0</v>
      </c>
      <c r="CQ4444">
        <f t="shared" si="672"/>
        <v>109</v>
      </c>
    </row>
    <row r="4445" spans="94:95">
      <c r="CP4445">
        <f>IF(客户自备加工筐明细!$E445="",0,1)</f>
        <v>0</v>
      </c>
      <c r="CQ4445">
        <f t="shared" si="672"/>
        <v>109</v>
      </c>
    </row>
    <row r="4446" spans="94:95">
      <c r="CP4446">
        <f>IF(客户自备加工筐明细!$E446="",0,1)</f>
        <v>0</v>
      </c>
      <c r="CQ4446">
        <f t="shared" si="672"/>
        <v>109</v>
      </c>
    </row>
    <row r="4447" spans="94:95">
      <c r="CP4447">
        <f>IF(客户自备加工筐明细!$E447="",0,1)</f>
        <v>0</v>
      </c>
      <c r="CQ4447">
        <f t="shared" si="672"/>
        <v>109</v>
      </c>
    </row>
    <row r="4448" spans="94:95">
      <c r="CP4448">
        <f>IF(客户自备加工筐明细!$E448="",0,1)</f>
        <v>0</v>
      </c>
      <c r="CQ4448">
        <f t="shared" si="672"/>
        <v>109</v>
      </c>
    </row>
    <row r="4449" spans="94:95">
      <c r="CP4449">
        <f>IF(客户自备加工筐明细!$E449="",0,1)</f>
        <v>0</v>
      </c>
      <c r="CQ4449">
        <f t="shared" si="672"/>
        <v>109</v>
      </c>
    </row>
    <row r="4450" spans="94:95">
      <c r="CP4450">
        <f>IF(客户自备加工筐明细!$E450="",0,1)</f>
        <v>0</v>
      </c>
      <c r="CQ4450">
        <f t="shared" si="672"/>
        <v>109</v>
      </c>
    </row>
    <row r="4451" spans="94:95">
      <c r="CP4451">
        <f>IF(客户自备加工筐明细!$E451="",0,1)</f>
        <v>0</v>
      </c>
      <c r="CQ4451">
        <f t="shared" si="672"/>
        <v>109</v>
      </c>
    </row>
    <row r="4452" spans="94:95">
      <c r="CP4452">
        <f>IF(客户自备加工筐明细!$E452="",0,1)</f>
        <v>0</v>
      </c>
      <c r="CQ4452">
        <f t="shared" si="672"/>
        <v>109</v>
      </c>
    </row>
    <row r="4453" spans="94:95">
      <c r="CP4453">
        <f>IF(客户自备加工筐明细!$E453="",0,1)</f>
        <v>0</v>
      </c>
      <c r="CQ4453">
        <f t="shared" si="672"/>
        <v>109</v>
      </c>
    </row>
    <row r="4454" spans="94:95">
      <c r="CP4454">
        <f>IF(客户自备加工筐明细!$E454="",0,1)</f>
        <v>0</v>
      </c>
      <c r="CQ4454">
        <f t="shared" si="672"/>
        <v>109</v>
      </c>
    </row>
    <row r="4455" spans="94:95">
      <c r="CP4455">
        <f>IF(客户自备加工筐明细!$E455="",0,1)</f>
        <v>0</v>
      </c>
      <c r="CQ4455">
        <f t="shared" si="672"/>
        <v>109</v>
      </c>
    </row>
    <row r="4456" spans="94:95">
      <c r="CP4456">
        <f>IF(客户自备加工筐明细!$E456="",0,1)</f>
        <v>0</v>
      </c>
      <c r="CQ4456">
        <f t="shared" si="672"/>
        <v>109</v>
      </c>
    </row>
    <row r="4457" spans="94:95">
      <c r="CP4457">
        <f>IF(客户自备加工筐明细!$E457="",0,1)</f>
        <v>0</v>
      </c>
      <c r="CQ4457">
        <f t="shared" si="672"/>
        <v>109</v>
      </c>
    </row>
    <row r="4458" spans="94:95">
      <c r="CP4458">
        <f>IF(客户自备加工筐明细!$E458="",0,1)</f>
        <v>0</v>
      </c>
      <c r="CQ4458">
        <f t="shared" si="672"/>
        <v>109</v>
      </c>
    </row>
    <row r="4459" spans="94:95">
      <c r="CP4459">
        <f>IF(客户自备加工筐明细!$E459="",0,1)</f>
        <v>0</v>
      </c>
      <c r="CQ4459">
        <f t="shared" si="672"/>
        <v>109</v>
      </c>
    </row>
    <row r="4460" spans="94:95">
      <c r="CP4460">
        <f>IF(客户自备加工筐明细!$E460="",0,1)</f>
        <v>0</v>
      </c>
      <c r="CQ4460">
        <f t="shared" si="672"/>
        <v>109</v>
      </c>
    </row>
    <row r="4461" spans="94:95">
      <c r="CP4461">
        <f>IF(客户自备加工筐明细!$E461="",0,1)</f>
        <v>0</v>
      </c>
      <c r="CQ4461">
        <f t="shared" si="672"/>
        <v>109</v>
      </c>
    </row>
    <row r="4462" spans="94:95">
      <c r="CP4462">
        <f>IF(客户自备加工筐明细!$E462="",0,1)</f>
        <v>0</v>
      </c>
      <c r="CQ4462">
        <f t="shared" si="672"/>
        <v>109</v>
      </c>
    </row>
    <row r="4463" spans="94:95">
      <c r="CP4463">
        <f>IF(客户自备加工筐明细!$E463="",0,1)</f>
        <v>0</v>
      </c>
      <c r="CQ4463">
        <f t="shared" si="672"/>
        <v>109</v>
      </c>
    </row>
    <row r="4464" spans="94:95">
      <c r="CP4464">
        <f>IF(客户自备加工筐明细!$E464="",0,1)</f>
        <v>0</v>
      </c>
      <c r="CQ4464">
        <f t="shared" si="672"/>
        <v>109</v>
      </c>
    </row>
    <row r="4465" spans="94:95">
      <c r="CP4465">
        <f>IF(客户自备加工筐明细!$E465="",0,1)</f>
        <v>0</v>
      </c>
      <c r="CQ4465">
        <f t="shared" si="672"/>
        <v>109</v>
      </c>
    </row>
    <row r="4466" spans="94:95">
      <c r="CP4466">
        <f>IF(客户自备加工筐明细!$E466="",0,1)</f>
        <v>0</v>
      </c>
      <c r="CQ4466">
        <f t="shared" si="672"/>
        <v>109</v>
      </c>
    </row>
    <row r="4467" spans="94:95">
      <c r="CP4467">
        <f>IF(客户自备加工筐明细!$E467="",0,1)</f>
        <v>0</v>
      </c>
      <c r="CQ4467">
        <f t="shared" si="672"/>
        <v>109</v>
      </c>
    </row>
    <row r="4468" spans="94:95">
      <c r="CP4468">
        <f>IF(客户自备加工筐明细!$E468="",0,1)</f>
        <v>0</v>
      </c>
      <c r="CQ4468">
        <f t="shared" si="672"/>
        <v>109</v>
      </c>
    </row>
    <row r="4469" spans="94:95">
      <c r="CP4469">
        <f>IF(客户自备加工筐明细!$E469="",0,1)</f>
        <v>0</v>
      </c>
      <c r="CQ4469">
        <f t="shared" si="672"/>
        <v>109</v>
      </c>
    </row>
    <row r="4470" spans="94:95">
      <c r="CP4470">
        <f>IF(客户自备加工筐明细!$E470="",0,1)</f>
        <v>0</v>
      </c>
      <c r="CQ4470">
        <f t="shared" si="672"/>
        <v>109</v>
      </c>
    </row>
    <row r="4471" spans="94:95">
      <c r="CP4471">
        <f>IF(客户自备加工筐明细!$E471="",0,1)</f>
        <v>0</v>
      </c>
      <c r="CQ4471">
        <f t="shared" si="672"/>
        <v>109</v>
      </c>
    </row>
    <row r="4472" spans="94:95">
      <c r="CP4472">
        <f>IF(客户自备加工筐明细!$E472="",0,1)</f>
        <v>0</v>
      </c>
      <c r="CQ4472">
        <f t="shared" si="672"/>
        <v>109</v>
      </c>
    </row>
    <row r="4473" spans="94:95">
      <c r="CP4473">
        <f>IF(客户自备加工筐明细!$E473="",0,1)</f>
        <v>0</v>
      </c>
      <c r="CQ4473">
        <f t="shared" si="672"/>
        <v>109</v>
      </c>
    </row>
    <row r="4474" spans="94:95">
      <c r="CP4474">
        <f>IF(客户自备加工筐明细!$E474="",0,1)</f>
        <v>0</v>
      </c>
      <c r="CQ4474">
        <f t="shared" si="672"/>
        <v>109</v>
      </c>
    </row>
    <row r="4475" spans="94:95">
      <c r="CP4475">
        <f>IF(客户自备加工筐明细!$E475="",0,1)</f>
        <v>0</v>
      </c>
      <c r="CQ4475">
        <f t="shared" si="672"/>
        <v>109</v>
      </c>
    </row>
    <row r="4476" spans="94:95">
      <c r="CP4476">
        <f>IF(客户自备加工筐明细!$E476="",0,1)</f>
        <v>0</v>
      </c>
      <c r="CQ4476">
        <f t="shared" si="672"/>
        <v>109</v>
      </c>
    </row>
    <row r="4477" spans="94:95">
      <c r="CP4477">
        <f>IF(客户自备加工筐明细!$E477="",0,1)</f>
        <v>0</v>
      </c>
      <c r="CQ4477">
        <f t="shared" si="672"/>
        <v>109</v>
      </c>
    </row>
    <row r="4478" spans="94:95">
      <c r="CP4478">
        <f>IF(客户自备加工筐明细!$E478="",0,1)</f>
        <v>0</v>
      </c>
      <c r="CQ4478">
        <f t="shared" si="672"/>
        <v>109</v>
      </c>
    </row>
    <row r="4479" spans="94:95">
      <c r="CP4479">
        <f>IF(客户自备加工筐明细!$E479="",0,1)</f>
        <v>0</v>
      </c>
      <c r="CQ4479">
        <f t="shared" si="672"/>
        <v>109</v>
      </c>
    </row>
    <row r="4480" spans="94:95">
      <c r="CP4480">
        <f>IF(客户自备加工筐明细!$E480="",0,1)</f>
        <v>0</v>
      </c>
      <c r="CQ4480">
        <f t="shared" si="672"/>
        <v>109</v>
      </c>
    </row>
    <row r="4481" spans="94:95">
      <c r="CP4481">
        <f>IF(客户自备加工筐明细!$E481="",0,1)</f>
        <v>0</v>
      </c>
      <c r="CQ4481">
        <f t="shared" si="672"/>
        <v>109</v>
      </c>
    </row>
    <row r="4482" spans="94:95">
      <c r="CP4482">
        <f>IF(客户自备加工筐明细!$E482="",0,1)</f>
        <v>0</v>
      </c>
      <c r="CQ4482">
        <f t="shared" si="672"/>
        <v>109</v>
      </c>
    </row>
    <row r="4483" spans="94:95">
      <c r="CP4483">
        <f>IF(客户自备加工筐明细!$E483="",0,1)</f>
        <v>0</v>
      </c>
      <c r="CQ4483">
        <f t="shared" si="672"/>
        <v>109</v>
      </c>
    </row>
    <row r="4484" spans="94:95">
      <c r="CP4484">
        <f>IF(客户自备加工筐明细!$E484="",0,1)</f>
        <v>0</v>
      </c>
      <c r="CQ4484">
        <f t="shared" ref="CQ4484:CQ4547" si="673">N(CQ4483)+$CP4484</f>
        <v>109</v>
      </c>
    </row>
    <row r="4485" spans="94:95">
      <c r="CP4485">
        <f>IF(客户自备加工筐明细!$E485="",0,1)</f>
        <v>0</v>
      </c>
      <c r="CQ4485">
        <f t="shared" si="673"/>
        <v>109</v>
      </c>
    </row>
    <row r="4486" spans="94:95">
      <c r="CP4486">
        <f>IF(客户自备加工筐明细!$E486="",0,1)</f>
        <v>0</v>
      </c>
      <c r="CQ4486">
        <f t="shared" si="673"/>
        <v>109</v>
      </c>
    </row>
    <row r="4487" spans="94:95">
      <c r="CP4487">
        <f>IF(客户自备加工筐明细!$E487="",0,1)</f>
        <v>0</v>
      </c>
      <c r="CQ4487">
        <f t="shared" si="673"/>
        <v>109</v>
      </c>
    </row>
    <row r="4488" spans="94:95">
      <c r="CP4488">
        <f>IF(客户自备加工筐明细!$E488="",0,1)</f>
        <v>0</v>
      </c>
      <c r="CQ4488">
        <f t="shared" si="673"/>
        <v>109</v>
      </c>
    </row>
    <row r="4489" spans="94:95">
      <c r="CP4489">
        <f>IF(客户自备加工筐明细!$E489="",0,1)</f>
        <v>0</v>
      </c>
      <c r="CQ4489">
        <f t="shared" si="673"/>
        <v>109</v>
      </c>
    </row>
    <row r="4490" spans="94:95">
      <c r="CP4490">
        <f>IF(客户自备加工筐明细!$E490="",0,1)</f>
        <v>0</v>
      </c>
      <c r="CQ4490">
        <f t="shared" si="673"/>
        <v>109</v>
      </c>
    </row>
    <row r="4491" spans="94:95">
      <c r="CP4491">
        <f>IF(客户自备加工筐明细!$E491="",0,1)</f>
        <v>0</v>
      </c>
      <c r="CQ4491">
        <f t="shared" si="673"/>
        <v>109</v>
      </c>
    </row>
    <row r="4492" spans="94:95">
      <c r="CP4492">
        <f>IF(客户自备加工筐明细!$E492="",0,1)</f>
        <v>0</v>
      </c>
      <c r="CQ4492">
        <f t="shared" si="673"/>
        <v>109</v>
      </c>
    </row>
    <row r="4493" spans="94:95">
      <c r="CP4493">
        <f>IF(客户自备加工筐明细!$E493="",0,1)</f>
        <v>0</v>
      </c>
      <c r="CQ4493">
        <f t="shared" si="673"/>
        <v>109</v>
      </c>
    </row>
    <row r="4494" spans="94:95">
      <c r="CP4494">
        <f>IF(客户自备加工筐明细!$E494="",0,1)</f>
        <v>0</v>
      </c>
      <c r="CQ4494">
        <f t="shared" si="673"/>
        <v>109</v>
      </c>
    </row>
    <row r="4495" spans="94:95">
      <c r="CP4495">
        <f>IF(客户自备加工筐明细!$E495="",0,1)</f>
        <v>0</v>
      </c>
      <c r="CQ4495">
        <f t="shared" si="673"/>
        <v>109</v>
      </c>
    </row>
    <row r="4496" spans="94:95">
      <c r="CP4496">
        <f>IF(客户自备加工筐明细!$E496="",0,1)</f>
        <v>0</v>
      </c>
      <c r="CQ4496">
        <f t="shared" si="673"/>
        <v>109</v>
      </c>
    </row>
    <row r="4497" spans="94:95">
      <c r="CP4497">
        <f>IF(客户自备加工筐明细!$E497="",0,1)</f>
        <v>0</v>
      </c>
      <c r="CQ4497">
        <f t="shared" si="673"/>
        <v>109</v>
      </c>
    </row>
    <row r="4498" spans="94:95">
      <c r="CP4498">
        <f>IF(客户自备加工筐明细!$E498="",0,1)</f>
        <v>0</v>
      </c>
      <c r="CQ4498">
        <f t="shared" si="673"/>
        <v>109</v>
      </c>
    </row>
    <row r="4499" spans="94:95">
      <c r="CP4499">
        <f>IF(客户自备加工筐明细!$E499="",0,1)</f>
        <v>0</v>
      </c>
      <c r="CQ4499">
        <f t="shared" si="673"/>
        <v>109</v>
      </c>
    </row>
    <row r="4500" spans="94:95">
      <c r="CP4500">
        <f>IF(客户自备加工筐明细!$E500="",0,1)</f>
        <v>0</v>
      </c>
      <c r="CQ4500">
        <f t="shared" si="673"/>
        <v>109</v>
      </c>
    </row>
    <row r="4501" spans="94:95">
      <c r="CP4501">
        <f>IF(客户自备加工筐明细!$E501="",0,1)</f>
        <v>0</v>
      </c>
      <c r="CQ4501">
        <f t="shared" si="673"/>
        <v>109</v>
      </c>
    </row>
    <row r="4502" spans="94:95">
      <c r="CP4502">
        <f>IF(客户自备加工筐明细!$E502="",0,1)</f>
        <v>0</v>
      </c>
      <c r="CQ4502">
        <f t="shared" si="673"/>
        <v>109</v>
      </c>
    </row>
    <row r="4503" spans="94:95">
      <c r="CP4503">
        <f>IF(客户自备加工筐明细!$E503="",0,1)</f>
        <v>0</v>
      </c>
      <c r="CQ4503">
        <f t="shared" si="673"/>
        <v>109</v>
      </c>
    </row>
    <row r="4504" spans="94:95">
      <c r="CP4504">
        <f>IF(客户自备加工筐明细!$E504="",0,1)</f>
        <v>0</v>
      </c>
      <c r="CQ4504">
        <f t="shared" si="673"/>
        <v>109</v>
      </c>
    </row>
    <row r="4505" spans="94:95">
      <c r="CP4505">
        <f>IF(客户自备加工筐明细!$E505="",0,1)</f>
        <v>0</v>
      </c>
      <c r="CQ4505">
        <f t="shared" si="673"/>
        <v>109</v>
      </c>
    </row>
    <row r="4506" spans="94:95">
      <c r="CP4506">
        <f>IF(客户自备加工筐明细!$E506="",0,1)</f>
        <v>0</v>
      </c>
      <c r="CQ4506">
        <f t="shared" si="673"/>
        <v>109</v>
      </c>
    </row>
    <row r="4507" spans="94:95">
      <c r="CP4507">
        <f>IF(客户自备加工筐明细!$E507="",0,1)</f>
        <v>0</v>
      </c>
      <c r="CQ4507">
        <f t="shared" si="673"/>
        <v>109</v>
      </c>
    </row>
    <row r="4508" spans="94:95">
      <c r="CP4508">
        <f>IF(客户自备加工筐明细!$E508="",0,1)</f>
        <v>0</v>
      </c>
      <c r="CQ4508">
        <f t="shared" si="673"/>
        <v>109</v>
      </c>
    </row>
    <row r="4509" spans="94:95">
      <c r="CP4509">
        <f>IF(客户自备加工筐明细!$E509="",0,1)</f>
        <v>0</v>
      </c>
      <c r="CQ4509">
        <f t="shared" si="673"/>
        <v>109</v>
      </c>
    </row>
    <row r="4510" spans="94:95">
      <c r="CP4510">
        <f>IF(客户自备加工筐明细!$E510="",0,1)</f>
        <v>0</v>
      </c>
      <c r="CQ4510">
        <f t="shared" si="673"/>
        <v>109</v>
      </c>
    </row>
    <row r="4511" spans="94:95">
      <c r="CP4511">
        <f>IF(客户自备加工筐明细!$E511="",0,1)</f>
        <v>0</v>
      </c>
      <c r="CQ4511">
        <f t="shared" si="673"/>
        <v>109</v>
      </c>
    </row>
    <row r="4512" spans="94:95">
      <c r="CP4512">
        <f>IF(客户自备加工筐明细!$E512="",0,1)</f>
        <v>0</v>
      </c>
      <c r="CQ4512">
        <f t="shared" si="673"/>
        <v>109</v>
      </c>
    </row>
    <row r="4513" spans="94:95">
      <c r="CP4513">
        <f>IF(客户自备加工筐明细!$E513="",0,1)</f>
        <v>0</v>
      </c>
      <c r="CQ4513">
        <f t="shared" si="673"/>
        <v>109</v>
      </c>
    </row>
    <row r="4514" spans="94:95">
      <c r="CP4514">
        <f>IF(客户自备加工筐明细!$E514="",0,1)</f>
        <v>0</v>
      </c>
      <c r="CQ4514">
        <f t="shared" si="673"/>
        <v>109</v>
      </c>
    </row>
    <row r="4515" spans="94:95">
      <c r="CP4515">
        <f>IF(客户自备加工筐明细!$E515="",0,1)</f>
        <v>0</v>
      </c>
      <c r="CQ4515">
        <f t="shared" si="673"/>
        <v>109</v>
      </c>
    </row>
    <row r="4516" spans="94:95">
      <c r="CP4516">
        <f>IF(客户自备加工筐明细!$E516="",0,1)</f>
        <v>0</v>
      </c>
      <c r="CQ4516">
        <f t="shared" si="673"/>
        <v>109</v>
      </c>
    </row>
    <row r="4517" spans="94:95">
      <c r="CP4517">
        <f>IF(客户自备加工筐明细!$E517="",0,1)</f>
        <v>0</v>
      </c>
      <c r="CQ4517">
        <f t="shared" si="673"/>
        <v>109</v>
      </c>
    </row>
    <row r="4518" spans="94:95">
      <c r="CP4518">
        <f>IF(客户自备加工筐明细!$E518="",0,1)</f>
        <v>0</v>
      </c>
      <c r="CQ4518">
        <f t="shared" si="673"/>
        <v>109</v>
      </c>
    </row>
    <row r="4519" spans="94:95">
      <c r="CP4519">
        <f>IF(客户自备加工筐明细!$E519="",0,1)</f>
        <v>0</v>
      </c>
      <c r="CQ4519">
        <f t="shared" si="673"/>
        <v>109</v>
      </c>
    </row>
    <row r="4520" spans="94:95">
      <c r="CP4520">
        <f>IF(客户自备加工筐明细!$E520="",0,1)</f>
        <v>0</v>
      </c>
      <c r="CQ4520">
        <f t="shared" si="673"/>
        <v>109</v>
      </c>
    </row>
    <row r="4521" spans="94:95">
      <c r="CP4521">
        <f>IF(客户自备加工筐明细!$E521="",0,1)</f>
        <v>0</v>
      </c>
      <c r="CQ4521">
        <f t="shared" si="673"/>
        <v>109</v>
      </c>
    </row>
    <row r="4522" spans="94:95">
      <c r="CP4522">
        <f>IF(客户自备加工筐明细!$E522="",0,1)</f>
        <v>0</v>
      </c>
      <c r="CQ4522">
        <f t="shared" si="673"/>
        <v>109</v>
      </c>
    </row>
    <row r="4523" spans="94:95">
      <c r="CP4523">
        <f>IF(客户自备加工筐明细!$E523="",0,1)</f>
        <v>0</v>
      </c>
      <c r="CQ4523">
        <f t="shared" si="673"/>
        <v>109</v>
      </c>
    </row>
    <row r="4524" spans="94:95">
      <c r="CP4524">
        <f>IF(客户自备加工筐明细!$E524="",0,1)</f>
        <v>0</v>
      </c>
      <c r="CQ4524">
        <f t="shared" si="673"/>
        <v>109</v>
      </c>
    </row>
    <row r="4525" spans="94:95">
      <c r="CP4525">
        <f>IF(客户自备加工筐明细!$E525="",0,1)</f>
        <v>0</v>
      </c>
      <c r="CQ4525">
        <f t="shared" si="673"/>
        <v>109</v>
      </c>
    </row>
    <row r="4526" spans="94:95">
      <c r="CP4526">
        <f>IF(客户自备加工筐明细!$E526="",0,1)</f>
        <v>0</v>
      </c>
      <c r="CQ4526">
        <f t="shared" si="673"/>
        <v>109</v>
      </c>
    </row>
    <row r="4527" spans="94:95">
      <c r="CP4527">
        <f>IF(客户自备加工筐明细!$E527="",0,1)</f>
        <v>0</v>
      </c>
      <c r="CQ4527">
        <f t="shared" si="673"/>
        <v>109</v>
      </c>
    </row>
    <row r="4528" spans="94:95">
      <c r="CP4528">
        <f>IF(客户自备加工筐明细!$E528="",0,1)</f>
        <v>0</v>
      </c>
      <c r="CQ4528">
        <f t="shared" si="673"/>
        <v>109</v>
      </c>
    </row>
    <row r="4529" spans="94:95">
      <c r="CP4529">
        <f>IF(客户自备加工筐明细!$E529="",0,1)</f>
        <v>0</v>
      </c>
      <c r="CQ4529">
        <f t="shared" si="673"/>
        <v>109</v>
      </c>
    </row>
    <row r="4530" spans="94:95">
      <c r="CP4530">
        <f>IF(客户自备加工筐明细!$E530="",0,1)</f>
        <v>0</v>
      </c>
      <c r="CQ4530">
        <f t="shared" si="673"/>
        <v>109</v>
      </c>
    </row>
    <row r="4531" spans="94:95">
      <c r="CP4531">
        <f>IF(客户自备加工筐明细!$E531="",0,1)</f>
        <v>0</v>
      </c>
      <c r="CQ4531">
        <f t="shared" si="673"/>
        <v>109</v>
      </c>
    </row>
    <row r="4532" spans="94:95">
      <c r="CP4532">
        <f>IF(客户自备加工筐明细!$E532="",0,1)</f>
        <v>0</v>
      </c>
      <c r="CQ4532">
        <f t="shared" si="673"/>
        <v>109</v>
      </c>
    </row>
    <row r="4533" spans="94:95">
      <c r="CP4533">
        <f>IF(客户自备加工筐明细!$E533="",0,1)</f>
        <v>0</v>
      </c>
      <c r="CQ4533">
        <f t="shared" si="673"/>
        <v>109</v>
      </c>
    </row>
    <row r="4534" spans="94:95">
      <c r="CP4534">
        <f>IF(客户自备加工筐明细!$E534="",0,1)</f>
        <v>0</v>
      </c>
      <c r="CQ4534">
        <f t="shared" si="673"/>
        <v>109</v>
      </c>
    </row>
    <row r="4535" spans="94:95">
      <c r="CP4535">
        <f>IF(客户自备加工筐明细!$E535="",0,1)</f>
        <v>0</v>
      </c>
      <c r="CQ4535">
        <f t="shared" si="673"/>
        <v>109</v>
      </c>
    </row>
    <row r="4536" spans="94:95">
      <c r="CP4536">
        <f>IF(客户自备加工筐明细!$E536="",0,1)</f>
        <v>0</v>
      </c>
      <c r="CQ4536">
        <f t="shared" si="673"/>
        <v>109</v>
      </c>
    </row>
    <row r="4537" spans="94:95">
      <c r="CP4537">
        <f>IF(客户自备加工筐明细!$E537="",0,1)</f>
        <v>0</v>
      </c>
      <c r="CQ4537">
        <f t="shared" si="673"/>
        <v>109</v>
      </c>
    </row>
    <row r="4538" spans="94:95">
      <c r="CP4538">
        <f>IF(客户自备加工筐明细!$E538="",0,1)</f>
        <v>0</v>
      </c>
      <c r="CQ4538">
        <f t="shared" si="673"/>
        <v>109</v>
      </c>
    </row>
    <row r="4539" spans="94:95">
      <c r="CP4539">
        <f>IF(客户自备加工筐明细!$E539="",0,1)</f>
        <v>0</v>
      </c>
      <c r="CQ4539">
        <f t="shared" si="673"/>
        <v>109</v>
      </c>
    </row>
    <row r="4540" spans="94:95">
      <c r="CP4540">
        <f>IF(客户自备加工筐明细!$E540="",0,1)</f>
        <v>0</v>
      </c>
      <c r="CQ4540">
        <f t="shared" si="673"/>
        <v>109</v>
      </c>
    </row>
    <row r="4541" spans="94:95">
      <c r="CP4541">
        <f>IF(客户自备加工筐明细!$E541="",0,1)</f>
        <v>0</v>
      </c>
      <c r="CQ4541">
        <f t="shared" si="673"/>
        <v>109</v>
      </c>
    </row>
    <row r="4542" spans="94:95">
      <c r="CP4542">
        <f>IF(客户自备加工筐明细!$E542="",0,1)</f>
        <v>0</v>
      </c>
      <c r="CQ4542">
        <f t="shared" si="673"/>
        <v>109</v>
      </c>
    </row>
    <row r="4543" spans="94:95">
      <c r="CP4543">
        <f>IF(客户自备加工筐明细!$E543="",0,1)</f>
        <v>0</v>
      </c>
      <c r="CQ4543">
        <f t="shared" si="673"/>
        <v>109</v>
      </c>
    </row>
    <row r="4544" spans="94:95">
      <c r="CP4544">
        <f>IF(客户自备加工筐明细!$E544="",0,1)</f>
        <v>0</v>
      </c>
      <c r="CQ4544">
        <f t="shared" si="673"/>
        <v>109</v>
      </c>
    </row>
    <row r="4545" spans="94:95">
      <c r="CP4545">
        <f>IF(客户自备加工筐明细!$E545="",0,1)</f>
        <v>0</v>
      </c>
      <c r="CQ4545">
        <f t="shared" si="673"/>
        <v>109</v>
      </c>
    </row>
    <row r="4546" spans="94:95">
      <c r="CP4546">
        <f>IF(客户自备加工筐明细!$E546="",0,1)</f>
        <v>0</v>
      </c>
      <c r="CQ4546">
        <f t="shared" si="673"/>
        <v>109</v>
      </c>
    </row>
    <row r="4547" spans="94:95">
      <c r="CP4547">
        <f>IF(客户自备加工筐明细!$E547="",0,1)</f>
        <v>0</v>
      </c>
      <c r="CQ4547">
        <f t="shared" si="673"/>
        <v>109</v>
      </c>
    </row>
    <row r="4548" spans="94:95">
      <c r="CP4548">
        <f>IF(客户自备加工筐明细!$E548="",0,1)</f>
        <v>0</v>
      </c>
      <c r="CQ4548">
        <f t="shared" ref="CQ4548:CQ4611" si="674">N(CQ4547)+$CP4548</f>
        <v>109</v>
      </c>
    </row>
    <row r="4549" spans="94:95">
      <c r="CP4549">
        <f>IF(客户自备加工筐明细!$E549="",0,1)</f>
        <v>0</v>
      </c>
      <c r="CQ4549">
        <f t="shared" si="674"/>
        <v>109</v>
      </c>
    </row>
    <row r="4550" spans="94:95">
      <c r="CP4550">
        <f>IF(客户自备加工筐明细!$E550="",0,1)</f>
        <v>0</v>
      </c>
      <c r="CQ4550">
        <f t="shared" si="674"/>
        <v>109</v>
      </c>
    </row>
    <row r="4551" spans="94:95">
      <c r="CP4551">
        <f>IF(客户自备加工筐明细!$E551="",0,1)</f>
        <v>0</v>
      </c>
      <c r="CQ4551">
        <f t="shared" si="674"/>
        <v>109</v>
      </c>
    </row>
    <row r="4552" spans="94:95">
      <c r="CP4552">
        <f>IF(客户自备加工筐明细!$E552="",0,1)</f>
        <v>0</v>
      </c>
      <c r="CQ4552">
        <f t="shared" si="674"/>
        <v>109</v>
      </c>
    </row>
    <row r="4553" spans="94:95">
      <c r="CP4553">
        <f>IF(客户自备加工筐明细!$E553="",0,1)</f>
        <v>0</v>
      </c>
      <c r="CQ4553">
        <f t="shared" si="674"/>
        <v>109</v>
      </c>
    </row>
    <row r="4554" spans="94:95">
      <c r="CP4554">
        <f>IF(客户自备加工筐明细!$E554="",0,1)</f>
        <v>0</v>
      </c>
      <c r="CQ4554">
        <f t="shared" si="674"/>
        <v>109</v>
      </c>
    </row>
    <row r="4555" spans="94:95">
      <c r="CP4555">
        <f>IF(客户自备加工筐明细!$E555="",0,1)</f>
        <v>0</v>
      </c>
      <c r="CQ4555">
        <f t="shared" si="674"/>
        <v>109</v>
      </c>
    </row>
    <row r="4556" spans="94:95">
      <c r="CP4556">
        <f>IF(客户自备加工筐明细!$E556="",0,1)</f>
        <v>0</v>
      </c>
      <c r="CQ4556">
        <f t="shared" si="674"/>
        <v>109</v>
      </c>
    </row>
    <row r="4557" spans="94:95">
      <c r="CP4557">
        <f>IF(客户自备加工筐明细!$E557="",0,1)</f>
        <v>0</v>
      </c>
      <c r="CQ4557">
        <f t="shared" si="674"/>
        <v>109</v>
      </c>
    </row>
    <row r="4558" spans="94:95">
      <c r="CP4558">
        <f>IF(客户自备加工筐明细!$E558="",0,1)</f>
        <v>0</v>
      </c>
      <c r="CQ4558">
        <f t="shared" si="674"/>
        <v>109</v>
      </c>
    </row>
    <row r="4559" spans="94:95">
      <c r="CP4559">
        <f>IF(客户自备加工筐明细!$E559="",0,1)</f>
        <v>0</v>
      </c>
      <c r="CQ4559">
        <f t="shared" si="674"/>
        <v>109</v>
      </c>
    </row>
    <row r="4560" spans="94:95">
      <c r="CP4560">
        <f>IF(客户自备加工筐明细!$E560="",0,1)</f>
        <v>0</v>
      </c>
      <c r="CQ4560">
        <f t="shared" si="674"/>
        <v>109</v>
      </c>
    </row>
    <row r="4561" spans="94:95">
      <c r="CP4561">
        <f>IF(客户自备加工筐明细!$E561="",0,1)</f>
        <v>0</v>
      </c>
      <c r="CQ4561">
        <f t="shared" si="674"/>
        <v>109</v>
      </c>
    </row>
    <row r="4562" spans="94:95">
      <c r="CP4562">
        <f>IF(客户自备加工筐明细!$E562="",0,1)</f>
        <v>0</v>
      </c>
      <c r="CQ4562">
        <f t="shared" si="674"/>
        <v>109</v>
      </c>
    </row>
    <row r="4563" spans="94:95">
      <c r="CP4563">
        <f>IF(客户自备加工筐明细!$E563="",0,1)</f>
        <v>0</v>
      </c>
      <c r="CQ4563">
        <f t="shared" si="674"/>
        <v>109</v>
      </c>
    </row>
    <row r="4564" spans="94:95">
      <c r="CP4564">
        <f>IF(客户自备加工筐明细!$E564="",0,1)</f>
        <v>0</v>
      </c>
      <c r="CQ4564">
        <f t="shared" si="674"/>
        <v>109</v>
      </c>
    </row>
    <row r="4565" spans="94:95">
      <c r="CP4565">
        <f>IF(客户自备加工筐明细!$E565="",0,1)</f>
        <v>0</v>
      </c>
      <c r="CQ4565">
        <f t="shared" si="674"/>
        <v>109</v>
      </c>
    </row>
    <row r="4566" spans="94:95">
      <c r="CP4566">
        <f>IF(客户自备加工筐明细!$E566="",0,1)</f>
        <v>0</v>
      </c>
      <c r="CQ4566">
        <f t="shared" si="674"/>
        <v>109</v>
      </c>
    </row>
    <row r="4567" spans="94:95">
      <c r="CP4567">
        <f>IF(客户自备加工筐明细!$E567="",0,1)</f>
        <v>0</v>
      </c>
      <c r="CQ4567">
        <f t="shared" si="674"/>
        <v>109</v>
      </c>
    </row>
    <row r="4568" spans="94:95">
      <c r="CP4568">
        <f>IF(客户自备加工筐明细!$E568="",0,1)</f>
        <v>0</v>
      </c>
      <c r="CQ4568">
        <f t="shared" si="674"/>
        <v>109</v>
      </c>
    </row>
    <row r="4569" spans="94:95">
      <c r="CP4569">
        <f>IF(客户自备加工筐明细!$E569="",0,1)</f>
        <v>0</v>
      </c>
      <c r="CQ4569">
        <f t="shared" si="674"/>
        <v>109</v>
      </c>
    </row>
    <row r="4570" spans="94:95">
      <c r="CP4570">
        <f>IF(客户自备加工筐明细!$E570="",0,1)</f>
        <v>0</v>
      </c>
      <c r="CQ4570">
        <f t="shared" si="674"/>
        <v>109</v>
      </c>
    </row>
    <row r="4571" spans="94:95">
      <c r="CP4571">
        <f>IF(客户自备加工筐明细!$E571="",0,1)</f>
        <v>0</v>
      </c>
      <c r="CQ4571">
        <f t="shared" si="674"/>
        <v>109</v>
      </c>
    </row>
    <row r="4572" spans="94:95">
      <c r="CP4572">
        <f>IF(客户自备加工筐明细!$E572="",0,1)</f>
        <v>0</v>
      </c>
      <c r="CQ4572">
        <f t="shared" si="674"/>
        <v>109</v>
      </c>
    </row>
    <row r="4573" spans="94:95">
      <c r="CP4573">
        <f>IF(客户自备加工筐明细!$E573="",0,1)</f>
        <v>0</v>
      </c>
      <c r="CQ4573">
        <f t="shared" si="674"/>
        <v>109</v>
      </c>
    </row>
    <row r="4574" spans="94:95">
      <c r="CP4574">
        <f>IF(客户自备加工筐明细!$E574="",0,1)</f>
        <v>0</v>
      </c>
      <c r="CQ4574">
        <f t="shared" si="674"/>
        <v>109</v>
      </c>
    </row>
    <row r="4575" spans="94:95">
      <c r="CP4575">
        <f>IF(客户自备加工筐明细!$E575="",0,1)</f>
        <v>0</v>
      </c>
      <c r="CQ4575">
        <f t="shared" si="674"/>
        <v>109</v>
      </c>
    </row>
    <row r="4576" spans="94:95">
      <c r="CP4576">
        <f>IF(客户自备加工筐明细!$E576="",0,1)</f>
        <v>0</v>
      </c>
      <c r="CQ4576">
        <f t="shared" si="674"/>
        <v>109</v>
      </c>
    </row>
    <row r="4577" spans="94:95">
      <c r="CP4577">
        <f>IF(客户自备加工筐明细!$E577="",0,1)</f>
        <v>0</v>
      </c>
      <c r="CQ4577">
        <f t="shared" si="674"/>
        <v>109</v>
      </c>
    </row>
    <row r="4578" spans="94:95">
      <c r="CP4578">
        <f>IF(客户自备加工筐明细!$E578="",0,1)</f>
        <v>0</v>
      </c>
      <c r="CQ4578">
        <f t="shared" si="674"/>
        <v>109</v>
      </c>
    </row>
    <row r="4579" spans="94:95">
      <c r="CP4579">
        <f>IF(客户自备加工筐明细!$E579="",0,1)</f>
        <v>0</v>
      </c>
      <c r="CQ4579">
        <f t="shared" si="674"/>
        <v>109</v>
      </c>
    </row>
    <row r="4580" spans="94:95">
      <c r="CP4580">
        <f>IF(客户自备加工筐明细!$E580="",0,1)</f>
        <v>0</v>
      </c>
      <c r="CQ4580">
        <f t="shared" si="674"/>
        <v>109</v>
      </c>
    </row>
    <row r="4581" spans="94:95">
      <c r="CP4581">
        <f>IF(客户自备加工筐明细!$E581="",0,1)</f>
        <v>0</v>
      </c>
      <c r="CQ4581">
        <f t="shared" si="674"/>
        <v>109</v>
      </c>
    </row>
    <row r="4582" spans="94:95">
      <c r="CP4582">
        <f>IF(客户自备加工筐明细!$E582="",0,1)</f>
        <v>0</v>
      </c>
      <c r="CQ4582">
        <f t="shared" si="674"/>
        <v>109</v>
      </c>
    </row>
    <row r="4583" spans="94:95">
      <c r="CP4583">
        <f>IF(客户自备加工筐明细!$E583="",0,1)</f>
        <v>0</v>
      </c>
      <c r="CQ4583">
        <f t="shared" si="674"/>
        <v>109</v>
      </c>
    </row>
    <row r="4584" spans="94:95">
      <c r="CP4584">
        <f>IF(客户自备加工筐明细!$E584="",0,1)</f>
        <v>0</v>
      </c>
      <c r="CQ4584">
        <f t="shared" si="674"/>
        <v>109</v>
      </c>
    </row>
    <row r="4585" spans="94:95">
      <c r="CP4585">
        <f>IF(客户自备加工筐明细!$E585="",0,1)</f>
        <v>0</v>
      </c>
      <c r="CQ4585">
        <f t="shared" si="674"/>
        <v>109</v>
      </c>
    </row>
    <row r="4586" spans="94:95">
      <c r="CP4586">
        <f>IF(客户自备加工筐明细!$E586="",0,1)</f>
        <v>0</v>
      </c>
      <c r="CQ4586">
        <f t="shared" si="674"/>
        <v>109</v>
      </c>
    </row>
    <row r="4587" spans="94:95">
      <c r="CP4587">
        <f>IF(客户自备加工筐明细!$E587="",0,1)</f>
        <v>0</v>
      </c>
      <c r="CQ4587">
        <f t="shared" si="674"/>
        <v>109</v>
      </c>
    </row>
    <row r="4588" spans="94:95">
      <c r="CP4588">
        <f>IF(客户自备加工筐明细!$E588="",0,1)</f>
        <v>0</v>
      </c>
      <c r="CQ4588">
        <f t="shared" si="674"/>
        <v>109</v>
      </c>
    </row>
    <row r="4589" spans="94:95">
      <c r="CP4589">
        <f>IF(客户自备加工筐明细!$E589="",0,1)</f>
        <v>0</v>
      </c>
      <c r="CQ4589">
        <f t="shared" si="674"/>
        <v>109</v>
      </c>
    </row>
    <row r="4590" spans="94:95">
      <c r="CP4590">
        <f>IF(客户自备加工筐明细!$E590="",0,1)</f>
        <v>0</v>
      </c>
      <c r="CQ4590">
        <f t="shared" si="674"/>
        <v>109</v>
      </c>
    </row>
    <row r="4591" spans="94:95">
      <c r="CP4591">
        <f>IF(客户自备加工筐明细!$E591="",0,1)</f>
        <v>0</v>
      </c>
      <c r="CQ4591">
        <f t="shared" si="674"/>
        <v>109</v>
      </c>
    </row>
    <row r="4592" spans="94:95">
      <c r="CP4592">
        <f>IF(客户自备加工筐明细!$E592="",0,1)</f>
        <v>0</v>
      </c>
      <c r="CQ4592">
        <f t="shared" si="674"/>
        <v>109</v>
      </c>
    </row>
    <row r="4593" spans="94:95">
      <c r="CP4593">
        <f>IF(客户自备加工筐明细!$E593="",0,1)</f>
        <v>0</v>
      </c>
      <c r="CQ4593">
        <f t="shared" si="674"/>
        <v>109</v>
      </c>
    </row>
    <row r="4594" spans="94:95">
      <c r="CP4594">
        <f>IF(客户自备加工筐明细!$E594="",0,1)</f>
        <v>0</v>
      </c>
      <c r="CQ4594">
        <f t="shared" si="674"/>
        <v>109</v>
      </c>
    </row>
    <row r="4595" spans="94:95">
      <c r="CP4595">
        <f>IF(客户自备加工筐明细!$E595="",0,1)</f>
        <v>0</v>
      </c>
      <c r="CQ4595">
        <f t="shared" si="674"/>
        <v>109</v>
      </c>
    </row>
    <row r="4596" spans="94:95">
      <c r="CP4596">
        <f>IF(客户自备加工筐明细!$E596="",0,1)</f>
        <v>0</v>
      </c>
      <c r="CQ4596">
        <f t="shared" si="674"/>
        <v>109</v>
      </c>
    </row>
    <row r="4597" spans="94:95">
      <c r="CP4597">
        <f>IF(客户自备加工筐明细!$E597="",0,1)</f>
        <v>0</v>
      </c>
      <c r="CQ4597">
        <f t="shared" si="674"/>
        <v>109</v>
      </c>
    </row>
    <row r="4598" spans="94:95">
      <c r="CP4598">
        <f>IF(客户自备加工筐明细!$E598="",0,1)</f>
        <v>0</v>
      </c>
      <c r="CQ4598">
        <f t="shared" si="674"/>
        <v>109</v>
      </c>
    </row>
    <row r="4599" spans="94:95">
      <c r="CP4599">
        <f>IF(客户自备加工筐明细!$E599="",0,1)</f>
        <v>0</v>
      </c>
      <c r="CQ4599">
        <f t="shared" si="674"/>
        <v>109</v>
      </c>
    </row>
    <row r="4600" spans="94:95">
      <c r="CP4600">
        <f>IF(客户自备加工筐明细!$E600="",0,1)</f>
        <v>0</v>
      </c>
      <c r="CQ4600">
        <f t="shared" si="674"/>
        <v>109</v>
      </c>
    </row>
    <row r="4601" spans="94:95">
      <c r="CP4601">
        <f>IF(客户自备加工筐明细!$E601="",0,1)</f>
        <v>0</v>
      </c>
      <c r="CQ4601">
        <f t="shared" si="674"/>
        <v>109</v>
      </c>
    </row>
    <row r="4602" spans="94:95">
      <c r="CP4602">
        <f>IF(客户自备加工筐明细!$E602="",0,1)</f>
        <v>0</v>
      </c>
      <c r="CQ4602">
        <f t="shared" si="674"/>
        <v>109</v>
      </c>
    </row>
    <row r="4603" spans="94:95">
      <c r="CP4603">
        <f>IF(客户自备加工筐明细!$E603="",0,1)</f>
        <v>0</v>
      </c>
      <c r="CQ4603">
        <f t="shared" si="674"/>
        <v>109</v>
      </c>
    </row>
    <row r="4604" spans="94:95">
      <c r="CP4604">
        <f>IF(客户自备加工筐明细!$E604="",0,1)</f>
        <v>0</v>
      </c>
      <c r="CQ4604">
        <f t="shared" si="674"/>
        <v>109</v>
      </c>
    </row>
    <row r="4605" spans="94:95">
      <c r="CP4605">
        <f>IF(客户自备加工筐明细!$E605="",0,1)</f>
        <v>0</v>
      </c>
      <c r="CQ4605">
        <f t="shared" si="674"/>
        <v>109</v>
      </c>
    </row>
    <row r="4606" spans="94:95">
      <c r="CP4606">
        <f>IF(客户自备加工筐明细!$E606="",0,1)</f>
        <v>0</v>
      </c>
      <c r="CQ4606">
        <f t="shared" si="674"/>
        <v>109</v>
      </c>
    </row>
    <row r="4607" spans="94:95">
      <c r="CP4607">
        <f>IF(客户自备加工筐明细!$E607="",0,1)</f>
        <v>0</v>
      </c>
      <c r="CQ4607">
        <f t="shared" si="674"/>
        <v>109</v>
      </c>
    </row>
    <row r="4608" spans="94:95">
      <c r="CP4608">
        <f>IF(客户自备加工筐明细!$E608="",0,1)</f>
        <v>0</v>
      </c>
      <c r="CQ4608">
        <f t="shared" si="674"/>
        <v>109</v>
      </c>
    </row>
    <row r="4609" spans="94:95">
      <c r="CP4609">
        <f>IF(客户自备加工筐明细!$E609="",0,1)</f>
        <v>0</v>
      </c>
      <c r="CQ4609">
        <f t="shared" si="674"/>
        <v>109</v>
      </c>
    </row>
    <row r="4610" spans="94:95">
      <c r="CP4610">
        <f>IF(客户自备加工筐明细!$E610="",0,1)</f>
        <v>0</v>
      </c>
      <c r="CQ4610">
        <f t="shared" si="674"/>
        <v>109</v>
      </c>
    </row>
    <row r="4611" spans="94:95">
      <c r="CP4611">
        <f>IF(客户自备加工筐明细!$E611="",0,1)</f>
        <v>0</v>
      </c>
      <c r="CQ4611">
        <f t="shared" si="674"/>
        <v>109</v>
      </c>
    </row>
    <row r="4612" spans="94:95">
      <c r="CP4612">
        <f>IF(客户自备加工筐明细!$E612="",0,1)</f>
        <v>0</v>
      </c>
      <c r="CQ4612">
        <f t="shared" ref="CQ4612:CQ4675" si="675">N(CQ4611)+$CP4612</f>
        <v>109</v>
      </c>
    </row>
    <row r="4613" spans="94:95">
      <c r="CP4613">
        <f>IF(客户自备加工筐明细!$E613="",0,1)</f>
        <v>0</v>
      </c>
      <c r="CQ4613">
        <f t="shared" si="675"/>
        <v>109</v>
      </c>
    </row>
    <row r="4614" spans="94:95">
      <c r="CP4614">
        <f>IF(客户自备加工筐明细!$E614="",0,1)</f>
        <v>0</v>
      </c>
      <c r="CQ4614">
        <f t="shared" si="675"/>
        <v>109</v>
      </c>
    </row>
    <row r="4615" spans="94:95">
      <c r="CP4615">
        <f>IF(客户自备加工筐明细!$E615="",0,1)</f>
        <v>0</v>
      </c>
      <c r="CQ4615">
        <f t="shared" si="675"/>
        <v>109</v>
      </c>
    </row>
    <row r="4616" spans="94:95">
      <c r="CP4616">
        <f>IF(客户自备加工筐明细!$E616="",0,1)</f>
        <v>0</v>
      </c>
      <c r="CQ4616">
        <f t="shared" si="675"/>
        <v>109</v>
      </c>
    </row>
    <row r="4617" spans="94:95">
      <c r="CP4617">
        <f>IF(客户自备加工筐明细!$E617="",0,1)</f>
        <v>0</v>
      </c>
      <c r="CQ4617">
        <f t="shared" si="675"/>
        <v>109</v>
      </c>
    </row>
    <row r="4618" spans="94:95">
      <c r="CP4618">
        <f>IF(客户自备加工筐明细!$E618="",0,1)</f>
        <v>0</v>
      </c>
      <c r="CQ4618">
        <f t="shared" si="675"/>
        <v>109</v>
      </c>
    </row>
    <row r="4619" spans="94:95">
      <c r="CP4619">
        <f>IF(客户自备加工筐明细!$E619="",0,1)</f>
        <v>0</v>
      </c>
      <c r="CQ4619">
        <f t="shared" si="675"/>
        <v>109</v>
      </c>
    </row>
    <row r="4620" spans="94:95">
      <c r="CP4620">
        <f>IF(客户自备加工筐明细!$E620="",0,1)</f>
        <v>0</v>
      </c>
      <c r="CQ4620">
        <f t="shared" si="675"/>
        <v>109</v>
      </c>
    </row>
    <row r="4621" spans="94:95">
      <c r="CP4621">
        <f>IF(客户自备加工筐明细!$E621="",0,1)</f>
        <v>0</v>
      </c>
      <c r="CQ4621">
        <f t="shared" si="675"/>
        <v>109</v>
      </c>
    </row>
    <row r="4622" spans="94:95">
      <c r="CP4622">
        <f>IF(客户自备加工筐明细!$E622="",0,1)</f>
        <v>0</v>
      </c>
      <c r="CQ4622">
        <f t="shared" si="675"/>
        <v>109</v>
      </c>
    </row>
    <row r="4623" spans="94:95">
      <c r="CP4623">
        <f>IF(客户自备加工筐明细!$E623="",0,1)</f>
        <v>0</v>
      </c>
      <c r="CQ4623">
        <f t="shared" si="675"/>
        <v>109</v>
      </c>
    </row>
    <row r="4624" spans="94:95">
      <c r="CP4624">
        <f>IF(客户自备加工筐明细!$E624="",0,1)</f>
        <v>0</v>
      </c>
      <c r="CQ4624">
        <f t="shared" si="675"/>
        <v>109</v>
      </c>
    </row>
    <row r="4625" spans="94:95">
      <c r="CP4625">
        <f>IF(客户自备加工筐明细!$E625="",0,1)</f>
        <v>0</v>
      </c>
      <c r="CQ4625">
        <f t="shared" si="675"/>
        <v>109</v>
      </c>
    </row>
    <row r="4626" spans="94:95">
      <c r="CP4626">
        <f>IF(客户自备加工筐明细!$E626="",0,1)</f>
        <v>0</v>
      </c>
      <c r="CQ4626">
        <f t="shared" si="675"/>
        <v>109</v>
      </c>
    </row>
    <row r="4627" spans="94:95">
      <c r="CP4627">
        <f>IF(客户自备加工筐明细!$E627="",0,1)</f>
        <v>0</v>
      </c>
      <c r="CQ4627">
        <f t="shared" si="675"/>
        <v>109</v>
      </c>
    </row>
    <row r="4628" spans="94:95">
      <c r="CP4628">
        <f>IF(客户自备加工筐明细!$E628="",0,1)</f>
        <v>0</v>
      </c>
      <c r="CQ4628">
        <f t="shared" si="675"/>
        <v>109</v>
      </c>
    </row>
    <row r="4629" spans="94:95">
      <c r="CP4629">
        <f>IF(客户自备加工筐明细!$E629="",0,1)</f>
        <v>0</v>
      </c>
      <c r="CQ4629">
        <f t="shared" si="675"/>
        <v>109</v>
      </c>
    </row>
    <row r="4630" spans="94:95">
      <c r="CP4630">
        <f>IF(客户自备加工筐明细!$E630="",0,1)</f>
        <v>0</v>
      </c>
      <c r="CQ4630">
        <f t="shared" si="675"/>
        <v>109</v>
      </c>
    </row>
    <row r="4631" spans="94:95">
      <c r="CP4631">
        <f>IF(客户自备加工筐明细!$E631="",0,1)</f>
        <v>0</v>
      </c>
      <c r="CQ4631">
        <f t="shared" si="675"/>
        <v>109</v>
      </c>
    </row>
    <row r="4632" spans="94:95">
      <c r="CP4632">
        <f>IF(客户自备加工筐明细!$E632="",0,1)</f>
        <v>0</v>
      </c>
      <c r="CQ4632">
        <f t="shared" si="675"/>
        <v>109</v>
      </c>
    </row>
    <row r="4633" spans="94:95">
      <c r="CP4633">
        <f>IF(客户自备加工筐明细!$E633="",0,1)</f>
        <v>0</v>
      </c>
      <c r="CQ4633">
        <f t="shared" si="675"/>
        <v>109</v>
      </c>
    </row>
    <row r="4634" spans="94:95">
      <c r="CP4634">
        <f>IF(客户自备加工筐明细!$E634="",0,1)</f>
        <v>0</v>
      </c>
      <c r="CQ4634">
        <f t="shared" si="675"/>
        <v>109</v>
      </c>
    </row>
    <row r="4635" spans="94:95">
      <c r="CP4635">
        <f>IF(客户自备加工筐明细!$E635="",0,1)</f>
        <v>0</v>
      </c>
      <c r="CQ4635">
        <f t="shared" si="675"/>
        <v>109</v>
      </c>
    </row>
    <row r="4636" spans="94:95">
      <c r="CP4636">
        <f>IF(客户自备加工筐明细!$E636="",0,1)</f>
        <v>0</v>
      </c>
      <c r="CQ4636">
        <f t="shared" si="675"/>
        <v>109</v>
      </c>
    </row>
    <row r="4637" spans="94:95">
      <c r="CP4637">
        <f>IF(客户自备加工筐明细!$E637="",0,1)</f>
        <v>0</v>
      </c>
      <c r="CQ4637">
        <f t="shared" si="675"/>
        <v>109</v>
      </c>
    </row>
    <row r="4638" spans="94:95">
      <c r="CP4638">
        <f>IF(客户自备加工筐明细!$E638="",0,1)</f>
        <v>0</v>
      </c>
      <c r="CQ4638">
        <f t="shared" si="675"/>
        <v>109</v>
      </c>
    </row>
    <row r="4639" spans="94:95">
      <c r="CP4639">
        <f>IF(客户自备加工筐明细!$E639="",0,1)</f>
        <v>0</v>
      </c>
      <c r="CQ4639">
        <f t="shared" si="675"/>
        <v>109</v>
      </c>
    </row>
    <row r="4640" spans="94:95">
      <c r="CP4640">
        <f>IF(客户自备加工筐明细!$E640="",0,1)</f>
        <v>0</v>
      </c>
      <c r="CQ4640">
        <f t="shared" si="675"/>
        <v>109</v>
      </c>
    </row>
    <row r="4641" spans="94:95">
      <c r="CP4641">
        <f>IF(客户自备加工筐明细!$E641="",0,1)</f>
        <v>0</v>
      </c>
      <c r="CQ4641">
        <f t="shared" si="675"/>
        <v>109</v>
      </c>
    </row>
    <row r="4642" spans="94:95">
      <c r="CP4642">
        <f>IF(客户自备加工筐明细!$E642="",0,1)</f>
        <v>0</v>
      </c>
      <c r="CQ4642">
        <f t="shared" si="675"/>
        <v>109</v>
      </c>
    </row>
    <row r="4643" spans="94:95">
      <c r="CP4643">
        <f>IF(客户自备加工筐明细!$E643="",0,1)</f>
        <v>0</v>
      </c>
      <c r="CQ4643">
        <f t="shared" si="675"/>
        <v>109</v>
      </c>
    </row>
    <row r="4644" spans="94:95">
      <c r="CP4644">
        <f>IF(客户自备加工筐明细!$E644="",0,1)</f>
        <v>0</v>
      </c>
      <c r="CQ4644">
        <f t="shared" si="675"/>
        <v>109</v>
      </c>
    </row>
    <row r="4645" spans="94:95">
      <c r="CP4645">
        <f>IF(客户自备加工筐明细!$E645="",0,1)</f>
        <v>0</v>
      </c>
      <c r="CQ4645">
        <f t="shared" si="675"/>
        <v>109</v>
      </c>
    </row>
    <row r="4646" spans="94:95">
      <c r="CP4646">
        <f>IF(客户自备加工筐明细!$E646="",0,1)</f>
        <v>0</v>
      </c>
      <c r="CQ4646">
        <f t="shared" si="675"/>
        <v>109</v>
      </c>
    </row>
    <row r="4647" spans="94:95">
      <c r="CP4647">
        <f>IF(客户自备加工筐明细!$E647="",0,1)</f>
        <v>0</v>
      </c>
      <c r="CQ4647">
        <f t="shared" si="675"/>
        <v>109</v>
      </c>
    </row>
    <row r="4648" spans="94:95">
      <c r="CP4648">
        <f>IF(客户自备加工筐明细!$E648="",0,1)</f>
        <v>0</v>
      </c>
      <c r="CQ4648">
        <f t="shared" si="675"/>
        <v>109</v>
      </c>
    </row>
    <row r="4649" spans="94:95">
      <c r="CP4649">
        <f>IF(客户自备加工筐明细!$E649="",0,1)</f>
        <v>0</v>
      </c>
      <c r="CQ4649">
        <f t="shared" si="675"/>
        <v>109</v>
      </c>
    </row>
    <row r="4650" spans="94:95">
      <c r="CP4650">
        <f>IF(客户自备加工筐明细!$E650="",0,1)</f>
        <v>0</v>
      </c>
      <c r="CQ4650">
        <f t="shared" si="675"/>
        <v>109</v>
      </c>
    </row>
    <row r="4651" spans="94:95">
      <c r="CP4651">
        <f>IF(客户自备加工筐明细!$E651="",0,1)</f>
        <v>0</v>
      </c>
      <c r="CQ4651">
        <f t="shared" si="675"/>
        <v>109</v>
      </c>
    </row>
    <row r="4652" spans="94:95">
      <c r="CP4652">
        <f>IF(客户自备加工筐明细!$E652="",0,1)</f>
        <v>0</v>
      </c>
      <c r="CQ4652">
        <f t="shared" si="675"/>
        <v>109</v>
      </c>
    </row>
    <row r="4653" spans="94:95">
      <c r="CP4653">
        <f>IF(客户自备加工筐明细!$E653="",0,1)</f>
        <v>0</v>
      </c>
      <c r="CQ4653">
        <f t="shared" si="675"/>
        <v>109</v>
      </c>
    </row>
    <row r="4654" spans="94:95">
      <c r="CP4654">
        <f>IF(客户自备加工筐明细!$E654="",0,1)</f>
        <v>0</v>
      </c>
      <c r="CQ4654">
        <f t="shared" si="675"/>
        <v>109</v>
      </c>
    </row>
    <row r="4655" spans="94:95">
      <c r="CP4655">
        <f>IF(客户自备加工筐明细!$E655="",0,1)</f>
        <v>0</v>
      </c>
      <c r="CQ4655">
        <f t="shared" si="675"/>
        <v>109</v>
      </c>
    </row>
    <row r="4656" spans="94:95">
      <c r="CP4656">
        <f>IF(客户自备加工筐明细!$E656="",0,1)</f>
        <v>0</v>
      </c>
      <c r="CQ4656">
        <f t="shared" si="675"/>
        <v>109</v>
      </c>
    </row>
    <row r="4657" spans="94:95">
      <c r="CP4657">
        <f>IF(客户自备加工筐明细!$E657="",0,1)</f>
        <v>0</v>
      </c>
      <c r="CQ4657">
        <f t="shared" si="675"/>
        <v>109</v>
      </c>
    </row>
    <row r="4658" spans="94:95">
      <c r="CP4658">
        <f>IF(客户自备加工筐明细!$E658="",0,1)</f>
        <v>0</v>
      </c>
      <c r="CQ4658">
        <f t="shared" si="675"/>
        <v>109</v>
      </c>
    </row>
    <row r="4659" spans="94:95">
      <c r="CP4659">
        <f>IF(客户自备加工筐明细!$E659="",0,1)</f>
        <v>0</v>
      </c>
      <c r="CQ4659">
        <f t="shared" si="675"/>
        <v>109</v>
      </c>
    </row>
    <row r="4660" spans="94:95">
      <c r="CP4660">
        <f>IF(客户自备加工筐明细!$E660="",0,1)</f>
        <v>0</v>
      </c>
      <c r="CQ4660">
        <f t="shared" si="675"/>
        <v>109</v>
      </c>
    </row>
    <row r="4661" spans="94:95">
      <c r="CP4661">
        <f>IF(客户自备加工筐明细!$E661="",0,1)</f>
        <v>0</v>
      </c>
      <c r="CQ4661">
        <f t="shared" si="675"/>
        <v>109</v>
      </c>
    </row>
    <row r="4662" spans="94:95">
      <c r="CP4662">
        <f>IF(客户自备加工筐明细!$E662="",0,1)</f>
        <v>0</v>
      </c>
      <c r="CQ4662">
        <f t="shared" si="675"/>
        <v>109</v>
      </c>
    </row>
    <row r="4663" spans="94:95">
      <c r="CP4663">
        <f>IF(客户自备加工筐明细!$E663="",0,1)</f>
        <v>0</v>
      </c>
      <c r="CQ4663">
        <f t="shared" si="675"/>
        <v>109</v>
      </c>
    </row>
    <row r="4664" spans="94:95">
      <c r="CP4664">
        <f>IF(客户自备加工筐明细!$E664="",0,1)</f>
        <v>0</v>
      </c>
      <c r="CQ4664">
        <f t="shared" si="675"/>
        <v>109</v>
      </c>
    </row>
    <row r="4665" spans="94:95">
      <c r="CP4665">
        <f>IF(客户自备加工筐明细!$E665="",0,1)</f>
        <v>0</v>
      </c>
      <c r="CQ4665">
        <f t="shared" si="675"/>
        <v>109</v>
      </c>
    </row>
    <row r="4666" spans="94:95">
      <c r="CP4666">
        <f>IF(客户自备加工筐明细!$E666="",0,1)</f>
        <v>0</v>
      </c>
      <c r="CQ4666">
        <f t="shared" si="675"/>
        <v>109</v>
      </c>
    </row>
    <row r="4667" spans="94:95">
      <c r="CP4667">
        <f>IF(客户自备加工筐明细!$E667="",0,1)</f>
        <v>0</v>
      </c>
      <c r="CQ4667">
        <f t="shared" si="675"/>
        <v>109</v>
      </c>
    </row>
    <row r="4668" spans="94:95">
      <c r="CP4668">
        <f>IF(客户自备加工筐明细!$E668="",0,1)</f>
        <v>0</v>
      </c>
      <c r="CQ4668">
        <f t="shared" si="675"/>
        <v>109</v>
      </c>
    </row>
    <row r="4669" spans="94:95">
      <c r="CP4669">
        <f>IF(客户自备加工筐明细!$E669="",0,1)</f>
        <v>0</v>
      </c>
      <c r="CQ4669">
        <f t="shared" si="675"/>
        <v>109</v>
      </c>
    </row>
    <row r="4670" spans="94:95">
      <c r="CP4670">
        <f>IF(客户自备加工筐明细!$E670="",0,1)</f>
        <v>0</v>
      </c>
      <c r="CQ4670">
        <f t="shared" si="675"/>
        <v>109</v>
      </c>
    </row>
    <row r="4671" spans="94:95">
      <c r="CP4671">
        <f>IF(客户自备加工筐明细!$E671="",0,1)</f>
        <v>0</v>
      </c>
      <c r="CQ4671">
        <f t="shared" si="675"/>
        <v>109</v>
      </c>
    </row>
    <row r="4672" spans="94:95">
      <c r="CP4672">
        <f>IF(客户自备加工筐明细!$E672="",0,1)</f>
        <v>0</v>
      </c>
      <c r="CQ4672">
        <f t="shared" si="675"/>
        <v>109</v>
      </c>
    </row>
    <row r="4673" spans="94:95">
      <c r="CP4673">
        <f>IF(客户自备加工筐明细!$E673="",0,1)</f>
        <v>0</v>
      </c>
      <c r="CQ4673">
        <f t="shared" si="675"/>
        <v>109</v>
      </c>
    </row>
    <row r="4674" spans="94:95">
      <c r="CP4674">
        <f>IF(客户自备加工筐明细!$E674="",0,1)</f>
        <v>0</v>
      </c>
      <c r="CQ4674">
        <f t="shared" si="675"/>
        <v>109</v>
      </c>
    </row>
    <row r="4675" spans="94:95">
      <c r="CP4675">
        <f>IF(客户自备加工筐明细!$E675="",0,1)</f>
        <v>0</v>
      </c>
      <c r="CQ4675">
        <f t="shared" si="675"/>
        <v>109</v>
      </c>
    </row>
    <row r="4676" spans="94:95">
      <c r="CP4676">
        <f>IF(客户自备加工筐明细!$E676="",0,1)</f>
        <v>0</v>
      </c>
      <c r="CQ4676">
        <f t="shared" ref="CQ4676:CQ4739" si="676">N(CQ4675)+$CP4676</f>
        <v>109</v>
      </c>
    </row>
    <row r="4677" spans="94:95">
      <c r="CP4677">
        <f>IF(客户自备加工筐明细!$E677="",0,1)</f>
        <v>0</v>
      </c>
      <c r="CQ4677">
        <f t="shared" si="676"/>
        <v>109</v>
      </c>
    </row>
    <row r="4678" spans="94:95">
      <c r="CP4678">
        <f>IF(客户自备加工筐明细!$E678="",0,1)</f>
        <v>0</v>
      </c>
      <c r="CQ4678">
        <f t="shared" si="676"/>
        <v>109</v>
      </c>
    </row>
    <row r="4679" spans="94:95">
      <c r="CP4679">
        <f>IF(客户自备加工筐明细!$E679="",0,1)</f>
        <v>0</v>
      </c>
      <c r="CQ4679">
        <f t="shared" si="676"/>
        <v>109</v>
      </c>
    </row>
    <row r="4680" spans="94:95">
      <c r="CP4680">
        <f>IF(客户自备加工筐明细!$E680="",0,1)</f>
        <v>0</v>
      </c>
      <c r="CQ4680">
        <f t="shared" si="676"/>
        <v>109</v>
      </c>
    </row>
    <row r="4681" spans="94:95">
      <c r="CP4681">
        <f>IF(客户自备加工筐明细!$E681="",0,1)</f>
        <v>0</v>
      </c>
      <c r="CQ4681">
        <f t="shared" si="676"/>
        <v>109</v>
      </c>
    </row>
    <row r="4682" spans="94:95">
      <c r="CP4682">
        <f>IF(客户自备加工筐明细!$E682="",0,1)</f>
        <v>0</v>
      </c>
      <c r="CQ4682">
        <f t="shared" si="676"/>
        <v>109</v>
      </c>
    </row>
    <row r="4683" spans="94:95">
      <c r="CP4683">
        <f>IF(客户自备加工筐明细!$E683="",0,1)</f>
        <v>0</v>
      </c>
      <c r="CQ4683">
        <f t="shared" si="676"/>
        <v>109</v>
      </c>
    </row>
    <row r="4684" spans="94:95">
      <c r="CP4684">
        <f>IF(客户自备加工筐明细!$E684="",0,1)</f>
        <v>0</v>
      </c>
      <c r="CQ4684">
        <f t="shared" si="676"/>
        <v>109</v>
      </c>
    </row>
    <row r="4685" spans="94:95">
      <c r="CP4685">
        <f>IF(客户自备加工筐明细!$E685="",0,1)</f>
        <v>0</v>
      </c>
      <c r="CQ4685">
        <f t="shared" si="676"/>
        <v>109</v>
      </c>
    </row>
    <row r="4686" spans="94:95">
      <c r="CP4686">
        <f>IF(客户自备加工筐明细!$E686="",0,1)</f>
        <v>0</v>
      </c>
      <c r="CQ4686">
        <f t="shared" si="676"/>
        <v>109</v>
      </c>
    </row>
    <row r="4687" spans="94:95">
      <c r="CP4687">
        <f>IF(客户自备加工筐明细!$E687="",0,1)</f>
        <v>0</v>
      </c>
      <c r="CQ4687">
        <f t="shared" si="676"/>
        <v>109</v>
      </c>
    </row>
    <row r="4688" spans="94:95">
      <c r="CP4688">
        <f>IF(客户自备加工筐明细!$E688="",0,1)</f>
        <v>0</v>
      </c>
      <c r="CQ4688">
        <f t="shared" si="676"/>
        <v>109</v>
      </c>
    </row>
    <row r="4689" spans="94:95">
      <c r="CP4689">
        <f>IF(客户自备加工筐明细!$E689="",0,1)</f>
        <v>0</v>
      </c>
      <c r="CQ4689">
        <f t="shared" si="676"/>
        <v>109</v>
      </c>
    </row>
    <row r="4690" spans="94:95">
      <c r="CP4690">
        <f>IF(客户自备加工筐明细!$E690="",0,1)</f>
        <v>0</v>
      </c>
      <c r="CQ4690">
        <f t="shared" si="676"/>
        <v>109</v>
      </c>
    </row>
    <row r="4691" spans="94:95">
      <c r="CP4691">
        <f>IF(客户自备加工筐明细!$E691="",0,1)</f>
        <v>0</v>
      </c>
      <c r="CQ4691">
        <f t="shared" si="676"/>
        <v>109</v>
      </c>
    </row>
    <row r="4692" spans="94:95">
      <c r="CP4692">
        <f>IF(客户自备加工筐明细!$E692="",0,1)</f>
        <v>0</v>
      </c>
      <c r="CQ4692">
        <f t="shared" si="676"/>
        <v>109</v>
      </c>
    </row>
    <row r="4693" spans="94:95">
      <c r="CP4693">
        <f>IF(客户自备加工筐明细!$E693="",0,1)</f>
        <v>0</v>
      </c>
      <c r="CQ4693">
        <f t="shared" si="676"/>
        <v>109</v>
      </c>
    </row>
    <row r="4694" spans="94:95">
      <c r="CP4694">
        <f>IF(客户自备加工筐明细!$E694="",0,1)</f>
        <v>0</v>
      </c>
      <c r="CQ4694">
        <f t="shared" si="676"/>
        <v>109</v>
      </c>
    </row>
    <row r="4695" spans="94:95">
      <c r="CP4695">
        <f>IF(客户自备加工筐明细!$E695="",0,1)</f>
        <v>0</v>
      </c>
      <c r="CQ4695">
        <f t="shared" si="676"/>
        <v>109</v>
      </c>
    </row>
    <row r="4696" spans="94:95">
      <c r="CP4696">
        <f>IF(客户自备加工筐明细!$E696="",0,1)</f>
        <v>0</v>
      </c>
      <c r="CQ4696">
        <f t="shared" si="676"/>
        <v>109</v>
      </c>
    </row>
    <row r="4697" spans="94:95">
      <c r="CP4697">
        <f>IF(客户自备加工筐明细!$E697="",0,1)</f>
        <v>0</v>
      </c>
      <c r="CQ4697">
        <f t="shared" si="676"/>
        <v>109</v>
      </c>
    </row>
    <row r="4698" spans="94:95">
      <c r="CP4698">
        <f>IF(客户自备加工筐明细!$E698="",0,1)</f>
        <v>0</v>
      </c>
      <c r="CQ4698">
        <f t="shared" si="676"/>
        <v>109</v>
      </c>
    </row>
    <row r="4699" spans="94:95">
      <c r="CP4699">
        <f>IF(客户自备加工筐明细!$E699="",0,1)</f>
        <v>0</v>
      </c>
      <c r="CQ4699">
        <f t="shared" si="676"/>
        <v>109</v>
      </c>
    </row>
    <row r="4700" spans="94:95">
      <c r="CP4700">
        <f>IF(客户自备加工筐明细!$E700="",0,1)</f>
        <v>0</v>
      </c>
      <c r="CQ4700">
        <f t="shared" si="676"/>
        <v>109</v>
      </c>
    </row>
    <row r="4701" spans="94:95">
      <c r="CP4701">
        <f>IF(客户自备加工筐明细!$E701="",0,1)</f>
        <v>0</v>
      </c>
      <c r="CQ4701">
        <f t="shared" si="676"/>
        <v>109</v>
      </c>
    </row>
    <row r="4702" spans="94:95">
      <c r="CP4702">
        <f>IF(客户自备加工筐明细!$E702="",0,1)</f>
        <v>0</v>
      </c>
      <c r="CQ4702">
        <f t="shared" si="676"/>
        <v>109</v>
      </c>
    </row>
    <row r="4703" spans="94:95">
      <c r="CP4703">
        <f>IF(客户自备加工筐明细!$E703="",0,1)</f>
        <v>0</v>
      </c>
      <c r="CQ4703">
        <f t="shared" si="676"/>
        <v>109</v>
      </c>
    </row>
    <row r="4704" spans="94:95">
      <c r="CP4704">
        <f>IF(客户自备加工筐明细!$E704="",0,1)</f>
        <v>0</v>
      </c>
      <c r="CQ4704">
        <f t="shared" si="676"/>
        <v>109</v>
      </c>
    </row>
    <row r="4705" spans="94:95">
      <c r="CP4705">
        <f>IF(客户自备加工筐明细!$E705="",0,1)</f>
        <v>0</v>
      </c>
      <c r="CQ4705">
        <f t="shared" si="676"/>
        <v>109</v>
      </c>
    </row>
    <row r="4706" spans="94:95">
      <c r="CP4706">
        <f>IF(客户自备加工筐明细!$E706="",0,1)</f>
        <v>0</v>
      </c>
      <c r="CQ4706">
        <f t="shared" si="676"/>
        <v>109</v>
      </c>
    </row>
    <row r="4707" spans="94:95">
      <c r="CP4707">
        <f>IF(客户自备加工筐明细!$E707="",0,1)</f>
        <v>0</v>
      </c>
      <c r="CQ4707">
        <f t="shared" si="676"/>
        <v>109</v>
      </c>
    </row>
    <row r="4708" spans="94:95">
      <c r="CP4708">
        <f>IF(客户自备加工筐明细!$E708="",0,1)</f>
        <v>0</v>
      </c>
      <c r="CQ4708">
        <f t="shared" si="676"/>
        <v>109</v>
      </c>
    </row>
    <row r="4709" spans="94:95">
      <c r="CP4709">
        <f>IF(客户自备加工筐明细!$E709="",0,1)</f>
        <v>0</v>
      </c>
      <c r="CQ4709">
        <f t="shared" si="676"/>
        <v>109</v>
      </c>
    </row>
    <row r="4710" spans="94:95">
      <c r="CP4710">
        <f>IF(客户自备加工筐明细!$E710="",0,1)</f>
        <v>0</v>
      </c>
      <c r="CQ4710">
        <f t="shared" si="676"/>
        <v>109</v>
      </c>
    </row>
    <row r="4711" spans="94:95">
      <c r="CP4711">
        <f>IF(客户自备加工筐明细!$E711="",0,1)</f>
        <v>0</v>
      </c>
      <c r="CQ4711">
        <f t="shared" si="676"/>
        <v>109</v>
      </c>
    </row>
    <row r="4712" spans="94:95">
      <c r="CP4712">
        <f>IF(客户自备加工筐明细!$E712="",0,1)</f>
        <v>0</v>
      </c>
      <c r="CQ4712">
        <f t="shared" si="676"/>
        <v>109</v>
      </c>
    </row>
    <row r="4713" spans="94:95">
      <c r="CP4713">
        <f>IF(客户自备加工筐明细!$E713="",0,1)</f>
        <v>0</v>
      </c>
      <c r="CQ4713">
        <f t="shared" si="676"/>
        <v>109</v>
      </c>
    </row>
    <row r="4714" spans="94:95">
      <c r="CP4714">
        <f>IF(客户自备加工筐明细!$E714="",0,1)</f>
        <v>0</v>
      </c>
      <c r="CQ4714">
        <f t="shared" si="676"/>
        <v>109</v>
      </c>
    </row>
    <row r="4715" spans="94:95">
      <c r="CP4715">
        <f>IF(客户自备加工筐明细!$E715="",0,1)</f>
        <v>0</v>
      </c>
      <c r="CQ4715">
        <f t="shared" si="676"/>
        <v>109</v>
      </c>
    </row>
    <row r="4716" spans="94:95">
      <c r="CP4716">
        <f>IF(客户自备加工筐明细!$E716="",0,1)</f>
        <v>0</v>
      </c>
      <c r="CQ4716">
        <f t="shared" si="676"/>
        <v>109</v>
      </c>
    </row>
    <row r="4717" spans="94:95">
      <c r="CP4717">
        <f>IF(客户自备加工筐明细!$E717="",0,1)</f>
        <v>0</v>
      </c>
      <c r="CQ4717">
        <f t="shared" si="676"/>
        <v>109</v>
      </c>
    </row>
    <row r="4718" spans="94:95">
      <c r="CP4718">
        <f>IF(客户自备加工筐明细!$E718="",0,1)</f>
        <v>0</v>
      </c>
      <c r="CQ4718">
        <f t="shared" si="676"/>
        <v>109</v>
      </c>
    </row>
    <row r="4719" spans="94:95">
      <c r="CP4719">
        <f>IF(客户自备加工筐明细!$E719="",0,1)</f>
        <v>0</v>
      </c>
      <c r="CQ4719">
        <f t="shared" si="676"/>
        <v>109</v>
      </c>
    </row>
    <row r="4720" spans="94:95">
      <c r="CP4720">
        <f>IF(客户自备加工筐明细!$E720="",0,1)</f>
        <v>0</v>
      </c>
      <c r="CQ4720">
        <f t="shared" si="676"/>
        <v>109</v>
      </c>
    </row>
    <row r="4721" spans="94:95">
      <c r="CP4721">
        <f>IF(客户自备加工筐明细!$E721="",0,1)</f>
        <v>0</v>
      </c>
      <c r="CQ4721">
        <f t="shared" si="676"/>
        <v>109</v>
      </c>
    </row>
    <row r="4722" spans="94:95">
      <c r="CP4722">
        <f>IF(客户自备加工筐明细!$E722="",0,1)</f>
        <v>0</v>
      </c>
      <c r="CQ4722">
        <f t="shared" si="676"/>
        <v>109</v>
      </c>
    </row>
    <row r="4723" spans="94:95">
      <c r="CP4723">
        <f>IF(客户自备加工筐明细!$E723="",0,1)</f>
        <v>0</v>
      </c>
      <c r="CQ4723">
        <f t="shared" si="676"/>
        <v>109</v>
      </c>
    </row>
    <row r="4724" spans="94:95">
      <c r="CP4724">
        <f>IF(客户自备加工筐明细!$E724="",0,1)</f>
        <v>0</v>
      </c>
      <c r="CQ4724">
        <f t="shared" si="676"/>
        <v>109</v>
      </c>
    </row>
    <row r="4725" spans="94:95">
      <c r="CP4725">
        <f>IF(客户自备加工筐明细!$E725="",0,1)</f>
        <v>0</v>
      </c>
      <c r="CQ4725">
        <f t="shared" si="676"/>
        <v>109</v>
      </c>
    </row>
    <row r="4726" spans="94:95">
      <c r="CP4726">
        <f>IF(客户自备加工筐明细!$E726="",0,1)</f>
        <v>0</v>
      </c>
      <c r="CQ4726">
        <f t="shared" si="676"/>
        <v>109</v>
      </c>
    </row>
    <row r="4727" spans="94:95">
      <c r="CP4727">
        <f>IF(客户自备加工筐明细!$E727="",0,1)</f>
        <v>0</v>
      </c>
      <c r="CQ4727">
        <f t="shared" si="676"/>
        <v>109</v>
      </c>
    </row>
    <row r="4728" spans="94:95">
      <c r="CP4728">
        <f>IF(客户自备加工筐明细!$E728="",0,1)</f>
        <v>0</v>
      </c>
      <c r="CQ4728">
        <f t="shared" si="676"/>
        <v>109</v>
      </c>
    </row>
    <row r="4729" spans="94:95">
      <c r="CP4729">
        <f>IF(客户自备加工筐明细!$E729="",0,1)</f>
        <v>0</v>
      </c>
      <c r="CQ4729">
        <f t="shared" si="676"/>
        <v>109</v>
      </c>
    </row>
    <row r="4730" spans="94:95">
      <c r="CP4730">
        <f>IF(客户自备加工筐明细!$E730="",0,1)</f>
        <v>0</v>
      </c>
      <c r="CQ4730">
        <f t="shared" si="676"/>
        <v>109</v>
      </c>
    </row>
    <row r="4731" spans="94:95">
      <c r="CP4731">
        <f>IF(客户自备加工筐明细!$E731="",0,1)</f>
        <v>0</v>
      </c>
      <c r="CQ4731">
        <f t="shared" si="676"/>
        <v>109</v>
      </c>
    </row>
    <row r="4732" spans="94:95">
      <c r="CP4732">
        <f>IF(客户自备加工筐明细!$E732="",0,1)</f>
        <v>0</v>
      </c>
      <c r="CQ4732">
        <f t="shared" si="676"/>
        <v>109</v>
      </c>
    </row>
    <row r="4733" spans="94:95">
      <c r="CP4733">
        <f>IF(客户自备加工筐明细!$E733="",0,1)</f>
        <v>0</v>
      </c>
      <c r="CQ4733">
        <f t="shared" si="676"/>
        <v>109</v>
      </c>
    </row>
    <row r="4734" spans="94:95">
      <c r="CP4734">
        <f>IF(客户自备加工筐明细!$E734="",0,1)</f>
        <v>0</v>
      </c>
      <c r="CQ4734">
        <f t="shared" si="676"/>
        <v>109</v>
      </c>
    </row>
    <row r="4735" spans="94:95">
      <c r="CP4735">
        <f>IF(客户自备加工筐明细!$E735="",0,1)</f>
        <v>0</v>
      </c>
      <c r="CQ4735">
        <f t="shared" si="676"/>
        <v>109</v>
      </c>
    </row>
    <row r="4736" spans="94:95">
      <c r="CP4736">
        <f>IF(客户自备加工筐明细!$E736="",0,1)</f>
        <v>0</v>
      </c>
      <c r="CQ4736">
        <f t="shared" si="676"/>
        <v>109</v>
      </c>
    </row>
    <row r="4737" spans="94:95">
      <c r="CP4737">
        <f>IF(客户自备加工筐明细!$E737="",0,1)</f>
        <v>0</v>
      </c>
      <c r="CQ4737">
        <f t="shared" si="676"/>
        <v>109</v>
      </c>
    </row>
    <row r="4738" spans="94:95">
      <c r="CP4738">
        <f>IF(客户自备加工筐明细!$E738="",0,1)</f>
        <v>0</v>
      </c>
      <c r="CQ4738">
        <f t="shared" si="676"/>
        <v>109</v>
      </c>
    </row>
    <row r="4739" spans="94:95">
      <c r="CP4739">
        <f>IF(客户自备加工筐明细!$E739="",0,1)</f>
        <v>0</v>
      </c>
      <c r="CQ4739">
        <f t="shared" si="676"/>
        <v>109</v>
      </c>
    </row>
    <row r="4740" spans="94:95">
      <c r="CP4740">
        <f>IF(客户自备加工筐明细!$E740="",0,1)</f>
        <v>0</v>
      </c>
      <c r="CQ4740">
        <f t="shared" ref="CQ4740:CQ4803" si="677">N(CQ4739)+$CP4740</f>
        <v>109</v>
      </c>
    </row>
    <row r="4741" spans="94:95">
      <c r="CP4741">
        <f>IF(客户自备加工筐明细!$E741="",0,1)</f>
        <v>0</v>
      </c>
      <c r="CQ4741">
        <f t="shared" si="677"/>
        <v>109</v>
      </c>
    </row>
    <row r="4742" spans="94:95">
      <c r="CP4742">
        <f>IF(客户自备加工筐明细!$E742="",0,1)</f>
        <v>0</v>
      </c>
      <c r="CQ4742">
        <f t="shared" si="677"/>
        <v>109</v>
      </c>
    </row>
    <row r="4743" spans="94:95">
      <c r="CP4743">
        <f>IF(客户自备加工筐明细!$E743="",0,1)</f>
        <v>0</v>
      </c>
      <c r="CQ4743">
        <f t="shared" si="677"/>
        <v>109</v>
      </c>
    </row>
    <row r="4744" spans="94:95">
      <c r="CP4744">
        <f>IF(客户自备加工筐明细!$E744="",0,1)</f>
        <v>0</v>
      </c>
      <c r="CQ4744">
        <f t="shared" si="677"/>
        <v>109</v>
      </c>
    </row>
    <row r="4745" spans="94:95">
      <c r="CP4745">
        <f>IF(客户自备加工筐明细!$E745="",0,1)</f>
        <v>0</v>
      </c>
      <c r="CQ4745">
        <f t="shared" si="677"/>
        <v>109</v>
      </c>
    </row>
    <row r="4746" spans="94:95">
      <c r="CP4746">
        <f>IF(客户自备加工筐明细!$E746="",0,1)</f>
        <v>0</v>
      </c>
      <c r="CQ4746">
        <f t="shared" si="677"/>
        <v>109</v>
      </c>
    </row>
    <row r="4747" spans="94:95">
      <c r="CP4747">
        <f>IF(客户自备加工筐明细!$E747="",0,1)</f>
        <v>0</v>
      </c>
      <c r="CQ4747">
        <f t="shared" si="677"/>
        <v>109</v>
      </c>
    </row>
    <row r="4748" spans="94:95">
      <c r="CP4748">
        <f>IF(客户自备加工筐明细!$E748="",0,1)</f>
        <v>0</v>
      </c>
      <c r="CQ4748">
        <f t="shared" si="677"/>
        <v>109</v>
      </c>
    </row>
    <row r="4749" spans="94:95">
      <c r="CP4749">
        <f>IF(客户自备加工筐明细!$E749="",0,1)</f>
        <v>0</v>
      </c>
      <c r="CQ4749">
        <f t="shared" si="677"/>
        <v>109</v>
      </c>
    </row>
    <row r="4750" spans="94:95">
      <c r="CP4750">
        <f>IF(客户自备加工筐明细!$E750="",0,1)</f>
        <v>0</v>
      </c>
      <c r="CQ4750">
        <f t="shared" si="677"/>
        <v>109</v>
      </c>
    </row>
    <row r="4751" spans="94:95">
      <c r="CP4751">
        <f>IF(客户自备加工筐明细!$E751="",0,1)</f>
        <v>0</v>
      </c>
      <c r="CQ4751">
        <f t="shared" si="677"/>
        <v>109</v>
      </c>
    </row>
    <row r="4752" spans="94:95">
      <c r="CP4752">
        <f>IF(客户自备加工筐明细!$E752="",0,1)</f>
        <v>0</v>
      </c>
      <c r="CQ4752">
        <f t="shared" si="677"/>
        <v>109</v>
      </c>
    </row>
    <row r="4753" spans="94:95">
      <c r="CP4753">
        <f>IF(客户自备加工筐明细!$E753="",0,1)</f>
        <v>0</v>
      </c>
      <c r="CQ4753">
        <f t="shared" si="677"/>
        <v>109</v>
      </c>
    </row>
    <row r="4754" spans="94:95">
      <c r="CP4754">
        <f>IF(客户自备加工筐明细!$E754="",0,1)</f>
        <v>0</v>
      </c>
      <c r="CQ4754">
        <f t="shared" si="677"/>
        <v>109</v>
      </c>
    </row>
    <row r="4755" spans="94:95">
      <c r="CP4755">
        <f>IF(客户自备加工筐明细!$E755="",0,1)</f>
        <v>0</v>
      </c>
      <c r="CQ4755">
        <f t="shared" si="677"/>
        <v>109</v>
      </c>
    </row>
    <row r="4756" spans="94:95">
      <c r="CP4756">
        <f>IF(客户自备加工筐明细!$E756="",0,1)</f>
        <v>0</v>
      </c>
      <c r="CQ4756">
        <f t="shared" si="677"/>
        <v>109</v>
      </c>
    </row>
    <row r="4757" spans="94:95">
      <c r="CP4757">
        <f>IF(客户自备加工筐明细!$E757="",0,1)</f>
        <v>0</v>
      </c>
      <c r="CQ4757">
        <f t="shared" si="677"/>
        <v>109</v>
      </c>
    </row>
    <row r="4758" spans="94:95">
      <c r="CP4758">
        <f>IF(客户自备加工筐明细!$E758="",0,1)</f>
        <v>0</v>
      </c>
      <c r="CQ4758">
        <f t="shared" si="677"/>
        <v>109</v>
      </c>
    </row>
    <row r="4759" spans="94:95">
      <c r="CP4759">
        <f>IF(客户自备加工筐明细!$E759="",0,1)</f>
        <v>0</v>
      </c>
      <c r="CQ4759">
        <f t="shared" si="677"/>
        <v>109</v>
      </c>
    </row>
    <row r="4760" spans="94:95">
      <c r="CP4760">
        <f>IF(客户自备加工筐明细!$E760="",0,1)</f>
        <v>0</v>
      </c>
      <c r="CQ4760">
        <f t="shared" si="677"/>
        <v>109</v>
      </c>
    </row>
    <row r="4761" spans="94:95">
      <c r="CP4761">
        <f>IF(客户自备加工筐明细!$E761="",0,1)</f>
        <v>0</v>
      </c>
      <c r="CQ4761">
        <f t="shared" si="677"/>
        <v>109</v>
      </c>
    </row>
    <row r="4762" spans="94:95">
      <c r="CP4762">
        <f>IF(客户自备加工筐明细!$E762="",0,1)</f>
        <v>0</v>
      </c>
      <c r="CQ4762">
        <f t="shared" si="677"/>
        <v>109</v>
      </c>
    </row>
    <row r="4763" spans="94:95">
      <c r="CP4763">
        <f>IF(客户自备加工筐明细!$E763="",0,1)</f>
        <v>0</v>
      </c>
      <c r="CQ4763">
        <f t="shared" si="677"/>
        <v>109</v>
      </c>
    </row>
    <row r="4764" spans="94:95">
      <c r="CP4764">
        <f>IF(客户自备加工筐明细!$E764="",0,1)</f>
        <v>0</v>
      </c>
      <c r="CQ4764">
        <f t="shared" si="677"/>
        <v>109</v>
      </c>
    </row>
    <row r="4765" spans="94:95">
      <c r="CP4765">
        <f>IF(客户自备加工筐明细!$E765="",0,1)</f>
        <v>0</v>
      </c>
      <c r="CQ4765">
        <f t="shared" si="677"/>
        <v>109</v>
      </c>
    </row>
    <row r="4766" spans="94:95">
      <c r="CP4766">
        <f>IF(客户自备加工筐明细!$E766="",0,1)</f>
        <v>0</v>
      </c>
      <c r="CQ4766">
        <f t="shared" si="677"/>
        <v>109</v>
      </c>
    </row>
    <row r="4767" spans="94:95">
      <c r="CP4767">
        <f>IF(客户自备加工筐明细!$E767="",0,1)</f>
        <v>0</v>
      </c>
      <c r="CQ4767">
        <f t="shared" si="677"/>
        <v>109</v>
      </c>
    </row>
    <row r="4768" spans="94:95">
      <c r="CP4768">
        <f>IF(客户自备加工筐明细!$E768="",0,1)</f>
        <v>0</v>
      </c>
      <c r="CQ4768">
        <f t="shared" si="677"/>
        <v>109</v>
      </c>
    </row>
    <row r="4769" spans="94:95">
      <c r="CP4769">
        <f>IF(客户自备加工筐明细!$E769="",0,1)</f>
        <v>0</v>
      </c>
      <c r="CQ4769">
        <f t="shared" si="677"/>
        <v>109</v>
      </c>
    </row>
    <row r="4770" spans="94:95">
      <c r="CP4770">
        <f>IF(客户自备加工筐明细!$E770="",0,1)</f>
        <v>0</v>
      </c>
      <c r="CQ4770">
        <f t="shared" si="677"/>
        <v>109</v>
      </c>
    </row>
    <row r="4771" spans="94:95">
      <c r="CP4771">
        <f>IF(客户自备加工筐明细!$E771="",0,1)</f>
        <v>0</v>
      </c>
      <c r="CQ4771">
        <f t="shared" si="677"/>
        <v>109</v>
      </c>
    </row>
    <row r="4772" spans="94:95">
      <c r="CP4772">
        <f>IF(客户自备加工筐明细!$E772="",0,1)</f>
        <v>0</v>
      </c>
      <c r="CQ4772">
        <f t="shared" si="677"/>
        <v>109</v>
      </c>
    </row>
    <row r="4773" spans="94:95">
      <c r="CP4773">
        <f>IF(客户自备加工筐明细!$E773="",0,1)</f>
        <v>0</v>
      </c>
      <c r="CQ4773">
        <f t="shared" si="677"/>
        <v>109</v>
      </c>
    </row>
    <row r="4774" spans="94:95">
      <c r="CP4774">
        <f>IF(客户自备加工筐明细!$E774="",0,1)</f>
        <v>0</v>
      </c>
      <c r="CQ4774">
        <f t="shared" si="677"/>
        <v>109</v>
      </c>
    </row>
    <row r="4775" spans="94:95">
      <c r="CP4775">
        <f>IF(客户自备加工筐明细!$E775="",0,1)</f>
        <v>0</v>
      </c>
      <c r="CQ4775">
        <f t="shared" si="677"/>
        <v>109</v>
      </c>
    </row>
    <row r="4776" spans="94:95">
      <c r="CP4776">
        <f>IF(客户自备加工筐明细!$E776="",0,1)</f>
        <v>0</v>
      </c>
      <c r="CQ4776">
        <f t="shared" si="677"/>
        <v>109</v>
      </c>
    </row>
    <row r="4777" spans="94:95">
      <c r="CP4777">
        <f>IF(客户自备加工筐明细!$E777="",0,1)</f>
        <v>0</v>
      </c>
      <c r="CQ4777">
        <f t="shared" si="677"/>
        <v>109</v>
      </c>
    </row>
    <row r="4778" spans="94:95">
      <c r="CP4778">
        <f>IF(客户自备加工筐明细!$E778="",0,1)</f>
        <v>0</v>
      </c>
      <c r="CQ4778">
        <f t="shared" si="677"/>
        <v>109</v>
      </c>
    </row>
    <row r="4779" spans="94:95">
      <c r="CP4779">
        <f>IF(客户自备加工筐明细!$E779="",0,1)</f>
        <v>0</v>
      </c>
      <c r="CQ4779">
        <f t="shared" si="677"/>
        <v>109</v>
      </c>
    </row>
    <row r="4780" spans="94:95">
      <c r="CP4780">
        <f>IF(客户自备加工筐明细!$E780="",0,1)</f>
        <v>0</v>
      </c>
      <c r="CQ4780">
        <f t="shared" si="677"/>
        <v>109</v>
      </c>
    </row>
    <row r="4781" spans="94:95">
      <c r="CP4781">
        <f>IF(客户自备加工筐明细!$E781="",0,1)</f>
        <v>0</v>
      </c>
      <c r="CQ4781">
        <f t="shared" si="677"/>
        <v>109</v>
      </c>
    </row>
    <row r="4782" spans="94:95">
      <c r="CP4782">
        <f>IF(客户自备加工筐明细!$E782="",0,1)</f>
        <v>0</v>
      </c>
      <c r="CQ4782">
        <f t="shared" si="677"/>
        <v>109</v>
      </c>
    </row>
    <row r="4783" spans="94:95">
      <c r="CP4783">
        <f>IF(客户自备加工筐明细!$E783="",0,1)</f>
        <v>0</v>
      </c>
      <c r="CQ4783">
        <f t="shared" si="677"/>
        <v>109</v>
      </c>
    </row>
    <row r="4784" spans="94:95">
      <c r="CP4784">
        <f>IF(客户自备加工筐明细!$E784="",0,1)</f>
        <v>0</v>
      </c>
      <c r="CQ4784">
        <f t="shared" si="677"/>
        <v>109</v>
      </c>
    </row>
    <row r="4785" spans="94:95">
      <c r="CP4785">
        <f>IF(客户自备加工筐明细!$E785="",0,1)</f>
        <v>0</v>
      </c>
      <c r="CQ4785">
        <f t="shared" si="677"/>
        <v>109</v>
      </c>
    </row>
    <row r="4786" spans="94:95">
      <c r="CP4786">
        <f>IF(客户自备加工筐明细!$E786="",0,1)</f>
        <v>0</v>
      </c>
      <c r="CQ4786">
        <f t="shared" si="677"/>
        <v>109</v>
      </c>
    </row>
    <row r="4787" spans="94:95">
      <c r="CP4787">
        <f>IF(客户自备加工筐明细!$E787="",0,1)</f>
        <v>0</v>
      </c>
      <c r="CQ4787">
        <f t="shared" si="677"/>
        <v>109</v>
      </c>
    </row>
    <row r="4788" spans="94:95">
      <c r="CP4788">
        <f>IF(客户自备加工筐明细!$E788="",0,1)</f>
        <v>0</v>
      </c>
      <c r="CQ4788">
        <f t="shared" si="677"/>
        <v>109</v>
      </c>
    </row>
    <row r="4789" spans="94:95">
      <c r="CP4789">
        <f>IF(客户自备加工筐明细!$E789="",0,1)</f>
        <v>0</v>
      </c>
      <c r="CQ4789">
        <f t="shared" si="677"/>
        <v>109</v>
      </c>
    </row>
    <row r="4790" spans="94:95">
      <c r="CP4790">
        <f>IF(客户自备加工筐明细!$E790="",0,1)</f>
        <v>0</v>
      </c>
      <c r="CQ4790">
        <f t="shared" si="677"/>
        <v>109</v>
      </c>
    </row>
    <row r="4791" spans="94:95">
      <c r="CP4791">
        <f>IF(客户自备加工筐明细!$E791="",0,1)</f>
        <v>0</v>
      </c>
      <c r="CQ4791">
        <f t="shared" si="677"/>
        <v>109</v>
      </c>
    </row>
    <row r="4792" spans="94:95">
      <c r="CP4792">
        <f>IF(客户自备加工筐明细!$E792="",0,1)</f>
        <v>0</v>
      </c>
      <c r="CQ4792">
        <f t="shared" si="677"/>
        <v>109</v>
      </c>
    </row>
    <row r="4793" spans="94:95">
      <c r="CP4793">
        <f>IF(客户自备加工筐明细!$E793="",0,1)</f>
        <v>0</v>
      </c>
      <c r="CQ4793">
        <f t="shared" si="677"/>
        <v>109</v>
      </c>
    </row>
    <row r="4794" spans="94:95">
      <c r="CP4794">
        <f>IF(客户自备加工筐明细!$E794="",0,1)</f>
        <v>0</v>
      </c>
      <c r="CQ4794">
        <f t="shared" si="677"/>
        <v>109</v>
      </c>
    </row>
    <row r="4795" spans="94:95">
      <c r="CP4795">
        <f>IF(客户自备加工筐明细!$E795="",0,1)</f>
        <v>0</v>
      </c>
      <c r="CQ4795">
        <f t="shared" si="677"/>
        <v>109</v>
      </c>
    </row>
    <row r="4796" spans="94:95">
      <c r="CP4796">
        <f>IF(客户自备加工筐明细!$E796="",0,1)</f>
        <v>0</v>
      </c>
      <c r="CQ4796">
        <f t="shared" si="677"/>
        <v>109</v>
      </c>
    </row>
    <row r="4797" spans="94:95">
      <c r="CP4797">
        <f>IF(客户自备加工筐明细!$E797="",0,1)</f>
        <v>0</v>
      </c>
      <c r="CQ4797">
        <f t="shared" si="677"/>
        <v>109</v>
      </c>
    </row>
    <row r="4798" spans="94:95">
      <c r="CP4798">
        <f>IF(客户自备加工筐明细!$E798="",0,1)</f>
        <v>0</v>
      </c>
      <c r="CQ4798">
        <f t="shared" si="677"/>
        <v>109</v>
      </c>
    </row>
    <row r="4799" spans="94:95">
      <c r="CP4799">
        <f>IF(客户自备加工筐明细!$E799="",0,1)</f>
        <v>0</v>
      </c>
      <c r="CQ4799">
        <f t="shared" si="677"/>
        <v>109</v>
      </c>
    </row>
    <row r="4800" spans="94:95">
      <c r="CP4800">
        <f>IF(客户自备加工筐明细!$E800="",0,1)</f>
        <v>0</v>
      </c>
      <c r="CQ4800">
        <f t="shared" si="677"/>
        <v>109</v>
      </c>
    </row>
    <row r="4801" spans="94:95">
      <c r="CP4801">
        <f>IF(客户自备加工筐明细!$E801="",0,1)</f>
        <v>0</v>
      </c>
      <c r="CQ4801">
        <f t="shared" si="677"/>
        <v>109</v>
      </c>
    </row>
    <row r="4802" spans="94:95">
      <c r="CP4802">
        <f>IF(客户自备加工筐明细!$E802="",0,1)</f>
        <v>0</v>
      </c>
      <c r="CQ4802">
        <f t="shared" si="677"/>
        <v>109</v>
      </c>
    </row>
    <row r="4803" spans="94:95">
      <c r="CP4803">
        <f>IF(客户自备加工筐明细!$E803="",0,1)</f>
        <v>0</v>
      </c>
      <c r="CQ4803">
        <f t="shared" si="677"/>
        <v>109</v>
      </c>
    </row>
    <row r="4804" spans="94:95">
      <c r="CP4804">
        <f>IF(客户自备加工筐明细!$E804="",0,1)</f>
        <v>0</v>
      </c>
      <c r="CQ4804">
        <f t="shared" ref="CQ4804:CQ4867" si="678">N(CQ4803)+$CP4804</f>
        <v>109</v>
      </c>
    </row>
    <row r="4805" spans="94:95">
      <c r="CP4805">
        <f>IF(客户自备加工筐明细!$E805="",0,1)</f>
        <v>0</v>
      </c>
      <c r="CQ4805">
        <f t="shared" si="678"/>
        <v>109</v>
      </c>
    </row>
    <row r="4806" spans="94:95">
      <c r="CP4806">
        <f>IF(客户自备加工筐明细!$E806="",0,1)</f>
        <v>0</v>
      </c>
      <c r="CQ4806">
        <f t="shared" si="678"/>
        <v>109</v>
      </c>
    </row>
    <row r="4807" spans="94:95">
      <c r="CP4807">
        <f>IF(客户自备加工筐明细!$E807="",0,1)</f>
        <v>0</v>
      </c>
      <c r="CQ4807">
        <f t="shared" si="678"/>
        <v>109</v>
      </c>
    </row>
    <row r="4808" spans="94:95">
      <c r="CP4808">
        <f>IF(客户自备加工筐明细!$E808="",0,1)</f>
        <v>0</v>
      </c>
      <c r="CQ4808">
        <f t="shared" si="678"/>
        <v>109</v>
      </c>
    </row>
    <row r="4809" spans="94:95">
      <c r="CP4809">
        <f>IF(客户自备加工筐明细!$E809="",0,1)</f>
        <v>0</v>
      </c>
      <c r="CQ4809">
        <f t="shared" si="678"/>
        <v>109</v>
      </c>
    </row>
    <row r="4810" spans="94:95">
      <c r="CP4810">
        <f>IF(客户自备加工筐明细!$E810="",0,1)</f>
        <v>0</v>
      </c>
      <c r="CQ4810">
        <f t="shared" si="678"/>
        <v>109</v>
      </c>
    </row>
    <row r="4811" spans="94:95">
      <c r="CP4811">
        <f>IF(客户自备加工筐明细!$E811="",0,1)</f>
        <v>0</v>
      </c>
      <c r="CQ4811">
        <f t="shared" si="678"/>
        <v>109</v>
      </c>
    </row>
    <row r="4812" spans="94:95">
      <c r="CP4812">
        <f>IF(客户自备加工筐明细!$E812="",0,1)</f>
        <v>0</v>
      </c>
      <c r="CQ4812">
        <f t="shared" si="678"/>
        <v>109</v>
      </c>
    </row>
    <row r="4813" spans="94:95">
      <c r="CP4813">
        <f>IF(客户自备加工筐明细!$E813="",0,1)</f>
        <v>0</v>
      </c>
      <c r="CQ4813">
        <f t="shared" si="678"/>
        <v>109</v>
      </c>
    </row>
    <row r="4814" spans="94:95">
      <c r="CP4814">
        <f>IF(客户自备加工筐明细!$E814="",0,1)</f>
        <v>0</v>
      </c>
      <c r="CQ4814">
        <f t="shared" si="678"/>
        <v>109</v>
      </c>
    </row>
    <row r="4815" spans="94:95">
      <c r="CP4815">
        <f>IF(客户自备加工筐明细!$E815="",0,1)</f>
        <v>0</v>
      </c>
      <c r="CQ4815">
        <f t="shared" si="678"/>
        <v>109</v>
      </c>
    </row>
    <row r="4816" spans="94:95">
      <c r="CP4816">
        <f>IF(客户自备加工筐明细!$E816="",0,1)</f>
        <v>0</v>
      </c>
      <c r="CQ4816">
        <f t="shared" si="678"/>
        <v>109</v>
      </c>
    </row>
    <row r="4817" spans="94:95">
      <c r="CP4817">
        <f>IF(客户自备加工筐明细!$E817="",0,1)</f>
        <v>0</v>
      </c>
      <c r="CQ4817">
        <f t="shared" si="678"/>
        <v>109</v>
      </c>
    </row>
    <row r="4818" spans="94:95">
      <c r="CP4818">
        <f>IF(客户自备加工筐明细!$E818="",0,1)</f>
        <v>0</v>
      </c>
      <c r="CQ4818">
        <f t="shared" si="678"/>
        <v>109</v>
      </c>
    </row>
    <row r="4819" spans="94:95">
      <c r="CP4819">
        <f>IF(客户自备加工筐明细!$E819="",0,1)</f>
        <v>0</v>
      </c>
      <c r="CQ4819">
        <f t="shared" si="678"/>
        <v>109</v>
      </c>
    </row>
    <row r="4820" spans="94:95">
      <c r="CP4820">
        <f>IF(客户自备加工筐明细!$E820="",0,1)</f>
        <v>0</v>
      </c>
      <c r="CQ4820">
        <f t="shared" si="678"/>
        <v>109</v>
      </c>
    </row>
    <row r="4821" spans="94:95">
      <c r="CP4821">
        <f>IF(客户自备加工筐明细!$E821="",0,1)</f>
        <v>0</v>
      </c>
      <c r="CQ4821">
        <f t="shared" si="678"/>
        <v>109</v>
      </c>
    </row>
    <row r="4822" spans="94:95">
      <c r="CP4822">
        <f>IF(客户自备加工筐明细!$E822="",0,1)</f>
        <v>0</v>
      </c>
      <c r="CQ4822">
        <f t="shared" si="678"/>
        <v>109</v>
      </c>
    </row>
    <row r="4823" spans="94:95">
      <c r="CP4823">
        <f>IF(客户自备加工筐明细!$E823="",0,1)</f>
        <v>0</v>
      </c>
      <c r="CQ4823">
        <f t="shared" si="678"/>
        <v>109</v>
      </c>
    </row>
    <row r="4824" spans="94:95">
      <c r="CP4824">
        <f>IF(客户自备加工筐明细!$E824="",0,1)</f>
        <v>0</v>
      </c>
      <c r="CQ4824">
        <f t="shared" si="678"/>
        <v>109</v>
      </c>
    </row>
    <row r="4825" spans="94:95">
      <c r="CP4825">
        <f>IF(客户自备加工筐明细!$E825="",0,1)</f>
        <v>0</v>
      </c>
      <c r="CQ4825">
        <f t="shared" si="678"/>
        <v>109</v>
      </c>
    </row>
    <row r="4826" spans="94:95">
      <c r="CP4826">
        <f>IF(客户自备加工筐明细!$E826="",0,1)</f>
        <v>0</v>
      </c>
      <c r="CQ4826">
        <f t="shared" si="678"/>
        <v>109</v>
      </c>
    </row>
    <row r="4827" spans="94:95">
      <c r="CP4827">
        <f>IF(客户自备加工筐明细!$E827="",0,1)</f>
        <v>0</v>
      </c>
      <c r="CQ4827">
        <f t="shared" si="678"/>
        <v>109</v>
      </c>
    </row>
    <row r="4828" spans="94:95">
      <c r="CP4828">
        <f>IF(客户自备加工筐明细!$E828="",0,1)</f>
        <v>0</v>
      </c>
      <c r="CQ4828">
        <f t="shared" si="678"/>
        <v>109</v>
      </c>
    </row>
    <row r="4829" spans="94:95">
      <c r="CP4829">
        <f>IF(客户自备加工筐明细!$E829="",0,1)</f>
        <v>0</v>
      </c>
      <c r="CQ4829">
        <f t="shared" si="678"/>
        <v>109</v>
      </c>
    </row>
    <row r="4830" spans="94:95">
      <c r="CP4830">
        <f>IF(客户自备加工筐明细!$E830="",0,1)</f>
        <v>0</v>
      </c>
      <c r="CQ4830">
        <f t="shared" si="678"/>
        <v>109</v>
      </c>
    </row>
    <row r="4831" spans="94:95">
      <c r="CP4831">
        <f>IF(客户自备加工筐明细!$E831="",0,1)</f>
        <v>0</v>
      </c>
      <c r="CQ4831">
        <f t="shared" si="678"/>
        <v>109</v>
      </c>
    </row>
    <row r="4832" spans="94:95">
      <c r="CP4832">
        <f>IF(客户自备加工筐明细!$E832="",0,1)</f>
        <v>0</v>
      </c>
      <c r="CQ4832">
        <f t="shared" si="678"/>
        <v>109</v>
      </c>
    </row>
    <row r="4833" spans="94:95">
      <c r="CP4833">
        <f>IF(客户自备加工筐明细!$E833="",0,1)</f>
        <v>0</v>
      </c>
      <c r="CQ4833">
        <f t="shared" si="678"/>
        <v>109</v>
      </c>
    </row>
    <row r="4834" spans="94:95">
      <c r="CP4834">
        <f>IF(客户自备加工筐明细!$E834="",0,1)</f>
        <v>0</v>
      </c>
      <c r="CQ4834">
        <f t="shared" si="678"/>
        <v>109</v>
      </c>
    </row>
    <row r="4835" spans="94:95">
      <c r="CP4835">
        <f>IF(客户自备加工筐明细!$E835="",0,1)</f>
        <v>0</v>
      </c>
      <c r="CQ4835">
        <f t="shared" si="678"/>
        <v>109</v>
      </c>
    </row>
    <row r="4836" spans="94:95">
      <c r="CP4836">
        <f>IF(客户自备加工筐明细!$E836="",0,1)</f>
        <v>0</v>
      </c>
      <c r="CQ4836">
        <f t="shared" si="678"/>
        <v>109</v>
      </c>
    </row>
    <row r="4837" spans="94:95">
      <c r="CP4837">
        <f>IF(客户自备加工筐明细!$E837="",0,1)</f>
        <v>0</v>
      </c>
      <c r="CQ4837">
        <f t="shared" si="678"/>
        <v>109</v>
      </c>
    </row>
    <row r="4838" spans="94:95">
      <c r="CP4838">
        <f>IF(客户自备加工筐明细!$E838="",0,1)</f>
        <v>0</v>
      </c>
      <c r="CQ4838">
        <f t="shared" si="678"/>
        <v>109</v>
      </c>
    </row>
    <row r="4839" spans="94:95">
      <c r="CP4839">
        <f>IF(客户自备加工筐明细!$E839="",0,1)</f>
        <v>0</v>
      </c>
      <c r="CQ4839">
        <f t="shared" si="678"/>
        <v>109</v>
      </c>
    </row>
    <row r="4840" spans="94:95">
      <c r="CP4840">
        <f>IF(客户自备加工筐明细!$E840="",0,1)</f>
        <v>0</v>
      </c>
      <c r="CQ4840">
        <f t="shared" si="678"/>
        <v>109</v>
      </c>
    </row>
    <row r="4841" spans="94:95">
      <c r="CP4841">
        <f>IF(客户自备加工筐明细!$E841="",0,1)</f>
        <v>0</v>
      </c>
      <c r="CQ4841">
        <f t="shared" si="678"/>
        <v>109</v>
      </c>
    </row>
    <row r="4842" spans="94:95">
      <c r="CP4842">
        <f>IF(客户自备加工筐明细!$E842="",0,1)</f>
        <v>0</v>
      </c>
      <c r="CQ4842">
        <f t="shared" si="678"/>
        <v>109</v>
      </c>
    </row>
    <row r="4843" spans="94:95">
      <c r="CP4843">
        <f>IF(客户自备加工筐明细!$E843="",0,1)</f>
        <v>0</v>
      </c>
      <c r="CQ4843">
        <f t="shared" si="678"/>
        <v>109</v>
      </c>
    </row>
    <row r="4844" spans="94:95">
      <c r="CP4844">
        <f>IF(客户自备加工筐明细!$E844="",0,1)</f>
        <v>0</v>
      </c>
      <c r="CQ4844">
        <f t="shared" si="678"/>
        <v>109</v>
      </c>
    </row>
    <row r="4845" spans="94:95">
      <c r="CP4845">
        <f>IF(客户自备加工筐明细!$E845="",0,1)</f>
        <v>0</v>
      </c>
      <c r="CQ4845">
        <f t="shared" si="678"/>
        <v>109</v>
      </c>
    </row>
    <row r="4846" spans="94:95">
      <c r="CP4846">
        <f>IF(客户自备加工筐明细!$E846="",0,1)</f>
        <v>0</v>
      </c>
      <c r="CQ4846">
        <f t="shared" si="678"/>
        <v>109</v>
      </c>
    </row>
    <row r="4847" spans="94:95">
      <c r="CP4847">
        <f>IF(客户自备加工筐明细!$E847="",0,1)</f>
        <v>0</v>
      </c>
      <c r="CQ4847">
        <f t="shared" si="678"/>
        <v>109</v>
      </c>
    </row>
    <row r="4848" spans="94:95">
      <c r="CP4848">
        <f>IF(客户自备加工筐明细!$E848="",0,1)</f>
        <v>0</v>
      </c>
      <c r="CQ4848">
        <f t="shared" si="678"/>
        <v>109</v>
      </c>
    </row>
    <row r="4849" spans="94:95">
      <c r="CP4849">
        <f>IF(客户自备加工筐明细!$E849="",0,1)</f>
        <v>0</v>
      </c>
      <c r="CQ4849">
        <f t="shared" si="678"/>
        <v>109</v>
      </c>
    </row>
    <row r="4850" spans="94:95">
      <c r="CP4850">
        <f>IF(客户自备加工筐明细!$E850="",0,1)</f>
        <v>0</v>
      </c>
      <c r="CQ4850">
        <f t="shared" si="678"/>
        <v>109</v>
      </c>
    </row>
    <row r="4851" spans="94:95">
      <c r="CP4851">
        <f>IF(客户自备加工筐明细!$E851="",0,1)</f>
        <v>0</v>
      </c>
      <c r="CQ4851">
        <f t="shared" si="678"/>
        <v>109</v>
      </c>
    </row>
    <row r="4852" spans="94:95">
      <c r="CP4852">
        <f>IF(客户自备加工筐明细!$E852="",0,1)</f>
        <v>0</v>
      </c>
      <c r="CQ4852">
        <f t="shared" si="678"/>
        <v>109</v>
      </c>
    </row>
    <row r="4853" spans="94:95">
      <c r="CP4853">
        <f>IF(客户自备加工筐明细!$E853="",0,1)</f>
        <v>0</v>
      </c>
      <c r="CQ4853">
        <f t="shared" si="678"/>
        <v>109</v>
      </c>
    </row>
    <row r="4854" spans="94:95">
      <c r="CP4854">
        <f>IF(客户自备加工筐明细!$E854="",0,1)</f>
        <v>0</v>
      </c>
      <c r="CQ4854">
        <f t="shared" si="678"/>
        <v>109</v>
      </c>
    </row>
    <row r="4855" spans="94:95">
      <c r="CP4855">
        <f>IF(客户自备加工筐明细!$E855="",0,1)</f>
        <v>0</v>
      </c>
      <c r="CQ4855">
        <f t="shared" si="678"/>
        <v>109</v>
      </c>
    </row>
    <row r="4856" spans="94:95">
      <c r="CP4856">
        <f>IF(客户自备加工筐明细!$E856="",0,1)</f>
        <v>0</v>
      </c>
      <c r="CQ4856">
        <f t="shared" si="678"/>
        <v>109</v>
      </c>
    </row>
    <row r="4857" spans="94:95">
      <c r="CP4857">
        <f>IF(客户自备加工筐明细!$E857="",0,1)</f>
        <v>0</v>
      </c>
      <c r="CQ4857">
        <f t="shared" si="678"/>
        <v>109</v>
      </c>
    </row>
    <row r="4858" spans="94:95">
      <c r="CP4858">
        <f>IF(客户自备加工筐明细!$E858="",0,1)</f>
        <v>0</v>
      </c>
      <c r="CQ4858">
        <f t="shared" si="678"/>
        <v>109</v>
      </c>
    </row>
    <row r="4859" spans="94:95">
      <c r="CP4859">
        <f>IF(客户自备加工筐明细!$E859="",0,1)</f>
        <v>0</v>
      </c>
      <c r="CQ4859">
        <f t="shared" si="678"/>
        <v>109</v>
      </c>
    </row>
    <row r="4860" spans="94:95">
      <c r="CP4860">
        <f>IF(客户自备加工筐明细!$E860="",0,1)</f>
        <v>0</v>
      </c>
      <c r="CQ4860">
        <f t="shared" si="678"/>
        <v>109</v>
      </c>
    </row>
    <row r="4861" spans="94:95">
      <c r="CP4861">
        <f>IF(客户自备加工筐明细!$E861="",0,1)</f>
        <v>0</v>
      </c>
      <c r="CQ4861">
        <f t="shared" si="678"/>
        <v>109</v>
      </c>
    </row>
    <row r="4862" spans="94:95">
      <c r="CP4862">
        <f>IF(客户自备加工筐明细!$E862="",0,1)</f>
        <v>0</v>
      </c>
      <c r="CQ4862">
        <f t="shared" si="678"/>
        <v>109</v>
      </c>
    </row>
    <row r="4863" spans="94:95">
      <c r="CP4863">
        <f>IF(客户自备加工筐明细!$E863="",0,1)</f>
        <v>0</v>
      </c>
      <c r="CQ4863">
        <f t="shared" si="678"/>
        <v>109</v>
      </c>
    </row>
    <row r="4864" spans="94:95">
      <c r="CP4864">
        <f>IF(客户自备加工筐明细!$E864="",0,1)</f>
        <v>0</v>
      </c>
      <c r="CQ4864">
        <f t="shared" si="678"/>
        <v>109</v>
      </c>
    </row>
    <row r="4865" spans="94:95">
      <c r="CP4865">
        <f>IF(客户自备加工筐明细!$E865="",0,1)</f>
        <v>0</v>
      </c>
      <c r="CQ4865">
        <f t="shared" si="678"/>
        <v>109</v>
      </c>
    </row>
    <row r="4866" spans="94:95">
      <c r="CP4866">
        <f>IF(客户自备加工筐明细!$E866="",0,1)</f>
        <v>0</v>
      </c>
      <c r="CQ4866">
        <f t="shared" si="678"/>
        <v>109</v>
      </c>
    </row>
    <row r="4867" spans="94:95">
      <c r="CP4867">
        <f>IF(客户自备加工筐明细!$E867="",0,1)</f>
        <v>0</v>
      </c>
      <c r="CQ4867">
        <f t="shared" si="678"/>
        <v>109</v>
      </c>
    </row>
    <row r="4868" spans="94:95">
      <c r="CP4868">
        <f>IF(客户自备加工筐明细!$E868="",0,1)</f>
        <v>0</v>
      </c>
      <c r="CQ4868">
        <f t="shared" ref="CQ4868:CQ4931" si="679">N(CQ4867)+$CP4868</f>
        <v>109</v>
      </c>
    </row>
    <row r="4869" spans="94:95">
      <c r="CP4869">
        <f>IF(客户自备加工筐明细!$E869="",0,1)</f>
        <v>0</v>
      </c>
      <c r="CQ4869">
        <f t="shared" si="679"/>
        <v>109</v>
      </c>
    </row>
    <row r="4870" spans="94:95">
      <c r="CP4870">
        <f>IF(客户自备加工筐明细!$E870="",0,1)</f>
        <v>0</v>
      </c>
      <c r="CQ4870">
        <f t="shared" si="679"/>
        <v>109</v>
      </c>
    </row>
    <row r="4871" spans="94:95">
      <c r="CP4871">
        <f>IF(客户自备加工筐明细!$E871="",0,1)</f>
        <v>0</v>
      </c>
      <c r="CQ4871">
        <f t="shared" si="679"/>
        <v>109</v>
      </c>
    </row>
    <row r="4872" spans="94:95">
      <c r="CP4872">
        <f>IF(客户自备加工筐明细!$E872="",0,1)</f>
        <v>0</v>
      </c>
      <c r="CQ4872">
        <f t="shared" si="679"/>
        <v>109</v>
      </c>
    </row>
    <row r="4873" spans="94:95">
      <c r="CP4873">
        <f>IF(客户自备加工筐明细!$E873="",0,1)</f>
        <v>0</v>
      </c>
      <c r="CQ4873">
        <f t="shared" si="679"/>
        <v>109</v>
      </c>
    </row>
    <row r="4874" spans="94:95">
      <c r="CP4874">
        <f>IF(客户自备加工筐明细!$E874="",0,1)</f>
        <v>0</v>
      </c>
      <c r="CQ4874">
        <f t="shared" si="679"/>
        <v>109</v>
      </c>
    </row>
    <row r="4875" spans="94:95">
      <c r="CP4875">
        <f>IF(客户自备加工筐明细!$E875="",0,1)</f>
        <v>0</v>
      </c>
      <c r="CQ4875">
        <f t="shared" si="679"/>
        <v>109</v>
      </c>
    </row>
    <row r="4876" spans="94:95">
      <c r="CP4876">
        <f>IF(客户自备加工筐明细!$E876="",0,1)</f>
        <v>0</v>
      </c>
      <c r="CQ4876">
        <f t="shared" si="679"/>
        <v>109</v>
      </c>
    </row>
    <row r="4877" spans="94:95">
      <c r="CP4877">
        <f>IF(客户自备加工筐明细!$E877="",0,1)</f>
        <v>0</v>
      </c>
      <c r="CQ4877">
        <f t="shared" si="679"/>
        <v>109</v>
      </c>
    </row>
    <row r="4878" spans="94:95">
      <c r="CP4878">
        <f>IF(客户自备加工筐明细!$E878="",0,1)</f>
        <v>0</v>
      </c>
      <c r="CQ4878">
        <f t="shared" si="679"/>
        <v>109</v>
      </c>
    </row>
    <row r="4879" spans="94:95">
      <c r="CP4879">
        <f>IF(客户自备加工筐明细!$E879="",0,1)</f>
        <v>0</v>
      </c>
      <c r="CQ4879">
        <f t="shared" si="679"/>
        <v>109</v>
      </c>
    </row>
    <row r="4880" spans="94:95">
      <c r="CP4880">
        <f>IF(客户自备加工筐明细!$E880="",0,1)</f>
        <v>0</v>
      </c>
      <c r="CQ4880">
        <f t="shared" si="679"/>
        <v>109</v>
      </c>
    </row>
    <row r="4881" spans="94:95">
      <c r="CP4881">
        <f>IF(客户自备加工筐明细!$E881="",0,1)</f>
        <v>0</v>
      </c>
      <c r="CQ4881">
        <f t="shared" si="679"/>
        <v>109</v>
      </c>
    </row>
    <row r="4882" spans="94:95">
      <c r="CP4882">
        <f>IF(客户自备加工筐明细!$E882="",0,1)</f>
        <v>0</v>
      </c>
      <c r="CQ4882">
        <f t="shared" si="679"/>
        <v>109</v>
      </c>
    </row>
    <row r="4883" spans="94:95">
      <c r="CP4883">
        <f>IF(客户自备加工筐明细!$E883="",0,1)</f>
        <v>0</v>
      </c>
      <c r="CQ4883">
        <f t="shared" si="679"/>
        <v>109</v>
      </c>
    </row>
    <row r="4884" spans="94:95">
      <c r="CP4884">
        <f>IF(客户自备加工筐明细!$E884="",0,1)</f>
        <v>0</v>
      </c>
      <c r="CQ4884">
        <f t="shared" si="679"/>
        <v>109</v>
      </c>
    </row>
    <row r="4885" spans="94:95">
      <c r="CP4885">
        <f>IF(客户自备加工筐明细!$E885="",0,1)</f>
        <v>0</v>
      </c>
      <c r="CQ4885">
        <f t="shared" si="679"/>
        <v>109</v>
      </c>
    </row>
    <row r="4886" spans="94:95">
      <c r="CP4886">
        <f>IF(客户自备加工筐明细!$E886="",0,1)</f>
        <v>0</v>
      </c>
      <c r="CQ4886">
        <f t="shared" si="679"/>
        <v>109</v>
      </c>
    </row>
    <row r="4887" spans="94:95">
      <c r="CP4887">
        <f>IF(客户自备加工筐明细!$E887="",0,1)</f>
        <v>0</v>
      </c>
      <c r="CQ4887">
        <f t="shared" si="679"/>
        <v>109</v>
      </c>
    </row>
    <row r="4888" spans="94:95">
      <c r="CP4888">
        <f>IF(客户自备加工筐明细!$E888="",0,1)</f>
        <v>0</v>
      </c>
      <c r="CQ4888">
        <f t="shared" si="679"/>
        <v>109</v>
      </c>
    </row>
    <row r="4889" spans="94:95">
      <c r="CP4889">
        <f>IF(客户自备加工筐明细!$E889="",0,1)</f>
        <v>0</v>
      </c>
      <c r="CQ4889">
        <f t="shared" si="679"/>
        <v>109</v>
      </c>
    </row>
    <row r="4890" spans="94:95">
      <c r="CP4890">
        <f>IF(客户自备加工筐明细!$E890="",0,1)</f>
        <v>0</v>
      </c>
      <c r="CQ4890">
        <f t="shared" si="679"/>
        <v>109</v>
      </c>
    </row>
    <row r="4891" spans="94:95">
      <c r="CP4891">
        <f>IF(客户自备加工筐明细!$E891="",0,1)</f>
        <v>0</v>
      </c>
      <c r="CQ4891">
        <f t="shared" si="679"/>
        <v>109</v>
      </c>
    </row>
    <row r="4892" spans="94:95">
      <c r="CP4892">
        <f>IF(客户自备加工筐明细!$E892="",0,1)</f>
        <v>0</v>
      </c>
      <c r="CQ4892">
        <f t="shared" si="679"/>
        <v>109</v>
      </c>
    </row>
    <row r="4893" spans="94:95">
      <c r="CP4893">
        <f>IF(客户自备加工筐明细!$E893="",0,1)</f>
        <v>0</v>
      </c>
      <c r="CQ4893">
        <f t="shared" si="679"/>
        <v>109</v>
      </c>
    </row>
    <row r="4894" spans="94:95">
      <c r="CP4894">
        <f>IF(客户自备加工筐明细!$E894="",0,1)</f>
        <v>0</v>
      </c>
      <c r="CQ4894">
        <f t="shared" si="679"/>
        <v>109</v>
      </c>
    </row>
    <row r="4895" spans="94:95">
      <c r="CP4895">
        <f>IF(客户自备加工筐明细!$E895="",0,1)</f>
        <v>0</v>
      </c>
      <c r="CQ4895">
        <f t="shared" si="679"/>
        <v>109</v>
      </c>
    </row>
    <row r="4896" spans="94:95">
      <c r="CP4896">
        <f>IF(客户自备加工筐明细!$E896="",0,1)</f>
        <v>0</v>
      </c>
      <c r="CQ4896">
        <f t="shared" si="679"/>
        <v>109</v>
      </c>
    </row>
    <row r="4897" spans="94:95">
      <c r="CP4897">
        <f>IF(客户自备加工筐明细!$E897="",0,1)</f>
        <v>0</v>
      </c>
      <c r="CQ4897">
        <f t="shared" si="679"/>
        <v>109</v>
      </c>
    </row>
    <row r="4898" spans="94:95">
      <c r="CP4898">
        <f>IF(客户自备加工筐明细!$E898="",0,1)</f>
        <v>0</v>
      </c>
      <c r="CQ4898">
        <f t="shared" si="679"/>
        <v>109</v>
      </c>
    </row>
    <row r="4899" spans="94:95">
      <c r="CP4899">
        <f>IF(客户自备加工筐明细!$E899="",0,1)</f>
        <v>0</v>
      </c>
      <c r="CQ4899">
        <f t="shared" si="679"/>
        <v>109</v>
      </c>
    </row>
    <row r="4900" spans="94:95">
      <c r="CP4900">
        <f>IF(客户自备加工筐明细!$E900="",0,1)</f>
        <v>0</v>
      </c>
      <c r="CQ4900">
        <f t="shared" si="679"/>
        <v>109</v>
      </c>
    </row>
    <row r="4901" spans="94:95">
      <c r="CP4901">
        <f>IF(客户自备加工筐明细!$E901="",0,1)</f>
        <v>0</v>
      </c>
      <c r="CQ4901">
        <f t="shared" si="679"/>
        <v>109</v>
      </c>
    </row>
    <row r="4902" spans="94:95">
      <c r="CP4902">
        <f>IF(客户自备加工筐明细!$E902="",0,1)</f>
        <v>0</v>
      </c>
      <c r="CQ4902">
        <f t="shared" si="679"/>
        <v>109</v>
      </c>
    </row>
    <row r="4903" spans="94:95">
      <c r="CP4903">
        <f>IF(客户自备加工筐明细!$E903="",0,1)</f>
        <v>0</v>
      </c>
      <c r="CQ4903">
        <f t="shared" si="679"/>
        <v>109</v>
      </c>
    </row>
    <row r="4904" spans="94:95">
      <c r="CP4904">
        <f>IF(客户自备加工筐明细!$E904="",0,1)</f>
        <v>0</v>
      </c>
      <c r="CQ4904">
        <f t="shared" si="679"/>
        <v>109</v>
      </c>
    </row>
    <row r="4905" spans="94:95">
      <c r="CP4905">
        <f>IF(客户自备加工筐明细!$E905="",0,1)</f>
        <v>0</v>
      </c>
      <c r="CQ4905">
        <f t="shared" si="679"/>
        <v>109</v>
      </c>
    </row>
    <row r="4906" spans="94:95">
      <c r="CP4906">
        <f>IF(客户自备加工筐明细!$E906="",0,1)</f>
        <v>0</v>
      </c>
      <c r="CQ4906">
        <f t="shared" si="679"/>
        <v>109</v>
      </c>
    </row>
    <row r="4907" spans="94:95">
      <c r="CP4907">
        <f>IF(客户自备加工筐明细!$E907="",0,1)</f>
        <v>0</v>
      </c>
      <c r="CQ4907">
        <f t="shared" si="679"/>
        <v>109</v>
      </c>
    </row>
    <row r="4908" spans="94:95">
      <c r="CP4908">
        <f>IF(客户自备加工筐明细!$E908="",0,1)</f>
        <v>0</v>
      </c>
      <c r="CQ4908">
        <f t="shared" si="679"/>
        <v>109</v>
      </c>
    </row>
    <row r="4909" spans="94:95">
      <c r="CP4909">
        <f>IF(客户自备加工筐明细!$E909="",0,1)</f>
        <v>0</v>
      </c>
      <c r="CQ4909">
        <f t="shared" si="679"/>
        <v>109</v>
      </c>
    </row>
    <row r="4910" spans="94:95">
      <c r="CP4910">
        <f>IF(客户自备加工筐明细!$E910="",0,1)</f>
        <v>0</v>
      </c>
      <c r="CQ4910">
        <f t="shared" si="679"/>
        <v>109</v>
      </c>
    </row>
    <row r="4911" spans="94:95">
      <c r="CP4911">
        <f>IF(客户自备加工筐明细!$E911="",0,1)</f>
        <v>0</v>
      </c>
      <c r="CQ4911">
        <f t="shared" si="679"/>
        <v>109</v>
      </c>
    </row>
    <row r="4912" spans="94:95">
      <c r="CP4912">
        <f>IF(客户自备加工筐明细!$E912="",0,1)</f>
        <v>0</v>
      </c>
      <c r="CQ4912">
        <f t="shared" si="679"/>
        <v>109</v>
      </c>
    </row>
    <row r="4913" spans="94:95">
      <c r="CP4913">
        <f>IF(客户自备加工筐明细!$E913="",0,1)</f>
        <v>0</v>
      </c>
      <c r="CQ4913">
        <f t="shared" si="679"/>
        <v>109</v>
      </c>
    </row>
    <row r="4914" spans="94:95">
      <c r="CP4914">
        <f>IF(客户自备加工筐明细!$E914="",0,1)</f>
        <v>0</v>
      </c>
      <c r="CQ4914">
        <f t="shared" si="679"/>
        <v>109</v>
      </c>
    </row>
    <row r="4915" spans="94:95">
      <c r="CP4915">
        <f>IF(客户自备加工筐明细!$E915="",0,1)</f>
        <v>0</v>
      </c>
      <c r="CQ4915">
        <f t="shared" si="679"/>
        <v>109</v>
      </c>
    </row>
    <row r="4916" spans="94:95">
      <c r="CP4916">
        <f>IF(客户自备加工筐明细!$E916="",0,1)</f>
        <v>0</v>
      </c>
      <c r="CQ4916">
        <f t="shared" si="679"/>
        <v>109</v>
      </c>
    </row>
    <row r="4917" spans="94:95">
      <c r="CP4917">
        <f>IF(客户自备加工筐明细!$E917="",0,1)</f>
        <v>0</v>
      </c>
      <c r="CQ4917">
        <f t="shared" si="679"/>
        <v>109</v>
      </c>
    </row>
    <row r="4918" spans="94:95">
      <c r="CP4918">
        <f>IF(客户自备加工筐明细!$E918="",0,1)</f>
        <v>0</v>
      </c>
      <c r="CQ4918">
        <f t="shared" si="679"/>
        <v>109</v>
      </c>
    </row>
    <row r="4919" spans="94:95">
      <c r="CP4919">
        <f>IF(客户自备加工筐明细!$E919="",0,1)</f>
        <v>0</v>
      </c>
      <c r="CQ4919">
        <f t="shared" si="679"/>
        <v>109</v>
      </c>
    </row>
    <row r="4920" spans="94:95">
      <c r="CP4920">
        <f>IF(客户自备加工筐明细!$E920="",0,1)</f>
        <v>0</v>
      </c>
      <c r="CQ4920">
        <f t="shared" si="679"/>
        <v>109</v>
      </c>
    </row>
    <row r="4921" spans="94:95">
      <c r="CP4921">
        <f>IF(客户自备加工筐明细!$E921="",0,1)</f>
        <v>0</v>
      </c>
      <c r="CQ4921">
        <f t="shared" si="679"/>
        <v>109</v>
      </c>
    </row>
    <row r="4922" spans="94:95">
      <c r="CP4922">
        <f>IF(客户自备加工筐明细!$E922="",0,1)</f>
        <v>0</v>
      </c>
      <c r="CQ4922">
        <f t="shared" si="679"/>
        <v>109</v>
      </c>
    </row>
    <row r="4923" spans="94:95">
      <c r="CP4923">
        <f>IF(客户自备加工筐明细!$E923="",0,1)</f>
        <v>0</v>
      </c>
      <c r="CQ4923">
        <f t="shared" si="679"/>
        <v>109</v>
      </c>
    </row>
    <row r="4924" spans="94:95">
      <c r="CP4924">
        <f>IF(客户自备加工筐明细!$E924="",0,1)</f>
        <v>0</v>
      </c>
      <c r="CQ4924">
        <f t="shared" si="679"/>
        <v>109</v>
      </c>
    </row>
    <row r="4925" spans="94:95">
      <c r="CP4925">
        <f>IF(客户自备加工筐明细!$E925="",0,1)</f>
        <v>0</v>
      </c>
      <c r="CQ4925">
        <f t="shared" si="679"/>
        <v>109</v>
      </c>
    </row>
    <row r="4926" spans="94:95">
      <c r="CP4926">
        <f>IF(客户自备加工筐明细!$E926="",0,1)</f>
        <v>0</v>
      </c>
      <c r="CQ4926">
        <f t="shared" si="679"/>
        <v>109</v>
      </c>
    </row>
    <row r="4927" spans="94:95">
      <c r="CP4927">
        <f>IF(客户自备加工筐明细!$E927="",0,1)</f>
        <v>0</v>
      </c>
      <c r="CQ4927">
        <f t="shared" si="679"/>
        <v>109</v>
      </c>
    </row>
    <row r="4928" spans="94:95">
      <c r="CP4928">
        <f>IF(客户自备加工筐明细!$E928="",0,1)</f>
        <v>0</v>
      </c>
      <c r="CQ4928">
        <f t="shared" si="679"/>
        <v>109</v>
      </c>
    </row>
    <row r="4929" spans="94:95">
      <c r="CP4929">
        <f>IF(客户自备加工筐明细!$E929="",0,1)</f>
        <v>0</v>
      </c>
      <c r="CQ4929">
        <f t="shared" si="679"/>
        <v>109</v>
      </c>
    </row>
    <row r="4930" spans="94:95">
      <c r="CP4930">
        <f>IF(客户自备加工筐明细!$E930="",0,1)</f>
        <v>0</v>
      </c>
      <c r="CQ4930">
        <f t="shared" si="679"/>
        <v>109</v>
      </c>
    </row>
    <row r="4931" spans="94:95">
      <c r="CP4931">
        <f>IF(客户自备加工筐明细!$E931="",0,1)</f>
        <v>0</v>
      </c>
      <c r="CQ4931">
        <f t="shared" si="679"/>
        <v>109</v>
      </c>
    </row>
    <row r="4932" spans="94:95">
      <c r="CP4932">
        <f>IF(客户自备加工筐明细!$E932="",0,1)</f>
        <v>0</v>
      </c>
      <c r="CQ4932">
        <f t="shared" ref="CQ4932:CQ4995" si="680">N(CQ4931)+$CP4932</f>
        <v>109</v>
      </c>
    </row>
    <row r="4933" spans="94:95">
      <c r="CP4933">
        <f>IF(客户自备加工筐明细!$E933="",0,1)</f>
        <v>0</v>
      </c>
      <c r="CQ4933">
        <f t="shared" si="680"/>
        <v>109</v>
      </c>
    </row>
    <row r="4934" spans="94:95">
      <c r="CP4934">
        <f>IF(客户自备加工筐明细!$E934="",0,1)</f>
        <v>0</v>
      </c>
      <c r="CQ4934">
        <f t="shared" si="680"/>
        <v>109</v>
      </c>
    </row>
    <row r="4935" spans="94:95">
      <c r="CP4935">
        <f>IF(客户自备加工筐明细!$E935="",0,1)</f>
        <v>0</v>
      </c>
      <c r="CQ4935">
        <f t="shared" si="680"/>
        <v>109</v>
      </c>
    </row>
    <row r="4936" spans="94:95">
      <c r="CP4936">
        <f>IF(客户自备加工筐明细!$E936="",0,1)</f>
        <v>0</v>
      </c>
      <c r="CQ4936">
        <f t="shared" si="680"/>
        <v>109</v>
      </c>
    </row>
    <row r="4937" spans="94:95">
      <c r="CP4937">
        <f>IF(客户自备加工筐明细!$E937="",0,1)</f>
        <v>0</v>
      </c>
      <c r="CQ4937">
        <f t="shared" si="680"/>
        <v>109</v>
      </c>
    </row>
    <row r="4938" spans="94:95">
      <c r="CP4938">
        <f>IF(客户自备加工筐明细!$E938="",0,1)</f>
        <v>0</v>
      </c>
      <c r="CQ4938">
        <f t="shared" si="680"/>
        <v>109</v>
      </c>
    </row>
    <row r="4939" spans="94:95">
      <c r="CP4939">
        <f>IF(客户自备加工筐明细!$E939="",0,1)</f>
        <v>0</v>
      </c>
      <c r="CQ4939">
        <f t="shared" si="680"/>
        <v>109</v>
      </c>
    </row>
    <row r="4940" spans="94:95">
      <c r="CP4940">
        <f>IF(客户自备加工筐明细!$E940="",0,1)</f>
        <v>0</v>
      </c>
      <c r="CQ4940">
        <f t="shared" si="680"/>
        <v>109</v>
      </c>
    </row>
    <row r="4941" spans="94:95">
      <c r="CP4941">
        <f>IF(客户自备加工筐明细!$E941="",0,1)</f>
        <v>0</v>
      </c>
      <c r="CQ4941">
        <f t="shared" si="680"/>
        <v>109</v>
      </c>
    </row>
    <row r="4942" spans="94:95">
      <c r="CP4942">
        <f>IF(客户自备加工筐明细!$E942="",0,1)</f>
        <v>0</v>
      </c>
      <c r="CQ4942">
        <f t="shared" si="680"/>
        <v>109</v>
      </c>
    </row>
    <row r="4943" spans="94:95">
      <c r="CP4943">
        <f>IF(客户自备加工筐明细!$E943="",0,1)</f>
        <v>0</v>
      </c>
      <c r="CQ4943">
        <f t="shared" si="680"/>
        <v>109</v>
      </c>
    </row>
    <row r="4944" spans="94:95">
      <c r="CP4944">
        <f>IF(客户自备加工筐明细!$E944="",0,1)</f>
        <v>0</v>
      </c>
      <c r="CQ4944">
        <f t="shared" si="680"/>
        <v>109</v>
      </c>
    </row>
    <row r="4945" spans="94:95">
      <c r="CP4945">
        <f>IF(客户自备加工筐明细!$E945="",0,1)</f>
        <v>0</v>
      </c>
      <c r="CQ4945">
        <f t="shared" si="680"/>
        <v>109</v>
      </c>
    </row>
    <row r="4946" spans="94:95">
      <c r="CP4946">
        <f>IF(客户自备加工筐明细!$E946="",0,1)</f>
        <v>0</v>
      </c>
      <c r="CQ4946">
        <f t="shared" si="680"/>
        <v>109</v>
      </c>
    </row>
    <row r="4947" spans="94:95">
      <c r="CP4947">
        <f>IF(客户自备加工筐明细!$E947="",0,1)</f>
        <v>0</v>
      </c>
      <c r="CQ4947">
        <f t="shared" si="680"/>
        <v>109</v>
      </c>
    </row>
    <row r="4948" spans="94:95">
      <c r="CP4948">
        <f>IF(客户自备加工筐明细!$E948="",0,1)</f>
        <v>0</v>
      </c>
      <c r="CQ4948">
        <f t="shared" si="680"/>
        <v>109</v>
      </c>
    </row>
    <row r="4949" spans="94:95">
      <c r="CP4949">
        <f>IF(客户自备加工筐明细!$E949="",0,1)</f>
        <v>0</v>
      </c>
      <c r="CQ4949">
        <f t="shared" si="680"/>
        <v>109</v>
      </c>
    </row>
    <row r="4950" spans="94:95">
      <c r="CP4950">
        <f>IF(客户自备加工筐明细!$E950="",0,1)</f>
        <v>0</v>
      </c>
      <c r="CQ4950">
        <f t="shared" si="680"/>
        <v>109</v>
      </c>
    </row>
    <row r="4951" spans="94:95">
      <c r="CP4951">
        <f>IF(客户自备加工筐明细!$E951="",0,1)</f>
        <v>0</v>
      </c>
      <c r="CQ4951">
        <f t="shared" si="680"/>
        <v>109</v>
      </c>
    </row>
    <row r="4952" spans="94:95">
      <c r="CP4952">
        <f>IF(客户自备加工筐明细!$E952="",0,1)</f>
        <v>0</v>
      </c>
      <c r="CQ4952">
        <f t="shared" si="680"/>
        <v>109</v>
      </c>
    </row>
    <row r="4953" spans="94:95">
      <c r="CP4953">
        <f>IF(客户自备加工筐明细!$E953="",0,1)</f>
        <v>0</v>
      </c>
      <c r="CQ4953">
        <f t="shared" si="680"/>
        <v>109</v>
      </c>
    </row>
    <row r="4954" spans="94:95">
      <c r="CP4954">
        <f>IF(客户自备加工筐明细!$E954="",0,1)</f>
        <v>0</v>
      </c>
      <c r="CQ4954">
        <f t="shared" si="680"/>
        <v>109</v>
      </c>
    </row>
    <row r="4955" spans="94:95">
      <c r="CP4955">
        <f>IF(客户自备加工筐明细!$E955="",0,1)</f>
        <v>0</v>
      </c>
      <c r="CQ4955">
        <f t="shared" si="680"/>
        <v>109</v>
      </c>
    </row>
    <row r="4956" spans="94:95">
      <c r="CP4956">
        <f>IF(客户自备加工筐明细!$E956="",0,1)</f>
        <v>0</v>
      </c>
      <c r="CQ4956">
        <f t="shared" si="680"/>
        <v>109</v>
      </c>
    </row>
    <row r="4957" spans="94:95">
      <c r="CP4957">
        <f>IF(客户自备加工筐明细!$E957="",0,1)</f>
        <v>0</v>
      </c>
      <c r="CQ4957">
        <f t="shared" si="680"/>
        <v>109</v>
      </c>
    </row>
    <row r="4958" spans="94:95">
      <c r="CP4958">
        <f>IF(客户自备加工筐明细!$E958="",0,1)</f>
        <v>0</v>
      </c>
      <c r="CQ4958">
        <f t="shared" si="680"/>
        <v>109</v>
      </c>
    </row>
    <row r="4959" spans="94:95">
      <c r="CP4959">
        <f>IF(客户自备加工筐明细!$E959="",0,1)</f>
        <v>0</v>
      </c>
      <c r="CQ4959">
        <f t="shared" si="680"/>
        <v>109</v>
      </c>
    </row>
    <row r="4960" spans="94:95">
      <c r="CP4960">
        <f>IF(客户自备加工筐明细!$E960="",0,1)</f>
        <v>0</v>
      </c>
      <c r="CQ4960">
        <f t="shared" si="680"/>
        <v>109</v>
      </c>
    </row>
    <row r="4961" spans="94:95">
      <c r="CP4961">
        <f>IF(客户自备加工筐明细!$E961="",0,1)</f>
        <v>0</v>
      </c>
      <c r="CQ4961">
        <f t="shared" si="680"/>
        <v>109</v>
      </c>
    </row>
    <row r="4962" spans="94:95">
      <c r="CP4962">
        <f>IF(客户自备加工筐明细!$E962="",0,1)</f>
        <v>0</v>
      </c>
      <c r="CQ4962">
        <f t="shared" si="680"/>
        <v>109</v>
      </c>
    </row>
    <row r="4963" spans="94:95">
      <c r="CP4963">
        <f>IF(客户自备加工筐明细!$E963="",0,1)</f>
        <v>0</v>
      </c>
      <c r="CQ4963">
        <f t="shared" si="680"/>
        <v>109</v>
      </c>
    </row>
    <row r="4964" spans="94:95">
      <c r="CP4964">
        <f>IF(客户自备加工筐明细!$E964="",0,1)</f>
        <v>0</v>
      </c>
      <c r="CQ4964">
        <f t="shared" si="680"/>
        <v>109</v>
      </c>
    </row>
    <row r="4965" spans="94:95">
      <c r="CP4965">
        <f>IF(客户自备加工筐明细!$E965="",0,1)</f>
        <v>0</v>
      </c>
      <c r="CQ4965">
        <f t="shared" si="680"/>
        <v>109</v>
      </c>
    </row>
    <row r="4966" spans="94:95">
      <c r="CP4966">
        <f>IF(客户自备加工筐明细!$E966="",0,1)</f>
        <v>0</v>
      </c>
      <c r="CQ4966">
        <f t="shared" si="680"/>
        <v>109</v>
      </c>
    </row>
    <row r="4967" spans="94:95">
      <c r="CP4967">
        <f>IF(客户自备加工筐明细!$E967="",0,1)</f>
        <v>0</v>
      </c>
      <c r="CQ4967">
        <f t="shared" si="680"/>
        <v>109</v>
      </c>
    </row>
    <row r="4968" spans="94:95">
      <c r="CP4968">
        <f>IF(客户自备加工筐明细!$E968="",0,1)</f>
        <v>0</v>
      </c>
      <c r="CQ4968">
        <f t="shared" si="680"/>
        <v>109</v>
      </c>
    </row>
    <row r="4969" spans="94:95">
      <c r="CP4969">
        <f>IF(客户自备加工筐明细!$E969="",0,1)</f>
        <v>0</v>
      </c>
      <c r="CQ4969">
        <f t="shared" si="680"/>
        <v>109</v>
      </c>
    </row>
    <row r="4970" spans="94:95">
      <c r="CP4970">
        <f>IF(客户自备加工筐明细!$E970="",0,1)</f>
        <v>0</v>
      </c>
      <c r="CQ4970">
        <f t="shared" si="680"/>
        <v>109</v>
      </c>
    </row>
    <row r="4971" spans="94:95">
      <c r="CP4971">
        <f>IF(客户自备加工筐明细!$E971="",0,1)</f>
        <v>0</v>
      </c>
      <c r="CQ4971">
        <f t="shared" si="680"/>
        <v>109</v>
      </c>
    </row>
    <row r="4972" spans="94:95">
      <c r="CP4972">
        <f>IF(客户自备加工筐明细!$E972="",0,1)</f>
        <v>0</v>
      </c>
      <c r="CQ4972">
        <f t="shared" si="680"/>
        <v>109</v>
      </c>
    </row>
    <row r="4973" spans="94:95">
      <c r="CP4973">
        <f>IF(客户自备加工筐明细!$E973="",0,1)</f>
        <v>0</v>
      </c>
      <c r="CQ4973">
        <f t="shared" si="680"/>
        <v>109</v>
      </c>
    </row>
    <row r="4974" spans="94:95">
      <c r="CP4974">
        <f>IF(客户自备加工筐明细!$E974="",0,1)</f>
        <v>0</v>
      </c>
      <c r="CQ4974">
        <f t="shared" si="680"/>
        <v>109</v>
      </c>
    </row>
    <row r="4975" spans="94:95">
      <c r="CP4975">
        <f>IF(客户自备加工筐明细!$E975="",0,1)</f>
        <v>0</v>
      </c>
      <c r="CQ4975">
        <f t="shared" si="680"/>
        <v>109</v>
      </c>
    </row>
    <row r="4976" spans="94:95">
      <c r="CP4976">
        <f>IF(客户自备加工筐明细!$E976="",0,1)</f>
        <v>0</v>
      </c>
      <c r="CQ4976">
        <f t="shared" si="680"/>
        <v>109</v>
      </c>
    </row>
    <row r="4977" spans="94:95">
      <c r="CP4977">
        <f>IF(客户自备加工筐明细!$E977="",0,1)</f>
        <v>0</v>
      </c>
      <c r="CQ4977">
        <f t="shared" si="680"/>
        <v>109</v>
      </c>
    </row>
    <row r="4978" spans="94:95">
      <c r="CP4978">
        <f>IF(客户自备加工筐明细!$E978="",0,1)</f>
        <v>0</v>
      </c>
      <c r="CQ4978">
        <f t="shared" si="680"/>
        <v>109</v>
      </c>
    </row>
    <row r="4979" spans="94:95">
      <c r="CP4979">
        <f>IF(客户自备加工筐明细!$E979="",0,1)</f>
        <v>0</v>
      </c>
      <c r="CQ4979">
        <f t="shared" si="680"/>
        <v>109</v>
      </c>
    </row>
    <row r="4980" spans="94:95">
      <c r="CP4980">
        <f>IF(客户自备加工筐明细!$E980="",0,1)</f>
        <v>0</v>
      </c>
      <c r="CQ4980">
        <f t="shared" si="680"/>
        <v>109</v>
      </c>
    </row>
    <row r="4981" spans="94:95">
      <c r="CP4981">
        <f>IF(客户自备加工筐明细!$E981="",0,1)</f>
        <v>0</v>
      </c>
      <c r="CQ4981">
        <f t="shared" si="680"/>
        <v>109</v>
      </c>
    </row>
    <row r="4982" spans="94:95">
      <c r="CP4982">
        <f>IF(客户自备加工筐明细!$E982="",0,1)</f>
        <v>0</v>
      </c>
      <c r="CQ4982">
        <f t="shared" si="680"/>
        <v>109</v>
      </c>
    </row>
    <row r="4983" spans="94:95">
      <c r="CP4983">
        <f>IF(客户自备加工筐明细!$E983="",0,1)</f>
        <v>0</v>
      </c>
      <c r="CQ4983">
        <f t="shared" si="680"/>
        <v>109</v>
      </c>
    </row>
    <row r="4984" spans="94:95">
      <c r="CP4984">
        <f>IF(客户自备加工筐明细!$E984="",0,1)</f>
        <v>0</v>
      </c>
      <c r="CQ4984">
        <f t="shared" si="680"/>
        <v>109</v>
      </c>
    </row>
    <row r="4985" spans="94:95">
      <c r="CP4985">
        <f>IF(客户自备加工筐明细!$E985="",0,1)</f>
        <v>0</v>
      </c>
      <c r="CQ4985">
        <f t="shared" si="680"/>
        <v>109</v>
      </c>
    </row>
    <row r="4986" spans="94:95">
      <c r="CP4986">
        <f>IF(客户自备加工筐明细!$E986="",0,1)</f>
        <v>0</v>
      </c>
      <c r="CQ4986">
        <f t="shared" si="680"/>
        <v>109</v>
      </c>
    </row>
    <row r="4987" spans="94:95">
      <c r="CP4987">
        <f>IF(客户自备加工筐明细!$E987="",0,1)</f>
        <v>0</v>
      </c>
      <c r="CQ4987">
        <f t="shared" si="680"/>
        <v>109</v>
      </c>
    </row>
    <row r="4988" spans="94:95">
      <c r="CP4988">
        <f>IF(客户自备加工筐明细!$E988="",0,1)</f>
        <v>0</v>
      </c>
      <c r="CQ4988">
        <f t="shared" si="680"/>
        <v>109</v>
      </c>
    </row>
    <row r="4989" spans="94:95">
      <c r="CP4989">
        <f>IF(客户自备加工筐明细!$E989="",0,1)</f>
        <v>0</v>
      </c>
      <c r="CQ4989">
        <f t="shared" si="680"/>
        <v>109</v>
      </c>
    </row>
    <row r="4990" spans="94:95">
      <c r="CP4990">
        <f>IF(客户自备加工筐明细!$E990="",0,1)</f>
        <v>0</v>
      </c>
      <c r="CQ4990">
        <f t="shared" si="680"/>
        <v>109</v>
      </c>
    </row>
    <row r="4991" spans="94:95">
      <c r="CP4991">
        <f>IF(客户自备加工筐明细!$E991="",0,1)</f>
        <v>0</v>
      </c>
      <c r="CQ4991">
        <f t="shared" si="680"/>
        <v>109</v>
      </c>
    </row>
    <row r="4992" spans="94:95">
      <c r="CP4992">
        <f>IF(客户自备加工筐明细!$E992="",0,1)</f>
        <v>0</v>
      </c>
      <c r="CQ4992">
        <f t="shared" si="680"/>
        <v>109</v>
      </c>
    </row>
    <row r="4993" spans="94:95">
      <c r="CP4993">
        <f>IF(客户自备加工筐明细!$E993="",0,1)</f>
        <v>0</v>
      </c>
      <c r="CQ4993">
        <f t="shared" si="680"/>
        <v>109</v>
      </c>
    </row>
    <row r="4994" spans="94:95">
      <c r="CP4994">
        <f>IF(客户自备加工筐明细!$E994="",0,1)</f>
        <v>0</v>
      </c>
      <c r="CQ4994">
        <f t="shared" si="680"/>
        <v>109</v>
      </c>
    </row>
    <row r="4995" spans="94:95">
      <c r="CP4995">
        <f>IF(客户自备加工筐明细!$E995="",0,1)</f>
        <v>0</v>
      </c>
      <c r="CQ4995">
        <f t="shared" si="680"/>
        <v>109</v>
      </c>
    </row>
    <row r="4996" spans="94:95">
      <c r="CP4996">
        <f>IF(客户自备加工筐明细!$E996="",0,1)</f>
        <v>0</v>
      </c>
      <c r="CQ4996">
        <f t="shared" ref="CQ4996:CQ5059" si="681">N(CQ4995)+$CP4996</f>
        <v>109</v>
      </c>
    </row>
    <row r="4997" spans="94:95">
      <c r="CP4997">
        <f>IF(客户自备加工筐明细!$E997="",0,1)</f>
        <v>0</v>
      </c>
      <c r="CQ4997">
        <f t="shared" si="681"/>
        <v>109</v>
      </c>
    </row>
    <row r="4998" spans="94:95">
      <c r="CP4998">
        <f>IF(客户自备加工筐明细!$E998="",0,1)</f>
        <v>0</v>
      </c>
      <c r="CQ4998">
        <f t="shared" si="681"/>
        <v>109</v>
      </c>
    </row>
    <row r="4999" spans="94:95">
      <c r="CP4999">
        <f>IF(客户自备加工筐明细!$E999="",0,1)</f>
        <v>0</v>
      </c>
      <c r="CQ4999">
        <f t="shared" si="681"/>
        <v>109</v>
      </c>
    </row>
    <row r="5000" spans="94:95">
      <c r="CP5000">
        <f>IF(客户自备加工筐明细!$E1000="",0,1)</f>
        <v>0</v>
      </c>
      <c r="CQ5000">
        <f t="shared" si="681"/>
        <v>109</v>
      </c>
    </row>
    <row r="5001" spans="94:95">
      <c r="CP5001">
        <f>IF(客户自备加工筐明细!$E1001="",0,1)</f>
        <v>0</v>
      </c>
      <c r="CQ5001">
        <f t="shared" si="681"/>
        <v>109</v>
      </c>
    </row>
    <row r="5002" spans="94:95">
      <c r="CP5002">
        <f>IF(客户自备加工筐明细!$E1002="",0,1)</f>
        <v>0</v>
      </c>
      <c r="CQ5002">
        <f t="shared" si="681"/>
        <v>109</v>
      </c>
    </row>
    <row r="5003" spans="94:95">
      <c r="CP5003">
        <f>IF(客户自备加工筐明细!$E1003="",0,1)</f>
        <v>0</v>
      </c>
      <c r="CQ5003">
        <f t="shared" si="681"/>
        <v>109</v>
      </c>
    </row>
    <row r="5004" spans="94:95">
      <c r="CP5004">
        <f>IF(客户自备加工筐明细!$E1004="",0,1)</f>
        <v>0</v>
      </c>
      <c r="CQ5004">
        <f t="shared" si="681"/>
        <v>109</v>
      </c>
    </row>
    <row r="5005" spans="94:95">
      <c r="CP5005">
        <f>IF(客户自备加工筐明细!$E1005="",0,1)</f>
        <v>0</v>
      </c>
      <c r="CQ5005">
        <f t="shared" si="681"/>
        <v>109</v>
      </c>
    </row>
    <row r="5006" spans="94:95">
      <c r="CP5006">
        <f>IF(客户自备加工筐明细!$E1006="",0,1)</f>
        <v>0</v>
      </c>
      <c r="CQ5006">
        <f t="shared" si="681"/>
        <v>109</v>
      </c>
    </row>
    <row r="5007" spans="94:95">
      <c r="CP5007">
        <f>IF(客户自备加工筐明细!$E1007="",0,1)</f>
        <v>0</v>
      </c>
      <c r="CQ5007">
        <f t="shared" si="681"/>
        <v>109</v>
      </c>
    </row>
    <row r="5008" spans="94:95">
      <c r="CP5008">
        <f>IF(客户自备加工筐明细!$E1008="",0,1)</f>
        <v>0</v>
      </c>
      <c r="CQ5008">
        <f t="shared" si="681"/>
        <v>109</v>
      </c>
    </row>
    <row r="5009" spans="94:95">
      <c r="CP5009">
        <f>IF(客户自备加工筐明细!$E1009="",0,1)</f>
        <v>0</v>
      </c>
      <c r="CQ5009">
        <f t="shared" si="681"/>
        <v>109</v>
      </c>
    </row>
    <row r="5010" spans="94:95">
      <c r="CP5010">
        <f>IF(客户自备加工筐明细!$E1010="",0,1)</f>
        <v>0</v>
      </c>
      <c r="CQ5010">
        <f t="shared" si="681"/>
        <v>109</v>
      </c>
    </row>
    <row r="5011" spans="94:95">
      <c r="CP5011">
        <f>IF(客户自备加工筐明细!$E1011="",0,1)</f>
        <v>0</v>
      </c>
      <c r="CQ5011">
        <f t="shared" si="681"/>
        <v>109</v>
      </c>
    </row>
    <row r="5012" spans="94:95">
      <c r="CP5012">
        <f>IF(客户自备加工筐明细!$E1012="",0,1)</f>
        <v>0</v>
      </c>
      <c r="CQ5012">
        <f t="shared" si="681"/>
        <v>109</v>
      </c>
    </row>
    <row r="5013" spans="94:95">
      <c r="CP5013">
        <f>IF(客户自备加工筐明细!$E1013="",0,1)</f>
        <v>0</v>
      </c>
      <c r="CQ5013">
        <f t="shared" si="681"/>
        <v>109</v>
      </c>
    </row>
    <row r="5014" spans="94:95">
      <c r="CP5014">
        <f>IF(客户自备加工筐明细!$E1014="",0,1)</f>
        <v>0</v>
      </c>
      <c r="CQ5014">
        <f t="shared" si="681"/>
        <v>109</v>
      </c>
    </row>
    <row r="5015" spans="94:95">
      <c r="CP5015">
        <f>IF(客户自备加工筐明细!$E1015="",0,1)</f>
        <v>0</v>
      </c>
      <c r="CQ5015">
        <f t="shared" si="681"/>
        <v>109</v>
      </c>
    </row>
    <row r="5016" spans="94:95">
      <c r="CP5016">
        <f>IF(客户自备加工筐明细!$E1016="",0,1)</f>
        <v>0</v>
      </c>
      <c r="CQ5016">
        <f t="shared" si="681"/>
        <v>109</v>
      </c>
    </row>
    <row r="5017" spans="94:95">
      <c r="CP5017">
        <f>IF(客户自备加工筐明细!$E1017="",0,1)</f>
        <v>0</v>
      </c>
      <c r="CQ5017">
        <f t="shared" si="681"/>
        <v>109</v>
      </c>
    </row>
    <row r="5018" spans="94:95">
      <c r="CP5018">
        <f>IF(客户自备加工筐明细!$E1018="",0,1)</f>
        <v>0</v>
      </c>
      <c r="CQ5018">
        <f t="shared" si="681"/>
        <v>109</v>
      </c>
    </row>
    <row r="5019" spans="94:95">
      <c r="CP5019">
        <f>IF(客户自备加工筐明细!$E1019="",0,1)</f>
        <v>0</v>
      </c>
      <c r="CQ5019">
        <f t="shared" si="681"/>
        <v>109</v>
      </c>
    </row>
    <row r="5020" spans="94:95">
      <c r="CP5020">
        <f>IF(客户自备加工筐明细!$E1020="",0,1)</f>
        <v>0</v>
      </c>
      <c r="CQ5020">
        <f t="shared" si="681"/>
        <v>109</v>
      </c>
    </row>
    <row r="5021" spans="94:95">
      <c r="CP5021">
        <f>IF(客户自备加工筐明细!$E1021="",0,1)</f>
        <v>0</v>
      </c>
      <c r="CQ5021">
        <f t="shared" si="681"/>
        <v>109</v>
      </c>
    </row>
    <row r="5022" spans="94:95">
      <c r="CP5022">
        <f>IF(客户自备加工筐明细!$E1022="",0,1)</f>
        <v>0</v>
      </c>
      <c r="CQ5022">
        <f t="shared" si="681"/>
        <v>109</v>
      </c>
    </row>
    <row r="5023" spans="94:95">
      <c r="CP5023">
        <f>IF(客户自备加工筐明细!$E1023="",0,1)</f>
        <v>0</v>
      </c>
      <c r="CQ5023">
        <f t="shared" si="681"/>
        <v>109</v>
      </c>
    </row>
    <row r="5024" spans="94:95">
      <c r="CP5024">
        <f>IF(客户自备加工筐明细!$E1024="",0,1)</f>
        <v>0</v>
      </c>
      <c r="CQ5024">
        <f t="shared" si="681"/>
        <v>109</v>
      </c>
    </row>
    <row r="5025" spans="94:95">
      <c r="CP5025">
        <f>IF(客户自备加工筐明细!$E1025="",0,1)</f>
        <v>0</v>
      </c>
      <c r="CQ5025">
        <f t="shared" si="681"/>
        <v>109</v>
      </c>
    </row>
    <row r="5026" spans="94:95">
      <c r="CP5026">
        <f>IF(客户自备加工筐明细!$E1026="",0,1)</f>
        <v>0</v>
      </c>
      <c r="CQ5026">
        <f t="shared" si="681"/>
        <v>109</v>
      </c>
    </row>
    <row r="5027" spans="94:95">
      <c r="CP5027">
        <f>IF(客户自备加工筐明细!$E1027="",0,1)</f>
        <v>0</v>
      </c>
      <c r="CQ5027">
        <f t="shared" si="681"/>
        <v>109</v>
      </c>
    </row>
    <row r="5028" spans="94:95">
      <c r="CP5028">
        <f>IF(客户自备加工筐明细!$E1028="",0,1)</f>
        <v>0</v>
      </c>
      <c r="CQ5028">
        <f t="shared" si="681"/>
        <v>109</v>
      </c>
    </row>
    <row r="5029" spans="94:95">
      <c r="CP5029">
        <f>IF(客户自备加工筐明细!$E1029="",0,1)</f>
        <v>0</v>
      </c>
      <c r="CQ5029">
        <f t="shared" si="681"/>
        <v>109</v>
      </c>
    </row>
    <row r="5030" spans="94:95">
      <c r="CP5030">
        <f>IF(客户自备加工筐明细!$E1030="",0,1)</f>
        <v>0</v>
      </c>
      <c r="CQ5030">
        <f t="shared" si="681"/>
        <v>109</v>
      </c>
    </row>
    <row r="5031" spans="94:95">
      <c r="CP5031">
        <f>IF(客户自备加工筐明细!$E1031="",0,1)</f>
        <v>0</v>
      </c>
      <c r="CQ5031">
        <f t="shared" si="681"/>
        <v>109</v>
      </c>
    </row>
    <row r="5032" spans="94:95">
      <c r="CP5032">
        <f>IF(客户自备加工筐明细!$E1032="",0,1)</f>
        <v>0</v>
      </c>
      <c r="CQ5032">
        <f t="shared" si="681"/>
        <v>109</v>
      </c>
    </row>
    <row r="5033" spans="94:95">
      <c r="CP5033">
        <f>IF(客户自备加工筐明细!$E1033="",0,1)</f>
        <v>0</v>
      </c>
      <c r="CQ5033">
        <f t="shared" si="681"/>
        <v>109</v>
      </c>
    </row>
    <row r="5034" spans="94:95">
      <c r="CP5034">
        <f>IF(客户自备加工筐明细!$E1034="",0,1)</f>
        <v>0</v>
      </c>
      <c r="CQ5034">
        <f t="shared" si="681"/>
        <v>109</v>
      </c>
    </row>
    <row r="5035" spans="94:95">
      <c r="CP5035">
        <f>IF(客户自备加工筐明细!$E1035="",0,1)</f>
        <v>0</v>
      </c>
      <c r="CQ5035">
        <f t="shared" si="681"/>
        <v>109</v>
      </c>
    </row>
    <row r="5036" spans="94:95">
      <c r="CP5036">
        <f>IF(客户自备加工筐明细!$E1036="",0,1)</f>
        <v>0</v>
      </c>
      <c r="CQ5036">
        <f t="shared" si="681"/>
        <v>109</v>
      </c>
    </row>
    <row r="5037" spans="94:95">
      <c r="CP5037">
        <f>IF(客户自备加工筐明细!$E1037="",0,1)</f>
        <v>0</v>
      </c>
      <c r="CQ5037">
        <f t="shared" si="681"/>
        <v>109</v>
      </c>
    </row>
    <row r="5038" spans="94:95">
      <c r="CP5038">
        <f>IF(客户自备加工筐明细!$E1038="",0,1)</f>
        <v>0</v>
      </c>
      <c r="CQ5038">
        <f t="shared" si="681"/>
        <v>109</v>
      </c>
    </row>
    <row r="5039" spans="94:95">
      <c r="CP5039">
        <f>IF(客户自备加工筐明细!$E1039="",0,1)</f>
        <v>0</v>
      </c>
      <c r="CQ5039">
        <f t="shared" si="681"/>
        <v>109</v>
      </c>
    </row>
    <row r="5040" spans="94:95">
      <c r="CP5040">
        <f>IF(客户自备加工筐明细!$E1040="",0,1)</f>
        <v>0</v>
      </c>
      <c r="CQ5040">
        <f t="shared" si="681"/>
        <v>109</v>
      </c>
    </row>
    <row r="5041" spans="94:95">
      <c r="CP5041">
        <f>IF(客户自备加工筐明细!$E1041="",0,1)</f>
        <v>0</v>
      </c>
      <c r="CQ5041">
        <f t="shared" si="681"/>
        <v>109</v>
      </c>
    </row>
    <row r="5042" spans="94:95">
      <c r="CP5042">
        <f>IF(客户自备加工筐明细!$E1042="",0,1)</f>
        <v>0</v>
      </c>
      <c r="CQ5042">
        <f t="shared" si="681"/>
        <v>109</v>
      </c>
    </row>
    <row r="5043" spans="94:95">
      <c r="CP5043">
        <f>IF(客户自备加工筐明细!$E1043="",0,1)</f>
        <v>0</v>
      </c>
      <c r="CQ5043">
        <f t="shared" si="681"/>
        <v>109</v>
      </c>
    </row>
    <row r="5044" spans="94:95">
      <c r="CP5044">
        <f>IF(客户自备加工筐明细!$E1044="",0,1)</f>
        <v>0</v>
      </c>
      <c r="CQ5044">
        <f t="shared" si="681"/>
        <v>109</v>
      </c>
    </row>
    <row r="5045" spans="94:95">
      <c r="CP5045">
        <f>IF(客户自备加工筐明细!$E1045="",0,1)</f>
        <v>0</v>
      </c>
      <c r="CQ5045">
        <f t="shared" si="681"/>
        <v>109</v>
      </c>
    </row>
    <row r="5046" spans="94:95">
      <c r="CP5046">
        <f>IF(客户自备加工筐明细!$E1046="",0,1)</f>
        <v>0</v>
      </c>
      <c r="CQ5046">
        <f t="shared" si="681"/>
        <v>109</v>
      </c>
    </row>
    <row r="5047" spans="94:95">
      <c r="CP5047">
        <f>IF(客户自备加工筐明细!$E1047="",0,1)</f>
        <v>0</v>
      </c>
      <c r="CQ5047">
        <f t="shared" si="681"/>
        <v>109</v>
      </c>
    </row>
    <row r="5048" spans="94:95">
      <c r="CP5048">
        <f>IF(客户自备加工筐明细!$E1048="",0,1)</f>
        <v>0</v>
      </c>
      <c r="CQ5048">
        <f t="shared" si="681"/>
        <v>109</v>
      </c>
    </row>
    <row r="5049" spans="94:95">
      <c r="CP5049">
        <f>IF(客户自备加工筐明细!$E1049="",0,1)</f>
        <v>0</v>
      </c>
      <c r="CQ5049">
        <f t="shared" si="681"/>
        <v>109</v>
      </c>
    </row>
    <row r="5050" spans="94:95">
      <c r="CP5050">
        <f>IF(客户自备加工筐明细!$E1050="",0,1)</f>
        <v>0</v>
      </c>
      <c r="CQ5050">
        <f t="shared" si="681"/>
        <v>109</v>
      </c>
    </row>
    <row r="5051" spans="94:95">
      <c r="CP5051">
        <f>IF(客户自备加工筐明细!$E1051="",0,1)</f>
        <v>0</v>
      </c>
      <c r="CQ5051">
        <f t="shared" si="681"/>
        <v>109</v>
      </c>
    </row>
    <row r="5052" spans="94:95">
      <c r="CP5052">
        <f>IF(客户自备加工筐明细!$E1052="",0,1)</f>
        <v>0</v>
      </c>
      <c r="CQ5052">
        <f t="shared" si="681"/>
        <v>109</v>
      </c>
    </row>
    <row r="5053" spans="94:95">
      <c r="CP5053">
        <f>IF(客户自备加工筐明细!$E1053="",0,1)</f>
        <v>0</v>
      </c>
      <c r="CQ5053">
        <f t="shared" si="681"/>
        <v>109</v>
      </c>
    </row>
    <row r="5054" spans="94:95">
      <c r="CP5054">
        <f>IF(客户自备加工筐明细!$E1054="",0,1)</f>
        <v>0</v>
      </c>
      <c r="CQ5054">
        <f t="shared" si="681"/>
        <v>109</v>
      </c>
    </row>
    <row r="5055" spans="94:95">
      <c r="CP5055">
        <f>IF(客户自备加工筐明细!$E1055="",0,1)</f>
        <v>0</v>
      </c>
      <c r="CQ5055">
        <f t="shared" si="681"/>
        <v>109</v>
      </c>
    </row>
    <row r="5056" spans="94:95">
      <c r="CP5056">
        <f>IF(客户自备加工筐明细!$E1056="",0,1)</f>
        <v>0</v>
      </c>
      <c r="CQ5056">
        <f t="shared" si="681"/>
        <v>109</v>
      </c>
    </row>
    <row r="5057" spans="94:95">
      <c r="CP5057">
        <f>IF(客户自备加工筐明细!$E1057="",0,1)</f>
        <v>0</v>
      </c>
      <c r="CQ5057">
        <f t="shared" si="681"/>
        <v>109</v>
      </c>
    </row>
    <row r="5058" spans="94:95">
      <c r="CP5058">
        <f>IF(客户自备加工筐明细!$E1058="",0,1)</f>
        <v>0</v>
      </c>
      <c r="CQ5058">
        <f t="shared" si="681"/>
        <v>109</v>
      </c>
    </row>
    <row r="5059" spans="94:95">
      <c r="CP5059">
        <f>IF(客户自备加工筐明细!$E1059="",0,1)</f>
        <v>0</v>
      </c>
      <c r="CQ5059">
        <f t="shared" si="681"/>
        <v>109</v>
      </c>
    </row>
    <row r="5060" spans="94:95">
      <c r="CP5060">
        <f>IF(客户自备加工筐明细!$E1060="",0,1)</f>
        <v>0</v>
      </c>
      <c r="CQ5060">
        <f t="shared" ref="CQ5060:CQ5123" si="682">N(CQ5059)+$CP5060</f>
        <v>109</v>
      </c>
    </row>
    <row r="5061" spans="94:95">
      <c r="CP5061">
        <f>IF(客户自备加工筐明细!$E1061="",0,1)</f>
        <v>0</v>
      </c>
      <c r="CQ5061">
        <f t="shared" si="682"/>
        <v>109</v>
      </c>
    </row>
    <row r="5062" spans="94:95">
      <c r="CP5062">
        <f>IF(客户自备加工筐明细!$E1062="",0,1)</f>
        <v>0</v>
      </c>
      <c r="CQ5062">
        <f t="shared" si="682"/>
        <v>109</v>
      </c>
    </row>
    <row r="5063" spans="94:95">
      <c r="CP5063">
        <f>IF(客户自备加工筐明细!$E1063="",0,1)</f>
        <v>0</v>
      </c>
      <c r="CQ5063">
        <f t="shared" si="682"/>
        <v>109</v>
      </c>
    </row>
    <row r="5064" spans="94:95">
      <c r="CP5064">
        <f>IF(客户自备加工筐明细!$E1064="",0,1)</f>
        <v>0</v>
      </c>
      <c r="CQ5064">
        <f t="shared" si="682"/>
        <v>109</v>
      </c>
    </row>
    <row r="5065" spans="94:95">
      <c r="CP5065">
        <f>IF(客户自备加工筐明细!$E1065="",0,1)</f>
        <v>0</v>
      </c>
      <c r="CQ5065">
        <f t="shared" si="682"/>
        <v>109</v>
      </c>
    </row>
    <row r="5066" spans="94:95">
      <c r="CP5066">
        <f>IF(客户自备加工筐明细!$E1066="",0,1)</f>
        <v>0</v>
      </c>
      <c r="CQ5066">
        <f t="shared" si="682"/>
        <v>109</v>
      </c>
    </row>
    <row r="5067" spans="94:95">
      <c r="CP5067">
        <f>IF(客户自备加工筐明细!$E1067="",0,1)</f>
        <v>0</v>
      </c>
      <c r="CQ5067">
        <f t="shared" si="682"/>
        <v>109</v>
      </c>
    </row>
    <row r="5068" spans="94:95">
      <c r="CP5068">
        <f>IF(客户自备加工筐明细!$E1068="",0,1)</f>
        <v>0</v>
      </c>
      <c r="CQ5068">
        <f t="shared" si="682"/>
        <v>109</v>
      </c>
    </row>
    <row r="5069" spans="94:95">
      <c r="CP5069">
        <f>IF(客户自备加工筐明细!$E1069="",0,1)</f>
        <v>0</v>
      </c>
      <c r="CQ5069">
        <f t="shared" si="682"/>
        <v>109</v>
      </c>
    </row>
    <row r="5070" spans="94:95">
      <c r="CP5070">
        <f>IF(客户自备加工筐明细!$E1070="",0,1)</f>
        <v>0</v>
      </c>
      <c r="CQ5070">
        <f t="shared" si="682"/>
        <v>109</v>
      </c>
    </row>
    <row r="5071" spans="94:95">
      <c r="CP5071">
        <f>IF(客户自备加工筐明细!$E1071="",0,1)</f>
        <v>0</v>
      </c>
      <c r="CQ5071">
        <f t="shared" si="682"/>
        <v>109</v>
      </c>
    </row>
    <row r="5072" spans="94:95">
      <c r="CP5072">
        <f>IF(客户自备加工筐明细!$E1072="",0,1)</f>
        <v>0</v>
      </c>
      <c r="CQ5072">
        <f t="shared" si="682"/>
        <v>109</v>
      </c>
    </row>
    <row r="5073" spans="94:95">
      <c r="CP5073">
        <f>IF(客户自备加工筐明细!$E1073="",0,1)</f>
        <v>0</v>
      </c>
      <c r="CQ5073">
        <f t="shared" si="682"/>
        <v>109</v>
      </c>
    </row>
    <row r="5074" spans="94:95">
      <c r="CP5074">
        <f>IF(客户自备加工筐明细!$E1074="",0,1)</f>
        <v>0</v>
      </c>
      <c r="CQ5074">
        <f t="shared" si="682"/>
        <v>109</v>
      </c>
    </row>
    <row r="5075" spans="94:95">
      <c r="CP5075">
        <f>IF(客户自备加工筐明细!$E1075="",0,1)</f>
        <v>0</v>
      </c>
      <c r="CQ5075">
        <f t="shared" si="682"/>
        <v>109</v>
      </c>
    </row>
    <row r="5076" spans="94:95">
      <c r="CP5076">
        <f>IF(客户自备加工筐明细!$E1076="",0,1)</f>
        <v>0</v>
      </c>
      <c r="CQ5076">
        <f t="shared" si="682"/>
        <v>109</v>
      </c>
    </row>
    <row r="5077" spans="94:95">
      <c r="CP5077">
        <f>IF(客户自备加工筐明细!$E1077="",0,1)</f>
        <v>0</v>
      </c>
      <c r="CQ5077">
        <f t="shared" si="682"/>
        <v>109</v>
      </c>
    </row>
    <row r="5078" spans="94:95">
      <c r="CP5078">
        <f>IF(客户自备加工筐明细!$E1078="",0,1)</f>
        <v>0</v>
      </c>
      <c r="CQ5078">
        <f t="shared" si="682"/>
        <v>109</v>
      </c>
    </row>
    <row r="5079" spans="94:95">
      <c r="CP5079">
        <f>IF(客户自备加工筐明细!$E1079="",0,1)</f>
        <v>0</v>
      </c>
      <c r="CQ5079">
        <f t="shared" si="682"/>
        <v>109</v>
      </c>
    </row>
    <row r="5080" spans="94:95">
      <c r="CP5080">
        <f>IF(客户自备加工筐明细!$E1080="",0,1)</f>
        <v>0</v>
      </c>
      <c r="CQ5080">
        <f t="shared" si="682"/>
        <v>109</v>
      </c>
    </row>
    <row r="5081" spans="94:95">
      <c r="CP5081">
        <f>IF(客户自备加工筐明细!$E1081="",0,1)</f>
        <v>0</v>
      </c>
      <c r="CQ5081">
        <f t="shared" si="682"/>
        <v>109</v>
      </c>
    </row>
    <row r="5082" spans="94:95">
      <c r="CP5082">
        <f>IF(客户自备加工筐明细!$E1082="",0,1)</f>
        <v>0</v>
      </c>
      <c r="CQ5082">
        <f t="shared" si="682"/>
        <v>109</v>
      </c>
    </row>
    <row r="5083" spans="94:95">
      <c r="CP5083">
        <f>IF(客户自备加工筐明细!$E1083="",0,1)</f>
        <v>0</v>
      </c>
      <c r="CQ5083">
        <f t="shared" si="682"/>
        <v>109</v>
      </c>
    </row>
    <row r="5084" spans="94:95">
      <c r="CP5084">
        <f>IF(客户自备加工筐明细!$E1084="",0,1)</f>
        <v>0</v>
      </c>
      <c r="CQ5084">
        <f t="shared" si="682"/>
        <v>109</v>
      </c>
    </row>
    <row r="5085" spans="94:95">
      <c r="CP5085">
        <f>IF(客户自备加工筐明细!$E1085="",0,1)</f>
        <v>0</v>
      </c>
      <c r="CQ5085">
        <f t="shared" si="682"/>
        <v>109</v>
      </c>
    </row>
    <row r="5086" spans="94:95">
      <c r="CP5086">
        <f>IF(客户自备加工筐明细!$E1086="",0,1)</f>
        <v>0</v>
      </c>
      <c r="CQ5086">
        <f t="shared" si="682"/>
        <v>109</v>
      </c>
    </row>
    <row r="5087" spans="94:95">
      <c r="CP5087">
        <f>IF(客户自备加工筐明细!$E1087="",0,1)</f>
        <v>0</v>
      </c>
      <c r="CQ5087">
        <f t="shared" si="682"/>
        <v>109</v>
      </c>
    </row>
    <row r="5088" spans="94:95">
      <c r="CP5088">
        <f>IF(客户自备加工筐明细!$E1088="",0,1)</f>
        <v>0</v>
      </c>
      <c r="CQ5088">
        <f t="shared" si="682"/>
        <v>109</v>
      </c>
    </row>
    <row r="5089" spans="94:95">
      <c r="CP5089">
        <f>IF(客户自备加工筐明细!$E1089="",0,1)</f>
        <v>0</v>
      </c>
      <c r="CQ5089">
        <f t="shared" si="682"/>
        <v>109</v>
      </c>
    </row>
    <row r="5090" spans="94:95">
      <c r="CP5090">
        <f>IF(客户自备加工筐明细!$E1090="",0,1)</f>
        <v>0</v>
      </c>
      <c r="CQ5090">
        <f t="shared" si="682"/>
        <v>109</v>
      </c>
    </row>
    <row r="5091" spans="94:95">
      <c r="CP5091">
        <f>IF(客户自备加工筐明细!$E1091="",0,1)</f>
        <v>0</v>
      </c>
      <c r="CQ5091">
        <f t="shared" si="682"/>
        <v>109</v>
      </c>
    </row>
    <row r="5092" spans="94:95">
      <c r="CP5092">
        <f>IF(客户自备加工筐明细!$E1092="",0,1)</f>
        <v>0</v>
      </c>
      <c r="CQ5092">
        <f t="shared" si="682"/>
        <v>109</v>
      </c>
    </row>
    <row r="5093" spans="94:95">
      <c r="CP5093">
        <f>IF(客户自备加工筐明细!$E1093="",0,1)</f>
        <v>0</v>
      </c>
      <c r="CQ5093">
        <f t="shared" si="682"/>
        <v>109</v>
      </c>
    </row>
    <row r="5094" spans="94:95">
      <c r="CP5094">
        <f>IF(客户自备加工筐明细!$E1094="",0,1)</f>
        <v>0</v>
      </c>
      <c r="CQ5094">
        <f t="shared" si="682"/>
        <v>109</v>
      </c>
    </row>
    <row r="5095" spans="94:95">
      <c r="CP5095">
        <f>IF(客户自备加工筐明细!$E1095="",0,1)</f>
        <v>0</v>
      </c>
      <c r="CQ5095">
        <f t="shared" si="682"/>
        <v>109</v>
      </c>
    </row>
    <row r="5096" spans="94:95">
      <c r="CP5096">
        <f>IF(客户自备加工筐明细!$E1096="",0,1)</f>
        <v>0</v>
      </c>
      <c r="CQ5096">
        <f t="shared" si="682"/>
        <v>109</v>
      </c>
    </row>
    <row r="5097" spans="94:95">
      <c r="CP5097">
        <f>IF(客户自备加工筐明细!$E1097="",0,1)</f>
        <v>0</v>
      </c>
      <c r="CQ5097">
        <f t="shared" si="682"/>
        <v>109</v>
      </c>
    </row>
    <row r="5098" spans="94:95">
      <c r="CP5098">
        <f>IF(客户自备加工筐明细!$E1098="",0,1)</f>
        <v>0</v>
      </c>
      <c r="CQ5098">
        <f t="shared" si="682"/>
        <v>109</v>
      </c>
    </row>
    <row r="5099" spans="94:95">
      <c r="CP5099">
        <f>IF(客户自备加工筐明细!$E1099="",0,1)</f>
        <v>0</v>
      </c>
      <c r="CQ5099">
        <f t="shared" si="682"/>
        <v>109</v>
      </c>
    </row>
    <row r="5100" spans="94:95">
      <c r="CP5100">
        <f>IF(客户自备加工筐明细!$E1100="",0,1)</f>
        <v>0</v>
      </c>
      <c r="CQ5100">
        <f t="shared" si="682"/>
        <v>109</v>
      </c>
    </row>
    <row r="5101" spans="94:95">
      <c r="CP5101">
        <f>IF(客户自备加工筐明细!$E1101="",0,1)</f>
        <v>0</v>
      </c>
      <c r="CQ5101">
        <f t="shared" si="682"/>
        <v>109</v>
      </c>
    </row>
    <row r="5102" spans="94:95">
      <c r="CP5102">
        <f>IF(客户自备加工筐明细!$E1102="",0,1)</f>
        <v>0</v>
      </c>
      <c r="CQ5102">
        <f t="shared" si="682"/>
        <v>109</v>
      </c>
    </row>
    <row r="5103" spans="94:95">
      <c r="CP5103">
        <f>IF(客户自备加工筐明细!$E1103="",0,1)</f>
        <v>0</v>
      </c>
      <c r="CQ5103">
        <f t="shared" si="682"/>
        <v>109</v>
      </c>
    </row>
    <row r="5104" spans="94:95">
      <c r="CP5104">
        <f>IF(客户自备加工筐明细!$E1104="",0,1)</f>
        <v>0</v>
      </c>
      <c r="CQ5104">
        <f t="shared" si="682"/>
        <v>109</v>
      </c>
    </row>
    <row r="5105" spans="94:95">
      <c r="CP5105">
        <f>IF(客户自备加工筐明细!$E1105="",0,1)</f>
        <v>0</v>
      </c>
      <c r="CQ5105">
        <f t="shared" si="682"/>
        <v>109</v>
      </c>
    </row>
    <row r="5106" spans="94:95">
      <c r="CP5106">
        <f>IF(客户自备加工筐明细!$E1106="",0,1)</f>
        <v>0</v>
      </c>
      <c r="CQ5106">
        <f t="shared" si="682"/>
        <v>109</v>
      </c>
    </row>
    <row r="5107" spans="94:95">
      <c r="CP5107">
        <f>IF(客户自备加工筐明细!$E1107="",0,1)</f>
        <v>0</v>
      </c>
      <c r="CQ5107">
        <f t="shared" si="682"/>
        <v>109</v>
      </c>
    </row>
    <row r="5108" spans="94:95">
      <c r="CP5108">
        <f>IF(客户自备加工筐明细!$E1108="",0,1)</f>
        <v>0</v>
      </c>
      <c r="CQ5108">
        <f t="shared" si="682"/>
        <v>109</v>
      </c>
    </row>
    <row r="5109" spans="94:95">
      <c r="CP5109">
        <f>IF(客户自备加工筐明细!$E1109="",0,1)</f>
        <v>0</v>
      </c>
      <c r="CQ5109">
        <f t="shared" si="682"/>
        <v>109</v>
      </c>
    </row>
    <row r="5110" spans="94:95">
      <c r="CP5110">
        <f>IF(客户自备加工筐明细!$E1110="",0,1)</f>
        <v>0</v>
      </c>
      <c r="CQ5110">
        <f t="shared" si="682"/>
        <v>109</v>
      </c>
    </row>
    <row r="5111" spans="94:95">
      <c r="CP5111">
        <f>IF(客户自备加工筐明细!$E1111="",0,1)</f>
        <v>0</v>
      </c>
      <c r="CQ5111">
        <f t="shared" si="682"/>
        <v>109</v>
      </c>
    </row>
    <row r="5112" spans="94:95">
      <c r="CP5112">
        <f>IF(客户自备加工筐明细!$E1112="",0,1)</f>
        <v>0</v>
      </c>
      <c r="CQ5112">
        <f t="shared" si="682"/>
        <v>109</v>
      </c>
    </row>
    <row r="5113" spans="94:95">
      <c r="CP5113">
        <f>IF(客户自备加工筐明细!$E1113="",0,1)</f>
        <v>0</v>
      </c>
      <c r="CQ5113">
        <f t="shared" si="682"/>
        <v>109</v>
      </c>
    </row>
    <row r="5114" spans="94:95">
      <c r="CP5114">
        <f>IF(客户自备加工筐明细!$E1114="",0,1)</f>
        <v>0</v>
      </c>
      <c r="CQ5114">
        <f t="shared" si="682"/>
        <v>109</v>
      </c>
    </row>
    <row r="5115" spans="94:95">
      <c r="CP5115">
        <f>IF(客户自备加工筐明细!$E1115="",0,1)</f>
        <v>0</v>
      </c>
      <c r="CQ5115">
        <f t="shared" si="682"/>
        <v>109</v>
      </c>
    </row>
    <row r="5116" spans="94:95">
      <c r="CP5116">
        <f>IF(客户自备加工筐明细!$E1116="",0,1)</f>
        <v>0</v>
      </c>
      <c r="CQ5116">
        <f t="shared" si="682"/>
        <v>109</v>
      </c>
    </row>
    <row r="5117" spans="94:95">
      <c r="CP5117">
        <f>IF(客户自备加工筐明细!$E1117="",0,1)</f>
        <v>0</v>
      </c>
      <c r="CQ5117">
        <f t="shared" si="682"/>
        <v>109</v>
      </c>
    </row>
    <row r="5118" spans="94:95">
      <c r="CP5118">
        <f>IF(客户自备加工筐明细!$E1118="",0,1)</f>
        <v>0</v>
      </c>
      <c r="CQ5118">
        <f t="shared" si="682"/>
        <v>109</v>
      </c>
    </row>
    <row r="5119" spans="94:95">
      <c r="CP5119">
        <f>IF(客户自备加工筐明细!$E1119="",0,1)</f>
        <v>0</v>
      </c>
      <c r="CQ5119">
        <f t="shared" si="682"/>
        <v>109</v>
      </c>
    </row>
    <row r="5120" spans="94:95">
      <c r="CP5120">
        <f>IF(客户自备加工筐明细!$E1120="",0,1)</f>
        <v>0</v>
      </c>
      <c r="CQ5120">
        <f t="shared" si="682"/>
        <v>109</v>
      </c>
    </row>
    <row r="5121" spans="94:95">
      <c r="CP5121">
        <f>IF(客户自备加工筐明细!$E1121="",0,1)</f>
        <v>0</v>
      </c>
      <c r="CQ5121">
        <f t="shared" si="682"/>
        <v>109</v>
      </c>
    </row>
    <row r="5122" spans="94:95">
      <c r="CP5122">
        <f>IF(客户自备加工筐明细!$E1122="",0,1)</f>
        <v>0</v>
      </c>
      <c r="CQ5122">
        <f t="shared" si="682"/>
        <v>109</v>
      </c>
    </row>
    <row r="5123" spans="94:95">
      <c r="CP5123">
        <f>IF(客户自备加工筐明细!$E1123="",0,1)</f>
        <v>0</v>
      </c>
      <c r="CQ5123">
        <f t="shared" si="682"/>
        <v>109</v>
      </c>
    </row>
    <row r="5124" spans="94:95">
      <c r="CP5124">
        <f>IF(客户自备加工筐明细!$E1124="",0,1)</f>
        <v>0</v>
      </c>
      <c r="CQ5124">
        <f t="shared" ref="CQ5124:CQ5187" si="683">N(CQ5123)+$CP5124</f>
        <v>109</v>
      </c>
    </row>
    <row r="5125" spans="94:95">
      <c r="CP5125">
        <f>IF(客户自备加工筐明细!$E1125="",0,1)</f>
        <v>0</v>
      </c>
      <c r="CQ5125">
        <f t="shared" si="683"/>
        <v>109</v>
      </c>
    </row>
    <row r="5126" spans="94:95">
      <c r="CP5126">
        <f>IF(客户自备加工筐明细!$E1126="",0,1)</f>
        <v>0</v>
      </c>
      <c r="CQ5126">
        <f t="shared" si="683"/>
        <v>109</v>
      </c>
    </row>
    <row r="5127" spans="94:95">
      <c r="CP5127">
        <f>IF(客户自备加工筐明细!$E1127="",0,1)</f>
        <v>0</v>
      </c>
      <c r="CQ5127">
        <f t="shared" si="683"/>
        <v>109</v>
      </c>
    </row>
    <row r="5128" spans="94:95">
      <c r="CP5128">
        <f>IF(客户自备加工筐明细!$E1128="",0,1)</f>
        <v>0</v>
      </c>
      <c r="CQ5128">
        <f t="shared" si="683"/>
        <v>109</v>
      </c>
    </row>
    <row r="5129" spans="94:95">
      <c r="CP5129">
        <f>IF(客户自备加工筐明细!$E1129="",0,1)</f>
        <v>0</v>
      </c>
      <c r="CQ5129">
        <f t="shared" si="683"/>
        <v>109</v>
      </c>
    </row>
    <row r="5130" spans="94:95">
      <c r="CP5130">
        <f>IF(客户自备加工筐明细!$E1130="",0,1)</f>
        <v>0</v>
      </c>
      <c r="CQ5130">
        <f t="shared" si="683"/>
        <v>109</v>
      </c>
    </row>
    <row r="5131" spans="94:95">
      <c r="CP5131">
        <f>IF(客户自备加工筐明细!$E1131="",0,1)</f>
        <v>0</v>
      </c>
      <c r="CQ5131">
        <f t="shared" si="683"/>
        <v>109</v>
      </c>
    </row>
    <row r="5132" spans="94:95">
      <c r="CP5132">
        <f>IF(客户自备加工筐明细!$E1132="",0,1)</f>
        <v>0</v>
      </c>
      <c r="CQ5132">
        <f t="shared" si="683"/>
        <v>109</v>
      </c>
    </row>
    <row r="5133" spans="94:95">
      <c r="CP5133">
        <f>IF(客户自备加工筐明细!$E1133="",0,1)</f>
        <v>0</v>
      </c>
      <c r="CQ5133">
        <f t="shared" si="683"/>
        <v>109</v>
      </c>
    </row>
    <row r="5134" spans="94:95">
      <c r="CP5134">
        <f>IF(客户自备加工筐明细!$E1134="",0,1)</f>
        <v>0</v>
      </c>
      <c r="CQ5134">
        <f t="shared" si="683"/>
        <v>109</v>
      </c>
    </row>
    <row r="5135" spans="94:95">
      <c r="CP5135">
        <f>IF(客户自备加工筐明细!$E1135="",0,1)</f>
        <v>0</v>
      </c>
      <c r="CQ5135">
        <f t="shared" si="683"/>
        <v>109</v>
      </c>
    </row>
    <row r="5136" spans="94:95">
      <c r="CP5136">
        <f>IF(客户自备加工筐明细!$E1136="",0,1)</f>
        <v>0</v>
      </c>
      <c r="CQ5136">
        <f t="shared" si="683"/>
        <v>109</v>
      </c>
    </row>
    <row r="5137" spans="94:95">
      <c r="CP5137">
        <f>IF(客户自备加工筐明细!$E1137="",0,1)</f>
        <v>0</v>
      </c>
      <c r="CQ5137">
        <f t="shared" si="683"/>
        <v>109</v>
      </c>
    </row>
    <row r="5138" spans="94:95">
      <c r="CP5138">
        <f>IF(客户自备加工筐明细!$E1138="",0,1)</f>
        <v>0</v>
      </c>
      <c r="CQ5138">
        <f t="shared" si="683"/>
        <v>109</v>
      </c>
    </row>
    <row r="5139" spans="94:95">
      <c r="CP5139">
        <f>IF(客户自备加工筐明细!$E1139="",0,1)</f>
        <v>0</v>
      </c>
      <c r="CQ5139">
        <f t="shared" si="683"/>
        <v>109</v>
      </c>
    </row>
    <row r="5140" spans="94:95">
      <c r="CP5140">
        <f>IF(客户自备加工筐明细!$E1140="",0,1)</f>
        <v>0</v>
      </c>
      <c r="CQ5140">
        <f t="shared" si="683"/>
        <v>109</v>
      </c>
    </row>
    <row r="5141" spans="94:95">
      <c r="CP5141">
        <f>IF(客户自备加工筐明细!$E1141="",0,1)</f>
        <v>0</v>
      </c>
      <c r="CQ5141">
        <f t="shared" si="683"/>
        <v>109</v>
      </c>
    </row>
    <row r="5142" spans="94:95">
      <c r="CP5142">
        <f>IF(客户自备加工筐明细!$E1142="",0,1)</f>
        <v>0</v>
      </c>
      <c r="CQ5142">
        <f t="shared" si="683"/>
        <v>109</v>
      </c>
    </row>
    <row r="5143" spans="94:95">
      <c r="CP5143">
        <f>IF(客户自备加工筐明细!$E1143="",0,1)</f>
        <v>0</v>
      </c>
      <c r="CQ5143">
        <f t="shared" si="683"/>
        <v>109</v>
      </c>
    </row>
    <row r="5144" spans="94:95">
      <c r="CP5144">
        <f>IF(客户自备加工筐明细!$E1144="",0,1)</f>
        <v>0</v>
      </c>
      <c r="CQ5144">
        <f t="shared" si="683"/>
        <v>109</v>
      </c>
    </row>
    <row r="5145" spans="94:95">
      <c r="CP5145">
        <f>IF(客户自备加工筐明细!$E1145="",0,1)</f>
        <v>0</v>
      </c>
      <c r="CQ5145">
        <f t="shared" si="683"/>
        <v>109</v>
      </c>
    </row>
    <row r="5146" spans="94:95">
      <c r="CP5146">
        <f>IF(客户自备加工筐明细!$E1146="",0,1)</f>
        <v>0</v>
      </c>
      <c r="CQ5146">
        <f t="shared" si="683"/>
        <v>109</v>
      </c>
    </row>
    <row r="5147" spans="94:95">
      <c r="CP5147">
        <f>IF(客户自备加工筐明细!$E1147="",0,1)</f>
        <v>0</v>
      </c>
      <c r="CQ5147">
        <f t="shared" si="683"/>
        <v>109</v>
      </c>
    </row>
    <row r="5148" spans="94:95">
      <c r="CP5148">
        <f>IF(客户自备加工筐明细!$E1148="",0,1)</f>
        <v>0</v>
      </c>
      <c r="CQ5148">
        <f t="shared" si="683"/>
        <v>109</v>
      </c>
    </row>
    <row r="5149" spans="94:95">
      <c r="CP5149">
        <f>IF(客户自备加工筐明细!$E1149="",0,1)</f>
        <v>0</v>
      </c>
      <c r="CQ5149">
        <f t="shared" si="683"/>
        <v>109</v>
      </c>
    </row>
    <row r="5150" spans="94:95">
      <c r="CP5150">
        <f>IF(客户自备加工筐明细!$E1150="",0,1)</f>
        <v>0</v>
      </c>
      <c r="CQ5150">
        <f t="shared" si="683"/>
        <v>109</v>
      </c>
    </row>
    <row r="5151" spans="94:95">
      <c r="CP5151">
        <f>IF(客户自备加工筐明细!$E1151="",0,1)</f>
        <v>0</v>
      </c>
      <c r="CQ5151">
        <f t="shared" si="683"/>
        <v>109</v>
      </c>
    </row>
    <row r="5152" spans="94:95">
      <c r="CP5152">
        <f>IF(客户自备加工筐明细!$E1152="",0,1)</f>
        <v>0</v>
      </c>
      <c r="CQ5152">
        <f t="shared" si="683"/>
        <v>109</v>
      </c>
    </row>
    <row r="5153" spans="94:95">
      <c r="CP5153">
        <f>IF(客户自备加工筐明细!$E1153="",0,1)</f>
        <v>0</v>
      </c>
      <c r="CQ5153">
        <f t="shared" si="683"/>
        <v>109</v>
      </c>
    </row>
    <row r="5154" spans="94:95">
      <c r="CP5154">
        <f>IF(客户自备加工筐明细!$E1154="",0,1)</f>
        <v>0</v>
      </c>
      <c r="CQ5154">
        <f t="shared" si="683"/>
        <v>109</v>
      </c>
    </row>
    <row r="5155" spans="94:95">
      <c r="CP5155">
        <f>IF(客户自备加工筐明细!$E1155="",0,1)</f>
        <v>0</v>
      </c>
      <c r="CQ5155">
        <f t="shared" si="683"/>
        <v>109</v>
      </c>
    </row>
    <row r="5156" spans="94:95">
      <c r="CP5156">
        <f>IF(客户自备加工筐明细!$E1156="",0,1)</f>
        <v>0</v>
      </c>
      <c r="CQ5156">
        <f t="shared" si="683"/>
        <v>109</v>
      </c>
    </row>
    <row r="5157" spans="94:95">
      <c r="CP5157">
        <f>IF(客户自备加工筐明细!$E1157="",0,1)</f>
        <v>0</v>
      </c>
      <c r="CQ5157">
        <f t="shared" si="683"/>
        <v>109</v>
      </c>
    </row>
    <row r="5158" spans="94:95">
      <c r="CP5158">
        <f>IF(客户自备加工筐明细!$E1158="",0,1)</f>
        <v>0</v>
      </c>
      <c r="CQ5158">
        <f t="shared" si="683"/>
        <v>109</v>
      </c>
    </row>
    <row r="5159" spans="94:95">
      <c r="CP5159">
        <f>IF(客户自备加工筐明细!$E1159="",0,1)</f>
        <v>0</v>
      </c>
      <c r="CQ5159">
        <f t="shared" si="683"/>
        <v>109</v>
      </c>
    </row>
    <row r="5160" spans="94:95">
      <c r="CP5160">
        <f>IF(客户自备加工筐明细!$E1160="",0,1)</f>
        <v>0</v>
      </c>
      <c r="CQ5160">
        <f t="shared" si="683"/>
        <v>109</v>
      </c>
    </row>
    <row r="5161" spans="94:95">
      <c r="CP5161">
        <f>IF(客户自备加工筐明细!$E1161="",0,1)</f>
        <v>0</v>
      </c>
      <c r="CQ5161">
        <f t="shared" si="683"/>
        <v>109</v>
      </c>
    </row>
    <row r="5162" spans="94:95">
      <c r="CP5162">
        <f>IF(客户自备加工筐明细!$E1162="",0,1)</f>
        <v>0</v>
      </c>
      <c r="CQ5162">
        <f t="shared" si="683"/>
        <v>109</v>
      </c>
    </row>
    <row r="5163" spans="94:95">
      <c r="CP5163">
        <f>IF(客户自备加工筐明细!$E1163="",0,1)</f>
        <v>0</v>
      </c>
      <c r="CQ5163">
        <f t="shared" si="683"/>
        <v>109</v>
      </c>
    </row>
    <row r="5164" spans="94:95">
      <c r="CP5164">
        <f>IF(客户自备加工筐明细!$E1164="",0,1)</f>
        <v>0</v>
      </c>
      <c r="CQ5164">
        <f t="shared" si="683"/>
        <v>109</v>
      </c>
    </row>
    <row r="5165" spans="94:95">
      <c r="CP5165">
        <f>IF(客户自备加工筐明细!$E1165="",0,1)</f>
        <v>0</v>
      </c>
      <c r="CQ5165">
        <f t="shared" si="683"/>
        <v>109</v>
      </c>
    </row>
    <row r="5166" spans="94:95">
      <c r="CP5166">
        <f>IF(客户自备加工筐明细!$E1166="",0,1)</f>
        <v>0</v>
      </c>
      <c r="CQ5166">
        <f t="shared" si="683"/>
        <v>109</v>
      </c>
    </row>
    <row r="5167" spans="94:95">
      <c r="CP5167">
        <f>IF(客户自备加工筐明细!$E1167="",0,1)</f>
        <v>0</v>
      </c>
      <c r="CQ5167">
        <f t="shared" si="683"/>
        <v>109</v>
      </c>
    </row>
    <row r="5168" spans="94:95">
      <c r="CP5168">
        <f>IF(客户自备加工筐明细!$E1168="",0,1)</f>
        <v>0</v>
      </c>
      <c r="CQ5168">
        <f t="shared" si="683"/>
        <v>109</v>
      </c>
    </row>
    <row r="5169" spans="94:95">
      <c r="CP5169">
        <f>IF(客户自备加工筐明细!$E1169="",0,1)</f>
        <v>0</v>
      </c>
      <c r="CQ5169">
        <f t="shared" si="683"/>
        <v>109</v>
      </c>
    </row>
    <row r="5170" spans="94:95">
      <c r="CP5170">
        <f>IF(客户自备加工筐明细!$E1170="",0,1)</f>
        <v>0</v>
      </c>
      <c r="CQ5170">
        <f t="shared" si="683"/>
        <v>109</v>
      </c>
    </row>
    <row r="5171" spans="94:95">
      <c r="CP5171">
        <f>IF(客户自备加工筐明细!$E1171="",0,1)</f>
        <v>0</v>
      </c>
      <c r="CQ5171">
        <f t="shared" si="683"/>
        <v>109</v>
      </c>
    </row>
    <row r="5172" spans="94:95">
      <c r="CP5172">
        <f>IF(客户自备加工筐明细!$E1172="",0,1)</f>
        <v>0</v>
      </c>
      <c r="CQ5172">
        <f t="shared" si="683"/>
        <v>109</v>
      </c>
    </row>
    <row r="5173" spans="94:95">
      <c r="CP5173">
        <f>IF(客户自备加工筐明细!$E1173="",0,1)</f>
        <v>0</v>
      </c>
      <c r="CQ5173">
        <f t="shared" si="683"/>
        <v>109</v>
      </c>
    </row>
    <row r="5174" spans="94:95">
      <c r="CP5174">
        <f>IF(客户自备加工筐明细!$E1174="",0,1)</f>
        <v>0</v>
      </c>
      <c r="CQ5174">
        <f t="shared" si="683"/>
        <v>109</v>
      </c>
    </row>
    <row r="5175" spans="94:95">
      <c r="CP5175">
        <f>IF(客户自备加工筐明细!$E1175="",0,1)</f>
        <v>0</v>
      </c>
      <c r="CQ5175">
        <f t="shared" si="683"/>
        <v>109</v>
      </c>
    </row>
    <row r="5176" spans="94:95">
      <c r="CP5176">
        <f>IF(客户自备加工筐明细!$E1176="",0,1)</f>
        <v>0</v>
      </c>
      <c r="CQ5176">
        <f t="shared" si="683"/>
        <v>109</v>
      </c>
    </row>
    <row r="5177" spans="94:95">
      <c r="CP5177">
        <f>IF(客户自备加工筐明细!$E1177="",0,1)</f>
        <v>0</v>
      </c>
      <c r="CQ5177">
        <f t="shared" si="683"/>
        <v>109</v>
      </c>
    </row>
    <row r="5178" spans="94:95">
      <c r="CP5178">
        <f>IF(客户自备加工筐明细!$E1178="",0,1)</f>
        <v>0</v>
      </c>
      <c r="CQ5178">
        <f t="shared" si="683"/>
        <v>109</v>
      </c>
    </row>
    <row r="5179" spans="94:95">
      <c r="CP5179">
        <f>IF(客户自备加工筐明细!$E1179="",0,1)</f>
        <v>0</v>
      </c>
      <c r="CQ5179">
        <f t="shared" si="683"/>
        <v>109</v>
      </c>
    </row>
    <row r="5180" spans="94:95">
      <c r="CP5180">
        <f>IF(客户自备加工筐明细!$E1180="",0,1)</f>
        <v>0</v>
      </c>
      <c r="CQ5180">
        <f t="shared" si="683"/>
        <v>109</v>
      </c>
    </row>
    <row r="5181" spans="94:95">
      <c r="CP5181">
        <f>IF(客户自备加工筐明细!$E1181="",0,1)</f>
        <v>0</v>
      </c>
      <c r="CQ5181">
        <f t="shared" si="683"/>
        <v>109</v>
      </c>
    </row>
    <row r="5182" spans="94:95">
      <c r="CP5182">
        <f>IF(客户自备加工筐明细!$E1182="",0,1)</f>
        <v>0</v>
      </c>
      <c r="CQ5182">
        <f t="shared" si="683"/>
        <v>109</v>
      </c>
    </row>
    <row r="5183" spans="94:95">
      <c r="CP5183">
        <f>IF(客户自备加工筐明细!$E1183="",0,1)</f>
        <v>0</v>
      </c>
      <c r="CQ5183">
        <f t="shared" si="683"/>
        <v>109</v>
      </c>
    </row>
    <row r="5184" spans="94:95">
      <c r="CP5184">
        <f>IF(客户自备加工筐明细!$E1184="",0,1)</f>
        <v>0</v>
      </c>
      <c r="CQ5184">
        <f t="shared" si="683"/>
        <v>109</v>
      </c>
    </row>
    <row r="5185" spans="94:95">
      <c r="CP5185">
        <f>IF(客户自备加工筐明细!$E1185="",0,1)</f>
        <v>0</v>
      </c>
      <c r="CQ5185">
        <f t="shared" si="683"/>
        <v>109</v>
      </c>
    </row>
    <row r="5186" spans="94:95">
      <c r="CP5186">
        <f>IF(客户自备加工筐明细!$E1186="",0,1)</f>
        <v>0</v>
      </c>
      <c r="CQ5186">
        <f t="shared" si="683"/>
        <v>109</v>
      </c>
    </row>
    <row r="5187" spans="94:95">
      <c r="CP5187">
        <f>IF(客户自备加工筐明细!$E1187="",0,1)</f>
        <v>0</v>
      </c>
      <c r="CQ5187">
        <f t="shared" si="683"/>
        <v>109</v>
      </c>
    </row>
    <row r="5188" spans="94:95">
      <c r="CP5188">
        <f>IF(客户自备加工筐明细!$E1188="",0,1)</f>
        <v>0</v>
      </c>
      <c r="CQ5188">
        <f t="shared" ref="CQ5188:CQ5251" si="684">N(CQ5187)+$CP5188</f>
        <v>109</v>
      </c>
    </row>
    <row r="5189" spans="94:95">
      <c r="CP5189">
        <f>IF(客户自备加工筐明细!$E1189="",0,1)</f>
        <v>0</v>
      </c>
      <c r="CQ5189">
        <f t="shared" si="684"/>
        <v>109</v>
      </c>
    </row>
    <row r="5190" spans="94:95">
      <c r="CP5190">
        <f>IF(客户自备加工筐明细!$E1190="",0,1)</f>
        <v>0</v>
      </c>
      <c r="CQ5190">
        <f t="shared" si="684"/>
        <v>109</v>
      </c>
    </row>
    <row r="5191" spans="94:95">
      <c r="CP5191">
        <f>IF(客户自备加工筐明细!$E1191="",0,1)</f>
        <v>0</v>
      </c>
      <c r="CQ5191">
        <f t="shared" si="684"/>
        <v>109</v>
      </c>
    </row>
    <row r="5192" spans="94:95">
      <c r="CP5192">
        <f>IF(客户自备加工筐明细!$E1192="",0,1)</f>
        <v>0</v>
      </c>
      <c r="CQ5192">
        <f t="shared" si="684"/>
        <v>109</v>
      </c>
    </row>
    <row r="5193" spans="94:95">
      <c r="CP5193">
        <f>IF(客户自备加工筐明细!$E1193="",0,1)</f>
        <v>0</v>
      </c>
      <c r="CQ5193">
        <f t="shared" si="684"/>
        <v>109</v>
      </c>
    </row>
    <row r="5194" spans="94:95">
      <c r="CP5194">
        <f>IF(客户自备加工筐明细!$E1194="",0,1)</f>
        <v>0</v>
      </c>
      <c r="CQ5194">
        <f t="shared" si="684"/>
        <v>109</v>
      </c>
    </row>
    <row r="5195" spans="94:95">
      <c r="CP5195">
        <f>IF(客户自备加工筐明细!$E1195="",0,1)</f>
        <v>0</v>
      </c>
      <c r="CQ5195">
        <f t="shared" si="684"/>
        <v>109</v>
      </c>
    </row>
    <row r="5196" spans="94:95">
      <c r="CP5196">
        <f>IF(客户自备加工筐明细!$E1196="",0,1)</f>
        <v>0</v>
      </c>
      <c r="CQ5196">
        <f t="shared" si="684"/>
        <v>109</v>
      </c>
    </row>
    <row r="5197" spans="94:95">
      <c r="CP5197">
        <f>IF(客户自备加工筐明细!$E1197="",0,1)</f>
        <v>0</v>
      </c>
      <c r="CQ5197">
        <f t="shared" si="684"/>
        <v>109</v>
      </c>
    </row>
    <row r="5198" spans="94:95">
      <c r="CP5198">
        <f>IF(客户自备加工筐明细!$E1198="",0,1)</f>
        <v>0</v>
      </c>
      <c r="CQ5198">
        <f t="shared" si="684"/>
        <v>109</v>
      </c>
    </row>
    <row r="5199" spans="94:95">
      <c r="CP5199">
        <f>IF(客户自备加工筐明细!$E1199="",0,1)</f>
        <v>0</v>
      </c>
      <c r="CQ5199">
        <f t="shared" si="684"/>
        <v>109</v>
      </c>
    </row>
    <row r="5200" spans="94:95">
      <c r="CP5200">
        <f>IF(客户自备加工筐明细!$E1200="",0,1)</f>
        <v>0</v>
      </c>
      <c r="CQ5200">
        <f t="shared" si="684"/>
        <v>109</v>
      </c>
    </row>
    <row r="5201" spans="94:95">
      <c r="CP5201">
        <f>IF(客户自备加工筐明细!$E1201="",0,1)</f>
        <v>0</v>
      </c>
      <c r="CQ5201">
        <f t="shared" si="684"/>
        <v>109</v>
      </c>
    </row>
    <row r="5202" spans="94:95">
      <c r="CP5202">
        <f>IF(客户自备加工筐明细!$E1202="",0,1)</f>
        <v>0</v>
      </c>
      <c r="CQ5202">
        <f t="shared" si="684"/>
        <v>109</v>
      </c>
    </row>
    <row r="5203" spans="94:95">
      <c r="CP5203">
        <f>IF(客户自备加工筐明细!$E1203="",0,1)</f>
        <v>0</v>
      </c>
      <c r="CQ5203">
        <f t="shared" si="684"/>
        <v>109</v>
      </c>
    </row>
    <row r="5204" spans="94:95">
      <c r="CP5204">
        <f>IF(次果筐明细!$C4="",0,1)</f>
        <v>1</v>
      </c>
      <c r="CQ5204">
        <f t="shared" si="684"/>
        <v>110</v>
      </c>
    </row>
    <row r="5205" spans="94:95">
      <c r="CP5205">
        <f>IF(次果筐明细!$C5="",0,1)</f>
        <v>0</v>
      </c>
      <c r="CQ5205">
        <f t="shared" si="684"/>
        <v>110</v>
      </c>
    </row>
    <row r="5206" spans="94:95">
      <c r="CP5206">
        <f>IF(次果筐明细!$C6="",0,1)</f>
        <v>0</v>
      </c>
      <c r="CQ5206">
        <f t="shared" si="684"/>
        <v>110</v>
      </c>
    </row>
    <row r="5207" spans="94:95">
      <c r="CP5207">
        <f>IF(次果筐明细!$C7="",0,1)</f>
        <v>0</v>
      </c>
      <c r="CQ5207">
        <f t="shared" si="684"/>
        <v>110</v>
      </c>
    </row>
    <row r="5208" spans="94:95">
      <c r="CP5208">
        <f>IF(次果筐明细!$C8="",0,1)</f>
        <v>0</v>
      </c>
      <c r="CQ5208">
        <f t="shared" si="684"/>
        <v>110</v>
      </c>
    </row>
    <row r="5209" spans="94:95">
      <c r="CP5209">
        <f>IF(次果筐明细!$C9="",0,1)</f>
        <v>0</v>
      </c>
      <c r="CQ5209">
        <f t="shared" si="684"/>
        <v>110</v>
      </c>
    </row>
    <row r="5210" spans="94:95">
      <c r="CP5210">
        <f>IF(次果筐明细!$C10="",0,1)</f>
        <v>0</v>
      </c>
      <c r="CQ5210">
        <f t="shared" si="684"/>
        <v>110</v>
      </c>
    </row>
    <row r="5211" spans="94:95">
      <c r="CP5211">
        <f>IF(次果筐明细!$C11="",0,1)</f>
        <v>0</v>
      </c>
      <c r="CQ5211">
        <f t="shared" si="684"/>
        <v>110</v>
      </c>
    </row>
    <row r="5212" spans="94:95">
      <c r="CP5212">
        <f>IF(次果筐明细!$C12="",0,1)</f>
        <v>0</v>
      </c>
      <c r="CQ5212">
        <f t="shared" si="684"/>
        <v>110</v>
      </c>
    </row>
    <row r="5213" spans="94:95">
      <c r="CP5213">
        <f>IF(次果筐明细!$C13="",0,1)</f>
        <v>0</v>
      </c>
      <c r="CQ5213">
        <f t="shared" si="684"/>
        <v>110</v>
      </c>
    </row>
    <row r="5214" spans="94:95">
      <c r="CP5214">
        <f>IF(次果筐明细!$C14="",0,1)</f>
        <v>0</v>
      </c>
      <c r="CQ5214">
        <f t="shared" si="684"/>
        <v>110</v>
      </c>
    </row>
    <row r="5215" spans="94:95">
      <c r="CP5215">
        <f>IF(次果筐明细!$C15="",0,1)</f>
        <v>0</v>
      </c>
      <c r="CQ5215">
        <f t="shared" si="684"/>
        <v>110</v>
      </c>
    </row>
    <row r="5216" spans="94:95">
      <c r="CP5216">
        <f>IF(次果筐明细!$C16="",0,1)</f>
        <v>0</v>
      </c>
      <c r="CQ5216">
        <f t="shared" si="684"/>
        <v>110</v>
      </c>
    </row>
    <row r="5217" spans="94:95">
      <c r="CP5217">
        <f>IF(次果筐明细!$C17="",0,1)</f>
        <v>0</v>
      </c>
      <c r="CQ5217">
        <f t="shared" si="684"/>
        <v>110</v>
      </c>
    </row>
    <row r="5218" spans="94:95">
      <c r="CP5218">
        <f>IF(次果筐明细!$C18="",0,1)</f>
        <v>0</v>
      </c>
      <c r="CQ5218">
        <f t="shared" si="684"/>
        <v>110</v>
      </c>
    </row>
    <row r="5219" spans="94:95">
      <c r="CP5219">
        <f>IF(次果筐明细!$C19="",0,1)</f>
        <v>0</v>
      </c>
      <c r="CQ5219">
        <f t="shared" si="684"/>
        <v>110</v>
      </c>
    </row>
    <row r="5220" spans="94:95">
      <c r="CP5220">
        <f>IF(次果筐明细!$C20="",0,1)</f>
        <v>0</v>
      </c>
      <c r="CQ5220">
        <f t="shared" si="684"/>
        <v>110</v>
      </c>
    </row>
    <row r="5221" spans="94:95">
      <c r="CP5221">
        <f>IF(次果筐明细!$C21="",0,1)</f>
        <v>0</v>
      </c>
      <c r="CQ5221">
        <f t="shared" si="684"/>
        <v>110</v>
      </c>
    </row>
    <row r="5222" spans="94:95">
      <c r="CP5222">
        <f>IF(次果筐明细!$C22="",0,1)</f>
        <v>0</v>
      </c>
      <c r="CQ5222">
        <f t="shared" si="684"/>
        <v>110</v>
      </c>
    </row>
    <row r="5223" spans="94:95">
      <c r="CP5223">
        <f>IF(次果筐明细!$C23="",0,1)</f>
        <v>0</v>
      </c>
      <c r="CQ5223">
        <f t="shared" si="684"/>
        <v>110</v>
      </c>
    </row>
    <row r="5224" spans="94:95">
      <c r="CP5224">
        <f>IF(次果筐明细!$C24="",0,1)</f>
        <v>0</v>
      </c>
      <c r="CQ5224">
        <f t="shared" si="684"/>
        <v>110</v>
      </c>
    </row>
    <row r="5225" spans="94:95">
      <c r="CP5225">
        <f>IF(次果筐明细!$C25="",0,1)</f>
        <v>0</v>
      </c>
      <c r="CQ5225">
        <f t="shared" si="684"/>
        <v>110</v>
      </c>
    </row>
    <row r="5226" spans="94:95">
      <c r="CP5226">
        <f>IF(次果筐明细!$C26="",0,1)</f>
        <v>0</v>
      </c>
      <c r="CQ5226">
        <f t="shared" si="684"/>
        <v>110</v>
      </c>
    </row>
    <row r="5227" spans="94:95">
      <c r="CP5227">
        <f>IF(次果筐明细!$C27="",0,1)</f>
        <v>0</v>
      </c>
      <c r="CQ5227">
        <f t="shared" si="684"/>
        <v>110</v>
      </c>
    </row>
    <row r="5228" spans="94:95">
      <c r="CP5228">
        <f>IF(次果筐明细!$C28="",0,1)</f>
        <v>0</v>
      </c>
      <c r="CQ5228">
        <f t="shared" si="684"/>
        <v>110</v>
      </c>
    </row>
    <row r="5229" spans="94:95">
      <c r="CP5229">
        <f>IF(次果筐明细!$C29="",0,1)</f>
        <v>0</v>
      </c>
      <c r="CQ5229">
        <f t="shared" si="684"/>
        <v>110</v>
      </c>
    </row>
    <row r="5230" spans="94:95">
      <c r="CP5230">
        <f>IF(次果筐明细!$C30="",0,1)</f>
        <v>0</v>
      </c>
      <c r="CQ5230">
        <f t="shared" si="684"/>
        <v>110</v>
      </c>
    </row>
    <row r="5231" spans="94:95">
      <c r="CP5231">
        <f>IF(次果筐明细!$C31="",0,1)</f>
        <v>0</v>
      </c>
      <c r="CQ5231">
        <f t="shared" si="684"/>
        <v>110</v>
      </c>
    </row>
    <row r="5232" spans="94:95">
      <c r="CP5232">
        <f>IF(次果筐明细!$C32="",0,1)</f>
        <v>0</v>
      </c>
      <c r="CQ5232">
        <f t="shared" si="684"/>
        <v>110</v>
      </c>
    </row>
    <row r="5233" spans="94:95">
      <c r="CP5233">
        <f>IF(次果筐明细!$C33="",0,1)</f>
        <v>0</v>
      </c>
      <c r="CQ5233">
        <f t="shared" si="684"/>
        <v>110</v>
      </c>
    </row>
    <row r="5234" spans="94:95">
      <c r="CP5234">
        <f>IF(次果筐明细!$C34="",0,1)</f>
        <v>0</v>
      </c>
      <c r="CQ5234">
        <f t="shared" si="684"/>
        <v>110</v>
      </c>
    </row>
    <row r="5235" spans="94:95">
      <c r="CP5235">
        <f>IF(次果筐明细!$C35="",0,1)</f>
        <v>0</v>
      </c>
      <c r="CQ5235">
        <f t="shared" si="684"/>
        <v>110</v>
      </c>
    </row>
    <row r="5236" spans="94:95">
      <c r="CP5236">
        <f>IF(次果筐明细!$C36="",0,1)</f>
        <v>0</v>
      </c>
      <c r="CQ5236">
        <f t="shared" si="684"/>
        <v>110</v>
      </c>
    </row>
    <row r="5237" spans="94:95">
      <c r="CP5237">
        <f>IF(次果筐明细!$C37="",0,1)</f>
        <v>0</v>
      </c>
      <c r="CQ5237">
        <f t="shared" si="684"/>
        <v>110</v>
      </c>
    </row>
    <row r="5238" spans="94:95">
      <c r="CP5238">
        <f>IF(次果筐明细!$C38="",0,1)</f>
        <v>0</v>
      </c>
      <c r="CQ5238">
        <f t="shared" si="684"/>
        <v>110</v>
      </c>
    </row>
    <row r="5239" spans="94:95">
      <c r="CP5239">
        <f>IF(次果筐明细!$C39="",0,1)</f>
        <v>0</v>
      </c>
      <c r="CQ5239">
        <f t="shared" si="684"/>
        <v>110</v>
      </c>
    </row>
    <row r="5240" spans="94:95">
      <c r="CP5240">
        <f>IF(次果筐明细!$C40="",0,1)</f>
        <v>0</v>
      </c>
      <c r="CQ5240">
        <f t="shared" si="684"/>
        <v>110</v>
      </c>
    </row>
    <row r="5241" spans="94:95">
      <c r="CP5241">
        <f>IF(次果筐明细!$C41="",0,1)</f>
        <v>0</v>
      </c>
      <c r="CQ5241">
        <f t="shared" si="684"/>
        <v>110</v>
      </c>
    </row>
    <row r="5242" spans="94:95">
      <c r="CP5242">
        <f>IF(次果筐明细!$C42="",0,1)</f>
        <v>0</v>
      </c>
      <c r="CQ5242">
        <f t="shared" si="684"/>
        <v>110</v>
      </c>
    </row>
    <row r="5243" spans="94:95">
      <c r="CP5243">
        <f>IF(次果筐明细!$C43="",0,1)</f>
        <v>0</v>
      </c>
      <c r="CQ5243">
        <f t="shared" si="684"/>
        <v>110</v>
      </c>
    </row>
    <row r="5244" spans="94:95">
      <c r="CP5244">
        <f>IF(次果筐明细!$C44="",0,1)</f>
        <v>0</v>
      </c>
      <c r="CQ5244">
        <f t="shared" si="684"/>
        <v>110</v>
      </c>
    </row>
    <row r="5245" spans="94:95">
      <c r="CP5245">
        <f>IF(次果筐明细!$C45="",0,1)</f>
        <v>0</v>
      </c>
      <c r="CQ5245">
        <f t="shared" si="684"/>
        <v>110</v>
      </c>
    </row>
    <row r="5246" spans="94:95">
      <c r="CP5246">
        <f>IF(次果筐明细!$C46="",0,1)</f>
        <v>0</v>
      </c>
      <c r="CQ5246">
        <f t="shared" si="684"/>
        <v>110</v>
      </c>
    </row>
    <row r="5247" spans="94:95">
      <c r="CP5247">
        <f>IF(次果筐明细!$C47="",0,1)</f>
        <v>0</v>
      </c>
      <c r="CQ5247">
        <f t="shared" si="684"/>
        <v>110</v>
      </c>
    </row>
    <row r="5248" spans="94:95">
      <c r="CP5248">
        <f>IF(次果筐明细!$C48="",0,1)</f>
        <v>0</v>
      </c>
      <c r="CQ5248">
        <f t="shared" si="684"/>
        <v>110</v>
      </c>
    </row>
    <row r="5249" spans="94:95">
      <c r="CP5249">
        <f>IF(次果筐明细!$C49="",0,1)</f>
        <v>0</v>
      </c>
      <c r="CQ5249">
        <f t="shared" si="684"/>
        <v>110</v>
      </c>
    </row>
    <row r="5250" spans="94:95">
      <c r="CP5250">
        <f>IF(次果筐明细!$C50="",0,1)</f>
        <v>0</v>
      </c>
      <c r="CQ5250">
        <f t="shared" si="684"/>
        <v>110</v>
      </c>
    </row>
    <row r="5251" spans="94:95">
      <c r="CP5251">
        <f>IF(次果筐明细!$C51="",0,1)</f>
        <v>0</v>
      </c>
      <c r="CQ5251">
        <f t="shared" si="684"/>
        <v>110</v>
      </c>
    </row>
    <row r="5252" spans="94:95">
      <c r="CP5252">
        <f>IF(次果筐明细!$C52="",0,1)</f>
        <v>0</v>
      </c>
      <c r="CQ5252">
        <f t="shared" ref="CQ5252:CQ5315" si="685">N(CQ5251)+$CP5252</f>
        <v>110</v>
      </c>
    </row>
    <row r="5253" spans="94:95">
      <c r="CP5253">
        <f>IF(次果筐明细!$C53="",0,1)</f>
        <v>0</v>
      </c>
      <c r="CQ5253">
        <f t="shared" si="685"/>
        <v>110</v>
      </c>
    </row>
    <row r="5254" spans="94:95">
      <c r="CP5254">
        <f>IF(次果筐明细!$C54="",0,1)</f>
        <v>0</v>
      </c>
      <c r="CQ5254">
        <f t="shared" si="685"/>
        <v>110</v>
      </c>
    </row>
    <row r="5255" spans="94:95">
      <c r="CP5255">
        <f>IF(次果筐明细!$C55="",0,1)</f>
        <v>0</v>
      </c>
      <c r="CQ5255">
        <f t="shared" si="685"/>
        <v>110</v>
      </c>
    </row>
    <row r="5256" spans="94:95">
      <c r="CP5256">
        <f>IF(次果筐明细!$C56="",0,1)</f>
        <v>0</v>
      </c>
      <c r="CQ5256">
        <f t="shared" si="685"/>
        <v>110</v>
      </c>
    </row>
    <row r="5257" spans="94:95">
      <c r="CP5257">
        <f>IF(次果筐明细!$C57="",0,1)</f>
        <v>0</v>
      </c>
      <c r="CQ5257">
        <f t="shared" si="685"/>
        <v>110</v>
      </c>
    </row>
    <row r="5258" spans="94:95">
      <c r="CP5258">
        <f>IF(次果筐明细!$C58="",0,1)</f>
        <v>0</v>
      </c>
      <c r="CQ5258">
        <f t="shared" si="685"/>
        <v>110</v>
      </c>
    </row>
    <row r="5259" spans="94:95">
      <c r="CP5259">
        <f>IF(次果筐明细!$C59="",0,1)</f>
        <v>0</v>
      </c>
      <c r="CQ5259">
        <f t="shared" si="685"/>
        <v>110</v>
      </c>
    </row>
    <row r="5260" spans="94:95">
      <c r="CP5260">
        <f>IF(次果筐明细!$C60="",0,1)</f>
        <v>0</v>
      </c>
      <c r="CQ5260">
        <f t="shared" si="685"/>
        <v>110</v>
      </c>
    </row>
    <row r="5261" spans="94:95">
      <c r="CP5261">
        <f>IF(次果筐明细!$C61="",0,1)</f>
        <v>0</v>
      </c>
      <c r="CQ5261">
        <f t="shared" si="685"/>
        <v>110</v>
      </c>
    </row>
    <row r="5262" spans="94:95">
      <c r="CP5262">
        <f>IF(次果筐明细!$C62="",0,1)</f>
        <v>0</v>
      </c>
      <c r="CQ5262">
        <f t="shared" si="685"/>
        <v>110</v>
      </c>
    </row>
    <row r="5263" spans="94:95">
      <c r="CP5263">
        <f>IF(次果筐明细!$C63="",0,1)</f>
        <v>0</v>
      </c>
      <c r="CQ5263">
        <f t="shared" si="685"/>
        <v>110</v>
      </c>
    </row>
    <row r="5264" spans="94:95">
      <c r="CP5264">
        <f>IF(次果筐明细!$C64="",0,1)</f>
        <v>0</v>
      </c>
      <c r="CQ5264">
        <f t="shared" si="685"/>
        <v>110</v>
      </c>
    </row>
    <row r="5265" spans="94:95">
      <c r="CP5265">
        <f>IF(次果筐明细!$C65="",0,1)</f>
        <v>0</v>
      </c>
      <c r="CQ5265">
        <f t="shared" si="685"/>
        <v>110</v>
      </c>
    </row>
    <row r="5266" spans="94:95">
      <c r="CP5266">
        <f>IF(次果筐明细!$C66="",0,1)</f>
        <v>0</v>
      </c>
      <c r="CQ5266">
        <f t="shared" si="685"/>
        <v>110</v>
      </c>
    </row>
    <row r="5267" spans="94:95">
      <c r="CP5267">
        <f>IF(次果筐明细!$C67="",0,1)</f>
        <v>0</v>
      </c>
      <c r="CQ5267">
        <f t="shared" si="685"/>
        <v>110</v>
      </c>
    </row>
    <row r="5268" spans="94:95">
      <c r="CP5268">
        <f>IF(次果筐明细!$C68="",0,1)</f>
        <v>0</v>
      </c>
      <c r="CQ5268">
        <f t="shared" si="685"/>
        <v>110</v>
      </c>
    </row>
    <row r="5269" spans="94:95">
      <c r="CP5269">
        <f>IF(次果筐明细!$C69="",0,1)</f>
        <v>0</v>
      </c>
      <c r="CQ5269">
        <f t="shared" si="685"/>
        <v>110</v>
      </c>
    </row>
    <row r="5270" spans="94:95">
      <c r="CP5270">
        <f>IF(次果筐明细!$C70="",0,1)</f>
        <v>0</v>
      </c>
      <c r="CQ5270">
        <f t="shared" si="685"/>
        <v>110</v>
      </c>
    </row>
    <row r="5271" spans="94:95">
      <c r="CP5271">
        <f>IF(次果筐明细!$C71="",0,1)</f>
        <v>0</v>
      </c>
      <c r="CQ5271">
        <f t="shared" si="685"/>
        <v>110</v>
      </c>
    </row>
    <row r="5272" spans="94:95">
      <c r="CP5272">
        <f>IF(次果筐明细!$C72="",0,1)</f>
        <v>0</v>
      </c>
      <c r="CQ5272">
        <f t="shared" si="685"/>
        <v>110</v>
      </c>
    </row>
    <row r="5273" spans="94:95">
      <c r="CP5273">
        <f>IF(次果筐明细!$C73="",0,1)</f>
        <v>0</v>
      </c>
      <c r="CQ5273">
        <f t="shared" si="685"/>
        <v>110</v>
      </c>
    </row>
    <row r="5274" spans="94:95">
      <c r="CP5274">
        <f>IF(次果筐明细!$C74="",0,1)</f>
        <v>0</v>
      </c>
      <c r="CQ5274">
        <f t="shared" si="685"/>
        <v>110</v>
      </c>
    </row>
    <row r="5275" spans="94:95">
      <c r="CP5275">
        <f>IF(次果筐明细!$C75="",0,1)</f>
        <v>0</v>
      </c>
      <c r="CQ5275">
        <f t="shared" si="685"/>
        <v>110</v>
      </c>
    </row>
    <row r="5276" spans="94:95">
      <c r="CP5276">
        <f>IF(次果筐明细!$C76="",0,1)</f>
        <v>0</v>
      </c>
      <c r="CQ5276">
        <f t="shared" si="685"/>
        <v>110</v>
      </c>
    </row>
    <row r="5277" spans="94:95">
      <c r="CP5277">
        <f>IF(次果筐明细!$C77="",0,1)</f>
        <v>0</v>
      </c>
      <c r="CQ5277">
        <f t="shared" si="685"/>
        <v>110</v>
      </c>
    </row>
    <row r="5278" spans="94:95">
      <c r="CP5278">
        <f>IF(次果筐明细!$C78="",0,1)</f>
        <v>0</v>
      </c>
      <c r="CQ5278">
        <f t="shared" si="685"/>
        <v>110</v>
      </c>
    </row>
    <row r="5279" spans="94:95">
      <c r="CP5279">
        <f>IF(次果筐明细!$C79="",0,1)</f>
        <v>0</v>
      </c>
      <c r="CQ5279">
        <f t="shared" si="685"/>
        <v>110</v>
      </c>
    </row>
    <row r="5280" spans="94:95">
      <c r="CP5280">
        <f>IF(次果筐明细!$C80="",0,1)</f>
        <v>0</v>
      </c>
      <c r="CQ5280">
        <f t="shared" si="685"/>
        <v>110</v>
      </c>
    </row>
    <row r="5281" spans="94:95">
      <c r="CP5281">
        <f>IF(次果筐明细!$C81="",0,1)</f>
        <v>0</v>
      </c>
      <c r="CQ5281">
        <f t="shared" si="685"/>
        <v>110</v>
      </c>
    </row>
    <row r="5282" spans="94:95">
      <c r="CP5282">
        <f>IF(次果筐明细!$C82="",0,1)</f>
        <v>0</v>
      </c>
      <c r="CQ5282">
        <f t="shared" si="685"/>
        <v>110</v>
      </c>
    </row>
    <row r="5283" spans="94:95">
      <c r="CP5283">
        <f>IF(次果筐明细!$C83="",0,1)</f>
        <v>0</v>
      </c>
      <c r="CQ5283">
        <f t="shared" si="685"/>
        <v>110</v>
      </c>
    </row>
    <row r="5284" spans="94:95">
      <c r="CP5284">
        <f>IF(次果筐明细!$C84="",0,1)</f>
        <v>0</v>
      </c>
      <c r="CQ5284">
        <f t="shared" si="685"/>
        <v>110</v>
      </c>
    </row>
    <row r="5285" spans="94:95">
      <c r="CP5285">
        <f>IF(次果筐明细!$C85="",0,1)</f>
        <v>0</v>
      </c>
      <c r="CQ5285">
        <f t="shared" si="685"/>
        <v>110</v>
      </c>
    </row>
    <row r="5286" spans="94:95">
      <c r="CP5286">
        <f>IF(次果筐明细!$C86="",0,1)</f>
        <v>0</v>
      </c>
      <c r="CQ5286">
        <f t="shared" si="685"/>
        <v>110</v>
      </c>
    </row>
    <row r="5287" spans="94:95">
      <c r="CP5287">
        <f>IF(次果筐明细!$C87="",0,1)</f>
        <v>0</v>
      </c>
      <c r="CQ5287">
        <f t="shared" si="685"/>
        <v>110</v>
      </c>
    </row>
    <row r="5288" spans="94:95">
      <c r="CP5288">
        <f>IF(次果筐明细!$C88="",0,1)</f>
        <v>0</v>
      </c>
      <c r="CQ5288">
        <f t="shared" si="685"/>
        <v>110</v>
      </c>
    </row>
    <row r="5289" spans="94:95">
      <c r="CP5289">
        <f>IF(次果筐明细!$C89="",0,1)</f>
        <v>0</v>
      </c>
      <c r="CQ5289">
        <f t="shared" si="685"/>
        <v>110</v>
      </c>
    </row>
    <row r="5290" spans="94:95">
      <c r="CP5290">
        <f>IF(次果筐明细!$C90="",0,1)</f>
        <v>0</v>
      </c>
      <c r="CQ5290">
        <f t="shared" si="685"/>
        <v>110</v>
      </c>
    </row>
    <row r="5291" spans="94:95">
      <c r="CP5291">
        <f>IF(次果筐明细!$C91="",0,1)</f>
        <v>0</v>
      </c>
      <c r="CQ5291">
        <f t="shared" si="685"/>
        <v>110</v>
      </c>
    </row>
    <row r="5292" spans="94:95">
      <c r="CP5292">
        <f>IF(次果筐明细!$C92="",0,1)</f>
        <v>0</v>
      </c>
      <c r="CQ5292">
        <f t="shared" si="685"/>
        <v>110</v>
      </c>
    </row>
    <row r="5293" spans="94:95">
      <c r="CP5293">
        <f>IF(次果筐明细!$C93="",0,1)</f>
        <v>0</v>
      </c>
      <c r="CQ5293">
        <f t="shared" si="685"/>
        <v>110</v>
      </c>
    </row>
    <row r="5294" spans="94:95">
      <c r="CP5294">
        <f>IF(次果筐明细!$C94="",0,1)</f>
        <v>0</v>
      </c>
      <c r="CQ5294">
        <f t="shared" si="685"/>
        <v>110</v>
      </c>
    </row>
    <row r="5295" spans="94:95">
      <c r="CP5295">
        <f>IF(次果筐明细!$C95="",0,1)</f>
        <v>0</v>
      </c>
      <c r="CQ5295">
        <f t="shared" si="685"/>
        <v>110</v>
      </c>
    </row>
    <row r="5296" spans="94:95">
      <c r="CP5296">
        <f>IF(次果筐明细!$C96="",0,1)</f>
        <v>0</v>
      </c>
      <c r="CQ5296">
        <f t="shared" si="685"/>
        <v>110</v>
      </c>
    </row>
    <row r="5297" spans="94:95">
      <c r="CP5297">
        <f>IF(次果筐明细!$C97="",0,1)</f>
        <v>0</v>
      </c>
      <c r="CQ5297">
        <f t="shared" si="685"/>
        <v>110</v>
      </c>
    </row>
    <row r="5298" spans="94:95">
      <c r="CP5298">
        <f>IF(次果筐明细!$C98="",0,1)</f>
        <v>0</v>
      </c>
      <c r="CQ5298">
        <f t="shared" si="685"/>
        <v>110</v>
      </c>
    </row>
    <row r="5299" spans="94:95">
      <c r="CP5299">
        <f>IF(次果筐明细!$C99="",0,1)</f>
        <v>0</v>
      </c>
      <c r="CQ5299">
        <f t="shared" si="685"/>
        <v>110</v>
      </c>
    </row>
    <row r="5300" spans="94:95">
      <c r="CP5300">
        <f>IF(次果筐明细!$C100="",0,1)</f>
        <v>0</v>
      </c>
      <c r="CQ5300">
        <f t="shared" si="685"/>
        <v>110</v>
      </c>
    </row>
    <row r="5301" spans="94:95">
      <c r="CP5301">
        <f>IF(次果筐明细!$C101="",0,1)</f>
        <v>0</v>
      </c>
      <c r="CQ5301">
        <f t="shared" si="685"/>
        <v>110</v>
      </c>
    </row>
    <row r="5302" spans="94:95">
      <c r="CP5302">
        <f>IF(次果筐明细!$C102="",0,1)</f>
        <v>0</v>
      </c>
      <c r="CQ5302">
        <f t="shared" si="685"/>
        <v>110</v>
      </c>
    </row>
    <row r="5303" spans="94:95">
      <c r="CP5303">
        <f>IF(次果筐明细!$C103="",0,1)</f>
        <v>0</v>
      </c>
      <c r="CQ5303">
        <f t="shared" si="685"/>
        <v>110</v>
      </c>
    </row>
    <row r="5304" spans="94:95">
      <c r="CP5304">
        <f>IF(次果筐明细!$C104="",0,1)</f>
        <v>0</v>
      </c>
      <c r="CQ5304">
        <f t="shared" si="685"/>
        <v>110</v>
      </c>
    </row>
    <row r="5305" spans="94:95">
      <c r="CP5305">
        <f>IF(次果筐明细!$C105="",0,1)</f>
        <v>0</v>
      </c>
      <c r="CQ5305">
        <f t="shared" si="685"/>
        <v>110</v>
      </c>
    </row>
    <row r="5306" spans="94:95">
      <c r="CP5306">
        <f>IF(次果筐明细!$C106="",0,1)</f>
        <v>0</v>
      </c>
      <c r="CQ5306">
        <f t="shared" si="685"/>
        <v>110</v>
      </c>
    </row>
    <row r="5307" spans="94:95">
      <c r="CP5307">
        <f>IF(次果筐明细!$C107="",0,1)</f>
        <v>0</v>
      </c>
      <c r="CQ5307">
        <f t="shared" si="685"/>
        <v>110</v>
      </c>
    </row>
    <row r="5308" spans="94:95">
      <c r="CP5308">
        <f>IF(次果筐明细!$C108="",0,1)</f>
        <v>0</v>
      </c>
      <c r="CQ5308">
        <f t="shared" si="685"/>
        <v>110</v>
      </c>
    </row>
    <row r="5309" spans="94:95">
      <c r="CP5309">
        <f>IF(次果筐明细!$C109="",0,1)</f>
        <v>0</v>
      </c>
      <c r="CQ5309">
        <f t="shared" si="685"/>
        <v>110</v>
      </c>
    </row>
    <row r="5310" spans="94:95">
      <c r="CP5310">
        <f>IF(次果筐明细!$C110="",0,1)</f>
        <v>0</v>
      </c>
      <c r="CQ5310">
        <f t="shared" si="685"/>
        <v>110</v>
      </c>
    </row>
    <row r="5311" spans="94:95">
      <c r="CP5311">
        <f>IF(次果筐明细!$C111="",0,1)</f>
        <v>0</v>
      </c>
      <c r="CQ5311">
        <f t="shared" si="685"/>
        <v>110</v>
      </c>
    </row>
    <row r="5312" spans="94:95">
      <c r="CP5312">
        <f>IF(次果筐明细!$C112="",0,1)</f>
        <v>0</v>
      </c>
      <c r="CQ5312">
        <f t="shared" si="685"/>
        <v>110</v>
      </c>
    </row>
    <row r="5313" spans="94:95">
      <c r="CP5313">
        <f>IF(次果筐明细!$C113="",0,1)</f>
        <v>0</v>
      </c>
      <c r="CQ5313">
        <f t="shared" si="685"/>
        <v>110</v>
      </c>
    </row>
    <row r="5314" spans="94:95">
      <c r="CP5314">
        <f>IF(次果筐明细!$C114="",0,1)</f>
        <v>0</v>
      </c>
      <c r="CQ5314">
        <f t="shared" si="685"/>
        <v>110</v>
      </c>
    </row>
    <row r="5315" spans="94:95">
      <c r="CP5315">
        <f>IF(次果筐明细!$C115="",0,1)</f>
        <v>0</v>
      </c>
      <c r="CQ5315">
        <f t="shared" si="685"/>
        <v>110</v>
      </c>
    </row>
    <row r="5316" spans="94:95">
      <c r="CP5316">
        <f>IF(次果筐明细!$C116="",0,1)</f>
        <v>0</v>
      </c>
      <c r="CQ5316">
        <f t="shared" ref="CQ5316:CQ5379" si="686">N(CQ5315)+$CP5316</f>
        <v>110</v>
      </c>
    </row>
    <row r="5317" spans="94:95">
      <c r="CP5317">
        <f>IF(次果筐明细!$C117="",0,1)</f>
        <v>0</v>
      </c>
      <c r="CQ5317">
        <f t="shared" si="686"/>
        <v>110</v>
      </c>
    </row>
    <row r="5318" spans="94:95">
      <c r="CP5318">
        <f>IF(次果筐明细!$C118="",0,1)</f>
        <v>0</v>
      </c>
      <c r="CQ5318">
        <f t="shared" si="686"/>
        <v>110</v>
      </c>
    </row>
    <row r="5319" spans="94:95">
      <c r="CP5319">
        <f>IF(次果筐明细!$C119="",0,1)</f>
        <v>0</v>
      </c>
      <c r="CQ5319">
        <f t="shared" si="686"/>
        <v>110</v>
      </c>
    </row>
    <row r="5320" spans="94:95">
      <c r="CP5320">
        <f>IF(次果筐明细!$C120="",0,1)</f>
        <v>0</v>
      </c>
      <c r="CQ5320">
        <f t="shared" si="686"/>
        <v>110</v>
      </c>
    </row>
    <row r="5321" spans="94:95">
      <c r="CP5321">
        <f>IF(次果筐明细!$C121="",0,1)</f>
        <v>0</v>
      </c>
      <c r="CQ5321">
        <f t="shared" si="686"/>
        <v>110</v>
      </c>
    </row>
    <row r="5322" spans="94:95">
      <c r="CP5322">
        <f>IF(次果筐明细!$C122="",0,1)</f>
        <v>0</v>
      </c>
      <c r="CQ5322">
        <f t="shared" si="686"/>
        <v>110</v>
      </c>
    </row>
    <row r="5323" spans="94:95">
      <c r="CP5323">
        <f>IF(次果筐明细!$C123="",0,1)</f>
        <v>0</v>
      </c>
      <c r="CQ5323">
        <f t="shared" si="686"/>
        <v>110</v>
      </c>
    </row>
    <row r="5324" spans="94:95">
      <c r="CP5324">
        <f>IF(次果筐明细!$C124="",0,1)</f>
        <v>0</v>
      </c>
      <c r="CQ5324">
        <f t="shared" si="686"/>
        <v>110</v>
      </c>
    </row>
    <row r="5325" spans="94:95">
      <c r="CP5325">
        <f>IF(次果筐明细!$C125="",0,1)</f>
        <v>0</v>
      </c>
      <c r="CQ5325">
        <f t="shared" si="686"/>
        <v>110</v>
      </c>
    </row>
    <row r="5326" spans="94:95">
      <c r="CP5326">
        <f>IF(次果筐明细!$C126="",0,1)</f>
        <v>0</v>
      </c>
      <c r="CQ5326">
        <f t="shared" si="686"/>
        <v>110</v>
      </c>
    </row>
    <row r="5327" spans="94:95">
      <c r="CP5327">
        <f>IF(次果筐明细!$C127="",0,1)</f>
        <v>0</v>
      </c>
      <c r="CQ5327">
        <f t="shared" si="686"/>
        <v>110</v>
      </c>
    </row>
    <row r="5328" spans="94:95">
      <c r="CP5328">
        <f>IF(次果筐明细!$C128="",0,1)</f>
        <v>0</v>
      </c>
      <c r="CQ5328">
        <f t="shared" si="686"/>
        <v>110</v>
      </c>
    </row>
    <row r="5329" spans="94:95">
      <c r="CP5329">
        <f>IF(次果筐明细!$C129="",0,1)</f>
        <v>0</v>
      </c>
      <c r="CQ5329">
        <f t="shared" si="686"/>
        <v>110</v>
      </c>
    </row>
    <row r="5330" spans="94:95">
      <c r="CP5330">
        <f>IF(次果筐明细!$C130="",0,1)</f>
        <v>0</v>
      </c>
      <c r="CQ5330">
        <f t="shared" si="686"/>
        <v>110</v>
      </c>
    </row>
    <row r="5331" spans="94:95">
      <c r="CP5331">
        <f>IF(次果筐明细!$C131="",0,1)</f>
        <v>0</v>
      </c>
      <c r="CQ5331">
        <f t="shared" si="686"/>
        <v>110</v>
      </c>
    </row>
    <row r="5332" spans="94:95">
      <c r="CP5332">
        <f>IF(次果筐明细!$C132="",0,1)</f>
        <v>0</v>
      </c>
      <c r="CQ5332">
        <f t="shared" si="686"/>
        <v>110</v>
      </c>
    </row>
    <row r="5333" spans="94:95">
      <c r="CP5333">
        <f>IF(次果筐明细!$C133="",0,1)</f>
        <v>0</v>
      </c>
      <c r="CQ5333">
        <f t="shared" si="686"/>
        <v>110</v>
      </c>
    </row>
    <row r="5334" spans="94:95">
      <c r="CP5334">
        <f>IF(次果筐明细!$C134="",0,1)</f>
        <v>0</v>
      </c>
      <c r="CQ5334">
        <f t="shared" si="686"/>
        <v>110</v>
      </c>
    </row>
    <row r="5335" spans="94:95">
      <c r="CP5335">
        <f>IF(次果筐明细!$C135="",0,1)</f>
        <v>0</v>
      </c>
      <c r="CQ5335">
        <f t="shared" si="686"/>
        <v>110</v>
      </c>
    </row>
    <row r="5336" spans="94:95">
      <c r="CP5336">
        <f>IF(次果筐明细!$C136="",0,1)</f>
        <v>0</v>
      </c>
      <c r="CQ5336">
        <f t="shared" si="686"/>
        <v>110</v>
      </c>
    </row>
    <row r="5337" spans="94:95">
      <c r="CP5337">
        <f>IF(次果筐明细!$C137="",0,1)</f>
        <v>0</v>
      </c>
      <c r="CQ5337">
        <f t="shared" si="686"/>
        <v>110</v>
      </c>
    </row>
    <row r="5338" spans="94:95">
      <c r="CP5338">
        <f>IF(次果筐明细!$C138="",0,1)</f>
        <v>0</v>
      </c>
      <c r="CQ5338">
        <f t="shared" si="686"/>
        <v>110</v>
      </c>
    </row>
    <row r="5339" spans="94:95">
      <c r="CP5339">
        <f>IF(次果筐明细!$C139="",0,1)</f>
        <v>0</v>
      </c>
      <c r="CQ5339">
        <f t="shared" si="686"/>
        <v>110</v>
      </c>
    </row>
    <row r="5340" spans="94:95">
      <c r="CP5340">
        <f>IF(次果筐明细!$C140="",0,1)</f>
        <v>0</v>
      </c>
      <c r="CQ5340">
        <f t="shared" si="686"/>
        <v>110</v>
      </c>
    </row>
    <row r="5341" spans="94:95">
      <c r="CP5341">
        <f>IF(次果筐明细!$C141="",0,1)</f>
        <v>0</v>
      </c>
      <c r="CQ5341">
        <f t="shared" si="686"/>
        <v>110</v>
      </c>
    </row>
    <row r="5342" spans="94:95">
      <c r="CP5342">
        <f>IF(次果筐明细!$C142="",0,1)</f>
        <v>0</v>
      </c>
      <c r="CQ5342">
        <f t="shared" si="686"/>
        <v>110</v>
      </c>
    </row>
    <row r="5343" spans="94:95">
      <c r="CP5343">
        <f>IF(次果筐明细!$C143="",0,1)</f>
        <v>0</v>
      </c>
      <c r="CQ5343">
        <f t="shared" si="686"/>
        <v>110</v>
      </c>
    </row>
    <row r="5344" spans="94:95">
      <c r="CP5344">
        <f>IF(次果筐明细!$C144="",0,1)</f>
        <v>0</v>
      </c>
      <c r="CQ5344">
        <f t="shared" si="686"/>
        <v>110</v>
      </c>
    </row>
    <row r="5345" spans="94:95">
      <c r="CP5345">
        <f>IF(次果筐明细!$C145="",0,1)</f>
        <v>0</v>
      </c>
      <c r="CQ5345">
        <f t="shared" si="686"/>
        <v>110</v>
      </c>
    </row>
    <row r="5346" spans="94:95">
      <c r="CP5346">
        <f>IF(次果筐明细!$C146="",0,1)</f>
        <v>0</v>
      </c>
      <c r="CQ5346">
        <f t="shared" si="686"/>
        <v>110</v>
      </c>
    </row>
    <row r="5347" spans="94:95">
      <c r="CP5347">
        <f>IF(次果筐明细!$C147="",0,1)</f>
        <v>0</v>
      </c>
      <c r="CQ5347">
        <f t="shared" si="686"/>
        <v>110</v>
      </c>
    </row>
    <row r="5348" spans="94:95">
      <c r="CP5348">
        <f>IF(次果筐明细!$C148="",0,1)</f>
        <v>0</v>
      </c>
      <c r="CQ5348">
        <f t="shared" si="686"/>
        <v>110</v>
      </c>
    </row>
    <row r="5349" spans="94:95">
      <c r="CP5349">
        <f>IF(次果筐明细!$C149="",0,1)</f>
        <v>0</v>
      </c>
      <c r="CQ5349">
        <f t="shared" si="686"/>
        <v>110</v>
      </c>
    </row>
    <row r="5350" spans="94:95">
      <c r="CP5350">
        <f>IF(次果筐明细!$C150="",0,1)</f>
        <v>0</v>
      </c>
      <c r="CQ5350">
        <f t="shared" si="686"/>
        <v>110</v>
      </c>
    </row>
    <row r="5351" spans="94:95">
      <c r="CP5351">
        <f>IF(次果筐明细!$C151="",0,1)</f>
        <v>0</v>
      </c>
      <c r="CQ5351">
        <f t="shared" si="686"/>
        <v>110</v>
      </c>
    </row>
    <row r="5352" spans="94:95">
      <c r="CP5352">
        <f>IF(次果筐明细!$C152="",0,1)</f>
        <v>0</v>
      </c>
      <c r="CQ5352">
        <f t="shared" si="686"/>
        <v>110</v>
      </c>
    </row>
    <row r="5353" spans="94:95">
      <c r="CP5353">
        <f>IF(次果筐明细!$C153="",0,1)</f>
        <v>0</v>
      </c>
      <c r="CQ5353">
        <f t="shared" si="686"/>
        <v>110</v>
      </c>
    </row>
    <row r="5354" spans="94:95">
      <c r="CP5354">
        <f>IF(次果筐明细!$C154="",0,1)</f>
        <v>0</v>
      </c>
      <c r="CQ5354">
        <f t="shared" si="686"/>
        <v>110</v>
      </c>
    </row>
    <row r="5355" spans="94:95">
      <c r="CP5355">
        <f>IF(次果筐明细!$C155="",0,1)</f>
        <v>0</v>
      </c>
      <c r="CQ5355">
        <f t="shared" si="686"/>
        <v>110</v>
      </c>
    </row>
    <row r="5356" spans="94:95">
      <c r="CP5356">
        <f>IF(次果筐明细!$C156="",0,1)</f>
        <v>0</v>
      </c>
      <c r="CQ5356">
        <f t="shared" si="686"/>
        <v>110</v>
      </c>
    </row>
    <row r="5357" spans="94:95">
      <c r="CP5357">
        <f>IF(次果筐明细!$C157="",0,1)</f>
        <v>0</v>
      </c>
      <c r="CQ5357">
        <f t="shared" si="686"/>
        <v>110</v>
      </c>
    </row>
    <row r="5358" spans="94:95">
      <c r="CP5358">
        <f>IF(次果筐明细!$C158="",0,1)</f>
        <v>0</v>
      </c>
      <c r="CQ5358">
        <f t="shared" si="686"/>
        <v>110</v>
      </c>
    </row>
    <row r="5359" spans="94:95">
      <c r="CP5359">
        <f>IF(次果筐明细!$C159="",0,1)</f>
        <v>0</v>
      </c>
      <c r="CQ5359">
        <f t="shared" si="686"/>
        <v>110</v>
      </c>
    </row>
    <row r="5360" spans="94:95">
      <c r="CP5360">
        <f>IF(次果筐明细!$C160="",0,1)</f>
        <v>0</v>
      </c>
      <c r="CQ5360">
        <f t="shared" si="686"/>
        <v>110</v>
      </c>
    </row>
    <row r="5361" spans="94:95">
      <c r="CP5361">
        <f>IF(次果筐明细!$C161="",0,1)</f>
        <v>0</v>
      </c>
      <c r="CQ5361">
        <f t="shared" si="686"/>
        <v>110</v>
      </c>
    </row>
    <row r="5362" spans="94:95">
      <c r="CP5362">
        <f>IF(次果筐明细!$C162="",0,1)</f>
        <v>0</v>
      </c>
      <c r="CQ5362">
        <f t="shared" si="686"/>
        <v>110</v>
      </c>
    </row>
    <row r="5363" spans="94:95">
      <c r="CP5363">
        <f>IF(次果筐明细!$C163="",0,1)</f>
        <v>0</v>
      </c>
      <c r="CQ5363">
        <f t="shared" si="686"/>
        <v>110</v>
      </c>
    </row>
    <row r="5364" spans="94:95">
      <c r="CP5364">
        <f>IF(次果筐明细!$C164="",0,1)</f>
        <v>0</v>
      </c>
      <c r="CQ5364">
        <f t="shared" si="686"/>
        <v>110</v>
      </c>
    </row>
    <row r="5365" spans="94:95">
      <c r="CP5365">
        <f>IF(次果筐明细!$C165="",0,1)</f>
        <v>0</v>
      </c>
      <c r="CQ5365">
        <f t="shared" si="686"/>
        <v>110</v>
      </c>
    </row>
    <row r="5366" spans="94:95">
      <c r="CP5366">
        <f>IF(次果筐明细!$C166="",0,1)</f>
        <v>0</v>
      </c>
      <c r="CQ5366">
        <f t="shared" si="686"/>
        <v>110</v>
      </c>
    </row>
    <row r="5367" spans="94:95">
      <c r="CP5367">
        <f>IF(次果筐明细!$C167="",0,1)</f>
        <v>0</v>
      </c>
      <c r="CQ5367">
        <f t="shared" si="686"/>
        <v>110</v>
      </c>
    </row>
    <row r="5368" spans="94:95">
      <c r="CP5368">
        <f>IF(次果筐明细!$C168="",0,1)</f>
        <v>0</v>
      </c>
      <c r="CQ5368">
        <f t="shared" si="686"/>
        <v>110</v>
      </c>
    </row>
    <row r="5369" spans="94:95">
      <c r="CP5369">
        <f>IF(次果筐明细!$C169="",0,1)</f>
        <v>0</v>
      </c>
      <c r="CQ5369">
        <f t="shared" si="686"/>
        <v>110</v>
      </c>
    </row>
    <row r="5370" spans="94:95">
      <c r="CP5370">
        <f>IF(次果筐明细!$C170="",0,1)</f>
        <v>0</v>
      </c>
      <c r="CQ5370">
        <f t="shared" si="686"/>
        <v>110</v>
      </c>
    </row>
    <row r="5371" spans="94:95">
      <c r="CP5371">
        <f>IF(次果筐明细!$C171="",0,1)</f>
        <v>0</v>
      </c>
      <c r="CQ5371">
        <f t="shared" si="686"/>
        <v>110</v>
      </c>
    </row>
    <row r="5372" spans="94:95">
      <c r="CP5372">
        <f>IF(次果筐明细!$C172="",0,1)</f>
        <v>0</v>
      </c>
      <c r="CQ5372">
        <f t="shared" si="686"/>
        <v>110</v>
      </c>
    </row>
    <row r="5373" spans="94:95">
      <c r="CP5373">
        <f>IF(次果筐明细!$C173="",0,1)</f>
        <v>0</v>
      </c>
      <c r="CQ5373">
        <f t="shared" si="686"/>
        <v>110</v>
      </c>
    </row>
    <row r="5374" spans="94:95">
      <c r="CP5374">
        <f>IF(次果筐明细!$C174="",0,1)</f>
        <v>0</v>
      </c>
      <c r="CQ5374">
        <f t="shared" si="686"/>
        <v>110</v>
      </c>
    </row>
    <row r="5375" spans="94:95">
      <c r="CP5375">
        <f>IF(次果筐明细!$C175="",0,1)</f>
        <v>0</v>
      </c>
      <c r="CQ5375">
        <f t="shared" si="686"/>
        <v>110</v>
      </c>
    </row>
    <row r="5376" spans="94:95">
      <c r="CP5376">
        <f>IF(次果筐明细!$C176="",0,1)</f>
        <v>0</v>
      </c>
      <c r="CQ5376">
        <f t="shared" si="686"/>
        <v>110</v>
      </c>
    </row>
    <row r="5377" spans="94:95">
      <c r="CP5377">
        <f>IF(次果筐明细!$C177="",0,1)</f>
        <v>0</v>
      </c>
      <c r="CQ5377">
        <f t="shared" si="686"/>
        <v>110</v>
      </c>
    </row>
    <row r="5378" spans="94:95">
      <c r="CP5378">
        <f>IF(次果筐明细!$C178="",0,1)</f>
        <v>0</v>
      </c>
      <c r="CQ5378">
        <f t="shared" si="686"/>
        <v>110</v>
      </c>
    </row>
    <row r="5379" spans="94:95">
      <c r="CP5379">
        <f>IF(次果筐明细!$C179="",0,1)</f>
        <v>0</v>
      </c>
      <c r="CQ5379">
        <f t="shared" si="686"/>
        <v>110</v>
      </c>
    </row>
    <row r="5380" spans="94:95">
      <c r="CP5380">
        <f>IF(次果筐明细!$C180="",0,1)</f>
        <v>0</v>
      </c>
      <c r="CQ5380">
        <f t="shared" ref="CQ5380:CQ5443" si="687">N(CQ5379)+$CP5380</f>
        <v>110</v>
      </c>
    </row>
    <row r="5381" spans="94:95">
      <c r="CP5381">
        <f>IF(次果筐明细!$C181="",0,1)</f>
        <v>0</v>
      </c>
      <c r="CQ5381">
        <f t="shared" si="687"/>
        <v>110</v>
      </c>
    </row>
    <row r="5382" spans="94:95">
      <c r="CP5382">
        <f>IF(次果筐明细!$C182="",0,1)</f>
        <v>0</v>
      </c>
      <c r="CQ5382">
        <f t="shared" si="687"/>
        <v>110</v>
      </c>
    </row>
    <row r="5383" spans="94:95">
      <c r="CP5383">
        <f>IF(次果筐明细!$C183="",0,1)</f>
        <v>0</v>
      </c>
      <c r="CQ5383">
        <f t="shared" si="687"/>
        <v>110</v>
      </c>
    </row>
    <row r="5384" spans="94:95">
      <c r="CP5384">
        <f>IF(次果筐明细!$C184="",0,1)</f>
        <v>0</v>
      </c>
      <c r="CQ5384">
        <f t="shared" si="687"/>
        <v>110</v>
      </c>
    </row>
    <row r="5385" spans="94:95">
      <c r="CP5385">
        <f>IF(次果筐明细!$C185="",0,1)</f>
        <v>0</v>
      </c>
      <c r="CQ5385">
        <f t="shared" si="687"/>
        <v>110</v>
      </c>
    </row>
    <row r="5386" spans="94:95">
      <c r="CP5386">
        <f>IF(次果筐明细!$C186="",0,1)</f>
        <v>0</v>
      </c>
      <c r="CQ5386">
        <f t="shared" si="687"/>
        <v>110</v>
      </c>
    </row>
    <row r="5387" spans="94:95">
      <c r="CP5387">
        <f>IF(次果筐明细!$C187="",0,1)</f>
        <v>0</v>
      </c>
      <c r="CQ5387">
        <f t="shared" si="687"/>
        <v>110</v>
      </c>
    </row>
    <row r="5388" spans="94:95">
      <c r="CP5388">
        <f>IF(次果筐明细!$C188="",0,1)</f>
        <v>0</v>
      </c>
      <c r="CQ5388">
        <f t="shared" si="687"/>
        <v>110</v>
      </c>
    </row>
    <row r="5389" spans="94:95">
      <c r="CP5389">
        <f>IF(次果筐明细!$C189="",0,1)</f>
        <v>0</v>
      </c>
      <c r="CQ5389">
        <f t="shared" si="687"/>
        <v>110</v>
      </c>
    </row>
    <row r="5390" spans="94:95">
      <c r="CP5390">
        <f>IF(次果筐明细!$C190="",0,1)</f>
        <v>0</v>
      </c>
      <c r="CQ5390">
        <f t="shared" si="687"/>
        <v>110</v>
      </c>
    </row>
    <row r="5391" spans="94:95">
      <c r="CP5391">
        <f>IF(次果筐明细!$C191="",0,1)</f>
        <v>0</v>
      </c>
      <c r="CQ5391">
        <f t="shared" si="687"/>
        <v>110</v>
      </c>
    </row>
    <row r="5392" spans="94:95">
      <c r="CP5392">
        <f>IF(次果筐明细!$C192="",0,1)</f>
        <v>0</v>
      </c>
      <c r="CQ5392">
        <f t="shared" si="687"/>
        <v>110</v>
      </c>
    </row>
    <row r="5393" spans="94:95">
      <c r="CP5393">
        <f>IF(次果筐明细!$C193="",0,1)</f>
        <v>0</v>
      </c>
      <c r="CQ5393">
        <f t="shared" si="687"/>
        <v>110</v>
      </c>
    </row>
    <row r="5394" spans="94:95">
      <c r="CP5394">
        <f>IF(次果筐明细!$C194="",0,1)</f>
        <v>0</v>
      </c>
      <c r="CQ5394">
        <f t="shared" si="687"/>
        <v>110</v>
      </c>
    </row>
    <row r="5395" spans="94:95">
      <c r="CP5395">
        <f>IF(次果筐明细!$C195="",0,1)</f>
        <v>0</v>
      </c>
      <c r="CQ5395">
        <f t="shared" si="687"/>
        <v>110</v>
      </c>
    </row>
    <row r="5396" spans="94:95">
      <c r="CP5396">
        <f>IF(次果筐明细!$C196="",0,1)</f>
        <v>0</v>
      </c>
      <c r="CQ5396">
        <f t="shared" si="687"/>
        <v>110</v>
      </c>
    </row>
    <row r="5397" spans="94:95">
      <c r="CP5397">
        <f>IF(次果筐明细!$C197="",0,1)</f>
        <v>0</v>
      </c>
      <c r="CQ5397">
        <f t="shared" si="687"/>
        <v>110</v>
      </c>
    </row>
    <row r="5398" spans="94:95">
      <c r="CP5398">
        <f>IF(次果筐明细!$C198="",0,1)</f>
        <v>0</v>
      </c>
      <c r="CQ5398">
        <f t="shared" si="687"/>
        <v>110</v>
      </c>
    </row>
    <row r="5399" spans="94:95">
      <c r="CP5399">
        <f>IF(次果筐明细!$C199="",0,1)</f>
        <v>0</v>
      </c>
      <c r="CQ5399">
        <f t="shared" si="687"/>
        <v>110</v>
      </c>
    </row>
    <row r="5400" spans="94:95">
      <c r="CP5400">
        <f>IF(次果筐明细!$C200="",0,1)</f>
        <v>0</v>
      </c>
      <c r="CQ5400">
        <f t="shared" si="687"/>
        <v>110</v>
      </c>
    </row>
    <row r="5401" spans="94:95">
      <c r="CP5401">
        <f>IF(次果筐明细!$C201="",0,1)</f>
        <v>0</v>
      </c>
      <c r="CQ5401">
        <f t="shared" si="687"/>
        <v>110</v>
      </c>
    </row>
    <row r="5402" spans="94:95">
      <c r="CP5402">
        <f>IF(次果筐明细!$C202="",0,1)</f>
        <v>0</v>
      </c>
      <c r="CQ5402">
        <f t="shared" si="687"/>
        <v>110</v>
      </c>
    </row>
    <row r="5403" spans="94:95">
      <c r="CP5403">
        <f>IF(次果筐明细!$C203="",0,1)</f>
        <v>0</v>
      </c>
      <c r="CQ5403">
        <f t="shared" si="687"/>
        <v>110</v>
      </c>
    </row>
    <row r="5404" spans="94:95">
      <c r="CP5404">
        <f>IF(次果筐明细!$C204="",0,1)</f>
        <v>0</v>
      </c>
      <c r="CQ5404">
        <f t="shared" si="687"/>
        <v>110</v>
      </c>
    </row>
    <row r="5405" spans="94:95">
      <c r="CP5405">
        <f>IF(次果筐明细!$C205="",0,1)</f>
        <v>0</v>
      </c>
      <c r="CQ5405">
        <f t="shared" si="687"/>
        <v>110</v>
      </c>
    </row>
    <row r="5406" spans="94:95">
      <c r="CP5406">
        <f>IF(次果筐明细!$C206="",0,1)</f>
        <v>0</v>
      </c>
      <c r="CQ5406">
        <f t="shared" si="687"/>
        <v>110</v>
      </c>
    </row>
    <row r="5407" spans="94:95">
      <c r="CP5407">
        <f>IF(次果筐明细!$C207="",0,1)</f>
        <v>0</v>
      </c>
      <c r="CQ5407">
        <f t="shared" si="687"/>
        <v>110</v>
      </c>
    </row>
    <row r="5408" spans="94:95">
      <c r="CP5408">
        <f>IF(次果筐明细!$C208="",0,1)</f>
        <v>0</v>
      </c>
      <c r="CQ5408">
        <f t="shared" si="687"/>
        <v>110</v>
      </c>
    </row>
    <row r="5409" spans="94:95">
      <c r="CP5409">
        <f>IF(次果筐明细!$C209="",0,1)</f>
        <v>0</v>
      </c>
      <c r="CQ5409">
        <f t="shared" si="687"/>
        <v>110</v>
      </c>
    </row>
    <row r="5410" spans="94:95">
      <c r="CP5410">
        <f>IF(次果筐明细!$C210="",0,1)</f>
        <v>0</v>
      </c>
      <c r="CQ5410">
        <f t="shared" si="687"/>
        <v>110</v>
      </c>
    </row>
    <row r="5411" spans="94:95">
      <c r="CP5411">
        <f>IF(次果筐明细!$C211="",0,1)</f>
        <v>0</v>
      </c>
      <c r="CQ5411">
        <f t="shared" si="687"/>
        <v>110</v>
      </c>
    </row>
    <row r="5412" spans="94:95">
      <c r="CP5412">
        <f>IF(次果筐明细!$C212="",0,1)</f>
        <v>0</v>
      </c>
      <c r="CQ5412">
        <f t="shared" si="687"/>
        <v>110</v>
      </c>
    </row>
    <row r="5413" spans="94:95">
      <c r="CP5413">
        <f>IF(次果筐明细!$C213="",0,1)</f>
        <v>0</v>
      </c>
      <c r="CQ5413">
        <f t="shared" si="687"/>
        <v>110</v>
      </c>
    </row>
    <row r="5414" spans="94:95">
      <c r="CP5414">
        <f>IF(次果筐明细!$C214="",0,1)</f>
        <v>0</v>
      </c>
      <c r="CQ5414">
        <f t="shared" si="687"/>
        <v>110</v>
      </c>
    </row>
    <row r="5415" spans="94:95">
      <c r="CP5415">
        <f>IF(次果筐明细!$C215="",0,1)</f>
        <v>0</v>
      </c>
      <c r="CQ5415">
        <f t="shared" si="687"/>
        <v>110</v>
      </c>
    </row>
    <row r="5416" spans="94:95">
      <c r="CP5416">
        <f>IF(次果筐明细!$C216="",0,1)</f>
        <v>0</v>
      </c>
      <c r="CQ5416">
        <f t="shared" si="687"/>
        <v>110</v>
      </c>
    </row>
    <row r="5417" spans="94:95">
      <c r="CP5417">
        <f>IF(次果筐明细!$C217="",0,1)</f>
        <v>0</v>
      </c>
      <c r="CQ5417">
        <f t="shared" si="687"/>
        <v>110</v>
      </c>
    </row>
    <row r="5418" spans="94:95">
      <c r="CP5418">
        <f>IF(次果筐明细!$C218="",0,1)</f>
        <v>0</v>
      </c>
      <c r="CQ5418">
        <f t="shared" si="687"/>
        <v>110</v>
      </c>
    </row>
    <row r="5419" spans="94:95">
      <c r="CP5419">
        <f>IF(次果筐明细!$C219="",0,1)</f>
        <v>0</v>
      </c>
      <c r="CQ5419">
        <f t="shared" si="687"/>
        <v>110</v>
      </c>
    </row>
    <row r="5420" spans="94:95">
      <c r="CP5420">
        <f>IF(次果筐明细!$C220="",0,1)</f>
        <v>0</v>
      </c>
      <c r="CQ5420">
        <f t="shared" si="687"/>
        <v>110</v>
      </c>
    </row>
    <row r="5421" spans="94:95">
      <c r="CP5421">
        <f>IF(次果筐明细!$C221="",0,1)</f>
        <v>0</v>
      </c>
      <c r="CQ5421">
        <f t="shared" si="687"/>
        <v>110</v>
      </c>
    </row>
    <row r="5422" spans="94:95">
      <c r="CP5422">
        <f>IF(次果筐明细!$C222="",0,1)</f>
        <v>0</v>
      </c>
      <c r="CQ5422">
        <f t="shared" si="687"/>
        <v>110</v>
      </c>
    </row>
    <row r="5423" spans="94:95">
      <c r="CP5423">
        <f>IF(次果筐明细!$C223="",0,1)</f>
        <v>0</v>
      </c>
      <c r="CQ5423">
        <f t="shared" si="687"/>
        <v>110</v>
      </c>
    </row>
    <row r="5424" spans="94:95">
      <c r="CP5424">
        <f>IF(次果筐明细!$C224="",0,1)</f>
        <v>0</v>
      </c>
      <c r="CQ5424">
        <f t="shared" si="687"/>
        <v>110</v>
      </c>
    </row>
    <row r="5425" spans="94:95">
      <c r="CP5425">
        <f>IF(次果筐明细!$C225="",0,1)</f>
        <v>0</v>
      </c>
      <c r="CQ5425">
        <f t="shared" si="687"/>
        <v>110</v>
      </c>
    </row>
    <row r="5426" spans="94:95">
      <c r="CP5426">
        <f>IF(次果筐明细!$C226="",0,1)</f>
        <v>0</v>
      </c>
      <c r="CQ5426">
        <f t="shared" si="687"/>
        <v>110</v>
      </c>
    </row>
    <row r="5427" spans="94:95">
      <c r="CP5427">
        <f>IF(次果筐明细!$C227="",0,1)</f>
        <v>0</v>
      </c>
      <c r="CQ5427">
        <f t="shared" si="687"/>
        <v>110</v>
      </c>
    </row>
    <row r="5428" spans="94:95">
      <c r="CP5428">
        <f>IF(次果筐明细!$C228="",0,1)</f>
        <v>0</v>
      </c>
      <c r="CQ5428">
        <f t="shared" si="687"/>
        <v>110</v>
      </c>
    </row>
    <row r="5429" spans="94:95">
      <c r="CP5429">
        <f>IF(次果筐明细!$C229="",0,1)</f>
        <v>0</v>
      </c>
      <c r="CQ5429">
        <f t="shared" si="687"/>
        <v>110</v>
      </c>
    </row>
    <row r="5430" spans="94:95">
      <c r="CP5430">
        <f>IF(次果筐明细!$C230="",0,1)</f>
        <v>0</v>
      </c>
      <c r="CQ5430">
        <f t="shared" si="687"/>
        <v>110</v>
      </c>
    </row>
    <row r="5431" spans="94:95">
      <c r="CP5431">
        <f>IF(次果筐明细!$C231="",0,1)</f>
        <v>0</v>
      </c>
      <c r="CQ5431">
        <f t="shared" si="687"/>
        <v>110</v>
      </c>
    </row>
    <row r="5432" spans="94:95">
      <c r="CP5432">
        <f>IF(次果筐明细!$C232="",0,1)</f>
        <v>0</v>
      </c>
      <c r="CQ5432">
        <f t="shared" si="687"/>
        <v>110</v>
      </c>
    </row>
    <row r="5433" spans="94:95">
      <c r="CP5433">
        <f>IF(次果筐明细!$C233="",0,1)</f>
        <v>0</v>
      </c>
      <c r="CQ5433">
        <f t="shared" si="687"/>
        <v>110</v>
      </c>
    </row>
    <row r="5434" spans="94:95">
      <c r="CP5434">
        <f>IF(次果筐明细!$C234="",0,1)</f>
        <v>0</v>
      </c>
      <c r="CQ5434">
        <f t="shared" si="687"/>
        <v>110</v>
      </c>
    </row>
    <row r="5435" spans="94:95">
      <c r="CP5435">
        <f>IF(次果筐明细!$C235="",0,1)</f>
        <v>0</v>
      </c>
      <c r="CQ5435">
        <f t="shared" si="687"/>
        <v>110</v>
      </c>
    </row>
    <row r="5436" spans="94:95">
      <c r="CP5436">
        <f>IF(次果筐明细!$C236="",0,1)</f>
        <v>0</v>
      </c>
      <c r="CQ5436">
        <f t="shared" si="687"/>
        <v>110</v>
      </c>
    </row>
    <row r="5437" spans="94:95">
      <c r="CP5437">
        <f>IF(次果筐明细!$C237="",0,1)</f>
        <v>0</v>
      </c>
      <c r="CQ5437">
        <f t="shared" si="687"/>
        <v>110</v>
      </c>
    </row>
    <row r="5438" spans="94:95">
      <c r="CP5438">
        <f>IF(次果筐明细!$C238="",0,1)</f>
        <v>0</v>
      </c>
      <c r="CQ5438">
        <f t="shared" si="687"/>
        <v>110</v>
      </c>
    </row>
    <row r="5439" spans="94:95">
      <c r="CP5439">
        <f>IF(次果筐明细!$C239="",0,1)</f>
        <v>0</v>
      </c>
      <c r="CQ5439">
        <f t="shared" si="687"/>
        <v>110</v>
      </c>
    </row>
    <row r="5440" spans="94:95">
      <c r="CP5440">
        <f>IF(次果筐明细!$C240="",0,1)</f>
        <v>0</v>
      </c>
      <c r="CQ5440">
        <f t="shared" si="687"/>
        <v>110</v>
      </c>
    </row>
    <row r="5441" spans="94:95">
      <c r="CP5441">
        <f>IF(次果筐明细!$C241="",0,1)</f>
        <v>0</v>
      </c>
      <c r="CQ5441">
        <f t="shared" si="687"/>
        <v>110</v>
      </c>
    </row>
    <row r="5442" spans="94:95">
      <c r="CP5442">
        <f>IF(次果筐明细!$C242="",0,1)</f>
        <v>0</v>
      </c>
      <c r="CQ5442">
        <f t="shared" si="687"/>
        <v>110</v>
      </c>
    </row>
    <row r="5443" spans="94:95">
      <c r="CP5443">
        <f>IF(次果筐明细!$C243="",0,1)</f>
        <v>0</v>
      </c>
      <c r="CQ5443">
        <f t="shared" si="687"/>
        <v>110</v>
      </c>
    </row>
    <row r="5444" spans="94:95">
      <c r="CP5444">
        <f>IF(次果筐明细!$C244="",0,1)</f>
        <v>0</v>
      </c>
      <c r="CQ5444">
        <f t="shared" ref="CQ5444:CQ5507" si="688">N(CQ5443)+$CP5444</f>
        <v>110</v>
      </c>
    </row>
    <row r="5445" spans="94:95">
      <c r="CP5445">
        <f>IF(次果筐明细!$C245="",0,1)</f>
        <v>0</v>
      </c>
      <c r="CQ5445">
        <f t="shared" si="688"/>
        <v>110</v>
      </c>
    </row>
    <row r="5446" spans="94:95">
      <c r="CP5446">
        <f>IF(次果筐明细!$C246="",0,1)</f>
        <v>0</v>
      </c>
      <c r="CQ5446">
        <f t="shared" si="688"/>
        <v>110</v>
      </c>
    </row>
    <row r="5447" spans="94:95">
      <c r="CP5447">
        <f>IF(次果筐明细!$C247="",0,1)</f>
        <v>0</v>
      </c>
      <c r="CQ5447">
        <f t="shared" si="688"/>
        <v>110</v>
      </c>
    </row>
    <row r="5448" spans="94:95">
      <c r="CP5448">
        <f>IF(次果筐明细!$C248="",0,1)</f>
        <v>0</v>
      </c>
      <c r="CQ5448">
        <f t="shared" si="688"/>
        <v>110</v>
      </c>
    </row>
    <row r="5449" spans="94:95">
      <c r="CP5449">
        <f>IF(次果筐明细!$C249="",0,1)</f>
        <v>0</v>
      </c>
      <c r="CQ5449">
        <f t="shared" si="688"/>
        <v>110</v>
      </c>
    </row>
    <row r="5450" spans="94:95">
      <c r="CP5450">
        <f>IF(次果筐明细!$C250="",0,1)</f>
        <v>0</v>
      </c>
      <c r="CQ5450">
        <f t="shared" si="688"/>
        <v>110</v>
      </c>
    </row>
    <row r="5451" spans="94:95">
      <c r="CP5451">
        <f>IF(次果筐明细!$C251="",0,1)</f>
        <v>0</v>
      </c>
      <c r="CQ5451">
        <f t="shared" si="688"/>
        <v>110</v>
      </c>
    </row>
    <row r="5452" spans="94:95">
      <c r="CP5452">
        <f>IF(次果筐明细!$C252="",0,1)</f>
        <v>0</v>
      </c>
      <c r="CQ5452">
        <f t="shared" si="688"/>
        <v>110</v>
      </c>
    </row>
    <row r="5453" spans="94:95">
      <c r="CP5453">
        <f>IF(次果筐明细!$C253="",0,1)</f>
        <v>0</v>
      </c>
      <c r="CQ5453">
        <f t="shared" si="688"/>
        <v>110</v>
      </c>
    </row>
    <row r="5454" spans="94:95">
      <c r="CP5454">
        <f>IF(次果筐明细!$C254="",0,1)</f>
        <v>0</v>
      </c>
      <c r="CQ5454">
        <f t="shared" si="688"/>
        <v>110</v>
      </c>
    </row>
    <row r="5455" spans="94:95">
      <c r="CP5455">
        <f>IF(次果筐明细!$C255="",0,1)</f>
        <v>0</v>
      </c>
      <c r="CQ5455">
        <f t="shared" si="688"/>
        <v>110</v>
      </c>
    </row>
    <row r="5456" spans="94:95">
      <c r="CP5456">
        <f>IF(次果筐明细!$C256="",0,1)</f>
        <v>0</v>
      </c>
      <c r="CQ5456">
        <f t="shared" si="688"/>
        <v>110</v>
      </c>
    </row>
    <row r="5457" spans="94:95">
      <c r="CP5457">
        <f>IF(次果筐明细!$C257="",0,1)</f>
        <v>0</v>
      </c>
      <c r="CQ5457">
        <f t="shared" si="688"/>
        <v>110</v>
      </c>
    </row>
    <row r="5458" spans="94:95">
      <c r="CP5458">
        <f>IF(次果筐明细!$C258="",0,1)</f>
        <v>0</v>
      </c>
      <c r="CQ5458">
        <f t="shared" si="688"/>
        <v>110</v>
      </c>
    </row>
    <row r="5459" spans="94:95">
      <c r="CP5459">
        <f>IF(次果筐明细!$C259="",0,1)</f>
        <v>0</v>
      </c>
      <c r="CQ5459">
        <f t="shared" si="688"/>
        <v>110</v>
      </c>
    </row>
    <row r="5460" spans="94:95">
      <c r="CP5460">
        <f>IF(次果筐明细!$C260="",0,1)</f>
        <v>0</v>
      </c>
      <c r="CQ5460">
        <f t="shared" si="688"/>
        <v>110</v>
      </c>
    </row>
    <row r="5461" spans="94:95">
      <c r="CP5461">
        <f>IF(次果筐明细!$C261="",0,1)</f>
        <v>0</v>
      </c>
      <c r="CQ5461">
        <f t="shared" si="688"/>
        <v>110</v>
      </c>
    </row>
    <row r="5462" spans="94:95">
      <c r="CP5462">
        <f>IF(次果筐明细!$C262="",0,1)</f>
        <v>0</v>
      </c>
      <c r="CQ5462">
        <f t="shared" si="688"/>
        <v>110</v>
      </c>
    </row>
    <row r="5463" spans="94:95">
      <c r="CP5463">
        <f>IF(次果筐明细!$C263="",0,1)</f>
        <v>0</v>
      </c>
      <c r="CQ5463">
        <f t="shared" si="688"/>
        <v>110</v>
      </c>
    </row>
    <row r="5464" spans="94:95">
      <c r="CP5464">
        <f>IF(次果筐明细!$C264="",0,1)</f>
        <v>0</v>
      </c>
      <c r="CQ5464">
        <f t="shared" si="688"/>
        <v>110</v>
      </c>
    </row>
    <row r="5465" spans="94:95">
      <c r="CP5465">
        <f>IF(次果筐明细!$C265="",0,1)</f>
        <v>0</v>
      </c>
      <c r="CQ5465">
        <f t="shared" si="688"/>
        <v>110</v>
      </c>
    </row>
    <row r="5466" spans="94:95">
      <c r="CP5466">
        <f>IF(次果筐明细!$C266="",0,1)</f>
        <v>0</v>
      </c>
      <c r="CQ5466">
        <f t="shared" si="688"/>
        <v>110</v>
      </c>
    </row>
    <row r="5467" spans="94:95">
      <c r="CP5467">
        <f>IF(次果筐明细!$C267="",0,1)</f>
        <v>0</v>
      </c>
      <c r="CQ5467">
        <f t="shared" si="688"/>
        <v>110</v>
      </c>
    </row>
    <row r="5468" spans="94:95">
      <c r="CP5468">
        <f>IF(次果筐明细!$C268="",0,1)</f>
        <v>0</v>
      </c>
      <c r="CQ5468">
        <f t="shared" si="688"/>
        <v>110</v>
      </c>
    </row>
    <row r="5469" spans="94:95">
      <c r="CP5469">
        <f>IF(次果筐明细!$C269="",0,1)</f>
        <v>0</v>
      </c>
      <c r="CQ5469">
        <f t="shared" si="688"/>
        <v>110</v>
      </c>
    </row>
    <row r="5470" spans="94:95">
      <c r="CP5470">
        <f>IF(次果筐明细!$C270="",0,1)</f>
        <v>0</v>
      </c>
      <c r="CQ5470">
        <f t="shared" si="688"/>
        <v>110</v>
      </c>
    </row>
    <row r="5471" spans="94:95">
      <c r="CP5471">
        <f>IF(次果筐明细!$C271="",0,1)</f>
        <v>0</v>
      </c>
      <c r="CQ5471">
        <f t="shared" si="688"/>
        <v>110</v>
      </c>
    </row>
    <row r="5472" spans="94:95">
      <c r="CP5472">
        <f>IF(次果筐明细!$C272="",0,1)</f>
        <v>0</v>
      </c>
      <c r="CQ5472">
        <f t="shared" si="688"/>
        <v>110</v>
      </c>
    </row>
    <row r="5473" spans="94:95">
      <c r="CP5473">
        <f>IF(次果筐明细!$C273="",0,1)</f>
        <v>0</v>
      </c>
      <c r="CQ5473">
        <f t="shared" si="688"/>
        <v>110</v>
      </c>
    </row>
    <row r="5474" spans="94:95">
      <c r="CP5474">
        <f>IF(次果筐明细!$C274="",0,1)</f>
        <v>0</v>
      </c>
      <c r="CQ5474">
        <f t="shared" si="688"/>
        <v>110</v>
      </c>
    </row>
    <row r="5475" spans="94:95">
      <c r="CP5475">
        <f>IF(次果筐明细!$C275="",0,1)</f>
        <v>0</v>
      </c>
      <c r="CQ5475">
        <f t="shared" si="688"/>
        <v>110</v>
      </c>
    </row>
    <row r="5476" spans="94:95">
      <c r="CP5476">
        <f>IF(次果筐明细!$C276="",0,1)</f>
        <v>0</v>
      </c>
      <c r="CQ5476">
        <f t="shared" si="688"/>
        <v>110</v>
      </c>
    </row>
    <row r="5477" spans="94:95">
      <c r="CP5477">
        <f>IF(次果筐明细!$C277="",0,1)</f>
        <v>0</v>
      </c>
      <c r="CQ5477">
        <f t="shared" si="688"/>
        <v>110</v>
      </c>
    </row>
    <row r="5478" spans="94:95">
      <c r="CP5478">
        <f>IF(次果筐明细!$C278="",0,1)</f>
        <v>0</v>
      </c>
      <c r="CQ5478">
        <f t="shared" si="688"/>
        <v>110</v>
      </c>
    </row>
    <row r="5479" spans="94:95">
      <c r="CP5479">
        <f>IF(次果筐明细!$C279="",0,1)</f>
        <v>0</v>
      </c>
      <c r="CQ5479">
        <f t="shared" si="688"/>
        <v>110</v>
      </c>
    </row>
    <row r="5480" spans="94:95">
      <c r="CP5480">
        <f>IF(次果筐明细!$C280="",0,1)</f>
        <v>0</v>
      </c>
      <c r="CQ5480">
        <f t="shared" si="688"/>
        <v>110</v>
      </c>
    </row>
    <row r="5481" spans="94:95">
      <c r="CP5481">
        <f>IF(次果筐明细!$C281="",0,1)</f>
        <v>0</v>
      </c>
      <c r="CQ5481">
        <f t="shared" si="688"/>
        <v>110</v>
      </c>
    </row>
    <row r="5482" spans="94:95">
      <c r="CP5482">
        <f>IF(次果筐明细!$C282="",0,1)</f>
        <v>0</v>
      </c>
      <c r="CQ5482">
        <f t="shared" si="688"/>
        <v>110</v>
      </c>
    </row>
    <row r="5483" spans="94:95">
      <c r="CP5483">
        <f>IF(次果筐明细!$C283="",0,1)</f>
        <v>0</v>
      </c>
      <c r="CQ5483">
        <f t="shared" si="688"/>
        <v>110</v>
      </c>
    </row>
    <row r="5484" spans="94:95">
      <c r="CP5484">
        <f>IF(次果筐明细!$C284="",0,1)</f>
        <v>0</v>
      </c>
      <c r="CQ5484">
        <f t="shared" si="688"/>
        <v>110</v>
      </c>
    </row>
    <row r="5485" spans="94:95">
      <c r="CP5485">
        <f>IF(次果筐明细!$C285="",0,1)</f>
        <v>0</v>
      </c>
      <c r="CQ5485">
        <f t="shared" si="688"/>
        <v>110</v>
      </c>
    </row>
    <row r="5486" spans="94:95">
      <c r="CP5486">
        <f>IF(次果筐明细!$C286="",0,1)</f>
        <v>0</v>
      </c>
      <c r="CQ5486">
        <f t="shared" si="688"/>
        <v>110</v>
      </c>
    </row>
    <row r="5487" spans="94:95">
      <c r="CP5487">
        <f>IF(次果筐明细!$C287="",0,1)</f>
        <v>0</v>
      </c>
      <c r="CQ5487">
        <f t="shared" si="688"/>
        <v>110</v>
      </c>
    </row>
    <row r="5488" spans="94:95">
      <c r="CP5488">
        <f>IF(次果筐明细!$C288="",0,1)</f>
        <v>0</v>
      </c>
      <c r="CQ5488">
        <f t="shared" si="688"/>
        <v>110</v>
      </c>
    </row>
    <row r="5489" spans="94:95">
      <c r="CP5489">
        <f>IF(次果筐明细!$C289="",0,1)</f>
        <v>0</v>
      </c>
      <c r="CQ5489">
        <f t="shared" si="688"/>
        <v>110</v>
      </c>
    </row>
    <row r="5490" spans="94:95">
      <c r="CP5490">
        <f>IF(次果筐明细!$C290="",0,1)</f>
        <v>0</v>
      </c>
      <c r="CQ5490">
        <f t="shared" si="688"/>
        <v>110</v>
      </c>
    </row>
    <row r="5491" spans="94:95">
      <c r="CP5491">
        <f>IF(次果筐明细!$C291="",0,1)</f>
        <v>0</v>
      </c>
      <c r="CQ5491">
        <f t="shared" si="688"/>
        <v>110</v>
      </c>
    </row>
    <row r="5492" spans="94:95">
      <c r="CP5492">
        <f>IF(次果筐明细!$C292="",0,1)</f>
        <v>0</v>
      </c>
      <c r="CQ5492">
        <f t="shared" si="688"/>
        <v>110</v>
      </c>
    </row>
    <row r="5493" spans="94:95">
      <c r="CP5493">
        <f>IF(次果筐明细!$C293="",0,1)</f>
        <v>0</v>
      </c>
      <c r="CQ5493">
        <f t="shared" si="688"/>
        <v>110</v>
      </c>
    </row>
    <row r="5494" spans="94:95">
      <c r="CP5494">
        <f>IF(次果筐明细!$C294="",0,1)</f>
        <v>0</v>
      </c>
      <c r="CQ5494">
        <f t="shared" si="688"/>
        <v>110</v>
      </c>
    </row>
    <row r="5495" spans="94:95">
      <c r="CP5495">
        <f>IF(次果筐明细!$C295="",0,1)</f>
        <v>0</v>
      </c>
      <c r="CQ5495">
        <f t="shared" si="688"/>
        <v>110</v>
      </c>
    </row>
    <row r="5496" spans="94:95">
      <c r="CP5496">
        <f>IF(次果筐明细!$C296="",0,1)</f>
        <v>0</v>
      </c>
      <c r="CQ5496">
        <f t="shared" si="688"/>
        <v>110</v>
      </c>
    </row>
    <row r="5497" spans="94:95">
      <c r="CP5497">
        <f>IF(次果筐明细!$C297="",0,1)</f>
        <v>0</v>
      </c>
      <c r="CQ5497">
        <f t="shared" si="688"/>
        <v>110</v>
      </c>
    </row>
    <row r="5498" spans="94:95">
      <c r="CP5498">
        <f>IF(次果筐明细!$C298="",0,1)</f>
        <v>0</v>
      </c>
      <c r="CQ5498">
        <f t="shared" si="688"/>
        <v>110</v>
      </c>
    </row>
    <row r="5499" spans="94:95">
      <c r="CP5499">
        <f>IF(次果筐明细!$C299="",0,1)</f>
        <v>0</v>
      </c>
      <c r="CQ5499">
        <f t="shared" si="688"/>
        <v>110</v>
      </c>
    </row>
    <row r="5500" spans="94:95">
      <c r="CP5500">
        <f>IF(次果筐明细!$C300="",0,1)</f>
        <v>0</v>
      </c>
      <c r="CQ5500">
        <f t="shared" si="688"/>
        <v>110</v>
      </c>
    </row>
    <row r="5501" spans="94:95">
      <c r="CP5501">
        <f>IF(次果筐明细!$C301="",0,1)</f>
        <v>0</v>
      </c>
      <c r="CQ5501">
        <f t="shared" si="688"/>
        <v>110</v>
      </c>
    </row>
    <row r="5502" spans="94:95">
      <c r="CP5502">
        <f>IF(次果筐明细!$C302="",0,1)</f>
        <v>0</v>
      </c>
      <c r="CQ5502">
        <f t="shared" si="688"/>
        <v>110</v>
      </c>
    </row>
    <row r="5503" spans="94:95">
      <c r="CP5503">
        <f>IF(次果筐明细!$C303="",0,1)</f>
        <v>0</v>
      </c>
      <c r="CQ5503">
        <f t="shared" si="688"/>
        <v>110</v>
      </c>
    </row>
    <row r="5504" spans="94:95">
      <c r="CP5504">
        <f>IF(次果筐明细!$C304="",0,1)</f>
        <v>0</v>
      </c>
      <c r="CQ5504">
        <f t="shared" si="688"/>
        <v>110</v>
      </c>
    </row>
    <row r="5505" spans="94:95">
      <c r="CP5505">
        <f>IF(次果筐明细!$C305="",0,1)</f>
        <v>0</v>
      </c>
      <c r="CQ5505">
        <f t="shared" si="688"/>
        <v>110</v>
      </c>
    </row>
    <row r="5506" spans="94:95">
      <c r="CP5506">
        <f>IF(次果筐明细!$C306="",0,1)</f>
        <v>0</v>
      </c>
      <c r="CQ5506">
        <f t="shared" si="688"/>
        <v>110</v>
      </c>
    </row>
    <row r="5507" spans="94:95">
      <c r="CP5507">
        <f>IF(次果筐明细!$C307="",0,1)</f>
        <v>0</v>
      </c>
      <c r="CQ5507">
        <f t="shared" si="688"/>
        <v>110</v>
      </c>
    </row>
    <row r="5508" spans="94:95">
      <c r="CP5508">
        <f>IF(次果筐明细!$C308="",0,1)</f>
        <v>0</v>
      </c>
      <c r="CQ5508">
        <f t="shared" ref="CQ5508:CQ5571" si="689">N(CQ5507)+$CP5508</f>
        <v>110</v>
      </c>
    </row>
    <row r="5509" spans="94:95">
      <c r="CP5509">
        <f>IF(次果筐明细!$C309="",0,1)</f>
        <v>0</v>
      </c>
      <c r="CQ5509">
        <f t="shared" si="689"/>
        <v>110</v>
      </c>
    </row>
    <row r="5510" spans="94:95">
      <c r="CP5510">
        <f>IF(次果筐明细!$C310="",0,1)</f>
        <v>0</v>
      </c>
      <c r="CQ5510">
        <f t="shared" si="689"/>
        <v>110</v>
      </c>
    </row>
    <row r="5511" spans="94:95">
      <c r="CP5511">
        <f>IF(次果筐明细!$C311="",0,1)</f>
        <v>0</v>
      </c>
      <c r="CQ5511">
        <f t="shared" si="689"/>
        <v>110</v>
      </c>
    </row>
    <row r="5512" spans="94:95">
      <c r="CP5512">
        <f>IF(次果筐明细!$C312="",0,1)</f>
        <v>0</v>
      </c>
      <c r="CQ5512">
        <f t="shared" si="689"/>
        <v>110</v>
      </c>
    </row>
    <row r="5513" spans="94:95">
      <c r="CP5513">
        <f>IF(次果筐明细!$C313="",0,1)</f>
        <v>0</v>
      </c>
      <c r="CQ5513">
        <f t="shared" si="689"/>
        <v>110</v>
      </c>
    </row>
    <row r="5514" spans="94:95">
      <c r="CP5514">
        <f>IF(次果筐明细!$C314="",0,1)</f>
        <v>0</v>
      </c>
      <c r="CQ5514">
        <f t="shared" si="689"/>
        <v>110</v>
      </c>
    </row>
    <row r="5515" spans="94:95">
      <c r="CP5515">
        <f>IF(次果筐明细!$C315="",0,1)</f>
        <v>0</v>
      </c>
      <c r="CQ5515">
        <f t="shared" si="689"/>
        <v>110</v>
      </c>
    </row>
    <row r="5516" spans="94:95">
      <c r="CP5516">
        <f>IF(次果筐明细!$C316="",0,1)</f>
        <v>0</v>
      </c>
      <c r="CQ5516">
        <f t="shared" si="689"/>
        <v>110</v>
      </c>
    </row>
    <row r="5517" spans="94:95">
      <c r="CP5517">
        <f>IF(次果筐明细!$C317="",0,1)</f>
        <v>0</v>
      </c>
      <c r="CQ5517">
        <f t="shared" si="689"/>
        <v>110</v>
      </c>
    </row>
    <row r="5518" spans="94:95">
      <c r="CP5518">
        <f>IF(次果筐明细!$C318="",0,1)</f>
        <v>0</v>
      </c>
      <c r="CQ5518">
        <f t="shared" si="689"/>
        <v>110</v>
      </c>
    </row>
    <row r="5519" spans="94:95">
      <c r="CP5519">
        <f>IF(次果筐明细!$C319="",0,1)</f>
        <v>0</v>
      </c>
      <c r="CQ5519">
        <f t="shared" si="689"/>
        <v>110</v>
      </c>
    </row>
    <row r="5520" spans="94:95">
      <c r="CP5520">
        <f>IF(次果筐明细!$C320="",0,1)</f>
        <v>0</v>
      </c>
      <c r="CQ5520">
        <f t="shared" si="689"/>
        <v>110</v>
      </c>
    </row>
    <row r="5521" spans="94:95">
      <c r="CP5521">
        <f>IF(次果筐明细!$C321="",0,1)</f>
        <v>0</v>
      </c>
      <c r="CQ5521">
        <f t="shared" si="689"/>
        <v>110</v>
      </c>
    </row>
    <row r="5522" spans="94:95">
      <c r="CP5522">
        <f>IF(次果筐明细!$C322="",0,1)</f>
        <v>0</v>
      </c>
      <c r="CQ5522">
        <f t="shared" si="689"/>
        <v>110</v>
      </c>
    </row>
    <row r="5523" spans="94:95">
      <c r="CP5523">
        <f>IF(次果筐明细!$C323="",0,1)</f>
        <v>0</v>
      </c>
      <c r="CQ5523">
        <f t="shared" si="689"/>
        <v>110</v>
      </c>
    </row>
    <row r="5524" spans="94:95">
      <c r="CP5524">
        <f>IF(次果筐明细!$C324="",0,1)</f>
        <v>0</v>
      </c>
      <c r="CQ5524">
        <f t="shared" si="689"/>
        <v>110</v>
      </c>
    </row>
    <row r="5525" spans="94:95">
      <c r="CP5525">
        <f>IF(次果筐明细!$C325="",0,1)</f>
        <v>0</v>
      </c>
      <c r="CQ5525">
        <f t="shared" si="689"/>
        <v>110</v>
      </c>
    </row>
    <row r="5526" spans="94:95">
      <c r="CP5526">
        <f>IF(次果筐明细!$C326="",0,1)</f>
        <v>0</v>
      </c>
      <c r="CQ5526">
        <f t="shared" si="689"/>
        <v>110</v>
      </c>
    </row>
    <row r="5527" spans="94:95">
      <c r="CP5527">
        <f>IF(次果筐明细!$C327="",0,1)</f>
        <v>0</v>
      </c>
      <c r="CQ5527">
        <f t="shared" si="689"/>
        <v>110</v>
      </c>
    </row>
    <row r="5528" spans="94:95">
      <c r="CP5528">
        <f>IF(次果筐明细!$C328="",0,1)</f>
        <v>0</v>
      </c>
      <c r="CQ5528">
        <f t="shared" si="689"/>
        <v>110</v>
      </c>
    </row>
    <row r="5529" spans="94:95">
      <c r="CP5529">
        <f>IF(次果筐明细!$C329="",0,1)</f>
        <v>0</v>
      </c>
      <c r="CQ5529">
        <f t="shared" si="689"/>
        <v>110</v>
      </c>
    </row>
    <row r="5530" spans="94:95">
      <c r="CP5530">
        <f>IF(次果筐明细!$C330="",0,1)</f>
        <v>0</v>
      </c>
      <c r="CQ5530">
        <f t="shared" si="689"/>
        <v>110</v>
      </c>
    </row>
    <row r="5531" spans="94:95">
      <c r="CP5531">
        <f>IF(次果筐明细!$C331="",0,1)</f>
        <v>0</v>
      </c>
      <c r="CQ5531">
        <f t="shared" si="689"/>
        <v>110</v>
      </c>
    </row>
    <row r="5532" spans="94:95">
      <c r="CP5532">
        <f>IF(次果筐明细!$C332="",0,1)</f>
        <v>0</v>
      </c>
      <c r="CQ5532">
        <f t="shared" si="689"/>
        <v>110</v>
      </c>
    </row>
    <row r="5533" spans="94:95">
      <c r="CP5533">
        <f>IF(次果筐明细!$C333="",0,1)</f>
        <v>0</v>
      </c>
      <c r="CQ5533">
        <f t="shared" si="689"/>
        <v>110</v>
      </c>
    </row>
    <row r="5534" spans="94:95">
      <c r="CP5534">
        <f>IF(次果筐明细!$C334="",0,1)</f>
        <v>0</v>
      </c>
      <c r="CQ5534">
        <f t="shared" si="689"/>
        <v>110</v>
      </c>
    </row>
    <row r="5535" spans="94:95">
      <c r="CP5535">
        <f>IF(次果筐明细!$C335="",0,1)</f>
        <v>0</v>
      </c>
      <c r="CQ5535">
        <f t="shared" si="689"/>
        <v>110</v>
      </c>
    </row>
    <row r="5536" spans="94:95">
      <c r="CP5536">
        <f>IF(次果筐明细!$C336="",0,1)</f>
        <v>0</v>
      </c>
      <c r="CQ5536">
        <f t="shared" si="689"/>
        <v>110</v>
      </c>
    </row>
    <row r="5537" spans="94:95">
      <c r="CP5537">
        <f>IF(次果筐明细!$C337="",0,1)</f>
        <v>0</v>
      </c>
      <c r="CQ5537">
        <f t="shared" si="689"/>
        <v>110</v>
      </c>
    </row>
    <row r="5538" spans="94:95">
      <c r="CP5538">
        <f>IF(次果筐明细!$C338="",0,1)</f>
        <v>0</v>
      </c>
      <c r="CQ5538">
        <f t="shared" si="689"/>
        <v>110</v>
      </c>
    </row>
    <row r="5539" spans="94:95">
      <c r="CP5539">
        <f>IF(次果筐明细!$C339="",0,1)</f>
        <v>0</v>
      </c>
      <c r="CQ5539">
        <f t="shared" si="689"/>
        <v>110</v>
      </c>
    </row>
    <row r="5540" spans="94:95">
      <c r="CP5540">
        <f>IF(次果筐明细!$C340="",0,1)</f>
        <v>0</v>
      </c>
      <c r="CQ5540">
        <f t="shared" si="689"/>
        <v>110</v>
      </c>
    </row>
    <row r="5541" spans="94:95">
      <c r="CP5541">
        <f>IF(次果筐明细!$C341="",0,1)</f>
        <v>0</v>
      </c>
      <c r="CQ5541">
        <f t="shared" si="689"/>
        <v>110</v>
      </c>
    </row>
    <row r="5542" spans="94:95">
      <c r="CP5542">
        <f>IF(次果筐明细!$C342="",0,1)</f>
        <v>0</v>
      </c>
      <c r="CQ5542">
        <f t="shared" si="689"/>
        <v>110</v>
      </c>
    </row>
    <row r="5543" spans="94:95">
      <c r="CP5543">
        <f>IF(次果筐明细!$C343="",0,1)</f>
        <v>0</v>
      </c>
      <c r="CQ5543">
        <f t="shared" si="689"/>
        <v>110</v>
      </c>
    </row>
    <row r="5544" spans="94:95">
      <c r="CP5544">
        <f>IF(次果筐明细!$C344="",0,1)</f>
        <v>0</v>
      </c>
      <c r="CQ5544">
        <f t="shared" si="689"/>
        <v>110</v>
      </c>
    </row>
    <row r="5545" spans="94:95">
      <c r="CP5545">
        <f>IF(次果筐明细!$C345="",0,1)</f>
        <v>0</v>
      </c>
      <c r="CQ5545">
        <f t="shared" si="689"/>
        <v>110</v>
      </c>
    </row>
    <row r="5546" spans="94:95">
      <c r="CP5546">
        <f>IF(次果筐明细!$C346="",0,1)</f>
        <v>0</v>
      </c>
      <c r="CQ5546">
        <f t="shared" si="689"/>
        <v>110</v>
      </c>
    </row>
    <row r="5547" spans="94:95">
      <c r="CP5547">
        <f>IF(次果筐明细!$C347="",0,1)</f>
        <v>0</v>
      </c>
      <c r="CQ5547">
        <f t="shared" si="689"/>
        <v>110</v>
      </c>
    </row>
    <row r="5548" spans="94:95">
      <c r="CP5548">
        <f>IF(次果筐明细!$C348="",0,1)</f>
        <v>0</v>
      </c>
      <c r="CQ5548">
        <f t="shared" si="689"/>
        <v>110</v>
      </c>
    </row>
    <row r="5549" spans="94:95">
      <c r="CP5549">
        <f>IF(次果筐明细!$C349="",0,1)</f>
        <v>0</v>
      </c>
      <c r="CQ5549">
        <f t="shared" si="689"/>
        <v>110</v>
      </c>
    </row>
    <row r="5550" spans="94:95">
      <c r="CP5550">
        <f>IF(次果筐明细!$C350="",0,1)</f>
        <v>0</v>
      </c>
      <c r="CQ5550">
        <f t="shared" si="689"/>
        <v>110</v>
      </c>
    </row>
    <row r="5551" spans="94:95">
      <c r="CP5551">
        <f>IF(次果筐明细!$C351="",0,1)</f>
        <v>0</v>
      </c>
      <c r="CQ5551">
        <f t="shared" si="689"/>
        <v>110</v>
      </c>
    </row>
    <row r="5552" spans="94:95">
      <c r="CP5552">
        <f>IF(次果筐明细!$C352="",0,1)</f>
        <v>0</v>
      </c>
      <c r="CQ5552">
        <f t="shared" si="689"/>
        <v>110</v>
      </c>
    </row>
    <row r="5553" spans="94:95">
      <c r="CP5553">
        <f>IF(次果筐明细!$C353="",0,1)</f>
        <v>0</v>
      </c>
      <c r="CQ5553">
        <f t="shared" si="689"/>
        <v>110</v>
      </c>
    </row>
    <row r="5554" spans="94:95">
      <c r="CP5554">
        <f>IF(次果筐明细!$C354="",0,1)</f>
        <v>0</v>
      </c>
      <c r="CQ5554">
        <f t="shared" si="689"/>
        <v>110</v>
      </c>
    </row>
    <row r="5555" spans="94:95">
      <c r="CP5555">
        <f>IF(次果筐明细!$C355="",0,1)</f>
        <v>0</v>
      </c>
      <c r="CQ5555">
        <f t="shared" si="689"/>
        <v>110</v>
      </c>
    </row>
    <row r="5556" spans="94:95">
      <c r="CP5556">
        <f>IF(次果筐明细!$C356="",0,1)</f>
        <v>0</v>
      </c>
      <c r="CQ5556">
        <f t="shared" si="689"/>
        <v>110</v>
      </c>
    </row>
    <row r="5557" spans="94:95">
      <c r="CP5557">
        <f>IF(次果筐明细!$C357="",0,1)</f>
        <v>0</v>
      </c>
      <c r="CQ5557">
        <f t="shared" si="689"/>
        <v>110</v>
      </c>
    </row>
    <row r="5558" spans="94:95">
      <c r="CP5558">
        <f>IF(次果筐明细!$C358="",0,1)</f>
        <v>0</v>
      </c>
      <c r="CQ5558">
        <f t="shared" si="689"/>
        <v>110</v>
      </c>
    </row>
    <row r="5559" spans="94:95">
      <c r="CP5559">
        <f>IF(次果筐明细!$C359="",0,1)</f>
        <v>0</v>
      </c>
      <c r="CQ5559">
        <f t="shared" si="689"/>
        <v>110</v>
      </c>
    </row>
    <row r="5560" spans="94:95">
      <c r="CP5560">
        <f>IF(次果筐明细!$C360="",0,1)</f>
        <v>0</v>
      </c>
      <c r="CQ5560">
        <f t="shared" si="689"/>
        <v>110</v>
      </c>
    </row>
    <row r="5561" spans="94:95">
      <c r="CP5561">
        <f>IF(次果筐明细!$C361="",0,1)</f>
        <v>0</v>
      </c>
      <c r="CQ5561">
        <f t="shared" si="689"/>
        <v>110</v>
      </c>
    </row>
    <row r="5562" spans="94:95">
      <c r="CP5562">
        <f>IF(次果筐明细!$C362="",0,1)</f>
        <v>0</v>
      </c>
      <c r="CQ5562">
        <f t="shared" si="689"/>
        <v>110</v>
      </c>
    </row>
    <row r="5563" spans="94:95">
      <c r="CP5563">
        <f>IF(次果筐明细!$C363="",0,1)</f>
        <v>0</v>
      </c>
      <c r="CQ5563">
        <f t="shared" si="689"/>
        <v>110</v>
      </c>
    </row>
    <row r="5564" spans="94:95">
      <c r="CP5564">
        <f>IF(次果筐明细!$C364="",0,1)</f>
        <v>0</v>
      </c>
      <c r="CQ5564">
        <f t="shared" si="689"/>
        <v>110</v>
      </c>
    </row>
    <row r="5565" spans="94:95">
      <c r="CP5565">
        <f>IF(次果筐明细!$C365="",0,1)</f>
        <v>0</v>
      </c>
      <c r="CQ5565">
        <f t="shared" si="689"/>
        <v>110</v>
      </c>
    </row>
    <row r="5566" spans="94:95">
      <c r="CP5566">
        <f>IF(次果筐明细!$C366="",0,1)</f>
        <v>0</v>
      </c>
      <c r="CQ5566">
        <f t="shared" si="689"/>
        <v>110</v>
      </c>
    </row>
    <row r="5567" spans="94:95">
      <c r="CP5567">
        <f>IF(次果筐明细!$C367="",0,1)</f>
        <v>0</v>
      </c>
      <c r="CQ5567">
        <f t="shared" si="689"/>
        <v>110</v>
      </c>
    </row>
    <row r="5568" spans="94:95">
      <c r="CP5568">
        <f>IF(次果筐明细!$C368="",0,1)</f>
        <v>0</v>
      </c>
      <c r="CQ5568">
        <f t="shared" si="689"/>
        <v>110</v>
      </c>
    </row>
    <row r="5569" spans="94:95">
      <c r="CP5569">
        <f>IF(次果筐明细!$C369="",0,1)</f>
        <v>0</v>
      </c>
      <c r="CQ5569">
        <f t="shared" si="689"/>
        <v>110</v>
      </c>
    </row>
    <row r="5570" spans="94:95">
      <c r="CP5570">
        <f>IF(次果筐明细!$C370="",0,1)</f>
        <v>0</v>
      </c>
      <c r="CQ5570">
        <f t="shared" si="689"/>
        <v>110</v>
      </c>
    </row>
    <row r="5571" spans="94:95">
      <c r="CP5571">
        <f>IF(次果筐明细!$C371="",0,1)</f>
        <v>0</v>
      </c>
      <c r="CQ5571">
        <f t="shared" si="689"/>
        <v>110</v>
      </c>
    </row>
    <row r="5572" spans="94:95">
      <c r="CP5572">
        <f>IF(次果筐明细!$C372="",0,1)</f>
        <v>0</v>
      </c>
      <c r="CQ5572">
        <f t="shared" ref="CQ5572:CQ5635" si="690">N(CQ5571)+$CP5572</f>
        <v>110</v>
      </c>
    </row>
    <row r="5573" spans="94:95">
      <c r="CP5573">
        <f>IF(次果筐明细!$C373="",0,1)</f>
        <v>0</v>
      </c>
      <c r="CQ5573">
        <f t="shared" si="690"/>
        <v>110</v>
      </c>
    </row>
    <row r="5574" spans="94:95">
      <c r="CP5574">
        <f>IF(次果筐明细!$C374="",0,1)</f>
        <v>0</v>
      </c>
      <c r="CQ5574">
        <f t="shared" si="690"/>
        <v>110</v>
      </c>
    </row>
    <row r="5575" spans="94:95">
      <c r="CP5575">
        <f>IF(次果筐明细!$C375="",0,1)</f>
        <v>0</v>
      </c>
      <c r="CQ5575">
        <f t="shared" si="690"/>
        <v>110</v>
      </c>
    </row>
    <row r="5576" spans="94:95">
      <c r="CP5576">
        <f>IF(次果筐明细!$C376="",0,1)</f>
        <v>0</v>
      </c>
      <c r="CQ5576">
        <f t="shared" si="690"/>
        <v>110</v>
      </c>
    </row>
    <row r="5577" spans="94:95">
      <c r="CP5577">
        <f>IF(次果筐明细!$C377="",0,1)</f>
        <v>0</v>
      </c>
      <c r="CQ5577">
        <f t="shared" si="690"/>
        <v>110</v>
      </c>
    </row>
    <row r="5578" spans="94:95">
      <c r="CP5578">
        <f>IF(次果筐明细!$C378="",0,1)</f>
        <v>0</v>
      </c>
      <c r="CQ5578">
        <f t="shared" si="690"/>
        <v>110</v>
      </c>
    </row>
    <row r="5579" spans="94:95">
      <c r="CP5579">
        <f>IF(次果筐明细!$C379="",0,1)</f>
        <v>0</v>
      </c>
      <c r="CQ5579">
        <f t="shared" si="690"/>
        <v>110</v>
      </c>
    </row>
    <row r="5580" spans="94:95">
      <c r="CP5580">
        <f>IF(次果筐明细!$C380="",0,1)</f>
        <v>0</v>
      </c>
      <c r="CQ5580">
        <f t="shared" si="690"/>
        <v>110</v>
      </c>
    </row>
    <row r="5581" spans="94:95">
      <c r="CP5581">
        <f>IF(次果筐明细!$C381="",0,1)</f>
        <v>0</v>
      </c>
      <c r="CQ5581">
        <f t="shared" si="690"/>
        <v>110</v>
      </c>
    </row>
    <row r="5582" spans="94:95">
      <c r="CP5582">
        <f>IF(次果筐明细!$C382="",0,1)</f>
        <v>0</v>
      </c>
      <c r="CQ5582">
        <f t="shared" si="690"/>
        <v>110</v>
      </c>
    </row>
    <row r="5583" spans="94:95">
      <c r="CP5583">
        <f>IF(次果筐明细!$C383="",0,1)</f>
        <v>0</v>
      </c>
      <c r="CQ5583">
        <f t="shared" si="690"/>
        <v>110</v>
      </c>
    </row>
    <row r="5584" spans="94:95">
      <c r="CP5584">
        <f>IF(次果筐明细!$C384="",0,1)</f>
        <v>0</v>
      </c>
      <c r="CQ5584">
        <f t="shared" si="690"/>
        <v>110</v>
      </c>
    </row>
    <row r="5585" spans="94:95">
      <c r="CP5585">
        <f>IF(次果筐明细!$C385="",0,1)</f>
        <v>0</v>
      </c>
      <c r="CQ5585">
        <f t="shared" si="690"/>
        <v>110</v>
      </c>
    </row>
    <row r="5586" spans="94:95">
      <c r="CP5586">
        <f>IF(次果筐明细!$C386="",0,1)</f>
        <v>0</v>
      </c>
      <c r="CQ5586">
        <f t="shared" si="690"/>
        <v>110</v>
      </c>
    </row>
    <row r="5587" spans="94:95">
      <c r="CP5587">
        <f>IF(次果筐明细!$C387="",0,1)</f>
        <v>0</v>
      </c>
      <c r="CQ5587">
        <f t="shared" si="690"/>
        <v>110</v>
      </c>
    </row>
    <row r="5588" spans="94:95">
      <c r="CP5588">
        <f>IF(次果筐明细!$C388="",0,1)</f>
        <v>0</v>
      </c>
      <c r="CQ5588">
        <f t="shared" si="690"/>
        <v>110</v>
      </c>
    </row>
    <row r="5589" spans="94:95">
      <c r="CP5589">
        <f>IF(次果筐明细!$C389="",0,1)</f>
        <v>0</v>
      </c>
      <c r="CQ5589">
        <f t="shared" si="690"/>
        <v>110</v>
      </c>
    </row>
    <row r="5590" spans="94:95">
      <c r="CP5590">
        <f>IF(次果筐明细!$C390="",0,1)</f>
        <v>0</v>
      </c>
      <c r="CQ5590">
        <f t="shared" si="690"/>
        <v>110</v>
      </c>
    </row>
    <row r="5591" spans="94:95">
      <c r="CP5591">
        <f>IF(次果筐明细!$C391="",0,1)</f>
        <v>0</v>
      </c>
      <c r="CQ5591">
        <f t="shared" si="690"/>
        <v>110</v>
      </c>
    </row>
    <row r="5592" spans="94:95">
      <c r="CP5592">
        <f>IF(次果筐明细!$C392="",0,1)</f>
        <v>0</v>
      </c>
      <c r="CQ5592">
        <f t="shared" si="690"/>
        <v>110</v>
      </c>
    </row>
    <row r="5593" spans="94:95">
      <c r="CP5593">
        <f>IF(次果筐明细!$C393="",0,1)</f>
        <v>0</v>
      </c>
      <c r="CQ5593">
        <f t="shared" si="690"/>
        <v>110</v>
      </c>
    </row>
    <row r="5594" spans="94:95">
      <c r="CP5594">
        <f>IF(次果筐明细!$C394="",0,1)</f>
        <v>0</v>
      </c>
      <c r="CQ5594">
        <f t="shared" si="690"/>
        <v>110</v>
      </c>
    </row>
    <row r="5595" spans="94:95">
      <c r="CP5595">
        <f>IF(次果筐明细!$C395="",0,1)</f>
        <v>0</v>
      </c>
      <c r="CQ5595">
        <f t="shared" si="690"/>
        <v>110</v>
      </c>
    </row>
    <row r="5596" spans="94:95">
      <c r="CP5596">
        <f>IF(次果筐明细!$C396="",0,1)</f>
        <v>0</v>
      </c>
      <c r="CQ5596">
        <f t="shared" si="690"/>
        <v>110</v>
      </c>
    </row>
    <row r="5597" spans="94:95">
      <c r="CP5597">
        <f>IF(次果筐明细!$C397="",0,1)</f>
        <v>0</v>
      </c>
      <c r="CQ5597">
        <f t="shared" si="690"/>
        <v>110</v>
      </c>
    </row>
    <row r="5598" spans="94:95">
      <c r="CP5598">
        <f>IF(次果筐明细!$C398="",0,1)</f>
        <v>0</v>
      </c>
      <c r="CQ5598">
        <f t="shared" si="690"/>
        <v>110</v>
      </c>
    </row>
    <row r="5599" spans="94:95">
      <c r="CP5599">
        <f>IF(次果筐明细!$C399="",0,1)</f>
        <v>0</v>
      </c>
      <c r="CQ5599">
        <f t="shared" si="690"/>
        <v>110</v>
      </c>
    </row>
    <row r="5600" spans="94:95">
      <c r="CP5600">
        <f>IF(次果筐明细!$C400="",0,1)</f>
        <v>0</v>
      </c>
      <c r="CQ5600">
        <f t="shared" si="690"/>
        <v>110</v>
      </c>
    </row>
    <row r="5601" spans="94:95">
      <c r="CP5601">
        <f>IF(次果筐明细!$C401="",0,1)</f>
        <v>0</v>
      </c>
      <c r="CQ5601">
        <f t="shared" si="690"/>
        <v>110</v>
      </c>
    </row>
    <row r="5602" spans="94:95">
      <c r="CP5602">
        <f>IF(次果筐明细!$C402="",0,1)</f>
        <v>0</v>
      </c>
      <c r="CQ5602">
        <f t="shared" si="690"/>
        <v>110</v>
      </c>
    </row>
    <row r="5603" spans="94:95">
      <c r="CP5603">
        <f>IF(次果筐明细!$C403="",0,1)</f>
        <v>0</v>
      </c>
      <c r="CQ5603">
        <f t="shared" si="690"/>
        <v>110</v>
      </c>
    </row>
    <row r="5604" spans="94:95">
      <c r="CP5604">
        <f>IF(次果筐明细!$C404="",0,1)</f>
        <v>0</v>
      </c>
      <c r="CQ5604">
        <f t="shared" si="690"/>
        <v>110</v>
      </c>
    </row>
    <row r="5605" spans="94:95">
      <c r="CP5605">
        <f>IF(次果筐明细!$C405="",0,1)</f>
        <v>0</v>
      </c>
      <c r="CQ5605">
        <f t="shared" si="690"/>
        <v>110</v>
      </c>
    </row>
    <row r="5606" spans="94:95">
      <c r="CP5606">
        <f>IF(次果筐明细!$C406="",0,1)</f>
        <v>0</v>
      </c>
      <c r="CQ5606">
        <f t="shared" si="690"/>
        <v>110</v>
      </c>
    </row>
    <row r="5607" spans="94:95">
      <c r="CP5607">
        <f>IF(次果筐明细!$C407="",0,1)</f>
        <v>0</v>
      </c>
      <c r="CQ5607">
        <f t="shared" si="690"/>
        <v>110</v>
      </c>
    </row>
    <row r="5608" spans="94:95">
      <c r="CP5608">
        <f>IF(次果筐明细!$C408="",0,1)</f>
        <v>0</v>
      </c>
      <c r="CQ5608">
        <f t="shared" si="690"/>
        <v>110</v>
      </c>
    </row>
    <row r="5609" spans="94:95">
      <c r="CP5609">
        <f>IF(次果筐明细!$C409="",0,1)</f>
        <v>0</v>
      </c>
      <c r="CQ5609">
        <f t="shared" si="690"/>
        <v>110</v>
      </c>
    </row>
    <row r="5610" spans="94:95">
      <c r="CP5610">
        <f>IF(次果筐明细!$C410="",0,1)</f>
        <v>0</v>
      </c>
      <c r="CQ5610">
        <f t="shared" si="690"/>
        <v>110</v>
      </c>
    </row>
    <row r="5611" spans="94:95">
      <c r="CP5611">
        <f>IF(次果筐明细!$C411="",0,1)</f>
        <v>0</v>
      </c>
      <c r="CQ5611">
        <f t="shared" si="690"/>
        <v>110</v>
      </c>
    </row>
    <row r="5612" spans="94:95">
      <c r="CP5612">
        <f>IF(次果筐明细!$C412="",0,1)</f>
        <v>0</v>
      </c>
      <c r="CQ5612">
        <f t="shared" si="690"/>
        <v>110</v>
      </c>
    </row>
    <row r="5613" spans="94:95">
      <c r="CP5613">
        <f>IF(次果筐明细!$C413="",0,1)</f>
        <v>0</v>
      </c>
      <c r="CQ5613">
        <f t="shared" si="690"/>
        <v>110</v>
      </c>
    </row>
    <row r="5614" spans="94:95">
      <c r="CP5614">
        <f>IF(次果筐明细!$C414="",0,1)</f>
        <v>0</v>
      </c>
      <c r="CQ5614">
        <f t="shared" si="690"/>
        <v>110</v>
      </c>
    </row>
    <row r="5615" spans="94:95">
      <c r="CP5615">
        <f>IF(次果筐明细!$C415="",0,1)</f>
        <v>0</v>
      </c>
      <c r="CQ5615">
        <f t="shared" si="690"/>
        <v>110</v>
      </c>
    </row>
    <row r="5616" spans="94:95">
      <c r="CP5616">
        <f>IF(次果筐明细!$C416="",0,1)</f>
        <v>0</v>
      </c>
      <c r="CQ5616">
        <f t="shared" si="690"/>
        <v>110</v>
      </c>
    </row>
    <row r="5617" spans="94:95">
      <c r="CP5617">
        <f>IF(次果筐明细!$C417="",0,1)</f>
        <v>0</v>
      </c>
      <c r="CQ5617">
        <f t="shared" si="690"/>
        <v>110</v>
      </c>
    </row>
    <row r="5618" spans="94:95">
      <c r="CP5618">
        <f>IF(次果筐明细!$C418="",0,1)</f>
        <v>0</v>
      </c>
      <c r="CQ5618">
        <f t="shared" si="690"/>
        <v>110</v>
      </c>
    </row>
    <row r="5619" spans="94:95">
      <c r="CP5619">
        <f>IF(次果筐明细!$C419="",0,1)</f>
        <v>0</v>
      </c>
      <c r="CQ5619">
        <f t="shared" si="690"/>
        <v>110</v>
      </c>
    </row>
    <row r="5620" spans="94:95">
      <c r="CP5620">
        <f>IF(次果筐明细!$C420="",0,1)</f>
        <v>0</v>
      </c>
      <c r="CQ5620">
        <f t="shared" si="690"/>
        <v>110</v>
      </c>
    </row>
    <row r="5621" spans="94:95">
      <c r="CP5621">
        <f>IF(次果筐明细!$C421="",0,1)</f>
        <v>0</v>
      </c>
      <c r="CQ5621">
        <f t="shared" si="690"/>
        <v>110</v>
      </c>
    </row>
    <row r="5622" spans="94:95">
      <c r="CP5622">
        <f>IF(次果筐明细!$C422="",0,1)</f>
        <v>0</v>
      </c>
      <c r="CQ5622">
        <f t="shared" si="690"/>
        <v>110</v>
      </c>
    </row>
    <row r="5623" spans="94:95">
      <c r="CP5623">
        <f>IF(次果筐明细!$C423="",0,1)</f>
        <v>0</v>
      </c>
      <c r="CQ5623">
        <f t="shared" si="690"/>
        <v>110</v>
      </c>
    </row>
    <row r="5624" spans="94:95">
      <c r="CP5624">
        <f>IF(次果筐明细!$C424="",0,1)</f>
        <v>0</v>
      </c>
      <c r="CQ5624">
        <f t="shared" si="690"/>
        <v>110</v>
      </c>
    </row>
    <row r="5625" spans="94:95">
      <c r="CP5625">
        <f>IF(次果筐明细!$C425="",0,1)</f>
        <v>0</v>
      </c>
      <c r="CQ5625">
        <f t="shared" si="690"/>
        <v>110</v>
      </c>
    </row>
    <row r="5626" spans="94:95">
      <c r="CP5626">
        <f>IF(次果筐明细!$C426="",0,1)</f>
        <v>0</v>
      </c>
      <c r="CQ5626">
        <f t="shared" si="690"/>
        <v>110</v>
      </c>
    </row>
    <row r="5627" spans="94:95">
      <c r="CP5627">
        <f>IF(次果筐明细!$C427="",0,1)</f>
        <v>0</v>
      </c>
      <c r="CQ5627">
        <f t="shared" si="690"/>
        <v>110</v>
      </c>
    </row>
    <row r="5628" spans="94:95">
      <c r="CP5628">
        <f>IF(次果筐明细!$C428="",0,1)</f>
        <v>0</v>
      </c>
      <c r="CQ5628">
        <f t="shared" si="690"/>
        <v>110</v>
      </c>
    </row>
    <row r="5629" spans="94:95">
      <c r="CP5629">
        <f>IF(次果筐明细!$C429="",0,1)</f>
        <v>0</v>
      </c>
      <c r="CQ5629">
        <f t="shared" si="690"/>
        <v>110</v>
      </c>
    </row>
    <row r="5630" spans="94:95">
      <c r="CP5630">
        <f>IF(次果筐明细!$C430="",0,1)</f>
        <v>0</v>
      </c>
      <c r="CQ5630">
        <f t="shared" si="690"/>
        <v>110</v>
      </c>
    </row>
    <row r="5631" spans="94:95">
      <c r="CP5631">
        <f>IF(次果筐明细!$C431="",0,1)</f>
        <v>0</v>
      </c>
      <c r="CQ5631">
        <f t="shared" si="690"/>
        <v>110</v>
      </c>
    </row>
    <row r="5632" spans="94:95">
      <c r="CP5632">
        <f>IF(次果筐明细!$C432="",0,1)</f>
        <v>0</v>
      </c>
      <c r="CQ5632">
        <f t="shared" si="690"/>
        <v>110</v>
      </c>
    </row>
    <row r="5633" spans="94:95">
      <c r="CP5633">
        <f>IF(次果筐明细!$C433="",0,1)</f>
        <v>0</v>
      </c>
      <c r="CQ5633">
        <f t="shared" si="690"/>
        <v>110</v>
      </c>
    </row>
    <row r="5634" spans="94:95">
      <c r="CP5634">
        <f>IF(次果筐明细!$C434="",0,1)</f>
        <v>0</v>
      </c>
      <c r="CQ5634">
        <f t="shared" si="690"/>
        <v>110</v>
      </c>
    </row>
    <row r="5635" spans="94:95">
      <c r="CP5635">
        <f>IF(次果筐明细!$C435="",0,1)</f>
        <v>0</v>
      </c>
      <c r="CQ5635">
        <f t="shared" si="690"/>
        <v>110</v>
      </c>
    </row>
    <row r="5636" spans="94:95">
      <c r="CP5636">
        <f>IF(次果筐明细!$C436="",0,1)</f>
        <v>0</v>
      </c>
      <c r="CQ5636">
        <f t="shared" ref="CQ5636:CQ5699" si="691">N(CQ5635)+$CP5636</f>
        <v>110</v>
      </c>
    </row>
    <row r="5637" spans="94:95">
      <c r="CP5637">
        <f>IF(次果筐明细!$C437="",0,1)</f>
        <v>0</v>
      </c>
      <c r="CQ5637">
        <f t="shared" si="691"/>
        <v>110</v>
      </c>
    </row>
    <row r="5638" spans="94:95">
      <c r="CP5638">
        <f>IF(次果筐明细!$C438="",0,1)</f>
        <v>0</v>
      </c>
      <c r="CQ5638">
        <f t="shared" si="691"/>
        <v>110</v>
      </c>
    </row>
    <row r="5639" spans="94:95">
      <c r="CP5639">
        <f>IF(次果筐明细!$C439="",0,1)</f>
        <v>0</v>
      </c>
      <c r="CQ5639">
        <f t="shared" si="691"/>
        <v>110</v>
      </c>
    </row>
    <row r="5640" spans="94:95">
      <c r="CP5640">
        <f>IF(次果筐明细!$C440="",0,1)</f>
        <v>0</v>
      </c>
      <c r="CQ5640">
        <f t="shared" si="691"/>
        <v>110</v>
      </c>
    </row>
    <row r="5641" spans="94:95">
      <c r="CP5641">
        <f>IF(次果筐明细!$C441="",0,1)</f>
        <v>0</v>
      </c>
      <c r="CQ5641">
        <f t="shared" si="691"/>
        <v>110</v>
      </c>
    </row>
    <row r="5642" spans="94:95">
      <c r="CP5642">
        <f>IF(次果筐明细!$C442="",0,1)</f>
        <v>0</v>
      </c>
      <c r="CQ5642">
        <f t="shared" si="691"/>
        <v>110</v>
      </c>
    </row>
    <row r="5643" spans="94:95">
      <c r="CP5643">
        <f>IF(次果筐明细!$C443="",0,1)</f>
        <v>0</v>
      </c>
      <c r="CQ5643">
        <f t="shared" si="691"/>
        <v>110</v>
      </c>
    </row>
    <row r="5644" spans="94:95">
      <c r="CP5644">
        <f>IF(次果筐明细!$C444="",0,1)</f>
        <v>0</v>
      </c>
      <c r="CQ5644">
        <f t="shared" si="691"/>
        <v>110</v>
      </c>
    </row>
    <row r="5645" spans="94:95">
      <c r="CP5645">
        <f>IF(次果筐明细!$C445="",0,1)</f>
        <v>0</v>
      </c>
      <c r="CQ5645">
        <f t="shared" si="691"/>
        <v>110</v>
      </c>
    </row>
    <row r="5646" spans="94:95">
      <c r="CP5646">
        <f>IF(次果筐明细!$C446="",0,1)</f>
        <v>0</v>
      </c>
      <c r="CQ5646">
        <f t="shared" si="691"/>
        <v>110</v>
      </c>
    </row>
    <row r="5647" spans="94:95">
      <c r="CP5647">
        <f>IF(次果筐明细!$C447="",0,1)</f>
        <v>0</v>
      </c>
      <c r="CQ5647">
        <f t="shared" si="691"/>
        <v>110</v>
      </c>
    </row>
    <row r="5648" spans="94:95">
      <c r="CP5648">
        <f>IF(次果筐明细!$C448="",0,1)</f>
        <v>0</v>
      </c>
      <c r="CQ5648">
        <f t="shared" si="691"/>
        <v>110</v>
      </c>
    </row>
    <row r="5649" spans="94:95">
      <c r="CP5649">
        <f>IF(次果筐明细!$C449="",0,1)</f>
        <v>0</v>
      </c>
      <c r="CQ5649">
        <f t="shared" si="691"/>
        <v>110</v>
      </c>
    </row>
    <row r="5650" spans="94:95">
      <c r="CP5650">
        <f>IF(次果筐明细!$C450="",0,1)</f>
        <v>0</v>
      </c>
      <c r="CQ5650">
        <f t="shared" si="691"/>
        <v>110</v>
      </c>
    </row>
    <row r="5651" spans="94:95">
      <c r="CP5651">
        <f>IF(次果筐明细!$C451="",0,1)</f>
        <v>0</v>
      </c>
      <c r="CQ5651">
        <f t="shared" si="691"/>
        <v>110</v>
      </c>
    </row>
    <row r="5652" spans="94:95">
      <c r="CP5652">
        <f>IF(次果筐明细!$C452="",0,1)</f>
        <v>0</v>
      </c>
      <c r="CQ5652">
        <f t="shared" si="691"/>
        <v>110</v>
      </c>
    </row>
    <row r="5653" spans="94:95">
      <c r="CP5653">
        <f>IF(次果筐明细!$C453="",0,1)</f>
        <v>0</v>
      </c>
      <c r="CQ5653">
        <f t="shared" si="691"/>
        <v>110</v>
      </c>
    </row>
    <row r="5654" spans="94:95">
      <c r="CP5654">
        <f>IF(次果筐明细!$C454="",0,1)</f>
        <v>0</v>
      </c>
      <c r="CQ5654">
        <f t="shared" si="691"/>
        <v>110</v>
      </c>
    </row>
    <row r="5655" spans="94:95">
      <c r="CP5655">
        <f>IF(次果筐明细!$C455="",0,1)</f>
        <v>0</v>
      </c>
      <c r="CQ5655">
        <f t="shared" si="691"/>
        <v>110</v>
      </c>
    </row>
    <row r="5656" spans="94:95">
      <c r="CP5656">
        <f>IF(次果筐明细!$C456="",0,1)</f>
        <v>0</v>
      </c>
      <c r="CQ5656">
        <f t="shared" si="691"/>
        <v>110</v>
      </c>
    </row>
    <row r="5657" spans="94:95">
      <c r="CP5657">
        <f>IF(次果筐明细!$C457="",0,1)</f>
        <v>0</v>
      </c>
      <c r="CQ5657">
        <f t="shared" si="691"/>
        <v>110</v>
      </c>
    </row>
    <row r="5658" spans="94:95">
      <c r="CP5658">
        <f>IF(次果筐明细!$C458="",0,1)</f>
        <v>0</v>
      </c>
      <c r="CQ5658">
        <f t="shared" si="691"/>
        <v>110</v>
      </c>
    </row>
    <row r="5659" spans="94:95">
      <c r="CP5659">
        <f>IF(次果筐明细!$C459="",0,1)</f>
        <v>0</v>
      </c>
      <c r="CQ5659">
        <f t="shared" si="691"/>
        <v>110</v>
      </c>
    </row>
    <row r="5660" spans="94:95">
      <c r="CP5660">
        <f>IF(次果筐明细!$C460="",0,1)</f>
        <v>0</v>
      </c>
      <c r="CQ5660">
        <f t="shared" si="691"/>
        <v>110</v>
      </c>
    </row>
    <row r="5661" spans="94:95">
      <c r="CP5661">
        <f>IF(次果筐明细!$C461="",0,1)</f>
        <v>0</v>
      </c>
      <c r="CQ5661">
        <f t="shared" si="691"/>
        <v>110</v>
      </c>
    </row>
    <row r="5662" spans="94:95">
      <c r="CP5662">
        <f>IF(次果筐明细!$C462="",0,1)</f>
        <v>0</v>
      </c>
      <c r="CQ5662">
        <f t="shared" si="691"/>
        <v>110</v>
      </c>
    </row>
    <row r="5663" spans="94:95">
      <c r="CP5663">
        <f>IF(次果筐明细!$C463="",0,1)</f>
        <v>0</v>
      </c>
      <c r="CQ5663">
        <f t="shared" si="691"/>
        <v>110</v>
      </c>
    </row>
    <row r="5664" spans="94:95">
      <c r="CP5664">
        <f>IF(次果筐明细!$C464="",0,1)</f>
        <v>0</v>
      </c>
      <c r="CQ5664">
        <f t="shared" si="691"/>
        <v>110</v>
      </c>
    </row>
    <row r="5665" spans="94:95">
      <c r="CP5665">
        <f>IF(次果筐明细!$C465="",0,1)</f>
        <v>0</v>
      </c>
      <c r="CQ5665">
        <f t="shared" si="691"/>
        <v>110</v>
      </c>
    </row>
    <row r="5666" spans="94:95">
      <c r="CP5666">
        <f>IF(次果筐明细!$C466="",0,1)</f>
        <v>0</v>
      </c>
      <c r="CQ5666">
        <f t="shared" si="691"/>
        <v>110</v>
      </c>
    </row>
    <row r="5667" spans="94:95">
      <c r="CP5667">
        <f>IF(次果筐明细!$C467="",0,1)</f>
        <v>0</v>
      </c>
      <c r="CQ5667">
        <f t="shared" si="691"/>
        <v>110</v>
      </c>
    </row>
    <row r="5668" spans="94:95">
      <c r="CP5668">
        <f>IF(次果筐明细!$C468="",0,1)</f>
        <v>0</v>
      </c>
      <c r="CQ5668">
        <f t="shared" si="691"/>
        <v>110</v>
      </c>
    </row>
    <row r="5669" spans="94:95">
      <c r="CP5669">
        <f>IF(次果筐明细!$C469="",0,1)</f>
        <v>0</v>
      </c>
      <c r="CQ5669">
        <f t="shared" si="691"/>
        <v>110</v>
      </c>
    </row>
    <row r="5670" spans="94:95">
      <c r="CP5670">
        <f>IF(次果筐明细!$C470="",0,1)</f>
        <v>0</v>
      </c>
      <c r="CQ5670">
        <f t="shared" si="691"/>
        <v>110</v>
      </c>
    </row>
    <row r="5671" spans="94:95">
      <c r="CP5671">
        <f>IF(次果筐明细!$C471="",0,1)</f>
        <v>0</v>
      </c>
      <c r="CQ5671">
        <f t="shared" si="691"/>
        <v>110</v>
      </c>
    </row>
    <row r="5672" spans="94:95">
      <c r="CP5672">
        <f>IF(次果筐明细!$C472="",0,1)</f>
        <v>0</v>
      </c>
      <c r="CQ5672">
        <f t="shared" si="691"/>
        <v>110</v>
      </c>
    </row>
    <row r="5673" spans="94:95">
      <c r="CP5673">
        <f>IF(次果筐明细!$C473="",0,1)</f>
        <v>0</v>
      </c>
      <c r="CQ5673">
        <f t="shared" si="691"/>
        <v>110</v>
      </c>
    </row>
    <row r="5674" spans="94:95">
      <c r="CP5674">
        <f>IF(次果筐明细!$C474="",0,1)</f>
        <v>0</v>
      </c>
      <c r="CQ5674">
        <f t="shared" si="691"/>
        <v>110</v>
      </c>
    </row>
    <row r="5675" spans="94:95">
      <c r="CP5675">
        <f>IF(次果筐明细!$C475="",0,1)</f>
        <v>0</v>
      </c>
      <c r="CQ5675">
        <f t="shared" si="691"/>
        <v>110</v>
      </c>
    </row>
    <row r="5676" spans="94:95">
      <c r="CP5676">
        <f>IF(次果筐明细!$C476="",0,1)</f>
        <v>0</v>
      </c>
      <c r="CQ5676">
        <f t="shared" si="691"/>
        <v>110</v>
      </c>
    </row>
    <row r="5677" spans="94:95">
      <c r="CP5677">
        <f>IF(次果筐明细!$C477="",0,1)</f>
        <v>0</v>
      </c>
      <c r="CQ5677">
        <f t="shared" si="691"/>
        <v>110</v>
      </c>
    </row>
    <row r="5678" spans="94:95">
      <c r="CP5678">
        <f>IF(次果筐明细!$C478="",0,1)</f>
        <v>0</v>
      </c>
      <c r="CQ5678">
        <f t="shared" si="691"/>
        <v>110</v>
      </c>
    </row>
    <row r="5679" spans="94:95">
      <c r="CP5679">
        <f>IF(次果筐明细!$C479="",0,1)</f>
        <v>0</v>
      </c>
      <c r="CQ5679">
        <f t="shared" si="691"/>
        <v>110</v>
      </c>
    </row>
    <row r="5680" spans="94:95">
      <c r="CP5680">
        <f>IF(次果筐明细!$C480="",0,1)</f>
        <v>0</v>
      </c>
      <c r="CQ5680">
        <f t="shared" si="691"/>
        <v>110</v>
      </c>
    </row>
    <row r="5681" spans="94:95">
      <c r="CP5681">
        <f>IF(次果筐明细!$C481="",0,1)</f>
        <v>0</v>
      </c>
      <c r="CQ5681">
        <f t="shared" si="691"/>
        <v>110</v>
      </c>
    </row>
    <row r="5682" spans="94:95">
      <c r="CP5682">
        <f>IF(次果筐明细!$C482="",0,1)</f>
        <v>0</v>
      </c>
      <c r="CQ5682">
        <f t="shared" si="691"/>
        <v>110</v>
      </c>
    </row>
    <row r="5683" spans="94:95">
      <c r="CP5683">
        <f>IF(次果筐明细!$C483="",0,1)</f>
        <v>0</v>
      </c>
      <c r="CQ5683">
        <f t="shared" si="691"/>
        <v>110</v>
      </c>
    </row>
    <row r="5684" spans="94:95">
      <c r="CP5684">
        <f>IF(次果筐明细!$C484="",0,1)</f>
        <v>0</v>
      </c>
      <c r="CQ5684">
        <f t="shared" si="691"/>
        <v>110</v>
      </c>
    </row>
    <row r="5685" spans="94:95">
      <c r="CP5685">
        <f>IF(次果筐明细!$C485="",0,1)</f>
        <v>0</v>
      </c>
      <c r="CQ5685">
        <f t="shared" si="691"/>
        <v>110</v>
      </c>
    </row>
    <row r="5686" spans="94:95">
      <c r="CP5686">
        <f>IF(次果筐明细!$C486="",0,1)</f>
        <v>0</v>
      </c>
      <c r="CQ5686">
        <f t="shared" si="691"/>
        <v>110</v>
      </c>
    </row>
    <row r="5687" spans="94:95">
      <c r="CP5687">
        <f>IF(次果筐明细!$C487="",0,1)</f>
        <v>0</v>
      </c>
      <c r="CQ5687">
        <f t="shared" si="691"/>
        <v>110</v>
      </c>
    </row>
    <row r="5688" spans="94:95">
      <c r="CP5688">
        <f>IF(次果筐明细!$C488="",0,1)</f>
        <v>0</v>
      </c>
      <c r="CQ5688">
        <f t="shared" si="691"/>
        <v>110</v>
      </c>
    </row>
    <row r="5689" spans="94:95">
      <c r="CP5689">
        <f>IF(次果筐明细!$C489="",0,1)</f>
        <v>0</v>
      </c>
      <c r="CQ5689">
        <f t="shared" si="691"/>
        <v>110</v>
      </c>
    </row>
    <row r="5690" spans="94:95">
      <c r="CP5690">
        <f>IF(次果筐明细!$C490="",0,1)</f>
        <v>0</v>
      </c>
      <c r="CQ5690">
        <f t="shared" si="691"/>
        <v>110</v>
      </c>
    </row>
    <row r="5691" spans="94:95">
      <c r="CP5691">
        <f>IF(次果筐明细!$C491="",0,1)</f>
        <v>0</v>
      </c>
      <c r="CQ5691">
        <f t="shared" si="691"/>
        <v>110</v>
      </c>
    </row>
    <row r="5692" spans="94:95">
      <c r="CP5692">
        <f>IF(次果筐明细!$C492="",0,1)</f>
        <v>0</v>
      </c>
      <c r="CQ5692">
        <f t="shared" si="691"/>
        <v>110</v>
      </c>
    </row>
    <row r="5693" spans="94:95">
      <c r="CP5693">
        <f>IF(次果筐明细!$C493="",0,1)</f>
        <v>0</v>
      </c>
      <c r="CQ5693">
        <f t="shared" si="691"/>
        <v>110</v>
      </c>
    </row>
    <row r="5694" spans="94:95">
      <c r="CP5694">
        <f>IF(次果筐明细!$C494="",0,1)</f>
        <v>0</v>
      </c>
      <c r="CQ5694">
        <f t="shared" si="691"/>
        <v>110</v>
      </c>
    </row>
    <row r="5695" spans="94:95">
      <c r="CP5695">
        <f>IF(次果筐明细!$C495="",0,1)</f>
        <v>0</v>
      </c>
      <c r="CQ5695">
        <f t="shared" si="691"/>
        <v>110</v>
      </c>
    </row>
    <row r="5696" spans="94:95">
      <c r="CP5696">
        <f>IF(次果筐明细!$C496="",0,1)</f>
        <v>0</v>
      </c>
      <c r="CQ5696">
        <f t="shared" si="691"/>
        <v>110</v>
      </c>
    </row>
    <row r="5697" spans="94:95">
      <c r="CP5697">
        <f>IF(次果筐明细!$C497="",0,1)</f>
        <v>0</v>
      </c>
      <c r="CQ5697">
        <f t="shared" si="691"/>
        <v>110</v>
      </c>
    </row>
    <row r="5698" spans="94:95">
      <c r="CP5698">
        <f>IF(次果筐明细!$C498="",0,1)</f>
        <v>0</v>
      </c>
      <c r="CQ5698">
        <f t="shared" si="691"/>
        <v>110</v>
      </c>
    </row>
    <row r="5699" spans="94:95">
      <c r="CP5699">
        <f>IF(次果筐明细!$C499="",0,1)</f>
        <v>0</v>
      </c>
      <c r="CQ5699">
        <f t="shared" si="691"/>
        <v>110</v>
      </c>
    </row>
    <row r="5700" spans="94:95">
      <c r="CP5700">
        <f>IF(次果筐明细!$C500="",0,1)</f>
        <v>0</v>
      </c>
      <c r="CQ5700">
        <f t="shared" ref="CQ5700:CQ5763" si="692">N(CQ5699)+$CP5700</f>
        <v>110</v>
      </c>
    </row>
    <row r="5701" spans="94:95">
      <c r="CP5701">
        <f>IF(次果筐明细!$C501="",0,1)</f>
        <v>0</v>
      </c>
      <c r="CQ5701">
        <f t="shared" si="692"/>
        <v>110</v>
      </c>
    </row>
    <row r="5702" spans="94:95">
      <c r="CP5702">
        <f>IF(次果筐明细!$C502="",0,1)</f>
        <v>0</v>
      </c>
      <c r="CQ5702">
        <f t="shared" si="692"/>
        <v>110</v>
      </c>
    </row>
    <row r="5703" spans="94:95">
      <c r="CP5703">
        <f>IF(次果筐明细!$C503="",0,1)</f>
        <v>0</v>
      </c>
      <c r="CQ5703">
        <f t="shared" si="692"/>
        <v>110</v>
      </c>
    </row>
    <row r="5704" spans="94:95">
      <c r="CP5704">
        <f>IF(次果筐明细!$C504="",0,1)</f>
        <v>0</v>
      </c>
      <c r="CQ5704">
        <f t="shared" si="692"/>
        <v>110</v>
      </c>
    </row>
    <row r="5705" spans="94:95">
      <c r="CP5705">
        <f>IF(次果筐明细!$C505="",0,1)</f>
        <v>0</v>
      </c>
      <c r="CQ5705">
        <f t="shared" si="692"/>
        <v>110</v>
      </c>
    </row>
    <row r="5706" spans="94:95">
      <c r="CP5706">
        <f>IF(次果筐明细!$C506="",0,1)</f>
        <v>0</v>
      </c>
      <c r="CQ5706">
        <f t="shared" si="692"/>
        <v>110</v>
      </c>
    </row>
    <row r="5707" spans="94:95">
      <c r="CP5707">
        <f>IF(次果筐明细!$C507="",0,1)</f>
        <v>0</v>
      </c>
      <c r="CQ5707">
        <f t="shared" si="692"/>
        <v>110</v>
      </c>
    </row>
    <row r="5708" spans="94:95">
      <c r="CP5708">
        <f>IF(次果筐明细!$C508="",0,1)</f>
        <v>0</v>
      </c>
      <c r="CQ5708">
        <f t="shared" si="692"/>
        <v>110</v>
      </c>
    </row>
    <row r="5709" spans="94:95">
      <c r="CP5709">
        <f>IF(次果筐明细!$C509="",0,1)</f>
        <v>0</v>
      </c>
      <c r="CQ5709">
        <f t="shared" si="692"/>
        <v>110</v>
      </c>
    </row>
    <row r="5710" spans="94:95">
      <c r="CP5710">
        <f>IF(次果筐明细!$C510="",0,1)</f>
        <v>0</v>
      </c>
      <c r="CQ5710">
        <f t="shared" si="692"/>
        <v>110</v>
      </c>
    </row>
    <row r="5711" spans="94:95">
      <c r="CP5711">
        <f>IF(次果筐明细!$C511="",0,1)</f>
        <v>0</v>
      </c>
      <c r="CQ5711">
        <f t="shared" si="692"/>
        <v>110</v>
      </c>
    </row>
    <row r="5712" spans="94:95">
      <c r="CP5712">
        <f>IF(次果筐明细!$C512="",0,1)</f>
        <v>0</v>
      </c>
      <c r="CQ5712">
        <f t="shared" si="692"/>
        <v>110</v>
      </c>
    </row>
    <row r="5713" spans="94:95">
      <c r="CP5713">
        <f>IF(次果筐明细!$C513="",0,1)</f>
        <v>0</v>
      </c>
      <c r="CQ5713">
        <f t="shared" si="692"/>
        <v>110</v>
      </c>
    </row>
    <row r="5714" spans="94:95">
      <c r="CP5714">
        <f>IF(次果筐明细!$C514="",0,1)</f>
        <v>0</v>
      </c>
      <c r="CQ5714">
        <f t="shared" si="692"/>
        <v>110</v>
      </c>
    </row>
    <row r="5715" spans="94:95">
      <c r="CP5715">
        <f>IF(次果筐明细!$C515="",0,1)</f>
        <v>0</v>
      </c>
      <c r="CQ5715">
        <f t="shared" si="692"/>
        <v>110</v>
      </c>
    </row>
    <row r="5716" spans="94:95">
      <c r="CP5716">
        <f>IF(次果筐明细!$C516="",0,1)</f>
        <v>0</v>
      </c>
      <c r="CQ5716">
        <f t="shared" si="692"/>
        <v>110</v>
      </c>
    </row>
    <row r="5717" spans="94:95">
      <c r="CP5717">
        <f>IF(次果筐明细!$C517="",0,1)</f>
        <v>0</v>
      </c>
      <c r="CQ5717">
        <f t="shared" si="692"/>
        <v>110</v>
      </c>
    </row>
    <row r="5718" spans="94:95">
      <c r="CP5718">
        <f>IF(次果筐明细!$C518="",0,1)</f>
        <v>0</v>
      </c>
      <c r="CQ5718">
        <f t="shared" si="692"/>
        <v>110</v>
      </c>
    </row>
    <row r="5719" spans="94:95">
      <c r="CP5719">
        <f>IF(次果筐明细!$C519="",0,1)</f>
        <v>0</v>
      </c>
      <c r="CQ5719">
        <f t="shared" si="692"/>
        <v>110</v>
      </c>
    </row>
    <row r="5720" spans="94:95">
      <c r="CP5720">
        <f>IF(次果筐明细!$C520="",0,1)</f>
        <v>0</v>
      </c>
      <c r="CQ5720">
        <f t="shared" si="692"/>
        <v>110</v>
      </c>
    </row>
    <row r="5721" spans="94:95">
      <c r="CP5721">
        <f>IF(次果筐明细!$C521="",0,1)</f>
        <v>0</v>
      </c>
      <c r="CQ5721">
        <f t="shared" si="692"/>
        <v>110</v>
      </c>
    </row>
    <row r="5722" spans="94:95">
      <c r="CP5722">
        <f>IF(次果筐明细!$C522="",0,1)</f>
        <v>0</v>
      </c>
      <c r="CQ5722">
        <f t="shared" si="692"/>
        <v>110</v>
      </c>
    </row>
    <row r="5723" spans="94:95">
      <c r="CP5723">
        <f>IF(次果筐明细!$C523="",0,1)</f>
        <v>0</v>
      </c>
      <c r="CQ5723">
        <f t="shared" si="692"/>
        <v>110</v>
      </c>
    </row>
    <row r="5724" spans="94:95">
      <c r="CP5724">
        <f>IF(次果筐明细!$C524="",0,1)</f>
        <v>0</v>
      </c>
      <c r="CQ5724">
        <f t="shared" si="692"/>
        <v>110</v>
      </c>
    </row>
    <row r="5725" spans="94:95">
      <c r="CP5725">
        <f>IF(次果筐明细!$C525="",0,1)</f>
        <v>0</v>
      </c>
      <c r="CQ5725">
        <f t="shared" si="692"/>
        <v>110</v>
      </c>
    </row>
    <row r="5726" spans="94:95">
      <c r="CP5726">
        <f>IF(次果筐明细!$C526="",0,1)</f>
        <v>0</v>
      </c>
      <c r="CQ5726">
        <f t="shared" si="692"/>
        <v>110</v>
      </c>
    </row>
    <row r="5727" spans="94:95">
      <c r="CP5727">
        <f>IF(次果筐明细!$C527="",0,1)</f>
        <v>0</v>
      </c>
      <c r="CQ5727">
        <f t="shared" si="692"/>
        <v>110</v>
      </c>
    </row>
    <row r="5728" spans="94:95">
      <c r="CP5728">
        <f>IF(次果筐明细!$C528="",0,1)</f>
        <v>0</v>
      </c>
      <c r="CQ5728">
        <f t="shared" si="692"/>
        <v>110</v>
      </c>
    </row>
    <row r="5729" spans="94:95">
      <c r="CP5729">
        <f>IF(次果筐明细!$C529="",0,1)</f>
        <v>0</v>
      </c>
      <c r="CQ5729">
        <f t="shared" si="692"/>
        <v>110</v>
      </c>
    </row>
    <row r="5730" spans="94:95">
      <c r="CP5730">
        <f>IF(次果筐明细!$C530="",0,1)</f>
        <v>0</v>
      </c>
      <c r="CQ5730">
        <f t="shared" si="692"/>
        <v>110</v>
      </c>
    </row>
    <row r="5731" spans="94:95">
      <c r="CP5731">
        <f>IF(次果筐明细!$C531="",0,1)</f>
        <v>0</v>
      </c>
      <c r="CQ5731">
        <f t="shared" si="692"/>
        <v>110</v>
      </c>
    </row>
    <row r="5732" spans="94:95">
      <c r="CP5732">
        <f>IF(次果筐明细!$C532="",0,1)</f>
        <v>0</v>
      </c>
      <c r="CQ5732">
        <f t="shared" si="692"/>
        <v>110</v>
      </c>
    </row>
    <row r="5733" spans="94:95">
      <c r="CP5733">
        <f>IF(次果筐明细!$C533="",0,1)</f>
        <v>0</v>
      </c>
      <c r="CQ5733">
        <f t="shared" si="692"/>
        <v>110</v>
      </c>
    </row>
    <row r="5734" spans="94:95">
      <c r="CP5734">
        <f>IF(次果筐明细!$C534="",0,1)</f>
        <v>0</v>
      </c>
      <c r="CQ5734">
        <f t="shared" si="692"/>
        <v>110</v>
      </c>
    </row>
    <row r="5735" spans="94:95">
      <c r="CP5735">
        <f>IF(次果筐明细!$C535="",0,1)</f>
        <v>0</v>
      </c>
      <c r="CQ5735">
        <f t="shared" si="692"/>
        <v>110</v>
      </c>
    </row>
    <row r="5736" spans="94:95">
      <c r="CP5736">
        <f>IF(次果筐明细!$C536="",0,1)</f>
        <v>0</v>
      </c>
      <c r="CQ5736">
        <f t="shared" si="692"/>
        <v>110</v>
      </c>
    </row>
    <row r="5737" spans="94:95">
      <c r="CP5737">
        <f>IF(次果筐明细!$C537="",0,1)</f>
        <v>0</v>
      </c>
      <c r="CQ5737">
        <f t="shared" si="692"/>
        <v>110</v>
      </c>
    </row>
    <row r="5738" spans="94:95">
      <c r="CP5738">
        <f>IF(次果筐明细!$C538="",0,1)</f>
        <v>0</v>
      </c>
      <c r="CQ5738">
        <f t="shared" si="692"/>
        <v>110</v>
      </c>
    </row>
    <row r="5739" spans="94:95">
      <c r="CP5739">
        <f>IF(次果筐明细!$C539="",0,1)</f>
        <v>0</v>
      </c>
      <c r="CQ5739">
        <f t="shared" si="692"/>
        <v>110</v>
      </c>
    </row>
    <row r="5740" spans="94:95">
      <c r="CP5740">
        <f>IF(次果筐明细!$C540="",0,1)</f>
        <v>0</v>
      </c>
      <c r="CQ5740">
        <f t="shared" si="692"/>
        <v>110</v>
      </c>
    </row>
    <row r="5741" spans="94:95">
      <c r="CP5741">
        <f>IF(次果筐明细!$C541="",0,1)</f>
        <v>0</v>
      </c>
      <c r="CQ5741">
        <f t="shared" si="692"/>
        <v>110</v>
      </c>
    </row>
    <row r="5742" spans="94:95">
      <c r="CP5742">
        <f>IF(次果筐明细!$C542="",0,1)</f>
        <v>0</v>
      </c>
      <c r="CQ5742">
        <f t="shared" si="692"/>
        <v>110</v>
      </c>
    </row>
    <row r="5743" spans="94:95">
      <c r="CP5743">
        <f>IF(次果筐明细!$C543="",0,1)</f>
        <v>0</v>
      </c>
      <c r="CQ5743">
        <f t="shared" si="692"/>
        <v>110</v>
      </c>
    </row>
    <row r="5744" spans="94:95">
      <c r="CP5744">
        <f>IF(次果筐明细!$C544="",0,1)</f>
        <v>0</v>
      </c>
      <c r="CQ5744">
        <f t="shared" si="692"/>
        <v>110</v>
      </c>
    </row>
    <row r="5745" spans="94:95">
      <c r="CP5745">
        <f>IF(次果筐明细!$C545="",0,1)</f>
        <v>0</v>
      </c>
      <c r="CQ5745">
        <f t="shared" si="692"/>
        <v>110</v>
      </c>
    </row>
    <row r="5746" spans="94:95">
      <c r="CP5746">
        <f>IF(次果筐明细!$C546="",0,1)</f>
        <v>0</v>
      </c>
      <c r="CQ5746">
        <f t="shared" si="692"/>
        <v>110</v>
      </c>
    </row>
    <row r="5747" spans="94:95">
      <c r="CP5747">
        <f>IF(次果筐明细!$C547="",0,1)</f>
        <v>0</v>
      </c>
      <c r="CQ5747">
        <f t="shared" si="692"/>
        <v>110</v>
      </c>
    </row>
    <row r="5748" spans="94:95">
      <c r="CP5748">
        <f>IF(次果筐明细!$C548="",0,1)</f>
        <v>0</v>
      </c>
      <c r="CQ5748">
        <f t="shared" si="692"/>
        <v>110</v>
      </c>
    </row>
    <row r="5749" spans="94:95">
      <c r="CP5749">
        <f>IF(次果筐明细!$C549="",0,1)</f>
        <v>0</v>
      </c>
      <c r="CQ5749">
        <f t="shared" si="692"/>
        <v>110</v>
      </c>
    </row>
    <row r="5750" spans="94:95">
      <c r="CP5750">
        <f>IF(次果筐明细!$C550="",0,1)</f>
        <v>0</v>
      </c>
      <c r="CQ5750">
        <f t="shared" si="692"/>
        <v>110</v>
      </c>
    </row>
    <row r="5751" spans="94:95">
      <c r="CP5751">
        <f>IF(次果筐明细!$C551="",0,1)</f>
        <v>0</v>
      </c>
      <c r="CQ5751">
        <f t="shared" si="692"/>
        <v>110</v>
      </c>
    </row>
    <row r="5752" spans="94:95">
      <c r="CP5752">
        <f>IF(次果筐明细!$C552="",0,1)</f>
        <v>0</v>
      </c>
      <c r="CQ5752">
        <f t="shared" si="692"/>
        <v>110</v>
      </c>
    </row>
    <row r="5753" spans="94:95">
      <c r="CP5753">
        <f>IF(次果筐明细!$C553="",0,1)</f>
        <v>0</v>
      </c>
      <c r="CQ5753">
        <f t="shared" si="692"/>
        <v>110</v>
      </c>
    </row>
    <row r="5754" spans="94:95">
      <c r="CP5754">
        <f>IF(次果筐明细!$C554="",0,1)</f>
        <v>0</v>
      </c>
      <c r="CQ5754">
        <f t="shared" si="692"/>
        <v>110</v>
      </c>
    </row>
    <row r="5755" spans="94:95">
      <c r="CP5755">
        <f>IF(次果筐明细!$C555="",0,1)</f>
        <v>0</v>
      </c>
      <c r="CQ5755">
        <f t="shared" si="692"/>
        <v>110</v>
      </c>
    </row>
    <row r="5756" spans="94:95">
      <c r="CP5756">
        <f>IF(次果筐明细!$C556="",0,1)</f>
        <v>0</v>
      </c>
      <c r="CQ5756">
        <f t="shared" si="692"/>
        <v>110</v>
      </c>
    </row>
    <row r="5757" spans="94:95">
      <c r="CP5757">
        <f>IF(次果筐明细!$C557="",0,1)</f>
        <v>0</v>
      </c>
      <c r="CQ5757">
        <f t="shared" si="692"/>
        <v>110</v>
      </c>
    </row>
    <row r="5758" spans="94:95">
      <c r="CP5758">
        <f>IF(次果筐明细!$C558="",0,1)</f>
        <v>0</v>
      </c>
      <c r="CQ5758">
        <f t="shared" si="692"/>
        <v>110</v>
      </c>
    </row>
    <row r="5759" spans="94:95">
      <c r="CP5759">
        <f>IF(次果筐明细!$C559="",0,1)</f>
        <v>0</v>
      </c>
      <c r="CQ5759">
        <f t="shared" si="692"/>
        <v>110</v>
      </c>
    </row>
    <row r="5760" spans="94:95">
      <c r="CP5760">
        <f>IF(次果筐明细!$C560="",0,1)</f>
        <v>0</v>
      </c>
      <c r="CQ5760">
        <f t="shared" si="692"/>
        <v>110</v>
      </c>
    </row>
    <row r="5761" spans="94:95">
      <c r="CP5761">
        <f>IF(次果筐明细!$C561="",0,1)</f>
        <v>0</v>
      </c>
      <c r="CQ5761">
        <f t="shared" si="692"/>
        <v>110</v>
      </c>
    </row>
    <row r="5762" spans="94:95">
      <c r="CP5762">
        <f>IF(次果筐明细!$C562="",0,1)</f>
        <v>0</v>
      </c>
      <c r="CQ5762">
        <f t="shared" si="692"/>
        <v>110</v>
      </c>
    </row>
    <row r="5763" spans="94:95">
      <c r="CP5763">
        <f>IF(次果筐明细!$C563="",0,1)</f>
        <v>0</v>
      </c>
      <c r="CQ5763">
        <f t="shared" si="692"/>
        <v>110</v>
      </c>
    </row>
    <row r="5764" spans="94:95">
      <c r="CP5764">
        <f>IF(次果筐明细!$C564="",0,1)</f>
        <v>0</v>
      </c>
      <c r="CQ5764">
        <f t="shared" ref="CQ5764:CQ5803" si="693">N(CQ5763)+$CP5764</f>
        <v>110</v>
      </c>
    </row>
    <row r="5765" spans="94:95">
      <c r="CP5765">
        <f>IF(次果筐明细!$C565="",0,1)</f>
        <v>0</v>
      </c>
      <c r="CQ5765">
        <f t="shared" si="693"/>
        <v>110</v>
      </c>
    </row>
    <row r="5766" spans="94:95">
      <c r="CP5766">
        <f>IF(次果筐明细!$C566="",0,1)</f>
        <v>0</v>
      </c>
      <c r="CQ5766">
        <f t="shared" si="693"/>
        <v>110</v>
      </c>
    </row>
    <row r="5767" spans="94:95">
      <c r="CP5767">
        <f>IF(次果筐明细!$C567="",0,1)</f>
        <v>0</v>
      </c>
      <c r="CQ5767">
        <f t="shared" si="693"/>
        <v>110</v>
      </c>
    </row>
    <row r="5768" spans="94:95">
      <c r="CP5768">
        <f>IF(次果筐明细!$C568="",0,1)</f>
        <v>0</v>
      </c>
      <c r="CQ5768">
        <f t="shared" si="693"/>
        <v>110</v>
      </c>
    </row>
    <row r="5769" spans="94:95">
      <c r="CP5769">
        <f>IF(次果筐明细!$C569="",0,1)</f>
        <v>0</v>
      </c>
      <c r="CQ5769">
        <f t="shared" si="693"/>
        <v>110</v>
      </c>
    </row>
    <row r="5770" spans="94:95">
      <c r="CP5770">
        <f>IF(次果筐明细!$C570="",0,1)</f>
        <v>0</v>
      </c>
      <c r="CQ5770">
        <f t="shared" si="693"/>
        <v>110</v>
      </c>
    </row>
    <row r="5771" spans="94:95">
      <c r="CP5771">
        <f>IF(次果筐明细!$C571="",0,1)</f>
        <v>0</v>
      </c>
      <c r="CQ5771">
        <f t="shared" si="693"/>
        <v>110</v>
      </c>
    </row>
    <row r="5772" spans="94:95">
      <c r="CP5772">
        <f>IF(次果筐明细!$C572="",0,1)</f>
        <v>0</v>
      </c>
      <c r="CQ5772">
        <f t="shared" si="693"/>
        <v>110</v>
      </c>
    </row>
    <row r="5773" spans="94:95">
      <c r="CP5773">
        <f>IF(次果筐明细!$C573="",0,1)</f>
        <v>0</v>
      </c>
      <c r="CQ5773">
        <f t="shared" si="693"/>
        <v>110</v>
      </c>
    </row>
    <row r="5774" spans="94:95">
      <c r="CP5774">
        <f>IF(次果筐明细!$C574="",0,1)</f>
        <v>0</v>
      </c>
      <c r="CQ5774">
        <f t="shared" si="693"/>
        <v>110</v>
      </c>
    </row>
    <row r="5775" spans="94:95">
      <c r="CP5775">
        <f>IF(次果筐明细!$C575="",0,1)</f>
        <v>0</v>
      </c>
      <c r="CQ5775">
        <f t="shared" si="693"/>
        <v>110</v>
      </c>
    </row>
    <row r="5776" spans="94:95">
      <c r="CP5776">
        <f>IF(次果筐明细!$C576="",0,1)</f>
        <v>0</v>
      </c>
      <c r="CQ5776">
        <f t="shared" si="693"/>
        <v>110</v>
      </c>
    </row>
    <row r="5777" spans="94:95">
      <c r="CP5777">
        <f>IF(次果筐明细!$C577="",0,1)</f>
        <v>0</v>
      </c>
      <c r="CQ5777">
        <f t="shared" si="693"/>
        <v>110</v>
      </c>
    </row>
    <row r="5778" spans="94:95">
      <c r="CP5778">
        <f>IF(次果筐明细!$C578="",0,1)</f>
        <v>0</v>
      </c>
      <c r="CQ5778">
        <f t="shared" si="693"/>
        <v>110</v>
      </c>
    </row>
    <row r="5779" spans="94:95">
      <c r="CP5779">
        <f>IF(次果筐明细!$C579="",0,1)</f>
        <v>0</v>
      </c>
      <c r="CQ5779">
        <f t="shared" si="693"/>
        <v>110</v>
      </c>
    </row>
    <row r="5780" spans="94:95">
      <c r="CP5780">
        <f>IF(次果筐明细!$C580="",0,1)</f>
        <v>0</v>
      </c>
      <c r="CQ5780">
        <f t="shared" si="693"/>
        <v>110</v>
      </c>
    </row>
    <row r="5781" spans="94:95">
      <c r="CP5781">
        <f>IF(次果筐明细!$C581="",0,1)</f>
        <v>0</v>
      </c>
      <c r="CQ5781">
        <f t="shared" si="693"/>
        <v>110</v>
      </c>
    </row>
    <row r="5782" spans="94:95">
      <c r="CP5782">
        <f>IF(次果筐明细!$C582="",0,1)</f>
        <v>0</v>
      </c>
      <c r="CQ5782">
        <f t="shared" si="693"/>
        <v>110</v>
      </c>
    </row>
    <row r="5783" spans="94:95">
      <c r="CP5783">
        <f>IF(次果筐明细!$C583="",0,1)</f>
        <v>0</v>
      </c>
      <c r="CQ5783">
        <f t="shared" si="693"/>
        <v>110</v>
      </c>
    </row>
    <row r="5784" spans="94:95">
      <c r="CP5784">
        <f>IF(次果筐明细!$C584="",0,1)</f>
        <v>0</v>
      </c>
      <c r="CQ5784">
        <f t="shared" si="693"/>
        <v>110</v>
      </c>
    </row>
    <row r="5785" spans="94:95">
      <c r="CP5785">
        <f>IF(次果筐明细!$C585="",0,1)</f>
        <v>0</v>
      </c>
      <c r="CQ5785">
        <f t="shared" si="693"/>
        <v>110</v>
      </c>
    </row>
    <row r="5786" spans="94:95">
      <c r="CP5786">
        <f>IF(次果筐明细!$C586="",0,1)</f>
        <v>0</v>
      </c>
      <c r="CQ5786">
        <f t="shared" si="693"/>
        <v>110</v>
      </c>
    </row>
    <row r="5787" spans="94:95">
      <c r="CP5787">
        <f>IF(次果筐明细!$C587="",0,1)</f>
        <v>0</v>
      </c>
      <c r="CQ5787">
        <f t="shared" si="693"/>
        <v>110</v>
      </c>
    </row>
    <row r="5788" spans="94:95">
      <c r="CP5788">
        <f>IF(次果筐明细!$C588="",0,1)</f>
        <v>0</v>
      </c>
      <c r="CQ5788">
        <f t="shared" si="693"/>
        <v>110</v>
      </c>
    </row>
    <row r="5789" spans="94:95">
      <c r="CP5789">
        <f>IF(次果筐明细!$C589="",0,1)</f>
        <v>0</v>
      </c>
      <c r="CQ5789">
        <f t="shared" si="693"/>
        <v>110</v>
      </c>
    </row>
    <row r="5790" spans="94:95">
      <c r="CP5790">
        <f>IF(次果筐明细!$C590="",0,1)</f>
        <v>0</v>
      </c>
      <c r="CQ5790">
        <f t="shared" si="693"/>
        <v>110</v>
      </c>
    </row>
    <row r="5791" spans="94:95">
      <c r="CP5791">
        <f>IF(次果筐明细!$C591="",0,1)</f>
        <v>0</v>
      </c>
      <c r="CQ5791">
        <f t="shared" si="693"/>
        <v>110</v>
      </c>
    </row>
    <row r="5792" spans="94:95">
      <c r="CP5792">
        <f>IF(次果筐明细!$C592="",0,1)</f>
        <v>0</v>
      </c>
      <c r="CQ5792">
        <f t="shared" si="693"/>
        <v>110</v>
      </c>
    </row>
    <row r="5793" spans="94:95">
      <c r="CP5793">
        <f>IF(次果筐明细!$C593="",0,1)</f>
        <v>0</v>
      </c>
      <c r="CQ5793">
        <f t="shared" si="693"/>
        <v>110</v>
      </c>
    </row>
    <row r="5794" spans="94:95">
      <c r="CP5794">
        <f>IF(次果筐明细!$C594="",0,1)</f>
        <v>0</v>
      </c>
      <c r="CQ5794">
        <f t="shared" si="693"/>
        <v>110</v>
      </c>
    </row>
    <row r="5795" spans="94:95">
      <c r="CP5795">
        <f>IF(次果筐明细!$C595="",0,1)</f>
        <v>0</v>
      </c>
      <c r="CQ5795">
        <f t="shared" si="693"/>
        <v>110</v>
      </c>
    </row>
    <row r="5796" spans="94:95">
      <c r="CP5796">
        <f>IF(次果筐明细!$C596="",0,1)</f>
        <v>0</v>
      </c>
      <c r="CQ5796">
        <f t="shared" si="693"/>
        <v>110</v>
      </c>
    </row>
    <row r="5797" spans="94:95">
      <c r="CP5797">
        <f>IF(次果筐明细!$C597="",0,1)</f>
        <v>0</v>
      </c>
      <c r="CQ5797">
        <f t="shared" si="693"/>
        <v>110</v>
      </c>
    </row>
    <row r="5798" spans="94:95">
      <c r="CP5798">
        <f>IF(次果筐明细!$C598="",0,1)</f>
        <v>0</v>
      </c>
      <c r="CQ5798">
        <f t="shared" si="693"/>
        <v>110</v>
      </c>
    </row>
    <row r="5799" spans="94:95">
      <c r="CP5799">
        <f>IF(次果筐明细!$C599="",0,1)</f>
        <v>0</v>
      </c>
      <c r="CQ5799">
        <f t="shared" si="693"/>
        <v>110</v>
      </c>
    </row>
    <row r="5800" spans="94:95">
      <c r="CP5800">
        <f>IF(次果筐明细!$C600="",0,1)</f>
        <v>0</v>
      </c>
      <c r="CQ5800">
        <f t="shared" si="693"/>
        <v>110</v>
      </c>
    </row>
    <row r="5801" spans="94:95">
      <c r="CP5801">
        <f>IF(次果筐明细!$C601="",0,1)</f>
        <v>0</v>
      </c>
      <c r="CQ5801">
        <f t="shared" si="693"/>
        <v>110</v>
      </c>
    </row>
    <row r="5802" spans="94:95">
      <c r="CP5802">
        <f>IF(次果筐明细!$C602="",0,1)</f>
        <v>0</v>
      </c>
      <c r="CQ5802">
        <f t="shared" si="693"/>
        <v>110</v>
      </c>
    </row>
    <row r="5803" spans="94:95">
      <c r="CP5803">
        <f>IF(次果筐明细!$C603="",0,1)</f>
        <v>0</v>
      </c>
      <c r="CQ5803">
        <f t="shared" si="693"/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主页</vt:lpstr>
      <vt:lpstr>使用说明</vt:lpstr>
      <vt:lpstr>基础资料</vt:lpstr>
      <vt:lpstr>对接源_01水果筐数</vt:lpstr>
      <vt:lpstr>周转筐出入库明细</vt:lpstr>
      <vt:lpstr>包装物料出入库明细</vt:lpstr>
      <vt:lpstr>客户自备加工筐明细</vt:lpstr>
      <vt:lpstr>次果筐明细</vt:lpstr>
      <vt:lpstr>物料库存结余</vt:lpstr>
      <vt:lpstr>筐子库存汇总</vt:lpstr>
      <vt:lpstr>筐子往来汇总</vt:lpstr>
      <vt:lpstr>筐子采购汇总</vt:lpstr>
      <vt:lpstr>筐子销售汇总</vt:lpstr>
      <vt:lpstr>自备筐汇总</vt:lpstr>
      <vt:lpstr>次果筐汇总</vt:lpstr>
      <vt:lpstr>押金汇总</vt:lpstr>
      <vt:lpstr>客户领用物料汇总</vt:lpstr>
      <vt:lpstr>实盘库存盘点</vt:lpstr>
      <vt:lpstr>收入结算汇总</vt:lpstr>
      <vt:lpstr>对账明细接口</vt:lpstr>
      <vt:lpstr>财务取数接口</vt:lpstr>
      <vt:lpstr>字段对照</vt:lpstr>
      <vt:lpstr>_自动清单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cp:revision>0</cp:revision>
  <dcterms:created xsi:type="dcterms:W3CDTF">2026-08-26T16:15:00Z</dcterms:created>
  <dcterms:modified xsi:type="dcterms:W3CDTF">2026-09-14T13:58:19Z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A69C48ED27444B7EA95ACD6843B0686C_13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